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ckpit" sheetId="1" state="visible" r:id="rId3"/>
    <sheet name="Szenarien" sheetId="2" state="visible" r:id="rId4"/>
    <sheet name="Artikel" sheetId="3" state="visible" r:id="rId5"/>
    <sheet name="Parameter" sheetId="4" state="visible" r:id="rId6"/>
    <sheet name="Neue Artikel" sheetId="5" state="visible" r:id="rId7"/>
    <sheet name="Gebinde-Kategorie" sheetId="6" state="visible" r:id="rId8"/>
    <sheet name="Liftbericht" sheetId="7" state="visible" r:id="rId9"/>
    <sheet name="Anleitung" sheetId="8" state="visible" r:id="rId10"/>
  </sheets>
  <definedNames>
    <definedName function="false" hidden="true" localSheetId="2" name="_xlnm._FilterDatabase" vbProcedure="false">Artikel!$A$6:$BP$1843</definedName>
    <definedName function="false" hidden="false" localSheetId="0" name="_xlnm.Print_Area" vbProcedure="false">Cockpit!$A$1:$S$70</definedName>
    <definedName function="false" hidden="false" localSheetId="1" name="_xlnm.Print_Area" vbProcedure="false">Szenarien!$A$1:$P$45</definedName>
    <definedName function="false" hidden="false" name="A_FACH" vbProcedure="false">Artikel!$CQ$7:$CQ$1843</definedName>
    <definedName function="false" hidden="false" name="A_FINF" vbProcedure="false">Artikel!$CH$7:$CH$1843</definedName>
    <definedName function="false" hidden="false" name="A_FINN" vbProcedure="false">Artikel!$CN$7:$CN$1843</definedName>
    <definedName function="false" hidden="false" name="A_FINV" vbProcedure="false">Artikel!$CI$7:$CI$1843</definedName>
    <definedName function="false" hidden="false" name="A_GPT" vbProcedure="false">Artikel!$R$7:$R$1843</definedName>
    <definedName function="false" hidden="false" name="A_HPT" vbProcedure="false">Artikel!$CB$7:$CB$1843</definedName>
    <definedName function="false" hidden="false" name="A_IST" vbProcedure="false">Artikel!$H$7:$H$1843</definedName>
    <definedName function="false" hidden="false" name="A_ISTN" vbProcedure="false">Artikel!$CM$7:$CM$1843</definedName>
    <definedName function="false" hidden="false" name="A_KAPR" vbProcedure="false">Artikel!$X$7:$X$1843</definedName>
    <definedName function="false" hidden="false" name="A_LA" vbProcedure="false">Artikel!$CD$7:$CD$1843</definedName>
    <definedName function="false" hidden="false" name="A_LGN" vbProcedure="false">Artikel!$CL$7:$CL$1843</definedName>
    <definedName function="false" hidden="false" name="A_LIFT" vbProcedure="false">Artikel!$CE$7:$CE$1843</definedName>
    <definedName function="false" hidden="false" name="A_LOSE" vbProcedure="false">Artikel!$BZ$7:$BZ$1843</definedName>
    <definedName function="false" hidden="false" name="A_LUO" vbProcedure="false">Artikel!$CG$7:$CG$1843</definedName>
    <definedName function="false" hidden="false" name="A_MBLG" vbProcedure="false">Artikel!$CJ$7:$CJ$1843</definedName>
    <definedName function="false" hidden="false" name="A_MBN" vbProcedure="false">Artikel!$CK$7:$CK$1843</definedName>
    <definedName function="false" hidden="false" name="A_MPG_E" vbProcedure="false">Artikel!$BY$7:$BY$1843</definedName>
    <definedName function="false" hidden="false" name="A_PREIS" vbProcedure="false">Artikel!$G$7:$G$1843</definedName>
    <definedName function="false" hidden="false" name="A_VERB" vbProcedure="false">Artikel!$J$7:$J$1843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<sst xmlns="http://schemas.openxmlformats.org/spreadsheetml/2006/main" count="12987" uniqueCount="3209">
  <si>
    <t xml:space="preserve">Cockpit – Lagerlift-Belegung &amp; MAX-Bestand nach Lagerumschlag</t>
  </si>
  <si>
    <t xml:space="preserve">Gelbe Felder = Regler. Auslastung: grün &lt; 85 %, orange 85–100 %, rot &gt; 100 %.</t>
  </si>
  <si>
    <t xml:space="preserve">Ansicht 1</t>
  </si>
  <si>
    <t xml:space="preserve">Ansicht 2</t>
  </si>
  <si>
    <t xml:space="preserve">Ansicht 3</t>
  </si>
  <si>
    <t xml:space="preserve">Variante</t>
  </si>
  <si>
    <t xml:space="preserve">A – Ist-Bestand</t>
  </si>
  <si>
    <t xml:space="preserve">C – Ziel-LU oder Ist</t>
  </si>
  <si>
    <t xml:space="preserve">B – Ziel-LU</t>
  </si>
  <si>
    <t xml:space="preserve">Ziel-LU</t>
  </si>
  <si>
    <t xml:space="preserve">(bei A ohne Wirkung)</t>
  </si>
  <si>
    <t xml:space="preserve">Bereich</t>
  </si>
  <si>
    <t xml:space="preserve">Höhe belegt mm</t>
  </si>
  <si>
    <t xml:space="preserve">Lifthöhe mm</t>
  </si>
  <si>
    <t xml:space="preserve">Tablare (Anzahl)</t>
  </si>
  <si>
    <t xml:space="preserve">Füllgrad</t>
  </si>
  <si>
    <t xml:space="preserve">Lift 1 – Schwer</t>
  </si>
  <si>
    <t xml:space="preserve">Lift 2 – Mittel</t>
  </si>
  <si>
    <t xml:space="preserve">Lift 3 – Klein</t>
  </si>
  <si>
    <t xml:space="preserve">Lift 2 + 3 gemeinsam (KTL/PAL)</t>
  </si>
  <si>
    <t xml:space="preserve">Total 3 Lifte</t>
  </si>
  <si>
    <t xml:space="preserve">Nicht im Lift (andere Hauptlager)</t>
  </si>
  <si>
    <t xml:space="preserve">Manuell «Aussen» zugeteilt</t>
  </si>
  <si>
    <t xml:space="preserve">Passt alles in die 3 Lifte?</t>
  </si>
  <si>
    <t xml:space="preserve">Lift 1 (schwer, separat)</t>
  </si>
  <si>
    <t xml:space="preserve">Lift 2 + 3 gemeinsam</t>
  </si>
  <si>
    <t xml:space="preserve">Aussenlager nötig (mm Lifthöhe)</t>
  </si>
  <si>
    <t xml:space="preserve">Artikel im Aussenlager (ganz/teilweise)</t>
  </si>
  <si>
    <t xml:space="preserve">Lagerwert CHF gesamt</t>
  </si>
  <si>
    <t xml:space="preserve">   davon in den Liften</t>
  </si>
  <si>
    <t xml:space="preserve">   davon im Aussenlager</t>
  </si>
  <si>
    <t xml:space="preserve">   davon nicht im Lift (andere Lager)</t>
  </si>
  <si>
    <t xml:space="preserve">Artikel mit Überbestand (Ist &gt; MAX B)</t>
  </si>
  <si>
    <t xml:space="preserve">(LU dieser Ansicht)</t>
  </si>
  <si>
    <t xml:space="preserve">Überbestandswert CHF</t>
  </si>
  <si>
    <t xml:space="preserve">Höhe mm je Lift</t>
  </si>
  <si>
    <t xml:space="preserve">aus Gebinden (Stammdaten)</t>
  </si>
  <si>
    <t xml:space="preserve">Fächer lt. Liftbericht</t>
  </si>
  <si>
    <t xml:space="preserve">lose (grob geschätzt)</t>
  </si>
  <si>
    <t xml:space="preserve">Anteil geschätzt</t>
  </si>
  <si>
    <t xml:space="preserve">Total</t>
  </si>
  <si>
    <t xml:space="preserve">Diagrammdaten (Auslastung %)</t>
  </si>
  <si>
    <t xml:space="preserve">100 %</t>
  </si>
  <si>
    <t xml:space="preserve">Lift 1</t>
  </si>
  <si>
    <t xml:space="preserve">Lift 2</t>
  </si>
  <si>
    <t xml:space="preserve">Lift 3</t>
  </si>
  <si>
    <t xml:space="preserve">Lift 2+3</t>
  </si>
  <si>
    <t xml:space="preserve">Szenarien – alle LU-Werte auf einen Blick</t>
  </si>
  <si>
    <t xml:space="preserve">Berechnung direkt über das Blatt «Artikel» (SUMPRODUCT). Berücksichtigt Lift-Zuordnung, Gebinde-Anpassungen, Ziel-LU je Artikel und MAX final. LU-Werte aus Parameter A23:A30.</t>
  </si>
  <si>
    <t xml:space="preserve">Lift 1 %</t>
  </si>
  <si>
    <t xml:space="preserve">Lift 2 %</t>
  </si>
  <si>
    <t xml:space="preserve">Lift 3 %</t>
  </si>
  <si>
    <t xml:space="preserve">Lift 2+3 %</t>
  </si>
  <si>
    <t xml:space="preserve">Total %</t>
  </si>
  <si>
    <t xml:space="preserve">Passt alles?</t>
  </si>
  <si>
    <t xml:space="preserve">Aussenlager mm</t>
  </si>
  <si>
    <t xml:space="preserve">Lagerwert CHF</t>
  </si>
  <si>
    <t xml:space="preserve">Δ zum Ist CHF</t>
  </si>
  <si>
    <t xml:space="preserve">Δ zum Ist mm</t>
  </si>
  <si>
    <t xml:space="preserve">Lift 1 mm</t>
  </si>
  <si>
    <t xml:space="preserve">Lift 2 mm</t>
  </si>
  <si>
    <t xml:space="preserve">Lift 3 mm</t>
  </si>
  <si>
    <t xml:space="preserve">Aussen manuell mm</t>
  </si>
  <si>
    <t xml:space="preserve">Ist-Bestand</t>
  </si>
  <si>
    <t xml:space="preserve">–</t>
  </si>
  <si>
    <t xml:space="preserve">Ab welchem LU passt alles in die Lifte?</t>
  </si>
  <si>
    <t xml:space="preserve">Variante B (nach Abbau Überbestand):</t>
  </si>
  <si>
    <t xml:space="preserve">Variante C (Überbestand bleibt):</t>
  </si>
  <si>
    <t xml:space="preserve">(Annahme: LU-Liste aufsteigend sortiert. Ist-Bestand: siehe Zeile 5.)</t>
  </si>
  <si>
    <t xml:space="preserve">Diagrammdaten</t>
  </si>
  <si>
    <t xml:space="preserve">B – Total %</t>
  </si>
  <si>
    <t xml:space="preserve">C – Total %</t>
  </si>
  <si>
    <t xml:space="preserve">Ist – Total %</t>
  </si>
  <si>
    <t xml:space="preserve">Artikel – eine Zeile pro Artikel</t>
  </si>
  <si>
    <t xml:space="preserve">Gelb = Eingabe (leer lassen = Vorschlag gilt). Weiss = Formel. Spalten A1–A3 = Cockpit-Ansichten 1–3 (Gruppen mit + / – auf- und zuklappen). Ganz rechts: Hilfsspalten.</t>
  </si>
  <si>
    <t xml:space="preserve">Datenstand: Kennzahlen-Auszug (Kennzahlen_Lager_Auszug.xlsx), Gebinde aus Artikelstamm_mit_Verbrauch_und_Gebinde_Umschlag_2_20260520.xlsx. Erzeugt 05.10.2026.</t>
  </si>
  <si>
    <t xml:space="preserve">Hilfsspalten (nicht ändern)</t>
  </si>
  <si>
    <t xml:space="preserve">Artikelnummer</t>
  </si>
  <si>
    <t xml:space="preserve">Bezeichnung</t>
  </si>
  <si>
    <t xml:space="preserve">Status</t>
  </si>
  <si>
    <t xml:space="preserve">Hauptlager</t>
  </si>
  <si>
    <t xml:space="preserve">Lager in Zukunft</t>
  </si>
  <si>
    <t xml:space="preserve">ABC</t>
  </si>
  <si>
    <t xml:space="preserve">Preis CHF</t>
  </si>
  <si>
    <t xml:space="preserve">Ist-Wert CHF</t>
  </si>
  <si>
    <t xml:space="preserve">Verbrauch 12 Monate</t>
  </si>
  <si>
    <t xml:space="preserve">Ø-Bestand</t>
  </si>
  <si>
    <t xml:space="preserve">IST-LU</t>
  </si>
  <si>
    <t xml:space="preserve">Mindestbestand (MB)</t>
  </si>
  <si>
    <t xml:space="preserve">Losgrösse (LG)</t>
  </si>
  <si>
    <t xml:space="preserve">WBZ Tage</t>
  </si>
  <si>
    <t xml:space="preserve">Gebindekategorie</t>
  </si>
  <si>
    <t xml:space="preserve">Menge pro Gebinde</t>
  </si>
  <si>
    <t xml:space="preserve">Gebinde je Tablar</t>
  </si>
  <si>
    <t xml:space="preserve">Tablare lose (ganzer Bestand)</t>
  </si>
  <si>
    <t xml:space="preserve">Schätzklasse lose</t>
  </si>
  <si>
    <t xml:space="preserve">Gebindekategorie neu</t>
  </si>
  <si>
    <t xml:space="preserve">Menge pro Gebinde neu</t>
  </si>
  <si>
    <t xml:space="preserve">Lift lt. Liftbericht</t>
  </si>
  <si>
    <t xml:space="preserve">Fach-Kapazität Stk (Liftbericht)</t>
  </si>
  <si>
    <t xml:space="preserve">Bestand lt. Liftbericht</t>
  </si>
  <si>
    <t xml:space="preserve">Lift Vorschlag</t>
  </si>
  <si>
    <t xml:space="preserve">Lift manuell</t>
  </si>
  <si>
    <t xml:space="preserve">Ziel-LU Artikel</t>
  </si>
  <si>
    <t xml:space="preserve">MAX Variante B (Ansicht 2)</t>
  </si>
  <si>
    <t xml:space="preserve">MAX Variante C (Ansicht 2)</t>
  </si>
  <si>
    <t xml:space="preserve">MAX final</t>
  </si>
  <si>
    <t xml:space="preserve">A1 Menge</t>
  </si>
  <si>
    <t xml:space="preserve">A1 Anzahl Gebinde</t>
  </si>
  <si>
    <t xml:space="preserve">A1 Tablare</t>
  </si>
  <si>
    <t xml:space="preserve">A1 Höhe mm</t>
  </si>
  <si>
    <t xml:space="preserve">A1 Ø-Bestand</t>
  </si>
  <si>
    <t xml:space="preserve">A1 Wert CHF (Ø)</t>
  </si>
  <si>
    <t xml:space="preserve">A1 MAX B (Hilfe)</t>
  </si>
  <si>
    <t xml:space="preserve">A1 Priorität Verbr./Tablar (Hilfe)</t>
  </si>
  <si>
    <t xml:space="preserve">A1 Fläche kumuliert (Hilfe)</t>
  </si>
  <si>
    <t xml:space="preserve">A1 Anteil im Lift (Hilfe)</t>
  </si>
  <si>
    <t xml:space="preserve">A2 Menge</t>
  </si>
  <si>
    <t xml:space="preserve">A2 Anzahl Gebinde</t>
  </si>
  <si>
    <t xml:space="preserve">A2 Tablare</t>
  </si>
  <si>
    <t xml:space="preserve">A2 Höhe mm</t>
  </si>
  <si>
    <t xml:space="preserve">A2 Ø-Bestand</t>
  </si>
  <si>
    <t xml:space="preserve">A2 Wert CHF (Ø)</t>
  </si>
  <si>
    <t xml:space="preserve">A2 MAX B (Hilfe)</t>
  </si>
  <si>
    <t xml:space="preserve">A2 Priorität Verbr./Tablar (Hilfe)</t>
  </si>
  <si>
    <t xml:space="preserve">A2 Fläche kumuliert (Hilfe)</t>
  </si>
  <si>
    <t xml:space="preserve">A2 Anteil im Lift (Hilfe)</t>
  </si>
  <si>
    <t xml:space="preserve">A3 Menge</t>
  </si>
  <si>
    <t xml:space="preserve">A3 Anzahl Gebinde</t>
  </si>
  <si>
    <t xml:space="preserve">A3 Tablare</t>
  </si>
  <si>
    <t xml:space="preserve">A3 Höhe mm</t>
  </si>
  <si>
    <t xml:space="preserve">A3 Ø-Bestand</t>
  </si>
  <si>
    <t xml:space="preserve">A3 Wert CHF (Ø)</t>
  </si>
  <si>
    <t xml:space="preserve">A3 MAX B (Hilfe)</t>
  </si>
  <si>
    <t xml:space="preserve">A3 Priorität Verbr./Tablar (Hilfe)</t>
  </si>
  <si>
    <t xml:space="preserve">A3 Fläche kumuliert (Hilfe)</t>
  </si>
  <si>
    <t xml:space="preserve">A3 Anteil im Lift (Hilfe)</t>
  </si>
  <si>
    <t xml:space="preserve">Lagerort Ansicht 1</t>
  </si>
  <si>
    <t xml:space="preserve">Lagerort Ansicht 2</t>
  </si>
  <si>
    <t xml:space="preserve">Lagerort Ansicht 3</t>
  </si>
  <si>
    <t xml:space="preserve">Hinweise</t>
  </si>
  <si>
    <t xml:space="preserve">Ursache (Kennzahlen)</t>
  </si>
  <si>
    <t xml:space="preserve">Aktion (Kennzahlen)</t>
  </si>
  <si>
    <t xml:space="preserve">Kommentar Diskussion</t>
  </si>
  <si>
    <t xml:space="preserve">Export Bestandsmenge (G)</t>
  </si>
  <si>
    <t xml:space="preserve">Export Jahresanfang 2025 (T)</t>
  </si>
  <si>
    <t xml:space="preserve">Export Bestandswert (H)</t>
  </si>
  <si>
    <t xml:space="preserve">Verbrauch Export (Zeitraum)</t>
  </si>
  <si>
    <t xml:space="preserve">Bemerkungen Artikelstamm</t>
  </si>
  <si>
    <t xml:space="preserve">Neu (1/0)</t>
  </si>
  <si>
    <t xml:space="preserve">Zeile</t>
  </si>
  <si>
    <t xml:space="preserve">Gebinde wirksam</t>
  </si>
  <si>
    <t xml:space="preserve">Menge/Gebinde wirksam</t>
  </si>
  <si>
    <t xml:space="preserve">Lose (1/0)</t>
  </si>
  <si>
    <t xml:space="preserve">Gebinde geschätzt (1/0)</t>
  </si>
  <si>
    <t xml:space="preserve">Höhe je Tablar mm</t>
  </si>
  <si>
    <t xml:space="preserve">Liftregel (LiZ/Hauptlager)</t>
  </si>
  <si>
    <t xml:space="preserve">Tablare lose wirksam</t>
  </si>
  <si>
    <t xml:space="preserve">Lift wirksam</t>
  </si>
  <si>
    <t xml:space="preserve">Liftgruppe</t>
  </si>
  <si>
    <t xml:space="preserve">Ziel-LU Artikel (0=keiner)</t>
  </si>
  <si>
    <t xml:space="preserve">MAX final gesetzt</t>
  </si>
  <si>
    <t xml:space="preserve">MAX final Wert</t>
  </si>
  <si>
    <t xml:space="preserve">MB + LG</t>
  </si>
  <si>
    <t xml:space="preserve">MB (Zahl)</t>
  </si>
  <si>
    <t xml:space="preserve">LG (Zahl)</t>
  </si>
  <si>
    <t xml:space="preserve">Gebinde bei Ist</t>
  </si>
  <si>
    <t xml:space="preserve">Gebinde bei MAX final</t>
  </si>
  <si>
    <t xml:space="preserve">Gebindehöhe cm</t>
  </si>
  <si>
    <t xml:space="preserve">max. Ladehöhe Lift mm</t>
  </si>
  <si>
    <t xml:space="preserve">Fach lt. Liftbericht (Tablare)</t>
  </si>
  <si>
    <t xml:space="preserve">101749</t>
  </si>
  <si>
    <t xml:space="preserve">Austrittsdüse</t>
  </si>
  <si>
    <t xml:space="preserve">F</t>
  </si>
  <si>
    <t xml:space="preserve">LIFT1</t>
  </si>
  <si>
    <t xml:space="preserve">Kardex Schwer</t>
  </si>
  <si>
    <t xml:space="preserve">A</t>
  </si>
  <si>
    <t xml:space="preserve">LOSE</t>
  </si>
  <si>
    <t xml:space="preserve"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</si>
  <si>
    <t xml:space="preserve">Weitere Umarbeit möglich? 101411 - möglich, falls ja wie Nachbestellung verhindern? Auslaufartikel + Info in Artikel mit Alternativartikel?</t>
  </si>
  <si>
    <t xml:space="preserve">110390</t>
  </si>
  <si>
    <t xml:space="preserve">Elektro-Set - Aufrüstung SPC800 V3.0.0</t>
  </si>
  <si>
    <t xml:space="preserve">PAL</t>
  </si>
  <si>
    <t xml:space="preserve">S71</t>
  </si>
  <si>
    <t xml:space="preserve">Bedarf durch Upgrade auf V3.2 - Vorproduktion</t>
  </si>
  <si>
    <t xml:space="preserve">Abklären, wann diese gebraucht werden</t>
  </si>
  <si>
    <t xml:space="preserve">111326</t>
  </si>
  <si>
    <t xml:space="preserve">Luftblock BASE/SUB Spezial</t>
  </si>
  <si>
    <t xml:space="preserve">Mittel</t>
  </si>
  <si>
    <t xml:space="preserve">110337</t>
  </si>
  <si>
    <t xml:space="preserve">Ventilpanel SPGr BASE komplett</t>
  </si>
  <si>
    <t xml:space="preserve">005086</t>
  </si>
  <si>
    <t xml:space="preserve">SPS Grundgerät EG101</t>
  </si>
  <si>
    <t xml:space="preserve">KTL</t>
  </si>
  <si>
    <t xml:space="preserve">Kardex Kleinteil</t>
  </si>
  <si>
    <t xml:space="preserve">S61</t>
  </si>
  <si>
    <t xml:space="preserve">106185_MAT</t>
  </si>
  <si>
    <t xml:space="preserve">Rohmaterial zu 106185</t>
  </si>
  <si>
    <t xml:space="preserve">Gross</t>
  </si>
  <si>
    <t xml:space="preserve">101411</t>
  </si>
  <si>
    <t xml:space="preserve">106184_MAT</t>
  </si>
  <si>
    <t xml:space="preserve">Rohmaterial zu 106184</t>
  </si>
  <si>
    <t xml:space="preserve">Bedarf Niederurnen 8 Stk. + FC Bedarf war höher + WBZ 70 Tage, führten zu Bestellungen, Bedarf hat sich verschoben, Bestellungen wurden nicht angepasst.</t>
  </si>
  <si>
    <t xml:space="preserve">Umarbeit möglich?</t>
  </si>
  <si>
    <t xml:space="preserve">110338</t>
  </si>
  <si>
    <t xml:space="preserve">Ventilpanel SPGr SUB komplett</t>
  </si>
  <si>
    <t xml:space="preserve">104232</t>
  </si>
  <si>
    <t xml:space="preserve">Ventilpanel komplett</t>
  </si>
  <si>
    <t xml:space="preserve">105315_MAT</t>
  </si>
  <si>
    <t xml:space="preserve">Rohmaterial zu 105315</t>
  </si>
  <si>
    <t xml:space="preserve">B</t>
  </si>
  <si>
    <t xml:space="preserve">107309</t>
  </si>
  <si>
    <t xml:space="preserve">Verbrennungszylinder EG10</t>
  </si>
  <si>
    <t xml:space="preserve">110339</t>
  </si>
  <si>
    <t xml:space="preserve">107829</t>
  </si>
  <si>
    <t xml:space="preserve">Austrittsdüse SPGr16</t>
  </si>
  <si>
    <t xml:space="preserve">100389</t>
  </si>
  <si>
    <t xml:space="preserve">Mischgehäuse</t>
  </si>
  <si>
    <t xml:space="preserve">106177</t>
  </si>
  <si>
    <t xml:space="preserve">Kolbengehäuse SPGr10</t>
  </si>
  <si>
    <t xml:space="preserve">?</t>
  </si>
  <si>
    <t xml:space="preserve">106099</t>
  </si>
  <si>
    <t xml:space="preserve">Druckleitungsgehäuse SPGr</t>
  </si>
  <si>
    <t xml:space="preserve">Twin</t>
  </si>
  <si>
    <t xml:space="preserve">Reduzieren / Mit PM/SV anschauen?</t>
  </si>
  <si>
    <t xml:space="preserve">109088_MAT</t>
  </si>
  <si>
    <t xml:space="preserve">Rohmaterial zu 109088</t>
  </si>
  <si>
    <t xml:space="preserve">C</t>
  </si>
  <si>
    <t xml:space="preserve">106184</t>
  </si>
  <si>
    <t xml:space="preserve">Ventilsitzgehäuse SPGr16</t>
  </si>
  <si>
    <t xml:space="preserve">108126</t>
  </si>
  <si>
    <t xml:space="preserve">Hochtemperatur-Hydraulikschlauch</t>
  </si>
  <si>
    <t xml:space="preserve">S81</t>
  </si>
  <si>
    <t xml:space="preserve">105838</t>
  </si>
  <si>
    <t xml:space="preserve">Dämpfer</t>
  </si>
  <si>
    <t xml:space="preserve">S63</t>
  </si>
  <si>
    <t xml:space="preserve">Angebote wurden spät neu terminiert, dadurch ergab sich ein Verbrauch innerhalb der WBZ - daher wurden weitere bestellt</t>
  </si>
  <si>
    <t xml:space="preserve">106821</t>
  </si>
  <si>
    <t xml:space="preserve">Transfer Gehäuse SPGr komplett</t>
  </si>
  <si>
    <t xml:space="preserve">nicht im KTL vorhanden</t>
  </si>
  <si>
    <t xml:space="preserve">106446</t>
  </si>
  <si>
    <t xml:space="preserve">Proportionalventil komplett</t>
  </si>
  <si>
    <t xml:space="preserve">S52</t>
  </si>
  <si>
    <t xml:space="preserve">Auslaufartikel - letzte Entnahme 2022</t>
  </si>
  <si>
    <t xml:space="preserve">Umarbeit / Verschrotten? - Betsand bei Schmobi wurde bereits verschrottet</t>
  </si>
  <si>
    <t xml:space="preserve">106098</t>
  </si>
  <si>
    <t xml:space="preserve">Druckleitungsblock SPGr</t>
  </si>
  <si>
    <t xml:space="preserve">Bedarf durch Angebote getriggert, MB 5 zu dem zeitpunkt und Losgrösse 8 mit hoher WBZ -&gt; Auslaufteil</t>
  </si>
  <si>
    <t xml:space="preserve">Retourverkauf an Lieferant?</t>
  </si>
  <si>
    <t xml:space="preserve">106185</t>
  </si>
  <si>
    <t xml:space="preserve">Kolbengehäuse SPGr16</t>
  </si>
  <si>
    <t xml:space="preserve">Letzter Zugang W20000056 2022</t>
  </si>
  <si>
    <t xml:space="preserve">Rückverkauf/Umbau auf anderes VP?</t>
  </si>
  <si>
    <t xml:space="preserve">110978</t>
  </si>
  <si>
    <t xml:space="preserve">Austrittsdüsenschauglas komplett</t>
  </si>
  <si>
    <t xml:space="preserve">MB war auf 35 Stk. + Losgrösse 35 Stk. Letzter WE 07/2025 + Feldaustausch war vorgesehen und ist daraufhin nicht zustande gekommen (Zeitfestigkeit)</t>
  </si>
  <si>
    <t xml:space="preserve">Keine</t>
  </si>
  <si>
    <t xml:space="preserve">111495</t>
  </si>
  <si>
    <t xml:space="preserve">Verpackung Service Kit 7k, SPGr10</t>
  </si>
  <si>
    <t xml:space="preserve">Bedarf durch Angebote getrieben, welche verschoben wurden WBZ ist zu lang - Verbraucht bis ca Ende 2026</t>
  </si>
  <si>
    <t xml:space="preserve">109651</t>
  </si>
  <si>
    <t xml:space="preserve">105961</t>
  </si>
  <si>
    <t xml:space="preserve">Konstanthänger</t>
  </si>
  <si>
    <t xml:space="preserve">MB von 2 hat Bedarf ausgelöst, allerdings wurden 5 geliefert, anstatt den MB mit 1 Stk. aufzufüllen? Losgrösse angepasst? -&gt; Aufgrund voin Preis wurden 5 bestellt</t>
  </si>
  <si>
    <t xml:space="preserve">Festhalten ob kleinere Mengen für teurer eingekauft werden sollen, oder ob Mehr und besserer Preis attraktiver ist -&gt; 1 Stk. 5500 und bei 5 3500 CHF / Stk.</t>
  </si>
  <si>
    <t xml:space="preserve">110336</t>
  </si>
  <si>
    <t xml:space="preserve">107867</t>
  </si>
  <si>
    <t xml:space="preserve">Ventilsitz SPGr16</t>
  </si>
  <si>
    <t xml:space="preserve">S72</t>
  </si>
  <si>
    <t xml:space="preserve">Wurdne in 2024 zu grösserer Menge Beschafft, seither kein WE</t>
  </si>
  <si>
    <t xml:space="preserve">grosser Artikel &amp; nicht im KTL</t>
  </si>
  <si>
    <t xml:space="preserve">100049</t>
  </si>
  <si>
    <t xml:space="preserve">Dosierzylinder O2</t>
  </si>
  <si>
    <t xml:space="preserve">108138</t>
  </si>
  <si>
    <t xml:space="preserve">Spülluftmodul komplett</t>
  </si>
  <si>
    <t xml:space="preserve">Losgrösse 10, mit Hoher WBZ Anfang 2024 bestellt seither unberührt</t>
  </si>
  <si>
    <t xml:space="preserve">Warum soi viel bestellt wurde muss rausgefunden werden?</t>
  </si>
  <si>
    <t xml:space="preserve">111000</t>
  </si>
  <si>
    <t xml:space="preserve">107420</t>
  </si>
  <si>
    <t xml:space="preserve">Horizontalwagen</t>
  </si>
  <si>
    <t xml:space="preserve">Losgrösse 10 auf 20 Stk. + lange WBZ -&gt; MB war 15 Stk.</t>
  </si>
  <si>
    <t xml:space="preserve">WBZ war nicht passend zum Rahmen?</t>
  </si>
  <si>
    <t xml:space="preserve">111885</t>
  </si>
  <si>
    <t xml:space="preserve">Magnetventil mit Spule</t>
  </si>
  <si>
    <t xml:space="preserve">Klein</t>
  </si>
  <si>
    <t xml:space="preserve">111497</t>
  </si>
  <si>
    <t xml:space="preserve">Verpackung Service Kit 7k, SPGr16</t>
  </si>
  <si>
    <t xml:space="preserve">Hoher Bedarf durch Angebote, welche verschoben wurden. Daher grosse Bestellungen getätigt</t>
  </si>
  <si>
    <t xml:space="preserve">Retourverkaufen?</t>
  </si>
  <si>
    <t xml:space="preserve">108135</t>
  </si>
  <si>
    <t xml:space="preserve">Kabel Spülluftmodul</t>
  </si>
  <si>
    <t xml:space="preserve">100363</t>
  </si>
  <si>
    <t xml:space="preserve">Dosierzylinder CH4</t>
  </si>
  <si>
    <t xml:space="preserve">111227</t>
  </si>
  <si>
    <t xml:space="preserve">Sehr hohe WBZ, daher Bedarf wurde vermutlich Angepasst und nicht weiter verfolgt -&gt; Vielleichtmusste auch ein Rahmen abgenommen werden? Abgekündigt?</t>
  </si>
  <si>
    <t xml:space="preserve">110334</t>
  </si>
  <si>
    <t xml:space="preserve">Luftblock BASE komplett</t>
  </si>
  <si>
    <t xml:space="preserve">111226</t>
  </si>
  <si>
    <t xml:space="preserve">005061</t>
  </si>
  <si>
    <t xml:space="preserve">Ringwellschlauch</t>
  </si>
  <si>
    <t xml:space="preserve">106792</t>
  </si>
  <si>
    <t xml:space="preserve">Pilotventil</t>
  </si>
  <si>
    <t xml:space="preserve">S62</t>
  </si>
  <si>
    <t xml:space="preserve">106100</t>
  </si>
  <si>
    <t xml:space="preserve">Deckel zu Druckleitungsgehäuse SPGr</t>
  </si>
  <si>
    <t xml:space="preserve">107124</t>
  </si>
  <si>
    <t xml:space="preserve">Federhänger</t>
  </si>
  <si>
    <t xml:space="preserve">Zugänge aus 2023?</t>
  </si>
  <si>
    <t xml:space="preserve">T&amp;E: Benötigt/Alternative? // Preis hat hier auch eine Rolle gespielt</t>
  </si>
  <si>
    <t xml:space="preserve">100362</t>
  </si>
  <si>
    <t xml:space="preserve">Magnetventil</t>
  </si>
  <si>
    <t xml:space="preserve">S51</t>
  </si>
  <si>
    <t xml:space="preserve">103763</t>
  </si>
  <si>
    <t xml:space="preserve">111498</t>
  </si>
  <si>
    <t xml:space="preserve">Verpackung Service Kit 14k, SPGr16</t>
  </si>
  <si>
    <t xml:space="preserve">Vermutlich Lieferungen aus Rahmen ? Abgekündigt?</t>
  </si>
  <si>
    <t xml:space="preserve">111496</t>
  </si>
  <si>
    <t xml:space="preserve">Verpackung Service Kit 28k, SPGr10</t>
  </si>
  <si>
    <t xml:space="preserve">106791</t>
  </si>
  <si>
    <t xml:space="preserve">Gasventil SPG</t>
  </si>
  <si>
    <t xml:space="preserve">106270</t>
  </si>
  <si>
    <t xml:space="preserve">Ablassschraube</t>
  </si>
  <si>
    <t xml:space="preserve">110335</t>
  </si>
  <si>
    <t xml:space="preserve">Luftblock SUB komplett</t>
  </si>
  <si>
    <t xml:space="preserve">100133</t>
  </si>
  <si>
    <t xml:space="preserve">Gehäuse Gasdruckspeicher</t>
  </si>
  <si>
    <t xml:space="preserve">Letzte WE 2023</t>
  </si>
  <si>
    <t xml:space="preserve">109689 Nachfolgeartikel - Technisches Büro sperren? Ggf. Abklären mit T&amp;E?</t>
  </si>
  <si>
    <t xml:space="preserve">107415</t>
  </si>
  <si>
    <t xml:space="preserve">Rohr Anschweissstück Øi206</t>
  </si>
  <si>
    <t xml:space="preserve">112022</t>
  </si>
  <si>
    <t xml:space="preserve">Ventilblock Ausgang</t>
  </si>
  <si>
    <t xml:space="preserve">100179</t>
  </si>
  <si>
    <t xml:space="preserve">Einschraubstutzen</t>
  </si>
  <si>
    <t xml:space="preserve">Neu-Teil daher schlechter LU</t>
  </si>
  <si>
    <t xml:space="preserve">001090</t>
  </si>
  <si>
    <t xml:space="preserve">Gleitmo 599</t>
  </si>
  <si>
    <t xml:space="preserve">S41</t>
  </si>
  <si>
    <t xml:space="preserve">Losgrösse war auf 10 Stk. neu auf 5 Stk. -&gt; Sollte sich von alleine aufbrauchen</t>
  </si>
  <si>
    <t xml:space="preserve">111982</t>
  </si>
  <si>
    <t xml:space="preserve">Heizschlauch</t>
  </si>
  <si>
    <t xml:space="preserve">Letzter WE 2024? Verbrauch sehr wenig (10-20 Stk. pro Jahr) Rahmen war über 100 Stk. und musste abgenommen werden</t>
  </si>
  <si>
    <t xml:space="preserve">108523</t>
  </si>
  <si>
    <t xml:space="preserve">Brenngasblock BASE komplett</t>
  </si>
  <si>
    <t xml:space="preserve">111901</t>
  </si>
  <si>
    <t xml:space="preserve">Ventilblock Eingang</t>
  </si>
  <si>
    <t xml:space="preserve">111765</t>
  </si>
  <si>
    <t xml:space="preserve">106154</t>
  </si>
  <si>
    <t xml:space="preserve">Federflansch</t>
  </si>
  <si>
    <t xml:space="preserve">108540</t>
  </si>
  <si>
    <t xml:space="preserve">Brenngasblock SUB komplett</t>
  </si>
  <si>
    <t xml:space="preserve">106308</t>
  </si>
  <si>
    <t xml:space="preserve">Rohrflansch</t>
  </si>
  <si>
    <t xml:space="preserve">Letzter WE 2023?</t>
  </si>
  <si>
    <t xml:space="preserve">T&amp;E: Benötigt/Alternative?</t>
  </si>
  <si>
    <t xml:space="preserve">106723</t>
  </si>
  <si>
    <t xml:space="preserve">PTFE Schlauch DN6</t>
  </si>
  <si>
    <t xml:space="preserve">S82</t>
  </si>
  <si>
    <t xml:space="preserve">In 2023 gekauft, eine Entnahme ohne Auftrag in 2024, seither keine Bewegung mehr -&gt; Ersastzteil zu Ibeda Druckregelstrecke (109144 109143 Beide mittlerwiele gesperrt).</t>
  </si>
  <si>
    <t xml:space="preserve">005266</t>
  </si>
  <si>
    <t xml:space="preserve">OC-106175</t>
  </si>
  <si>
    <t xml:space="preserve">SPGr10</t>
  </si>
  <si>
    <t xml:space="preserve">OCC</t>
  </si>
  <si>
    <t xml:space="preserve">111900</t>
  </si>
  <si>
    <t xml:space="preserve">Ausgleichsvolumen 40l</t>
  </si>
  <si>
    <t xml:space="preserve">Kleinere Mengen eingekauft 2022-2024 - keine Entnahmen</t>
  </si>
  <si>
    <t xml:space="preserve">106730</t>
  </si>
  <si>
    <t xml:space="preserve">Glühkerzenkabel SPGr</t>
  </si>
  <si>
    <t xml:space="preserve">Überbestand; grosser Artikel &amp; nicht im KTL</t>
  </si>
  <si>
    <t xml:space="preserve">109374</t>
  </si>
  <si>
    <t xml:space="preserve">Kolben SPGr16 T2</t>
  </si>
  <si>
    <t xml:space="preserve">110057</t>
  </si>
  <si>
    <t xml:space="preserve">HMI - Power Panel T80</t>
  </si>
  <si>
    <t xml:space="preserve">Wird bereits an Bürki verkauft?</t>
  </si>
  <si>
    <t xml:space="preserve">106482</t>
  </si>
  <si>
    <t xml:space="preserve">100770</t>
  </si>
  <si>
    <t xml:space="preserve">Rohr</t>
  </si>
  <si>
    <t xml:space="preserve">001123</t>
  </si>
  <si>
    <t xml:space="preserve">Holzkiste mit Zwischenboden / SPG</t>
  </si>
  <si>
    <t xml:space="preserve">Kisten Leer</t>
  </si>
  <si>
    <t xml:space="preserve">107253</t>
  </si>
  <si>
    <t xml:space="preserve">Transfermagnetventil Spule O2</t>
  </si>
  <si>
    <t xml:space="preserve">100423</t>
  </si>
  <si>
    <t xml:space="preserve">Verschlussstopfen</t>
  </si>
  <si>
    <t xml:space="preserve">106101</t>
  </si>
  <si>
    <t xml:space="preserve">Flammsperre</t>
  </si>
  <si>
    <t xml:space="preserve">108121</t>
  </si>
  <si>
    <t xml:space="preserve">110822</t>
  </si>
  <si>
    <t xml:space="preserve">Kolben SPGr10 T2</t>
  </si>
  <si>
    <t xml:space="preserve">Vemutlich durch Bedarf angefordert und hohe WBZ, nicht auf Veränderung reagiert. Bestand reicht bis Ende 2026 - Artikelpflege Lücke: Losgrösse durch Einkauf gepflegt -&gt; Bessere Bedarfsabklärung?</t>
  </si>
  <si>
    <t xml:space="preserve">Lücke in Artikelpflege prüfen und ggf. schliessen so gut wie es möglich ist?</t>
  </si>
  <si>
    <t xml:space="preserve">005239</t>
  </si>
  <si>
    <t xml:space="preserve">Drehmomentschlüssel</t>
  </si>
  <si>
    <t xml:space="preserve">106108</t>
  </si>
  <si>
    <t xml:space="preserve">Flammsperre zu Transferblock SPGr</t>
  </si>
  <si>
    <t xml:space="preserve">108524</t>
  </si>
  <si>
    <t xml:space="preserve">Stickstoffblock BASE komplett</t>
  </si>
  <si>
    <t xml:space="preserve">Letzte WE 2021 -&gt; 106869?</t>
  </si>
  <si>
    <t xml:space="preserve">Ersatzartikel</t>
  </si>
  <si>
    <t xml:space="preserve">103524</t>
  </si>
  <si>
    <t xml:space="preserve">Kugelhahn N2</t>
  </si>
  <si>
    <t xml:space="preserve">Überbestand</t>
  </si>
  <si>
    <t xml:space="preserve">106583</t>
  </si>
  <si>
    <t xml:space="preserve">Anschlussflansch</t>
  </si>
  <si>
    <t xml:space="preserve">112026</t>
  </si>
  <si>
    <t xml:space="preserve">Berstscheibe 60 - 66 bar</t>
  </si>
  <si>
    <t xml:space="preserve">111499</t>
  </si>
  <si>
    <t xml:space="preserve">Verpackung Service Kit 28k, SPGr16</t>
  </si>
  <si>
    <t xml:space="preserve">106044</t>
  </si>
  <si>
    <t xml:space="preserve">Rohrstück mit Blende</t>
  </si>
  <si>
    <t xml:space="preserve">S21</t>
  </si>
  <si>
    <t xml:space="preserve">107212</t>
  </si>
  <si>
    <t xml:space="preserve">Sechskantschraube</t>
  </si>
  <si>
    <t xml:space="preserve">105456</t>
  </si>
  <si>
    <t xml:space="preserve">Zylinderschraube mit Innensechskant</t>
  </si>
  <si>
    <t xml:space="preserve">103489</t>
  </si>
  <si>
    <t xml:space="preserve">Sicherungsscheibe</t>
  </si>
  <si>
    <t xml:space="preserve">106752</t>
  </si>
  <si>
    <t xml:space="preserve">Beschriftungsset</t>
  </si>
  <si>
    <t xml:space="preserve">106635</t>
  </si>
  <si>
    <t xml:space="preserve">Leiste zu SPGr16</t>
  </si>
  <si>
    <t xml:space="preserve">107868</t>
  </si>
  <si>
    <t xml:space="preserve">Kolben SPGr10</t>
  </si>
  <si>
    <t xml:space="preserve">109995</t>
  </si>
  <si>
    <t xml:space="preserve">Industrie Mobilfunk Router (global)</t>
  </si>
  <si>
    <t xml:space="preserve">107971</t>
  </si>
  <si>
    <t xml:space="preserve">Entleerungsschlauch</t>
  </si>
  <si>
    <t xml:space="preserve">107995</t>
  </si>
  <si>
    <t xml:space="preserve">Radialventilator</t>
  </si>
  <si>
    <t xml:space="preserve">100155</t>
  </si>
  <si>
    <t xml:space="preserve">S32</t>
  </si>
  <si>
    <t xml:space="preserve">107197</t>
  </si>
  <si>
    <t xml:space="preserve">Kompressoröl zu AC260</t>
  </si>
  <si>
    <t xml:space="preserve">106619</t>
  </si>
  <si>
    <t xml:space="preserve">Rückschlagventil</t>
  </si>
  <si>
    <t xml:space="preserve">S22</t>
  </si>
  <si>
    <t xml:space="preserve">005260</t>
  </si>
  <si>
    <t xml:space="preserve">110024</t>
  </si>
  <si>
    <t xml:space="preserve">Zuleitungskabel Temperatursensor</t>
  </si>
  <si>
    <t xml:space="preserve">106458</t>
  </si>
  <si>
    <t xml:space="preserve">Drucktransmitter</t>
  </si>
  <si>
    <t xml:space="preserve">110875</t>
  </si>
  <si>
    <t xml:space="preserve">Digitalmanometer</t>
  </si>
  <si>
    <t xml:space="preserve">101679</t>
  </si>
  <si>
    <t xml:space="preserve">Ringschraube</t>
  </si>
  <si>
    <t xml:space="preserve">105321</t>
  </si>
  <si>
    <t xml:space="preserve">Ventilsitzadapter SPGr10</t>
  </si>
  <si>
    <t xml:space="preserve">103917</t>
  </si>
  <si>
    <t xml:space="preserve">106794</t>
  </si>
  <si>
    <t xml:space="preserve">Magnetspule</t>
  </si>
  <si>
    <t xml:space="preserve">005497</t>
  </si>
  <si>
    <t xml:space="preserve">Schlauchbündelung mit Klettverschluss</t>
  </si>
  <si>
    <t xml:space="preserve">101538</t>
  </si>
  <si>
    <t xml:space="preserve">111953</t>
  </si>
  <si>
    <t xml:space="preserve">PTFE Schlauch DN10</t>
  </si>
  <si>
    <t xml:space="preserve">109381</t>
  </si>
  <si>
    <t xml:space="preserve">Gateway Modbus TCP Server / CAN</t>
  </si>
  <si>
    <t xml:space="preserve">101634</t>
  </si>
  <si>
    <t xml:space="preserve">100852</t>
  </si>
  <si>
    <t xml:space="preserve">Ventilsitzeinsatz D70</t>
  </si>
  <si>
    <t xml:space="preserve">106904</t>
  </si>
  <si>
    <t xml:space="preserve">Sirenenelement</t>
  </si>
  <si>
    <t xml:space="preserve">106727</t>
  </si>
  <si>
    <t xml:space="preserve">001207</t>
  </si>
  <si>
    <t xml:space="preserve">Holzkiste Luftkompressor See</t>
  </si>
  <si>
    <t xml:space="preserve">G</t>
  </si>
  <si>
    <t xml:space="preserve">106984</t>
  </si>
  <si>
    <t xml:space="preserve">Patch-Panel, RJ45-Buchse</t>
  </si>
  <si>
    <t xml:space="preserve">108527</t>
  </si>
  <si>
    <t xml:space="preserve">Spülluftblock BASE / SUB komplett</t>
  </si>
  <si>
    <t xml:space="preserve">108945</t>
  </si>
  <si>
    <t xml:space="preserve">Kranbahnprofil</t>
  </si>
  <si>
    <t xml:space="preserve">001114</t>
  </si>
  <si>
    <t xml:space="preserve">Palette Typ 0</t>
  </si>
  <si>
    <t xml:space="preserve">Verpackungsmaterial</t>
  </si>
  <si>
    <t xml:space="preserve">103918</t>
  </si>
  <si>
    <t xml:space="preserve">105457</t>
  </si>
  <si>
    <t xml:space="preserve">O-Ring</t>
  </si>
  <si>
    <t xml:space="preserve">100762</t>
  </si>
  <si>
    <t xml:space="preserve">100893</t>
  </si>
  <si>
    <t xml:space="preserve">Druckfeder</t>
  </si>
  <si>
    <t xml:space="preserve">gehört dieser Artikel ins KTL ?</t>
  </si>
  <si>
    <t xml:space="preserve">106009</t>
  </si>
  <si>
    <t xml:space="preserve">100187</t>
  </si>
  <si>
    <t xml:space="preserve">Dichtscheibe</t>
  </si>
  <si>
    <t xml:space="preserve">S33</t>
  </si>
  <si>
    <t xml:space="preserve">106496</t>
  </si>
  <si>
    <t xml:space="preserve">005541</t>
  </si>
  <si>
    <t xml:space="preserve">109378</t>
  </si>
  <si>
    <t xml:space="preserve">Spülluftmodul Gehäuse komplett</t>
  </si>
  <si>
    <t xml:space="preserve">005040</t>
  </si>
  <si>
    <t xml:space="preserve">109495</t>
  </si>
  <si>
    <t xml:space="preserve">Nadelventil</t>
  </si>
  <si>
    <t xml:space="preserve">109201</t>
  </si>
  <si>
    <t xml:space="preserve">Fahrwerk GISKB II</t>
  </si>
  <si>
    <t xml:space="preserve">005101</t>
  </si>
  <si>
    <t xml:space="preserve">SPS Ethernet-Kommunikationsmodul</t>
  </si>
  <si>
    <t xml:space="preserve">101574</t>
  </si>
  <si>
    <t xml:space="preserve">Stützring</t>
  </si>
  <si>
    <t xml:space="preserve">001124</t>
  </si>
  <si>
    <t xml:space="preserve">Holzkiste Steuerschrank gross</t>
  </si>
  <si>
    <t xml:space="preserve">110106</t>
  </si>
  <si>
    <t xml:space="preserve">Faltenfilter</t>
  </si>
  <si>
    <t xml:space="preserve">110866</t>
  </si>
  <si>
    <t xml:space="preserve">Verbunddichtring</t>
  </si>
  <si>
    <t xml:space="preserve">106622</t>
  </si>
  <si>
    <t xml:space="preserve">Bolzen</t>
  </si>
  <si>
    <t xml:space="preserve">108541</t>
  </si>
  <si>
    <t xml:space="preserve">Stickstoffblock SUB komplett</t>
  </si>
  <si>
    <t xml:space="preserve">110991</t>
  </si>
  <si>
    <t xml:space="preserve">Distanzhülse</t>
  </si>
  <si>
    <t xml:space="preserve">005102</t>
  </si>
  <si>
    <t xml:space="preserve">SPS Profibus DP-Slavemodul</t>
  </si>
  <si>
    <t xml:space="preserve">101477</t>
  </si>
  <si>
    <t xml:space="preserve">Befestigungsring</t>
  </si>
  <si>
    <t xml:space="preserve">107997</t>
  </si>
  <si>
    <t xml:space="preserve">Adapter Stahl verzinkt</t>
  </si>
  <si>
    <t xml:space="preserve">005069</t>
  </si>
  <si>
    <t xml:space="preserve">Hochdruck-Ganzmetallschlauch CH4</t>
  </si>
  <si>
    <t xml:space="preserve">107713</t>
  </si>
  <si>
    <t xml:space="preserve">Spannungsüberwachung</t>
  </si>
  <si>
    <t xml:space="preserve">Neuer Art.</t>
  </si>
  <si>
    <t xml:space="preserve">005201</t>
  </si>
  <si>
    <t xml:space="preserve">Druckregelstrecke O2</t>
  </si>
  <si>
    <t xml:space="preserve">109124</t>
  </si>
  <si>
    <t xml:space="preserve">Verpackung Spülluftmodul</t>
  </si>
  <si>
    <t xml:space="preserve">106385</t>
  </si>
  <si>
    <t xml:space="preserve">Zugstange</t>
  </si>
  <si>
    <t xml:space="preserve">109189</t>
  </si>
  <si>
    <t xml:space="preserve">Einschraubadapter Edelstahl</t>
  </si>
  <si>
    <t xml:space="preserve">108322</t>
  </si>
  <si>
    <t xml:space="preserve">Gasvorwärmer</t>
  </si>
  <si>
    <t xml:space="preserve">102884</t>
  </si>
  <si>
    <t xml:space="preserve">Rapid Kettenglied</t>
  </si>
  <si>
    <t xml:space="preserve">109376</t>
  </si>
  <si>
    <t xml:space="preserve">Unterstützungsblech Spülluftmodul</t>
  </si>
  <si>
    <t xml:space="preserve">101916</t>
  </si>
  <si>
    <t xml:space="preserve">länger als die Kisten</t>
  </si>
  <si>
    <t xml:space="preserve">111957</t>
  </si>
  <si>
    <t xml:space="preserve">Flaschenanschluss Ventil</t>
  </si>
  <si>
    <t xml:space="preserve">109924</t>
  </si>
  <si>
    <t xml:space="preserve">Sensorkabel</t>
  </si>
  <si>
    <t xml:space="preserve">102501</t>
  </si>
  <si>
    <t xml:space="preserve">106944</t>
  </si>
  <si>
    <t xml:space="preserve">Busmodul</t>
  </si>
  <si>
    <t xml:space="preserve">i.o</t>
  </si>
  <si>
    <t xml:space="preserve">109172</t>
  </si>
  <si>
    <t xml:space="preserve">Basisschlauch für Bündelanschluss</t>
  </si>
  <si>
    <t xml:space="preserve">002003</t>
  </si>
  <si>
    <t xml:space="preserve">Holzkiste Austrittsdüse 2m</t>
  </si>
  <si>
    <t xml:space="preserve">107360</t>
  </si>
  <si>
    <t xml:space="preserve">Seilrolle</t>
  </si>
  <si>
    <t xml:space="preserve">108805</t>
  </si>
  <si>
    <t xml:space="preserve">Typenschild</t>
  </si>
  <si>
    <t xml:space="preserve">111904</t>
  </si>
  <si>
    <t xml:space="preserve">Einschraubverschraubung</t>
  </si>
  <si>
    <t xml:space="preserve">111770</t>
  </si>
  <si>
    <t xml:space="preserve">Manometer</t>
  </si>
  <si>
    <t xml:space="preserve">111762</t>
  </si>
  <si>
    <t xml:space="preserve">005498</t>
  </si>
  <si>
    <t xml:space="preserve">Nylonband mit Klettverschluss</t>
  </si>
  <si>
    <t xml:space="preserve">107996</t>
  </si>
  <si>
    <t xml:space="preserve">Doppelnippel mit Blendenbohrung</t>
  </si>
  <si>
    <t xml:space="preserve">005747</t>
  </si>
  <si>
    <t xml:space="preserve">Hochdruck-Ganzmetallschlauch O2,UK</t>
  </si>
  <si>
    <t xml:space="preserve">108039</t>
  </si>
  <si>
    <t xml:space="preserve">HEAVYCON Anbaugehäuse B6</t>
  </si>
  <si>
    <t xml:space="preserve">108036</t>
  </si>
  <si>
    <t xml:space="preserve">Kontakteinsatzmodul 12 polig</t>
  </si>
  <si>
    <t xml:space="preserve">101568</t>
  </si>
  <si>
    <t xml:space="preserve">100409</t>
  </si>
  <si>
    <t xml:space="preserve">Spülluftblock</t>
  </si>
  <si>
    <t xml:space="preserve">106903</t>
  </si>
  <si>
    <t xml:space="preserve">Joch</t>
  </si>
  <si>
    <t xml:space="preserve">005701</t>
  </si>
  <si>
    <t xml:space="preserve">Leistungsschütz</t>
  </si>
  <si>
    <t xml:space="preserve">103487</t>
  </si>
  <si>
    <t xml:space="preserve">112023</t>
  </si>
  <si>
    <t xml:space="preserve">Entlüftungsrohr</t>
  </si>
  <si>
    <t xml:space="preserve">100419</t>
  </si>
  <si>
    <t xml:space="preserve">Flammschutz</t>
  </si>
  <si>
    <t xml:space="preserve">104210</t>
  </si>
  <si>
    <t xml:space="preserve">Temperatursensor mit Stecker</t>
  </si>
  <si>
    <t xml:space="preserve">109666</t>
  </si>
  <si>
    <t xml:space="preserve">109147</t>
  </si>
  <si>
    <t xml:space="preserve">Druckregler</t>
  </si>
  <si>
    <t xml:space="preserve">106629</t>
  </si>
  <si>
    <t xml:space="preserve">Leiste zu SPGr10</t>
  </si>
  <si>
    <t xml:space="preserve">106313</t>
  </si>
  <si>
    <t xml:space="preserve">Endflansch</t>
  </si>
  <si>
    <t xml:space="preserve">100140</t>
  </si>
  <si>
    <t xml:space="preserve">Glühkerzenhalter</t>
  </si>
  <si>
    <t xml:space="preserve">107994</t>
  </si>
  <si>
    <t xml:space="preserve">111125</t>
  </si>
  <si>
    <t xml:space="preserve">Hohlschraube mit Anschluss</t>
  </si>
  <si>
    <t xml:space="preserve">100159</t>
  </si>
  <si>
    <t xml:space="preserve">Klemmhülse</t>
  </si>
  <si>
    <t xml:space="preserve">110885</t>
  </si>
  <si>
    <t xml:space="preserve">Blende</t>
  </si>
  <si>
    <t xml:space="preserve">108573</t>
  </si>
  <si>
    <t xml:space="preserve">Aufkleber SPGr</t>
  </si>
  <si>
    <t xml:space="preserve">101566</t>
  </si>
  <si>
    <t xml:space="preserve">111987</t>
  </si>
  <si>
    <t xml:space="preserve">Sicherheitsventil 50 bar</t>
  </si>
  <si>
    <t xml:space="preserve">106721</t>
  </si>
  <si>
    <t xml:space="preserve">Glühkerzenhalter SPGr</t>
  </si>
  <si>
    <t xml:space="preserve">100126</t>
  </si>
  <si>
    <t xml:space="preserve">Adapter Edelstahl</t>
  </si>
  <si>
    <t xml:space="preserve">005145</t>
  </si>
  <si>
    <t xml:space="preserve">Relais komplett</t>
  </si>
  <si>
    <t xml:space="preserve">101560</t>
  </si>
  <si>
    <t xml:space="preserve">Aufhängung starr</t>
  </si>
  <si>
    <t xml:space="preserve">104211</t>
  </si>
  <si>
    <t xml:space="preserve">Glühkerzenkabel inkl. Stecker zu VP</t>
  </si>
  <si>
    <t xml:space="preserve">100337</t>
  </si>
  <si>
    <t xml:space="preserve">110204</t>
  </si>
  <si>
    <t xml:space="preserve">Aufsteckringschlüssel</t>
  </si>
  <si>
    <t xml:space="preserve">111959</t>
  </si>
  <si>
    <t xml:space="preserve">T-Verschraubung</t>
  </si>
  <si>
    <t xml:space="preserve">109826</t>
  </si>
  <si>
    <t xml:space="preserve">108571</t>
  </si>
  <si>
    <t xml:space="preserve">Puffer</t>
  </si>
  <si>
    <t xml:space="preserve">100143</t>
  </si>
  <si>
    <t xml:space="preserve">Quetschring</t>
  </si>
  <si>
    <t xml:space="preserve">100335</t>
  </si>
  <si>
    <t xml:space="preserve">106424</t>
  </si>
  <si>
    <t xml:space="preserve">110900</t>
  </si>
  <si>
    <t xml:space="preserve">105950</t>
  </si>
  <si>
    <t xml:space="preserve">Nutmutter</t>
  </si>
  <si>
    <t xml:space="preserve">106917</t>
  </si>
  <si>
    <t xml:space="preserve">Beschriftungsset zu SPGr</t>
  </si>
  <si>
    <t xml:space="preserve">108027</t>
  </si>
  <si>
    <t xml:space="preserve">111961</t>
  </si>
  <si>
    <t xml:space="preserve">005323</t>
  </si>
  <si>
    <t xml:space="preserve">108125</t>
  </si>
  <si>
    <t xml:space="preserve">Neu</t>
  </si>
  <si>
    <t xml:space="preserve">109096</t>
  </si>
  <si>
    <t xml:space="preserve">Steckschlüssel-Adapter</t>
  </si>
  <si>
    <t xml:space="preserve">105389</t>
  </si>
  <si>
    <t xml:space="preserve">110009</t>
  </si>
  <si>
    <t xml:space="preserve">Doppelnippel</t>
  </si>
  <si>
    <t xml:space="preserve">005159</t>
  </si>
  <si>
    <t xml:space="preserve">Gestell mit Fuss</t>
  </si>
  <si>
    <t xml:space="preserve">110093</t>
  </si>
  <si>
    <t xml:space="preserve">LED-Dauerlichtelement</t>
  </si>
  <si>
    <t xml:space="preserve">108034</t>
  </si>
  <si>
    <t xml:space="preserve">Kontakteinsatzmodul 5 polig</t>
  </si>
  <si>
    <t xml:space="preserve">005706</t>
  </si>
  <si>
    <t xml:space="preserve">Schutzkragen</t>
  </si>
  <si>
    <t xml:space="preserve">100417</t>
  </si>
  <si>
    <t xml:space="preserve">110863</t>
  </si>
  <si>
    <t xml:space="preserve">Zwischenflansch Spülluft</t>
  </si>
  <si>
    <t xml:space="preserve">107722</t>
  </si>
  <si>
    <t xml:space="preserve">Stahldrahtseil</t>
  </si>
  <si>
    <t xml:space="preserve">001170</t>
  </si>
  <si>
    <t xml:space="preserve">Holzkiste Austrittsdüse</t>
  </si>
  <si>
    <t xml:space="preserve">112028</t>
  </si>
  <si>
    <t xml:space="preserve">107123</t>
  </si>
  <si>
    <t xml:space="preserve">108035</t>
  </si>
  <si>
    <t xml:space="preserve">Modulträgerrahmen B6</t>
  </si>
  <si>
    <t xml:space="preserve">107413</t>
  </si>
  <si>
    <t xml:space="preserve">Rohr Anschweissstück Øi154</t>
  </si>
  <si>
    <t xml:space="preserve">106877</t>
  </si>
  <si>
    <t xml:space="preserve">Sechskantmutter</t>
  </si>
  <si>
    <t xml:space="preserve">005749</t>
  </si>
  <si>
    <t xml:space="preserve">Hochdruck-Ganzmetallschlauch N2,UK</t>
  </si>
  <si>
    <t xml:space="preserve">005748</t>
  </si>
  <si>
    <t xml:space="preserve">Hochdruck-Ganzmetallschlauch CH4,UK</t>
  </si>
  <si>
    <t xml:space="preserve">111977</t>
  </si>
  <si>
    <t xml:space="preserve">005257</t>
  </si>
  <si>
    <t xml:space="preserve">Stopfen</t>
  </si>
  <si>
    <t xml:space="preserve">105452</t>
  </si>
  <si>
    <t xml:space="preserve">107048</t>
  </si>
  <si>
    <t xml:space="preserve">Werkzeugtasche</t>
  </si>
  <si>
    <t xml:space="preserve">108008</t>
  </si>
  <si>
    <t xml:space="preserve">Klammer</t>
  </si>
  <si>
    <t xml:space="preserve">109634</t>
  </si>
  <si>
    <t xml:space="preserve">Kranbahnprofil GISKB II</t>
  </si>
  <si>
    <t xml:space="preserve">104236</t>
  </si>
  <si>
    <t xml:space="preserve">Dach</t>
  </si>
  <si>
    <t xml:space="preserve">106432</t>
  </si>
  <si>
    <t xml:space="preserve">103492</t>
  </si>
  <si>
    <t xml:space="preserve">Heizpatrone</t>
  </si>
  <si>
    <t xml:space="preserve">100123</t>
  </si>
  <si>
    <t xml:space="preserve">106949</t>
  </si>
  <si>
    <t xml:space="preserve">Busmodul für Safe I/O-Module</t>
  </si>
  <si>
    <t xml:space="preserve">101829</t>
  </si>
  <si>
    <t xml:space="preserve">105244</t>
  </si>
  <si>
    <t xml:space="preserve">Huelse</t>
  </si>
  <si>
    <t xml:space="preserve">108410</t>
  </si>
  <si>
    <t xml:space="preserve">Sechskant-Distanzbolzen</t>
  </si>
  <si>
    <t xml:space="preserve">107196</t>
  </si>
  <si>
    <t xml:space="preserve">100265</t>
  </si>
  <si>
    <t xml:space="preserve">Klappsplint</t>
  </si>
  <si>
    <t xml:space="preserve">112051</t>
  </si>
  <si>
    <t xml:space="preserve">Flaschenanschluss Luft</t>
  </si>
  <si>
    <t xml:space="preserve">103823</t>
  </si>
  <si>
    <t xml:space="preserve">Blinddeckel</t>
  </si>
  <si>
    <t xml:space="preserve">112021</t>
  </si>
  <si>
    <t xml:space="preserve">Montageblech</t>
  </si>
  <si>
    <t xml:space="preserve">110882</t>
  </si>
  <si>
    <t xml:space="preserve">Koffer</t>
  </si>
  <si>
    <t xml:space="preserve">109329</t>
  </si>
  <si>
    <t xml:space="preserve">Traglastkleber 630kg</t>
  </si>
  <si>
    <t xml:space="preserve">005094</t>
  </si>
  <si>
    <t xml:space="preserve">SPS Erweiterungsmodul</t>
  </si>
  <si>
    <t xml:space="preserve">005075</t>
  </si>
  <si>
    <t xml:space="preserve">Hochdruck-Ganzmetallschlauch N2</t>
  </si>
  <si>
    <t xml:space="preserve">101561</t>
  </si>
  <si>
    <t xml:space="preserve">Fahrwerk</t>
  </si>
  <si>
    <t xml:space="preserve">100147</t>
  </si>
  <si>
    <t xml:space="preserve">101253</t>
  </si>
  <si>
    <t xml:space="preserve">Federkonsole</t>
  </si>
  <si>
    <t xml:space="preserve">108818</t>
  </si>
  <si>
    <t xml:space="preserve">Rohrschelle</t>
  </si>
  <si>
    <t xml:space="preserve">110123</t>
  </si>
  <si>
    <t xml:space="preserve">111932</t>
  </si>
  <si>
    <t xml:space="preserve">Aufschraubverschraubung</t>
  </si>
  <si>
    <t xml:space="preserve">106419</t>
  </si>
  <si>
    <t xml:space="preserve">100411</t>
  </si>
  <si>
    <t xml:space="preserve">110887</t>
  </si>
  <si>
    <t xml:space="preserve">107723</t>
  </si>
  <si>
    <t xml:space="preserve">Drahtseillklemme</t>
  </si>
  <si>
    <t xml:space="preserve">106900</t>
  </si>
  <si>
    <t xml:space="preserve">Anschlusselement</t>
  </si>
  <si>
    <t xml:space="preserve">105395</t>
  </si>
  <si>
    <t xml:space="preserve">Flansch</t>
  </si>
  <si>
    <t xml:space="preserve">111897</t>
  </si>
  <si>
    <t xml:space="preserve">Steckverbinder</t>
  </si>
  <si>
    <t xml:space="preserve">110682</t>
  </si>
  <si>
    <t xml:space="preserve">005341</t>
  </si>
  <si>
    <t xml:space="preserve">Montageschlüssel</t>
  </si>
  <si>
    <t xml:space="preserve">107102</t>
  </si>
  <si>
    <t xml:space="preserve">Sechskant Stifteinsatz</t>
  </si>
  <si>
    <t xml:space="preserve">001086</t>
  </si>
  <si>
    <t xml:space="preserve">Loctite 243</t>
  </si>
  <si>
    <t xml:space="preserve">109665</t>
  </si>
  <si>
    <t xml:space="preserve">111991</t>
  </si>
  <si>
    <t xml:space="preserve">108513</t>
  </si>
  <si>
    <t xml:space="preserve">Typenschild Servicetechniker-Set SPGr16</t>
  </si>
  <si>
    <t xml:space="preserve">106470</t>
  </si>
  <si>
    <t xml:space="preserve">Magnetventil komplett</t>
  </si>
  <si>
    <t xml:space="preserve">107358</t>
  </si>
  <si>
    <t xml:space="preserve">Achse</t>
  </si>
  <si>
    <t xml:space="preserve">110095</t>
  </si>
  <si>
    <t xml:space="preserve">Sensor-/Aktor-Kabel</t>
  </si>
  <si>
    <t xml:space="preserve">101639</t>
  </si>
  <si>
    <t xml:space="preserve">107872</t>
  </si>
  <si>
    <t xml:space="preserve">108001</t>
  </si>
  <si>
    <t xml:space="preserve">Ventilatorkabel mit Stecker</t>
  </si>
  <si>
    <t xml:space="preserve">100146</t>
  </si>
  <si>
    <t xml:space="preserve">107585</t>
  </si>
  <si>
    <t xml:space="preserve">Indikator</t>
  </si>
  <si>
    <t xml:space="preserve">100318</t>
  </si>
  <si>
    <t xml:space="preserve">Leitungsdruckregler LT2000</t>
  </si>
  <si>
    <t xml:space="preserve">005459</t>
  </si>
  <si>
    <t xml:space="preserve">Heizung Steuerschrank</t>
  </si>
  <si>
    <t xml:space="preserve">109613</t>
  </si>
  <si>
    <t xml:space="preserve">Adapter Bündelanschluss Druckluft</t>
  </si>
  <si>
    <t xml:space="preserve">107714</t>
  </si>
  <si>
    <t xml:space="preserve">Sechskant Stifteinsatz lang</t>
  </si>
  <si>
    <t xml:space="preserve">107161</t>
  </si>
  <si>
    <t xml:space="preserve">Unterlage SPGr10</t>
  </si>
  <si>
    <t xml:space="preserve">109177</t>
  </si>
  <si>
    <t xml:space="preserve">Adapter Bündelanschluss Brenngas</t>
  </si>
  <si>
    <t xml:space="preserve">100181</t>
  </si>
  <si>
    <t xml:space="preserve">Dummy Glühkerzenhalter</t>
  </si>
  <si>
    <t xml:space="preserve">107694</t>
  </si>
  <si>
    <t xml:space="preserve">Kabellasche</t>
  </si>
  <si>
    <t xml:space="preserve">005407</t>
  </si>
  <si>
    <t xml:space="preserve">Anker zu Magnetventil Parker</t>
  </si>
  <si>
    <t xml:space="preserve">111976</t>
  </si>
  <si>
    <t xml:space="preserve">Einschraub-Schaft Adapter</t>
  </si>
  <si>
    <t xml:space="preserve">109149</t>
  </si>
  <si>
    <t xml:space="preserve">005395</t>
  </si>
  <si>
    <t xml:space="preserve">Putzstock komplett</t>
  </si>
  <si>
    <t xml:space="preserve">108643</t>
  </si>
  <si>
    <t xml:space="preserve">Ventilkabel SPC800 - VP</t>
  </si>
  <si>
    <t xml:space="preserve">104209</t>
  </si>
  <si>
    <t xml:space="preserve">005797</t>
  </si>
  <si>
    <t xml:space="preserve">Rohrverschraubung</t>
  </si>
  <si>
    <t xml:space="preserve">001029</t>
  </si>
  <si>
    <t xml:space="preserve">Kupferpaste</t>
  </si>
  <si>
    <t xml:space="preserve">105913</t>
  </si>
  <si>
    <t xml:space="preserve">005729</t>
  </si>
  <si>
    <t xml:space="preserve">Schiebemutter M6</t>
  </si>
  <si>
    <t xml:space="preserve">005304</t>
  </si>
  <si>
    <t xml:space="preserve">112024</t>
  </si>
  <si>
    <t xml:space="preserve">Schutzblech</t>
  </si>
  <si>
    <t xml:space="preserve">100085</t>
  </si>
  <si>
    <t xml:space="preserve">108431</t>
  </si>
  <si>
    <t xml:space="preserve">Schaumstoff-Rastereinsatz</t>
  </si>
  <si>
    <t xml:space="preserve">107866</t>
  </si>
  <si>
    <t xml:space="preserve">Kolben SPGr16</t>
  </si>
  <si>
    <t xml:space="preserve">005745</t>
  </si>
  <si>
    <t xml:space="preserve">Kabel-Verlängerung mit Stecker</t>
  </si>
  <si>
    <t xml:space="preserve">109757</t>
  </si>
  <si>
    <t xml:space="preserve">Transfer Gehäuse SPGr</t>
  </si>
  <si>
    <t xml:space="preserve">002035</t>
  </si>
  <si>
    <t xml:space="preserve">Flachzange</t>
  </si>
  <si>
    <t xml:space="preserve">111918</t>
  </si>
  <si>
    <t xml:space="preserve">Manometer Aufschraub-Schaft Adapter</t>
  </si>
  <si>
    <t xml:space="preserve">107431</t>
  </si>
  <si>
    <t xml:space="preserve">Drahtseil</t>
  </si>
  <si>
    <t xml:space="preserve">107304</t>
  </si>
  <si>
    <t xml:space="preserve">Silikon Dichtungsmasse</t>
  </si>
  <si>
    <t xml:space="preserve">107729</t>
  </si>
  <si>
    <t xml:space="preserve">111917</t>
  </si>
  <si>
    <t xml:space="preserve">110873</t>
  </si>
  <si>
    <t xml:space="preserve">Schlauch</t>
  </si>
  <si>
    <t xml:space="preserve">111469</t>
  </si>
  <si>
    <t xml:space="preserve">Patch-Panel</t>
  </si>
  <si>
    <t xml:space="preserve">106957</t>
  </si>
  <si>
    <t xml:space="preserve">Einspeisemodul für X2X Link</t>
  </si>
  <si>
    <t xml:space="preserve">106856</t>
  </si>
  <si>
    <t xml:space="preserve">Leiste</t>
  </si>
  <si>
    <t xml:space="preserve">106454</t>
  </si>
  <si>
    <t xml:space="preserve">Sinterfilter</t>
  </si>
  <si>
    <t xml:space="preserve">111960</t>
  </si>
  <si>
    <t xml:space="preserve">100800</t>
  </si>
  <si>
    <t xml:space="preserve">101636</t>
  </si>
  <si>
    <t xml:space="preserve">Verschlusskappe</t>
  </si>
  <si>
    <t xml:space="preserve">005320</t>
  </si>
  <si>
    <t xml:space="preserve">Spezial Inbusschlüsseleinsatz</t>
  </si>
  <si>
    <t xml:space="preserve">106386</t>
  </si>
  <si>
    <t xml:space="preserve">Glühkerzen-Dummy</t>
  </si>
  <si>
    <t xml:space="preserve">005686</t>
  </si>
  <si>
    <t xml:space="preserve">Schaltschrank Etikette</t>
  </si>
  <si>
    <t xml:space="preserve">107863</t>
  </si>
  <si>
    <t xml:space="preserve">111969</t>
  </si>
  <si>
    <t xml:space="preserve">101559</t>
  </si>
  <si>
    <t xml:space="preserve">Deckel</t>
  </si>
  <si>
    <t xml:space="preserve">005713</t>
  </si>
  <si>
    <t xml:space="preserve">Etikette EG10 Rückschlagventil Patrone</t>
  </si>
  <si>
    <t xml:space="preserve">001030</t>
  </si>
  <si>
    <t xml:space="preserve">Loctite 542</t>
  </si>
  <si>
    <t xml:space="preserve">108804</t>
  </si>
  <si>
    <t xml:space="preserve">Ersatzfilterpatrone</t>
  </si>
  <si>
    <t xml:space="preserve">102867</t>
  </si>
  <si>
    <t xml:space="preserve">005700</t>
  </si>
  <si>
    <t xml:space="preserve">Relaiskoppler</t>
  </si>
  <si>
    <t xml:space="preserve">108481</t>
  </si>
  <si>
    <t xml:space="preserve">111919</t>
  </si>
  <si>
    <t xml:space="preserve">001197</t>
  </si>
  <si>
    <t xml:space="preserve">VCI Klebeband</t>
  </si>
  <si>
    <t xml:space="preserve">107583</t>
  </si>
  <si>
    <t xml:space="preserve">106090</t>
  </si>
  <si>
    <t xml:space="preserve">002009</t>
  </si>
  <si>
    <t xml:space="preserve">Nylonhammer</t>
  </si>
  <si>
    <t xml:space="preserve">110026</t>
  </si>
  <si>
    <t xml:space="preserve">selbstklebende Dokumententasche</t>
  </si>
  <si>
    <t xml:space="preserve">109987</t>
  </si>
  <si>
    <t xml:space="preserve">Hauptschalter</t>
  </si>
  <si>
    <t xml:space="preserve">111913</t>
  </si>
  <si>
    <t xml:space="preserve">Kontakteinsatz</t>
  </si>
  <si>
    <t xml:space="preserve">107050</t>
  </si>
  <si>
    <t xml:space="preserve">Inbusschlüssel lang</t>
  </si>
  <si>
    <t xml:space="preserve">001116</t>
  </si>
  <si>
    <t xml:space="preserve">Putzpapier Ecoline</t>
  </si>
  <si>
    <t xml:space="preserve">VERB-P</t>
  </si>
  <si>
    <t xml:space="preserve">001175</t>
  </si>
  <si>
    <t xml:space="preserve">Abdeckklebeband</t>
  </si>
  <si>
    <t xml:space="preserve">111978</t>
  </si>
  <si>
    <t xml:space="preserve">001130</t>
  </si>
  <si>
    <t xml:space="preserve">Holzschraube</t>
  </si>
  <si>
    <t xml:space="preserve">109175</t>
  </si>
  <si>
    <t xml:space="preserve">Adapter Bündelanschluss Stickstoff</t>
  </si>
  <si>
    <t xml:space="preserve">108727</t>
  </si>
  <si>
    <t xml:space="preserve">Schutzdeckel</t>
  </si>
  <si>
    <t xml:space="preserve">109369</t>
  </si>
  <si>
    <t xml:space="preserve">Adapter</t>
  </si>
  <si>
    <t xml:space="preserve">103439</t>
  </si>
  <si>
    <t xml:space="preserve">100408</t>
  </si>
  <si>
    <t xml:space="preserve">Konsole</t>
  </si>
  <si>
    <t xml:space="preserve">100789</t>
  </si>
  <si>
    <t xml:space="preserve">001169</t>
  </si>
  <si>
    <t xml:space="preserve">Handreiniger N-Super</t>
  </si>
  <si>
    <t xml:space="preserve">100415</t>
  </si>
  <si>
    <t xml:space="preserve">108041</t>
  </si>
  <si>
    <t xml:space="preserve">106899</t>
  </si>
  <si>
    <t xml:space="preserve">Montagewinkel</t>
  </si>
  <si>
    <t xml:space="preserve">100148</t>
  </si>
  <si>
    <t xml:space="preserve">111909</t>
  </si>
  <si>
    <t xml:space="preserve">109282</t>
  </si>
  <si>
    <t xml:space="preserve">Verpackung Servicepaket LKE SVC11</t>
  </si>
  <si>
    <t xml:space="preserve">109178</t>
  </si>
  <si>
    <t xml:space="preserve">111903</t>
  </si>
  <si>
    <t xml:space="preserve">107957</t>
  </si>
  <si>
    <t xml:space="preserve">Hakenschlüssel Spezial</t>
  </si>
  <si>
    <t xml:space="preserve">110876</t>
  </si>
  <si>
    <t xml:space="preserve">Muffe</t>
  </si>
  <si>
    <t xml:space="preserve">107232</t>
  </si>
  <si>
    <t xml:space="preserve">Schraubenzieher-Satz</t>
  </si>
  <si>
    <t xml:space="preserve">101121</t>
  </si>
  <si>
    <t xml:space="preserve">005387</t>
  </si>
  <si>
    <t xml:space="preserve">Übergangsteil</t>
  </si>
  <si>
    <t xml:space="preserve">108366</t>
  </si>
  <si>
    <t xml:space="preserve">Stellfuss mit Dämpfer</t>
  </si>
  <si>
    <t xml:space="preserve">103375</t>
  </si>
  <si>
    <t xml:space="preserve">103103</t>
  </si>
  <si>
    <t xml:space="preserve">107052</t>
  </si>
  <si>
    <t xml:space="preserve">Steckschlüsseleinsatz</t>
  </si>
  <si>
    <t xml:space="preserve">005227</t>
  </si>
  <si>
    <t xml:space="preserve">Pressverbinder isoliert blau</t>
  </si>
  <si>
    <t xml:space="preserve">Handlager</t>
  </si>
  <si>
    <t xml:space="preserve">105773</t>
  </si>
  <si>
    <t xml:space="preserve">109097</t>
  </si>
  <si>
    <t xml:space="preserve">Kleber A-Mass</t>
  </si>
  <si>
    <t xml:space="preserve">107302</t>
  </si>
  <si>
    <t xml:space="preserve">Ringschlüssel</t>
  </si>
  <si>
    <t xml:space="preserve">002041</t>
  </si>
  <si>
    <t xml:space="preserve">Kunststoff-Schutznetze orange</t>
  </si>
  <si>
    <t xml:space="preserve">105861</t>
  </si>
  <si>
    <t xml:space="preserve">111914</t>
  </si>
  <si>
    <t xml:space="preserve">Kupplungsgehäuse</t>
  </si>
  <si>
    <t xml:space="preserve">109327</t>
  </si>
  <si>
    <t xml:space="preserve">Kegelpfanne</t>
  </si>
  <si>
    <t xml:space="preserve">108032</t>
  </si>
  <si>
    <t xml:space="preserve">Anbauflansch - HC-B-AF</t>
  </si>
  <si>
    <t xml:space="preserve">005705</t>
  </si>
  <si>
    <t xml:space="preserve">Not-Halt-Pilzdrucktaster</t>
  </si>
  <si>
    <t xml:space="preserve">107306</t>
  </si>
  <si>
    <t xml:space="preserve">Montagepaste</t>
  </si>
  <si>
    <t xml:space="preserve">106276</t>
  </si>
  <si>
    <t xml:space="preserve">109160</t>
  </si>
  <si>
    <t xml:space="preserve">107721</t>
  </si>
  <si>
    <t xml:space="preserve">Karabiner</t>
  </si>
  <si>
    <t xml:space="preserve">109437</t>
  </si>
  <si>
    <t xml:space="preserve">107359</t>
  </si>
  <si>
    <t xml:space="preserve">107540</t>
  </si>
  <si>
    <t xml:space="preserve">Begleitschreiben, SPGr10</t>
  </si>
  <si>
    <t xml:space="preserve">005242</t>
  </si>
  <si>
    <t xml:space="preserve">SPS Analog-Eingangsmodul</t>
  </si>
  <si>
    <t xml:space="preserve">102012</t>
  </si>
  <si>
    <t xml:space="preserve">105575</t>
  </si>
  <si>
    <t xml:space="preserve">Wasserfester Filzstift</t>
  </si>
  <si>
    <t xml:space="preserve">107060</t>
  </si>
  <si>
    <t xml:space="preserve">Ringmagnet</t>
  </si>
  <si>
    <t xml:space="preserve">110683</t>
  </si>
  <si>
    <t xml:space="preserve">105862</t>
  </si>
  <si>
    <t xml:space="preserve">106244</t>
  </si>
  <si>
    <t xml:space="preserve">005397</t>
  </si>
  <si>
    <t xml:space="preserve">Putzlappen</t>
  </si>
  <si>
    <t xml:space="preserve">110096</t>
  </si>
  <si>
    <t xml:space="preserve">107104</t>
  </si>
  <si>
    <t xml:space="preserve">001043</t>
  </si>
  <si>
    <t xml:space="preserve">Verschlussbeutel klein</t>
  </si>
  <si>
    <t xml:space="preserve">103253</t>
  </si>
  <si>
    <t xml:space="preserve">Abpresszapfen</t>
  </si>
  <si>
    <t xml:space="preserve">001125</t>
  </si>
  <si>
    <t xml:space="preserve">Holzkiste Steuerschrank klein / Gestell</t>
  </si>
  <si>
    <t xml:space="preserve">002022</t>
  </si>
  <si>
    <t xml:space="preserve">Schlosserhammer</t>
  </si>
  <si>
    <t xml:space="preserve">VM00013</t>
  </si>
  <si>
    <t xml:space="preserve">P-touch Beschriftungsband TZE-641</t>
  </si>
  <si>
    <t xml:space="preserve">111912</t>
  </si>
  <si>
    <t xml:space="preserve">Kabelverschraubung</t>
  </si>
  <si>
    <t xml:space="preserve">102442</t>
  </si>
  <si>
    <t xml:space="preserve">Unterlagsscheibe</t>
  </si>
  <si>
    <t xml:space="preserve">108120</t>
  </si>
  <si>
    <t xml:space="preserve">Wartungskleber AC260</t>
  </si>
  <si>
    <t xml:space="preserve">005656</t>
  </si>
  <si>
    <t xml:space="preserve">Pop-Niete</t>
  </si>
  <si>
    <t xml:space="preserve">106989</t>
  </si>
  <si>
    <t xml:space="preserve">Austrittsfilter</t>
  </si>
  <si>
    <t xml:space="preserve">001118</t>
  </si>
  <si>
    <t xml:space="preserve">Destilliertes Wasser 20L</t>
  </si>
  <si>
    <t xml:space="preserve">109435</t>
  </si>
  <si>
    <t xml:space="preserve">107880</t>
  </si>
  <si>
    <t xml:space="preserve">108026</t>
  </si>
  <si>
    <t xml:space="preserve">105348</t>
  </si>
  <si>
    <t xml:space="preserve">100185</t>
  </si>
  <si>
    <t xml:space="preserve">Zylinderstift</t>
  </si>
  <si>
    <t xml:space="preserve">005699</t>
  </si>
  <si>
    <t xml:space="preserve">Leuchtmelder</t>
  </si>
  <si>
    <t xml:space="preserve">108204</t>
  </si>
  <si>
    <t xml:space="preserve">111031</t>
  </si>
  <si>
    <t xml:space="preserve">110883</t>
  </si>
  <si>
    <t xml:space="preserve">109061</t>
  </si>
  <si>
    <t xml:space="preserve">Adapterplatte 2. Spülluftmodul</t>
  </si>
  <si>
    <t xml:space="preserve">107160</t>
  </si>
  <si>
    <t xml:space="preserve">Unterlage SPGr16</t>
  </si>
  <si>
    <t xml:space="preserve">001033</t>
  </si>
  <si>
    <t xml:space="preserve">WD-40</t>
  </si>
  <si>
    <t xml:space="preserve">liegend gelagert</t>
  </si>
  <si>
    <t xml:space="preserve">108018</t>
  </si>
  <si>
    <t xml:space="preserve">Adapter Messing vernickelt</t>
  </si>
  <si>
    <t xml:space="preserve">002049</t>
  </si>
  <si>
    <t xml:space="preserve">Füllmaterial flo-pak</t>
  </si>
  <si>
    <t xml:space="preserve">001142</t>
  </si>
  <si>
    <t xml:space="preserve">UV-beständiger Verschlussbeutel klein</t>
  </si>
  <si>
    <t xml:space="preserve">002028</t>
  </si>
  <si>
    <t xml:space="preserve">Rollgabelschlüssel</t>
  </si>
  <si>
    <t xml:space="preserve">107244</t>
  </si>
  <si>
    <t xml:space="preserve">111907</t>
  </si>
  <si>
    <t xml:space="preserve">100413</t>
  </si>
  <si>
    <t xml:space="preserve">107126</t>
  </si>
  <si>
    <t xml:space="preserve">005676</t>
  </si>
  <si>
    <t xml:space="preserve">Industrie SD-Karte</t>
  </si>
  <si>
    <t xml:space="preserve">001031</t>
  </si>
  <si>
    <t xml:space="preserve">Lecksuchspray</t>
  </si>
  <si>
    <t xml:space="preserve">VM00012</t>
  </si>
  <si>
    <t xml:space="preserve">P-touch Beschriftungsband TZE-621</t>
  </si>
  <si>
    <t xml:space="preserve">110819</t>
  </si>
  <si>
    <t xml:space="preserve">A-BEZ</t>
  </si>
  <si>
    <t xml:space="preserve">001129</t>
  </si>
  <si>
    <t xml:space="preserve">106990</t>
  </si>
  <si>
    <t xml:space="preserve">Dichtung</t>
  </si>
  <si>
    <t xml:space="preserve">005121</t>
  </si>
  <si>
    <t xml:space="preserve">Sicherungs-Automat SC 1x16+N</t>
  </si>
  <si>
    <t xml:space="preserve">104391</t>
  </si>
  <si>
    <t xml:space="preserve">Tüllengehäuse D7</t>
  </si>
  <si>
    <t xml:space="preserve">106941</t>
  </si>
  <si>
    <t xml:space="preserve">Einspeisebusmodul</t>
  </si>
  <si>
    <t xml:space="preserve">005133</t>
  </si>
  <si>
    <t xml:space="preserve">SPS Stromversorgung 24VDC / 2.5A</t>
  </si>
  <si>
    <t xml:space="preserve">107109</t>
  </si>
  <si>
    <t xml:space="preserve">106968</t>
  </si>
  <si>
    <t xml:space="preserve">Feldklemme</t>
  </si>
  <si>
    <t xml:space="preserve">110022</t>
  </si>
  <si>
    <t xml:space="preserve">105306</t>
  </si>
  <si>
    <t xml:space="preserve">005203</t>
  </si>
  <si>
    <t xml:space="preserve">Druckregelstrecke CH4</t>
  </si>
  <si>
    <t xml:space="preserve">001041</t>
  </si>
  <si>
    <t xml:space="preserve">Verschlussbeutel mittel</t>
  </si>
  <si>
    <t xml:space="preserve">001131</t>
  </si>
  <si>
    <t xml:space="preserve">101003</t>
  </si>
  <si>
    <t xml:space="preserve">101539</t>
  </si>
  <si>
    <t xml:space="preserve">109283</t>
  </si>
  <si>
    <t xml:space="preserve">Verpackung Servicepaket LKE SVC12</t>
  </si>
  <si>
    <t xml:space="preserve">001195</t>
  </si>
  <si>
    <t xml:space="preserve">Abdrückschraube</t>
  </si>
  <si>
    <t xml:space="preserve">001113</t>
  </si>
  <si>
    <t xml:space="preserve">Faltrahmen</t>
  </si>
  <si>
    <t xml:space="preserve">103486</t>
  </si>
  <si>
    <t xml:space="preserve">Schild EP</t>
  </si>
  <si>
    <t xml:space="preserve">108943</t>
  </si>
  <si>
    <t xml:space="preserve">001158</t>
  </si>
  <si>
    <t xml:space="preserve">Industrie Etikett PVC, weiss 100x45mm</t>
  </si>
  <si>
    <t xml:space="preserve">Verb.Lager</t>
  </si>
  <si>
    <t xml:space="preserve">108698</t>
  </si>
  <si>
    <t xml:space="preserve">Schwenkstutzen</t>
  </si>
  <si>
    <t xml:space="preserve">005140</t>
  </si>
  <si>
    <t xml:space="preserve">Leuchtdrucktaster</t>
  </si>
  <si>
    <t xml:space="preserve">001153</t>
  </si>
  <si>
    <t xml:space="preserve">Kabelbinder transparent (weiss)</t>
  </si>
  <si>
    <t xml:space="preserve">106136</t>
  </si>
  <si>
    <t xml:space="preserve">107134</t>
  </si>
  <si>
    <t xml:space="preserve">Führungsbüchse</t>
  </si>
  <si>
    <t xml:space="preserve">108069</t>
  </si>
  <si>
    <t xml:space="preserve">Sicherheitsventil 1. Stufe AC260</t>
  </si>
  <si>
    <t xml:space="preserve">109481</t>
  </si>
  <si>
    <t xml:space="preserve">108030</t>
  </si>
  <si>
    <t xml:space="preserve">111768</t>
  </si>
  <si>
    <t xml:space="preserve">100040</t>
  </si>
  <si>
    <t xml:space="preserve">106115</t>
  </si>
  <si>
    <t xml:space="preserve">005632</t>
  </si>
  <si>
    <t xml:space="preserve">Schaltschrank-Schlüssel</t>
  </si>
  <si>
    <t xml:space="preserve">110649</t>
  </si>
  <si>
    <t xml:space="preserve">106907</t>
  </si>
  <si>
    <t xml:space="preserve">Basis Busmodul</t>
  </si>
  <si>
    <t xml:space="preserve">109174</t>
  </si>
  <si>
    <t xml:space="preserve">002072</t>
  </si>
  <si>
    <t xml:space="preserve">Nylon-Strickhandschuh</t>
  </si>
  <si>
    <t xml:space="preserve">110869</t>
  </si>
  <si>
    <t xml:space="preserve">002065</t>
  </si>
  <si>
    <t xml:space="preserve">Batterie AA</t>
  </si>
  <si>
    <t xml:space="preserve">110955</t>
  </si>
  <si>
    <t xml:space="preserve">Stiftschraube</t>
  </si>
  <si>
    <t xml:space="preserve">100402</t>
  </si>
  <si>
    <t xml:space="preserve">Rohrleitung</t>
  </si>
  <si>
    <t xml:space="preserve">108368</t>
  </si>
  <si>
    <t xml:space="preserve">Lenkrolle mit Feststeller</t>
  </si>
  <si>
    <t xml:space="preserve">107234</t>
  </si>
  <si>
    <t xml:space="preserve">Klingenmesser</t>
  </si>
  <si>
    <t xml:space="preserve">108044</t>
  </si>
  <si>
    <t xml:space="preserve">111992</t>
  </si>
  <si>
    <t xml:space="preserve">Aufkleber Gehörschutzsymbol</t>
  </si>
  <si>
    <t xml:space="preserve">107701</t>
  </si>
  <si>
    <t xml:space="preserve">Ringeinsatz</t>
  </si>
  <si>
    <t xml:space="preserve">111916</t>
  </si>
  <si>
    <t xml:space="preserve">002048</t>
  </si>
  <si>
    <t xml:space="preserve">Metallsägeband</t>
  </si>
  <si>
    <t xml:space="preserve">110130</t>
  </si>
  <si>
    <t xml:space="preserve">005633</t>
  </si>
  <si>
    <t xml:space="preserve">Schiebemutter M8</t>
  </si>
  <si>
    <t xml:space="preserve">005451</t>
  </si>
  <si>
    <t xml:space="preserve">Aderendhülse isoliert pink</t>
  </si>
  <si>
    <t xml:space="preserve">111908</t>
  </si>
  <si>
    <t xml:space="preserve">Reduzieradapter</t>
  </si>
  <si>
    <t xml:space="preserve">106746</t>
  </si>
  <si>
    <t xml:space="preserve">107661</t>
  </si>
  <si>
    <t xml:space="preserve">Etikette Ölwechsel</t>
  </si>
  <si>
    <t xml:space="preserve">103765</t>
  </si>
  <si>
    <t xml:space="preserve">103266</t>
  </si>
  <si>
    <t xml:space="preserve">107198</t>
  </si>
  <si>
    <t xml:space="preserve">Abdeckung</t>
  </si>
  <si>
    <t xml:space="preserve">001152</t>
  </si>
  <si>
    <t xml:space="preserve">110867</t>
  </si>
  <si>
    <t xml:space="preserve">L-Adapter</t>
  </si>
  <si>
    <t xml:space="preserve">002008</t>
  </si>
  <si>
    <t xml:space="preserve">Schraubenzieher flach</t>
  </si>
  <si>
    <t xml:space="preserve">104265</t>
  </si>
  <si>
    <t xml:space="preserve">110871</t>
  </si>
  <si>
    <t xml:space="preserve">Winkelverschraubung</t>
  </si>
  <si>
    <t xml:space="preserve">001132</t>
  </si>
  <si>
    <t xml:space="preserve">107715</t>
  </si>
  <si>
    <t xml:space="preserve">106947</t>
  </si>
  <si>
    <t xml:space="preserve">Busmodul für X20 SafeIO Module</t>
  </si>
  <si>
    <t xml:space="preserve">100175</t>
  </si>
  <si>
    <t xml:space="preserve">005709</t>
  </si>
  <si>
    <t xml:space="preserve">Thermischer Geräteschutzschalter</t>
  </si>
  <si>
    <t xml:space="preserve">108272</t>
  </si>
  <si>
    <t xml:space="preserve">Etikette Ölwechsel AC215</t>
  </si>
  <si>
    <t xml:space="preserve">001139</t>
  </si>
  <si>
    <t xml:space="preserve">Klammern Typ G</t>
  </si>
  <si>
    <t xml:space="preserve">108346</t>
  </si>
  <si>
    <t xml:space="preserve">Blech zu PAM Verteilerbox</t>
  </si>
  <si>
    <t xml:space="preserve">110311</t>
  </si>
  <si>
    <t xml:space="preserve">107399</t>
  </si>
  <si>
    <t xml:space="preserve">Ventilkabel Luft</t>
  </si>
  <si>
    <t xml:space="preserve">105850</t>
  </si>
  <si>
    <t xml:space="preserve">Dummy Ersatz</t>
  </si>
  <si>
    <t xml:space="preserve">100266</t>
  </si>
  <si>
    <t xml:space="preserve">111239</t>
  </si>
  <si>
    <t xml:space="preserve">105989</t>
  </si>
  <si>
    <t xml:space="preserve">005710</t>
  </si>
  <si>
    <t xml:space="preserve">Steuerschalter</t>
  </si>
  <si>
    <t xml:space="preserve">101496</t>
  </si>
  <si>
    <t xml:space="preserve">005622</t>
  </si>
  <si>
    <t xml:space="preserve">Kantenschutzband schwarz</t>
  </si>
  <si>
    <t xml:space="preserve">001194</t>
  </si>
  <si>
    <t xml:space="preserve">PVC Klebeband</t>
  </si>
  <si>
    <t xml:space="preserve">105349</t>
  </si>
  <si>
    <t xml:space="preserve">109752</t>
  </si>
  <si>
    <t xml:space="preserve">110286</t>
  </si>
  <si>
    <t xml:space="preserve">Pinsel gross</t>
  </si>
  <si>
    <t xml:space="preserve">110771</t>
  </si>
  <si>
    <t xml:space="preserve">111224</t>
  </si>
  <si>
    <t xml:space="preserve">Korrosionsschutzmittel</t>
  </si>
  <si>
    <t xml:space="preserve">111090</t>
  </si>
  <si>
    <t xml:space="preserve">100044</t>
  </si>
  <si>
    <t xml:space="preserve">005500</t>
  </si>
  <si>
    <t xml:space="preserve">Einphasen-Sicherheitstrafo</t>
  </si>
  <si>
    <t xml:space="preserve">005642</t>
  </si>
  <si>
    <t xml:space="preserve">Netzwerkkabel</t>
  </si>
  <si>
    <t xml:space="preserve">107213</t>
  </si>
  <si>
    <t xml:space="preserve">100286</t>
  </si>
  <si>
    <t xml:space="preserve">105341</t>
  </si>
  <si>
    <t xml:space="preserve">111650</t>
  </si>
  <si>
    <t xml:space="preserve">Körner</t>
  </si>
  <si>
    <t xml:space="preserve">111728</t>
  </si>
  <si>
    <t xml:space="preserve">Kardangelenk</t>
  </si>
  <si>
    <t xml:space="preserve">110879</t>
  </si>
  <si>
    <t xml:space="preserve">Prüfadapter</t>
  </si>
  <si>
    <t xml:space="preserve">111729</t>
  </si>
  <si>
    <t xml:space="preserve">Scotch-Brite Handpad</t>
  </si>
  <si>
    <t xml:space="preserve">005389</t>
  </si>
  <si>
    <t xml:space="preserve">108149</t>
  </si>
  <si>
    <t xml:space="preserve">100642</t>
  </si>
  <si>
    <t xml:space="preserve">Winkelverschraubung Edelstahl</t>
  </si>
  <si>
    <t xml:space="preserve">110821</t>
  </si>
  <si>
    <t xml:space="preserve">100903</t>
  </si>
  <si>
    <t xml:space="preserve">001200</t>
  </si>
  <si>
    <t xml:space="preserve">Luftpolsterfolie</t>
  </si>
  <si>
    <t xml:space="preserve">VM00014</t>
  </si>
  <si>
    <t xml:space="preserve">Versand-Etiketten</t>
  </si>
  <si>
    <t xml:space="preserve">106451</t>
  </si>
  <si>
    <t xml:space="preserve">109952</t>
  </si>
  <si>
    <t xml:space="preserve">Klemmenblock X6.2</t>
  </si>
  <si>
    <t xml:space="preserve">106742</t>
  </si>
  <si>
    <t xml:space="preserve">Ventilkabel</t>
  </si>
  <si>
    <t xml:space="preserve">106703</t>
  </si>
  <si>
    <t xml:space="preserve">002032</t>
  </si>
  <si>
    <t xml:space="preserve">Ringgabelschlüssel</t>
  </si>
  <si>
    <t xml:space="preserve">005597</t>
  </si>
  <si>
    <t xml:space="preserve">Schraubkappe</t>
  </si>
  <si>
    <t xml:space="preserve">109179</t>
  </si>
  <si>
    <t xml:space="preserve">107312</t>
  </si>
  <si>
    <t xml:space="preserve">Begleitschreiben</t>
  </si>
  <si>
    <t xml:space="preserve">107301</t>
  </si>
  <si>
    <t xml:space="preserve">Ventilkopfschlüssel</t>
  </si>
  <si>
    <t xml:space="preserve">110870</t>
  </si>
  <si>
    <t xml:space="preserve">005393</t>
  </si>
  <si>
    <t xml:space="preserve">005396</t>
  </si>
  <si>
    <t xml:space="preserve">Verlängerungsrohr</t>
  </si>
  <si>
    <t xml:space="preserve">108025</t>
  </si>
  <si>
    <t xml:space="preserve">005462</t>
  </si>
  <si>
    <t xml:space="preserve">101453</t>
  </si>
  <si>
    <t xml:space="preserve">106291</t>
  </si>
  <si>
    <t xml:space="preserve">109180</t>
  </si>
  <si>
    <t xml:space="preserve">111057</t>
  </si>
  <si>
    <t xml:space="preserve">Stossverbinder</t>
  </si>
  <si>
    <t xml:space="preserve">108413</t>
  </si>
  <si>
    <t xml:space="preserve">Box für Kleinmaterial</t>
  </si>
  <si>
    <t xml:space="preserve">005437</t>
  </si>
  <si>
    <t xml:space="preserve">Halteschrauben zu Filterhülse</t>
  </si>
  <si>
    <t xml:space="preserve">005228</t>
  </si>
  <si>
    <t xml:space="preserve">Presskabelschuh blau</t>
  </si>
  <si>
    <t xml:space="preserve">110872</t>
  </si>
  <si>
    <t xml:space="preserve">106617</t>
  </si>
  <si>
    <t xml:space="preserve">107113</t>
  </si>
  <si>
    <t xml:space="preserve">Teflonband</t>
  </si>
  <si>
    <t xml:space="preserve">005439</t>
  </si>
  <si>
    <t xml:space="preserve">Halteschrauben zu Filterscheiben</t>
  </si>
  <si>
    <t xml:space="preserve">100089</t>
  </si>
  <si>
    <t xml:space="preserve">005635</t>
  </si>
  <si>
    <t xml:space="preserve">108143</t>
  </si>
  <si>
    <t xml:space="preserve">106095</t>
  </si>
  <si>
    <t xml:space="preserve">106491</t>
  </si>
  <si>
    <t xml:space="preserve">107664</t>
  </si>
  <si>
    <t xml:space="preserve">107667</t>
  </si>
  <si>
    <t xml:space="preserve">103753</t>
  </si>
  <si>
    <t xml:space="preserve">100157</t>
  </si>
  <si>
    <t xml:space="preserve">Halbrund-Kerbnagel</t>
  </si>
  <si>
    <t xml:space="preserve">111730</t>
  </si>
  <si>
    <t xml:space="preserve">Gurtrohrzange</t>
  </si>
  <si>
    <t xml:space="preserve">005453</t>
  </si>
  <si>
    <t xml:space="preserve">Aderendhülse ohne Isolation</t>
  </si>
  <si>
    <t xml:space="preserve">005762</t>
  </si>
  <si>
    <t xml:space="preserve">Zugfederklemme</t>
  </si>
  <si>
    <t xml:space="preserve">107538</t>
  </si>
  <si>
    <t xml:space="preserve">005456</t>
  </si>
  <si>
    <t xml:space="preserve">Aderendhülse isoliert rot</t>
  </si>
  <si>
    <t xml:space="preserve">102438</t>
  </si>
  <si>
    <t xml:space="preserve">111723</t>
  </si>
  <si>
    <t xml:space="preserve">Verlaengerung</t>
  </si>
  <si>
    <t xml:space="preserve">111646</t>
  </si>
  <si>
    <t xml:space="preserve">110868</t>
  </si>
  <si>
    <t xml:space="preserve">108040</t>
  </si>
  <si>
    <t xml:space="preserve">110889</t>
  </si>
  <si>
    <t xml:space="preserve">Flachdichtring</t>
  </si>
  <si>
    <t xml:space="preserve">105339</t>
  </si>
  <si>
    <t xml:space="preserve">108642</t>
  </si>
  <si>
    <t xml:space="preserve">Sensor-/Aktor -Kabel</t>
  </si>
  <si>
    <t xml:space="preserve">100896</t>
  </si>
  <si>
    <t xml:space="preserve">111647</t>
  </si>
  <si>
    <t xml:space="preserve">107543</t>
  </si>
  <si>
    <t xml:space="preserve">108498</t>
  </si>
  <si>
    <t xml:space="preserve">100385</t>
  </si>
  <si>
    <t xml:space="preserve">111240</t>
  </si>
  <si>
    <t xml:space="preserve">002026</t>
  </si>
  <si>
    <t xml:space="preserve">Schraubenzieher</t>
  </si>
  <si>
    <t xml:space="preserve">005255</t>
  </si>
  <si>
    <t xml:space="preserve">100263</t>
  </si>
  <si>
    <t xml:space="preserve">Gewindestift</t>
  </si>
  <si>
    <t xml:space="preserve">001156</t>
  </si>
  <si>
    <t xml:space="preserve">Kabelbinder schwarz</t>
  </si>
  <si>
    <t xml:space="preserve">107313</t>
  </si>
  <si>
    <t xml:space="preserve">111648</t>
  </si>
  <si>
    <t xml:space="preserve">106478</t>
  </si>
  <si>
    <t xml:space="preserve">106969</t>
  </si>
  <si>
    <t xml:space="preserve">001143</t>
  </si>
  <si>
    <t xml:space="preserve">UV-beständiger Verschlussbeutel mittel</t>
  </si>
  <si>
    <t xml:space="preserve">005708</t>
  </si>
  <si>
    <t xml:space="preserve">Kontaktmodul</t>
  </si>
  <si>
    <t xml:space="preserve">110985</t>
  </si>
  <si>
    <t xml:space="preserve">106999</t>
  </si>
  <si>
    <t xml:space="preserve">Leuchtmelder Kunststoff, weiss</t>
  </si>
  <si>
    <t xml:space="preserve">überbestand</t>
  </si>
  <si>
    <t xml:space="preserve">102445</t>
  </si>
  <si>
    <t xml:space="preserve">005261</t>
  </si>
  <si>
    <t xml:space="preserve">108047</t>
  </si>
  <si>
    <t xml:space="preserve">Halbrundkopfschraube mit Innensechskant</t>
  </si>
  <si>
    <t xml:space="preserve">100172</t>
  </si>
  <si>
    <t xml:space="preserve">005761</t>
  </si>
  <si>
    <t xml:space="preserve">102437</t>
  </si>
  <si>
    <t xml:space="preserve">110966</t>
  </si>
  <si>
    <t xml:space="preserve">Batterie</t>
  </si>
  <si>
    <t xml:space="preserve">108568</t>
  </si>
  <si>
    <t xml:space="preserve">102436</t>
  </si>
  <si>
    <t xml:space="preserve">Etikett</t>
  </si>
  <si>
    <t xml:space="preserve">108269</t>
  </si>
  <si>
    <t xml:space="preserve">Wartungskleber AC200</t>
  </si>
  <si>
    <t xml:space="preserve">110815</t>
  </si>
  <si>
    <t xml:space="preserve">Senkschraube mit Innensechskant</t>
  </si>
  <si>
    <t xml:space="preserve">101657</t>
  </si>
  <si>
    <t xml:space="preserve">Überwurfmutter</t>
  </si>
  <si>
    <t xml:space="preserve">101449</t>
  </si>
  <si>
    <t xml:space="preserve">Twin; grosse  Artikelmenge</t>
  </si>
  <si>
    <t xml:space="preserve">105882</t>
  </si>
  <si>
    <t xml:space="preserve">110127</t>
  </si>
  <si>
    <t xml:space="preserve">Beiblatt</t>
  </si>
  <si>
    <t xml:space="preserve">110820</t>
  </si>
  <si>
    <t xml:space="preserve">111470</t>
  </si>
  <si>
    <t xml:space="preserve">Patchkabel</t>
  </si>
  <si>
    <t xml:space="preserve">005637</t>
  </si>
  <si>
    <t xml:space="preserve">001133</t>
  </si>
  <si>
    <t xml:space="preserve">Schraubendreher Einsatz SPAX T-Plus</t>
  </si>
  <si>
    <t xml:space="preserve">101656</t>
  </si>
  <si>
    <t xml:space="preserve">Schlauchnippel</t>
  </si>
  <si>
    <t xml:space="preserve">105881</t>
  </si>
  <si>
    <t xml:space="preserve">110970</t>
  </si>
  <si>
    <t xml:space="preserve">101646</t>
  </si>
  <si>
    <t xml:space="preserve">102398</t>
  </si>
  <si>
    <t xml:space="preserve">005641</t>
  </si>
  <si>
    <t xml:space="preserve">002021</t>
  </si>
  <si>
    <t xml:space="preserve">Schraubenzieher kreuz</t>
  </si>
  <si>
    <t xml:space="preserve">005809</t>
  </si>
  <si>
    <t xml:space="preserve">Schutzkappe</t>
  </si>
  <si>
    <t xml:space="preserve">109722</t>
  </si>
  <si>
    <t xml:space="preserve">110287</t>
  </si>
  <si>
    <t xml:space="preserve">Pinsel klein</t>
  </si>
  <si>
    <t xml:space="preserve">005614</t>
  </si>
  <si>
    <t xml:space="preserve">103681</t>
  </si>
  <si>
    <t xml:space="preserve">102509</t>
  </si>
  <si>
    <t xml:space="preserve">105454</t>
  </si>
  <si>
    <t xml:space="preserve">111576</t>
  </si>
  <si>
    <t xml:space="preserve">Checkliste Service 7k, SPGr10</t>
  </si>
  <si>
    <t xml:space="preserve">111580</t>
  </si>
  <si>
    <t xml:space="preserve">Checkliste Service 28k, SPGr16</t>
  </si>
  <si>
    <t xml:space="preserve">104476</t>
  </si>
  <si>
    <t xml:space="preserve">111579</t>
  </si>
  <si>
    <t xml:space="preserve">Checkliste Service 14k, SPGr16</t>
  </si>
  <si>
    <t xml:space="preserve">106623</t>
  </si>
  <si>
    <t xml:space="preserve">Splint</t>
  </si>
  <si>
    <t xml:space="preserve">111577</t>
  </si>
  <si>
    <t xml:space="preserve">Checkliste Service 28k, SPGr10</t>
  </si>
  <si>
    <t xml:space="preserve">106614</t>
  </si>
  <si>
    <t xml:space="preserve">100704</t>
  </si>
  <si>
    <t xml:space="preserve">110969</t>
  </si>
  <si>
    <t xml:space="preserve">111578</t>
  </si>
  <si>
    <t xml:space="preserve">Checkliste Service 7k, SPGr16</t>
  </si>
  <si>
    <t xml:space="preserve">109069</t>
  </si>
  <si>
    <t xml:space="preserve">106343</t>
  </si>
  <si>
    <t xml:space="preserve">109937</t>
  </si>
  <si>
    <t xml:space="preserve">102477</t>
  </si>
  <si>
    <t xml:space="preserve">005374</t>
  </si>
  <si>
    <t xml:space="preserve">110124</t>
  </si>
  <si>
    <t xml:space="preserve">110818</t>
  </si>
  <si>
    <t xml:space="preserve">Plattenschieber Petrobras SPGr16</t>
  </si>
  <si>
    <t xml:space="preserve">110760</t>
  </si>
  <si>
    <t xml:space="preserve">110965</t>
  </si>
  <si>
    <t xml:space="preserve">Durchgangsprüfgerät</t>
  </si>
  <si>
    <t xml:space="preserve">005072</t>
  </si>
  <si>
    <t xml:space="preserve">005080</t>
  </si>
  <si>
    <t xml:space="preserve">110897</t>
  </si>
  <si>
    <t xml:space="preserve">Gewindestange</t>
  </si>
  <si>
    <t xml:space="preserve">110881</t>
  </si>
  <si>
    <t xml:space="preserve">Messleitung</t>
  </si>
  <si>
    <t xml:space="preserve">110880</t>
  </si>
  <si>
    <t xml:space="preserve">110791</t>
  </si>
  <si>
    <t xml:space="preserve">110898</t>
  </si>
  <si>
    <t xml:space="preserve">ZE-000001</t>
  </si>
  <si>
    <t xml:space="preserve">EP Zertifikat</t>
  </si>
  <si>
    <t xml:space="preserve">110789</t>
  </si>
  <si>
    <t xml:space="preserve">VM00016</t>
  </si>
  <si>
    <t xml:space="preserve">Rohrschutzkappe</t>
  </si>
  <si>
    <t xml:space="preserve">EK-TV</t>
  </si>
  <si>
    <t xml:space="preserve">VM-000001</t>
  </si>
  <si>
    <t xml:space="preserve">AVERY ZWECKFORM ultragrip Etiketten</t>
  </si>
  <si>
    <t xml:space="preserve">110902</t>
  </si>
  <si>
    <t xml:space="preserve">110778</t>
  </si>
  <si>
    <t xml:space="preserve">Adapter SPGr10 geschweisst Petrobras</t>
  </si>
  <si>
    <t xml:space="preserve">110998</t>
  </si>
  <si>
    <t xml:space="preserve">110844</t>
  </si>
  <si>
    <t xml:space="preserve">Dichtung externe Stahlstruktur SPGr16</t>
  </si>
  <si>
    <t xml:space="preserve">111010</t>
  </si>
  <si>
    <t xml:space="preserve">Dichtung externe Stahlstruktur SPGr10</t>
  </si>
  <si>
    <t xml:space="preserve">109872</t>
  </si>
  <si>
    <t xml:space="preserve">111370</t>
  </si>
  <si>
    <t xml:space="preserve">SPC800 Coupler</t>
  </si>
  <si>
    <t xml:space="preserve">110764</t>
  </si>
  <si>
    <t xml:space="preserve">111719</t>
  </si>
  <si>
    <t xml:space="preserve">Führungsstange verlängert</t>
  </si>
  <si>
    <t xml:space="preserve">110788</t>
  </si>
  <si>
    <t xml:space="preserve">Kompensator Petrobras SPGr10</t>
  </si>
  <si>
    <t xml:space="preserve">110790</t>
  </si>
  <si>
    <t xml:space="preserve">Plattenschieber Petrobras SPGr10</t>
  </si>
  <si>
    <t xml:space="preserve">109977</t>
  </si>
  <si>
    <t xml:space="preserve">110816</t>
  </si>
  <si>
    <t xml:space="preserve">Adapter SPGr16 geschweisst Petrobras</t>
  </si>
  <si>
    <t xml:space="preserve">110831</t>
  </si>
  <si>
    <t xml:space="preserve">110651</t>
  </si>
  <si>
    <t xml:space="preserve">Temperatursensor PT100</t>
  </si>
  <si>
    <t xml:space="preserve">OC-108317</t>
  </si>
  <si>
    <t xml:space="preserve">Ventilpanel SPGr 4 Block oDT Spezial</t>
  </si>
  <si>
    <t xml:space="preserve">110688</t>
  </si>
  <si>
    <t xml:space="preserve">Austrittsdüse SPGr10 Strasbourg</t>
  </si>
  <si>
    <t xml:space="preserve">VM00011</t>
  </si>
  <si>
    <t xml:space="preserve">Umreifungsband</t>
  </si>
  <si>
    <t xml:space="preserve">110724</t>
  </si>
  <si>
    <t xml:space="preserve">Zwischenrohr SPGr16</t>
  </si>
  <si>
    <t xml:space="preserve">VM00015</t>
  </si>
  <si>
    <t xml:space="preserve">110753</t>
  </si>
  <si>
    <t xml:space="preserve">110759</t>
  </si>
  <si>
    <t xml:space="preserve">Kompensator Petrobras SPGr16</t>
  </si>
  <si>
    <t xml:space="preserve">109910</t>
  </si>
  <si>
    <t xml:space="preserve">DIN Schienen-Kit</t>
  </si>
  <si>
    <t xml:space="preserve">109148</t>
  </si>
  <si>
    <t xml:space="preserve">108444</t>
  </si>
  <si>
    <t xml:space="preserve">107896</t>
  </si>
  <si>
    <t xml:space="preserve">Luftkompressor AC260</t>
  </si>
  <si>
    <t xml:space="preserve">107668</t>
  </si>
  <si>
    <t xml:space="preserve">Tasche</t>
  </si>
  <si>
    <t xml:space="preserve">107984</t>
  </si>
  <si>
    <t xml:space="preserve">Spülluftmodul</t>
  </si>
  <si>
    <t xml:space="preserve">(leer)</t>
  </si>
  <si>
    <t xml:space="preserve">106293</t>
  </si>
  <si>
    <t xml:space="preserve">106364</t>
  </si>
  <si>
    <t xml:space="preserve">Temperaturfühler PT100</t>
  </si>
  <si>
    <t xml:space="preserve">106993</t>
  </si>
  <si>
    <t xml:space="preserve">Leitungsschutzschalter 4A</t>
  </si>
  <si>
    <t xml:space="preserve">105675</t>
  </si>
  <si>
    <t xml:space="preserve">Gestell mit Boden</t>
  </si>
  <si>
    <t xml:space="preserve">107199</t>
  </si>
  <si>
    <t xml:space="preserve">Klemmkasten</t>
  </si>
  <si>
    <t xml:space="preserve">106467</t>
  </si>
  <si>
    <t xml:space="preserve">Proportionalventil</t>
  </si>
  <si>
    <t xml:space="preserve">107225</t>
  </si>
  <si>
    <t xml:space="preserve">Werkzeugkiste</t>
  </si>
  <si>
    <t xml:space="preserve">106472</t>
  </si>
  <si>
    <t xml:space="preserve">Kugelhahn</t>
  </si>
  <si>
    <t xml:space="preserve">106260</t>
  </si>
  <si>
    <t xml:space="preserve">Neu; gehört nicht ins KTL</t>
  </si>
  <si>
    <t xml:space="preserve">106887</t>
  </si>
  <si>
    <t xml:space="preserve">Gestell ohne Fuss</t>
  </si>
  <si>
    <t xml:space="preserve">Steuerschrank &amp; Gestell</t>
  </si>
  <si>
    <t xml:space="preserve">105718</t>
  </si>
  <si>
    <t xml:space="preserve">Steuerschrank BASE</t>
  </si>
  <si>
    <t xml:space="preserve">106886</t>
  </si>
  <si>
    <t xml:space="preserve">105719</t>
  </si>
  <si>
    <t xml:space="preserve">Steuerschrank SUB</t>
  </si>
  <si>
    <t xml:space="preserve">101652</t>
  </si>
  <si>
    <t xml:space="preserve">104473</t>
  </si>
  <si>
    <t xml:space="preserve">103269</t>
  </si>
  <si>
    <t xml:space="preserve">Aufhängung zu vertikaler Aufhängung</t>
  </si>
  <si>
    <t xml:space="preserve">005791</t>
  </si>
  <si>
    <t xml:space="preserve">2/2 Wege Magnetventil NO</t>
  </si>
  <si>
    <t xml:space="preserve">103730</t>
  </si>
  <si>
    <t xml:space="preserve">101750</t>
  </si>
  <si>
    <t xml:space="preserve">Rohr Anschweissstück DN125</t>
  </si>
  <si>
    <t xml:space="preserve">104212</t>
  </si>
  <si>
    <t xml:space="preserve">104169</t>
  </si>
  <si>
    <t xml:space="preserve">Steuerschrank EG101-DF ADV</t>
  </si>
  <si>
    <t xml:space="preserve">102520</t>
  </si>
  <si>
    <t xml:space="preserve">104238</t>
  </si>
  <si>
    <t xml:space="preserve">Steckerset (Kabel Kundenseitig)</t>
  </si>
  <si>
    <t xml:space="preserve">100152</t>
  </si>
  <si>
    <t xml:space="preserve">104474</t>
  </si>
  <si>
    <t xml:space="preserve">102835</t>
  </si>
  <si>
    <t xml:space="preserve">103265</t>
  </si>
  <si>
    <t xml:space="preserve">Platte, vertikale Aufhängung EG10 Serie</t>
  </si>
  <si>
    <t xml:space="preserve">102522</t>
  </si>
  <si>
    <t xml:space="preserve">002073</t>
  </si>
  <si>
    <t xml:space="preserve">001203</t>
  </si>
  <si>
    <t xml:space="preserve">Holzkiste SPGr10 + SPC800 Luft &amp; See</t>
  </si>
  <si>
    <t xml:space="preserve">005599</t>
  </si>
  <si>
    <t xml:space="preserve">Blitzleuchte (ohne Schallgeber)</t>
  </si>
  <si>
    <t xml:space="preserve">005067</t>
  </si>
  <si>
    <t xml:space="preserve">Hochdruck-Ganzmetallschlauch O2</t>
  </si>
  <si>
    <t xml:space="preserve">005661</t>
  </si>
  <si>
    <t xml:space="preserve">Drahtwirbelzange</t>
  </si>
  <si>
    <t xml:space="preserve">005567</t>
  </si>
  <si>
    <t xml:space="preserve">Adapter G-1/2"-a auf NPT 1/4"i</t>
  </si>
  <si>
    <t xml:space="preserve">002071</t>
  </si>
  <si>
    <t xml:space="preserve">005486</t>
  </si>
  <si>
    <t xml:space="preserve">Reduzierverschraubung</t>
  </si>
  <si>
    <t xml:space="preserve">001193</t>
  </si>
  <si>
    <t xml:space="preserve">Werkzeugkiste PM&amp;SV</t>
  </si>
  <si>
    <t xml:space="preserve">005391</t>
  </si>
  <si>
    <t xml:space="preserve">005106</t>
  </si>
  <si>
    <t xml:space="preserve">CF-Karte</t>
  </si>
  <si>
    <t xml:space="preserve">005066</t>
  </si>
  <si>
    <t xml:space="preserve">005568</t>
  </si>
  <si>
    <t xml:space="preserve">Eingangsadapter 1/4"NPT-a/G1/2"-a konus</t>
  </si>
  <si>
    <t xml:space="preserve">002064</t>
  </si>
  <si>
    <t xml:space="preserve">Sichtlagerkasten gross</t>
  </si>
  <si>
    <t xml:space="preserve">005085</t>
  </si>
  <si>
    <t xml:space="preserve">SPS Grundgerät EG104/EG106</t>
  </si>
  <si>
    <t xml:space="preserve">Ohne Fuss</t>
  </si>
  <si>
    <t xml:space="preserve">005283</t>
  </si>
  <si>
    <t xml:space="preserve">Durchgangsventil</t>
  </si>
  <si>
    <t xml:space="preserve">005183</t>
  </si>
  <si>
    <t xml:space="preserve">Ventilsteuerschrank</t>
  </si>
  <si>
    <t xml:space="preserve">110030</t>
  </si>
  <si>
    <t xml:space="preserve">Service Checklist SPGr16 SVC2</t>
  </si>
  <si>
    <t xml:space="preserve">106851</t>
  </si>
  <si>
    <t xml:space="preserve">gehört nicht ins KTL</t>
  </si>
  <si>
    <t xml:space="preserve">001018_0XL</t>
  </si>
  <si>
    <t xml:space="preserve">Kapuzen-Sweatshirt</t>
  </si>
  <si>
    <t xml:space="preserve">BEKLEI</t>
  </si>
  <si>
    <t xml:space="preserve">Kleidung</t>
  </si>
  <si>
    <t xml:space="preserve">110901</t>
  </si>
  <si>
    <t xml:space="preserve">107861</t>
  </si>
  <si>
    <t xml:space="preserve">109501</t>
  </si>
  <si>
    <t xml:space="preserve">107193</t>
  </si>
  <si>
    <t xml:space="preserve">Servicepaket SPGr16 SVC1</t>
  </si>
  <si>
    <t xml:space="preserve">SVC Verpackung</t>
  </si>
  <si>
    <t xml:space="preserve">107191</t>
  </si>
  <si>
    <t xml:space="preserve">Servicepaket SPGr10 SVC1</t>
  </si>
  <si>
    <t xml:space="preserve">104049</t>
  </si>
  <si>
    <t xml:space="preserve">109966</t>
  </si>
  <si>
    <t xml:space="preserve">Handbuch Luftkompressor AC260 DE</t>
  </si>
  <si>
    <t xml:space="preserve">110028</t>
  </si>
  <si>
    <t xml:space="preserve">Service Checklist SPGr10 SVC2</t>
  </si>
  <si>
    <t xml:space="preserve">109967</t>
  </si>
  <si>
    <t xml:space="preserve">Handbuch Luftkompressor AC260 IT</t>
  </si>
  <si>
    <t xml:space="preserve">109970</t>
  </si>
  <si>
    <t xml:space="preserve">Handbuch Luftkompressor AC260 EN</t>
  </si>
  <si>
    <t xml:space="preserve">106485</t>
  </si>
  <si>
    <t xml:space="preserve">102377</t>
  </si>
  <si>
    <t xml:space="preserve">101632</t>
  </si>
  <si>
    <t xml:space="preserve">100899</t>
  </si>
  <si>
    <t xml:space="preserve">Federring</t>
  </si>
  <si>
    <t xml:space="preserve">106344</t>
  </si>
  <si>
    <t xml:space="preserve">107852</t>
  </si>
  <si>
    <t xml:space="preserve">102093</t>
  </si>
  <si>
    <t xml:space="preserve">102439</t>
  </si>
  <si>
    <t xml:space="preserve">110027</t>
  </si>
  <si>
    <t xml:space="preserve">Service Checklist SPGr10 SVC1</t>
  </si>
  <si>
    <t xml:space="preserve">101631</t>
  </si>
  <si>
    <t xml:space="preserve">106606</t>
  </si>
  <si>
    <t xml:space="preserve">005226</t>
  </si>
  <si>
    <t xml:space="preserve">Zündkabel schwarz</t>
  </si>
  <si>
    <t xml:space="preserve">100262</t>
  </si>
  <si>
    <t xml:space="preserve">110029</t>
  </si>
  <si>
    <t xml:space="preserve">Service Checklist SPGr16 SVC1</t>
  </si>
  <si>
    <t xml:space="preserve">001159</t>
  </si>
  <si>
    <t xml:space="preserve">Sicherheitsfäden regulierbar, weiss</t>
  </si>
  <si>
    <t xml:space="preserve">005634</t>
  </si>
  <si>
    <t xml:space="preserve">107960</t>
  </si>
  <si>
    <t xml:space="preserve">102067</t>
  </si>
  <si>
    <t xml:space="preserve">101098</t>
  </si>
  <si>
    <t xml:space="preserve">005636</t>
  </si>
  <si>
    <t xml:space="preserve">103374</t>
  </si>
  <si>
    <t xml:space="preserve">105578</t>
  </si>
  <si>
    <t xml:space="preserve">101914</t>
  </si>
  <si>
    <t xml:space="preserve">005714</t>
  </si>
  <si>
    <t xml:space="preserve">Etikette TwinL Rückschlagventil Patrone</t>
  </si>
  <si>
    <t xml:space="preserve">106445</t>
  </si>
  <si>
    <t xml:space="preserve">100938</t>
  </si>
  <si>
    <t xml:space="preserve">107107</t>
  </si>
  <si>
    <t xml:space="preserve">106140</t>
  </si>
  <si>
    <t xml:space="preserve">Sechskantmutter kugelig</t>
  </si>
  <si>
    <t xml:space="preserve">OC-108305</t>
  </si>
  <si>
    <t xml:space="preserve">Ventilpanel SPGr 4 Block mDT Spezial</t>
  </si>
  <si>
    <t xml:space="preserve">105400</t>
  </si>
  <si>
    <t xml:space="preserve">106139</t>
  </si>
  <si>
    <t xml:space="preserve">005142</t>
  </si>
  <si>
    <t xml:space="preserve">Gerätesicherung</t>
  </si>
  <si>
    <t xml:space="preserve">105866</t>
  </si>
  <si>
    <t xml:space="preserve">104306</t>
  </si>
  <si>
    <t xml:space="preserve">100042</t>
  </si>
  <si>
    <t xml:space="preserve">Braucht es diesen Artikel ?</t>
  </si>
  <si>
    <t xml:space="preserve">102375</t>
  </si>
  <si>
    <t xml:space="preserve">Deckplatte</t>
  </si>
  <si>
    <t xml:space="preserve">105411</t>
  </si>
  <si>
    <t xml:space="preserve">106455</t>
  </si>
  <si>
    <t xml:space="preserve">102086</t>
  </si>
  <si>
    <t xml:space="preserve">108252</t>
  </si>
  <si>
    <t xml:space="preserve">Klemmenbeschriftungsset unbeschriftet</t>
  </si>
  <si>
    <t xml:space="preserve">001155</t>
  </si>
  <si>
    <t xml:space="preserve">Kabelbinder</t>
  </si>
  <si>
    <t xml:space="preserve">105369</t>
  </si>
  <si>
    <t xml:space="preserve">109769</t>
  </si>
  <si>
    <t xml:space="preserve">107007</t>
  </si>
  <si>
    <t xml:space="preserve">Halter für 3 Module, Kunststoff</t>
  </si>
  <si>
    <t xml:space="preserve">107142</t>
  </si>
  <si>
    <t xml:space="preserve">Presskabelschuh</t>
  </si>
  <si>
    <t xml:space="preserve">005457</t>
  </si>
  <si>
    <t xml:space="preserve">Aderendhülse isoliert blau</t>
  </si>
  <si>
    <t xml:space="preserve">001047</t>
  </si>
  <si>
    <t xml:space="preserve">Karton</t>
  </si>
  <si>
    <t xml:space="preserve">108570</t>
  </si>
  <si>
    <t xml:space="preserve">001036</t>
  </si>
  <si>
    <t xml:space="preserve">Fächerschleifer</t>
  </si>
  <si>
    <t xml:space="preserve">005149</t>
  </si>
  <si>
    <t xml:space="preserve">Distanzplatte zu Reihenklemme klein</t>
  </si>
  <si>
    <t xml:space="preserve">107246</t>
  </si>
  <si>
    <t xml:space="preserve">103169</t>
  </si>
  <si>
    <t xml:space="preserve">002024</t>
  </si>
  <si>
    <t xml:space="preserve">106477</t>
  </si>
  <si>
    <t xml:space="preserve">002068</t>
  </si>
  <si>
    <t xml:space="preserve">Batterie 6F22 9V</t>
  </si>
  <si>
    <t xml:space="preserve">109923</t>
  </si>
  <si>
    <t xml:space="preserve">Kleber Service Verpackung</t>
  </si>
  <si>
    <t xml:space="preserve">105885</t>
  </si>
  <si>
    <t xml:space="preserve">001157</t>
  </si>
  <si>
    <t xml:space="preserve">005704</t>
  </si>
  <si>
    <t xml:space="preserve">Klemmenabdeckung Hauptschalter</t>
  </si>
  <si>
    <t xml:space="preserve">107004</t>
  </si>
  <si>
    <t xml:space="preserve">LED-Modul mit integrierter LED</t>
  </si>
  <si>
    <t xml:space="preserve">105867</t>
  </si>
  <si>
    <t xml:space="preserve">005384</t>
  </si>
  <si>
    <t xml:space="preserve">102440</t>
  </si>
  <si>
    <t xml:space="preserve">108043</t>
  </si>
  <si>
    <t xml:space="preserve">Tüllengehäuse B6</t>
  </si>
  <si>
    <t xml:space="preserve">001154</t>
  </si>
  <si>
    <t xml:space="preserve">005640</t>
  </si>
  <si>
    <t xml:space="preserve">106273</t>
  </si>
  <si>
    <t xml:space="preserve">107851</t>
  </si>
  <si>
    <t xml:space="preserve">Schalldämpfer</t>
  </si>
  <si>
    <t xml:space="preserve">100528</t>
  </si>
  <si>
    <t xml:space="preserve">005148</t>
  </si>
  <si>
    <t xml:space="preserve">Reihenklemme</t>
  </si>
  <si>
    <t xml:space="preserve">005754</t>
  </si>
  <si>
    <t xml:space="preserve">105399</t>
  </si>
  <si>
    <t xml:space="preserve">109099</t>
  </si>
  <si>
    <t xml:space="preserve">Kleber Oben Federkonsole</t>
  </si>
  <si>
    <t xml:space="preserve">001138</t>
  </si>
  <si>
    <t xml:space="preserve">Ablösbare Markierungspunkte grün</t>
  </si>
  <si>
    <t xml:space="preserve">106862</t>
  </si>
  <si>
    <t xml:space="preserve">Schlauchschelle</t>
  </si>
  <si>
    <t xml:space="preserve">100137</t>
  </si>
  <si>
    <t xml:space="preserve">100429</t>
  </si>
  <si>
    <t xml:space="preserve">107310</t>
  </si>
  <si>
    <t xml:space="preserve">Kugelkette vernickelt</t>
  </si>
  <si>
    <t xml:space="preserve">106489</t>
  </si>
  <si>
    <t xml:space="preserve">002074</t>
  </si>
  <si>
    <t xml:space="preserve">Batterie AAA</t>
  </si>
  <si>
    <t xml:space="preserve">005639</t>
  </si>
  <si>
    <t xml:space="preserve">107103</t>
  </si>
  <si>
    <t xml:space="preserve">106905</t>
  </si>
  <si>
    <t xml:space="preserve">Gewindebolzen</t>
  </si>
  <si>
    <t xml:space="preserve">106591</t>
  </si>
  <si>
    <t xml:space="preserve">grosse  Artikelmenge</t>
  </si>
  <si>
    <t xml:space="preserve">106745</t>
  </si>
  <si>
    <t xml:space="preserve">101570</t>
  </si>
  <si>
    <t xml:space="preserve">105855</t>
  </si>
  <si>
    <t xml:space="preserve">102444</t>
  </si>
  <si>
    <t xml:space="preserve">100381</t>
  </si>
  <si>
    <t xml:space="preserve">100041</t>
  </si>
  <si>
    <t xml:space="preserve">108520</t>
  </si>
  <si>
    <t xml:space="preserve">001135</t>
  </si>
  <si>
    <t xml:space="preserve">005258</t>
  </si>
  <si>
    <t xml:space="preserve">107765</t>
  </si>
  <si>
    <t xml:space="preserve">Unterlage</t>
  </si>
  <si>
    <t xml:space="preserve">107542</t>
  </si>
  <si>
    <t xml:space="preserve">106824</t>
  </si>
  <si>
    <t xml:space="preserve">108544</t>
  </si>
  <si>
    <t xml:space="preserve">103031</t>
  </si>
  <si>
    <t xml:space="preserve">005452</t>
  </si>
  <si>
    <t xml:space="preserve">Aderendhülse isoliert gelb</t>
  </si>
  <si>
    <t xml:space="preserve">103517</t>
  </si>
  <si>
    <t xml:space="preserve">T-Griff</t>
  </si>
  <si>
    <t xml:space="preserve">102441</t>
  </si>
  <si>
    <t xml:space="preserve">100895</t>
  </si>
  <si>
    <t xml:space="preserve">005398</t>
  </si>
  <si>
    <t xml:space="preserve">Korundtuch</t>
  </si>
  <si>
    <t xml:space="preserve">Überbestand; nicht im KTL vorhanden</t>
  </si>
  <si>
    <t xml:space="preserve">005808</t>
  </si>
  <si>
    <t xml:space="preserve">109200</t>
  </si>
  <si>
    <t xml:space="preserve">Deckel GISKB II</t>
  </si>
  <si>
    <t xml:space="preserve">108512</t>
  </si>
  <si>
    <t xml:space="preserve">Typenschild Servicetechniker-Set SPGr10</t>
  </si>
  <si>
    <t xml:space="preserve">108910</t>
  </si>
  <si>
    <t xml:space="preserve">Splint / Vorsteckfeder</t>
  </si>
  <si>
    <t xml:space="preserve">109624</t>
  </si>
  <si>
    <t xml:space="preserve">Einfach - Rohrschelle PP</t>
  </si>
  <si>
    <t xml:space="preserve">002006</t>
  </si>
  <si>
    <t xml:space="preserve">005343</t>
  </si>
  <si>
    <t xml:space="preserve">Durchschlag</t>
  </si>
  <si>
    <t xml:space="preserve">100038</t>
  </si>
  <si>
    <t xml:space="preserve">107095</t>
  </si>
  <si>
    <t xml:space="preserve">108732</t>
  </si>
  <si>
    <t xml:space="preserve">109770</t>
  </si>
  <si>
    <t xml:space="preserve">106945</t>
  </si>
  <si>
    <t xml:space="preserve">002007</t>
  </si>
  <si>
    <t xml:space="preserve">Wasserpumpenzange</t>
  </si>
  <si>
    <t xml:space="preserve">109612</t>
  </si>
  <si>
    <t xml:space="preserve">109319</t>
  </si>
  <si>
    <t xml:space="preserve">101762</t>
  </si>
  <si>
    <t xml:space="preserve">Schäkel</t>
  </si>
  <si>
    <t xml:space="preserve">104282</t>
  </si>
  <si>
    <t xml:space="preserve">109037</t>
  </si>
  <si>
    <t xml:space="preserve">109791</t>
  </si>
  <si>
    <t xml:space="preserve">109911</t>
  </si>
  <si>
    <t xml:space="preserve">Stecker verdrahtet</t>
  </si>
  <si>
    <t xml:space="preserve">002031</t>
  </si>
  <si>
    <t xml:space="preserve">105868</t>
  </si>
  <si>
    <t xml:space="preserve">005760</t>
  </si>
  <si>
    <t xml:space="preserve">100443</t>
  </si>
  <si>
    <t xml:space="preserve">102279</t>
  </si>
  <si>
    <t xml:space="preserve">Spannschloss</t>
  </si>
  <si>
    <t xml:space="preserve">001042</t>
  </si>
  <si>
    <t xml:space="preserve">Verschlussbeutel gross</t>
  </si>
  <si>
    <t xml:space="preserve">101573</t>
  </si>
  <si>
    <t xml:space="preserve">108132</t>
  </si>
  <si>
    <t xml:space="preserve">Verschlussplatte zu Ventilblock</t>
  </si>
  <si>
    <t xml:space="preserve">005324</t>
  </si>
  <si>
    <t xml:space="preserve">002023</t>
  </si>
  <si>
    <t xml:space="preserve">106823</t>
  </si>
  <si>
    <t xml:space="preserve">110267</t>
  </si>
  <si>
    <t xml:space="preserve">Dichtring</t>
  </si>
  <si>
    <t xml:space="preserve">107118</t>
  </si>
  <si>
    <t xml:space="preserve">Rohrbürste</t>
  </si>
  <si>
    <t xml:space="preserve">108715</t>
  </si>
  <si>
    <t xml:space="preserve">Adapter für Sinterscheibe</t>
  </si>
  <si>
    <t xml:space="preserve">110007</t>
  </si>
  <si>
    <t xml:space="preserve">Aufschraubadapter</t>
  </si>
  <si>
    <t xml:space="preserve">005616</t>
  </si>
  <si>
    <t xml:space="preserve">001191</t>
  </si>
  <si>
    <t xml:space="preserve">Litzendraht</t>
  </si>
  <si>
    <t xml:space="preserve">108031</t>
  </si>
  <si>
    <t xml:space="preserve">001144</t>
  </si>
  <si>
    <t xml:space="preserve">UV-beständiger Verschlussbeutel gross</t>
  </si>
  <si>
    <t xml:space="preserve">100173</t>
  </si>
  <si>
    <t xml:space="preserve">005385</t>
  </si>
  <si>
    <t xml:space="preserve">109368</t>
  </si>
  <si>
    <t xml:space="preserve">002025</t>
  </si>
  <si>
    <t xml:space="preserve">102374</t>
  </si>
  <si>
    <t xml:space="preserve">107965</t>
  </si>
  <si>
    <t xml:space="preserve">Schnellverschluss-Schelle</t>
  </si>
  <si>
    <t xml:space="preserve">107967</t>
  </si>
  <si>
    <t xml:space="preserve">106967</t>
  </si>
  <si>
    <t xml:space="preserve">107092</t>
  </si>
  <si>
    <t xml:space="preserve">100287</t>
  </si>
  <si>
    <t xml:space="preserve">005455</t>
  </si>
  <si>
    <t xml:space="preserve">Aderendhülse isoliert orange</t>
  </si>
  <si>
    <t xml:space="preserve">103094</t>
  </si>
  <si>
    <t xml:space="preserve">001179</t>
  </si>
  <si>
    <t xml:space="preserve">106933</t>
  </si>
  <si>
    <t xml:space="preserve">Lithiumbatterie</t>
  </si>
  <si>
    <t xml:space="preserve">005707</t>
  </si>
  <si>
    <t xml:space="preserve">109090</t>
  </si>
  <si>
    <t xml:space="preserve">005297</t>
  </si>
  <si>
    <t xml:space="preserve">Magnetspule ohne Kabel</t>
  </si>
  <si>
    <t xml:space="preserve">109630</t>
  </si>
  <si>
    <t xml:space="preserve">102443</t>
  </si>
  <si>
    <t xml:space="preserve">108873</t>
  </si>
  <si>
    <t xml:space="preserve">Einrastschildchen -A51.1</t>
  </si>
  <si>
    <t xml:space="preserve">VM00007</t>
  </si>
  <si>
    <t xml:space="preserve">Seitenfaltenbeutel Haube für 1/2 Eurobox</t>
  </si>
  <si>
    <t xml:space="preserve">005229</t>
  </si>
  <si>
    <t xml:space="preserve">Schrumpfschlauch schwarz</t>
  </si>
  <si>
    <t xml:space="preserve">107589</t>
  </si>
  <si>
    <t xml:space="preserve">108251</t>
  </si>
  <si>
    <t xml:space="preserve">Endklammer mit Schraube</t>
  </si>
  <si>
    <t xml:space="preserve">107119</t>
  </si>
  <si>
    <t xml:space="preserve">100036</t>
  </si>
  <si>
    <t xml:space="preserve">005386</t>
  </si>
  <si>
    <t xml:space="preserve">001045</t>
  </si>
  <si>
    <t xml:space="preserve">005244</t>
  </si>
  <si>
    <t xml:space="preserve">Zündkabel</t>
  </si>
  <si>
    <t xml:space="preserve">106618</t>
  </si>
  <si>
    <t xml:space="preserve">005325</t>
  </si>
  <si>
    <t xml:space="preserve">005129</t>
  </si>
  <si>
    <t xml:space="preserve">Relais C09-A41DX... ohne Sockel</t>
  </si>
  <si>
    <t xml:space="preserve">005322</t>
  </si>
  <si>
    <t xml:space="preserve">108471</t>
  </si>
  <si>
    <t xml:space="preserve">005582</t>
  </si>
  <si>
    <t xml:space="preserve">Verlängerung</t>
  </si>
  <si>
    <t xml:space="preserve">106970</t>
  </si>
  <si>
    <t xml:space="preserve">USB Datenspeicher</t>
  </si>
  <si>
    <t xml:space="preserve">B&amp;R; nicht im KTL vorhanden</t>
  </si>
  <si>
    <t xml:space="preserve">001097</t>
  </si>
  <si>
    <t xml:space="preserve">Dose</t>
  </si>
  <si>
    <t xml:space="preserve">101257</t>
  </si>
  <si>
    <t xml:space="preserve">Magnetventiladapter</t>
  </si>
  <si>
    <t xml:space="preserve">twin</t>
  </si>
  <si>
    <t xml:space="preserve">005450</t>
  </si>
  <si>
    <t xml:space="preserve">Mutter-Klemmringsatz</t>
  </si>
  <si>
    <t xml:space="preserve">107536</t>
  </si>
  <si>
    <t xml:space="preserve">106974</t>
  </si>
  <si>
    <t xml:space="preserve">Datensteckverbinder</t>
  </si>
  <si>
    <t xml:space="preserve">001119</t>
  </si>
  <si>
    <t xml:space="preserve">Aceton Reiniger</t>
  </si>
  <si>
    <t xml:space="preserve">005732</t>
  </si>
  <si>
    <t xml:space="preserve">Ersatzklingen MARTOR Trapez</t>
  </si>
  <si>
    <t xml:space="preserve">Verb.Lager; nicht im KTL vorhanden</t>
  </si>
  <si>
    <t xml:space="preserve">101862</t>
  </si>
  <si>
    <t xml:space="preserve">102435</t>
  </si>
  <si>
    <t xml:space="preserve">109645</t>
  </si>
  <si>
    <t xml:space="preserve">Gummibuchse</t>
  </si>
  <si>
    <t xml:space="preserve">104438</t>
  </si>
  <si>
    <t xml:space="preserve">107094</t>
  </si>
  <si>
    <t xml:space="preserve">109519</t>
  </si>
  <si>
    <t xml:space="preserve">Gerade Einschraub-Verschraubung</t>
  </si>
  <si>
    <t xml:space="preserve">109506</t>
  </si>
  <si>
    <t xml:space="preserve">T-Stück</t>
  </si>
  <si>
    <t xml:space="preserve">005310</t>
  </si>
  <si>
    <t xml:space="preserve">Zugplatte</t>
  </si>
  <si>
    <t xml:space="preserve">002040</t>
  </si>
  <si>
    <t xml:space="preserve">103232</t>
  </si>
  <si>
    <t xml:space="preserve">Halter, vertikale Aufhängung EG10 Serie</t>
  </si>
  <si>
    <t xml:space="preserve">001032</t>
  </si>
  <si>
    <t xml:space="preserve">Vaseline</t>
  </si>
  <si>
    <t xml:space="preserve">005303</t>
  </si>
  <si>
    <t xml:space="preserve">005696</t>
  </si>
  <si>
    <t xml:space="preserve">Selektivitätsmodul</t>
  </si>
  <si>
    <t xml:space="preserve">107001</t>
  </si>
  <si>
    <t xml:space="preserve">Knebelschalter, beleuchtbar</t>
  </si>
  <si>
    <t xml:space="preserve">005117</t>
  </si>
  <si>
    <t xml:space="preserve">Kartenleser USB 2.0</t>
  </si>
  <si>
    <t xml:space="preserve">109054</t>
  </si>
  <si>
    <t xml:space="preserve">005103</t>
  </si>
  <si>
    <t xml:space="preserve">SPS Ethernet Switch</t>
  </si>
  <si>
    <t xml:space="preserve">107106</t>
  </si>
  <si>
    <t xml:space="preserve">Sechskant-Schraubenzieher</t>
  </si>
  <si>
    <t xml:space="preserve">100791</t>
  </si>
  <si>
    <t xml:space="preserve">005400</t>
  </si>
  <si>
    <t xml:space="preserve">001199</t>
  </si>
  <si>
    <t xml:space="preserve">Abisolierzange</t>
  </si>
  <si>
    <t xml:space="preserve">001035</t>
  </si>
  <si>
    <t xml:space="preserve">Kombi-Faservliesbürste</t>
  </si>
  <si>
    <t xml:space="preserve">005139</t>
  </si>
  <si>
    <t xml:space="preserve">108487</t>
  </si>
  <si>
    <t xml:space="preserve">Patchkabel Prüfgerät</t>
  </si>
  <si>
    <t xml:space="preserve">107226</t>
  </si>
  <si>
    <t xml:space="preserve">Ring-Gabelschlüssel-Satz</t>
  </si>
  <si>
    <t xml:space="preserve">101495</t>
  </si>
  <si>
    <t xml:space="preserve">101572</t>
  </si>
  <si>
    <t xml:space="preserve">100862</t>
  </si>
  <si>
    <t xml:space="preserve">OC-101558</t>
  </si>
  <si>
    <t xml:space="preserve">Kranbahn-Profil</t>
  </si>
  <si>
    <t xml:space="preserve">001134</t>
  </si>
  <si>
    <t xml:space="preserve">107231</t>
  </si>
  <si>
    <t xml:space="preserve">Zangen-Set</t>
  </si>
  <si>
    <t xml:space="preserve">110094</t>
  </si>
  <si>
    <t xml:space="preserve">107562</t>
  </si>
  <si>
    <t xml:space="preserve">005615</t>
  </si>
  <si>
    <t xml:space="preserve">Temperatursensor ohne Stecker</t>
  </si>
  <si>
    <t xml:space="preserve">101575</t>
  </si>
  <si>
    <t xml:space="preserve">101861</t>
  </si>
  <si>
    <t xml:space="preserve">107300</t>
  </si>
  <si>
    <t xml:space="preserve">Ventilschlüssel</t>
  </si>
  <si>
    <t xml:space="preserve">005805</t>
  </si>
  <si>
    <t xml:space="preserve">100364</t>
  </si>
  <si>
    <t xml:space="preserve">107105</t>
  </si>
  <si>
    <t xml:space="preserve">105455</t>
  </si>
  <si>
    <t xml:space="preserve">005746</t>
  </si>
  <si>
    <t xml:space="preserve">Set Blockierelemente</t>
  </si>
  <si>
    <t xml:space="preserve">002037</t>
  </si>
  <si>
    <t xml:space="preserve">Ersatzklingen zu Universalmesser</t>
  </si>
  <si>
    <t xml:space="preserve">110008</t>
  </si>
  <si>
    <t xml:space="preserve">101395</t>
  </si>
  <si>
    <t xml:space="preserve">106616</t>
  </si>
  <si>
    <t xml:space="preserve">005485</t>
  </si>
  <si>
    <t xml:space="preserve">Einschraubadapter</t>
  </si>
  <si>
    <t xml:space="preserve">108869</t>
  </si>
  <si>
    <t xml:space="preserve">Klebeetikette -F200.2</t>
  </si>
  <si>
    <t xml:space="preserve">108870</t>
  </si>
  <si>
    <t xml:space="preserve">Klebeetikette -G200.2</t>
  </si>
  <si>
    <t xml:space="preserve">002001</t>
  </si>
  <si>
    <t xml:space="preserve">Multimeter 250V</t>
  </si>
  <si>
    <t xml:space="preserve">103477</t>
  </si>
  <si>
    <t xml:space="preserve">101658</t>
  </si>
  <si>
    <t xml:space="preserve">Reduzierverschraubung Edelstahl</t>
  </si>
  <si>
    <t xml:space="preserve">102395</t>
  </si>
  <si>
    <t xml:space="preserve">107307</t>
  </si>
  <si>
    <t xml:space="preserve">Universalschmierpaste</t>
  </si>
  <si>
    <t xml:space="preserve">103394</t>
  </si>
  <si>
    <t xml:space="preserve">Gewindebohrer</t>
  </si>
  <si>
    <t xml:space="preserve">107707</t>
  </si>
  <si>
    <t xml:space="preserve">005161</t>
  </si>
  <si>
    <t xml:space="preserve">Schutzleiterklemme</t>
  </si>
  <si>
    <t xml:space="preserve">005342</t>
  </si>
  <si>
    <t xml:space="preserve">109749</t>
  </si>
  <si>
    <t xml:space="preserve">005715</t>
  </si>
  <si>
    <t xml:space="preserve">Hinweisschild</t>
  </si>
  <si>
    <t xml:space="preserve">002046</t>
  </si>
  <si>
    <t xml:space="preserve">100366</t>
  </si>
  <si>
    <t xml:space="preserve">109751</t>
  </si>
  <si>
    <t xml:space="preserve">Bügel</t>
  </si>
  <si>
    <t xml:space="preserve">107716</t>
  </si>
  <si>
    <t xml:space="preserve">001115</t>
  </si>
  <si>
    <t xml:space="preserve">Schutzbrett Typ 0</t>
  </si>
  <si>
    <t xml:space="preserve">104233</t>
  </si>
  <si>
    <t xml:space="preserve">Ventilpanel Grundplatte</t>
  </si>
  <si>
    <t xml:space="preserve">109623</t>
  </si>
  <si>
    <t xml:space="preserve">Halterungswinkel</t>
  </si>
  <si>
    <t xml:space="preserve">107163</t>
  </si>
  <si>
    <t xml:space="preserve">SPGr Logo zu SPGr</t>
  </si>
  <si>
    <t xml:space="preserve">110312</t>
  </si>
  <si>
    <t xml:space="preserve">VNC Server Funktionslizenz</t>
  </si>
  <si>
    <t xml:space="preserve">102500</t>
  </si>
  <si>
    <t xml:space="preserve">Dichtungssatz</t>
  </si>
  <si>
    <t xml:space="preserve">OC-103382</t>
  </si>
  <si>
    <t xml:space="preserve">109152</t>
  </si>
  <si>
    <t xml:space="preserve">Verteilerblock</t>
  </si>
  <si>
    <t xml:space="preserve">106443</t>
  </si>
  <si>
    <t xml:space="preserve">005415</t>
  </si>
  <si>
    <t xml:space="preserve">Deckenlasche</t>
  </si>
  <si>
    <t xml:space="preserve">101683</t>
  </si>
  <si>
    <t xml:space="preserve">109696</t>
  </si>
  <si>
    <t xml:space="preserve">005164</t>
  </si>
  <si>
    <t xml:space="preserve">Leitungsschutzschalter</t>
  </si>
  <si>
    <t xml:space="preserve">107097</t>
  </si>
  <si>
    <t xml:space="preserve">110041</t>
  </si>
  <si>
    <t xml:space="preserve">Ordner</t>
  </si>
  <si>
    <t xml:space="preserve">107108</t>
  </si>
  <si>
    <t xml:space="preserve">108081</t>
  </si>
  <si>
    <t xml:space="preserve">Innenbox SPGr10 SVC2 3/4</t>
  </si>
  <si>
    <t xml:space="preserve">101571</t>
  </si>
  <si>
    <t xml:space="preserve">107112</t>
  </si>
  <si>
    <t xml:space="preserve">Seitenschneider</t>
  </si>
  <si>
    <t xml:space="preserve">101396</t>
  </si>
  <si>
    <t xml:space="preserve">109759</t>
  </si>
  <si>
    <t xml:space="preserve">107195</t>
  </si>
  <si>
    <t xml:space="preserve">Keilriemen zu AC260</t>
  </si>
  <si>
    <t xml:space="preserve">105470</t>
  </si>
  <si>
    <t xml:space="preserve">Anzugslehre</t>
  </si>
  <si>
    <t xml:space="preserve">109365</t>
  </si>
  <si>
    <t xml:space="preserve">Aufsteckmaulschlüssel</t>
  </si>
  <si>
    <t xml:space="preserve">005702</t>
  </si>
  <si>
    <t xml:space="preserve">Widerstand</t>
  </si>
  <si>
    <t xml:space="preserve">110309</t>
  </si>
  <si>
    <t xml:space="preserve">Verteiler</t>
  </si>
  <si>
    <t xml:space="preserve">107130</t>
  </si>
  <si>
    <t xml:space="preserve">101795</t>
  </si>
  <si>
    <t xml:space="preserve">Flammschutz TwinL</t>
  </si>
  <si>
    <t xml:space="preserve">100357</t>
  </si>
  <si>
    <t xml:space="preserve">Rohrstück Edelstahl</t>
  </si>
  <si>
    <t xml:space="preserve">108082</t>
  </si>
  <si>
    <t xml:space="preserve">Innenbox SPGr10 SVC2 4/4</t>
  </si>
  <si>
    <t xml:space="preserve">107865</t>
  </si>
  <si>
    <t xml:space="preserve">Inbusschlüssel-Satz lang</t>
  </si>
  <si>
    <t xml:space="preserve">108445</t>
  </si>
  <si>
    <t xml:space="preserve">106753</t>
  </si>
  <si>
    <t xml:space="preserve">108671</t>
  </si>
  <si>
    <t xml:space="preserve">Sensorkabel SPC800 - VP</t>
  </si>
  <si>
    <t xml:space="preserve">001034</t>
  </si>
  <si>
    <t xml:space="preserve">005694</t>
  </si>
  <si>
    <t xml:space="preserve">108080</t>
  </si>
  <si>
    <t xml:space="preserve">Innenbox SPGr10 SVC2 2/4</t>
  </si>
  <si>
    <t xml:space="preserve">005394</t>
  </si>
  <si>
    <t xml:space="preserve">106861</t>
  </si>
  <si>
    <t xml:space="preserve">108033</t>
  </si>
  <si>
    <t xml:space="preserve">Tüllengehäuse</t>
  </si>
  <si>
    <t xml:space="preserve">109164</t>
  </si>
  <si>
    <t xml:space="preserve">Winkelverschraubung Stahl verzinkt</t>
  </si>
  <si>
    <t xml:space="preserve">100350</t>
  </si>
  <si>
    <t xml:space="preserve">Filtergehäuse</t>
  </si>
  <si>
    <t xml:space="preserve">005125</t>
  </si>
  <si>
    <t xml:space="preserve">Schütz</t>
  </si>
  <si>
    <t xml:space="preserve">002075</t>
  </si>
  <si>
    <t xml:space="preserve">Brother P-touch Schriftband</t>
  </si>
  <si>
    <t xml:space="preserve">005759</t>
  </si>
  <si>
    <t xml:space="preserve">100629</t>
  </si>
  <si>
    <t xml:space="preserve">005162</t>
  </si>
  <si>
    <t xml:space="preserve">005280</t>
  </si>
  <si>
    <t xml:space="preserve">110646</t>
  </si>
  <si>
    <t xml:space="preserve">109183</t>
  </si>
  <si>
    <t xml:space="preserve">108536</t>
  </si>
  <si>
    <t xml:space="preserve">001046</t>
  </si>
  <si>
    <t xml:space="preserve">108646</t>
  </si>
  <si>
    <t xml:space="preserve">Kondensatablassventil</t>
  </si>
  <si>
    <t xml:space="preserve">108079</t>
  </si>
  <si>
    <t xml:space="preserve">Innenbox SPGr10 SVC2 1/4</t>
  </si>
  <si>
    <t xml:space="preserve">109909</t>
  </si>
  <si>
    <t xml:space="preserve">Industrie Mobilfunk Router (US)</t>
  </si>
  <si>
    <t xml:space="preserve">105478</t>
  </si>
  <si>
    <t xml:space="preserve">108528</t>
  </si>
  <si>
    <t xml:space="preserve">Sinterscheibe</t>
  </si>
  <si>
    <t xml:space="preserve">001209</t>
  </si>
  <si>
    <t xml:space="preserve">107049</t>
  </si>
  <si>
    <t xml:space="preserve">005100</t>
  </si>
  <si>
    <t xml:space="preserve">SPS Schnittstellenadapter</t>
  </si>
  <si>
    <t xml:space="preserve">109617</t>
  </si>
  <si>
    <t xml:space="preserve">005750</t>
  </si>
  <si>
    <t xml:space="preserve">T-Stück Edelstahl</t>
  </si>
  <si>
    <t xml:space="preserve">109165</t>
  </si>
  <si>
    <t xml:space="preserve">Verbindungsnippel</t>
  </si>
  <si>
    <t xml:space="preserve">107587</t>
  </si>
  <si>
    <t xml:space="preserve">Begleitschreiben, SPGr16</t>
  </si>
  <si>
    <t xml:space="preserve">109530</t>
  </si>
  <si>
    <t xml:space="preserve">Rohr komplett</t>
  </si>
  <si>
    <t xml:space="preserve">107014</t>
  </si>
  <si>
    <t xml:space="preserve">Feinfiltermatte</t>
  </si>
  <si>
    <t xml:space="preserve">107128</t>
  </si>
  <si>
    <t xml:space="preserve">106992</t>
  </si>
  <si>
    <t xml:space="preserve">Hilfsstromschalter</t>
  </si>
  <si>
    <t xml:space="preserve">001150</t>
  </si>
  <si>
    <t xml:space="preserve">Schleifvlies SCOTCH-BRITE</t>
  </si>
  <si>
    <t xml:space="preserve">001053</t>
  </si>
  <si>
    <t xml:space="preserve">Tauschdeckel SBB</t>
  </si>
  <si>
    <t xml:space="preserve">104213</t>
  </si>
  <si>
    <t xml:space="preserve">Transfermagnetventil Spule CH4</t>
  </si>
  <si>
    <t xml:space="preserve">104274</t>
  </si>
  <si>
    <t xml:space="preserve">005542</t>
  </si>
  <si>
    <t xml:space="preserve">107249</t>
  </si>
  <si>
    <t xml:space="preserve">Servicepaket AC260 Endabscheider</t>
  </si>
  <si>
    <t xml:space="preserve">106896</t>
  </si>
  <si>
    <t xml:space="preserve">106444</t>
  </si>
  <si>
    <t xml:space="preserve">Verbindungsbolzen</t>
  </si>
  <si>
    <t xml:space="preserve">107223</t>
  </si>
  <si>
    <t xml:space="preserve">Befestigungsplatte Haltevorrichtung SPGr</t>
  </si>
  <si>
    <t xml:space="preserve">100043</t>
  </si>
  <si>
    <t xml:space="preserve">005793</t>
  </si>
  <si>
    <t xml:space="preserve">106133</t>
  </si>
  <si>
    <t xml:space="preserve">101103</t>
  </si>
  <si>
    <t xml:space="preserve">106427</t>
  </si>
  <si>
    <t xml:space="preserve">109750</t>
  </si>
  <si>
    <t xml:space="preserve">107695</t>
  </si>
  <si>
    <t xml:space="preserve">Anschweisslasche</t>
  </si>
  <si>
    <t xml:space="preserve">106991</t>
  </si>
  <si>
    <t xml:space="preserve">Filterlüfter</t>
  </si>
  <si>
    <t xml:space="preserve">107051</t>
  </si>
  <si>
    <t xml:space="preserve">001051</t>
  </si>
  <si>
    <t xml:space="preserve">Tauschpalette EPAL</t>
  </si>
  <si>
    <t xml:space="preserve">106481</t>
  </si>
  <si>
    <t xml:space="preserve">SPGr</t>
  </si>
  <si>
    <t xml:space="preserve">005449</t>
  </si>
  <si>
    <t xml:space="preserve">108938</t>
  </si>
  <si>
    <t xml:space="preserve">Markierungspunkt rot</t>
  </si>
  <si>
    <t xml:space="preserve">001128</t>
  </si>
  <si>
    <t xml:space="preserve">108070</t>
  </si>
  <si>
    <t xml:space="preserve">Sicherheitsventil 2. Stufe AC260</t>
  </si>
  <si>
    <t xml:space="preserve">103608</t>
  </si>
  <si>
    <t xml:space="preserve">Verbindungselement</t>
  </si>
  <si>
    <t xml:space="preserve">005248</t>
  </si>
  <si>
    <t xml:space="preserve">Kette</t>
  </si>
  <si>
    <t xml:space="preserve">108552</t>
  </si>
  <si>
    <t xml:space="preserve">Saugventil 2. Stufe AC260</t>
  </si>
  <si>
    <t xml:space="preserve">005545</t>
  </si>
  <si>
    <t xml:space="preserve">Signalhorn mit Blitzleuchte</t>
  </si>
  <si>
    <t xml:space="preserve">100347</t>
  </si>
  <si>
    <t xml:space="preserve">109162</t>
  </si>
  <si>
    <t xml:space="preserve">Hochdruck-Ganzmetallschlauch Luft DN6</t>
  </si>
  <si>
    <t xml:space="preserve">005238</t>
  </si>
  <si>
    <t xml:space="preserve">Sicherung</t>
  </si>
  <si>
    <t xml:space="preserve">005348</t>
  </si>
  <si>
    <t xml:space="preserve">106959</t>
  </si>
  <si>
    <t xml:space="preserve">Sicheres digtales Eingangsmodul</t>
  </si>
  <si>
    <t xml:space="preserve">109342</t>
  </si>
  <si>
    <t xml:space="preserve">109382</t>
  </si>
  <si>
    <t xml:space="preserve">106853</t>
  </si>
  <si>
    <t xml:space="preserve">107858</t>
  </si>
  <si>
    <t xml:space="preserve">103275</t>
  </si>
  <si>
    <t xml:space="preserve">Halter für 3 Kettenaufhänger</t>
  </si>
  <si>
    <t xml:space="preserve">100359</t>
  </si>
  <si>
    <t xml:space="preserve">Signalhorn / Blitzleuchte</t>
  </si>
  <si>
    <t xml:space="preserve">109755</t>
  </si>
  <si>
    <t xml:space="preserve">005659</t>
  </si>
  <si>
    <t xml:space="preserve">Swibox LED Leuchte T5</t>
  </si>
  <si>
    <t xml:space="preserve">109181</t>
  </si>
  <si>
    <t xml:space="preserve">109363</t>
  </si>
  <si>
    <t xml:space="preserve">Rohrstück</t>
  </si>
  <si>
    <t xml:space="preserve">100401</t>
  </si>
  <si>
    <t xml:space="preserve">001166</t>
  </si>
  <si>
    <t xml:space="preserve">Presszange "crimp"</t>
  </si>
  <si>
    <t xml:space="preserve">005424</t>
  </si>
  <si>
    <t xml:space="preserve">Rohrstück gerade</t>
  </si>
  <si>
    <t xml:space="preserve">001122</t>
  </si>
  <si>
    <t xml:space="preserve">Tauschrahmen SBB</t>
  </si>
  <si>
    <t xml:space="preserve">001052</t>
  </si>
  <si>
    <t xml:space="preserve">101589</t>
  </si>
  <si>
    <t xml:space="preserve">105957</t>
  </si>
  <si>
    <t xml:space="preserve">108862</t>
  </si>
  <si>
    <t xml:space="preserve">Nachrüst Litzenset 2. SLM</t>
  </si>
  <si>
    <t xml:space="preserve">105858</t>
  </si>
  <si>
    <t xml:space="preserve">103476</t>
  </si>
  <si>
    <t xml:space="preserve">Montagehilfe</t>
  </si>
  <si>
    <t xml:space="preserve">005703</t>
  </si>
  <si>
    <t xml:space="preserve">Lasttrennschalter</t>
  </si>
  <si>
    <t xml:space="preserve">106901</t>
  </si>
  <si>
    <t xml:space="preserve">LED Blitzlichtelement</t>
  </si>
  <si>
    <t xml:space="preserve">109616</t>
  </si>
  <si>
    <t xml:space="preserve">005405</t>
  </si>
  <si>
    <t xml:space="preserve">Rohrleitung für Drucktransmitter</t>
  </si>
  <si>
    <t xml:space="preserve">109176</t>
  </si>
  <si>
    <t xml:space="preserve">100336</t>
  </si>
  <si>
    <t xml:space="preserve">109762</t>
  </si>
  <si>
    <t xml:space="preserve">Koaleszenz-Filerelement</t>
  </si>
  <si>
    <t xml:space="preserve">109516</t>
  </si>
  <si>
    <t xml:space="preserve">Kreuz Verschraubung</t>
  </si>
  <si>
    <t xml:space="preserve">110306</t>
  </si>
  <si>
    <t xml:space="preserve">101590</t>
  </si>
  <si>
    <t xml:space="preserve">Platte für 3 Kettenaufhänger</t>
  </si>
  <si>
    <t xml:space="preserve">108085</t>
  </si>
  <si>
    <t xml:space="preserve">Innenbox SPGr16 SVC1 3/3</t>
  </si>
  <si>
    <t xml:space="preserve">107010</t>
  </si>
  <si>
    <t xml:space="preserve">106859</t>
  </si>
  <si>
    <t xml:space="preserve">108610</t>
  </si>
  <si>
    <t xml:space="preserve">109648</t>
  </si>
  <si>
    <t xml:space="preserve">Federhänger Spezial Vanetto</t>
  </si>
  <si>
    <t xml:space="preserve">109523</t>
  </si>
  <si>
    <t xml:space="preserve">005097</t>
  </si>
  <si>
    <t xml:space="preserve">SPS Analog-Modul PT100</t>
  </si>
  <si>
    <t xml:space="preserve">107248</t>
  </si>
  <si>
    <t xml:space="preserve">Servicepaket AC260 Zwischenabscheider</t>
  </si>
  <si>
    <t xml:space="preserve">109157</t>
  </si>
  <si>
    <t xml:space="preserve">Sicherheitsventil 45 bar</t>
  </si>
  <si>
    <t xml:space="preserve">102855</t>
  </si>
  <si>
    <t xml:space="preserve">Kronenmutter</t>
  </si>
  <si>
    <t xml:space="preserve">104216</t>
  </si>
  <si>
    <t xml:space="preserve">108037</t>
  </si>
  <si>
    <t xml:space="preserve">107252</t>
  </si>
  <si>
    <t xml:space="preserve">Neu; grosser Artikel &amp; nicht im KTL</t>
  </si>
  <si>
    <t xml:space="preserve">107254</t>
  </si>
  <si>
    <t xml:space="preserve">109756</t>
  </si>
  <si>
    <t xml:space="preserve">109859</t>
  </si>
  <si>
    <t xml:space="preserve">HMI T50mobile USB-Adapter</t>
  </si>
  <si>
    <t xml:space="preserve">109161</t>
  </si>
  <si>
    <t xml:space="preserve">Gasfilter</t>
  </si>
  <si>
    <t xml:space="preserve">107224</t>
  </si>
  <si>
    <t xml:space="preserve">107250</t>
  </si>
  <si>
    <t xml:space="preserve">Servicepaket AC260 Druckhalteventil</t>
  </si>
  <si>
    <t xml:space="preserve">107240</t>
  </si>
  <si>
    <t xml:space="preserve">108647</t>
  </si>
  <si>
    <t xml:space="preserve">Temperatursensor LKE</t>
  </si>
  <si>
    <t xml:space="preserve">005355</t>
  </si>
  <si>
    <t xml:space="preserve">Brauchgasventil</t>
  </si>
  <si>
    <t xml:space="preserve">104305</t>
  </si>
  <si>
    <t xml:space="preserve">Bügelschloss</t>
  </si>
  <si>
    <t xml:space="preserve">109525</t>
  </si>
  <si>
    <t xml:space="preserve">005220</t>
  </si>
  <si>
    <t xml:space="preserve">Sicherheitsventil 45bar, N2</t>
  </si>
  <si>
    <t xml:space="preserve">107117</t>
  </si>
  <si>
    <t xml:space="preserve">101638</t>
  </si>
  <si>
    <t xml:space="preserve">VM00008</t>
  </si>
  <si>
    <t xml:space="preserve">Seitenfaltenbeutel, Einsatz für Euroboc</t>
  </si>
  <si>
    <t xml:space="preserve">101100</t>
  </si>
  <si>
    <t xml:space="preserve">108078</t>
  </si>
  <si>
    <t xml:space="preserve">Innenbox SPGr10 SVC1 3/3</t>
  </si>
  <si>
    <t xml:space="preserve">100130</t>
  </si>
  <si>
    <t xml:space="preserve">Blende Gasdruckspeicher</t>
  </si>
  <si>
    <t xml:space="preserve">101796</t>
  </si>
  <si>
    <t xml:space="preserve">109760</t>
  </si>
  <si>
    <t xml:space="preserve">101558</t>
  </si>
  <si>
    <t xml:space="preserve">102278</t>
  </si>
  <si>
    <t xml:space="preserve">106955</t>
  </si>
  <si>
    <t xml:space="preserve">Schnittstellenmodul</t>
  </si>
  <si>
    <t xml:space="preserve">106942</t>
  </si>
  <si>
    <t xml:space="preserve">105959</t>
  </si>
  <si>
    <t xml:space="preserve">Adapter Messing</t>
  </si>
  <si>
    <t xml:space="preserve">101616</t>
  </si>
  <si>
    <t xml:space="preserve">Transfermagnetventil CH4 komplett</t>
  </si>
  <si>
    <t xml:space="preserve">108480</t>
  </si>
  <si>
    <t xml:space="preserve">Reduktions Adapter</t>
  </si>
  <si>
    <t xml:space="preserve">107235</t>
  </si>
  <si>
    <t xml:space="preserve">005282</t>
  </si>
  <si>
    <t xml:space="preserve">Leitungsregler LT2000</t>
  </si>
  <si>
    <t xml:space="preserve">109318</t>
  </si>
  <si>
    <t xml:space="preserve">Leuchtmelder rot</t>
  </si>
  <si>
    <t xml:space="preserve">005091</t>
  </si>
  <si>
    <t xml:space="preserve">SPS Ethernet Kommunikationsmodul</t>
  </si>
  <si>
    <t xml:space="preserve">005225</t>
  </si>
  <si>
    <t xml:space="preserve">Glühkerzenstecker Ersatzteil</t>
  </si>
  <si>
    <t xml:space="preserve">109480</t>
  </si>
  <si>
    <t xml:space="preserve">Sicherheitsventil</t>
  </si>
  <si>
    <t xml:space="preserve">103488</t>
  </si>
  <si>
    <t xml:space="preserve">005499</t>
  </si>
  <si>
    <t xml:space="preserve">105351</t>
  </si>
  <si>
    <t xml:space="preserve">106425</t>
  </si>
  <si>
    <t xml:space="preserve">Kolbenring SPGr10</t>
  </si>
  <si>
    <t xml:space="preserve">005693</t>
  </si>
  <si>
    <t xml:space="preserve">Sicherheitsrelais</t>
  </si>
  <si>
    <t xml:space="preserve">110642</t>
  </si>
  <si>
    <t xml:space="preserve">Aufschraubadapter Edelstahl</t>
  </si>
  <si>
    <t xml:space="preserve">109170</t>
  </si>
  <si>
    <t xml:space="preserve">Bündelanschlussschlauch Brenngas</t>
  </si>
  <si>
    <t xml:space="preserve">109169</t>
  </si>
  <si>
    <t xml:space="preserve">Bündelanschlussschlauch Stickstoff</t>
  </si>
  <si>
    <t xml:space="preserve">109695</t>
  </si>
  <si>
    <t xml:space="preserve">Ansaugfilter zu Spülluftmodul</t>
  </si>
  <si>
    <t xml:space="preserve">001069</t>
  </si>
  <si>
    <t xml:space="preserve">VCI-Folie</t>
  </si>
  <si>
    <t xml:space="preserve">100383</t>
  </si>
  <si>
    <t xml:space="preserve">002063</t>
  </si>
  <si>
    <t xml:space="preserve">Sichtlagerkasten klein</t>
  </si>
  <si>
    <t xml:space="preserve">106956</t>
  </si>
  <si>
    <t xml:space="preserve">Schnittstellenmodul für PROFIBUS DP</t>
  </si>
  <si>
    <t xml:space="preserve">005644</t>
  </si>
  <si>
    <t xml:space="preserve">005359</t>
  </si>
  <si>
    <t xml:space="preserve">Abzweigdose</t>
  </si>
  <si>
    <t xml:space="preserve">100628</t>
  </si>
  <si>
    <t xml:space="preserve">106889</t>
  </si>
  <si>
    <t xml:space="preserve">PTFE-Schlauch DN6</t>
  </si>
  <si>
    <t xml:space="preserve">103254</t>
  </si>
  <si>
    <t xml:space="preserve">Abpressplatte</t>
  </si>
  <si>
    <t xml:space="preserve">001044</t>
  </si>
  <si>
    <t xml:space="preserve">108084</t>
  </si>
  <si>
    <t xml:space="preserve">Innenbox SPGr16 SVC1 2/3</t>
  </si>
  <si>
    <t xml:space="preserve">103766</t>
  </si>
  <si>
    <t xml:space="preserve">100372</t>
  </si>
  <si>
    <t xml:space="preserve">107164</t>
  </si>
  <si>
    <t xml:space="preserve">Hochdruck-Ganzmetallschlauch Luft</t>
  </si>
  <si>
    <t xml:space="preserve">100039</t>
  </si>
  <si>
    <t xml:space="preserve">002076</t>
  </si>
  <si>
    <t xml:space="preserve">103606</t>
  </si>
  <si>
    <t xml:space="preserve">Hochdruck-Ganzmetallschlauch</t>
  </si>
  <si>
    <t xml:space="preserve">107135</t>
  </si>
  <si>
    <t xml:space="preserve">Führungsstange</t>
  </si>
  <si>
    <t xml:space="preserve">107298</t>
  </si>
  <si>
    <t xml:space="preserve">Vorrichtung zu Ventilmontage</t>
  </si>
  <si>
    <t xml:space="preserve">005658</t>
  </si>
  <si>
    <t xml:space="preserve">Servicemagnet</t>
  </si>
  <si>
    <t xml:space="preserve">101769</t>
  </si>
  <si>
    <t xml:space="preserve">106895</t>
  </si>
  <si>
    <t xml:space="preserve">SPS Zentraleinheit</t>
  </si>
  <si>
    <t xml:space="preserve">109163</t>
  </si>
  <si>
    <t xml:space="preserve">108865</t>
  </si>
  <si>
    <t xml:space="preserve">Aufrüst Litzenset 1. SLM</t>
  </si>
  <si>
    <t xml:space="preserve">106953</t>
  </si>
  <si>
    <t xml:space="preserve">Digitales Relaismodul Ausgang</t>
  </si>
  <si>
    <t xml:space="preserve">102490</t>
  </si>
  <si>
    <t xml:space="preserve">002043</t>
  </si>
  <si>
    <t xml:space="preserve">Holzfaltkiste Premium</t>
  </si>
  <si>
    <t xml:space="preserve">108083</t>
  </si>
  <si>
    <t xml:space="preserve">Innenbox SPGr16 SVC1 1/3</t>
  </si>
  <si>
    <t xml:space="preserve">109156</t>
  </si>
  <si>
    <t xml:space="preserve">106137</t>
  </si>
  <si>
    <t xml:space="preserve">109787</t>
  </si>
  <si>
    <t xml:space="preserve">108046</t>
  </si>
  <si>
    <t xml:space="preserve">106704</t>
  </si>
  <si>
    <t xml:space="preserve">109074</t>
  </si>
  <si>
    <t xml:space="preserve">106934</t>
  </si>
  <si>
    <t xml:space="preserve">Sicherheitssteuerung</t>
  </si>
  <si>
    <t xml:space="preserve">005423</t>
  </si>
  <si>
    <t xml:space="preserve">005440</t>
  </si>
  <si>
    <t xml:space="preserve">Bis auf 10stk?</t>
  </si>
  <si>
    <t xml:space="preserve">109364</t>
  </si>
  <si>
    <t xml:space="preserve">100403</t>
  </si>
  <si>
    <t xml:space="preserve">Ventilblock</t>
  </si>
  <si>
    <t xml:space="preserve">005309</t>
  </si>
  <si>
    <t xml:space="preserve">Kolbenabzug komplett</t>
  </si>
  <si>
    <t xml:space="preserve">101159</t>
  </si>
  <si>
    <t xml:space="preserve">108077</t>
  </si>
  <si>
    <t xml:space="preserve">Innenbox SPGr10 SVC1 2/3</t>
  </si>
  <si>
    <t xml:space="preserve">108076</t>
  </si>
  <si>
    <t xml:space="preserve">Innenbox SPGr10 SVC1 1/3</t>
  </si>
  <si>
    <t xml:space="preserve">106973</t>
  </si>
  <si>
    <t xml:space="preserve">108088</t>
  </si>
  <si>
    <t xml:space="preserve">Innenbox SPGr16 SVC2 3/4</t>
  </si>
  <si>
    <t xml:space="preserve">108430</t>
  </si>
  <si>
    <t xml:space="preserve">Koffer Servicetechniker Set SPGr</t>
  </si>
  <si>
    <t xml:space="preserve">108087</t>
  </si>
  <si>
    <t xml:space="preserve">Innenbox SPGr16 SVC2 2/4</t>
  </si>
  <si>
    <t xml:space="preserve">106426</t>
  </si>
  <si>
    <t xml:space="preserve">108074</t>
  </si>
  <si>
    <t xml:space="preserve">Palettenbox SPGr16 SVC1</t>
  </si>
  <si>
    <t xml:space="preserve">109199</t>
  </si>
  <si>
    <t xml:space="preserve">109173</t>
  </si>
  <si>
    <t xml:space="preserve">106994</t>
  </si>
  <si>
    <t xml:space="preserve">B&amp;R</t>
  </si>
  <si>
    <t xml:space="preserve">106962</t>
  </si>
  <si>
    <t xml:space="preserve">Sicheres digtales Ausgangsmodul</t>
  </si>
  <si>
    <t xml:space="preserve">109788</t>
  </si>
  <si>
    <t xml:space="preserve">109155</t>
  </si>
  <si>
    <t xml:space="preserve">106939</t>
  </si>
  <si>
    <t xml:space="preserve">109154</t>
  </si>
  <si>
    <t xml:space="preserve">Drehabsperr-Ventil</t>
  </si>
  <si>
    <t xml:space="preserve">005279</t>
  </si>
  <si>
    <t xml:space="preserve">Schallsensor</t>
  </si>
  <si>
    <t xml:space="preserve">Überbestand; Braucht es diesen Artikel ?</t>
  </si>
  <si>
    <t xml:space="preserve">108073</t>
  </si>
  <si>
    <t xml:space="preserve">Palettenbox SPGr10 SVC2</t>
  </si>
  <si>
    <t xml:space="preserve">108119</t>
  </si>
  <si>
    <t xml:space="preserve">HMI GT2505-VTBD</t>
  </si>
  <si>
    <t xml:space="preserve">107251</t>
  </si>
  <si>
    <t xml:space="preserve">108089</t>
  </si>
  <si>
    <t xml:space="preserve">Innenbox SPGr16 SVC2 4/4</t>
  </si>
  <si>
    <t xml:space="preserve">100788</t>
  </si>
  <si>
    <t xml:space="preserve">Pilot Magnetventil CH4 komplett</t>
  </si>
  <si>
    <t xml:space="preserve">107367</t>
  </si>
  <si>
    <t xml:space="preserve">109328</t>
  </si>
  <si>
    <t xml:space="preserve">108849</t>
  </si>
  <si>
    <t xml:space="preserve">005084</t>
  </si>
  <si>
    <t xml:space="preserve">108220</t>
  </si>
  <si>
    <t xml:space="preserve">Zwischenflansch SPGr10</t>
  </si>
  <si>
    <t xml:space="preserve">103919</t>
  </si>
  <si>
    <t xml:space="preserve">109158</t>
  </si>
  <si>
    <t xml:space="preserve">Sicherheitsventil 40 bar</t>
  </si>
  <si>
    <t xml:space="preserve">110378</t>
  </si>
  <si>
    <t xml:space="preserve">OC-107710</t>
  </si>
  <si>
    <t xml:space="preserve">-</t>
  </si>
  <si>
    <t xml:space="preserve">001126</t>
  </si>
  <si>
    <t xml:space="preserve">Holzkiste Steuerschrank klein</t>
  </si>
  <si>
    <t xml:space="preserve">107110</t>
  </si>
  <si>
    <t xml:space="preserve">Montageschlüssel Rückschlagventile</t>
  </si>
  <si>
    <t xml:space="preserve">101624</t>
  </si>
  <si>
    <t xml:space="preserve">Grundplatte zu Aufhängung</t>
  </si>
  <si>
    <t xml:space="preserve">100348</t>
  </si>
  <si>
    <t xml:space="preserve">Filterelement</t>
  </si>
  <si>
    <t xml:space="preserve">104221</t>
  </si>
  <si>
    <t xml:space="preserve">Kabel Set EG101 - VP auf Gestell</t>
  </si>
  <si>
    <t xml:space="preserve">005583</t>
  </si>
  <si>
    <t xml:space="preserve">Sicherungsdraht</t>
  </si>
  <si>
    <t xml:space="preserve">110379</t>
  </si>
  <si>
    <t xml:space="preserve">Blindmodul</t>
  </si>
  <si>
    <t xml:space="preserve">OC-107047</t>
  </si>
  <si>
    <t xml:space="preserve">Konstanthänger komplett</t>
  </si>
  <si>
    <t xml:space="preserve">108086</t>
  </si>
  <si>
    <t xml:space="preserve">Innenbox SPGr16 SVC2 1/4</t>
  </si>
  <si>
    <t xml:space="preserve">108497</t>
  </si>
  <si>
    <t xml:space="preserve">Etikette KKS EG10-Serie/SPGr</t>
  </si>
  <si>
    <t xml:space="preserve">BEI MARIO</t>
  </si>
  <si>
    <t xml:space="preserve">109738</t>
  </si>
  <si>
    <t xml:space="preserve">108697</t>
  </si>
  <si>
    <t xml:space="preserve">Ventilkopf</t>
  </si>
  <si>
    <t xml:space="preserve">109168</t>
  </si>
  <si>
    <t xml:space="preserve">Bündelanschlussschlauch Druckluft</t>
  </si>
  <si>
    <t xml:space="preserve">106997</t>
  </si>
  <si>
    <t xml:space="preserve">Halbleiterschütz 1-phasig</t>
  </si>
  <si>
    <t xml:space="preserve">101231</t>
  </si>
  <si>
    <t xml:space="preserve">005698</t>
  </si>
  <si>
    <t xml:space="preserve">Stromversorgung</t>
  </si>
  <si>
    <t xml:space="preserve">107648</t>
  </si>
  <si>
    <t xml:space="preserve">Reserve Save Key</t>
  </si>
  <si>
    <t xml:space="preserve">103247</t>
  </si>
  <si>
    <t xml:space="preserve">Abpressdeckel</t>
  </si>
  <si>
    <t xml:space="preserve">104215</t>
  </si>
  <si>
    <t xml:space="preserve">105224</t>
  </si>
  <si>
    <t xml:space="preserve">108488</t>
  </si>
  <si>
    <t xml:space="preserve">106961</t>
  </si>
  <si>
    <t xml:space="preserve">109323</t>
  </si>
  <si>
    <t xml:space="preserve">Set bedruckte Einlagen SPGr16 SVC 1</t>
  </si>
  <si>
    <t xml:space="preserve">108357</t>
  </si>
  <si>
    <t xml:space="preserve">OC-107737</t>
  </si>
  <si>
    <t xml:space="preserve">005230</t>
  </si>
  <si>
    <t xml:space="preserve">Sicherheitsventil 40bar, CH4</t>
  </si>
  <si>
    <t xml:space="preserve">106964</t>
  </si>
  <si>
    <t xml:space="preserve">005219</t>
  </si>
  <si>
    <t xml:space="preserve">Sicherheitsventil 40bar, O2</t>
  </si>
  <si>
    <t xml:space="preserve">103752</t>
  </si>
  <si>
    <t xml:space="preserve">107684</t>
  </si>
  <si>
    <t xml:space="preserve">OC-106572</t>
  </si>
  <si>
    <t xml:space="preserve">103761</t>
  </si>
  <si>
    <t xml:space="preserve">005128</t>
  </si>
  <si>
    <t xml:space="preserve">108045</t>
  </si>
  <si>
    <t xml:space="preserve">106377</t>
  </si>
  <si>
    <t xml:space="preserve">110187</t>
  </si>
  <si>
    <t xml:space="preserve">005319</t>
  </si>
  <si>
    <t xml:space="preserve">108075</t>
  </si>
  <si>
    <t xml:space="preserve">Palettenbox SPGr16 SVC2</t>
  </si>
  <si>
    <t xml:space="preserve">109321</t>
  </si>
  <si>
    <t xml:space="preserve">Set bedruckte Einlagen SPGr10 SVC1</t>
  </si>
  <si>
    <t xml:space="preserve">106795</t>
  </si>
  <si>
    <t xml:space="preserve">001205</t>
  </si>
  <si>
    <t xml:space="preserve">Holzkiste Luftkompressor Luft &amp; See</t>
  </si>
  <si>
    <t xml:space="preserve">106946</t>
  </si>
  <si>
    <t xml:space="preserve">101454</t>
  </si>
  <si>
    <t xml:space="preserve">106864</t>
  </si>
  <si>
    <t xml:space="preserve">Site Manager 3539</t>
  </si>
  <si>
    <t xml:space="preserve">100398</t>
  </si>
  <si>
    <t xml:space="preserve">Stickstoffblock</t>
  </si>
  <si>
    <t xml:space="preserve">108877</t>
  </si>
  <si>
    <t xml:space="preserve">101452</t>
  </si>
  <si>
    <t xml:space="preserve">002044</t>
  </si>
  <si>
    <t xml:space="preserve">108821</t>
  </si>
  <si>
    <t xml:space="preserve">Klemmhalter</t>
  </si>
  <si>
    <t xml:space="preserve">100354</t>
  </si>
  <si>
    <t xml:space="preserve">105443</t>
  </si>
  <si>
    <t xml:space="preserve">109324</t>
  </si>
  <si>
    <t xml:space="preserve">Set bedruckte Einlagen SPGr16 SVC 2</t>
  </si>
  <si>
    <t xml:space="preserve">109322</t>
  </si>
  <si>
    <t xml:space="preserve">Set bedruckte Einlagen SPGr10 SVC 2</t>
  </si>
  <si>
    <t xml:space="preserve">OC-100396</t>
  </si>
  <si>
    <t xml:space="preserve">Ventilpanel komplett, Grundpanel</t>
  </si>
  <si>
    <t xml:space="preserve">110023</t>
  </si>
  <si>
    <t xml:space="preserve">Kugelschreiber</t>
  </si>
  <si>
    <t xml:space="preserve">100787</t>
  </si>
  <si>
    <t xml:space="preserve">Pilot Magnetventil O2 komplett</t>
  </si>
  <si>
    <t xml:space="preserve">005118</t>
  </si>
  <si>
    <t xml:space="preserve">Rundstrahlantenne</t>
  </si>
  <si>
    <t xml:space="preserve">107410</t>
  </si>
  <si>
    <t xml:space="preserve">105980</t>
  </si>
  <si>
    <t xml:space="preserve">Gasdruckspeicher Gehäuse SPGr16</t>
  </si>
  <si>
    <t xml:space="preserve">001204</t>
  </si>
  <si>
    <t xml:space="preserve">Holzkiste SPGr16 + SPC800 Luft &amp; See</t>
  </si>
  <si>
    <t xml:space="preserve">107137</t>
  </si>
  <si>
    <t xml:space="preserve">Servicepaket AC260-SVC12</t>
  </si>
  <si>
    <t xml:space="preserve">106373</t>
  </si>
  <si>
    <t xml:space="preserve">108507</t>
  </si>
  <si>
    <t xml:space="preserve">HMI GT2708-VTBD</t>
  </si>
  <si>
    <t xml:space="preserve">005233</t>
  </si>
  <si>
    <t xml:space="preserve">Secomea SiteManager</t>
  </si>
  <si>
    <t xml:space="preserve">106706</t>
  </si>
  <si>
    <t xml:space="preserve">100156</t>
  </si>
  <si>
    <t xml:space="preserve">Glühkerze</t>
  </si>
  <si>
    <t xml:space="preserve">109042</t>
  </si>
  <si>
    <t xml:space="preserve">Sensorkabel mit Tüllengehäuse</t>
  </si>
  <si>
    <t xml:space="preserve">100132</t>
  </si>
  <si>
    <t xml:space="preserve">Deckel Gasdruckspeicher</t>
  </si>
  <si>
    <t xml:space="preserve">OC-106435</t>
  </si>
  <si>
    <t xml:space="preserve">Federkonsole komplett</t>
  </si>
  <si>
    <t xml:space="preserve">101451</t>
  </si>
  <si>
    <t xml:space="preserve">105250</t>
  </si>
  <si>
    <t xml:space="preserve">106952</t>
  </si>
  <si>
    <t xml:space="preserve">Digitales I/O-Modul Ausgang</t>
  </si>
  <si>
    <t xml:space="preserve">101450</t>
  </si>
  <si>
    <t xml:space="preserve">106965</t>
  </si>
  <si>
    <t xml:space="preserve">103490</t>
  </si>
  <si>
    <t xml:space="preserve">005695</t>
  </si>
  <si>
    <t xml:space="preserve">107989</t>
  </si>
  <si>
    <t xml:space="preserve">100356</t>
  </si>
  <si>
    <t xml:space="preserve">110021</t>
  </si>
  <si>
    <t xml:space="preserve">107091</t>
  </si>
  <si>
    <t xml:space="preserve">106176</t>
  </si>
  <si>
    <t xml:space="preserve">Ventilsitzgehäuse SPGr10</t>
  </si>
  <si>
    <t xml:space="preserve">105317</t>
  </si>
  <si>
    <t xml:space="preserve">106958</t>
  </si>
  <si>
    <t xml:space="preserve">Einspeisemodul für Bus-Leiterplatte</t>
  </si>
  <si>
    <t xml:space="preserve">107401</t>
  </si>
  <si>
    <t xml:space="preserve">108741</t>
  </si>
  <si>
    <t xml:space="preserve">108670</t>
  </si>
  <si>
    <t xml:space="preserve">103382</t>
  </si>
  <si>
    <t xml:space="preserve">107992</t>
  </si>
  <si>
    <t xml:space="preserve">109171</t>
  </si>
  <si>
    <t xml:space="preserve">OC-105719</t>
  </si>
  <si>
    <t xml:space="preserve">107710</t>
  </si>
  <si>
    <t xml:space="preserve">Austrittsdüse SPGr10</t>
  </si>
  <si>
    <t xml:space="preserve">108475</t>
  </si>
  <si>
    <t xml:space="preserve">106948</t>
  </si>
  <si>
    <t xml:space="preserve">108798</t>
  </si>
  <si>
    <t xml:space="preserve">100118</t>
  </si>
  <si>
    <t xml:space="preserve">Ventilsitzeinsatz D40</t>
  </si>
  <si>
    <t xml:space="preserve">107685</t>
  </si>
  <si>
    <t xml:space="preserve">005205</t>
  </si>
  <si>
    <t xml:space="preserve">Druckregelstrecke N2</t>
  </si>
  <si>
    <t xml:space="preserve">108068</t>
  </si>
  <si>
    <t xml:space="preserve">Sicherheitsventil letzte Stufe AC260</t>
  </si>
  <si>
    <t xml:space="preserve">005052</t>
  </si>
  <si>
    <t xml:space="preserve">106705</t>
  </si>
  <si>
    <t xml:space="preserve">107825</t>
  </si>
  <si>
    <t xml:space="preserve">Standartdüse</t>
  </si>
  <si>
    <t xml:space="preserve">100353</t>
  </si>
  <si>
    <t xml:space="preserve">101249</t>
  </si>
  <si>
    <t xml:space="preserve">01C</t>
  </si>
  <si>
    <t xml:space="preserve">107402</t>
  </si>
  <si>
    <t xml:space="preserve">Ventilkabel Brenngas</t>
  </si>
  <si>
    <t xml:space="preserve">106943</t>
  </si>
  <si>
    <t xml:space="preserve">106940</t>
  </si>
  <si>
    <t xml:space="preserve">Bus Controller</t>
  </si>
  <si>
    <t xml:space="preserve">101169</t>
  </si>
  <si>
    <t xml:space="preserve">106951</t>
  </si>
  <si>
    <t xml:space="preserve">Digitales I/O-Modul Eingang</t>
  </si>
  <si>
    <t xml:space="preserve">109689</t>
  </si>
  <si>
    <t xml:space="preserve">OC-107514</t>
  </si>
  <si>
    <t xml:space="preserve">108072</t>
  </si>
  <si>
    <t xml:space="preserve">Palettenbox SPGr10 SVC1</t>
  </si>
  <si>
    <t xml:space="preserve">107136</t>
  </si>
  <si>
    <t xml:space="preserve">Servicepaket AC260-SVC11</t>
  </si>
  <si>
    <t xml:space="preserve">107016</t>
  </si>
  <si>
    <t xml:space="preserve">Speichereinheit SU80-2</t>
  </si>
  <si>
    <t xml:space="preserve">Kompressor</t>
  </si>
  <si>
    <t xml:space="preserve">005711</t>
  </si>
  <si>
    <t xml:space="preserve">Temperaturmessumformer</t>
  </si>
  <si>
    <t xml:space="preserve">100151</t>
  </si>
  <si>
    <t xml:space="preserve">Ventilgehäuse</t>
  </si>
  <si>
    <t xml:space="preserve">101428</t>
  </si>
  <si>
    <t xml:space="preserve">Rohr Anschweissstück</t>
  </si>
  <si>
    <t xml:space="preserve">100050</t>
  </si>
  <si>
    <t xml:space="preserve">Deckel zu Dosierzylinder</t>
  </si>
  <si>
    <t xml:space="preserve">OC-107560</t>
  </si>
  <si>
    <t xml:space="preserve">106729</t>
  </si>
  <si>
    <t xml:space="preserve">100317</t>
  </si>
  <si>
    <t xml:space="preserve">106985</t>
  </si>
  <si>
    <t xml:space="preserve">100277</t>
  </si>
  <si>
    <t xml:space="preserve">109754</t>
  </si>
  <si>
    <t xml:space="preserve">101448</t>
  </si>
  <si>
    <t xml:space="preserve">100888</t>
  </si>
  <si>
    <t xml:space="preserve">Rückschlagventil-Patrone</t>
  </si>
  <si>
    <t xml:space="preserve">005089</t>
  </si>
  <si>
    <t xml:space="preserve">Bedienpanel MMI Touch</t>
  </si>
  <si>
    <t xml:space="preserve">OC-106804</t>
  </si>
  <si>
    <t xml:space="preserve">107093</t>
  </si>
  <si>
    <t xml:space="preserve">Werkzeugkiste (Behälter)</t>
  </si>
  <si>
    <t xml:space="preserve">100343</t>
  </si>
  <si>
    <t xml:space="preserve">Kugelhahn CH4/N2</t>
  </si>
  <si>
    <t xml:space="preserve">107400</t>
  </si>
  <si>
    <t xml:space="preserve">106725</t>
  </si>
  <si>
    <t xml:space="preserve">107951</t>
  </si>
  <si>
    <t xml:space="preserve">Verpackung Servicepaket SPGr16 SVC2</t>
  </si>
  <si>
    <t xml:space="preserve">106960</t>
  </si>
  <si>
    <t xml:space="preserve">109095</t>
  </si>
  <si>
    <t xml:space="preserve">Zentrierscheibe</t>
  </si>
  <si>
    <t xml:space="preserve">005206</t>
  </si>
  <si>
    <t xml:space="preserve">Entspannungsstation</t>
  </si>
  <si>
    <t xml:space="preserve">106954</t>
  </si>
  <si>
    <t xml:space="preserve">Digitales Modul IO-Link</t>
  </si>
  <si>
    <t xml:space="preserve">107065</t>
  </si>
  <si>
    <t xml:space="preserve">Rohr Anschweissstück DN200</t>
  </si>
  <si>
    <t xml:space="preserve">107764</t>
  </si>
  <si>
    <t xml:space="preserve">105714</t>
  </si>
  <si>
    <t xml:space="preserve">Zündplatte</t>
  </si>
  <si>
    <t xml:space="preserve">102305</t>
  </si>
  <si>
    <t xml:space="preserve">Mischgehäuse TwinL</t>
  </si>
  <si>
    <t xml:space="preserve">005349</t>
  </si>
  <si>
    <t xml:space="preserve">107999</t>
  </si>
  <si>
    <t xml:space="preserve">106938</t>
  </si>
  <si>
    <t xml:space="preserve">Analoges Ausgangsmodul</t>
  </si>
  <si>
    <t xml:space="preserve">109326</t>
  </si>
  <si>
    <t xml:space="preserve">107862</t>
  </si>
  <si>
    <t xml:space="preserve">100054</t>
  </si>
  <si>
    <t xml:space="preserve">Kolbenring</t>
  </si>
  <si>
    <t xml:space="preserve">105266</t>
  </si>
  <si>
    <t xml:space="preserve">Zündplatte TwinL, komplett</t>
  </si>
  <si>
    <t xml:space="preserve">107640</t>
  </si>
  <si>
    <t xml:space="preserve">OC-100444</t>
  </si>
  <si>
    <t xml:space="preserve">Shock Pulse Generator EG10XL komplett</t>
  </si>
  <si>
    <t xml:space="preserve">107516</t>
  </si>
  <si>
    <t xml:space="preserve">101617</t>
  </si>
  <si>
    <t xml:space="preserve">Transfermagnetventil O2 komplett</t>
  </si>
  <si>
    <t xml:space="preserve">100120</t>
  </si>
  <si>
    <t xml:space="preserve">Flansch Ventilsitz</t>
  </si>
  <si>
    <t xml:space="preserve">OC-105718</t>
  </si>
  <si>
    <t xml:space="preserve">SPC800 Base</t>
  </si>
  <si>
    <t xml:space="preserve">106422</t>
  </si>
  <si>
    <t xml:space="preserve">Kolbenring SPGr16</t>
  </si>
  <si>
    <t xml:space="preserve">109320</t>
  </si>
  <si>
    <t xml:space="preserve">108759</t>
  </si>
  <si>
    <t xml:space="preserve">005087</t>
  </si>
  <si>
    <t xml:space="preserve">110392</t>
  </si>
  <si>
    <t xml:space="preserve">Litzensatz - Aufrüstung SPC800 V3.0.0</t>
  </si>
  <si>
    <t xml:space="preserve">105985</t>
  </si>
  <si>
    <t xml:space="preserve">Ventilsitzadapter SPGr16</t>
  </si>
  <si>
    <t xml:space="preserve">109292</t>
  </si>
  <si>
    <t xml:space="preserve">Elektroschema - Nacharbeit</t>
  </si>
  <si>
    <t xml:space="preserve">106950</t>
  </si>
  <si>
    <t xml:space="preserve">Temperatur Eingangsmodul</t>
  </si>
  <si>
    <t xml:space="preserve">106936</t>
  </si>
  <si>
    <t xml:space="preserve">Power Panel T50</t>
  </si>
  <si>
    <t xml:space="preserve">108168</t>
  </si>
  <si>
    <t xml:space="preserve">105962</t>
  </si>
  <si>
    <t xml:space="preserve">109737</t>
  </si>
  <si>
    <t xml:space="preserve">Druckregelstrecke SPGr Luft</t>
  </si>
  <si>
    <t xml:space="preserve">109758</t>
  </si>
  <si>
    <t xml:space="preserve">107950</t>
  </si>
  <si>
    <t xml:space="preserve">Verpackung Servicepaket SPGr16 SVC1</t>
  </si>
  <si>
    <t xml:space="preserve">100055</t>
  </si>
  <si>
    <t xml:space="preserve">106423</t>
  </si>
  <si>
    <t xml:space="preserve">108800</t>
  </si>
  <si>
    <t xml:space="preserve">106937</t>
  </si>
  <si>
    <t xml:space="preserve">Analoges Eingangsmodul</t>
  </si>
  <si>
    <t xml:space="preserve">105305</t>
  </si>
  <si>
    <t xml:space="preserve">101828</t>
  </si>
  <si>
    <t xml:space="preserve">OC-100168</t>
  </si>
  <si>
    <t xml:space="preserve">Shock Pulse Generator TwinL komplett</t>
  </si>
  <si>
    <t xml:space="preserve">106888</t>
  </si>
  <si>
    <t xml:space="preserve">107949</t>
  </si>
  <si>
    <t xml:space="preserve">Verpackung Servicepaket SPGr10 SVC2</t>
  </si>
  <si>
    <t xml:space="preserve">109089</t>
  </si>
  <si>
    <t xml:space="preserve">Gasdruckspeicher Flansch SPGr16</t>
  </si>
  <si>
    <t xml:space="preserve">105315</t>
  </si>
  <si>
    <t xml:space="preserve">Gasdruckspeicher Gehäuse SPGr10</t>
  </si>
  <si>
    <t xml:space="preserve">107870</t>
  </si>
  <si>
    <t xml:space="preserve">Ventilsitz SPGr10</t>
  </si>
  <si>
    <t xml:space="preserve">103764</t>
  </si>
  <si>
    <t xml:space="preserve">OC-106183</t>
  </si>
  <si>
    <t xml:space="preserve">Shock Pulse Generator SPGr16 komplett</t>
  </si>
  <si>
    <t xml:space="preserve">106075</t>
  </si>
  <si>
    <t xml:space="preserve">Deckel zu Verbrennungszylinder</t>
  </si>
  <si>
    <t xml:space="preserve">109146</t>
  </si>
  <si>
    <t xml:space="preserve">Druckregelstrecke Stickstoff</t>
  </si>
  <si>
    <t xml:space="preserve">110333</t>
  </si>
  <si>
    <t xml:space="preserve">106076</t>
  </si>
  <si>
    <t xml:space="preserve">Verbrennungszylinder EG10XL</t>
  </si>
  <si>
    <t xml:space="preserve">106798</t>
  </si>
  <si>
    <t xml:space="preserve">Druckregelstrecke Luft</t>
  </si>
  <si>
    <t xml:space="preserve">109094</t>
  </si>
  <si>
    <t xml:space="preserve">108329</t>
  </si>
  <si>
    <t xml:space="preserve">Kugelhahn Brenngas Ventilpanel</t>
  </si>
  <si>
    <t xml:space="preserve">106590</t>
  </si>
  <si>
    <t xml:space="preserve">107821</t>
  </si>
  <si>
    <t xml:space="preserve">106579</t>
  </si>
  <si>
    <t xml:space="preserve">100058</t>
  </si>
  <si>
    <t xml:space="preserve">Kolben</t>
  </si>
  <si>
    <t xml:space="preserve">107568</t>
  </si>
  <si>
    <t xml:space="preserve">106931</t>
  </si>
  <si>
    <t xml:space="preserve">106963</t>
  </si>
  <si>
    <t xml:space="preserve">107192</t>
  </si>
  <si>
    <t xml:space="preserve">Servicepaket SPGr10 SVC2</t>
  </si>
  <si>
    <t xml:space="preserve">109145</t>
  </si>
  <si>
    <t xml:space="preserve">Druckregelstrecke Brenngas</t>
  </si>
  <si>
    <t xml:space="preserve">108491</t>
  </si>
  <si>
    <t xml:space="preserve">106239</t>
  </si>
  <si>
    <t xml:space="preserve">Verbrennungszylinder EG10L</t>
  </si>
  <si>
    <t xml:space="preserve">109088</t>
  </si>
  <si>
    <t xml:space="preserve">Gasdruckspeicher Flansch SPGr10</t>
  </si>
  <si>
    <t xml:space="preserve">108624</t>
  </si>
  <si>
    <t xml:space="preserve">107948</t>
  </si>
  <si>
    <t xml:space="preserve">Verpackung Servicepaket SPGr10 SVC1</t>
  </si>
  <si>
    <t xml:space="preserve">107817</t>
  </si>
  <si>
    <t xml:space="preserve">107194</t>
  </si>
  <si>
    <t xml:space="preserve">Servicepaket SPGr16 SVC2</t>
  </si>
  <si>
    <t xml:space="preserve">109194</t>
  </si>
  <si>
    <t xml:space="preserve">101245</t>
  </si>
  <si>
    <t xml:space="preserve">108494</t>
  </si>
  <si>
    <t xml:space="preserve">110377</t>
  </si>
  <si>
    <t xml:space="preserve">Sicheres Strom-Eingangsmodul</t>
  </si>
  <si>
    <t xml:space="preserve">108495</t>
  </si>
  <si>
    <t xml:space="preserve">106819</t>
  </si>
  <si>
    <t xml:space="preserve">108496</t>
  </si>
  <si>
    <t xml:space="preserve">001145</t>
  </si>
  <si>
    <t xml:space="preserve">Atemschutzmaske</t>
  </si>
  <si>
    <t xml:space="preserve">nur im Artikelstamm (Bestand 23.06.2026); Verb.Lager</t>
  </si>
  <si>
    <t xml:space="preserve">001167</t>
  </si>
  <si>
    <t xml:space="preserve">Einsteck Knarre</t>
  </si>
  <si>
    <t xml:space="preserve">nur im Artikelstamm (Bestand 23.06.2026); Überbestand</t>
  </si>
  <si>
    <t xml:space="preserve">002036</t>
  </si>
  <si>
    <t xml:space="preserve">Universalmesser</t>
  </si>
  <si>
    <t xml:space="preserve">nur im Artikelstamm (Bestand 23.06.2026)</t>
  </si>
  <si>
    <t xml:space="preserve">002050</t>
  </si>
  <si>
    <t xml:space="preserve">Gewindebohrer M16</t>
  </si>
  <si>
    <t xml:space="preserve">005090</t>
  </si>
  <si>
    <t xml:space="preserve">SPS Konverter MMI</t>
  </si>
  <si>
    <t xml:space="preserve">005092</t>
  </si>
  <si>
    <t xml:space="preserve">SPS Kabel zu MMI 3m</t>
  </si>
  <si>
    <t xml:space="preserve">005095</t>
  </si>
  <si>
    <t xml:space="preserve">SPS Erweiterungs-Modul</t>
  </si>
  <si>
    <t xml:space="preserve">005124</t>
  </si>
  <si>
    <t xml:space="preserve">Hilfskontakt zu LS</t>
  </si>
  <si>
    <t xml:space="preserve">005126</t>
  </si>
  <si>
    <t xml:space="preserve">Hilfskontakt AB 4P. zu K-Schütz</t>
  </si>
  <si>
    <t xml:space="preserve">005134</t>
  </si>
  <si>
    <t xml:space="preserve">Phönix DC Speisegerät 10A</t>
  </si>
  <si>
    <t xml:space="preserve">005135</t>
  </si>
  <si>
    <t xml:space="preserve">005137</t>
  </si>
  <si>
    <t xml:space="preserve">Schalter Kraus &amp; Naimer stand.</t>
  </si>
  <si>
    <t xml:space="preserve">005138</t>
  </si>
  <si>
    <t xml:space="preserve">Telemecanique Not-Aus Taster komplett</t>
  </si>
  <si>
    <t xml:space="preserve">005141</t>
  </si>
  <si>
    <t xml:space="preserve">Sicherungsklemme mit LED für 5x20</t>
  </si>
  <si>
    <t xml:space="preserve">005237</t>
  </si>
  <si>
    <t xml:space="preserve">005275</t>
  </si>
  <si>
    <t xml:space="preserve">Magnetspule Parker</t>
  </si>
  <si>
    <t xml:space="preserve">005340</t>
  </si>
  <si>
    <t xml:space="preserve">005353</t>
  </si>
  <si>
    <t xml:space="preserve">005368</t>
  </si>
  <si>
    <t xml:space="preserve">SPS USB-Schnittstellenadapter</t>
  </si>
  <si>
    <t xml:space="preserve">005399</t>
  </si>
  <si>
    <t xml:space="preserve">Pinsel klein/gross</t>
  </si>
  <si>
    <t xml:space="preserve">005404</t>
  </si>
  <si>
    <t xml:space="preserve">Sicherheits-Hilfsschütz</t>
  </si>
  <si>
    <t xml:space="preserve">005413</t>
  </si>
  <si>
    <t xml:space="preserve">005414</t>
  </si>
  <si>
    <t xml:space="preserve">Klemmbügel</t>
  </si>
  <si>
    <t xml:space="preserve">005416</t>
  </si>
  <si>
    <t xml:space="preserve">005436</t>
  </si>
  <si>
    <t xml:space="preserve">Eingangsfilter Absperrventil DRS</t>
  </si>
  <si>
    <t xml:space="preserve">005438</t>
  </si>
  <si>
    <t xml:space="preserve">Filterscheibe DRS</t>
  </si>
  <si>
    <t xml:space="preserve">005550</t>
  </si>
  <si>
    <t xml:space="preserve">Filterscheibe BT2000</t>
  </si>
  <si>
    <t xml:space="preserve">005551</t>
  </si>
  <si>
    <t xml:space="preserve">Filterhülse BT2000</t>
  </si>
  <si>
    <t xml:space="preserve">005638</t>
  </si>
  <si>
    <t xml:space="preserve">Netzwerkkabel 2.0m</t>
  </si>
  <si>
    <t xml:space="preserve">005643</t>
  </si>
  <si>
    <t xml:space="preserve">Netzwerkkabel 20.0m</t>
  </si>
  <si>
    <t xml:space="preserve">005697</t>
  </si>
  <si>
    <t xml:space="preserve">Stromversorgung 230AC/24VDC</t>
  </si>
  <si>
    <t xml:space="preserve">005752</t>
  </si>
  <si>
    <t xml:space="preserve">Stecker komplett zu Heizpatrone</t>
  </si>
  <si>
    <t xml:space="preserve">005787</t>
  </si>
  <si>
    <t xml:space="preserve">Eingangsfilter komplett</t>
  </si>
  <si>
    <t xml:space="preserve">005802</t>
  </si>
  <si>
    <t xml:space="preserve">Schütz AB 100-K05DJ10</t>
  </si>
  <si>
    <t xml:space="preserve">005807</t>
  </si>
  <si>
    <t xml:space="preserve">nur im Artikelstamm (Bestand 23.06.2026); Handlager</t>
  </si>
  <si>
    <t xml:space="preserve">100344</t>
  </si>
  <si>
    <t xml:space="preserve">Kugelhahn O2</t>
  </si>
  <si>
    <t xml:space="preserve">100355</t>
  </si>
  <si>
    <t xml:space="preserve">102478</t>
  </si>
  <si>
    <t xml:space="preserve">nur im Artikelstamm (Bestand 23.06.2026); Twin</t>
  </si>
  <si>
    <t xml:space="preserve">102923</t>
  </si>
  <si>
    <t xml:space="preserve">Heizplatte</t>
  </si>
  <si>
    <t xml:space="preserve">103030</t>
  </si>
  <si>
    <t xml:space="preserve">103032</t>
  </si>
  <si>
    <t xml:space="preserve">Isolationsplatte</t>
  </si>
  <si>
    <t xml:space="preserve">103493</t>
  </si>
  <si>
    <t xml:space="preserve">Heizpatrone, spritzwassergeschützt</t>
  </si>
  <si>
    <t xml:space="preserve">103571</t>
  </si>
  <si>
    <t xml:space="preserve">Kartenleser USB 3.0</t>
  </si>
  <si>
    <t xml:space="preserve">104054</t>
  </si>
  <si>
    <t xml:space="preserve">Inbus Einsatz SW10</t>
  </si>
  <si>
    <t xml:space="preserve">104055</t>
  </si>
  <si>
    <t xml:space="preserve">Inbus Einsatz SW12</t>
  </si>
  <si>
    <t xml:space="preserve">104056</t>
  </si>
  <si>
    <t xml:space="preserve">Inbus Einsatz SW14</t>
  </si>
  <si>
    <t xml:space="preserve">105427</t>
  </si>
  <si>
    <t xml:space="preserve">Distanzring</t>
  </si>
  <si>
    <t xml:space="preserve">105852</t>
  </si>
  <si>
    <t xml:space="preserve">106216</t>
  </si>
  <si>
    <t xml:space="preserve">Aufhängung</t>
  </si>
  <si>
    <t xml:space="preserve">106365</t>
  </si>
  <si>
    <t xml:space="preserve">Temperaturfühler PT100, einschraubbar</t>
  </si>
  <si>
    <t xml:space="preserve">106439</t>
  </si>
  <si>
    <t xml:space="preserve">106440</t>
  </si>
  <si>
    <t xml:space="preserve">Brenngasblock</t>
  </si>
  <si>
    <t xml:space="preserve">106441</t>
  </si>
  <si>
    <t xml:space="preserve">106442</t>
  </si>
  <si>
    <t xml:space="preserve">106456</t>
  </si>
  <si>
    <t xml:space="preserve">nur im Artikelstamm (Bestand 23.06.2026); Neu</t>
  </si>
  <si>
    <t xml:space="preserve">106498</t>
  </si>
  <si>
    <t xml:space="preserve">Platte N2-Ablass komplett</t>
  </si>
  <si>
    <t xml:space="preserve">106537</t>
  </si>
  <si>
    <t xml:space="preserve">106553</t>
  </si>
  <si>
    <t xml:space="preserve">106568</t>
  </si>
  <si>
    <t xml:space="preserve">106740</t>
  </si>
  <si>
    <t xml:space="preserve">Druckreglerkabel</t>
  </si>
  <si>
    <t xml:space="preserve">106793</t>
  </si>
  <si>
    <t xml:space="preserve">Magnetventil Grundsockel</t>
  </si>
  <si>
    <t xml:space="preserve">106982</t>
  </si>
  <si>
    <t xml:space="preserve">Ethernet Switch, 5 TP-RJ45-Ports</t>
  </si>
  <si>
    <t xml:space="preserve">nur im Artikelstamm (Bestand 23.06.2026); B&amp;R</t>
  </si>
  <si>
    <t xml:space="preserve">106983</t>
  </si>
  <si>
    <t xml:space="preserve">Ethernet Switch, 8 TP-RJ45-Ports</t>
  </si>
  <si>
    <t xml:space="preserve">106987</t>
  </si>
  <si>
    <t xml:space="preserve">Innentemperaturregler</t>
  </si>
  <si>
    <t xml:space="preserve">106995</t>
  </si>
  <si>
    <t xml:space="preserve">Leitungsschutzschalter 10kA, 2-polig</t>
  </si>
  <si>
    <t xml:space="preserve">107210</t>
  </si>
  <si>
    <t xml:space="preserve">107366</t>
  </si>
  <si>
    <t xml:space="preserve">107615</t>
  </si>
  <si>
    <t xml:space="preserve">Scheibe Vertikale Aufhängung SPGr</t>
  </si>
  <si>
    <t xml:space="preserve">107643</t>
  </si>
  <si>
    <t xml:space="preserve">107649</t>
  </si>
  <si>
    <t xml:space="preserve">Leitungsschutzschalter 3P+N</t>
  </si>
  <si>
    <t xml:space="preserve">107651</t>
  </si>
  <si>
    <t xml:space="preserve">Lasche</t>
  </si>
  <si>
    <t xml:space="preserve">107689</t>
  </si>
  <si>
    <t xml:space="preserve">Honbürste DN16</t>
  </si>
  <si>
    <t xml:space="preserve">107690</t>
  </si>
  <si>
    <t xml:space="preserve">Honbürste DN20</t>
  </si>
  <si>
    <t xml:space="preserve">107794</t>
  </si>
  <si>
    <t xml:space="preserve">Sicherungsklemme</t>
  </si>
  <si>
    <t xml:space="preserve">107856</t>
  </si>
  <si>
    <t xml:space="preserve">SN-Schild Luftkompressor AC200</t>
  </si>
  <si>
    <t xml:space="preserve">108006</t>
  </si>
  <si>
    <t xml:space="preserve">108144</t>
  </si>
  <si>
    <t xml:space="preserve">108163</t>
  </si>
  <si>
    <t xml:space="preserve">Ersatzteilset für Druckregler HSD-U15</t>
  </si>
  <si>
    <t xml:space="preserve">108447</t>
  </si>
  <si>
    <t xml:space="preserve">Radialventilator 8-pol</t>
  </si>
  <si>
    <t xml:space="preserve">108490</t>
  </si>
  <si>
    <t xml:space="preserve">Anschweissstück Swagelok 10mm</t>
  </si>
  <si>
    <t xml:space="preserve">108505</t>
  </si>
  <si>
    <t xml:space="preserve">108537</t>
  </si>
  <si>
    <t xml:space="preserve">108645</t>
  </si>
  <si>
    <t xml:space="preserve">Drucktransmitterkabel SPC800 - VP</t>
  </si>
  <si>
    <t xml:space="preserve">108648</t>
  </si>
  <si>
    <t xml:space="preserve">Flexhon 320</t>
  </si>
  <si>
    <t xml:space="preserve">108649</t>
  </si>
  <si>
    <t xml:space="preserve">109188</t>
  </si>
  <si>
    <t xml:space="preserve">001037</t>
  </si>
  <si>
    <t xml:space="preserve">Schraubensicherung hochfest</t>
  </si>
  <si>
    <t xml:space="preserve">001198</t>
  </si>
  <si>
    <t xml:space="preserve">Ablösbare Markierungspunkte orange</t>
  </si>
  <si>
    <t xml:space="preserve">001201</t>
  </si>
  <si>
    <t xml:space="preserve">Holzkiste SPGr10 + SPC800 See</t>
  </si>
  <si>
    <t xml:space="preserve">001202</t>
  </si>
  <si>
    <t xml:space="preserve">Holzkiste SPGr16 + SPC800 See</t>
  </si>
  <si>
    <t xml:space="preserve">002059</t>
  </si>
  <si>
    <t xml:space="preserve">Windeisen</t>
  </si>
  <si>
    <t xml:space="preserve">002066</t>
  </si>
  <si>
    <t xml:space="preserve">Markierspray</t>
  </si>
  <si>
    <t xml:space="preserve">005041</t>
  </si>
  <si>
    <t xml:space="preserve">Ringwellschlauch O2/CH4</t>
  </si>
  <si>
    <t xml:space="preserve">005049</t>
  </si>
  <si>
    <t xml:space="preserve">005064</t>
  </si>
  <si>
    <t xml:space="preserve">005093</t>
  </si>
  <si>
    <t xml:space="preserve">SPS Kabel GT15 (GT16) zu Konverter</t>
  </si>
  <si>
    <t xml:space="preserve">005096</t>
  </si>
  <si>
    <t xml:space="preserve">SPS Analog-Modul</t>
  </si>
  <si>
    <t xml:space="preserve">005098</t>
  </si>
  <si>
    <t xml:space="preserve">JUMPFLEX Messumformer</t>
  </si>
  <si>
    <t xml:space="preserve">005099</t>
  </si>
  <si>
    <t xml:space="preserve">SPS RS485-Schnittstellenadapter</t>
  </si>
  <si>
    <t xml:space="preserve">005127</t>
  </si>
  <si>
    <t xml:space="preserve">Hilfsschütz AB 700-Kxxx 24VDC</t>
  </si>
  <si>
    <t xml:space="preserve">005146</t>
  </si>
  <si>
    <t xml:space="preserve">Reihenklemme gross</t>
  </si>
  <si>
    <t xml:space="preserve">005147</t>
  </si>
  <si>
    <t xml:space="preserve">Distanzplatte zu Reihenklemme gross</t>
  </si>
  <si>
    <t xml:space="preserve">005153</t>
  </si>
  <si>
    <t xml:space="preserve">005160</t>
  </si>
  <si>
    <t xml:space="preserve">005265</t>
  </si>
  <si>
    <t xml:space="preserve">005270</t>
  </si>
  <si>
    <t xml:space="preserve">Spulen-Montageset Parker</t>
  </si>
  <si>
    <t xml:space="preserve">005272</t>
  </si>
  <si>
    <t xml:space="preserve">PUR-PUR-Kabel</t>
  </si>
  <si>
    <t xml:space="preserve">nur im Artikelstamm (Bestand 23.06.2026); Überbestand; grosser Artikel &amp; nicht im KTL</t>
  </si>
  <si>
    <t xml:space="preserve">005301</t>
  </si>
  <si>
    <t xml:space="preserve">005382</t>
  </si>
  <si>
    <t xml:space="preserve">005408</t>
  </si>
  <si>
    <t xml:space="preserve">Magnetventil 4mm Spülluft</t>
  </si>
  <si>
    <t xml:space="preserve">005420</t>
  </si>
  <si>
    <t xml:space="preserve">005421</t>
  </si>
  <si>
    <t xml:space="preserve">005426</t>
  </si>
  <si>
    <t xml:space="preserve">Leitungsregler LM51</t>
  </si>
  <si>
    <t xml:space="preserve">005427</t>
  </si>
  <si>
    <t xml:space="preserve">005428</t>
  </si>
  <si>
    <t xml:space="preserve">005429</t>
  </si>
  <si>
    <t xml:space="preserve">005430</t>
  </si>
  <si>
    <t xml:space="preserve">005431</t>
  </si>
  <si>
    <t xml:space="preserve">005432</t>
  </si>
  <si>
    <t xml:space="preserve">Anschlussstück O2</t>
  </si>
  <si>
    <t xml:space="preserve">005433</t>
  </si>
  <si>
    <t xml:space="preserve">Anschlussstück CH4</t>
  </si>
  <si>
    <t xml:space="preserve">005434</t>
  </si>
  <si>
    <t xml:space="preserve">Anschlussstück N2</t>
  </si>
  <si>
    <t xml:space="preserve">005454</t>
  </si>
  <si>
    <t xml:space="preserve">005487</t>
  </si>
  <si>
    <t xml:space="preserve">Steuerkabel zu Drucksensoren</t>
  </si>
  <si>
    <t xml:space="preserve">005488</t>
  </si>
  <si>
    <t xml:space="preserve">Steuerkabel zu Blitzleuchte</t>
  </si>
  <si>
    <t xml:space="preserve">005493</t>
  </si>
  <si>
    <t xml:space="preserve">005494</t>
  </si>
  <si>
    <t xml:space="preserve">005547</t>
  </si>
  <si>
    <t xml:space="preserve">Drucktransmitter Wika O2</t>
  </si>
  <si>
    <t xml:space="preserve">005570</t>
  </si>
  <si>
    <t xml:space="preserve">Dichtung/CU</t>
  </si>
  <si>
    <t xml:space="preserve">005577</t>
  </si>
  <si>
    <t xml:space="preserve">Drucktransmitter Wika CH4</t>
  </si>
  <si>
    <t xml:space="preserve">005578</t>
  </si>
  <si>
    <t xml:space="preserve">Drucktransmitter Wika</t>
  </si>
  <si>
    <t xml:space="preserve">005579</t>
  </si>
  <si>
    <t xml:space="preserve">005591</t>
  </si>
  <si>
    <t xml:space="preserve">005598</t>
  </si>
  <si>
    <t xml:space="preserve">Telemecanique Taster / Lampe rot</t>
  </si>
  <si>
    <t xml:space="preserve">005600</t>
  </si>
  <si>
    <t xml:space="preserve">Zwillings-Aderendhülse isoliert</t>
  </si>
  <si>
    <t xml:space="preserve">005620</t>
  </si>
  <si>
    <t xml:space="preserve">Steuerkabel</t>
  </si>
  <si>
    <t xml:space="preserve">005630</t>
  </si>
  <si>
    <t xml:space="preserve">Aderendhülse in Streudose</t>
  </si>
  <si>
    <t xml:space="preserve">005653</t>
  </si>
  <si>
    <t xml:space="preserve">Blindstopfen mit Mutter</t>
  </si>
  <si>
    <t xml:space="preserve">005654</t>
  </si>
  <si>
    <t xml:space="preserve">Kabelverschraubung Progress</t>
  </si>
  <si>
    <t xml:space="preserve">005655</t>
  </si>
  <si>
    <t xml:space="preserve">005666</t>
  </si>
  <si>
    <t xml:space="preserve">005667</t>
  </si>
  <si>
    <t xml:space="preserve">005680</t>
  </si>
  <si>
    <t xml:space="preserve">Kranbahn-Stopper</t>
  </si>
  <si>
    <t xml:space="preserve">005685</t>
  </si>
  <si>
    <t xml:space="preserve">Adapter für Schlauchprüfung</t>
  </si>
  <si>
    <t xml:space="preserve">005718</t>
  </si>
  <si>
    <t xml:space="preserve">Vebindungsnippel</t>
  </si>
  <si>
    <t xml:space="preserve">005751</t>
  </si>
  <si>
    <t xml:space="preserve">005781</t>
  </si>
  <si>
    <t xml:space="preserve">Bolzenklemmen</t>
  </si>
  <si>
    <t xml:space="preserve">005800</t>
  </si>
  <si>
    <t xml:space="preserve">Gerade Aufschraubverschraubung</t>
  </si>
  <si>
    <t xml:space="preserve">005810</t>
  </si>
  <si>
    <t xml:space="preserve">005811</t>
  </si>
  <si>
    <t xml:space="preserve">100322</t>
  </si>
  <si>
    <t xml:space="preserve">100351</t>
  </si>
  <si>
    <t xml:space="preserve">Filterelementsatz für Filter Serien</t>
  </si>
  <si>
    <t xml:space="preserve">100373</t>
  </si>
  <si>
    <t xml:space="preserve">100396</t>
  </si>
  <si>
    <t xml:space="preserve">100425</t>
  </si>
  <si>
    <t xml:space="preserve">100685</t>
  </si>
  <si>
    <t xml:space="preserve">101491</t>
  </si>
  <si>
    <t xml:space="preserve">Hülse</t>
  </si>
  <si>
    <t xml:space="preserve">101519</t>
  </si>
  <si>
    <t xml:space="preserve">Quetschhülse</t>
  </si>
  <si>
    <t xml:space="preserve">101612</t>
  </si>
  <si>
    <t xml:space="preserve">Verdrahtungskanal</t>
  </si>
  <si>
    <t xml:space="preserve">103190</t>
  </si>
  <si>
    <t xml:space="preserve">Wagen komplett</t>
  </si>
  <si>
    <t xml:space="preserve">103498</t>
  </si>
  <si>
    <t xml:space="preserve">Zwischenplatte TwinXL</t>
  </si>
  <si>
    <t xml:space="preserve">103683</t>
  </si>
  <si>
    <t xml:space="preserve">Kranbahn-Profil (PB)</t>
  </si>
  <si>
    <t xml:space="preserve">103727</t>
  </si>
  <si>
    <t xml:space="preserve">103728</t>
  </si>
  <si>
    <t xml:space="preserve">103770</t>
  </si>
  <si>
    <t xml:space="preserve">Ablassbogen</t>
  </si>
  <si>
    <t xml:space="preserve">103787</t>
  </si>
  <si>
    <t xml:space="preserve">Druckregel-Strecke</t>
  </si>
  <si>
    <t xml:space="preserve">104246</t>
  </si>
  <si>
    <t xml:space="preserve">Klappe</t>
  </si>
  <si>
    <t xml:space="preserve">105259</t>
  </si>
  <si>
    <t xml:space="preserve">105347</t>
  </si>
  <si>
    <t xml:space="preserve">105373</t>
  </si>
  <si>
    <t xml:space="preserve">Blende Ø1.2 / M6</t>
  </si>
  <si>
    <t xml:space="preserve">105460</t>
  </si>
  <si>
    <t xml:space="preserve">GDS Flansch SPGr10</t>
  </si>
  <si>
    <t xml:space="preserve">105983</t>
  </si>
  <si>
    <t xml:space="preserve">GDS Flansch SPGr16</t>
  </si>
  <si>
    <t xml:space="preserve">106183</t>
  </si>
  <si>
    <t xml:space="preserve">SPGr16</t>
  </si>
  <si>
    <t xml:space="preserve">106582</t>
  </si>
  <si>
    <t xml:space="preserve">nur im Artikelstamm (Bestand 23.06.2026); grosser Artikel &amp; nicht im KTL</t>
  </si>
  <si>
    <t xml:space="preserve">106848</t>
  </si>
  <si>
    <t xml:space="preserve">107000</t>
  </si>
  <si>
    <t xml:space="preserve">Leuchtdrucktaster, 22 mm, rund</t>
  </si>
  <si>
    <t xml:space="preserve">107064</t>
  </si>
  <si>
    <t xml:space="preserve">107140</t>
  </si>
  <si>
    <t xml:space="preserve">Erdungskabel</t>
  </si>
  <si>
    <t xml:space="preserve">nur im Artikelstamm (Bestand 23.06.2026); Neu; nicht im KTL vorhanden</t>
  </si>
  <si>
    <t xml:space="preserve">107173</t>
  </si>
  <si>
    <t xml:space="preserve">Blende Ø1.3 / M6</t>
  </si>
  <si>
    <t xml:space="preserve">107412</t>
  </si>
  <si>
    <t xml:space="preserve">107414</t>
  </si>
  <si>
    <t xml:space="preserve">107674</t>
  </si>
  <si>
    <t xml:space="preserve">107738</t>
  </si>
  <si>
    <t xml:space="preserve">nur im Artikelstamm (Bestand 23.06.2026); Neuer Art.</t>
  </si>
  <si>
    <t xml:space="preserve">107955</t>
  </si>
  <si>
    <t xml:space="preserve">Hochdruck-Ganzmetallschlauch für Luft</t>
  </si>
  <si>
    <t xml:space="preserve">108448</t>
  </si>
  <si>
    <t xml:space="preserve">Ventilatorkabel mit Stecker 8-pol</t>
  </si>
  <si>
    <t xml:space="preserve">nur im Artikelstamm (Bestand 23.06.2026); nicht im KTL vorhanden</t>
  </si>
  <si>
    <t xml:space="preserve">108522</t>
  </si>
  <si>
    <t xml:space="preserve">108526</t>
  </si>
  <si>
    <t xml:space="preserve">108539</t>
  </si>
  <si>
    <t xml:space="preserve">108673</t>
  </si>
  <si>
    <t xml:space="preserve">Kabel</t>
  </si>
  <si>
    <t xml:space="preserve">108767</t>
  </si>
  <si>
    <t xml:space="preserve">108770</t>
  </si>
  <si>
    <t xml:space="preserve">108778</t>
  </si>
  <si>
    <t xml:space="preserve">108883</t>
  </si>
  <si>
    <t xml:space="preserve">109210</t>
  </si>
  <si>
    <t xml:space="preserve">109211</t>
  </si>
  <si>
    <t xml:space="preserve">ALT106813</t>
  </si>
  <si>
    <t xml:space="preserve">ALT106836</t>
  </si>
  <si>
    <t xml:space="preserve">MESSEGERAET SPGR16</t>
  </si>
  <si>
    <t xml:space="preserve">SPGr16 für Ausstellung</t>
  </si>
  <si>
    <t xml:space="preserve">104272</t>
  </si>
  <si>
    <t xml:space="preserve">TMV Spule O2, 100V - 110V</t>
  </si>
  <si>
    <t xml:space="preserve">104214</t>
  </si>
  <si>
    <t xml:space="preserve">TMV Spule CH4, 100V - 110V</t>
  </si>
  <si>
    <t xml:space="preserve">104273</t>
  </si>
  <si>
    <t xml:space="preserve">107069</t>
  </si>
  <si>
    <t xml:space="preserve">Rohr Anschweissstück DN80</t>
  </si>
  <si>
    <t xml:space="preserve">108503</t>
  </si>
  <si>
    <t xml:space="preserve">Steuerschrankkühlung EG101-DF</t>
  </si>
  <si>
    <t xml:space="preserve">102525</t>
  </si>
  <si>
    <t xml:space="preserve">107067</t>
  </si>
  <si>
    <t xml:space="preserve">104275</t>
  </si>
  <si>
    <t xml:space="preserve">TMV Spule O2, 230V</t>
  </si>
  <si>
    <t xml:space="preserve">109198</t>
  </si>
  <si>
    <t xml:space="preserve">107066</t>
  </si>
  <si>
    <t xml:space="preserve">005544</t>
  </si>
  <si>
    <t xml:space="preserve">108644</t>
  </si>
  <si>
    <t xml:space="preserve">108156</t>
  </si>
  <si>
    <t xml:space="preserve">Zwischenflansch SPGr16</t>
  </si>
  <si>
    <t xml:space="preserve">108766</t>
  </si>
  <si>
    <t xml:space="preserve">107068</t>
  </si>
  <si>
    <t xml:space="preserve">106908</t>
  </si>
  <si>
    <t xml:space="preserve">107617</t>
  </si>
  <si>
    <t xml:space="preserve">Holm Vertikale Aufhängung SPGr10</t>
  </si>
  <si>
    <t xml:space="preserve">103908</t>
  </si>
  <si>
    <t xml:space="preserve">Blinddeckel für Kessel, DN125 / PN16</t>
  </si>
  <si>
    <t xml:space="preserve">107748</t>
  </si>
  <si>
    <t xml:space="preserve">Systemleuchte LED</t>
  </si>
  <si>
    <t xml:space="preserve">107751</t>
  </si>
  <si>
    <t xml:space="preserve">Holm Vertikale Aufhängung SPGr16</t>
  </si>
  <si>
    <t xml:space="preserve">107752</t>
  </si>
  <si>
    <t xml:space="preserve">Träger Vertikale Aufhängung SPGr16</t>
  </si>
  <si>
    <t xml:space="preserve">103909</t>
  </si>
  <si>
    <t xml:space="preserve">Blinddeckel für Kessel, DN200 / PN6</t>
  </si>
  <si>
    <t xml:space="preserve">107618</t>
  </si>
  <si>
    <t xml:space="preserve">Träger Vertikale Aufhängung SPGr10</t>
  </si>
  <si>
    <t xml:space="preserve">103449</t>
  </si>
  <si>
    <t xml:space="preserve">005675</t>
  </si>
  <si>
    <t xml:space="preserve">108765</t>
  </si>
  <si>
    <t xml:space="preserve">002010</t>
  </si>
  <si>
    <t xml:space="preserve">Bolzenausdrehersatz</t>
  </si>
  <si>
    <t xml:space="preserve">107670</t>
  </si>
  <si>
    <t xml:space="preserve">Deckel SPGr10</t>
  </si>
  <si>
    <t xml:space="preserve">107841</t>
  </si>
  <si>
    <t xml:space="preserve">109092</t>
  </si>
  <si>
    <t xml:space="preserve">005564</t>
  </si>
  <si>
    <t xml:space="preserve">Vorfilter DRS komplett</t>
  </si>
  <si>
    <t xml:space="preserve">108546</t>
  </si>
  <si>
    <t xml:space="preserve">Miniatur-Leistungsschalter</t>
  </si>
  <si>
    <t xml:space="preserve">108547</t>
  </si>
  <si>
    <t xml:space="preserve">Leistungsschalter</t>
  </si>
  <si>
    <t xml:space="preserve">108548</t>
  </si>
  <si>
    <t xml:space="preserve">005315</t>
  </si>
  <si>
    <t xml:space="preserve">005388</t>
  </si>
  <si>
    <t xml:space="preserve">005111</t>
  </si>
  <si>
    <t xml:space="preserve">SPS Puffer-Batterie</t>
  </si>
  <si>
    <t xml:space="preserve">108271</t>
  </si>
  <si>
    <t xml:space="preserve">Wartungskleber AC215</t>
  </si>
  <si>
    <t xml:space="preserve">108874</t>
  </si>
  <si>
    <t xml:space="preserve">Einrastschildchen -A53.1</t>
  </si>
  <si>
    <t xml:space="preserve">002027</t>
  </si>
  <si>
    <t xml:space="preserve">107860</t>
  </si>
  <si>
    <t xml:space="preserve">Papierfiltereinsatz</t>
  </si>
  <si>
    <t xml:space="preserve">001196</t>
  </si>
  <si>
    <t xml:space="preserve">005136</t>
  </si>
  <si>
    <t xml:space="preserve">Schalter Siemens stand.</t>
  </si>
  <si>
    <t xml:space="preserve">nur im Artikelstamm (Bestand 23.06.2026); i.o</t>
  </si>
  <si>
    <t xml:space="preserve">005571</t>
  </si>
  <si>
    <t xml:space="preserve">Filtereinsatz F10</t>
  </si>
  <si>
    <t xml:space="preserve">107840</t>
  </si>
  <si>
    <t xml:space="preserve">107215</t>
  </si>
  <si>
    <t xml:space="preserve">108504</t>
  </si>
  <si>
    <t xml:space="preserve">Türpositionsschalter</t>
  </si>
  <si>
    <t xml:space="preserve">107712</t>
  </si>
  <si>
    <t xml:space="preserve">Local / Remote switch</t>
  </si>
  <si>
    <t xml:space="preserve">107299</t>
  </si>
  <si>
    <t xml:space="preserve">Bohrerset</t>
  </si>
  <si>
    <t xml:space="preserve">107452</t>
  </si>
  <si>
    <t xml:space="preserve">Taschenlampe 320 lm</t>
  </si>
  <si>
    <t xml:space="preserve">001140</t>
  </si>
  <si>
    <t xml:space="preserve">Ablösbare Markierungspunkte gelb</t>
  </si>
  <si>
    <t xml:space="preserve">005295</t>
  </si>
  <si>
    <t xml:space="preserve">Dichtscheibe zu Rohrverschraubung</t>
  </si>
  <si>
    <t xml:space="preserve">102898</t>
  </si>
  <si>
    <t xml:space="preserve">Sicherungsscheibe Nord-Lock X-series</t>
  </si>
  <si>
    <t xml:space="preserve">103440</t>
  </si>
  <si>
    <t xml:space="preserve">103539</t>
  </si>
  <si>
    <t xml:space="preserve">106135</t>
  </si>
  <si>
    <t xml:space="preserve">Dichtscheibe zu Adapter</t>
  </si>
  <si>
    <t xml:space="preserve">108189</t>
  </si>
  <si>
    <t xml:space="preserve">Typenschild AC215</t>
  </si>
  <si>
    <t xml:space="preserve">108190</t>
  </si>
  <si>
    <t xml:space="preserve">Typenschild SU42-2</t>
  </si>
  <si>
    <t xml:space="preserve">103441</t>
  </si>
  <si>
    <t xml:space="preserve">103442</t>
  </si>
  <si>
    <t xml:space="preserve">106932</t>
  </si>
  <si>
    <t xml:space="preserve">CompactFlash</t>
  </si>
  <si>
    <t xml:space="preserve">005425</t>
  </si>
  <si>
    <t xml:space="preserve">Gerade Einschraubverschraubung</t>
  </si>
  <si>
    <t xml:space="preserve">109072</t>
  </si>
  <si>
    <t xml:space="preserve">005356</t>
  </si>
  <si>
    <t xml:space="preserve">Eingangsadapter</t>
  </si>
  <si>
    <t xml:space="preserve">103396</t>
  </si>
  <si>
    <t xml:space="preserve">104057</t>
  </si>
  <si>
    <t xml:space="preserve">Inbus Einsatz SW8</t>
  </si>
  <si>
    <t xml:space="preserve">107127</t>
  </si>
  <si>
    <t xml:space="preserve">Blende Ø0.7 M10</t>
  </si>
  <si>
    <t xml:space="preserve">002034</t>
  </si>
  <si>
    <t xml:space="preserve">005298</t>
  </si>
  <si>
    <t xml:space="preserve">005422</t>
  </si>
  <si>
    <t xml:space="preserve">107005</t>
  </si>
  <si>
    <t xml:space="preserve">LED-Modul mit LED AC/DC 24V, weiss</t>
  </si>
  <si>
    <t xml:space="preserve">107006</t>
  </si>
  <si>
    <t xml:space="preserve">LED-Modul mit LED AC 230V weiss</t>
  </si>
  <si>
    <t xml:space="preserve">107743</t>
  </si>
  <si>
    <t xml:space="preserve">108427</t>
  </si>
  <si>
    <t xml:space="preserve">Halter Vertikale Aufhängung SPGr10</t>
  </si>
  <si>
    <t xml:space="preserve">108426</t>
  </si>
  <si>
    <t xml:space="preserve">Halter Vertikale Aufhängung SPGr16</t>
  </si>
  <si>
    <t xml:space="preserve">108768</t>
  </si>
  <si>
    <t xml:space="preserve">nur im Liftbericht (nicht im Kennzahlen-Auszug)</t>
  </si>
  <si>
    <t xml:space="preserve">NEU</t>
  </si>
  <si>
    <t xml:space="preserve">Parameter</t>
  </si>
  <si>
    <t xml:space="preserve">v4-oe</t>
  </si>
  <si>
    <t xml:space="preserve">Gelbe Felder dürfen geändert werden. Alles andere rechnet automatisch.</t>
  </si>
  <si>
    <t xml:space="preserve">Lagerlifte</t>
  </si>
  <si>
    <t xml:space="preserve">Lift</t>
  </si>
  <si>
    <t xml:space="preserve">Name</t>
  </si>
  <si>
    <t xml:space="preserve">Typ</t>
  </si>
  <si>
    <t xml:space="preserve">Anzahl Tablare</t>
  </si>
  <si>
    <t xml:space="preserve">Tablar Breite mm</t>
  </si>
  <si>
    <t xml:space="preserve">Tablar Tiefe mm</t>
  </si>
  <si>
    <t xml:space="preserve">max. Ladehöhe je Tablar mm (optional)</t>
  </si>
  <si>
    <t xml:space="preserve">Tablarfläche m²</t>
  </si>
  <si>
    <t xml:space="preserve">Kapazität m²</t>
  </si>
  <si>
    <t xml:space="preserve">Belegung heute gemessen % (leer = schätzen)</t>
  </si>
  <si>
    <t xml:space="preserve">ausfahrbar, schwere Teile</t>
  </si>
  <si>
    <t xml:space="preserve">ausfahrbar, mittelschwere Teile</t>
  </si>
  <si>
    <t xml:space="preserve">KTL + PAL (mit Lift 3)</t>
  </si>
  <si>
    <t xml:space="preserve">nicht ausfahrbar, Kleinteile</t>
  </si>
  <si>
    <t xml:space="preserve">KTL + PAL (mit Lift 2)</t>
  </si>
  <si>
    <t xml:space="preserve">Ampel Auslastung</t>
  </si>
  <si>
    <t xml:space="preserve">Kontrolle Datenstand</t>
  </si>
  <si>
    <t xml:space="preserve">grün unter</t>
  </si>
  <si>
    <t xml:space="preserve">dazwischen orange</t>
  </si>
  <si>
    <t xml:space="preserve">H4 «Total Bestandswert» im Export (= SUM(H7:H1440))</t>
  </si>
  <si>
    <t xml:space="preserve">rot über</t>
  </si>
  <si>
    <t xml:space="preserve">Summe Bestandswert Export, alle Zeilen (inkl. negative)</t>
  </si>
  <si>
    <t xml:space="preserve">Summe Bestandswert Export, nur Artikel mit Bestand &gt; 0</t>
  </si>
  <si>
    <t xml:space="preserve">Verbrauchszeitraum</t>
  </si>
  <si>
    <t xml:space="preserve">Ist-Wert im Tool (Ist-Bestand × Preis)</t>
  </si>
  <si>
    <t xml:space="preserve">Verbrauch von</t>
  </si>
  <si>
    <t xml:space="preserve">Export-Filter «Auswertung Verbrauch»!B2 = 2025</t>
  </si>
  <si>
    <t xml:space="preserve">Artikel mit negativer Bestandsmenge im Export</t>
  </si>
  <si>
    <t xml:space="preserve">Verbrauch bis</t>
  </si>
  <si>
    <t xml:space="preserve">Artikel im Tool (ohne neue)</t>
  </si>
  <si>
    <t xml:space="preserve">Anzahl Monate</t>
  </si>
  <si>
    <t xml:space="preserve">Artikel im Liftbericht / davon nicht im Kennzahlen-Auszug</t>
  </si>
  <si>
    <t xml:space="preserve">Faktor auf 12 Monate</t>
  </si>
  <si>
    <t xml:space="preserve">Ist-Belegung Lift 1 lt. Tool (Kontrolle gegen L5)</t>
  </si>
  <si>
    <t xml:space="preserve">Lager in Zukunft verwenden</t>
  </si>
  <si>
    <t xml:space="preserve">Ja</t>
  </si>
  <si>
    <t xml:space="preserve">Ja = Lift nach Spalte «Lager in Zukunft» (Tabelle I34). Leer = Regel nach Hauptlager.</t>
  </si>
  <si>
    <t xml:space="preserve">Ergänzt aus Artikelstamm (Bestand, nicht im Kennzahlen-Auszug)</t>
  </si>
  <si>
    <t xml:space="preserve">Ist-Bestand aus</t>
  </si>
  <si>
    <t xml:space="preserve">Jahresanfang 2025 + Export</t>
  </si>
  <si>
    <t xml:space="preserve">Export (Bestandsmenge) = Spalte G wie geliefert, negativ = 0.  «Jahresanfang 2025 + Export» = Spalte T + Spalte G (falls G die Bewegung seit 01.01.2025 ist).</t>
  </si>
  <si>
    <t xml:space="preserve">Optionen Tablar-Berechnung</t>
  </si>
  <si>
    <t xml:space="preserve">Liftbericht verwenden</t>
  </si>
  <si>
    <t xml:space="preserve">Ja = für Artikel im Liftbericht gelten dessen Bestand und Lift. Die Fachflächen werden so verteilt, dass «Ist» der gemessenen Belegung (Spalte L) entspricht.</t>
  </si>
  <si>
    <t xml:space="preserve">Tablar-Ausnutzung (Gebinde passen nie lückenlos; 90 % = 10 % Reserve)</t>
  </si>
  <si>
    <t xml:space="preserve">Ziel-LU Auswahl</t>
  </si>
  <si>
    <t xml:space="preserve">Varianten (nicht ändern)</t>
  </si>
  <si>
    <t xml:space="preserve">Gebinde je Tablar berechnen mit Tablarmass von Lift</t>
  </si>
  <si>
    <t xml:space="preserve">Zuschlag je Tablar (Tablarstärke + Zug) mm</t>
  </si>
  <si>
    <t xml:space="preserve">Höhe je Tablar für lose Artikel mm (inkl. Zuschlag)</t>
  </si>
  <si>
    <t xml:space="preserve">Grobe Schätzung lose Artikel (ohne Gebinde, KTL/PAL)</t>
  </si>
  <si>
    <t xml:space="preserve">Klasse</t>
  </si>
  <si>
    <t xml:space="preserve">Schätz-Gebinde</t>
  </si>
  <si>
    <t xml:space="preserve">Typische Artikel</t>
  </si>
  <si>
    <t xml:space="preserve">Alle 3 Lifte mischen (gemeinsam beurteilen)</t>
  </si>
  <si>
    <t xml:space="preserve">Schrauben, Muttern, Kabel, Ventile, Sensoren, Etiketten … (Eurobox 400×300, 20 Stk)</t>
  </si>
  <si>
    <t xml:space="preserve">Ja = Artikel dürfen in jeden Lift; «Passt?» und Aussenlager über die Summe aller 3 Lifte.</t>
  </si>
  <si>
    <t xml:space="preserve">Panels, Gehäuse, Module, Schläuche, Sets, Service-Kits … (Eurobox 600×400, 4 Stk)</t>
  </si>
  <si>
    <t xml:space="preserve">Holzkisten, Rahmen, Rohre, Profile, Wagen, Kartons, Füllmaterial … (Trennblech 1200×800, 2 Stk)</t>
  </si>
  <si>
    <t xml:space="preserve">Platzbedarf rechnen mit</t>
  </si>
  <si>
    <t xml:space="preserve">Zuordnung je Artikel: Blatt «Artikel», Spalte «Schätzklasse lose» (Vorschlag aus der Bezeichnung, änderbar). Eigene Werte in «Gebindekategorie neu» oder «Tablare lose» haben Vorrang.</t>
  </si>
  <si>
    <t xml:space="preserve">Ø-Bestand = Material rotiert, nicht alle Artikel gleichzeitig auf MAX (wie Lagerplanung «Max.-Bestand Ergebnis»). MAX-Bestand = fixe Fächer für MB + ganze Bestellmenge.</t>
  </si>
  <si>
    <t xml:space="preserve">Zuordnung Hauptlager → Lift  (1 / 2 / 3 / 2+3 / Nein)</t>
  </si>
  <si>
    <t xml:space="preserve">Zuordnung Gebinde → Lift (nur Liftgruppe 2+3)</t>
  </si>
  <si>
    <t xml:space="preserve">Zuordnung «Lager in Zukunft» → Lift  (1 / 2 / 3 / 2+3 / Nein)</t>
  </si>
  <si>
    <t xml:space="preserve">«Nein» = zählt nicht zu den Liften (Zeile «Nicht im Lift»). ENTSORGEN!/DUMMY standardmässig «Nein».</t>
  </si>
  <si>
    <t xml:space="preserve">Bemerkung «grosser Artikel …» im Artikelstamm → immer Lift 2</t>
  </si>
  <si>
    <t xml:space="preserve">Tablare je loser Artikel (Startwert)</t>
  </si>
  <si>
    <t xml:space="preserve">Gebinde</t>
  </si>
  <si>
    <t xml:space="preserve">2+3</t>
  </si>
  <si>
    <t xml:space="preserve">Nein</t>
  </si>
  <si>
    <t xml:space="preserve">Nicht NLZ</t>
  </si>
  <si>
    <t xml:space="preserve">GK</t>
  </si>
  <si>
    <t xml:space="preserve">VERPAC</t>
  </si>
  <si>
    <t xml:space="preserve">GERAET</t>
  </si>
  <si>
    <t xml:space="preserve">ENTSORGEN!</t>
  </si>
  <si>
    <t xml:space="preserve">S73</t>
  </si>
  <si>
    <t xml:space="preserve">DUMMY</t>
  </si>
  <si>
    <t xml:space="preserve">S83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</si>
  <si>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</si>
  <si>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</si>
  <si>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</si>
  <si>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</si>
  <si>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</si>
  <si>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</si>
  <si>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Neue Artikel</t>
  </si>
  <si>
    <t xml:space="preserve">Bis 100 Artikel erfassen. Sie werden im Blatt «Artikel» (unterste Zeilen) automatisch mitgerechnet und als «Neu» markiert.</t>
  </si>
  <si>
    <t xml:space="preserve">Beispiel: 112345 | Dichtung DN50 | 120 | 0 | 10 | 50 | 4.20 | S41 | 25 | 3   (Lift leer = Vorschlag nach Gebinde)</t>
  </si>
  <si>
    <t xml:space="preserve">erwarteter Jahresverbrauch</t>
  </si>
  <si>
    <t xml:space="preserve">Gebindekategorie (leer = lose)</t>
  </si>
  <si>
    <t xml:space="preserve">Lift (1/2/3/Aussen)</t>
  </si>
  <si>
    <t xml:space="preserve">Gebinde-Kategorie</t>
  </si>
  <si>
    <t xml:space="preserve">Masse in cm (gelb). Gebinde je Tablar (manuell) und Höhe im Lift = Werte aus der Lagerplanung. Stellmass = Aussenmass auf dem Tablar in mm. Gebinde je Tablar = beste Anordnung (längs/quer) auf dem Tablar × Lagen. Manuelle Anzahl je Tablar überschreibt die Berechnung. Neue Kategorien unten ergänzen.</t>
  </si>
  <si>
    <t xml:space="preserve">Länge cm</t>
  </si>
  <si>
    <t xml:space="preserve">Breite cm</t>
  </si>
  <si>
    <t xml:space="preserve">Höhe cm</t>
  </si>
  <si>
    <t xml:space="preserve">Grundfläche m²</t>
  </si>
  <si>
    <t xml:space="preserve">Volumen m³</t>
  </si>
  <si>
    <t xml:space="preserve">Stellmass L mm</t>
  </si>
  <si>
    <t xml:space="preserve">Stellmass B mm</t>
  </si>
  <si>
    <t xml:space="preserve">Lagen (stapeln)</t>
  </si>
  <si>
    <t xml:space="preserve">Gebinde je Tablar (berechnet)</t>
  </si>
  <si>
    <t xml:space="preserve">Gebinde je Tablar (manuell)</t>
  </si>
  <si>
    <t xml:space="preserve">Gebinde je Tablar (wirksam)</t>
  </si>
  <si>
    <t xml:space="preserve">Höhe im Lift cm (ohne Zuschlag)</t>
  </si>
  <si>
    <t xml:space="preserve">BITO 117 H8 4er Teilung</t>
  </si>
  <si>
    <t xml:space="preserve">BITO 117 H8 2er Teilung</t>
  </si>
  <si>
    <t xml:space="preserve">BITO 156 H9 2er Teilung</t>
  </si>
  <si>
    <t xml:space="preserve">BITO 156 H9 1er Teilung</t>
  </si>
  <si>
    <t xml:space="preserve">Eurobox 300 x 200 x 120mm</t>
  </si>
  <si>
    <t xml:space="preserve">Eurobox 400 x 300 x 120mm</t>
  </si>
  <si>
    <t xml:space="preserve">Eurobox 400 x 300 x 220mm</t>
  </si>
  <si>
    <t xml:space="preserve">Eurobox 600 x 400 x 120mm</t>
  </si>
  <si>
    <t xml:space="preserve">Eurobox 600 x 400 x 220mm</t>
  </si>
  <si>
    <t xml:space="preserve">Eurobox 600 x 400 x 320mm</t>
  </si>
  <si>
    <t xml:space="preserve">Trennblech 800 x 600 x 200</t>
  </si>
  <si>
    <t xml:space="preserve">Trennblech 800 x 600 x 400</t>
  </si>
  <si>
    <t xml:space="preserve">Trennblech 800 x 600 x 600</t>
  </si>
  <si>
    <t xml:space="preserve">Trennblech 1200 x 800 x 200mm</t>
  </si>
  <si>
    <t xml:space="preserve">Trennblech 1200 x 800 x 400mm</t>
  </si>
  <si>
    <t xml:space="preserve">Trennblech 1200 x 800 x 600mm</t>
  </si>
  <si>
    <t xml:space="preserve">Euro-Palett 1/2 Rahmen, 20 cm hoch</t>
  </si>
  <si>
    <t xml:space="preserve">Euro-Palett 1 Rahmen, 40 cm hoch</t>
  </si>
  <si>
    <t xml:space="preserve">Euro-Palett 2 Rahmen, 80 cm hoch</t>
  </si>
  <si>
    <t xml:space="preserve">Euro-Palett 3 Rahmen, 120 cm hoch</t>
  </si>
  <si>
    <t xml:space="preserve">Euro-Palett 4 Rahmen, 160 cm hoch</t>
  </si>
  <si>
    <t xml:space="preserve">Euro-Palett 5 Rahmen, 200 cm hoch</t>
  </si>
  <si>
    <t xml:space="preserve">Liftbericht (Modula «Artikelbestand für Maschine»)</t>
  </si>
  <si>
    <t xml:space="preserve">Nur zur Kontrolle – wird von build_tool.py aus input/*.prnx eingelesen. Fach-Kapazität = reservierter Platz im Lift.</t>
  </si>
  <si>
    <t xml:space="preserve">Artikel</t>
  </si>
  <si>
    <t xml:space="preserve">Fach-Kapazität Stk</t>
  </si>
  <si>
    <t xml:space="preserve">Bestand Lift</t>
  </si>
  <si>
    <t xml:space="preserve">Hauptlager Export</t>
  </si>
  <si>
    <t xml:space="preserve">Bestandsmenge Export (G)</t>
  </si>
  <si>
    <t xml:space="preserve">Jahresanfang 2025 + G</t>
  </si>
  <si>
    <t xml:space="preserve">Fach (Tablare, Tool)</t>
  </si>
  <si>
    <t xml:space="preserve">– fehlt –</t>
  </si>
  <si>
    <t xml:space="preserve">Austrittsdüse EG</t>
  </si>
  <si>
    <t xml:space="preserve">Austrittsdüse EG10</t>
  </si>
  <si>
    <t xml:space="preserve">Kranbahnprofil 2 Meter</t>
  </si>
  <si>
    <t xml:space="preserve">Kranbahnprofil 1.5 Meter</t>
  </si>
  <si>
    <t xml:space="preserve">Kranbahnprofil 1 Meter</t>
  </si>
  <si>
    <t xml:space="preserve">Konstanhänger</t>
  </si>
  <si>
    <t xml:space="preserve">Anleitung – Lagerumschlag-Tool</t>
  </si>
  <si>
    <t xml:space="preserve">Was ändere ich? Nur gelbe Felder.</t>
  </si>
  <si>
    <t xml:space="preserve">• Cockpit: je Ansicht «Variante» und «Ziel-LU» (Dropdown, freie Eingabe erlaubt). Alles rechnet sofort neu.</t>
  </si>
  <si>
    <t xml:space="preserve">• Artikel: Fläche lose, Gebinde neu / Menge pro Gebinde neu, Lift manuell (1/2/3/Aussen), Ziel-LU Artikel, MAX final, Kommentar. Leer = Vorschlag gilt.</t>
  </si>
  <si>
    <t xml:space="preserve">• Parameter: Lifte (Tablare, Tablarmass, max. Ladehöhe), Ampel, Verbrauchszeitraum, Ist-Bestand-Quelle, LU-Liste, Zuordnung Hauptlager → Lift, Gebinde → Lift, Startwerte lose.</t>
  </si>
  <si>
    <t xml:space="preserve">• Neue Artikel: werden automatisch unten im Blatt «Artikel» mitgerechnet («Neu»). • Gebinde-Kategorie: Masse, neue Kategorien unten ergänzen.</t>
  </si>
  <si>
    <t xml:space="preserve">Liftbericht (Modula)</t>
  </si>
  <si>
    <t xml:space="preserve">Artikel im Liftbericht (input/*.prnx) bekommen dessen Lift und Bestand. Ihr Platz = reserviertes Fach: Die gemessene Belegung (Parameter L5:L7, z. B. Lift 1 = 85 % der Tablare) wird im Verhältnis der Fach-Kapazität (Stk) auf die Artikel verteilt. In B/C wächst der Bedarf erst, wenn MAX &gt; Fach-Kapazität.</t>
  </si>
  <si>
    <t xml:space="preserve">Lose Artikel grob geschätzt</t>
  </si>
  <si>
    <t xml:space="preserve">Artikel ohne Gebinde (KTL/PAL) bekommen aus der Bezeichnung eine Schätzklasse: Klein = Eurobox S51 à 20 Stk, Mittel = S61 à 4 Stk, Gross = Trennblech S81 à 2 Stk (Parameter I27:K29); mindestens der Ist-Bestand bzw. eine Losgrösse passt in 1 Gebinde. Damit rechnen sie wie Gebinde-Artikel. Klasse im Blatt Artikel änderbar; «Gebindekategorie neu» oder «Tablare lose» haben Vorrang. Kein Stapeln.</t>
  </si>
  <si>
    <t xml:space="preserve">Varianten</t>
  </si>
  <si>
    <t xml:space="preserve">A – Ist-Bestand: heutiger Bestand (unabhängig vom LU).</t>
  </si>
  <si>
    <t xml:space="preserve">B – Ziel-LU: Ziel-Ø-Bestand = Jahresverbrauch / Ziel-LU (= Spalte «Max.Bestand bei vorg. Umschlag» im Kennzahlen-Export). Bestellmenge = 2 × (Ziel-Ø − MB), mindestens Losgrösse (Mindestbestands-Strategie fix). MAX = MB + Bestellmenge → bestimmt den Platz (Gebinde). Ø-Bestand = MB + Bestellmenge/2 → bestimmt den Lagerwert.</t>
  </si>
  <si>
    <t xml:space="preserve">Platzbedarf (Parameter E30): «Ø-Bestand» (Standard, wie Lagerplanung: Material rotiert) oder «MAX-Bestand» (fixe Fächer für MB + Bestellmenge).</t>
  </si>
  <si>
    <t xml:space="preserve">C – Ziel-LU oder Ist (Hauptvariante): Platz = höherer Wert aus MAX (B) und Ist; Wert = höherer Wert aus Ø (B) und Ist – solange der Überbestand nicht abgebaut ist. Heutiger Gesamt-LU ≈ 2.4: erst ein Ziel-LU darüber senkt Bestand und Platz.</t>
  </si>
  <si>
    <t xml:space="preserve">MAX final (gelb) ersetzt in B und C den berechneten Wert. Ziel-LU Artikel ersetzt den LU der Ansicht für diesen Artikel. Jahresverbrauch = Verbrauch Export × 12 / Anzahl Monate.</t>
  </si>
  <si>
    <t xml:space="preserve">Lift-Auslastung</t>
  </si>
  <si>
    <t xml:space="preserve">Anzahl Gebinde = AUFRUNDEN(Menge / Menge pro Gebinde). Stapeln nur, wenn im Blatt «Gebinde-Kategorie» Lagen &gt; 1 eingetragen sind.</t>
  </si>
  <si>
    <t xml:space="preserve">Lose Artikel: Tablare = Startwert je Hauptlager (Parameter) oder eigener Wert; in B/C skaliert mit Menge / Ist-Menge, mindestens Startwert.</t>
  </si>
  <si>
    <t xml:space="preserve">Füllgrad über die Lifthöhe (wie Lagerplanung): Tablare je Gebindetyp = Anzahl Gebinde / Gebinde je Tablar; jedes Tablar braucht Gebindehöhe + 35 mm (Parameter M23). Füllgrad = Summe Höhe / Lifthöhe 11'900 mm. Mit «Lifte mischen» (Parameter E27) zählt die Summe aller 3 Lifte.</t>
  </si>
  <si>
    <t xml:space="preserve">Gebinde je Tablar = Vorgabe Lagerplanung bzw. beste Anordnung des Gebindes (Stellmass, längs/quer) auf dem Tablar × Lagen (Blatt «Gebinde-Kategorie», manuell überschreibbar). Tablare je Artikel = Anzahl Gebinde / Gebinde je Tablar. Tablar-Ausnutzung (Parameter M21) gibt Reserve für Lücken.</t>
  </si>
  <si>
    <t xml:space="preserve">Zuordnung zuerst nach «Lager in Zukunft» (Artikelstamm, Parameter I34): Kardex Schwer → Lift 1, Kardex Kleinteil → Lift 2/3 nach Gebinde, Verpackung/Leerkisten/PAL/Nicht NLZ → nicht im Lift. Leer → Regel nach Hauptlager: </t>
  </si>
  <si>
    <t xml:space="preserve">LIFT1 → Lift 1. KTL/PAL → Lift 3 (BITO S21–S33, Eurobox S41–S52) oder Lift 2 (S61–S63, Trennbleche S71–S83, lose, «grosser Artikel»). Andere Hauptlager → «Nicht im Lift».</t>
  </si>
  <si>
    <t xml:space="preserve">«Passt?» wird für Lift 1 und Lift 2 + 3 gemeinsam beurteilt. Aussenlager: je Liftgruppe Artikel nach Verbrauch pro Tablar sortiert (Schnelldreher zuerst), Fläche kumuliert; was die Kapazität überschreitet = «Aussenlager», der Artikel an der Grenze = «teilweise».</t>
  </si>
  <si>
    <t xml:space="preserve"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</si>
  <si>
    <t xml:space="preserve">Annahmen</t>
  </si>
  <si>
    <t xml:space="preserve">1. Ist-Bestand = Jahresanfangsbestand 2025 (Spalte T) + Spalte G «Bestandsmenge» (= Bewegung seit 01.01.2025). KTL/PAL-Artikel mit Bestand, die im Kennzahlen-Auszug fehlen, sind aus dem Artikelstamm ergänzt (Bestand 23.06.2026). Lagerwert ≈ 3.55 Mio. CHF. Lift 1: Bestand aus Liftbericht. Umschaltbar in Parameter B20.</t>
  </si>
  <si>
    <t xml:space="preserve">2. Verbrauch = Pivot «Auswertung Verbrauch» Spalte C (Kalenderjahr 2025), negativ = 0; fehlt ein Artikel dort, Spalte Y «Wareneinsatz».</t>
  </si>
  <si>
    <t xml:space="preserve">3. MB = Spalte AK; wenn leer, Blatt «Auswertung MB» (Lager = Hauptlager). Losgrösse = Spalte D.</t>
  </si>
  <si>
    <t xml:space="preserve">4. Gebinde aus «Artikelstamm Umschlag 2», sonst «Artikelstamm mit Verbrauch»; ohne Gebinde = LOSE. Menge pro Gebinde fehlt → ganzer Ist-Bestand = 1 Gebinde.</t>
  </si>
  <si>
    <t xml:space="preserve">5. Startwerte lose (Tablare je Artikel): KTL 0.03, PAL 0.15, LIFT1 1.0, andere 0.15 – unabhängig von der Menge.</t>
  </si>
  <si>
    <t xml:space="preserve">6. Lagerwert = Menge × Preis GLD Aktuell. Hauptlager aus dem Kennzahlen-Auszug (nicht aus dem Artikelstamm).</t>
  </si>
  <si>
    <t xml:space="preserve">7. Artikel ohne Verbrauch: B = MB + LG (sonst 0). Aussenlager-Priorität: Verbrauch pro Tablar absteigend.</t>
  </si>
  <si>
    <t xml:space="preserve">Schieberegler statt Dropdown (optional)</t>
  </si>
  <si>
    <t xml:space="preserve">Entwicklertools → Einfügen → Formularsteuerelemente → Bildlaufleiste. Rechtsklick → Steuerelement formatieren: Min 10, Max 60, Schrittweite 5, Zellverknüpfung z. B. Cockpit!Z6. In Cockpit!C6 dann =Z6/10 eintragen (LU 1.0 – 6.0).</t>
  </si>
  <si>
    <t xml:space="preserve">Aktualisieren</t>
  </si>
  <si>
    <t xml:space="preserve">Neue Exporte in den Ordner «input» legen, Dateinamen oben in build_tool.py anpassen, «python build_tool.py» ausführen. Alle gelben Eingaben werden übernommen (Zuordnung über Artikelnummer).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</si>
</sst>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#,##0"/>
    <numFmt numFmtId="167" formatCode="#,##0.0"/>
    <numFmt numFmtId="168" formatCode="0%"/>
    <numFmt numFmtId="169" formatCode="0"/>
    <numFmt numFmtId="170" formatCode="#,##0;\-#,##0"/>
    <numFmt numFmtId="171" formatCode="#,##0.00"/>
    <numFmt numFmtId="172" formatCode="0.00"/>
    <numFmt numFmtId="173" formatCode="0.000"/>
    <numFmt numFmtId="174" formatCode="dd\.mm\.yyyy"/>
    <numFmt numFmtId="175" formatCode="0.00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20"/>
      <color rgb="FF0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name val="Arial"/>
      <family val="0"/>
      <charset val="1"/>
    </font>
    <font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A6"/>
        <bgColor rgb="FFFFFFCC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color rgb="FF808080"/>
      </font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FD966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B08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D96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F81BD"/>
      <rgbColor rgb="FFBFBFBF"/>
      <rgbColor rgb="FF808080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6"/>
      <rgbColor rgb="FF99CCFF"/>
      <rgbColor rgb="FFF4B084"/>
      <rgbColor rgb="FFCC99FF"/>
      <rgbColor rgb="FFFFD966"/>
      <rgbColor rgb="FF2E75B6"/>
      <rgbColor rgb="FF33CCCC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je Lift – 3 Ansichten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Cockpit!C40</c:f>
              <c:strCache>
                <c:ptCount val="1"/>
                <c:pt idx="0">
                  <c:v>A1: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Cockpit!$C$41:$C$45</c:f>
              <c:numCache>
                <c:formatCode>0%</c:formatCode>
                <c:ptCount val="5"/>
                <c:pt idx="0">
                  <c:v>1.07200714901345</c:v>
                </c:pt>
                <c:pt idx="1">
                  <c:v>1.23142776341306</c:v>
                </c:pt>
                <c:pt idx="2">
                  <c:v>0.461091051805338</c:v>
                </c:pt>
                <c:pt idx="3">
                  <c:v>0.846259407609198</c:v>
                </c:pt>
                <c:pt idx="4">
                  <c:v>0.921508654743949</c:v>
                </c:pt>
              </c:numCache>
            </c:numRef>
          </c:val>
        </c:ser>
        <c:ser>
          <c:idx val="1"/>
          <c:order val="1"/>
          <c:tx>
            <c:strRef>
              <c:f>Cockpit!D40</c:f>
              <c:strCache>
                <c:ptCount val="1"/>
                <c:pt idx="0">
                  <c:v>A2: C LU 3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Cockpit!$D$41:$D$45</c:f>
              <c:numCache>
                <c:formatCode>0%</c:formatCode>
                <c:ptCount val="5"/>
                <c:pt idx="0">
                  <c:v>1.21818477912677</c:v>
                </c:pt>
                <c:pt idx="1">
                  <c:v>1.56994316957552</c:v>
                </c:pt>
                <c:pt idx="2">
                  <c:v>0.520423977283221</c:v>
                </c:pt>
                <c:pt idx="3">
                  <c:v>1.04518357342937</c:v>
                </c:pt>
                <c:pt idx="4">
                  <c:v>1.10285064199517</c:v>
                </c:pt>
              </c:numCache>
            </c:numRef>
          </c:val>
        </c:ser>
        <c:ser>
          <c:idx val="2"/>
          <c:order val="2"/>
          <c:tx>
            <c:strRef>
              <c:f>Cockpit!E40</c:f>
              <c:strCache>
                <c:ptCount val="1"/>
                <c:pt idx="0">
                  <c:v>A3: B LU 4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Cockpit!$E$41:$E$45</c:f>
              <c:numCache>
                <c:formatCode>0%</c:formatCode>
                <c:ptCount val="5"/>
                <c:pt idx="0">
                  <c:v>1.14220653189568</c:v>
                </c:pt>
                <c:pt idx="1">
                  <c:v>1.17684092867916</c:v>
                </c:pt>
                <c:pt idx="2">
                  <c:v>0.420300350909595</c:v>
                </c:pt>
                <c:pt idx="3">
                  <c:v>0.798570639794379</c:v>
                </c:pt>
                <c:pt idx="4">
                  <c:v>0.913115937161479</c:v>
                </c:pt>
              </c:numCache>
            </c:numRef>
          </c:val>
        </c:ser>
        <c:gapWidth val="150"/>
        <c:overlap val="0"/>
        <c:axId val="94966982"/>
        <c:axId val="11317639"/>
      </c:barChart>
      <c:lineChart>
        <c:grouping val="standard"/>
        <c:varyColors val="0"/>
        <c:ser>
          <c:idx val="3"/>
          <c:order val="3"/>
          <c:tx>
            <c:strRef>
              <c:f>Cockpit!F40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Cockpit!$F$41:$F$45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966982"/>
        <c:axId val="11317639"/>
      </c:lineChart>
      <c:catAx>
        <c:axId val="949669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17639"/>
        <c:crosses val="autoZero"/>
        <c:auto val="1"/>
        <c:lblAlgn val="ctr"/>
        <c:lblOffset val="100"/>
        <c:noMultiLvlLbl val="0"/>
      </c:catAx>
      <c:valAx>
        <c:axId val="113176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669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Total % je Ziel-LU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Szenarien!B29</c:f>
              <c:strCache>
                <c:ptCount val="1"/>
                <c:pt idx="0">
                  <c:v>B – Total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Szenarien!$B$30:$B$37</c:f>
              <c:numCache>
                <c:formatCode>0%</c:formatCode>
                <c:ptCount val="8"/>
                <c:pt idx="0">
                  <c:v>1.0796283732963</c:v>
                </c:pt>
                <c:pt idx="1">
                  <c:v>1.01421742512737</c:v>
                </c:pt>
                <c:pt idx="2">
                  <c:v>0.961959965211639</c:v>
                </c:pt>
                <c:pt idx="3">
                  <c:v>0.942587823699667</c:v>
                </c:pt>
                <c:pt idx="4">
                  <c:v>0.913115937161479</c:v>
                </c:pt>
                <c:pt idx="5">
                  <c:v>0.89046698333107</c:v>
                </c:pt>
                <c:pt idx="6">
                  <c:v>0.879203262284198</c:v>
                </c:pt>
                <c:pt idx="7">
                  <c:v>0.869680056362687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Szenarien!C29</c:f>
              <c:strCache>
                <c:ptCount val="1"/>
                <c:pt idx="0">
                  <c:v>C – Total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Szenarien!$C$30:$C$37</c:f>
              <c:numCache>
                <c:formatCode>0%</c:formatCode>
                <c:ptCount val="8"/>
                <c:pt idx="0">
                  <c:v>1.21265571243708</c:v>
                </c:pt>
                <c:pt idx="1">
                  <c:v>1.15363033131549</c:v>
                </c:pt>
                <c:pt idx="2">
                  <c:v>1.10285064199517</c:v>
                </c:pt>
                <c:pt idx="3">
                  <c:v>1.08513179000414</c:v>
                </c:pt>
                <c:pt idx="4">
                  <c:v>1.06214108568243</c:v>
                </c:pt>
                <c:pt idx="5">
                  <c:v>1.04183358125229</c:v>
                </c:pt>
                <c:pt idx="6">
                  <c:v>1.03137518233427</c:v>
                </c:pt>
                <c:pt idx="7">
                  <c:v>1.02265729854161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Szenarien!D29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Szenarien!$D$30:$D$37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Szenarien!E29</c:f>
              <c:strCache>
                <c:ptCount val="1"/>
                <c:pt idx="0">
                  <c:v>Ist – Total %</c:v>
                </c:pt>
              </c:strCache>
            </c:strRef>
          </c:tx>
          <c:spPr>
            <a:solidFill>
              <a:srgbClr val="808080"/>
            </a:solidFill>
            <a:ln w="284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Szenarien!$E$30:$E$37</c:f>
              <c:numCache>
                <c:formatCode>0%</c:formatCode>
                <c:ptCount val="8"/>
                <c:pt idx="0">
                  <c:v>0.921508654743949</c:v>
                </c:pt>
                <c:pt idx="1">
                  <c:v>0.921508654743949</c:v>
                </c:pt>
                <c:pt idx="2">
                  <c:v>0.921508654743949</c:v>
                </c:pt>
                <c:pt idx="3">
                  <c:v>0.921508654743949</c:v>
                </c:pt>
                <c:pt idx="4">
                  <c:v>0.921508654743949</c:v>
                </c:pt>
                <c:pt idx="5">
                  <c:v>0.921508654743949</c:v>
                </c:pt>
                <c:pt idx="6">
                  <c:v>0.921508654743949</c:v>
                </c:pt>
                <c:pt idx="7">
                  <c:v>0.921508654743949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259621"/>
        <c:axId val="48072702"/>
      </c:lineChart>
      <c:catAx>
        <c:axId val="842596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Ziel-LU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072702"/>
        <c:crosses val="autoZero"/>
        <c:auto val="1"/>
        <c:lblAlgn val="ctr"/>
        <c:lblOffset val="100"/>
        <c:noMultiLvlLbl val="0"/>
      </c:catAx>
      <c:valAx>
        <c:axId val="480727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 3 Lifte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596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37</xdr:row>
      <xdr:rowOff>131040</xdr:rowOff>
    </xdr:from>
    <xdr:to>
      <xdr:col>13</xdr:col>
      <xdr:colOff>718560</xdr:colOff>
      <xdr:row>54</xdr:row>
      <xdr:rowOff>132120</xdr:rowOff>
    </xdr:to>
    <xdr:graphicFrame>
      <xdr:nvGraphicFramePr>
        <xdr:cNvPr id="0" name="Chart 1"/>
        <xdr:cNvGraphicFramePr/>
      </xdr:nvGraphicFramePr>
      <xdr:xfrm>
        <a:off x="7467480" y="76010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21</xdr:row>
      <xdr:rowOff>160560</xdr:rowOff>
    </xdr:from>
    <xdr:to>
      <xdr:col>13</xdr:col>
      <xdr:colOff>532080</xdr:colOff>
      <xdr:row>38</xdr:row>
      <xdr:rowOff>162000</xdr:rowOff>
    </xdr:to>
    <xdr:graphicFrame>
      <xdr:nvGraphicFramePr>
        <xdr:cNvPr id="1" name="Chart 1"/>
        <xdr:cNvGraphicFramePr/>
      </xdr:nvGraphicFramePr>
      <xdr:xfrm>
        <a:off x="613404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R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9" min="15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"Verbrauchsbasis: "&amp;TEXT(MONTH(Parameter!B15),"00")&amp;"."&amp;YEAR(Parameter!B15)&amp;" – "&amp;TEXT(MONTH(Parameter!B16),"00")&amp;"."&amp;YEAR(Parameter!B16)&amp;"   ·   Ist-Bestand: "&amp;Parameter!B20&amp;"   ·   Kapazität "&amp;TEXT(Parameter!H8,"#,##0")&amp;" mm Lifthöhe (3 × 11 900)"&amp;IF(Parameter!E27="Ja","   ·   Lifte gemischt","")&amp;"   ·   IST-LU gesamt "&amp;TEXT(SUMPRODUCT(A_VERB,A_PREIS)/MAX(1,SUMPRODUCT(A_IST,A_PREIS)),"0.0")</f>
        <v>Verbrauchsbasis: 01.2025 – 12.2025   ·   Ist-Bestand: Jahresanfang 2025 + Export   ·   Kapazität 35,700 mm Lifthöhe (3 × 11 900)   ·   Lifte gemischt   ·   IST-LU gesamt 2.4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  <c r="C4" s="4"/>
      <c r="D4" s="4"/>
      <c r="E4" s="4"/>
      <c r="F4" s="4"/>
      <c r="H4" s="4" t="s">
        <v>3</v>
      </c>
      <c r="I4" s="4"/>
      <c r="J4" s="4"/>
      <c r="K4" s="4"/>
      <c r="L4" s="4"/>
      <c r="N4" s="4" t="s">
        <v>4</v>
      </c>
      <c r="O4" s="4"/>
      <c r="P4" s="4"/>
      <c r="Q4" s="4"/>
      <c r="R4" s="4"/>
    </row>
    <row r="5" customFormat="false" ht="15" hidden="false" customHeight="false" outlineLevel="0" collapsed="false">
      <c r="B5" s="5" t="s">
        <v>5</v>
      </c>
      <c r="C5" s="6" t="s">
        <v>6</v>
      </c>
      <c r="D5" s="6"/>
      <c r="E5" s="6"/>
      <c r="F5" s="6"/>
      <c r="H5" s="5" t="s">
        <v>5</v>
      </c>
      <c r="I5" s="6" t="s">
        <v>7</v>
      </c>
      <c r="J5" s="6"/>
      <c r="K5" s="6"/>
      <c r="L5" s="6"/>
      <c r="N5" s="5" t="s">
        <v>5</v>
      </c>
      <c r="O5" s="6" t="s">
        <v>8</v>
      </c>
      <c r="P5" s="6"/>
      <c r="Q5" s="6"/>
      <c r="R5" s="6"/>
    </row>
    <row r="6" customFormat="false" ht="15" hidden="false" customHeight="false" outlineLevel="0" collapsed="false">
      <c r="B6" s="5" t="s">
        <v>9</v>
      </c>
      <c r="C6" s="7" t="n">
        <v>3</v>
      </c>
      <c r="D6" s="8" t="s">
        <v>10</v>
      </c>
      <c r="H6" s="5" t="s">
        <v>9</v>
      </c>
      <c r="I6" s="7" t="n">
        <v>3</v>
      </c>
      <c r="J6" s="8" t="s">
        <v>10</v>
      </c>
      <c r="N6" s="5" t="s">
        <v>9</v>
      </c>
      <c r="O6" s="7" t="n">
        <v>4</v>
      </c>
      <c r="P6" s="8" t="s">
        <v>10</v>
      </c>
    </row>
    <row r="8" customFormat="false" ht="15" hidden="false" customHeight="false" outlineLevel="0" collapsed="false">
      <c r="B8" s="9" t="s">
        <v>11</v>
      </c>
      <c r="C8" s="9" t="s">
        <v>12</v>
      </c>
      <c r="D8" s="9" t="s">
        <v>13</v>
      </c>
      <c r="E8" s="9" t="s">
        <v>14</v>
      </c>
      <c r="F8" s="9" t="s">
        <v>15</v>
      </c>
      <c r="H8" s="9" t="s">
        <v>11</v>
      </c>
      <c r="I8" s="9" t="s">
        <v>12</v>
      </c>
      <c r="J8" s="9" t="s">
        <v>13</v>
      </c>
      <c r="K8" s="9" t="s">
        <v>14</v>
      </c>
      <c r="L8" s="9" t="s">
        <v>15</v>
      </c>
      <c r="N8" s="9" t="s">
        <v>11</v>
      </c>
      <c r="O8" s="9" t="s">
        <v>12</v>
      </c>
      <c r="P8" s="9" t="s">
        <v>13</v>
      </c>
      <c r="Q8" s="9" t="s">
        <v>14</v>
      </c>
      <c r="R8" s="9" t="s">
        <v>15</v>
      </c>
    </row>
    <row r="9" customFormat="false" ht="15" hidden="false" customHeight="false" outlineLevel="0" collapsed="false">
      <c r="B9" s="10" t="s">
        <v>16</v>
      </c>
      <c r="C9" s="11" t="n">
        <f aca="false">SUMIFS(Artikel!$AI$7:$AI$1843,Artikel!$CE$7:$CE$1843,1)</f>
        <v>12756.8850732601</v>
      </c>
      <c r="D9" s="11" t="n">
        <f aca="false">Parameter!$H$5</f>
        <v>11900</v>
      </c>
      <c r="E9" s="12" t="n">
        <f aca="false">SUMIFS(Artikel!$AH$7:$AH$1843,Artikel!$CE$7:$CE$1843,1)</f>
        <v>52.953021978022</v>
      </c>
      <c r="F9" s="13" t="n">
        <f aca="false">IF(D9&gt;0,C9/D9,0)</f>
        <v>1.07200714901345</v>
      </c>
      <c r="H9" s="10" t="s">
        <v>16</v>
      </c>
      <c r="I9" s="11" t="n">
        <f aca="false">SUMIFS(Artikel!$AS$7:$AS$1843,Artikel!$CE$7:$CE$1843,1)</f>
        <v>14496.3988716086</v>
      </c>
      <c r="J9" s="11" t="n">
        <f aca="false">Parameter!$H$5</f>
        <v>11900</v>
      </c>
      <c r="K9" s="12" t="n">
        <f aca="false">SUMIFS(Artikel!$AR$7:$AR$1843,Artikel!$CE$7:$CE$1843,1)</f>
        <v>60.6426134599863</v>
      </c>
      <c r="L9" s="13" t="n">
        <f aca="false">IF(J9&gt;0,I9/J9,0)</f>
        <v>1.21818477912677</v>
      </c>
      <c r="N9" s="10" t="s">
        <v>16</v>
      </c>
      <c r="O9" s="11" t="n">
        <f aca="false">SUMIFS(Artikel!$BC$7:$BC$1843,Artikel!$CE$7:$CE$1843,1)</f>
        <v>13592.2577295586</v>
      </c>
      <c r="P9" s="11" t="n">
        <f aca="false">Parameter!$H$5</f>
        <v>11900</v>
      </c>
      <c r="Q9" s="12" t="n">
        <f aca="false">SUMIFS(Artikel!$BB$7:$BB$1843,Artikel!$CE$7:$CE$1843,1)</f>
        <v>56.6785900540138</v>
      </c>
      <c r="R9" s="13" t="n">
        <f aca="false">IF(P9&gt;0,O9/P9,0)</f>
        <v>1.14220653189568</v>
      </c>
    </row>
    <row r="10" customFormat="false" ht="15" hidden="false" customHeight="false" outlineLevel="0" collapsed="false">
      <c r="B10" s="10" t="s">
        <v>17</v>
      </c>
      <c r="C10" s="11" t="n">
        <f aca="false">SUMIFS(Artikel!$AI$7:$AI$1843,Artikel!$CE$7:$CE$1843,2)</f>
        <v>14653.9903846154</v>
      </c>
      <c r="D10" s="11" t="n">
        <f aca="false">Parameter!$H$6</f>
        <v>11900</v>
      </c>
      <c r="E10" s="12" t="n">
        <f aca="false">SUMIFS(Artikel!$AH$7:$AH$1843,Artikel!$CE$7:$CE$1843,2)</f>
        <v>62.8429487179487</v>
      </c>
      <c r="F10" s="13" t="n">
        <f aca="false">IF(D10&gt;0,C10/D10,0)</f>
        <v>1.23142776341306</v>
      </c>
      <c r="H10" s="10" t="s">
        <v>17</v>
      </c>
      <c r="I10" s="11" t="n">
        <f aca="false">SUMIFS(Artikel!$AS$7:$AS$1843,Artikel!$CE$7:$CE$1843,2)</f>
        <v>18682.3237179487</v>
      </c>
      <c r="J10" s="11" t="n">
        <f aca="false">Parameter!$H$6</f>
        <v>11900</v>
      </c>
      <c r="K10" s="12" t="n">
        <f aca="false">SUMIFS(Artikel!$AR$7:$AR$1843,Artikel!$CE$7:$CE$1843,2)</f>
        <v>81.3429487179487</v>
      </c>
      <c r="L10" s="13" t="n">
        <f aca="false">IF(J10&gt;0,I10/J10,0)</f>
        <v>1.56994316957552</v>
      </c>
      <c r="N10" s="10" t="s">
        <v>17</v>
      </c>
      <c r="O10" s="11" t="n">
        <f aca="false">SUMIFS(Artikel!$BC$7:$BC$1843,Artikel!$CE$7:$CE$1843,2)</f>
        <v>14004.4070512821</v>
      </c>
      <c r="P10" s="11" t="n">
        <f aca="false">Parameter!$H$6</f>
        <v>11900</v>
      </c>
      <c r="Q10" s="12" t="n">
        <f aca="false">SUMIFS(Artikel!$BB$7:$BB$1843,Artikel!$CE$7:$CE$1843,2)</f>
        <v>61.7596153846154</v>
      </c>
      <c r="R10" s="13" t="n">
        <f aca="false">IF(P10&gt;0,O10/P10,0)</f>
        <v>1.17684092867916</v>
      </c>
    </row>
    <row r="11" customFormat="false" ht="15" hidden="false" customHeight="false" outlineLevel="0" collapsed="false">
      <c r="B11" s="10" t="s">
        <v>18</v>
      </c>
      <c r="C11" s="11" t="n">
        <f aca="false">SUMIFS(Artikel!$AI$7:$AI$1843,Artikel!$CE$7:$CE$1843,3)</f>
        <v>5486.98351648352</v>
      </c>
      <c r="D11" s="11" t="n">
        <f aca="false">Parameter!$H$7</f>
        <v>11900</v>
      </c>
      <c r="E11" s="12" t="n">
        <f aca="false">SUMIFS(Artikel!$AH$7:$AH$1843,Artikel!$CE$7:$CE$1843,3)</f>
        <v>31.7373626373626</v>
      </c>
      <c r="F11" s="13" t="n">
        <f aca="false">IF(D11&gt;0,C11/D11,0)</f>
        <v>0.461091051805338</v>
      </c>
      <c r="H11" s="10" t="s">
        <v>18</v>
      </c>
      <c r="I11" s="11" t="n">
        <f aca="false">SUMIFS(Artikel!$AS$7:$AS$1843,Artikel!$CE$7:$CE$1843,3)</f>
        <v>6193.04532967033</v>
      </c>
      <c r="J11" s="11" t="n">
        <f aca="false">Parameter!$H$7</f>
        <v>11900</v>
      </c>
      <c r="K11" s="12" t="n">
        <f aca="false">SUMIFS(Artikel!$AR$7:$AR$1843,Artikel!$CE$7:$CE$1843,3)</f>
        <v>35.9799450549451</v>
      </c>
      <c r="L11" s="13" t="n">
        <f aca="false">IF(J11&gt;0,I11/J11,0)</f>
        <v>0.520423977283221</v>
      </c>
      <c r="N11" s="10" t="s">
        <v>18</v>
      </c>
      <c r="O11" s="11" t="n">
        <f aca="false">SUMIFS(Artikel!$BC$7:$BC$1843,Artikel!$CE$7:$CE$1843,3)</f>
        <v>5001.57417582418</v>
      </c>
      <c r="P11" s="11" t="n">
        <f aca="false">Parameter!$H$7</f>
        <v>11900</v>
      </c>
      <c r="Q11" s="12" t="n">
        <f aca="false">SUMIFS(Artikel!$BB$7:$BB$1843,Artikel!$CE$7:$CE$1843,3)</f>
        <v>29.3203296703297</v>
      </c>
      <c r="R11" s="13" t="n">
        <f aca="false">IF(P11&gt;0,O11/P11,0)</f>
        <v>0.420300350909595</v>
      </c>
    </row>
    <row r="12" customFormat="false" ht="15" hidden="false" customHeight="false" outlineLevel="0" collapsed="false">
      <c r="B12" s="14" t="s">
        <v>19</v>
      </c>
      <c r="C12" s="15" t="n">
        <f aca="false">C10+C11</f>
        <v>20140.9739010989</v>
      </c>
      <c r="D12" s="15" t="n">
        <f aca="false">D10+D11</f>
        <v>23800</v>
      </c>
      <c r="E12" s="16" t="n">
        <f aca="false">E10+E11</f>
        <v>94.5803113553114</v>
      </c>
      <c r="F12" s="13" t="n">
        <f aca="false">IF(D12&gt;0,C12/D12,0)</f>
        <v>0.846259407609198</v>
      </c>
      <c r="H12" s="14" t="s">
        <v>19</v>
      </c>
      <c r="I12" s="15" t="n">
        <f aca="false">I10+I11</f>
        <v>24875.3690476191</v>
      </c>
      <c r="J12" s="15" t="n">
        <f aca="false">J10+J11</f>
        <v>23800</v>
      </c>
      <c r="K12" s="16" t="n">
        <f aca="false">K10+K11</f>
        <v>117.322893772894</v>
      </c>
      <c r="L12" s="13" t="n">
        <f aca="false">IF(J12&gt;0,I12/J12,0)</f>
        <v>1.04518357342937</v>
      </c>
      <c r="N12" s="14" t="s">
        <v>19</v>
      </c>
      <c r="O12" s="15" t="n">
        <f aca="false">O10+O11</f>
        <v>19005.9812271062</v>
      </c>
      <c r="P12" s="15" t="n">
        <f aca="false">P10+P11</f>
        <v>23800</v>
      </c>
      <c r="Q12" s="16" t="n">
        <f aca="false">Q10+Q11</f>
        <v>91.0799450549451</v>
      </c>
      <c r="R12" s="13" t="n">
        <f aca="false">IF(P12&gt;0,O12/P12,0)</f>
        <v>0.798570639794379</v>
      </c>
    </row>
    <row r="13" customFormat="false" ht="15" hidden="false" customHeight="false" outlineLevel="0" collapsed="false">
      <c r="B13" s="14" t="s">
        <v>20</v>
      </c>
      <c r="C13" s="15" t="n">
        <f aca="false">C9+C12</f>
        <v>32897.858974359</v>
      </c>
      <c r="D13" s="15" t="n">
        <f aca="false">D9+D12</f>
        <v>35700</v>
      </c>
      <c r="E13" s="16" t="n">
        <f aca="false">E9+E12</f>
        <v>147.533333333333</v>
      </c>
      <c r="F13" s="13" t="n">
        <f aca="false">IF(D13&gt;0,C13/D13,0)</f>
        <v>0.921508654743949</v>
      </c>
      <c r="H13" s="14" t="s">
        <v>20</v>
      </c>
      <c r="I13" s="15" t="n">
        <f aca="false">I9+I12</f>
        <v>39371.7679192277</v>
      </c>
      <c r="J13" s="15" t="n">
        <f aca="false">J9+J12</f>
        <v>35700</v>
      </c>
      <c r="K13" s="16" t="n">
        <f aca="false">K9+K12</f>
        <v>177.96550723288</v>
      </c>
      <c r="L13" s="13" t="n">
        <f aca="false">IF(J13&gt;0,I13/J13,0)</f>
        <v>1.10285064199517</v>
      </c>
      <c r="N13" s="14" t="s">
        <v>20</v>
      </c>
      <c r="O13" s="15" t="n">
        <f aca="false">O9+O12</f>
        <v>32598.2389566648</v>
      </c>
      <c r="P13" s="15" t="n">
        <f aca="false">P9+P12</f>
        <v>35700</v>
      </c>
      <c r="Q13" s="16" t="n">
        <f aca="false">Q9+Q12</f>
        <v>147.758535108959</v>
      </c>
      <c r="R13" s="13" t="n">
        <f aca="false">IF(P13&gt;0,O13/P13,0)</f>
        <v>0.913115937161479</v>
      </c>
    </row>
    <row r="14" customFormat="false" ht="15" hidden="false" customHeight="false" outlineLevel="0" collapsed="false">
      <c r="B14" s="17" t="s">
        <v>21</v>
      </c>
      <c r="C14" s="18" t="n">
        <f aca="false">SUMIFS(Artikel!$AI$7:$AI$1843,Artikel!$CF$7:$CF$1843,"-")</f>
        <v>3247.98076923077</v>
      </c>
      <c r="H14" s="17" t="s">
        <v>21</v>
      </c>
      <c r="I14" s="18" t="n">
        <f aca="false">SUMIFS(Artikel!$AS$7:$AS$1843,Artikel!$CF$7:$CF$1843,"-")</f>
        <v>11472.1243704212</v>
      </c>
      <c r="N14" s="17" t="s">
        <v>21</v>
      </c>
      <c r="O14" s="18" t="n">
        <f aca="false">SUMIFS(Artikel!$BC$7:$BC$1843,Artikel!$CF$7:$CF$1843,"-")</f>
        <v>10526.7106799451</v>
      </c>
    </row>
    <row r="15" customFormat="false" ht="15" hidden="false" customHeight="false" outlineLevel="0" collapsed="false">
      <c r="B15" s="17" t="s">
        <v>22</v>
      </c>
      <c r="C15" s="18" t="n">
        <f aca="false">SUMIFS(Artikel!$AI$7:$AI$1843,Artikel!$CF$7:$CF$1843,"Aussen")</f>
        <v>0</v>
      </c>
      <c r="H15" s="17" t="s">
        <v>22</v>
      </c>
      <c r="I15" s="18" t="n">
        <f aca="false">SUMIFS(Artikel!$AS$7:$AS$1843,Artikel!$CF$7:$CF$1843,"Aussen")</f>
        <v>0</v>
      </c>
      <c r="N15" s="17" t="s">
        <v>22</v>
      </c>
      <c r="O15" s="18" t="n">
        <f aca="false">SUMIFS(Artikel!$BC$7:$BC$1843,Artikel!$CF$7:$CF$1843,"Aussen")</f>
        <v>0</v>
      </c>
    </row>
    <row r="17" customFormat="false" ht="21.75" hidden="false" customHeight="true" outlineLevel="0" collapsed="false">
      <c r="B17" s="19" t="s">
        <v>23</v>
      </c>
      <c r="E17" s="20" t="str">
        <f aca="false">IF(Parameter!$E$27="Ja",IF(C13&lt;=D13,"JA","NEIN"),IF(AND(C9&lt;=D9,C12&lt;=D12),"JA","NEIN"))</f>
        <v>JA</v>
      </c>
      <c r="F17" s="20"/>
      <c r="H17" s="19" t="s">
        <v>23</v>
      </c>
      <c r="K17" s="20" t="str">
        <f aca="false">IF(Parameter!$E$27="Ja",IF(I13&lt;=J13,"JA","NEIN"),IF(AND(I9&lt;=J9,I12&lt;=J12),"JA","NEIN"))</f>
        <v>NEIN</v>
      </c>
      <c r="L17" s="20"/>
      <c r="N17" s="19" t="s">
        <v>23</v>
      </c>
      <c r="Q17" s="20" t="str">
        <f aca="false">IF(Parameter!$E$27="Ja",IF(O13&lt;=P13,"JA","NEIN"),IF(AND(O9&lt;=P9,O12&lt;=P12),"JA","NEIN"))</f>
        <v>JA</v>
      </c>
      <c r="R17" s="20"/>
    </row>
    <row r="18" customFormat="false" ht="21.75" hidden="false" customHeight="true" outlineLevel="0" collapsed="false">
      <c r="B18" s="21" t="s">
        <v>24</v>
      </c>
      <c r="D18" s="22" t="str">
        <f aca="false">IF(C9&lt;=D9,"JA","NEIN")</f>
        <v>NEIN</v>
      </c>
      <c r="E18" s="20"/>
      <c r="F18" s="20"/>
      <c r="H18" s="21" t="s">
        <v>24</v>
      </c>
      <c r="J18" s="22" t="str">
        <f aca="false">IF(I9&lt;=J9,"JA","NEIN")</f>
        <v>NEIN</v>
      </c>
      <c r="K18" s="20"/>
      <c r="L18" s="20"/>
      <c r="N18" s="21" t="s">
        <v>24</v>
      </c>
      <c r="P18" s="22" t="str">
        <f aca="false">IF(O9&lt;=P9,"JA","NEIN")</f>
        <v>NEIN</v>
      </c>
      <c r="Q18" s="20"/>
      <c r="R18" s="20"/>
    </row>
    <row r="19" customFormat="false" ht="15" hidden="false" customHeight="false" outlineLevel="0" collapsed="false">
      <c r="B19" s="21" t="s">
        <v>25</v>
      </c>
      <c r="D19" s="22" t="str">
        <f aca="false">IF(C12&lt;=D12,"JA","NEIN")</f>
        <v>JA</v>
      </c>
      <c r="H19" s="21" t="s">
        <v>25</v>
      </c>
      <c r="J19" s="22" t="str">
        <f aca="false">IF(I12&lt;=J12,"JA","NEIN")</f>
        <v>NEIN</v>
      </c>
      <c r="N19" s="21" t="s">
        <v>25</v>
      </c>
      <c r="P19" s="22" t="str">
        <f aca="false">IF(O12&lt;=P12,"JA","NEIN")</f>
        <v>JA</v>
      </c>
    </row>
    <row r="20" customFormat="false" ht="15" hidden="false" customHeight="false" outlineLevel="0" collapsed="false">
      <c r="B20" s="23" t="str">
        <f aca="false">IF(Parameter!$E$27="Ja","Lifte gemischt: Summe aller 3 Lifte massgebend (frei: "&amp;TEXT(MAX(0,D13-C13),"0")&amp;" mm)",IF(OR(AND(C10&gt;D10,C11&lt;D11),AND(C11&gt;D11,C10&lt;D10)),"Ausgleich Lift 2 ↔ 3 möglich: "&amp;ROUNDUP(MIN(MAX(C10-D10,C11-D11),MAX(D10-C10,D11-C11)),0)&amp;" mm",""))</f>
        <v>Lifte gemischt: Summe aller 3 Lifte massgebend (frei: 2802 mm)</v>
      </c>
      <c r="C20" s="23"/>
      <c r="D20" s="23"/>
      <c r="E20" s="23"/>
      <c r="F20" s="23"/>
      <c r="H20" s="23" t="str">
        <f aca="false">IF(Parameter!$E$27="Ja","Lifte gemischt: Summe aller 3 Lifte massgebend (frei: "&amp;TEXT(MAX(0,J13-I13),"0")&amp;" mm)",IF(OR(AND(I10&gt;J10,I11&lt;J11),AND(I11&gt;J11,I10&lt;J10)),"Ausgleich Lift 2 ↔ 3 möglich: "&amp;ROUNDUP(MIN(MAX(I10-J10,I11-J11),MAX(J10-I10,J11-I11)),0)&amp;" mm",""))</f>
        <v>Lifte gemischt: Summe aller 3 Lifte massgebend (frei: 0 mm)</v>
      </c>
      <c r="I20" s="23"/>
      <c r="J20" s="23"/>
      <c r="K20" s="23"/>
      <c r="L20" s="23"/>
      <c r="N20" s="23" t="str">
        <f aca="false">IF(Parameter!$E$27="Ja","Lifte gemischt: Summe aller 3 Lifte massgebend (frei: "&amp;TEXT(MAX(0,P13-O13),"0")&amp;" mm)",IF(OR(AND(O10&gt;P10,O11&lt;P11),AND(O11&gt;P11,O10&lt;P10)),"Ausgleich Lift 2 ↔ 3 möglich: "&amp;ROUNDUP(MIN(MAX(O10-P10,O11-P11),MAX(P10-O10,P11-O11)),0)&amp;" mm",""))</f>
        <v>Lifte gemischt: Summe aller 3 Lifte massgebend (frei: 3102 mm)</v>
      </c>
      <c r="O20" s="23"/>
      <c r="P20" s="23"/>
      <c r="Q20" s="23"/>
      <c r="R20" s="23"/>
    </row>
    <row r="22" customFormat="false" ht="15" hidden="false" customHeight="false" outlineLevel="0" collapsed="false">
      <c r="B22" s="5" t="s">
        <v>26</v>
      </c>
      <c r="D22" s="24" t="n">
        <f aca="false">IF(Parameter!$E$27="Ja",MAX(0,C13-D13),MAX(0,C9-D9)+MAX(0,C12-D12))+C15</f>
        <v>0</v>
      </c>
      <c r="E22" s="8" t="str">
        <f aca="false">"≈ "&amp;TEXT(D22/Parameter!$M$24,"0")&amp;" Tablare"</f>
        <v>≈ 0 Tablare</v>
      </c>
      <c r="H22" s="5" t="s">
        <v>26</v>
      </c>
      <c r="J22" s="24" t="n">
        <f aca="false">IF(Parameter!$E$27="Ja",MAX(0,I13-J13),MAX(0,I9-J9)+MAX(0,I12-J12))+I15</f>
        <v>3671.76791922767</v>
      </c>
      <c r="K22" s="8" t="str">
        <f aca="false">"≈ "&amp;TEXT(J22/Parameter!$M$24,"0")&amp;" Tablare"</f>
        <v>≈ 16 Tablare</v>
      </c>
      <c r="N22" s="5" t="s">
        <v>26</v>
      </c>
      <c r="P22" s="24" t="n">
        <f aca="false">IF(Parameter!$E$27="Ja",MAX(0,O13-P13),MAX(0,O9-P9)+MAX(0,O12-P12))+O15</f>
        <v>0</v>
      </c>
      <c r="Q22" s="8" t="str">
        <f aca="false">"≈ "&amp;TEXT(P22/Parameter!$M$24,"0")&amp;" Tablare"</f>
        <v>≈ 0 Tablare</v>
      </c>
    </row>
    <row r="23" customFormat="false" ht="15" hidden="false" customHeight="false" outlineLevel="0" collapsed="false">
      <c r="B23" s="21" t="s">
        <v>27</v>
      </c>
      <c r="D23" s="25" t="n">
        <f aca="false">COUNTIF(Artikel!$BJ$7:$BJ$1843,"Aussenlager")+COUNTIF(Artikel!$BJ$7:$BJ$1843,"teilweise")</f>
        <v>0</v>
      </c>
      <c r="H23" s="21" t="s">
        <v>27</v>
      </c>
      <c r="J23" s="25" t="n">
        <f aca="false">COUNTIF(Artikel!$BK$7:$BK$1843,"Aussenlager")+COUNTIF(Artikel!$BK$7:$BK$1843,"teilweise")</f>
        <v>272</v>
      </c>
      <c r="N23" s="21" t="s">
        <v>27</v>
      </c>
      <c r="P23" s="25" t="n">
        <f aca="false">COUNTIF(Artikel!$BL$7:$BL$1843,"Aussenlager")+COUNTIF(Artikel!$BL$7:$BL$1843,"teilweise")</f>
        <v>0</v>
      </c>
    </row>
    <row r="25" customFormat="false" ht="15" hidden="false" customHeight="false" outlineLevel="0" collapsed="false">
      <c r="B25" s="5" t="s">
        <v>28</v>
      </c>
      <c r="D25" s="24" t="n">
        <f aca="false">SUM(Artikel!$AK$7:$AK$1843)</f>
        <v>3451046.21423</v>
      </c>
      <c r="H25" s="5" t="s">
        <v>28</v>
      </c>
      <c r="J25" s="24" t="n">
        <f aca="false">SUM(Artikel!$AU$7:$AU$1843)</f>
        <v>4986565.6825</v>
      </c>
      <c r="N25" s="5" t="s">
        <v>28</v>
      </c>
      <c r="P25" s="24" t="n">
        <f aca="false">SUM(Artikel!$BE$7:$BE$1843)</f>
        <v>2674239.855</v>
      </c>
    </row>
    <row r="26" customFormat="false" ht="15" hidden="false" customHeight="false" outlineLevel="0" collapsed="false">
      <c r="B26" s="21" t="s">
        <v>29</v>
      </c>
      <c r="D26" s="26" t="n">
        <f aca="false">SUMPRODUCT(Artikel!$AK$7:$AK$1843,Artikel!$AO$7:$AO$1843)</f>
        <v>3168585.11003</v>
      </c>
      <c r="H26" s="21" t="s">
        <v>29</v>
      </c>
      <c r="J26" s="26" t="n">
        <f aca="false">SUMPRODUCT(Artikel!$AU$7:$AU$1843,Artikel!$AY$7:$AY$1843)</f>
        <v>3963366.66778515</v>
      </c>
      <c r="N26" s="21" t="s">
        <v>29</v>
      </c>
      <c r="P26" s="26" t="n">
        <f aca="false">SUMPRODUCT(Artikel!$BE$7:$BE$1843,Artikel!$BI$7:$BI$1843)</f>
        <v>2278170.87</v>
      </c>
    </row>
    <row r="27" customFormat="false" ht="15" hidden="false" customHeight="false" outlineLevel="0" collapsed="false">
      <c r="B27" s="21" t="s">
        <v>30</v>
      </c>
      <c r="D27" s="26" t="n">
        <f aca="false">SUMIFS(Artikel!$AK$7:$AK$1843,Artikel!$CF$7:$CF$1843,"L1")+SUMIFS(Artikel!$AK$7:$AK$1843,Artikel!$CF$7:$CF$1843,"L23")+SUMIFS(Artikel!$AK$7:$AK$1843,Artikel!$CF$7:$CF$1843,"LIFT")-D26+SUMIFS(Artikel!$AK$7:$AK$1843,Artikel!$CF$7:$CF$1843,"Aussen")</f>
        <v>0</v>
      </c>
      <c r="H27" s="21" t="s">
        <v>30</v>
      </c>
      <c r="J27" s="26" t="n">
        <f aca="false">SUMIFS(Artikel!$AU$7:$AU$1843,Artikel!$CF$7:$CF$1843,"L1")+SUMIFS(Artikel!$AU$7:$AU$1843,Artikel!$CF$7:$CF$1843,"L23")+SUMIFS(Artikel!$AU$7:$AU$1843,Artikel!$CF$7:$CF$1843,"LIFT")-J26+SUMIFS(Artikel!$AU$7:$AU$1843,Artikel!$CF$7:$CF$1843,"Aussen")</f>
        <v>385957.159714854</v>
      </c>
      <c r="N27" s="21" t="s">
        <v>30</v>
      </c>
      <c r="P27" s="26" t="n">
        <f aca="false">SUMIFS(Artikel!$BE$7:$BE$1843,Artikel!$CF$7:$CF$1843,"L1")+SUMIFS(Artikel!$BE$7:$BE$1843,Artikel!$CF$7:$CF$1843,"L23")+SUMIFS(Artikel!$BE$7:$BE$1843,Artikel!$CF$7:$CF$1843,"LIFT")-P26+SUMIFS(Artikel!$BE$7:$BE$1843,Artikel!$CF$7:$CF$1843,"Aussen")</f>
        <v>0</v>
      </c>
    </row>
    <row r="28" customFormat="false" ht="15" hidden="false" customHeight="false" outlineLevel="0" collapsed="false">
      <c r="B28" s="21" t="s">
        <v>31</v>
      </c>
      <c r="D28" s="26" t="n">
        <f aca="false">SUMIFS(Artikel!$AK$7:$AK$1843,Artikel!$CF$7:$CF$1843,"-")</f>
        <v>282461.1042</v>
      </c>
      <c r="H28" s="21" t="s">
        <v>31</v>
      </c>
      <c r="J28" s="26" t="n">
        <f aca="false">SUMIFS(Artikel!$AU$7:$AU$1843,Artikel!$CF$7:$CF$1843,"-")</f>
        <v>637241.855</v>
      </c>
      <c r="N28" s="21" t="s">
        <v>31</v>
      </c>
      <c r="P28" s="26" t="n">
        <f aca="false">SUMIFS(Artikel!$BE$7:$BE$1843,Artikel!$CF$7:$CF$1843,"-")</f>
        <v>396068.985</v>
      </c>
    </row>
    <row r="30" customFormat="false" ht="15" hidden="false" customHeight="false" outlineLevel="0" collapsed="false">
      <c r="B30" s="5" t="s">
        <v>32</v>
      </c>
      <c r="D30" s="25" t="n">
        <f aca="false">SUMPRODUCT((Artikel!$H$7:$H$1843&gt;Artikel!$AL$7:$AL$1843)*1)</f>
        <v>818</v>
      </c>
      <c r="E30" s="8" t="s">
        <v>33</v>
      </c>
      <c r="H30" s="5" t="s">
        <v>32</v>
      </c>
      <c r="J30" s="25" t="n">
        <f aca="false">SUMPRODUCT((Artikel!$H$7:$H$1843&gt;Artikel!$AV$7:$AV$1843)*1)</f>
        <v>818</v>
      </c>
      <c r="K30" s="8" t="s">
        <v>33</v>
      </c>
      <c r="N30" s="5" t="s">
        <v>32</v>
      </c>
      <c r="P30" s="25" t="n">
        <f aca="false">SUMPRODUCT((Artikel!$H$7:$H$1843&gt;Artikel!$BF$7:$BF$1843)*1)</f>
        <v>833</v>
      </c>
      <c r="Q30" s="8" t="s">
        <v>33</v>
      </c>
    </row>
    <row r="31" customFormat="false" ht="15" hidden="false" customHeight="false" outlineLevel="0" collapsed="false">
      <c r="B31" s="21" t="s">
        <v>34</v>
      </c>
      <c r="D31" s="26" t="n">
        <f aca="false">SUMPRODUCT((Artikel!$H$7:$H$1843&gt;Artikel!$AL$7:$AL$1843)*(Artikel!$H$7:$H$1843-Artikel!$AL$7:$AL$1843)*Artikel!$G$7:$G$1843)</f>
        <v>1323944.0395</v>
      </c>
      <c r="H31" s="21" t="s">
        <v>34</v>
      </c>
      <c r="J31" s="26" t="n">
        <f aca="false">SUMPRODUCT((Artikel!$H$7:$H$1843&gt;Artikel!$AV$7:$AV$1843)*(Artikel!$H$7:$H$1843-Artikel!$AV$7:$AV$1843)*Artikel!$G$7:$G$1843)</f>
        <v>1323944.0395</v>
      </c>
      <c r="N31" s="21" t="s">
        <v>34</v>
      </c>
      <c r="P31" s="26" t="n">
        <f aca="false">SUMPRODUCT((Artikel!$H$7:$H$1843&gt;Artikel!$BF$7:$BF$1843)*(Artikel!$H$7:$H$1843-Artikel!$BF$7:$BF$1843)*Artikel!$G$7:$G$1843)</f>
        <v>1353565.4995</v>
      </c>
    </row>
    <row r="33" customFormat="false" ht="30" hidden="false" customHeight="true" outlineLevel="0" collapsed="false">
      <c r="B33" s="9" t="s">
        <v>35</v>
      </c>
      <c r="C33" s="9" t="s">
        <v>36</v>
      </c>
      <c r="D33" s="9" t="s">
        <v>37</v>
      </c>
      <c r="E33" s="9" t="s">
        <v>38</v>
      </c>
      <c r="F33" s="9" t="s">
        <v>39</v>
      </c>
      <c r="H33" s="9" t="s">
        <v>35</v>
      </c>
      <c r="I33" s="9" t="s">
        <v>36</v>
      </c>
      <c r="J33" s="9" t="s">
        <v>37</v>
      </c>
      <c r="K33" s="9" t="s">
        <v>38</v>
      </c>
      <c r="L33" s="9" t="s">
        <v>39</v>
      </c>
      <c r="N33" s="9" t="s">
        <v>35</v>
      </c>
      <c r="O33" s="9" t="s">
        <v>36</v>
      </c>
      <c r="P33" s="9" t="s">
        <v>37</v>
      </c>
      <c r="Q33" s="9" t="s">
        <v>38</v>
      </c>
      <c r="R33" s="9" t="s">
        <v>39</v>
      </c>
    </row>
    <row r="34" customFormat="false" ht="15" hidden="false" customHeight="false" outlineLevel="0" collapsed="false">
      <c r="B34" s="10" t="s">
        <v>16</v>
      </c>
      <c r="C34" s="12" t="n">
        <f aca="false">SUMIFS(Artikel!$AI$7:$AI$1843,Artikel!$CE$7:$CE$1843,1,Artikel!$BZ$7:$BZ$1843,0,Artikel!$CQ$7:$CQ$1843,0,Artikel!$CA$7:$CA$1843,0)</f>
        <v>2569.38507326007</v>
      </c>
      <c r="D34" s="12" t="n">
        <f aca="false">SUMIFS(Artikel!$AI$7:$AI$1843,Artikel!$CE$7:$CE$1843,1,Artikel!$CQ$7:$CQ$1843,"&gt;0")</f>
        <v>10115</v>
      </c>
      <c r="E34" s="12" t="n">
        <f aca="false">SUMIFS(Artikel!$AI$7:$AI$1843,Artikel!$CE$7:$CE$1843,1,Artikel!$BZ$7:$BZ$1843,1,Artikel!$CQ$7:$CQ$1843,0)+SUMIFS(Artikel!$AI$7:$AI$1843,Artikel!$CE$7:$CE$1843,1,Artikel!$CA$7:$CA$1843,1,Artikel!$CQ$7:$CQ$1843,0)</f>
        <v>72.5</v>
      </c>
      <c r="F34" s="27" t="n">
        <f aca="false">IF(SUM(C34:E34)&gt;0,E34/SUM(C34:E34),0)</f>
        <v>0.00568320554615394</v>
      </c>
      <c r="H34" s="10" t="s">
        <v>16</v>
      </c>
      <c r="I34" s="12" t="n">
        <f aca="false">SUMIFS(Artikel!$AS$7:$AS$1843,Artikel!$CE$7:$CE$1843,1,Artikel!$BZ$7:$BZ$1843,0,Artikel!$CQ$7:$CQ$1843,0,Artikel!$CA$7:$CA$1843,0)</f>
        <v>3515.63507326007</v>
      </c>
      <c r="J34" s="12" t="n">
        <f aca="false">SUMIFS(Artikel!$AS$7:$AS$1843,Artikel!$CE$7:$CE$1843,1,Artikel!$CQ$7:$CQ$1843,"&gt;0")</f>
        <v>10686.4689265537</v>
      </c>
      <c r="K34" s="12" t="n">
        <f aca="false">SUMIFS(Artikel!$AS$7:$AS$1843,Artikel!$CE$7:$CE$1843,1,Artikel!$BZ$7:$BZ$1843,1,Artikel!$CQ$7:$CQ$1843,0)+SUMIFS(Artikel!$AS$7:$AS$1843,Artikel!$CE$7:$CE$1843,1,Artikel!$CA$7:$CA$1843,1,Artikel!$CQ$7:$CQ$1843,0)</f>
        <v>294.294871794872</v>
      </c>
      <c r="L34" s="27" t="n">
        <f aca="false">IF(SUM(I34:K34)&gt;0,K34/SUM(I34:K34),0)</f>
        <v>0.020301239942511</v>
      </c>
      <c r="N34" s="10" t="s">
        <v>16</v>
      </c>
      <c r="O34" s="12" t="n">
        <f aca="false">SUMIFS(Artikel!$BC$7:$BC$1843,Artikel!$CE$7:$CE$1843,1,Artikel!$BZ$7:$BZ$1843,0,Artikel!$CQ$7:$CQ$1843,0,Artikel!$CA$7:$CA$1843,0)</f>
        <v>2888.41483516484</v>
      </c>
      <c r="P34" s="12" t="n">
        <f aca="false">SUMIFS(Artikel!$BC$7:$BC$1843,Artikel!$CE$7:$CE$1843,1,Artikel!$CQ$7:$CQ$1843,"&gt;0")</f>
        <v>10457.8813559322</v>
      </c>
      <c r="Q34" s="12" t="n">
        <f aca="false">SUMIFS(Artikel!$BC$7:$BC$1843,Artikel!$CE$7:$CE$1843,1,Artikel!$BZ$7:$BZ$1843,1,Artikel!$CQ$7:$CQ$1843,0)+SUMIFS(Artikel!$BC$7:$BC$1843,Artikel!$CE$7:$CE$1843,1,Artikel!$CA$7:$CA$1843,1,Artikel!$CQ$7:$CQ$1843,0)</f>
        <v>245.961538461538</v>
      </c>
      <c r="R34" s="27" t="n">
        <f aca="false">IF(SUM(O34:Q34)&gt;0,Q34/SUM(O34:Q34),0)</f>
        <v>0.0180957088480345</v>
      </c>
    </row>
    <row r="35" customFormat="false" ht="15" hidden="false" customHeight="false" outlineLevel="0" collapsed="false">
      <c r="B35" s="10" t="s">
        <v>17</v>
      </c>
      <c r="C35" s="12" t="n">
        <f aca="false">SUMIFS(Artikel!$AI$7:$AI$1843,Artikel!$CE$7:$CE$1843,2,Artikel!$BZ$7:$BZ$1843,0,Artikel!$CQ$7:$CQ$1843,0,Artikel!$CA$7:$CA$1843,0)</f>
        <v>11869.8237179487</v>
      </c>
      <c r="D35" s="12" t="n">
        <f aca="false">SUMIFS(Artikel!$AI$7:$AI$1843,Artikel!$CE$7:$CE$1843,2,Artikel!$CQ$7:$CQ$1843,"&gt;0")</f>
        <v>0</v>
      </c>
      <c r="E35" s="12" t="n">
        <f aca="false">SUMIFS(Artikel!$AI$7:$AI$1843,Artikel!$CE$7:$CE$1843,2,Artikel!$BZ$7:$BZ$1843,1,Artikel!$CQ$7:$CQ$1843,0)+SUMIFS(Artikel!$AI$7:$AI$1843,Artikel!$CE$7:$CE$1843,2,Artikel!$CA$7:$CA$1843,1,Artikel!$CQ$7:$CQ$1843,0)</f>
        <v>2784.16666666667</v>
      </c>
      <c r="F35" s="27" t="n">
        <f aca="false">IF(SUM(C35:E35)&gt;0,E35/SUM(C35:E35),0)</f>
        <v>0.189993755529528</v>
      </c>
      <c r="H35" s="10" t="s">
        <v>17</v>
      </c>
      <c r="I35" s="12" t="n">
        <f aca="false">SUMIFS(Artikel!$AS$7:$AS$1843,Artikel!$CE$7:$CE$1843,2,Artikel!$BZ$7:$BZ$1843,0,Artikel!$CQ$7:$CQ$1843,0,Artikel!$CA$7:$CA$1843,0)</f>
        <v>13305.2403846154</v>
      </c>
      <c r="J35" s="12" t="n">
        <f aca="false">SUMIFS(Artikel!$AS$7:$AS$1843,Artikel!$CE$7:$CE$1843,2,Artikel!$CQ$7:$CQ$1843,"&gt;0")</f>
        <v>0</v>
      </c>
      <c r="K35" s="12" t="n">
        <f aca="false">SUMIFS(Artikel!$AS$7:$AS$1843,Artikel!$CE$7:$CE$1843,2,Artikel!$BZ$7:$BZ$1843,1,Artikel!$CQ$7:$CQ$1843,0)+SUMIFS(Artikel!$AS$7:$AS$1843,Artikel!$CE$7:$CE$1843,2,Artikel!$CA$7:$CA$1843,1,Artikel!$CQ$7:$CQ$1843,0)</f>
        <v>5377.08333333333</v>
      </c>
      <c r="L35" s="27" t="n">
        <f aca="false">IF(SUM(I35:K35)&gt;0,K35/SUM(I35:K35),0)</f>
        <v>0.287816623590961</v>
      </c>
      <c r="N35" s="10" t="s">
        <v>17</v>
      </c>
      <c r="O35" s="12" t="n">
        <f aca="false">SUMIFS(Artikel!$BC$7:$BC$1843,Artikel!$CE$7:$CE$1843,2,Artikel!$BZ$7:$BZ$1843,0,Artikel!$CQ$7:$CQ$1843,0,Artikel!$CA$7:$CA$1843,0)</f>
        <v>8983.15705128205</v>
      </c>
      <c r="P35" s="12" t="n">
        <f aca="false">SUMIFS(Artikel!$BC$7:$BC$1843,Artikel!$CE$7:$CE$1843,2,Artikel!$CQ$7:$CQ$1843,"&gt;0")</f>
        <v>0</v>
      </c>
      <c r="Q35" s="12" t="n">
        <f aca="false">SUMIFS(Artikel!$BC$7:$BC$1843,Artikel!$CE$7:$CE$1843,2,Artikel!$BZ$7:$BZ$1843,1,Artikel!$CQ$7:$CQ$1843,0)+SUMIFS(Artikel!$BC$7:$BC$1843,Artikel!$CE$7:$CE$1843,2,Artikel!$CA$7:$CA$1843,1,Artikel!$CQ$7:$CQ$1843,0)</f>
        <v>5021.25</v>
      </c>
      <c r="R35" s="27" t="n">
        <f aca="false">IF(SUM(O35:Q35)&gt;0,Q35/SUM(O35:Q35),0)</f>
        <v>0.358547847232156</v>
      </c>
    </row>
    <row r="36" customFormat="false" ht="15" hidden="false" customHeight="false" outlineLevel="0" collapsed="false">
      <c r="B36" s="10" t="s">
        <v>18</v>
      </c>
      <c r="C36" s="12" t="n">
        <f aca="false">SUMIFS(Artikel!$AI$7:$AI$1843,Artikel!$CE$7:$CE$1843,3,Artikel!$BZ$7:$BZ$1843,0,Artikel!$CQ$7:$CQ$1843,0,Artikel!$CA$7:$CA$1843,0)</f>
        <v>4592.75274725275</v>
      </c>
      <c r="D36" s="12" t="n">
        <f aca="false">SUMIFS(Artikel!$AI$7:$AI$1843,Artikel!$CE$7:$CE$1843,3,Artikel!$CQ$7:$CQ$1843,"&gt;0")</f>
        <v>0</v>
      </c>
      <c r="E36" s="12" t="n">
        <f aca="false">SUMIFS(Artikel!$AI$7:$AI$1843,Artikel!$CE$7:$CE$1843,3,Artikel!$BZ$7:$BZ$1843,1,Artikel!$CQ$7:$CQ$1843,0)+SUMIFS(Artikel!$AI$7:$AI$1843,Artikel!$CE$7:$CE$1843,3,Artikel!$CA$7:$CA$1843,1,Artikel!$CQ$7:$CQ$1843,0)</f>
        <v>894.230769230769</v>
      </c>
      <c r="F36" s="27" t="n">
        <f aca="false">IF(SUM(C36:E36)&gt;0,E36/SUM(C36:E36),0)</f>
        <v>0.162973110187847</v>
      </c>
      <c r="H36" s="10" t="s">
        <v>18</v>
      </c>
      <c r="I36" s="12" t="n">
        <f aca="false">SUMIFS(Artikel!$AS$7:$AS$1843,Artikel!$CE$7:$CE$1843,3,Artikel!$BZ$7:$BZ$1843,0,Artikel!$CQ$7:$CQ$1843,0,Artikel!$CA$7:$CA$1843,0)</f>
        <v>4875.54532967033</v>
      </c>
      <c r="J36" s="12" t="n">
        <f aca="false">SUMIFS(Artikel!$AS$7:$AS$1843,Artikel!$CE$7:$CE$1843,3,Artikel!$CQ$7:$CQ$1843,"&gt;0")</f>
        <v>0</v>
      </c>
      <c r="K36" s="12" t="n">
        <f aca="false">SUMIFS(Artikel!$AS$7:$AS$1843,Artikel!$CE$7:$CE$1843,3,Artikel!$BZ$7:$BZ$1843,1,Artikel!$CQ$7:$CQ$1843,0)+SUMIFS(Artikel!$AS$7:$AS$1843,Artikel!$CE$7:$CE$1843,3,Artikel!$CA$7:$CA$1843,1,Artikel!$CQ$7:$CQ$1843,0)</f>
        <v>1317.5</v>
      </c>
      <c r="L36" s="27" t="n">
        <f aca="false">IF(SUM(I36:K36)&gt;0,K36/SUM(I36:K36),0)</f>
        <v>0.212738633397042</v>
      </c>
      <c r="N36" s="10" t="s">
        <v>18</v>
      </c>
      <c r="O36" s="12" t="n">
        <f aca="false">SUMIFS(Artikel!$BC$7:$BC$1843,Artikel!$CE$7:$CE$1843,3,Artikel!$BZ$7:$BZ$1843,0,Artikel!$CQ$7:$CQ$1843,0,Artikel!$CA$7:$CA$1843,0)</f>
        <v>3737.72802197802</v>
      </c>
      <c r="P36" s="12" t="n">
        <f aca="false">SUMIFS(Artikel!$BC$7:$BC$1843,Artikel!$CE$7:$CE$1843,3,Artikel!$CQ$7:$CQ$1843,"&gt;0")</f>
        <v>0</v>
      </c>
      <c r="Q36" s="12" t="n">
        <f aca="false">SUMIFS(Artikel!$BC$7:$BC$1843,Artikel!$CE$7:$CE$1843,3,Artikel!$BZ$7:$BZ$1843,1,Artikel!$CQ$7:$CQ$1843,0)+SUMIFS(Artikel!$BC$7:$BC$1843,Artikel!$CE$7:$CE$1843,3,Artikel!$CA$7:$CA$1843,1,Artikel!$CQ$7:$CQ$1843,0)</f>
        <v>1263.84615384615</v>
      </c>
      <c r="R36" s="27" t="n">
        <f aca="false">IF(SUM(O36:Q36)&gt;0,Q36/SUM(O36:Q36),0)</f>
        <v>0.252689675173695</v>
      </c>
    </row>
    <row r="37" customFormat="false" ht="15" hidden="false" customHeight="false" outlineLevel="0" collapsed="false">
      <c r="B37" s="14" t="s">
        <v>40</v>
      </c>
      <c r="C37" s="16" t="n">
        <f aca="false">SUM(C34:C36)</f>
        <v>19031.9615384615</v>
      </c>
      <c r="D37" s="16" t="n">
        <f aca="false">SUM(D34:D36)</f>
        <v>10115</v>
      </c>
      <c r="E37" s="16" t="n">
        <f aca="false">SUM(E34:E36)</f>
        <v>3750.89743589744</v>
      </c>
      <c r="F37" s="13" t="n">
        <f aca="false">IF(SUM(C37:E37)&gt;0,E37/SUM(C37:E37),0)</f>
        <v>0.114016460427438</v>
      </c>
      <c r="H37" s="14" t="s">
        <v>40</v>
      </c>
      <c r="I37" s="16" t="n">
        <f aca="false">SUM(I34:I36)</f>
        <v>21696.4207875458</v>
      </c>
      <c r="J37" s="16" t="n">
        <f aca="false">SUM(J34:J36)</f>
        <v>10686.4689265537</v>
      </c>
      <c r="K37" s="16" t="n">
        <f aca="false">SUM(K34:K36)</f>
        <v>6988.87820512821</v>
      </c>
      <c r="L37" s="13" t="n">
        <f aca="false">IF(SUM(I37:K37)&gt;0,K37/SUM(I37:K37),0)</f>
        <v>0.177509890322073</v>
      </c>
      <c r="N37" s="14" t="s">
        <v>40</v>
      </c>
      <c r="O37" s="16" t="n">
        <f aca="false">SUM(O34:O36)</f>
        <v>15609.2999084249</v>
      </c>
      <c r="P37" s="16" t="n">
        <f aca="false">SUM(P34:P36)</f>
        <v>10457.8813559322</v>
      </c>
      <c r="Q37" s="16" t="n">
        <f aca="false">SUM(Q34:Q36)</f>
        <v>6531.05769230769</v>
      </c>
      <c r="R37" s="13" t="n">
        <f aca="false">IF(SUM(O37:Q37)&gt;0,Q37/SUM(O37:Q37),0)</f>
        <v>0.200350015870179</v>
      </c>
    </row>
    <row r="40" customFormat="false" ht="15" hidden="false" customHeight="false" outlineLevel="0" collapsed="false">
      <c r="B40" s="5" t="s">
        <v>41</v>
      </c>
      <c r="C40" s="5" t="str">
        <f aca="false">"A1: "&amp;LEFT(C5,1)&amp;IF(LEFT(C5,1)="A",""," LU "&amp;C6)</f>
        <v>A1: A</v>
      </c>
      <c r="D40" s="5" t="str">
        <f aca="false">"A2: "&amp;LEFT(I5,1)&amp;IF(LEFT(I5,1)="A",""," LU "&amp;I6)</f>
        <v>A2: C LU 3</v>
      </c>
      <c r="E40" s="5" t="str">
        <f aca="false">"A3: "&amp;LEFT(O5,1)&amp;IF(LEFT(O5,1)="A",""," LU "&amp;O6)</f>
        <v>A3: B LU 4</v>
      </c>
      <c r="F40" s="5" t="s">
        <v>42</v>
      </c>
    </row>
    <row r="41" customFormat="false" ht="15" hidden="false" customHeight="false" outlineLevel="0" collapsed="false">
      <c r="B41" s="21" t="s">
        <v>43</v>
      </c>
      <c r="C41" s="28" t="n">
        <f aca="false">F9</f>
        <v>1.07200714901345</v>
      </c>
      <c r="D41" s="28" t="n">
        <f aca="false">L9</f>
        <v>1.21818477912677</v>
      </c>
      <c r="E41" s="28" t="n">
        <f aca="false">R9</f>
        <v>1.14220653189568</v>
      </c>
      <c r="F41" s="28" t="n">
        <v>1</v>
      </c>
    </row>
    <row r="42" customFormat="false" ht="15" hidden="false" customHeight="false" outlineLevel="0" collapsed="false">
      <c r="B42" s="21" t="s">
        <v>44</v>
      </c>
      <c r="C42" s="28" t="n">
        <f aca="false">F10</f>
        <v>1.23142776341306</v>
      </c>
      <c r="D42" s="28" t="n">
        <f aca="false">L10</f>
        <v>1.56994316957552</v>
      </c>
      <c r="E42" s="28" t="n">
        <f aca="false">R10</f>
        <v>1.17684092867916</v>
      </c>
      <c r="F42" s="28" t="n">
        <v>1</v>
      </c>
    </row>
    <row r="43" customFormat="false" ht="15" hidden="false" customHeight="false" outlineLevel="0" collapsed="false">
      <c r="B43" s="21" t="s">
        <v>45</v>
      </c>
      <c r="C43" s="28" t="n">
        <f aca="false">F11</f>
        <v>0.461091051805338</v>
      </c>
      <c r="D43" s="28" t="n">
        <f aca="false">L11</f>
        <v>0.520423977283221</v>
      </c>
      <c r="E43" s="28" t="n">
        <f aca="false">R11</f>
        <v>0.420300350909595</v>
      </c>
      <c r="F43" s="28" t="n">
        <v>1</v>
      </c>
    </row>
    <row r="44" customFormat="false" ht="15" hidden="false" customHeight="false" outlineLevel="0" collapsed="false">
      <c r="B44" s="21" t="s">
        <v>46</v>
      </c>
      <c r="C44" s="28" t="n">
        <f aca="false">F12</f>
        <v>0.846259407609198</v>
      </c>
      <c r="D44" s="28" t="n">
        <f aca="false">L12</f>
        <v>1.04518357342937</v>
      </c>
      <c r="E44" s="28" t="n">
        <f aca="false">R12</f>
        <v>0.798570639794379</v>
      </c>
      <c r="F44" s="28" t="n">
        <v>1</v>
      </c>
    </row>
    <row r="45" customFormat="false" ht="15" hidden="false" customHeight="false" outlineLevel="0" collapsed="false">
      <c r="B45" s="21" t="s">
        <v>40</v>
      </c>
      <c r="C45" s="28" t="n">
        <f aca="false">F13</f>
        <v>0.921508654743949</v>
      </c>
      <c r="D45" s="28" t="n">
        <f aca="false">L13</f>
        <v>1.10285064199517</v>
      </c>
      <c r="E45" s="28" t="n">
        <f aca="false">R13</f>
        <v>0.913115937161479</v>
      </c>
      <c r="F45" s="28" t="n">
        <v>1</v>
      </c>
    </row>
  </sheetData>
  <mergeCells count="12">
    <mergeCell ref="B4:F4"/>
    <mergeCell ref="H4:L4"/>
    <mergeCell ref="N4:R4"/>
    <mergeCell ref="C5:F5"/>
    <mergeCell ref="I5:L5"/>
    <mergeCell ref="O5:R5"/>
    <mergeCell ref="E17:F18"/>
    <mergeCell ref="K17:L18"/>
    <mergeCell ref="Q17:R18"/>
    <mergeCell ref="B20:F20"/>
    <mergeCell ref="H20:L20"/>
    <mergeCell ref="N20:R20"/>
  </mergeCells>
  <conditionalFormatting sqref="C6">
    <cfRule type="expression" priority="2" aboveAverage="0" equalAverage="0" bottom="0" percent="0" rank="0" text="" dxfId="0">
      <formula>LEFT($C$5,1)="A"</formula>
    </cfRule>
  </conditionalFormatting>
  <conditionalFormatting sqref="F9:F13">
    <cfRule type="dataBar" priority="3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{7CE36B87-9A93-48D0-941B-D074DCA7F9EA}</x14:id>
        </ext>
      </extLst>
    </cfRule>
    <cfRule type="cellIs" priority="4" operator="greaterThan" aboveAverage="0" equalAverage="0" bottom="0" percent="0" rank="0" text="" dxfId="1">
      <formula>Parameter!$B$12</formula>
    </cfRule>
    <cfRule type="cellIs" priority="5" operator="greaterThanOrEqual" aboveAverage="0" equalAverage="0" bottom="0" percent="0" rank="0" text="" dxfId="2">
      <formula>Parameter!$B$11</formula>
    </cfRule>
    <cfRule type="cellIs" priority="6" operator="lessThan" aboveAverage="0" equalAverage="0" bottom="0" percent="0" rank="0" text="" dxfId="3">
      <formula>Parameter!$B$11</formula>
    </cfRule>
  </conditionalFormatting>
  <conditionalFormatting sqref="E17">
    <cfRule type="cellIs" priority="7" operator="equal" aboveAverage="0" equalAverage="0" bottom="0" percent="0" rank="0" text="" dxfId="4">
      <formula>"JA"</formula>
    </cfRule>
    <cfRule type="cellIs" priority="8" operator="equal" aboveAverage="0" equalAverage="0" bottom="0" percent="0" rank="0" text="" dxfId="5">
      <formula>"NEIN"</formula>
    </cfRule>
  </conditionalFormatting>
  <conditionalFormatting sqref="D18">
    <cfRule type="cellIs" priority="9" operator="equal" aboveAverage="0" equalAverage="0" bottom="0" percent="0" rank="0" text="" dxfId="4">
      <formula>"JA"</formula>
    </cfRule>
    <cfRule type="cellIs" priority="10" operator="equal" aboveAverage="0" equalAverage="0" bottom="0" percent="0" rank="0" text="" dxfId="5">
      <formula>"NEIN"</formula>
    </cfRule>
  </conditionalFormatting>
  <conditionalFormatting sqref="D19">
    <cfRule type="cellIs" priority="11" operator="equal" aboveAverage="0" equalAverage="0" bottom="0" percent="0" rank="0" text="" dxfId="4">
      <formula>"JA"</formula>
    </cfRule>
    <cfRule type="cellIs" priority="12" operator="equal" aboveAverage="0" equalAverage="0" bottom="0" percent="0" rank="0" text="" dxfId="5">
      <formula>"NEIN"</formula>
    </cfRule>
  </conditionalFormatting>
  <conditionalFormatting sqref="I6">
    <cfRule type="expression" priority="13" aboveAverage="0" equalAverage="0" bottom="0" percent="0" rank="0" text="" dxfId="0">
      <formula>LEFT($I$5,1)="A"</formula>
    </cfRule>
  </conditionalFormatting>
  <conditionalFormatting sqref="L9:L13">
    <cfRule type="dataBar" priority="14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{40FFE430-AF44-45E9-9BA1-673AA250AD58}</x14:id>
        </ext>
      </extLst>
    </cfRule>
    <cfRule type="cellIs" priority="15" operator="greaterThan" aboveAverage="0" equalAverage="0" bottom="0" percent="0" rank="0" text="" dxfId="1">
      <formula>Parameter!$B$12</formula>
    </cfRule>
    <cfRule type="cellIs" priority="16" operator="greaterThanOrEqual" aboveAverage="0" equalAverage="0" bottom="0" percent="0" rank="0" text="" dxfId="2">
      <formula>Parameter!$B$11</formula>
    </cfRule>
    <cfRule type="cellIs" priority="17" operator="lessThan" aboveAverage="0" equalAverage="0" bottom="0" percent="0" rank="0" text="" dxfId="3">
      <formula>Parameter!$B$11</formula>
    </cfRule>
  </conditionalFormatting>
  <conditionalFormatting sqref="K17">
    <cfRule type="cellIs" priority="18" operator="equal" aboveAverage="0" equalAverage="0" bottom="0" percent="0" rank="0" text="" dxfId="4">
      <formula>"JA"</formula>
    </cfRule>
    <cfRule type="cellIs" priority="19" operator="equal" aboveAverage="0" equalAverage="0" bottom="0" percent="0" rank="0" text="" dxfId="5">
      <formula>"NEIN"</formula>
    </cfRule>
  </conditionalFormatting>
  <conditionalFormatting sqref="J18">
    <cfRule type="cellIs" priority="20" operator="equal" aboveAverage="0" equalAverage="0" bottom="0" percent="0" rank="0" text="" dxfId="4">
      <formula>"JA"</formula>
    </cfRule>
    <cfRule type="cellIs" priority="21" operator="equal" aboveAverage="0" equalAverage="0" bottom="0" percent="0" rank="0" text="" dxfId="5">
      <formula>"NEIN"</formula>
    </cfRule>
  </conditionalFormatting>
  <conditionalFormatting sqref="J19">
    <cfRule type="cellIs" priority="22" operator="equal" aboveAverage="0" equalAverage="0" bottom="0" percent="0" rank="0" text="" dxfId="4">
      <formula>"JA"</formula>
    </cfRule>
    <cfRule type="cellIs" priority="23" operator="equal" aboveAverage="0" equalAverage="0" bottom="0" percent="0" rank="0" text="" dxfId="5">
      <formula>"NEIN"</formula>
    </cfRule>
  </conditionalFormatting>
  <conditionalFormatting sqref="O6">
    <cfRule type="expression" priority="24" aboveAverage="0" equalAverage="0" bottom="0" percent="0" rank="0" text="" dxfId="0">
      <formula>LEFT($O$5,1)="A"</formula>
    </cfRule>
  </conditionalFormatting>
  <conditionalFormatting sqref="R9:R13">
    <cfRule type="dataBar" priority="25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{A47C254F-BCCA-4C36-A1E0-7F7CE4E848EE}</x14:id>
        </ext>
      </extLst>
    </cfRule>
    <cfRule type="cellIs" priority="26" operator="greaterThan" aboveAverage="0" equalAverage="0" bottom="0" percent="0" rank="0" text="" dxfId="1">
      <formula>Parameter!$B$12</formula>
    </cfRule>
    <cfRule type="cellIs" priority="27" operator="greaterThanOrEqual" aboveAverage="0" equalAverage="0" bottom="0" percent="0" rank="0" text="" dxfId="2">
      <formula>Parameter!$B$11</formula>
    </cfRule>
    <cfRule type="cellIs" priority="28" operator="lessThan" aboveAverage="0" equalAverage="0" bottom="0" percent="0" rank="0" text="" dxfId="3">
      <formula>Parameter!$B$11</formula>
    </cfRule>
  </conditionalFormatting>
  <conditionalFormatting sqref="Q17">
    <cfRule type="cellIs" priority="29" operator="equal" aboveAverage="0" equalAverage="0" bottom="0" percent="0" rank="0" text="" dxfId="4">
      <formula>"JA"</formula>
    </cfRule>
    <cfRule type="cellIs" priority="30" operator="equal" aboveAverage="0" equalAverage="0" bottom="0" percent="0" rank="0" text="" dxfId="5">
      <formula>"NEIN"</formula>
    </cfRule>
  </conditionalFormatting>
  <conditionalFormatting sqref="P18">
    <cfRule type="cellIs" priority="31" operator="equal" aboveAverage="0" equalAverage="0" bottom="0" percent="0" rank="0" text="" dxfId="4">
      <formula>"JA"</formula>
    </cfRule>
    <cfRule type="cellIs" priority="32" operator="equal" aboveAverage="0" equalAverage="0" bottom="0" percent="0" rank="0" text="" dxfId="5">
      <formula>"NEIN"</formula>
    </cfRule>
  </conditionalFormatting>
  <conditionalFormatting sqref="P19">
    <cfRule type="cellIs" priority="33" operator="equal" aboveAverage="0" equalAverage="0" bottom="0" percent="0" rank="0" text="" dxfId="4">
      <formula>"JA"</formula>
    </cfRule>
    <cfRule type="cellIs" priority="34" operator="equal" aboveAverage="0" equalAverage="0" bottom="0" percent="0" rank="0" text="" dxfId="5">
      <formula>"NEIN"</formula>
    </cfRule>
  </conditionalFormatting>
  <dataValidations count="2">
    <dataValidation allowBlank="false" errorStyle="stop" operator="between" showDropDown="false" showErrorMessage="false" showInputMessage="false" sqref="C5 I5 O5" type="list">
      <formula1>Parameter!$D$23:$D$25</formula1>
      <formula2>0</formula2>
    </dataValidation>
    <dataValidation allowBlank="false" errorStyle="stop" operator="between" showDropDown="false" showErrorMessage="false" showInputMessage="false" sqref="C6 I6 O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E36B87-9A93-48D0-941B-D074DCA7F9EA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F9:F13</xm:sqref>
        </x14:conditionalFormatting>
        <x14:conditionalFormatting xmlns:xm="http://schemas.microsoft.com/office/excel/2006/main">
          <x14:cfRule type="dataBar" id="{40FFE430-AF44-45E9-9BA1-673AA250AD58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L9:L13</xm:sqref>
        </x14:conditionalFormatting>
        <x14:conditionalFormatting xmlns:xm="http://schemas.microsoft.com/office/excel/2006/main">
          <x14:cfRule type="dataBar" id="{A47C254F-BCCA-4C36-A1E0-7F7CE4E848EE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R9:R13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29" t="s">
        <v>47</v>
      </c>
    </row>
    <row r="2" customFormat="false" ht="15" hidden="false" customHeight="false" outlineLevel="0" collapsed="false">
      <c r="A2" s="30" t="s">
        <v>48</v>
      </c>
    </row>
    <row r="4" customFormat="false" ht="30" hidden="false" customHeight="true" outlineLevel="0" collapsed="false">
      <c r="A4" s="9" t="s">
        <v>5</v>
      </c>
      <c r="B4" s="9" t="s">
        <v>9</v>
      </c>
      <c r="C4" s="9" t="s">
        <v>49</v>
      </c>
      <c r="D4" s="9" t="s">
        <v>50</v>
      </c>
      <c r="E4" s="9" t="s">
        <v>51</v>
      </c>
      <c r="F4" s="9" t="s">
        <v>52</v>
      </c>
      <c r="G4" s="9" t="s">
        <v>53</v>
      </c>
      <c r="H4" s="9" t="s">
        <v>54</v>
      </c>
      <c r="I4" s="9" t="s">
        <v>55</v>
      </c>
      <c r="J4" s="9" t="s">
        <v>56</v>
      </c>
      <c r="K4" s="9" t="s">
        <v>57</v>
      </c>
      <c r="L4" s="9" t="s">
        <v>58</v>
      </c>
      <c r="M4" s="9" t="s">
        <v>59</v>
      </c>
      <c r="N4" s="9" t="s">
        <v>60</v>
      </c>
      <c r="O4" s="9" t="s">
        <v>61</v>
      </c>
      <c r="P4" s="9" t="s">
        <v>62</v>
      </c>
    </row>
    <row r="5" customFormat="false" ht="15" hidden="false" customHeight="false" outlineLevel="0" collapsed="false">
      <c r="A5" s="31" t="s">
        <v>63</v>
      </c>
      <c r="B5" s="32" t="s">
        <v>64</v>
      </c>
      <c r="C5" s="33" t="n">
        <f aca="false">M5/Parameter!$H$5</f>
        <v>1.07200714901345</v>
      </c>
      <c r="D5" s="33" t="n">
        <f aca="false">N5/Parameter!$H$6</f>
        <v>1.23142776341306</v>
      </c>
      <c r="E5" s="33" t="n">
        <f aca="false">O5/Parameter!$H$7</f>
        <v>0.461091051805338</v>
      </c>
      <c r="F5" s="34" t="n">
        <f aca="false">(N5+O5)/(Parameter!$H$6+Parameter!$H$7)</f>
        <v>0.846259407609198</v>
      </c>
      <c r="G5" s="34" t="n">
        <f aca="false">(M5+N5+O5)/Parameter!$H$8</f>
        <v>0.921508654743949</v>
      </c>
      <c r="H5" s="35" t="str">
        <f aca="false">IF(Parameter!$E$27="Ja",IF(M5+N5+O5&lt;=Parameter!$H$8,"JA","NEIN"),IF(AND(M5&lt;=Parameter!$H$5,N5+O5&lt;=Parameter!$H$6+Parameter!$H$7),"JA","NEIN"))</f>
        <v>JA</v>
      </c>
      <c r="I5" s="36" t="n">
        <f aca="false">IF(Parameter!$E$27="Ja",MAX(0,M5+N5+O5-Parameter!$H$8),MAX(0,M5-Parameter!$H$5)+MAX(0,N5+O5-Parameter!$H$6-Parameter!$H$7))+P5</f>
        <v>0</v>
      </c>
      <c r="J5" s="36" t="n">
        <f aca="false">SUMPRODUCT(A_IST*A_PREIS)</f>
        <v>3451046.21423</v>
      </c>
      <c r="K5" s="37" t="n">
        <f aca="false">J5-$J$5</f>
        <v>0</v>
      </c>
      <c r="L5" s="37" t="n">
        <f aca="false">(M5+N5+O5+P5)-($M$5+$N$5+$O$5+$P$5)</f>
        <v>0</v>
      </c>
      <c r="M5" s="11" t="n">
        <f aca="false">IF(Parameter!$E$30="MAX-Bestand",SUMPRODUCT((A_LIFT=1)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1)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12756.8850732601</v>
      </c>
      <c r="N5" s="11" t="n">
        <f aca="false">IF(Parameter!$E$30="MAX-Bestand",SUMPRODUCT((A_LIFT=2)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2)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14653.9903846154</v>
      </c>
      <c r="O5" s="11" t="n">
        <f aca="false">IF(Parameter!$E$30="MAX-Bestand",SUMPRODUCT((A_LIFT=3)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3)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5486.98351648352</v>
      </c>
      <c r="P5" s="11" t="n">
        <f aca="false">IF(Parameter!$E$30="MAX-Bestand",SUMPRODUCT((A_LIFT="Aussen"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"Aussen"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0</v>
      </c>
    </row>
    <row r="6" customFormat="false" ht="15" hidden="false" customHeight="false" outlineLevel="0" collapsed="false">
      <c r="A6" s="10" t="s">
        <v>8</v>
      </c>
      <c r="B6" s="38" t="n">
        <f aca="false">Parameter!$A$23</f>
        <v>2</v>
      </c>
      <c r="C6" s="27" t="n">
        <f aca="false">M6/Parameter!$H$5</f>
        <v>1.33138373471944</v>
      </c>
      <c r="D6" s="27" t="n">
        <f aca="false">N6/Parameter!$H$6</f>
        <v>1.4539067550097</v>
      </c>
      <c r="E6" s="27" t="n">
        <f aca="false">O6/Parameter!$H$7</f>
        <v>0.453594630159756</v>
      </c>
      <c r="F6" s="13" t="n">
        <f aca="false">(N6+O6)/(Parameter!$H$6+Parameter!$H$7)</f>
        <v>0.953750692584726</v>
      </c>
      <c r="G6" s="13" t="n">
        <f aca="false">(M6+N6+O6)/Parameter!$H$8</f>
        <v>1.0796283732963</v>
      </c>
      <c r="H6" s="39" t="str">
        <f aca="false">IF(Parameter!$E$27="Ja",IF(M6+N6+O6&lt;=Parameter!$H$8,"JA","NEIN"),IF(AND(M6&lt;=Parameter!$H$5,N6+O6&lt;=Parameter!$H$6+Parameter!$H$7),"JA","NEIN"))</f>
        <v>NEIN</v>
      </c>
      <c r="I6" s="11" t="n">
        <f aca="false">IF(Parameter!$E$27="Ja",MAX(0,M6+N6+O6-Parameter!$H$8),MAX(0,M6-Parameter!$H$5)+MAX(0,N6+O6-Parameter!$H$6-Parameter!$H$7))+P6</f>
        <v>2842.73292667784</v>
      </c>
      <c r="J6" s="11" t="n">
        <f aca="false">SUMPRODUCT((A_FINF*(A_MBN+A_FINV)/2+(1-A_FINF)*((A_MBN+ROUNDUP(A_MBN+(A_LGN+((2*(A_VERB/(A_LUO+(A_LUO=0)*$B6)-A_MBN))&gt;A_LGN)*((2*(A_VERB/(A_LUO+(A_LUO=0)*$B6)-A_MBN))-A_LGN)),0))/2))*A_PREIS)</f>
        <v>4438989.115</v>
      </c>
      <c r="K6" s="40" t="n">
        <f aca="false">J6-$J$5</f>
        <v>987942.90077</v>
      </c>
      <c r="L6" s="40" t="n">
        <f aca="false">(M6+N6+O6+P6)-($M$5+$N$5+$O$5+$P$5)</f>
        <v>5644.87395231886</v>
      </c>
      <c r="M6" s="11" t="n">
        <f aca="false">IF(Parameter!$E$30="MAX-Bestand",SUMPRODUCT((A_LIFT=1)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1)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15843.4664431614</v>
      </c>
      <c r="N6" s="11" t="n">
        <f aca="false">IF(Parameter!$E$30="MAX-Bestand",SUMPRODUCT((A_LIFT=2)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2)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17301.4903846154</v>
      </c>
      <c r="O6" s="11" t="n">
        <f aca="false">IF(Parameter!$E$30="MAX-Bestand",SUMPRODUCT((A_LIFT=3)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3)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5397.7760989011</v>
      </c>
      <c r="P6" s="11" t="n">
        <f aca="false">IF(Parameter!$E$30="MAX-Bestand",SUMPRODUCT((A_LIFT="Aussen"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"Aussen"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0</v>
      </c>
    </row>
    <row r="7" customFormat="false" ht="15" hidden="false" customHeight="false" outlineLevel="0" collapsed="false">
      <c r="A7" s="10" t="s">
        <v>8</v>
      </c>
      <c r="B7" s="38" t="n">
        <f aca="false">Parameter!$A$24</f>
        <v>2.5</v>
      </c>
      <c r="C7" s="27" t="n">
        <f aca="false">M7/Parameter!$H$5</f>
        <v>1.249036636819</v>
      </c>
      <c r="D7" s="27" t="n">
        <f aca="false">N7/Parameter!$H$6</f>
        <v>1.35495717517776</v>
      </c>
      <c r="E7" s="27" t="n">
        <f aca="false">O7/Parameter!$H$7</f>
        <v>0.438658463385354</v>
      </c>
      <c r="F7" s="13" t="n">
        <f aca="false">(N7+O7)/(Parameter!$H$6+Parameter!$H$7)</f>
        <v>0.896807819281559</v>
      </c>
      <c r="G7" s="13" t="n">
        <f aca="false">(M7+N7+O7)/Parameter!$H$8</f>
        <v>1.01421742512737</v>
      </c>
      <c r="H7" s="39" t="str">
        <f aca="false">IF(Parameter!$E$27="Ja",IF(M7+N7+O7&lt;=Parameter!$H$8,"JA","NEIN"),IF(AND(M7&lt;=Parameter!$H$5,N7+O7&lt;=Parameter!$H$6+Parameter!$H$7),"JA","NEIN"))</f>
        <v>NEIN</v>
      </c>
      <c r="I7" s="11" t="n">
        <f aca="false">IF(Parameter!$E$27="Ja",MAX(0,M7+N7+O7-Parameter!$H$8),MAX(0,M7-Parameter!$H$5)+MAX(0,N7+O7-Parameter!$H$6-Parameter!$H$7))+P7</f>
        <v>507.562077047252</v>
      </c>
      <c r="J7" s="11" t="n">
        <f aca="false">SUMPRODUCT((A_FINF*(A_MBN+A_FINV)/2+(1-A_FINF)*((A_MBN+ROUNDUP(A_MBN+(A_LGN+((2*(A_VERB/(A_LUO+(A_LUO=0)*$B7)-A_MBN))&gt;A_LGN)*((2*(A_VERB/(A_LUO+(A_LUO=0)*$B7)-A_MBN))-A_LGN)),0))/2))*A_PREIS)</f>
        <v>3731188</v>
      </c>
      <c r="K7" s="40" t="n">
        <f aca="false">J7-$J$5</f>
        <v>280141.78577</v>
      </c>
      <c r="L7" s="40" t="n">
        <f aca="false">(M7+N7+O7+P7)-($M$5+$N$5+$O$5+$P$5)</f>
        <v>3309.70310268828</v>
      </c>
      <c r="M7" s="11" t="n">
        <f aca="false">IF(Parameter!$E$30="MAX-Bestand",SUMPRODUCT((A_LIFT=1)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1)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14863.5359781461</v>
      </c>
      <c r="N7" s="11" t="n">
        <f aca="false">IF(Parameter!$E$30="MAX-Bestand",SUMPRODUCT((A_LIFT=2)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2)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16123.9903846154</v>
      </c>
      <c r="O7" s="11" t="n">
        <f aca="false">IF(Parameter!$E$30="MAX-Bestand",SUMPRODUCT((A_LIFT=3)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3)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5220.03571428572</v>
      </c>
      <c r="P7" s="11" t="n">
        <f aca="false">IF(Parameter!$E$30="MAX-Bestand",SUMPRODUCT((A_LIFT="Aussen"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"Aussen"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0</v>
      </c>
    </row>
    <row r="8" customFormat="false" ht="15" hidden="false" customHeight="false" outlineLevel="0" collapsed="false">
      <c r="A8" s="10" t="s">
        <v>8</v>
      </c>
      <c r="B8" s="38" t="n">
        <f aca="false">Parameter!$A$25</f>
        <v>3</v>
      </c>
      <c r="C8" s="27" t="n">
        <f aca="false">M8/Parameter!$H$5</f>
        <v>1.19180772830645</v>
      </c>
      <c r="D8" s="27" t="n">
        <f aca="false">N8/Parameter!$H$6</f>
        <v>1.26346557853911</v>
      </c>
      <c r="E8" s="27" t="n">
        <f aca="false">O8/Parameter!$H$7</f>
        <v>0.430606588789362</v>
      </c>
      <c r="F8" s="13" t="n">
        <f aca="false">(N8+O8)/(Parameter!$H$6+Parameter!$H$7)</f>
        <v>0.847036083664235</v>
      </c>
      <c r="G8" s="13" t="n">
        <f aca="false">(M8+N8+O8)/Parameter!$H$8</f>
        <v>0.961959965211639</v>
      </c>
      <c r="H8" s="39" t="str">
        <f aca="false">IF(Parameter!$E$27="Ja",IF(M8+N8+O8&lt;=Parameter!$H$8,"JA","NEIN"),IF(AND(M8&lt;=Parameter!$H$5,N8+O8&lt;=Parameter!$H$6+Parameter!$H$7),"JA","NEIN"))</f>
        <v>JA</v>
      </c>
      <c r="I8" s="11" t="n">
        <f aca="false">IF(Parameter!$E$27="Ja",MAX(0,M8+N8+O8-Parameter!$H$8),MAX(0,M8-Parameter!$H$5)+MAX(0,N8+O8-Parameter!$H$6-Parameter!$H$7))+P8</f>
        <v>0</v>
      </c>
      <c r="J8" s="11" t="n">
        <f aca="false">SUMPRODUCT((A_FINF*(A_MBN+A_FINV)/2+(1-A_FINF)*((A_MBN+ROUNDUP(A_MBN+(A_LGN+((2*(A_VERB/(A_LUO+(A_LUO=0)*$B8)-A_MBN))&gt;A_LGN)*((2*(A_VERB/(A_LUO+(A_LUO=0)*$B8)-A_MBN))-A_LGN)),0))/2))*A_PREIS)</f>
        <v>3239075.19</v>
      </c>
      <c r="K8" s="40" t="n">
        <f aca="false">J8-$J$5</f>
        <v>-211971.02423</v>
      </c>
      <c r="L8" s="40" t="n">
        <f aca="false">(M8+N8+O8+P8)-($M$5+$N$5+$O$5+$P$5)</f>
        <v>1444.11178369653</v>
      </c>
      <c r="M8" s="11" t="n">
        <f aca="false">IF(Parameter!$E$30="MAX-Bestand",SUMPRODUCT((A_LIFT=1)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1)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14182.5119668467</v>
      </c>
      <c r="N8" s="11" t="n">
        <f aca="false">IF(Parameter!$E$30="MAX-Bestand",SUMPRODUCT((A_LIFT=2)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2)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15035.2403846154</v>
      </c>
      <c r="O8" s="11" t="n">
        <f aca="false">IF(Parameter!$E$30="MAX-Bestand",SUMPRODUCT((A_LIFT=3)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3)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5124.21840659341</v>
      </c>
      <c r="P8" s="11" t="n">
        <f aca="false">IF(Parameter!$E$30="MAX-Bestand",SUMPRODUCT((A_LIFT="Aussen"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"Aussen"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0</v>
      </c>
    </row>
    <row r="9" customFormat="false" ht="15" hidden="false" customHeight="false" outlineLevel="0" collapsed="false">
      <c r="A9" s="10" t="s">
        <v>8</v>
      </c>
      <c r="B9" s="38" t="n">
        <f aca="false">Parameter!$A$26</f>
        <v>3.5</v>
      </c>
      <c r="C9" s="27" t="n">
        <f aca="false">M9/Parameter!$H$5</f>
        <v>1.17358976315428</v>
      </c>
      <c r="D9" s="27" t="n">
        <f aca="false">N9/Parameter!$H$6</f>
        <v>1.23086753932342</v>
      </c>
      <c r="E9" s="27" t="n">
        <f aca="false">O9/Parameter!$H$7</f>
        <v>0.423306168621295</v>
      </c>
      <c r="F9" s="13" t="n">
        <f aca="false">(N9+O9)/(Parameter!$H$6+Parameter!$H$7)</f>
        <v>0.827086853972358</v>
      </c>
      <c r="G9" s="13" t="n">
        <f aca="false">(M9+N9+O9)/Parameter!$H$8</f>
        <v>0.942587823699667</v>
      </c>
      <c r="H9" s="39" t="str">
        <f aca="false">IF(Parameter!$E$27="Ja",IF(M9+N9+O9&lt;=Parameter!$H$8,"JA","NEIN"),IF(AND(M9&lt;=Parameter!$H$5,N9+O9&lt;=Parameter!$H$6+Parameter!$H$7),"JA","NEIN"))</f>
        <v>JA</v>
      </c>
      <c r="I9" s="11" t="n">
        <f aca="false">IF(Parameter!$E$27="Ja",MAX(0,M9+N9+O9-Parameter!$H$8),MAX(0,M9-Parameter!$H$5)+MAX(0,N9+O9-Parameter!$H$6-Parameter!$H$7))+P9</f>
        <v>0</v>
      </c>
      <c r="J9" s="11" t="n">
        <f aca="false">SUMPRODUCT((A_FINF*(A_MBN+A_FINV)/2+(1-A_FINF)*((A_MBN+ROUNDUP(A_MBN+(A_LGN+((2*(A_VERB/(A_LUO+(A_LUO=0)*$B9)-A_MBN))&gt;A_LGN)*((2*(A_VERB/(A_LUO+(A_LUO=0)*$B9)-A_MBN))-A_LGN)),0))/2))*A_PREIS)</f>
        <v>2937309.485</v>
      </c>
      <c r="K9" s="40" t="n">
        <f aca="false">J9-$J$5</f>
        <v>-513736.72923</v>
      </c>
      <c r="L9" s="40" t="n">
        <f aca="false">(M9+N9+O9+P9)-($M$5+$N$5+$O$5+$P$5)</f>
        <v>752.526331719128</v>
      </c>
      <c r="M9" s="11" t="n">
        <f aca="false">IF(Parameter!$E$30="MAX-Bestand",SUMPRODUCT((A_LIFT=1)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1)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13965.718181536</v>
      </c>
      <c r="N9" s="11" t="n">
        <f aca="false">IF(Parameter!$E$30="MAX-Bestand",SUMPRODUCT((A_LIFT=2)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2)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14647.3237179487</v>
      </c>
      <c r="O9" s="11" t="n">
        <f aca="false">IF(Parameter!$E$30="MAX-Bestand",SUMPRODUCT((A_LIFT=3)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3)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5037.34340659341</v>
      </c>
      <c r="P9" s="11" t="n">
        <f aca="false">IF(Parameter!$E$30="MAX-Bestand",SUMPRODUCT((A_LIFT="Aussen"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"Aussen"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0</v>
      </c>
    </row>
    <row r="10" customFormat="false" ht="15" hidden="false" customHeight="false" outlineLevel="0" collapsed="false">
      <c r="A10" s="10" t="s">
        <v>8</v>
      </c>
      <c r="B10" s="38" t="n">
        <f aca="false">Parameter!$A$27</f>
        <v>4</v>
      </c>
      <c r="C10" s="27" t="n">
        <f aca="false">M10/Parameter!$H$5</f>
        <v>1.14220653189568</v>
      </c>
      <c r="D10" s="27" t="n">
        <f aca="false">N10/Parameter!$H$6</f>
        <v>1.17684092867916</v>
      </c>
      <c r="E10" s="27" t="n">
        <f aca="false">O10/Parameter!$H$7</f>
        <v>0.420300350909595</v>
      </c>
      <c r="F10" s="13" t="n">
        <f aca="false">(N10+O10)/(Parameter!$H$6+Parameter!$H$7)</f>
        <v>0.798570639794379</v>
      </c>
      <c r="G10" s="13" t="n">
        <f aca="false">(M10+N10+O10)/Parameter!$H$8</f>
        <v>0.913115937161479</v>
      </c>
      <c r="H10" s="39" t="str">
        <f aca="false">IF(Parameter!$E$27="Ja",IF(M10+N10+O10&lt;=Parameter!$H$8,"JA","NEIN"),IF(AND(M10&lt;=Parameter!$H$5,N10+O10&lt;=Parameter!$H$6+Parameter!$H$7),"JA","NEIN"))</f>
        <v>JA</v>
      </c>
      <c r="I10" s="11" t="n">
        <f aca="false">IF(Parameter!$E$27="Ja",MAX(0,M10+N10+O10-Parameter!$H$8),MAX(0,M10-Parameter!$H$5)+MAX(0,N10+O10-Parameter!$H$6-Parameter!$H$7))+P10</f>
        <v>0</v>
      </c>
      <c r="J10" s="11" t="n">
        <f aca="false">SUMPRODUCT((A_FINF*(A_MBN+A_FINV)/2+(1-A_FINF)*((A_MBN+ROUNDUP(A_MBN+(A_LGN+((2*(A_VERB/(A_LUO+(A_LUO=0)*$B10)-A_MBN))&gt;A_LGN)*((2*(A_VERB/(A_LUO+(A_LUO=0)*$B10)-A_MBN))-A_LGN)),0))/2))*A_PREIS)</f>
        <v>2674239.855</v>
      </c>
      <c r="K10" s="40" t="n">
        <f aca="false">J10-$J$5</f>
        <v>-776806.35923</v>
      </c>
      <c r="L10" s="40" t="n">
        <f aca="false">(M10+N10+O10+P10)-($M$5+$N$5+$O$5+$P$5)</f>
        <v>-299.620017694175</v>
      </c>
      <c r="M10" s="11" t="n">
        <f aca="false">IF(Parameter!$E$30="MAX-Bestand",SUMPRODUCT((A_LIFT=1)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1)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13592.2577295586</v>
      </c>
      <c r="N10" s="11" t="n">
        <f aca="false">IF(Parameter!$E$30="MAX-Bestand",SUMPRODUCT((A_LIFT=2)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2)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14004.4070512821</v>
      </c>
      <c r="O10" s="11" t="n">
        <f aca="false">IF(Parameter!$E$30="MAX-Bestand",SUMPRODUCT((A_LIFT=3)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3)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5001.57417582418</v>
      </c>
      <c r="P10" s="11" t="n">
        <f aca="false">IF(Parameter!$E$30="MAX-Bestand",SUMPRODUCT((A_LIFT="Aussen"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"Aussen"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0</v>
      </c>
    </row>
    <row r="11" customFormat="false" ht="15" hidden="false" customHeight="false" outlineLevel="0" collapsed="false">
      <c r="A11" s="10" t="s">
        <v>8</v>
      </c>
      <c r="B11" s="38" t="n">
        <f aca="false">Parameter!$A$28</f>
        <v>5</v>
      </c>
      <c r="C11" s="27" t="n">
        <f aca="false">M11/Parameter!$H$5</f>
        <v>1.116675098114</v>
      </c>
      <c r="D11" s="27" t="n">
        <f aca="false">N11/Parameter!$H$6</f>
        <v>1.13951599870718</v>
      </c>
      <c r="E11" s="27" t="n">
        <f aca="false">O11/Parameter!$H$7</f>
        <v>0.415209853172038</v>
      </c>
      <c r="F11" s="13" t="n">
        <f aca="false">(N11+O11)/(Parameter!$H$6+Parameter!$H$7)</f>
        <v>0.777362925939607</v>
      </c>
      <c r="G11" s="13" t="n">
        <f aca="false">(M11+N11+O11)/Parameter!$H$8</f>
        <v>0.89046698333107</v>
      </c>
      <c r="H11" s="39" t="str">
        <f aca="false">IF(Parameter!$E$27="Ja",IF(M11+N11+O11&lt;=Parameter!$H$8,"JA","NEIN"),IF(AND(M11&lt;=Parameter!$H$5,N11+O11&lt;=Parameter!$H$6+Parameter!$H$7),"JA","NEIN"))</f>
        <v>JA</v>
      </c>
      <c r="I11" s="11" t="n">
        <f aca="false">IF(Parameter!$E$27="Ja",MAX(0,M11+N11+O11-Parameter!$H$8),MAX(0,M11-Parameter!$H$5)+MAX(0,N11+O11-Parameter!$H$6-Parameter!$H$7))+P11</f>
        <v>0</v>
      </c>
      <c r="J11" s="11" t="n">
        <f aca="false">SUMPRODUCT((A_FINF*(A_MBN+A_FINV)/2+(1-A_FINF)*((A_MBN+ROUNDUP(A_MBN+(A_LGN+((2*(A_VERB/(A_LUO+(A_LUO=0)*$B11)-A_MBN))&gt;A_LGN)*((2*(A_VERB/(A_LUO+(A_LUO=0)*$B11)-A_MBN))-A_LGN)),0))/2))*A_PREIS)</f>
        <v>2399206.6</v>
      </c>
      <c r="K11" s="40" t="n">
        <f aca="false">J11-$J$5</f>
        <v>-1051839.61423</v>
      </c>
      <c r="L11" s="40" t="n">
        <f aca="false">(M11+N11+O11+P11)-($M$5+$N$5+$O$5+$P$5)</f>
        <v>-1108.18766943979</v>
      </c>
      <c r="M11" s="11" t="n">
        <f aca="false">IF(Parameter!$E$30="MAX-Bestand",SUMPRODUCT((A_LIFT=1)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1)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13288.4336675565</v>
      </c>
      <c r="N11" s="11" t="n">
        <f aca="false">IF(Parameter!$E$30="MAX-Bestand",SUMPRODUCT((A_LIFT=2)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2)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13560.2403846154</v>
      </c>
      <c r="O11" s="11" t="n">
        <f aca="false">IF(Parameter!$E$30="MAX-Bestand",SUMPRODUCT((A_LIFT=3)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3)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4940.99725274725</v>
      </c>
      <c r="P11" s="11" t="n">
        <f aca="false">IF(Parameter!$E$30="MAX-Bestand",SUMPRODUCT((A_LIFT="Aussen"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"Aussen"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0</v>
      </c>
    </row>
    <row r="12" customFormat="false" ht="15" hidden="false" customHeight="false" outlineLevel="0" collapsed="false">
      <c r="A12" s="10" t="s">
        <v>8</v>
      </c>
      <c r="B12" s="38" t="n">
        <f aca="false">Parameter!$A$29</f>
        <v>6</v>
      </c>
      <c r="C12" s="27" t="n">
        <f aca="false">M12/Parameter!$H$5</f>
        <v>1.1042747990113</v>
      </c>
      <c r="D12" s="27" t="n">
        <f aca="false">N12/Parameter!$H$6</f>
        <v>1.1196280435251</v>
      </c>
      <c r="E12" s="27" t="n">
        <f aca="false">O12/Parameter!$H$7</f>
        <v>0.413706944316188</v>
      </c>
      <c r="F12" s="13" t="n">
        <f aca="false">(N12+O12)/(Parameter!$H$6+Parameter!$H$7)</f>
        <v>0.766667493920645</v>
      </c>
      <c r="G12" s="13" t="n">
        <f aca="false">(M12+N12+O12)/Parameter!$H$8</f>
        <v>0.879203262284198</v>
      </c>
      <c r="H12" s="39" t="str">
        <f aca="false">IF(Parameter!$E$27="Ja",IF(M12+N12+O12&lt;=Parameter!$H$8,"JA","NEIN"),IF(AND(M12&lt;=Parameter!$H$5,N12+O12&lt;=Parameter!$H$6+Parameter!$H$7),"JA","NEIN"))</f>
        <v>JA</v>
      </c>
      <c r="I12" s="11" t="n">
        <f aca="false">IF(Parameter!$E$27="Ja",MAX(0,M12+N12+O12-Parameter!$H$8),MAX(0,M12-Parameter!$H$5)+MAX(0,N12+O12-Parameter!$H$6-Parameter!$H$7))+P12</f>
        <v>0</v>
      </c>
      <c r="J12" s="11" t="n">
        <f aca="false">SUMPRODUCT((A_FINF*(A_MBN+A_FINV)/2+(1-A_FINF)*((A_MBN+ROUNDUP(A_MBN+(A_LGN+((2*(A_VERB/(A_LUO+(A_LUO=0)*$B12)-A_MBN))&gt;A_LGN)*((2*(A_VERB/(A_LUO+(A_LUO=0)*$B12)-A_MBN))-A_LGN)),0))/2))*A_PREIS)</f>
        <v>2235558.115</v>
      </c>
      <c r="K12" s="40" t="n">
        <f aca="false">J12-$J$5</f>
        <v>-1215488.09923</v>
      </c>
      <c r="L12" s="40" t="n">
        <f aca="false">(M12+N12+O12+P12)-($M$5+$N$5+$O$5+$P$5)</f>
        <v>-1510.3025108131</v>
      </c>
      <c r="M12" s="11" t="n">
        <f aca="false">IF(Parameter!$E$30="MAX-Bestand",SUMPRODUCT((A_LIFT=1)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1)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13140.8701082345</v>
      </c>
      <c r="N12" s="11" t="n">
        <f aca="false">IF(Parameter!$E$30="MAX-Bestand",SUMPRODUCT((A_LIFT=2)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2)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13323.5737179487</v>
      </c>
      <c r="O12" s="11" t="n">
        <f aca="false">IF(Parameter!$E$30="MAX-Bestand",SUMPRODUCT((A_LIFT=3)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3)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4923.11263736264</v>
      </c>
      <c r="P12" s="11" t="n">
        <f aca="false">IF(Parameter!$E$30="MAX-Bestand",SUMPRODUCT((A_LIFT="Aussen"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"Aussen"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0</v>
      </c>
    </row>
    <row r="13" customFormat="false" ht="15" hidden="false" customHeight="false" outlineLevel="0" collapsed="false">
      <c r="A13" s="10" t="s">
        <v>8</v>
      </c>
      <c r="B13" s="38" t="n">
        <f aca="false">Parameter!$A$30</f>
        <v>8</v>
      </c>
      <c r="C13" s="27" t="n">
        <f aca="false">M13/Parameter!$H$5</f>
        <v>1.09836732302656</v>
      </c>
      <c r="D13" s="27" t="n">
        <f aca="false">N13/Parameter!$H$6</f>
        <v>1.09896978021978</v>
      </c>
      <c r="E13" s="27" t="n">
        <f aca="false">O13/Parameter!$H$7</f>
        <v>0.411703065841721</v>
      </c>
      <c r="F13" s="13" t="n">
        <f aca="false">(N13+O13)/(Parameter!$H$6+Parameter!$H$7)</f>
        <v>0.755336423030751</v>
      </c>
      <c r="G13" s="13" t="n">
        <f aca="false">(M13+N13+O13)/Parameter!$H$8</f>
        <v>0.869680056362687</v>
      </c>
      <c r="H13" s="39" t="str">
        <f aca="false">IF(Parameter!$E$27="Ja",IF(M13+N13+O13&lt;=Parameter!$H$8,"JA","NEIN"),IF(AND(M13&lt;=Parameter!$H$5,N13+O13&lt;=Parameter!$H$6+Parameter!$H$7),"JA","NEIN"))</f>
        <v>JA</v>
      </c>
      <c r="I13" s="11" t="n">
        <f aca="false">IF(Parameter!$E$27="Ja",MAX(0,M13+N13+O13-Parameter!$H$8),MAX(0,M13-Parameter!$H$5)+MAX(0,N13+O13-Parameter!$H$6-Parameter!$H$7))+P13</f>
        <v>0</v>
      </c>
      <c r="J13" s="11" t="n">
        <f aca="false">SUMPRODUCT((A_FINF*(A_MBN+A_FINV)/2+(1-A_FINF)*((A_MBN+ROUNDUP(A_MBN+(A_LGN+((2*(A_VERB/(A_LUO+(A_LUO=0)*$B13)-A_MBN))&gt;A_LGN)*((2*(A_VERB/(A_LUO+(A_LUO=0)*$B13)-A_MBN))-A_LGN)),0))/2))*A_PREIS)</f>
        <v>2073440.12</v>
      </c>
      <c r="K13" s="40" t="n">
        <f aca="false">J13-$J$5</f>
        <v>-1377606.09423</v>
      </c>
      <c r="L13" s="40" t="n">
        <f aca="false">(M13+N13+O13+P13)-($M$5+$N$5+$O$5+$P$5)</f>
        <v>-1850.28096221105</v>
      </c>
      <c r="M13" s="11" t="n">
        <f aca="false">IF(Parameter!$E$30="MAX-Bestand",SUMPRODUCT((A_LIFT=1)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1)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13070.5711440161</v>
      </c>
      <c r="N13" s="11" t="n">
        <f aca="false">IF(Parameter!$E$30="MAX-Bestand",SUMPRODUCT((A_LIFT=2)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2)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13077.7403846154</v>
      </c>
      <c r="O13" s="11" t="n">
        <f aca="false">IF(Parameter!$E$30="MAX-Bestand",SUMPRODUCT((A_LIFT=3)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3)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4899.26648351648</v>
      </c>
      <c r="P13" s="11" t="n">
        <f aca="false">IF(Parameter!$E$30="MAX-Bestand",SUMPRODUCT((A_LIFT="Aussen"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"Aussen"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0</v>
      </c>
    </row>
    <row r="14" customFormat="false" ht="15" hidden="false" customHeight="false" outlineLevel="0" collapsed="false">
      <c r="A14" s="10" t="s">
        <v>7</v>
      </c>
      <c r="B14" s="38" t="n">
        <f aca="false">Parameter!$A$23</f>
        <v>2</v>
      </c>
      <c r="C14" s="27" t="n">
        <f aca="false">M14/Parameter!$H$5</f>
        <v>1.35446946901316</v>
      </c>
      <c r="D14" s="27" t="n">
        <f aca="false">N14/Parameter!$H$6</f>
        <v>1.74329751131222</v>
      </c>
      <c r="E14" s="27" t="n">
        <f aca="false">O14/Parameter!$H$7</f>
        <v>0.540200156985871</v>
      </c>
      <c r="F14" s="13" t="n">
        <f aca="false">(N14+O14)/(Parameter!$H$6+Parameter!$H$7)</f>
        <v>1.14174883414904</v>
      </c>
      <c r="G14" s="13" t="n">
        <f aca="false">(M14+N14+O14)/Parameter!$H$8</f>
        <v>1.21265571243708</v>
      </c>
      <c r="H14" s="39" t="str">
        <f aca="false">IF(Parameter!$E$27="Ja",IF(M14+N14+O14&lt;=Parameter!$H$8,"JA","NEIN"),IF(AND(M14&lt;=Parameter!$H$5,N14+O14&lt;=Parameter!$H$6+Parameter!$H$7),"JA","NEIN"))</f>
        <v>NEIN</v>
      </c>
      <c r="I14" s="11" t="n">
        <f aca="false">IF(Parameter!$E$27="Ja",MAX(0,M14+N14+O14-Parameter!$H$8),MAX(0,M14-Parameter!$H$5)+MAX(0,N14+O14-Parameter!$H$6-Parameter!$H$7))+P14</f>
        <v>7591.80893400384</v>
      </c>
      <c r="J14" s="11" t="n">
        <f aca="false">SUMPRODUCT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*A_PREIS)</f>
        <v>6070434.5065</v>
      </c>
      <c r="K14" s="40" t="n">
        <f aca="false">J14-$J$5</f>
        <v>2619388.29227</v>
      </c>
      <c r="L14" s="40" t="n">
        <f aca="false">(M14+N14+O14+P14)-($M$5+$N$5+$O$5+$P$5)</f>
        <v>10393.9499596449</v>
      </c>
      <c r="M14" s="11" t="n">
        <f aca="false">IF(Parameter!$E$30="MAX-Bestand",SUMPRODUCT((A_LIFT=1)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1)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16118.1866812566</v>
      </c>
      <c r="N14" s="11" t="n">
        <f aca="false">IF(Parameter!$E$30="MAX-Bestand",SUMPRODUCT((A_LIFT=2)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2)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20745.2403846154</v>
      </c>
      <c r="O14" s="11" t="n">
        <f aca="false">IF(Parameter!$E$30="MAX-Bestand",SUMPRODUCT((A_LIFT=3)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3)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6428.38186813187</v>
      </c>
      <c r="P14" s="11" t="n">
        <f aca="false">IF(Parameter!$E$30="MAX-Bestand",SUMPRODUCT((A_LIFT="Aussen"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"Aussen"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0</v>
      </c>
    </row>
    <row r="15" customFormat="false" ht="15" hidden="false" customHeight="false" outlineLevel="0" collapsed="false">
      <c r="A15" s="10" t="s">
        <v>7</v>
      </c>
      <c r="B15" s="38" t="n">
        <f aca="false">Parameter!$A$24</f>
        <v>2.5</v>
      </c>
      <c r="C15" s="27" t="n">
        <f aca="false">M15/Parameter!$H$5</f>
        <v>1.27541368763933</v>
      </c>
      <c r="D15" s="27" t="n">
        <f aca="false">N15/Parameter!$H$6</f>
        <v>1.65800339366516</v>
      </c>
      <c r="E15" s="27" t="n">
        <f aca="false">O15/Parameter!$H$7</f>
        <v>0.52747391264198</v>
      </c>
      <c r="F15" s="13" t="n">
        <f aca="false">(N15+O15)/(Parameter!$H$6+Parameter!$H$7)</f>
        <v>1.09273865315357</v>
      </c>
      <c r="G15" s="13" t="n">
        <f aca="false">(M15+N15+O15)/Parameter!$H$8</f>
        <v>1.15363033131549</v>
      </c>
      <c r="H15" s="39" t="str">
        <f aca="false">IF(Parameter!$E$27="Ja",IF(M15+N15+O15&lt;=Parameter!$H$8,"JA","NEIN"),IF(AND(M15&lt;=Parameter!$H$5,N15+O15&lt;=Parameter!$H$6+Parameter!$H$7),"JA","NEIN"))</f>
        <v>NEIN</v>
      </c>
      <c r="I15" s="11" t="n">
        <f aca="false">IF(Parameter!$E$27="Ja",MAX(0,M15+N15+O15-Parameter!$H$8),MAX(0,M15-Parameter!$H$5)+MAX(0,N15+O15-Parameter!$H$6-Parameter!$H$7))+P15</f>
        <v>5484.602827963</v>
      </c>
      <c r="J15" s="11" t="n">
        <f aca="false">SUMPRODUCT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*A_PREIS)</f>
        <v>5421076.3225</v>
      </c>
      <c r="K15" s="40" t="n">
        <f aca="false">J15-$J$5</f>
        <v>1970030.10827</v>
      </c>
      <c r="L15" s="40" t="n">
        <f aca="false">(M15+N15+O15+P15)-($M$5+$N$5+$O$5+$P$5)</f>
        <v>8286.74385360402</v>
      </c>
      <c r="M15" s="11" t="n">
        <f aca="false">IF(Parameter!$E$30="MAX-Bestand",SUMPRODUCT((A_LIFT=1)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1)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15177.4228829081</v>
      </c>
      <c r="N15" s="11" t="n">
        <f aca="false">IF(Parameter!$E$30="MAX-Bestand",SUMPRODUCT((A_LIFT=2)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2)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19730.2403846154</v>
      </c>
      <c r="O15" s="11" t="n">
        <f aca="false">IF(Parameter!$E$30="MAX-Bestand",SUMPRODUCT((A_LIFT=3)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3)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6276.93956043956</v>
      </c>
      <c r="P15" s="11" t="n">
        <f aca="false">IF(Parameter!$E$30="MAX-Bestand",SUMPRODUCT((A_LIFT="Aussen"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"Aussen"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0</v>
      </c>
    </row>
    <row r="16" customFormat="false" ht="15" hidden="false" customHeight="false" outlineLevel="0" collapsed="false">
      <c r="A16" s="10" t="s">
        <v>7</v>
      </c>
      <c r="B16" s="38" t="n">
        <f aca="false">Parameter!$A$25</f>
        <v>3</v>
      </c>
      <c r="C16" s="27" t="n">
        <f aca="false">M16/Parameter!$H$5</f>
        <v>1.21818477912677</v>
      </c>
      <c r="D16" s="27" t="n">
        <f aca="false">N16/Parameter!$H$6</f>
        <v>1.56994316957552</v>
      </c>
      <c r="E16" s="27" t="n">
        <f aca="false">O16/Parameter!$H$7</f>
        <v>0.520423977283221</v>
      </c>
      <c r="F16" s="13" t="n">
        <f aca="false">(N16+O16)/(Parameter!$H$6+Parameter!$H$7)</f>
        <v>1.04518357342937</v>
      </c>
      <c r="G16" s="13" t="n">
        <f aca="false">(M16+N16+O16)/Parameter!$H$8</f>
        <v>1.10285064199517</v>
      </c>
      <c r="H16" s="39" t="str">
        <f aca="false">IF(Parameter!$E$27="Ja",IF(M16+N16+O16&lt;=Parameter!$H$8,"JA","NEIN"),IF(AND(M16&lt;=Parameter!$H$5,N16+O16&lt;=Parameter!$H$6+Parameter!$H$7),"JA","NEIN"))</f>
        <v>NEIN</v>
      </c>
      <c r="I16" s="11" t="n">
        <f aca="false">IF(Parameter!$E$27="Ja",MAX(0,M16+N16+O16-Parameter!$H$8),MAX(0,M16-Parameter!$H$5)+MAX(0,N16+O16-Parameter!$H$6-Parameter!$H$7))+P16</f>
        <v>3671.76791922766</v>
      </c>
      <c r="J16" s="11" t="n">
        <f aca="false">SUMPRODUCT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*A_PREIS)</f>
        <v>4986565.6825</v>
      </c>
      <c r="K16" s="40" t="n">
        <f aca="false">J16-$J$5</f>
        <v>1535519.46827</v>
      </c>
      <c r="L16" s="40" t="n">
        <f aca="false">(M16+N16+O16+P16)-($M$5+$N$5+$O$5+$P$5)</f>
        <v>6473.90894486869</v>
      </c>
      <c r="M16" s="11" t="n">
        <f aca="false">IF(Parameter!$E$30="MAX-Bestand",SUMPRODUCT((A_LIFT=1)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1)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14496.3988716086</v>
      </c>
      <c r="N16" s="11" t="n">
        <f aca="false">IF(Parameter!$E$30="MAX-Bestand",SUMPRODUCT((A_LIFT=2)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2)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18682.3237179487</v>
      </c>
      <c r="O16" s="11" t="n">
        <f aca="false">IF(Parameter!$E$30="MAX-Bestand",SUMPRODUCT((A_LIFT=3)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3)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6193.04532967033</v>
      </c>
      <c r="P16" s="11" t="n">
        <f aca="false">IF(Parameter!$E$30="MAX-Bestand",SUMPRODUCT((A_LIFT="Aussen"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"Aussen"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0</v>
      </c>
    </row>
    <row r="17" customFormat="false" ht="15" hidden="false" customHeight="false" outlineLevel="0" collapsed="false">
      <c r="A17" s="10" t="s">
        <v>7</v>
      </c>
      <c r="B17" s="38" t="n">
        <f aca="false">Parameter!$A$26</f>
        <v>3.5</v>
      </c>
      <c r="C17" s="27" t="n">
        <f aca="false">M17/Parameter!$H$5</f>
        <v>1.19996681397461</v>
      </c>
      <c r="D17" s="27" t="n">
        <f aca="false">N17/Parameter!$H$6</f>
        <v>1.54063644688645</v>
      </c>
      <c r="E17" s="27" t="n">
        <f aca="false">O17/Parameter!$H$7</f>
        <v>0.514792109151353</v>
      </c>
      <c r="F17" s="13" t="n">
        <f aca="false">(N17+O17)/(Parameter!$H$6+Parameter!$H$7)</f>
        <v>1.0277142780189</v>
      </c>
      <c r="G17" s="13" t="n">
        <f aca="false">(M17+N17+O17)/Parameter!$H$8</f>
        <v>1.08513179000414</v>
      </c>
      <c r="H17" s="39" t="str">
        <f aca="false">IF(Parameter!$E$27="Ja",IF(M17+N17+O17&lt;=Parameter!$H$8,"JA","NEIN"),IF(AND(M17&lt;=Parameter!$H$5,N17+O17&lt;=Parameter!$H$6+Parameter!$H$7),"JA","NEIN"))</f>
        <v>NEIN</v>
      </c>
      <c r="I17" s="11" t="n">
        <f aca="false">IF(Parameter!$E$27="Ja",MAX(0,M17+N17+O17-Parameter!$H$8),MAX(0,M17-Parameter!$H$5)+MAX(0,N17+O17-Parameter!$H$6-Parameter!$H$7))+P17</f>
        <v>3039.2049031477</v>
      </c>
      <c r="J17" s="11" t="n">
        <f aca="false">SUMPRODUCT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*A_PREIS)</f>
        <v>4724878.6525</v>
      </c>
      <c r="K17" s="40" t="n">
        <f aca="false">J17-$J$5</f>
        <v>1273832.43827</v>
      </c>
      <c r="L17" s="40" t="n">
        <f aca="false">(M17+N17+O17+P17)-($M$5+$N$5+$O$5+$P$5)</f>
        <v>5841.34592878872</v>
      </c>
      <c r="M17" s="11" t="n">
        <f aca="false">IF(Parameter!$E$30="MAX-Bestand",SUMPRODUCT((A_LIFT=1)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1)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14279.6050862979</v>
      </c>
      <c r="N17" s="11" t="n">
        <f aca="false">IF(Parameter!$E$30="MAX-Bestand",SUMPRODUCT((A_LIFT=2)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2)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18333.5737179487</v>
      </c>
      <c r="O17" s="11" t="n">
        <f aca="false">IF(Parameter!$E$30="MAX-Bestand",SUMPRODUCT((A_LIFT=3)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3)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6126.0260989011</v>
      </c>
      <c r="P17" s="11" t="n">
        <f aca="false">IF(Parameter!$E$30="MAX-Bestand",SUMPRODUCT((A_LIFT="Aussen"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"Aussen"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0</v>
      </c>
    </row>
    <row r="18" customFormat="false" ht="15" hidden="false" customHeight="false" outlineLevel="0" collapsed="false">
      <c r="A18" s="10" t="s">
        <v>7</v>
      </c>
      <c r="B18" s="38" t="n">
        <f aca="false">Parameter!$A$27</f>
        <v>4</v>
      </c>
      <c r="C18" s="27" t="n">
        <f aca="false">M18/Parameter!$H$5</f>
        <v>1.17352055750592</v>
      </c>
      <c r="D18" s="27" t="n">
        <f aca="false">N18/Parameter!$H$6</f>
        <v>1.50061543848309</v>
      </c>
      <c r="E18" s="27" t="n">
        <f aca="false">O18/Parameter!$H$7</f>
        <v>0.51228726105827</v>
      </c>
      <c r="F18" s="13" t="n">
        <f aca="false">(N18+O18)/(Parameter!$H$6+Parameter!$H$7)</f>
        <v>1.00645134977068</v>
      </c>
      <c r="G18" s="13" t="n">
        <f aca="false">(M18+N18+O18)/Parameter!$H$8</f>
        <v>1.06214108568243</v>
      </c>
      <c r="H18" s="39" t="str">
        <f aca="false">IF(Parameter!$E$27="Ja",IF(M18+N18+O18&lt;=Parameter!$H$8,"JA","NEIN"),IF(AND(M18&lt;=Parameter!$H$5,N18+O18&lt;=Parameter!$H$6+Parameter!$H$7),"JA","NEIN"))</f>
        <v>NEIN</v>
      </c>
      <c r="I18" s="11" t="n">
        <f aca="false">IF(Parameter!$E$27="Ja",MAX(0,M18+N18+O18-Parameter!$H$8),MAX(0,M18-Parameter!$H$5)+MAX(0,N18+O18-Parameter!$H$6-Parameter!$H$7))+P18</f>
        <v>2218.4367588626</v>
      </c>
      <c r="J18" s="11" t="n">
        <f aca="false">SUMPRODUCT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*A_PREIS)</f>
        <v>4507568.0325</v>
      </c>
      <c r="K18" s="40" t="n">
        <f aca="false">J18-$J$5</f>
        <v>1056521.81827</v>
      </c>
      <c r="L18" s="40" t="n">
        <f aca="false">(M18+N18+O18+P18)-($M$5+$N$5+$O$5+$P$5)</f>
        <v>5020.57778450363</v>
      </c>
      <c r="M18" s="11" t="n">
        <f aca="false">IF(Parameter!$E$30="MAX-Bestand",SUMPRODUCT((A_LIFT=1)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1)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13964.8946343205</v>
      </c>
      <c r="N18" s="11" t="n">
        <f aca="false">IF(Parameter!$E$30="MAX-Bestand",SUMPRODUCT((A_LIFT=2)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2)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17857.3237179487</v>
      </c>
      <c r="O18" s="11" t="n">
        <f aca="false">IF(Parameter!$E$30="MAX-Bestand",SUMPRODUCT((A_LIFT=3)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3)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6096.21840659341</v>
      </c>
      <c r="P18" s="11" t="n">
        <f aca="false">IF(Parameter!$E$30="MAX-Bestand",SUMPRODUCT((A_LIFT="Aussen"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"Aussen"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0</v>
      </c>
    </row>
    <row r="19" customFormat="false" ht="15" hidden="false" customHeight="false" outlineLevel="0" collapsed="false">
      <c r="A19" s="10" t="s">
        <v>7</v>
      </c>
      <c r="B19" s="38" t="n">
        <f aca="false">Parameter!$A$28</f>
        <v>5</v>
      </c>
      <c r="C19" s="27" t="n">
        <f aca="false">M19/Parameter!$H$5</f>
        <v>1.14849009334286</v>
      </c>
      <c r="D19" s="27" t="n">
        <f aca="false">N19/Parameter!$H$6</f>
        <v>1.46931291747468</v>
      </c>
      <c r="E19" s="27" t="n">
        <f aca="false">O19/Parameter!$H$7</f>
        <v>0.50769773293933</v>
      </c>
      <c r="F19" s="13" t="n">
        <f aca="false">(N19+O19)/(Parameter!$H$6+Parameter!$H$7)</f>
        <v>0.988505325207006</v>
      </c>
      <c r="G19" s="13" t="n">
        <f aca="false">(M19+N19+O19)/Parameter!$H$8</f>
        <v>1.04183358125229</v>
      </c>
      <c r="H19" s="39" t="str">
        <f aca="false">IF(Parameter!$E$27="Ja",IF(M19+N19+O19&lt;=Parameter!$H$8,"JA","NEIN"),IF(AND(M19&lt;=Parameter!$H$5,N19+O19&lt;=Parameter!$H$6+Parameter!$H$7),"JA","NEIN"))</f>
        <v>NEIN</v>
      </c>
      <c r="I19" s="11" t="n">
        <f aca="false">IF(Parameter!$E$27="Ja",MAX(0,M19+N19+O19-Parameter!$H$8),MAX(0,M19-Parameter!$H$5)+MAX(0,N19+O19-Parameter!$H$6-Parameter!$H$7))+P19</f>
        <v>1493.45885070673</v>
      </c>
      <c r="J19" s="11" t="n">
        <f aca="false">SUMPRODUCT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*A_PREIS)</f>
        <v>4291056.4825</v>
      </c>
      <c r="K19" s="40" t="n">
        <f aca="false">J19-$J$5</f>
        <v>840010.26827</v>
      </c>
      <c r="L19" s="40" t="n">
        <f aca="false">(M19+N19+O19+P19)-($M$5+$N$5+$O$5+$P$5)</f>
        <v>4295.59987634776</v>
      </c>
      <c r="M19" s="11" t="n">
        <f aca="false">IF(Parameter!$E$30="MAX-Bestand",SUMPRODUCT((A_LIFT=1)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1)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13667.03211078</v>
      </c>
      <c r="N19" s="11" t="n">
        <f aca="false">IF(Parameter!$E$30="MAX-Bestand",SUMPRODUCT((A_LIFT=2)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2)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17484.8237179487</v>
      </c>
      <c r="O19" s="11" t="n">
        <f aca="false">IF(Parameter!$E$30="MAX-Bestand",SUMPRODUCT((A_LIFT=3)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3)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6041.60302197802</v>
      </c>
      <c r="P19" s="11" t="n">
        <f aca="false">IF(Parameter!$E$30="MAX-Bestand",SUMPRODUCT((A_LIFT="Aussen"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"Aussen"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0</v>
      </c>
    </row>
    <row r="20" customFormat="false" ht="15" hidden="false" customHeight="false" outlineLevel="0" collapsed="false">
      <c r="A20" s="10" t="s">
        <v>7</v>
      </c>
      <c r="B20" s="38" t="n">
        <f aca="false">Parameter!$A$29</f>
        <v>6</v>
      </c>
      <c r="C20" s="27" t="n">
        <f aca="false">M20/Parameter!$H$5</f>
        <v>1.13608979424016</v>
      </c>
      <c r="D20" s="27" t="n">
        <f aca="false">N20/Parameter!$H$6</f>
        <v>1.45184092867916</v>
      </c>
      <c r="E20" s="27" t="n">
        <f aca="false">O20/Parameter!$H$7</f>
        <v>0.50619482408348</v>
      </c>
      <c r="F20" s="13" t="n">
        <f aca="false">(N20+O20)/(Parameter!$H$6+Parameter!$H$7)</f>
        <v>0.979017876381322</v>
      </c>
      <c r="G20" s="13" t="n">
        <f aca="false">(M20+N20+O20)/Parameter!$H$8</f>
        <v>1.03137518233427</v>
      </c>
      <c r="H20" s="39" t="str">
        <f aca="false">IF(Parameter!$E$27="Ja",IF(M20+N20+O20&lt;=Parameter!$H$8,"JA","NEIN"),IF(AND(M20&lt;=Parameter!$H$5,N20+O20&lt;=Parameter!$H$6+Parameter!$H$7),"JA","NEIN"))</f>
        <v>NEIN</v>
      </c>
      <c r="I20" s="11" t="n">
        <f aca="false">IF(Parameter!$E$27="Ja",MAX(0,M20+N20+O20-Parameter!$H$8),MAX(0,M20-Parameter!$H$5)+MAX(0,N20+O20-Parameter!$H$6-Parameter!$H$7))+P20</f>
        <v>1120.09400933341</v>
      </c>
      <c r="J20" s="11" t="n">
        <f aca="false">SUMPRODUCT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*A_PREIS)</f>
        <v>4172787.9375</v>
      </c>
      <c r="K20" s="40" t="n">
        <f aca="false">J20-$J$5</f>
        <v>721741.72327</v>
      </c>
      <c r="L20" s="40" t="n">
        <f aca="false">(M20+N20+O20+P20)-($M$5+$N$5+$O$5+$P$5)</f>
        <v>3922.23503497444</v>
      </c>
      <c r="M20" s="11" t="n">
        <f aca="false">IF(Parameter!$E$30="MAX-Bestand",SUMPRODUCT((A_LIFT=1)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1)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13519.468551458</v>
      </c>
      <c r="N20" s="11" t="n">
        <f aca="false">IF(Parameter!$E$30="MAX-Bestand",SUMPRODUCT((A_LIFT=2)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2)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17276.9070512821</v>
      </c>
      <c r="O20" s="11" t="n">
        <f aca="false">IF(Parameter!$E$30="MAX-Bestand",SUMPRODUCT((A_LIFT=3)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3)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6023.71840659341</v>
      </c>
      <c r="P20" s="11" t="n">
        <f aca="false">IF(Parameter!$E$30="MAX-Bestand",SUMPRODUCT((A_LIFT="Aussen"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"Aussen"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0</v>
      </c>
    </row>
    <row r="21" customFormat="false" ht="15" hidden="false" customHeight="false" outlineLevel="0" collapsed="false">
      <c r="A21" s="10" t="s">
        <v>7</v>
      </c>
      <c r="B21" s="38" t="n">
        <f aca="false">Parameter!$A$30</f>
        <v>8</v>
      </c>
      <c r="C21" s="27" t="n">
        <f aca="false">M21/Parameter!$H$5</f>
        <v>1.13018231825542</v>
      </c>
      <c r="D21" s="27" t="n">
        <f aca="false">N21/Parameter!$H$6</f>
        <v>1.4335986317604</v>
      </c>
      <c r="E21" s="27" t="n">
        <f aca="false">O21/Parameter!$H$7</f>
        <v>0.504190945609013</v>
      </c>
      <c r="F21" s="13" t="n">
        <f aca="false">(N21+O21)/(Parameter!$H$6+Parameter!$H$7)</f>
        <v>0.968894788684705</v>
      </c>
      <c r="G21" s="13" t="n">
        <f aca="false">(M21+N21+O21)/Parameter!$H$8</f>
        <v>1.02265729854161</v>
      </c>
      <c r="H21" s="39" t="str">
        <f aca="false">IF(Parameter!$E$27="Ja",IF(M21+N21+O21&lt;=Parameter!$H$8,"JA","NEIN"),IF(AND(M21&lt;=Parameter!$H$5,N21+O21&lt;=Parameter!$H$6+Parameter!$H$7),"JA","NEIN"))</f>
        <v>NEIN</v>
      </c>
      <c r="I21" s="11" t="n">
        <f aca="false">IF(Parameter!$E$27="Ja",MAX(0,M21+N21+O21-Parameter!$H$8),MAX(0,M21-Parameter!$H$5)+MAX(0,N21+O21-Parameter!$H$6-Parameter!$H$7))+P21</f>
        <v>808.865557935475</v>
      </c>
      <c r="J21" s="11" t="n">
        <f aca="false">SUMPRODUCT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*A_PREIS)</f>
        <v>4043227.7675</v>
      </c>
      <c r="K21" s="40" t="n">
        <f aca="false">J21-$J$5</f>
        <v>592181.55327</v>
      </c>
      <c r="L21" s="40" t="n">
        <f aca="false">(M21+N21+O21+P21)-($M$5+$N$5+$O$5+$P$5)</f>
        <v>3611.0065835765</v>
      </c>
      <c r="M21" s="11" t="n">
        <f aca="false">IF(Parameter!$E$30="MAX-Bestand",SUMPRODUCT((A_LIFT=1)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1)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13449.1695872395</v>
      </c>
      <c r="N21" s="11" t="n">
        <f aca="false">IF(Parameter!$E$30="MAX-Bestand",SUMPRODUCT((A_LIFT=2)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2)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17059.8237179487</v>
      </c>
      <c r="O21" s="11" t="n">
        <f aca="false">IF(Parameter!$E$30="MAX-Bestand",SUMPRODUCT((A_LIFT=3)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3)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5999.87225274725</v>
      </c>
      <c r="P21" s="11" t="n">
        <f aca="false">IF(Parameter!$E$30="MAX-Bestand",SUMPRODUCT((A_LIFT="Aussen"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"Aussen"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0</v>
      </c>
    </row>
    <row r="23" customFormat="false" ht="15" hidden="false" customHeight="false" outlineLevel="0" collapsed="false">
      <c r="A23" s="41" t="s">
        <v>65</v>
      </c>
    </row>
    <row r="24" customFormat="false" ht="15" hidden="false" customHeight="false" outlineLevel="0" collapsed="false">
      <c r="A24" s="21" t="s">
        <v>66</v>
      </c>
      <c r="E24" s="42" t="str">
        <f aca="false">IFERROR("ab LU "&amp;INDEX(B6:B13,MATCH("JA",H6:H13,0)),"bei keinem LU der Liste")</f>
        <v>ab LU 3</v>
      </c>
    </row>
    <row r="25" customFormat="false" ht="15" hidden="false" customHeight="false" outlineLevel="0" collapsed="false">
      <c r="A25" s="21" t="s">
        <v>67</v>
      </c>
      <c r="E25" s="42" t="str">
        <f aca="false">IFERROR("ab LU "&amp;INDEX(B14:B21,MATCH("JA",H14:H21,0)),"bei keinem LU der Liste")</f>
        <v>bei keinem LU der Liste</v>
      </c>
    </row>
    <row r="26" customFormat="false" ht="15" hidden="false" customHeight="false" outlineLevel="0" collapsed="false">
      <c r="A26" s="8" t="s">
        <v>68</v>
      </c>
    </row>
    <row r="28" customFormat="false" ht="15" hidden="false" customHeight="false" outlineLevel="0" collapsed="false">
      <c r="A28" s="5" t="s">
        <v>69</v>
      </c>
    </row>
    <row r="29" customFormat="false" ht="15" hidden="false" customHeight="false" outlineLevel="0" collapsed="false">
      <c r="A29" s="5" t="s">
        <v>9</v>
      </c>
      <c r="B29" s="5" t="s">
        <v>70</v>
      </c>
      <c r="C29" s="5" t="s">
        <v>71</v>
      </c>
      <c r="D29" s="5" t="s">
        <v>42</v>
      </c>
      <c r="E29" s="5" t="s">
        <v>72</v>
      </c>
    </row>
    <row r="30" customFormat="false" ht="15" hidden="false" customHeight="false" outlineLevel="0" collapsed="false">
      <c r="A30" s="43" t="n">
        <f aca="false">B6</f>
        <v>2</v>
      </c>
      <c r="B30" s="28" t="n">
        <f aca="false">G6</f>
        <v>1.0796283732963</v>
      </c>
      <c r="C30" s="28" t="n">
        <f aca="false">G14</f>
        <v>1.21265571243708</v>
      </c>
      <c r="D30" s="28" t="n">
        <v>1</v>
      </c>
      <c r="E30" s="28" t="n">
        <f aca="false">$G$5</f>
        <v>0.921508654743949</v>
      </c>
    </row>
    <row r="31" customFormat="false" ht="15" hidden="false" customHeight="false" outlineLevel="0" collapsed="false">
      <c r="A31" s="43" t="n">
        <f aca="false">B7</f>
        <v>2.5</v>
      </c>
      <c r="B31" s="28" t="n">
        <f aca="false">G7</f>
        <v>1.01421742512737</v>
      </c>
      <c r="C31" s="28" t="n">
        <f aca="false">G15</f>
        <v>1.15363033131549</v>
      </c>
      <c r="D31" s="28" t="n">
        <v>1</v>
      </c>
      <c r="E31" s="28" t="n">
        <f aca="false">$G$5</f>
        <v>0.921508654743949</v>
      </c>
    </row>
    <row r="32" customFormat="false" ht="15" hidden="false" customHeight="false" outlineLevel="0" collapsed="false">
      <c r="A32" s="43" t="n">
        <f aca="false">B8</f>
        <v>3</v>
      </c>
      <c r="B32" s="28" t="n">
        <f aca="false">G8</f>
        <v>0.961959965211639</v>
      </c>
      <c r="C32" s="28" t="n">
        <f aca="false">G16</f>
        <v>1.10285064199517</v>
      </c>
      <c r="D32" s="28" t="n">
        <v>1</v>
      </c>
      <c r="E32" s="28" t="n">
        <f aca="false">$G$5</f>
        <v>0.921508654743949</v>
      </c>
    </row>
    <row r="33" customFormat="false" ht="15" hidden="false" customHeight="false" outlineLevel="0" collapsed="false">
      <c r="A33" s="43" t="n">
        <f aca="false">B9</f>
        <v>3.5</v>
      </c>
      <c r="B33" s="28" t="n">
        <f aca="false">G9</f>
        <v>0.942587823699667</v>
      </c>
      <c r="C33" s="28" t="n">
        <f aca="false">G17</f>
        <v>1.08513179000414</v>
      </c>
      <c r="D33" s="28" t="n">
        <v>1</v>
      </c>
      <c r="E33" s="28" t="n">
        <f aca="false">$G$5</f>
        <v>0.921508654743949</v>
      </c>
    </row>
    <row r="34" customFormat="false" ht="15" hidden="false" customHeight="false" outlineLevel="0" collapsed="false">
      <c r="A34" s="43" t="n">
        <f aca="false">B10</f>
        <v>4</v>
      </c>
      <c r="B34" s="28" t="n">
        <f aca="false">G10</f>
        <v>0.913115937161479</v>
      </c>
      <c r="C34" s="28" t="n">
        <f aca="false">G18</f>
        <v>1.06214108568243</v>
      </c>
      <c r="D34" s="28" t="n">
        <v>1</v>
      </c>
      <c r="E34" s="28" t="n">
        <f aca="false">$G$5</f>
        <v>0.921508654743949</v>
      </c>
    </row>
    <row r="35" customFormat="false" ht="15" hidden="false" customHeight="false" outlineLevel="0" collapsed="false">
      <c r="A35" s="43" t="n">
        <f aca="false">B11</f>
        <v>5</v>
      </c>
      <c r="B35" s="28" t="n">
        <f aca="false">G11</f>
        <v>0.89046698333107</v>
      </c>
      <c r="C35" s="28" t="n">
        <f aca="false">G19</f>
        <v>1.04183358125229</v>
      </c>
      <c r="D35" s="28" t="n">
        <v>1</v>
      </c>
      <c r="E35" s="28" t="n">
        <f aca="false">$G$5</f>
        <v>0.921508654743949</v>
      </c>
    </row>
    <row r="36" customFormat="false" ht="15" hidden="false" customHeight="false" outlineLevel="0" collapsed="false">
      <c r="A36" s="43" t="n">
        <f aca="false">B12</f>
        <v>6</v>
      </c>
      <c r="B36" s="28" t="n">
        <f aca="false">G12</f>
        <v>0.879203262284198</v>
      </c>
      <c r="C36" s="28" t="n">
        <f aca="false">G20</f>
        <v>1.03137518233427</v>
      </c>
      <c r="D36" s="28" t="n">
        <v>1</v>
      </c>
      <c r="E36" s="28" t="n">
        <f aca="false">$G$5</f>
        <v>0.921508654743949</v>
      </c>
    </row>
    <row r="37" customFormat="false" ht="15" hidden="false" customHeight="false" outlineLevel="0" collapsed="false">
      <c r="A37" s="43" t="n">
        <f aca="false">B13</f>
        <v>8</v>
      </c>
      <c r="B37" s="28" t="n">
        <f aca="false">G13</f>
        <v>0.869680056362687</v>
      </c>
      <c r="C37" s="28" t="n">
        <f aca="false">G21</f>
        <v>1.02265729854161</v>
      </c>
      <c r="D37" s="28" t="n">
        <v>1</v>
      </c>
      <c r="E37" s="28" t="n">
        <f aca="false">$G$5</f>
        <v>0.921508654743949</v>
      </c>
    </row>
  </sheetData>
  <conditionalFormatting sqref="C5:G21">
    <cfRule type="cellIs" priority="2" operator="greaterThan" aboveAverage="0" equalAverage="0" bottom="0" percent="0" rank="0" text="" dxfId="1">
      <formula>Parameter!$B$12</formula>
    </cfRule>
    <cfRule type="cellIs" priority="3" operator="greaterThanOrEqual" aboveAverage="0" equalAverage="0" bottom="0" percent="0" rank="0" text="" dxfId="2">
      <formula>Parameter!$B$11</formula>
    </cfRule>
    <cfRule type="cellIs" priority="4" operator="lessThan" aboveAverage="0" equalAverage="0" bottom="0" percent="0" rank="0" text="" dxfId="3">
      <formula>Parameter!$B$11</formula>
    </cfRule>
  </conditionalFormatting>
  <conditionalFormatting sqref="H5:H21">
    <cfRule type="cellIs" priority="5" operator="equal" aboveAverage="0" equalAverage="0" bottom="0" percent="0" rank="0" text="" dxfId="3">
      <formula>"JA"</formula>
    </cfRule>
    <cfRule type="cellIs" priority="6" operator="equal" aboveAverage="0" equalAverage="0" bottom="0" percent="0" rank="0" text="" dxfId="1">
      <formula>"NEIN"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1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2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5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9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8" min="17" style="0" width="8"/>
    <col collapsed="false" customWidth="true" hidden="false" outlineLevel="0" max="19" min="19" style="0" width="10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7"/>
    <col collapsed="false" customWidth="true" hidden="false" outlineLevel="0" max="25" min="24" style="0" width="8"/>
    <col collapsed="false" customWidth="true" hidden="false" outlineLevel="0" max="28" min="26" style="0" width="7"/>
    <col collapsed="false" customWidth="true" hidden="false" outlineLevel="0" max="30" min="29" style="0" width="10"/>
    <col collapsed="false" customWidth="true" hidden="false" outlineLevel="0" max="31" min="31" style="0" width="9"/>
    <col collapsed="false" customWidth="true" hidden="false" outlineLevel="1" max="37" min="32" style="0" width="9"/>
    <col collapsed="false" customWidth="true" hidden="true" outlineLevel="2" max="41" min="38" style="0" width="8"/>
    <col collapsed="false" customWidth="true" hidden="false" outlineLevel="1" max="47" min="42" style="0" width="9"/>
    <col collapsed="false" customWidth="true" hidden="true" outlineLevel="2" max="51" min="48" style="0" width="8"/>
    <col collapsed="false" customWidth="true" hidden="false" outlineLevel="1" max="57" min="52" style="0" width="9"/>
    <col collapsed="false" customWidth="true" hidden="true" outlineLevel="2" max="61" min="58" style="0" width="8"/>
    <col collapsed="false" customWidth="true" hidden="false" outlineLevel="0" max="64" min="62" style="0" width="11"/>
    <col collapsed="false" customWidth="true" hidden="false" outlineLevel="0" max="65" min="65" style="0" width="45"/>
    <col collapsed="false" customWidth="true" hidden="false" outlineLevel="0" max="68" min="66" style="0" width="30"/>
    <col collapsed="false" customWidth="true" hidden="true" outlineLevel="1" max="95" min="69" style="0" width="9"/>
  </cols>
  <sheetData>
    <row r="1" customFormat="false" ht="17.35" hidden="false" customHeight="false" outlineLevel="0" collapsed="false">
      <c r="A1" s="29" t="s">
        <v>73</v>
      </c>
    </row>
    <row r="2" customFormat="false" ht="15" hidden="false" customHeight="false" outlineLevel="0" collapsed="false">
      <c r="A2" s="30" t="s">
        <v>74</v>
      </c>
    </row>
    <row r="3" customFormat="false" ht="15" hidden="false" customHeight="false" outlineLevel="0" collapsed="false">
      <c r="A3" s="3" t="s">
        <v>75</v>
      </c>
    </row>
    <row r="5" customFormat="false" ht="15" hidden="false" customHeight="false" outlineLevel="0" collapsed="false">
      <c r="AF5" s="44" t="str">
        <f aca="false">"Ansicht 1: "&amp;Cockpit!$C$5&amp;IF(LEFT(Cockpit!$C$5,1)="A",""," / LU "&amp;Cockpit!$C$6)</f>
        <v>Ansicht 1: A – Ist-Bestand</v>
      </c>
      <c r="AP5" s="44" t="str">
        <f aca="false">"Ansicht 2: "&amp;Cockpit!$I$5&amp;IF(LEFT(Cockpit!$I$5,1)="A",""," / LU "&amp;Cockpit!$I$6)</f>
        <v>Ansicht 2: C – Ziel-LU oder Ist / LU 3</v>
      </c>
      <c r="AZ5" s="44" t="str">
        <f aca="false">"Ansicht 3: "&amp;Cockpit!$O$5&amp;IF(LEFT(Cockpit!$O$5,1)="A",""," / LU "&amp;Cockpit!$O$6)</f>
        <v>Ansicht 3: B – Ziel-LU / LU 4</v>
      </c>
      <c r="BQ5" s="45" t="s">
        <v>76</v>
      </c>
    </row>
    <row r="6" customFormat="false" ht="54" hidden="false" customHeight="true" outlineLevel="0" collapsed="false">
      <c r="A6" s="46" t="s">
        <v>77</v>
      </c>
      <c r="B6" s="46" t="s">
        <v>78</v>
      </c>
      <c r="C6" s="46" t="s">
        <v>79</v>
      </c>
      <c r="D6" s="46" t="s">
        <v>80</v>
      </c>
      <c r="E6" s="46" t="s">
        <v>81</v>
      </c>
      <c r="F6" s="46" t="s">
        <v>82</v>
      </c>
      <c r="G6" s="46" t="s">
        <v>83</v>
      </c>
      <c r="H6" s="46" t="s">
        <v>63</v>
      </c>
      <c r="I6" s="46" t="s">
        <v>84</v>
      </c>
      <c r="J6" s="46" t="s">
        <v>85</v>
      </c>
      <c r="K6" s="46" t="s">
        <v>86</v>
      </c>
      <c r="L6" s="46" t="s">
        <v>87</v>
      </c>
      <c r="M6" s="46" t="s">
        <v>88</v>
      </c>
      <c r="N6" s="46" t="s">
        <v>89</v>
      </c>
      <c r="O6" s="46" t="s">
        <v>90</v>
      </c>
      <c r="P6" s="46" t="s">
        <v>91</v>
      </c>
      <c r="Q6" s="46" t="s">
        <v>92</v>
      </c>
      <c r="R6" s="46" t="s">
        <v>93</v>
      </c>
      <c r="S6" s="47" t="s">
        <v>94</v>
      </c>
      <c r="T6" s="47" t="s">
        <v>95</v>
      </c>
      <c r="U6" s="47" t="s">
        <v>96</v>
      </c>
      <c r="V6" s="47" t="s">
        <v>97</v>
      </c>
      <c r="W6" s="46" t="s">
        <v>98</v>
      </c>
      <c r="X6" s="46" t="s">
        <v>99</v>
      </c>
      <c r="Y6" s="46" t="s">
        <v>100</v>
      </c>
      <c r="Z6" s="46" t="s">
        <v>101</v>
      </c>
      <c r="AA6" s="47" t="s">
        <v>102</v>
      </c>
      <c r="AB6" s="47" t="s">
        <v>103</v>
      </c>
      <c r="AC6" s="46" t="s">
        <v>104</v>
      </c>
      <c r="AD6" s="46" t="s">
        <v>105</v>
      </c>
      <c r="AE6" s="47" t="s">
        <v>106</v>
      </c>
      <c r="AF6" s="46" t="s">
        <v>107</v>
      </c>
      <c r="AG6" s="46" t="s">
        <v>108</v>
      </c>
      <c r="AH6" s="46" t="s">
        <v>109</v>
      </c>
      <c r="AI6" s="46" t="s">
        <v>110</v>
      </c>
      <c r="AJ6" s="46" t="s">
        <v>111</v>
      </c>
      <c r="AK6" s="46" t="s">
        <v>112</v>
      </c>
      <c r="AL6" s="46" t="s">
        <v>113</v>
      </c>
      <c r="AM6" s="46" t="s">
        <v>114</v>
      </c>
      <c r="AN6" s="46" t="s">
        <v>115</v>
      </c>
      <c r="AO6" s="46" t="s">
        <v>116</v>
      </c>
      <c r="AP6" s="46" t="s">
        <v>117</v>
      </c>
      <c r="AQ6" s="46" t="s">
        <v>118</v>
      </c>
      <c r="AR6" s="46" t="s">
        <v>119</v>
      </c>
      <c r="AS6" s="46" t="s">
        <v>120</v>
      </c>
      <c r="AT6" s="46" t="s">
        <v>121</v>
      </c>
      <c r="AU6" s="46" t="s">
        <v>122</v>
      </c>
      <c r="AV6" s="46" t="s">
        <v>123</v>
      </c>
      <c r="AW6" s="46" t="s">
        <v>124</v>
      </c>
      <c r="AX6" s="46" t="s">
        <v>125</v>
      </c>
      <c r="AY6" s="46" t="s">
        <v>126</v>
      </c>
      <c r="AZ6" s="46" t="s">
        <v>127</v>
      </c>
      <c r="BA6" s="46" t="s">
        <v>128</v>
      </c>
      <c r="BB6" s="46" t="s">
        <v>129</v>
      </c>
      <c r="BC6" s="46" t="s">
        <v>130</v>
      </c>
      <c r="BD6" s="46" t="s">
        <v>131</v>
      </c>
      <c r="BE6" s="46" t="s">
        <v>132</v>
      </c>
      <c r="BF6" s="46" t="s">
        <v>133</v>
      </c>
      <c r="BG6" s="46" t="s">
        <v>134</v>
      </c>
      <c r="BH6" s="46" t="s">
        <v>135</v>
      </c>
      <c r="BI6" s="46" t="s">
        <v>136</v>
      </c>
      <c r="BJ6" s="46" t="s">
        <v>137</v>
      </c>
      <c r="BK6" s="46" t="s">
        <v>138</v>
      </c>
      <c r="BL6" s="46" t="s">
        <v>139</v>
      </c>
      <c r="BM6" s="46" t="s">
        <v>140</v>
      </c>
      <c r="BN6" s="46" t="s">
        <v>141</v>
      </c>
      <c r="BO6" s="46" t="s">
        <v>142</v>
      </c>
      <c r="BP6" s="47" t="s">
        <v>143</v>
      </c>
      <c r="BQ6" s="46" t="s">
        <v>144</v>
      </c>
      <c r="BR6" s="46" t="s">
        <v>145</v>
      </c>
      <c r="BS6" s="46" t="s">
        <v>146</v>
      </c>
      <c r="BT6" s="46" t="s">
        <v>147</v>
      </c>
      <c r="BU6" s="46" t="s">
        <v>148</v>
      </c>
      <c r="BV6" s="46" t="s">
        <v>149</v>
      </c>
      <c r="BW6" s="46" t="s">
        <v>150</v>
      </c>
      <c r="BX6" s="46" t="s">
        <v>151</v>
      </c>
      <c r="BY6" s="46" t="s">
        <v>152</v>
      </c>
      <c r="BZ6" s="46" t="s">
        <v>153</v>
      </c>
      <c r="CA6" s="46" t="s">
        <v>154</v>
      </c>
      <c r="CB6" s="46" t="s">
        <v>155</v>
      </c>
      <c r="CC6" s="46" t="s">
        <v>156</v>
      </c>
      <c r="CD6" s="46" t="s">
        <v>157</v>
      </c>
      <c r="CE6" s="46" t="s">
        <v>158</v>
      </c>
      <c r="CF6" s="46" t="s">
        <v>159</v>
      </c>
      <c r="CG6" s="46" t="s">
        <v>160</v>
      </c>
      <c r="CH6" s="46" t="s">
        <v>161</v>
      </c>
      <c r="CI6" s="46" t="s">
        <v>162</v>
      </c>
      <c r="CJ6" s="46" t="s">
        <v>163</v>
      </c>
      <c r="CK6" s="46" t="s">
        <v>164</v>
      </c>
      <c r="CL6" s="46" t="s">
        <v>165</v>
      </c>
      <c r="CM6" s="46" t="s">
        <v>166</v>
      </c>
      <c r="CN6" s="46" t="s">
        <v>167</v>
      </c>
      <c r="CO6" s="46" t="s">
        <v>168</v>
      </c>
      <c r="CP6" s="46" t="s">
        <v>169</v>
      </c>
      <c r="CQ6" s="46" t="s">
        <v>170</v>
      </c>
    </row>
    <row r="7" customFormat="false" ht="15" hidden="false" customHeight="false" outlineLevel="0" collapsed="false">
      <c r="A7" s="48" t="s">
        <v>171</v>
      </c>
      <c r="B7" s="48" t="s">
        <v>172</v>
      </c>
      <c r="C7" s="48" t="s">
        <v>173</v>
      </c>
      <c r="D7" s="48" t="s">
        <v>174</v>
      </c>
      <c r="E7" s="48" t="s">
        <v>175</v>
      </c>
      <c r="F7" s="48" t="s">
        <v>176</v>
      </c>
      <c r="G7" s="49" t="n">
        <v>3724.72</v>
      </c>
      <c r="H7" s="50" t="n">
        <f aca="false">MAX(0,IF(AND(Parameter!$B$21="Ja",ISNUMBER(Y7)),Y7,IF(Parameter!$B$20="Jahresanfang 2025 + Export",BR7+BQ7,BQ7)))</f>
        <v>18</v>
      </c>
      <c r="I7" s="50" t="n">
        <f aca="false">H7*G7</f>
        <v>67044.96</v>
      </c>
      <c r="J7" s="50" t="n">
        <f aca="false">BT7*Parameter!$B$18</f>
        <v>7</v>
      </c>
      <c r="K7" s="51" t="n">
        <v>12.5</v>
      </c>
      <c r="L7" s="52" t="n">
        <v>0.56</v>
      </c>
      <c r="M7" s="50" t="n">
        <v>2</v>
      </c>
      <c r="N7" s="50" t="n">
        <v>5</v>
      </c>
      <c r="O7" s="53" t="n">
        <v>28</v>
      </c>
      <c r="P7" s="48" t="s">
        <v>177</v>
      </c>
      <c r="Q7" s="50"/>
      <c r="R7" s="53" t="n">
        <f aca="false">IF(BZ7=1,0,IFERROR(VLOOKUP(BX7,'Gebinde-Kategorie'!$A$5:$N$45,13,0)+0,0))</f>
        <v>0</v>
      </c>
      <c r="S7" s="54"/>
      <c r="T7" s="55"/>
      <c r="U7" s="55"/>
      <c r="V7" s="55"/>
      <c r="W7" s="48" t="n">
        <v>1</v>
      </c>
      <c r="X7" s="50" t="n">
        <v>22</v>
      </c>
      <c r="Y7" s="50" t="n">
        <v>18</v>
      </c>
      <c r="Z7" s="48" t="n">
        <f aca="false">IF(A7="","",IF(AND(Parameter!$B$21="Ja",ISNUMBER(W7)),W7,IF(CC7="2+3",IF(ISNUMBER(SEARCH("grosser Artikel",BU7)),2,IFERROR(VLOOKUP(BX7,Parameter!$F$35:$G$64,2,0),2)),IF(OR(CC7="Nein",CC7=""),"-",CC7))))</f>
        <v>1</v>
      </c>
      <c r="AA7" s="55"/>
      <c r="AB7" s="56"/>
      <c r="AC7" s="50" t="n">
        <f aca="false">AV7</f>
        <v>7</v>
      </c>
      <c r="AD7" s="50" t="n">
        <f aca="false">MAX(AV7,H7)</f>
        <v>18</v>
      </c>
      <c r="AE7" s="57"/>
      <c r="AF7" s="50" t="n">
        <f aca="false">IF(LEFT(Cockpit!$C$5,1)="A",H7,IF(Parameter!$E$30="MAX-Bestand",IF(CH7=1,CI7,IF(LEFT(Cockpit!$C$5,1)="B",AL7,MAX(AL7,H7))),ROUNDUP(AJ7,0)))</f>
        <v>18</v>
      </c>
      <c r="AG7" s="50" t="n">
        <f aca="false">IF(BZ7=1,0,ROUNDUP(AF7/BY7,0))</f>
        <v>0</v>
      </c>
      <c r="AH7" s="52" t="n">
        <f aca="false">IF(CQ7&gt;0,CQ7*MAX(1,AF7/X7),IF(BZ7=1,IF(AF7&lt;=0,0,CD7*MAX(1,IF(H7&gt;0,AF7/H7,1))),IF(R7&gt;0,AG7/R7,0))/MAX(0.1,N(Parameter!$M$21)))</f>
        <v>1.7608286252354</v>
      </c>
      <c r="AI7" s="50" t="n">
        <f aca="false">AH7*CB7</f>
        <v>419.077212806026</v>
      </c>
      <c r="AJ7" s="51" t="n">
        <f aca="false">IF(LEFT(Cockpit!$C$5,1)="A",H7,IF(CH7=1,(CK7+CI7)/2,IF(LEFT(Cockpit!$C$5,1)="B",(CK7+AL7)/2,MAX((CK7+AL7)/2,H7))))</f>
        <v>18</v>
      </c>
      <c r="AK7" s="50" t="n">
        <f aca="false">AJ7*G7</f>
        <v>67044.96</v>
      </c>
      <c r="AL7" s="50" t="n">
        <f aca="false">ROUNDUP(CK7+MAX(CL7,2*(J7/IF(CG7&gt;0,CG7,MAX(0.1,N(Cockpit!$C$6)))-CK7)),0)</f>
        <v>7</v>
      </c>
      <c r="AM7" s="51" t="n">
        <f aca="false">IF(AI7&gt;0,J7/AI7,-1)</f>
        <v>0.0167033658383139</v>
      </c>
      <c r="AN7" s="51" t="n">
        <f aca="false">IF(AND(OR(CF7="L1",CF7="L23",CF7="LIFT"),AI7&gt;0),SUMIFS($AI$7:$AI$1843,$CF$7:$CF$1843,CF7,$AM$7:$AM$1843,"&gt;"&amp;AM7)+SUMIFS($AI$7:$AI$1843,$CF$7:$CF$1843,CF7,$AM$7:$AM$1843,AM7,$BW$7:$BW$1843,"&lt;="&amp;BW7),"")</f>
        <v>24064.9980986528</v>
      </c>
      <c r="AO7" s="58" t="n">
        <f aca="false">IF(AN7="",0,MAX(0,MIN(1,(IF(CF7="L1",Parameter!$H$5,IF(CF7="L23",Parameter!$H$6+Parameter!$H$7,Parameter!$H$5+Parameter!$H$6+Parameter!$H$7))-(AN7-AI7))/AI7)))</f>
        <v>1</v>
      </c>
      <c r="AP7" s="50" t="n">
        <f aca="false">IF(LEFT(Cockpit!$I$5,1)="A",H7,IF(Parameter!$E$30="MAX-Bestand",IF(CH7=1,CI7,IF(LEFT(Cockpit!$I$5,1)="B",AV7,MAX(AV7,H7))),ROUNDUP(AT7,0)))</f>
        <v>18</v>
      </c>
      <c r="AQ7" s="50" t="n">
        <f aca="false">IF(BZ7=1,0,ROUNDUP(AP7/BY7,0))</f>
        <v>0</v>
      </c>
      <c r="AR7" s="52" t="n">
        <f aca="false">IF(CQ7&gt;0,CQ7*MAX(1,AP7/X7),IF(BZ7=1,IF(AP7&lt;=0,0,CD7*MAX(1,IF(H7&gt;0,AP7/H7,1))),IF(R7&gt;0,AQ7/R7,0))/MAX(0.1,N(Parameter!$M$21)))</f>
        <v>1.7608286252354</v>
      </c>
      <c r="AS7" s="50" t="n">
        <f aca="false">AR7*CB7</f>
        <v>419.077212806026</v>
      </c>
      <c r="AT7" s="51" t="n">
        <f aca="false">IF(LEFT(Cockpit!$I$5,1)="A",H7,IF(CH7=1,(CK7+CI7)/2,IF(LEFT(Cockpit!$I$5,1)="B",(CK7+AV7)/2,MAX((CK7+AV7)/2,H7))))</f>
        <v>18</v>
      </c>
      <c r="AU7" s="50" t="n">
        <f aca="false">AT7*G7</f>
        <v>67044.96</v>
      </c>
      <c r="AV7" s="50" t="n">
        <f aca="false">ROUNDUP(CK7+MAX(CL7,2*(J7/IF(CG7&gt;0,CG7,MAX(0.1,N(Cockpit!$I$6)))-CK7)),0)</f>
        <v>7</v>
      </c>
      <c r="AW7" s="51" t="n">
        <f aca="false">IF(AS7&gt;0,J7/AS7,-1)</f>
        <v>0.0167033658383139</v>
      </c>
      <c r="AX7" s="51" t="n">
        <f aca="false">IF(AND(OR(CF7="L1",CF7="L23",CF7="LIFT"),AS7&gt;0),SUMIFS($AS$7:$AS$1843,$CF$7:$CF$1843,CF7,$AW$7:$AW$1843,"&gt;"&amp;AW7)+SUMIFS($AS$7:$AS$1843,$CF$7:$CF$1843,CF7,$AW$7:$AW$1843,AW7,$BW$7:$BW$1843,"&lt;="&amp;BW7),"")</f>
        <v>29418.1467400302</v>
      </c>
      <c r="AY7" s="58" t="n">
        <f aca="false">IF(AX7="",0,MAX(0,MIN(1,(IF(CF7="L1",Parameter!$H$5,IF(CF7="L23",Parameter!$H$6+Parameter!$H$7,Parameter!$H$5+Parameter!$H$6+Parameter!$H$7))-(AX7-AS7))/AS7)))</f>
        <v>1</v>
      </c>
      <c r="AZ7" s="50" t="n">
        <f aca="false">IF(LEFT(Cockpit!$O$5,1)="A",H7,IF(Parameter!$E$30="MAX-Bestand",IF(CH7=1,CI7,IF(LEFT(Cockpit!$O$5,1)="B",BF7,MAX(BF7,H7))),ROUNDUP(BD7,0)))</f>
        <v>5</v>
      </c>
      <c r="BA7" s="50" t="n">
        <f aca="false">IF(BZ7=1,0,ROUNDUP(AZ7/BY7,0))</f>
        <v>0</v>
      </c>
      <c r="BB7" s="52" t="n">
        <f aca="false">IF(CQ7&gt;0,CQ7*MAX(1,AZ7/X7),IF(BZ7=1,IF(AZ7&lt;=0,0,CD7*MAX(1,IF(H7&gt;0,AZ7/H7,1))),IF(R7&gt;0,BA7/R7,0))/MAX(0.1,N(Parameter!$M$21)))</f>
        <v>1.7608286252354</v>
      </c>
      <c r="BC7" s="50" t="n">
        <f aca="false">BB7*CB7</f>
        <v>419.077212806026</v>
      </c>
      <c r="BD7" s="51" t="n">
        <f aca="false">IF(LEFT(Cockpit!$O$5,1)="A",H7,IF(CH7=1,(CK7+CI7)/2,IF(LEFT(Cockpit!$O$5,1)="B",(CK7+BF7)/2,MAX((CK7+BF7)/2,H7))))</f>
        <v>4.5</v>
      </c>
      <c r="BE7" s="50" t="n">
        <f aca="false">BD7*G7</f>
        <v>16761.24</v>
      </c>
      <c r="BF7" s="50" t="n">
        <f aca="false">ROUNDUP(CK7+MAX(CL7,2*(J7/IF(CG7&gt;0,CG7,MAX(0.1,N(Cockpit!$O$6)))-CK7)),0)</f>
        <v>7</v>
      </c>
      <c r="BG7" s="51" t="n">
        <f aca="false">IF(BC7&gt;0,J7/BC7,-1)</f>
        <v>0.0167033658383139</v>
      </c>
      <c r="BH7" s="51" t="n">
        <f aca="false">IF(AND(OR(CF7="L1",CF7="L23",CF7="LIFT"),BC7&gt;0),SUMIFS($BC$7:$BC$1843,$CF$7:$CF$1843,CF7,$BG$7:$BG$1843,"&gt;"&amp;BG7)+SUMIFS($BC$7:$BC$1843,$CF$7:$CF$1843,CF7,$BG$7:$BG$1843,BG7,$BW$7:$BW$1843,"&lt;="&amp;BW7),"")</f>
        <v>24963.8952499948</v>
      </c>
      <c r="BI7" s="58" t="n">
        <f aca="false">IF(BH7="",0,MAX(0,MIN(1,(IF(CF7="L1",Parameter!$H$5,IF(CF7="L23",Parameter!$H$6+Parameter!$H$7,Parameter!$H$5+Parameter!$H$6+Parameter!$H$7))-(BH7-BC7))/BC7)))</f>
        <v>1</v>
      </c>
      <c r="BJ7" s="48" t="str">
        <f aca="false">IF(AI7&lt;=0,"",IF(CF7="Aussen","Aussenlager",IF(CF7="-","Nicht im Lift",IF(AO7&gt;=1,"Lift",IF(AO7&lt;=0,"Aussenlager","teilweise")))))</f>
        <v>Lift</v>
      </c>
      <c r="BK7" s="48" t="str">
        <f aca="false">IF(AS7&lt;=0,"",IF(CF7="Aussen","Aussenlager",IF(CF7="-","Nicht im Lift",IF(AY7&gt;=1,"Lift",IF(AY7&lt;=0,"Aussenlager","teilweise")))))</f>
        <v>Lift</v>
      </c>
      <c r="BL7" s="48" t="str">
        <f aca="false">IF(BC7&lt;=0,"",IF(CF7="Aussen","Aussenlager",IF(CF7="-","Nicht im Lift",IF(BI7&gt;=1,"Lift",IF(BI7&lt;=0,"Aussenlager","teilweise")))))</f>
        <v>Lift</v>
      </c>
      <c r="BM7" s="48" t="str">
        <f aca="false">IF(A7="","",IF(BV7=1,"Neu; ","")&amp;IF(AND(BV7=0,BQ7&lt;0),"negativer Bestand (Export "&amp;BQ7&amp;"); ","")&amp;IF(J7&lt;=0,"Kein Verbrauch; ","")&amp;IF(CQ7&gt;0,"Lift "&amp;W7&amp;" lt. Liftbericht (Fach "&amp;X7&amp;" Stk); ",IF(CA7=1,"Gebinde geschätzt ("&amp;T7&amp;"); ",IF(BZ7=1,"Lose – Tablare geschätzt; ","")))&amp;IF(H7&gt;AV7,"Überbestand "&amp;ROUND(H7-AV7,0)&amp;" Stk / CHF "&amp;ROUND((H7-AV7)*G7,0)&amp;"; ","")&amp;IF(AND(CH7=1,CI7&lt;CJ7),"MAX &lt; MB+LG; ","")&amp;IF(AND(CP7&gt;0,CO7*10&gt;CP7),"zu hoch für Tablar; ","")&amp;IF(AND(BV7=0,OR(CH7=1,AA7&lt;&gt;"",U7&lt;&gt;"",V7&lt;&gt;"",AB7&lt;&gt;"")),"manuell übersteuert; ","")&amp;IF(AND(BZ7=0,R7=0),"Gebinde unbekannt / Stellmass fehlt; ","")&amp;IF(AND(BZ7=0,N(V7)&lt;=0,N(Q7)&lt;=0),"Menge pro Gebinde fehlt (Ist = 1 Gebinde); ","")&amp;BU7)</f>
        <v>Lift 1 lt. Liftbericht (Fach 22 Stk); Überbestand 11 Stk / CHF 40972; </v>
      </c>
      <c r="BN7" s="48" t="s">
        <v>178</v>
      </c>
      <c r="BO7" s="48" t="s">
        <v>179</v>
      </c>
      <c r="BP7" s="55"/>
      <c r="BQ7" s="50" t="n">
        <v>20</v>
      </c>
      <c r="BR7" s="50" t="n">
        <v>7</v>
      </c>
      <c r="BS7" s="49" t="n">
        <v>75034.94</v>
      </c>
      <c r="BT7" s="50" t="n">
        <v>7</v>
      </c>
      <c r="BU7" s="48"/>
      <c r="BV7" s="53" t="n">
        <v>0</v>
      </c>
      <c r="BW7" s="53" t="n">
        <v>7</v>
      </c>
      <c r="BX7" s="48" t="str">
        <f aca="false">IF(U7&lt;&gt;"",UPPER(TRIM(U7)),IF(CA7=1,UPPER(VLOOKUP(T7,Parameter!$I$27:$K$29,2,0)),IF(P7="","LOSE",P7)))</f>
        <v>LOSE</v>
      </c>
      <c r="BY7" s="50" t="n">
        <f aca="false">IF(BX7="LOSE",1,IF(N(V7)&gt;0,V7,IF(CA7=1,MAX(1,N(VLOOKUP(T7,Parameter!$I$27:$K$29,3,0)),H7,N(N7)),IF(N(Q7)&gt;0,Q7,MAX(1,H7)))))</f>
        <v>1</v>
      </c>
      <c r="BZ7" s="53" t="n">
        <f aca="false">IF(BX7="LOSE",1,0)</f>
        <v>1</v>
      </c>
      <c r="CA7" s="53" t="n">
        <f aca="false">IF(AND(U7="",OR(P7="",P7="LOSE"),T7&lt;&gt;"",N(S7)&lt;=0,ISNUMBER(MATCH(T7,Parameter!$I$27:$I$29,0))),1,0)</f>
        <v>0</v>
      </c>
      <c r="CB7" s="53" t="n">
        <f aca="false">IF(CQ7&gt;0,INDEX(Parameter!$H$5:$H$7,W7)/INDEX(Parameter!$E$5:$E$7,W7),IF(AND(BZ7=0,N(IFERROR(VLOOKUP(BX7,'Gebinde-Kategorie'!$A$5:$N$45,14,0),0))&gt;0),VLOOKUP(BX7,'Gebinde-Kategorie'!$A$5:$N$45,14,0)*10+Parameter!$M$23,Parameter!$M$24))</f>
        <v>238</v>
      </c>
      <c r="CC7" s="48" t="n">
        <f aca="false">IF(AND(Parameter!$B$19="Ja",E7&lt;&gt;"",ISNUMBER(MATCH(E7,Parameter!$I$35:$I$52,0))),VLOOKUP(E7,Parameter!$I$35:$J$52,2,0),IFERROR(VLOOKUP(D7,Parameter!$A$35:$C$64,2,0),"Nein"))</f>
        <v>1</v>
      </c>
      <c r="CD7" s="52" t="n">
        <f aca="false">IF(BZ7=0,0,IF(N(S7)&gt;0,S7,IFERROR(VLOOKUP(D7,Parameter!$A$35:$C$64,3,0)+0,0)))</f>
        <v>1</v>
      </c>
      <c r="CE7" s="48" t="n">
        <f aca="false">IF(AA7&lt;&gt;"",AA7,Z7)</f>
        <v>1</v>
      </c>
      <c r="CF7" s="48" t="str">
        <f aca="false">IF(OR(CE7=1,CE7=2,CE7=3),IF(Parameter!$E$27="Ja","LIFT",IF(CE7=1,"L1","L23")),IF(CE7="Aussen","Aussen","-"))</f>
        <v>LIFT</v>
      </c>
      <c r="CG7" s="59" t="n">
        <f aca="false">IF(N(AB7)&gt;0,AB7,0)</f>
        <v>0</v>
      </c>
      <c r="CH7" s="53" t="n">
        <f aca="false">IF(ISNUMBER(AE7),1,0)</f>
        <v>0</v>
      </c>
      <c r="CI7" s="50" t="n">
        <f aca="false">N(AE7)</f>
        <v>0</v>
      </c>
      <c r="CJ7" s="50" t="n">
        <f aca="false">N(M7)+N(N7)</f>
        <v>7</v>
      </c>
      <c r="CK7" s="50" t="n">
        <f aca="false">N(M7)</f>
        <v>2</v>
      </c>
      <c r="CL7" s="50" t="n">
        <f aca="false">N(N7)</f>
        <v>5</v>
      </c>
      <c r="CM7" s="50" t="n">
        <f aca="false">ROUNDUP(H7/BY7,0)</f>
        <v>18</v>
      </c>
      <c r="CN7" s="50" t="n">
        <f aca="false">ROUNDUP(CI7/BY7,0)</f>
        <v>0</v>
      </c>
      <c r="CO7" s="53" t="n">
        <f aca="false">IF(BZ7=1,0,IFERROR(VLOOKUP(BX7,'Gebinde-Kategorie'!$A$5:$N$45,5,0)+0,0))</f>
        <v>0</v>
      </c>
      <c r="CP7" s="53" t="n">
        <f aca="false">IFERROR(IF(OR(CE7=1,CE7=2,CE7=3),N(INDEX(Parameter!$I$5:$I$7,CE7)),0),0)</f>
        <v>0</v>
      </c>
      <c r="CQ7" s="52" t="n">
        <f aca="false">IF(AND(Parameter!$B$21="Ja",ISNUMBER(W7),N(X7)&gt;0),IFERROR(N(INDEX(Parameter!$L$5:$L$7,W7))*INDEX(Parameter!$E$5:$E$7,W7)*X7/SUMIFS($X$7:$X$1843,$W$7:$W$1843,W7),0),0)</f>
        <v>1.7608286252354</v>
      </c>
    </row>
    <row r="8" customFormat="false" ht="15" hidden="false" customHeight="false" outlineLevel="0" collapsed="false">
      <c r="A8" s="48" t="s">
        <v>180</v>
      </c>
      <c r="B8" s="48" t="s">
        <v>181</v>
      </c>
      <c r="C8" s="48" t="s">
        <v>176</v>
      </c>
      <c r="D8" s="48" t="s">
        <v>182</v>
      </c>
      <c r="E8" s="48"/>
      <c r="F8" s="48" t="s">
        <v>176</v>
      </c>
      <c r="G8" s="49" t="n">
        <v>718.84</v>
      </c>
      <c r="H8" s="50" t="n">
        <f aca="false">MAX(0,IF(AND(Parameter!$B$21="Ja",ISNUMBER(Y8)),Y8,IF(Parameter!$B$20="Jahresanfang 2025 + Export",BR8+BQ8,BQ8)))</f>
        <v>94</v>
      </c>
      <c r="I8" s="50" t="n">
        <f aca="false">H8*G8</f>
        <v>67570.96</v>
      </c>
      <c r="J8" s="50" t="n">
        <f aca="false">BT8*Parameter!$B$18</f>
        <v>2</v>
      </c>
      <c r="K8" s="51" t="n">
        <v>74</v>
      </c>
      <c r="L8" s="52" t="n">
        <v>0.027027027027027</v>
      </c>
      <c r="M8" s="50" t="n">
        <v>0</v>
      </c>
      <c r="N8" s="50" t="n">
        <v>1</v>
      </c>
      <c r="O8" s="53" t="n">
        <v>14</v>
      </c>
      <c r="P8" s="48" t="s">
        <v>183</v>
      </c>
      <c r="Q8" s="50" t="n">
        <v>14</v>
      </c>
      <c r="R8" s="53" t="n">
        <f aca="false">IF(BZ8=1,0,IFERROR(VLOOKUP(BX8,'Gebinde-Kategorie'!$A$5:$N$45,13,0)+0,0))</f>
        <v>6</v>
      </c>
      <c r="S8" s="54"/>
      <c r="T8" s="55"/>
      <c r="U8" s="55"/>
      <c r="V8" s="55"/>
      <c r="W8" s="48"/>
      <c r="X8" s="50"/>
      <c r="Y8" s="50"/>
      <c r="Z8" s="48" t="n">
        <f aca="false">IF(A8="","",IF(AND(Parameter!$B$21="Ja",ISNUMBER(W8)),W8,IF(CC8="2+3",IF(ISNUMBER(SEARCH("grosser Artikel",BU8)),2,IFERROR(VLOOKUP(BX8,Parameter!$F$35:$G$64,2,0),2)),IF(OR(CC8="Nein",CC8=""),"-",CC8))))</f>
        <v>2</v>
      </c>
      <c r="AA8" s="55"/>
      <c r="AB8" s="56"/>
      <c r="AC8" s="50" t="n">
        <f aca="false">AV8</f>
        <v>2</v>
      </c>
      <c r="AD8" s="50" t="n">
        <f aca="false">MAX(AV8,H8)</f>
        <v>94</v>
      </c>
      <c r="AE8" s="57"/>
      <c r="AF8" s="50" t="n">
        <f aca="false">IF(LEFT(Cockpit!$C$5,1)="A",H8,IF(Parameter!$E$30="MAX-Bestand",IF(CH8=1,CI8,IF(LEFT(Cockpit!$C$5,1)="B",AL8,MAX(AL8,H8))),ROUNDUP(AJ8,0)))</f>
        <v>94</v>
      </c>
      <c r="AG8" s="50" t="n">
        <f aca="false">IF(BZ8=1,0,ROUNDUP(AF8/BY8,0))</f>
        <v>7</v>
      </c>
      <c r="AH8" s="52" t="n">
        <f aca="false">IF(CQ8&gt;0,CQ8*MAX(1,AF8/X8),IF(BZ8=1,IF(AF8&lt;=0,0,CD8*MAX(1,IF(H8&gt;0,AF8/H8,1))),IF(R8&gt;0,AG8/R8,0))/MAX(0.1,N(Parameter!$M$21)))</f>
        <v>1.16666666666667</v>
      </c>
      <c r="AI8" s="50" t="n">
        <f aca="false">AH8*CB8</f>
        <v>274.166666666667</v>
      </c>
      <c r="AJ8" s="51" t="n">
        <f aca="false">IF(LEFT(Cockpit!$C$5,1)="A",H8,IF(CH8=1,(CK8+CI8)/2,IF(LEFT(Cockpit!$C$5,1)="B",(CK8+AL8)/2,MAX((CK8+AL8)/2,H8))))</f>
        <v>94</v>
      </c>
      <c r="AK8" s="50" t="n">
        <f aca="false">AJ8*G8</f>
        <v>67570.96</v>
      </c>
      <c r="AL8" s="50" t="n">
        <f aca="false">ROUNDUP(CK8+MAX(CL8,2*(J8/IF(CG8&gt;0,CG8,MAX(0.1,N(Cockpit!$C$6)))-CK8)),0)</f>
        <v>2</v>
      </c>
      <c r="AM8" s="51" t="n">
        <f aca="false">IF(AI8&gt;0,J8/AI8,-1)</f>
        <v>0.00729483282674772</v>
      </c>
      <c r="AN8" s="51" t="n">
        <f aca="false">IF(AND(OR(CF8="L1",CF8="L23",CF8="LIFT"),AI8&gt;0),SUMIFS($AI$7:$AI$1843,$CF$7:$CF$1843,CF8,$AM$7:$AM$1843,"&gt;"&amp;AM8)+SUMIFS($AI$7:$AI$1843,$CF$7:$CF$1843,CF8,$AM$7:$AM$1843,AM8,$BW$7:$BW$1843,"&lt;="&amp;BW8),"")</f>
        <v>24411.6647653194</v>
      </c>
      <c r="AO8" s="58" t="n">
        <f aca="false">IF(AN8="",0,MAX(0,MIN(1,(IF(CF8="L1",Parameter!$H$5,IF(CF8="L23",Parameter!$H$6+Parameter!$H$7,Parameter!$H$5+Parameter!$H$6+Parameter!$H$7))-(AN8-AI8))/AI8)))</f>
        <v>1</v>
      </c>
      <c r="AP8" s="50" t="n">
        <f aca="false">IF(LEFT(Cockpit!$I$5,1)="A",H8,IF(Parameter!$E$30="MAX-Bestand",IF(CH8=1,CI8,IF(LEFT(Cockpit!$I$5,1)="B",AV8,MAX(AV8,H8))),ROUNDUP(AT8,0)))</f>
        <v>94</v>
      </c>
      <c r="AQ8" s="50" t="n">
        <f aca="false">IF(BZ8=1,0,ROUNDUP(AP8/BY8,0))</f>
        <v>7</v>
      </c>
      <c r="AR8" s="52" t="n">
        <f aca="false">IF(CQ8&gt;0,CQ8*MAX(1,AP8/X8),IF(BZ8=1,IF(AP8&lt;=0,0,CD8*MAX(1,IF(H8&gt;0,AP8/H8,1))),IF(R8&gt;0,AQ8/R8,0))/MAX(0.1,N(Parameter!$M$21)))</f>
        <v>1.16666666666667</v>
      </c>
      <c r="AS8" s="50" t="n">
        <f aca="false">AR8*CB8</f>
        <v>274.166666666667</v>
      </c>
      <c r="AT8" s="51" t="n">
        <f aca="false">IF(LEFT(Cockpit!$I$5,1)="A",H8,IF(CH8=1,(CK8+CI8)/2,IF(LEFT(Cockpit!$I$5,1)="B",(CK8+AV8)/2,MAX((CK8+AV8)/2,H8))))</f>
        <v>94</v>
      </c>
      <c r="AU8" s="50" t="n">
        <f aca="false">AT8*G8</f>
        <v>67570.96</v>
      </c>
      <c r="AV8" s="50" t="n">
        <f aca="false">ROUNDUP(CK8+MAX(CL8,2*(J8/IF(CG8&gt;0,CG8,MAX(0.1,N(Cockpit!$I$6)))-CK8)),0)</f>
        <v>2</v>
      </c>
      <c r="AW8" s="51" t="n">
        <f aca="false">IF(AS8&gt;0,J8/AS8,-1)</f>
        <v>0.00729483282674772</v>
      </c>
      <c r="AX8" s="51" t="n">
        <f aca="false">IF(AND(OR(CF8="L1",CF8="L23",CF8="LIFT"),AS8&gt;0),SUMIFS($AS$7:$AS$1843,$CF$7:$CF$1843,CF8,$AW$7:$AW$1843,"&gt;"&amp;AW8)+SUMIFS($AS$7:$AS$1843,$CF$7:$CF$1843,CF8,$AW$7:$AW$1843,AW8,$BW$7:$BW$1843,"&lt;="&amp;BW8),"")</f>
        <v>29764.8134066969</v>
      </c>
      <c r="AY8" s="58" t="n">
        <f aca="false">IF(AX8="",0,MAX(0,MIN(1,(IF(CF8="L1",Parameter!$H$5,IF(CF8="L23",Parameter!$H$6+Parameter!$H$7,Parameter!$H$5+Parameter!$H$6+Parameter!$H$7))-(AX8-AS8))/AS8)))</f>
        <v>1</v>
      </c>
      <c r="AZ8" s="50" t="n">
        <f aca="false">IF(LEFT(Cockpit!$O$5,1)="A",H8,IF(Parameter!$E$30="MAX-Bestand",IF(CH8=1,CI8,IF(LEFT(Cockpit!$O$5,1)="B",BF8,MAX(BF8,H8))),ROUNDUP(BD8,0)))</f>
        <v>1</v>
      </c>
      <c r="BA8" s="50" t="n">
        <f aca="false">IF(BZ8=1,0,ROUNDUP(AZ8/BY8,0))</f>
        <v>1</v>
      </c>
      <c r="BB8" s="52" t="n">
        <f aca="false">IF(CQ8&gt;0,CQ8*MAX(1,AZ8/X8),IF(BZ8=1,IF(AZ8&lt;=0,0,CD8*MAX(1,IF(H8&gt;0,AZ8/H8,1))),IF(R8&gt;0,BA8/R8,0))/MAX(0.1,N(Parameter!$M$21)))</f>
        <v>0.166666666666667</v>
      </c>
      <c r="BC8" s="50" t="n">
        <f aca="false">BB8*CB8</f>
        <v>39.1666666666667</v>
      </c>
      <c r="BD8" s="51" t="n">
        <f aca="false">IF(LEFT(Cockpit!$O$5,1)="A",H8,IF(CH8=1,(CK8+CI8)/2,IF(LEFT(Cockpit!$O$5,1)="B",(CK8+BF8)/2,MAX((CK8+BF8)/2,H8))))</f>
        <v>0.5</v>
      </c>
      <c r="BE8" s="50" t="n">
        <f aca="false">BD8*G8</f>
        <v>359.42</v>
      </c>
      <c r="BF8" s="50" t="n">
        <f aca="false">ROUNDUP(CK8+MAX(CL8,2*(J8/IF(CG8&gt;0,CG8,MAX(0.1,N(Cockpit!$O$6)))-CK8)),0)</f>
        <v>1</v>
      </c>
      <c r="BG8" s="51" t="n">
        <f aca="false">IF(BC8&gt;0,J8/BC8,-1)</f>
        <v>0.0510638297872341</v>
      </c>
      <c r="BH8" s="51" t="n">
        <f aca="false">IF(AND(OR(CF8="L1",CF8="L23",CF8="LIFT"),BC8&gt;0),SUMIFS($BC$7:$BC$1843,$CF$7:$CF$1843,CF8,$BG$7:$BG$1843,"&gt;"&amp;BG8)+SUMIFS($BC$7:$BC$1843,$CF$7:$CF$1843,CF8,$BG$7:$BG$1843,BG8,$BW$7:$BW$1843,"&lt;="&amp;BW8),"")</f>
        <v>20150.0429394052</v>
      </c>
      <c r="BI8" s="58" t="n">
        <f aca="false">IF(BH8="",0,MAX(0,MIN(1,(IF(CF8="L1",Parameter!$H$5,IF(CF8="L23",Parameter!$H$6+Parameter!$H$7,Parameter!$H$5+Parameter!$H$6+Parameter!$H$7))-(BH8-BC8))/BC8)))</f>
        <v>1</v>
      </c>
      <c r="BJ8" s="48" t="str">
        <f aca="false">IF(AI8&lt;=0,"",IF(CF8="Aussen","Aussenlager",IF(CF8="-","Nicht im Lift",IF(AO8&gt;=1,"Lift",IF(AO8&lt;=0,"Aussenlager","teilweise")))))</f>
        <v>Lift</v>
      </c>
      <c r="BK8" s="48" t="str">
        <f aca="false">IF(AS8&lt;=0,"",IF(CF8="Aussen","Aussenlager",IF(CF8="-","Nicht im Lift",IF(AY8&gt;=1,"Lift",IF(AY8&lt;=0,"Aussenlager","teilweise")))))</f>
        <v>Lift</v>
      </c>
      <c r="BL8" s="48" t="str">
        <f aca="false">IF(BC8&lt;=0,"",IF(CF8="Aussen","Aussenlager",IF(CF8="-","Nicht im Lift",IF(BI8&gt;=1,"Lift",IF(BI8&lt;=0,"Aussenlager","teilweise")))))</f>
        <v>Lift</v>
      </c>
      <c r="BM8" s="48" t="str">
        <f aca="false">IF(A8="","",IF(BV8=1,"Neu; ","")&amp;IF(AND(BV8=0,BQ8&lt;0),"negativer Bestand (Export "&amp;BQ8&amp;"); ","")&amp;IF(J8&lt;=0,"Kein Verbrauch; ","")&amp;IF(CQ8&gt;0,"Lift "&amp;W8&amp;" lt. Liftbericht (Fach "&amp;X8&amp;" Stk); ",IF(CA8=1,"Gebinde geschätzt ("&amp;T8&amp;"); ",IF(BZ8=1,"Lose – Tablare geschätzt; ","")))&amp;IF(H8&gt;AV8,"Überbestand "&amp;ROUND(H8-AV8,0)&amp;" Stk / CHF "&amp;ROUND((H8-AV8)*G8,0)&amp;"; ","")&amp;IF(AND(CH8=1,CI8&lt;CJ8),"MAX &lt; MB+LG; ","")&amp;IF(AND(CP8&gt;0,CO8*10&gt;CP8),"zu hoch für Tablar; ","")&amp;IF(AND(BV8=0,OR(CH8=1,AA8&lt;&gt;"",U8&lt;&gt;"",V8&lt;&gt;"",AB8&lt;&gt;"")),"manuell übersteuert; ","")&amp;IF(AND(BZ8=0,R8=0),"Gebinde unbekannt / Stellmass fehlt; ","")&amp;IF(AND(BZ8=0,N(V8)&lt;=0,N(Q8)&lt;=0),"Menge pro Gebinde fehlt (Ist = 1 Gebinde); ","")&amp;BU8)</f>
        <v>Überbestand 92 Stk / CHF 66133; </v>
      </c>
      <c r="BN8" s="48" t="s">
        <v>184</v>
      </c>
      <c r="BO8" s="48" t="s">
        <v>185</v>
      </c>
      <c r="BP8" s="55"/>
      <c r="BQ8" s="50" t="n">
        <v>94</v>
      </c>
      <c r="BR8" s="50" t="n">
        <v>0</v>
      </c>
      <c r="BS8" s="49" t="n">
        <v>67570.96</v>
      </c>
      <c r="BT8" s="50" t="n">
        <v>2</v>
      </c>
      <c r="BU8" s="48"/>
      <c r="BV8" s="53" t="n">
        <v>0</v>
      </c>
      <c r="BW8" s="53" t="n">
        <v>8</v>
      </c>
      <c r="BX8" s="48" t="str">
        <f aca="false">IF(U8&lt;&gt;"",UPPER(TRIM(U8)),IF(CA8=1,UPPER(VLOOKUP(T8,Parameter!$I$27:$K$29,2,0)),IF(P8="","LOSE",P8)))</f>
        <v>S71</v>
      </c>
      <c r="BY8" s="50" t="n">
        <f aca="false">IF(BX8="LOSE",1,IF(N(V8)&gt;0,V8,IF(CA8=1,MAX(1,N(VLOOKUP(T8,Parameter!$I$27:$K$29,3,0)),H8,N(N8)),IF(N(Q8)&gt;0,Q8,MAX(1,H8)))))</f>
        <v>14</v>
      </c>
      <c r="BZ8" s="53" t="n">
        <f aca="false">IF(BX8="LOSE",1,0)</f>
        <v>0</v>
      </c>
      <c r="CA8" s="53" t="n">
        <f aca="false">IF(AND(U8="",OR(P8="",P8="LOSE"),T8&lt;&gt;"",N(S8)&lt;=0,ISNUMBER(MATCH(T8,Parameter!$I$27:$I$29,0))),1,0)</f>
        <v>0</v>
      </c>
      <c r="CB8" s="53" t="n">
        <f aca="false">IF(CQ8&gt;0,INDEX(Parameter!$H$5:$H$7,W8)/INDEX(Parameter!$E$5:$E$7,W8),IF(AND(BZ8=0,N(IFERROR(VLOOKUP(BX8,'Gebinde-Kategorie'!$A$5:$N$45,14,0),0))&gt;0),VLOOKUP(BX8,'Gebinde-Kategorie'!$A$5:$N$45,14,0)*10+Parameter!$M$23,Parameter!$M$24))</f>
        <v>235</v>
      </c>
      <c r="CC8" s="48" t="str">
        <f aca="false">IF(AND(Parameter!$B$19="Ja",E8&lt;&gt;"",ISNUMBER(MATCH(E8,Parameter!$I$35:$I$52,0))),VLOOKUP(E8,Parameter!$I$35:$J$52,2,0),IFERROR(VLOOKUP(D8,Parameter!$A$35:$C$64,2,0),"Nein"))</f>
        <v>2+3</v>
      </c>
      <c r="CD8" s="52" t="n">
        <f aca="false">IF(BZ8=0,0,IF(N(S8)&gt;0,S8,IFERROR(VLOOKUP(D8,Parameter!$A$35:$C$64,3,0)+0,0)))</f>
        <v>0</v>
      </c>
      <c r="CE8" s="48" t="n">
        <f aca="false">IF(AA8&lt;&gt;"",AA8,Z8)</f>
        <v>2</v>
      </c>
      <c r="CF8" s="48" t="str">
        <f aca="false">IF(OR(CE8=1,CE8=2,CE8=3),IF(Parameter!$E$27="Ja","LIFT",IF(CE8=1,"L1","L23")),IF(CE8="Aussen","Aussen","-"))</f>
        <v>LIFT</v>
      </c>
      <c r="CG8" s="59" t="n">
        <f aca="false">IF(N(AB8)&gt;0,AB8,0)</f>
        <v>0</v>
      </c>
      <c r="CH8" s="53" t="n">
        <f aca="false">IF(ISNUMBER(AE8),1,0)</f>
        <v>0</v>
      </c>
      <c r="CI8" s="50" t="n">
        <f aca="false">N(AE8)</f>
        <v>0</v>
      </c>
      <c r="CJ8" s="50" t="n">
        <f aca="false">N(M8)+N(N8)</f>
        <v>1</v>
      </c>
      <c r="CK8" s="50" t="n">
        <f aca="false">N(M8)</f>
        <v>0</v>
      </c>
      <c r="CL8" s="50" t="n">
        <f aca="false">N(N8)</f>
        <v>1</v>
      </c>
      <c r="CM8" s="50" t="n">
        <f aca="false">ROUNDUP(H8/BY8,0)</f>
        <v>7</v>
      </c>
      <c r="CN8" s="50" t="n">
        <f aca="false">ROUNDUP(CI8/BY8,0)</f>
        <v>0</v>
      </c>
      <c r="CO8" s="53" t="n">
        <f aca="false">IF(BZ8=1,0,IFERROR(VLOOKUP(BX8,'Gebinde-Kategorie'!$A$5:$N$45,5,0)+0,0))</f>
        <v>20</v>
      </c>
      <c r="CP8" s="53" t="n">
        <f aca="false">IFERROR(IF(OR(CE8=1,CE8=2,CE8=3),N(INDEX(Parameter!$I$5:$I$7,CE8)),0),0)</f>
        <v>0</v>
      </c>
      <c r="CQ8" s="52" t="n">
        <f aca="false">IF(AND(Parameter!$B$21="Ja",ISNUMBER(W8),N(X8)&gt;0),IFERROR(N(INDEX(Parameter!$L$5:$L$7,W8))*INDEX(Parameter!$E$5:$E$7,W8)*X8/SUMIFS($X$7:$X$1843,$W$7:$W$1843,W8),0),0)</f>
        <v>0</v>
      </c>
    </row>
    <row r="9" customFormat="false" ht="15" hidden="false" customHeight="false" outlineLevel="0" collapsed="false">
      <c r="A9" s="48" t="s">
        <v>186</v>
      </c>
      <c r="B9" s="48" t="s">
        <v>187</v>
      </c>
      <c r="C9" s="48" t="s">
        <v>173</v>
      </c>
      <c r="D9" s="48" t="s">
        <v>182</v>
      </c>
      <c r="E9" s="48"/>
      <c r="F9" s="48" t="s">
        <v>176</v>
      </c>
      <c r="G9" s="49" t="n">
        <v>1980</v>
      </c>
      <c r="H9" s="50" t="n">
        <f aca="false">MAX(0,IF(AND(Parameter!$B$21="Ja",ISNUMBER(Y9)),Y9,IF(Parameter!$B$20="Jahresanfang 2025 + Export",BR9+BQ9,BQ9)))</f>
        <v>32</v>
      </c>
      <c r="I9" s="50" t="n">
        <f aca="false">H9*G9</f>
        <v>63360</v>
      </c>
      <c r="J9" s="50" t="n">
        <f aca="false">BT9*Parameter!$B$18</f>
        <v>11</v>
      </c>
      <c r="K9" s="51" t="n">
        <v>0.5</v>
      </c>
      <c r="L9" s="52" t="n">
        <v>22</v>
      </c>
      <c r="M9" s="50" t="n">
        <v>2</v>
      </c>
      <c r="N9" s="50" t="n">
        <v>5</v>
      </c>
      <c r="O9" s="53" t="n">
        <v>80</v>
      </c>
      <c r="P9" s="48" t="s">
        <v>177</v>
      </c>
      <c r="Q9" s="50"/>
      <c r="R9" s="53" t="n">
        <f aca="false">IF(BZ9=1,0,IFERROR(VLOOKUP(BX9,'Gebinde-Kategorie'!$A$5:$N$45,13,0)+0,0))</f>
        <v>12</v>
      </c>
      <c r="S9" s="54"/>
      <c r="T9" s="55" t="s">
        <v>188</v>
      </c>
      <c r="U9" s="55"/>
      <c r="V9" s="55"/>
      <c r="W9" s="48"/>
      <c r="X9" s="50"/>
      <c r="Y9" s="50"/>
      <c r="Z9" s="48" t="n">
        <f aca="false">IF(A9="","",IF(AND(Parameter!$B$21="Ja",ISNUMBER(W9)),W9,IF(CC9="2+3",IF(ISNUMBER(SEARCH("grosser Artikel",BU9)),2,IFERROR(VLOOKUP(BX9,Parameter!$F$35:$G$64,2,0),2)),IF(OR(CC9="Nein",CC9=""),"-",CC9))))</f>
        <v>2</v>
      </c>
      <c r="AA9" s="55"/>
      <c r="AB9" s="56"/>
      <c r="AC9" s="50" t="n">
        <f aca="false">AV9</f>
        <v>7</v>
      </c>
      <c r="AD9" s="50" t="n">
        <f aca="false">MAX(AV9,H9)</f>
        <v>32</v>
      </c>
      <c r="AE9" s="57"/>
      <c r="AF9" s="50" t="n">
        <f aca="false">IF(LEFT(Cockpit!$C$5,1)="A",H9,IF(Parameter!$E$30="MAX-Bestand",IF(CH9=1,CI9,IF(LEFT(Cockpit!$C$5,1)="B",AL9,MAX(AL9,H9))),ROUNDUP(AJ9,0)))</f>
        <v>32</v>
      </c>
      <c r="AG9" s="50" t="n">
        <f aca="false">IF(BZ9=1,0,ROUNDUP(AF9/BY9,0))</f>
        <v>1</v>
      </c>
      <c r="AH9" s="52" t="n">
        <f aca="false">IF(CQ9&gt;0,CQ9*MAX(1,AF9/X9),IF(BZ9=1,IF(AF9&lt;=0,0,CD9*MAX(1,IF(H9&gt;0,AF9/H9,1))),IF(R9&gt;0,AG9/R9,0))/MAX(0.1,N(Parameter!$M$21)))</f>
        <v>0.0833333333333333</v>
      </c>
      <c r="AI9" s="50" t="n">
        <f aca="false">AH9*CB9</f>
        <v>12.0833333333333</v>
      </c>
      <c r="AJ9" s="51" t="n">
        <f aca="false">IF(LEFT(Cockpit!$C$5,1)="A",H9,IF(CH9=1,(CK9+CI9)/2,IF(LEFT(Cockpit!$C$5,1)="B",(CK9+AL9)/2,MAX((CK9+AL9)/2,H9))))</f>
        <v>32</v>
      </c>
      <c r="AK9" s="50" t="n">
        <f aca="false">AJ9*G9</f>
        <v>63360</v>
      </c>
      <c r="AL9" s="50" t="n">
        <f aca="false">ROUNDUP(CK9+MAX(CL9,2*(J9/IF(CG9&gt;0,CG9,MAX(0.1,N(Cockpit!$C$6)))-CK9)),0)</f>
        <v>7</v>
      </c>
      <c r="AM9" s="51" t="n">
        <f aca="false">IF(AI9&gt;0,J9/AI9,-1)</f>
        <v>0.910344827586207</v>
      </c>
      <c r="AN9" s="51" t="n">
        <f aca="false">IF(AND(OR(CF9="L1",CF9="L23",CF9="LIFT"),AI9&gt;0),SUMIFS($AI$7:$AI$1843,$CF$7:$CF$1843,CF9,$AM$7:$AM$1843,"&gt;"&amp;AM9)+SUMIFS($AI$7:$AI$1843,$CF$7:$CF$1843,CF9,$AM$7:$AM$1843,AM9,$BW$7:$BW$1843,"&lt;="&amp;BW9),"")</f>
        <v>7406.78891941392</v>
      </c>
      <c r="AO9" s="58" t="n">
        <f aca="false">IF(AN9="",0,MAX(0,MIN(1,(IF(CF9="L1",Parameter!$H$5,IF(CF9="L23",Parameter!$H$6+Parameter!$H$7,Parameter!$H$5+Parameter!$H$6+Parameter!$H$7))-(AN9-AI9))/AI9)))</f>
        <v>1</v>
      </c>
      <c r="AP9" s="50" t="n">
        <f aca="false">IF(LEFT(Cockpit!$I$5,1)="A",H9,IF(Parameter!$E$30="MAX-Bestand",IF(CH9=1,CI9,IF(LEFT(Cockpit!$I$5,1)="B",AV9,MAX(AV9,H9))),ROUNDUP(AT9,0)))</f>
        <v>32</v>
      </c>
      <c r="AQ9" s="50" t="n">
        <f aca="false">IF(BZ9=1,0,ROUNDUP(AP9/BY9,0))</f>
        <v>1</v>
      </c>
      <c r="AR9" s="52" t="n">
        <f aca="false">IF(CQ9&gt;0,CQ9*MAX(1,AP9/X9),IF(BZ9=1,IF(AP9&lt;=0,0,CD9*MAX(1,IF(H9&gt;0,AP9/H9,1))),IF(R9&gt;0,AQ9/R9,0))/MAX(0.1,N(Parameter!$M$21)))</f>
        <v>0.0833333333333333</v>
      </c>
      <c r="AS9" s="50" t="n">
        <f aca="false">AR9*CB9</f>
        <v>12.0833333333333</v>
      </c>
      <c r="AT9" s="51" t="n">
        <f aca="false">IF(LEFT(Cockpit!$I$5,1)="A",H9,IF(CH9=1,(CK9+CI9)/2,IF(LEFT(Cockpit!$I$5,1)="B",(CK9+AV9)/2,MAX((CK9+AV9)/2,H9))))</f>
        <v>32</v>
      </c>
      <c r="AU9" s="50" t="n">
        <f aca="false">AT9*G9</f>
        <v>63360</v>
      </c>
      <c r="AV9" s="50" t="n">
        <f aca="false">ROUNDUP(CK9+MAX(CL9,2*(J9/IF(CG9&gt;0,CG9,MAX(0.1,N(Cockpit!$I$6)))-CK9)),0)</f>
        <v>7</v>
      </c>
      <c r="AW9" s="51" t="n">
        <f aca="false">IF(AS9&gt;0,J9/AS9,-1)</f>
        <v>0.910344827586207</v>
      </c>
      <c r="AX9" s="51" t="n">
        <f aca="false">IF(AND(OR(CF9="L1",CF9="L23",CF9="LIFT"),AS9&gt;0),SUMIFS($AS$7:$AS$1843,$CF$7:$CF$1843,CF9,$AW$7:$AW$1843,"&gt;"&amp;AW9)+SUMIFS($AS$7:$AS$1843,$CF$7:$CF$1843,CF9,$AW$7:$AW$1843,AW9,$BW$7:$BW$1843,"&lt;="&amp;BW9),"")</f>
        <v>8981.22893772894</v>
      </c>
      <c r="AY9" s="58" t="n">
        <f aca="false">IF(AX9="",0,MAX(0,MIN(1,(IF(CF9="L1",Parameter!$H$5,IF(CF9="L23",Parameter!$H$6+Parameter!$H$7,Parameter!$H$5+Parameter!$H$6+Parameter!$H$7))-(AX9-AS9))/AS9)))</f>
        <v>1</v>
      </c>
      <c r="AZ9" s="50" t="n">
        <f aca="false">IF(LEFT(Cockpit!$O$5,1)="A",H9,IF(Parameter!$E$30="MAX-Bestand",IF(CH9=1,CI9,IF(LEFT(Cockpit!$O$5,1)="B",BF9,MAX(BF9,H9))),ROUNDUP(BD9,0)))</f>
        <v>5</v>
      </c>
      <c r="BA9" s="50" t="n">
        <f aca="false">IF(BZ9=1,0,ROUNDUP(AZ9/BY9,0))</f>
        <v>1</v>
      </c>
      <c r="BB9" s="52" t="n">
        <f aca="false">IF(CQ9&gt;0,CQ9*MAX(1,AZ9/X9),IF(BZ9=1,IF(AZ9&lt;=0,0,CD9*MAX(1,IF(H9&gt;0,AZ9/H9,1))),IF(R9&gt;0,BA9/R9,0))/MAX(0.1,N(Parameter!$M$21)))</f>
        <v>0.0833333333333333</v>
      </c>
      <c r="BC9" s="50" t="n">
        <f aca="false">BB9*CB9</f>
        <v>12.0833333333333</v>
      </c>
      <c r="BD9" s="51" t="n">
        <f aca="false">IF(LEFT(Cockpit!$O$5,1)="A",H9,IF(CH9=1,(CK9+CI9)/2,IF(LEFT(Cockpit!$O$5,1)="B",(CK9+BF9)/2,MAX((CK9+BF9)/2,H9))))</f>
        <v>4.5</v>
      </c>
      <c r="BE9" s="50" t="n">
        <f aca="false">BD9*G9</f>
        <v>8910</v>
      </c>
      <c r="BF9" s="50" t="n">
        <f aca="false">ROUNDUP(CK9+MAX(CL9,2*(J9/IF(CG9&gt;0,CG9,MAX(0.1,N(Cockpit!$O$6)))-CK9)),0)</f>
        <v>7</v>
      </c>
      <c r="BG9" s="51" t="n">
        <f aca="false">IF(BC9&gt;0,J9/BC9,-1)</f>
        <v>0.910344827586207</v>
      </c>
      <c r="BH9" s="51" t="n">
        <f aca="false">IF(AND(OR(CF9="L1",CF9="L23",CF9="LIFT"),BC9&gt;0),SUMIFS($BC$7:$BC$1843,$CF$7:$CF$1843,CF9,$BG$7:$BG$1843,"&gt;"&amp;BG9)+SUMIFS($BC$7:$BC$1843,$CF$7:$CF$1843,CF9,$BG$7:$BG$1843,BG9,$BW$7:$BW$1843,"&lt;="&amp;BW9),"")</f>
        <v>8179.66254578755</v>
      </c>
      <c r="BI9" s="58" t="n">
        <f aca="false">IF(BH9="",0,MAX(0,MIN(1,(IF(CF9="L1",Parameter!$H$5,IF(CF9="L23",Parameter!$H$6+Parameter!$H$7,Parameter!$H$5+Parameter!$H$6+Parameter!$H$7))-(BH9-BC9))/BC9)))</f>
        <v>1</v>
      </c>
      <c r="BJ9" s="48" t="str">
        <f aca="false">IF(AI9&lt;=0,"",IF(CF9="Aussen","Aussenlager",IF(CF9="-","Nicht im Lift",IF(AO9&gt;=1,"Lift",IF(AO9&lt;=0,"Aussenlager","teilweise")))))</f>
        <v>Lift</v>
      </c>
      <c r="BK9" s="48" t="str">
        <f aca="false">IF(AS9&lt;=0,"",IF(CF9="Aussen","Aussenlager",IF(CF9="-","Nicht im Lift",IF(AY9&gt;=1,"Lift",IF(AY9&lt;=0,"Aussenlager","teilweise")))))</f>
        <v>Lift</v>
      </c>
      <c r="BL9" s="48" t="str">
        <f aca="false">IF(BC9&lt;=0,"",IF(CF9="Aussen","Aussenlager",IF(CF9="-","Nicht im Lift",IF(BI9&gt;=1,"Lift",IF(BI9&lt;=0,"Aussenlager","teilweise")))))</f>
        <v>Lift</v>
      </c>
      <c r="BM9" s="48" t="str">
        <f aca="false">IF(A9="","",IF(BV9=1,"Neu; ","")&amp;IF(AND(BV9=0,BQ9&lt;0),"negativer Bestand (Export "&amp;BQ9&amp;"); ","")&amp;IF(J9&lt;=0,"Kein Verbrauch; ","")&amp;IF(CQ9&gt;0,"Lift "&amp;W9&amp;" lt. Liftbericht (Fach "&amp;X9&amp;" Stk); ",IF(CA9=1,"Gebinde geschätzt ("&amp;T9&amp;"); ",IF(BZ9=1,"Lose – Tablare geschätzt; ","")))&amp;IF(H9&gt;AV9,"Überbestand "&amp;ROUND(H9-AV9,0)&amp;" Stk / CHF "&amp;ROUND((H9-AV9)*G9,0)&amp;"; ","")&amp;IF(AND(CH9=1,CI9&lt;CJ9),"MAX &lt; MB+LG; ","")&amp;IF(AND(CP9&gt;0,CO9*10&gt;CP9),"zu hoch für Tablar; ","")&amp;IF(AND(BV9=0,OR(CH9=1,AA9&lt;&gt;"",U9&lt;&gt;"",V9&lt;&gt;"",AB9&lt;&gt;"")),"manuell übersteuert; ","")&amp;IF(AND(BZ9=0,R9=0),"Gebinde unbekannt / Stellmass fehlt; ","")&amp;IF(AND(BZ9=0,N(V9)&lt;=0,N(Q9)&lt;=0),"Menge pro Gebinde fehlt (Ist = 1 Gebinde); ","")&amp;BU9)</f>
        <v>Gebinde geschätzt (Mittel); Überbestand 25 Stk / CHF 49500; Menge pro Gebinde fehlt (Ist = 1 Gebinde); </v>
      </c>
      <c r="BN9" s="48"/>
      <c r="BO9" s="48"/>
      <c r="BP9" s="55"/>
      <c r="BQ9" s="50" t="n">
        <v>32</v>
      </c>
      <c r="BR9" s="50" t="n">
        <v>0</v>
      </c>
      <c r="BS9" s="49" t="n">
        <v>63360</v>
      </c>
      <c r="BT9" s="50" t="n">
        <v>11</v>
      </c>
      <c r="BU9" s="48"/>
      <c r="BV9" s="53" t="n">
        <v>0</v>
      </c>
      <c r="BW9" s="53" t="n">
        <v>9</v>
      </c>
      <c r="BX9" s="48" t="str">
        <f aca="false">IF(U9&lt;&gt;"",UPPER(TRIM(U9)),IF(CA9=1,UPPER(VLOOKUP(T9,Parameter!$I$27:$K$29,2,0)),IF(P9="","LOSE",P9)))</f>
        <v>S61</v>
      </c>
      <c r="BY9" s="50" t="n">
        <f aca="false">IF(BX9="LOSE",1,IF(N(V9)&gt;0,V9,IF(CA9=1,MAX(1,N(VLOOKUP(T9,Parameter!$I$27:$K$29,3,0)),H9,N(N9)),IF(N(Q9)&gt;0,Q9,MAX(1,H9)))))</f>
        <v>32</v>
      </c>
      <c r="BZ9" s="53" t="n">
        <f aca="false">IF(BX9="LOSE",1,0)</f>
        <v>0</v>
      </c>
      <c r="CA9" s="53" t="n">
        <f aca="false">IF(AND(U9="",OR(P9="",P9="LOSE"),T9&lt;&gt;"",N(S9)&lt;=0,ISNUMBER(MATCH(T9,Parameter!$I$27:$I$29,0))),1,0)</f>
        <v>1</v>
      </c>
      <c r="CB9" s="53" t="n">
        <f aca="false">IF(CQ9&gt;0,INDEX(Parameter!$H$5:$H$7,W9)/INDEX(Parameter!$E$5:$E$7,W9),IF(AND(BZ9=0,N(IFERROR(VLOOKUP(BX9,'Gebinde-Kategorie'!$A$5:$N$45,14,0),0))&gt;0),VLOOKUP(BX9,'Gebinde-Kategorie'!$A$5:$N$45,14,0)*10+Parameter!$M$23,Parameter!$M$24))</f>
        <v>145</v>
      </c>
      <c r="CC9" s="48" t="str">
        <f aca="false">IF(AND(Parameter!$B$19="Ja",E9&lt;&gt;"",ISNUMBER(MATCH(E9,Parameter!$I$35:$I$52,0))),VLOOKUP(E9,Parameter!$I$35:$J$52,2,0),IFERROR(VLOOKUP(D9,Parameter!$A$35:$C$64,2,0),"Nein"))</f>
        <v>2+3</v>
      </c>
      <c r="CD9" s="52" t="n">
        <f aca="false">IF(BZ9=0,0,IF(N(S9)&gt;0,S9,IFERROR(VLOOKUP(D9,Parameter!$A$35:$C$64,3,0)+0,0)))</f>
        <v>0</v>
      </c>
      <c r="CE9" s="48" t="n">
        <f aca="false">IF(AA9&lt;&gt;"",AA9,Z9)</f>
        <v>2</v>
      </c>
      <c r="CF9" s="48" t="str">
        <f aca="false">IF(OR(CE9=1,CE9=2,CE9=3),IF(Parameter!$E$27="Ja","LIFT",IF(CE9=1,"L1","L23")),IF(CE9="Aussen","Aussen","-"))</f>
        <v>LIFT</v>
      </c>
      <c r="CG9" s="59" t="n">
        <f aca="false">IF(N(AB9)&gt;0,AB9,0)</f>
        <v>0</v>
      </c>
      <c r="CH9" s="53" t="n">
        <f aca="false">IF(ISNUMBER(AE9),1,0)</f>
        <v>0</v>
      </c>
      <c r="CI9" s="50" t="n">
        <f aca="false">N(AE9)</f>
        <v>0</v>
      </c>
      <c r="CJ9" s="50" t="n">
        <f aca="false">N(M9)+N(N9)</f>
        <v>7</v>
      </c>
      <c r="CK9" s="50" t="n">
        <f aca="false">N(M9)</f>
        <v>2</v>
      </c>
      <c r="CL9" s="50" t="n">
        <f aca="false">N(N9)</f>
        <v>5</v>
      </c>
      <c r="CM9" s="50" t="n">
        <f aca="false">ROUNDUP(H9/BY9,0)</f>
        <v>1</v>
      </c>
      <c r="CN9" s="50" t="n">
        <f aca="false">ROUNDUP(CI9/BY9,0)</f>
        <v>0</v>
      </c>
      <c r="CO9" s="53" t="n">
        <f aca="false">IF(BZ9=1,0,IFERROR(VLOOKUP(BX9,'Gebinde-Kategorie'!$A$5:$N$45,5,0)+0,0))</f>
        <v>11</v>
      </c>
      <c r="CP9" s="53" t="n">
        <f aca="false">IFERROR(IF(OR(CE9=1,CE9=2,CE9=3),N(INDEX(Parameter!$I$5:$I$7,CE9)),0),0)</f>
        <v>0</v>
      </c>
      <c r="CQ9" s="52" t="n">
        <f aca="false">IF(AND(Parameter!$B$21="Ja",ISNUMBER(W9),N(X9)&gt;0),IFERROR(N(INDEX(Parameter!$L$5:$L$7,W9))*INDEX(Parameter!$E$5:$E$7,W9)*X9/SUMIFS($X$7:$X$1843,$W$7:$W$1843,W9),0),0)</f>
        <v>0</v>
      </c>
    </row>
    <row r="10" customFormat="false" ht="15" hidden="false" customHeight="false" outlineLevel="0" collapsed="false">
      <c r="A10" s="48" t="s">
        <v>189</v>
      </c>
      <c r="B10" s="48" t="s">
        <v>190</v>
      </c>
      <c r="C10" s="48" t="s">
        <v>173</v>
      </c>
      <c r="D10" s="48" t="s">
        <v>182</v>
      </c>
      <c r="E10" s="48"/>
      <c r="F10" s="48" t="s">
        <v>176</v>
      </c>
      <c r="G10" s="49" t="n">
        <v>5151.64</v>
      </c>
      <c r="H10" s="50" t="n">
        <f aca="false">MAX(0,IF(AND(Parameter!$B$21="Ja",ISNUMBER(Y10)),Y10,IF(Parameter!$B$20="Jahresanfang 2025 + Export",BR10+BQ10,BQ10)))</f>
        <v>11</v>
      </c>
      <c r="I10" s="50" t="n">
        <f aca="false">H10*G10</f>
        <v>56668.04</v>
      </c>
      <c r="J10" s="50" t="n">
        <f aca="false">BT10*Parameter!$B$18</f>
        <v>20</v>
      </c>
      <c r="K10" s="51" t="n">
        <v>12</v>
      </c>
      <c r="L10" s="52" t="n">
        <v>1.66666666666667</v>
      </c>
      <c r="M10" s="50" t="n">
        <v>5</v>
      </c>
      <c r="N10" s="50" t="n">
        <v>5</v>
      </c>
      <c r="O10" s="53" t="n">
        <v>28</v>
      </c>
      <c r="P10" s="48" t="s">
        <v>177</v>
      </c>
      <c r="Q10" s="50"/>
      <c r="R10" s="53" t="n">
        <f aca="false">IF(BZ10=1,0,IFERROR(VLOOKUP(BX10,'Gebinde-Kategorie'!$A$5:$N$45,13,0)+0,0))</f>
        <v>12</v>
      </c>
      <c r="S10" s="54"/>
      <c r="T10" s="55" t="s">
        <v>188</v>
      </c>
      <c r="U10" s="55"/>
      <c r="V10" s="55"/>
      <c r="W10" s="48"/>
      <c r="X10" s="50"/>
      <c r="Y10" s="50"/>
      <c r="Z10" s="48" t="n">
        <f aca="false">IF(A10="","",IF(AND(Parameter!$B$21="Ja",ISNUMBER(W10)),W10,IF(CC10="2+3",IF(ISNUMBER(SEARCH("grosser Artikel",BU10)),2,IFERROR(VLOOKUP(BX10,Parameter!$F$35:$G$64,2,0),2)),IF(OR(CC10="Nein",CC10=""),"-",CC10))))</f>
        <v>2</v>
      </c>
      <c r="AA10" s="55"/>
      <c r="AB10" s="56"/>
      <c r="AC10" s="50" t="n">
        <f aca="false">AV10</f>
        <v>10</v>
      </c>
      <c r="AD10" s="50" t="n">
        <f aca="false">MAX(AV10,H10)</f>
        <v>11</v>
      </c>
      <c r="AE10" s="57"/>
      <c r="AF10" s="50" t="n">
        <f aca="false">IF(LEFT(Cockpit!$C$5,1)="A",H10,IF(Parameter!$E$30="MAX-Bestand",IF(CH10=1,CI10,IF(LEFT(Cockpit!$C$5,1)="B",AL10,MAX(AL10,H10))),ROUNDUP(AJ10,0)))</f>
        <v>11</v>
      </c>
      <c r="AG10" s="50" t="n">
        <f aca="false">IF(BZ10=1,0,ROUNDUP(AF10/BY10,0))</f>
        <v>1</v>
      </c>
      <c r="AH10" s="52" t="n">
        <f aca="false">IF(CQ10&gt;0,CQ10*MAX(1,AF10/X10),IF(BZ10=1,IF(AF10&lt;=0,0,CD10*MAX(1,IF(H10&gt;0,AF10/H10,1))),IF(R10&gt;0,AG10/R10,0))/MAX(0.1,N(Parameter!$M$21)))</f>
        <v>0.0833333333333333</v>
      </c>
      <c r="AI10" s="50" t="n">
        <f aca="false">AH10*CB10</f>
        <v>12.0833333333333</v>
      </c>
      <c r="AJ10" s="51" t="n">
        <f aca="false">IF(LEFT(Cockpit!$C$5,1)="A",H10,IF(CH10=1,(CK10+CI10)/2,IF(LEFT(Cockpit!$C$5,1)="B",(CK10+AL10)/2,MAX((CK10+AL10)/2,H10))))</f>
        <v>11</v>
      </c>
      <c r="AK10" s="50" t="n">
        <f aca="false">AJ10*G10</f>
        <v>56668.04</v>
      </c>
      <c r="AL10" s="50" t="n">
        <f aca="false">ROUNDUP(CK10+MAX(CL10,2*(J10/IF(CG10&gt;0,CG10,MAX(0.1,N(Cockpit!$C$6)))-CK10)),0)</f>
        <v>10</v>
      </c>
      <c r="AM10" s="51" t="n">
        <f aca="false">IF(AI10&gt;0,J10/AI10,-1)</f>
        <v>1.6551724137931</v>
      </c>
      <c r="AN10" s="51" t="n">
        <f aca="false">IF(AND(OR(CF10="L1",CF10="L23",CF10="LIFT"),AI10&gt;0),SUMIFS($AI$7:$AI$1843,$CF$7:$CF$1843,CF10,$AM$7:$AM$1843,"&gt;"&amp;AM10)+SUMIFS($AI$7:$AI$1843,$CF$7:$CF$1843,CF10,$AM$7:$AM$1843,AM10,$BW$7:$BW$1843,"&lt;="&amp;BW10),"")</f>
        <v>6116.69276556777</v>
      </c>
      <c r="AO10" s="58" t="n">
        <f aca="false">IF(AN10="",0,MAX(0,MIN(1,(IF(CF10="L1",Parameter!$H$5,IF(CF10="L23",Parameter!$H$6+Parameter!$H$7,Parameter!$H$5+Parameter!$H$6+Parameter!$H$7))-(AN10-AI10))/AI10)))</f>
        <v>1</v>
      </c>
      <c r="AP10" s="50" t="n">
        <f aca="false">IF(LEFT(Cockpit!$I$5,1)="A",H10,IF(Parameter!$E$30="MAX-Bestand",IF(CH10=1,CI10,IF(LEFT(Cockpit!$I$5,1)="B",AV10,MAX(AV10,H10))),ROUNDUP(AT10,0)))</f>
        <v>11</v>
      </c>
      <c r="AQ10" s="50" t="n">
        <f aca="false">IF(BZ10=1,0,ROUNDUP(AP10/BY10,0))</f>
        <v>1</v>
      </c>
      <c r="AR10" s="52" t="n">
        <f aca="false">IF(CQ10&gt;0,CQ10*MAX(1,AP10/X10),IF(BZ10=1,IF(AP10&lt;=0,0,CD10*MAX(1,IF(H10&gt;0,AP10/H10,1))),IF(R10&gt;0,AQ10/R10,0))/MAX(0.1,N(Parameter!$M$21)))</f>
        <v>0.0833333333333333</v>
      </c>
      <c r="AS10" s="50" t="n">
        <f aca="false">AR10*CB10</f>
        <v>12.0833333333333</v>
      </c>
      <c r="AT10" s="51" t="n">
        <f aca="false">IF(LEFT(Cockpit!$I$5,1)="A",H10,IF(CH10=1,(CK10+CI10)/2,IF(LEFT(Cockpit!$I$5,1)="B",(CK10+AV10)/2,MAX((CK10+AV10)/2,H10))))</f>
        <v>11</v>
      </c>
      <c r="AU10" s="50" t="n">
        <f aca="false">AT10*G10</f>
        <v>56668.04</v>
      </c>
      <c r="AV10" s="50" t="n">
        <f aca="false">ROUNDUP(CK10+MAX(CL10,2*(J10/IF(CG10&gt;0,CG10,MAX(0.1,N(Cockpit!$I$6)))-CK10)),0)</f>
        <v>10</v>
      </c>
      <c r="AW10" s="51" t="n">
        <f aca="false">IF(AS10&gt;0,J10/AS10,-1)</f>
        <v>1.6551724137931</v>
      </c>
      <c r="AX10" s="51" t="n">
        <f aca="false">IF(AND(OR(CF10="L1",CF10="L23",CF10="LIFT"),AS10&gt;0),SUMIFS($AS$7:$AS$1843,$CF$7:$CF$1843,CF10,$AW$7:$AW$1843,"&gt;"&amp;AW10)+SUMIFS($AS$7:$AS$1843,$CF$7:$CF$1843,CF10,$AW$7:$AW$1843,AW10,$BW$7:$BW$1843,"&lt;="&amp;BW10),"")</f>
        <v>7556.5815018315</v>
      </c>
      <c r="AY10" s="58" t="n">
        <f aca="false">IF(AX10="",0,MAX(0,MIN(1,(IF(CF10="L1",Parameter!$H$5,IF(CF10="L23",Parameter!$H$6+Parameter!$H$7,Parameter!$H$5+Parameter!$H$6+Parameter!$H$7))-(AX10-AS10))/AS10)))</f>
        <v>1</v>
      </c>
      <c r="AZ10" s="50" t="n">
        <f aca="false">IF(LEFT(Cockpit!$O$5,1)="A",H10,IF(Parameter!$E$30="MAX-Bestand",IF(CH10=1,CI10,IF(LEFT(Cockpit!$O$5,1)="B",BF10,MAX(BF10,H10))),ROUNDUP(BD10,0)))</f>
        <v>8</v>
      </c>
      <c r="BA10" s="50" t="n">
        <f aca="false">IF(BZ10=1,0,ROUNDUP(AZ10/BY10,0))</f>
        <v>1</v>
      </c>
      <c r="BB10" s="52" t="n">
        <f aca="false">IF(CQ10&gt;0,CQ10*MAX(1,AZ10/X10),IF(BZ10=1,IF(AZ10&lt;=0,0,CD10*MAX(1,IF(H10&gt;0,AZ10/H10,1))),IF(R10&gt;0,BA10/R10,0))/MAX(0.1,N(Parameter!$M$21)))</f>
        <v>0.0833333333333333</v>
      </c>
      <c r="BC10" s="50" t="n">
        <f aca="false">BB10*CB10</f>
        <v>12.0833333333333</v>
      </c>
      <c r="BD10" s="51" t="n">
        <f aca="false">IF(LEFT(Cockpit!$O$5,1)="A",H10,IF(CH10=1,(CK10+CI10)/2,IF(LEFT(Cockpit!$O$5,1)="B",(CK10+BF10)/2,MAX((CK10+BF10)/2,H10))))</f>
        <v>7.5</v>
      </c>
      <c r="BE10" s="50" t="n">
        <f aca="false">BD10*G10</f>
        <v>38637.3</v>
      </c>
      <c r="BF10" s="50" t="n">
        <f aca="false">ROUNDUP(CK10+MAX(CL10,2*(J10/IF(CG10&gt;0,CG10,MAX(0.1,N(Cockpit!$O$6)))-CK10)),0)</f>
        <v>10</v>
      </c>
      <c r="BG10" s="51" t="n">
        <f aca="false">IF(BC10&gt;0,J10/BC10,-1)</f>
        <v>1.6551724137931</v>
      </c>
      <c r="BH10" s="51" t="n">
        <f aca="false">IF(AND(OR(CF10="L1",CF10="L23",CF10="LIFT"),BC10&gt;0),SUMIFS($BC$7:$BC$1843,$CF$7:$CF$1843,CF10,$BG$7:$BG$1843,"&gt;"&amp;BG10)+SUMIFS($BC$7:$BC$1843,$CF$7:$CF$1843,CF10,$BG$7:$BG$1843,BG10,$BW$7:$BW$1843,"&lt;="&amp;BW10),"")</f>
        <v>6388.09203296703</v>
      </c>
      <c r="BI10" s="58" t="n">
        <f aca="false">IF(BH10="",0,MAX(0,MIN(1,(IF(CF10="L1",Parameter!$H$5,IF(CF10="L23",Parameter!$H$6+Parameter!$H$7,Parameter!$H$5+Parameter!$H$6+Parameter!$H$7))-(BH10-BC10))/BC10)))</f>
        <v>1</v>
      </c>
      <c r="BJ10" s="48" t="str">
        <f aca="false">IF(AI10&lt;=0,"",IF(CF10="Aussen","Aussenlager",IF(CF10="-","Nicht im Lift",IF(AO10&gt;=1,"Lift",IF(AO10&lt;=0,"Aussenlager","teilweise")))))</f>
        <v>Lift</v>
      </c>
      <c r="BK10" s="48" t="str">
        <f aca="false">IF(AS10&lt;=0,"",IF(CF10="Aussen","Aussenlager",IF(CF10="-","Nicht im Lift",IF(AY10&gt;=1,"Lift",IF(AY10&lt;=0,"Aussenlager","teilweise")))))</f>
        <v>Lift</v>
      </c>
      <c r="BL10" s="48" t="str">
        <f aca="false">IF(BC10&lt;=0,"",IF(CF10="Aussen","Aussenlager",IF(CF10="-","Nicht im Lift",IF(BI10&gt;=1,"Lift",IF(BI10&lt;=0,"Aussenlager","teilweise")))))</f>
        <v>Lift</v>
      </c>
      <c r="BM10" s="48" t="str">
        <f aca="false">IF(A10="","",IF(BV10=1,"Neu; ","")&amp;IF(AND(BV10=0,BQ10&lt;0),"negativer Bestand (Export "&amp;BQ10&amp;"); ","")&amp;IF(J10&lt;=0,"Kein Verbrauch; ","")&amp;IF(CQ10&gt;0,"Lift "&amp;W10&amp;" lt. Liftbericht (Fach "&amp;X10&amp;" Stk); ",IF(CA10=1,"Gebinde geschätzt ("&amp;T10&amp;"); ",IF(BZ10=1,"Lose – Tablare geschätzt; ","")))&amp;IF(H10&gt;AV10,"Überbestand "&amp;ROUND(H10-AV10,0)&amp;" Stk / CHF "&amp;ROUND((H10-AV10)*G10,0)&amp;"; ","")&amp;IF(AND(CH10=1,CI10&lt;CJ10),"MAX &lt; MB+LG; ","")&amp;IF(AND(CP10&gt;0,CO10*10&gt;CP10),"zu hoch für Tablar; ","")&amp;IF(AND(BV10=0,OR(CH10=1,AA10&lt;&gt;"",U10&lt;&gt;"",V10&lt;&gt;"",AB10&lt;&gt;"")),"manuell übersteuert; ","")&amp;IF(AND(BZ10=0,R10=0),"Gebinde unbekannt / Stellmass fehlt; ","")&amp;IF(AND(BZ10=0,N(V10)&lt;=0,N(Q10)&lt;=0),"Menge pro Gebinde fehlt (Ist = 1 Gebinde); ","")&amp;BU10)</f>
        <v>Gebinde geschätzt (Mittel); Überbestand 1 Stk / CHF 5152; Menge pro Gebinde fehlt (Ist = 1 Gebinde); </v>
      </c>
      <c r="BN10" s="48"/>
      <c r="BO10" s="48"/>
      <c r="BP10" s="55"/>
      <c r="BQ10" s="50" t="n">
        <v>11</v>
      </c>
      <c r="BR10" s="50" t="n">
        <v>0</v>
      </c>
      <c r="BS10" s="49" t="n">
        <v>56668.07</v>
      </c>
      <c r="BT10" s="50" t="n">
        <v>20</v>
      </c>
      <c r="BU10" s="48"/>
      <c r="BV10" s="53" t="n">
        <v>0</v>
      </c>
      <c r="BW10" s="53" t="n">
        <v>10</v>
      </c>
      <c r="BX10" s="48" t="str">
        <f aca="false">IF(U10&lt;&gt;"",UPPER(TRIM(U10)),IF(CA10=1,UPPER(VLOOKUP(T10,Parameter!$I$27:$K$29,2,0)),IF(P10="","LOSE",P10)))</f>
        <v>S61</v>
      </c>
      <c r="BY10" s="50" t="n">
        <f aca="false">IF(BX10="LOSE",1,IF(N(V10)&gt;0,V10,IF(CA10=1,MAX(1,N(VLOOKUP(T10,Parameter!$I$27:$K$29,3,0)),H10,N(N10)),IF(N(Q10)&gt;0,Q10,MAX(1,H10)))))</f>
        <v>11</v>
      </c>
      <c r="BZ10" s="53" t="n">
        <f aca="false">IF(BX10="LOSE",1,0)</f>
        <v>0</v>
      </c>
      <c r="CA10" s="53" t="n">
        <f aca="false">IF(AND(U10="",OR(P10="",P10="LOSE"),T10&lt;&gt;"",N(S10)&lt;=0,ISNUMBER(MATCH(T10,Parameter!$I$27:$I$29,0))),1,0)</f>
        <v>1</v>
      </c>
      <c r="CB10" s="53" t="n">
        <f aca="false">IF(CQ10&gt;0,INDEX(Parameter!$H$5:$H$7,W10)/INDEX(Parameter!$E$5:$E$7,W10),IF(AND(BZ10=0,N(IFERROR(VLOOKUP(BX10,'Gebinde-Kategorie'!$A$5:$N$45,14,0),0))&gt;0),VLOOKUP(BX10,'Gebinde-Kategorie'!$A$5:$N$45,14,0)*10+Parameter!$M$23,Parameter!$M$24))</f>
        <v>145</v>
      </c>
      <c r="CC10" s="48" t="str">
        <f aca="false">IF(AND(Parameter!$B$19="Ja",E10&lt;&gt;"",ISNUMBER(MATCH(E10,Parameter!$I$35:$I$52,0))),VLOOKUP(E10,Parameter!$I$35:$J$52,2,0),IFERROR(VLOOKUP(D10,Parameter!$A$35:$C$64,2,0),"Nein"))</f>
        <v>2+3</v>
      </c>
      <c r="CD10" s="52" t="n">
        <f aca="false">IF(BZ10=0,0,IF(N(S10)&gt;0,S10,IFERROR(VLOOKUP(D10,Parameter!$A$35:$C$64,3,0)+0,0)))</f>
        <v>0</v>
      </c>
      <c r="CE10" s="48" t="n">
        <f aca="false">IF(AA10&lt;&gt;"",AA10,Z10)</f>
        <v>2</v>
      </c>
      <c r="CF10" s="48" t="str">
        <f aca="false">IF(OR(CE10=1,CE10=2,CE10=3),IF(Parameter!$E$27="Ja","LIFT",IF(CE10=1,"L1","L23")),IF(CE10="Aussen","Aussen","-"))</f>
        <v>LIFT</v>
      </c>
      <c r="CG10" s="59" t="n">
        <f aca="false">IF(N(AB10)&gt;0,AB10,0)</f>
        <v>0</v>
      </c>
      <c r="CH10" s="53" t="n">
        <f aca="false">IF(ISNUMBER(AE10),1,0)</f>
        <v>0</v>
      </c>
      <c r="CI10" s="50" t="n">
        <f aca="false">N(AE10)</f>
        <v>0</v>
      </c>
      <c r="CJ10" s="50" t="n">
        <f aca="false">N(M10)+N(N10)</f>
        <v>10</v>
      </c>
      <c r="CK10" s="50" t="n">
        <f aca="false">N(M10)</f>
        <v>5</v>
      </c>
      <c r="CL10" s="50" t="n">
        <f aca="false">N(N10)</f>
        <v>5</v>
      </c>
      <c r="CM10" s="50" t="n">
        <f aca="false">ROUNDUP(H10/BY10,0)</f>
        <v>1</v>
      </c>
      <c r="CN10" s="50" t="n">
        <f aca="false">ROUNDUP(CI10/BY10,0)</f>
        <v>0</v>
      </c>
      <c r="CO10" s="53" t="n">
        <f aca="false">IF(BZ10=1,0,IFERROR(VLOOKUP(BX10,'Gebinde-Kategorie'!$A$5:$N$45,5,0)+0,0))</f>
        <v>11</v>
      </c>
      <c r="CP10" s="53" t="n">
        <f aca="false">IFERROR(IF(OR(CE10=1,CE10=2,CE10=3),N(INDEX(Parameter!$I$5:$I$7,CE10)),0),0)</f>
        <v>0</v>
      </c>
      <c r="CQ10" s="52" t="n">
        <f aca="false">IF(AND(Parameter!$B$21="Ja",ISNUMBER(W10),N(X10)&gt;0),IFERROR(N(INDEX(Parameter!$L$5:$L$7,W10))*INDEX(Parameter!$E$5:$E$7,W10)*X10/SUMIFS($X$7:$X$1843,$W$7:$W$1843,W10),0),0)</f>
        <v>0</v>
      </c>
    </row>
    <row r="11" customFormat="false" ht="15" hidden="false" customHeight="false" outlineLevel="0" collapsed="false">
      <c r="A11" s="48" t="s">
        <v>191</v>
      </c>
      <c r="B11" s="48" t="s">
        <v>192</v>
      </c>
      <c r="C11" s="48" t="s">
        <v>173</v>
      </c>
      <c r="D11" s="48" t="s">
        <v>193</v>
      </c>
      <c r="E11" s="48" t="s">
        <v>194</v>
      </c>
      <c r="F11" s="48" t="s">
        <v>176</v>
      </c>
      <c r="G11" s="49" t="n">
        <v>308.41</v>
      </c>
      <c r="H11" s="50" t="n">
        <f aca="false">MAX(0,IF(AND(Parameter!$B$21="Ja",ISNUMBER(Y11)),Y11,IF(Parameter!$B$20="Jahresanfang 2025 + Export",BR11+BQ11,BQ11)))</f>
        <v>174</v>
      </c>
      <c r="I11" s="50" t="n">
        <f aca="false">H11*G11</f>
        <v>53663.34</v>
      </c>
      <c r="J11" s="50" t="n">
        <f aca="false">BT11*Parameter!$B$18</f>
        <v>1</v>
      </c>
      <c r="K11" s="51" t="n">
        <v>6</v>
      </c>
      <c r="L11" s="52" t="n">
        <v>0.166666666666667</v>
      </c>
      <c r="M11" s="50" t="n">
        <v>0</v>
      </c>
      <c r="N11" s="50" t="n">
        <v>1</v>
      </c>
      <c r="O11" s="53" t="n">
        <v>14</v>
      </c>
      <c r="P11" s="48" t="s">
        <v>195</v>
      </c>
      <c r="Q11" s="50" t="n">
        <v>6</v>
      </c>
      <c r="R11" s="53" t="n">
        <f aca="false">IF(BZ11=1,0,IFERROR(VLOOKUP(BX11,'Gebinde-Kategorie'!$A$5:$N$45,13,0)+0,0))</f>
        <v>12</v>
      </c>
      <c r="S11" s="54"/>
      <c r="T11" s="55"/>
      <c r="U11" s="55"/>
      <c r="V11" s="55"/>
      <c r="W11" s="48"/>
      <c r="X11" s="50"/>
      <c r="Y11" s="50"/>
      <c r="Z11" s="48" t="n">
        <f aca="false">IF(A11="","",IF(AND(Parameter!$B$21="Ja",ISNUMBER(W11)),W11,IF(CC11="2+3",IF(ISNUMBER(SEARCH("grosser Artikel",BU11)),2,IFERROR(VLOOKUP(BX11,Parameter!$F$35:$G$64,2,0),2)),IF(OR(CC11="Nein",CC11=""),"-",CC11))))</f>
        <v>2</v>
      </c>
      <c r="AA11" s="55"/>
      <c r="AB11" s="56"/>
      <c r="AC11" s="50" t="n">
        <f aca="false">AV11</f>
        <v>1</v>
      </c>
      <c r="AD11" s="50" t="n">
        <f aca="false">MAX(AV11,H11)</f>
        <v>174</v>
      </c>
      <c r="AE11" s="57"/>
      <c r="AF11" s="50" t="n">
        <f aca="false">IF(LEFT(Cockpit!$C$5,1)="A",H11,IF(Parameter!$E$30="MAX-Bestand",IF(CH11=1,CI11,IF(LEFT(Cockpit!$C$5,1)="B",AL11,MAX(AL11,H11))),ROUNDUP(AJ11,0)))</f>
        <v>174</v>
      </c>
      <c r="AG11" s="50" t="n">
        <f aca="false">IF(BZ11=1,0,ROUNDUP(AF11/BY11,0))</f>
        <v>29</v>
      </c>
      <c r="AH11" s="52" t="n">
        <f aca="false">IF(CQ11&gt;0,CQ11*MAX(1,AF11/X11),IF(BZ11=1,IF(AF11&lt;=0,0,CD11*MAX(1,IF(H11&gt;0,AF11/H11,1))),IF(R11&gt;0,AG11/R11,0))/MAX(0.1,N(Parameter!$M$21)))</f>
        <v>2.41666666666667</v>
      </c>
      <c r="AI11" s="50" t="n">
        <f aca="false">AH11*CB11</f>
        <v>350.416666666667</v>
      </c>
      <c r="AJ11" s="51" t="n">
        <f aca="false">IF(LEFT(Cockpit!$C$5,1)="A",H11,IF(CH11=1,(CK11+CI11)/2,IF(LEFT(Cockpit!$C$5,1)="B",(CK11+AL11)/2,MAX((CK11+AL11)/2,H11))))</f>
        <v>174</v>
      </c>
      <c r="AK11" s="50" t="n">
        <f aca="false">AJ11*G11</f>
        <v>53663.34</v>
      </c>
      <c r="AL11" s="50" t="n">
        <f aca="false">ROUNDUP(CK11+MAX(CL11,2*(J11/IF(CG11&gt;0,CG11,MAX(0.1,N(Cockpit!$C$6)))-CK11)),0)</f>
        <v>1</v>
      </c>
      <c r="AM11" s="51" t="n">
        <f aca="false">IF(AI11&gt;0,J11/AI11,-1)</f>
        <v>0.00285374554102259</v>
      </c>
      <c r="AN11" s="51" t="n">
        <f aca="false">IF(AND(OR(CF11="L1",CF11="L23",CF11="LIFT"),AI11&gt;0),SUMIFS($AI$7:$AI$1843,$CF$7:$CF$1843,CF11,$AM$7:$AM$1843,"&gt;"&amp;AM11)+SUMIFS($AI$7:$AI$1843,$CF$7:$CF$1843,CF11,$AM$7:$AM$1843,AM11,$BW$7:$BW$1843,"&lt;="&amp;BW11),"")</f>
        <v>25427.9147653194</v>
      </c>
      <c r="AO11" s="58" t="n">
        <f aca="false">IF(AN11="",0,MAX(0,MIN(1,(IF(CF11="L1",Parameter!$H$5,IF(CF11="L23",Parameter!$H$6+Parameter!$H$7,Parameter!$H$5+Parameter!$H$6+Parameter!$H$7))-(AN11-AI11))/AI11)))</f>
        <v>1</v>
      </c>
      <c r="AP11" s="50" t="n">
        <f aca="false">IF(LEFT(Cockpit!$I$5,1)="A",H11,IF(Parameter!$E$30="MAX-Bestand",IF(CH11=1,CI11,IF(LEFT(Cockpit!$I$5,1)="B",AV11,MAX(AV11,H11))),ROUNDUP(AT11,0)))</f>
        <v>174</v>
      </c>
      <c r="AQ11" s="50" t="n">
        <f aca="false">IF(BZ11=1,0,ROUNDUP(AP11/BY11,0))</f>
        <v>29</v>
      </c>
      <c r="AR11" s="52" t="n">
        <f aca="false">IF(CQ11&gt;0,CQ11*MAX(1,AP11/X11),IF(BZ11=1,IF(AP11&lt;=0,0,CD11*MAX(1,IF(H11&gt;0,AP11/H11,1))),IF(R11&gt;0,AQ11/R11,0))/MAX(0.1,N(Parameter!$M$21)))</f>
        <v>2.41666666666667</v>
      </c>
      <c r="AS11" s="50" t="n">
        <f aca="false">AR11*CB11</f>
        <v>350.416666666667</v>
      </c>
      <c r="AT11" s="51" t="n">
        <f aca="false">IF(LEFT(Cockpit!$I$5,1)="A",H11,IF(CH11=1,(CK11+CI11)/2,IF(LEFT(Cockpit!$I$5,1)="B",(CK11+AV11)/2,MAX((CK11+AV11)/2,H11))))</f>
        <v>174</v>
      </c>
      <c r="AU11" s="50" t="n">
        <f aca="false">AT11*G11</f>
        <v>53663.34</v>
      </c>
      <c r="AV11" s="50" t="n">
        <f aca="false">ROUNDUP(CK11+MAX(CL11,2*(J11/IF(CG11&gt;0,CG11,MAX(0.1,N(Cockpit!$I$6)))-CK11)),0)</f>
        <v>1</v>
      </c>
      <c r="AW11" s="51" t="n">
        <f aca="false">IF(AS11&gt;0,J11/AS11,-1)</f>
        <v>0.00285374554102259</v>
      </c>
      <c r="AX11" s="51" t="n">
        <f aca="false">IF(AND(OR(CF11="L1",CF11="L23",CF11="LIFT"),AS11&gt;0),SUMIFS($AS$7:$AS$1843,$CF$7:$CF$1843,CF11,$AW$7:$AW$1843,"&gt;"&amp;AW11)+SUMIFS($AS$7:$AS$1843,$CF$7:$CF$1843,CF11,$AW$7:$AW$1843,AW11,$BW$7:$BW$1843,"&lt;="&amp;BW11),"")</f>
        <v>30781.0634066969</v>
      </c>
      <c r="AY11" s="58" t="n">
        <f aca="false">IF(AX11="",0,MAX(0,MIN(1,(IF(CF11="L1",Parameter!$H$5,IF(CF11="L23",Parameter!$H$6+Parameter!$H$7,Parameter!$H$5+Parameter!$H$6+Parameter!$H$7))-(AX11-AS11))/AS11)))</f>
        <v>1</v>
      </c>
      <c r="AZ11" s="50" t="n">
        <f aca="false">IF(LEFT(Cockpit!$O$5,1)="A",H11,IF(Parameter!$E$30="MAX-Bestand",IF(CH11=1,CI11,IF(LEFT(Cockpit!$O$5,1)="B",BF11,MAX(BF11,H11))),ROUNDUP(BD11,0)))</f>
        <v>1</v>
      </c>
      <c r="BA11" s="50" t="n">
        <f aca="false">IF(BZ11=1,0,ROUNDUP(AZ11/BY11,0))</f>
        <v>1</v>
      </c>
      <c r="BB11" s="52" t="n">
        <f aca="false">IF(CQ11&gt;0,CQ11*MAX(1,AZ11/X11),IF(BZ11=1,IF(AZ11&lt;=0,0,CD11*MAX(1,IF(H11&gt;0,AZ11/H11,1))),IF(R11&gt;0,BA11/R11,0))/MAX(0.1,N(Parameter!$M$21)))</f>
        <v>0.0833333333333333</v>
      </c>
      <c r="BC11" s="50" t="n">
        <f aca="false">BB11*CB11</f>
        <v>12.0833333333333</v>
      </c>
      <c r="BD11" s="51" t="n">
        <f aca="false">IF(LEFT(Cockpit!$O$5,1)="A",H11,IF(CH11=1,(CK11+CI11)/2,IF(LEFT(Cockpit!$O$5,1)="B",(CK11+BF11)/2,MAX((CK11+BF11)/2,H11))))</f>
        <v>0.5</v>
      </c>
      <c r="BE11" s="50" t="n">
        <f aca="false">BD11*G11</f>
        <v>154.205</v>
      </c>
      <c r="BF11" s="50" t="n">
        <f aca="false">ROUNDUP(CK11+MAX(CL11,2*(J11/IF(CG11&gt;0,CG11,MAX(0.1,N(Cockpit!$O$6)))-CK11)),0)</f>
        <v>1</v>
      </c>
      <c r="BG11" s="51" t="n">
        <f aca="false">IF(BC11&gt;0,J11/BC11,-1)</f>
        <v>0.0827586206896552</v>
      </c>
      <c r="BH11" s="51" t="n">
        <f aca="false">IF(AND(OR(CF11="L1",CF11="L23",CF11="LIFT"),BC11&gt;0),SUMIFS($BC$7:$BC$1843,$CF$7:$CF$1843,CF11,$BG$7:$BG$1843,"&gt;"&amp;BG11)+SUMIFS($BC$7:$BC$1843,$CF$7:$CF$1843,CF11,$BG$7:$BG$1843,BG11,$BW$7:$BW$1843,"&lt;="&amp;BW11),"")</f>
        <v>18238.5622426067</v>
      </c>
      <c r="BI11" s="58" t="n">
        <f aca="false">IF(BH11="",0,MAX(0,MIN(1,(IF(CF11="L1",Parameter!$H$5,IF(CF11="L23",Parameter!$H$6+Parameter!$H$7,Parameter!$H$5+Parameter!$H$6+Parameter!$H$7))-(BH11-BC11))/BC11)))</f>
        <v>1</v>
      </c>
      <c r="BJ11" s="48" t="str">
        <f aca="false">IF(AI11&lt;=0,"",IF(CF11="Aussen","Aussenlager",IF(CF11="-","Nicht im Lift",IF(AO11&gt;=1,"Lift",IF(AO11&lt;=0,"Aussenlager","teilweise")))))</f>
        <v>Lift</v>
      </c>
      <c r="BK11" s="48" t="str">
        <f aca="false">IF(AS11&lt;=0,"",IF(CF11="Aussen","Aussenlager",IF(CF11="-","Nicht im Lift",IF(AY11&gt;=1,"Lift",IF(AY11&lt;=0,"Aussenlager","teilweise")))))</f>
        <v>Lift</v>
      </c>
      <c r="BL11" s="48" t="str">
        <f aca="false">IF(BC11&lt;=0,"",IF(CF11="Aussen","Aussenlager",IF(CF11="-","Nicht im Lift",IF(BI11&gt;=1,"Lift",IF(BI11&lt;=0,"Aussenlager","teilweise")))))</f>
        <v>Lift</v>
      </c>
      <c r="BM11" s="48" t="str">
        <f aca="false">IF(A11="","",IF(BV11=1,"Neu; ","")&amp;IF(AND(BV11=0,BQ11&lt;0),"negativer Bestand (Export "&amp;BQ11&amp;"); ","")&amp;IF(J11&lt;=0,"Kein Verbrauch; ","")&amp;IF(CQ11&gt;0,"Lift "&amp;W11&amp;" lt. Liftbericht (Fach "&amp;X11&amp;" Stk); ",IF(CA11=1,"Gebinde geschätzt ("&amp;T11&amp;"); ",IF(BZ11=1,"Lose – Tablare geschätzt; ","")))&amp;IF(H11&gt;AV11,"Überbestand "&amp;ROUND(H11-AV11,0)&amp;" Stk / CHF "&amp;ROUND((H11-AV11)*G11,0)&amp;"; ","")&amp;IF(AND(CH11=1,CI11&lt;CJ11),"MAX &lt; MB+LG; ","")&amp;IF(AND(CP11&gt;0,CO11*10&gt;CP11),"zu hoch für Tablar; ","")&amp;IF(AND(BV11=0,OR(CH11=1,AA11&lt;&gt;"",U11&lt;&gt;"",V11&lt;&gt;"",AB11&lt;&gt;"")),"manuell übersteuert; ","")&amp;IF(AND(BZ11=0,R11=0),"Gebinde unbekannt / Stellmass fehlt; ","")&amp;IF(AND(BZ11=0,N(V11)&lt;=0,N(Q11)&lt;=0),"Menge pro Gebinde fehlt (Ist = 1 Gebinde); ","")&amp;BU11)</f>
        <v>Überbestand 173 Stk / CHF 53355; </v>
      </c>
      <c r="BN11" s="48"/>
      <c r="BO11" s="48"/>
      <c r="BP11" s="55"/>
      <c r="BQ11" s="50" t="n">
        <v>167</v>
      </c>
      <c r="BR11" s="50" t="n">
        <v>7</v>
      </c>
      <c r="BS11" s="49" t="n">
        <v>51492.01</v>
      </c>
      <c r="BT11" s="50" t="n">
        <v>1</v>
      </c>
      <c r="BU11" s="48"/>
      <c r="BV11" s="53" t="n">
        <v>0</v>
      </c>
      <c r="BW11" s="53" t="n">
        <v>11</v>
      </c>
      <c r="BX11" s="48" t="str">
        <f aca="false">IF(U11&lt;&gt;"",UPPER(TRIM(U11)),IF(CA11=1,UPPER(VLOOKUP(T11,Parameter!$I$27:$K$29,2,0)),IF(P11="","LOSE",P11)))</f>
        <v>S61</v>
      </c>
      <c r="BY11" s="50" t="n">
        <f aca="false">IF(BX11="LOSE",1,IF(N(V11)&gt;0,V11,IF(CA11=1,MAX(1,N(VLOOKUP(T11,Parameter!$I$27:$K$29,3,0)),H11,N(N11)),IF(N(Q11)&gt;0,Q11,MAX(1,H11)))))</f>
        <v>6</v>
      </c>
      <c r="BZ11" s="53" t="n">
        <f aca="false">IF(BX11="LOSE",1,0)</f>
        <v>0</v>
      </c>
      <c r="CA11" s="53" t="n">
        <f aca="false">IF(AND(U11="",OR(P11="",P11="LOSE"),T11&lt;&gt;"",N(S11)&lt;=0,ISNUMBER(MATCH(T11,Parameter!$I$27:$I$29,0))),1,0)</f>
        <v>0</v>
      </c>
      <c r="CB11" s="53" t="n">
        <f aca="false">IF(CQ11&gt;0,INDEX(Parameter!$H$5:$H$7,W11)/INDEX(Parameter!$E$5:$E$7,W11),IF(AND(BZ11=0,N(IFERROR(VLOOKUP(BX11,'Gebinde-Kategorie'!$A$5:$N$45,14,0),0))&gt;0),VLOOKUP(BX11,'Gebinde-Kategorie'!$A$5:$N$45,14,0)*10+Parameter!$M$23,Parameter!$M$24))</f>
        <v>145</v>
      </c>
      <c r="CC11" s="48" t="str">
        <f aca="false">IF(AND(Parameter!$B$19="Ja",E11&lt;&gt;"",ISNUMBER(MATCH(E11,Parameter!$I$35:$I$52,0))),VLOOKUP(E11,Parameter!$I$35:$J$52,2,0),IFERROR(VLOOKUP(D11,Parameter!$A$35:$C$64,2,0),"Nein"))</f>
        <v>2+3</v>
      </c>
      <c r="CD11" s="52" t="n">
        <f aca="false">IF(BZ11=0,0,IF(N(S11)&gt;0,S11,IFERROR(VLOOKUP(D11,Parameter!$A$35:$C$64,3,0)+0,0)))</f>
        <v>0</v>
      </c>
      <c r="CE11" s="48" t="n">
        <f aca="false">IF(AA11&lt;&gt;"",AA11,Z11)</f>
        <v>2</v>
      </c>
      <c r="CF11" s="48" t="str">
        <f aca="false">IF(OR(CE11=1,CE11=2,CE11=3),IF(Parameter!$E$27="Ja","LIFT",IF(CE11=1,"L1","L23")),IF(CE11="Aussen","Aussen","-"))</f>
        <v>LIFT</v>
      </c>
      <c r="CG11" s="59" t="n">
        <f aca="false">IF(N(AB11)&gt;0,AB11,0)</f>
        <v>0</v>
      </c>
      <c r="CH11" s="53" t="n">
        <f aca="false">IF(ISNUMBER(AE11),1,0)</f>
        <v>0</v>
      </c>
      <c r="CI11" s="50" t="n">
        <f aca="false">N(AE11)</f>
        <v>0</v>
      </c>
      <c r="CJ11" s="50" t="n">
        <f aca="false">N(M11)+N(N11)</f>
        <v>1</v>
      </c>
      <c r="CK11" s="50" t="n">
        <f aca="false">N(M11)</f>
        <v>0</v>
      </c>
      <c r="CL11" s="50" t="n">
        <f aca="false">N(N11)</f>
        <v>1</v>
      </c>
      <c r="CM11" s="50" t="n">
        <f aca="false">ROUNDUP(H11/BY11,0)</f>
        <v>29</v>
      </c>
      <c r="CN11" s="50" t="n">
        <f aca="false">ROUNDUP(CI11/BY11,0)</f>
        <v>0</v>
      </c>
      <c r="CO11" s="53" t="n">
        <f aca="false">IF(BZ11=1,0,IFERROR(VLOOKUP(BX11,'Gebinde-Kategorie'!$A$5:$N$45,5,0)+0,0))</f>
        <v>11</v>
      </c>
      <c r="CP11" s="53" t="n">
        <f aca="false">IFERROR(IF(OR(CE11=1,CE11=2,CE11=3),N(INDEX(Parameter!$I$5:$I$7,CE11)),0),0)</f>
        <v>0</v>
      </c>
      <c r="CQ11" s="52" t="n">
        <f aca="false">IF(AND(Parameter!$B$21="Ja",ISNUMBER(W11),N(X11)&gt;0),IFERROR(N(INDEX(Parameter!$L$5:$L$7,W11))*INDEX(Parameter!$E$5:$E$7,W11)*X11/SUMIFS($X$7:$X$1843,$W$7:$W$1843,W11),0),0)</f>
        <v>0</v>
      </c>
    </row>
    <row r="12" customFormat="false" ht="15" hidden="false" customHeight="false" outlineLevel="0" collapsed="false">
      <c r="A12" s="48" t="s">
        <v>196</v>
      </c>
      <c r="B12" s="48" t="s">
        <v>197</v>
      </c>
      <c r="C12" s="48" t="s">
        <v>173</v>
      </c>
      <c r="D12" s="48" t="s">
        <v>182</v>
      </c>
      <c r="E12" s="48"/>
      <c r="F12" s="48" t="s">
        <v>176</v>
      </c>
      <c r="G12" s="49" t="n">
        <v>2228.65</v>
      </c>
      <c r="H12" s="50" t="n">
        <f aca="false">MAX(0,IF(AND(Parameter!$B$21="Ja",ISNUMBER(Y12)),Y12,IF(Parameter!$B$20="Jahresanfang 2025 + Export",BR12+BQ12,BQ12)))</f>
        <v>23</v>
      </c>
      <c r="I12" s="50" t="n">
        <f aca="false">H12*G12</f>
        <v>51258.95</v>
      </c>
      <c r="J12" s="50" t="n">
        <f aca="false">BT12*Parameter!$B$18</f>
        <v>0</v>
      </c>
      <c r="K12" s="51" t="n">
        <v>0</v>
      </c>
      <c r="L12" s="52" t="n">
        <v>0</v>
      </c>
      <c r="M12" s="50" t="n">
        <v>0</v>
      </c>
      <c r="N12" s="50" t="n">
        <v>1</v>
      </c>
      <c r="O12" s="53" t="n">
        <v>9999</v>
      </c>
      <c r="P12" s="48" t="s">
        <v>177</v>
      </c>
      <c r="Q12" s="50"/>
      <c r="R12" s="53" t="n">
        <f aca="false">IF(BZ12=1,0,IFERROR(VLOOKUP(BX12,'Gebinde-Kategorie'!$A$5:$N$45,13,0)+0,0))</f>
        <v>4</v>
      </c>
      <c r="S12" s="54"/>
      <c r="T12" s="55" t="s">
        <v>198</v>
      </c>
      <c r="U12" s="55"/>
      <c r="V12" s="55"/>
      <c r="W12" s="48"/>
      <c r="X12" s="50"/>
      <c r="Y12" s="50"/>
      <c r="Z12" s="48" t="n">
        <f aca="false">IF(A12="","",IF(AND(Parameter!$B$21="Ja",ISNUMBER(W12)),W12,IF(CC12="2+3",IF(ISNUMBER(SEARCH("grosser Artikel",BU12)),2,IFERROR(VLOOKUP(BX12,Parameter!$F$35:$G$64,2,0),2)),IF(OR(CC12="Nein",CC12=""),"-",CC12))))</f>
        <v>2</v>
      </c>
      <c r="AA12" s="55"/>
      <c r="AB12" s="56"/>
      <c r="AC12" s="50" t="n">
        <f aca="false">AV12</f>
        <v>1</v>
      </c>
      <c r="AD12" s="50" t="n">
        <f aca="false">MAX(AV12,H12)</f>
        <v>23</v>
      </c>
      <c r="AE12" s="57"/>
      <c r="AF12" s="50" t="n">
        <f aca="false">IF(LEFT(Cockpit!$C$5,1)="A",H12,IF(Parameter!$E$30="MAX-Bestand",IF(CH12=1,CI12,IF(LEFT(Cockpit!$C$5,1)="B",AL12,MAX(AL12,H12))),ROUNDUP(AJ12,0)))</f>
        <v>23</v>
      </c>
      <c r="AG12" s="50" t="n">
        <f aca="false">IF(BZ12=1,0,ROUNDUP(AF12/BY12,0))</f>
        <v>1</v>
      </c>
      <c r="AH12" s="52" t="n">
        <f aca="false">IF(CQ12&gt;0,CQ12*MAX(1,AF12/X12),IF(BZ12=1,IF(AF12&lt;=0,0,CD12*MAX(1,IF(H12&gt;0,AF12/H12,1))),IF(R12&gt;0,AG12/R12,0))/MAX(0.1,N(Parameter!$M$21)))</f>
        <v>0.25</v>
      </c>
      <c r="AI12" s="50" t="n">
        <f aca="false">AH12*CB12</f>
        <v>58.75</v>
      </c>
      <c r="AJ12" s="51" t="n">
        <f aca="false">IF(LEFT(Cockpit!$C$5,1)="A",H12,IF(CH12=1,(CK12+CI12)/2,IF(LEFT(Cockpit!$C$5,1)="B",(CK12+AL12)/2,MAX((CK12+AL12)/2,H12))))</f>
        <v>23</v>
      </c>
      <c r="AK12" s="50" t="n">
        <f aca="false">AJ12*G12</f>
        <v>51258.95</v>
      </c>
      <c r="AL12" s="50" t="n">
        <f aca="false">ROUNDUP(CK12+MAX(CL12,2*(J12/IF(CG12&gt;0,CG12,MAX(0.1,N(Cockpit!$C$6)))-CK12)),0)</f>
        <v>1</v>
      </c>
      <c r="AM12" s="51" t="n">
        <f aca="false">IF(AI12&gt;0,J12/AI12,-1)</f>
        <v>0</v>
      </c>
      <c r="AN12" s="51" t="n">
        <f aca="false">IF(AND(OR(CF12="L1",CF12="L23",CF12="LIFT"),AI12&gt;0),SUMIFS($AI$7:$AI$1843,$CF$7:$CF$1843,CF12,$AM$7:$AM$1843,"&gt;"&amp;AM12)+SUMIFS($AI$7:$AI$1843,$CF$7:$CF$1843,CF12,$AM$7:$AM$1843,AM12,$BW$7:$BW$1843,"&lt;="&amp;BW12),"")</f>
        <v>25487.7719081766</v>
      </c>
      <c r="AO12" s="58" t="n">
        <f aca="false">IF(AN12="",0,MAX(0,MIN(1,(IF(CF12="L1",Parameter!$H$5,IF(CF12="L23",Parameter!$H$6+Parameter!$H$7,Parameter!$H$5+Parameter!$H$6+Parameter!$H$7))-(AN12-AI12))/AI12)))</f>
        <v>1</v>
      </c>
      <c r="AP12" s="50" t="n">
        <f aca="false">IF(LEFT(Cockpit!$I$5,1)="A",H12,IF(Parameter!$E$30="MAX-Bestand",IF(CH12=1,CI12,IF(LEFT(Cockpit!$I$5,1)="B",AV12,MAX(AV12,H12))),ROUNDUP(AT12,0)))</f>
        <v>23</v>
      </c>
      <c r="AQ12" s="50" t="n">
        <f aca="false">IF(BZ12=1,0,ROUNDUP(AP12/BY12,0))</f>
        <v>1</v>
      </c>
      <c r="AR12" s="52" t="n">
        <f aca="false">IF(CQ12&gt;0,CQ12*MAX(1,AP12/X12),IF(BZ12=1,IF(AP12&lt;=0,0,CD12*MAX(1,IF(H12&gt;0,AP12/H12,1))),IF(R12&gt;0,AQ12/R12,0))/MAX(0.1,N(Parameter!$M$21)))</f>
        <v>0.25</v>
      </c>
      <c r="AS12" s="50" t="n">
        <f aca="false">AR12*CB12</f>
        <v>58.75</v>
      </c>
      <c r="AT12" s="51" t="n">
        <f aca="false">IF(LEFT(Cockpit!$I$5,1)="A",H12,IF(CH12=1,(CK12+CI12)/2,IF(LEFT(Cockpit!$I$5,1)="B",(CK12+AV12)/2,MAX((CK12+AV12)/2,H12))))</f>
        <v>23</v>
      </c>
      <c r="AU12" s="50" t="n">
        <f aca="false">AT12*G12</f>
        <v>51258.95</v>
      </c>
      <c r="AV12" s="50" t="n">
        <f aca="false">ROUNDUP(CK12+MAX(CL12,2*(J12/IF(CG12&gt;0,CG12,MAX(0.1,N(Cockpit!$I$6)))-CK12)),0)</f>
        <v>1</v>
      </c>
      <c r="AW12" s="51" t="n">
        <f aca="false">IF(AS12&gt;0,J12/AS12,-1)</f>
        <v>0</v>
      </c>
      <c r="AX12" s="51" t="n">
        <f aca="false">IF(AND(OR(CF12="L1",CF12="L23",CF12="LIFT"),AS12&gt;0),SUMIFS($AS$7:$AS$1843,$CF$7:$CF$1843,CF12,$AW$7:$AW$1843,"&gt;"&amp;AW12)+SUMIFS($AS$7:$AS$1843,$CF$7:$CF$1843,CF12,$AW$7:$AW$1843,AW12,$BW$7:$BW$1843,"&lt;="&amp;BW12),"")</f>
        <v>30840.920549554</v>
      </c>
      <c r="AY12" s="58" t="n">
        <f aca="false">IF(AX12="",0,MAX(0,MIN(1,(IF(CF12="L1",Parameter!$H$5,IF(CF12="L23",Parameter!$H$6+Parameter!$H$7,Parameter!$H$5+Parameter!$H$6+Parameter!$H$7))-(AX12-AS12))/AS12)))</f>
        <v>1</v>
      </c>
      <c r="AZ12" s="50" t="n">
        <f aca="false">IF(LEFT(Cockpit!$O$5,1)="A",H12,IF(Parameter!$E$30="MAX-Bestand",IF(CH12=1,CI12,IF(LEFT(Cockpit!$O$5,1)="B",BF12,MAX(BF12,H12))),ROUNDUP(BD12,0)))</f>
        <v>1</v>
      </c>
      <c r="BA12" s="50" t="n">
        <f aca="false">IF(BZ12=1,0,ROUNDUP(AZ12/BY12,0))</f>
        <v>1</v>
      </c>
      <c r="BB12" s="52" t="n">
        <f aca="false">IF(CQ12&gt;0,CQ12*MAX(1,AZ12/X12),IF(BZ12=1,IF(AZ12&lt;=0,0,CD12*MAX(1,IF(H12&gt;0,AZ12/H12,1))),IF(R12&gt;0,BA12/R12,0))/MAX(0.1,N(Parameter!$M$21)))</f>
        <v>0.25</v>
      </c>
      <c r="BC12" s="50" t="n">
        <f aca="false">BB12*CB12</f>
        <v>58.75</v>
      </c>
      <c r="BD12" s="51" t="n">
        <f aca="false">IF(LEFT(Cockpit!$O$5,1)="A",H12,IF(CH12=1,(CK12+CI12)/2,IF(LEFT(Cockpit!$O$5,1)="B",(CK12+BF12)/2,MAX((CK12+BF12)/2,H12))))</f>
        <v>0.5</v>
      </c>
      <c r="BE12" s="50" t="n">
        <f aca="false">BD12*G12</f>
        <v>1114.325</v>
      </c>
      <c r="BF12" s="50" t="n">
        <f aca="false">ROUNDUP(CK12+MAX(CL12,2*(J12/IF(CG12&gt;0,CG12,MAX(0.1,N(Cockpit!$O$6)))-CK12)),0)</f>
        <v>1</v>
      </c>
      <c r="BG12" s="51" t="n">
        <f aca="false">IF(BC12&gt;0,J12/BC12,-1)</f>
        <v>0</v>
      </c>
      <c r="BH12" s="51" t="n">
        <f aca="false">IF(AND(OR(CF12="L1",CF12="L23",CF12="LIFT"),BC12&gt;0),SUMIFS($BC$7:$BC$1843,$CF$7:$CF$1843,CF12,$BG$7:$BG$1843,"&gt;"&amp;BG12)+SUMIFS($BC$7:$BC$1843,$CF$7:$CF$1843,CF12,$BG$7:$BG$1843,BG12,$BW$7:$BW$1843,"&lt;="&amp;BW12),"")</f>
        <v>25096.252392852</v>
      </c>
      <c r="BI12" s="58" t="n">
        <f aca="false">IF(BH12="",0,MAX(0,MIN(1,(IF(CF12="L1",Parameter!$H$5,IF(CF12="L23",Parameter!$H$6+Parameter!$H$7,Parameter!$H$5+Parameter!$H$6+Parameter!$H$7))-(BH12-BC12))/BC12)))</f>
        <v>1</v>
      </c>
      <c r="BJ12" s="48" t="str">
        <f aca="false">IF(AI12&lt;=0,"",IF(CF12="Aussen","Aussenlager",IF(CF12="-","Nicht im Lift",IF(AO12&gt;=1,"Lift",IF(AO12&lt;=0,"Aussenlager","teilweise")))))</f>
        <v>Lift</v>
      </c>
      <c r="BK12" s="48" t="str">
        <f aca="false">IF(AS12&lt;=0,"",IF(CF12="Aussen","Aussenlager",IF(CF12="-","Nicht im Lift",IF(AY12&gt;=1,"Lift",IF(AY12&lt;=0,"Aussenlager","teilweise")))))</f>
        <v>Lift</v>
      </c>
      <c r="BL12" s="48" t="str">
        <f aca="false">IF(BC12&lt;=0,"",IF(CF12="Aussen","Aussenlager",IF(CF12="-","Nicht im Lift",IF(BI12&gt;=1,"Lift",IF(BI12&lt;=0,"Aussenlager","teilweise")))))</f>
        <v>Lift</v>
      </c>
      <c r="BM12" s="48" t="str">
        <f aca="false">IF(A12="","",IF(BV12=1,"Neu; ","")&amp;IF(AND(BV12=0,BQ12&lt;0),"negativer Bestand (Export "&amp;BQ12&amp;"); ","")&amp;IF(J12&lt;=0,"Kein Verbrauch; ","")&amp;IF(CQ12&gt;0,"Lift "&amp;W12&amp;" lt. Liftbericht (Fach "&amp;X12&amp;" Stk); ",IF(CA12=1,"Gebinde geschätzt ("&amp;T12&amp;"); ",IF(BZ12=1,"Lose – Tablare geschätzt; ","")))&amp;IF(H12&gt;AV12,"Überbestand "&amp;ROUND(H12-AV12,0)&amp;" Stk / CHF "&amp;ROUND((H12-AV12)*G12,0)&amp;"; ","")&amp;IF(AND(CH12=1,CI12&lt;CJ12),"MAX &lt; MB+LG; ","")&amp;IF(AND(CP12&gt;0,CO12*10&gt;CP12),"zu hoch für Tablar; ","")&amp;IF(AND(BV12=0,OR(CH12=1,AA12&lt;&gt;"",U12&lt;&gt;"",V12&lt;&gt;"",AB12&lt;&gt;"")),"manuell übersteuert; ","")&amp;IF(AND(BZ12=0,R12=0),"Gebinde unbekannt / Stellmass fehlt; ","")&amp;IF(AND(BZ12=0,N(V12)&lt;=0,N(Q12)&lt;=0),"Menge pro Gebinde fehlt (Ist = 1 Gebinde); ","")&amp;BU12)</f>
        <v>Kein Verbrauch; Gebinde geschätzt (Gross); Überbestand 22 Stk / CHF 49030; Menge pro Gebinde fehlt (Ist = 1 Gebinde); </v>
      </c>
      <c r="BN12" s="48"/>
      <c r="BO12" s="48"/>
      <c r="BP12" s="55"/>
      <c r="BQ12" s="50" t="n">
        <v>23</v>
      </c>
      <c r="BR12" s="50" t="n">
        <v>0</v>
      </c>
      <c r="BS12" s="49" t="n">
        <v>51258.95</v>
      </c>
      <c r="BT12" s="50" t="n">
        <v>0</v>
      </c>
      <c r="BU12" s="48"/>
      <c r="BV12" s="53" t="n">
        <v>0</v>
      </c>
      <c r="BW12" s="53" t="n">
        <v>12</v>
      </c>
      <c r="BX12" s="48" t="str">
        <f aca="false">IF(U12&lt;&gt;"",UPPER(TRIM(U12)),IF(CA12=1,UPPER(VLOOKUP(T12,Parameter!$I$27:$K$29,2,0)),IF(P12="","LOSE",P12)))</f>
        <v>S81</v>
      </c>
      <c r="BY12" s="50" t="n">
        <f aca="false">IF(BX12="LOSE",1,IF(N(V12)&gt;0,V12,IF(CA12=1,MAX(1,N(VLOOKUP(T12,Parameter!$I$27:$K$29,3,0)),H12,N(N12)),IF(N(Q12)&gt;0,Q12,MAX(1,H12)))))</f>
        <v>23</v>
      </c>
      <c r="BZ12" s="53" t="n">
        <f aca="false">IF(BX12="LOSE",1,0)</f>
        <v>0</v>
      </c>
      <c r="CA12" s="53" t="n">
        <f aca="false">IF(AND(U12="",OR(P12="",P12="LOSE"),T12&lt;&gt;"",N(S12)&lt;=0,ISNUMBER(MATCH(T12,Parameter!$I$27:$I$29,0))),1,0)</f>
        <v>1</v>
      </c>
      <c r="CB12" s="53" t="n">
        <f aca="false">IF(CQ12&gt;0,INDEX(Parameter!$H$5:$H$7,W12)/INDEX(Parameter!$E$5:$E$7,W12),IF(AND(BZ12=0,N(IFERROR(VLOOKUP(BX12,'Gebinde-Kategorie'!$A$5:$N$45,14,0),0))&gt;0),VLOOKUP(BX12,'Gebinde-Kategorie'!$A$5:$N$45,14,0)*10+Parameter!$M$23,Parameter!$M$24))</f>
        <v>235</v>
      </c>
      <c r="CC12" s="48" t="str">
        <f aca="false">IF(AND(Parameter!$B$19="Ja",E12&lt;&gt;"",ISNUMBER(MATCH(E12,Parameter!$I$35:$I$52,0))),VLOOKUP(E12,Parameter!$I$35:$J$52,2,0),IFERROR(VLOOKUP(D12,Parameter!$A$35:$C$64,2,0),"Nein"))</f>
        <v>2+3</v>
      </c>
      <c r="CD12" s="52" t="n">
        <f aca="false">IF(BZ12=0,0,IF(N(S12)&gt;0,S12,IFERROR(VLOOKUP(D12,Parameter!$A$35:$C$64,3,0)+0,0)))</f>
        <v>0</v>
      </c>
      <c r="CE12" s="48" t="n">
        <f aca="false">IF(AA12&lt;&gt;"",AA12,Z12)</f>
        <v>2</v>
      </c>
      <c r="CF12" s="48" t="str">
        <f aca="false">IF(OR(CE12=1,CE12=2,CE12=3),IF(Parameter!$E$27="Ja","LIFT",IF(CE12=1,"L1","L23")),IF(CE12="Aussen","Aussen","-"))</f>
        <v>LIFT</v>
      </c>
      <c r="CG12" s="59" t="n">
        <f aca="false">IF(N(AB12)&gt;0,AB12,0)</f>
        <v>0</v>
      </c>
      <c r="CH12" s="53" t="n">
        <f aca="false">IF(ISNUMBER(AE12),1,0)</f>
        <v>0</v>
      </c>
      <c r="CI12" s="50" t="n">
        <f aca="false">N(AE12)</f>
        <v>0</v>
      </c>
      <c r="CJ12" s="50" t="n">
        <f aca="false">N(M12)+N(N12)</f>
        <v>1</v>
      </c>
      <c r="CK12" s="50" t="n">
        <f aca="false">N(M12)</f>
        <v>0</v>
      </c>
      <c r="CL12" s="50" t="n">
        <f aca="false">N(N12)</f>
        <v>1</v>
      </c>
      <c r="CM12" s="50" t="n">
        <f aca="false">ROUNDUP(H12/BY12,0)</f>
        <v>1</v>
      </c>
      <c r="CN12" s="50" t="n">
        <f aca="false">ROUNDUP(CI12/BY12,0)</f>
        <v>0</v>
      </c>
      <c r="CO12" s="53" t="n">
        <f aca="false">IF(BZ12=1,0,IFERROR(VLOOKUP(BX12,'Gebinde-Kategorie'!$A$5:$N$45,5,0)+0,0))</f>
        <v>20</v>
      </c>
      <c r="CP12" s="53" t="n">
        <f aca="false">IFERROR(IF(OR(CE12=1,CE12=2,CE12=3),N(INDEX(Parameter!$I$5:$I$7,CE12)),0),0)</f>
        <v>0</v>
      </c>
      <c r="CQ12" s="52" t="n">
        <f aca="false">IF(AND(Parameter!$B$21="Ja",ISNUMBER(W12),N(X12)&gt;0),IFERROR(N(INDEX(Parameter!$L$5:$L$7,W12))*INDEX(Parameter!$E$5:$E$7,W12)*X12/SUMIFS($X$7:$X$1843,$W$7:$W$1843,W12),0),0)</f>
        <v>0</v>
      </c>
    </row>
    <row r="13" customFormat="false" ht="15" hidden="false" customHeight="false" outlineLevel="0" collapsed="false">
      <c r="A13" s="48" t="s">
        <v>199</v>
      </c>
      <c r="B13" s="48" t="s">
        <v>172</v>
      </c>
      <c r="C13" s="48" t="s">
        <v>173</v>
      </c>
      <c r="D13" s="48" t="s">
        <v>174</v>
      </c>
      <c r="E13" s="48" t="s">
        <v>175</v>
      </c>
      <c r="F13" s="48" t="s">
        <v>176</v>
      </c>
      <c r="G13" s="49" t="n">
        <v>4008.68</v>
      </c>
      <c r="H13" s="50" t="n">
        <f aca="false">MAX(0,IF(AND(Parameter!$B$21="Ja",ISNUMBER(Y13)),Y13,IF(Parameter!$B$20="Jahresanfang 2025 + Export",BR13+BQ13,BQ13)))</f>
        <v>5</v>
      </c>
      <c r="I13" s="50" t="n">
        <f aca="false">H13*G13</f>
        <v>20043.4</v>
      </c>
      <c r="J13" s="50" t="n">
        <f aca="false">BT13*Parameter!$B$18</f>
        <v>31</v>
      </c>
      <c r="K13" s="51" t="n">
        <v>2.5</v>
      </c>
      <c r="L13" s="52" t="n">
        <v>12.4</v>
      </c>
      <c r="M13" s="50" t="n">
        <v>2</v>
      </c>
      <c r="N13" s="50" t="n">
        <v>10</v>
      </c>
      <c r="O13" s="53" t="n">
        <v>21</v>
      </c>
      <c r="P13" s="48" t="s">
        <v>177</v>
      </c>
      <c r="Q13" s="50"/>
      <c r="R13" s="53" t="n">
        <f aca="false">IF(BZ13=1,0,IFERROR(VLOOKUP(BX13,'Gebinde-Kategorie'!$A$5:$N$45,13,0)+0,0))</f>
        <v>0</v>
      </c>
      <c r="S13" s="54"/>
      <c r="T13" s="55"/>
      <c r="U13" s="55"/>
      <c r="V13" s="55"/>
      <c r="W13" s="48" t="n">
        <v>1</v>
      </c>
      <c r="X13" s="50" t="n">
        <v>20</v>
      </c>
      <c r="Y13" s="50" t="n">
        <v>5</v>
      </c>
      <c r="Z13" s="48" t="n">
        <f aca="false">IF(A13="","",IF(AND(Parameter!$B$21="Ja",ISNUMBER(W13)),W13,IF(CC13="2+3",IF(ISNUMBER(SEARCH("grosser Artikel",BU13)),2,IFERROR(VLOOKUP(BX13,Parameter!$F$35:$G$64,2,0),2)),IF(OR(CC13="Nein",CC13=""),"-",CC13))))</f>
        <v>1</v>
      </c>
      <c r="AA13" s="55"/>
      <c r="AB13" s="56"/>
      <c r="AC13" s="50" t="n">
        <f aca="false">AV13</f>
        <v>19</v>
      </c>
      <c r="AD13" s="50" t="n">
        <f aca="false">MAX(AV13,H13)</f>
        <v>19</v>
      </c>
      <c r="AE13" s="57"/>
      <c r="AF13" s="50" t="n">
        <f aca="false">IF(LEFT(Cockpit!$C$5,1)="A",H13,IF(Parameter!$E$30="MAX-Bestand",IF(CH13=1,CI13,IF(LEFT(Cockpit!$C$5,1)="B",AL13,MAX(AL13,H13))),ROUNDUP(AJ13,0)))</f>
        <v>5</v>
      </c>
      <c r="AG13" s="50" t="n">
        <f aca="false">IF(BZ13=1,0,ROUNDUP(AF13/BY13,0))</f>
        <v>0</v>
      </c>
      <c r="AH13" s="52" t="n">
        <f aca="false">IF(CQ13&gt;0,CQ13*MAX(1,AF13/X13),IF(BZ13=1,IF(AF13&lt;=0,0,CD13*MAX(1,IF(H13&gt;0,AF13/H13,1))),IF(R13&gt;0,AG13/R13,0))/MAX(0.1,N(Parameter!$M$21)))</f>
        <v>1.60075329566855</v>
      </c>
      <c r="AI13" s="50" t="n">
        <f aca="false">AH13*CB13</f>
        <v>380.979284369115</v>
      </c>
      <c r="AJ13" s="51" t="n">
        <f aca="false">IF(LEFT(Cockpit!$C$5,1)="A",H13,IF(CH13=1,(CK13+CI13)/2,IF(LEFT(Cockpit!$C$5,1)="B",(CK13+AL13)/2,MAX((CK13+AL13)/2,H13))))</f>
        <v>5</v>
      </c>
      <c r="AK13" s="50" t="n">
        <f aca="false">AJ13*G13</f>
        <v>20043.4</v>
      </c>
      <c r="AL13" s="50" t="n">
        <f aca="false">ROUNDUP(CK13+MAX(CL13,2*(J13/IF(CG13&gt;0,CG13,MAX(0.1,N(Cockpit!$C$6)))-CK13)),0)</f>
        <v>19</v>
      </c>
      <c r="AM13" s="51" t="n">
        <f aca="false">IF(AI13&gt;0,J13/AI13,-1)</f>
        <v>0.0813692535837865</v>
      </c>
      <c r="AN13" s="51" t="n">
        <f aca="false">IF(AND(OR(CF13="L1",CF13="L23",CF13="LIFT"),AI13&gt;0),SUMIFS($AI$7:$AI$1843,$CF$7:$CF$1843,CF13,$AM$7:$AM$1843,"&gt;"&amp;AM13)+SUMIFS($AI$7:$AI$1843,$CF$7:$CF$1843,CF13,$AM$7:$AM$1843,AM13,$BW$7:$BW$1843,"&lt;="&amp;BW13),"")</f>
        <v>17142.9200166594</v>
      </c>
      <c r="AO13" s="58" t="n">
        <f aca="false">IF(AN13="",0,MAX(0,MIN(1,(IF(CF13="L1",Parameter!$H$5,IF(CF13="L23",Parameter!$H$6+Parameter!$H$7,Parameter!$H$5+Parameter!$H$6+Parameter!$H$7))-(AN13-AI13))/AI13)))</f>
        <v>1</v>
      </c>
      <c r="AP13" s="50" t="n">
        <f aca="false">IF(LEFT(Cockpit!$I$5,1)="A",H13,IF(Parameter!$E$30="MAX-Bestand",IF(CH13=1,CI13,IF(LEFT(Cockpit!$I$5,1)="B",AV13,MAX(AV13,H13))),ROUNDUP(AT13,0)))</f>
        <v>11</v>
      </c>
      <c r="AQ13" s="50" t="n">
        <f aca="false">IF(BZ13=1,0,ROUNDUP(AP13/BY13,0))</f>
        <v>0</v>
      </c>
      <c r="AR13" s="52" t="n">
        <f aca="false">IF(CQ13&gt;0,CQ13*MAX(1,AP13/X13),IF(BZ13=1,IF(AP13&lt;=0,0,CD13*MAX(1,IF(H13&gt;0,AP13/H13,1))),IF(R13&gt;0,AQ13/R13,0))/MAX(0.1,N(Parameter!$M$21)))</f>
        <v>1.60075329566855</v>
      </c>
      <c r="AS13" s="50" t="n">
        <f aca="false">AR13*CB13</f>
        <v>380.979284369115</v>
      </c>
      <c r="AT13" s="51" t="n">
        <f aca="false">IF(LEFT(Cockpit!$I$5,1)="A",H13,IF(CH13=1,(CK13+CI13)/2,IF(LEFT(Cockpit!$I$5,1)="B",(CK13+AV13)/2,MAX((CK13+AV13)/2,H13))))</f>
        <v>10.5</v>
      </c>
      <c r="AU13" s="50" t="n">
        <f aca="false">AT13*G13</f>
        <v>42091.14</v>
      </c>
      <c r="AV13" s="50" t="n">
        <f aca="false">ROUNDUP(CK13+MAX(CL13,2*(J13/IF(CG13&gt;0,CG13,MAX(0.1,N(Cockpit!$I$6)))-CK13)),0)</f>
        <v>19</v>
      </c>
      <c r="AW13" s="51" t="n">
        <f aca="false">IF(AS13&gt;0,J13/AS13,-1)</f>
        <v>0.0813692535837865</v>
      </c>
      <c r="AX13" s="51" t="n">
        <f aca="false">IF(AND(OR(CF13="L1",CF13="L23",CF13="LIFT"),AS13&gt;0),SUMIFS($AS$7:$AS$1843,$CF$7:$CF$1843,CF13,$AW$7:$AW$1843,"&gt;"&amp;AW13)+SUMIFS($AS$7:$AS$1843,$CF$7:$CF$1843,CF13,$AW$7:$AW$1843,AW13,$BW$7:$BW$1843,"&lt;="&amp;BW13),"")</f>
        <v>22202.3186580369</v>
      </c>
      <c r="AY13" s="58" t="n">
        <f aca="false">IF(AX13="",0,MAX(0,MIN(1,(IF(CF13="L1",Parameter!$H$5,IF(CF13="L23",Parameter!$H$6+Parameter!$H$7,Parameter!$H$5+Parameter!$H$6+Parameter!$H$7))-(AX13-AS13))/AS13)))</f>
        <v>1</v>
      </c>
      <c r="AZ13" s="50" t="n">
        <f aca="false">IF(LEFT(Cockpit!$O$5,1)="A",H13,IF(Parameter!$E$30="MAX-Bestand",IF(CH13=1,CI13,IF(LEFT(Cockpit!$O$5,1)="B",BF13,MAX(BF13,H13))),ROUNDUP(BD13,0)))</f>
        <v>8</v>
      </c>
      <c r="BA13" s="50" t="n">
        <f aca="false">IF(BZ13=1,0,ROUNDUP(AZ13/BY13,0))</f>
        <v>0</v>
      </c>
      <c r="BB13" s="52" t="n">
        <f aca="false">IF(CQ13&gt;0,CQ13*MAX(1,AZ13/X13),IF(BZ13=1,IF(AZ13&lt;=0,0,CD13*MAX(1,IF(H13&gt;0,AZ13/H13,1))),IF(R13&gt;0,BA13/R13,0))/MAX(0.1,N(Parameter!$M$21)))</f>
        <v>1.60075329566855</v>
      </c>
      <c r="BC13" s="50" t="n">
        <f aca="false">BB13*CB13</f>
        <v>380.979284369115</v>
      </c>
      <c r="BD13" s="51" t="n">
        <f aca="false">IF(LEFT(Cockpit!$O$5,1)="A",H13,IF(CH13=1,(CK13+CI13)/2,IF(LEFT(Cockpit!$O$5,1)="B",(CK13+BF13)/2,MAX((CK13+BF13)/2,H13))))</f>
        <v>8</v>
      </c>
      <c r="BE13" s="50" t="n">
        <f aca="false">BD13*G13</f>
        <v>32069.44</v>
      </c>
      <c r="BF13" s="50" t="n">
        <f aca="false">ROUNDUP(CK13+MAX(CL13,2*(J13/IF(CG13&gt;0,CG13,MAX(0.1,N(Cockpit!$O$6)))-CK13)),0)</f>
        <v>14</v>
      </c>
      <c r="BG13" s="51" t="n">
        <f aca="false">IF(BC13&gt;0,J13/BC13,-1)</f>
        <v>0.0813692535837865</v>
      </c>
      <c r="BH13" s="51" t="n">
        <f aca="false">IF(AND(OR(CF13="L1",CF13="L23",CF13="LIFT"),BC13&gt;0),SUMIFS($BC$7:$BC$1843,$CF$7:$CF$1843,CF13,$BG$7:$BG$1843,"&gt;"&amp;BG13)+SUMIFS($BC$7:$BC$1843,$CF$7:$CF$1843,CF13,$BG$7:$BG$1843,BG13,$BW$7:$BW$1843,"&lt;="&amp;BW13),"")</f>
        <v>18812.8748603092</v>
      </c>
      <c r="BI13" s="58" t="n">
        <f aca="false">IF(BH13="",0,MAX(0,MIN(1,(IF(CF13="L1",Parameter!$H$5,IF(CF13="L23",Parameter!$H$6+Parameter!$H$7,Parameter!$H$5+Parameter!$H$6+Parameter!$H$7))-(BH13-BC13))/BC13)))</f>
        <v>1</v>
      </c>
      <c r="BJ13" s="48" t="str">
        <f aca="false">IF(AI13&lt;=0,"",IF(CF13="Aussen","Aussenlager",IF(CF13="-","Nicht im Lift",IF(AO13&gt;=1,"Lift",IF(AO13&lt;=0,"Aussenlager","teilweise")))))</f>
        <v>Lift</v>
      </c>
      <c r="BK13" s="48" t="str">
        <f aca="false">IF(AS13&lt;=0,"",IF(CF13="Aussen","Aussenlager",IF(CF13="-","Nicht im Lift",IF(AY13&gt;=1,"Lift",IF(AY13&lt;=0,"Aussenlager","teilweise")))))</f>
        <v>Lift</v>
      </c>
      <c r="BL13" s="48" t="str">
        <f aca="false">IF(BC13&lt;=0,"",IF(CF13="Aussen","Aussenlager",IF(CF13="-","Nicht im Lift",IF(BI13&gt;=1,"Lift",IF(BI13&lt;=0,"Aussenlager","teilweise")))))</f>
        <v>Lift</v>
      </c>
      <c r="BM13" s="48" t="str">
        <f aca="false">IF(A13="","",IF(BV13=1,"Neu; ","")&amp;IF(AND(BV13=0,BQ13&lt;0),"negativer Bestand (Export "&amp;BQ13&amp;"); ","")&amp;IF(J13&lt;=0,"Kein Verbrauch; ","")&amp;IF(CQ13&gt;0,"Lift "&amp;W13&amp;" lt. Liftbericht (Fach "&amp;X13&amp;" Stk); ",IF(CA13=1,"Gebinde geschätzt ("&amp;T13&amp;"); ",IF(BZ13=1,"Lose – Tablare geschätzt; ","")))&amp;IF(H13&gt;AV13,"Überbestand "&amp;ROUND(H13-AV13,0)&amp;" Stk / CHF "&amp;ROUND((H13-AV13)*G13,0)&amp;"; ","")&amp;IF(AND(CH13=1,CI13&lt;CJ13),"MAX &lt; MB+LG; ","")&amp;IF(AND(CP13&gt;0,CO13*10&gt;CP13),"zu hoch für Tablar; ","")&amp;IF(AND(BV13=0,OR(CH13=1,AA13&lt;&gt;"",U13&lt;&gt;"",V13&lt;&gt;"",AB13&lt;&gt;"")),"manuell übersteuert; ","")&amp;IF(AND(BZ13=0,R13=0),"Gebinde unbekannt / Stellmass fehlt; ","")&amp;IF(AND(BZ13=0,N(V13)&lt;=0,N(Q13)&lt;=0),"Menge pro Gebinde fehlt (Ist = 1 Gebinde); ","")&amp;BU13)</f>
        <v>Lift 1 lt. Liftbericht (Fach 20 Stk); </v>
      </c>
      <c r="BN13" s="48"/>
      <c r="BO13" s="48"/>
      <c r="BP13" s="55"/>
      <c r="BQ13" s="50" t="n">
        <v>12</v>
      </c>
      <c r="BR13" s="50" t="n">
        <v>3</v>
      </c>
      <c r="BS13" s="49" t="n">
        <v>49636.92</v>
      </c>
      <c r="BT13" s="50" t="n">
        <v>31</v>
      </c>
      <c r="BU13" s="48"/>
      <c r="BV13" s="53" t="n">
        <v>0</v>
      </c>
      <c r="BW13" s="53" t="n">
        <v>13</v>
      </c>
      <c r="BX13" s="48" t="str">
        <f aca="false">IF(U13&lt;&gt;"",UPPER(TRIM(U13)),IF(CA13=1,UPPER(VLOOKUP(T13,Parameter!$I$27:$K$29,2,0)),IF(P13="","LOSE",P13)))</f>
        <v>LOSE</v>
      </c>
      <c r="BY13" s="50" t="n">
        <f aca="false">IF(BX13="LOSE",1,IF(N(V13)&gt;0,V13,IF(CA13=1,MAX(1,N(VLOOKUP(T13,Parameter!$I$27:$K$29,3,0)),H13,N(N13)),IF(N(Q13)&gt;0,Q13,MAX(1,H13)))))</f>
        <v>1</v>
      </c>
      <c r="BZ13" s="53" t="n">
        <f aca="false">IF(BX13="LOSE",1,0)</f>
        <v>1</v>
      </c>
      <c r="CA13" s="53" t="n">
        <f aca="false">IF(AND(U13="",OR(P13="",P13="LOSE"),T13&lt;&gt;"",N(S13)&lt;=0,ISNUMBER(MATCH(T13,Parameter!$I$27:$I$29,0))),1,0)</f>
        <v>0</v>
      </c>
      <c r="CB13" s="53" t="n">
        <f aca="false">IF(CQ13&gt;0,INDEX(Parameter!$H$5:$H$7,W13)/INDEX(Parameter!$E$5:$E$7,W13),IF(AND(BZ13=0,N(IFERROR(VLOOKUP(BX13,'Gebinde-Kategorie'!$A$5:$N$45,14,0),0))&gt;0),VLOOKUP(BX13,'Gebinde-Kategorie'!$A$5:$N$45,14,0)*10+Parameter!$M$23,Parameter!$M$24))</f>
        <v>238</v>
      </c>
      <c r="CC13" s="48" t="n">
        <f aca="false">IF(AND(Parameter!$B$19="Ja",E13&lt;&gt;"",ISNUMBER(MATCH(E13,Parameter!$I$35:$I$52,0))),VLOOKUP(E13,Parameter!$I$35:$J$52,2,0),IFERROR(VLOOKUP(D13,Parameter!$A$35:$C$64,2,0),"Nein"))</f>
        <v>1</v>
      </c>
      <c r="CD13" s="52" t="n">
        <f aca="false">IF(BZ13=0,0,IF(N(S13)&gt;0,S13,IFERROR(VLOOKUP(D13,Parameter!$A$35:$C$64,3,0)+0,0)))</f>
        <v>1</v>
      </c>
      <c r="CE13" s="48" t="n">
        <f aca="false">IF(AA13&lt;&gt;"",AA13,Z13)</f>
        <v>1</v>
      </c>
      <c r="CF13" s="48" t="str">
        <f aca="false">IF(OR(CE13=1,CE13=2,CE13=3),IF(Parameter!$E$27="Ja","LIFT",IF(CE13=1,"L1","L23")),IF(CE13="Aussen","Aussen","-"))</f>
        <v>LIFT</v>
      </c>
      <c r="CG13" s="59" t="n">
        <f aca="false">IF(N(AB13)&gt;0,AB13,0)</f>
        <v>0</v>
      </c>
      <c r="CH13" s="53" t="n">
        <f aca="false">IF(ISNUMBER(AE13),1,0)</f>
        <v>0</v>
      </c>
      <c r="CI13" s="50" t="n">
        <f aca="false">N(AE13)</f>
        <v>0</v>
      </c>
      <c r="CJ13" s="50" t="n">
        <f aca="false">N(M13)+N(N13)</f>
        <v>12</v>
      </c>
      <c r="CK13" s="50" t="n">
        <f aca="false">N(M13)</f>
        <v>2</v>
      </c>
      <c r="CL13" s="50" t="n">
        <f aca="false">N(N13)</f>
        <v>10</v>
      </c>
      <c r="CM13" s="50" t="n">
        <f aca="false">ROUNDUP(H13/BY13,0)</f>
        <v>5</v>
      </c>
      <c r="CN13" s="50" t="n">
        <f aca="false">ROUNDUP(CI13/BY13,0)</f>
        <v>0</v>
      </c>
      <c r="CO13" s="53" t="n">
        <f aca="false">IF(BZ13=1,0,IFERROR(VLOOKUP(BX13,'Gebinde-Kategorie'!$A$5:$N$45,5,0)+0,0))</f>
        <v>0</v>
      </c>
      <c r="CP13" s="53" t="n">
        <f aca="false">IFERROR(IF(OR(CE13=1,CE13=2,CE13=3),N(INDEX(Parameter!$I$5:$I$7,CE13)),0),0)</f>
        <v>0</v>
      </c>
      <c r="CQ13" s="52" t="n">
        <f aca="false">IF(AND(Parameter!$B$21="Ja",ISNUMBER(W13),N(X13)&gt;0),IFERROR(N(INDEX(Parameter!$L$5:$L$7,W13))*INDEX(Parameter!$E$5:$E$7,W13)*X13/SUMIFS($X$7:$X$1843,$W$7:$W$1843,W13),0),0)</f>
        <v>1.60075329566855</v>
      </c>
    </row>
    <row r="14" customFormat="false" ht="15" hidden="false" customHeight="false" outlineLevel="0" collapsed="false">
      <c r="A14" s="48" t="s">
        <v>200</v>
      </c>
      <c r="B14" s="48" t="s">
        <v>201</v>
      </c>
      <c r="C14" s="48" t="s">
        <v>173</v>
      </c>
      <c r="D14" s="48" t="s">
        <v>182</v>
      </c>
      <c r="E14" s="48"/>
      <c r="F14" s="48" t="s">
        <v>176</v>
      </c>
      <c r="G14" s="49" t="n">
        <v>1751.08</v>
      </c>
      <c r="H14" s="50" t="n">
        <f aca="false">MAX(0,IF(AND(Parameter!$B$21="Ja",ISNUMBER(Y14)),Y14,IF(Parameter!$B$20="Jahresanfang 2025 + Export",BR14+BQ14,BQ14)))</f>
        <v>23</v>
      </c>
      <c r="I14" s="50" t="n">
        <f aca="false">H14*G14</f>
        <v>40274.84</v>
      </c>
      <c r="J14" s="50" t="n">
        <f aca="false">BT14*Parameter!$B$18</f>
        <v>0</v>
      </c>
      <c r="K14" s="51" t="n">
        <v>0</v>
      </c>
      <c r="L14" s="52" t="n">
        <v>0</v>
      </c>
      <c r="M14" s="50" t="n">
        <v>0</v>
      </c>
      <c r="N14" s="50" t="n">
        <v>1</v>
      </c>
      <c r="O14" s="53" t="n">
        <v>9999</v>
      </c>
      <c r="P14" s="48" t="s">
        <v>177</v>
      </c>
      <c r="Q14" s="50"/>
      <c r="R14" s="53" t="n">
        <f aca="false">IF(BZ14=1,0,IFERROR(VLOOKUP(BX14,'Gebinde-Kategorie'!$A$5:$N$45,13,0)+0,0))</f>
        <v>4</v>
      </c>
      <c r="S14" s="54"/>
      <c r="T14" s="55" t="s">
        <v>198</v>
      </c>
      <c r="U14" s="55"/>
      <c r="V14" s="55"/>
      <c r="W14" s="48"/>
      <c r="X14" s="50"/>
      <c r="Y14" s="50"/>
      <c r="Z14" s="48" t="n">
        <f aca="false">IF(A14="","",IF(AND(Parameter!$B$21="Ja",ISNUMBER(W14)),W14,IF(CC14="2+3",IF(ISNUMBER(SEARCH("grosser Artikel",BU14)),2,IFERROR(VLOOKUP(BX14,Parameter!$F$35:$G$64,2,0),2)),IF(OR(CC14="Nein",CC14=""),"-",CC14))))</f>
        <v>2</v>
      </c>
      <c r="AA14" s="55"/>
      <c r="AB14" s="56"/>
      <c r="AC14" s="50" t="n">
        <f aca="false">AV14</f>
        <v>1</v>
      </c>
      <c r="AD14" s="50" t="n">
        <f aca="false">MAX(AV14,H14)</f>
        <v>23</v>
      </c>
      <c r="AE14" s="57"/>
      <c r="AF14" s="50" t="n">
        <f aca="false">IF(LEFT(Cockpit!$C$5,1)="A",H14,IF(Parameter!$E$30="MAX-Bestand",IF(CH14=1,CI14,IF(LEFT(Cockpit!$C$5,1)="B",AL14,MAX(AL14,H14))),ROUNDUP(AJ14,0)))</f>
        <v>23</v>
      </c>
      <c r="AG14" s="50" t="n">
        <f aca="false">IF(BZ14=1,0,ROUNDUP(AF14/BY14,0))</f>
        <v>1</v>
      </c>
      <c r="AH14" s="52" t="n">
        <f aca="false">IF(CQ14&gt;0,CQ14*MAX(1,AF14/X14),IF(BZ14=1,IF(AF14&lt;=0,0,CD14*MAX(1,IF(H14&gt;0,AF14/H14,1))),IF(R14&gt;0,AG14/R14,0))/MAX(0.1,N(Parameter!$M$21)))</f>
        <v>0.25</v>
      </c>
      <c r="AI14" s="50" t="n">
        <f aca="false">AH14*CB14</f>
        <v>58.75</v>
      </c>
      <c r="AJ14" s="51" t="n">
        <f aca="false">IF(LEFT(Cockpit!$C$5,1)="A",H14,IF(CH14=1,(CK14+CI14)/2,IF(LEFT(Cockpit!$C$5,1)="B",(CK14+AL14)/2,MAX((CK14+AL14)/2,H14))))</f>
        <v>23</v>
      </c>
      <c r="AK14" s="50" t="n">
        <f aca="false">AJ14*G14</f>
        <v>40274.84</v>
      </c>
      <c r="AL14" s="50" t="n">
        <f aca="false">ROUNDUP(CK14+MAX(CL14,2*(J14/IF(CG14&gt;0,CG14,MAX(0.1,N(Cockpit!$C$6)))-CK14)),0)</f>
        <v>1</v>
      </c>
      <c r="AM14" s="51" t="n">
        <f aca="false">IF(AI14&gt;0,J14/AI14,-1)</f>
        <v>0</v>
      </c>
      <c r="AN14" s="51" t="n">
        <f aca="false">IF(AND(OR(CF14="L1",CF14="L23",CF14="LIFT"),AI14&gt;0),SUMIFS($AI$7:$AI$1843,$CF$7:$CF$1843,CF14,$AM$7:$AM$1843,"&gt;"&amp;AM14)+SUMIFS($AI$7:$AI$1843,$CF$7:$CF$1843,CF14,$AM$7:$AM$1843,AM14,$BW$7:$BW$1843,"&lt;="&amp;BW14),"")</f>
        <v>25546.5219081766</v>
      </c>
      <c r="AO14" s="58" t="n">
        <f aca="false">IF(AN14="",0,MAX(0,MIN(1,(IF(CF14="L1",Parameter!$H$5,IF(CF14="L23",Parameter!$H$6+Parameter!$H$7,Parameter!$H$5+Parameter!$H$6+Parameter!$H$7))-(AN14-AI14))/AI14)))</f>
        <v>1</v>
      </c>
      <c r="AP14" s="50" t="n">
        <f aca="false">IF(LEFT(Cockpit!$I$5,1)="A",H14,IF(Parameter!$E$30="MAX-Bestand",IF(CH14=1,CI14,IF(LEFT(Cockpit!$I$5,1)="B",AV14,MAX(AV14,H14))),ROUNDUP(AT14,0)))</f>
        <v>23</v>
      </c>
      <c r="AQ14" s="50" t="n">
        <f aca="false">IF(BZ14=1,0,ROUNDUP(AP14/BY14,0))</f>
        <v>1</v>
      </c>
      <c r="AR14" s="52" t="n">
        <f aca="false">IF(CQ14&gt;0,CQ14*MAX(1,AP14/X14),IF(BZ14=1,IF(AP14&lt;=0,0,CD14*MAX(1,IF(H14&gt;0,AP14/H14,1))),IF(R14&gt;0,AQ14/R14,0))/MAX(0.1,N(Parameter!$M$21)))</f>
        <v>0.25</v>
      </c>
      <c r="AS14" s="50" t="n">
        <f aca="false">AR14*CB14</f>
        <v>58.75</v>
      </c>
      <c r="AT14" s="51" t="n">
        <f aca="false">IF(LEFT(Cockpit!$I$5,1)="A",H14,IF(CH14=1,(CK14+CI14)/2,IF(LEFT(Cockpit!$I$5,1)="B",(CK14+AV14)/2,MAX((CK14+AV14)/2,H14))))</f>
        <v>23</v>
      </c>
      <c r="AU14" s="50" t="n">
        <f aca="false">AT14*G14</f>
        <v>40274.84</v>
      </c>
      <c r="AV14" s="50" t="n">
        <f aca="false">ROUNDUP(CK14+MAX(CL14,2*(J14/IF(CG14&gt;0,CG14,MAX(0.1,N(Cockpit!$I$6)))-CK14)),0)</f>
        <v>1</v>
      </c>
      <c r="AW14" s="51" t="n">
        <f aca="false">IF(AS14&gt;0,J14/AS14,-1)</f>
        <v>0</v>
      </c>
      <c r="AX14" s="51" t="n">
        <f aca="false">IF(AND(OR(CF14="L1",CF14="L23",CF14="LIFT"),AS14&gt;0),SUMIFS($AS$7:$AS$1843,$CF$7:$CF$1843,CF14,$AW$7:$AW$1843,"&gt;"&amp;AW14)+SUMIFS($AS$7:$AS$1843,$CF$7:$CF$1843,CF14,$AW$7:$AW$1843,AW14,$BW$7:$BW$1843,"&lt;="&amp;BW14),"")</f>
        <v>30899.670549554</v>
      </c>
      <c r="AY14" s="58" t="n">
        <f aca="false">IF(AX14="",0,MAX(0,MIN(1,(IF(CF14="L1",Parameter!$H$5,IF(CF14="L23",Parameter!$H$6+Parameter!$H$7,Parameter!$H$5+Parameter!$H$6+Parameter!$H$7))-(AX14-AS14))/AS14)))</f>
        <v>1</v>
      </c>
      <c r="AZ14" s="50" t="n">
        <f aca="false">IF(LEFT(Cockpit!$O$5,1)="A",H14,IF(Parameter!$E$30="MAX-Bestand",IF(CH14=1,CI14,IF(LEFT(Cockpit!$O$5,1)="B",BF14,MAX(BF14,H14))),ROUNDUP(BD14,0)))</f>
        <v>1</v>
      </c>
      <c r="BA14" s="50" t="n">
        <f aca="false">IF(BZ14=1,0,ROUNDUP(AZ14/BY14,0))</f>
        <v>1</v>
      </c>
      <c r="BB14" s="52" t="n">
        <f aca="false">IF(CQ14&gt;0,CQ14*MAX(1,AZ14/X14),IF(BZ14=1,IF(AZ14&lt;=0,0,CD14*MAX(1,IF(H14&gt;0,AZ14/H14,1))),IF(R14&gt;0,BA14/R14,0))/MAX(0.1,N(Parameter!$M$21)))</f>
        <v>0.25</v>
      </c>
      <c r="BC14" s="50" t="n">
        <f aca="false">BB14*CB14</f>
        <v>58.75</v>
      </c>
      <c r="BD14" s="51" t="n">
        <f aca="false">IF(LEFT(Cockpit!$O$5,1)="A",H14,IF(CH14=1,(CK14+CI14)/2,IF(LEFT(Cockpit!$O$5,1)="B",(CK14+BF14)/2,MAX((CK14+BF14)/2,H14))))</f>
        <v>0.5</v>
      </c>
      <c r="BE14" s="50" t="n">
        <f aca="false">BD14*G14</f>
        <v>875.54</v>
      </c>
      <c r="BF14" s="50" t="n">
        <f aca="false">ROUNDUP(CK14+MAX(CL14,2*(J14/IF(CG14&gt;0,CG14,MAX(0.1,N(Cockpit!$O$6)))-CK14)),0)</f>
        <v>1</v>
      </c>
      <c r="BG14" s="51" t="n">
        <f aca="false">IF(BC14&gt;0,J14/BC14,-1)</f>
        <v>0</v>
      </c>
      <c r="BH14" s="51" t="n">
        <f aca="false">IF(AND(OR(CF14="L1",CF14="L23",CF14="LIFT"),BC14&gt;0),SUMIFS($BC$7:$BC$1843,$CF$7:$CF$1843,CF14,$BG$7:$BG$1843,"&gt;"&amp;BG14)+SUMIFS($BC$7:$BC$1843,$CF$7:$CF$1843,CF14,$BG$7:$BG$1843,BG14,$BW$7:$BW$1843,"&lt;="&amp;BW14),"")</f>
        <v>25155.002392852</v>
      </c>
      <c r="BI14" s="58" t="n">
        <f aca="false">IF(BH14="",0,MAX(0,MIN(1,(IF(CF14="L1",Parameter!$H$5,IF(CF14="L23",Parameter!$H$6+Parameter!$H$7,Parameter!$H$5+Parameter!$H$6+Parameter!$H$7))-(BH14-BC14))/BC14)))</f>
        <v>1</v>
      </c>
      <c r="BJ14" s="48" t="str">
        <f aca="false">IF(AI14&lt;=0,"",IF(CF14="Aussen","Aussenlager",IF(CF14="-","Nicht im Lift",IF(AO14&gt;=1,"Lift",IF(AO14&lt;=0,"Aussenlager","teilweise")))))</f>
        <v>Lift</v>
      </c>
      <c r="BK14" s="48" t="str">
        <f aca="false">IF(AS14&lt;=0,"",IF(CF14="Aussen","Aussenlager",IF(CF14="-","Nicht im Lift",IF(AY14&gt;=1,"Lift",IF(AY14&lt;=0,"Aussenlager","teilweise")))))</f>
        <v>Lift</v>
      </c>
      <c r="BL14" s="48" t="str">
        <f aca="false">IF(BC14&lt;=0,"",IF(CF14="Aussen","Aussenlager",IF(CF14="-","Nicht im Lift",IF(BI14&gt;=1,"Lift",IF(BI14&lt;=0,"Aussenlager","teilweise")))))</f>
        <v>Lift</v>
      </c>
      <c r="BM14" s="48" t="str">
        <f aca="false">IF(A14="","",IF(BV14=1,"Neu; ","")&amp;IF(AND(BV14=0,BQ14&lt;0),"negativer Bestand (Export "&amp;BQ14&amp;"); ","")&amp;IF(J14&lt;=0,"Kein Verbrauch; ","")&amp;IF(CQ14&gt;0,"Lift "&amp;W14&amp;" lt. Liftbericht (Fach "&amp;X14&amp;" Stk); ",IF(CA14=1,"Gebinde geschätzt ("&amp;T14&amp;"); ",IF(BZ14=1,"Lose – Tablare geschätzt; ","")))&amp;IF(H14&gt;AV14,"Überbestand "&amp;ROUND(H14-AV14,0)&amp;" Stk / CHF "&amp;ROUND((H14-AV14)*G14,0)&amp;"; ","")&amp;IF(AND(CH14=1,CI14&lt;CJ14),"MAX &lt; MB+LG; ","")&amp;IF(AND(CP14&gt;0,CO14*10&gt;CP14),"zu hoch für Tablar; ","")&amp;IF(AND(BV14=0,OR(CH14=1,AA14&lt;&gt;"",U14&lt;&gt;"",V14&lt;&gt;"",AB14&lt;&gt;"")),"manuell übersteuert; ","")&amp;IF(AND(BZ14=0,R14=0),"Gebinde unbekannt / Stellmass fehlt; ","")&amp;IF(AND(BZ14=0,N(V14)&lt;=0,N(Q14)&lt;=0),"Menge pro Gebinde fehlt (Ist = 1 Gebinde); ","")&amp;BU14)</f>
        <v>Kein Verbrauch; Gebinde geschätzt (Gross); Überbestand 22 Stk / CHF 38524; Menge pro Gebinde fehlt (Ist = 1 Gebinde); </v>
      </c>
      <c r="BN14" s="48" t="s">
        <v>202</v>
      </c>
      <c r="BO14" s="48" t="s">
        <v>203</v>
      </c>
      <c r="BP14" s="55"/>
      <c r="BQ14" s="50" t="n">
        <v>23</v>
      </c>
      <c r="BR14" s="50" t="n">
        <v>0</v>
      </c>
      <c r="BS14" s="49" t="n">
        <v>40274.84</v>
      </c>
      <c r="BT14" s="50" t="n">
        <v>0</v>
      </c>
      <c r="BU14" s="48"/>
      <c r="BV14" s="53" t="n">
        <v>0</v>
      </c>
      <c r="BW14" s="53" t="n">
        <v>14</v>
      </c>
      <c r="BX14" s="48" t="str">
        <f aca="false">IF(U14&lt;&gt;"",UPPER(TRIM(U14)),IF(CA14=1,UPPER(VLOOKUP(T14,Parameter!$I$27:$K$29,2,0)),IF(P14="","LOSE",P14)))</f>
        <v>S81</v>
      </c>
      <c r="BY14" s="50" t="n">
        <f aca="false">IF(BX14="LOSE",1,IF(N(V14)&gt;0,V14,IF(CA14=1,MAX(1,N(VLOOKUP(T14,Parameter!$I$27:$K$29,3,0)),H14,N(N14)),IF(N(Q14)&gt;0,Q14,MAX(1,H14)))))</f>
        <v>23</v>
      </c>
      <c r="BZ14" s="53" t="n">
        <f aca="false">IF(BX14="LOSE",1,0)</f>
        <v>0</v>
      </c>
      <c r="CA14" s="53" t="n">
        <f aca="false">IF(AND(U14="",OR(P14="",P14="LOSE"),T14&lt;&gt;"",N(S14)&lt;=0,ISNUMBER(MATCH(T14,Parameter!$I$27:$I$29,0))),1,0)</f>
        <v>1</v>
      </c>
      <c r="CB14" s="53" t="n">
        <f aca="false">IF(CQ14&gt;0,INDEX(Parameter!$H$5:$H$7,W14)/INDEX(Parameter!$E$5:$E$7,W14),IF(AND(BZ14=0,N(IFERROR(VLOOKUP(BX14,'Gebinde-Kategorie'!$A$5:$N$45,14,0),0))&gt;0),VLOOKUP(BX14,'Gebinde-Kategorie'!$A$5:$N$45,14,0)*10+Parameter!$M$23,Parameter!$M$24))</f>
        <v>235</v>
      </c>
      <c r="CC14" s="48" t="str">
        <f aca="false">IF(AND(Parameter!$B$19="Ja",E14&lt;&gt;"",ISNUMBER(MATCH(E14,Parameter!$I$35:$I$52,0))),VLOOKUP(E14,Parameter!$I$35:$J$52,2,0),IFERROR(VLOOKUP(D14,Parameter!$A$35:$C$64,2,0),"Nein"))</f>
        <v>2+3</v>
      </c>
      <c r="CD14" s="52" t="n">
        <f aca="false">IF(BZ14=0,0,IF(N(S14)&gt;0,S14,IFERROR(VLOOKUP(D14,Parameter!$A$35:$C$64,3,0)+0,0)))</f>
        <v>0</v>
      </c>
      <c r="CE14" s="48" t="n">
        <f aca="false">IF(AA14&lt;&gt;"",AA14,Z14)</f>
        <v>2</v>
      </c>
      <c r="CF14" s="48" t="str">
        <f aca="false">IF(OR(CE14=1,CE14=2,CE14=3),IF(Parameter!$E$27="Ja","LIFT",IF(CE14=1,"L1","L23")),IF(CE14="Aussen","Aussen","-"))</f>
        <v>LIFT</v>
      </c>
      <c r="CG14" s="59" t="n">
        <f aca="false">IF(N(AB14)&gt;0,AB14,0)</f>
        <v>0</v>
      </c>
      <c r="CH14" s="53" t="n">
        <f aca="false">IF(ISNUMBER(AE14),1,0)</f>
        <v>0</v>
      </c>
      <c r="CI14" s="50" t="n">
        <f aca="false">N(AE14)</f>
        <v>0</v>
      </c>
      <c r="CJ14" s="50" t="n">
        <f aca="false">N(M14)+N(N14)</f>
        <v>1</v>
      </c>
      <c r="CK14" s="50" t="n">
        <f aca="false">N(M14)</f>
        <v>0</v>
      </c>
      <c r="CL14" s="50" t="n">
        <f aca="false">N(N14)</f>
        <v>1</v>
      </c>
      <c r="CM14" s="50" t="n">
        <f aca="false">ROUNDUP(H14/BY14,0)</f>
        <v>1</v>
      </c>
      <c r="CN14" s="50" t="n">
        <f aca="false">ROUNDUP(CI14/BY14,0)</f>
        <v>0</v>
      </c>
      <c r="CO14" s="53" t="n">
        <f aca="false">IF(BZ14=1,0,IFERROR(VLOOKUP(BX14,'Gebinde-Kategorie'!$A$5:$N$45,5,0)+0,0))</f>
        <v>20</v>
      </c>
      <c r="CP14" s="53" t="n">
        <f aca="false">IFERROR(IF(OR(CE14=1,CE14=2,CE14=3),N(INDEX(Parameter!$I$5:$I$7,CE14)),0),0)</f>
        <v>0</v>
      </c>
      <c r="CQ14" s="52" t="n">
        <f aca="false">IF(AND(Parameter!$B$21="Ja",ISNUMBER(W14),N(X14)&gt;0),IFERROR(N(INDEX(Parameter!$L$5:$L$7,W14))*INDEX(Parameter!$E$5:$E$7,W14)*X14/SUMIFS($X$7:$X$1843,$W$7:$W$1843,W14),0),0)</f>
        <v>0</v>
      </c>
    </row>
    <row r="15" customFormat="false" ht="15" hidden="false" customHeight="false" outlineLevel="0" collapsed="false">
      <c r="A15" s="48" t="s">
        <v>204</v>
      </c>
      <c r="B15" s="48" t="s">
        <v>205</v>
      </c>
      <c r="C15" s="48" t="s">
        <v>173</v>
      </c>
      <c r="D15" s="48" t="s">
        <v>182</v>
      </c>
      <c r="E15" s="48"/>
      <c r="F15" s="48" t="s">
        <v>176</v>
      </c>
      <c r="G15" s="49" t="n">
        <v>5356</v>
      </c>
      <c r="H15" s="50" t="n">
        <f aca="false">MAX(0,IF(AND(Parameter!$B$21="Ja",ISNUMBER(Y15)),Y15,IF(Parameter!$B$20="Jahresanfang 2025 + Export",BR15+BQ15,BQ15)))</f>
        <v>6</v>
      </c>
      <c r="I15" s="50" t="n">
        <f aca="false">H15*G15</f>
        <v>32136</v>
      </c>
      <c r="J15" s="50" t="n">
        <f aca="false">BT15*Parameter!$B$18</f>
        <v>23</v>
      </c>
      <c r="K15" s="51" t="n">
        <v>0.5</v>
      </c>
      <c r="L15" s="52" t="n">
        <v>46</v>
      </c>
      <c r="M15" s="50" t="n">
        <v>6</v>
      </c>
      <c r="N15" s="50" t="n">
        <v>5</v>
      </c>
      <c r="O15" s="53" t="n">
        <v>100</v>
      </c>
      <c r="P15" s="48" t="s">
        <v>177</v>
      </c>
      <c r="Q15" s="50"/>
      <c r="R15" s="53" t="n">
        <f aca="false">IF(BZ15=1,0,IFERROR(VLOOKUP(BX15,'Gebinde-Kategorie'!$A$5:$N$45,13,0)+0,0))</f>
        <v>12</v>
      </c>
      <c r="S15" s="54"/>
      <c r="T15" s="55" t="s">
        <v>188</v>
      </c>
      <c r="U15" s="55"/>
      <c r="V15" s="55"/>
      <c r="W15" s="48"/>
      <c r="X15" s="50"/>
      <c r="Y15" s="50"/>
      <c r="Z15" s="48" t="n">
        <f aca="false">IF(A15="","",IF(AND(Parameter!$B$21="Ja",ISNUMBER(W15)),W15,IF(CC15="2+3",IF(ISNUMBER(SEARCH("grosser Artikel",BU15)),2,IFERROR(VLOOKUP(BX15,Parameter!$F$35:$G$64,2,0),2)),IF(OR(CC15="Nein",CC15=""),"-",CC15))))</f>
        <v>2</v>
      </c>
      <c r="AA15" s="55"/>
      <c r="AB15" s="56"/>
      <c r="AC15" s="50" t="n">
        <f aca="false">AV15</f>
        <v>11</v>
      </c>
      <c r="AD15" s="50" t="n">
        <f aca="false">MAX(AV15,H15)</f>
        <v>11</v>
      </c>
      <c r="AE15" s="57"/>
      <c r="AF15" s="50" t="n">
        <f aca="false">IF(LEFT(Cockpit!$C$5,1)="A",H15,IF(Parameter!$E$30="MAX-Bestand",IF(CH15=1,CI15,IF(LEFT(Cockpit!$C$5,1)="B",AL15,MAX(AL15,H15))),ROUNDUP(AJ15,0)))</f>
        <v>6</v>
      </c>
      <c r="AG15" s="50" t="n">
        <f aca="false">IF(BZ15=1,0,ROUNDUP(AF15/BY15,0))</f>
        <v>1</v>
      </c>
      <c r="AH15" s="52" t="n">
        <f aca="false">IF(CQ15&gt;0,CQ15*MAX(1,AF15/X15),IF(BZ15=1,IF(AF15&lt;=0,0,CD15*MAX(1,IF(H15&gt;0,AF15/H15,1))),IF(R15&gt;0,AG15/R15,0))/MAX(0.1,N(Parameter!$M$21)))</f>
        <v>0.0833333333333333</v>
      </c>
      <c r="AI15" s="50" t="n">
        <f aca="false">AH15*CB15</f>
        <v>12.0833333333333</v>
      </c>
      <c r="AJ15" s="51" t="n">
        <f aca="false">IF(LEFT(Cockpit!$C$5,1)="A",H15,IF(CH15=1,(CK15+CI15)/2,IF(LEFT(Cockpit!$C$5,1)="B",(CK15+AL15)/2,MAX((CK15+AL15)/2,H15))))</f>
        <v>6</v>
      </c>
      <c r="AK15" s="50" t="n">
        <f aca="false">AJ15*G15</f>
        <v>32136</v>
      </c>
      <c r="AL15" s="50" t="n">
        <f aca="false">ROUNDUP(CK15+MAX(CL15,2*(J15/IF(CG15&gt;0,CG15,MAX(0.1,N(Cockpit!$C$6)))-CK15)),0)</f>
        <v>11</v>
      </c>
      <c r="AM15" s="51" t="n">
        <f aca="false">IF(AI15&gt;0,J15/AI15,-1)</f>
        <v>1.90344827586207</v>
      </c>
      <c r="AN15" s="51" t="n">
        <f aca="false">IF(AND(OR(CF15="L1",CF15="L23",CF15="LIFT"),AI15&gt;0),SUMIFS($AI$7:$AI$1843,$CF$7:$CF$1843,CF15,$AM$7:$AM$1843,"&gt;"&amp;AM15)+SUMIFS($AI$7:$AI$1843,$CF$7:$CF$1843,CF15,$AM$7:$AM$1843,AM15,$BW$7:$BW$1843,"&lt;="&amp;BW15),"")</f>
        <v>5953.84661172161</v>
      </c>
      <c r="AO15" s="58" t="n">
        <f aca="false">IF(AN15="",0,MAX(0,MIN(1,(IF(CF15="L1",Parameter!$H$5,IF(CF15="L23",Parameter!$H$6+Parameter!$H$7,Parameter!$H$5+Parameter!$H$6+Parameter!$H$7))-(AN15-AI15))/AI15)))</f>
        <v>1</v>
      </c>
      <c r="AP15" s="50" t="n">
        <f aca="false">IF(LEFT(Cockpit!$I$5,1)="A",H15,IF(Parameter!$E$30="MAX-Bestand",IF(CH15=1,CI15,IF(LEFT(Cockpit!$I$5,1)="B",AV15,MAX(AV15,H15))),ROUNDUP(AT15,0)))</f>
        <v>9</v>
      </c>
      <c r="AQ15" s="50" t="n">
        <f aca="false">IF(BZ15=1,0,ROUNDUP(AP15/BY15,0))</f>
        <v>2</v>
      </c>
      <c r="AR15" s="52" t="n">
        <f aca="false">IF(CQ15&gt;0,CQ15*MAX(1,AP15/X15),IF(BZ15=1,IF(AP15&lt;=0,0,CD15*MAX(1,IF(H15&gt;0,AP15/H15,1))),IF(R15&gt;0,AQ15/R15,0))/MAX(0.1,N(Parameter!$M$21)))</f>
        <v>0.166666666666667</v>
      </c>
      <c r="AS15" s="50" t="n">
        <f aca="false">AR15*CB15</f>
        <v>24.1666666666667</v>
      </c>
      <c r="AT15" s="51" t="n">
        <f aca="false">IF(LEFT(Cockpit!$I$5,1)="A",H15,IF(CH15=1,(CK15+CI15)/2,IF(LEFT(Cockpit!$I$5,1)="B",(CK15+AV15)/2,MAX((CK15+AV15)/2,H15))))</f>
        <v>8.5</v>
      </c>
      <c r="AU15" s="50" t="n">
        <f aca="false">AT15*G15</f>
        <v>45526</v>
      </c>
      <c r="AV15" s="50" t="n">
        <f aca="false">ROUNDUP(CK15+MAX(CL15,2*(J15/IF(CG15&gt;0,CG15,MAX(0.1,N(Cockpit!$I$6)))-CK15)),0)</f>
        <v>11</v>
      </c>
      <c r="AW15" s="51" t="n">
        <f aca="false">IF(AS15&gt;0,J15/AS15,-1)</f>
        <v>0.951724137931035</v>
      </c>
      <c r="AX15" s="51" t="n">
        <f aca="false">IF(AND(OR(CF15="L1",CF15="L23",CF15="LIFT"),AS15&gt;0),SUMIFS($AS$7:$AS$1843,$CF$7:$CF$1843,CF15,$AW$7:$AW$1843,"&gt;"&amp;AW15)+SUMIFS($AS$7:$AS$1843,$CF$7:$CF$1843,CF15,$AW$7:$AW$1843,AW15,$BW$7:$BW$1843,"&lt;="&amp;BW15),"")</f>
        <v>8650.3956043956</v>
      </c>
      <c r="AY15" s="58" t="n">
        <f aca="false">IF(AX15="",0,MAX(0,MIN(1,(IF(CF15="L1",Parameter!$H$5,IF(CF15="L23",Parameter!$H$6+Parameter!$H$7,Parameter!$H$5+Parameter!$H$6+Parameter!$H$7))-(AX15-AS15))/AS15)))</f>
        <v>1</v>
      </c>
      <c r="AZ15" s="50" t="n">
        <f aca="false">IF(LEFT(Cockpit!$O$5,1)="A",H15,IF(Parameter!$E$30="MAX-Bestand",IF(CH15=1,CI15,IF(LEFT(Cockpit!$O$5,1)="B",BF15,MAX(BF15,H15))),ROUNDUP(BD15,0)))</f>
        <v>9</v>
      </c>
      <c r="BA15" s="50" t="n">
        <f aca="false">IF(BZ15=1,0,ROUNDUP(AZ15/BY15,0))</f>
        <v>2</v>
      </c>
      <c r="BB15" s="52" t="n">
        <f aca="false">IF(CQ15&gt;0,CQ15*MAX(1,AZ15/X15),IF(BZ15=1,IF(AZ15&lt;=0,0,CD15*MAX(1,IF(H15&gt;0,AZ15/H15,1))),IF(R15&gt;0,BA15/R15,0))/MAX(0.1,N(Parameter!$M$21)))</f>
        <v>0.166666666666667</v>
      </c>
      <c r="BC15" s="50" t="n">
        <f aca="false">BB15*CB15</f>
        <v>24.1666666666667</v>
      </c>
      <c r="BD15" s="51" t="n">
        <f aca="false">IF(LEFT(Cockpit!$O$5,1)="A",H15,IF(CH15=1,(CK15+CI15)/2,IF(LEFT(Cockpit!$O$5,1)="B",(CK15+BF15)/2,MAX((CK15+BF15)/2,H15))))</f>
        <v>8.5</v>
      </c>
      <c r="BE15" s="50" t="n">
        <f aca="false">BD15*G15</f>
        <v>45526</v>
      </c>
      <c r="BF15" s="50" t="n">
        <f aca="false">ROUNDUP(CK15+MAX(CL15,2*(J15/IF(CG15&gt;0,CG15,MAX(0.1,N(Cockpit!$O$6)))-CK15)),0)</f>
        <v>11</v>
      </c>
      <c r="BG15" s="51" t="n">
        <f aca="false">IF(BC15&gt;0,J15/BC15,-1)</f>
        <v>0.951724137931035</v>
      </c>
      <c r="BH15" s="51" t="n">
        <f aca="false">IF(AND(OR(CF15="L1",CF15="L23",CF15="LIFT"),BC15&gt;0),SUMIFS($BC$7:$BC$1843,$CF$7:$CF$1843,CF15,$BG$7:$BG$1843,"&gt;"&amp;BG15)+SUMIFS($BC$7:$BC$1843,$CF$7:$CF$1843,CF15,$BG$7:$BG$1843,BG15,$BW$7:$BW$1843,"&lt;="&amp;BW15),"")</f>
        <v>8026.32921245421</v>
      </c>
      <c r="BI15" s="58" t="n">
        <f aca="false">IF(BH15="",0,MAX(0,MIN(1,(IF(CF15="L1",Parameter!$H$5,IF(CF15="L23",Parameter!$H$6+Parameter!$H$7,Parameter!$H$5+Parameter!$H$6+Parameter!$H$7))-(BH15-BC15))/BC15)))</f>
        <v>1</v>
      </c>
      <c r="BJ15" s="48" t="str">
        <f aca="false">IF(AI15&lt;=0,"",IF(CF15="Aussen","Aussenlager",IF(CF15="-","Nicht im Lift",IF(AO15&gt;=1,"Lift",IF(AO15&lt;=0,"Aussenlager","teilweise")))))</f>
        <v>Lift</v>
      </c>
      <c r="BK15" s="48" t="str">
        <f aca="false">IF(AS15&lt;=0,"",IF(CF15="Aussen","Aussenlager",IF(CF15="-","Nicht im Lift",IF(AY15&gt;=1,"Lift",IF(AY15&lt;=0,"Aussenlager","teilweise")))))</f>
        <v>Lift</v>
      </c>
      <c r="BL15" s="48" t="str">
        <f aca="false">IF(BC15&lt;=0,"",IF(CF15="Aussen","Aussenlager",IF(CF15="-","Nicht im Lift",IF(BI15&gt;=1,"Lift",IF(BI15&lt;=0,"Aussenlager","teilweise")))))</f>
        <v>Lift</v>
      </c>
      <c r="BM15" s="48" t="str">
        <f aca="false">IF(A15="","",IF(BV15=1,"Neu; ","")&amp;IF(AND(BV15=0,BQ15&lt;0),"negativer Bestand (Export "&amp;BQ15&amp;"); ","")&amp;IF(J15&lt;=0,"Kein Verbrauch; ","")&amp;IF(CQ15&gt;0,"Lift "&amp;W15&amp;" lt. Liftbericht (Fach "&amp;X15&amp;" Stk); ",IF(CA15=1,"Gebinde geschätzt ("&amp;T15&amp;"); ",IF(BZ15=1,"Lose – Tablare geschätzt; ","")))&amp;IF(H15&gt;AV15,"Überbestand "&amp;ROUND(H15-AV15,0)&amp;" Stk / CHF "&amp;ROUND((H15-AV15)*G15,0)&amp;"; ","")&amp;IF(AND(CH15=1,CI15&lt;CJ15),"MAX &lt; MB+LG; ","")&amp;IF(AND(CP15&gt;0,CO15*10&gt;CP15),"zu hoch für Tablar; ","")&amp;IF(AND(BV15=0,OR(CH15=1,AA15&lt;&gt;"",U15&lt;&gt;"",V15&lt;&gt;"",AB15&lt;&gt;"")),"manuell übersteuert; ","")&amp;IF(AND(BZ15=0,R15=0),"Gebinde unbekannt / Stellmass fehlt; ","")&amp;IF(AND(BZ15=0,N(V15)&lt;=0,N(Q15)&lt;=0),"Menge pro Gebinde fehlt (Ist = 1 Gebinde); ","")&amp;BU15)</f>
        <v>Gebinde geschätzt (Mittel); Menge pro Gebinde fehlt (Ist = 1 Gebinde); </v>
      </c>
      <c r="BN15" s="48"/>
      <c r="BO15" s="48"/>
      <c r="BP15" s="55"/>
      <c r="BQ15" s="50" t="n">
        <v>6</v>
      </c>
      <c r="BR15" s="50" t="n">
        <v>0</v>
      </c>
      <c r="BS15" s="49" t="n">
        <v>32136</v>
      </c>
      <c r="BT15" s="50" t="n">
        <v>23</v>
      </c>
      <c r="BU15" s="48"/>
      <c r="BV15" s="53" t="n">
        <v>0</v>
      </c>
      <c r="BW15" s="53" t="n">
        <v>15</v>
      </c>
      <c r="BX15" s="48" t="str">
        <f aca="false">IF(U15&lt;&gt;"",UPPER(TRIM(U15)),IF(CA15=1,UPPER(VLOOKUP(T15,Parameter!$I$27:$K$29,2,0)),IF(P15="","LOSE",P15)))</f>
        <v>S61</v>
      </c>
      <c r="BY15" s="50" t="n">
        <f aca="false">IF(BX15="LOSE",1,IF(N(V15)&gt;0,V15,IF(CA15=1,MAX(1,N(VLOOKUP(T15,Parameter!$I$27:$K$29,3,0)),H15,N(N15)),IF(N(Q15)&gt;0,Q15,MAX(1,H15)))))</f>
        <v>6</v>
      </c>
      <c r="BZ15" s="53" t="n">
        <f aca="false">IF(BX15="LOSE",1,0)</f>
        <v>0</v>
      </c>
      <c r="CA15" s="53" t="n">
        <f aca="false">IF(AND(U15="",OR(P15="",P15="LOSE"),T15&lt;&gt;"",N(S15)&lt;=0,ISNUMBER(MATCH(T15,Parameter!$I$27:$I$29,0))),1,0)</f>
        <v>1</v>
      </c>
      <c r="CB15" s="53" t="n">
        <f aca="false">IF(CQ15&gt;0,INDEX(Parameter!$H$5:$H$7,W15)/INDEX(Parameter!$E$5:$E$7,W15),IF(AND(BZ15=0,N(IFERROR(VLOOKUP(BX15,'Gebinde-Kategorie'!$A$5:$N$45,14,0),0))&gt;0),VLOOKUP(BX15,'Gebinde-Kategorie'!$A$5:$N$45,14,0)*10+Parameter!$M$23,Parameter!$M$24))</f>
        <v>145</v>
      </c>
      <c r="CC15" s="48" t="str">
        <f aca="false">IF(AND(Parameter!$B$19="Ja",E15&lt;&gt;"",ISNUMBER(MATCH(E15,Parameter!$I$35:$I$52,0))),VLOOKUP(E15,Parameter!$I$35:$J$52,2,0),IFERROR(VLOOKUP(D15,Parameter!$A$35:$C$64,2,0),"Nein"))</f>
        <v>2+3</v>
      </c>
      <c r="CD15" s="52" t="n">
        <f aca="false">IF(BZ15=0,0,IF(N(S15)&gt;0,S15,IFERROR(VLOOKUP(D15,Parameter!$A$35:$C$64,3,0)+0,0)))</f>
        <v>0</v>
      </c>
      <c r="CE15" s="48" t="n">
        <f aca="false">IF(AA15&lt;&gt;"",AA15,Z15)</f>
        <v>2</v>
      </c>
      <c r="CF15" s="48" t="str">
        <f aca="false">IF(OR(CE15=1,CE15=2,CE15=3),IF(Parameter!$E$27="Ja","LIFT",IF(CE15=1,"L1","L23")),IF(CE15="Aussen","Aussen","-"))</f>
        <v>LIFT</v>
      </c>
      <c r="CG15" s="59" t="n">
        <f aca="false">IF(N(AB15)&gt;0,AB15,0)</f>
        <v>0</v>
      </c>
      <c r="CH15" s="53" t="n">
        <f aca="false">IF(ISNUMBER(AE15),1,0)</f>
        <v>0</v>
      </c>
      <c r="CI15" s="50" t="n">
        <f aca="false">N(AE15)</f>
        <v>0</v>
      </c>
      <c r="CJ15" s="50" t="n">
        <f aca="false">N(M15)+N(N15)</f>
        <v>11</v>
      </c>
      <c r="CK15" s="50" t="n">
        <f aca="false">N(M15)</f>
        <v>6</v>
      </c>
      <c r="CL15" s="50" t="n">
        <f aca="false">N(N15)</f>
        <v>5</v>
      </c>
      <c r="CM15" s="50" t="n">
        <f aca="false">ROUNDUP(H15/BY15,0)</f>
        <v>1</v>
      </c>
      <c r="CN15" s="50" t="n">
        <f aca="false">ROUNDUP(CI15/BY15,0)</f>
        <v>0</v>
      </c>
      <c r="CO15" s="53" t="n">
        <f aca="false">IF(BZ15=1,0,IFERROR(VLOOKUP(BX15,'Gebinde-Kategorie'!$A$5:$N$45,5,0)+0,0))</f>
        <v>11</v>
      </c>
      <c r="CP15" s="53" t="n">
        <f aca="false">IFERROR(IF(OR(CE15=1,CE15=2,CE15=3),N(INDEX(Parameter!$I$5:$I$7,CE15)),0),0)</f>
        <v>0</v>
      </c>
      <c r="CQ15" s="52" t="n">
        <f aca="false">IF(AND(Parameter!$B$21="Ja",ISNUMBER(W15),N(X15)&gt;0),IFERROR(N(INDEX(Parameter!$L$5:$L$7,W15))*INDEX(Parameter!$E$5:$E$7,W15)*X15/SUMIFS($X$7:$X$1843,$W$7:$W$1843,W15),0),0)</f>
        <v>0</v>
      </c>
    </row>
    <row r="16" customFormat="false" ht="15" hidden="false" customHeight="false" outlineLevel="0" collapsed="false">
      <c r="A16" s="48" t="s">
        <v>206</v>
      </c>
      <c r="B16" s="48" t="s">
        <v>207</v>
      </c>
      <c r="C16" s="48" t="s">
        <v>173</v>
      </c>
      <c r="D16" s="48" t="s">
        <v>182</v>
      </c>
      <c r="E16" s="48" t="s">
        <v>182</v>
      </c>
      <c r="F16" s="48" t="s">
        <v>176</v>
      </c>
      <c r="G16" s="49" t="n">
        <v>4269.47</v>
      </c>
      <c r="H16" s="50" t="n">
        <f aca="false">MAX(0,IF(AND(Parameter!$B$21="Ja",ISNUMBER(Y16)),Y16,IF(Parameter!$B$20="Jahresanfang 2025 + Export",BR16+BQ16,BQ16)))</f>
        <v>18</v>
      </c>
      <c r="I16" s="50" t="n">
        <f aca="false">H16*G16</f>
        <v>76850.46</v>
      </c>
      <c r="J16" s="50" t="n">
        <f aca="false">BT16*Parameter!$B$18</f>
        <v>81</v>
      </c>
      <c r="K16" s="51" t="n">
        <v>8</v>
      </c>
      <c r="L16" s="52" t="n">
        <v>10.125</v>
      </c>
      <c r="M16" s="50" t="n">
        <v>12</v>
      </c>
      <c r="N16" s="50" t="n">
        <v>5</v>
      </c>
      <c r="O16" s="53" t="n">
        <v>56</v>
      </c>
      <c r="P16" s="48" t="s">
        <v>177</v>
      </c>
      <c r="Q16" s="50"/>
      <c r="R16" s="53" t="n">
        <f aca="false">IF(BZ16=1,0,IFERROR(VLOOKUP(BX16,'Gebinde-Kategorie'!$A$5:$N$45,13,0)+0,0))</f>
        <v>12</v>
      </c>
      <c r="S16" s="54"/>
      <c r="T16" s="55" t="s">
        <v>188</v>
      </c>
      <c r="U16" s="55"/>
      <c r="V16" s="55"/>
      <c r="W16" s="48"/>
      <c r="X16" s="50"/>
      <c r="Y16" s="50"/>
      <c r="Z16" s="48" t="str">
        <f aca="false">IF(A16="","",IF(AND(Parameter!$B$21="Ja",ISNUMBER(W16)),W16,IF(CC16="2+3",IF(ISNUMBER(SEARCH("grosser Artikel",BU16)),2,IFERROR(VLOOKUP(BX16,Parameter!$F$35:$G$64,2,0),2)),IF(OR(CC16="Nein",CC16=""),"-",CC16))))</f>
        <v>-</v>
      </c>
      <c r="AA16" s="55"/>
      <c r="AB16" s="56"/>
      <c r="AC16" s="50" t="n">
        <f aca="false">AV16</f>
        <v>42</v>
      </c>
      <c r="AD16" s="50" t="n">
        <f aca="false">MAX(AV16,H16)</f>
        <v>42</v>
      </c>
      <c r="AE16" s="57"/>
      <c r="AF16" s="50" t="n">
        <f aca="false">IF(LEFT(Cockpit!$C$5,1)="A",H16,IF(Parameter!$E$30="MAX-Bestand",IF(CH16=1,CI16,IF(LEFT(Cockpit!$C$5,1)="B",AL16,MAX(AL16,H16))),ROUNDUP(AJ16,0)))</f>
        <v>18</v>
      </c>
      <c r="AG16" s="50" t="n">
        <f aca="false">IF(BZ16=1,0,ROUNDUP(AF16/BY16,0))</f>
        <v>1</v>
      </c>
      <c r="AH16" s="52" t="n">
        <f aca="false">IF(CQ16&gt;0,CQ16*MAX(1,AF16/X16),IF(BZ16=1,IF(AF16&lt;=0,0,CD16*MAX(1,IF(H16&gt;0,AF16/H16,1))),IF(R16&gt;0,AG16/R16,0))/MAX(0.1,N(Parameter!$M$21)))</f>
        <v>0.0833333333333333</v>
      </c>
      <c r="AI16" s="50" t="n">
        <f aca="false">AH16*CB16</f>
        <v>12.0833333333333</v>
      </c>
      <c r="AJ16" s="51" t="n">
        <f aca="false">IF(LEFT(Cockpit!$C$5,1)="A",H16,IF(CH16=1,(CK16+CI16)/2,IF(LEFT(Cockpit!$C$5,1)="B",(CK16+AL16)/2,MAX((CK16+AL16)/2,H16))))</f>
        <v>18</v>
      </c>
      <c r="AK16" s="50" t="n">
        <f aca="false">AJ16*G16</f>
        <v>76850.46</v>
      </c>
      <c r="AL16" s="50" t="n">
        <f aca="false">ROUNDUP(CK16+MAX(CL16,2*(J16/IF(CG16&gt;0,CG16,MAX(0.1,N(Cockpit!$C$6)))-CK16)),0)</f>
        <v>42</v>
      </c>
      <c r="AM16" s="51" t="n">
        <f aca="false">IF(AI16&gt;0,J16/AI16,-1)</f>
        <v>6.70344827586207</v>
      </c>
      <c r="AN16" s="51" t="str">
        <f aca="false">IF(AND(OR(CF16="L1",CF16="L23",CF16="LIFT"),AI16&gt;0),SUMIFS($AI$7:$AI$1843,$CF$7:$CF$1843,CF16,$AM$7:$AM$1843,"&gt;"&amp;AM16)+SUMIFS($AI$7:$AI$1843,$CF$7:$CF$1843,CF16,$AM$7:$AM$1843,AM16,$BW$7:$BW$1843,"&lt;="&amp;BW16),"")</f>
        <v/>
      </c>
      <c r="AO16" s="58" t="n">
        <f aca="false">IF(AN16="",0,MAX(0,MIN(1,(IF(CF16="L1",Parameter!$H$5,IF(CF16="L23",Parameter!$H$6+Parameter!$H$7,Parameter!$H$5+Parameter!$H$6+Parameter!$H$7))-(AN16-AI16))/AI16)))</f>
        <v>0</v>
      </c>
      <c r="AP16" s="50" t="n">
        <f aca="false">IF(LEFT(Cockpit!$I$5,1)="A",H16,IF(Parameter!$E$30="MAX-Bestand",IF(CH16=1,CI16,IF(LEFT(Cockpit!$I$5,1)="B",AV16,MAX(AV16,H16))),ROUNDUP(AT16,0)))</f>
        <v>27</v>
      </c>
      <c r="AQ16" s="50" t="n">
        <f aca="false">IF(BZ16=1,0,ROUNDUP(AP16/BY16,0))</f>
        <v>2</v>
      </c>
      <c r="AR16" s="52" t="n">
        <f aca="false">IF(CQ16&gt;0,CQ16*MAX(1,AP16/X16),IF(BZ16=1,IF(AP16&lt;=0,0,CD16*MAX(1,IF(H16&gt;0,AP16/H16,1))),IF(R16&gt;0,AQ16/R16,0))/MAX(0.1,N(Parameter!$M$21)))</f>
        <v>0.166666666666667</v>
      </c>
      <c r="AS16" s="50" t="n">
        <f aca="false">AR16*CB16</f>
        <v>24.1666666666667</v>
      </c>
      <c r="AT16" s="51" t="n">
        <f aca="false">IF(LEFT(Cockpit!$I$5,1)="A",H16,IF(CH16=1,(CK16+CI16)/2,IF(LEFT(Cockpit!$I$5,1)="B",(CK16+AV16)/2,MAX((CK16+AV16)/2,H16))))</f>
        <v>27</v>
      </c>
      <c r="AU16" s="50" t="n">
        <f aca="false">AT16*G16</f>
        <v>115275.69</v>
      </c>
      <c r="AV16" s="50" t="n">
        <f aca="false">ROUNDUP(CK16+MAX(CL16,2*(J16/IF(CG16&gt;0,CG16,MAX(0.1,N(Cockpit!$I$6)))-CK16)),0)</f>
        <v>42</v>
      </c>
      <c r="AW16" s="51" t="n">
        <f aca="false">IF(AS16&gt;0,J16/AS16,-1)</f>
        <v>3.35172413793104</v>
      </c>
      <c r="AX16" s="51" t="str">
        <f aca="false">IF(AND(OR(CF16="L1",CF16="L23",CF16="LIFT"),AS16&gt;0),SUMIFS($AS$7:$AS$1843,$CF$7:$CF$1843,CF16,$AW$7:$AW$1843,"&gt;"&amp;AW16)+SUMIFS($AS$7:$AS$1843,$CF$7:$CF$1843,CF16,$AW$7:$AW$1843,AW16,$BW$7:$BW$1843,"&lt;="&amp;BW16),"")</f>
        <v/>
      </c>
      <c r="AY16" s="58" t="n">
        <f aca="false">IF(AX16="",0,MAX(0,MIN(1,(IF(CF16="L1",Parameter!$H$5,IF(CF16="L23",Parameter!$H$6+Parameter!$H$7,Parameter!$H$5+Parameter!$H$6+Parameter!$H$7))-(AX16-AS16))/AS16)))</f>
        <v>0</v>
      </c>
      <c r="AZ16" s="50" t="n">
        <f aca="false">IF(LEFT(Cockpit!$O$5,1)="A",H16,IF(Parameter!$E$30="MAX-Bestand",IF(CH16=1,CI16,IF(LEFT(Cockpit!$O$5,1)="B",BF16,MAX(BF16,H16))),ROUNDUP(BD16,0)))</f>
        <v>21</v>
      </c>
      <c r="BA16" s="50" t="n">
        <f aca="false">IF(BZ16=1,0,ROUNDUP(AZ16/BY16,0))</f>
        <v>2</v>
      </c>
      <c r="BB16" s="52" t="n">
        <f aca="false">IF(CQ16&gt;0,CQ16*MAX(1,AZ16/X16),IF(BZ16=1,IF(AZ16&lt;=0,0,CD16*MAX(1,IF(H16&gt;0,AZ16/H16,1))),IF(R16&gt;0,BA16/R16,0))/MAX(0.1,N(Parameter!$M$21)))</f>
        <v>0.166666666666667</v>
      </c>
      <c r="BC16" s="50" t="n">
        <f aca="false">BB16*CB16</f>
        <v>24.1666666666667</v>
      </c>
      <c r="BD16" s="51" t="n">
        <f aca="false">IF(LEFT(Cockpit!$O$5,1)="A",H16,IF(CH16=1,(CK16+CI16)/2,IF(LEFT(Cockpit!$O$5,1)="B",(CK16+BF16)/2,MAX((CK16+BF16)/2,H16))))</f>
        <v>20.5</v>
      </c>
      <c r="BE16" s="50" t="n">
        <f aca="false">BD16*G16</f>
        <v>87524.135</v>
      </c>
      <c r="BF16" s="50" t="n">
        <f aca="false">ROUNDUP(CK16+MAX(CL16,2*(J16/IF(CG16&gt;0,CG16,MAX(0.1,N(Cockpit!$O$6)))-CK16)),0)</f>
        <v>29</v>
      </c>
      <c r="BG16" s="51" t="n">
        <f aca="false">IF(BC16&gt;0,J16/BC16,-1)</f>
        <v>3.35172413793104</v>
      </c>
      <c r="BH16" s="51" t="str">
        <f aca="false">IF(AND(OR(CF16="L1",CF16="L23",CF16="LIFT"),BC16&gt;0),SUMIFS($BC$7:$BC$1843,$CF$7:$CF$1843,CF16,$BG$7:$BG$1843,"&gt;"&amp;BG16)+SUMIFS($BC$7:$BC$1843,$CF$7:$CF$1843,CF16,$BG$7:$BG$1843,BG16,$BW$7:$BW$1843,"&lt;="&amp;BW16),"")</f>
        <v/>
      </c>
      <c r="BI16" s="58" t="n">
        <f aca="false">IF(BH16="",0,MAX(0,MIN(1,(IF(CF16="L1",Parameter!$H$5,IF(CF16="L23",Parameter!$H$6+Parameter!$H$7,Parameter!$H$5+Parameter!$H$6+Parameter!$H$7))-(BH16-BC16))/BC16)))</f>
        <v>0</v>
      </c>
      <c r="BJ16" s="48" t="str">
        <f aca="false">IF(AI16&lt;=0,"",IF(CF16="Aussen","Aussenlager",IF(CF16="-","Nicht im Lift",IF(AO16&gt;=1,"Lift",IF(AO16&lt;=0,"Aussenlager","teilweise")))))</f>
        <v>Nicht im Lift</v>
      </c>
      <c r="BK16" s="48" t="str">
        <f aca="false">IF(AS16&lt;=0,"",IF(CF16="Aussen","Aussenlager",IF(CF16="-","Nicht im Lift",IF(AY16&gt;=1,"Lift",IF(AY16&lt;=0,"Aussenlager","teilweise")))))</f>
        <v>Nicht im Lift</v>
      </c>
      <c r="BL16" s="48" t="str">
        <f aca="false">IF(BC16&lt;=0,"",IF(CF16="Aussen","Aussenlager",IF(CF16="-","Nicht im Lift",IF(BI16&gt;=1,"Lift",IF(BI16&lt;=0,"Aussenlager","teilweise")))))</f>
        <v>Nicht im Lift</v>
      </c>
      <c r="BM16" s="48" t="str">
        <f aca="false">IF(A16="","",IF(BV16=1,"Neu; ","")&amp;IF(AND(BV16=0,BQ16&lt;0),"negativer Bestand (Export "&amp;BQ16&amp;"); ","")&amp;IF(J16&lt;=0,"Kein Verbrauch; ","")&amp;IF(CQ16&gt;0,"Lift "&amp;W16&amp;" lt. Liftbericht (Fach "&amp;X16&amp;" Stk); ",IF(CA16=1,"Gebinde geschätzt ("&amp;T16&amp;"); ",IF(BZ16=1,"Lose – Tablare geschätzt; ","")))&amp;IF(H16&gt;AV16,"Überbestand "&amp;ROUND(H16-AV16,0)&amp;" Stk / CHF "&amp;ROUND((H16-AV16)*G16,0)&amp;"; ","")&amp;IF(AND(CH16=1,CI16&lt;CJ16),"MAX &lt; MB+LG; ","")&amp;IF(AND(CP16&gt;0,CO16*10&gt;CP16),"zu hoch für Tablar; ","")&amp;IF(AND(BV16=0,OR(CH16=1,AA16&lt;&gt;"",U16&lt;&gt;"",V16&lt;&gt;"",AB16&lt;&gt;"")),"manuell übersteuert; ","")&amp;IF(AND(BZ16=0,R16=0),"Gebinde unbekannt / Stellmass fehlt; ","")&amp;IF(AND(BZ16=0,N(V16)&lt;=0,N(Q16)&lt;=0),"Menge pro Gebinde fehlt (Ist = 1 Gebinde); ","")&amp;BU16)</f>
        <v>Gebinde geschätzt (Mittel); Menge pro Gebinde fehlt (Ist = 1 Gebinde); </v>
      </c>
      <c r="BN16" s="48"/>
      <c r="BO16" s="48"/>
      <c r="BP16" s="55"/>
      <c r="BQ16" s="50" t="n">
        <v>8</v>
      </c>
      <c r="BR16" s="50" t="n">
        <v>10</v>
      </c>
      <c r="BS16" s="49" t="n">
        <v>31710.4700000001</v>
      </c>
      <c r="BT16" s="50" t="n">
        <v>81</v>
      </c>
      <c r="BU16" s="48"/>
      <c r="BV16" s="53" t="n">
        <v>0</v>
      </c>
      <c r="BW16" s="53" t="n">
        <v>16</v>
      </c>
      <c r="BX16" s="48" t="str">
        <f aca="false">IF(U16&lt;&gt;"",UPPER(TRIM(U16)),IF(CA16=1,UPPER(VLOOKUP(T16,Parameter!$I$27:$K$29,2,0)),IF(P16="","LOSE",P16)))</f>
        <v>S61</v>
      </c>
      <c r="BY16" s="50" t="n">
        <f aca="false">IF(BX16="LOSE",1,IF(N(V16)&gt;0,V16,IF(CA16=1,MAX(1,N(VLOOKUP(T16,Parameter!$I$27:$K$29,3,0)),H16,N(N16)),IF(N(Q16)&gt;0,Q16,MAX(1,H16)))))</f>
        <v>18</v>
      </c>
      <c r="BZ16" s="53" t="n">
        <f aca="false">IF(BX16="LOSE",1,0)</f>
        <v>0</v>
      </c>
      <c r="CA16" s="53" t="n">
        <f aca="false">IF(AND(U16="",OR(P16="",P16="LOSE"),T16&lt;&gt;"",N(S16)&lt;=0,ISNUMBER(MATCH(T16,Parameter!$I$27:$I$29,0))),1,0)</f>
        <v>1</v>
      </c>
      <c r="CB16" s="53" t="n">
        <f aca="false">IF(CQ16&gt;0,INDEX(Parameter!$H$5:$H$7,W16)/INDEX(Parameter!$E$5:$E$7,W16),IF(AND(BZ16=0,N(IFERROR(VLOOKUP(BX16,'Gebinde-Kategorie'!$A$5:$N$45,14,0),0))&gt;0),VLOOKUP(BX16,'Gebinde-Kategorie'!$A$5:$N$45,14,0)*10+Parameter!$M$23,Parameter!$M$24))</f>
        <v>145</v>
      </c>
      <c r="CC16" s="48" t="str">
        <f aca="false">IF(AND(Parameter!$B$19="Ja",E16&lt;&gt;"",ISNUMBER(MATCH(E16,Parameter!$I$35:$I$52,0))),VLOOKUP(E16,Parameter!$I$35:$J$52,2,0),IFERROR(VLOOKUP(D16,Parameter!$A$35:$C$64,2,0),"Nein"))</f>
        <v>Nein</v>
      </c>
      <c r="CD16" s="52" t="n">
        <f aca="false">IF(BZ16=0,0,IF(N(S16)&gt;0,S16,IFERROR(VLOOKUP(D16,Parameter!$A$35:$C$64,3,0)+0,0)))</f>
        <v>0</v>
      </c>
      <c r="CE16" s="48" t="str">
        <f aca="false">IF(AA16&lt;&gt;"",AA16,Z16)</f>
        <v>-</v>
      </c>
      <c r="CF16" s="48" t="str">
        <f aca="false">IF(OR(CE16=1,CE16=2,CE16=3),IF(Parameter!$E$27="Ja","LIFT",IF(CE16=1,"L1","L23")),IF(CE16="Aussen","Aussen","-"))</f>
        <v>-</v>
      </c>
      <c r="CG16" s="59" t="n">
        <f aca="false">IF(N(AB16)&gt;0,AB16,0)</f>
        <v>0</v>
      </c>
      <c r="CH16" s="53" t="n">
        <f aca="false">IF(ISNUMBER(AE16),1,0)</f>
        <v>0</v>
      </c>
      <c r="CI16" s="50" t="n">
        <f aca="false">N(AE16)</f>
        <v>0</v>
      </c>
      <c r="CJ16" s="50" t="n">
        <f aca="false">N(M16)+N(N16)</f>
        <v>17</v>
      </c>
      <c r="CK16" s="50" t="n">
        <f aca="false">N(M16)</f>
        <v>12</v>
      </c>
      <c r="CL16" s="50" t="n">
        <f aca="false">N(N16)</f>
        <v>5</v>
      </c>
      <c r="CM16" s="50" t="n">
        <f aca="false">ROUNDUP(H16/BY16,0)</f>
        <v>1</v>
      </c>
      <c r="CN16" s="50" t="n">
        <f aca="false">ROUNDUP(CI16/BY16,0)</f>
        <v>0</v>
      </c>
      <c r="CO16" s="53" t="n">
        <f aca="false">IF(BZ16=1,0,IFERROR(VLOOKUP(BX16,'Gebinde-Kategorie'!$A$5:$N$45,5,0)+0,0))</f>
        <v>11</v>
      </c>
      <c r="CP16" s="53" t="n">
        <f aca="false">IFERROR(IF(OR(CE16=1,CE16=2,CE16=3),N(INDEX(Parameter!$I$5:$I$7,CE16)),0),0)</f>
        <v>0</v>
      </c>
      <c r="CQ16" s="52" t="n">
        <f aca="false">IF(AND(Parameter!$B$21="Ja",ISNUMBER(W16),N(X16)&gt;0),IFERROR(N(INDEX(Parameter!$L$5:$L$7,W16))*INDEX(Parameter!$E$5:$E$7,W16)*X16/SUMIFS($X$7:$X$1843,$W$7:$W$1843,W16),0),0)</f>
        <v>0</v>
      </c>
    </row>
    <row r="17" customFormat="false" ht="15" hidden="false" customHeight="false" outlineLevel="0" collapsed="false">
      <c r="A17" s="48" t="s">
        <v>208</v>
      </c>
      <c r="B17" s="48" t="s">
        <v>209</v>
      </c>
      <c r="C17" s="48" t="s">
        <v>173</v>
      </c>
      <c r="D17" s="48" t="s">
        <v>182</v>
      </c>
      <c r="E17" s="48"/>
      <c r="F17" s="48" t="s">
        <v>210</v>
      </c>
      <c r="G17" s="49" t="n">
        <v>399.17</v>
      </c>
      <c r="H17" s="50" t="n">
        <f aca="false">MAX(0,IF(AND(Parameter!$B$21="Ja",ISNUMBER(Y17)),Y17,IF(Parameter!$B$20="Jahresanfang 2025 + Export",BR17+BQ17,BQ17)))</f>
        <v>75</v>
      </c>
      <c r="I17" s="50" t="n">
        <f aca="false">H17*G17</f>
        <v>29937.75</v>
      </c>
      <c r="J17" s="50" t="n">
        <f aca="false">BT17*Parameter!$B$18</f>
        <v>0</v>
      </c>
      <c r="K17" s="51" t="n">
        <v>0</v>
      </c>
      <c r="L17" s="52" t="n">
        <v>0</v>
      </c>
      <c r="M17" s="50" t="n">
        <v>0</v>
      </c>
      <c r="N17" s="50" t="n">
        <v>1</v>
      </c>
      <c r="O17" s="53" t="n">
        <v>9999</v>
      </c>
      <c r="P17" s="48" t="s">
        <v>177</v>
      </c>
      <c r="Q17" s="50"/>
      <c r="R17" s="53" t="n">
        <f aca="false">IF(BZ17=1,0,IFERROR(VLOOKUP(BX17,'Gebinde-Kategorie'!$A$5:$N$45,13,0)+0,0))</f>
        <v>4</v>
      </c>
      <c r="S17" s="54"/>
      <c r="T17" s="55" t="s">
        <v>198</v>
      </c>
      <c r="U17" s="55"/>
      <c r="V17" s="55"/>
      <c r="W17" s="48"/>
      <c r="X17" s="50"/>
      <c r="Y17" s="50"/>
      <c r="Z17" s="48" t="n">
        <f aca="false">IF(A17="","",IF(AND(Parameter!$B$21="Ja",ISNUMBER(W17)),W17,IF(CC17="2+3",IF(ISNUMBER(SEARCH("grosser Artikel",BU17)),2,IFERROR(VLOOKUP(BX17,Parameter!$F$35:$G$64,2,0),2)),IF(OR(CC17="Nein",CC17=""),"-",CC17))))</f>
        <v>2</v>
      </c>
      <c r="AA17" s="55"/>
      <c r="AB17" s="56"/>
      <c r="AC17" s="50" t="n">
        <f aca="false">AV17</f>
        <v>1</v>
      </c>
      <c r="AD17" s="50" t="n">
        <f aca="false">MAX(AV17,H17)</f>
        <v>75</v>
      </c>
      <c r="AE17" s="57"/>
      <c r="AF17" s="50" t="n">
        <f aca="false">IF(LEFT(Cockpit!$C$5,1)="A",H17,IF(Parameter!$E$30="MAX-Bestand",IF(CH17=1,CI17,IF(LEFT(Cockpit!$C$5,1)="B",AL17,MAX(AL17,H17))),ROUNDUP(AJ17,0)))</f>
        <v>75</v>
      </c>
      <c r="AG17" s="50" t="n">
        <f aca="false">IF(BZ17=1,0,ROUNDUP(AF17/BY17,0))</f>
        <v>1</v>
      </c>
      <c r="AH17" s="52" t="n">
        <f aca="false">IF(CQ17&gt;0,CQ17*MAX(1,AF17/X17),IF(BZ17=1,IF(AF17&lt;=0,0,CD17*MAX(1,IF(H17&gt;0,AF17/H17,1))),IF(R17&gt;0,AG17/R17,0))/MAX(0.1,N(Parameter!$M$21)))</f>
        <v>0.25</v>
      </c>
      <c r="AI17" s="50" t="n">
        <f aca="false">AH17*CB17</f>
        <v>58.75</v>
      </c>
      <c r="AJ17" s="51" t="n">
        <f aca="false">IF(LEFT(Cockpit!$C$5,1)="A",H17,IF(CH17=1,(CK17+CI17)/2,IF(LEFT(Cockpit!$C$5,1)="B",(CK17+AL17)/2,MAX((CK17+AL17)/2,H17))))</f>
        <v>75</v>
      </c>
      <c r="AK17" s="50" t="n">
        <f aca="false">AJ17*G17</f>
        <v>29937.75</v>
      </c>
      <c r="AL17" s="50" t="n">
        <f aca="false">ROUNDUP(CK17+MAX(CL17,2*(J17/IF(CG17&gt;0,CG17,MAX(0.1,N(Cockpit!$C$6)))-CK17)),0)</f>
        <v>1</v>
      </c>
      <c r="AM17" s="51" t="n">
        <f aca="false">IF(AI17&gt;0,J17/AI17,-1)</f>
        <v>0</v>
      </c>
      <c r="AN17" s="51" t="n">
        <f aca="false">IF(AND(OR(CF17="L1",CF17="L23",CF17="LIFT"),AI17&gt;0),SUMIFS($AI$7:$AI$1843,$CF$7:$CF$1843,CF17,$AM$7:$AM$1843,"&gt;"&amp;AM17)+SUMIFS($AI$7:$AI$1843,$CF$7:$CF$1843,CF17,$AM$7:$AM$1843,AM17,$BW$7:$BW$1843,"&lt;="&amp;BW17),"")</f>
        <v>25605.2719081766</v>
      </c>
      <c r="AO17" s="58" t="n">
        <f aca="false">IF(AN17="",0,MAX(0,MIN(1,(IF(CF17="L1",Parameter!$H$5,IF(CF17="L23",Parameter!$H$6+Parameter!$H$7,Parameter!$H$5+Parameter!$H$6+Parameter!$H$7))-(AN17-AI17))/AI17)))</f>
        <v>1</v>
      </c>
      <c r="AP17" s="50" t="n">
        <f aca="false">IF(LEFT(Cockpit!$I$5,1)="A",H17,IF(Parameter!$E$30="MAX-Bestand",IF(CH17=1,CI17,IF(LEFT(Cockpit!$I$5,1)="B",AV17,MAX(AV17,H17))),ROUNDUP(AT17,0)))</f>
        <v>75</v>
      </c>
      <c r="AQ17" s="50" t="n">
        <f aca="false">IF(BZ17=1,0,ROUNDUP(AP17/BY17,0))</f>
        <v>1</v>
      </c>
      <c r="AR17" s="52" t="n">
        <f aca="false">IF(CQ17&gt;0,CQ17*MAX(1,AP17/X17),IF(BZ17=1,IF(AP17&lt;=0,0,CD17*MAX(1,IF(H17&gt;0,AP17/H17,1))),IF(R17&gt;0,AQ17/R17,0))/MAX(0.1,N(Parameter!$M$21)))</f>
        <v>0.25</v>
      </c>
      <c r="AS17" s="50" t="n">
        <f aca="false">AR17*CB17</f>
        <v>58.75</v>
      </c>
      <c r="AT17" s="51" t="n">
        <f aca="false">IF(LEFT(Cockpit!$I$5,1)="A",H17,IF(CH17=1,(CK17+CI17)/2,IF(LEFT(Cockpit!$I$5,1)="B",(CK17+AV17)/2,MAX((CK17+AV17)/2,H17))))</f>
        <v>75</v>
      </c>
      <c r="AU17" s="50" t="n">
        <f aca="false">AT17*G17</f>
        <v>29937.75</v>
      </c>
      <c r="AV17" s="50" t="n">
        <f aca="false">ROUNDUP(CK17+MAX(CL17,2*(J17/IF(CG17&gt;0,CG17,MAX(0.1,N(Cockpit!$I$6)))-CK17)),0)</f>
        <v>1</v>
      </c>
      <c r="AW17" s="51" t="n">
        <f aca="false">IF(AS17&gt;0,J17/AS17,-1)</f>
        <v>0</v>
      </c>
      <c r="AX17" s="51" t="n">
        <f aca="false">IF(AND(OR(CF17="L1",CF17="L23",CF17="LIFT"),AS17&gt;0),SUMIFS($AS$7:$AS$1843,$CF$7:$CF$1843,CF17,$AW$7:$AW$1843,"&gt;"&amp;AW17)+SUMIFS($AS$7:$AS$1843,$CF$7:$CF$1843,CF17,$AW$7:$AW$1843,AW17,$BW$7:$BW$1843,"&lt;="&amp;BW17),"")</f>
        <v>30958.420549554</v>
      </c>
      <c r="AY17" s="58" t="n">
        <f aca="false">IF(AX17="",0,MAX(0,MIN(1,(IF(CF17="L1",Parameter!$H$5,IF(CF17="L23",Parameter!$H$6+Parameter!$H$7,Parameter!$H$5+Parameter!$H$6+Parameter!$H$7))-(AX17-AS17))/AS17)))</f>
        <v>1</v>
      </c>
      <c r="AZ17" s="50" t="n">
        <f aca="false">IF(LEFT(Cockpit!$O$5,1)="A",H17,IF(Parameter!$E$30="MAX-Bestand",IF(CH17=1,CI17,IF(LEFT(Cockpit!$O$5,1)="B",BF17,MAX(BF17,H17))),ROUNDUP(BD17,0)))</f>
        <v>1</v>
      </c>
      <c r="BA17" s="50" t="n">
        <f aca="false">IF(BZ17=1,0,ROUNDUP(AZ17/BY17,0))</f>
        <v>1</v>
      </c>
      <c r="BB17" s="52" t="n">
        <f aca="false">IF(CQ17&gt;0,CQ17*MAX(1,AZ17/X17),IF(BZ17=1,IF(AZ17&lt;=0,0,CD17*MAX(1,IF(H17&gt;0,AZ17/H17,1))),IF(R17&gt;0,BA17/R17,0))/MAX(0.1,N(Parameter!$M$21)))</f>
        <v>0.25</v>
      </c>
      <c r="BC17" s="50" t="n">
        <f aca="false">BB17*CB17</f>
        <v>58.75</v>
      </c>
      <c r="BD17" s="51" t="n">
        <f aca="false">IF(LEFT(Cockpit!$O$5,1)="A",H17,IF(CH17=1,(CK17+CI17)/2,IF(LEFT(Cockpit!$O$5,1)="B",(CK17+BF17)/2,MAX((CK17+BF17)/2,H17))))</f>
        <v>0.5</v>
      </c>
      <c r="BE17" s="50" t="n">
        <f aca="false">BD17*G17</f>
        <v>199.585</v>
      </c>
      <c r="BF17" s="50" t="n">
        <f aca="false">ROUNDUP(CK17+MAX(CL17,2*(J17/IF(CG17&gt;0,CG17,MAX(0.1,N(Cockpit!$O$6)))-CK17)),0)</f>
        <v>1</v>
      </c>
      <c r="BG17" s="51" t="n">
        <f aca="false">IF(BC17&gt;0,J17/BC17,-1)</f>
        <v>0</v>
      </c>
      <c r="BH17" s="51" t="n">
        <f aca="false">IF(AND(OR(CF17="L1",CF17="L23",CF17="LIFT"),BC17&gt;0),SUMIFS($BC$7:$BC$1843,$CF$7:$CF$1843,CF17,$BG$7:$BG$1843,"&gt;"&amp;BG17)+SUMIFS($BC$7:$BC$1843,$CF$7:$CF$1843,CF17,$BG$7:$BG$1843,BG17,$BW$7:$BW$1843,"&lt;="&amp;BW17),"")</f>
        <v>25213.752392852</v>
      </c>
      <c r="BI17" s="58" t="n">
        <f aca="false">IF(BH17="",0,MAX(0,MIN(1,(IF(CF17="L1",Parameter!$H$5,IF(CF17="L23",Parameter!$H$6+Parameter!$H$7,Parameter!$H$5+Parameter!$H$6+Parameter!$H$7))-(BH17-BC17))/BC17)))</f>
        <v>1</v>
      </c>
      <c r="BJ17" s="48" t="str">
        <f aca="false">IF(AI17&lt;=0,"",IF(CF17="Aussen","Aussenlager",IF(CF17="-","Nicht im Lift",IF(AO17&gt;=1,"Lift",IF(AO17&lt;=0,"Aussenlager","teilweise")))))</f>
        <v>Lift</v>
      </c>
      <c r="BK17" s="48" t="str">
        <f aca="false">IF(AS17&lt;=0,"",IF(CF17="Aussen","Aussenlager",IF(CF17="-","Nicht im Lift",IF(AY17&gt;=1,"Lift",IF(AY17&lt;=0,"Aussenlager","teilweise")))))</f>
        <v>Lift</v>
      </c>
      <c r="BL17" s="48" t="str">
        <f aca="false">IF(BC17&lt;=0,"",IF(CF17="Aussen","Aussenlager",IF(CF17="-","Nicht im Lift",IF(BI17&gt;=1,"Lift",IF(BI17&lt;=0,"Aussenlager","teilweise")))))</f>
        <v>Lift</v>
      </c>
      <c r="BM17" s="48" t="str">
        <f aca="false">IF(A17="","",IF(BV17=1,"Neu; ","")&amp;IF(AND(BV17=0,BQ17&lt;0),"negativer Bestand (Export "&amp;BQ17&amp;"); ","")&amp;IF(J17&lt;=0,"Kein Verbrauch; ","")&amp;IF(CQ17&gt;0,"Lift "&amp;W17&amp;" lt. Liftbericht (Fach "&amp;X17&amp;" Stk); ",IF(CA17=1,"Gebinde geschätzt ("&amp;T17&amp;"); ",IF(BZ17=1,"Lose – Tablare geschätzt; ","")))&amp;IF(H17&gt;AV17,"Überbestand "&amp;ROUND(H17-AV17,0)&amp;" Stk / CHF "&amp;ROUND((H17-AV17)*G17,0)&amp;"; ","")&amp;IF(AND(CH17=1,CI17&lt;CJ17),"MAX &lt; MB+LG; ","")&amp;IF(AND(CP17&gt;0,CO17*10&gt;CP17),"zu hoch für Tablar; ","")&amp;IF(AND(BV17=0,OR(CH17=1,AA17&lt;&gt;"",U17&lt;&gt;"",V17&lt;&gt;"",AB17&lt;&gt;"")),"manuell übersteuert; ","")&amp;IF(AND(BZ17=0,R17=0),"Gebinde unbekannt / Stellmass fehlt; ","")&amp;IF(AND(BZ17=0,N(V17)&lt;=0,N(Q17)&lt;=0),"Menge pro Gebinde fehlt (Ist = 1 Gebinde); ","")&amp;BU17)</f>
        <v>Kein Verbrauch; Gebinde geschätzt (Gross); Überbestand 74 Stk / CHF 29539; Menge pro Gebinde fehlt (Ist = 1 Gebinde); </v>
      </c>
      <c r="BN17" s="48"/>
      <c r="BO17" s="48"/>
      <c r="BP17" s="55"/>
      <c r="BQ17" s="50" t="n">
        <v>75</v>
      </c>
      <c r="BR17" s="50" t="n">
        <v>0</v>
      </c>
      <c r="BS17" s="49" t="n">
        <v>29937.75</v>
      </c>
      <c r="BT17" s="50" t="n">
        <v>0</v>
      </c>
      <c r="BU17" s="48"/>
      <c r="BV17" s="53" t="n">
        <v>0</v>
      </c>
      <c r="BW17" s="53" t="n">
        <v>17</v>
      </c>
      <c r="BX17" s="48" t="str">
        <f aca="false">IF(U17&lt;&gt;"",UPPER(TRIM(U17)),IF(CA17=1,UPPER(VLOOKUP(T17,Parameter!$I$27:$K$29,2,0)),IF(P17="","LOSE",P17)))</f>
        <v>S81</v>
      </c>
      <c r="BY17" s="50" t="n">
        <f aca="false">IF(BX17="LOSE",1,IF(N(V17)&gt;0,V17,IF(CA17=1,MAX(1,N(VLOOKUP(T17,Parameter!$I$27:$K$29,3,0)),H17,N(N17)),IF(N(Q17)&gt;0,Q17,MAX(1,H17)))))</f>
        <v>75</v>
      </c>
      <c r="BZ17" s="53" t="n">
        <f aca="false">IF(BX17="LOSE",1,0)</f>
        <v>0</v>
      </c>
      <c r="CA17" s="53" t="n">
        <f aca="false">IF(AND(U17="",OR(P17="",P17="LOSE"),T17&lt;&gt;"",N(S17)&lt;=0,ISNUMBER(MATCH(T17,Parameter!$I$27:$I$29,0))),1,0)</f>
        <v>1</v>
      </c>
      <c r="CB17" s="53" t="n">
        <f aca="false">IF(CQ17&gt;0,INDEX(Parameter!$H$5:$H$7,W17)/INDEX(Parameter!$E$5:$E$7,W17),IF(AND(BZ17=0,N(IFERROR(VLOOKUP(BX17,'Gebinde-Kategorie'!$A$5:$N$45,14,0),0))&gt;0),VLOOKUP(BX17,'Gebinde-Kategorie'!$A$5:$N$45,14,0)*10+Parameter!$M$23,Parameter!$M$24))</f>
        <v>235</v>
      </c>
      <c r="CC17" s="48" t="str">
        <f aca="false">IF(AND(Parameter!$B$19="Ja",E17&lt;&gt;"",ISNUMBER(MATCH(E17,Parameter!$I$35:$I$52,0))),VLOOKUP(E17,Parameter!$I$35:$J$52,2,0),IFERROR(VLOOKUP(D17,Parameter!$A$35:$C$64,2,0),"Nein"))</f>
        <v>2+3</v>
      </c>
      <c r="CD17" s="52" t="n">
        <f aca="false">IF(BZ17=0,0,IF(N(S17)&gt;0,S17,IFERROR(VLOOKUP(D17,Parameter!$A$35:$C$64,3,0)+0,0)))</f>
        <v>0</v>
      </c>
      <c r="CE17" s="48" t="n">
        <f aca="false">IF(AA17&lt;&gt;"",AA17,Z17)</f>
        <v>2</v>
      </c>
      <c r="CF17" s="48" t="str">
        <f aca="false">IF(OR(CE17=1,CE17=2,CE17=3),IF(Parameter!$E$27="Ja","LIFT",IF(CE17=1,"L1","L23")),IF(CE17="Aussen","Aussen","-"))</f>
        <v>LIFT</v>
      </c>
      <c r="CG17" s="59" t="n">
        <f aca="false">IF(N(AB17)&gt;0,AB17,0)</f>
        <v>0</v>
      </c>
      <c r="CH17" s="53" t="n">
        <f aca="false">IF(ISNUMBER(AE17),1,0)</f>
        <v>0</v>
      </c>
      <c r="CI17" s="50" t="n">
        <f aca="false">N(AE17)</f>
        <v>0</v>
      </c>
      <c r="CJ17" s="50" t="n">
        <f aca="false">N(M17)+N(N17)</f>
        <v>1</v>
      </c>
      <c r="CK17" s="50" t="n">
        <f aca="false">N(M17)</f>
        <v>0</v>
      </c>
      <c r="CL17" s="50" t="n">
        <f aca="false">N(N17)</f>
        <v>1</v>
      </c>
      <c r="CM17" s="50" t="n">
        <f aca="false">ROUNDUP(H17/BY17,0)</f>
        <v>1</v>
      </c>
      <c r="CN17" s="50" t="n">
        <f aca="false">ROUNDUP(CI17/BY17,0)</f>
        <v>0</v>
      </c>
      <c r="CO17" s="53" t="n">
        <f aca="false">IF(BZ17=1,0,IFERROR(VLOOKUP(BX17,'Gebinde-Kategorie'!$A$5:$N$45,5,0)+0,0))</f>
        <v>20</v>
      </c>
      <c r="CP17" s="53" t="n">
        <f aca="false">IFERROR(IF(OR(CE17=1,CE17=2,CE17=3),N(INDEX(Parameter!$I$5:$I$7,CE17)),0),0)</f>
        <v>0</v>
      </c>
      <c r="CQ17" s="52" t="n">
        <f aca="false">IF(AND(Parameter!$B$21="Ja",ISNUMBER(W17),N(X17)&gt;0),IFERROR(N(INDEX(Parameter!$L$5:$L$7,W17))*INDEX(Parameter!$E$5:$E$7,W17)*X17/SUMIFS($X$7:$X$1843,$W$7:$W$1843,W17),0),0)</f>
        <v>0</v>
      </c>
    </row>
    <row r="18" customFormat="false" ht="15" hidden="false" customHeight="false" outlineLevel="0" collapsed="false">
      <c r="A18" s="48" t="s">
        <v>211</v>
      </c>
      <c r="B18" s="48" t="s">
        <v>212</v>
      </c>
      <c r="C18" s="48" t="s">
        <v>173</v>
      </c>
      <c r="D18" s="48" t="s">
        <v>182</v>
      </c>
      <c r="E18" s="48" t="s">
        <v>175</v>
      </c>
      <c r="F18" s="48" t="s">
        <v>210</v>
      </c>
      <c r="G18" s="49" t="n">
        <v>1120.91</v>
      </c>
      <c r="H18" s="50" t="n">
        <f aca="false">MAX(0,IF(AND(Parameter!$B$21="Ja",ISNUMBER(Y18)),Y18,IF(Parameter!$B$20="Jahresanfang 2025 + Export",BR18+BQ18,BQ18)))</f>
        <v>26</v>
      </c>
      <c r="I18" s="50" t="n">
        <f aca="false">H18*G18</f>
        <v>29143.66</v>
      </c>
      <c r="J18" s="50" t="n">
        <f aca="false">BT18*Parameter!$B$18</f>
        <v>25</v>
      </c>
      <c r="K18" s="51" t="n">
        <v>9.5</v>
      </c>
      <c r="L18" s="52" t="n">
        <v>2.63157894736842</v>
      </c>
      <c r="M18" s="50" t="n">
        <v>10</v>
      </c>
      <c r="N18" s="50" t="n">
        <v>10</v>
      </c>
      <c r="O18" s="53" t="n">
        <v>126</v>
      </c>
      <c r="P18" s="48" t="s">
        <v>183</v>
      </c>
      <c r="Q18" s="50" t="n">
        <v>8</v>
      </c>
      <c r="R18" s="53" t="n">
        <f aca="false">IF(BZ18=1,0,IFERROR(VLOOKUP(BX18,'Gebinde-Kategorie'!$A$5:$N$45,13,0)+0,0))</f>
        <v>6</v>
      </c>
      <c r="S18" s="54"/>
      <c r="T18" s="55"/>
      <c r="U18" s="55"/>
      <c r="V18" s="55"/>
      <c r="W18" s="48"/>
      <c r="X18" s="50"/>
      <c r="Y18" s="50"/>
      <c r="Z18" s="48" t="n">
        <f aca="false">IF(A18="","",IF(AND(Parameter!$B$21="Ja",ISNUMBER(W18)),W18,IF(CC18="2+3",IF(ISNUMBER(SEARCH("grosser Artikel",BU18)),2,IFERROR(VLOOKUP(BX18,Parameter!$F$35:$G$64,2,0),2)),IF(OR(CC18="Nein",CC18=""),"-",CC18))))</f>
        <v>1</v>
      </c>
      <c r="AA18" s="55"/>
      <c r="AB18" s="56"/>
      <c r="AC18" s="50" t="n">
        <f aca="false">AV18</f>
        <v>20</v>
      </c>
      <c r="AD18" s="50" t="n">
        <f aca="false">MAX(AV18,H18)</f>
        <v>26</v>
      </c>
      <c r="AE18" s="57"/>
      <c r="AF18" s="50" t="n">
        <f aca="false">IF(LEFT(Cockpit!$C$5,1)="A",H18,IF(Parameter!$E$30="MAX-Bestand",IF(CH18=1,CI18,IF(LEFT(Cockpit!$C$5,1)="B",AL18,MAX(AL18,H18))),ROUNDUP(AJ18,0)))</f>
        <v>26</v>
      </c>
      <c r="AG18" s="50" t="n">
        <f aca="false">IF(BZ18=1,0,ROUNDUP(AF18/BY18,0))</f>
        <v>4</v>
      </c>
      <c r="AH18" s="52" t="n">
        <f aca="false">IF(CQ18&gt;0,CQ18*MAX(1,AF18/X18),IF(BZ18=1,IF(AF18&lt;=0,0,CD18*MAX(1,IF(H18&gt;0,AF18/H18,1))),IF(R18&gt;0,AG18/R18,0))/MAX(0.1,N(Parameter!$M$21)))</f>
        <v>0.666666666666667</v>
      </c>
      <c r="AI18" s="50" t="n">
        <f aca="false">AH18*CB18</f>
        <v>156.666666666667</v>
      </c>
      <c r="AJ18" s="51" t="n">
        <f aca="false">IF(LEFT(Cockpit!$C$5,1)="A",H18,IF(CH18=1,(CK18+CI18)/2,IF(LEFT(Cockpit!$C$5,1)="B",(CK18+AL18)/2,MAX((CK18+AL18)/2,H18))))</f>
        <v>26</v>
      </c>
      <c r="AK18" s="50" t="n">
        <f aca="false">AJ18*G18</f>
        <v>29143.66</v>
      </c>
      <c r="AL18" s="50" t="n">
        <f aca="false">ROUNDUP(CK18+MAX(CL18,2*(J18/IF(CG18&gt;0,CG18,MAX(0.1,N(Cockpit!$C$6)))-CK18)),0)</f>
        <v>20</v>
      </c>
      <c r="AM18" s="51" t="n">
        <f aca="false">IF(AI18&gt;0,J18/AI18,-1)</f>
        <v>0.159574468085106</v>
      </c>
      <c r="AN18" s="51" t="n">
        <f aca="false">IF(AND(OR(CF18="L1",CF18="L23",CF18="LIFT"),AI18&gt;0),SUMIFS($AI$7:$AI$1843,$CF$7:$CF$1843,CF18,$AM$7:$AM$1843,"&gt;"&amp;AM18)+SUMIFS($AI$7:$AI$1843,$CF$7:$CF$1843,CF18,$AM$7:$AM$1843,AM18,$BW$7:$BW$1843,"&lt;="&amp;BW18),"")</f>
        <v>13022.4901311024</v>
      </c>
      <c r="AO18" s="58" t="n">
        <f aca="false">IF(AN18="",0,MAX(0,MIN(1,(IF(CF18="L1",Parameter!$H$5,IF(CF18="L23",Parameter!$H$6+Parameter!$H$7,Parameter!$H$5+Parameter!$H$6+Parameter!$H$7))-(AN18-AI18))/AI18)))</f>
        <v>1</v>
      </c>
      <c r="AP18" s="50" t="n">
        <f aca="false">IF(LEFT(Cockpit!$I$5,1)="A",H18,IF(Parameter!$E$30="MAX-Bestand",IF(CH18=1,CI18,IF(LEFT(Cockpit!$I$5,1)="B",AV18,MAX(AV18,H18))),ROUNDUP(AT18,0)))</f>
        <v>26</v>
      </c>
      <c r="AQ18" s="50" t="n">
        <f aca="false">IF(BZ18=1,0,ROUNDUP(AP18/BY18,0))</f>
        <v>4</v>
      </c>
      <c r="AR18" s="52" t="n">
        <f aca="false">IF(CQ18&gt;0,CQ18*MAX(1,AP18/X18),IF(BZ18=1,IF(AP18&lt;=0,0,CD18*MAX(1,IF(H18&gt;0,AP18/H18,1))),IF(R18&gt;0,AQ18/R18,0))/MAX(0.1,N(Parameter!$M$21)))</f>
        <v>0.666666666666667</v>
      </c>
      <c r="AS18" s="50" t="n">
        <f aca="false">AR18*CB18</f>
        <v>156.666666666667</v>
      </c>
      <c r="AT18" s="51" t="n">
        <f aca="false">IF(LEFT(Cockpit!$I$5,1)="A",H18,IF(CH18=1,(CK18+CI18)/2,IF(LEFT(Cockpit!$I$5,1)="B",(CK18+AV18)/2,MAX((CK18+AV18)/2,H18))))</f>
        <v>26</v>
      </c>
      <c r="AU18" s="50" t="n">
        <f aca="false">AT18*G18</f>
        <v>29143.66</v>
      </c>
      <c r="AV18" s="50" t="n">
        <f aca="false">ROUNDUP(CK18+MAX(CL18,2*(J18/IF(CG18&gt;0,CG18,MAX(0.1,N(Cockpit!$I$6)))-CK18)),0)</f>
        <v>20</v>
      </c>
      <c r="AW18" s="51" t="n">
        <f aca="false">IF(AS18&gt;0,J18/AS18,-1)</f>
        <v>0.159574468085106</v>
      </c>
      <c r="AX18" s="51" t="n">
        <f aca="false">IF(AND(OR(CF18="L1",CF18="L23",CF18="LIFT"),AS18&gt;0),SUMIFS($AS$7:$AS$1843,$CF$7:$CF$1843,CF18,$AW$7:$AW$1843,"&gt;"&amp;AW18)+SUMIFS($AS$7:$AS$1843,$CF$7:$CF$1843,CF18,$AW$7:$AW$1843,AW18,$BW$7:$BW$1843,"&lt;="&amp;BW18),"")</f>
        <v>15975.3374542125</v>
      </c>
      <c r="AY18" s="58" t="n">
        <f aca="false">IF(AX18="",0,MAX(0,MIN(1,(IF(CF18="L1",Parameter!$H$5,IF(CF18="L23",Parameter!$H$6+Parameter!$H$7,Parameter!$H$5+Parameter!$H$6+Parameter!$H$7))-(AX18-AS18))/AS18)))</f>
        <v>1</v>
      </c>
      <c r="AZ18" s="50" t="n">
        <f aca="false">IF(LEFT(Cockpit!$O$5,1)="A",H18,IF(Parameter!$E$30="MAX-Bestand",IF(CH18=1,CI18,IF(LEFT(Cockpit!$O$5,1)="B",BF18,MAX(BF18,H18))),ROUNDUP(BD18,0)))</f>
        <v>15</v>
      </c>
      <c r="BA18" s="50" t="n">
        <f aca="false">IF(BZ18=1,0,ROUNDUP(AZ18/BY18,0))</f>
        <v>2</v>
      </c>
      <c r="BB18" s="52" t="n">
        <f aca="false">IF(CQ18&gt;0,CQ18*MAX(1,AZ18/X18),IF(BZ18=1,IF(AZ18&lt;=0,0,CD18*MAX(1,IF(H18&gt;0,AZ18/H18,1))),IF(R18&gt;0,BA18/R18,0))/MAX(0.1,N(Parameter!$M$21)))</f>
        <v>0.333333333333333</v>
      </c>
      <c r="BC18" s="50" t="n">
        <f aca="false">BB18*CB18</f>
        <v>78.3333333333333</v>
      </c>
      <c r="BD18" s="51" t="n">
        <f aca="false">IF(LEFT(Cockpit!$O$5,1)="A",H18,IF(CH18=1,(CK18+CI18)/2,IF(LEFT(Cockpit!$O$5,1)="B",(CK18+BF18)/2,MAX((CK18+BF18)/2,H18))))</f>
        <v>15</v>
      </c>
      <c r="BE18" s="50" t="n">
        <f aca="false">BD18*G18</f>
        <v>16813.65</v>
      </c>
      <c r="BF18" s="50" t="n">
        <f aca="false">ROUNDUP(CK18+MAX(CL18,2*(J18/IF(CG18&gt;0,CG18,MAX(0.1,N(Cockpit!$O$6)))-CK18)),0)</f>
        <v>20</v>
      </c>
      <c r="BG18" s="51" t="n">
        <f aca="false">IF(BC18&gt;0,J18/BC18,-1)</f>
        <v>0.319148936170213</v>
      </c>
      <c r="BH18" s="51" t="n">
        <f aca="false">IF(AND(OR(CF18="L1",CF18="L23",CF18="LIFT"),BC18&gt;0),SUMIFS($BC$7:$BC$1843,$CF$7:$CF$1843,CF18,$BG$7:$BG$1843,"&gt;"&amp;BG18)+SUMIFS($BC$7:$BC$1843,$CF$7:$CF$1843,CF18,$BG$7:$BG$1843,BG18,$BW$7:$BW$1843,"&lt;="&amp;BW18),"")</f>
        <v>11736.211996337</v>
      </c>
      <c r="BI18" s="58" t="n">
        <f aca="false">IF(BH18="",0,MAX(0,MIN(1,(IF(CF18="L1",Parameter!$H$5,IF(CF18="L23",Parameter!$H$6+Parameter!$H$7,Parameter!$H$5+Parameter!$H$6+Parameter!$H$7))-(BH18-BC18))/BC18)))</f>
        <v>1</v>
      </c>
      <c r="BJ18" s="48" t="str">
        <f aca="false">IF(AI18&lt;=0,"",IF(CF18="Aussen","Aussenlager",IF(CF18="-","Nicht im Lift",IF(AO18&gt;=1,"Lift",IF(AO18&lt;=0,"Aussenlager","teilweise")))))</f>
        <v>Lift</v>
      </c>
      <c r="BK18" s="48" t="str">
        <f aca="false">IF(AS18&lt;=0,"",IF(CF18="Aussen","Aussenlager",IF(CF18="-","Nicht im Lift",IF(AY18&gt;=1,"Lift",IF(AY18&lt;=0,"Aussenlager","teilweise")))))</f>
        <v>Lift</v>
      </c>
      <c r="BL18" s="48" t="str">
        <f aca="false">IF(BC18&lt;=0,"",IF(CF18="Aussen","Aussenlager",IF(CF18="-","Nicht im Lift",IF(BI18&gt;=1,"Lift",IF(BI18&lt;=0,"Aussenlager","teilweise")))))</f>
        <v>Lift</v>
      </c>
      <c r="BM18" s="48" t="str">
        <f aca="false">IF(A18="","",IF(BV18=1,"Neu; ","")&amp;IF(AND(BV18=0,BQ18&lt;0),"negativer Bestand (Export "&amp;BQ18&amp;"); ","")&amp;IF(J18&lt;=0,"Kein Verbrauch; ","")&amp;IF(CQ18&gt;0,"Lift "&amp;W18&amp;" lt. Liftbericht (Fach "&amp;X18&amp;" Stk); ",IF(CA18=1,"Gebinde geschätzt ("&amp;T18&amp;"); ",IF(BZ18=1,"Lose – Tablare geschätzt; ","")))&amp;IF(H18&gt;AV18,"Überbestand "&amp;ROUND(H18-AV18,0)&amp;" Stk / CHF "&amp;ROUND((H18-AV18)*G18,0)&amp;"; ","")&amp;IF(AND(CH18=1,CI18&lt;CJ18),"MAX &lt; MB+LG; ","")&amp;IF(AND(CP18&gt;0,CO18*10&gt;CP18),"zu hoch für Tablar; ","")&amp;IF(AND(BV18=0,OR(CH18=1,AA18&lt;&gt;"",U18&lt;&gt;"",V18&lt;&gt;"",AB18&lt;&gt;"")),"manuell übersteuert; ","")&amp;IF(AND(BZ18=0,R18=0),"Gebinde unbekannt / Stellmass fehlt; ","")&amp;IF(AND(BZ18=0,N(V18)&lt;=0,N(Q18)&lt;=0),"Menge pro Gebinde fehlt (Ist = 1 Gebinde); ","")&amp;BU18)</f>
        <v>Überbestand 6 Stk / CHF 6725; </v>
      </c>
      <c r="BN18" s="48"/>
      <c r="BO18" s="48"/>
      <c r="BP18" s="55"/>
      <c r="BQ18" s="50" t="n">
        <v>16</v>
      </c>
      <c r="BR18" s="50" t="n">
        <v>10</v>
      </c>
      <c r="BS18" s="49" t="n">
        <v>21618.66</v>
      </c>
      <c r="BT18" s="50" t="n">
        <v>25</v>
      </c>
      <c r="BU18" s="48"/>
      <c r="BV18" s="53" t="n">
        <v>0</v>
      </c>
      <c r="BW18" s="53" t="n">
        <v>18</v>
      </c>
      <c r="BX18" s="48" t="str">
        <f aca="false">IF(U18&lt;&gt;"",UPPER(TRIM(U18)),IF(CA18=1,UPPER(VLOOKUP(T18,Parameter!$I$27:$K$29,2,0)),IF(P18="","LOSE",P18)))</f>
        <v>S71</v>
      </c>
      <c r="BY18" s="50" t="n">
        <f aca="false">IF(BX18="LOSE",1,IF(N(V18)&gt;0,V18,IF(CA18=1,MAX(1,N(VLOOKUP(T18,Parameter!$I$27:$K$29,3,0)),H18,N(N18)),IF(N(Q18)&gt;0,Q18,MAX(1,H18)))))</f>
        <v>8</v>
      </c>
      <c r="BZ18" s="53" t="n">
        <f aca="false">IF(BX18="LOSE",1,0)</f>
        <v>0</v>
      </c>
      <c r="CA18" s="53" t="n">
        <f aca="false">IF(AND(U18="",OR(P18="",P18="LOSE"),T18&lt;&gt;"",N(S18)&lt;=0,ISNUMBER(MATCH(T18,Parameter!$I$27:$I$29,0))),1,0)</f>
        <v>0</v>
      </c>
      <c r="CB18" s="53" t="n">
        <f aca="false">IF(CQ18&gt;0,INDEX(Parameter!$H$5:$H$7,W18)/INDEX(Parameter!$E$5:$E$7,W18),IF(AND(BZ18=0,N(IFERROR(VLOOKUP(BX18,'Gebinde-Kategorie'!$A$5:$N$45,14,0),0))&gt;0),VLOOKUP(BX18,'Gebinde-Kategorie'!$A$5:$N$45,14,0)*10+Parameter!$M$23,Parameter!$M$24))</f>
        <v>235</v>
      </c>
      <c r="CC18" s="48" t="n">
        <f aca="false">IF(AND(Parameter!$B$19="Ja",E18&lt;&gt;"",ISNUMBER(MATCH(E18,Parameter!$I$35:$I$52,0))),VLOOKUP(E18,Parameter!$I$35:$J$52,2,0),IFERROR(VLOOKUP(D18,Parameter!$A$35:$C$64,2,0),"Nein"))</f>
        <v>1</v>
      </c>
      <c r="CD18" s="52" t="n">
        <f aca="false">IF(BZ18=0,0,IF(N(S18)&gt;0,S18,IFERROR(VLOOKUP(D18,Parameter!$A$35:$C$64,3,0)+0,0)))</f>
        <v>0</v>
      </c>
      <c r="CE18" s="48" t="n">
        <f aca="false">IF(AA18&lt;&gt;"",AA18,Z18)</f>
        <v>1</v>
      </c>
      <c r="CF18" s="48" t="str">
        <f aca="false">IF(OR(CE18=1,CE18=2,CE18=3),IF(Parameter!$E$27="Ja","LIFT",IF(CE18=1,"L1","L23")),IF(CE18="Aussen","Aussen","-"))</f>
        <v>LIFT</v>
      </c>
      <c r="CG18" s="59" t="n">
        <f aca="false">IF(N(AB18)&gt;0,AB18,0)</f>
        <v>0</v>
      </c>
      <c r="CH18" s="53" t="n">
        <f aca="false">IF(ISNUMBER(AE18),1,0)</f>
        <v>0</v>
      </c>
      <c r="CI18" s="50" t="n">
        <f aca="false">N(AE18)</f>
        <v>0</v>
      </c>
      <c r="CJ18" s="50" t="n">
        <f aca="false">N(M18)+N(N18)</f>
        <v>20</v>
      </c>
      <c r="CK18" s="50" t="n">
        <f aca="false">N(M18)</f>
        <v>10</v>
      </c>
      <c r="CL18" s="50" t="n">
        <f aca="false">N(N18)</f>
        <v>10</v>
      </c>
      <c r="CM18" s="50" t="n">
        <f aca="false">ROUNDUP(H18/BY18,0)</f>
        <v>4</v>
      </c>
      <c r="CN18" s="50" t="n">
        <f aca="false">ROUNDUP(CI18/BY18,0)</f>
        <v>0</v>
      </c>
      <c r="CO18" s="53" t="n">
        <f aca="false">IF(BZ18=1,0,IFERROR(VLOOKUP(BX18,'Gebinde-Kategorie'!$A$5:$N$45,5,0)+0,0))</f>
        <v>20</v>
      </c>
      <c r="CP18" s="53" t="n">
        <f aca="false">IFERROR(IF(OR(CE18=1,CE18=2,CE18=3),N(INDEX(Parameter!$I$5:$I$7,CE18)),0),0)</f>
        <v>0</v>
      </c>
      <c r="CQ18" s="52" t="n">
        <f aca="false">IF(AND(Parameter!$B$21="Ja",ISNUMBER(W18),N(X18)&gt;0),IFERROR(N(INDEX(Parameter!$L$5:$L$7,W18))*INDEX(Parameter!$E$5:$E$7,W18)*X18/SUMIFS($X$7:$X$1843,$W$7:$W$1843,W18),0),0)</f>
        <v>0</v>
      </c>
    </row>
    <row r="19" customFormat="false" ht="15" hidden="false" customHeight="false" outlineLevel="0" collapsed="false">
      <c r="A19" s="48" t="s">
        <v>213</v>
      </c>
      <c r="B19" s="48" t="s">
        <v>205</v>
      </c>
      <c r="C19" s="48" t="s">
        <v>173</v>
      </c>
      <c r="D19" s="48" t="s">
        <v>182</v>
      </c>
      <c r="E19" s="48"/>
      <c r="F19" s="48" t="s">
        <v>210</v>
      </c>
      <c r="G19" s="49" t="n">
        <v>4740.37</v>
      </c>
      <c r="H19" s="50" t="n">
        <f aca="false">MAX(0,IF(AND(Parameter!$B$21="Ja",ISNUMBER(Y19)),Y19,IF(Parameter!$B$20="Jahresanfang 2025 + Export",BR19+BQ19,BQ19)))</f>
        <v>4</v>
      </c>
      <c r="I19" s="50" t="n">
        <f aca="false">H19*G19</f>
        <v>18961.48</v>
      </c>
      <c r="J19" s="50" t="n">
        <f aca="false">BT19*Parameter!$B$18</f>
        <v>40</v>
      </c>
      <c r="K19" s="51" t="n">
        <v>13</v>
      </c>
      <c r="L19" s="52" t="n">
        <v>3.07692307692308</v>
      </c>
      <c r="M19" s="50" t="n">
        <v>5</v>
      </c>
      <c r="N19" s="50" t="n">
        <v>1</v>
      </c>
      <c r="O19" s="53" t="n">
        <v>28</v>
      </c>
      <c r="P19" s="48" t="s">
        <v>177</v>
      </c>
      <c r="Q19" s="50"/>
      <c r="R19" s="53" t="n">
        <f aca="false">IF(BZ19=1,0,IFERROR(VLOOKUP(BX19,'Gebinde-Kategorie'!$A$5:$N$45,13,0)+0,0))</f>
        <v>12</v>
      </c>
      <c r="S19" s="54"/>
      <c r="T19" s="55" t="s">
        <v>188</v>
      </c>
      <c r="U19" s="55"/>
      <c r="V19" s="55"/>
      <c r="W19" s="48"/>
      <c r="X19" s="50"/>
      <c r="Y19" s="50"/>
      <c r="Z19" s="48" t="n">
        <f aca="false">IF(A19="","",IF(AND(Parameter!$B$21="Ja",ISNUMBER(W19)),W19,IF(CC19="2+3",IF(ISNUMBER(SEARCH("grosser Artikel",BU19)),2,IFERROR(VLOOKUP(BX19,Parameter!$F$35:$G$64,2,0),2)),IF(OR(CC19="Nein",CC19=""),"-",CC19))))</f>
        <v>2</v>
      </c>
      <c r="AA19" s="55"/>
      <c r="AB19" s="56"/>
      <c r="AC19" s="50" t="n">
        <f aca="false">AV19</f>
        <v>22</v>
      </c>
      <c r="AD19" s="50" t="n">
        <f aca="false">MAX(AV19,H19)</f>
        <v>22</v>
      </c>
      <c r="AE19" s="57"/>
      <c r="AF19" s="50" t="n">
        <f aca="false">IF(LEFT(Cockpit!$C$5,1)="A",H19,IF(Parameter!$E$30="MAX-Bestand",IF(CH19=1,CI19,IF(LEFT(Cockpit!$C$5,1)="B",AL19,MAX(AL19,H19))),ROUNDUP(AJ19,0)))</f>
        <v>4</v>
      </c>
      <c r="AG19" s="50" t="n">
        <f aca="false">IF(BZ19=1,0,ROUNDUP(AF19/BY19,0))</f>
        <v>1</v>
      </c>
      <c r="AH19" s="52" t="n">
        <f aca="false">IF(CQ19&gt;0,CQ19*MAX(1,AF19/X19),IF(BZ19=1,IF(AF19&lt;=0,0,CD19*MAX(1,IF(H19&gt;0,AF19/H19,1))),IF(R19&gt;0,AG19/R19,0))/MAX(0.1,N(Parameter!$M$21)))</f>
        <v>0.0833333333333333</v>
      </c>
      <c r="AI19" s="50" t="n">
        <f aca="false">AH19*CB19</f>
        <v>12.0833333333333</v>
      </c>
      <c r="AJ19" s="51" t="n">
        <f aca="false">IF(LEFT(Cockpit!$C$5,1)="A",H19,IF(CH19=1,(CK19+CI19)/2,IF(LEFT(Cockpit!$C$5,1)="B",(CK19+AL19)/2,MAX((CK19+AL19)/2,H19))))</f>
        <v>4</v>
      </c>
      <c r="AK19" s="50" t="n">
        <f aca="false">AJ19*G19</f>
        <v>18961.48</v>
      </c>
      <c r="AL19" s="50" t="n">
        <f aca="false">ROUNDUP(CK19+MAX(CL19,2*(J19/IF(CG19&gt;0,CG19,MAX(0.1,N(Cockpit!$C$6)))-CK19)),0)</f>
        <v>22</v>
      </c>
      <c r="AM19" s="51" t="n">
        <f aca="false">IF(AI19&gt;0,J19/AI19,-1)</f>
        <v>3.31034482758621</v>
      </c>
      <c r="AN19" s="51" t="n">
        <f aca="false">IF(AND(OR(CF19="L1",CF19="L23",CF19="LIFT"),AI19&gt;0),SUMIFS($AI$7:$AI$1843,$CF$7:$CF$1843,CF19,$AM$7:$AM$1843,"&gt;"&amp;AM19)+SUMIFS($AI$7:$AI$1843,$CF$7:$CF$1843,CF19,$AM$7:$AM$1843,AM19,$BW$7:$BW$1843,"&lt;="&amp;BW19),"")</f>
        <v>4969.16163003663</v>
      </c>
      <c r="AO19" s="58" t="n">
        <f aca="false">IF(AN19="",0,MAX(0,MIN(1,(IF(CF19="L1",Parameter!$H$5,IF(CF19="L23",Parameter!$H$6+Parameter!$H$7,Parameter!$H$5+Parameter!$H$6+Parameter!$H$7))-(AN19-AI19))/AI19)))</f>
        <v>1</v>
      </c>
      <c r="AP19" s="50" t="n">
        <f aca="false">IF(LEFT(Cockpit!$I$5,1)="A",H19,IF(Parameter!$E$30="MAX-Bestand",IF(CH19=1,CI19,IF(LEFT(Cockpit!$I$5,1)="B",AV19,MAX(AV19,H19))),ROUNDUP(AT19,0)))</f>
        <v>14</v>
      </c>
      <c r="AQ19" s="50" t="n">
        <f aca="false">IF(BZ19=1,0,ROUNDUP(AP19/BY19,0))</f>
        <v>4</v>
      </c>
      <c r="AR19" s="52" t="n">
        <f aca="false">IF(CQ19&gt;0,CQ19*MAX(1,AP19/X19),IF(BZ19=1,IF(AP19&lt;=0,0,CD19*MAX(1,IF(H19&gt;0,AP19/H19,1))),IF(R19&gt;0,AQ19/R19,0))/MAX(0.1,N(Parameter!$M$21)))</f>
        <v>0.333333333333333</v>
      </c>
      <c r="AS19" s="50" t="n">
        <f aca="false">AR19*CB19</f>
        <v>48.3333333333333</v>
      </c>
      <c r="AT19" s="51" t="n">
        <f aca="false">IF(LEFT(Cockpit!$I$5,1)="A",H19,IF(CH19=1,(CK19+CI19)/2,IF(LEFT(Cockpit!$I$5,1)="B",(CK19+AV19)/2,MAX((CK19+AV19)/2,H19))))</f>
        <v>13.5</v>
      </c>
      <c r="AU19" s="50" t="n">
        <f aca="false">AT19*G19</f>
        <v>63994.995</v>
      </c>
      <c r="AV19" s="50" t="n">
        <f aca="false">ROUNDUP(CK19+MAX(CL19,2*(J19/IF(CG19&gt;0,CG19,MAX(0.1,N(Cockpit!$I$6)))-CK19)),0)</f>
        <v>22</v>
      </c>
      <c r="AW19" s="51" t="n">
        <f aca="false">IF(AS19&gt;0,J19/AS19,-1)</f>
        <v>0.827586206896552</v>
      </c>
      <c r="AX19" s="51" t="n">
        <f aca="false">IF(AND(OR(CF19="L1",CF19="L23",CF19="LIFT"),AS19&gt;0),SUMIFS($AS$7:$AS$1843,$CF$7:$CF$1843,CF19,$AW$7:$AW$1843,"&gt;"&amp;AW19)+SUMIFS($AS$7:$AS$1843,$CF$7:$CF$1843,CF19,$AW$7:$AW$1843,AW19,$BW$7:$BW$1843,"&lt;="&amp;BW19),"")</f>
        <v>9757.85989010989</v>
      </c>
      <c r="AY19" s="58" t="n">
        <f aca="false">IF(AX19="",0,MAX(0,MIN(1,(IF(CF19="L1",Parameter!$H$5,IF(CF19="L23",Parameter!$H$6+Parameter!$H$7,Parameter!$H$5+Parameter!$H$6+Parameter!$H$7))-(AX19-AS19))/AS19)))</f>
        <v>1</v>
      </c>
      <c r="AZ19" s="50" t="n">
        <f aca="false">IF(LEFT(Cockpit!$O$5,1)="A",H19,IF(Parameter!$E$30="MAX-Bestand",IF(CH19=1,CI19,IF(LEFT(Cockpit!$O$5,1)="B",BF19,MAX(BF19,H19))),ROUNDUP(BD19,0)))</f>
        <v>10</v>
      </c>
      <c r="BA19" s="50" t="n">
        <f aca="false">IF(BZ19=1,0,ROUNDUP(AZ19/BY19,0))</f>
        <v>3</v>
      </c>
      <c r="BB19" s="52" t="n">
        <f aca="false">IF(CQ19&gt;0,CQ19*MAX(1,AZ19/X19),IF(BZ19=1,IF(AZ19&lt;=0,0,CD19*MAX(1,IF(H19&gt;0,AZ19/H19,1))),IF(R19&gt;0,BA19/R19,0))/MAX(0.1,N(Parameter!$M$21)))</f>
        <v>0.25</v>
      </c>
      <c r="BC19" s="50" t="n">
        <f aca="false">BB19*CB19</f>
        <v>36.25</v>
      </c>
      <c r="BD19" s="51" t="n">
        <f aca="false">IF(LEFT(Cockpit!$O$5,1)="A",H19,IF(CH19=1,(CK19+CI19)/2,IF(LEFT(Cockpit!$O$5,1)="B",(CK19+BF19)/2,MAX((CK19+BF19)/2,H19))))</f>
        <v>10</v>
      </c>
      <c r="BE19" s="50" t="n">
        <f aca="false">BD19*G19</f>
        <v>47403.7</v>
      </c>
      <c r="BF19" s="50" t="n">
        <f aca="false">ROUNDUP(CK19+MAX(CL19,2*(J19/IF(CG19&gt;0,CG19,MAX(0.1,N(Cockpit!$O$6)))-CK19)),0)</f>
        <v>15</v>
      </c>
      <c r="BG19" s="51" t="n">
        <f aca="false">IF(BC19&gt;0,J19/BC19,-1)</f>
        <v>1.10344827586207</v>
      </c>
      <c r="BH19" s="51" t="n">
        <f aca="false">IF(AND(OR(CF19="L1",CF19="L23",CF19="LIFT"),BC19&gt;0),SUMIFS($BC$7:$BC$1843,$CF$7:$CF$1843,CF19,$BG$7:$BG$1843,"&gt;"&amp;BG19)+SUMIFS($BC$7:$BC$1843,$CF$7:$CF$1843,CF19,$BG$7:$BG$1843,BG19,$BW$7:$BW$1843,"&lt;="&amp;BW19),"")</f>
        <v>7339.05357142857</v>
      </c>
      <c r="BI19" s="58" t="n">
        <f aca="false">IF(BH19="",0,MAX(0,MIN(1,(IF(CF19="L1",Parameter!$H$5,IF(CF19="L23",Parameter!$H$6+Parameter!$H$7,Parameter!$H$5+Parameter!$H$6+Parameter!$H$7))-(BH19-BC19))/BC19)))</f>
        <v>1</v>
      </c>
      <c r="BJ19" s="48" t="str">
        <f aca="false">IF(AI19&lt;=0,"",IF(CF19="Aussen","Aussenlager",IF(CF19="-","Nicht im Lift",IF(AO19&gt;=1,"Lift",IF(AO19&lt;=0,"Aussenlager","teilweise")))))</f>
        <v>Lift</v>
      </c>
      <c r="BK19" s="48" t="str">
        <f aca="false">IF(AS19&lt;=0,"",IF(CF19="Aussen","Aussenlager",IF(CF19="-","Nicht im Lift",IF(AY19&gt;=1,"Lift",IF(AY19&lt;=0,"Aussenlager","teilweise")))))</f>
        <v>Lift</v>
      </c>
      <c r="BL19" s="48" t="str">
        <f aca="false">IF(BC19&lt;=0,"",IF(CF19="Aussen","Aussenlager",IF(CF19="-","Nicht im Lift",IF(BI19&gt;=1,"Lift",IF(BI19&lt;=0,"Aussenlager","teilweise")))))</f>
        <v>Lift</v>
      </c>
      <c r="BM19" s="48" t="str">
        <f aca="false">IF(A19="","",IF(BV19=1,"Neu; ","")&amp;IF(AND(BV19=0,BQ19&lt;0),"negativer Bestand (Export "&amp;BQ19&amp;"); ","")&amp;IF(J19&lt;=0,"Kein Verbrauch; ","")&amp;IF(CQ19&gt;0,"Lift "&amp;W19&amp;" lt. Liftbericht (Fach "&amp;X19&amp;" Stk); ",IF(CA19=1,"Gebinde geschätzt ("&amp;T19&amp;"); ",IF(BZ19=1,"Lose – Tablare geschätzt; ","")))&amp;IF(H19&gt;AV19,"Überbestand "&amp;ROUND(H19-AV19,0)&amp;" Stk / CHF "&amp;ROUND((H19-AV19)*G19,0)&amp;"; ","")&amp;IF(AND(CH19=1,CI19&lt;CJ19),"MAX &lt; MB+LG; ","")&amp;IF(AND(CP19&gt;0,CO19*10&gt;CP19),"zu hoch für Tablar; ","")&amp;IF(AND(BV19=0,OR(CH19=1,AA19&lt;&gt;"",U19&lt;&gt;"",V19&lt;&gt;"",AB19&lt;&gt;"")),"manuell übersteuert; ","")&amp;IF(AND(BZ19=0,R19=0),"Gebinde unbekannt / Stellmass fehlt; ","")&amp;IF(AND(BZ19=0,N(V19)&lt;=0,N(Q19)&lt;=0),"Menge pro Gebinde fehlt (Ist = 1 Gebinde); ","")&amp;BU19)</f>
        <v>Gebinde geschätzt (Mittel); Menge pro Gebinde fehlt (Ist = 1 Gebinde); </v>
      </c>
      <c r="BN19" s="48"/>
      <c r="BO19" s="48"/>
      <c r="BP19" s="55"/>
      <c r="BQ19" s="50" t="n">
        <v>4</v>
      </c>
      <c r="BR19" s="50" t="n">
        <v>0</v>
      </c>
      <c r="BS19" s="49" t="n">
        <v>18961.4799999999</v>
      </c>
      <c r="BT19" s="50" t="n">
        <v>40</v>
      </c>
      <c r="BU19" s="48"/>
      <c r="BV19" s="53" t="n">
        <v>0</v>
      </c>
      <c r="BW19" s="53" t="n">
        <v>19</v>
      </c>
      <c r="BX19" s="48" t="str">
        <f aca="false">IF(U19&lt;&gt;"",UPPER(TRIM(U19)),IF(CA19=1,UPPER(VLOOKUP(T19,Parameter!$I$27:$K$29,2,0)),IF(P19="","LOSE",P19)))</f>
        <v>S61</v>
      </c>
      <c r="BY19" s="50" t="n">
        <f aca="false">IF(BX19="LOSE",1,IF(N(V19)&gt;0,V19,IF(CA19=1,MAX(1,N(VLOOKUP(T19,Parameter!$I$27:$K$29,3,0)),H19,N(N19)),IF(N(Q19)&gt;0,Q19,MAX(1,H19)))))</f>
        <v>4</v>
      </c>
      <c r="BZ19" s="53" t="n">
        <f aca="false">IF(BX19="LOSE",1,0)</f>
        <v>0</v>
      </c>
      <c r="CA19" s="53" t="n">
        <f aca="false">IF(AND(U19="",OR(P19="",P19="LOSE"),T19&lt;&gt;"",N(S19)&lt;=0,ISNUMBER(MATCH(T19,Parameter!$I$27:$I$29,0))),1,0)</f>
        <v>1</v>
      </c>
      <c r="CB19" s="53" t="n">
        <f aca="false">IF(CQ19&gt;0,INDEX(Parameter!$H$5:$H$7,W19)/INDEX(Parameter!$E$5:$E$7,W19),IF(AND(BZ19=0,N(IFERROR(VLOOKUP(BX19,'Gebinde-Kategorie'!$A$5:$N$45,14,0),0))&gt;0),VLOOKUP(BX19,'Gebinde-Kategorie'!$A$5:$N$45,14,0)*10+Parameter!$M$23,Parameter!$M$24))</f>
        <v>145</v>
      </c>
      <c r="CC19" s="48" t="str">
        <f aca="false">IF(AND(Parameter!$B$19="Ja",E19&lt;&gt;"",ISNUMBER(MATCH(E19,Parameter!$I$35:$I$52,0))),VLOOKUP(E19,Parameter!$I$35:$J$52,2,0),IFERROR(VLOOKUP(D19,Parameter!$A$35:$C$64,2,0),"Nein"))</f>
        <v>2+3</v>
      </c>
      <c r="CD19" s="52" t="n">
        <f aca="false">IF(BZ19=0,0,IF(N(S19)&gt;0,S19,IFERROR(VLOOKUP(D19,Parameter!$A$35:$C$64,3,0)+0,0)))</f>
        <v>0</v>
      </c>
      <c r="CE19" s="48" t="n">
        <f aca="false">IF(AA19&lt;&gt;"",AA19,Z19)</f>
        <v>2</v>
      </c>
      <c r="CF19" s="48" t="str">
        <f aca="false">IF(OR(CE19=1,CE19=2,CE19=3),IF(Parameter!$E$27="Ja","LIFT",IF(CE19=1,"L1","L23")),IF(CE19="Aussen","Aussen","-"))</f>
        <v>LIFT</v>
      </c>
      <c r="CG19" s="59" t="n">
        <f aca="false">IF(N(AB19)&gt;0,AB19,0)</f>
        <v>0</v>
      </c>
      <c r="CH19" s="53" t="n">
        <f aca="false">IF(ISNUMBER(AE19),1,0)</f>
        <v>0</v>
      </c>
      <c r="CI19" s="50" t="n">
        <f aca="false">N(AE19)</f>
        <v>0</v>
      </c>
      <c r="CJ19" s="50" t="n">
        <f aca="false">N(M19)+N(N19)</f>
        <v>6</v>
      </c>
      <c r="CK19" s="50" t="n">
        <f aca="false">N(M19)</f>
        <v>5</v>
      </c>
      <c r="CL19" s="50" t="n">
        <f aca="false">N(N19)</f>
        <v>1</v>
      </c>
      <c r="CM19" s="50" t="n">
        <f aca="false">ROUNDUP(H19/BY19,0)</f>
        <v>1</v>
      </c>
      <c r="CN19" s="50" t="n">
        <f aca="false">ROUNDUP(CI19/BY19,0)</f>
        <v>0</v>
      </c>
      <c r="CO19" s="53" t="n">
        <f aca="false">IF(BZ19=1,0,IFERROR(VLOOKUP(BX19,'Gebinde-Kategorie'!$A$5:$N$45,5,0)+0,0))</f>
        <v>11</v>
      </c>
      <c r="CP19" s="53" t="n">
        <f aca="false">IFERROR(IF(OR(CE19=1,CE19=2,CE19=3),N(INDEX(Parameter!$I$5:$I$7,CE19)),0),0)</f>
        <v>0</v>
      </c>
      <c r="CQ19" s="52" t="n">
        <f aca="false">IF(AND(Parameter!$B$21="Ja",ISNUMBER(W19),N(X19)&gt;0),IFERROR(N(INDEX(Parameter!$L$5:$L$7,W19))*INDEX(Parameter!$E$5:$E$7,W19)*X19/SUMIFS($X$7:$X$1843,$W$7:$W$1843,W19),0),0)</f>
        <v>0</v>
      </c>
    </row>
    <row r="20" customFormat="false" ht="15" hidden="false" customHeight="false" outlineLevel="0" collapsed="false">
      <c r="A20" s="48" t="s">
        <v>214</v>
      </c>
      <c r="B20" s="48" t="s">
        <v>215</v>
      </c>
      <c r="C20" s="48" t="s">
        <v>173</v>
      </c>
      <c r="D20" s="48" t="s">
        <v>174</v>
      </c>
      <c r="E20" s="48" t="s">
        <v>175</v>
      </c>
      <c r="F20" s="48" t="s">
        <v>210</v>
      </c>
      <c r="G20" s="49" t="n">
        <v>3611.62</v>
      </c>
      <c r="H20" s="50" t="n">
        <f aca="false">MAX(0,IF(AND(Parameter!$B$21="Ja",ISNUMBER(Y20)),Y20,IF(Parameter!$B$20="Jahresanfang 2025 + Export",BR20+BQ20,BQ20)))</f>
        <v>0</v>
      </c>
      <c r="I20" s="50" t="n">
        <f aca="false">H20*G20</f>
        <v>0</v>
      </c>
      <c r="J20" s="50" t="n">
        <f aca="false">BT20*Parameter!$B$18</f>
        <v>21</v>
      </c>
      <c r="K20" s="51" t="n">
        <v>6.5</v>
      </c>
      <c r="L20" s="52" t="n">
        <v>3.23076923076923</v>
      </c>
      <c r="M20" s="50" t="n">
        <v>1</v>
      </c>
      <c r="N20" s="50" t="n">
        <v>5</v>
      </c>
      <c r="O20" s="53" t="n">
        <v>21</v>
      </c>
      <c r="P20" s="48" t="s">
        <v>177</v>
      </c>
      <c r="Q20" s="50"/>
      <c r="R20" s="53" t="n">
        <f aca="false">IF(BZ20=1,0,IFERROR(VLOOKUP(BX20,'Gebinde-Kategorie'!$A$5:$N$45,13,0)+0,0))</f>
        <v>0</v>
      </c>
      <c r="S20" s="54"/>
      <c r="T20" s="55"/>
      <c r="U20" s="55"/>
      <c r="V20" s="55"/>
      <c r="W20" s="48" t="n">
        <v>1</v>
      </c>
      <c r="X20" s="50" t="n">
        <v>10</v>
      </c>
      <c r="Y20" s="50" t="n">
        <v>0</v>
      </c>
      <c r="Z20" s="48" t="n">
        <f aca="false">IF(A20="","",IF(AND(Parameter!$B$21="Ja",ISNUMBER(W20)),W20,IF(CC20="2+3",IF(ISNUMBER(SEARCH("grosser Artikel",BU20)),2,IFERROR(VLOOKUP(BX20,Parameter!$F$35:$G$64,2,0),2)),IF(OR(CC20="Nein",CC20=""),"-",CC20))))</f>
        <v>1</v>
      </c>
      <c r="AA20" s="55"/>
      <c r="AB20" s="56"/>
      <c r="AC20" s="50" t="n">
        <f aca="false">AV20</f>
        <v>13</v>
      </c>
      <c r="AD20" s="50" t="n">
        <f aca="false">MAX(AV20,H20)</f>
        <v>13</v>
      </c>
      <c r="AE20" s="57"/>
      <c r="AF20" s="50" t="n">
        <f aca="false">IF(LEFT(Cockpit!$C$5,1)="A",H20,IF(Parameter!$E$30="MAX-Bestand",IF(CH20=1,CI20,IF(LEFT(Cockpit!$C$5,1)="B",AL20,MAX(AL20,H20))),ROUNDUP(AJ20,0)))</f>
        <v>0</v>
      </c>
      <c r="AG20" s="50" t="n">
        <f aca="false">IF(BZ20=1,0,ROUNDUP(AF20/BY20,0))</f>
        <v>0</v>
      </c>
      <c r="AH20" s="52" t="n">
        <f aca="false">IF(CQ20&gt;0,CQ20*MAX(1,AF20/X20),IF(BZ20=1,IF(AF20&lt;=0,0,CD20*MAX(1,IF(H20&gt;0,AF20/H20,1))),IF(R20&gt;0,AG20/R20,0))/MAX(0.1,N(Parameter!$M$21)))</f>
        <v>0.800376647834275</v>
      </c>
      <c r="AI20" s="50" t="n">
        <f aca="false">AH20*CB20</f>
        <v>190.489642184557</v>
      </c>
      <c r="AJ20" s="51" t="n">
        <f aca="false">IF(LEFT(Cockpit!$C$5,1)="A",H20,IF(CH20=1,(CK20+CI20)/2,IF(LEFT(Cockpit!$C$5,1)="B",(CK20+AL20)/2,MAX((CK20+AL20)/2,H20))))</f>
        <v>0</v>
      </c>
      <c r="AK20" s="50" t="n">
        <f aca="false">AJ20*G20</f>
        <v>0</v>
      </c>
      <c r="AL20" s="50" t="n">
        <f aca="false">ROUNDUP(CK20+MAX(CL20,2*(J20/IF(CG20&gt;0,CG20,MAX(0.1,N(Cockpit!$C$6)))-CK20)),0)</f>
        <v>13</v>
      </c>
      <c r="AM20" s="51" t="n">
        <f aca="false">IF(AI20&gt;0,J20/AI20,-1)</f>
        <v>0.110242214532872</v>
      </c>
      <c r="AN20" s="51" t="n">
        <f aca="false">IF(AND(OR(CF20="L1",CF20="L23",CF20="LIFT"),AI20&gt;0),SUMIFS($AI$7:$AI$1843,$CF$7:$CF$1843,CF20,$AM$7:$AM$1843,"&gt;"&amp;AM20)+SUMIFS($AI$7:$AI$1843,$CF$7:$CF$1843,CF20,$AM$7:$AM$1843,AM20,$BW$7:$BW$1843,"&lt;="&amp;BW20),"")</f>
        <v>15028.5442017963</v>
      </c>
      <c r="AO20" s="58" t="n">
        <f aca="false">IF(AN20="",0,MAX(0,MIN(1,(IF(CF20="L1",Parameter!$H$5,IF(CF20="L23",Parameter!$H$6+Parameter!$H$7,Parameter!$H$5+Parameter!$H$6+Parameter!$H$7))-(AN20-AI20))/AI20)))</f>
        <v>1</v>
      </c>
      <c r="AP20" s="50" t="n">
        <f aca="false">IF(LEFT(Cockpit!$I$5,1)="A",H20,IF(Parameter!$E$30="MAX-Bestand",IF(CH20=1,CI20,IF(LEFT(Cockpit!$I$5,1)="B",AV20,MAX(AV20,H20))),ROUNDUP(AT20,0)))</f>
        <v>7</v>
      </c>
      <c r="AQ20" s="50" t="n">
        <f aca="false">IF(BZ20=1,0,ROUNDUP(AP20/BY20,0))</f>
        <v>0</v>
      </c>
      <c r="AR20" s="52" t="n">
        <f aca="false">IF(CQ20&gt;0,CQ20*MAX(1,AP20/X20),IF(BZ20=1,IF(AP20&lt;=0,0,CD20*MAX(1,IF(H20&gt;0,AP20/H20,1))),IF(R20&gt;0,AQ20/R20,0))/MAX(0.1,N(Parameter!$M$21)))</f>
        <v>0.800376647834275</v>
      </c>
      <c r="AS20" s="50" t="n">
        <f aca="false">AR20*CB20</f>
        <v>190.489642184557</v>
      </c>
      <c r="AT20" s="51" t="n">
        <f aca="false">IF(LEFT(Cockpit!$I$5,1)="A",H20,IF(CH20=1,(CK20+CI20)/2,IF(LEFT(Cockpit!$I$5,1)="B",(CK20+AV20)/2,MAX((CK20+AV20)/2,H20))))</f>
        <v>7</v>
      </c>
      <c r="AU20" s="50" t="n">
        <f aca="false">AT20*G20</f>
        <v>25281.34</v>
      </c>
      <c r="AV20" s="50" t="n">
        <f aca="false">ROUNDUP(CK20+MAX(CL20,2*(J20/IF(CG20&gt;0,CG20,MAX(0.1,N(Cockpit!$I$6)))-CK20)),0)</f>
        <v>13</v>
      </c>
      <c r="AW20" s="51" t="n">
        <f aca="false">IF(AS20&gt;0,J20/AS20,-1)</f>
        <v>0.110242214532872</v>
      </c>
      <c r="AX20" s="51" t="n">
        <f aca="false">IF(AND(OR(CF20="L1",CF20="L23",CF20="LIFT"),AS20&gt;0),SUMIFS($AS$7:$AS$1843,$CF$7:$CF$1843,CF20,$AW$7:$AW$1843,"&gt;"&amp;AW20)+SUMIFS($AS$7:$AS$1843,$CF$7:$CF$1843,CF20,$AW$7:$AW$1843,AW20,$BW$7:$BW$1843,"&lt;="&amp;BW20),"")</f>
        <v>19052.9428431738</v>
      </c>
      <c r="AY20" s="58" t="n">
        <f aca="false">IF(AX20="",0,MAX(0,MIN(1,(IF(CF20="L1",Parameter!$H$5,IF(CF20="L23",Parameter!$H$6+Parameter!$H$7,Parameter!$H$5+Parameter!$H$6+Parameter!$H$7))-(AX20-AS20))/AS20)))</f>
        <v>1</v>
      </c>
      <c r="AZ20" s="50" t="n">
        <f aca="false">IF(LEFT(Cockpit!$O$5,1)="A",H20,IF(Parameter!$E$30="MAX-Bestand",IF(CH20=1,CI20,IF(LEFT(Cockpit!$O$5,1)="B",BF20,MAX(BF20,H20))),ROUNDUP(BD20,0)))</f>
        <v>6</v>
      </c>
      <c r="BA20" s="50" t="n">
        <f aca="false">IF(BZ20=1,0,ROUNDUP(AZ20/BY20,0))</f>
        <v>0</v>
      </c>
      <c r="BB20" s="52" t="n">
        <f aca="false">IF(CQ20&gt;0,CQ20*MAX(1,AZ20/X20),IF(BZ20=1,IF(AZ20&lt;=0,0,CD20*MAX(1,IF(H20&gt;0,AZ20/H20,1))),IF(R20&gt;0,BA20/R20,0))/MAX(0.1,N(Parameter!$M$21)))</f>
        <v>0.800376647834275</v>
      </c>
      <c r="BC20" s="50" t="n">
        <f aca="false">BB20*CB20</f>
        <v>190.489642184557</v>
      </c>
      <c r="BD20" s="51" t="n">
        <f aca="false">IF(LEFT(Cockpit!$O$5,1)="A",H20,IF(CH20=1,(CK20+CI20)/2,IF(LEFT(Cockpit!$O$5,1)="B",(CK20+BF20)/2,MAX((CK20+BF20)/2,H20))))</f>
        <v>5.5</v>
      </c>
      <c r="BE20" s="50" t="n">
        <f aca="false">BD20*G20</f>
        <v>19863.91</v>
      </c>
      <c r="BF20" s="50" t="n">
        <f aca="false">ROUNDUP(CK20+MAX(CL20,2*(J20/IF(CG20&gt;0,CG20,MAX(0.1,N(Cockpit!$O$6)))-CK20)),0)</f>
        <v>10</v>
      </c>
      <c r="BG20" s="51" t="n">
        <f aca="false">IF(BC20&gt;0,J20/BC20,-1)</f>
        <v>0.110242214532872</v>
      </c>
      <c r="BH20" s="51" t="n">
        <f aca="false">IF(AND(OR(CF20="L1",CF20="L23",CF20="LIFT"),BC20&gt;0),SUMIFS($BC$7:$BC$1843,$CF$7:$CF$1843,CF20,$BG$7:$BG$1843,"&gt;"&amp;BG20)+SUMIFS($BC$7:$BC$1843,$CF$7:$CF$1843,CF20,$BG$7:$BG$1843,BG20,$BW$7:$BW$1843,"&lt;="&amp;BW20),"")</f>
        <v>16653.7554557025</v>
      </c>
      <c r="BI20" s="58" t="n">
        <f aca="false">IF(BH20="",0,MAX(0,MIN(1,(IF(CF20="L1",Parameter!$H$5,IF(CF20="L23",Parameter!$H$6+Parameter!$H$7,Parameter!$H$5+Parameter!$H$6+Parameter!$H$7))-(BH20-BC20))/BC20)))</f>
        <v>1</v>
      </c>
      <c r="BJ20" s="48" t="str">
        <f aca="false">IF(AI20&lt;=0,"",IF(CF20="Aussen","Aussenlager",IF(CF20="-","Nicht im Lift",IF(AO20&gt;=1,"Lift",IF(AO20&lt;=0,"Aussenlager","teilweise")))))</f>
        <v>Lift</v>
      </c>
      <c r="BK20" s="48" t="str">
        <f aca="false">IF(AS20&lt;=0,"",IF(CF20="Aussen","Aussenlager",IF(CF20="-","Nicht im Lift",IF(AY20&gt;=1,"Lift",IF(AY20&lt;=0,"Aussenlager","teilweise")))))</f>
        <v>Lift</v>
      </c>
      <c r="BL20" s="48" t="str">
        <f aca="false">IF(BC20&lt;=0,"",IF(CF20="Aussen","Aussenlager",IF(CF20="-","Nicht im Lift",IF(BI20&gt;=1,"Lift",IF(BI20&lt;=0,"Aussenlager","teilweise")))))</f>
        <v>Lift</v>
      </c>
      <c r="BM20" s="48" t="str">
        <f aca="false">IF(A20="","",IF(BV20=1,"Neu; ","")&amp;IF(AND(BV20=0,BQ20&lt;0),"negativer Bestand (Export "&amp;BQ20&amp;"); ","")&amp;IF(J20&lt;=0,"Kein Verbrauch; ","")&amp;IF(CQ20&gt;0,"Lift "&amp;W20&amp;" lt. Liftbericht (Fach "&amp;X20&amp;" Stk); ",IF(CA20=1,"Gebinde geschätzt ("&amp;T20&amp;"); ",IF(BZ20=1,"Lose – Tablare geschätzt; ","")))&amp;IF(H20&gt;AV20,"Überbestand "&amp;ROUND(H20-AV20,0)&amp;" Stk / CHF "&amp;ROUND((H20-AV20)*G20,0)&amp;"; ","")&amp;IF(AND(CH20=1,CI20&lt;CJ20),"MAX &lt; MB+LG; ","")&amp;IF(AND(CP20&gt;0,CO20*10&gt;CP20),"zu hoch für Tablar; ","")&amp;IF(AND(BV20=0,OR(CH20=1,AA20&lt;&gt;"",U20&lt;&gt;"",V20&lt;&gt;"",AB20&lt;&gt;"")),"manuell übersteuert; ","")&amp;IF(AND(BZ20=0,R20=0),"Gebinde unbekannt / Stellmass fehlt; ","")&amp;IF(AND(BZ20=0,N(V20)&lt;=0,N(Q20)&lt;=0),"Menge pro Gebinde fehlt (Ist = 1 Gebinde); ","")&amp;BU20)</f>
        <v>Lift 1 lt. Liftbericht (Fach 10 Stk); </v>
      </c>
      <c r="BN20" s="48"/>
      <c r="BO20" s="48"/>
      <c r="BP20" s="55"/>
      <c r="BQ20" s="50" t="n">
        <v>5</v>
      </c>
      <c r="BR20" s="50" t="n">
        <v>6</v>
      </c>
      <c r="BS20" s="49" t="n">
        <v>18957.62</v>
      </c>
      <c r="BT20" s="50" t="n">
        <v>21</v>
      </c>
      <c r="BU20" s="48"/>
      <c r="BV20" s="53" t="n">
        <v>0</v>
      </c>
      <c r="BW20" s="53" t="n">
        <v>20</v>
      </c>
      <c r="BX20" s="48" t="str">
        <f aca="false">IF(U20&lt;&gt;"",UPPER(TRIM(U20)),IF(CA20=1,UPPER(VLOOKUP(T20,Parameter!$I$27:$K$29,2,0)),IF(P20="","LOSE",P20)))</f>
        <v>LOSE</v>
      </c>
      <c r="BY20" s="50" t="n">
        <f aca="false">IF(BX20="LOSE",1,IF(N(V20)&gt;0,V20,IF(CA20=1,MAX(1,N(VLOOKUP(T20,Parameter!$I$27:$K$29,3,0)),H20,N(N20)),IF(N(Q20)&gt;0,Q20,MAX(1,H20)))))</f>
        <v>1</v>
      </c>
      <c r="BZ20" s="53" t="n">
        <f aca="false">IF(BX20="LOSE",1,0)</f>
        <v>1</v>
      </c>
      <c r="CA20" s="53" t="n">
        <f aca="false">IF(AND(U20="",OR(P20="",P20="LOSE"),T20&lt;&gt;"",N(S20)&lt;=0,ISNUMBER(MATCH(T20,Parameter!$I$27:$I$29,0))),1,0)</f>
        <v>0</v>
      </c>
      <c r="CB20" s="53" t="n">
        <f aca="false">IF(CQ20&gt;0,INDEX(Parameter!$H$5:$H$7,W20)/INDEX(Parameter!$E$5:$E$7,W20),IF(AND(BZ20=0,N(IFERROR(VLOOKUP(BX20,'Gebinde-Kategorie'!$A$5:$N$45,14,0),0))&gt;0),VLOOKUP(BX20,'Gebinde-Kategorie'!$A$5:$N$45,14,0)*10+Parameter!$M$23,Parameter!$M$24))</f>
        <v>238</v>
      </c>
      <c r="CC20" s="48" t="n">
        <f aca="false">IF(AND(Parameter!$B$19="Ja",E20&lt;&gt;"",ISNUMBER(MATCH(E20,Parameter!$I$35:$I$52,0))),VLOOKUP(E20,Parameter!$I$35:$J$52,2,0),IFERROR(VLOOKUP(D20,Parameter!$A$35:$C$64,2,0),"Nein"))</f>
        <v>1</v>
      </c>
      <c r="CD20" s="52" t="n">
        <f aca="false">IF(BZ20=0,0,IF(N(S20)&gt;0,S20,IFERROR(VLOOKUP(D20,Parameter!$A$35:$C$64,3,0)+0,0)))</f>
        <v>1</v>
      </c>
      <c r="CE20" s="48" t="n">
        <f aca="false">IF(AA20&lt;&gt;"",AA20,Z20)</f>
        <v>1</v>
      </c>
      <c r="CF20" s="48" t="str">
        <f aca="false">IF(OR(CE20=1,CE20=2,CE20=3),IF(Parameter!$E$27="Ja","LIFT",IF(CE20=1,"L1","L23")),IF(CE20="Aussen","Aussen","-"))</f>
        <v>LIFT</v>
      </c>
      <c r="CG20" s="59" t="n">
        <f aca="false">IF(N(AB20)&gt;0,AB20,0)</f>
        <v>0</v>
      </c>
      <c r="CH20" s="53" t="n">
        <f aca="false">IF(ISNUMBER(AE20),1,0)</f>
        <v>0</v>
      </c>
      <c r="CI20" s="50" t="n">
        <f aca="false">N(AE20)</f>
        <v>0</v>
      </c>
      <c r="CJ20" s="50" t="n">
        <f aca="false">N(M20)+N(N20)</f>
        <v>6</v>
      </c>
      <c r="CK20" s="50" t="n">
        <f aca="false">N(M20)</f>
        <v>1</v>
      </c>
      <c r="CL20" s="50" t="n">
        <f aca="false">N(N20)</f>
        <v>5</v>
      </c>
      <c r="CM20" s="50" t="n">
        <f aca="false">ROUNDUP(H20/BY20,0)</f>
        <v>0</v>
      </c>
      <c r="CN20" s="50" t="n">
        <f aca="false">ROUNDUP(CI20/BY20,0)</f>
        <v>0</v>
      </c>
      <c r="CO20" s="53" t="n">
        <f aca="false">IF(BZ20=1,0,IFERROR(VLOOKUP(BX20,'Gebinde-Kategorie'!$A$5:$N$45,5,0)+0,0))</f>
        <v>0</v>
      </c>
      <c r="CP20" s="53" t="n">
        <f aca="false">IFERROR(IF(OR(CE20=1,CE20=2,CE20=3),N(INDEX(Parameter!$I$5:$I$7,CE20)),0),0)</f>
        <v>0</v>
      </c>
      <c r="CQ20" s="52" t="n">
        <f aca="false">IF(AND(Parameter!$B$21="Ja",ISNUMBER(W20),N(X20)&gt;0),IFERROR(N(INDEX(Parameter!$L$5:$L$7,W20))*INDEX(Parameter!$E$5:$E$7,W20)*X20/SUMIFS($X$7:$X$1843,$W$7:$W$1843,W20),0),0)</f>
        <v>0.800376647834275</v>
      </c>
    </row>
    <row r="21" customFormat="false" ht="15" hidden="false" customHeight="false" outlineLevel="0" collapsed="false">
      <c r="A21" s="48" t="s">
        <v>216</v>
      </c>
      <c r="B21" s="48" t="s">
        <v>217</v>
      </c>
      <c r="C21" s="48" t="s">
        <v>173</v>
      </c>
      <c r="D21" s="48" t="s">
        <v>182</v>
      </c>
      <c r="E21" s="48" t="s">
        <v>175</v>
      </c>
      <c r="F21" s="48" t="s">
        <v>210</v>
      </c>
      <c r="G21" s="49" t="n">
        <v>1647.88</v>
      </c>
      <c r="H21" s="50" t="n">
        <f aca="false">MAX(0,IF(AND(Parameter!$B$21="Ja",ISNUMBER(Y21)),Y21,IF(Parameter!$B$20="Jahresanfang 2025 + Export",BR21+BQ21,BQ21)))</f>
        <v>23</v>
      </c>
      <c r="I21" s="50" t="n">
        <f aca="false">H21*G21</f>
        <v>37901.24</v>
      </c>
      <c r="J21" s="50" t="n">
        <f aca="false">BT21*Parameter!$B$18</f>
        <v>95</v>
      </c>
      <c r="K21" s="51" t="n">
        <v>24.5</v>
      </c>
      <c r="L21" s="52" t="n">
        <v>3.87755102040816</v>
      </c>
      <c r="M21" s="50" t="n">
        <v>5</v>
      </c>
      <c r="N21" s="50" t="n">
        <v>15</v>
      </c>
      <c r="O21" s="53" t="n">
        <v>21</v>
      </c>
      <c r="P21" s="48" t="s">
        <v>183</v>
      </c>
      <c r="Q21" s="50" t="n">
        <v>12</v>
      </c>
      <c r="R21" s="53" t="n">
        <f aca="false">IF(BZ21=1,0,IFERROR(VLOOKUP(BX21,'Gebinde-Kategorie'!$A$5:$N$45,13,0)+0,0))</f>
        <v>6</v>
      </c>
      <c r="S21" s="54"/>
      <c r="T21" s="55"/>
      <c r="U21" s="55"/>
      <c r="V21" s="55"/>
      <c r="W21" s="48"/>
      <c r="X21" s="50"/>
      <c r="Y21" s="50"/>
      <c r="Z21" s="48" t="n">
        <f aca="false">IF(A21="","",IF(AND(Parameter!$B$21="Ja",ISNUMBER(W21)),W21,IF(CC21="2+3",IF(ISNUMBER(SEARCH("grosser Artikel",BU21)),2,IFERROR(VLOOKUP(BX21,Parameter!$F$35:$G$64,2,0),2)),IF(OR(CC21="Nein",CC21=""),"-",CC21))))</f>
        <v>1</v>
      </c>
      <c r="AA21" s="55"/>
      <c r="AB21" s="56"/>
      <c r="AC21" s="50" t="n">
        <f aca="false">AV21</f>
        <v>59</v>
      </c>
      <c r="AD21" s="50" t="n">
        <f aca="false">MAX(AV21,H21)</f>
        <v>59</v>
      </c>
      <c r="AE21" s="57"/>
      <c r="AF21" s="50" t="n">
        <f aca="false">IF(LEFT(Cockpit!$C$5,1)="A",H21,IF(Parameter!$E$30="MAX-Bestand",IF(CH21=1,CI21,IF(LEFT(Cockpit!$C$5,1)="B",AL21,MAX(AL21,H21))),ROUNDUP(AJ21,0)))</f>
        <v>23</v>
      </c>
      <c r="AG21" s="50" t="n">
        <f aca="false">IF(BZ21=1,0,ROUNDUP(AF21/BY21,0))</f>
        <v>2</v>
      </c>
      <c r="AH21" s="52" t="n">
        <f aca="false">IF(CQ21&gt;0,CQ21*MAX(1,AF21/X21),IF(BZ21=1,IF(AF21&lt;=0,0,CD21*MAX(1,IF(H21&gt;0,AF21/H21,1))),IF(R21&gt;0,AG21/R21,0))/MAX(0.1,N(Parameter!$M$21)))</f>
        <v>0.333333333333333</v>
      </c>
      <c r="AI21" s="50" t="n">
        <f aca="false">AH21*CB21</f>
        <v>78.3333333333333</v>
      </c>
      <c r="AJ21" s="51" t="n">
        <f aca="false">IF(LEFT(Cockpit!$C$5,1)="A",H21,IF(CH21=1,(CK21+CI21)/2,IF(LEFT(Cockpit!$C$5,1)="B",(CK21+AL21)/2,MAX((CK21+AL21)/2,H21))))</f>
        <v>23</v>
      </c>
      <c r="AK21" s="50" t="n">
        <f aca="false">AJ21*G21</f>
        <v>37901.24</v>
      </c>
      <c r="AL21" s="50" t="n">
        <f aca="false">ROUNDUP(CK21+MAX(CL21,2*(J21/IF(CG21&gt;0,CG21,MAX(0.1,N(Cockpit!$C$6)))-CK21)),0)</f>
        <v>59</v>
      </c>
      <c r="AM21" s="51" t="n">
        <f aca="false">IF(AI21&gt;0,J21/AI21,-1)</f>
        <v>1.21276595744681</v>
      </c>
      <c r="AN21" s="51" t="n">
        <f aca="false">IF(AND(OR(CF21="L1",CF21="L23",CF21="LIFT"),AI21&gt;0),SUMIFS($AI$7:$AI$1843,$CF$7:$CF$1843,CF21,$AM$7:$AM$1843,"&gt;"&amp;AM21)+SUMIFS($AI$7:$AI$1843,$CF$7:$CF$1843,CF21,$AM$7:$AM$1843,AM21,$BW$7:$BW$1843,"&lt;="&amp;BW21),"")</f>
        <v>6646.46840659341</v>
      </c>
      <c r="AO21" s="58" t="n">
        <f aca="false">IF(AN21="",0,MAX(0,MIN(1,(IF(CF21="L1",Parameter!$H$5,IF(CF21="L23",Parameter!$H$6+Parameter!$H$7,Parameter!$H$5+Parameter!$H$6+Parameter!$H$7))-(AN21-AI21))/AI21)))</f>
        <v>1</v>
      </c>
      <c r="AP21" s="50" t="n">
        <f aca="false">IF(LEFT(Cockpit!$I$5,1)="A",H21,IF(Parameter!$E$30="MAX-Bestand",IF(CH21=1,CI21,IF(LEFT(Cockpit!$I$5,1)="B",AV21,MAX(AV21,H21))),ROUNDUP(AT21,0)))</f>
        <v>32</v>
      </c>
      <c r="AQ21" s="50" t="n">
        <f aca="false">IF(BZ21=1,0,ROUNDUP(AP21/BY21,0))</f>
        <v>3</v>
      </c>
      <c r="AR21" s="52" t="n">
        <f aca="false">IF(CQ21&gt;0,CQ21*MAX(1,AP21/X21),IF(BZ21=1,IF(AP21&lt;=0,0,CD21*MAX(1,IF(H21&gt;0,AP21/H21,1))),IF(R21&gt;0,AQ21/R21,0))/MAX(0.1,N(Parameter!$M$21)))</f>
        <v>0.5</v>
      </c>
      <c r="AS21" s="50" t="n">
        <f aca="false">AR21*CB21</f>
        <v>117.5</v>
      </c>
      <c r="AT21" s="51" t="n">
        <f aca="false">IF(LEFT(Cockpit!$I$5,1)="A",H21,IF(CH21=1,(CK21+CI21)/2,IF(LEFT(Cockpit!$I$5,1)="B",(CK21+AV21)/2,MAX((CK21+AV21)/2,H21))))</f>
        <v>32</v>
      </c>
      <c r="AU21" s="50" t="n">
        <f aca="false">AT21*G21</f>
        <v>52732.16</v>
      </c>
      <c r="AV21" s="50" t="n">
        <f aca="false">ROUNDUP(CK21+MAX(CL21,2*(J21/IF(CG21&gt;0,CG21,MAX(0.1,N(Cockpit!$I$6)))-CK21)),0)</f>
        <v>59</v>
      </c>
      <c r="AW21" s="51" t="n">
        <f aca="false">IF(AS21&gt;0,J21/AS21,-1)</f>
        <v>0.808510638297872</v>
      </c>
      <c r="AX21" s="51" t="n">
        <f aca="false">IF(AND(OR(CF21="L1",CF21="L23",CF21="LIFT"),AS21&gt;0),SUMIFS($AS$7:$AS$1843,$CF$7:$CF$1843,CF21,$AW$7:$AW$1843,"&gt;"&amp;AW21)+SUMIFS($AS$7:$AS$1843,$CF$7:$CF$1843,CF21,$AW$7:$AW$1843,AW21,$BW$7:$BW$1843,"&lt;="&amp;BW21),"")</f>
        <v>10277.0265567766</v>
      </c>
      <c r="AY21" s="58" t="n">
        <f aca="false">IF(AX21="",0,MAX(0,MIN(1,(IF(CF21="L1",Parameter!$H$5,IF(CF21="L23",Parameter!$H$6+Parameter!$H$7,Parameter!$H$5+Parameter!$H$6+Parameter!$H$7))-(AX21-AS21))/AS21)))</f>
        <v>1</v>
      </c>
      <c r="AZ21" s="50" t="n">
        <f aca="false">IF(LEFT(Cockpit!$O$5,1)="A",H21,IF(Parameter!$E$30="MAX-Bestand",IF(CH21=1,CI21,IF(LEFT(Cockpit!$O$5,1)="B",BF21,MAX(BF21,H21))),ROUNDUP(BD21,0)))</f>
        <v>24</v>
      </c>
      <c r="BA21" s="50" t="n">
        <f aca="false">IF(BZ21=1,0,ROUNDUP(AZ21/BY21,0))</f>
        <v>2</v>
      </c>
      <c r="BB21" s="52" t="n">
        <f aca="false">IF(CQ21&gt;0,CQ21*MAX(1,AZ21/X21),IF(BZ21=1,IF(AZ21&lt;=0,0,CD21*MAX(1,IF(H21&gt;0,AZ21/H21,1))),IF(R21&gt;0,BA21/R21,0))/MAX(0.1,N(Parameter!$M$21)))</f>
        <v>0.333333333333333</v>
      </c>
      <c r="BC21" s="50" t="n">
        <f aca="false">BB21*CB21</f>
        <v>78.3333333333333</v>
      </c>
      <c r="BD21" s="51" t="n">
        <f aca="false">IF(LEFT(Cockpit!$O$5,1)="A",H21,IF(CH21=1,(CK21+CI21)/2,IF(LEFT(Cockpit!$O$5,1)="B",(CK21+BF21)/2,MAX((CK21+BF21)/2,H21))))</f>
        <v>24</v>
      </c>
      <c r="BE21" s="50" t="n">
        <f aca="false">BD21*G21</f>
        <v>39549.12</v>
      </c>
      <c r="BF21" s="50" t="n">
        <f aca="false">ROUNDUP(CK21+MAX(CL21,2*(J21/IF(CG21&gt;0,CG21,MAX(0.1,N(Cockpit!$O$6)))-CK21)),0)</f>
        <v>43</v>
      </c>
      <c r="BG21" s="51" t="n">
        <f aca="false">IF(BC21&gt;0,J21/BC21,-1)</f>
        <v>1.21276595744681</v>
      </c>
      <c r="BH21" s="51" t="n">
        <f aca="false">IF(AND(OR(CF21="L1",CF21="L23",CF21="LIFT"),BC21&gt;0),SUMIFS($BC$7:$BC$1843,$CF$7:$CF$1843,CF21,$BG$7:$BG$1843,"&gt;"&amp;BG21)+SUMIFS($BC$7:$BC$1843,$CF$7:$CF$1843,CF21,$BG$7:$BG$1843,BG21,$BW$7:$BW$1843,"&lt;="&amp;BW21),"")</f>
        <v>7119.08562271062</v>
      </c>
      <c r="BI21" s="58" t="n">
        <f aca="false">IF(BH21="",0,MAX(0,MIN(1,(IF(CF21="L1",Parameter!$H$5,IF(CF21="L23",Parameter!$H$6+Parameter!$H$7,Parameter!$H$5+Parameter!$H$6+Parameter!$H$7))-(BH21-BC21))/BC21)))</f>
        <v>1</v>
      </c>
      <c r="BJ21" s="48" t="str">
        <f aca="false">IF(AI21&lt;=0,"",IF(CF21="Aussen","Aussenlager",IF(CF21="-","Nicht im Lift",IF(AO21&gt;=1,"Lift",IF(AO21&lt;=0,"Aussenlager","teilweise")))))</f>
        <v>Lift</v>
      </c>
      <c r="BK21" s="48" t="str">
        <f aca="false">IF(AS21&lt;=0,"",IF(CF21="Aussen","Aussenlager",IF(CF21="-","Nicht im Lift",IF(AY21&gt;=1,"Lift",IF(AY21&lt;=0,"Aussenlager","teilweise")))))</f>
        <v>Lift</v>
      </c>
      <c r="BL21" s="48" t="str">
        <f aca="false">IF(BC21&lt;=0,"",IF(CF21="Aussen","Aussenlager",IF(CF21="-","Nicht im Lift",IF(BI21&gt;=1,"Lift",IF(BI21&lt;=0,"Aussenlager","teilweise")))))</f>
        <v>Lift</v>
      </c>
      <c r="BM21" s="48" t="str">
        <f aca="false">IF(A21="","",IF(BV21=1,"Neu; ","")&amp;IF(AND(BV21=0,BQ21&lt;0),"negativer Bestand (Export "&amp;BQ21&amp;"); ","")&amp;IF(J21&lt;=0,"Kein Verbrauch; ","")&amp;IF(CQ21&gt;0,"Lift "&amp;W21&amp;" lt. Liftbericht (Fach "&amp;X21&amp;" Stk); ",IF(CA21=1,"Gebinde geschätzt ("&amp;T21&amp;"); ",IF(BZ21=1,"Lose – Tablare geschätzt; ","")))&amp;IF(H21&gt;AV21,"Überbestand "&amp;ROUND(H21-AV21,0)&amp;" Stk / CHF "&amp;ROUND((H21-AV21)*G21,0)&amp;"; ","")&amp;IF(AND(CH21=1,CI21&lt;CJ21),"MAX &lt; MB+LG; ","")&amp;IF(AND(CP21&gt;0,CO21*10&gt;CP21),"zu hoch für Tablar; ","")&amp;IF(AND(BV21=0,OR(CH21=1,AA21&lt;&gt;"",U21&lt;&gt;"",V21&lt;&gt;"",AB21&lt;&gt;"")),"manuell übersteuert; ","")&amp;IF(AND(BZ21=0,R21=0),"Gebinde unbekannt / Stellmass fehlt; ","")&amp;IF(AND(BZ21=0,N(V21)&lt;=0,N(Q21)&lt;=0),"Menge pro Gebinde fehlt (Ist = 1 Gebinde); ","")&amp;BU21)</f>
        <v/>
      </c>
      <c r="BN21" s="48"/>
      <c r="BO21" s="48"/>
      <c r="BP21" s="55"/>
      <c r="BQ21" s="50" t="n">
        <v>12</v>
      </c>
      <c r="BR21" s="50" t="n">
        <v>11</v>
      </c>
      <c r="BS21" s="49" t="n">
        <v>17892.56</v>
      </c>
      <c r="BT21" s="50" t="n">
        <v>95</v>
      </c>
      <c r="BU21" s="48"/>
      <c r="BV21" s="53" t="n">
        <v>0</v>
      </c>
      <c r="BW21" s="53" t="n">
        <v>21</v>
      </c>
      <c r="BX21" s="48" t="str">
        <f aca="false">IF(U21&lt;&gt;"",UPPER(TRIM(U21)),IF(CA21=1,UPPER(VLOOKUP(T21,Parameter!$I$27:$K$29,2,0)),IF(P21="","LOSE",P21)))</f>
        <v>S71</v>
      </c>
      <c r="BY21" s="50" t="n">
        <f aca="false">IF(BX21="LOSE",1,IF(N(V21)&gt;0,V21,IF(CA21=1,MAX(1,N(VLOOKUP(T21,Parameter!$I$27:$K$29,3,0)),H21,N(N21)),IF(N(Q21)&gt;0,Q21,MAX(1,H21)))))</f>
        <v>12</v>
      </c>
      <c r="BZ21" s="53" t="n">
        <f aca="false">IF(BX21="LOSE",1,0)</f>
        <v>0</v>
      </c>
      <c r="CA21" s="53" t="n">
        <f aca="false">IF(AND(U21="",OR(P21="",P21="LOSE"),T21&lt;&gt;"",N(S21)&lt;=0,ISNUMBER(MATCH(T21,Parameter!$I$27:$I$29,0))),1,0)</f>
        <v>0</v>
      </c>
      <c r="CB21" s="53" t="n">
        <f aca="false">IF(CQ21&gt;0,INDEX(Parameter!$H$5:$H$7,W21)/INDEX(Parameter!$E$5:$E$7,W21),IF(AND(BZ21=0,N(IFERROR(VLOOKUP(BX21,'Gebinde-Kategorie'!$A$5:$N$45,14,0),0))&gt;0),VLOOKUP(BX21,'Gebinde-Kategorie'!$A$5:$N$45,14,0)*10+Parameter!$M$23,Parameter!$M$24))</f>
        <v>235</v>
      </c>
      <c r="CC21" s="48" t="n">
        <f aca="false">IF(AND(Parameter!$B$19="Ja",E21&lt;&gt;"",ISNUMBER(MATCH(E21,Parameter!$I$35:$I$52,0))),VLOOKUP(E21,Parameter!$I$35:$J$52,2,0),IFERROR(VLOOKUP(D21,Parameter!$A$35:$C$64,2,0),"Nein"))</f>
        <v>1</v>
      </c>
      <c r="CD21" s="52" t="n">
        <f aca="false">IF(BZ21=0,0,IF(N(S21)&gt;0,S21,IFERROR(VLOOKUP(D21,Parameter!$A$35:$C$64,3,0)+0,0)))</f>
        <v>0</v>
      </c>
      <c r="CE21" s="48" t="n">
        <f aca="false">IF(AA21&lt;&gt;"",AA21,Z21)</f>
        <v>1</v>
      </c>
      <c r="CF21" s="48" t="str">
        <f aca="false">IF(OR(CE21=1,CE21=2,CE21=3),IF(Parameter!$E$27="Ja","LIFT",IF(CE21=1,"L1","L23")),IF(CE21="Aussen","Aussen","-"))</f>
        <v>LIFT</v>
      </c>
      <c r="CG21" s="59" t="n">
        <f aca="false">IF(N(AB21)&gt;0,AB21,0)</f>
        <v>0</v>
      </c>
      <c r="CH21" s="53" t="n">
        <f aca="false">IF(ISNUMBER(AE21),1,0)</f>
        <v>0</v>
      </c>
      <c r="CI21" s="50" t="n">
        <f aca="false">N(AE21)</f>
        <v>0</v>
      </c>
      <c r="CJ21" s="50" t="n">
        <f aca="false">N(M21)+N(N21)</f>
        <v>20</v>
      </c>
      <c r="CK21" s="50" t="n">
        <f aca="false">N(M21)</f>
        <v>5</v>
      </c>
      <c r="CL21" s="50" t="n">
        <f aca="false">N(N21)</f>
        <v>15</v>
      </c>
      <c r="CM21" s="50" t="n">
        <f aca="false">ROUNDUP(H21/BY21,0)</f>
        <v>2</v>
      </c>
      <c r="CN21" s="50" t="n">
        <f aca="false">ROUNDUP(CI21/BY21,0)</f>
        <v>0</v>
      </c>
      <c r="CO21" s="53" t="n">
        <f aca="false">IF(BZ21=1,0,IFERROR(VLOOKUP(BX21,'Gebinde-Kategorie'!$A$5:$N$45,5,0)+0,0))</f>
        <v>20</v>
      </c>
      <c r="CP21" s="53" t="n">
        <f aca="false">IFERROR(IF(OR(CE21=1,CE21=2,CE21=3),N(INDEX(Parameter!$I$5:$I$7,CE21)),0),0)</f>
        <v>0</v>
      </c>
      <c r="CQ21" s="52" t="n">
        <f aca="false">IF(AND(Parameter!$B$21="Ja",ISNUMBER(W21),N(X21)&gt;0),IFERROR(N(INDEX(Parameter!$L$5:$L$7,W21))*INDEX(Parameter!$E$5:$E$7,W21)*X21/SUMIFS($X$7:$X$1843,$W$7:$W$1843,W21),0),0)</f>
        <v>0</v>
      </c>
    </row>
    <row r="22" customFormat="false" ht="15" hidden="false" customHeight="false" outlineLevel="0" collapsed="false">
      <c r="A22" s="48" t="s">
        <v>218</v>
      </c>
      <c r="B22" s="48" t="s">
        <v>219</v>
      </c>
      <c r="C22" s="48" t="s">
        <v>173</v>
      </c>
      <c r="D22" s="48" t="s">
        <v>174</v>
      </c>
      <c r="E22" s="48" t="s">
        <v>175</v>
      </c>
      <c r="F22" s="48" t="s">
        <v>210</v>
      </c>
      <c r="G22" s="49" t="n">
        <v>2587.56</v>
      </c>
      <c r="H22" s="50" t="n">
        <f aca="false">MAX(0,IF(AND(Parameter!$B$21="Ja",ISNUMBER(Y22)),Y22,IF(Parameter!$B$20="Jahresanfang 2025 + Export",BR22+BQ22,BQ22)))</f>
        <v>16</v>
      </c>
      <c r="I22" s="50" t="n">
        <f aca="false">H22*G22</f>
        <v>41400.96</v>
      </c>
      <c r="J22" s="50" t="n">
        <f aca="false">BT22*Parameter!$B$18</f>
        <v>29</v>
      </c>
      <c r="K22" s="51" t="n">
        <v>9.5</v>
      </c>
      <c r="L22" s="52" t="n">
        <v>3.05263157894737</v>
      </c>
      <c r="M22" s="50" t="n">
        <v>3</v>
      </c>
      <c r="N22" s="50" t="n">
        <v>10</v>
      </c>
      <c r="O22" s="53" t="n">
        <v>21</v>
      </c>
      <c r="P22" s="48" t="s">
        <v>177</v>
      </c>
      <c r="Q22" s="50"/>
      <c r="R22" s="53" t="n">
        <f aca="false">IF(BZ22=1,0,IFERROR(VLOOKUP(BX22,'Gebinde-Kategorie'!$A$5:$N$45,13,0)+0,0))</f>
        <v>0</v>
      </c>
      <c r="S22" s="54"/>
      <c r="T22" s="55"/>
      <c r="U22" s="55"/>
      <c r="V22" s="55"/>
      <c r="W22" s="48" t="n">
        <v>1</v>
      </c>
      <c r="X22" s="50" t="n">
        <v>22</v>
      </c>
      <c r="Y22" s="50" t="n">
        <v>16</v>
      </c>
      <c r="Z22" s="48" t="n">
        <f aca="false">IF(A22="","",IF(AND(Parameter!$B$21="Ja",ISNUMBER(W22)),W22,IF(CC22="2+3",IF(ISNUMBER(SEARCH("grosser Artikel",BU22)),2,IFERROR(VLOOKUP(BX22,Parameter!$F$35:$G$64,2,0),2)),IF(OR(CC22="Nein",CC22=""),"-",CC22))))</f>
        <v>1</v>
      </c>
      <c r="AA22" s="55"/>
      <c r="AB22" s="56"/>
      <c r="AC22" s="50" t="n">
        <f aca="false">AV22</f>
        <v>17</v>
      </c>
      <c r="AD22" s="50" t="n">
        <f aca="false">MAX(AV22,H22)</f>
        <v>17</v>
      </c>
      <c r="AE22" s="57"/>
      <c r="AF22" s="50" t="n">
        <f aca="false">IF(LEFT(Cockpit!$C$5,1)="A",H22,IF(Parameter!$E$30="MAX-Bestand",IF(CH22=1,CI22,IF(LEFT(Cockpit!$C$5,1)="B",AL22,MAX(AL22,H22))),ROUNDUP(AJ22,0)))</f>
        <v>16</v>
      </c>
      <c r="AG22" s="50" t="n">
        <f aca="false">IF(BZ22=1,0,ROUNDUP(AF22/BY22,0))</f>
        <v>0</v>
      </c>
      <c r="AH22" s="52" t="n">
        <f aca="false">IF(CQ22&gt;0,CQ22*MAX(1,AF22/X22),IF(BZ22=1,IF(AF22&lt;=0,0,CD22*MAX(1,IF(H22&gt;0,AF22/H22,1))),IF(R22&gt;0,AG22/R22,0))/MAX(0.1,N(Parameter!$M$21)))</f>
        <v>1.7608286252354</v>
      </c>
      <c r="AI22" s="50" t="n">
        <f aca="false">AH22*CB22</f>
        <v>419.077212806026</v>
      </c>
      <c r="AJ22" s="51" t="n">
        <f aca="false">IF(LEFT(Cockpit!$C$5,1)="A",H22,IF(CH22=1,(CK22+CI22)/2,IF(LEFT(Cockpit!$C$5,1)="B",(CK22+AL22)/2,MAX((CK22+AL22)/2,H22))))</f>
        <v>16</v>
      </c>
      <c r="AK22" s="50" t="n">
        <f aca="false">AJ22*G22</f>
        <v>41400.96</v>
      </c>
      <c r="AL22" s="50" t="n">
        <f aca="false">ROUNDUP(CK22+MAX(CL22,2*(J22/IF(CG22&gt;0,CG22,MAX(0.1,N(Cockpit!$C$6)))-CK22)),0)</f>
        <v>17</v>
      </c>
      <c r="AM22" s="51" t="n">
        <f aca="false">IF(AI22&gt;0,J22/AI22,-1)</f>
        <v>0.0691996584730149</v>
      </c>
      <c r="AN22" s="51" t="n">
        <f aca="false">IF(AND(OR(CF22="L1",CF22="L23",CF22="LIFT"),AI22&gt;0),SUMIFS($AI$7:$AI$1843,$CF$7:$CF$1843,CF22,$AM$7:$AM$1843,"&gt;"&amp;AM22)+SUMIFS($AI$7:$AI$1843,$CF$7:$CF$1843,CF22,$AM$7:$AM$1843,AM22,$BW$7:$BW$1843,"&lt;="&amp;BW22),"")</f>
        <v>18579.6078697668</v>
      </c>
      <c r="AO22" s="58" t="n">
        <f aca="false">IF(AN22="",0,MAX(0,MIN(1,(IF(CF22="L1",Parameter!$H$5,IF(CF22="L23",Parameter!$H$6+Parameter!$H$7,Parameter!$H$5+Parameter!$H$6+Parameter!$H$7))-(AN22-AI22))/AI22)))</f>
        <v>1</v>
      </c>
      <c r="AP22" s="50" t="n">
        <f aca="false">IF(LEFT(Cockpit!$I$5,1)="A",H22,IF(Parameter!$E$30="MAX-Bestand",IF(CH22=1,CI22,IF(LEFT(Cockpit!$I$5,1)="B",AV22,MAX(AV22,H22))),ROUNDUP(AT22,0)))</f>
        <v>16</v>
      </c>
      <c r="AQ22" s="50" t="n">
        <f aca="false">IF(BZ22=1,0,ROUNDUP(AP22/BY22,0))</f>
        <v>0</v>
      </c>
      <c r="AR22" s="52" t="n">
        <f aca="false">IF(CQ22&gt;0,CQ22*MAX(1,AP22/X22),IF(BZ22=1,IF(AP22&lt;=0,0,CD22*MAX(1,IF(H22&gt;0,AP22/H22,1))),IF(R22&gt;0,AQ22/R22,0))/MAX(0.1,N(Parameter!$M$21)))</f>
        <v>1.7608286252354</v>
      </c>
      <c r="AS22" s="50" t="n">
        <f aca="false">AR22*CB22</f>
        <v>419.077212806026</v>
      </c>
      <c r="AT22" s="51" t="n">
        <f aca="false">IF(LEFT(Cockpit!$I$5,1)="A",H22,IF(CH22=1,(CK22+CI22)/2,IF(LEFT(Cockpit!$I$5,1)="B",(CK22+AV22)/2,MAX((CK22+AV22)/2,H22))))</f>
        <v>16</v>
      </c>
      <c r="AU22" s="50" t="n">
        <f aca="false">AT22*G22</f>
        <v>41400.96</v>
      </c>
      <c r="AV22" s="50" t="n">
        <f aca="false">ROUNDUP(CK22+MAX(CL22,2*(J22/IF(CG22&gt;0,CG22,MAX(0.1,N(Cockpit!$I$6)))-CK22)),0)</f>
        <v>17</v>
      </c>
      <c r="AW22" s="51" t="n">
        <f aca="false">IF(AS22&gt;0,J22/AS22,-1)</f>
        <v>0.0691996584730149</v>
      </c>
      <c r="AX22" s="51" t="n">
        <f aca="false">IF(AND(OR(CF22="L1",CF22="L23",CF22="LIFT"),AS22&gt;0),SUMIFS($AS$7:$AS$1843,$CF$7:$CF$1843,CF22,$AW$7:$AW$1843,"&gt;"&amp;AW22)+SUMIFS($AS$7:$AS$1843,$CF$7:$CF$1843,CF22,$AW$7:$AW$1843,AW22,$BW$7:$BW$1843,"&lt;="&amp;BW22),"")</f>
        <v>23639.0065111442</v>
      </c>
      <c r="AY22" s="58" t="n">
        <f aca="false">IF(AX22="",0,MAX(0,MIN(1,(IF(CF22="L1",Parameter!$H$5,IF(CF22="L23",Parameter!$H$6+Parameter!$H$7,Parameter!$H$5+Parameter!$H$6+Parameter!$H$7))-(AX22-AS22))/AS22)))</f>
        <v>1</v>
      </c>
      <c r="AZ22" s="50" t="n">
        <f aca="false">IF(LEFT(Cockpit!$O$5,1)="A",H22,IF(Parameter!$E$30="MAX-Bestand",IF(CH22=1,CI22,IF(LEFT(Cockpit!$O$5,1)="B",BF22,MAX(BF22,H22))),ROUNDUP(BD22,0)))</f>
        <v>8</v>
      </c>
      <c r="BA22" s="50" t="n">
        <f aca="false">IF(BZ22=1,0,ROUNDUP(AZ22/BY22,0))</f>
        <v>0</v>
      </c>
      <c r="BB22" s="52" t="n">
        <f aca="false">IF(CQ22&gt;0,CQ22*MAX(1,AZ22/X22),IF(BZ22=1,IF(AZ22&lt;=0,0,CD22*MAX(1,IF(H22&gt;0,AZ22/H22,1))),IF(R22&gt;0,BA22/R22,0))/MAX(0.1,N(Parameter!$M$21)))</f>
        <v>1.7608286252354</v>
      </c>
      <c r="BC22" s="50" t="n">
        <f aca="false">BB22*CB22</f>
        <v>419.077212806026</v>
      </c>
      <c r="BD22" s="51" t="n">
        <f aca="false">IF(LEFT(Cockpit!$O$5,1)="A",H22,IF(CH22=1,(CK22+CI22)/2,IF(LEFT(Cockpit!$O$5,1)="B",(CK22+BF22)/2,MAX((CK22+BF22)/2,H22))))</f>
        <v>8</v>
      </c>
      <c r="BE22" s="50" t="n">
        <f aca="false">BD22*G22</f>
        <v>20700.48</v>
      </c>
      <c r="BF22" s="50" t="n">
        <f aca="false">ROUNDUP(CK22+MAX(CL22,2*(J22/IF(CG22&gt;0,CG22,MAX(0.1,N(Cockpit!$O$6)))-CK22)),0)</f>
        <v>13</v>
      </c>
      <c r="BG22" s="51" t="n">
        <f aca="false">IF(BC22&gt;0,J22/BC22,-1)</f>
        <v>0.0691996584730149</v>
      </c>
      <c r="BH22" s="51" t="n">
        <f aca="false">IF(AND(OR(CF22="L1",CF22="L23",CF22="LIFT"),BC22&gt;0),SUMIFS($BC$7:$BC$1843,$CF$7:$CF$1843,CF22,$BG$7:$BG$1843,"&gt;"&amp;BG22)+SUMIFS($BC$7:$BC$1843,$CF$7:$CF$1843,CF22,$BG$7:$BG$1843,BG22,$BW$7:$BW$1843,"&lt;="&amp;BW22),"")</f>
        <v>19994.9793800832</v>
      </c>
      <c r="BI22" s="58" t="n">
        <f aca="false">IF(BH22="",0,MAX(0,MIN(1,(IF(CF22="L1",Parameter!$H$5,IF(CF22="L23",Parameter!$H$6+Parameter!$H$7,Parameter!$H$5+Parameter!$H$6+Parameter!$H$7))-(BH22-BC22))/BC22)))</f>
        <v>1</v>
      </c>
      <c r="BJ22" s="48" t="str">
        <f aca="false">IF(AI22&lt;=0,"",IF(CF22="Aussen","Aussenlager",IF(CF22="-","Nicht im Lift",IF(AO22&gt;=1,"Lift",IF(AO22&lt;=0,"Aussenlager","teilweise")))))</f>
        <v>Lift</v>
      </c>
      <c r="BK22" s="48" t="str">
        <f aca="false">IF(AS22&lt;=0,"",IF(CF22="Aussen","Aussenlager",IF(CF22="-","Nicht im Lift",IF(AY22&gt;=1,"Lift",IF(AY22&lt;=0,"Aussenlager","teilweise")))))</f>
        <v>Lift</v>
      </c>
      <c r="BL22" s="48" t="str">
        <f aca="false">IF(BC22&lt;=0,"",IF(CF22="Aussen","Aussenlager",IF(CF22="-","Nicht im Lift",IF(BI22&gt;=1,"Lift",IF(BI22&lt;=0,"Aussenlager","teilweise")))))</f>
        <v>Lift</v>
      </c>
      <c r="BM22" s="48" t="str">
        <f aca="false">IF(A22="","",IF(BV22=1,"Neu; ","")&amp;IF(AND(BV22=0,BQ22&lt;0),"negativer Bestand (Export "&amp;BQ22&amp;"); ","")&amp;IF(J22&lt;=0,"Kein Verbrauch; ","")&amp;IF(CQ22&gt;0,"Lift "&amp;W22&amp;" lt. Liftbericht (Fach "&amp;X22&amp;" Stk); ",IF(CA22=1,"Gebinde geschätzt ("&amp;T22&amp;"); ",IF(BZ22=1,"Lose – Tablare geschätzt; ","")))&amp;IF(H22&gt;AV22,"Überbestand "&amp;ROUND(H22-AV22,0)&amp;" Stk / CHF "&amp;ROUND((H22-AV22)*G22,0)&amp;"; ","")&amp;IF(AND(CH22=1,CI22&lt;CJ22),"MAX &lt; MB+LG; ","")&amp;IF(AND(CP22&gt;0,CO22*10&gt;CP22),"zu hoch für Tablar; ","")&amp;IF(AND(BV22=0,OR(CH22=1,AA22&lt;&gt;"",U22&lt;&gt;"",V22&lt;&gt;"",AB22&lt;&gt;"")),"manuell übersteuert; ","")&amp;IF(AND(BZ22=0,R22=0),"Gebinde unbekannt / Stellmass fehlt; ","")&amp;IF(AND(BZ22=0,N(V22)&lt;=0,N(Q22)&lt;=0),"Menge pro Gebinde fehlt (Ist = 1 Gebinde); ","")&amp;BU22)</f>
        <v>Lift 1 lt. Liftbericht (Fach 22 Stk); </v>
      </c>
      <c r="BN22" s="48" t="s">
        <v>220</v>
      </c>
      <c r="BO22" s="48"/>
      <c r="BP22" s="55"/>
      <c r="BQ22" s="50" t="n">
        <v>7</v>
      </c>
      <c r="BR22" s="50" t="n">
        <v>3</v>
      </c>
      <c r="BS22" s="49" t="n">
        <v>17583.76</v>
      </c>
      <c r="BT22" s="50" t="n">
        <v>29</v>
      </c>
      <c r="BU22" s="48"/>
      <c r="BV22" s="53" t="n">
        <v>0</v>
      </c>
      <c r="BW22" s="53" t="n">
        <v>22</v>
      </c>
      <c r="BX22" s="48" t="str">
        <f aca="false">IF(U22&lt;&gt;"",UPPER(TRIM(U22)),IF(CA22=1,UPPER(VLOOKUP(T22,Parameter!$I$27:$K$29,2,0)),IF(P22="","LOSE",P22)))</f>
        <v>LOSE</v>
      </c>
      <c r="BY22" s="50" t="n">
        <f aca="false">IF(BX22="LOSE",1,IF(N(V22)&gt;0,V22,IF(CA22=1,MAX(1,N(VLOOKUP(T22,Parameter!$I$27:$K$29,3,0)),H22,N(N22)),IF(N(Q22)&gt;0,Q22,MAX(1,H22)))))</f>
        <v>1</v>
      </c>
      <c r="BZ22" s="53" t="n">
        <f aca="false">IF(BX22="LOSE",1,0)</f>
        <v>1</v>
      </c>
      <c r="CA22" s="53" t="n">
        <f aca="false">IF(AND(U22="",OR(P22="",P22="LOSE"),T22&lt;&gt;"",N(S22)&lt;=0,ISNUMBER(MATCH(T22,Parameter!$I$27:$I$29,0))),1,0)</f>
        <v>0</v>
      </c>
      <c r="CB22" s="53" t="n">
        <f aca="false">IF(CQ22&gt;0,INDEX(Parameter!$H$5:$H$7,W22)/INDEX(Parameter!$E$5:$E$7,W22),IF(AND(BZ22=0,N(IFERROR(VLOOKUP(BX22,'Gebinde-Kategorie'!$A$5:$N$45,14,0),0))&gt;0),VLOOKUP(BX22,'Gebinde-Kategorie'!$A$5:$N$45,14,0)*10+Parameter!$M$23,Parameter!$M$24))</f>
        <v>238</v>
      </c>
      <c r="CC22" s="48" t="n">
        <f aca="false">IF(AND(Parameter!$B$19="Ja",E22&lt;&gt;"",ISNUMBER(MATCH(E22,Parameter!$I$35:$I$52,0))),VLOOKUP(E22,Parameter!$I$35:$J$52,2,0),IFERROR(VLOOKUP(D22,Parameter!$A$35:$C$64,2,0),"Nein"))</f>
        <v>1</v>
      </c>
      <c r="CD22" s="52" t="n">
        <f aca="false">IF(BZ22=0,0,IF(N(S22)&gt;0,S22,IFERROR(VLOOKUP(D22,Parameter!$A$35:$C$64,3,0)+0,0)))</f>
        <v>1</v>
      </c>
      <c r="CE22" s="48" t="n">
        <f aca="false">IF(AA22&lt;&gt;"",AA22,Z22)</f>
        <v>1</v>
      </c>
      <c r="CF22" s="48" t="str">
        <f aca="false">IF(OR(CE22=1,CE22=2,CE22=3),IF(Parameter!$E$27="Ja","LIFT",IF(CE22=1,"L1","L23")),IF(CE22="Aussen","Aussen","-"))</f>
        <v>LIFT</v>
      </c>
      <c r="CG22" s="59" t="n">
        <f aca="false">IF(N(AB22)&gt;0,AB22,0)</f>
        <v>0</v>
      </c>
      <c r="CH22" s="53" t="n">
        <f aca="false">IF(ISNUMBER(AE22),1,0)</f>
        <v>0</v>
      </c>
      <c r="CI22" s="50" t="n">
        <f aca="false">N(AE22)</f>
        <v>0</v>
      </c>
      <c r="CJ22" s="50" t="n">
        <f aca="false">N(M22)+N(N22)</f>
        <v>13</v>
      </c>
      <c r="CK22" s="50" t="n">
        <f aca="false">N(M22)</f>
        <v>3</v>
      </c>
      <c r="CL22" s="50" t="n">
        <f aca="false">N(N22)</f>
        <v>10</v>
      </c>
      <c r="CM22" s="50" t="n">
        <f aca="false">ROUNDUP(H22/BY22,0)</f>
        <v>16</v>
      </c>
      <c r="CN22" s="50" t="n">
        <f aca="false">ROUNDUP(CI22/BY22,0)</f>
        <v>0</v>
      </c>
      <c r="CO22" s="53" t="n">
        <f aca="false">IF(BZ22=1,0,IFERROR(VLOOKUP(BX22,'Gebinde-Kategorie'!$A$5:$N$45,5,0)+0,0))</f>
        <v>0</v>
      </c>
      <c r="CP22" s="53" t="n">
        <f aca="false">IFERROR(IF(OR(CE22=1,CE22=2,CE22=3),N(INDEX(Parameter!$I$5:$I$7,CE22)),0),0)</f>
        <v>0</v>
      </c>
      <c r="CQ22" s="52" t="n">
        <f aca="false">IF(AND(Parameter!$B$21="Ja",ISNUMBER(W22),N(X22)&gt;0),IFERROR(N(INDEX(Parameter!$L$5:$L$7,W22))*INDEX(Parameter!$E$5:$E$7,W22)*X22/SUMIFS($X$7:$X$1843,$W$7:$W$1843,W22),0),0)</f>
        <v>1.7608286252354</v>
      </c>
    </row>
    <row r="23" customFormat="false" ht="15" hidden="false" customHeight="false" outlineLevel="0" collapsed="false">
      <c r="A23" s="48" t="s">
        <v>221</v>
      </c>
      <c r="B23" s="48" t="s">
        <v>222</v>
      </c>
      <c r="C23" s="48" t="s">
        <v>173</v>
      </c>
      <c r="D23" s="48" t="s">
        <v>182</v>
      </c>
      <c r="E23" s="48" t="s">
        <v>194</v>
      </c>
      <c r="F23" s="48" t="s">
        <v>210</v>
      </c>
      <c r="G23" s="49" t="n">
        <v>211.01</v>
      </c>
      <c r="H23" s="50" t="n">
        <f aca="false">MAX(0,IF(AND(Parameter!$B$21="Ja",ISNUMBER(Y23)),Y23,IF(Parameter!$B$20="Jahresanfang 2025 + Export",BR23+BQ23,BQ23)))</f>
        <v>131</v>
      </c>
      <c r="I23" s="50" t="n">
        <f aca="false">H23*G23</f>
        <v>27642.31</v>
      </c>
      <c r="J23" s="50" t="n">
        <f aca="false">BT23*Parameter!$B$18</f>
        <v>337</v>
      </c>
      <c r="K23" s="51" t="n">
        <v>52.5</v>
      </c>
      <c r="L23" s="52" t="n">
        <v>6.41904761904762</v>
      </c>
      <c r="M23" s="50" t="n">
        <v>19</v>
      </c>
      <c r="N23" s="50" t="n">
        <v>60</v>
      </c>
      <c r="O23" s="53" t="n">
        <v>21</v>
      </c>
      <c r="P23" s="48" t="s">
        <v>195</v>
      </c>
      <c r="Q23" s="50" t="n">
        <v>42</v>
      </c>
      <c r="R23" s="53" t="n">
        <f aca="false">IF(BZ23=1,0,IFERROR(VLOOKUP(BX23,'Gebinde-Kategorie'!$A$5:$N$45,13,0)+0,0))</f>
        <v>12</v>
      </c>
      <c r="S23" s="54"/>
      <c r="T23" s="55"/>
      <c r="U23" s="55"/>
      <c r="V23" s="55"/>
      <c r="W23" s="48"/>
      <c r="X23" s="50"/>
      <c r="Y23" s="50"/>
      <c r="Z23" s="48" t="n">
        <f aca="false">IF(A23="","",IF(AND(Parameter!$B$21="Ja",ISNUMBER(W23)),W23,IF(CC23="2+3",IF(ISNUMBER(SEARCH("grosser Artikel",BU23)),2,IFERROR(VLOOKUP(BX23,Parameter!$F$35:$G$64,2,0),2)),IF(OR(CC23="Nein",CC23=""),"-",CC23))))</f>
        <v>2</v>
      </c>
      <c r="AA23" s="55"/>
      <c r="AB23" s="56"/>
      <c r="AC23" s="50" t="n">
        <f aca="false">AV23</f>
        <v>206</v>
      </c>
      <c r="AD23" s="50" t="n">
        <f aca="false">MAX(AV23,H23)</f>
        <v>206</v>
      </c>
      <c r="AE23" s="57"/>
      <c r="AF23" s="50" t="n">
        <f aca="false">IF(LEFT(Cockpit!$C$5,1)="A",H23,IF(Parameter!$E$30="MAX-Bestand",IF(CH23=1,CI23,IF(LEFT(Cockpit!$C$5,1)="B",AL23,MAX(AL23,H23))),ROUNDUP(AJ23,0)))</f>
        <v>131</v>
      </c>
      <c r="AG23" s="50" t="n">
        <f aca="false">IF(BZ23=1,0,ROUNDUP(AF23/BY23,0))</f>
        <v>4</v>
      </c>
      <c r="AH23" s="52" t="n">
        <f aca="false">IF(CQ23&gt;0,CQ23*MAX(1,AF23/X23),IF(BZ23=1,IF(AF23&lt;=0,0,CD23*MAX(1,IF(H23&gt;0,AF23/H23,1))),IF(R23&gt;0,AG23/R23,0))/MAX(0.1,N(Parameter!$M$21)))</f>
        <v>0.333333333333333</v>
      </c>
      <c r="AI23" s="50" t="n">
        <f aca="false">AH23*CB23</f>
        <v>48.3333333333333</v>
      </c>
      <c r="AJ23" s="51" t="n">
        <f aca="false">IF(LEFT(Cockpit!$C$5,1)="A",H23,IF(CH23=1,(CK23+CI23)/2,IF(LEFT(Cockpit!$C$5,1)="B",(CK23+AL23)/2,MAX((CK23+AL23)/2,H23))))</f>
        <v>131</v>
      </c>
      <c r="AK23" s="50" t="n">
        <f aca="false">AJ23*G23</f>
        <v>27642.31</v>
      </c>
      <c r="AL23" s="50" t="n">
        <f aca="false">ROUNDUP(CK23+MAX(CL23,2*(J23/IF(CG23&gt;0,CG23,MAX(0.1,N(Cockpit!$C$6)))-CK23)),0)</f>
        <v>206</v>
      </c>
      <c r="AM23" s="51" t="n">
        <f aca="false">IF(AI23&gt;0,J23/AI23,-1)</f>
        <v>6.97241379310345</v>
      </c>
      <c r="AN23" s="51" t="n">
        <f aca="false">IF(AND(OR(CF23="L1",CF23="L23",CF23="LIFT"),AI23&gt;0),SUMIFS($AI$7:$AI$1843,$CF$7:$CF$1843,CF23,$AM$7:$AM$1843,"&gt;"&amp;AM23)+SUMIFS($AI$7:$AI$1843,$CF$7:$CF$1843,CF23,$AM$7:$AM$1843,AM23,$BW$7:$BW$1843,"&lt;="&amp;BW23),"")</f>
        <v>3267.22023809524</v>
      </c>
      <c r="AO23" s="58" t="n">
        <f aca="false">IF(AN23="",0,MAX(0,MIN(1,(IF(CF23="L1",Parameter!$H$5,IF(CF23="L23",Parameter!$H$6+Parameter!$H$7,Parameter!$H$5+Parameter!$H$6+Parameter!$H$7))-(AN23-AI23))/AI23)))</f>
        <v>1</v>
      </c>
      <c r="AP23" s="50" t="n">
        <f aca="false">IF(LEFT(Cockpit!$I$5,1)="A",H23,IF(Parameter!$E$30="MAX-Bestand",IF(CH23=1,CI23,IF(LEFT(Cockpit!$I$5,1)="B",AV23,MAX(AV23,H23))),ROUNDUP(AT23,0)))</f>
        <v>131</v>
      </c>
      <c r="AQ23" s="50" t="n">
        <f aca="false">IF(BZ23=1,0,ROUNDUP(AP23/BY23,0))</f>
        <v>4</v>
      </c>
      <c r="AR23" s="52" t="n">
        <f aca="false">IF(CQ23&gt;0,CQ23*MAX(1,AP23/X23),IF(BZ23=1,IF(AP23&lt;=0,0,CD23*MAX(1,IF(H23&gt;0,AP23/H23,1))),IF(R23&gt;0,AQ23/R23,0))/MAX(0.1,N(Parameter!$M$21)))</f>
        <v>0.333333333333333</v>
      </c>
      <c r="AS23" s="50" t="n">
        <f aca="false">AR23*CB23</f>
        <v>48.3333333333333</v>
      </c>
      <c r="AT23" s="51" t="n">
        <f aca="false">IF(LEFT(Cockpit!$I$5,1)="A",H23,IF(CH23=1,(CK23+CI23)/2,IF(LEFT(Cockpit!$I$5,1)="B",(CK23+AV23)/2,MAX((CK23+AV23)/2,H23))))</f>
        <v>131</v>
      </c>
      <c r="AU23" s="50" t="n">
        <f aca="false">AT23*G23</f>
        <v>27642.31</v>
      </c>
      <c r="AV23" s="50" t="n">
        <f aca="false">ROUNDUP(CK23+MAX(CL23,2*(J23/IF(CG23&gt;0,CG23,MAX(0.1,N(Cockpit!$I$6)))-CK23)),0)</f>
        <v>206</v>
      </c>
      <c r="AW23" s="51" t="n">
        <f aca="false">IF(AS23&gt;0,J23/AS23,-1)</f>
        <v>6.97241379310345</v>
      </c>
      <c r="AX23" s="51" t="n">
        <f aca="false">IF(AND(OR(CF23="L1",CF23="L23",CF23="LIFT"),AS23&gt;0),SUMIFS($AS$7:$AS$1843,$CF$7:$CF$1843,CF23,$AW$7:$AW$1843,"&gt;"&amp;AW23)+SUMIFS($AS$7:$AS$1843,$CF$7:$CF$1843,CF23,$AW$7:$AW$1843,AW23,$BW$7:$BW$1843,"&lt;="&amp;BW23),"")</f>
        <v>3985.03159340659</v>
      </c>
      <c r="AY23" s="58" t="n">
        <f aca="false">IF(AX23="",0,MAX(0,MIN(1,(IF(CF23="L1",Parameter!$H$5,IF(CF23="L23",Parameter!$H$6+Parameter!$H$7,Parameter!$H$5+Parameter!$H$6+Parameter!$H$7))-(AX23-AS23))/AS23)))</f>
        <v>1</v>
      </c>
      <c r="AZ23" s="50" t="n">
        <f aca="false">IF(LEFT(Cockpit!$O$5,1)="A",H23,IF(Parameter!$E$30="MAX-Bestand",IF(CH23=1,CI23,IF(LEFT(Cockpit!$O$5,1)="B",BF23,MAX(BF23,H23))),ROUNDUP(BD23,0)))</f>
        <v>85</v>
      </c>
      <c r="BA23" s="50" t="n">
        <f aca="false">IF(BZ23=1,0,ROUNDUP(AZ23/BY23,0))</f>
        <v>3</v>
      </c>
      <c r="BB23" s="52" t="n">
        <f aca="false">IF(CQ23&gt;0,CQ23*MAX(1,AZ23/X23),IF(BZ23=1,IF(AZ23&lt;=0,0,CD23*MAX(1,IF(H23&gt;0,AZ23/H23,1))),IF(R23&gt;0,BA23/R23,0))/MAX(0.1,N(Parameter!$M$21)))</f>
        <v>0.25</v>
      </c>
      <c r="BC23" s="50" t="n">
        <f aca="false">BB23*CB23</f>
        <v>36.25</v>
      </c>
      <c r="BD23" s="51" t="n">
        <f aca="false">IF(LEFT(Cockpit!$O$5,1)="A",H23,IF(CH23=1,(CK23+CI23)/2,IF(LEFT(Cockpit!$O$5,1)="B",(CK23+BF23)/2,MAX((CK23+BF23)/2,H23))))</f>
        <v>84.5</v>
      </c>
      <c r="BE23" s="50" t="n">
        <f aca="false">BD23*G23</f>
        <v>17830.345</v>
      </c>
      <c r="BF23" s="50" t="n">
        <f aca="false">ROUNDUP(CK23+MAX(CL23,2*(J23/IF(CG23&gt;0,CG23,MAX(0.1,N(Cockpit!$O$6)))-CK23)),0)</f>
        <v>150</v>
      </c>
      <c r="BG23" s="51" t="n">
        <f aca="false">IF(BC23&gt;0,J23/BC23,-1)</f>
        <v>9.29655172413793</v>
      </c>
      <c r="BH23" s="51" t="n">
        <f aca="false">IF(AND(OR(CF23="L1",CF23="L23",CF23="LIFT"),BC23&gt;0),SUMIFS($BC$7:$BC$1843,$CF$7:$CF$1843,CF23,$BG$7:$BG$1843,"&gt;"&amp;BG23)+SUMIFS($BC$7:$BC$1843,$CF$7:$CF$1843,CF23,$BG$7:$BG$1843,BG23,$BW$7:$BW$1843,"&lt;="&amp;BW23),"")</f>
        <v>2785.27564102564</v>
      </c>
      <c r="BI23" s="58" t="n">
        <f aca="false">IF(BH23="",0,MAX(0,MIN(1,(IF(CF23="L1",Parameter!$H$5,IF(CF23="L23",Parameter!$H$6+Parameter!$H$7,Parameter!$H$5+Parameter!$H$6+Parameter!$H$7))-(BH23-BC23))/BC23)))</f>
        <v>1</v>
      </c>
      <c r="BJ23" s="48" t="str">
        <f aca="false">IF(AI23&lt;=0,"",IF(CF23="Aussen","Aussenlager",IF(CF23="-","Nicht im Lift",IF(AO23&gt;=1,"Lift",IF(AO23&lt;=0,"Aussenlager","teilweise")))))</f>
        <v>Lift</v>
      </c>
      <c r="BK23" s="48" t="str">
        <f aca="false">IF(AS23&lt;=0,"",IF(CF23="Aussen","Aussenlager",IF(CF23="-","Nicht im Lift",IF(AY23&gt;=1,"Lift",IF(AY23&lt;=0,"Aussenlager","teilweise")))))</f>
        <v>Lift</v>
      </c>
      <c r="BL23" s="48" t="str">
        <f aca="false">IF(BC23&lt;=0,"",IF(CF23="Aussen","Aussenlager",IF(CF23="-","Nicht im Lift",IF(BI23&gt;=1,"Lift",IF(BI23&lt;=0,"Aussenlager","teilweise")))))</f>
        <v>Lift</v>
      </c>
      <c r="BM23" s="48" t="str">
        <f aca="false">IF(A23="","",IF(BV23=1,"Neu; ","")&amp;IF(AND(BV23=0,BQ23&lt;0),"negativer Bestand (Export "&amp;BQ23&amp;"); ","")&amp;IF(J23&lt;=0,"Kein Verbrauch; ","")&amp;IF(CQ23&gt;0,"Lift "&amp;W23&amp;" lt. Liftbericht (Fach "&amp;X23&amp;" Stk); ",IF(CA23=1,"Gebinde geschätzt ("&amp;T23&amp;"); ",IF(BZ23=1,"Lose – Tablare geschätzt; ","")))&amp;IF(H23&gt;AV23,"Überbestand "&amp;ROUND(H23-AV23,0)&amp;" Stk / CHF "&amp;ROUND((H23-AV23)*G23,0)&amp;"; ","")&amp;IF(AND(CH23=1,CI23&lt;CJ23),"MAX &lt; MB+LG; ","")&amp;IF(AND(CP23&gt;0,CO23*10&gt;CP23),"zu hoch für Tablar; ","")&amp;IF(AND(BV23=0,OR(CH23=1,AA23&lt;&gt;"",U23&lt;&gt;"",V23&lt;&gt;"",AB23&lt;&gt;"")),"manuell übersteuert; ","")&amp;IF(AND(BZ23=0,R23=0),"Gebinde unbekannt / Stellmass fehlt; ","")&amp;IF(AND(BZ23=0,N(V23)&lt;=0,N(Q23)&lt;=0),"Menge pro Gebinde fehlt (Ist = 1 Gebinde); ","")&amp;BU23)</f>
        <v/>
      </c>
      <c r="BN23" s="48" t="s">
        <v>223</v>
      </c>
      <c r="BO23" s="48" t="s">
        <v>224</v>
      </c>
      <c r="BP23" s="55"/>
      <c r="BQ23" s="50" t="n">
        <v>90</v>
      </c>
      <c r="BR23" s="50" t="n">
        <v>41</v>
      </c>
      <c r="BS23" s="49" t="n">
        <v>17462.83</v>
      </c>
      <c r="BT23" s="50" t="n">
        <v>337</v>
      </c>
      <c r="BU23" s="48"/>
      <c r="BV23" s="53" t="n">
        <v>0</v>
      </c>
      <c r="BW23" s="53" t="n">
        <v>23</v>
      </c>
      <c r="BX23" s="48" t="str">
        <f aca="false">IF(U23&lt;&gt;"",UPPER(TRIM(U23)),IF(CA23=1,UPPER(VLOOKUP(T23,Parameter!$I$27:$K$29,2,0)),IF(P23="","LOSE",P23)))</f>
        <v>S61</v>
      </c>
      <c r="BY23" s="50" t="n">
        <f aca="false">IF(BX23="LOSE",1,IF(N(V23)&gt;0,V23,IF(CA23=1,MAX(1,N(VLOOKUP(T23,Parameter!$I$27:$K$29,3,0)),H23,N(N23)),IF(N(Q23)&gt;0,Q23,MAX(1,H23)))))</f>
        <v>42</v>
      </c>
      <c r="BZ23" s="53" t="n">
        <f aca="false">IF(BX23="LOSE",1,0)</f>
        <v>0</v>
      </c>
      <c r="CA23" s="53" t="n">
        <f aca="false">IF(AND(U23="",OR(P23="",P23="LOSE"),T23&lt;&gt;"",N(S23)&lt;=0,ISNUMBER(MATCH(T23,Parameter!$I$27:$I$29,0))),1,0)</f>
        <v>0</v>
      </c>
      <c r="CB23" s="53" t="n">
        <f aca="false">IF(CQ23&gt;0,INDEX(Parameter!$H$5:$H$7,W23)/INDEX(Parameter!$E$5:$E$7,W23),IF(AND(BZ23=0,N(IFERROR(VLOOKUP(BX23,'Gebinde-Kategorie'!$A$5:$N$45,14,0),0))&gt;0),VLOOKUP(BX23,'Gebinde-Kategorie'!$A$5:$N$45,14,0)*10+Parameter!$M$23,Parameter!$M$24))</f>
        <v>145</v>
      </c>
      <c r="CC23" s="48" t="str">
        <f aca="false">IF(AND(Parameter!$B$19="Ja",E23&lt;&gt;"",ISNUMBER(MATCH(E23,Parameter!$I$35:$I$52,0))),VLOOKUP(E23,Parameter!$I$35:$J$52,2,0),IFERROR(VLOOKUP(D23,Parameter!$A$35:$C$64,2,0),"Nein"))</f>
        <v>2+3</v>
      </c>
      <c r="CD23" s="52" t="n">
        <f aca="false">IF(BZ23=0,0,IF(N(S23)&gt;0,S23,IFERROR(VLOOKUP(D23,Parameter!$A$35:$C$64,3,0)+0,0)))</f>
        <v>0</v>
      </c>
      <c r="CE23" s="48" t="n">
        <f aca="false">IF(AA23&lt;&gt;"",AA23,Z23)</f>
        <v>2</v>
      </c>
      <c r="CF23" s="48" t="str">
        <f aca="false">IF(OR(CE23=1,CE23=2,CE23=3),IF(Parameter!$E$27="Ja","LIFT",IF(CE23=1,"L1","L23")),IF(CE23="Aussen","Aussen","-"))</f>
        <v>LIFT</v>
      </c>
      <c r="CG23" s="59" t="n">
        <f aca="false">IF(N(AB23)&gt;0,AB23,0)</f>
        <v>0</v>
      </c>
      <c r="CH23" s="53" t="n">
        <f aca="false">IF(ISNUMBER(AE23),1,0)</f>
        <v>0</v>
      </c>
      <c r="CI23" s="50" t="n">
        <f aca="false">N(AE23)</f>
        <v>0</v>
      </c>
      <c r="CJ23" s="50" t="n">
        <f aca="false">N(M23)+N(N23)</f>
        <v>79</v>
      </c>
      <c r="CK23" s="50" t="n">
        <f aca="false">N(M23)</f>
        <v>19</v>
      </c>
      <c r="CL23" s="50" t="n">
        <f aca="false">N(N23)</f>
        <v>60</v>
      </c>
      <c r="CM23" s="50" t="n">
        <f aca="false">ROUNDUP(H23/BY23,0)</f>
        <v>4</v>
      </c>
      <c r="CN23" s="50" t="n">
        <f aca="false">ROUNDUP(CI23/BY23,0)</f>
        <v>0</v>
      </c>
      <c r="CO23" s="53" t="n">
        <f aca="false">IF(BZ23=1,0,IFERROR(VLOOKUP(BX23,'Gebinde-Kategorie'!$A$5:$N$45,5,0)+0,0))</f>
        <v>11</v>
      </c>
      <c r="CP23" s="53" t="n">
        <f aca="false">IFERROR(IF(OR(CE23=1,CE23=2,CE23=3),N(INDEX(Parameter!$I$5:$I$7,CE23)),0),0)</f>
        <v>0</v>
      </c>
      <c r="CQ23" s="52" t="n">
        <f aca="false">IF(AND(Parameter!$B$21="Ja",ISNUMBER(W23),N(X23)&gt;0),IFERROR(N(INDEX(Parameter!$L$5:$L$7,W23))*INDEX(Parameter!$E$5:$E$7,W23)*X23/SUMIFS($X$7:$X$1843,$W$7:$W$1843,W23),0),0)</f>
        <v>0</v>
      </c>
    </row>
    <row r="24" customFormat="false" ht="15" hidden="false" customHeight="false" outlineLevel="0" collapsed="false">
      <c r="A24" s="48" t="s">
        <v>225</v>
      </c>
      <c r="B24" s="48" t="s">
        <v>226</v>
      </c>
      <c r="C24" s="48" t="s">
        <v>173</v>
      </c>
      <c r="D24" s="48" t="s">
        <v>182</v>
      </c>
      <c r="E24" s="48"/>
      <c r="F24" s="48" t="s">
        <v>227</v>
      </c>
      <c r="G24" s="49" t="n">
        <v>146.39</v>
      </c>
      <c r="H24" s="50" t="n">
        <f aca="false">MAX(0,IF(AND(Parameter!$B$21="Ja",ISNUMBER(Y24)),Y24,IF(Parameter!$B$20="Jahresanfang 2025 + Export",BR24+BQ24,BQ24)))</f>
        <v>114</v>
      </c>
      <c r="I24" s="50" t="n">
        <f aca="false">H24*G24</f>
        <v>16688.46</v>
      </c>
      <c r="J24" s="50" t="n">
        <f aca="false">BT24*Parameter!$B$18</f>
        <v>0</v>
      </c>
      <c r="K24" s="51" t="n">
        <v>19.5</v>
      </c>
      <c r="L24" s="52" t="n">
        <v>0</v>
      </c>
      <c r="M24" s="50" t="n">
        <v>0</v>
      </c>
      <c r="N24" s="50" t="n">
        <v>1</v>
      </c>
      <c r="O24" s="53" t="n">
        <v>0</v>
      </c>
      <c r="P24" s="48" t="s">
        <v>177</v>
      </c>
      <c r="Q24" s="50"/>
      <c r="R24" s="53" t="n">
        <f aca="false">IF(BZ24=1,0,IFERROR(VLOOKUP(BX24,'Gebinde-Kategorie'!$A$5:$N$45,13,0)+0,0))</f>
        <v>4</v>
      </c>
      <c r="S24" s="54"/>
      <c r="T24" s="55" t="s">
        <v>198</v>
      </c>
      <c r="U24" s="55"/>
      <c r="V24" s="55"/>
      <c r="W24" s="48"/>
      <c r="X24" s="50"/>
      <c r="Y24" s="50"/>
      <c r="Z24" s="48" t="n">
        <f aca="false">IF(A24="","",IF(AND(Parameter!$B$21="Ja",ISNUMBER(W24)),W24,IF(CC24="2+3",IF(ISNUMBER(SEARCH("grosser Artikel",BU24)),2,IFERROR(VLOOKUP(BX24,Parameter!$F$35:$G$64,2,0),2)),IF(OR(CC24="Nein",CC24=""),"-",CC24))))</f>
        <v>2</v>
      </c>
      <c r="AA24" s="55"/>
      <c r="AB24" s="56"/>
      <c r="AC24" s="50" t="n">
        <f aca="false">AV24</f>
        <v>1</v>
      </c>
      <c r="AD24" s="50" t="n">
        <f aca="false">MAX(AV24,H24)</f>
        <v>114</v>
      </c>
      <c r="AE24" s="57"/>
      <c r="AF24" s="50" t="n">
        <f aca="false">IF(LEFT(Cockpit!$C$5,1)="A",H24,IF(Parameter!$E$30="MAX-Bestand",IF(CH24=1,CI24,IF(LEFT(Cockpit!$C$5,1)="B",AL24,MAX(AL24,H24))),ROUNDUP(AJ24,0)))</f>
        <v>114</v>
      </c>
      <c r="AG24" s="50" t="n">
        <f aca="false">IF(BZ24=1,0,ROUNDUP(AF24/BY24,0))</f>
        <v>1</v>
      </c>
      <c r="AH24" s="52" t="n">
        <f aca="false">IF(CQ24&gt;0,CQ24*MAX(1,AF24/X24),IF(BZ24=1,IF(AF24&lt;=0,0,CD24*MAX(1,IF(H24&gt;0,AF24/H24,1))),IF(R24&gt;0,AG24/R24,0))/MAX(0.1,N(Parameter!$M$21)))</f>
        <v>0.25</v>
      </c>
      <c r="AI24" s="50" t="n">
        <f aca="false">AH24*CB24</f>
        <v>58.75</v>
      </c>
      <c r="AJ24" s="51" t="n">
        <f aca="false">IF(LEFT(Cockpit!$C$5,1)="A",H24,IF(CH24=1,(CK24+CI24)/2,IF(LEFT(Cockpit!$C$5,1)="B",(CK24+AL24)/2,MAX((CK24+AL24)/2,H24))))</f>
        <v>114</v>
      </c>
      <c r="AK24" s="50" t="n">
        <f aca="false">AJ24*G24</f>
        <v>16688.46</v>
      </c>
      <c r="AL24" s="50" t="n">
        <f aca="false">ROUNDUP(CK24+MAX(CL24,2*(J24/IF(CG24&gt;0,CG24,MAX(0.1,N(Cockpit!$C$6)))-CK24)),0)</f>
        <v>1</v>
      </c>
      <c r="AM24" s="51" t="n">
        <f aca="false">IF(AI24&gt;0,J24/AI24,-1)</f>
        <v>0</v>
      </c>
      <c r="AN24" s="51" t="n">
        <f aca="false">IF(AND(OR(CF24="L1",CF24="L23",CF24="LIFT"),AI24&gt;0),SUMIFS($AI$7:$AI$1843,$CF$7:$CF$1843,CF24,$AM$7:$AM$1843,"&gt;"&amp;AM24)+SUMIFS($AI$7:$AI$1843,$CF$7:$CF$1843,CF24,$AM$7:$AM$1843,AM24,$BW$7:$BW$1843,"&lt;="&amp;BW24),"")</f>
        <v>25664.0219081766</v>
      </c>
      <c r="AO24" s="58" t="n">
        <f aca="false">IF(AN24="",0,MAX(0,MIN(1,(IF(CF24="L1",Parameter!$H$5,IF(CF24="L23",Parameter!$H$6+Parameter!$H$7,Parameter!$H$5+Parameter!$H$6+Parameter!$H$7))-(AN24-AI24))/AI24)))</f>
        <v>1</v>
      </c>
      <c r="AP24" s="50" t="n">
        <f aca="false">IF(LEFT(Cockpit!$I$5,1)="A",H24,IF(Parameter!$E$30="MAX-Bestand",IF(CH24=1,CI24,IF(LEFT(Cockpit!$I$5,1)="B",AV24,MAX(AV24,H24))),ROUNDUP(AT24,0)))</f>
        <v>114</v>
      </c>
      <c r="AQ24" s="50" t="n">
        <f aca="false">IF(BZ24=1,0,ROUNDUP(AP24/BY24,0))</f>
        <v>1</v>
      </c>
      <c r="AR24" s="52" t="n">
        <f aca="false">IF(CQ24&gt;0,CQ24*MAX(1,AP24/X24),IF(BZ24=1,IF(AP24&lt;=0,0,CD24*MAX(1,IF(H24&gt;0,AP24/H24,1))),IF(R24&gt;0,AQ24/R24,0))/MAX(0.1,N(Parameter!$M$21)))</f>
        <v>0.25</v>
      </c>
      <c r="AS24" s="50" t="n">
        <f aca="false">AR24*CB24</f>
        <v>58.75</v>
      </c>
      <c r="AT24" s="51" t="n">
        <f aca="false">IF(LEFT(Cockpit!$I$5,1)="A",H24,IF(CH24=1,(CK24+CI24)/2,IF(LEFT(Cockpit!$I$5,1)="B",(CK24+AV24)/2,MAX((CK24+AV24)/2,H24))))</f>
        <v>114</v>
      </c>
      <c r="AU24" s="50" t="n">
        <f aca="false">AT24*G24</f>
        <v>16688.46</v>
      </c>
      <c r="AV24" s="50" t="n">
        <f aca="false">ROUNDUP(CK24+MAX(CL24,2*(J24/IF(CG24&gt;0,CG24,MAX(0.1,N(Cockpit!$I$6)))-CK24)),0)</f>
        <v>1</v>
      </c>
      <c r="AW24" s="51" t="n">
        <f aca="false">IF(AS24&gt;0,J24/AS24,-1)</f>
        <v>0</v>
      </c>
      <c r="AX24" s="51" t="n">
        <f aca="false">IF(AND(OR(CF24="L1",CF24="L23",CF24="LIFT"),AS24&gt;0),SUMIFS($AS$7:$AS$1843,$CF$7:$CF$1843,CF24,$AW$7:$AW$1843,"&gt;"&amp;AW24)+SUMIFS($AS$7:$AS$1843,$CF$7:$CF$1843,CF24,$AW$7:$AW$1843,AW24,$BW$7:$BW$1843,"&lt;="&amp;BW24),"")</f>
        <v>31017.170549554</v>
      </c>
      <c r="AY24" s="58" t="n">
        <f aca="false">IF(AX24="",0,MAX(0,MIN(1,(IF(CF24="L1",Parameter!$H$5,IF(CF24="L23",Parameter!$H$6+Parameter!$H$7,Parameter!$H$5+Parameter!$H$6+Parameter!$H$7))-(AX24-AS24))/AS24)))</f>
        <v>1</v>
      </c>
      <c r="AZ24" s="50" t="n">
        <f aca="false">IF(LEFT(Cockpit!$O$5,1)="A",H24,IF(Parameter!$E$30="MAX-Bestand",IF(CH24=1,CI24,IF(LEFT(Cockpit!$O$5,1)="B",BF24,MAX(BF24,H24))),ROUNDUP(BD24,0)))</f>
        <v>1</v>
      </c>
      <c r="BA24" s="50" t="n">
        <f aca="false">IF(BZ24=1,0,ROUNDUP(AZ24/BY24,0))</f>
        <v>1</v>
      </c>
      <c r="BB24" s="52" t="n">
        <f aca="false">IF(CQ24&gt;0,CQ24*MAX(1,AZ24/X24),IF(BZ24=1,IF(AZ24&lt;=0,0,CD24*MAX(1,IF(H24&gt;0,AZ24/H24,1))),IF(R24&gt;0,BA24/R24,0))/MAX(0.1,N(Parameter!$M$21)))</f>
        <v>0.25</v>
      </c>
      <c r="BC24" s="50" t="n">
        <f aca="false">BB24*CB24</f>
        <v>58.75</v>
      </c>
      <c r="BD24" s="51" t="n">
        <f aca="false">IF(LEFT(Cockpit!$O$5,1)="A",H24,IF(CH24=1,(CK24+CI24)/2,IF(LEFT(Cockpit!$O$5,1)="B",(CK24+BF24)/2,MAX((CK24+BF24)/2,H24))))</f>
        <v>0.5</v>
      </c>
      <c r="BE24" s="50" t="n">
        <f aca="false">BD24*G24</f>
        <v>73.195</v>
      </c>
      <c r="BF24" s="50" t="n">
        <f aca="false">ROUNDUP(CK24+MAX(CL24,2*(J24/IF(CG24&gt;0,CG24,MAX(0.1,N(Cockpit!$O$6)))-CK24)),0)</f>
        <v>1</v>
      </c>
      <c r="BG24" s="51" t="n">
        <f aca="false">IF(BC24&gt;0,J24/BC24,-1)</f>
        <v>0</v>
      </c>
      <c r="BH24" s="51" t="n">
        <f aca="false">IF(AND(OR(CF24="L1",CF24="L23",CF24="LIFT"),BC24&gt;0),SUMIFS($BC$7:$BC$1843,$CF$7:$CF$1843,CF24,$BG$7:$BG$1843,"&gt;"&amp;BG24)+SUMIFS($BC$7:$BC$1843,$CF$7:$CF$1843,CF24,$BG$7:$BG$1843,BG24,$BW$7:$BW$1843,"&lt;="&amp;BW24),"")</f>
        <v>25272.502392852</v>
      </c>
      <c r="BI24" s="58" t="n">
        <f aca="false">IF(BH24="",0,MAX(0,MIN(1,(IF(CF24="L1",Parameter!$H$5,IF(CF24="L23",Parameter!$H$6+Parameter!$H$7,Parameter!$H$5+Parameter!$H$6+Parameter!$H$7))-(BH24-BC24))/BC24)))</f>
        <v>1</v>
      </c>
      <c r="BJ24" s="48" t="str">
        <f aca="false">IF(AI24&lt;=0,"",IF(CF24="Aussen","Aussenlager",IF(CF24="-","Nicht im Lift",IF(AO24&gt;=1,"Lift",IF(AO24&lt;=0,"Aussenlager","teilweise")))))</f>
        <v>Lift</v>
      </c>
      <c r="BK24" s="48" t="str">
        <f aca="false">IF(AS24&lt;=0,"",IF(CF24="Aussen","Aussenlager",IF(CF24="-","Nicht im Lift",IF(AY24&gt;=1,"Lift",IF(AY24&lt;=0,"Aussenlager","teilweise")))))</f>
        <v>Lift</v>
      </c>
      <c r="BL24" s="48" t="str">
        <f aca="false">IF(BC24&lt;=0,"",IF(CF24="Aussen","Aussenlager",IF(CF24="-","Nicht im Lift",IF(BI24&gt;=1,"Lift",IF(BI24&lt;=0,"Aussenlager","teilweise")))))</f>
        <v>Lift</v>
      </c>
      <c r="BM24" s="48" t="str">
        <f aca="false">IF(A24="","",IF(BV24=1,"Neu; ","")&amp;IF(AND(BV24=0,BQ24&lt;0),"negativer Bestand (Export "&amp;BQ24&amp;"); ","")&amp;IF(J24&lt;=0,"Kein Verbrauch; ","")&amp;IF(CQ24&gt;0,"Lift "&amp;W24&amp;" lt. Liftbericht (Fach "&amp;X24&amp;" Stk); ",IF(CA24=1,"Gebinde geschätzt ("&amp;T24&amp;"); ",IF(BZ24=1,"Lose – Tablare geschätzt; ","")))&amp;IF(H24&gt;AV24,"Überbestand "&amp;ROUND(H24-AV24,0)&amp;" Stk / CHF "&amp;ROUND((H24-AV24)*G24,0)&amp;"; ","")&amp;IF(AND(CH24=1,CI24&lt;CJ24),"MAX &lt; MB+LG; ","")&amp;IF(AND(CP24&gt;0,CO24*10&gt;CP24),"zu hoch für Tablar; ","")&amp;IF(AND(BV24=0,OR(CH24=1,AA24&lt;&gt;"",U24&lt;&gt;"",V24&lt;&gt;"",AB24&lt;&gt;"")),"manuell übersteuert; ","")&amp;IF(AND(BZ24=0,R24=0),"Gebinde unbekannt / Stellmass fehlt; ","")&amp;IF(AND(BZ24=0,N(V24)&lt;=0,N(Q24)&lt;=0),"Menge pro Gebinde fehlt (Ist = 1 Gebinde); ","")&amp;BU24)</f>
        <v>Kein Verbrauch; Gebinde geschätzt (Gross); Überbestand 113 Stk / CHF 16542; Menge pro Gebinde fehlt (Ist = 1 Gebinde); </v>
      </c>
      <c r="BN24" s="48"/>
      <c r="BO24" s="48"/>
      <c r="BP24" s="55"/>
      <c r="BQ24" s="50" t="n">
        <v>114</v>
      </c>
      <c r="BR24" s="50" t="n">
        <v>0</v>
      </c>
      <c r="BS24" s="49" t="n">
        <v>16688.46</v>
      </c>
      <c r="BT24" s="50" t="n">
        <v>0</v>
      </c>
      <c r="BU24" s="48"/>
      <c r="BV24" s="53" t="n">
        <v>0</v>
      </c>
      <c r="BW24" s="53" t="n">
        <v>24</v>
      </c>
      <c r="BX24" s="48" t="str">
        <f aca="false">IF(U24&lt;&gt;"",UPPER(TRIM(U24)),IF(CA24=1,UPPER(VLOOKUP(T24,Parameter!$I$27:$K$29,2,0)),IF(P24="","LOSE",P24)))</f>
        <v>S81</v>
      </c>
      <c r="BY24" s="50" t="n">
        <f aca="false">IF(BX24="LOSE",1,IF(N(V24)&gt;0,V24,IF(CA24=1,MAX(1,N(VLOOKUP(T24,Parameter!$I$27:$K$29,3,0)),H24,N(N24)),IF(N(Q24)&gt;0,Q24,MAX(1,H24)))))</f>
        <v>114</v>
      </c>
      <c r="BZ24" s="53" t="n">
        <f aca="false">IF(BX24="LOSE",1,0)</f>
        <v>0</v>
      </c>
      <c r="CA24" s="53" t="n">
        <f aca="false">IF(AND(U24="",OR(P24="",P24="LOSE"),T24&lt;&gt;"",N(S24)&lt;=0,ISNUMBER(MATCH(T24,Parameter!$I$27:$I$29,0))),1,0)</f>
        <v>1</v>
      </c>
      <c r="CB24" s="53" t="n">
        <f aca="false">IF(CQ24&gt;0,INDEX(Parameter!$H$5:$H$7,W24)/INDEX(Parameter!$E$5:$E$7,W24),IF(AND(BZ24=0,N(IFERROR(VLOOKUP(BX24,'Gebinde-Kategorie'!$A$5:$N$45,14,0),0))&gt;0),VLOOKUP(BX24,'Gebinde-Kategorie'!$A$5:$N$45,14,0)*10+Parameter!$M$23,Parameter!$M$24))</f>
        <v>235</v>
      </c>
      <c r="CC24" s="48" t="str">
        <f aca="false">IF(AND(Parameter!$B$19="Ja",E24&lt;&gt;"",ISNUMBER(MATCH(E24,Parameter!$I$35:$I$52,0))),VLOOKUP(E24,Parameter!$I$35:$J$52,2,0),IFERROR(VLOOKUP(D24,Parameter!$A$35:$C$64,2,0),"Nein"))</f>
        <v>2+3</v>
      </c>
      <c r="CD24" s="52" t="n">
        <f aca="false">IF(BZ24=0,0,IF(N(S24)&gt;0,S24,IFERROR(VLOOKUP(D24,Parameter!$A$35:$C$64,3,0)+0,0)))</f>
        <v>0</v>
      </c>
      <c r="CE24" s="48" t="n">
        <f aca="false">IF(AA24&lt;&gt;"",AA24,Z24)</f>
        <v>2</v>
      </c>
      <c r="CF24" s="48" t="str">
        <f aca="false">IF(OR(CE24=1,CE24=2,CE24=3),IF(Parameter!$E$27="Ja","LIFT",IF(CE24=1,"L1","L23")),IF(CE24="Aussen","Aussen","-"))</f>
        <v>LIFT</v>
      </c>
      <c r="CG24" s="59" t="n">
        <f aca="false">IF(N(AB24)&gt;0,AB24,0)</f>
        <v>0</v>
      </c>
      <c r="CH24" s="53" t="n">
        <f aca="false">IF(ISNUMBER(AE24),1,0)</f>
        <v>0</v>
      </c>
      <c r="CI24" s="50" t="n">
        <f aca="false">N(AE24)</f>
        <v>0</v>
      </c>
      <c r="CJ24" s="50" t="n">
        <f aca="false">N(M24)+N(N24)</f>
        <v>1</v>
      </c>
      <c r="CK24" s="50" t="n">
        <f aca="false">N(M24)</f>
        <v>0</v>
      </c>
      <c r="CL24" s="50" t="n">
        <f aca="false">N(N24)</f>
        <v>1</v>
      </c>
      <c r="CM24" s="50" t="n">
        <f aca="false">ROUNDUP(H24/BY24,0)</f>
        <v>1</v>
      </c>
      <c r="CN24" s="50" t="n">
        <f aca="false">ROUNDUP(CI24/BY24,0)</f>
        <v>0</v>
      </c>
      <c r="CO24" s="53" t="n">
        <f aca="false">IF(BZ24=1,0,IFERROR(VLOOKUP(BX24,'Gebinde-Kategorie'!$A$5:$N$45,5,0)+0,0))</f>
        <v>20</v>
      </c>
      <c r="CP24" s="53" t="n">
        <f aca="false">IFERROR(IF(OR(CE24=1,CE24=2,CE24=3),N(INDEX(Parameter!$I$5:$I$7,CE24)),0),0)</f>
        <v>0</v>
      </c>
      <c r="CQ24" s="52" t="n">
        <f aca="false">IF(AND(Parameter!$B$21="Ja",ISNUMBER(W24),N(X24)&gt;0),IFERROR(N(INDEX(Parameter!$L$5:$L$7,W24))*INDEX(Parameter!$E$5:$E$7,W24)*X24/SUMIFS($X$7:$X$1843,$W$7:$W$1843,W24),0),0)</f>
        <v>0</v>
      </c>
    </row>
    <row r="25" customFormat="false" ht="15" hidden="false" customHeight="false" outlineLevel="0" collapsed="false">
      <c r="A25" s="48" t="s">
        <v>228</v>
      </c>
      <c r="B25" s="48" t="s">
        <v>229</v>
      </c>
      <c r="C25" s="48" t="s">
        <v>173</v>
      </c>
      <c r="D25" s="48" t="s">
        <v>174</v>
      </c>
      <c r="E25" s="48" t="s">
        <v>175</v>
      </c>
      <c r="F25" s="48" t="s">
        <v>227</v>
      </c>
      <c r="G25" s="49" t="n">
        <v>3268.12</v>
      </c>
      <c r="H25" s="50" t="n">
        <f aca="false">MAX(0,IF(AND(Parameter!$B$21="Ja",ISNUMBER(Y25)),Y25,IF(Parameter!$B$20="Jahresanfang 2025 + Export",BR25+BQ25,BQ25)))</f>
        <v>9</v>
      </c>
      <c r="I25" s="50" t="n">
        <f aca="false">H25*G25</f>
        <v>29413.08</v>
      </c>
      <c r="J25" s="50" t="n">
        <f aca="false">BT25*Parameter!$B$18</f>
        <v>24</v>
      </c>
      <c r="K25" s="51" t="n">
        <v>5.5</v>
      </c>
      <c r="L25" s="52" t="n">
        <v>4.36363636363636</v>
      </c>
      <c r="M25" s="50" t="n">
        <v>3</v>
      </c>
      <c r="N25" s="50" t="n">
        <v>6</v>
      </c>
      <c r="O25" s="53" t="n">
        <v>49</v>
      </c>
      <c r="P25" s="48" t="s">
        <v>177</v>
      </c>
      <c r="Q25" s="50"/>
      <c r="R25" s="53" t="n">
        <f aca="false">IF(BZ25=1,0,IFERROR(VLOOKUP(BX25,'Gebinde-Kategorie'!$A$5:$N$45,13,0)+0,0))</f>
        <v>0</v>
      </c>
      <c r="S25" s="54"/>
      <c r="T25" s="55"/>
      <c r="U25" s="55"/>
      <c r="V25" s="55"/>
      <c r="W25" s="48" t="n">
        <v>1</v>
      </c>
      <c r="X25" s="50" t="n">
        <v>12</v>
      </c>
      <c r="Y25" s="50" t="n">
        <v>9</v>
      </c>
      <c r="Z25" s="48" t="n">
        <f aca="false">IF(A25="","",IF(AND(Parameter!$B$21="Ja",ISNUMBER(W25)),W25,IF(CC25="2+3",IF(ISNUMBER(SEARCH("grosser Artikel",BU25)),2,IFERROR(VLOOKUP(BX25,Parameter!$F$35:$G$64,2,0),2)),IF(OR(CC25="Nein",CC25=""),"-",CC25))))</f>
        <v>1</v>
      </c>
      <c r="AA25" s="55"/>
      <c r="AB25" s="56"/>
      <c r="AC25" s="50" t="n">
        <f aca="false">AV25</f>
        <v>13</v>
      </c>
      <c r="AD25" s="50" t="n">
        <f aca="false">MAX(AV25,H25)</f>
        <v>13</v>
      </c>
      <c r="AE25" s="57"/>
      <c r="AF25" s="50" t="n">
        <f aca="false">IF(LEFT(Cockpit!$C$5,1)="A",H25,IF(Parameter!$E$30="MAX-Bestand",IF(CH25=1,CI25,IF(LEFT(Cockpit!$C$5,1)="B",AL25,MAX(AL25,H25))),ROUNDUP(AJ25,0)))</f>
        <v>9</v>
      </c>
      <c r="AG25" s="50" t="n">
        <f aca="false">IF(BZ25=1,0,ROUNDUP(AF25/BY25,0))</f>
        <v>0</v>
      </c>
      <c r="AH25" s="52" t="n">
        <f aca="false">IF(CQ25&gt;0,CQ25*MAX(1,AF25/X25),IF(BZ25=1,IF(AF25&lt;=0,0,CD25*MAX(1,IF(H25&gt;0,AF25/H25,1))),IF(R25&gt;0,AG25/R25,0))/MAX(0.1,N(Parameter!$M$21)))</f>
        <v>0.96045197740113</v>
      </c>
      <c r="AI25" s="50" t="n">
        <f aca="false">AH25*CB25</f>
        <v>228.587570621469</v>
      </c>
      <c r="AJ25" s="51" t="n">
        <f aca="false">IF(LEFT(Cockpit!$C$5,1)="A",H25,IF(CH25=1,(CK25+CI25)/2,IF(LEFT(Cockpit!$C$5,1)="B",(CK25+AL25)/2,MAX((CK25+AL25)/2,H25))))</f>
        <v>9</v>
      </c>
      <c r="AK25" s="50" t="n">
        <f aca="false">AJ25*G25</f>
        <v>29413.08</v>
      </c>
      <c r="AL25" s="50" t="n">
        <f aca="false">ROUNDUP(CK25+MAX(CL25,2*(J25/IF(CG25&gt;0,CG25,MAX(0.1,N(Cockpit!$C$6)))-CK25)),0)</f>
        <v>13</v>
      </c>
      <c r="AM25" s="51" t="n">
        <f aca="false">IF(AI25&gt;0,J25/AI25,-1)</f>
        <v>0.104992585269402</v>
      </c>
      <c r="AN25" s="51" t="n">
        <f aca="false">IF(AND(OR(CF25="L1",CF25="L23",CF25="LIFT"),AI25&gt;0),SUMIFS($AI$7:$AI$1843,$CF$7:$CF$1843,CF25,$AM$7:$AM$1843,"&gt;"&amp;AM25)+SUMIFS($AI$7:$AI$1843,$CF$7:$CF$1843,CF25,$AM$7:$AM$1843,AM25,$BW$7:$BW$1843,"&lt;="&amp;BW25),"")</f>
        <v>15552.0865022454</v>
      </c>
      <c r="AO25" s="58" t="n">
        <f aca="false">IF(AN25="",0,MAX(0,MIN(1,(IF(CF25="L1",Parameter!$H$5,IF(CF25="L23",Parameter!$H$6+Parameter!$H$7,Parameter!$H$5+Parameter!$H$6+Parameter!$H$7))-(AN25-AI25))/AI25)))</f>
        <v>1</v>
      </c>
      <c r="AP25" s="50" t="n">
        <f aca="false">IF(LEFT(Cockpit!$I$5,1)="A",H25,IF(Parameter!$E$30="MAX-Bestand",IF(CH25=1,CI25,IF(LEFT(Cockpit!$I$5,1)="B",AV25,MAX(AV25,H25))),ROUNDUP(AT25,0)))</f>
        <v>9</v>
      </c>
      <c r="AQ25" s="50" t="n">
        <f aca="false">IF(BZ25=1,0,ROUNDUP(AP25/BY25,0))</f>
        <v>0</v>
      </c>
      <c r="AR25" s="52" t="n">
        <f aca="false">IF(CQ25&gt;0,CQ25*MAX(1,AP25/X25),IF(BZ25=1,IF(AP25&lt;=0,0,CD25*MAX(1,IF(H25&gt;0,AP25/H25,1))),IF(R25&gt;0,AQ25/R25,0))/MAX(0.1,N(Parameter!$M$21)))</f>
        <v>0.96045197740113</v>
      </c>
      <c r="AS25" s="50" t="n">
        <f aca="false">AR25*CB25</f>
        <v>228.587570621469</v>
      </c>
      <c r="AT25" s="51" t="n">
        <f aca="false">IF(LEFT(Cockpit!$I$5,1)="A",H25,IF(CH25=1,(CK25+CI25)/2,IF(LEFT(Cockpit!$I$5,1)="B",(CK25+AV25)/2,MAX((CK25+AV25)/2,H25))))</f>
        <v>9</v>
      </c>
      <c r="AU25" s="50" t="n">
        <f aca="false">AT25*G25</f>
        <v>29413.08</v>
      </c>
      <c r="AV25" s="50" t="n">
        <f aca="false">ROUNDUP(CK25+MAX(CL25,2*(J25/IF(CG25&gt;0,CG25,MAX(0.1,N(Cockpit!$I$6)))-CK25)),0)</f>
        <v>13</v>
      </c>
      <c r="AW25" s="51" t="n">
        <f aca="false">IF(AS25&gt;0,J25/AS25,-1)</f>
        <v>0.104992585269402</v>
      </c>
      <c r="AX25" s="51" t="n">
        <f aca="false">IF(AND(OR(CF25="L1",CF25="L23",CF25="LIFT"),AS25&gt;0),SUMIFS($AS$7:$AS$1843,$CF$7:$CF$1843,CF25,$AW$7:$AW$1843,"&gt;"&amp;AW25)+SUMIFS($AS$7:$AS$1843,$CF$7:$CF$1843,CF25,$AW$7:$AW$1843,AW25,$BW$7:$BW$1843,"&lt;="&amp;BW25),"")</f>
        <v>19576.4851436229</v>
      </c>
      <c r="AY25" s="58" t="n">
        <f aca="false">IF(AX25="",0,MAX(0,MIN(1,(IF(CF25="L1",Parameter!$H$5,IF(CF25="L23",Parameter!$H$6+Parameter!$H$7,Parameter!$H$5+Parameter!$H$6+Parameter!$H$7))-(AX25-AS25))/AS25)))</f>
        <v>1</v>
      </c>
      <c r="AZ25" s="50" t="n">
        <f aca="false">IF(LEFT(Cockpit!$O$5,1)="A",H25,IF(Parameter!$E$30="MAX-Bestand",IF(CH25=1,CI25,IF(LEFT(Cockpit!$O$5,1)="B",BF25,MAX(BF25,H25))),ROUNDUP(BD25,0)))</f>
        <v>6</v>
      </c>
      <c r="BA25" s="50" t="n">
        <f aca="false">IF(BZ25=1,0,ROUNDUP(AZ25/BY25,0))</f>
        <v>0</v>
      </c>
      <c r="BB25" s="52" t="n">
        <f aca="false">IF(CQ25&gt;0,CQ25*MAX(1,AZ25/X25),IF(BZ25=1,IF(AZ25&lt;=0,0,CD25*MAX(1,IF(H25&gt;0,AZ25/H25,1))),IF(R25&gt;0,BA25/R25,0))/MAX(0.1,N(Parameter!$M$21)))</f>
        <v>0.96045197740113</v>
      </c>
      <c r="BC25" s="50" t="n">
        <f aca="false">BB25*CB25</f>
        <v>228.587570621469</v>
      </c>
      <c r="BD25" s="51" t="n">
        <f aca="false">IF(LEFT(Cockpit!$O$5,1)="A",H25,IF(CH25=1,(CK25+CI25)/2,IF(LEFT(Cockpit!$O$5,1)="B",(CK25+BF25)/2,MAX((CK25+BF25)/2,H25))))</f>
        <v>6</v>
      </c>
      <c r="BE25" s="50" t="n">
        <f aca="false">BD25*G25</f>
        <v>19608.72</v>
      </c>
      <c r="BF25" s="50" t="n">
        <f aca="false">ROUNDUP(CK25+MAX(CL25,2*(J25/IF(CG25&gt;0,CG25,MAX(0.1,N(Cockpit!$O$6)))-CK25)),0)</f>
        <v>9</v>
      </c>
      <c r="BG25" s="51" t="n">
        <f aca="false">IF(BC25&gt;0,J25/BC25,-1)</f>
        <v>0.104992585269402</v>
      </c>
      <c r="BH25" s="51" t="n">
        <f aca="false">IF(AND(OR(CF25="L1",CF25="L23",CF25="LIFT"),BC25&gt;0),SUMIFS($BC$7:$BC$1843,$CF$7:$CF$1843,CF25,$BG$7:$BG$1843,"&gt;"&amp;BG25)+SUMIFS($BC$7:$BC$1843,$CF$7:$CF$1843,CF25,$BG$7:$BG$1843,BG25,$BW$7:$BW$1843,"&lt;="&amp;BW25),"")</f>
        <v>17177.2977561516</v>
      </c>
      <c r="BI25" s="58" t="n">
        <f aca="false">IF(BH25="",0,MAX(0,MIN(1,(IF(CF25="L1",Parameter!$H$5,IF(CF25="L23",Parameter!$H$6+Parameter!$H$7,Parameter!$H$5+Parameter!$H$6+Parameter!$H$7))-(BH25-BC25))/BC25)))</f>
        <v>1</v>
      </c>
      <c r="BJ25" s="48" t="str">
        <f aca="false">IF(AI25&lt;=0,"",IF(CF25="Aussen","Aussenlager",IF(CF25="-","Nicht im Lift",IF(AO25&gt;=1,"Lift",IF(AO25&lt;=0,"Aussenlager","teilweise")))))</f>
        <v>Lift</v>
      </c>
      <c r="BK25" s="48" t="str">
        <f aca="false">IF(AS25&lt;=0,"",IF(CF25="Aussen","Aussenlager",IF(CF25="-","Nicht im Lift",IF(AY25&gt;=1,"Lift",IF(AY25&lt;=0,"Aussenlager","teilweise")))))</f>
        <v>Lift</v>
      </c>
      <c r="BL25" s="48" t="str">
        <f aca="false">IF(BC25&lt;=0,"",IF(CF25="Aussen","Aussenlager",IF(CF25="-","Nicht im Lift",IF(BI25&gt;=1,"Lift",IF(BI25&lt;=0,"Aussenlager","teilweise")))))</f>
        <v>Lift</v>
      </c>
      <c r="BM25" s="48" t="str">
        <f aca="false">IF(A25="","",IF(BV25=1,"Neu; ","")&amp;IF(AND(BV25=0,BQ25&lt;0),"negativer Bestand (Export "&amp;BQ25&amp;"); ","")&amp;IF(J25&lt;=0,"Kein Verbrauch; ","")&amp;IF(CQ25&gt;0,"Lift "&amp;W25&amp;" lt. Liftbericht (Fach "&amp;X25&amp;" Stk); ",IF(CA25=1,"Gebinde geschätzt ("&amp;T25&amp;"); ",IF(BZ25=1,"Lose – Tablare geschätzt; ","")))&amp;IF(H25&gt;AV25,"Überbestand "&amp;ROUND(H25-AV25,0)&amp;" Stk / CHF "&amp;ROUND((H25-AV25)*G25,0)&amp;"; ","")&amp;IF(AND(CH25=1,CI25&lt;CJ25),"MAX &lt; MB+LG; ","")&amp;IF(AND(CP25&gt;0,CO25*10&gt;CP25),"zu hoch für Tablar; ","")&amp;IF(AND(BV25=0,OR(CH25=1,AA25&lt;&gt;"",U25&lt;&gt;"",V25&lt;&gt;"",AB25&lt;&gt;"")),"manuell übersteuert; ","")&amp;IF(AND(BZ25=0,R25=0),"Gebinde unbekannt / Stellmass fehlt; ","")&amp;IF(AND(BZ25=0,N(V25)&lt;=0,N(Q25)&lt;=0),"Menge pro Gebinde fehlt (Ist = 1 Gebinde); ","")&amp;BU25)</f>
        <v>Lift 1 lt. Liftbericht (Fach 12 Stk); </v>
      </c>
      <c r="BN25" s="48"/>
      <c r="BO25" s="48"/>
      <c r="BP25" s="55"/>
      <c r="BQ25" s="50" t="n">
        <v>5</v>
      </c>
      <c r="BR25" s="50" t="n">
        <v>0</v>
      </c>
      <c r="BS25" s="49" t="n">
        <v>16340.6</v>
      </c>
      <c r="BT25" s="50" t="n">
        <v>24</v>
      </c>
      <c r="BU25" s="48"/>
      <c r="BV25" s="53" t="n">
        <v>0</v>
      </c>
      <c r="BW25" s="53" t="n">
        <v>25</v>
      </c>
      <c r="BX25" s="48" t="str">
        <f aca="false">IF(U25&lt;&gt;"",UPPER(TRIM(U25)),IF(CA25=1,UPPER(VLOOKUP(T25,Parameter!$I$27:$K$29,2,0)),IF(P25="","LOSE",P25)))</f>
        <v>LOSE</v>
      </c>
      <c r="BY25" s="50" t="n">
        <f aca="false">IF(BX25="LOSE",1,IF(N(V25)&gt;0,V25,IF(CA25=1,MAX(1,N(VLOOKUP(T25,Parameter!$I$27:$K$29,3,0)),H25,N(N25)),IF(N(Q25)&gt;0,Q25,MAX(1,H25)))))</f>
        <v>1</v>
      </c>
      <c r="BZ25" s="53" t="n">
        <f aca="false">IF(BX25="LOSE",1,0)</f>
        <v>1</v>
      </c>
      <c r="CA25" s="53" t="n">
        <f aca="false">IF(AND(U25="",OR(P25="",P25="LOSE"),T25&lt;&gt;"",N(S25)&lt;=0,ISNUMBER(MATCH(T25,Parameter!$I$27:$I$29,0))),1,0)</f>
        <v>0</v>
      </c>
      <c r="CB25" s="53" t="n">
        <f aca="false">IF(CQ25&gt;0,INDEX(Parameter!$H$5:$H$7,W25)/INDEX(Parameter!$E$5:$E$7,W25),IF(AND(BZ25=0,N(IFERROR(VLOOKUP(BX25,'Gebinde-Kategorie'!$A$5:$N$45,14,0),0))&gt;0),VLOOKUP(BX25,'Gebinde-Kategorie'!$A$5:$N$45,14,0)*10+Parameter!$M$23,Parameter!$M$24))</f>
        <v>238</v>
      </c>
      <c r="CC25" s="48" t="n">
        <f aca="false">IF(AND(Parameter!$B$19="Ja",E25&lt;&gt;"",ISNUMBER(MATCH(E25,Parameter!$I$35:$I$52,0))),VLOOKUP(E25,Parameter!$I$35:$J$52,2,0),IFERROR(VLOOKUP(D25,Parameter!$A$35:$C$64,2,0),"Nein"))</f>
        <v>1</v>
      </c>
      <c r="CD25" s="52" t="n">
        <f aca="false">IF(BZ25=0,0,IF(N(S25)&gt;0,S25,IFERROR(VLOOKUP(D25,Parameter!$A$35:$C$64,3,0)+0,0)))</f>
        <v>1</v>
      </c>
      <c r="CE25" s="48" t="n">
        <f aca="false">IF(AA25&lt;&gt;"",AA25,Z25)</f>
        <v>1</v>
      </c>
      <c r="CF25" s="48" t="str">
        <f aca="false">IF(OR(CE25=1,CE25=2,CE25=3),IF(Parameter!$E$27="Ja","LIFT",IF(CE25=1,"L1","L23")),IF(CE25="Aussen","Aussen","-"))</f>
        <v>LIFT</v>
      </c>
      <c r="CG25" s="59" t="n">
        <f aca="false">IF(N(AB25)&gt;0,AB25,0)</f>
        <v>0</v>
      </c>
      <c r="CH25" s="53" t="n">
        <f aca="false">IF(ISNUMBER(AE25),1,0)</f>
        <v>0</v>
      </c>
      <c r="CI25" s="50" t="n">
        <f aca="false">N(AE25)</f>
        <v>0</v>
      </c>
      <c r="CJ25" s="50" t="n">
        <f aca="false">N(M25)+N(N25)</f>
        <v>9</v>
      </c>
      <c r="CK25" s="50" t="n">
        <f aca="false">N(M25)</f>
        <v>3</v>
      </c>
      <c r="CL25" s="50" t="n">
        <f aca="false">N(N25)</f>
        <v>6</v>
      </c>
      <c r="CM25" s="50" t="n">
        <f aca="false">ROUNDUP(H25/BY25,0)</f>
        <v>9</v>
      </c>
      <c r="CN25" s="50" t="n">
        <f aca="false">ROUNDUP(CI25/BY25,0)</f>
        <v>0</v>
      </c>
      <c r="CO25" s="53" t="n">
        <f aca="false">IF(BZ25=1,0,IFERROR(VLOOKUP(BX25,'Gebinde-Kategorie'!$A$5:$N$45,5,0)+0,0))</f>
        <v>0</v>
      </c>
      <c r="CP25" s="53" t="n">
        <f aca="false">IFERROR(IF(OR(CE25=1,CE25=2,CE25=3),N(INDEX(Parameter!$I$5:$I$7,CE25)),0),0)</f>
        <v>0</v>
      </c>
      <c r="CQ25" s="52" t="n">
        <f aca="false">IF(AND(Parameter!$B$21="Ja",ISNUMBER(W25),N(X25)&gt;0),IFERROR(N(INDEX(Parameter!$L$5:$L$7,W25))*INDEX(Parameter!$E$5:$E$7,W25)*X25/SUMIFS($X$7:$X$1843,$W$7:$W$1843,W25),0),0)</f>
        <v>0.96045197740113</v>
      </c>
    </row>
    <row r="26" customFormat="false" ht="15" hidden="false" customHeight="false" outlineLevel="0" collapsed="false">
      <c r="A26" s="48" t="s">
        <v>230</v>
      </c>
      <c r="B26" s="48" t="s">
        <v>231</v>
      </c>
      <c r="C26" s="48" t="s">
        <v>173</v>
      </c>
      <c r="D26" s="48" t="s">
        <v>182</v>
      </c>
      <c r="E26" s="48" t="s">
        <v>182</v>
      </c>
      <c r="F26" s="48" t="s">
        <v>227</v>
      </c>
      <c r="G26" s="49" t="n">
        <v>120.44</v>
      </c>
      <c r="H26" s="50" t="n">
        <f aca="false">MAX(0,IF(AND(Parameter!$B$21="Ja",ISNUMBER(Y26)),Y26,IF(Parameter!$B$20="Jahresanfang 2025 + Export",BR26+BQ26,BQ26)))</f>
        <v>167</v>
      </c>
      <c r="I26" s="50" t="n">
        <f aca="false">H26*G26</f>
        <v>20113.48</v>
      </c>
      <c r="J26" s="50" t="n">
        <f aca="false">BT26*Parameter!$B$18</f>
        <v>62</v>
      </c>
      <c r="K26" s="51" t="n">
        <v>32.5</v>
      </c>
      <c r="L26" s="52" t="n">
        <v>1.90769230769231</v>
      </c>
      <c r="M26" s="50" t="n">
        <v>4</v>
      </c>
      <c r="N26" s="50" t="n">
        <v>35</v>
      </c>
      <c r="O26" s="53" t="n">
        <v>21</v>
      </c>
      <c r="P26" s="48" t="s">
        <v>232</v>
      </c>
      <c r="Q26" s="50" t="n">
        <v>31</v>
      </c>
      <c r="R26" s="53" t="n">
        <f aca="false">IF(BZ26=1,0,IFERROR(VLOOKUP(BX26,'Gebinde-Kategorie'!$A$5:$N$45,13,0)+0,0))</f>
        <v>4</v>
      </c>
      <c r="S26" s="54"/>
      <c r="T26" s="55"/>
      <c r="U26" s="55"/>
      <c r="V26" s="55"/>
      <c r="W26" s="48"/>
      <c r="X26" s="50"/>
      <c r="Y26" s="50"/>
      <c r="Z26" s="48" t="str">
        <f aca="false">IF(A26="","",IF(AND(Parameter!$B$21="Ja",ISNUMBER(W26)),W26,IF(CC26="2+3",IF(ISNUMBER(SEARCH("grosser Artikel",BU26)),2,IFERROR(VLOOKUP(BX26,Parameter!$F$35:$G$64,2,0),2)),IF(OR(CC26="Nein",CC26=""),"-",CC26))))</f>
        <v>-</v>
      </c>
      <c r="AA26" s="55"/>
      <c r="AB26" s="56"/>
      <c r="AC26" s="50" t="n">
        <f aca="false">AV26</f>
        <v>39</v>
      </c>
      <c r="AD26" s="50" t="n">
        <f aca="false">MAX(AV26,H26)</f>
        <v>167</v>
      </c>
      <c r="AE26" s="57"/>
      <c r="AF26" s="50" t="n">
        <f aca="false">IF(LEFT(Cockpit!$C$5,1)="A",H26,IF(Parameter!$E$30="MAX-Bestand",IF(CH26=1,CI26,IF(LEFT(Cockpit!$C$5,1)="B",AL26,MAX(AL26,H26))),ROUNDUP(AJ26,0)))</f>
        <v>167</v>
      </c>
      <c r="AG26" s="50" t="n">
        <f aca="false">IF(BZ26=1,0,ROUNDUP(AF26/BY26,0))</f>
        <v>6</v>
      </c>
      <c r="AH26" s="52" t="n">
        <f aca="false">IF(CQ26&gt;0,CQ26*MAX(1,AF26/X26),IF(BZ26=1,IF(AF26&lt;=0,0,CD26*MAX(1,IF(H26&gt;0,AF26/H26,1))),IF(R26&gt;0,AG26/R26,0))/MAX(0.1,N(Parameter!$M$21)))</f>
        <v>1.5</v>
      </c>
      <c r="AI26" s="50" t="n">
        <f aca="false">AH26*CB26</f>
        <v>352.5</v>
      </c>
      <c r="AJ26" s="51" t="n">
        <f aca="false">IF(LEFT(Cockpit!$C$5,1)="A",H26,IF(CH26=1,(CK26+CI26)/2,IF(LEFT(Cockpit!$C$5,1)="B",(CK26+AL26)/2,MAX((CK26+AL26)/2,H26))))</f>
        <v>167</v>
      </c>
      <c r="AK26" s="50" t="n">
        <f aca="false">AJ26*G26</f>
        <v>20113.48</v>
      </c>
      <c r="AL26" s="50" t="n">
        <f aca="false">ROUNDUP(CK26+MAX(CL26,2*(J26/IF(CG26&gt;0,CG26,MAX(0.1,N(Cockpit!$C$6)))-CK26)),0)</f>
        <v>39</v>
      </c>
      <c r="AM26" s="51" t="n">
        <f aca="false">IF(AI26&gt;0,J26/AI26,-1)</f>
        <v>0.175886524822695</v>
      </c>
      <c r="AN26" s="51" t="str">
        <f aca="false">IF(AND(OR(CF26="L1",CF26="L23",CF26="LIFT"),AI26&gt;0),SUMIFS($AI$7:$AI$1843,$CF$7:$CF$1843,CF26,$AM$7:$AM$1843,"&gt;"&amp;AM26)+SUMIFS($AI$7:$AI$1843,$CF$7:$CF$1843,CF26,$AM$7:$AM$1843,AM26,$BW$7:$BW$1843,"&lt;="&amp;BW26),"")</f>
        <v/>
      </c>
      <c r="AO26" s="58" t="n">
        <f aca="false">IF(AN26="",0,MAX(0,MIN(1,(IF(CF26="L1",Parameter!$H$5,IF(CF26="L23",Parameter!$H$6+Parameter!$H$7,Parameter!$H$5+Parameter!$H$6+Parameter!$H$7))-(AN26-AI26))/AI26)))</f>
        <v>0</v>
      </c>
      <c r="AP26" s="50" t="n">
        <f aca="false">IF(LEFT(Cockpit!$I$5,1)="A",H26,IF(Parameter!$E$30="MAX-Bestand",IF(CH26=1,CI26,IF(LEFT(Cockpit!$I$5,1)="B",AV26,MAX(AV26,H26))),ROUNDUP(AT26,0)))</f>
        <v>167</v>
      </c>
      <c r="AQ26" s="50" t="n">
        <f aca="false">IF(BZ26=1,0,ROUNDUP(AP26/BY26,0))</f>
        <v>6</v>
      </c>
      <c r="AR26" s="52" t="n">
        <f aca="false">IF(CQ26&gt;0,CQ26*MAX(1,AP26/X26),IF(BZ26=1,IF(AP26&lt;=0,0,CD26*MAX(1,IF(H26&gt;0,AP26/H26,1))),IF(R26&gt;0,AQ26/R26,0))/MAX(0.1,N(Parameter!$M$21)))</f>
        <v>1.5</v>
      </c>
      <c r="AS26" s="50" t="n">
        <f aca="false">AR26*CB26</f>
        <v>352.5</v>
      </c>
      <c r="AT26" s="51" t="n">
        <f aca="false">IF(LEFT(Cockpit!$I$5,1)="A",H26,IF(CH26=1,(CK26+CI26)/2,IF(LEFT(Cockpit!$I$5,1)="B",(CK26+AV26)/2,MAX((CK26+AV26)/2,H26))))</f>
        <v>167</v>
      </c>
      <c r="AU26" s="50" t="n">
        <f aca="false">AT26*G26</f>
        <v>20113.48</v>
      </c>
      <c r="AV26" s="50" t="n">
        <f aca="false">ROUNDUP(CK26+MAX(CL26,2*(J26/IF(CG26&gt;0,CG26,MAX(0.1,N(Cockpit!$I$6)))-CK26)),0)</f>
        <v>39</v>
      </c>
      <c r="AW26" s="51" t="n">
        <f aca="false">IF(AS26&gt;0,J26/AS26,-1)</f>
        <v>0.175886524822695</v>
      </c>
      <c r="AX26" s="51" t="str">
        <f aca="false">IF(AND(OR(CF26="L1",CF26="L23",CF26="LIFT"),AS26&gt;0),SUMIFS($AS$7:$AS$1843,$CF$7:$CF$1843,CF26,$AW$7:$AW$1843,"&gt;"&amp;AW26)+SUMIFS($AS$7:$AS$1843,$CF$7:$CF$1843,CF26,$AW$7:$AW$1843,AW26,$BW$7:$BW$1843,"&lt;="&amp;BW26),"")</f>
        <v/>
      </c>
      <c r="AY26" s="58" t="n">
        <f aca="false">IF(AX26="",0,MAX(0,MIN(1,(IF(CF26="L1",Parameter!$H$5,IF(CF26="L23",Parameter!$H$6+Parameter!$H$7,Parameter!$H$5+Parameter!$H$6+Parameter!$H$7))-(AX26-AS26))/AS26)))</f>
        <v>0</v>
      </c>
      <c r="AZ26" s="50" t="n">
        <f aca="false">IF(LEFT(Cockpit!$O$5,1)="A",H26,IF(Parameter!$E$30="MAX-Bestand",IF(CH26=1,CI26,IF(LEFT(Cockpit!$O$5,1)="B",BF26,MAX(BF26,H26))),ROUNDUP(BD26,0)))</f>
        <v>22</v>
      </c>
      <c r="BA26" s="50" t="n">
        <f aca="false">IF(BZ26=1,0,ROUNDUP(AZ26/BY26,0))</f>
        <v>1</v>
      </c>
      <c r="BB26" s="52" t="n">
        <f aca="false">IF(CQ26&gt;0,CQ26*MAX(1,AZ26/X26),IF(BZ26=1,IF(AZ26&lt;=0,0,CD26*MAX(1,IF(H26&gt;0,AZ26/H26,1))),IF(R26&gt;0,BA26/R26,0))/MAX(0.1,N(Parameter!$M$21)))</f>
        <v>0.25</v>
      </c>
      <c r="BC26" s="50" t="n">
        <f aca="false">BB26*CB26</f>
        <v>58.75</v>
      </c>
      <c r="BD26" s="51" t="n">
        <f aca="false">IF(LEFT(Cockpit!$O$5,1)="A",H26,IF(CH26=1,(CK26+CI26)/2,IF(LEFT(Cockpit!$O$5,1)="B",(CK26+BF26)/2,MAX((CK26+BF26)/2,H26))))</f>
        <v>21.5</v>
      </c>
      <c r="BE26" s="50" t="n">
        <f aca="false">BD26*G26</f>
        <v>2589.46</v>
      </c>
      <c r="BF26" s="50" t="n">
        <f aca="false">ROUNDUP(CK26+MAX(CL26,2*(J26/IF(CG26&gt;0,CG26,MAX(0.1,N(Cockpit!$O$6)))-CK26)),0)</f>
        <v>39</v>
      </c>
      <c r="BG26" s="51" t="n">
        <f aca="false">IF(BC26&gt;0,J26/BC26,-1)</f>
        <v>1.05531914893617</v>
      </c>
      <c r="BH26" s="51" t="str">
        <f aca="false">IF(AND(OR(CF26="L1",CF26="L23",CF26="LIFT"),BC26&gt;0),SUMIFS($BC$7:$BC$1843,$CF$7:$CF$1843,CF26,$BG$7:$BG$1843,"&gt;"&amp;BG26)+SUMIFS($BC$7:$BC$1843,$CF$7:$CF$1843,CF26,$BG$7:$BG$1843,BG26,$BW$7:$BW$1843,"&lt;="&amp;BW26),"")</f>
        <v/>
      </c>
      <c r="BI26" s="58" t="n">
        <f aca="false">IF(BH26="",0,MAX(0,MIN(1,(IF(CF26="L1",Parameter!$H$5,IF(CF26="L23",Parameter!$H$6+Parameter!$H$7,Parameter!$H$5+Parameter!$H$6+Parameter!$H$7))-(BH26-BC26))/BC26)))</f>
        <v>0</v>
      </c>
      <c r="BJ26" s="48" t="str">
        <f aca="false">IF(AI26&lt;=0,"",IF(CF26="Aussen","Aussenlager",IF(CF26="-","Nicht im Lift",IF(AO26&gt;=1,"Lift",IF(AO26&lt;=0,"Aussenlager","teilweise")))))</f>
        <v>Nicht im Lift</v>
      </c>
      <c r="BK26" s="48" t="str">
        <f aca="false">IF(AS26&lt;=0,"",IF(CF26="Aussen","Aussenlager",IF(CF26="-","Nicht im Lift",IF(AY26&gt;=1,"Lift",IF(AY26&lt;=0,"Aussenlager","teilweise")))))</f>
        <v>Nicht im Lift</v>
      </c>
      <c r="BL26" s="48" t="str">
        <f aca="false">IF(BC26&lt;=0,"",IF(CF26="Aussen","Aussenlager",IF(CF26="-","Nicht im Lift",IF(BI26&gt;=1,"Lift",IF(BI26&lt;=0,"Aussenlager","teilweise")))))</f>
        <v>Nicht im Lift</v>
      </c>
      <c r="BM26" s="48" t="str">
        <f aca="false">IF(A26="","",IF(BV26=1,"Neu; ","")&amp;IF(AND(BV26=0,BQ26&lt;0),"negativer Bestand (Export "&amp;BQ26&amp;"); ","")&amp;IF(J26&lt;=0,"Kein Verbrauch; ","")&amp;IF(CQ26&gt;0,"Lift "&amp;W26&amp;" lt. Liftbericht (Fach "&amp;X26&amp;" Stk); ",IF(CA26=1,"Gebinde geschätzt ("&amp;T26&amp;"); ",IF(BZ26=1,"Lose – Tablare geschätzt; ","")))&amp;IF(H26&gt;AV26,"Überbestand "&amp;ROUND(H26-AV26,0)&amp;" Stk / CHF "&amp;ROUND((H26-AV26)*G26,0)&amp;"; ","")&amp;IF(AND(CH26=1,CI26&lt;CJ26),"MAX &lt; MB+LG; ","")&amp;IF(AND(CP26&gt;0,CO26*10&gt;CP26),"zu hoch für Tablar; ","")&amp;IF(AND(BV26=0,OR(CH26=1,AA26&lt;&gt;"",U26&lt;&gt;"",V26&lt;&gt;"",AB26&lt;&gt;"")),"manuell übersteuert; ","")&amp;IF(AND(BZ26=0,R26=0),"Gebinde unbekannt / Stellmass fehlt; ","")&amp;IF(AND(BZ26=0,N(V26)&lt;=0,N(Q26)&lt;=0),"Menge pro Gebinde fehlt (Ist = 1 Gebinde); ","")&amp;BU26)</f>
        <v>Überbestand 128 Stk / CHF 15416; </v>
      </c>
      <c r="BN26" s="48" t="s">
        <v>220</v>
      </c>
      <c r="BO26" s="48"/>
      <c r="BP26" s="55"/>
      <c r="BQ26" s="50" t="n">
        <v>137</v>
      </c>
      <c r="BR26" s="50" t="n">
        <v>30</v>
      </c>
      <c r="BS26" s="49" t="n">
        <v>15460.06</v>
      </c>
      <c r="BT26" s="50" t="n">
        <v>62</v>
      </c>
      <c r="BU26" s="48"/>
      <c r="BV26" s="53" t="n">
        <v>0</v>
      </c>
      <c r="BW26" s="53" t="n">
        <v>26</v>
      </c>
      <c r="BX26" s="48" t="str">
        <f aca="false">IF(U26&lt;&gt;"",UPPER(TRIM(U26)),IF(CA26=1,UPPER(VLOOKUP(T26,Parameter!$I$27:$K$29,2,0)),IF(P26="","LOSE",P26)))</f>
        <v>S81</v>
      </c>
      <c r="BY26" s="50" t="n">
        <f aca="false">IF(BX26="LOSE",1,IF(N(V26)&gt;0,V26,IF(CA26=1,MAX(1,N(VLOOKUP(T26,Parameter!$I$27:$K$29,3,0)),H26,N(N26)),IF(N(Q26)&gt;0,Q26,MAX(1,H26)))))</f>
        <v>31</v>
      </c>
      <c r="BZ26" s="53" t="n">
        <f aca="false">IF(BX26="LOSE",1,0)</f>
        <v>0</v>
      </c>
      <c r="CA26" s="53" t="n">
        <f aca="false">IF(AND(U26="",OR(P26="",P26="LOSE"),T26&lt;&gt;"",N(S26)&lt;=0,ISNUMBER(MATCH(T26,Parameter!$I$27:$I$29,0))),1,0)</f>
        <v>0</v>
      </c>
      <c r="CB26" s="53" t="n">
        <f aca="false">IF(CQ26&gt;0,INDEX(Parameter!$H$5:$H$7,W26)/INDEX(Parameter!$E$5:$E$7,W26),IF(AND(BZ26=0,N(IFERROR(VLOOKUP(BX26,'Gebinde-Kategorie'!$A$5:$N$45,14,0),0))&gt;0),VLOOKUP(BX26,'Gebinde-Kategorie'!$A$5:$N$45,14,0)*10+Parameter!$M$23,Parameter!$M$24))</f>
        <v>235</v>
      </c>
      <c r="CC26" s="48" t="str">
        <f aca="false">IF(AND(Parameter!$B$19="Ja",E26&lt;&gt;"",ISNUMBER(MATCH(E26,Parameter!$I$35:$I$52,0))),VLOOKUP(E26,Parameter!$I$35:$J$52,2,0),IFERROR(VLOOKUP(D26,Parameter!$A$35:$C$64,2,0),"Nein"))</f>
        <v>Nein</v>
      </c>
      <c r="CD26" s="52" t="n">
        <f aca="false">IF(BZ26=0,0,IF(N(S26)&gt;0,S26,IFERROR(VLOOKUP(D26,Parameter!$A$35:$C$64,3,0)+0,0)))</f>
        <v>0</v>
      </c>
      <c r="CE26" s="48" t="str">
        <f aca="false">IF(AA26&lt;&gt;"",AA26,Z26)</f>
        <v>-</v>
      </c>
      <c r="CF26" s="48" t="str">
        <f aca="false">IF(OR(CE26=1,CE26=2,CE26=3),IF(Parameter!$E$27="Ja","LIFT",IF(CE26=1,"L1","L23")),IF(CE26="Aussen","Aussen","-"))</f>
        <v>-</v>
      </c>
      <c r="CG26" s="59" t="n">
        <f aca="false">IF(N(AB26)&gt;0,AB26,0)</f>
        <v>0</v>
      </c>
      <c r="CH26" s="53" t="n">
        <f aca="false">IF(ISNUMBER(AE26),1,0)</f>
        <v>0</v>
      </c>
      <c r="CI26" s="50" t="n">
        <f aca="false">N(AE26)</f>
        <v>0</v>
      </c>
      <c r="CJ26" s="50" t="n">
        <f aca="false">N(M26)+N(N26)</f>
        <v>39</v>
      </c>
      <c r="CK26" s="50" t="n">
        <f aca="false">N(M26)</f>
        <v>4</v>
      </c>
      <c r="CL26" s="50" t="n">
        <f aca="false">N(N26)</f>
        <v>35</v>
      </c>
      <c r="CM26" s="50" t="n">
        <f aca="false">ROUNDUP(H26/BY26,0)</f>
        <v>6</v>
      </c>
      <c r="CN26" s="50" t="n">
        <f aca="false">ROUNDUP(CI26/BY26,0)</f>
        <v>0</v>
      </c>
      <c r="CO26" s="53" t="n">
        <f aca="false">IF(BZ26=1,0,IFERROR(VLOOKUP(BX26,'Gebinde-Kategorie'!$A$5:$N$45,5,0)+0,0))</f>
        <v>20</v>
      </c>
      <c r="CP26" s="53" t="n">
        <f aca="false">IFERROR(IF(OR(CE26=1,CE26=2,CE26=3),N(INDEX(Parameter!$I$5:$I$7,CE26)),0),0)</f>
        <v>0</v>
      </c>
      <c r="CQ26" s="52" t="n">
        <f aca="false">IF(AND(Parameter!$B$21="Ja",ISNUMBER(W26),N(X26)&gt;0),IFERROR(N(INDEX(Parameter!$L$5:$L$7,W26))*INDEX(Parameter!$E$5:$E$7,W26)*X26/SUMIFS($X$7:$X$1843,$W$7:$W$1843,W26),0),0)</f>
        <v>0</v>
      </c>
    </row>
    <row r="27" customFormat="false" ht="15" hidden="false" customHeight="false" outlineLevel="0" collapsed="false">
      <c r="A27" s="48" t="s">
        <v>233</v>
      </c>
      <c r="B27" s="48" t="s">
        <v>234</v>
      </c>
      <c r="C27" s="48" t="s">
        <v>173</v>
      </c>
      <c r="D27" s="48" t="s">
        <v>193</v>
      </c>
      <c r="E27" s="48" t="s">
        <v>194</v>
      </c>
      <c r="F27" s="48" t="s">
        <v>227</v>
      </c>
      <c r="G27" s="49" t="n">
        <v>177.9</v>
      </c>
      <c r="H27" s="50" t="n">
        <f aca="false">MAX(0,IF(AND(Parameter!$B$21="Ja",ISNUMBER(Y27)),Y27,IF(Parameter!$B$20="Jahresanfang 2025 + Export",BR27+BQ27,BQ27)))</f>
        <v>115</v>
      </c>
      <c r="I27" s="50" t="n">
        <f aca="false">H27*G27</f>
        <v>20458.5</v>
      </c>
      <c r="J27" s="50" t="n">
        <f aca="false">BT27*Parameter!$B$18</f>
        <v>401</v>
      </c>
      <c r="K27" s="51" t="n">
        <v>80.5</v>
      </c>
      <c r="L27" s="52" t="n">
        <v>4.98136645962733</v>
      </c>
      <c r="M27" s="50" t="n">
        <v>23</v>
      </c>
      <c r="N27" s="50" t="n">
        <v>100</v>
      </c>
      <c r="O27" s="53" t="n">
        <v>21</v>
      </c>
      <c r="P27" s="48" t="s">
        <v>235</v>
      </c>
      <c r="Q27" s="50" t="n">
        <v>204</v>
      </c>
      <c r="R27" s="53" t="n">
        <f aca="false">IF(BZ27=1,0,IFERROR(VLOOKUP(BX27,'Gebinde-Kategorie'!$A$5:$N$45,13,0)+0,0))</f>
        <v>12</v>
      </c>
      <c r="S27" s="54"/>
      <c r="T27" s="55"/>
      <c r="U27" s="55"/>
      <c r="V27" s="55"/>
      <c r="W27" s="48"/>
      <c r="X27" s="50"/>
      <c r="Y27" s="50"/>
      <c r="Z27" s="48" t="n">
        <f aca="false">IF(A27="","",IF(AND(Parameter!$B$21="Ja",ISNUMBER(W27)),W27,IF(CC27="2+3",IF(ISNUMBER(SEARCH("grosser Artikel",BU27)),2,IFERROR(VLOOKUP(BX27,Parameter!$F$35:$G$64,2,0),2)),IF(OR(CC27="Nein",CC27=""),"-",CC27))))</f>
        <v>2</v>
      </c>
      <c r="AA27" s="55"/>
      <c r="AB27" s="56"/>
      <c r="AC27" s="50" t="n">
        <f aca="false">AV27</f>
        <v>245</v>
      </c>
      <c r="AD27" s="50" t="n">
        <f aca="false">MAX(AV27,H27)</f>
        <v>245</v>
      </c>
      <c r="AE27" s="57"/>
      <c r="AF27" s="50" t="n">
        <f aca="false">IF(LEFT(Cockpit!$C$5,1)="A",H27,IF(Parameter!$E$30="MAX-Bestand",IF(CH27=1,CI27,IF(LEFT(Cockpit!$C$5,1)="B",AL27,MAX(AL27,H27))),ROUNDUP(AJ27,0)))</f>
        <v>115</v>
      </c>
      <c r="AG27" s="50" t="n">
        <f aca="false">IF(BZ27=1,0,ROUNDUP(AF27/BY27,0))</f>
        <v>1</v>
      </c>
      <c r="AH27" s="52" t="n">
        <f aca="false">IF(CQ27&gt;0,CQ27*MAX(1,AF27/X27),IF(BZ27=1,IF(AF27&lt;=0,0,CD27*MAX(1,IF(H27&gt;0,AF27/H27,1))),IF(R27&gt;0,AG27/R27,0))/MAX(0.1,N(Parameter!$M$21)))</f>
        <v>0.0833333333333333</v>
      </c>
      <c r="AI27" s="50" t="n">
        <f aca="false">AH27*CB27</f>
        <v>28.75</v>
      </c>
      <c r="AJ27" s="51" t="n">
        <f aca="false">IF(LEFT(Cockpit!$C$5,1)="A",H27,IF(CH27=1,(CK27+CI27)/2,IF(LEFT(Cockpit!$C$5,1)="B",(CK27+AL27)/2,MAX((CK27+AL27)/2,H27))))</f>
        <v>115</v>
      </c>
      <c r="AK27" s="50" t="n">
        <f aca="false">AJ27*G27</f>
        <v>20458.5</v>
      </c>
      <c r="AL27" s="50" t="n">
        <f aca="false">ROUNDUP(CK27+MAX(CL27,2*(J27/IF(CG27&gt;0,CG27,MAX(0.1,N(Cockpit!$C$6)))-CK27)),0)</f>
        <v>245</v>
      </c>
      <c r="AM27" s="51" t="n">
        <f aca="false">IF(AI27&gt;0,J27/AI27,-1)</f>
        <v>13.9478260869565</v>
      </c>
      <c r="AN27" s="51" t="n">
        <f aca="false">IF(AND(OR(CF27="L1",CF27="L23",CF27="LIFT"),AI27&gt;0),SUMIFS($AI$7:$AI$1843,$CF$7:$CF$1843,CF27,$AM$7:$AM$1843,"&gt;"&amp;AM27)+SUMIFS($AI$7:$AI$1843,$CF$7:$CF$1843,CF27,$AM$7:$AM$1843,AM27,$BW$7:$BW$1843,"&lt;="&amp;BW27),"")</f>
        <v>2172.09340659341</v>
      </c>
      <c r="AO27" s="58" t="n">
        <f aca="false">IF(AN27="",0,MAX(0,MIN(1,(IF(CF27="L1",Parameter!$H$5,IF(CF27="L23",Parameter!$H$6+Parameter!$H$7,Parameter!$H$5+Parameter!$H$6+Parameter!$H$7))-(AN27-AI27))/AI27)))</f>
        <v>1</v>
      </c>
      <c r="AP27" s="50" t="n">
        <f aca="false">IF(LEFT(Cockpit!$I$5,1)="A",H27,IF(Parameter!$E$30="MAX-Bestand",IF(CH27=1,CI27,IF(LEFT(Cockpit!$I$5,1)="B",AV27,MAX(AV27,H27))),ROUNDUP(AT27,0)))</f>
        <v>134</v>
      </c>
      <c r="AQ27" s="50" t="n">
        <f aca="false">IF(BZ27=1,0,ROUNDUP(AP27/BY27,0))</f>
        <v>1</v>
      </c>
      <c r="AR27" s="52" t="n">
        <f aca="false">IF(CQ27&gt;0,CQ27*MAX(1,AP27/X27),IF(BZ27=1,IF(AP27&lt;=0,0,CD27*MAX(1,IF(H27&gt;0,AP27/H27,1))),IF(R27&gt;0,AQ27/R27,0))/MAX(0.1,N(Parameter!$M$21)))</f>
        <v>0.0833333333333333</v>
      </c>
      <c r="AS27" s="50" t="n">
        <f aca="false">AR27*CB27</f>
        <v>28.75</v>
      </c>
      <c r="AT27" s="51" t="n">
        <f aca="false">IF(LEFT(Cockpit!$I$5,1)="A",H27,IF(CH27=1,(CK27+CI27)/2,IF(LEFT(Cockpit!$I$5,1)="B",(CK27+AV27)/2,MAX((CK27+AV27)/2,H27))))</f>
        <v>134</v>
      </c>
      <c r="AU27" s="50" t="n">
        <f aca="false">AT27*G27</f>
        <v>23838.6</v>
      </c>
      <c r="AV27" s="50" t="n">
        <f aca="false">ROUNDUP(CK27+MAX(CL27,2*(J27/IF(CG27&gt;0,CG27,MAX(0.1,N(Cockpit!$I$6)))-CK27)),0)</f>
        <v>245</v>
      </c>
      <c r="AW27" s="51" t="n">
        <f aca="false">IF(AS27&gt;0,J27/AS27,-1)</f>
        <v>13.9478260869565</v>
      </c>
      <c r="AX27" s="51" t="n">
        <f aca="false">IF(AND(OR(CF27="L1",CF27="L23",CF27="LIFT"),AS27&gt;0),SUMIFS($AS$7:$AS$1843,$CF$7:$CF$1843,CF27,$AW$7:$AW$1843,"&gt;"&amp;AW27)+SUMIFS($AS$7:$AS$1843,$CF$7:$CF$1843,CF27,$AW$7:$AW$1843,AW27,$BW$7:$BW$1843,"&lt;="&amp;BW27),"")</f>
        <v>2791.28021978022</v>
      </c>
      <c r="AY27" s="58" t="n">
        <f aca="false">IF(AX27="",0,MAX(0,MIN(1,(IF(CF27="L1",Parameter!$H$5,IF(CF27="L23",Parameter!$H$6+Parameter!$H$7,Parameter!$H$5+Parameter!$H$6+Parameter!$H$7))-(AX27-AS27))/AS27)))</f>
        <v>1</v>
      </c>
      <c r="AZ27" s="50" t="n">
        <f aca="false">IF(LEFT(Cockpit!$O$5,1)="A",H27,IF(Parameter!$E$30="MAX-Bestand",IF(CH27=1,CI27,IF(LEFT(Cockpit!$O$5,1)="B",BF27,MAX(BF27,H27))),ROUNDUP(BD27,0)))</f>
        <v>101</v>
      </c>
      <c r="BA27" s="50" t="n">
        <f aca="false">IF(BZ27=1,0,ROUNDUP(AZ27/BY27,0))</f>
        <v>1</v>
      </c>
      <c r="BB27" s="52" t="n">
        <f aca="false">IF(CQ27&gt;0,CQ27*MAX(1,AZ27/X27),IF(BZ27=1,IF(AZ27&lt;=0,0,CD27*MAX(1,IF(H27&gt;0,AZ27/H27,1))),IF(R27&gt;0,BA27/R27,0))/MAX(0.1,N(Parameter!$M$21)))</f>
        <v>0.0833333333333333</v>
      </c>
      <c r="BC27" s="50" t="n">
        <f aca="false">BB27*CB27</f>
        <v>28.75</v>
      </c>
      <c r="BD27" s="51" t="n">
        <f aca="false">IF(LEFT(Cockpit!$O$5,1)="A",H27,IF(CH27=1,(CK27+CI27)/2,IF(LEFT(Cockpit!$O$5,1)="B",(CK27+BF27)/2,MAX((CK27+BF27)/2,H27))))</f>
        <v>100.5</v>
      </c>
      <c r="BE27" s="50" t="n">
        <f aca="false">BD27*G27</f>
        <v>17878.95</v>
      </c>
      <c r="BF27" s="50" t="n">
        <f aca="false">ROUNDUP(CK27+MAX(CL27,2*(J27/IF(CG27&gt;0,CG27,MAX(0.1,N(Cockpit!$O$6)))-CK27)),0)</f>
        <v>178</v>
      </c>
      <c r="BG27" s="51" t="n">
        <f aca="false">IF(BC27&gt;0,J27/BC27,-1)</f>
        <v>13.9478260869565</v>
      </c>
      <c r="BH27" s="51" t="n">
        <f aca="false">IF(AND(OR(CF27="L1",CF27="L23",CF27="LIFT"),BC27&gt;0),SUMIFS($BC$7:$BC$1843,$CF$7:$CF$1843,CF27,$BG$7:$BG$1843,"&gt;"&amp;BG27)+SUMIFS($BC$7:$BC$1843,$CF$7:$CF$1843,CF27,$BG$7:$BG$1843,BG27,$BW$7:$BW$1843,"&lt;="&amp;BW27),"")</f>
        <v>2459.96703296703</v>
      </c>
      <c r="BI27" s="58" t="n">
        <f aca="false">IF(BH27="",0,MAX(0,MIN(1,(IF(CF27="L1",Parameter!$H$5,IF(CF27="L23",Parameter!$H$6+Parameter!$H$7,Parameter!$H$5+Parameter!$H$6+Parameter!$H$7))-(BH27-BC27))/BC27)))</f>
        <v>1</v>
      </c>
      <c r="BJ27" s="48" t="str">
        <f aca="false">IF(AI27&lt;=0,"",IF(CF27="Aussen","Aussenlager",IF(CF27="-","Nicht im Lift",IF(AO27&gt;=1,"Lift",IF(AO27&lt;=0,"Aussenlager","teilweise")))))</f>
        <v>Lift</v>
      </c>
      <c r="BK27" s="48" t="str">
        <f aca="false">IF(AS27&lt;=0,"",IF(CF27="Aussen","Aussenlager",IF(CF27="-","Nicht im Lift",IF(AY27&gt;=1,"Lift",IF(AY27&lt;=0,"Aussenlager","teilweise")))))</f>
        <v>Lift</v>
      </c>
      <c r="BL27" s="48" t="str">
        <f aca="false">IF(BC27&lt;=0,"",IF(CF27="Aussen","Aussenlager",IF(CF27="-","Nicht im Lift",IF(BI27&gt;=1,"Lift",IF(BI27&lt;=0,"Aussenlager","teilweise")))))</f>
        <v>Lift</v>
      </c>
      <c r="BM27" s="48" t="str">
        <f aca="false">IF(A27="","",IF(BV27=1,"Neu; ","")&amp;IF(AND(BV27=0,BQ27&lt;0),"negativer Bestand (Export "&amp;BQ27&amp;"); ","")&amp;IF(J27&lt;=0,"Kein Verbrauch; ","")&amp;IF(CQ27&gt;0,"Lift "&amp;W27&amp;" lt. Liftbericht (Fach "&amp;X27&amp;" Stk); ",IF(CA27=1,"Gebinde geschätzt ("&amp;T27&amp;"); ",IF(BZ27=1,"Lose – Tablare geschätzt; ","")))&amp;IF(H27&gt;AV27,"Überbestand "&amp;ROUND(H27-AV27,0)&amp;" Stk / CHF "&amp;ROUND((H27-AV27)*G27,0)&amp;"; ","")&amp;IF(AND(CH27=1,CI27&lt;CJ27),"MAX &lt; MB+LG; ","")&amp;IF(AND(CP27&gt;0,CO27*10&gt;CP27),"zu hoch für Tablar; ","")&amp;IF(AND(BV27=0,OR(CH27=1,AA27&lt;&gt;"",U27&lt;&gt;"",V27&lt;&gt;"",AB27&lt;&gt;"")),"manuell übersteuert; ","")&amp;IF(AND(BZ27=0,R27=0),"Gebinde unbekannt / Stellmass fehlt; ","")&amp;IF(AND(BZ27=0,N(V27)&lt;=0,N(Q27)&lt;=0),"Menge pro Gebinde fehlt (Ist = 1 Gebinde); ","")&amp;BU27)</f>
        <v/>
      </c>
      <c r="BN27" s="48" t="s">
        <v>236</v>
      </c>
      <c r="BO27" s="48"/>
      <c r="BP27" s="55"/>
      <c r="BQ27" s="50" t="n">
        <v>84</v>
      </c>
      <c r="BR27" s="50" t="n">
        <v>31</v>
      </c>
      <c r="BS27" s="49" t="n">
        <v>14939.18</v>
      </c>
      <c r="BT27" s="50" t="n">
        <v>401</v>
      </c>
      <c r="BU27" s="48"/>
      <c r="BV27" s="53" t="n">
        <v>0</v>
      </c>
      <c r="BW27" s="53" t="n">
        <v>27</v>
      </c>
      <c r="BX27" s="48" t="str">
        <f aca="false">IF(U27&lt;&gt;"",UPPER(TRIM(U27)),IF(CA27=1,UPPER(VLOOKUP(T27,Parameter!$I$27:$K$29,2,0)),IF(P27="","LOSE",P27)))</f>
        <v>S63</v>
      </c>
      <c r="BY27" s="50" t="n">
        <f aca="false">IF(BX27="LOSE",1,IF(N(V27)&gt;0,V27,IF(CA27=1,MAX(1,N(VLOOKUP(T27,Parameter!$I$27:$K$29,3,0)),H27,N(N27)),IF(N(Q27)&gt;0,Q27,MAX(1,H27)))))</f>
        <v>204</v>
      </c>
      <c r="BZ27" s="53" t="n">
        <f aca="false">IF(BX27="LOSE",1,0)</f>
        <v>0</v>
      </c>
      <c r="CA27" s="53" t="n">
        <f aca="false">IF(AND(U27="",OR(P27="",P27="LOSE"),T27&lt;&gt;"",N(S27)&lt;=0,ISNUMBER(MATCH(T27,Parameter!$I$27:$I$29,0))),1,0)</f>
        <v>0</v>
      </c>
      <c r="CB27" s="53" t="n">
        <f aca="false">IF(CQ27&gt;0,INDEX(Parameter!$H$5:$H$7,W27)/INDEX(Parameter!$E$5:$E$7,W27),IF(AND(BZ27=0,N(IFERROR(VLOOKUP(BX27,'Gebinde-Kategorie'!$A$5:$N$45,14,0),0))&gt;0),VLOOKUP(BX27,'Gebinde-Kategorie'!$A$5:$N$45,14,0)*10+Parameter!$M$23,Parameter!$M$24))</f>
        <v>345</v>
      </c>
      <c r="CC27" s="48" t="str">
        <f aca="false">IF(AND(Parameter!$B$19="Ja",E27&lt;&gt;"",ISNUMBER(MATCH(E27,Parameter!$I$35:$I$52,0))),VLOOKUP(E27,Parameter!$I$35:$J$52,2,0),IFERROR(VLOOKUP(D27,Parameter!$A$35:$C$64,2,0),"Nein"))</f>
        <v>2+3</v>
      </c>
      <c r="CD27" s="52" t="n">
        <f aca="false">IF(BZ27=0,0,IF(N(S27)&gt;0,S27,IFERROR(VLOOKUP(D27,Parameter!$A$35:$C$64,3,0)+0,0)))</f>
        <v>0</v>
      </c>
      <c r="CE27" s="48" t="n">
        <f aca="false">IF(AA27&lt;&gt;"",AA27,Z27)</f>
        <v>2</v>
      </c>
      <c r="CF27" s="48" t="str">
        <f aca="false">IF(OR(CE27=1,CE27=2,CE27=3),IF(Parameter!$E$27="Ja","LIFT",IF(CE27=1,"L1","L23")),IF(CE27="Aussen","Aussen","-"))</f>
        <v>LIFT</v>
      </c>
      <c r="CG27" s="59" t="n">
        <f aca="false">IF(N(AB27)&gt;0,AB27,0)</f>
        <v>0</v>
      </c>
      <c r="CH27" s="53" t="n">
        <f aca="false">IF(ISNUMBER(AE27),1,0)</f>
        <v>0</v>
      </c>
      <c r="CI27" s="50" t="n">
        <f aca="false">N(AE27)</f>
        <v>0</v>
      </c>
      <c r="CJ27" s="50" t="n">
        <f aca="false">N(M27)+N(N27)</f>
        <v>123</v>
      </c>
      <c r="CK27" s="50" t="n">
        <f aca="false">N(M27)</f>
        <v>23</v>
      </c>
      <c r="CL27" s="50" t="n">
        <f aca="false">N(N27)</f>
        <v>100</v>
      </c>
      <c r="CM27" s="50" t="n">
        <f aca="false">ROUNDUP(H27/BY27,0)</f>
        <v>1</v>
      </c>
      <c r="CN27" s="50" t="n">
        <f aca="false">ROUNDUP(CI27/BY27,0)</f>
        <v>0</v>
      </c>
      <c r="CO27" s="53" t="n">
        <f aca="false">IF(BZ27=1,0,IFERROR(VLOOKUP(BX27,'Gebinde-Kategorie'!$A$5:$N$45,5,0)+0,0))</f>
        <v>31</v>
      </c>
      <c r="CP27" s="53" t="n">
        <f aca="false">IFERROR(IF(OR(CE27=1,CE27=2,CE27=3),N(INDEX(Parameter!$I$5:$I$7,CE27)),0),0)</f>
        <v>0</v>
      </c>
      <c r="CQ27" s="52" t="n">
        <f aca="false">IF(AND(Parameter!$B$21="Ja",ISNUMBER(W27),N(X27)&gt;0),IFERROR(N(INDEX(Parameter!$L$5:$L$7,W27))*INDEX(Parameter!$E$5:$E$7,W27)*X27/SUMIFS($X$7:$X$1843,$W$7:$W$1843,W27),0),0)</f>
        <v>0</v>
      </c>
    </row>
    <row r="28" customFormat="false" ht="15" hidden="false" customHeight="false" outlineLevel="0" collapsed="false">
      <c r="A28" s="48" t="s">
        <v>237</v>
      </c>
      <c r="B28" s="48" t="s">
        <v>238</v>
      </c>
      <c r="C28" s="48" t="s">
        <v>173</v>
      </c>
      <c r="D28" s="48" t="s">
        <v>182</v>
      </c>
      <c r="E28" s="48" t="s">
        <v>194</v>
      </c>
      <c r="F28" s="48" t="s">
        <v>227</v>
      </c>
      <c r="G28" s="49" t="n">
        <v>400.55</v>
      </c>
      <c r="H28" s="50" t="n">
        <f aca="false">MAX(0,IF(AND(Parameter!$B$21="Ja",ISNUMBER(Y28)),Y28,IF(Parameter!$B$20="Jahresanfang 2025 + Export",BR28+BQ28,BQ28)))</f>
        <v>41</v>
      </c>
      <c r="I28" s="50" t="n">
        <f aca="false">H28*G28</f>
        <v>16422.55</v>
      </c>
      <c r="J28" s="50" t="n">
        <f aca="false">BT28*Parameter!$B$18</f>
        <v>276</v>
      </c>
      <c r="K28" s="51" t="n">
        <v>24.5</v>
      </c>
      <c r="L28" s="52" t="n">
        <v>11.265306122449</v>
      </c>
      <c r="M28" s="50" t="n">
        <v>21</v>
      </c>
      <c r="N28" s="50" t="n">
        <v>35</v>
      </c>
      <c r="O28" s="53" t="n">
        <v>28</v>
      </c>
      <c r="P28" s="48" t="s">
        <v>177</v>
      </c>
      <c r="Q28" s="50"/>
      <c r="R28" s="53" t="n">
        <f aca="false">IF(BZ28=1,0,IFERROR(VLOOKUP(BX28,'Gebinde-Kategorie'!$A$5:$N$45,13,0)+0,0))</f>
        <v>12</v>
      </c>
      <c r="S28" s="54"/>
      <c r="T28" s="55" t="s">
        <v>188</v>
      </c>
      <c r="U28" s="55"/>
      <c r="V28" s="55"/>
      <c r="W28" s="48"/>
      <c r="X28" s="50"/>
      <c r="Y28" s="50"/>
      <c r="Z28" s="48" t="n">
        <f aca="false">IF(A28="","",IF(AND(Parameter!$B$21="Ja",ISNUMBER(W28)),W28,IF(CC28="2+3",IF(ISNUMBER(SEARCH("grosser Artikel",BU28)),2,IFERROR(VLOOKUP(BX28,Parameter!$F$35:$G$64,2,0),2)),IF(OR(CC28="Nein",CC28=""),"-",CC28))))</f>
        <v>2</v>
      </c>
      <c r="AA28" s="55"/>
      <c r="AB28" s="56"/>
      <c r="AC28" s="50" t="n">
        <f aca="false">AV28</f>
        <v>163</v>
      </c>
      <c r="AD28" s="50" t="n">
        <f aca="false">MAX(AV28,H28)</f>
        <v>163</v>
      </c>
      <c r="AE28" s="57"/>
      <c r="AF28" s="50" t="n">
        <f aca="false">IF(LEFT(Cockpit!$C$5,1)="A",H28,IF(Parameter!$E$30="MAX-Bestand",IF(CH28=1,CI28,IF(LEFT(Cockpit!$C$5,1)="B",AL28,MAX(AL28,H28))),ROUNDUP(AJ28,0)))</f>
        <v>41</v>
      </c>
      <c r="AG28" s="50" t="n">
        <f aca="false">IF(BZ28=1,0,ROUNDUP(AF28/BY28,0))</f>
        <v>1</v>
      </c>
      <c r="AH28" s="52" t="n">
        <f aca="false">IF(CQ28&gt;0,CQ28*MAX(1,AF28/X28),IF(BZ28=1,IF(AF28&lt;=0,0,CD28*MAX(1,IF(H28&gt;0,AF28/H28,1))),IF(R28&gt;0,AG28/R28,0))/MAX(0.1,N(Parameter!$M$21)))</f>
        <v>0.0833333333333333</v>
      </c>
      <c r="AI28" s="50" t="n">
        <f aca="false">AH28*CB28</f>
        <v>12.0833333333333</v>
      </c>
      <c r="AJ28" s="51" t="n">
        <f aca="false">IF(LEFT(Cockpit!$C$5,1)="A",H28,IF(CH28=1,(CK28+CI28)/2,IF(LEFT(Cockpit!$C$5,1)="B",(CK28+AL28)/2,MAX((CK28+AL28)/2,H28))))</f>
        <v>41</v>
      </c>
      <c r="AK28" s="50" t="n">
        <f aca="false">AJ28*G28</f>
        <v>16422.55</v>
      </c>
      <c r="AL28" s="50" t="n">
        <f aca="false">ROUNDUP(CK28+MAX(CL28,2*(J28/IF(CG28&gt;0,CG28,MAX(0.1,N(Cockpit!$C$6)))-CK28)),0)</f>
        <v>163</v>
      </c>
      <c r="AM28" s="51" t="n">
        <f aca="false">IF(AI28&gt;0,J28/AI28,-1)</f>
        <v>22.8413793103448</v>
      </c>
      <c r="AN28" s="51" t="n">
        <f aca="false">IF(AND(OR(CF28="L1",CF28="L23",CF28="LIFT"),AI28&gt;0),SUMIFS($AI$7:$AI$1843,$CF$7:$CF$1843,CF28,$AM$7:$AM$1843,"&gt;"&amp;AM28)+SUMIFS($AI$7:$AI$1843,$CF$7:$CF$1843,CF28,$AM$7:$AM$1843,AM28,$BW$7:$BW$1843,"&lt;="&amp;BW28),"")</f>
        <v>1601.49084249084</v>
      </c>
      <c r="AO28" s="58" t="n">
        <f aca="false">IF(AN28="",0,MAX(0,MIN(1,(IF(CF28="L1",Parameter!$H$5,IF(CF28="L23",Parameter!$H$6+Parameter!$H$7,Parameter!$H$5+Parameter!$H$6+Parameter!$H$7))-(AN28-AI28))/AI28)))</f>
        <v>1</v>
      </c>
      <c r="AP28" s="50" t="n">
        <f aca="false">IF(LEFT(Cockpit!$I$5,1)="A",H28,IF(Parameter!$E$30="MAX-Bestand",IF(CH28=1,CI28,IF(LEFT(Cockpit!$I$5,1)="B",AV28,MAX(AV28,H28))),ROUNDUP(AT28,0)))</f>
        <v>92</v>
      </c>
      <c r="AQ28" s="50" t="n">
        <f aca="false">IF(BZ28=1,0,ROUNDUP(AP28/BY28,0))</f>
        <v>3</v>
      </c>
      <c r="AR28" s="52" t="n">
        <f aca="false">IF(CQ28&gt;0,CQ28*MAX(1,AP28/X28),IF(BZ28=1,IF(AP28&lt;=0,0,CD28*MAX(1,IF(H28&gt;0,AP28/H28,1))),IF(R28&gt;0,AQ28/R28,0))/MAX(0.1,N(Parameter!$M$21)))</f>
        <v>0.25</v>
      </c>
      <c r="AS28" s="50" t="n">
        <f aca="false">AR28*CB28</f>
        <v>36.25</v>
      </c>
      <c r="AT28" s="51" t="n">
        <f aca="false">IF(LEFT(Cockpit!$I$5,1)="A",H28,IF(CH28=1,(CK28+CI28)/2,IF(LEFT(Cockpit!$I$5,1)="B",(CK28+AV28)/2,MAX((CK28+AV28)/2,H28))))</f>
        <v>92</v>
      </c>
      <c r="AU28" s="50" t="n">
        <f aca="false">AT28*G28</f>
        <v>36850.6</v>
      </c>
      <c r="AV28" s="50" t="n">
        <f aca="false">ROUNDUP(CK28+MAX(CL28,2*(J28/IF(CG28&gt;0,CG28,MAX(0.1,N(Cockpit!$I$6)))-CK28)),0)</f>
        <v>163</v>
      </c>
      <c r="AW28" s="51" t="n">
        <f aca="false">IF(AS28&gt;0,J28/AS28,-1)</f>
        <v>7.61379310344828</v>
      </c>
      <c r="AX28" s="51" t="n">
        <f aca="false">IF(AND(OR(CF28="L1",CF28="L23",CF28="LIFT"),AS28&gt;0),SUMIFS($AS$7:$AS$1843,$CF$7:$CF$1843,CF28,$AW$7:$AW$1843,"&gt;"&amp;AW28)+SUMIFS($AS$7:$AS$1843,$CF$7:$CF$1843,CF28,$AW$7:$AW$1843,AW28,$BW$7:$BW$1843,"&lt;="&amp;BW28),"")</f>
        <v>3788.79212454212</v>
      </c>
      <c r="AY28" s="58" t="n">
        <f aca="false">IF(AX28="",0,MAX(0,MIN(1,(IF(CF28="L1",Parameter!$H$5,IF(CF28="L23",Parameter!$H$6+Parameter!$H$7,Parameter!$H$5+Parameter!$H$6+Parameter!$H$7))-(AX28-AS28))/AS28)))</f>
        <v>1</v>
      </c>
      <c r="AZ28" s="50" t="n">
        <f aca="false">IF(LEFT(Cockpit!$O$5,1)="A",H28,IF(Parameter!$E$30="MAX-Bestand",IF(CH28=1,CI28,IF(LEFT(Cockpit!$O$5,1)="B",BF28,MAX(BF28,H28))),ROUNDUP(BD28,0)))</f>
        <v>69</v>
      </c>
      <c r="BA28" s="50" t="n">
        <f aca="false">IF(BZ28=1,0,ROUNDUP(AZ28/BY28,0))</f>
        <v>2</v>
      </c>
      <c r="BB28" s="52" t="n">
        <f aca="false">IF(CQ28&gt;0,CQ28*MAX(1,AZ28/X28),IF(BZ28=1,IF(AZ28&lt;=0,0,CD28*MAX(1,IF(H28&gt;0,AZ28/H28,1))),IF(R28&gt;0,BA28/R28,0))/MAX(0.1,N(Parameter!$M$21)))</f>
        <v>0.166666666666667</v>
      </c>
      <c r="BC28" s="50" t="n">
        <f aca="false">BB28*CB28</f>
        <v>24.1666666666667</v>
      </c>
      <c r="BD28" s="51" t="n">
        <f aca="false">IF(LEFT(Cockpit!$O$5,1)="A",H28,IF(CH28=1,(CK28+CI28)/2,IF(LEFT(Cockpit!$O$5,1)="B",(CK28+BF28)/2,MAX((CK28+BF28)/2,H28))))</f>
        <v>69</v>
      </c>
      <c r="BE28" s="50" t="n">
        <f aca="false">BD28*G28</f>
        <v>27637.95</v>
      </c>
      <c r="BF28" s="50" t="n">
        <f aca="false">ROUNDUP(CK28+MAX(CL28,2*(J28/IF(CG28&gt;0,CG28,MAX(0.1,N(Cockpit!$O$6)))-CK28)),0)</f>
        <v>117</v>
      </c>
      <c r="BG28" s="51" t="n">
        <f aca="false">IF(BC28&gt;0,J28/BC28,-1)</f>
        <v>11.4206896551724</v>
      </c>
      <c r="BH28" s="51" t="n">
        <f aca="false">IF(AND(OR(CF28="L1",CF28="L23",CF28="LIFT"),BC28&gt;0),SUMIFS($BC$7:$BC$1843,$CF$7:$CF$1843,CF28,$BG$7:$BG$1843,"&gt;"&amp;BG28)+SUMIFS($BC$7:$BC$1843,$CF$7:$CF$1843,CF28,$BG$7:$BG$1843,BG28,$BW$7:$BW$1843,"&lt;="&amp;BW28),"")</f>
        <v>2628.68772893773</v>
      </c>
      <c r="BI28" s="58" t="n">
        <f aca="false">IF(BH28="",0,MAX(0,MIN(1,(IF(CF28="L1",Parameter!$H$5,IF(CF28="L23",Parameter!$H$6+Parameter!$H$7,Parameter!$H$5+Parameter!$H$6+Parameter!$H$7))-(BH28-BC28))/BC28)))</f>
        <v>1</v>
      </c>
      <c r="BJ28" s="48" t="str">
        <f aca="false">IF(AI28&lt;=0,"",IF(CF28="Aussen","Aussenlager",IF(CF28="-","Nicht im Lift",IF(AO28&gt;=1,"Lift",IF(AO28&lt;=0,"Aussenlager","teilweise")))))</f>
        <v>Lift</v>
      </c>
      <c r="BK28" s="48" t="str">
        <f aca="false">IF(AS28&lt;=0,"",IF(CF28="Aussen","Aussenlager",IF(CF28="-","Nicht im Lift",IF(AY28&gt;=1,"Lift",IF(AY28&lt;=0,"Aussenlager","teilweise")))))</f>
        <v>Lift</v>
      </c>
      <c r="BL28" s="48" t="str">
        <f aca="false">IF(BC28&lt;=0,"",IF(CF28="Aussen","Aussenlager",IF(CF28="-","Nicht im Lift",IF(BI28&gt;=1,"Lift",IF(BI28&lt;=0,"Aussenlager","teilweise")))))</f>
        <v>Lift</v>
      </c>
      <c r="BM28" s="48" t="str">
        <f aca="false">IF(A28="","",IF(BV28=1,"Neu; ","")&amp;IF(AND(BV28=0,BQ28&lt;0),"negativer Bestand (Export "&amp;BQ28&amp;"); ","")&amp;IF(J28&lt;=0,"Kein Verbrauch; ","")&amp;IF(CQ28&gt;0,"Lift "&amp;W28&amp;" lt. Liftbericht (Fach "&amp;X28&amp;" Stk); ",IF(CA28=1,"Gebinde geschätzt ("&amp;T28&amp;"); ",IF(BZ28=1,"Lose – Tablare geschätzt; ","")))&amp;IF(H28&gt;AV28,"Überbestand "&amp;ROUND(H28-AV28,0)&amp;" Stk / CHF "&amp;ROUND((H28-AV28)*G28,0)&amp;"; ","")&amp;IF(AND(CH28=1,CI28&lt;CJ28),"MAX &lt; MB+LG; ","")&amp;IF(AND(CP28&gt;0,CO28*10&gt;CP28),"zu hoch für Tablar; ","")&amp;IF(AND(BV28=0,OR(CH28=1,AA28&lt;&gt;"",U28&lt;&gt;"",V28&lt;&gt;"",AB28&lt;&gt;"")),"manuell übersteuert; ","")&amp;IF(AND(BZ28=0,R28=0),"Gebinde unbekannt / Stellmass fehlt; ","")&amp;IF(AND(BZ28=0,N(V28)&lt;=0,N(Q28)&lt;=0),"Menge pro Gebinde fehlt (Ist = 1 Gebinde); ","")&amp;BU28)</f>
        <v>Gebinde geschätzt (Mittel); Menge pro Gebinde fehlt (Ist = 1 Gebinde); nicht im KTL vorhanden</v>
      </c>
      <c r="BN28" s="48"/>
      <c r="BO28" s="48"/>
      <c r="BP28" s="55"/>
      <c r="BQ28" s="50" t="n">
        <v>35</v>
      </c>
      <c r="BR28" s="50" t="n">
        <v>6</v>
      </c>
      <c r="BS28" s="49" t="n">
        <v>13842.61</v>
      </c>
      <c r="BT28" s="50" t="n">
        <v>276</v>
      </c>
      <c r="BU28" s="48" t="s">
        <v>239</v>
      </c>
      <c r="BV28" s="53" t="n">
        <v>0</v>
      </c>
      <c r="BW28" s="53" t="n">
        <v>28</v>
      </c>
      <c r="BX28" s="48" t="str">
        <f aca="false">IF(U28&lt;&gt;"",UPPER(TRIM(U28)),IF(CA28=1,UPPER(VLOOKUP(T28,Parameter!$I$27:$K$29,2,0)),IF(P28="","LOSE",P28)))</f>
        <v>S61</v>
      </c>
      <c r="BY28" s="50" t="n">
        <f aca="false">IF(BX28="LOSE",1,IF(N(V28)&gt;0,V28,IF(CA28=1,MAX(1,N(VLOOKUP(T28,Parameter!$I$27:$K$29,3,0)),H28,N(N28)),IF(N(Q28)&gt;0,Q28,MAX(1,H28)))))</f>
        <v>41</v>
      </c>
      <c r="BZ28" s="53" t="n">
        <f aca="false">IF(BX28="LOSE",1,0)</f>
        <v>0</v>
      </c>
      <c r="CA28" s="53" t="n">
        <f aca="false">IF(AND(U28="",OR(P28="",P28="LOSE"),T28&lt;&gt;"",N(S28)&lt;=0,ISNUMBER(MATCH(T28,Parameter!$I$27:$I$29,0))),1,0)</f>
        <v>1</v>
      </c>
      <c r="CB28" s="53" t="n">
        <f aca="false">IF(CQ28&gt;0,INDEX(Parameter!$H$5:$H$7,W28)/INDEX(Parameter!$E$5:$E$7,W28),IF(AND(BZ28=0,N(IFERROR(VLOOKUP(BX28,'Gebinde-Kategorie'!$A$5:$N$45,14,0),0))&gt;0),VLOOKUP(BX28,'Gebinde-Kategorie'!$A$5:$N$45,14,0)*10+Parameter!$M$23,Parameter!$M$24))</f>
        <v>145</v>
      </c>
      <c r="CC28" s="48" t="str">
        <f aca="false">IF(AND(Parameter!$B$19="Ja",E28&lt;&gt;"",ISNUMBER(MATCH(E28,Parameter!$I$35:$I$52,0))),VLOOKUP(E28,Parameter!$I$35:$J$52,2,0),IFERROR(VLOOKUP(D28,Parameter!$A$35:$C$64,2,0),"Nein"))</f>
        <v>2+3</v>
      </c>
      <c r="CD28" s="52" t="n">
        <f aca="false">IF(BZ28=0,0,IF(N(S28)&gt;0,S28,IFERROR(VLOOKUP(D28,Parameter!$A$35:$C$64,3,0)+0,0)))</f>
        <v>0</v>
      </c>
      <c r="CE28" s="48" t="n">
        <f aca="false">IF(AA28&lt;&gt;"",AA28,Z28)</f>
        <v>2</v>
      </c>
      <c r="CF28" s="48" t="str">
        <f aca="false">IF(OR(CE28=1,CE28=2,CE28=3),IF(Parameter!$E$27="Ja","LIFT",IF(CE28=1,"L1","L23")),IF(CE28="Aussen","Aussen","-"))</f>
        <v>LIFT</v>
      </c>
      <c r="CG28" s="59" t="n">
        <f aca="false">IF(N(AB28)&gt;0,AB28,0)</f>
        <v>0</v>
      </c>
      <c r="CH28" s="53" t="n">
        <f aca="false">IF(ISNUMBER(AE28),1,0)</f>
        <v>0</v>
      </c>
      <c r="CI28" s="50" t="n">
        <f aca="false">N(AE28)</f>
        <v>0</v>
      </c>
      <c r="CJ28" s="50" t="n">
        <f aca="false">N(M28)+N(N28)</f>
        <v>56</v>
      </c>
      <c r="CK28" s="50" t="n">
        <f aca="false">N(M28)</f>
        <v>21</v>
      </c>
      <c r="CL28" s="50" t="n">
        <f aca="false">N(N28)</f>
        <v>35</v>
      </c>
      <c r="CM28" s="50" t="n">
        <f aca="false">ROUNDUP(H28/BY28,0)</f>
        <v>1</v>
      </c>
      <c r="CN28" s="50" t="n">
        <f aca="false">ROUNDUP(CI28/BY28,0)</f>
        <v>0</v>
      </c>
      <c r="CO28" s="53" t="n">
        <f aca="false">IF(BZ28=1,0,IFERROR(VLOOKUP(BX28,'Gebinde-Kategorie'!$A$5:$N$45,5,0)+0,0))</f>
        <v>11</v>
      </c>
      <c r="CP28" s="53" t="n">
        <f aca="false">IFERROR(IF(OR(CE28=1,CE28=2,CE28=3),N(INDEX(Parameter!$I$5:$I$7,CE28)),0),0)</f>
        <v>0</v>
      </c>
      <c r="CQ28" s="52" t="n">
        <f aca="false">IF(AND(Parameter!$B$21="Ja",ISNUMBER(W28),N(X28)&gt;0),IFERROR(N(INDEX(Parameter!$L$5:$L$7,W28))*INDEX(Parameter!$E$5:$E$7,W28)*X28/SUMIFS($X$7:$X$1843,$W$7:$W$1843,W28),0),0)</f>
        <v>0</v>
      </c>
    </row>
    <row r="29" customFormat="false" ht="15" hidden="false" customHeight="false" outlineLevel="0" collapsed="false">
      <c r="A29" s="48" t="s">
        <v>240</v>
      </c>
      <c r="B29" s="48" t="s">
        <v>241</v>
      </c>
      <c r="C29" s="48" t="s">
        <v>173</v>
      </c>
      <c r="D29" s="48" t="s">
        <v>193</v>
      </c>
      <c r="E29" s="48"/>
      <c r="F29" s="48" t="s">
        <v>227</v>
      </c>
      <c r="G29" s="49" t="n">
        <v>1048.6</v>
      </c>
      <c r="H29" s="50" t="n">
        <f aca="false">MAX(0,IF(AND(Parameter!$B$21="Ja",ISNUMBER(Y29)),Y29,IF(Parameter!$B$20="Jahresanfang 2025 + Export",BR29+BQ29,BQ29)))</f>
        <v>12</v>
      </c>
      <c r="I29" s="50" t="n">
        <f aca="false">H29*G29</f>
        <v>12583.2</v>
      </c>
      <c r="J29" s="50" t="n">
        <f aca="false">BT29*Parameter!$B$18</f>
        <v>23</v>
      </c>
      <c r="K29" s="51" t="n">
        <v>1.5</v>
      </c>
      <c r="L29" s="52" t="n">
        <v>15.3333333333333</v>
      </c>
      <c r="M29" s="50" t="n">
        <v>6</v>
      </c>
      <c r="N29" s="50" t="n">
        <v>5</v>
      </c>
      <c r="O29" s="53" t="n">
        <v>100</v>
      </c>
      <c r="P29" s="48" t="s">
        <v>242</v>
      </c>
      <c r="Q29" s="50" t="n">
        <v>20</v>
      </c>
      <c r="R29" s="53" t="n">
        <f aca="false">IF(BZ29=1,0,IFERROR(VLOOKUP(BX29,'Gebinde-Kategorie'!$A$5:$N$45,13,0)+0,0))</f>
        <v>26</v>
      </c>
      <c r="S29" s="54"/>
      <c r="T29" s="55"/>
      <c r="U29" s="55"/>
      <c r="V29" s="55"/>
      <c r="W29" s="48"/>
      <c r="X29" s="50"/>
      <c r="Y29" s="50"/>
      <c r="Z29" s="48" t="n">
        <f aca="false">IF(A29="","",IF(AND(Parameter!$B$21="Ja",ISNUMBER(W29)),W29,IF(CC29="2+3",IF(ISNUMBER(SEARCH("grosser Artikel",BU29)),2,IFERROR(VLOOKUP(BX29,Parameter!$F$35:$G$64,2,0),2)),IF(OR(CC29="Nein",CC29=""),"-",CC29))))</f>
        <v>3</v>
      </c>
      <c r="AA29" s="55"/>
      <c r="AB29" s="56"/>
      <c r="AC29" s="50" t="n">
        <f aca="false">AV29</f>
        <v>11</v>
      </c>
      <c r="AD29" s="50" t="n">
        <f aca="false">MAX(AV29,H29)</f>
        <v>12</v>
      </c>
      <c r="AE29" s="57"/>
      <c r="AF29" s="50" t="n">
        <f aca="false">IF(LEFT(Cockpit!$C$5,1)="A",H29,IF(Parameter!$E$30="MAX-Bestand",IF(CH29=1,CI29,IF(LEFT(Cockpit!$C$5,1)="B",AL29,MAX(AL29,H29))),ROUNDUP(AJ29,0)))</f>
        <v>12</v>
      </c>
      <c r="AG29" s="50" t="n">
        <f aca="false">IF(BZ29=1,0,ROUNDUP(AF29/BY29,0))</f>
        <v>1</v>
      </c>
      <c r="AH29" s="52" t="n">
        <f aca="false">IF(CQ29&gt;0,CQ29*MAX(1,AF29/X29),IF(BZ29=1,IF(AF29&lt;=0,0,CD29*MAX(1,IF(H29&gt;0,AF29/H29,1))),IF(R29&gt;0,AG29/R29,0))/MAX(0.1,N(Parameter!$M$21)))</f>
        <v>0.0384615384615385</v>
      </c>
      <c r="AI29" s="50" t="n">
        <f aca="false">AH29*CB29</f>
        <v>9.42307692307692</v>
      </c>
      <c r="AJ29" s="51" t="n">
        <f aca="false">IF(LEFT(Cockpit!$C$5,1)="A",H29,IF(CH29=1,(CK29+CI29)/2,IF(LEFT(Cockpit!$C$5,1)="B",(CK29+AL29)/2,MAX((CK29+AL29)/2,H29))))</f>
        <v>12</v>
      </c>
      <c r="AK29" s="50" t="n">
        <f aca="false">AJ29*G29</f>
        <v>12583.2</v>
      </c>
      <c r="AL29" s="50" t="n">
        <f aca="false">ROUNDUP(CK29+MAX(CL29,2*(J29/IF(CG29&gt;0,CG29,MAX(0.1,N(Cockpit!$C$6)))-CK29)),0)</f>
        <v>11</v>
      </c>
      <c r="AM29" s="51" t="n">
        <f aca="false">IF(AI29&gt;0,J29/AI29,-1)</f>
        <v>2.44081632653061</v>
      </c>
      <c r="AN29" s="51" t="n">
        <f aca="false">IF(AND(OR(CF29="L1",CF29="L23",CF29="LIFT"),AI29&gt;0),SUMIFS($AI$7:$AI$1843,$CF$7:$CF$1843,CF29,$AM$7:$AM$1843,"&gt;"&amp;AM29)+SUMIFS($AI$7:$AI$1843,$CF$7:$CF$1843,CF29,$AM$7:$AM$1843,AM29,$BW$7:$BW$1843,"&lt;="&amp;BW29),"")</f>
        <v>5461.83928571429</v>
      </c>
      <c r="AO29" s="58" t="n">
        <f aca="false">IF(AN29="",0,MAX(0,MIN(1,(IF(CF29="L1",Parameter!$H$5,IF(CF29="L23",Parameter!$H$6+Parameter!$H$7,Parameter!$H$5+Parameter!$H$6+Parameter!$H$7))-(AN29-AI29))/AI29)))</f>
        <v>1</v>
      </c>
      <c r="AP29" s="50" t="n">
        <f aca="false">IF(LEFT(Cockpit!$I$5,1)="A",H29,IF(Parameter!$E$30="MAX-Bestand",IF(CH29=1,CI29,IF(LEFT(Cockpit!$I$5,1)="B",AV29,MAX(AV29,H29))),ROUNDUP(AT29,0)))</f>
        <v>12</v>
      </c>
      <c r="AQ29" s="50" t="n">
        <f aca="false">IF(BZ29=1,0,ROUNDUP(AP29/BY29,0))</f>
        <v>1</v>
      </c>
      <c r="AR29" s="52" t="n">
        <f aca="false">IF(CQ29&gt;0,CQ29*MAX(1,AP29/X29),IF(BZ29=1,IF(AP29&lt;=0,0,CD29*MAX(1,IF(H29&gt;0,AP29/H29,1))),IF(R29&gt;0,AQ29/R29,0))/MAX(0.1,N(Parameter!$M$21)))</f>
        <v>0.0384615384615385</v>
      </c>
      <c r="AS29" s="50" t="n">
        <f aca="false">AR29*CB29</f>
        <v>9.42307692307692</v>
      </c>
      <c r="AT29" s="51" t="n">
        <f aca="false">IF(LEFT(Cockpit!$I$5,1)="A",H29,IF(CH29=1,(CK29+CI29)/2,IF(LEFT(Cockpit!$I$5,1)="B",(CK29+AV29)/2,MAX((CK29+AV29)/2,H29))))</f>
        <v>12</v>
      </c>
      <c r="AU29" s="50" t="n">
        <f aca="false">AT29*G29</f>
        <v>12583.2</v>
      </c>
      <c r="AV29" s="50" t="n">
        <f aca="false">ROUNDUP(CK29+MAX(CL29,2*(J29/IF(CG29&gt;0,CG29,MAX(0.1,N(Cockpit!$I$6)))-CK29)),0)</f>
        <v>11</v>
      </c>
      <c r="AW29" s="51" t="n">
        <f aca="false">IF(AS29&gt;0,J29/AS29,-1)</f>
        <v>2.44081632653061</v>
      </c>
      <c r="AX29" s="51" t="n">
        <f aca="false">IF(AND(OR(CF29="L1",CF29="L23",CF29="LIFT"),AS29&gt;0),SUMIFS($AS$7:$AS$1843,$CF$7:$CF$1843,CF29,$AW$7:$AW$1843,"&gt;"&amp;AW29)+SUMIFS($AS$7:$AS$1843,$CF$7:$CF$1843,CF29,$AW$7:$AW$1843,AW29,$BW$7:$BW$1843,"&lt;="&amp;BW29),"")</f>
        <v>6235.06730769231</v>
      </c>
      <c r="AY29" s="58" t="n">
        <f aca="false">IF(AX29="",0,MAX(0,MIN(1,(IF(CF29="L1",Parameter!$H$5,IF(CF29="L23",Parameter!$H$6+Parameter!$H$7,Parameter!$H$5+Parameter!$H$6+Parameter!$H$7))-(AX29-AS29))/AS29)))</f>
        <v>1</v>
      </c>
      <c r="AZ29" s="50" t="n">
        <f aca="false">IF(LEFT(Cockpit!$O$5,1)="A",H29,IF(Parameter!$E$30="MAX-Bestand",IF(CH29=1,CI29,IF(LEFT(Cockpit!$O$5,1)="B",BF29,MAX(BF29,H29))),ROUNDUP(BD29,0)))</f>
        <v>9</v>
      </c>
      <c r="BA29" s="50" t="n">
        <f aca="false">IF(BZ29=1,0,ROUNDUP(AZ29/BY29,0))</f>
        <v>1</v>
      </c>
      <c r="BB29" s="52" t="n">
        <f aca="false">IF(CQ29&gt;0,CQ29*MAX(1,AZ29/X29),IF(BZ29=1,IF(AZ29&lt;=0,0,CD29*MAX(1,IF(H29&gt;0,AZ29/H29,1))),IF(R29&gt;0,BA29/R29,0))/MAX(0.1,N(Parameter!$M$21)))</f>
        <v>0.0384615384615385</v>
      </c>
      <c r="BC29" s="50" t="n">
        <f aca="false">BB29*CB29</f>
        <v>9.42307692307692</v>
      </c>
      <c r="BD29" s="51" t="n">
        <f aca="false">IF(LEFT(Cockpit!$O$5,1)="A",H29,IF(CH29=1,(CK29+CI29)/2,IF(LEFT(Cockpit!$O$5,1)="B",(CK29+BF29)/2,MAX((CK29+BF29)/2,H29))))</f>
        <v>8.5</v>
      </c>
      <c r="BE29" s="50" t="n">
        <f aca="false">BD29*G29</f>
        <v>8913.1</v>
      </c>
      <c r="BF29" s="50" t="n">
        <f aca="false">ROUNDUP(CK29+MAX(CL29,2*(J29/IF(CG29&gt;0,CG29,MAX(0.1,N(Cockpit!$O$6)))-CK29)),0)</f>
        <v>11</v>
      </c>
      <c r="BG29" s="51" t="n">
        <f aca="false">IF(BC29&gt;0,J29/BC29,-1)</f>
        <v>2.44081632653061</v>
      </c>
      <c r="BH29" s="51" t="n">
        <f aca="false">IF(AND(OR(CF29="L1",CF29="L23",CF29="LIFT"),BC29&gt;0),SUMIFS($BC$7:$BC$1843,$CF$7:$CF$1843,CF29,$BG$7:$BG$1843,"&gt;"&amp;BG29)+SUMIFS($BC$7:$BC$1843,$CF$7:$CF$1843,CF29,$BG$7:$BG$1843,BG29,$BW$7:$BW$1843,"&lt;="&amp;BW29),"")</f>
        <v>5392.25641025641</v>
      </c>
      <c r="BI29" s="58" t="n">
        <f aca="false">IF(BH29="",0,MAX(0,MIN(1,(IF(CF29="L1",Parameter!$H$5,IF(CF29="L23",Parameter!$H$6+Parameter!$H$7,Parameter!$H$5+Parameter!$H$6+Parameter!$H$7))-(BH29-BC29))/BC29)))</f>
        <v>1</v>
      </c>
      <c r="BJ29" s="48" t="str">
        <f aca="false">IF(AI29&lt;=0,"",IF(CF29="Aussen","Aussenlager",IF(CF29="-","Nicht im Lift",IF(AO29&gt;=1,"Lift",IF(AO29&lt;=0,"Aussenlager","teilweise")))))</f>
        <v>Lift</v>
      </c>
      <c r="BK29" s="48" t="str">
        <f aca="false">IF(AS29&lt;=0,"",IF(CF29="Aussen","Aussenlager",IF(CF29="-","Nicht im Lift",IF(AY29&gt;=1,"Lift",IF(AY29&lt;=0,"Aussenlager","teilweise")))))</f>
        <v>Lift</v>
      </c>
      <c r="BL29" s="48" t="str">
        <f aca="false">IF(BC29&lt;=0,"",IF(CF29="Aussen","Aussenlager",IF(CF29="-","Nicht im Lift",IF(BI29&gt;=1,"Lift",IF(BI29&lt;=0,"Aussenlager","teilweise")))))</f>
        <v>Lift</v>
      </c>
      <c r="BM29" s="48" t="str">
        <f aca="false">IF(A29="","",IF(BV29=1,"Neu; ","")&amp;IF(AND(BV29=0,BQ29&lt;0),"negativer Bestand (Export "&amp;BQ29&amp;"); ","")&amp;IF(J29&lt;=0,"Kein Verbrauch; ","")&amp;IF(CQ29&gt;0,"Lift "&amp;W29&amp;" lt. Liftbericht (Fach "&amp;X29&amp;" Stk); ",IF(CA29=1,"Gebinde geschätzt ("&amp;T29&amp;"); ",IF(BZ29=1,"Lose – Tablare geschätzt; ","")))&amp;IF(H29&gt;AV29,"Überbestand "&amp;ROUND(H29-AV29,0)&amp;" Stk / CHF "&amp;ROUND((H29-AV29)*G29,0)&amp;"; ","")&amp;IF(AND(CH29=1,CI29&lt;CJ29),"MAX &lt; MB+LG; ","")&amp;IF(AND(CP29&gt;0,CO29*10&gt;CP29),"zu hoch für Tablar; ","")&amp;IF(AND(BV29=0,OR(CH29=1,AA29&lt;&gt;"",U29&lt;&gt;"",V29&lt;&gt;"",AB29&lt;&gt;"")),"manuell übersteuert; ","")&amp;IF(AND(BZ29=0,R29=0),"Gebinde unbekannt / Stellmass fehlt; ","")&amp;IF(AND(BZ29=0,N(V29)&lt;=0,N(Q29)&lt;=0),"Menge pro Gebinde fehlt (Ist = 1 Gebinde); ","")&amp;BU29)</f>
        <v>Überbestand 1 Stk / CHF 1049; </v>
      </c>
      <c r="BN29" s="48" t="s">
        <v>243</v>
      </c>
      <c r="BO29" s="48" t="s">
        <v>244</v>
      </c>
      <c r="BP29" s="55"/>
      <c r="BQ29" s="50" t="n">
        <v>11</v>
      </c>
      <c r="BR29" s="50" t="n">
        <v>1</v>
      </c>
      <c r="BS29" s="49" t="n">
        <v>12583.19</v>
      </c>
      <c r="BT29" s="50" t="n">
        <v>23</v>
      </c>
      <c r="BU29" s="48"/>
      <c r="BV29" s="53" t="n">
        <v>0</v>
      </c>
      <c r="BW29" s="53" t="n">
        <v>29</v>
      </c>
      <c r="BX29" s="48" t="str">
        <f aca="false">IF(U29&lt;&gt;"",UPPER(TRIM(U29)),IF(CA29=1,UPPER(VLOOKUP(T29,Parameter!$I$27:$K$29,2,0)),IF(P29="","LOSE",P29)))</f>
        <v>S52</v>
      </c>
      <c r="BY29" s="50" t="n">
        <f aca="false">IF(BX29="LOSE",1,IF(N(V29)&gt;0,V29,IF(CA29=1,MAX(1,N(VLOOKUP(T29,Parameter!$I$27:$K$29,3,0)),H29,N(N29)),IF(N(Q29)&gt;0,Q29,MAX(1,H29)))))</f>
        <v>20</v>
      </c>
      <c r="BZ29" s="53" t="n">
        <f aca="false">IF(BX29="LOSE",1,0)</f>
        <v>0</v>
      </c>
      <c r="CA29" s="53" t="n">
        <f aca="false">IF(AND(U29="",OR(P29="",P29="LOSE"),T29&lt;&gt;"",N(S29)&lt;=0,ISNUMBER(MATCH(T29,Parameter!$I$27:$I$29,0))),1,0)</f>
        <v>0</v>
      </c>
      <c r="CB29" s="53" t="n">
        <f aca="false">IF(CQ29&gt;0,INDEX(Parameter!$H$5:$H$7,W29)/INDEX(Parameter!$E$5:$E$7,W29),IF(AND(BZ29=0,N(IFERROR(VLOOKUP(BX29,'Gebinde-Kategorie'!$A$5:$N$45,14,0),0))&gt;0),VLOOKUP(BX29,'Gebinde-Kategorie'!$A$5:$N$45,14,0)*10+Parameter!$M$23,Parameter!$M$24))</f>
        <v>245</v>
      </c>
      <c r="CC29" s="48" t="str">
        <f aca="false">IF(AND(Parameter!$B$19="Ja",E29&lt;&gt;"",ISNUMBER(MATCH(E29,Parameter!$I$35:$I$52,0))),VLOOKUP(E29,Parameter!$I$35:$J$52,2,0),IFERROR(VLOOKUP(D29,Parameter!$A$35:$C$64,2,0),"Nein"))</f>
        <v>2+3</v>
      </c>
      <c r="CD29" s="52" t="n">
        <f aca="false">IF(BZ29=0,0,IF(N(S29)&gt;0,S29,IFERROR(VLOOKUP(D29,Parameter!$A$35:$C$64,3,0)+0,0)))</f>
        <v>0</v>
      </c>
      <c r="CE29" s="48" t="n">
        <f aca="false">IF(AA29&lt;&gt;"",AA29,Z29)</f>
        <v>3</v>
      </c>
      <c r="CF29" s="48" t="str">
        <f aca="false">IF(OR(CE29=1,CE29=2,CE29=3),IF(Parameter!$E$27="Ja","LIFT",IF(CE29=1,"L1","L23")),IF(CE29="Aussen","Aussen","-"))</f>
        <v>LIFT</v>
      </c>
      <c r="CG29" s="59" t="n">
        <f aca="false">IF(N(AB29)&gt;0,AB29,0)</f>
        <v>0</v>
      </c>
      <c r="CH29" s="53" t="n">
        <f aca="false">IF(ISNUMBER(AE29),1,0)</f>
        <v>0</v>
      </c>
      <c r="CI29" s="50" t="n">
        <f aca="false">N(AE29)</f>
        <v>0</v>
      </c>
      <c r="CJ29" s="50" t="n">
        <f aca="false">N(M29)+N(N29)</f>
        <v>11</v>
      </c>
      <c r="CK29" s="50" t="n">
        <f aca="false">N(M29)</f>
        <v>6</v>
      </c>
      <c r="CL29" s="50" t="n">
        <f aca="false">N(N29)</f>
        <v>5</v>
      </c>
      <c r="CM29" s="50" t="n">
        <f aca="false">ROUNDUP(H29/BY29,0)</f>
        <v>1</v>
      </c>
      <c r="CN29" s="50" t="n">
        <f aca="false">ROUNDUP(CI29/BY29,0)</f>
        <v>0</v>
      </c>
      <c r="CO29" s="53" t="n">
        <f aca="false">IF(BZ29=1,0,IFERROR(VLOOKUP(BX29,'Gebinde-Kategorie'!$A$5:$N$45,5,0)+0,0))</f>
        <v>21</v>
      </c>
      <c r="CP29" s="53" t="n">
        <f aca="false">IFERROR(IF(OR(CE29=1,CE29=2,CE29=3),N(INDEX(Parameter!$I$5:$I$7,CE29)),0),0)</f>
        <v>0</v>
      </c>
      <c r="CQ29" s="52" t="n">
        <f aca="false">IF(AND(Parameter!$B$21="Ja",ISNUMBER(W29),N(X29)&gt;0),IFERROR(N(INDEX(Parameter!$L$5:$L$7,W29))*INDEX(Parameter!$E$5:$E$7,W29)*X29/SUMIFS($X$7:$X$1843,$W$7:$W$1843,W29),0),0)</f>
        <v>0</v>
      </c>
    </row>
    <row r="30" customFormat="false" ht="15" hidden="false" customHeight="false" outlineLevel="0" collapsed="false">
      <c r="A30" s="48" t="s">
        <v>245</v>
      </c>
      <c r="B30" s="48" t="s">
        <v>246</v>
      </c>
      <c r="C30" s="48" t="s">
        <v>173</v>
      </c>
      <c r="D30" s="48" t="s">
        <v>182</v>
      </c>
      <c r="E30" s="48" t="s">
        <v>194</v>
      </c>
      <c r="F30" s="48" t="s">
        <v>227</v>
      </c>
      <c r="G30" s="49" t="n">
        <v>306.57</v>
      </c>
      <c r="H30" s="50" t="n">
        <f aca="false">MAX(0,IF(AND(Parameter!$B$21="Ja",ISNUMBER(Y30)),Y30,IF(Parameter!$B$20="Jahresanfang 2025 + Export",BR30+BQ30,BQ30)))</f>
        <v>45</v>
      </c>
      <c r="I30" s="50" t="n">
        <f aca="false">H30*G30</f>
        <v>13795.65</v>
      </c>
      <c r="J30" s="50" t="n">
        <f aca="false">BT30*Parameter!$B$18</f>
        <v>297</v>
      </c>
      <c r="K30" s="51" t="n">
        <v>25</v>
      </c>
      <c r="L30" s="52" t="n">
        <v>11.88</v>
      </c>
      <c r="M30" s="50" t="n">
        <v>23</v>
      </c>
      <c r="N30" s="50" t="n">
        <v>45</v>
      </c>
      <c r="O30" s="53" t="n">
        <v>28</v>
      </c>
      <c r="P30" s="48" t="s">
        <v>235</v>
      </c>
      <c r="Q30" s="50" t="n">
        <v>34</v>
      </c>
      <c r="R30" s="53" t="n">
        <f aca="false">IF(BZ30=1,0,IFERROR(VLOOKUP(BX30,'Gebinde-Kategorie'!$A$5:$N$45,13,0)+0,0))</f>
        <v>12</v>
      </c>
      <c r="S30" s="54"/>
      <c r="T30" s="55"/>
      <c r="U30" s="55"/>
      <c r="V30" s="55"/>
      <c r="W30" s="48"/>
      <c r="X30" s="50"/>
      <c r="Y30" s="50"/>
      <c r="Z30" s="48" t="n">
        <f aca="false">IF(A30="","",IF(AND(Parameter!$B$21="Ja",ISNUMBER(W30)),W30,IF(CC30="2+3",IF(ISNUMBER(SEARCH("grosser Artikel",BU30)),2,IFERROR(VLOOKUP(BX30,Parameter!$F$35:$G$64,2,0),2)),IF(OR(CC30="Nein",CC30=""),"-",CC30))))</f>
        <v>2</v>
      </c>
      <c r="AA30" s="55"/>
      <c r="AB30" s="56"/>
      <c r="AC30" s="50" t="n">
        <f aca="false">AV30</f>
        <v>175</v>
      </c>
      <c r="AD30" s="50" t="n">
        <f aca="false">MAX(AV30,H30)</f>
        <v>175</v>
      </c>
      <c r="AE30" s="57"/>
      <c r="AF30" s="50" t="n">
        <f aca="false">IF(LEFT(Cockpit!$C$5,1)="A",H30,IF(Parameter!$E$30="MAX-Bestand",IF(CH30=1,CI30,IF(LEFT(Cockpit!$C$5,1)="B",AL30,MAX(AL30,H30))),ROUNDUP(AJ30,0)))</f>
        <v>45</v>
      </c>
      <c r="AG30" s="50" t="n">
        <f aca="false">IF(BZ30=1,0,ROUNDUP(AF30/BY30,0))</f>
        <v>2</v>
      </c>
      <c r="AH30" s="52" t="n">
        <f aca="false">IF(CQ30&gt;0,CQ30*MAX(1,AF30/X30),IF(BZ30=1,IF(AF30&lt;=0,0,CD30*MAX(1,IF(H30&gt;0,AF30/H30,1))),IF(R30&gt;0,AG30/R30,0))/MAX(0.1,N(Parameter!$M$21)))</f>
        <v>0.166666666666667</v>
      </c>
      <c r="AI30" s="50" t="n">
        <f aca="false">AH30*CB30</f>
        <v>57.5</v>
      </c>
      <c r="AJ30" s="51" t="n">
        <f aca="false">IF(LEFT(Cockpit!$C$5,1)="A",H30,IF(CH30=1,(CK30+CI30)/2,IF(LEFT(Cockpit!$C$5,1)="B",(CK30+AL30)/2,MAX((CK30+AL30)/2,H30))))</f>
        <v>45</v>
      </c>
      <c r="AK30" s="50" t="n">
        <f aca="false">AJ30*G30</f>
        <v>13795.65</v>
      </c>
      <c r="AL30" s="50" t="n">
        <f aca="false">ROUNDUP(CK30+MAX(CL30,2*(J30/IF(CG30&gt;0,CG30,MAX(0.1,N(Cockpit!$C$6)))-CK30)),0)</f>
        <v>175</v>
      </c>
      <c r="AM30" s="51" t="n">
        <f aca="false">IF(AI30&gt;0,J30/AI30,-1)</f>
        <v>5.16521739130435</v>
      </c>
      <c r="AN30" s="51" t="n">
        <f aca="false">IF(AND(OR(CF30="L1",CF30="L23",CF30="LIFT"),AI30&gt;0),SUMIFS($AI$7:$AI$1843,$CF$7:$CF$1843,CF30,$AM$7:$AM$1843,"&gt;"&amp;AM30)+SUMIFS($AI$7:$AI$1843,$CF$7:$CF$1843,CF30,$AM$7:$AM$1843,AM30,$BW$7:$BW$1843,"&lt;="&amp;BW30),"")</f>
        <v>3877.39331501832</v>
      </c>
      <c r="AO30" s="58" t="n">
        <f aca="false">IF(AN30="",0,MAX(0,MIN(1,(IF(CF30="L1",Parameter!$H$5,IF(CF30="L23",Parameter!$H$6+Parameter!$H$7,Parameter!$H$5+Parameter!$H$6+Parameter!$H$7))-(AN30-AI30))/AI30)))</f>
        <v>1</v>
      </c>
      <c r="AP30" s="50" t="n">
        <f aca="false">IF(LEFT(Cockpit!$I$5,1)="A",H30,IF(Parameter!$E$30="MAX-Bestand",IF(CH30=1,CI30,IF(LEFT(Cockpit!$I$5,1)="B",AV30,MAX(AV30,H30))),ROUNDUP(AT30,0)))</f>
        <v>99</v>
      </c>
      <c r="AQ30" s="50" t="n">
        <f aca="false">IF(BZ30=1,0,ROUNDUP(AP30/BY30,0))</f>
        <v>3</v>
      </c>
      <c r="AR30" s="52" t="n">
        <f aca="false">IF(CQ30&gt;0,CQ30*MAX(1,AP30/X30),IF(BZ30=1,IF(AP30&lt;=0,0,CD30*MAX(1,IF(H30&gt;0,AP30/H30,1))),IF(R30&gt;0,AQ30/R30,0))/MAX(0.1,N(Parameter!$M$21)))</f>
        <v>0.25</v>
      </c>
      <c r="AS30" s="50" t="n">
        <f aca="false">AR30*CB30</f>
        <v>86.25</v>
      </c>
      <c r="AT30" s="51" t="n">
        <f aca="false">IF(LEFT(Cockpit!$I$5,1)="A",H30,IF(CH30=1,(CK30+CI30)/2,IF(LEFT(Cockpit!$I$5,1)="B",(CK30+AV30)/2,MAX((CK30+AV30)/2,H30))))</f>
        <v>99</v>
      </c>
      <c r="AU30" s="50" t="n">
        <f aca="false">AT30*G30</f>
        <v>30350.43</v>
      </c>
      <c r="AV30" s="50" t="n">
        <f aca="false">ROUNDUP(CK30+MAX(CL30,2*(J30/IF(CG30&gt;0,CG30,MAX(0.1,N(Cockpit!$I$6)))-CK30)),0)</f>
        <v>175</v>
      </c>
      <c r="AW30" s="51" t="n">
        <f aca="false">IF(AS30&gt;0,J30/AS30,-1)</f>
        <v>3.44347826086957</v>
      </c>
      <c r="AX30" s="51" t="n">
        <f aca="false">IF(AND(OR(CF30="L1",CF30="L23",CF30="LIFT"),AS30&gt;0),SUMIFS($AS$7:$AS$1843,$CF$7:$CF$1843,CF30,$AW$7:$AW$1843,"&gt;"&amp;AW30)+SUMIFS($AS$7:$AS$1843,$CF$7:$CF$1843,CF30,$AW$7:$AW$1843,AW30,$BW$7:$BW$1843,"&lt;="&amp;BW30),"")</f>
        <v>5564.28067765568</v>
      </c>
      <c r="AY30" s="58" t="n">
        <f aca="false">IF(AX30="",0,MAX(0,MIN(1,(IF(CF30="L1",Parameter!$H$5,IF(CF30="L23",Parameter!$H$6+Parameter!$H$7,Parameter!$H$5+Parameter!$H$6+Parameter!$H$7))-(AX30-AS30))/AS30)))</f>
        <v>1</v>
      </c>
      <c r="AZ30" s="50" t="n">
        <f aca="false">IF(LEFT(Cockpit!$O$5,1)="A",H30,IF(Parameter!$E$30="MAX-Bestand",IF(CH30=1,CI30,IF(LEFT(Cockpit!$O$5,1)="B",BF30,MAX(BF30,H30))),ROUNDUP(BD30,0)))</f>
        <v>75</v>
      </c>
      <c r="BA30" s="50" t="n">
        <f aca="false">IF(BZ30=1,0,ROUNDUP(AZ30/BY30,0))</f>
        <v>3</v>
      </c>
      <c r="BB30" s="52" t="n">
        <f aca="false">IF(CQ30&gt;0,CQ30*MAX(1,AZ30/X30),IF(BZ30=1,IF(AZ30&lt;=0,0,CD30*MAX(1,IF(H30&gt;0,AZ30/H30,1))),IF(R30&gt;0,BA30/R30,0))/MAX(0.1,N(Parameter!$M$21)))</f>
        <v>0.25</v>
      </c>
      <c r="BC30" s="50" t="n">
        <f aca="false">BB30*CB30</f>
        <v>86.25</v>
      </c>
      <c r="BD30" s="51" t="n">
        <f aca="false">IF(LEFT(Cockpit!$O$5,1)="A",H30,IF(CH30=1,(CK30+CI30)/2,IF(LEFT(Cockpit!$O$5,1)="B",(CK30+BF30)/2,MAX((CK30+BF30)/2,H30))))</f>
        <v>74.5</v>
      </c>
      <c r="BE30" s="50" t="n">
        <f aca="false">BD30*G30</f>
        <v>22839.465</v>
      </c>
      <c r="BF30" s="50" t="n">
        <f aca="false">ROUNDUP(CK30+MAX(CL30,2*(J30/IF(CG30&gt;0,CG30,MAX(0.1,N(Cockpit!$O$6)))-CK30)),0)</f>
        <v>126</v>
      </c>
      <c r="BG30" s="51" t="n">
        <f aca="false">IF(BC30&gt;0,J30/BC30,-1)</f>
        <v>3.44347826086957</v>
      </c>
      <c r="BH30" s="51" t="n">
        <f aca="false">IF(AND(OR(CF30="L1",CF30="L23",CF30="LIFT"),BC30&gt;0),SUMIFS($BC$7:$BC$1843,$CF$7:$CF$1843,CF30,$BG$7:$BG$1843,"&gt;"&amp;BG30)+SUMIFS($BC$7:$BC$1843,$CF$7:$CF$1843,CF30,$BG$7:$BG$1843,BG30,$BW$7:$BW$1843,"&lt;="&amp;BW30),"")</f>
        <v>4560.89285714286</v>
      </c>
      <c r="BI30" s="58" t="n">
        <f aca="false">IF(BH30="",0,MAX(0,MIN(1,(IF(CF30="L1",Parameter!$H$5,IF(CF30="L23",Parameter!$H$6+Parameter!$H$7,Parameter!$H$5+Parameter!$H$6+Parameter!$H$7))-(BH30-BC30))/BC30)))</f>
        <v>1</v>
      </c>
      <c r="BJ30" s="48" t="str">
        <f aca="false">IF(AI30&lt;=0,"",IF(CF30="Aussen","Aussenlager",IF(CF30="-","Nicht im Lift",IF(AO30&gt;=1,"Lift",IF(AO30&lt;=0,"Aussenlager","teilweise")))))</f>
        <v>Lift</v>
      </c>
      <c r="BK30" s="48" t="str">
        <f aca="false">IF(AS30&lt;=0,"",IF(CF30="Aussen","Aussenlager",IF(CF30="-","Nicht im Lift",IF(AY30&gt;=1,"Lift",IF(AY30&lt;=0,"Aussenlager","teilweise")))))</f>
        <v>Lift</v>
      </c>
      <c r="BL30" s="48" t="str">
        <f aca="false">IF(BC30&lt;=0,"",IF(CF30="Aussen","Aussenlager",IF(CF30="-","Nicht im Lift",IF(BI30&gt;=1,"Lift",IF(BI30&lt;=0,"Aussenlager","teilweise")))))</f>
        <v>Lift</v>
      </c>
      <c r="BM30" s="48" t="str">
        <f aca="false">IF(A30="","",IF(BV30=1,"Neu; ","")&amp;IF(AND(BV30=0,BQ30&lt;0),"negativer Bestand (Export "&amp;BQ30&amp;"); ","")&amp;IF(J30&lt;=0,"Kein Verbrauch; ","")&amp;IF(CQ30&gt;0,"Lift "&amp;W30&amp;" lt. Liftbericht (Fach "&amp;X30&amp;" Stk); ",IF(CA30=1,"Gebinde geschätzt ("&amp;T30&amp;"); ",IF(BZ30=1,"Lose – Tablare geschätzt; ","")))&amp;IF(H30&gt;AV30,"Überbestand "&amp;ROUND(H30-AV30,0)&amp;" Stk / CHF "&amp;ROUND((H30-AV30)*G30,0)&amp;"; ","")&amp;IF(AND(CH30=1,CI30&lt;CJ30),"MAX &lt; MB+LG; ","")&amp;IF(AND(CP30&gt;0,CO30*10&gt;CP30),"zu hoch für Tablar; ","")&amp;IF(AND(BV30=0,OR(CH30=1,AA30&lt;&gt;"",U30&lt;&gt;"",V30&lt;&gt;"",AB30&lt;&gt;"")),"manuell übersteuert; ","")&amp;IF(AND(BZ30=0,R30=0),"Gebinde unbekannt / Stellmass fehlt; ","")&amp;IF(AND(BZ30=0,N(V30)&lt;=0,N(Q30)&lt;=0),"Menge pro Gebinde fehlt (Ist = 1 Gebinde); ","")&amp;BU30)</f>
        <v/>
      </c>
      <c r="BN30" s="48" t="s">
        <v>247</v>
      </c>
      <c r="BO30" s="48" t="s">
        <v>248</v>
      </c>
      <c r="BP30" s="55"/>
      <c r="BQ30" s="50" t="n">
        <v>41</v>
      </c>
      <c r="BR30" s="50" t="n">
        <v>4</v>
      </c>
      <c r="BS30" s="49" t="n">
        <v>12491.91</v>
      </c>
      <c r="BT30" s="50" t="n">
        <v>297</v>
      </c>
      <c r="BU30" s="48"/>
      <c r="BV30" s="53" t="n">
        <v>0</v>
      </c>
      <c r="BW30" s="53" t="n">
        <v>30</v>
      </c>
      <c r="BX30" s="48" t="str">
        <f aca="false">IF(U30&lt;&gt;"",UPPER(TRIM(U30)),IF(CA30=1,UPPER(VLOOKUP(T30,Parameter!$I$27:$K$29,2,0)),IF(P30="","LOSE",P30)))</f>
        <v>S63</v>
      </c>
      <c r="BY30" s="50" t="n">
        <f aca="false">IF(BX30="LOSE",1,IF(N(V30)&gt;0,V30,IF(CA30=1,MAX(1,N(VLOOKUP(T30,Parameter!$I$27:$K$29,3,0)),H30,N(N30)),IF(N(Q30)&gt;0,Q30,MAX(1,H30)))))</f>
        <v>34</v>
      </c>
      <c r="BZ30" s="53" t="n">
        <f aca="false">IF(BX30="LOSE",1,0)</f>
        <v>0</v>
      </c>
      <c r="CA30" s="53" t="n">
        <f aca="false">IF(AND(U30="",OR(P30="",P30="LOSE"),T30&lt;&gt;"",N(S30)&lt;=0,ISNUMBER(MATCH(T30,Parameter!$I$27:$I$29,0))),1,0)</f>
        <v>0</v>
      </c>
      <c r="CB30" s="53" t="n">
        <f aca="false">IF(CQ30&gt;0,INDEX(Parameter!$H$5:$H$7,W30)/INDEX(Parameter!$E$5:$E$7,W30),IF(AND(BZ30=0,N(IFERROR(VLOOKUP(BX30,'Gebinde-Kategorie'!$A$5:$N$45,14,0),0))&gt;0),VLOOKUP(BX30,'Gebinde-Kategorie'!$A$5:$N$45,14,0)*10+Parameter!$M$23,Parameter!$M$24))</f>
        <v>345</v>
      </c>
      <c r="CC30" s="48" t="str">
        <f aca="false">IF(AND(Parameter!$B$19="Ja",E30&lt;&gt;"",ISNUMBER(MATCH(E30,Parameter!$I$35:$I$52,0))),VLOOKUP(E30,Parameter!$I$35:$J$52,2,0),IFERROR(VLOOKUP(D30,Parameter!$A$35:$C$64,2,0),"Nein"))</f>
        <v>2+3</v>
      </c>
      <c r="CD30" s="52" t="n">
        <f aca="false">IF(BZ30=0,0,IF(N(S30)&gt;0,S30,IFERROR(VLOOKUP(D30,Parameter!$A$35:$C$64,3,0)+0,0)))</f>
        <v>0</v>
      </c>
      <c r="CE30" s="48" t="n">
        <f aca="false">IF(AA30&lt;&gt;"",AA30,Z30)</f>
        <v>2</v>
      </c>
      <c r="CF30" s="48" t="str">
        <f aca="false">IF(OR(CE30=1,CE30=2,CE30=3),IF(Parameter!$E$27="Ja","LIFT",IF(CE30=1,"L1","L23")),IF(CE30="Aussen","Aussen","-"))</f>
        <v>LIFT</v>
      </c>
      <c r="CG30" s="59" t="n">
        <f aca="false">IF(N(AB30)&gt;0,AB30,0)</f>
        <v>0</v>
      </c>
      <c r="CH30" s="53" t="n">
        <f aca="false">IF(ISNUMBER(AE30),1,0)</f>
        <v>0</v>
      </c>
      <c r="CI30" s="50" t="n">
        <f aca="false">N(AE30)</f>
        <v>0</v>
      </c>
      <c r="CJ30" s="50" t="n">
        <f aca="false">N(M30)+N(N30)</f>
        <v>68</v>
      </c>
      <c r="CK30" s="50" t="n">
        <f aca="false">N(M30)</f>
        <v>23</v>
      </c>
      <c r="CL30" s="50" t="n">
        <f aca="false">N(N30)</f>
        <v>45</v>
      </c>
      <c r="CM30" s="50" t="n">
        <f aca="false">ROUNDUP(H30/BY30,0)</f>
        <v>2</v>
      </c>
      <c r="CN30" s="50" t="n">
        <f aca="false">ROUNDUP(CI30/BY30,0)</f>
        <v>0</v>
      </c>
      <c r="CO30" s="53" t="n">
        <f aca="false">IF(BZ30=1,0,IFERROR(VLOOKUP(BX30,'Gebinde-Kategorie'!$A$5:$N$45,5,0)+0,0))</f>
        <v>31</v>
      </c>
      <c r="CP30" s="53" t="n">
        <f aca="false">IFERROR(IF(OR(CE30=1,CE30=2,CE30=3),N(INDEX(Parameter!$I$5:$I$7,CE30)),0),0)</f>
        <v>0</v>
      </c>
      <c r="CQ30" s="52" t="n">
        <f aca="false">IF(AND(Parameter!$B$21="Ja",ISNUMBER(W30),N(X30)&gt;0),IFERROR(N(INDEX(Parameter!$L$5:$L$7,W30))*INDEX(Parameter!$E$5:$E$7,W30)*X30/SUMIFS($X$7:$X$1843,$W$7:$W$1843,W30),0),0)</f>
        <v>0</v>
      </c>
    </row>
    <row r="31" customFormat="false" ht="15" hidden="false" customHeight="false" outlineLevel="0" collapsed="false">
      <c r="A31" s="48" t="s">
        <v>249</v>
      </c>
      <c r="B31" s="48" t="s">
        <v>250</v>
      </c>
      <c r="C31" s="48" t="s">
        <v>173</v>
      </c>
      <c r="D31" s="48" t="s">
        <v>174</v>
      </c>
      <c r="E31" s="48" t="s">
        <v>175</v>
      </c>
      <c r="F31" s="48" t="s">
        <v>227</v>
      </c>
      <c r="G31" s="49" t="n">
        <v>4074.91</v>
      </c>
      <c r="H31" s="50" t="n">
        <f aca="false">MAX(0,IF(AND(Parameter!$B$21="Ja",ISNUMBER(Y31)),Y31,IF(Parameter!$B$20="Jahresanfang 2025 + Export",BR31+BQ31,BQ31)))</f>
        <v>8</v>
      </c>
      <c r="I31" s="50" t="n">
        <f aca="false">H31*G31</f>
        <v>32599.28</v>
      </c>
      <c r="J31" s="50" t="n">
        <f aca="false">BT31*Parameter!$B$18</f>
        <v>24</v>
      </c>
      <c r="K31" s="51" t="n">
        <v>6.5</v>
      </c>
      <c r="L31" s="52" t="n">
        <v>3.69230769230769</v>
      </c>
      <c r="M31" s="50" t="n">
        <v>3</v>
      </c>
      <c r="N31" s="50" t="n">
        <v>6</v>
      </c>
      <c r="O31" s="53" t="n">
        <v>49</v>
      </c>
      <c r="P31" s="48" t="s">
        <v>177</v>
      </c>
      <c r="Q31" s="50"/>
      <c r="R31" s="53" t="n">
        <f aca="false">IF(BZ31=1,0,IFERROR(VLOOKUP(BX31,'Gebinde-Kategorie'!$A$5:$N$45,13,0)+0,0))</f>
        <v>0</v>
      </c>
      <c r="S31" s="54"/>
      <c r="T31" s="55"/>
      <c r="U31" s="55"/>
      <c r="V31" s="55"/>
      <c r="W31" s="48" t="n">
        <v>1</v>
      </c>
      <c r="X31" s="50" t="n">
        <v>10</v>
      </c>
      <c r="Y31" s="50" t="n">
        <v>8</v>
      </c>
      <c r="Z31" s="48" t="n">
        <f aca="false">IF(A31="","",IF(AND(Parameter!$B$21="Ja",ISNUMBER(W31)),W31,IF(CC31="2+3",IF(ISNUMBER(SEARCH("grosser Artikel",BU31)),2,IFERROR(VLOOKUP(BX31,Parameter!$F$35:$G$64,2,0),2)),IF(OR(CC31="Nein",CC31=""),"-",CC31))))</f>
        <v>1</v>
      </c>
      <c r="AA31" s="55"/>
      <c r="AB31" s="56"/>
      <c r="AC31" s="50" t="n">
        <f aca="false">AV31</f>
        <v>13</v>
      </c>
      <c r="AD31" s="50" t="n">
        <f aca="false">MAX(AV31,H31)</f>
        <v>13</v>
      </c>
      <c r="AE31" s="57"/>
      <c r="AF31" s="50" t="n">
        <f aca="false">IF(LEFT(Cockpit!$C$5,1)="A",H31,IF(Parameter!$E$30="MAX-Bestand",IF(CH31=1,CI31,IF(LEFT(Cockpit!$C$5,1)="B",AL31,MAX(AL31,H31))),ROUNDUP(AJ31,0)))</f>
        <v>8</v>
      </c>
      <c r="AG31" s="50" t="n">
        <f aca="false">IF(BZ31=1,0,ROUNDUP(AF31/BY31,0))</f>
        <v>0</v>
      </c>
      <c r="AH31" s="52" t="n">
        <f aca="false">IF(CQ31&gt;0,CQ31*MAX(1,AF31/X31),IF(BZ31=1,IF(AF31&lt;=0,0,CD31*MAX(1,IF(H31&gt;0,AF31/H31,1))),IF(R31&gt;0,AG31/R31,0))/MAX(0.1,N(Parameter!$M$21)))</f>
        <v>0.800376647834275</v>
      </c>
      <c r="AI31" s="50" t="n">
        <f aca="false">AH31*CB31</f>
        <v>190.489642184557</v>
      </c>
      <c r="AJ31" s="51" t="n">
        <f aca="false">IF(LEFT(Cockpit!$C$5,1)="A",H31,IF(CH31=1,(CK31+CI31)/2,IF(LEFT(Cockpit!$C$5,1)="B",(CK31+AL31)/2,MAX((CK31+AL31)/2,H31))))</f>
        <v>8</v>
      </c>
      <c r="AK31" s="50" t="n">
        <f aca="false">AJ31*G31</f>
        <v>32599.28</v>
      </c>
      <c r="AL31" s="50" t="n">
        <f aca="false">ROUNDUP(CK31+MAX(CL31,2*(J31/IF(CG31&gt;0,CG31,MAX(0.1,N(Cockpit!$C$6)))-CK31)),0)</f>
        <v>13</v>
      </c>
      <c r="AM31" s="51" t="n">
        <f aca="false">IF(AI31&gt;0,J31/AI31,-1)</f>
        <v>0.125991102323282</v>
      </c>
      <c r="AN31" s="51" t="n">
        <f aca="false">IF(AND(OR(CF31="L1",CF31="L23",CF31="LIFT"),AI31&gt;0),SUMIFS($AI$7:$AI$1843,$CF$7:$CF$1843,CF31,$AM$7:$AM$1843,"&gt;"&amp;AM31)+SUMIFS($AI$7:$AI$1843,$CF$7:$CF$1843,CF31,$AM$7:$AM$1843,AM31,$BW$7:$BW$1843,"&lt;="&amp;BW31),"")</f>
        <v>14092.120002173</v>
      </c>
      <c r="AO31" s="58" t="n">
        <f aca="false">IF(AN31="",0,MAX(0,MIN(1,(IF(CF31="L1",Parameter!$H$5,IF(CF31="L23",Parameter!$H$6+Parameter!$H$7,Parameter!$H$5+Parameter!$H$6+Parameter!$H$7))-(AN31-AI31))/AI31)))</f>
        <v>1</v>
      </c>
      <c r="AP31" s="50" t="n">
        <f aca="false">IF(LEFT(Cockpit!$I$5,1)="A",H31,IF(Parameter!$E$30="MAX-Bestand",IF(CH31=1,CI31,IF(LEFT(Cockpit!$I$5,1)="B",AV31,MAX(AV31,H31))),ROUNDUP(AT31,0)))</f>
        <v>8</v>
      </c>
      <c r="AQ31" s="50" t="n">
        <f aca="false">IF(BZ31=1,0,ROUNDUP(AP31/BY31,0))</f>
        <v>0</v>
      </c>
      <c r="AR31" s="52" t="n">
        <f aca="false">IF(CQ31&gt;0,CQ31*MAX(1,AP31/X31),IF(BZ31=1,IF(AP31&lt;=0,0,CD31*MAX(1,IF(H31&gt;0,AP31/H31,1))),IF(R31&gt;0,AQ31/R31,0))/MAX(0.1,N(Parameter!$M$21)))</f>
        <v>0.800376647834275</v>
      </c>
      <c r="AS31" s="50" t="n">
        <f aca="false">AR31*CB31</f>
        <v>190.489642184557</v>
      </c>
      <c r="AT31" s="51" t="n">
        <f aca="false">IF(LEFT(Cockpit!$I$5,1)="A",H31,IF(CH31=1,(CK31+CI31)/2,IF(LEFT(Cockpit!$I$5,1)="B",(CK31+AV31)/2,MAX((CK31+AV31)/2,H31))))</f>
        <v>8</v>
      </c>
      <c r="AU31" s="50" t="n">
        <f aca="false">AT31*G31</f>
        <v>32599.28</v>
      </c>
      <c r="AV31" s="50" t="n">
        <f aca="false">ROUNDUP(CK31+MAX(CL31,2*(J31/IF(CG31&gt;0,CG31,MAX(0.1,N(Cockpit!$I$6)))-CK31)),0)</f>
        <v>13</v>
      </c>
      <c r="AW31" s="51" t="n">
        <f aca="false">IF(AS31&gt;0,J31/AS31,-1)</f>
        <v>0.125991102323282</v>
      </c>
      <c r="AX31" s="51" t="n">
        <f aca="false">IF(AND(OR(CF31="L1",CF31="L23",CF31="LIFT"),AS31&gt;0),SUMIFS($AS$7:$AS$1843,$CF$7:$CF$1843,CF31,$AW$7:$AW$1843,"&gt;"&amp;AW31)+SUMIFS($AS$7:$AS$1843,$CF$7:$CF$1843,CF31,$AW$7:$AW$1843,AW31,$BW$7:$BW$1843,"&lt;="&amp;BW31),"")</f>
        <v>18116.5186435504</v>
      </c>
      <c r="AY31" s="58" t="n">
        <f aca="false">IF(AX31="",0,MAX(0,MIN(1,(IF(CF31="L1",Parameter!$H$5,IF(CF31="L23",Parameter!$H$6+Parameter!$H$7,Parameter!$H$5+Parameter!$H$6+Parameter!$H$7))-(AX31-AS31))/AS31)))</f>
        <v>1</v>
      </c>
      <c r="AZ31" s="50" t="n">
        <f aca="false">IF(LEFT(Cockpit!$O$5,1)="A",H31,IF(Parameter!$E$30="MAX-Bestand",IF(CH31=1,CI31,IF(LEFT(Cockpit!$O$5,1)="B",BF31,MAX(BF31,H31))),ROUNDUP(BD31,0)))</f>
        <v>6</v>
      </c>
      <c r="BA31" s="50" t="n">
        <f aca="false">IF(BZ31=1,0,ROUNDUP(AZ31/BY31,0))</f>
        <v>0</v>
      </c>
      <c r="BB31" s="52" t="n">
        <f aca="false">IF(CQ31&gt;0,CQ31*MAX(1,AZ31/X31),IF(BZ31=1,IF(AZ31&lt;=0,0,CD31*MAX(1,IF(H31&gt;0,AZ31/H31,1))),IF(R31&gt;0,BA31/R31,0))/MAX(0.1,N(Parameter!$M$21)))</f>
        <v>0.800376647834275</v>
      </c>
      <c r="BC31" s="50" t="n">
        <f aca="false">BB31*CB31</f>
        <v>190.489642184557</v>
      </c>
      <c r="BD31" s="51" t="n">
        <f aca="false">IF(LEFT(Cockpit!$O$5,1)="A",H31,IF(CH31=1,(CK31+CI31)/2,IF(LEFT(Cockpit!$O$5,1)="B",(CK31+BF31)/2,MAX((CK31+BF31)/2,H31))))</f>
        <v>6</v>
      </c>
      <c r="BE31" s="50" t="n">
        <f aca="false">BD31*G31</f>
        <v>24449.46</v>
      </c>
      <c r="BF31" s="50" t="n">
        <f aca="false">ROUNDUP(CK31+MAX(CL31,2*(J31/IF(CG31&gt;0,CG31,MAX(0.1,N(Cockpit!$O$6)))-CK31)),0)</f>
        <v>9</v>
      </c>
      <c r="BG31" s="51" t="n">
        <f aca="false">IF(BC31&gt;0,J31/BC31,-1)</f>
        <v>0.125991102323282</v>
      </c>
      <c r="BH31" s="51" t="n">
        <f aca="false">IF(AND(OR(CF31="L1",CF31="L23",CF31="LIFT"),BC31&gt;0),SUMIFS($BC$7:$BC$1843,$CF$7:$CF$1843,CF31,$BG$7:$BG$1843,"&gt;"&amp;BG31)+SUMIFS($BC$7:$BC$1843,$CF$7:$CF$1843,CF31,$BG$7:$BG$1843,BG31,$BW$7:$BW$1843,"&lt;="&amp;BW31),"")</f>
        <v>15506.4979227458</v>
      </c>
      <c r="BI31" s="58" t="n">
        <f aca="false">IF(BH31="",0,MAX(0,MIN(1,(IF(CF31="L1",Parameter!$H$5,IF(CF31="L23",Parameter!$H$6+Parameter!$H$7,Parameter!$H$5+Parameter!$H$6+Parameter!$H$7))-(BH31-BC31))/BC31)))</f>
        <v>1</v>
      </c>
      <c r="BJ31" s="48" t="str">
        <f aca="false">IF(AI31&lt;=0,"",IF(CF31="Aussen","Aussenlager",IF(CF31="-","Nicht im Lift",IF(AO31&gt;=1,"Lift",IF(AO31&lt;=0,"Aussenlager","teilweise")))))</f>
        <v>Lift</v>
      </c>
      <c r="BK31" s="48" t="str">
        <f aca="false">IF(AS31&lt;=0,"",IF(CF31="Aussen","Aussenlager",IF(CF31="-","Nicht im Lift",IF(AY31&gt;=1,"Lift",IF(AY31&lt;=0,"Aussenlager","teilweise")))))</f>
        <v>Lift</v>
      </c>
      <c r="BL31" s="48" t="str">
        <f aca="false">IF(BC31&lt;=0,"",IF(CF31="Aussen","Aussenlager",IF(CF31="-","Nicht im Lift",IF(BI31&gt;=1,"Lift",IF(BI31&lt;=0,"Aussenlager","teilweise")))))</f>
        <v>Lift</v>
      </c>
      <c r="BM31" s="48" t="str">
        <f aca="false">IF(A31="","",IF(BV31=1,"Neu; ","")&amp;IF(AND(BV31=0,BQ31&lt;0),"negativer Bestand (Export "&amp;BQ31&amp;"); ","")&amp;IF(J31&lt;=0,"Kein Verbrauch; ","")&amp;IF(CQ31&gt;0,"Lift "&amp;W31&amp;" lt. Liftbericht (Fach "&amp;X31&amp;" Stk); ",IF(CA31=1,"Gebinde geschätzt ("&amp;T31&amp;"); ",IF(BZ31=1,"Lose – Tablare geschätzt; ","")))&amp;IF(H31&gt;AV31,"Überbestand "&amp;ROUND(H31-AV31,0)&amp;" Stk / CHF "&amp;ROUND((H31-AV31)*G31,0)&amp;"; ","")&amp;IF(AND(CH31=1,CI31&lt;CJ31),"MAX &lt; MB+LG; ","")&amp;IF(AND(CP31&gt;0,CO31*10&gt;CP31),"zu hoch für Tablar; ","")&amp;IF(AND(BV31=0,OR(CH31=1,AA31&lt;&gt;"",U31&lt;&gt;"",V31&lt;&gt;"",AB31&lt;&gt;"")),"manuell übersteuert; ","")&amp;IF(AND(BZ31=0,R31=0),"Gebinde unbekannt / Stellmass fehlt; ","")&amp;IF(AND(BZ31=0,N(V31)&lt;=0,N(Q31)&lt;=0),"Menge pro Gebinde fehlt (Ist = 1 Gebinde); ","")&amp;BU31)</f>
        <v>Lift 1 lt. Liftbericht (Fach 10 Stk); </v>
      </c>
      <c r="BN31" s="48" t="s">
        <v>251</v>
      </c>
      <c r="BO31" s="48" t="s">
        <v>252</v>
      </c>
      <c r="BP31" s="55"/>
      <c r="BQ31" s="50" t="n">
        <v>3</v>
      </c>
      <c r="BR31" s="50" t="n">
        <v>7</v>
      </c>
      <c r="BS31" s="49" t="n">
        <v>12035.71</v>
      </c>
      <c r="BT31" s="50" t="n">
        <v>24</v>
      </c>
      <c r="BU31" s="48"/>
      <c r="BV31" s="53" t="n">
        <v>0</v>
      </c>
      <c r="BW31" s="53" t="n">
        <v>31</v>
      </c>
      <c r="BX31" s="48" t="str">
        <f aca="false">IF(U31&lt;&gt;"",UPPER(TRIM(U31)),IF(CA31=1,UPPER(VLOOKUP(T31,Parameter!$I$27:$K$29,2,0)),IF(P31="","LOSE",P31)))</f>
        <v>LOSE</v>
      </c>
      <c r="BY31" s="50" t="n">
        <f aca="false">IF(BX31="LOSE",1,IF(N(V31)&gt;0,V31,IF(CA31=1,MAX(1,N(VLOOKUP(T31,Parameter!$I$27:$K$29,3,0)),H31,N(N31)),IF(N(Q31)&gt;0,Q31,MAX(1,H31)))))</f>
        <v>1</v>
      </c>
      <c r="BZ31" s="53" t="n">
        <f aca="false">IF(BX31="LOSE",1,0)</f>
        <v>1</v>
      </c>
      <c r="CA31" s="53" t="n">
        <f aca="false">IF(AND(U31="",OR(P31="",P31="LOSE"),T31&lt;&gt;"",N(S31)&lt;=0,ISNUMBER(MATCH(T31,Parameter!$I$27:$I$29,0))),1,0)</f>
        <v>0</v>
      </c>
      <c r="CB31" s="53" t="n">
        <f aca="false">IF(CQ31&gt;0,INDEX(Parameter!$H$5:$H$7,W31)/INDEX(Parameter!$E$5:$E$7,W31),IF(AND(BZ31=0,N(IFERROR(VLOOKUP(BX31,'Gebinde-Kategorie'!$A$5:$N$45,14,0),0))&gt;0),VLOOKUP(BX31,'Gebinde-Kategorie'!$A$5:$N$45,14,0)*10+Parameter!$M$23,Parameter!$M$24))</f>
        <v>238</v>
      </c>
      <c r="CC31" s="48" t="n">
        <f aca="false">IF(AND(Parameter!$B$19="Ja",E31&lt;&gt;"",ISNUMBER(MATCH(E31,Parameter!$I$35:$I$52,0))),VLOOKUP(E31,Parameter!$I$35:$J$52,2,0),IFERROR(VLOOKUP(D31,Parameter!$A$35:$C$64,2,0),"Nein"))</f>
        <v>1</v>
      </c>
      <c r="CD31" s="52" t="n">
        <f aca="false">IF(BZ31=0,0,IF(N(S31)&gt;0,S31,IFERROR(VLOOKUP(D31,Parameter!$A$35:$C$64,3,0)+0,0)))</f>
        <v>1</v>
      </c>
      <c r="CE31" s="48" t="n">
        <f aca="false">IF(AA31&lt;&gt;"",AA31,Z31)</f>
        <v>1</v>
      </c>
      <c r="CF31" s="48" t="str">
        <f aca="false">IF(OR(CE31=1,CE31=2,CE31=3),IF(Parameter!$E$27="Ja","LIFT",IF(CE31=1,"L1","L23")),IF(CE31="Aussen","Aussen","-"))</f>
        <v>LIFT</v>
      </c>
      <c r="CG31" s="59" t="n">
        <f aca="false">IF(N(AB31)&gt;0,AB31,0)</f>
        <v>0</v>
      </c>
      <c r="CH31" s="53" t="n">
        <f aca="false">IF(ISNUMBER(AE31),1,0)</f>
        <v>0</v>
      </c>
      <c r="CI31" s="50" t="n">
        <f aca="false">N(AE31)</f>
        <v>0</v>
      </c>
      <c r="CJ31" s="50" t="n">
        <f aca="false">N(M31)+N(N31)</f>
        <v>9</v>
      </c>
      <c r="CK31" s="50" t="n">
        <f aca="false">N(M31)</f>
        <v>3</v>
      </c>
      <c r="CL31" s="50" t="n">
        <f aca="false">N(N31)</f>
        <v>6</v>
      </c>
      <c r="CM31" s="50" t="n">
        <f aca="false">ROUNDUP(H31/BY31,0)</f>
        <v>8</v>
      </c>
      <c r="CN31" s="50" t="n">
        <f aca="false">ROUNDUP(CI31/BY31,0)</f>
        <v>0</v>
      </c>
      <c r="CO31" s="53" t="n">
        <f aca="false">IF(BZ31=1,0,IFERROR(VLOOKUP(BX31,'Gebinde-Kategorie'!$A$5:$N$45,5,0)+0,0))</f>
        <v>0</v>
      </c>
      <c r="CP31" s="53" t="n">
        <f aca="false">IFERROR(IF(OR(CE31=1,CE31=2,CE31=3),N(INDEX(Parameter!$I$5:$I$7,CE31)),0),0)</f>
        <v>0</v>
      </c>
      <c r="CQ31" s="52" t="n">
        <f aca="false">IF(AND(Parameter!$B$21="Ja",ISNUMBER(W31),N(X31)&gt;0),IFERROR(N(INDEX(Parameter!$L$5:$L$7,W31))*INDEX(Parameter!$E$5:$E$7,W31)*X31/SUMIFS($X$7:$X$1843,$W$7:$W$1843,W31),0),0)</f>
        <v>0.800376647834275</v>
      </c>
    </row>
    <row r="32" customFormat="false" ht="15" hidden="false" customHeight="false" outlineLevel="0" collapsed="false">
      <c r="A32" s="48" t="s">
        <v>253</v>
      </c>
      <c r="B32" s="48" t="s">
        <v>254</v>
      </c>
      <c r="C32" s="48" t="s">
        <v>173</v>
      </c>
      <c r="D32" s="48" t="s">
        <v>182</v>
      </c>
      <c r="E32" s="48"/>
      <c r="F32" s="48" t="s">
        <v>227</v>
      </c>
      <c r="G32" s="49" t="n">
        <v>2801</v>
      </c>
      <c r="H32" s="50" t="n">
        <f aca="false">MAX(0,IF(AND(Parameter!$B$21="Ja",ISNUMBER(Y32)),Y32,IF(Parameter!$B$20="Jahresanfang 2025 + Export",BR32+BQ32,BQ32)))</f>
        <v>4</v>
      </c>
      <c r="I32" s="50" t="n">
        <f aca="false">H32*G32</f>
        <v>11204</v>
      </c>
      <c r="J32" s="50" t="n">
        <f aca="false">BT32*Parameter!$B$18</f>
        <v>0</v>
      </c>
      <c r="K32" s="51" t="n">
        <v>0.5</v>
      </c>
      <c r="L32" s="52" t="n">
        <v>0</v>
      </c>
      <c r="M32" s="50" t="n">
        <v>0</v>
      </c>
      <c r="N32" s="50" t="n">
        <v>1</v>
      </c>
      <c r="O32" s="53" t="n">
        <v>56</v>
      </c>
      <c r="P32" s="48" t="s">
        <v>177</v>
      </c>
      <c r="Q32" s="50"/>
      <c r="R32" s="53" t="n">
        <f aca="false">IF(BZ32=1,0,IFERROR(VLOOKUP(BX32,'Gebinde-Kategorie'!$A$5:$N$45,13,0)+0,0))</f>
        <v>12</v>
      </c>
      <c r="S32" s="54"/>
      <c r="T32" s="55" t="s">
        <v>188</v>
      </c>
      <c r="U32" s="55"/>
      <c r="V32" s="55"/>
      <c r="W32" s="48"/>
      <c r="X32" s="50"/>
      <c r="Y32" s="50"/>
      <c r="Z32" s="48" t="n">
        <f aca="false">IF(A32="","",IF(AND(Parameter!$B$21="Ja",ISNUMBER(W32)),W32,IF(CC32="2+3",IF(ISNUMBER(SEARCH("grosser Artikel",BU32)),2,IFERROR(VLOOKUP(BX32,Parameter!$F$35:$G$64,2,0),2)),IF(OR(CC32="Nein",CC32=""),"-",CC32))))</f>
        <v>2</v>
      </c>
      <c r="AA32" s="55"/>
      <c r="AB32" s="56"/>
      <c r="AC32" s="50" t="n">
        <f aca="false">AV32</f>
        <v>1</v>
      </c>
      <c r="AD32" s="50" t="n">
        <f aca="false">MAX(AV32,H32)</f>
        <v>4</v>
      </c>
      <c r="AE32" s="57"/>
      <c r="AF32" s="50" t="n">
        <f aca="false">IF(LEFT(Cockpit!$C$5,1)="A",H32,IF(Parameter!$E$30="MAX-Bestand",IF(CH32=1,CI32,IF(LEFT(Cockpit!$C$5,1)="B",AL32,MAX(AL32,H32))),ROUNDUP(AJ32,0)))</f>
        <v>4</v>
      </c>
      <c r="AG32" s="50" t="n">
        <f aca="false">IF(BZ32=1,0,ROUNDUP(AF32/BY32,0))</f>
        <v>1</v>
      </c>
      <c r="AH32" s="52" t="n">
        <f aca="false">IF(CQ32&gt;0,CQ32*MAX(1,AF32/X32),IF(BZ32=1,IF(AF32&lt;=0,0,CD32*MAX(1,IF(H32&gt;0,AF32/H32,1))),IF(R32&gt;0,AG32/R32,0))/MAX(0.1,N(Parameter!$M$21)))</f>
        <v>0.0833333333333333</v>
      </c>
      <c r="AI32" s="50" t="n">
        <f aca="false">AH32*CB32</f>
        <v>12.0833333333333</v>
      </c>
      <c r="AJ32" s="51" t="n">
        <f aca="false">IF(LEFT(Cockpit!$C$5,1)="A",H32,IF(CH32=1,(CK32+CI32)/2,IF(LEFT(Cockpit!$C$5,1)="B",(CK32+AL32)/2,MAX((CK32+AL32)/2,H32))))</f>
        <v>4</v>
      </c>
      <c r="AK32" s="50" t="n">
        <f aca="false">AJ32*G32</f>
        <v>11204</v>
      </c>
      <c r="AL32" s="50" t="n">
        <f aca="false">ROUNDUP(CK32+MAX(CL32,2*(J32/IF(CG32&gt;0,CG32,MAX(0.1,N(Cockpit!$C$6)))-CK32)),0)</f>
        <v>1</v>
      </c>
      <c r="AM32" s="51" t="n">
        <f aca="false">IF(AI32&gt;0,J32/AI32,-1)</f>
        <v>0</v>
      </c>
      <c r="AN32" s="51" t="n">
        <f aca="false">IF(AND(OR(CF32="L1",CF32="L23",CF32="LIFT"),AI32&gt;0),SUMIFS($AI$7:$AI$1843,$CF$7:$CF$1843,CF32,$AM$7:$AM$1843,"&gt;"&amp;AM32)+SUMIFS($AI$7:$AI$1843,$CF$7:$CF$1843,CF32,$AM$7:$AM$1843,AM32,$BW$7:$BW$1843,"&lt;="&amp;BW32),"")</f>
        <v>25676.1052415099</v>
      </c>
      <c r="AO32" s="58" t="n">
        <f aca="false">IF(AN32="",0,MAX(0,MIN(1,(IF(CF32="L1",Parameter!$H$5,IF(CF32="L23",Parameter!$H$6+Parameter!$H$7,Parameter!$H$5+Parameter!$H$6+Parameter!$H$7))-(AN32-AI32))/AI32)))</f>
        <v>1</v>
      </c>
      <c r="AP32" s="50" t="n">
        <f aca="false">IF(LEFT(Cockpit!$I$5,1)="A",H32,IF(Parameter!$E$30="MAX-Bestand",IF(CH32=1,CI32,IF(LEFT(Cockpit!$I$5,1)="B",AV32,MAX(AV32,H32))),ROUNDUP(AT32,0)))</f>
        <v>4</v>
      </c>
      <c r="AQ32" s="50" t="n">
        <f aca="false">IF(BZ32=1,0,ROUNDUP(AP32/BY32,0))</f>
        <v>1</v>
      </c>
      <c r="AR32" s="52" t="n">
        <f aca="false">IF(CQ32&gt;0,CQ32*MAX(1,AP32/X32),IF(BZ32=1,IF(AP32&lt;=0,0,CD32*MAX(1,IF(H32&gt;0,AP32/H32,1))),IF(R32&gt;0,AQ32/R32,0))/MAX(0.1,N(Parameter!$M$21)))</f>
        <v>0.0833333333333333</v>
      </c>
      <c r="AS32" s="50" t="n">
        <f aca="false">AR32*CB32</f>
        <v>12.0833333333333</v>
      </c>
      <c r="AT32" s="51" t="n">
        <f aca="false">IF(LEFT(Cockpit!$I$5,1)="A",H32,IF(CH32=1,(CK32+CI32)/2,IF(LEFT(Cockpit!$I$5,1)="B",(CK32+AV32)/2,MAX((CK32+AV32)/2,H32))))</f>
        <v>4</v>
      </c>
      <c r="AU32" s="50" t="n">
        <f aca="false">AT32*G32</f>
        <v>11204</v>
      </c>
      <c r="AV32" s="50" t="n">
        <f aca="false">ROUNDUP(CK32+MAX(CL32,2*(J32/IF(CG32&gt;0,CG32,MAX(0.1,N(Cockpit!$I$6)))-CK32)),0)</f>
        <v>1</v>
      </c>
      <c r="AW32" s="51" t="n">
        <f aca="false">IF(AS32&gt;0,J32/AS32,-1)</f>
        <v>0</v>
      </c>
      <c r="AX32" s="51" t="n">
        <f aca="false">IF(AND(OR(CF32="L1",CF32="L23",CF32="LIFT"),AS32&gt;0),SUMIFS($AS$7:$AS$1843,$CF$7:$CF$1843,CF32,$AW$7:$AW$1843,"&gt;"&amp;AW32)+SUMIFS($AS$7:$AS$1843,$CF$7:$CF$1843,CF32,$AW$7:$AW$1843,AW32,$BW$7:$BW$1843,"&lt;="&amp;BW32),"")</f>
        <v>31029.2538828874</v>
      </c>
      <c r="AY32" s="58" t="n">
        <f aca="false">IF(AX32="",0,MAX(0,MIN(1,(IF(CF32="L1",Parameter!$H$5,IF(CF32="L23",Parameter!$H$6+Parameter!$H$7,Parameter!$H$5+Parameter!$H$6+Parameter!$H$7))-(AX32-AS32))/AS32)))</f>
        <v>1</v>
      </c>
      <c r="AZ32" s="50" t="n">
        <f aca="false">IF(LEFT(Cockpit!$O$5,1)="A",H32,IF(Parameter!$E$30="MAX-Bestand",IF(CH32=1,CI32,IF(LEFT(Cockpit!$O$5,1)="B",BF32,MAX(BF32,H32))),ROUNDUP(BD32,0)))</f>
        <v>1</v>
      </c>
      <c r="BA32" s="50" t="n">
        <f aca="false">IF(BZ32=1,0,ROUNDUP(AZ32/BY32,0))</f>
        <v>1</v>
      </c>
      <c r="BB32" s="52" t="n">
        <f aca="false">IF(CQ32&gt;0,CQ32*MAX(1,AZ32/X32),IF(BZ32=1,IF(AZ32&lt;=0,0,CD32*MAX(1,IF(H32&gt;0,AZ32/H32,1))),IF(R32&gt;0,BA32/R32,0))/MAX(0.1,N(Parameter!$M$21)))</f>
        <v>0.0833333333333333</v>
      </c>
      <c r="BC32" s="50" t="n">
        <f aca="false">BB32*CB32</f>
        <v>12.0833333333333</v>
      </c>
      <c r="BD32" s="51" t="n">
        <f aca="false">IF(LEFT(Cockpit!$O$5,1)="A",H32,IF(CH32=1,(CK32+CI32)/2,IF(LEFT(Cockpit!$O$5,1)="B",(CK32+BF32)/2,MAX((CK32+BF32)/2,H32))))</f>
        <v>0.5</v>
      </c>
      <c r="BE32" s="50" t="n">
        <f aca="false">BD32*G32</f>
        <v>1400.5</v>
      </c>
      <c r="BF32" s="50" t="n">
        <f aca="false">ROUNDUP(CK32+MAX(CL32,2*(J32/IF(CG32&gt;0,CG32,MAX(0.1,N(Cockpit!$O$6)))-CK32)),0)</f>
        <v>1</v>
      </c>
      <c r="BG32" s="51" t="n">
        <f aca="false">IF(BC32&gt;0,J32/BC32,-1)</f>
        <v>0</v>
      </c>
      <c r="BH32" s="51" t="n">
        <f aca="false">IF(AND(OR(CF32="L1",CF32="L23",CF32="LIFT"),BC32&gt;0),SUMIFS($BC$7:$BC$1843,$CF$7:$CF$1843,CF32,$BG$7:$BG$1843,"&gt;"&amp;BG32)+SUMIFS($BC$7:$BC$1843,$CF$7:$CF$1843,CF32,$BG$7:$BG$1843,BG32,$BW$7:$BW$1843,"&lt;="&amp;BW32),"")</f>
        <v>25284.5857261853</v>
      </c>
      <c r="BI32" s="58" t="n">
        <f aca="false">IF(BH32="",0,MAX(0,MIN(1,(IF(CF32="L1",Parameter!$H$5,IF(CF32="L23",Parameter!$H$6+Parameter!$H$7,Parameter!$H$5+Parameter!$H$6+Parameter!$H$7))-(BH32-BC32))/BC32)))</f>
        <v>1</v>
      </c>
      <c r="BJ32" s="48" t="str">
        <f aca="false">IF(AI32&lt;=0,"",IF(CF32="Aussen","Aussenlager",IF(CF32="-","Nicht im Lift",IF(AO32&gt;=1,"Lift",IF(AO32&lt;=0,"Aussenlager","teilweise")))))</f>
        <v>Lift</v>
      </c>
      <c r="BK32" s="48" t="str">
        <f aca="false">IF(AS32&lt;=0,"",IF(CF32="Aussen","Aussenlager",IF(CF32="-","Nicht im Lift",IF(AY32&gt;=1,"Lift",IF(AY32&lt;=0,"Aussenlager","teilweise")))))</f>
        <v>Lift</v>
      </c>
      <c r="BL32" s="48" t="str">
        <f aca="false">IF(BC32&lt;=0,"",IF(CF32="Aussen","Aussenlager",IF(CF32="-","Nicht im Lift",IF(BI32&gt;=1,"Lift",IF(BI32&lt;=0,"Aussenlager","teilweise")))))</f>
        <v>Lift</v>
      </c>
      <c r="BM32" s="48" t="str">
        <f aca="false">IF(A32="","",IF(BV32=1,"Neu; ","")&amp;IF(AND(BV32=0,BQ32&lt;0),"negativer Bestand (Export "&amp;BQ32&amp;"); ","")&amp;IF(J32&lt;=0,"Kein Verbrauch; ","")&amp;IF(CQ32&gt;0,"Lift "&amp;W32&amp;" lt. Liftbericht (Fach "&amp;X32&amp;" Stk); ",IF(CA32=1,"Gebinde geschätzt ("&amp;T32&amp;"); ",IF(BZ32=1,"Lose – Tablare geschätzt; ","")))&amp;IF(H32&gt;AV32,"Überbestand "&amp;ROUND(H32-AV32,0)&amp;" Stk / CHF "&amp;ROUND((H32-AV32)*G32,0)&amp;"; ","")&amp;IF(AND(CH32=1,CI32&lt;CJ32),"MAX &lt; MB+LG; ","")&amp;IF(AND(CP32&gt;0,CO32*10&gt;CP32),"zu hoch für Tablar; ","")&amp;IF(AND(BV32=0,OR(CH32=1,AA32&lt;&gt;"",U32&lt;&gt;"",V32&lt;&gt;"",AB32&lt;&gt;"")),"manuell übersteuert; ","")&amp;IF(AND(BZ32=0,R32=0),"Gebinde unbekannt / Stellmass fehlt; ","")&amp;IF(AND(BZ32=0,N(V32)&lt;=0,N(Q32)&lt;=0),"Menge pro Gebinde fehlt (Ist = 1 Gebinde); ","")&amp;BU32)</f>
        <v>Kein Verbrauch; Gebinde geschätzt (Mittel); Überbestand 3 Stk / CHF 8403; Menge pro Gebinde fehlt (Ist = 1 Gebinde); </v>
      </c>
      <c r="BN32" s="48" t="s">
        <v>255</v>
      </c>
      <c r="BO32" s="48" t="s">
        <v>256</v>
      </c>
      <c r="BP32" s="55"/>
      <c r="BQ32" s="50" t="n">
        <v>4</v>
      </c>
      <c r="BR32" s="50" t="n">
        <v>0</v>
      </c>
      <c r="BS32" s="49" t="n">
        <v>11204</v>
      </c>
      <c r="BT32" s="50" t="n">
        <v>0</v>
      </c>
      <c r="BU32" s="48"/>
      <c r="BV32" s="53" t="n">
        <v>0</v>
      </c>
      <c r="BW32" s="53" t="n">
        <v>32</v>
      </c>
      <c r="BX32" s="48" t="str">
        <f aca="false">IF(U32&lt;&gt;"",UPPER(TRIM(U32)),IF(CA32=1,UPPER(VLOOKUP(T32,Parameter!$I$27:$K$29,2,0)),IF(P32="","LOSE",P32)))</f>
        <v>S61</v>
      </c>
      <c r="BY32" s="50" t="n">
        <f aca="false">IF(BX32="LOSE",1,IF(N(V32)&gt;0,V32,IF(CA32=1,MAX(1,N(VLOOKUP(T32,Parameter!$I$27:$K$29,3,0)),H32,N(N32)),IF(N(Q32)&gt;0,Q32,MAX(1,H32)))))</f>
        <v>4</v>
      </c>
      <c r="BZ32" s="53" t="n">
        <f aca="false">IF(BX32="LOSE",1,0)</f>
        <v>0</v>
      </c>
      <c r="CA32" s="53" t="n">
        <f aca="false">IF(AND(U32="",OR(P32="",P32="LOSE"),T32&lt;&gt;"",N(S32)&lt;=0,ISNUMBER(MATCH(T32,Parameter!$I$27:$I$29,0))),1,0)</f>
        <v>1</v>
      </c>
      <c r="CB32" s="53" t="n">
        <f aca="false">IF(CQ32&gt;0,INDEX(Parameter!$H$5:$H$7,W32)/INDEX(Parameter!$E$5:$E$7,W32),IF(AND(BZ32=0,N(IFERROR(VLOOKUP(BX32,'Gebinde-Kategorie'!$A$5:$N$45,14,0),0))&gt;0),VLOOKUP(BX32,'Gebinde-Kategorie'!$A$5:$N$45,14,0)*10+Parameter!$M$23,Parameter!$M$24))</f>
        <v>145</v>
      </c>
      <c r="CC32" s="48" t="str">
        <f aca="false">IF(AND(Parameter!$B$19="Ja",E32&lt;&gt;"",ISNUMBER(MATCH(E32,Parameter!$I$35:$I$52,0))),VLOOKUP(E32,Parameter!$I$35:$J$52,2,0),IFERROR(VLOOKUP(D32,Parameter!$A$35:$C$64,2,0),"Nein"))</f>
        <v>2+3</v>
      </c>
      <c r="CD32" s="52" t="n">
        <f aca="false">IF(BZ32=0,0,IF(N(S32)&gt;0,S32,IFERROR(VLOOKUP(D32,Parameter!$A$35:$C$64,3,0)+0,0)))</f>
        <v>0</v>
      </c>
      <c r="CE32" s="48" t="n">
        <f aca="false">IF(AA32&lt;&gt;"",AA32,Z32)</f>
        <v>2</v>
      </c>
      <c r="CF32" s="48" t="str">
        <f aca="false">IF(OR(CE32=1,CE32=2,CE32=3),IF(Parameter!$E$27="Ja","LIFT",IF(CE32=1,"L1","L23")),IF(CE32="Aussen","Aussen","-"))</f>
        <v>LIFT</v>
      </c>
      <c r="CG32" s="59" t="n">
        <f aca="false">IF(N(AB32)&gt;0,AB32,0)</f>
        <v>0</v>
      </c>
      <c r="CH32" s="53" t="n">
        <f aca="false">IF(ISNUMBER(AE32),1,0)</f>
        <v>0</v>
      </c>
      <c r="CI32" s="50" t="n">
        <f aca="false">N(AE32)</f>
        <v>0</v>
      </c>
      <c r="CJ32" s="50" t="n">
        <f aca="false">N(M32)+N(N32)</f>
        <v>1</v>
      </c>
      <c r="CK32" s="50" t="n">
        <f aca="false">N(M32)</f>
        <v>0</v>
      </c>
      <c r="CL32" s="50" t="n">
        <f aca="false">N(N32)</f>
        <v>1</v>
      </c>
      <c r="CM32" s="50" t="n">
        <f aca="false">ROUNDUP(H32/BY32,0)</f>
        <v>1</v>
      </c>
      <c r="CN32" s="50" t="n">
        <f aca="false">ROUNDUP(CI32/BY32,0)</f>
        <v>0</v>
      </c>
      <c r="CO32" s="53" t="n">
        <f aca="false">IF(BZ32=1,0,IFERROR(VLOOKUP(BX32,'Gebinde-Kategorie'!$A$5:$N$45,5,0)+0,0))</f>
        <v>11</v>
      </c>
      <c r="CP32" s="53" t="n">
        <f aca="false">IFERROR(IF(OR(CE32=1,CE32=2,CE32=3),N(INDEX(Parameter!$I$5:$I$7,CE32)),0),0)</f>
        <v>0</v>
      </c>
      <c r="CQ32" s="52" t="n">
        <f aca="false">IF(AND(Parameter!$B$21="Ja",ISNUMBER(W32),N(X32)&gt;0),IFERROR(N(INDEX(Parameter!$L$5:$L$7,W32))*INDEX(Parameter!$E$5:$E$7,W32)*X32/SUMIFS($X$7:$X$1843,$W$7:$W$1843,W32),0),0)</f>
        <v>0</v>
      </c>
    </row>
    <row r="33" customFormat="false" ht="15" hidden="false" customHeight="false" outlineLevel="0" collapsed="false">
      <c r="A33" s="48" t="s">
        <v>257</v>
      </c>
      <c r="B33" s="48" t="s">
        <v>258</v>
      </c>
      <c r="C33" s="48" t="s">
        <v>173</v>
      </c>
      <c r="D33" s="48" t="s">
        <v>182</v>
      </c>
      <c r="E33" s="48"/>
      <c r="F33" s="48" t="s">
        <v>227</v>
      </c>
      <c r="G33" s="49" t="n">
        <v>256.88</v>
      </c>
      <c r="H33" s="50" t="n">
        <f aca="false">MAX(0,IF(AND(Parameter!$B$21="Ja",ISNUMBER(Y33)),Y33,IF(Parameter!$B$20="Jahresanfang 2025 + Export",BR33+BQ33,BQ33)))</f>
        <v>43</v>
      </c>
      <c r="I33" s="50" t="n">
        <f aca="false">H33*G33</f>
        <v>11045.84</v>
      </c>
      <c r="J33" s="50" t="n">
        <f aca="false">BT33*Parameter!$B$18</f>
        <v>0</v>
      </c>
      <c r="K33" s="51" t="n">
        <v>0</v>
      </c>
      <c r="L33" s="52" t="n">
        <v>0</v>
      </c>
      <c r="M33" s="50" t="n">
        <v>12</v>
      </c>
      <c r="N33" s="50" t="n">
        <v>48</v>
      </c>
      <c r="O33" s="53" t="n">
        <v>28</v>
      </c>
      <c r="P33" s="48" t="s">
        <v>177</v>
      </c>
      <c r="Q33" s="50"/>
      <c r="R33" s="53" t="n">
        <f aca="false">IF(BZ33=1,0,IFERROR(VLOOKUP(BX33,'Gebinde-Kategorie'!$A$5:$N$45,13,0)+0,0))</f>
        <v>12</v>
      </c>
      <c r="S33" s="54"/>
      <c r="T33" s="55" t="s">
        <v>188</v>
      </c>
      <c r="U33" s="55"/>
      <c r="V33" s="55"/>
      <c r="W33" s="48"/>
      <c r="X33" s="50"/>
      <c r="Y33" s="50"/>
      <c r="Z33" s="48" t="n">
        <f aca="false">IF(A33="","",IF(AND(Parameter!$B$21="Ja",ISNUMBER(W33)),W33,IF(CC33="2+3",IF(ISNUMBER(SEARCH("grosser Artikel",BU33)),2,IFERROR(VLOOKUP(BX33,Parameter!$F$35:$G$64,2,0),2)),IF(OR(CC33="Nein",CC33=""),"-",CC33))))</f>
        <v>2</v>
      </c>
      <c r="AA33" s="55"/>
      <c r="AB33" s="56"/>
      <c r="AC33" s="50" t="n">
        <f aca="false">AV33</f>
        <v>60</v>
      </c>
      <c r="AD33" s="50" t="n">
        <f aca="false">MAX(AV33,H33)</f>
        <v>60</v>
      </c>
      <c r="AE33" s="57"/>
      <c r="AF33" s="50" t="n">
        <f aca="false">IF(LEFT(Cockpit!$C$5,1)="A",H33,IF(Parameter!$E$30="MAX-Bestand",IF(CH33=1,CI33,IF(LEFT(Cockpit!$C$5,1)="B",AL33,MAX(AL33,H33))),ROUNDUP(AJ33,0)))</f>
        <v>43</v>
      </c>
      <c r="AG33" s="50" t="n">
        <f aca="false">IF(BZ33=1,0,ROUNDUP(AF33/BY33,0))</f>
        <v>1</v>
      </c>
      <c r="AH33" s="52" t="n">
        <f aca="false">IF(CQ33&gt;0,CQ33*MAX(1,AF33/X33),IF(BZ33=1,IF(AF33&lt;=0,0,CD33*MAX(1,IF(H33&gt;0,AF33/H33,1))),IF(R33&gt;0,AG33/R33,0))/MAX(0.1,N(Parameter!$M$21)))</f>
        <v>0.0833333333333333</v>
      </c>
      <c r="AI33" s="50" t="n">
        <f aca="false">AH33*CB33</f>
        <v>12.0833333333333</v>
      </c>
      <c r="AJ33" s="51" t="n">
        <f aca="false">IF(LEFT(Cockpit!$C$5,1)="A",H33,IF(CH33=1,(CK33+CI33)/2,IF(LEFT(Cockpit!$C$5,1)="B",(CK33+AL33)/2,MAX((CK33+AL33)/2,H33))))</f>
        <v>43</v>
      </c>
      <c r="AK33" s="50" t="n">
        <f aca="false">AJ33*G33</f>
        <v>11045.84</v>
      </c>
      <c r="AL33" s="50" t="n">
        <f aca="false">ROUNDUP(CK33+MAX(CL33,2*(J33/IF(CG33&gt;0,CG33,MAX(0.1,N(Cockpit!$C$6)))-CK33)),0)</f>
        <v>60</v>
      </c>
      <c r="AM33" s="51" t="n">
        <f aca="false">IF(AI33&gt;0,J33/AI33,-1)</f>
        <v>0</v>
      </c>
      <c r="AN33" s="51" t="n">
        <f aca="false">IF(AND(OR(CF33="L1",CF33="L23",CF33="LIFT"),AI33&gt;0),SUMIFS($AI$7:$AI$1843,$CF$7:$CF$1843,CF33,$AM$7:$AM$1843,"&gt;"&amp;AM33)+SUMIFS($AI$7:$AI$1843,$CF$7:$CF$1843,CF33,$AM$7:$AM$1843,AM33,$BW$7:$BW$1843,"&lt;="&amp;BW33),"")</f>
        <v>25688.1885748432</v>
      </c>
      <c r="AO33" s="58" t="n">
        <f aca="false">IF(AN33="",0,MAX(0,MIN(1,(IF(CF33="L1",Parameter!$H$5,IF(CF33="L23",Parameter!$H$6+Parameter!$H$7,Parameter!$H$5+Parameter!$H$6+Parameter!$H$7))-(AN33-AI33))/AI33)))</f>
        <v>1</v>
      </c>
      <c r="AP33" s="50" t="n">
        <f aca="false">IF(LEFT(Cockpit!$I$5,1)="A",H33,IF(Parameter!$E$30="MAX-Bestand",IF(CH33=1,CI33,IF(LEFT(Cockpit!$I$5,1)="B",AV33,MAX(AV33,H33))),ROUNDUP(AT33,0)))</f>
        <v>43</v>
      </c>
      <c r="AQ33" s="50" t="n">
        <f aca="false">IF(BZ33=1,0,ROUNDUP(AP33/BY33,0))</f>
        <v>1</v>
      </c>
      <c r="AR33" s="52" t="n">
        <f aca="false">IF(CQ33&gt;0,CQ33*MAX(1,AP33/X33),IF(BZ33=1,IF(AP33&lt;=0,0,CD33*MAX(1,IF(H33&gt;0,AP33/H33,1))),IF(R33&gt;0,AQ33/R33,0))/MAX(0.1,N(Parameter!$M$21)))</f>
        <v>0.0833333333333333</v>
      </c>
      <c r="AS33" s="50" t="n">
        <f aca="false">AR33*CB33</f>
        <v>12.0833333333333</v>
      </c>
      <c r="AT33" s="51" t="n">
        <f aca="false">IF(LEFT(Cockpit!$I$5,1)="A",H33,IF(CH33=1,(CK33+CI33)/2,IF(LEFT(Cockpit!$I$5,1)="B",(CK33+AV33)/2,MAX((CK33+AV33)/2,H33))))</f>
        <v>43</v>
      </c>
      <c r="AU33" s="50" t="n">
        <f aca="false">AT33*G33</f>
        <v>11045.84</v>
      </c>
      <c r="AV33" s="50" t="n">
        <f aca="false">ROUNDUP(CK33+MAX(CL33,2*(J33/IF(CG33&gt;0,CG33,MAX(0.1,N(Cockpit!$I$6)))-CK33)),0)</f>
        <v>60</v>
      </c>
      <c r="AW33" s="51" t="n">
        <f aca="false">IF(AS33&gt;0,J33/AS33,-1)</f>
        <v>0</v>
      </c>
      <c r="AX33" s="51" t="n">
        <f aca="false">IF(AND(OR(CF33="L1",CF33="L23",CF33="LIFT"),AS33&gt;0),SUMIFS($AS$7:$AS$1843,$CF$7:$CF$1843,CF33,$AW$7:$AW$1843,"&gt;"&amp;AW33)+SUMIFS($AS$7:$AS$1843,$CF$7:$CF$1843,CF33,$AW$7:$AW$1843,AW33,$BW$7:$BW$1843,"&lt;="&amp;BW33),"")</f>
        <v>31041.3372162207</v>
      </c>
      <c r="AY33" s="58" t="n">
        <f aca="false">IF(AX33="",0,MAX(0,MIN(1,(IF(CF33="L1",Parameter!$H$5,IF(CF33="L23",Parameter!$H$6+Parameter!$H$7,Parameter!$H$5+Parameter!$H$6+Parameter!$H$7))-(AX33-AS33))/AS33)))</f>
        <v>1</v>
      </c>
      <c r="AZ33" s="50" t="n">
        <f aca="false">IF(LEFT(Cockpit!$O$5,1)="A",H33,IF(Parameter!$E$30="MAX-Bestand",IF(CH33=1,CI33,IF(LEFT(Cockpit!$O$5,1)="B",BF33,MAX(BF33,H33))),ROUNDUP(BD33,0)))</f>
        <v>36</v>
      </c>
      <c r="BA33" s="50" t="n">
        <f aca="false">IF(BZ33=1,0,ROUNDUP(AZ33/BY33,0))</f>
        <v>1</v>
      </c>
      <c r="BB33" s="52" t="n">
        <f aca="false">IF(CQ33&gt;0,CQ33*MAX(1,AZ33/X33),IF(BZ33=1,IF(AZ33&lt;=0,0,CD33*MAX(1,IF(H33&gt;0,AZ33/H33,1))),IF(R33&gt;0,BA33/R33,0))/MAX(0.1,N(Parameter!$M$21)))</f>
        <v>0.0833333333333333</v>
      </c>
      <c r="BC33" s="50" t="n">
        <f aca="false">BB33*CB33</f>
        <v>12.0833333333333</v>
      </c>
      <c r="BD33" s="51" t="n">
        <f aca="false">IF(LEFT(Cockpit!$O$5,1)="A",H33,IF(CH33=1,(CK33+CI33)/2,IF(LEFT(Cockpit!$O$5,1)="B",(CK33+BF33)/2,MAX((CK33+BF33)/2,H33))))</f>
        <v>36</v>
      </c>
      <c r="BE33" s="50" t="n">
        <f aca="false">BD33*G33</f>
        <v>9247.68</v>
      </c>
      <c r="BF33" s="50" t="n">
        <f aca="false">ROUNDUP(CK33+MAX(CL33,2*(J33/IF(CG33&gt;0,CG33,MAX(0.1,N(Cockpit!$O$6)))-CK33)),0)</f>
        <v>60</v>
      </c>
      <c r="BG33" s="51" t="n">
        <f aca="false">IF(BC33&gt;0,J33/BC33,-1)</f>
        <v>0</v>
      </c>
      <c r="BH33" s="51" t="n">
        <f aca="false">IF(AND(OR(CF33="L1",CF33="L23",CF33="LIFT"),BC33&gt;0),SUMIFS($BC$7:$BC$1843,$CF$7:$CF$1843,CF33,$BG$7:$BG$1843,"&gt;"&amp;BG33)+SUMIFS($BC$7:$BC$1843,$CF$7:$CF$1843,CF33,$BG$7:$BG$1843,BG33,$BW$7:$BW$1843,"&lt;="&amp;BW33),"")</f>
        <v>25296.6690595186</v>
      </c>
      <c r="BI33" s="58" t="n">
        <f aca="false">IF(BH33="",0,MAX(0,MIN(1,(IF(CF33="L1",Parameter!$H$5,IF(CF33="L23",Parameter!$H$6+Parameter!$H$7,Parameter!$H$5+Parameter!$H$6+Parameter!$H$7))-(BH33-BC33))/BC33)))</f>
        <v>1</v>
      </c>
      <c r="BJ33" s="48" t="str">
        <f aca="false">IF(AI33&lt;=0,"",IF(CF33="Aussen","Aussenlager",IF(CF33="-","Nicht im Lift",IF(AO33&gt;=1,"Lift",IF(AO33&lt;=0,"Aussenlager","teilweise")))))</f>
        <v>Lift</v>
      </c>
      <c r="BK33" s="48" t="str">
        <f aca="false">IF(AS33&lt;=0,"",IF(CF33="Aussen","Aussenlager",IF(CF33="-","Nicht im Lift",IF(AY33&gt;=1,"Lift",IF(AY33&lt;=0,"Aussenlager","teilweise")))))</f>
        <v>Lift</v>
      </c>
      <c r="BL33" s="48" t="str">
        <f aca="false">IF(BC33&lt;=0,"",IF(CF33="Aussen","Aussenlager",IF(CF33="-","Nicht im Lift",IF(BI33&gt;=1,"Lift",IF(BI33&lt;=0,"Aussenlager","teilweise")))))</f>
        <v>Lift</v>
      </c>
      <c r="BM33" s="48" t="str">
        <f aca="false">IF(A33="","",IF(BV33=1,"Neu; ","")&amp;IF(AND(BV33=0,BQ33&lt;0),"negativer Bestand (Export "&amp;BQ33&amp;"); ","")&amp;IF(J33&lt;=0,"Kein Verbrauch; ","")&amp;IF(CQ33&gt;0,"Lift "&amp;W33&amp;" lt. Liftbericht (Fach "&amp;X33&amp;" Stk); ",IF(CA33=1,"Gebinde geschätzt ("&amp;T33&amp;"); ",IF(BZ33=1,"Lose – Tablare geschätzt; ","")))&amp;IF(H33&gt;AV33,"Überbestand "&amp;ROUND(H33-AV33,0)&amp;" Stk / CHF "&amp;ROUND((H33-AV33)*G33,0)&amp;"; ","")&amp;IF(AND(CH33=1,CI33&lt;CJ33),"MAX &lt; MB+LG; ","")&amp;IF(AND(CP33&gt;0,CO33*10&gt;CP33),"zu hoch für Tablar; ","")&amp;IF(AND(BV33=0,OR(CH33=1,AA33&lt;&gt;"",U33&lt;&gt;"",V33&lt;&gt;"",AB33&lt;&gt;"")),"manuell übersteuert; ","")&amp;IF(AND(BZ33=0,R33=0),"Gebinde unbekannt / Stellmass fehlt; ","")&amp;IF(AND(BZ33=0,N(V33)&lt;=0,N(Q33)&lt;=0),"Menge pro Gebinde fehlt (Ist = 1 Gebinde); ","")&amp;BU33)</f>
        <v>Kein Verbrauch; Gebinde geschätzt (Mittel); Menge pro Gebinde fehlt (Ist = 1 Gebinde); </v>
      </c>
      <c r="BN33" s="48" t="s">
        <v>259</v>
      </c>
      <c r="BO33" s="48" t="s">
        <v>256</v>
      </c>
      <c r="BP33" s="55"/>
      <c r="BQ33" s="50" t="n">
        <v>43</v>
      </c>
      <c r="BR33" s="50" t="n">
        <v>0</v>
      </c>
      <c r="BS33" s="49" t="n">
        <v>11045.84</v>
      </c>
      <c r="BT33" s="50" t="n">
        <v>0</v>
      </c>
      <c r="BU33" s="48"/>
      <c r="BV33" s="53" t="n">
        <v>0</v>
      </c>
      <c r="BW33" s="53" t="n">
        <v>33</v>
      </c>
      <c r="BX33" s="48" t="str">
        <f aca="false">IF(U33&lt;&gt;"",UPPER(TRIM(U33)),IF(CA33=1,UPPER(VLOOKUP(T33,Parameter!$I$27:$K$29,2,0)),IF(P33="","LOSE",P33)))</f>
        <v>S61</v>
      </c>
      <c r="BY33" s="50" t="n">
        <f aca="false">IF(BX33="LOSE",1,IF(N(V33)&gt;0,V33,IF(CA33=1,MAX(1,N(VLOOKUP(T33,Parameter!$I$27:$K$29,3,0)),H33,N(N33)),IF(N(Q33)&gt;0,Q33,MAX(1,H33)))))</f>
        <v>48</v>
      </c>
      <c r="BZ33" s="53" t="n">
        <f aca="false">IF(BX33="LOSE",1,0)</f>
        <v>0</v>
      </c>
      <c r="CA33" s="53" t="n">
        <f aca="false">IF(AND(U33="",OR(P33="",P33="LOSE"),T33&lt;&gt;"",N(S33)&lt;=0,ISNUMBER(MATCH(T33,Parameter!$I$27:$I$29,0))),1,0)</f>
        <v>1</v>
      </c>
      <c r="CB33" s="53" t="n">
        <f aca="false">IF(CQ33&gt;0,INDEX(Parameter!$H$5:$H$7,W33)/INDEX(Parameter!$E$5:$E$7,W33),IF(AND(BZ33=0,N(IFERROR(VLOOKUP(BX33,'Gebinde-Kategorie'!$A$5:$N$45,14,0),0))&gt;0),VLOOKUP(BX33,'Gebinde-Kategorie'!$A$5:$N$45,14,0)*10+Parameter!$M$23,Parameter!$M$24))</f>
        <v>145</v>
      </c>
      <c r="CC33" s="48" t="str">
        <f aca="false">IF(AND(Parameter!$B$19="Ja",E33&lt;&gt;"",ISNUMBER(MATCH(E33,Parameter!$I$35:$I$52,0))),VLOOKUP(E33,Parameter!$I$35:$J$52,2,0),IFERROR(VLOOKUP(D33,Parameter!$A$35:$C$64,2,0),"Nein"))</f>
        <v>2+3</v>
      </c>
      <c r="CD33" s="52" t="n">
        <f aca="false">IF(BZ33=0,0,IF(N(S33)&gt;0,S33,IFERROR(VLOOKUP(D33,Parameter!$A$35:$C$64,3,0)+0,0)))</f>
        <v>0</v>
      </c>
      <c r="CE33" s="48" t="n">
        <f aca="false">IF(AA33&lt;&gt;"",AA33,Z33)</f>
        <v>2</v>
      </c>
      <c r="CF33" s="48" t="str">
        <f aca="false">IF(OR(CE33=1,CE33=2,CE33=3),IF(Parameter!$E$27="Ja","LIFT",IF(CE33=1,"L1","L23")),IF(CE33="Aussen","Aussen","-"))</f>
        <v>LIFT</v>
      </c>
      <c r="CG33" s="59" t="n">
        <f aca="false">IF(N(AB33)&gt;0,AB33,0)</f>
        <v>0</v>
      </c>
      <c r="CH33" s="53" t="n">
        <f aca="false">IF(ISNUMBER(AE33),1,0)</f>
        <v>0</v>
      </c>
      <c r="CI33" s="50" t="n">
        <f aca="false">N(AE33)</f>
        <v>0</v>
      </c>
      <c r="CJ33" s="50" t="n">
        <f aca="false">N(M33)+N(N33)</f>
        <v>60</v>
      </c>
      <c r="CK33" s="50" t="n">
        <f aca="false">N(M33)</f>
        <v>12</v>
      </c>
      <c r="CL33" s="50" t="n">
        <f aca="false">N(N33)</f>
        <v>48</v>
      </c>
      <c r="CM33" s="50" t="n">
        <f aca="false">ROUNDUP(H33/BY33,0)</f>
        <v>1</v>
      </c>
      <c r="CN33" s="50" t="n">
        <f aca="false">ROUNDUP(CI33/BY33,0)</f>
        <v>0</v>
      </c>
      <c r="CO33" s="53" t="n">
        <f aca="false">IF(BZ33=1,0,IFERROR(VLOOKUP(BX33,'Gebinde-Kategorie'!$A$5:$N$45,5,0)+0,0))</f>
        <v>11</v>
      </c>
      <c r="CP33" s="53" t="n">
        <f aca="false">IFERROR(IF(OR(CE33=1,CE33=2,CE33=3),N(INDEX(Parameter!$I$5:$I$7,CE33)),0),0)</f>
        <v>0</v>
      </c>
      <c r="CQ33" s="52" t="n">
        <f aca="false">IF(AND(Parameter!$B$21="Ja",ISNUMBER(W33),N(X33)&gt;0),IFERROR(N(INDEX(Parameter!$L$5:$L$7,W33))*INDEX(Parameter!$E$5:$E$7,W33)*X33/SUMIFS($X$7:$X$1843,$W$7:$W$1843,W33),0),0)</f>
        <v>0</v>
      </c>
    </row>
    <row r="34" customFormat="false" ht="15" hidden="false" customHeight="false" outlineLevel="0" collapsed="false">
      <c r="A34" s="48" t="s">
        <v>260</v>
      </c>
      <c r="B34" s="48" t="s">
        <v>215</v>
      </c>
      <c r="C34" s="48" t="s">
        <v>173</v>
      </c>
      <c r="D34" s="48" t="s">
        <v>182</v>
      </c>
      <c r="E34" s="48"/>
      <c r="F34" s="48" t="s">
        <v>227</v>
      </c>
      <c r="G34" s="49" t="n">
        <v>3576.83</v>
      </c>
      <c r="H34" s="50" t="n">
        <f aca="false">MAX(0,IF(AND(Parameter!$B$21="Ja",ISNUMBER(Y34)),Y34,IF(Parameter!$B$20="Jahresanfang 2025 + Export",BR34+BQ34,BQ34)))</f>
        <v>5</v>
      </c>
      <c r="I34" s="50" t="n">
        <f aca="false">H34*G34</f>
        <v>17884.15</v>
      </c>
      <c r="J34" s="50" t="n">
        <f aca="false">BT34*Parameter!$B$18</f>
        <v>2</v>
      </c>
      <c r="K34" s="51" t="n">
        <v>4.5</v>
      </c>
      <c r="L34" s="52" t="n">
        <v>0.444444444444444</v>
      </c>
      <c r="M34" s="50" t="n">
        <v>2</v>
      </c>
      <c r="N34" s="50" t="n">
        <v>5</v>
      </c>
      <c r="O34" s="53" t="n">
        <v>84</v>
      </c>
      <c r="P34" s="48" t="s">
        <v>177</v>
      </c>
      <c r="Q34" s="50"/>
      <c r="R34" s="53" t="n">
        <f aca="false">IF(BZ34=1,0,IFERROR(VLOOKUP(BX34,'Gebinde-Kategorie'!$A$5:$N$45,13,0)+0,0))</f>
        <v>0</v>
      </c>
      <c r="S34" s="54"/>
      <c r="T34" s="55"/>
      <c r="U34" s="55"/>
      <c r="V34" s="55"/>
      <c r="W34" s="48" t="n">
        <v>1</v>
      </c>
      <c r="X34" s="50" t="n">
        <v>6</v>
      </c>
      <c r="Y34" s="50" t="n">
        <v>5</v>
      </c>
      <c r="Z34" s="48" t="n">
        <f aca="false">IF(A34="","",IF(AND(Parameter!$B$21="Ja",ISNUMBER(W34)),W34,IF(CC34="2+3",IF(ISNUMBER(SEARCH("grosser Artikel",BU34)),2,IFERROR(VLOOKUP(BX34,Parameter!$F$35:$G$64,2,0),2)),IF(OR(CC34="Nein",CC34=""),"-",CC34))))</f>
        <v>1</v>
      </c>
      <c r="AA34" s="55"/>
      <c r="AB34" s="56"/>
      <c r="AC34" s="50" t="n">
        <f aca="false">AV34</f>
        <v>7</v>
      </c>
      <c r="AD34" s="50" t="n">
        <f aca="false">MAX(AV34,H34)</f>
        <v>7</v>
      </c>
      <c r="AE34" s="57"/>
      <c r="AF34" s="50" t="n">
        <f aca="false">IF(LEFT(Cockpit!$C$5,1)="A",H34,IF(Parameter!$E$30="MAX-Bestand",IF(CH34=1,CI34,IF(LEFT(Cockpit!$C$5,1)="B",AL34,MAX(AL34,H34))),ROUNDUP(AJ34,0)))</f>
        <v>5</v>
      </c>
      <c r="AG34" s="50" t="n">
        <f aca="false">IF(BZ34=1,0,ROUNDUP(AF34/BY34,0))</f>
        <v>0</v>
      </c>
      <c r="AH34" s="52" t="n">
        <f aca="false">IF(CQ34&gt;0,CQ34*MAX(1,AF34/X34),IF(BZ34=1,IF(AF34&lt;=0,0,CD34*MAX(1,IF(H34&gt;0,AF34/H34,1))),IF(R34&gt;0,AG34/R34,0))/MAX(0.1,N(Parameter!$M$21)))</f>
        <v>0.480225988700565</v>
      </c>
      <c r="AI34" s="50" t="n">
        <f aca="false">AH34*CB34</f>
        <v>114.293785310734</v>
      </c>
      <c r="AJ34" s="51" t="n">
        <f aca="false">IF(LEFT(Cockpit!$C$5,1)="A",H34,IF(CH34=1,(CK34+CI34)/2,IF(LEFT(Cockpit!$C$5,1)="B",(CK34+AL34)/2,MAX((CK34+AL34)/2,H34))))</f>
        <v>5</v>
      </c>
      <c r="AK34" s="50" t="n">
        <f aca="false">AJ34*G34</f>
        <v>17884.15</v>
      </c>
      <c r="AL34" s="50" t="n">
        <f aca="false">ROUNDUP(CK34+MAX(CL34,2*(J34/IF(CG34&gt;0,CG34,MAX(0.1,N(Cockpit!$C$6)))-CK34)),0)</f>
        <v>7</v>
      </c>
      <c r="AM34" s="51" t="n">
        <f aca="false">IF(AI34&gt;0,J34/AI34,-1)</f>
        <v>0.017498764211567</v>
      </c>
      <c r="AN34" s="51" t="n">
        <f aca="false">IF(AND(OR(CF34="L1",CF34="L23",CF34="LIFT"),AI34&gt;0),SUMIFS($AI$7:$AI$1843,$CF$7:$CF$1843,CF34,$AM$7:$AM$1843,"&gt;"&amp;AM34)+SUMIFS($AI$7:$AI$1843,$CF$7:$CF$1843,CF34,$AM$7:$AM$1843,AM34,$BW$7:$BW$1843,"&lt;="&amp;BW34),"")</f>
        <v>23415.7302078806</v>
      </c>
      <c r="AO34" s="58" t="n">
        <f aca="false">IF(AN34="",0,MAX(0,MIN(1,(IF(CF34="L1",Parameter!$H$5,IF(CF34="L23",Parameter!$H$6+Parameter!$H$7,Parameter!$H$5+Parameter!$H$6+Parameter!$H$7))-(AN34-AI34))/AI34)))</f>
        <v>1</v>
      </c>
      <c r="AP34" s="50" t="n">
        <f aca="false">IF(LEFT(Cockpit!$I$5,1)="A",H34,IF(Parameter!$E$30="MAX-Bestand",IF(CH34=1,CI34,IF(LEFT(Cockpit!$I$5,1)="B",AV34,MAX(AV34,H34))),ROUNDUP(AT34,0)))</f>
        <v>5</v>
      </c>
      <c r="AQ34" s="50" t="n">
        <f aca="false">IF(BZ34=1,0,ROUNDUP(AP34/BY34,0))</f>
        <v>0</v>
      </c>
      <c r="AR34" s="52" t="n">
        <f aca="false">IF(CQ34&gt;0,CQ34*MAX(1,AP34/X34),IF(BZ34=1,IF(AP34&lt;=0,0,CD34*MAX(1,IF(H34&gt;0,AP34/H34,1))),IF(R34&gt;0,AQ34/R34,0))/MAX(0.1,N(Parameter!$M$21)))</f>
        <v>0.480225988700565</v>
      </c>
      <c r="AS34" s="50" t="n">
        <f aca="false">AR34*CB34</f>
        <v>114.293785310734</v>
      </c>
      <c r="AT34" s="51" t="n">
        <f aca="false">IF(LEFT(Cockpit!$I$5,1)="A",H34,IF(CH34=1,(CK34+CI34)/2,IF(LEFT(Cockpit!$I$5,1)="B",(CK34+AV34)/2,MAX((CK34+AV34)/2,H34))))</f>
        <v>5</v>
      </c>
      <c r="AU34" s="50" t="n">
        <f aca="false">AT34*G34</f>
        <v>17884.15</v>
      </c>
      <c r="AV34" s="50" t="n">
        <f aca="false">ROUNDUP(CK34+MAX(CL34,2*(J34/IF(CG34&gt;0,CG34,MAX(0.1,N(Cockpit!$I$6)))-CK34)),0)</f>
        <v>7</v>
      </c>
      <c r="AW34" s="51" t="n">
        <f aca="false">IF(AS34&gt;0,J34/AS34,-1)</f>
        <v>0.017498764211567</v>
      </c>
      <c r="AX34" s="51" t="n">
        <f aca="false">IF(AND(OR(CF34="L1",CF34="L23",CF34="LIFT"),AS34&gt;0),SUMIFS($AS$7:$AS$1843,$CF$7:$CF$1843,CF34,$AW$7:$AW$1843,"&gt;"&amp;AW34)+SUMIFS($AS$7:$AS$1843,$CF$7:$CF$1843,CF34,$AW$7:$AW$1843,AW34,$BW$7:$BW$1843,"&lt;="&amp;BW34),"")</f>
        <v>28651.3788492581</v>
      </c>
      <c r="AY34" s="58" t="n">
        <f aca="false">IF(AX34="",0,MAX(0,MIN(1,(IF(CF34="L1",Parameter!$H$5,IF(CF34="L23",Parameter!$H$6+Parameter!$H$7,Parameter!$H$5+Parameter!$H$6+Parameter!$H$7))-(AX34-AS34))/AS34)))</f>
        <v>1</v>
      </c>
      <c r="AZ34" s="50" t="n">
        <f aca="false">IF(LEFT(Cockpit!$O$5,1)="A",H34,IF(Parameter!$E$30="MAX-Bestand",IF(CH34=1,CI34,IF(LEFT(Cockpit!$O$5,1)="B",BF34,MAX(BF34,H34))),ROUNDUP(BD34,0)))</f>
        <v>5</v>
      </c>
      <c r="BA34" s="50" t="n">
        <f aca="false">IF(BZ34=1,0,ROUNDUP(AZ34/BY34,0))</f>
        <v>0</v>
      </c>
      <c r="BB34" s="52" t="n">
        <f aca="false">IF(CQ34&gt;0,CQ34*MAX(1,AZ34/X34),IF(BZ34=1,IF(AZ34&lt;=0,0,CD34*MAX(1,IF(H34&gt;0,AZ34/H34,1))),IF(R34&gt;0,BA34/R34,0))/MAX(0.1,N(Parameter!$M$21)))</f>
        <v>0.480225988700565</v>
      </c>
      <c r="BC34" s="50" t="n">
        <f aca="false">BB34*CB34</f>
        <v>114.293785310734</v>
      </c>
      <c r="BD34" s="51" t="n">
        <f aca="false">IF(LEFT(Cockpit!$O$5,1)="A",H34,IF(CH34=1,(CK34+CI34)/2,IF(LEFT(Cockpit!$O$5,1)="B",(CK34+BF34)/2,MAX((CK34+BF34)/2,H34))))</f>
        <v>4.5</v>
      </c>
      <c r="BE34" s="50" t="n">
        <f aca="false">BD34*G34</f>
        <v>16095.735</v>
      </c>
      <c r="BF34" s="50" t="n">
        <f aca="false">ROUNDUP(CK34+MAX(CL34,2*(J34/IF(CG34&gt;0,CG34,MAX(0.1,N(Cockpit!$O$6)))-CK34)),0)</f>
        <v>7</v>
      </c>
      <c r="BG34" s="51" t="n">
        <f aca="false">IF(BC34&gt;0,J34/BC34,-1)</f>
        <v>0.017498764211567</v>
      </c>
      <c r="BH34" s="51" t="n">
        <f aca="false">IF(AND(OR(CF34="L1",CF34="L23",CF34="LIFT"),BC34&gt;0),SUMIFS($BC$7:$BC$1843,$CF$7:$CF$1843,CF34,$BG$7:$BG$1843,"&gt;"&amp;BG34)+SUMIFS($BC$7:$BC$1843,$CF$7:$CF$1843,CF34,$BG$7:$BG$1843,BG34,$BW$7:$BW$1843,"&lt;="&amp;BW34),"")</f>
        <v>24197.1273592227</v>
      </c>
      <c r="BI34" s="58" t="n">
        <f aca="false">IF(BH34="",0,MAX(0,MIN(1,(IF(CF34="L1",Parameter!$H$5,IF(CF34="L23",Parameter!$H$6+Parameter!$H$7,Parameter!$H$5+Parameter!$H$6+Parameter!$H$7))-(BH34-BC34))/BC34)))</f>
        <v>1</v>
      </c>
      <c r="BJ34" s="48" t="str">
        <f aca="false">IF(AI34&lt;=0,"",IF(CF34="Aussen","Aussenlager",IF(CF34="-","Nicht im Lift",IF(AO34&gt;=1,"Lift",IF(AO34&lt;=0,"Aussenlager","teilweise")))))</f>
        <v>Lift</v>
      </c>
      <c r="BK34" s="48" t="str">
        <f aca="false">IF(AS34&lt;=0,"",IF(CF34="Aussen","Aussenlager",IF(CF34="-","Nicht im Lift",IF(AY34&gt;=1,"Lift",IF(AY34&lt;=0,"Aussenlager","teilweise")))))</f>
        <v>Lift</v>
      </c>
      <c r="BL34" s="48" t="str">
        <f aca="false">IF(BC34&lt;=0,"",IF(CF34="Aussen","Aussenlager",IF(CF34="-","Nicht im Lift",IF(BI34&gt;=1,"Lift",IF(BI34&lt;=0,"Aussenlager","teilweise")))))</f>
        <v>Lift</v>
      </c>
      <c r="BM34" s="48" t="str">
        <f aca="false">IF(A34="","",IF(BV34=1,"Neu; ","")&amp;IF(AND(BV34=0,BQ34&lt;0),"negativer Bestand (Export "&amp;BQ34&amp;"); ","")&amp;IF(J34&lt;=0,"Kein Verbrauch; ","")&amp;IF(CQ34&gt;0,"Lift "&amp;W34&amp;" lt. Liftbericht (Fach "&amp;X34&amp;" Stk); ",IF(CA34=1,"Gebinde geschätzt ("&amp;T34&amp;"); ",IF(BZ34=1,"Lose – Tablare geschätzt; ","")))&amp;IF(H34&gt;AV34,"Überbestand "&amp;ROUND(H34-AV34,0)&amp;" Stk / CHF "&amp;ROUND((H34-AV34)*G34,0)&amp;"; ","")&amp;IF(AND(CH34=1,CI34&lt;CJ34),"MAX &lt; MB+LG; ","")&amp;IF(AND(CP34&gt;0,CO34*10&gt;CP34),"zu hoch für Tablar; ","")&amp;IF(AND(BV34=0,OR(CH34=1,AA34&lt;&gt;"",U34&lt;&gt;"",V34&lt;&gt;"",AB34&lt;&gt;"")),"manuell übersteuert; ","")&amp;IF(AND(BZ34=0,R34=0),"Gebinde unbekannt / Stellmass fehlt; ","")&amp;IF(AND(BZ34=0,N(V34)&lt;=0,N(Q34)&lt;=0),"Menge pro Gebinde fehlt (Ist = 1 Gebinde); ","")&amp;BU34)</f>
        <v>Lift 1 lt. Liftbericht (Fach 6 Stk); </v>
      </c>
      <c r="BN34" s="48"/>
      <c r="BO34" s="48"/>
      <c r="BP34" s="55"/>
      <c r="BQ34" s="50" t="n">
        <v>3</v>
      </c>
      <c r="BR34" s="50" t="n">
        <v>3</v>
      </c>
      <c r="BS34" s="49" t="n">
        <v>10844.04</v>
      </c>
      <c r="BT34" s="50" t="n">
        <v>2</v>
      </c>
      <c r="BU34" s="48"/>
      <c r="BV34" s="53" t="n">
        <v>0</v>
      </c>
      <c r="BW34" s="53" t="n">
        <v>34</v>
      </c>
      <c r="BX34" s="48" t="str">
        <f aca="false">IF(U34&lt;&gt;"",UPPER(TRIM(U34)),IF(CA34=1,UPPER(VLOOKUP(T34,Parameter!$I$27:$K$29,2,0)),IF(P34="","LOSE",P34)))</f>
        <v>LOSE</v>
      </c>
      <c r="BY34" s="50" t="n">
        <f aca="false">IF(BX34="LOSE",1,IF(N(V34)&gt;0,V34,IF(CA34=1,MAX(1,N(VLOOKUP(T34,Parameter!$I$27:$K$29,3,0)),H34,N(N34)),IF(N(Q34)&gt;0,Q34,MAX(1,H34)))))</f>
        <v>1</v>
      </c>
      <c r="BZ34" s="53" t="n">
        <f aca="false">IF(BX34="LOSE",1,0)</f>
        <v>1</v>
      </c>
      <c r="CA34" s="53" t="n">
        <f aca="false">IF(AND(U34="",OR(P34="",P34="LOSE"),T34&lt;&gt;"",N(S34)&lt;=0,ISNUMBER(MATCH(T34,Parameter!$I$27:$I$29,0))),1,0)</f>
        <v>0</v>
      </c>
      <c r="CB34" s="53" t="n">
        <f aca="false">IF(CQ34&gt;0,INDEX(Parameter!$H$5:$H$7,W34)/INDEX(Parameter!$E$5:$E$7,W34),IF(AND(BZ34=0,N(IFERROR(VLOOKUP(BX34,'Gebinde-Kategorie'!$A$5:$N$45,14,0),0))&gt;0),VLOOKUP(BX34,'Gebinde-Kategorie'!$A$5:$N$45,14,0)*10+Parameter!$M$23,Parameter!$M$24))</f>
        <v>238</v>
      </c>
      <c r="CC34" s="48" t="str">
        <f aca="false">IF(AND(Parameter!$B$19="Ja",E34&lt;&gt;"",ISNUMBER(MATCH(E34,Parameter!$I$35:$I$52,0))),VLOOKUP(E34,Parameter!$I$35:$J$52,2,0),IFERROR(VLOOKUP(D34,Parameter!$A$35:$C$64,2,0),"Nein"))</f>
        <v>2+3</v>
      </c>
      <c r="CD34" s="52" t="n">
        <f aca="false">IF(BZ34=0,0,IF(N(S34)&gt;0,S34,IFERROR(VLOOKUP(D34,Parameter!$A$35:$C$64,3,0)+0,0)))</f>
        <v>0.15</v>
      </c>
      <c r="CE34" s="48" t="n">
        <f aca="false">IF(AA34&lt;&gt;"",AA34,Z34)</f>
        <v>1</v>
      </c>
      <c r="CF34" s="48" t="str">
        <f aca="false">IF(OR(CE34=1,CE34=2,CE34=3),IF(Parameter!$E$27="Ja","LIFT",IF(CE34=1,"L1","L23")),IF(CE34="Aussen","Aussen","-"))</f>
        <v>LIFT</v>
      </c>
      <c r="CG34" s="59" t="n">
        <f aca="false">IF(N(AB34)&gt;0,AB34,0)</f>
        <v>0</v>
      </c>
      <c r="CH34" s="53" t="n">
        <f aca="false">IF(ISNUMBER(AE34),1,0)</f>
        <v>0</v>
      </c>
      <c r="CI34" s="50" t="n">
        <f aca="false">N(AE34)</f>
        <v>0</v>
      </c>
      <c r="CJ34" s="50" t="n">
        <f aca="false">N(M34)+N(N34)</f>
        <v>7</v>
      </c>
      <c r="CK34" s="50" t="n">
        <f aca="false">N(M34)</f>
        <v>2</v>
      </c>
      <c r="CL34" s="50" t="n">
        <f aca="false">N(N34)</f>
        <v>5</v>
      </c>
      <c r="CM34" s="50" t="n">
        <f aca="false">ROUNDUP(H34/BY34,0)</f>
        <v>5</v>
      </c>
      <c r="CN34" s="50" t="n">
        <f aca="false">ROUNDUP(CI34/BY34,0)</f>
        <v>0</v>
      </c>
      <c r="CO34" s="53" t="n">
        <f aca="false">IF(BZ34=1,0,IFERROR(VLOOKUP(BX34,'Gebinde-Kategorie'!$A$5:$N$45,5,0)+0,0))</f>
        <v>0</v>
      </c>
      <c r="CP34" s="53" t="n">
        <f aca="false">IFERROR(IF(OR(CE34=1,CE34=2,CE34=3),N(INDEX(Parameter!$I$5:$I$7,CE34)),0),0)</f>
        <v>0</v>
      </c>
      <c r="CQ34" s="52" t="n">
        <f aca="false">IF(AND(Parameter!$B$21="Ja",ISNUMBER(W34),N(X34)&gt;0),IFERROR(N(INDEX(Parameter!$L$5:$L$7,W34))*INDEX(Parameter!$E$5:$E$7,W34)*X34/SUMIFS($X$7:$X$1843,$W$7:$W$1843,W34),0),0)</f>
        <v>0.480225988700565</v>
      </c>
    </row>
    <row r="35" customFormat="false" ht="15" hidden="false" customHeight="false" outlineLevel="0" collapsed="false">
      <c r="A35" s="48" t="s">
        <v>261</v>
      </c>
      <c r="B35" s="48" t="s">
        <v>262</v>
      </c>
      <c r="C35" s="48" t="s">
        <v>173</v>
      </c>
      <c r="D35" s="48" t="s">
        <v>174</v>
      </c>
      <c r="E35" s="48" t="s">
        <v>175</v>
      </c>
      <c r="F35" s="48" t="s">
        <v>227</v>
      </c>
      <c r="G35" s="49" t="n">
        <v>1373.75</v>
      </c>
      <c r="H35" s="50" t="n">
        <f aca="false">MAX(0,IF(AND(Parameter!$B$21="Ja",ISNUMBER(Y35)),Y35,IF(Parameter!$B$20="Jahresanfang 2025 + Export",BR35+BQ35,BQ35)))</f>
        <v>19</v>
      </c>
      <c r="I35" s="50" t="n">
        <f aca="false">H35*G35</f>
        <v>26101.25</v>
      </c>
      <c r="J35" s="50" t="n">
        <f aca="false">BT35*Parameter!$B$18</f>
        <v>17</v>
      </c>
      <c r="K35" s="51" t="n">
        <v>26</v>
      </c>
      <c r="L35" s="52" t="n">
        <v>0.653846153846154</v>
      </c>
      <c r="M35" s="50" t="n">
        <v>4</v>
      </c>
      <c r="N35" s="50" t="n">
        <v>5</v>
      </c>
      <c r="O35" s="53" t="n">
        <v>70</v>
      </c>
      <c r="P35" s="48" t="s">
        <v>177</v>
      </c>
      <c r="Q35" s="50"/>
      <c r="R35" s="53" t="n">
        <f aca="false">IF(BZ35=1,0,IFERROR(VLOOKUP(BX35,'Gebinde-Kategorie'!$A$5:$N$45,13,0)+0,0))</f>
        <v>0</v>
      </c>
      <c r="S35" s="54"/>
      <c r="T35" s="55"/>
      <c r="U35" s="55"/>
      <c r="V35" s="55"/>
      <c r="W35" s="48" t="n">
        <v>1</v>
      </c>
      <c r="X35" s="50" t="n">
        <v>34</v>
      </c>
      <c r="Y35" s="50" t="n">
        <v>19</v>
      </c>
      <c r="Z35" s="48" t="n">
        <f aca="false">IF(A35="","",IF(AND(Parameter!$B$21="Ja",ISNUMBER(W35)),W35,IF(CC35="2+3",IF(ISNUMBER(SEARCH("grosser Artikel",BU35)),2,IFERROR(VLOOKUP(BX35,Parameter!$F$35:$G$64,2,0),2)),IF(OR(CC35="Nein",CC35=""),"-",CC35))))</f>
        <v>1</v>
      </c>
      <c r="AA35" s="55"/>
      <c r="AB35" s="56"/>
      <c r="AC35" s="50" t="n">
        <f aca="false">AV35</f>
        <v>9</v>
      </c>
      <c r="AD35" s="50" t="n">
        <f aca="false">MAX(AV35,H35)</f>
        <v>19</v>
      </c>
      <c r="AE35" s="57"/>
      <c r="AF35" s="50" t="n">
        <f aca="false">IF(LEFT(Cockpit!$C$5,1)="A",H35,IF(Parameter!$E$30="MAX-Bestand",IF(CH35=1,CI35,IF(LEFT(Cockpit!$C$5,1)="B",AL35,MAX(AL35,H35))),ROUNDUP(AJ35,0)))</f>
        <v>19</v>
      </c>
      <c r="AG35" s="50" t="n">
        <f aca="false">IF(BZ35=1,0,ROUNDUP(AF35/BY35,0))</f>
        <v>0</v>
      </c>
      <c r="AH35" s="52" t="n">
        <f aca="false">IF(CQ35&gt;0,CQ35*MAX(1,AF35/X35),IF(BZ35=1,IF(AF35&lt;=0,0,CD35*MAX(1,IF(H35&gt;0,AF35/H35,1))),IF(R35&gt;0,AG35/R35,0))/MAX(0.1,N(Parameter!$M$21)))</f>
        <v>2.72128060263654</v>
      </c>
      <c r="AI35" s="50" t="n">
        <f aca="false">AH35*CB35</f>
        <v>647.664783427495</v>
      </c>
      <c r="AJ35" s="51" t="n">
        <f aca="false">IF(LEFT(Cockpit!$C$5,1)="A",H35,IF(CH35=1,(CK35+CI35)/2,IF(LEFT(Cockpit!$C$5,1)="B",(CK35+AL35)/2,MAX((CK35+AL35)/2,H35))))</f>
        <v>19</v>
      </c>
      <c r="AK35" s="50" t="n">
        <f aca="false">AJ35*G35</f>
        <v>26101.25</v>
      </c>
      <c r="AL35" s="50" t="n">
        <f aca="false">ROUNDUP(CK35+MAX(CL35,2*(J35/IF(CG35&gt;0,CG35,MAX(0.1,N(Cockpit!$C$6)))-CK35)),0)</f>
        <v>9</v>
      </c>
      <c r="AM35" s="51" t="n">
        <f aca="false">IF(AI35&gt;0,J35/AI35,-1)</f>
        <v>0.0262481463173505</v>
      </c>
      <c r="AN35" s="51" t="n">
        <f aca="false">IF(AND(OR(CF35="L1",CF35="L23",CF35="LIFT"),AI35&gt;0),SUMIFS($AI$7:$AI$1843,$CF$7:$CF$1843,CF35,$AM$7:$AM$1843,"&gt;"&amp;AM35)+SUMIFS($AI$7:$AI$1843,$CF$7:$CF$1843,CF35,$AM$7:$AM$1843,AM35,$BW$7:$BW$1843,"&lt;="&amp;BW35),"")</f>
        <v>21615.3166195857</v>
      </c>
      <c r="AO35" s="58" t="n">
        <f aca="false">IF(AN35="",0,MAX(0,MIN(1,(IF(CF35="L1",Parameter!$H$5,IF(CF35="L23",Parameter!$H$6+Parameter!$H$7,Parameter!$H$5+Parameter!$H$6+Parameter!$H$7))-(AN35-AI35))/AI35)))</f>
        <v>1</v>
      </c>
      <c r="AP35" s="50" t="n">
        <f aca="false">IF(LEFT(Cockpit!$I$5,1)="A",H35,IF(Parameter!$E$30="MAX-Bestand",IF(CH35=1,CI35,IF(LEFT(Cockpit!$I$5,1)="B",AV35,MAX(AV35,H35))),ROUNDUP(AT35,0)))</f>
        <v>19</v>
      </c>
      <c r="AQ35" s="50" t="n">
        <f aca="false">IF(BZ35=1,0,ROUNDUP(AP35/BY35,0))</f>
        <v>0</v>
      </c>
      <c r="AR35" s="52" t="n">
        <f aca="false">IF(CQ35&gt;0,CQ35*MAX(1,AP35/X35),IF(BZ35=1,IF(AP35&lt;=0,0,CD35*MAX(1,IF(H35&gt;0,AP35/H35,1))),IF(R35&gt;0,AQ35/R35,0))/MAX(0.1,N(Parameter!$M$21)))</f>
        <v>2.72128060263654</v>
      </c>
      <c r="AS35" s="50" t="n">
        <f aca="false">AR35*CB35</f>
        <v>647.664783427495</v>
      </c>
      <c r="AT35" s="51" t="n">
        <f aca="false">IF(LEFT(Cockpit!$I$5,1)="A",H35,IF(CH35=1,(CK35+CI35)/2,IF(LEFT(Cockpit!$I$5,1)="B",(CK35+AV35)/2,MAX((CK35+AV35)/2,H35))))</f>
        <v>19</v>
      </c>
      <c r="AU35" s="50" t="n">
        <f aca="false">AT35*G35</f>
        <v>26101.25</v>
      </c>
      <c r="AV35" s="50" t="n">
        <f aca="false">ROUNDUP(CK35+MAX(CL35,2*(J35/IF(CG35&gt;0,CG35,MAX(0.1,N(Cockpit!$I$6)))-CK35)),0)</f>
        <v>9</v>
      </c>
      <c r="AW35" s="51" t="n">
        <f aca="false">IF(AS35&gt;0,J35/AS35,-1)</f>
        <v>0.0262481463173505</v>
      </c>
      <c r="AX35" s="51" t="n">
        <f aca="false">IF(AND(OR(CF35="L1",CF35="L23",CF35="LIFT"),AS35&gt;0),SUMIFS($AS$7:$AS$1843,$CF$7:$CF$1843,CF35,$AW$7:$AW$1843,"&gt;"&amp;AW35)+SUMIFS($AS$7:$AS$1843,$CF$7:$CF$1843,CF35,$AW$7:$AW$1843,AW35,$BW$7:$BW$1843,"&lt;="&amp;BW35),"")</f>
        <v>26733.4652609631</v>
      </c>
      <c r="AY35" s="58" t="n">
        <f aca="false">IF(AX35="",0,MAX(0,MIN(1,(IF(CF35="L1",Parameter!$H$5,IF(CF35="L23",Parameter!$H$6+Parameter!$H$7,Parameter!$H$5+Parameter!$H$6+Parameter!$H$7))-(AX35-AS35))/AS35)))</f>
        <v>1</v>
      </c>
      <c r="AZ35" s="50" t="n">
        <f aca="false">IF(LEFT(Cockpit!$O$5,1)="A",H35,IF(Parameter!$E$30="MAX-Bestand",IF(CH35=1,CI35,IF(LEFT(Cockpit!$O$5,1)="B",BF35,MAX(BF35,H35))),ROUNDUP(BD35,0)))</f>
        <v>7</v>
      </c>
      <c r="BA35" s="50" t="n">
        <f aca="false">IF(BZ35=1,0,ROUNDUP(AZ35/BY35,0))</f>
        <v>0</v>
      </c>
      <c r="BB35" s="52" t="n">
        <f aca="false">IF(CQ35&gt;0,CQ35*MAX(1,AZ35/X35),IF(BZ35=1,IF(AZ35&lt;=0,0,CD35*MAX(1,IF(H35&gt;0,AZ35/H35,1))),IF(R35&gt;0,BA35/R35,0))/MAX(0.1,N(Parameter!$M$21)))</f>
        <v>2.72128060263654</v>
      </c>
      <c r="BC35" s="50" t="n">
        <f aca="false">BB35*CB35</f>
        <v>647.664783427495</v>
      </c>
      <c r="BD35" s="51" t="n">
        <f aca="false">IF(LEFT(Cockpit!$O$5,1)="A",H35,IF(CH35=1,(CK35+CI35)/2,IF(LEFT(Cockpit!$O$5,1)="B",(CK35+BF35)/2,MAX((CK35+BF35)/2,H35))))</f>
        <v>6.5</v>
      </c>
      <c r="BE35" s="50" t="n">
        <f aca="false">BD35*G35</f>
        <v>8929.375</v>
      </c>
      <c r="BF35" s="50" t="n">
        <f aca="false">ROUNDUP(CK35+MAX(CL35,2*(J35/IF(CG35&gt;0,CG35,MAX(0.1,N(Cockpit!$O$6)))-CK35)),0)</f>
        <v>9</v>
      </c>
      <c r="BG35" s="51" t="n">
        <f aca="false">IF(BC35&gt;0,J35/BC35,-1)</f>
        <v>0.0262481463173505</v>
      </c>
      <c r="BH35" s="51" t="n">
        <f aca="false">IF(AND(OR(CF35="L1",CF35="L23",CF35="LIFT"),BC35&gt;0),SUMIFS($BC$7:$BC$1843,$CF$7:$CF$1843,CF35,$BG$7:$BG$1843,"&gt;"&amp;BG35)+SUMIFS($BC$7:$BC$1843,$CF$7:$CF$1843,CF35,$BG$7:$BG$1843,BG35,$BW$7:$BW$1843,"&lt;="&amp;BW35),"")</f>
        <v>22396.9060786201</v>
      </c>
      <c r="BI35" s="58" t="n">
        <f aca="false">IF(BH35="",0,MAX(0,MIN(1,(IF(CF35="L1",Parameter!$H$5,IF(CF35="L23",Parameter!$H$6+Parameter!$H$7,Parameter!$H$5+Parameter!$H$6+Parameter!$H$7))-(BH35-BC35))/BC35)))</f>
        <v>1</v>
      </c>
      <c r="BJ35" s="48" t="str">
        <f aca="false">IF(AI35&lt;=0,"",IF(CF35="Aussen","Aussenlager",IF(CF35="-","Nicht im Lift",IF(AO35&gt;=1,"Lift",IF(AO35&lt;=0,"Aussenlager","teilweise")))))</f>
        <v>Lift</v>
      </c>
      <c r="BK35" s="48" t="str">
        <f aca="false">IF(AS35&lt;=0,"",IF(CF35="Aussen","Aussenlager",IF(CF35="-","Nicht im Lift",IF(AY35&gt;=1,"Lift",IF(AY35&lt;=0,"Aussenlager","teilweise")))))</f>
        <v>Lift</v>
      </c>
      <c r="BL35" s="48" t="str">
        <f aca="false">IF(BC35&lt;=0,"",IF(CF35="Aussen","Aussenlager",IF(CF35="-","Nicht im Lift",IF(BI35&gt;=1,"Lift",IF(BI35&lt;=0,"Aussenlager","teilweise")))))</f>
        <v>Lift</v>
      </c>
      <c r="BM35" s="48" t="str">
        <f aca="false">IF(A35="","",IF(BV35=1,"Neu; ","")&amp;IF(AND(BV35=0,BQ35&lt;0),"negativer Bestand (Export "&amp;BQ35&amp;"); ","")&amp;IF(J35&lt;=0,"Kein Verbrauch; ","")&amp;IF(CQ35&gt;0,"Lift "&amp;W35&amp;" lt. Liftbericht (Fach "&amp;X35&amp;" Stk); ",IF(CA35=1,"Gebinde geschätzt ("&amp;T35&amp;"); ",IF(BZ35=1,"Lose – Tablare geschätzt; ","")))&amp;IF(H35&gt;AV35,"Überbestand "&amp;ROUND(H35-AV35,0)&amp;" Stk / CHF "&amp;ROUND((H35-AV35)*G35,0)&amp;"; ","")&amp;IF(AND(CH35=1,CI35&lt;CJ35),"MAX &lt; MB+LG; ","")&amp;IF(AND(CP35&gt;0,CO35*10&gt;CP35),"zu hoch für Tablar; ","")&amp;IF(AND(BV35=0,OR(CH35=1,AA35&lt;&gt;"",U35&lt;&gt;"",V35&lt;&gt;"",AB35&lt;&gt;"")),"manuell übersteuert; ","")&amp;IF(AND(BZ35=0,R35=0),"Gebinde unbekannt / Stellmass fehlt; ","")&amp;IF(AND(BZ35=0,N(V35)&lt;=0,N(Q35)&lt;=0),"Menge pro Gebinde fehlt (Ist = 1 Gebinde); ","")&amp;BU35)</f>
        <v>Lift 1 lt. Liftbericht (Fach 34 Stk); Überbestand 10 Stk / CHF 13738; </v>
      </c>
      <c r="BN35" s="48" t="s">
        <v>263</v>
      </c>
      <c r="BO35" s="48" t="s">
        <v>264</v>
      </c>
      <c r="BP35" s="55"/>
      <c r="BQ35" s="50" t="n">
        <v>7</v>
      </c>
      <c r="BR35" s="50" t="n">
        <v>18</v>
      </c>
      <c r="BS35" s="49" t="n">
        <v>10801.01</v>
      </c>
      <c r="BT35" s="50" t="n">
        <v>17</v>
      </c>
      <c r="BU35" s="48"/>
      <c r="BV35" s="53" t="n">
        <v>0</v>
      </c>
      <c r="BW35" s="53" t="n">
        <v>35</v>
      </c>
      <c r="BX35" s="48" t="str">
        <f aca="false">IF(U35&lt;&gt;"",UPPER(TRIM(U35)),IF(CA35=1,UPPER(VLOOKUP(T35,Parameter!$I$27:$K$29,2,0)),IF(P35="","LOSE",P35)))</f>
        <v>LOSE</v>
      </c>
      <c r="BY35" s="50" t="n">
        <f aca="false">IF(BX35="LOSE",1,IF(N(V35)&gt;0,V35,IF(CA35=1,MAX(1,N(VLOOKUP(T35,Parameter!$I$27:$K$29,3,0)),H35,N(N35)),IF(N(Q35)&gt;0,Q35,MAX(1,H35)))))</f>
        <v>1</v>
      </c>
      <c r="BZ35" s="53" t="n">
        <f aca="false">IF(BX35="LOSE",1,0)</f>
        <v>1</v>
      </c>
      <c r="CA35" s="53" t="n">
        <f aca="false">IF(AND(U35="",OR(P35="",P35="LOSE"),T35&lt;&gt;"",N(S35)&lt;=0,ISNUMBER(MATCH(T35,Parameter!$I$27:$I$29,0))),1,0)</f>
        <v>0</v>
      </c>
      <c r="CB35" s="53" t="n">
        <f aca="false">IF(CQ35&gt;0,INDEX(Parameter!$H$5:$H$7,W35)/INDEX(Parameter!$E$5:$E$7,W35),IF(AND(BZ35=0,N(IFERROR(VLOOKUP(BX35,'Gebinde-Kategorie'!$A$5:$N$45,14,0),0))&gt;0),VLOOKUP(BX35,'Gebinde-Kategorie'!$A$5:$N$45,14,0)*10+Parameter!$M$23,Parameter!$M$24))</f>
        <v>238</v>
      </c>
      <c r="CC35" s="48" t="n">
        <f aca="false">IF(AND(Parameter!$B$19="Ja",E35&lt;&gt;"",ISNUMBER(MATCH(E35,Parameter!$I$35:$I$52,0))),VLOOKUP(E35,Parameter!$I$35:$J$52,2,0),IFERROR(VLOOKUP(D35,Parameter!$A$35:$C$64,2,0),"Nein"))</f>
        <v>1</v>
      </c>
      <c r="CD35" s="52" t="n">
        <f aca="false">IF(BZ35=0,0,IF(N(S35)&gt;0,S35,IFERROR(VLOOKUP(D35,Parameter!$A$35:$C$64,3,0)+0,0)))</f>
        <v>1</v>
      </c>
      <c r="CE35" s="48" t="n">
        <f aca="false">IF(AA35&lt;&gt;"",AA35,Z35)</f>
        <v>1</v>
      </c>
      <c r="CF35" s="48" t="str">
        <f aca="false">IF(OR(CE35=1,CE35=2,CE35=3),IF(Parameter!$E$27="Ja","LIFT",IF(CE35=1,"L1","L23")),IF(CE35="Aussen","Aussen","-"))</f>
        <v>LIFT</v>
      </c>
      <c r="CG35" s="59" t="n">
        <f aca="false">IF(N(AB35)&gt;0,AB35,0)</f>
        <v>0</v>
      </c>
      <c r="CH35" s="53" t="n">
        <f aca="false">IF(ISNUMBER(AE35),1,0)</f>
        <v>0</v>
      </c>
      <c r="CI35" s="50" t="n">
        <f aca="false">N(AE35)</f>
        <v>0</v>
      </c>
      <c r="CJ35" s="50" t="n">
        <f aca="false">N(M35)+N(N35)</f>
        <v>9</v>
      </c>
      <c r="CK35" s="50" t="n">
        <f aca="false">N(M35)</f>
        <v>4</v>
      </c>
      <c r="CL35" s="50" t="n">
        <f aca="false">N(N35)</f>
        <v>5</v>
      </c>
      <c r="CM35" s="50" t="n">
        <f aca="false">ROUNDUP(H35/BY35,0)</f>
        <v>19</v>
      </c>
      <c r="CN35" s="50" t="n">
        <f aca="false">ROUNDUP(CI35/BY35,0)</f>
        <v>0</v>
      </c>
      <c r="CO35" s="53" t="n">
        <f aca="false">IF(BZ35=1,0,IFERROR(VLOOKUP(BX35,'Gebinde-Kategorie'!$A$5:$N$45,5,0)+0,0))</f>
        <v>0</v>
      </c>
      <c r="CP35" s="53" t="n">
        <f aca="false">IFERROR(IF(OR(CE35=1,CE35=2,CE35=3),N(INDEX(Parameter!$I$5:$I$7,CE35)),0),0)</f>
        <v>0</v>
      </c>
      <c r="CQ35" s="52" t="n">
        <f aca="false">IF(AND(Parameter!$B$21="Ja",ISNUMBER(W35),N(X35)&gt;0),IFERROR(N(INDEX(Parameter!$L$5:$L$7,W35))*INDEX(Parameter!$E$5:$E$7,W35)*X35/SUMIFS($X$7:$X$1843,$W$7:$W$1843,W35),0),0)</f>
        <v>2.72128060263654</v>
      </c>
    </row>
    <row r="36" customFormat="false" ht="15" hidden="false" customHeight="false" outlineLevel="0" collapsed="false">
      <c r="A36" s="48" t="s">
        <v>265</v>
      </c>
      <c r="B36" s="48" t="s">
        <v>190</v>
      </c>
      <c r="C36" s="48" t="s">
        <v>173</v>
      </c>
      <c r="D36" s="48" t="s">
        <v>182</v>
      </c>
      <c r="E36" s="48"/>
      <c r="F36" s="48" t="s">
        <v>227</v>
      </c>
      <c r="G36" s="49" t="n">
        <v>5350.29</v>
      </c>
      <c r="H36" s="50" t="n">
        <f aca="false">MAX(0,IF(AND(Parameter!$B$21="Ja",ISNUMBER(Y36)),Y36,IF(Parameter!$B$20="Jahresanfang 2025 + Export",BR36+BQ36,BQ36)))</f>
        <v>2</v>
      </c>
      <c r="I36" s="50" t="n">
        <f aca="false">H36*G36</f>
        <v>10700.58</v>
      </c>
      <c r="J36" s="50" t="n">
        <f aca="false">BT36*Parameter!$B$18</f>
        <v>6</v>
      </c>
      <c r="K36" s="51" t="n">
        <v>1</v>
      </c>
      <c r="L36" s="52" t="n">
        <v>6</v>
      </c>
      <c r="M36" s="50" t="n">
        <v>1</v>
      </c>
      <c r="N36" s="50" t="n">
        <v>1</v>
      </c>
      <c r="O36" s="53" t="n">
        <v>100</v>
      </c>
      <c r="P36" s="48" t="s">
        <v>177</v>
      </c>
      <c r="Q36" s="50"/>
      <c r="R36" s="53" t="n">
        <f aca="false">IF(BZ36=1,0,IFERROR(VLOOKUP(BX36,'Gebinde-Kategorie'!$A$5:$N$45,13,0)+0,0))</f>
        <v>12</v>
      </c>
      <c r="S36" s="54"/>
      <c r="T36" s="55" t="s">
        <v>188</v>
      </c>
      <c r="U36" s="55"/>
      <c r="V36" s="55"/>
      <c r="W36" s="48"/>
      <c r="X36" s="50"/>
      <c r="Y36" s="50"/>
      <c r="Z36" s="48" t="n">
        <f aca="false">IF(A36="","",IF(AND(Parameter!$B$21="Ja",ISNUMBER(W36)),W36,IF(CC36="2+3",IF(ISNUMBER(SEARCH("grosser Artikel",BU36)),2,IFERROR(VLOOKUP(BX36,Parameter!$F$35:$G$64,2,0),2)),IF(OR(CC36="Nein",CC36=""),"-",CC36))))</f>
        <v>2</v>
      </c>
      <c r="AA36" s="55"/>
      <c r="AB36" s="56"/>
      <c r="AC36" s="50" t="n">
        <f aca="false">AV36</f>
        <v>3</v>
      </c>
      <c r="AD36" s="50" t="n">
        <f aca="false">MAX(AV36,H36)</f>
        <v>3</v>
      </c>
      <c r="AE36" s="57"/>
      <c r="AF36" s="50" t="n">
        <f aca="false">IF(LEFT(Cockpit!$C$5,1)="A",H36,IF(Parameter!$E$30="MAX-Bestand",IF(CH36=1,CI36,IF(LEFT(Cockpit!$C$5,1)="B",AL36,MAX(AL36,H36))),ROUNDUP(AJ36,0)))</f>
        <v>2</v>
      </c>
      <c r="AG36" s="50" t="n">
        <f aca="false">IF(BZ36=1,0,ROUNDUP(AF36/BY36,0))</f>
        <v>1</v>
      </c>
      <c r="AH36" s="52" t="n">
        <f aca="false">IF(CQ36&gt;0,CQ36*MAX(1,AF36/X36),IF(BZ36=1,IF(AF36&lt;=0,0,CD36*MAX(1,IF(H36&gt;0,AF36/H36,1))),IF(R36&gt;0,AG36/R36,0))/MAX(0.1,N(Parameter!$M$21)))</f>
        <v>0.0833333333333333</v>
      </c>
      <c r="AI36" s="50" t="n">
        <f aca="false">AH36*CB36</f>
        <v>12.0833333333333</v>
      </c>
      <c r="AJ36" s="51" t="n">
        <f aca="false">IF(LEFT(Cockpit!$C$5,1)="A",H36,IF(CH36=1,(CK36+CI36)/2,IF(LEFT(Cockpit!$C$5,1)="B",(CK36+AL36)/2,MAX((CK36+AL36)/2,H36))))</f>
        <v>2</v>
      </c>
      <c r="AK36" s="50" t="n">
        <f aca="false">AJ36*G36</f>
        <v>10700.58</v>
      </c>
      <c r="AL36" s="50" t="n">
        <f aca="false">ROUNDUP(CK36+MAX(CL36,2*(J36/IF(CG36&gt;0,CG36,MAX(0.1,N(Cockpit!$C$6)))-CK36)),0)</f>
        <v>3</v>
      </c>
      <c r="AM36" s="51" t="n">
        <f aca="false">IF(AI36&gt;0,J36/AI36,-1)</f>
        <v>0.496551724137931</v>
      </c>
      <c r="AN36" s="51" t="n">
        <f aca="false">IF(AND(OR(CF36="L1",CF36="L23",CF36="LIFT"),AI36&gt;0),SUMIFS($AI$7:$AI$1843,$CF$7:$CF$1843,CF36,$AM$7:$AM$1843,"&gt;"&amp;AM36)+SUMIFS($AI$7:$AI$1843,$CF$7:$CF$1843,CF36,$AM$7:$AM$1843,AM36,$BW$7:$BW$1843,"&lt;="&amp;BW36),"")</f>
        <v>9598.09383601333</v>
      </c>
      <c r="AO36" s="58" t="n">
        <f aca="false">IF(AN36="",0,MAX(0,MIN(1,(IF(CF36="L1",Parameter!$H$5,IF(CF36="L23",Parameter!$H$6+Parameter!$H$7,Parameter!$H$5+Parameter!$H$6+Parameter!$H$7))-(AN36-AI36))/AI36)))</f>
        <v>1</v>
      </c>
      <c r="AP36" s="50" t="n">
        <f aca="false">IF(LEFT(Cockpit!$I$5,1)="A",H36,IF(Parameter!$E$30="MAX-Bestand",IF(CH36=1,CI36,IF(LEFT(Cockpit!$I$5,1)="B",AV36,MAX(AV36,H36))),ROUNDUP(AT36,0)))</f>
        <v>2</v>
      </c>
      <c r="AQ36" s="50" t="n">
        <f aca="false">IF(BZ36=1,0,ROUNDUP(AP36/BY36,0))</f>
        <v>1</v>
      </c>
      <c r="AR36" s="52" t="n">
        <f aca="false">IF(CQ36&gt;0,CQ36*MAX(1,AP36/X36),IF(BZ36=1,IF(AP36&lt;=0,0,CD36*MAX(1,IF(H36&gt;0,AP36/H36,1))),IF(R36&gt;0,AQ36/R36,0))/MAX(0.1,N(Parameter!$M$21)))</f>
        <v>0.0833333333333333</v>
      </c>
      <c r="AS36" s="50" t="n">
        <f aca="false">AR36*CB36</f>
        <v>12.0833333333333</v>
      </c>
      <c r="AT36" s="51" t="n">
        <f aca="false">IF(LEFT(Cockpit!$I$5,1)="A",H36,IF(CH36=1,(CK36+CI36)/2,IF(LEFT(Cockpit!$I$5,1)="B",(CK36+AV36)/2,MAX((CK36+AV36)/2,H36))))</f>
        <v>2</v>
      </c>
      <c r="AU36" s="50" t="n">
        <f aca="false">AT36*G36</f>
        <v>10700.58</v>
      </c>
      <c r="AV36" s="50" t="n">
        <f aca="false">ROUNDUP(CK36+MAX(CL36,2*(J36/IF(CG36&gt;0,CG36,MAX(0.1,N(Cockpit!$I$6)))-CK36)),0)</f>
        <v>3</v>
      </c>
      <c r="AW36" s="51" t="n">
        <f aca="false">IF(AS36&gt;0,J36/AS36,-1)</f>
        <v>0.496551724137931</v>
      </c>
      <c r="AX36" s="51" t="n">
        <f aca="false">IF(AND(OR(CF36="L1",CF36="L23",CF36="LIFT"),AS36&gt;0),SUMIFS($AS$7:$AS$1843,$CF$7:$CF$1843,CF36,$AW$7:$AW$1843,"&gt;"&amp;AW36)+SUMIFS($AS$7:$AS$1843,$CF$7:$CF$1843,CF36,$AW$7:$AW$1843,AW36,$BW$7:$BW$1843,"&lt;="&amp;BW36),"")</f>
        <v>12011.9304029304</v>
      </c>
      <c r="AY36" s="58" t="n">
        <f aca="false">IF(AX36="",0,MAX(0,MIN(1,(IF(CF36="L1",Parameter!$H$5,IF(CF36="L23",Parameter!$H$6+Parameter!$H$7,Parameter!$H$5+Parameter!$H$6+Parameter!$H$7))-(AX36-AS36))/AS36)))</f>
        <v>1</v>
      </c>
      <c r="AZ36" s="50" t="n">
        <f aca="false">IF(LEFT(Cockpit!$O$5,1)="A",H36,IF(Parameter!$E$30="MAX-Bestand",IF(CH36=1,CI36,IF(LEFT(Cockpit!$O$5,1)="B",BF36,MAX(BF36,H36))),ROUNDUP(BD36,0)))</f>
        <v>2</v>
      </c>
      <c r="BA36" s="50" t="n">
        <f aca="false">IF(BZ36=1,0,ROUNDUP(AZ36/BY36,0))</f>
        <v>1</v>
      </c>
      <c r="BB36" s="52" t="n">
        <f aca="false">IF(CQ36&gt;0,CQ36*MAX(1,AZ36/X36),IF(BZ36=1,IF(AZ36&lt;=0,0,CD36*MAX(1,IF(H36&gt;0,AZ36/H36,1))),IF(R36&gt;0,BA36/R36,0))/MAX(0.1,N(Parameter!$M$21)))</f>
        <v>0.0833333333333333</v>
      </c>
      <c r="BC36" s="50" t="n">
        <f aca="false">BB36*CB36</f>
        <v>12.0833333333333</v>
      </c>
      <c r="BD36" s="51" t="n">
        <f aca="false">IF(LEFT(Cockpit!$O$5,1)="A",H36,IF(CH36=1,(CK36+CI36)/2,IF(LEFT(Cockpit!$O$5,1)="B",(CK36+BF36)/2,MAX((CK36+BF36)/2,H36))))</f>
        <v>1.5</v>
      </c>
      <c r="BE36" s="50" t="n">
        <f aca="false">BD36*G36</f>
        <v>8025.435</v>
      </c>
      <c r="BF36" s="50" t="n">
        <f aca="false">ROUNDUP(CK36+MAX(CL36,2*(J36/IF(CG36&gt;0,CG36,MAX(0.1,N(Cockpit!$O$6)))-CK36)),0)</f>
        <v>2</v>
      </c>
      <c r="BG36" s="51" t="n">
        <f aca="false">IF(BC36&gt;0,J36/BC36,-1)</f>
        <v>0.496551724137931</v>
      </c>
      <c r="BH36" s="51" t="n">
        <f aca="false">IF(AND(OR(CF36="L1",CF36="L23",CF36="LIFT"),BC36&gt;0),SUMIFS($BC$7:$BC$1843,$CF$7:$CF$1843,CF36,$BG$7:$BG$1843,"&gt;"&amp;BG36)+SUMIFS($BC$7:$BC$1843,$CF$7:$CF$1843,CF36,$BG$7:$BG$1843,BG36,$BW$7:$BW$1843,"&lt;="&amp;BW36),"")</f>
        <v>10375.3466117216</v>
      </c>
      <c r="BI36" s="58" t="n">
        <f aca="false">IF(BH36="",0,MAX(0,MIN(1,(IF(CF36="L1",Parameter!$H$5,IF(CF36="L23",Parameter!$H$6+Parameter!$H$7,Parameter!$H$5+Parameter!$H$6+Parameter!$H$7))-(BH36-BC36))/BC36)))</f>
        <v>1</v>
      </c>
      <c r="BJ36" s="48" t="str">
        <f aca="false">IF(AI36&lt;=0,"",IF(CF36="Aussen","Aussenlager",IF(CF36="-","Nicht im Lift",IF(AO36&gt;=1,"Lift",IF(AO36&lt;=0,"Aussenlager","teilweise")))))</f>
        <v>Lift</v>
      </c>
      <c r="BK36" s="48" t="str">
        <f aca="false">IF(AS36&lt;=0,"",IF(CF36="Aussen","Aussenlager",IF(CF36="-","Nicht im Lift",IF(AY36&gt;=1,"Lift",IF(AY36&lt;=0,"Aussenlager","teilweise")))))</f>
        <v>Lift</v>
      </c>
      <c r="BL36" s="48" t="str">
        <f aca="false">IF(BC36&lt;=0,"",IF(CF36="Aussen","Aussenlager",IF(CF36="-","Nicht im Lift",IF(BI36&gt;=1,"Lift",IF(BI36&lt;=0,"Aussenlager","teilweise")))))</f>
        <v>Lift</v>
      </c>
      <c r="BM36" s="48" t="str">
        <f aca="false">IF(A36="","",IF(BV36=1,"Neu; ","")&amp;IF(AND(BV36=0,BQ36&lt;0),"negativer Bestand (Export "&amp;BQ36&amp;"); ","")&amp;IF(J36&lt;=0,"Kein Verbrauch; ","")&amp;IF(CQ36&gt;0,"Lift "&amp;W36&amp;" lt. Liftbericht (Fach "&amp;X36&amp;" Stk); ",IF(CA36=1,"Gebinde geschätzt ("&amp;T36&amp;"); ",IF(BZ36=1,"Lose – Tablare geschätzt; ","")))&amp;IF(H36&gt;AV36,"Überbestand "&amp;ROUND(H36-AV36,0)&amp;" Stk / CHF "&amp;ROUND((H36-AV36)*G36,0)&amp;"; ","")&amp;IF(AND(CH36=1,CI36&lt;CJ36),"MAX &lt; MB+LG; ","")&amp;IF(AND(CP36&gt;0,CO36*10&gt;CP36),"zu hoch für Tablar; ","")&amp;IF(AND(BV36=0,OR(CH36=1,AA36&lt;&gt;"",U36&lt;&gt;"",V36&lt;&gt;"",AB36&lt;&gt;"")),"manuell übersteuert; ","")&amp;IF(AND(BZ36=0,R36=0),"Gebinde unbekannt / Stellmass fehlt; ","")&amp;IF(AND(BZ36=0,N(V36)&lt;=0,N(Q36)&lt;=0),"Menge pro Gebinde fehlt (Ist = 1 Gebinde); ","")&amp;BU36)</f>
        <v>Gebinde geschätzt (Mittel); Menge pro Gebinde fehlt (Ist = 1 Gebinde); </v>
      </c>
      <c r="BN36" s="48"/>
      <c r="BO36" s="48"/>
      <c r="BP36" s="55"/>
      <c r="BQ36" s="50" t="n">
        <v>2</v>
      </c>
      <c r="BR36" s="50" t="n">
        <v>0</v>
      </c>
      <c r="BS36" s="49" t="n">
        <v>10700.58</v>
      </c>
      <c r="BT36" s="50" t="n">
        <v>6</v>
      </c>
      <c r="BU36" s="48"/>
      <c r="BV36" s="53" t="n">
        <v>0</v>
      </c>
      <c r="BW36" s="53" t="n">
        <v>36</v>
      </c>
      <c r="BX36" s="48" t="str">
        <f aca="false">IF(U36&lt;&gt;"",UPPER(TRIM(U36)),IF(CA36=1,UPPER(VLOOKUP(T36,Parameter!$I$27:$K$29,2,0)),IF(P36="","LOSE",P36)))</f>
        <v>S61</v>
      </c>
      <c r="BY36" s="50" t="n">
        <f aca="false">IF(BX36="LOSE",1,IF(N(V36)&gt;0,V36,IF(CA36=1,MAX(1,N(VLOOKUP(T36,Parameter!$I$27:$K$29,3,0)),H36,N(N36)),IF(N(Q36)&gt;0,Q36,MAX(1,H36)))))</f>
        <v>4</v>
      </c>
      <c r="BZ36" s="53" t="n">
        <f aca="false">IF(BX36="LOSE",1,0)</f>
        <v>0</v>
      </c>
      <c r="CA36" s="53" t="n">
        <f aca="false">IF(AND(U36="",OR(P36="",P36="LOSE"),T36&lt;&gt;"",N(S36)&lt;=0,ISNUMBER(MATCH(T36,Parameter!$I$27:$I$29,0))),1,0)</f>
        <v>1</v>
      </c>
      <c r="CB36" s="53" t="n">
        <f aca="false">IF(CQ36&gt;0,INDEX(Parameter!$H$5:$H$7,W36)/INDEX(Parameter!$E$5:$E$7,W36),IF(AND(BZ36=0,N(IFERROR(VLOOKUP(BX36,'Gebinde-Kategorie'!$A$5:$N$45,14,0),0))&gt;0),VLOOKUP(BX36,'Gebinde-Kategorie'!$A$5:$N$45,14,0)*10+Parameter!$M$23,Parameter!$M$24))</f>
        <v>145</v>
      </c>
      <c r="CC36" s="48" t="str">
        <f aca="false">IF(AND(Parameter!$B$19="Ja",E36&lt;&gt;"",ISNUMBER(MATCH(E36,Parameter!$I$35:$I$52,0))),VLOOKUP(E36,Parameter!$I$35:$J$52,2,0),IFERROR(VLOOKUP(D36,Parameter!$A$35:$C$64,2,0),"Nein"))</f>
        <v>2+3</v>
      </c>
      <c r="CD36" s="52" t="n">
        <f aca="false">IF(BZ36=0,0,IF(N(S36)&gt;0,S36,IFERROR(VLOOKUP(D36,Parameter!$A$35:$C$64,3,0)+0,0)))</f>
        <v>0</v>
      </c>
      <c r="CE36" s="48" t="n">
        <f aca="false">IF(AA36&lt;&gt;"",AA36,Z36)</f>
        <v>2</v>
      </c>
      <c r="CF36" s="48" t="str">
        <f aca="false">IF(OR(CE36=1,CE36=2,CE36=3),IF(Parameter!$E$27="Ja","LIFT",IF(CE36=1,"L1","L23")),IF(CE36="Aussen","Aussen","-"))</f>
        <v>LIFT</v>
      </c>
      <c r="CG36" s="59" t="n">
        <f aca="false">IF(N(AB36)&gt;0,AB36,0)</f>
        <v>0</v>
      </c>
      <c r="CH36" s="53" t="n">
        <f aca="false">IF(ISNUMBER(AE36),1,0)</f>
        <v>0</v>
      </c>
      <c r="CI36" s="50" t="n">
        <f aca="false">N(AE36)</f>
        <v>0</v>
      </c>
      <c r="CJ36" s="50" t="n">
        <f aca="false">N(M36)+N(N36)</f>
        <v>2</v>
      </c>
      <c r="CK36" s="50" t="n">
        <f aca="false">N(M36)</f>
        <v>1</v>
      </c>
      <c r="CL36" s="50" t="n">
        <f aca="false">N(N36)</f>
        <v>1</v>
      </c>
      <c r="CM36" s="50" t="n">
        <f aca="false">ROUNDUP(H36/BY36,0)</f>
        <v>1</v>
      </c>
      <c r="CN36" s="50" t="n">
        <f aca="false">ROUNDUP(CI36/BY36,0)</f>
        <v>0</v>
      </c>
      <c r="CO36" s="53" t="n">
        <f aca="false">IF(BZ36=1,0,IFERROR(VLOOKUP(BX36,'Gebinde-Kategorie'!$A$5:$N$45,5,0)+0,0))</f>
        <v>11</v>
      </c>
      <c r="CP36" s="53" t="n">
        <f aca="false">IFERROR(IF(OR(CE36=1,CE36=2,CE36=3),N(INDEX(Parameter!$I$5:$I$7,CE36)),0),0)</f>
        <v>0</v>
      </c>
      <c r="CQ36" s="52" t="n">
        <f aca="false">IF(AND(Parameter!$B$21="Ja",ISNUMBER(W36),N(X36)&gt;0),IFERROR(N(INDEX(Parameter!$L$5:$L$7,W36))*INDEX(Parameter!$E$5:$E$7,W36)*X36/SUMIFS($X$7:$X$1843,$W$7:$W$1843,W36),0),0)</f>
        <v>0</v>
      </c>
    </row>
    <row r="37" customFormat="false" ht="15" hidden="false" customHeight="false" outlineLevel="0" collapsed="false">
      <c r="A37" s="48" t="s">
        <v>266</v>
      </c>
      <c r="B37" s="48" t="s">
        <v>267</v>
      </c>
      <c r="C37" s="48" t="s">
        <v>173</v>
      </c>
      <c r="D37" s="48" t="s">
        <v>182</v>
      </c>
      <c r="E37" s="48" t="s">
        <v>194</v>
      </c>
      <c r="F37" s="48" t="s">
        <v>227</v>
      </c>
      <c r="G37" s="49" t="n">
        <v>225.19</v>
      </c>
      <c r="H37" s="50" t="n">
        <f aca="false">MAX(0,IF(AND(Parameter!$B$21="Ja",ISNUMBER(Y37)),Y37,IF(Parameter!$B$20="Jahresanfang 2025 + Export",BR37+BQ37,BQ37)))</f>
        <v>62</v>
      </c>
      <c r="I37" s="50" t="n">
        <f aca="false">H37*G37</f>
        <v>13961.78</v>
      </c>
      <c r="J37" s="50" t="n">
        <f aca="false">BT37*Parameter!$B$18</f>
        <v>131</v>
      </c>
      <c r="K37" s="51" t="n">
        <v>24</v>
      </c>
      <c r="L37" s="52" t="n">
        <v>5.45833333333333</v>
      </c>
      <c r="M37" s="50" t="n">
        <v>12</v>
      </c>
      <c r="N37" s="50" t="n">
        <v>35</v>
      </c>
      <c r="O37" s="53" t="n">
        <v>84</v>
      </c>
      <c r="P37" s="48" t="s">
        <v>268</v>
      </c>
      <c r="Q37" s="50" t="n">
        <v>61</v>
      </c>
      <c r="R37" s="53" t="n">
        <f aca="false">IF(BZ37=1,0,IFERROR(VLOOKUP(BX37,'Gebinde-Kategorie'!$A$5:$N$45,13,0)+0,0))</f>
        <v>6</v>
      </c>
      <c r="S37" s="54"/>
      <c r="T37" s="55"/>
      <c r="U37" s="55"/>
      <c r="V37" s="55"/>
      <c r="W37" s="48"/>
      <c r="X37" s="50"/>
      <c r="Y37" s="50"/>
      <c r="Z37" s="48" t="n">
        <f aca="false">IF(A37="","",IF(AND(Parameter!$B$21="Ja",ISNUMBER(W37)),W37,IF(CC37="2+3",IF(ISNUMBER(SEARCH("grosser Artikel",BU37)),2,IFERROR(VLOOKUP(BX37,Parameter!$F$35:$G$64,2,0),2)),IF(OR(CC37="Nein",CC37=""),"-",CC37))))</f>
        <v>2</v>
      </c>
      <c r="AA37" s="55"/>
      <c r="AB37" s="56"/>
      <c r="AC37" s="50" t="n">
        <f aca="false">AV37</f>
        <v>76</v>
      </c>
      <c r="AD37" s="50" t="n">
        <f aca="false">MAX(AV37,H37)</f>
        <v>76</v>
      </c>
      <c r="AE37" s="57"/>
      <c r="AF37" s="50" t="n">
        <f aca="false">IF(LEFT(Cockpit!$C$5,1)="A",H37,IF(Parameter!$E$30="MAX-Bestand",IF(CH37=1,CI37,IF(LEFT(Cockpit!$C$5,1)="B",AL37,MAX(AL37,H37))),ROUNDUP(AJ37,0)))</f>
        <v>62</v>
      </c>
      <c r="AG37" s="50" t="n">
        <f aca="false">IF(BZ37=1,0,ROUNDUP(AF37/BY37,0))</f>
        <v>2</v>
      </c>
      <c r="AH37" s="52" t="n">
        <f aca="false">IF(CQ37&gt;0,CQ37*MAX(1,AF37/X37),IF(BZ37=1,IF(AF37&lt;=0,0,CD37*MAX(1,IF(H37&gt;0,AF37/H37,1))),IF(R37&gt;0,AG37/R37,0))/MAX(0.1,N(Parameter!$M$21)))</f>
        <v>0.333333333333333</v>
      </c>
      <c r="AI37" s="50" t="n">
        <f aca="false">AH37*CB37</f>
        <v>145</v>
      </c>
      <c r="AJ37" s="51" t="n">
        <f aca="false">IF(LEFT(Cockpit!$C$5,1)="A",H37,IF(CH37=1,(CK37+CI37)/2,IF(LEFT(Cockpit!$C$5,1)="B",(CK37+AL37)/2,MAX((CK37+AL37)/2,H37))))</f>
        <v>62</v>
      </c>
      <c r="AK37" s="50" t="n">
        <f aca="false">AJ37*G37</f>
        <v>13961.78</v>
      </c>
      <c r="AL37" s="50" t="n">
        <f aca="false">ROUNDUP(CK37+MAX(CL37,2*(J37/IF(CG37&gt;0,CG37,MAX(0.1,N(Cockpit!$C$6)))-CK37)),0)</f>
        <v>76</v>
      </c>
      <c r="AM37" s="51" t="n">
        <f aca="false">IF(AI37&gt;0,J37/AI37,-1)</f>
        <v>0.903448275862069</v>
      </c>
      <c r="AN37" s="51" t="n">
        <f aca="false">IF(AND(OR(CF37="L1",CF37="L23",CF37="LIFT"),AI37&gt;0),SUMIFS($AI$7:$AI$1843,$CF$7:$CF$1843,CF37,$AM$7:$AM$1843,"&gt;"&amp;AM37)+SUMIFS($AI$7:$AI$1843,$CF$7:$CF$1843,CF37,$AM$7:$AM$1843,AM37,$BW$7:$BW$1843,"&lt;="&amp;BW37),"")</f>
        <v>7612.20558608059</v>
      </c>
      <c r="AO37" s="58" t="n">
        <f aca="false">IF(AN37="",0,MAX(0,MIN(1,(IF(CF37="L1",Parameter!$H$5,IF(CF37="L23",Parameter!$H$6+Parameter!$H$7,Parameter!$H$5+Parameter!$H$6+Parameter!$H$7))-(AN37-AI37))/AI37)))</f>
        <v>1</v>
      </c>
      <c r="AP37" s="50" t="n">
        <f aca="false">IF(LEFT(Cockpit!$I$5,1)="A",H37,IF(Parameter!$E$30="MAX-Bestand",IF(CH37=1,CI37,IF(LEFT(Cockpit!$I$5,1)="B",AV37,MAX(AV37,H37))),ROUNDUP(AT37,0)))</f>
        <v>62</v>
      </c>
      <c r="AQ37" s="50" t="n">
        <f aca="false">IF(BZ37=1,0,ROUNDUP(AP37/BY37,0))</f>
        <v>2</v>
      </c>
      <c r="AR37" s="52" t="n">
        <f aca="false">IF(CQ37&gt;0,CQ37*MAX(1,AP37/X37),IF(BZ37=1,IF(AP37&lt;=0,0,CD37*MAX(1,IF(H37&gt;0,AP37/H37,1))),IF(R37&gt;0,AQ37/R37,0))/MAX(0.1,N(Parameter!$M$21)))</f>
        <v>0.333333333333333</v>
      </c>
      <c r="AS37" s="50" t="n">
        <f aca="false">AR37*CB37</f>
        <v>145</v>
      </c>
      <c r="AT37" s="51" t="n">
        <f aca="false">IF(LEFT(Cockpit!$I$5,1)="A",H37,IF(CH37=1,(CK37+CI37)/2,IF(LEFT(Cockpit!$I$5,1)="B",(CK37+AV37)/2,MAX((CK37+AV37)/2,H37))))</f>
        <v>62</v>
      </c>
      <c r="AU37" s="50" t="n">
        <f aca="false">AT37*G37</f>
        <v>13961.78</v>
      </c>
      <c r="AV37" s="50" t="n">
        <f aca="false">ROUNDUP(CK37+MAX(CL37,2*(J37/IF(CG37&gt;0,CG37,MAX(0.1,N(Cockpit!$I$6)))-CK37)),0)</f>
        <v>76</v>
      </c>
      <c r="AW37" s="51" t="n">
        <f aca="false">IF(AS37&gt;0,J37/AS37,-1)</f>
        <v>0.903448275862069</v>
      </c>
      <c r="AX37" s="51" t="n">
        <f aca="false">IF(AND(OR(CF37="L1",CF37="L23",CF37="LIFT"),AS37&gt;0),SUMIFS($AS$7:$AS$1843,$CF$7:$CF$1843,CF37,$AW$7:$AW$1843,"&gt;"&amp;AW37)+SUMIFS($AS$7:$AS$1843,$CF$7:$CF$1843,CF37,$AW$7:$AW$1843,AW37,$BW$7:$BW$1843,"&lt;="&amp;BW37),"")</f>
        <v>9186.6456043956</v>
      </c>
      <c r="AY37" s="58" t="n">
        <f aca="false">IF(AX37="",0,MAX(0,MIN(1,(IF(CF37="L1",Parameter!$H$5,IF(CF37="L23",Parameter!$H$6+Parameter!$H$7,Parameter!$H$5+Parameter!$H$6+Parameter!$H$7))-(AX37-AS37))/AS37)))</f>
        <v>1</v>
      </c>
      <c r="AZ37" s="50" t="n">
        <f aca="false">IF(LEFT(Cockpit!$O$5,1)="A",H37,IF(Parameter!$E$30="MAX-Bestand",IF(CH37=1,CI37,IF(LEFT(Cockpit!$O$5,1)="B",BF37,MAX(BF37,H37))),ROUNDUP(BD37,0)))</f>
        <v>33</v>
      </c>
      <c r="BA37" s="50" t="n">
        <f aca="false">IF(BZ37=1,0,ROUNDUP(AZ37/BY37,0))</f>
        <v>1</v>
      </c>
      <c r="BB37" s="52" t="n">
        <f aca="false">IF(CQ37&gt;0,CQ37*MAX(1,AZ37/X37),IF(BZ37=1,IF(AZ37&lt;=0,0,CD37*MAX(1,IF(H37&gt;0,AZ37/H37,1))),IF(R37&gt;0,BA37/R37,0))/MAX(0.1,N(Parameter!$M$21)))</f>
        <v>0.166666666666667</v>
      </c>
      <c r="BC37" s="50" t="n">
        <f aca="false">BB37*CB37</f>
        <v>72.5</v>
      </c>
      <c r="BD37" s="51" t="n">
        <f aca="false">IF(LEFT(Cockpit!$O$5,1)="A",H37,IF(CH37=1,(CK37+CI37)/2,IF(LEFT(Cockpit!$O$5,1)="B",(CK37+BF37)/2,MAX((CK37+BF37)/2,H37))))</f>
        <v>33</v>
      </c>
      <c r="BE37" s="50" t="n">
        <f aca="false">BD37*G37</f>
        <v>7431.27</v>
      </c>
      <c r="BF37" s="50" t="n">
        <f aca="false">ROUNDUP(CK37+MAX(CL37,2*(J37/IF(CG37&gt;0,CG37,MAX(0.1,N(Cockpit!$O$6)))-CK37)),0)</f>
        <v>54</v>
      </c>
      <c r="BG37" s="51" t="n">
        <f aca="false">IF(BC37&gt;0,J37/BC37,-1)</f>
        <v>1.80689655172414</v>
      </c>
      <c r="BH37" s="51" t="n">
        <f aca="false">IF(AND(OR(CF37="L1",CF37="L23",CF37="LIFT"),BC37&gt;0),SUMIFS($BC$7:$BC$1843,$CF$7:$CF$1843,CF37,$BG$7:$BG$1843,"&gt;"&amp;BG37)+SUMIFS($BC$7:$BC$1843,$CF$7:$CF$1843,CF37,$BG$7:$BG$1843,BG37,$BW$7:$BW$1843,"&lt;="&amp;BW37),"")</f>
        <v>6086.35897435898</v>
      </c>
      <c r="BI37" s="58" t="n">
        <f aca="false">IF(BH37="",0,MAX(0,MIN(1,(IF(CF37="L1",Parameter!$H$5,IF(CF37="L23",Parameter!$H$6+Parameter!$H$7,Parameter!$H$5+Parameter!$H$6+Parameter!$H$7))-(BH37-BC37))/BC37)))</f>
        <v>1</v>
      </c>
      <c r="BJ37" s="48" t="str">
        <f aca="false">IF(AI37&lt;=0,"",IF(CF37="Aussen","Aussenlager",IF(CF37="-","Nicht im Lift",IF(AO37&gt;=1,"Lift",IF(AO37&lt;=0,"Aussenlager","teilweise")))))</f>
        <v>Lift</v>
      </c>
      <c r="BK37" s="48" t="str">
        <f aca="false">IF(AS37&lt;=0,"",IF(CF37="Aussen","Aussenlager",IF(CF37="-","Nicht im Lift",IF(AY37&gt;=1,"Lift",IF(AY37&lt;=0,"Aussenlager","teilweise")))))</f>
        <v>Lift</v>
      </c>
      <c r="BL37" s="48" t="str">
        <f aca="false">IF(BC37&lt;=0,"",IF(CF37="Aussen","Aussenlager",IF(CF37="-","Nicht im Lift",IF(BI37&gt;=1,"Lift",IF(BI37&lt;=0,"Aussenlager","teilweise")))))</f>
        <v>Lift</v>
      </c>
      <c r="BM37" s="48" t="str">
        <f aca="false">IF(A37="","",IF(BV37=1,"Neu; ","")&amp;IF(AND(BV37=0,BQ37&lt;0),"negativer Bestand (Export "&amp;BQ37&amp;"); ","")&amp;IF(J37&lt;=0,"Kein Verbrauch; ","")&amp;IF(CQ37&gt;0,"Lift "&amp;W37&amp;" lt. Liftbericht (Fach "&amp;X37&amp;" Stk); ",IF(CA37=1,"Gebinde geschätzt ("&amp;T37&amp;"); ",IF(BZ37=1,"Lose – Tablare geschätzt; ","")))&amp;IF(H37&gt;AV37,"Überbestand "&amp;ROUND(H37-AV37,0)&amp;" Stk / CHF "&amp;ROUND((H37-AV37)*G37,0)&amp;"; ","")&amp;IF(AND(CH37=1,CI37&lt;CJ37),"MAX &lt; MB+LG; ","")&amp;IF(AND(CP37&gt;0,CO37*10&gt;CP37),"zu hoch für Tablar; ","")&amp;IF(AND(BV37=0,OR(CH37=1,AA37&lt;&gt;"",U37&lt;&gt;"",V37&lt;&gt;"",AB37&lt;&gt;"")),"manuell übersteuert; ","")&amp;IF(AND(BZ37=0,R37=0),"Gebinde unbekannt / Stellmass fehlt; ","")&amp;IF(AND(BZ37=0,N(V37)&lt;=0,N(Q37)&lt;=0),"Menge pro Gebinde fehlt (Ist = 1 Gebinde); ","")&amp;BU37)</f>
        <v>grosser Artikel &amp; nicht im KTL</v>
      </c>
      <c r="BN37" s="48" t="s">
        <v>269</v>
      </c>
      <c r="BO37" s="48"/>
      <c r="BP37" s="55"/>
      <c r="BQ37" s="50" t="n">
        <v>44</v>
      </c>
      <c r="BR37" s="50" t="n">
        <v>18</v>
      </c>
      <c r="BS37" s="49" t="n">
        <v>10677.68</v>
      </c>
      <c r="BT37" s="50" t="n">
        <v>131</v>
      </c>
      <c r="BU37" s="48" t="s">
        <v>270</v>
      </c>
      <c r="BV37" s="53" t="n">
        <v>0</v>
      </c>
      <c r="BW37" s="53" t="n">
        <v>37</v>
      </c>
      <c r="BX37" s="48" t="str">
        <f aca="false">IF(U37&lt;&gt;"",UPPER(TRIM(U37)),IF(CA37=1,UPPER(VLOOKUP(T37,Parameter!$I$27:$K$29,2,0)),IF(P37="","LOSE",P37)))</f>
        <v>S72</v>
      </c>
      <c r="BY37" s="50" t="n">
        <f aca="false">IF(BX37="LOSE",1,IF(N(V37)&gt;0,V37,IF(CA37=1,MAX(1,N(VLOOKUP(T37,Parameter!$I$27:$K$29,3,0)),H37,N(N37)),IF(N(Q37)&gt;0,Q37,MAX(1,H37)))))</f>
        <v>61</v>
      </c>
      <c r="BZ37" s="53" t="n">
        <f aca="false">IF(BX37="LOSE",1,0)</f>
        <v>0</v>
      </c>
      <c r="CA37" s="53" t="n">
        <f aca="false">IF(AND(U37="",OR(P37="",P37="LOSE"),T37&lt;&gt;"",N(S37)&lt;=0,ISNUMBER(MATCH(T37,Parameter!$I$27:$I$29,0))),1,0)</f>
        <v>0</v>
      </c>
      <c r="CB37" s="53" t="n">
        <f aca="false">IF(CQ37&gt;0,INDEX(Parameter!$H$5:$H$7,W37)/INDEX(Parameter!$E$5:$E$7,W37),IF(AND(BZ37=0,N(IFERROR(VLOOKUP(BX37,'Gebinde-Kategorie'!$A$5:$N$45,14,0),0))&gt;0),VLOOKUP(BX37,'Gebinde-Kategorie'!$A$5:$N$45,14,0)*10+Parameter!$M$23,Parameter!$M$24))</f>
        <v>435</v>
      </c>
      <c r="CC37" s="48" t="str">
        <f aca="false">IF(AND(Parameter!$B$19="Ja",E37&lt;&gt;"",ISNUMBER(MATCH(E37,Parameter!$I$35:$I$52,0))),VLOOKUP(E37,Parameter!$I$35:$J$52,2,0),IFERROR(VLOOKUP(D37,Parameter!$A$35:$C$64,2,0),"Nein"))</f>
        <v>2+3</v>
      </c>
      <c r="CD37" s="52" t="n">
        <f aca="false">IF(BZ37=0,0,IF(N(S37)&gt;0,S37,IFERROR(VLOOKUP(D37,Parameter!$A$35:$C$64,3,0)+0,0)))</f>
        <v>0</v>
      </c>
      <c r="CE37" s="48" t="n">
        <f aca="false">IF(AA37&lt;&gt;"",AA37,Z37)</f>
        <v>2</v>
      </c>
      <c r="CF37" s="48" t="str">
        <f aca="false">IF(OR(CE37=1,CE37=2,CE37=3),IF(Parameter!$E$27="Ja","LIFT",IF(CE37=1,"L1","L23")),IF(CE37="Aussen","Aussen","-"))</f>
        <v>LIFT</v>
      </c>
      <c r="CG37" s="59" t="n">
        <f aca="false">IF(N(AB37)&gt;0,AB37,0)</f>
        <v>0</v>
      </c>
      <c r="CH37" s="53" t="n">
        <f aca="false">IF(ISNUMBER(AE37),1,0)</f>
        <v>0</v>
      </c>
      <c r="CI37" s="50" t="n">
        <f aca="false">N(AE37)</f>
        <v>0</v>
      </c>
      <c r="CJ37" s="50" t="n">
        <f aca="false">N(M37)+N(N37)</f>
        <v>47</v>
      </c>
      <c r="CK37" s="50" t="n">
        <f aca="false">N(M37)</f>
        <v>12</v>
      </c>
      <c r="CL37" s="50" t="n">
        <f aca="false">N(N37)</f>
        <v>35</v>
      </c>
      <c r="CM37" s="50" t="n">
        <f aca="false">ROUNDUP(H37/BY37,0)</f>
        <v>2</v>
      </c>
      <c r="CN37" s="50" t="n">
        <f aca="false">ROUNDUP(CI37/BY37,0)</f>
        <v>0</v>
      </c>
      <c r="CO37" s="53" t="n">
        <f aca="false">IF(BZ37=1,0,IFERROR(VLOOKUP(BX37,'Gebinde-Kategorie'!$A$5:$N$45,5,0)+0,0))</f>
        <v>40</v>
      </c>
      <c r="CP37" s="53" t="n">
        <f aca="false">IFERROR(IF(OR(CE37=1,CE37=2,CE37=3),N(INDEX(Parameter!$I$5:$I$7,CE37)),0),0)</f>
        <v>0</v>
      </c>
      <c r="CQ37" s="52" t="n">
        <f aca="false">IF(AND(Parameter!$B$21="Ja",ISNUMBER(W37),N(X37)&gt;0),IFERROR(N(INDEX(Parameter!$L$5:$L$7,W37))*INDEX(Parameter!$E$5:$E$7,W37)*X37/SUMIFS($X$7:$X$1843,$W$7:$W$1843,W37),0),0)</f>
        <v>0</v>
      </c>
    </row>
    <row r="38" customFormat="false" ht="15" hidden="false" customHeight="false" outlineLevel="0" collapsed="false">
      <c r="A38" s="48" t="s">
        <v>271</v>
      </c>
      <c r="B38" s="48" t="s">
        <v>272</v>
      </c>
      <c r="C38" s="48" t="s">
        <v>173</v>
      </c>
      <c r="D38" s="48" t="s">
        <v>182</v>
      </c>
      <c r="E38" s="48" t="s">
        <v>175</v>
      </c>
      <c r="F38" s="48" t="s">
        <v>227</v>
      </c>
      <c r="G38" s="49" t="n">
        <v>630.41</v>
      </c>
      <c r="H38" s="50" t="n">
        <f aca="false">MAX(0,IF(AND(Parameter!$B$21="Ja",ISNUMBER(Y38)),Y38,IF(Parameter!$B$20="Jahresanfang 2025 + Export",BR38+BQ38,BQ38)))</f>
        <v>16</v>
      </c>
      <c r="I38" s="50" t="n">
        <f aca="false">H38*G38</f>
        <v>10086.56</v>
      </c>
      <c r="J38" s="50" t="n">
        <f aca="false">BT38*Parameter!$B$18</f>
        <v>72</v>
      </c>
      <c r="K38" s="51" t="n">
        <v>13</v>
      </c>
      <c r="L38" s="52" t="n">
        <v>5.53846153846154</v>
      </c>
      <c r="M38" s="50" t="n">
        <v>4</v>
      </c>
      <c r="N38" s="50" t="n">
        <v>15</v>
      </c>
      <c r="O38" s="53" t="n">
        <v>21</v>
      </c>
      <c r="P38" s="48" t="s">
        <v>232</v>
      </c>
      <c r="Q38" s="50" t="n">
        <v>8</v>
      </c>
      <c r="R38" s="53" t="n">
        <f aca="false">IF(BZ38=1,0,IFERROR(VLOOKUP(BX38,'Gebinde-Kategorie'!$A$5:$N$45,13,0)+0,0))</f>
        <v>4</v>
      </c>
      <c r="S38" s="54"/>
      <c r="T38" s="55"/>
      <c r="U38" s="55"/>
      <c r="V38" s="55"/>
      <c r="W38" s="48"/>
      <c r="X38" s="50"/>
      <c r="Y38" s="50"/>
      <c r="Z38" s="48" t="n">
        <f aca="false">IF(A38="","",IF(AND(Parameter!$B$21="Ja",ISNUMBER(W38)),W38,IF(CC38="2+3",IF(ISNUMBER(SEARCH("grosser Artikel",BU38)),2,IFERROR(VLOOKUP(BX38,Parameter!$F$35:$G$64,2,0),2)),IF(OR(CC38="Nein",CC38=""),"-",CC38))))</f>
        <v>1</v>
      </c>
      <c r="AA38" s="55"/>
      <c r="AB38" s="56"/>
      <c r="AC38" s="50" t="n">
        <f aca="false">AV38</f>
        <v>44</v>
      </c>
      <c r="AD38" s="50" t="n">
        <f aca="false">MAX(AV38,H38)</f>
        <v>44</v>
      </c>
      <c r="AE38" s="57"/>
      <c r="AF38" s="50" t="n">
        <f aca="false">IF(LEFT(Cockpit!$C$5,1)="A",H38,IF(Parameter!$E$30="MAX-Bestand",IF(CH38=1,CI38,IF(LEFT(Cockpit!$C$5,1)="B",AL38,MAX(AL38,H38))),ROUNDUP(AJ38,0)))</f>
        <v>16</v>
      </c>
      <c r="AG38" s="50" t="n">
        <f aca="false">IF(BZ38=1,0,ROUNDUP(AF38/BY38,0))</f>
        <v>2</v>
      </c>
      <c r="AH38" s="52" t="n">
        <f aca="false">IF(CQ38&gt;0,CQ38*MAX(1,AF38/X38),IF(BZ38=1,IF(AF38&lt;=0,0,CD38*MAX(1,IF(H38&gt;0,AF38/H38,1))),IF(R38&gt;0,AG38/R38,0))/MAX(0.1,N(Parameter!$M$21)))</f>
        <v>0.5</v>
      </c>
      <c r="AI38" s="50" t="n">
        <f aca="false">AH38*CB38</f>
        <v>117.5</v>
      </c>
      <c r="AJ38" s="51" t="n">
        <f aca="false">IF(LEFT(Cockpit!$C$5,1)="A",H38,IF(CH38=1,(CK38+CI38)/2,IF(LEFT(Cockpit!$C$5,1)="B",(CK38+AL38)/2,MAX((CK38+AL38)/2,H38))))</f>
        <v>16</v>
      </c>
      <c r="AK38" s="50" t="n">
        <f aca="false">AJ38*G38</f>
        <v>10086.56</v>
      </c>
      <c r="AL38" s="50" t="n">
        <f aca="false">ROUNDUP(CK38+MAX(CL38,2*(J38/IF(CG38&gt;0,CG38,MAX(0.1,N(Cockpit!$C$6)))-CK38)),0)</f>
        <v>44</v>
      </c>
      <c r="AM38" s="51" t="n">
        <f aca="false">IF(AI38&gt;0,J38/AI38,-1)</f>
        <v>0.612765957446809</v>
      </c>
      <c r="AN38" s="51" t="n">
        <f aca="false">IF(AND(OR(CF38="L1",CF38="L23",CF38="LIFT"),AI38&gt;0),SUMIFS($AI$7:$AI$1843,$CF$7:$CF$1843,CF38,$AM$7:$AM$1843,"&gt;"&amp;AM38)+SUMIFS($AI$7:$AI$1843,$CF$7:$CF$1843,CF38,$AM$7:$AM$1843,AM38,$BW$7:$BW$1843,"&lt;="&amp;BW38),"")</f>
        <v>8995.36947703897</v>
      </c>
      <c r="AO38" s="58" t="n">
        <f aca="false">IF(AN38="",0,MAX(0,MIN(1,(IF(CF38="L1",Parameter!$H$5,IF(CF38="L23",Parameter!$H$6+Parameter!$H$7,Parameter!$H$5+Parameter!$H$6+Parameter!$H$7))-(AN38-AI38))/AI38)))</f>
        <v>1</v>
      </c>
      <c r="AP38" s="50" t="n">
        <f aca="false">IF(LEFT(Cockpit!$I$5,1)="A",H38,IF(Parameter!$E$30="MAX-Bestand",IF(CH38=1,CI38,IF(LEFT(Cockpit!$I$5,1)="B",AV38,MAX(AV38,H38))),ROUNDUP(AT38,0)))</f>
        <v>24</v>
      </c>
      <c r="AQ38" s="50" t="n">
        <f aca="false">IF(BZ38=1,0,ROUNDUP(AP38/BY38,0))</f>
        <v>3</v>
      </c>
      <c r="AR38" s="52" t="n">
        <f aca="false">IF(CQ38&gt;0,CQ38*MAX(1,AP38/X38),IF(BZ38=1,IF(AP38&lt;=0,0,CD38*MAX(1,IF(H38&gt;0,AP38/H38,1))),IF(R38&gt;0,AQ38/R38,0))/MAX(0.1,N(Parameter!$M$21)))</f>
        <v>0.75</v>
      </c>
      <c r="AS38" s="50" t="n">
        <f aca="false">AR38*CB38</f>
        <v>176.25</v>
      </c>
      <c r="AT38" s="51" t="n">
        <f aca="false">IF(LEFT(Cockpit!$I$5,1)="A",H38,IF(CH38=1,(CK38+CI38)/2,IF(LEFT(Cockpit!$I$5,1)="B",(CK38+AV38)/2,MAX((CK38+AV38)/2,H38))))</f>
        <v>24</v>
      </c>
      <c r="AU38" s="50" t="n">
        <f aca="false">AT38*G38</f>
        <v>15129.84</v>
      </c>
      <c r="AV38" s="50" t="n">
        <f aca="false">ROUNDUP(CK38+MAX(CL38,2*(J38/IF(CG38&gt;0,CG38,MAX(0.1,N(Cockpit!$I$6)))-CK38)),0)</f>
        <v>44</v>
      </c>
      <c r="AW38" s="51" t="n">
        <f aca="false">IF(AS38&gt;0,J38/AS38,-1)</f>
        <v>0.408510638297872</v>
      </c>
      <c r="AX38" s="51" t="n">
        <f aca="false">IF(AND(OR(CF38="L1",CF38="L23",CF38="LIFT"),AS38&gt;0),SUMIFS($AS$7:$AS$1843,$CF$7:$CF$1843,CF38,$AW$7:$AW$1843,"&gt;"&amp;AW38)+SUMIFS($AS$7:$AS$1843,$CF$7:$CF$1843,CF38,$AW$7:$AW$1843,AW38,$BW$7:$BW$1843,"&lt;="&amp;BW38),"")</f>
        <v>12659.0993589744</v>
      </c>
      <c r="AY38" s="58" t="n">
        <f aca="false">IF(AX38="",0,MAX(0,MIN(1,(IF(CF38="L1",Parameter!$H$5,IF(CF38="L23",Parameter!$H$6+Parameter!$H$7,Parameter!$H$5+Parameter!$H$6+Parameter!$H$7))-(AX38-AS38))/AS38)))</f>
        <v>1</v>
      </c>
      <c r="AZ38" s="50" t="n">
        <f aca="false">IF(LEFT(Cockpit!$O$5,1)="A",H38,IF(Parameter!$E$30="MAX-Bestand",IF(CH38=1,CI38,IF(LEFT(Cockpit!$O$5,1)="B",BF38,MAX(BF38,H38))),ROUNDUP(BD38,0)))</f>
        <v>18</v>
      </c>
      <c r="BA38" s="50" t="n">
        <f aca="false">IF(BZ38=1,0,ROUNDUP(AZ38/BY38,0))</f>
        <v>3</v>
      </c>
      <c r="BB38" s="52" t="n">
        <f aca="false">IF(CQ38&gt;0,CQ38*MAX(1,AZ38/X38),IF(BZ38=1,IF(AZ38&lt;=0,0,CD38*MAX(1,IF(H38&gt;0,AZ38/H38,1))),IF(R38&gt;0,BA38/R38,0))/MAX(0.1,N(Parameter!$M$21)))</f>
        <v>0.75</v>
      </c>
      <c r="BC38" s="50" t="n">
        <f aca="false">BB38*CB38</f>
        <v>176.25</v>
      </c>
      <c r="BD38" s="51" t="n">
        <f aca="false">IF(LEFT(Cockpit!$O$5,1)="A",H38,IF(CH38=1,(CK38+CI38)/2,IF(LEFT(Cockpit!$O$5,1)="B",(CK38+BF38)/2,MAX((CK38+BF38)/2,H38))))</f>
        <v>18</v>
      </c>
      <c r="BE38" s="50" t="n">
        <f aca="false">BD38*G38</f>
        <v>11347.38</v>
      </c>
      <c r="BF38" s="50" t="n">
        <f aca="false">ROUNDUP(CK38+MAX(CL38,2*(J38/IF(CG38&gt;0,CG38,MAX(0.1,N(Cockpit!$O$6)))-CK38)),0)</f>
        <v>32</v>
      </c>
      <c r="BG38" s="51" t="n">
        <f aca="false">IF(BC38&gt;0,J38/BC38,-1)</f>
        <v>0.408510638297872</v>
      </c>
      <c r="BH38" s="51" t="n">
        <f aca="false">IF(AND(OR(CF38="L1",CF38="L23",CF38="LIFT"),BC38&gt;0),SUMIFS($BC$7:$BC$1843,$CF$7:$CF$1843,CF38,$BG$7:$BG$1843,"&gt;"&amp;BG38)+SUMIFS($BC$7:$BC$1843,$CF$7:$CF$1843,CF38,$BG$7:$BG$1843,BG38,$BW$7:$BW$1843,"&lt;="&amp;BW38),"")</f>
        <v>10879.353021978</v>
      </c>
      <c r="BI38" s="58" t="n">
        <f aca="false">IF(BH38="",0,MAX(0,MIN(1,(IF(CF38="L1",Parameter!$H$5,IF(CF38="L23",Parameter!$H$6+Parameter!$H$7,Parameter!$H$5+Parameter!$H$6+Parameter!$H$7))-(BH38-BC38))/BC38)))</f>
        <v>1</v>
      </c>
      <c r="BJ38" s="48" t="str">
        <f aca="false">IF(AI38&lt;=0,"",IF(CF38="Aussen","Aussenlager",IF(CF38="-","Nicht im Lift",IF(AO38&gt;=1,"Lift",IF(AO38&lt;=0,"Aussenlager","teilweise")))))</f>
        <v>Lift</v>
      </c>
      <c r="BK38" s="48" t="str">
        <f aca="false">IF(AS38&lt;=0,"",IF(CF38="Aussen","Aussenlager",IF(CF38="-","Nicht im Lift",IF(AY38&gt;=1,"Lift",IF(AY38&lt;=0,"Aussenlager","teilweise")))))</f>
        <v>Lift</v>
      </c>
      <c r="BL38" s="48" t="str">
        <f aca="false">IF(BC38&lt;=0,"",IF(CF38="Aussen","Aussenlager",IF(CF38="-","Nicht im Lift",IF(BI38&gt;=1,"Lift",IF(BI38&lt;=0,"Aussenlager","teilweise")))))</f>
        <v>Lift</v>
      </c>
      <c r="BM38" s="48" t="str">
        <f aca="false">IF(A38="","",IF(BV38=1,"Neu; ","")&amp;IF(AND(BV38=0,BQ38&lt;0),"negativer Bestand (Export "&amp;BQ38&amp;"); ","")&amp;IF(J38&lt;=0,"Kein Verbrauch; ","")&amp;IF(CQ38&gt;0,"Lift "&amp;W38&amp;" lt. Liftbericht (Fach "&amp;X38&amp;" Stk); ",IF(CA38=1,"Gebinde geschätzt ("&amp;T38&amp;"); ",IF(BZ38=1,"Lose – Tablare geschätzt; ","")))&amp;IF(H38&gt;AV38,"Überbestand "&amp;ROUND(H38-AV38,0)&amp;" Stk / CHF "&amp;ROUND((H38-AV38)*G38,0)&amp;"; ","")&amp;IF(AND(CH38=1,CI38&lt;CJ38),"MAX &lt; MB+LG; ","")&amp;IF(AND(CP38&gt;0,CO38*10&gt;CP38),"zu hoch für Tablar; ","")&amp;IF(AND(BV38=0,OR(CH38=1,AA38&lt;&gt;"",U38&lt;&gt;"",V38&lt;&gt;"",AB38&lt;&gt;"")),"manuell übersteuert; ","")&amp;IF(AND(BZ38=0,R38=0),"Gebinde unbekannt / Stellmass fehlt; ","")&amp;IF(AND(BZ38=0,N(V38)&lt;=0,N(Q38)&lt;=0),"Menge pro Gebinde fehlt (Ist = 1 Gebinde); ","")&amp;BU38)</f>
        <v/>
      </c>
      <c r="BN38" s="48"/>
      <c r="BO38" s="48"/>
      <c r="BP38" s="55"/>
      <c r="BQ38" s="50" t="n">
        <v>16</v>
      </c>
      <c r="BR38" s="50" t="n">
        <v>0</v>
      </c>
      <c r="BS38" s="49" t="n">
        <v>10086.58</v>
      </c>
      <c r="BT38" s="50" t="n">
        <v>72</v>
      </c>
      <c r="BU38" s="48"/>
      <c r="BV38" s="53" t="n">
        <v>0</v>
      </c>
      <c r="BW38" s="53" t="n">
        <v>38</v>
      </c>
      <c r="BX38" s="48" t="str">
        <f aca="false">IF(U38&lt;&gt;"",UPPER(TRIM(U38)),IF(CA38=1,UPPER(VLOOKUP(T38,Parameter!$I$27:$K$29,2,0)),IF(P38="","LOSE",P38)))</f>
        <v>S81</v>
      </c>
      <c r="BY38" s="50" t="n">
        <f aca="false">IF(BX38="LOSE",1,IF(N(V38)&gt;0,V38,IF(CA38=1,MAX(1,N(VLOOKUP(T38,Parameter!$I$27:$K$29,3,0)),H38,N(N38)),IF(N(Q38)&gt;0,Q38,MAX(1,H38)))))</f>
        <v>8</v>
      </c>
      <c r="BZ38" s="53" t="n">
        <f aca="false">IF(BX38="LOSE",1,0)</f>
        <v>0</v>
      </c>
      <c r="CA38" s="53" t="n">
        <f aca="false">IF(AND(U38="",OR(P38="",P38="LOSE"),T38&lt;&gt;"",N(S38)&lt;=0,ISNUMBER(MATCH(T38,Parameter!$I$27:$I$29,0))),1,0)</f>
        <v>0</v>
      </c>
      <c r="CB38" s="53" t="n">
        <f aca="false">IF(CQ38&gt;0,INDEX(Parameter!$H$5:$H$7,W38)/INDEX(Parameter!$E$5:$E$7,W38),IF(AND(BZ38=0,N(IFERROR(VLOOKUP(BX38,'Gebinde-Kategorie'!$A$5:$N$45,14,0),0))&gt;0),VLOOKUP(BX38,'Gebinde-Kategorie'!$A$5:$N$45,14,0)*10+Parameter!$M$23,Parameter!$M$24))</f>
        <v>235</v>
      </c>
      <c r="CC38" s="48" t="n">
        <f aca="false">IF(AND(Parameter!$B$19="Ja",E38&lt;&gt;"",ISNUMBER(MATCH(E38,Parameter!$I$35:$I$52,0))),VLOOKUP(E38,Parameter!$I$35:$J$52,2,0),IFERROR(VLOOKUP(D38,Parameter!$A$35:$C$64,2,0),"Nein"))</f>
        <v>1</v>
      </c>
      <c r="CD38" s="52" t="n">
        <f aca="false">IF(BZ38=0,0,IF(N(S38)&gt;0,S38,IFERROR(VLOOKUP(D38,Parameter!$A$35:$C$64,3,0)+0,0)))</f>
        <v>0</v>
      </c>
      <c r="CE38" s="48" t="n">
        <f aca="false">IF(AA38&lt;&gt;"",AA38,Z38)</f>
        <v>1</v>
      </c>
      <c r="CF38" s="48" t="str">
        <f aca="false">IF(OR(CE38=1,CE38=2,CE38=3),IF(Parameter!$E$27="Ja","LIFT",IF(CE38=1,"L1","L23")),IF(CE38="Aussen","Aussen","-"))</f>
        <v>LIFT</v>
      </c>
      <c r="CG38" s="59" t="n">
        <f aca="false">IF(N(AB38)&gt;0,AB38,0)</f>
        <v>0</v>
      </c>
      <c r="CH38" s="53" t="n">
        <f aca="false">IF(ISNUMBER(AE38),1,0)</f>
        <v>0</v>
      </c>
      <c r="CI38" s="50" t="n">
        <f aca="false">N(AE38)</f>
        <v>0</v>
      </c>
      <c r="CJ38" s="50" t="n">
        <f aca="false">N(M38)+N(N38)</f>
        <v>19</v>
      </c>
      <c r="CK38" s="50" t="n">
        <f aca="false">N(M38)</f>
        <v>4</v>
      </c>
      <c r="CL38" s="50" t="n">
        <f aca="false">N(N38)</f>
        <v>15</v>
      </c>
      <c r="CM38" s="50" t="n">
        <f aca="false">ROUNDUP(H38/BY38,0)</f>
        <v>2</v>
      </c>
      <c r="CN38" s="50" t="n">
        <f aca="false">ROUNDUP(CI38/BY38,0)</f>
        <v>0</v>
      </c>
      <c r="CO38" s="53" t="n">
        <f aca="false">IF(BZ38=1,0,IFERROR(VLOOKUP(BX38,'Gebinde-Kategorie'!$A$5:$N$45,5,0)+0,0))</f>
        <v>20</v>
      </c>
      <c r="CP38" s="53" t="n">
        <f aca="false">IFERROR(IF(OR(CE38=1,CE38=2,CE38=3),N(INDEX(Parameter!$I$5:$I$7,CE38)),0),0)</f>
        <v>0</v>
      </c>
      <c r="CQ38" s="52" t="n">
        <f aca="false">IF(AND(Parameter!$B$21="Ja",ISNUMBER(W38),N(X38)&gt;0),IFERROR(N(INDEX(Parameter!$L$5:$L$7,W38))*INDEX(Parameter!$E$5:$E$7,W38)*X38/SUMIFS($X$7:$X$1843,$W$7:$W$1843,W38),0),0)</f>
        <v>0</v>
      </c>
    </row>
    <row r="39" customFormat="false" ht="15" hidden="false" customHeight="false" outlineLevel="0" collapsed="false">
      <c r="A39" s="48" t="s">
        <v>273</v>
      </c>
      <c r="B39" s="48" t="s">
        <v>274</v>
      </c>
      <c r="C39" s="48" t="s">
        <v>173</v>
      </c>
      <c r="D39" s="48" t="s">
        <v>182</v>
      </c>
      <c r="E39" s="48" t="s">
        <v>175</v>
      </c>
      <c r="F39" s="48" t="s">
        <v>227</v>
      </c>
      <c r="G39" s="49" t="n">
        <v>914.52</v>
      </c>
      <c r="H39" s="50" t="n">
        <f aca="false">MAX(0,IF(AND(Parameter!$B$21="Ja",ISNUMBER(Y39)),Y39,IF(Parameter!$B$20="Jahresanfang 2025 + Export",BR39+BQ39,BQ39)))</f>
        <v>13</v>
      </c>
      <c r="I39" s="50" t="n">
        <f aca="false">H39*G39</f>
        <v>11888.76</v>
      </c>
      <c r="J39" s="50" t="n">
        <f aca="false">BT39*Parameter!$B$18</f>
        <v>147</v>
      </c>
      <c r="K39" s="51" t="n">
        <v>4</v>
      </c>
      <c r="L39" s="52" t="n">
        <v>36.75</v>
      </c>
      <c r="M39" s="50" t="n">
        <v>11</v>
      </c>
      <c r="N39" s="50" t="n">
        <v>20</v>
      </c>
      <c r="O39" s="53" t="n">
        <v>28</v>
      </c>
      <c r="P39" s="48" t="s">
        <v>177</v>
      </c>
      <c r="Q39" s="50"/>
      <c r="R39" s="53" t="n">
        <f aca="false">IF(BZ39=1,0,IFERROR(VLOOKUP(BX39,'Gebinde-Kategorie'!$A$5:$N$45,13,0)+0,0))</f>
        <v>12</v>
      </c>
      <c r="S39" s="54"/>
      <c r="T39" s="55" t="s">
        <v>188</v>
      </c>
      <c r="U39" s="55"/>
      <c r="V39" s="55"/>
      <c r="W39" s="48"/>
      <c r="X39" s="50"/>
      <c r="Y39" s="50"/>
      <c r="Z39" s="48" t="n">
        <f aca="false">IF(A39="","",IF(AND(Parameter!$B$21="Ja",ISNUMBER(W39)),W39,IF(CC39="2+3",IF(ISNUMBER(SEARCH("grosser Artikel",BU39)),2,IFERROR(VLOOKUP(BX39,Parameter!$F$35:$G$64,2,0),2)),IF(OR(CC39="Nein",CC39=""),"-",CC39))))</f>
        <v>1</v>
      </c>
      <c r="AA39" s="55"/>
      <c r="AB39" s="56"/>
      <c r="AC39" s="50" t="n">
        <f aca="false">AV39</f>
        <v>87</v>
      </c>
      <c r="AD39" s="50" t="n">
        <f aca="false">MAX(AV39,H39)</f>
        <v>87</v>
      </c>
      <c r="AE39" s="57"/>
      <c r="AF39" s="50" t="n">
        <f aca="false">IF(LEFT(Cockpit!$C$5,1)="A",H39,IF(Parameter!$E$30="MAX-Bestand",IF(CH39=1,CI39,IF(LEFT(Cockpit!$C$5,1)="B",AL39,MAX(AL39,H39))),ROUNDUP(AJ39,0)))</f>
        <v>13</v>
      </c>
      <c r="AG39" s="50" t="n">
        <f aca="false">IF(BZ39=1,0,ROUNDUP(AF39/BY39,0))</f>
        <v>1</v>
      </c>
      <c r="AH39" s="52" t="n">
        <f aca="false">IF(CQ39&gt;0,CQ39*MAX(1,AF39/X39),IF(BZ39=1,IF(AF39&lt;=0,0,CD39*MAX(1,IF(H39&gt;0,AF39/H39,1))),IF(R39&gt;0,AG39/R39,0))/MAX(0.1,N(Parameter!$M$21)))</f>
        <v>0.0833333333333333</v>
      </c>
      <c r="AI39" s="50" t="n">
        <f aca="false">AH39*CB39</f>
        <v>12.0833333333333</v>
      </c>
      <c r="AJ39" s="51" t="n">
        <f aca="false">IF(LEFT(Cockpit!$C$5,1)="A",H39,IF(CH39=1,(CK39+CI39)/2,IF(LEFT(Cockpit!$C$5,1)="B",(CK39+AL39)/2,MAX((CK39+AL39)/2,H39))))</f>
        <v>13</v>
      </c>
      <c r="AK39" s="50" t="n">
        <f aca="false">AJ39*G39</f>
        <v>11888.76</v>
      </c>
      <c r="AL39" s="50" t="n">
        <f aca="false">ROUNDUP(CK39+MAX(CL39,2*(J39/IF(CG39&gt;0,CG39,MAX(0.1,N(Cockpit!$C$6)))-CK39)),0)</f>
        <v>87</v>
      </c>
      <c r="AM39" s="51" t="n">
        <f aca="false">IF(AI39&gt;0,J39/AI39,-1)</f>
        <v>12.1655172413793</v>
      </c>
      <c r="AN39" s="51" t="n">
        <f aca="false">IF(AND(OR(CF39="L1",CF39="L23",CF39="LIFT"),AI39&gt;0),SUMIFS($AI$7:$AI$1843,$CF$7:$CF$1843,CF39,$AM$7:$AM$1843,"&gt;"&amp;AM39)+SUMIFS($AI$7:$AI$1843,$CF$7:$CF$1843,CF39,$AM$7:$AM$1843,AM39,$BW$7:$BW$1843,"&lt;="&amp;BW39),"")</f>
        <v>2513.54120879121</v>
      </c>
      <c r="AO39" s="58" t="n">
        <f aca="false">IF(AN39="",0,MAX(0,MIN(1,(IF(CF39="L1",Parameter!$H$5,IF(CF39="L23",Parameter!$H$6+Parameter!$H$7,Parameter!$H$5+Parameter!$H$6+Parameter!$H$7))-(AN39-AI39))/AI39)))</f>
        <v>1</v>
      </c>
      <c r="AP39" s="50" t="n">
        <f aca="false">IF(LEFT(Cockpit!$I$5,1)="A",H39,IF(Parameter!$E$30="MAX-Bestand",IF(CH39=1,CI39,IF(LEFT(Cockpit!$I$5,1)="B",AV39,MAX(AV39,H39))),ROUNDUP(AT39,0)))</f>
        <v>49</v>
      </c>
      <c r="AQ39" s="50" t="n">
        <f aca="false">IF(BZ39=1,0,ROUNDUP(AP39/BY39,0))</f>
        <v>3</v>
      </c>
      <c r="AR39" s="52" t="n">
        <f aca="false">IF(CQ39&gt;0,CQ39*MAX(1,AP39/X39),IF(BZ39=1,IF(AP39&lt;=0,0,CD39*MAX(1,IF(H39&gt;0,AP39/H39,1))),IF(R39&gt;0,AQ39/R39,0))/MAX(0.1,N(Parameter!$M$21)))</f>
        <v>0.25</v>
      </c>
      <c r="AS39" s="50" t="n">
        <f aca="false">AR39*CB39</f>
        <v>36.25</v>
      </c>
      <c r="AT39" s="51" t="n">
        <f aca="false">IF(LEFT(Cockpit!$I$5,1)="A",H39,IF(CH39=1,(CK39+CI39)/2,IF(LEFT(Cockpit!$I$5,1)="B",(CK39+AV39)/2,MAX((CK39+AV39)/2,H39))))</f>
        <v>49</v>
      </c>
      <c r="AU39" s="50" t="n">
        <f aca="false">AT39*G39</f>
        <v>44811.48</v>
      </c>
      <c r="AV39" s="50" t="n">
        <f aca="false">ROUNDUP(CK39+MAX(CL39,2*(J39/IF(CG39&gt;0,CG39,MAX(0.1,N(Cockpit!$I$6)))-CK39)),0)</f>
        <v>87</v>
      </c>
      <c r="AW39" s="51" t="n">
        <f aca="false">IF(AS39&gt;0,J39/AS39,-1)</f>
        <v>4.0551724137931</v>
      </c>
      <c r="AX39" s="51" t="n">
        <f aca="false">IF(AND(OR(CF39="L1",CF39="L23",CF39="LIFT"),AS39&gt;0),SUMIFS($AS$7:$AS$1843,$CF$7:$CF$1843,CF39,$AW$7:$AW$1843,"&gt;"&amp;AW39)+SUMIFS($AS$7:$AS$1843,$CF$7:$CF$1843,CF39,$AW$7:$AW$1843,AW39,$BW$7:$BW$1843,"&lt;="&amp;BW39),"")</f>
        <v>4871.82097069597</v>
      </c>
      <c r="AY39" s="58" t="n">
        <f aca="false">IF(AX39="",0,MAX(0,MIN(1,(IF(CF39="L1",Parameter!$H$5,IF(CF39="L23",Parameter!$H$6+Parameter!$H$7,Parameter!$H$5+Parameter!$H$6+Parameter!$H$7))-(AX39-AS39))/AS39)))</f>
        <v>1</v>
      </c>
      <c r="AZ39" s="50" t="n">
        <f aca="false">IF(LEFT(Cockpit!$O$5,1)="A",H39,IF(Parameter!$E$30="MAX-Bestand",IF(CH39=1,CI39,IF(LEFT(Cockpit!$O$5,1)="B",BF39,MAX(BF39,H39))),ROUNDUP(BD39,0)))</f>
        <v>37</v>
      </c>
      <c r="BA39" s="50" t="n">
        <f aca="false">IF(BZ39=1,0,ROUNDUP(AZ39/BY39,0))</f>
        <v>2</v>
      </c>
      <c r="BB39" s="52" t="n">
        <f aca="false">IF(CQ39&gt;0,CQ39*MAX(1,AZ39/X39),IF(BZ39=1,IF(AZ39&lt;=0,0,CD39*MAX(1,IF(H39&gt;0,AZ39/H39,1))),IF(R39&gt;0,BA39/R39,0))/MAX(0.1,N(Parameter!$M$21)))</f>
        <v>0.166666666666667</v>
      </c>
      <c r="BC39" s="50" t="n">
        <f aca="false">BB39*CB39</f>
        <v>24.1666666666667</v>
      </c>
      <c r="BD39" s="51" t="n">
        <f aca="false">IF(LEFT(Cockpit!$O$5,1)="A",H39,IF(CH39=1,(CK39+CI39)/2,IF(LEFT(Cockpit!$O$5,1)="B",(CK39+BF39)/2,MAX((CK39+BF39)/2,H39))))</f>
        <v>37</v>
      </c>
      <c r="BE39" s="50" t="n">
        <f aca="false">BD39*G39</f>
        <v>33837.24</v>
      </c>
      <c r="BF39" s="50" t="n">
        <f aca="false">ROUNDUP(CK39+MAX(CL39,2*(J39/IF(CG39&gt;0,CG39,MAX(0.1,N(Cockpit!$O$6)))-CK39)),0)</f>
        <v>63</v>
      </c>
      <c r="BG39" s="51" t="n">
        <f aca="false">IF(BC39&gt;0,J39/BC39,-1)</f>
        <v>6.08275862068966</v>
      </c>
      <c r="BH39" s="51" t="n">
        <f aca="false">IF(AND(OR(CF39="L1",CF39="L23",CF39="LIFT"),BC39&gt;0),SUMIFS($BC$7:$BC$1843,$CF$7:$CF$1843,CF39,$BG$7:$BG$1843,"&gt;"&amp;BG39)+SUMIFS($BC$7:$BC$1843,$CF$7:$CF$1843,CF39,$BG$7:$BG$1843,BG39,$BW$7:$BW$1843,"&lt;="&amp;BW39),"")</f>
        <v>3485.3402014652</v>
      </c>
      <c r="BI39" s="58" t="n">
        <f aca="false">IF(BH39="",0,MAX(0,MIN(1,(IF(CF39="L1",Parameter!$H$5,IF(CF39="L23",Parameter!$H$6+Parameter!$H$7,Parameter!$H$5+Parameter!$H$6+Parameter!$H$7))-(BH39-BC39))/BC39)))</f>
        <v>1</v>
      </c>
      <c r="BJ39" s="48" t="str">
        <f aca="false">IF(AI39&lt;=0,"",IF(CF39="Aussen","Aussenlager",IF(CF39="-","Nicht im Lift",IF(AO39&gt;=1,"Lift",IF(AO39&lt;=0,"Aussenlager","teilweise")))))</f>
        <v>Lift</v>
      </c>
      <c r="BK39" s="48" t="str">
        <f aca="false">IF(AS39&lt;=0,"",IF(CF39="Aussen","Aussenlager",IF(CF39="-","Nicht im Lift",IF(AY39&gt;=1,"Lift",IF(AY39&lt;=0,"Aussenlager","teilweise")))))</f>
        <v>Lift</v>
      </c>
      <c r="BL39" s="48" t="str">
        <f aca="false">IF(BC39&lt;=0,"",IF(CF39="Aussen","Aussenlager",IF(CF39="-","Nicht im Lift",IF(BI39&gt;=1,"Lift",IF(BI39&lt;=0,"Aussenlager","teilweise")))))</f>
        <v>Lift</v>
      </c>
      <c r="BM39" s="48" t="str">
        <f aca="false">IF(A39="","",IF(BV39=1,"Neu; ","")&amp;IF(AND(BV39=0,BQ39&lt;0),"negativer Bestand (Export "&amp;BQ39&amp;"); ","")&amp;IF(J39&lt;=0,"Kein Verbrauch; ","")&amp;IF(CQ39&gt;0,"Lift "&amp;W39&amp;" lt. Liftbericht (Fach "&amp;X39&amp;" Stk); ",IF(CA39=1,"Gebinde geschätzt ("&amp;T39&amp;"); ",IF(BZ39=1,"Lose – Tablare geschätzt; ","")))&amp;IF(H39&gt;AV39,"Überbestand "&amp;ROUND(H39-AV39,0)&amp;" Stk / CHF "&amp;ROUND((H39-AV39)*G39,0)&amp;"; ","")&amp;IF(AND(CH39=1,CI39&lt;CJ39),"MAX &lt; MB+LG; ","")&amp;IF(AND(CP39&gt;0,CO39*10&gt;CP39),"zu hoch für Tablar; ","")&amp;IF(AND(BV39=0,OR(CH39=1,AA39&lt;&gt;"",U39&lt;&gt;"",V39&lt;&gt;"",AB39&lt;&gt;"")),"manuell übersteuert; ","")&amp;IF(AND(BZ39=0,R39=0),"Gebinde unbekannt / Stellmass fehlt; ","")&amp;IF(AND(BZ39=0,N(V39)&lt;=0,N(Q39)&lt;=0),"Menge pro Gebinde fehlt (Ist = 1 Gebinde); ","")&amp;BU39)</f>
        <v>Gebinde geschätzt (Mittel); Menge pro Gebinde fehlt (Ist = 1 Gebinde); </v>
      </c>
      <c r="BN39" s="48" t="s">
        <v>275</v>
      </c>
      <c r="BO39" s="48" t="s">
        <v>276</v>
      </c>
      <c r="BP39" s="55"/>
      <c r="BQ39" s="50" t="n">
        <v>11</v>
      </c>
      <c r="BR39" s="50" t="n">
        <v>2</v>
      </c>
      <c r="BS39" s="49" t="n">
        <v>10019.94</v>
      </c>
      <c r="BT39" s="50" t="n">
        <v>147</v>
      </c>
      <c r="BU39" s="48"/>
      <c r="BV39" s="53" t="n">
        <v>0</v>
      </c>
      <c r="BW39" s="53" t="n">
        <v>39</v>
      </c>
      <c r="BX39" s="48" t="str">
        <f aca="false">IF(U39&lt;&gt;"",UPPER(TRIM(U39)),IF(CA39=1,UPPER(VLOOKUP(T39,Parameter!$I$27:$K$29,2,0)),IF(P39="","LOSE",P39)))</f>
        <v>S61</v>
      </c>
      <c r="BY39" s="50" t="n">
        <f aca="false">IF(BX39="LOSE",1,IF(N(V39)&gt;0,V39,IF(CA39=1,MAX(1,N(VLOOKUP(T39,Parameter!$I$27:$K$29,3,0)),H39,N(N39)),IF(N(Q39)&gt;0,Q39,MAX(1,H39)))))</f>
        <v>20</v>
      </c>
      <c r="BZ39" s="53" t="n">
        <f aca="false">IF(BX39="LOSE",1,0)</f>
        <v>0</v>
      </c>
      <c r="CA39" s="53" t="n">
        <f aca="false">IF(AND(U39="",OR(P39="",P39="LOSE"),T39&lt;&gt;"",N(S39)&lt;=0,ISNUMBER(MATCH(T39,Parameter!$I$27:$I$29,0))),1,0)</f>
        <v>1</v>
      </c>
      <c r="CB39" s="53" t="n">
        <f aca="false">IF(CQ39&gt;0,INDEX(Parameter!$H$5:$H$7,W39)/INDEX(Parameter!$E$5:$E$7,W39),IF(AND(BZ39=0,N(IFERROR(VLOOKUP(BX39,'Gebinde-Kategorie'!$A$5:$N$45,14,0),0))&gt;0),VLOOKUP(BX39,'Gebinde-Kategorie'!$A$5:$N$45,14,0)*10+Parameter!$M$23,Parameter!$M$24))</f>
        <v>145</v>
      </c>
      <c r="CC39" s="48" t="n">
        <f aca="false">IF(AND(Parameter!$B$19="Ja",E39&lt;&gt;"",ISNUMBER(MATCH(E39,Parameter!$I$35:$I$52,0))),VLOOKUP(E39,Parameter!$I$35:$J$52,2,0),IFERROR(VLOOKUP(D39,Parameter!$A$35:$C$64,2,0),"Nein"))</f>
        <v>1</v>
      </c>
      <c r="CD39" s="52" t="n">
        <f aca="false">IF(BZ39=0,0,IF(N(S39)&gt;0,S39,IFERROR(VLOOKUP(D39,Parameter!$A$35:$C$64,3,0)+0,0)))</f>
        <v>0</v>
      </c>
      <c r="CE39" s="48" t="n">
        <f aca="false">IF(AA39&lt;&gt;"",AA39,Z39)</f>
        <v>1</v>
      </c>
      <c r="CF39" s="48" t="str">
        <f aca="false">IF(OR(CE39=1,CE39=2,CE39=3),IF(Parameter!$E$27="Ja","LIFT",IF(CE39=1,"L1","L23")),IF(CE39="Aussen","Aussen","-"))</f>
        <v>LIFT</v>
      </c>
      <c r="CG39" s="59" t="n">
        <f aca="false">IF(N(AB39)&gt;0,AB39,0)</f>
        <v>0</v>
      </c>
      <c r="CH39" s="53" t="n">
        <f aca="false">IF(ISNUMBER(AE39),1,0)</f>
        <v>0</v>
      </c>
      <c r="CI39" s="50" t="n">
        <f aca="false">N(AE39)</f>
        <v>0</v>
      </c>
      <c r="CJ39" s="50" t="n">
        <f aca="false">N(M39)+N(N39)</f>
        <v>31</v>
      </c>
      <c r="CK39" s="50" t="n">
        <f aca="false">N(M39)</f>
        <v>11</v>
      </c>
      <c r="CL39" s="50" t="n">
        <f aca="false">N(N39)</f>
        <v>20</v>
      </c>
      <c r="CM39" s="50" t="n">
        <f aca="false">ROUNDUP(H39/BY39,0)</f>
        <v>1</v>
      </c>
      <c r="CN39" s="50" t="n">
        <f aca="false">ROUNDUP(CI39/BY39,0)</f>
        <v>0</v>
      </c>
      <c r="CO39" s="53" t="n">
        <f aca="false">IF(BZ39=1,0,IFERROR(VLOOKUP(BX39,'Gebinde-Kategorie'!$A$5:$N$45,5,0)+0,0))</f>
        <v>11</v>
      </c>
      <c r="CP39" s="53" t="n">
        <f aca="false">IFERROR(IF(OR(CE39=1,CE39=2,CE39=3),N(INDEX(Parameter!$I$5:$I$7,CE39)),0),0)</f>
        <v>0</v>
      </c>
      <c r="CQ39" s="52" t="n">
        <f aca="false">IF(AND(Parameter!$B$21="Ja",ISNUMBER(W39),N(X39)&gt;0),IFERROR(N(INDEX(Parameter!$L$5:$L$7,W39))*INDEX(Parameter!$E$5:$E$7,W39)*X39/SUMIFS($X$7:$X$1843,$W$7:$W$1843,W39),0),0)</f>
        <v>0</v>
      </c>
    </row>
    <row r="40" customFormat="false" ht="15" hidden="false" customHeight="false" outlineLevel="0" collapsed="false">
      <c r="A40" s="48" t="s">
        <v>277</v>
      </c>
      <c r="B40" s="48" t="s">
        <v>254</v>
      </c>
      <c r="C40" s="48" t="s">
        <v>173</v>
      </c>
      <c r="D40" s="48" t="s">
        <v>182</v>
      </c>
      <c r="E40" s="48"/>
      <c r="F40" s="48" t="s">
        <v>227</v>
      </c>
      <c r="G40" s="49" t="n">
        <v>3123</v>
      </c>
      <c r="H40" s="50" t="n">
        <f aca="false">MAX(0,IF(AND(Parameter!$B$21="Ja",ISNUMBER(Y40)),Y40,IF(Parameter!$B$20="Jahresanfang 2025 + Export",BR40+BQ40,BQ40)))</f>
        <v>3</v>
      </c>
      <c r="I40" s="50" t="n">
        <f aca="false">H40*G40</f>
        <v>9369</v>
      </c>
      <c r="J40" s="50" t="n">
        <f aca="false">BT40*Parameter!$B$18</f>
        <v>0</v>
      </c>
      <c r="K40" s="51" t="n">
        <v>0.5</v>
      </c>
      <c r="L40" s="52" t="n">
        <v>0</v>
      </c>
      <c r="M40" s="50" t="n">
        <v>0</v>
      </c>
      <c r="N40" s="50" t="n">
        <v>1</v>
      </c>
      <c r="O40" s="53" t="n">
        <v>56</v>
      </c>
      <c r="P40" s="48" t="s">
        <v>177</v>
      </c>
      <c r="Q40" s="50"/>
      <c r="R40" s="53" t="n">
        <f aca="false">IF(BZ40=1,0,IFERROR(VLOOKUP(BX40,'Gebinde-Kategorie'!$A$5:$N$45,13,0)+0,0))</f>
        <v>12</v>
      </c>
      <c r="S40" s="54"/>
      <c r="T40" s="55" t="s">
        <v>188</v>
      </c>
      <c r="U40" s="55"/>
      <c r="V40" s="55"/>
      <c r="W40" s="48"/>
      <c r="X40" s="50"/>
      <c r="Y40" s="50"/>
      <c r="Z40" s="48" t="n">
        <f aca="false">IF(A40="","",IF(AND(Parameter!$B$21="Ja",ISNUMBER(W40)),W40,IF(CC40="2+3",IF(ISNUMBER(SEARCH("grosser Artikel",BU40)),2,IFERROR(VLOOKUP(BX40,Parameter!$F$35:$G$64,2,0),2)),IF(OR(CC40="Nein",CC40=""),"-",CC40))))</f>
        <v>2</v>
      </c>
      <c r="AA40" s="55"/>
      <c r="AB40" s="56"/>
      <c r="AC40" s="50" t="n">
        <f aca="false">AV40</f>
        <v>1</v>
      </c>
      <c r="AD40" s="50" t="n">
        <f aca="false">MAX(AV40,H40)</f>
        <v>3</v>
      </c>
      <c r="AE40" s="57"/>
      <c r="AF40" s="50" t="n">
        <f aca="false">IF(LEFT(Cockpit!$C$5,1)="A",H40,IF(Parameter!$E$30="MAX-Bestand",IF(CH40=1,CI40,IF(LEFT(Cockpit!$C$5,1)="B",AL40,MAX(AL40,H40))),ROUNDUP(AJ40,0)))</f>
        <v>3</v>
      </c>
      <c r="AG40" s="50" t="n">
        <f aca="false">IF(BZ40=1,0,ROUNDUP(AF40/BY40,0))</f>
        <v>1</v>
      </c>
      <c r="AH40" s="52" t="n">
        <f aca="false">IF(CQ40&gt;0,CQ40*MAX(1,AF40/X40),IF(BZ40=1,IF(AF40&lt;=0,0,CD40*MAX(1,IF(H40&gt;0,AF40/H40,1))),IF(R40&gt;0,AG40/R40,0))/MAX(0.1,N(Parameter!$M$21)))</f>
        <v>0.0833333333333333</v>
      </c>
      <c r="AI40" s="50" t="n">
        <f aca="false">AH40*CB40</f>
        <v>12.0833333333333</v>
      </c>
      <c r="AJ40" s="51" t="n">
        <f aca="false">IF(LEFT(Cockpit!$C$5,1)="A",H40,IF(CH40=1,(CK40+CI40)/2,IF(LEFT(Cockpit!$C$5,1)="B",(CK40+AL40)/2,MAX((CK40+AL40)/2,H40))))</f>
        <v>3</v>
      </c>
      <c r="AK40" s="50" t="n">
        <f aca="false">AJ40*G40</f>
        <v>9369</v>
      </c>
      <c r="AL40" s="50" t="n">
        <f aca="false">ROUNDUP(CK40+MAX(CL40,2*(J40/IF(CG40&gt;0,CG40,MAX(0.1,N(Cockpit!$C$6)))-CK40)),0)</f>
        <v>1</v>
      </c>
      <c r="AM40" s="51" t="n">
        <f aca="false">IF(AI40&gt;0,J40/AI40,-1)</f>
        <v>0</v>
      </c>
      <c r="AN40" s="51" t="n">
        <f aca="false">IF(AND(OR(CF40="L1",CF40="L23",CF40="LIFT"),AI40&gt;0),SUMIFS($AI$7:$AI$1843,$CF$7:$CF$1843,CF40,$AM$7:$AM$1843,"&gt;"&amp;AM40)+SUMIFS($AI$7:$AI$1843,$CF$7:$CF$1843,CF40,$AM$7:$AM$1843,AM40,$BW$7:$BW$1843,"&lt;="&amp;BW40),"")</f>
        <v>25700.2719081766</v>
      </c>
      <c r="AO40" s="58" t="n">
        <f aca="false">IF(AN40="",0,MAX(0,MIN(1,(IF(CF40="L1",Parameter!$H$5,IF(CF40="L23",Parameter!$H$6+Parameter!$H$7,Parameter!$H$5+Parameter!$H$6+Parameter!$H$7))-(AN40-AI40))/AI40)))</f>
        <v>1</v>
      </c>
      <c r="AP40" s="50" t="n">
        <f aca="false">IF(LEFT(Cockpit!$I$5,1)="A",H40,IF(Parameter!$E$30="MAX-Bestand",IF(CH40=1,CI40,IF(LEFT(Cockpit!$I$5,1)="B",AV40,MAX(AV40,H40))),ROUNDUP(AT40,0)))</f>
        <v>3</v>
      </c>
      <c r="AQ40" s="50" t="n">
        <f aca="false">IF(BZ40=1,0,ROUNDUP(AP40/BY40,0))</f>
        <v>1</v>
      </c>
      <c r="AR40" s="52" t="n">
        <f aca="false">IF(CQ40&gt;0,CQ40*MAX(1,AP40/X40),IF(BZ40=1,IF(AP40&lt;=0,0,CD40*MAX(1,IF(H40&gt;0,AP40/H40,1))),IF(R40&gt;0,AQ40/R40,0))/MAX(0.1,N(Parameter!$M$21)))</f>
        <v>0.0833333333333333</v>
      </c>
      <c r="AS40" s="50" t="n">
        <f aca="false">AR40*CB40</f>
        <v>12.0833333333333</v>
      </c>
      <c r="AT40" s="51" t="n">
        <f aca="false">IF(LEFT(Cockpit!$I$5,1)="A",H40,IF(CH40=1,(CK40+CI40)/2,IF(LEFT(Cockpit!$I$5,1)="B",(CK40+AV40)/2,MAX((CK40+AV40)/2,H40))))</f>
        <v>3</v>
      </c>
      <c r="AU40" s="50" t="n">
        <f aca="false">AT40*G40</f>
        <v>9369</v>
      </c>
      <c r="AV40" s="50" t="n">
        <f aca="false">ROUNDUP(CK40+MAX(CL40,2*(J40/IF(CG40&gt;0,CG40,MAX(0.1,N(Cockpit!$I$6)))-CK40)),0)</f>
        <v>1</v>
      </c>
      <c r="AW40" s="51" t="n">
        <f aca="false">IF(AS40&gt;0,J40/AS40,-1)</f>
        <v>0</v>
      </c>
      <c r="AX40" s="51" t="n">
        <f aca="false">IF(AND(OR(CF40="L1",CF40="L23",CF40="LIFT"),AS40&gt;0),SUMIFS($AS$7:$AS$1843,$CF$7:$CF$1843,CF40,$AW$7:$AW$1843,"&gt;"&amp;AW40)+SUMIFS($AS$7:$AS$1843,$CF$7:$CF$1843,CF40,$AW$7:$AW$1843,AW40,$BW$7:$BW$1843,"&lt;="&amp;BW40),"")</f>
        <v>31053.420549554</v>
      </c>
      <c r="AY40" s="58" t="n">
        <f aca="false">IF(AX40="",0,MAX(0,MIN(1,(IF(CF40="L1",Parameter!$H$5,IF(CF40="L23",Parameter!$H$6+Parameter!$H$7,Parameter!$H$5+Parameter!$H$6+Parameter!$H$7))-(AX40-AS40))/AS40)))</f>
        <v>1</v>
      </c>
      <c r="AZ40" s="50" t="n">
        <f aca="false">IF(LEFT(Cockpit!$O$5,1)="A",H40,IF(Parameter!$E$30="MAX-Bestand",IF(CH40=1,CI40,IF(LEFT(Cockpit!$O$5,1)="B",BF40,MAX(BF40,H40))),ROUNDUP(BD40,0)))</f>
        <v>1</v>
      </c>
      <c r="BA40" s="50" t="n">
        <f aca="false">IF(BZ40=1,0,ROUNDUP(AZ40/BY40,0))</f>
        <v>1</v>
      </c>
      <c r="BB40" s="52" t="n">
        <f aca="false">IF(CQ40&gt;0,CQ40*MAX(1,AZ40/X40),IF(BZ40=1,IF(AZ40&lt;=0,0,CD40*MAX(1,IF(H40&gt;0,AZ40/H40,1))),IF(R40&gt;0,BA40/R40,0))/MAX(0.1,N(Parameter!$M$21)))</f>
        <v>0.0833333333333333</v>
      </c>
      <c r="BC40" s="50" t="n">
        <f aca="false">BB40*CB40</f>
        <v>12.0833333333333</v>
      </c>
      <c r="BD40" s="51" t="n">
        <f aca="false">IF(LEFT(Cockpit!$O$5,1)="A",H40,IF(CH40=1,(CK40+CI40)/2,IF(LEFT(Cockpit!$O$5,1)="B",(CK40+BF40)/2,MAX((CK40+BF40)/2,H40))))</f>
        <v>0.5</v>
      </c>
      <c r="BE40" s="50" t="n">
        <f aca="false">BD40*G40</f>
        <v>1561.5</v>
      </c>
      <c r="BF40" s="50" t="n">
        <f aca="false">ROUNDUP(CK40+MAX(CL40,2*(J40/IF(CG40&gt;0,CG40,MAX(0.1,N(Cockpit!$O$6)))-CK40)),0)</f>
        <v>1</v>
      </c>
      <c r="BG40" s="51" t="n">
        <f aca="false">IF(BC40&gt;0,J40/BC40,-1)</f>
        <v>0</v>
      </c>
      <c r="BH40" s="51" t="n">
        <f aca="false">IF(AND(OR(CF40="L1",CF40="L23",CF40="LIFT"),BC40&gt;0),SUMIFS($BC$7:$BC$1843,$CF$7:$CF$1843,CF40,$BG$7:$BG$1843,"&gt;"&amp;BG40)+SUMIFS($BC$7:$BC$1843,$CF$7:$CF$1843,CF40,$BG$7:$BG$1843,BG40,$BW$7:$BW$1843,"&lt;="&amp;BW40),"")</f>
        <v>25308.752392852</v>
      </c>
      <c r="BI40" s="58" t="n">
        <f aca="false">IF(BH40="",0,MAX(0,MIN(1,(IF(CF40="L1",Parameter!$H$5,IF(CF40="L23",Parameter!$H$6+Parameter!$H$7,Parameter!$H$5+Parameter!$H$6+Parameter!$H$7))-(BH40-BC40))/BC40)))</f>
        <v>1</v>
      </c>
      <c r="BJ40" s="48" t="str">
        <f aca="false">IF(AI40&lt;=0,"",IF(CF40="Aussen","Aussenlager",IF(CF40="-","Nicht im Lift",IF(AO40&gt;=1,"Lift",IF(AO40&lt;=0,"Aussenlager","teilweise")))))</f>
        <v>Lift</v>
      </c>
      <c r="BK40" s="48" t="str">
        <f aca="false">IF(AS40&lt;=0,"",IF(CF40="Aussen","Aussenlager",IF(CF40="-","Nicht im Lift",IF(AY40&gt;=1,"Lift",IF(AY40&lt;=0,"Aussenlager","teilweise")))))</f>
        <v>Lift</v>
      </c>
      <c r="BL40" s="48" t="str">
        <f aca="false">IF(BC40&lt;=0,"",IF(CF40="Aussen","Aussenlager",IF(CF40="-","Nicht im Lift",IF(BI40&gt;=1,"Lift",IF(BI40&lt;=0,"Aussenlager","teilweise")))))</f>
        <v>Lift</v>
      </c>
      <c r="BM40" s="48" t="str">
        <f aca="false">IF(A40="","",IF(BV40=1,"Neu; ","")&amp;IF(AND(BV40=0,BQ40&lt;0),"negativer Bestand (Export "&amp;BQ40&amp;"); ","")&amp;IF(J40&lt;=0,"Kein Verbrauch; ","")&amp;IF(CQ40&gt;0,"Lift "&amp;W40&amp;" lt. Liftbericht (Fach "&amp;X40&amp;" Stk); ",IF(CA40=1,"Gebinde geschätzt ("&amp;T40&amp;"); ",IF(BZ40=1,"Lose – Tablare geschätzt; ","")))&amp;IF(H40&gt;AV40,"Überbestand "&amp;ROUND(H40-AV40,0)&amp;" Stk / CHF "&amp;ROUND((H40-AV40)*G40,0)&amp;"; ","")&amp;IF(AND(CH40=1,CI40&lt;CJ40),"MAX &lt; MB+LG; ","")&amp;IF(AND(CP40&gt;0,CO40*10&gt;CP40),"zu hoch für Tablar; ","")&amp;IF(AND(BV40=0,OR(CH40=1,AA40&lt;&gt;"",U40&lt;&gt;"",V40&lt;&gt;"",AB40&lt;&gt;"")),"manuell übersteuert; ","")&amp;IF(AND(BZ40=0,R40=0),"Gebinde unbekannt / Stellmass fehlt; ","")&amp;IF(AND(BZ40=0,N(V40)&lt;=0,N(Q40)&lt;=0),"Menge pro Gebinde fehlt (Ist = 1 Gebinde); ","")&amp;BU40)</f>
        <v>Kein Verbrauch; Gebinde geschätzt (Mittel); Überbestand 2 Stk / CHF 6246; Menge pro Gebinde fehlt (Ist = 1 Gebinde); </v>
      </c>
      <c r="BN40" s="48"/>
      <c r="BO40" s="48"/>
      <c r="BP40" s="55"/>
      <c r="BQ40" s="50" t="n">
        <v>3</v>
      </c>
      <c r="BR40" s="50" t="n">
        <v>0</v>
      </c>
      <c r="BS40" s="49" t="n">
        <v>9369</v>
      </c>
      <c r="BT40" s="50" t="n">
        <v>0</v>
      </c>
      <c r="BU40" s="48"/>
      <c r="BV40" s="53" t="n">
        <v>0</v>
      </c>
      <c r="BW40" s="53" t="n">
        <v>40</v>
      </c>
      <c r="BX40" s="48" t="str">
        <f aca="false">IF(U40&lt;&gt;"",UPPER(TRIM(U40)),IF(CA40=1,UPPER(VLOOKUP(T40,Parameter!$I$27:$K$29,2,0)),IF(P40="","LOSE",P40)))</f>
        <v>S61</v>
      </c>
      <c r="BY40" s="50" t="n">
        <f aca="false">IF(BX40="LOSE",1,IF(N(V40)&gt;0,V40,IF(CA40=1,MAX(1,N(VLOOKUP(T40,Parameter!$I$27:$K$29,3,0)),H40,N(N40)),IF(N(Q40)&gt;0,Q40,MAX(1,H40)))))</f>
        <v>4</v>
      </c>
      <c r="BZ40" s="53" t="n">
        <f aca="false">IF(BX40="LOSE",1,0)</f>
        <v>0</v>
      </c>
      <c r="CA40" s="53" t="n">
        <f aca="false">IF(AND(U40="",OR(P40="",P40="LOSE"),T40&lt;&gt;"",N(S40)&lt;=0,ISNUMBER(MATCH(T40,Parameter!$I$27:$I$29,0))),1,0)</f>
        <v>1</v>
      </c>
      <c r="CB40" s="53" t="n">
        <f aca="false">IF(CQ40&gt;0,INDEX(Parameter!$H$5:$H$7,W40)/INDEX(Parameter!$E$5:$E$7,W40),IF(AND(BZ40=0,N(IFERROR(VLOOKUP(BX40,'Gebinde-Kategorie'!$A$5:$N$45,14,0),0))&gt;0),VLOOKUP(BX40,'Gebinde-Kategorie'!$A$5:$N$45,14,0)*10+Parameter!$M$23,Parameter!$M$24))</f>
        <v>145</v>
      </c>
      <c r="CC40" s="48" t="str">
        <f aca="false">IF(AND(Parameter!$B$19="Ja",E40&lt;&gt;"",ISNUMBER(MATCH(E40,Parameter!$I$35:$I$52,0))),VLOOKUP(E40,Parameter!$I$35:$J$52,2,0),IFERROR(VLOOKUP(D40,Parameter!$A$35:$C$64,2,0),"Nein"))</f>
        <v>2+3</v>
      </c>
      <c r="CD40" s="52" t="n">
        <f aca="false">IF(BZ40=0,0,IF(N(S40)&gt;0,S40,IFERROR(VLOOKUP(D40,Parameter!$A$35:$C$64,3,0)+0,0)))</f>
        <v>0</v>
      </c>
      <c r="CE40" s="48" t="n">
        <f aca="false">IF(AA40&lt;&gt;"",AA40,Z40)</f>
        <v>2</v>
      </c>
      <c r="CF40" s="48" t="str">
        <f aca="false">IF(OR(CE40=1,CE40=2,CE40=3),IF(Parameter!$E$27="Ja","LIFT",IF(CE40=1,"L1","L23")),IF(CE40="Aussen","Aussen","-"))</f>
        <v>LIFT</v>
      </c>
      <c r="CG40" s="59" t="n">
        <f aca="false">IF(N(AB40)&gt;0,AB40,0)</f>
        <v>0</v>
      </c>
      <c r="CH40" s="53" t="n">
        <f aca="false">IF(ISNUMBER(AE40),1,0)</f>
        <v>0</v>
      </c>
      <c r="CI40" s="50" t="n">
        <f aca="false">N(AE40)</f>
        <v>0</v>
      </c>
      <c r="CJ40" s="50" t="n">
        <f aca="false">N(M40)+N(N40)</f>
        <v>1</v>
      </c>
      <c r="CK40" s="50" t="n">
        <f aca="false">N(M40)</f>
        <v>0</v>
      </c>
      <c r="CL40" s="50" t="n">
        <f aca="false">N(N40)</f>
        <v>1</v>
      </c>
      <c r="CM40" s="50" t="n">
        <f aca="false">ROUNDUP(H40/BY40,0)</f>
        <v>1</v>
      </c>
      <c r="CN40" s="50" t="n">
        <f aca="false">ROUNDUP(CI40/BY40,0)</f>
        <v>0</v>
      </c>
      <c r="CO40" s="53" t="n">
        <f aca="false">IF(BZ40=1,0,IFERROR(VLOOKUP(BX40,'Gebinde-Kategorie'!$A$5:$N$45,5,0)+0,0))</f>
        <v>11</v>
      </c>
      <c r="CP40" s="53" t="n">
        <f aca="false">IFERROR(IF(OR(CE40=1,CE40=2,CE40=3),N(INDEX(Parameter!$I$5:$I$7,CE40)),0),0)</f>
        <v>0</v>
      </c>
      <c r="CQ40" s="52" t="n">
        <f aca="false">IF(AND(Parameter!$B$21="Ja",ISNUMBER(W40),N(X40)&gt;0),IFERROR(N(INDEX(Parameter!$L$5:$L$7,W40))*INDEX(Parameter!$E$5:$E$7,W40)*X40/SUMIFS($X$7:$X$1843,$W$7:$W$1843,W40),0),0)</f>
        <v>0</v>
      </c>
    </row>
    <row r="41" customFormat="false" ht="15" hidden="false" customHeight="false" outlineLevel="0" collapsed="false">
      <c r="A41" s="48" t="s">
        <v>278</v>
      </c>
      <c r="B41" s="48" t="s">
        <v>279</v>
      </c>
      <c r="C41" s="48" t="s">
        <v>173</v>
      </c>
      <c r="D41" s="48" t="s">
        <v>182</v>
      </c>
      <c r="E41" s="48" t="s">
        <v>175</v>
      </c>
      <c r="F41" s="48" t="s">
        <v>227</v>
      </c>
      <c r="G41" s="49" t="n">
        <v>530</v>
      </c>
      <c r="H41" s="50" t="n">
        <f aca="false">MAX(0,IF(AND(Parameter!$B$21="Ja",ISNUMBER(Y41)),Y41,IF(Parameter!$B$20="Jahresanfang 2025 + Export",BR41+BQ41,BQ41)))</f>
        <v>19</v>
      </c>
      <c r="I41" s="50" t="n">
        <f aca="false">H41*G41</f>
        <v>10070</v>
      </c>
      <c r="J41" s="50" t="n">
        <f aca="false">BT41*Parameter!$B$18</f>
        <v>23</v>
      </c>
      <c r="K41" s="51" t="n">
        <v>9.5</v>
      </c>
      <c r="L41" s="52" t="n">
        <v>2.42105263157895</v>
      </c>
      <c r="M41" s="50" t="n">
        <v>5</v>
      </c>
      <c r="N41" s="50" t="n">
        <v>10</v>
      </c>
      <c r="O41" s="53" t="n">
        <v>70</v>
      </c>
      <c r="P41" s="48" t="s">
        <v>232</v>
      </c>
      <c r="Q41" s="50" t="n">
        <v>4</v>
      </c>
      <c r="R41" s="53" t="n">
        <f aca="false">IF(BZ41=1,0,IFERROR(VLOOKUP(BX41,'Gebinde-Kategorie'!$A$5:$N$45,13,0)+0,0))</f>
        <v>4</v>
      </c>
      <c r="S41" s="54"/>
      <c r="T41" s="55"/>
      <c r="U41" s="55"/>
      <c r="V41" s="55"/>
      <c r="W41" s="48"/>
      <c r="X41" s="50"/>
      <c r="Y41" s="50"/>
      <c r="Z41" s="48" t="n">
        <f aca="false">IF(A41="","",IF(AND(Parameter!$B$21="Ja",ISNUMBER(W41)),W41,IF(CC41="2+3",IF(ISNUMBER(SEARCH("grosser Artikel",BU41)),2,IFERROR(VLOOKUP(BX41,Parameter!$F$35:$G$64,2,0),2)),IF(OR(CC41="Nein",CC41=""),"-",CC41))))</f>
        <v>1</v>
      </c>
      <c r="AA41" s="55"/>
      <c r="AB41" s="56"/>
      <c r="AC41" s="50" t="n">
        <f aca="false">AV41</f>
        <v>15</v>
      </c>
      <c r="AD41" s="50" t="n">
        <f aca="false">MAX(AV41,H41)</f>
        <v>19</v>
      </c>
      <c r="AE41" s="57"/>
      <c r="AF41" s="50" t="n">
        <f aca="false">IF(LEFT(Cockpit!$C$5,1)="A",H41,IF(Parameter!$E$30="MAX-Bestand",IF(CH41=1,CI41,IF(LEFT(Cockpit!$C$5,1)="B",AL41,MAX(AL41,H41))),ROUNDUP(AJ41,0)))</f>
        <v>19</v>
      </c>
      <c r="AG41" s="50" t="n">
        <f aca="false">IF(BZ41=1,0,ROUNDUP(AF41/BY41,0))</f>
        <v>5</v>
      </c>
      <c r="AH41" s="52" t="n">
        <f aca="false">IF(CQ41&gt;0,CQ41*MAX(1,AF41/X41),IF(BZ41=1,IF(AF41&lt;=0,0,CD41*MAX(1,IF(H41&gt;0,AF41/H41,1))),IF(R41&gt;0,AG41/R41,0))/MAX(0.1,N(Parameter!$M$21)))</f>
        <v>1.25</v>
      </c>
      <c r="AI41" s="50" t="n">
        <f aca="false">AH41*CB41</f>
        <v>293.75</v>
      </c>
      <c r="AJ41" s="51" t="n">
        <f aca="false">IF(LEFT(Cockpit!$C$5,1)="A",H41,IF(CH41=1,(CK41+CI41)/2,IF(LEFT(Cockpit!$C$5,1)="B",(CK41+AL41)/2,MAX((CK41+AL41)/2,H41))))</f>
        <v>19</v>
      </c>
      <c r="AK41" s="50" t="n">
        <f aca="false">AJ41*G41</f>
        <v>10070</v>
      </c>
      <c r="AL41" s="50" t="n">
        <f aca="false">ROUNDUP(CK41+MAX(CL41,2*(J41/IF(CG41&gt;0,CG41,MAX(0.1,N(Cockpit!$C$6)))-CK41)),0)</f>
        <v>15</v>
      </c>
      <c r="AM41" s="51" t="n">
        <f aca="false">IF(AI41&gt;0,J41/AI41,-1)</f>
        <v>0.0782978723404255</v>
      </c>
      <c r="AN41" s="51" t="n">
        <f aca="false">IF(AND(OR(CF41="L1",CF41="L23",CF41="LIFT"),AI41&gt;0),SUMIFS($AI$7:$AI$1843,$CF$7:$CF$1843,CF41,$AM$7:$AM$1843,"&gt;"&amp;AM41)+SUMIFS($AI$7:$AI$1843,$CF$7:$CF$1843,CF41,$AM$7:$AM$1843,AM41,$BW$7:$BW$1843,"&lt;="&amp;BW41),"")</f>
        <v>17474.7679450963</v>
      </c>
      <c r="AO41" s="58" t="n">
        <f aca="false">IF(AN41="",0,MAX(0,MIN(1,(IF(CF41="L1",Parameter!$H$5,IF(CF41="L23",Parameter!$H$6+Parameter!$H$7,Parameter!$H$5+Parameter!$H$6+Parameter!$H$7))-(AN41-AI41))/AI41)))</f>
        <v>1</v>
      </c>
      <c r="AP41" s="50" t="n">
        <f aca="false">IF(LEFT(Cockpit!$I$5,1)="A",H41,IF(Parameter!$E$30="MAX-Bestand",IF(CH41=1,CI41,IF(LEFT(Cockpit!$I$5,1)="B",AV41,MAX(AV41,H41))),ROUNDUP(AT41,0)))</f>
        <v>19</v>
      </c>
      <c r="AQ41" s="50" t="n">
        <f aca="false">IF(BZ41=1,0,ROUNDUP(AP41/BY41,0))</f>
        <v>5</v>
      </c>
      <c r="AR41" s="52" t="n">
        <f aca="false">IF(CQ41&gt;0,CQ41*MAX(1,AP41/X41),IF(BZ41=1,IF(AP41&lt;=0,0,CD41*MAX(1,IF(H41&gt;0,AP41/H41,1))),IF(R41&gt;0,AQ41/R41,0))/MAX(0.1,N(Parameter!$M$21)))</f>
        <v>1.25</v>
      </c>
      <c r="AS41" s="50" t="n">
        <f aca="false">AR41*CB41</f>
        <v>293.75</v>
      </c>
      <c r="AT41" s="51" t="n">
        <f aca="false">IF(LEFT(Cockpit!$I$5,1)="A",H41,IF(CH41=1,(CK41+CI41)/2,IF(LEFT(Cockpit!$I$5,1)="B",(CK41+AV41)/2,MAX((CK41+AV41)/2,H41))))</f>
        <v>19</v>
      </c>
      <c r="AU41" s="50" t="n">
        <f aca="false">AT41*G41</f>
        <v>10070</v>
      </c>
      <c r="AV41" s="50" t="n">
        <f aca="false">ROUNDUP(CK41+MAX(CL41,2*(J41/IF(CG41&gt;0,CG41,MAX(0.1,N(Cockpit!$I$6)))-CK41)),0)</f>
        <v>15</v>
      </c>
      <c r="AW41" s="51" t="n">
        <f aca="false">IF(AS41&gt;0,J41/AS41,-1)</f>
        <v>0.0782978723404255</v>
      </c>
      <c r="AX41" s="51" t="n">
        <f aca="false">IF(AND(OR(CF41="L1",CF41="L23",CF41="LIFT"),AS41&gt;0),SUMIFS($AS$7:$AS$1843,$CF$7:$CF$1843,CF41,$AW$7:$AW$1843,"&gt;"&amp;AW41)+SUMIFS($AS$7:$AS$1843,$CF$7:$CF$1843,CF41,$AW$7:$AW$1843,AW41,$BW$7:$BW$1843,"&lt;="&amp;BW41),"")</f>
        <v>22534.1665864738</v>
      </c>
      <c r="AY41" s="58" t="n">
        <f aca="false">IF(AX41="",0,MAX(0,MIN(1,(IF(CF41="L1",Parameter!$H$5,IF(CF41="L23",Parameter!$H$6+Parameter!$H$7,Parameter!$H$5+Parameter!$H$6+Parameter!$H$7))-(AX41-AS41))/AS41)))</f>
        <v>1</v>
      </c>
      <c r="AZ41" s="50" t="n">
        <f aca="false">IF(LEFT(Cockpit!$O$5,1)="A",H41,IF(Parameter!$E$30="MAX-Bestand",IF(CH41=1,CI41,IF(LEFT(Cockpit!$O$5,1)="B",BF41,MAX(BF41,H41))),ROUNDUP(BD41,0)))</f>
        <v>10</v>
      </c>
      <c r="BA41" s="50" t="n">
        <f aca="false">IF(BZ41=1,0,ROUNDUP(AZ41/BY41,0))</f>
        <v>3</v>
      </c>
      <c r="BB41" s="52" t="n">
        <f aca="false">IF(CQ41&gt;0,CQ41*MAX(1,AZ41/X41),IF(BZ41=1,IF(AZ41&lt;=0,0,CD41*MAX(1,IF(H41&gt;0,AZ41/H41,1))),IF(R41&gt;0,BA41/R41,0))/MAX(0.1,N(Parameter!$M$21)))</f>
        <v>0.75</v>
      </c>
      <c r="BC41" s="50" t="n">
        <f aca="false">BB41*CB41</f>
        <v>176.25</v>
      </c>
      <c r="BD41" s="51" t="n">
        <f aca="false">IF(LEFT(Cockpit!$O$5,1)="A",H41,IF(CH41=1,(CK41+CI41)/2,IF(LEFT(Cockpit!$O$5,1)="B",(CK41+BF41)/2,MAX((CK41+BF41)/2,H41))))</f>
        <v>10</v>
      </c>
      <c r="BE41" s="50" t="n">
        <f aca="false">BD41*G41</f>
        <v>5300</v>
      </c>
      <c r="BF41" s="50" t="n">
        <f aca="false">ROUNDUP(CK41+MAX(CL41,2*(J41/IF(CG41&gt;0,CG41,MAX(0.1,N(Cockpit!$O$6)))-CK41)),0)</f>
        <v>15</v>
      </c>
      <c r="BG41" s="51" t="n">
        <f aca="false">IF(BC41&gt;0,J41/BC41,-1)</f>
        <v>0.130496453900709</v>
      </c>
      <c r="BH41" s="51" t="n">
        <f aca="false">IF(AND(OR(CF41="L1",CF41="L23",CF41="LIFT"),BC41&gt;0),SUMIFS($BC$7:$BC$1843,$CF$7:$CF$1843,CF41,$BG$7:$BG$1843,"&gt;"&amp;BG41)+SUMIFS($BC$7:$BC$1843,$CF$7:$CF$1843,CF41,$BG$7:$BG$1843,BG41,$BW$7:$BW$1843,"&lt;="&amp;BW41),"")</f>
        <v>15276.8416138946</v>
      </c>
      <c r="BI41" s="58" t="n">
        <f aca="false">IF(BH41="",0,MAX(0,MIN(1,(IF(CF41="L1",Parameter!$H$5,IF(CF41="L23",Parameter!$H$6+Parameter!$H$7,Parameter!$H$5+Parameter!$H$6+Parameter!$H$7))-(BH41-BC41))/BC41)))</f>
        <v>1</v>
      </c>
      <c r="BJ41" s="48" t="str">
        <f aca="false">IF(AI41&lt;=0,"",IF(CF41="Aussen","Aussenlager",IF(CF41="-","Nicht im Lift",IF(AO41&gt;=1,"Lift",IF(AO41&lt;=0,"Aussenlager","teilweise")))))</f>
        <v>Lift</v>
      </c>
      <c r="BK41" s="48" t="str">
        <f aca="false">IF(AS41&lt;=0,"",IF(CF41="Aussen","Aussenlager",IF(CF41="-","Nicht im Lift",IF(AY41&gt;=1,"Lift",IF(AY41&lt;=0,"Aussenlager","teilweise")))))</f>
        <v>Lift</v>
      </c>
      <c r="BL41" s="48" t="str">
        <f aca="false">IF(BC41&lt;=0,"",IF(CF41="Aussen","Aussenlager",IF(CF41="-","Nicht im Lift",IF(BI41&gt;=1,"Lift",IF(BI41&lt;=0,"Aussenlager","teilweise")))))</f>
        <v>Lift</v>
      </c>
      <c r="BM41" s="48" t="str">
        <f aca="false">IF(A41="","",IF(BV41=1,"Neu; ","")&amp;IF(AND(BV41=0,BQ41&lt;0),"negativer Bestand (Export "&amp;BQ41&amp;"); ","")&amp;IF(J41&lt;=0,"Kein Verbrauch; ","")&amp;IF(CQ41&gt;0,"Lift "&amp;W41&amp;" lt. Liftbericht (Fach "&amp;X41&amp;" Stk); ",IF(CA41=1,"Gebinde geschätzt ("&amp;T41&amp;"); ",IF(BZ41=1,"Lose – Tablare geschätzt; ","")))&amp;IF(H41&gt;AV41,"Überbestand "&amp;ROUND(H41-AV41,0)&amp;" Stk / CHF "&amp;ROUND((H41-AV41)*G41,0)&amp;"; ","")&amp;IF(AND(CH41=1,CI41&lt;CJ41),"MAX &lt; MB+LG; ","")&amp;IF(AND(CP41&gt;0,CO41*10&gt;CP41),"zu hoch für Tablar; ","")&amp;IF(AND(BV41=0,OR(CH41=1,AA41&lt;&gt;"",U41&lt;&gt;"",V41&lt;&gt;"",AB41&lt;&gt;"")),"manuell übersteuert; ","")&amp;IF(AND(BZ41=0,R41=0),"Gebinde unbekannt / Stellmass fehlt; ","")&amp;IF(AND(BZ41=0,N(V41)&lt;=0,N(Q41)&lt;=0),"Menge pro Gebinde fehlt (Ist = 1 Gebinde); ","")&amp;BU41)</f>
        <v>Überbestand 4 Stk / CHF 2120; </v>
      </c>
      <c r="BN41" s="48" t="s">
        <v>280</v>
      </c>
      <c r="BO41" s="48" t="s">
        <v>281</v>
      </c>
      <c r="BP41" s="55"/>
      <c r="BQ41" s="50" t="n">
        <v>16</v>
      </c>
      <c r="BR41" s="50" t="n">
        <v>3</v>
      </c>
      <c r="BS41" s="49" t="n">
        <v>8480</v>
      </c>
      <c r="BT41" s="50" t="n">
        <v>23</v>
      </c>
      <c r="BU41" s="48"/>
      <c r="BV41" s="53" t="n">
        <v>0</v>
      </c>
      <c r="BW41" s="53" t="n">
        <v>41</v>
      </c>
      <c r="BX41" s="48" t="str">
        <f aca="false">IF(U41&lt;&gt;"",UPPER(TRIM(U41)),IF(CA41=1,UPPER(VLOOKUP(T41,Parameter!$I$27:$K$29,2,0)),IF(P41="","LOSE",P41)))</f>
        <v>S81</v>
      </c>
      <c r="BY41" s="50" t="n">
        <f aca="false">IF(BX41="LOSE",1,IF(N(V41)&gt;0,V41,IF(CA41=1,MAX(1,N(VLOOKUP(T41,Parameter!$I$27:$K$29,3,0)),H41,N(N41)),IF(N(Q41)&gt;0,Q41,MAX(1,H41)))))</f>
        <v>4</v>
      </c>
      <c r="BZ41" s="53" t="n">
        <f aca="false">IF(BX41="LOSE",1,0)</f>
        <v>0</v>
      </c>
      <c r="CA41" s="53" t="n">
        <f aca="false">IF(AND(U41="",OR(P41="",P41="LOSE"),T41&lt;&gt;"",N(S41)&lt;=0,ISNUMBER(MATCH(T41,Parameter!$I$27:$I$29,0))),1,0)</f>
        <v>0</v>
      </c>
      <c r="CB41" s="53" t="n">
        <f aca="false">IF(CQ41&gt;0,INDEX(Parameter!$H$5:$H$7,W41)/INDEX(Parameter!$E$5:$E$7,W41),IF(AND(BZ41=0,N(IFERROR(VLOOKUP(BX41,'Gebinde-Kategorie'!$A$5:$N$45,14,0),0))&gt;0),VLOOKUP(BX41,'Gebinde-Kategorie'!$A$5:$N$45,14,0)*10+Parameter!$M$23,Parameter!$M$24))</f>
        <v>235</v>
      </c>
      <c r="CC41" s="48" t="n">
        <f aca="false">IF(AND(Parameter!$B$19="Ja",E41&lt;&gt;"",ISNUMBER(MATCH(E41,Parameter!$I$35:$I$52,0))),VLOOKUP(E41,Parameter!$I$35:$J$52,2,0),IFERROR(VLOOKUP(D41,Parameter!$A$35:$C$64,2,0),"Nein"))</f>
        <v>1</v>
      </c>
      <c r="CD41" s="52" t="n">
        <f aca="false">IF(BZ41=0,0,IF(N(S41)&gt;0,S41,IFERROR(VLOOKUP(D41,Parameter!$A$35:$C$64,3,0)+0,0)))</f>
        <v>0</v>
      </c>
      <c r="CE41" s="48" t="n">
        <f aca="false">IF(AA41&lt;&gt;"",AA41,Z41)</f>
        <v>1</v>
      </c>
      <c r="CF41" s="48" t="str">
        <f aca="false">IF(OR(CE41=1,CE41=2,CE41=3),IF(Parameter!$E$27="Ja","LIFT",IF(CE41=1,"L1","L23")),IF(CE41="Aussen","Aussen","-"))</f>
        <v>LIFT</v>
      </c>
      <c r="CG41" s="59" t="n">
        <f aca="false">IF(N(AB41)&gt;0,AB41,0)</f>
        <v>0</v>
      </c>
      <c r="CH41" s="53" t="n">
        <f aca="false">IF(ISNUMBER(AE41),1,0)</f>
        <v>0</v>
      </c>
      <c r="CI41" s="50" t="n">
        <f aca="false">N(AE41)</f>
        <v>0</v>
      </c>
      <c r="CJ41" s="50" t="n">
        <f aca="false">N(M41)+N(N41)</f>
        <v>15</v>
      </c>
      <c r="CK41" s="50" t="n">
        <f aca="false">N(M41)</f>
        <v>5</v>
      </c>
      <c r="CL41" s="50" t="n">
        <f aca="false">N(N41)</f>
        <v>10</v>
      </c>
      <c r="CM41" s="50" t="n">
        <f aca="false">ROUNDUP(H41/BY41,0)</f>
        <v>5</v>
      </c>
      <c r="CN41" s="50" t="n">
        <f aca="false">ROUNDUP(CI41/BY41,0)</f>
        <v>0</v>
      </c>
      <c r="CO41" s="53" t="n">
        <f aca="false">IF(BZ41=1,0,IFERROR(VLOOKUP(BX41,'Gebinde-Kategorie'!$A$5:$N$45,5,0)+0,0))</f>
        <v>20</v>
      </c>
      <c r="CP41" s="53" t="n">
        <f aca="false">IFERROR(IF(OR(CE41=1,CE41=2,CE41=3),N(INDEX(Parameter!$I$5:$I$7,CE41)),0),0)</f>
        <v>0</v>
      </c>
      <c r="CQ41" s="52" t="n">
        <f aca="false">IF(AND(Parameter!$B$21="Ja",ISNUMBER(W41),N(X41)&gt;0),IFERROR(N(INDEX(Parameter!$L$5:$L$7,W41))*INDEX(Parameter!$E$5:$E$7,W41)*X41/SUMIFS($X$7:$X$1843,$W$7:$W$1843,W41),0),0)</f>
        <v>0</v>
      </c>
    </row>
    <row r="42" customFormat="false" ht="15" hidden="false" customHeight="false" outlineLevel="0" collapsed="false">
      <c r="A42" s="48" t="s">
        <v>282</v>
      </c>
      <c r="B42" s="48" t="s">
        <v>283</v>
      </c>
      <c r="C42" s="48" t="s">
        <v>173</v>
      </c>
      <c r="D42" s="48" t="s">
        <v>193</v>
      </c>
      <c r="E42" s="48"/>
      <c r="F42" s="48" t="s">
        <v>227</v>
      </c>
      <c r="G42" s="49" t="n">
        <v>1121.43</v>
      </c>
      <c r="H42" s="50" t="n">
        <f aca="false">MAX(0,IF(AND(Parameter!$B$21="Ja",ISNUMBER(Y42)),Y42,IF(Parameter!$B$20="Jahresanfang 2025 + Export",BR42+BQ42,BQ42)))</f>
        <v>7</v>
      </c>
      <c r="I42" s="50" t="n">
        <f aca="false">H42*G42</f>
        <v>7850.01</v>
      </c>
      <c r="J42" s="50" t="n">
        <f aca="false">BT42*Parameter!$B$18</f>
        <v>0</v>
      </c>
      <c r="K42" s="51" t="n">
        <v>0</v>
      </c>
      <c r="L42" s="52" t="n">
        <v>0</v>
      </c>
      <c r="M42" s="50" t="n">
        <v>0</v>
      </c>
      <c r="N42" s="50" t="n">
        <v>1</v>
      </c>
      <c r="O42" s="53" t="n">
        <v>9999</v>
      </c>
      <c r="P42" s="48" t="s">
        <v>177</v>
      </c>
      <c r="Q42" s="50"/>
      <c r="R42" s="53" t="n">
        <f aca="false">IF(BZ42=1,0,IFERROR(VLOOKUP(BX42,'Gebinde-Kategorie'!$A$5:$N$45,13,0)+0,0))</f>
        <v>26</v>
      </c>
      <c r="S42" s="54"/>
      <c r="T42" s="55" t="s">
        <v>284</v>
      </c>
      <c r="U42" s="55"/>
      <c r="V42" s="55"/>
      <c r="W42" s="48"/>
      <c r="X42" s="50"/>
      <c r="Y42" s="50"/>
      <c r="Z42" s="48" t="n">
        <f aca="false">IF(A42="","",IF(AND(Parameter!$B$21="Ja",ISNUMBER(W42)),W42,IF(CC42="2+3",IF(ISNUMBER(SEARCH("grosser Artikel",BU42)),2,IFERROR(VLOOKUP(BX42,Parameter!$F$35:$G$64,2,0),2)),IF(OR(CC42="Nein",CC42=""),"-",CC42))))</f>
        <v>3</v>
      </c>
      <c r="AA42" s="55"/>
      <c r="AB42" s="56"/>
      <c r="AC42" s="50" t="n">
        <f aca="false">AV42</f>
        <v>1</v>
      </c>
      <c r="AD42" s="50" t="n">
        <f aca="false">MAX(AV42,H42)</f>
        <v>7</v>
      </c>
      <c r="AE42" s="57"/>
      <c r="AF42" s="50" t="n">
        <f aca="false">IF(LEFT(Cockpit!$C$5,1)="A",H42,IF(Parameter!$E$30="MAX-Bestand",IF(CH42=1,CI42,IF(LEFT(Cockpit!$C$5,1)="B",AL42,MAX(AL42,H42))),ROUNDUP(AJ42,0)))</f>
        <v>7</v>
      </c>
      <c r="AG42" s="50" t="n">
        <f aca="false">IF(BZ42=1,0,ROUNDUP(AF42/BY42,0))</f>
        <v>1</v>
      </c>
      <c r="AH42" s="52" t="n">
        <f aca="false">IF(CQ42&gt;0,CQ42*MAX(1,AF42/X42),IF(BZ42=1,IF(AF42&lt;=0,0,CD42*MAX(1,IF(H42&gt;0,AF42/H42,1))),IF(R42&gt;0,AG42/R42,0))/MAX(0.1,N(Parameter!$M$21)))</f>
        <v>0.0384615384615385</v>
      </c>
      <c r="AI42" s="50" t="n">
        <f aca="false">AH42*CB42</f>
        <v>5.96153846153846</v>
      </c>
      <c r="AJ42" s="51" t="n">
        <f aca="false">IF(LEFT(Cockpit!$C$5,1)="A",H42,IF(CH42=1,(CK42+CI42)/2,IF(LEFT(Cockpit!$C$5,1)="B",(CK42+AL42)/2,MAX((CK42+AL42)/2,H42))))</f>
        <v>7</v>
      </c>
      <c r="AK42" s="50" t="n">
        <f aca="false">AJ42*G42</f>
        <v>7850.01</v>
      </c>
      <c r="AL42" s="50" t="n">
        <f aca="false">ROUNDUP(CK42+MAX(CL42,2*(J42/IF(CG42&gt;0,CG42,MAX(0.1,N(Cockpit!$C$6)))-CK42)),0)</f>
        <v>1</v>
      </c>
      <c r="AM42" s="51" t="n">
        <f aca="false">IF(AI42&gt;0,J42/AI42,-1)</f>
        <v>0</v>
      </c>
      <c r="AN42" s="51" t="n">
        <f aca="false">IF(AND(OR(CF42="L1",CF42="L23",CF42="LIFT"),AI42&gt;0),SUMIFS($AI$7:$AI$1843,$CF$7:$CF$1843,CF42,$AM$7:$AM$1843,"&gt;"&amp;AM42)+SUMIFS($AI$7:$AI$1843,$CF$7:$CF$1843,CF42,$AM$7:$AM$1843,AM42,$BW$7:$BW$1843,"&lt;="&amp;BW42),"")</f>
        <v>25706.2334466381</v>
      </c>
      <c r="AO42" s="58" t="n">
        <f aca="false">IF(AN42="",0,MAX(0,MIN(1,(IF(CF42="L1",Parameter!$H$5,IF(CF42="L23",Parameter!$H$6+Parameter!$H$7,Parameter!$H$5+Parameter!$H$6+Parameter!$H$7))-(AN42-AI42))/AI42)))</f>
        <v>1</v>
      </c>
      <c r="AP42" s="50" t="n">
        <f aca="false">IF(LEFT(Cockpit!$I$5,1)="A",H42,IF(Parameter!$E$30="MAX-Bestand",IF(CH42=1,CI42,IF(LEFT(Cockpit!$I$5,1)="B",AV42,MAX(AV42,H42))),ROUNDUP(AT42,0)))</f>
        <v>7</v>
      </c>
      <c r="AQ42" s="50" t="n">
        <f aca="false">IF(BZ42=1,0,ROUNDUP(AP42/BY42,0))</f>
        <v>1</v>
      </c>
      <c r="AR42" s="52" t="n">
        <f aca="false">IF(CQ42&gt;0,CQ42*MAX(1,AP42/X42),IF(BZ42=1,IF(AP42&lt;=0,0,CD42*MAX(1,IF(H42&gt;0,AP42/H42,1))),IF(R42&gt;0,AQ42/R42,0))/MAX(0.1,N(Parameter!$M$21)))</f>
        <v>0.0384615384615385</v>
      </c>
      <c r="AS42" s="50" t="n">
        <f aca="false">AR42*CB42</f>
        <v>5.96153846153846</v>
      </c>
      <c r="AT42" s="51" t="n">
        <f aca="false">IF(LEFT(Cockpit!$I$5,1)="A",H42,IF(CH42=1,(CK42+CI42)/2,IF(LEFT(Cockpit!$I$5,1)="B",(CK42+AV42)/2,MAX((CK42+AV42)/2,H42))))</f>
        <v>7</v>
      </c>
      <c r="AU42" s="50" t="n">
        <f aca="false">AT42*G42</f>
        <v>7850.01</v>
      </c>
      <c r="AV42" s="50" t="n">
        <f aca="false">ROUNDUP(CK42+MAX(CL42,2*(J42/IF(CG42&gt;0,CG42,MAX(0.1,N(Cockpit!$I$6)))-CK42)),0)</f>
        <v>1</v>
      </c>
      <c r="AW42" s="51" t="n">
        <f aca="false">IF(AS42&gt;0,J42/AS42,-1)</f>
        <v>0</v>
      </c>
      <c r="AX42" s="51" t="n">
        <f aca="false">IF(AND(OR(CF42="L1",CF42="L23",CF42="LIFT"),AS42&gt;0),SUMIFS($AS$7:$AS$1843,$CF$7:$CF$1843,CF42,$AW$7:$AW$1843,"&gt;"&amp;AW42)+SUMIFS($AS$7:$AS$1843,$CF$7:$CF$1843,CF42,$AW$7:$AW$1843,AW42,$BW$7:$BW$1843,"&lt;="&amp;BW42),"")</f>
        <v>31059.3820880156</v>
      </c>
      <c r="AY42" s="58" t="n">
        <f aca="false">IF(AX42="",0,MAX(0,MIN(1,(IF(CF42="L1",Parameter!$H$5,IF(CF42="L23",Parameter!$H$6+Parameter!$H$7,Parameter!$H$5+Parameter!$H$6+Parameter!$H$7))-(AX42-AS42))/AS42)))</f>
        <v>1</v>
      </c>
      <c r="AZ42" s="50" t="n">
        <f aca="false">IF(LEFT(Cockpit!$O$5,1)="A",H42,IF(Parameter!$E$30="MAX-Bestand",IF(CH42=1,CI42,IF(LEFT(Cockpit!$O$5,1)="B",BF42,MAX(BF42,H42))),ROUNDUP(BD42,0)))</f>
        <v>1</v>
      </c>
      <c r="BA42" s="50" t="n">
        <f aca="false">IF(BZ42=1,0,ROUNDUP(AZ42/BY42,0))</f>
        <v>1</v>
      </c>
      <c r="BB42" s="52" t="n">
        <f aca="false">IF(CQ42&gt;0,CQ42*MAX(1,AZ42/X42),IF(BZ42=1,IF(AZ42&lt;=0,0,CD42*MAX(1,IF(H42&gt;0,AZ42/H42,1))),IF(R42&gt;0,BA42/R42,0))/MAX(0.1,N(Parameter!$M$21)))</f>
        <v>0.0384615384615385</v>
      </c>
      <c r="BC42" s="50" t="n">
        <f aca="false">BB42*CB42</f>
        <v>5.96153846153846</v>
      </c>
      <c r="BD42" s="51" t="n">
        <f aca="false">IF(LEFT(Cockpit!$O$5,1)="A",H42,IF(CH42=1,(CK42+CI42)/2,IF(LEFT(Cockpit!$O$5,1)="B",(CK42+BF42)/2,MAX((CK42+BF42)/2,H42))))</f>
        <v>0.5</v>
      </c>
      <c r="BE42" s="50" t="n">
        <f aca="false">BD42*G42</f>
        <v>560.715</v>
      </c>
      <c r="BF42" s="50" t="n">
        <f aca="false">ROUNDUP(CK42+MAX(CL42,2*(J42/IF(CG42&gt;0,CG42,MAX(0.1,N(Cockpit!$O$6)))-CK42)),0)</f>
        <v>1</v>
      </c>
      <c r="BG42" s="51" t="n">
        <f aca="false">IF(BC42&gt;0,J42/BC42,-1)</f>
        <v>0</v>
      </c>
      <c r="BH42" s="51" t="n">
        <f aca="false">IF(AND(OR(CF42="L1",CF42="L23",CF42="LIFT"),BC42&gt;0),SUMIFS($BC$7:$BC$1843,$CF$7:$CF$1843,CF42,$BG$7:$BG$1843,"&gt;"&amp;BG42)+SUMIFS($BC$7:$BC$1843,$CF$7:$CF$1843,CF42,$BG$7:$BG$1843,BG42,$BW$7:$BW$1843,"&lt;="&amp;BW42),"")</f>
        <v>25314.7139313135</v>
      </c>
      <c r="BI42" s="58" t="n">
        <f aca="false">IF(BH42="",0,MAX(0,MIN(1,(IF(CF42="L1",Parameter!$H$5,IF(CF42="L23",Parameter!$H$6+Parameter!$H$7,Parameter!$H$5+Parameter!$H$6+Parameter!$H$7))-(BH42-BC42))/BC42)))</f>
        <v>1</v>
      </c>
      <c r="BJ42" s="48" t="str">
        <f aca="false">IF(AI42&lt;=0,"",IF(CF42="Aussen","Aussenlager",IF(CF42="-","Nicht im Lift",IF(AO42&gt;=1,"Lift",IF(AO42&lt;=0,"Aussenlager","teilweise")))))</f>
        <v>Lift</v>
      </c>
      <c r="BK42" s="48" t="str">
        <f aca="false">IF(AS42&lt;=0,"",IF(CF42="Aussen","Aussenlager",IF(CF42="-","Nicht im Lift",IF(AY42&gt;=1,"Lift",IF(AY42&lt;=0,"Aussenlager","teilweise")))))</f>
        <v>Lift</v>
      </c>
      <c r="BL42" s="48" t="str">
        <f aca="false">IF(BC42&lt;=0,"",IF(CF42="Aussen","Aussenlager",IF(CF42="-","Nicht im Lift",IF(BI42&gt;=1,"Lift",IF(BI42&lt;=0,"Aussenlager","teilweise")))))</f>
        <v>Lift</v>
      </c>
      <c r="BM42" s="48" t="str">
        <f aca="false">IF(A42="","",IF(BV42=1,"Neu; ","")&amp;IF(AND(BV42=0,BQ42&lt;0),"negativer Bestand (Export "&amp;BQ42&amp;"); ","")&amp;IF(J42&lt;=0,"Kein Verbrauch; ","")&amp;IF(CQ42&gt;0,"Lift "&amp;W42&amp;" lt. Liftbericht (Fach "&amp;X42&amp;" Stk); ",IF(CA42=1,"Gebinde geschätzt ("&amp;T42&amp;"); ",IF(BZ42=1,"Lose – Tablare geschätzt; ","")))&amp;IF(H42&gt;AV42,"Überbestand "&amp;ROUND(H42-AV42,0)&amp;" Stk / CHF "&amp;ROUND((H42-AV42)*G42,0)&amp;"; ","")&amp;IF(AND(CH42=1,CI42&lt;CJ42),"MAX &lt; MB+LG; ","")&amp;IF(AND(CP42&gt;0,CO42*10&gt;CP42),"zu hoch für Tablar; ","")&amp;IF(AND(BV42=0,OR(CH42=1,AA42&lt;&gt;"",U42&lt;&gt;"",V42&lt;&gt;"",AB42&lt;&gt;"")),"manuell übersteuert; ","")&amp;IF(AND(BZ42=0,R42=0),"Gebinde unbekannt / Stellmass fehlt; ","")&amp;IF(AND(BZ42=0,N(V42)&lt;=0,N(Q42)&lt;=0),"Menge pro Gebinde fehlt (Ist = 1 Gebinde); ","")&amp;BU42)</f>
        <v>Kein Verbrauch; Gebinde geschätzt (Klein); Überbestand 6 Stk / CHF 6729; Menge pro Gebinde fehlt (Ist = 1 Gebinde); </v>
      </c>
      <c r="BN42" s="48"/>
      <c r="BO42" s="48"/>
      <c r="BP42" s="55"/>
      <c r="BQ42" s="50" t="n">
        <v>7</v>
      </c>
      <c r="BR42" s="50" t="n">
        <v>0</v>
      </c>
      <c r="BS42" s="49" t="n">
        <v>7850</v>
      </c>
      <c r="BT42" s="50" t="n">
        <v>0</v>
      </c>
      <c r="BU42" s="48"/>
      <c r="BV42" s="53" t="n">
        <v>0</v>
      </c>
      <c r="BW42" s="53" t="n">
        <v>42</v>
      </c>
      <c r="BX42" s="48" t="str">
        <f aca="false">IF(U42&lt;&gt;"",UPPER(TRIM(U42)),IF(CA42=1,UPPER(VLOOKUP(T42,Parameter!$I$27:$K$29,2,0)),IF(P42="","LOSE",P42)))</f>
        <v>S51</v>
      </c>
      <c r="BY42" s="50" t="n">
        <f aca="false">IF(BX42="LOSE",1,IF(N(V42)&gt;0,V42,IF(CA42=1,MAX(1,N(VLOOKUP(T42,Parameter!$I$27:$K$29,3,0)),H42,N(N42)),IF(N(Q42)&gt;0,Q42,MAX(1,H42)))))</f>
        <v>20</v>
      </c>
      <c r="BZ42" s="53" t="n">
        <f aca="false">IF(BX42="LOSE",1,0)</f>
        <v>0</v>
      </c>
      <c r="CA42" s="53" t="n">
        <f aca="false">IF(AND(U42="",OR(P42="",P42="LOSE"),T42&lt;&gt;"",N(S42)&lt;=0,ISNUMBER(MATCH(T42,Parameter!$I$27:$I$29,0))),1,0)</f>
        <v>1</v>
      </c>
      <c r="CB42" s="53" t="n">
        <f aca="false">IF(CQ42&gt;0,INDEX(Parameter!$H$5:$H$7,W42)/INDEX(Parameter!$E$5:$E$7,W42),IF(AND(BZ42=0,N(IFERROR(VLOOKUP(BX42,'Gebinde-Kategorie'!$A$5:$N$45,14,0),0))&gt;0),VLOOKUP(BX42,'Gebinde-Kategorie'!$A$5:$N$45,14,0)*10+Parameter!$M$23,Parameter!$M$24))</f>
        <v>155</v>
      </c>
      <c r="CC42" s="48" t="str">
        <f aca="false">IF(AND(Parameter!$B$19="Ja",E42&lt;&gt;"",ISNUMBER(MATCH(E42,Parameter!$I$35:$I$52,0))),VLOOKUP(E42,Parameter!$I$35:$J$52,2,0),IFERROR(VLOOKUP(D42,Parameter!$A$35:$C$64,2,0),"Nein"))</f>
        <v>2+3</v>
      </c>
      <c r="CD42" s="52" t="n">
        <f aca="false">IF(BZ42=0,0,IF(N(S42)&gt;0,S42,IFERROR(VLOOKUP(D42,Parameter!$A$35:$C$64,3,0)+0,0)))</f>
        <v>0</v>
      </c>
      <c r="CE42" s="48" t="n">
        <f aca="false">IF(AA42&lt;&gt;"",AA42,Z42)</f>
        <v>3</v>
      </c>
      <c r="CF42" s="48" t="str">
        <f aca="false">IF(OR(CE42=1,CE42=2,CE42=3),IF(Parameter!$E$27="Ja","LIFT",IF(CE42=1,"L1","L23")),IF(CE42="Aussen","Aussen","-"))</f>
        <v>LIFT</v>
      </c>
      <c r="CG42" s="59" t="n">
        <f aca="false">IF(N(AB42)&gt;0,AB42,0)</f>
        <v>0</v>
      </c>
      <c r="CH42" s="53" t="n">
        <f aca="false">IF(ISNUMBER(AE42),1,0)</f>
        <v>0</v>
      </c>
      <c r="CI42" s="50" t="n">
        <f aca="false">N(AE42)</f>
        <v>0</v>
      </c>
      <c r="CJ42" s="50" t="n">
        <f aca="false">N(M42)+N(N42)</f>
        <v>1</v>
      </c>
      <c r="CK42" s="50" t="n">
        <f aca="false">N(M42)</f>
        <v>0</v>
      </c>
      <c r="CL42" s="50" t="n">
        <f aca="false">N(N42)</f>
        <v>1</v>
      </c>
      <c r="CM42" s="50" t="n">
        <f aca="false">ROUNDUP(H42/BY42,0)</f>
        <v>1</v>
      </c>
      <c r="CN42" s="50" t="n">
        <f aca="false">ROUNDUP(CI42/BY42,0)</f>
        <v>0</v>
      </c>
      <c r="CO42" s="53" t="n">
        <f aca="false">IF(BZ42=1,0,IFERROR(VLOOKUP(BX42,'Gebinde-Kategorie'!$A$5:$N$45,5,0)+0,0))</f>
        <v>11</v>
      </c>
      <c r="CP42" s="53" t="n">
        <f aca="false">IFERROR(IF(OR(CE42=1,CE42=2,CE42=3),N(INDEX(Parameter!$I$5:$I$7,CE42)),0),0)</f>
        <v>0</v>
      </c>
      <c r="CQ42" s="52" t="n">
        <f aca="false">IF(AND(Parameter!$B$21="Ja",ISNUMBER(W42),N(X42)&gt;0),IFERROR(N(INDEX(Parameter!$L$5:$L$7,W42))*INDEX(Parameter!$E$5:$E$7,W42)*X42/SUMIFS($X$7:$X$1843,$W$7:$W$1843,W42),0),0)</f>
        <v>0</v>
      </c>
    </row>
    <row r="43" customFormat="false" ht="15" hidden="false" customHeight="false" outlineLevel="0" collapsed="false">
      <c r="A43" s="48" t="s">
        <v>285</v>
      </c>
      <c r="B43" s="48" t="s">
        <v>286</v>
      </c>
      <c r="C43" s="48" t="s">
        <v>173</v>
      </c>
      <c r="D43" s="48" t="s">
        <v>182</v>
      </c>
      <c r="E43" s="48"/>
      <c r="F43" s="48" t="s">
        <v>227</v>
      </c>
      <c r="G43" s="49" t="n">
        <v>280.46</v>
      </c>
      <c r="H43" s="50" t="n">
        <f aca="false">MAX(0,IF(AND(Parameter!$B$21="Ja",ISNUMBER(Y43)),Y43,IF(Parameter!$B$20="Jahresanfang 2025 + Export",BR43+BQ43,BQ43)))</f>
        <v>27</v>
      </c>
      <c r="I43" s="50" t="n">
        <f aca="false">H43*G43</f>
        <v>7572.42</v>
      </c>
      <c r="J43" s="50" t="n">
        <f aca="false">BT43*Parameter!$B$18</f>
        <v>0</v>
      </c>
      <c r="K43" s="51" t="n">
        <v>0</v>
      </c>
      <c r="L43" s="52" t="n">
        <v>0</v>
      </c>
      <c r="M43" s="50" t="n">
        <v>6</v>
      </c>
      <c r="N43" s="50" t="n">
        <v>24</v>
      </c>
      <c r="O43" s="53" t="n">
        <v>28</v>
      </c>
      <c r="P43" s="48" t="s">
        <v>177</v>
      </c>
      <c r="Q43" s="50"/>
      <c r="R43" s="53" t="n">
        <f aca="false">IF(BZ43=1,0,IFERROR(VLOOKUP(BX43,'Gebinde-Kategorie'!$A$5:$N$45,13,0)+0,0))</f>
        <v>12</v>
      </c>
      <c r="S43" s="54"/>
      <c r="T43" s="55" t="s">
        <v>188</v>
      </c>
      <c r="U43" s="55"/>
      <c r="V43" s="55"/>
      <c r="W43" s="48"/>
      <c r="X43" s="50"/>
      <c r="Y43" s="50"/>
      <c r="Z43" s="48" t="n">
        <f aca="false">IF(A43="","",IF(AND(Parameter!$B$21="Ja",ISNUMBER(W43)),W43,IF(CC43="2+3",IF(ISNUMBER(SEARCH("grosser Artikel",BU43)),2,IFERROR(VLOOKUP(BX43,Parameter!$F$35:$G$64,2,0),2)),IF(OR(CC43="Nein",CC43=""),"-",CC43))))</f>
        <v>2</v>
      </c>
      <c r="AA43" s="55"/>
      <c r="AB43" s="56"/>
      <c r="AC43" s="50" t="n">
        <f aca="false">AV43</f>
        <v>30</v>
      </c>
      <c r="AD43" s="50" t="n">
        <f aca="false">MAX(AV43,H43)</f>
        <v>30</v>
      </c>
      <c r="AE43" s="57"/>
      <c r="AF43" s="50" t="n">
        <f aca="false">IF(LEFT(Cockpit!$C$5,1)="A",H43,IF(Parameter!$E$30="MAX-Bestand",IF(CH43=1,CI43,IF(LEFT(Cockpit!$C$5,1)="B",AL43,MAX(AL43,H43))),ROUNDUP(AJ43,0)))</f>
        <v>27</v>
      </c>
      <c r="AG43" s="50" t="n">
        <f aca="false">IF(BZ43=1,0,ROUNDUP(AF43/BY43,0))</f>
        <v>1</v>
      </c>
      <c r="AH43" s="52" t="n">
        <f aca="false">IF(CQ43&gt;0,CQ43*MAX(1,AF43/X43),IF(BZ43=1,IF(AF43&lt;=0,0,CD43*MAX(1,IF(H43&gt;0,AF43/H43,1))),IF(R43&gt;0,AG43/R43,0))/MAX(0.1,N(Parameter!$M$21)))</f>
        <v>0.0833333333333333</v>
      </c>
      <c r="AI43" s="50" t="n">
        <f aca="false">AH43*CB43</f>
        <v>12.0833333333333</v>
      </c>
      <c r="AJ43" s="51" t="n">
        <f aca="false">IF(LEFT(Cockpit!$C$5,1)="A",H43,IF(CH43=1,(CK43+CI43)/2,IF(LEFT(Cockpit!$C$5,1)="B",(CK43+AL43)/2,MAX((CK43+AL43)/2,H43))))</f>
        <v>27</v>
      </c>
      <c r="AK43" s="50" t="n">
        <f aca="false">AJ43*G43</f>
        <v>7572.42</v>
      </c>
      <c r="AL43" s="50" t="n">
        <f aca="false">ROUNDUP(CK43+MAX(CL43,2*(J43/IF(CG43&gt;0,CG43,MAX(0.1,N(Cockpit!$C$6)))-CK43)),0)</f>
        <v>30</v>
      </c>
      <c r="AM43" s="51" t="n">
        <f aca="false">IF(AI43&gt;0,J43/AI43,-1)</f>
        <v>0</v>
      </c>
      <c r="AN43" s="51" t="n">
        <f aca="false">IF(AND(OR(CF43="L1",CF43="L23",CF43="LIFT"),AI43&gt;0),SUMIFS($AI$7:$AI$1843,$CF$7:$CF$1843,CF43,$AM$7:$AM$1843,"&gt;"&amp;AM43)+SUMIFS($AI$7:$AI$1843,$CF$7:$CF$1843,CF43,$AM$7:$AM$1843,AM43,$BW$7:$BW$1843,"&lt;="&amp;BW43),"")</f>
        <v>25718.3167799714</v>
      </c>
      <c r="AO43" s="58" t="n">
        <f aca="false">IF(AN43="",0,MAX(0,MIN(1,(IF(CF43="L1",Parameter!$H$5,IF(CF43="L23",Parameter!$H$6+Parameter!$H$7,Parameter!$H$5+Parameter!$H$6+Parameter!$H$7))-(AN43-AI43))/AI43)))</f>
        <v>1</v>
      </c>
      <c r="AP43" s="50" t="n">
        <f aca="false">IF(LEFT(Cockpit!$I$5,1)="A",H43,IF(Parameter!$E$30="MAX-Bestand",IF(CH43=1,CI43,IF(LEFT(Cockpit!$I$5,1)="B",AV43,MAX(AV43,H43))),ROUNDUP(AT43,0)))</f>
        <v>27</v>
      </c>
      <c r="AQ43" s="50" t="n">
        <f aca="false">IF(BZ43=1,0,ROUNDUP(AP43/BY43,0))</f>
        <v>1</v>
      </c>
      <c r="AR43" s="52" t="n">
        <f aca="false">IF(CQ43&gt;0,CQ43*MAX(1,AP43/X43),IF(BZ43=1,IF(AP43&lt;=0,0,CD43*MAX(1,IF(H43&gt;0,AP43/H43,1))),IF(R43&gt;0,AQ43/R43,0))/MAX(0.1,N(Parameter!$M$21)))</f>
        <v>0.0833333333333333</v>
      </c>
      <c r="AS43" s="50" t="n">
        <f aca="false">AR43*CB43</f>
        <v>12.0833333333333</v>
      </c>
      <c r="AT43" s="51" t="n">
        <f aca="false">IF(LEFT(Cockpit!$I$5,1)="A",H43,IF(CH43=1,(CK43+CI43)/2,IF(LEFT(Cockpit!$I$5,1)="B",(CK43+AV43)/2,MAX((CK43+AV43)/2,H43))))</f>
        <v>27</v>
      </c>
      <c r="AU43" s="50" t="n">
        <f aca="false">AT43*G43</f>
        <v>7572.42</v>
      </c>
      <c r="AV43" s="50" t="n">
        <f aca="false">ROUNDUP(CK43+MAX(CL43,2*(J43/IF(CG43&gt;0,CG43,MAX(0.1,N(Cockpit!$I$6)))-CK43)),0)</f>
        <v>30</v>
      </c>
      <c r="AW43" s="51" t="n">
        <f aca="false">IF(AS43&gt;0,J43/AS43,-1)</f>
        <v>0</v>
      </c>
      <c r="AX43" s="51" t="n">
        <f aca="false">IF(AND(OR(CF43="L1",CF43="L23",CF43="LIFT"),AS43&gt;0),SUMIFS($AS$7:$AS$1843,$CF$7:$CF$1843,CF43,$AW$7:$AW$1843,"&gt;"&amp;AW43)+SUMIFS($AS$7:$AS$1843,$CF$7:$CF$1843,CF43,$AW$7:$AW$1843,AW43,$BW$7:$BW$1843,"&lt;="&amp;BW43),"")</f>
        <v>31071.4654213489</v>
      </c>
      <c r="AY43" s="58" t="n">
        <f aca="false">IF(AX43="",0,MAX(0,MIN(1,(IF(CF43="L1",Parameter!$H$5,IF(CF43="L23",Parameter!$H$6+Parameter!$H$7,Parameter!$H$5+Parameter!$H$6+Parameter!$H$7))-(AX43-AS43))/AS43)))</f>
        <v>1</v>
      </c>
      <c r="AZ43" s="50" t="n">
        <f aca="false">IF(LEFT(Cockpit!$O$5,1)="A",H43,IF(Parameter!$E$30="MAX-Bestand",IF(CH43=1,CI43,IF(LEFT(Cockpit!$O$5,1)="B",BF43,MAX(BF43,H43))),ROUNDUP(BD43,0)))</f>
        <v>18</v>
      </c>
      <c r="BA43" s="50" t="n">
        <f aca="false">IF(BZ43=1,0,ROUNDUP(AZ43/BY43,0))</f>
        <v>1</v>
      </c>
      <c r="BB43" s="52" t="n">
        <f aca="false">IF(CQ43&gt;0,CQ43*MAX(1,AZ43/X43),IF(BZ43=1,IF(AZ43&lt;=0,0,CD43*MAX(1,IF(H43&gt;0,AZ43/H43,1))),IF(R43&gt;0,BA43/R43,0))/MAX(0.1,N(Parameter!$M$21)))</f>
        <v>0.0833333333333333</v>
      </c>
      <c r="BC43" s="50" t="n">
        <f aca="false">BB43*CB43</f>
        <v>12.0833333333333</v>
      </c>
      <c r="BD43" s="51" t="n">
        <f aca="false">IF(LEFT(Cockpit!$O$5,1)="A",H43,IF(CH43=1,(CK43+CI43)/2,IF(LEFT(Cockpit!$O$5,1)="B",(CK43+BF43)/2,MAX((CK43+BF43)/2,H43))))</f>
        <v>18</v>
      </c>
      <c r="BE43" s="50" t="n">
        <f aca="false">BD43*G43</f>
        <v>5048.28</v>
      </c>
      <c r="BF43" s="50" t="n">
        <f aca="false">ROUNDUP(CK43+MAX(CL43,2*(J43/IF(CG43&gt;0,CG43,MAX(0.1,N(Cockpit!$O$6)))-CK43)),0)</f>
        <v>30</v>
      </c>
      <c r="BG43" s="51" t="n">
        <f aca="false">IF(BC43&gt;0,J43/BC43,-1)</f>
        <v>0</v>
      </c>
      <c r="BH43" s="51" t="n">
        <f aca="false">IF(AND(OR(CF43="L1",CF43="L23",CF43="LIFT"),BC43&gt;0),SUMIFS($BC$7:$BC$1843,$CF$7:$CF$1843,CF43,$BG$7:$BG$1843,"&gt;"&amp;BG43)+SUMIFS($BC$7:$BC$1843,$CF$7:$CF$1843,CF43,$BG$7:$BG$1843,BG43,$BW$7:$BW$1843,"&lt;="&amp;BW43),"")</f>
        <v>25326.7972646468</v>
      </c>
      <c r="BI43" s="58" t="n">
        <f aca="false">IF(BH43="",0,MAX(0,MIN(1,(IF(CF43="L1",Parameter!$H$5,IF(CF43="L23",Parameter!$H$6+Parameter!$H$7,Parameter!$H$5+Parameter!$H$6+Parameter!$H$7))-(BH43-BC43))/BC43)))</f>
        <v>1</v>
      </c>
      <c r="BJ43" s="48" t="str">
        <f aca="false">IF(AI43&lt;=0,"",IF(CF43="Aussen","Aussenlager",IF(CF43="-","Nicht im Lift",IF(AO43&gt;=1,"Lift",IF(AO43&lt;=0,"Aussenlager","teilweise")))))</f>
        <v>Lift</v>
      </c>
      <c r="BK43" s="48" t="str">
        <f aca="false">IF(AS43&lt;=0,"",IF(CF43="Aussen","Aussenlager",IF(CF43="-","Nicht im Lift",IF(AY43&gt;=1,"Lift",IF(AY43&lt;=0,"Aussenlager","teilweise")))))</f>
        <v>Lift</v>
      </c>
      <c r="BL43" s="48" t="str">
        <f aca="false">IF(BC43&lt;=0,"",IF(CF43="Aussen","Aussenlager",IF(CF43="-","Nicht im Lift",IF(BI43&gt;=1,"Lift",IF(BI43&lt;=0,"Aussenlager","teilweise")))))</f>
        <v>Lift</v>
      </c>
      <c r="BM43" s="48" t="str">
        <f aca="false">IF(A43="","",IF(BV43=1,"Neu; ","")&amp;IF(AND(BV43=0,BQ43&lt;0),"negativer Bestand (Export "&amp;BQ43&amp;"); ","")&amp;IF(J43&lt;=0,"Kein Verbrauch; ","")&amp;IF(CQ43&gt;0,"Lift "&amp;W43&amp;" lt. Liftbericht (Fach "&amp;X43&amp;" Stk); ",IF(CA43=1,"Gebinde geschätzt ("&amp;T43&amp;"); ",IF(BZ43=1,"Lose – Tablare geschätzt; ","")))&amp;IF(H43&gt;AV43,"Überbestand "&amp;ROUND(H43-AV43,0)&amp;" Stk / CHF "&amp;ROUND((H43-AV43)*G43,0)&amp;"; ","")&amp;IF(AND(CH43=1,CI43&lt;CJ43),"MAX &lt; MB+LG; ","")&amp;IF(AND(CP43&gt;0,CO43*10&gt;CP43),"zu hoch für Tablar; ","")&amp;IF(AND(BV43=0,OR(CH43=1,AA43&lt;&gt;"",U43&lt;&gt;"",V43&lt;&gt;"",AB43&lt;&gt;"")),"manuell übersteuert; ","")&amp;IF(AND(BZ43=0,R43=0),"Gebinde unbekannt / Stellmass fehlt; ","")&amp;IF(AND(BZ43=0,N(V43)&lt;=0,N(Q43)&lt;=0),"Menge pro Gebinde fehlt (Ist = 1 Gebinde); ","")&amp;BU43)</f>
        <v>Kein Verbrauch; Gebinde geschätzt (Mittel); Menge pro Gebinde fehlt (Ist = 1 Gebinde); </v>
      </c>
      <c r="BN43" s="48" t="s">
        <v>287</v>
      </c>
      <c r="BO43" s="48" t="s">
        <v>288</v>
      </c>
      <c r="BP43" s="55"/>
      <c r="BQ43" s="50" t="n">
        <v>27</v>
      </c>
      <c r="BR43" s="50" t="n">
        <v>0</v>
      </c>
      <c r="BS43" s="49" t="n">
        <v>7572.42</v>
      </c>
      <c r="BT43" s="50" t="n">
        <v>0</v>
      </c>
      <c r="BU43" s="48"/>
      <c r="BV43" s="53" t="n">
        <v>0</v>
      </c>
      <c r="BW43" s="53" t="n">
        <v>43</v>
      </c>
      <c r="BX43" s="48" t="str">
        <f aca="false">IF(U43&lt;&gt;"",UPPER(TRIM(U43)),IF(CA43=1,UPPER(VLOOKUP(T43,Parameter!$I$27:$K$29,2,0)),IF(P43="","LOSE",P43)))</f>
        <v>S61</v>
      </c>
      <c r="BY43" s="50" t="n">
        <f aca="false">IF(BX43="LOSE",1,IF(N(V43)&gt;0,V43,IF(CA43=1,MAX(1,N(VLOOKUP(T43,Parameter!$I$27:$K$29,3,0)),H43,N(N43)),IF(N(Q43)&gt;0,Q43,MAX(1,H43)))))</f>
        <v>27</v>
      </c>
      <c r="BZ43" s="53" t="n">
        <f aca="false">IF(BX43="LOSE",1,0)</f>
        <v>0</v>
      </c>
      <c r="CA43" s="53" t="n">
        <f aca="false">IF(AND(U43="",OR(P43="",P43="LOSE"),T43&lt;&gt;"",N(S43)&lt;=0,ISNUMBER(MATCH(T43,Parameter!$I$27:$I$29,0))),1,0)</f>
        <v>1</v>
      </c>
      <c r="CB43" s="53" t="n">
        <f aca="false">IF(CQ43&gt;0,INDEX(Parameter!$H$5:$H$7,W43)/INDEX(Parameter!$E$5:$E$7,W43),IF(AND(BZ43=0,N(IFERROR(VLOOKUP(BX43,'Gebinde-Kategorie'!$A$5:$N$45,14,0),0))&gt;0),VLOOKUP(BX43,'Gebinde-Kategorie'!$A$5:$N$45,14,0)*10+Parameter!$M$23,Parameter!$M$24))</f>
        <v>145</v>
      </c>
      <c r="CC43" s="48" t="str">
        <f aca="false">IF(AND(Parameter!$B$19="Ja",E43&lt;&gt;"",ISNUMBER(MATCH(E43,Parameter!$I$35:$I$52,0))),VLOOKUP(E43,Parameter!$I$35:$J$52,2,0),IFERROR(VLOOKUP(D43,Parameter!$A$35:$C$64,2,0),"Nein"))</f>
        <v>2+3</v>
      </c>
      <c r="CD43" s="52" t="n">
        <f aca="false">IF(BZ43=0,0,IF(N(S43)&gt;0,S43,IFERROR(VLOOKUP(D43,Parameter!$A$35:$C$64,3,0)+0,0)))</f>
        <v>0</v>
      </c>
      <c r="CE43" s="48" t="n">
        <f aca="false">IF(AA43&lt;&gt;"",AA43,Z43)</f>
        <v>2</v>
      </c>
      <c r="CF43" s="48" t="str">
        <f aca="false">IF(OR(CE43=1,CE43=2,CE43=3),IF(Parameter!$E$27="Ja","LIFT",IF(CE43=1,"L1","L23")),IF(CE43="Aussen","Aussen","-"))</f>
        <v>LIFT</v>
      </c>
      <c r="CG43" s="59" t="n">
        <f aca="false">IF(N(AB43)&gt;0,AB43,0)</f>
        <v>0</v>
      </c>
      <c r="CH43" s="53" t="n">
        <f aca="false">IF(ISNUMBER(AE43),1,0)</f>
        <v>0</v>
      </c>
      <c r="CI43" s="50" t="n">
        <f aca="false">N(AE43)</f>
        <v>0</v>
      </c>
      <c r="CJ43" s="50" t="n">
        <f aca="false">N(M43)+N(N43)</f>
        <v>30</v>
      </c>
      <c r="CK43" s="50" t="n">
        <f aca="false">N(M43)</f>
        <v>6</v>
      </c>
      <c r="CL43" s="50" t="n">
        <f aca="false">N(N43)</f>
        <v>24</v>
      </c>
      <c r="CM43" s="50" t="n">
        <f aca="false">ROUNDUP(H43/BY43,0)</f>
        <v>1</v>
      </c>
      <c r="CN43" s="50" t="n">
        <f aca="false">ROUNDUP(CI43/BY43,0)</f>
        <v>0</v>
      </c>
      <c r="CO43" s="53" t="n">
        <f aca="false">IF(BZ43=1,0,IFERROR(VLOOKUP(BX43,'Gebinde-Kategorie'!$A$5:$N$45,5,0)+0,0))</f>
        <v>11</v>
      </c>
      <c r="CP43" s="53" t="n">
        <f aca="false">IFERROR(IF(OR(CE43=1,CE43=2,CE43=3),N(INDEX(Parameter!$I$5:$I$7,CE43)),0),0)</f>
        <v>0</v>
      </c>
      <c r="CQ43" s="52" t="n">
        <f aca="false">IF(AND(Parameter!$B$21="Ja",ISNUMBER(W43),N(X43)&gt;0),IFERROR(N(INDEX(Parameter!$L$5:$L$7,W43))*INDEX(Parameter!$E$5:$E$7,W43)*X43/SUMIFS($X$7:$X$1843,$W$7:$W$1843,W43),0),0)</f>
        <v>0</v>
      </c>
    </row>
    <row r="44" customFormat="false" ht="15" hidden="false" customHeight="false" outlineLevel="0" collapsed="false">
      <c r="A44" s="48" t="s">
        <v>289</v>
      </c>
      <c r="B44" s="48" t="s">
        <v>290</v>
      </c>
      <c r="C44" s="48" t="s">
        <v>173</v>
      </c>
      <c r="D44" s="48" t="s">
        <v>182</v>
      </c>
      <c r="E44" s="48" t="s">
        <v>194</v>
      </c>
      <c r="F44" s="48" t="s">
        <v>227</v>
      </c>
      <c r="G44" s="49" t="n">
        <v>180.4</v>
      </c>
      <c r="H44" s="50" t="n">
        <f aca="false">MAX(0,IF(AND(Parameter!$B$21="Ja",ISNUMBER(Y44)),Y44,IF(Parameter!$B$20="Jahresanfang 2025 + Export",BR44+BQ44,BQ44)))</f>
        <v>98</v>
      </c>
      <c r="I44" s="50" t="n">
        <f aca="false">H44*G44</f>
        <v>17679.2</v>
      </c>
      <c r="J44" s="50" t="n">
        <f aca="false">BT44*Parameter!$B$18</f>
        <v>25</v>
      </c>
      <c r="K44" s="51" t="n">
        <v>44</v>
      </c>
      <c r="L44" s="52" t="n">
        <v>0.568181818181818</v>
      </c>
      <c r="M44" s="50" t="n">
        <v>10</v>
      </c>
      <c r="N44" s="50" t="n">
        <v>20</v>
      </c>
      <c r="O44" s="53" t="n">
        <v>98</v>
      </c>
      <c r="P44" s="48" t="s">
        <v>268</v>
      </c>
      <c r="Q44" s="50" t="n">
        <v>24</v>
      </c>
      <c r="R44" s="53" t="n">
        <f aca="false">IF(BZ44=1,0,IFERROR(VLOOKUP(BX44,'Gebinde-Kategorie'!$A$5:$N$45,13,0)+0,0))</f>
        <v>6</v>
      </c>
      <c r="S44" s="54"/>
      <c r="T44" s="55"/>
      <c r="U44" s="55"/>
      <c r="V44" s="55"/>
      <c r="W44" s="48"/>
      <c r="X44" s="50"/>
      <c r="Y44" s="50"/>
      <c r="Z44" s="48" t="n">
        <f aca="false">IF(A44="","",IF(AND(Parameter!$B$21="Ja",ISNUMBER(W44)),W44,IF(CC44="2+3",IF(ISNUMBER(SEARCH("grosser Artikel",BU44)),2,IFERROR(VLOOKUP(BX44,Parameter!$F$35:$G$64,2,0),2)),IF(OR(CC44="Nein",CC44=""),"-",CC44))))</f>
        <v>2</v>
      </c>
      <c r="AA44" s="55"/>
      <c r="AB44" s="56"/>
      <c r="AC44" s="50" t="n">
        <f aca="false">AV44</f>
        <v>30</v>
      </c>
      <c r="AD44" s="50" t="n">
        <f aca="false">MAX(AV44,H44)</f>
        <v>98</v>
      </c>
      <c r="AE44" s="57"/>
      <c r="AF44" s="50" t="n">
        <f aca="false">IF(LEFT(Cockpit!$C$5,1)="A",H44,IF(Parameter!$E$30="MAX-Bestand",IF(CH44=1,CI44,IF(LEFT(Cockpit!$C$5,1)="B",AL44,MAX(AL44,H44))),ROUNDUP(AJ44,0)))</f>
        <v>98</v>
      </c>
      <c r="AG44" s="50" t="n">
        <f aca="false">IF(BZ44=1,0,ROUNDUP(AF44/BY44,0))</f>
        <v>5</v>
      </c>
      <c r="AH44" s="52" t="n">
        <f aca="false">IF(CQ44&gt;0,CQ44*MAX(1,AF44/X44),IF(BZ44=1,IF(AF44&lt;=0,0,CD44*MAX(1,IF(H44&gt;0,AF44/H44,1))),IF(R44&gt;0,AG44/R44,0))/MAX(0.1,N(Parameter!$M$21)))</f>
        <v>0.833333333333333</v>
      </c>
      <c r="AI44" s="50" t="n">
        <f aca="false">AH44*CB44</f>
        <v>362.5</v>
      </c>
      <c r="AJ44" s="51" t="n">
        <f aca="false">IF(LEFT(Cockpit!$C$5,1)="A",H44,IF(CH44=1,(CK44+CI44)/2,IF(LEFT(Cockpit!$C$5,1)="B",(CK44+AL44)/2,MAX((CK44+AL44)/2,H44))))</f>
        <v>98</v>
      </c>
      <c r="AK44" s="50" t="n">
        <f aca="false">AJ44*G44</f>
        <v>17679.2</v>
      </c>
      <c r="AL44" s="50" t="n">
        <f aca="false">ROUNDUP(CK44+MAX(CL44,2*(J44/IF(CG44&gt;0,CG44,MAX(0.1,N(Cockpit!$C$6)))-CK44)),0)</f>
        <v>30</v>
      </c>
      <c r="AM44" s="51" t="n">
        <f aca="false">IF(AI44&gt;0,J44/AI44,-1)</f>
        <v>0.0689655172413793</v>
      </c>
      <c r="AN44" s="51" t="n">
        <f aca="false">IF(AND(OR(CF44="L1",CF44="L23",CF44="LIFT"),AI44&gt;0),SUMIFS($AI$7:$AI$1843,$CF$7:$CF$1843,CF44,$AM$7:$AM$1843,"&gt;"&amp;AM44)+SUMIFS($AI$7:$AI$1843,$CF$7:$CF$1843,CF44,$AM$7:$AM$1843,AM44,$BW$7:$BW$1843,"&lt;="&amp;BW44),"")</f>
        <v>18942.1078697668</v>
      </c>
      <c r="AO44" s="58" t="n">
        <f aca="false">IF(AN44="",0,MAX(0,MIN(1,(IF(CF44="L1",Parameter!$H$5,IF(CF44="L23",Parameter!$H$6+Parameter!$H$7,Parameter!$H$5+Parameter!$H$6+Parameter!$H$7))-(AN44-AI44))/AI44)))</f>
        <v>1</v>
      </c>
      <c r="AP44" s="50" t="n">
        <f aca="false">IF(LEFT(Cockpit!$I$5,1)="A",H44,IF(Parameter!$E$30="MAX-Bestand",IF(CH44=1,CI44,IF(LEFT(Cockpit!$I$5,1)="B",AV44,MAX(AV44,H44))),ROUNDUP(AT44,0)))</f>
        <v>98</v>
      </c>
      <c r="AQ44" s="50" t="n">
        <f aca="false">IF(BZ44=1,0,ROUNDUP(AP44/BY44,0))</f>
        <v>5</v>
      </c>
      <c r="AR44" s="52" t="n">
        <f aca="false">IF(CQ44&gt;0,CQ44*MAX(1,AP44/X44),IF(BZ44=1,IF(AP44&lt;=0,0,CD44*MAX(1,IF(H44&gt;0,AP44/H44,1))),IF(R44&gt;0,AQ44/R44,0))/MAX(0.1,N(Parameter!$M$21)))</f>
        <v>0.833333333333333</v>
      </c>
      <c r="AS44" s="50" t="n">
        <f aca="false">AR44*CB44</f>
        <v>362.5</v>
      </c>
      <c r="AT44" s="51" t="n">
        <f aca="false">IF(LEFT(Cockpit!$I$5,1)="A",H44,IF(CH44=1,(CK44+CI44)/2,IF(LEFT(Cockpit!$I$5,1)="B",(CK44+AV44)/2,MAX((CK44+AV44)/2,H44))))</f>
        <v>98</v>
      </c>
      <c r="AU44" s="50" t="n">
        <f aca="false">AT44*G44</f>
        <v>17679.2</v>
      </c>
      <c r="AV44" s="50" t="n">
        <f aca="false">ROUNDUP(CK44+MAX(CL44,2*(J44/IF(CG44&gt;0,CG44,MAX(0.1,N(Cockpit!$I$6)))-CK44)),0)</f>
        <v>30</v>
      </c>
      <c r="AW44" s="51" t="n">
        <f aca="false">IF(AS44&gt;0,J44/AS44,-1)</f>
        <v>0.0689655172413793</v>
      </c>
      <c r="AX44" s="51" t="n">
        <f aca="false">IF(AND(OR(CF44="L1",CF44="L23",CF44="LIFT"),AS44&gt;0),SUMIFS($AS$7:$AS$1843,$CF$7:$CF$1843,CF44,$AW$7:$AW$1843,"&gt;"&amp;AW44)+SUMIFS($AS$7:$AS$1843,$CF$7:$CF$1843,CF44,$AW$7:$AW$1843,AW44,$BW$7:$BW$1843,"&lt;="&amp;BW44),"")</f>
        <v>24001.5065111442</v>
      </c>
      <c r="AY44" s="58" t="n">
        <f aca="false">IF(AX44="",0,MAX(0,MIN(1,(IF(CF44="L1",Parameter!$H$5,IF(CF44="L23",Parameter!$H$6+Parameter!$H$7,Parameter!$H$5+Parameter!$H$6+Parameter!$H$7))-(AX44-AS44))/AS44)))</f>
        <v>1</v>
      </c>
      <c r="AZ44" s="50" t="n">
        <f aca="false">IF(LEFT(Cockpit!$O$5,1)="A",H44,IF(Parameter!$E$30="MAX-Bestand",IF(CH44=1,CI44,IF(LEFT(Cockpit!$O$5,1)="B",BF44,MAX(BF44,H44))),ROUNDUP(BD44,0)))</f>
        <v>20</v>
      </c>
      <c r="BA44" s="50" t="n">
        <f aca="false">IF(BZ44=1,0,ROUNDUP(AZ44/BY44,0))</f>
        <v>1</v>
      </c>
      <c r="BB44" s="52" t="n">
        <f aca="false">IF(CQ44&gt;0,CQ44*MAX(1,AZ44/X44),IF(BZ44=1,IF(AZ44&lt;=0,0,CD44*MAX(1,IF(H44&gt;0,AZ44/H44,1))),IF(R44&gt;0,BA44/R44,0))/MAX(0.1,N(Parameter!$M$21)))</f>
        <v>0.166666666666667</v>
      </c>
      <c r="BC44" s="50" t="n">
        <f aca="false">BB44*CB44</f>
        <v>72.5</v>
      </c>
      <c r="BD44" s="51" t="n">
        <f aca="false">IF(LEFT(Cockpit!$O$5,1)="A",H44,IF(CH44=1,(CK44+CI44)/2,IF(LEFT(Cockpit!$O$5,1)="B",(CK44+BF44)/2,MAX((CK44+BF44)/2,H44))))</f>
        <v>20</v>
      </c>
      <c r="BE44" s="50" t="n">
        <f aca="false">BD44*G44</f>
        <v>3608</v>
      </c>
      <c r="BF44" s="50" t="n">
        <f aca="false">ROUNDUP(CK44+MAX(CL44,2*(J44/IF(CG44&gt;0,CG44,MAX(0.1,N(Cockpit!$O$6)))-CK44)),0)</f>
        <v>30</v>
      </c>
      <c r="BG44" s="51" t="n">
        <f aca="false">IF(BC44&gt;0,J44/BC44,-1)</f>
        <v>0.344827586206897</v>
      </c>
      <c r="BH44" s="51" t="n">
        <f aca="false">IF(AND(OR(CF44="L1",CF44="L23",CF44="LIFT"),BC44&gt;0),SUMIFS($BC$7:$BC$1843,$CF$7:$CF$1843,CF44,$BG$7:$BG$1843,"&gt;"&amp;BG44)+SUMIFS($BC$7:$BC$1843,$CF$7:$CF$1843,CF44,$BG$7:$BG$1843,BG44,$BW$7:$BW$1843,"&lt;="&amp;BW44),"")</f>
        <v>11547.2696886447</v>
      </c>
      <c r="BI44" s="58" t="n">
        <f aca="false">IF(BH44="",0,MAX(0,MIN(1,(IF(CF44="L1",Parameter!$H$5,IF(CF44="L23",Parameter!$H$6+Parameter!$H$7,Parameter!$H$5+Parameter!$H$6+Parameter!$H$7))-(BH44-BC44))/BC44)))</f>
        <v>1</v>
      </c>
      <c r="BJ44" s="48" t="str">
        <f aca="false">IF(AI44&lt;=0,"",IF(CF44="Aussen","Aussenlager",IF(CF44="-","Nicht im Lift",IF(AO44&gt;=1,"Lift",IF(AO44&lt;=0,"Aussenlager","teilweise")))))</f>
        <v>Lift</v>
      </c>
      <c r="BK44" s="48" t="str">
        <f aca="false">IF(AS44&lt;=0,"",IF(CF44="Aussen","Aussenlager",IF(CF44="-","Nicht im Lift",IF(AY44&gt;=1,"Lift",IF(AY44&lt;=0,"Aussenlager","teilweise")))))</f>
        <v>Lift</v>
      </c>
      <c r="BL44" s="48" t="str">
        <f aca="false">IF(BC44&lt;=0,"",IF(CF44="Aussen","Aussenlager",IF(CF44="-","Nicht im Lift",IF(BI44&gt;=1,"Lift",IF(BI44&lt;=0,"Aussenlager","teilweise")))))</f>
        <v>Lift</v>
      </c>
      <c r="BM44" s="48" t="str">
        <f aca="false">IF(A44="","",IF(BV44=1,"Neu; ","")&amp;IF(AND(BV44=0,BQ44&lt;0),"negativer Bestand (Export "&amp;BQ44&amp;"); ","")&amp;IF(J44&lt;=0,"Kein Verbrauch; ","")&amp;IF(CQ44&gt;0,"Lift "&amp;W44&amp;" lt. Liftbericht (Fach "&amp;X44&amp;" Stk); ",IF(CA44=1,"Gebinde geschätzt ("&amp;T44&amp;"); ",IF(BZ44=1,"Lose – Tablare geschätzt; ","")))&amp;IF(H44&gt;AV44,"Überbestand "&amp;ROUND(H44-AV44,0)&amp;" Stk / CHF "&amp;ROUND((H44-AV44)*G44,0)&amp;"; ","")&amp;IF(AND(CH44=1,CI44&lt;CJ44),"MAX &lt; MB+LG; ","")&amp;IF(AND(CP44&gt;0,CO44*10&gt;CP44),"zu hoch für Tablar; ","")&amp;IF(AND(BV44=0,OR(CH44=1,AA44&lt;&gt;"",U44&lt;&gt;"",V44&lt;&gt;"",AB44&lt;&gt;"")),"manuell übersteuert; ","")&amp;IF(AND(BZ44=0,R44=0),"Gebinde unbekannt / Stellmass fehlt; ","")&amp;IF(AND(BZ44=0,N(V44)&lt;=0,N(Q44)&lt;=0),"Menge pro Gebinde fehlt (Ist = 1 Gebinde); ","")&amp;BU44)</f>
        <v>Überbestand 68 Stk / CHF 12267; grosser Artikel &amp; nicht im KTL</v>
      </c>
      <c r="BN44" s="48"/>
      <c r="BO44" s="48"/>
      <c r="BP44" s="55"/>
      <c r="BQ44" s="50" t="n">
        <v>43</v>
      </c>
      <c r="BR44" s="50" t="n">
        <v>55</v>
      </c>
      <c r="BS44" s="49" t="n">
        <v>7381.23</v>
      </c>
      <c r="BT44" s="50" t="n">
        <v>25</v>
      </c>
      <c r="BU44" s="48" t="s">
        <v>270</v>
      </c>
      <c r="BV44" s="53" t="n">
        <v>0</v>
      </c>
      <c r="BW44" s="53" t="n">
        <v>44</v>
      </c>
      <c r="BX44" s="48" t="str">
        <f aca="false">IF(U44&lt;&gt;"",UPPER(TRIM(U44)),IF(CA44=1,UPPER(VLOOKUP(T44,Parameter!$I$27:$K$29,2,0)),IF(P44="","LOSE",P44)))</f>
        <v>S72</v>
      </c>
      <c r="BY44" s="50" t="n">
        <f aca="false">IF(BX44="LOSE",1,IF(N(V44)&gt;0,V44,IF(CA44=1,MAX(1,N(VLOOKUP(T44,Parameter!$I$27:$K$29,3,0)),H44,N(N44)),IF(N(Q44)&gt;0,Q44,MAX(1,H44)))))</f>
        <v>24</v>
      </c>
      <c r="BZ44" s="53" t="n">
        <f aca="false">IF(BX44="LOSE",1,0)</f>
        <v>0</v>
      </c>
      <c r="CA44" s="53" t="n">
        <f aca="false">IF(AND(U44="",OR(P44="",P44="LOSE"),T44&lt;&gt;"",N(S44)&lt;=0,ISNUMBER(MATCH(T44,Parameter!$I$27:$I$29,0))),1,0)</f>
        <v>0</v>
      </c>
      <c r="CB44" s="53" t="n">
        <f aca="false">IF(CQ44&gt;0,INDEX(Parameter!$H$5:$H$7,W44)/INDEX(Parameter!$E$5:$E$7,W44),IF(AND(BZ44=0,N(IFERROR(VLOOKUP(BX44,'Gebinde-Kategorie'!$A$5:$N$45,14,0),0))&gt;0),VLOOKUP(BX44,'Gebinde-Kategorie'!$A$5:$N$45,14,0)*10+Parameter!$M$23,Parameter!$M$24))</f>
        <v>435</v>
      </c>
      <c r="CC44" s="48" t="str">
        <f aca="false">IF(AND(Parameter!$B$19="Ja",E44&lt;&gt;"",ISNUMBER(MATCH(E44,Parameter!$I$35:$I$52,0))),VLOOKUP(E44,Parameter!$I$35:$J$52,2,0),IFERROR(VLOOKUP(D44,Parameter!$A$35:$C$64,2,0),"Nein"))</f>
        <v>2+3</v>
      </c>
      <c r="CD44" s="52" t="n">
        <f aca="false">IF(BZ44=0,0,IF(N(S44)&gt;0,S44,IFERROR(VLOOKUP(D44,Parameter!$A$35:$C$64,3,0)+0,0)))</f>
        <v>0</v>
      </c>
      <c r="CE44" s="48" t="n">
        <f aca="false">IF(AA44&lt;&gt;"",AA44,Z44)</f>
        <v>2</v>
      </c>
      <c r="CF44" s="48" t="str">
        <f aca="false">IF(OR(CE44=1,CE44=2,CE44=3),IF(Parameter!$E$27="Ja","LIFT",IF(CE44=1,"L1","L23")),IF(CE44="Aussen","Aussen","-"))</f>
        <v>LIFT</v>
      </c>
      <c r="CG44" s="59" t="n">
        <f aca="false">IF(N(AB44)&gt;0,AB44,0)</f>
        <v>0</v>
      </c>
      <c r="CH44" s="53" t="n">
        <f aca="false">IF(ISNUMBER(AE44),1,0)</f>
        <v>0</v>
      </c>
      <c r="CI44" s="50" t="n">
        <f aca="false">N(AE44)</f>
        <v>0</v>
      </c>
      <c r="CJ44" s="50" t="n">
        <f aca="false">N(M44)+N(N44)</f>
        <v>30</v>
      </c>
      <c r="CK44" s="50" t="n">
        <f aca="false">N(M44)</f>
        <v>10</v>
      </c>
      <c r="CL44" s="50" t="n">
        <f aca="false">N(N44)</f>
        <v>20</v>
      </c>
      <c r="CM44" s="50" t="n">
        <f aca="false">ROUNDUP(H44/BY44,0)</f>
        <v>5</v>
      </c>
      <c r="CN44" s="50" t="n">
        <f aca="false">ROUNDUP(CI44/BY44,0)</f>
        <v>0</v>
      </c>
      <c r="CO44" s="53" t="n">
        <f aca="false">IF(BZ44=1,0,IFERROR(VLOOKUP(BX44,'Gebinde-Kategorie'!$A$5:$N$45,5,0)+0,0))</f>
        <v>40</v>
      </c>
      <c r="CP44" s="53" t="n">
        <f aca="false">IFERROR(IF(OR(CE44=1,CE44=2,CE44=3),N(INDEX(Parameter!$I$5:$I$7,CE44)),0),0)</f>
        <v>0</v>
      </c>
      <c r="CQ44" s="52" t="n">
        <f aca="false">IF(AND(Parameter!$B$21="Ja",ISNUMBER(W44),N(X44)&gt;0),IFERROR(N(INDEX(Parameter!$L$5:$L$7,W44))*INDEX(Parameter!$E$5:$E$7,W44)*X44/SUMIFS($X$7:$X$1843,$W$7:$W$1843,W44),0),0)</f>
        <v>0</v>
      </c>
    </row>
    <row r="45" customFormat="false" ht="15" hidden="false" customHeight="false" outlineLevel="0" collapsed="false">
      <c r="A45" s="48" t="s">
        <v>291</v>
      </c>
      <c r="B45" s="48" t="s">
        <v>292</v>
      </c>
      <c r="C45" s="48" t="s">
        <v>173</v>
      </c>
      <c r="D45" s="48" t="s">
        <v>182</v>
      </c>
      <c r="E45" s="48" t="s">
        <v>175</v>
      </c>
      <c r="F45" s="48" t="s">
        <v>227</v>
      </c>
      <c r="G45" s="49" t="n">
        <v>618.8</v>
      </c>
      <c r="H45" s="50" t="n">
        <f aca="false">MAX(0,IF(AND(Parameter!$B$21="Ja",ISNUMBER(Y45)),Y45,IF(Parameter!$B$20="Jahresanfang 2025 + Export",BR45+BQ45,BQ45)))</f>
        <v>13</v>
      </c>
      <c r="I45" s="50" t="n">
        <f aca="false">H45*G45</f>
        <v>8044.4</v>
      </c>
      <c r="J45" s="50" t="n">
        <f aca="false">BT45*Parameter!$B$18</f>
        <v>72</v>
      </c>
      <c r="K45" s="51" t="n">
        <v>13</v>
      </c>
      <c r="L45" s="52" t="n">
        <v>5.53846153846154</v>
      </c>
      <c r="M45" s="50" t="n">
        <v>4</v>
      </c>
      <c r="N45" s="50" t="n">
        <v>15</v>
      </c>
      <c r="O45" s="53" t="n">
        <v>21</v>
      </c>
      <c r="P45" s="48" t="s">
        <v>232</v>
      </c>
      <c r="Q45" s="50" t="n">
        <v>9</v>
      </c>
      <c r="R45" s="53" t="n">
        <f aca="false">IF(BZ45=1,0,IFERROR(VLOOKUP(BX45,'Gebinde-Kategorie'!$A$5:$N$45,13,0)+0,0))</f>
        <v>4</v>
      </c>
      <c r="S45" s="54"/>
      <c r="T45" s="55"/>
      <c r="U45" s="55"/>
      <c r="V45" s="55"/>
      <c r="W45" s="48"/>
      <c r="X45" s="50"/>
      <c r="Y45" s="50"/>
      <c r="Z45" s="48" t="n">
        <f aca="false">IF(A45="","",IF(AND(Parameter!$B$21="Ja",ISNUMBER(W45)),W45,IF(CC45="2+3",IF(ISNUMBER(SEARCH("grosser Artikel",BU45)),2,IFERROR(VLOOKUP(BX45,Parameter!$F$35:$G$64,2,0),2)),IF(OR(CC45="Nein",CC45=""),"-",CC45))))</f>
        <v>1</v>
      </c>
      <c r="AA45" s="55"/>
      <c r="AB45" s="56"/>
      <c r="AC45" s="50" t="n">
        <f aca="false">AV45</f>
        <v>44</v>
      </c>
      <c r="AD45" s="50" t="n">
        <f aca="false">MAX(AV45,H45)</f>
        <v>44</v>
      </c>
      <c r="AE45" s="57"/>
      <c r="AF45" s="50" t="n">
        <f aca="false">IF(LEFT(Cockpit!$C$5,1)="A",H45,IF(Parameter!$E$30="MAX-Bestand",IF(CH45=1,CI45,IF(LEFT(Cockpit!$C$5,1)="B",AL45,MAX(AL45,H45))),ROUNDUP(AJ45,0)))</f>
        <v>13</v>
      </c>
      <c r="AG45" s="50" t="n">
        <f aca="false">IF(BZ45=1,0,ROUNDUP(AF45/BY45,0))</f>
        <v>2</v>
      </c>
      <c r="AH45" s="52" t="n">
        <f aca="false">IF(CQ45&gt;0,CQ45*MAX(1,AF45/X45),IF(BZ45=1,IF(AF45&lt;=0,0,CD45*MAX(1,IF(H45&gt;0,AF45/H45,1))),IF(R45&gt;0,AG45/R45,0))/MAX(0.1,N(Parameter!$M$21)))</f>
        <v>0.5</v>
      </c>
      <c r="AI45" s="50" t="n">
        <f aca="false">AH45*CB45</f>
        <v>117.5</v>
      </c>
      <c r="AJ45" s="51" t="n">
        <f aca="false">IF(LEFT(Cockpit!$C$5,1)="A",H45,IF(CH45=1,(CK45+CI45)/2,IF(LEFT(Cockpit!$C$5,1)="B",(CK45+AL45)/2,MAX((CK45+AL45)/2,H45))))</f>
        <v>13</v>
      </c>
      <c r="AK45" s="50" t="n">
        <f aca="false">AJ45*G45</f>
        <v>8044.4</v>
      </c>
      <c r="AL45" s="50" t="n">
        <f aca="false">ROUNDUP(CK45+MAX(CL45,2*(J45/IF(CG45&gt;0,CG45,MAX(0.1,N(Cockpit!$C$6)))-CK45)),0)</f>
        <v>44</v>
      </c>
      <c r="AM45" s="51" t="n">
        <f aca="false">IF(AI45&gt;0,J45/AI45,-1)</f>
        <v>0.612765957446809</v>
      </c>
      <c r="AN45" s="51" t="n">
        <f aca="false">IF(AND(OR(CF45="L1",CF45="L23",CF45="LIFT"),AI45&gt;0),SUMIFS($AI$7:$AI$1843,$CF$7:$CF$1843,CF45,$AM$7:$AM$1843,"&gt;"&amp;AM45)+SUMIFS($AI$7:$AI$1843,$CF$7:$CF$1843,CF45,$AM$7:$AM$1843,AM45,$BW$7:$BW$1843,"&lt;="&amp;BW45),"")</f>
        <v>9112.86947703897</v>
      </c>
      <c r="AO45" s="58" t="n">
        <f aca="false">IF(AN45="",0,MAX(0,MIN(1,(IF(CF45="L1",Parameter!$H$5,IF(CF45="L23",Parameter!$H$6+Parameter!$H$7,Parameter!$H$5+Parameter!$H$6+Parameter!$H$7))-(AN45-AI45))/AI45)))</f>
        <v>1</v>
      </c>
      <c r="AP45" s="50" t="n">
        <f aca="false">IF(LEFT(Cockpit!$I$5,1)="A",H45,IF(Parameter!$E$30="MAX-Bestand",IF(CH45=1,CI45,IF(LEFT(Cockpit!$I$5,1)="B",AV45,MAX(AV45,H45))),ROUNDUP(AT45,0)))</f>
        <v>24</v>
      </c>
      <c r="AQ45" s="50" t="n">
        <f aca="false">IF(BZ45=1,0,ROUNDUP(AP45/BY45,0))</f>
        <v>3</v>
      </c>
      <c r="AR45" s="52" t="n">
        <f aca="false">IF(CQ45&gt;0,CQ45*MAX(1,AP45/X45),IF(BZ45=1,IF(AP45&lt;=0,0,CD45*MAX(1,IF(H45&gt;0,AP45/H45,1))),IF(R45&gt;0,AQ45/R45,0))/MAX(0.1,N(Parameter!$M$21)))</f>
        <v>0.75</v>
      </c>
      <c r="AS45" s="50" t="n">
        <f aca="false">AR45*CB45</f>
        <v>176.25</v>
      </c>
      <c r="AT45" s="51" t="n">
        <f aca="false">IF(LEFT(Cockpit!$I$5,1)="A",H45,IF(CH45=1,(CK45+CI45)/2,IF(LEFT(Cockpit!$I$5,1)="B",(CK45+AV45)/2,MAX((CK45+AV45)/2,H45))))</f>
        <v>24</v>
      </c>
      <c r="AU45" s="50" t="n">
        <f aca="false">AT45*G45</f>
        <v>14851.2</v>
      </c>
      <c r="AV45" s="50" t="n">
        <f aca="false">ROUNDUP(CK45+MAX(CL45,2*(J45/IF(CG45&gt;0,CG45,MAX(0.1,N(Cockpit!$I$6)))-CK45)),0)</f>
        <v>44</v>
      </c>
      <c r="AW45" s="51" t="n">
        <f aca="false">IF(AS45&gt;0,J45/AS45,-1)</f>
        <v>0.408510638297872</v>
      </c>
      <c r="AX45" s="51" t="n">
        <f aca="false">IF(AND(OR(CF45="L1",CF45="L23",CF45="LIFT"),AS45&gt;0),SUMIFS($AS$7:$AS$1843,$CF$7:$CF$1843,CF45,$AW$7:$AW$1843,"&gt;"&amp;AW45)+SUMIFS($AS$7:$AS$1843,$CF$7:$CF$1843,CF45,$AW$7:$AW$1843,AW45,$BW$7:$BW$1843,"&lt;="&amp;BW45),"")</f>
        <v>12835.3493589744</v>
      </c>
      <c r="AY45" s="58" t="n">
        <f aca="false">IF(AX45="",0,MAX(0,MIN(1,(IF(CF45="L1",Parameter!$H$5,IF(CF45="L23",Parameter!$H$6+Parameter!$H$7,Parameter!$H$5+Parameter!$H$6+Parameter!$H$7))-(AX45-AS45))/AS45)))</f>
        <v>1</v>
      </c>
      <c r="AZ45" s="50" t="n">
        <f aca="false">IF(LEFT(Cockpit!$O$5,1)="A",H45,IF(Parameter!$E$30="MAX-Bestand",IF(CH45=1,CI45,IF(LEFT(Cockpit!$O$5,1)="B",BF45,MAX(BF45,H45))),ROUNDUP(BD45,0)))</f>
        <v>18</v>
      </c>
      <c r="BA45" s="50" t="n">
        <f aca="false">IF(BZ45=1,0,ROUNDUP(AZ45/BY45,0))</f>
        <v>2</v>
      </c>
      <c r="BB45" s="52" t="n">
        <f aca="false">IF(CQ45&gt;0,CQ45*MAX(1,AZ45/X45),IF(BZ45=1,IF(AZ45&lt;=0,0,CD45*MAX(1,IF(H45&gt;0,AZ45/H45,1))),IF(R45&gt;0,BA45/R45,0))/MAX(0.1,N(Parameter!$M$21)))</f>
        <v>0.5</v>
      </c>
      <c r="BC45" s="50" t="n">
        <f aca="false">BB45*CB45</f>
        <v>117.5</v>
      </c>
      <c r="BD45" s="51" t="n">
        <f aca="false">IF(LEFT(Cockpit!$O$5,1)="A",H45,IF(CH45=1,(CK45+CI45)/2,IF(LEFT(Cockpit!$O$5,1)="B",(CK45+BF45)/2,MAX((CK45+BF45)/2,H45))))</f>
        <v>18</v>
      </c>
      <c r="BE45" s="50" t="n">
        <f aca="false">BD45*G45</f>
        <v>11138.4</v>
      </c>
      <c r="BF45" s="50" t="n">
        <f aca="false">ROUNDUP(CK45+MAX(CL45,2*(J45/IF(CG45&gt;0,CG45,MAX(0.1,N(Cockpit!$O$6)))-CK45)),0)</f>
        <v>32</v>
      </c>
      <c r="BG45" s="51" t="n">
        <f aca="false">IF(BC45&gt;0,J45/BC45,-1)</f>
        <v>0.612765957446809</v>
      </c>
      <c r="BH45" s="51" t="n">
        <f aca="false">IF(AND(OR(CF45="L1",CF45="L23",CF45="LIFT"),BC45&gt;0),SUMIFS($BC$7:$BC$1843,$CF$7:$CF$1843,CF45,$BG$7:$BG$1843,"&gt;"&amp;BG45)+SUMIFS($BC$7:$BC$1843,$CF$7:$CF$1843,CF45,$BG$7:$BG$1843,BG45,$BW$7:$BW$1843,"&lt;="&amp;BW45),"")</f>
        <v>9851.37225274725</v>
      </c>
      <c r="BI45" s="58" t="n">
        <f aca="false">IF(BH45="",0,MAX(0,MIN(1,(IF(CF45="L1",Parameter!$H$5,IF(CF45="L23",Parameter!$H$6+Parameter!$H$7,Parameter!$H$5+Parameter!$H$6+Parameter!$H$7))-(BH45-BC45))/BC45)))</f>
        <v>1</v>
      </c>
      <c r="BJ45" s="48" t="str">
        <f aca="false">IF(AI45&lt;=0,"",IF(CF45="Aussen","Aussenlager",IF(CF45="-","Nicht im Lift",IF(AO45&gt;=1,"Lift",IF(AO45&lt;=0,"Aussenlager","teilweise")))))</f>
        <v>Lift</v>
      </c>
      <c r="BK45" s="48" t="str">
        <f aca="false">IF(AS45&lt;=0,"",IF(CF45="Aussen","Aussenlager",IF(CF45="-","Nicht im Lift",IF(AY45&gt;=1,"Lift",IF(AY45&lt;=0,"Aussenlager","teilweise")))))</f>
        <v>Lift</v>
      </c>
      <c r="BL45" s="48" t="str">
        <f aca="false">IF(BC45&lt;=0,"",IF(CF45="Aussen","Aussenlager",IF(CF45="-","Nicht im Lift",IF(BI45&gt;=1,"Lift",IF(BI45&lt;=0,"Aussenlager","teilweise")))))</f>
        <v>Lift</v>
      </c>
      <c r="BM45" s="48" t="str">
        <f aca="false">IF(A45="","",IF(BV45=1,"Neu; ","")&amp;IF(AND(BV45=0,BQ45&lt;0),"negativer Bestand (Export "&amp;BQ45&amp;"); ","")&amp;IF(J45&lt;=0,"Kein Verbrauch; ","")&amp;IF(CQ45&gt;0,"Lift "&amp;W45&amp;" lt. Liftbericht (Fach "&amp;X45&amp;" Stk); ",IF(CA45=1,"Gebinde geschätzt ("&amp;T45&amp;"); ",IF(BZ45=1,"Lose – Tablare geschätzt; ","")))&amp;IF(H45&gt;AV45,"Überbestand "&amp;ROUND(H45-AV45,0)&amp;" Stk / CHF "&amp;ROUND((H45-AV45)*G45,0)&amp;"; ","")&amp;IF(AND(CH45=1,CI45&lt;CJ45),"MAX &lt; MB+LG; ","")&amp;IF(AND(CP45&gt;0,CO45*10&gt;CP45),"zu hoch für Tablar; ","")&amp;IF(AND(BV45=0,OR(CH45=1,AA45&lt;&gt;"",U45&lt;&gt;"",V45&lt;&gt;"",AB45&lt;&gt;"")),"manuell übersteuert; ","")&amp;IF(AND(BZ45=0,R45=0),"Gebinde unbekannt / Stellmass fehlt; ","")&amp;IF(AND(BZ45=0,N(V45)&lt;=0,N(Q45)&lt;=0),"Menge pro Gebinde fehlt (Ist = 1 Gebinde); ","")&amp;BU45)</f>
        <v/>
      </c>
      <c r="BN45" s="48"/>
      <c r="BO45" s="48"/>
      <c r="BP45" s="55"/>
      <c r="BQ45" s="50" t="n">
        <v>12</v>
      </c>
      <c r="BR45" s="50" t="n">
        <v>1</v>
      </c>
      <c r="BS45" s="49" t="n">
        <v>7364.52</v>
      </c>
      <c r="BT45" s="50" t="n">
        <v>72</v>
      </c>
      <c r="BU45" s="48"/>
      <c r="BV45" s="53" t="n">
        <v>0</v>
      </c>
      <c r="BW45" s="53" t="n">
        <v>45</v>
      </c>
      <c r="BX45" s="48" t="str">
        <f aca="false">IF(U45&lt;&gt;"",UPPER(TRIM(U45)),IF(CA45=1,UPPER(VLOOKUP(T45,Parameter!$I$27:$K$29,2,0)),IF(P45="","LOSE",P45)))</f>
        <v>S81</v>
      </c>
      <c r="BY45" s="50" t="n">
        <f aca="false">IF(BX45="LOSE",1,IF(N(V45)&gt;0,V45,IF(CA45=1,MAX(1,N(VLOOKUP(T45,Parameter!$I$27:$K$29,3,0)),H45,N(N45)),IF(N(Q45)&gt;0,Q45,MAX(1,H45)))))</f>
        <v>9</v>
      </c>
      <c r="BZ45" s="53" t="n">
        <f aca="false">IF(BX45="LOSE",1,0)</f>
        <v>0</v>
      </c>
      <c r="CA45" s="53" t="n">
        <f aca="false">IF(AND(U45="",OR(P45="",P45="LOSE"),T45&lt;&gt;"",N(S45)&lt;=0,ISNUMBER(MATCH(T45,Parameter!$I$27:$I$29,0))),1,0)</f>
        <v>0</v>
      </c>
      <c r="CB45" s="53" t="n">
        <f aca="false">IF(CQ45&gt;0,INDEX(Parameter!$H$5:$H$7,W45)/INDEX(Parameter!$E$5:$E$7,W45),IF(AND(BZ45=0,N(IFERROR(VLOOKUP(BX45,'Gebinde-Kategorie'!$A$5:$N$45,14,0),0))&gt;0),VLOOKUP(BX45,'Gebinde-Kategorie'!$A$5:$N$45,14,0)*10+Parameter!$M$23,Parameter!$M$24))</f>
        <v>235</v>
      </c>
      <c r="CC45" s="48" t="n">
        <f aca="false">IF(AND(Parameter!$B$19="Ja",E45&lt;&gt;"",ISNUMBER(MATCH(E45,Parameter!$I$35:$I$52,0))),VLOOKUP(E45,Parameter!$I$35:$J$52,2,0),IFERROR(VLOOKUP(D45,Parameter!$A$35:$C$64,2,0),"Nein"))</f>
        <v>1</v>
      </c>
      <c r="CD45" s="52" t="n">
        <f aca="false">IF(BZ45=0,0,IF(N(S45)&gt;0,S45,IFERROR(VLOOKUP(D45,Parameter!$A$35:$C$64,3,0)+0,0)))</f>
        <v>0</v>
      </c>
      <c r="CE45" s="48" t="n">
        <f aca="false">IF(AA45&lt;&gt;"",AA45,Z45)</f>
        <v>1</v>
      </c>
      <c r="CF45" s="48" t="str">
        <f aca="false">IF(OR(CE45=1,CE45=2,CE45=3),IF(Parameter!$E$27="Ja","LIFT",IF(CE45=1,"L1","L23")),IF(CE45="Aussen","Aussen","-"))</f>
        <v>LIFT</v>
      </c>
      <c r="CG45" s="59" t="n">
        <f aca="false">IF(N(AB45)&gt;0,AB45,0)</f>
        <v>0</v>
      </c>
      <c r="CH45" s="53" t="n">
        <f aca="false">IF(ISNUMBER(AE45),1,0)</f>
        <v>0</v>
      </c>
      <c r="CI45" s="50" t="n">
        <f aca="false">N(AE45)</f>
        <v>0</v>
      </c>
      <c r="CJ45" s="50" t="n">
        <f aca="false">N(M45)+N(N45)</f>
        <v>19</v>
      </c>
      <c r="CK45" s="50" t="n">
        <f aca="false">N(M45)</f>
        <v>4</v>
      </c>
      <c r="CL45" s="50" t="n">
        <f aca="false">N(N45)</f>
        <v>15</v>
      </c>
      <c r="CM45" s="50" t="n">
        <f aca="false">ROUNDUP(H45/BY45,0)</f>
        <v>2</v>
      </c>
      <c r="CN45" s="50" t="n">
        <f aca="false">ROUNDUP(CI45/BY45,0)</f>
        <v>0</v>
      </c>
      <c r="CO45" s="53" t="n">
        <f aca="false">IF(BZ45=1,0,IFERROR(VLOOKUP(BX45,'Gebinde-Kategorie'!$A$5:$N$45,5,0)+0,0))</f>
        <v>20</v>
      </c>
      <c r="CP45" s="53" t="n">
        <f aca="false">IFERROR(IF(OR(CE45=1,CE45=2,CE45=3),N(INDEX(Parameter!$I$5:$I$7,CE45)),0),0)</f>
        <v>0</v>
      </c>
      <c r="CQ45" s="52" t="n">
        <f aca="false">IF(AND(Parameter!$B$21="Ja",ISNUMBER(W45),N(X45)&gt;0),IFERROR(N(INDEX(Parameter!$L$5:$L$7,W45))*INDEX(Parameter!$E$5:$E$7,W45)*X45/SUMIFS($X$7:$X$1843,$W$7:$W$1843,W45),0),0)</f>
        <v>0</v>
      </c>
    </row>
    <row r="46" customFormat="false" ht="15" hidden="false" customHeight="false" outlineLevel="0" collapsed="false">
      <c r="A46" s="48" t="s">
        <v>293</v>
      </c>
      <c r="B46" s="48" t="s">
        <v>262</v>
      </c>
      <c r="C46" s="48" t="s">
        <v>173</v>
      </c>
      <c r="D46" s="48" t="s">
        <v>182</v>
      </c>
      <c r="E46" s="48"/>
      <c r="F46" s="48" t="s">
        <v>227</v>
      </c>
      <c r="G46" s="49" t="n">
        <v>1426.78</v>
      </c>
      <c r="H46" s="50" t="n">
        <f aca="false">MAX(0,IF(AND(Parameter!$B$21="Ja",ISNUMBER(Y46)),Y46,IF(Parameter!$B$20="Jahresanfang 2025 + Export",BR46+BQ46,BQ46)))</f>
        <v>4</v>
      </c>
      <c r="I46" s="50" t="n">
        <f aca="false">H46*G46</f>
        <v>5707.12</v>
      </c>
      <c r="J46" s="50" t="n">
        <f aca="false">BT46*Parameter!$B$18</f>
        <v>0</v>
      </c>
      <c r="K46" s="51" t="n">
        <v>2</v>
      </c>
      <c r="L46" s="52" t="n">
        <v>0</v>
      </c>
      <c r="M46" s="50" t="n">
        <v>2</v>
      </c>
      <c r="N46" s="50" t="n">
        <v>2</v>
      </c>
      <c r="O46" s="53" t="n">
        <v>70</v>
      </c>
      <c r="P46" s="48" t="s">
        <v>177</v>
      </c>
      <c r="Q46" s="50"/>
      <c r="R46" s="53" t="n">
        <f aca="false">IF(BZ46=1,0,IFERROR(VLOOKUP(BX46,'Gebinde-Kategorie'!$A$5:$N$45,13,0)+0,0))</f>
        <v>0</v>
      </c>
      <c r="S46" s="54"/>
      <c r="T46" s="55"/>
      <c r="U46" s="55"/>
      <c r="V46" s="55"/>
      <c r="W46" s="48" t="n">
        <v>1</v>
      </c>
      <c r="X46" s="50" t="n">
        <v>8</v>
      </c>
      <c r="Y46" s="50" t="n">
        <v>4</v>
      </c>
      <c r="Z46" s="48" t="n">
        <f aca="false">IF(A46="","",IF(AND(Parameter!$B$21="Ja",ISNUMBER(W46)),W46,IF(CC46="2+3",IF(ISNUMBER(SEARCH("grosser Artikel",BU46)),2,IFERROR(VLOOKUP(BX46,Parameter!$F$35:$G$64,2,0),2)),IF(OR(CC46="Nein",CC46=""),"-",CC46))))</f>
        <v>1</v>
      </c>
      <c r="AA46" s="55"/>
      <c r="AB46" s="56"/>
      <c r="AC46" s="50" t="n">
        <f aca="false">AV46</f>
        <v>4</v>
      </c>
      <c r="AD46" s="50" t="n">
        <f aca="false">MAX(AV46,H46)</f>
        <v>4</v>
      </c>
      <c r="AE46" s="57"/>
      <c r="AF46" s="50" t="n">
        <f aca="false">IF(LEFT(Cockpit!$C$5,1)="A",H46,IF(Parameter!$E$30="MAX-Bestand",IF(CH46=1,CI46,IF(LEFT(Cockpit!$C$5,1)="B",AL46,MAX(AL46,H46))),ROUNDUP(AJ46,0)))</f>
        <v>4</v>
      </c>
      <c r="AG46" s="50" t="n">
        <f aca="false">IF(BZ46=1,0,ROUNDUP(AF46/BY46,0))</f>
        <v>0</v>
      </c>
      <c r="AH46" s="52" t="n">
        <f aca="false">IF(CQ46&gt;0,CQ46*MAX(1,AF46/X46),IF(BZ46=1,IF(AF46&lt;=0,0,CD46*MAX(1,IF(H46&gt;0,AF46/H46,1))),IF(R46&gt;0,AG46/R46,0))/MAX(0.1,N(Parameter!$M$21)))</f>
        <v>0.64030131826742</v>
      </c>
      <c r="AI46" s="50" t="n">
        <f aca="false">AH46*CB46</f>
        <v>152.391713747646</v>
      </c>
      <c r="AJ46" s="51" t="n">
        <f aca="false">IF(LEFT(Cockpit!$C$5,1)="A",H46,IF(CH46=1,(CK46+CI46)/2,IF(LEFT(Cockpit!$C$5,1)="B",(CK46+AL46)/2,MAX((CK46+AL46)/2,H46))))</f>
        <v>4</v>
      </c>
      <c r="AK46" s="50" t="n">
        <f aca="false">AJ46*G46</f>
        <v>5707.12</v>
      </c>
      <c r="AL46" s="50" t="n">
        <f aca="false">ROUNDUP(CK46+MAX(CL46,2*(J46/IF(CG46&gt;0,CG46,MAX(0.1,N(Cockpit!$C$6)))-CK46)),0)</f>
        <v>4</v>
      </c>
      <c r="AM46" s="51" t="n">
        <f aca="false">IF(AI46&gt;0,J46/AI46,-1)</f>
        <v>0</v>
      </c>
      <c r="AN46" s="51" t="n">
        <f aca="false">IF(AND(OR(CF46="L1",CF46="L23",CF46="LIFT"),AI46&gt;0),SUMIFS($AI$7:$AI$1843,$CF$7:$CF$1843,CF46,$AM$7:$AM$1843,"&gt;"&amp;AM46)+SUMIFS($AI$7:$AI$1843,$CF$7:$CF$1843,CF46,$AM$7:$AM$1843,AM46,$BW$7:$BW$1843,"&lt;="&amp;BW46),"")</f>
        <v>25870.7084937191</v>
      </c>
      <c r="AO46" s="58" t="n">
        <f aca="false">IF(AN46="",0,MAX(0,MIN(1,(IF(CF46="L1",Parameter!$H$5,IF(CF46="L23",Parameter!$H$6+Parameter!$H$7,Parameter!$H$5+Parameter!$H$6+Parameter!$H$7))-(AN46-AI46))/AI46)))</f>
        <v>1</v>
      </c>
      <c r="AP46" s="50" t="n">
        <f aca="false">IF(LEFT(Cockpit!$I$5,1)="A",H46,IF(Parameter!$E$30="MAX-Bestand",IF(CH46=1,CI46,IF(LEFT(Cockpit!$I$5,1)="B",AV46,MAX(AV46,H46))),ROUNDUP(AT46,0)))</f>
        <v>4</v>
      </c>
      <c r="AQ46" s="50" t="n">
        <f aca="false">IF(BZ46=1,0,ROUNDUP(AP46/BY46,0))</f>
        <v>0</v>
      </c>
      <c r="AR46" s="52" t="n">
        <f aca="false">IF(CQ46&gt;0,CQ46*MAX(1,AP46/X46),IF(BZ46=1,IF(AP46&lt;=0,0,CD46*MAX(1,IF(H46&gt;0,AP46/H46,1))),IF(R46&gt;0,AQ46/R46,0))/MAX(0.1,N(Parameter!$M$21)))</f>
        <v>0.64030131826742</v>
      </c>
      <c r="AS46" s="50" t="n">
        <f aca="false">AR46*CB46</f>
        <v>152.391713747646</v>
      </c>
      <c r="AT46" s="51" t="n">
        <f aca="false">IF(LEFT(Cockpit!$I$5,1)="A",H46,IF(CH46=1,(CK46+CI46)/2,IF(LEFT(Cockpit!$I$5,1)="B",(CK46+AV46)/2,MAX((CK46+AV46)/2,H46))))</f>
        <v>4</v>
      </c>
      <c r="AU46" s="50" t="n">
        <f aca="false">AT46*G46</f>
        <v>5707.12</v>
      </c>
      <c r="AV46" s="50" t="n">
        <f aca="false">ROUNDUP(CK46+MAX(CL46,2*(J46/IF(CG46&gt;0,CG46,MAX(0.1,N(Cockpit!$I$6)))-CK46)),0)</f>
        <v>4</v>
      </c>
      <c r="AW46" s="51" t="n">
        <f aca="false">IF(AS46&gt;0,J46/AS46,-1)</f>
        <v>0</v>
      </c>
      <c r="AX46" s="51" t="n">
        <f aca="false">IF(AND(OR(CF46="L1",CF46="L23",CF46="LIFT"),AS46&gt;0),SUMIFS($AS$7:$AS$1843,$CF$7:$CF$1843,CF46,$AW$7:$AW$1843,"&gt;"&amp;AW46)+SUMIFS($AS$7:$AS$1843,$CF$7:$CF$1843,CF46,$AW$7:$AW$1843,AW46,$BW$7:$BW$1843,"&lt;="&amp;BW46),"")</f>
        <v>31223.8571350965</v>
      </c>
      <c r="AY46" s="58" t="n">
        <f aca="false">IF(AX46="",0,MAX(0,MIN(1,(IF(CF46="L1",Parameter!$H$5,IF(CF46="L23",Parameter!$H$6+Parameter!$H$7,Parameter!$H$5+Parameter!$H$6+Parameter!$H$7))-(AX46-AS46))/AS46)))</f>
        <v>1</v>
      </c>
      <c r="AZ46" s="50" t="n">
        <f aca="false">IF(LEFT(Cockpit!$O$5,1)="A",H46,IF(Parameter!$E$30="MAX-Bestand",IF(CH46=1,CI46,IF(LEFT(Cockpit!$O$5,1)="B",BF46,MAX(BF46,H46))),ROUNDUP(BD46,0)))</f>
        <v>3</v>
      </c>
      <c r="BA46" s="50" t="n">
        <f aca="false">IF(BZ46=1,0,ROUNDUP(AZ46/BY46,0))</f>
        <v>0</v>
      </c>
      <c r="BB46" s="52" t="n">
        <f aca="false">IF(CQ46&gt;0,CQ46*MAX(1,AZ46/X46),IF(BZ46=1,IF(AZ46&lt;=0,0,CD46*MAX(1,IF(H46&gt;0,AZ46/H46,1))),IF(R46&gt;0,BA46/R46,0))/MAX(0.1,N(Parameter!$M$21)))</f>
        <v>0.64030131826742</v>
      </c>
      <c r="BC46" s="50" t="n">
        <f aca="false">BB46*CB46</f>
        <v>152.391713747646</v>
      </c>
      <c r="BD46" s="51" t="n">
        <f aca="false">IF(LEFT(Cockpit!$O$5,1)="A",H46,IF(CH46=1,(CK46+CI46)/2,IF(LEFT(Cockpit!$O$5,1)="B",(CK46+BF46)/2,MAX((CK46+BF46)/2,H46))))</f>
        <v>3</v>
      </c>
      <c r="BE46" s="50" t="n">
        <f aca="false">BD46*G46</f>
        <v>4280.34</v>
      </c>
      <c r="BF46" s="50" t="n">
        <f aca="false">ROUNDUP(CK46+MAX(CL46,2*(J46/IF(CG46&gt;0,CG46,MAX(0.1,N(Cockpit!$O$6)))-CK46)),0)</f>
        <v>4</v>
      </c>
      <c r="BG46" s="51" t="n">
        <f aca="false">IF(BC46&gt;0,J46/BC46,-1)</f>
        <v>0</v>
      </c>
      <c r="BH46" s="51" t="n">
        <f aca="false">IF(AND(OR(CF46="L1",CF46="L23",CF46="LIFT"),BC46&gt;0),SUMIFS($BC$7:$BC$1843,$CF$7:$CF$1843,CF46,$BG$7:$BG$1843,"&gt;"&amp;BG46)+SUMIFS($BC$7:$BC$1843,$CF$7:$CF$1843,CF46,$BG$7:$BG$1843,BG46,$BW$7:$BW$1843,"&lt;="&amp;BW46),"")</f>
        <v>25479.1889783945</v>
      </c>
      <c r="BI46" s="58" t="n">
        <f aca="false">IF(BH46="",0,MAX(0,MIN(1,(IF(CF46="L1",Parameter!$H$5,IF(CF46="L23",Parameter!$H$6+Parameter!$H$7,Parameter!$H$5+Parameter!$H$6+Parameter!$H$7))-(BH46-BC46))/BC46)))</f>
        <v>1</v>
      </c>
      <c r="BJ46" s="48" t="str">
        <f aca="false">IF(AI46&lt;=0,"",IF(CF46="Aussen","Aussenlager",IF(CF46="-","Nicht im Lift",IF(AO46&gt;=1,"Lift",IF(AO46&lt;=0,"Aussenlager","teilweise")))))</f>
        <v>Lift</v>
      </c>
      <c r="BK46" s="48" t="str">
        <f aca="false">IF(AS46&lt;=0,"",IF(CF46="Aussen","Aussenlager",IF(CF46="-","Nicht im Lift",IF(AY46&gt;=1,"Lift",IF(AY46&lt;=0,"Aussenlager","teilweise")))))</f>
        <v>Lift</v>
      </c>
      <c r="BL46" s="48" t="str">
        <f aca="false">IF(BC46&lt;=0,"",IF(CF46="Aussen","Aussenlager",IF(CF46="-","Nicht im Lift",IF(BI46&gt;=1,"Lift",IF(BI46&lt;=0,"Aussenlager","teilweise")))))</f>
        <v>Lift</v>
      </c>
      <c r="BM46" s="48" t="str">
        <f aca="false">IF(A46="","",IF(BV46=1,"Neu; ","")&amp;IF(AND(BV46=0,BQ46&lt;0),"negativer Bestand (Export "&amp;BQ46&amp;"); ","")&amp;IF(J46&lt;=0,"Kein Verbrauch; ","")&amp;IF(CQ46&gt;0,"Lift "&amp;W46&amp;" lt. Liftbericht (Fach "&amp;X46&amp;" Stk); ",IF(CA46=1,"Gebinde geschätzt ("&amp;T46&amp;"); ",IF(BZ46=1,"Lose – Tablare geschätzt; ","")))&amp;IF(H46&gt;AV46,"Überbestand "&amp;ROUND(H46-AV46,0)&amp;" Stk / CHF "&amp;ROUND((H46-AV46)*G46,0)&amp;"; ","")&amp;IF(AND(CH46=1,CI46&lt;CJ46),"MAX &lt; MB+LG; ","")&amp;IF(AND(CP46&gt;0,CO46*10&gt;CP46),"zu hoch für Tablar; ","")&amp;IF(AND(BV46=0,OR(CH46=1,AA46&lt;&gt;"",U46&lt;&gt;"",V46&lt;&gt;"",AB46&lt;&gt;"")),"manuell übersteuert; ","")&amp;IF(AND(BZ46=0,R46=0),"Gebinde unbekannt / Stellmass fehlt; ","")&amp;IF(AND(BZ46=0,N(V46)&lt;=0,N(Q46)&lt;=0),"Menge pro Gebinde fehlt (Ist = 1 Gebinde); ","")&amp;BU46)</f>
        <v>Kein Verbrauch; Lift 1 lt. Liftbericht (Fach 8 Stk); </v>
      </c>
      <c r="BN46" s="48" t="s">
        <v>294</v>
      </c>
      <c r="BO46" s="48"/>
      <c r="BP46" s="55"/>
      <c r="BQ46" s="50" t="n">
        <v>5</v>
      </c>
      <c r="BR46" s="50" t="n">
        <v>0</v>
      </c>
      <c r="BS46" s="49" t="n">
        <v>7133.9</v>
      </c>
      <c r="BT46" s="50" t="n">
        <v>0</v>
      </c>
      <c r="BU46" s="48"/>
      <c r="BV46" s="53" t="n">
        <v>0</v>
      </c>
      <c r="BW46" s="53" t="n">
        <v>46</v>
      </c>
      <c r="BX46" s="48" t="str">
        <f aca="false">IF(U46&lt;&gt;"",UPPER(TRIM(U46)),IF(CA46=1,UPPER(VLOOKUP(T46,Parameter!$I$27:$K$29,2,0)),IF(P46="","LOSE",P46)))</f>
        <v>LOSE</v>
      </c>
      <c r="BY46" s="50" t="n">
        <f aca="false">IF(BX46="LOSE",1,IF(N(V46)&gt;0,V46,IF(CA46=1,MAX(1,N(VLOOKUP(T46,Parameter!$I$27:$K$29,3,0)),H46,N(N46)),IF(N(Q46)&gt;0,Q46,MAX(1,H46)))))</f>
        <v>1</v>
      </c>
      <c r="BZ46" s="53" t="n">
        <f aca="false">IF(BX46="LOSE",1,0)</f>
        <v>1</v>
      </c>
      <c r="CA46" s="53" t="n">
        <f aca="false">IF(AND(U46="",OR(P46="",P46="LOSE"),T46&lt;&gt;"",N(S46)&lt;=0,ISNUMBER(MATCH(T46,Parameter!$I$27:$I$29,0))),1,0)</f>
        <v>0</v>
      </c>
      <c r="CB46" s="53" t="n">
        <f aca="false">IF(CQ46&gt;0,INDEX(Parameter!$H$5:$H$7,W46)/INDEX(Parameter!$E$5:$E$7,W46),IF(AND(BZ46=0,N(IFERROR(VLOOKUP(BX46,'Gebinde-Kategorie'!$A$5:$N$45,14,0),0))&gt;0),VLOOKUP(BX46,'Gebinde-Kategorie'!$A$5:$N$45,14,0)*10+Parameter!$M$23,Parameter!$M$24))</f>
        <v>238</v>
      </c>
      <c r="CC46" s="48" t="str">
        <f aca="false">IF(AND(Parameter!$B$19="Ja",E46&lt;&gt;"",ISNUMBER(MATCH(E46,Parameter!$I$35:$I$52,0))),VLOOKUP(E46,Parameter!$I$35:$J$52,2,0),IFERROR(VLOOKUP(D46,Parameter!$A$35:$C$64,2,0),"Nein"))</f>
        <v>2+3</v>
      </c>
      <c r="CD46" s="52" t="n">
        <f aca="false">IF(BZ46=0,0,IF(N(S46)&gt;0,S46,IFERROR(VLOOKUP(D46,Parameter!$A$35:$C$64,3,0)+0,0)))</f>
        <v>0.15</v>
      </c>
      <c r="CE46" s="48" t="n">
        <f aca="false">IF(AA46&lt;&gt;"",AA46,Z46)</f>
        <v>1</v>
      </c>
      <c r="CF46" s="48" t="str">
        <f aca="false">IF(OR(CE46=1,CE46=2,CE46=3),IF(Parameter!$E$27="Ja","LIFT",IF(CE46=1,"L1","L23")),IF(CE46="Aussen","Aussen","-"))</f>
        <v>LIFT</v>
      </c>
      <c r="CG46" s="59" t="n">
        <f aca="false">IF(N(AB46)&gt;0,AB46,0)</f>
        <v>0</v>
      </c>
      <c r="CH46" s="53" t="n">
        <f aca="false">IF(ISNUMBER(AE46),1,0)</f>
        <v>0</v>
      </c>
      <c r="CI46" s="50" t="n">
        <f aca="false">N(AE46)</f>
        <v>0</v>
      </c>
      <c r="CJ46" s="50" t="n">
        <f aca="false">N(M46)+N(N46)</f>
        <v>4</v>
      </c>
      <c r="CK46" s="50" t="n">
        <f aca="false">N(M46)</f>
        <v>2</v>
      </c>
      <c r="CL46" s="50" t="n">
        <f aca="false">N(N46)</f>
        <v>2</v>
      </c>
      <c r="CM46" s="50" t="n">
        <f aca="false">ROUNDUP(H46/BY46,0)</f>
        <v>4</v>
      </c>
      <c r="CN46" s="50" t="n">
        <f aca="false">ROUNDUP(CI46/BY46,0)</f>
        <v>0</v>
      </c>
      <c r="CO46" s="53" t="n">
        <f aca="false">IF(BZ46=1,0,IFERROR(VLOOKUP(BX46,'Gebinde-Kategorie'!$A$5:$N$45,5,0)+0,0))</f>
        <v>0</v>
      </c>
      <c r="CP46" s="53" t="n">
        <f aca="false">IFERROR(IF(OR(CE46=1,CE46=2,CE46=3),N(INDEX(Parameter!$I$5:$I$7,CE46)),0),0)</f>
        <v>0</v>
      </c>
      <c r="CQ46" s="52" t="n">
        <f aca="false">IF(AND(Parameter!$B$21="Ja",ISNUMBER(W46),N(X46)&gt;0),IFERROR(N(INDEX(Parameter!$L$5:$L$7,W46))*INDEX(Parameter!$E$5:$E$7,W46)*X46/SUMIFS($X$7:$X$1843,$W$7:$W$1843,W46),0),0)</f>
        <v>0.64030131826742</v>
      </c>
    </row>
    <row r="47" customFormat="false" ht="15" hidden="false" customHeight="false" outlineLevel="0" collapsed="false">
      <c r="A47" s="48" t="s">
        <v>295</v>
      </c>
      <c r="B47" s="48" t="s">
        <v>296</v>
      </c>
      <c r="C47" s="48" t="s">
        <v>173</v>
      </c>
      <c r="D47" s="48" t="s">
        <v>182</v>
      </c>
      <c r="E47" s="48"/>
      <c r="F47" s="48" t="s">
        <v>227</v>
      </c>
      <c r="G47" s="49" t="n">
        <v>2358</v>
      </c>
      <c r="H47" s="50" t="n">
        <f aca="false">MAX(0,IF(AND(Parameter!$B$21="Ja",ISNUMBER(Y47)),Y47,IF(Parameter!$B$20="Jahresanfang 2025 + Export",BR47+BQ47,BQ47)))</f>
        <v>3</v>
      </c>
      <c r="I47" s="50" t="n">
        <f aca="false">H47*G47</f>
        <v>7074</v>
      </c>
      <c r="J47" s="50" t="n">
        <f aca="false">BT47*Parameter!$B$18</f>
        <v>0</v>
      </c>
      <c r="K47" s="51" t="n">
        <v>1</v>
      </c>
      <c r="L47" s="52" t="n">
        <v>0</v>
      </c>
      <c r="M47" s="50" t="n">
        <v>0</v>
      </c>
      <c r="N47" s="50" t="n">
        <v>1</v>
      </c>
      <c r="O47" s="53" t="n">
        <v>120</v>
      </c>
      <c r="P47" s="48" t="s">
        <v>177</v>
      </c>
      <c r="Q47" s="50"/>
      <c r="R47" s="53" t="n">
        <f aca="false">IF(BZ47=1,0,IFERROR(VLOOKUP(BX47,'Gebinde-Kategorie'!$A$5:$N$45,13,0)+0,0))</f>
        <v>12</v>
      </c>
      <c r="S47" s="54"/>
      <c r="T47" s="55" t="s">
        <v>188</v>
      </c>
      <c r="U47" s="55"/>
      <c r="V47" s="55"/>
      <c r="W47" s="48"/>
      <c r="X47" s="50"/>
      <c r="Y47" s="50"/>
      <c r="Z47" s="48" t="n">
        <f aca="false">IF(A47="","",IF(AND(Parameter!$B$21="Ja",ISNUMBER(W47)),W47,IF(CC47="2+3",IF(ISNUMBER(SEARCH("grosser Artikel",BU47)),2,IFERROR(VLOOKUP(BX47,Parameter!$F$35:$G$64,2,0),2)),IF(OR(CC47="Nein",CC47=""),"-",CC47))))</f>
        <v>2</v>
      </c>
      <c r="AA47" s="55"/>
      <c r="AB47" s="56"/>
      <c r="AC47" s="50" t="n">
        <f aca="false">AV47</f>
        <v>1</v>
      </c>
      <c r="AD47" s="50" t="n">
        <f aca="false">MAX(AV47,H47)</f>
        <v>3</v>
      </c>
      <c r="AE47" s="57"/>
      <c r="AF47" s="50" t="n">
        <f aca="false">IF(LEFT(Cockpit!$C$5,1)="A",H47,IF(Parameter!$E$30="MAX-Bestand",IF(CH47=1,CI47,IF(LEFT(Cockpit!$C$5,1)="B",AL47,MAX(AL47,H47))),ROUNDUP(AJ47,0)))</f>
        <v>3</v>
      </c>
      <c r="AG47" s="50" t="n">
        <f aca="false">IF(BZ47=1,0,ROUNDUP(AF47/BY47,0))</f>
        <v>1</v>
      </c>
      <c r="AH47" s="52" t="n">
        <f aca="false">IF(CQ47&gt;0,CQ47*MAX(1,AF47/X47),IF(BZ47=1,IF(AF47&lt;=0,0,CD47*MAX(1,IF(H47&gt;0,AF47/H47,1))),IF(R47&gt;0,AG47/R47,0))/MAX(0.1,N(Parameter!$M$21)))</f>
        <v>0.0833333333333333</v>
      </c>
      <c r="AI47" s="50" t="n">
        <f aca="false">AH47*CB47</f>
        <v>12.0833333333333</v>
      </c>
      <c r="AJ47" s="51" t="n">
        <f aca="false">IF(LEFT(Cockpit!$C$5,1)="A",H47,IF(CH47=1,(CK47+CI47)/2,IF(LEFT(Cockpit!$C$5,1)="B",(CK47+AL47)/2,MAX((CK47+AL47)/2,H47))))</f>
        <v>3</v>
      </c>
      <c r="AK47" s="50" t="n">
        <f aca="false">AJ47*G47</f>
        <v>7074</v>
      </c>
      <c r="AL47" s="50" t="n">
        <f aca="false">ROUNDUP(CK47+MAX(CL47,2*(J47/IF(CG47&gt;0,CG47,MAX(0.1,N(Cockpit!$C$6)))-CK47)),0)</f>
        <v>1</v>
      </c>
      <c r="AM47" s="51" t="n">
        <f aca="false">IF(AI47&gt;0,J47/AI47,-1)</f>
        <v>0</v>
      </c>
      <c r="AN47" s="51" t="n">
        <f aca="false">IF(AND(OR(CF47="L1",CF47="L23",CF47="LIFT"),AI47&gt;0),SUMIFS($AI$7:$AI$1843,$CF$7:$CF$1843,CF47,$AM$7:$AM$1843,"&gt;"&amp;AM47)+SUMIFS($AI$7:$AI$1843,$CF$7:$CF$1843,CF47,$AM$7:$AM$1843,AM47,$BW$7:$BW$1843,"&lt;="&amp;BW47),"")</f>
        <v>25882.7918270524</v>
      </c>
      <c r="AO47" s="58" t="n">
        <f aca="false">IF(AN47="",0,MAX(0,MIN(1,(IF(CF47="L1",Parameter!$H$5,IF(CF47="L23",Parameter!$H$6+Parameter!$H$7,Parameter!$H$5+Parameter!$H$6+Parameter!$H$7))-(AN47-AI47))/AI47)))</f>
        <v>1</v>
      </c>
      <c r="AP47" s="50" t="n">
        <f aca="false">IF(LEFT(Cockpit!$I$5,1)="A",H47,IF(Parameter!$E$30="MAX-Bestand",IF(CH47=1,CI47,IF(LEFT(Cockpit!$I$5,1)="B",AV47,MAX(AV47,H47))),ROUNDUP(AT47,0)))</f>
        <v>3</v>
      </c>
      <c r="AQ47" s="50" t="n">
        <f aca="false">IF(BZ47=1,0,ROUNDUP(AP47/BY47,0))</f>
        <v>1</v>
      </c>
      <c r="AR47" s="52" t="n">
        <f aca="false">IF(CQ47&gt;0,CQ47*MAX(1,AP47/X47),IF(BZ47=1,IF(AP47&lt;=0,0,CD47*MAX(1,IF(H47&gt;0,AP47/H47,1))),IF(R47&gt;0,AQ47/R47,0))/MAX(0.1,N(Parameter!$M$21)))</f>
        <v>0.0833333333333333</v>
      </c>
      <c r="AS47" s="50" t="n">
        <f aca="false">AR47*CB47</f>
        <v>12.0833333333333</v>
      </c>
      <c r="AT47" s="51" t="n">
        <f aca="false">IF(LEFT(Cockpit!$I$5,1)="A",H47,IF(CH47=1,(CK47+CI47)/2,IF(LEFT(Cockpit!$I$5,1)="B",(CK47+AV47)/2,MAX((CK47+AV47)/2,H47))))</f>
        <v>3</v>
      </c>
      <c r="AU47" s="50" t="n">
        <f aca="false">AT47*G47</f>
        <v>7074</v>
      </c>
      <c r="AV47" s="50" t="n">
        <f aca="false">ROUNDUP(CK47+MAX(CL47,2*(J47/IF(CG47&gt;0,CG47,MAX(0.1,N(Cockpit!$I$6)))-CK47)),0)</f>
        <v>1</v>
      </c>
      <c r="AW47" s="51" t="n">
        <f aca="false">IF(AS47&gt;0,J47/AS47,-1)</f>
        <v>0</v>
      </c>
      <c r="AX47" s="51" t="n">
        <f aca="false">IF(AND(OR(CF47="L1",CF47="L23",CF47="LIFT"),AS47&gt;0),SUMIFS($AS$7:$AS$1843,$CF$7:$CF$1843,CF47,$AW$7:$AW$1843,"&gt;"&amp;AW47)+SUMIFS($AS$7:$AS$1843,$CF$7:$CF$1843,CF47,$AW$7:$AW$1843,AW47,$BW$7:$BW$1843,"&lt;="&amp;BW47),"")</f>
        <v>31235.9404684299</v>
      </c>
      <c r="AY47" s="58" t="n">
        <f aca="false">IF(AX47="",0,MAX(0,MIN(1,(IF(CF47="L1",Parameter!$H$5,IF(CF47="L23",Parameter!$H$6+Parameter!$H$7,Parameter!$H$5+Parameter!$H$6+Parameter!$H$7))-(AX47-AS47))/AS47)))</f>
        <v>1</v>
      </c>
      <c r="AZ47" s="50" t="n">
        <f aca="false">IF(LEFT(Cockpit!$O$5,1)="A",H47,IF(Parameter!$E$30="MAX-Bestand",IF(CH47=1,CI47,IF(LEFT(Cockpit!$O$5,1)="B",BF47,MAX(BF47,H47))),ROUNDUP(BD47,0)))</f>
        <v>1</v>
      </c>
      <c r="BA47" s="50" t="n">
        <f aca="false">IF(BZ47=1,0,ROUNDUP(AZ47/BY47,0))</f>
        <v>1</v>
      </c>
      <c r="BB47" s="52" t="n">
        <f aca="false">IF(CQ47&gt;0,CQ47*MAX(1,AZ47/X47),IF(BZ47=1,IF(AZ47&lt;=0,0,CD47*MAX(1,IF(H47&gt;0,AZ47/H47,1))),IF(R47&gt;0,BA47/R47,0))/MAX(0.1,N(Parameter!$M$21)))</f>
        <v>0.0833333333333333</v>
      </c>
      <c r="BC47" s="50" t="n">
        <f aca="false">BB47*CB47</f>
        <v>12.0833333333333</v>
      </c>
      <c r="BD47" s="51" t="n">
        <f aca="false">IF(LEFT(Cockpit!$O$5,1)="A",H47,IF(CH47=1,(CK47+CI47)/2,IF(LEFT(Cockpit!$O$5,1)="B",(CK47+BF47)/2,MAX((CK47+BF47)/2,H47))))</f>
        <v>0.5</v>
      </c>
      <c r="BE47" s="50" t="n">
        <f aca="false">BD47*G47</f>
        <v>1179</v>
      </c>
      <c r="BF47" s="50" t="n">
        <f aca="false">ROUNDUP(CK47+MAX(CL47,2*(J47/IF(CG47&gt;0,CG47,MAX(0.1,N(Cockpit!$O$6)))-CK47)),0)</f>
        <v>1</v>
      </c>
      <c r="BG47" s="51" t="n">
        <f aca="false">IF(BC47&gt;0,J47/BC47,-1)</f>
        <v>0</v>
      </c>
      <c r="BH47" s="51" t="n">
        <f aca="false">IF(AND(OR(CF47="L1",CF47="L23",CF47="LIFT"),BC47&gt;0),SUMIFS($BC$7:$BC$1843,$CF$7:$CF$1843,CF47,$BG$7:$BG$1843,"&gt;"&amp;BG47)+SUMIFS($BC$7:$BC$1843,$CF$7:$CF$1843,CF47,$BG$7:$BG$1843,BG47,$BW$7:$BW$1843,"&lt;="&amp;BW47),"")</f>
        <v>25491.2723117278</v>
      </c>
      <c r="BI47" s="58" t="n">
        <f aca="false">IF(BH47="",0,MAX(0,MIN(1,(IF(CF47="L1",Parameter!$H$5,IF(CF47="L23",Parameter!$H$6+Parameter!$H$7,Parameter!$H$5+Parameter!$H$6+Parameter!$H$7))-(BH47-BC47))/BC47)))</f>
        <v>1</v>
      </c>
      <c r="BJ47" s="48" t="str">
        <f aca="false">IF(AI47&lt;=0,"",IF(CF47="Aussen","Aussenlager",IF(CF47="-","Nicht im Lift",IF(AO47&gt;=1,"Lift",IF(AO47&lt;=0,"Aussenlager","teilweise")))))</f>
        <v>Lift</v>
      </c>
      <c r="BK47" s="48" t="str">
        <f aca="false">IF(AS47&lt;=0,"",IF(CF47="Aussen","Aussenlager",IF(CF47="-","Nicht im Lift",IF(AY47&gt;=1,"Lift",IF(AY47&lt;=0,"Aussenlager","teilweise")))))</f>
        <v>Lift</v>
      </c>
      <c r="BL47" s="48" t="str">
        <f aca="false">IF(BC47&lt;=0,"",IF(CF47="Aussen","Aussenlager",IF(CF47="-","Nicht im Lift",IF(BI47&gt;=1,"Lift",IF(BI47&lt;=0,"Aussenlager","teilweise")))))</f>
        <v>Lift</v>
      </c>
      <c r="BM47" s="48" t="str">
        <f aca="false">IF(A47="","",IF(BV47=1,"Neu; ","")&amp;IF(AND(BV47=0,BQ47&lt;0),"negativer Bestand (Export "&amp;BQ47&amp;"); ","")&amp;IF(J47&lt;=0,"Kein Verbrauch; ","")&amp;IF(CQ47&gt;0,"Lift "&amp;W47&amp;" lt. Liftbericht (Fach "&amp;X47&amp;" Stk); ",IF(CA47=1,"Gebinde geschätzt ("&amp;T47&amp;"); ",IF(BZ47=1,"Lose – Tablare geschätzt; ","")))&amp;IF(H47&gt;AV47,"Überbestand "&amp;ROUND(H47-AV47,0)&amp;" Stk / CHF "&amp;ROUND((H47-AV47)*G47,0)&amp;"; ","")&amp;IF(AND(CH47=1,CI47&lt;CJ47),"MAX &lt; MB+LG; ","")&amp;IF(AND(CP47&gt;0,CO47*10&gt;CP47),"zu hoch für Tablar; ","")&amp;IF(AND(BV47=0,OR(CH47=1,AA47&lt;&gt;"",U47&lt;&gt;"",V47&lt;&gt;"",AB47&lt;&gt;"")),"manuell übersteuert; ","")&amp;IF(AND(BZ47=0,R47=0),"Gebinde unbekannt / Stellmass fehlt; ","")&amp;IF(AND(BZ47=0,N(V47)&lt;=0,N(Q47)&lt;=0),"Menge pro Gebinde fehlt (Ist = 1 Gebinde); ","")&amp;BU47)</f>
        <v>Kein Verbrauch; Gebinde geschätzt (Mittel); Überbestand 2 Stk / CHF 4716; Menge pro Gebinde fehlt (Ist = 1 Gebinde); </v>
      </c>
      <c r="BN47" s="48"/>
      <c r="BO47" s="48"/>
      <c r="BP47" s="55"/>
      <c r="BQ47" s="50" t="n">
        <v>3</v>
      </c>
      <c r="BR47" s="50" t="n">
        <v>0</v>
      </c>
      <c r="BS47" s="49" t="n">
        <v>7074</v>
      </c>
      <c r="BT47" s="50" t="n">
        <v>0</v>
      </c>
      <c r="BU47" s="48"/>
      <c r="BV47" s="53" t="n">
        <v>0</v>
      </c>
      <c r="BW47" s="53" t="n">
        <v>47</v>
      </c>
      <c r="BX47" s="48" t="str">
        <f aca="false">IF(U47&lt;&gt;"",UPPER(TRIM(U47)),IF(CA47=1,UPPER(VLOOKUP(T47,Parameter!$I$27:$K$29,2,0)),IF(P47="","LOSE",P47)))</f>
        <v>S61</v>
      </c>
      <c r="BY47" s="50" t="n">
        <f aca="false">IF(BX47="LOSE",1,IF(N(V47)&gt;0,V47,IF(CA47=1,MAX(1,N(VLOOKUP(T47,Parameter!$I$27:$K$29,3,0)),H47,N(N47)),IF(N(Q47)&gt;0,Q47,MAX(1,H47)))))</f>
        <v>4</v>
      </c>
      <c r="BZ47" s="53" t="n">
        <f aca="false">IF(BX47="LOSE",1,0)</f>
        <v>0</v>
      </c>
      <c r="CA47" s="53" t="n">
        <f aca="false">IF(AND(U47="",OR(P47="",P47="LOSE"),T47&lt;&gt;"",N(S47)&lt;=0,ISNUMBER(MATCH(T47,Parameter!$I$27:$I$29,0))),1,0)</f>
        <v>1</v>
      </c>
      <c r="CB47" s="53" t="n">
        <f aca="false">IF(CQ47&gt;0,INDEX(Parameter!$H$5:$H$7,W47)/INDEX(Parameter!$E$5:$E$7,W47),IF(AND(BZ47=0,N(IFERROR(VLOOKUP(BX47,'Gebinde-Kategorie'!$A$5:$N$45,14,0),0))&gt;0),VLOOKUP(BX47,'Gebinde-Kategorie'!$A$5:$N$45,14,0)*10+Parameter!$M$23,Parameter!$M$24))</f>
        <v>145</v>
      </c>
      <c r="CC47" s="48" t="str">
        <f aca="false">IF(AND(Parameter!$B$19="Ja",E47&lt;&gt;"",ISNUMBER(MATCH(E47,Parameter!$I$35:$I$52,0))),VLOOKUP(E47,Parameter!$I$35:$J$52,2,0),IFERROR(VLOOKUP(D47,Parameter!$A$35:$C$64,2,0),"Nein"))</f>
        <v>2+3</v>
      </c>
      <c r="CD47" s="52" t="n">
        <f aca="false">IF(BZ47=0,0,IF(N(S47)&gt;0,S47,IFERROR(VLOOKUP(D47,Parameter!$A$35:$C$64,3,0)+0,0)))</f>
        <v>0</v>
      </c>
      <c r="CE47" s="48" t="n">
        <f aca="false">IF(AA47&lt;&gt;"",AA47,Z47)</f>
        <v>2</v>
      </c>
      <c r="CF47" s="48" t="str">
        <f aca="false">IF(OR(CE47=1,CE47=2,CE47=3),IF(Parameter!$E$27="Ja","LIFT",IF(CE47=1,"L1","L23")),IF(CE47="Aussen","Aussen","-"))</f>
        <v>LIFT</v>
      </c>
      <c r="CG47" s="59" t="n">
        <f aca="false">IF(N(AB47)&gt;0,AB47,0)</f>
        <v>0</v>
      </c>
      <c r="CH47" s="53" t="n">
        <f aca="false">IF(ISNUMBER(AE47),1,0)</f>
        <v>0</v>
      </c>
      <c r="CI47" s="50" t="n">
        <f aca="false">N(AE47)</f>
        <v>0</v>
      </c>
      <c r="CJ47" s="50" t="n">
        <f aca="false">N(M47)+N(N47)</f>
        <v>1</v>
      </c>
      <c r="CK47" s="50" t="n">
        <f aca="false">N(M47)</f>
        <v>0</v>
      </c>
      <c r="CL47" s="50" t="n">
        <f aca="false">N(N47)</f>
        <v>1</v>
      </c>
      <c r="CM47" s="50" t="n">
        <f aca="false">ROUNDUP(H47/BY47,0)</f>
        <v>1</v>
      </c>
      <c r="CN47" s="50" t="n">
        <f aca="false">ROUNDUP(CI47/BY47,0)</f>
        <v>0</v>
      </c>
      <c r="CO47" s="53" t="n">
        <f aca="false">IF(BZ47=1,0,IFERROR(VLOOKUP(BX47,'Gebinde-Kategorie'!$A$5:$N$45,5,0)+0,0))</f>
        <v>11</v>
      </c>
      <c r="CP47" s="53" t="n">
        <f aca="false">IFERROR(IF(OR(CE47=1,CE47=2,CE47=3),N(INDEX(Parameter!$I$5:$I$7,CE47)),0),0)</f>
        <v>0</v>
      </c>
      <c r="CQ47" s="52" t="n">
        <f aca="false">IF(AND(Parameter!$B$21="Ja",ISNUMBER(W47),N(X47)&gt;0),IFERROR(N(INDEX(Parameter!$L$5:$L$7,W47))*INDEX(Parameter!$E$5:$E$7,W47)*X47/SUMIFS($X$7:$X$1843,$W$7:$W$1843,W47),0),0)</f>
        <v>0</v>
      </c>
    </row>
    <row r="48" customFormat="false" ht="15" hidden="false" customHeight="false" outlineLevel="0" collapsed="false">
      <c r="A48" s="48" t="s">
        <v>297</v>
      </c>
      <c r="B48" s="48" t="s">
        <v>262</v>
      </c>
      <c r="C48" s="48" t="s">
        <v>173</v>
      </c>
      <c r="D48" s="48" t="s">
        <v>174</v>
      </c>
      <c r="E48" s="48"/>
      <c r="F48" s="48" t="s">
        <v>227</v>
      </c>
      <c r="G48" s="49" t="n">
        <v>1380.43</v>
      </c>
      <c r="H48" s="50" t="n">
        <f aca="false">MAX(0,IF(AND(Parameter!$B$21="Ja",ISNUMBER(Y48)),Y48,IF(Parameter!$B$20="Jahresanfang 2025 + Export",BR48+BQ48,BQ48)))</f>
        <v>3</v>
      </c>
      <c r="I48" s="50" t="n">
        <f aca="false">H48*G48</f>
        <v>4141.29</v>
      </c>
      <c r="J48" s="50" t="n">
        <f aca="false">BT48*Parameter!$B$18</f>
        <v>0</v>
      </c>
      <c r="K48" s="51" t="n">
        <v>3</v>
      </c>
      <c r="L48" s="52" t="n">
        <v>0</v>
      </c>
      <c r="M48" s="50" t="n">
        <v>0</v>
      </c>
      <c r="N48" s="50" t="n">
        <v>2</v>
      </c>
      <c r="O48" s="53" t="n">
        <v>70</v>
      </c>
      <c r="P48" s="48" t="s">
        <v>177</v>
      </c>
      <c r="Q48" s="50"/>
      <c r="R48" s="53" t="n">
        <f aca="false">IF(BZ48=1,0,IFERROR(VLOOKUP(BX48,'Gebinde-Kategorie'!$A$5:$N$45,13,0)+0,0))</f>
        <v>0</v>
      </c>
      <c r="S48" s="54"/>
      <c r="T48" s="55"/>
      <c r="U48" s="55"/>
      <c r="V48" s="55"/>
      <c r="W48" s="48" t="n">
        <v>1</v>
      </c>
      <c r="X48" s="50" t="n">
        <v>16</v>
      </c>
      <c r="Y48" s="50" t="n">
        <v>3</v>
      </c>
      <c r="Z48" s="48" t="n">
        <f aca="false">IF(A48="","",IF(AND(Parameter!$B$21="Ja",ISNUMBER(W48)),W48,IF(CC48="2+3",IF(ISNUMBER(SEARCH("grosser Artikel",BU48)),2,IFERROR(VLOOKUP(BX48,Parameter!$F$35:$G$64,2,0),2)),IF(OR(CC48="Nein",CC48=""),"-",CC48))))</f>
        <v>1</v>
      </c>
      <c r="AA48" s="55"/>
      <c r="AB48" s="56"/>
      <c r="AC48" s="50" t="n">
        <f aca="false">AV48</f>
        <v>2</v>
      </c>
      <c r="AD48" s="50" t="n">
        <f aca="false">MAX(AV48,H48)</f>
        <v>3</v>
      </c>
      <c r="AE48" s="57"/>
      <c r="AF48" s="50" t="n">
        <f aca="false">IF(LEFT(Cockpit!$C$5,1)="A",H48,IF(Parameter!$E$30="MAX-Bestand",IF(CH48=1,CI48,IF(LEFT(Cockpit!$C$5,1)="B",AL48,MAX(AL48,H48))),ROUNDUP(AJ48,0)))</f>
        <v>3</v>
      </c>
      <c r="AG48" s="50" t="n">
        <f aca="false">IF(BZ48=1,0,ROUNDUP(AF48/BY48,0))</f>
        <v>0</v>
      </c>
      <c r="AH48" s="52" t="n">
        <f aca="false">IF(CQ48&gt;0,CQ48*MAX(1,AF48/X48),IF(BZ48=1,IF(AF48&lt;=0,0,CD48*MAX(1,IF(H48&gt;0,AF48/H48,1))),IF(R48&gt;0,AG48/R48,0))/MAX(0.1,N(Parameter!$M$21)))</f>
        <v>1.28060263653484</v>
      </c>
      <c r="AI48" s="50" t="n">
        <f aca="false">AH48*CB48</f>
        <v>304.783427495292</v>
      </c>
      <c r="AJ48" s="51" t="n">
        <f aca="false">IF(LEFT(Cockpit!$C$5,1)="A",H48,IF(CH48=1,(CK48+CI48)/2,IF(LEFT(Cockpit!$C$5,1)="B",(CK48+AL48)/2,MAX((CK48+AL48)/2,H48))))</f>
        <v>3</v>
      </c>
      <c r="AK48" s="50" t="n">
        <f aca="false">AJ48*G48</f>
        <v>4141.29</v>
      </c>
      <c r="AL48" s="50" t="n">
        <f aca="false">ROUNDUP(CK48+MAX(CL48,2*(J48/IF(CG48&gt;0,CG48,MAX(0.1,N(Cockpit!$C$6)))-CK48)),0)</f>
        <v>2</v>
      </c>
      <c r="AM48" s="51" t="n">
        <f aca="false">IF(AI48&gt;0,J48/AI48,-1)</f>
        <v>0</v>
      </c>
      <c r="AN48" s="51" t="n">
        <f aca="false">IF(AND(OR(CF48="L1",CF48="L23",CF48="LIFT"),AI48&gt;0),SUMIFS($AI$7:$AI$1843,$CF$7:$CF$1843,CF48,$AM$7:$AM$1843,"&gt;"&amp;AM48)+SUMIFS($AI$7:$AI$1843,$CF$7:$CF$1843,CF48,$AM$7:$AM$1843,AM48,$BW$7:$BW$1843,"&lt;="&amp;BW48),"")</f>
        <v>26187.5752545477</v>
      </c>
      <c r="AO48" s="58" t="n">
        <f aca="false">IF(AN48="",0,MAX(0,MIN(1,(IF(CF48="L1",Parameter!$H$5,IF(CF48="L23",Parameter!$H$6+Parameter!$H$7,Parameter!$H$5+Parameter!$H$6+Parameter!$H$7))-(AN48-AI48))/AI48)))</f>
        <v>1</v>
      </c>
      <c r="AP48" s="50" t="n">
        <f aca="false">IF(LEFT(Cockpit!$I$5,1)="A",H48,IF(Parameter!$E$30="MAX-Bestand",IF(CH48=1,CI48,IF(LEFT(Cockpit!$I$5,1)="B",AV48,MAX(AV48,H48))),ROUNDUP(AT48,0)))</f>
        <v>3</v>
      </c>
      <c r="AQ48" s="50" t="n">
        <f aca="false">IF(BZ48=1,0,ROUNDUP(AP48/BY48,0))</f>
        <v>0</v>
      </c>
      <c r="AR48" s="52" t="n">
        <f aca="false">IF(CQ48&gt;0,CQ48*MAX(1,AP48/X48),IF(BZ48=1,IF(AP48&lt;=0,0,CD48*MAX(1,IF(H48&gt;0,AP48/H48,1))),IF(R48&gt;0,AQ48/R48,0))/MAX(0.1,N(Parameter!$M$21)))</f>
        <v>1.28060263653484</v>
      </c>
      <c r="AS48" s="50" t="n">
        <f aca="false">AR48*CB48</f>
        <v>304.783427495292</v>
      </c>
      <c r="AT48" s="51" t="n">
        <f aca="false">IF(LEFT(Cockpit!$I$5,1)="A",H48,IF(CH48=1,(CK48+CI48)/2,IF(LEFT(Cockpit!$I$5,1)="B",(CK48+AV48)/2,MAX((CK48+AV48)/2,H48))))</f>
        <v>3</v>
      </c>
      <c r="AU48" s="50" t="n">
        <f aca="false">AT48*G48</f>
        <v>4141.29</v>
      </c>
      <c r="AV48" s="50" t="n">
        <f aca="false">ROUNDUP(CK48+MAX(CL48,2*(J48/IF(CG48&gt;0,CG48,MAX(0.1,N(Cockpit!$I$6)))-CK48)),0)</f>
        <v>2</v>
      </c>
      <c r="AW48" s="51" t="n">
        <f aca="false">IF(AS48&gt;0,J48/AS48,-1)</f>
        <v>0</v>
      </c>
      <c r="AX48" s="51" t="n">
        <f aca="false">IF(AND(OR(CF48="L1",CF48="L23",CF48="LIFT"),AS48&gt;0),SUMIFS($AS$7:$AS$1843,$CF$7:$CF$1843,CF48,$AW$7:$AW$1843,"&gt;"&amp;AW48)+SUMIFS($AS$7:$AS$1843,$CF$7:$CF$1843,CF48,$AW$7:$AW$1843,AW48,$BW$7:$BW$1843,"&lt;="&amp;BW48),"")</f>
        <v>31540.7238959252</v>
      </c>
      <c r="AY48" s="58" t="n">
        <f aca="false">IF(AX48="",0,MAX(0,MIN(1,(IF(CF48="L1",Parameter!$H$5,IF(CF48="L23",Parameter!$H$6+Parameter!$H$7,Parameter!$H$5+Parameter!$H$6+Parameter!$H$7))-(AX48-AS48))/AS48)))</f>
        <v>1</v>
      </c>
      <c r="AZ48" s="50" t="n">
        <f aca="false">IF(LEFT(Cockpit!$O$5,1)="A",H48,IF(Parameter!$E$30="MAX-Bestand",IF(CH48=1,CI48,IF(LEFT(Cockpit!$O$5,1)="B",BF48,MAX(BF48,H48))),ROUNDUP(BD48,0)))</f>
        <v>1</v>
      </c>
      <c r="BA48" s="50" t="n">
        <f aca="false">IF(BZ48=1,0,ROUNDUP(AZ48/BY48,0))</f>
        <v>0</v>
      </c>
      <c r="BB48" s="52" t="n">
        <f aca="false">IF(CQ48&gt;0,CQ48*MAX(1,AZ48/X48),IF(BZ48=1,IF(AZ48&lt;=0,0,CD48*MAX(1,IF(H48&gt;0,AZ48/H48,1))),IF(R48&gt;0,BA48/R48,0))/MAX(0.1,N(Parameter!$M$21)))</f>
        <v>1.28060263653484</v>
      </c>
      <c r="BC48" s="50" t="n">
        <f aca="false">BB48*CB48</f>
        <v>304.783427495292</v>
      </c>
      <c r="BD48" s="51" t="n">
        <f aca="false">IF(LEFT(Cockpit!$O$5,1)="A",H48,IF(CH48=1,(CK48+CI48)/2,IF(LEFT(Cockpit!$O$5,1)="B",(CK48+BF48)/2,MAX((CK48+BF48)/2,H48))))</f>
        <v>1</v>
      </c>
      <c r="BE48" s="50" t="n">
        <f aca="false">BD48*G48</f>
        <v>1380.43</v>
      </c>
      <c r="BF48" s="50" t="n">
        <f aca="false">ROUNDUP(CK48+MAX(CL48,2*(J48/IF(CG48&gt;0,CG48,MAX(0.1,N(Cockpit!$O$6)))-CK48)),0)</f>
        <v>2</v>
      </c>
      <c r="BG48" s="51" t="n">
        <f aca="false">IF(BC48&gt;0,J48/BC48,-1)</f>
        <v>0</v>
      </c>
      <c r="BH48" s="51" t="n">
        <f aca="false">IF(AND(OR(CF48="L1",CF48="L23",CF48="LIFT"),BC48&gt;0),SUMIFS($BC$7:$BC$1843,$CF$7:$CF$1843,CF48,$BG$7:$BG$1843,"&gt;"&amp;BG48)+SUMIFS($BC$7:$BC$1843,$CF$7:$CF$1843,CF48,$BG$7:$BG$1843,BG48,$BW$7:$BW$1843,"&lt;="&amp;BW48),"")</f>
        <v>25796.0557392231</v>
      </c>
      <c r="BI48" s="58" t="n">
        <f aca="false">IF(BH48="",0,MAX(0,MIN(1,(IF(CF48="L1",Parameter!$H$5,IF(CF48="L23",Parameter!$H$6+Parameter!$H$7,Parameter!$H$5+Parameter!$H$6+Parameter!$H$7))-(BH48-BC48))/BC48)))</f>
        <v>1</v>
      </c>
      <c r="BJ48" s="48" t="str">
        <f aca="false">IF(AI48&lt;=0,"",IF(CF48="Aussen","Aussenlager",IF(CF48="-","Nicht im Lift",IF(AO48&gt;=1,"Lift",IF(AO48&lt;=0,"Aussenlager","teilweise")))))</f>
        <v>Lift</v>
      </c>
      <c r="BK48" s="48" t="str">
        <f aca="false">IF(AS48&lt;=0,"",IF(CF48="Aussen","Aussenlager",IF(CF48="-","Nicht im Lift",IF(AY48&gt;=1,"Lift",IF(AY48&lt;=0,"Aussenlager","teilweise")))))</f>
        <v>Lift</v>
      </c>
      <c r="BL48" s="48" t="str">
        <f aca="false">IF(BC48&lt;=0,"",IF(CF48="Aussen","Aussenlager",IF(CF48="-","Nicht im Lift",IF(BI48&gt;=1,"Lift",IF(BI48&lt;=0,"Aussenlager","teilweise")))))</f>
        <v>Lift</v>
      </c>
      <c r="BM48" s="48" t="str">
        <f aca="false">IF(A48="","",IF(BV48=1,"Neu; ","")&amp;IF(AND(BV48=0,BQ48&lt;0),"negativer Bestand (Export "&amp;BQ48&amp;"); ","")&amp;IF(J48&lt;=0,"Kein Verbrauch; ","")&amp;IF(CQ48&gt;0,"Lift "&amp;W48&amp;" lt. Liftbericht (Fach "&amp;X48&amp;" Stk); ",IF(CA48=1,"Gebinde geschätzt ("&amp;T48&amp;"); ",IF(BZ48=1,"Lose – Tablare geschätzt; ","")))&amp;IF(H48&gt;AV48,"Überbestand "&amp;ROUND(H48-AV48,0)&amp;" Stk / CHF "&amp;ROUND((H48-AV48)*G48,0)&amp;"; ","")&amp;IF(AND(CH48=1,CI48&lt;CJ48),"MAX &lt; MB+LG; ","")&amp;IF(AND(CP48&gt;0,CO48*10&gt;CP48),"zu hoch für Tablar; ","")&amp;IF(AND(BV48=0,OR(CH48=1,AA48&lt;&gt;"",U48&lt;&gt;"",V48&lt;&gt;"",AB48&lt;&gt;"")),"manuell übersteuert; ","")&amp;IF(AND(BZ48=0,R48=0),"Gebinde unbekannt / Stellmass fehlt; ","")&amp;IF(AND(BZ48=0,N(V48)&lt;=0,N(Q48)&lt;=0),"Menge pro Gebinde fehlt (Ist = 1 Gebinde); ","")&amp;BU48)</f>
        <v>Kein Verbrauch; Lift 1 lt. Liftbericht (Fach 16 Stk); Überbestand 1 Stk / CHF 1380; </v>
      </c>
      <c r="BN48" s="48"/>
      <c r="BO48" s="48"/>
      <c r="BP48" s="55"/>
      <c r="BQ48" s="50" t="n">
        <v>5</v>
      </c>
      <c r="BR48" s="50" t="n">
        <v>0</v>
      </c>
      <c r="BS48" s="49" t="n">
        <v>6902.15</v>
      </c>
      <c r="BT48" s="50" t="n">
        <v>0</v>
      </c>
      <c r="BU48" s="48"/>
      <c r="BV48" s="53" t="n">
        <v>0</v>
      </c>
      <c r="BW48" s="53" t="n">
        <v>48</v>
      </c>
      <c r="BX48" s="48" t="str">
        <f aca="false">IF(U48&lt;&gt;"",UPPER(TRIM(U48)),IF(CA48=1,UPPER(VLOOKUP(T48,Parameter!$I$27:$K$29,2,0)),IF(P48="","LOSE",P48)))</f>
        <v>LOSE</v>
      </c>
      <c r="BY48" s="50" t="n">
        <f aca="false">IF(BX48="LOSE",1,IF(N(V48)&gt;0,V48,IF(CA48=1,MAX(1,N(VLOOKUP(T48,Parameter!$I$27:$K$29,3,0)),H48,N(N48)),IF(N(Q48)&gt;0,Q48,MAX(1,H48)))))</f>
        <v>1</v>
      </c>
      <c r="BZ48" s="53" t="n">
        <f aca="false">IF(BX48="LOSE",1,0)</f>
        <v>1</v>
      </c>
      <c r="CA48" s="53" t="n">
        <f aca="false">IF(AND(U48="",OR(P48="",P48="LOSE"),T48&lt;&gt;"",N(S48)&lt;=0,ISNUMBER(MATCH(T48,Parameter!$I$27:$I$29,0))),1,0)</f>
        <v>0</v>
      </c>
      <c r="CB48" s="53" t="n">
        <f aca="false">IF(CQ48&gt;0,INDEX(Parameter!$H$5:$H$7,W48)/INDEX(Parameter!$E$5:$E$7,W48),IF(AND(BZ48=0,N(IFERROR(VLOOKUP(BX48,'Gebinde-Kategorie'!$A$5:$N$45,14,0),0))&gt;0),VLOOKUP(BX48,'Gebinde-Kategorie'!$A$5:$N$45,14,0)*10+Parameter!$M$23,Parameter!$M$24))</f>
        <v>238</v>
      </c>
      <c r="CC48" s="48" t="n">
        <f aca="false">IF(AND(Parameter!$B$19="Ja",E48&lt;&gt;"",ISNUMBER(MATCH(E48,Parameter!$I$35:$I$52,0))),VLOOKUP(E48,Parameter!$I$35:$J$52,2,0),IFERROR(VLOOKUP(D48,Parameter!$A$35:$C$64,2,0),"Nein"))</f>
        <v>1</v>
      </c>
      <c r="CD48" s="52" t="n">
        <f aca="false">IF(BZ48=0,0,IF(N(S48)&gt;0,S48,IFERROR(VLOOKUP(D48,Parameter!$A$35:$C$64,3,0)+0,0)))</f>
        <v>1</v>
      </c>
      <c r="CE48" s="48" t="n">
        <f aca="false">IF(AA48&lt;&gt;"",AA48,Z48)</f>
        <v>1</v>
      </c>
      <c r="CF48" s="48" t="str">
        <f aca="false">IF(OR(CE48=1,CE48=2,CE48=3),IF(Parameter!$E$27="Ja","LIFT",IF(CE48=1,"L1","L23")),IF(CE48="Aussen","Aussen","-"))</f>
        <v>LIFT</v>
      </c>
      <c r="CG48" s="59" t="n">
        <f aca="false">IF(N(AB48)&gt;0,AB48,0)</f>
        <v>0</v>
      </c>
      <c r="CH48" s="53" t="n">
        <f aca="false">IF(ISNUMBER(AE48),1,0)</f>
        <v>0</v>
      </c>
      <c r="CI48" s="50" t="n">
        <f aca="false">N(AE48)</f>
        <v>0</v>
      </c>
      <c r="CJ48" s="50" t="n">
        <f aca="false">N(M48)+N(N48)</f>
        <v>2</v>
      </c>
      <c r="CK48" s="50" t="n">
        <f aca="false">N(M48)</f>
        <v>0</v>
      </c>
      <c r="CL48" s="50" t="n">
        <f aca="false">N(N48)</f>
        <v>2</v>
      </c>
      <c r="CM48" s="50" t="n">
        <f aca="false">ROUNDUP(H48/BY48,0)</f>
        <v>3</v>
      </c>
      <c r="CN48" s="50" t="n">
        <f aca="false">ROUNDUP(CI48/BY48,0)</f>
        <v>0</v>
      </c>
      <c r="CO48" s="53" t="n">
        <f aca="false">IF(BZ48=1,0,IFERROR(VLOOKUP(BX48,'Gebinde-Kategorie'!$A$5:$N$45,5,0)+0,0))</f>
        <v>0</v>
      </c>
      <c r="CP48" s="53" t="n">
        <f aca="false">IFERROR(IF(OR(CE48=1,CE48=2,CE48=3),N(INDEX(Parameter!$I$5:$I$7,CE48)),0),0)</f>
        <v>0</v>
      </c>
      <c r="CQ48" s="52" t="n">
        <f aca="false">IF(AND(Parameter!$B$21="Ja",ISNUMBER(W48),N(X48)&gt;0),IFERROR(N(INDEX(Parameter!$L$5:$L$7,W48))*INDEX(Parameter!$E$5:$E$7,W48)*X48/SUMIFS($X$7:$X$1843,$W$7:$W$1843,W48),0),0)</f>
        <v>1.28060263653484</v>
      </c>
    </row>
    <row r="49" customFormat="false" ht="15" hidden="false" customHeight="false" outlineLevel="0" collapsed="false">
      <c r="A49" s="48" t="s">
        <v>298</v>
      </c>
      <c r="B49" s="48" t="s">
        <v>299</v>
      </c>
      <c r="C49" s="48" t="s">
        <v>173</v>
      </c>
      <c r="D49" s="48" t="s">
        <v>182</v>
      </c>
      <c r="E49" s="48"/>
      <c r="F49" s="48" t="s">
        <v>227</v>
      </c>
      <c r="G49" s="49" t="n">
        <v>196.56</v>
      </c>
      <c r="H49" s="50" t="n">
        <f aca="false">MAX(0,IF(AND(Parameter!$B$21="Ja",ISNUMBER(Y49)),Y49,IF(Parameter!$B$20="Jahresanfang 2025 + Export",BR49+BQ49,BQ49)))</f>
        <v>66</v>
      </c>
      <c r="I49" s="50" t="n">
        <f aca="false">H49*G49</f>
        <v>12972.96</v>
      </c>
      <c r="J49" s="50" t="n">
        <f aca="false">BT49*Parameter!$B$18</f>
        <v>0</v>
      </c>
      <c r="K49" s="51" t="n">
        <v>33</v>
      </c>
      <c r="L49" s="52" t="n">
        <v>0</v>
      </c>
      <c r="M49" s="50" t="n">
        <v>0</v>
      </c>
      <c r="N49" s="50" t="n">
        <v>1</v>
      </c>
      <c r="O49" s="53" t="n">
        <v>77</v>
      </c>
      <c r="P49" s="48" t="s">
        <v>232</v>
      </c>
      <c r="Q49" s="50" t="n">
        <v>34</v>
      </c>
      <c r="R49" s="53" t="n">
        <f aca="false">IF(BZ49=1,0,IFERROR(VLOOKUP(BX49,'Gebinde-Kategorie'!$A$5:$N$45,13,0)+0,0))</f>
        <v>4</v>
      </c>
      <c r="S49" s="54"/>
      <c r="T49" s="55"/>
      <c r="U49" s="55"/>
      <c r="V49" s="55"/>
      <c r="W49" s="48"/>
      <c r="X49" s="50"/>
      <c r="Y49" s="50"/>
      <c r="Z49" s="48" t="n">
        <f aca="false">IF(A49="","",IF(AND(Parameter!$B$21="Ja",ISNUMBER(W49)),W49,IF(CC49="2+3",IF(ISNUMBER(SEARCH("grosser Artikel",BU49)),2,IFERROR(VLOOKUP(BX49,Parameter!$F$35:$G$64,2,0),2)),IF(OR(CC49="Nein",CC49=""),"-",CC49))))</f>
        <v>2</v>
      </c>
      <c r="AA49" s="55"/>
      <c r="AB49" s="56"/>
      <c r="AC49" s="50" t="n">
        <f aca="false">AV49</f>
        <v>1</v>
      </c>
      <c r="AD49" s="50" t="n">
        <f aca="false">MAX(AV49,H49)</f>
        <v>66</v>
      </c>
      <c r="AE49" s="57"/>
      <c r="AF49" s="50" t="n">
        <f aca="false">IF(LEFT(Cockpit!$C$5,1)="A",H49,IF(Parameter!$E$30="MAX-Bestand",IF(CH49=1,CI49,IF(LEFT(Cockpit!$C$5,1)="B",AL49,MAX(AL49,H49))),ROUNDUP(AJ49,0)))</f>
        <v>66</v>
      </c>
      <c r="AG49" s="50" t="n">
        <f aca="false">IF(BZ49=1,0,ROUNDUP(AF49/BY49,0))</f>
        <v>2</v>
      </c>
      <c r="AH49" s="52" t="n">
        <f aca="false">IF(CQ49&gt;0,CQ49*MAX(1,AF49/X49),IF(BZ49=1,IF(AF49&lt;=0,0,CD49*MAX(1,IF(H49&gt;0,AF49/H49,1))),IF(R49&gt;0,AG49/R49,0))/MAX(0.1,N(Parameter!$M$21)))</f>
        <v>0.5</v>
      </c>
      <c r="AI49" s="50" t="n">
        <f aca="false">AH49*CB49</f>
        <v>117.5</v>
      </c>
      <c r="AJ49" s="51" t="n">
        <f aca="false">IF(LEFT(Cockpit!$C$5,1)="A",H49,IF(CH49=1,(CK49+CI49)/2,IF(LEFT(Cockpit!$C$5,1)="B",(CK49+AL49)/2,MAX((CK49+AL49)/2,H49))))</f>
        <v>66</v>
      </c>
      <c r="AK49" s="50" t="n">
        <f aca="false">AJ49*G49</f>
        <v>12972.96</v>
      </c>
      <c r="AL49" s="50" t="n">
        <f aca="false">ROUNDUP(CK49+MAX(CL49,2*(J49/IF(CG49&gt;0,CG49,MAX(0.1,N(Cockpit!$C$6)))-CK49)),0)</f>
        <v>1</v>
      </c>
      <c r="AM49" s="51" t="n">
        <f aca="false">IF(AI49&gt;0,J49/AI49,-1)</f>
        <v>0</v>
      </c>
      <c r="AN49" s="51" t="n">
        <f aca="false">IF(AND(OR(CF49="L1",CF49="L23",CF49="LIFT"),AI49&gt;0),SUMIFS($AI$7:$AI$1843,$CF$7:$CF$1843,CF49,$AM$7:$AM$1843,"&gt;"&amp;AM49)+SUMIFS($AI$7:$AI$1843,$CF$7:$CF$1843,CF49,$AM$7:$AM$1843,AM49,$BW$7:$BW$1843,"&lt;="&amp;BW49),"")</f>
        <v>26305.0752545477</v>
      </c>
      <c r="AO49" s="58" t="n">
        <f aca="false">IF(AN49="",0,MAX(0,MIN(1,(IF(CF49="L1",Parameter!$H$5,IF(CF49="L23",Parameter!$H$6+Parameter!$H$7,Parameter!$H$5+Parameter!$H$6+Parameter!$H$7))-(AN49-AI49))/AI49)))</f>
        <v>1</v>
      </c>
      <c r="AP49" s="50" t="n">
        <f aca="false">IF(LEFT(Cockpit!$I$5,1)="A",H49,IF(Parameter!$E$30="MAX-Bestand",IF(CH49=1,CI49,IF(LEFT(Cockpit!$I$5,1)="B",AV49,MAX(AV49,H49))),ROUNDUP(AT49,0)))</f>
        <v>66</v>
      </c>
      <c r="AQ49" s="50" t="n">
        <f aca="false">IF(BZ49=1,0,ROUNDUP(AP49/BY49,0))</f>
        <v>2</v>
      </c>
      <c r="AR49" s="52" t="n">
        <f aca="false">IF(CQ49&gt;0,CQ49*MAX(1,AP49/X49),IF(BZ49=1,IF(AP49&lt;=0,0,CD49*MAX(1,IF(H49&gt;0,AP49/H49,1))),IF(R49&gt;0,AQ49/R49,0))/MAX(0.1,N(Parameter!$M$21)))</f>
        <v>0.5</v>
      </c>
      <c r="AS49" s="50" t="n">
        <f aca="false">AR49*CB49</f>
        <v>117.5</v>
      </c>
      <c r="AT49" s="51" t="n">
        <f aca="false">IF(LEFT(Cockpit!$I$5,1)="A",H49,IF(CH49=1,(CK49+CI49)/2,IF(LEFT(Cockpit!$I$5,1)="B",(CK49+AV49)/2,MAX((CK49+AV49)/2,H49))))</f>
        <v>66</v>
      </c>
      <c r="AU49" s="50" t="n">
        <f aca="false">AT49*G49</f>
        <v>12972.96</v>
      </c>
      <c r="AV49" s="50" t="n">
        <f aca="false">ROUNDUP(CK49+MAX(CL49,2*(J49/IF(CG49&gt;0,CG49,MAX(0.1,N(Cockpit!$I$6)))-CK49)),0)</f>
        <v>1</v>
      </c>
      <c r="AW49" s="51" t="n">
        <f aca="false">IF(AS49&gt;0,J49/AS49,-1)</f>
        <v>0</v>
      </c>
      <c r="AX49" s="51" t="n">
        <f aca="false">IF(AND(OR(CF49="L1",CF49="L23",CF49="LIFT"),AS49&gt;0),SUMIFS($AS$7:$AS$1843,$CF$7:$CF$1843,CF49,$AW$7:$AW$1843,"&gt;"&amp;AW49)+SUMIFS($AS$7:$AS$1843,$CF$7:$CF$1843,CF49,$AW$7:$AW$1843,AW49,$BW$7:$BW$1843,"&lt;="&amp;BW49),"")</f>
        <v>31658.2238959252</v>
      </c>
      <c r="AY49" s="58" t="n">
        <f aca="false">IF(AX49="",0,MAX(0,MIN(1,(IF(CF49="L1",Parameter!$H$5,IF(CF49="L23",Parameter!$H$6+Parameter!$H$7,Parameter!$H$5+Parameter!$H$6+Parameter!$H$7))-(AX49-AS49))/AS49)))</f>
        <v>1</v>
      </c>
      <c r="AZ49" s="50" t="n">
        <f aca="false">IF(LEFT(Cockpit!$O$5,1)="A",H49,IF(Parameter!$E$30="MAX-Bestand",IF(CH49=1,CI49,IF(LEFT(Cockpit!$O$5,1)="B",BF49,MAX(BF49,H49))),ROUNDUP(BD49,0)))</f>
        <v>1</v>
      </c>
      <c r="BA49" s="50" t="n">
        <f aca="false">IF(BZ49=1,0,ROUNDUP(AZ49/BY49,0))</f>
        <v>1</v>
      </c>
      <c r="BB49" s="52" t="n">
        <f aca="false">IF(CQ49&gt;0,CQ49*MAX(1,AZ49/X49),IF(BZ49=1,IF(AZ49&lt;=0,0,CD49*MAX(1,IF(H49&gt;0,AZ49/H49,1))),IF(R49&gt;0,BA49/R49,0))/MAX(0.1,N(Parameter!$M$21)))</f>
        <v>0.25</v>
      </c>
      <c r="BC49" s="50" t="n">
        <f aca="false">BB49*CB49</f>
        <v>58.75</v>
      </c>
      <c r="BD49" s="51" t="n">
        <f aca="false">IF(LEFT(Cockpit!$O$5,1)="A",H49,IF(CH49=1,(CK49+CI49)/2,IF(LEFT(Cockpit!$O$5,1)="B",(CK49+BF49)/2,MAX((CK49+BF49)/2,H49))))</f>
        <v>0.5</v>
      </c>
      <c r="BE49" s="50" t="n">
        <f aca="false">BD49*G49</f>
        <v>98.28</v>
      </c>
      <c r="BF49" s="50" t="n">
        <f aca="false">ROUNDUP(CK49+MAX(CL49,2*(J49/IF(CG49&gt;0,CG49,MAX(0.1,N(Cockpit!$O$6)))-CK49)),0)</f>
        <v>1</v>
      </c>
      <c r="BG49" s="51" t="n">
        <f aca="false">IF(BC49&gt;0,J49/BC49,-1)</f>
        <v>0</v>
      </c>
      <c r="BH49" s="51" t="n">
        <f aca="false">IF(AND(OR(CF49="L1",CF49="L23",CF49="LIFT"),BC49&gt;0),SUMIFS($BC$7:$BC$1843,$CF$7:$CF$1843,CF49,$BG$7:$BG$1843,"&gt;"&amp;BG49)+SUMIFS($BC$7:$BC$1843,$CF$7:$CF$1843,CF49,$BG$7:$BG$1843,BG49,$BW$7:$BW$1843,"&lt;="&amp;BW49),"")</f>
        <v>25854.8057392231</v>
      </c>
      <c r="BI49" s="58" t="n">
        <f aca="false">IF(BH49="",0,MAX(0,MIN(1,(IF(CF49="L1",Parameter!$H$5,IF(CF49="L23",Parameter!$H$6+Parameter!$H$7,Parameter!$H$5+Parameter!$H$6+Parameter!$H$7))-(BH49-BC49))/BC49)))</f>
        <v>1</v>
      </c>
      <c r="BJ49" s="48" t="str">
        <f aca="false">IF(AI49&lt;=0,"",IF(CF49="Aussen","Aussenlager",IF(CF49="-","Nicht im Lift",IF(AO49&gt;=1,"Lift",IF(AO49&lt;=0,"Aussenlager","teilweise")))))</f>
        <v>Lift</v>
      </c>
      <c r="BK49" s="48" t="str">
        <f aca="false">IF(AS49&lt;=0,"",IF(CF49="Aussen","Aussenlager",IF(CF49="-","Nicht im Lift",IF(AY49&gt;=1,"Lift",IF(AY49&lt;=0,"Aussenlager","teilweise")))))</f>
        <v>Lift</v>
      </c>
      <c r="BL49" s="48" t="str">
        <f aca="false">IF(BC49&lt;=0,"",IF(CF49="Aussen","Aussenlager",IF(CF49="-","Nicht im Lift",IF(BI49&gt;=1,"Lift",IF(BI49&lt;=0,"Aussenlager","teilweise")))))</f>
        <v>Lift</v>
      </c>
      <c r="BM49" s="48" t="str">
        <f aca="false">IF(A49="","",IF(BV49=1,"Neu; ","")&amp;IF(AND(BV49=0,BQ49&lt;0),"negativer Bestand (Export "&amp;BQ49&amp;"); ","")&amp;IF(J49&lt;=0,"Kein Verbrauch; ","")&amp;IF(CQ49&gt;0,"Lift "&amp;W49&amp;" lt. Liftbericht (Fach "&amp;X49&amp;" Stk); ",IF(CA49=1,"Gebinde geschätzt ("&amp;T49&amp;"); ",IF(BZ49=1,"Lose – Tablare geschätzt; ","")))&amp;IF(H49&gt;AV49,"Überbestand "&amp;ROUND(H49-AV49,0)&amp;" Stk / CHF "&amp;ROUND((H49-AV49)*G49,0)&amp;"; ","")&amp;IF(AND(CH49=1,CI49&lt;CJ49),"MAX &lt; MB+LG; ","")&amp;IF(AND(CP49&gt;0,CO49*10&gt;CP49),"zu hoch für Tablar; ","")&amp;IF(AND(BV49=0,OR(CH49=1,AA49&lt;&gt;"",U49&lt;&gt;"",V49&lt;&gt;"",AB49&lt;&gt;"")),"manuell übersteuert; ","")&amp;IF(AND(BZ49=0,R49=0),"Gebinde unbekannt / Stellmass fehlt; ","")&amp;IF(AND(BZ49=0,N(V49)&lt;=0,N(Q49)&lt;=0),"Menge pro Gebinde fehlt (Ist = 1 Gebinde); ","")&amp;BU49)</f>
        <v>Kein Verbrauch; Überbestand 65 Stk / CHF 12776; </v>
      </c>
      <c r="BN49" s="48"/>
      <c r="BO49" s="48"/>
      <c r="BP49" s="55"/>
      <c r="BQ49" s="50" t="n">
        <v>34</v>
      </c>
      <c r="BR49" s="50" t="n">
        <v>32</v>
      </c>
      <c r="BS49" s="49" t="n">
        <v>6683.04</v>
      </c>
      <c r="BT49" s="50" t="n">
        <v>0</v>
      </c>
      <c r="BU49" s="48"/>
      <c r="BV49" s="53" t="n">
        <v>0</v>
      </c>
      <c r="BW49" s="53" t="n">
        <v>49</v>
      </c>
      <c r="BX49" s="48" t="str">
        <f aca="false">IF(U49&lt;&gt;"",UPPER(TRIM(U49)),IF(CA49=1,UPPER(VLOOKUP(T49,Parameter!$I$27:$K$29,2,0)),IF(P49="","LOSE",P49)))</f>
        <v>S81</v>
      </c>
      <c r="BY49" s="50" t="n">
        <f aca="false">IF(BX49="LOSE",1,IF(N(V49)&gt;0,V49,IF(CA49=1,MAX(1,N(VLOOKUP(T49,Parameter!$I$27:$K$29,3,0)),H49,N(N49)),IF(N(Q49)&gt;0,Q49,MAX(1,H49)))))</f>
        <v>34</v>
      </c>
      <c r="BZ49" s="53" t="n">
        <f aca="false">IF(BX49="LOSE",1,0)</f>
        <v>0</v>
      </c>
      <c r="CA49" s="53" t="n">
        <f aca="false">IF(AND(U49="",OR(P49="",P49="LOSE"),T49&lt;&gt;"",N(S49)&lt;=0,ISNUMBER(MATCH(T49,Parameter!$I$27:$I$29,0))),1,0)</f>
        <v>0</v>
      </c>
      <c r="CB49" s="53" t="n">
        <f aca="false">IF(CQ49&gt;0,INDEX(Parameter!$H$5:$H$7,W49)/INDEX(Parameter!$E$5:$E$7,W49),IF(AND(BZ49=0,N(IFERROR(VLOOKUP(BX49,'Gebinde-Kategorie'!$A$5:$N$45,14,0),0))&gt;0),VLOOKUP(BX49,'Gebinde-Kategorie'!$A$5:$N$45,14,0)*10+Parameter!$M$23,Parameter!$M$24))</f>
        <v>235</v>
      </c>
      <c r="CC49" s="48" t="str">
        <f aca="false">IF(AND(Parameter!$B$19="Ja",E49&lt;&gt;"",ISNUMBER(MATCH(E49,Parameter!$I$35:$I$52,0))),VLOOKUP(E49,Parameter!$I$35:$J$52,2,0),IFERROR(VLOOKUP(D49,Parameter!$A$35:$C$64,2,0),"Nein"))</f>
        <v>2+3</v>
      </c>
      <c r="CD49" s="52" t="n">
        <f aca="false">IF(BZ49=0,0,IF(N(S49)&gt;0,S49,IFERROR(VLOOKUP(D49,Parameter!$A$35:$C$64,3,0)+0,0)))</f>
        <v>0</v>
      </c>
      <c r="CE49" s="48" t="n">
        <f aca="false">IF(AA49&lt;&gt;"",AA49,Z49)</f>
        <v>2</v>
      </c>
      <c r="CF49" s="48" t="str">
        <f aca="false">IF(OR(CE49=1,CE49=2,CE49=3),IF(Parameter!$E$27="Ja","LIFT",IF(CE49=1,"L1","L23")),IF(CE49="Aussen","Aussen","-"))</f>
        <v>LIFT</v>
      </c>
      <c r="CG49" s="59" t="n">
        <f aca="false">IF(N(AB49)&gt;0,AB49,0)</f>
        <v>0</v>
      </c>
      <c r="CH49" s="53" t="n">
        <f aca="false">IF(ISNUMBER(AE49),1,0)</f>
        <v>0</v>
      </c>
      <c r="CI49" s="50" t="n">
        <f aca="false">N(AE49)</f>
        <v>0</v>
      </c>
      <c r="CJ49" s="50" t="n">
        <f aca="false">N(M49)+N(N49)</f>
        <v>1</v>
      </c>
      <c r="CK49" s="50" t="n">
        <f aca="false">N(M49)</f>
        <v>0</v>
      </c>
      <c r="CL49" s="50" t="n">
        <f aca="false">N(N49)</f>
        <v>1</v>
      </c>
      <c r="CM49" s="50" t="n">
        <f aca="false">ROUNDUP(H49/BY49,0)</f>
        <v>2</v>
      </c>
      <c r="CN49" s="50" t="n">
        <f aca="false">ROUNDUP(CI49/BY49,0)</f>
        <v>0</v>
      </c>
      <c r="CO49" s="53" t="n">
        <f aca="false">IF(BZ49=1,0,IFERROR(VLOOKUP(BX49,'Gebinde-Kategorie'!$A$5:$N$45,5,0)+0,0))</f>
        <v>20</v>
      </c>
      <c r="CP49" s="53" t="n">
        <f aca="false">IFERROR(IF(OR(CE49=1,CE49=2,CE49=3),N(INDEX(Parameter!$I$5:$I$7,CE49)),0),0)</f>
        <v>0</v>
      </c>
      <c r="CQ49" s="52" t="n">
        <f aca="false">IF(AND(Parameter!$B$21="Ja",ISNUMBER(W49),N(X49)&gt;0),IFERROR(N(INDEX(Parameter!$L$5:$L$7,W49))*INDEX(Parameter!$E$5:$E$7,W49)*X49/SUMIFS($X$7:$X$1843,$W$7:$W$1843,W49),0),0)</f>
        <v>0</v>
      </c>
    </row>
    <row r="50" customFormat="false" ht="15" hidden="false" customHeight="false" outlineLevel="0" collapsed="false">
      <c r="A50" s="48" t="s">
        <v>300</v>
      </c>
      <c r="B50" s="48" t="s">
        <v>301</v>
      </c>
      <c r="C50" s="48" t="s">
        <v>173</v>
      </c>
      <c r="D50" s="48" t="s">
        <v>193</v>
      </c>
      <c r="E50" s="48" t="s">
        <v>194</v>
      </c>
      <c r="F50" s="48" t="s">
        <v>227</v>
      </c>
      <c r="G50" s="49" t="n">
        <v>177.93</v>
      </c>
      <c r="H50" s="50" t="n">
        <f aca="false">MAX(0,IF(AND(Parameter!$B$21="Ja",ISNUMBER(Y50)),Y50,IF(Parameter!$B$20="Jahresanfang 2025 + Export",BR50+BQ50,BQ50)))</f>
        <v>55</v>
      </c>
      <c r="I50" s="50" t="n">
        <f aca="false">H50*G50</f>
        <v>9786.15</v>
      </c>
      <c r="J50" s="50" t="n">
        <f aca="false">BT50*Parameter!$B$18</f>
        <v>125</v>
      </c>
      <c r="K50" s="51" t="n">
        <v>31</v>
      </c>
      <c r="L50" s="52" t="n">
        <v>4.03225806451613</v>
      </c>
      <c r="M50" s="50" t="n">
        <v>20</v>
      </c>
      <c r="N50" s="50" t="n">
        <v>40</v>
      </c>
      <c r="O50" s="53" t="n">
        <v>30</v>
      </c>
      <c r="P50" s="48" t="s">
        <v>302</v>
      </c>
      <c r="Q50" s="50" t="n">
        <v>80</v>
      </c>
      <c r="R50" s="53" t="n">
        <f aca="false">IF(BZ50=1,0,IFERROR(VLOOKUP(BX50,'Gebinde-Kategorie'!$A$5:$N$45,13,0)+0,0))</f>
        <v>12</v>
      </c>
      <c r="S50" s="54"/>
      <c r="T50" s="55"/>
      <c r="U50" s="55"/>
      <c r="V50" s="55"/>
      <c r="W50" s="48"/>
      <c r="X50" s="50"/>
      <c r="Y50" s="50"/>
      <c r="Z50" s="48" t="n">
        <f aca="false">IF(A50="","",IF(AND(Parameter!$B$21="Ja",ISNUMBER(W50)),W50,IF(CC50="2+3",IF(ISNUMBER(SEARCH("grosser Artikel",BU50)),2,IFERROR(VLOOKUP(BX50,Parameter!$F$35:$G$64,2,0),2)),IF(OR(CC50="Nein",CC50=""),"-",CC50))))</f>
        <v>2</v>
      </c>
      <c r="AA50" s="55"/>
      <c r="AB50" s="56"/>
      <c r="AC50" s="50" t="n">
        <f aca="false">AV50</f>
        <v>64</v>
      </c>
      <c r="AD50" s="50" t="n">
        <f aca="false">MAX(AV50,H50)</f>
        <v>64</v>
      </c>
      <c r="AE50" s="57"/>
      <c r="AF50" s="50" t="n">
        <f aca="false">IF(LEFT(Cockpit!$C$5,1)="A",H50,IF(Parameter!$E$30="MAX-Bestand",IF(CH50=1,CI50,IF(LEFT(Cockpit!$C$5,1)="B",AL50,MAX(AL50,H50))),ROUNDUP(AJ50,0)))</f>
        <v>55</v>
      </c>
      <c r="AG50" s="50" t="n">
        <f aca="false">IF(BZ50=1,0,ROUNDUP(AF50/BY50,0))</f>
        <v>1</v>
      </c>
      <c r="AH50" s="52" t="n">
        <f aca="false">IF(CQ50&gt;0,CQ50*MAX(1,AF50/X50),IF(BZ50=1,IF(AF50&lt;=0,0,CD50*MAX(1,IF(H50&gt;0,AF50/H50,1))),IF(R50&gt;0,AG50/R50,0))/MAX(0.1,N(Parameter!$M$21)))</f>
        <v>0.0833333333333333</v>
      </c>
      <c r="AI50" s="50" t="n">
        <f aca="false">AH50*CB50</f>
        <v>20.4166666666667</v>
      </c>
      <c r="AJ50" s="51" t="n">
        <f aca="false">IF(LEFT(Cockpit!$C$5,1)="A",H50,IF(CH50=1,(CK50+CI50)/2,IF(LEFT(Cockpit!$C$5,1)="B",(CK50+AL50)/2,MAX((CK50+AL50)/2,H50))))</f>
        <v>55</v>
      </c>
      <c r="AK50" s="50" t="n">
        <f aca="false">AJ50*G50</f>
        <v>9786.15</v>
      </c>
      <c r="AL50" s="50" t="n">
        <f aca="false">ROUNDUP(CK50+MAX(CL50,2*(J50/IF(CG50&gt;0,CG50,MAX(0.1,N(Cockpit!$C$6)))-CK50)),0)</f>
        <v>64</v>
      </c>
      <c r="AM50" s="51" t="n">
        <f aca="false">IF(AI50&gt;0,J50/AI50,-1)</f>
        <v>6.12244897959184</v>
      </c>
      <c r="AN50" s="51" t="n">
        <f aca="false">IF(AND(OR(CF50="L1",CF50="L23",CF50="LIFT"),AI50&gt;0),SUMIFS($AI$7:$AI$1843,$CF$7:$CF$1843,CF50,$AM$7:$AM$1843,"&gt;"&amp;AM50)+SUMIFS($AI$7:$AI$1843,$CF$7:$CF$1843,CF50,$AM$7:$AM$1843,AM50,$BW$7:$BW$1843,"&lt;="&amp;BW50),"")</f>
        <v>3510.50686813187</v>
      </c>
      <c r="AO50" s="58" t="n">
        <f aca="false">IF(AN50="",0,MAX(0,MIN(1,(IF(CF50="L1",Parameter!$H$5,IF(CF50="L23",Parameter!$H$6+Parameter!$H$7,Parameter!$H$5+Parameter!$H$6+Parameter!$H$7))-(AN50-AI50))/AI50)))</f>
        <v>1</v>
      </c>
      <c r="AP50" s="50" t="n">
        <f aca="false">IF(LEFT(Cockpit!$I$5,1)="A",H50,IF(Parameter!$E$30="MAX-Bestand",IF(CH50=1,CI50,IF(LEFT(Cockpit!$I$5,1)="B",AV50,MAX(AV50,H50))),ROUNDUP(AT50,0)))</f>
        <v>55</v>
      </c>
      <c r="AQ50" s="50" t="n">
        <f aca="false">IF(BZ50=1,0,ROUNDUP(AP50/BY50,0))</f>
        <v>1</v>
      </c>
      <c r="AR50" s="52" t="n">
        <f aca="false">IF(CQ50&gt;0,CQ50*MAX(1,AP50/X50),IF(BZ50=1,IF(AP50&lt;=0,0,CD50*MAX(1,IF(H50&gt;0,AP50/H50,1))),IF(R50&gt;0,AQ50/R50,0))/MAX(0.1,N(Parameter!$M$21)))</f>
        <v>0.0833333333333333</v>
      </c>
      <c r="AS50" s="50" t="n">
        <f aca="false">AR50*CB50</f>
        <v>20.4166666666667</v>
      </c>
      <c r="AT50" s="51" t="n">
        <f aca="false">IF(LEFT(Cockpit!$I$5,1)="A",H50,IF(CH50=1,(CK50+CI50)/2,IF(LEFT(Cockpit!$I$5,1)="B",(CK50+AV50)/2,MAX((CK50+AV50)/2,H50))))</f>
        <v>55</v>
      </c>
      <c r="AU50" s="50" t="n">
        <f aca="false">AT50*G50</f>
        <v>9786.15</v>
      </c>
      <c r="AV50" s="50" t="n">
        <f aca="false">ROUNDUP(CK50+MAX(CL50,2*(J50/IF(CG50&gt;0,CG50,MAX(0.1,N(Cockpit!$I$6)))-CK50)),0)</f>
        <v>64</v>
      </c>
      <c r="AW50" s="51" t="n">
        <f aca="false">IF(AS50&gt;0,J50/AS50,-1)</f>
        <v>6.12244897959184</v>
      </c>
      <c r="AX50" s="51" t="n">
        <f aca="false">IF(AND(OR(CF50="L1",CF50="L23",CF50="LIFT"),AS50&gt;0),SUMIFS($AS$7:$AS$1843,$CF$7:$CF$1843,CF50,$AW$7:$AW$1843,"&gt;"&amp;AW50)+SUMIFS($AS$7:$AS$1843,$CF$7:$CF$1843,CF50,$AW$7:$AW$1843,AW50,$BW$7:$BW$1843,"&lt;="&amp;BW50),"")</f>
        <v>4176.17078754579</v>
      </c>
      <c r="AY50" s="58" t="n">
        <f aca="false">IF(AX50="",0,MAX(0,MIN(1,(IF(CF50="L1",Parameter!$H$5,IF(CF50="L23",Parameter!$H$6+Parameter!$H$7,Parameter!$H$5+Parameter!$H$6+Parameter!$H$7))-(AX50-AS50))/AS50)))</f>
        <v>1</v>
      </c>
      <c r="AZ50" s="50" t="n">
        <f aca="false">IF(LEFT(Cockpit!$O$5,1)="A",H50,IF(Parameter!$E$30="MAX-Bestand",IF(CH50=1,CI50,IF(LEFT(Cockpit!$O$5,1)="B",BF50,MAX(BF50,H50))),ROUNDUP(BD50,0)))</f>
        <v>40</v>
      </c>
      <c r="BA50" s="50" t="n">
        <f aca="false">IF(BZ50=1,0,ROUNDUP(AZ50/BY50,0))</f>
        <v>1</v>
      </c>
      <c r="BB50" s="52" t="n">
        <f aca="false">IF(CQ50&gt;0,CQ50*MAX(1,AZ50/X50),IF(BZ50=1,IF(AZ50&lt;=0,0,CD50*MAX(1,IF(H50&gt;0,AZ50/H50,1))),IF(R50&gt;0,BA50/R50,0))/MAX(0.1,N(Parameter!$M$21)))</f>
        <v>0.0833333333333333</v>
      </c>
      <c r="BC50" s="50" t="n">
        <f aca="false">BB50*CB50</f>
        <v>20.4166666666667</v>
      </c>
      <c r="BD50" s="51" t="n">
        <f aca="false">IF(LEFT(Cockpit!$O$5,1)="A",H50,IF(CH50=1,(CK50+CI50)/2,IF(LEFT(Cockpit!$O$5,1)="B",(CK50+BF50)/2,MAX((CK50+BF50)/2,H50))))</f>
        <v>40</v>
      </c>
      <c r="BE50" s="50" t="n">
        <f aca="false">BD50*G50</f>
        <v>7117.2</v>
      </c>
      <c r="BF50" s="50" t="n">
        <f aca="false">ROUNDUP(CK50+MAX(CL50,2*(J50/IF(CG50&gt;0,CG50,MAX(0.1,N(Cockpit!$O$6)))-CK50)),0)</f>
        <v>60</v>
      </c>
      <c r="BG50" s="51" t="n">
        <f aca="false">IF(BC50&gt;0,J50/BC50,-1)</f>
        <v>6.12244897959184</v>
      </c>
      <c r="BH50" s="51" t="n">
        <f aca="false">IF(AND(OR(CF50="L1",CF50="L23",CF50="LIFT"),BC50&gt;0),SUMIFS($BC$7:$BC$1843,$CF$7:$CF$1843,CF50,$BG$7:$BG$1843,"&gt;"&amp;BG50)+SUMIFS($BC$7:$BC$1843,$CF$7:$CF$1843,CF50,$BG$7:$BG$1843,BG50,$BW$7:$BW$1843,"&lt;="&amp;BW50),"")</f>
        <v>3461.17353479853</v>
      </c>
      <c r="BI50" s="58" t="n">
        <f aca="false">IF(BH50="",0,MAX(0,MIN(1,(IF(CF50="L1",Parameter!$H$5,IF(CF50="L23",Parameter!$H$6+Parameter!$H$7,Parameter!$H$5+Parameter!$H$6+Parameter!$H$7))-(BH50-BC50))/BC50)))</f>
        <v>1</v>
      </c>
      <c r="BJ50" s="48" t="str">
        <f aca="false">IF(AI50&lt;=0,"",IF(CF50="Aussen","Aussenlager",IF(CF50="-","Nicht im Lift",IF(AO50&gt;=1,"Lift",IF(AO50&lt;=0,"Aussenlager","teilweise")))))</f>
        <v>Lift</v>
      </c>
      <c r="BK50" s="48" t="str">
        <f aca="false">IF(AS50&lt;=0,"",IF(CF50="Aussen","Aussenlager",IF(CF50="-","Nicht im Lift",IF(AY50&gt;=1,"Lift",IF(AY50&lt;=0,"Aussenlager","teilweise")))))</f>
        <v>Lift</v>
      </c>
      <c r="BL50" s="48" t="str">
        <f aca="false">IF(BC50&lt;=0,"",IF(CF50="Aussen","Aussenlager",IF(CF50="-","Nicht im Lift",IF(BI50&gt;=1,"Lift",IF(BI50&lt;=0,"Aussenlager","teilweise")))))</f>
        <v>Lift</v>
      </c>
      <c r="BM50" s="48" t="str">
        <f aca="false">IF(A50="","",IF(BV50=1,"Neu; ","")&amp;IF(AND(BV50=0,BQ50&lt;0),"negativer Bestand (Export "&amp;BQ50&amp;"); ","")&amp;IF(J50&lt;=0,"Kein Verbrauch; ","")&amp;IF(CQ50&gt;0,"Lift "&amp;W50&amp;" lt. Liftbericht (Fach "&amp;X50&amp;" Stk); ",IF(CA50=1,"Gebinde geschätzt ("&amp;T50&amp;"); ",IF(BZ50=1,"Lose – Tablare geschätzt; ","")))&amp;IF(H50&gt;AV50,"Überbestand "&amp;ROUND(H50-AV50,0)&amp;" Stk / CHF "&amp;ROUND((H50-AV50)*G50,0)&amp;"; ","")&amp;IF(AND(CH50=1,CI50&lt;CJ50),"MAX &lt; MB+LG; ","")&amp;IF(AND(CP50&gt;0,CO50*10&gt;CP50),"zu hoch für Tablar; ","")&amp;IF(AND(BV50=0,OR(CH50=1,AA50&lt;&gt;"",U50&lt;&gt;"",V50&lt;&gt;"",AB50&lt;&gt;"")),"manuell übersteuert; ","")&amp;IF(AND(BZ50=0,R50=0),"Gebinde unbekannt / Stellmass fehlt; ","")&amp;IF(AND(BZ50=0,N(V50)&lt;=0,N(Q50)&lt;=0),"Menge pro Gebinde fehlt (Ist = 1 Gebinde); ","")&amp;BU50)</f>
        <v/>
      </c>
      <c r="BN50" s="48"/>
      <c r="BO50" s="48"/>
      <c r="BP50" s="55"/>
      <c r="BQ50" s="50" t="n">
        <v>36</v>
      </c>
      <c r="BR50" s="50" t="n">
        <v>19</v>
      </c>
      <c r="BS50" s="49" t="n">
        <v>6622.65</v>
      </c>
      <c r="BT50" s="50" t="n">
        <v>125</v>
      </c>
      <c r="BU50" s="48"/>
      <c r="BV50" s="53" t="n">
        <v>0</v>
      </c>
      <c r="BW50" s="53" t="n">
        <v>50</v>
      </c>
      <c r="BX50" s="48" t="str">
        <f aca="false">IF(U50&lt;&gt;"",UPPER(TRIM(U50)),IF(CA50=1,UPPER(VLOOKUP(T50,Parameter!$I$27:$K$29,2,0)),IF(P50="","LOSE",P50)))</f>
        <v>S62</v>
      </c>
      <c r="BY50" s="50" t="n">
        <f aca="false">IF(BX50="LOSE",1,IF(N(V50)&gt;0,V50,IF(CA50=1,MAX(1,N(VLOOKUP(T50,Parameter!$I$27:$K$29,3,0)),H50,N(N50)),IF(N(Q50)&gt;0,Q50,MAX(1,H50)))))</f>
        <v>80</v>
      </c>
      <c r="BZ50" s="53" t="n">
        <f aca="false">IF(BX50="LOSE",1,0)</f>
        <v>0</v>
      </c>
      <c r="CA50" s="53" t="n">
        <f aca="false">IF(AND(U50="",OR(P50="",P50="LOSE"),T50&lt;&gt;"",N(S50)&lt;=0,ISNUMBER(MATCH(T50,Parameter!$I$27:$I$29,0))),1,0)</f>
        <v>0</v>
      </c>
      <c r="CB50" s="53" t="n">
        <f aca="false">IF(CQ50&gt;0,INDEX(Parameter!$H$5:$H$7,W50)/INDEX(Parameter!$E$5:$E$7,W50),IF(AND(BZ50=0,N(IFERROR(VLOOKUP(BX50,'Gebinde-Kategorie'!$A$5:$N$45,14,0),0))&gt;0),VLOOKUP(BX50,'Gebinde-Kategorie'!$A$5:$N$45,14,0)*10+Parameter!$M$23,Parameter!$M$24))</f>
        <v>245</v>
      </c>
      <c r="CC50" s="48" t="str">
        <f aca="false">IF(AND(Parameter!$B$19="Ja",E50&lt;&gt;"",ISNUMBER(MATCH(E50,Parameter!$I$35:$I$52,0))),VLOOKUP(E50,Parameter!$I$35:$J$52,2,0),IFERROR(VLOOKUP(D50,Parameter!$A$35:$C$64,2,0),"Nein"))</f>
        <v>2+3</v>
      </c>
      <c r="CD50" s="52" t="n">
        <f aca="false">IF(BZ50=0,0,IF(N(S50)&gt;0,S50,IFERROR(VLOOKUP(D50,Parameter!$A$35:$C$64,3,0)+0,0)))</f>
        <v>0</v>
      </c>
      <c r="CE50" s="48" t="n">
        <f aca="false">IF(AA50&lt;&gt;"",AA50,Z50)</f>
        <v>2</v>
      </c>
      <c r="CF50" s="48" t="str">
        <f aca="false">IF(OR(CE50=1,CE50=2,CE50=3),IF(Parameter!$E$27="Ja","LIFT",IF(CE50=1,"L1","L23")),IF(CE50="Aussen","Aussen","-"))</f>
        <v>LIFT</v>
      </c>
      <c r="CG50" s="59" t="n">
        <f aca="false">IF(N(AB50)&gt;0,AB50,0)</f>
        <v>0</v>
      </c>
      <c r="CH50" s="53" t="n">
        <f aca="false">IF(ISNUMBER(AE50),1,0)</f>
        <v>0</v>
      </c>
      <c r="CI50" s="50" t="n">
        <f aca="false">N(AE50)</f>
        <v>0</v>
      </c>
      <c r="CJ50" s="50" t="n">
        <f aca="false">N(M50)+N(N50)</f>
        <v>60</v>
      </c>
      <c r="CK50" s="50" t="n">
        <f aca="false">N(M50)</f>
        <v>20</v>
      </c>
      <c r="CL50" s="50" t="n">
        <f aca="false">N(N50)</f>
        <v>40</v>
      </c>
      <c r="CM50" s="50" t="n">
        <f aca="false">ROUNDUP(H50/BY50,0)</f>
        <v>1</v>
      </c>
      <c r="CN50" s="50" t="n">
        <f aca="false">ROUNDUP(CI50/BY50,0)</f>
        <v>0</v>
      </c>
      <c r="CO50" s="53" t="n">
        <f aca="false">IF(BZ50=1,0,IFERROR(VLOOKUP(BX50,'Gebinde-Kategorie'!$A$5:$N$45,5,0)+0,0))</f>
        <v>21</v>
      </c>
      <c r="CP50" s="53" t="n">
        <f aca="false">IFERROR(IF(OR(CE50=1,CE50=2,CE50=3),N(INDEX(Parameter!$I$5:$I$7,CE50)),0),0)</f>
        <v>0</v>
      </c>
      <c r="CQ50" s="52" t="n">
        <f aca="false">IF(AND(Parameter!$B$21="Ja",ISNUMBER(W50),N(X50)&gt;0),IFERROR(N(INDEX(Parameter!$L$5:$L$7,W50))*INDEX(Parameter!$E$5:$E$7,W50)*X50/SUMIFS($X$7:$X$1843,$W$7:$W$1843,W50),0),0)</f>
        <v>0</v>
      </c>
    </row>
    <row r="51" customFormat="false" ht="15" hidden="false" customHeight="false" outlineLevel="0" collapsed="false">
      <c r="A51" s="48" t="s">
        <v>303</v>
      </c>
      <c r="B51" s="48" t="s">
        <v>304</v>
      </c>
      <c r="C51" s="48" t="s">
        <v>173</v>
      </c>
      <c r="D51" s="48" t="s">
        <v>193</v>
      </c>
      <c r="E51" s="48" t="s">
        <v>194</v>
      </c>
      <c r="F51" s="48" t="s">
        <v>227</v>
      </c>
      <c r="G51" s="49" t="n">
        <v>16.16</v>
      </c>
      <c r="H51" s="50" t="n">
        <f aca="false">MAX(0,IF(AND(Parameter!$B$21="Ja",ISNUMBER(Y51)),Y51,IF(Parameter!$B$20="Jahresanfang 2025 + Export",BR51+BQ51,BQ51)))</f>
        <v>444</v>
      </c>
      <c r="I51" s="50" t="n">
        <f aca="false">H51*G51</f>
        <v>7175.04</v>
      </c>
      <c r="J51" s="50" t="n">
        <f aca="false">BT51*Parameter!$B$18</f>
        <v>714</v>
      </c>
      <c r="K51" s="51" t="n">
        <v>155.5</v>
      </c>
      <c r="L51" s="52" t="n">
        <v>4.59163987138264</v>
      </c>
      <c r="M51" s="50" t="n">
        <v>110</v>
      </c>
      <c r="N51" s="50" t="n">
        <v>330</v>
      </c>
      <c r="O51" s="53" t="n">
        <v>56</v>
      </c>
      <c r="P51" s="48" t="s">
        <v>242</v>
      </c>
      <c r="Q51" s="50" t="n">
        <v>174</v>
      </c>
      <c r="R51" s="53" t="n">
        <f aca="false">IF(BZ51=1,0,IFERROR(VLOOKUP(BX51,'Gebinde-Kategorie'!$A$5:$N$45,13,0)+0,0))</f>
        <v>26</v>
      </c>
      <c r="S51" s="54"/>
      <c r="T51" s="55"/>
      <c r="U51" s="55"/>
      <c r="V51" s="55"/>
      <c r="W51" s="48"/>
      <c r="X51" s="50"/>
      <c r="Y51" s="50"/>
      <c r="Z51" s="48" t="n">
        <f aca="false">IF(A51="","",IF(AND(Parameter!$B$21="Ja",ISNUMBER(W51)),W51,IF(CC51="2+3",IF(ISNUMBER(SEARCH("grosser Artikel",BU51)),2,IFERROR(VLOOKUP(BX51,Parameter!$F$35:$G$64,2,0),2)),IF(OR(CC51="Nein",CC51=""),"-",CC51))))</f>
        <v>3</v>
      </c>
      <c r="AA51" s="55"/>
      <c r="AB51" s="56"/>
      <c r="AC51" s="50" t="n">
        <f aca="false">AV51</f>
        <v>440</v>
      </c>
      <c r="AD51" s="50" t="n">
        <f aca="false">MAX(AV51,H51)</f>
        <v>444</v>
      </c>
      <c r="AE51" s="57"/>
      <c r="AF51" s="50" t="n">
        <f aca="false">IF(LEFT(Cockpit!$C$5,1)="A",H51,IF(Parameter!$E$30="MAX-Bestand",IF(CH51=1,CI51,IF(LEFT(Cockpit!$C$5,1)="B",AL51,MAX(AL51,H51))),ROUNDUP(AJ51,0)))</f>
        <v>444</v>
      </c>
      <c r="AG51" s="50" t="n">
        <f aca="false">IF(BZ51=1,0,ROUNDUP(AF51/BY51,0))</f>
        <v>3</v>
      </c>
      <c r="AH51" s="52" t="n">
        <f aca="false">IF(CQ51&gt;0,CQ51*MAX(1,AF51/X51),IF(BZ51=1,IF(AF51&lt;=0,0,CD51*MAX(1,IF(H51&gt;0,AF51/H51,1))),IF(R51&gt;0,AG51/R51,0))/MAX(0.1,N(Parameter!$M$21)))</f>
        <v>0.115384615384615</v>
      </c>
      <c r="AI51" s="50" t="n">
        <f aca="false">AH51*CB51</f>
        <v>28.2692307692308</v>
      </c>
      <c r="AJ51" s="51" t="n">
        <f aca="false">IF(LEFT(Cockpit!$C$5,1)="A",H51,IF(CH51=1,(CK51+CI51)/2,IF(LEFT(Cockpit!$C$5,1)="B",(CK51+AL51)/2,MAX((CK51+AL51)/2,H51))))</f>
        <v>444</v>
      </c>
      <c r="AK51" s="50" t="n">
        <f aca="false">AJ51*G51</f>
        <v>7175.04</v>
      </c>
      <c r="AL51" s="50" t="n">
        <f aca="false">ROUNDUP(CK51+MAX(CL51,2*(J51/IF(CG51&gt;0,CG51,MAX(0.1,N(Cockpit!$C$6)))-CK51)),0)</f>
        <v>440</v>
      </c>
      <c r="AM51" s="51" t="n">
        <f aca="false">IF(AI51&gt;0,J51/AI51,-1)</f>
        <v>25.2571428571429</v>
      </c>
      <c r="AN51" s="51" t="n">
        <f aca="false">IF(AND(OR(CF51="L1",CF51="L23",CF51="LIFT"),AI51&gt;0),SUMIFS($AI$7:$AI$1843,$CF$7:$CF$1843,CF51,$AM$7:$AM$1843,"&gt;"&amp;AM51)+SUMIFS($AI$7:$AI$1843,$CF$7:$CF$1843,CF51,$AM$7:$AM$1843,AM51,$BW$7:$BW$1843,"&lt;="&amp;BW51),"")</f>
        <v>1539.30586080586</v>
      </c>
      <c r="AO51" s="58" t="n">
        <f aca="false">IF(AN51="",0,MAX(0,MIN(1,(IF(CF51="L1",Parameter!$H$5,IF(CF51="L23",Parameter!$H$6+Parameter!$H$7,Parameter!$H$5+Parameter!$H$6+Parameter!$H$7))-(AN51-AI51))/AI51)))</f>
        <v>1</v>
      </c>
      <c r="AP51" s="50" t="n">
        <f aca="false">IF(LEFT(Cockpit!$I$5,1)="A",H51,IF(Parameter!$E$30="MAX-Bestand",IF(CH51=1,CI51,IF(LEFT(Cockpit!$I$5,1)="B",AV51,MAX(AV51,H51))),ROUNDUP(AT51,0)))</f>
        <v>444</v>
      </c>
      <c r="AQ51" s="50" t="n">
        <f aca="false">IF(BZ51=1,0,ROUNDUP(AP51/BY51,0))</f>
        <v>3</v>
      </c>
      <c r="AR51" s="52" t="n">
        <f aca="false">IF(CQ51&gt;0,CQ51*MAX(1,AP51/X51),IF(BZ51=1,IF(AP51&lt;=0,0,CD51*MAX(1,IF(H51&gt;0,AP51/H51,1))),IF(R51&gt;0,AQ51/R51,0))/MAX(0.1,N(Parameter!$M$21)))</f>
        <v>0.115384615384615</v>
      </c>
      <c r="AS51" s="50" t="n">
        <f aca="false">AR51*CB51</f>
        <v>28.2692307692308</v>
      </c>
      <c r="AT51" s="51" t="n">
        <f aca="false">IF(LEFT(Cockpit!$I$5,1)="A",H51,IF(CH51=1,(CK51+CI51)/2,IF(LEFT(Cockpit!$I$5,1)="B",(CK51+AV51)/2,MAX((CK51+AV51)/2,H51))))</f>
        <v>444</v>
      </c>
      <c r="AU51" s="50" t="n">
        <f aca="false">AT51*G51</f>
        <v>7175.04</v>
      </c>
      <c r="AV51" s="50" t="n">
        <f aca="false">ROUNDUP(CK51+MAX(CL51,2*(J51/IF(CG51&gt;0,CG51,MAX(0.1,N(Cockpit!$I$6)))-CK51)),0)</f>
        <v>440</v>
      </c>
      <c r="AW51" s="51" t="n">
        <f aca="false">IF(AS51&gt;0,J51/AS51,-1)</f>
        <v>25.2571428571429</v>
      </c>
      <c r="AX51" s="51" t="n">
        <f aca="false">IF(AND(OR(CF51="L1",CF51="L23",CF51="LIFT"),AS51&gt;0),SUMIFS($AS$7:$AS$1843,$CF$7:$CF$1843,CF51,$AW$7:$AW$1843,"&gt;"&amp;AW51)+SUMIFS($AS$7:$AS$1843,$CF$7:$CF$1843,CF51,$AW$7:$AW$1843,AW51,$BW$7:$BW$1843,"&lt;="&amp;BW51),"")</f>
        <v>2165.14468864469</v>
      </c>
      <c r="AY51" s="58" t="n">
        <f aca="false">IF(AX51="",0,MAX(0,MIN(1,(IF(CF51="L1",Parameter!$H$5,IF(CF51="L23",Parameter!$H$6+Parameter!$H$7,Parameter!$H$5+Parameter!$H$6+Parameter!$H$7))-(AX51-AS51))/AS51)))</f>
        <v>1</v>
      </c>
      <c r="AZ51" s="50" t="n">
        <f aca="false">IF(LEFT(Cockpit!$O$5,1)="A",H51,IF(Parameter!$E$30="MAX-Bestand",IF(CH51=1,CI51,IF(LEFT(Cockpit!$O$5,1)="B",BF51,MAX(BF51,H51))),ROUNDUP(BD51,0)))</f>
        <v>275</v>
      </c>
      <c r="BA51" s="50" t="n">
        <f aca="false">IF(BZ51=1,0,ROUNDUP(AZ51/BY51,0))</f>
        <v>2</v>
      </c>
      <c r="BB51" s="52" t="n">
        <f aca="false">IF(CQ51&gt;0,CQ51*MAX(1,AZ51/X51),IF(BZ51=1,IF(AZ51&lt;=0,0,CD51*MAX(1,IF(H51&gt;0,AZ51/H51,1))),IF(R51&gt;0,BA51/R51,0))/MAX(0.1,N(Parameter!$M$21)))</f>
        <v>0.0769230769230769</v>
      </c>
      <c r="BC51" s="50" t="n">
        <f aca="false">BB51*CB51</f>
        <v>18.8461538461538</v>
      </c>
      <c r="BD51" s="51" t="n">
        <f aca="false">IF(LEFT(Cockpit!$O$5,1)="A",H51,IF(CH51=1,(CK51+CI51)/2,IF(LEFT(Cockpit!$O$5,1)="B",(CK51+BF51)/2,MAX((CK51+BF51)/2,H51))))</f>
        <v>275</v>
      </c>
      <c r="BE51" s="50" t="n">
        <f aca="false">BD51*G51</f>
        <v>4444</v>
      </c>
      <c r="BF51" s="50" t="n">
        <f aca="false">ROUNDUP(CK51+MAX(CL51,2*(J51/IF(CG51&gt;0,CG51,MAX(0.1,N(Cockpit!$O$6)))-CK51)),0)</f>
        <v>440</v>
      </c>
      <c r="BG51" s="51" t="n">
        <f aca="false">IF(BC51&gt;0,J51/BC51,-1)</f>
        <v>37.8857142857143</v>
      </c>
      <c r="BH51" s="51" t="n">
        <f aca="false">IF(AND(OR(CF51="L1",CF51="L23",CF51="LIFT"),BC51&gt;0),SUMIFS($BC$7:$BC$1843,$CF$7:$CF$1843,CF51,$BG$7:$BG$1843,"&gt;"&amp;BG51)+SUMIFS($BC$7:$BC$1843,$CF$7:$CF$1843,CF51,$BG$7:$BG$1843,BG51,$BW$7:$BW$1843,"&lt;="&amp;BW51),"")</f>
        <v>1492.50045787546</v>
      </c>
      <c r="BI51" s="58" t="n">
        <f aca="false">IF(BH51="",0,MAX(0,MIN(1,(IF(CF51="L1",Parameter!$H$5,IF(CF51="L23",Parameter!$H$6+Parameter!$H$7,Parameter!$H$5+Parameter!$H$6+Parameter!$H$7))-(BH51-BC51))/BC51)))</f>
        <v>1</v>
      </c>
      <c r="BJ51" s="48" t="str">
        <f aca="false">IF(AI51&lt;=0,"",IF(CF51="Aussen","Aussenlager",IF(CF51="-","Nicht im Lift",IF(AO51&gt;=1,"Lift",IF(AO51&lt;=0,"Aussenlager","teilweise")))))</f>
        <v>Lift</v>
      </c>
      <c r="BK51" s="48" t="str">
        <f aca="false">IF(AS51&lt;=0,"",IF(CF51="Aussen","Aussenlager",IF(CF51="-","Nicht im Lift",IF(AY51&gt;=1,"Lift",IF(AY51&lt;=0,"Aussenlager","teilweise")))))</f>
        <v>Lift</v>
      </c>
      <c r="BL51" s="48" t="str">
        <f aca="false">IF(BC51&lt;=0,"",IF(CF51="Aussen","Aussenlager",IF(CF51="-","Nicht im Lift",IF(BI51&gt;=1,"Lift",IF(BI51&lt;=0,"Aussenlager","teilweise")))))</f>
        <v>Lift</v>
      </c>
      <c r="BM51" s="48" t="str">
        <f aca="false">IF(A51="","",IF(BV51=1,"Neu; ","")&amp;IF(AND(BV51=0,BQ51&lt;0),"negativer Bestand (Export "&amp;BQ51&amp;"); ","")&amp;IF(J51&lt;=0,"Kein Verbrauch; ","")&amp;IF(CQ51&gt;0,"Lift "&amp;W51&amp;" lt. Liftbericht (Fach "&amp;X51&amp;" Stk); ",IF(CA51=1,"Gebinde geschätzt ("&amp;T51&amp;"); ",IF(BZ51=1,"Lose – Tablare geschätzt; ","")))&amp;IF(H51&gt;AV51,"Überbestand "&amp;ROUND(H51-AV51,0)&amp;" Stk / CHF "&amp;ROUND((H51-AV51)*G51,0)&amp;"; ","")&amp;IF(AND(CH51=1,CI51&lt;CJ51),"MAX &lt; MB+LG; ","")&amp;IF(AND(CP51&gt;0,CO51*10&gt;CP51),"zu hoch für Tablar; ","")&amp;IF(AND(BV51=0,OR(CH51=1,AA51&lt;&gt;"",U51&lt;&gt;"",V51&lt;&gt;"",AB51&lt;&gt;"")),"manuell übersteuert; ","")&amp;IF(AND(BZ51=0,R51=0),"Gebinde unbekannt / Stellmass fehlt; ","")&amp;IF(AND(BZ51=0,N(V51)&lt;=0,N(Q51)&lt;=0),"Menge pro Gebinde fehlt (Ist = 1 Gebinde); ","")&amp;BU51)</f>
        <v>Überbestand 4 Stk / CHF 65; </v>
      </c>
      <c r="BN51" s="48"/>
      <c r="BO51" s="48"/>
      <c r="BP51" s="55"/>
      <c r="BQ51" s="50" t="n">
        <v>399</v>
      </c>
      <c r="BR51" s="50" t="n">
        <v>45</v>
      </c>
      <c r="BS51" s="49" t="n">
        <v>6570.69</v>
      </c>
      <c r="BT51" s="50" t="n">
        <v>714</v>
      </c>
      <c r="BU51" s="48"/>
      <c r="BV51" s="53" t="n">
        <v>0</v>
      </c>
      <c r="BW51" s="53" t="n">
        <v>51</v>
      </c>
      <c r="BX51" s="48" t="str">
        <f aca="false">IF(U51&lt;&gt;"",UPPER(TRIM(U51)),IF(CA51=1,UPPER(VLOOKUP(T51,Parameter!$I$27:$K$29,2,0)),IF(P51="","LOSE",P51)))</f>
        <v>S52</v>
      </c>
      <c r="BY51" s="50" t="n">
        <f aca="false">IF(BX51="LOSE",1,IF(N(V51)&gt;0,V51,IF(CA51=1,MAX(1,N(VLOOKUP(T51,Parameter!$I$27:$K$29,3,0)),H51,N(N51)),IF(N(Q51)&gt;0,Q51,MAX(1,H51)))))</f>
        <v>174</v>
      </c>
      <c r="BZ51" s="53" t="n">
        <f aca="false">IF(BX51="LOSE",1,0)</f>
        <v>0</v>
      </c>
      <c r="CA51" s="53" t="n">
        <f aca="false">IF(AND(U51="",OR(P51="",P51="LOSE"),T51&lt;&gt;"",N(S51)&lt;=0,ISNUMBER(MATCH(T51,Parameter!$I$27:$I$29,0))),1,0)</f>
        <v>0</v>
      </c>
      <c r="CB51" s="53" t="n">
        <f aca="false">IF(CQ51&gt;0,INDEX(Parameter!$H$5:$H$7,W51)/INDEX(Parameter!$E$5:$E$7,W51),IF(AND(BZ51=0,N(IFERROR(VLOOKUP(BX51,'Gebinde-Kategorie'!$A$5:$N$45,14,0),0))&gt;0),VLOOKUP(BX51,'Gebinde-Kategorie'!$A$5:$N$45,14,0)*10+Parameter!$M$23,Parameter!$M$24))</f>
        <v>245</v>
      </c>
      <c r="CC51" s="48" t="str">
        <f aca="false">IF(AND(Parameter!$B$19="Ja",E51&lt;&gt;"",ISNUMBER(MATCH(E51,Parameter!$I$35:$I$52,0))),VLOOKUP(E51,Parameter!$I$35:$J$52,2,0),IFERROR(VLOOKUP(D51,Parameter!$A$35:$C$64,2,0),"Nein"))</f>
        <v>2+3</v>
      </c>
      <c r="CD51" s="52" t="n">
        <f aca="false">IF(BZ51=0,0,IF(N(S51)&gt;0,S51,IFERROR(VLOOKUP(D51,Parameter!$A$35:$C$64,3,0)+0,0)))</f>
        <v>0</v>
      </c>
      <c r="CE51" s="48" t="n">
        <f aca="false">IF(AA51&lt;&gt;"",AA51,Z51)</f>
        <v>3</v>
      </c>
      <c r="CF51" s="48" t="str">
        <f aca="false">IF(OR(CE51=1,CE51=2,CE51=3),IF(Parameter!$E$27="Ja","LIFT",IF(CE51=1,"L1","L23")),IF(CE51="Aussen","Aussen","-"))</f>
        <v>LIFT</v>
      </c>
      <c r="CG51" s="59" t="n">
        <f aca="false">IF(N(AB51)&gt;0,AB51,0)</f>
        <v>0</v>
      </c>
      <c r="CH51" s="53" t="n">
        <f aca="false">IF(ISNUMBER(AE51),1,0)</f>
        <v>0</v>
      </c>
      <c r="CI51" s="50" t="n">
        <f aca="false">N(AE51)</f>
        <v>0</v>
      </c>
      <c r="CJ51" s="50" t="n">
        <f aca="false">N(M51)+N(N51)</f>
        <v>440</v>
      </c>
      <c r="CK51" s="50" t="n">
        <f aca="false">N(M51)</f>
        <v>110</v>
      </c>
      <c r="CL51" s="50" t="n">
        <f aca="false">N(N51)</f>
        <v>330</v>
      </c>
      <c r="CM51" s="50" t="n">
        <f aca="false">ROUNDUP(H51/BY51,0)</f>
        <v>3</v>
      </c>
      <c r="CN51" s="50" t="n">
        <f aca="false">ROUNDUP(CI51/BY51,0)</f>
        <v>0</v>
      </c>
      <c r="CO51" s="53" t="n">
        <f aca="false">IF(BZ51=1,0,IFERROR(VLOOKUP(BX51,'Gebinde-Kategorie'!$A$5:$N$45,5,0)+0,0))</f>
        <v>21</v>
      </c>
      <c r="CP51" s="53" t="n">
        <f aca="false">IFERROR(IF(OR(CE51=1,CE51=2,CE51=3),N(INDEX(Parameter!$I$5:$I$7,CE51)),0),0)</f>
        <v>0</v>
      </c>
      <c r="CQ51" s="52" t="n">
        <f aca="false">IF(AND(Parameter!$B$21="Ja",ISNUMBER(W51),N(X51)&gt;0),IFERROR(N(INDEX(Parameter!$L$5:$L$7,W51))*INDEX(Parameter!$E$5:$E$7,W51)*X51/SUMIFS($X$7:$X$1843,$W$7:$W$1843,W51),0),0)</f>
        <v>0</v>
      </c>
    </row>
    <row r="52" customFormat="false" ht="15" hidden="false" customHeight="false" outlineLevel="0" collapsed="false">
      <c r="A52" s="48" t="s">
        <v>305</v>
      </c>
      <c r="B52" s="48" t="s">
        <v>306</v>
      </c>
      <c r="C52" s="48" t="s">
        <v>173</v>
      </c>
      <c r="D52" s="48" t="s">
        <v>174</v>
      </c>
      <c r="E52" s="48" t="s">
        <v>175</v>
      </c>
      <c r="F52" s="48" t="s">
        <v>227</v>
      </c>
      <c r="G52" s="49" t="n">
        <v>197.24</v>
      </c>
      <c r="H52" s="50" t="n">
        <f aca="false">MAX(0,IF(AND(Parameter!$B$21="Ja",ISNUMBER(Y52)),Y52,IF(Parameter!$B$20="Jahresanfang 2025 + Export",BR52+BQ52,BQ52)))</f>
        <v>34</v>
      </c>
      <c r="I52" s="50" t="n">
        <f aca="false">H52*G52</f>
        <v>6706.16</v>
      </c>
      <c r="J52" s="50" t="n">
        <f aca="false">BT52*Parameter!$B$18</f>
        <v>48</v>
      </c>
      <c r="K52" s="51" t="n">
        <v>10.5</v>
      </c>
      <c r="L52" s="52" t="n">
        <v>4.57142857142857</v>
      </c>
      <c r="M52" s="50" t="n">
        <v>10</v>
      </c>
      <c r="N52" s="50" t="n">
        <v>12</v>
      </c>
      <c r="O52" s="53" t="n">
        <v>70</v>
      </c>
      <c r="P52" s="48" t="s">
        <v>177</v>
      </c>
      <c r="Q52" s="50"/>
      <c r="R52" s="53" t="n">
        <f aca="false">IF(BZ52=1,0,IFERROR(VLOOKUP(BX52,'Gebinde-Kategorie'!$A$5:$N$45,13,0)+0,0))</f>
        <v>0</v>
      </c>
      <c r="S52" s="54"/>
      <c r="T52" s="55"/>
      <c r="U52" s="55"/>
      <c r="V52" s="55"/>
      <c r="W52" s="48" t="n">
        <v>1</v>
      </c>
      <c r="X52" s="50" t="n">
        <v>36</v>
      </c>
      <c r="Y52" s="50" t="n">
        <v>34</v>
      </c>
      <c r="Z52" s="48" t="n">
        <f aca="false">IF(A52="","",IF(AND(Parameter!$B$21="Ja",ISNUMBER(W52)),W52,IF(CC52="2+3",IF(ISNUMBER(SEARCH("grosser Artikel",BU52)),2,IFERROR(VLOOKUP(BX52,Parameter!$F$35:$G$64,2,0),2)),IF(OR(CC52="Nein",CC52=""),"-",CC52))))</f>
        <v>1</v>
      </c>
      <c r="AA52" s="55"/>
      <c r="AB52" s="56"/>
      <c r="AC52" s="50" t="n">
        <f aca="false">AV52</f>
        <v>22</v>
      </c>
      <c r="AD52" s="50" t="n">
        <f aca="false">MAX(AV52,H52)</f>
        <v>34</v>
      </c>
      <c r="AE52" s="57"/>
      <c r="AF52" s="50" t="n">
        <f aca="false">IF(LEFT(Cockpit!$C$5,1)="A",H52,IF(Parameter!$E$30="MAX-Bestand",IF(CH52=1,CI52,IF(LEFT(Cockpit!$C$5,1)="B",AL52,MAX(AL52,H52))),ROUNDUP(AJ52,0)))</f>
        <v>34</v>
      </c>
      <c r="AG52" s="50" t="n">
        <f aca="false">IF(BZ52=1,0,ROUNDUP(AF52/BY52,0))</f>
        <v>0</v>
      </c>
      <c r="AH52" s="52" t="n">
        <f aca="false">IF(CQ52&gt;0,CQ52*MAX(1,AF52/X52),IF(BZ52=1,IF(AF52&lt;=0,0,CD52*MAX(1,IF(H52&gt;0,AF52/H52,1))),IF(R52&gt;0,AG52/R52,0))/MAX(0.1,N(Parameter!$M$21)))</f>
        <v>2.88135593220339</v>
      </c>
      <c r="AI52" s="50" t="n">
        <f aca="false">AH52*CB52</f>
        <v>685.762711864407</v>
      </c>
      <c r="AJ52" s="51" t="n">
        <f aca="false">IF(LEFT(Cockpit!$C$5,1)="A",H52,IF(CH52=1,(CK52+CI52)/2,IF(LEFT(Cockpit!$C$5,1)="B",(CK52+AL52)/2,MAX((CK52+AL52)/2,H52))))</f>
        <v>34</v>
      </c>
      <c r="AK52" s="50" t="n">
        <f aca="false">AJ52*G52</f>
        <v>6706.16</v>
      </c>
      <c r="AL52" s="50" t="n">
        <f aca="false">ROUNDUP(CK52+MAX(CL52,2*(J52/IF(CG52&gt;0,CG52,MAX(0.1,N(Cockpit!$C$6)))-CK52)),0)</f>
        <v>22</v>
      </c>
      <c r="AM52" s="51" t="n">
        <f aca="false">IF(AI52&gt;0,J52/AI52,-1)</f>
        <v>0.0699950568462679</v>
      </c>
      <c r="AN52" s="51" t="n">
        <f aca="false">IF(AND(OR(CF52="L1",CF52="L23",CF52="LIFT"),AI52&gt;0),SUMIFS($AI$7:$AI$1843,$CF$7:$CF$1843,CF52,$AM$7:$AM$1843,"&gt;"&amp;AM52)+SUMIFS($AI$7:$AI$1843,$CF$7:$CF$1843,CF52,$AM$7:$AM$1843,AM52,$BW$7:$BW$1843,"&lt;="&amp;BW52),"")</f>
        <v>18160.5306569607</v>
      </c>
      <c r="AO52" s="58" t="n">
        <f aca="false">IF(AN52="",0,MAX(0,MIN(1,(IF(CF52="L1",Parameter!$H$5,IF(CF52="L23",Parameter!$H$6+Parameter!$H$7,Parameter!$H$5+Parameter!$H$6+Parameter!$H$7))-(AN52-AI52))/AI52)))</f>
        <v>1</v>
      </c>
      <c r="AP52" s="50" t="n">
        <f aca="false">IF(LEFT(Cockpit!$I$5,1)="A",H52,IF(Parameter!$E$30="MAX-Bestand",IF(CH52=1,CI52,IF(LEFT(Cockpit!$I$5,1)="B",AV52,MAX(AV52,H52))),ROUNDUP(AT52,0)))</f>
        <v>34</v>
      </c>
      <c r="AQ52" s="50" t="n">
        <f aca="false">IF(BZ52=1,0,ROUNDUP(AP52/BY52,0))</f>
        <v>0</v>
      </c>
      <c r="AR52" s="52" t="n">
        <f aca="false">IF(CQ52&gt;0,CQ52*MAX(1,AP52/X52),IF(BZ52=1,IF(AP52&lt;=0,0,CD52*MAX(1,IF(H52&gt;0,AP52/H52,1))),IF(R52&gt;0,AQ52/R52,0))/MAX(0.1,N(Parameter!$M$21)))</f>
        <v>2.88135593220339</v>
      </c>
      <c r="AS52" s="50" t="n">
        <f aca="false">AR52*CB52</f>
        <v>685.762711864407</v>
      </c>
      <c r="AT52" s="51" t="n">
        <f aca="false">IF(LEFT(Cockpit!$I$5,1)="A",H52,IF(CH52=1,(CK52+CI52)/2,IF(LEFT(Cockpit!$I$5,1)="B",(CK52+AV52)/2,MAX((CK52+AV52)/2,H52))))</f>
        <v>34</v>
      </c>
      <c r="AU52" s="50" t="n">
        <f aca="false">AT52*G52</f>
        <v>6706.16</v>
      </c>
      <c r="AV52" s="50" t="n">
        <f aca="false">ROUNDUP(CK52+MAX(CL52,2*(J52/IF(CG52&gt;0,CG52,MAX(0.1,N(Cockpit!$I$6)))-CK52)),0)</f>
        <v>22</v>
      </c>
      <c r="AW52" s="51" t="n">
        <f aca="false">IF(AS52&gt;0,J52/AS52,-1)</f>
        <v>0.0699950568462679</v>
      </c>
      <c r="AX52" s="51" t="n">
        <f aca="false">IF(AND(OR(CF52="L1",CF52="L23",CF52="LIFT"),AS52&gt;0),SUMIFS($AS$7:$AS$1843,$CF$7:$CF$1843,CF52,$AW$7:$AW$1843,"&gt;"&amp;AW52)+SUMIFS($AS$7:$AS$1843,$CF$7:$CF$1843,CF52,$AW$7:$AW$1843,AW52,$BW$7:$BW$1843,"&lt;="&amp;BW52),"")</f>
        <v>23219.9292983382</v>
      </c>
      <c r="AY52" s="58" t="n">
        <f aca="false">IF(AX52="",0,MAX(0,MIN(1,(IF(CF52="L1",Parameter!$H$5,IF(CF52="L23",Parameter!$H$6+Parameter!$H$7,Parameter!$H$5+Parameter!$H$6+Parameter!$H$7))-(AX52-AS52))/AS52)))</f>
        <v>1</v>
      </c>
      <c r="AZ52" s="50" t="n">
        <f aca="false">IF(LEFT(Cockpit!$O$5,1)="A",H52,IF(Parameter!$E$30="MAX-Bestand",IF(CH52=1,CI52,IF(LEFT(Cockpit!$O$5,1)="B",BF52,MAX(BF52,H52))),ROUNDUP(BD52,0)))</f>
        <v>16</v>
      </c>
      <c r="BA52" s="50" t="n">
        <f aca="false">IF(BZ52=1,0,ROUNDUP(AZ52/BY52,0))</f>
        <v>0</v>
      </c>
      <c r="BB52" s="52" t="n">
        <f aca="false">IF(CQ52&gt;0,CQ52*MAX(1,AZ52/X52),IF(BZ52=1,IF(AZ52&lt;=0,0,CD52*MAX(1,IF(H52&gt;0,AZ52/H52,1))),IF(R52&gt;0,BA52/R52,0))/MAX(0.1,N(Parameter!$M$21)))</f>
        <v>2.88135593220339</v>
      </c>
      <c r="BC52" s="50" t="n">
        <f aca="false">BB52*CB52</f>
        <v>685.762711864407</v>
      </c>
      <c r="BD52" s="51" t="n">
        <f aca="false">IF(LEFT(Cockpit!$O$5,1)="A",H52,IF(CH52=1,(CK52+CI52)/2,IF(LEFT(Cockpit!$O$5,1)="B",(CK52+BF52)/2,MAX((CK52+BF52)/2,H52))))</f>
        <v>16</v>
      </c>
      <c r="BE52" s="50" t="n">
        <f aca="false">BD52*G52</f>
        <v>3155.84</v>
      </c>
      <c r="BF52" s="50" t="n">
        <f aca="false">ROUNDUP(CK52+MAX(CL52,2*(J52/IF(CG52&gt;0,CG52,MAX(0.1,N(Cockpit!$O$6)))-CK52)),0)</f>
        <v>22</v>
      </c>
      <c r="BG52" s="51" t="n">
        <f aca="false">IF(BC52&gt;0,J52/BC52,-1)</f>
        <v>0.0699950568462679</v>
      </c>
      <c r="BH52" s="51" t="n">
        <f aca="false">IF(AND(OR(CF52="L1",CF52="L23",CF52="LIFT"),BC52&gt;0),SUMIFS($BC$7:$BC$1843,$CF$7:$CF$1843,CF52,$BG$7:$BG$1843,"&gt;"&amp;BG52)+SUMIFS($BC$7:$BC$1843,$CF$7:$CF$1843,CF52,$BG$7:$BG$1843,BG52,$BW$7:$BW$1843,"&lt;="&amp;BW52),"")</f>
        <v>19575.9021672772</v>
      </c>
      <c r="BI52" s="58" t="n">
        <f aca="false">IF(BH52="",0,MAX(0,MIN(1,(IF(CF52="L1",Parameter!$H$5,IF(CF52="L23",Parameter!$H$6+Parameter!$H$7,Parameter!$H$5+Parameter!$H$6+Parameter!$H$7))-(BH52-BC52))/BC52)))</f>
        <v>1</v>
      </c>
      <c r="BJ52" s="48" t="str">
        <f aca="false">IF(AI52&lt;=0,"",IF(CF52="Aussen","Aussenlager",IF(CF52="-","Nicht im Lift",IF(AO52&gt;=1,"Lift",IF(AO52&lt;=0,"Aussenlager","teilweise")))))</f>
        <v>Lift</v>
      </c>
      <c r="BK52" s="48" t="str">
        <f aca="false">IF(AS52&lt;=0,"",IF(CF52="Aussen","Aussenlager",IF(CF52="-","Nicht im Lift",IF(AY52&gt;=1,"Lift",IF(AY52&lt;=0,"Aussenlager","teilweise")))))</f>
        <v>Lift</v>
      </c>
      <c r="BL52" s="48" t="str">
        <f aca="false">IF(BC52&lt;=0,"",IF(CF52="Aussen","Aussenlager",IF(CF52="-","Nicht im Lift",IF(BI52&gt;=1,"Lift",IF(BI52&lt;=0,"Aussenlager","teilweise")))))</f>
        <v>Lift</v>
      </c>
      <c r="BM52" s="48" t="str">
        <f aca="false">IF(A52="","",IF(BV52=1,"Neu; ","")&amp;IF(AND(BV52=0,BQ52&lt;0),"negativer Bestand (Export "&amp;BQ52&amp;"); ","")&amp;IF(J52&lt;=0,"Kein Verbrauch; ","")&amp;IF(CQ52&gt;0,"Lift "&amp;W52&amp;" lt. Liftbericht (Fach "&amp;X52&amp;" Stk); ",IF(CA52=1,"Gebinde geschätzt ("&amp;T52&amp;"); ",IF(BZ52=1,"Lose – Tablare geschätzt; ","")))&amp;IF(H52&gt;AV52,"Überbestand "&amp;ROUND(H52-AV52,0)&amp;" Stk / CHF "&amp;ROUND((H52-AV52)*G52,0)&amp;"; ","")&amp;IF(AND(CH52=1,CI52&lt;CJ52),"MAX &lt; MB+LG; ","")&amp;IF(AND(CP52&gt;0,CO52*10&gt;CP52),"zu hoch für Tablar; ","")&amp;IF(AND(BV52=0,OR(CH52=1,AA52&lt;&gt;"",U52&lt;&gt;"",V52&lt;&gt;"",AB52&lt;&gt;"")),"manuell übersteuert; ","")&amp;IF(AND(BZ52=0,R52=0),"Gebinde unbekannt / Stellmass fehlt; ","")&amp;IF(AND(BZ52=0,N(V52)&lt;=0,N(Q52)&lt;=0),"Menge pro Gebinde fehlt (Ist = 1 Gebinde); ","")&amp;BU52)</f>
        <v>Lift 1 lt. Liftbericht (Fach 36 Stk); Überbestand 12 Stk / CHF 2367; </v>
      </c>
      <c r="BN52" s="48" t="s">
        <v>307</v>
      </c>
      <c r="BO52" s="48" t="s">
        <v>308</v>
      </c>
      <c r="BP52" s="55"/>
      <c r="BQ52" s="50" t="n">
        <v>29</v>
      </c>
      <c r="BR52" s="50" t="n">
        <v>5</v>
      </c>
      <c r="BS52" s="49" t="n">
        <v>5927.21</v>
      </c>
      <c r="BT52" s="50" t="n">
        <v>48</v>
      </c>
      <c r="BU52" s="48"/>
      <c r="BV52" s="53" t="n">
        <v>0</v>
      </c>
      <c r="BW52" s="53" t="n">
        <v>52</v>
      </c>
      <c r="BX52" s="48" t="str">
        <f aca="false">IF(U52&lt;&gt;"",UPPER(TRIM(U52)),IF(CA52=1,UPPER(VLOOKUP(T52,Parameter!$I$27:$K$29,2,0)),IF(P52="","LOSE",P52)))</f>
        <v>LOSE</v>
      </c>
      <c r="BY52" s="50" t="n">
        <f aca="false">IF(BX52="LOSE",1,IF(N(V52)&gt;0,V52,IF(CA52=1,MAX(1,N(VLOOKUP(T52,Parameter!$I$27:$K$29,3,0)),H52,N(N52)),IF(N(Q52)&gt;0,Q52,MAX(1,H52)))))</f>
        <v>1</v>
      </c>
      <c r="BZ52" s="53" t="n">
        <f aca="false">IF(BX52="LOSE",1,0)</f>
        <v>1</v>
      </c>
      <c r="CA52" s="53" t="n">
        <f aca="false">IF(AND(U52="",OR(P52="",P52="LOSE"),T52&lt;&gt;"",N(S52)&lt;=0,ISNUMBER(MATCH(T52,Parameter!$I$27:$I$29,0))),1,0)</f>
        <v>0</v>
      </c>
      <c r="CB52" s="53" t="n">
        <f aca="false">IF(CQ52&gt;0,INDEX(Parameter!$H$5:$H$7,W52)/INDEX(Parameter!$E$5:$E$7,W52),IF(AND(BZ52=0,N(IFERROR(VLOOKUP(BX52,'Gebinde-Kategorie'!$A$5:$N$45,14,0),0))&gt;0),VLOOKUP(BX52,'Gebinde-Kategorie'!$A$5:$N$45,14,0)*10+Parameter!$M$23,Parameter!$M$24))</f>
        <v>238</v>
      </c>
      <c r="CC52" s="48" t="n">
        <f aca="false">IF(AND(Parameter!$B$19="Ja",E52&lt;&gt;"",ISNUMBER(MATCH(E52,Parameter!$I$35:$I$52,0))),VLOOKUP(E52,Parameter!$I$35:$J$52,2,0),IFERROR(VLOOKUP(D52,Parameter!$A$35:$C$64,2,0),"Nein"))</f>
        <v>1</v>
      </c>
      <c r="CD52" s="52" t="n">
        <f aca="false">IF(BZ52=0,0,IF(N(S52)&gt;0,S52,IFERROR(VLOOKUP(D52,Parameter!$A$35:$C$64,3,0)+0,0)))</f>
        <v>1</v>
      </c>
      <c r="CE52" s="48" t="n">
        <f aca="false">IF(AA52&lt;&gt;"",AA52,Z52)</f>
        <v>1</v>
      </c>
      <c r="CF52" s="48" t="str">
        <f aca="false">IF(OR(CE52=1,CE52=2,CE52=3),IF(Parameter!$E$27="Ja","LIFT",IF(CE52=1,"L1","L23")),IF(CE52="Aussen","Aussen","-"))</f>
        <v>LIFT</v>
      </c>
      <c r="CG52" s="59" t="n">
        <f aca="false">IF(N(AB52)&gt;0,AB52,0)</f>
        <v>0</v>
      </c>
      <c r="CH52" s="53" t="n">
        <f aca="false">IF(ISNUMBER(AE52),1,0)</f>
        <v>0</v>
      </c>
      <c r="CI52" s="50" t="n">
        <f aca="false">N(AE52)</f>
        <v>0</v>
      </c>
      <c r="CJ52" s="50" t="n">
        <f aca="false">N(M52)+N(N52)</f>
        <v>22</v>
      </c>
      <c r="CK52" s="50" t="n">
        <f aca="false">N(M52)</f>
        <v>10</v>
      </c>
      <c r="CL52" s="50" t="n">
        <f aca="false">N(N52)</f>
        <v>12</v>
      </c>
      <c r="CM52" s="50" t="n">
        <f aca="false">ROUNDUP(H52/BY52,0)</f>
        <v>34</v>
      </c>
      <c r="CN52" s="50" t="n">
        <f aca="false">ROUNDUP(CI52/BY52,0)</f>
        <v>0</v>
      </c>
      <c r="CO52" s="53" t="n">
        <f aca="false">IF(BZ52=1,0,IFERROR(VLOOKUP(BX52,'Gebinde-Kategorie'!$A$5:$N$45,5,0)+0,0))</f>
        <v>0</v>
      </c>
      <c r="CP52" s="53" t="n">
        <f aca="false">IFERROR(IF(OR(CE52=1,CE52=2,CE52=3),N(INDEX(Parameter!$I$5:$I$7,CE52)),0),0)</f>
        <v>0</v>
      </c>
      <c r="CQ52" s="52" t="n">
        <f aca="false">IF(AND(Parameter!$B$21="Ja",ISNUMBER(W52),N(X52)&gt;0),IFERROR(N(INDEX(Parameter!$L$5:$L$7,W52))*INDEX(Parameter!$E$5:$E$7,W52)*X52/SUMIFS($X$7:$X$1843,$W$7:$W$1843,W52),0),0)</f>
        <v>2.88135593220339</v>
      </c>
    </row>
    <row r="53" customFormat="false" ht="15" hidden="false" customHeight="false" outlineLevel="0" collapsed="false">
      <c r="A53" s="48" t="s">
        <v>309</v>
      </c>
      <c r="B53" s="48" t="s">
        <v>310</v>
      </c>
      <c r="C53" s="48" t="s">
        <v>173</v>
      </c>
      <c r="D53" s="48" t="s">
        <v>193</v>
      </c>
      <c r="E53" s="48" t="s">
        <v>194</v>
      </c>
      <c r="F53" s="48" t="s">
        <v>227</v>
      </c>
      <c r="G53" s="49" t="n">
        <v>113.85</v>
      </c>
      <c r="H53" s="50" t="n">
        <f aca="false">MAX(0,IF(AND(Parameter!$B$21="Ja",ISNUMBER(Y53)),Y53,IF(Parameter!$B$20="Jahresanfang 2025 + Export",BR53+BQ53,BQ53)))</f>
        <v>67</v>
      </c>
      <c r="I53" s="50" t="n">
        <f aca="false">H53*G53</f>
        <v>7627.95</v>
      </c>
      <c r="J53" s="50" t="n">
        <f aca="false">BT53*Parameter!$B$18</f>
        <v>82</v>
      </c>
      <c r="K53" s="51" t="n">
        <v>30.5</v>
      </c>
      <c r="L53" s="52" t="n">
        <v>2.68852459016393</v>
      </c>
      <c r="M53" s="50" t="n">
        <v>30</v>
      </c>
      <c r="N53" s="50" t="n">
        <v>40</v>
      </c>
      <c r="O53" s="53" t="n">
        <v>126</v>
      </c>
      <c r="P53" s="48" t="s">
        <v>311</v>
      </c>
      <c r="Q53" s="50" t="n">
        <v>91</v>
      </c>
      <c r="R53" s="53" t="n">
        <f aca="false">IF(BZ53=1,0,IFERROR(VLOOKUP(BX53,'Gebinde-Kategorie'!$A$5:$N$45,13,0)+0,0))</f>
        <v>26</v>
      </c>
      <c r="S53" s="54"/>
      <c r="T53" s="55"/>
      <c r="U53" s="55"/>
      <c r="V53" s="55"/>
      <c r="W53" s="48"/>
      <c r="X53" s="50"/>
      <c r="Y53" s="50"/>
      <c r="Z53" s="48" t="n">
        <f aca="false">IF(A53="","",IF(AND(Parameter!$B$21="Ja",ISNUMBER(W53)),W53,IF(CC53="2+3",IF(ISNUMBER(SEARCH("grosser Artikel",BU53)),2,IFERROR(VLOOKUP(BX53,Parameter!$F$35:$G$64,2,0),2)),IF(OR(CC53="Nein",CC53=""),"-",CC53))))</f>
        <v>3</v>
      </c>
      <c r="AA53" s="55"/>
      <c r="AB53" s="56"/>
      <c r="AC53" s="50" t="n">
        <f aca="false">AV53</f>
        <v>70</v>
      </c>
      <c r="AD53" s="50" t="n">
        <f aca="false">MAX(AV53,H53)</f>
        <v>70</v>
      </c>
      <c r="AE53" s="57"/>
      <c r="AF53" s="50" t="n">
        <f aca="false">IF(LEFT(Cockpit!$C$5,1)="A",H53,IF(Parameter!$E$30="MAX-Bestand",IF(CH53=1,CI53,IF(LEFT(Cockpit!$C$5,1)="B",AL53,MAX(AL53,H53))),ROUNDUP(AJ53,0)))</f>
        <v>67</v>
      </c>
      <c r="AG53" s="50" t="n">
        <f aca="false">IF(BZ53=1,0,ROUNDUP(AF53/BY53,0))</f>
        <v>1</v>
      </c>
      <c r="AH53" s="52" t="n">
        <f aca="false">IF(CQ53&gt;0,CQ53*MAX(1,AF53/X53),IF(BZ53=1,IF(AF53&lt;=0,0,CD53*MAX(1,IF(H53&gt;0,AF53/H53,1))),IF(R53&gt;0,AG53/R53,0))/MAX(0.1,N(Parameter!$M$21)))</f>
        <v>0.0384615384615385</v>
      </c>
      <c r="AI53" s="50" t="n">
        <f aca="false">AH53*CB53</f>
        <v>5.96153846153846</v>
      </c>
      <c r="AJ53" s="51" t="n">
        <f aca="false">IF(LEFT(Cockpit!$C$5,1)="A",H53,IF(CH53=1,(CK53+CI53)/2,IF(LEFT(Cockpit!$C$5,1)="B",(CK53+AL53)/2,MAX((CK53+AL53)/2,H53))))</f>
        <v>67</v>
      </c>
      <c r="AK53" s="50" t="n">
        <f aca="false">AJ53*G53</f>
        <v>7627.95</v>
      </c>
      <c r="AL53" s="50" t="n">
        <f aca="false">ROUNDUP(CK53+MAX(CL53,2*(J53/IF(CG53&gt;0,CG53,MAX(0.1,N(Cockpit!$C$6)))-CK53)),0)</f>
        <v>70</v>
      </c>
      <c r="AM53" s="51" t="n">
        <f aca="false">IF(AI53&gt;0,J53/AI53,-1)</f>
        <v>13.7548387096774</v>
      </c>
      <c r="AN53" s="51" t="n">
        <f aca="false">IF(AND(OR(CF53="L1",CF53="L23",CF53="LIFT"),AI53&gt;0),SUMIFS($AI$7:$AI$1843,$CF$7:$CF$1843,CF53,$AM$7:$AM$1843,"&gt;"&amp;AM53)+SUMIFS($AI$7:$AI$1843,$CF$7:$CF$1843,CF53,$AM$7:$AM$1843,AM53,$BW$7:$BW$1843,"&lt;="&amp;BW53),"")</f>
        <v>2225.6510989011</v>
      </c>
      <c r="AO53" s="58" t="n">
        <f aca="false">IF(AN53="",0,MAX(0,MIN(1,(IF(CF53="L1",Parameter!$H$5,IF(CF53="L23",Parameter!$H$6+Parameter!$H$7,Parameter!$H$5+Parameter!$H$6+Parameter!$H$7))-(AN53-AI53))/AI53)))</f>
        <v>1</v>
      </c>
      <c r="AP53" s="50" t="n">
        <f aca="false">IF(LEFT(Cockpit!$I$5,1)="A",H53,IF(Parameter!$E$30="MAX-Bestand",IF(CH53=1,CI53,IF(LEFT(Cockpit!$I$5,1)="B",AV53,MAX(AV53,H53))),ROUNDUP(AT53,0)))</f>
        <v>67</v>
      </c>
      <c r="AQ53" s="50" t="n">
        <f aca="false">IF(BZ53=1,0,ROUNDUP(AP53/BY53,0))</f>
        <v>1</v>
      </c>
      <c r="AR53" s="52" t="n">
        <f aca="false">IF(CQ53&gt;0,CQ53*MAX(1,AP53/X53),IF(BZ53=1,IF(AP53&lt;=0,0,CD53*MAX(1,IF(H53&gt;0,AP53/H53,1))),IF(R53&gt;0,AQ53/R53,0))/MAX(0.1,N(Parameter!$M$21)))</f>
        <v>0.0384615384615385</v>
      </c>
      <c r="AS53" s="50" t="n">
        <f aca="false">AR53*CB53</f>
        <v>5.96153846153846</v>
      </c>
      <c r="AT53" s="51" t="n">
        <f aca="false">IF(LEFT(Cockpit!$I$5,1)="A",H53,IF(CH53=1,(CK53+CI53)/2,IF(LEFT(Cockpit!$I$5,1)="B",(CK53+AV53)/2,MAX((CK53+AV53)/2,H53))))</f>
        <v>67</v>
      </c>
      <c r="AU53" s="50" t="n">
        <f aca="false">AT53*G53</f>
        <v>7627.95</v>
      </c>
      <c r="AV53" s="50" t="n">
        <f aca="false">ROUNDUP(CK53+MAX(CL53,2*(J53/IF(CG53&gt;0,CG53,MAX(0.1,N(Cockpit!$I$6)))-CK53)),0)</f>
        <v>70</v>
      </c>
      <c r="AW53" s="51" t="n">
        <f aca="false">IF(AS53&gt;0,J53/AS53,-1)</f>
        <v>13.7548387096774</v>
      </c>
      <c r="AX53" s="51" t="n">
        <f aca="false">IF(AND(OR(CF53="L1",CF53="L23",CF53="LIFT"),AS53&gt;0),SUMIFS($AS$7:$AS$1843,$CF$7:$CF$1843,CF53,$AW$7:$AW$1843,"&gt;"&amp;AW53)+SUMIFS($AS$7:$AS$1843,$CF$7:$CF$1843,CF53,$AW$7:$AW$1843,AW53,$BW$7:$BW$1843,"&lt;="&amp;BW53),"")</f>
        <v>2844.83791208791</v>
      </c>
      <c r="AY53" s="58" t="n">
        <f aca="false">IF(AX53="",0,MAX(0,MIN(1,(IF(CF53="L1",Parameter!$H$5,IF(CF53="L23",Parameter!$H$6+Parameter!$H$7,Parameter!$H$5+Parameter!$H$6+Parameter!$H$7))-(AX53-AS53))/AS53)))</f>
        <v>1</v>
      </c>
      <c r="AZ53" s="50" t="n">
        <f aca="false">IF(LEFT(Cockpit!$O$5,1)="A",H53,IF(Parameter!$E$30="MAX-Bestand",IF(CH53=1,CI53,IF(LEFT(Cockpit!$O$5,1)="B",BF53,MAX(BF53,H53))),ROUNDUP(BD53,0)))</f>
        <v>50</v>
      </c>
      <c r="BA53" s="50" t="n">
        <f aca="false">IF(BZ53=1,0,ROUNDUP(AZ53/BY53,0))</f>
        <v>1</v>
      </c>
      <c r="BB53" s="52" t="n">
        <f aca="false">IF(CQ53&gt;0,CQ53*MAX(1,AZ53/X53),IF(BZ53=1,IF(AZ53&lt;=0,0,CD53*MAX(1,IF(H53&gt;0,AZ53/H53,1))),IF(R53&gt;0,BA53/R53,0))/MAX(0.1,N(Parameter!$M$21)))</f>
        <v>0.0384615384615385</v>
      </c>
      <c r="BC53" s="50" t="n">
        <f aca="false">BB53*CB53</f>
        <v>5.96153846153846</v>
      </c>
      <c r="BD53" s="51" t="n">
        <f aca="false">IF(LEFT(Cockpit!$O$5,1)="A",H53,IF(CH53=1,(CK53+CI53)/2,IF(LEFT(Cockpit!$O$5,1)="B",(CK53+BF53)/2,MAX((CK53+BF53)/2,H53))))</f>
        <v>50</v>
      </c>
      <c r="BE53" s="50" t="n">
        <f aca="false">BD53*G53</f>
        <v>5692.5</v>
      </c>
      <c r="BF53" s="50" t="n">
        <f aca="false">ROUNDUP(CK53+MAX(CL53,2*(J53/IF(CG53&gt;0,CG53,MAX(0.1,N(Cockpit!$O$6)))-CK53)),0)</f>
        <v>70</v>
      </c>
      <c r="BG53" s="51" t="n">
        <f aca="false">IF(BC53&gt;0,J53/BC53,-1)</f>
        <v>13.7548387096774</v>
      </c>
      <c r="BH53" s="51" t="n">
        <f aca="false">IF(AND(OR(CF53="L1",CF53="L23",CF53="LIFT"),BC53&gt;0),SUMIFS($BC$7:$BC$1843,$CF$7:$CF$1843,CF53,$BG$7:$BG$1843,"&gt;"&amp;BG53)+SUMIFS($BC$7:$BC$1843,$CF$7:$CF$1843,CF53,$BG$7:$BG$1843,BG53,$BW$7:$BW$1843,"&lt;="&amp;BW53),"")</f>
        <v>2494.67857142857</v>
      </c>
      <c r="BI53" s="58" t="n">
        <f aca="false">IF(BH53="",0,MAX(0,MIN(1,(IF(CF53="L1",Parameter!$H$5,IF(CF53="L23",Parameter!$H$6+Parameter!$H$7,Parameter!$H$5+Parameter!$H$6+Parameter!$H$7))-(BH53-BC53))/BC53)))</f>
        <v>1</v>
      </c>
      <c r="BJ53" s="48" t="str">
        <f aca="false">IF(AI53&lt;=0,"",IF(CF53="Aussen","Aussenlager",IF(CF53="-","Nicht im Lift",IF(AO53&gt;=1,"Lift",IF(AO53&lt;=0,"Aussenlager","teilweise")))))</f>
        <v>Lift</v>
      </c>
      <c r="BK53" s="48" t="str">
        <f aca="false">IF(AS53&lt;=0,"",IF(CF53="Aussen","Aussenlager",IF(CF53="-","Nicht im Lift",IF(AY53&gt;=1,"Lift",IF(AY53&lt;=0,"Aussenlager","teilweise")))))</f>
        <v>Lift</v>
      </c>
      <c r="BL53" s="48" t="str">
        <f aca="false">IF(BC53&lt;=0,"",IF(CF53="Aussen","Aussenlager",IF(CF53="-","Nicht im Lift",IF(BI53&gt;=1,"Lift",IF(BI53&lt;=0,"Aussenlager","teilweise")))))</f>
        <v>Lift</v>
      </c>
      <c r="BM53" s="48" t="str">
        <f aca="false">IF(A53="","",IF(BV53=1,"Neu; ","")&amp;IF(AND(BV53=0,BQ53&lt;0),"negativer Bestand (Export "&amp;BQ53&amp;"); ","")&amp;IF(J53&lt;=0,"Kein Verbrauch; ","")&amp;IF(CQ53&gt;0,"Lift "&amp;W53&amp;" lt. Liftbericht (Fach "&amp;X53&amp;" Stk); ",IF(CA53=1,"Gebinde geschätzt ("&amp;T53&amp;"); ",IF(BZ53=1,"Lose – Tablare geschätzt; ","")))&amp;IF(H53&gt;AV53,"Überbestand "&amp;ROUND(H53-AV53,0)&amp;" Stk / CHF "&amp;ROUND((H53-AV53)*G53,0)&amp;"; ","")&amp;IF(AND(CH53=1,CI53&lt;CJ53),"MAX &lt; MB+LG; ","")&amp;IF(AND(CP53&gt;0,CO53*10&gt;CP53),"zu hoch für Tablar; ","")&amp;IF(AND(BV53=0,OR(CH53=1,AA53&lt;&gt;"",U53&lt;&gt;"",V53&lt;&gt;"",AB53&lt;&gt;"")),"manuell übersteuert; ","")&amp;IF(AND(BZ53=0,R53=0),"Gebinde unbekannt / Stellmass fehlt; ","")&amp;IF(AND(BZ53=0,N(V53)&lt;=0,N(Q53)&lt;=0),"Menge pro Gebinde fehlt (Ist = 1 Gebinde); ","")&amp;BU53)</f>
        <v/>
      </c>
      <c r="BN53" s="48"/>
      <c r="BO53" s="48"/>
      <c r="BP53" s="55"/>
      <c r="BQ53" s="50" t="n">
        <v>45</v>
      </c>
      <c r="BR53" s="50" t="n">
        <v>22</v>
      </c>
      <c r="BS53" s="49" t="n">
        <v>5261.13</v>
      </c>
      <c r="BT53" s="50" t="n">
        <v>82</v>
      </c>
      <c r="BU53" s="48"/>
      <c r="BV53" s="53" t="n">
        <v>0</v>
      </c>
      <c r="BW53" s="53" t="n">
        <v>53</v>
      </c>
      <c r="BX53" s="48" t="str">
        <f aca="false">IF(U53&lt;&gt;"",UPPER(TRIM(U53)),IF(CA53=1,UPPER(VLOOKUP(T53,Parameter!$I$27:$K$29,2,0)),IF(P53="","LOSE",P53)))</f>
        <v>S51</v>
      </c>
      <c r="BY53" s="50" t="n">
        <f aca="false">IF(BX53="LOSE",1,IF(N(V53)&gt;0,V53,IF(CA53=1,MAX(1,N(VLOOKUP(T53,Parameter!$I$27:$K$29,3,0)),H53,N(N53)),IF(N(Q53)&gt;0,Q53,MAX(1,H53)))))</f>
        <v>91</v>
      </c>
      <c r="BZ53" s="53" t="n">
        <f aca="false">IF(BX53="LOSE",1,0)</f>
        <v>0</v>
      </c>
      <c r="CA53" s="53" t="n">
        <f aca="false">IF(AND(U53="",OR(P53="",P53="LOSE"),T53&lt;&gt;"",N(S53)&lt;=0,ISNUMBER(MATCH(T53,Parameter!$I$27:$I$29,0))),1,0)</f>
        <v>0</v>
      </c>
      <c r="CB53" s="53" t="n">
        <f aca="false">IF(CQ53&gt;0,INDEX(Parameter!$H$5:$H$7,W53)/INDEX(Parameter!$E$5:$E$7,W53),IF(AND(BZ53=0,N(IFERROR(VLOOKUP(BX53,'Gebinde-Kategorie'!$A$5:$N$45,14,0),0))&gt;0),VLOOKUP(BX53,'Gebinde-Kategorie'!$A$5:$N$45,14,0)*10+Parameter!$M$23,Parameter!$M$24))</f>
        <v>155</v>
      </c>
      <c r="CC53" s="48" t="str">
        <f aca="false">IF(AND(Parameter!$B$19="Ja",E53&lt;&gt;"",ISNUMBER(MATCH(E53,Parameter!$I$35:$I$52,0))),VLOOKUP(E53,Parameter!$I$35:$J$52,2,0),IFERROR(VLOOKUP(D53,Parameter!$A$35:$C$64,2,0),"Nein"))</f>
        <v>2+3</v>
      </c>
      <c r="CD53" s="52" t="n">
        <f aca="false">IF(BZ53=0,0,IF(N(S53)&gt;0,S53,IFERROR(VLOOKUP(D53,Parameter!$A$35:$C$64,3,0)+0,0)))</f>
        <v>0</v>
      </c>
      <c r="CE53" s="48" t="n">
        <f aca="false">IF(AA53&lt;&gt;"",AA53,Z53)</f>
        <v>3</v>
      </c>
      <c r="CF53" s="48" t="str">
        <f aca="false">IF(OR(CE53=1,CE53=2,CE53=3),IF(Parameter!$E$27="Ja","LIFT",IF(CE53=1,"L1","L23")),IF(CE53="Aussen","Aussen","-"))</f>
        <v>LIFT</v>
      </c>
      <c r="CG53" s="59" t="n">
        <f aca="false">IF(N(AB53)&gt;0,AB53,0)</f>
        <v>0</v>
      </c>
      <c r="CH53" s="53" t="n">
        <f aca="false">IF(ISNUMBER(AE53),1,0)</f>
        <v>0</v>
      </c>
      <c r="CI53" s="50" t="n">
        <f aca="false">N(AE53)</f>
        <v>0</v>
      </c>
      <c r="CJ53" s="50" t="n">
        <f aca="false">N(M53)+N(N53)</f>
        <v>70</v>
      </c>
      <c r="CK53" s="50" t="n">
        <f aca="false">N(M53)</f>
        <v>30</v>
      </c>
      <c r="CL53" s="50" t="n">
        <f aca="false">N(N53)</f>
        <v>40</v>
      </c>
      <c r="CM53" s="50" t="n">
        <f aca="false">ROUNDUP(H53/BY53,0)</f>
        <v>1</v>
      </c>
      <c r="CN53" s="50" t="n">
        <f aca="false">ROUNDUP(CI53/BY53,0)</f>
        <v>0</v>
      </c>
      <c r="CO53" s="53" t="n">
        <f aca="false">IF(BZ53=1,0,IFERROR(VLOOKUP(BX53,'Gebinde-Kategorie'!$A$5:$N$45,5,0)+0,0))</f>
        <v>11</v>
      </c>
      <c r="CP53" s="53" t="n">
        <f aca="false">IFERROR(IF(OR(CE53=1,CE53=2,CE53=3),N(INDEX(Parameter!$I$5:$I$7,CE53)),0),0)</f>
        <v>0</v>
      </c>
      <c r="CQ53" s="52" t="n">
        <f aca="false">IF(AND(Parameter!$B$21="Ja",ISNUMBER(W53),N(X53)&gt;0),IFERROR(N(INDEX(Parameter!$L$5:$L$7,W53))*INDEX(Parameter!$E$5:$E$7,W53)*X53/SUMIFS($X$7:$X$1843,$W$7:$W$1843,W53),0),0)</f>
        <v>0</v>
      </c>
    </row>
    <row r="54" customFormat="false" ht="15" hidden="false" customHeight="false" outlineLevel="0" collapsed="false">
      <c r="A54" s="48" t="s">
        <v>312</v>
      </c>
      <c r="B54" s="48" t="s">
        <v>299</v>
      </c>
      <c r="C54" s="48" t="s">
        <v>173</v>
      </c>
      <c r="D54" s="48" t="s">
        <v>182</v>
      </c>
      <c r="E54" s="48" t="s">
        <v>182</v>
      </c>
      <c r="F54" s="48" t="s">
        <v>227</v>
      </c>
      <c r="G54" s="49" t="n">
        <v>189.42</v>
      </c>
      <c r="H54" s="50" t="n">
        <f aca="false">MAX(0,IF(AND(Parameter!$B$21="Ja",ISNUMBER(Y54)),Y54,IF(Parameter!$B$20="Jahresanfang 2025 + Export",BR54+BQ54,BQ54)))</f>
        <v>65</v>
      </c>
      <c r="I54" s="50" t="n">
        <f aca="false">H54*G54</f>
        <v>12312.3</v>
      </c>
      <c r="J54" s="50" t="n">
        <f aca="false">BT54*Parameter!$B$18</f>
        <v>90</v>
      </c>
      <c r="K54" s="51" t="n">
        <v>40.5</v>
      </c>
      <c r="L54" s="52" t="n">
        <v>2.22222222222222</v>
      </c>
      <c r="M54" s="50" t="n">
        <v>4</v>
      </c>
      <c r="N54" s="50" t="n">
        <v>35</v>
      </c>
      <c r="O54" s="53" t="n">
        <v>14</v>
      </c>
      <c r="P54" s="48" t="s">
        <v>232</v>
      </c>
      <c r="Q54" s="50" t="n">
        <v>76</v>
      </c>
      <c r="R54" s="53" t="n">
        <f aca="false">IF(BZ54=1,0,IFERROR(VLOOKUP(BX54,'Gebinde-Kategorie'!$A$5:$N$45,13,0)+0,0))</f>
        <v>4</v>
      </c>
      <c r="S54" s="54"/>
      <c r="T54" s="55"/>
      <c r="U54" s="55"/>
      <c r="V54" s="55"/>
      <c r="W54" s="48"/>
      <c r="X54" s="50"/>
      <c r="Y54" s="50"/>
      <c r="Z54" s="48" t="str">
        <f aca="false">IF(A54="","",IF(AND(Parameter!$B$21="Ja",ISNUMBER(W54)),W54,IF(CC54="2+3",IF(ISNUMBER(SEARCH("grosser Artikel",BU54)),2,IFERROR(VLOOKUP(BX54,Parameter!$F$35:$G$64,2,0),2)),IF(OR(CC54="Nein",CC54=""),"-",CC54))))</f>
        <v>-</v>
      </c>
      <c r="AA54" s="55"/>
      <c r="AB54" s="56"/>
      <c r="AC54" s="50" t="n">
        <f aca="false">AV54</f>
        <v>56</v>
      </c>
      <c r="AD54" s="50" t="n">
        <f aca="false">MAX(AV54,H54)</f>
        <v>65</v>
      </c>
      <c r="AE54" s="57"/>
      <c r="AF54" s="50" t="n">
        <f aca="false">IF(LEFT(Cockpit!$C$5,1)="A",H54,IF(Parameter!$E$30="MAX-Bestand",IF(CH54=1,CI54,IF(LEFT(Cockpit!$C$5,1)="B",AL54,MAX(AL54,H54))),ROUNDUP(AJ54,0)))</f>
        <v>65</v>
      </c>
      <c r="AG54" s="50" t="n">
        <f aca="false">IF(BZ54=1,0,ROUNDUP(AF54/BY54,0))</f>
        <v>1</v>
      </c>
      <c r="AH54" s="52" t="n">
        <f aca="false">IF(CQ54&gt;0,CQ54*MAX(1,AF54/X54),IF(BZ54=1,IF(AF54&lt;=0,0,CD54*MAX(1,IF(H54&gt;0,AF54/H54,1))),IF(R54&gt;0,AG54/R54,0))/MAX(0.1,N(Parameter!$M$21)))</f>
        <v>0.25</v>
      </c>
      <c r="AI54" s="50" t="n">
        <f aca="false">AH54*CB54</f>
        <v>58.75</v>
      </c>
      <c r="AJ54" s="51" t="n">
        <f aca="false">IF(LEFT(Cockpit!$C$5,1)="A",H54,IF(CH54=1,(CK54+CI54)/2,IF(LEFT(Cockpit!$C$5,1)="B",(CK54+AL54)/2,MAX((CK54+AL54)/2,H54))))</f>
        <v>65</v>
      </c>
      <c r="AK54" s="50" t="n">
        <f aca="false">AJ54*G54</f>
        <v>12312.3</v>
      </c>
      <c r="AL54" s="50" t="n">
        <f aca="false">ROUNDUP(CK54+MAX(CL54,2*(J54/IF(CG54&gt;0,CG54,MAX(0.1,N(Cockpit!$C$6)))-CK54)),0)</f>
        <v>56</v>
      </c>
      <c r="AM54" s="51" t="n">
        <f aca="false">IF(AI54&gt;0,J54/AI54,-1)</f>
        <v>1.53191489361702</v>
      </c>
      <c r="AN54" s="51" t="str">
        <f aca="false">IF(AND(OR(CF54="L1",CF54="L23",CF54="LIFT"),AI54&gt;0),SUMIFS($AI$7:$AI$1843,$CF$7:$CF$1843,CF54,$AM$7:$AM$1843,"&gt;"&amp;AM54)+SUMIFS($AI$7:$AI$1843,$CF$7:$CF$1843,CF54,$AM$7:$AM$1843,AM54,$BW$7:$BW$1843,"&lt;="&amp;BW54),"")</f>
        <v/>
      </c>
      <c r="AO54" s="58" t="n">
        <f aca="false">IF(AN54="",0,MAX(0,MIN(1,(IF(CF54="L1",Parameter!$H$5,IF(CF54="L23",Parameter!$H$6+Parameter!$H$7,Parameter!$H$5+Parameter!$H$6+Parameter!$H$7))-(AN54-AI54))/AI54)))</f>
        <v>0</v>
      </c>
      <c r="AP54" s="50" t="n">
        <f aca="false">IF(LEFT(Cockpit!$I$5,1)="A",H54,IF(Parameter!$E$30="MAX-Bestand",IF(CH54=1,CI54,IF(LEFT(Cockpit!$I$5,1)="B",AV54,MAX(AV54,H54))),ROUNDUP(AT54,0)))</f>
        <v>65</v>
      </c>
      <c r="AQ54" s="50" t="n">
        <f aca="false">IF(BZ54=1,0,ROUNDUP(AP54/BY54,0))</f>
        <v>1</v>
      </c>
      <c r="AR54" s="52" t="n">
        <f aca="false">IF(CQ54&gt;0,CQ54*MAX(1,AP54/X54),IF(BZ54=1,IF(AP54&lt;=0,0,CD54*MAX(1,IF(H54&gt;0,AP54/H54,1))),IF(R54&gt;0,AQ54/R54,0))/MAX(0.1,N(Parameter!$M$21)))</f>
        <v>0.25</v>
      </c>
      <c r="AS54" s="50" t="n">
        <f aca="false">AR54*CB54</f>
        <v>58.75</v>
      </c>
      <c r="AT54" s="51" t="n">
        <f aca="false">IF(LEFT(Cockpit!$I$5,1)="A",H54,IF(CH54=1,(CK54+CI54)/2,IF(LEFT(Cockpit!$I$5,1)="B",(CK54+AV54)/2,MAX((CK54+AV54)/2,H54))))</f>
        <v>65</v>
      </c>
      <c r="AU54" s="50" t="n">
        <f aca="false">AT54*G54</f>
        <v>12312.3</v>
      </c>
      <c r="AV54" s="50" t="n">
        <f aca="false">ROUNDUP(CK54+MAX(CL54,2*(J54/IF(CG54&gt;0,CG54,MAX(0.1,N(Cockpit!$I$6)))-CK54)),0)</f>
        <v>56</v>
      </c>
      <c r="AW54" s="51" t="n">
        <f aca="false">IF(AS54&gt;0,J54/AS54,-1)</f>
        <v>1.53191489361702</v>
      </c>
      <c r="AX54" s="51" t="str">
        <f aca="false">IF(AND(OR(CF54="L1",CF54="L23",CF54="LIFT"),AS54&gt;0),SUMIFS($AS$7:$AS$1843,$CF$7:$CF$1843,CF54,$AW$7:$AW$1843,"&gt;"&amp;AW54)+SUMIFS($AS$7:$AS$1843,$CF$7:$CF$1843,CF54,$AW$7:$AW$1843,AW54,$BW$7:$BW$1843,"&lt;="&amp;BW54),"")</f>
        <v/>
      </c>
      <c r="AY54" s="58" t="n">
        <f aca="false">IF(AX54="",0,MAX(0,MIN(1,(IF(CF54="L1",Parameter!$H$5,IF(CF54="L23",Parameter!$H$6+Parameter!$H$7,Parameter!$H$5+Parameter!$H$6+Parameter!$H$7))-(AX54-AS54))/AS54)))</f>
        <v>0</v>
      </c>
      <c r="AZ54" s="50" t="n">
        <f aca="false">IF(LEFT(Cockpit!$O$5,1)="A",H54,IF(Parameter!$E$30="MAX-Bestand",IF(CH54=1,CI54,IF(LEFT(Cockpit!$O$5,1)="B",BF54,MAX(BF54,H54))),ROUNDUP(BD54,0)))</f>
        <v>23</v>
      </c>
      <c r="BA54" s="50" t="n">
        <f aca="false">IF(BZ54=1,0,ROUNDUP(AZ54/BY54,0))</f>
        <v>1</v>
      </c>
      <c r="BB54" s="52" t="n">
        <f aca="false">IF(CQ54&gt;0,CQ54*MAX(1,AZ54/X54),IF(BZ54=1,IF(AZ54&lt;=0,0,CD54*MAX(1,IF(H54&gt;0,AZ54/H54,1))),IF(R54&gt;0,BA54/R54,0))/MAX(0.1,N(Parameter!$M$21)))</f>
        <v>0.25</v>
      </c>
      <c r="BC54" s="50" t="n">
        <f aca="false">BB54*CB54</f>
        <v>58.75</v>
      </c>
      <c r="BD54" s="51" t="n">
        <f aca="false">IF(LEFT(Cockpit!$O$5,1)="A",H54,IF(CH54=1,(CK54+CI54)/2,IF(LEFT(Cockpit!$O$5,1)="B",(CK54+BF54)/2,MAX((CK54+BF54)/2,H54))))</f>
        <v>22.5</v>
      </c>
      <c r="BE54" s="50" t="n">
        <f aca="false">BD54*G54</f>
        <v>4261.95</v>
      </c>
      <c r="BF54" s="50" t="n">
        <f aca="false">ROUNDUP(CK54+MAX(CL54,2*(J54/IF(CG54&gt;0,CG54,MAX(0.1,N(Cockpit!$O$6)))-CK54)),0)</f>
        <v>41</v>
      </c>
      <c r="BG54" s="51" t="n">
        <f aca="false">IF(BC54&gt;0,J54/BC54,-1)</f>
        <v>1.53191489361702</v>
      </c>
      <c r="BH54" s="51" t="str">
        <f aca="false">IF(AND(OR(CF54="L1",CF54="L23",CF54="LIFT"),BC54&gt;0),SUMIFS($BC$7:$BC$1843,$CF$7:$CF$1843,CF54,$BG$7:$BG$1843,"&gt;"&amp;BG54)+SUMIFS($BC$7:$BC$1843,$CF$7:$CF$1843,CF54,$BG$7:$BG$1843,BG54,$BW$7:$BW$1843,"&lt;="&amp;BW54),"")</f>
        <v/>
      </c>
      <c r="BI54" s="58" t="n">
        <f aca="false">IF(BH54="",0,MAX(0,MIN(1,(IF(CF54="L1",Parameter!$H$5,IF(CF54="L23",Parameter!$H$6+Parameter!$H$7,Parameter!$H$5+Parameter!$H$6+Parameter!$H$7))-(BH54-BC54))/BC54)))</f>
        <v>0</v>
      </c>
      <c r="BJ54" s="48" t="str">
        <f aca="false">IF(AI54&lt;=0,"",IF(CF54="Aussen","Aussenlager",IF(CF54="-","Nicht im Lift",IF(AO54&gt;=1,"Lift",IF(AO54&lt;=0,"Aussenlager","teilweise")))))</f>
        <v>Nicht im Lift</v>
      </c>
      <c r="BK54" s="48" t="str">
        <f aca="false">IF(AS54&lt;=0,"",IF(CF54="Aussen","Aussenlager",IF(CF54="-","Nicht im Lift",IF(AY54&gt;=1,"Lift",IF(AY54&lt;=0,"Aussenlager","teilweise")))))</f>
        <v>Nicht im Lift</v>
      </c>
      <c r="BL54" s="48" t="str">
        <f aca="false">IF(BC54&lt;=0,"",IF(CF54="Aussen","Aussenlager",IF(CF54="-","Nicht im Lift",IF(BI54&gt;=1,"Lift",IF(BI54&lt;=0,"Aussenlager","teilweise")))))</f>
        <v>Nicht im Lift</v>
      </c>
      <c r="BM54" s="48" t="str">
        <f aca="false">IF(A54="","",IF(BV54=1,"Neu; ","")&amp;IF(AND(BV54=0,BQ54&lt;0),"negativer Bestand (Export "&amp;BQ54&amp;"); ","")&amp;IF(J54&lt;=0,"Kein Verbrauch; ","")&amp;IF(CQ54&gt;0,"Lift "&amp;W54&amp;" lt. Liftbericht (Fach "&amp;X54&amp;" Stk); ",IF(CA54=1,"Gebinde geschätzt ("&amp;T54&amp;"); ",IF(BZ54=1,"Lose – Tablare geschätzt; ","")))&amp;IF(H54&gt;AV54,"Überbestand "&amp;ROUND(H54-AV54,0)&amp;" Stk / CHF "&amp;ROUND((H54-AV54)*G54,0)&amp;"; ","")&amp;IF(AND(CH54=1,CI54&lt;CJ54),"MAX &lt; MB+LG; ","")&amp;IF(AND(CP54&gt;0,CO54*10&gt;CP54),"zu hoch für Tablar; ","")&amp;IF(AND(BV54=0,OR(CH54=1,AA54&lt;&gt;"",U54&lt;&gt;"",V54&lt;&gt;"",AB54&lt;&gt;"")),"manuell übersteuert; ","")&amp;IF(AND(BZ54=0,R54=0),"Gebinde unbekannt / Stellmass fehlt; ","")&amp;IF(AND(BZ54=0,N(V54)&lt;=0,N(Q54)&lt;=0),"Menge pro Gebinde fehlt (Ist = 1 Gebinde); ","")&amp;BU54)</f>
        <v>Überbestand 9 Stk / CHF 1705; </v>
      </c>
      <c r="BN54" s="48"/>
      <c r="BO54" s="48"/>
      <c r="BP54" s="55"/>
      <c r="BQ54" s="50" t="n">
        <v>25</v>
      </c>
      <c r="BR54" s="50" t="n">
        <v>40</v>
      </c>
      <c r="BS54" s="49" t="n">
        <v>4952.3</v>
      </c>
      <c r="BT54" s="50" t="n">
        <v>90</v>
      </c>
      <c r="BU54" s="48"/>
      <c r="BV54" s="53" t="n">
        <v>0</v>
      </c>
      <c r="BW54" s="53" t="n">
        <v>54</v>
      </c>
      <c r="BX54" s="48" t="str">
        <f aca="false">IF(U54&lt;&gt;"",UPPER(TRIM(U54)),IF(CA54=1,UPPER(VLOOKUP(T54,Parameter!$I$27:$K$29,2,0)),IF(P54="","LOSE",P54)))</f>
        <v>S81</v>
      </c>
      <c r="BY54" s="50" t="n">
        <f aca="false">IF(BX54="LOSE",1,IF(N(V54)&gt;0,V54,IF(CA54=1,MAX(1,N(VLOOKUP(T54,Parameter!$I$27:$K$29,3,0)),H54,N(N54)),IF(N(Q54)&gt;0,Q54,MAX(1,H54)))))</f>
        <v>76</v>
      </c>
      <c r="BZ54" s="53" t="n">
        <f aca="false">IF(BX54="LOSE",1,0)</f>
        <v>0</v>
      </c>
      <c r="CA54" s="53" t="n">
        <f aca="false">IF(AND(U54="",OR(P54="",P54="LOSE"),T54&lt;&gt;"",N(S54)&lt;=0,ISNUMBER(MATCH(T54,Parameter!$I$27:$I$29,0))),1,0)</f>
        <v>0</v>
      </c>
      <c r="CB54" s="53" t="n">
        <f aca="false">IF(CQ54&gt;0,INDEX(Parameter!$H$5:$H$7,W54)/INDEX(Parameter!$E$5:$E$7,W54),IF(AND(BZ54=0,N(IFERROR(VLOOKUP(BX54,'Gebinde-Kategorie'!$A$5:$N$45,14,0),0))&gt;0),VLOOKUP(BX54,'Gebinde-Kategorie'!$A$5:$N$45,14,0)*10+Parameter!$M$23,Parameter!$M$24))</f>
        <v>235</v>
      </c>
      <c r="CC54" s="48" t="str">
        <f aca="false">IF(AND(Parameter!$B$19="Ja",E54&lt;&gt;"",ISNUMBER(MATCH(E54,Parameter!$I$35:$I$52,0))),VLOOKUP(E54,Parameter!$I$35:$J$52,2,0),IFERROR(VLOOKUP(D54,Parameter!$A$35:$C$64,2,0),"Nein"))</f>
        <v>Nein</v>
      </c>
      <c r="CD54" s="52" t="n">
        <f aca="false">IF(BZ54=0,0,IF(N(S54)&gt;0,S54,IFERROR(VLOOKUP(D54,Parameter!$A$35:$C$64,3,0)+0,0)))</f>
        <v>0</v>
      </c>
      <c r="CE54" s="48" t="str">
        <f aca="false">IF(AA54&lt;&gt;"",AA54,Z54)</f>
        <v>-</v>
      </c>
      <c r="CF54" s="48" t="str">
        <f aca="false">IF(OR(CE54=1,CE54=2,CE54=3),IF(Parameter!$E$27="Ja","LIFT",IF(CE54=1,"L1","L23")),IF(CE54="Aussen","Aussen","-"))</f>
        <v>-</v>
      </c>
      <c r="CG54" s="59" t="n">
        <f aca="false">IF(N(AB54)&gt;0,AB54,0)</f>
        <v>0</v>
      </c>
      <c r="CH54" s="53" t="n">
        <f aca="false">IF(ISNUMBER(AE54),1,0)</f>
        <v>0</v>
      </c>
      <c r="CI54" s="50" t="n">
        <f aca="false">N(AE54)</f>
        <v>0</v>
      </c>
      <c r="CJ54" s="50" t="n">
        <f aca="false">N(M54)+N(N54)</f>
        <v>39</v>
      </c>
      <c r="CK54" s="50" t="n">
        <f aca="false">N(M54)</f>
        <v>4</v>
      </c>
      <c r="CL54" s="50" t="n">
        <f aca="false">N(N54)</f>
        <v>35</v>
      </c>
      <c r="CM54" s="50" t="n">
        <f aca="false">ROUNDUP(H54/BY54,0)</f>
        <v>1</v>
      </c>
      <c r="CN54" s="50" t="n">
        <f aca="false">ROUNDUP(CI54/BY54,0)</f>
        <v>0</v>
      </c>
      <c r="CO54" s="53" t="n">
        <f aca="false">IF(BZ54=1,0,IFERROR(VLOOKUP(BX54,'Gebinde-Kategorie'!$A$5:$N$45,5,0)+0,0))</f>
        <v>20</v>
      </c>
      <c r="CP54" s="53" t="n">
        <f aca="false">IFERROR(IF(OR(CE54=1,CE54=2,CE54=3),N(INDEX(Parameter!$I$5:$I$7,CE54)),0),0)</f>
        <v>0</v>
      </c>
      <c r="CQ54" s="52" t="n">
        <f aca="false">IF(AND(Parameter!$B$21="Ja",ISNUMBER(W54),N(X54)&gt;0),IFERROR(N(INDEX(Parameter!$L$5:$L$7,W54))*INDEX(Parameter!$E$5:$E$7,W54)*X54/SUMIFS($X$7:$X$1843,$W$7:$W$1843,W54),0),0)</f>
        <v>0</v>
      </c>
    </row>
    <row r="55" customFormat="false" ht="15" hidden="false" customHeight="false" outlineLevel="0" collapsed="false">
      <c r="A55" s="48" t="s">
        <v>313</v>
      </c>
      <c r="B55" s="48" t="s">
        <v>314</v>
      </c>
      <c r="C55" s="48" t="s">
        <v>173</v>
      </c>
      <c r="D55" s="48" t="s">
        <v>182</v>
      </c>
      <c r="E55" s="48"/>
      <c r="F55" s="48" t="s">
        <v>227</v>
      </c>
      <c r="G55" s="49" t="n">
        <v>431.48</v>
      </c>
      <c r="H55" s="50" t="n">
        <f aca="false">MAX(0,IF(AND(Parameter!$B$21="Ja",ISNUMBER(Y55)),Y55,IF(Parameter!$B$20="Jahresanfang 2025 + Export",BR55+BQ55,BQ55)))</f>
        <v>11</v>
      </c>
      <c r="I55" s="50" t="n">
        <f aca="false">H55*G55</f>
        <v>4746.28</v>
      </c>
      <c r="J55" s="50" t="n">
        <f aca="false">BT55*Parameter!$B$18</f>
        <v>0</v>
      </c>
      <c r="K55" s="51" t="n">
        <v>0</v>
      </c>
      <c r="L55" s="52" t="n">
        <v>0</v>
      </c>
      <c r="M55" s="50" t="n">
        <v>2</v>
      </c>
      <c r="N55" s="50" t="n">
        <v>4</v>
      </c>
      <c r="O55" s="53" t="n">
        <v>28</v>
      </c>
      <c r="P55" s="48" t="s">
        <v>177</v>
      </c>
      <c r="Q55" s="50"/>
      <c r="R55" s="53" t="n">
        <f aca="false">IF(BZ55=1,0,IFERROR(VLOOKUP(BX55,'Gebinde-Kategorie'!$A$5:$N$45,13,0)+0,0))</f>
        <v>12</v>
      </c>
      <c r="S55" s="54"/>
      <c r="T55" s="55" t="s">
        <v>188</v>
      </c>
      <c r="U55" s="55"/>
      <c r="V55" s="55"/>
      <c r="W55" s="48"/>
      <c r="X55" s="50"/>
      <c r="Y55" s="50"/>
      <c r="Z55" s="48" t="n">
        <f aca="false">IF(A55="","",IF(AND(Parameter!$B$21="Ja",ISNUMBER(W55)),W55,IF(CC55="2+3",IF(ISNUMBER(SEARCH("grosser Artikel",BU55)),2,IFERROR(VLOOKUP(BX55,Parameter!$F$35:$G$64,2,0),2)),IF(OR(CC55="Nein",CC55=""),"-",CC55))))</f>
        <v>2</v>
      </c>
      <c r="AA55" s="55"/>
      <c r="AB55" s="56"/>
      <c r="AC55" s="50" t="n">
        <f aca="false">AV55</f>
        <v>6</v>
      </c>
      <c r="AD55" s="50" t="n">
        <f aca="false">MAX(AV55,H55)</f>
        <v>11</v>
      </c>
      <c r="AE55" s="57"/>
      <c r="AF55" s="50" t="n">
        <f aca="false">IF(LEFT(Cockpit!$C$5,1)="A",H55,IF(Parameter!$E$30="MAX-Bestand",IF(CH55=1,CI55,IF(LEFT(Cockpit!$C$5,1)="B",AL55,MAX(AL55,H55))),ROUNDUP(AJ55,0)))</f>
        <v>11</v>
      </c>
      <c r="AG55" s="50" t="n">
        <f aca="false">IF(BZ55=1,0,ROUNDUP(AF55/BY55,0))</f>
        <v>1</v>
      </c>
      <c r="AH55" s="52" t="n">
        <f aca="false">IF(CQ55&gt;0,CQ55*MAX(1,AF55/X55),IF(BZ55=1,IF(AF55&lt;=0,0,CD55*MAX(1,IF(H55&gt;0,AF55/H55,1))),IF(R55&gt;0,AG55/R55,0))/MAX(0.1,N(Parameter!$M$21)))</f>
        <v>0.0833333333333333</v>
      </c>
      <c r="AI55" s="50" t="n">
        <f aca="false">AH55*CB55</f>
        <v>12.0833333333333</v>
      </c>
      <c r="AJ55" s="51" t="n">
        <f aca="false">IF(LEFT(Cockpit!$C$5,1)="A",H55,IF(CH55=1,(CK55+CI55)/2,IF(LEFT(Cockpit!$C$5,1)="B",(CK55+AL55)/2,MAX((CK55+AL55)/2,H55))))</f>
        <v>11</v>
      </c>
      <c r="AK55" s="50" t="n">
        <f aca="false">AJ55*G55</f>
        <v>4746.28</v>
      </c>
      <c r="AL55" s="50" t="n">
        <f aca="false">ROUNDUP(CK55+MAX(CL55,2*(J55/IF(CG55&gt;0,CG55,MAX(0.1,N(Cockpit!$C$6)))-CK55)),0)</f>
        <v>6</v>
      </c>
      <c r="AM55" s="51" t="n">
        <f aca="false">IF(AI55&gt;0,J55/AI55,-1)</f>
        <v>0</v>
      </c>
      <c r="AN55" s="51" t="n">
        <f aca="false">IF(AND(OR(CF55="L1",CF55="L23",CF55="LIFT"),AI55&gt;0),SUMIFS($AI$7:$AI$1843,$CF$7:$CF$1843,CF55,$AM$7:$AM$1843,"&gt;"&amp;AM55)+SUMIFS($AI$7:$AI$1843,$CF$7:$CF$1843,CF55,$AM$7:$AM$1843,AM55,$BW$7:$BW$1843,"&lt;="&amp;BW55),"")</f>
        <v>26317.158587881</v>
      </c>
      <c r="AO55" s="58" t="n">
        <f aca="false">IF(AN55="",0,MAX(0,MIN(1,(IF(CF55="L1",Parameter!$H$5,IF(CF55="L23",Parameter!$H$6+Parameter!$H$7,Parameter!$H$5+Parameter!$H$6+Parameter!$H$7))-(AN55-AI55))/AI55)))</f>
        <v>1</v>
      </c>
      <c r="AP55" s="50" t="n">
        <f aca="false">IF(LEFT(Cockpit!$I$5,1)="A",H55,IF(Parameter!$E$30="MAX-Bestand",IF(CH55=1,CI55,IF(LEFT(Cockpit!$I$5,1)="B",AV55,MAX(AV55,H55))),ROUNDUP(AT55,0)))</f>
        <v>11</v>
      </c>
      <c r="AQ55" s="50" t="n">
        <f aca="false">IF(BZ55=1,0,ROUNDUP(AP55/BY55,0))</f>
        <v>1</v>
      </c>
      <c r="AR55" s="52" t="n">
        <f aca="false">IF(CQ55&gt;0,CQ55*MAX(1,AP55/X55),IF(BZ55=1,IF(AP55&lt;=0,0,CD55*MAX(1,IF(H55&gt;0,AP55/H55,1))),IF(R55&gt;0,AQ55/R55,0))/MAX(0.1,N(Parameter!$M$21)))</f>
        <v>0.0833333333333333</v>
      </c>
      <c r="AS55" s="50" t="n">
        <f aca="false">AR55*CB55</f>
        <v>12.0833333333333</v>
      </c>
      <c r="AT55" s="51" t="n">
        <f aca="false">IF(LEFT(Cockpit!$I$5,1)="A",H55,IF(CH55=1,(CK55+CI55)/2,IF(LEFT(Cockpit!$I$5,1)="B",(CK55+AV55)/2,MAX((CK55+AV55)/2,H55))))</f>
        <v>11</v>
      </c>
      <c r="AU55" s="50" t="n">
        <f aca="false">AT55*G55</f>
        <v>4746.28</v>
      </c>
      <c r="AV55" s="50" t="n">
        <f aca="false">ROUNDUP(CK55+MAX(CL55,2*(J55/IF(CG55&gt;0,CG55,MAX(0.1,N(Cockpit!$I$6)))-CK55)),0)</f>
        <v>6</v>
      </c>
      <c r="AW55" s="51" t="n">
        <f aca="false">IF(AS55&gt;0,J55/AS55,-1)</f>
        <v>0</v>
      </c>
      <c r="AX55" s="51" t="n">
        <f aca="false">IF(AND(OR(CF55="L1",CF55="L23",CF55="LIFT"),AS55&gt;0),SUMIFS($AS$7:$AS$1843,$CF$7:$CF$1843,CF55,$AW$7:$AW$1843,"&gt;"&amp;AW55)+SUMIFS($AS$7:$AS$1843,$CF$7:$CF$1843,CF55,$AW$7:$AW$1843,AW55,$BW$7:$BW$1843,"&lt;="&amp;BW55),"")</f>
        <v>31670.3072292585</v>
      </c>
      <c r="AY55" s="58" t="n">
        <f aca="false">IF(AX55="",0,MAX(0,MIN(1,(IF(CF55="L1",Parameter!$H$5,IF(CF55="L23",Parameter!$H$6+Parameter!$H$7,Parameter!$H$5+Parameter!$H$6+Parameter!$H$7))-(AX55-AS55))/AS55)))</f>
        <v>1</v>
      </c>
      <c r="AZ55" s="50" t="n">
        <f aca="false">IF(LEFT(Cockpit!$O$5,1)="A",H55,IF(Parameter!$E$30="MAX-Bestand",IF(CH55=1,CI55,IF(LEFT(Cockpit!$O$5,1)="B",BF55,MAX(BF55,H55))),ROUNDUP(BD55,0)))</f>
        <v>4</v>
      </c>
      <c r="BA55" s="50" t="n">
        <f aca="false">IF(BZ55=1,0,ROUNDUP(AZ55/BY55,0))</f>
        <v>1</v>
      </c>
      <c r="BB55" s="52" t="n">
        <f aca="false">IF(CQ55&gt;0,CQ55*MAX(1,AZ55/X55),IF(BZ55=1,IF(AZ55&lt;=0,0,CD55*MAX(1,IF(H55&gt;0,AZ55/H55,1))),IF(R55&gt;0,BA55/R55,0))/MAX(0.1,N(Parameter!$M$21)))</f>
        <v>0.0833333333333333</v>
      </c>
      <c r="BC55" s="50" t="n">
        <f aca="false">BB55*CB55</f>
        <v>12.0833333333333</v>
      </c>
      <c r="BD55" s="51" t="n">
        <f aca="false">IF(LEFT(Cockpit!$O$5,1)="A",H55,IF(CH55=1,(CK55+CI55)/2,IF(LEFT(Cockpit!$O$5,1)="B",(CK55+BF55)/2,MAX((CK55+BF55)/2,H55))))</f>
        <v>4</v>
      </c>
      <c r="BE55" s="50" t="n">
        <f aca="false">BD55*G55</f>
        <v>1725.92</v>
      </c>
      <c r="BF55" s="50" t="n">
        <f aca="false">ROUNDUP(CK55+MAX(CL55,2*(J55/IF(CG55&gt;0,CG55,MAX(0.1,N(Cockpit!$O$6)))-CK55)),0)</f>
        <v>6</v>
      </c>
      <c r="BG55" s="51" t="n">
        <f aca="false">IF(BC55&gt;0,J55/BC55,-1)</f>
        <v>0</v>
      </c>
      <c r="BH55" s="51" t="n">
        <f aca="false">IF(AND(OR(CF55="L1",CF55="L23",CF55="LIFT"),BC55&gt;0),SUMIFS($BC$7:$BC$1843,$CF$7:$CF$1843,CF55,$BG$7:$BG$1843,"&gt;"&amp;BG55)+SUMIFS($BC$7:$BC$1843,$CF$7:$CF$1843,CF55,$BG$7:$BG$1843,BG55,$BW$7:$BW$1843,"&lt;="&amp;BW55),"")</f>
        <v>25866.8890725564</v>
      </c>
      <c r="BI55" s="58" t="n">
        <f aca="false">IF(BH55="",0,MAX(0,MIN(1,(IF(CF55="L1",Parameter!$H$5,IF(CF55="L23",Parameter!$H$6+Parameter!$H$7,Parameter!$H$5+Parameter!$H$6+Parameter!$H$7))-(BH55-BC55))/BC55)))</f>
        <v>1</v>
      </c>
      <c r="BJ55" s="48" t="str">
        <f aca="false">IF(AI55&lt;=0,"",IF(CF55="Aussen","Aussenlager",IF(CF55="-","Nicht im Lift",IF(AO55&gt;=1,"Lift",IF(AO55&lt;=0,"Aussenlager","teilweise")))))</f>
        <v>Lift</v>
      </c>
      <c r="BK55" s="48" t="str">
        <f aca="false">IF(AS55&lt;=0,"",IF(CF55="Aussen","Aussenlager",IF(CF55="-","Nicht im Lift",IF(AY55&gt;=1,"Lift",IF(AY55&lt;=0,"Aussenlager","teilweise")))))</f>
        <v>Lift</v>
      </c>
      <c r="BL55" s="48" t="str">
        <f aca="false">IF(BC55&lt;=0,"",IF(CF55="Aussen","Aussenlager",IF(CF55="-","Nicht im Lift",IF(BI55&gt;=1,"Lift",IF(BI55&lt;=0,"Aussenlager","teilweise")))))</f>
        <v>Lift</v>
      </c>
      <c r="BM55" s="48" t="str">
        <f aca="false">IF(A55="","",IF(BV55=1,"Neu; ","")&amp;IF(AND(BV55=0,BQ55&lt;0),"negativer Bestand (Export "&amp;BQ55&amp;"); ","")&amp;IF(J55&lt;=0,"Kein Verbrauch; ","")&amp;IF(CQ55&gt;0,"Lift "&amp;W55&amp;" lt. Liftbericht (Fach "&amp;X55&amp;" Stk); ",IF(CA55=1,"Gebinde geschätzt ("&amp;T55&amp;"); ",IF(BZ55=1,"Lose – Tablare geschätzt; ","")))&amp;IF(H55&gt;AV55,"Überbestand "&amp;ROUND(H55-AV55,0)&amp;" Stk / CHF "&amp;ROUND((H55-AV55)*G55,0)&amp;"; ","")&amp;IF(AND(CH55=1,CI55&lt;CJ55),"MAX &lt; MB+LG; ","")&amp;IF(AND(CP55&gt;0,CO55*10&gt;CP55),"zu hoch für Tablar; ","")&amp;IF(AND(BV55=0,OR(CH55=1,AA55&lt;&gt;"",U55&lt;&gt;"",V55&lt;&gt;"",AB55&lt;&gt;"")),"manuell übersteuert; ","")&amp;IF(AND(BZ55=0,R55=0),"Gebinde unbekannt / Stellmass fehlt; ","")&amp;IF(AND(BZ55=0,N(V55)&lt;=0,N(Q55)&lt;=0),"Menge pro Gebinde fehlt (Ist = 1 Gebinde); ","")&amp;BU55)</f>
        <v>Kein Verbrauch; Gebinde geschätzt (Mittel); Überbestand 5 Stk / CHF 2157; Menge pro Gebinde fehlt (Ist = 1 Gebinde); </v>
      </c>
      <c r="BN55" s="48" t="s">
        <v>315</v>
      </c>
      <c r="BO55" s="48"/>
      <c r="BP55" s="55"/>
      <c r="BQ55" s="50" t="n">
        <v>11</v>
      </c>
      <c r="BR55" s="50" t="n">
        <v>0</v>
      </c>
      <c r="BS55" s="49" t="n">
        <v>4746.28</v>
      </c>
      <c r="BT55" s="50" t="n">
        <v>0</v>
      </c>
      <c r="BU55" s="48"/>
      <c r="BV55" s="53" t="n">
        <v>0</v>
      </c>
      <c r="BW55" s="53" t="n">
        <v>55</v>
      </c>
      <c r="BX55" s="48" t="str">
        <f aca="false">IF(U55&lt;&gt;"",UPPER(TRIM(U55)),IF(CA55=1,UPPER(VLOOKUP(T55,Parameter!$I$27:$K$29,2,0)),IF(P55="","LOSE",P55)))</f>
        <v>S61</v>
      </c>
      <c r="BY55" s="50" t="n">
        <f aca="false">IF(BX55="LOSE",1,IF(N(V55)&gt;0,V55,IF(CA55=1,MAX(1,N(VLOOKUP(T55,Parameter!$I$27:$K$29,3,0)),H55,N(N55)),IF(N(Q55)&gt;0,Q55,MAX(1,H55)))))</f>
        <v>11</v>
      </c>
      <c r="BZ55" s="53" t="n">
        <f aca="false">IF(BX55="LOSE",1,0)</f>
        <v>0</v>
      </c>
      <c r="CA55" s="53" t="n">
        <f aca="false">IF(AND(U55="",OR(P55="",P55="LOSE"),T55&lt;&gt;"",N(S55)&lt;=0,ISNUMBER(MATCH(T55,Parameter!$I$27:$I$29,0))),1,0)</f>
        <v>1</v>
      </c>
      <c r="CB55" s="53" t="n">
        <f aca="false">IF(CQ55&gt;0,INDEX(Parameter!$H$5:$H$7,W55)/INDEX(Parameter!$E$5:$E$7,W55),IF(AND(BZ55=0,N(IFERROR(VLOOKUP(BX55,'Gebinde-Kategorie'!$A$5:$N$45,14,0),0))&gt;0),VLOOKUP(BX55,'Gebinde-Kategorie'!$A$5:$N$45,14,0)*10+Parameter!$M$23,Parameter!$M$24))</f>
        <v>145</v>
      </c>
      <c r="CC55" s="48" t="str">
        <f aca="false">IF(AND(Parameter!$B$19="Ja",E55&lt;&gt;"",ISNUMBER(MATCH(E55,Parameter!$I$35:$I$52,0))),VLOOKUP(E55,Parameter!$I$35:$J$52,2,0),IFERROR(VLOOKUP(D55,Parameter!$A$35:$C$64,2,0),"Nein"))</f>
        <v>2+3</v>
      </c>
      <c r="CD55" s="52" t="n">
        <f aca="false">IF(BZ55=0,0,IF(N(S55)&gt;0,S55,IFERROR(VLOOKUP(D55,Parameter!$A$35:$C$64,3,0)+0,0)))</f>
        <v>0</v>
      </c>
      <c r="CE55" s="48" t="n">
        <f aca="false">IF(AA55&lt;&gt;"",AA55,Z55)</f>
        <v>2</v>
      </c>
      <c r="CF55" s="48" t="str">
        <f aca="false">IF(OR(CE55=1,CE55=2,CE55=3),IF(Parameter!$E$27="Ja","LIFT",IF(CE55=1,"L1","L23")),IF(CE55="Aussen","Aussen","-"))</f>
        <v>LIFT</v>
      </c>
      <c r="CG55" s="59" t="n">
        <f aca="false">IF(N(AB55)&gt;0,AB55,0)</f>
        <v>0</v>
      </c>
      <c r="CH55" s="53" t="n">
        <f aca="false">IF(ISNUMBER(AE55),1,0)</f>
        <v>0</v>
      </c>
      <c r="CI55" s="50" t="n">
        <f aca="false">N(AE55)</f>
        <v>0</v>
      </c>
      <c r="CJ55" s="50" t="n">
        <f aca="false">N(M55)+N(N55)</f>
        <v>6</v>
      </c>
      <c r="CK55" s="50" t="n">
        <f aca="false">N(M55)</f>
        <v>2</v>
      </c>
      <c r="CL55" s="50" t="n">
        <f aca="false">N(N55)</f>
        <v>4</v>
      </c>
      <c r="CM55" s="50" t="n">
        <f aca="false">ROUNDUP(H55/BY55,0)</f>
        <v>1</v>
      </c>
      <c r="CN55" s="50" t="n">
        <f aca="false">ROUNDUP(CI55/BY55,0)</f>
        <v>0</v>
      </c>
      <c r="CO55" s="53" t="n">
        <f aca="false">IF(BZ55=1,0,IFERROR(VLOOKUP(BX55,'Gebinde-Kategorie'!$A$5:$N$45,5,0)+0,0))</f>
        <v>11</v>
      </c>
      <c r="CP55" s="53" t="n">
        <f aca="false">IFERROR(IF(OR(CE55=1,CE55=2,CE55=3),N(INDEX(Parameter!$I$5:$I$7,CE55)),0),0)</f>
        <v>0</v>
      </c>
      <c r="CQ55" s="52" t="n">
        <f aca="false">IF(AND(Parameter!$B$21="Ja",ISNUMBER(W55),N(X55)&gt;0),IFERROR(N(INDEX(Parameter!$L$5:$L$7,W55))*INDEX(Parameter!$E$5:$E$7,W55)*X55/SUMIFS($X$7:$X$1843,$W$7:$W$1843,W55),0),0)</f>
        <v>0</v>
      </c>
    </row>
    <row r="56" customFormat="false" ht="15" hidden="false" customHeight="false" outlineLevel="0" collapsed="false">
      <c r="A56" s="48" t="s">
        <v>316</v>
      </c>
      <c r="B56" s="48" t="s">
        <v>317</v>
      </c>
      <c r="C56" s="48" t="s">
        <v>173</v>
      </c>
      <c r="D56" s="48" t="s">
        <v>182</v>
      </c>
      <c r="E56" s="48"/>
      <c r="F56" s="48" t="s">
        <v>227</v>
      </c>
      <c r="G56" s="49" t="n">
        <v>455.63</v>
      </c>
      <c r="H56" s="50" t="n">
        <f aca="false">MAX(0,IF(AND(Parameter!$B$21="Ja",ISNUMBER(Y56)),Y56,IF(Parameter!$B$20="Jahresanfang 2025 + Export",BR56+BQ56,BQ56)))</f>
        <v>10</v>
      </c>
      <c r="I56" s="50" t="n">
        <f aca="false">H56*G56</f>
        <v>4556.3</v>
      </c>
      <c r="J56" s="50" t="n">
        <f aca="false">BT56*Parameter!$B$18</f>
        <v>0</v>
      </c>
      <c r="K56" s="51" t="n">
        <v>0</v>
      </c>
      <c r="L56" s="52" t="n">
        <v>0</v>
      </c>
      <c r="M56" s="50" t="n">
        <v>4</v>
      </c>
      <c r="N56" s="50" t="n">
        <v>16</v>
      </c>
      <c r="O56" s="53" t="n">
        <v>28</v>
      </c>
      <c r="P56" s="48" t="s">
        <v>177</v>
      </c>
      <c r="Q56" s="50"/>
      <c r="R56" s="53" t="n">
        <f aca="false">IF(BZ56=1,0,IFERROR(VLOOKUP(BX56,'Gebinde-Kategorie'!$A$5:$N$45,13,0)+0,0))</f>
        <v>12</v>
      </c>
      <c r="S56" s="54"/>
      <c r="T56" s="55" t="s">
        <v>188</v>
      </c>
      <c r="U56" s="55"/>
      <c r="V56" s="55"/>
      <c r="W56" s="48"/>
      <c r="X56" s="50"/>
      <c r="Y56" s="50"/>
      <c r="Z56" s="48" t="n">
        <f aca="false">IF(A56="","",IF(AND(Parameter!$B$21="Ja",ISNUMBER(W56)),W56,IF(CC56="2+3",IF(ISNUMBER(SEARCH("grosser Artikel",BU56)),2,IFERROR(VLOOKUP(BX56,Parameter!$F$35:$G$64,2,0),2)),IF(OR(CC56="Nein",CC56=""),"-",CC56))))</f>
        <v>2</v>
      </c>
      <c r="AA56" s="55"/>
      <c r="AB56" s="56"/>
      <c r="AC56" s="50" t="n">
        <f aca="false">AV56</f>
        <v>20</v>
      </c>
      <c r="AD56" s="50" t="n">
        <f aca="false">MAX(AV56,H56)</f>
        <v>20</v>
      </c>
      <c r="AE56" s="57"/>
      <c r="AF56" s="50" t="n">
        <f aca="false">IF(LEFT(Cockpit!$C$5,1)="A",H56,IF(Parameter!$E$30="MAX-Bestand",IF(CH56=1,CI56,IF(LEFT(Cockpit!$C$5,1)="B",AL56,MAX(AL56,H56))),ROUNDUP(AJ56,0)))</f>
        <v>10</v>
      </c>
      <c r="AG56" s="50" t="n">
        <f aca="false">IF(BZ56=1,0,ROUNDUP(AF56/BY56,0))</f>
        <v>1</v>
      </c>
      <c r="AH56" s="52" t="n">
        <f aca="false">IF(CQ56&gt;0,CQ56*MAX(1,AF56/X56),IF(BZ56=1,IF(AF56&lt;=0,0,CD56*MAX(1,IF(H56&gt;0,AF56/H56,1))),IF(R56&gt;0,AG56/R56,0))/MAX(0.1,N(Parameter!$M$21)))</f>
        <v>0.0833333333333333</v>
      </c>
      <c r="AI56" s="50" t="n">
        <f aca="false">AH56*CB56</f>
        <v>12.0833333333333</v>
      </c>
      <c r="AJ56" s="51" t="n">
        <f aca="false">IF(LEFT(Cockpit!$C$5,1)="A",H56,IF(CH56=1,(CK56+CI56)/2,IF(LEFT(Cockpit!$C$5,1)="B",(CK56+AL56)/2,MAX((CK56+AL56)/2,H56))))</f>
        <v>10</v>
      </c>
      <c r="AK56" s="50" t="n">
        <f aca="false">AJ56*G56</f>
        <v>4556.3</v>
      </c>
      <c r="AL56" s="50" t="n">
        <f aca="false">ROUNDUP(CK56+MAX(CL56,2*(J56/IF(CG56&gt;0,CG56,MAX(0.1,N(Cockpit!$C$6)))-CK56)),0)</f>
        <v>20</v>
      </c>
      <c r="AM56" s="51" t="n">
        <f aca="false">IF(AI56&gt;0,J56/AI56,-1)</f>
        <v>0</v>
      </c>
      <c r="AN56" s="51" t="n">
        <f aca="false">IF(AND(OR(CF56="L1",CF56="L23",CF56="LIFT"),AI56&gt;0),SUMIFS($AI$7:$AI$1843,$CF$7:$CF$1843,CF56,$AM$7:$AM$1843,"&gt;"&amp;AM56)+SUMIFS($AI$7:$AI$1843,$CF$7:$CF$1843,CF56,$AM$7:$AM$1843,AM56,$BW$7:$BW$1843,"&lt;="&amp;BW56),"")</f>
        <v>26329.2419212144</v>
      </c>
      <c r="AO56" s="58" t="n">
        <f aca="false">IF(AN56="",0,MAX(0,MIN(1,(IF(CF56="L1",Parameter!$H$5,IF(CF56="L23",Parameter!$H$6+Parameter!$H$7,Parameter!$H$5+Parameter!$H$6+Parameter!$H$7))-(AN56-AI56))/AI56)))</f>
        <v>1</v>
      </c>
      <c r="AP56" s="50" t="n">
        <f aca="false">IF(LEFT(Cockpit!$I$5,1)="A",H56,IF(Parameter!$E$30="MAX-Bestand",IF(CH56=1,CI56,IF(LEFT(Cockpit!$I$5,1)="B",AV56,MAX(AV56,H56))),ROUNDUP(AT56,0)))</f>
        <v>12</v>
      </c>
      <c r="AQ56" s="50" t="n">
        <f aca="false">IF(BZ56=1,0,ROUNDUP(AP56/BY56,0))</f>
        <v>1</v>
      </c>
      <c r="AR56" s="52" t="n">
        <f aca="false">IF(CQ56&gt;0,CQ56*MAX(1,AP56/X56),IF(BZ56=1,IF(AP56&lt;=0,0,CD56*MAX(1,IF(H56&gt;0,AP56/H56,1))),IF(R56&gt;0,AQ56/R56,0))/MAX(0.1,N(Parameter!$M$21)))</f>
        <v>0.0833333333333333</v>
      </c>
      <c r="AS56" s="50" t="n">
        <f aca="false">AR56*CB56</f>
        <v>12.0833333333333</v>
      </c>
      <c r="AT56" s="51" t="n">
        <f aca="false">IF(LEFT(Cockpit!$I$5,1)="A",H56,IF(CH56=1,(CK56+CI56)/2,IF(LEFT(Cockpit!$I$5,1)="B",(CK56+AV56)/2,MAX((CK56+AV56)/2,H56))))</f>
        <v>12</v>
      </c>
      <c r="AU56" s="50" t="n">
        <f aca="false">AT56*G56</f>
        <v>5467.56</v>
      </c>
      <c r="AV56" s="50" t="n">
        <f aca="false">ROUNDUP(CK56+MAX(CL56,2*(J56/IF(CG56&gt;0,CG56,MAX(0.1,N(Cockpit!$I$6)))-CK56)),0)</f>
        <v>20</v>
      </c>
      <c r="AW56" s="51" t="n">
        <f aca="false">IF(AS56&gt;0,J56/AS56,-1)</f>
        <v>0</v>
      </c>
      <c r="AX56" s="51" t="n">
        <f aca="false">IF(AND(OR(CF56="L1",CF56="L23",CF56="LIFT"),AS56&gt;0),SUMIFS($AS$7:$AS$1843,$CF$7:$CF$1843,CF56,$AW$7:$AW$1843,"&gt;"&amp;AW56)+SUMIFS($AS$7:$AS$1843,$CF$7:$CF$1843,CF56,$AW$7:$AW$1843,AW56,$BW$7:$BW$1843,"&lt;="&amp;BW56),"")</f>
        <v>31682.3905625918</v>
      </c>
      <c r="AY56" s="58" t="n">
        <f aca="false">IF(AX56="",0,MAX(0,MIN(1,(IF(CF56="L1",Parameter!$H$5,IF(CF56="L23",Parameter!$H$6+Parameter!$H$7,Parameter!$H$5+Parameter!$H$6+Parameter!$H$7))-(AX56-AS56))/AS56)))</f>
        <v>1</v>
      </c>
      <c r="AZ56" s="50" t="n">
        <f aca="false">IF(LEFT(Cockpit!$O$5,1)="A",H56,IF(Parameter!$E$30="MAX-Bestand",IF(CH56=1,CI56,IF(LEFT(Cockpit!$O$5,1)="B",BF56,MAX(BF56,H56))),ROUNDUP(BD56,0)))</f>
        <v>12</v>
      </c>
      <c r="BA56" s="50" t="n">
        <f aca="false">IF(BZ56=1,0,ROUNDUP(AZ56/BY56,0))</f>
        <v>1</v>
      </c>
      <c r="BB56" s="52" t="n">
        <f aca="false">IF(CQ56&gt;0,CQ56*MAX(1,AZ56/X56),IF(BZ56=1,IF(AZ56&lt;=0,0,CD56*MAX(1,IF(H56&gt;0,AZ56/H56,1))),IF(R56&gt;0,BA56/R56,0))/MAX(0.1,N(Parameter!$M$21)))</f>
        <v>0.0833333333333333</v>
      </c>
      <c r="BC56" s="50" t="n">
        <f aca="false">BB56*CB56</f>
        <v>12.0833333333333</v>
      </c>
      <c r="BD56" s="51" t="n">
        <f aca="false">IF(LEFT(Cockpit!$O$5,1)="A",H56,IF(CH56=1,(CK56+CI56)/2,IF(LEFT(Cockpit!$O$5,1)="B",(CK56+BF56)/2,MAX((CK56+BF56)/2,H56))))</f>
        <v>12</v>
      </c>
      <c r="BE56" s="50" t="n">
        <f aca="false">BD56*G56</f>
        <v>5467.56</v>
      </c>
      <c r="BF56" s="50" t="n">
        <f aca="false">ROUNDUP(CK56+MAX(CL56,2*(J56/IF(CG56&gt;0,CG56,MAX(0.1,N(Cockpit!$O$6)))-CK56)),0)</f>
        <v>20</v>
      </c>
      <c r="BG56" s="51" t="n">
        <f aca="false">IF(BC56&gt;0,J56/BC56,-1)</f>
        <v>0</v>
      </c>
      <c r="BH56" s="51" t="n">
        <f aca="false">IF(AND(OR(CF56="L1",CF56="L23",CF56="LIFT"),BC56&gt;0),SUMIFS($BC$7:$BC$1843,$CF$7:$CF$1843,CF56,$BG$7:$BG$1843,"&gt;"&amp;BG56)+SUMIFS($BC$7:$BC$1843,$CF$7:$CF$1843,CF56,$BG$7:$BG$1843,BG56,$BW$7:$BW$1843,"&lt;="&amp;BW56),"")</f>
        <v>25878.9724058898</v>
      </c>
      <c r="BI56" s="58" t="n">
        <f aca="false">IF(BH56="",0,MAX(0,MIN(1,(IF(CF56="L1",Parameter!$H$5,IF(CF56="L23",Parameter!$H$6+Parameter!$H$7,Parameter!$H$5+Parameter!$H$6+Parameter!$H$7))-(BH56-BC56))/BC56)))</f>
        <v>1</v>
      </c>
      <c r="BJ56" s="48" t="str">
        <f aca="false">IF(AI56&lt;=0,"",IF(CF56="Aussen","Aussenlager",IF(CF56="-","Nicht im Lift",IF(AO56&gt;=1,"Lift",IF(AO56&lt;=0,"Aussenlager","teilweise")))))</f>
        <v>Lift</v>
      </c>
      <c r="BK56" s="48" t="str">
        <f aca="false">IF(AS56&lt;=0,"",IF(CF56="Aussen","Aussenlager",IF(CF56="-","Nicht im Lift",IF(AY56&gt;=1,"Lift",IF(AY56&lt;=0,"Aussenlager","teilweise")))))</f>
        <v>Lift</v>
      </c>
      <c r="BL56" s="48" t="str">
        <f aca="false">IF(BC56&lt;=0,"",IF(CF56="Aussen","Aussenlager",IF(CF56="-","Nicht im Lift",IF(BI56&gt;=1,"Lift",IF(BI56&lt;=0,"Aussenlager","teilweise")))))</f>
        <v>Lift</v>
      </c>
      <c r="BM56" s="48" t="str">
        <f aca="false">IF(A56="","",IF(BV56=1,"Neu; ","")&amp;IF(AND(BV56=0,BQ56&lt;0),"negativer Bestand (Export "&amp;BQ56&amp;"); ","")&amp;IF(J56&lt;=0,"Kein Verbrauch; ","")&amp;IF(CQ56&gt;0,"Lift "&amp;W56&amp;" lt. Liftbericht (Fach "&amp;X56&amp;" Stk); ",IF(CA56=1,"Gebinde geschätzt ("&amp;T56&amp;"); ",IF(BZ56=1,"Lose – Tablare geschätzt; ","")))&amp;IF(H56&gt;AV56,"Überbestand "&amp;ROUND(H56-AV56,0)&amp;" Stk / CHF "&amp;ROUND((H56-AV56)*G56,0)&amp;"; ","")&amp;IF(AND(CH56=1,CI56&lt;CJ56),"MAX &lt; MB+LG; ","")&amp;IF(AND(CP56&gt;0,CO56*10&gt;CP56),"zu hoch für Tablar; ","")&amp;IF(AND(BV56=0,OR(CH56=1,AA56&lt;&gt;"",U56&lt;&gt;"",V56&lt;&gt;"",AB56&lt;&gt;"")),"manuell übersteuert; ","")&amp;IF(AND(BZ56=0,R56=0),"Gebinde unbekannt / Stellmass fehlt; ","")&amp;IF(AND(BZ56=0,N(V56)&lt;=0,N(Q56)&lt;=0),"Menge pro Gebinde fehlt (Ist = 1 Gebinde); ","")&amp;BU56)</f>
        <v>Kein Verbrauch; Gebinde geschätzt (Mittel); Menge pro Gebinde fehlt (Ist = 1 Gebinde); </v>
      </c>
      <c r="BN56" s="48" t="s">
        <v>223</v>
      </c>
      <c r="BO56" s="48"/>
      <c r="BP56" s="55"/>
      <c r="BQ56" s="50" t="n">
        <v>10</v>
      </c>
      <c r="BR56" s="50" t="n">
        <v>0</v>
      </c>
      <c r="BS56" s="49" t="n">
        <v>4556.3</v>
      </c>
      <c r="BT56" s="50" t="n">
        <v>0</v>
      </c>
      <c r="BU56" s="48"/>
      <c r="BV56" s="53" t="n">
        <v>0</v>
      </c>
      <c r="BW56" s="53" t="n">
        <v>56</v>
      </c>
      <c r="BX56" s="48" t="str">
        <f aca="false">IF(U56&lt;&gt;"",UPPER(TRIM(U56)),IF(CA56=1,UPPER(VLOOKUP(T56,Parameter!$I$27:$K$29,2,0)),IF(P56="","LOSE",P56)))</f>
        <v>S61</v>
      </c>
      <c r="BY56" s="50" t="n">
        <f aca="false">IF(BX56="LOSE",1,IF(N(V56)&gt;0,V56,IF(CA56=1,MAX(1,N(VLOOKUP(T56,Parameter!$I$27:$K$29,3,0)),H56,N(N56)),IF(N(Q56)&gt;0,Q56,MAX(1,H56)))))</f>
        <v>16</v>
      </c>
      <c r="BZ56" s="53" t="n">
        <f aca="false">IF(BX56="LOSE",1,0)</f>
        <v>0</v>
      </c>
      <c r="CA56" s="53" t="n">
        <f aca="false">IF(AND(U56="",OR(P56="",P56="LOSE"),T56&lt;&gt;"",N(S56)&lt;=0,ISNUMBER(MATCH(T56,Parameter!$I$27:$I$29,0))),1,0)</f>
        <v>1</v>
      </c>
      <c r="CB56" s="53" t="n">
        <f aca="false">IF(CQ56&gt;0,INDEX(Parameter!$H$5:$H$7,W56)/INDEX(Parameter!$E$5:$E$7,W56),IF(AND(BZ56=0,N(IFERROR(VLOOKUP(BX56,'Gebinde-Kategorie'!$A$5:$N$45,14,0),0))&gt;0),VLOOKUP(BX56,'Gebinde-Kategorie'!$A$5:$N$45,14,0)*10+Parameter!$M$23,Parameter!$M$24))</f>
        <v>145</v>
      </c>
      <c r="CC56" s="48" t="str">
        <f aca="false">IF(AND(Parameter!$B$19="Ja",E56&lt;&gt;"",ISNUMBER(MATCH(E56,Parameter!$I$35:$I$52,0))),VLOOKUP(E56,Parameter!$I$35:$J$52,2,0),IFERROR(VLOOKUP(D56,Parameter!$A$35:$C$64,2,0),"Nein"))</f>
        <v>2+3</v>
      </c>
      <c r="CD56" s="52" t="n">
        <f aca="false">IF(BZ56=0,0,IF(N(S56)&gt;0,S56,IFERROR(VLOOKUP(D56,Parameter!$A$35:$C$64,3,0)+0,0)))</f>
        <v>0</v>
      </c>
      <c r="CE56" s="48" t="n">
        <f aca="false">IF(AA56&lt;&gt;"",AA56,Z56)</f>
        <v>2</v>
      </c>
      <c r="CF56" s="48" t="str">
        <f aca="false">IF(OR(CE56=1,CE56=2,CE56=3),IF(Parameter!$E$27="Ja","LIFT",IF(CE56=1,"L1","L23")),IF(CE56="Aussen","Aussen","-"))</f>
        <v>LIFT</v>
      </c>
      <c r="CG56" s="59" t="n">
        <f aca="false">IF(N(AB56)&gt;0,AB56,0)</f>
        <v>0</v>
      </c>
      <c r="CH56" s="53" t="n">
        <f aca="false">IF(ISNUMBER(AE56),1,0)</f>
        <v>0</v>
      </c>
      <c r="CI56" s="50" t="n">
        <f aca="false">N(AE56)</f>
        <v>0</v>
      </c>
      <c r="CJ56" s="50" t="n">
        <f aca="false">N(M56)+N(N56)</f>
        <v>20</v>
      </c>
      <c r="CK56" s="50" t="n">
        <f aca="false">N(M56)</f>
        <v>4</v>
      </c>
      <c r="CL56" s="50" t="n">
        <f aca="false">N(N56)</f>
        <v>16</v>
      </c>
      <c r="CM56" s="50" t="n">
        <f aca="false">ROUNDUP(H56/BY56,0)</f>
        <v>1</v>
      </c>
      <c r="CN56" s="50" t="n">
        <f aca="false">ROUNDUP(CI56/BY56,0)</f>
        <v>0</v>
      </c>
      <c r="CO56" s="53" t="n">
        <f aca="false">IF(BZ56=1,0,IFERROR(VLOOKUP(BX56,'Gebinde-Kategorie'!$A$5:$N$45,5,0)+0,0))</f>
        <v>11</v>
      </c>
      <c r="CP56" s="53" t="n">
        <f aca="false">IFERROR(IF(OR(CE56=1,CE56=2,CE56=3),N(INDEX(Parameter!$I$5:$I$7,CE56)),0),0)</f>
        <v>0</v>
      </c>
      <c r="CQ56" s="52" t="n">
        <f aca="false">IF(AND(Parameter!$B$21="Ja",ISNUMBER(W56),N(X56)&gt;0),IFERROR(N(INDEX(Parameter!$L$5:$L$7,W56))*INDEX(Parameter!$E$5:$E$7,W56)*X56/SUMIFS($X$7:$X$1843,$W$7:$W$1843,W56),0),0)</f>
        <v>0</v>
      </c>
    </row>
    <row r="57" customFormat="false" ht="15" hidden="false" customHeight="false" outlineLevel="0" collapsed="false">
      <c r="A57" s="48" t="s">
        <v>318</v>
      </c>
      <c r="B57" s="48" t="s">
        <v>319</v>
      </c>
      <c r="C57" s="48" t="s">
        <v>173</v>
      </c>
      <c r="D57" s="48" t="s">
        <v>193</v>
      </c>
      <c r="E57" s="48" t="s">
        <v>194</v>
      </c>
      <c r="F57" s="48" t="s">
        <v>227</v>
      </c>
      <c r="G57" s="49" t="n">
        <v>280.9</v>
      </c>
      <c r="H57" s="50" t="n">
        <f aca="false">MAX(0,IF(AND(Parameter!$B$21="Ja",ISNUMBER(Y57)),Y57,IF(Parameter!$B$20="Jahresanfang 2025 + Export",BR57+BQ57,BQ57)))</f>
        <v>64</v>
      </c>
      <c r="I57" s="50" t="n">
        <f aca="false">H57*G57</f>
        <v>17977.6</v>
      </c>
      <c r="J57" s="50" t="n">
        <f aca="false">BT57*Parameter!$B$18</f>
        <v>232</v>
      </c>
      <c r="K57" s="51" t="n">
        <v>71</v>
      </c>
      <c r="L57" s="52" t="n">
        <v>3.26760563380282</v>
      </c>
      <c r="M57" s="50" t="n">
        <v>13</v>
      </c>
      <c r="N57" s="50" t="n">
        <v>25</v>
      </c>
      <c r="O57" s="53" t="n">
        <v>21</v>
      </c>
      <c r="P57" s="48" t="s">
        <v>302</v>
      </c>
      <c r="Q57" s="50" t="n">
        <v>89</v>
      </c>
      <c r="R57" s="53" t="n">
        <f aca="false">IF(BZ57=1,0,IFERROR(VLOOKUP(BX57,'Gebinde-Kategorie'!$A$5:$N$45,13,0)+0,0))</f>
        <v>12</v>
      </c>
      <c r="S57" s="54"/>
      <c r="T57" s="55"/>
      <c r="U57" s="55"/>
      <c r="V57" s="55"/>
      <c r="W57" s="48"/>
      <c r="X57" s="50"/>
      <c r="Y57" s="50"/>
      <c r="Z57" s="48" t="n">
        <f aca="false">IF(A57="","",IF(AND(Parameter!$B$21="Ja",ISNUMBER(W57)),W57,IF(CC57="2+3",IF(ISNUMBER(SEARCH("grosser Artikel",BU57)),2,IFERROR(VLOOKUP(BX57,Parameter!$F$35:$G$64,2,0),2)),IF(OR(CC57="Nein",CC57=""),"-",CC57))))</f>
        <v>2</v>
      </c>
      <c r="AA57" s="55"/>
      <c r="AB57" s="56"/>
      <c r="AC57" s="50" t="n">
        <f aca="false">AV57</f>
        <v>142</v>
      </c>
      <c r="AD57" s="50" t="n">
        <f aca="false">MAX(AV57,H57)</f>
        <v>142</v>
      </c>
      <c r="AE57" s="57"/>
      <c r="AF57" s="50" t="n">
        <f aca="false">IF(LEFT(Cockpit!$C$5,1)="A",H57,IF(Parameter!$E$30="MAX-Bestand",IF(CH57=1,CI57,IF(LEFT(Cockpit!$C$5,1)="B",AL57,MAX(AL57,H57))),ROUNDUP(AJ57,0)))</f>
        <v>64</v>
      </c>
      <c r="AG57" s="50" t="n">
        <f aca="false">IF(BZ57=1,0,ROUNDUP(AF57/BY57,0))</f>
        <v>1</v>
      </c>
      <c r="AH57" s="52" t="n">
        <f aca="false">IF(CQ57&gt;0,CQ57*MAX(1,AF57/X57),IF(BZ57=1,IF(AF57&lt;=0,0,CD57*MAX(1,IF(H57&gt;0,AF57/H57,1))),IF(R57&gt;0,AG57/R57,0))/MAX(0.1,N(Parameter!$M$21)))</f>
        <v>0.0833333333333333</v>
      </c>
      <c r="AI57" s="50" t="n">
        <f aca="false">AH57*CB57</f>
        <v>20.4166666666667</v>
      </c>
      <c r="AJ57" s="51" t="n">
        <f aca="false">IF(LEFT(Cockpit!$C$5,1)="A",H57,IF(CH57=1,(CK57+CI57)/2,IF(LEFT(Cockpit!$C$5,1)="B",(CK57+AL57)/2,MAX((CK57+AL57)/2,H57))))</f>
        <v>64</v>
      </c>
      <c r="AK57" s="50" t="n">
        <f aca="false">AJ57*G57</f>
        <v>17977.6</v>
      </c>
      <c r="AL57" s="50" t="n">
        <f aca="false">ROUNDUP(CK57+MAX(CL57,2*(J57/IF(CG57&gt;0,CG57,MAX(0.1,N(Cockpit!$C$6)))-CK57)),0)</f>
        <v>142</v>
      </c>
      <c r="AM57" s="51" t="n">
        <f aca="false">IF(AI57&gt;0,J57/AI57,-1)</f>
        <v>11.3632653061225</v>
      </c>
      <c r="AN57" s="51" t="n">
        <f aca="false">IF(AND(OR(CF57="L1",CF57="L23",CF57="LIFT"),AI57&gt;0),SUMIFS($AI$7:$AI$1843,$CF$7:$CF$1843,CF57,$AM$7:$AM$1843,"&gt;"&amp;AM57)+SUMIFS($AI$7:$AI$1843,$CF$7:$CF$1843,CF57,$AM$7:$AM$1843,AM57,$BW$7:$BW$1843,"&lt;="&amp;BW57),"")</f>
        <v>2573.81501831502</v>
      </c>
      <c r="AO57" s="58" t="n">
        <f aca="false">IF(AN57="",0,MAX(0,MIN(1,(IF(CF57="L1",Parameter!$H$5,IF(CF57="L23",Parameter!$H$6+Parameter!$H$7,Parameter!$H$5+Parameter!$H$6+Parameter!$H$7))-(AN57-AI57))/AI57)))</f>
        <v>1</v>
      </c>
      <c r="AP57" s="50" t="n">
        <f aca="false">IF(LEFT(Cockpit!$I$5,1)="A",H57,IF(Parameter!$E$30="MAX-Bestand",IF(CH57=1,CI57,IF(LEFT(Cockpit!$I$5,1)="B",AV57,MAX(AV57,H57))),ROUNDUP(AT57,0)))</f>
        <v>78</v>
      </c>
      <c r="AQ57" s="50" t="n">
        <f aca="false">IF(BZ57=1,0,ROUNDUP(AP57/BY57,0))</f>
        <v>1</v>
      </c>
      <c r="AR57" s="52" t="n">
        <f aca="false">IF(CQ57&gt;0,CQ57*MAX(1,AP57/X57),IF(BZ57=1,IF(AP57&lt;=0,0,CD57*MAX(1,IF(H57&gt;0,AP57/H57,1))),IF(R57&gt;0,AQ57/R57,0))/MAX(0.1,N(Parameter!$M$21)))</f>
        <v>0.0833333333333333</v>
      </c>
      <c r="AS57" s="50" t="n">
        <f aca="false">AR57*CB57</f>
        <v>20.4166666666667</v>
      </c>
      <c r="AT57" s="51" t="n">
        <f aca="false">IF(LEFT(Cockpit!$I$5,1)="A",H57,IF(CH57=1,(CK57+CI57)/2,IF(LEFT(Cockpit!$I$5,1)="B",(CK57+AV57)/2,MAX((CK57+AV57)/2,H57))))</f>
        <v>77.5</v>
      </c>
      <c r="AU57" s="50" t="n">
        <f aca="false">AT57*G57</f>
        <v>21769.75</v>
      </c>
      <c r="AV57" s="50" t="n">
        <f aca="false">ROUNDUP(CK57+MAX(CL57,2*(J57/IF(CG57&gt;0,CG57,MAX(0.1,N(Cockpit!$I$6)))-CK57)),0)</f>
        <v>142</v>
      </c>
      <c r="AW57" s="51" t="n">
        <f aca="false">IF(AS57&gt;0,J57/AS57,-1)</f>
        <v>11.3632653061225</v>
      </c>
      <c r="AX57" s="51" t="n">
        <f aca="false">IF(AND(OR(CF57="L1",CF57="L23",CF57="LIFT"),AS57&gt;0),SUMIFS($AS$7:$AS$1843,$CF$7:$CF$1843,CF57,$AW$7:$AW$1843,"&gt;"&amp;AW57)+SUMIFS($AS$7:$AS$1843,$CF$7:$CF$1843,CF57,$AW$7:$AW$1843,AW57,$BW$7:$BW$1843,"&lt;="&amp;BW57),"")</f>
        <v>3169.95695970696</v>
      </c>
      <c r="AY57" s="58" t="n">
        <f aca="false">IF(AX57="",0,MAX(0,MIN(1,(IF(CF57="L1",Parameter!$H$5,IF(CF57="L23",Parameter!$H$6+Parameter!$H$7,Parameter!$H$5+Parameter!$H$6+Parameter!$H$7))-(AX57-AS57))/AS57)))</f>
        <v>1</v>
      </c>
      <c r="AZ57" s="50" t="n">
        <f aca="false">IF(LEFT(Cockpit!$O$5,1)="A",H57,IF(Parameter!$E$30="MAX-Bestand",IF(CH57=1,CI57,IF(LEFT(Cockpit!$O$5,1)="B",BF57,MAX(BF57,H57))),ROUNDUP(BD57,0)))</f>
        <v>58</v>
      </c>
      <c r="BA57" s="50" t="n">
        <f aca="false">IF(BZ57=1,0,ROUNDUP(AZ57/BY57,0))</f>
        <v>1</v>
      </c>
      <c r="BB57" s="52" t="n">
        <f aca="false">IF(CQ57&gt;0,CQ57*MAX(1,AZ57/X57),IF(BZ57=1,IF(AZ57&lt;=0,0,CD57*MAX(1,IF(H57&gt;0,AZ57/H57,1))),IF(R57&gt;0,BA57/R57,0))/MAX(0.1,N(Parameter!$M$21)))</f>
        <v>0.0833333333333333</v>
      </c>
      <c r="BC57" s="50" t="n">
        <f aca="false">BB57*CB57</f>
        <v>20.4166666666667</v>
      </c>
      <c r="BD57" s="51" t="n">
        <f aca="false">IF(LEFT(Cockpit!$O$5,1)="A",H57,IF(CH57=1,(CK57+CI57)/2,IF(LEFT(Cockpit!$O$5,1)="B",(CK57+BF57)/2,MAX((CK57+BF57)/2,H57))))</f>
        <v>58</v>
      </c>
      <c r="BE57" s="50" t="n">
        <f aca="false">BD57*G57</f>
        <v>16292.2</v>
      </c>
      <c r="BF57" s="50" t="n">
        <f aca="false">ROUNDUP(CK57+MAX(CL57,2*(J57/IF(CG57&gt;0,CG57,MAX(0.1,N(Cockpit!$O$6)))-CK57)),0)</f>
        <v>103</v>
      </c>
      <c r="BG57" s="51" t="n">
        <f aca="false">IF(BC57&gt;0,J57/BC57,-1)</f>
        <v>11.3632653061225</v>
      </c>
      <c r="BH57" s="51" t="n">
        <f aca="false">IF(AND(OR(CF57="L1",CF57="L23",CF57="LIFT"),BC57&gt;0),SUMIFS($BC$7:$BC$1843,$CF$7:$CF$1843,CF57,$BG$7:$BG$1843,"&gt;"&amp;BG57)+SUMIFS($BC$7:$BC$1843,$CF$7:$CF$1843,CF57,$BG$7:$BG$1843,BG57,$BW$7:$BW$1843,"&lt;="&amp;BW57),"")</f>
        <v>2655.06593406593</v>
      </c>
      <c r="BI57" s="58" t="n">
        <f aca="false">IF(BH57="",0,MAX(0,MIN(1,(IF(CF57="L1",Parameter!$H$5,IF(CF57="L23",Parameter!$H$6+Parameter!$H$7,Parameter!$H$5+Parameter!$H$6+Parameter!$H$7))-(BH57-BC57))/BC57)))</f>
        <v>1</v>
      </c>
      <c r="BJ57" s="48" t="str">
        <f aca="false">IF(AI57&lt;=0,"",IF(CF57="Aussen","Aussenlager",IF(CF57="-","Nicht im Lift",IF(AO57&gt;=1,"Lift",IF(AO57&lt;=0,"Aussenlager","teilweise")))))</f>
        <v>Lift</v>
      </c>
      <c r="BK57" s="48" t="str">
        <f aca="false">IF(AS57&lt;=0,"",IF(CF57="Aussen","Aussenlager",IF(CF57="-","Nicht im Lift",IF(AY57&gt;=1,"Lift",IF(AY57&lt;=0,"Aussenlager","teilweise")))))</f>
        <v>Lift</v>
      </c>
      <c r="BL57" s="48" t="str">
        <f aca="false">IF(BC57&lt;=0,"",IF(CF57="Aussen","Aussenlager",IF(CF57="-","Nicht im Lift",IF(BI57&gt;=1,"Lift",IF(BI57&lt;=0,"Aussenlager","teilweise")))))</f>
        <v>Lift</v>
      </c>
      <c r="BM57" s="48" t="str">
        <f aca="false">IF(A57="","",IF(BV57=1,"Neu; ","")&amp;IF(AND(BV57=0,BQ57&lt;0),"negativer Bestand (Export "&amp;BQ57&amp;"); ","")&amp;IF(J57&lt;=0,"Kein Verbrauch; ","")&amp;IF(CQ57&gt;0,"Lift "&amp;W57&amp;" lt. Liftbericht (Fach "&amp;X57&amp;" Stk); ",IF(CA57=1,"Gebinde geschätzt ("&amp;T57&amp;"); ",IF(BZ57=1,"Lose – Tablare geschätzt; ","")))&amp;IF(H57&gt;AV57,"Überbestand "&amp;ROUND(H57-AV57,0)&amp;" Stk / CHF "&amp;ROUND((H57-AV57)*G57,0)&amp;"; ","")&amp;IF(AND(CH57=1,CI57&lt;CJ57),"MAX &lt; MB+LG; ","")&amp;IF(AND(CP57&gt;0,CO57*10&gt;CP57),"zu hoch für Tablar; ","")&amp;IF(AND(BV57=0,OR(CH57=1,AA57&lt;&gt;"",U57&lt;&gt;"",V57&lt;&gt;"",AB57&lt;&gt;"")),"manuell übersteuert; ","")&amp;IF(AND(BZ57=0,R57=0),"Gebinde unbekannt / Stellmass fehlt; ","")&amp;IF(AND(BZ57=0,N(V57)&lt;=0,N(Q57)&lt;=0),"Menge pro Gebinde fehlt (Ist = 1 Gebinde); ","")&amp;BU57)</f>
        <v/>
      </c>
      <c r="BN57" s="48"/>
      <c r="BO57" s="48"/>
      <c r="BP57" s="55"/>
      <c r="BQ57" s="50" t="n">
        <v>13</v>
      </c>
      <c r="BR57" s="50" t="n">
        <v>51</v>
      </c>
      <c r="BS57" s="49" t="n">
        <v>4516.17999999989</v>
      </c>
      <c r="BT57" s="50" t="n">
        <v>232</v>
      </c>
      <c r="BU57" s="48"/>
      <c r="BV57" s="53" t="n">
        <v>0</v>
      </c>
      <c r="BW57" s="53" t="n">
        <v>57</v>
      </c>
      <c r="BX57" s="48" t="str">
        <f aca="false">IF(U57&lt;&gt;"",UPPER(TRIM(U57)),IF(CA57=1,UPPER(VLOOKUP(T57,Parameter!$I$27:$K$29,2,0)),IF(P57="","LOSE",P57)))</f>
        <v>S62</v>
      </c>
      <c r="BY57" s="50" t="n">
        <f aca="false">IF(BX57="LOSE",1,IF(N(V57)&gt;0,V57,IF(CA57=1,MAX(1,N(VLOOKUP(T57,Parameter!$I$27:$K$29,3,0)),H57,N(N57)),IF(N(Q57)&gt;0,Q57,MAX(1,H57)))))</f>
        <v>89</v>
      </c>
      <c r="BZ57" s="53" t="n">
        <f aca="false">IF(BX57="LOSE",1,0)</f>
        <v>0</v>
      </c>
      <c r="CA57" s="53" t="n">
        <f aca="false">IF(AND(U57="",OR(P57="",P57="LOSE"),T57&lt;&gt;"",N(S57)&lt;=0,ISNUMBER(MATCH(T57,Parameter!$I$27:$I$29,0))),1,0)</f>
        <v>0</v>
      </c>
      <c r="CB57" s="53" t="n">
        <f aca="false">IF(CQ57&gt;0,INDEX(Parameter!$H$5:$H$7,W57)/INDEX(Parameter!$E$5:$E$7,W57),IF(AND(BZ57=0,N(IFERROR(VLOOKUP(BX57,'Gebinde-Kategorie'!$A$5:$N$45,14,0),0))&gt;0),VLOOKUP(BX57,'Gebinde-Kategorie'!$A$5:$N$45,14,0)*10+Parameter!$M$23,Parameter!$M$24))</f>
        <v>245</v>
      </c>
      <c r="CC57" s="48" t="str">
        <f aca="false">IF(AND(Parameter!$B$19="Ja",E57&lt;&gt;"",ISNUMBER(MATCH(E57,Parameter!$I$35:$I$52,0))),VLOOKUP(E57,Parameter!$I$35:$J$52,2,0),IFERROR(VLOOKUP(D57,Parameter!$A$35:$C$64,2,0),"Nein"))</f>
        <v>2+3</v>
      </c>
      <c r="CD57" s="52" t="n">
        <f aca="false">IF(BZ57=0,0,IF(N(S57)&gt;0,S57,IFERROR(VLOOKUP(D57,Parameter!$A$35:$C$64,3,0)+0,0)))</f>
        <v>0</v>
      </c>
      <c r="CE57" s="48" t="n">
        <f aca="false">IF(AA57&lt;&gt;"",AA57,Z57)</f>
        <v>2</v>
      </c>
      <c r="CF57" s="48" t="str">
        <f aca="false">IF(OR(CE57=1,CE57=2,CE57=3),IF(Parameter!$E$27="Ja","LIFT",IF(CE57=1,"L1","L23")),IF(CE57="Aussen","Aussen","-"))</f>
        <v>LIFT</v>
      </c>
      <c r="CG57" s="59" t="n">
        <f aca="false">IF(N(AB57)&gt;0,AB57,0)</f>
        <v>0</v>
      </c>
      <c r="CH57" s="53" t="n">
        <f aca="false">IF(ISNUMBER(AE57),1,0)</f>
        <v>0</v>
      </c>
      <c r="CI57" s="50" t="n">
        <f aca="false">N(AE57)</f>
        <v>0</v>
      </c>
      <c r="CJ57" s="50" t="n">
        <f aca="false">N(M57)+N(N57)</f>
        <v>38</v>
      </c>
      <c r="CK57" s="50" t="n">
        <f aca="false">N(M57)</f>
        <v>13</v>
      </c>
      <c r="CL57" s="50" t="n">
        <f aca="false">N(N57)</f>
        <v>25</v>
      </c>
      <c r="CM57" s="50" t="n">
        <f aca="false">ROUNDUP(H57/BY57,0)</f>
        <v>1</v>
      </c>
      <c r="CN57" s="50" t="n">
        <f aca="false">ROUNDUP(CI57/BY57,0)</f>
        <v>0</v>
      </c>
      <c r="CO57" s="53" t="n">
        <f aca="false">IF(BZ57=1,0,IFERROR(VLOOKUP(BX57,'Gebinde-Kategorie'!$A$5:$N$45,5,0)+0,0))</f>
        <v>21</v>
      </c>
      <c r="CP57" s="53" t="n">
        <f aca="false">IFERROR(IF(OR(CE57=1,CE57=2,CE57=3),N(INDEX(Parameter!$I$5:$I$7,CE57)),0),0)</f>
        <v>0</v>
      </c>
      <c r="CQ57" s="52" t="n">
        <f aca="false">IF(AND(Parameter!$B$21="Ja",ISNUMBER(W57),N(X57)&gt;0),IFERROR(N(INDEX(Parameter!$L$5:$L$7,W57))*INDEX(Parameter!$E$5:$E$7,W57)*X57/SUMIFS($X$7:$X$1843,$W$7:$W$1843,W57),0),0)</f>
        <v>0</v>
      </c>
    </row>
    <row r="58" customFormat="false" ht="15" hidden="false" customHeight="false" outlineLevel="0" collapsed="false">
      <c r="A58" s="48" t="s">
        <v>320</v>
      </c>
      <c r="B58" s="48" t="s">
        <v>321</v>
      </c>
      <c r="C58" s="48" t="s">
        <v>173</v>
      </c>
      <c r="D58" s="48" t="s">
        <v>193</v>
      </c>
      <c r="E58" s="48" t="s">
        <v>194</v>
      </c>
      <c r="F58" s="48" t="s">
        <v>227</v>
      </c>
      <c r="G58" s="49" t="n">
        <v>15.95</v>
      </c>
      <c r="H58" s="50" t="n">
        <f aca="false">MAX(0,IF(AND(Parameter!$B$21="Ja",ISNUMBER(Y58)),Y58,IF(Parameter!$B$20="Jahresanfang 2025 + Export",BR58+BQ58,BQ58)))</f>
        <v>309</v>
      </c>
      <c r="I58" s="50" t="n">
        <f aca="false">H58*G58</f>
        <v>4928.55</v>
      </c>
      <c r="J58" s="50" t="n">
        <f aca="false">BT58*Parameter!$B$18</f>
        <v>310</v>
      </c>
      <c r="K58" s="51" t="n">
        <v>94.5</v>
      </c>
      <c r="L58" s="52" t="n">
        <v>3.28042328042328</v>
      </c>
      <c r="M58" s="50" t="n">
        <v>50</v>
      </c>
      <c r="N58" s="50" t="n">
        <v>225</v>
      </c>
      <c r="O58" s="53" t="n">
        <v>56</v>
      </c>
      <c r="P58" s="48" t="s">
        <v>311</v>
      </c>
      <c r="Q58" s="50" t="n">
        <v>142</v>
      </c>
      <c r="R58" s="53" t="n">
        <f aca="false">IF(BZ58=1,0,IFERROR(VLOOKUP(BX58,'Gebinde-Kategorie'!$A$5:$N$45,13,0)+0,0))</f>
        <v>26</v>
      </c>
      <c r="S58" s="54"/>
      <c r="T58" s="55"/>
      <c r="U58" s="55"/>
      <c r="V58" s="55"/>
      <c r="W58" s="48"/>
      <c r="X58" s="50"/>
      <c r="Y58" s="50"/>
      <c r="Z58" s="48" t="n">
        <f aca="false">IF(A58="","",IF(AND(Parameter!$B$21="Ja",ISNUMBER(W58)),W58,IF(CC58="2+3",IF(ISNUMBER(SEARCH("grosser Artikel",BU58)),2,IFERROR(VLOOKUP(BX58,Parameter!$F$35:$G$64,2,0),2)),IF(OR(CC58="Nein",CC58=""),"-",CC58))))</f>
        <v>3</v>
      </c>
      <c r="AA58" s="55"/>
      <c r="AB58" s="56"/>
      <c r="AC58" s="50" t="n">
        <f aca="false">AV58</f>
        <v>275</v>
      </c>
      <c r="AD58" s="50" t="n">
        <f aca="false">MAX(AV58,H58)</f>
        <v>309</v>
      </c>
      <c r="AE58" s="57"/>
      <c r="AF58" s="50" t="n">
        <f aca="false">IF(LEFT(Cockpit!$C$5,1)="A",H58,IF(Parameter!$E$30="MAX-Bestand",IF(CH58=1,CI58,IF(LEFT(Cockpit!$C$5,1)="B",AL58,MAX(AL58,H58))),ROUNDUP(AJ58,0)))</f>
        <v>309</v>
      </c>
      <c r="AG58" s="50" t="n">
        <f aca="false">IF(BZ58=1,0,ROUNDUP(AF58/BY58,0))</f>
        <v>3</v>
      </c>
      <c r="AH58" s="52" t="n">
        <f aca="false">IF(CQ58&gt;0,CQ58*MAX(1,AF58/X58),IF(BZ58=1,IF(AF58&lt;=0,0,CD58*MAX(1,IF(H58&gt;0,AF58/H58,1))),IF(R58&gt;0,AG58/R58,0))/MAX(0.1,N(Parameter!$M$21)))</f>
        <v>0.115384615384615</v>
      </c>
      <c r="AI58" s="50" t="n">
        <f aca="false">AH58*CB58</f>
        <v>17.8846153846154</v>
      </c>
      <c r="AJ58" s="51" t="n">
        <f aca="false">IF(LEFT(Cockpit!$C$5,1)="A",H58,IF(CH58=1,(CK58+CI58)/2,IF(LEFT(Cockpit!$C$5,1)="B",(CK58+AL58)/2,MAX((CK58+AL58)/2,H58))))</f>
        <v>309</v>
      </c>
      <c r="AK58" s="50" t="n">
        <f aca="false">AJ58*G58</f>
        <v>4928.55</v>
      </c>
      <c r="AL58" s="50" t="n">
        <f aca="false">ROUNDUP(CK58+MAX(CL58,2*(J58/IF(CG58&gt;0,CG58,MAX(0.1,N(Cockpit!$C$6)))-CK58)),0)</f>
        <v>275</v>
      </c>
      <c r="AM58" s="51" t="n">
        <f aca="false">IF(AI58&gt;0,J58/AI58,-1)</f>
        <v>17.3333333333333</v>
      </c>
      <c r="AN58" s="51" t="n">
        <f aca="false">IF(AND(OR(CF58="L1",CF58="L23",CF58="LIFT"),AI58&gt;0),SUMIFS($AI$7:$AI$1843,$CF$7:$CF$1843,CF58,$AM$7:$AM$1843,"&gt;"&amp;AM58)+SUMIFS($AI$7:$AI$1843,$CF$7:$CF$1843,CF58,$AM$7:$AM$1843,AM58,$BW$7:$BW$1843,"&lt;="&amp;BW58),"")</f>
        <v>1967.4097985348</v>
      </c>
      <c r="AO58" s="58" t="n">
        <f aca="false">IF(AN58="",0,MAX(0,MIN(1,(IF(CF58="L1",Parameter!$H$5,IF(CF58="L23",Parameter!$H$6+Parameter!$H$7,Parameter!$H$5+Parameter!$H$6+Parameter!$H$7))-(AN58-AI58))/AI58)))</f>
        <v>1</v>
      </c>
      <c r="AP58" s="50" t="n">
        <f aca="false">IF(LEFT(Cockpit!$I$5,1)="A",H58,IF(Parameter!$E$30="MAX-Bestand",IF(CH58=1,CI58,IF(LEFT(Cockpit!$I$5,1)="B",AV58,MAX(AV58,H58))),ROUNDUP(AT58,0)))</f>
        <v>309</v>
      </c>
      <c r="AQ58" s="50" t="n">
        <f aca="false">IF(BZ58=1,0,ROUNDUP(AP58/BY58,0))</f>
        <v>3</v>
      </c>
      <c r="AR58" s="52" t="n">
        <f aca="false">IF(CQ58&gt;0,CQ58*MAX(1,AP58/X58),IF(BZ58=1,IF(AP58&lt;=0,0,CD58*MAX(1,IF(H58&gt;0,AP58/H58,1))),IF(R58&gt;0,AQ58/R58,0))/MAX(0.1,N(Parameter!$M$21)))</f>
        <v>0.115384615384615</v>
      </c>
      <c r="AS58" s="50" t="n">
        <f aca="false">AR58*CB58</f>
        <v>17.8846153846154</v>
      </c>
      <c r="AT58" s="51" t="n">
        <f aca="false">IF(LEFT(Cockpit!$I$5,1)="A",H58,IF(CH58=1,(CK58+CI58)/2,IF(LEFT(Cockpit!$I$5,1)="B",(CK58+AV58)/2,MAX((CK58+AV58)/2,H58))))</f>
        <v>309</v>
      </c>
      <c r="AU58" s="50" t="n">
        <f aca="false">AT58*G58</f>
        <v>4928.55</v>
      </c>
      <c r="AV58" s="50" t="n">
        <f aca="false">ROUNDUP(CK58+MAX(CL58,2*(J58/IF(CG58&gt;0,CG58,MAX(0.1,N(Cockpit!$I$6)))-CK58)),0)</f>
        <v>275</v>
      </c>
      <c r="AW58" s="51" t="n">
        <f aca="false">IF(AS58&gt;0,J58/AS58,-1)</f>
        <v>17.3333333333333</v>
      </c>
      <c r="AX58" s="51" t="n">
        <f aca="false">IF(AND(OR(CF58="L1",CF58="L23",CF58="LIFT"),AS58&gt;0),SUMIFS($AS$7:$AS$1843,$CF$7:$CF$1843,CF58,$AW$7:$AW$1843,"&gt;"&amp;AW58)+SUMIFS($AS$7:$AS$1843,$CF$7:$CF$1843,CF58,$AW$7:$AW$1843,AW58,$BW$7:$BW$1843,"&lt;="&amp;BW58),"")</f>
        <v>2604.53067765568</v>
      </c>
      <c r="AY58" s="58" t="n">
        <f aca="false">IF(AX58="",0,MAX(0,MIN(1,(IF(CF58="L1",Parameter!$H$5,IF(CF58="L23",Parameter!$H$6+Parameter!$H$7,Parameter!$H$5+Parameter!$H$6+Parameter!$H$7))-(AX58-AS58))/AS58)))</f>
        <v>1</v>
      </c>
      <c r="AZ58" s="50" t="n">
        <f aca="false">IF(LEFT(Cockpit!$O$5,1)="A",H58,IF(Parameter!$E$30="MAX-Bestand",IF(CH58=1,CI58,IF(LEFT(Cockpit!$O$5,1)="B",BF58,MAX(BF58,H58))),ROUNDUP(BD58,0)))</f>
        <v>163</v>
      </c>
      <c r="BA58" s="50" t="n">
        <f aca="false">IF(BZ58=1,0,ROUNDUP(AZ58/BY58,0))</f>
        <v>2</v>
      </c>
      <c r="BB58" s="52" t="n">
        <f aca="false">IF(CQ58&gt;0,CQ58*MAX(1,AZ58/X58),IF(BZ58=1,IF(AZ58&lt;=0,0,CD58*MAX(1,IF(H58&gt;0,AZ58/H58,1))),IF(R58&gt;0,BA58/R58,0))/MAX(0.1,N(Parameter!$M$21)))</f>
        <v>0.0769230769230769</v>
      </c>
      <c r="BC58" s="50" t="n">
        <f aca="false">BB58*CB58</f>
        <v>11.9230769230769</v>
      </c>
      <c r="BD58" s="51" t="n">
        <f aca="false">IF(LEFT(Cockpit!$O$5,1)="A",H58,IF(CH58=1,(CK58+CI58)/2,IF(LEFT(Cockpit!$O$5,1)="B",(CK58+BF58)/2,MAX((CK58+BF58)/2,H58))))</f>
        <v>162.5</v>
      </c>
      <c r="BE58" s="50" t="n">
        <f aca="false">BD58*G58</f>
        <v>2591.875</v>
      </c>
      <c r="BF58" s="50" t="n">
        <f aca="false">ROUNDUP(CK58+MAX(CL58,2*(J58/IF(CG58&gt;0,CG58,MAX(0.1,N(Cockpit!$O$6)))-CK58)),0)</f>
        <v>275</v>
      </c>
      <c r="BG58" s="51" t="n">
        <f aca="false">IF(BC58&gt;0,J58/BC58,-1)</f>
        <v>26</v>
      </c>
      <c r="BH58" s="51" t="n">
        <f aca="false">IF(AND(OR(CF58="L1",CF58="L23",CF58="LIFT"),BC58&gt;0),SUMIFS($BC$7:$BC$1843,$CF$7:$CF$1843,CF58,$BG$7:$BG$1843,"&gt;"&amp;BG58)+SUMIFS($BC$7:$BC$1843,$CF$7:$CF$1843,CF58,$BG$7:$BG$1843,BG58,$BW$7:$BW$1843,"&lt;="&amp;BW58),"")</f>
        <v>2054.4097985348</v>
      </c>
      <c r="BI58" s="58" t="n">
        <f aca="false">IF(BH58="",0,MAX(0,MIN(1,(IF(CF58="L1",Parameter!$H$5,IF(CF58="L23",Parameter!$H$6+Parameter!$H$7,Parameter!$H$5+Parameter!$H$6+Parameter!$H$7))-(BH58-BC58))/BC58)))</f>
        <v>1</v>
      </c>
      <c r="BJ58" s="48" t="str">
        <f aca="false">IF(AI58&lt;=0,"",IF(CF58="Aussen","Aussenlager",IF(CF58="-","Nicht im Lift",IF(AO58&gt;=1,"Lift",IF(AO58&lt;=0,"Aussenlager","teilweise")))))</f>
        <v>Lift</v>
      </c>
      <c r="BK58" s="48" t="str">
        <f aca="false">IF(AS58&lt;=0,"",IF(CF58="Aussen","Aussenlager",IF(CF58="-","Nicht im Lift",IF(AY58&gt;=1,"Lift",IF(AY58&lt;=0,"Aussenlager","teilweise")))))</f>
        <v>Lift</v>
      </c>
      <c r="BL58" s="48" t="str">
        <f aca="false">IF(BC58&lt;=0,"",IF(CF58="Aussen","Aussenlager",IF(CF58="-","Nicht im Lift",IF(BI58&gt;=1,"Lift",IF(BI58&lt;=0,"Aussenlager","teilweise")))))</f>
        <v>Lift</v>
      </c>
      <c r="BM58" s="48" t="str">
        <f aca="false">IF(A58="","",IF(BV58=1,"Neu; ","")&amp;IF(AND(BV58=0,BQ58&lt;0),"negativer Bestand (Export "&amp;BQ58&amp;"); ","")&amp;IF(J58&lt;=0,"Kein Verbrauch; ","")&amp;IF(CQ58&gt;0,"Lift "&amp;W58&amp;" lt. Liftbericht (Fach "&amp;X58&amp;" Stk); ",IF(CA58=1,"Gebinde geschätzt ("&amp;T58&amp;"); ",IF(BZ58=1,"Lose – Tablare geschätzt; ","")))&amp;IF(H58&gt;AV58,"Überbestand "&amp;ROUND(H58-AV58,0)&amp;" Stk / CHF "&amp;ROUND((H58-AV58)*G58,0)&amp;"; ","")&amp;IF(AND(CH58=1,CI58&lt;CJ58),"MAX &lt; MB+LG; ","")&amp;IF(AND(CP58&gt;0,CO58*10&gt;CP58),"zu hoch für Tablar; ","")&amp;IF(AND(BV58=0,OR(CH58=1,AA58&lt;&gt;"",U58&lt;&gt;"",V58&lt;&gt;"",AB58&lt;&gt;"")),"manuell übersteuert; ","")&amp;IF(AND(BZ58=0,R58=0),"Gebinde unbekannt / Stellmass fehlt; ","")&amp;IF(AND(BZ58=0,N(V58)&lt;=0,N(Q58)&lt;=0),"Menge pro Gebinde fehlt (Ist = 1 Gebinde); ","")&amp;BU58)</f>
        <v>Überbestand 34 Stk / CHF 542; </v>
      </c>
      <c r="BN58" s="48"/>
      <c r="BO58" s="48"/>
      <c r="BP58" s="55"/>
      <c r="BQ58" s="50" t="n">
        <v>279</v>
      </c>
      <c r="BR58" s="50" t="n">
        <v>30</v>
      </c>
      <c r="BS58" s="49" t="n">
        <v>4460.25</v>
      </c>
      <c r="BT58" s="50" t="n">
        <v>310</v>
      </c>
      <c r="BU58" s="48"/>
      <c r="BV58" s="53" t="n">
        <v>0</v>
      </c>
      <c r="BW58" s="53" t="n">
        <v>58</v>
      </c>
      <c r="BX58" s="48" t="str">
        <f aca="false">IF(U58&lt;&gt;"",UPPER(TRIM(U58)),IF(CA58=1,UPPER(VLOOKUP(T58,Parameter!$I$27:$K$29,2,0)),IF(P58="","LOSE",P58)))</f>
        <v>S51</v>
      </c>
      <c r="BY58" s="50" t="n">
        <f aca="false">IF(BX58="LOSE",1,IF(N(V58)&gt;0,V58,IF(CA58=1,MAX(1,N(VLOOKUP(T58,Parameter!$I$27:$K$29,3,0)),H58,N(N58)),IF(N(Q58)&gt;0,Q58,MAX(1,H58)))))</f>
        <v>142</v>
      </c>
      <c r="BZ58" s="53" t="n">
        <f aca="false">IF(BX58="LOSE",1,0)</f>
        <v>0</v>
      </c>
      <c r="CA58" s="53" t="n">
        <f aca="false">IF(AND(U58="",OR(P58="",P58="LOSE"),T58&lt;&gt;"",N(S58)&lt;=0,ISNUMBER(MATCH(T58,Parameter!$I$27:$I$29,0))),1,0)</f>
        <v>0</v>
      </c>
      <c r="CB58" s="53" t="n">
        <f aca="false">IF(CQ58&gt;0,INDEX(Parameter!$H$5:$H$7,W58)/INDEX(Parameter!$E$5:$E$7,W58),IF(AND(BZ58=0,N(IFERROR(VLOOKUP(BX58,'Gebinde-Kategorie'!$A$5:$N$45,14,0),0))&gt;0),VLOOKUP(BX58,'Gebinde-Kategorie'!$A$5:$N$45,14,0)*10+Parameter!$M$23,Parameter!$M$24))</f>
        <v>155</v>
      </c>
      <c r="CC58" s="48" t="str">
        <f aca="false">IF(AND(Parameter!$B$19="Ja",E58&lt;&gt;"",ISNUMBER(MATCH(E58,Parameter!$I$35:$I$52,0))),VLOOKUP(E58,Parameter!$I$35:$J$52,2,0),IFERROR(VLOOKUP(D58,Parameter!$A$35:$C$64,2,0),"Nein"))</f>
        <v>2+3</v>
      </c>
      <c r="CD58" s="52" t="n">
        <f aca="false">IF(BZ58=0,0,IF(N(S58)&gt;0,S58,IFERROR(VLOOKUP(D58,Parameter!$A$35:$C$64,3,0)+0,0)))</f>
        <v>0</v>
      </c>
      <c r="CE58" s="48" t="n">
        <f aca="false">IF(AA58&lt;&gt;"",AA58,Z58)</f>
        <v>3</v>
      </c>
      <c r="CF58" s="48" t="str">
        <f aca="false">IF(OR(CE58=1,CE58=2,CE58=3),IF(Parameter!$E$27="Ja","LIFT",IF(CE58=1,"L1","L23")),IF(CE58="Aussen","Aussen","-"))</f>
        <v>LIFT</v>
      </c>
      <c r="CG58" s="59" t="n">
        <f aca="false">IF(N(AB58)&gt;0,AB58,0)</f>
        <v>0</v>
      </c>
      <c r="CH58" s="53" t="n">
        <f aca="false">IF(ISNUMBER(AE58),1,0)</f>
        <v>0</v>
      </c>
      <c r="CI58" s="50" t="n">
        <f aca="false">N(AE58)</f>
        <v>0</v>
      </c>
      <c r="CJ58" s="50" t="n">
        <f aca="false">N(M58)+N(N58)</f>
        <v>275</v>
      </c>
      <c r="CK58" s="50" t="n">
        <f aca="false">N(M58)</f>
        <v>50</v>
      </c>
      <c r="CL58" s="50" t="n">
        <f aca="false">N(N58)</f>
        <v>225</v>
      </c>
      <c r="CM58" s="50" t="n">
        <f aca="false">ROUNDUP(H58/BY58,0)</f>
        <v>3</v>
      </c>
      <c r="CN58" s="50" t="n">
        <f aca="false">ROUNDUP(CI58/BY58,0)</f>
        <v>0</v>
      </c>
      <c r="CO58" s="53" t="n">
        <f aca="false">IF(BZ58=1,0,IFERROR(VLOOKUP(BX58,'Gebinde-Kategorie'!$A$5:$N$45,5,0)+0,0))</f>
        <v>11</v>
      </c>
      <c r="CP58" s="53" t="n">
        <f aca="false">IFERROR(IF(OR(CE58=1,CE58=2,CE58=3),N(INDEX(Parameter!$I$5:$I$7,CE58)),0),0)</f>
        <v>0</v>
      </c>
      <c r="CQ58" s="52" t="n">
        <f aca="false">IF(AND(Parameter!$B$21="Ja",ISNUMBER(W58),N(X58)&gt;0),IFERROR(N(INDEX(Parameter!$L$5:$L$7,W58))*INDEX(Parameter!$E$5:$E$7,W58)*X58/SUMIFS($X$7:$X$1843,$W$7:$W$1843,W58),0),0)</f>
        <v>0</v>
      </c>
    </row>
    <row r="59" customFormat="false" ht="15" hidden="false" customHeight="false" outlineLevel="0" collapsed="false">
      <c r="A59" s="48" t="s">
        <v>322</v>
      </c>
      <c r="B59" s="48" t="s">
        <v>323</v>
      </c>
      <c r="C59" s="48" t="s">
        <v>173</v>
      </c>
      <c r="D59" s="48" t="s">
        <v>182</v>
      </c>
      <c r="E59" s="48"/>
      <c r="F59" s="48" t="s">
        <v>227</v>
      </c>
      <c r="G59" s="49" t="n">
        <v>2168</v>
      </c>
      <c r="H59" s="50" t="n">
        <f aca="false">MAX(0,IF(AND(Parameter!$B$21="Ja",ISNUMBER(Y59)),Y59,IF(Parameter!$B$20="Jahresanfang 2025 + Export",BR59+BQ59,BQ59)))</f>
        <v>2</v>
      </c>
      <c r="I59" s="50" t="n">
        <f aca="false">H59*G59</f>
        <v>4336</v>
      </c>
      <c r="J59" s="50" t="n">
        <f aca="false">BT59*Parameter!$B$18</f>
        <v>1</v>
      </c>
      <c r="K59" s="51" t="n">
        <v>1</v>
      </c>
      <c r="L59" s="52" t="n">
        <v>1</v>
      </c>
      <c r="M59" s="50" t="n">
        <v>0</v>
      </c>
      <c r="N59" s="50" t="n">
        <v>1</v>
      </c>
      <c r="O59" s="53" t="n">
        <v>120</v>
      </c>
      <c r="P59" s="48" t="s">
        <v>177</v>
      </c>
      <c r="Q59" s="50"/>
      <c r="R59" s="53" t="n">
        <f aca="false">IF(BZ59=1,0,IFERROR(VLOOKUP(BX59,'Gebinde-Kategorie'!$A$5:$N$45,13,0)+0,0))</f>
        <v>12</v>
      </c>
      <c r="S59" s="54"/>
      <c r="T59" s="55" t="s">
        <v>188</v>
      </c>
      <c r="U59" s="55"/>
      <c r="V59" s="55"/>
      <c r="W59" s="48"/>
      <c r="X59" s="50"/>
      <c r="Y59" s="50"/>
      <c r="Z59" s="48" t="n">
        <f aca="false">IF(A59="","",IF(AND(Parameter!$B$21="Ja",ISNUMBER(W59)),W59,IF(CC59="2+3",IF(ISNUMBER(SEARCH("grosser Artikel",BU59)),2,IFERROR(VLOOKUP(BX59,Parameter!$F$35:$G$64,2,0),2)),IF(OR(CC59="Nein",CC59=""),"-",CC59))))</f>
        <v>2</v>
      </c>
      <c r="AA59" s="55"/>
      <c r="AB59" s="56"/>
      <c r="AC59" s="50" t="n">
        <f aca="false">AV59</f>
        <v>1</v>
      </c>
      <c r="AD59" s="50" t="n">
        <f aca="false">MAX(AV59,H59)</f>
        <v>2</v>
      </c>
      <c r="AE59" s="57"/>
      <c r="AF59" s="50" t="n">
        <f aca="false">IF(LEFT(Cockpit!$C$5,1)="A",H59,IF(Parameter!$E$30="MAX-Bestand",IF(CH59=1,CI59,IF(LEFT(Cockpit!$C$5,1)="B",AL59,MAX(AL59,H59))),ROUNDUP(AJ59,0)))</f>
        <v>2</v>
      </c>
      <c r="AG59" s="50" t="n">
        <f aca="false">IF(BZ59=1,0,ROUNDUP(AF59/BY59,0))</f>
        <v>1</v>
      </c>
      <c r="AH59" s="52" t="n">
        <f aca="false">IF(CQ59&gt;0,CQ59*MAX(1,AF59/X59),IF(BZ59=1,IF(AF59&lt;=0,0,CD59*MAX(1,IF(H59&gt;0,AF59/H59,1))),IF(R59&gt;0,AG59/R59,0))/MAX(0.1,N(Parameter!$M$21)))</f>
        <v>0.0833333333333333</v>
      </c>
      <c r="AI59" s="50" t="n">
        <f aca="false">AH59*CB59</f>
        <v>12.0833333333333</v>
      </c>
      <c r="AJ59" s="51" t="n">
        <f aca="false">IF(LEFT(Cockpit!$C$5,1)="A",H59,IF(CH59=1,(CK59+CI59)/2,IF(LEFT(Cockpit!$C$5,1)="B",(CK59+AL59)/2,MAX((CK59+AL59)/2,H59))))</f>
        <v>2</v>
      </c>
      <c r="AK59" s="50" t="n">
        <f aca="false">AJ59*G59</f>
        <v>4336</v>
      </c>
      <c r="AL59" s="50" t="n">
        <f aca="false">ROUNDUP(CK59+MAX(CL59,2*(J59/IF(CG59&gt;0,CG59,MAX(0.1,N(Cockpit!$C$6)))-CK59)),0)</f>
        <v>1</v>
      </c>
      <c r="AM59" s="51" t="n">
        <f aca="false">IF(AI59&gt;0,J59/AI59,-1)</f>
        <v>0.0827586206896552</v>
      </c>
      <c r="AN59" s="51" t="n">
        <f aca="false">IF(AND(OR(CF59="L1",CF59="L23",CF59="LIFT"),AI59&gt;0),SUMIFS($AI$7:$AI$1843,$CF$7:$CF$1843,CF59,$AM$7:$AM$1843,"&gt;"&amp;AM59)+SUMIFS($AI$7:$AI$1843,$CF$7:$CF$1843,CF59,$AM$7:$AM$1843,AM59,$BW$7:$BW$1843,"&lt;="&amp;BW59),"")</f>
        <v>16677.357398957</v>
      </c>
      <c r="AO59" s="58" t="n">
        <f aca="false">IF(AN59="",0,MAX(0,MIN(1,(IF(CF59="L1",Parameter!$H$5,IF(CF59="L23",Parameter!$H$6+Parameter!$H$7,Parameter!$H$5+Parameter!$H$6+Parameter!$H$7))-(AN59-AI59))/AI59)))</f>
        <v>1</v>
      </c>
      <c r="AP59" s="50" t="n">
        <f aca="false">IF(LEFT(Cockpit!$I$5,1)="A",H59,IF(Parameter!$E$30="MAX-Bestand",IF(CH59=1,CI59,IF(LEFT(Cockpit!$I$5,1)="B",AV59,MAX(AV59,H59))),ROUNDUP(AT59,0)))</f>
        <v>2</v>
      </c>
      <c r="AQ59" s="50" t="n">
        <f aca="false">IF(BZ59=1,0,ROUNDUP(AP59/BY59,0))</f>
        <v>1</v>
      </c>
      <c r="AR59" s="52" t="n">
        <f aca="false">IF(CQ59&gt;0,CQ59*MAX(1,AP59/X59),IF(BZ59=1,IF(AP59&lt;=0,0,CD59*MAX(1,IF(H59&gt;0,AP59/H59,1))),IF(R59&gt;0,AQ59/R59,0))/MAX(0.1,N(Parameter!$M$21)))</f>
        <v>0.0833333333333333</v>
      </c>
      <c r="AS59" s="50" t="n">
        <f aca="false">AR59*CB59</f>
        <v>12.0833333333333</v>
      </c>
      <c r="AT59" s="51" t="n">
        <f aca="false">IF(LEFT(Cockpit!$I$5,1)="A",H59,IF(CH59=1,(CK59+CI59)/2,IF(LEFT(Cockpit!$I$5,1)="B",(CK59+AV59)/2,MAX((CK59+AV59)/2,H59))))</f>
        <v>2</v>
      </c>
      <c r="AU59" s="50" t="n">
        <f aca="false">AT59*G59</f>
        <v>4336</v>
      </c>
      <c r="AV59" s="50" t="n">
        <f aca="false">ROUNDUP(CK59+MAX(CL59,2*(J59/IF(CG59&gt;0,CG59,MAX(0.1,N(Cockpit!$I$6)))-CK59)),0)</f>
        <v>1</v>
      </c>
      <c r="AW59" s="51" t="n">
        <f aca="false">IF(AS59&gt;0,J59/AS59,-1)</f>
        <v>0.0827586206896552</v>
      </c>
      <c r="AX59" s="51" t="n">
        <f aca="false">IF(AND(OR(CF59="L1",CF59="L23",CF59="LIFT"),AS59&gt;0),SUMIFS($AS$7:$AS$1843,$CF$7:$CF$1843,CF59,$AW$7:$AW$1843,"&gt;"&amp;AW59)+SUMIFS($AS$7:$AS$1843,$CF$7:$CF$1843,CF59,$AW$7:$AW$1843,AW59,$BW$7:$BW$1843,"&lt;="&amp;BW59),"")</f>
        <v>21700.5060403344</v>
      </c>
      <c r="AY59" s="58" t="n">
        <f aca="false">IF(AX59="",0,MAX(0,MIN(1,(IF(CF59="L1",Parameter!$H$5,IF(CF59="L23",Parameter!$H$6+Parameter!$H$7,Parameter!$H$5+Parameter!$H$6+Parameter!$H$7))-(AX59-AS59))/AS59)))</f>
        <v>1</v>
      </c>
      <c r="AZ59" s="50" t="n">
        <f aca="false">IF(LEFT(Cockpit!$O$5,1)="A",H59,IF(Parameter!$E$30="MAX-Bestand",IF(CH59=1,CI59,IF(LEFT(Cockpit!$O$5,1)="B",BF59,MAX(BF59,H59))),ROUNDUP(BD59,0)))</f>
        <v>1</v>
      </c>
      <c r="BA59" s="50" t="n">
        <f aca="false">IF(BZ59=1,0,ROUNDUP(AZ59/BY59,0))</f>
        <v>1</v>
      </c>
      <c r="BB59" s="52" t="n">
        <f aca="false">IF(CQ59&gt;0,CQ59*MAX(1,AZ59/X59),IF(BZ59=1,IF(AZ59&lt;=0,0,CD59*MAX(1,IF(H59&gt;0,AZ59/H59,1))),IF(R59&gt;0,BA59/R59,0))/MAX(0.1,N(Parameter!$M$21)))</f>
        <v>0.0833333333333333</v>
      </c>
      <c r="BC59" s="50" t="n">
        <f aca="false">BB59*CB59</f>
        <v>12.0833333333333</v>
      </c>
      <c r="BD59" s="51" t="n">
        <f aca="false">IF(LEFT(Cockpit!$O$5,1)="A",H59,IF(CH59=1,(CK59+CI59)/2,IF(LEFT(Cockpit!$O$5,1)="B",(CK59+BF59)/2,MAX((CK59+BF59)/2,H59))))</f>
        <v>0.5</v>
      </c>
      <c r="BE59" s="50" t="n">
        <f aca="false">BD59*G59</f>
        <v>1084</v>
      </c>
      <c r="BF59" s="50" t="n">
        <f aca="false">ROUNDUP(CK59+MAX(CL59,2*(J59/IF(CG59&gt;0,CG59,MAX(0.1,N(Cockpit!$O$6)))-CK59)),0)</f>
        <v>1</v>
      </c>
      <c r="BG59" s="51" t="n">
        <f aca="false">IF(BC59&gt;0,J59/BC59,-1)</f>
        <v>0.0827586206896552</v>
      </c>
      <c r="BH59" s="51" t="n">
        <f aca="false">IF(AND(OR(CF59="L1",CF59="L23",CF59="LIFT"),BC59&gt;0),SUMIFS($BC$7:$BC$1843,$CF$7:$CF$1843,CF59,$BG$7:$BG$1843,"&gt;"&amp;BG59)+SUMIFS($BC$7:$BC$1843,$CF$7:$CF$1843,CF59,$BG$7:$BG$1843,BG59,$BW$7:$BW$1843,"&lt;="&amp;BW59),"")</f>
        <v>18250.6455759401</v>
      </c>
      <c r="BI59" s="58" t="n">
        <f aca="false">IF(BH59="",0,MAX(0,MIN(1,(IF(CF59="L1",Parameter!$H$5,IF(CF59="L23",Parameter!$H$6+Parameter!$H$7,Parameter!$H$5+Parameter!$H$6+Parameter!$H$7))-(BH59-BC59))/BC59)))</f>
        <v>1</v>
      </c>
      <c r="BJ59" s="48" t="str">
        <f aca="false">IF(AI59&lt;=0,"",IF(CF59="Aussen","Aussenlager",IF(CF59="-","Nicht im Lift",IF(AO59&gt;=1,"Lift",IF(AO59&lt;=0,"Aussenlager","teilweise")))))</f>
        <v>Lift</v>
      </c>
      <c r="BK59" s="48" t="str">
        <f aca="false">IF(AS59&lt;=0,"",IF(CF59="Aussen","Aussenlager",IF(CF59="-","Nicht im Lift",IF(AY59&gt;=1,"Lift",IF(AY59&lt;=0,"Aussenlager","teilweise")))))</f>
        <v>Lift</v>
      </c>
      <c r="BL59" s="48" t="str">
        <f aca="false">IF(BC59&lt;=0,"",IF(CF59="Aussen","Aussenlager",IF(CF59="-","Nicht im Lift",IF(BI59&gt;=1,"Lift",IF(BI59&lt;=0,"Aussenlager","teilweise")))))</f>
        <v>Lift</v>
      </c>
      <c r="BM59" s="48" t="str">
        <f aca="false">IF(A59="","",IF(BV59=1,"Neu; ","")&amp;IF(AND(BV59=0,BQ59&lt;0),"negativer Bestand (Export "&amp;BQ59&amp;"); ","")&amp;IF(J59&lt;=0,"Kein Verbrauch; ","")&amp;IF(CQ59&gt;0,"Lift "&amp;W59&amp;" lt. Liftbericht (Fach "&amp;X59&amp;" Stk); ",IF(CA59=1,"Gebinde geschätzt ("&amp;T59&amp;"); ",IF(BZ59=1,"Lose – Tablare geschätzt; ","")))&amp;IF(H59&gt;AV59,"Überbestand "&amp;ROUND(H59-AV59,0)&amp;" Stk / CHF "&amp;ROUND((H59-AV59)*G59,0)&amp;"; ","")&amp;IF(AND(CH59=1,CI59&lt;CJ59),"MAX &lt; MB+LG; ","")&amp;IF(AND(CP59&gt;0,CO59*10&gt;CP59),"zu hoch für Tablar; ","")&amp;IF(AND(BV59=0,OR(CH59=1,AA59&lt;&gt;"",U59&lt;&gt;"",V59&lt;&gt;"",AB59&lt;&gt;"")),"manuell übersteuert; ","")&amp;IF(AND(BZ59=0,R59=0),"Gebinde unbekannt / Stellmass fehlt; ","")&amp;IF(AND(BZ59=0,N(V59)&lt;=0,N(Q59)&lt;=0),"Menge pro Gebinde fehlt (Ist = 1 Gebinde); ","")&amp;BU59)</f>
        <v>Gebinde geschätzt (Mittel); Überbestand 1 Stk / CHF 2168; Menge pro Gebinde fehlt (Ist = 1 Gebinde); </v>
      </c>
      <c r="BN59" s="48"/>
      <c r="BO59" s="48"/>
      <c r="BP59" s="55"/>
      <c r="BQ59" s="50" t="n">
        <v>2</v>
      </c>
      <c r="BR59" s="50" t="n">
        <v>0</v>
      </c>
      <c r="BS59" s="49" t="n">
        <v>4336</v>
      </c>
      <c r="BT59" s="50" t="n">
        <v>1</v>
      </c>
      <c r="BU59" s="48"/>
      <c r="BV59" s="53" t="n">
        <v>0</v>
      </c>
      <c r="BW59" s="53" t="n">
        <v>59</v>
      </c>
      <c r="BX59" s="48" t="str">
        <f aca="false">IF(U59&lt;&gt;"",UPPER(TRIM(U59)),IF(CA59=1,UPPER(VLOOKUP(T59,Parameter!$I$27:$K$29,2,0)),IF(P59="","LOSE",P59)))</f>
        <v>S61</v>
      </c>
      <c r="BY59" s="50" t="n">
        <f aca="false">IF(BX59="LOSE",1,IF(N(V59)&gt;0,V59,IF(CA59=1,MAX(1,N(VLOOKUP(T59,Parameter!$I$27:$K$29,3,0)),H59,N(N59)),IF(N(Q59)&gt;0,Q59,MAX(1,H59)))))</f>
        <v>4</v>
      </c>
      <c r="BZ59" s="53" t="n">
        <f aca="false">IF(BX59="LOSE",1,0)</f>
        <v>0</v>
      </c>
      <c r="CA59" s="53" t="n">
        <f aca="false">IF(AND(U59="",OR(P59="",P59="LOSE"),T59&lt;&gt;"",N(S59)&lt;=0,ISNUMBER(MATCH(T59,Parameter!$I$27:$I$29,0))),1,0)</f>
        <v>1</v>
      </c>
      <c r="CB59" s="53" t="n">
        <f aca="false">IF(CQ59&gt;0,INDEX(Parameter!$H$5:$H$7,W59)/INDEX(Parameter!$E$5:$E$7,W59),IF(AND(BZ59=0,N(IFERROR(VLOOKUP(BX59,'Gebinde-Kategorie'!$A$5:$N$45,14,0),0))&gt;0),VLOOKUP(BX59,'Gebinde-Kategorie'!$A$5:$N$45,14,0)*10+Parameter!$M$23,Parameter!$M$24))</f>
        <v>145</v>
      </c>
      <c r="CC59" s="48" t="str">
        <f aca="false">IF(AND(Parameter!$B$19="Ja",E59&lt;&gt;"",ISNUMBER(MATCH(E59,Parameter!$I$35:$I$52,0))),VLOOKUP(E59,Parameter!$I$35:$J$52,2,0),IFERROR(VLOOKUP(D59,Parameter!$A$35:$C$64,2,0),"Nein"))</f>
        <v>2+3</v>
      </c>
      <c r="CD59" s="52" t="n">
        <f aca="false">IF(BZ59=0,0,IF(N(S59)&gt;0,S59,IFERROR(VLOOKUP(D59,Parameter!$A$35:$C$64,3,0)+0,0)))</f>
        <v>0</v>
      </c>
      <c r="CE59" s="48" t="n">
        <f aca="false">IF(AA59&lt;&gt;"",AA59,Z59)</f>
        <v>2</v>
      </c>
      <c r="CF59" s="48" t="str">
        <f aca="false">IF(OR(CE59=1,CE59=2,CE59=3),IF(Parameter!$E$27="Ja","LIFT",IF(CE59=1,"L1","L23")),IF(CE59="Aussen","Aussen","-"))</f>
        <v>LIFT</v>
      </c>
      <c r="CG59" s="59" t="n">
        <f aca="false">IF(N(AB59)&gt;0,AB59,0)</f>
        <v>0</v>
      </c>
      <c r="CH59" s="53" t="n">
        <f aca="false">IF(ISNUMBER(AE59),1,0)</f>
        <v>0</v>
      </c>
      <c r="CI59" s="50" t="n">
        <f aca="false">N(AE59)</f>
        <v>0</v>
      </c>
      <c r="CJ59" s="50" t="n">
        <f aca="false">N(M59)+N(N59)</f>
        <v>1</v>
      </c>
      <c r="CK59" s="50" t="n">
        <f aca="false">N(M59)</f>
        <v>0</v>
      </c>
      <c r="CL59" s="50" t="n">
        <f aca="false">N(N59)</f>
        <v>1</v>
      </c>
      <c r="CM59" s="50" t="n">
        <f aca="false">ROUNDUP(H59/BY59,0)</f>
        <v>1</v>
      </c>
      <c r="CN59" s="50" t="n">
        <f aca="false">ROUNDUP(CI59/BY59,0)</f>
        <v>0</v>
      </c>
      <c r="CO59" s="53" t="n">
        <f aca="false">IF(BZ59=1,0,IFERROR(VLOOKUP(BX59,'Gebinde-Kategorie'!$A$5:$N$45,5,0)+0,0))</f>
        <v>11</v>
      </c>
      <c r="CP59" s="53" t="n">
        <f aca="false">IFERROR(IF(OR(CE59=1,CE59=2,CE59=3),N(INDEX(Parameter!$I$5:$I$7,CE59)),0),0)</f>
        <v>0</v>
      </c>
      <c r="CQ59" s="52" t="n">
        <f aca="false">IF(AND(Parameter!$B$21="Ja",ISNUMBER(W59),N(X59)&gt;0),IFERROR(N(INDEX(Parameter!$L$5:$L$7,W59))*INDEX(Parameter!$E$5:$E$7,W59)*X59/SUMIFS($X$7:$X$1843,$W$7:$W$1843,W59),0),0)</f>
        <v>0</v>
      </c>
    </row>
    <row r="60" customFormat="false" ht="15" hidden="false" customHeight="false" outlineLevel="0" collapsed="false">
      <c r="A60" s="48" t="s">
        <v>324</v>
      </c>
      <c r="B60" s="48" t="s">
        <v>325</v>
      </c>
      <c r="C60" s="48" t="s">
        <v>173</v>
      </c>
      <c r="D60" s="48" t="s">
        <v>182</v>
      </c>
      <c r="E60" s="48" t="s">
        <v>175</v>
      </c>
      <c r="F60" s="48" t="s">
        <v>227</v>
      </c>
      <c r="G60" s="49" t="n">
        <v>605.97</v>
      </c>
      <c r="H60" s="50" t="n">
        <f aca="false">MAX(0,IF(AND(Parameter!$B$21="Ja",ISNUMBER(Y60)),Y60,IF(Parameter!$B$20="Jahresanfang 2025 + Export",BR60+BQ60,BQ60)))</f>
        <v>24</v>
      </c>
      <c r="I60" s="50" t="n">
        <f aca="false">H60*G60</f>
        <v>14543.28</v>
      </c>
      <c r="J60" s="50" t="n">
        <f aca="false">BT60*Parameter!$B$18</f>
        <v>80</v>
      </c>
      <c r="K60" s="51" t="n">
        <v>23.5</v>
      </c>
      <c r="L60" s="52" t="n">
        <v>3.40425531914894</v>
      </c>
      <c r="M60" s="50" t="n">
        <v>4</v>
      </c>
      <c r="N60" s="50" t="n">
        <v>25</v>
      </c>
      <c r="O60" s="53" t="n">
        <v>21</v>
      </c>
      <c r="P60" s="48" t="s">
        <v>232</v>
      </c>
      <c r="Q60" s="50" t="n">
        <v>20</v>
      </c>
      <c r="R60" s="53" t="n">
        <f aca="false">IF(BZ60=1,0,IFERROR(VLOOKUP(BX60,'Gebinde-Kategorie'!$A$5:$N$45,13,0)+0,0))</f>
        <v>4</v>
      </c>
      <c r="S60" s="54"/>
      <c r="T60" s="55"/>
      <c r="U60" s="55"/>
      <c r="V60" s="55"/>
      <c r="W60" s="48"/>
      <c r="X60" s="50"/>
      <c r="Y60" s="50"/>
      <c r="Z60" s="48" t="n">
        <f aca="false">IF(A60="","",IF(AND(Parameter!$B$21="Ja",ISNUMBER(W60)),W60,IF(CC60="2+3",IF(ISNUMBER(SEARCH("grosser Artikel",BU60)),2,IFERROR(VLOOKUP(BX60,Parameter!$F$35:$G$64,2,0),2)),IF(OR(CC60="Nein",CC60=""),"-",CC60))))</f>
        <v>1</v>
      </c>
      <c r="AA60" s="55"/>
      <c r="AB60" s="56"/>
      <c r="AC60" s="50" t="n">
        <f aca="false">AV60</f>
        <v>50</v>
      </c>
      <c r="AD60" s="50" t="n">
        <f aca="false">MAX(AV60,H60)</f>
        <v>50</v>
      </c>
      <c r="AE60" s="57"/>
      <c r="AF60" s="50" t="n">
        <f aca="false">IF(LEFT(Cockpit!$C$5,1)="A",H60,IF(Parameter!$E$30="MAX-Bestand",IF(CH60=1,CI60,IF(LEFT(Cockpit!$C$5,1)="B",AL60,MAX(AL60,H60))),ROUNDUP(AJ60,0)))</f>
        <v>24</v>
      </c>
      <c r="AG60" s="50" t="n">
        <f aca="false">IF(BZ60=1,0,ROUNDUP(AF60/BY60,0))</f>
        <v>2</v>
      </c>
      <c r="AH60" s="52" t="n">
        <f aca="false">IF(CQ60&gt;0,CQ60*MAX(1,AF60/X60),IF(BZ60=1,IF(AF60&lt;=0,0,CD60*MAX(1,IF(H60&gt;0,AF60/H60,1))),IF(R60&gt;0,AG60/R60,0))/MAX(0.1,N(Parameter!$M$21)))</f>
        <v>0.5</v>
      </c>
      <c r="AI60" s="50" t="n">
        <f aca="false">AH60*CB60</f>
        <v>117.5</v>
      </c>
      <c r="AJ60" s="51" t="n">
        <f aca="false">IF(LEFT(Cockpit!$C$5,1)="A",H60,IF(CH60=1,(CK60+CI60)/2,IF(LEFT(Cockpit!$C$5,1)="B",(CK60+AL60)/2,MAX((CK60+AL60)/2,H60))))</f>
        <v>24</v>
      </c>
      <c r="AK60" s="50" t="n">
        <f aca="false">AJ60*G60</f>
        <v>14543.28</v>
      </c>
      <c r="AL60" s="50" t="n">
        <f aca="false">ROUNDUP(CK60+MAX(CL60,2*(J60/IF(CG60&gt;0,CG60,MAX(0.1,N(Cockpit!$C$6)))-CK60)),0)</f>
        <v>50</v>
      </c>
      <c r="AM60" s="51" t="n">
        <f aca="false">IF(AI60&gt;0,J60/AI60,-1)</f>
        <v>0.680851063829787</v>
      </c>
      <c r="AN60" s="51" t="n">
        <f aca="false">IF(AND(OR(CF60="L1",CF60="L23",CF60="LIFT"),AI60&gt;0),SUMIFS($AI$7:$AI$1843,$CF$7:$CF$1843,CF60,$AM$7:$AM$1843,"&gt;"&amp;AM60)+SUMIFS($AI$7:$AI$1843,$CF$7:$CF$1843,CF60,$AM$7:$AM$1843,AM60,$BW$7:$BW$1843,"&lt;="&amp;BW60),"")</f>
        <v>8592.26602564103</v>
      </c>
      <c r="AO60" s="58" t="n">
        <f aca="false">IF(AN60="",0,MAX(0,MIN(1,(IF(CF60="L1",Parameter!$H$5,IF(CF60="L23",Parameter!$H$6+Parameter!$H$7,Parameter!$H$5+Parameter!$H$6+Parameter!$H$7))-(AN60-AI60))/AI60)))</f>
        <v>1</v>
      </c>
      <c r="AP60" s="50" t="n">
        <f aca="false">IF(LEFT(Cockpit!$I$5,1)="A",H60,IF(Parameter!$E$30="MAX-Bestand",IF(CH60=1,CI60,IF(LEFT(Cockpit!$I$5,1)="B",AV60,MAX(AV60,H60))),ROUNDUP(AT60,0)))</f>
        <v>27</v>
      </c>
      <c r="AQ60" s="50" t="n">
        <f aca="false">IF(BZ60=1,0,ROUNDUP(AP60/BY60,0))</f>
        <v>2</v>
      </c>
      <c r="AR60" s="52" t="n">
        <f aca="false">IF(CQ60&gt;0,CQ60*MAX(1,AP60/X60),IF(BZ60=1,IF(AP60&lt;=0,0,CD60*MAX(1,IF(H60&gt;0,AP60/H60,1))),IF(R60&gt;0,AQ60/R60,0))/MAX(0.1,N(Parameter!$M$21)))</f>
        <v>0.5</v>
      </c>
      <c r="AS60" s="50" t="n">
        <f aca="false">AR60*CB60</f>
        <v>117.5</v>
      </c>
      <c r="AT60" s="51" t="n">
        <f aca="false">IF(LEFT(Cockpit!$I$5,1)="A",H60,IF(CH60=1,(CK60+CI60)/2,IF(LEFT(Cockpit!$I$5,1)="B",(CK60+AV60)/2,MAX((CK60+AV60)/2,H60))))</f>
        <v>27</v>
      </c>
      <c r="AU60" s="50" t="n">
        <f aca="false">AT60*G60</f>
        <v>16361.19</v>
      </c>
      <c r="AV60" s="50" t="n">
        <f aca="false">ROUNDUP(CK60+MAX(CL60,2*(J60/IF(CG60&gt;0,CG60,MAX(0.1,N(Cockpit!$I$6)))-CK60)),0)</f>
        <v>50</v>
      </c>
      <c r="AW60" s="51" t="n">
        <f aca="false">IF(AS60&gt;0,J60/AS60,-1)</f>
        <v>0.680851063829787</v>
      </c>
      <c r="AX60" s="51" t="n">
        <f aca="false">IF(AND(OR(CF60="L1",CF60="L23",CF60="LIFT"),AS60&gt;0),SUMIFS($AS$7:$AS$1843,$CF$7:$CF$1843,CF60,$AW$7:$AW$1843,"&gt;"&amp;AW60)+SUMIFS($AS$7:$AS$1843,$CF$7:$CF$1843,CF60,$AW$7:$AW$1843,AW60,$BW$7:$BW$1843,"&lt;="&amp;BW60),"")</f>
        <v>10876.0009157509</v>
      </c>
      <c r="AY60" s="58" t="n">
        <f aca="false">IF(AX60="",0,MAX(0,MIN(1,(IF(CF60="L1",Parameter!$H$5,IF(CF60="L23",Parameter!$H$6+Parameter!$H$7,Parameter!$H$5+Parameter!$H$6+Parameter!$H$7))-(AX60-AS60))/AS60)))</f>
        <v>1</v>
      </c>
      <c r="AZ60" s="50" t="n">
        <f aca="false">IF(LEFT(Cockpit!$O$5,1)="A",H60,IF(Parameter!$E$30="MAX-Bestand",IF(CH60=1,CI60,IF(LEFT(Cockpit!$O$5,1)="B",BF60,MAX(BF60,H60))),ROUNDUP(BD60,0)))</f>
        <v>20</v>
      </c>
      <c r="BA60" s="50" t="n">
        <f aca="false">IF(BZ60=1,0,ROUNDUP(AZ60/BY60,0))</f>
        <v>1</v>
      </c>
      <c r="BB60" s="52" t="n">
        <f aca="false">IF(CQ60&gt;0,CQ60*MAX(1,AZ60/X60),IF(BZ60=1,IF(AZ60&lt;=0,0,CD60*MAX(1,IF(H60&gt;0,AZ60/H60,1))),IF(R60&gt;0,BA60/R60,0))/MAX(0.1,N(Parameter!$M$21)))</f>
        <v>0.25</v>
      </c>
      <c r="BC60" s="50" t="n">
        <f aca="false">BB60*CB60</f>
        <v>58.75</v>
      </c>
      <c r="BD60" s="51" t="n">
        <f aca="false">IF(LEFT(Cockpit!$O$5,1)="A",H60,IF(CH60=1,(CK60+CI60)/2,IF(LEFT(Cockpit!$O$5,1)="B",(CK60+BF60)/2,MAX((CK60+BF60)/2,H60))))</f>
        <v>20</v>
      </c>
      <c r="BE60" s="50" t="n">
        <f aca="false">BD60*G60</f>
        <v>12119.4</v>
      </c>
      <c r="BF60" s="50" t="n">
        <f aca="false">ROUNDUP(CK60+MAX(CL60,2*(J60/IF(CG60&gt;0,CG60,MAX(0.1,N(Cockpit!$O$6)))-CK60)),0)</f>
        <v>36</v>
      </c>
      <c r="BG60" s="51" t="n">
        <f aca="false">IF(BC60&gt;0,J60/BC60,-1)</f>
        <v>1.36170212765957</v>
      </c>
      <c r="BH60" s="51" t="n">
        <f aca="false">IF(AND(OR(CF60="L1",CF60="L23",CF60="LIFT"),BC60&gt;0),SUMIFS($BC$7:$BC$1843,$CF$7:$CF$1843,CF60,$BG$7:$BG$1843,"&gt;"&amp;BG60)+SUMIFS($BC$7:$BC$1843,$CF$7:$CF$1843,CF60,$BG$7:$BG$1843,BG60,$BW$7:$BW$1843,"&lt;="&amp;BW60),"")</f>
        <v>6771.68177655678</v>
      </c>
      <c r="BI60" s="58" t="n">
        <f aca="false">IF(BH60="",0,MAX(0,MIN(1,(IF(CF60="L1",Parameter!$H$5,IF(CF60="L23",Parameter!$H$6+Parameter!$H$7,Parameter!$H$5+Parameter!$H$6+Parameter!$H$7))-(BH60-BC60))/BC60)))</f>
        <v>1</v>
      </c>
      <c r="BJ60" s="48" t="str">
        <f aca="false">IF(AI60&lt;=0,"",IF(CF60="Aussen","Aussenlager",IF(CF60="-","Nicht im Lift",IF(AO60&gt;=1,"Lift",IF(AO60&lt;=0,"Aussenlager","teilweise")))))</f>
        <v>Lift</v>
      </c>
      <c r="BK60" s="48" t="str">
        <f aca="false">IF(AS60&lt;=0,"",IF(CF60="Aussen","Aussenlager",IF(CF60="-","Nicht im Lift",IF(AY60&gt;=1,"Lift",IF(AY60&lt;=0,"Aussenlager","teilweise")))))</f>
        <v>Lift</v>
      </c>
      <c r="BL60" s="48" t="str">
        <f aca="false">IF(BC60&lt;=0,"",IF(CF60="Aussen","Aussenlager",IF(CF60="-","Nicht im Lift",IF(BI60&gt;=1,"Lift",IF(BI60&lt;=0,"Aussenlager","teilweise")))))</f>
        <v>Lift</v>
      </c>
      <c r="BM60" s="48" t="str">
        <f aca="false">IF(A60="","",IF(BV60=1,"Neu; ","")&amp;IF(AND(BV60=0,BQ60&lt;0),"negativer Bestand (Export "&amp;BQ60&amp;"); ","")&amp;IF(J60&lt;=0,"Kein Verbrauch; ","")&amp;IF(CQ60&gt;0,"Lift "&amp;W60&amp;" lt. Liftbericht (Fach "&amp;X60&amp;" Stk); ",IF(CA60=1,"Gebinde geschätzt ("&amp;T60&amp;"); ",IF(BZ60=1,"Lose – Tablare geschätzt; ","")))&amp;IF(H60&gt;AV60,"Überbestand "&amp;ROUND(H60-AV60,0)&amp;" Stk / CHF "&amp;ROUND((H60-AV60)*G60,0)&amp;"; ","")&amp;IF(AND(CH60=1,CI60&lt;CJ60),"MAX &lt; MB+LG; ","")&amp;IF(AND(CP60&gt;0,CO60*10&gt;CP60),"zu hoch für Tablar; ","")&amp;IF(AND(BV60=0,OR(CH60=1,AA60&lt;&gt;"",U60&lt;&gt;"",V60&lt;&gt;"",AB60&lt;&gt;"")),"manuell übersteuert; ","")&amp;IF(AND(BZ60=0,R60=0),"Gebinde unbekannt / Stellmass fehlt; ","")&amp;IF(AND(BZ60=0,N(V60)&lt;=0,N(Q60)&lt;=0),"Menge pro Gebinde fehlt (Ist = 1 Gebinde); ","")&amp;BU60)</f>
        <v/>
      </c>
      <c r="BN60" s="48" t="s">
        <v>326</v>
      </c>
      <c r="BO60" s="48" t="s">
        <v>327</v>
      </c>
      <c r="BP60" s="55"/>
      <c r="BQ60" s="50" t="n">
        <v>13</v>
      </c>
      <c r="BR60" s="50" t="n">
        <v>11</v>
      </c>
      <c r="BS60" s="49" t="n">
        <v>4297.99000000001</v>
      </c>
      <c r="BT60" s="50" t="n">
        <v>80</v>
      </c>
      <c r="BU60" s="48"/>
      <c r="BV60" s="53" t="n">
        <v>0</v>
      </c>
      <c r="BW60" s="53" t="n">
        <v>60</v>
      </c>
      <c r="BX60" s="48" t="str">
        <f aca="false">IF(U60&lt;&gt;"",UPPER(TRIM(U60)),IF(CA60=1,UPPER(VLOOKUP(T60,Parameter!$I$27:$K$29,2,0)),IF(P60="","LOSE",P60)))</f>
        <v>S81</v>
      </c>
      <c r="BY60" s="50" t="n">
        <f aca="false">IF(BX60="LOSE",1,IF(N(V60)&gt;0,V60,IF(CA60=1,MAX(1,N(VLOOKUP(T60,Parameter!$I$27:$K$29,3,0)),H60,N(N60)),IF(N(Q60)&gt;0,Q60,MAX(1,H60)))))</f>
        <v>20</v>
      </c>
      <c r="BZ60" s="53" t="n">
        <f aca="false">IF(BX60="LOSE",1,0)</f>
        <v>0</v>
      </c>
      <c r="CA60" s="53" t="n">
        <f aca="false">IF(AND(U60="",OR(P60="",P60="LOSE"),T60&lt;&gt;"",N(S60)&lt;=0,ISNUMBER(MATCH(T60,Parameter!$I$27:$I$29,0))),1,0)</f>
        <v>0</v>
      </c>
      <c r="CB60" s="53" t="n">
        <f aca="false">IF(CQ60&gt;0,INDEX(Parameter!$H$5:$H$7,W60)/INDEX(Parameter!$E$5:$E$7,W60),IF(AND(BZ60=0,N(IFERROR(VLOOKUP(BX60,'Gebinde-Kategorie'!$A$5:$N$45,14,0),0))&gt;0),VLOOKUP(BX60,'Gebinde-Kategorie'!$A$5:$N$45,14,0)*10+Parameter!$M$23,Parameter!$M$24))</f>
        <v>235</v>
      </c>
      <c r="CC60" s="48" t="n">
        <f aca="false">IF(AND(Parameter!$B$19="Ja",E60&lt;&gt;"",ISNUMBER(MATCH(E60,Parameter!$I$35:$I$52,0))),VLOOKUP(E60,Parameter!$I$35:$J$52,2,0),IFERROR(VLOOKUP(D60,Parameter!$A$35:$C$64,2,0),"Nein"))</f>
        <v>1</v>
      </c>
      <c r="CD60" s="52" t="n">
        <f aca="false">IF(BZ60=0,0,IF(N(S60)&gt;0,S60,IFERROR(VLOOKUP(D60,Parameter!$A$35:$C$64,3,0)+0,0)))</f>
        <v>0</v>
      </c>
      <c r="CE60" s="48" t="n">
        <f aca="false">IF(AA60&lt;&gt;"",AA60,Z60)</f>
        <v>1</v>
      </c>
      <c r="CF60" s="48" t="str">
        <f aca="false">IF(OR(CE60=1,CE60=2,CE60=3),IF(Parameter!$E$27="Ja","LIFT",IF(CE60=1,"L1","L23")),IF(CE60="Aussen","Aussen","-"))</f>
        <v>LIFT</v>
      </c>
      <c r="CG60" s="59" t="n">
        <f aca="false">IF(N(AB60)&gt;0,AB60,0)</f>
        <v>0</v>
      </c>
      <c r="CH60" s="53" t="n">
        <f aca="false">IF(ISNUMBER(AE60),1,0)</f>
        <v>0</v>
      </c>
      <c r="CI60" s="50" t="n">
        <f aca="false">N(AE60)</f>
        <v>0</v>
      </c>
      <c r="CJ60" s="50" t="n">
        <f aca="false">N(M60)+N(N60)</f>
        <v>29</v>
      </c>
      <c r="CK60" s="50" t="n">
        <f aca="false">N(M60)</f>
        <v>4</v>
      </c>
      <c r="CL60" s="50" t="n">
        <f aca="false">N(N60)</f>
        <v>25</v>
      </c>
      <c r="CM60" s="50" t="n">
        <f aca="false">ROUNDUP(H60/BY60,0)</f>
        <v>2</v>
      </c>
      <c r="CN60" s="50" t="n">
        <f aca="false">ROUNDUP(CI60/BY60,0)</f>
        <v>0</v>
      </c>
      <c r="CO60" s="53" t="n">
        <f aca="false">IF(BZ60=1,0,IFERROR(VLOOKUP(BX60,'Gebinde-Kategorie'!$A$5:$N$45,5,0)+0,0))</f>
        <v>20</v>
      </c>
      <c r="CP60" s="53" t="n">
        <f aca="false">IFERROR(IF(OR(CE60=1,CE60=2,CE60=3),N(INDEX(Parameter!$I$5:$I$7,CE60)),0),0)</f>
        <v>0</v>
      </c>
      <c r="CQ60" s="52" t="n">
        <f aca="false">IF(AND(Parameter!$B$21="Ja",ISNUMBER(W60),N(X60)&gt;0),IFERROR(N(INDEX(Parameter!$L$5:$L$7,W60))*INDEX(Parameter!$E$5:$E$7,W60)*X60/SUMIFS($X$7:$X$1843,$W$7:$W$1843,W60),0),0)</f>
        <v>0</v>
      </c>
    </row>
    <row r="61" customFormat="false" ht="15" hidden="false" customHeight="false" outlineLevel="0" collapsed="false">
      <c r="A61" s="48" t="s">
        <v>328</v>
      </c>
      <c r="B61" s="48" t="s">
        <v>329</v>
      </c>
      <c r="C61" s="48" t="s">
        <v>173</v>
      </c>
      <c r="D61" s="48" t="s">
        <v>174</v>
      </c>
      <c r="E61" s="48"/>
      <c r="F61" s="48" t="s">
        <v>227</v>
      </c>
      <c r="G61" s="49" t="n">
        <v>832.7</v>
      </c>
      <c r="H61" s="50" t="n">
        <f aca="false">MAX(0,IF(AND(Parameter!$B$21="Ja",ISNUMBER(Y61)),Y61,IF(Parameter!$B$20="Jahresanfang 2025 + Export",BR61+BQ61,BQ61)))</f>
        <v>5</v>
      </c>
      <c r="I61" s="50" t="n">
        <f aca="false">H61*G61</f>
        <v>4163.5</v>
      </c>
      <c r="J61" s="50" t="n">
        <f aca="false">BT61*Parameter!$B$18</f>
        <v>0</v>
      </c>
      <c r="K61" s="51" t="n">
        <v>2.5</v>
      </c>
      <c r="L61" s="52" t="n">
        <v>0</v>
      </c>
      <c r="M61" s="50" t="n">
        <v>1</v>
      </c>
      <c r="N61" s="50" t="n">
        <v>5</v>
      </c>
      <c r="O61" s="53" t="n">
        <v>14</v>
      </c>
      <c r="P61" s="48" t="s">
        <v>232</v>
      </c>
      <c r="Q61" s="50" t="n">
        <v>3</v>
      </c>
      <c r="R61" s="53" t="n">
        <f aca="false">IF(BZ61=1,0,IFERROR(VLOOKUP(BX61,'Gebinde-Kategorie'!$A$5:$N$45,13,0)+0,0))</f>
        <v>4</v>
      </c>
      <c r="S61" s="54"/>
      <c r="T61" s="55"/>
      <c r="U61" s="55"/>
      <c r="V61" s="55"/>
      <c r="W61" s="48"/>
      <c r="X61" s="50"/>
      <c r="Y61" s="50"/>
      <c r="Z61" s="48" t="n">
        <f aca="false">IF(A61="","",IF(AND(Parameter!$B$21="Ja",ISNUMBER(W61)),W61,IF(CC61="2+3",IF(ISNUMBER(SEARCH("grosser Artikel",BU61)),2,IFERROR(VLOOKUP(BX61,Parameter!$F$35:$G$64,2,0),2)),IF(OR(CC61="Nein",CC61=""),"-",CC61))))</f>
        <v>1</v>
      </c>
      <c r="AA61" s="55"/>
      <c r="AB61" s="56"/>
      <c r="AC61" s="50" t="n">
        <f aca="false">AV61</f>
        <v>6</v>
      </c>
      <c r="AD61" s="50" t="n">
        <f aca="false">MAX(AV61,H61)</f>
        <v>6</v>
      </c>
      <c r="AE61" s="57"/>
      <c r="AF61" s="50" t="n">
        <f aca="false">IF(LEFT(Cockpit!$C$5,1)="A",H61,IF(Parameter!$E$30="MAX-Bestand",IF(CH61=1,CI61,IF(LEFT(Cockpit!$C$5,1)="B",AL61,MAX(AL61,H61))),ROUNDUP(AJ61,0)))</f>
        <v>5</v>
      </c>
      <c r="AG61" s="50" t="n">
        <f aca="false">IF(BZ61=1,0,ROUNDUP(AF61/BY61,0))</f>
        <v>2</v>
      </c>
      <c r="AH61" s="52" t="n">
        <f aca="false">IF(CQ61&gt;0,CQ61*MAX(1,AF61/X61),IF(BZ61=1,IF(AF61&lt;=0,0,CD61*MAX(1,IF(H61&gt;0,AF61/H61,1))),IF(R61&gt;0,AG61/R61,0))/MAX(0.1,N(Parameter!$M$21)))</f>
        <v>0.5</v>
      </c>
      <c r="AI61" s="50" t="n">
        <f aca="false">AH61*CB61</f>
        <v>117.5</v>
      </c>
      <c r="AJ61" s="51" t="n">
        <f aca="false">IF(LEFT(Cockpit!$C$5,1)="A",H61,IF(CH61=1,(CK61+CI61)/2,IF(LEFT(Cockpit!$C$5,1)="B",(CK61+AL61)/2,MAX((CK61+AL61)/2,H61))))</f>
        <v>5</v>
      </c>
      <c r="AK61" s="50" t="n">
        <f aca="false">AJ61*G61</f>
        <v>4163.5</v>
      </c>
      <c r="AL61" s="50" t="n">
        <f aca="false">ROUNDUP(CK61+MAX(CL61,2*(J61/IF(CG61&gt;0,CG61,MAX(0.1,N(Cockpit!$C$6)))-CK61)),0)</f>
        <v>6</v>
      </c>
      <c r="AM61" s="51" t="n">
        <f aca="false">IF(AI61&gt;0,J61/AI61,-1)</f>
        <v>0</v>
      </c>
      <c r="AN61" s="51" t="n">
        <f aca="false">IF(AND(OR(CF61="L1",CF61="L23",CF61="LIFT"),AI61&gt;0),SUMIFS($AI$7:$AI$1843,$CF$7:$CF$1843,CF61,$AM$7:$AM$1843,"&gt;"&amp;AM61)+SUMIFS($AI$7:$AI$1843,$CF$7:$CF$1843,CF61,$AM$7:$AM$1843,AM61,$BW$7:$BW$1843,"&lt;="&amp;BW61),"")</f>
        <v>26446.7419212144</v>
      </c>
      <c r="AO61" s="58" t="n">
        <f aca="false">IF(AN61="",0,MAX(0,MIN(1,(IF(CF61="L1",Parameter!$H$5,IF(CF61="L23",Parameter!$H$6+Parameter!$H$7,Parameter!$H$5+Parameter!$H$6+Parameter!$H$7))-(AN61-AI61))/AI61)))</f>
        <v>1</v>
      </c>
      <c r="AP61" s="50" t="n">
        <f aca="false">IF(LEFT(Cockpit!$I$5,1)="A",H61,IF(Parameter!$E$30="MAX-Bestand",IF(CH61=1,CI61,IF(LEFT(Cockpit!$I$5,1)="B",AV61,MAX(AV61,H61))),ROUNDUP(AT61,0)))</f>
        <v>5</v>
      </c>
      <c r="AQ61" s="50" t="n">
        <f aca="false">IF(BZ61=1,0,ROUNDUP(AP61/BY61,0))</f>
        <v>2</v>
      </c>
      <c r="AR61" s="52" t="n">
        <f aca="false">IF(CQ61&gt;0,CQ61*MAX(1,AP61/X61),IF(BZ61=1,IF(AP61&lt;=0,0,CD61*MAX(1,IF(H61&gt;0,AP61/H61,1))),IF(R61&gt;0,AQ61/R61,0))/MAX(0.1,N(Parameter!$M$21)))</f>
        <v>0.5</v>
      </c>
      <c r="AS61" s="50" t="n">
        <f aca="false">AR61*CB61</f>
        <v>117.5</v>
      </c>
      <c r="AT61" s="51" t="n">
        <f aca="false">IF(LEFT(Cockpit!$I$5,1)="A",H61,IF(CH61=1,(CK61+CI61)/2,IF(LEFT(Cockpit!$I$5,1)="B",(CK61+AV61)/2,MAX((CK61+AV61)/2,H61))))</f>
        <v>5</v>
      </c>
      <c r="AU61" s="50" t="n">
        <f aca="false">AT61*G61</f>
        <v>4163.5</v>
      </c>
      <c r="AV61" s="50" t="n">
        <f aca="false">ROUNDUP(CK61+MAX(CL61,2*(J61/IF(CG61&gt;0,CG61,MAX(0.1,N(Cockpit!$I$6)))-CK61)),0)</f>
        <v>6</v>
      </c>
      <c r="AW61" s="51" t="n">
        <f aca="false">IF(AS61&gt;0,J61/AS61,-1)</f>
        <v>0</v>
      </c>
      <c r="AX61" s="51" t="n">
        <f aca="false">IF(AND(OR(CF61="L1",CF61="L23",CF61="LIFT"),AS61&gt;0),SUMIFS($AS$7:$AS$1843,$CF$7:$CF$1843,CF61,$AW$7:$AW$1843,"&gt;"&amp;AW61)+SUMIFS($AS$7:$AS$1843,$CF$7:$CF$1843,CF61,$AW$7:$AW$1843,AW61,$BW$7:$BW$1843,"&lt;="&amp;BW61),"")</f>
        <v>31799.8905625918</v>
      </c>
      <c r="AY61" s="58" t="n">
        <f aca="false">IF(AX61="",0,MAX(0,MIN(1,(IF(CF61="L1",Parameter!$H$5,IF(CF61="L23",Parameter!$H$6+Parameter!$H$7,Parameter!$H$5+Parameter!$H$6+Parameter!$H$7))-(AX61-AS61))/AS61)))</f>
        <v>1</v>
      </c>
      <c r="AZ61" s="50" t="n">
        <f aca="false">IF(LEFT(Cockpit!$O$5,1)="A",H61,IF(Parameter!$E$30="MAX-Bestand",IF(CH61=1,CI61,IF(LEFT(Cockpit!$O$5,1)="B",BF61,MAX(BF61,H61))),ROUNDUP(BD61,0)))</f>
        <v>4</v>
      </c>
      <c r="BA61" s="50" t="n">
        <f aca="false">IF(BZ61=1,0,ROUNDUP(AZ61/BY61,0))</f>
        <v>2</v>
      </c>
      <c r="BB61" s="52" t="n">
        <f aca="false">IF(CQ61&gt;0,CQ61*MAX(1,AZ61/X61),IF(BZ61=1,IF(AZ61&lt;=0,0,CD61*MAX(1,IF(H61&gt;0,AZ61/H61,1))),IF(R61&gt;0,BA61/R61,0))/MAX(0.1,N(Parameter!$M$21)))</f>
        <v>0.5</v>
      </c>
      <c r="BC61" s="50" t="n">
        <f aca="false">BB61*CB61</f>
        <v>117.5</v>
      </c>
      <c r="BD61" s="51" t="n">
        <f aca="false">IF(LEFT(Cockpit!$O$5,1)="A",H61,IF(CH61=1,(CK61+CI61)/2,IF(LEFT(Cockpit!$O$5,1)="B",(CK61+BF61)/2,MAX((CK61+BF61)/2,H61))))</f>
        <v>3.5</v>
      </c>
      <c r="BE61" s="50" t="n">
        <f aca="false">BD61*G61</f>
        <v>2914.45</v>
      </c>
      <c r="BF61" s="50" t="n">
        <f aca="false">ROUNDUP(CK61+MAX(CL61,2*(J61/IF(CG61&gt;0,CG61,MAX(0.1,N(Cockpit!$O$6)))-CK61)),0)</f>
        <v>6</v>
      </c>
      <c r="BG61" s="51" t="n">
        <f aca="false">IF(BC61&gt;0,J61/BC61,-1)</f>
        <v>0</v>
      </c>
      <c r="BH61" s="51" t="n">
        <f aca="false">IF(AND(OR(CF61="L1",CF61="L23",CF61="LIFT"),BC61&gt;0),SUMIFS($BC$7:$BC$1843,$CF$7:$CF$1843,CF61,$BG$7:$BG$1843,"&gt;"&amp;BG61)+SUMIFS($BC$7:$BC$1843,$CF$7:$CF$1843,CF61,$BG$7:$BG$1843,BG61,$BW$7:$BW$1843,"&lt;="&amp;BW61),"")</f>
        <v>25996.4724058898</v>
      </c>
      <c r="BI61" s="58" t="n">
        <f aca="false">IF(BH61="",0,MAX(0,MIN(1,(IF(CF61="L1",Parameter!$H$5,IF(CF61="L23",Parameter!$H$6+Parameter!$H$7,Parameter!$H$5+Parameter!$H$6+Parameter!$H$7))-(BH61-BC61))/BC61)))</f>
        <v>1</v>
      </c>
      <c r="BJ61" s="48" t="str">
        <f aca="false">IF(AI61&lt;=0,"",IF(CF61="Aussen","Aussenlager",IF(CF61="-","Nicht im Lift",IF(AO61&gt;=1,"Lift",IF(AO61&lt;=0,"Aussenlager","teilweise")))))</f>
        <v>Lift</v>
      </c>
      <c r="BK61" s="48" t="str">
        <f aca="false">IF(AS61&lt;=0,"",IF(CF61="Aussen","Aussenlager",IF(CF61="-","Nicht im Lift",IF(AY61&gt;=1,"Lift",IF(AY61&lt;=0,"Aussenlager","teilweise")))))</f>
        <v>Lift</v>
      </c>
      <c r="BL61" s="48" t="str">
        <f aca="false">IF(BC61&lt;=0,"",IF(CF61="Aussen","Aussenlager",IF(CF61="-","Nicht im Lift",IF(BI61&gt;=1,"Lift",IF(BI61&lt;=0,"Aussenlager","teilweise")))))</f>
        <v>Lift</v>
      </c>
      <c r="BM61" s="48" t="str">
        <f aca="false">IF(A61="","",IF(BV61=1,"Neu; ","")&amp;IF(AND(BV61=0,BQ61&lt;0),"negativer Bestand (Export "&amp;BQ61&amp;"); ","")&amp;IF(J61&lt;=0,"Kein Verbrauch; ","")&amp;IF(CQ61&gt;0,"Lift "&amp;W61&amp;" lt. Liftbericht (Fach "&amp;X61&amp;" Stk); ",IF(CA61=1,"Gebinde geschätzt ("&amp;T61&amp;"); ",IF(BZ61=1,"Lose – Tablare geschätzt; ","")))&amp;IF(H61&gt;AV61,"Überbestand "&amp;ROUND(H61-AV61,0)&amp;" Stk / CHF "&amp;ROUND((H61-AV61)*G61,0)&amp;"; ","")&amp;IF(AND(CH61=1,CI61&lt;CJ61),"MAX &lt; MB+LG; ","")&amp;IF(AND(CP61&gt;0,CO61*10&gt;CP61),"zu hoch für Tablar; ","")&amp;IF(AND(BV61=0,OR(CH61=1,AA61&lt;&gt;"",U61&lt;&gt;"",V61&lt;&gt;"",AB61&lt;&gt;"")),"manuell übersteuert; ","")&amp;IF(AND(BZ61=0,R61=0),"Gebinde unbekannt / Stellmass fehlt; ","")&amp;IF(AND(BZ61=0,N(V61)&lt;=0,N(Q61)&lt;=0),"Menge pro Gebinde fehlt (Ist = 1 Gebinde); ","")&amp;BU61)</f>
        <v>Kein Verbrauch; </v>
      </c>
      <c r="BN61" s="48"/>
      <c r="BO61" s="48"/>
      <c r="BP61" s="55"/>
      <c r="BQ61" s="50" t="n">
        <v>5</v>
      </c>
      <c r="BR61" s="50" t="n">
        <v>0</v>
      </c>
      <c r="BS61" s="49" t="n">
        <v>4163.5</v>
      </c>
      <c r="BT61" s="50" t="n">
        <v>0</v>
      </c>
      <c r="BU61" s="48"/>
      <c r="BV61" s="53" t="n">
        <v>0</v>
      </c>
      <c r="BW61" s="53" t="n">
        <v>61</v>
      </c>
      <c r="BX61" s="48" t="str">
        <f aca="false">IF(U61&lt;&gt;"",UPPER(TRIM(U61)),IF(CA61=1,UPPER(VLOOKUP(T61,Parameter!$I$27:$K$29,2,0)),IF(P61="","LOSE",P61)))</f>
        <v>S81</v>
      </c>
      <c r="BY61" s="50" t="n">
        <f aca="false">IF(BX61="LOSE",1,IF(N(V61)&gt;0,V61,IF(CA61=1,MAX(1,N(VLOOKUP(T61,Parameter!$I$27:$K$29,3,0)),H61,N(N61)),IF(N(Q61)&gt;0,Q61,MAX(1,H61)))))</f>
        <v>3</v>
      </c>
      <c r="BZ61" s="53" t="n">
        <f aca="false">IF(BX61="LOSE",1,0)</f>
        <v>0</v>
      </c>
      <c r="CA61" s="53" t="n">
        <f aca="false">IF(AND(U61="",OR(P61="",P61="LOSE"),T61&lt;&gt;"",N(S61)&lt;=0,ISNUMBER(MATCH(T61,Parameter!$I$27:$I$29,0))),1,0)</f>
        <v>0</v>
      </c>
      <c r="CB61" s="53" t="n">
        <f aca="false">IF(CQ61&gt;0,INDEX(Parameter!$H$5:$H$7,W61)/INDEX(Parameter!$E$5:$E$7,W61),IF(AND(BZ61=0,N(IFERROR(VLOOKUP(BX61,'Gebinde-Kategorie'!$A$5:$N$45,14,0),0))&gt;0),VLOOKUP(BX61,'Gebinde-Kategorie'!$A$5:$N$45,14,0)*10+Parameter!$M$23,Parameter!$M$24))</f>
        <v>235</v>
      </c>
      <c r="CC61" s="48" t="n">
        <f aca="false">IF(AND(Parameter!$B$19="Ja",E61&lt;&gt;"",ISNUMBER(MATCH(E61,Parameter!$I$35:$I$52,0))),VLOOKUP(E61,Parameter!$I$35:$J$52,2,0),IFERROR(VLOOKUP(D61,Parameter!$A$35:$C$64,2,0),"Nein"))</f>
        <v>1</v>
      </c>
      <c r="CD61" s="52" t="n">
        <f aca="false">IF(BZ61=0,0,IF(N(S61)&gt;0,S61,IFERROR(VLOOKUP(D61,Parameter!$A$35:$C$64,3,0)+0,0)))</f>
        <v>0</v>
      </c>
      <c r="CE61" s="48" t="n">
        <f aca="false">IF(AA61&lt;&gt;"",AA61,Z61)</f>
        <v>1</v>
      </c>
      <c r="CF61" s="48" t="str">
        <f aca="false">IF(OR(CE61=1,CE61=2,CE61=3),IF(Parameter!$E$27="Ja","LIFT",IF(CE61=1,"L1","L23")),IF(CE61="Aussen","Aussen","-"))</f>
        <v>LIFT</v>
      </c>
      <c r="CG61" s="59" t="n">
        <f aca="false">IF(N(AB61)&gt;0,AB61,0)</f>
        <v>0</v>
      </c>
      <c r="CH61" s="53" t="n">
        <f aca="false">IF(ISNUMBER(AE61),1,0)</f>
        <v>0</v>
      </c>
      <c r="CI61" s="50" t="n">
        <f aca="false">N(AE61)</f>
        <v>0</v>
      </c>
      <c r="CJ61" s="50" t="n">
        <f aca="false">N(M61)+N(N61)</f>
        <v>6</v>
      </c>
      <c r="CK61" s="50" t="n">
        <f aca="false">N(M61)</f>
        <v>1</v>
      </c>
      <c r="CL61" s="50" t="n">
        <f aca="false">N(N61)</f>
        <v>5</v>
      </c>
      <c r="CM61" s="50" t="n">
        <f aca="false">ROUNDUP(H61/BY61,0)</f>
        <v>2</v>
      </c>
      <c r="CN61" s="50" t="n">
        <f aca="false">ROUNDUP(CI61/BY61,0)</f>
        <v>0</v>
      </c>
      <c r="CO61" s="53" t="n">
        <f aca="false">IF(BZ61=1,0,IFERROR(VLOOKUP(BX61,'Gebinde-Kategorie'!$A$5:$N$45,5,0)+0,0))</f>
        <v>20</v>
      </c>
      <c r="CP61" s="53" t="n">
        <f aca="false">IFERROR(IF(OR(CE61=1,CE61=2,CE61=3),N(INDEX(Parameter!$I$5:$I$7,CE61)),0),0)</f>
        <v>0</v>
      </c>
      <c r="CQ61" s="52" t="n">
        <f aca="false">IF(AND(Parameter!$B$21="Ja",ISNUMBER(W61),N(X61)&gt;0),IFERROR(N(INDEX(Parameter!$L$5:$L$7,W61))*INDEX(Parameter!$E$5:$E$7,W61)*X61/SUMIFS($X$7:$X$1843,$W$7:$W$1843,W61),0),0)</f>
        <v>0</v>
      </c>
    </row>
    <row r="62" customFormat="false" ht="15" hidden="false" customHeight="false" outlineLevel="0" collapsed="false">
      <c r="A62" s="48" t="s">
        <v>330</v>
      </c>
      <c r="B62" s="48" t="s">
        <v>331</v>
      </c>
      <c r="C62" s="48" t="s">
        <v>173</v>
      </c>
      <c r="D62" s="48" t="s">
        <v>193</v>
      </c>
      <c r="E62" s="48"/>
      <c r="F62" s="48" t="s">
        <v>227</v>
      </c>
      <c r="G62" s="49" t="n">
        <v>513</v>
      </c>
      <c r="H62" s="50" t="n">
        <f aca="false">MAX(0,IF(AND(Parameter!$B$21="Ja",ISNUMBER(Y62)),Y62,IF(Parameter!$B$20="Jahresanfang 2025 + Export",BR62+BQ62,BQ62)))</f>
        <v>8</v>
      </c>
      <c r="I62" s="50" t="n">
        <f aca="false">H62*G62</f>
        <v>4104</v>
      </c>
      <c r="J62" s="50" t="n">
        <f aca="false">BT62*Parameter!$B$18</f>
        <v>0</v>
      </c>
      <c r="K62" s="51" t="n">
        <v>0</v>
      </c>
      <c r="L62" s="52" t="n">
        <v>0</v>
      </c>
      <c r="M62" s="50" t="n">
        <v>0</v>
      </c>
      <c r="N62" s="50" t="n">
        <v>1</v>
      </c>
      <c r="O62" s="53" t="n">
        <v>9999</v>
      </c>
      <c r="P62" s="48" t="s">
        <v>177</v>
      </c>
      <c r="Q62" s="50"/>
      <c r="R62" s="53" t="n">
        <f aca="false">IF(BZ62=1,0,IFERROR(VLOOKUP(BX62,'Gebinde-Kategorie'!$A$5:$N$45,13,0)+0,0))</f>
        <v>12</v>
      </c>
      <c r="S62" s="54"/>
      <c r="T62" s="55" t="s">
        <v>188</v>
      </c>
      <c r="U62" s="55"/>
      <c r="V62" s="55"/>
      <c r="W62" s="48"/>
      <c r="X62" s="50"/>
      <c r="Y62" s="50"/>
      <c r="Z62" s="48" t="n">
        <f aca="false">IF(A62="","",IF(AND(Parameter!$B$21="Ja",ISNUMBER(W62)),W62,IF(CC62="2+3",IF(ISNUMBER(SEARCH("grosser Artikel",BU62)),2,IFERROR(VLOOKUP(BX62,Parameter!$F$35:$G$64,2,0),2)),IF(OR(CC62="Nein",CC62=""),"-",CC62))))</f>
        <v>2</v>
      </c>
      <c r="AA62" s="55"/>
      <c r="AB62" s="56"/>
      <c r="AC62" s="50" t="n">
        <f aca="false">AV62</f>
        <v>1</v>
      </c>
      <c r="AD62" s="50" t="n">
        <f aca="false">MAX(AV62,H62)</f>
        <v>8</v>
      </c>
      <c r="AE62" s="57"/>
      <c r="AF62" s="50" t="n">
        <f aca="false">IF(LEFT(Cockpit!$C$5,1)="A",H62,IF(Parameter!$E$30="MAX-Bestand",IF(CH62=1,CI62,IF(LEFT(Cockpit!$C$5,1)="B",AL62,MAX(AL62,H62))),ROUNDUP(AJ62,0)))</f>
        <v>8</v>
      </c>
      <c r="AG62" s="50" t="n">
        <f aca="false">IF(BZ62=1,0,ROUNDUP(AF62/BY62,0))</f>
        <v>1</v>
      </c>
      <c r="AH62" s="52" t="n">
        <f aca="false">IF(CQ62&gt;0,CQ62*MAX(1,AF62/X62),IF(BZ62=1,IF(AF62&lt;=0,0,CD62*MAX(1,IF(H62&gt;0,AF62/H62,1))),IF(R62&gt;0,AG62/R62,0))/MAX(0.1,N(Parameter!$M$21)))</f>
        <v>0.0833333333333333</v>
      </c>
      <c r="AI62" s="50" t="n">
        <f aca="false">AH62*CB62</f>
        <v>12.0833333333333</v>
      </c>
      <c r="AJ62" s="51" t="n">
        <f aca="false">IF(LEFT(Cockpit!$C$5,1)="A",H62,IF(CH62=1,(CK62+CI62)/2,IF(LEFT(Cockpit!$C$5,1)="B",(CK62+AL62)/2,MAX((CK62+AL62)/2,H62))))</f>
        <v>8</v>
      </c>
      <c r="AK62" s="50" t="n">
        <f aca="false">AJ62*G62</f>
        <v>4104</v>
      </c>
      <c r="AL62" s="50" t="n">
        <f aca="false">ROUNDUP(CK62+MAX(CL62,2*(J62/IF(CG62&gt;0,CG62,MAX(0.1,N(Cockpit!$C$6)))-CK62)),0)</f>
        <v>1</v>
      </c>
      <c r="AM62" s="51" t="n">
        <f aca="false">IF(AI62&gt;0,J62/AI62,-1)</f>
        <v>0</v>
      </c>
      <c r="AN62" s="51" t="n">
        <f aca="false">IF(AND(OR(CF62="L1",CF62="L23",CF62="LIFT"),AI62&gt;0),SUMIFS($AI$7:$AI$1843,$CF$7:$CF$1843,CF62,$AM$7:$AM$1843,"&gt;"&amp;AM62)+SUMIFS($AI$7:$AI$1843,$CF$7:$CF$1843,CF62,$AM$7:$AM$1843,AM62,$BW$7:$BW$1843,"&lt;="&amp;BW62),"")</f>
        <v>26458.8252545477</v>
      </c>
      <c r="AO62" s="58" t="n">
        <f aca="false">IF(AN62="",0,MAX(0,MIN(1,(IF(CF62="L1",Parameter!$H$5,IF(CF62="L23",Parameter!$H$6+Parameter!$H$7,Parameter!$H$5+Parameter!$H$6+Parameter!$H$7))-(AN62-AI62))/AI62)))</f>
        <v>1</v>
      </c>
      <c r="AP62" s="50" t="n">
        <f aca="false">IF(LEFT(Cockpit!$I$5,1)="A",H62,IF(Parameter!$E$30="MAX-Bestand",IF(CH62=1,CI62,IF(LEFT(Cockpit!$I$5,1)="B",AV62,MAX(AV62,H62))),ROUNDUP(AT62,0)))</f>
        <v>8</v>
      </c>
      <c r="AQ62" s="50" t="n">
        <f aca="false">IF(BZ62=1,0,ROUNDUP(AP62/BY62,0))</f>
        <v>1</v>
      </c>
      <c r="AR62" s="52" t="n">
        <f aca="false">IF(CQ62&gt;0,CQ62*MAX(1,AP62/X62),IF(BZ62=1,IF(AP62&lt;=0,0,CD62*MAX(1,IF(H62&gt;0,AP62/H62,1))),IF(R62&gt;0,AQ62/R62,0))/MAX(0.1,N(Parameter!$M$21)))</f>
        <v>0.0833333333333333</v>
      </c>
      <c r="AS62" s="50" t="n">
        <f aca="false">AR62*CB62</f>
        <v>12.0833333333333</v>
      </c>
      <c r="AT62" s="51" t="n">
        <f aca="false">IF(LEFT(Cockpit!$I$5,1)="A",H62,IF(CH62=1,(CK62+CI62)/2,IF(LEFT(Cockpit!$I$5,1)="B",(CK62+AV62)/2,MAX((CK62+AV62)/2,H62))))</f>
        <v>8</v>
      </c>
      <c r="AU62" s="50" t="n">
        <f aca="false">AT62*G62</f>
        <v>4104</v>
      </c>
      <c r="AV62" s="50" t="n">
        <f aca="false">ROUNDUP(CK62+MAX(CL62,2*(J62/IF(CG62&gt;0,CG62,MAX(0.1,N(Cockpit!$I$6)))-CK62)),0)</f>
        <v>1</v>
      </c>
      <c r="AW62" s="51" t="n">
        <f aca="false">IF(AS62&gt;0,J62/AS62,-1)</f>
        <v>0</v>
      </c>
      <c r="AX62" s="51" t="n">
        <f aca="false">IF(AND(OR(CF62="L1",CF62="L23",CF62="LIFT"),AS62&gt;0),SUMIFS($AS$7:$AS$1843,$CF$7:$CF$1843,CF62,$AW$7:$AW$1843,"&gt;"&amp;AW62)+SUMIFS($AS$7:$AS$1843,$CF$7:$CF$1843,CF62,$AW$7:$AW$1843,AW62,$BW$7:$BW$1843,"&lt;="&amp;BW62),"")</f>
        <v>31811.9738959252</v>
      </c>
      <c r="AY62" s="58" t="n">
        <f aca="false">IF(AX62="",0,MAX(0,MIN(1,(IF(CF62="L1",Parameter!$H$5,IF(CF62="L23",Parameter!$H$6+Parameter!$H$7,Parameter!$H$5+Parameter!$H$6+Parameter!$H$7))-(AX62-AS62))/AS62)))</f>
        <v>1</v>
      </c>
      <c r="AZ62" s="50" t="n">
        <f aca="false">IF(LEFT(Cockpit!$O$5,1)="A",H62,IF(Parameter!$E$30="MAX-Bestand",IF(CH62=1,CI62,IF(LEFT(Cockpit!$O$5,1)="B",BF62,MAX(BF62,H62))),ROUNDUP(BD62,0)))</f>
        <v>1</v>
      </c>
      <c r="BA62" s="50" t="n">
        <f aca="false">IF(BZ62=1,0,ROUNDUP(AZ62/BY62,0))</f>
        <v>1</v>
      </c>
      <c r="BB62" s="52" t="n">
        <f aca="false">IF(CQ62&gt;0,CQ62*MAX(1,AZ62/X62),IF(BZ62=1,IF(AZ62&lt;=0,0,CD62*MAX(1,IF(H62&gt;0,AZ62/H62,1))),IF(R62&gt;0,BA62/R62,0))/MAX(0.1,N(Parameter!$M$21)))</f>
        <v>0.0833333333333333</v>
      </c>
      <c r="BC62" s="50" t="n">
        <f aca="false">BB62*CB62</f>
        <v>12.0833333333333</v>
      </c>
      <c r="BD62" s="51" t="n">
        <f aca="false">IF(LEFT(Cockpit!$O$5,1)="A",H62,IF(CH62=1,(CK62+CI62)/2,IF(LEFT(Cockpit!$O$5,1)="B",(CK62+BF62)/2,MAX((CK62+BF62)/2,H62))))</f>
        <v>0.5</v>
      </c>
      <c r="BE62" s="50" t="n">
        <f aca="false">BD62*G62</f>
        <v>256.5</v>
      </c>
      <c r="BF62" s="50" t="n">
        <f aca="false">ROUNDUP(CK62+MAX(CL62,2*(J62/IF(CG62&gt;0,CG62,MAX(0.1,N(Cockpit!$O$6)))-CK62)),0)</f>
        <v>1</v>
      </c>
      <c r="BG62" s="51" t="n">
        <f aca="false">IF(BC62&gt;0,J62/BC62,-1)</f>
        <v>0</v>
      </c>
      <c r="BH62" s="51" t="n">
        <f aca="false">IF(AND(OR(CF62="L1",CF62="L23",CF62="LIFT"),BC62&gt;0),SUMIFS($BC$7:$BC$1843,$CF$7:$CF$1843,CF62,$BG$7:$BG$1843,"&gt;"&amp;BG62)+SUMIFS($BC$7:$BC$1843,$CF$7:$CF$1843,CF62,$BG$7:$BG$1843,BG62,$BW$7:$BW$1843,"&lt;="&amp;BW62),"")</f>
        <v>26008.5557392231</v>
      </c>
      <c r="BI62" s="58" t="n">
        <f aca="false">IF(BH62="",0,MAX(0,MIN(1,(IF(CF62="L1",Parameter!$H$5,IF(CF62="L23",Parameter!$H$6+Parameter!$H$7,Parameter!$H$5+Parameter!$H$6+Parameter!$H$7))-(BH62-BC62))/BC62)))</f>
        <v>1</v>
      </c>
      <c r="BJ62" s="48" t="str">
        <f aca="false">IF(AI62&lt;=0,"",IF(CF62="Aussen","Aussenlager",IF(CF62="-","Nicht im Lift",IF(AO62&gt;=1,"Lift",IF(AO62&lt;=0,"Aussenlager","teilweise")))))</f>
        <v>Lift</v>
      </c>
      <c r="BK62" s="48" t="str">
        <f aca="false">IF(AS62&lt;=0,"",IF(CF62="Aussen","Aussenlager",IF(CF62="-","Nicht im Lift",IF(AY62&gt;=1,"Lift",IF(AY62&lt;=0,"Aussenlager","teilweise")))))</f>
        <v>Lift</v>
      </c>
      <c r="BL62" s="48" t="str">
        <f aca="false">IF(BC62&lt;=0,"",IF(CF62="Aussen","Aussenlager",IF(CF62="-","Nicht im Lift",IF(BI62&gt;=1,"Lift",IF(BI62&lt;=0,"Aussenlager","teilweise")))))</f>
        <v>Lift</v>
      </c>
      <c r="BM62" s="48" t="str">
        <f aca="false">IF(A62="","",IF(BV62=1,"Neu; ","")&amp;IF(AND(BV62=0,BQ62&lt;0),"negativer Bestand (Export "&amp;BQ62&amp;"); ","")&amp;IF(J62&lt;=0,"Kein Verbrauch; ","")&amp;IF(CQ62&gt;0,"Lift "&amp;W62&amp;" lt. Liftbericht (Fach "&amp;X62&amp;" Stk); ",IF(CA62=1,"Gebinde geschätzt ("&amp;T62&amp;"); ",IF(BZ62=1,"Lose – Tablare geschätzt; ","")))&amp;IF(H62&gt;AV62,"Überbestand "&amp;ROUND(H62-AV62,0)&amp;" Stk / CHF "&amp;ROUND((H62-AV62)*G62,0)&amp;"; ","")&amp;IF(AND(CH62=1,CI62&lt;CJ62),"MAX &lt; MB+LG; ","")&amp;IF(AND(CP62&gt;0,CO62*10&gt;CP62),"zu hoch für Tablar; ","")&amp;IF(AND(BV62=0,OR(CH62=1,AA62&lt;&gt;"",U62&lt;&gt;"",V62&lt;&gt;"",AB62&lt;&gt;"")),"manuell übersteuert; ","")&amp;IF(AND(BZ62=0,R62=0),"Gebinde unbekannt / Stellmass fehlt; ","")&amp;IF(AND(BZ62=0,N(V62)&lt;=0,N(Q62)&lt;=0),"Menge pro Gebinde fehlt (Ist = 1 Gebinde); ","")&amp;BU62)</f>
        <v>Kein Verbrauch; Gebinde geschätzt (Mittel); Überbestand 7 Stk / CHF 3591; Menge pro Gebinde fehlt (Ist = 1 Gebinde); </v>
      </c>
      <c r="BN62" s="48"/>
      <c r="BO62" s="48"/>
      <c r="BP62" s="55"/>
      <c r="BQ62" s="50" t="n">
        <v>8</v>
      </c>
      <c r="BR62" s="50" t="n">
        <v>0</v>
      </c>
      <c r="BS62" s="49" t="n">
        <v>4104</v>
      </c>
      <c r="BT62" s="50" t="n">
        <v>0</v>
      </c>
      <c r="BU62" s="48"/>
      <c r="BV62" s="53" t="n">
        <v>0</v>
      </c>
      <c r="BW62" s="53" t="n">
        <v>62</v>
      </c>
      <c r="BX62" s="48" t="str">
        <f aca="false">IF(U62&lt;&gt;"",UPPER(TRIM(U62)),IF(CA62=1,UPPER(VLOOKUP(T62,Parameter!$I$27:$K$29,2,0)),IF(P62="","LOSE",P62)))</f>
        <v>S61</v>
      </c>
      <c r="BY62" s="50" t="n">
        <f aca="false">IF(BX62="LOSE",1,IF(N(V62)&gt;0,V62,IF(CA62=1,MAX(1,N(VLOOKUP(T62,Parameter!$I$27:$K$29,3,0)),H62,N(N62)),IF(N(Q62)&gt;0,Q62,MAX(1,H62)))))</f>
        <v>8</v>
      </c>
      <c r="BZ62" s="53" t="n">
        <f aca="false">IF(BX62="LOSE",1,0)</f>
        <v>0</v>
      </c>
      <c r="CA62" s="53" t="n">
        <f aca="false">IF(AND(U62="",OR(P62="",P62="LOSE"),T62&lt;&gt;"",N(S62)&lt;=0,ISNUMBER(MATCH(T62,Parameter!$I$27:$I$29,0))),1,0)</f>
        <v>1</v>
      </c>
      <c r="CB62" s="53" t="n">
        <f aca="false">IF(CQ62&gt;0,INDEX(Parameter!$H$5:$H$7,W62)/INDEX(Parameter!$E$5:$E$7,W62),IF(AND(BZ62=0,N(IFERROR(VLOOKUP(BX62,'Gebinde-Kategorie'!$A$5:$N$45,14,0),0))&gt;0),VLOOKUP(BX62,'Gebinde-Kategorie'!$A$5:$N$45,14,0)*10+Parameter!$M$23,Parameter!$M$24))</f>
        <v>145</v>
      </c>
      <c r="CC62" s="48" t="str">
        <f aca="false">IF(AND(Parameter!$B$19="Ja",E62&lt;&gt;"",ISNUMBER(MATCH(E62,Parameter!$I$35:$I$52,0))),VLOOKUP(E62,Parameter!$I$35:$J$52,2,0),IFERROR(VLOOKUP(D62,Parameter!$A$35:$C$64,2,0),"Nein"))</f>
        <v>2+3</v>
      </c>
      <c r="CD62" s="52" t="n">
        <f aca="false">IF(BZ62=0,0,IF(N(S62)&gt;0,S62,IFERROR(VLOOKUP(D62,Parameter!$A$35:$C$64,3,0)+0,0)))</f>
        <v>0</v>
      </c>
      <c r="CE62" s="48" t="n">
        <f aca="false">IF(AA62&lt;&gt;"",AA62,Z62)</f>
        <v>2</v>
      </c>
      <c r="CF62" s="48" t="str">
        <f aca="false">IF(OR(CE62=1,CE62=2,CE62=3),IF(Parameter!$E$27="Ja","LIFT",IF(CE62=1,"L1","L23")),IF(CE62="Aussen","Aussen","-"))</f>
        <v>LIFT</v>
      </c>
      <c r="CG62" s="59" t="n">
        <f aca="false">IF(N(AB62)&gt;0,AB62,0)</f>
        <v>0</v>
      </c>
      <c r="CH62" s="53" t="n">
        <f aca="false">IF(ISNUMBER(AE62),1,0)</f>
        <v>0</v>
      </c>
      <c r="CI62" s="50" t="n">
        <f aca="false">N(AE62)</f>
        <v>0</v>
      </c>
      <c r="CJ62" s="50" t="n">
        <f aca="false">N(M62)+N(N62)</f>
        <v>1</v>
      </c>
      <c r="CK62" s="50" t="n">
        <f aca="false">N(M62)</f>
        <v>0</v>
      </c>
      <c r="CL62" s="50" t="n">
        <f aca="false">N(N62)</f>
        <v>1</v>
      </c>
      <c r="CM62" s="50" t="n">
        <f aca="false">ROUNDUP(H62/BY62,0)</f>
        <v>1</v>
      </c>
      <c r="CN62" s="50" t="n">
        <f aca="false">ROUNDUP(CI62/BY62,0)</f>
        <v>0</v>
      </c>
      <c r="CO62" s="53" t="n">
        <f aca="false">IF(BZ62=1,0,IFERROR(VLOOKUP(BX62,'Gebinde-Kategorie'!$A$5:$N$45,5,0)+0,0))</f>
        <v>11</v>
      </c>
      <c r="CP62" s="53" t="n">
        <f aca="false">IFERROR(IF(OR(CE62=1,CE62=2,CE62=3),N(INDEX(Parameter!$I$5:$I$7,CE62)),0),0)</f>
        <v>0</v>
      </c>
      <c r="CQ62" s="52" t="n">
        <f aca="false">IF(AND(Parameter!$B$21="Ja",ISNUMBER(W62),N(X62)&gt;0),IFERROR(N(INDEX(Parameter!$L$5:$L$7,W62))*INDEX(Parameter!$E$5:$E$7,W62)*X62/SUMIFS($X$7:$X$1843,$W$7:$W$1843,W62),0),0)</f>
        <v>0</v>
      </c>
    </row>
    <row r="63" customFormat="false" ht="15" hidden="false" customHeight="false" outlineLevel="0" collapsed="false">
      <c r="A63" s="48" t="s">
        <v>332</v>
      </c>
      <c r="B63" s="48" t="s">
        <v>333</v>
      </c>
      <c r="C63" s="48" t="s">
        <v>173</v>
      </c>
      <c r="D63" s="48" t="s">
        <v>193</v>
      </c>
      <c r="E63" s="48" t="s">
        <v>194</v>
      </c>
      <c r="F63" s="48" t="s">
        <v>227</v>
      </c>
      <c r="G63" s="49" t="n">
        <v>34.21</v>
      </c>
      <c r="H63" s="50" t="n">
        <f aca="false">MAX(0,IF(AND(Parameter!$B$21="Ja",ISNUMBER(Y63)),Y63,IF(Parameter!$B$20="Jahresanfang 2025 + Export",BR63+BQ63,BQ63)))</f>
        <v>174</v>
      </c>
      <c r="I63" s="50" t="n">
        <f aca="false">H63*G63</f>
        <v>5952.54</v>
      </c>
      <c r="J63" s="50" t="n">
        <f aca="false">BT63*Parameter!$B$18</f>
        <v>262</v>
      </c>
      <c r="K63" s="51" t="n">
        <v>102</v>
      </c>
      <c r="L63" s="52" t="n">
        <v>2.56862745098039</v>
      </c>
      <c r="M63" s="50" t="n">
        <v>45</v>
      </c>
      <c r="N63" s="50" t="n">
        <v>135</v>
      </c>
      <c r="O63" s="53" t="n">
        <v>56</v>
      </c>
      <c r="P63" s="48" t="s">
        <v>242</v>
      </c>
      <c r="Q63" s="50" t="n">
        <v>150</v>
      </c>
      <c r="R63" s="53" t="n">
        <f aca="false">IF(BZ63=1,0,IFERROR(VLOOKUP(BX63,'Gebinde-Kategorie'!$A$5:$N$45,13,0)+0,0))</f>
        <v>26</v>
      </c>
      <c r="S63" s="54"/>
      <c r="T63" s="55"/>
      <c r="U63" s="55"/>
      <c r="V63" s="55"/>
      <c r="W63" s="48"/>
      <c r="X63" s="50"/>
      <c r="Y63" s="50"/>
      <c r="Z63" s="48" t="n">
        <f aca="false">IF(A63="","",IF(AND(Parameter!$B$21="Ja",ISNUMBER(W63)),W63,IF(CC63="2+3",IF(ISNUMBER(SEARCH("grosser Artikel",BU63)),2,IFERROR(VLOOKUP(BX63,Parameter!$F$35:$G$64,2,0),2)),IF(OR(CC63="Nein",CC63=""),"-",CC63))))</f>
        <v>3</v>
      </c>
      <c r="AA63" s="55"/>
      <c r="AB63" s="56"/>
      <c r="AC63" s="50" t="n">
        <f aca="false">AV63</f>
        <v>180</v>
      </c>
      <c r="AD63" s="50" t="n">
        <f aca="false">MAX(AV63,H63)</f>
        <v>180</v>
      </c>
      <c r="AE63" s="57"/>
      <c r="AF63" s="50" t="n">
        <f aca="false">IF(LEFT(Cockpit!$C$5,1)="A",H63,IF(Parameter!$E$30="MAX-Bestand",IF(CH63=1,CI63,IF(LEFT(Cockpit!$C$5,1)="B",AL63,MAX(AL63,H63))),ROUNDUP(AJ63,0)))</f>
        <v>174</v>
      </c>
      <c r="AG63" s="50" t="n">
        <f aca="false">IF(BZ63=1,0,ROUNDUP(AF63/BY63,0))</f>
        <v>2</v>
      </c>
      <c r="AH63" s="52" t="n">
        <f aca="false">IF(CQ63&gt;0,CQ63*MAX(1,AF63/X63),IF(BZ63=1,IF(AF63&lt;=0,0,CD63*MAX(1,IF(H63&gt;0,AF63/H63,1))),IF(R63&gt;0,AG63/R63,0))/MAX(0.1,N(Parameter!$M$21)))</f>
        <v>0.0769230769230769</v>
      </c>
      <c r="AI63" s="50" t="n">
        <f aca="false">AH63*CB63</f>
        <v>18.8461538461538</v>
      </c>
      <c r="AJ63" s="51" t="n">
        <f aca="false">IF(LEFT(Cockpit!$C$5,1)="A",H63,IF(CH63=1,(CK63+CI63)/2,IF(LEFT(Cockpit!$C$5,1)="B",(CK63+AL63)/2,MAX((CK63+AL63)/2,H63))))</f>
        <v>174</v>
      </c>
      <c r="AK63" s="50" t="n">
        <f aca="false">AJ63*G63</f>
        <v>5952.54</v>
      </c>
      <c r="AL63" s="50" t="n">
        <f aca="false">ROUNDUP(CK63+MAX(CL63,2*(J63/IF(CG63&gt;0,CG63,MAX(0.1,N(Cockpit!$C$6)))-CK63)),0)</f>
        <v>180</v>
      </c>
      <c r="AM63" s="51" t="n">
        <f aca="false">IF(AI63&gt;0,J63/AI63,-1)</f>
        <v>13.9020408163265</v>
      </c>
      <c r="AN63" s="51" t="n">
        <f aca="false">IF(AND(OR(CF63="L1",CF63="L23",CF63="LIFT"),AI63&gt;0),SUMIFS($AI$7:$AI$1843,$CF$7:$CF$1843,CF63,$AM$7:$AM$1843,"&gt;"&amp;AM63)+SUMIFS($AI$7:$AI$1843,$CF$7:$CF$1843,CF63,$AM$7:$AM$1843,AM63,$BW$7:$BW$1843,"&lt;="&amp;BW63),"")</f>
        <v>2219.68956043956</v>
      </c>
      <c r="AO63" s="58" t="n">
        <f aca="false">IF(AN63="",0,MAX(0,MIN(1,(IF(CF63="L1",Parameter!$H$5,IF(CF63="L23",Parameter!$H$6+Parameter!$H$7,Parameter!$H$5+Parameter!$H$6+Parameter!$H$7))-(AN63-AI63))/AI63)))</f>
        <v>1</v>
      </c>
      <c r="AP63" s="50" t="n">
        <f aca="false">IF(LEFT(Cockpit!$I$5,1)="A",H63,IF(Parameter!$E$30="MAX-Bestand",IF(CH63=1,CI63,IF(LEFT(Cockpit!$I$5,1)="B",AV63,MAX(AV63,H63))),ROUNDUP(AT63,0)))</f>
        <v>174</v>
      </c>
      <c r="AQ63" s="50" t="n">
        <f aca="false">IF(BZ63=1,0,ROUNDUP(AP63/BY63,0))</f>
        <v>2</v>
      </c>
      <c r="AR63" s="52" t="n">
        <f aca="false">IF(CQ63&gt;0,CQ63*MAX(1,AP63/X63),IF(BZ63=1,IF(AP63&lt;=0,0,CD63*MAX(1,IF(H63&gt;0,AP63/H63,1))),IF(R63&gt;0,AQ63/R63,0))/MAX(0.1,N(Parameter!$M$21)))</f>
        <v>0.0769230769230769</v>
      </c>
      <c r="AS63" s="50" t="n">
        <f aca="false">AR63*CB63</f>
        <v>18.8461538461538</v>
      </c>
      <c r="AT63" s="51" t="n">
        <f aca="false">IF(LEFT(Cockpit!$I$5,1)="A",H63,IF(CH63=1,(CK63+CI63)/2,IF(LEFT(Cockpit!$I$5,1)="B",(CK63+AV63)/2,MAX((CK63+AV63)/2,H63))))</f>
        <v>174</v>
      </c>
      <c r="AU63" s="50" t="n">
        <f aca="false">AT63*G63</f>
        <v>5952.54</v>
      </c>
      <c r="AV63" s="50" t="n">
        <f aca="false">ROUNDUP(CK63+MAX(CL63,2*(J63/IF(CG63&gt;0,CG63,MAX(0.1,N(Cockpit!$I$6)))-CK63)),0)</f>
        <v>180</v>
      </c>
      <c r="AW63" s="51" t="n">
        <f aca="false">IF(AS63&gt;0,J63/AS63,-1)</f>
        <v>13.9020408163265</v>
      </c>
      <c r="AX63" s="51" t="n">
        <f aca="false">IF(AND(OR(CF63="L1",CF63="L23",CF63="LIFT"),AS63&gt;0),SUMIFS($AS$7:$AS$1843,$CF$7:$CF$1843,CF63,$AW$7:$AW$1843,"&gt;"&amp;AW63)+SUMIFS($AS$7:$AS$1843,$CF$7:$CF$1843,CF63,$AW$7:$AW$1843,AW63,$BW$7:$BW$1843,"&lt;="&amp;BW63),"")</f>
        <v>2838.87637362637</v>
      </c>
      <c r="AY63" s="58" t="n">
        <f aca="false">IF(AX63="",0,MAX(0,MIN(1,(IF(CF63="L1",Parameter!$H$5,IF(CF63="L23",Parameter!$H$6+Parameter!$H$7,Parameter!$H$5+Parameter!$H$6+Parameter!$H$7))-(AX63-AS63))/AS63)))</f>
        <v>1</v>
      </c>
      <c r="AZ63" s="50" t="n">
        <f aca="false">IF(LEFT(Cockpit!$O$5,1)="A",H63,IF(Parameter!$E$30="MAX-Bestand",IF(CH63=1,CI63,IF(LEFT(Cockpit!$O$5,1)="B",BF63,MAX(BF63,H63))),ROUNDUP(BD63,0)))</f>
        <v>113</v>
      </c>
      <c r="BA63" s="50" t="n">
        <f aca="false">IF(BZ63=1,0,ROUNDUP(AZ63/BY63,0))</f>
        <v>1</v>
      </c>
      <c r="BB63" s="52" t="n">
        <f aca="false">IF(CQ63&gt;0,CQ63*MAX(1,AZ63/X63),IF(BZ63=1,IF(AZ63&lt;=0,0,CD63*MAX(1,IF(H63&gt;0,AZ63/H63,1))),IF(R63&gt;0,BA63/R63,0))/MAX(0.1,N(Parameter!$M$21)))</f>
        <v>0.0384615384615385</v>
      </c>
      <c r="BC63" s="50" t="n">
        <f aca="false">BB63*CB63</f>
        <v>9.42307692307692</v>
      </c>
      <c r="BD63" s="51" t="n">
        <f aca="false">IF(LEFT(Cockpit!$O$5,1)="A",H63,IF(CH63=1,(CK63+CI63)/2,IF(LEFT(Cockpit!$O$5,1)="B",(CK63+BF63)/2,MAX((CK63+BF63)/2,H63))))</f>
        <v>112.5</v>
      </c>
      <c r="BE63" s="50" t="n">
        <f aca="false">BD63*G63</f>
        <v>3848.625</v>
      </c>
      <c r="BF63" s="50" t="n">
        <f aca="false">ROUNDUP(CK63+MAX(CL63,2*(J63/IF(CG63&gt;0,CG63,MAX(0.1,N(Cockpit!$O$6)))-CK63)),0)</f>
        <v>180</v>
      </c>
      <c r="BG63" s="51" t="n">
        <f aca="false">IF(BC63&gt;0,J63/BC63,-1)</f>
        <v>27.8040816326531</v>
      </c>
      <c r="BH63" s="51" t="n">
        <f aca="false">IF(AND(OR(CF63="L1",CF63="L23",CF63="LIFT"),BC63&gt;0),SUMIFS($BC$7:$BC$1843,$CF$7:$CF$1843,CF63,$BG$7:$BG$1843,"&gt;"&amp;BG63)+SUMIFS($BC$7:$BC$1843,$CF$7:$CF$1843,CF63,$BG$7:$BG$1843,BG63,$BW$7:$BW$1843,"&lt;="&amp;BW63),"")</f>
        <v>1908.8956043956</v>
      </c>
      <c r="BI63" s="58" t="n">
        <f aca="false">IF(BH63="",0,MAX(0,MIN(1,(IF(CF63="L1",Parameter!$H$5,IF(CF63="L23",Parameter!$H$6+Parameter!$H$7,Parameter!$H$5+Parameter!$H$6+Parameter!$H$7))-(BH63-BC63))/BC63)))</f>
        <v>1</v>
      </c>
      <c r="BJ63" s="48" t="str">
        <f aca="false">IF(AI63&lt;=0,"",IF(CF63="Aussen","Aussenlager",IF(CF63="-","Nicht im Lift",IF(AO63&gt;=1,"Lift",IF(AO63&lt;=0,"Aussenlager","teilweise")))))</f>
        <v>Lift</v>
      </c>
      <c r="BK63" s="48" t="str">
        <f aca="false">IF(AS63&lt;=0,"",IF(CF63="Aussen","Aussenlager",IF(CF63="-","Nicht im Lift",IF(AY63&gt;=1,"Lift",IF(AY63&lt;=0,"Aussenlager","teilweise")))))</f>
        <v>Lift</v>
      </c>
      <c r="BL63" s="48" t="str">
        <f aca="false">IF(BC63&lt;=0,"",IF(CF63="Aussen","Aussenlager",IF(CF63="-","Nicht im Lift",IF(BI63&gt;=1,"Lift",IF(BI63&lt;=0,"Aussenlager","teilweise")))))</f>
        <v>Lift</v>
      </c>
      <c r="BM63" s="48" t="str">
        <f aca="false">IF(A63="","",IF(BV63=1,"Neu; ","")&amp;IF(AND(BV63=0,BQ63&lt;0),"negativer Bestand (Export "&amp;BQ63&amp;"); ","")&amp;IF(J63&lt;=0,"Kein Verbrauch; ","")&amp;IF(CQ63&gt;0,"Lift "&amp;W63&amp;" lt. Liftbericht (Fach "&amp;X63&amp;" Stk); ",IF(CA63=1,"Gebinde geschätzt ("&amp;T63&amp;"); ",IF(BZ63=1,"Lose – Tablare geschätzt; ","")))&amp;IF(H63&gt;AV63,"Überbestand "&amp;ROUND(H63-AV63,0)&amp;" Stk / CHF "&amp;ROUND((H63-AV63)*G63,0)&amp;"; ","")&amp;IF(AND(CH63=1,CI63&lt;CJ63),"MAX &lt; MB+LG; ","")&amp;IF(AND(CP63&gt;0,CO63*10&gt;CP63),"zu hoch für Tablar; ","")&amp;IF(AND(BV63=0,OR(CH63=1,AA63&lt;&gt;"",U63&lt;&gt;"",V63&lt;&gt;"",AB63&lt;&gt;"")),"manuell übersteuert; ","")&amp;IF(AND(BZ63=0,R63=0),"Gebinde unbekannt / Stellmass fehlt; ","")&amp;IF(AND(BZ63=0,N(V63)&lt;=0,N(Q63)&lt;=0),"Menge pro Gebinde fehlt (Ist = 1 Gebinde); ","")&amp;BU63)</f>
        <v/>
      </c>
      <c r="BN63" s="48" t="s">
        <v>334</v>
      </c>
      <c r="BO63" s="48"/>
      <c r="BP63" s="55"/>
      <c r="BQ63" s="50" t="n">
        <v>141</v>
      </c>
      <c r="BR63" s="50" t="n">
        <v>33</v>
      </c>
      <c r="BS63" s="49" t="n">
        <v>4088.73</v>
      </c>
      <c r="BT63" s="50" t="n">
        <v>262</v>
      </c>
      <c r="BU63" s="48"/>
      <c r="BV63" s="53" t="n">
        <v>0</v>
      </c>
      <c r="BW63" s="53" t="n">
        <v>63</v>
      </c>
      <c r="BX63" s="48" t="str">
        <f aca="false">IF(U63&lt;&gt;"",UPPER(TRIM(U63)),IF(CA63=1,UPPER(VLOOKUP(T63,Parameter!$I$27:$K$29,2,0)),IF(P63="","LOSE",P63)))</f>
        <v>S52</v>
      </c>
      <c r="BY63" s="50" t="n">
        <f aca="false">IF(BX63="LOSE",1,IF(N(V63)&gt;0,V63,IF(CA63=1,MAX(1,N(VLOOKUP(T63,Parameter!$I$27:$K$29,3,0)),H63,N(N63)),IF(N(Q63)&gt;0,Q63,MAX(1,H63)))))</f>
        <v>150</v>
      </c>
      <c r="BZ63" s="53" t="n">
        <f aca="false">IF(BX63="LOSE",1,0)</f>
        <v>0</v>
      </c>
      <c r="CA63" s="53" t="n">
        <f aca="false">IF(AND(U63="",OR(P63="",P63="LOSE"),T63&lt;&gt;"",N(S63)&lt;=0,ISNUMBER(MATCH(T63,Parameter!$I$27:$I$29,0))),1,0)</f>
        <v>0</v>
      </c>
      <c r="CB63" s="53" t="n">
        <f aca="false">IF(CQ63&gt;0,INDEX(Parameter!$H$5:$H$7,W63)/INDEX(Parameter!$E$5:$E$7,W63),IF(AND(BZ63=0,N(IFERROR(VLOOKUP(BX63,'Gebinde-Kategorie'!$A$5:$N$45,14,0),0))&gt;0),VLOOKUP(BX63,'Gebinde-Kategorie'!$A$5:$N$45,14,0)*10+Parameter!$M$23,Parameter!$M$24))</f>
        <v>245</v>
      </c>
      <c r="CC63" s="48" t="str">
        <f aca="false">IF(AND(Parameter!$B$19="Ja",E63&lt;&gt;"",ISNUMBER(MATCH(E63,Parameter!$I$35:$I$52,0))),VLOOKUP(E63,Parameter!$I$35:$J$52,2,0),IFERROR(VLOOKUP(D63,Parameter!$A$35:$C$64,2,0),"Nein"))</f>
        <v>2+3</v>
      </c>
      <c r="CD63" s="52" t="n">
        <f aca="false">IF(BZ63=0,0,IF(N(S63)&gt;0,S63,IFERROR(VLOOKUP(D63,Parameter!$A$35:$C$64,3,0)+0,0)))</f>
        <v>0</v>
      </c>
      <c r="CE63" s="48" t="n">
        <f aca="false">IF(AA63&lt;&gt;"",AA63,Z63)</f>
        <v>3</v>
      </c>
      <c r="CF63" s="48" t="str">
        <f aca="false">IF(OR(CE63=1,CE63=2,CE63=3),IF(Parameter!$E$27="Ja","LIFT",IF(CE63=1,"L1","L23")),IF(CE63="Aussen","Aussen","-"))</f>
        <v>LIFT</v>
      </c>
      <c r="CG63" s="59" t="n">
        <f aca="false">IF(N(AB63)&gt;0,AB63,0)</f>
        <v>0</v>
      </c>
      <c r="CH63" s="53" t="n">
        <f aca="false">IF(ISNUMBER(AE63),1,0)</f>
        <v>0</v>
      </c>
      <c r="CI63" s="50" t="n">
        <f aca="false">N(AE63)</f>
        <v>0</v>
      </c>
      <c r="CJ63" s="50" t="n">
        <f aca="false">N(M63)+N(N63)</f>
        <v>180</v>
      </c>
      <c r="CK63" s="50" t="n">
        <f aca="false">N(M63)</f>
        <v>45</v>
      </c>
      <c r="CL63" s="50" t="n">
        <f aca="false">N(N63)</f>
        <v>135</v>
      </c>
      <c r="CM63" s="50" t="n">
        <f aca="false">ROUNDUP(H63/BY63,0)</f>
        <v>2</v>
      </c>
      <c r="CN63" s="50" t="n">
        <f aca="false">ROUNDUP(CI63/BY63,0)</f>
        <v>0</v>
      </c>
      <c r="CO63" s="53" t="n">
        <f aca="false">IF(BZ63=1,0,IFERROR(VLOOKUP(BX63,'Gebinde-Kategorie'!$A$5:$N$45,5,0)+0,0))</f>
        <v>21</v>
      </c>
      <c r="CP63" s="53" t="n">
        <f aca="false">IFERROR(IF(OR(CE63=1,CE63=2,CE63=3),N(INDEX(Parameter!$I$5:$I$7,CE63)),0),0)</f>
        <v>0</v>
      </c>
      <c r="CQ63" s="52" t="n">
        <f aca="false">IF(AND(Parameter!$B$21="Ja",ISNUMBER(W63),N(X63)&gt;0),IFERROR(N(INDEX(Parameter!$L$5:$L$7,W63))*INDEX(Parameter!$E$5:$E$7,W63)*X63/SUMIFS($X$7:$X$1843,$W$7:$W$1843,W63),0),0)</f>
        <v>0</v>
      </c>
    </row>
    <row r="64" customFormat="false" ht="15" hidden="false" customHeight="false" outlineLevel="0" collapsed="false">
      <c r="A64" s="48" t="s">
        <v>335</v>
      </c>
      <c r="B64" s="48" t="s">
        <v>336</v>
      </c>
      <c r="C64" s="48" t="s">
        <v>173</v>
      </c>
      <c r="D64" s="48" t="s">
        <v>193</v>
      </c>
      <c r="E64" s="48" t="s">
        <v>194</v>
      </c>
      <c r="F64" s="48" t="s">
        <v>227</v>
      </c>
      <c r="G64" s="49" t="n">
        <v>2181.57</v>
      </c>
      <c r="H64" s="50" t="n">
        <f aca="false">MAX(0,IF(AND(Parameter!$B$21="Ja",ISNUMBER(Y64)),Y64,IF(Parameter!$B$20="Jahresanfang 2025 + Export",BR64+BQ64,BQ64)))</f>
        <v>2.15000000000001</v>
      </c>
      <c r="I64" s="50" t="n">
        <f aca="false">H64*G64</f>
        <v>4690.37550000001</v>
      </c>
      <c r="J64" s="50" t="n">
        <f aca="false">BT64*Parameter!$B$18</f>
        <v>2.605</v>
      </c>
      <c r="K64" s="51" t="n">
        <v>0.447500000000003</v>
      </c>
      <c r="L64" s="52" t="n">
        <v>5.82122905027929</v>
      </c>
      <c r="M64" s="50" t="n">
        <v>0</v>
      </c>
      <c r="N64" s="50" t="n">
        <v>1</v>
      </c>
      <c r="O64" s="53" t="n">
        <v>60</v>
      </c>
      <c r="P64" s="48" t="s">
        <v>337</v>
      </c>
      <c r="Q64" s="50" t="n">
        <v>3.3</v>
      </c>
      <c r="R64" s="53" t="n">
        <f aca="false">IF(BZ64=1,0,IFERROR(VLOOKUP(BX64,'Gebinde-Kategorie'!$A$5:$N$45,13,0)+0,0))</f>
        <v>52</v>
      </c>
      <c r="S64" s="54"/>
      <c r="T64" s="55"/>
      <c r="U64" s="55"/>
      <c r="V64" s="55"/>
      <c r="W64" s="48"/>
      <c r="X64" s="50"/>
      <c r="Y64" s="50"/>
      <c r="Z64" s="48" t="n">
        <f aca="false">IF(A64="","",IF(AND(Parameter!$B$21="Ja",ISNUMBER(W64)),W64,IF(CC64="2+3",IF(ISNUMBER(SEARCH("grosser Artikel",BU64)),2,IFERROR(VLOOKUP(BX64,Parameter!$F$35:$G$64,2,0),2)),IF(OR(CC64="Nein",CC64=""),"-",CC64))))</f>
        <v>3</v>
      </c>
      <c r="AA64" s="55"/>
      <c r="AB64" s="56"/>
      <c r="AC64" s="50" t="n">
        <f aca="false">AV64</f>
        <v>2</v>
      </c>
      <c r="AD64" s="50" t="n">
        <f aca="false">MAX(AV64,H64)</f>
        <v>2.15000000000001</v>
      </c>
      <c r="AE64" s="57"/>
      <c r="AF64" s="50" t="n">
        <f aca="false">IF(LEFT(Cockpit!$C$5,1)="A",H64,IF(Parameter!$E$30="MAX-Bestand",IF(CH64=1,CI64,IF(LEFT(Cockpit!$C$5,1)="B",AL64,MAX(AL64,H64))),ROUNDUP(AJ64,0)))</f>
        <v>2.15000000000001</v>
      </c>
      <c r="AG64" s="50" t="n">
        <f aca="false">IF(BZ64=1,0,ROUNDUP(AF64/BY64,0))</f>
        <v>1</v>
      </c>
      <c r="AH64" s="52" t="n">
        <f aca="false">IF(CQ64&gt;0,CQ64*MAX(1,AF64/X64),IF(BZ64=1,IF(AF64&lt;=0,0,CD64*MAX(1,IF(H64&gt;0,AF64/H64,1))),IF(R64&gt;0,AG64/R64,0))/MAX(0.1,N(Parameter!$M$21)))</f>
        <v>0.0192307692307692</v>
      </c>
      <c r="AI64" s="50" t="n">
        <f aca="false">AH64*CB64</f>
        <v>2.98076923076923</v>
      </c>
      <c r="AJ64" s="51" t="n">
        <f aca="false">IF(LEFT(Cockpit!$C$5,1)="A",H64,IF(CH64=1,(CK64+CI64)/2,IF(LEFT(Cockpit!$C$5,1)="B",(CK64+AL64)/2,MAX((CK64+AL64)/2,H64))))</f>
        <v>2.15000000000001</v>
      </c>
      <c r="AK64" s="50" t="n">
        <f aca="false">AJ64*G64</f>
        <v>4690.37550000001</v>
      </c>
      <c r="AL64" s="50" t="n">
        <f aca="false">ROUNDUP(CK64+MAX(CL64,2*(J64/IF(CG64&gt;0,CG64,MAX(0.1,N(Cockpit!$C$6)))-CK64)),0)</f>
        <v>2</v>
      </c>
      <c r="AM64" s="51" t="n">
        <f aca="false">IF(AI64&gt;0,J64/AI64,-1)</f>
        <v>0.873935483870968</v>
      </c>
      <c r="AN64" s="51" t="n">
        <f aca="false">IF(AND(OR(CF64="L1",CF64="L23",CF64="LIFT"),AI64&gt;0),SUMIFS($AI$7:$AI$1843,$CF$7:$CF$1843,CF64,$AM$7:$AM$1843,"&gt;"&amp;AM64)+SUMIFS($AI$7:$AI$1843,$CF$7:$CF$1843,CF64,$AM$7:$AM$1843,AM64,$BW$7:$BW$1843,"&lt;="&amp;BW64),"")</f>
        <v>7654.50961538462</v>
      </c>
      <c r="AO64" s="58" t="n">
        <f aca="false">IF(AN64="",0,MAX(0,MIN(1,(IF(CF64="L1",Parameter!$H$5,IF(CF64="L23",Parameter!$H$6+Parameter!$H$7,Parameter!$H$5+Parameter!$H$6+Parameter!$H$7))-(AN64-AI64))/AI64)))</f>
        <v>1</v>
      </c>
      <c r="AP64" s="50" t="n">
        <f aca="false">IF(LEFT(Cockpit!$I$5,1)="A",H64,IF(Parameter!$E$30="MAX-Bestand",IF(CH64=1,CI64,IF(LEFT(Cockpit!$I$5,1)="B",AV64,MAX(AV64,H64))),ROUNDUP(AT64,0)))</f>
        <v>3</v>
      </c>
      <c r="AQ64" s="50" t="n">
        <f aca="false">IF(BZ64=1,0,ROUNDUP(AP64/BY64,0))</f>
        <v>1</v>
      </c>
      <c r="AR64" s="52" t="n">
        <f aca="false">IF(CQ64&gt;0,CQ64*MAX(1,AP64/X64),IF(BZ64=1,IF(AP64&lt;=0,0,CD64*MAX(1,IF(H64&gt;0,AP64/H64,1))),IF(R64&gt;0,AQ64/R64,0))/MAX(0.1,N(Parameter!$M$21)))</f>
        <v>0.0192307692307692</v>
      </c>
      <c r="AS64" s="50" t="n">
        <f aca="false">AR64*CB64</f>
        <v>2.98076923076923</v>
      </c>
      <c r="AT64" s="51" t="n">
        <f aca="false">IF(LEFT(Cockpit!$I$5,1)="A",H64,IF(CH64=1,(CK64+CI64)/2,IF(LEFT(Cockpit!$I$5,1)="B",(CK64+AV64)/2,MAX((CK64+AV64)/2,H64))))</f>
        <v>2.15000000000001</v>
      </c>
      <c r="AU64" s="50" t="n">
        <f aca="false">AT64*G64</f>
        <v>4690.37550000001</v>
      </c>
      <c r="AV64" s="50" t="n">
        <f aca="false">ROUNDUP(CK64+MAX(CL64,2*(J64/IF(CG64&gt;0,CG64,MAX(0.1,N(Cockpit!$I$6)))-CK64)),0)</f>
        <v>2</v>
      </c>
      <c r="AW64" s="51" t="n">
        <f aca="false">IF(AS64&gt;0,J64/AS64,-1)</f>
        <v>0.873935483870968</v>
      </c>
      <c r="AX64" s="51" t="n">
        <f aca="false">IF(AND(OR(CF64="L1",CF64="L23",CF64="LIFT"),AS64&gt;0),SUMIFS($AS$7:$AS$1843,$CF$7:$CF$1843,CF64,$AW$7:$AW$1843,"&gt;"&amp;AW64)+SUMIFS($AS$7:$AS$1843,$CF$7:$CF$1843,CF64,$AW$7:$AW$1843,AW64,$BW$7:$BW$1843,"&lt;="&amp;BW64),"")</f>
        <v>9289.3663003663</v>
      </c>
      <c r="AY64" s="58" t="n">
        <f aca="false">IF(AX64="",0,MAX(0,MIN(1,(IF(CF64="L1",Parameter!$H$5,IF(CF64="L23",Parameter!$H$6+Parameter!$H$7,Parameter!$H$5+Parameter!$H$6+Parameter!$H$7))-(AX64-AS64))/AS64)))</f>
        <v>1</v>
      </c>
      <c r="AZ64" s="50" t="n">
        <f aca="false">IF(LEFT(Cockpit!$O$5,1)="A",H64,IF(Parameter!$E$30="MAX-Bestand",IF(CH64=1,CI64,IF(LEFT(Cockpit!$O$5,1)="B",BF64,MAX(BF64,H64))),ROUNDUP(BD64,0)))</f>
        <v>1</v>
      </c>
      <c r="BA64" s="50" t="n">
        <f aca="false">IF(BZ64=1,0,ROUNDUP(AZ64/BY64,0))</f>
        <v>1</v>
      </c>
      <c r="BB64" s="52" t="n">
        <f aca="false">IF(CQ64&gt;0,CQ64*MAX(1,AZ64/X64),IF(BZ64=1,IF(AZ64&lt;=0,0,CD64*MAX(1,IF(H64&gt;0,AZ64/H64,1))),IF(R64&gt;0,BA64/R64,0))/MAX(0.1,N(Parameter!$M$21)))</f>
        <v>0.0192307692307692</v>
      </c>
      <c r="BC64" s="50" t="n">
        <f aca="false">BB64*CB64</f>
        <v>2.98076923076923</v>
      </c>
      <c r="BD64" s="51" t="n">
        <f aca="false">IF(LEFT(Cockpit!$O$5,1)="A",H64,IF(CH64=1,(CK64+CI64)/2,IF(LEFT(Cockpit!$O$5,1)="B",(CK64+BF64)/2,MAX((CK64+BF64)/2,H64))))</f>
        <v>1</v>
      </c>
      <c r="BE64" s="50" t="n">
        <f aca="false">BD64*G64</f>
        <v>2181.57</v>
      </c>
      <c r="BF64" s="50" t="n">
        <f aca="false">ROUNDUP(CK64+MAX(CL64,2*(J64/IF(CG64&gt;0,CG64,MAX(0.1,N(Cockpit!$O$6)))-CK64)),0)</f>
        <v>2</v>
      </c>
      <c r="BG64" s="51" t="n">
        <f aca="false">IF(BC64&gt;0,J64/BC64,-1)</f>
        <v>0.873935483870968</v>
      </c>
      <c r="BH64" s="51" t="n">
        <f aca="false">IF(AND(OR(CF64="L1",CF64="L23",CF64="LIFT"),BC64&gt;0),SUMIFS($BC$7:$BC$1843,$CF$7:$CF$1843,CF64,$BG$7:$BG$1843,"&gt;"&amp;BG64)+SUMIFS($BC$7:$BC$1843,$CF$7:$CF$1843,CF64,$BG$7:$BG$1843,BG64,$BW$7:$BW$1843,"&lt;="&amp;BW64),"")</f>
        <v>8272.33379120879</v>
      </c>
      <c r="BI64" s="58" t="n">
        <f aca="false">IF(BH64="",0,MAX(0,MIN(1,(IF(CF64="L1",Parameter!$H$5,IF(CF64="L23",Parameter!$H$6+Parameter!$H$7,Parameter!$H$5+Parameter!$H$6+Parameter!$H$7))-(BH64-BC64))/BC64)))</f>
        <v>1</v>
      </c>
      <c r="BJ64" s="48" t="str">
        <f aca="false">IF(AI64&lt;=0,"",IF(CF64="Aussen","Aussenlager",IF(CF64="-","Nicht im Lift",IF(AO64&gt;=1,"Lift",IF(AO64&lt;=0,"Aussenlager","teilweise")))))</f>
        <v>Lift</v>
      </c>
      <c r="BK64" s="48" t="str">
        <f aca="false">IF(AS64&lt;=0,"",IF(CF64="Aussen","Aussenlager",IF(CF64="-","Nicht im Lift",IF(AY64&gt;=1,"Lift",IF(AY64&lt;=0,"Aussenlager","teilweise")))))</f>
        <v>Lift</v>
      </c>
      <c r="BL64" s="48" t="str">
        <f aca="false">IF(BC64&lt;=0,"",IF(CF64="Aussen","Aussenlager",IF(CF64="-","Nicht im Lift",IF(BI64&gt;=1,"Lift",IF(BI64&lt;=0,"Aussenlager","teilweise")))))</f>
        <v>Lift</v>
      </c>
      <c r="BM64" s="48" t="str">
        <f aca="false">IF(A64="","",IF(BV64=1,"Neu; ","")&amp;IF(AND(BV64=0,BQ64&lt;0),"negativer Bestand (Export "&amp;BQ64&amp;"); ","")&amp;IF(J64&lt;=0,"Kein Verbrauch; ","")&amp;IF(CQ64&gt;0,"Lift "&amp;W64&amp;" lt. Liftbericht (Fach "&amp;X64&amp;" Stk); ",IF(CA64=1,"Gebinde geschätzt ("&amp;T64&amp;"); ",IF(BZ64=1,"Lose – Tablare geschätzt; ","")))&amp;IF(H64&gt;AV64,"Überbestand "&amp;ROUND(H64-AV64,0)&amp;" Stk / CHF "&amp;ROUND((H64-AV64)*G64,0)&amp;"; ","")&amp;IF(AND(CH64=1,CI64&lt;CJ64),"MAX &lt; MB+LG; ","")&amp;IF(AND(CP64&gt;0,CO64*10&gt;CP64),"zu hoch für Tablar; ","")&amp;IF(AND(BV64=0,OR(CH64=1,AA64&lt;&gt;"",U64&lt;&gt;"",V64&lt;&gt;"",AB64&lt;&gt;"")),"manuell übersteuert; ","")&amp;IF(AND(BZ64=0,R64=0),"Gebinde unbekannt / Stellmass fehlt; ","")&amp;IF(AND(BZ64=0,N(V64)&lt;=0,N(Q64)&lt;=0),"Menge pro Gebinde fehlt (Ist = 1 Gebinde); ","")&amp;BU64)</f>
        <v>Überbestand 0 Stk / CHF 327; </v>
      </c>
      <c r="BN64" s="48" t="s">
        <v>338</v>
      </c>
      <c r="BO64" s="48"/>
      <c r="BP64" s="55"/>
      <c r="BQ64" s="50" t="n">
        <v>1.9</v>
      </c>
      <c r="BR64" s="50" t="n">
        <v>0.250000000000004</v>
      </c>
      <c r="BS64" s="49" t="n">
        <v>3955.6</v>
      </c>
      <c r="BT64" s="50" t="n">
        <v>2.605</v>
      </c>
      <c r="BU64" s="48"/>
      <c r="BV64" s="53" t="n">
        <v>0</v>
      </c>
      <c r="BW64" s="53" t="n">
        <v>64</v>
      </c>
      <c r="BX64" s="48" t="str">
        <f aca="false">IF(U64&lt;&gt;"",UPPER(TRIM(U64)),IF(CA64=1,UPPER(VLOOKUP(T64,Parameter!$I$27:$K$29,2,0)),IF(P64="","LOSE",P64)))</f>
        <v>S41</v>
      </c>
      <c r="BY64" s="50" t="n">
        <f aca="false">IF(BX64="LOSE",1,IF(N(V64)&gt;0,V64,IF(CA64=1,MAX(1,N(VLOOKUP(T64,Parameter!$I$27:$K$29,3,0)),H64,N(N64)),IF(N(Q64)&gt;0,Q64,MAX(1,H64)))))</f>
        <v>3.3</v>
      </c>
      <c r="BZ64" s="53" t="n">
        <f aca="false">IF(BX64="LOSE",1,0)</f>
        <v>0</v>
      </c>
      <c r="CA64" s="53" t="n">
        <f aca="false">IF(AND(U64="",OR(P64="",P64="LOSE"),T64&lt;&gt;"",N(S64)&lt;=0,ISNUMBER(MATCH(T64,Parameter!$I$27:$I$29,0))),1,0)</f>
        <v>0</v>
      </c>
      <c r="CB64" s="53" t="n">
        <f aca="false">IF(CQ64&gt;0,INDEX(Parameter!$H$5:$H$7,W64)/INDEX(Parameter!$E$5:$E$7,W64),IF(AND(BZ64=0,N(IFERROR(VLOOKUP(BX64,'Gebinde-Kategorie'!$A$5:$N$45,14,0),0))&gt;0),VLOOKUP(BX64,'Gebinde-Kategorie'!$A$5:$N$45,14,0)*10+Parameter!$M$23,Parameter!$M$24))</f>
        <v>155</v>
      </c>
      <c r="CC64" s="48" t="str">
        <f aca="false">IF(AND(Parameter!$B$19="Ja",E64&lt;&gt;"",ISNUMBER(MATCH(E64,Parameter!$I$35:$I$52,0))),VLOOKUP(E64,Parameter!$I$35:$J$52,2,0),IFERROR(VLOOKUP(D64,Parameter!$A$35:$C$64,2,0),"Nein"))</f>
        <v>2+3</v>
      </c>
      <c r="CD64" s="52" t="n">
        <f aca="false">IF(BZ64=0,0,IF(N(S64)&gt;0,S64,IFERROR(VLOOKUP(D64,Parameter!$A$35:$C$64,3,0)+0,0)))</f>
        <v>0</v>
      </c>
      <c r="CE64" s="48" t="n">
        <f aca="false">IF(AA64&lt;&gt;"",AA64,Z64)</f>
        <v>3</v>
      </c>
      <c r="CF64" s="48" t="str">
        <f aca="false">IF(OR(CE64=1,CE64=2,CE64=3),IF(Parameter!$E$27="Ja","LIFT",IF(CE64=1,"L1","L23")),IF(CE64="Aussen","Aussen","-"))</f>
        <v>LIFT</v>
      </c>
      <c r="CG64" s="59" t="n">
        <f aca="false">IF(N(AB64)&gt;0,AB64,0)</f>
        <v>0</v>
      </c>
      <c r="CH64" s="53" t="n">
        <f aca="false">IF(ISNUMBER(AE64),1,0)</f>
        <v>0</v>
      </c>
      <c r="CI64" s="50" t="n">
        <f aca="false">N(AE64)</f>
        <v>0</v>
      </c>
      <c r="CJ64" s="50" t="n">
        <f aca="false">N(M64)+N(N64)</f>
        <v>1</v>
      </c>
      <c r="CK64" s="50" t="n">
        <f aca="false">N(M64)</f>
        <v>0</v>
      </c>
      <c r="CL64" s="50" t="n">
        <f aca="false">N(N64)</f>
        <v>1</v>
      </c>
      <c r="CM64" s="50" t="n">
        <f aca="false">ROUNDUP(H64/BY64,0)</f>
        <v>1</v>
      </c>
      <c r="CN64" s="50" t="n">
        <f aca="false">ROUNDUP(CI64/BY64,0)</f>
        <v>0</v>
      </c>
      <c r="CO64" s="53" t="n">
        <f aca="false">IF(BZ64=1,0,IFERROR(VLOOKUP(BX64,'Gebinde-Kategorie'!$A$5:$N$45,5,0)+0,0))</f>
        <v>11</v>
      </c>
      <c r="CP64" s="53" t="n">
        <f aca="false">IFERROR(IF(OR(CE64=1,CE64=2,CE64=3),N(INDEX(Parameter!$I$5:$I$7,CE64)),0),0)</f>
        <v>0</v>
      </c>
      <c r="CQ64" s="52" t="n">
        <f aca="false">IF(AND(Parameter!$B$21="Ja",ISNUMBER(W64),N(X64)&gt;0),IFERROR(N(INDEX(Parameter!$L$5:$L$7,W64))*INDEX(Parameter!$E$5:$E$7,W64)*X64/SUMIFS($X$7:$X$1843,$W$7:$W$1843,W64),0),0)</f>
        <v>0</v>
      </c>
    </row>
    <row r="65" customFormat="false" ht="15" hidden="false" customHeight="false" outlineLevel="0" collapsed="false">
      <c r="A65" s="48" t="s">
        <v>339</v>
      </c>
      <c r="B65" s="48" t="s">
        <v>340</v>
      </c>
      <c r="C65" s="48" t="s">
        <v>173</v>
      </c>
      <c r="D65" s="48" t="s">
        <v>182</v>
      </c>
      <c r="E65" s="48"/>
      <c r="F65" s="48" t="s">
        <v>227</v>
      </c>
      <c r="G65" s="49" t="n">
        <v>788.31</v>
      </c>
      <c r="H65" s="50" t="n">
        <f aca="false">MAX(0,IF(AND(Parameter!$B$21="Ja",ISNUMBER(Y65)),Y65,IF(Parameter!$B$20="Jahresanfang 2025 + Export",BR65+BQ65,BQ65)))</f>
        <v>5</v>
      </c>
      <c r="I65" s="50" t="n">
        <f aca="false">H65*G65</f>
        <v>3941.55</v>
      </c>
      <c r="J65" s="50" t="n">
        <f aca="false">BT65*Parameter!$B$18</f>
        <v>0</v>
      </c>
      <c r="K65" s="51" t="n">
        <v>0</v>
      </c>
      <c r="L65" s="52" t="n">
        <v>0</v>
      </c>
      <c r="M65" s="50" t="n">
        <v>0</v>
      </c>
      <c r="N65" s="50" t="n">
        <v>5</v>
      </c>
      <c r="O65" s="53" t="n">
        <v>9999</v>
      </c>
      <c r="P65" s="48" t="s">
        <v>177</v>
      </c>
      <c r="Q65" s="50"/>
      <c r="R65" s="53" t="n">
        <f aca="false">IF(BZ65=1,0,IFERROR(VLOOKUP(BX65,'Gebinde-Kategorie'!$A$5:$N$45,13,0)+0,0))</f>
        <v>12</v>
      </c>
      <c r="S65" s="54"/>
      <c r="T65" s="55" t="s">
        <v>188</v>
      </c>
      <c r="U65" s="55"/>
      <c r="V65" s="55"/>
      <c r="W65" s="48"/>
      <c r="X65" s="50"/>
      <c r="Y65" s="50"/>
      <c r="Z65" s="48" t="n">
        <f aca="false">IF(A65="","",IF(AND(Parameter!$B$21="Ja",ISNUMBER(W65)),W65,IF(CC65="2+3",IF(ISNUMBER(SEARCH("grosser Artikel",BU65)),2,IFERROR(VLOOKUP(BX65,Parameter!$F$35:$G$64,2,0),2)),IF(OR(CC65="Nein",CC65=""),"-",CC65))))</f>
        <v>2</v>
      </c>
      <c r="AA65" s="55"/>
      <c r="AB65" s="56"/>
      <c r="AC65" s="50" t="n">
        <f aca="false">AV65</f>
        <v>5</v>
      </c>
      <c r="AD65" s="50" t="n">
        <f aca="false">MAX(AV65,H65)</f>
        <v>5</v>
      </c>
      <c r="AE65" s="57"/>
      <c r="AF65" s="50" t="n">
        <f aca="false">IF(LEFT(Cockpit!$C$5,1)="A",H65,IF(Parameter!$E$30="MAX-Bestand",IF(CH65=1,CI65,IF(LEFT(Cockpit!$C$5,1)="B",AL65,MAX(AL65,H65))),ROUNDUP(AJ65,0)))</f>
        <v>5</v>
      </c>
      <c r="AG65" s="50" t="n">
        <f aca="false">IF(BZ65=1,0,ROUNDUP(AF65/BY65,0))</f>
        <v>1</v>
      </c>
      <c r="AH65" s="52" t="n">
        <f aca="false">IF(CQ65&gt;0,CQ65*MAX(1,AF65/X65),IF(BZ65=1,IF(AF65&lt;=0,0,CD65*MAX(1,IF(H65&gt;0,AF65/H65,1))),IF(R65&gt;0,AG65/R65,0))/MAX(0.1,N(Parameter!$M$21)))</f>
        <v>0.0833333333333333</v>
      </c>
      <c r="AI65" s="50" t="n">
        <f aca="false">AH65*CB65</f>
        <v>12.0833333333333</v>
      </c>
      <c r="AJ65" s="51" t="n">
        <f aca="false">IF(LEFT(Cockpit!$C$5,1)="A",H65,IF(CH65=1,(CK65+CI65)/2,IF(LEFT(Cockpit!$C$5,1)="B",(CK65+AL65)/2,MAX((CK65+AL65)/2,H65))))</f>
        <v>5</v>
      </c>
      <c r="AK65" s="50" t="n">
        <f aca="false">AJ65*G65</f>
        <v>3941.55</v>
      </c>
      <c r="AL65" s="50" t="n">
        <f aca="false">ROUNDUP(CK65+MAX(CL65,2*(J65/IF(CG65&gt;0,CG65,MAX(0.1,N(Cockpit!$C$6)))-CK65)),0)</f>
        <v>5</v>
      </c>
      <c r="AM65" s="51" t="n">
        <f aca="false">IF(AI65&gt;0,J65/AI65,-1)</f>
        <v>0</v>
      </c>
      <c r="AN65" s="51" t="n">
        <f aca="false">IF(AND(OR(CF65="L1",CF65="L23",CF65="LIFT"),AI65&gt;0),SUMIFS($AI$7:$AI$1843,$CF$7:$CF$1843,CF65,$AM$7:$AM$1843,"&gt;"&amp;AM65)+SUMIFS($AI$7:$AI$1843,$CF$7:$CF$1843,CF65,$AM$7:$AM$1843,AM65,$BW$7:$BW$1843,"&lt;="&amp;BW65),"")</f>
        <v>26470.908587881</v>
      </c>
      <c r="AO65" s="58" t="n">
        <f aca="false">IF(AN65="",0,MAX(0,MIN(1,(IF(CF65="L1",Parameter!$H$5,IF(CF65="L23",Parameter!$H$6+Parameter!$H$7,Parameter!$H$5+Parameter!$H$6+Parameter!$H$7))-(AN65-AI65))/AI65)))</f>
        <v>1</v>
      </c>
      <c r="AP65" s="50" t="n">
        <f aca="false">IF(LEFT(Cockpit!$I$5,1)="A",H65,IF(Parameter!$E$30="MAX-Bestand",IF(CH65=1,CI65,IF(LEFT(Cockpit!$I$5,1)="B",AV65,MAX(AV65,H65))),ROUNDUP(AT65,0)))</f>
        <v>5</v>
      </c>
      <c r="AQ65" s="50" t="n">
        <f aca="false">IF(BZ65=1,0,ROUNDUP(AP65/BY65,0))</f>
        <v>1</v>
      </c>
      <c r="AR65" s="52" t="n">
        <f aca="false">IF(CQ65&gt;0,CQ65*MAX(1,AP65/X65),IF(BZ65=1,IF(AP65&lt;=0,0,CD65*MAX(1,IF(H65&gt;0,AP65/H65,1))),IF(R65&gt;0,AQ65/R65,0))/MAX(0.1,N(Parameter!$M$21)))</f>
        <v>0.0833333333333333</v>
      </c>
      <c r="AS65" s="50" t="n">
        <f aca="false">AR65*CB65</f>
        <v>12.0833333333333</v>
      </c>
      <c r="AT65" s="51" t="n">
        <f aca="false">IF(LEFT(Cockpit!$I$5,1)="A",H65,IF(CH65=1,(CK65+CI65)/2,IF(LEFT(Cockpit!$I$5,1)="B",(CK65+AV65)/2,MAX((CK65+AV65)/2,H65))))</f>
        <v>5</v>
      </c>
      <c r="AU65" s="50" t="n">
        <f aca="false">AT65*G65</f>
        <v>3941.55</v>
      </c>
      <c r="AV65" s="50" t="n">
        <f aca="false">ROUNDUP(CK65+MAX(CL65,2*(J65/IF(CG65&gt;0,CG65,MAX(0.1,N(Cockpit!$I$6)))-CK65)),0)</f>
        <v>5</v>
      </c>
      <c r="AW65" s="51" t="n">
        <f aca="false">IF(AS65&gt;0,J65/AS65,-1)</f>
        <v>0</v>
      </c>
      <c r="AX65" s="51" t="n">
        <f aca="false">IF(AND(OR(CF65="L1",CF65="L23",CF65="LIFT"),AS65&gt;0),SUMIFS($AS$7:$AS$1843,$CF$7:$CF$1843,CF65,$AW$7:$AW$1843,"&gt;"&amp;AW65)+SUMIFS($AS$7:$AS$1843,$CF$7:$CF$1843,CF65,$AW$7:$AW$1843,AW65,$BW$7:$BW$1843,"&lt;="&amp;BW65),"")</f>
        <v>31824.0572292585</v>
      </c>
      <c r="AY65" s="58" t="n">
        <f aca="false">IF(AX65="",0,MAX(0,MIN(1,(IF(CF65="L1",Parameter!$H$5,IF(CF65="L23",Parameter!$H$6+Parameter!$H$7,Parameter!$H$5+Parameter!$H$6+Parameter!$H$7))-(AX65-AS65))/AS65)))</f>
        <v>1</v>
      </c>
      <c r="AZ65" s="50" t="n">
        <f aca="false">IF(LEFT(Cockpit!$O$5,1)="A",H65,IF(Parameter!$E$30="MAX-Bestand",IF(CH65=1,CI65,IF(LEFT(Cockpit!$O$5,1)="B",BF65,MAX(BF65,H65))),ROUNDUP(BD65,0)))</f>
        <v>3</v>
      </c>
      <c r="BA65" s="50" t="n">
        <f aca="false">IF(BZ65=1,0,ROUNDUP(AZ65/BY65,0))</f>
        <v>1</v>
      </c>
      <c r="BB65" s="52" t="n">
        <f aca="false">IF(CQ65&gt;0,CQ65*MAX(1,AZ65/X65),IF(BZ65=1,IF(AZ65&lt;=0,0,CD65*MAX(1,IF(H65&gt;0,AZ65/H65,1))),IF(R65&gt;0,BA65/R65,0))/MAX(0.1,N(Parameter!$M$21)))</f>
        <v>0.0833333333333333</v>
      </c>
      <c r="BC65" s="50" t="n">
        <f aca="false">BB65*CB65</f>
        <v>12.0833333333333</v>
      </c>
      <c r="BD65" s="51" t="n">
        <f aca="false">IF(LEFT(Cockpit!$O$5,1)="A",H65,IF(CH65=1,(CK65+CI65)/2,IF(LEFT(Cockpit!$O$5,1)="B",(CK65+BF65)/2,MAX((CK65+BF65)/2,H65))))</f>
        <v>2.5</v>
      </c>
      <c r="BE65" s="50" t="n">
        <f aca="false">BD65*G65</f>
        <v>1970.775</v>
      </c>
      <c r="BF65" s="50" t="n">
        <f aca="false">ROUNDUP(CK65+MAX(CL65,2*(J65/IF(CG65&gt;0,CG65,MAX(0.1,N(Cockpit!$O$6)))-CK65)),0)</f>
        <v>5</v>
      </c>
      <c r="BG65" s="51" t="n">
        <f aca="false">IF(BC65&gt;0,J65/BC65,-1)</f>
        <v>0</v>
      </c>
      <c r="BH65" s="51" t="n">
        <f aca="false">IF(AND(OR(CF65="L1",CF65="L23",CF65="LIFT"),BC65&gt;0),SUMIFS($BC$7:$BC$1843,$CF$7:$CF$1843,CF65,$BG$7:$BG$1843,"&gt;"&amp;BG65)+SUMIFS($BC$7:$BC$1843,$CF$7:$CF$1843,CF65,$BG$7:$BG$1843,BG65,$BW$7:$BW$1843,"&lt;="&amp;BW65),"")</f>
        <v>26020.6390725564</v>
      </c>
      <c r="BI65" s="58" t="n">
        <f aca="false">IF(BH65="",0,MAX(0,MIN(1,(IF(CF65="L1",Parameter!$H$5,IF(CF65="L23",Parameter!$H$6+Parameter!$H$7,Parameter!$H$5+Parameter!$H$6+Parameter!$H$7))-(BH65-BC65))/BC65)))</f>
        <v>1</v>
      </c>
      <c r="BJ65" s="48" t="str">
        <f aca="false">IF(AI65&lt;=0,"",IF(CF65="Aussen","Aussenlager",IF(CF65="-","Nicht im Lift",IF(AO65&gt;=1,"Lift",IF(AO65&lt;=0,"Aussenlager","teilweise")))))</f>
        <v>Lift</v>
      </c>
      <c r="BK65" s="48" t="str">
        <f aca="false">IF(AS65&lt;=0,"",IF(CF65="Aussen","Aussenlager",IF(CF65="-","Nicht im Lift",IF(AY65&gt;=1,"Lift",IF(AY65&lt;=0,"Aussenlager","teilweise")))))</f>
        <v>Lift</v>
      </c>
      <c r="BL65" s="48" t="str">
        <f aca="false">IF(BC65&lt;=0,"",IF(CF65="Aussen","Aussenlager",IF(CF65="-","Nicht im Lift",IF(BI65&gt;=1,"Lift",IF(BI65&lt;=0,"Aussenlager","teilweise")))))</f>
        <v>Lift</v>
      </c>
      <c r="BM65" s="48" t="str">
        <f aca="false">IF(A65="","",IF(BV65=1,"Neu; ","")&amp;IF(AND(BV65=0,BQ65&lt;0),"negativer Bestand (Export "&amp;BQ65&amp;"); ","")&amp;IF(J65&lt;=0,"Kein Verbrauch; ","")&amp;IF(CQ65&gt;0,"Lift "&amp;W65&amp;" lt. Liftbericht (Fach "&amp;X65&amp;" Stk); ",IF(CA65=1,"Gebinde geschätzt ("&amp;T65&amp;"); ",IF(BZ65=1,"Lose – Tablare geschätzt; ","")))&amp;IF(H65&gt;AV65,"Überbestand "&amp;ROUND(H65-AV65,0)&amp;" Stk / CHF "&amp;ROUND((H65-AV65)*G65,0)&amp;"; ","")&amp;IF(AND(CH65=1,CI65&lt;CJ65),"MAX &lt; MB+LG; ","")&amp;IF(AND(CP65&gt;0,CO65*10&gt;CP65),"zu hoch für Tablar; ","")&amp;IF(AND(BV65=0,OR(CH65=1,AA65&lt;&gt;"",U65&lt;&gt;"",V65&lt;&gt;"",AB65&lt;&gt;"")),"manuell übersteuert; ","")&amp;IF(AND(BZ65=0,R65=0),"Gebinde unbekannt / Stellmass fehlt; ","")&amp;IF(AND(BZ65=0,N(V65)&lt;=0,N(Q65)&lt;=0),"Menge pro Gebinde fehlt (Ist = 1 Gebinde); ","")&amp;BU65)</f>
        <v>Kein Verbrauch; Gebinde geschätzt (Mittel); Menge pro Gebinde fehlt (Ist = 1 Gebinde); </v>
      </c>
      <c r="BN65" s="48" t="s">
        <v>341</v>
      </c>
      <c r="BO65" s="48"/>
      <c r="BP65" s="55"/>
      <c r="BQ65" s="50" t="n">
        <v>5</v>
      </c>
      <c r="BR65" s="50" t="n">
        <v>0</v>
      </c>
      <c r="BS65" s="49" t="n">
        <v>3941.55</v>
      </c>
      <c r="BT65" s="50" t="n">
        <v>0</v>
      </c>
      <c r="BU65" s="48"/>
      <c r="BV65" s="53" t="n">
        <v>0</v>
      </c>
      <c r="BW65" s="53" t="n">
        <v>65</v>
      </c>
      <c r="BX65" s="48" t="str">
        <f aca="false">IF(U65&lt;&gt;"",UPPER(TRIM(U65)),IF(CA65=1,UPPER(VLOOKUP(T65,Parameter!$I$27:$K$29,2,0)),IF(P65="","LOSE",P65)))</f>
        <v>S61</v>
      </c>
      <c r="BY65" s="50" t="n">
        <f aca="false">IF(BX65="LOSE",1,IF(N(V65)&gt;0,V65,IF(CA65=1,MAX(1,N(VLOOKUP(T65,Parameter!$I$27:$K$29,3,0)),H65,N(N65)),IF(N(Q65)&gt;0,Q65,MAX(1,H65)))))</f>
        <v>5</v>
      </c>
      <c r="BZ65" s="53" t="n">
        <f aca="false">IF(BX65="LOSE",1,0)</f>
        <v>0</v>
      </c>
      <c r="CA65" s="53" t="n">
        <f aca="false">IF(AND(U65="",OR(P65="",P65="LOSE"),T65&lt;&gt;"",N(S65)&lt;=0,ISNUMBER(MATCH(T65,Parameter!$I$27:$I$29,0))),1,0)</f>
        <v>1</v>
      </c>
      <c r="CB65" s="53" t="n">
        <f aca="false">IF(CQ65&gt;0,INDEX(Parameter!$H$5:$H$7,W65)/INDEX(Parameter!$E$5:$E$7,W65),IF(AND(BZ65=0,N(IFERROR(VLOOKUP(BX65,'Gebinde-Kategorie'!$A$5:$N$45,14,0),0))&gt;0),VLOOKUP(BX65,'Gebinde-Kategorie'!$A$5:$N$45,14,0)*10+Parameter!$M$23,Parameter!$M$24))</f>
        <v>145</v>
      </c>
      <c r="CC65" s="48" t="str">
        <f aca="false">IF(AND(Parameter!$B$19="Ja",E65&lt;&gt;"",ISNUMBER(MATCH(E65,Parameter!$I$35:$I$52,0))),VLOOKUP(E65,Parameter!$I$35:$J$52,2,0),IFERROR(VLOOKUP(D65,Parameter!$A$35:$C$64,2,0),"Nein"))</f>
        <v>2+3</v>
      </c>
      <c r="CD65" s="52" t="n">
        <f aca="false">IF(BZ65=0,0,IF(N(S65)&gt;0,S65,IFERROR(VLOOKUP(D65,Parameter!$A$35:$C$64,3,0)+0,0)))</f>
        <v>0</v>
      </c>
      <c r="CE65" s="48" t="n">
        <f aca="false">IF(AA65&lt;&gt;"",AA65,Z65)</f>
        <v>2</v>
      </c>
      <c r="CF65" s="48" t="str">
        <f aca="false">IF(OR(CE65=1,CE65=2,CE65=3),IF(Parameter!$E$27="Ja","LIFT",IF(CE65=1,"L1","L23")),IF(CE65="Aussen","Aussen","-"))</f>
        <v>LIFT</v>
      </c>
      <c r="CG65" s="59" t="n">
        <f aca="false">IF(N(AB65)&gt;0,AB65,0)</f>
        <v>0</v>
      </c>
      <c r="CH65" s="53" t="n">
        <f aca="false">IF(ISNUMBER(AE65),1,0)</f>
        <v>0</v>
      </c>
      <c r="CI65" s="50" t="n">
        <f aca="false">N(AE65)</f>
        <v>0</v>
      </c>
      <c r="CJ65" s="50" t="n">
        <f aca="false">N(M65)+N(N65)</f>
        <v>5</v>
      </c>
      <c r="CK65" s="50" t="n">
        <f aca="false">N(M65)</f>
        <v>0</v>
      </c>
      <c r="CL65" s="50" t="n">
        <f aca="false">N(N65)</f>
        <v>5</v>
      </c>
      <c r="CM65" s="50" t="n">
        <f aca="false">ROUNDUP(H65/BY65,0)</f>
        <v>1</v>
      </c>
      <c r="CN65" s="50" t="n">
        <f aca="false">ROUNDUP(CI65/BY65,0)</f>
        <v>0</v>
      </c>
      <c r="CO65" s="53" t="n">
        <f aca="false">IF(BZ65=1,0,IFERROR(VLOOKUP(BX65,'Gebinde-Kategorie'!$A$5:$N$45,5,0)+0,0))</f>
        <v>11</v>
      </c>
      <c r="CP65" s="53" t="n">
        <f aca="false">IFERROR(IF(OR(CE65=1,CE65=2,CE65=3),N(INDEX(Parameter!$I$5:$I$7,CE65)),0),0)</f>
        <v>0</v>
      </c>
      <c r="CQ65" s="52" t="n">
        <f aca="false">IF(AND(Parameter!$B$21="Ja",ISNUMBER(W65),N(X65)&gt;0),IFERROR(N(INDEX(Parameter!$L$5:$L$7,W65))*INDEX(Parameter!$E$5:$E$7,W65)*X65/SUMIFS($X$7:$X$1843,$W$7:$W$1843,W65),0),0)</f>
        <v>0</v>
      </c>
    </row>
    <row r="66" customFormat="false" ht="15" hidden="false" customHeight="false" outlineLevel="0" collapsed="false">
      <c r="A66" s="48" t="s">
        <v>342</v>
      </c>
      <c r="B66" s="48" t="s">
        <v>343</v>
      </c>
      <c r="C66" s="48" t="s">
        <v>173</v>
      </c>
      <c r="D66" s="48" t="s">
        <v>182</v>
      </c>
      <c r="E66" s="48"/>
      <c r="F66" s="48" t="s">
        <v>227</v>
      </c>
      <c r="G66" s="49" t="n">
        <v>1947</v>
      </c>
      <c r="H66" s="50" t="n">
        <f aca="false">MAX(0,IF(AND(Parameter!$B$21="Ja",ISNUMBER(Y66)),Y66,IF(Parameter!$B$20="Jahresanfang 2025 + Export",BR66+BQ66,BQ66)))</f>
        <v>2</v>
      </c>
      <c r="I66" s="50" t="n">
        <f aca="false">H66*G66</f>
        <v>3894</v>
      </c>
      <c r="J66" s="50" t="n">
        <f aca="false">BT66*Parameter!$B$18</f>
        <v>0</v>
      </c>
      <c r="K66" s="51" t="n">
        <v>1</v>
      </c>
      <c r="L66" s="52" t="n">
        <v>0</v>
      </c>
      <c r="M66" s="50" t="n">
        <v>0</v>
      </c>
      <c r="N66" s="50" t="n">
        <v>1</v>
      </c>
      <c r="O66" s="53" t="n">
        <v>70</v>
      </c>
      <c r="P66" s="48" t="s">
        <v>311</v>
      </c>
      <c r="Q66" s="50" t="n">
        <v>2</v>
      </c>
      <c r="R66" s="53" t="n">
        <f aca="false">IF(BZ66=1,0,IFERROR(VLOOKUP(BX66,'Gebinde-Kategorie'!$A$5:$N$45,13,0)+0,0))</f>
        <v>26</v>
      </c>
      <c r="S66" s="54"/>
      <c r="T66" s="55"/>
      <c r="U66" s="55"/>
      <c r="V66" s="55"/>
      <c r="W66" s="48"/>
      <c r="X66" s="50"/>
      <c r="Y66" s="50"/>
      <c r="Z66" s="48" t="n">
        <f aca="false">IF(A66="","",IF(AND(Parameter!$B$21="Ja",ISNUMBER(W66)),W66,IF(CC66="2+3",IF(ISNUMBER(SEARCH("grosser Artikel",BU66)),2,IFERROR(VLOOKUP(BX66,Parameter!$F$35:$G$64,2,0),2)),IF(OR(CC66="Nein",CC66=""),"-",CC66))))</f>
        <v>3</v>
      </c>
      <c r="AA66" s="55"/>
      <c r="AB66" s="56"/>
      <c r="AC66" s="50" t="n">
        <f aca="false">AV66</f>
        <v>1</v>
      </c>
      <c r="AD66" s="50" t="n">
        <f aca="false">MAX(AV66,H66)</f>
        <v>2</v>
      </c>
      <c r="AE66" s="57"/>
      <c r="AF66" s="50" t="n">
        <f aca="false">IF(LEFT(Cockpit!$C$5,1)="A",H66,IF(Parameter!$E$30="MAX-Bestand",IF(CH66=1,CI66,IF(LEFT(Cockpit!$C$5,1)="B",AL66,MAX(AL66,H66))),ROUNDUP(AJ66,0)))</f>
        <v>2</v>
      </c>
      <c r="AG66" s="50" t="n">
        <f aca="false">IF(BZ66=1,0,ROUNDUP(AF66/BY66,0))</f>
        <v>1</v>
      </c>
      <c r="AH66" s="52" t="n">
        <f aca="false">IF(CQ66&gt;0,CQ66*MAX(1,AF66/X66),IF(BZ66=1,IF(AF66&lt;=0,0,CD66*MAX(1,IF(H66&gt;0,AF66/H66,1))),IF(R66&gt;0,AG66/R66,0))/MAX(0.1,N(Parameter!$M$21)))</f>
        <v>0.0384615384615385</v>
      </c>
      <c r="AI66" s="50" t="n">
        <f aca="false">AH66*CB66</f>
        <v>5.96153846153846</v>
      </c>
      <c r="AJ66" s="51" t="n">
        <f aca="false">IF(LEFT(Cockpit!$C$5,1)="A",H66,IF(CH66=1,(CK66+CI66)/2,IF(LEFT(Cockpit!$C$5,1)="B",(CK66+AL66)/2,MAX((CK66+AL66)/2,H66))))</f>
        <v>2</v>
      </c>
      <c r="AK66" s="50" t="n">
        <f aca="false">AJ66*G66</f>
        <v>3894</v>
      </c>
      <c r="AL66" s="50" t="n">
        <f aca="false">ROUNDUP(CK66+MAX(CL66,2*(J66/IF(CG66&gt;0,CG66,MAX(0.1,N(Cockpit!$C$6)))-CK66)),0)</f>
        <v>1</v>
      </c>
      <c r="AM66" s="51" t="n">
        <f aca="false">IF(AI66&gt;0,J66/AI66,-1)</f>
        <v>0</v>
      </c>
      <c r="AN66" s="51" t="n">
        <f aca="false">IF(AND(OR(CF66="L1",CF66="L23",CF66="LIFT"),AI66&gt;0),SUMIFS($AI$7:$AI$1843,$CF$7:$CF$1843,CF66,$AM$7:$AM$1843,"&gt;"&amp;AM66)+SUMIFS($AI$7:$AI$1843,$CF$7:$CF$1843,CF66,$AM$7:$AM$1843,AM66,$BW$7:$BW$1843,"&lt;="&amp;BW66),"")</f>
        <v>26476.8701263426</v>
      </c>
      <c r="AO66" s="58" t="n">
        <f aca="false">IF(AN66="",0,MAX(0,MIN(1,(IF(CF66="L1",Parameter!$H$5,IF(CF66="L23",Parameter!$H$6+Parameter!$H$7,Parameter!$H$5+Parameter!$H$6+Parameter!$H$7))-(AN66-AI66))/AI66)))</f>
        <v>1</v>
      </c>
      <c r="AP66" s="50" t="n">
        <f aca="false">IF(LEFT(Cockpit!$I$5,1)="A",H66,IF(Parameter!$E$30="MAX-Bestand",IF(CH66=1,CI66,IF(LEFT(Cockpit!$I$5,1)="B",AV66,MAX(AV66,H66))),ROUNDUP(AT66,0)))</f>
        <v>2</v>
      </c>
      <c r="AQ66" s="50" t="n">
        <f aca="false">IF(BZ66=1,0,ROUNDUP(AP66/BY66,0))</f>
        <v>1</v>
      </c>
      <c r="AR66" s="52" t="n">
        <f aca="false">IF(CQ66&gt;0,CQ66*MAX(1,AP66/X66),IF(BZ66=1,IF(AP66&lt;=0,0,CD66*MAX(1,IF(H66&gt;0,AP66/H66,1))),IF(R66&gt;0,AQ66/R66,0))/MAX(0.1,N(Parameter!$M$21)))</f>
        <v>0.0384615384615385</v>
      </c>
      <c r="AS66" s="50" t="n">
        <f aca="false">AR66*CB66</f>
        <v>5.96153846153846</v>
      </c>
      <c r="AT66" s="51" t="n">
        <f aca="false">IF(LEFT(Cockpit!$I$5,1)="A",H66,IF(CH66=1,(CK66+CI66)/2,IF(LEFT(Cockpit!$I$5,1)="B",(CK66+AV66)/2,MAX((CK66+AV66)/2,H66))))</f>
        <v>2</v>
      </c>
      <c r="AU66" s="50" t="n">
        <f aca="false">AT66*G66</f>
        <v>3894</v>
      </c>
      <c r="AV66" s="50" t="n">
        <f aca="false">ROUNDUP(CK66+MAX(CL66,2*(J66/IF(CG66&gt;0,CG66,MAX(0.1,N(Cockpit!$I$6)))-CK66)),0)</f>
        <v>1</v>
      </c>
      <c r="AW66" s="51" t="n">
        <f aca="false">IF(AS66&gt;0,J66/AS66,-1)</f>
        <v>0</v>
      </c>
      <c r="AX66" s="51" t="n">
        <f aca="false">IF(AND(OR(CF66="L1",CF66="L23",CF66="LIFT"),AS66&gt;0),SUMIFS($AS$7:$AS$1843,$CF$7:$CF$1843,CF66,$AW$7:$AW$1843,"&gt;"&amp;AW66)+SUMIFS($AS$7:$AS$1843,$CF$7:$CF$1843,CF66,$AW$7:$AW$1843,AW66,$BW$7:$BW$1843,"&lt;="&amp;BW66),"")</f>
        <v>31830.01876772</v>
      </c>
      <c r="AY66" s="58" t="n">
        <f aca="false">IF(AX66="",0,MAX(0,MIN(1,(IF(CF66="L1",Parameter!$H$5,IF(CF66="L23",Parameter!$H$6+Parameter!$H$7,Parameter!$H$5+Parameter!$H$6+Parameter!$H$7))-(AX66-AS66))/AS66)))</f>
        <v>1</v>
      </c>
      <c r="AZ66" s="50" t="n">
        <f aca="false">IF(LEFT(Cockpit!$O$5,1)="A",H66,IF(Parameter!$E$30="MAX-Bestand",IF(CH66=1,CI66,IF(LEFT(Cockpit!$O$5,1)="B",BF66,MAX(BF66,H66))),ROUNDUP(BD66,0)))</f>
        <v>1</v>
      </c>
      <c r="BA66" s="50" t="n">
        <f aca="false">IF(BZ66=1,0,ROUNDUP(AZ66/BY66,0))</f>
        <v>1</v>
      </c>
      <c r="BB66" s="52" t="n">
        <f aca="false">IF(CQ66&gt;0,CQ66*MAX(1,AZ66/X66),IF(BZ66=1,IF(AZ66&lt;=0,0,CD66*MAX(1,IF(H66&gt;0,AZ66/H66,1))),IF(R66&gt;0,BA66/R66,0))/MAX(0.1,N(Parameter!$M$21)))</f>
        <v>0.0384615384615385</v>
      </c>
      <c r="BC66" s="50" t="n">
        <f aca="false">BB66*CB66</f>
        <v>5.96153846153846</v>
      </c>
      <c r="BD66" s="51" t="n">
        <f aca="false">IF(LEFT(Cockpit!$O$5,1)="A",H66,IF(CH66=1,(CK66+CI66)/2,IF(LEFT(Cockpit!$O$5,1)="B",(CK66+BF66)/2,MAX((CK66+BF66)/2,H66))))</f>
        <v>0.5</v>
      </c>
      <c r="BE66" s="50" t="n">
        <f aca="false">BD66*G66</f>
        <v>973.5</v>
      </c>
      <c r="BF66" s="50" t="n">
        <f aca="false">ROUNDUP(CK66+MAX(CL66,2*(J66/IF(CG66&gt;0,CG66,MAX(0.1,N(Cockpit!$O$6)))-CK66)),0)</f>
        <v>1</v>
      </c>
      <c r="BG66" s="51" t="n">
        <f aca="false">IF(BC66&gt;0,J66/BC66,-1)</f>
        <v>0</v>
      </c>
      <c r="BH66" s="51" t="n">
        <f aca="false">IF(AND(OR(CF66="L1",CF66="L23",CF66="LIFT"),BC66&gt;0),SUMIFS($BC$7:$BC$1843,$CF$7:$CF$1843,CF66,$BG$7:$BG$1843,"&gt;"&amp;BG66)+SUMIFS($BC$7:$BC$1843,$CF$7:$CF$1843,CF66,$BG$7:$BG$1843,BG66,$BW$7:$BW$1843,"&lt;="&amp;BW66),"")</f>
        <v>26026.600611018</v>
      </c>
      <c r="BI66" s="58" t="n">
        <f aca="false">IF(BH66="",0,MAX(0,MIN(1,(IF(CF66="L1",Parameter!$H$5,IF(CF66="L23",Parameter!$H$6+Parameter!$H$7,Parameter!$H$5+Parameter!$H$6+Parameter!$H$7))-(BH66-BC66))/BC66)))</f>
        <v>1</v>
      </c>
      <c r="BJ66" s="48" t="str">
        <f aca="false">IF(AI66&lt;=0,"",IF(CF66="Aussen","Aussenlager",IF(CF66="-","Nicht im Lift",IF(AO66&gt;=1,"Lift",IF(AO66&lt;=0,"Aussenlager","teilweise")))))</f>
        <v>Lift</v>
      </c>
      <c r="BK66" s="48" t="str">
        <f aca="false">IF(AS66&lt;=0,"",IF(CF66="Aussen","Aussenlager",IF(CF66="-","Nicht im Lift",IF(AY66&gt;=1,"Lift",IF(AY66&lt;=0,"Aussenlager","teilweise")))))</f>
        <v>Lift</v>
      </c>
      <c r="BL66" s="48" t="str">
        <f aca="false">IF(BC66&lt;=0,"",IF(CF66="Aussen","Aussenlager",IF(CF66="-","Nicht im Lift",IF(BI66&gt;=1,"Lift",IF(BI66&lt;=0,"Aussenlager","teilweise")))))</f>
        <v>Lift</v>
      </c>
      <c r="BM66" s="48" t="str">
        <f aca="false">IF(A66="","",IF(BV66=1,"Neu; ","")&amp;IF(AND(BV66=0,BQ66&lt;0),"negativer Bestand (Export "&amp;BQ66&amp;"); ","")&amp;IF(J66&lt;=0,"Kein Verbrauch; ","")&amp;IF(CQ66&gt;0,"Lift "&amp;W66&amp;" lt. Liftbericht (Fach "&amp;X66&amp;" Stk); ",IF(CA66=1,"Gebinde geschätzt ("&amp;T66&amp;"); ",IF(BZ66=1,"Lose – Tablare geschätzt; ","")))&amp;IF(H66&gt;AV66,"Überbestand "&amp;ROUND(H66-AV66,0)&amp;" Stk / CHF "&amp;ROUND((H66-AV66)*G66,0)&amp;"; ","")&amp;IF(AND(CH66=1,CI66&lt;CJ66),"MAX &lt; MB+LG; ","")&amp;IF(AND(CP66&gt;0,CO66*10&gt;CP66),"zu hoch für Tablar; ","")&amp;IF(AND(BV66=0,OR(CH66=1,AA66&lt;&gt;"",U66&lt;&gt;"",V66&lt;&gt;"",AB66&lt;&gt;"")),"manuell übersteuert; ","")&amp;IF(AND(BZ66=0,R66=0),"Gebinde unbekannt / Stellmass fehlt; ","")&amp;IF(AND(BZ66=0,N(V66)&lt;=0,N(Q66)&lt;=0),"Menge pro Gebinde fehlt (Ist = 1 Gebinde); ","")&amp;BU66)</f>
        <v>Kein Verbrauch; Überbestand 1 Stk / CHF 1947; </v>
      </c>
      <c r="BN66" s="48"/>
      <c r="BO66" s="48"/>
      <c r="BP66" s="55"/>
      <c r="BQ66" s="50" t="n">
        <v>2</v>
      </c>
      <c r="BR66" s="50" t="n">
        <v>0</v>
      </c>
      <c r="BS66" s="49" t="n">
        <v>3894</v>
      </c>
      <c r="BT66" s="50" t="n">
        <v>0</v>
      </c>
      <c r="BU66" s="48"/>
      <c r="BV66" s="53" t="n">
        <v>0</v>
      </c>
      <c r="BW66" s="53" t="n">
        <v>66</v>
      </c>
      <c r="BX66" s="48" t="str">
        <f aca="false">IF(U66&lt;&gt;"",UPPER(TRIM(U66)),IF(CA66=1,UPPER(VLOOKUP(T66,Parameter!$I$27:$K$29,2,0)),IF(P66="","LOSE",P66)))</f>
        <v>S51</v>
      </c>
      <c r="BY66" s="50" t="n">
        <f aca="false">IF(BX66="LOSE",1,IF(N(V66)&gt;0,V66,IF(CA66=1,MAX(1,N(VLOOKUP(T66,Parameter!$I$27:$K$29,3,0)),H66,N(N66)),IF(N(Q66)&gt;0,Q66,MAX(1,H66)))))</f>
        <v>2</v>
      </c>
      <c r="BZ66" s="53" t="n">
        <f aca="false">IF(BX66="LOSE",1,0)</f>
        <v>0</v>
      </c>
      <c r="CA66" s="53" t="n">
        <f aca="false">IF(AND(U66="",OR(P66="",P66="LOSE"),T66&lt;&gt;"",N(S66)&lt;=0,ISNUMBER(MATCH(T66,Parameter!$I$27:$I$29,0))),1,0)</f>
        <v>0</v>
      </c>
      <c r="CB66" s="53" t="n">
        <f aca="false">IF(CQ66&gt;0,INDEX(Parameter!$H$5:$H$7,W66)/INDEX(Parameter!$E$5:$E$7,W66),IF(AND(BZ66=0,N(IFERROR(VLOOKUP(BX66,'Gebinde-Kategorie'!$A$5:$N$45,14,0),0))&gt;0),VLOOKUP(BX66,'Gebinde-Kategorie'!$A$5:$N$45,14,0)*10+Parameter!$M$23,Parameter!$M$24))</f>
        <v>155</v>
      </c>
      <c r="CC66" s="48" t="str">
        <f aca="false">IF(AND(Parameter!$B$19="Ja",E66&lt;&gt;"",ISNUMBER(MATCH(E66,Parameter!$I$35:$I$52,0))),VLOOKUP(E66,Parameter!$I$35:$J$52,2,0),IFERROR(VLOOKUP(D66,Parameter!$A$35:$C$64,2,0),"Nein"))</f>
        <v>2+3</v>
      </c>
      <c r="CD66" s="52" t="n">
        <f aca="false">IF(BZ66=0,0,IF(N(S66)&gt;0,S66,IFERROR(VLOOKUP(D66,Parameter!$A$35:$C$64,3,0)+0,0)))</f>
        <v>0</v>
      </c>
      <c r="CE66" s="48" t="n">
        <f aca="false">IF(AA66&lt;&gt;"",AA66,Z66)</f>
        <v>3</v>
      </c>
      <c r="CF66" s="48" t="str">
        <f aca="false">IF(OR(CE66=1,CE66=2,CE66=3),IF(Parameter!$E$27="Ja","LIFT",IF(CE66=1,"L1","L23")),IF(CE66="Aussen","Aussen","-"))</f>
        <v>LIFT</v>
      </c>
      <c r="CG66" s="59" t="n">
        <f aca="false">IF(N(AB66)&gt;0,AB66,0)</f>
        <v>0</v>
      </c>
      <c r="CH66" s="53" t="n">
        <f aca="false">IF(ISNUMBER(AE66),1,0)</f>
        <v>0</v>
      </c>
      <c r="CI66" s="50" t="n">
        <f aca="false">N(AE66)</f>
        <v>0</v>
      </c>
      <c r="CJ66" s="50" t="n">
        <f aca="false">N(M66)+N(N66)</f>
        <v>1</v>
      </c>
      <c r="CK66" s="50" t="n">
        <f aca="false">N(M66)</f>
        <v>0</v>
      </c>
      <c r="CL66" s="50" t="n">
        <f aca="false">N(N66)</f>
        <v>1</v>
      </c>
      <c r="CM66" s="50" t="n">
        <f aca="false">ROUNDUP(H66/BY66,0)</f>
        <v>1</v>
      </c>
      <c r="CN66" s="50" t="n">
        <f aca="false">ROUNDUP(CI66/BY66,0)</f>
        <v>0</v>
      </c>
      <c r="CO66" s="53" t="n">
        <f aca="false">IF(BZ66=1,0,IFERROR(VLOOKUP(BX66,'Gebinde-Kategorie'!$A$5:$N$45,5,0)+0,0))</f>
        <v>11</v>
      </c>
      <c r="CP66" s="53" t="n">
        <f aca="false">IFERROR(IF(OR(CE66=1,CE66=2,CE66=3),N(INDEX(Parameter!$I$5:$I$7,CE66)),0),0)</f>
        <v>0</v>
      </c>
      <c r="CQ66" s="52" t="n">
        <f aca="false">IF(AND(Parameter!$B$21="Ja",ISNUMBER(W66),N(X66)&gt;0),IFERROR(N(INDEX(Parameter!$L$5:$L$7,W66))*INDEX(Parameter!$E$5:$E$7,W66)*X66/SUMIFS($X$7:$X$1843,$W$7:$W$1843,W66),0),0)</f>
        <v>0</v>
      </c>
    </row>
    <row r="67" customFormat="false" ht="15" hidden="false" customHeight="false" outlineLevel="0" collapsed="false">
      <c r="A67" s="48" t="s">
        <v>344</v>
      </c>
      <c r="B67" s="48" t="s">
        <v>345</v>
      </c>
      <c r="C67" s="48" t="s">
        <v>173</v>
      </c>
      <c r="D67" s="48" t="s">
        <v>193</v>
      </c>
      <c r="E67" s="48"/>
      <c r="F67" s="48" t="s">
        <v>227</v>
      </c>
      <c r="G67" s="49" t="n">
        <v>477</v>
      </c>
      <c r="H67" s="50" t="n">
        <f aca="false">MAX(0,IF(AND(Parameter!$B$21="Ja",ISNUMBER(Y67)),Y67,IF(Parameter!$B$20="Jahresanfang 2025 + Export",BR67+BQ67,BQ67)))</f>
        <v>8</v>
      </c>
      <c r="I67" s="50" t="n">
        <f aca="false">H67*G67</f>
        <v>3816</v>
      </c>
      <c r="J67" s="50" t="n">
        <f aca="false">BT67*Parameter!$B$18</f>
        <v>0</v>
      </c>
      <c r="K67" s="51" t="n">
        <v>0</v>
      </c>
      <c r="L67" s="52" t="n">
        <v>0</v>
      </c>
      <c r="M67" s="50" t="n">
        <v>0</v>
      </c>
      <c r="N67" s="50" t="n">
        <v>5</v>
      </c>
      <c r="O67" s="53" t="n">
        <v>9999</v>
      </c>
      <c r="P67" s="48" t="s">
        <v>177</v>
      </c>
      <c r="Q67" s="50"/>
      <c r="R67" s="53" t="n">
        <f aca="false">IF(BZ67=1,0,IFERROR(VLOOKUP(BX67,'Gebinde-Kategorie'!$A$5:$N$45,13,0)+0,0))</f>
        <v>12</v>
      </c>
      <c r="S67" s="54"/>
      <c r="T67" s="55" t="s">
        <v>188</v>
      </c>
      <c r="U67" s="55"/>
      <c r="V67" s="55"/>
      <c r="W67" s="48"/>
      <c r="X67" s="50"/>
      <c r="Y67" s="50"/>
      <c r="Z67" s="48" t="n">
        <f aca="false">IF(A67="","",IF(AND(Parameter!$B$21="Ja",ISNUMBER(W67)),W67,IF(CC67="2+3",IF(ISNUMBER(SEARCH("grosser Artikel",BU67)),2,IFERROR(VLOOKUP(BX67,Parameter!$F$35:$G$64,2,0),2)),IF(OR(CC67="Nein",CC67=""),"-",CC67))))</f>
        <v>2</v>
      </c>
      <c r="AA67" s="55"/>
      <c r="AB67" s="56"/>
      <c r="AC67" s="50" t="n">
        <f aca="false">AV67</f>
        <v>5</v>
      </c>
      <c r="AD67" s="50" t="n">
        <f aca="false">MAX(AV67,H67)</f>
        <v>8</v>
      </c>
      <c r="AE67" s="57"/>
      <c r="AF67" s="50" t="n">
        <f aca="false">IF(LEFT(Cockpit!$C$5,1)="A",H67,IF(Parameter!$E$30="MAX-Bestand",IF(CH67=1,CI67,IF(LEFT(Cockpit!$C$5,1)="B",AL67,MAX(AL67,H67))),ROUNDUP(AJ67,0)))</f>
        <v>8</v>
      </c>
      <c r="AG67" s="50" t="n">
        <f aca="false">IF(BZ67=1,0,ROUNDUP(AF67/BY67,0))</f>
        <v>1</v>
      </c>
      <c r="AH67" s="52" t="n">
        <f aca="false">IF(CQ67&gt;0,CQ67*MAX(1,AF67/X67),IF(BZ67=1,IF(AF67&lt;=0,0,CD67*MAX(1,IF(H67&gt;0,AF67/H67,1))),IF(R67&gt;0,AG67/R67,0))/MAX(0.1,N(Parameter!$M$21)))</f>
        <v>0.0833333333333333</v>
      </c>
      <c r="AI67" s="50" t="n">
        <f aca="false">AH67*CB67</f>
        <v>12.0833333333333</v>
      </c>
      <c r="AJ67" s="51" t="n">
        <f aca="false">IF(LEFT(Cockpit!$C$5,1)="A",H67,IF(CH67=1,(CK67+CI67)/2,IF(LEFT(Cockpit!$C$5,1)="B",(CK67+AL67)/2,MAX((CK67+AL67)/2,H67))))</f>
        <v>8</v>
      </c>
      <c r="AK67" s="50" t="n">
        <f aca="false">AJ67*G67</f>
        <v>3816</v>
      </c>
      <c r="AL67" s="50" t="n">
        <f aca="false">ROUNDUP(CK67+MAX(CL67,2*(J67/IF(CG67&gt;0,CG67,MAX(0.1,N(Cockpit!$C$6)))-CK67)),0)</f>
        <v>5</v>
      </c>
      <c r="AM67" s="51" t="n">
        <f aca="false">IF(AI67&gt;0,J67/AI67,-1)</f>
        <v>0</v>
      </c>
      <c r="AN67" s="51" t="n">
        <f aca="false">IF(AND(OR(CF67="L1",CF67="L23",CF67="LIFT"),AI67&gt;0),SUMIFS($AI$7:$AI$1843,$CF$7:$CF$1843,CF67,$AM$7:$AM$1843,"&gt;"&amp;AM67)+SUMIFS($AI$7:$AI$1843,$CF$7:$CF$1843,CF67,$AM$7:$AM$1843,AM67,$BW$7:$BW$1843,"&lt;="&amp;BW67),"")</f>
        <v>26488.9534596759</v>
      </c>
      <c r="AO67" s="58" t="n">
        <f aca="false">IF(AN67="",0,MAX(0,MIN(1,(IF(CF67="L1",Parameter!$H$5,IF(CF67="L23",Parameter!$H$6+Parameter!$H$7,Parameter!$H$5+Parameter!$H$6+Parameter!$H$7))-(AN67-AI67))/AI67)))</f>
        <v>1</v>
      </c>
      <c r="AP67" s="50" t="n">
        <f aca="false">IF(LEFT(Cockpit!$I$5,1)="A",H67,IF(Parameter!$E$30="MAX-Bestand",IF(CH67=1,CI67,IF(LEFT(Cockpit!$I$5,1)="B",AV67,MAX(AV67,H67))),ROUNDUP(AT67,0)))</f>
        <v>8</v>
      </c>
      <c r="AQ67" s="50" t="n">
        <f aca="false">IF(BZ67=1,0,ROUNDUP(AP67/BY67,0))</f>
        <v>1</v>
      </c>
      <c r="AR67" s="52" t="n">
        <f aca="false">IF(CQ67&gt;0,CQ67*MAX(1,AP67/X67),IF(BZ67=1,IF(AP67&lt;=0,0,CD67*MAX(1,IF(H67&gt;0,AP67/H67,1))),IF(R67&gt;0,AQ67/R67,0))/MAX(0.1,N(Parameter!$M$21)))</f>
        <v>0.0833333333333333</v>
      </c>
      <c r="AS67" s="50" t="n">
        <f aca="false">AR67*CB67</f>
        <v>12.0833333333333</v>
      </c>
      <c r="AT67" s="51" t="n">
        <f aca="false">IF(LEFT(Cockpit!$I$5,1)="A",H67,IF(CH67=1,(CK67+CI67)/2,IF(LEFT(Cockpit!$I$5,1)="B",(CK67+AV67)/2,MAX((CK67+AV67)/2,H67))))</f>
        <v>8</v>
      </c>
      <c r="AU67" s="50" t="n">
        <f aca="false">AT67*G67</f>
        <v>3816</v>
      </c>
      <c r="AV67" s="50" t="n">
        <f aca="false">ROUNDUP(CK67+MAX(CL67,2*(J67/IF(CG67&gt;0,CG67,MAX(0.1,N(Cockpit!$I$6)))-CK67)),0)</f>
        <v>5</v>
      </c>
      <c r="AW67" s="51" t="n">
        <f aca="false">IF(AS67&gt;0,J67/AS67,-1)</f>
        <v>0</v>
      </c>
      <c r="AX67" s="51" t="n">
        <f aca="false">IF(AND(OR(CF67="L1",CF67="L23",CF67="LIFT"),AS67&gt;0),SUMIFS($AS$7:$AS$1843,$CF$7:$CF$1843,CF67,$AW$7:$AW$1843,"&gt;"&amp;AW67)+SUMIFS($AS$7:$AS$1843,$CF$7:$CF$1843,CF67,$AW$7:$AW$1843,AW67,$BW$7:$BW$1843,"&lt;="&amp;BW67),"")</f>
        <v>31842.1021010534</v>
      </c>
      <c r="AY67" s="58" t="n">
        <f aca="false">IF(AX67="",0,MAX(0,MIN(1,(IF(CF67="L1",Parameter!$H$5,IF(CF67="L23",Parameter!$H$6+Parameter!$H$7,Parameter!$H$5+Parameter!$H$6+Parameter!$H$7))-(AX67-AS67))/AS67)))</f>
        <v>1</v>
      </c>
      <c r="AZ67" s="50" t="n">
        <f aca="false">IF(LEFT(Cockpit!$O$5,1)="A",H67,IF(Parameter!$E$30="MAX-Bestand",IF(CH67=1,CI67,IF(LEFT(Cockpit!$O$5,1)="B",BF67,MAX(BF67,H67))),ROUNDUP(BD67,0)))</f>
        <v>3</v>
      </c>
      <c r="BA67" s="50" t="n">
        <f aca="false">IF(BZ67=1,0,ROUNDUP(AZ67/BY67,0))</f>
        <v>1</v>
      </c>
      <c r="BB67" s="52" t="n">
        <f aca="false">IF(CQ67&gt;0,CQ67*MAX(1,AZ67/X67),IF(BZ67=1,IF(AZ67&lt;=0,0,CD67*MAX(1,IF(H67&gt;0,AZ67/H67,1))),IF(R67&gt;0,BA67/R67,0))/MAX(0.1,N(Parameter!$M$21)))</f>
        <v>0.0833333333333333</v>
      </c>
      <c r="BC67" s="50" t="n">
        <f aca="false">BB67*CB67</f>
        <v>12.0833333333333</v>
      </c>
      <c r="BD67" s="51" t="n">
        <f aca="false">IF(LEFT(Cockpit!$O$5,1)="A",H67,IF(CH67=1,(CK67+CI67)/2,IF(LEFT(Cockpit!$O$5,1)="B",(CK67+BF67)/2,MAX((CK67+BF67)/2,H67))))</f>
        <v>2.5</v>
      </c>
      <c r="BE67" s="50" t="n">
        <f aca="false">BD67*G67</f>
        <v>1192.5</v>
      </c>
      <c r="BF67" s="50" t="n">
        <f aca="false">ROUNDUP(CK67+MAX(CL67,2*(J67/IF(CG67&gt;0,CG67,MAX(0.1,N(Cockpit!$O$6)))-CK67)),0)</f>
        <v>5</v>
      </c>
      <c r="BG67" s="51" t="n">
        <f aca="false">IF(BC67&gt;0,J67/BC67,-1)</f>
        <v>0</v>
      </c>
      <c r="BH67" s="51" t="n">
        <f aca="false">IF(AND(OR(CF67="L1",CF67="L23",CF67="LIFT"),BC67&gt;0),SUMIFS($BC$7:$BC$1843,$CF$7:$CF$1843,CF67,$BG$7:$BG$1843,"&gt;"&amp;BG67)+SUMIFS($BC$7:$BC$1843,$CF$7:$CF$1843,CF67,$BG$7:$BG$1843,BG67,$BW$7:$BW$1843,"&lt;="&amp;BW67),"")</f>
        <v>26038.6839443513</v>
      </c>
      <c r="BI67" s="58" t="n">
        <f aca="false">IF(BH67="",0,MAX(0,MIN(1,(IF(CF67="L1",Parameter!$H$5,IF(CF67="L23",Parameter!$H$6+Parameter!$H$7,Parameter!$H$5+Parameter!$H$6+Parameter!$H$7))-(BH67-BC67))/BC67)))</f>
        <v>1</v>
      </c>
      <c r="BJ67" s="48" t="str">
        <f aca="false">IF(AI67&lt;=0,"",IF(CF67="Aussen","Aussenlager",IF(CF67="-","Nicht im Lift",IF(AO67&gt;=1,"Lift",IF(AO67&lt;=0,"Aussenlager","teilweise")))))</f>
        <v>Lift</v>
      </c>
      <c r="BK67" s="48" t="str">
        <f aca="false">IF(AS67&lt;=0,"",IF(CF67="Aussen","Aussenlager",IF(CF67="-","Nicht im Lift",IF(AY67&gt;=1,"Lift",IF(AY67&lt;=0,"Aussenlager","teilweise")))))</f>
        <v>Lift</v>
      </c>
      <c r="BL67" s="48" t="str">
        <f aca="false">IF(BC67&lt;=0,"",IF(CF67="Aussen","Aussenlager",IF(CF67="-","Nicht im Lift",IF(BI67&gt;=1,"Lift",IF(BI67&lt;=0,"Aussenlager","teilweise")))))</f>
        <v>Lift</v>
      </c>
      <c r="BM67" s="48" t="str">
        <f aca="false">IF(A67="","",IF(BV67=1,"Neu; ","")&amp;IF(AND(BV67=0,BQ67&lt;0),"negativer Bestand (Export "&amp;BQ67&amp;"); ","")&amp;IF(J67&lt;=0,"Kein Verbrauch; ","")&amp;IF(CQ67&gt;0,"Lift "&amp;W67&amp;" lt. Liftbericht (Fach "&amp;X67&amp;" Stk); ",IF(CA67=1,"Gebinde geschätzt ("&amp;T67&amp;"); ",IF(BZ67=1,"Lose – Tablare geschätzt; ","")))&amp;IF(H67&gt;AV67,"Überbestand "&amp;ROUND(H67-AV67,0)&amp;" Stk / CHF "&amp;ROUND((H67-AV67)*G67,0)&amp;"; ","")&amp;IF(AND(CH67=1,CI67&lt;CJ67),"MAX &lt; MB+LG; ","")&amp;IF(AND(CP67&gt;0,CO67*10&gt;CP67),"zu hoch für Tablar; ","")&amp;IF(AND(BV67=0,OR(CH67=1,AA67&lt;&gt;"",U67&lt;&gt;"",V67&lt;&gt;"",AB67&lt;&gt;"")),"manuell übersteuert; ","")&amp;IF(AND(BZ67=0,R67=0),"Gebinde unbekannt / Stellmass fehlt; ","")&amp;IF(AND(BZ67=0,N(V67)&lt;=0,N(Q67)&lt;=0),"Menge pro Gebinde fehlt (Ist = 1 Gebinde); ","")&amp;BU67)</f>
        <v>Kein Verbrauch; Gebinde geschätzt (Mittel); Überbestand 3 Stk / CHF 1431; Menge pro Gebinde fehlt (Ist = 1 Gebinde); </v>
      </c>
      <c r="BN67" s="48"/>
      <c r="BO67" s="48"/>
      <c r="BP67" s="55"/>
      <c r="BQ67" s="50" t="n">
        <v>8</v>
      </c>
      <c r="BR67" s="50" t="n">
        <v>0</v>
      </c>
      <c r="BS67" s="49" t="n">
        <v>3816</v>
      </c>
      <c r="BT67" s="50" t="n">
        <v>0</v>
      </c>
      <c r="BU67" s="48"/>
      <c r="BV67" s="53" t="n">
        <v>0</v>
      </c>
      <c r="BW67" s="53" t="n">
        <v>67</v>
      </c>
      <c r="BX67" s="48" t="str">
        <f aca="false">IF(U67&lt;&gt;"",UPPER(TRIM(U67)),IF(CA67=1,UPPER(VLOOKUP(T67,Parameter!$I$27:$K$29,2,0)),IF(P67="","LOSE",P67)))</f>
        <v>S61</v>
      </c>
      <c r="BY67" s="50" t="n">
        <f aca="false">IF(BX67="LOSE",1,IF(N(V67)&gt;0,V67,IF(CA67=1,MAX(1,N(VLOOKUP(T67,Parameter!$I$27:$K$29,3,0)),H67,N(N67)),IF(N(Q67)&gt;0,Q67,MAX(1,H67)))))</f>
        <v>8</v>
      </c>
      <c r="BZ67" s="53" t="n">
        <f aca="false">IF(BX67="LOSE",1,0)</f>
        <v>0</v>
      </c>
      <c r="CA67" s="53" t="n">
        <f aca="false">IF(AND(U67="",OR(P67="",P67="LOSE"),T67&lt;&gt;"",N(S67)&lt;=0,ISNUMBER(MATCH(T67,Parameter!$I$27:$I$29,0))),1,0)</f>
        <v>1</v>
      </c>
      <c r="CB67" s="53" t="n">
        <f aca="false">IF(CQ67&gt;0,INDEX(Parameter!$H$5:$H$7,W67)/INDEX(Parameter!$E$5:$E$7,W67),IF(AND(BZ67=0,N(IFERROR(VLOOKUP(BX67,'Gebinde-Kategorie'!$A$5:$N$45,14,0),0))&gt;0),VLOOKUP(BX67,'Gebinde-Kategorie'!$A$5:$N$45,14,0)*10+Parameter!$M$23,Parameter!$M$24))</f>
        <v>145</v>
      </c>
      <c r="CC67" s="48" t="str">
        <f aca="false">IF(AND(Parameter!$B$19="Ja",E67&lt;&gt;"",ISNUMBER(MATCH(E67,Parameter!$I$35:$I$52,0))),VLOOKUP(E67,Parameter!$I$35:$J$52,2,0),IFERROR(VLOOKUP(D67,Parameter!$A$35:$C$64,2,0),"Nein"))</f>
        <v>2+3</v>
      </c>
      <c r="CD67" s="52" t="n">
        <f aca="false">IF(BZ67=0,0,IF(N(S67)&gt;0,S67,IFERROR(VLOOKUP(D67,Parameter!$A$35:$C$64,3,0)+0,0)))</f>
        <v>0</v>
      </c>
      <c r="CE67" s="48" t="n">
        <f aca="false">IF(AA67&lt;&gt;"",AA67,Z67)</f>
        <v>2</v>
      </c>
      <c r="CF67" s="48" t="str">
        <f aca="false">IF(OR(CE67=1,CE67=2,CE67=3),IF(Parameter!$E$27="Ja","LIFT",IF(CE67=1,"L1","L23")),IF(CE67="Aussen","Aussen","-"))</f>
        <v>LIFT</v>
      </c>
      <c r="CG67" s="59" t="n">
        <f aca="false">IF(N(AB67)&gt;0,AB67,0)</f>
        <v>0</v>
      </c>
      <c r="CH67" s="53" t="n">
        <f aca="false">IF(ISNUMBER(AE67),1,0)</f>
        <v>0</v>
      </c>
      <c r="CI67" s="50" t="n">
        <f aca="false">N(AE67)</f>
        <v>0</v>
      </c>
      <c r="CJ67" s="50" t="n">
        <f aca="false">N(M67)+N(N67)</f>
        <v>5</v>
      </c>
      <c r="CK67" s="50" t="n">
        <f aca="false">N(M67)</f>
        <v>0</v>
      </c>
      <c r="CL67" s="50" t="n">
        <f aca="false">N(N67)</f>
        <v>5</v>
      </c>
      <c r="CM67" s="50" t="n">
        <f aca="false">ROUNDUP(H67/BY67,0)</f>
        <v>1</v>
      </c>
      <c r="CN67" s="50" t="n">
        <f aca="false">ROUNDUP(CI67/BY67,0)</f>
        <v>0</v>
      </c>
      <c r="CO67" s="53" t="n">
        <f aca="false">IF(BZ67=1,0,IFERROR(VLOOKUP(BX67,'Gebinde-Kategorie'!$A$5:$N$45,5,0)+0,0))</f>
        <v>11</v>
      </c>
      <c r="CP67" s="53" t="n">
        <f aca="false">IFERROR(IF(OR(CE67=1,CE67=2,CE67=3),N(INDEX(Parameter!$I$5:$I$7,CE67)),0),0)</f>
        <v>0</v>
      </c>
      <c r="CQ67" s="52" t="n">
        <f aca="false">IF(AND(Parameter!$B$21="Ja",ISNUMBER(W67),N(X67)&gt;0),IFERROR(N(INDEX(Parameter!$L$5:$L$7,W67))*INDEX(Parameter!$E$5:$E$7,W67)*X67/SUMIFS($X$7:$X$1843,$W$7:$W$1843,W67),0),0)</f>
        <v>0</v>
      </c>
    </row>
    <row r="68" customFormat="false" ht="15" hidden="false" customHeight="false" outlineLevel="0" collapsed="false">
      <c r="A68" s="48" t="s">
        <v>346</v>
      </c>
      <c r="B68" s="48" t="s">
        <v>340</v>
      </c>
      <c r="C68" s="48" t="s">
        <v>173</v>
      </c>
      <c r="D68" s="48" t="s">
        <v>182</v>
      </c>
      <c r="E68" s="48"/>
      <c r="F68" s="48" t="s">
        <v>227</v>
      </c>
      <c r="G68" s="49" t="n">
        <v>758.09</v>
      </c>
      <c r="H68" s="50" t="n">
        <f aca="false">MAX(0,IF(AND(Parameter!$B$21="Ja",ISNUMBER(Y68)),Y68,IF(Parameter!$B$20="Jahresanfang 2025 + Export",BR68+BQ68,BQ68)))</f>
        <v>5</v>
      </c>
      <c r="I68" s="50" t="n">
        <f aca="false">H68*G68</f>
        <v>3790.45</v>
      </c>
      <c r="J68" s="50" t="n">
        <f aca="false">BT68*Parameter!$B$18</f>
        <v>0</v>
      </c>
      <c r="K68" s="51" t="n">
        <v>0</v>
      </c>
      <c r="L68" s="52" t="n">
        <v>0</v>
      </c>
      <c r="M68" s="50" t="n">
        <v>0</v>
      </c>
      <c r="N68" s="50" t="n">
        <v>5</v>
      </c>
      <c r="O68" s="53" t="n">
        <v>9999</v>
      </c>
      <c r="P68" s="48" t="s">
        <v>177</v>
      </c>
      <c r="Q68" s="50"/>
      <c r="R68" s="53" t="n">
        <f aca="false">IF(BZ68=1,0,IFERROR(VLOOKUP(BX68,'Gebinde-Kategorie'!$A$5:$N$45,13,0)+0,0))</f>
        <v>12</v>
      </c>
      <c r="S68" s="54"/>
      <c r="T68" s="55" t="s">
        <v>188</v>
      </c>
      <c r="U68" s="55"/>
      <c r="V68" s="55"/>
      <c r="W68" s="48"/>
      <c r="X68" s="50"/>
      <c r="Y68" s="50"/>
      <c r="Z68" s="48" t="n">
        <f aca="false">IF(A68="","",IF(AND(Parameter!$B$21="Ja",ISNUMBER(W68)),W68,IF(CC68="2+3",IF(ISNUMBER(SEARCH("grosser Artikel",BU68)),2,IFERROR(VLOOKUP(BX68,Parameter!$F$35:$G$64,2,0),2)),IF(OR(CC68="Nein",CC68=""),"-",CC68))))</f>
        <v>2</v>
      </c>
      <c r="AA68" s="55"/>
      <c r="AB68" s="56"/>
      <c r="AC68" s="50" t="n">
        <f aca="false">AV68</f>
        <v>5</v>
      </c>
      <c r="AD68" s="50" t="n">
        <f aca="false">MAX(AV68,H68)</f>
        <v>5</v>
      </c>
      <c r="AE68" s="57"/>
      <c r="AF68" s="50" t="n">
        <f aca="false">IF(LEFT(Cockpit!$C$5,1)="A",H68,IF(Parameter!$E$30="MAX-Bestand",IF(CH68=1,CI68,IF(LEFT(Cockpit!$C$5,1)="B",AL68,MAX(AL68,H68))),ROUNDUP(AJ68,0)))</f>
        <v>5</v>
      </c>
      <c r="AG68" s="50" t="n">
        <f aca="false">IF(BZ68=1,0,ROUNDUP(AF68/BY68,0))</f>
        <v>1</v>
      </c>
      <c r="AH68" s="52" t="n">
        <f aca="false">IF(CQ68&gt;0,CQ68*MAX(1,AF68/X68),IF(BZ68=1,IF(AF68&lt;=0,0,CD68*MAX(1,IF(H68&gt;0,AF68/H68,1))),IF(R68&gt;0,AG68/R68,0))/MAX(0.1,N(Parameter!$M$21)))</f>
        <v>0.0833333333333333</v>
      </c>
      <c r="AI68" s="50" t="n">
        <f aca="false">AH68*CB68</f>
        <v>12.0833333333333</v>
      </c>
      <c r="AJ68" s="51" t="n">
        <f aca="false">IF(LEFT(Cockpit!$C$5,1)="A",H68,IF(CH68=1,(CK68+CI68)/2,IF(LEFT(Cockpit!$C$5,1)="B",(CK68+AL68)/2,MAX((CK68+AL68)/2,H68))))</f>
        <v>5</v>
      </c>
      <c r="AK68" s="50" t="n">
        <f aca="false">AJ68*G68</f>
        <v>3790.45</v>
      </c>
      <c r="AL68" s="50" t="n">
        <f aca="false">ROUNDUP(CK68+MAX(CL68,2*(J68/IF(CG68&gt;0,CG68,MAX(0.1,N(Cockpit!$C$6)))-CK68)),0)</f>
        <v>5</v>
      </c>
      <c r="AM68" s="51" t="n">
        <f aca="false">IF(AI68&gt;0,J68/AI68,-1)</f>
        <v>0</v>
      </c>
      <c r="AN68" s="51" t="n">
        <f aca="false">IF(AND(OR(CF68="L1",CF68="L23",CF68="LIFT"),AI68&gt;0),SUMIFS($AI$7:$AI$1843,$CF$7:$CF$1843,CF68,$AM$7:$AM$1843,"&gt;"&amp;AM68)+SUMIFS($AI$7:$AI$1843,$CF$7:$CF$1843,CF68,$AM$7:$AM$1843,AM68,$BW$7:$BW$1843,"&lt;="&amp;BW68),"")</f>
        <v>26501.0367930093</v>
      </c>
      <c r="AO68" s="58" t="n">
        <f aca="false">IF(AN68="",0,MAX(0,MIN(1,(IF(CF68="L1",Parameter!$H$5,IF(CF68="L23",Parameter!$H$6+Parameter!$H$7,Parameter!$H$5+Parameter!$H$6+Parameter!$H$7))-(AN68-AI68))/AI68)))</f>
        <v>1</v>
      </c>
      <c r="AP68" s="50" t="n">
        <f aca="false">IF(LEFT(Cockpit!$I$5,1)="A",H68,IF(Parameter!$E$30="MAX-Bestand",IF(CH68=1,CI68,IF(LEFT(Cockpit!$I$5,1)="B",AV68,MAX(AV68,H68))),ROUNDUP(AT68,0)))</f>
        <v>5</v>
      </c>
      <c r="AQ68" s="50" t="n">
        <f aca="false">IF(BZ68=1,0,ROUNDUP(AP68/BY68,0))</f>
        <v>1</v>
      </c>
      <c r="AR68" s="52" t="n">
        <f aca="false">IF(CQ68&gt;0,CQ68*MAX(1,AP68/X68),IF(BZ68=1,IF(AP68&lt;=0,0,CD68*MAX(1,IF(H68&gt;0,AP68/H68,1))),IF(R68&gt;0,AQ68/R68,0))/MAX(0.1,N(Parameter!$M$21)))</f>
        <v>0.0833333333333333</v>
      </c>
      <c r="AS68" s="50" t="n">
        <f aca="false">AR68*CB68</f>
        <v>12.0833333333333</v>
      </c>
      <c r="AT68" s="51" t="n">
        <f aca="false">IF(LEFT(Cockpit!$I$5,1)="A",H68,IF(CH68=1,(CK68+CI68)/2,IF(LEFT(Cockpit!$I$5,1)="B",(CK68+AV68)/2,MAX((CK68+AV68)/2,H68))))</f>
        <v>5</v>
      </c>
      <c r="AU68" s="50" t="n">
        <f aca="false">AT68*G68</f>
        <v>3790.45</v>
      </c>
      <c r="AV68" s="50" t="n">
        <f aca="false">ROUNDUP(CK68+MAX(CL68,2*(J68/IF(CG68&gt;0,CG68,MAX(0.1,N(Cockpit!$I$6)))-CK68)),0)</f>
        <v>5</v>
      </c>
      <c r="AW68" s="51" t="n">
        <f aca="false">IF(AS68&gt;0,J68/AS68,-1)</f>
        <v>0</v>
      </c>
      <c r="AX68" s="51" t="n">
        <f aca="false">IF(AND(OR(CF68="L1",CF68="L23",CF68="LIFT"),AS68&gt;0),SUMIFS($AS$7:$AS$1843,$CF$7:$CF$1843,CF68,$AW$7:$AW$1843,"&gt;"&amp;AW68)+SUMIFS($AS$7:$AS$1843,$CF$7:$CF$1843,CF68,$AW$7:$AW$1843,AW68,$BW$7:$BW$1843,"&lt;="&amp;BW68),"")</f>
        <v>31854.1854343867</v>
      </c>
      <c r="AY68" s="58" t="n">
        <f aca="false">IF(AX68="",0,MAX(0,MIN(1,(IF(CF68="L1",Parameter!$H$5,IF(CF68="L23",Parameter!$H$6+Parameter!$H$7,Parameter!$H$5+Parameter!$H$6+Parameter!$H$7))-(AX68-AS68))/AS68)))</f>
        <v>1</v>
      </c>
      <c r="AZ68" s="50" t="n">
        <f aca="false">IF(LEFT(Cockpit!$O$5,1)="A",H68,IF(Parameter!$E$30="MAX-Bestand",IF(CH68=1,CI68,IF(LEFT(Cockpit!$O$5,1)="B",BF68,MAX(BF68,H68))),ROUNDUP(BD68,0)))</f>
        <v>3</v>
      </c>
      <c r="BA68" s="50" t="n">
        <f aca="false">IF(BZ68=1,0,ROUNDUP(AZ68/BY68,0))</f>
        <v>1</v>
      </c>
      <c r="BB68" s="52" t="n">
        <f aca="false">IF(CQ68&gt;0,CQ68*MAX(1,AZ68/X68),IF(BZ68=1,IF(AZ68&lt;=0,0,CD68*MAX(1,IF(H68&gt;0,AZ68/H68,1))),IF(R68&gt;0,BA68/R68,0))/MAX(0.1,N(Parameter!$M$21)))</f>
        <v>0.0833333333333333</v>
      </c>
      <c r="BC68" s="50" t="n">
        <f aca="false">BB68*CB68</f>
        <v>12.0833333333333</v>
      </c>
      <c r="BD68" s="51" t="n">
        <f aca="false">IF(LEFT(Cockpit!$O$5,1)="A",H68,IF(CH68=1,(CK68+CI68)/2,IF(LEFT(Cockpit!$O$5,1)="B",(CK68+BF68)/2,MAX((CK68+BF68)/2,H68))))</f>
        <v>2.5</v>
      </c>
      <c r="BE68" s="50" t="n">
        <f aca="false">BD68*G68</f>
        <v>1895.225</v>
      </c>
      <c r="BF68" s="50" t="n">
        <f aca="false">ROUNDUP(CK68+MAX(CL68,2*(J68/IF(CG68&gt;0,CG68,MAX(0.1,N(Cockpit!$O$6)))-CK68)),0)</f>
        <v>5</v>
      </c>
      <c r="BG68" s="51" t="n">
        <f aca="false">IF(BC68&gt;0,J68/BC68,-1)</f>
        <v>0</v>
      </c>
      <c r="BH68" s="51" t="n">
        <f aca="false">IF(AND(OR(CF68="L1",CF68="L23",CF68="LIFT"),BC68&gt;0),SUMIFS($BC$7:$BC$1843,$CF$7:$CF$1843,CF68,$BG$7:$BG$1843,"&gt;"&amp;BG68)+SUMIFS($BC$7:$BC$1843,$CF$7:$CF$1843,CF68,$BG$7:$BG$1843,BG68,$BW$7:$BW$1843,"&lt;="&amp;BW68),"")</f>
        <v>26050.7672776847</v>
      </c>
      <c r="BI68" s="58" t="n">
        <f aca="false">IF(BH68="",0,MAX(0,MIN(1,(IF(CF68="L1",Parameter!$H$5,IF(CF68="L23",Parameter!$H$6+Parameter!$H$7,Parameter!$H$5+Parameter!$H$6+Parameter!$H$7))-(BH68-BC68))/BC68)))</f>
        <v>1</v>
      </c>
      <c r="BJ68" s="48" t="str">
        <f aca="false">IF(AI68&lt;=0,"",IF(CF68="Aussen","Aussenlager",IF(CF68="-","Nicht im Lift",IF(AO68&gt;=1,"Lift",IF(AO68&lt;=0,"Aussenlager","teilweise")))))</f>
        <v>Lift</v>
      </c>
      <c r="BK68" s="48" t="str">
        <f aca="false">IF(AS68&lt;=0,"",IF(CF68="Aussen","Aussenlager",IF(CF68="-","Nicht im Lift",IF(AY68&gt;=1,"Lift",IF(AY68&lt;=0,"Aussenlager","teilweise")))))</f>
        <v>Lift</v>
      </c>
      <c r="BL68" s="48" t="str">
        <f aca="false">IF(BC68&lt;=0,"",IF(CF68="Aussen","Aussenlager",IF(CF68="-","Nicht im Lift",IF(BI68&gt;=1,"Lift",IF(BI68&lt;=0,"Aussenlager","teilweise")))))</f>
        <v>Lift</v>
      </c>
      <c r="BM68" s="48" t="str">
        <f aca="false">IF(A68="","",IF(BV68=1,"Neu; ","")&amp;IF(AND(BV68=0,BQ68&lt;0),"negativer Bestand (Export "&amp;BQ68&amp;"); ","")&amp;IF(J68&lt;=0,"Kein Verbrauch; ","")&amp;IF(CQ68&gt;0,"Lift "&amp;W68&amp;" lt. Liftbericht (Fach "&amp;X68&amp;" Stk); ",IF(CA68=1,"Gebinde geschätzt ("&amp;T68&amp;"); ",IF(BZ68=1,"Lose – Tablare geschätzt; ","")))&amp;IF(H68&gt;AV68,"Überbestand "&amp;ROUND(H68-AV68,0)&amp;" Stk / CHF "&amp;ROUND((H68-AV68)*G68,0)&amp;"; ","")&amp;IF(AND(CH68=1,CI68&lt;CJ68),"MAX &lt; MB+LG; ","")&amp;IF(AND(CP68&gt;0,CO68*10&gt;CP68),"zu hoch für Tablar; ","")&amp;IF(AND(BV68=0,OR(CH68=1,AA68&lt;&gt;"",U68&lt;&gt;"",V68&lt;&gt;"",AB68&lt;&gt;"")),"manuell übersteuert; ","")&amp;IF(AND(BZ68=0,R68=0),"Gebinde unbekannt / Stellmass fehlt; ","")&amp;IF(AND(BZ68=0,N(V68)&lt;=0,N(Q68)&lt;=0),"Menge pro Gebinde fehlt (Ist = 1 Gebinde); ","")&amp;BU68)</f>
        <v>Kein Verbrauch; Gebinde geschätzt (Mittel); Menge pro Gebinde fehlt (Ist = 1 Gebinde); </v>
      </c>
      <c r="BN68" s="48"/>
      <c r="BO68" s="48"/>
      <c r="BP68" s="55"/>
      <c r="BQ68" s="50" t="n">
        <v>5</v>
      </c>
      <c r="BR68" s="50" t="n">
        <v>0</v>
      </c>
      <c r="BS68" s="49" t="n">
        <v>3790.45</v>
      </c>
      <c r="BT68" s="50" t="n">
        <v>0</v>
      </c>
      <c r="BU68" s="48"/>
      <c r="BV68" s="53" t="n">
        <v>0</v>
      </c>
      <c r="BW68" s="53" t="n">
        <v>68</v>
      </c>
      <c r="BX68" s="48" t="str">
        <f aca="false">IF(U68&lt;&gt;"",UPPER(TRIM(U68)),IF(CA68=1,UPPER(VLOOKUP(T68,Parameter!$I$27:$K$29,2,0)),IF(P68="","LOSE",P68)))</f>
        <v>S61</v>
      </c>
      <c r="BY68" s="50" t="n">
        <f aca="false">IF(BX68="LOSE",1,IF(N(V68)&gt;0,V68,IF(CA68=1,MAX(1,N(VLOOKUP(T68,Parameter!$I$27:$K$29,3,0)),H68,N(N68)),IF(N(Q68)&gt;0,Q68,MAX(1,H68)))))</f>
        <v>5</v>
      </c>
      <c r="BZ68" s="53" t="n">
        <f aca="false">IF(BX68="LOSE",1,0)</f>
        <v>0</v>
      </c>
      <c r="CA68" s="53" t="n">
        <f aca="false">IF(AND(U68="",OR(P68="",P68="LOSE"),T68&lt;&gt;"",N(S68)&lt;=0,ISNUMBER(MATCH(T68,Parameter!$I$27:$I$29,0))),1,0)</f>
        <v>1</v>
      </c>
      <c r="CB68" s="53" t="n">
        <f aca="false">IF(CQ68&gt;0,INDEX(Parameter!$H$5:$H$7,W68)/INDEX(Parameter!$E$5:$E$7,W68),IF(AND(BZ68=0,N(IFERROR(VLOOKUP(BX68,'Gebinde-Kategorie'!$A$5:$N$45,14,0),0))&gt;0),VLOOKUP(BX68,'Gebinde-Kategorie'!$A$5:$N$45,14,0)*10+Parameter!$M$23,Parameter!$M$24))</f>
        <v>145</v>
      </c>
      <c r="CC68" s="48" t="str">
        <f aca="false">IF(AND(Parameter!$B$19="Ja",E68&lt;&gt;"",ISNUMBER(MATCH(E68,Parameter!$I$35:$I$52,0))),VLOOKUP(E68,Parameter!$I$35:$J$52,2,0),IFERROR(VLOOKUP(D68,Parameter!$A$35:$C$64,2,0),"Nein"))</f>
        <v>2+3</v>
      </c>
      <c r="CD68" s="52" t="n">
        <f aca="false">IF(BZ68=0,0,IF(N(S68)&gt;0,S68,IFERROR(VLOOKUP(D68,Parameter!$A$35:$C$64,3,0)+0,0)))</f>
        <v>0</v>
      </c>
      <c r="CE68" s="48" t="n">
        <f aca="false">IF(AA68&lt;&gt;"",AA68,Z68)</f>
        <v>2</v>
      </c>
      <c r="CF68" s="48" t="str">
        <f aca="false">IF(OR(CE68=1,CE68=2,CE68=3),IF(Parameter!$E$27="Ja","LIFT",IF(CE68=1,"L1","L23")),IF(CE68="Aussen","Aussen","-"))</f>
        <v>LIFT</v>
      </c>
      <c r="CG68" s="59" t="n">
        <f aca="false">IF(N(AB68)&gt;0,AB68,0)</f>
        <v>0</v>
      </c>
      <c r="CH68" s="53" t="n">
        <f aca="false">IF(ISNUMBER(AE68),1,0)</f>
        <v>0</v>
      </c>
      <c r="CI68" s="50" t="n">
        <f aca="false">N(AE68)</f>
        <v>0</v>
      </c>
      <c r="CJ68" s="50" t="n">
        <f aca="false">N(M68)+N(N68)</f>
        <v>5</v>
      </c>
      <c r="CK68" s="50" t="n">
        <f aca="false">N(M68)</f>
        <v>0</v>
      </c>
      <c r="CL68" s="50" t="n">
        <f aca="false">N(N68)</f>
        <v>5</v>
      </c>
      <c r="CM68" s="50" t="n">
        <f aca="false">ROUNDUP(H68/BY68,0)</f>
        <v>1</v>
      </c>
      <c r="CN68" s="50" t="n">
        <f aca="false">ROUNDUP(CI68/BY68,0)</f>
        <v>0</v>
      </c>
      <c r="CO68" s="53" t="n">
        <f aca="false">IF(BZ68=1,0,IFERROR(VLOOKUP(BX68,'Gebinde-Kategorie'!$A$5:$N$45,5,0)+0,0))</f>
        <v>11</v>
      </c>
      <c r="CP68" s="53" t="n">
        <f aca="false">IFERROR(IF(OR(CE68=1,CE68=2,CE68=3),N(INDEX(Parameter!$I$5:$I$7,CE68)),0),0)</f>
        <v>0</v>
      </c>
      <c r="CQ68" s="52" t="n">
        <f aca="false">IF(AND(Parameter!$B$21="Ja",ISNUMBER(W68),N(X68)&gt;0),IFERROR(N(INDEX(Parameter!$L$5:$L$7,W68))*INDEX(Parameter!$E$5:$E$7,W68)*X68/SUMIFS($X$7:$X$1843,$W$7:$W$1843,W68),0),0)</f>
        <v>0</v>
      </c>
    </row>
    <row r="69" customFormat="false" ht="15" hidden="false" customHeight="false" outlineLevel="0" collapsed="false">
      <c r="A69" s="48" t="s">
        <v>347</v>
      </c>
      <c r="B69" s="48" t="s">
        <v>348</v>
      </c>
      <c r="C69" s="48" t="s">
        <v>173</v>
      </c>
      <c r="D69" s="48" t="s">
        <v>182</v>
      </c>
      <c r="E69" s="48" t="s">
        <v>175</v>
      </c>
      <c r="F69" s="48" t="s">
        <v>227</v>
      </c>
      <c r="G69" s="49" t="n">
        <v>223.35</v>
      </c>
      <c r="H69" s="50" t="n">
        <f aca="false">MAX(0,IF(AND(Parameter!$B$21="Ja",ISNUMBER(Y69)),Y69,IF(Parameter!$B$20="Jahresanfang 2025 + Export",BR69+BQ69,BQ69)))</f>
        <v>25</v>
      </c>
      <c r="I69" s="50" t="n">
        <f aca="false">H69*G69</f>
        <v>5583.75</v>
      </c>
      <c r="J69" s="50" t="n">
        <f aca="false">BT69*Parameter!$B$18</f>
        <v>30</v>
      </c>
      <c r="K69" s="51" t="n">
        <v>17.5</v>
      </c>
      <c r="L69" s="52" t="n">
        <v>1.71428571428571</v>
      </c>
      <c r="M69" s="50" t="n">
        <v>2</v>
      </c>
      <c r="N69" s="50" t="n">
        <v>15</v>
      </c>
      <c r="O69" s="53" t="n">
        <v>21</v>
      </c>
      <c r="P69" s="48" t="s">
        <v>268</v>
      </c>
      <c r="Q69" s="50" t="n">
        <v>28</v>
      </c>
      <c r="R69" s="53" t="n">
        <f aca="false">IF(BZ69=1,0,IFERROR(VLOOKUP(BX69,'Gebinde-Kategorie'!$A$5:$N$45,13,0)+0,0))</f>
        <v>6</v>
      </c>
      <c r="S69" s="54"/>
      <c r="T69" s="55"/>
      <c r="U69" s="55"/>
      <c r="V69" s="55"/>
      <c r="W69" s="48"/>
      <c r="X69" s="50"/>
      <c r="Y69" s="50"/>
      <c r="Z69" s="48" t="n">
        <f aca="false">IF(A69="","",IF(AND(Parameter!$B$21="Ja",ISNUMBER(W69)),W69,IF(CC69="2+3",IF(ISNUMBER(SEARCH("grosser Artikel",BU69)),2,IFERROR(VLOOKUP(BX69,Parameter!$F$35:$G$64,2,0),2)),IF(OR(CC69="Nein",CC69=""),"-",CC69))))</f>
        <v>1</v>
      </c>
      <c r="AA69" s="55"/>
      <c r="AB69" s="56"/>
      <c r="AC69" s="50" t="n">
        <f aca="false">AV69</f>
        <v>18</v>
      </c>
      <c r="AD69" s="50" t="n">
        <f aca="false">MAX(AV69,H69)</f>
        <v>25</v>
      </c>
      <c r="AE69" s="57"/>
      <c r="AF69" s="50" t="n">
        <f aca="false">IF(LEFT(Cockpit!$C$5,1)="A",H69,IF(Parameter!$E$30="MAX-Bestand",IF(CH69=1,CI69,IF(LEFT(Cockpit!$C$5,1)="B",AL69,MAX(AL69,H69))),ROUNDUP(AJ69,0)))</f>
        <v>25</v>
      </c>
      <c r="AG69" s="50" t="n">
        <f aca="false">IF(BZ69=1,0,ROUNDUP(AF69/BY69,0))</f>
        <v>1</v>
      </c>
      <c r="AH69" s="52" t="n">
        <f aca="false">IF(CQ69&gt;0,CQ69*MAX(1,AF69/X69),IF(BZ69=1,IF(AF69&lt;=0,0,CD69*MAX(1,IF(H69&gt;0,AF69/H69,1))),IF(R69&gt;0,AG69/R69,0))/MAX(0.1,N(Parameter!$M$21)))</f>
        <v>0.166666666666667</v>
      </c>
      <c r="AI69" s="50" t="n">
        <f aca="false">AH69*CB69</f>
        <v>72.5</v>
      </c>
      <c r="AJ69" s="51" t="n">
        <f aca="false">IF(LEFT(Cockpit!$C$5,1)="A",H69,IF(CH69=1,(CK69+CI69)/2,IF(LEFT(Cockpit!$C$5,1)="B",(CK69+AL69)/2,MAX((CK69+AL69)/2,H69))))</f>
        <v>25</v>
      </c>
      <c r="AK69" s="50" t="n">
        <f aca="false">AJ69*G69</f>
        <v>5583.75</v>
      </c>
      <c r="AL69" s="50" t="n">
        <f aca="false">ROUNDUP(CK69+MAX(CL69,2*(J69/IF(CG69&gt;0,CG69,MAX(0.1,N(Cockpit!$C$6)))-CK69)),0)</f>
        <v>18</v>
      </c>
      <c r="AM69" s="51" t="n">
        <f aca="false">IF(AI69&gt;0,J69/AI69,-1)</f>
        <v>0.413793103448276</v>
      </c>
      <c r="AN69" s="51" t="n">
        <f aca="false">IF(AND(OR(CF69="L1",CF69="L23",CF69="LIFT"),AI69&gt;0),SUMIFS($AI$7:$AI$1843,$CF$7:$CF$1843,CF69,$AM$7:$AM$1843,"&gt;"&amp;AM69)+SUMIFS($AI$7:$AI$1843,$CF$7:$CF$1843,CF69,$AM$7:$AM$1843,AM69,$BW$7:$BW$1843,"&lt;="&amp;BW69),"")</f>
        <v>10103.5961253906</v>
      </c>
      <c r="AO69" s="58" t="n">
        <f aca="false">IF(AN69="",0,MAX(0,MIN(1,(IF(CF69="L1",Parameter!$H$5,IF(CF69="L23",Parameter!$H$6+Parameter!$H$7,Parameter!$H$5+Parameter!$H$6+Parameter!$H$7))-(AN69-AI69))/AI69)))</f>
        <v>1</v>
      </c>
      <c r="AP69" s="50" t="n">
        <f aca="false">IF(LEFT(Cockpit!$I$5,1)="A",H69,IF(Parameter!$E$30="MAX-Bestand",IF(CH69=1,CI69,IF(LEFT(Cockpit!$I$5,1)="B",AV69,MAX(AV69,H69))),ROUNDUP(AT69,0)))</f>
        <v>25</v>
      </c>
      <c r="AQ69" s="50" t="n">
        <f aca="false">IF(BZ69=1,0,ROUNDUP(AP69/BY69,0))</f>
        <v>1</v>
      </c>
      <c r="AR69" s="52" t="n">
        <f aca="false">IF(CQ69&gt;0,CQ69*MAX(1,AP69/X69),IF(BZ69=1,IF(AP69&lt;=0,0,CD69*MAX(1,IF(H69&gt;0,AP69/H69,1))),IF(R69&gt;0,AQ69/R69,0))/MAX(0.1,N(Parameter!$M$21)))</f>
        <v>0.166666666666667</v>
      </c>
      <c r="AS69" s="50" t="n">
        <f aca="false">AR69*CB69</f>
        <v>72.5</v>
      </c>
      <c r="AT69" s="51" t="n">
        <f aca="false">IF(LEFT(Cockpit!$I$5,1)="A",H69,IF(CH69=1,(CK69+CI69)/2,IF(LEFT(Cockpit!$I$5,1)="B",(CK69+AV69)/2,MAX((CK69+AV69)/2,H69))))</f>
        <v>25</v>
      </c>
      <c r="AU69" s="50" t="n">
        <f aca="false">AT69*G69</f>
        <v>5583.75</v>
      </c>
      <c r="AV69" s="50" t="n">
        <f aca="false">ROUNDUP(CK69+MAX(CL69,2*(J69/IF(CG69&gt;0,CG69,MAX(0.1,N(Cockpit!$I$6)))-CK69)),0)</f>
        <v>18</v>
      </c>
      <c r="AW69" s="51" t="n">
        <f aca="false">IF(AS69&gt;0,J69/AS69,-1)</f>
        <v>0.413793103448276</v>
      </c>
      <c r="AX69" s="51" t="n">
        <f aca="false">IF(AND(OR(CF69="L1",CF69="L23",CF69="LIFT"),AS69&gt;0),SUMIFS($AS$7:$AS$1843,$CF$7:$CF$1843,CF69,$AW$7:$AW$1843,"&gt;"&amp;AW69)+SUMIFS($AS$7:$AS$1843,$CF$7:$CF$1843,CF69,$AW$7:$AW$1843,AW69,$BW$7:$BW$1843,"&lt;="&amp;BW69),"")</f>
        <v>12458.6826923077</v>
      </c>
      <c r="AY69" s="58" t="n">
        <f aca="false">IF(AX69="",0,MAX(0,MIN(1,(IF(CF69="L1",Parameter!$H$5,IF(CF69="L23",Parameter!$H$6+Parameter!$H$7,Parameter!$H$5+Parameter!$H$6+Parameter!$H$7))-(AX69-AS69))/AS69)))</f>
        <v>1</v>
      </c>
      <c r="AZ69" s="50" t="n">
        <f aca="false">IF(LEFT(Cockpit!$O$5,1)="A",H69,IF(Parameter!$E$30="MAX-Bestand",IF(CH69=1,CI69,IF(LEFT(Cockpit!$O$5,1)="B",BF69,MAX(BF69,H69))),ROUNDUP(BD69,0)))</f>
        <v>10</v>
      </c>
      <c r="BA69" s="50" t="n">
        <f aca="false">IF(BZ69=1,0,ROUNDUP(AZ69/BY69,0))</f>
        <v>1</v>
      </c>
      <c r="BB69" s="52" t="n">
        <f aca="false">IF(CQ69&gt;0,CQ69*MAX(1,AZ69/X69),IF(BZ69=1,IF(AZ69&lt;=0,0,CD69*MAX(1,IF(H69&gt;0,AZ69/H69,1))),IF(R69&gt;0,BA69/R69,0))/MAX(0.1,N(Parameter!$M$21)))</f>
        <v>0.166666666666667</v>
      </c>
      <c r="BC69" s="50" t="n">
        <f aca="false">BB69*CB69</f>
        <v>72.5</v>
      </c>
      <c r="BD69" s="51" t="n">
        <f aca="false">IF(LEFT(Cockpit!$O$5,1)="A",H69,IF(CH69=1,(CK69+CI69)/2,IF(LEFT(Cockpit!$O$5,1)="B",(CK69+BF69)/2,MAX((CK69+BF69)/2,H69))))</f>
        <v>9.5</v>
      </c>
      <c r="BE69" s="50" t="n">
        <f aca="false">BD69*G69</f>
        <v>2121.825</v>
      </c>
      <c r="BF69" s="50" t="n">
        <f aca="false">ROUNDUP(CK69+MAX(CL69,2*(J69/IF(CG69&gt;0,CG69,MAX(0.1,N(Cockpit!$O$6)))-CK69)),0)</f>
        <v>17</v>
      </c>
      <c r="BG69" s="51" t="n">
        <f aca="false">IF(BC69&gt;0,J69/BC69,-1)</f>
        <v>0.413793103448276</v>
      </c>
      <c r="BH69" s="51" t="n">
        <f aca="false">IF(AND(OR(CF69="L1",CF69="L23",CF69="LIFT"),BC69&gt;0),SUMIFS($BC$7:$BC$1843,$CF$7:$CF$1843,CF69,$BG$7:$BG$1843,"&gt;"&amp;BG69)+SUMIFS($BC$7:$BC$1843,$CF$7:$CF$1843,CF69,$BG$7:$BG$1843,BG69,$BW$7:$BW$1843,"&lt;="&amp;BW69),"")</f>
        <v>10678.9363553114</v>
      </c>
      <c r="BI69" s="58" t="n">
        <f aca="false">IF(BH69="",0,MAX(0,MIN(1,(IF(CF69="L1",Parameter!$H$5,IF(CF69="L23",Parameter!$H$6+Parameter!$H$7,Parameter!$H$5+Parameter!$H$6+Parameter!$H$7))-(BH69-BC69))/BC69)))</f>
        <v>1</v>
      </c>
      <c r="BJ69" s="48" t="str">
        <f aca="false">IF(AI69&lt;=0,"",IF(CF69="Aussen","Aussenlager",IF(CF69="-","Nicht im Lift",IF(AO69&gt;=1,"Lift",IF(AO69&lt;=0,"Aussenlager","teilweise")))))</f>
        <v>Lift</v>
      </c>
      <c r="BK69" s="48" t="str">
        <f aca="false">IF(AS69&lt;=0,"",IF(CF69="Aussen","Aussenlager",IF(CF69="-","Nicht im Lift",IF(AY69&gt;=1,"Lift",IF(AY69&lt;=0,"Aussenlager","teilweise")))))</f>
        <v>Lift</v>
      </c>
      <c r="BL69" s="48" t="str">
        <f aca="false">IF(BC69&lt;=0,"",IF(CF69="Aussen","Aussenlager",IF(CF69="-","Nicht im Lift",IF(BI69&gt;=1,"Lift",IF(BI69&lt;=0,"Aussenlager","teilweise")))))</f>
        <v>Lift</v>
      </c>
      <c r="BM69" s="48" t="str">
        <f aca="false">IF(A69="","",IF(BV69=1,"Neu; ","")&amp;IF(AND(BV69=0,BQ69&lt;0),"negativer Bestand (Export "&amp;BQ69&amp;"); ","")&amp;IF(J69&lt;=0,"Kein Verbrauch; ","")&amp;IF(CQ69&gt;0,"Lift "&amp;W69&amp;" lt. Liftbericht (Fach "&amp;X69&amp;" Stk); ",IF(CA69=1,"Gebinde geschätzt ("&amp;T69&amp;"); ",IF(BZ69=1,"Lose – Tablare geschätzt; ","")))&amp;IF(H69&gt;AV69,"Überbestand "&amp;ROUND(H69-AV69,0)&amp;" Stk / CHF "&amp;ROUND((H69-AV69)*G69,0)&amp;"; ","")&amp;IF(AND(CH69=1,CI69&lt;CJ69),"MAX &lt; MB+LG; ","")&amp;IF(AND(CP69&gt;0,CO69*10&gt;CP69),"zu hoch für Tablar; ","")&amp;IF(AND(BV69=0,OR(CH69=1,AA69&lt;&gt;"",U69&lt;&gt;"",V69&lt;&gt;"",AB69&lt;&gt;"")),"manuell übersteuert; ","")&amp;IF(AND(BZ69=0,R69=0),"Gebinde unbekannt / Stellmass fehlt; ","")&amp;IF(AND(BZ69=0,N(V69)&lt;=0,N(Q69)&lt;=0),"Menge pro Gebinde fehlt (Ist = 1 Gebinde); ","")&amp;BU69)</f>
        <v>Überbestand 7 Stk / CHF 1563; </v>
      </c>
      <c r="BN69" s="48"/>
      <c r="BO69" s="48"/>
      <c r="BP69" s="55"/>
      <c r="BQ69" s="50" t="n">
        <v>15</v>
      </c>
      <c r="BR69" s="50" t="n">
        <v>10</v>
      </c>
      <c r="BS69" s="49" t="n">
        <v>3779.35000000001</v>
      </c>
      <c r="BT69" s="50" t="n">
        <v>30</v>
      </c>
      <c r="BU69" s="48"/>
      <c r="BV69" s="53" t="n">
        <v>0</v>
      </c>
      <c r="BW69" s="53" t="n">
        <v>69</v>
      </c>
      <c r="BX69" s="48" t="str">
        <f aca="false">IF(U69&lt;&gt;"",UPPER(TRIM(U69)),IF(CA69=1,UPPER(VLOOKUP(T69,Parameter!$I$27:$K$29,2,0)),IF(P69="","LOSE",P69)))</f>
        <v>S72</v>
      </c>
      <c r="BY69" s="50" t="n">
        <f aca="false">IF(BX69="LOSE",1,IF(N(V69)&gt;0,V69,IF(CA69=1,MAX(1,N(VLOOKUP(T69,Parameter!$I$27:$K$29,3,0)),H69,N(N69)),IF(N(Q69)&gt;0,Q69,MAX(1,H69)))))</f>
        <v>28</v>
      </c>
      <c r="BZ69" s="53" t="n">
        <f aca="false">IF(BX69="LOSE",1,0)</f>
        <v>0</v>
      </c>
      <c r="CA69" s="53" t="n">
        <f aca="false">IF(AND(U69="",OR(P69="",P69="LOSE"),T69&lt;&gt;"",N(S69)&lt;=0,ISNUMBER(MATCH(T69,Parameter!$I$27:$I$29,0))),1,0)</f>
        <v>0</v>
      </c>
      <c r="CB69" s="53" t="n">
        <f aca="false">IF(CQ69&gt;0,INDEX(Parameter!$H$5:$H$7,W69)/INDEX(Parameter!$E$5:$E$7,W69),IF(AND(BZ69=0,N(IFERROR(VLOOKUP(BX69,'Gebinde-Kategorie'!$A$5:$N$45,14,0),0))&gt;0),VLOOKUP(BX69,'Gebinde-Kategorie'!$A$5:$N$45,14,0)*10+Parameter!$M$23,Parameter!$M$24))</f>
        <v>435</v>
      </c>
      <c r="CC69" s="48" t="n">
        <f aca="false">IF(AND(Parameter!$B$19="Ja",E69&lt;&gt;"",ISNUMBER(MATCH(E69,Parameter!$I$35:$I$52,0))),VLOOKUP(E69,Parameter!$I$35:$J$52,2,0),IFERROR(VLOOKUP(D69,Parameter!$A$35:$C$64,2,0),"Nein"))</f>
        <v>1</v>
      </c>
      <c r="CD69" s="52" t="n">
        <f aca="false">IF(BZ69=0,0,IF(N(S69)&gt;0,S69,IFERROR(VLOOKUP(D69,Parameter!$A$35:$C$64,3,0)+0,0)))</f>
        <v>0</v>
      </c>
      <c r="CE69" s="48" t="n">
        <f aca="false">IF(AA69&lt;&gt;"",AA69,Z69)</f>
        <v>1</v>
      </c>
      <c r="CF69" s="48" t="str">
        <f aca="false">IF(OR(CE69=1,CE69=2,CE69=3),IF(Parameter!$E$27="Ja","LIFT",IF(CE69=1,"L1","L23")),IF(CE69="Aussen","Aussen","-"))</f>
        <v>LIFT</v>
      </c>
      <c r="CG69" s="59" t="n">
        <f aca="false">IF(N(AB69)&gt;0,AB69,0)</f>
        <v>0</v>
      </c>
      <c r="CH69" s="53" t="n">
        <f aca="false">IF(ISNUMBER(AE69),1,0)</f>
        <v>0</v>
      </c>
      <c r="CI69" s="50" t="n">
        <f aca="false">N(AE69)</f>
        <v>0</v>
      </c>
      <c r="CJ69" s="50" t="n">
        <f aca="false">N(M69)+N(N69)</f>
        <v>17</v>
      </c>
      <c r="CK69" s="50" t="n">
        <f aca="false">N(M69)</f>
        <v>2</v>
      </c>
      <c r="CL69" s="50" t="n">
        <f aca="false">N(N69)</f>
        <v>15</v>
      </c>
      <c r="CM69" s="50" t="n">
        <f aca="false">ROUNDUP(H69/BY69,0)</f>
        <v>1</v>
      </c>
      <c r="CN69" s="50" t="n">
        <f aca="false">ROUNDUP(CI69/BY69,0)</f>
        <v>0</v>
      </c>
      <c r="CO69" s="53" t="n">
        <f aca="false">IF(BZ69=1,0,IFERROR(VLOOKUP(BX69,'Gebinde-Kategorie'!$A$5:$N$45,5,0)+0,0))</f>
        <v>40</v>
      </c>
      <c r="CP69" s="53" t="n">
        <f aca="false">IFERROR(IF(OR(CE69=1,CE69=2,CE69=3),N(INDEX(Parameter!$I$5:$I$7,CE69)),0),0)</f>
        <v>0</v>
      </c>
      <c r="CQ69" s="52" t="n">
        <f aca="false">IF(AND(Parameter!$B$21="Ja",ISNUMBER(W69),N(X69)&gt;0),IFERROR(N(INDEX(Parameter!$L$5:$L$7,W69))*INDEX(Parameter!$E$5:$E$7,W69)*X69/SUMIFS($X$7:$X$1843,$W$7:$W$1843,W69),0),0)</f>
        <v>0</v>
      </c>
    </row>
    <row r="70" customFormat="false" ht="15" hidden="false" customHeight="false" outlineLevel="0" collapsed="false">
      <c r="A70" s="48" t="s">
        <v>349</v>
      </c>
      <c r="B70" s="48" t="s">
        <v>350</v>
      </c>
      <c r="C70" s="48" t="s">
        <v>173</v>
      </c>
      <c r="D70" s="48" t="s">
        <v>182</v>
      </c>
      <c r="E70" s="48"/>
      <c r="F70" s="48" t="s">
        <v>227</v>
      </c>
      <c r="G70" s="49" t="n">
        <v>1842</v>
      </c>
      <c r="H70" s="50" t="n">
        <f aca="false">MAX(0,IF(AND(Parameter!$B$21="Ja",ISNUMBER(Y70)),Y70,IF(Parameter!$B$20="Jahresanfang 2025 + Export",BR70+BQ70,BQ70)))</f>
        <v>2</v>
      </c>
      <c r="I70" s="50" t="n">
        <f aca="false">H70*G70</f>
        <v>3684</v>
      </c>
      <c r="J70" s="50" t="n">
        <f aca="false">BT70*Parameter!$B$18</f>
        <v>0</v>
      </c>
      <c r="K70" s="51" t="n">
        <v>1</v>
      </c>
      <c r="L70" s="52" t="n">
        <v>0</v>
      </c>
      <c r="M70" s="50" t="n">
        <v>0</v>
      </c>
      <c r="N70" s="50" t="n">
        <v>1</v>
      </c>
      <c r="O70" s="53" t="n">
        <v>70</v>
      </c>
      <c r="P70" s="48" t="s">
        <v>311</v>
      </c>
      <c r="Q70" s="50" t="n">
        <v>2</v>
      </c>
      <c r="R70" s="53" t="n">
        <f aca="false">IF(BZ70=1,0,IFERROR(VLOOKUP(BX70,'Gebinde-Kategorie'!$A$5:$N$45,13,0)+0,0))</f>
        <v>26</v>
      </c>
      <c r="S70" s="54"/>
      <c r="T70" s="55"/>
      <c r="U70" s="55"/>
      <c r="V70" s="55"/>
      <c r="W70" s="48"/>
      <c r="X70" s="50"/>
      <c r="Y70" s="50"/>
      <c r="Z70" s="48" t="n">
        <f aca="false">IF(A70="","",IF(AND(Parameter!$B$21="Ja",ISNUMBER(W70)),W70,IF(CC70="2+3",IF(ISNUMBER(SEARCH("grosser Artikel",BU70)),2,IFERROR(VLOOKUP(BX70,Parameter!$F$35:$G$64,2,0),2)),IF(OR(CC70="Nein",CC70=""),"-",CC70))))</f>
        <v>3</v>
      </c>
      <c r="AA70" s="55"/>
      <c r="AB70" s="56"/>
      <c r="AC70" s="50" t="n">
        <f aca="false">AV70</f>
        <v>1</v>
      </c>
      <c r="AD70" s="50" t="n">
        <f aca="false">MAX(AV70,H70)</f>
        <v>2</v>
      </c>
      <c r="AE70" s="57"/>
      <c r="AF70" s="50" t="n">
        <f aca="false">IF(LEFT(Cockpit!$C$5,1)="A",H70,IF(Parameter!$E$30="MAX-Bestand",IF(CH70=1,CI70,IF(LEFT(Cockpit!$C$5,1)="B",AL70,MAX(AL70,H70))),ROUNDUP(AJ70,0)))</f>
        <v>2</v>
      </c>
      <c r="AG70" s="50" t="n">
        <f aca="false">IF(BZ70=1,0,ROUNDUP(AF70/BY70,0))</f>
        <v>1</v>
      </c>
      <c r="AH70" s="52" t="n">
        <f aca="false">IF(CQ70&gt;0,CQ70*MAX(1,AF70/X70),IF(BZ70=1,IF(AF70&lt;=0,0,CD70*MAX(1,IF(H70&gt;0,AF70/H70,1))),IF(R70&gt;0,AG70/R70,0))/MAX(0.1,N(Parameter!$M$21)))</f>
        <v>0.0384615384615385</v>
      </c>
      <c r="AI70" s="50" t="n">
        <f aca="false">AH70*CB70</f>
        <v>5.96153846153846</v>
      </c>
      <c r="AJ70" s="51" t="n">
        <f aca="false">IF(LEFT(Cockpit!$C$5,1)="A",H70,IF(CH70=1,(CK70+CI70)/2,IF(LEFT(Cockpit!$C$5,1)="B",(CK70+AL70)/2,MAX((CK70+AL70)/2,H70))))</f>
        <v>2</v>
      </c>
      <c r="AK70" s="50" t="n">
        <f aca="false">AJ70*G70</f>
        <v>3684</v>
      </c>
      <c r="AL70" s="50" t="n">
        <f aca="false">ROUNDUP(CK70+MAX(CL70,2*(J70/IF(CG70&gt;0,CG70,MAX(0.1,N(Cockpit!$C$6)))-CK70)),0)</f>
        <v>1</v>
      </c>
      <c r="AM70" s="51" t="n">
        <f aca="false">IF(AI70&gt;0,J70/AI70,-1)</f>
        <v>0</v>
      </c>
      <c r="AN70" s="51" t="n">
        <f aca="false">IF(AND(OR(CF70="L1",CF70="L23",CF70="LIFT"),AI70&gt;0),SUMIFS($AI$7:$AI$1843,$CF$7:$CF$1843,CF70,$AM$7:$AM$1843,"&gt;"&amp;AM70)+SUMIFS($AI$7:$AI$1843,$CF$7:$CF$1843,CF70,$AM$7:$AM$1843,AM70,$BW$7:$BW$1843,"&lt;="&amp;BW70),"")</f>
        <v>26506.9983314708</v>
      </c>
      <c r="AO70" s="58" t="n">
        <f aca="false">IF(AN70="",0,MAX(0,MIN(1,(IF(CF70="L1",Parameter!$H$5,IF(CF70="L23",Parameter!$H$6+Parameter!$H$7,Parameter!$H$5+Parameter!$H$6+Parameter!$H$7))-(AN70-AI70))/AI70)))</f>
        <v>1</v>
      </c>
      <c r="AP70" s="50" t="n">
        <f aca="false">IF(LEFT(Cockpit!$I$5,1)="A",H70,IF(Parameter!$E$30="MAX-Bestand",IF(CH70=1,CI70,IF(LEFT(Cockpit!$I$5,1)="B",AV70,MAX(AV70,H70))),ROUNDUP(AT70,0)))</f>
        <v>2</v>
      </c>
      <c r="AQ70" s="50" t="n">
        <f aca="false">IF(BZ70=1,0,ROUNDUP(AP70/BY70,0))</f>
        <v>1</v>
      </c>
      <c r="AR70" s="52" t="n">
        <f aca="false">IF(CQ70&gt;0,CQ70*MAX(1,AP70/X70),IF(BZ70=1,IF(AP70&lt;=0,0,CD70*MAX(1,IF(H70&gt;0,AP70/H70,1))),IF(R70&gt;0,AQ70/R70,0))/MAX(0.1,N(Parameter!$M$21)))</f>
        <v>0.0384615384615385</v>
      </c>
      <c r="AS70" s="50" t="n">
        <f aca="false">AR70*CB70</f>
        <v>5.96153846153846</v>
      </c>
      <c r="AT70" s="51" t="n">
        <f aca="false">IF(LEFT(Cockpit!$I$5,1)="A",H70,IF(CH70=1,(CK70+CI70)/2,IF(LEFT(Cockpit!$I$5,1)="B",(CK70+AV70)/2,MAX((CK70+AV70)/2,H70))))</f>
        <v>2</v>
      </c>
      <c r="AU70" s="50" t="n">
        <f aca="false">AT70*G70</f>
        <v>3684</v>
      </c>
      <c r="AV70" s="50" t="n">
        <f aca="false">ROUNDUP(CK70+MAX(CL70,2*(J70/IF(CG70&gt;0,CG70,MAX(0.1,N(Cockpit!$I$6)))-CK70)),0)</f>
        <v>1</v>
      </c>
      <c r="AW70" s="51" t="n">
        <f aca="false">IF(AS70&gt;0,J70/AS70,-1)</f>
        <v>0</v>
      </c>
      <c r="AX70" s="51" t="n">
        <f aca="false">IF(AND(OR(CF70="L1",CF70="L23",CF70="LIFT"),AS70&gt;0),SUMIFS($AS$7:$AS$1843,$CF$7:$CF$1843,CF70,$AW$7:$AW$1843,"&gt;"&amp;AW70)+SUMIFS($AS$7:$AS$1843,$CF$7:$CF$1843,CF70,$AW$7:$AW$1843,AW70,$BW$7:$BW$1843,"&lt;="&amp;BW70),"")</f>
        <v>31860.1469728482</v>
      </c>
      <c r="AY70" s="58" t="n">
        <f aca="false">IF(AX70="",0,MAX(0,MIN(1,(IF(CF70="L1",Parameter!$H$5,IF(CF70="L23",Parameter!$H$6+Parameter!$H$7,Parameter!$H$5+Parameter!$H$6+Parameter!$H$7))-(AX70-AS70))/AS70)))</f>
        <v>1</v>
      </c>
      <c r="AZ70" s="50" t="n">
        <f aca="false">IF(LEFT(Cockpit!$O$5,1)="A",H70,IF(Parameter!$E$30="MAX-Bestand",IF(CH70=1,CI70,IF(LEFT(Cockpit!$O$5,1)="B",BF70,MAX(BF70,H70))),ROUNDUP(BD70,0)))</f>
        <v>1</v>
      </c>
      <c r="BA70" s="50" t="n">
        <f aca="false">IF(BZ70=1,0,ROUNDUP(AZ70/BY70,0))</f>
        <v>1</v>
      </c>
      <c r="BB70" s="52" t="n">
        <f aca="false">IF(CQ70&gt;0,CQ70*MAX(1,AZ70/X70),IF(BZ70=1,IF(AZ70&lt;=0,0,CD70*MAX(1,IF(H70&gt;0,AZ70/H70,1))),IF(R70&gt;0,BA70/R70,0))/MAX(0.1,N(Parameter!$M$21)))</f>
        <v>0.0384615384615385</v>
      </c>
      <c r="BC70" s="50" t="n">
        <f aca="false">BB70*CB70</f>
        <v>5.96153846153846</v>
      </c>
      <c r="BD70" s="51" t="n">
        <f aca="false">IF(LEFT(Cockpit!$O$5,1)="A",H70,IF(CH70=1,(CK70+CI70)/2,IF(LEFT(Cockpit!$O$5,1)="B",(CK70+BF70)/2,MAX((CK70+BF70)/2,H70))))</f>
        <v>0.5</v>
      </c>
      <c r="BE70" s="50" t="n">
        <f aca="false">BD70*G70</f>
        <v>921</v>
      </c>
      <c r="BF70" s="50" t="n">
        <f aca="false">ROUNDUP(CK70+MAX(CL70,2*(J70/IF(CG70&gt;0,CG70,MAX(0.1,N(Cockpit!$O$6)))-CK70)),0)</f>
        <v>1</v>
      </c>
      <c r="BG70" s="51" t="n">
        <f aca="false">IF(BC70&gt;0,J70/BC70,-1)</f>
        <v>0</v>
      </c>
      <c r="BH70" s="51" t="n">
        <f aca="false">IF(AND(OR(CF70="L1",CF70="L23",CF70="LIFT"),BC70&gt;0),SUMIFS($BC$7:$BC$1843,$CF$7:$CF$1843,CF70,$BG$7:$BG$1843,"&gt;"&amp;BG70)+SUMIFS($BC$7:$BC$1843,$CF$7:$CF$1843,CF70,$BG$7:$BG$1843,BG70,$BW$7:$BW$1843,"&lt;="&amp;BW70),"")</f>
        <v>26056.7288161462</v>
      </c>
      <c r="BI70" s="58" t="n">
        <f aca="false">IF(BH70="",0,MAX(0,MIN(1,(IF(CF70="L1",Parameter!$H$5,IF(CF70="L23",Parameter!$H$6+Parameter!$H$7,Parameter!$H$5+Parameter!$H$6+Parameter!$H$7))-(BH70-BC70))/BC70)))</f>
        <v>1</v>
      </c>
      <c r="BJ70" s="48" t="str">
        <f aca="false">IF(AI70&lt;=0,"",IF(CF70="Aussen","Aussenlager",IF(CF70="-","Nicht im Lift",IF(AO70&gt;=1,"Lift",IF(AO70&lt;=0,"Aussenlager","teilweise")))))</f>
        <v>Lift</v>
      </c>
      <c r="BK70" s="48" t="str">
        <f aca="false">IF(AS70&lt;=0,"",IF(CF70="Aussen","Aussenlager",IF(CF70="-","Nicht im Lift",IF(AY70&gt;=1,"Lift",IF(AY70&lt;=0,"Aussenlager","teilweise")))))</f>
        <v>Lift</v>
      </c>
      <c r="BL70" s="48" t="str">
        <f aca="false">IF(BC70&lt;=0,"",IF(CF70="Aussen","Aussenlager",IF(CF70="-","Nicht im Lift",IF(BI70&gt;=1,"Lift",IF(BI70&lt;=0,"Aussenlager","teilweise")))))</f>
        <v>Lift</v>
      </c>
      <c r="BM70" s="48" t="str">
        <f aca="false">IF(A70="","",IF(BV70=1,"Neu; ","")&amp;IF(AND(BV70=0,BQ70&lt;0),"negativer Bestand (Export "&amp;BQ70&amp;"); ","")&amp;IF(J70&lt;=0,"Kein Verbrauch; ","")&amp;IF(CQ70&gt;0,"Lift "&amp;W70&amp;" lt. Liftbericht (Fach "&amp;X70&amp;" Stk); ",IF(CA70=1,"Gebinde geschätzt ("&amp;T70&amp;"); ",IF(BZ70=1,"Lose – Tablare geschätzt; ","")))&amp;IF(H70&gt;AV70,"Überbestand "&amp;ROUND(H70-AV70,0)&amp;" Stk / CHF "&amp;ROUND((H70-AV70)*G70,0)&amp;"; ","")&amp;IF(AND(CH70=1,CI70&lt;CJ70),"MAX &lt; MB+LG; ","")&amp;IF(AND(CP70&gt;0,CO70*10&gt;CP70),"zu hoch für Tablar; ","")&amp;IF(AND(BV70=0,OR(CH70=1,AA70&lt;&gt;"",U70&lt;&gt;"",V70&lt;&gt;"",AB70&lt;&gt;"")),"manuell übersteuert; ","")&amp;IF(AND(BZ70=0,R70=0),"Gebinde unbekannt / Stellmass fehlt; ","")&amp;IF(AND(BZ70=0,N(V70)&lt;=0,N(Q70)&lt;=0),"Menge pro Gebinde fehlt (Ist = 1 Gebinde); ","")&amp;BU70)</f>
        <v>Kein Verbrauch; Überbestand 1 Stk / CHF 1842; </v>
      </c>
      <c r="BN70" s="48"/>
      <c r="BO70" s="48"/>
      <c r="BP70" s="55"/>
      <c r="BQ70" s="50" t="n">
        <v>2</v>
      </c>
      <c r="BR70" s="50" t="n">
        <v>0</v>
      </c>
      <c r="BS70" s="49" t="n">
        <v>3684</v>
      </c>
      <c r="BT70" s="50" t="n">
        <v>0</v>
      </c>
      <c r="BU70" s="48"/>
      <c r="BV70" s="53" t="n">
        <v>0</v>
      </c>
      <c r="BW70" s="53" t="n">
        <v>70</v>
      </c>
      <c r="BX70" s="48" t="str">
        <f aca="false">IF(U70&lt;&gt;"",UPPER(TRIM(U70)),IF(CA70=1,UPPER(VLOOKUP(T70,Parameter!$I$27:$K$29,2,0)),IF(P70="","LOSE",P70)))</f>
        <v>S51</v>
      </c>
      <c r="BY70" s="50" t="n">
        <f aca="false">IF(BX70="LOSE",1,IF(N(V70)&gt;0,V70,IF(CA70=1,MAX(1,N(VLOOKUP(T70,Parameter!$I$27:$K$29,3,0)),H70,N(N70)),IF(N(Q70)&gt;0,Q70,MAX(1,H70)))))</f>
        <v>2</v>
      </c>
      <c r="BZ70" s="53" t="n">
        <f aca="false">IF(BX70="LOSE",1,0)</f>
        <v>0</v>
      </c>
      <c r="CA70" s="53" t="n">
        <f aca="false">IF(AND(U70="",OR(P70="",P70="LOSE"),T70&lt;&gt;"",N(S70)&lt;=0,ISNUMBER(MATCH(T70,Parameter!$I$27:$I$29,0))),1,0)</f>
        <v>0</v>
      </c>
      <c r="CB70" s="53" t="n">
        <f aca="false">IF(CQ70&gt;0,INDEX(Parameter!$H$5:$H$7,W70)/INDEX(Parameter!$E$5:$E$7,W70),IF(AND(BZ70=0,N(IFERROR(VLOOKUP(BX70,'Gebinde-Kategorie'!$A$5:$N$45,14,0),0))&gt;0),VLOOKUP(BX70,'Gebinde-Kategorie'!$A$5:$N$45,14,0)*10+Parameter!$M$23,Parameter!$M$24))</f>
        <v>155</v>
      </c>
      <c r="CC70" s="48" t="str">
        <f aca="false">IF(AND(Parameter!$B$19="Ja",E70&lt;&gt;"",ISNUMBER(MATCH(E70,Parameter!$I$35:$I$52,0))),VLOOKUP(E70,Parameter!$I$35:$J$52,2,0),IFERROR(VLOOKUP(D70,Parameter!$A$35:$C$64,2,0),"Nein"))</f>
        <v>2+3</v>
      </c>
      <c r="CD70" s="52" t="n">
        <f aca="false">IF(BZ70=0,0,IF(N(S70)&gt;0,S70,IFERROR(VLOOKUP(D70,Parameter!$A$35:$C$64,3,0)+0,0)))</f>
        <v>0</v>
      </c>
      <c r="CE70" s="48" t="n">
        <f aca="false">IF(AA70&lt;&gt;"",AA70,Z70)</f>
        <v>3</v>
      </c>
      <c r="CF70" s="48" t="str">
        <f aca="false">IF(OR(CE70=1,CE70=2,CE70=3),IF(Parameter!$E$27="Ja","LIFT",IF(CE70=1,"L1","L23")),IF(CE70="Aussen","Aussen","-"))</f>
        <v>LIFT</v>
      </c>
      <c r="CG70" s="59" t="n">
        <f aca="false">IF(N(AB70)&gt;0,AB70,0)</f>
        <v>0</v>
      </c>
      <c r="CH70" s="53" t="n">
        <f aca="false">IF(ISNUMBER(AE70),1,0)</f>
        <v>0</v>
      </c>
      <c r="CI70" s="50" t="n">
        <f aca="false">N(AE70)</f>
        <v>0</v>
      </c>
      <c r="CJ70" s="50" t="n">
        <f aca="false">N(M70)+N(N70)</f>
        <v>1</v>
      </c>
      <c r="CK70" s="50" t="n">
        <f aca="false">N(M70)</f>
        <v>0</v>
      </c>
      <c r="CL70" s="50" t="n">
        <f aca="false">N(N70)</f>
        <v>1</v>
      </c>
      <c r="CM70" s="50" t="n">
        <f aca="false">ROUNDUP(H70/BY70,0)</f>
        <v>1</v>
      </c>
      <c r="CN70" s="50" t="n">
        <f aca="false">ROUNDUP(CI70/BY70,0)</f>
        <v>0</v>
      </c>
      <c r="CO70" s="53" t="n">
        <f aca="false">IF(BZ70=1,0,IFERROR(VLOOKUP(BX70,'Gebinde-Kategorie'!$A$5:$N$45,5,0)+0,0))</f>
        <v>11</v>
      </c>
      <c r="CP70" s="53" t="n">
        <f aca="false">IFERROR(IF(OR(CE70=1,CE70=2,CE70=3),N(INDEX(Parameter!$I$5:$I$7,CE70)),0),0)</f>
        <v>0</v>
      </c>
      <c r="CQ70" s="52" t="n">
        <f aca="false">IF(AND(Parameter!$B$21="Ja",ISNUMBER(W70),N(X70)&gt;0),IFERROR(N(INDEX(Parameter!$L$5:$L$7,W70))*INDEX(Parameter!$E$5:$E$7,W70)*X70/SUMIFS($X$7:$X$1843,$W$7:$W$1843,W70),0),0)</f>
        <v>0</v>
      </c>
    </row>
    <row r="71" customFormat="false" ht="15" hidden="false" customHeight="false" outlineLevel="0" collapsed="false">
      <c r="A71" s="48" t="s">
        <v>351</v>
      </c>
      <c r="B71" s="48" t="s">
        <v>352</v>
      </c>
      <c r="C71" s="48" t="s">
        <v>173</v>
      </c>
      <c r="D71" s="48" t="s">
        <v>182</v>
      </c>
      <c r="E71" s="48" t="s">
        <v>175</v>
      </c>
      <c r="F71" s="48" t="s">
        <v>227</v>
      </c>
      <c r="G71" s="49" t="n">
        <v>136.73</v>
      </c>
      <c r="H71" s="50" t="n">
        <f aca="false">MAX(0,IF(AND(Parameter!$B$21="Ja",ISNUMBER(Y71)),Y71,IF(Parameter!$B$20="Jahresanfang 2025 + Export",BR71+BQ71,BQ71)))</f>
        <v>31</v>
      </c>
      <c r="I71" s="50" t="n">
        <f aca="false">H71*G71</f>
        <v>4238.63</v>
      </c>
      <c r="J71" s="50" t="n">
        <f aca="false">BT71*Parameter!$B$18</f>
        <v>30</v>
      </c>
      <c r="K71" s="51" t="n">
        <v>15</v>
      </c>
      <c r="L71" s="52" t="n">
        <v>2</v>
      </c>
      <c r="M71" s="50" t="n">
        <v>1</v>
      </c>
      <c r="N71" s="50" t="n">
        <v>30</v>
      </c>
      <c r="O71" s="53" t="n">
        <v>21</v>
      </c>
      <c r="P71" s="48" t="s">
        <v>183</v>
      </c>
      <c r="Q71" s="50" t="n">
        <v>24</v>
      </c>
      <c r="R71" s="53" t="n">
        <f aca="false">IF(BZ71=1,0,IFERROR(VLOOKUP(BX71,'Gebinde-Kategorie'!$A$5:$N$45,13,0)+0,0))</f>
        <v>6</v>
      </c>
      <c r="S71" s="54"/>
      <c r="T71" s="55"/>
      <c r="U71" s="55"/>
      <c r="V71" s="55"/>
      <c r="W71" s="48"/>
      <c r="X71" s="50"/>
      <c r="Y71" s="50"/>
      <c r="Z71" s="48" t="n">
        <f aca="false">IF(A71="","",IF(AND(Parameter!$B$21="Ja",ISNUMBER(W71)),W71,IF(CC71="2+3",IF(ISNUMBER(SEARCH("grosser Artikel",BU71)),2,IFERROR(VLOOKUP(BX71,Parameter!$F$35:$G$64,2,0),2)),IF(OR(CC71="Nein",CC71=""),"-",CC71))))</f>
        <v>1</v>
      </c>
      <c r="AA71" s="55"/>
      <c r="AB71" s="56"/>
      <c r="AC71" s="50" t="n">
        <f aca="false">AV71</f>
        <v>31</v>
      </c>
      <c r="AD71" s="50" t="n">
        <f aca="false">MAX(AV71,H71)</f>
        <v>31</v>
      </c>
      <c r="AE71" s="57"/>
      <c r="AF71" s="50" t="n">
        <f aca="false">IF(LEFT(Cockpit!$C$5,1)="A",H71,IF(Parameter!$E$30="MAX-Bestand",IF(CH71=1,CI71,IF(LEFT(Cockpit!$C$5,1)="B",AL71,MAX(AL71,H71))),ROUNDUP(AJ71,0)))</f>
        <v>31</v>
      </c>
      <c r="AG71" s="50" t="n">
        <f aca="false">IF(BZ71=1,0,ROUNDUP(AF71/BY71,0))</f>
        <v>2</v>
      </c>
      <c r="AH71" s="52" t="n">
        <f aca="false">IF(CQ71&gt;0,CQ71*MAX(1,AF71/X71),IF(BZ71=1,IF(AF71&lt;=0,0,CD71*MAX(1,IF(H71&gt;0,AF71/H71,1))),IF(R71&gt;0,AG71/R71,0))/MAX(0.1,N(Parameter!$M$21)))</f>
        <v>0.333333333333333</v>
      </c>
      <c r="AI71" s="50" t="n">
        <f aca="false">AH71*CB71</f>
        <v>78.3333333333333</v>
      </c>
      <c r="AJ71" s="51" t="n">
        <f aca="false">IF(LEFT(Cockpit!$C$5,1)="A",H71,IF(CH71=1,(CK71+CI71)/2,IF(LEFT(Cockpit!$C$5,1)="B",(CK71+AL71)/2,MAX((CK71+AL71)/2,H71))))</f>
        <v>31</v>
      </c>
      <c r="AK71" s="50" t="n">
        <f aca="false">AJ71*G71</f>
        <v>4238.63</v>
      </c>
      <c r="AL71" s="50" t="n">
        <f aca="false">ROUNDUP(CK71+MAX(CL71,2*(J71/IF(CG71&gt;0,CG71,MAX(0.1,N(Cockpit!$C$6)))-CK71)),0)</f>
        <v>31</v>
      </c>
      <c r="AM71" s="51" t="n">
        <f aca="false">IF(AI71&gt;0,J71/AI71,-1)</f>
        <v>0.382978723404255</v>
      </c>
      <c r="AN71" s="51" t="n">
        <f aca="false">IF(AND(OR(CF71="L1",CF71="L23",CF71="LIFT"),AI71&gt;0),SUMIFS($AI$7:$AI$1843,$CF$7:$CF$1843,CF71,$AM$7:$AM$1843,"&gt;"&amp;AM71)+SUMIFS($AI$7:$AI$1843,$CF$7:$CF$1843,CF71,$AM$7:$AM$1843,AM71,$BW$7:$BW$1843,"&lt;="&amp;BW71),"")</f>
        <v>10380.9999715445</v>
      </c>
      <c r="AO71" s="58" t="n">
        <f aca="false">IF(AN71="",0,MAX(0,MIN(1,(IF(CF71="L1",Parameter!$H$5,IF(CF71="L23",Parameter!$H$6+Parameter!$H$7,Parameter!$H$5+Parameter!$H$6+Parameter!$H$7))-(AN71-AI71))/AI71)))</f>
        <v>1</v>
      </c>
      <c r="AP71" s="50" t="n">
        <f aca="false">IF(LEFT(Cockpit!$I$5,1)="A",H71,IF(Parameter!$E$30="MAX-Bestand",IF(CH71=1,CI71,IF(LEFT(Cockpit!$I$5,1)="B",AV71,MAX(AV71,H71))),ROUNDUP(AT71,0)))</f>
        <v>31</v>
      </c>
      <c r="AQ71" s="50" t="n">
        <f aca="false">IF(BZ71=1,0,ROUNDUP(AP71/BY71,0))</f>
        <v>2</v>
      </c>
      <c r="AR71" s="52" t="n">
        <f aca="false">IF(CQ71&gt;0,CQ71*MAX(1,AP71/X71),IF(BZ71=1,IF(AP71&lt;=0,0,CD71*MAX(1,IF(H71&gt;0,AP71/H71,1))),IF(R71&gt;0,AQ71/R71,0))/MAX(0.1,N(Parameter!$M$21)))</f>
        <v>0.333333333333333</v>
      </c>
      <c r="AS71" s="50" t="n">
        <f aca="false">AR71*CB71</f>
        <v>78.3333333333333</v>
      </c>
      <c r="AT71" s="51" t="n">
        <f aca="false">IF(LEFT(Cockpit!$I$5,1)="A",H71,IF(CH71=1,(CK71+CI71)/2,IF(LEFT(Cockpit!$I$5,1)="B",(CK71+AV71)/2,MAX((CK71+AV71)/2,H71))))</f>
        <v>31</v>
      </c>
      <c r="AU71" s="50" t="n">
        <f aca="false">AT71*G71</f>
        <v>4238.63</v>
      </c>
      <c r="AV71" s="50" t="n">
        <f aca="false">ROUNDUP(CK71+MAX(CL71,2*(J71/IF(CG71&gt;0,CG71,MAX(0.1,N(Cockpit!$I$6)))-CK71)),0)</f>
        <v>31</v>
      </c>
      <c r="AW71" s="51" t="n">
        <f aca="false">IF(AS71&gt;0,J71/AS71,-1)</f>
        <v>0.382978723404255</v>
      </c>
      <c r="AX71" s="51" t="n">
        <f aca="false">IF(AND(OR(CF71="L1",CF71="L23",CF71="LIFT"),AS71&gt;0),SUMIFS($AS$7:$AS$1843,$CF$7:$CF$1843,CF71,$AW$7:$AW$1843,"&gt;"&amp;AW71)+SUMIFS($AS$7:$AS$1843,$CF$7:$CF$1843,CF71,$AW$7:$AW$1843,AW71,$BW$7:$BW$1843,"&lt;="&amp;BW71),"")</f>
        <v>13112.7532051282</v>
      </c>
      <c r="AY71" s="58" t="n">
        <f aca="false">IF(AX71="",0,MAX(0,MIN(1,(IF(CF71="L1",Parameter!$H$5,IF(CF71="L23",Parameter!$H$6+Parameter!$H$7,Parameter!$H$5+Parameter!$H$6+Parameter!$H$7))-(AX71-AS71))/AS71)))</f>
        <v>1</v>
      </c>
      <c r="AZ71" s="50" t="n">
        <f aca="false">IF(LEFT(Cockpit!$O$5,1)="A",H71,IF(Parameter!$E$30="MAX-Bestand",IF(CH71=1,CI71,IF(LEFT(Cockpit!$O$5,1)="B",BF71,MAX(BF71,H71))),ROUNDUP(BD71,0)))</f>
        <v>16</v>
      </c>
      <c r="BA71" s="50" t="n">
        <f aca="false">IF(BZ71=1,0,ROUNDUP(AZ71/BY71,0))</f>
        <v>1</v>
      </c>
      <c r="BB71" s="52" t="n">
        <f aca="false">IF(CQ71&gt;0,CQ71*MAX(1,AZ71/X71),IF(BZ71=1,IF(AZ71&lt;=0,0,CD71*MAX(1,IF(H71&gt;0,AZ71/H71,1))),IF(R71&gt;0,BA71/R71,0))/MAX(0.1,N(Parameter!$M$21)))</f>
        <v>0.166666666666667</v>
      </c>
      <c r="BC71" s="50" t="n">
        <f aca="false">BB71*CB71</f>
        <v>39.1666666666667</v>
      </c>
      <c r="BD71" s="51" t="n">
        <f aca="false">IF(LEFT(Cockpit!$O$5,1)="A",H71,IF(CH71=1,(CK71+CI71)/2,IF(LEFT(Cockpit!$O$5,1)="B",(CK71+BF71)/2,MAX((CK71+BF71)/2,H71))))</f>
        <v>16</v>
      </c>
      <c r="BE71" s="50" t="n">
        <f aca="false">BD71*G71</f>
        <v>2187.68</v>
      </c>
      <c r="BF71" s="50" t="n">
        <f aca="false">ROUNDUP(CK71+MAX(CL71,2*(J71/IF(CG71&gt;0,CG71,MAX(0.1,N(Cockpit!$O$6)))-CK71)),0)</f>
        <v>31</v>
      </c>
      <c r="BG71" s="51" t="n">
        <f aca="false">IF(BC71&gt;0,J71/BC71,-1)</f>
        <v>0.765957446808511</v>
      </c>
      <c r="BH71" s="51" t="n">
        <f aca="false">IF(AND(OR(CF71="L1",CF71="L23",CF71="LIFT"),BC71&gt;0),SUMIFS($BC$7:$BC$1843,$CF$7:$CF$1843,CF71,$BG$7:$BG$1843,"&gt;"&amp;BG71)+SUMIFS($BC$7:$BC$1843,$CF$7:$CF$1843,CF71,$BG$7:$BG$1843,BG71,$BW$7:$BW$1843,"&lt;="&amp;BW71),"")</f>
        <v>8961.85302197802</v>
      </c>
      <c r="BI71" s="58" t="n">
        <f aca="false">IF(BH71="",0,MAX(0,MIN(1,(IF(CF71="L1",Parameter!$H$5,IF(CF71="L23",Parameter!$H$6+Parameter!$H$7,Parameter!$H$5+Parameter!$H$6+Parameter!$H$7))-(BH71-BC71))/BC71)))</f>
        <v>1</v>
      </c>
      <c r="BJ71" s="48" t="str">
        <f aca="false">IF(AI71&lt;=0,"",IF(CF71="Aussen","Aussenlager",IF(CF71="-","Nicht im Lift",IF(AO71&gt;=1,"Lift",IF(AO71&lt;=0,"Aussenlager","teilweise")))))</f>
        <v>Lift</v>
      </c>
      <c r="BK71" s="48" t="str">
        <f aca="false">IF(AS71&lt;=0,"",IF(CF71="Aussen","Aussenlager",IF(CF71="-","Nicht im Lift",IF(AY71&gt;=1,"Lift",IF(AY71&lt;=0,"Aussenlager","teilweise")))))</f>
        <v>Lift</v>
      </c>
      <c r="BL71" s="48" t="str">
        <f aca="false">IF(BC71&lt;=0,"",IF(CF71="Aussen","Aussenlager",IF(CF71="-","Nicht im Lift",IF(BI71&gt;=1,"Lift",IF(BI71&lt;=0,"Aussenlager","teilweise")))))</f>
        <v>Lift</v>
      </c>
      <c r="BM71" s="48" t="str">
        <f aca="false">IF(A71="","",IF(BV71=1,"Neu; ","")&amp;IF(AND(BV71=0,BQ71&lt;0),"negativer Bestand (Export "&amp;BQ71&amp;"); ","")&amp;IF(J71&lt;=0,"Kein Verbrauch; ","")&amp;IF(CQ71&gt;0,"Lift "&amp;W71&amp;" lt. Liftbericht (Fach "&amp;X71&amp;" Stk); ",IF(CA71=1,"Gebinde geschätzt ("&amp;T71&amp;"); ",IF(BZ71=1,"Lose – Tablare geschätzt; ","")))&amp;IF(H71&gt;AV71,"Überbestand "&amp;ROUND(H71-AV71,0)&amp;" Stk / CHF "&amp;ROUND((H71-AV71)*G71,0)&amp;"; ","")&amp;IF(AND(CH71=1,CI71&lt;CJ71),"MAX &lt; MB+LG; ","")&amp;IF(AND(CP71&gt;0,CO71*10&gt;CP71),"zu hoch für Tablar; ","")&amp;IF(AND(BV71=0,OR(CH71=1,AA71&lt;&gt;"",U71&lt;&gt;"",V71&lt;&gt;"",AB71&lt;&gt;"")),"manuell übersteuert; ","")&amp;IF(AND(BZ71=0,R71=0),"Gebinde unbekannt / Stellmass fehlt; ","")&amp;IF(AND(BZ71=0,N(V71)&lt;=0,N(Q71)&lt;=0),"Menge pro Gebinde fehlt (Ist = 1 Gebinde); ","")&amp;BU71)</f>
        <v/>
      </c>
      <c r="BN71" s="48" t="s">
        <v>353</v>
      </c>
      <c r="BO71" s="48" t="s">
        <v>354</v>
      </c>
      <c r="BP71" s="55"/>
      <c r="BQ71" s="50" t="n">
        <v>26</v>
      </c>
      <c r="BR71" s="50" t="n">
        <v>5</v>
      </c>
      <c r="BS71" s="49" t="n">
        <v>3578.48</v>
      </c>
      <c r="BT71" s="50" t="n">
        <v>30</v>
      </c>
      <c r="BU71" s="48"/>
      <c r="BV71" s="53" t="n">
        <v>0</v>
      </c>
      <c r="BW71" s="53" t="n">
        <v>71</v>
      </c>
      <c r="BX71" s="48" t="str">
        <f aca="false">IF(U71&lt;&gt;"",UPPER(TRIM(U71)),IF(CA71=1,UPPER(VLOOKUP(T71,Parameter!$I$27:$K$29,2,0)),IF(P71="","LOSE",P71)))</f>
        <v>S71</v>
      </c>
      <c r="BY71" s="50" t="n">
        <f aca="false">IF(BX71="LOSE",1,IF(N(V71)&gt;0,V71,IF(CA71=1,MAX(1,N(VLOOKUP(T71,Parameter!$I$27:$K$29,3,0)),H71,N(N71)),IF(N(Q71)&gt;0,Q71,MAX(1,H71)))))</f>
        <v>24</v>
      </c>
      <c r="BZ71" s="53" t="n">
        <f aca="false">IF(BX71="LOSE",1,0)</f>
        <v>0</v>
      </c>
      <c r="CA71" s="53" t="n">
        <f aca="false">IF(AND(U71="",OR(P71="",P71="LOSE"),T71&lt;&gt;"",N(S71)&lt;=0,ISNUMBER(MATCH(T71,Parameter!$I$27:$I$29,0))),1,0)</f>
        <v>0</v>
      </c>
      <c r="CB71" s="53" t="n">
        <f aca="false">IF(CQ71&gt;0,INDEX(Parameter!$H$5:$H$7,W71)/INDEX(Parameter!$E$5:$E$7,W71),IF(AND(BZ71=0,N(IFERROR(VLOOKUP(BX71,'Gebinde-Kategorie'!$A$5:$N$45,14,0),0))&gt;0),VLOOKUP(BX71,'Gebinde-Kategorie'!$A$5:$N$45,14,0)*10+Parameter!$M$23,Parameter!$M$24))</f>
        <v>235</v>
      </c>
      <c r="CC71" s="48" t="n">
        <f aca="false">IF(AND(Parameter!$B$19="Ja",E71&lt;&gt;"",ISNUMBER(MATCH(E71,Parameter!$I$35:$I$52,0))),VLOOKUP(E71,Parameter!$I$35:$J$52,2,0),IFERROR(VLOOKUP(D71,Parameter!$A$35:$C$64,2,0),"Nein"))</f>
        <v>1</v>
      </c>
      <c r="CD71" s="52" t="n">
        <f aca="false">IF(BZ71=0,0,IF(N(S71)&gt;0,S71,IFERROR(VLOOKUP(D71,Parameter!$A$35:$C$64,3,0)+0,0)))</f>
        <v>0</v>
      </c>
      <c r="CE71" s="48" t="n">
        <f aca="false">IF(AA71&lt;&gt;"",AA71,Z71)</f>
        <v>1</v>
      </c>
      <c r="CF71" s="48" t="str">
        <f aca="false">IF(OR(CE71=1,CE71=2,CE71=3),IF(Parameter!$E$27="Ja","LIFT",IF(CE71=1,"L1","L23")),IF(CE71="Aussen","Aussen","-"))</f>
        <v>LIFT</v>
      </c>
      <c r="CG71" s="59" t="n">
        <f aca="false">IF(N(AB71)&gt;0,AB71,0)</f>
        <v>0</v>
      </c>
      <c r="CH71" s="53" t="n">
        <f aca="false">IF(ISNUMBER(AE71),1,0)</f>
        <v>0</v>
      </c>
      <c r="CI71" s="50" t="n">
        <f aca="false">N(AE71)</f>
        <v>0</v>
      </c>
      <c r="CJ71" s="50" t="n">
        <f aca="false">N(M71)+N(N71)</f>
        <v>31</v>
      </c>
      <c r="CK71" s="50" t="n">
        <f aca="false">N(M71)</f>
        <v>1</v>
      </c>
      <c r="CL71" s="50" t="n">
        <f aca="false">N(N71)</f>
        <v>30</v>
      </c>
      <c r="CM71" s="50" t="n">
        <f aca="false">ROUNDUP(H71/BY71,0)</f>
        <v>2</v>
      </c>
      <c r="CN71" s="50" t="n">
        <f aca="false">ROUNDUP(CI71/BY71,0)</f>
        <v>0</v>
      </c>
      <c r="CO71" s="53" t="n">
        <f aca="false">IF(BZ71=1,0,IFERROR(VLOOKUP(BX71,'Gebinde-Kategorie'!$A$5:$N$45,5,0)+0,0))</f>
        <v>20</v>
      </c>
      <c r="CP71" s="53" t="n">
        <f aca="false">IFERROR(IF(OR(CE71=1,CE71=2,CE71=3),N(INDEX(Parameter!$I$5:$I$7,CE71)),0),0)</f>
        <v>0</v>
      </c>
      <c r="CQ71" s="52" t="n">
        <f aca="false">IF(AND(Parameter!$B$21="Ja",ISNUMBER(W71),N(X71)&gt;0),IFERROR(N(INDEX(Parameter!$L$5:$L$7,W71))*INDEX(Parameter!$E$5:$E$7,W71)*X71/SUMIFS($X$7:$X$1843,$W$7:$W$1843,W71),0),0)</f>
        <v>0</v>
      </c>
    </row>
    <row r="72" customFormat="false" ht="15" hidden="false" customHeight="false" outlineLevel="0" collapsed="false">
      <c r="A72" s="48" t="s">
        <v>355</v>
      </c>
      <c r="B72" s="48" t="s">
        <v>356</v>
      </c>
      <c r="C72" s="48" t="s">
        <v>173</v>
      </c>
      <c r="D72" s="48" t="s">
        <v>182</v>
      </c>
      <c r="E72" s="48" t="s">
        <v>194</v>
      </c>
      <c r="F72" s="48" t="s">
        <v>227</v>
      </c>
      <c r="G72" s="49" t="n">
        <v>176.61</v>
      </c>
      <c r="H72" s="50" t="n">
        <f aca="false">MAX(0,IF(AND(Parameter!$B$21="Ja",ISNUMBER(Y72)),Y72,IF(Parameter!$B$20="Jahresanfang 2025 + Export",BR72+BQ72,BQ72)))</f>
        <v>46</v>
      </c>
      <c r="I72" s="50" t="n">
        <f aca="false">H72*G72</f>
        <v>8124.06</v>
      </c>
      <c r="J72" s="50" t="n">
        <f aca="false">BT72*Parameter!$B$18</f>
        <v>75</v>
      </c>
      <c r="K72" s="51" t="n">
        <v>46.5</v>
      </c>
      <c r="L72" s="52" t="n">
        <v>1.61290322580645</v>
      </c>
      <c r="M72" s="50" t="n">
        <v>15</v>
      </c>
      <c r="N72" s="50" t="n">
        <v>35</v>
      </c>
      <c r="O72" s="53" t="n">
        <v>60</v>
      </c>
      <c r="P72" s="48" t="s">
        <v>357</v>
      </c>
      <c r="Q72" s="50" t="n">
        <v>38</v>
      </c>
      <c r="R72" s="53" t="n">
        <f aca="false">IF(BZ72=1,0,IFERROR(VLOOKUP(BX72,'Gebinde-Kategorie'!$A$5:$N$45,13,0)+0,0))</f>
        <v>4</v>
      </c>
      <c r="S72" s="54"/>
      <c r="T72" s="55"/>
      <c r="U72" s="55"/>
      <c r="V72" s="55"/>
      <c r="W72" s="48"/>
      <c r="X72" s="50"/>
      <c r="Y72" s="50"/>
      <c r="Z72" s="48" t="n">
        <f aca="false">IF(A72="","",IF(AND(Parameter!$B$21="Ja",ISNUMBER(W72)),W72,IF(CC72="2+3",IF(ISNUMBER(SEARCH("grosser Artikel",BU72)),2,IFERROR(VLOOKUP(BX72,Parameter!$F$35:$G$64,2,0),2)),IF(OR(CC72="Nein",CC72=""),"-",CC72))))</f>
        <v>2</v>
      </c>
      <c r="AA72" s="55"/>
      <c r="AB72" s="56"/>
      <c r="AC72" s="50" t="n">
        <f aca="false">AV72</f>
        <v>50</v>
      </c>
      <c r="AD72" s="50" t="n">
        <f aca="false">MAX(AV72,H72)</f>
        <v>50</v>
      </c>
      <c r="AE72" s="57"/>
      <c r="AF72" s="50" t="n">
        <f aca="false">IF(LEFT(Cockpit!$C$5,1)="A",H72,IF(Parameter!$E$30="MAX-Bestand",IF(CH72=1,CI72,IF(LEFT(Cockpit!$C$5,1)="B",AL72,MAX(AL72,H72))),ROUNDUP(AJ72,0)))</f>
        <v>46</v>
      </c>
      <c r="AG72" s="50" t="n">
        <f aca="false">IF(BZ72=1,0,ROUNDUP(AF72/BY72,0))</f>
        <v>2</v>
      </c>
      <c r="AH72" s="52" t="n">
        <f aca="false">IF(CQ72&gt;0,CQ72*MAX(1,AF72/X72),IF(BZ72=1,IF(AF72&lt;=0,0,CD72*MAX(1,IF(H72&gt;0,AF72/H72,1))),IF(R72&gt;0,AG72/R72,0))/MAX(0.1,N(Parameter!$M$21)))</f>
        <v>0.5</v>
      </c>
      <c r="AI72" s="50" t="n">
        <f aca="false">AH72*CB72</f>
        <v>217.5</v>
      </c>
      <c r="AJ72" s="51" t="n">
        <f aca="false">IF(LEFT(Cockpit!$C$5,1)="A",H72,IF(CH72=1,(CK72+CI72)/2,IF(LEFT(Cockpit!$C$5,1)="B",(CK72+AL72)/2,MAX((CK72+AL72)/2,H72))))</f>
        <v>46</v>
      </c>
      <c r="AK72" s="50" t="n">
        <f aca="false">AJ72*G72</f>
        <v>8124.06</v>
      </c>
      <c r="AL72" s="50" t="n">
        <f aca="false">ROUNDUP(CK72+MAX(CL72,2*(J72/IF(CG72&gt;0,CG72,MAX(0.1,N(Cockpit!$C$6)))-CK72)),0)</f>
        <v>50</v>
      </c>
      <c r="AM72" s="51" t="n">
        <f aca="false">IF(AI72&gt;0,J72/AI72,-1)</f>
        <v>0.344827586206897</v>
      </c>
      <c r="AN72" s="51" t="n">
        <f aca="false">IF(AND(OR(CF72="L1",CF72="L23",CF72="LIFT"),AI72&gt;0),SUMIFS($AI$7:$AI$1843,$CF$7:$CF$1843,CF72,$AM$7:$AM$1843,"&gt;"&amp;AM72)+SUMIFS($AI$7:$AI$1843,$CF$7:$CF$1843,CF72,$AM$7:$AM$1843,AM72,$BW$7:$BW$1843,"&lt;="&amp;BW72),"")</f>
        <v>10934.7499715445</v>
      </c>
      <c r="AO72" s="58" t="n">
        <f aca="false">IF(AN72="",0,MAX(0,MIN(1,(IF(CF72="L1",Parameter!$H$5,IF(CF72="L23",Parameter!$H$6+Parameter!$H$7,Parameter!$H$5+Parameter!$H$6+Parameter!$H$7))-(AN72-AI72))/AI72)))</f>
        <v>1</v>
      </c>
      <c r="AP72" s="50" t="n">
        <f aca="false">IF(LEFT(Cockpit!$I$5,1)="A",H72,IF(Parameter!$E$30="MAX-Bestand",IF(CH72=1,CI72,IF(LEFT(Cockpit!$I$5,1)="B",AV72,MAX(AV72,H72))),ROUNDUP(AT72,0)))</f>
        <v>46</v>
      </c>
      <c r="AQ72" s="50" t="n">
        <f aca="false">IF(BZ72=1,0,ROUNDUP(AP72/BY72,0))</f>
        <v>2</v>
      </c>
      <c r="AR72" s="52" t="n">
        <f aca="false">IF(CQ72&gt;0,CQ72*MAX(1,AP72/X72),IF(BZ72=1,IF(AP72&lt;=0,0,CD72*MAX(1,IF(H72&gt;0,AP72/H72,1))),IF(R72&gt;0,AQ72/R72,0))/MAX(0.1,N(Parameter!$M$21)))</f>
        <v>0.5</v>
      </c>
      <c r="AS72" s="50" t="n">
        <f aca="false">AR72*CB72</f>
        <v>217.5</v>
      </c>
      <c r="AT72" s="51" t="n">
        <f aca="false">IF(LEFT(Cockpit!$I$5,1)="A",H72,IF(CH72=1,(CK72+CI72)/2,IF(LEFT(Cockpit!$I$5,1)="B",(CK72+AV72)/2,MAX((CK72+AV72)/2,H72))))</f>
        <v>46</v>
      </c>
      <c r="AU72" s="50" t="n">
        <f aca="false">AT72*G72</f>
        <v>8124.06</v>
      </c>
      <c r="AV72" s="50" t="n">
        <f aca="false">ROUNDUP(CK72+MAX(CL72,2*(J72/IF(CG72&gt;0,CG72,MAX(0.1,N(Cockpit!$I$6)))-CK72)),0)</f>
        <v>50</v>
      </c>
      <c r="AW72" s="51" t="n">
        <f aca="false">IF(AS72&gt;0,J72/AS72,-1)</f>
        <v>0.344827586206897</v>
      </c>
      <c r="AX72" s="51" t="n">
        <f aca="false">IF(AND(OR(CF72="L1",CF72="L23",CF72="LIFT"),AS72&gt;0),SUMIFS($AS$7:$AS$1843,$CF$7:$CF$1843,CF72,$AW$7:$AW$1843,"&gt;"&amp;AW72)+SUMIFS($AS$7:$AS$1843,$CF$7:$CF$1843,CF72,$AW$7:$AW$1843,AW72,$BW$7:$BW$1843,"&lt;="&amp;BW72),"")</f>
        <v>13666.5032051282</v>
      </c>
      <c r="AY72" s="58" t="n">
        <f aca="false">IF(AX72="",0,MAX(0,MIN(1,(IF(CF72="L1",Parameter!$H$5,IF(CF72="L23",Parameter!$H$6+Parameter!$H$7,Parameter!$H$5+Parameter!$H$6+Parameter!$H$7))-(AX72-AS72))/AS72)))</f>
        <v>1</v>
      </c>
      <c r="AZ72" s="50" t="n">
        <f aca="false">IF(LEFT(Cockpit!$O$5,1)="A",H72,IF(Parameter!$E$30="MAX-Bestand",IF(CH72=1,CI72,IF(LEFT(Cockpit!$O$5,1)="B",BF72,MAX(BF72,H72))),ROUNDUP(BD72,0)))</f>
        <v>33</v>
      </c>
      <c r="BA72" s="50" t="n">
        <f aca="false">IF(BZ72=1,0,ROUNDUP(AZ72/BY72,0))</f>
        <v>1</v>
      </c>
      <c r="BB72" s="52" t="n">
        <f aca="false">IF(CQ72&gt;0,CQ72*MAX(1,AZ72/X72),IF(BZ72=1,IF(AZ72&lt;=0,0,CD72*MAX(1,IF(H72&gt;0,AZ72/H72,1))),IF(R72&gt;0,BA72/R72,0))/MAX(0.1,N(Parameter!$M$21)))</f>
        <v>0.25</v>
      </c>
      <c r="BC72" s="50" t="n">
        <f aca="false">BB72*CB72</f>
        <v>108.75</v>
      </c>
      <c r="BD72" s="51" t="n">
        <f aca="false">IF(LEFT(Cockpit!$O$5,1)="A",H72,IF(CH72=1,(CK72+CI72)/2,IF(LEFT(Cockpit!$O$5,1)="B",(CK72+BF72)/2,MAX((CK72+BF72)/2,H72))))</f>
        <v>32.5</v>
      </c>
      <c r="BE72" s="50" t="n">
        <f aca="false">BD72*G72</f>
        <v>5739.825</v>
      </c>
      <c r="BF72" s="50" t="n">
        <f aca="false">ROUNDUP(CK72+MAX(CL72,2*(J72/IF(CG72&gt;0,CG72,MAX(0.1,N(Cockpit!$O$6)))-CK72)),0)</f>
        <v>50</v>
      </c>
      <c r="BG72" s="51" t="n">
        <f aca="false">IF(BC72&gt;0,J72/BC72,-1)</f>
        <v>0.689655172413793</v>
      </c>
      <c r="BH72" s="51" t="n">
        <f aca="false">IF(AND(OR(CF72="L1",CF72="L23",CF72="LIFT"),BC72&gt;0),SUMIFS($BC$7:$BC$1843,$CF$7:$CF$1843,CF72,$BG$7:$BG$1843,"&gt;"&amp;BG72)+SUMIFS($BC$7:$BC$1843,$CF$7:$CF$1843,CF72,$BG$7:$BG$1843,BG72,$BW$7:$BW$1843,"&lt;="&amp;BW72),"")</f>
        <v>9485.63507326007</v>
      </c>
      <c r="BI72" s="58" t="n">
        <f aca="false">IF(BH72="",0,MAX(0,MIN(1,(IF(CF72="L1",Parameter!$H$5,IF(CF72="L23",Parameter!$H$6+Parameter!$H$7,Parameter!$H$5+Parameter!$H$6+Parameter!$H$7))-(BH72-BC72))/BC72)))</f>
        <v>1</v>
      </c>
      <c r="BJ72" s="48" t="str">
        <f aca="false">IF(AI72&lt;=0,"",IF(CF72="Aussen","Aussenlager",IF(CF72="-","Nicht im Lift",IF(AO72&gt;=1,"Lift",IF(AO72&lt;=0,"Aussenlager","teilweise")))))</f>
        <v>Lift</v>
      </c>
      <c r="BK72" s="48" t="str">
        <f aca="false">IF(AS72&lt;=0,"",IF(CF72="Aussen","Aussenlager",IF(CF72="-","Nicht im Lift",IF(AY72&gt;=1,"Lift",IF(AY72&lt;=0,"Aussenlager","teilweise")))))</f>
        <v>Lift</v>
      </c>
      <c r="BL72" s="48" t="str">
        <f aca="false">IF(BC72&lt;=0,"",IF(CF72="Aussen","Aussenlager",IF(CF72="-","Nicht im Lift",IF(BI72&gt;=1,"Lift",IF(BI72&lt;=0,"Aussenlager","teilweise")))))</f>
        <v>Lift</v>
      </c>
      <c r="BM72" s="48" t="str">
        <f aca="false">IF(A72="","",IF(BV72=1,"Neu; ","")&amp;IF(AND(BV72=0,BQ72&lt;0),"negativer Bestand (Export "&amp;BQ72&amp;"); ","")&amp;IF(J72&lt;=0,"Kein Verbrauch; ","")&amp;IF(CQ72&gt;0,"Lift "&amp;W72&amp;" lt. Liftbericht (Fach "&amp;X72&amp;" Stk); ",IF(CA72=1,"Gebinde geschätzt ("&amp;T72&amp;"); ",IF(BZ72=1,"Lose – Tablare geschätzt; ","")))&amp;IF(H72&gt;AV72,"Überbestand "&amp;ROUND(H72-AV72,0)&amp;" Stk / CHF "&amp;ROUND((H72-AV72)*G72,0)&amp;"; ","")&amp;IF(AND(CH72=1,CI72&lt;CJ72),"MAX &lt; MB+LG; ","")&amp;IF(AND(CP72&gt;0,CO72*10&gt;CP72),"zu hoch für Tablar; ","")&amp;IF(AND(BV72=0,OR(CH72=1,AA72&lt;&gt;"",U72&lt;&gt;"",V72&lt;&gt;"",AB72&lt;&gt;"")),"manuell übersteuert; ","")&amp;IF(AND(BZ72=0,R72=0),"Gebinde unbekannt / Stellmass fehlt; ","")&amp;IF(AND(BZ72=0,N(V72)&lt;=0,N(Q72)&lt;=0),"Menge pro Gebinde fehlt (Ist = 1 Gebinde); ","")&amp;BU72)</f>
        <v>grosser Artikel &amp; nicht im KTL</v>
      </c>
      <c r="BN72" s="48" t="s">
        <v>358</v>
      </c>
      <c r="BO72" s="48" t="s">
        <v>354</v>
      </c>
      <c r="BP72" s="55"/>
      <c r="BQ72" s="50" t="n">
        <v>22</v>
      </c>
      <c r="BR72" s="50" t="n">
        <v>24</v>
      </c>
      <c r="BS72" s="49" t="n">
        <v>3534.78</v>
      </c>
      <c r="BT72" s="50" t="n">
        <v>75</v>
      </c>
      <c r="BU72" s="48" t="s">
        <v>270</v>
      </c>
      <c r="BV72" s="53" t="n">
        <v>0</v>
      </c>
      <c r="BW72" s="53" t="n">
        <v>72</v>
      </c>
      <c r="BX72" s="48" t="str">
        <f aca="false">IF(U72&lt;&gt;"",UPPER(TRIM(U72)),IF(CA72=1,UPPER(VLOOKUP(T72,Parameter!$I$27:$K$29,2,0)),IF(P72="","LOSE",P72)))</f>
        <v>S82</v>
      </c>
      <c r="BY72" s="50" t="n">
        <f aca="false">IF(BX72="LOSE",1,IF(N(V72)&gt;0,V72,IF(CA72=1,MAX(1,N(VLOOKUP(T72,Parameter!$I$27:$K$29,3,0)),H72,N(N72)),IF(N(Q72)&gt;0,Q72,MAX(1,H72)))))</f>
        <v>38</v>
      </c>
      <c r="BZ72" s="53" t="n">
        <f aca="false">IF(BX72="LOSE",1,0)</f>
        <v>0</v>
      </c>
      <c r="CA72" s="53" t="n">
        <f aca="false">IF(AND(U72="",OR(P72="",P72="LOSE"),T72&lt;&gt;"",N(S72)&lt;=0,ISNUMBER(MATCH(T72,Parameter!$I$27:$I$29,0))),1,0)</f>
        <v>0</v>
      </c>
      <c r="CB72" s="53" t="n">
        <f aca="false">IF(CQ72&gt;0,INDEX(Parameter!$H$5:$H$7,W72)/INDEX(Parameter!$E$5:$E$7,W72),IF(AND(BZ72=0,N(IFERROR(VLOOKUP(BX72,'Gebinde-Kategorie'!$A$5:$N$45,14,0),0))&gt;0),VLOOKUP(BX72,'Gebinde-Kategorie'!$A$5:$N$45,14,0)*10+Parameter!$M$23,Parameter!$M$24))</f>
        <v>435</v>
      </c>
      <c r="CC72" s="48" t="str">
        <f aca="false">IF(AND(Parameter!$B$19="Ja",E72&lt;&gt;"",ISNUMBER(MATCH(E72,Parameter!$I$35:$I$52,0))),VLOOKUP(E72,Parameter!$I$35:$J$52,2,0),IFERROR(VLOOKUP(D72,Parameter!$A$35:$C$64,2,0),"Nein"))</f>
        <v>2+3</v>
      </c>
      <c r="CD72" s="52" t="n">
        <f aca="false">IF(BZ72=0,0,IF(N(S72)&gt;0,S72,IFERROR(VLOOKUP(D72,Parameter!$A$35:$C$64,3,0)+0,0)))</f>
        <v>0</v>
      </c>
      <c r="CE72" s="48" t="n">
        <f aca="false">IF(AA72&lt;&gt;"",AA72,Z72)</f>
        <v>2</v>
      </c>
      <c r="CF72" s="48" t="str">
        <f aca="false">IF(OR(CE72=1,CE72=2,CE72=3),IF(Parameter!$E$27="Ja","LIFT",IF(CE72=1,"L1","L23")),IF(CE72="Aussen","Aussen","-"))</f>
        <v>LIFT</v>
      </c>
      <c r="CG72" s="59" t="n">
        <f aca="false">IF(N(AB72)&gt;0,AB72,0)</f>
        <v>0</v>
      </c>
      <c r="CH72" s="53" t="n">
        <f aca="false">IF(ISNUMBER(AE72),1,0)</f>
        <v>0</v>
      </c>
      <c r="CI72" s="50" t="n">
        <f aca="false">N(AE72)</f>
        <v>0</v>
      </c>
      <c r="CJ72" s="50" t="n">
        <f aca="false">N(M72)+N(N72)</f>
        <v>50</v>
      </c>
      <c r="CK72" s="50" t="n">
        <f aca="false">N(M72)</f>
        <v>15</v>
      </c>
      <c r="CL72" s="50" t="n">
        <f aca="false">N(N72)</f>
        <v>35</v>
      </c>
      <c r="CM72" s="50" t="n">
        <f aca="false">ROUNDUP(H72/BY72,0)</f>
        <v>2</v>
      </c>
      <c r="CN72" s="50" t="n">
        <f aca="false">ROUNDUP(CI72/BY72,0)</f>
        <v>0</v>
      </c>
      <c r="CO72" s="53" t="n">
        <f aca="false">IF(BZ72=1,0,IFERROR(VLOOKUP(BX72,'Gebinde-Kategorie'!$A$5:$N$45,5,0)+0,0))</f>
        <v>40</v>
      </c>
      <c r="CP72" s="53" t="n">
        <f aca="false">IFERROR(IF(OR(CE72=1,CE72=2,CE72=3),N(INDEX(Parameter!$I$5:$I$7,CE72)),0),0)</f>
        <v>0</v>
      </c>
      <c r="CQ72" s="52" t="n">
        <f aca="false">IF(AND(Parameter!$B$21="Ja",ISNUMBER(W72),N(X72)&gt;0),IFERROR(N(INDEX(Parameter!$L$5:$L$7,W72))*INDEX(Parameter!$E$5:$E$7,W72)*X72/SUMIFS($X$7:$X$1843,$W$7:$W$1843,W72),0),0)</f>
        <v>0</v>
      </c>
    </row>
    <row r="73" customFormat="false" ht="15" hidden="false" customHeight="false" outlineLevel="0" collapsed="false">
      <c r="A73" s="48" t="s">
        <v>359</v>
      </c>
      <c r="B73" s="48" t="s">
        <v>301</v>
      </c>
      <c r="C73" s="48" t="s">
        <v>173</v>
      </c>
      <c r="D73" s="48" t="s">
        <v>193</v>
      </c>
      <c r="E73" s="48" t="s">
        <v>194</v>
      </c>
      <c r="F73" s="48" t="s">
        <v>227</v>
      </c>
      <c r="G73" s="49" t="n">
        <v>160.95</v>
      </c>
      <c r="H73" s="50" t="n">
        <f aca="false">MAX(0,IF(AND(Parameter!$B$21="Ja",ISNUMBER(Y73)),Y73,IF(Parameter!$B$20="Jahresanfang 2025 + Export",BR73+BQ73,BQ73)))</f>
        <v>39</v>
      </c>
      <c r="I73" s="50" t="n">
        <f aca="false">H73*G73</f>
        <v>6277.05</v>
      </c>
      <c r="J73" s="50" t="n">
        <f aca="false">BT73*Parameter!$B$18</f>
        <v>97</v>
      </c>
      <c r="K73" s="51" t="n">
        <v>15.5</v>
      </c>
      <c r="L73" s="52" t="n">
        <v>6.25806451612903</v>
      </c>
      <c r="M73" s="50" t="n">
        <v>10</v>
      </c>
      <c r="N73" s="50" t="n">
        <v>40</v>
      </c>
      <c r="O73" s="53" t="n">
        <v>30</v>
      </c>
      <c r="P73" s="48" t="s">
        <v>311</v>
      </c>
      <c r="Q73" s="50" t="n">
        <v>31</v>
      </c>
      <c r="R73" s="53" t="n">
        <f aca="false">IF(BZ73=1,0,IFERROR(VLOOKUP(BX73,'Gebinde-Kategorie'!$A$5:$N$45,13,0)+0,0))</f>
        <v>26</v>
      </c>
      <c r="S73" s="54"/>
      <c r="T73" s="55"/>
      <c r="U73" s="55"/>
      <c r="V73" s="55"/>
      <c r="W73" s="48"/>
      <c r="X73" s="50"/>
      <c r="Y73" s="50"/>
      <c r="Z73" s="48" t="n">
        <f aca="false">IF(A73="","",IF(AND(Parameter!$B$21="Ja",ISNUMBER(W73)),W73,IF(CC73="2+3",IF(ISNUMBER(SEARCH("grosser Artikel",BU73)),2,IFERROR(VLOOKUP(BX73,Parameter!$F$35:$G$64,2,0),2)),IF(OR(CC73="Nein",CC73=""),"-",CC73))))</f>
        <v>3</v>
      </c>
      <c r="AA73" s="55"/>
      <c r="AB73" s="56"/>
      <c r="AC73" s="50" t="n">
        <f aca="false">AV73</f>
        <v>55</v>
      </c>
      <c r="AD73" s="50" t="n">
        <f aca="false">MAX(AV73,H73)</f>
        <v>55</v>
      </c>
      <c r="AE73" s="57"/>
      <c r="AF73" s="50" t="n">
        <f aca="false">IF(LEFT(Cockpit!$C$5,1)="A",H73,IF(Parameter!$E$30="MAX-Bestand",IF(CH73=1,CI73,IF(LEFT(Cockpit!$C$5,1)="B",AL73,MAX(AL73,H73))),ROUNDUP(AJ73,0)))</f>
        <v>39</v>
      </c>
      <c r="AG73" s="50" t="n">
        <f aca="false">IF(BZ73=1,0,ROUNDUP(AF73/BY73,0))</f>
        <v>2</v>
      </c>
      <c r="AH73" s="52" t="n">
        <f aca="false">IF(CQ73&gt;0,CQ73*MAX(1,AF73/X73),IF(BZ73=1,IF(AF73&lt;=0,0,CD73*MAX(1,IF(H73&gt;0,AF73/H73,1))),IF(R73&gt;0,AG73/R73,0))/MAX(0.1,N(Parameter!$M$21)))</f>
        <v>0.0769230769230769</v>
      </c>
      <c r="AI73" s="50" t="n">
        <f aca="false">AH73*CB73</f>
        <v>11.9230769230769</v>
      </c>
      <c r="AJ73" s="51" t="n">
        <f aca="false">IF(LEFT(Cockpit!$C$5,1)="A",H73,IF(CH73=1,(CK73+CI73)/2,IF(LEFT(Cockpit!$C$5,1)="B",(CK73+AL73)/2,MAX((CK73+AL73)/2,H73))))</f>
        <v>39</v>
      </c>
      <c r="AK73" s="50" t="n">
        <f aca="false">AJ73*G73</f>
        <v>6277.05</v>
      </c>
      <c r="AL73" s="50" t="n">
        <f aca="false">ROUNDUP(CK73+MAX(CL73,2*(J73/IF(CG73&gt;0,CG73,MAX(0.1,N(Cockpit!$C$6)))-CK73)),0)</f>
        <v>55</v>
      </c>
      <c r="AM73" s="51" t="n">
        <f aca="false">IF(AI73&gt;0,J73/AI73,-1)</f>
        <v>8.13548387096774</v>
      </c>
      <c r="AN73" s="51" t="n">
        <f aca="false">IF(AND(OR(CF73="L1",CF73="L23",CF73="LIFT"),AI73&gt;0),SUMIFS($AI$7:$AI$1843,$CF$7:$CF$1843,CF73,$AM$7:$AM$1843,"&gt;"&amp;AM73)+SUMIFS($AI$7:$AI$1843,$CF$7:$CF$1843,CF73,$AM$7:$AM$1843,AM73,$BW$7:$BW$1843,"&lt;="&amp;BW73),"")</f>
        <v>3019.63461538462</v>
      </c>
      <c r="AO73" s="58" t="n">
        <f aca="false">IF(AN73="",0,MAX(0,MIN(1,(IF(CF73="L1",Parameter!$H$5,IF(CF73="L23",Parameter!$H$6+Parameter!$H$7,Parameter!$H$5+Parameter!$H$6+Parameter!$H$7))-(AN73-AI73))/AI73)))</f>
        <v>1</v>
      </c>
      <c r="AP73" s="50" t="n">
        <f aca="false">IF(LEFT(Cockpit!$I$5,1)="A",H73,IF(Parameter!$E$30="MAX-Bestand",IF(CH73=1,CI73,IF(LEFT(Cockpit!$I$5,1)="B",AV73,MAX(AV73,H73))),ROUNDUP(AT73,0)))</f>
        <v>39</v>
      </c>
      <c r="AQ73" s="50" t="n">
        <f aca="false">IF(BZ73=1,0,ROUNDUP(AP73/BY73,0))</f>
        <v>2</v>
      </c>
      <c r="AR73" s="52" t="n">
        <f aca="false">IF(CQ73&gt;0,CQ73*MAX(1,AP73/X73),IF(BZ73=1,IF(AP73&lt;=0,0,CD73*MAX(1,IF(H73&gt;0,AP73/H73,1))),IF(R73&gt;0,AQ73/R73,0))/MAX(0.1,N(Parameter!$M$21)))</f>
        <v>0.0769230769230769</v>
      </c>
      <c r="AS73" s="50" t="n">
        <f aca="false">AR73*CB73</f>
        <v>11.9230769230769</v>
      </c>
      <c r="AT73" s="51" t="n">
        <f aca="false">IF(LEFT(Cockpit!$I$5,1)="A",H73,IF(CH73=1,(CK73+CI73)/2,IF(LEFT(Cockpit!$I$5,1)="B",(CK73+AV73)/2,MAX((CK73+AV73)/2,H73))))</f>
        <v>39</v>
      </c>
      <c r="AU73" s="50" t="n">
        <f aca="false">AT73*G73</f>
        <v>6277.05</v>
      </c>
      <c r="AV73" s="50" t="n">
        <f aca="false">ROUNDUP(CK73+MAX(CL73,2*(J73/IF(CG73&gt;0,CG73,MAX(0.1,N(Cockpit!$I$6)))-CK73)),0)</f>
        <v>55</v>
      </c>
      <c r="AW73" s="51" t="n">
        <f aca="false">IF(AS73&gt;0,J73/AS73,-1)</f>
        <v>8.13548387096774</v>
      </c>
      <c r="AX73" s="51" t="n">
        <f aca="false">IF(AND(OR(CF73="L1",CF73="L23",CF73="LIFT"),AS73&gt;0),SUMIFS($AS$7:$AS$1843,$CF$7:$CF$1843,CF73,$AW$7:$AW$1843,"&gt;"&amp;AW73)+SUMIFS($AS$7:$AS$1843,$CF$7:$CF$1843,CF73,$AW$7:$AW$1843,AW73,$BW$7:$BW$1843,"&lt;="&amp;BW73),"")</f>
        <v>3653.56501831502</v>
      </c>
      <c r="AY73" s="58" t="n">
        <f aca="false">IF(AX73="",0,MAX(0,MIN(1,(IF(CF73="L1",Parameter!$H$5,IF(CF73="L23",Parameter!$H$6+Parameter!$H$7,Parameter!$H$5+Parameter!$H$6+Parameter!$H$7))-(AX73-AS73))/AS73)))</f>
        <v>1</v>
      </c>
      <c r="AZ73" s="50" t="n">
        <f aca="false">IF(LEFT(Cockpit!$O$5,1)="A",H73,IF(Parameter!$E$30="MAX-Bestand",IF(CH73=1,CI73,IF(LEFT(Cockpit!$O$5,1)="B",BF73,MAX(BF73,H73))),ROUNDUP(BD73,0)))</f>
        <v>30</v>
      </c>
      <c r="BA73" s="50" t="n">
        <f aca="false">IF(BZ73=1,0,ROUNDUP(AZ73/BY73,0))</f>
        <v>1</v>
      </c>
      <c r="BB73" s="52" t="n">
        <f aca="false">IF(CQ73&gt;0,CQ73*MAX(1,AZ73/X73),IF(BZ73=1,IF(AZ73&lt;=0,0,CD73*MAX(1,IF(H73&gt;0,AZ73/H73,1))),IF(R73&gt;0,BA73/R73,0))/MAX(0.1,N(Parameter!$M$21)))</f>
        <v>0.0384615384615385</v>
      </c>
      <c r="BC73" s="50" t="n">
        <f aca="false">BB73*CB73</f>
        <v>5.96153846153846</v>
      </c>
      <c r="BD73" s="51" t="n">
        <f aca="false">IF(LEFT(Cockpit!$O$5,1)="A",H73,IF(CH73=1,(CK73+CI73)/2,IF(LEFT(Cockpit!$O$5,1)="B",(CK73+BF73)/2,MAX((CK73+BF73)/2,H73))))</f>
        <v>30</v>
      </c>
      <c r="BE73" s="50" t="n">
        <f aca="false">BD73*G73</f>
        <v>4828.5</v>
      </c>
      <c r="BF73" s="50" t="n">
        <f aca="false">ROUNDUP(CK73+MAX(CL73,2*(J73/IF(CG73&gt;0,CG73,MAX(0.1,N(Cockpit!$O$6)))-CK73)),0)</f>
        <v>50</v>
      </c>
      <c r="BG73" s="51" t="n">
        <f aca="false">IF(BC73&gt;0,J73/BC73,-1)</f>
        <v>16.2709677419355</v>
      </c>
      <c r="BH73" s="51" t="n">
        <f aca="false">IF(AND(OR(CF73="L1",CF73="L23",CF73="LIFT"),BC73&gt;0),SUMIFS($BC$7:$BC$1843,$CF$7:$CF$1843,CF73,$BG$7:$BG$1843,"&gt;"&amp;BG73)+SUMIFS($BC$7:$BC$1843,$CF$7:$CF$1843,CF73,$BG$7:$BG$1843,BG73,$BW$7:$BW$1843,"&lt;="&amp;BW73),"")</f>
        <v>2374.76327838828</v>
      </c>
      <c r="BI73" s="58" t="n">
        <f aca="false">IF(BH73="",0,MAX(0,MIN(1,(IF(CF73="L1",Parameter!$H$5,IF(CF73="L23",Parameter!$H$6+Parameter!$H$7,Parameter!$H$5+Parameter!$H$6+Parameter!$H$7))-(BH73-BC73))/BC73)))</f>
        <v>1</v>
      </c>
      <c r="BJ73" s="48" t="str">
        <f aca="false">IF(AI73&lt;=0,"",IF(CF73="Aussen","Aussenlager",IF(CF73="-","Nicht im Lift",IF(AO73&gt;=1,"Lift",IF(AO73&lt;=0,"Aussenlager","teilweise")))))</f>
        <v>Lift</v>
      </c>
      <c r="BK73" s="48" t="str">
        <f aca="false">IF(AS73&lt;=0,"",IF(CF73="Aussen","Aussenlager",IF(CF73="-","Nicht im Lift",IF(AY73&gt;=1,"Lift",IF(AY73&lt;=0,"Aussenlager","teilweise")))))</f>
        <v>Lift</v>
      </c>
      <c r="BL73" s="48" t="str">
        <f aca="false">IF(BC73&lt;=0,"",IF(CF73="Aussen","Aussenlager",IF(CF73="-","Nicht im Lift",IF(BI73&gt;=1,"Lift",IF(BI73&lt;=0,"Aussenlager","teilweise")))))</f>
        <v>Lift</v>
      </c>
      <c r="BM73" s="48" t="str">
        <f aca="false">IF(A73="","",IF(BV73=1,"Neu; ","")&amp;IF(AND(BV73=0,BQ73&lt;0),"negativer Bestand (Export "&amp;BQ73&amp;"); ","")&amp;IF(J73&lt;=0,"Kein Verbrauch; ","")&amp;IF(CQ73&gt;0,"Lift "&amp;W73&amp;" lt. Liftbericht (Fach "&amp;X73&amp;" Stk); ",IF(CA73=1,"Gebinde geschätzt ("&amp;T73&amp;"); ",IF(BZ73=1,"Lose – Tablare geschätzt; ","")))&amp;IF(H73&gt;AV73,"Überbestand "&amp;ROUND(H73-AV73,0)&amp;" Stk / CHF "&amp;ROUND((H73-AV73)*G73,0)&amp;"; ","")&amp;IF(AND(CH73=1,CI73&lt;CJ73),"MAX &lt; MB+LG; ","")&amp;IF(AND(CP73&gt;0,CO73*10&gt;CP73),"zu hoch für Tablar; ","")&amp;IF(AND(BV73=0,OR(CH73=1,AA73&lt;&gt;"",U73&lt;&gt;"",V73&lt;&gt;"",AB73&lt;&gt;"")),"manuell übersteuert; ","")&amp;IF(AND(BZ73=0,R73=0),"Gebinde unbekannt / Stellmass fehlt; ","")&amp;IF(AND(BZ73=0,N(V73)&lt;=0,N(Q73)&lt;=0),"Menge pro Gebinde fehlt (Ist = 1 Gebinde); ","")&amp;BU73)</f>
        <v/>
      </c>
      <c r="BN73" s="48"/>
      <c r="BO73" s="48"/>
      <c r="BP73" s="55"/>
      <c r="BQ73" s="50" t="n">
        <v>20</v>
      </c>
      <c r="BR73" s="50" t="n">
        <v>19</v>
      </c>
      <c r="BS73" s="49" t="n">
        <v>3430.65000000001</v>
      </c>
      <c r="BT73" s="50" t="n">
        <v>97</v>
      </c>
      <c r="BU73" s="48"/>
      <c r="BV73" s="53" t="n">
        <v>0</v>
      </c>
      <c r="BW73" s="53" t="n">
        <v>73</v>
      </c>
      <c r="BX73" s="48" t="str">
        <f aca="false">IF(U73&lt;&gt;"",UPPER(TRIM(U73)),IF(CA73=1,UPPER(VLOOKUP(T73,Parameter!$I$27:$K$29,2,0)),IF(P73="","LOSE",P73)))</f>
        <v>S51</v>
      </c>
      <c r="BY73" s="50" t="n">
        <f aca="false">IF(BX73="LOSE",1,IF(N(V73)&gt;0,V73,IF(CA73=1,MAX(1,N(VLOOKUP(T73,Parameter!$I$27:$K$29,3,0)),H73,N(N73)),IF(N(Q73)&gt;0,Q73,MAX(1,H73)))))</f>
        <v>31</v>
      </c>
      <c r="BZ73" s="53" t="n">
        <f aca="false">IF(BX73="LOSE",1,0)</f>
        <v>0</v>
      </c>
      <c r="CA73" s="53" t="n">
        <f aca="false">IF(AND(U73="",OR(P73="",P73="LOSE"),T73&lt;&gt;"",N(S73)&lt;=0,ISNUMBER(MATCH(T73,Parameter!$I$27:$I$29,0))),1,0)</f>
        <v>0</v>
      </c>
      <c r="CB73" s="53" t="n">
        <f aca="false">IF(CQ73&gt;0,INDEX(Parameter!$H$5:$H$7,W73)/INDEX(Parameter!$E$5:$E$7,W73),IF(AND(BZ73=0,N(IFERROR(VLOOKUP(BX73,'Gebinde-Kategorie'!$A$5:$N$45,14,0),0))&gt;0),VLOOKUP(BX73,'Gebinde-Kategorie'!$A$5:$N$45,14,0)*10+Parameter!$M$23,Parameter!$M$24))</f>
        <v>155</v>
      </c>
      <c r="CC73" s="48" t="str">
        <f aca="false">IF(AND(Parameter!$B$19="Ja",E73&lt;&gt;"",ISNUMBER(MATCH(E73,Parameter!$I$35:$I$52,0))),VLOOKUP(E73,Parameter!$I$35:$J$52,2,0),IFERROR(VLOOKUP(D73,Parameter!$A$35:$C$64,2,0),"Nein"))</f>
        <v>2+3</v>
      </c>
      <c r="CD73" s="52" t="n">
        <f aca="false">IF(BZ73=0,0,IF(N(S73)&gt;0,S73,IFERROR(VLOOKUP(D73,Parameter!$A$35:$C$64,3,0)+0,0)))</f>
        <v>0</v>
      </c>
      <c r="CE73" s="48" t="n">
        <f aca="false">IF(AA73&lt;&gt;"",AA73,Z73)</f>
        <v>3</v>
      </c>
      <c r="CF73" s="48" t="str">
        <f aca="false">IF(OR(CE73=1,CE73=2,CE73=3),IF(Parameter!$E$27="Ja","LIFT",IF(CE73=1,"L1","L23")),IF(CE73="Aussen","Aussen","-"))</f>
        <v>LIFT</v>
      </c>
      <c r="CG73" s="59" t="n">
        <f aca="false">IF(N(AB73)&gt;0,AB73,0)</f>
        <v>0</v>
      </c>
      <c r="CH73" s="53" t="n">
        <f aca="false">IF(ISNUMBER(AE73),1,0)</f>
        <v>0</v>
      </c>
      <c r="CI73" s="50" t="n">
        <f aca="false">N(AE73)</f>
        <v>0</v>
      </c>
      <c r="CJ73" s="50" t="n">
        <f aca="false">N(M73)+N(N73)</f>
        <v>50</v>
      </c>
      <c r="CK73" s="50" t="n">
        <f aca="false">N(M73)</f>
        <v>10</v>
      </c>
      <c r="CL73" s="50" t="n">
        <f aca="false">N(N73)</f>
        <v>40</v>
      </c>
      <c r="CM73" s="50" t="n">
        <f aca="false">ROUNDUP(H73/BY73,0)</f>
        <v>2</v>
      </c>
      <c r="CN73" s="50" t="n">
        <f aca="false">ROUNDUP(CI73/BY73,0)</f>
        <v>0</v>
      </c>
      <c r="CO73" s="53" t="n">
        <f aca="false">IF(BZ73=1,0,IFERROR(VLOOKUP(BX73,'Gebinde-Kategorie'!$A$5:$N$45,5,0)+0,0))</f>
        <v>11</v>
      </c>
      <c r="CP73" s="53" t="n">
        <f aca="false">IFERROR(IF(OR(CE73=1,CE73=2,CE73=3),N(INDEX(Parameter!$I$5:$I$7,CE73)),0),0)</f>
        <v>0</v>
      </c>
      <c r="CQ73" s="52" t="n">
        <f aca="false">IF(AND(Parameter!$B$21="Ja",ISNUMBER(W73),N(X73)&gt;0),IFERROR(N(INDEX(Parameter!$L$5:$L$7,W73))*INDEX(Parameter!$E$5:$E$7,W73)*X73/SUMIFS($X$7:$X$1843,$W$7:$W$1843,W73),0),0)</f>
        <v>0</v>
      </c>
    </row>
    <row r="74" customFormat="false" ht="15" hidden="false" customHeight="false" outlineLevel="0" collapsed="false">
      <c r="A74" s="48" t="s">
        <v>360</v>
      </c>
      <c r="B74" s="48" t="s">
        <v>361</v>
      </c>
      <c r="C74" s="48" t="s">
        <v>173</v>
      </c>
      <c r="D74" s="48" t="s">
        <v>362</v>
      </c>
      <c r="E74" s="48"/>
      <c r="F74" s="48" t="s">
        <v>227</v>
      </c>
      <c r="G74" s="49" t="n">
        <v>3398.79</v>
      </c>
      <c r="H74" s="50" t="n">
        <f aca="false">MAX(0,IF(AND(Parameter!$B$21="Ja",ISNUMBER(Y74)),Y74,IF(Parameter!$B$20="Jahresanfang 2025 + Export",BR74+BQ74,BQ74)))</f>
        <v>1</v>
      </c>
      <c r="I74" s="50" t="n">
        <f aca="false">H74*G74</f>
        <v>3398.79</v>
      </c>
      <c r="J74" s="50" t="n">
        <f aca="false">BT74*Parameter!$B$18</f>
        <v>0</v>
      </c>
      <c r="K74" s="51" t="n">
        <v>0.5</v>
      </c>
      <c r="L74" s="52" t="n">
        <v>0</v>
      </c>
      <c r="M74" s="50" t="n">
        <v>0</v>
      </c>
      <c r="N74" s="50" t="n">
        <v>1</v>
      </c>
      <c r="O74" s="53" t="n">
        <v>0</v>
      </c>
      <c r="P74" s="48" t="s">
        <v>177</v>
      </c>
      <c r="Q74" s="50"/>
      <c r="R74" s="53" t="n">
        <f aca="false">IF(BZ74=1,0,IFERROR(VLOOKUP(BX74,'Gebinde-Kategorie'!$A$5:$N$45,13,0)+0,0))</f>
        <v>0</v>
      </c>
      <c r="S74" s="54"/>
      <c r="T74" s="55"/>
      <c r="U74" s="55"/>
      <c r="V74" s="55"/>
      <c r="W74" s="48"/>
      <c r="X74" s="50"/>
      <c r="Y74" s="50"/>
      <c r="Z74" s="48" t="str">
        <f aca="false">IF(A74="","",IF(AND(Parameter!$B$21="Ja",ISNUMBER(W74)),W74,IF(CC74="2+3",IF(ISNUMBER(SEARCH("grosser Artikel",BU74)),2,IFERROR(VLOOKUP(BX74,Parameter!$F$35:$G$64,2,0),2)),IF(OR(CC74="Nein",CC74=""),"-",CC74))))</f>
        <v>-</v>
      </c>
      <c r="AA74" s="55"/>
      <c r="AB74" s="56"/>
      <c r="AC74" s="50" t="n">
        <f aca="false">AV74</f>
        <v>1</v>
      </c>
      <c r="AD74" s="50" t="n">
        <f aca="false">MAX(AV74,H74)</f>
        <v>1</v>
      </c>
      <c r="AE74" s="57"/>
      <c r="AF74" s="50" t="n">
        <f aca="false">IF(LEFT(Cockpit!$C$5,1)="A",H74,IF(Parameter!$E$30="MAX-Bestand",IF(CH74=1,CI74,IF(LEFT(Cockpit!$C$5,1)="B",AL74,MAX(AL74,H74))),ROUNDUP(AJ74,0)))</f>
        <v>1</v>
      </c>
      <c r="AG74" s="50" t="n">
        <f aca="false">IF(BZ74=1,0,ROUNDUP(AF74/BY74,0))</f>
        <v>0</v>
      </c>
      <c r="AH74" s="52" t="n">
        <f aca="false">IF(CQ74&gt;0,CQ74*MAX(1,AF74/X74),IF(BZ74=1,IF(AF74&lt;=0,0,CD74*MAX(1,IF(H74&gt;0,AF74/H74,1))),IF(R74&gt;0,AG74/R74,0))/MAX(0.1,N(Parameter!$M$21)))</f>
        <v>0.15</v>
      </c>
      <c r="AI74" s="50" t="n">
        <f aca="false">AH74*CB74</f>
        <v>35.25</v>
      </c>
      <c r="AJ74" s="51" t="n">
        <f aca="false">IF(LEFT(Cockpit!$C$5,1)="A",H74,IF(CH74=1,(CK74+CI74)/2,IF(LEFT(Cockpit!$C$5,1)="B",(CK74+AL74)/2,MAX((CK74+AL74)/2,H74))))</f>
        <v>1</v>
      </c>
      <c r="AK74" s="50" t="n">
        <f aca="false">AJ74*G74</f>
        <v>3398.79</v>
      </c>
      <c r="AL74" s="50" t="n">
        <f aca="false">ROUNDUP(CK74+MAX(CL74,2*(J74/IF(CG74&gt;0,CG74,MAX(0.1,N(Cockpit!$C$6)))-CK74)),0)</f>
        <v>1</v>
      </c>
      <c r="AM74" s="51" t="n">
        <f aca="false">IF(AI74&gt;0,J74/AI74,-1)</f>
        <v>0</v>
      </c>
      <c r="AN74" s="51" t="str">
        <f aca="false">IF(AND(OR(CF74="L1",CF74="L23",CF74="LIFT"),AI74&gt;0),SUMIFS($AI$7:$AI$1843,$CF$7:$CF$1843,CF74,$AM$7:$AM$1843,"&gt;"&amp;AM74)+SUMIFS($AI$7:$AI$1843,$CF$7:$CF$1843,CF74,$AM$7:$AM$1843,AM74,$BW$7:$BW$1843,"&lt;="&amp;BW74),"")</f>
        <v/>
      </c>
      <c r="AO74" s="58" t="n">
        <f aca="false">IF(AN74="",0,MAX(0,MIN(1,(IF(CF74="L1",Parameter!$H$5,IF(CF74="L23",Parameter!$H$6+Parameter!$H$7,Parameter!$H$5+Parameter!$H$6+Parameter!$H$7))-(AN74-AI74))/AI74)))</f>
        <v>0</v>
      </c>
      <c r="AP74" s="50" t="n">
        <f aca="false">IF(LEFT(Cockpit!$I$5,1)="A",H74,IF(Parameter!$E$30="MAX-Bestand",IF(CH74=1,CI74,IF(LEFT(Cockpit!$I$5,1)="B",AV74,MAX(AV74,H74))),ROUNDUP(AT74,0)))</f>
        <v>1</v>
      </c>
      <c r="AQ74" s="50" t="n">
        <f aca="false">IF(BZ74=1,0,ROUNDUP(AP74/BY74,0))</f>
        <v>0</v>
      </c>
      <c r="AR74" s="52" t="n">
        <f aca="false">IF(CQ74&gt;0,CQ74*MAX(1,AP74/X74),IF(BZ74=1,IF(AP74&lt;=0,0,CD74*MAX(1,IF(H74&gt;0,AP74/H74,1))),IF(R74&gt;0,AQ74/R74,0))/MAX(0.1,N(Parameter!$M$21)))</f>
        <v>0.15</v>
      </c>
      <c r="AS74" s="50" t="n">
        <f aca="false">AR74*CB74</f>
        <v>35.25</v>
      </c>
      <c r="AT74" s="51" t="n">
        <f aca="false">IF(LEFT(Cockpit!$I$5,1)="A",H74,IF(CH74=1,(CK74+CI74)/2,IF(LEFT(Cockpit!$I$5,1)="B",(CK74+AV74)/2,MAX((CK74+AV74)/2,H74))))</f>
        <v>1</v>
      </c>
      <c r="AU74" s="50" t="n">
        <f aca="false">AT74*G74</f>
        <v>3398.79</v>
      </c>
      <c r="AV74" s="50" t="n">
        <f aca="false">ROUNDUP(CK74+MAX(CL74,2*(J74/IF(CG74&gt;0,CG74,MAX(0.1,N(Cockpit!$I$6)))-CK74)),0)</f>
        <v>1</v>
      </c>
      <c r="AW74" s="51" t="n">
        <f aca="false">IF(AS74&gt;0,J74/AS74,-1)</f>
        <v>0</v>
      </c>
      <c r="AX74" s="51" t="str">
        <f aca="false">IF(AND(OR(CF74="L1",CF74="L23",CF74="LIFT"),AS74&gt;0),SUMIFS($AS$7:$AS$1843,$CF$7:$CF$1843,CF74,$AW$7:$AW$1843,"&gt;"&amp;AW74)+SUMIFS($AS$7:$AS$1843,$CF$7:$CF$1843,CF74,$AW$7:$AW$1843,AW74,$BW$7:$BW$1843,"&lt;="&amp;BW74),"")</f>
        <v/>
      </c>
      <c r="AY74" s="58" t="n">
        <f aca="false">IF(AX74="",0,MAX(0,MIN(1,(IF(CF74="L1",Parameter!$H$5,IF(CF74="L23",Parameter!$H$6+Parameter!$H$7,Parameter!$H$5+Parameter!$H$6+Parameter!$H$7))-(AX74-AS74))/AS74)))</f>
        <v>0</v>
      </c>
      <c r="AZ74" s="50" t="n">
        <f aca="false">IF(LEFT(Cockpit!$O$5,1)="A",H74,IF(Parameter!$E$30="MAX-Bestand",IF(CH74=1,CI74,IF(LEFT(Cockpit!$O$5,1)="B",BF74,MAX(BF74,H74))),ROUNDUP(BD74,0)))</f>
        <v>1</v>
      </c>
      <c r="BA74" s="50" t="n">
        <f aca="false">IF(BZ74=1,0,ROUNDUP(AZ74/BY74,0))</f>
        <v>0</v>
      </c>
      <c r="BB74" s="52" t="n">
        <f aca="false">IF(CQ74&gt;0,CQ74*MAX(1,AZ74/X74),IF(BZ74=1,IF(AZ74&lt;=0,0,CD74*MAX(1,IF(H74&gt;0,AZ74/H74,1))),IF(R74&gt;0,BA74/R74,0))/MAX(0.1,N(Parameter!$M$21)))</f>
        <v>0.15</v>
      </c>
      <c r="BC74" s="50" t="n">
        <f aca="false">BB74*CB74</f>
        <v>35.25</v>
      </c>
      <c r="BD74" s="51" t="n">
        <f aca="false">IF(LEFT(Cockpit!$O$5,1)="A",H74,IF(CH74=1,(CK74+CI74)/2,IF(LEFT(Cockpit!$O$5,1)="B",(CK74+BF74)/2,MAX((CK74+BF74)/2,H74))))</f>
        <v>0.5</v>
      </c>
      <c r="BE74" s="50" t="n">
        <f aca="false">BD74*G74</f>
        <v>1699.395</v>
      </c>
      <c r="BF74" s="50" t="n">
        <f aca="false">ROUNDUP(CK74+MAX(CL74,2*(J74/IF(CG74&gt;0,CG74,MAX(0.1,N(Cockpit!$O$6)))-CK74)),0)</f>
        <v>1</v>
      </c>
      <c r="BG74" s="51" t="n">
        <f aca="false">IF(BC74&gt;0,J74/BC74,-1)</f>
        <v>0</v>
      </c>
      <c r="BH74" s="51" t="str">
        <f aca="false">IF(AND(OR(CF74="L1",CF74="L23",CF74="LIFT"),BC74&gt;0),SUMIFS($BC$7:$BC$1843,$CF$7:$CF$1843,CF74,$BG$7:$BG$1843,"&gt;"&amp;BG74)+SUMIFS($BC$7:$BC$1843,$CF$7:$CF$1843,CF74,$BG$7:$BG$1843,BG74,$BW$7:$BW$1843,"&lt;="&amp;BW74),"")</f>
        <v/>
      </c>
      <c r="BI74" s="58" t="n">
        <f aca="false">IF(BH74="",0,MAX(0,MIN(1,(IF(CF74="L1",Parameter!$H$5,IF(CF74="L23",Parameter!$H$6+Parameter!$H$7,Parameter!$H$5+Parameter!$H$6+Parameter!$H$7))-(BH74-BC74))/BC74)))</f>
        <v>0</v>
      </c>
      <c r="BJ74" s="48" t="str">
        <f aca="false">IF(AI74&lt;=0,"",IF(CF74="Aussen","Aussenlager",IF(CF74="-","Nicht im Lift",IF(AO74&gt;=1,"Lift",IF(AO74&lt;=0,"Aussenlager","teilweise")))))</f>
        <v>Nicht im Lift</v>
      </c>
      <c r="BK74" s="48" t="str">
        <f aca="false">IF(AS74&lt;=0,"",IF(CF74="Aussen","Aussenlager",IF(CF74="-","Nicht im Lift",IF(AY74&gt;=1,"Lift",IF(AY74&lt;=0,"Aussenlager","teilweise")))))</f>
        <v>Nicht im Lift</v>
      </c>
      <c r="BL74" s="48" t="str">
        <f aca="false">IF(BC74&lt;=0,"",IF(CF74="Aussen","Aussenlager",IF(CF74="-","Nicht im Lift",IF(BI74&gt;=1,"Lift",IF(BI74&lt;=0,"Aussenlager","teilweise")))))</f>
        <v>Nicht im Lift</v>
      </c>
      <c r="BM74" s="48" t="str">
        <f aca="false">IF(A74="","",IF(BV74=1,"Neu; ","")&amp;IF(AND(BV74=0,BQ74&lt;0),"negativer Bestand (Export "&amp;BQ74&amp;"); ","")&amp;IF(J74&lt;=0,"Kein Verbrauch; ","")&amp;IF(CQ74&gt;0,"Lift "&amp;W74&amp;" lt. Liftbericht (Fach "&amp;X74&amp;" Stk); ",IF(CA74=1,"Gebinde geschätzt ("&amp;T74&amp;"); ",IF(BZ74=1,"Lose – Tablare geschätzt; ","")))&amp;IF(H74&gt;AV74,"Überbestand "&amp;ROUND(H74-AV74,0)&amp;" Stk / CHF "&amp;ROUND((H74-AV74)*G74,0)&amp;"; ","")&amp;IF(AND(CH74=1,CI74&lt;CJ74),"MAX &lt; MB+LG; ","")&amp;IF(AND(CP74&gt;0,CO74*10&gt;CP74),"zu hoch für Tablar; ","")&amp;IF(AND(BV74=0,OR(CH74=1,AA74&lt;&gt;"",U74&lt;&gt;"",V74&lt;&gt;"",AB74&lt;&gt;"")),"manuell übersteuert; ","")&amp;IF(AND(BZ74=0,R74=0),"Gebinde unbekannt / Stellmass fehlt; ","")&amp;IF(AND(BZ74=0,N(V74)&lt;=0,N(Q74)&lt;=0),"Menge pro Gebinde fehlt (Ist = 1 Gebinde); ","")&amp;BU74)</f>
        <v>Kein Verbrauch; Lose – Tablare geschätzt; </v>
      </c>
      <c r="BN74" s="48"/>
      <c r="BO74" s="48"/>
      <c r="BP74" s="55"/>
      <c r="BQ74" s="50" t="n">
        <v>1</v>
      </c>
      <c r="BR74" s="50" t="n">
        <v>0</v>
      </c>
      <c r="BS74" s="49" t="n">
        <v>3398.79</v>
      </c>
      <c r="BT74" s="50" t="n">
        <v>0</v>
      </c>
      <c r="BU74" s="48"/>
      <c r="BV74" s="53" t="n">
        <v>0</v>
      </c>
      <c r="BW74" s="53" t="n">
        <v>74</v>
      </c>
      <c r="BX74" s="48" t="str">
        <f aca="false">IF(U74&lt;&gt;"",UPPER(TRIM(U74)),IF(CA74=1,UPPER(VLOOKUP(T74,Parameter!$I$27:$K$29,2,0)),IF(P74="","LOSE",P74)))</f>
        <v>LOSE</v>
      </c>
      <c r="BY74" s="50" t="n">
        <f aca="false">IF(BX74="LOSE",1,IF(N(V74)&gt;0,V74,IF(CA74=1,MAX(1,N(VLOOKUP(T74,Parameter!$I$27:$K$29,3,0)),H74,N(N74)),IF(N(Q74)&gt;0,Q74,MAX(1,H74)))))</f>
        <v>1</v>
      </c>
      <c r="BZ74" s="53" t="n">
        <f aca="false">IF(BX74="LOSE",1,0)</f>
        <v>1</v>
      </c>
      <c r="CA74" s="53" t="n">
        <f aca="false">IF(AND(U74="",OR(P74="",P74="LOSE"),T74&lt;&gt;"",N(S74)&lt;=0,ISNUMBER(MATCH(T74,Parameter!$I$27:$I$29,0))),1,0)</f>
        <v>0</v>
      </c>
      <c r="CB74" s="53" t="n">
        <f aca="false">IF(CQ74&gt;0,INDEX(Parameter!$H$5:$H$7,W74)/INDEX(Parameter!$E$5:$E$7,W74),IF(AND(BZ74=0,N(IFERROR(VLOOKUP(BX74,'Gebinde-Kategorie'!$A$5:$N$45,14,0),0))&gt;0),VLOOKUP(BX74,'Gebinde-Kategorie'!$A$5:$N$45,14,0)*10+Parameter!$M$23,Parameter!$M$24))</f>
        <v>235</v>
      </c>
      <c r="CC74" s="48" t="str">
        <f aca="false">IF(AND(Parameter!$B$19="Ja",E74&lt;&gt;"",ISNUMBER(MATCH(E74,Parameter!$I$35:$I$52,0))),VLOOKUP(E74,Parameter!$I$35:$J$52,2,0),IFERROR(VLOOKUP(D74,Parameter!$A$35:$C$64,2,0),"Nein"))</f>
        <v>Nein</v>
      </c>
      <c r="CD74" s="52" t="n">
        <f aca="false">IF(BZ74=0,0,IF(N(S74)&gt;0,S74,IFERROR(VLOOKUP(D74,Parameter!$A$35:$C$64,3,0)+0,0)))</f>
        <v>0.15</v>
      </c>
      <c r="CE74" s="48" t="str">
        <f aca="false">IF(AA74&lt;&gt;"",AA74,Z74)</f>
        <v>-</v>
      </c>
      <c r="CF74" s="48" t="str">
        <f aca="false">IF(OR(CE74=1,CE74=2,CE74=3),IF(Parameter!$E$27="Ja","LIFT",IF(CE74=1,"L1","L23")),IF(CE74="Aussen","Aussen","-"))</f>
        <v>-</v>
      </c>
      <c r="CG74" s="59" t="n">
        <f aca="false">IF(N(AB74)&gt;0,AB74,0)</f>
        <v>0</v>
      </c>
      <c r="CH74" s="53" t="n">
        <f aca="false">IF(ISNUMBER(AE74),1,0)</f>
        <v>0</v>
      </c>
      <c r="CI74" s="50" t="n">
        <f aca="false">N(AE74)</f>
        <v>0</v>
      </c>
      <c r="CJ74" s="50" t="n">
        <f aca="false">N(M74)+N(N74)</f>
        <v>1</v>
      </c>
      <c r="CK74" s="50" t="n">
        <f aca="false">N(M74)</f>
        <v>0</v>
      </c>
      <c r="CL74" s="50" t="n">
        <f aca="false">N(N74)</f>
        <v>1</v>
      </c>
      <c r="CM74" s="50" t="n">
        <f aca="false">ROUNDUP(H74/BY74,0)</f>
        <v>1</v>
      </c>
      <c r="CN74" s="50" t="n">
        <f aca="false">ROUNDUP(CI74/BY74,0)</f>
        <v>0</v>
      </c>
      <c r="CO74" s="53" t="n">
        <f aca="false">IF(BZ74=1,0,IFERROR(VLOOKUP(BX74,'Gebinde-Kategorie'!$A$5:$N$45,5,0)+0,0))</f>
        <v>0</v>
      </c>
      <c r="CP74" s="53" t="n">
        <f aca="false">IFERROR(IF(OR(CE74=1,CE74=2,CE74=3),N(INDEX(Parameter!$I$5:$I$7,CE74)),0),0)</f>
        <v>0</v>
      </c>
      <c r="CQ74" s="52" t="n">
        <f aca="false">IF(AND(Parameter!$B$21="Ja",ISNUMBER(W74),N(X74)&gt;0),IFERROR(N(INDEX(Parameter!$L$5:$L$7,W74))*INDEX(Parameter!$E$5:$E$7,W74)*X74/SUMIFS($X$7:$X$1843,$W$7:$W$1843,W74),0),0)</f>
        <v>0</v>
      </c>
    </row>
    <row r="75" customFormat="false" ht="15" hidden="false" customHeight="false" outlineLevel="0" collapsed="false">
      <c r="A75" s="48" t="s">
        <v>363</v>
      </c>
      <c r="B75" s="48" t="s">
        <v>364</v>
      </c>
      <c r="C75" s="48" t="s">
        <v>173</v>
      </c>
      <c r="D75" s="48" t="s">
        <v>182</v>
      </c>
      <c r="E75" s="48"/>
      <c r="F75" s="48" t="s">
        <v>227</v>
      </c>
      <c r="G75" s="49" t="n">
        <v>674.15</v>
      </c>
      <c r="H75" s="50" t="n">
        <f aca="false">MAX(0,IF(AND(Parameter!$B$21="Ja",ISNUMBER(Y75)),Y75,IF(Parameter!$B$20="Jahresanfang 2025 + Export",BR75+BQ75,BQ75)))</f>
        <v>2</v>
      </c>
      <c r="I75" s="50" t="n">
        <f aca="false">H75*G75</f>
        <v>1348.3</v>
      </c>
      <c r="J75" s="50" t="n">
        <f aca="false">BT75*Parameter!$B$18</f>
        <v>0</v>
      </c>
      <c r="K75" s="51" t="n">
        <v>0</v>
      </c>
      <c r="L75" s="52" t="n">
        <v>0</v>
      </c>
      <c r="M75" s="50" t="n">
        <v>0</v>
      </c>
      <c r="N75" s="50" t="n">
        <v>5</v>
      </c>
      <c r="O75" s="53" t="n">
        <v>9999</v>
      </c>
      <c r="P75" s="48" t="s">
        <v>177</v>
      </c>
      <c r="Q75" s="50"/>
      <c r="R75" s="53" t="n">
        <f aca="false">IF(BZ75=1,0,IFERROR(VLOOKUP(BX75,'Gebinde-Kategorie'!$A$5:$N$45,13,0)+0,0))</f>
        <v>0</v>
      </c>
      <c r="S75" s="54"/>
      <c r="T75" s="55"/>
      <c r="U75" s="55"/>
      <c r="V75" s="55"/>
      <c r="W75" s="48" t="n">
        <v>1</v>
      </c>
      <c r="X75" s="50" t="n">
        <v>4</v>
      </c>
      <c r="Y75" s="50" t="n">
        <v>2</v>
      </c>
      <c r="Z75" s="48" t="n">
        <f aca="false">IF(A75="","",IF(AND(Parameter!$B$21="Ja",ISNUMBER(W75)),W75,IF(CC75="2+3",IF(ISNUMBER(SEARCH("grosser Artikel",BU75)),2,IFERROR(VLOOKUP(BX75,Parameter!$F$35:$G$64,2,0),2)),IF(OR(CC75="Nein",CC75=""),"-",CC75))))</f>
        <v>1</v>
      </c>
      <c r="AA75" s="55"/>
      <c r="AB75" s="56"/>
      <c r="AC75" s="50" t="n">
        <f aca="false">AV75</f>
        <v>5</v>
      </c>
      <c r="AD75" s="50" t="n">
        <f aca="false">MAX(AV75,H75)</f>
        <v>5</v>
      </c>
      <c r="AE75" s="57"/>
      <c r="AF75" s="50" t="n">
        <f aca="false">IF(LEFT(Cockpit!$C$5,1)="A",H75,IF(Parameter!$E$30="MAX-Bestand",IF(CH75=1,CI75,IF(LEFT(Cockpit!$C$5,1)="B",AL75,MAX(AL75,H75))),ROUNDUP(AJ75,0)))</f>
        <v>2</v>
      </c>
      <c r="AG75" s="50" t="n">
        <f aca="false">IF(BZ75=1,0,ROUNDUP(AF75/BY75,0))</f>
        <v>0</v>
      </c>
      <c r="AH75" s="52" t="n">
        <f aca="false">IF(CQ75&gt;0,CQ75*MAX(1,AF75/X75),IF(BZ75=1,IF(AF75&lt;=0,0,CD75*MAX(1,IF(H75&gt;0,AF75/H75,1))),IF(R75&gt;0,AG75/R75,0))/MAX(0.1,N(Parameter!$M$21)))</f>
        <v>0.32015065913371</v>
      </c>
      <c r="AI75" s="50" t="n">
        <f aca="false">AH75*CB75</f>
        <v>76.195856873823</v>
      </c>
      <c r="AJ75" s="51" t="n">
        <f aca="false">IF(LEFT(Cockpit!$C$5,1)="A",H75,IF(CH75=1,(CK75+CI75)/2,IF(LEFT(Cockpit!$C$5,1)="B",(CK75+AL75)/2,MAX((CK75+AL75)/2,H75))))</f>
        <v>2</v>
      </c>
      <c r="AK75" s="50" t="n">
        <f aca="false">AJ75*G75</f>
        <v>1348.3</v>
      </c>
      <c r="AL75" s="50" t="n">
        <f aca="false">ROUNDUP(CK75+MAX(CL75,2*(J75/IF(CG75&gt;0,CG75,MAX(0.1,N(Cockpit!$C$6)))-CK75)),0)</f>
        <v>5</v>
      </c>
      <c r="AM75" s="51" t="n">
        <f aca="false">IF(AI75&gt;0,J75/AI75,-1)</f>
        <v>0</v>
      </c>
      <c r="AN75" s="51" t="n">
        <f aca="false">IF(AND(OR(CF75="L1",CF75="L23",CF75="LIFT"),AI75&gt;0),SUMIFS($AI$7:$AI$1843,$CF$7:$CF$1843,CF75,$AM$7:$AM$1843,"&gt;"&amp;AM75)+SUMIFS($AI$7:$AI$1843,$CF$7:$CF$1843,CF75,$AM$7:$AM$1843,AM75,$BW$7:$BW$1843,"&lt;="&amp;BW75),"")</f>
        <v>26583.1941883446</v>
      </c>
      <c r="AO75" s="58" t="n">
        <f aca="false">IF(AN75="",0,MAX(0,MIN(1,(IF(CF75="L1",Parameter!$H$5,IF(CF75="L23",Parameter!$H$6+Parameter!$H$7,Parameter!$H$5+Parameter!$H$6+Parameter!$H$7))-(AN75-AI75))/AI75)))</f>
        <v>1</v>
      </c>
      <c r="AP75" s="50" t="n">
        <f aca="false">IF(LEFT(Cockpit!$I$5,1)="A",H75,IF(Parameter!$E$30="MAX-Bestand",IF(CH75=1,CI75,IF(LEFT(Cockpit!$I$5,1)="B",AV75,MAX(AV75,H75))),ROUNDUP(AT75,0)))</f>
        <v>3</v>
      </c>
      <c r="AQ75" s="50" t="n">
        <f aca="false">IF(BZ75=1,0,ROUNDUP(AP75/BY75,0))</f>
        <v>0</v>
      </c>
      <c r="AR75" s="52" t="n">
        <f aca="false">IF(CQ75&gt;0,CQ75*MAX(1,AP75/X75),IF(BZ75=1,IF(AP75&lt;=0,0,CD75*MAX(1,IF(H75&gt;0,AP75/H75,1))),IF(R75&gt;0,AQ75/R75,0))/MAX(0.1,N(Parameter!$M$21)))</f>
        <v>0.32015065913371</v>
      </c>
      <c r="AS75" s="50" t="n">
        <f aca="false">AR75*CB75</f>
        <v>76.195856873823</v>
      </c>
      <c r="AT75" s="51" t="n">
        <f aca="false">IF(LEFT(Cockpit!$I$5,1)="A",H75,IF(CH75=1,(CK75+CI75)/2,IF(LEFT(Cockpit!$I$5,1)="B",(CK75+AV75)/2,MAX((CK75+AV75)/2,H75))))</f>
        <v>2.5</v>
      </c>
      <c r="AU75" s="50" t="n">
        <f aca="false">AT75*G75</f>
        <v>1685.375</v>
      </c>
      <c r="AV75" s="50" t="n">
        <f aca="false">ROUNDUP(CK75+MAX(CL75,2*(J75/IF(CG75&gt;0,CG75,MAX(0.1,N(Cockpit!$I$6)))-CK75)),0)</f>
        <v>5</v>
      </c>
      <c r="AW75" s="51" t="n">
        <f aca="false">IF(AS75&gt;0,J75/AS75,-1)</f>
        <v>0</v>
      </c>
      <c r="AX75" s="51" t="n">
        <f aca="false">IF(AND(OR(CF75="L1",CF75="L23",CF75="LIFT"),AS75&gt;0),SUMIFS($AS$7:$AS$1843,$CF$7:$CF$1843,CF75,$AW$7:$AW$1843,"&gt;"&amp;AW75)+SUMIFS($AS$7:$AS$1843,$CF$7:$CF$1843,CF75,$AW$7:$AW$1843,AW75,$BW$7:$BW$1843,"&lt;="&amp;BW75),"")</f>
        <v>31936.3428297221</v>
      </c>
      <c r="AY75" s="58" t="n">
        <f aca="false">IF(AX75="",0,MAX(0,MIN(1,(IF(CF75="L1",Parameter!$H$5,IF(CF75="L23",Parameter!$H$6+Parameter!$H$7,Parameter!$H$5+Parameter!$H$6+Parameter!$H$7))-(AX75-AS75))/AS75)))</f>
        <v>1</v>
      </c>
      <c r="AZ75" s="50" t="n">
        <f aca="false">IF(LEFT(Cockpit!$O$5,1)="A",H75,IF(Parameter!$E$30="MAX-Bestand",IF(CH75=1,CI75,IF(LEFT(Cockpit!$O$5,1)="B",BF75,MAX(BF75,H75))),ROUNDUP(BD75,0)))</f>
        <v>3</v>
      </c>
      <c r="BA75" s="50" t="n">
        <f aca="false">IF(BZ75=1,0,ROUNDUP(AZ75/BY75,0))</f>
        <v>0</v>
      </c>
      <c r="BB75" s="52" t="n">
        <f aca="false">IF(CQ75&gt;0,CQ75*MAX(1,AZ75/X75),IF(BZ75=1,IF(AZ75&lt;=0,0,CD75*MAX(1,IF(H75&gt;0,AZ75/H75,1))),IF(R75&gt;0,BA75/R75,0))/MAX(0.1,N(Parameter!$M$21)))</f>
        <v>0.32015065913371</v>
      </c>
      <c r="BC75" s="50" t="n">
        <f aca="false">BB75*CB75</f>
        <v>76.195856873823</v>
      </c>
      <c r="BD75" s="51" t="n">
        <f aca="false">IF(LEFT(Cockpit!$O$5,1)="A",H75,IF(CH75=1,(CK75+CI75)/2,IF(LEFT(Cockpit!$O$5,1)="B",(CK75+BF75)/2,MAX((CK75+BF75)/2,H75))))</f>
        <v>2.5</v>
      </c>
      <c r="BE75" s="50" t="n">
        <f aca="false">BD75*G75</f>
        <v>1685.375</v>
      </c>
      <c r="BF75" s="50" t="n">
        <f aca="false">ROUNDUP(CK75+MAX(CL75,2*(J75/IF(CG75&gt;0,CG75,MAX(0.1,N(Cockpit!$O$6)))-CK75)),0)</f>
        <v>5</v>
      </c>
      <c r="BG75" s="51" t="n">
        <f aca="false">IF(BC75&gt;0,J75/BC75,-1)</f>
        <v>0</v>
      </c>
      <c r="BH75" s="51" t="n">
        <f aca="false">IF(AND(OR(CF75="L1",CF75="L23",CF75="LIFT"),BC75&gt;0),SUMIFS($BC$7:$BC$1843,$CF$7:$CF$1843,CF75,$BG$7:$BG$1843,"&gt;"&amp;BG75)+SUMIFS($BC$7:$BC$1843,$CF$7:$CF$1843,CF75,$BG$7:$BG$1843,BG75,$BW$7:$BW$1843,"&lt;="&amp;BW75),"")</f>
        <v>26132.92467302</v>
      </c>
      <c r="BI75" s="58" t="n">
        <f aca="false">IF(BH75="",0,MAX(0,MIN(1,(IF(CF75="L1",Parameter!$H$5,IF(CF75="L23",Parameter!$H$6+Parameter!$H$7,Parameter!$H$5+Parameter!$H$6+Parameter!$H$7))-(BH75-BC75))/BC75)))</f>
        <v>1</v>
      </c>
      <c r="BJ75" s="48" t="str">
        <f aca="false">IF(AI75&lt;=0,"",IF(CF75="Aussen","Aussenlager",IF(CF75="-","Nicht im Lift",IF(AO75&gt;=1,"Lift",IF(AO75&lt;=0,"Aussenlager","teilweise")))))</f>
        <v>Lift</v>
      </c>
      <c r="BK75" s="48" t="str">
        <f aca="false">IF(AS75&lt;=0,"",IF(CF75="Aussen","Aussenlager",IF(CF75="-","Nicht im Lift",IF(AY75&gt;=1,"Lift",IF(AY75&lt;=0,"Aussenlager","teilweise")))))</f>
        <v>Lift</v>
      </c>
      <c r="BL75" s="48" t="str">
        <f aca="false">IF(BC75&lt;=0,"",IF(CF75="Aussen","Aussenlager",IF(CF75="-","Nicht im Lift",IF(BI75&gt;=1,"Lift",IF(BI75&lt;=0,"Aussenlager","teilweise")))))</f>
        <v>Lift</v>
      </c>
      <c r="BM75" s="48" t="str">
        <f aca="false">IF(A75="","",IF(BV75=1,"Neu; ","")&amp;IF(AND(BV75=0,BQ75&lt;0),"negativer Bestand (Export "&amp;BQ75&amp;"); ","")&amp;IF(J75&lt;=0,"Kein Verbrauch; ","")&amp;IF(CQ75&gt;0,"Lift "&amp;W75&amp;" lt. Liftbericht (Fach "&amp;X75&amp;" Stk); ",IF(CA75=1,"Gebinde geschätzt ("&amp;T75&amp;"); ",IF(BZ75=1,"Lose – Tablare geschätzt; ","")))&amp;IF(H75&gt;AV75,"Überbestand "&amp;ROUND(H75-AV75,0)&amp;" Stk / CHF "&amp;ROUND((H75-AV75)*G75,0)&amp;"; ","")&amp;IF(AND(CH75=1,CI75&lt;CJ75),"MAX &lt; MB+LG; ","")&amp;IF(AND(CP75&gt;0,CO75*10&gt;CP75),"zu hoch für Tablar; ","")&amp;IF(AND(BV75=0,OR(CH75=1,AA75&lt;&gt;"",U75&lt;&gt;"",V75&lt;&gt;"",AB75&lt;&gt;"")),"manuell übersteuert; ","")&amp;IF(AND(BZ75=0,R75=0),"Gebinde unbekannt / Stellmass fehlt; ","")&amp;IF(AND(BZ75=0,N(V75)&lt;=0,N(Q75)&lt;=0),"Menge pro Gebinde fehlt (Ist = 1 Gebinde); ","")&amp;BU75)</f>
        <v>Kein Verbrauch; Lift 1 lt. Liftbericht (Fach 4 Stk); </v>
      </c>
      <c r="BN75" s="48" t="s">
        <v>365</v>
      </c>
      <c r="BO75" s="48" t="s">
        <v>354</v>
      </c>
      <c r="BP75" s="55"/>
      <c r="BQ75" s="50" t="n">
        <v>5</v>
      </c>
      <c r="BR75" s="50" t="n">
        <v>0</v>
      </c>
      <c r="BS75" s="49" t="n">
        <v>3370.75</v>
      </c>
      <c r="BT75" s="50" t="n">
        <v>0</v>
      </c>
      <c r="BU75" s="48"/>
      <c r="BV75" s="53" t="n">
        <v>0</v>
      </c>
      <c r="BW75" s="53" t="n">
        <v>75</v>
      </c>
      <c r="BX75" s="48" t="str">
        <f aca="false">IF(U75&lt;&gt;"",UPPER(TRIM(U75)),IF(CA75=1,UPPER(VLOOKUP(T75,Parameter!$I$27:$K$29,2,0)),IF(P75="","LOSE",P75)))</f>
        <v>LOSE</v>
      </c>
      <c r="BY75" s="50" t="n">
        <f aca="false">IF(BX75="LOSE",1,IF(N(V75)&gt;0,V75,IF(CA75=1,MAX(1,N(VLOOKUP(T75,Parameter!$I$27:$K$29,3,0)),H75,N(N75)),IF(N(Q75)&gt;0,Q75,MAX(1,H75)))))</f>
        <v>1</v>
      </c>
      <c r="BZ75" s="53" t="n">
        <f aca="false">IF(BX75="LOSE",1,0)</f>
        <v>1</v>
      </c>
      <c r="CA75" s="53" t="n">
        <f aca="false">IF(AND(U75="",OR(P75="",P75="LOSE"),T75&lt;&gt;"",N(S75)&lt;=0,ISNUMBER(MATCH(T75,Parameter!$I$27:$I$29,0))),1,0)</f>
        <v>0</v>
      </c>
      <c r="CB75" s="53" t="n">
        <f aca="false">IF(CQ75&gt;0,INDEX(Parameter!$H$5:$H$7,W75)/INDEX(Parameter!$E$5:$E$7,W75),IF(AND(BZ75=0,N(IFERROR(VLOOKUP(BX75,'Gebinde-Kategorie'!$A$5:$N$45,14,0),0))&gt;0),VLOOKUP(BX75,'Gebinde-Kategorie'!$A$5:$N$45,14,0)*10+Parameter!$M$23,Parameter!$M$24))</f>
        <v>238</v>
      </c>
      <c r="CC75" s="48" t="str">
        <f aca="false">IF(AND(Parameter!$B$19="Ja",E75&lt;&gt;"",ISNUMBER(MATCH(E75,Parameter!$I$35:$I$52,0))),VLOOKUP(E75,Parameter!$I$35:$J$52,2,0),IFERROR(VLOOKUP(D75,Parameter!$A$35:$C$64,2,0),"Nein"))</f>
        <v>2+3</v>
      </c>
      <c r="CD75" s="52" t="n">
        <f aca="false">IF(BZ75=0,0,IF(N(S75)&gt;0,S75,IFERROR(VLOOKUP(D75,Parameter!$A$35:$C$64,3,0)+0,0)))</f>
        <v>0.15</v>
      </c>
      <c r="CE75" s="48" t="n">
        <f aca="false">IF(AA75&lt;&gt;"",AA75,Z75)</f>
        <v>1</v>
      </c>
      <c r="CF75" s="48" t="str">
        <f aca="false">IF(OR(CE75=1,CE75=2,CE75=3),IF(Parameter!$E$27="Ja","LIFT",IF(CE75=1,"L1","L23")),IF(CE75="Aussen","Aussen","-"))</f>
        <v>LIFT</v>
      </c>
      <c r="CG75" s="59" t="n">
        <f aca="false">IF(N(AB75)&gt;0,AB75,0)</f>
        <v>0</v>
      </c>
      <c r="CH75" s="53" t="n">
        <f aca="false">IF(ISNUMBER(AE75),1,0)</f>
        <v>0</v>
      </c>
      <c r="CI75" s="50" t="n">
        <f aca="false">N(AE75)</f>
        <v>0</v>
      </c>
      <c r="CJ75" s="50" t="n">
        <f aca="false">N(M75)+N(N75)</f>
        <v>5</v>
      </c>
      <c r="CK75" s="50" t="n">
        <f aca="false">N(M75)</f>
        <v>0</v>
      </c>
      <c r="CL75" s="50" t="n">
        <f aca="false">N(N75)</f>
        <v>5</v>
      </c>
      <c r="CM75" s="50" t="n">
        <f aca="false">ROUNDUP(H75/BY75,0)</f>
        <v>2</v>
      </c>
      <c r="CN75" s="50" t="n">
        <f aca="false">ROUNDUP(CI75/BY75,0)</f>
        <v>0</v>
      </c>
      <c r="CO75" s="53" t="n">
        <f aca="false">IF(BZ75=1,0,IFERROR(VLOOKUP(BX75,'Gebinde-Kategorie'!$A$5:$N$45,5,0)+0,0))</f>
        <v>0</v>
      </c>
      <c r="CP75" s="53" t="n">
        <f aca="false">IFERROR(IF(OR(CE75=1,CE75=2,CE75=3),N(INDEX(Parameter!$I$5:$I$7,CE75)),0),0)</f>
        <v>0</v>
      </c>
      <c r="CQ75" s="52" t="n">
        <f aca="false">IF(AND(Parameter!$B$21="Ja",ISNUMBER(W75),N(X75)&gt;0),IFERROR(N(INDEX(Parameter!$L$5:$L$7,W75))*INDEX(Parameter!$E$5:$E$7,W75)*X75/SUMIFS($X$7:$X$1843,$W$7:$W$1843,W75),0),0)</f>
        <v>0.32015065913371</v>
      </c>
    </row>
    <row r="76" customFormat="false" ht="15" hidden="false" customHeight="false" outlineLevel="0" collapsed="false">
      <c r="A76" s="48" t="s">
        <v>366</v>
      </c>
      <c r="B76" s="48" t="s">
        <v>367</v>
      </c>
      <c r="C76" s="48" t="s">
        <v>173</v>
      </c>
      <c r="D76" s="48" t="s">
        <v>182</v>
      </c>
      <c r="E76" s="48" t="s">
        <v>194</v>
      </c>
      <c r="F76" s="48" t="s">
        <v>227</v>
      </c>
      <c r="G76" s="49" t="n">
        <v>186.8</v>
      </c>
      <c r="H76" s="50" t="n">
        <f aca="false">MAX(0,IF(AND(Parameter!$B$21="Ja",ISNUMBER(Y76)),Y76,IF(Parameter!$B$20="Jahresanfang 2025 + Export",BR76+BQ76,BQ76)))</f>
        <v>19</v>
      </c>
      <c r="I76" s="50" t="n">
        <f aca="false">H76*G76</f>
        <v>3549.2</v>
      </c>
      <c r="J76" s="50" t="n">
        <f aca="false">BT76*Parameter!$B$18</f>
        <v>46</v>
      </c>
      <c r="K76" s="51" t="n">
        <v>8</v>
      </c>
      <c r="L76" s="52" t="n">
        <v>5.75</v>
      </c>
      <c r="M76" s="50" t="n">
        <v>5</v>
      </c>
      <c r="N76" s="50" t="n">
        <v>25</v>
      </c>
      <c r="O76" s="53" t="n">
        <v>49</v>
      </c>
      <c r="P76" s="48" t="s">
        <v>183</v>
      </c>
      <c r="Q76" s="50" t="n">
        <v>13</v>
      </c>
      <c r="R76" s="53" t="n">
        <f aca="false">IF(BZ76=1,0,IFERROR(VLOOKUP(BX76,'Gebinde-Kategorie'!$A$5:$N$45,13,0)+0,0))</f>
        <v>6</v>
      </c>
      <c r="S76" s="54"/>
      <c r="T76" s="55"/>
      <c r="U76" s="55"/>
      <c r="V76" s="55"/>
      <c r="W76" s="48"/>
      <c r="X76" s="50"/>
      <c r="Y76" s="50"/>
      <c r="Z76" s="48" t="n">
        <f aca="false">IF(A76="","",IF(AND(Parameter!$B$21="Ja",ISNUMBER(W76)),W76,IF(CC76="2+3",IF(ISNUMBER(SEARCH("grosser Artikel",BU76)),2,IFERROR(VLOOKUP(BX76,Parameter!$F$35:$G$64,2,0),2)),IF(OR(CC76="Nein",CC76=""),"-",CC76))))</f>
        <v>2</v>
      </c>
      <c r="AA76" s="55"/>
      <c r="AB76" s="56"/>
      <c r="AC76" s="50" t="n">
        <f aca="false">AV76</f>
        <v>30</v>
      </c>
      <c r="AD76" s="50" t="n">
        <f aca="false">MAX(AV76,H76)</f>
        <v>30</v>
      </c>
      <c r="AE76" s="57"/>
      <c r="AF76" s="50" t="n">
        <f aca="false">IF(LEFT(Cockpit!$C$5,1)="A",H76,IF(Parameter!$E$30="MAX-Bestand",IF(CH76=1,CI76,IF(LEFT(Cockpit!$C$5,1)="B",AL76,MAX(AL76,H76))),ROUNDUP(AJ76,0)))</f>
        <v>19</v>
      </c>
      <c r="AG76" s="50" t="n">
        <f aca="false">IF(BZ76=1,0,ROUNDUP(AF76/BY76,0))</f>
        <v>2</v>
      </c>
      <c r="AH76" s="52" t="n">
        <f aca="false">IF(CQ76&gt;0,CQ76*MAX(1,AF76/X76),IF(BZ76=1,IF(AF76&lt;=0,0,CD76*MAX(1,IF(H76&gt;0,AF76/H76,1))),IF(R76&gt;0,AG76/R76,0))/MAX(0.1,N(Parameter!$M$21)))</f>
        <v>0.333333333333333</v>
      </c>
      <c r="AI76" s="50" t="n">
        <f aca="false">AH76*CB76</f>
        <v>78.3333333333333</v>
      </c>
      <c r="AJ76" s="51" t="n">
        <f aca="false">IF(LEFT(Cockpit!$C$5,1)="A",H76,IF(CH76=1,(CK76+CI76)/2,IF(LEFT(Cockpit!$C$5,1)="B",(CK76+AL76)/2,MAX((CK76+AL76)/2,H76))))</f>
        <v>19</v>
      </c>
      <c r="AK76" s="50" t="n">
        <f aca="false">AJ76*G76</f>
        <v>3549.2</v>
      </c>
      <c r="AL76" s="50" t="n">
        <f aca="false">ROUNDUP(CK76+MAX(CL76,2*(J76/IF(CG76&gt;0,CG76,MAX(0.1,N(Cockpit!$C$6)))-CK76)),0)</f>
        <v>30</v>
      </c>
      <c r="AM76" s="51" t="n">
        <f aca="false">IF(AI76&gt;0,J76/AI76,-1)</f>
        <v>0.587234042553192</v>
      </c>
      <c r="AN76" s="51" t="n">
        <f aca="false">IF(AND(OR(CF76="L1",CF76="L23",CF76="LIFT"),AI76&gt;0),SUMIFS($AI$7:$AI$1843,$CF$7:$CF$1843,CF76,$AM$7:$AM$1843,"&gt;"&amp;AM76)+SUMIFS($AI$7:$AI$1843,$CF$7:$CF$1843,CF76,$AM$7:$AM$1843,AM76,$BW$7:$BW$1843,"&lt;="&amp;BW76),"")</f>
        <v>9357.86947703897</v>
      </c>
      <c r="AO76" s="58" t="n">
        <f aca="false">IF(AN76="",0,MAX(0,MIN(1,(IF(CF76="L1",Parameter!$H$5,IF(CF76="L23",Parameter!$H$6+Parameter!$H$7,Parameter!$H$5+Parameter!$H$6+Parameter!$H$7))-(AN76-AI76))/AI76)))</f>
        <v>1</v>
      </c>
      <c r="AP76" s="50" t="n">
        <f aca="false">IF(LEFT(Cockpit!$I$5,1)="A",H76,IF(Parameter!$E$30="MAX-Bestand",IF(CH76=1,CI76,IF(LEFT(Cockpit!$I$5,1)="B",AV76,MAX(AV76,H76))),ROUNDUP(AT76,0)))</f>
        <v>19</v>
      </c>
      <c r="AQ76" s="50" t="n">
        <f aca="false">IF(BZ76=1,0,ROUNDUP(AP76/BY76,0))</f>
        <v>2</v>
      </c>
      <c r="AR76" s="52" t="n">
        <f aca="false">IF(CQ76&gt;0,CQ76*MAX(1,AP76/X76),IF(BZ76=1,IF(AP76&lt;=0,0,CD76*MAX(1,IF(H76&gt;0,AP76/H76,1))),IF(R76&gt;0,AQ76/R76,0))/MAX(0.1,N(Parameter!$M$21)))</f>
        <v>0.333333333333333</v>
      </c>
      <c r="AS76" s="50" t="n">
        <f aca="false">AR76*CB76</f>
        <v>78.3333333333333</v>
      </c>
      <c r="AT76" s="51" t="n">
        <f aca="false">IF(LEFT(Cockpit!$I$5,1)="A",H76,IF(CH76=1,(CK76+CI76)/2,IF(LEFT(Cockpit!$I$5,1)="B",(CK76+AV76)/2,MAX((CK76+AV76)/2,H76))))</f>
        <v>19</v>
      </c>
      <c r="AU76" s="50" t="n">
        <f aca="false">AT76*G76</f>
        <v>3549.2</v>
      </c>
      <c r="AV76" s="50" t="n">
        <f aca="false">ROUNDUP(CK76+MAX(CL76,2*(J76/IF(CG76&gt;0,CG76,MAX(0.1,N(Cockpit!$I$6)))-CK76)),0)</f>
        <v>30</v>
      </c>
      <c r="AW76" s="51" t="n">
        <f aca="false">IF(AS76&gt;0,J76/AS76,-1)</f>
        <v>0.587234042553192</v>
      </c>
      <c r="AX76" s="51" t="n">
        <f aca="false">IF(AND(OR(CF76="L1",CF76="L23",CF76="LIFT"),AS76&gt;0),SUMIFS($AS$7:$AS$1843,$CF$7:$CF$1843,CF76,$AW$7:$AW$1843,"&gt;"&amp;AW76)+SUMIFS($AS$7:$AS$1843,$CF$7:$CF$1843,CF76,$AW$7:$AW$1843,AW76,$BW$7:$BW$1843,"&lt;="&amp;BW76),"")</f>
        <v>11364.782967033</v>
      </c>
      <c r="AY76" s="58" t="n">
        <f aca="false">IF(AX76="",0,MAX(0,MIN(1,(IF(CF76="L1",Parameter!$H$5,IF(CF76="L23",Parameter!$H$6+Parameter!$H$7,Parameter!$H$5+Parameter!$H$6+Parameter!$H$7))-(AX76-AS76))/AS76)))</f>
        <v>1</v>
      </c>
      <c r="AZ76" s="50" t="n">
        <f aca="false">IF(LEFT(Cockpit!$O$5,1)="A",H76,IF(Parameter!$E$30="MAX-Bestand",IF(CH76=1,CI76,IF(LEFT(Cockpit!$O$5,1)="B",BF76,MAX(BF76,H76))),ROUNDUP(BD76,0)))</f>
        <v>18</v>
      </c>
      <c r="BA76" s="50" t="n">
        <f aca="false">IF(BZ76=1,0,ROUNDUP(AZ76/BY76,0))</f>
        <v>2</v>
      </c>
      <c r="BB76" s="52" t="n">
        <f aca="false">IF(CQ76&gt;0,CQ76*MAX(1,AZ76/X76),IF(BZ76=1,IF(AZ76&lt;=0,0,CD76*MAX(1,IF(H76&gt;0,AZ76/H76,1))),IF(R76&gt;0,BA76/R76,0))/MAX(0.1,N(Parameter!$M$21)))</f>
        <v>0.333333333333333</v>
      </c>
      <c r="BC76" s="50" t="n">
        <f aca="false">BB76*CB76</f>
        <v>78.3333333333333</v>
      </c>
      <c r="BD76" s="51" t="n">
        <f aca="false">IF(LEFT(Cockpit!$O$5,1)="A",H76,IF(CH76=1,(CK76+CI76)/2,IF(LEFT(Cockpit!$O$5,1)="B",(CK76+BF76)/2,MAX((CK76+BF76)/2,H76))))</f>
        <v>17.5</v>
      </c>
      <c r="BE76" s="50" t="n">
        <f aca="false">BD76*G76</f>
        <v>3269</v>
      </c>
      <c r="BF76" s="50" t="n">
        <f aca="false">ROUNDUP(CK76+MAX(CL76,2*(J76/IF(CG76&gt;0,CG76,MAX(0.1,N(Cockpit!$O$6)))-CK76)),0)</f>
        <v>30</v>
      </c>
      <c r="BG76" s="51" t="n">
        <f aca="false">IF(BC76&gt;0,J76/BC76,-1)</f>
        <v>0.587234042553192</v>
      </c>
      <c r="BH76" s="51" t="n">
        <f aca="false">IF(AND(OR(CF76="L1",CF76="L23",CF76="LIFT"),BC76&gt;0),SUMIFS($BC$7:$BC$1843,$CF$7:$CF$1843,CF76,$BG$7:$BG$1843,"&gt;"&amp;BG76)+SUMIFS($BC$7:$BC$1843,$CF$7:$CF$1843,CF76,$BG$7:$BG$1843,BG76,$BW$7:$BW$1843,"&lt;="&amp;BW76),"")</f>
        <v>10077.6222527473</v>
      </c>
      <c r="BI76" s="58" t="n">
        <f aca="false">IF(BH76="",0,MAX(0,MIN(1,(IF(CF76="L1",Parameter!$H$5,IF(CF76="L23",Parameter!$H$6+Parameter!$H$7,Parameter!$H$5+Parameter!$H$6+Parameter!$H$7))-(BH76-BC76))/BC76)))</f>
        <v>1</v>
      </c>
      <c r="BJ76" s="48" t="str">
        <f aca="false">IF(AI76&lt;=0,"",IF(CF76="Aussen","Aussenlager",IF(CF76="-","Nicht im Lift",IF(AO76&gt;=1,"Lift",IF(AO76&lt;=0,"Aussenlager","teilweise")))))</f>
        <v>Lift</v>
      </c>
      <c r="BK76" s="48" t="str">
        <f aca="false">IF(AS76&lt;=0,"",IF(CF76="Aussen","Aussenlager",IF(CF76="-","Nicht im Lift",IF(AY76&gt;=1,"Lift",IF(AY76&lt;=0,"Aussenlager","teilweise")))))</f>
        <v>Lift</v>
      </c>
      <c r="BL76" s="48" t="str">
        <f aca="false">IF(BC76&lt;=0,"",IF(CF76="Aussen","Aussenlager",IF(CF76="-","Nicht im Lift",IF(BI76&gt;=1,"Lift",IF(BI76&lt;=0,"Aussenlager","teilweise")))))</f>
        <v>Lift</v>
      </c>
      <c r="BM76" s="48" t="str">
        <f aca="false">IF(A76="","",IF(BV76=1,"Neu; ","")&amp;IF(AND(BV76=0,BQ76&lt;0),"negativer Bestand (Export "&amp;BQ76&amp;"); ","")&amp;IF(J76&lt;=0,"Kein Verbrauch; ","")&amp;IF(CQ76&gt;0,"Lift "&amp;W76&amp;" lt. Liftbericht (Fach "&amp;X76&amp;" Stk); ",IF(CA76=1,"Gebinde geschätzt ("&amp;T76&amp;"); ",IF(BZ76=1,"Lose – Tablare geschätzt; ","")))&amp;IF(H76&gt;AV76,"Überbestand "&amp;ROUND(H76-AV76,0)&amp;" Stk / CHF "&amp;ROUND((H76-AV76)*G76,0)&amp;"; ","")&amp;IF(AND(CH76=1,CI76&lt;CJ76),"MAX &lt; MB+LG; ","")&amp;IF(AND(CP76&gt;0,CO76*10&gt;CP76),"zu hoch für Tablar; ","")&amp;IF(AND(BV76=0,OR(CH76=1,AA76&lt;&gt;"",U76&lt;&gt;"",V76&lt;&gt;"",AB76&lt;&gt;"")),"manuell übersteuert; ","")&amp;IF(AND(BZ76=0,R76=0),"Gebinde unbekannt / Stellmass fehlt; ","")&amp;IF(AND(BZ76=0,N(V76)&lt;=0,N(Q76)&lt;=0),"Menge pro Gebinde fehlt (Ist = 1 Gebinde); ","")&amp;BU76)</f>
        <v>Überbestand; grosser Artikel &amp; nicht im KTL</v>
      </c>
      <c r="BN76" s="48"/>
      <c r="BO76" s="48"/>
      <c r="BP76" s="55"/>
      <c r="BQ76" s="50" t="n">
        <v>18</v>
      </c>
      <c r="BR76" s="50" t="n">
        <v>1</v>
      </c>
      <c r="BS76" s="49" t="n">
        <v>3364.03</v>
      </c>
      <c r="BT76" s="50" t="n">
        <v>46</v>
      </c>
      <c r="BU76" s="48" t="s">
        <v>368</v>
      </c>
      <c r="BV76" s="53" t="n">
        <v>0</v>
      </c>
      <c r="BW76" s="53" t="n">
        <v>76</v>
      </c>
      <c r="BX76" s="48" t="str">
        <f aca="false">IF(U76&lt;&gt;"",UPPER(TRIM(U76)),IF(CA76=1,UPPER(VLOOKUP(T76,Parameter!$I$27:$K$29,2,0)),IF(P76="","LOSE",P76)))</f>
        <v>S71</v>
      </c>
      <c r="BY76" s="50" t="n">
        <f aca="false">IF(BX76="LOSE",1,IF(N(V76)&gt;0,V76,IF(CA76=1,MAX(1,N(VLOOKUP(T76,Parameter!$I$27:$K$29,3,0)),H76,N(N76)),IF(N(Q76)&gt;0,Q76,MAX(1,H76)))))</f>
        <v>13</v>
      </c>
      <c r="BZ76" s="53" t="n">
        <f aca="false">IF(BX76="LOSE",1,0)</f>
        <v>0</v>
      </c>
      <c r="CA76" s="53" t="n">
        <f aca="false">IF(AND(U76="",OR(P76="",P76="LOSE"),T76&lt;&gt;"",N(S76)&lt;=0,ISNUMBER(MATCH(T76,Parameter!$I$27:$I$29,0))),1,0)</f>
        <v>0</v>
      </c>
      <c r="CB76" s="53" t="n">
        <f aca="false">IF(CQ76&gt;0,INDEX(Parameter!$H$5:$H$7,W76)/INDEX(Parameter!$E$5:$E$7,W76),IF(AND(BZ76=0,N(IFERROR(VLOOKUP(BX76,'Gebinde-Kategorie'!$A$5:$N$45,14,0),0))&gt;0),VLOOKUP(BX76,'Gebinde-Kategorie'!$A$5:$N$45,14,0)*10+Parameter!$M$23,Parameter!$M$24))</f>
        <v>235</v>
      </c>
      <c r="CC76" s="48" t="str">
        <f aca="false">IF(AND(Parameter!$B$19="Ja",E76&lt;&gt;"",ISNUMBER(MATCH(E76,Parameter!$I$35:$I$52,0))),VLOOKUP(E76,Parameter!$I$35:$J$52,2,0),IFERROR(VLOOKUP(D76,Parameter!$A$35:$C$64,2,0),"Nein"))</f>
        <v>2+3</v>
      </c>
      <c r="CD76" s="52" t="n">
        <f aca="false">IF(BZ76=0,0,IF(N(S76)&gt;0,S76,IFERROR(VLOOKUP(D76,Parameter!$A$35:$C$64,3,0)+0,0)))</f>
        <v>0</v>
      </c>
      <c r="CE76" s="48" t="n">
        <f aca="false">IF(AA76&lt;&gt;"",AA76,Z76)</f>
        <v>2</v>
      </c>
      <c r="CF76" s="48" t="str">
        <f aca="false">IF(OR(CE76=1,CE76=2,CE76=3),IF(Parameter!$E$27="Ja","LIFT",IF(CE76=1,"L1","L23")),IF(CE76="Aussen","Aussen","-"))</f>
        <v>LIFT</v>
      </c>
      <c r="CG76" s="59" t="n">
        <f aca="false">IF(N(AB76)&gt;0,AB76,0)</f>
        <v>0</v>
      </c>
      <c r="CH76" s="53" t="n">
        <f aca="false">IF(ISNUMBER(AE76),1,0)</f>
        <v>0</v>
      </c>
      <c r="CI76" s="50" t="n">
        <f aca="false">N(AE76)</f>
        <v>0</v>
      </c>
      <c r="CJ76" s="50" t="n">
        <f aca="false">N(M76)+N(N76)</f>
        <v>30</v>
      </c>
      <c r="CK76" s="50" t="n">
        <f aca="false">N(M76)</f>
        <v>5</v>
      </c>
      <c r="CL76" s="50" t="n">
        <f aca="false">N(N76)</f>
        <v>25</v>
      </c>
      <c r="CM76" s="50" t="n">
        <f aca="false">ROUNDUP(H76/BY76,0)</f>
        <v>2</v>
      </c>
      <c r="CN76" s="50" t="n">
        <f aca="false">ROUNDUP(CI76/BY76,0)</f>
        <v>0</v>
      </c>
      <c r="CO76" s="53" t="n">
        <f aca="false">IF(BZ76=1,0,IFERROR(VLOOKUP(BX76,'Gebinde-Kategorie'!$A$5:$N$45,5,0)+0,0))</f>
        <v>20</v>
      </c>
      <c r="CP76" s="53" t="n">
        <f aca="false">IFERROR(IF(OR(CE76=1,CE76=2,CE76=3),N(INDEX(Parameter!$I$5:$I$7,CE76)),0),0)</f>
        <v>0</v>
      </c>
      <c r="CQ76" s="52" t="n">
        <f aca="false">IF(AND(Parameter!$B$21="Ja",ISNUMBER(W76),N(X76)&gt;0),IFERROR(N(INDEX(Parameter!$L$5:$L$7,W76))*INDEX(Parameter!$E$5:$E$7,W76)*X76/SUMIFS($X$7:$X$1843,$W$7:$W$1843,W76),0),0)</f>
        <v>0</v>
      </c>
    </row>
    <row r="77" customFormat="false" ht="15" hidden="false" customHeight="false" outlineLevel="0" collapsed="false">
      <c r="A77" s="48" t="s">
        <v>369</v>
      </c>
      <c r="B77" s="48" t="s">
        <v>370</v>
      </c>
      <c r="C77" s="48" t="s">
        <v>173</v>
      </c>
      <c r="D77" s="48" t="s">
        <v>182</v>
      </c>
      <c r="E77" s="48"/>
      <c r="F77" s="48" t="s">
        <v>227</v>
      </c>
      <c r="G77" s="49" t="n">
        <v>553.67</v>
      </c>
      <c r="H77" s="50" t="n">
        <f aca="false">MAX(0,IF(AND(Parameter!$B$21="Ja",ISNUMBER(Y77)),Y77,IF(Parameter!$B$20="Jahresanfang 2025 + Export",BR77+BQ77,BQ77)))</f>
        <v>6</v>
      </c>
      <c r="I77" s="50" t="n">
        <f aca="false">H77*G77</f>
        <v>3322.02</v>
      </c>
      <c r="J77" s="50" t="n">
        <f aca="false">BT77*Parameter!$B$18</f>
        <v>18</v>
      </c>
      <c r="K77" s="51" t="n">
        <v>7</v>
      </c>
      <c r="L77" s="52" t="n">
        <v>2.57142857142857</v>
      </c>
      <c r="M77" s="50" t="n">
        <v>3</v>
      </c>
      <c r="N77" s="50" t="n">
        <v>10</v>
      </c>
      <c r="O77" s="53" t="n">
        <v>63</v>
      </c>
      <c r="P77" s="48" t="s">
        <v>183</v>
      </c>
      <c r="Q77" s="50" t="n">
        <v>20</v>
      </c>
      <c r="R77" s="53" t="n">
        <f aca="false">IF(BZ77=1,0,IFERROR(VLOOKUP(BX77,'Gebinde-Kategorie'!$A$5:$N$45,13,0)+0,0))</f>
        <v>6</v>
      </c>
      <c r="S77" s="54"/>
      <c r="T77" s="55"/>
      <c r="U77" s="55"/>
      <c r="V77" s="55"/>
      <c r="W77" s="48"/>
      <c r="X77" s="50"/>
      <c r="Y77" s="50"/>
      <c r="Z77" s="48" t="n">
        <f aca="false">IF(A77="","",IF(AND(Parameter!$B$21="Ja",ISNUMBER(W77)),W77,IF(CC77="2+3",IF(ISNUMBER(SEARCH("grosser Artikel",BU77)),2,IFERROR(VLOOKUP(BX77,Parameter!$F$35:$G$64,2,0),2)),IF(OR(CC77="Nein",CC77=""),"-",CC77))))</f>
        <v>2</v>
      </c>
      <c r="AA77" s="55"/>
      <c r="AB77" s="56"/>
      <c r="AC77" s="50" t="n">
        <f aca="false">AV77</f>
        <v>13</v>
      </c>
      <c r="AD77" s="50" t="n">
        <f aca="false">MAX(AV77,H77)</f>
        <v>13</v>
      </c>
      <c r="AE77" s="57"/>
      <c r="AF77" s="50" t="n">
        <f aca="false">IF(LEFT(Cockpit!$C$5,1)="A",H77,IF(Parameter!$E$30="MAX-Bestand",IF(CH77=1,CI77,IF(LEFT(Cockpit!$C$5,1)="B",AL77,MAX(AL77,H77))),ROUNDUP(AJ77,0)))</f>
        <v>6</v>
      </c>
      <c r="AG77" s="50" t="n">
        <f aca="false">IF(BZ77=1,0,ROUNDUP(AF77/BY77,0))</f>
        <v>1</v>
      </c>
      <c r="AH77" s="52" t="n">
        <f aca="false">IF(CQ77&gt;0,CQ77*MAX(1,AF77/X77),IF(BZ77=1,IF(AF77&lt;=0,0,CD77*MAX(1,IF(H77&gt;0,AF77/H77,1))),IF(R77&gt;0,AG77/R77,0))/MAX(0.1,N(Parameter!$M$21)))</f>
        <v>0.166666666666667</v>
      </c>
      <c r="AI77" s="50" t="n">
        <f aca="false">AH77*CB77</f>
        <v>39.1666666666667</v>
      </c>
      <c r="AJ77" s="51" t="n">
        <f aca="false">IF(LEFT(Cockpit!$C$5,1)="A",H77,IF(CH77=1,(CK77+CI77)/2,IF(LEFT(Cockpit!$C$5,1)="B",(CK77+AL77)/2,MAX((CK77+AL77)/2,H77))))</f>
        <v>6</v>
      </c>
      <c r="AK77" s="50" t="n">
        <f aca="false">AJ77*G77</f>
        <v>3322.02</v>
      </c>
      <c r="AL77" s="50" t="n">
        <f aca="false">ROUNDUP(CK77+MAX(CL77,2*(J77/IF(CG77&gt;0,CG77,MAX(0.1,N(Cockpit!$C$6)))-CK77)),0)</f>
        <v>13</v>
      </c>
      <c r="AM77" s="51" t="n">
        <f aca="false">IF(AI77&gt;0,J77/AI77,-1)</f>
        <v>0.459574468085106</v>
      </c>
      <c r="AN77" s="51" t="n">
        <f aca="false">IF(AND(OR(CF77="L1",CF77="L23",CF77="LIFT"),AI77&gt;0),SUMIFS($AI$7:$AI$1843,$CF$7:$CF$1843,CF77,$AM$7:$AM$1843,"&gt;"&amp;AM77)+SUMIFS($AI$7:$AI$1843,$CF$7:$CF$1843,CF77,$AM$7:$AM$1843,AM77,$BW$7:$BW$1843,"&lt;="&amp;BW77),"")</f>
        <v>9739.34383601333</v>
      </c>
      <c r="AO77" s="58" t="n">
        <f aca="false">IF(AN77="",0,MAX(0,MIN(1,(IF(CF77="L1",Parameter!$H$5,IF(CF77="L23",Parameter!$H$6+Parameter!$H$7,Parameter!$H$5+Parameter!$H$6+Parameter!$H$7))-(AN77-AI77))/AI77)))</f>
        <v>1</v>
      </c>
      <c r="AP77" s="50" t="n">
        <f aca="false">IF(LEFT(Cockpit!$I$5,1)="A",H77,IF(Parameter!$E$30="MAX-Bestand",IF(CH77=1,CI77,IF(LEFT(Cockpit!$I$5,1)="B",AV77,MAX(AV77,H77))),ROUNDUP(AT77,0)))</f>
        <v>8</v>
      </c>
      <c r="AQ77" s="50" t="n">
        <f aca="false">IF(BZ77=1,0,ROUNDUP(AP77/BY77,0))</f>
        <v>1</v>
      </c>
      <c r="AR77" s="52" t="n">
        <f aca="false">IF(CQ77&gt;0,CQ77*MAX(1,AP77/X77),IF(BZ77=1,IF(AP77&lt;=0,0,CD77*MAX(1,IF(H77&gt;0,AP77/H77,1))),IF(R77&gt;0,AQ77/R77,0))/MAX(0.1,N(Parameter!$M$21)))</f>
        <v>0.166666666666667</v>
      </c>
      <c r="AS77" s="50" t="n">
        <f aca="false">AR77*CB77</f>
        <v>39.1666666666667</v>
      </c>
      <c r="AT77" s="51" t="n">
        <f aca="false">IF(LEFT(Cockpit!$I$5,1)="A",H77,IF(CH77=1,(CK77+CI77)/2,IF(LEFT(Cockpit!$I$5,1)="B",(CK77+AV77)/2,MAX((CK77+AV77)/2,H77))))</f>
        <v>8</v>
      </c>
      <c r="AU77" s="50" t="n">
        <f aca="false">AT77*G77</f>
        <v>4429.36</v>
      </c>
      <c r="AV77" s="50" t="n">
        <f aca="false">ROUNDUP(CK77+MAX(CL77,2*(J77/IF(CG77&gt;0,CG77,MAX(0.1,N(Cockpit!$I$6)))-CK77)),0)</f>
        <v>13</v>
      </c>
      <c r="AW77" s="51" t="n">
        <f aca="false">IF(AS77&gt;0,J77/AS77,-1)</f>
        <v>0.459574468085106</v>
      </c>
      <c r="AX77" s="51" t="n">
        <f aca="false">IF(AND(OR(CF77="L1",CF77="L23",CF77="LIFT"),AS77&gt;0),SUMIFS($AS$7:$AS$1843,$CF$7:$CF$1843,CF77,$AW$7:$AW$1843,"&gt;"&amp;AW77)+SUMIFS($AS$7:$AS$1843,$CF$7:$CF$1843,CF77,$AW$7:$AW$1843,AW77,$BW$7:$BW$1843,"&lt;="&amp;BW77),"")</f>
        <v>12153.1804029304</v>
      </c>
      <c r="AY77" s="58" t="n">
        <f aca="false">IF(AX77="",0,MAX(0,MIN(1,(IF(CF77="L1",Parameter!$H$5,IF(CF77="L23",Parameter!$H$6+Parameter!$H$7,Parameter!$H$5+Parameter!$H$6+Parameter!$H$7))-(AX77-AS77))/AS77)))</f>
        <v>1</v>
      </c>
      <c r="AZ77" s="50" t="n">
        <f aca="false">IF(LEFT(Cockpit!$O$5,1)="A",H77,IF(Parameter!$E$30="MAX-Bestand",IF(CH77=1,CI77,IF(LEFT(Cockpit!$O$5,1)="B",BF77,MAX(BF77,H77))),ROUNDUP(BD77,0)))</f>
        <v>8</v>
      </c>
      <c r="BA77" s="50" t="n">
        <f aca="false">IF(BZ77=1,0,ROUNDUP(AZ77/BY77,0))</f>
        <v>1</v>
      </c>
      <c r="BB77" s="52" t="n">
        <f aca="false">IF(CQ77&gt;0,CQ77*MAX(1,AZ77/X77),IF(BZ77=1,IF(AZ77&lt;=0,0,CD77*MAX(1,IF(H77&gt;0,AZ77/H77,1))),IF(R77&gt;0,BA77/R77,0))/MAX(0.1,N(Parameter!$M$21)))</f>
        <v>0.166666666666667</v>
      </c>
      <c r="BC77" s="50" t="n">
        <f aca="false">BB77*CB77</f>
        <v>39.1666666666667</v>
      </c>
      <c r="BD77" s="51" t="n">
        <f aca="false">IF(LEFT(Cockpit!$O$5,1)="A",H77,IF(CH77=1,(CK77+CI77)/2,IF(LEFT(Cockpit!$O$5,1)="B",(CK77+BF77)/2,MAX((CK77+BF77)/2,H77))))</f>
        <v>8</v>
      </c>
      <c r="BE77" s="50" t="n">
        <f aca="false">BD77*G77</f>
        <v>4429.36</v>
      </c>
      <c r="BF77" s="50" t="n">
        <f aca="false">ROUNDUP(CK77+MAX(CL77,2*(J77/IF(CG77&gt;0,CG77,MAX(0.1,N(Cockpit!$O$6)))-CK77)),0)</f>
        <v>13</v>
      </c>
      <c r="BG77" s="51" t="n">
        <f aca="false">IF(BC77&gt;0,J77/BC77,-1)</f>
        <v>0.459574468085106</v>
      </c>
      <c r="BH77" s="51" t="n">
        <f aca="false">IF(AND(OR(CF77="L1",CF77="L23",CF77="LIFT"),BC77&gt;0),SUMIFS($BC$7:$BC$1843,$CF$7:$CF$1843,CF77,$BG$7:$BG$1843,"&gt;"&amp;BG77)+SUMIFS($BC$7:$BC$1843,$CF$7:$CF$1843,CF77,$BG$7:$BG$1843,BG77,$BW$7:$BW$1843,"&lt;="&amp;BW77),"")</f>
        <v>10459.0966117216</v>
      </c>
      <c r="BI77" s="58" t="n">
        <f aca="false">IF(BH77="",0,MAX(0,MIN(1,(IF(CF77="L1",Parameter!$H$5,IF(CF77="L23",Parameter!$H$6+Parameter!$H$7,Parameter!$H$5+Parameter!$H$6+Parameter!$H$7))-(BH77-BC77))/BC77)))</f>
        <v>1</v>
      </c>
      <c r="BJ77" s="48" t="str">
        <f aca="false">IF(AI77&lt;=0,"",IF(CF77="Aussen","Aussenlager",IF(CF77="-","Nicht im Lift",IF(AO77&gt;=1,"Lift",IF(AO77&lt;=0,"Aussenlager","teilweise")))))</f>
        <v>Lift</v>
      </c>
      <c r="BK77" s="48" t="str">
        <f aca="false">IF(AS77&lt;=0,"",IF(CF77="Aussen","Aussenlager",IF(CF77="-","Nicht im Lift",IF(AY77&gt;=1,"Lift",IF(AY77&lt;=0,"Aussenlager","teilweise")))))</f>
        <v>Lift</v>
      </c>
      <c r="BL77" s="48" t="str">
        <f aca="false">IF(BC77&lt;=0,"",IF(CF77="Aussen","Aussenlager",IF(CF77="-","Nicht im Lift",IF(BI77&gt;=1,"Lift",IF(BI77&lt;=0,"Aussenlager","teilweise")))))</f>
        <v>Lift</v>
      </c>
      <c r="BM77" s="48" t="str">
        <f aca="false">IF(A77="","",IF(BV77=1,"Neu; ","")&amp;IF(AND(BV77=0,BQ77&lt;0),"negativer Bestand (Export "&amp;BQ77&amp;"); ","")&amp;IF(J77&lt;=0,"Kein Verbrauch; ","")&amp;IF(CQ77&gt;0,"Lift "&amp;W77&amp;" lt. Liftbericht (Fach "&amp;X77&amp;" Stk); ",IF(CA77=1,"Gebinde geschätzt ("&amp;T77&amp;"); ",IF(BZ77=1,"Lose – Tablare geschätzt; ","")))&amp;IF(H77&gt;AV77,"Überbestand "&amp;ROUND(H77-AV77,0)&amp;" Stk / CHF "&amp;ROUND((H77-AV77)*G77,0)&amp;"; ","")&amp;IF(AND(CH77=1,CI77&lt;CJ77),"MAX &lt; MB+LG; ","")&amp;IF(AND(CP77&gt;0,CO77*10&gt;CP77),"zu hoch für Tablar; ","")&amp;IF(AND(BV77=0,OR(CH77=1,AA77&lt;&gt;"",U77&lt;&gt;"",V77&lt;&gt;"",AB77&lt;&gt;"")),"manuell übersteuert; ","")&amp;IF(AND(BZ77=0,R77=0),"Gebinde unbekannt / Stellmass fehlt; ","")&amp;IF(AND(BZ77=0,N(V77)&lt;=0,N(Q77)&lt;=0),"Menge pro Gebinde fehlt (Ist = 1 Gebinde); ","")&amp;BU77)</f>
        <v/>
      </c>
      <c r="BN77" s="48"/>
      <c r="BO77" s="48"/>
      <c r="BP77" s="55"/>
      <c r="BQ77" s="50" t="n">
        <v>6</v>
      </c>
      <c r="BR77" s="50" t="n">
        <v>0</v>
      </c>
      <c r="BS77" s="49" t="n">
        <v>3322.02</v>
      </c>
      <c r="BT77" s="50" t="n">
        <v>18</v>
      </c>
      <c r="BU77" s="48"/>
      <c r="BV77" s="53" t="n">
        <v>0</v>
      </c>
      <c r="BW77" s="53" t="n">
        <v>77</v>
      </c>
      <c r="BX77" s="48" t="str">
        <f aca="false">IF(U77&lt;&gt;"",UPPER(TRIM(U77)),IF(CA77=1,UPPER(VLOOKUP(T77,Parameter!$I$27:$K$29,2,0)),IF(P77="","LOSE",P77)))</f>
        <v>S71</v>
      </c>
      <c r="BY77" s="50" t="n">
        <f aca="false">IF(BX77="LOSE",1,IF(N(V77)&gt;0,V77,IF(CA77=1,MAX(1,N(VLOOKUP(T77,Parameter!$I$27:$K$29,3,0)),H77,N(N77)),IF(N(Q77)&gt;0,Q77,MAX(1,H77)))))</f>
        <v>20</v>
      </c>
      <c r="BZ77" s="53" t="n">
        <f aca="false">IF(BX77="LOSE",1,0)</f>
        <v>0</v>
      </c>
      <c r="CA77" s="53" t="n">
        <f aca="false">IF(AND(U77="",OR(P77="",P77="LOSE"),T77&lt;&gt;"",N(S77)&lt;=0,ISNUMBER(MATCH(T77,Parameter!$I$27:$I$29,0))),1,0)</f>
        <v>0</v>
      </c>
      <c r="CB77" s="53" t="n">
        <f aca="false">IF(CQ77&gt;0,INDEX(Parameter!$H$5:$H$7,W77)/INDEX(Parameter!$E$5:$E$7,W77),IF(AND(BZ77=0,N(IFERROR(VLOOKUP(BX77,'Gebinde-Kategorie'!$A$5:$N$45,14,0),0))&gt;0),VLOOKUP(BX77,'Gebinde-Kategorie'!$A$5:$N$45,14,0)*10+Parameter!$M$23,Parameter!$M$24))</f>
        <v>235</v>
      </c>
      <c r="CC77" s="48" t="str">
        <f aca="false">IF(AND(Parameter!$B$19="Ja",E77&lt;&gt;"",ISNUMBER(MATCH(E77,Parameter!$I$35:$I$52,0))),VLOOKUP(E77,Parameter!$I$35:$J$52,2,0),IFERROR(VLOOKUP(D77,Parameter!$A$35:$C$64,2,0),"Nein"))</f>
        <v>2+3</v>
      </c>
      <c r="CD77" s="52" t="n">
        <f aca="false">IF(BZ77=0,0,IF(N(S77)&gt;0,S77,IFERROR(VLOOKUP(D77,Parameter!$A$35:$C$64,3,0)+0,0)))</f>
        <v>0</v>
      </c>
      <c r="CE77" s="48" t="n">
        <f aca="false">IF(AA77&lt;&gt;"",AA77,Z77)</f>
        <v>2</v>
      </c>
      <c r="CF77" s="48" t="str">
        <f aca="false">IF(OR(CE77=1,CE77=2,CE77=3),IF(Parameter!$E$27="Ja","LIFT",IF(CE77=1,"L1","L23")),IF(CE77="Aussen","Aussen","-"))</f>
        <v>LIFT</v>
      </c>
      <c r="CG77" s="59" t="n">
        <f aca="false">IF(N(AB77)&gt;0,AB77,0)</f>
        <v>0</v>
      </c>
      <c r="CH77" s="53" t="n">
        <f aca="false">IF(ISNUMBER(AE77),1,0)</f>
        <v>0</v>
      </c>
      <c r="CI77" s="50" t="n">
        <f aca="false">N(AE77)</f>
        <v>0</v>
      </c>
      <c r="CJ77" s="50" t="n">
        <f aca="false">N(M77)+N(N77)</f>
        <v>13</v>
      </c>
      <c r="CK77" s="50" t="n">
        <f aca="false">N(M77)</f>
        <v>3</v>
      </c>
      <c r="CL77" s="50" t="n">
        <f aca="false">N(N77)</f>
        <v>10</v>
      </c>
      <c r="CM77" s="50" t="n">
        <f aca="false">ROUNDUP(H77/BY77,0)</f>
        <v>1</v>
      </c>
      <c r="CN77" s="50" t="n">
        <f aca="false">ROUNDUP(CI77/BY77,0)</f>
        <v>0</v>
      </c>
      <c r="CO77" s="53" t="n">
        <f aca="false">IF(BZ77=1,0,IFERROR(VLOOKUP(BX77,'Gebinde-Kategorie'!$A$5:$N$45,5,0)+0,0))</f>
        <v>20</v>
      </c>
      <c r="CP77" s="53" t="n">
        <f aca="false">IFERROR(IF(OR(CE77=1,CE77=2,CE77=3),N(INDEX(Parameter!$I$5:$I$7,CE77)),0),0)</f>
        <v>0</v>
      </c>
      <c r="CQ77" s="52" t="n">
        <f aca="false">IF(AND(Parameter!$B$21="Ja",ISNUMBER(W77),N(X77)&gt;0),IFERROR(N(INDEX(Parameter!$L$5:$L$7,W77))*INDEX(Parameter!$E$5:$E$7,W77)*X77/SUMIFS($X$7:$X$1843,$W$7:$W$1843,W77),0),0)</f>
        <v>0</v>
      </c>
    </row>
    <row r="78" customFormat="false" ht="15" hidden="false" customHeight="false" outlineLevel="0" collapsed="false">
      <c r="A78" s="48" t="s">
        <v>371</v>
      </c>
      <c r="B78" s="48" t="s">
        <v>372</v>
      </c>
      <c r="C78" s="48" t="s">
        <v>173</v>
      </c>
      <c r="D78" s="48" t="s">
        <v>193</v>
      </c>
      <c r="E78" s="48"/>
      <c r="F78" s="48" t="s">
        <v>227</v>
      </c>
      <c r="G78" s="49" t="n">
        <v>818.16</v>
      </c>
      <c r="H78" s="50" t="n">
        <f aca="false">MAX(0,IF(AND(Parameter!$B$21="Ja",ISNUMBER(Y78)),Y78,IF(Parameter!$B$20="Jahresanfang 2025 + Export",BR78+BQ78,BQ78)))</f>
        <v>4</v>
      </c>
      <c r="I78" s="50" t="n">
        <f aca="false">H78*G78</f>
        <v>3272.64</v>
      </c>
      <c r="J78" s="50" t="n">
        <f aca="false">BT78*Parameter!$B$18</f>
        <v>1</v>
      </c>
      <c r="K78" s="51" t="n">
        <v>2</v>
      </c>
      <c r="L78" s="52" t="n">
        <v>0.5</v>
      </c>
      <c r="M78" s="50" t="n">
        <v>0</v>
      </c>
      <c r="N78" s="50" t="n">
        <v>1</v>
      </c>
      <c r="O78" s="53" t="n">
        <v>49</v>
      </c>
      <c r="P78" s="48" t="s">
        <v>302</v>
      </c>
      <c r="Q78" s="50" t="n">
        <v>5</v>
      </c>
      <c r="R78" s="53" t="n">
        <f aca="false">IF(BZ78=1,0,IFERROR(VLOOKUP(BX78,'Gebinde-Kategorie'!$A$5:$N$45,13,0)+0,0))</f>
        <v>12</v>
      </c>
      <c r="S78" s="54"/>
      <c r="T78" s="55"/>
      <c r="U78" s="55"/>
      <c r="V78" s="55"/>
      <c r="W78" s="48"/>
      <c r="X78" s="50"/>
      <c r="Y78" s="50"/>
      <c r="Z78" s="48" t="n">
        <f aca="false">IF(A78="","",IF(AND(Parameter!$B$21="Ja",ISNUMBER(W78)),W78,IF(CC78="2+3",IF(ISNUMBER(SEARCH("grosser Artikel",BU78)),2,IFERROR(VLOOKUP(BX78,Parameter!$F$35:$G$64,2,0),2)),IF(OR(CC78="Nein",CC78=""),"-",CC78))))</f>
        <v>2</v>
      </c>
      <c r="AA78" s="55"/>
      <c r="AB78" s="56"/>
      <c r="AC78" s="50" t="n">
        <f aca="false">AV78</f>
        <v>1</v>
      </c>
      <c r="AD78" s="50" t="n">
        <f aca="false">MAX(AV78,H78)</f>
        <v>4</v>
      </c>
      <c r="AE78" s="57"/>
      <c r="AF78" s="50" t="n">
        <f aca="false">IF(LEFT(Cockpit!$C$5,1)="A",H78,IF(Parameter!$E$30="MAX-Bestand",IF(CH78=1,CI78,IF(LEFT(Cockpit!$C$5,1)="B",AL78,MAX(AL78,H78))),ROUNDUP(AJ78,0)))</f>
        <v>4</v>
      </c>
      <c r="AG78" s="50" t="n">
        <f aca="false">IF(BZ78=1,0,ROUNDUP(AF78/BY78,0))</f>
        <v>1</v>
      </c>
      <c r="AH78" s="52" t="n">
        <f aca="false">IF(CQ78&gt;0,CQ78*MAX(1,AF78/X78),IF(BZ78=1,IF(AF78&lt;=0,0,CD78*MAX(1,IF(H78&gt;0,AF78/H78,1))),IF(R78&gt;0,AG78/R78,0))/MAX(0.1,N(Parameter!$M$21)))</f>
        <v>0.0833333333333333</v>
      </c>
      <c r="AI78" s="50" t="n">
        <f aca="false">AH78*CB78</f>
        <v>20.4166666666667</v>
      </c>
      <c r="AJ78" s="51" t="n">
        <f aca="false">IF(LEFT(Cockpit!$C$5,1)="A",H78,IF(CH78=1,(CK78+CI78)/2,IF(LEFT(Cockpit!$C$5,1)="B",(CK78+AL78)/2,MAX((CK78+AL78)/2,H78))))</f>
        <v>4</v>
      </c>
      <c r="AK78" s="50" t="n">
        <f aca="false">AJ78*G78</f>
        <v>3272.64</v>
      </c>
      <c r="AL78" s="50" t="n">
        <f aca="false">ROUNDUP(CK78+MAX(CL78,2*(J78/IF(CG78&gt;0,CG78,MAX(0.1,N(Cockpit!$C$6)))-CK78)),0)</f>
        <v>1</v>
      </c>
      <c r="AM78" s="51" t="n">
        <f aca="false">IF(AI78&gt;0,J78/AI78,-1)</f>
        <v>0.0489795918367347</v>
      </c>
      <c r="AN78" s="51" t="n">
        <f aca="false">IF(AND(OR(CF78="L1",CF78="L23",CF78="LIFT"),AI78&gt;0),SUMIFS($AI$7:$AI$1843,$CF$7:$CF$1843,CF78,$AM$7:$AM$1843,"&gt;"&amp;AM78)+SUMIFS($AI$7:$AI$1843,$CF$7:$CF$1843,CF78,$AM$7:$AM$1843,AM78,$BW$7:$BW$1843,"&lt;="&amp;BW78),"")</f>
        <v>19344.190659858</v>
      </c>
      <c r="AO78" s="58" t="n">
        <f aca="false">IF(AN78="",0,MAX(0,MIN(1,(IF(CF78="L1",Parameter!$H$5,IF(CF78="L23",Parameter!$H$6+Parameter!$H$7,Parameter!$H$5+Parameter!$H$6+Parameter!$H$7))-(AN78-AI78))/AI78)))</f>
        <v>1</v>
      </c>
      <c r="AP78" s="50" t="n">
        <f aca="false">IF(LEFT(Cockpit!$I$5,1)="A",H78,IF(Parameter!$E$30="MAX-Bestand",IF(CH78=1,CI78,IF(LEFT(Cockpit!$I$5,1)="B",AV78,MAX(AV78,H78))),ROUNDUP(AT78,0)))</f>
        <v>4</v>
      </c>
      <c r="AQ78" s="50" t="n">
        <f aca="false">IF(BZ78=1,0,ROUNDUP(AP78/BY78,0))</f>
        <v>1</v>
      </c>
      <c r="AR78" s="52" t="n">
        <f aca="false">IF(CQ78&gt;0,CQ78*MAX(1,AP78/X78),IF(BZ78=1,IF(AP78&lt;=0,0,CD78*MAX(1,IF(H78&gt;0,AP78/H78,1))),IF(R78&gt;0,AQ78/R78,0))/MAX(0.1,N(Parameter!$M$21)))</f>
        <v>0.0833333333333333</v>
      </c>
      <c r="AS78" s="50" t="n">
        <f aca="false">AR78*CB78</f>
        <v>20.4166666666667</v>
      </c>
      <c r="AT78" s="51" t="n">
        <f aca="false">IF(LEFT(Cockpit!$I$5,1)="A",H78,IF(CH78=1,(CK78+CI78)/2,IF(LEFT(Cockpit!$I$5,1)="B",(CK78+AV78)/2,MAX((CK78+AV78)/2,H78))))</f>
        <v>4</v>
      </c>
      <c r="AU78" s="50" t="n">
        <f aca="false">AT78*G78</f>
        <v>3272.64</v>
      </c>
      <c r="AV78" s="50" t="n">
        <f aca="false">ROUNDUP(CK78+MAX(CL78,2*(J78/IF(CG78&gt;0,CG78,MAX(0.1,N(Cockpit!$I$6)))-CK78)),0)</f>
        <v>1</v>
      </c>
      <c r="AW78" s="51" t="n">
        <f aca="false">IF(AS78&gt;0,J78/AS78,-1)</f>
        <v>0.0489795918367347</v>
      </c>
      <c r="AX78" s="51" t="n">
        <f aca="false">IF(AND(OR(CF78="L1",CF78="L23",CF78="LIFT"),AS78&gt;0),SUMIFS($AS$7:$AS$1843,$CF$7:$CF$1843,CF78,$AW$7:$AW$1843,"&gt;"&amp;AW78)+SUMIFS($AS$7:$AS$1843,$CF$7:$CF$1843,CF78,$AW$7:$AW$1843,AW78,$BW$7:$BW$1843,"&lt;="&amp;BW78),"")</f>
        <v>24403.5893012355</v>
      </c>
      <c r="AY78" s="58" t="n">
        <f aca="false">IF(AX78="",0,MAX(0,MIN(1,(IF(CF78="L1",Parameter!$H$5,IF(CF78="L23",Parameter!$H$6+Parameter!$H$7,Parameter!$H$5+Parameter!$H$6+Parameter!$H$7))-(AX78-AS78))/AS78)))</f>
        <v>1</v>
      </c>
      <c r="AZ78" s="50" t="n">
        <f aca="false">IF(LEFT(Cockpit!$O$5,1)="A",H78,IF(Parameter!$E$30="MAX-Bestand",IF(CH78=1,CI78,IF(LEFT(Cockpit!$O$5,1)="B",BF78,MAX(BF78,H78))),ROUNDUP(BD78,0)))</f>
        <v>1</v>
      </c>
      <c r="BA78" s="50" t="n">
        <f aca="false">IF(BZ78=1,0,ROUNDUP(AZ78/BY78,0))</f>
        <v>1</v>
      </c>
      <c r="BB78" s="52" t="n">
        <f aca="false">IF(CQ78&gt;0,CQ78*MAX(1,AZ78/X78),IF(BZ78=1,IF(AZ78&lt;=0,0,CD78*MAX(1,IF(H78&gt;0,AZ78/H78,1))),IF(R78&gt;0,BA78/R78,0))/MAX(0.1,N(Parameter!$M$21)))</f>
        <v>0.0833333333333333</v>
      </c>
      <c r="BC78" s="50" t="n">
        <f aca="false">BB78*CB78</f>
        <v>20.4166666666667</v>
      </c>
      <c r="BD78" s="51" t="n">
        <f aca="false">IF(LEFT(Cockpit!$O$5,1)="A",H78,IF(CH78=1,(CK78+CI78)/2,IF(LEFT(Cockpit!$O$5,1)="B",(CK78+BF78)/2,MAX((CK78+BF78)/2,H78))))</f>
        <v>0.5</v>
      </c>
      <c r="BE78" s="50" t="n">
        <f aca="false">BD78*G78</f>
        <v>409.08</v>
      </c>
      <c r="BF78" s="50" t="n">
        <f aca="false">ROUNDUP(CK78+MAX(CL78,2*(J78/IF(CG78&gt;0,CG78,MAX(0.1,N(Cockpit!$O$6)))-CK78)),0)</f>
        <v>1</v>
      </c>
      <c r="BG78" s="51" t="n">
        <f aca="false">IF(BC78&gt;0,J78/BC78,-1)</f>
        <v>0.0489795918367347</v>
      </c>
      <c r="BH78" s="51" t="n">
        <f aca="false">IF(AND(OR(CF78="L1",CF78="L23",CF78="LIFT"),BC78&gt;0),SUMIFS($BC$7:$BC$1843,$CF$7:$CF$1843,CF78,$BG$7:$BG$1843,"&gt;"&amp;BG78)+SUMIFS($BC$7:$BC$1843,$CF$7:$CF$1843,CF78,$BG$7:$BG$1843,BG78,$BW$7:$BW$1843,"&lt;="&amp;BW78),"")</f>
        <v>20333.0878112001</v>
      </c>
      <c r="BI78" s="58" t="n">
        <f aca="false">IF(BH78="",0,MAX(0,MIN(1,(IF(CF78="L1",Parameter!$H$5,IF(CF78="L23",Parameter!$H$6+Parameter!$H$7,Parameter!$H$5+Parameter!$H$6+Parameter!$H$7))-(BH78-BC78))/BC78)))</f>
        <v>1</v>
      </c>
      <c r="BJ78" s="48" t="str">
        <f aca="false">IF(AI78&lt;=0,"",IF(CF78="Aussen","Aussenlager",IF(CF78="-","Nicht im Lift",IF(AO78&gt;=1,"Lift",IF(AO78&lt;=0,"Aussenlager","teilweise")))))</f>
        <v>Lift</v>
      </c>
      <c r="BK78" s="48" t="str">
        <f aca="false">IF(AS78&lt;=0,"",IF(CF78="Aussen","Aussenlager",IF(CF78="-","Nicht im Lift",IF(AY78&gt;=1,"Lift",IF(AY78&lt;=0,"Aussenlager","teilweise")))))</f>
        <v>Lift</v>
      </c>
      <c r="BL78" s="48" t="str">
        <f aca="false">IF(BC78&lt;=0,"",IF(CF78="Aussen","Aussenlager",IF(CF78="-","Nicht im Lift",IF(BI78&gt;=1,"Lift",IF(BI78&lt;=0,"Aussenlager","teilweise")))))</f>
        <v>Lift</v>
      </c>
      <c r="BM78" s="48" t="str">
        <f aca="false">IF(A78="","",IF(BV78=1,"Neu; ","")&amp;IF(AND(BV78=0,BQ78&lt;0),"negativer Bestand (Export "&amp;BQ78&amp;"); ","")&amp;IF(J78&lt;=0,"Kein Verbrauch; ","")&amp;IF(CQ78&gt;0,"Lift "&amp;W78&amp;" lt. Liftbericht (Fach "&amp;X78&amp;" Stk); ",IF(CA78=1,"Gebinde geschätzt ("&amp;T78&amp;"); ",IF(BZ78=1,"Lose – Tablare geschätzt; ","")))&amp;IF(H78&gt;AV78,"Überbestand "&amp;ROUND(H78-AV78,0)&amp;" Stk / CHF "&amp;ROUND((H78-AV78)*G78,0)&amp;"; ","")&amp;IF(AND(CH78=1,CI78&lt;CJ78),"MAX &lt; MB+LG; ","")&amp;IF(AND(CP78&gt;0,CO78*10&gt;CP78),"zu hoch für Tablar; ","")&amp;IF(AND(BV78=0,OR(CH78=1,AA78&lt;&gt;"",U78&lt;&gt;"",V78&lt;&gt;"",AB78&lt;&gt;"")),"manuell übersteuert; ","")&amp;IF(AND(BZ78=0,R78=0),"Gebinde unbekannt / Stellmass fehlt; ","")&amp;IF(AND(BZ78=0,N(V78)&lt;=0,N(Q78)&lt;=0),"Menge pro Gebinde fehlt (Ist = 1 Gebinde); ","")&amp;BU78)</f>
        <v>Überbestand 3 Stk / CHF 2454; </v>
      </c>
      <c r="BN78" s="48"/>
      <c r="BO78" s="48" t="s">
        <v>373</v>
      </c>
      <c r="BP78" s="55"/>
      <c r="BQ78" s="50" t="n">
        <v>4</v>
      </c>
      <c r="BR78" s="50" t="n">
        <v>0</v>
      </c>
      <c r="BS78" s="49" t="n">
        <v>3272.64</v>
      </c>
      <c r="BT78" s="50" t="n">
        <v>1</v>
      </c>
      <c r="BU78" s="48"/>
      <c r="BV78" s="53" t="n">
        <v>0</v>
      </c>
      <c r="BW78" s="53" t="n">
        <v>78</v>
      </c>
      <c r="BX78" s="48" t="str">
        <f aca="false">IF(U78&lt;&gt;"",UPPER(TRIM(U78)),IF(CA78=1,UPPER(VLOOKUP(T78,Parameter!$I$27:$K$29,2,0)),IF(P78="","LOSE",P78)))</f>
        <v>S62</v>
      </c>
      <c r="BY78" s="50" t="n">
        <f aca="false">IF(BX78="LOSE",1,IF(N(V78)&gt;0,V78,IF(CA78=1,MAX(1,N(VLOOKUP(T78,Parameter!$I$27:$K$29,3,0)),H78,N(N78)),IF(N(Q78)&gt;0,Q78,MAX(1,H78)))))</f>
        <v>5</v>
      </c>
      <c r="BZ78" s="53" t="n">
        <f aca="false">IF(BX78="LOSE",1,0)</f>
        <v>0</v>
      </c>
      <c r="CA78" s="53" t="n">
        <f aca="false">IF(AND(U78="",OR(P78="",P78="LOSE"),T78&lt;&gt;"",N(S78)&lt;=0,ISNUMBER(MATCH(T78,Parameter!$I$27:$I$29,0))),1,0)</f>
        <v>0</v>
      </c>
      <c r="CB78" s="53" t="n">
        <f aca="false">IF(CQ78&gt;0,INDEX(Parameter!$H$5:$H$7,W78)/INDEX(Parameter!$E$5:$E$7,W78),IF(AND(BZ78=0,N(IFERROR(VLOOKUP(BX78,'Gebinde-Kategorie'!$A$5:$N$45,14,0),0))&gt;0),VLOOKUP(BX78,'Gebinde-Kategorie'!$A$5:$N$45,14,0)*10+Parameter!$M$23,Parameter!$M$24))</f>
        <v>245</v>
      </c>
      <c r="CC78" s="48" t="str">
        <f aca="false">IF(AND(Parameter!$B$19="Ja",E78&lt;&gt;"",ISNUMBER(MATCH(E78,Parameter!$I$35:$I$52,0))),VLOOKUP(E78,Parameter!$I$35:$J$52,2,0),IFERROR(VLOOKUP(D78,Parameter!$A$35:$C$64,2,0),"Nein"))</f>
        <v>2+3</v>
      </c>
      <c r="CD78" s="52" t="n">
        <f aca="false">IF(BZ78=0,0,IF(N(S78)&gt;0,S78,IFERROR(VLOOKUP(D78,Parameter!$A$35:$C$64,3,0)+0,0)))</f>
        <v>0</v>
      </c>
      <c r="CE78" s="48" t="n">
        <f aca="false">IF(AA78&lt;&gt;"",AA78,Z78)</f>
        <v>2</v>
      </c>
      <c r="CF78" s="48" t="str">
        <f aca="false">IF(OR(CE78=1,CE78=2,CE78=3),IF(Parameter!$E$27="Ja","LIFT",IF(CE78=1,"L1","L23")),IF(CE78="Aussen","Aussen","-"))</f>
        <v>LIFT</v>
      </c>
      <c r="CG78" s="59" t="n">
        <f aca="false">IF(N(AB78)&gt;0,AB78,0)</f>
        <v>0</v>
      </c>
      <c r="CH78" s="53" t="n">
        <f aca="false">IF(ISNUMBER(AE78),1,0)</f>
        <v>0</v>
      </c>
      <c r="CI78" s="50" t="n">
        <f aca="false">N(AE78)</f>
        <v>0</v>
      </c>
      <c r="CJ78" s="50" t="n">
        <f aca="false">N(M78)+N(N78)</f>
        <v>1</v>
      </c>
      <c r="CK78" s="50" t="n">
        <f aca="false">N(M78)</f>
        <v>0</v>
      </c>
      <c r="CL78" s="50" t="n">
        <f aca="false">N(N78)</f>
        <v>1</v>
      </c>
      <c r="CM78" s="50" t="n">
        <f aca="false">ROUNDUP(H78/BY78,0)</f>
        <v>1</v>
      </c>
      <c r="CN78" s="50" t="n">
        <f aca="false">ROUNDUP(CI78/BY78,0)</f>
        <v>0</v>
      </c>
      <c r="CO78" s="53" t="n">
        <f aca="false">IF(BZ78=1,0,IFERROR(VLOOKUP(BX78,'Gebinde-Kategorie'!$A$5:$N$45,5,0)+0,0))</f>
        <v>21</v>
      </c>
      <c r="CP78" s="53" t="n">
        <f aca="false">IFERROR(IF(OR(CE78=1,CE78=2,CE78=3),N(INDEX(Parameter!$I$5:$I$7,CE78)),0),0)</f>
        <v>0</v>
      </c>
      <c r="CQ78" s="52" t="n">
        <f aca="false">IF(AND(Parameter!$B$21="Ja",ISNUMBER(W78),N(X78)&gt;0),IFERROR(N(INDEX(Parameter!$L$5:$L$7,W78))*INDEX(Parameter!$E$5:$E$7,W78)*X78/SUMIFS($X$7:$X$1843,$W$7:$W$1843,W78),0),0)</f>
        <v>0</v>
      </c>
    </row>
    <row r="79" customFormat="false" ht="15" hidden="false" customHeight="false" outlineLevel="0" collapsed="false">
      <c r="A79" s="48" t="s">
        <v>374</v>
      </c>
      <c r="B79" s="48" t="s">
        <v>310</v>
      </c>
      <c r="C79" s="48" t="s">
        <v>173</v>
      </c>
      <c r="D79" s="48" t="s">
        <v>193</v>
      </c>
      <c r="E79" s="48" t="s">
        <v>194</v>
      </c>
      <c r="F79" s="48" t="s">
        <v>227</v>
      </c>
      <c r="G79" s="49" t="n">
        <v>349</v>
      </c>
      <c r="H79" s="50" t="n">
        <f aca="false">MAX(0,IF(AND(Parameter!$B$21="Ja",ISNUMBER(Y79)),Y79,IF(Parameter!$B$20="Jahresanfang 2025 + Export",BR79+BQ79,BQ79)))</f>
        <v>30</v>
      </c>
      <c r="I79" s="50" t="n">
        <f aca="false">H79*G79</f>
        <v>10470</v>
      </c>
      <c r="J79" s="50" t="n">
        <f aca="false">BT79*Parameter!$B$18</f>
        <v>77</v>
      </c>
      <c r="K79" s="51" t="n">
        <v>23</v>
      </c>
      <c r="L79" s="52" t="n">
        <v>3.34782608695652</v>
      </c>
      <c r="M79" s="50" t="n">
        <v>4</v>
      </c>
      <c r="N79" s="50" t="n">
        <v>10</v>
      </c>
      <c r="O79" s="53" t="n">
        <v>21</v>
      </c>
      <c r="P79" s="48" t="s">
        <v>242</v>
      </c>
      <c r="Q79" s="50" t="n">
        <v>35</v>
      </c>
      <c r="R79" s="53" t="n">
        <f aca="false">IF(BZ79=1,0,IFERROR(VLOOKUP(BX79,'Gebinde-Kategorie'!$A$5:$N$45,13,0)+0,0))</f>
        <v>26</v>
      </c>
      <c r="S79" s="54"/>
      <c r="T79" s="55"/>
      <c r="U79" s="55"/>
      <c r="V79" s="55"/>
      <c r="W79" s="48"/>
      <c r="X79" s="50"/>
      <c r="Y79" s="50"/>
      <c r="Z79" s="48" t="n">
        <f aca="false">IF(A79="","",IF(AND(Parameter!$B$21="Ja",ISNUMBER(W79)),W79,IF(CC79="2+3",IF(ISNUMBER(SEARCH("grosser Artikel",BU79)),2,IFERROR(VLOOKUP(BX79,Parameter!$F$35:$G$64,2,0),2)),IF(OR(CC79="Nein",CC79=""),"-",CC79))))</f>
        <v>3</v>
      </c>
      <c r="AA79" s="55"/>
      <c r="AB79" s="56"/>
      <c r="AC79" s="50" t="n">
        <f aca="false">AV79</f>
        <v>48</v>
      </c>
      <c r="AD79" s="50" t="n">
        <f aca="false">MAX(AV79,H79)</f>
        <v>48</v>
      </c>
      <c r="AE79" s="57"/>
      <c r="AF79" s="50" t="n">
        <f aca="false">IF(LEFT(Cockpit!$C$5,1)="A",H79,IF(Parameter!$E$30="MAX-Bestand",IF(CH79=1,CI79,IF(LEFT(Cockpit!$C$5,1)="B",AL79,MAX(AL79,H79))),ROUNDUP(AJ79,0)))</f>
        <v>30</v>
      </c>
      <c r="AG79" s="50" t="n">
        <f aca="false">IF(BZ79=1,0,ROUNDUP(AF79/BY79,0))</f>
        <v>1</v>
      </c>
      <c r="AH79" s="52" t="n">
        <f aca="false">IF(CQ79&gt;0,CQ79*MAX(1,AF79/X79),IF(BZ79=1,IF(AF79&lt;=0,0,CD79*MAX(1,IF(H79&gt;0,AF79/H79,1))),IF(R79&gt;0,AG79/R79,0))/MAX(0.1,N(Parameter!$M$21)))</f>
        <v>0.0384615384615385</v>
      </c>
      <c r="AI79" s="50" t="n">
        <f aca="false">AH79*CB79</f>
        <v>9.42307692307692</v>
      </c>
      <c r="AJ79" s="51" t="n">
        <f aca="false">IF(LEFT(Cockpit!$C$5,1)="A",H79,IF(CH79=1,(CK79+CI79)/2,IF(LEFT(Cockpit!$C$5,1)="B",(CK79+AL79)/2,MAX((CK79+AL79)/2,H79))))</f>
        <v>30</v>
      </c>
      <c r="AK79" s="50" t="n">
        <f aca="false">AJ79*G79</f>
        <v>10470</v>
      </c>
      <c r="AL79" s="50" t="n">
        <f aca="false">ROUNDUP(CK79+MAX(CL79,2*(J79/IF(CG79&gt;0,CG79,MAX(0.1,N(Cockpit!$C$6)))-CK79)),0)</f>
        <v>48</v>
      </c>
      <c r="AM79" s="51" t="n">
        <f aca="false">IF(AI79&gt;0,J79/AI79,-1)</f>
        <v>8.17142857142857</v>
      </c>
      <c r="AN79" s="51" t="n">
        <f aca="false">IF(AND(OR(CF79="L1",CF79="L23",CF79="LIFT"),AI79&gt;0),SUMIFS($AI$7:$AI$1843,$CF$7:$CF$1843,CF79,$AM$7:$AM$1843,"&gt;"&amp;AM79)+SUMIFS($AI$7:$AI$1843,$CF$7:$CF$1843,CF79,$AM$7:$AM$1843,AM79,$BW$7:$BW$1843,"&lt;="&amp;BW79),"")</f>
        <v>3007.71153846154</v>
      </c>
      <c r="AO79" s="58" t="n">
        <f aca="false">IF(AN79="",0,MAX(0,MIN(1,(IF(CF79="L1",Parameter!$H$5,IF(CF79="L23",Parameter!$H$6+Parameter!$H$7,Parameter!$H$5+Parameter!$H$6+Parameter!$H$7))-(AN79-AI79))/AI79)))</f>
        <v>1</v>
      </c>
      <c r="AP79" s="50" t="n">
        <f aca="false">IF(LEFT(Cockpit!$I$5,1)="A",H79,IF(Parameter!$E$30="MAX-Bestand",IF(CH79=1,CI79,IF(LEFT(Cockpit!$I$5,1)="B",AV79,MAX(AV79,H79))),ROUNDUP(AT79,0)))</f>
        <v>30</v>
      </c>
      <c r="AQ79" s="50" t="n">
        <f aca="false">IF(BZ79=1,0,ROUNDUP(AP79/BY79,0))</f>
        <v>1</v>
      </c>
      <c r="AR79" s="52" t="n">
        <f aca="false">IF(CQ79&gt;0,CQ79*MAX(1,AP79/X79),IF(BZ79=1,IF(AP79&lt;=0,0,CD79*MAX(1,IF(H79&gt;0,AP79/H79,1))),IF(R79&gt;0,AQ79/R79,0))/MAX(0.1,N(Parameter!$M$21)))</f>
        <v>0.0384615384615385</v>
      </c>
      <c r="AS79" s="50" t="n">
        <f aca="false">AR79*CB79</f>
        <v>9.42307692307692</v>
      </c>
      <c r="AT79" s="51" t="n">
        <f aca="false">IF(LEFT(Cockpit!$I$5,1)="A",H79,IF(CH79=1,(CK79+CI79)/2,IF(LEFT(Cockpit!$I$5,1)="B",(CK79+AV79)/2,MAX((CK79+AV79)/2,H79))))</f>
        <v>30</v>
      </c>
      <c r="AU79" s="50" t="n">
        <f aca="false">AT79*G79</f>
        <v>10470</v>
      </c>
      <c r="AV79" s="50" t="n">
        <f aca="false">ROUNDUP(CK79+MAX(CL79,2*(J79/IF(CG79&gt;0,CG79,MAX(0.1,N(Cockpit!$I$6)))-CK79)),0)</f>
        <v>48</v>
      </c>
      <c r="AW79" s="51" t="n">
        <f aca="false">IF(AS79&gt;0,J79/AS79,-1)</f>
        <v>8.17142857142857</v>
      </c>
      <c r="AX79" s="51" t="n">
        <f aca="false">IF(AND(OR(CF79="L1",CF79="L23",CF79="LIFT"),AS79&gt;0),SUMIFS($AS$7:$AS$1843,$CF$7:$CF$1843,CF79,$AW$7:$AW$1843,"&gt;"&amp;AW79)+SUMIFS($AS$7:$AS$1843,$CF$7:$CF$1843,CF79,$AW$7:$AW$1843,AW79,$BW$7:$BW$1843,"&lt;="&amp;BW79),"")</f>
        <v>3641.64194139194</v>
      </c>
      <c r="AY79" s="58" t="n">
        <f aca="false">IF(AX79="",0,MAX(0,MIN(1,(IF(CF79="L1",Parameter!$H$5,IF(CF79="L23",Parameter!$H$6+Parameter!$H$7,Parameter!$H$5+Parameter!$H$6+Parameter!$H$7))-(AX79-AS79))/AS79)))</f>
        <v>1</v>
      </c>
      <c r="AZ79" s="50" t="n">
        <f aca="false">IF(LEFT(Cockpit!$O$5,1)="A",H79,IF(Parameter!$E$30="MAX-Bestand",IF(CH79=1,CI79,IF(LEFT(Cockpit!$O$5,1)="B",BF79,MAX(BF79,H79))),ROUNDUP(BD79,0)))</f>
        <v>20</v>
      </c>
      <c r="BA79" s="50" t="n">
        <f aca="false">IF(BZ79=1,0,ROUNDUP(AZ79/BY79,0))</f>
        <v>1</v>
      </c>
      <c r="BB79" s="52" t="n">
        <f aca="false">IF(CQ79&gt;0,CQ79*MAX(1,AZ79/X79),IF(BZ79=1,IF(AZ79&lt;=0,0,CD79*MAX(1,IF(H79&gt;0,AZ79/H79,1))),IF(R79&gt;0,BA79/R79,0))/MAX(0.1,N(Parameter!$M$21)))</f>
        <v>0.0384615384615385</v>
      </c>
      <c r="BC79" s="50" t="n">
        <f aca="false">BB79*CB79</f>
        <v>9.42307692307692</v>
      </c>
      <c r="BD79" s="51" t="n">
        <f aca="false">IF(LEFT(Cockpit!$O$5,1)="A",H79,IF(CH79=1,(CK79+CI79)/2,IF(LEFT(Cockpit!$O$5,1)="B",(CK79+BF79)/2,MAX((CK79+BF79)/2,H79))))</f>
        <v>19.5</v>
      </c>
      <c r="BE79" s="50" t="n">
        <f aca="false">BD79*G79</f>
        <v>6805.5</v>
      </c>
      <c r="BF79" s="50" t="n">
        <f aca="false">ROUNDUP(CK79+MAX(CL79,2*(J79/IF(CG79&gt;0,CG79,MAX(0.1,N(Cockpit!$O$6)))-CK79)),0)</f>
        <v>35</v>
      </c>
      <c r="BG79" s="51" t="n">
        <f aca="false">IF(BC79&gt;0,J79/BC79,-1)</f>
        <v>8.17142857142857</v>
      </c>
      <c r="BH79" s="51" t="n">
        <f aca="false">IF(AND(OR(CF79="L1",CF79="L23",CF79="LIFT"),BC79&gt;0),SUMIFS($BC$7:$BC$1843,$CF$7:$CF$1843,CF79,$BG$7:$BG$1843,"&gt;"&amp;BG79)+SUMIFS($BC$7:$BC$1843,$CF$7:$CF$1843,CF79,$BG$7:$BG$1843,BG79,$BW$7:$BW$1843,"&lt;="&amp;BW79),"")</f>
        <v>3017.75503663004</v>
      </c>
      <c r="BI79" s="58" t="n">
        <f aca="false">IF(BH79="",0,MAX(0,MIN(1,(IF(CF79="L1",Parameter!$H$5,IF(CF79="L23",Parameter!$H$6+Parameter!$H$7,Parameter!$H$5+Parameter!$H$6+Parameter!$H$7))-(BH79-BC79))/BC79)))</f>
        <v>1</v>
      </c>
      <c r="BJ79" s="48" t="str">
        <f aca="false">IF(AI79&lt;=0,"",IF(CF79="Aussen","Aussenlager",IF(CF79="-","Nicht im Lift",IF(AO79&gt;=1,"Lift",IF(AO79&lt;=0,"Aussenlager","teilweise")))))</f>
        <v>Lift</v>
      </c>
      <c r="BK79" s="48" t="str">
        <f aca="false">IF(AS79&lt;=0,"",IF(CF79="Aussen","Aussenlager",IF(CF79="-","Nicht im Lift",IF(AY79&gt;=1,"Lift",IF(AY79&lt;=0,"Aussenlager","teilweise")))))</f>
        <v>Lift</v>
      </c>
      <c r="BL79" s="48" t="str">
        <f aca="false">IF(BC79&lt;=0,"",IF(CF79="Aussen","Aussenlager",IF(CF79="-","Nicht im Lift",IF(BI79&gt;=1,"Lift",IF(BI79&lt;=0,"Aussenlager","teilweise")))))</f>
        <v>Lift</v>
      </c>
      <c r="BM79" s="48" t="str">
        <f aca="false">IF(A79="","",IF(BV79=1,"Neu; ","")&amp;IF(AND(BV79=0,BQ79&lt;0),"negativer Bestand (Export "&amp;BQ79&amp;"); ","")&amp;IF(J79&lt;=0,"Kein Verbrauch; ","")&amp;IF(CQ79&gt;0,"Lift "&amp;W79&amp;" lt. Liftbericht (Fach "&amp;X79&amp;" Stk); ",IF(CA79=1,"Gebinde geschätzt ("&amp;T79&amp;"); ",IF(BZ79=1,"Lose – Tablare geschätzt; ","")))&amp;IF(H79&gt;AV79,"Überbestand "&amp;ROUND(H79-AV79,0)&amp;" Stk / CHF "&amp;ROUND((H79-AV79)*G79,0)&amp;"; ","")&amp;IF(AND(CH79=1,CI79&lt;CJ79),"MAX &lt; MB+LG; ","")&amp;IF(AND(CP79&gt;0,CO79*10&gt;CP79),"zu hoch für Tablar; ","")&amp;IF(AND(BV79=0,OR(CH79=1,AA79&lt;&gt;"",U79&lt;&gt;"",V79&lt;&gt;"",AB79&lt;&gt;"")),"manuell übersteuert; ","")&amp;IF(AND(BZ79=0,R79=0),"Gebinde unbekannt / Stellmass fehlt; ","")&amp;IF(AND(BZ79=0,N(V79)&lt;=0,N(Q79)&lt;=0),"Menge pro Gebinde fehlt (Ist = 1 Gebinde); ","")&amp;BU79)</f>
        <v/>
      </c>
      <c r="BN79" s="48"/>
      <c r="BO79" s="48"/>
      <c r="BP79" s="55"/>
      <c r="BQ79" s="50" t="n">
        <v>9</v>
      </c>
      <c r="BR79" s="50" t="n">
        <v>21</v>
      </c>
      <c r="BS79" s="49" t="n">
        <v>3204.82</v>
      </c>
      <c r="BT79" s="50" t="n">
        <v>77</v>
      </c>
      <c r="BU79" s="48"/>
      <c r="BV79" s="53" t="n">
        <v>0</v>
      </c>
      <c r="BW79" s="53" t="n">
        <v>79</v>
      </c>
      <c r="BX79" s="48" t="str">
        <f aca="false">IF(U79&lt;&gt;"",UPPER(TRIM(U79)),IF(CA79=1,UPPER(VLOOKUP(T79,Parameter!$I$27:$K$29,2,0)),IF(P79="","LOSE",P79)))</f>
        <v>S52</v>
      </c>
      <c r="BY79" s="50" t="n">
        <f aca="false">IF(BX79="LOSE",1,IF(N(V79)&gt;0,V79,IF(CA79=1,MAX(1,N(VLOOKUP(T79,Parameter!$I$27:$K$29,3,0)),H79,N(N79)),IF(N(Q79)&gt;0,Q79,MAX(1,H79)))))</f>
        <v>35</v>
      </c>
      <c r="BZ79" s="53" t="n">
        <f aca="false">IF(BX79="LOSE",1,0)</f>
        <v>0</v>
      </c>
      <c r="CA79" s="53" t="n">
        <f aca="false">IF(AND(U79="",OR(P79="",P79="LOSE"),T79&lt;&gt;"",N(S79)&lt;=0,ISNUMBER(MATCH(T79,Parameter!$I$27:$I$29,0))),1,0)</f>
        <v>0</v>
      </c>
      <c r="CB79" s="53" t="n">
        <f aca="false">IF(CQ79&gt;0,INDEX(Parameter!$H$5:$H$7,W79)/INDEX(Parameter!$E$5:$E$7,W79),IF(AND(BZ79=0,N(IFERROR(VLOOKUP(BX79,'Gebinde-Kategorie'!$A$5:$N$45,14,0),0))&gt;0),VLOOKUP(BX79,'Gebinde-Kategorie'!$A$5:$N$45,14,0)*10+Parameter!$M$23,Parameter!$M$24))</f>
        <v>245</v>
      </c>
      <c r="CC79" s="48" t="str">
        <f aca="false">IF(AND(Parameter!$B$19="Ja",E79&lt;&gt;"",ISNUMBER(MATCH(E79,Parameter!$I$35:$I$52,0))),VLOOKUP(E79,Parameter!$I$35:$J$52,2,0),IFERROR(VLOOKUP(D79,Parameter!$A$35:$C$64,2,0),"Nein"))</f>
        <v>2+3</v>
      </c>
      <c r="CD79" s="52" t="n">
        <f aca="false">IF(BZ79=0,0,IF(N(S79)&gt;0,S79,IFERROR(VLOOKUP(D79,Parameter!$A$35:$C$64,3,0)+0,0)))</f>
        <v>0</v>
      </c>
      <c r="CE79" s="48" t="n">
        <f aca="false">IF(AA79&lt;&gt;"",AA79,Z79)</f>
        <v>3</v>
      </c>
      <c r="CF79" s="48" t="str">
        <f aca="false">IF(OR(CE79=1,CE79=2,CE79=3),IF(Parameter!$E$27="Ja","LIFT",IF(CE79=1,"L1","L23")),IF(CE79="Aussen","Aussen","-"))</f>
        <v>LIFT</v>
      </c>
      <c r="CG79" s="59" t="n">
        <f aca="false">IF(N(AB79)&gt;0,AB79,0)</f>
        <v>0</v>
      </c>
      <c r="CH79" s="53" t="n">
        <f aca="false">IF(ISNUMBER(AE79),1,0)</f>
        <v>0</v>
      </c>
      <c r="CI79" s="50" t="n">
        <f aca="false">N(AE79)</f>
        <v>0</v>
      </c>
      <c r="CJ79" s="50" t="n">
        <f aca="false">N(M79)+N(N79)</f>
        <v>14</v>
      </c>
      <c r="CK79" s="50" t="n">
        <f aca="false">N(M79)</f>
        <v>4</v>
      </c>
      <c r="CL79" s="50" t="n">
        <f aca="false">N(N79)</f>
        <v>10</v>
      </c>
      <c r="CM79" s="50" t="n">
        <f aca="false">ROUNDUP(H79/BY79,0)</f>
        <v>1</v>
      </c>
      <c r="CN79" s="50" t="n">
        <f aca="false">ROUNDUP(CI79/BY79,0)</f>
        <v>0</v>
      </c>
      <c r="CO79" s="53" t="n">
        <f aca="false">IF(BZ79=1,0,IFERROR(VLOOKUP(BX79,'Gebinde-Kategorie'!$A$5:$N$45,5,0)+0,0))</f>
        <v>21</v>
      </c>
      <c r="CP79" s="53" t="n">
        <f aca="false">IFERROR(IF(OR(CE79=1,CE79=2,CE79=3),N(INDEX(Parameter!$I$5:$I$7,CE79)),0),0)</f>
        <v>0</v>
      </c>
      <c r="CQ79" s="52" t="n">
        <f aca="false">IF(AND(Parameter!$B$21="Ja",ISNUMBER(W79),N(X79)&gt;0),IFERROR(N(INDEX(Parameter!$L$5:$L$7,W79))*INDEX(Parameter!$E$5:$E$7,W79)*X79/SUMIFS($X$7:$X$1843,$W$7:$W$1843,W79),0),0)</f>
        <v>0</v>
      </c>
    </row>
    <row r="80" customFormat="false" ht="15" hidden="false" customHeight="false" outlineLevel="0" collapsed="false">
      <c r="A80" s="48" t="s">
        <v>375</v>
      </c>
      <c r="B80" s="48" t="s">
        <v>376</v>
      </c>
      <c r="C80" s="48" t="s">
        <v>173</v>
      </c>
      <c r="D80" s="48" t="s">
        <v>182</v>
      </c>
      <c r="E80" s="48"/>
      <c r="F80" s="48" t="s">
        <v>227</v>
      </c>
      <c r="G80" s="49" t="n">
        <v>312</v>
      </c>
      <c r="H80" s="50" t="n">
        <f aca="false">MAX(0,IF(AND(Parameter!$B$21="Ja",ISNUMBER(Y80)),Y80,IF(Parameter!$B$20="Jahresanfang 2025 + Export",BR80+BQ80,BQ80)))</f>
        <v>10</v>
      </c>
      <c r="I80" s="50" t="n">
        <f aca="false">H80*G80</f>
        <v>3120</v>
      </c>
      <c r="J80" s="50" t="n">
        <f aca="false">BT80*Parameter!$B$18</f>
        <v>0</v>
      </c>
      <c r="K80" s="51" t="n">
        <v>10</v>
      </c>
      <c r="L80" s="52" t="n">
        <v>0</v>
      </c>
      <c r="M80" s="50" t="n">
        <v>0</v>
      </c>
      <c r="N80" s="50" t="n">
        <v>1</v>
      </c>
      <c r="O80" s="53" t="n">
        <v>35</v>
      </c>
      <c r="P80" s="48" t="s">
        <v>177</v>
      </c>
      <c r="Q80" s="50"/>
      <c r="R80" s="53" t="n">
        <f aca="false">IF(BZ80=1,0,IFERROR(VLOOKUP(BX80,'Gebinde-Kategorie'!$A$5:$N$45,13,0)+0,0))</f>
        <v>0</v>
      </c>
      <c r="S80" s="54"/>
      <c r="T80" s="55"/>
      <c r="U80" s="55"/>
      <c r="V80" s="55"/>
      <c r="W80" s="48" t="n">
        <v>1</v>
      </c>
      <c r="X80" s="50" t="n">
        <v>20</v>
      </c>
      <c r="Y80" s="50" t="n">
        <v>10</v>
      </c>
      <c r="Z80" s="48" t="n">
        <f aca="false">IF(A80="","",IF(AND(Parameter!$B$21="Ja",ISNUMBER(W80)),W80,IF(CC80="2+3",IF(ISNUMBER(SEARCH("grosser Artikel",BU80)),2,IFERROR(VLOOKUP(BX80,Parameter!$F$35:$G$64,2,0),2)),IF(OR(CC80="Nein",CC80=""),"-",CC80))))</f>
        <v>1</v>
      </c>
      <c r="AA80" s="55"/>
      <c r="AB80" s="56"/>
      <c r="AC80" s="50" t="n">
        <f aca="false">AV80</f>
        <v>1</v>
      </c>
      <c r="AD80" s="50" t="n">
        <f aca="false">MAX(AV80,H80)</f>
        <v>10</v>
      </c>
      <c r="AE80" s="57"/>
      <c r="AF80" s="50" t="n">
        <f aca="false">IF(LEFT(Cockpit!$C$5,1)="A",H80,IF(Parameter!$E$30="MAX-Bestand",IF(CH80=1,CI80,IF(LEFT(Cockpit!$C$5,1)="B",AL80,MAX(AL80,H80))),ROUNDUP(AJ80,0)))</f>
        <v>10</v>
      </c>
      <c r="AG80" s="50" t="n">
        <f aca="false">IF(BZ80=1,0,ROUNDUP(AF80/BY80,0))</f>
        <v>0</v>
      </c>
      <c r="AH80" s="52" t="n">
        <f aca="false">IF(CQ80&gt;0,CQ80*MAX(1,AF80/X80),IF(BZ80=1,IF(AF80&lt;=0,0,CD80*MAX(1,IF(H80&gt;0,AF80/H80,1))),IF(R80&gt;0,AG80/R80,0))/MAX(0.1,N(Parameter!$M$21)))</f>
        <v>1.60075329566855</v>
      </c>
      <c r="AI80" s="50" t="n">
        <f aca="false">AH80*CB80</f>
        <v>380.979284369115</v>
      </c>
      <c r="AJ80" s="51" t="n">
        <f aca="false">IF(LEFT(Cockpit!$C$5,1)="A",H80,IF(CH80=1,(CK80+CI80)/2,IF(LEFT(Cockpit!$C$5,1)="B",(CK80+AL80)/2,MAX((CK80+AL80)/2,H80))))</f>
        <v>10</v>
      </c>
      <c r="AK80" s="50" t="n">
        <f aca="false">AJ80*G80</f>
        <v>3120</v>
      </c>
      <c r="AL80" s="50" t="n">
        <f aca="false">ROUNDUP(CK80+MAX(CL80,2*(J80/IF(CG80&gt;0,CG80,MAX(0.1,N(Cockpit!$C$6)))-CK80)),0)</f>
        <v>1</v>
      </c>
      <c r="AM80" s="51" t="n">
        <f aca="false">IF(AI80&gt;0,J80/AI80,-1)</f>
        <v>0</v>
      </c>
      <c r="AN80" s="51" t="n">
        <f aca="false">IF(AND(OR(CF80="L1",CF80="L23",CF80="LIFT"),AI80&gt;0),SUMIFS($AI$7:$AI$1843,$CF$7:$CF$1843,CF80,$AM$7:$AM$1843,"&gt;"&amp;AM80)+SUMIFS($AI$7:$AI$1843,$CF$7:$CF$1843,CF80,$AM$7:$AM$1843,AM80,$BW$7:$BW$1843,"&lt;="&amp;BW80),"")</f>
        <v>26964.1734727137</v>
      </c>
      <c r="AO80" s="58" t="n">
        <f aca="false">IF(AN80="",0,MAX(0,MIN(1,(IF(CF80="L1",Parameter!$H$5,IF(CF80="L23",Parameter!$H$6+Parameter!$H$7,Parameter!$H$5+Parameter!$H$6+Parameter!$H$7))-(AN80-AI80))/AI80)))</f>
        <v>1</v>
      </c>
      <c r="AP80" s="50" t="n">
        <f aca="false">IF(LEFT(Cockpit!$I$5,1)="A",H80,IF(Parameter!$E$30="MAX-Bestand",IF(CH80=1,CI80,IF(LEFT(Cockpit!$I$5,1)="B",AV80,MAX(AV80,H80))),ROUNDUP(AT80,0)))</f>
        <v>10</v>
      </c>
      <c r="AQ80" s="50" t="n">
        <f aca="false">IF(BZ80=1,0,ROUNDUP(AP80/BY80,0))</f>
        <v>0</v>
      </c>
      <c r="AR80" s="52" t="n">
        <f aca="false">IF(CQ80&gt;0,CQ80*MAX(1,AP80/X80),IF(BZ80=1,IF(AP80&lt;=0,0,CD80*MAX(1,IF(H80&gt;0,AP80/H80,1))),IF(R80&gt;0,AQ80/R80,0))/MAX(0.1,N(Parameter!$M$21)))</f>
        <v>1.60075329566855</v>
      </c>
      <c r="AS80" s="50" t="n">
        <f aca="false">AR80*CB80</f>
        <v>380.979284369115</v>
      </c>
      <c r="AT80" s="51" t="n">
        <f aca="false">IF(LEFT(Cockpit!$I$5,1)="A",H80,IF(CH80=1,(CK80+CI80)/2,IF(LEFT(Cockpit!$I$5,1)="B",(CK80+AV80)/2,MAX((CK80+AV80)/2,H80))))</f>
        <v>10</v>
      </c>
      <c r="AU80" s="50" t="n">
        <f aca="false">AT80*G80</f>
        <v>3120</v>
      </c>
      <c r="AV80" s="50" t="n">
        <f aca="false">ROUNDUP(CK80+MAX(CL80,2*(J80/IF(CG80&gt;0,CG80,MAX(0.1,N(Cockpit!$I$6)))-CK80)),0)</f>
        <v>1</v>
      </c>
      <c r="AW80" s="51" t="n">
        <f aca="false">IF(AS80&gt;0,J80/AS80,-1)</f>
        <v>0</v>
      </c>
      <c r="AX80" s="51" t="n">
        <f aca="false">IF(AND(OR(CF80="L1",CF80="L23",CF80="LIFT"),AS80&gt;0),SUMIFS($AS$7:$AS$1843,$CF$7:$CF$1843,CF80,$AW$7:$AW$1843,"&gt;"&amp;AW80)+SUMIFS($AS$7:$AS$1843,$CF$7:$CF$1843,CF80,$AW$7:$AW$1843,AW80,$BW$7:$BW$1843,"&lt;="&amp;BW80),"")</f>
        <v>32317.3221140912</v>
      </c>
      <c r="AY80" s="58" t="n">
        <f aca="false">IF(AX80="",0,MAX(0,MIN(1,(IF(CF80="L1",Parameter!$H$5,IF(CF80="L23",Parameter!$H$6+Parameter!$H$7,Parameter!$H$5+Parameter!$H$6+Parameter!$H$7))-(AX80-AS80))/AS80)))</f>
        <v>1</v>
      </c>
      <c r="AZ80" s="50" t="n">
        <f aca="false">IF(LEFT(Cockpit!$O$5,1)="A",H80,IF(Parameter!$E$30="MAX-Bestand",IF(CH80=1,CI80,IF(LEFT(Cockpit!$O$5,1)="B",BF80,MAX(BF80,H80))),ROUNDUP(BD80,0)))</f>
        <v>1</v>
      </c>
      <c r="BA80" s="50" t="n">
        <f aca="false">IF(BZ80=1,0,ROUNDUP(AZ80/BY80,0))</f>
        <v>0</v>
      </c>
      <c r="BB80" s="52" t="n">
        <f aca="false">IF(CQ80&gt;0,CQ80*MAX(1,AZ80/X80),IF(BZ80=1,IF(AZ80&lt;=0,0,CD80*MAX(1,IF(H80&gt;0,AZ80/H80,1))),IF(R80&gt;0,BA80/R80,0))/MAX(0.1,N(Parameter!$M$21)))</f>
        <v>1.60075329566855</v>
      </c>
      <c r="BC80" s="50" t="n">
        <f aca="false">BB80*CB80</f>
        <v>380.979284369115</v>
      </c>
      <c r="BD80" s="51" t="n">
        <f aca="false">IF(LEFT(Cockpit!$O$5,1)="A",H80,IF(CH80=1,(CK80+CI80)/2,IF(LEFT(Cockpit!$O$5,1)="B",(CK80+BF80)/2,MAX((CK80+BF80)/2,H80))))</f>
        <v>0.5</v>
      </c>
      <c r="BE80" s="50" t="n">
        <f aca="false">BD80*G80</f>
        <v>156</v>
      </c>
      <c r="BF80" s="50" t="n">
        <f aca="false">ROUNDUP(CK80+MAX(CL80,2*(J80/IF(CG80&gt;0,CG80,MAX(0.1,N(Cockpit!$O$6)))-CK80)),0)</f>
        <v>1</v>
      </c>
      <c r="BG80" s="51" t="n">
        <f aca="false">IF(BC80&gt;0,J80/BC80,-1)</f>
        <v>0</v>
      </c>
      <c r="BH80" s="51" t="n">
        <f aca="false">IF(AND(OR(CF80="L1",CF80="L23",CF80="LIFT"),BC80&gt;0),SUMIFS($BC$7:$BC$1843,$CF$7:$CF$1843,CF80,$BG$7:$BG$1843,"&gt;"&amp;BG80)+SUMIFS($BC$7:$BC$1843,$CF$7:$CF$1843,CF80,$BG$7:$BG$1843,BG80,$BW$7:$BW$1843,"&lt;="&amp;BW80),"")</f>
        <v>26513.9039573891</v>
      </c>
      <c r="BI80" s="58" t="n">
        <f aca="false">IF(BH80="",0,MAX(0,MIN(1,(IF(CF80="L1",Parameter!$H$5,IF(CF80="L23",Parameter!$H$6+Parameter!$H$7,Parameter!$H$5+Parameter!$H$6+Parameter!$H$7))-(BH80-BC80))/BC80)))</f>
        <v>1</v>
      </c>
      <c r="BJ80" s="48" t="str">
        <f aca="false">IF(AI80&lt;=0,"",IF(CF80="Aussen","Aussenlager",IF(CF80="-","Nicht im Lift",IF(AO80&gt;=1,"Lift",IF(AO80&lt;=0,"Aussenlager","teilweise")))))</f>
        <v>Lift</v>
      </c>
      <c r="BK80" s="48" t="str">
        <f aca="false">IF(AS80&lt;=0,"",IF(CF80="Aussen","Aussenlager",IF(CF80="-","Nicht im Lift",IF(AY80&gt;=1,"Lift",IF(AY80&lt;=0,"Aussenlager","teilweise")))))</f>
        <v>Lift</v>
      </c>
      <c r="BL80" s="48" t="str">
        <f aca="false">IF(BC80&lt;=0,"",IF(CF80="Aussen","Aussenlager",IF(CF80="-","Nicht im Lift",IF(BI80&gt;=1,"Lift",IF(BI80&lt;=0,"Aussenlager","teilweise")))))</f>
        <v>Lift</v>
      </c>
      <c r="BM80" s="48" t="str">
        <f aca="false">IF(A80="","",IF(BV80=1,"Neu; ","")&amp;IF(AND(BV80=0,BQ80&lt;0),"negativer Bestand (Export "&amp;BQ80&amp;"); ","")&amp;IF(J80&lt;=0,"Kein Verbrauch; ","")&amp;IF(CQ80&gt;0,"Lift "&amp;W80&amp;" lt. Liftbericht (Fach "&amp;X80&amp;" Stk); ",IF(CA80=1,"Gebinde geschätzt ("&amp;T80&amp;"); ",IF(BZ80=1,"Lose – Tablare geschätzt; ","")))&amp;IF(H80&gt;AV80,"Überbestand "&amp;ROUND(H80-AV80,0)&amp;" Stk / CHF "&amp;ROUND((H80-AV80)*G80,0)&amp;"; ","")&amp;IF(AND(CH80=1,CI80&lt;CJ80),"MAX &lt; MB+LG; ","")&amp;IF(AND(CP80&gt;0,CO80*10&gt;CP80),"zu hoch für Tablar; ","")&amp;IF(AND(BV80=0,OR(CH80=1,AA80&lt;&gt;"",U80&lt;&gt;"",V80&lt;&gt;"",AB80&lt;&gt;"")),"manuell übersteuert; ","")&amp;IF(AND(BZ80=0,R80=0),"Gebinde unbekannt / Stellmass fehlt; ","")&amp;IF(AND(BZ80=0,N(V80)&lt;=0,N(Q80)&lt;=0),"Menge pro Gebinde fehlt (Ist = 1 Gebinde); ","")&amp;BU80)</f>
        <v>Kein Verbrauch; Lift 1 lt. Liftbericht (Fach 20 Stk); Überbestand 9 Stk / CHF 2808; </v>
      </c>
      <c r="BN80" s="48"/>
      <c r="BO80" s="48"/>
      <c r="BP80" s="55"/>
      <c r="BQ80" s="50" t="n">
        <v>10</v>
      </c>
      <c r="BR80" s="50" t="n">
        <v>10</v>
      </c>
      <c r="BS80" s="49" t="n">
        <v>3120</v>
      </c>
      <c r="BT80" s="50" t="n">
        <v>0</v>
      </c>
      <c r="BU80" s="48"/>
      <c r="BV80" s="53" t="n">
        <v>0</v>
      </c>
      <c r="BW80" s="53" t="n">
        <v>80</v>
      </c>
      <c r="BX80" s="48" t="str">
        <f aca="false">IF(U80&lt;&gt;"",UPPER(TRIM(U80)),IF(CA80=1,UPPER(VLOOKUP(T80,Parameter!$I$27:$K$29,2,0)),IF(P80="","LOSE",P80)))</f>
        <v>LOSE</v>
      </c>
      <c r="BY80" s="50" t="n">
        <f aca="false">IF(BX80="LOSE",1,IF(N(V80)&gt;0,V80,IF(CA80=1,MAX(1,N(VLOOKUP(T80,Parameter!$I$27:$K$29,3,0)),H80,N(N80)),IF(N(Q80)&gt;0,Q80,MAX(1,H80)))))</f>
        <v>1</v>
      </c>
      <c r="BZ80" s="53" t="n">
        <f aca="false">IF(BX80="LOSE",1,0)</f>
        <v>1</v>
      </c>
      <c r="CA80" s="53" t="n">
        <f aca="false">IF(AND(U80="",OR(P80="",P80="LOSE"),T80&lt;&gt;"",N(S80)&lt;=0,ISNUMBER(MATCH(T80,Parameter!$I$27:$I$29,0))),1,0)</f>
        <v>0</v>
      </c>
      <c r="CB80" s="53" t="n">
        <f aca="false">IF(CQ80&gt;0,INDEX(Parameter!$H$5:$H$7,W80)/INDEX(Parameter!$E$5:$E$7,W80),IF(AND(BZ80=0,N(IFERROR(VLOOKUP(BX80,'Gebinde-Kategorie'!$A$5:$N$45,14,0),0))&gt;0),VLOOKUP(BX80,'Gebinde-Kategorie'!$A$5:$N$45,14,0)*10+Parameter!$M$23,Parameter!$M$24))</f>
        <v>238</v>
      </c>
      <c r="CC80" s="48" t="str">
        <f aca="false">IF(AND(Parameter!$B$19="Ja",E80&lt;&gt;"",ISNUMBER(MATCH(E80,Parameter!$I$35:$I$52,0))),VLOOKUP(E80,Parameter!$I$35:$J$52,2,0),IFERROR(VLOOKUP(D80,Parameter!$A$35:$C$64,2,0),"Nein"))</f>
        <v>2+3</v>
      </c>
      <c r="CD80" s="52" t="n">
        <f aca="false">IF(BZ80=0,0,IF(N(S80)&gt;0,S80,IFERROR(VLOOKUP(D80,Parameter!$A$35:$C$64,3,0)+0,0)))</f>
        <v>0.15</v>
      </c>
      <c r="CE80" s="48" t="n">
        <f aca="false">IF(AA80&lt;&gt;"",AA80,Z80)</f>
        <v>1</v>
      </c>
      <c r="CF80" s="48" t="str">
        <f aca="false">IF(OR(CE80=1,CE80=2,CE80=3),IF(Parameter!$E$27="Ja","LIFT",IF(CE80=1,"L1","L23")),IF(CE80="Aussen","Aussen","-"))</f>
        <v>LIFT</v>
      </c>
      <c r="CG80" s="59" t="n">
        <f aca="false">IF(N(AB80)&gt;0,AB80,0)</f>
        <v>0</v>
      </c>
      <c r="CH80" s="53" t="n">
        <f aca="false">IF(ISNUMBER(AE80),1,0)</f>
        <v>0</v>
      </c>
      <c r="CI80" s="50" t="n">
        <f aca="false">N(AE80)</f>
        <v>0</v>
      </c>
      <c r="CJ80" s="50" t="n">
        <f aca="false">N(M80)+N(N80)</f>
        <v>1</v>
      </c>
      <c r="CK80" s="50" t="n">
        <f aca="false">N(M80)</f>
        <v>0</v>
      </c>
      <c r="CL80" s="50" t="n">
        <f aca="false">N(N80)</f>
        <v>1</v>
      </c>
      <c r="CM80" s="50" t="n">
        <f aca="false">ROUNDUP(H80/BY80,0)</f>
        <v>10</v>
      </c>
      <c r="CN80" s="50" t="n">
        <f aca="false">ROUNDUP(CI80/BY80,0)</f>
        <v>0</v>
      </c>
      <c r="CO80" s="53" t="n">
        <f aca="false">IF(BZ80=1,0,IFERROR(VLOOKUP(BX80,'Gebinde-Kategorie'!$A$5:$N$45,5,0)+0,0))</f>
        <v>0</v>
      </c>
      <c r="CP80" s="53" t="n">
        <f aca="false">IFERROR(IF(OR(CE80=1,CE80=2,CE80=3),N(INDEX(Parameter!$I$5:$I$7,CE80)),0),0)</f>
        <v>0</v>
      </c>
      <c r="CQ80" s="52" t="n">
        <f aca="false">IF(AND(Parameter!$B$21="Ja",ISNUMBER(W80),N(X80)&gt;0),IFERROR(N(INDEX(Parameter!$L$5:$L$7,W80))*INDEX(Parameter!$E$5:$E$7,W80)*X80/SUMIFS($X$7:$X$1843,$W$7:$W$1843,W80),0),0)</f>
        <v>1.60075329566855</v>
      </c>
    </row>
    <row r="81" customFormat="false" ht="15" hidden="false" customHeight="false" outlineLevel="0" collapsed="false">
      <c r="A81" s="48" t="s">
        <v>377</v>
      </c>
      <c r="B81" s="48" t="s">
        <v>378</v>
      </c>
      <c r="C81" s="48" t="s">
        <v>173</v>
      </c>
      <c r="D81" s="48" t="s">
        <v>182</v>
      </c>
      <c r="E81" s="48" t="s">
        <v>379</v>
      </c>
      <c r="F81" s="48" t="s">
        <v>227</v>
      </c>
      <c r="G81" s="49" t="n">
        <v>760.97</v>
      </c>
      <c r="H81" s="50" t="n">
        <f aca="false">MAX(0,IF(AND(Parameter!$B$21="Ja",ISNUMBER(Y81)),Y81,IF(Parameter!$B$20="Jahresanfang 2025 + Export",BR81+BQ81,BQ81)))</f>
        <v>4</v>
      </c>
      <c r="I81" s="50" t="n">
        <f aca="false">H81*G81</f>
        <v>3043.88</v>
      </c>
      <c r="J81" s="50" t="n">
        <f aca="false">BT81*Parameter!$B$18</f>
        <v>27</v>
      </c>
      <c r="K81" s="51" t="n">
        <v>0.5</v>
      </c>
      <c r="L81" s="52" t="n">
        <v>54</v>
      </c>
      <c r="M81" s="50" t="n">
        <v>0</v>
      </c>
      <c r="N81" s="50" t="n">
        <v>1</v>
      </c>
      <c r="O81" s="53" t="n">
        <v>21</v>
      </c>
      <c r="P81" s="48" t="s">
        <v>177</v>
      </c>
      <c r="Q81" s="50"/>
      <c r="R81" s="53" t="n">
        <f aca="false">IF(BZ81=1,0,IFERROR(VLOOKUP(BX81,'Gebinde-Kategorie'!$A$5:$N$45,13,0)+0,0))</f>
        <v>4</v>
      </c>
      <c r="S81" s="54"/>
      <c r="T81" s="55" t="s">
        <v>198</v>
      </c>
      <c r="U81" s="55"/>
      <c r="V81" s="55"/>
      <c r="W81" s="48"/>
      <c r="X81" s="50"/>
      <c r="Y81" s="50"/>
      <c r="Z81" s="48" t="str">
        <f aca="false">IF(A81="","",IF(AND(Parameter!$B$21="Ja",ISNUMBER(W81)),W81,IF(CC81="2+3",IF(ISNUMBER(SEARCH("grosser Artikel",BU81)),2,IFERROR(VLOOKUP(BX81,Parameter!$F$35:$G$64,2,0),2)),IF(OR(CC81="Nein",CC81=""),"-",CC81))))</f>
        <v>-</v>
      </c>
      <c r="AA81" s="55"/>
      <c r="AB81" s="56"/>
      <c r="AC81" s="50" t="n">
        <f aca="false">AV81</f>
        <v>18</v>
      </c>
      <c r="AD81" s="50" t="n">
        <f aca="false">MAX(AV81,H81)</f>
        <v>18</v>
      </c>
      <c r="AE81" s="57"/>
      <c r="AF81" s="50" t="n">
        <f aca="false">IF(LEFT(Cockpit!$C$5,1)="A",H81,IF(Parameter!$E$30="MAX-Bestand",IF(CH81=1,CI81,IF(LEFT(Cockpit!$C$5,1)="B",AL81,MAX(AL81,H81))),ROUNDUP(AJ81,0)))</f>
        <v>4</v>
      </c>
      <c r="AG81" s="50" t="n">
        <f aca="false">IF(BZ81=1,0,ROUNDUP(AF81/BY81,0))</f>
        <v>1</v>
      </c>
      <c r="AH81" s="52" t="n">
        <f aca="false">IF(CQ81&gt;0,CQ81*MAX(1,AF81/X81),IF(BZ81=1,IF(AF81&lt;=0,0,CD81*MAX(1,IF(H81&gt;0,AF81/H81,1))),IF(R81&gt;0,AG81/R81,0))/MAX(0.1,N(Parameter!$M$21)))</f>
        <v>0.25</v>
      </c>
      <c r="AI81" s="50" t="n">
        <f aca="false">AH81*CB81</f>
        <v>58.75</v>
      </c>
      <c r="AJ81" s="51" t="n">
        <f aca="false">IF(LEFT(Cockpit!$C$5,1)="A",H81,IF(CH81=1,(CK81+CI81)/2,IF(LEFT(Cockpit!$C$5,1)="B",(CK81+AL81)/2,MAX((CK81+AL81)/2,H81))))</f>
        <v>4</v>
      </c>
      <c r="AK81" s="50" t="n">
        <f aca="false">AJ81*G81</f>
        <v>3043.88</v>
      </c>
      <c r="AL81" s="50" t="n">
        <f aca="false">ROUNDUP(CK81+MAX(CL81,2*(J81/IF(CG81&gt;0,CG81,MAX(0.1,N(Cockpit!$C$6)))-CK81)),0)</f>
        <v>18</v>
      </c>
      <c r="AM81" s="51" t="n">
        <f aca="false">IF(AI81&gt;0,J81/AI81,-1)</f>
        <v>0.459574468085106</v>
      </c>
      <c r="AN81" s="51" t="str">
        <f aca="false">IF(AND(OR(CF81="L1",CF81="L23",CF81="LIFT"),AI81&gt;0),SUMIFS($AI$7:$AI$1843,$CF$7:$CF$1843,CF81,$AM$7:$AM$1843,"&gt;"&amp;AM81)+SUMIFS($AI$7:$AI$1843,$CF$7:$CF$1843,CF81,$AM$7:$AM$1843,AM81,$BW$7:$BW$1843,"&lt;="&amp;BW81),"")</f>
        <v/>
      </c>
      <c r="AO81" s="58" t="n">
        <f aca="false">IF(AN81="",0,MAX(0,MIN(1,(IF(CF81="L1",Parameter!$H$5,IF(CF81="L23",Parameter!$H$6+Parameter!$H$7,Parameter!$H$5+Parameter!$H$6+Parameter!$H$7))-(AN81-AI81))/AI81)))</f>
        <v>0</v>
      </c>
      <c r="AP81" s="50" t="n">
        <f aca="false">IF(LEFT(Cockpit!$I$5,1)="A",H81,IF(Parameter!$E$30="MAX-Bestand",IF(CH81=1,CI81,IF(LEFT(Cockpit!$I$5,1)="B",AV81,MAX(AV81,H81))),ROUNDUP(AT81,0)))</f>
        <v>9</v>
      </c>
      <c r="AQ81" s="50" t="n">
        <f aca="false">IF(BZ81=1,0,ROUNDUP(AP81/BY81,0))</f>
        <v>3</v>
      </c>
      <c r="AR81" s="52" t="n">
        <f aca="false">IF(CQ81&gt;0,CQ81*MAX(1,AP81/X81),IF(BZ81=1,IF(AP81&lt;=0,0,CD81*MAX(1,IF(H81&gt;0,AP81/H81,1))),IF(R81&gt;0,AQ81/R81,0))/MAX(0.1,N(Parameter!$M$21)))</f>
        <v>0.75</v>
      </c>
      <c r="AS81" s="50" t="n">
        <f aca="false">AR81*CB81</f>
        <v>176.25</v>
      </c>
      <c r="AT81" s="51" t="n">
        <f aca="false">IF(LEFT(Cockpit!$I$5,1)="A",H81,IF(CH81=1,(CK81+CI81)/2,IF(LEFT(Cockpit!$I$5,1)="B",(CK81+AV81)/2,MAX((CK81+AV81)/2,H81))))</f>
        <v>9</v>
      </c>
      <c r="AU81" s="50" t="n">
        <f aca="false">AT81*G81</f>
        <v>6848.73</v>
      </c>
      <c r="AV81" s="50" t="n">
        <f aca="false">ROUNDUP(CK81+MAX(CL81,2*(J81/IF(CG81&gt;0,CG81,MAX(0.1,N(Cockpit!$I$6)))-CK81)),0)</f>
        <v>18</v>
      </c>
      <c r="AW81" s="51" t="n">
        <f aca="false">IF(AS81&gt;0,J81/AS81,-1)</f>
        <v>0.153191489361702</v>
      </c>
      <c r="AX81" s="51" t="str">
        <f aca="false">IF(AND(OR(CF81="L1",CF81="L23",CF81="LIFT"),AS81&gt;0),SUMIFS($AS$7:$AS$1843,$CF$7:$CF$1843,CF81,$AW$7:$AW$1843,"&gt;"&amp;AW81)+SUMIFS($AS$7:$AS$1843,$CF$7:$CF$1843,CF81,$AW$7:$AW$1843,AW81,$BW$7:$BW$1843,"&lt;="&amp;BW81),"")</f>
        <v/>
      </c>
      <c r="AY81" s="58" t="n">
        <f aca="false">IF(AX81="",0,MAX(0,MIN(1,(IF(CF81="L1",Parameter!$H$5,IF(CF81="L23",Parameter!$H$6+Parameter!$H$7,Parameter!$H$5+Parameter!$H$6+Parameter!$H$7))-(AX81-AS81))/AS81)))</f>
        <v>0</v>
      </c>
      <c r="AZ81" s="50" t="n">
        <f aca="false">IF(LEFT(Cockpit!$O$5,1)="A",H81,IF(Parameter!$E$30="MAX-Bestand",IF(CH81=1,CI81,IF(LEFT(Cockpit!$O$5,1)="B",BF81,MAX(BF81,H81))),ROUNDUP(BD81,0)))</f>
        <v>7</v>
      </c>
      <c r="BA81" s="50" t="n">
        <f aca="false">IF(BZ81=1,0,ROUNDUP(AZ81/BY81,0))</f>
        <v>2</v>
      </c>
      <c r="BB81" s="52" t="n">
        <f aca="false">IF(CQ81&gt;0,CQ81*MAX(1,AZ81/X81),IF(BZ81=1,IF(AZ81&lt;=0,0,CD81*MAX(1,IF(H81&gt;0,AZ81/H81,1))),IF(R81&gt;0,BA81/R81,0))/MAX(0.1,N(Parameter!$M$21)))</f>
        <v>0.5</v>
      </c>
      <c r="BC81" s="50" t="n">
        <f aca="false">BB81*CB81</f>
        <v>117.5</v>
      </c>
      <c r="BD81" s="51" t="n">
        <f aca="false">IF(LEFT(Cockpit!$O$5,1)="A",H81,IF(CH81=1,(CK81+CI81)/2,IF(LEFT(Cockpit!$O$5,1)="B",(CK81+BF81)/2,MAX((CK81+BF81)/2,H81))))</f>
        <v>7</v>
      </c>
      <c r="BE81" s="50" t="n">
        <f aca="false">BD81*G81</f>
        <v>5326.79</v>
      </c>
      <c r="BF81" s="50" t="n">
        <f aca="false">ROUNDUP(CK81+MAX(CL81,2*(J81/IF(CG81&gt;0,CG81,MAX(0.1,N(Cockpit!$O$6)))-CK81)),0)</f>
        <v>14</v>
      </c>
      <c r="BG81" s="51" t="n">
        <f aca="false">IF(BC81&gt;0,J81/BC81,-1)</f>
        <v>0.229787234042553</v>
      </c>
      <c r="BH81" s="51" t="str">
        <f aca="false">IF(AND(OR(CF81="L1",CF81="L23",CF81="LIFT"),BC81&gt;0),SUMIFS($BC$7:$BC$1843,$CF$7:$CF$1843,CF81,$BG$7:$BG$1843,"&gt;"&amp;BG81)+SUMIFS($BC$7:$BC$1843,$CF$7:$CF$1843,CF81,$BG$7:$BG$1843,BG81,$BW$7:$BW$1843,"&lt;="&amp;BW81),"")</f>
        <v/>
      </c>
      <c r="BI81" s="58" t="n">
        <f aca="false">IF(BH81="",0,MAX(0,MIN(1,(IF(CF81="L1",Parameter!$H$5,IF(CF81="L23",Parameter!$H$6+Parameter!$H$7,Parameter!$H$5+Parameter!$H$6+Parameter!$H$7))-(BH81-BC81))/BC81)))</f>
        <v>0</v>
      </c>
      <c r="BJ81" s="48" t="str">
        <f aca="false">IF(AI81&lt;=0,"",IF(CF81="Aussen","Aussenlager",IF(CF81="-","Nicht im Lift",IF(AO81&gt;=1,"Lift",IF(AO81&lt;=0,"Aussenlager","teilweise")))))</f>
        <v>Nicht im Lift</v>
      </c>
      <c r="BK81" s="48" t="str">
        <f aca="false">IF(AS81&lt;=0,"",IF(CF81="Aussen","Aussenlager",IF(CF81="-","Nicht im Lift",IF(AY81&gt;=1,"Lift",IF(AY81&lt;=0,"Aussenlager","teilweise")))))</f>
        <v>Nicht im Lift</v>
      </c>
      <c r="BL81" s="48" t="str">
        <f aca="false">IF(BC81&lt;=0,"",IF(CF81="Aussen","Aussenlager",IF(CF81="-","Nicht im Lift",IF(BI81&gt;=1,"Lift",IF(BI81&lt;=0,"Aussenlager","teilweise")))))</f>
        <v>Nicht im Lift</v>
      </c>
      <c r="BM81" s="48" t="str">
        <f aca="false">IF(A81="","",IF(BV81=1,"Neu; ","")&amp;IF(AND(BV81=0,BQ81&lt;0),"negativer Bestand (Export "&amp;BQ81&amp;"); ","")&amp;IF(J81&lt;=0,"Kein Verbrauch; ","")&amp;IF(CQ81&gt;0,"Lift "&amp;W81&amp;" lt. Liftbericht (Fach "&amp;X81&amp;" Stk); ",IF(CA81=1,"Gebinde geschätzt ("&amp;T81&amp;"); ",IF(BZ81=1,"Lose – Tablare geschätzt; ","")))&amp;IF(H81&gt;AV81,"Überbestand "&amp;ROUND(H81-AV81,0)&amp;" Stk / CHF "&amp;ROUND((H81-AV81)*G81,0)&amp;"; ","")&amp;IF(AND(CH81=1,CI81&lt;CJ81),"MAX &lt; MB+LG; ","")&amp;IF(AND(CP81&gt;0,CO81*10&gt;CP81),"zu hoch für Tablar; ","")&amp;IF(AND(BV81=0,OR(CH81=1,AA81&lt;&gt;"",U81&lt;&gt;"",V81&lt;&gt;"",AB81&lt;&gt;"")),"manuell übersteuert; ","")&amp;IF(AND(BZ81=0,R81=0),"Gebinde unbekannt / Stellmass fehlt; ","")&amp;IF(AND(BZ81=0,N(V81)&lt;=0,N(Q81)&lt;=0),"Menge pro Gebinde fehlt (Ist = 1 Gebinde); ","")&amp;BU81)</f>
        <v>Gebinde geschätzt (Gross); Menge pro Gebinde fehlt (Ist = 1 Gebinde); </v>
      </c>
      <c r="BN81" s="48"/>
      <c r="BO81" s="48"/>
      <c r="BP81" s="55"/>
      <c r="BQ81" s="50" t="n">
        <v>4</v>
      </c>
      <c r="BR81" s="50" t="n">
        <v>0</v>
      </c>
      <c r="BS81" s="49" t="n">
        <v>3043.88</v>
      </c>
      <c r="BT81" s="50" t="n">
        <v>27</v>
      </c>
      <c r="BU81" s="48"/>
      <c r="BV81" s="53" t="n">
        <v>0</v>
      </c>
      <c r="BW81" s="53" t="n">
        <v>81</v>
      </c>
      <c r="BX81" s="48" t="str">
        <f aca="false">IF(U81&lt;&gt;"",UPPER(TRIM(U81)),IF(CA81=1,UPPER(VLOOKUP(T81,Parameter!$I$27:$K$29,2,0)),IF(P81="","LOSE",P81)))</f>
        <v>S81</v>
      </c>
      <c r="BY81" s="50" t="n">
        <f aca="false">IF(BX81="LOSE",1,IF(N(V81)&gt;0,V81,IF(CA81=1,MAX(1,N(VLOOKUP(T81,Parameter!$I$27:$K$29,3,0)),H81,N(N81)),IF(N(Q81)&gt;0,Q81,MAX(1,H81)))))</f>
        <v>4</v>
      </c>
      <c r="BZ81" s="53" t="n">
        <f aca="false">IF(BX81="LOSE",1,0)</f>
        <v>0</v>
      </c>
      <c r="CA81" s="53" t="n">
        <f aca="false">IF(AND(U81="",OR(P81="",P81="LOSE"),T81&lt;&gt;"",N(S81)&lt;=0,ISNUMBER(MATCH(T81,Parameter!$I$27:$I$29,0))),1,0)</f>
        <v>1</v>
      </c>
      <c r="CB81" s="53" t="n">
        <f aca="false">IF(CQ81&gt;0,INDEX(Parameter!$H$5:$H$7,W81)/INDEX(Parameter!$E$5:$E$7,W81),IF(AND(BZ81=0,N(IFERROR(VLOOKUP(BX81,'Gebinde-Kategorie'!$A$5:$N$45,14,0),0))&gt;0),VLOOKUP(BX81,'Gebinde-Kategorie'!$A$5:$N$45,14,0)*10+Parameter!$M$23,Parameter!$M$24))</f>
        <v>235</v>
      </c>
      <c r="CC81" s="48" t="str">
        <f aca="false">IF(AND(Parameter!$B$19="Ja",E81&lt;&gt;"",ISNUMBER(MATCH(E81,Parameter!$I$35:$I$52,0))),VLOOKUP(E81,Parameter!$I$35:$J$52,2,0),IFERROR(VLOOKUP(D81,Parameter!$A$35:$C$64,2,0),"Nein"))</f>
        <v>Nein</v>
      </c>
      <c r="CD81" s="52" t="n">
        <f aca="false">IF(BZ81=0,0,IF(N(S81)&gt;0,S81,IFERROR(VLOOKUP(D81,Parameter!$A$35:$C$64,3,0)+0,0)))</f>
        <v>0</v>
      </c>
      <c r="CE81" s="48" t="str">
        <f aca="false">IF(AA81&lt;&gt;"",AA81,Z81)</f>
        <v>-</v>
      </c>
      <c r="CF81" s="48" t="str">
        <f aca="false">IF(OR(CE81=1,CE81=2,CE81=3),IF(Parameter!$E$27="Ja","LIFT",IF(CE81=1,"L1","L23")),IF(CE81="Aussen","Aussen","-"))</f>
        <v>-</v>
      </c>
      <c r="CG81" s="59" t="n">
        <f aca="false">IF(N(AB81)&gt;0,AB81,0)</f>
        <v>0</v>
      </c>
      <c r="CH81" s="53" t="n">
        <f aca="false">IF(ISNUMBER(AE81),1,0)</f>
        <v>0</v>
      </c>
      <c r="CI81" s="50" t="n">
        <f aca="false">N(AE81)</f>
        <v>0</v>
      </c>
      <c r="CJ81" s="50" t="n">
        <f aca="false">N(M81)+N(N81)</f>
        <v>1</v>
      </c>
      <c r="CK81" s="50" t="n">
        <f aca="false">N(M81)</f>
        <v>0</v>
      </c>
      <c r="CL81" s="50" t="n">
        <f aca="false">N(N81)</f>
        <v>1</v>
      </c>
      <c r="CM81" s="50" t="n">
        <f aca="false">ROUNDUP(H81/BY81,0)</f>
        <v>1</v>
      </c>
      <c r="CN81" s="50" t="n">
        <f aca="false">ROUNDUP(CI81/BY81,0)</f>
        <v>0</v>
      </c>
      <c r="CO81" s="53" t="n">
        <f aca="false">IF(BZ81=1,0,IFERROR(VLOOKUP(BX81,'Gebinde-Kategorie'!$A$5:$N$45,5,0)+0,0))</f>
        <v>20</v>
      </c>
      <c r="CP81" s="53" t="n">
        <f aca="false">IFERROR(IF(OR(CE81=1,CE81=2,CE81=3),N(INDEX(Parameter!$I$5:$I$7,CE81)),0),0)</f>
        <v>0</v>
      </c>
      <c r="CQ81" s="52" t="n">
        <f aca="false">IF(AND(Parameter!$B$21="Ja",ISNUMBER(W81),N(X81)&gt;0),IFERROR(N(INDEX(Parameter!$L$5:$L$7,W81))*INDEX(Parameter!$E$5:$E$7,W81)*X81/SUMIFS($X$7:$X$1843,$W$7:$W$1843,W81),0),0)</f>
        <v>0</v>
      </c>
    </row>
    <row r="82" customFormat="false" ht="15" hidden="false" customHeight="false" outlineLevel="0" collapsed="false">
      <c r="A82" s="48" t="s">
        <v>380</v>
      </c>
      <c r="B82" s="48" t="s">
        <v>381</v>
      </c>
      <c r="C82" s="48" t="s">
        <v>173</v>
      </c>
      <c r="D82" s="48" t="s">
        <v>182</v>
      </c>
      <c r="E82" s="48" t="s">
        <v>194</v>
      </c>
      <c r="F82" s="48" t="s">
        <v>227</v>
      </c>
      <c r="G82" s="49" t="n">
        <v>185.43</v>
      </c>
      <c r="H82" s="50" t="n">
        <f aca="false">MAX(0,IF(AND(Parameter!$B$21="Ja",ISNUMBER(Y82)),Y82,IF(Parameter!$B$20="Jahresanfang 2025 + Export",BR82+BQ82,BQ82)))</f>
        <v>28</v>
      </c>
      <c r="I82" s="50" t="n">
        <f aca="false">H82*G82</f>
        <v>5192.04</v>
      </c>
      <c r="J82" s="50" t="n">
        <f aca="false">BT82*Parameter!$B$18</f>
        <v>67</v>
      </c>
      <c r="K82" s="51" t="n">
        <v>14</v>
      </c>
      <c r="L82" s="52" t="n">
        <v>4.78571428571429</v>
      </c>
      <c r="M82" s="50" t="n">
        <v>10</v>
      </c>
      <c r="N82" s="50" t="n">
        <v>30</v>
      </c>
      <c r="O82" s="53" t="n">
        <v>44</v>
      </c>
      <c r="P82" s="48" t="s">
        <v>183</v>
      </c>
      <c r="Q82" s="50" t="n">
        <v>18</v>
      </c>
      <c r="R82" s="53" t="n">
        <f aca="false">IF(BZ82=1,0,IFERROR(VLOOKUP(BX82,'Gebinde-Kategorie'!$A$5:$N$45,13,0)+0,0))</f>
        <v>6</v>
      </c>
      <c r="S82" s="54"/>
      <c r="T82" s="55"/>
      <c r="U82" s="55"/>
      <c r="V82" s="55"/>
      <c r="W82" s="48"/>
      <c r="X82" s="50"/>
      <c r="Y82" s="50"/>
      <c r="Z82" s="48" t="n">
        <f aca="false">IF(A82="","",IF(AND(Parameter!$B$21="Ja",ISNUMBER(W82)),W82,IF(CC82="2+3",IF(ISNUMBER(SEARCH("grosser Artikel",BU82)),2,IFERROR(VLOOKUP(BX82,Parameter!$F$35:$G$64,2,0),2)),IF(OR(CC82="Nein",CC82=""),"-",CC82))))</f>
        <v>2</v>
      </c>
      <c r="AA82" s="55"/>
      <c r="AB82" s="56"/>
      <c r="AC82" s="50" t="n">
        <f aca="false">AV82</f>
        <v>40</v>
      </c>
      <c r="AD82" s="50" t="n">
        <f aca="false">MAX(AV82,H82)</f>
        <v>40</v>
      </c>
      <c r="AE82" s="57"/>
      <c r="AF82" s="50" t="n">
        <f aca="false">IF(LEFT(Cockpit!$C$5,1)="A",H82,IF(Parameter!$E$30="MAX-Bestand",IF(CH82=1,CI82,IF(LEFT(Cockpit!$C$5,1)="B",AL82,MAX(AL82,H82))),ROUNDUP(AJ82,0)))</f>
        <v>28</v>
      </c>
      <c r="AG82" s="50" t="n">
        <f aca="false">IF(BZ82=1,0,ROUNDUP(AF82/BY82,0))</f>
        <v>2</v>
      </c>
      <c r="AH82" s="52" t="n">
        <f aca="false">IF(CQ82&gt;0,CQ82*MAX(1,AF82/X82),IF(BZ82=1,IF(AF82&lt;=0,0,CD82*MAX(1,IF(H82&gt;0,AF82/H82,1))),IF(R82&gt;0,AG82/R82,0))/MAX(0.1,N(Parameter!$M$21)))</f>
        <v>0.333333333333333</v>
      </c>
      <c r="AI82" s="50" t="n">
        <f aca="false">AH82*CB82</f>
        <v>78.3333333333333</v>
      </c>
      <c r="AJ82" s="51" t="n">
        <f aca="false">IF(LEFT(Cockpit!$C$5,1)="A",H82,IF(CH82=1,(CK82+CI82)/2,IF(LEFT(Cockpit!$C$5,1)="B",(CK82+AL82)/2,MAX((CK82+AL82)/2,H82))))</f>
        <v>28</v>
      </c>
      <c r="AK82" s="50" t="n">
        <f aca="false">AJ82*G82</f>
        <v>5192.04</v>
      </c>
      <c r="AL82" s="50" t="n">
        <f aca="false">ROUNDUP(CK82+MAX(CL82,2*(J82/IF(CG82&gt;0,CG82,MAX(0.1,N(Cockpit!$C$6)))-CK82)),0)</f>
        <v>40</v>
      </c>
      <c r="AM82" s="51" t="n">
        <f aca="false">IF(AI82&gt;0,J82/AI82,-1)</f>
        <v>0.85531914893617</v>
      </c>
      <c r="AN82" s="51" t="n">
        <f aca="false">IF(AND(OR(CF82="L1",CF82="L23",CF82="LIFT"),AI82&gt;0),SUMIFS($AI$7:$AI$1843,$CF$7:$CF$1843,CF82,$AM$7:$AM$1843,"&gt;"&amp;AM82)+SUMIFS($AI$7:$AI$1843,$CF$7:$CF$1843,CF82,$AM$7:$AM$1843,AM82,$BW$7:$BW$1843,"&lt;="&amp;BW82),"")</f>
        <v>7732.84294871795</v>
      </c>
      <c r="AO82" s="58" t="n">
        <f aca="false">IF(AN82="",0,MAX(0,MIN(1,(IF(CF82="L1",Parameter!$H$5,IF(CF82="L23",Parameter!$H$6+Parameter!$H$7,Parameter!$H$5+Parameter!$H$6+Parameter!$H$7))-(AN82-AI82))/AI82)))</f>
        <v>1</v>
      </c>
      <c r="AP82" s="50" t="n">
        <f aca="false">IF(LEFT(Cockpit!$I$5,1)="A",H82,IF(Parameter!$E$30="MAX-Bestand",IF(CH82=1,CI82,IF(LEFT(Cockpit!$I$5,1)="B",AV82,MAX(AV82,H82))),ROUNDUP(AT82,0)))</f>
        <v>28</v>
      </c>
      <c r="AQ82" s="50" t="n">
        <f aca="false">IF(BZ82=1,0,ROUNDUP(AP82/BY82,0))</f>
        <v>2</v>
      </c>
      <c r="AR82" s="52" t="n">
        <f aca="false">IF(CQ82&gt;0,CQ82*MAX(1,AP82/X82),IF(BZ82=1,IF(AP82&lt;=0,0,CD82*MAX(1,IF(H82&gt;0,AP82/H82,1))),IF(R82&gt;0,AQ82/R82,0))/MAX(0.1,N(Parameter!$M$21)))</f>
        <v>0.333333333333333</v>
      </c>
      <c r="AS82" s="50" t="n">
        <f aca="false">AR82*CB82</f>
        <v>78.3333333333333</v>
      </c>
      <c r="AT82" s="51" t="n">
        <f aca="false">IF(LEFT(Cockpit!$I$5,1)="A",H82,IF(CH82=1,(CK82+CI82)/2,IF(LEFT(Cockpit!$I$5,1)="B",(CK82+AV82)/2,MAX((CK82+AV82)/2,H82))))</f>
        <v>28</v>
      </c>
      <c r="AU82" s="50" t="n">
        <f aca="false">AT82*G82</f>
        <v>5192.04</v>
      </c>
      <c r="AV82" s="50" t="n">
        <f aca="false">ROUNDUP(CK82+MAX(CL82,2*(J82/IF(CG82&gt;0,CG82,MAX(0.1,N(Cockpit!$I$6)))-CK82)),0)</f>
        <v>40</v>
      </c>
      <c r="AW82" s="51" t="n">
        <f aca="false">IF(AS82&gt;0,J82/AS82,-1)</f>
        <v>0.85531914893617</v>
      </c>
      <c r="AX82" s="51" t="n">
        <f aca="false">IF(AND(OR(CF82="L1",CF82="L23",CF82="LIFT"),AS82&gt;0),SUMIFS($AS$7:$AS$1843,$CF$7:$CF$1843,CF82,$AW$7:$AW$1843,"&gt;"&amp;AW82)+SUMIFS($AS$7:$AS$1843,$CF$7:$CF$1843,CF82,$AW$7:$AW$1843,AW82,$BW$7:$BW$1843,"&lt;="&amp;BW82),"")</f>
        <v>9367.69963369963</v>
      </c>
      <c r="AY82" s="58" t="n">
        <f aca="false">IF(AX82="",0,MAX(0,MIN(1,(IF(CF82="L1",Parameter!$H$5,IF(CF82="L23",Parameter!$H$6+Parameter!$H$7,Parameter!$H$5+Parameter!$H$6+Parameter!$H$7))-(AX82-AS82))/AS82)))</f>
        <v>1</v>
      </c>
      <c r="AZ82" s="50" t="n">
        <f aca="false">IF(LEFT(Cockpit!$O$5,1)="A",H82,IF(Parameter!$E$30="MAX-Bestand",IF(CH82=1,CI82,IF(LEFT(Cockpit!$O$5,1)="B",BF82,MAX(BF82,H82))),ROUNDUP(BD82,0)))</f>
        <v>25</v>
      </c>
      <c r="BA82" s="50" t="n">
        <f aca="false">IF(BZ82=1,0,ROUNDUP(AZ82/BY82,0))</f>
        <v>2</v>
      </c>
      <c r="BB82" s="52" t="n">
        <f aca="false">IF(CQ82&gt;0,CQ82*MAX(1,AZ82/X82),IF(BZ82=1,IF(AZ82&lt;=0,0,CD82*MAX(1,IF(H82&gt;0,AZ82/H82,1))),IF(R82&gt;0,BA82/R82,0))/MAX(0.1,N(Parameter!$M$21)))</f>
        <v>0.333333333333333</v>
      </c>
      <c r="BC82" s="50" t="n">
        <f aca="false">BB82*CB82</f>
        <v>78.3333333333333</v>
      </c>
      <c r="BD82" s="51" t="n">
        <f aca="false">IF(LEFT(Cockpit!$O$5,1)="A",H82,IF(CH82=1,(CK82+CI82)/2,IF(LEFT(Cockpit!$O$5,1)="B",(CK82+BF82)/2,MAX((CK82+BF82)/2,H82))))</f>
        <v>25</v>
      </c>
      <c r="BE82" s="50" t="n">
        <f aca="false">BD82*G82</f>
        <v>4635.75</v>
      </c>
      <c r="BF82" s="50" t="n">
        <f aca="false">ROUNDUP(CK82+MAX(CL82,2*(J82/IF(CG82&gt;0,CG82,MAX(0.1,N(Cockpit!$O$6)))-CK82)),0)</f>
        <v>40</v>
      </c>
      <c r="BG82" s="51" t="n">
        <f aca="false">IF(BC82&gt;0,J82/BC82,-1)</f>
        <v>0.85531914893617</v>
      </c>
      <c r="BH82" s="51" t="n">
        <f aca="false">IF(AND(OR(CF82="L1",CF82="L23",CF82="LIFT"),BC82&gt;0),SUMIFS($BC$7:$BC$1843,$CF$7:$CF$1843,CF82,$BG$7:$BG$1843,"&gt;"&amp;BG82)+SUMIFS($BC$7:$BC$1843,$CF$7:$CF$1843,CF82,$BG$7:$BG$1843,BG82,$BW$7:$BW$1843,"&lt;="&amp;BW82),"")</f>
        <v>8389.83379120879</v>
      </c>
      <c r="BI82" s="58" t="n">
        <f aca="false">IF(BH82="",0,MAX(0,MIN(1,(IF(CF82="L1",Parameter!$H$5,IF(CF82="L23",Parameter!$H$6+Parameter!$H$7,Parameter!$H$5+Parameter!$H$6+Parameter!$H$7))-(BH82-BC82))/BC82)))</f>
        <v>1</v>
      </c>
      <c r="BJ82" s="48" t="str">
        <f aca="false">IF(AI82&lt;=0,"",IF(CF82="Aussen","Aussenlager",IF(CF82="-","Nicht im Lift",IF(AO82&gt;=1,"Lift",IF(AO82&lt;=0,"Aussenlager","teilweise")))))</f>
        <v>Lift</v>
      </c>
      <c r="BK82" s="48" t="str">
        <f aca="false">IF(AS82&lt;=0,"",IF(CF82="Aussen","Aussenlager",IF(CF82="-","Nicht im Lift",IF(AY82&gt;=1,"Lift",IF(AY82&lt;=0,"Aussenlager","teilweise")))))</f>
        <v>Lift</v>
      </c>
      <c r="BL82" s="48" t="str">
        <f aca="false">IF(BC82&lt;=0,"",IF(CF82="Aussen","Aussenlager",IF(CF82="-","Nicht im Lift",IF(BI82&gt;=1,"Lift",IF(BI82&lt;=0,"Aussenlager","teilweise")))))</f>
        <v>Lift</v>
      </c>
      <c r="BM82" s="48" t="str">
        <f aca="false">IF(A82="","",IF(BV82=1,"Neu; ","")&amp;IF(AND(BV82=0,BQ82&lt;0),"negativer Bestand (Export "&amp;BQ82&amp;"); ","")&amp;IF(J82&lt;=0,"Kein Verbrauch; ","")&amp;IF(CQ82&gt;0,"Lift "&amp;W82&amp;" lt. Liftbericht (Fach "&amp;X82&amp;" Stk); ",IF(CA82=1,"Gebinde geschätzt ("&amp;T82&amp;"); ",IF(BZ82=1,"Lose – Tablare geschätzt; ","")))&amp;IF(H82&gt;AV82,"Überbestand "&amp;ROUND(H82-AV82,0)&amp;" Stk / CHF "&amp;ROUND((H82-AV82)*G82,0)&amp;"; ","")&amp;IF(AND(CH82=1,CI82&lt;CJ82),"MAX &lt; MB+LG; ","")&amp;IF(AND(CP82&gt;0,CO82*10&gt;CP82),"zu hoch für Tablar; ","")&amp;IF(AND(BV82=0,OR(CH82=1,AA82&lt;&gt;"",U82&lt;&gt;"",V82&lt;&gt;"",AB82&lt;&gt;"")),"manuell übersteuert; ","")&amp;IF(AND(BZ82=0,R82=0),"Gebinde unbekannt / Stellmass fehlt; ","")&amp;IF(AND(BZ82=0,N(V82)&lt;=0,N(Q82)&lt;=0),"Menge pro Gebinde fehlt (Ist = 1 Gebinde); ","")&amp;BU82)</f>
        <v>grosser Artikel &amp; nicht im KTL</v>
      </c>
      <c r="BN82" s="48"/>
      <c r="BO82" s="48"/>
      <c r="BP82" s="55"/>
      <c r="BQ82" s="50" t="n">
        <v>15</v>
      </c>
      <c r="BR82" s="50" t="n">
        <v>13</v>
      </c>
      <c r="BS82" s="49" t="n">
        <v>3008.04</v>
      </c>
      <c r="BT82" s="50" t="n">
        <v>67</v>
      </c>
      <c r="BU82" s="48" t="s">
        <v>270</v>
      </c>
      <c r="BV82" s="53" t="n">
        <v>0</v>
      </c>
      <c r="BW82" s="53" t="n">
        <v>82</v>
      </c>
      <c r="BX82" s="48" t="str">
        <f aca="false">IF(U82&lt;&gt;"",UPPER(TRIM(U82)),IF(CA82=1,UPPER(VLOOKUP(T82,Parameter!$I$27:$K$29,2,0)),IF(P82="","LOSE",P82)))</f>
        <v>S71</v>
      </c>
      <c r="BY82" s="50" t="n">
        <f aca="false">IF(BX82="LOSE",1,IF(N(V82)&gt;0,V82,IF(CA82=1,MAX(1,N(VLOOKUP(T82,Parameter!$I$27:$K$29,3,0)),H82,N(N82)),IF(N(Q82)&gt;0,Q82,MAX(1,H82)))))</f>
        <v>18</v>
      </c>
      <c r="BZ82" s="53" t="n">
        <f aca="false">IF(BX82="LOSE",1,0)</f>
        <v>0</v>
      </c>
      <c r="CA82" s="53" t="n">
        <f aca="false">IF(AND(U82="",OR(P82="",P82="LOSE"),T82&lt;&gt;"",N(S82)&lt;=0,ISNUMBER(MATCH(T82,Parameter!$I$27:$I$29,0))),1,0)</f>
        <v>0</v>
      </c>
      <c r="CB82" s="53" t="n">
        <f aca="false">IF(CQ82&gt;0,INDEX(Parameter!$H$5:$H$7,W82)/INDEX(Parameter!$E$5:$E$7,W82),IF(AND(BZ82=0,N(IFERROR(VLOOKUP(BX82,'Gebinde-Kategorie'!$A$5:$N$45,14,0),0))&gt;0),VLOOKUP(BX82,'Gebinde-Kategorie'!$A$5:$N$45,14,0)*10+Parameter!$M$23,Parameter!$M$24))</f>
        <v>235</v>
      </c>
      <c r="CC82" s="48" t="str">
        <f aca="false">IF(AND(Parameter!$B$19="Ja",E82&lt;&gt;"",ISNUMBER(MATCH(E82,Parameter!$I$35:$I$52,0))),VLOOKUP(E82,Parameter!$I$35:$J$52,2,0),IFERROR(VLOOKUP(D82,Parameter!$A$35:$C$64,2,0),"Nein"))</f>
        <v>2+3</v>
      </c>
      <c r="CD82" s="52" t="n">
        <f aca="false">IF(BZ82=0,0,IF(N(S82)&gt;0,S82,IFERROR(VLOOKUP(D82,Parameter!$A$35:$C$64,3,0)+0,0)))</f>
        <v>0</v>
      </c>
      <c r="CE82" s="48" t="n">
        <f aca="false">IF(AA82&lt;&gt;"",AA82,Z82)</f>
        <v>2</v>
      </c>
      <c r="CF82" s="48" t="str">
        <f aca="false">IF(OR(CE82=1,CE82=2,CE82=3),IF(Parameter!$E$27="Ja","LIFT",IF(CE82=1,"L1","L23")),IF(CE82="Aussen","Aussen","-"))</f>
        <v>LIFT</v>
      </c>
      <c r="CG82" s="59" t="n">
        <f aca="false">IF(N(AB82)&gt;0,AB82,0)</f>
        <v>0</v>
      </c>
      <c r="CH82" s="53" t="n">
        <f aca="false">IF(ISNUMBER(AE82),1,0)</f>
        <v>0</v>
      </c>
      <c r="CI82" s="50" t="n">
        <f aca="false">N(AE82)</f>
        <v>0</v>
      </c>
      <c r="CJ82" s="50" t="n">
        <f aca="false">N(M82)+N(N82)</f>
        <v>40</v>
      </c>
      <c r="CK82" s="50" t="n">
        <f aca="false">N(M82)</f>
        <v>10</v>
      </c>
      <c r="CL82" s="50" t="n">
        <f aca="false">N(N82)</f>
        <v>30</v>
      </c>
      <c r="CM82" s="50" t="n">
        <f aca="false">ROUNDUP(H82/BY82,0)</f>
        <v>2</v>
      </c>
      <c r="CN82" s="50" t="n">
        <f aca="false">ROUNDUP(CI82/BY82,0)</f>
        <v>0</v>
      </c>
      <c r="CO82" s="53" t="n">
        <f aca="false">IF(BZ82=1,0,IFERROR(VLOOKUP(BX82,'Gebinde-Kategorie'!$A$5:$N$45,5,0)+0,0))</f>
        <v>20</v>
      </c>
      <c r="CP82" s="53" t="n">
        <f aca="false">IFERROR(IF(OR(CE82=1,CE82=2,CE82=3),N(INDEX(Parameter!$I$5:$I$7,CE82)),0),0)</f>
        <v>0</v>
      </c>
      <c r="CQ82" s="52" t="n">
        <f aca="false">IF(AND(Parameter!$B$21="Ja",ISNUMBER(W82),N(X82)&gt;0),IFERROR(N(INDEX(Parameter!$L$5:$L$7,W82))*INDEX(Parameter!$E$5:$E$7,W82)*X82/SUMIFS($X$7:$X$1843,$W$7:$W$1843,W82),0),0)</f>
        <v>0</v>
      </c>
    </row>
    <row r="83" customFormat="false" ht="15" hidden="false" customHeight="false" outlineLevel="0" collapsed="false">
      <c r="A83" s="48" t="s">
        <v>382</v>
      </c>
      <c r="B83" s="48" t="s">
        <v>383</v>
      </c>
      <c r="C83" s="48" t="s">
        <v>173</v>
      </c>
      <c r="D83" s="48" t="s">
        <v>193</v>
      </c>
      <c r="E83" s="48" t="s">
        <v>194</v>
      </c>
      <c r="F83" s="48" t="s">
        <v>227</v>
      </c>
      <c r="G83" s="49" t="n">
        <v>30.36</v>
      </c>
      <c r="H83" s="50" t="n">
        <f aca="false">MAX(0,IF(AND(Parameter!$B$21="Ja",ISNUMBER(Y83)),Y83,IF(Parameter!$B$20="Jahresanfang 2025 + Export",BR83+BQ83,BQ83)))</f>
        <v>232</v>
      </c>
      <c r="I83" s="50" t="n">
        <f aca="false">H83*G83</f>
        <v>7043.52</v>
      </c>
      <c r="J83" s="50" t="n">
        <f aca="false">BT83*Parameter!$B$18</f>
        <v>1152</v>
      </c>
      <c r="K83" s="51" t="n">
        <v>441.5</v>
      </c>
      <c r="L83" s="52" t="n">
        <v>2.60928652321631</v>
      </c>
      <c r="M83" s="50" t="n">
        <v>106</v>
      </c>
      <c r="N83" s="50" t="n">
        <v>400</v>
      </c>
      <c r="O83" s="53" t="n">
        <v>56</v>
      </c>
      <c r="P83" s="48" t="s">
        <v>337</v>
      </c>
      <c r="Q83" s="50" t="n">
        <v>550</v>
      </c>
      <c r="R83" s="53" t="n">
        <f aca="false">IF(BZ83=1,0,IFERROR(VLOOKUP(BX83,'Gebinde-Kategorie'!$A$5:$N$45,13,0)+0,0))</f>
        <v>52</v>
      </c>
      <c r="S83" s="54"/>
      <c r="T83" s="55"/>
      <c r="U83" s="55"/>
      <c r="V83" s="55"/>
      <c r="W83" s="48"/>
      <c r="X83" s="50"/>
      <c r="Y83" s="50"/>
      <c r="Z83" s="48" t="n">
        <f aca="false">IF(A83="","",IF(AND(Parameter!$B$21="Ja",ISNUMBER(W83)),W83,IF(CC83="2+3",IF(ISNUMBER(SEARCH("grosser Artikel",BU83)),2,IFERROR(VLOOKUP(BX83,Parameter!$F$35:$G$64,2,0),2)),IF(OR(CC83="Nein",CC83=""),"-",CC83))))</f>
        <v>3</v>
      </c>
      <c r="AA83" s="55"/>
      <c r="AB83" s="56"/>
      <c r="AC83" s="50" t="n">
        <f aca="false">AV83</f>
        <v>662</v>
      </c>
      <c r="AD83" s="50" t="n">
        <f aca="false">MAX(AV83,H83)</f>
        <v>662</v>
      </c>
      <c r="AE83" s="57"/>
      <c r="AF83" s="50" t="n">
        <f aca="false">IF(LEFT(Cockpit!$C$5,1)="A",H83,IF(Parameter!$E$30="MAX-Bestand",IF(CH83=1,CI83,IF(LEFT(Cockpit!$C$5,1)="B",AL83,MAX(AL83,H83))),ROUNDUP(AJ83,0)))</f>
        <v>232</v>
      </c>
      <c r="AG83" s="50" t="n">
        <f aca="false">IF(BZ83=1,0,ROUNDUP(AF83/BY83,0))</f>
        <v>1</v>
      </c>
      <c r="AH83" s="52" t="n">
        <f aca="false">IF(CQ83&gt;0,CQ83*MAX(1,AF83/X83),IF(BZ83=1,IF(AF83&lt;=0,0,CD83*MAX(1,IF(H83&gt;0,AF83/H83,1))),IF(R83&gt;0,AG83/R83,0))/MAX(0.1,N(Parameter!$M$21)))</f>
        <v>0.0192307692307692</v>
      </c>
      <c r="AI83" s="50" t="n">
        <f aca="false">AH83*CB83</f>
        <v>2.98076923076923</v>
      </c>
      <c r="AJ83" s="51" t="n">
        <f aca="false">IF(LEFT(Cockpit!$C$5,1)="A",H83,IF(CH83=1,(CK83+CI83)/2,IF(LEFT(Cockpit!$C$5,1)="B",(CK83+AL83)/2,MAX((CK83+AL83)/2,H83))))</f>
        <v>232</v>
      </c>
      <c r="AK83" s="50" t="n">
        <f aca="false">AJ83*G83</f>
        <v>7043.52</v>
      </c>
      <c r="AL83" s="50" t="n">
        <f aca="false">ROUNDUP(CK83+MAX(CL83,2*(J83/IF(CG83&gt;0,CG83,MAX(0.1,N(Cockpit!$C$6)))-CK83)),0)</f>
        <v>662</v>
      </c>
      <c r="AM83" s="51" t="n">
        <f aca="false">IF(AI83&gt;0,J83/AI83,-1)</f>
        <v>386.477419354839</v>
      </c>
      <c r="AN83" s="51" t="n">
        <f aca="false">IF(AND(OR(CF83="L1",CF83="L23",CF83="LIFT"),AI83&gt;0),SUMIFS($AI$7:$AI$1843,$CF$7:$CF$1843,CF83,$AM$7:$AM$1843,"&gt;"&amp;AM83)+SUMIFS($AI$7:$AI$1843,$CF$7:$CF$1843,CF83,$AM$7:$AM$1843,AM83,$BW$7:$BW$1843,"&lt;="&amp;BW83),"")</f>
        <v>202.968406593407</v>
      </c>
      <c r="AO83" s="58" t="n">
        <f aca="false">IF(AN83="",0,MAX(0,MIN(1,(IF(CF83="L1",Parameter!$H$5,IF(CF83="L23",Parameter!$H$6+Parameter!$H$7,Parameter!$H$5+Parameter!$H$6+Parameter!$H$7))-(AN83-AI83))/AI83)))</f>
        <v>1</v>
      </c>
      <c r="AP83" s="50" t="n">
        <f aca="false">IF(LEFT(Cockpit!$I$5,1)="A",H83,IF(Parameter!$E$30="MAX-Bestand",IF(CH83=1,CI83,IF(LEFT(Cockpit!$I$5,1)="B",AV83,MAX(AV83,H83))),ROUNDUP(AT83,0)))</f>
        <v>384</v>
      </c>
      <c r="AQ83" s="50" t="n">
        <f aca="false">IF(BZ83=1,0,ROUNDUP(AP83/BY83,0))</f>
        <v>1</v>
      </c>
      <c r="AR83" s="52" t="n">
        <f aca="false">IF(CQ83&gt;0,CQ83*MAX(1,AP83/X83),IF(BZ83=1,IF(AP83&lt;=0,0,CD83*MAX(1,IF(H83&gt;0,AP83/H83,1))),IF(R83&gt;0,AQ83/R83,0))/MAX(0.1,N(Parameter!$M$21)))</f>
        <v>0.0192307692307692</v>
      </c>
      <c r="AS83" s="50" t="n">
        <f aca="false">AR83*CB83</f>
        <v>2.98076923076923</v>
      </c>
      <c r="AT83" s="51" t="n">
        <f aca="false">IF(LEFT(Cockpit!$I$5,1)="A",H83,IF(CH83=1,(CK83+CI83)/2,IF(LEFT(Cockpit!$I$5,1)="B",(CK83+AV83)/2,MAX((CK83+AV83)/2,H83))))</f>
        <v>384</v>
      </c>
      <c r="AU83" s="50" t="n">
        <f aca="false">AT83*G83</f>
        <v>11658.24</v>
      </c>
      <c r="AV83" s="50" t="n">
        <f aca="false">ROUNDUP(CK83+MAX(CL83,2*(J83/IF(CG83&gt;0,CG83,MAX(0.1,N(Cockpit!$I$6)))-CK83)),0)</f>
        <v>662</v>
      </c>
      <c r="AW83" s="51" t="n">
        <f aca="false">IF(AS83&gt;0,J83/AS83,-1)</f>
        <v>386.477419354839</v>
      </c>
      <c r="AX83" s="51" t="n">
        <f aca="false">IF(AND(OR(CF83="L1",CF83="L23",CF83="LIFT"),AS83&gt;0),SUMIFS($AS$7:$AS$1843,$CF$7:$CF$1843,CF83,$AW$7:$AW$1843,"&gt;"&amp;AW83)+SUMIFS($AS$7:$AS$1843,$CF$7:$CF$1843,CF83,$AW$7:$AW$1843,AW83,$BW$7:$BW$1843,"&lt;="&amp;BW83),"")</f>
        <v>137.184523809524</v>
      </c>
      <c r="AY83" s="58" t="n">
        <f aca="false">IF(AX83="",0,MAX(0,MIN(1,(IF(CF83="L1",Parameter!$H$5,IF(CF83="L23",Parameter!$H$6+Parameter!$H$7,Parameter!$H$5+Parameter!$H$6+Parameter!$H$7))-(AX83-AS83))/AS83)))</f>
        <v>1</v>
      </c>
      <c r="AZ83" s="50" t="n">
        <f aca="false">IF(LEFT(Cockpit!$O$5,1)="A",H83,IF(Parameter!$E$30="MAX-Bestand",IF(CH83=1,CI83,IF(LEFT(Cockpit!$O$5,1)="B",BF83,MAX(BF83,H83))),ROUNDUP(BD83,0)))</f>
        <v>306</v>
      </c>
      <c r="BA83" s="50" t="n">
        <f aca="false">IF(BZ83=1,0,ROUNDUP(AZ83/BY83,0))</f>
        <v>1</v>
      </c>
      <c r="BB83" s="52" t="n">
        <f aca="false">IF(CQ83&gt;0,CQ83*MAX(1,AZ83/X83),IF(BZ83=1,IF(AZ83&lt;=0,0,CD83*MAX(1,IF(H83&gt;0,AZ83/H83,1))),IF(R83&gt;0,BA83/R83,0))/MAX(0.1,N(Parameter!$M$21)))</f>
        <v>0.0192307692307692</v>
      </c>
      <c r="BC83" s="50" t="n">
        <f aca="false">BB83*CB83</f>
        <v>2.98076923076923</v>
      </c>
      <c r="BD83" s="51" t="n">
        <f aca="false">IF(LEFT(Cockpit!$O$5,1)="A",H83,IF(CH83=1,(CK83+CI83)/2,IF(LEFT(Cockpit!$O$5,1)="B",(CK83+BF83)/2,MAX((CK83+BF83)/2,H83))))</f>
        <v>306</v>
      </c>
      <c r="BE83" s="50" t="n">
        <f aca="false">BD83*G83</f>
        <v>9290.16</v>
      </c>
      <c r="BF83" s="50" t="n">
        <f aca="false">ROUNDUP(CK83+MAX(CL83,2*(J83/IF(CG83&gt;0,CG83,MAX(0.1,N(Cockpit!$O$6)))-CK83)),0)</f>
        <v>506</v>
      </c>
      <c r="BG83" s="51" t="n">
        <f aca="false">IF(BC83&gt;0,J83/BC83,-1)</f>
        <v>386.477419354839</v>
      </c>
      <c r="BH83" s="51" t="n">
        <f aca="false">IF(AND(OR(CF83="L1",CF83="L23",CF83="LIFT"),BC83&gt;0),SUMIFS($BC$7:$BC$1843,$CF$7:$CF$1843,CF83,$BG$7:$BG$1843,"&gt;"&amp;BG83)+SUMIFS($BC$7:$BC$1843,$CF$7:$CF$1843,CF83,$BG$7:$BG$1843,BG83,$BW$7:$BW$1843,"&lt;="&amp;BW83),"")</f>
        <v>206.416666666667</v>
      </c>
      <c r="BI83" s="58" t="n">
        <f aca="false">IF(BH83="",0,MAX(0,MIN(1,(IF(CF83="L1",Parameter!$H$5,IF(CF83="L23",Parameter!$H$6+Parameter!$H$7,Parameter!$H$5+Parameter!$H$6+Parameter!$H$7))-(BH83-BC83))/BC83)))</f>
        <v>1</v>
      </c>
      <c r="BJ83" s="48" t="str">
        <f aca="false">IF(AI83&lt;=0,"",IF(CF83="Aussen","Aussenlager",IF(CF83="-","Nicht im Lift",IF(AO83&gt;=1,"Lift",IF(AO83&lt;=0,"Aussenlager","teilweise")))))</f>
        <v>Lift</v>
      </c>
      <c r="BK83" s="48" t="str">
        <f aca="false">IF(AS83&lt;=0,"",IF(CF83="Aussen","Aussenlager",IF(CF83="-","Nicht im Lift",IF(AY83&gt;=1,"Lift",IF(AY83&lt;=0,"Aussenlager","teilweise")))))</f>
        <v>Lift</v>
      </c>
      <c r="BL83" s="48" t="str">
        <f aca="false">IF(BC83&lt;=0,"",IF(CF83="Aussen","Aussenlager",IF(CF83="-","Nicht im Lift",IF(BI83&gt;=1,"Lift",IF(BI83&lt;=0,"Aussenlager","teilweise")))))</f>
        <v>Lift</v>
      </c>
      <c r="BM83" s="48" t="str">
        <f aca="false">IF(A83="","",IF(BV83=1,"Neu; ","")&amp;IF(AND(BV83=0,BQ83&lt;0),"negativer Bestand (Export "&amp;BQ83&amp;"); ","")&amp;IF(J83&lt;=0,"Kein Verbrauch; ","")&amp;IF(CQ83&gt;0,"Lift "&amp;W83&amp;" lt. Liftbericht (Fach "&amp;X83&amp;" Stk); ",IF(CA83=1,"Gebinde geschätzt ("&amp;T83&amp;"); ",IF(BZ83=1,"Lose – Tablare geschätzt; ","")))&amp;IF(H83&gt;AV83,"Überbestand "&amp;ROUND(H83-AV83,0)&amp;" Stk / CHF "&amp;ROUND((H83-AV83)*G83,0)&amp;"; ","")&amp;IF(AND(CH83=1,CI83&lt;CJ83),"MAX &lt; MB+LG; ","")&amp;IF(AND(CP83&gt;0,CO83*10&gt;CP83),"zu hoch für Tablar; ","")&amp;IF(AND(BV83=0,OR(CH83=1,AA83&lt;&gt;"",U83&lt;&gt;"",V83&lt;&gt;"",AB83&lt;&gt;"")),"manuell übersteuert; ","")&amp;IF(AND(BZ83=0,R83=0),"Gebinde unbekannt / Stellmass fehlt; ","")&amp;IF(AND(BZ83=0,N(V83)&lt;=0,N(Q83)&lt;=0),"Menge pro Gebinde fehlt (Ist = 1 Gebinde); ","")&amp;BU83)</f>
        <v/>
      </c>
      <c r="BN83" s="48"/>
      <c r="BO83" s="48"/>
      <c r="BP83" s="55"/>
      <c r="BQ83" s="50" t="n">
        <v>94</v>
      </c>
      <c r="BR83" s="50" t="n">
        <v>138</v>
      </c>
      <c r="BS83" s="49" t="n">
        <v>2989.54000000002</v>
      </c>
      <c r="BT83" s="50" t="n">
        <v>1152</v>
      </c>
      <c r="BU83" s="48"/>
      <c r="BV83" s="53" t="n">
        <v>0</v>
      </c>
      <c r="BW83" s="53" t="n">
        <v>83</v>
      </c>
      <c r="BX83" s="48" t="str">
        <f aca="false">IF(U83&lt;&gt;"",UPPER(TRIM(U83)),IF(CA83=1,UPPER(VLOOKUP(T83,Parameter!$I$27:$K$29,2,0)),IF(P83="","LOSE",P83)))</f>
        <v>S41</v>
      </c>
      <c r="BY83" s="50" t="n">
        <f aca="false">IF(BX83="LOSE",1,IF(N(V83)&gt;0,V83,IF(CA83=1,MAX(1,N(VLOOKUP(T83,Parameter!$I$27:$K$29,3,0)),H83,N(N83)),IF(N(Q83)&gt;0,Q83,MAX(1,H83)))))</f>
        <v>550</v>
      </c>
      <c r="BZ83" s="53" t="n">
        <f aca="false">IF(BX83="LOSE",1,0)</f>
        <v>0</v>
      </c>
      <c r="CA83" s="53" t="n">
        <f aca="false">IF(AND(U83="",OR(P83="",P83="LOSE"),T83&lt;&gt;"",N(S83)&lt;=0,ISNUMBER(MATCH(T83,Parameter!$I$27:$I$29,0))),1,0)</f>
        <v>0</v>
      </c>
      <c r="CB83" s="53" t="n">
        <f aca="false">IF(CQ83&gt;0,INDEX(Parameter!$H$5:$H$7,W83)/INDEX(Parameter!$E$5:$E$7,W83),IF(AND(BZ83=0,N(IFERROR(VLOOKUP(BX83,'Gebinde-Kategorie'!$A$5:$N$45,14,0),0))&gt;0),VLOOKUP(BX83,'Gebinde-Kategorie'!$A$5:$N$45,14,0)*10+Parameter!$M$23,Parameter!$M$24))</f>
        <v>155</v>
      </c>
      <c r="CC83" s="48" t="str">
        <f aca="false">IF(AND(Parameter!$B$19="Ja",E83&lt;&gt;"",ISNUMBER(MATCH(E83,Parameter!$I$35:$I$52,0))),VLOOKUP(E83,Parameter!$I$35:$J$52,2,0),IFERROR(VLOOKUP(D83,Parameter!$A$35:$C$64,2,0),"Nein"))</f>
        <v>2+3</v>
      </c>
      <c r="CD83" s="52" t="n">
        <f aca="false">IF(BZ83=0,0,IF(N(S83)&gt;0,S83,IFERROR(VLOOKUP(D83,Parameter!$A$35:$C$64,3,0)+0,0)))</f>
        <v>0</v>
      </c>
      <c r="CE83" s="48" t="n">
        <f aca="false">IF(AA83&lt;&gt;"",AA83,Z83)</f>
        <v>3</v>
      </c>
      <c r="CF83" s="48" t="str">
        <f aca="false">IF(OR(CE83=1,CE83=2,CE83=3),IF(Parameter!$E$27="Ja","LIFT",IF(CE83=1,"L1","L23")),IF(CE83="Aussen","Aussen","-"))</f>
        <v>LIFT</v>
      </c>
      <c r="CG83" s="59" t="n">
        <f aca="false">IF(N(AB83)&gt;0,AB83,0)</f>
        <v>0</v>
      </c>
      <c r="CH83" s="53" t="n">
        <f aca="false">IF(ISNUMBER(AE83),1,0)</f>
        <v>0</v>
      </c>
      <c r="CI83" s="50" t="n">
        <f aca="false">N(AE83)</f>
        <v>0</v>
      </c>
      <c r="CJ83" s="50" t="n">
        <f aca="false">N(M83)+N(N83)</f>
        <v>506</v>
      </c>
      <c r="CK83" s="50" t="n">
        <f aca="false">N(M83)</f>
        <v>106</v>
      </c>
      <c r="CL83" s="50" t="n">
        <f aca="false">N(N83)</f>
        <v>400</v>
      </c>
      <c r="CM83" s="50" t="n">
        <f aca="false">ROUNDUP(H83/BY83,0)</f>
        <v>1</v>
      </c>
      <c r="CN83" s="50" t="n">
        <f aca="false">ROUNDUP(CI83/BY83,0)</f>
        <v>0</v>
      </c>
      <c r="CO83" s="53" t="n">
        <f aca="false">IF(BZ83=1,0,IFERROR(VLOOKUP(BX83,'Gebinde-Kategorie'!$A$5:$N$45,5,0)+0,0))</f>
        <v>11</v>
      </c>
      <c r="CP83" s="53" t="n">
        <f aca="false">IFERROR(IF(OR(CE83=1,CE83=2,CE83=3),N(INDEX(Parameter!$I$5:$I$7,CE83)),0),0)</f>
        <v>0</v>
      </c>
      <c r="CQ83" s="52" t="n">
        <f aca="false">IF(AND(Parameter!$B$21="Ja",ISNUMBER(W83),N(X83)&gt;0),IFERROR(N(INDEX(Parameter!$L$5:$L$7,W83))*INDEX(Parameter!$E$5:$E$7,W83)*X83/SUMIFS($X$7:$X$1843,$W$7:$W$1843,W83),0),0)</f>
        <v>0</v>
      </c>
    </row>
    <row r="84" customFormat="false" ht="15" hidden="false" customHeight="false" outlineLevel="0" collapsed="false">
      <c r="A84" s="48" t="s">
        <v>384</v>
      </c>
      <c r="B84" s="48" t="s">
        <v>385</v>
      </c>
      <c r="C84" s="48" t="s">
        <v>173</v>
      </c>
      <c r="D84" s="48" t="s">
        <v>193</v>
      </c>
      <c r="E84" s="48" t="s">
        <v>194</v>
      </c>
      <c r="F84" s="48" t="s">
        <v>227</v>
      </c>
      <c r="G84" s="49" t="n">
        <v>58.75</v>
      </c>
      <c r="H84" s="50" t="n">
        <f aca="false">MAX(0,IF(AND(Parameter!$B$21="Ja",ISNUMBER(Y84)),Y84,IF(Parameter!$B$20="Jahresanfang 2025 + Export",BR84+BQ84,BQ84)))</f>
        <v>161</v>
      </c>
      <c r="I84" s="50" t="n">
        <f aca="false">H84*G84</f>
        <v>9458.75</v>
      </c>
      <c r="J84" s="50" t="n">
        <f aca="false">BT84*Parameter!$B$18</f>
        <v>357</v>
      </c>
      <c r="K84" s="51" t="n">
        <v>91</v>
      </c>
      <c r="L84" s="52" t="n">
        <v>3.92307692307692</v>
      </c>
      <c r="M84" s="50" t="n">
        <v>20</v>
      </c>
      <c r="N84" s="50" t="n">
        <v>80</v>
      </c>
      <c r="O84" s="53" t="n">
        <v>21</v>
      </c>
      <c r="P84" s="48" t="s">
        <v>242</v>
      </c>
      <c r="Q84" s="50" t="n">
        <v>109</v>
      </c>
      <c r="R84" s="53" t="n">
        <f aca="false">IF(BZ84=1,0,IFERROR(VLOOKUP(BX84,'Gebinde-Kategorie'!$A$5:$N$45,13,0)+0,0))</f>
        <v>26</v>
      </c>
      <c r="S84" s="54"/>
      <c r="T84" s="55"/>
      <c r="U84" s="55"/>
      <c r="V84" s="55"/>
      <c r="W84" s="48"/>
      <c r="X84" s="50"/>
      <c r="Y84" s="50"/>
      <c r="Z84" s="48" t="n">
        <f aca="false">IF(A84="","",IF(AND(Parameter!$B$21="Ja",ISNUMBER(W84)),W84,IF(CC84="2+3",IF(ISNUMBER(SEARCH("grosser Artikel",BU84)),2,IFERROR(VLOOKUP(BX84,Parameter!$F$35:$G$64,2,0),2)),IF(OR(CC84="Nein",CC84=""),"-",CC84))))</f>
        <v>3</v>
      </c>
      <c r="AA84" s="55"/>
      <c r="AB84" s="56"/>
      <c r="AC84" s="50" t="n">
        <f aca="false">AV84</f>
        <v>218</v>
      </c>
      <c r="AD84" s="50" t="n">
        <f aca="false">MAX(AV84,H84)</f>
        <v>218</v>
      </c>
      <c r="AE84" s="57"/>
      <c r="AF84" s="50" t="n">
        <f aca="false">IF(LEFT(Cockpit!$C$5,1)="A",H84,IF(Parameter!$E$30="MAX-Bestand",IF(CH84=1,CI84,IF(LEFT(Cockpit!$C$5,1)="B",AL84,MAX(AL84,H84))),ROUNDUP(AJ84,0)))</f>
        <v>161</v>
      </c>
      <c r="AG84" s="50" t="n">
        <f aca="false">IF(BZ84=1,0,ROUNDUP(AF84/BY84,0))</f>
        <v>2</v>
      </c>
      <c r="AH84" s="52" t="n">
        <f aca="false">IF(CQ84&gt;0,CQ84*MAX(1,AF84/X84),IF(BZ84=1,IF(AF84&lt;=0,0,CD84*MAX(1,IF(H84&gt;0,AF84/H84,1))),IF(R84&gt;0,AG84/R84,0))/MAX(0.1,N(Parameter!$M$21)))</f>
        <v>0.0769230769230769</v>
      </c>
      <c r="AI84" s="50" t="n">
        <f aca="false">AH84*CB84</f>
        <v>18.8461538461538</v>
      </c>
      <c r="AJ84" s="51" t="n">
        <f aca="false">IF(LEFT(Cockpit!$C$5,1)="A",H84,IF(CH84=1,(CK84+CI84)/2,IF(LEFT(Cockpit!$C$5,1)="B",(CK84+AL84)/2,MAX((CK84+AL84)/2,H84))))</f>
        <v>161</v>
      </c>
      <c r="AK84" s="50" t="n">
        <f aca="false">AJ84*G84</f>
        <v>9458.75</v>
      </c>
      <c r="AL84" s="50" t="n">
        <f aca="false">ROUNDUP(CK84+MAX(CL84,2*(J84/IF(CG84&gt;0,CG84,MAX(0.1,N(Cockpit!$C$6)))-CK84)),0)</f>
        <v>218</v>
      </c>
      <c r="AM84" s="51" t="n">
        <f aca="false">IF(AI84&gt;0,J84/AI84,-1)</f>
        <v>18.9428571428571</v>
      </c>
      <c r="AN84" s="51" t="n">
        <f aca="false">IF(AND(OR(CF84="L1",CF84="L23",CF84="LIFT"),AI84&gt;0),SUMIFS($AI$7:$AI$1843,$CF$7:$CF$1843,CF84,$AM$7:$AM$1843,"&gt;"&amp;AM84)+SUMIFS($AI$7:$AI$1843,$CF$7:$CF$1843,CF84,$AM$7:$AM$1843,AM84,$BW$7:$BW$1843,"&lt;="&amp;BW84),"")</f>
        <v>1766.35073260073</v>
      </c>
      <c r="AO84" s="58" t="n">
        <f aca="false">IF(AN84="",0,MAX(0,MIN(1,(IF(CF84="L1",Parameter!$H$5,IF(CF84="L23",Parameter!$H$6+Parameter!$H$7,Parameter!$H$5+Parameter!$H$6+Parameter!$H$7))-(AN84-AI84))/AI84)))</f>
        <v>1</v>
      </c>
      <c r="AP84" s="50" t="n">
        <f aca="false">IF(LEFT(Cockpit!$I$5,1)="A",H84,IF(Parameter!$E$30="MAX-Bestand",IF(CH84=1,CI84,IF(LEFT(Cockpit!$I$5,1)="B",AV84,MAX(AV84,H84))),ROUNDUP(AT84,0)))</f>
        <v>161</v>
      </c>
      <c r="AQ84" s="50" t="n">
        <f aca="false">IF(BZ84=1,0,ROUNDUP(AP84/BY84,0))</f>
        <v>2</v>
      </c>
      <c r="AR84" s="52" t="n">
        <f aca="false">IF(CQ84&gt;0,CQ84*MAX(1,AP84/X84),IF(BZ84=1,IF(AP84&lt;=0,0,CD84*MAX(1,IF(H84&gt;0,AP84/H84,1))),IF(R84&gt;0,AQ84/R84,0))/MAX(0.1,N(Parameter!$M$21)))</f>
        <v>0.0769230769230769</v>
      </c>
      <c r="AS84" s="50" t="n">
        <f aca="false">AR84*CB84</f>
        <v>18.8461538461538</v>
      </c>
      <c r="AT84" s="51" t="n">
        <f aca="false">IF(LEFT(Cockpit!$I$5,1)="A",H84,IF(CH84=1,(CK84+CI84)/2,IF(LEFT(Cockpit!$I$5,1)="B",(CK84+AV84)/2,MAX((CK84+AV84)/2,H84))))</f>
        <v>161</v>
      </c>
      <c r="AU84" s="50" t="n">
        <f aca="false">AT84*G84</f>
        <v>9458.75</v>
      </c>
      <c r="AV84" s="50" t="n">
        <f aca="false">ROUNDUP(CK84+MAX(CL84,2*(J84/IF(CG84&gt;0,CG84,MAX(0.1,N(Cockpit!$I$6)))-CK84)),0)</f>
        <v>218</v>
      </c>
      <c r="AW84" s="51" t="n">
        <f aca="false">IF(AS84&gt;0,J84/AS84,-1)</f>
        <v>18.9428571428571</v>
      </c>
      <c r="AX84" s="51" t="n">
        <f aca="false">IF(AND(OR(CF84="L1",CF84="L23",CF84="LIFT"),AS84&gt;0),SUMIFS($AS$7:$AS$1843,$CF$7:$CF$1843,CF84,$AW$7:$AW$1843,"&gt;"&amp;AW84)+SUMIFS($AS$7:$AS$1843,$CF$7:$CF$1843,CF84,$AW$7:$AW$1843,AW84,$BW$7:$BW$1843,"&lt;="&amp;BW84),"")</f>
        <v>2403.47161172161</v>
      </c>
      <c r="AY84" s="58" t="n">
        <f aca="false">IF(AX84="",0,MAX(0,MIN(1,(IF(CF84="L1",Parameter!$H$5,IF(CF84="L23",Parameter!$H$6+Parameter!$H$7,Parameter!$H$5+Parameter!$H$6+Parameter!$H$7))-(AX84-AS84))/AS84)))</f>
        <v>1</v>
      </c>
      <c r="AZ84" s="50" t="n">
        <f aca="false">IF(LEFT(Cockpit!$O$5,1)="A",H84,IF(Parameter!$E$30="MAX-Bestand",IF(CH84=1,CI84,IF(LEFT(Cockpit!$O$5,1)="B",BF84,MAX(BF84,H84))),ROUNDUP(BD84,0)))</f>
        <v>90</v>
      </c>
      <c r="BA84" s="50" t="n">
        <f aca="false">IF(BZ84=1,0,ROUNDUP(AZ84/BY84,0))</f>
        <v>1</v>
      </c>
      <c r="BB84" s="52" t="n">
        <f aca="false">IF(CQ84&gt;0,CQ84*MAX(1,AZ84/X84),IF(BZ84=1,IF(AZ84&lt;=0,0,CD84*MAX(1,IF(H84&gt;0,AZ84/H84,1))),IF(R84&gt;0,BA84/R84,0))/MAX(0.1,N(Parameter!$M$21)))</f>
        <v>0.0384615384615385</v>
      </c>
      <c r="BC84" s="50" t="n">
        <f aca="false">BB84*CB84</f>
        <v>9.42307692307692</v>
      </c>
      <c r="BD84" s="51" t="n">
        <f aca="false">IF(LEFT(Cockpit!$O$5,1)="A",H84,IF(CH84=1,(CK84+CI84)/2,IF(LEFT(Cockpit!$O$5,1)="B",(CK84+BF84)/2,MAX((CK84+BF84)/2,H84))))</f>
        <v>89.5</v>
      </c>
      <c r="BE84" s="50" t="n">
        <f aca="false">BD84*G84</f>
        <v>5258.125</v>
      </c>
      <c r="BF84" s="50" t="n">
        <f aca="false">ROUNDUP(CK84+MAX(CL84,2*(J84/IF(CG84&gt;0,CG84,MAX(0.1,N(Cockpit!$O$6)))-CK84)),0)</f>
        <v>159</v>
      </c>
      <c r="BG84" s="51" t="n">
        <f aca="false">IF(BC84&gt;0,J84/BC84,-1)</f>
        <v>37.8857142857143</v>
      </c>
      <c r="BH84" s="51" t="n">
        <f aca="false">IF(AND(OR(CF84="L1",CF84="L23",CF84="LIFT"),BC84&gt;0),SUMIFS($BC$7:$BC$1843,$CF$7:$CF$1843,CF84,$BG$7:$BG$1843,"&gt;"&amp;BG84)+SUMIFS($BC$7:$BC$1843,$CF$7:$CF$1843,CF84,$BG$7:$BG$1843,BG84,$BW$7:$BW$1843,"&lt;="&amp;BW84),"")</f>
        <v>1501.92353479853</v>
      </c>
      <c r="BI84" s="58" t="n">
        <f aca="false">IF(BH84="",0,MAX(0,MIN(1,(IF(CF84="L1",Parameter!$H$5,IF(CF84="L23",Parameter!$H$6+Parameter!$H$7,Parameter!$H$5+Parameter!$H$6+Parameter!$H$7))-(BH84-BC84))/BC84)))</f>
        <v>1</v>
      </c>
      <c r="BJ84" s="48" t="str">
        <f aca="false">IF(AI84&lt;=0,"",IF(CF84="Aussen","Aussenlager",IF(CF84="-","Nicht im Lift",IF(AO84&gt;=1,"Lift",IF(AO84&lt;=0,"Aussenlager","teilweise")))))</f>
        <v>Lift</v>
      </c>
      <c r="BK84" s="48" t="str">
        <f aca="false">IF(AS84&lt;=0,"",IF(CF84="Aussen","Aussenlager",IF(CF84="-","Nicht im Lift",IF(AY84&gt;=1,"Lift",IF(AY84&lt;=0,"Aussenlager","teilweise")))))</f>
        <v>Lift</v>
      </c>
      <c r="BL84" s="48" t="str">
        <f aca="false">IF(BC84&lt;=0,"",IF(CF84="Aussen","Aussenlager",IF(CF84="-","Nicht im Lift",IF(BI84&gt;=1,"Lift",IF(BI84&lt;=0,"Aussenlager","teilweise")))))</f>
        <v>Lift</v>
      </c>
      <c r="BM84" s="48" t="str">
        <f aca="false">IF(A84="","",IF(BV84=1,"Neu; ","")&amp;IF(AND(BV84=0,BQ84&lt;0),"negativer Bestand (Export "&amp;BQ84&amp;"); ","")&amp;IF(J84&lt;=0,"Kein Verbrauch; ","")&amp;IF(CQ84&gt;0,"Lift "&amp;W84&amp;" lt. Liftbericht (Fach "&amp;X84&amp;" Stk); ",IF(CA84=1,"Gebinde geschätzt ("&amp;T84&amp;"); ",IF(BZ84=1,"Lose – Tablare geschätzt; ","")))&amp;IF(H84&gt;AV84,"Überbestand "&amp;ROUND(H84-AV84,0)&amp;" Stk / CHF "&amp;ROUND((H84-AV84)*G84,0)&amp;"; ","")&amp;IF(AND(CH84=1,CI84&lt;CJ84),"MAX &lt; MB+LG; ","")&amp;IF(AND(CP84&gt;0,CO84*10&gt;CP84),"zu hoch für Tablar; ","")&amp;IF(AND(BV84=0,OR(CH84=1,AA84&lt;&gt;"",U84&lt;&gt;"",V84&lt;&gt;"",AB84&lt;&gt;"")),"manuell übersteuert; ","")&amp;IF(AND(BZ84=0,R84=0),"Gebinde unbekannt / Stellmass fehlt; ","")&amp;IF(AND(BZ84=0,N(V84)&lt;=0,N(Q84)&lt;=0),"Menge pro Gebinde fehlt (Ist = 1 Gebinde); ","")&amp;BU84)</f>
        <v/>
      </c>
      <c r="BN84" s="48"/>
      <c r="BO84" s="48"/>
      <c r="BP84" s="55"/>
      <c r="BQ84" s="50" t="n">
        <v>50</v>
      </c>
      <c r="BR84" s="50" t="n">
        <v>111</v>
      </c>
      <c r="BS84" s="49" t="n">
        <v>2976.35</v>
      </c>
      <c r="BT84" s="50" t="n">
        <v>357</v>
      </c>
      <c r="BU84" s="48"/>
      <c r="BV84" s="53" t="n">
        <v>0</v>
      </c>
      <c r="BW84" s="53" t="n">
        <v>84</v>
      </c>
      <c r="BX84" s="48" t="str">
        <f aca="false">IF(U84&lt;&gt;"",UPPER(TRIM(U84)),IF(CA84=1,UPPER(VLOOKUP(T84,Parameter!$I$27:$K$29,2,0)),IF(P84="","LOSE",P84)))</f>
        <v>S52</v>
      </c>
      <c r="BY84" s="50" t="n">
        <f aca="false">IF(BX84="LOSE",1,IF(N(V84)&gt;0,V84,IF(CA84=1,MAX(1,N(VLOOKUP(T84,Parameter!$I$27:$K$29,3,0)),H84,N(N84)),IF(N(Q84)&gt;0,Q84,MAX(1,H84)))))</f>
        <v>109</v>
      </c>
      <c r="BZ84" s="53" t="n">
        <f aca="false">IF(BX84="LOSE",1,0)</f>
        <v>0</v>
      </c>
      <c r="CA84" s="53" t="n">
        <f aca="false">IF(AND(U84="",OR(P84="",P84="LOSE"),T84&lt;&gt;"",N(S84)&lt;=0,ISNUMBER(MATCH(T84,Parameter!$I$27:$I$29,0))),1,0)</f>
        <v>0</v>
      </c>
      <c r="CB84" s="53" t="n">
        <f aca="false">IF(CQ84&gt;0,INDEX(Parameter!$H$5:$H$7,W84)/INDEX(Parameter!$E$5:$E$7,W84),IF(AND(BZ84=0,N(IFERROR(VLOOKUP(BX84,'Gebinde-Kategorie'!$A$5:$N$45,14,0),0))&gt;0),VLOOKUP(BX84,'Gebinde-Kategorie'!$A$5:$N$45,14,0)*10+Parameter!$M$23,Parameter!$M$24))</f>
        <v>245</v>
      </c>
      <c r="CC84" s="48" t="str">
        <f aca="false">IF(AND(Parameter!$B$19="Ja",E84&lt;&gt;"",ISNUMBER(MATCH(E84,Parameter!$I$35:$I$52,0))),VLOOKUP(E84,Parameter!$I$35:$J$52,2,0),IFERROR(VLOOKUP(D84,Parameter!$A$35:$C$64,2,0),"Nein"))</f>
        <v>2+3</v>
      </c>
      <c r="CD84" s="52" t="n">
        <f aca="false">IF(BZ84=0,0,IF(N(S84)&gt;0,S84,IFERROR(VLOOKUP(D84,Parameter!$A$35:$C$64,3,0)+0,0)))</f>
        <v>0</v>
      </c>
      <c r="CE84" s="48" t="n">
        <f aca="false">IF(AA84&lt;&gt;"",AA84,Z84)</f>
        <v>3</v>
      </c>
      <c r="CF84" s="48" t="str">
        <f aca="false">IF(OR(CE84=1,CE84=2,CE84=3),IF(Parameter!$E$27="Ja","LIFT",IF(CE84=1,"L1","L23")),IF(CE84="Aussen","Aussen","-"))</f>
        <v>LIFT</v>
      </c>
      <c r="CG84" s="59" t="n">
        <f aca="false">IF(N(AB84)&gt;0,AB84,0)</f>
        <v>0</v>
      </c>
      <c r="CH84" s="53" t="n">
        <f aca="false">IF(ISNUMBER(AE84),1,0)</f>
        <v>0</v>
      </c>
      <c r="CI84" s="50" t="n">
        <f aca="false">N(AE84)</f>
        <v>0</v>
      </c>
      <c r="CJ84" s="50" t="n">
        <f aca="false">N(M84)+N(N84)</f>
        <v>100</v>
      </c>
      <c r="CK84" s="50" t="n">
        <f aca="false">N(M84)</f>
        <v>20</v>
      </c>
      <c r="CL84" s="50" t="n">
        <f aca="false">N(N84)</f>
        <v>80</v>
      </c>
      <c r="CM84" s="50" t="n">
        <f aca="false">ROUNDUP(H84/BY84,0)</f>
        <v>2</v>
      </c>
      <c r="CN84" s="50" t="n">
        <f aca="false">ROUNDUP(CI84/BY84,0)</f>
        <v>0</v>
      </c>
      <c r="CO84" s="53" t="n">
        <f aca="false">IF(BZ84=1,0,IFERROR(VLOOKUP(BX84,'Gebinde-Kategorie'!$A$5:$N$45,5,0)+0,0))</f>
        <v>21</v>
      </c>
      <c r="CP84" s="53" t="n">
        <f aca="false">IFERROR(IF(OR(CE84=1,CE84=2,CE84=3),N(INDEX(Parameter!$I$5:$I$7,CE84)),0),0)</f>
        <v>0</v>
      </c>
      <c r="CQ84" s="52" t="n">
        <f aca="false">IF(AND(Parameter!$B$21="Ja",ISNUMBER(W84),N(X84)&gt;0),IFERROR(N(INDEX(Parameter!$L$5:$L$7,W84))*INDEX(Parameter!$E$5:$E$7,W84)*X84/SUMIFS($X$7:$X$1843,$W$7:$W$1843,W84),0),0)</f>
        <v>0</v>
      </c>
    </row>
    <row r="85" customFormat="false" ht="15" hidden="false" customHeight="false" outlineLevel="0" collapsed="false">
      <c r="A85" s="48" t="s">
        <v>386</v>
      </c>
      <c r="B85" s="48" t="s">
        <v>290</v>
      </c>
      <c r="C85" s="48" t="s">
        <v>173</v>
      </c>
      <c r="D85" s="48" t="s">
        <v>182</v>
      </c>
      <c r="E85" s="48" t="s">
        <v>194</v>
      </c>
      <c r="F85" s="48" t="s">
        <v>227</v>
      </c>
      <c r="G85" s="49" t="n">
        <v>249.96</v>
      </c>
      <c r="H85" s="50" t="n">
        <f aca="false">MAX(0,IF(AND(Parameter!$B$21="Ja",ISNUMBER(Y85)),Y85,IF(Parameter!$B$20="Jahresanfang 2025 + Export",BR85+BQ85,BQ85)))</f>
        <v>29</v>
      </c>
      <c r="I85" s="50" t="n">
        <f aca="false">H85*G85</f>
        <v>7248.84</v>
      </c>
      <c r="J85" s="50" t="n">
        <f aca="false">BT85*Parameter!$B$18</f>
        <v>62</v>
      </c>
      <c r="K85" s="51" t="n">
        <v>22.5</v>
      </c>
      <c r="L85" s="52" t="n">
        <v>2.75555555555556</v>
      </c>
      <c r="M85" s="50" t="n">
        <v>4</v>
      </c>
      <c r="N85" s="50" t="n">
        <v>20</v>
      </c>
      <c r="O85" s="53" t="n">
        <v>21</v>
      </c>
      <c r="P85" s="48" t="s">
        <v>268</v>
      </c>
      <c r="Q85" s="50" t="n">
        <v>31</v>
      </c>
      <c r="R85" s="53" t="n">
        <f aca="false">IF(BZ85=1,0,IFERROR(VLOOKUP(BX85,'Gebinde-Kategorie'!$A$5:$N$45,13,0)+0,0))</f>
        <v>6</v>
      </c>
      <c r="S85" s="54"/>
      <c r="T85" s="55"/>
      <c r="U85" s="55"/>
      <c r="V85" s="55"/>
      <c r="W85" s="48"/>
      <c r="X85" s="50"/>
      <c r="Y85" s="50"/>
      <c r="Z85" s="48" t="n">
        <f aca="false">IF(A85="","",IF(AND(Parameter!$B$21="Ja",ISNUMBER(W85)),W85,IF(CC85="2+3",IF(ISNUMBER(SEARCH("grosser Artikel",BU85)),2,IFERROR(VLOOKUP(BX85,Parameter!$F$35:$G$64,2,0),2)),IF(OR(CC85="Nein",CC85=""),"-",CC85))))</f>
        <v>2</v>
      </c>
      <c r="AA85" s="55"/>
      <c r="AB85" s="56"/>
      <c r="AC85" s="50" t="n">
        <f aca="false">AV85</f>
        <v>38</v>
      </c>
      <c r="AD85" s="50" t="n">
        <f aca="false">MAX(AV85,H85)</f>
        <v>38</v>
      </c>
      <c r="AE85" s="57"/>
      <c r="AF85" s="50" t="n">
        <f aca="false">IF(LEFT(Cockpit!$C$5,1)="A",H85,IF(Parameter!$E$30="MAX-Bestand",IF(CH85=1,CI85,IF(LEFT(Cockpit!$C$5,1)="B",AL85,MAX(AL85,H85))),ROUNDUP(AJ85,0)))</f>
        <v>29</v>
      </c>
      <c r="AG85" s="50" t="n">
        <f aca="false">IF(BZ85=1,0,ROUNDUP(AF85/BY85,0))</f>
        <v>1</v>
      </c>
      <c r="AH85" s="52" t="n">
        <f aca="false">IF(CQ85&gt;0,CQ85*MAX(1,AF85/X85),IF(BZ85=1,IF(AF85&lt;=0,0,CD85*MAX(1,IF(H85&gt;0,AF85/H85,1))),IF(R85&gt;0,AG85/R85,0))/MAX(0.1,N(Parameter!$M$21)))</f>
        <v>0.166666666666667</v>
      </c>
      <c r="AI85" s="50" t="n">
        <f aca="false">AH85*CB85</f>
        <v>72.5</v>
      </c>
      <c r="AJ85" s="51" t="n">
        <f aca="false">IF(LEFT(Cockpit!$C$5,1)="A",H85,IF(CH85=1,(CK85+CI85)/2,IF(LEFT(Cockpit!$C$5,1)="B",(CK85+AL85)/2,MAX((CK85+AL85)/2,H85))))</f>
        <v>29</v>
      </c>
      <c r="AK85" s="50" t="n">
        <f aca="false">AJ85*G85</f>
        <v>7248.84</v>
      </c>
      <c r="AL85" s="50" t="n">
        <f aca="false">ROUNDUP(CK85+MAX(CL85,2*(J85/IF(CG85&gt;0,CG85,MAX(0.1,N(Cockpit!$C$6)))-CK85)),0)</f>
        <v>38</v>
      </c>
      <c r="AM85" s="51" t="n">
        <f aca="false">IF(AI85&gt;0,J85/AI85,-1)</f>
        <v>0.855172413793104</v>
      </c>
      <c r="AN85" s="51" t="n">
        <f aca="false">IF(AND(OR(CF85="L1",CF85="L23",CF85="LIFT"),AI85&gt;0),SUMIFS($AI$7:$AI$1843,$CF$7:$CF$1843,CF85,$AM$7:$AM$1843,"&gt;"&amp;AM85)+SUMIFS($AI$7:$AI$1843,$CF$7:$CF$1843,CF85,$AM$7:$AM$1843,AM85,$BW$7:$BW$1843,"&lt;="&amp;BW85),"")</f>
        <v>7805.34294871795</v>
      </c>
      <c r="AO85" s="58" t="n">
        <f aca="false">IF(AN85="",0,MAX(0,MIN(1,(IF(CF85="L1",Parameter!$H$5,IF(CF85="L23",Parameter!$H$6+Parameter!$H$7,Parameter!$H$5+Parameter!$H$6+Parameter!$H$7))-(AN85-AI85))/AI85)))</f>
        <v>1</v>
      </c>
      <c r="AP85" s="50" t="n">
        <f aca="false">IF(LEFT(Cockpit!$I$5,1)="A",H85,IF(Parameter!$E$30="MAX-Bestand",IF(CH85=1,CI85,IF(LEFT(Cockpit!$I$5,1)="B",AV85,MAX(AV85,H85))),ROUNDUP(AT85,0)))</f>
        <v>29</v>
      </c>
      <c r="AQ85" s="50" t="n">
        <f aca="false">IF(BZ85=1,0,ROUNDUP(AP85/BY85,0))</f>
        <v>1</v>
      </c>
      <c r="AR85" s="52" t="n">
        <f aca="false">IF(CQ85&gt;0,CQ85*MAX(1,AP85/X85),IF(BZ85=1,IF(AP85&lt;=0,0,CD85*MAX(1,IF(H85&gt;0,AP85/H85,1))),IF(R85&gt;0,AQ85/R85,0))/MAX(0.1,N(Parameter!$M$21)))</f>
        <v>0.166666666666667</v>
      </c>
      <c r="AS85" s="50" t="n">
        <f aca="false">AR85*CB85</f>
        <v>72.5</v>
      </c>
      <c r="AT85" s="51" t="n">
        <f aca="false">IF(LEFT(Cockpit!$I$5,1)="A",H85,IF(CH85=1,(CK85+CI85)/2,IF(LEFT(Cockpit!$I$5,1)="B",(CK85+AV85)/2,MAX((CK85+AV85)/2,H85))))</f>
        <v>29</v>
      </c>
      <c r="AU85" s="50" t="n">
        <f aca="false">AT85*G85</f>
        <v>7248.84</v>
      </c>
      <c r="AV85" s="50" t="n">
        <f aca="false">ROUNDUP(CK85+MAX(CL85,2*(J85/IF(CG85&gt;0,CG85,MAX(0.1,N(Cockpit!$I$6)))-CK85)),0)</f>
        <v>38</v>
      </c>
      <c r="AW85" s="51" t="n">
        <f aca="false">IF(AS85&gt;0,J85/AS85,-1)</f>
        <v>0.855172413793104</v>
      </c>
      <c r="AX85" s="51" t="n">
        <f aca="false">IF(AND(OR(CF85="L1",CF85="L23",CF85="LIFT"),AS85&gt;0),SUMIFS($AS$7:$AS$1843,$CF$7:$CF$1843,CF85,$AW$7:$AW$1843,"&gt;"&amp;AW85)+SUMIFS($AS$7:$AS$1843,$CF$7:$CF$1843,CF85,$AW$7:$AW$1843,AW85,$BW$7:$BW$1843,"&lt;="&amp;BW85),"")</f>
        <v>9518.53296703297</v>
      </c>
      <c r="AY85" s="58" t="n">
        <f aca="false">IF(AX85="",0,MAX(0,MIN(1,(IF(CF85="L1",Parameter!$H$5,IF(CF85="L23",Parameter!$H$6+Parameter!$H$7,Parameter!$H$5+Parameter!$H$6+Parameter!$H$7))-(AX85-AS85))/AS85)))</f>
        <v>1</v>
      </c>
      <c r="AZ85" s="50" t="n">
        <f aca="false">IF(LEFT(Cockpit!$O$5,1)="A",H85,IF(Parameter!$E$30="MAX-Bestand",IF(CH85=1,CI85,IF(LEFT(Cockpit!$O$5,1)="B",BF85,MAX(BF85,H85))),ROUNDUP(BD85,0)))</f>
        <v>16</v>
      </c>
      <c r="BA85" s="50" t="n">
        <f aca="false">IF(BZ85=1,0,ROUNDUP(AZ85/BY85,0))</f>
        <v>1</v>
      </c>
      <c r="BB85" s="52" t="n">
        <f aca="false">IF(CQ85&gt;0,CQ85*MAX(1,AZ85/X85),IF(BZ85=1,IF(AZ85&lt;=0,0,CD85*MAX(1,IF(H85&gt;0,AZ85/H85,1))),IF(R85&gt;0,BA85/R85,0))/MAX(0.1,N(Parameter!$M$21)))</f>
        <v>0.166666666666667</v>
      </c>
      <c r="BC85" s="50" t="n">
        <f aca="false">BB85*CB85</f>
        <v>72.5</v>
      </c>
      <c r="BD85" s="51" t="n">
        <f aca="false">IF(LEFT(Cockpit!$O$5,1)="A",H85,IF(CH85=1,(CK85+CI85)/2,IF(LEFT(Cockpit!$O$5,1)="B",(CK85+BF85)/2,MAX((CK85+BF85)/2,H85))))</f>
        <v>15.5</v>
      </c>
      <c r="BE85" s="50" t="n">
        <f aca="false">BD85*G85</f>
        <v>3874.38</v>
      </c>
      <c r="BF85" s="50" t="n">
        <f aca="false">ROUNDUP(CK85+MAX(CL85,2*(J85/IF(CG85&gt;0,CG85,MAX(0.1,N(Cockpit!$O$6)))-CK85)),0)</f>
        <v>27</v>
      </c>
      <c r="BG85" s="51" t="n">
        <f aca="false">IF(BC85&gt;0,J85/BC85,-1)</f>
        <v>0.855172413793104</v>
      </c>
      <c r="BH85" s="51" t="n">
        <f aca="false">IF(AND(OR(CF85="L1",CF85="L23",CF85="LIFT"),BC85&gt;0),SUMIFS($BC$7:$BC$1843,$CF$7:$CF$1843,CF85,$BG$7:$BG$1843,"&gt;"&amp;BG85)+SUMIFS($BC$7:$BC$1843,$CF$7:$CF$1843,CF85,$BG$7:$BG$1843,BG85,$BW$7:$BW$1843,"&lt;="&amp;BW85),"")</f>
        <v>8540.66712454212</v>
      </c>
      <c r="BI85" s="58" t="n">
        <f aca="false">IF(BH85="",0,MAX(0,MIN(1,(IF(CF85="L1",Parameter!$H$5,IF(CF85="L23",Parameter!$H$6+Parameter!$H$7,Parameter!$H$5+Parameter!$H$6+Parameter!$H$7))-(BH85-BC85))/BC85)))</f>
        <v>1</v>
      </c>
      <c r="BJ85" s="48" t="str">
        <f aca="false">IF(AI85&lt;=0,"",IF(CF85="Aussen","Aussenlager",IF(CF85="-","Nicht im Lift",IF(AO85&gt;=1,"Lift",IF(AO85&lt;=0,"Aussenlager","teilweise")))))</f>
        <v>Lift</v>
      </c>
      <c r="BK85" s="48" t="str">
        <f aca="false">IF(AS85&lt;=0,"",IF(CF85="Aussen","Aussenlager",IF(CF85="-","Nicht im Lift",IF(AY85&gt;=1,"Lift",IF(AY85&lt;=0,"Aussenlager","teilweise")))))</f>
        <v>Lift</v>
      </c>
      <c r="BL85" s="48" t="str">
        <f aca="false">IF(BC85&lt;=0,"",IF(CF85="Aussen","Aussenlager",IF(CF85="-","Nicht im Lift",IF(BI85&gt;=1,"Lift",IF(BI85&lt;=0,"Aussenlager","teilweise")))))</f>
        <v>Lift</v>
      </c>
      <c r="BM85" s="48" t="str">
        <f aca="false">IF(A85="","",IF(BV85=1,"Neu; ","")&amp;IF(AND(BV85=0,BQ85&lt;0),"negativer Bestand (Export "&amp;BQ85&amp;"); ","")&amp;IF(J85&lt;=0,"Kein Verbrauch; ","")&amp;IF(CQ85&gt;0,"Lift "&amp;W85&amp;" lt. Liftbericht (Fach "&amp;X85&amp;" Stk); ",IF(CA85=1,"Gebinde geschätzt ("&amp;T85&amp;"); ",IF(BZ85=1,"Lose – Tablare geschätzt; ","")))&amp;IF(H85&gt;AV85,"Überbestand "&amp;ROUND(H85-AV85,0)&amp;" Stk / CHF "&amp;ROUND((H85-AV85)*G85,0)&amp;"; ","")&amp;IF(AND(CH85=1,CI85&lt;CJ85),"MAX &lt; MB+LG; ","")&amp;IF(AND(CP85&gt;0,CO85*10&gt;CP85),"zu hoch für Tablar; ","")&amp;IF(AND(BV85=0,OR(CH85=1,AA85&lt;&gt;"",U85&lt;&gt;"",V85&lt;&gt;"",AB85&lt;&gt;"")),"manuell übersteuert; ","")&amp;IF(AND(BZ85=0,R85=0),"Gebinde unbekannt / Stellmass fehlt; ","")&amp;IF(AND(BZ85=0,N(V85)&lt;=0,N(Q85)&lt;=0),"Menge pro Gebinde fehlt (Ist = 1 Gebinde); ","")&amp;BU85)</f>
        <v>grosser Artikel &amp; nicht im KTL</v>
      </c>
      <c r="BN85" s="48"/>
      <c r="BO85" s="48"/>
      <c r="BP85" s="55"/>
      <c r="BQ85" s="50" t="n">
        <v>15</v>
      </c>
      <c r="BR85" s="50" t="n">
        <v>14</v>
      </c>
      <c r="BS85" s="49" t="n">
        <v>2968.34</v>
      </c>
      <c r="BT85" s="50" t="n">
        <v>62</v>
      </c>
      <c r="BU85" s="48" t="s">
        <v>270</v>
      </c>
      <c r="BV85" s="53" t="n">
        <v>0</v>
      </c>
      <c r="BW85" s="53" t="n">
        <v>85</v>
      </c>
      <c r="BX85" s="48" t="str">
        <f aca="false">IF(U85&lt;&gt;"",UPPER(TRIM(U85)),IF(CA85=1,UPPER(VLOOKUP(T85,Parameter!$I$27:$K$29,2,0)),IF(P85="","LOSE",P85)))</f>
        <v>S72</v>
      </c>
      <c r="BY85" s="50" t="n">
        <f aca="false">IF(BX85="LOSE",1,IF(N(V85)&gt;0,V85,IF(CA85=1,MAX(1,N(VLOOKUP(T85,Parameter!$I$27:$K$29,3,0)),H85,N(N85)),IF(N(Q85)&gt;0,Q85,MAX(1,H85)))))</f>
        <v>31</v>
      </c>
      <c r="BZ85" s="53" t="n">
        <f aca="false">IF(BX85="LOSE",1,0)</f>
        <v>0</v>
      </c>
      <c r="CA85" s="53" t="n">
        <f aca="false">IF(AND(U85="",OR(P85="",P85="LOSE"),T85&lt;&gt;"",N(S85)&lt;=0,ISNUMBER(MATCH(T85,Parameter!$I$27:$I$29,0))),1,0)</f>
        <v>0</v>
      </c>
      <c r="CB85" s="53" t="n">
        <f aca="false">IF(CQ85&gt;0,INDEX(Parameter!$H$5:$H$7,W85)/INDEX(Parameter!$E$5:$E$7,W85),IF(AND(BZ85=0,N(IFERROR(VLOOKUP(BX85,'Gebinde-Kategorie'!$A$5:$N$45,14,0),0))&gt;0),VLOOKUP(BX85,'Gebinde-Kategorie'!$A$5:$N$45,14,0)*10+Parameter!$M$23,Parameter!$M$24))</f>
        <v>435</v>
      </c>
      <c r="CC85" s="48" t="str">
        <f aca="false">IF(AND(Parameter!$B$19="Ja",E85&lt;&gt;"",ISNUMBER(MATCH(E85,Parameter!$I$35:$I$52,0))),VLOOKUP(E85,Parameter!$I$35:$J$52,2,0),IFERROR(VLOOKUP(D85,Parameter!$A$35:$C$64,2,0),"Nein"))</f>
        <v>2+3</v>
      </c>
      <c r="CD85" s="52" t="n">
        <f aca="false">IF(BZ85=0,0,IF(N(S85)&gt;0,S85,IFERROR(VLOOKUP(D85,Parameter!$A$35:$C$64,3,0)+0,0)))</f>
        <v>0</v>
      </c>
      <c r="CE85" s="48" t="n">
        <f aca="false">IF(AA85&lt;&gt;"",AA85,Z85)</f>
        <v>2</v>
      </c>
      <c r="CF85" s="48" t="str">
        <f aca="false">IF(OR(CE85=1,CE85=2,CE85=3),IF(Parameter!$E$27="Ja","LIFT",IF(CE85=1,"L1","L23")),IF(CE85="Aussen","Aussen","-"))</f>
        <v>LIFT</v>
      </c>
      <c r="CG85" s="59" t="n">
        <f aca="false">IF(N(AB85)&gt;0,AB85,0)</f>
        <v>0</v>
      </c>
      <c r="CH85" s="53" t="n">
        <f aca="false">IF(ISNUMBER(AE85),1,0)</f>
        <v>0</v>
      </c>
      <c r="CI85" s="50" t="n">
        <f aca="false">N(AE85)</f>
        <v>0</v>
      </c>
      <c r="CJ85" s="50" t="n">
        <f aca="false">N(M85)+N(N85)</f>
        <v>24</v>
      </c>
      <c r="CK85" s="50" t="n">
        <f aca="false">N(M85)</f>
        <v>4</v>
      </c>
      <c r="CL85" s="50" t="n">
        <f aca="false">N(N85)</f>
        <v>20</v>
      </c>
      <c r="CM85" s="50" t="n">
        <f aca="false">ROUNDUP(H85/BY85,0)</f>
        <v>1</v>
      </c>
      <c r="CN85" s="50" t="n">
        <f aca="false">ROUNDUP(CI85/BY85,0)</f>
        <v>0</v>
      </c>
      <c r="CO85" s="53" t="n">
        <f aca="false">IF(BZ85=1,0,IFERROR(VLOOKUP(BX85,'Gebinde-Kategorie'!$A$5:$N$45,5,0)+0,0))</f>
        <v>40</v>
      </c>
      <c r="CP85" s="53" t="n">
        <f aca="false">IFERROR(IF(OR(CE85=1,CE85=2,CE85=3),N(INDEX(Parameter!$I$5:$I$7,CE85)),0),0)</f>
        <v>0</v>
      </c>
      <c r="CQ85" s="52" t="n">
        <f aca="false">IF(AND(Parameter!$B$21="Ja",ISNUMBER(W85),N(X85)&gt;0),IFERROR(N(INDEX(Parameter!$L$5:$L$7,W85))*INDEX(Parameter!$E$5:$E$7,W85)*X85/SUMIFS($X$7:$X$1843,$W$7:$W$1843,W85),0),0)</f>
        <v>0</v>
      </c>
    </row>
    <row r="86" customFormat="false" ht="15" hidden="false" customHeight="false" outlineLevel="0" collapsed="false">
      <c r="A86" s="48" t="s">
        <v>387</v>
      </c>
      <c r="B86" s="48" t="s">
        <v>388</v>
      </c>
      <c r="C86" s="48" t="s">
        <v>173</v>
      </c>
      <c r="D86" s="48" t="s">
        <v>182</v>
      </c>
      <c r="E86" s="48"/>
      <c r="F86" s="48" t="s">
        <v>227</v>
      </c>
      <c r="G86" s="49" t="n">
        <v>423.8</v>
      </c>
      <c r="H86" s="50" t="n">
        <f aca="false">MAX(0,IF(AND(Parameter!$B$21="Ja",ISNUMBER(Y86)),Y86,IF(Parameter!$B$20="Jahresanfang 2025 + Export",BR86+BQ86,BQ86)))</f>
        <v>7</v>
      </c>
      <c r="I86" s="50" t="n">
        <f aca="false">H86*G86</f>
        <v>2966.6</v>
      </c>
      <c r="J86" s="50" t="n">
        <f aca="false">BT86*Parameter!$B$18</f>
        <v>32</v>
      </c>
      <c r="K86" s="51" t="n">
        <v>14.5</v>
      </c>
      <c r="L86" s="52" t="n">
        <v>2.20689655172414</v>
      </c>
      <c r="M86" s="50" t="n">
        <v>5</v>
      </c>
      <c r="N86" s="50" t="n">
        <v>15</v>
      </c>
      <c r="O86" s="53" t="n">
        <v>63</v>
      </c>
      <c r="P86" s="48" t="s">
        <v>183</v>
      </c>
      <c r="Q86" s="50" t="n">
        <v>22</v>
      </c>
      <c r="R86" s="53" t="n">
        <f aca="false">IF(BZ86=1,0,IFERROR(VLOOKUP(BX86,'Gebinde-Kategorie'!$A$5:$N$45,13,0)+0,0))</f>
        <v>6</v>
      </c>
      <c r="S86" s="54"/>
      <c r="T86" s="55"/>
      <c r="U86" s="55"/>
      <c r="V86" s="55"/>
      <c r="W86" s="48"/>
      <c r="X86" s="50"/>
      <c r="Y86" s="50"/>
      <c r="Z86" s="48" t="n">
        <f aca="false">IF(A86="","",IF(AND(Parameter!$B$21="Ja",ISNUMBER(W86)),W86,IF(CC86="2+3",IF(ISNUMBER(SEARCH("grosser Artikel",BU86)),2,IFERROR(VLOOKUP(BX86,Parameter!$F$35:$G$64,2,0),2)),IF(OR(CC86="Nein",CC86=""),"-",CC86))))</f>
        <v>2</v>
      </c>
      <c r="AA86" s="55"/>
      <c r="AB86" s="56"/>
      <c r="AC86" s="50" t="n">
        <f aca="false">AV86</f>
        <v>20</v>
      </c>
      <c r="AD86" s="50" t="n">
        <f aca="false">MAX(AV86,H86)</f>
        <v>20</v>
      </c>
      <c r="AE86" s="57"/>
      <c r="AF86" s="50" t="n">
        <f aca="false">IF(LEFT(Cockpit!$C$5,1)="A",H86,IF(Parameter!$E$30="MAX-Bestand",IF(CH86=1,CI86,IF(LEFT(Cockpit!$C$5,1)="B",AL86,MAX(AL86,H86))),ROUNDUP(AJ86,0)))</f>
        <v>7</v>
      </c>
      <c r="AG86" s="50" t="n">
        <f aca="false">IF(BZ86=1,0,ROUNDUP(AF86/BY86,0))</f>
        <v>1</v>
      </c>
      <c r="AH86" s="52" t="n">
        <f aca="false">IF(CQ86&gt;0,CQ86*MAX(1,AF86/X86),IF(BZ86=1,IF(AF86&lt;=0,0,CD86*MAX(1,IF(H86&gt;0,AF86/H86,1))),IF(R86&gt;0,AG86/R86,0))/MAX(0.1,N(Parameter!$M$21)))</f>
        <v>0.166666666666667</v>
      </c>
      <c r="AI86" s="50" t="n">
        <f aca="false">AH86*CB86</f>
        <v>39.1666666666667</v>
      </c>
      <c r="AJ86" s="51" t="n">
        <f aca="false">IF(LEFT(Cockpit!$C$5,1)="A",H86,IF(CH86=1,(CK86+CI86)/2,IF(LEFT(Cockpit!$C$5,1)="B",(CK86+AL86)/2,MAX((CK86+AL86)/2,H86))))</f>
        <v>7</v>
      </c>
      <c r="AK86" s="50" t="n">
        <f aca="false">AJ86*G86</f>
        <v>2966.6</v>
      </c>
      <c r="AL86" s="50" t="n">
        <f aca="false">ROUNDUP(CK86+MAX(CL86,2*(J86/IF(CG86&gt;0,CG86,MAX(0.1,N(Cockpit!$C$6)))-CK86)),0)</f>
        <v>20</v>
      </c>
      <c r="AM86" s="51" t="n">
        <f aca="false">IF(AI86&gt;0,J86/AI86,-1)</f>
        <v>0.817021276595745</v>
      </c>
      <c r="AN86" s="51" t="n">
        <f aca="false">IF(AND(OR(CF86="L1",CF86="L23",CF86="LIFT"),AI86&gt;0),SUMIFS($AI$7:$AI$1843,$CF$7:$CF$1843,CF86,$AM$7:$AM$1843,"&gt;"&amp;AM86)+SUMIFS($AI$7:$AI$1843,$CF$7:$CF$1843,CF86,$AM$7:$AM$1843,AM86,$BW$7:$BW$1843,"&lt;="&amp;BW86),"")</f>
        <v>8017.45833333333</v>
      </c>
      <c r="AO86" s="58" t="n">
        <f aca="false">IF(AN86="",0,MAX(0,MIN(1,(IF(CF86="L1",Parameter!$H$5,IF(CF86="L23",Parameter!$H$6+Parameter!$H$7,Parameter!$H$5+Parameter!$H$6+Parameter!$H$7))-(AN86-AI86))/AI86)))</f>
        <v>1</v>
      </c>
      <c r="AP86" s="50" t="n">
        <f aca="false">IF(LEFT(Cockpit!$I$5,1)="A",H86,IF(Parameter!$E$30="MAX-Bestand",IF(CH86=1,CI86,IF(LEFT(Cockpit!$I$5,1)="B",AV86,MAX(AV86,H86))),ROUNDUP(AT86,0)))</f>
        <v>13</v>
      </c>
      <c r="AQ86" s="50" t="n">
        <f aca="false">IF(BZ86=1,0,ROUNDUP(AP86/BY86,0))</f>
        <v>1</v>
      </c>
      <c r="AR86" s="52" t="n">
        <f aca="false">IF(CQ86&gt;0,CQ86*MAX(1,AP86/X86),IF(BZ86=1,IF(AP86&lt;=0,0,CD86*MAX(1,IF(H86&gt;0,AP86/H86,1))),IF(R86&gt;0,AQ86/R86,0))/MAX(0.1,N(Parameter!$M$21)))</f>
        <v>0.166666666666667</v>
      </c>
      <c r="AS86" s="50" t="n">
        <f aca="false">AR86*CB86</f>
        <v>39.1666666666667</v>
      </c>
      <c r="AT86" s="51" t="n">
        <f aca="false">IF(LEFT(Cockpit!$I$5,1)="A",H86,IF(CH86=1,(CK86+CI86)/2,IF(LEFT(Cockpit!$I$5,1)="B",(CK86+AV86)/2,MAX((CK86+AV86)/2,H86))))</f>
        <v>12.5</v>
      </c>
      <c r="AU86" s="50" t="n">
        <f aca="false">AT86*G86</f>
        <v>5297.5</v>
      </c>
      <c r="AV86" s="50" t="n">
        <f aca="false">ROUNDUP(CK86+MAX(CL86,2*(J86/IF(CG86&gt;0,CG86,MAX(0.1,N(Cockpit!$I$6)))-CK86)),0)</f>
        <v>20</v>
      </c>
      <c r="AW86" s="51" t="n">
        <f aca="false">IF(AS86&gt;0,J86/AS86,-1)</f>
        <v>0.817021276595745</v>
      </c>
      <c r="AX86" s="51" t="n">
        <f aca="false">IF(AND(OR(CF86="L1",CF86="L23",CF86="LIFT"),AS86&gt;0),SUMIFS($AS$7:$AS$1843,$CF$7:$CF$1843,CF86,$AW$7:$AW$1843,"&gt;"&amp;AW86)+SUMIFS($AS$7:$AS$1843,$CF$7:$CF$1843,CF86,$AW$7:$AW$1843,AW86,$BW$7:$BW$1843,"&lt;="&amp;BW86),"")</f>
        <v>9881.60989010989</v>
      </c>
      <c r="AY86" s="58" t="n">
        <f aca="false">IF(AX86="",0,MAX(0,MIN(1,(IF(CF86="L1",Parameter!$H$5,IF(CF86="L23",Parameter!$H$6+Parameter!$H$7,Parameter!$H$5+Parameter!$H$6+Parameter!$H$7))-(AX86-AS86))/AS86)))</f>
        <v>1</v>
      </c>
      <c r="AZ86" s="50" t="n">
        <f aca="false">IF(LEFT(Cockpit!$O$5,1)="A",H86,IF(Parameter!$E$30="MAX-Bestand",IF(CH86=1,CI86,IF(LEFT(Cockpit!$O$5,1)="B",BF86,MAX(BF86,H86))),ROUNDUP(BD86,0)))</f>
        <v>13</v>
      </c>
      <c r="BA86" s="50" t="n">
        <f aca="false">IF(BZ86=1,0,ROUNDUP(AZ86/BY86,0))</f>
        <v>1</v>
      </c>
      <c r="BB86" s="52" t="n">
        <f aca="false">IF(CQ86&gt;0,CQ86*MAX(1,AZ86/X86),IF(BZ86=1,IF(AZ86&lt;=0,0,CD86*MAX(1,IF(H86&gt;0,AZ86/H86,1))),IF(R86&gt;0,BA86/R86,0))/MAX(0.1,N(Parameter!$M$21)))</f>
        <v>0.166666666666667</v>
      </c>
      <c r="BC86" s="50" t="n">
        <f aca="false">BB86*CB86</f>
        <v>39.1666666666667</v>
      </c>
      <c r="BD86" s="51" t="n">
        <f aca="false">IF(LEFT(Cockpit!$O$5,1)="A",H86,IF(CH86=1,(CK86+CI86)/2,IF(LEFT(Cockpit!$O$5,1)="B",(CK86+BF86)/2,MAX((CK86+BF86)/2,H86))))</f>
        <v>12.5</v>
      </c>
      <c r="BE86" s="50" t="n">
        <f aca="false">BD86*G86</f>
        <v>5297.5</v>
      </c>
      <c r="BF86" s="50" t="n">
        <f aca="false">ROUNDUP(CK86+MAX(CL86,2*(J86/IF(CG86&gt;0,CG86,MAX(0.1,N(Cockpit!$O$6)))-CK86)),0)</f>
        <v>20</v>
      </c>
      <c r="BG86" s="51" t="n">
        <f aca="false">IF(BC86&gt;0,J86/BC86,-1)</f>
        <v>0.817021276595745</v>
      </c>
      <c r="BH86" s="51" t="n">
        <f aca="false">IF(AND(OR(CF86="L1",CF86="L23",CF86="LIFT"),BC86&gt;0),SUMIFS($BC$7:$BC$1843,$CF$7:$CF$1843,CF86,$BG$7:$BG$1843,"&gt;"&amp;BG86)+SUMIFS($BC$7:$BC$1843,$CF$7:$CF$1843,CF86,$BG$7:$BG$1843,BG86,$BW$7:$BW$1843,"&lt;="&amp;BW86),"")</f>
        <v>8676.43635531135</v>
      </c>
      <c r="BI86" s="58" t="n">
        <f aca="false">IF(BH86="",0,MAX(0,MIN(1,(IF(CF86="L1",Parameter!$H$5,IF(CF86="L23",Parameter!$H$6+Parameter!$H$7,Parameter!$H$5+Parameter!$H$6+Parameter!$H$7))-(BH86-BC86))/BC86)))</f>
        <v>1</v>
      </c>
      <c r="BJ86" s="48" t="str">
        <f aca="false">IF(AI86&lt;=0,"",IF(CF86="Aussen","Aussenlager",IF(CF86="-","Nicht im Lift",IF(AO86&gt;=1,"Lift",IF(AO86&lt;=0,"Aussenlager","teilweise")))))</f>
        <v>Lift</v>
      </c>
      <c r="BK86" s="48" t="str">
        <f aca="false">IF(AS86&lt;=0,"",IF(CF86="Aussen","Aussenlager",IF(CF86="-","Nicht im Lift",IF(AY86&gt;=1,"Lift",IF(AY86&lt;=0,"Aussenlager","teilweise")))))</f>
        <v>Lift</v>
      </c>
      <c r="BL86" s="48" t="str">
        <f aca="false">IF(BC86&lt;=0,"",IF(CF86="Aussen","Aussenlager",IF(CF86="-","Nicht im Lift",IF(BI86&gt;=1,"Lift",IF(BI86&lt;=0,"Aussenlager","teilweise")))))</f>
        <v>Lift</v>
      </c>
      <c r="BM86" s="48" t="str">
        <f aca="false">IF(A86="","",IF(BV86=1,"Neu; ","")&amp;IF(AND(BV86=0,BQ86&lt;0),"negativer Bestand (Export "&amp;BQ86&amp;"); ","")&amp;IF(J86&lt;=0,"Kein Verbrauch; ","")&amp;IF(CQ86&gt;0,"Lift "&amp;W86&amp;" lt. Liftbericht (Fach "&amp;X86&amp;" Stk); ",IF(CA86=1,"Gebinde geschätzt ("&amp;T86&amp;"); ",IF(BZ86=1,"Lose – Tablare geschätzt; ","")))&amp;IF(H86&gt;AV86,"Überbestand "&amp;ROUND(H86-AV86,0)&amp;" Stk / CHF "&amp;ROUND((H86-AV86)*G86,0)&amp;"; ","")&amp;IF(AND(CH86=1,CI86&lt;CJ86),"MAX &lt; MB+LG; ","")&amp;IF(AND(CP86&gt;0,CO86*10&gt;CP86),"zu hoch für Tablar; ","")&amp;IF(AND(BV86=0,OR(CH86=1,AA86&lt;&gt;"",U86&lt;&gt;"",V86&lt;&gt;"",AB86&lt;&gt;"")),"manuell übersteuert; ","")&amp;IF(AND(BZ86=0,R86=0),"Gebinde unbekannt / Stellmass fehlt; ","")&amp;IF(AND(BZ86=0,N(V86)&lt;=0,N(Q86)&lt;=0),"Menge pro Gebinde fehlt (Ist = 1 Gebinde); ","")&amp;BU86)</f>
        <v/>
      </c>
      <c r="BN86" s="48" t="s">
        <v>389</v>
      </c>
      <c r="BO86" s="48" t="s">
        <v>390</v>
      </c>
      <c r="BP86" s="55"/>
      <c r="BQ86" s="50" t="n">
        <v>7</v>
      </c>
      <c r="BR86" s="50" t="n">
        <v>0</v>
      </c>
      <c r="BS86" s="49" t="n">
        <v>2966.6</v>
      </c>
      <c r="BT86" s="50" t="n">
        <v>32</v>
      </c>
      <c r="BU86" s="48"/>
      <c r="BV86" s="53" t="n">
        <v>0</v>
      </c>
      <c r="BW86" s="53" t="n">
        <v>86</v>
      </c>
      <c r="BX86" s="48" t="str">
        <f aca="false">IF(U86&lt;&gt;"",UPPER(TRIM(U86)),IF(CA86=1,UPPER(VLOOKUP(T86,Parameter!$I$27:$K$29,2,0)),IF(P86="","LOSE",P86)))</f>
        <v>S71</v>
      </c>
      <c r="BY86" s="50" t="n">
        <f aca="false">IF(BX86="LOSE",1,IF(N(V86)&gt;0,V86,IF(CA86=1,MAX(1,N(VLOOKUP(T86,Parameter!$I$27:$K$29,3,0)),H86,N(N86)),IF(N(Q86)&gt;0,Q86,MAX(1,H86)))))</f>
        <v>22</v>
      </c>
      <c r="BZ86" s="53" t="n">
        <f aca="false">IF(BX86="LOSE",1,0)</f>
        <v>0</v>
      </c>
      <c r="CA86" s="53" t="n">
        <f aca="false">IF(AND(U86="",OR(P86="",P86="LOSE"),T86&lt;&gt;"",N(S86)&lt;=0,ISNUMBER(MATCH(T86,Parameter!$I$27:$I$29,0))),1,0)</f>
        <v>0</v>
      </c>
      <c r="CB86" s="53" t="n">
        <f aca="false">IF(CQ86&gt;0,INDEX(Parameter!$H$5:$H$7,W86)/INDEX(Parameter!$E$5:$E$7,W86),IF(AND(BZ86=0,N(IFERROR(VLOOKUP(BX86,'Gebinde-Kategorie'!$A$5:$N$45,14,0),0))&gt;0),VLOOKUP(BX86,'Gebinde-Kategorie'!$A$5:$N$45,14,0)*10+Parameter!$M$23,Parameter!$M$24))</f>
        <v>235</v>
      </c>
      <c r="CC86" s="48" t="str">
        <f aca="false">IF(AND(Parameter!$B$19="Ja",E86&lt;&gt;"",ISNUMBER(MATCH(E86,Parameter!$I$35:$I$52,0))),VLOOKUP(E86,Parameter!$I$35:$J$52,2,0),IFERROR(VLOOKUP(D86,Parameter!$A$35:$C$64,2,0),"Nein"))</f>
        <v>2+3</v>
      </c>
      <c r="CD86" s="52" t="n">
        <f aca="false">IF(BZ86=0,0,IF(N(S86)&gt;0,S86,IFERROR(VLOOKUP(D86,Parameter!$A$35:$C$64,3,0)+0,0)))</f>
        <v>0</v>
      </c>
      <c r="CE86" s="48" t="n">
        <f aca="false">IF(AA86&lt;&gt;"",AA86,Z86)</f>
        <v>2</v>
      </c>
      <c r="CF86" s="48" t="str">
        <f aca="false">IF(OR(CE86=1,CE86=2,CE86=3),IF(Parameter!$E$27="Ja","LIFT",IF(CE86=1,"L1","L23")),IF(CE86="Aussen","Aussen","-"))</f>
        <v>LIFT</v>
      </c>
      <c r="CG86" s="59" t="n">
        <f aca="false">IF(N(AB86)&gt;0,AB86,0)</f>
        <v>0</v>
      </c>
      <c r="CH86" s="53" t="n">
        <f aca="false">IF(ISNUMBER(AE86),1,0)</f>
        <v>0</v>
      </c>
      <c r="CI86" s="50" t="n">
        <f aca="false">N(AE86)</f>
        <v>0</v>
      </c>
      <c r="CJ86" s="50" t="n">
        <f aca="false">N(M86)+N(N86)</f>
        <v>20</v>
      </c>
      <c r="CK86" s="50" t="n">
        <f aca="false">N(M86)</f>
        <v>5</v>
      </c>
      <c r="CL86" s="50" t="n">
        <f aca="false">N(N86)</f>
        <v>15</v>
      </c>
      <c r="CM86" s="50" t="n">
        <f aca="false">ROUNDUP(H86/BY86,0)</f>
        <v>1</v>
      </c>
      <c r="CN86" s="50" t="n">
        <f aca="false">ROUNDUP(CI86/BY86,0)</f>
        <v>0</v>
      </c>
      <c r="CO86" s="53" t="n">
        <f aca="false">IF(BZ86=1,0,IFERROR(VLOOKUP(BX86,'Gebinde-Kategorie'!$A$5:$N$45,5,0)+0,0))</f>
        <v>20</v>
      </c>
      <c r="CP86" s="53" t="n">
        <f aca="false">IFERROR(IF(OR(CE86=1,CE86=2,CE86=3),N(INDEX(Parameter!$I$5:$I$7,CE86)),0),0)</f>
        <v>0</v>
      </c>
      <c r="CQ86" s="52" t="n">
        <f aca="false">IF(AND(Parameter!$B$21="Ja",ISNUMBER(W86),N(X86)&gt;0),IFERROR(N(INDEX(Parameter!$L$5:$L$7,W86))*INDEX(Parameter!$E$5:$E$7,W86)*X86/SUMIFS($X$7:$X$1843,$W$7:$W$1843,W86),0),0)</f>
        <v>0</v>
      </c>
    </row>
    <row r="87" customFormat="false" ht="15" hidden="false" customHeight="false" outlineLevel="0" collapsed="false">
      <c r="A87" s="48" t="s">
        <v>391</v>
      </c>
      <c r="B87" s="48" t="s">
        <v>392</v>
      </c>
      <c r="C87" s="48" t="s">
        <v>173</v>
      </c>
      <c r="D87" s="48" t="s">
        <v>193</v>
      </c>
      <c r="E87" s="48" t="s">
        <v>194</v>
      </c>
      <c r="F87" s="48" t="s">
        <v>227</v>
      </c>
      <c r="G87" s="49" t="n">
        <v>140.69</v>
      </c>
      <c r="H87" s="50" t="n">
        <f aca="false">MAX(0,IF(AND(Parameter!$B$21="Ja",ISNUMBER(Y87)),Y87,IF(Parameter!$B$20="Jahresanfang 2025 + Export",BR87+BQ87,BQ87)))</f>
        <v>27</v>
      </c>
      <c r="I87" s="50" t="n">
        <f aca="false">H87*G87</f>
        <v>3798.63</v>
      </c>
      <c r="J87" s="50" t="n">
        <f aca="false">BT87*Parameter!$B$18</f>
        <v>30</v>
      </c>
      <c r="K87" s="51" t="n">
        <v>8.5</v>
      </c>
      <c r="L87" s="52" t="n">
        <v>3.52941176470588</v>
      </c>
      <c r="M87" s="50" t="n">
        <v>2</v>
      </c>
      <c r="N87" s="50" t="n">
        <v>25</v>
      </c>
      <c r="O87" s="53" t="n">
        <v>21</v>
      </c>
      <c r="P87" s="48" t="s">
        <v>235</v>
      </c>
      <c r="Q87" s="50" t="n">
        <v>30</v>
      </c>
      <c r="R87" s="53" t="n">
        <f aca="false">IF(BZ87=1,0,IFERROR(VLOOKUP(BX87,'Gebinde-Kategorie'!$A$5:$N$45,13,0)+0,0))</f>
        <v>12</v>
      </c>
      <c r="S87" s="54"/>
      <c r="T87" s="55"/>
      <c r="U87" s="55"/>
      <c r="V87" s="55"/>
      <c r="W87" s="48"/>
      <c r="X87" s="50"/>
      <c r="Y87" s="50"/>
      <c r="Z87" s="48" t="n">
        <f aca="false">IF(A87="","",IF(AND(Parameter!$B$21="Ja",ISNUMBER(W87)),W87,IF(CC87="2+3",IF(ISNUMBER(SEARCH("grosser Artikel",BU87)),2,IFERROR(VLOOKUP(BX87,Parameter!$F$35:$G$64,2,0),2)),IF(OR(CC87="Nein",CC87=""),"-",CC87))))</f>
        <v>2</v>
      </c>
      <c r="AA87" s="55"/>
      <c r="AB87" s="56"/>
      <c r="AC87" s="50" t="n">
        <f aca="false">AV87</f>
        <v>27</v>
      </c>
      <c r="AD87" s="50" t="n">
        <f aca="false">MAX(AV87,H87)</f>
        <v>27</v>
      </c>
      <c r="AE87" s="57"/>
      <c r="AF87" s="50" t="n">
        <f aca="false">IF(LEFT(Cockpit!$C$5,1)="A",H87,IF(Parameter!$E$30="MAX-Bestand",IF(CH87=1,CI87,IF(LEFT(Cockpit!$C$5,1)="B",AL87,MAX(AL87,H87))),ROUNDUP(AJ87,0)))</f>
        <v>27</v>
      </c>
      <c r="AG87" s="50" t="n">
        <f aca="false">IF(BZ87=1,0,ROUNDUP(AF87/BY87,0))</f>
        <v>1</v>
      </c>
      <c r="AH87" s="52" t="n">
        <f aca="false">IF(CQ87&gt;0,CQ87*MAX(1,AF87/X87),IF(BZ87=1,IF(AF87&lt;=0,0,CD87*MAX(1,IF(H87&gt;0,AF87/H87,1))),IF(R87&gt;0,AG87/R87,0))/MAX(0.1,N(Parameter!$M$21)))</f>
        <v>0.0833333333333333</v>
      </c>
      <c r="AI87" s="50" t="n">
        <f aca="false">AH87*CB87</f>
        <v>28.75</v>
      </c>
      <c r="AJ87" s="51" t="n">
        <f aca="false">IF(LEFT(Cockpit!$C$5,1)="A",H87,IF(CH87=1,(CK87+CI87)/2,IF(LEFT(Cockpit!$C$5,1)="B",(CK87+AL87)/2,MAX((CK87+AL87)/2,H87))))</f>
        <v>27</v>
      </c>
      <c r="AK87" s="50" t="n">
        <f aca="false">AJ87*G87</f>
        <v>3798.63</v>
      </c>
      <c r="AL87" s="50" t="n">
        <f aca="false">ROUNDUP(CK87+MAX(CL87,2*(J87/IF(CG87&gt;0,CG87,MAX(0.1,N(Cockpit!$C$6)))-CK87)),0)</f>
        <v>27</v>
      </c>
      <c r="AM87" s="51" t="n">
        <f aca="false">IF(AI87&gt;0,J87/AI87,-1)</f>
        <v>1.04347826086957</v>
      </c>
      <c r="AN87" s="51" t="n">
        <f aca="false">IF(AND(OR(CF87="L1",CF87="L23",CF87="LIFT"),AI87&gt;0),SUMIFS($AI$7:$AI$1843,$CF$7:$CF$1843,CF87,$AM$7:$AM$1843,"&gt;"&amp;AM87)+SUMIFS($AI$7:$AI$1843,$CF$7:$CF$1843,CF87,$AM$7:$AM$1843,AM87,$BW$7:$BW$1843,"&lt;="&amp;BW87),"")</f>
        <v>6960.1543040293</v>
      </c>
      <c r="AO87" s="58" t="n">
        <f aca="false">IF(AN87="",0,MAX(0,MIN(1,(IF(CF87="L1",Parameter!$H$5,IF(CF87="L23",Parameter!$H$6+Parameter!$H$7,Parameter!$H$5+Parameter!$H$6+Parameter!$H$7))-(AN87-AI87))/AI87)))</f>
        <v>1</v>
      </c>
      <c r="AP87" s="50" t="n">
        <f aca="false">IF(LEFT(Cockpit!$I$5,1)="A",H87,IF(Parameter!$E$30="MAX-Bestand",IF(CH87=1,CI87,IF(LEFT(Cockpit!$I$5,1)="B",AV87,MAX(AV87,H87))),ROUNDUP(AT87,0)))</f>
        <v>27</v>
      </c>
      <c r="AQ87" s="50" t="n">
        <f aca="false">IF(BZ87=1,0,ROUNDUP(AP87/BY87,0))</f>
        <v>1</v>
      </c>
      <c r="AR87" s="52" t="n">
        <f aca="false">IF(CQ87&gt;0,CQ87*MAX(1,AP87/X87),IF(BZ87=1,IF(AP87&lt;=0,0,CD87*MAX(1,IF(H87&gt;0,AP87/H87,1))),IF(R87&gt;0,AQ87/R87,0))/MAX(0.1,N(Parameter!$M$21)))</f>
        <v>0.0833333333333333</v>
      </c>
      <c r="AS87" s="50" t="n">
        <f aca="false">AR87*CB87</f>
        <v>28.75</v>
      </c>
      <c r="AT87" s="51" t="n">
        <f aca="false">IF(LEFT(Cockpit!$I$5,1)="A",H87,IF(CH87=1,(CK87+CI87)/2,IF(LEFT(Cockpit!$I$5,1)="B",(CK87+AV87)/2,MAX((CK87+AV87)/2,H87))))</f>
        <v>27</v>
      </c>
      <c r="AU87" s="50" t="n">
        <f aca="false">AT87*G87</f>
        <v>3798.63</v>
      </c>
      <c r="AV87" s="50" t="n">
        <f aca="false">ROUNDUP(CK87+MAX(CL87,2*(J87/IF(CG87&gt;0,CG87,MAX(0.1,N(Cockpit!$I$6)))-CK87)),0)</f>
        <v>27</v>
      </c>
      <c r="AW87" s="51" t="n">
        <f aca="false">IF(AS87&gt;0,J87/AS87,-1)</f>
        <v>1.04347826086957</v>
      </c>
      <c r="AX87" s="51" t="n">
        <f aca="false">IF(AND(OR(CF87="L1",CF87="L23",CF87="LIFT"),AS87&gt;0),SUMIFS($AS$7:$AS$1843,$CF$7:$CF$1843,CF87,$AW$7:$AW$1843,"&gt;"&amp;AW87)+SUMIFS($AS$7:$AS$1843,$CF$7:$CF$1843,CF87,$AW$7:$AW$1843,AW87,$BW$7:$BW$1843,"&lt;="&amp;BW87),"")</f>
        <v>8310.65201465201</v>
      </c>
      <c r="AY87" s="58" t="n">
        <f aca="false">IF(AX87="",0,MAX(0,MIN(1,(IF(CF87="L1",Parameter!$H$5,IF(CF87="L23",Parameter!$H$6+Parameter!$H$7,Parameter!$H$5+Parameter!$H$6+Parameter!$H$7))-(AX87-AS87))/AS87)))</f>
        <v>1</v>
      </c>
      <c r="AZ87" s="50" t="n">
        <f aca="false">IF(LEFT(Cockpit!$O$5,1)="A",H87,IF(Parameter!$E$30="MAX-Bestand",IF(CH87=1,CI87,IF(LEFT(Cockpit!$O$5,1)="B",BF87,MAX(BF87,H87))),ROUNDUP(BD87,0)))</f>
        <v>15</v>
      </c>
      <c r="BA87" s="50" t="n">
        <f aca="false">IF(BZ87=1,0,ROUNDUP(AZ87/BY87,0))</f>
        <v>1</v>
      </c>
      <c r="BB87" s="52" t="n">
        <f aca="false">IF(CQ87&gt;0,CQ87*MAX(1,AZ87/X87),IF(BZ87=1,IF(AZ87&lt;=0,0,CD87*MAX(1,IF(H87&gt;0,AZ87/H87,1))),IF(R87&gt;0,BA87/R87,0))/MAX(0.1,N(Parameter!$M$21)))</f>
        <v>0.0833333333333333</v>
      </c>
      <c r="BC87" s="50" t="n">
        <f aca="false">BB87*CB87</f>
        <v>28.75</v>
      </c>
      <c r="BD87" s="51" t="n">
        <f aca="false">IF(LEFT(Cockpit!$O$5,1)="A",H87,IF(CH87=1,(CK87+CI87)/2,IF(LEFT(Cockpit!$O$5,1)="B",(CK87+BF87)/2,MAX((CK87+BF87)/2,H87))))</f>
        <v>14.5</v>
      </c>
      <c r="BE87" s="50" t="n">
        <f aca="false">BD87*G87</f>
        <v>2040.005</v>
      </c>
      <c r="BF87" s="50" t="n">
        <f aca="false">ROUNDUP(CK87+MAX(CL87,2*(J87/IF(CG87&gt;0,CG87,MAX(0.1,N(Cockpit!$O$6)))-CK87)),0)</f>
        <v>27</v>
      </c>
      <c r="BG87" s="51" t="n">
        <f aca="false">IF(BC87&gt;0,J87/BC87,-1)</f>
        <v>1.04347826086957</v>
      </c>
      <c r="BH87" s="51" t="n">
        <f aca="false">IF(AND(OR(CF87="L1",CF87="L23",CF87="LIFT"),BC87&gt;0),SUMIFS($BC$7:$BC$1843,$CF$7:$CF$1843,CF87,$BG$7:$BG$1843,"&gt;"&amp;BG87)+SUMIFS($BC$7:$BC$1843,$CF$7:$CF$1843,CF87,$BG$7:$BG$1843,BG87,$BW$7:$BW$1843,"&lt;="&amp;BW87),"")</f>
        <v>7458.05998168498</v>
      </c>
      <c r="BI87" s="58" t="n">
        <f aca="false">IF(BH87="",0,MAX(0,MIN(1,(IF(CF87="L1",Parameter!$H$5,IF(CF87="L23",Parameter!$H$6+Parameter!$H$7,Parameter!$H$5+Parameter!$H$6+Parameter!$H$7))-(BH87-BC87))/BC87)))</f>
        <v>1</v>
      </c>
      <c r="BJ87" s="48" t="str">
        <f aca="false">IF(AI87&lt;=0,"",IF(CF87="Aussen","Aussenlager",IF(CF87="-","Nicht im Lift",IF(AO87&gt;=1,"Lift",IF(AO87&lt;=0,"Aussenlager","teilweise")))))</f>
        <v>Lift</v>
      </c>
      <c r="BK87" s="48" t="str">
        <f aca="false">IF(AS87&lt;=0,"",IF(CF87="Aussen","Aussenlager",IF(CF87="-","Nicht im Lift",IF(AY87&gt;=1,"Lift",IF(AY87&lt;=0,"Aussenlager","teilweise")))))</f>
        <v>Lift</v>
      </c>
      <c r="BL87" s="48" t="str">
        <f aca="false">IF(BC87&lt;=0,"",IF(CF87="Aussen","Aussenlager",IF(CF87="-","Nicht im Lift",IF(BI87&gt;=1,"Lift",IF(BI87&lt;=0,"Aussenlager","teilweise")))))</f>
        <v>Lift</v>
      </c>
      <c r="BM87" s="48" t="str">
        <f aca="false">IF(A87="","",IF(BV87=1,"Neu; ","")&amp;IF(AND(BV87=0,BQ87&lt;0),"negativer Bestand (Export "&amp;BQ87&amp;"); ","")&amp;IF(J87&lt;=0,"Kein Verbrauch; ","")&amp;IF(CQ87&gt;0,"Lift "&amp;W87&amp;" lt. Liftbericht (Fach "&amp;X87&amp;" Stk); ",IF(CA87=1,"Gebinde geschätzt ("&amp;T87&amp;"); ",IF(BZ87=1,"Lose – Tablare geschätzt; ","")))&amp;IF(H87&gt;AV87,"Überbestand "&amp;ROUND(H87-AV87,0)&amp;" Stk / CHF "&amp;ROUND((H87-AV87)*G87,0)&amp;"; ","")&amp;IF(AND(CH87=1,CI87&lt;CJ87),"MAX &lt; MB+LG; ","")&amp;IF(AND(CP87&gt;0,CO87*10&gt;CP87),"zu hoch für Tablar; ","")&amp;IF(AND(BV87=0,OR(CH87=1,AA87&lt;&gt;"",U87&lt;&gt;"",V87&lt;&gt;"",AB87&lt;&gt;"")),"manuell übersteuert; ","")&amp;IF(AND(BZ87=0,R87=0),"Gebinde unbekannt / Stellmass fehlt; ","")&amp;IF(AND(BZ87=0,N(V87)&lt;=0,N(Q87)&lt;=0),"Menge pro Gebinde fehlt (Ist = 1 Gebinde); ","")&amp;BU87)</f>
        <v/>
      </c>
      <c r="BN87" s="48"/>
      <c r="BO87" s="48"/>
      <c r="BP87" s="55"/>
      <c r="BQ87" s="50" t="n">
        <v>21</v>
      </c>
      <c r="BR87" s="50" t="n">
        <v>6</v>
      </c>
      <c r="BS87" s="49" t="n">
        <v>2941.11</v>
      </c>
      <c r="BT87" s="50" t="n">
        <v>30</v>
      </c>
      <c r="BU87" s="48"/>
      <c r="BV87" s="53" t="n">
        <v>0</v>
      </c>
      <c r="BW87" s="53" t="n">
        <v>87</v>
      </c>
      <c r="BX87" s="48" t="str">
        <f aca="false">IF(U87&lt;&gt;"",UPPER(TRIM(U87)),IF(CA87=1,UPPER(VLOOKUP(T87,Parameter!$I$27:$K$29,2,0)),IF(P87="","LOSE",P87)))</f>
        <v>S63</v>
      </c>
      <c r="BY87" s="50" t="n">
        <f aca="false">IF(BX87="LOSE",1,IF(N(V87)&gt;0,V87,IF(CA87=1,MAX(1,N(VLOOKUP(T87,Parameter!$I$27:$K$29,3,0)),H87,N(N87)),IF(N(Q87)&gt;0,Q87,MAX(1,H87)))))</f>
        <v>30</v>
      </c>
      <c r="BZ87" s="53" t="n">
        <f aca="false">IF(BX87="LOSE",1,0)</f>
        <v>0</v>
      </c>
      <c r="CA87" s="53" t="n">
        <f aca="false">IF(AND(U87="",OR(P87="",P87="LOSE"),T87&lt;&gt;"",N(S87)&lt;=0,ISNUMBER(MATCH(T87,Parameter!$I$27:$I$29,0))),1,0)</f>
        <v>0</v>
      </c>
      <c r="CB87" s="53" t="n">
        <f aca="false">IF(CQ87&gt;0,INDEX(Parameter!$H$5:$H$7,W87)/INDEX(Parameter!$E$5:$E$7,W87),IF(AND(BZ87=0,N(IFERROR(VLOOKUP(BX87,'Gebinde-Kategorie'!$A$5:$N$45,14,0),0))&gt;0),VLOOKUP(BX87,'Gebinde-Kategorie'!$A$5:$N$45,14,0)*10+Parameter!$M$23,Parameter!$M$24))</f>
        <v>345</v>
      </c>
      <c r="CC87" s="48" t="str">
        <f aca="false">IF(AND(Parameter!$B$19="Ja",E87&lt;&gt;"",ISNUMBER(MATCH(E87,Parameter!$I$35:$I$52,0))),VLOOKUP(E87,Parameter!$I$35:$J$52,2,0),IFERROR(VLOOKUP(D87,Parameter!$A$35:$C$64,2,0),"Nein"))</f>
        <v>2+3</v>
      </c>
      <c r="CD87" s="52" t="n">
        <f aca="false">IF(BZ87=0,0,IF(N(S87)&gt;0,S87,IFERROR(VLOOKUP(D87,Parameter!$A$35:$C$64,3,0)+0,0)))</f>
        <v>0</v>
      </c>
      <c r="CE87" s="48" t="n">
        <f aca="false">IF(AA87&lt;&gt;"",AA87,Z87)</f>
        <v>2</v>
      </c>
      <c r="CF87" s="48" t="str">
        <f aca="false">IF(OR(CE87=1,CE87=2,CE87=3),IF(Parameter!$E$27="Ja","LIFT",IF(CE87=1,"L1","L23")),IF(CE87="Aussen","Aussen","-"))</f>
        <v>LIFT</v>
      </c>
      <c r="CG87" s="59" t="n">
        <f aca="false">IF(N(AB87)&gt;0,AB87,0)</f>
        <v>0</v>
      </c>
      <c r="CH87" s="53" t="n">
        <f aca="false">IF(ISNUMBER(AE87),1,0)</f>
        <v>0</v>
      </c>
      <c r="CI87" s="50" t="n">
        <f aca="false">N(AE87)</f>
        <v>0</v>
      </c>
      <c r="CJ87" s="50" t="n">
        <f aca="false">N(M87)+N(N87)</f>
        <v>27</v>
      </c>
      <c r="CK87" s="50" t="n">
        <f aca="false">N(M87)</f>
        <v>2</v>
      </c>
      <c r="CL87" s="50" t="n">
        <f aca="false">N(N87)</f>
        <v>25</v>
      </c>
      <c r="CM87" s="50" t="n">
        <f aca="false">ROUNDUP(H87/BY87,0)</f>
        <v>1</v>
      </c>
      <c r="CN87" s="50" t="n">
        <f aca="false">ROUNDUP(CI87/BY87,0)</f>
        <v>0</v>
      </c>
      <c r="CO87" s="53" t="n">
        <f aca="false">IF(BZ87=1,0,IFERROR(VLOOKUP(BX87,'Gebinde-Kategorie'!$A$5:$N$45,5,0)+0,0))</f>
        <v>31</v>
      </c>
      <c r="CP87" s="53" t="n">
        <f aca="false">IFERROR(IF(OR(CE87=1,CE87=2,CE87=3),N(INDEX(Parameter!$I$5:$I$7,CE87)),0),0)</f>
        <v>0</v>
      </c>
      <c r="CQ87" s="52" t="n">
        <f aca="false">IF(AND(Parameter!$B$21="Ja",ISNUMBER(W87),N(X87)&gt;0),IFERROR(N(INDEX(Parameter!$L$5:$L$7,W87))*INDEX(Parameter!$E$5:$E$7,W87)*X87/SUMIFS($X$7:$X$1843,$W$7:$W$1843,W87),0),0)</f>
        <v>0</v>
      </c>
    </row>
    <row r="88" customFormat="false" ht="15" hidden="false" customHeight="false" outlineLevel="0" collapsed="false">
      <c r="A88" s="48" t="s">
        <v>393</v>
      </c>
      <c r="B88" s="48" t="s">
        <v>394</v>
      </c>
      <c r="C88" s="48" t="s">
        <v>173</v>
      </c>
      <c r="D88" s="48" t="s">
        <v>193</v>
      </c>
      <c r="E88" s="48" t="s">
        <v>194</v>
      </c>
      <c r="F88" s="48" t="s">
        <v>227</v>
      </c>
      <c r="G88" s="49" t="n">
        <v>12.41</v>
      </c>
      <c r="H88" s="50" t="n">
        <f aca="false">MAX(0,IF(AND(Parameter!$B$21="Ja",ISNUMBER(Y88)),Y88,IF(Parameter!$B$20="Jahresanfang 2025 + Export",BR88+BQ88,BQ88)))</f>
        <v>277</v>
      </c>
      <c r="I88" s="50" t="n">
        <f aca="false">H88*G88</f>
        <v>3437.57</v>
      </c>
      <c r="J88" s="50" t="n">
        <f aca="false">BT88*Parameter!$B$18</f>
        <v>315</v>
      </c>
      <c r="K88" s="51" t="n">
        <v>129</v>
      </c>
      <c r="L88" s="52" t="n">
        <v>2.44186046511628</v>
      </c>
      <c r="M88" s="50" t="n">
        <v>55</v>
      </c>
      <c r="N88" s="50" t="n">
        <v>255</v>
      </c>
      <c r="O88" s="53" t="n">
        <v>56</v>
      </c>
      <c r="P88" s="48" t="s">
        <v>337</v>
      </c>
      <c r="Q88" s="50" t="n">
        <v>128</v>
      </c>
      <c r="R88" s="53" t="n">
        <f aca="false">IF(BZ88=1,0,IFERROR(VLOOKUP(BX88,'Gebinde-Kategorie'!$A$5:$N$45,13,0)+0,0))</f>
        <v>52</v>
      </c>
      <c r="S88" s="54"/>
      <c r="T88" s="55"/>
      <c r="U88" s="55"/>
      <c r="V88" s="55"/>
      <c r="W88" s="48"/>
      <c r="X88" s="50"/>
      <c r="Y88" s="50"/>
      <c r="Z88" s="48" t="n">
        <f aca="false">IF(A88="","",IF(AND(Parameter!$B$21="Ja",ISNUMBER(W88)),W88,IF(CC88="2+3",IF(ISNUMBER(SEARCH("grosser Artikel",BU88)),2,IFERROR(VLOOKUP(BX88,Parameter!$F$35:$G$64,2,0),2)),IF(OR(CC88="Nein",CC88=""),"-",CC88))))</f>
        <v>3</v>
      </c>
      <c r="AA88" s="55"/>
      <c r="AB88" s="56"/>
      <c r="AC88" s="50" t="n">
        <f aca="false">AV88</f>
        <v>310</v>
      </c>
      <c r="AD88" s="50" t="n">
        <f aca="false">MAX(AV88,H88)</f>
        <v>310</v>
      </c>
      <c r="AE88" s="57"/>
      <c r="AF88" s="50" t="n">
        <f aca="false">IF(LEFT(Cockpit!$C$5,1)="A",H88,IF(Parameter!$E$30="MAX-Bestand",IF(CH88=1,CI88,IF(LEFT(Cockpit!$C$5,1)="B",AL88,MAX(AL88,H88))),ROUNDUP(AJ88,0)))</f>
        <v>277</v>
      </c>
      <c r="AG88" s="50" t="n">
        <f aca="false">IF(BZ88=1,0,ROUNDUP(AF88/BY88,0))</f>
        <v>3</v>
      </c>
      <c r="AH88" s="52" t="n">
        <f aca="false">IF(CQ88&gt;0,CQ88*MAX(1,AF88/X88),IF(BZ88=1,IF(AF88&lt;=0,0,CD88*MAX(1,IF(H88&gt;0,AF88/H88,1))),IF(R88&gt;0,AG88/R88,0))/MAX(0.1,N(Parameter!$M$21)))</f>
        <v>0.0576923076923077</v>
      </c>
      <c r="AI88" s="50" t="n">
        <f aca="false">AH88*CB88</f>
        <v>8.94230769230769</v>
      </c>
      <c r="AJ88" s="51" t="n">
        <f aca="false">IF(LEFT(Cockpit!$C$5,1)="A",H88,IF(CH88=1,(CK88+CI88)/2,IF(LEFT(Cockpit!$C$5,1)="B",(CK88+AL88)/2,MAX((CK88+AL88)/2,H88))))</f>
        <v>277</v>
      </c>
      <c r="AK88" s="50" t="n">
        <f aca="false">AJ88*G88</f>
        <v>3437.57</v>
      </c>
      <c r="AL88" s="50" t="n">
        <f aca="false">ROUNDUP(CK88+MAX(CL88,2*(J88/IF(CG88&gt;0,CG88,MAX(0.1,N(Cockpit!$C$6)))-CK88)),0)</f>
        <v>310</v>
      </c>
      <c r="AM88" s="51" t="n">
        <f aca="false">IF(AI88&gt;0,J88/AI88,-1)</f>
        <v>35.2258064516129</v>
      </c>
      <c r="AN88" s="51" t="n">
        <f aca="false">IF(AND(OR(CF88="L1",CF88="L23",CF88="LIFT"),AI88&gt;0),SUMIFS($AI$7:$AI$1843,$CF$7:$CF$1843,CF88,$AM$7:$AM$1843,"&gt;"&amp;AM88)+SUMIFS($AI$7:$AI$1843,$CF$7:$CF$1843,CF88,$AM$7:$AM$1843,AM88,$BW$7:$BW$1843,"&lt;="&amp;BW88),"")</f>
        <v>1292.79532967033</v>
      </c>
      <c r="AO88" s="58" t="n">
        <f aca="false">IF(AN88="",0,MAX(0,MIN(1,(IF(CF88="L1",Parameter!$H$5,IF(CF88="L23",Parameter!$H$6+Parameter!$H$7,Parameter!$H$5+Parameter!$H$6+Parameter!$H$7))-(AN88-AI88))/AI88)))</f>
        <v>1</v>
      </c>
      <c r="AP88" s="50" t="n">
        <f aca="false">IF(LEFT(Cockpit!$I$5,1)="A",H88,IF(Parameter!$E$30="MAX-Bestand",IF(CH88=1,CI88,IF(LEFT(Cockpit!$I$5,1)="B",AV88,MAX(AV88,H88))),ROUNDUP(AT88,0)))</f>
        <v>277</v>
      </c>
      <c r="AQ88" s="50" t="n">
        <f aca="false">IF(BZ88=1,0,ROUNDUP(AP88/BY88,0))</f>
        <v>3</v>
      </c>
      <c r="AR88" s="52" t="n">
        <f aca="false">IF(CQ88&gt;0,CQ88*MAX(1,AP88/X88),IF(BZ88=1,IF(AP88&lt;=0,0,CD88*MAX(1,IF(H88&gt;0,AP88/H88,1))),IF(R88&gt;0,AQ88/R88,0))/MAX(0.1,N(Parameter!$M$21)))</f>
        <v>0.0576923076923077</v>
      </c>
      <c r="AS88" s="50" t="n">
        <f aca="false">AR88*CB88</f>
        <v>8.94230769230769</v>
      </c>
      <c r="AT88" s="51" t="n">
        <f aca="false">IF(LEFT(Cockpit!$I$5,1)="A",H88,IF(CH88=1,(CK88+CI88)/2,IF(LEFT(Cockpit!$I$5,1)="B",(CK88+AV88)/2,MAX((CK88+AV88)/2,H88))))</f>
        <v>277</v>
      </c>
      <c r="AU88" s="50" t="n">
        <f aca="false">AT88*G88</f>
        <v>3437.57</v>
      </c>
      <c r="AV88" s="50" t="n">
        <f aca="false">ROUNDUP(CK88+MAX(CL88,2*(J88/IF(CG88&gt;0,CG88,MAX(0.1,N(Cockpit!$I$6)))-CK88)),0)</f>
        <v>310</v>
      </c>
      <c r="AW88" s="51" t="n">
        <f aca="false">IF(AS88&gt;0,J88/AS88,-1)</f>
        <v>35.2258064516129</v>
      </c>
      <c r="AX88" s="51" t="n">
        <f aca="false">IF(AND(OR(CF88="L1",CF88="L23",CF88="LIFT"),AS88&gt;0),SUMIFS($AS$7:$AS$1843,$CF$7:$CF$1843,CF88,$AW$7:$AW$1843,"&gt;"&amp;AW88)+SUMIFS($AS$7:$AS$1843,$CF$7:$CF$1843,CF88,$AW$7:$AW$1843,AW88,$BW$7:$BW$1843,"&lt;="&amp;BW88),"")</f>
        <v>1613.56135531136</v>
      </c>
      <c r="AY88" s="58" t="n">
        <f aca="false">IF(AX88="",0,MAX(0,MIN(1,(IF(CF88="L1",Parameter!$H$5,IF(CF88="L23",Parameter!$H$6+Parameter!$H$7,Parameter!$H$5+Parameter!$H$6+Parameter!$H$7))-(AX88-AS88))/AS88)))</f>
        <v>1</v>
      </c>
      <c r="AZ88" s="50" t="n">
        <f aca="false">IF(LEFT(Cockpit!$O$5,1)="A",H88,IF(Parameter!$E$30="MAX-Bestand",IF(CH88=1,CI88,IF(LEFT(Cockpit!$O$5,1)="B",BF88,MAX(BF88,H88))),ROUNDUP(BD88,0)))</f>
        <v>183</v>
      </c>
      <c r="BA88" s="50" t="n">
        <f aca="false">IF(BZ88=1,0,ROUNDUP(AZ88/BY88,0))</f>
        <v>2</v>
      </c>
      <c r="BB88" s="52" t="n">
        <f aca="false">IF(CQ88&gt;0,CQ88*MAX(1,AZ88/X88),IF(BZ88=1,IF(AZ88&lt;=0,0,CD88*MAX(1,IF(H88&gt;0,AZ88/H88,1))),IF(R88&gt;0,BA88/R88,0))/MAX(0.1,N(Parameter!$M$21)))</f>
        <v>0.0384615384615385</v>
      </c>
      <c r="BC88" s="50" t="n">
        <f aca="false">BB88*CB88</f>
        <v>5.96153846153846</v>
      </c>
      <c r="BD88" s="51" t="n">
        <f aca="false">IF(LEFT(Cockpit!$O$5,1)="A",H88,IF(CH88=1,(CK88+CI88)/2,IF(LEFT(Cockpit!$O$5,1)="B",(CK88+BF88)/2,MAX((CK88+BF88)/2,H88))))</f>
        <v>182.5</v>
      </c>
      <c r="BE88" s="50" t="n">
        <f aca="false">BD88*G88</f>
        <v>2264.825</v>
      </c>
      <c r="BF88" s="50" t="n">
        <f aca="false">ROUNDUP(CK88+MAX(CL88,2*(J88/IF(CG88&gt;0,CG88,MAX(0.1,N(Cockpit!$O$6)))-CK88)),0)</f>
        <v>310</v>
      </c>
      <c r="BG88" s="51" t="n">
        <f aca="false">IF(BC88&gt;0,J88/BC88,-1)</f>
        <v>52.8387096774194</v>
      </c>
      <c r="BH88" s="51" t="n">
        <f aca="false">IF(AND(OR(CF88="L1",CF88="L23",CF88="LIFT"),BC88&gt;0),SUMIFS($BC$7:$BC$1843,$CF$7:$CF$1843,CF88,$BG$7:$BG$1843,"&gt;"&amp;BG88)+SUMIFS($BC$7:$BC$1843,$CF$7:$CF$1843,CF88,$BG$7:$BG$1843,BG88,$BW$7:$BW$1843,"&lt;="&amp;BW88),"")</f>
        <v>1195.08516483517</v>
      </c>
      <c r="BI88" s="58" t="n">
        <f aca="false">IF(BH88="",0,MAX(0,MIN(1,(IF(CF88="L1",Parameter!$H$5,IF(CF88="L23",Parameter!$H$6+Parameter!$H$7,Parameter!$H$5+Parameter!$H$6+Parameter!$H$7))-(BH88-BC88))/BC88)))</f>
        <v>1</v>
      </c>
      <c r="BJ88" s="48" t="str">
        <f aca="false">IF(AI88&lt;=0,"",IF(CF88="Aussen","Aussenlager",IF(CF88="-","Nicht im Lift",IF(AO88&gt;=1,"Lift",IF(AO88&lt;=0,"Aussenlager","teilweise")))))</f>
        <v>Lift</v>
      </c>
      <c r="BK88" s="48" t="str">
        <f aca="false">IF(AS88&lt;=0,"",IF(CF88="Aussen","Aussenlager",IF(CF88="-","Nicht im Lift",IF(AY88&gt;=1,"Lift",IF(AY88&lt;=0,"Aussenlager","teilweise")))))</f>
        <v>Lift</v>
      </c>
      <c r="BL88" s="48" t="str">
        <f aca="false">IF(BC88&lt;=0,"",IF(CF88="Aussen","Aussenlager",IF(CF88="-","Nicht im Lift",IF(BI88&gt;=1,"Lift",IF(BI88&lt;=0,"Aussenlager","teilweise")))))</f>
        <v>Lift</v>
      </c>
      <c r="BM88" s="48" t="str">
        <f aca="false">IF(A88="","",IF(BV88=1,"Neu; ","")&amp;IF(AND(BV88=0,BQ88&lt;0),"negativer Bestand (Export "&amp;BQ88&amp;"); ","")&amp;IF(J88&lt;=0,"Kein Verbrauch; ","")&amp;IF(CQ88&gt;0,"Lift "&amp;W88&amp;" lt. Liftbericht (Fach "&amp;X88&amp;" Stk); ",IF(CA88=1,"Gebinde geschätzt ("&amp;T88&amp;"); ",IF(BZ88=1,"Lose – Tablare geschätzt; ","")))&amp;IF(H88&gt;AV88,"Überbestand "&amp;ROUND(H88-AV88,0)&amp;" Stk / CHF "&amp;ROUND((H88-AV88)*G88,0)&amp;"; ","")&amp;IF(AND(CH88=1,CI88&lt;CJ88),"MAX &lt; MB+LG; ","")&amp;IF(AND(CP88&gt;0,CO88*10&gt;CP88),"zu hoch für Tablar; ","")&amp;IF(AND(BV88=0,OR(CH88=1,AA88&lt;&gt;"",U88&lt;&gt;"",V88&lt;&gt;"",AB88&lt;&gt;"")),"manuell übersteuert; ","")&amp;IF(AND(BZ88=0,R88=0),"Gebinde unbekannt / Stellmass fehlt; ","")&amp;IF(AND(BZ88=0,N(V88)&lt;=0,N(Q88)&lt;=0),"Menge pro Gebinde fehlt (Ist = 1 Gebinde); ","")&amp;BU88)</f>
        <v/>
      </c>
      <c r="BN88" s="48"/>
      <c r="BO88" s="48"/>
      <c r="BP88" s="55"/>
      <c r="BQ88" s="50" t="n">
        <v>229</v>
      </c>
      <c r="BR88" s="50" t="n">
        <v>48</v>
      </c>
      <c r="BS88" s="49" t="n">
        <v>2896.49</v>
      </c>
      <c r="BT88" s="50" t="n">
        <v>315</v>
      </c>
      <c r="BU88" s="48"/>
      <c r="BV88" s="53" t="n">
        <v>0</v>
      </c>
      <c r="BW88" s="53" t="n">
        <v>88</v>
      </c>
      <c r="BX88" s="48" t="str">
        <f aca="false">IF(U88&lt;&gt;"",UPPER(TRIM(U88)),IF(CA88=1,UPPER(VLOOKUP(T88,Parameter!$I$27:$K$29,2,0)),IF(P88="","LOSE",P88)))</f>
        <v>S41</v>
      </c>
      <c r="BY88" s="50" t="n">
        <f aca="false">IF(BX88="LOSE",1,IF(N(V88)&gt;0,V88,IF(CA88=1,MAX(1,N(VLOOKUP(T88,Parameter!$I$27:$K$29,3,0)),H88,N(N88)),IF(N(Q88)&gt;0,Q88,MAX(1,H88)))))</f>
        <v>128</v>
      </c>
      <c r="BZ88" s="53" t="n">
        <f aca="false">IF(BX88="LOSE",1,0)</f>
        <v>0</v>
      </c>
      <c r="CA88" s="53" t="n">
        <f aca="false">IF(AND(U88="",OR(P88="",P88="LOSE"),T88&lt;&gt;"",N(S88)&lt;=0,ISNUMBER(MATCH(T88,Parameter!$I$27:$I$29,0))),1,0)</f>
        <v>0</v>
      </c>
      <c r="CB88" s="53" t="n">
        <f aca="false">IF(CQ88&gt;0,INDEX(Parameter!$H$5:$H$7,W88)/INDEX(Parameter!$E$5:$E$7,W88),IF(AND(BZ88=0,N(IFERROR(VLOOKUP(BX88,'Gebinde-Kategorie'!$A$5:$N$45,14,0),0))&gt;0),VLOOKUP(BX88,'Gebinde-Kategorie'!$A$5:$N$45,14,0)*10+Parameter!$M$23,Parameter!$M$24))</f>
        <v>155</v>
      </c>
      <c r="CC88" s="48" t="str">
        <f aca="false">IF(AND(Parameter!$B$19="Ja",E88&lt;&gt;"",ISNUMBER(MATCH(E88,Parameter!$I$35:$I$52,0))),VLOOKUP(E88,Parameter!$I$35:$J$52,2,0),IFERROR(VLOOKUP(D88,Parameter!$A$35:$C$64,2,0),"Nein"))</f>
        <v>2+3</v>
      </c>
      <c r="CD88" s="52" t="n">
        <f aca="false">IF(BZ88=0,0,IF(N(S88)&gt;0,S88,IFERROR(VLOOKUP(D88,Parameter!$A$35:$C$64,3,0)+0,0)))</f>
        <v>0</v>
      </c>
      <c r="CE88" s="48" t="n">
        <f aca="false">IF(AA88&lt;&gt;"",AA88,Z88)</f>
        <v>3</v>
      </c>
      <c r="CF88" s="48" t="str">
        <f aca="false">IF(OR(CE88=1,CE88=2,CE88=3),IF(Parameter!$E$27="Ja","LIFT",IF(CE88=1,"L1","L23")),IF(CE88="Aussen","Aussen","-"))</f>
        <v>LIFT</v>
      </c>
      <c r="CG88" s="59" t="n">
        <f aca="false">IF(N(AB88)&gt;0,AB88,0)</f>
        <v>0</v>
      </c>
      <c r="CH88" s="53" t="n">
        <f aca="false">IF(ISNUMBER(AE88),1,0)</f>
        <v>0</v>
      </c>
      <c r="CI88" s="50" t="n">
        <f aca="false">N(AE88)</f>
        <v>0</v>
      </c>
      <c r="CJ88" s="50" t="n">
        <f aca="false">N(M88)+N(N88)</f>
        <v>310</v>
      </c>
      <c r="CK88" s="50" t="n">
        <f aca="false">N(M88)</f>
        <v>55</v>
      </c>
      <c r="CL88" s="50" t="n">
        <f aca="false">N(N88)</f>
        <v>255</v>
      </c>
      <c r="CM88" s="50" t="n">
        <f aca="false">ROUNDUP(H88/BY88,0)</f>
        <v>3</v>
      </c>
      <c r="CN88" s="50" t="n">
        <f aca="false">ROUNDUP(CI88/BY88,0)</f>
        <v>0</v>
      </c>
      <c r="CO88" s="53" t="n">
        <f aca="false">IF(BZ88=1,0,IFERROR(VLOOKUP(BX88,'Gebinde-Kategorie'!$A$5:$N$45,5,0)+0,0))</f>
        <v>11</v>
      </c>
      <c r="CP88" s="53" t="n">
        <f aca="false">IFERROR(IF(OR(CE88=1,CE88=2,CE88=3),N(INDEX(Parameter!$I$5:$I$7,CE88)),0),0)</f>
        <v>0</v>
      </c>
      <c r="CQ88" s="52" t="n">
        <f aca="false">IF(AND(Parameter!$B$21="Ja",ISNUMBER(W88),N(X88)&gt;0),IFERROR(N(INDEX(Parameter!$L$5:$L$7,W88))*INDEX(Parameter!$E$5:$E$7,W88)*X88/SUMIFS($X$7:$X$1843,$W$7:$W$1843,W88),0),0)</f>
        <v>0</v>
      </c>
    </row>
    <row r="89" customFormat="false" ht="15" hidden="false" customHeight="false" outlineLevel="0" collapsed="false">
      <c r="A89" s="48" t="s">
        <v>395</v>
      </c>
      <c r="B89" s="48" t="s">
        <v>396</v>
      </c>
      <c r="C89" s="48" t="s">
        <v>173</v>
      </c>
      <c r="D89" s="48" t="s">
        <v>182</v>
      </c>
      <c r="E89" s="48"/>
      <c r="F89" s="48" t="s">
        <v>227</v>
      </c>
      <c r="G89" s="49" t="n">
        <v>1447</v>
      </c>
      <c r="H89" s="50" t="n">
        <f aca="false">MAX(0,IF(AND(Parameter!$B$21="Ja",ISNUMBER(Y89)),Y89,IF(Parameter!$B$20="Jahresanfang 2025 + Export",BR89+BQ89,BQ89)))</f>
        <v>2</v>
      </c>
      <c r="I89" s="50" t="n">
        <f aca="false">H89*G89</f>
        <v>2894</v>
      </c>
      <c r="J89" s="50" t="n">
        <f aca="false">BT89*Parameter!$B$18</f>
        <v>0</v>
      </c>
      <c r="K89" s="51" t="n">
        <v>1</v>
      </c>
      <c r="L89" s="52" t="n">
        <v>0</v>
      </c>
      <c r="M89" s="50" t="n">
        <v>0</v>
      </c>
      <c r="N89" s="50" t="n">
        <v>1</v>
      </c>
      <c r="O89" s="53" t="n">
        <v>70</v>
      </c>
      <c r="P89" s="48" t="s">
        <v>311</v>
      </c>
      <c r="Q89" s="50" t="n">
        <v>2</v>
      </c>
      <c r="R89" s="53" t="n">
        <f aca="false">IF(BZ89=1,0,IFERROR(VLOOKUP(BX89,'Gebinde-Kategorie'!$A$5:$N$45,13,0)+0,0))</f>
        <v>26</v>
      </c>
      <c r="S89" s="54"/>
      <c r="T89" s="55"/>
      <c r="U89" s="55"/>
      <c r="V89" s="55"/>
      <c r="W89" s="48"/>
      <c r="X89" s="50"/>
      <c r="Y89" s="50"/>
      <c r="Z89" s="48" t="n">
        <f aca="false">IF(A89="","",IF(AND(Parameter!$B$21="Ja",ISNUMBER(W89)),W89,IF(CC89="2+3",IF(ISNUMBER(SEARCH("grosser Artikel",BU89)),2,IFERROR(VLOOKUP(BX89,Parameter!$F$35:$G$64,2,0),2)),IF(OR(CC89="Nein",CC89=""),"-",CC89))))</f>
        <v>3</v>
      </c>
      <c r="AA89" s="55"/>
      <c r="AB89" s="56"/>
      <c r="AC89" s="50" t="n">
        <f aca="false">AV89</f>
        <v>1</v>
      </c>
      <c r="AD89" s="50" t="n">
        <f aca="false">MAX(AV89,H89)</f>
        <v>2</v>
      </c>
      <c r="AE89" s="57"/>
      <c r="AF89" s="50" t="n">
        <f aca="false">IF(LEFT(Cockpit!$C$5,1)="A",H89,IF(Parameter!$E$30="MAX-Bestand",IF(CH89=1,CI89,IF(LEFT(Cockpit!$C$5,1)="B",AL89,MAX(AL89,H89))),ROUNDUP(AJ89,0)))</f>
        <v>2</v>
      </c>
      <c r="AG89" s="50" t="n">
        <f aca="false">IF(BZ89=1,0,ROUNDUP(AF89/BY89,0))</f>
        <v>1</v>
      </c>
      <c r="AH89" s="52" t="n">
        <f aca="false">IF(CQ89&gt;0,CQ89*MAX(1,AF89/X89),IF(BZ89=1,IF(AF89&lt;=0,0,CD89*MAX(1,IF(H89&gt;0,AF89/H89,1))),IF(R89&gt;0,AG89/R89,0))/MAX(0.1,N(Parameter!$M$21)))</f>
        <v>0.0384615384615385</v>
      </c>
      <c r="AI89" s="50" t="n">
        <f aca="false">AH89*CB89</f>
        <v>5.96153846153846</v>
      </c>
      <c r="AJ89" s="51" t="n">
        <f aca="false">IF(LEFT(Cockpit!$C$5,1)="A",H89,IF(CH89=1,(CK89+CI89)/2,IF(LEFT(Cockpit!$C$5,1)="B",(CK89+AL89)/2,MAX((CK89+AL89)/2,H89))))</f>
        <v>2</v>
      </c>
      <c r="AK89" s="50" t="n">
        <f aca="false">AJ89*G89</f>
        <v>2894</v>
      </c>
      <c r="AL89" s="50" t="n">
        <f aca="false">ROUNDUP(CK89+MAX(CL89,2*(J89/IF(CG89&gt;0,CG89,MAX(0.1,N(Cockpit!$C$6)))-CK89)),0)</f>
        <v>1</v>
      </c>
      <c r="AM89" s="51" t="n">
        <f aca="false">IF(AI89&gt;0,J89/AI89,-1)</f>
        <v>0</v>
      </c>
      <c r="AN89" s="51" t="n">
        <f aca="false">IF(AND(OR(CF89="L1",CF89="L23",CF89="LIFT"),AI89&gt;0),SUMIFS($AI$7:$AI$1843,$CF$7:$CF$1843,CF89,$AM$7:$AM$1843,"&gt;"&amp;AM89)+SUMIFS($AI$7:$AI$1843,$CF$7:$CF$1843,CF89,$AM$7:$AM$1843,AM89,$BW$7:$BW$1843,"&lt;="&amp;BW89),"")</f>
        <v>26970.1350111753</v>
      </c>
      <c r="AO89" s="58" t="n">
        <f aca="false">IF(AN89="",0,MAX(0,MIN(1,(IF(CF89="L1",Parameter!$H$5,IF(CF89="L23",Parameter!$H$6+Parameter!$H$7,Parameter!$H$5+Parameter!$H$6+Parameter!$H$7))-(AN89-AI89))/AI89)))</f>
        <v>1</v>
      </c>
      <c r="AP89" s="50" t="n">
        <f aca="false">IF(LEFT(Cockpit!$I$5,1)="A",H89,IF(Parameter!$E$30="MAX-Bestand",IF(CH89=1,CI89,IF(LEFT(Cockpit!$I$5,1)="B",AV89,MAX(AV89,H89))),ROUNDUP(AT89,0)))</f>
        <v>2</v>
      </c>
      <c r="AQ89" s="50" t="n">
        <f aca="false">IF(BZ89=1,0,ROUNDUP(AP89/BY89,0))</f>
        <v>1</v>
      </c>
      <c r="AR89" s="52" t="n">
        <f aca="false">IF(CQ89&gt;0,CQ89*MAX(1,AP89/X89),IF(BZ89=1,IF(AP89&lt;=0,0,CD89*MAX(1,IF(H89&gt;0,AP89/H89,1))),IF(R89&gt;0,AQ89/R89,0))/MAX(0.1,N(Parameter!$M$21)))</f>
        <v>0.0384615384615385</v>
      </c>
      <c r="AS89" s="50" t="n">
        <f aca="false">AR89*CB89</f>
        <v>5.96153846153846</v>
      </c>
      <c r="AT89" s="51" t="n">
        <f aca="false">IF(LEFT(Cockpit!$I$5,1)="A",H89,IF(CH89=1,(CK89+CI89)/2,IF(LEFT(Cockpit!$I$5,1)="B",(CK89+AV89)/2,MAX((CK89+AV89)/2,H89))))</f>
        <v>2</v>
      </c>
      <c r="AU89" s="50" t="n">
        <f aca="false">AT89*G89</f>
        <v>2894</v>
      </c>
      <c r="AV89" s="50" t="n">
        <f aca="false">ROUNDUP(CK89+MAX(CL89,2*(J89/IF(CG89&gt;0,CG89,MAX(0.1,N(Cockpit!$I$6)))-CK89)),0)</f>
        <v>1</v>
      </c>
      <c r="AW89" s="51" t="n">
        <f aca="false">IF(AS89&gt;0,J89/AS89,-1)</f>
        <v>0</v>
      </c>
      <c r="AX89" s="51" t="n">
        <f aca="false">IF(AND(OR(CF89="L1",CF89="L23",CF89="LIFT"),AS89&gt;0),SUMIFS($AS$7:$AS$1843,$CF$7:$CF$1843,CF89,$AW$7:$AW$1843,"&gt;"&amp;AW89)+SUMIFS($AS$7:$AS$1843,$CF$7:$CF$1843,CF89,$AW$7:$AW$1843,AW89,$BW$7:$BW$1843,"&lt;="&amp;BW89),"")</f>
        <v>32323.2836525527</v>
      </c>
      <c r="AY89" s="58" t="n">
        <f aca="false">IF(AX89="",0,MAX(0,MIN(1,(IF(CF89="L1",Parameter!$H$5,IF(CF89="L23",Parameter!$H$6+Parameter!$H$7,Parameter!$H$5+Parameter!$H$6+Parameter!$H$7))-(AX89-AS89))/AS89)))</f>
        <v>1</v>
      </c>
      <c r="AZ89" s="50" t="n">
        <f aca="false">IF(LEFT(Cockpit!$O$5,1)="A",H89,IF(Parameter!$E$30="MAX-Bestand",IF(CH89=1,CI89,IF(LEFT(Cockpit!$O$5,1)="B",BF89,MAX(BF89,H89))),ROUNDUP(BD89,0)))</f>
        <v>1</v>
      </c>
      <c r="BA89" s="50" t="n">
        <f aca="false">IF(BZ89=1,0,ROUNDUP(AZ89/BY89,0))</f>
        <v>1</v>
      </c>
      <c r="BB89" s="52" t="n">
        <f aca="false">IF(CQ89&gt;0,CQ89*MAX(1,AZ89/X89),IF(BZ89=1,IF(AZ89&lt;=0,0,CD89*MAX(1,IF(H89&gt;0,AZ89/H89,1))),IF(R89&gt;0,BA89/R89,0))/MAX(0.1,N(Parameter!$M$21)))</f>
        <v>0.0384615384615385</v>
      </c>
      <c r="BC89" s="50" t="n">
        <f aca="false">BB89*CB89</f>
        <v>5.96153846153846</v>
      </c>
      <c r="BD89" s="51" t="n">
        <f aca="false">IF(LEFT(Cockpit!$O$5,1)="A",H89,IF(CH89=1,(CK89+CI89)/2,IF(LEFT(Cockpit!$O$5,1)="B",(CK89+BF89)/2,MAX((CK89+BF89)/2,H89))))</f>
        <v>0.5</v>
      </c>
      <c r="BE89" s="50" t="n">
        <f aca="false">BD89*G89</f>
        <v>723.5</v>
      </c>
      <c r="BF89" s="50" t="n">
        <f aca="false">ROUNDUP(CK89+MAX(CL89,2*(J89/IF(CG89&gt;0,CG89,MAX(0.1,N(Cockpit!$O$6)))-CK89)),0)</f>
        <v>1</v>
      </c>
      <c r="BG89" s="51" t="n">
        <f aca="false">IF(BC89&gt;0,J89/BC89,-1)</f>
        <v>0</v>
      </c>
      <c r="BH89" s="51" t="n">
        <f aca="false">IF(AND(OR(CF89="L1",CF89="L23",CF89="LIFT"),BC89&gt;0),SUMIFS($BC$7:$BC$1843,$CF$7:$CF$1843,CF89,$BG$7:$BG$1843,"&gt;"&amp;BG89)+SUMIFS($BC$7:$BC$1843,$CF$7:$CF$1843,CF89,$BG$7:$BG$1843,BG89,$BW$7:$BW$1843,"&lt;="&amp;BW89),"")</f>
        <v>26519.8654958507</v>
      </c>
      <c r="BI89" s="58" t="n">
        <f aca="false">IF(BH89="",0,MAX(0,MIN(1,(IF(CF89="L1",Parameter!$H$5,IF(CF89="L23",Parameter!$H$6+Parameter!$H$7,Parameter!$H$5+Parameter!$H$6+Parameter!$H$7))-(BH89-BC89))/BC89)))</f>
        <v>1</v>
      </c>
      <c r="BJ89" s="48" t="str">
        <f aca="false">IF(AI89&lt;=0,"",IF(CF89="Aussen","Aussenlager",IF(CF89="-","Nicht im Lift",IF(AO89&gt;=1,"Lift",IF(AO89&lt;=0,"Aussenlager","teilweise")))))</f>
        <v>Lift</v>
      </c>
      <c r="BK89" s="48" t="str">
        <f aca="false">IF(AS89&lt;=0,"",IF(CF89="Aussen","Aussenlager",IF(CF89="-","Nicht im Lift",IF(AY89&gt;=1,"Lift",IF(AY89&lt;=0,"Aussenlager","teilweise")))))</f>
        <v>Lift</v>
      </c>
      <c r="BL89" s="48" t="str">
        <f aca="false">IF(BC89&lt;=0,"",IF(CF89="Aussen","Aussenlager",IF(CF89="-","Nicht im Lift",IF(BI89&gt;=1,"Lift",IF(BI89&lt;=0,"Aussenlager","teilweise")))))</f>
        <v>Lift</v>
      </c>
      <c r="BM89" s="48" t="str">
        <f aca="false">IF(A89="","",IF(BV89=1,"Neu; ","")&amp;IF(AND(BV89=0,BQ89&lt;0),"negativer Bestand (Export "&amp;BQ89&amp;"); ","")&amp;IF(J89&lt;=0,"Kein Verbrauch; ","")&amp;IF(CQ89&gt;0,"Lift "&amp;W89&amp;" lt. Liftbericht (Fach "&amp;X89&amp;" Stk); ",IF(CA89=1,"Gebinde geschätzt ("&amp;T89&amp;"); ",IF(BZ89=1,"Lose – Tablare geschätzt; ","")))&amp;IF(H89&gt;AV89,"Überbestand "&amp;ROUND(H89-AV89,0)&amp;" Stk / CHF "&amp;ROUND((H89-AV89)*G89,0)&amp;"; ","")&amp;IF(AND(CH89=1,CI89&lt;CJ89),"MAX &lt; MB+LG; ","")&amp;IF(AND(CP89&gt;0,CO89*10&gt;CP89),"zu hoch für Tablar; ","")&amp;IF(AND(BV89=0,OR(CH89=1,AA89&lt;&gt;"",U89&lt;&gt;"",V89&lt;&gt;"",AB89&lt;&gt;"")),"manuell übersteuert; ","")&amp;IF(AND(BZ89=0,R89=0),"Gebinde unbekannt / Stellmass fehlt; ","")&amp;IF(AND(BZ89=0,N(V89)&lt;=0,N(Q89)&lt;=0),"Menge pro Gebinde fehlt (Ist = 1 Gebinde); ","")&amp;BU89)</f>
        <v>Kein Verbrauch; Überbestand 1 Stk / CHF 1447; </v>
      </c>
      <c r="BN89" s="48" t="s">
        <v>397</v>
      </c>
      <c r="BO89" s="48" t="s">
        <v>398</v>
      </c>
      <c r="BP89" s="55"/>
      <c r="BQ89" s="50" t="n">
        <v>2</v>
      </c>
      <c r="BR89" s="50" t="n">
        <v>0</v>
      </c>
      <c r="BS89" s="49" t="n">
        <v>2894</v>
      </c>
      <c r="BT89" s="50" t="n">
        <v>0</v>
      </c>
      <c r="BU89" s="48"/>
      <c r="BV89" s="53" t="n">
        <v>0</v>
      </c>
      <c r="BW89" s="53" t="n">
        <v>89</v>
      </c>
      <c r="BX89" s="48" t="str">
        <f aca="false">IF(U89&lt;&gt;"",UPPER(TRIM(U89)),IF(CA89=1,UPPER(VLOOKUP(T89,Parameter!$I$27:$K$29,2,0)),IF(P89="","LOSE",P89)))</f>
        <v>S51</v>
      </c>
      <c r="BY89" s="50" t="n">
        <f aca="false">IF(BX89="LOSE",1,IF(N(V89)&gt;0,V89,IF(CA89=1,MAX(1,N(VLOOKUP(T89,Parameter!$I$27:$K$29,3,0)),H89,N(N89)),IF(N(Q89)&gt;0,Q89,MAX(1,H89)))))</f>
        <v>2</v>
      </c>
      <c r="BZ89" s="53" t="n">
        <f aca="false">IF(BX89="LOSE",1,0)</f>
        <v>0</v>
      </c>
      <c r="CA89" s="53" t="n">
        <f aca="false">IF(AND(U89="",OR(P89="",P89="LOSE"),T89&lt;&gt;"",N(S89)&lt;=0,ISNUMBER(MATCH(T89,Parameter!$I$27:$I$29,0))),1,0)</f>
        <v>0</v>
      </c>
      <c r="CB89" s="53" t="n">
        <f aca="false">IF(CQ89&gt;0,INDEX(Parameter!$H$5:$H$7,W89)/INDEX(Parameter!$E$5:$E$7,W89),IF(AND(BZ89=0,N(IFERROR(VLOOKUP(BX89,'Gebinde-Kategorie'!$A$5:$N$45,14,0),0))&gt;0),VLOOKUP(BX89,'Gebinde-Kategorie'!$A$5:$N$45,14,0)*10+Parameter!$M$23,Parameter!$M$24))</f>
        <v>155</v>
      </c>
      <c r="CC89" s="48" t="str">
        <f aca="false">IF(AND(Parameter!$B$19="Ja",E89&lt;&gt;"",ISNUMBER(MATCH(E89,Parameter!$I$35:$I$52,0))),VLOOKUP(E89,Parameter!$I$35:$J$52,2,0),IFERROR(VLOOKUP(D89,Parameter!$A$35:$C$64,2,0),"Nein"))</f>
        <v>2+3</v>
      </c>
      <c r="CD89" s="52" t="n">
        <f aca="false">IF(BZ89=0,0,IF(N(S89)&gt;0,S89,IFERROR(VLOOKUP(D89,Parameter!$A$35:$C$64,3,0)+0,0)))</f>
        <v>0</v>
      </c>
      <c r="CE89" s="48" t="n">
        <f aca="false">IF(AA89&lt;&gt;"",AA89,Z89)</f>
        <v>3</v>
      </c>
      <c r="CF89" s="48" t="str">
        <f aca="false">IF(OR(CE89=1,CE89=2,CE89=3),IF(Parameter!$E$27="Ja","LIFT",IF(CE89=1,"L1","L23")),IF(CE89="Aussen","Aussen","-"))</f>
        <v>LIFT</v>
      </c>
      <c r="CG89" s="59" t="n">
        <f aca="false">IF(N(AB89)&gt;0,AB89,0)</f>
        <v>0</v>
      </c>
      <c r="CH89" s="53" t="n">
        <f aca="false">IF(ISNUMBER(AE89),1,0)</f>
        <v>0</v>
      </c>
      <c r="CI89" s="50" t="n">
        <f aca="false">N(AE89)</f>
        <v>0</v>
      </c>
      <c r="CJ89" s="50" t="n">
        <f aca="false">N(M89)+N(N89)</f>
        <v>1</v>
      </c>
      <c r="CK89" s="50" t="n">
        <f aca="false">N(M89)</f>
        <v>0</v>
      </c>
      <c r="CL89" s="50" t="n">
        <f aca="false">N(N89)</f>
        <v>1</v>
      </c>
      <c r="CM89" s="50" t="n">
        <f aca="false">ROUNDUP(H89/BY89,0)</f>
        <v>1</v>
      </c>
      <c r="CN89" s="50" t="n">
        <f aca="false">ROUNDUP(CI89/BY89,0)</f>
        <v>0</v>
      </c>
      <c r="CO89" s="53" t="n">
        <f aca="false">IF(BZ89=1,0,IFERROR(VLOOKUP(BX89,'Gebinde-Kategorie'!$A$5:$N$45,5,0)+0,0))</f>
        <v>11</v>
      </c>
      <c r="CP89" s="53" t="n">
        <f aca="false">IFERROR(IF(OR(CE89=1,CE89=2,CE89=3),N(INDEX(Parameter!$I$5:$I$7,CE89)),0),0)</f>
        <v>0</v>
      </c>
      <c r="CQ89" s="52" t="n">
        <f aca="false">IF(AND(Parameter!$B$21="Ja",ISNUMBER(W89),N(X89)&gt;0),IFERROR(N(INDEX(Parameter!$L$5:$L$7,W89))*INDEX(Parameter!$E$5:$E$7,W89)*X89/SUMIFS($X$7:$X$1843,$W$7:$W$1843,W89),0),0)</f>
        <v>0</v>
      </c>
    </row>
    <row r="90" customFormat="false" ht="15" hidden="false" customHeight="false" outlineLevel="0" collapsed="false">
      <c r="A90" s="48" t="s">
        <v>399</v>
      </c>
      <c r="B90" s="48" t="s">
        <v>400</v>
      </c>
      <c r="C90" s="48" t="s">
        <v>173</v>
      </c>
      <c r="D90" s="48" t="s">
        <v>193</v>
      </c>
      <c r="E90" s="48" t="s">
        <v>194</v>
      </c>
      <c r="F90" s="48" t="s">
        <v>227</v>
      </c>
      <c r="G90" s="49" t="n">
        <v>294.55</v>
      </c>
      <c r="H90" s="50" t="n">
        <f aca="false">MAX(0,IF(AND(Parameter!$B$21="Ja",ISNUMBER(Y90)),Y90,IF(Parameter!$B$20="Jahresanfang 2025 + Export",BR90+BQ90,BQ90)))</f>
        <v>13</v>
      </c>
      <c r="I90" s="50" t="n">
        <f aca="false">H90*G90</f>
        <v>3829.15</v>
      </c>
      <c r="J90" s="50" t="n">
        <f aca="false">BT90*Parameter!$B$18</f>
        <v>2</v>
      </c>
      <c r="K90" s="51" t="n">
        <v>9</v>
      </c>
      <c r="L90" s="52" t="n">
        <v>0.222222222222222</v>
      </c>
      <c r="M90" s="50" t="n">
        <v>0</v>
      </c>
      <c r="N90" s="50" t="n">
        <v>1</v>
      </c>
      <c r="O90" s="53" t="n">
        <v>42</v>
      </c>
      <c r="P90" s="48" t="s">
        <v>242</v>
      </c>
      <c r="Q90" s="50" t="n">
        <v>17</v>
      </c>
      <c r="R90" s="53" t="n">
        <f aca="false">IF(BZ90=1,0,IFERROR(VLOOKUP(BX90,'Gebinde-Kategorie'!$A$5:$N$45,13,0)+0,0))</f>
        <v>26</v>
      </c>
      <c r="S90" s="54"/>
      <c r="T90" s="55"/>
      <c r="U90" s="55"/>
      <c r="V90" s="55"/>
      <c r="W90" s="48"/>
      <c r="X90" s="50"/>
      <c r="Y90" s="50"/>
      <c r="Z90" s="48" t="n">
        <f aca="false">IF(A90="","",IF(AND(Parameter!$B$21="Ja",ISNUMBER(W90)),W90,IF(CC90="2+3",IF(ISNUMBER(SEARCH("grosser Artikel",BU90)),2,IFERROR(VLOOKUP(BX90,Parameter!$F$35:$G$64,2,0),2)),IF(OR(CC90="Nein",CC90=""),"-",CC90))))</f>
        <v>3</v>
      </c>
      <c r="AA90" s="55"/>
      <c r="AB90" s="56"/>
      <c r="AC90" s="50" t="n">
        <f aca="false">AV90</f>
        <v>2</v>
      </c>
      <c r="AD90" s="50" t="n">
        <f aca="false">MAX(AV90,H90)</f>
        <v>13</v>
      </c>
      <c r="AE90" s="57"/>
      <c r="AF90" s="50" t="n">
        <f aca="false">IF(LEFT(Cockpit!$C$5,1)="A",H90,IF(Parameter!$E$30="MAX-Bestand",IF(CH90=1,CI90,IF(LEFT(Cockpit!$C$5,1)="B",AL90,MAX(AL90,H90))),ROUNDUP(AJ90,0)))</f>
        <v>13</v>
      </c>
      <c r="AG90" s="50" t="n">
        <f aca="false">IF(BZ90=1,0,ROUNDUP(AF90/BY90,0))</f>
        <v>1</v>
      </c>
      <c r="AH90" s="52" t="n">
        <f aca="false">IF(CQ90&gt;0,CQ90*MAX(1,AF90/X90),IF(BZ90=1,IF(AF90&lt;=0,0,CD90*MAX(1,IF(H90&gt;0,AF90/H90,1))),IF(R90&gt;0,AG90/R90,0))/MAX(0.1,N(Parameter!$M$21)))</f>
        <v>0.0384615384615385</v>
      </c>
      <c r="AI90" s="50" t="n">
        <f aca="false">AH90*CB90</f>
        <v>9.42307692307692</v>
      </c>
      <c r="AJ90" s="51" t="n">
        <f aca="false">IF(LEFT(Cockpit!$C$5,1)="A",H90,IF(CH90=1,(CK90+CI90)/2,IF(LEFT(Cockpit!$C$5,1)="B",(CK90+AL90)/2,MAX((CK90+AL90)/2,H90))))</f>
        <v>13</v>
      </c>
      <c r="AK90" s="50" t="n">
        <f aca="false">AJ90*G90</f>
        <v>3829.15</v>
      </c>
      <c r="AL90" s="50" t="n">
        <f aca="false">ROUNDUP(CK90+MAX(CL90,2*(J90/IF(CG90&gt;0,CG90,MAX(0.1,N(Cockpit!$C$6)))-CK90)),0)</f>
        <v>2</v>
      </c>
      <c r="AM90" s="51" t="n">
        <f aca="false">IF(AI90&gt;0,J90/AI90,-1)</f>
        <v>0.212244897959184</v>
      </c>
      <c r="AN90" s="51" t="n">
        <f aca="false">IF(AND(OR(CF90="L1",CF90="L23",CF90="LIFT"),AI90&gt;0),SUMIFS($AI$7:$AI$1843,$CF$7:$CF$1843,CF90,$AM$7:$AM$1843,"&gt;"&amp;AM90)+SUMIFS($AI$7:$AI$1843,$CF$7:$CF$1843,CF90,$AM$7:$AM$1843,AM90,$BW$7:$BW$1843,"&lt;="&amp;BW90),"")</f>
        <v>12335.8555157178</v>
      </c>
      <c r="AO90" s="58" t="n">
        <f aca="false">IF(AN90="",0,MAX(0,MIN(1,(IF(CF90="L1",Parameter!$H$5,IF(CF90="L23",Parameter!$H$6+Parameter!$H$7,Parameter!$H$5+Parameter!$H$6+Parameter!$H$7))-(AN90-AI90))/AI90)))</f>
        <v>1</v>
      </c>
      <c r="AP90" s="50" t="n">
        <f aca="false">IF(LEFT(Cockpit!$I$5,1)="A",H90,IF(Parameter!$E$30="MAX-Bestand",IF(CH90=1,CI90,IF(LEFT(Cockpit!$I$5,1)="B",AV90,MAX(AV90,H90))),ROUNDUP(AT90,0)))</f>
        <v>13</v>
      </c>
      <c r="AQ90" s="50" t="n">
        <f aca="false">IF(BZ90=1,0,ROUNDUP(AP90/BY90,0))</f>
        <v>1</v>
      </c>
      <c r="AR90" s="52" t="n">
        <f aca="false">IF(CQ90&gt;0,CQ90*MAX(1,AP90/X90),IF(BZ90=1,IF(AP90&lt;=0,0,CD90*MAX(1,IF(H90&gt;0,AP90/H90,1))),IF(R90&gt;0,AQ90/R90,0))/MAX(0.1,N(Parameter!$M$21)))</f>
        <v>0.0384615384615385</v>
      </c>
      <c r="AS90" s="50" t="n">
        <f aca="false">AR90*CB90</f>
        <v>9.42307692307692</v>
      </c>
      <c r="AT90" s="51" t="n">
        <f aca="false">IF(LEFT(Cockpit!$I$5,1)="A",H90,IF(CH90=1,(CK90+CI90)/2,IF(LEFT(Cockpit!$I$5,1)="B",(CK90+AV90)/2,MAX((CK90+AV90)/2,H90))))</f>
        <v>13</v>
      </c>
      <c r="AU90" s="50" t="n">
        <f aca="false">AT90*G90</f>
        <v>3829.15</v>
      </c>
      <c r="AV90" s="50" t="n">
        <f aca="false">ROUNDUP(CK90+MAX(CL90,2*(J90/IF(CG90&gt;0,CG90,MAX(0.1,N(Cockpit!$I$6)))-CK90)),0)</f>
        <v>2</v>
      </c>
      <c r="AW90" s="51" t="n">
        <f aca="false">IF(AS90&gt;0,J90/AS90,-1)</f>
        <v>0.212244897959184</v>
      </c>
      <c r="AX90" s="51" t="n">
        <f aca="false">IF(AND(OR(CF90="L1",CF90="L23",CF90="LIFT"),AS90&gt;0),SUMIFS($AS$7:$AS$1843,$CF$7:$CF$1843,CF90,$AW$7:$AW$1843,"&gt;"&amp;AW90)+SUMIFS($AS$7:$AS$1843,$CF$7:$CF$1843,CF90,$AW$7:$AW$1843,AW90,$BW$7:$BW$1843,"&lt;="&amp;BW90),"")</f>
        <v>15165.1130952381</v>
      </c>
      <c r="AY90" s="58" t="n">
        <f aca="false">IF(AX90="",0,MAX(0,MIN(1,(IF(CF90="L1",Parameter!$H$5,IF(CF90="L23",Parameter!$H$6+Parameter!$H$7,Parameter!$H$5+Parameter!$H$6+Parameter!$H$7))-(AX90-AS90))/AS90)))</f>
        <v>1</v>
      </c>
      <c r="AZ90" s="50" t="n">
        <f aca="false">IF(LEFT(Cockpit!$O$5,1)="A",H90,IF(Parameter!$E$30="MAX-Bestand",IF(CH90=1,CI90,IF(LEFT(Cockpit!$O$5,1)="B",BF90,MAX(BF90,H90))),ROUNDUP(BD90,0)))</f>
        <v>1</v>
      </c>
      <c r="BA90" s="50" t="n">
        <f aca="false">IF(BZ90=1,0,ROUNDUP(AZ90/BY90,0))</f>
        <v>1</v>
      </c>
      <c r="BB90" s="52" t="n">
        <f aca="false">IF(CQ90&gt;0,CQ90*MAX(1,AZ90/X90),IF(BZ90=1,IF(AZ90&lt;=0,0,CD90*MAX(1,IF(H90&gt;0,AZ90/H90,1))),IF(R90&gt;0,BA90/R90,0))/MAX(0.1,N(Parameter!$M$21)))</f>
        <v>0.0384615384615385</v>
      </c>
      <c r="BC90" s="50" t="n">
        <f aca="false">BB90*CB90</f>
        <v>9.42307692307692</v>
      </c>
      <c r="BD90" s="51" t="n">
        <f aca="false">IF(LEFT(Cockpit!$O$5,1)="A",H90,IF(CH90=1,(CK90+CI90)/2,IF(LEFT(Cockpit!$O$5,1)="B",(CK90+BF90)/2,MAX((CK90+BF90)/2,H90))))</f>
        <v>0.5</v>
      </c>
      <c r="BE90" s="50" t="n">
        <f aca="false">BD90*G90</f>
        <v>147.275</v>
      </c>
      <c r="BF90" s="50" t="n">
        <f aca="false">ROUNDUP(CK90+MAX(CL90,2*(J90/IF(CG90&gt;0,CG90,MAX(0.1,N(Cockpit!$O$6)))-CK90)),0)</f>
        <v>1</v>
      </c>
      <c r="BG90" s="51" t="n">
        <f aca="false">IF(BC90&gt;0,J90/BC90,-1)</f>
        <v>0.212244897959184</v>
      </c>
      <c r="BH90" s="51" t="n">
        <f aca="false">IF(AND(OR(CF90="L1",CF90="L23",CF90="LIFT"),BC90&gt;0),SUMIFS($BC$7:$BC$1843,$CF$7:$CF$1843,CF90,$BG$7:$BG$1843,"&gt;"&amp;BG90)+SUMIFS($BC$7:$BC$1843,$CF$7:$CF$1843,CF90,$BG$7:$BG$1843,BG90,$BW$7:$BW$1843,"&lt;="&amp;BW90),"")</f>
        <v>12307.3978937729</v>
      </c>
      <c r="BI90" s="58" t="n">
        <f aca="false">IF(BH90="",0,MAX(0,MIN(1,(IF(CF90="L1",Parameter!$H$5,IF(CF90="L23",Parameter!$H$6+Parameter!$H$7,Parameter!$H$5+Parameter!$H$6+Parameter!$H$7))-(BH90-BC90))/BC90)))</f>
        <v>1</v>
      </c>
      <c r="BJ90" s="48" t="str">
        <f aca="false">IF(AI90&lt;=0,"",IF(CF90="Aussen","Aussenlager",IF(CF90="-","Nicht im Lift",IF(AO90&gt;=1,"Lift",IF(AO90&lt;=0,"Aussenlager","teilweise")))))</f>
        <v>Lift</v>
      </c>
      <c r="BK90" s="48" t="str">
        <f aca="false">IF(AS90&lt;=0,"",IF(CF90="Aussen","Aussenlager",IF(CF90="-","Nicht im Lift",IF(AY90&gt;=1,"Lift",IF(AY90&lt;=0,"Aussenlager","teilweise")))))</f>
        <v>Lift</v>
      </c>
      <c r="BL90" s="48" t="str">
        <f aca="false">IF(BC90&lt;=0,"",IF(CF90="Aussen","Aussenlager",IF(CF90="-","Nicht im Lift",IF(BI90&gt;=1,"Lift",IF(BI90&lt;=0,"Aussenlager","teilweise")))))</f>
        <v>Lift</v>
      </c>
      <c r="BM90" s="48" t="str">
        <f aca="false">IF(A90="","",IF(BV90=1,"Neu; ","")&amp;IF(AND(BV90=0,BQ90&lt;0),"negativer Bestand (Export "&amp;BQ90&amp;"); ","")&amp;IF(J90&lt;=0,"Kein Verbrauch; ","")&amp;IF(CQ90&gt;0,"Lift "&amp;W90&amp;" lt. Liftbericht (Fach "&amp;X90&amp;" Stk); ",IF(CA90=1,"Gebinde geschätzt ("&amp;T90&amp;"); ",IF(BZ90=1,"Lose – Tablare geschätzt; ","")))&amp;IF(H90&gt;AV90,"Überbestand "&amp;ROUND(H90-AV90,0)&amp;" Stk / CHF "&amp;ROUND((H90-AV90)*G90,0)&amp;"; ","")&amp;IF(AND(CH90=1,CI90&lt;CJ90),"MAX &lt; MB+LG; ","")&amp;IF(AND(CP90&gt;0,CO90*10&gt;CP90),"zu hoch für Tablar; ","")&amp;IF(AND(BV90=0,OR(CH90=1,AA90&lt;&gt;"",U90&lt;&gt;"",V90&lt;&gt;"",AB90&lt;&gt;"")),"manuell übersteuert; ","")&amp;IF(AND(BZ90=0,R90=0),"Gebinde unbekannt / Stellmass fehlt; ","")&amp;IF(AND(BZ90=0,N(V90)&lt;=0,N(Q90)&lt;=0),"Menge pro Gebinde fehlt (Ist = 1 Gebinde); ","")&amp;BU90)</f>
        <v>Überbestand 11 Stk / CHF 3240; Überbestand</v>
      </c>
      <c r="BN90" s="48"/>
      <c r="BO90" s="48"/>
      <c r="BP90" s="55"/>
      <c r="BQ90" s="50" t="n">
        <v>8</v>
      </c>
      <c r="BR90" s="50" t="n">
        <v>5</v>
      </c>
      <c r="BS90" s="49" t="n">
        <v>2784.35</v>
      </c>
      <c r="BT90" s="50" t="n">
        <v>2</v>
      </c>
      <c r="BU90" s="48" t="s">
        <v>401</v>
      </c>
      <c r="BV90" s="53" t="n">
        <v>0</v>
      </c>
      <c r="BW90" s="53" t="n">
        <v>90</v>
      </c>
      <c r="BX90" s="48" t="str">
        <f aca="false">IF(U90&lt;&gt;"",UPPER(TRIM(U90)),IF(CA90=1,UPPER(VLOOKUP(T90,Parameter!$I$27:$K$29,2,0)),IF(P90="","LOSE",P90)))</f>
        <v>S52</v>
      </c>
      <c r="BY90" s="50" t="n">
        <f aca="false">IF(BX90="LOSE",1,IF(N(V90)&gt;0,V90,IF(CA90=1,MAX(1,N(VLOOKUP(T90,Parameter!$I$27:$K$29,3,0)),H90,N(N90)),IF(N(Q90)&gt;0,Q90,MAX(1,H90)))))</f>
        <v>17</v>
      </c>
      <c r="BZ90" s="53" t="n">
        <f aca="false">IF(BX90="LOSE",1,0)</f>
        <v>0</v>
      </c>
      <c r="CA90" s="53" t="n">
        <f aca="false">IF(AND(U90="",OR(P90="",P90="LOSE"),T90&lt;&gt;"",N(S90)&lt;=0,ISNUMBER(MATCH(T90,Parameter!$I$27:$I$29,0))),1,0)</f>
        <v>0</v>
      </c>
      <c r="CB90" s="53" t="n">
        <f aca="false">IF(CQ90&gt;0,INDEX(Parameter!$H$5:$H$7,W90)/INDEX(Parameter!$E$5:$E$7,W90),IF(AND(BZ90=0,N(IFERROR(VLOOKUP(BX90,'Gebinde-Kategorie'!$A$5:$N$45,14,0),0))&gt;0),VLOOKUP(BX90,'Gebinde-Kategorie'!$A$5:$N$45,14,0)*10+Parameter!$M$23,Parameter!$M$24))</f>
        <v>245</v>
      </c>
      <c r="CC90" s="48" t="str">
        <f aca="false">IF(AND(Parameter!$B$19="Ja",E90&lt;&gt;"",ISNUMBER(MATCH(E90,Parameter!$I$35:$I$52,0))),VLOOKUP(E90,Parameter!$I$35:$J$52,2,0),IFERROR(VLOOKUP(D90,Parameter!$A$35:$C$64,2,0),"Nein"))</f>
        <v>2+3</v>
      </c>
      <c r="CD90" s="52" t="n">
        <f aca="false">IF(BZ90=0,0,IF(N(S90)&gt;0,S90,IFERROR(VLOOKUP(D90,Parameter!$A$35:$C$64,3,0)+0,0)))</f>
        <v>0</v>
      </c>
      <c r="CE90" s="48" t="n">
        <f aca="false">IF(AA90&lt;&gt;"",AA90,Z90)</f>
        <v>3</v>
      </c>
      <c r="CF90" s="48" t="str">
        <f aca="false">IF(OR(CE90=1,CE90=2,CE90=3),IF(Parameter!$E$27="Ja","LIFT",IF(CE90=1,"L1","L23")),IF(CE90="Aussen","Aussen","-"))</f>
        <v>LIFT</v>
      </c>
      <c r="CG90" s="59" t="n">
        <f aca="false">IF(N(AB90)&gt;0,AB90,0)</f>
        <v>0</v>
      </c>
      <c r="CH90" s="53" t="n">
        <f aca="false">IF(ISNUMBER(AE90),1,0)</f>
        <v>0</v>
      </c>
      <c r="CI90" s="50" t="n">
        <f aca="false">N(AE90)</f>
        <v>0</v>
      </c>
      <c r="CJ90" s="50" t="n">
        <f aca="false">N(M90)+N(N90)</f>
        <v>1</v>
      </c>
      <c r="CK90" s="50" t="n">
        <f aca="false">N(M90)</f>
        <v>0</v>
      </c>
      <c r="CL90" s="50" t="n">
        <f aca="false">N(N90)</f>
        <v>1</v>
      </c>
      <c r="CM90" s="50" t="n">
        <f aca="false">ROUNDUP(H90/BY90,0)</f>
        <v>1</v>
      </c>
      <c r="CN90" s="50" t="n">
        <f aca="false">ROUNDUP(CI90/BY90,0)</f>
        <v>0</v>
      </c>
      <c r="CO90" s="53" t="n">
        <f aca="false">IF(BZ90=1,0,IFERROR(VLOOKUP(BX90,'Gebinde-Kategorie'!$A$5:$N$45,5,0)+0,0))</f>
        <v>21</v>
      </c>
      <c r="CP90" s="53" t="n">
        <f aca="false">IFERROR(IF(OR(CE90=1,CE90=2,CE90=3),N(INDEX(Parameter!$I$5:$I$7,CE90)),0),0)</f>
        <v>0</v>
      </c>
      <c r="CQ90" s="52" t="n">
        <f aca="false">IF(AND(Parameter!$B$21="Ja",ISNUMBER(W90),N(X90)&gt;0),IFERROR(N(INDEX(Parameter!$L$5:$L$7,W90))*INDEX(Parameter!$E$5:$E$7,W90)*X90/SUMIFS($X$7:$X$1843,$W$7:$W$1843,W90),0),0)</f>
        <v>0</v>
      </c>
    </row>
    <row r="91" customFormat="false" ht="15" hidden="false" customHeight="false" outlineLevel="0" collapsed="false">
      <c r="A91" s="48" t="s">
        <v>402</v>
      </c>
      <c r="B91" s="48" t="s">
        <v>403</v>
      </c>
      <c r="C91" s="48" t="s">
        <v>173</v>
      </c>
      <c r="D91" s="48" t="s">
        <v>182</v>
      </c>
      <c r="E91" s="48" t="s">
        <v>175</v>
      </c>
      <c r="F91" s="48" t="s">
        <v>227</v>
      </c>
      <c r="G91" s="49" t="n">
        <v>335.82</v>
      </c>
      <c r="H91" s="50" t="n">
        <f aca="false">MAX(0,IF(AND(Parameter!$B$21="Ja",ISNUMBER(Y91)),Y91,IF(Parameter!$B$20="Jahresanfang 2025 + Export",BR91+BQ91,BQ91)))</f>
        <v>15</v>
      </c>
      <c r="I91" s="50" t="n">
        <f aca="false">H91*G91</f>
        <v>5037.3</v>
      </c>
      <c r="J91" s="50" t="n">
        <f aca="false">BT91*Parameter!$B$18</f>
        <v>30</v>
      </c>
      <c r="K91" s="51" t="n">
        <v>13.5</v>
      </c>
      <c r="L91" s="52" t="n">
        <v>2.22222222222222</v>
      </c>
      <c r="M91" s="50" t="n">
        <v>2</v>
      </c>
      <c r="N91" s="50" t="n">
        <v>15</v>
      </c>
      <c r="O91" s="53" t="n">
        <v>21</v>
      </c>
      <c r="P91" s="48" t="s">
        <v>183</v>
      </c>
      <c r="Q91" s="50" t="n">
        <v>24</v>
      </c>
      <c r="R91" s="53" t="n">
        <f aca="false">IF(BZ91=1,0,IFERROR(VLOOKUP(BX91,'Gebinde-Kategorie'!$A$5:$N$45,13,0)+0,0))</f>
        <v>6</v>
      </c>
      <c r="S91" s="54"/>
      <c r="T91" s="55"/>
      <c r="U91" s="55"/>
      <c r="V91" s="55"/>
      <c r="W91" s="48"/>
      <c r="X91" s="50"/>
      <c r="Y91" s="50"/>
      <c r="Z91" s="48" t="n">
        <f aca="false">IF(A91="","",IF(AND(Parameter!$B$21="Ja",ISNUMBER(W91)),W91,IF(CC91="2+3",IF(ISNUMBER(SEARCH("grosser Artikel",BU91)),2,IFERROR(VLOOKUP(BX91,Parameter!$F$35:$G$64,2,0),2)),IF(OR(CC91="Nein",CC91=""),"-",CC91))))</f>
        <v>1</v>
      </c>
      <c r="AA91" s="55"/>
      <c r="AB91" s="56"/>
      <c r="AC91" s="50" t="n">
        <f aca="false">AV91</f>
        <v>18</v>
      </c>
      <c r="AD91" s="50" t="n">
        <f aca="false">MAX(AV91,H91)</f>
        <v>18</v>
      </c>
      <c r="AE91" s="57"/>
      <c r="AF91" s="50" t="n">
        <f aca="false">IF(LEFT(Cockpit!$C$5,1)="A",H91,IF(Parameter!$E$30="MAX-Bestand",IF(CH91=1,CI91,IF(LEFT(Cockpit!$C$5,1)="B",AL91,MAX(AL91,H91))),ROUNDUP(AJ91,0)))</f>
        <v>15</v>
      </c>
      <c r="AG91" s="50" t="n">
        <f aca="false">IF(BZ91=1,0,ROUNDUP(AF91/BY91,0))</f>
        <v>1</v>
      </c>
      <c r="AH91" s="52" t="n">
        <f aca="false">IF(CQ91&gt;0,CQ91*MAX(1,AF91/X91),IF(BZ91=1,IF(AF91&lt;=0,0,CD91*MAX(1,IF(H91&gt;0,AF91/H91,1))),IF(R91&gt;0,AG91/R91,0))/MAX(0.1,N(Parameter!$M$21)))</f>
        <v>0.166666666666667</v>
      </c>
      <c r="AI91" s="50" t="n">
        <f aca="false">AH91*CB91</f>
        <v>39.1666666666667</v>
      </c>
      <c r="AJ91" s="51" t="n">
        <f aca="false">IF(LEFT(Cockpit!$C$5,1)="A",H91,IF(CH91=1,(CK91+CI91)/2,IF(LEFT(Cockpit!$C$5,1)="B",(CK91+AL91)/2,MAX((CK91+AL91)/2,H91))))</f>
        <v>15</v>
      </c>
      <c r="AK91" s="50" t="n">
        <f aca="false">AJ91*G91</f>
        <v>5037.3</v>
      </c>
      <c r="AL91" s="50" t="n">
        <f aca="false">ROUNDUP(CK91+MAX(CL91,2*(J91/IF(CG91&gt;0,CG91,MAX(0.1,N(Cockpit!$C$6)))-CK91)),0)</f>
        <v>18</v>
      </c>
      <c r="AM91" s="51" t="n">
        <f aca="false">IF(AI91&gt;0,J91/AI91,-1)</f>
        <v>0.765957446808511</v>
      </c>
      <c r="AN91" s="51" t="n">
        <f aca="false">IF(AND(OR(CF91="L1",CF91="L23",CF91="LIFT"),AI91&gt;0),SUMIFS($AI$7:$AI$1843,$CF$7:$CF$1843,CF91,$AM$7:$AM$1843,"&gt;"&amp;AM91)+SUMIFS($AI$7:$AI$1843,$CF$7:$CF$1843,CF91,$AM$7:$AM$1843,AM91,$BW$7:$BW$1843,"&lt;="&amp;BW91),"")</f>
        <v>8290.15064102564</v>
      </c>
      <c r="AO91" s="58" t="n">
        <f aca="false">IF(AN91="",0,MAX(0,MIN(1,(IF(CF91="L1",Parameter!$H$5,IF(CF91="L23",Parameter!$H$6+Parameter!$H$7,Parameter!$H$5+Parameter!$H$6+Parameter!$H$7))-(AN91-AI91))/AI91)))</f>
        <v>1</v>
      </c>
      <c r="AP91" s="50" t="n">
        <f aca="false">IF(LEFT(Cockpit!$I$5,1)="A",H91,IF(Parameter!$E$30="MAX-Bestand",IF(CH91=1,CI91,IF(LEFT(Cockpit!$I$5,1)="B",AV91,MAX(AV91,H91))),ROUNDUP(AT91,0)))</f>
        <v>15</v>
      </c>
      <c r="AQ91" s="50" t="n">
        <f aca="false">IF(BZ91=1,0,ROUNDUP(AP91/BY91,0))</f>
        <v>1</v>
      </c>
      <c r="AR91" s="52" t="n">
        <f aca="false">IF(CQ91&gt;0,CQ91*MAX(1,AP91/X91),IF(BZ91=1,IF(AP91&lt;=0,0,CD91*MAX(1,IF(H91&gt;0,AP91/H91,1))),IF(R91&gt;0,AQ91/R91,0))/MAX(0.1,N(Parameter!$M$21)))</f>
        <v>0.166666666666667</v>
      </c>
      <c r="AS91" s="50" t="n">
        <f aca="false">AR91*CB91</f>
        <v>39.1666666666667</v>
      </c>
      <c r="AT91" s="51" t="n">
        <f aca="false">IF(LEFT(Cockpit!$I$5,1)="A",H91,IF(CH91=1,(CK91+CI91)/2,IF(LEFT(Cockpit!$I$5,1)="B",(CK91+AV91)/2,MAX((CK91+AV91)/2,H91))))</f>
        <v>15</v>
      </c>
      <c r="AU91" s="50" t="n">
        <f aca="false">AT91*G91</f>
        <v>5037.3</v>
      </c>
      <c r="AV91" s="50" t="n">
        <f aca="false">ROUNDUP(CK91+MAX(CL91,2*(J91/IF(CG91&gt;0,CG91,MAX(0.1,N(Cockpit!$I$6)))-CK91)),0)</f>
        <v>18</v>
      </c>
      <c r="AW91" s="51" t="n">
        <f aca="false">IF(AS91&gt;0,J91/AS91,-1)</f>
        <v>0.765957446808511</v>
      </c>
      <c r="AX91" s="51" t="n">
        <f aca="false">IF(AND(OR(CF91="L1",CF91="L23",CF91="LIFT"),AS91&gt;0),SUMIFS($AS$7:$AS$1843,$CF$7:$CF$1843,CF91,$AW$7:$AW$1843,"&gt;"&amp;AW91)+SUMIFS($AS$7:$AS$1843,$CF$7:$CF$1843,CF91,$AW$7:$AW$1843,AW91,$BW$7:$BW$1843,"&lt;="&amp;BW91),"")</f>
        <v>10549.7188644689</v>
      </c>
      <c r="AY91" s="58" t="n">
        <f aca="false">IF(AX91="",0,MAX(0,MIN(1,(IF(CF91="L1",Parameter!$H$5,IF(CF91="L23",Parameter!$H$6+Parameter!$H$7,Parameter!$H$5+Parameter!$H$6+Parameter!$H$7))-(AX91-AS91))/AS91)))</f>
        <v>1</v>
      </c>
      <c r="AZ91" s="50" t="n">
        <f aca="false">IF(LEFT(Cockpit!$O$5,1)="A",H91,IF(Parameter!$E$30="MAX-Bestand",IF(CH91=1,CI91,IF(LEFT(Cockpit!$O$5,1)="B",BF91,MAX(BF91,H91))),ROUNDUP(BD91,0)))</f>
        <v>10</v>
      </c>
      <c r="BA91" s="50" t="n">
        <f aca="false">IF(BZ91=1,0,ROUNDUP(AZ91/BY91,0))</f>
        <v>1</v>
      </c>
      <c r="BB91" s="52" t="n">
        <f aca="false">IF(CQ91&gt;0,CQ91*MAX(1,AZ91/X91),IF(BZ91=1,IF(AZ91&lt;=0,0,CD91*MAX(1,IF(H91&gt;0,AZ91/H91,1))),IF(R91&gt;0,BA91/R91,0))/MAX(0.1,N(Parameter!$M$21)))</f>
        <v>0.166666666666667</v>
      </c>
      <c r="BC91" s="50" t="n">
        <f aca="false">BB91*CB91</f>
        <v>39.1666666666667</v>
      </c>
      <c r="BD91" s="51" t="n">
        <f aca="false">IF(LEFT(Cockpit!$O$5,1)="A",H91,IF(CH91=1,(CK91+CI91)/2,IF(LEFT(Cockpit!$O$5,1)="B",(CK91+BF91)/2,MAX((CK91+BF91)/2,H91))))</f>
        <v>9.5</v>
      </c>
      <c r="BE91" s="50" t="n">
        <f aca="false">BD91*G91</f>
        <v>3190.29</v>
      </c>
      <c r="BF91" s="50" t="n">
        <f aca="false">ROUNDUP(CK91+MAX(CL91,2*(J91/IF(CG91&gt;0,CG91,MAX(0.1,N(Cockpit!$O$6)))-CK91)),0)</f>
        <v>17</v>
      </c>
      <c r="BG91" s="51" t="n">
        <f aca="false">IF(BC91&gt;0,J91/BC91,-1)</f>
        <v>0.765957446808511</v>
      </c>
      <c r="BH91" s="51" t="n">
        <f aca="false">IF(AND(OR(CF91="L1",CF91="L23",CF91="LIFT"),BC91&gt;0),SUMIFS($BC$7:$BC$1843,$CF$7:$CF$1843,CF91,$BG$7:$BG$1843,"&gt;"&amp;BG91)+SUMIFS($BC$7:$BC$1843,$CF$7:$CF$1843,CF91,$BG$7:$BG$1843,BG91,$BW$7:$BW$1843,"&lt;="&amp;BW91),"")</f>
        <v>9001.01968864469</v>
      </c>
      <c r="BI91" s="58" t="n">
        <f aca="false">IF(BH91="",0,MAX(0,MIN(1,(IF(CF91="L1",Parameter!$H$5,IF(CF91="L23",Parameter!$H$6+Parameter!$H$7,Parameter!$H$5+Parameter!$H$6+Parameter!$H$7))-(BH91-BC91))/BC91)))</f>
        <v>1</v>
      </c>
      <c r="BJ91" s="48" t="str">
        <f aca="false">IF(AI91&lt;=0,"",IF(CF91="Aussen","Aussenlager",IF(CF91="-","Nicht im Lift",IF(AO91&gt;=1,"Lift",IF(AO91&lt;=0,"Aussenlager","teilweise")))))</f>
        <v>Lift</v>
      </c>
      <c r="BK91" s="48" t="str">
        <f aca="false">IF(AS91&lt;=0,"",IF(CF91="Aussen","Aussenlager",IF(CF91="-","Nicht im Lift",IF(AY91&gt;=1,"Lift",IF(AY91&lt;=0,"Aussenlager","teilweise")))))</f>
        <v>Lift</v>
      </c>
      <c r="BL91" s="48" t="str">
        <f aca="false">IF(BC91&lt;=0,"",IF(CF91="Aussen","Aussenlager",IF(CF91="-","Nicht im Lift",IF(BI91&gt;=1,"Lift",IF(BI91&lt;=0,"Aussenlager","teilweise")))))</f>
        <v>Lift</v>
      </c>
      <c r="BM91" s="48" t="str">
        <f aca="false">IF(A91="","",IF(BV91=1,"Neu; ","")&amp;IF(AND(BV91=0,BQ91&lt;0),"negativer Bestand (Export "&amp;BQ91&amp;"); ","")&amp;IF(J91&lt;=0,"Kein Verbrauch; ","")&amp;IF(CQ91&gt;0,"Lift "&amp;W91&amp;" lt. Liftbericht (Fach "&amp;X91&amp;" Stk); ",IF(CA91=1,"Gebinde geschätzt ("&amp;T91&amp;"); ",IF(BZ91=1,"Lose – Tablare geschätzt; ","")))&amp;IF(H91&gt;AV91,"Überbestand "&amp;ROUND(H91-AV91,0)&amp;" Stk / CHF "&amp;ROUND((H91-AV91)*G91,0)&amp;"; ","")&amp;IF(AND(CH91=1,CI91&lt;CJ91),"MAX &lt; MB+LG; ","")&amp;IF(AND(CP91&gt;0,CO91*10&gt;CP91),"zu hoch für Tablar; ","")&amp;IF(AND(BV91=0,OR(CH91=1,AA91&lt;&gt;"",U91&lt;&gt;"",V91&lt;&gt;"",AB91&lt;&gt;"")),"manuell übersteuert; ","")&amp;IF(AND(BZ91=0,R91=0),"Gebinde unbekannt / Stellmass fehlt; ","")&amp;IF(AND(BZ91=0,N(V91)&lt;=0,N(Q91)&lt;=0),"Menge pro Gebinde fehlt (Ist = 1 Gebinde); ","")&amp;BU91)</f>
        <v/>
      </c>
      <c r="BN91" s="48"/>
      <c r="BO91" s="48"/>
      <c r="BP91" s="55"/>
      <c r="BQ91" s="50" t="n">
        <v>7</v>
      </c>
      <c r="BR91" s="50" t="n">
        <v>8</v>
      </c>
      <c r="BS91" s="49" t="n">
        <v>2673.78</v>
      </c>
      <c r="BT91" s="50" t="n">
        <v>30</v>
      </c>
      <c r="BU91" s="48"/>
      <c r="BV91" s="53" t="n">
        <v>0</v>
      </c>
      <c r="BW91" s="53" t="n">
        <v>91</v>
      </c>
      <c r="BX91" s="48" t="str">
        <f aca="false">IF(U91&lt;&gt;"",UPPER(TRIM(U91)),IF(CA91=1,UPPER(VLOOKUP(T91,Parameter!$I$27:$K$29,2,0)),IF(P91="","LOSE",P91)))</f>
        <v>S71</v>
      </c>
      <c r="BY91" s="50" t="n">
        <f aca="false">IF(BX91="LOSE",1,IF(N(V91)&gt;0,V91,IF(CA91=1,MAX(1,N(VLOOKUP(T91,Parameter!$I$27:$K$29,3,0)),H91,N(N91)),IF(N(Q91)&gt;0,Q91,MAX(1,H91)))))</f>
        <v>24</v>
      </c>
      <c r="BZ91" s="53" t="n">
        <f aca="false">IF(BX91="LOSE",1,0)</f>
        <v>0</v>
      </c>
      <c r="CA91" s="53" t="n">
        <f aca="false">IF(AND(U91="",OR(P91="",P91="LOSE"),T91&lt;&gt;"",N(S91)&lt;=0,ISNUMBER(MATCH(T91,Parameter!$I$27:$I$29,0))),1,0)</f>
        <v>0</v>
      </c>
      <c r="CB91" s="53" t="n">
        <f aca="false">IF(CQ91&gt;0,INDEX(Parameter!$H$5:$H$7,W91)/INDEX(Parameter!$E$5:$E$7,W91),IF(AND(BZ91=0,N(IFERROR(VLOOKUP(BX91,'Gebinde-Kategorie'!$A$5:$N$45,14,0),0))&gt;0),VLOOKUP(BX91,'Gebinde-Kategorie'!$A$5:$N$45,14,0)*10+Parameter!$M$23,Parameter!$M$24))</f>
        <v>235</v>
      </c>
      <c r="CC91" s="48" t="n">
        <f aca="false">IF(AND(Parameter!$B$19="Ja",E91&lt;&gt;"",ISNUMBER(MATCH(E91,Parameter!$I$35:$I$52,0))),VLOOKUP(E91,Parameter!$I$35:$J$52,2,0),IFERROR(VLOOKUP(D91,Parameter!$A$35:$C$64,2,0),"Nein"))</f>
        <v>1</v>
      </c>
      <c r="CD91" s="52" t="n">
        <f aca="false">IF(BZ91=0,0,IF(N(S91)&gt;0,S91,IFERROR(VLOOKUP(D91,Parameter!$A$35:$C$64,3,0)+0,0)))</f>
        <v>0</v>
      </c>
      <c r="CE91" s="48" t="n">
        <f aca="false">IF(AA91&lt;&gt;"",AA91,Z91)</f>
        <v>1</v>
      </c>
      <c r="CF91" s="48" t="str">
        <f aca="false">IF(OR(CE91=1,CE91=2,CE91=3),IF(Parameter!$E$27="Ja","LIFT",IF(CE91=1,"L1","L23")),IF(CE91="Aussen","Aussen","-"))</f>
        <v>LIFT</v>
      </c>
      <c r="CG91" s="59" t="n">
        <f aca="false">IF(N(AB91)&gt;0,AB91,0)</f>
        <v>0</v>
      </c>
      <c r="CH91" s="53" t="n">
        <f aca="false">IF(ISNUMBER(AE91),1,0)</f>
        <v>0</v>
      </c>
      <c r="CI91" s="50" t="n">
        <f aca="false">N(AE91)</f>
        <v>0</v>
      </c>
      <c r="CJ91" s="50" t="n">
        <f aca="false">N(M91)+N(N91)</f>
        <v>17</v>
      </c>
      <c r="CK91" s="50" t="n">
        <f aca="false">N(M91)</f>
        <v>2</v>
      </c>
      <c r="CL91" s="50" t="n">
        <f aca="false">N(N91)</f>
        <v>15</v>
      </c>
      <c r="CM91" s="50" t="n">
        <f aca="false">ROUNDUP(H91/BY91,0)</f>
        <v>1</v>
      </c>
      <c r="CN91" s="50" t="n">
        <f aca="false">ROUNDUP(CI91/BY91,0)</f>
        <v>0</v>
      </c>
      <c r="CO91" s="53" t="n">
        <f aca="false">IF(BZ91=1,0,IFERROR(VLOOKUP(BX91,'Gebinde-Kategorie'!$A$5:$N$45,5,0)+0,0))</f>
        <v>20</v>
      </c>
      <c r="CP91" s="53" t="n">
        <f aca="false">IFERROR(IF(OR(CE91=1,CE91=2,CE91=3),N(INDEX(Parameter!$I$5:$I$7,CE91)),0),0)</f>
        <v>0</v>
      </c>
      <c r="CQ91" s="52" t="n">
        <f aca="false">IF(AND(Parameter!$B$21="Ja",ISNUMBER(W91),N(X91)&gt;0),IFERROR(N(INDEX(Parameter!$L$5:$L$7,W91))*INDEX(Parameter!$E$5:$E$7,W91)*X91/SUMIFS($X$7:$X$1843,$W$7:$W$1843,W91),0),0)</f>
        <v>0</v>
      </c>
    </row>
    <row r="92" customFormat="false" ht="15" hidden="false" customHeight="false" outlineLevel="0" collapsed="false">
      <c r="A92" s="48" t="s">
        <v>404</v>
      </c>
      <c r="B92" s="48" t="s">
        <v>405</v>
      </c>
      <c r="C92" s="48" t="s">
        <v>173</v>
      </c>
      <c r="D92" s="48" t="s">
        <v>193</v>
      </c>
      <c r="E92" s="48"/>
      <c r="F92" s="48" t="s">
        <v>227</v>
      </c>
      <c r="G92" s="49" t="n">
        <v>129.65</v>
      </c>
      <c r="H92" s="50" t="n">
        <f aca="false">MAX(0,IF(AND(Parameter!$B$21="Ja",ISNUMBER(Y92)),Y92,IF(Parameter!$B$20="Jahresanfang 2025 + Export",BR92+BQ92,BQ92)))</f>
        <v>20</v>
      </c>
      <c r="I92" s="50" t="n">
        <f aca="false">H92*G92</f>
        <v>2593</v>
      </c>
      <c r="J92" s="50" t="n">
        <f aca="false">BT92*Parameter!$B$18</f>
        <v>0</v>
      </c>
      <c r="K92" s="51" t="n">
        <v>0</v>
      </c>
      <c r="L92" s="52" t="n">
        <v>0</v>
      </c>
      <c r="M92" s="50" t="n">
        <v>0</v>
      </c>
      <c r="N92" s="50" t="n">
        <v>1</v>
      </c>
      <c r="O92" s="53" t="n">
        <v>9999</v>
      </c>
      <c r="P92" s="48" t="s">
        <v>177</v>
      </c>
      <c r="Q92" s="50"/>
      <c r="R92" s="53" t="n">
        <f aca="false">IF(BZ92=1,0,IFERROR(VLOOKUP(BX92,'Gebinde-Kategorie'!$A$5:$N$45,13,0)+0,0))</f>
        <v>26</v>
      </c>
      <c r="S92" s="54"/>
      <c r="T92" s="55" t="s">
        <v>284</v>
      </c>
      <c r="U92" s="55"/>
      <c r="V92" s="55"/>
      <c r="W92" s="48"/>
      <c r="X92" s="50"/>
      <c r="Y92" s="50"/>
      <c r="Z92" s="48" t="n">
        <f aca="false">IF(A92="","",IF(AND(Parameter!$B$21="Ja",ISNUMBER(W92)),W92,IF(CC92="2+3",IF(ISNUMBER(SEARCH("grosser Artikel",BU92)),2,IFERROR(VLOOKUP(BX92,Parameter!$F$35:$G$64,2,0),2)),IF(OR(CC92="Nein",CC92=""),"-",CC92))))</f>
        <v>3</v>
      </c>
      <c r="AA92" s="55"/>
      <c r="AB92" s="56"/>
      <c r="AC92" s="50" t="n">
        <f aca="false">AV92</f>
        <v>1</v>
      </c>
      <c r="AD92" s="50" t="n">
        <f aca="false">MAX(AV92,H92)</f>
        <v>20</v>
      </c>
      <c r="AE92" s="57"/>
      <c r="AF92" s="50" t="n">
        <f aca="false">IF(LEFT(Cockpit!$C$5,1)="A",H92,IF(Parameter!$E$30="MAX-Bestand",IF(CH92=1,CI92,IF(LEFT(Cockpit!$C$5,1)="B",AL92,MAX(AL92,H92))),ROUNDUP(AJ92,0)))</f>
        <v>20</v>
      </c>
      <c r="AG92" s="50" t="n">
        <f aca="false">IF(BZ92=1,0,ROUNDUP(AF92/BY92,0))</f>
        <v>1</v>
      </c>
      <c r="AH92" s="52" t="n">
        <f aca="false">IF(CQ92&gt;0,CQ92*MAX(1,AF92/X92),IF(BZ92=1,IF(AF92&lt;=0,0,CD92*MAX(1,IF(H92&gt;0,AF92/H92,1))),IF(R92&gt;0,AG92/R92,0))/MAX(0.1,N(Parameter!$M$21)))</f>
        <v>0.0384615384615385</v>
      </c>
      <c r="AI92" s="50" t="n">
        <f aca="false">AH92*CB92</f>
        <v>5.96153846153846</v>
      </c>
      <c r="AJ92" s="51" t="n">
        <f aca="false">IF(LEFT(Cockpit!$C$5,1)="A",H92,IF(CH92=1,(CK92+CI92)/2,IF(LEFT(Cockpit!$C$5,1)="B",(CK92+AL92)/2,MAX((CK92+AL92)/2,H92))))</f>
        <v>20</v>
      </c>
      <c r="AK92" s="50" t="n">
        <f aca="false">AJ92*G92</f>
        <v>2593</v>
      </c>
      <c r="AL92" s="50" t="n">
        <f aca="false">ROUNDUP(CK92+MAX(CL92,2*(J92/IF(CG92&gt;0,CG92,MAX(0.1,N(Cockpit!$C$6)))-CK92)),0)</f>
        <v>1</v>
      </c>
      <c r="AM92" s="51" t="n">
        <f aca="false">IF(AI92&gt;0,J92/AI92,-1)</f>
        <v>0</v>
      </c>
      <c r="AN92" s="51" t="n">
        <f aca="false">IF(AND(OR(CF92="L1",CF92="L23",CF92="LIFT"),AI92&gt;0),SUMIFS($AI$7:$AI$1843,$CF$7:$CF$1843,CF92,$AM$7:$AM$1843,"&gt;"&amp;AM92)+SUMIFS($AI$7:$AI$1843,$CF$7:$CF$1843,CF92,$AM$7:$AM$1843,AM92,$BW$7:$BW$1843,"&lt;="&amp;BW92),"")</f>
        <v>26976.0965496368</v>
      </c>
      <c r="AO92" s="58" t="n">
        <f aca="false">IF(AN92="",0,MAX(0,MIN(1,(IF(CF92="L1",Parameter!$H$5,IF(CF92="L23",Parameter!$H$6+Parameter!$H$7,Parameter!$H$5+Parameter!$H$6+Parameter!$H$7))-(AN92-AI92))/AI92)))</f>
        <v>1</v>
      </c>
      <c r="AP92" s="50" t="n">
        <f aca="false">IF(LEFT(Cockpit!$I$5,1)="A",H92,IF(Parameter!$E$30="MAX-Bestand",IF(CH92=1,CI92,IF(LEFT(Cockpit!$I$5,1)="B",AV92,MAX(AV92,H92))),ROUNDUP(AT92,0)))</f>
        <v>20</v>
      </c>
      <c r="AQ92" s="50" t="n">
        <f aca="false">IF(BZ92=1,0,ROUNDUP(AP92/BY92,0))</f>
        <v>1</v>
      </c>
      <c r="AR92" s="52" t="n">
        <f aca="false">IF(CQ92&gt;0,CQ92*MAX(1,AP92/X92),IF(BZ92=1,IF(AP92&lt;=0,0,CD92*MAX(1,IF(H92&gt;0,AP92/H92,1))),IF(R92&gt;0,AQ92/R92,0))/MAX(0.1,N(Parameter!$M$21)))</f>
        <v>0.0384615384615385</v>
      </c>
      <c r="AS92" s="50" t="n">
        <f aca="false">AR92*CB92</f>
        <v>5.96153846153846</v>
      </c>
      <c r="AT92" s="51" t="n">
        <f aca="false">IF(LEFT(Cockpit!$I$5,1)="A",H92,IF(CH92=1,(CK92+CI92)/2,IF(LEFT(Cockpit!$I$5,1)="B",(CK92+AV92)/2,MAX((CK92+AV92)/2,H92))))</f>
        <v>20</v>
      </c>
      <c r="AU92" s="50" t="n">
        <f aca="false">AT92*G92</f>
        <v>2593</v>
      </c>
      <c r="AV92" s="50" t="n">
        <f aca="false">ROUNDUP(CK92+MAX(CL92,2*(J92/IF(CG92&gt;0,CG92,MAX(0.1,N(Cockpit!$I$6)))-CK92)),0)</f>
        <v>1</v>
      </c>
      <c r="AW92" s="51" t="n">
        <f aca="false">IF(AS92&gt;0,J92/AS92,-1)</f>
        <v>0</v>
      </c>
      <c r="AX92" s="51" t="n">
        <f aca="false">IF(AND(OR(CF92="L1",CF92="L23",CF92="LIFT"),AS92&gt;0),SUMIFS($AS$7:$AS$1843,$CF$7:$CF$1843,CF92,$AW$7:$AW$1843,"&gt;"&amp;AW92)+SUMIFS($AS$7:$AS$1843,$CF$7:$CF$1843,CF92,$AW$7:$AW$1843,AW92,$BW$7:$BW$1843,"&lt;="&amp;BW92),"")</f>
        <v>32329.2451910143</v>
      </c>
      <c r="AY92" s="58" t="n">
        <f aca="false">IF(AX92="",0,MAX(0,MIN(1,(IF(CF92="L1",Parameter!$H$5,IF(CF92="L23",Parameter!$H$6+Parameter!$H$7,Parameter!$H$5+Parameter!$H$6+Parameter!$H$7))-(AX92-AS92))/AS92)))</f>
        <v>1</v>
      </c>
      <c r="AZ92" s="50" t="n">
        <f aca="false">IF(LEFT(Cockpit!$O$5,1)="A",H92,IF(Parameter!$E$30="MAX-Bestand",IF(CH92=1,CI92,IF(LEFT(Cockpit!$O$5,1)="B",BF92,MAX(BF92,H92))),ROUNDUP(BD92,0)))</f>
        <v>1</v>
      </c>
      <c r="BA92" s="50" t="n">
        <f aca="false">IF(BZ92=1,0,ROUNDUP(AZ92/BY92,0))</f>
        <v>1</v>
      </c>
      <c r="BB92" s="52" t="n">
        <f aca="false">IF(CQ92&gt;0,CQ92*MAX(1,AZ92/X92),IF(BZ92=1,IF(AZ92&lt;=0,0,CD92*MAX(1,IF(H92&gt;0,AZ92/H92,1))),IF(R92&gt;0,BA92/R92,0))/MAX(0.1,N(Parameter!$M$21)))</f>
        <v>0.0384615384615385</v>
      </c>
      <c r="BC92" s="50" t="n">
        <f aca="false">BB92*CB92</f>
        <v>5.96153846153846</v>
      </c>
      <c r="BD92" s="51" t="n">
        <f aca="false">IF(LEFT(Cockpit!$O$5,1)="A",H92,IF(CH92=1,(CK92+CI92)/2,IF(LEFT(Cockpit!$O$5,1)="B",(CK92+BF92)/2,MAX((CK92+BF92)/2,H92))))</f>
        <v>0.5</v>
      </c>
      <c r="BE92" s="50" t="n">
        <f aca="false">BD92*G92</f>
        <v>64.825</v>
      </c>
      <c r="BF92" s="50" t="n">
        <f aca="false">ROUNDUP(CK92+MAX(CL92,2*(J92/IF(CG92&gt;0,CG92,MAX(0.1,N(Cockpit!$O$6)))-CK92)),0)</f>
        <v>1</v>
      </c>
      <c r="BG92" s="51" t="n">
        <f aca="false">IF(BC92&gt;0,J92/BC92,-1)</f>
        <v>0</v>
      </c>
      <c r="BH92" s="51" t="n">
        <f aca="false">IF(AND(OR(CF92="L1",CF92="L23",CF92="LIFT"),BC92&gt;0),SUMIFS($BC$7:$BC$1843,$CF$7:$CF$1843,CF92,$BG$7:$BG$1843,"&gt;"&amp;BG92)+SUMIFS($BC$7:$BC$1843,$CF$7:$CF$1843,CF92,$BG$7:$BG$1843,BG92,$BW$7:$BW$1843,"&lt;="&amp;BW92),"")</f>
        <v>26525.8270343122</v>
      </c>
      <c r="BI92" s="58" t="n">
        <f aca="false">IF(BH92="",0,MAX(0,MIN(1,(IF(CF92="L1",Parameter!$H$5,IF(CF92="L23",Parameter!$H$6+Parameter!$H$7,Parameter!$H$5+Parameter!$H$6+Parameter!$H$7))-(BH92-BC92))/BC92)))</f>
        <v>1</v>
      </c>
      <c r="BJ92" s="48" t="str">
        <f aca="false">IF(AI92&lt;=0,"",IF(CF92="Aussen","Aussenlager",IF(CF92="-","Nicht im Lift",IF(AO92&gt;=1,"Lift",IF(AO92&lt;=0,"Aussenlager","teilweise")))))</f>
        <v>Lift</v>
      </c>
      <c r="BK92" s="48" t="str">
        <f aca="false">IF(AS92&lt;=0,"",IF(CF92="Aussen","Aussenlager",IF(CF92="-","Nicht im Lift",IF(AY92&gt;=1,"Lift",IF(AY92&lt;=0,"Aussenlager","teilweise")))))</f>
        <v>Lift</v>
      </c>
      <c r="BL92" s="48" t="str">
        <f aca="false">IF(BC92&lt;=0,"",IF(CF92="Aussen","Aussenlager",IF(CF92="-","Nicht im Lift",IF(BI92&gt;=1,"Lift",IF(BI92&lt;=0,"Aussenlager","teilweise")))))</f>
        <v>Lift</v>
      </c>
      <c r="BM92" s="48" t="str">
        <f aca="false">IF(A92="","",IF(BV92=1,"Neu; ","")&amp;IF(AND(BV92=0,BQ92&lt;0),"negativer Bestand (Export "&amp;BQ92&amp;"); ","")&amp;IF(J92&lt;=0,"Kein Verbrauch; ","")&amp;IF(CQ92&gt;0,"Lift "&amp;W92&amp;" lt. Liftbericht (Fach "&amp;X92&amp;" Stk); ",IF(CA92=1,"Gebinde geschätzt ("&amp;T92&amp;"); ",IF(BZ92=1,"Lose – Tablare geschätzt; ","")))&amp;IF(H92&gt;AV92,"Überbestand "&amp;ROUND(H92-AV92,0)&amp;" Stk / CHF "&amp;ROUND((H92-AV92)*G92,0)&amp;"; ","")&amp;IF(AND(CH92=1,CI92&lt;CJ92),"MAX &lt; MB+LG; ","")&amp;IF(AND(CP92&gt;0,CO92*10&gt;CP92),"zu hoch für Tablar; ","")&amp;IF(AND(BV92=0,OR(CH92=1,AA92&lt;&gt;"",U92&lt;&gt;"",V92&lt;&gt;"",AB92&lt;&gt;"")),"manuell übersteuert; ","")&amp;IF(AND(BZ92=0,R92=0),"Gebinde unbekannt / Stellmass fehlt; ","")&amp;IF(AND(BZ92=0,N(V92)&lt;=0,N(Q92)&lt;=0),"Menge pro Gebinde fehlt (Ist = 1 Gebinde); ","")&amp;BU92)</f>
        <v>Kein Verbrauch; Gebinde geschätzt (Klein); Überbestand 19 Stk / CHF 2463; Menge pro Gebinde fehlt (Ist = 1 Gebinde); </v>
      </c>
      <c r="BN92" s="48"/>
      <c r="BO92" s="48"/>
      <c r="BP92" s="55"/>
      <c r="BQ92" s="50" t="n">
        <v>20</v>
      </c>
      <c r="BR92" s="50" t="n">
        <v>0</v>
      </c>
      <c r="BS92" s="49" t="n">
        <v>2593</v>
      </c>
      <c r="BT92" s="50" t="n">
        <v>0</v>
      </c>
      <c r="BU92" s="48"/>
      <c r="BV92" s="53" t="n">
        <v>0</v>
      </c>
      <c r="BW92" s="53" t="n">
        <v>92</v>
      </c>
      <c r="BX92" s="48" t="str">
        <f aca="false">IF(U92&lt;&gt;"",UPPER(TRIM(U92)),IF(CA92=1,UPPER(VLOOKUP(T92,Parameter!$I$27:$K$29,2,0)),IF(P92="","LOSE",P92)))</f>
        <v>S51</v>
      </c>
      <c r="BY92" s="50" t="n">
        <f aca="false">IF(BX92="LOSE",1,IF(N(V92)&gt;0,V92,IF(CA92=1,MAX(1,N(VLOOKUP(T92,Parameter!$I$27:$K$29,3,0)),H92,N(N92)),IF(N(Q92)&gt;0,Q92,MAX(1,H92)))))</f>
        <v>20</v>
      </c>
      <c r="BZ92" s="53" t="n">
        <f aca="false">IF(BX92="LOSE",1,0)</f>
        <v>0</v>
      </c>
      <c r="CA92" s="53" t="n">
        <f aca="false">IF(AND(U92="",OR(P92="",P92="LOSE"),T92&lt;&gt;"",N(S92)&lt;=0,ISNUMBER(MATCH(T92,Parameter!$I$27:$I$29,0))),1,0)</f>
        <v>1</v>
      </c>
      <c r="CB92" s="53" t="n">
        <f aca="false">IF(CQ92&gt;0,INDEX(Parameter!$H$5:$H$7,W92)/INDEX(Parameter!$E$5:$E$7,W92),IF(AND(BZ92=0,N(IFERROR(VLOOKUP(BX92,'Gebinde-Kategorie'!$A$5:$N$45,14,0),0))&gt;0),VLOOKUP(BX92,'Gebinde-Kategorie'!$A$5:$N$45,14,0)*10+Parameter!$M$23,Parameter!$M$24))</f>
        <v>155</v>
      </c>
      <c r="CC92" s="48" t="str">
        <f aca="false">IF(AND(Parameter!$B$19="Ja",E92&lt;&gt;"",ISNUMBER(MATCH(E92,Parameter!$I$35:$I$52,0))),VLOOKUP(E92,Parameter!$I$35:$J$52,2,0),IFERROR(VLOOKUP(D92,Parameter!$A$35:$C$64,2,0),"Nein"))</f>
        <v>2+3</v>
      </c>
      <c r="CD92" s="52" t="n">
        <f aca="false">IF(BZ92=0,0,IF(N(S92)&gt;0,S92,IFERROR(VLOOKUP(D92,Parameter!$A$35:$C$64,3,0)+0,0)))</f>
        <v>0</v>
      </c>
      <c r="CE92" s="48" t="n">
        <f aca="false">IF(AA92&lt;&gt;"",AA92,Z92)</f>
        <v>3</v>
      </c>
      <c r="CF92" s="48" t="str">
        <f aca="false">IF(OR(CE92=1,CE92=2,CE92=3),IF(Parameter!$E$27="Ja","LIFT",IF(CE92=1,"L1","L23")),IF(CE92="Aussen","Aussen","-"))</f>
        <v>LIFT</v>
      </c>
      <c r="CG92" s="59" t="n">
        <f aca="false">IF(N(AB92)&gt;0,AB92,0)</f>
        <v>0</v>
      </c>
      <c r="CH92" s="53" t="n">
        <f aca="false">IF(ISNUMBER(AE92),1,0)</f>
        <v>0</v>
      </c>
      <c r="CI92" s="50" t="n">
        <f aca="false">N(AE92)</f>
        <v>0</v>
      </c>
      <c r="CJ92" s="50" t="n">
        <f aca="false">N(M92)+N(N92)</f>
        <v>1</v>
      </c>
      <c r="CK92" s="50" t="n">
        <f aca="false">N(M92)</f>
        <v>0</v>
      </c>
      <c r="CL92" s="50" t="n">
        <f aca="false">N(N92)</f>
        <v>1</v>
      </c>
      <c r="CM92" s="50" t="n">
        <f aca="false">ROUNDUP(H92/BY92,0)</f>
        <v>1</v>
      </c>
      <c r="CN92" s="50" t="n">
        <f aca="false">ROUNDUP(CI92/BY92,0)</f>
        <v>0</v>
      </c>
      <c r="CO92" s="53" t="n">
        <f aca="false">IF(BZ92=1,0,IFERROR(VLOOKUP(BX92,'Gebinde-Kategorie'!$A$5:$N$45,5,0)+0,0))</f>
        <v>11</v>
      </c>
      <c r="CP92" s="53" t="n">
        <f aca="false">IFERROR(IF(OR(CE92=1,CE92=2,CE92=3),N(INDEX(Parameter!$I$5:$I$7,CE92)),0),0)</f>
        <v>0</v>
      </c>
      <c r="CQ92" s="52" t="n">
        <f aca="false">IF(AND(Parameter!$B$21="Ja",ISNUMBER(W92),N(X92)&gt;0),IFERROR(N(INDEX(Parameter!$L$5:$L$7,W92))*INDEX(Parameter!$E$5:$E$7,W92)*X92/SUMIFS($X$7:$X$1843,$W$7:$W$1843,W92),0),0)</f>
        <v>0</v>
      </c>
    </row>
    <row r="93" customFormat="false" ht="15" hidden="false" customHeight="false" outlineLevel="0" collapsed="false">
      <c r="A93" s="48" t="s">
        <v>406</v>
      </c>
      <c r="B93" s="48" t="s">
        <v>407</v>
      </c>
      <c r="C93" s="48" t="s">
        <v>173</v>
      </c>
      <c r="D93" s="48" t="s">
        <v>182</v>
      </c>
      <c r="E93" s="48"/>
      <c r="F93" s="48" t="s">
        <v>227</v>
      </c>
      <c r="G93" s="49" t="n">
        <v>510.45</v>
      </c>
      <c r="H93" s="50" t="n">
        <f aca="false">MAX(0,IF(AND(Parameter!$B$21="Ja",ISNUMBER(Y93)),Y93,IF(Parameter!$B$20="Jahresanfang 2025 + Export",BR93+BQ93,BQ93)))</f>
        <v>5</v>
      </c>
      <c r="I93" s="50" t="n">
        <f aca="false">H93*G93</f>
        <v>2552.25</v>
      </c>
      <c r="J93" s="50" t="n">
        <f aca="false">BT93*Parameter!$B$18</f>
        <v>0</v>
      </c>
      <c r="K93" s="51" t="n">
        <v>0</v>
      </c>
      <c r="L93" s="52" t="n">
        <v>0</v>
      </c>
      <c r="M93" s="50" t="n">
        <v>2</v>
      </c>
      <c r="N93" s="50" t="n">
        <v>8</v>
      </c>
      <c r="O93" s="53" t="n">
        <v>28</v>
      </c>
      <c r="P93" s="48" t="s">
        <v>177</v>
      </c>
      <c r="Q93" s="50"/>
      <c r="R93" s="53" t="n">
        <f aca="false">IF(BZ93=1,0,IFERROR(VLOOKUP(BX93,'Gebinde-Kategorie'!$A$5:$N$45,13,0)+0,0))</f>
        <v>12</v>
      </c>
      <c r="S93" s="54"/>
      <c r="T93" s="55" t="s">
        <v>188</v>
      </c>
      <c r="U93" s="55"/>
      <c r="V93" s="55"/>
      <c r="W93" s="48"/>
      <c r="X93" s="50"/>
      <c r="Y93" s="50"/>
      <c r="Z93" s="48" t="n">
        <f aca="false">IF(A93="","",IF(AND(Parameter!$B$21="Ja",ISNUMBER(W93)),W93,IF(CC93="2+3",IF(ISNUMBER(SEARCH("grosser Artikel",BU93)),2,IFERROR(VLOOKUP(BX93,Parameter!$F$35:$G$64,2,0),2)),IF(OR(CC93="Nein",CC93=""),"-",CC93))))</f>
        <v>2</v>
      </c>
      <c r="AA93" s="55"/>
      <c r="AB93" s="56"/>
      <c r="AC93" s="50" t="n">
        <f aca="false">AV93</f>
        <v>10</v>
      </c>
      <c r="AD93" s="50" t="n">
        <f aca="false">MAX(AV93,H93)</f>
        <v>10</v>
      </c>
      <c r="AE93" s="57"/>
      <c r="AF93" s="50" t="n">
        <f aca="false">IF(LEFT(Cockpit!$C$5,1)="A",H93,IF(Parameter!$E$30="MAX-Bestand",IF(CH93=1,CI93,IF(LEFT(Cockpit!$C$5,1)="B",AL93,MAX(AL93,H93))),ROUNDUP(AJ93,0)))</f>
        <v>5</v>
      </c>
      <c r="AG93" s="50" t="n">
        <f aca="false">IF(BZ93=1,0,ROUNDUP(AF93/BY93,0))</f>
        <v>1</v>
      </c>
      <c r="AH93" s="52" t="n">
        <f aca="false">IF(CQ93&gt;0,CQ93*MAX(1,AF93/X93),IF(BZ93=1,IF(AF93&lt;=0,0,CD93*MAX(1,IF(H93&gt;0,AF93/H93,1))),IF(R93&gt;0,AG93/R93,0))/MAX(0.1,N(Parameter!$M$21)))</f>
        <v>0.0833333333333333</v>
      </c>
      <c r="AI93" s="50" t="n">
        <f aca="false">AH93*CB93</f>
        <v>12.0833333333333</v>
      </c>
      <c r="AJ93" s="51" t="n">
        <f aca="false">IF(LEFT(Cockpit!$C$5,1)="A",H93,IF(CH93=1,(CK93+CI93)/2,IF(LEFT(Cockpit!$C$5,1)="B",(CK93+AL93)/2,MAX((CK93+AL93)/2,H93))))</f>
        <v>5</v>
      </c>
      <c r="AK93" s="50" t="n">
        <f aca="false">AJ93*G93</f>
        <v>2552.25</v>
      </c>
      <c r="AL93" s="50" t="n">
        <f aca="false">ROUNDUP(CK93+MAX(CL93,2*(J93/IF(CG93&gt;0,CG93,MAX(0.1,N(Cockpit!$C$6)))-CK93)),0)</f>
        <v>10</v>
      </c>
      <c r="AM93" s="51" t="n">
        <f aca="false">IF(AI93&gt;0,J93/AI93,-1)</f>
        <v>0</v>
      </c>
      <c r="AN93" s="51" t="n">
        <f aca="false">IF(AND(OR(CF93="L1",CF93="L23",CF93="LIFT"),AI93&gt;0),SUMIFS($AI$7:$AI$1843,$CF$7:$CF$1843,CF93,$AM$7:$AM$1843,"&gt;"&amp;AM93)+SUMIFS($AI$7:$AI$1843,$CF$7:$CF$1843,CF93,$AM$7:$AM$1843,AM93,$BW$7:$BW$1843,"&lt;="&amp;BW93),"")</f>
        <v>26988.1798829701</v>
      </c>
      <c r="AO93" s="58" t="n">
        <f aca="false">IF(AN93="",0,MAX(0,MIN(1,(IF(CF93="L1",Parameter!$H$5,IF(CF93="L23",Parameter!$H$6+Parameter!$H$7,Parameter!$H$5+Parameter!$H$6+Parameter!$H$7))-(AN93-AI93))/AI93)))</f>
        <v>1</v>
      </c>
      <c r="AP93" s="50" t="n">
        <f aca="false">IF(LEFT(Cockpit!$I$5,1)="A",H93,IF(Parameter!$E$30="MAX-Bestand",IF(CH93=1,CI93,IF(LEFT(Cockpit!$I$5,1)="B",AV93,MAX(AV93,H93))),ROUNDUP(AT93,0)))</f>
        <v>6</v>
      </c>
      <c r="AQ93" s="50" t="n">
        <f aca="false">IF(BZ93=1,0,ROUNDUP(AP93/BY93,0))</f>
        <v>1</v>
      </c>
      <c r="AR93" s="52" t="n">
        <f aca="false">IF(CQ93&gt;0,CQ93*MAX(1,AP93/X93),IF(BZ93=1,IF(AP93&lt;=0,0,CD93*MAX(1,IF(H93&gt;0,AP93/H93,1))),IF(R93&gt;0,AQ93/R93,0))/MAX(0.1,N(Parameter!$M$21)))</f>
        <v>0.0833333333333333</v>
      </c>
      <c r="AS93" s="50" t="n">
        <f aca="false">AR93*CB93</f>
        <v>12.0833333333333</v>
      </c>
      <c r="AT93" s="51" t="n">
        <f aca="false">IF(LEFT(Cockpit!$I$5,1)="A",H93,IF(CH93=1,(CK93+CI93)/2,IF(LEFT(Cockpit!$I$5,1)="B",(CK93+AV93)/2,MAX((CK93+AV93)/2,H93))))</f>
        <v>6</v>
      </c>
      <c r="AU93" s="50" t="n">
        <f aca="false">AT93*G93</f>
        <v>3062.7</v>
      </c>
      <c r="AV93" s="50" t="n">
        <f aca="false">ROUNDUP(CK93+MAX(CL93,2*(J93/IF(CG93&gt;0,CG93,MAX(0.1,N(Cockpit!$I$6)))-CK93)),0)</f>
        <v>10</v>
      </c>
      <c r="AW93" s="51" t="n">
        <f aca="false">IF(AS93&gt;0,J93/AS93,-1)</f>
        <v>0</v>
      </c>
      <c r="AX93" s="51" t="n">
        <f aca="false">IF(AND(OR(CF93="L1",CF93="L23",CF93="LIFT"),AS93&gt;0),SUMIFS($AS$7:$AS$1843,$CF$7:$CF$1843,CF93,$AW$7:$AW$1843,"&gt;"&amp;AW93)+SUMIFS($AS$7:$AS$1843,$CF$7:$CF$1843,CF93,$AW$7:$AW$1843,AW93,$BW$7:$BW$1843,"&lt;="&amp;BW93),"")</f>
        <v>32341.3285243476</v>
      </c>
      <c r="AY93" s="58" t="n">
        <f aca="false">IF(AX93="",0,MAX(0,MIN(1,(IF(CF93="L1",Parameter!$H$5,IF(CF93="L23",Parameter!$H$6+Parameter!$H$7,Parameter!$H$5+Parameter!$H$6+Parameter!$H$7))-(AX93-AS93))/AS93)))</f>
        <v>1</v>
      </c>
      <c r="AZ93" s="50" t="n">
        <f aca="false">IF(LEFT(Cockpit!$O$5,1)="A",H93,IF(Parameter!$E$30="MAX-Bestand",IF(CH93=1,CI93,IF(LEFT(Cockpit!$O$5,1)="B",BF93,MAX(BF93,H93))),ROUNDUP(BD93,0)))</f>
        <v>6</v>
      </c>
      <c r="BA93" s="50" t="n">
        <f aca="false">IF(BZ93=1,0,ROUNDUP(AZ93/BY93,0))</f>
        <v>1</v>
      </c>
      <c r="BB93" s="52" t="n">
        <f aca="false">IF(CQ93&gt;0,CQ93*MAX(1,AZ93/X93),IF(BZ93=1,IF(AZ93&lt;=0,0,CD93*MAX(1,IF(H93&gt;0,AZ93/H93,1))),IF(R93&gt;0,BA93/R93,0))/MAX(0.1,N(Parameter!$M$21)))</f>
        <v>0.0833333333333333</v>
      </c>
      <c r="BC93" s="50" t="n">
        <f aca="false">BB93*CB93</f>
        <v>12.0833333333333</v>
      </c>
      <c r="BD93" s="51" t="n">
        <f aca="false">IF(LEFT(Cockpit!$O$5,1)="A",H93,IF(CH93=1,(CK93+CI93)/2,IF(LEFT(Cockpit!$O$5,1)="B",(CK93+BF93)/2,MAX((CK93+BF93)/2,H93))))</f>
        <v>6</v>
      </c>
      <c r="BE93" s="50" t="n">
        <f aca="false">BD93*G93</f>
        <v>3062.7</v>
      </c>
      <c r="BF93" s="50" t="n">
        <f aca="false">ROUNDUP(CK93+MAX(CL93,2*(J93/IF(CG93&gt;0,CG93,MAX(0.1,N(Cockpit!$O$6)))-CK93)),0)</f>
        <v>10</v>
      </c>
      <c r="BG93" s="51" t="n">
        <f aca="false">IF(BC93&gt;0,J93/BC93,-1)</f>
        <v>0</v>
      </c>
      <c r="BH93" s="51" t="n">
        <f aca="false">IF(AND(OR(CF93="L1",CF93="L23",CF93="LIFT"),BC93&gt;0),SUMIFS($BC$7:$BC$1843,$CF$7:$CF$1843,CF93,$BG$7:$BG$1843,"&gt;"&amp;BG93)+SUMIFS($BC$7:$BC$1843,$CF$7:$CF$1843,CF93,$BG$7:$BG$1843,BG93,$BW$7:$BW$1843,"&lt;="&amp;BW93),"")</f>
        <v>26537.9103676455</v>
      </c>
      <c r="BI93" s="58" t="n">
        <f aca="false">IF(BH93="",0,MAX(0,MIN(1,(IF(CF93="L1",Parameter!$H$5,IF(CF93="L23",Parameter!$H$6+Parameter!$H$7,Parameter!$H$5+Parameter!$H$6+Parameter!$H$7))-(BH93-BC93))/BC93)))</f>
        <v>1</v>
      </c>
      <c r="BJ93" s="48" t="str">
        <f aca="false">IF(AI93&lt;=0,"",IF(CF93="Aussen","Aussenlager",IF(CF93="-","Nicht im Lift",IF(AO93&gt;=1,"Lift",IF(AO93&lt;=0,"Aussenlager","teilweise")))))</f>
        <v>Lift</v>
      </c>
      <c r="BK93" s="48" t="str">
        <f aca="false">IF(AS93&lt;=0,"",IF(CF93="Aussen","Aussenlager",IF(CF93="-","Nicht im Lift",IF(AY93&gt;=1,"Lift",IF(AY93&lt;=0,"Aussenlager","teilweise")))))</f>
        <v>Lift</v>
      </c>
      <c r="BL93" s="48" t="str">
        <f aca="false">IF(BC93&lt;=0,"",IF(CF93="Aussen","Aussenlager",IF(CF93="-","Nicht im Lift",IF(BI93&gt;=1,"Lift",IF(BI93&lt;=0,"Aussenlager","teilweise")))))</f>
        <v>Lift</v>
      </c>
      <c r="BM93" s="48" t="str">
        <f aca="false">IF(A93="","",IF(BV93=1,"Neu; ","")&amp;IF(AND(BV93=0,BQ93&lt;0),"negativer Bestand (Export "&amp;BQ93&amp;"); ","")&amp;IF(J93&lt;=0,"Kein Verbrauch; ","")&amp;IF(CQ93&gt;0,"Lift "&amp;W93&amp;" lt. Liftbericht (Fach "&amp;X93&amp;" Stk); ",IF(CA93=1,"Gebinde geschätzt ("&amp;T93&amp;"); ",IF(BZ93=1,"Lose – Tablare geschätzt; ","")))&amp;IF(H93&gt;AV93,"Überbestand "&amp;ROUND(H93-AV93,0)&amp;" Stk / CHF "&amp;ROUND((H93-AV93)*G93,0)&amp;"; ","")&amp;IF(AND(CH93=1,CI93&lt;CJ93),"MAX &lt; MB+LG; ","")&amp;IF(AND(CP93&gt;0,CO93*10&gt;CP93),"zu hoch für Tablar; ","")&amp;IF(AND(BV93=0,OR(CH93=1,AA93&lt;&gt;"",U93&lt;&gt;"",V93&lt;&gt;"",AB93&lt;&gt;"")),"manuell übersteuert; ","")&amp;IF(AND(BZ93=0,R93=0),"Gebinde unbekannt / Stellmass fehlt; ","")&amp;IF(AND(BZ93=0,N(V93)&lt;=0,N(Q93)&lt;=0),"Menge pro Gebinde fehlt (Ist = 1 Gebinde); ","")&amp;BU93)</f>
        <v>Kein Verbrauch; Gebinde geschätzt (Mittel); Menge pro Gebinde fehlt (Ist = 1 Gebinde); </v>
      </c>
      <c r="BN93" s="48"/>
      <c r="BO93" s="48"/>
      <c r="BP93" s="55"/>
      <c r="BQ93" s="50" t="n">
        <v>5</v>
      </c>
      <c r="BR93" s="50" t="n">
        <v>0</v>
      </c>
      <c r="BS93" s="49" t="n">
        <v>2552.25</v>
      </c>
      <c r="BT93" s="50" t="n">
        <v>0</v>
      </c>
      <c r="BU93" s="48"/>
      <c r="BV93" s="53" t="n">
        <v>0</v>
      </c>
      <c r="BW93" s="53" t="n">
        <v>93</v>
      </c>
      <c r="BX93" s="48" t="str">
        <f aca="false">IF(U93&lt;&gt;"",UPPER(TRIM(U93)),IF(CA93=1,UPPER(VLOOKUP(T93,Parameter!$I$27:$K$29,2,0)),IF(P93="","LOSE",P93)))</f>
        <v>S61</v>
      </c>
      <c r="BY93" s="50" t="n">
        <f aca="false">IF(BX93="LOSE",1,IF(N(V93)&gt;0,V93,IF(CA93=1,MAX(1,N(VLOOKUP(T93,Parameter!$I$27:$K$29,3,0)),H93,N(N93)),IF(N(Q93)&gt;0,Q93,MAX(1,H93)))))</f>
        <v>8</v>
      </c>
      <c r="BZ93" s="53" t="n">
        <f aca="false">IF(BX93="LOSE",1,0)</f>
        <v>0</v>
      </c>
      <c r="CA93" s="53" t="n">
        <f aca="false">IF(AND(U93="",OR(P93="",P93="LOSE"),T93&lt;&gt;"",N(S93)&lt;=0,ISNUMBER(MATCH(T93,Parameter!$I$27:$I$29,0))),1,0)</f>
        <v>1</v>
      </c>
      <c r="CB93" s="53" t="n">
        <f aca="false">IF(CQ93&gt;0,INDEX(Parameter!$H$5:$H$7,W93)/INDEX(Parameter!$E$5:$E$7,W93),IF(AND(BZ93=0,N(IFERROR(VLOOKUP(BX93,'Gebinde-Kategorie'!$A$5:$N$45,14,0),0))&gt;0),VLOOKUP(BX93,'Gebinde-Kategorie'!$A$5:$N$45,14,0)*10+Parameter!$M$23,Parameter!$M$24))</f>
        <v>145</v>
      </c>
      <c r="CC93" s="48" t="str">
        <f aca="false">IF(AND(Parameter!$B$19="Ja",E93&lt;&gt;"",ISNUMBER(MATCH(E93,Parameter!$I$35:$I$52,0))),VLOOKUP(E93,Parameter!$I$35:$J$52,2,0),IFERROR(VLOOKUP(D93,Parameter!$A$35:$C$64,2,0),"Nein"))</f>
        <v>2+3</v>
      </c>
      <c r="CD93" s="52" t="n">
        <f aca="false">IF(BZ93=0,0,IF(N(S93)&gt;0,S93,IFERROR(VLOOKUP(D93,Parameter!$A$35:$C$64,3,0)+0,0)))</f>
        <v>0</v>
      </c>
      <c r="CE93" s="48" t="n">
        <f aca="false">IF(AA93&lt;&gt;"",AA93,Z93)</f>
        <v>2</v>
      </c>
      <c r="CF93" s="48" t="str">
        <f aca="false">IF(OR(CE93=1,CE93=2,CE93=3),IF(Parameter!$E$27="Ja","LIFT",IF(CE93=1,"L1","L23")),IF(CE93="Aussen","Aussen","-"))</f>
        <v>LIFT</v>
      </c>
      <c r="CG93" s="59" t="n">
        <f aca="false">IF(N(AB93)&gt;0,AB93,0)</f>
        <v>0</v>
      </c>
      <c r="CH93" s="53" t="n">
        <f aca="false">IF(ISNUMBER(AE93),1,0)</f>
        <v>0</v>
      </c>
      <c r="CI93" s="50" t="n">
        <f aca="false">N(AE93)</f>
        <v>0</v>
      </c>
      <c r="CJ93" s="50" t="n">
        <f aca="false">N(M93)+N(N93)</f>
        <v>10</v>
      </c>
      <c r="CK93" s="50" t="n">
        <f aca="false">N(M93)</f>
        <v>2</v>
      </c>
      <c r="CL93" s="50" t="n">
        <f aca="false">N(N93)</f>
        <v>8</v>
      </c>
      <c r="CM93" s="50" t="n">
        <f aca="false">ROUNDUP(H93/BY93,0)</f>
        <v>1</v>
      </c>
      <c r="CN93" s="50" t="n">
        <f aca="false">ROUNDUP(CI93/BY93,0)</f>
        <v>0</v>
      </c>
      <c r="CO93" s="53" t="n">
        <f aca="false">IF(BZ93=1,0,IFERROR(VLOOKUP(BX93,'Gebinde-Kategorie'!$A$5:$N$45,5,0)+0,0))</f>
        <v>11</v>
      </c>
      <c r="CP93" s="53" t="n">
        <f aca="false">IFERROR(IF(OR(CE93=1,CE93=2,CE93=3),N(INDEX(Parameter!$I$5:$I$7,CE93)),0),0)</f>
        <v>0</v>
      </c>
      <c r="CQ93" s="52" t="n">
        <f aca="false">IF(AND(Parameter!$B$21="Ja",ISNUMBER(W93),N(X93)&gt;0),IFERROR(N(INDEX(Parameter!$L$5:$L$7,W93))*INDEX(Parameter!$E$5:$E$7,W93)*X93/SUMIFS($X$7:$X$1843,$W$7:$W$1843,W93),0),0)</f>
        <v>0</v>
      </c>
    </row>
    <row r="94" customFormat="false" ht="15" hidden="false" customHeight="false" outlineLevel="0" collapsed="false">
      <c r="A94" s="48" t="s">
        <v>408</v>
      </c>
      <c r="B94" s="48" t="s">
        <v>409</v>
      </c>
      <c r="C94" s="48" t="s">
        <v>173</v>
      </c>
      <c r="D94" s="48" t="s">
        <v>193</v>
      </c>
      <c r="E94" s="48" t="s">
        <v>175</v>
      </c>
      <c r="F94" s="48" t="s">
        <v>227</v>
      </c>
      <c r="G94" s="49" t="n">
        <v>29.5</v>
      </c>
      <c r="H94" s="50" t="n">
        <f aca="false">MAX(0,IF(AND(Parameter!$B$21="Ja",ISNUMBER(Y94)),Y94,IF(Parameter!$B$20="Jahresanfang 2025 + Export",BR94+BQ94,BQ94)))</f>
        <v>98</v>
      </c>
      <c r="I94" s="50" t="n">
        <f aca="false">H94*G94</f>
        <v>2891</v>
      </c>
      <c r="J94" s="50" t="n">
        <f aca="false">BT94*Parameter!$B$18</f>
        <v>88</v>
      </c>
      <c r="K94" s="51" t="n">
        <v>11</v>
      </c>
      <c r="L94" s="52" t="n">
        <v>8</v>
      </c>
      <c r="M94" s="50" t="n">
        <v>5</v>
      </c>
      <c r="N94" s="50" t="n">
        <v>90</v>
      </c>
      <c r="O94" s="53" t="n">
        <v>21</v>
      </c>
      <c r="P94" s="48" t="s">
        <v>410</v>
      </c>
      <c r="Q94" s="50" t="n">
        <v>50</v>
      </c>
      <c r="R94" s="53" t="n">
        <f aca="false">IF(BZ94=1,0,IFERROR(VLOOKUP(BX94,'Gebinde-Kategorie'!$A$5:$N$45,13,0)+0,0))</f>
        <v>280</v>
      </c>
      <c r="S94" s="54"/>
      <c r="T94" s="55"/>
      <c r="U94" s="55"/>
      <c r="V94" s="55"/>
      <c r="W94" s="48"/>
      <c r="X94" s="50"/>
      <c r="Y94" s="50"/>
      <c r="Z94" s="48" t="n">
        <f aca="false">IF(A94="","",IF(AND(Parameter!$B$21="Ja",ISNUMBER(W94)),W94,IF(CC94="2+3",IF(ISNUMBER(SEARCH("grosser Artikel",BU94)),2,IFERROR(VLOOKUP(BX94,Parameter!$F$35:$G$64,2,0),2)),IF(OR(CC94="Nein",CC94=""),"-",CC94))))</f>
        <v>1</v>
      </c>
      <c r="AA94" s="55"/>
      <c r="AB94" s="56"/>
      <c r="AC94" s="50" t="n">
        <f aca="false">AV94</f>
        <v>95</v>
      </c>
      <c r="AD94" s="50" t="n">
        <f aca="false">MAX(AV94,H94)</f>
        <v>98</v>
      </c>
      <c r="AE94" s="57"/>
      <c r="AF94" s="50" t="n">
        <f aca="false">IF(LEFT(Cockpit!$C$5,1)="A",H94,IF(Parameter!$E$30="MAX-Bestand",IF(CH94=1,CI94,IF(LEFT(Cockpit!$C$5,1)="B",AL94,MAX(AL94,H94))),ROUNDUP(AJ94,0)))</f>
        <v>98</v>
      </c>
      <c r="AG94" s="50" t="n">
        <f aca="false">IF(BZ94=1,0,ROUNDUP(AF94/BY94,0))</f>
        <v>2</v>
      </c>
      <c r="AH94" s="52" t="n">
        <f aca="false">IF(CQ94&gt;0,CQ94*MAX(1,AF94/X94),IF(BZ94=1,IF(AF94&lt;=0,0,CD94*MAX(1,IF(H94&gt;0,AF94/H94,1))),IF(R94&gt;0,AG94/R94,0))/MAX(0.1,N(Parameter!$M$21)))</f>
        <v>0.00714285714285714</v>
      </c>
      <c r="AI94" s="50" t="n">
        <f aca="false">AH94*CB94</f>
        <v>1.10714285714286</v>
      </c>
      <c r="AJ94" s="51" t="n">
        <f aca="false">IF(LEFT(Cockpit!$C$5,1)="A",H94,IF(CH94=1,(CK94+CI94)/2,IF(LEFT(Cockpit!$C$5,1)="B",(CK94+AL94)/2,MAX((CK94+AL94)/2,H94))))</f>
        <v>98</v>
      </c>
      <c r="AK94" s="50" t="n">
        <f aca="false">AJ94*G94</f>
        <v>2891</v>
      </c>
      <c r="AL94" s="50" t="n">
        <f aca="false">ROUNDUP(CK94+MAX(CL94,2*(J94/IF(CG94&gt;0,CG94,MAX(0.1,N(Cockpit!$C$6)))-CK94)),0)</f>
        <v>95</v>
      </c>
      <c r="AM94" s="51" t="n">
        <f aca="false">IF(AI94&gt;0,J94/AI94,-1)</f>
        <v>79.4838709677419</v>
      </c>
      <c r="AN94" s="51" t="n">
        <f aca="false">IF(AND(OR(CF94="L1",CF94="L23",CF94="LIFT"),AI94&gt;0),SUMIFS($AI$7:$AI$1843,$CF$7:$CF$1843,CF94,$AM$7:$AM$1843,"&gt;"&amp;AM94)+SUMIFS($AI$7:$AI$1843,$CF$7:$CF$1843,CF94,$AM$7:$AM$1843,AM94,$BW$7:$BW$1843,"&lt;="&amp;BW94),"")</f>
        <v>861.447802197802</v>
      </c>
      <c r="AO94" s="58" t="n">
        <f aca="false">IF(AN94="",0,MAX(0,MIN(1,(IF(CF94="L1",Parameter!$H$5,IF(CF94="L23",Parameter!$H$6+Parameter!$H$7,Parameter!$H$5+Parameter!$H$6+Parameter!$H$7))-(AN94-AI94))/AI94)))</f>
        <v>1</v>
      </c>
      <c r="AP94" s="50" t="n">
        <f aca="false">IF(LEFT(Cockpit!$I$5,1)="A",H94,IF(Parameter!$E$30="MAX-Bestand",IF(CH94=1,CI94,IF(LEFT(Cockpit!$I$5,1)="B",AV94,MAX(AV94,H94))),ROUNDUP(AT94,0)))</f>
        <v>98</v>
      </c>
      <c r="AQ94" s="50" t="n">
        <f aca="false">IF(BZ94=1,0,ROUNDUP(AP94/BY94,0))</f>
        <v>2</v>
      </c>
      <c r="AR94" s="52" t="n">
        <f aca="false">IF(CQ94&gt;0,CQ94*MAX(1,AP94/X94),IF(BZ94=1,IF(AP94&lt;=0,0,CD94*MAX(1,IF(H94&gt;0,AP94/H94,1))),IF(R94&gt;0,AQ94/R94,0))/MAX(0.1,N(Parameter!$M$21)))</f>
        <v>0.00714285714285714</v>
      </c>
      <c r="AS94" s="50" t="n">
        <f aca="false">AR94*CB94</f>
        <v>1.10714285714286</v>
      </c>
      <c r="AT94" s="51" t="n">
        <f aca="false">IF(LEFT(Cockpit!$I$5,1)="A",H94,IF(CH94=1,(CK94+CI94)/2,IF(LEFT(Cockpit!$I$5,1)="B",(CK94+AV94)/2,MAX((CK94+AV94)/2,H94))))</f>
        <v>98</v>
      </c>
      <c r="AU94" s="50" t="n">
        <f aca="false">AT94*G94</f>
        <v>2891</v>
      </c>
      <c r="AV94" s="50" t="n">
        <f aca="false">ROUNDUP(CK94+MAX(CL94,2*(J94/IF(CG94&gt;0,CG94,MAX(0.1,N(Cockpit!$I$6)))-CK94)),0)</f>
        <v>95</v>
      </c>
      <c r="AW94" s="51" t="n">
        <f aca="false">IF(AS94&gt;0,J94/AS94,-1)</f>
        <v>79.4838709677419</v>
      </c>
      <c r="AX94" s="51" t="n">
        <f aca="false">IF(AND(OR(CF94="L1",CF94="L23",CF94="LIFT"),AS94&gt;0),SUMIFS($AS$7:$AS$1843,$CF$7:$CF$1843,CF94,$AW$7:$AW$1843,"&gt;"&amp;AW94)+SUMIFS($AS$7:$AS$1843,$CF$7:$CF$1843,CF94,$AW$7:$AW$1843,AW94,$BW$7:$BW$1843,"&lt;="&amp;BW94),"")</f>
        <v>1074.35989010989</v>
      </c>
      <c r="AY94" s="58" t="n">
        <f aca="false">IF(AX94="",0,MAX(0,MIN(1,(IF(CF94="L1",Parameter!$H$5,IF(CF94="L23",Parameter!$H$6+Parameter!$H$7,Parameter!$H$5+Parameter!$H$6+Parameter!$H$7))-(AX94-AS94))/AS94)))</f>
        <v>1</v>
      </c>
      <c r="AZ94" s="50" t="n">
        <f aca="false">IF(LEFT(Cockpit!$O$5,1)="A",H94,IF(Parameter!$E$30="MAX-Bestand",IF(CH94=1,CI94,IF(LEFT(Cockpit!$O$5,1)="B",BF94,MAX(BF94,H94))),ROUNDUP(BD94,0)))</f>
        <v>50</v>
      </c>
      <c r="BA94" s="50" t="n">
        <f aca="false">IF(BZ94=1,0,ROUNDUP(AZ94/BY94,0))</f>
        <v>1</v>
      </c>
      <c r="BB94" s="52" t="n">
        <f aca="false">IF(CQ94&gt;0,CQ94*MAX(1,AZ94/X94),IF(BZ94=1,IF(AZ94&lt;=0,0,CD94*MAX(1,IF(H94&gt;0,AZ94/H94,1))),IF(R94&gt;0,BA94/R94,0))/MAX(0.1,N(Parameter!$M$21)))</f>
        <v>0.00357142857142857</v>
      </c>
      <c r="BC94" s="50" t="n">
        <f aca="false">BB94*CB94</f>
        <v>0.553571428571429</v>
      </c>
      <c r="BD94" s="51" t="n">
        <f aca="false">IF(LEFT(Cockpit!$O$5,1)="A",H94,IF(CH94=1,(CK94+CI94)/2,IF(LEFT(Cockpit!$O$5,1)="B",(CK94+BF94)/2,MAX((CK94+BF94)/2,H94))))</f>
        <v>50</v>
      </c>
      <c r="BE94" s="50" t="n">
        <f aca="false">BD94*G94</f>
        <v>1475</v>
      </c>
      <c r="BF94" s="50" t="n">
        <f aca="false">ROUNDUP(CK94+MAX(CL94,2*(J94/IF(CG94&gt;0,CG94,MAX(0.1,N(Cockpit!$O$6)))-CK94)),0)</f>
        <v>95</v>
      </c>
      <c r="BG94" s="51" t="n">
        <f aca="false">IF(BC94&gt;0,J94/BC94,-1)</f>
        <v>158.967741935484</v>
      </c>
      <c r="BH94" s="51" t="n">
        <f aca="false">IF(AND(OR(CF94="L1",CF94="L23",CF94="LIFT"),BC94&gt;0),SUMIFS($BC$7:$BC$1843,$CF$7:$CF$1843,CF94,$BG$7:$BG$1843,"&gt;"&amp;BG94)+SUMIFS($BC$7:$BC$1843,$CF$7:$CF$1843,CF94,$BG$7:$BG$1843,BG94,$BW$7:$BW$1843,"&lt;="&amp;BW94),"")</f>
        <v>536</v>
      </c>
      <c r="BI94" s="58" t="n">
        <f aca="false">IF(BH94="",0,MAX(0,MIN(1,(IF(CF94="L1",Parameter!$H$5,IF(CF94="L23",Parameter!$H$6+Parameter!$H$7,Parameter!$H$5+Parameter!$H$6+Parameter!$H$7))-(BH94-BC94))/BC94)))</f>
        <v>1</v>
      </c>
      <c r="BJ94" s="48" t="str">
        <f aca="false">IF(AI94&lt;=0,"",IF(CF94="Aussen","Aussenlager",IF(CF94="-","Nicht im Lift",IF(AO94&gt;=1,"Lift",IF(AO94&lt;=0,"Aussenlager","teilweise")))))</f>
        <v>Lift</v>
      </c>
      <c r="BK94" s="48" t="str">
        <f aca="false">IF(AS94&lt;=0,"",IF(CF94="Aussen","Aussenlager",IF(CF94="-","Nicht im Lift",IF(AY94&gt;=1,"Lift",IF(AY94&lt;=0,"Aussenlager","teilweise")))))</f>
        <v>Lift</v>
      </c>
      <c r="BL94" s="48" t="str">
        <f aca="false">IF(BC94&lt;=0,"",IF(CF94="Aussen","Aussenlager",IF(CF94="-","Nicht im Lift",IF(BI94&gt;=1,"Lift",IF(BI94&lt;=0,"Aussenlager","teilweise")))))</f>
        <v>Lift</v>
      </c>
      <c r="BM94" s="48" t="str">
        <f aca="false">IF(A94="","",IF(BV94=1,"Neu; ","")&amp;IF(AND(BV94=0,BQ94&lt;0),"negativer Bestand (Export "&amp;BQ94&amp;"); ","")&amp;IF(J94&lt;=0,"Kein Verbrauch; ","")&amp;IF(CQ94&gt;0,"Lift "&amp;W94&amp;" lt. Liftbericht (Fach "&amp;X94&amp;" Stk); ",IF(CA94=1,"Gebinde geschätzt ("&amp;T94&amp;"); ",IF(BZ94=1,"Lose – Tablare geschätzt; ","")))&amp;IF(H94&gt;AV94,"Überbestand "&amp;ROUND(H94-AV94,0)&amp;" Stk / CHF "&amp;ROUND((H94-AV94)*G94,0)&amp;"; ","")&amp;IF(AND(CH94=1,CI94&lt;CJ94),"MAX &lt; MB+LG; ","")&amp;IF(AND(CP94&gt;0,CO94*10&gt;CP94),"zu hoch für Tablar; ","")&amp;IF(AND(BV94=0,OR(CH94=1,AA94&lt;&gt;"",U94&lt;&gt;"",V94&lt;&gt;"",AB94&lt;&gt;"")),"manuell übersteuert; ","")&amp;IF(AND(BZ94=0,R94=0),"Gebinde unbekannt / Stellmass fehlt; ","")&amp;IF(AND(BZ94=0,N(V94)&lt;=0,N(Q94)&lt;=0),"Menge pro Gebinde fehlt (Ist = 1 Gebinde); ","")&amp;BU94)</f>
        <v>Überbestand 3 Stk / CHF 89; </v>
      </c>
      <c r="BN94" s="48"/>
      <c r="BO94" s="48"/>
      <c r="BP94" s="55"/>
      <c r="BQ94" s="50" t="n">
        <v>83</v>
      </c>
      <c r="BR94" s="50" t="n">
        <v>15</v>
      </c>
      <c r="BS94" s="49" t="n">
        <v>2482.39</v>
      </c>
      <c r="BT94" s="50" t="n">
        <v>88</v>
      </c>
      <c r="BU94" s="48"/>
      <c r="BV94" s="53" t="n">
        <v>0</v>
      </c>
      <c r="BW94" s="53" t="n">
        <v>94</v>
      </c>
      <c r="BX94" s="48" t="str">
        <f aca="false">IF(U94&lt;&gt;"",UPPER(TRIM(U94)),IF(CA94=1,UPPER(VLOOKUP(T94,Parameter!$I$27:$K$29,2,0)),IF(P94="","LOSE",P94)))</f>
        <v>S21</v>
      </c>
      <c r="BY94" s="50" t="n">
        <f aca="false">IF(BX94="LOSE",1,IF(N(V94)&gt;0,V94,IF(CA94=1,MAX(1,N(VLOOKUP(T94,Parameter!$I$27:$K$29,3,0)),H94,N(N94)),IF(N(Q94)&gt;0,Q94,MAX(1,H94)))))</f>
        <v>50</v>
      </c>
      <c r="BZ94" s="53" t="n">
        <f aca="false">IF(BX94="LOSE",1,0)</f>
        <v>0</v>
      </c>
      <c r="CA94" s="53" t="n">
        <f aca="false">IF(AND(U94="",OR(P94="",P94="LOSE"),T94&lt;&gt;"",N(S94)&lt;=0,ISNUMBER(MATCH(T94,Parameter!$I$27:$I$29,0))),1,0)</f>
        <v>0</v>
      </c>
      <c r="CB94" s="53" t="n">
        <f aca="false">IF(CQ94&gt;0,INDEX(Parameter!$H$5:$H$7,W94)/INDEX(Parameter!$E$5:$E$7,W94),IF(AND(BZ94=0,N(IFERROR(VLOOKUP(BX94,'Gebinde-Kategorie'!$A$5:$N$45,14,0),0))&gt;0),VLOOKUP(BX94,'Gebinde-Kategorie'!$A$5:$N$45,14,0)*10+Parameter!$M$23,Parameter!$M$24))</f>
        <v>155</v>
      </c>
      <c r="CC94" s="48" t="n">
        <f aca="false">IF(AND(Parameter!$B$19="Ja",E94&lt;&gt;"",ISNUMBER(MATCH(E94,Parameter!$I$35:$I$52,0))),VLOOKUP(E94,Parameter!$I$35:$J$52,2,0),IFERROR(VLOOKUP(D94,Parameter!$A$35:$C$64,2,0),"Nein"))</f>
        <v>1</v>
      </c>
      <c r="CD94" s="52" t="n">
        <f aca="false">IF(BZ94=0,0,IF(N(S94)&gt;0,S94,IFERROR(VLOOKUP(D94,Parameter!$A$35:$C$64,3,0)+0,0)))</f>
        <v>0</v>
      </c>
      <c r="CE94" s="48" t="n">
        <f aca="false">IF(AA94&lt;&gt;"",AA94,Z94)</f>
        <v>1</v>
      </c>
      <c r="CF94" s="48" t="str">
        <f aca="false">IF(OR(CE94=1,CE94=2,CE94=3),IF(Parameter!$E$27="Ja","LIFT",IF(CE94=1,"L1","L23")),IF(CE94="Aussen","Aussen","-"))</f>
        <v>LIFT</v>
      </c>
      <c r="CG94" s="59" t="n">
        <f aca="false">IF(N(AB94)&gt;0,AB94,0)</f>
        <v>0</v>
      </c>
      <c r="CH94" s="53" t="n">
        <f aca="false">IF(ISNUMBER(AE94),1,0)</f>
        <v>0</v>
      </c>
      <c r="CI94" s="50" t="n">
        <f aca="false">N(AE94)</f>
        <v>0</v>
      </c>
      <c r="CJ94" s="50" t="n">
        <f aca="false">N(M94)+N(N94)</f>
        <v>95</v>
      </c>
      <c r="CK94" s="50" t="n">
        <f aca="false">N(M94)</f>
        <v>5</v>
      </c>
      <c r="CL94" s="50" t="n">
        <f aca="false">N(N94)</f>
        <v>90</v>
      </c>
      <c r="CM94" s="50" t="n">
        <f aca="false">ROUNDUP(H94/BY94,0)</f>
        <v>2</v>
      </c>
      <c r="CN94" s="50" t="n">
        <f aca="false">ROUNDUP(CI94/BY94,0)</f>
        <v>0</v>
      </c>
      <c r="CO94" s="53" t="n">
        <f aca="false">IF(BZ94=1,0,IFERROR(VLOOKUP(BX94,'Gebinde-Kategorie'!$A$5:$N$45,5,0)+0,0))</f>
        <v>8</v>
      </c>
      <c r="CP94" s="53" t="n">
        <f aca="false">IFERROR(IF(OR(CE94=1,CE94=2,CE94=3),N(INDEX(Parameter!$I$5:$I$7,CE94)),0),0)</f>
        <v>0</v>
      </c>
      <c r="CQ94" s="52" t="n">
        <f aca="false">IF(AND(Parameter!$B$21="Ja",ISNUMBER(W94),N(X94)&gt;0),IFERROR(N(INDEX(Parameter!$L$5:$L$7,W94))*INDEX(Parameter!$E$5:$E$7,W94)*X94/SUMIFS($X$7:$X$1843,$W$7:$W$1843,W94),0),0)</f>
        <v>0</v>
      </c>
    </row>
    <row r="95" customFormat="false" ht="15" hidden="false" customHeight="false" outlineLevel="0" collapsed="false">
      <c r="A95" s="48" t="s">
        <v>411</v>
      </c>
      <c r="B95" s="48" t="s">
        <v>412</v>
      </c>
      <c r="C95" s="48" t="s">
        <v>173</v>
      </c>
      <c r="D95" s="48" t="s">
        <v>193</v>
      </c>
      <c r="E95" s="48"/>
      <c r="F95" s="48" t="s">
        <v>227</v>
      </c>
      <c r="G95" s="49" t="n">
        <v>33.76</v>
      </c>
      <c r="H95" s="50" t="n">
        <f aca="false">MAX(0,IF(AND(Parameter!$B$21="Ja",ISNUMBER(Y95)),Y95,IF(Parameter!$B$20="Jahresanfang 2025 + Export",BR95+BQ95,BQ95)))</f>
        <v>72</v>
      </c>
      <c r="I95" s="50" t="n">
        <f aca="false">H95*G95</f>
        <v>2430.72</v>
      </c>
      <c r="J95" s="50" t="n">
        <f aca="false">BT95*Parameter!$B$18</f>
        <v>12</v>
      </c>
      <c r="K95" s="51" t="n">
        <v>40</v>
      </c>
      <c r="L95" s="52" t="n">
        <v>0.3</v>
      </c>
      <c r="M95" s="50" t="n">
        <v>0</v>
      </c>
      <c r="N95" s="50" t="n">
        <v>10</v>
      </c>
      <c r="O95" s="53" t="n">
        <v>21</v>
      </c>
      <c r="P95" s="48" t="s">
        <v>177</v>
      </c>
      <c r="Q95" s="50"/>
      <c r="R95" s="53" t="n">
        <f aca="false">IF(BZ95=1,0,IFERROR(VLOOKUP(BX95,'Gebinde-Kategorie'!$A$5:$N$45,13,0)+0,0))</f>
        <v>26</v>
      </c>
      <c r="S95" s="54"/>
      <c r="T95" s="55" t="s">
        <v>284</v>
      </c>
      <c r="U95" s="55"/>
      <c r="V95" s="55"/>
      <c r="W95" s="48"/>
      <c r="X95" s="50"/>
      <c r="Y95" s="50"/>
      <c r="Z95" s="48" t="n">
        <f aca="false">IF(A95="","",IF(AND(Parameter!$B$21="Ja",ISNUMBER(W95)),W95,IF(CC95="2+3",IF(ISNUMBER(SEARCH("grosser Artikel",BU95)),2,IFERROR(VLOOKUP(BX95,Parameter!$F$35:$G$64,2,0),2)),IF(OR(CC95="Nein",CC95=""),"-",CC95))))</f>
        <v>3</v>
      </c>
      <c r="AA95" s="55"/>
      <c r="AB95" s="56"/>
      <c r="AC95" s="50" t="n">
        <f aca="false">AV95</f>
        <v>10</v>
      </c>
      <c r="AD95" s="50" t="n">
        <f aca="false">MAX(AV95,H95)</f>
        <v>72</v>
      </c>
      <c r="AE95" s="57"/>
      <c r="AF95" s="50" t="n">
        <f aca="false">IF(LEFT(Cockpit!$C$5,1)="A",H95,IF(Parameter!$E$30="MAX-Bestand",IF(CH95=1,CI95,IF(LEFT(Cockpit!$C$5,1)="B",AL95,MAX(AL95,H95))),ROUNDUP(AJ95,0)))</f>
        <v>72</v>
      </c>
      <c r="AG95" s="50" t="n">
        <f aca="false">IF(BZ95=1,0,ROUNDUP(AF95/BY95,0))</f>
        <v>1</v>
      </c>
      <c r="AH95" s="52" t="n">
        <f aca="false">IF(CQ95&gt;0,CQ95*MAX(1,AF95/X95),IF(BZ95=1,IF(AF95&lt;=0,0,CD95*MAX(1,IF(H95&gt;0,AF95/H95,1))),IF(R95&gt;0,AG95/R95,0))/MAX(0.1,N(Parameter!$M$21)))</f>
        <v>0.0384615384615385</v>
      </c>
      <c r="AI95" s="50" t="n">
        <f aca="false">AH95*CB95</f>
        <v>5.96153846153846</v>
      </c>
      <c r="AJ95" s="51" t="n">
        <f aca="false">IF(LEFT(Cockpit!$C$5,1)="A",H95,IF(CH95=1,(CK95+CI95)/2,IF(LEFT(Cockpit!$C$5,1)="B",(CK95+AL95)/2,MAX((CK95+AL95)/2,H95))))</f>
        <v>72</v>
      </c>
      <c r="AK95" s="50" t="n">
        <f aca="false">AJ95*G95</f>
        <v>2430.72</v>
      </c>
      <c r="AL95" s="50" t="n">
        <f aca="false">ROUNDUP(CK95+MAX(CL95,2*(J95/IF(CG95&gt;0,CG95,MAX(0.1,N(Cockpit!$C$6)))-CK95)),0)</f>
        <v>10</v>
      </c>
      <c r="AM95" s="51" t="n">
        <f aca="false">IF(AI95&gt;0,J95/AI95,-1)</f>
        <v>2.01290322580645</v>
      </c>
      <c r="AN95" s="51" t="n">
        <f aca="false">IF(AND(OR(CF95="L1",CF95="L23",CF95="LIFT"),AI95&gt;0),SUMIFS($AI$7:$AI$1843,$CF$7:$CF$1843,CF95,$AM$7:$AM$1843,"&gt;"&amp;AM95)+SUMIFS($AI$7:$AI$1843,$CF$7:$CF$1843,CF95,$AM$7:$AM$1843,AM95,$BW$7:$BW$1843,"&lt;="&amp;BW95),"")</f>
        <v>5756.57097069597</v>
      </c>
      <c r="AO95" s="58" t="n">
        <f aca="false">IF(AN95="",0,MAX(0,MIN(1,(IF(CF95="L1",Parameter!$H$5,IF(CF95="L23",Parameter!$H$6+Parameter!$H$7,Parameter!$H$5+Parameter!$H$6+Parameter!$H$7))-(AN95-AI95))/AI95)))</f>
        <v>1</v>
      </c>
      <c r="AP95" s="50" t="n">
        <f aca="false">IF(LEFT(Cockpit!$I$5,1)="A",H95,IF(Parameter!$E$30="MAX-Bestand",IF(CH95=1,CI95,IF(LEFT(Cockpit!$I$5,1)="B",AV95,MAX(AV95,H95))),ROUNDUP(AT95,0)))</f>
        <v>72</v>
      </c>
      <c r="AQ95" s="50" t="n">
        <f aca="false">IF(BZ95=1,0,ROUNDUP(AP95/BY95,0))</f>
        <v>1</v>
      </c>
      <c r="AR95" s="52" t="n">
        <f aca="false">IF(CQ95&gt;0,CQ95*MAX(1,AP95/X95),IF(BZ95=1,IF(AP95&lt;=0,0,CD95*MAX(1,IF(H95&gt;0,AP95/H95,1))),IF(R95&gt;0,AQ95/R95,0))/MAX(0.1,N(Parameter!$M$21)))</f>
        <v>0.0384615384615385</v>
      </c>
      <c r="AS95" s="50" t="n">
        <f aca="false">AR95*CB95</f>
        <v>5.96153846153846</v>
      </c>
      <c r="AT95" s="51" t="n">
        <f aca="false">IF(LEFT(Cockpit!$I$5,1)="A",H95,IF(CH95=1,(CK95+CI95)/2,IF(LEFT(Cockpit!$I$5,1)="B",(CK95+AV95)/2,MAX((CK95+AV95)/2,H95))))</f>
        <v>72</v>
      </c>
      <c r="AU95" s="50" t="n">
        <f aca="false">AT95*G95</f>
        <v>2430.72</v>
      </c>
      <c r="AV95" s="50" t="n">
        <f aca="false">ROUNDUP(CK95+MAX(CL95,2*(J95/IF(CG95&gt;0,CG95,MAX(0.1,N(Cockpit!$I$6)))-CK95)),0)</f>
        <v>10</v>
      </c>
      <c r="AW95" s="51" t="n">
        <f aca="false">IF(AS95&gt;0,J95/AS95,-1)</f>
        <v>2.01290322580645</v>
      </c>
      <c r="AX95" s="51" t="n">
        <f aca="false">IF(AND(OR(CF95="L1",CF95="L23",CF95="LIFT"),AS95&gt;0),SUMIFS($AS$7:$AS$1843,$CF$7:$CF$1843,CF95,$AW$7:$AW$1843,"&gt;"&amp;AW95)+SUMIFS($AS$7:$AS$1843,$CF$7:$CF$1843,CF95,$AW$7:$AW$1843,AW95,$BW$7:$BW$1843,"&lt;="&amp;BW95),"")</f>
        <v>7124.51053113553</v>
      </c>
      <c r="AY95" s="58" t="n">
        <f aca="false">IF(AX95="",0,MAX(0,MIN(1,(IF(CF95="L1",Parameter!$H$5,IF(CF95="L23",Parameter!$H$6+Parameter!$H$7,Parameter!$H$5+Parameter!$H$6+Parameter!$H$7))-(AX95-AS95))/AS95)))</f>
        <v>1</v>
      </c>
      <c r="AZ95" s="50" t="n">
        <f aca="false">IF(LEFT(Cockpit!$O$5,1)="A",H95,IF(Parameter!$E$30="MAX-Bestand",IF(CH95=1,CI95,IF(LEFT(Cockpit!$O$5,1)="B",BF95,MAX(BF95,H95))),ROUNDUP(BD95,0)))</f>
        <v>5</v>
      </c>
      <c r="BA95" s="50" t="n">
        <f aca="false">IF(BZ95=1,0,ROUNDUP(AZ95/BY95,0))</f>
        <v>1</v>
      </c>
      <c r="BB95" s="52" t="n">
        <f aca="false">IF(CQ95&gt;0,CQ95*MAX(1,AZ95/X95),IF(BZ95=1,IF(AZ95&lt;=0,0,CD95*MAX(1,IF(H95&gt;0,AZ95/H95,1))),IF(R95&gt;0,BA95/R95,0))/MAX(0.1,N(Parameter!$M$21)))</f>
        <v>0.0384615384615385</v>
      </c>
      <c r="BC95" s="50" t="n">
        <f aca="false">BB95*CB95</f>
        <v>5.96153846153846</v>
      </c>
      <c r="BD95" s="51" t="n">
        <f aca="false">IF(LEFT(Cockpit!$O$5,1)="A",H95,IF(CH95=1,(CK95+CI95)/2,IF(LEFT(Cockpit!$O$5,1)="B",(CK95+BF95)/2,MAX((CK95+BF95)/2,H95))))</f>
        <v>5</v>
      </c>
      <c r="BE95" s="50" t="n">
        <f aca="false">BD95*G95</f>
        <v>168.8</v>
      </c>
      <c r="BF95" s="50" t="n">
        <f aca="false">ROUNDUP(CK95+MAX(CL95,2*(J95/IF(CG95&gt;0,CG95,MAX(0.1,N(Cockpit!$O$6)))-CK95)),0)</f>
        <v>10</v>
      </c>
      <c r="BG95" s="51" t="n">
        <f aca="false">IF(BC95&gt;0,J95/BC95,-1)</f>
        <v>2.01290322580645</v>
      </c>
      <c r="BH95" s="51" t="n">
        <f aca="false">IF(AND(OR(CF95="L1",CF95="L23",CF95="LIFT"),BC95&gt;0),SUMIFS($BC$7:$BC$1843,$CF$7:$CF$1843,CF95,$BG$7:$BG$1843,"&gt;"&amp;BG95)+SUMIFS($BC$7:$BC$1843,$CF$7:$CF$1843,CF95,$BG$7:$BG$1843,BG95,$BW$7:$BW$1843,"&lt;="&amp;BW95),"")</f>
        <v>5848.69871794872</v>
      </c>
      <c r="BI95" s="58" t="n">
        <f aca="false">IF(BH95="",0,MAX(0,MIN(1,(IF(CF95="L1",Parameter!$H$5,IF(CF95="L23",Parameter!$H$6+Parameter!$H$7,Parameter!$H$5+Parameter!$H$6+Parameter!$H$7))-(BH95-BC95))/BC95)))</f>
        <v>1</v>
      </c>
      <c r="BJ95" s="48" t="str">
        <f aca="false">IF(AI95&lt;=0,"",IF(CF95="Aussen","Aussenlager",IF(CF95="-","Nicht im Lift",IF(AO95&gt;=1,"Lift",IF(AO95&lt;=0,"Aussenlager","teilweise")))))</f>
        <v>Lift</v>
      </c>
      <c r="BK95" s="48" t="str">
        <f aca="false">IF(AS95&lt;=0,"",IF(CF95="Aussen","Aussenlager",IF(CF95="-","Nicht im Lift",IF(AY95&gt;=1,"Lift",IF(AY95&lt;=0,"Aussenlager","teilweise")))))</f>
        <v>Lift</v>
      </c>
      <c r="BL95" s="48" t="str">
        <f aca="false">IF(BC95&lt;=0,"",IF(CF95="Aussen","Aussenlager",IF(CF95="-","Nicht im Lift",IF(BI95&gt;=1,"Lift",IF(BI95&lt;=0,"Aussenlager","teilweise")))))</f>
        <v>Lift</v>
      </c>
      <c r="BM95" s="48" t="str">
        <f aca="false">IF(A95="","",IF(BV95=1,"Neu; ","")&amp;IF(AND(BV95=0,BQ95&lt;0),"negativer Bestand (Export "&amp;BQ95&amp;"); ","")&amp;IF(J95&lt;=0,"Kein Verbrauch; ","")&amp;IF(CQ95&gt;0,"Lift "&amp;W95&amp;" lt. Liftbericht (Fach "&amp;X95&amp;" Stk); ",IF(CA95=1,"Gebinde geschätzt ("&amp;T95&amp;"); ",IF(BZ95=1,"Lose – Tablare geschätzt; ","")))&amp;IF(H95&gt;AV95,"Überbestand "&amp;ROUND(H95-AV95,0)&amp;" Stk / CHF "&amp;ROUND((H95-AV95)*G95,0)&amp;"; ","")&amp;IF(AND(CH95=1,CI95&lt;CJ95),"MAX &lt; MB+LG; ","")&amp;IF(AND(CP95&gt;0,CO95*10&gt;CP95),"zu hoch für Tablar; ","")&amp;IF(AND(BV95=0,OR(CH95=1,AA95&lt;&gt;"",U95&lt;&gt;"",V95&lt;&gt;"",AB95&lt;&gt;"")),"manuell übersteuert; ","")&amp;IF(AND(BZ95=0,R95=0),"Gebinde unbekannt / Stellmass fehlt; ","")&amp;IF(AND(BZ95=0,N(V95)&lt;=0,N(Q95)&lt;=0),"Menge pro Gebinde fehlt (Ist = 1 Gebinde); ","")&amp;BU95)</f>
        <v>Gebinde geschätzt (Klein); Überbestand 62 Stk / CHF 2093; Menge pro Gebinde fehlt (Ist = 1 Gebinde); </v>
      </c>
      <c r="BN95" s="48"/>
      <c r="BO95" s="48"/>
      <c r="BP95" s="55"/>
      <c r="BQ95" s="50" t="n">
        <v>72</v>
      </c>
      <c r="BR95" s="50" t="n">
        <v>0</v>
      </c>
      <c r="BS95" s="49" t="n">
        <v>2430.72</v>
      </c>
      <c r="BT95" s="50" t="n">
        <v>12</v>
      </c>
      <c r="BU95" s="48"/>
      <c r="BV95" s="53" t="n">
        <v>0</v>
      </c>
      <c r="BW95" s="53" t="n">
        <v>95</v>
      </c>
      <c r="BX95" s="48" t="str">
        <f aca="false">IF(U95&lt;&gt;"",UPPER(TRIM(U95)),IF(CA95=1,UPPER(VLOOKUP(T95,Parameter!$I$27:$K$29,2,0)),IF(P95="","LOSE",P95)))</f>
        <v>S51</v>
      </c>
      <c r="BY95" s="50" t="n">
        <f aca="false">IF(BX95="LOSE",1,IF(N(V95)&gt;0,V95,IF(CA95=1,MAX(1,N(VLOOKUP(T95,Parameter!$I$27:$K$29,3,0)),H95,N(N95)),IF(N(Q95)&gt;0,Q95,MAX(1,H95)))))</f>
        <v>72</v>
      </c>
      <c r="BZ95" s="53" t="n">
        <f aca="false">IF(BX95="LOSE",1,0)</f>
        <v>0</v>
      </c>
      <c r="CA95" s="53" t="n">
        <f aca="false">IF(AND(U95="",OR(P95="",P95="LOSE"),T95&lt;&gt;"",N(S95)&lt;=0,ISNUMBER(MATCH(T95,Parameter!$I$27:$I$29,0))),1,0)</f>
        <v>1</v>
      </c>
      <c r="CB95" s="53" t="n">
        <f aca="false">IF(CQ95&gt;0,INDEX(Parameter!$H$5:$H$7,W95)/INDEX(Parameter!$E$5:$E$7,W95),IF(AND(BZ95=0,N(IFERROR(VLOOKUP(BX95,'Gebinde-Kategorie'!$A$5:$N$45,14,0),0))&gt;0),VLOOKUP(BX95,'Gebinde-Kategorie'!$A$5:$N$45,14,0)*10+Parameter!$M$23,Parameter!$M$24))</f>
        <v>155</v>
      </c>
      <c r="CC95" s="48" t="str">
        <f aca="false">IF(AND(Parameter!$B$19="Ja",E95&lt;&gt;"",ISNUMBER(MATCH(E95,Parameter!$I$35:$I$52,0))),VLOOKUP(E95,Parameter!$I$35:$J$52,2,0),IFERROR(VLOOKUP(D95,Parameter!$A$35:$C$64,2,0),"Nein"))</f>
        <v>2+3</v>
      </c>
      <c r="CD95" s="52" t="n">
        <f aca="false">IF(BZ95=0,0,IF(N(S95)&gt;0,S95,IFERROR(VLOOKUP(D95,Parameter!$A$35:$C$64,3,0)+0,0)))</f>
        <v>0</v>
      </c>
      <c r="CE95" s="48" t="n">
        <f aca="false">IF(AA95&lt;&gt;"",AA95,Z95)</f>
        <v>3</v>
      </c>
      <c r="CF95" s="48" t="str">
        <f aca="false">IF(OR(CE95=1,CE95=2,CE95=3),IF(Parameter!$E$27="Ja","LIFT",IF(CE95=1,"L1","L23")),IF(CE95="Aussen","Aussen","-"))</f>
        <v>LIFT</v>
      </c>
      <c r="CG95" s="59" t="n">
        <f aca="false">IF(N(AB95)&gt;0,AB95,0)</f>
        <v>0</v>
      </c>
      <c r="CH95" s="53" t="n">
        <f aca="false">IF(ISNUMBER(AE95),1,0)</f>
        <v>0</v>
      </c>
      <c r="CI95" s="50" t="n">
        <f aca="false">N(AE95)</f>
        <v>0</v>
      </c>
      <c r="CJ95" s="50" t="n">
        <f aca="false">N(M95)+N(N95)</f>
        <v>10</v>
      </c>
      <c r="CK95" s="50" t="n">
        <f aca="false">N(M95)</f>
        <v>0</v>
      </c>
      <c r="CL95" s="50" t="n">
        <f aca="false">N(N95)</f>
        <v>10</v>
      </c>
      <c r="CM95" s="50" t="n">
        <f aca="false">ROUNDUP(H95/BY95,0)</f>
        <v>1</v>
      </c>
      <c r="CN95" s="50" t="n">
        <f aca="false">ROUNDUP(CI95/BY95,0)</f>
        <v>0</v>
      </c>
      <c r="CO95" s="53" t="n">
        <f aca="false">IF(BZ95=1,0,IFERROR(VLOOKUP(BX95,'Gebinde-Kategorie'!$A$5:$N$45,5,0)+0,0))</f>
        <v>11</v>
      </c>
      <c r="CP95" s="53" t="n">
        <f aca="false">IFERROR(IF(OR(CE95=1,CE95=2,CE95=3),N(INDEX(Parameter!$I$5:$I$7,CE95)),0),0)</f>
        <v>0</v>
      </c>
      <c r="CQ95" s="52" t="n">
        <f aca="false">IF(AND(Parameter!$B$21="Ja",ISNUMBER(W95),N(X95)&gt;0),IFERROR(N(INDEX(Parameter!$L$5:$L$7,W95))*INDEX(Parameter!$E$5:$E$7,W95)*X95/SUMIFS($X$7:$X$1843,$W$7:$W$1843,W95),0),0)</f>
        <v>0</v>
      </c>
    </row>
    <row r="96" customFormat="false" ht="15" hidden="false" customHeight="false" outlineLevel="0" collapsed="false">
      <c r="A96" s="48" t="s">
        <v>413</v>
      </c>
      <c r="B96" s="48" t="s">
        <v>414</v>
      </c>
      <c r="C96" s="48" t="s">
        <v>173</v>
      </c>
      <c r="D96" s="48" t="s">
        <v>182</v>
      </c>
      <c r="E96" s="48" t="s">
        <v>194</v>
      </c>
      <c r="F96" s="48" t="s">
        <v>227</v>
      </c>
      <c r="G96" s="49" t="n">
        <v>1.44</v>
      </c>
      <c r="H96" s="50" t="n">
        <f aca="false">MAX(0,IF(AND(Parameter!$B$21="Ja",ISNUMBER(Y96)),Y96,IF(Parameter!$B$20="Jahresanfang 2025 + Export",BR96+BQ96,BQ96)))</f>
        <v>4252</v>
      </c>
      <c r="I96" s="50" t="n">
        <f aca="false">H96*G96</f>
        <v>6122.88</v>
      </c>
      <c r="J96" s="50" t="n">
        <f aca="false">BT96*Parameter!$B$18</f>
        <v>16871</v>
      </c>
      <c r="K96" s="51" t="n">
        <v>2824.5</v>
      </c>
      <c r="L96" s="52" t="n">
        <v>5.97309258275801</v>
      </c>
      <c r="M96" s="50" t="n">
        <v>1968</v>
      </c>
      <c r="N96" s="50" t="n">
        <v>2000</v>
      </c>
      <c r="O96" s="53" t="n">
        <v>42</v>
      </c>
      <c r="P96" s="48" t="s">
        <v>183</v>
      </c>
      <c r="Q96" s="50"/>
      <c r="R96" s="53" t="n">
        <f aca="false">IF(BZ96=1,0,IFERROR(VLOOKUP(BX96,'Gebinde-Kategorie'!$A$5:$N$45,13,0)+0,0))</f>
        <v>6</v>
      </c>
      <c r="S96" s="54"/>
      <c r="T96" s="55"/>
      <c r="U96" s="55"/>
      <c r="V96" s="55"/>
      <c r="W96" s="48"/>
      <c r="X96" s="50"/>
      <c r="Y96" s="50"/>
      <c r="Z96" s="48" t="n">
        <f aca="false">IF(A96="","",IF(AND(Parameter!$B$21="Ja",ISNUMBER(W96)),W96,IF(CC96="2+3",IF(ISNUMBER(SEARCH("grosser Artikel",BU96)),2,IFERROR(VLOOKUP(BX96,Parameter!$F$35:$G$64,2,0),2)),IF(OR(CC96="Nein",CC96=""),"-",CC96))))</f>
        <v>2</v>
      </c>
      <c r="AA96" s="55"/>
      <c r="AB96" s="56"/>
      <c r="AC96" s="50" t="n">
        <f aca="false">AV96</f>
        <v>9280</v>
      </c>
      <c r="AD96" s="50" t="n">
        <f aca="false">MAX(AV96,H96)</f>
        <v>9280</v>
      </c>
      <c r="AE96" s="57"/>
      <c r="AF96" s="50" t="n">
        <f aca="false">IF(LEFT(Cockpit!$C$5,1)="A",H96,IF(Parameter!$E$30="MAX-Bestand",IF(CH96=1,CI96,IF(LEFT(Cockpit!$C$5,1)="B",AL96,MAX(AL96,H96))),ROUNDUP(AJ96,0)))</f>
        <v>4252</v>
      </c>
      <c r="AG96" s="50" t="n">
        <f aca="false">IF(BZ96=1,0,ROUNDUP(AF96/BY96,0))</f>
        <v>1</v>
      </c>
      <c r="AH96" s="52" t="n">
        <f aca="false">IF(CQ96&gt;0,CQ96*MAX(1,AF96/X96),IF(BZ96=1,IF(AF96&lt;=0,0,CD96*MAX(1,IF(H96&gt;0,AF96/H96,1))),IF(R96&gt;0,AG96/R96,0))/MAX(0.1,N(Parameter!$M$21)))</f>
        <v>0.166666666666667</v>
      </c>
      <c r="AI96" s="50" t="n">
        <f aca="false">AH96*CB96</f>
        <v>39.1666666666667</v>
      </c>
      <c r="AJ96" s="51" t="n">
        <f aca="false">IF(LEFT(Cockpit!$C$5,1)="A",H96,IF(CH96=1,(CK96+CI96)/2,IF(LEFT(Cockpit!$C$5,1)="B",(CK96+AL96)/2,MAX((CK96+AL96)/2,H96))))</f>
        <v>4252</v>
      </c>
      <c r="AK96" s="50" t="n">
        <f aca="false">AJ96*G96</f>
        <v>6122.88</v>
      </c>
      <c r="AL96" s="50" t="n">
        <f aca="false">ROUNDUP(CK96+MAX(CL96,2*(J96/IF(CG96&gt;0,CG96,MAX(0.1,N(Cockpit!$C$6)))-CK96)),0)</f>
        <v>9280</v>
      </c>
      <c r="AM96" s="51" t="n">
        <f aca="false">IF(AI96&gt;0,J96/AI96,-1)</f>
        <v>430.748936170213</v>
      </c>
      <c r="AN96" s="51" t="n">
        <f aca="false">IF(AND(OR(CF96="L1",CF96="L23",CF96="LIFT"),AI96&gt;0),SUMIFS($AI$7:$AI$1843,$CF$7:$CF$1843,CF96,$AM$7:$AM$1843,"&gt;"&amp;AM96)+SUMIFS($AI$7:$AI$1843,$CF$7:$CF$1843,CF96,$AM$7:$AM$1843,AM96,$BW$7:$BW$1843,"&lt;="&amp;BW96),"")</f>
        <v>168.967948717949</v>
      </c>
      <c r="AO96" s="58" t="n">
        <f aca="false">IF(AN96="",0,MAX(0,MIN(1,(IF(CF96="L1",Parameter!$H$5,IF(CF96="L23",Parameter!$H$6+Parameter!$H$7,Parameter!$H$5+Parameter!$H$6+Parameter!$H$7))-(AN96-AI96))/AI96)))</f>
        <v>1</v>
      </c>
      <c r="AP96" s="50" t="n">
        <f aca="false">IF(LEFT(Cockpit!$I$5,1)="A",H96,IF(Parameter!$E$30="MAX-Bestand",IF(CH96=1,CI96,IF(LEFT(Cockpit!$I$5,1)="B",AV96,MAX(AV96,H96))),ROUNDUP(AT96,0)))</f>
        <v>5624</v>
      </c>
      <c r="AQ96" s="50" t="n">
        <f aca="false">IF(BZ96=1,0,ROUNDUP(AP96/BY96,0))</f>
        <v>2</v>
      </c>
      <c r="AR96" s="52" t="n">
        <f aca="false">IF(CQ96&gt;0,CQ96*MAX(1,AP96/X96),IF(BZ96=1,IF(AP96&lt;=0,0,CD96*MAX(1,IF(H96&gt;0,AP96/H96,1))),IF(R96&gt;0,AQ96/R96,0))/MAX(0.1,N(Parameter!$M$21)))</f>
        <v>0.333333333333333</v>
      </c>
      <c r="AS96" s="50" t="n">
        <f aca="false">AR96*CB96</f>
        <v>78.3333333333333</v>
      </c>
      <c r="AT96" s="51" t="n">
        <f aca="false">IF(LEFT(Cockpit!$I$5,1)="A",H96,IF(CH96=1,(CK96+CI96)/2,IF(LEFT(Cockpit!$I$5,1)="B",(CK96+AV96)/2,MAX((CK96+AV96)/2,H96))))</f>
        <v>5624</v>
      </c>
      <c r="AU96" s="50" t="n">
        <f aca="false">AT96*G96</f>
        <v>8098.56</v>
      </c>
      <c r="AV96" s="50" t="n">
        <f aca="false">ROUNDUP(CK96+MAX(CL96,2*(J96/IF(CG96&gt;0,CG96,MAX(0.1,N(Cockpit!$I$6)))-CK96)),0)</f>
        <v>9280</v>
      </c>
      <c r="AW96" s="51" t="n">
        <f aca="false">IF(AS96&gt;0,J96/AS96,-1)</f>
        <v>215.374468085106</v>
      </c>
      <c r="AX96" s="51" t="n">
        <f aca="false">IF(AND(OR(CF96="L1",CF96="L23",CF96="LIFT"),AS96&gt;0),SUMIFS($AS$7:$AS$1843,$CF$7:$CF$1843,CF96,$AW$7:$AW$1843,"&gt;"&amp;AW96)+SUMIFS($AS$7:$AS$1843,$CF$7:$CF$1843,CF96,$AW$7:$AW$1843,AW96,$BW$7:$BW$1843,"&lt;="&amp;BW96),"")</f>
        <v>425.332417582418</v>
      </c>
      <c r="AY96" s="58" t="n">
        <f aca="false">IF(AX96="",0,MAX(0,MIN(1,(IF(CF96="L1",Parameter!$H$5,IF(CF96="L23",Parameter!$H$6+Parameter!$H$7,Parameter!$H$5+Parameter!$H$6+Parameter!$H$7))-(AX96-AS96))/AS96)))</f>
        <v>1</v>
      </c>
      <c r="AZ96" s="50" t="n">
        <f aca="false">IF(LEFT(Cockpit!$O$5,1)="A",H96,IF(Parameter!$E$30="MAX-Bestand",IF(CH96=1,CI96,IF(LEFT(Cockpit!$O$5,1)="B",BF96,MAX(BF96,H96))),ROUNDUP(BD96,0)))</f>
        <v>4218</v>
      </c>
      <c r="BA96" s="50" t="n">
        <f aca="false">IF(BZ96=1,0,ROUNDUP(AZ96/BY96,0))</f>
        <v>1</v>
      </c>
      <c r="BB96" s="52" t="n">
        <f aca="false">IF(CQ96&gt;0,CQ96*MAX(1,AZ96/X96),IF(BZ96=1,IF(AZ96&lt;=0,0,CD96*MAX(1,IF(H96&gt;0,AZ96/H96,1))),IF(R96&gt;0,BA96/R96,0))/MAX(0.1,N(Parameter!$M$21)))</f>
        <v>0.166666666666667</v>
      </c>
      <c r="BC96" s="50" t="n">
        <f aca="false">BB96*CB96</f>
        <v>39.1666666666667</v>
      </c>
      <c r="BD96" s="51" t="n">
        <f aca="false">IF(LEFT(Cockpit!$O$5,1)="A",H96,IF(CH96=1,(CK96+CI96)/2,IF(LEFT(Cockpit!$O$5,1)="B",(CK96+BF96)/2,MAX((CK96+BF96)/2,H96))))</f>
        <v>4218</v>
      </c>
      <c r="BE96" s="50" t="n">
        <f aca="false">BD96*G96</f>
        <v>6073.92</v>
      </c>
      <c r="BF96" s="50" t="n">
        <f aca="false">ROUNDUP(CK96+MAX(CL96,2*(J96/IF(CG96&gt;0,CG96,MAX(0.1,N(Cockpit!$O$6)))-CK96)),0)</f>
        <v>6468</v>
      </c>
      <c r="BG96" s="51" t="n">
        <f aca="false">IF(BC96&gt;0,J96/BC96,-1)</f>
        <v>430.748936170213</v>
      </c>
      <c r="BH96" s="51" t="n">
        <f aca="false">IF(AND(OR(CF96="L1",CF96="L23",CF96="LIFT"),BC96&gt;0),SUMIFS($BC$7:$BC$1843,$CF$7:$CF$1843,CF96,$BG$7:$BG$1843,"&gt;"&amp;BG96)+SUMIFS($BC$7:$BC$1843,$CF$7:$CF$1843,CF96,$BG$7:$BG$1843,BG96,$BW$7:$BW$1843,"&lt;="&amp;BW96),"")</f>
        <v>173.182692307692</v>
      </c>
      <c r="BI96" s="58" t="n">
        <f aca="false">IF(BH96="",0,MAX(0,MIN(1,(IF(CF96="L1",Parameter!$H$5,IF(CF96="L23",Parameter!$H$6+Parameter!$H$7,Parameter!$H$5+Parameter!$H$6+Parameter!$H$7))-(BH96-BC96))/BC96)))</f>
        <v>1</v>
      </c>
      <c r="BJ96" s="48" t="str">
        <f aca="false">IF(AI96&lt;=0,"",IF(CF96="Aussen","Aussenlager",IF(CF96="-","Nicht im Lift",IF(AO96&gt;=1,"Lift",IF(AO96&lt;=0,"Aussenlager","teilweise")))))</f>
        <v>Lift</v>
      </c>
      <c r="BK96" s="48" t="str">
        <f aca="false">IF(AS96&lt;=0,"",IF(CF96="Aussen","Aussenlager",IF(CF96="-","Nicht im Lift",IF(AY96&gt;=1,"Lift",IF(AY96&lt;=0,"Aussenlager","teilweise")))))</f>
        <v>Lift</v>
      </c>
      <c r="BL96" s="48" t="str">
        <f aca="false">IF(BC96&lt;=0,"",IF(CF96="Aussen","Aussenlager",IF(CF96="-","Nicht im Lift",IF(BI96&gt;=1,"Lift",IF(BI96&lt;=0,"Aussenlager","teilweise")))))</f>
        <v>Lift</v>
      </c>
      <c r="BM96" s="48" t="str">
        <f aca="false">IF(A96="","",IF(BV96=1,"Neu; ","")&amp;IF(AND(BV96=0,BQ96&lt;0),"negativer Bestand (Export "&amp;BQ96&amp;"); ","")&amp;IF(J96&lt;=0,"Kein Verbrauch; ","")&amp;IF(CQ96&gt;0,"Lift "&amp;W96&amp;" lt. Liftbericht (Fach "&amp;X96&amp;" Stk); ",IF(CA96=1,"Gebinde geschätzt ("&amp;T96&amp;"); ",IF(BZ96=1,"Lose – Tablare geschätzt; ","")))&amp;IF(H96&gt;AV96,"Überbestand "&amp;ROUND(H96-AV96,0)&amp;" Stk / CHF "&amp;ROUND((H96-AV96)*G96,0)&amp;"; ","")&amp;IF(AND(CH96=1,CI96&lt;CJ96),"MAX &lt; MB+LG; ","")&amp;IF(AND(CP96&gt;0,CO96*10&gt;CP96),"zu hoch für Tablar; ","")&amp;IF(AND(BV96=0,OR(CH96=1,AA96&lt;&gt;"",U96&lt;&gt;"",V96&lt;&gt;"",AB96&lt;&gt;"")),"manuell übersteuert; ","")&amp;IF(AND(BZ96=0,R96=0),"Gebinde unbekannt / Stellmass fehlt; ","")&amp;IF(AND(BZ96=0,N(V96)&lt;=0,N(Q96)&lt;=0),"Menge pro Gebinde fehlt (Ist = 1 Gebinde); ","")&amp;BU96)</f>
        <v>Menge pro Gebinde fehlt (Ist = 1 Gebinde); grosser Artikel &amp; nicht im KTL</v>
      </c>
      <c r="BN96" s="48"/>
      <c r="BO96" s="48"/>
      <c r="BP96" s="55"/>
      <c r="BQ96" s="50" t="n">
        <v>1628</v>
      </c>
      <c r="BR96" s="50" t="n">
        <v>2624</v>
      </c>
      <c r="BS96" s="49" t="n">
        <v>2421.60000000001</v>
      </c>
      <c r="BT96" s="50" t="n">
        <v>16871</v>
      </c>
      <c r="BU96" s="48" t="s">
        <v>270</v>
      </c>
      <c r="BV96" s="53" t="n">
        <v>0</v>
      </c>
      <c r="BW96" s="53" t="n">
        <v>96</v>
      </c>
      <c r="BX96" s="48" t="str">
        <f aca="false">IF(U96&lt;&gt;"",UPPER(TRIM(U96)),IF(CA96=1,UPPER(VLOOKUP(T96,Parameter!$I$27:$K$29,2,0)),IF(P96="","LOSE",P96)))</f>
        <v>S71</v>
      </c>
      <c r="BY96" s="50" t="n">
        <f aca="false">IF(BX96="LOSE",1,IF(N(V96)&gt;0,V96,IF(CA96=1,MAX(1,N(VLOOKUP(T96,Parameter!$I$27:$K$29,3,0)),H96,N(N96)),IF(N(Q96)&gt;0,Q96,MAX(1,H96)))))</f>
        <v>4252</v>
      </c>
      <c r="BZ96" s="53" t="n">
        <f aca="false">IF(BX96="LOSE",1,0)</f>
        <v>0</v>
      </c>
      <c r="CA96" s="53" t="n">
        <f aca="false">IF(AND(U96="",OR(P96="",P96="LOSE"),T96&lt;&gt;"",N(S96)&lt;=0,ISNUMBER(MATCH(T96,Parameter!$I$27:$I$29,0))),1,0)</f>
        <v>0</v>
      </c>
      <c r="CB96" s="53" t="n">
        <f aca="false">IF(CQ96&gt;0,INDEX(Parameter!$H$5:$H$7,W96)/INDEX(Parameter!$E$5:$E$7,W96),IF(AND(BZ96=0,N(IFERROR(VLOOKUP(BX96,'Gebinde-Kategorie'!$A$5:$N$45,14,0),0))&gt;0),VLOOKUP(BX96,'Gebinde-Kategorie'!$A$5:$N$45,14,0)*10+Parameter!$M$23,Parameter!$M$24))</f>
        <v>235</v>
      </c>
      <c r="CC96" s="48" t="str">
        <f aca="false">IF(AND(Parameter!$B$19="Ja",E96&lt;&gt;"",ISNUMBER(MATCH(E96,Parameter!$I$35:$I$52,0))),VLOOKUP(E96,Parameter!$I$35:$J$52,2,0),IFERROR(VLOOKUP(D96,Parameter!$A$35:$C$64,2,0),"Nein"))</f>
        <v>2+3</v>
      </c>
      <c r="CD96" s="52" t="n">
        <f aca="false">IF(BZ96=0,0,IF(N(S96)&gt;0,S96,IFERROR(VLOOKUP(D96,Parameter!$A$35:$C$64,3,0)+0,0)))</f>
        <v>0</v>
      </c>
      <c r="CE96" s="48" t="n">
        <f aca="false">IF(AA96&lt;&gt;"",AA96,Z96)</f>
        <v>2</v>
      </c>
      <c r="CF96" s="48" t="str">
        <f aca="false">IF(OR(CE96=1,CE96=2,CE96=3),IF(Parameter!$E$27="Ja","LIFT",IF(CE96=1,"L1","L23")),IF(CE96="Aussen","Aussen","-"))</f>
        <v>LIFT</v>
      </c>
      <c r="CG96" s="59" t="n">
        <f aca="false">IF(N(AB96)&gt;0,AB96,0)</f>
        <v>0</v>
      </c>
      <c r="CH96" s="53" t="n">
        <f aca="false">IF(ISNUMBER(AE96),1,0)</f>
        <v>0</v>
      </c>
      <c r="CI96" s="50" t="n">
        <f aca="false">N(AE96)</f>
        <v>0</v>
      </c>
      <c r="CJ96" s="50" t="n">
        <f aca="false">N(M96)+N(N96)</f>
        <v>3968</v>
      </c>
      <c r="CK96" s="50" t="n">
        <f aca="false">N(M96)</f>
        <v>1968</v>
      </c>
      <c r="CL96" s="50" t="n">
        <f aca="false">N(N96)</f>
        <v>2000</v>
      </c>
      <c r="CM96" s="50" t="n">
        <f aca="false">ROUNDUP(H96/BY96,0)</f>
        <v>1</v>
      </c>
      <c r="CN96" s="50" t="n">
        <f aca="false">ROUNDUP(CI96/BY96,0)</f>
        <v>0</v>
      </c>
      <c r="CO96" s="53" t="n">
        <f aca="false">IF(BZ96=1,0,IFERROR(VLOOKUP(BX96,'Gebinde-Kategorie'!$A$5:$N$45,5,0)+0,0))</f>
        <v>20</v>
      </c>
      <c r="CP96" s="53" t="n">
        <f aca="false">IFERROR(IF(OR(CE96=1,CE96=2,CE96=3),N(INDEX(Parameter!$I$5:$I$7,CE96)),0),0)</f>
        <v>0</v>
      </c>
      <c r="CQ96" s="52" t="n">
        <f aca="false">IF(AND(Parameter!$B$21="Ja",ISNUMBER(W96),N(X96)&gt;0),IFERROR(N(INDEX(Parameter!$L$5:$L$7,W96))*INDEX(Parameter!$E$5:$E$7,W96)*X96/SUMIFS($X$7:$X$1843,$W$7:$W$1843,W96),0),0)</f>
        <v>0</v>
      </c>
    </row>
    <row r="97" customFormat="false" ht="15" hidden="false" customHeight="false" outlineLevel="0" collapsed="false">
      <c r="A97" s="48" t="s">
        <v>415</v>
      </c>
      <c r="B97" s="48" t="s">
        <v>416</v>
      </c>
      <c r="C97" s="48" t="s">
        <v>173</v>
      </c>
      <c r="D97" s="48" t="s">
        <v>193</v>
      </c>
      <c r="E97" s="48" t="s">
        <v>194</v>
      </c>
      <c r="F97" s="48" t="s">
        <v>227</v>
      </c>
      <c r="G97" s="49" t="n">
        <v>0.7</v>
      </c>
      <c r="H97" s="50" t="n">
        <f aca="false">MAX(0,IF(AND(Parameter!$B$21="Ja",ISNUMBER(Y97)),Y97,IF(Parameter!$B$20="Jahresanfang 2025 + Export",BR97+BQ97,BQ97)))</f>
        <v>8796</v>
      </c>
      <c r="I97" s="50" t="n">
        <f aca="false">H97*G97</f>
        <v>6157.2</v>
      </c>
      <c r="J97" s="50" t="n">
        <f aca="false">BT97*Parameter!$B$18</f>
        <v>7575</v>
      </c>
      <c r="K97" s="51" t="n">
        <v>4450</v>
      </c>
      <c r="L97" s="52" t="n">
        <v>1.70224719101124</v>
      </c>
      <c r="M97" s="50" t="n">
        <v>850</v>
      </c>
      <c r="N97" s="50" t="n">
        <v>2000</v>
      </c>
      <c r="O97" s="53" t="n">
        <v>147</v>
      </c>
      <c r="P97" s="48" t="s">
        <v>235</v>
      </c>
      <c r="Q97" s="50" t="n">
        <v>6979</v>
      </c>
      <c r="R97" s="53" t="n">
        <f aca="false">IF(BZ97=1,0,IFERROR(VLOOKUP(BX97,'Gebinde-Kategorie'!$A$5:$N$45,13,0)+0,0))</f>
        <v>12</v>
      </c>
      <c r="S97" s="54"/>
      <c r="T97" s="55"/>
      <c r="U97" s="55"/>
      <c r="V97" s="55"/>
      <c r="W97" s="48"/>
      <c r="X97" s="50"/>
      <c r="Y97" s="50"/>
      <c r="Z97" s="48" t="n">
        <f aca="false">IF(A97="","",IF(AND(Parameter!$B$21="Ja",ISNUMBER(W97)),W97,IF(CC97="2+3",IF(ISNUMBER(SEARCH("grosser Artikel",BU97)),2,IFERROR(VLOOKUP(BX97,Parameter!$F$35:$G$64,2,0),2)),IF(OR(CC97="Nein",CC97=""),"-",CC97))))</f>
        <v>2</v>
      </c>
      <c r="AA97" s="55"/>
      <c r="AB97" s="56"/>
      <c r="AC97" s="50" t="n">
        <f aca="false">AV97</f>
        <v>4200</v>
      </c>
      <c r="AD97" s="50" t="n">
        <f aca="false">MAX(AV97,H97)</f>
        <v>8796</v>
      </c>
      <c r="AE97" s="57"/>
      <c r="AF97" s="50" t="n">
        <f aca="false">IF(LEFT(Cockpit!$C$5,1)="A",H97,IF(Parameter!$E$30="MAX-Bestand",IF(CH97=1,CI97,IF(LEFT(Cockpit!$C$5,1)="B",AL97,MAX(AL97,H97))),ROUNDUP(AJ97,0)))</f>
        <v>8796</v>
      </c>
      <c r="AG97" s="50" t="n">
        <f aca="false">IF(BZ97=1,0,ROUNDUP(AF97/BY97,0))</f>
        <v>2</v>
      </c>
      <c r="AH97" s="52" t="n">
        <f aca="false">IF(CQ97&gt;0,CQ97*MAX(1,AF97/X97),IF(BZ97=1,IF(AF97&lt;=0,0,CD97*MAX(1,IF(H97&gt;0,AF97/H97,1))),IF(R97&gt;0,AG97/R97,0))/MAX(0.1,N(Parameter!$M$21)))</f>
        <v>0.166666666666667</v>
      </c>
      <c r="AI97" s="50" t="n">
        <f aca="false">AH97*CB97</f>
        <v>57.5</v>
      </c>
      <c r="AJ97" s="51" t="n">
        <f aca="false">IF(LEFT(Cockpit!$C$5,1)="A",H97,IF(CH97=1,(CK97+CI97)/2,IF(LEFT(Cockpit!$C$5,1)="B",(CK97+AL97)/2,MAX((CK97+AL97)/2,H97))))</f>
        <v>8796</v>
      </c>
      <c r="AK97" s="50" t="n">
        <f aca="false">AJ97*G97</f>
        <v>6157.2</v>
      </c>
      <c r="AL97" s="50" t="n">
        <f aca="false">ROUNDUP(CK97+MAX(CL97,2*(J97/IF(CG97&gt;0,CG97,MAX(0.1,N(Cockpit!$C$6)))-CK97)),0)</f>
        <v>4200</v>
      </c>
      <c r="AM97" s="51" t="n">
        <f aca="false">IF(AI97&gt;0,J97/AI97,-1)</f>
        <v>131.739130434783</v>
      </c>
      <c r="AN97" s="51" t="n">
        <f aca="false">IF(AND(OR(CF97="L1",CF97="L23",CF97="LIFT"),AI97&gt;0),SUMIFS($AI$7:$AI$1843,$CF$7:$CF$1843,CF97,$AM$7:$AM$1843,"&gt;"&amp;AM97)+SUMIFS($AI$7:$AI$1843,$CF$7:$CF$1843,CF97,$AM$7:$AM$1843,AM97,$BW$7:$BW$1843,"&lt;="&amp;BW97),"")</f>
        <v>606.298534798535</v>
      </c>
      <c r="AO97" s="58" t="n">
        <f aca="false">IF(AN97="",0,MAX(0,MIN(1,(IF(CF97="L1",Parameter!$H$5,IF(CF97="L23",Parameter!$H$6+Parameter!$H$7,Parameter!$H$5+Parameter!$H$6+Parameter!$H$7))-(AN97-AI97))/AI97)))</f>
        <v>1</v>
      </c>
      <c r="AP97" s="50" t="n">
        <f aca="false">IF(LEFT(Cockpit!$I$5,1)="A",H97,IF(Parameter!$E$30="MAX-Bestand",IF(CH97=1,CI97,IF(LEFT(Cockpit!$I$5,1)="B",AV97,MAX(AV97,H97))),ROUNDUP(AT97,0)))</f>
        <v>8796</v>
      </c>
      <c r="AQ97" s="50" t="n">
        <f aca="false">IF(BZ97=1,0,ROUNDUP(AP97/BY97,0))</f>
        <v>2</v>
      </c>
      <c r="AR97" s="52" t="n">
        <f aca="false">IF(CQ97&gt;0,CQ97*MAX(1,AP97/X97),IF(BZ97=1,IF(AP97&lt;=0,0,CD97*MAX(1,IF(H97&gt;0,AP97/H97,1))),IF(R97&gt;0,AQ97/R97,0))/MAX(0.1,N(Parameter!$M$21)))</f>
        <v>0.166666666666667</v>
      </c>
      <c r="AS97" s="50" t="n">
        <f aca="false">AR97*CB97</f>
        <v>57.5</v>
      </c>
      <c r="AT97" s="51" t="n">
        <f aca="false">IF(LEFT(Cockpit!$I$5,1)="A",H97,IF(CH97=1,(CK97+CI97)/2,IF(LEFT(Cockpit!$I$5,1)="B",(CK97+AV97)/2,MAX((CK97+AV97)/2,H97))))</f>
        <v>8796</v>
      </c>
      <c r="AU97" s="50" t="n">
        <f aca="false">AT97*G97</f>
        <v>6157.2</v>
      </c>
      <c r="AV97" s="50" t="n">
        <f aca="false">ROUNDUP(CK97+MAX(CL97,2*(J97/IF(CG97&gt;0,CG97,MAX(0.1,N(Cockpit!$I$6)))-CK97)),0)</f>
        <v>4200</v>
      </c>
      <c r="AW97" s="51" t="n">
        <f aca="false">IF(AS97&gt;0,J97/AS97,-1)</f>
        <v>131.739130434783</v>
      </c>
      <c r="AX97" s="51" t="n">
        <f aca="false">IF(AND(OR(CF97="L1",CF97="L23",CF97="LIFT"),AS97&gt;0),SUMIFS($AS$7:$AS$1843,$CF$7:$CF$1843,CF97,$AW$7:$AW$1843,"&gt;"&amp;AW97)+SUMIFS($AS$7:$AS$1843,$CF$7:$CF$1843,CF97,$AW$7:$AW$1843,AW97,$BW$7:$BW$1843,"&lt;="&amp;BW97),"")</f>
        <v>723.93543956044</v>
      </c>
      <c r="AY97" s="58" t="n">
        <f aca="false">IF(AX97="",0,MAX(0,MIN(1,(IF(CF97="L1",Parameter!$H$5,IF(CF97="L23",Parameter!$H$6+Parameter!$H$7,Parameter!$H$5+Parameter!$H$6+Parameter!$H$7))-(AX97-AS97))/AS97)))</f>
        <v>1</v>
      </c>
      <c r="AZ97" s="50" t="n">
        <f aca="false">IF(LEFT(Cockpit!$O$5,1)="A",H97,IF(Parameter!$E$30="MAX-Bestand",IF(CH97=1,CI97,IF(LEFT(Cockpit!$O$5,1)="B",BF97,MAX(BF97,H97))),ROUNDUP(BD97,0)))</f>
        <v>1894</v>
      </c>
      <c r="BA97" s="50" t="n">
        <f aca="false">IF(BZ97=1,0,ROUNDUP(AZ97/BY97,0))</f>
        <v>1</v>
      </c>
      <c r="BB97" s="52" t="n">
        <f aca="false">IF(CQ97&gt;0,CQ97*MAX(1,AZ97/X97),IF(BZ97=1,IF(AZ97&lt;=0,0,CD97*MAX(1,IF(H97&gt;0,AZ97/H97,1))),IF(R97&gt;0,BA97/R97,0))/MAX(0.1,N(Parameter!$M$21)))</f>
        <v>0.0833333333333333</v>
      </c>
      <c r="BC97" s="50" t="n">
        <f aca="false">BB97*CB97</f>
        <v>28.75</v>
      </c>
      <c r="BD97" s="51" t="n">
        <f aca="false">IF(LEFT(Cockpit!$O$5,1)="A",H97,IF(CH97=1,(CK97+CI97)/2,IF(LEFT(Cockpit!$O$5,1)="B",(CK97+BF97)/2,MAX((CK97+BF97)/2,H97))))</f>
        <v>1894</v>
      </c>
      <c r="BE97" s="50" t="n">
        <f aca="false">BD97*G97</f>
        <v>1325.8</v>
      </c>
      <c r="BF97" s="50" t="n">
        <f aca="false">ROUNDUP(CK97+MAX(CL97,2*(J97/IF(CG97&gt;0,CG97,MAX(0.1,N(Cockpit!$O$6)))-CK97)),0)</f>
        <v>2938</v>
      </c>
      <c r="BG97" s="51" t="n">
        <f aca="false">IF(BC97&gt;0,J97/BC97,-1)</f>
        <v>263.478260869565</v>
      </c>
      <c r="BH97" s="51" t="n">
        <f aca="false">IF(AND(OR(CF97="L1",CF97="L23",CF97="LIFT"),BC97&gt;0),SUMIFS($BC$7:$BC$1843,$CF$7:$CF$1843,CF97,$BG$7:$BG$1843,"&gt;"&amp;BG97)+SUMIFS($BC$7:$BC$1843,$CF$7:$CF$1843,CF97,$BG$7:$BG$1843,BG97,$BW$7:$BW$1843,"&lt;="&amp;BW97),"")</f>
        <v>300.342490842491</v>
      </c>
      <c r="BI97" s="58" t="n">
        <f aca="false">IF(BH97="",0,MAX(0,MIN(1,(IF(CF97="L1",Parameter!$H$5,IF(CF97="L23",Parameter!$H$6+Parameter!$H$7,Parameter!$H$5+Parameter!$H$6+Parameter!$H$7))-(BH97-BC97))/BC97)))</f>
        <v>1</v>
      </c>
      <c r="BJ97" s="48" t="str">
        <f aca="false">IF(AI97&lt;=0,"",IF(CF97="Aussen","Aussenlager",IF(CF97="-","Nicht im Lift",IF(AO97&gt;=1,"Lift",IF(AO97&lt;=0,"Aussenlager","teilweise")))))</f>
        <v>Lift</v>
      </c>
      <c r="BK97" s="48" t="str">
        <f aca="false">IF(AS97&lt;=0,"",IF(CF97="Aussen","Aussenlager",IF(CF97="-","Nicht im Lift",IF(AY97&gt;=1,"Lift",IF(AY97&lt;=0,"Aussenlager","teilweise")))))</f>
        <v>Lift</v>
      </c>
      <c r="BL97" s="48" t="str">
        <f aca="false">IF(BC97&lt;=0,"",IF(CF97="Aussen","Aussenlager",IF(CF97="-","Nicht im Lift",IF(BI97&gt;=1,"Lift",IF(BI97&lt;=0,"Aussenlager","teilweise")))))</f>
        <v>Lift</v>
      </c>
      <c r="BM97" s="48" t="str">
        <f aca="false">IF(A97="","",IF(BV97=1,"Neu; ","")&amp;IF(AND(BV97=0,BQ97&lt;0),"negativer Bestand (Export "&amp;BQ97&amp;"); ","")&amp;IF(J97&lt;=0,"Kein Verbrauch; ","")&amp;IF(CQ97&gt;0,"Lift "&amp;W97&amp;" lt. Liftbericht (Fach "&amp;X97&amp;" Stk); ",IF(CA97=1,"Gebinde geschätzt ("&amp;T97&amp;"); ",IF(BZ97=1,"Lose – Tablare geschätzt; ","")))&amp;IF(H97&gt;AV97,"Überbestand "&amp;ROUND(H97-AV97,0)&amp;" Stk / CHF "&amp;ROUND((H97-AV97)*G97,0)&amp;"; ","")&amp;IF(AND(CH97=1,CI97&lt;CJ97),"MAX &lt; MB+LG; ","")&amp;IF(AND(CP97&gt;0,CO97*10&gt;CP97),"zu hoch für Tablar; ","")&amp;IF(AND(BV97=0,OR(CH97=1,AA97&lt;&gt;"",U97&lt;&gt;"",V97&lt;&gt;"",AB97&lt;&gt;"")),"manuell übersteuert; ","")&amp;IF(AND(BZ97=0,R97=0),"Gebinde unbekannt / Stellmass fehlt; ","")&amp;IF(AND(BZ97=0,N(V97)&lt;=0,N(Q97)&lt;=0),"Menge pro Gebinde fehlt (Ist = 1 Gebinde); ","")&amp;BU97)</f>
        <v>Überbestand 4596 Stk / CHF 3217; </v>
      </c>
      <c r="BN97" s="48"/>
      <c r="BO97" s="48"/>
      <c r="BP97" s="55"/>
      <c r="BQ97" s="50" t="n">
        <v>2568</v>
      </c>
      <c r="BR97" s="50" t="n">
        <v>6228</v>
      </c>
      <c r="BS97" s="49" t="n">
        <v>2416.7</v>
      </c>
      <c r="BT97" s="50" t="n">
        <v>7575</v>
      </c>
      <c r="BU97" s="48"/>
      <c r="BV97" s="53" t="n">
        <v>0</v>
      </c>
      <c r="BW97" s="53" t="n">
        <v>97</v>
      </c>
      <c r="BX97" s="48" t="str">
        <f aca="false">IF(U97&lt;&gt;"",UPPER(TRIM(U97)),IF(CA97=1,UPPER(VLOOKUP(T97,Parameter!$I$27:$K$29,2,0)),IF(P97="","LOSE",P97)))</f>
        <v>S63</v>
      </c>
      <c r="BY97" s="50" t="n">
        <f aca="false">IF(BX97="LOSE",1,IF(N(V97)&gt;0,V97,IF(CA97=1,MAX(1,N(VLOOKUP(T97,Parameter!$I$27:$K$29,3,0)),H97,N(N97)),IF(N(Q97)&gt;0,Q97,MAX(1,H97)))))</f>
        <v>6979</v>
      </c>
      <c r="BZ97" s="53" t="n">
        <f aca="false">IF(BX97="LOSE",1,0)</f>
        <v>0</v>
      </c>
      <c r="CA97" s="53" t="n">
        <f aca="false">IF(AND(U97="",OR(P97="",P97="LOSE"),T97&lt;&gt;"",N(S97)&lt;=0,ISNUMBER(MATCH(T97,Parameter!$I$27:$I$29,0))),1,0)</f>
        <v>0</v>
      </c>
      <c r="CB97" s="53" t="n">
        <f aca="false">IF(CQ97&gt;0,INDEX(Parameter!$H$5:$H$7,W97)/INDEX(Parameter!$E$5:$E$7,W97),IF(AND(BZ97=0,N(IFERROR(VLOOKUP(BX97,'Gebinde-Kategorie'!$A$5:$N$45,14,0),0))&gt;0),VLOOKUP(BX97,'Gebinde-Kategorie'!$A$5:$N$45,14,0)*10+Parameter!$M$23,Parameter!$M$24))</f>
        <v>345</v>
      </c>
      <c r="CC97" s="48" t="str">
        <f aca="false">IF(AND(Parameter!$B$19="Ja",E97&lt;&gt;"",ISNUMBER(MATCH(E97,Parameter!$I$35:$I$52,0))),VLOOKUP(E97,Parameter!$I$35:$J$52,2,0),IFERROR(VLOOKUP(D97,Parameter!$A$35:$C$64,2,0),"Nein"))</f>
        <v>2+3</v>
      </c>
      <c r="CD97" s="52" t="n">
        <f aca="false">IF(BZ97=0,0,IF(N(S97)&gt;0,S97,IFERROR(VLOOKUP(D97,Parameter!$A$35:$C$64,3,0)+0,0)))</f>
        <v>0</v>
      </c>
      <c r="CE97" s="48" t="n">
        <f aca="false">IF(AA97&lt;&gt;"",AA97,Z97)</f>
        <v>2</v>
      </c>
      <c r="CF97" s="48" t="str">
        <f aca="false">IF(OR(CE97=1,CE97=2,CE97=3),IF(Parameter!$E$27="Ja","LIFT",IF(CE97=1,"L1","L23")),IF(CE97="Aussen","Aussen","-"))</f>
        <v>LIFT</v>
      </c>
      <c r="CG97" s="59" t="n">
        <f aca="false">IF(N(AB97)&gt;0,AB97,0)</f>
        <v>0</v>
      </c>
      <c r="CH97" s="53" t="n">
        <f aca="false">IF(ISNUMBER(AE97),1,0)</f>
        <v>0</v>
      </c>
      <c r="CI97" s="50" t="n">
        <f aca="false">N(AE97)</f>
        <v>0</v>
      </c>
      <c r="CJ97" s="50" t="n">
        <f aca="false">N(M97)+N(N97)</f>
        <v>2850</v>
      </c>
      <c r="CK97" s="50" t="n">
        <f aca="false">N(M97)</f>
        <v>850</v>
      </c>
      <c r="CL97" s="50" t="n">
        <f aca="false">N(N97)</f>
        <v>2000</v>
      </c>
      <c r="CM97" s="50" t="n">
        <f aca="false">ROUNDUP(H97/BY97,0)</f>
        <v>2</v>
      </c>
      <c r="CN97" s="50" t="n">
        <f aca="false">ROUNDUP(CI97/BY97,0)</f>
        <v>0</v>
      </c>
      <c r="CO97" s="53" t="n">
        <f aca="false">IF(BZ97=1,0,IFERROR(VLOOKUP(BX97,'Gebinde-Kategorie'!$A$5:$N$45,5,0)+0,0))</f>
        <v>31</v>
      </c>
      <c r="CP97" s="53" t="n">
        <f aca="false">IFERROR(IF(OR(CE97=1,CE97=2,CE97=3),N(INDEX(Parameter!$I$5:$I$7,CE97)),0),0)</f>
        <v>0</v>
      </c>
      <c r="CQ97" s="52" t="n">
        <f aca="false">IF(AND(Parameter!$B$21="Ja",ISNUMBER(W97),N(X97)&gt;0),IFERROR(N(INDEX(Parameter!$L$5:$L$7,W97))*INDEX(Parameter!$E$5:$E$7,W97)*X97/SUMIFS($X$7:$X$1843,$W$7:$W$1843,W97),0),0)</f>
        <v>0</v>
      </c>
    </row>
    <row r="98" customFormat="false" ht="15" hidden="false" customHeight="false" outlineLevel="0" collapsed="false">
      <c r="A98" s="48" t="s">
        <v>417</v>
      </c>
      <c r="B98" s="48" t="s">
        <v>418</v>
      </c>
      <c r="C98" s="48" t="s">
        <v>173</v>
      </c>
      <c r="D98" s="48" t="s">
        <v>193</v>
      </c>
      <c r="E98" s="48" t="s">
        <v>194</v>
      </c>
      <c r="F98" s="48" t="s">
        <v>227</v>
      </c>
      <c r="G98" s="49" t="n">
        <v>63</v>
      </c>
      <c r="H98" s="50" t="n">
        <f aca="false">MAX(0,IF(AND(Parameter!$B$21="Ja",ISNUMBER(Y98)),Y98,IF(Parameter!$B$20="Jahresanfang 2025 + Export",BR98+BQ98,BQ98)))</f>
        <v>51</v>
      </c>
      <c r="I98" s="50" t="n">
        <f aca="false">H98*G98</f>
        <v>3213</v>
      </c>
      <c r="J98" s="50" t="n">
        <f aca="false">BT98*Parameter!$B$18</f>
        <v>66</v>
      </c>
      <c r="K98" s="51" t="n">
        <v>29.5</v>
      </c>
      <c r="L98" s="52" t="n">
        <v>2.23728813559322</v>
      </c>
      <c r="M98" s="50" t="n">
        <v>5</v>
      </c>
      <c r="N98" s="50" t="n">
        <v>50</v>
      </c>
      <c r="O98" s="53" t="n">
        <v>28</v>
      </c>
      <c r="P98" s="48" t="s">
        <v>311</v>
      </c>
      <c r="Q98" s="50" t="n">
        <v>34</v>
      </c>
      <c r="R98" s="53" t="n">
        <f aca="false">IF(BZ98=1,0,IFERROR(VLOOKUP(BX98,'Gebinde-Kategorie'!$A$5:$N$45,13,0)+0,0))</f>
        <v>26</v>
      </c>
      <c r="S98" s="54"/>
      <c r="T98" s="55"/>
      <c r="U98" s="55"/>
      <c r="V98" s="55"/>
      <c r="W98" s="48"/>
      <c r="X98" s="50"/>
      <c r="Y98" s="50"/>
      <c r="Z98" s="48" t="n">
        <f aca="false">IF(A98="","",IF(AND(Parameter!$B$21="Ja",ISNUMBER(W98)),W98,IF(CC98="2+3",IF(ISNUMBER(SEARCH("grosser Artikel",BU98)),2,IFERROR(VLOOKUP(BX98,Parameter!$F$35:$G$64,2,0),2)),IF(OR(CC98="Nein",CC98=""),"-",CC98))))</f>
        <v>3</v>
      </c>
      <c r="AA98" s="55"/>
      <c r="AB98" s="56"/>
      <c r="AC98" s="50" t="n">
        <f aca="false">AV98</f>
        <v>55</v>
      </c>
      <c r="AD98" s="50" t="n">
        <f aca="false">MAX(AV98,H98)</f>
        <v>55</v>
      </c>
      <c r="AE98" s="57"/>
      <c r="AF98" s="50" t="n">
        <f aca="false">IF(LEFT(Cockpit!$C$5,1)="A",H98,IF(Parameter!$E$30="MAX-Bestand",IF(CH98=1,CI98,IF(LEFT(Cockpit!$C$5,1)="B",AL98,MAX(AL98,H98))),ROUNDUP(AJ98,0)))</f>
        <v>51</v>
      </c>
      <c r="AG98" s="50" t="n">
        <f aca="false">IF(BZ98=1,0,ROUNDUP(AF98/BY98,0))</f>
        <v>2</v>
      </c>
      <c r="AH98" s="52" t="n">
        <f aca="false">IF(CQ98&gt;0,CQ98*MAX(1,AF98/X98),IF(BZ98=1,IF(AF98&lt;=0,0,CD98*MAX(1,IF(H98&gt;0,AF98/H98,1))),IF(R98&gt;0,AG98/R98,0))/MAX(0.1,N(Parameter!$M$21)))</f>
        <v>0.0769230769230769</v>
      </c>
      <c r="AI98" s="50" t="n">
        <f aca="false">AH98*CB98</f>
        <v>11.9230769230769</v>
      </c>
      <c r="AJ98" s="51" t="n">
        <f aca="false">IF(LEFT(Cockpit!$C$5,1)="A",H98,IF(CH98=1,(CK98+CI98)/2,IF(LEFT(Cockpit!$C$5,1)="B",(CK98+AL98)/2,MAX((CK98+AL98)/2,H98))))</f>
        <v>51</v>
      </c>
      <c r="AK98" s="50" t="n">
        <f aca="false">AJ98*G98</f>
        <v>3213</v>
      </c>
      <c r="AL98" s="50" t="n">
        <f aca="false">ROUNDUP(CK98+MAX(CL98,2*(J98/IF(CG98&gt;0,CG98,MAX(0.1,N(Cockpit!$C$6)))-CK98)),0)</f>
        <v>55</v>
      </c>
      <c r="AM98" s="51" t="n">
        <f aca="false">IF(AI98&gt;0,J98/AI98,-1)</f>
        <v>5.53548387096774</v>
      </c>
      <c r="AN98" s="51" t="n">
        <f aca="false">IF(AND(OR(CF98="L1",CF98="L23",CF98="LIFT"),AI98&gt;0),SUMIFS($AI$7:$AI$1843,$CF$7:$CF$1843,CF98,$AM$7:$AM$1843,"&gt;"&amp;AM98)+SUMIFS($AI$7:$AI$1843,$CF$7:$CF$1843,CF98,$AM$7:$AM$1843,AM98,$BW$7:$BW$1843,"&lt;="&amp;BW98),"")</f>
        <v>3708.51968864469</v>
      </c>
      <c r="AO98" s="58" t="n">
        <f aca="false">IF(AN98="",0,MAX(0,MIN(1,(IF(CF98="L1",Parameter!$H$5,IF(CF98="L23",Parameter!$H$6+Parameter!$H$7,Parameter!$H$5+Parameter!$H$6+Parameter!$H$7))-(AN98-AI98))/AI98)))</f>
        <v>1</v>
      </c>
      <c r="AP98" s="50" t="n">
        <f aca="false">IF(LEFT(Cockpit!$I$5,1)="A",H98,IF(Parameter!$E$30="MAX-Bestand",IF(CH98=1,CI98,IF(LEFT(Cockpit!$I$5,1)="B",AV98,MAX(AV98,H98))),ROUNDUP(AT98,0)))</f>
        <v>51</v>
      </c>
      <c r="AQ98" s="50" t="n">
        <f aca="false">IF(BZ98=1,0,ROUNDUP(AP98/BY98,0))</f>
        <v>2</v>
      </c>
      <c r="AR98" s="52" t="n">
        <f aca="false">IF(CQ98&gt;0,CQ98*MAX(1,AP98/X98),IF(BZ98=1,IF(AP98&lt;=0,0,CD98*MAX(1,IF(H98&gt;0,AP98/H98,1))),IF(R98&gt;0,AQ98/R98,0))/MAX(0.1,N(Parameter!$M$21)))</f>
        <v>0.0769230769230769</v>
      </c>
      <c r="AS98" s="50" t="n">
        <f aca="false">AR98*CB98</f>
        <v>11.9230769230769</v>
      </c>
      <c r="AT98" s="51" t="n">
        <f aca="false">IF(LEFT(Cockpit!$I$5,1)="A",H98,IF(CH98=1,(CK98+CI98)/2,IF(LEFT(Cockpit!$I$5,1)="B",(CK98+AV98)/2,MAX((CK98+AV98)/2,H98))))</f>
        <v>51</v>
      </c>
      <c r="AU98" s="50" t="n">
        <f aca="false">AT98*G98</f>
        <v>3213</v>
      </c>
      <c r="AV98" s="50" t="n">
        <f aca="false">ROUNDUP(CK98+MAX(CL98,2*(J98/IF(CG98&gt;0,CG98,MAX(0.1,N(Cockpit!$I$6)))-CK98)),0)</f>
        <v>55</v>
      </c>
      <c r="AW98" s="51" t="n">
        <f aca="false">IF(AS98&gt;0,J98/AS98,-1)</f>
        <v>5.53548387096774</v>
      </c>
      <c r="AX98" s="51" t="n">
        <f aca="false">IF(AND(OR(CF98="L1",CF98="L23",CF98="LIFT"),AS98&gt;0),SUMIFS($AS$7:$AS$1843,$CF$7:$CF$1843,CF98,$AW$7:$AW$1843,"&gt;"&amp;AW98)+SUMIFS($AS$7:$AS$1843,$CF$7:$CF$1843,CF98,$AW$7:$AW$1843,AW98,$BW$7:$BW$1843,"&lt;="&amp;BW98),"")</f>
        <v>4362.26053113553</v>
      </c>
      <c r="AY98" s="58" t="n">
        <f aca="false">IF(AX98="",0,MAX(0,MIN(1,(IF(CF98="L1",Parameter!$H$5,IF(CF98="L23",Parameter!$H$6+Parameter!$H$7,Parameter!$H$5+Parameter!$H$6+Parameter!$H$7))-(AX98-AS98))/AS98)))</f>
        <v>1</v>
      </c>
      <c r="AZ98" s="50" t="n">
        <f aca="false">IF(LEFT(Cockpit!$O$5,1)="A",H98,IF(Parameter!$E$30="MAX-Bestand",IF(CH98=1,CI98,IF(LEFT(Cockpit!$O$5,1)="B",BF98,MAX(BF98,H98))),ROUNDUP(BD98,0)))</f>
        <v>30</v>
      </c>
      <c r="BA98" s="50" t="n">
        <f aca="false">IF(BZ98=1,0,ROUNDUP(AZ98/BY98,0))</f>
        <v>1</v>
      </c>
      <c r="BB98" s="52" t="n">
        <f aca="false">IF(CQ98&gt;0,CQ98*MAX(1,AZ98/X98),IF(BZ98=1,IF(AZ98&lt;=0,0,CD98*MAX(1,IF(H98&gt;0,AZ98/H98,1))),IF(R98&gt;0,BA98/R98,0))/MAX(0.1,N(Parameter!$M$21)))</f>
        <v>0.0384615384615385</v>
      </c>
      <c r="BC98" s="50" t="n">
        <f aca="false">BB98*CB98</f>
        <v>5.96153846153846</v>
      </c>
      <c r="BD98" s="51" t="n">
        <f aca="false">IF(LEFT(Cockpit!$O$5,1)="A",H98,IF(CH98=1,(CK98+CI98)/2,IF(LEFT(Cockpit!$O$5,1)="B",(CK98+BF98)/2,MAX((CK98+BF98)/2,H98))))</f>
        <v>30</v>
      </c>
      <c r="BE98" s="50" t="n">
        <f aca="false">BD98*G98</f>
        <v>1890</v>
      </c>
      <c r="BF98" s="50" t="n">
        <f aca="false">ROUNDUP(CK98+MAX(CL98,2*(J98/IF(CG98&gt;0,CG98,MAX(0.1,N(Cockpit!$O$6)))-CK98)),0)</f>
        <v>55</v>
      </c>
      <c r="BG98" s="51" t="n">
        <f aca="false">IF(BC98&gt;0,J98/BC98,-1)</f>
        <v>11.0709677419355</v>
      </c>
      <c r="BH98" s="51" t="n">
        <f aca="false">IF(AND(OR(CF98="L1",CF98="L23",CF98="LIFT"),BC98&gt;0),SUMIFS($BC$7:$BC$1843,$CF$7:$CF$1843,CF98,$BG$7:$BG$1843,"&gt;"&amp;BG98)+SUMIFS($BC$7:$BC$1843,$CF$7:$CF$1843,CF98,$BG$7:$BG$1843,BG98,$BW$7:$BW$1843,"&lt;="&amp;BW98),"")</f>
        <v>2661.02747252747</v>
      </c>
      <c r="BI98" s="58" t="n">
        <f aca="false">IF(BH98="",0,MAX(0,MIN(1,(IF(CF98="L1",Parameter!$H$5,IF(CF98="L23",Parameter!$H$6+Parameter!$H$7,Parameter!$H$5+Parameter!$H$6+Parameter!$H$7))-(BH98-BC98))/BC98)))</f>
        <v>1</v>
      </c>
      <c r="BJ98" s="48" t="str">
        <f aca="false">IF(AI98&lt;=0,"",IF(CF98="Aussen","Aussenlager",IF(CF98="-","Nicht im Lift",IF(AO98&gt;=1,"Lift",IF(AO98&lt;=0,"Aussenlager","teilweise")))))</f>
        <v>Lift</v>
      </c>
      <c r="BK98" s="48" t="str">
        <f aca="false">IF(AS98&lt;=0,"",IF(CF98="Aussen","Aussenlager",IF(CF98="-","Nicht im Lift",IF(AY98&gt;=1,"Lift",IF(AY98&lt;=0,"Aussenlager","teilweise")))))</f>
        <v>Lift</v>
      </c>
      <c r="BL98" s="48" t="str">
        <f aca="false">IF(BC98&lt;=0,"",IF(CF98="Aussen","Aussenlager",IF(CF98="-","Nicht im Lift",IF(BI98&gt;=1,"Lift",IF(BI98&lt;=0,"Aussenlager","teilweise")))))</f>
        <v>Lift</v>
      </c>
      <c r="BM98" s="48" t="str">
        <f aca="false">IF(A98="","",IF(BV98=1,"Neu; ","")&amp;IF(AND(BV98=0,BQ98&lt;0),"negativer Bestand (Export "&amp;BQ98&amp;"); ","")&amp;IF(J98&lt;=0,"Kein Verbrauch; ","")&amp;IF(CQ98&gt;0,"Lift "&amp;W98&amp;" lt. Liftbericht (Fach "&amp;X98&amp;" Stk); ",IF(CA98=1,"Gebinde geschätzt ("&amp;T98&amp;"); ",IF(BZ98=1,"Lose – Tablare geschätzt; ","")))&amp;IF(H98&gt;AV98,"Überbestand "&amp;ROUND(H98-AV98,0)&amp;" Stk / CHF "&amp;ROUND((H98-AV98)*G98,0)&amp;"; ","")&amp;IF(AND(CH98=1,CI98&lt;CJ98),"MAX &lt; MB+LG; ","")&amp;IF(AND(CP98&gt;0,CO98*10&gt;CP98),"zu hoch für Tablar; ","")&amp;IF(AND(BV98=0,OR(CH98=1,AA98&lt;&gt;"",U98&lt;&gt;"",V98&lt;&gt;"",AB98&lt;&gt;"")),"manuell übersteuert; ","")&amp;IF(AND(BZ98=0,R98=0),"Gebinde unbekannt / Stellmass fehlt; ","")&amp;IF(AND(BZ98=0,N(V98)&lt;=0,N(Q98)&lt;=0),"Menge pro Gebinde fehlt (Ist = 1 Gebinde); ","")&amp;BU98)</f>
        <v/>
      </c>
      <c r="BN98" s="48"/>
      <c r="BO98" s="48"/>
      <c r="BP98" s="55"/>
      <c r="BQ98" s="50" t="n">
        <v>38</v>
      </c>
      <c r="BR98" s="50" t="n">
        <v>13</v>
      </c>
      <c r="BS98" s="49" t="n">
        <v>2394.26</v>
      </c>
      <c r="BT98" s="50" t="n">
        <v>66</v>
      </c>
      <c r="BU98" s="48"/>
      <c r="BV98" s="53" t="n">
        <v>0</v>
      </c>
      <c r="BW98" s="53" t="n">
        <v>98</v>
      </c>
      <c r="BX98" s="48" t="str">
        <f aca="false">IF(U98&lt;&gt;"",UPPER(TRIM(U98)),IF(CA98=1,UPPER(VLOOKUP(T98,Parameter!$I$27:$K$29,2,0)),IF(P98="","LOSE",P98)))</f>
        <v>S51</v>
      </c>
      <c r="BY98" s="50" t="n">
        <f aca="false">IF(BX98="LOSE",1,IF(N(V98)&gt;0,V98,IF(CA98=1,MAX(1,N(VLOOKUP(T98,Parameter!$I$27:$K$29,3,0)),H98,N(N98)),IF(N(Q98)&gt;0,Q98,MAX(1,H98)))))</f>
        <v>34</v>
      </c>
      <c r="BZ98" s="53" t="n">
        <f aca="false">IF(BX98="LOSE",1,0)</f>
        <v>0</v>
      </c>
      <c r="CA98" s="53" t="n">
        <f aca="false">IF(AND(U98="",OR(P98="",P98="LOSE"),T98&lt;&gt;"",N(S98)&lt;=0,ISNUMBER(MATCH(T98,Parameter!$I$27:$I$29,0))),1,0)</f>
        <v>0</v>
      </c>
      <c r="CB98" s="53" t="n">
        <f aca="false">IF(CQ98&gt;0,INDEX(Parameter!$H$5:$H$7,W98)/INDEX(Parameter!$E$5:$E$7,W98),IF(AND(BZ98=0,N(IFERROR(VLOOKUP(BX98,'Gebinde-Kategorie'!$A$5:$N$45,14,0),0))&gt;0),VLOOKUP(BX98,'Gebinde-Kategorie'!$A$5:$N$45,14,0)*10+Parameter!$M$23,Parameter!$M$24))</f>
        <v>155</v>
      </c>
      <c r="CC98" s="48" t="str">
        <f aca="false">IF(AND(Parameter!$B$19="Ja",E98&lt;&gt;"",ISNUMBER(MATCH(E98,Parameter!$I$35:$I$52,0))),VLOOKUP(E98,Parameter!$I$35:$J$52,2,0),IFERROR(VLOOKUP(D98,Parameter!$A$35:$C$64,2,0),"Nein"))</f>
        <v>2+3</v>
      </c>
      <c r="CD98" s="52" t="n">
        <f aca="false">IF(BZ98=0,0,IF(N(S98)&gt;0,S98,IFERROR(VLOOKUP(D98,Parameter!$A$35:$C$64,3,0)+0,0)))</f>
        <v>0</v>
      </c>
      <c r="CE98" s="48" t="n">
        <f aca="false">IF(AA98&lt;&gt;"",AA98,Z98)</f>
        <v>3</v>
      </c>
      <c r="CF98" s="48" t="str">
        <f aca="false">IF(OR(CE98=1,CE98=2,CE98=3),IF(Parameter!$E$27="Ja","LIFT",IF(CE98=1,"L1","L23")),IF(CE98="Aussen","Aussen","-"))</f>
        <v>LIFT</v>
      </c>
      <c r="CG98" s="59" t="n">
        <f aca="false">IF(N(AB98)&gt;0,AB98,0)</f>
        <v>0</v>
      </c>
      <c r="CH98" s="53" t="n">
        <f aca="false">IF(ISNUMBER(AE98),1,0)</f>
        <v>0</v>
      </c>
      <c r="CI98" s="50" t="n">
        <f aca="false">N(AE98)</f>
        <v>0</v>
      </c>
      <c r="CJ98" s="50" t="n">
        <f aca="false">N(M98)+N(N98)</f>
        <v>55</v>
      </c>
      <c r="CK98" s="50" t="n">
        <f aca="false">N(M98)</f>
        <v>5</v>
      </c>
      <c r="CL98" s="50" t="n">
        <f aca="false">N(N98)</f>
        <v>50</v>
      </c>
      <c r="CM98" s="50" t="n">
        <f aca="false">ROUNDUP(H98/BY98,0)</f>
        <v>2</v>
      </c>
      <c r="CN98" s="50" t="n">
        <f aca="false">ROUNDUP(CI98/BY98,0)</f>
        <v>0</v>
      </c>
      <c r="CO98" s="53" t="n">
        <f aca="false">IF(BZ98=1,0,IFERROR(VLOOKUP(BX98,'Gebinde-Kategorie'!$A$5:$N$45,5,0)+0,0))</f>
        <v>11</v>
      </c>
      <c r="CP98" s="53" t="n">
        <f aca="false">IFERROR(IF(OR(CE98=1,CE98=2,CE98=3),N(INDEX(Parameter!$I$5:$I$7,CE98)),0),0)</f>
        <v>0</v>
      </c>
      <c r="CQ98" s="52" t="n">
        <f aca="false">IF(AND(Parameter!$B$21="Ja",ISNUMBER(W98),N(X98)&gt;0),IFERROR(N(INDEX(Parameter!$L$5:$L$7,W98))*INDEX(Parameter!$E$5:$E$7,W98)*X98/SUMIFS($X$7:$X$1843,$W$7:$W$1843,W98),0),0)</f>
        <v>0</v>
      </c>
    </row>
    <row r="99" customFormat="false" ht="15" hidden="false" customHeight="false" outlineLevel="0" collapsed="false">
      <c r="A99" s="48" t="s">
        <v>419</v>
      </c>
      <c r="B99" s="48" t="s">
        <v>420</v>
      </c>
      <c r="C99" s="48" t="s">
        <v>173</v>
      </c>
      <c r="D99" s="48" t="s">
        <v>182</v>
      </c>
      <c r="E99" s="48" t="s">
        <v>194</v>
      </c>
      <c r="F99" s="48" t="s">
        <v>227</v>
      </c>
      <c r="G99" s="49" t="n">
        <v>198.42</v>
      </c>
      <c r="H99" s="50" t="n">
        <f aca="false">MAX(0,IF(AND(Parameter!$B$21="Ja",ISNUMBER(Y99)),Y99,IF(Parameter!$B$20="Jahresanfang 2025 + Export",BR99+BQ99,BQ99)))</f>
        <v>12</v>
      </c>
      <c r="I99" s="50" t="n">
        <f aca="false">H99*G99</f>
        <v>2381.04</v>
      </c>
      <c r="J99" s="50" t="n">
        <f aca="false">BT99*Parameter!$B$18</f>
        <v>24</v>
      </c>
      <c r="K99" s="51" t="n">
        <v>7</v>
      </c>
      <c r="L99" s="52" t="n">
        <v>3.42857142857143</v>
      </c>
      <c r="M99" s="50" t="n">
        <v>3</v>
      </c>
      <c r="N99" s="50" t="n">
        <v>15</v>
      </c>
      <c r="O99" s="53" t="n">
        <v>56</v>
      </c>
      <c r="P99" s="48" t="s">
        <v>311</v>
      </c>
      <c r="Q99" s="50" t="n">
        <v>12</v>
      </c>
      <c r="R99" s="53" t="n">
        <f aca="false">IF(BZ99=1,0,IFERROR(VLOOKUP(BX99,'Gebinde-Kategorie'!$A$5:$N$45,13,0)+0,0))</f>
        <v>26</v>
      </c>
      <c r="S99" s="54"/>
      <c r="T99" s="55"/>
      <c r="U99" s="55"/>
      <c r="V99" s="55"/>
      <c r="W99" s="48"/>
      <c r="X99" s="50"/>
      <c r="Y99" s="50"/>
      <c r="Z99" s="48" t="n">
        <f aca="false">IF(A99="","",IF(AND(Parameter!$B$21="Ja",ISNUMBER(W99)),W99,IF(CC99="2+3",IF(ISNUMBER(SEARCH("grosser Artikel",BU99)),2,IFERROR(VLOOKUP(BX99,Parameter!$F$35:$G$64,2,0),2)),IF(OR(CC99="Nein",CC99=""),"-",CC99))))</f>
        <v>3</v>
      </c>
      <c r="AA99" s="55"/>
      <c r="AB99" s="56"/>
      <c r="AC99" s="50" t="n">
        <f aca="false">AV99</f>
        <v>18</v>
      </c>
      <c r="AD99" s="50" t="n">
        <f aca="false">MAX(AV99,H99)</f>
        <v>18</v>
      </c>
      <c r="AE99" s="57"/>
      <c r="AF99" s="50" t="n">
        <f aca="false">IF(LEFT(Cockpit!$C$5,1)="A",H99,IF(Parameter!$E$30="MAX-Bestand",IF(CH99=1,CI99,IF(LEFT(Cockpit!$C$5,1)="B",AL99,MAX(AL99,H99))),ROUNDUP(AJ99,0)))</f>
        <v>12</v>
      </c>
      <c r="AG99" s="50" t="n">
        <f aca="false">IF(BZ99=1,0,ROUNDUP(AF99/BY99,0))</f>
        <v>1</v>
      </c>
      <c r="AH99" s="52" t="n">
        <f aca="false">IF(CQ99&gt;0,CQ99*MAX(1,AF99/X99),IF(BZ99=1,IF(AF99&lt;=0,0,CD99*MAX(1,IF(H99&gt;0,AF99/H99,1))),IF(R99&gt;0,AG99/R99,0))/MAX(0.1,N(Parameter!$M$21)))</f>
        <v>0.0384615384615385</v>
      </c>
      <c r="AI99" s="50" t="n">
        <f aca="false">AH99*CB99</f>
        <v>5.96153846153846</v>
      </c>
      <c r="AJ99" s="51" t="n">
        <f aca="false">IF(LEFT(Cockpit!$C$5,1)="A",H99,IF(CH99=1,(CK99+CI99)/2,IF(LEFT(Cockpit!$C$5,1)="B",(CK99+AL99)/2,MAX((CK99+AL99)/2,H99))))</f>
        <v>12</v>
      </c>
      <c r="AK99" s="50" t="n">
        <f aca="false">AJ99*G99</f>
        <v>2381.04</v>
      </c>
      <c r="AL99" s="50" t="n">
        <f aca="false">ROUNDUP(CK99+MAX(CL99,2*(J99/IF(CG99&gt;0,CG99,MAX(0.1,N(Cockpit!$C$6)))-CK99)),0)</f>
        <v>18</v>
      </c>
      <c r="AM99" s="51" t="n">
        <f aca="false">IF(AI99&gt;0,J99/AI99,-1)</f>
        <v>4.0258064516129</v>
      </c>
      <c r="AN99" s="51" t="n">
        <f aca="false">IF(AND(OR(CF99="L1",CF99="L23",CF99="LIFT"),AI99&gt;0),SUMIFS($AI$7:$AI$1843,$CF$7:$CF$1843,CF99,$AM$7:$AM$1843,"&gt;"&amp;AM99)+SUMIFS($AI$7:$AI$1843,$CF$7:$CF$1843,CF99,$AM$7:$AM$1843,AM99,$BW$7:$BW$1843,"&lt;="&amp;BW99),"")</f>
        <v>4316.95833333333</v>
      </c>
      <c r="AO99" s="58" t="n">
        <f aca="false">IF(AN99="",0,MAX(0,MIN(1,(IF(CF99="L1",Parameter!$H$5,IF(CF99="L23",Parameter!$H$6+Parameter!$H$7,Parameter!$H$5+Parameter!$H$6+Parameter!$H$7))-(AN99-AI99))/AI99)))</f>
        <v>1</v>
      </c>
      <c r="AP99" s="50" t="n">
        <f aca="false">IF(LEFT(Cockpit!$I$5,1)="A",H99,IF(Parameter!$E$30="MAX-Bestand",IF(CH99=1,CI99,IF(LEFT(Cockpit!$I$5,1)="B",AV99,MAX(AV99,H99))),ROUNDUP(AT99,0)))</f>
        <v>12</v>
      </c>
      <c r="AQ99" s="50" t="n">
        <f aca="false">IF(BZ99=1,0,ROUNDUP(AP99/BY99,0))</f>
        <v>1</v>
      </c>
      <c r="AR99" s="52" t="n">
        <f aca="false">IF(CQ99&gt;0,CQ99*MAX(1,AP99/X99),IF(BZ99=1,IF(AP99&lt;=0,0,CD99*MAX(1,IF(H99&gt;0,AP99/H99,1))),IF(R99&gt;0,AQ99/R99,0))/MAX(0.1,N(Parameter!$M$21)))</f>
        <v>0.0384615384615385</v>
      </c>
      <c r="AS99" s="50" t="n">
        <f aca="false">AR99*CB99</f>
        <v>5.96153846153846</v>
      </c>
      <c r="AT99" s="51" t="n">
        <f aca="false">IF(LEFT(Cockpit!$I$5,1)="A",H99,IF(CH99=1,(CK99+CI99)/2,IF(LEFT(Cockpit!$I$5,1)="B",(CK99+AV99)/2,MAX((CK99+AV99)/2,H99))))</f>
        <v>12</v>
      </c>
      <c r="AU99" s="50" t="n">
        <f aca="false">AT99*G99</f>
        <v>2381.04</v>
      </c>
      <c r="AV99" s="50" t="n">
        <f aca="false">ROUNDUP(CK99+MAX(CL99,2*(J99/IF(CG99&gt;0,CG99,MAX(0.1,N(Cockpit!$I$6)))-CK99)),0)</f>
        <v>18</v>
      </c>
      <c r="AW99" s="51" t="n">
        <f aca="false">IF(AS99&gt;0,J99/AS99,-1)</f>
        <v>4.0258064516129</v>
      </c>
      <c r="AX99" s="51" t="n">
        <f aca="false">IF(AND(OR(CF99="L1",CF99="L23",CF99="LIFT"),AS99&gt;0),SUMIFS($AS$7:$AS$1843,$CF$7:$CF$1843,CF99,$AW$7:$AW$1843,"&gt;"&amp;AW99)+SUMIFS($AS$7:$AS$1843,$CF$7:$CF$1843,CF99,$AW$7:$AW$1843,AW99,$BW$7:$BW$1843,"&lt;="&amp;BW99),"")</f>
        <v>4914.03250915751</v>
      </c>
      <c r="AY99" s="58" t="n">
        <f aca="false">IF(AX99="",0,MAX(0,MIN(1,(IF(CF99="L1",Parameter!$H$5,IF(CF99="L23",Parameter!$H$6+Parameter!$H$7,Parameter!$H$5+Parameter!$H$6+Parameter!$H$7))-(AX99-AS99))/AS99)))</f>
        <v>1</v>
      </c>
      <c r="AZ99" s="50" t="n">
        <f aca="false">IF(LEFT(Cockpit!$O$5,1)="A",H99,IF(Parameter!$E$30="MAX-Bestand",IF(CH99=1,CI99,IF(LEFT(Cockpit!$O$5,1)="B",BF99,MAX(BF99,H99))),ROUNDUP(BD99,0)))</f>
        <v>11</v>
      </c>
      <c r="BA99" s="50" t="n">
        <f aca="false">IF(BZ99=1,0,ROUNDUP(AZ99/BY99,0))</f>
        <v>1</v>
      </c>
      <c r="BB99" s="52" t="n">
        <f aca="false">IF(CQ99&gt;0,CQ99*MAX(1,AZ99/X99),IF(BZ99=1,IF(AZ99&lt;=0,0,CD99*MAX(1,IF(H99&gt;0,AZ99/H99,1))),IF(R99&gt;0,BA99/R99,0))/MAX(0.1,N(Parameter!$M$21)))</f>
        <v>0.0384615384615385</v>
      </c>
      <c r="BC99" s="50" t="n">
        <f aca="false">BB99*CB99</f>
        <v>5.96153846153846</v>
      </c>
      <c r="BD99" s="51" t="n">
        <f aca="false">IF(LEFT(Cockpit!$O$5,1)="A",H99,IF(CH99=1,(CK99+CI99)/2,IF(LEFT(Cockpit!$O$5,1)="B",(CK99+BF99)/2,MAX((CK99+BF99)/2,H99))))</f>
        <v>10.5</v>
      </c>
      <c r="BE99" s="50" t="n">
        <f aca="false">BD99*G99</f>
        <v>2083.41</v>
      </c>
      <c r="BF99" s="50" t="n">
        <f aca="false">ROUNDUP(CK99+MAX(CL99,2*(J99/IF(CG99&gt;0,CG99,MAX(0.1,N(Cockpit!$O$6)))-CK99)),0)</f>
        <v>18</v>
      </c>
      <c r="BG99" s="51" t="n">
        <f aca="false">IF(BC99&gt;0,J99/BC99,-1)</f>
        <v>4.0258064516129</v>
      </c>
      <c r="BH99" s="51" t="n">
        <f aca="false">IF(AND(OR(CF99="L1",CF99="L23",CF99="LIFT"),BC99&gt;0),SUMIFS($BC$7:$BC$1843,$CF$7:$CF$1843,CF99,$BG$7:$BG$1843,"&gt;"&amp;BG99)+SUMIFS($BC$7:$BC$1843,$CF$7:$CF$1843,CF99,$BG$7:$BG$1843,BG99,$BW$7:$BW$1843,"&lt;="&amp;BW99),"")</f>
        <v>4036.07417582418</v>
      </c>
      <c r="BI99" s="58" t="n">
        <f aca="false">IF(BH99="",0,MAX(0,MIN(1,(IF(CF99="L1",Parameter!$H$5,IF(CF99="L23",Parameter!$H$6+Parameter!$H$7,Parameter!$H$5+Parameter!$H$6+Parameter!$H$7))-(BH99-BC99))/BC99)))</f>
        <v>1</v>
      </c>
      <c r="BJ99" s="48" t="str">
        <f aca="false">IF(AI99&lt;=0,"",IF(CF99="Aussen","Aussenlager",IF(CF99="-","Nicht im Lift",IF(AO99&gt;=1,"Lift",IF(AO99&lt;=0,"Aussenlager","teilweise")))))</f>
        <v>Lift</v>
      </c>
      <c r="BK99" s="48" t="str">
        <f aca="false">IF(AS99&lt;=0,"",IF(CF99="Aussen","Aussenlager",IF(CF99="-","Nicht im Lift",IF(AY99&gt;=1,"Lift",IF(AY99&lt;=0,"Aussenlager","teilweise")))))</f>
        <v>Lift</v>
      </c>
      <c r="BL99" s="48" t="str">
        <f aca="false">IF(BC99&lt;=0,"",IF(CF99="Aussen","Aussenlager",IF(CF99="-","Nicht im Lift",IF(BI99&gt;=1,"Lift",IF(BI99&lt;=0,"Aussenlager","teilweise")))))</f>
        <v>Lift</v>
      </c>
      <c r="BM99" s="48" t="str">
        <f aca="false">IF(A99="","",IF(BV99=1,"Neu; ","")&amp;IF(AND(BV99=0,BQ99&lt;0),"negativer Bestand (Export "&amp;BQ99&amp;"); ","")&amp;IF(J99&lt;=0,"Kein Verbrauch; ","")&amp;IF(CQ99&gt;0,"Lift "&amp;W99&amp;" lt. Liftbericht (Fach "&amp;X99&amp;" Stk); ",IF(CA99=1,"Gebinde geschätzt ("&amp;T99&amp;"); ",IF(BZ99=1,"Lose – Tablare geschätzt; ","")))&amp;IF(H99&gt;AV99,"Überbestand "&amp;ROUND(H99-AV99,0)&amp;" Stk / CHF "&amp;ROUND((H99-AV99)*G99,0)&amp;"; ","")&amp;IF(AND(CH99=1,CI99&lt;CJ99),"MAX &lt; MB+LG; ","")&amp;IF(AND(CP99&gt;0,CO99*10&gt;CP99),"zu hoch für Tablar; ","")&amp;IF(AND(BV99=0,OR(CH99=1,AA99&lt;&gt;"",U99&lt;&gt;"",V99&lt;&gt;"",AB99&lt;&gt;"")),"manuell übersteuert; ","")&amp;IF(AND(BZ99=0,R99=0),"Gebinde unbekannt / Stellmass fehlt; ","")&amp;IF(AND(BZ99=0,N(V99)&lt;=0,N(Q99)&lt;=0),"Menge pro Gebinde fehlt (Ist = 1 Gebinde); ","")&amp;BU99)</f>
        <v/>
      </c>
      <c r="BN99" s="48"/>
      <c r="BO99" s="48"/>
      <c r="BP99" s="55"/>
      <c r="BQ99" s="50" t="n">
        <v>12</v>
      </c>
      <c r="BR99" s="50" t="n">
        <v>0</v>
      </c>
      <c r="BS99" s="49" t="n">
        <v>2381.04</v>
      </c>
      <c r="BT99" s="50" t="n">
        <v>24</v>
      </c>
      <c r="BU99" s="48"/>
      <c r="BV99" s="53" t="n">
        <v>0</v>
      </c>
      <c r="BW99" s="53" t="n">
        <v>99</v>
      </c>
      <c r="BX99" s="48" t="str">
        <f aca="false">IF(U99&lt;&gt;"",UPPER(TRIM(U99)),IF(CA99=1,UPPER(VLOOKUP(T99,Parameter!$I$27:$K$29,2,0)),IF(P99="","LOSE",P99)))</f>
        <v>S51</v>
      </c>
      <c r="BY99" s="50" t="n">
        <f aca="false">IF(BX99="LOSE",1,IF(N(V99)&gt;0,V99,IF(CA99=1,MAX(1,N(VLOOKUP(T99,Parameter!$I$27:$K$29,3,0)),H99,N(N99)),IF(N(Q99)&gt;0,Q99,MAX(1,H99)))))</f>
        <v>12</v>
      </c>
      <c r="BZ99" s="53" t="n">
        <f aca="false">IF(BX99="LOSE",1,0)</f>
        <v>0</v>
      </c>
      <c r="CA99" s="53" t="n">
        <f aca="false">IF(AND(U99="",OR(P99="",P99="LOSE"),T99&lt;&gt;"",N(S99)&lt;=0,ISNUMBER(MATCH(T99,Parameter!$I$27:$I$29,0))),1,0)</f>
        <v>0</v>
      </c>
      <c r="CB99" s="53" t="n">
        <f aca="false">IF(CQ99&gt;0,INDEX(Parameter!$H$5:$H$7,W99)/INDEX(Parameter!$E$5:$E$7,W99),IF(AND(BZ99=0,N(IFERROR(VLOOKUP(BX99,'Gebinde-Kategorie'!$A$5:$N$45,14,0),0))&gt;0),VLOOKUP(BX99,'Gebinde-Kategorie'!$A$5:$N$45,14,0)*10+Parameter!$M$23,Parameter!$M$24))</f>
        <v>155</v>
      </c>
      <c r="CC99" s="48" t="str">
        <f aca="false">IF(AND(Parameter!$B$19="Ja",E99&lt;&gt;"",ISNUMBER(MATCH(E99,Parameter!$I$35:$I$52,0))),VLOOKUP(E99,Parameter!$I$35:$J$52,2,0),IFERROR(VLOOKUP(D99,Parameter!$A$35:$C$64,2,0),"Nein"))</f>
        <v>2+3</v>
      </c>
      <c r="CD99" s="52" t="n">
        <f aca="false">IF(BZ99=0,0,IF(N(S99)&gt;0,S99,IFERROR(VLOOKUP(D99,Parameter!$A$35:$C$64,3,0)+0,0)))</f>
        <v>0</v>
      </c>
      <c r="CE99" s="48" t="n">
        <f aca="false">IF(AA99&lt;&gt;"",AA99,Z99)</f>
        <v>3</v>
      </c>
      <c r="CF99" s="48" t="str">
        <f aca="false">IF(OR(CE99=1,CE99=2,CE99=3),IF(Parameter!$E$27="Ja","LIFT",IF(CE99=1,"L1","L23")),IF(CE99="Aussen","Aussen","-"))</f>
        <v>LIFT</v>
      </c>
      <c r="CG99" s="59" t="n">
        <f aca="false">IF(N(AB99)&gt;0,AB99,0)</f>
        <v>0</v>
      </c>
      <c r="CH99" s="53" t="n">
        <f aca="false">IF(ISNUMBER(AE99),1,0)</f>
        <v>0</v>
      </c>
      <c r="CI99" s="50" t="n">
        <f aca="false">N(AE99)</f>
        <v>0</v>
      </c>
      <c r="CJ99" s="50" t="n">
        <f aca="false">N(M99)+N(N99)</f>
        <v>18</v>
      </c>
      <c r="CK99" s="50" t="n">
        <f aca="false">N(M99)</f>
        <v>3</v>
      </c>
      <c r="CL99" s="50" t="n">
        <f aca="false">N(N99)</f>
        <v>15</v>
      </c>
      <c r="CM99" s="50" t="n">
        <f aca="false">ROUNDUP(H99/BY99,0)</f>
        <v>1</v>
      </c>
      <c r="CN99" s="50" t="n">
        <f aca="false">ROUNDUP(CI99/BY99,0)</f>
        <v>0</v>
      </c>
      <c r="CO99" s="53" t="n">
        <f aca="false">IF(BZ99=1,0,IFERROR(VLOOKUP(BX99,'Gebinde-Kategorie'!$A$5:$N$45,5,0)+0,0))</f>
        <v>11</v>
      </c>
      <c r="CP99" s="53" t="n">
        <f aca="false">IFERROR(IF(OR(CE99=1,CE99=2,CE99=3),N(INDEX(Parameter!$I$5:$I$7,CE99)),0),0)</f>
        <v>0</v>
      </c>
      <c r="CQ99" s="52" t="n">
        <f aca="false">IF(AND(Parameter!$B$21="Ja",ISNUMBER(W99),N(X99)&gt;0),IFERROR(N(INDEX(Parameter!$L$5:$L$7,W99))*INDEX(Parameter!$E$5:$E$7,W99)*X99/SUMIFS($X$7:$X$1843,$W$7:$W$1843,W99),0),0)</f>
        <v>0</v>
      </c>
    </row>
    <row r="100" customFormat="false" ht="15" hidden="false" customHeight="false" outlineLevel="0" collapsed="false">
      <c r="A100" s="48" t="s">
        <v>421</v>
      </c>
      <c r="B100" s="48" t="s">
        <v>422</v>
      </c>
      <c r="C100" s="48" t="s">
        <v>173</v>
      </c>
      <c r="D100" s="48" t="s">
        <v>182</v>
      </c>
      <c r="E100" s="48" t="s">
        <v>175</v>
      </c>
      <c r="F100" s="48" t="s">
        <v>227</v>
      </c>
      <c r="G100" s="49" t="n">
        <v>354.44</v>
      </c>
      <c r="H100" s="50" t="n">
        <f aca="false">MAX(0,IF(AND(Parameter!$B$21="Ja",ISNUMBER(Y100)),Y100,IF(Parameter!$B$20="Jahresanfang 2025 + Export",BR100+BQ100,BQ100)))</f>
        <v>25</v>
      </c>
      <c r="I100" s="50" t="n">
        <f aca="false">H100*G100</f>
        <v>8861</v>
      </c>
      <c r="J100" s="50" t="n">
        <f aca="false">BT100*Parameter!$B$18</f>
        <v>177</v>
      </c>
      <c r="K100" s="51" t="n">
        <v>52.5</v>
      </c>
      <c r="L100" s="52" t="n">
        <v>3.37142857142857</v>
      </c>
      <c r="M100" s="50" t="n">
        <v>20</v>
      </c>
      <c r="N100" s="50" t="n">
        <v>35</v>
      </c>
      <c r="O100" s="53" t="n">
        <v>84</v>
      </c>
      <c r="P100" s="48" t="s">
        <v>268</v>
      </c>
      <c r="Q100" s="50" t="n">
        <v>20</v>
      </c>
      <c r="R100" s="53" t="n">
        <f aca="false">IF(BZ100=1,0,IFERROR(VLOOKUP(BX100,'Gebinde-Kategorie'!$A$5:$N$45,13,0)+0,0))</f>
        <v>6</v>
      </c>
      <c r="S100" s="54"/>
      <c r="T100" s="55"/>
      <c r="U100" s="55"/>
      <c r="V100" s="55"/>
      <c r="W100" s="48"/>
      <c r="X100" s="50"/>
      <c r="Y100" s="50"/>
      <c r="Z100" s="48" t="n">
        <f aca="false">IF(A100="","",IF(AND(Parameter!$B$21="Ja",ISNUMBER(W100)),W100,IF(CC100="2+3",IF(ISNUMBER(SEARCH("grosser Artikel",BU100)),2,IFERROR(VLOOKUP(BX100,Parameter!$F$35:$G$64,2,0),2)),IF(OR(CC100="Nein",CC100=""),"-",CC100))))</f>
        <v>1</v>
      </c>
      <c r="AA100" s="55"/>
      <c r="AB100" s="56"/>
      <c r="AC100" s="50" t="n">
        <f aca="false">AV100</f>
        <v>98</v>
      </c>
      <c r="AD100" s="50" t="n">
        <f aca="false">MAX(AV100,H100)</f>
        <v>98</v>
      </c>
      <c r="AE100" s="57"/>
      <c r="AF100" s="50" t="n">
        <f aca="false">IF(LEFT(Cockpit!$C$5,1)="A",H100,IF(Parameter!$E$30="MAX-Bestand",IF(CH100=1,CI100,IF(LEFT(Cockpit!$C$5,1)="B",AL100,MAX(AL100,H100))),ROUNDUP(AJ100,0)))</f>
        <v>25</v>
      </c>
      <c r="AG100" s="50" t="n">
        <f aca="false">IF(BZ100=1,0,ROUNDUP(AF100/BY100,0))</f>
        <v>2</v>
      </c>
      <c r="AH100" s="52" t="n">
        <f aca="false">IF(CQ100&gt;0,CQ100*MAX(1,AF100/X100),IF(BZ100=1,IF(AF100&lt;=0,0,CD100*MAX(1,IF(H100&gt;0,AF100/H100,1))),IF(R100&gt;0,AG100/R100,0))/MAX(0.1,N(Parameter!$M$21)))</f>
        <v>0.333333333333333</v>
      </c>
      <c r="AI100" s="50" t="n">
        <f aca="false">AH100*CB100</f>
        <v>145</v>
      </c>
      <c r="AJ100" s="51" t="n">
        <f aca="false">IF(LEFT(Cockpit!$C$5,1)="A",H100,IF(CH100=1,(CK100+CI100)/2,IF(LEFT(Cockpit!$C$5,1)="B",(CK100+AL100)/2,MAX((CK100+AL100)/2,H100))))</f>
        <v>25</v>
      </c>
      <c r="AK100" s="50" t="n">
        <f aca="false">AJ100*G100</f>
        <v>8861</v>
      </c>
      <c r="AL100" s="50" t="n">
        <f aca="false">ROUNDUP(CK100+MAX(CL100,2*(J100/IF(CG100&gt;0,CG100,MAX(0.1,N(Cockpit!$C$6)))-CK100)),0)</f>
        <v>98</v>
      </c>
      <c r="AM100" s="51" t="n">
        <f aca="false">IF(AI100&gt;0,J100/AI100,-1)</f>
        <v>1.22068965517241</v>
      </c>
      <c r="AN100" s="51" t="n">
        <f aca="false">IF(AND(OR(CF100="L1",CF100="L23",CF100="LIFT"),AI100&gt;0),SUMIFS($AI$7:$AI$1843,$CF$7:$CF$1843,CF100,$AM$7:$AM$1843,"&gt;"&amp;AM100)+SUMIFS($AI$7:$AI$1843,$CF$7:$CF$1843,CF100,$AM$7:$AM$1843,AM100,$BW$7:$BW$1843,"&lt;="&amp;BW100),"")</f>
        <v>6568.13507326007</v>
      </c>
      <c r="AO100" s="58" t="n">
        <f aca="false">IF(AN100="",0,MAX(0,MIN(1,(IF(CF100="L1",Parameter!$H$5,IF(CF100="L23",Parameter!$H$6+Parameter!$H$7,Parameter!$H$5+Parameter!$H$6+Parameter!$H$7))-(AN100-AI100))/AI100)))</f>
        <v>1</v>
      </c>
      <c r="AP100" s="50" t="n">
        <f aca="false">IF(LEFT(Cockpit!$I$5,1)="A",H100,IF(Parameter!$E$30="MAX-Bestand",IF(CH100=1,CI100,IF(LEFT(Cockpit!$I$5,1)="B",AV100,MAX(AV100,H100))),ROUNDUP(AT100,0)))</f>
        <v>59</v>
      </c>
      <c r="AQ100" s="50" t="n">
        <f aca="false">IF(BZ100=1,0,ROUNDUP(AP100/BY100,0))</f>
        <v>3</v>
      </c>
      <c r="AR100" s="52" t="n">
        <f aca="false">IF(CQ100&gt;0,CQ100*MAX(1,AP100/X100),IF(BZ100=1,IF(AP100&lt;=0,0,CD100*MAX(1,IF(H100&gt;0,AP100/H100,1))),IF(R100&gt;0,AQ100/R100,0))/MAX(0.1,N(Parameter!$M$21)))</f>
        <v>0.5</v>
      </c>
      <c r="AS100" s="50" t="n">
        <f aca="false">AR100*CB100</f>
        <v>217.5</v>
      </c>
      <c r="AT100" s="51" t="n">
        <f aca="false">IF(LEFT(Cockpit!$I$5,1)="A",H100,IF(CH100=1,(CK100+CI100)/2,IF(LEFT(Cockpit!$I$5,1)="B",(CK100+AV100)/2,MAX((CK100+AV100)/2,H100))))</f>
        <v>59</v>
      </c>
      <c r="AU100" s="50" t="n">
        <f aca="false">AT100*G100</f>
        <v>20911.96</v>
      </c>
      <c r="AV100" s="50" t="n">
        <f aca="false">ROUNDUP(CK100+MAX(CL100,2*(J100/IF(CG100&gt;0,CG100,MAX(0.1,N(Cockpit!$I$6)))-CK100)),0)</f>
        <v>98</v>
      </c>
      <c r="AW100" s="51" t="n">
        <f aca="false">IF(AS100&gt;0,J100/AS100,-1)</f>
        <v>0.813793103448276</v>
      </c>
      <c r="AX100" s="51" t="n">
        <f aca="false">IF(AND(OR(CF100="L1",CF100="L23",CF100="LIFT"),AS100&gt;0),SUMIFS($AS$7:$AS$1843,$CF$7:$CF$1843,CF100,$AW$7:$AW$1843,"&gt;"&amp;AW100)+SUMIFS($AS$7:$AS$1843,$CF$7:$CF$1843,CF100,$AW$7:$AW$1843,AW100,$BW$7:$BW$1843,"&lt;="&amp;BW100),"")</f>
        <v>10099.1098901099</v>
      </c>
      <c r="AY100" s="58" t="n">
        <f aca="false">IF(AX100="",0,MAX(0,MIN(1,(IF(CF100="L1",Parameter!$H$5,IF(CF100="L23",Parameter!$H$6+Parameter!$H$7,Parameter!$H$5+Parameter!$H$6+Parameter!$H$7))-(AX100-AS100))/AS100)))</f>
        <v>1</v>
      </c>
      <c r="AZ100" s="50" t="n">
        <f aca="false">IF(LEFT(Cockpit!$O$5,1)="A",H100,IF(Parameter!$E$30="MAX-Bestand",IF(CH100=1,CI100,IF(LEFT(Cockpit!$O$5,1)="B",BF100,MAX(BF100,H100))),ROUNDUP(BD100,0)))</f>
        <v>45</v>
      </c>
      <c r="BA100" s="50" t="n">
        <f aca="false">IF(BZ100=1,0,ROUNDUP(AZ100/BY100,0))</f>
        <v>3</v>
      </c>
      <c r="BB100" s="52" t="n">
        <f aca="false">IF(CQ100&gt;0,CQ100*MAX(1,AZ100/X100),IF(BZ100=1,IF(AZ100&lt;=0,0,CD100*MAX(1,IF(H100&gt;0,AZ100/H100,1))),IF(R100&gt;0,BA100/R100,0))/MAX(0.1,N(Parameter!$M$21)))</f>
        <v>0.5</v>
      </c>
      <c r="BC100" s="50" t="n">
        <f aca="false">BB100*CB100</f>
        <v>217.5</v>
      </c>
      <c r="BD100" s="51" t="n">
        <f aca="false">IF(LEFT(Cockpit!$O$5,1)="A",H100,IF(CH100=1,(CK100+CI100)/2,IF(LEFT(Cockpit!$O$5,1)="B",(CK100+BF100)/2,MAX((CK100+BF100)/2,H100))))</f>
        <v>44.5</v>
      </c>
      <c r="BE100" s="50" t="n">
        <f aca="false">BD100*G100</f>
        <v>15772.58</v>
      </c>
      <c r="BF100" s="50" t="n">
        <f aca="false">ROUNDUP(CK100+MAX(CL100,2*(J100/IF(CG100&gt;0,CG100,MAX(0.1,N(Cockpit!$O$6)))-CK100)),0)</f>
        <v>69</v>
      </c>
      <c r="BG100" s="51" t="n">
        <f aca="false">IF(BC100&gt;0,J100/BC100,-1)</f>
        <v>0.813793103448276</v>
      </c>
      <c r="BH100" s="51" t="n">
        <f aca="false">IF(AND(OR(CF100="L1",CF100="L23",CF100="LIFT"),BC100&gt;0),SUMIFS($BC$7:$BC$1843,$CF$7:$CF$1843,CF100,$BG$7:$BG$1843,"&gt;"&amp;BG100)+SUMIFS($BC$7:$BC$1843,$CF$7:$CF$1843,CF100,$BG$7:$BG$1843,BG100,$BW$7:$BW$1843,"&lt;="&amp;BW100),"")</f>
        <v>8893.93635531135</v>
      </c>
      <c r="BI100" s="58" t="n">
        <f aca="false">IF(BH100="",0,MAX(0,MIN(1,(IF(CF100="L1",Parameter!$H$5,IF(CF100="L23",Parameter!$H$6+Parameter!$H$7,Parameter!$H$5+Parameter!$H$6+Parameter!$H$7))-(BH100-BC100))/BC100)))</f>
        <v>1</v>
      </c>
      <c r="BJ100" s="48" t="str">
        <f aca="false">IF(AI100&lt;=0,"",IF(CF100="Aussen","Aussenlager",IF(CF100="-","Nicht im Lift",IF(AO100&gt;=1,"Lift",IF(AO100&lt;=0,"Aussenlager","teilweise")))))</f>
        <v>Lift</v>
      </c>
      <c r="BK100" s="48" t="str">
        <f aca="false">IF(AS100&lt;=0,"",IF(CF100="Aussen","Aussenlager",IF(CF100="-","Nicht im Lift",IF(AY100&gt;=1,"Lift",IF(AY100&lt;=0,"Aussenlager","teilweise")))))</f>
        <v>Lift</v>
      </c>
      <c r="BL100" s="48" t="str">
        <f aca="false">IF(BC100&lt;=0,"",IF(CF100="Aussen","Aussenlager",IF(CF100="-","Nicht im Lift",IF(BI100&gt;=1,"Lift",IF(BI100&lt;=0,"Aussenlager","teilweise")))))</f>
        <v>Lift</v>
      </c>
      <c r="BM100" s="48" t="str">
        <f aca="false">IF(A100="","",IF(BV100=1,"Neu; ","")&amp;IF(AND(BV100=0,BQ100&lt;0),"negativer Bestand (Export "&amp;BQ100&amp;"); ","")&amp;IF(J100&lt;=0,"Kein Verbrauch; ","")&amp;IF(CQ100&gt;0,"Lift "&amp;W100&amp;" lt. Liftbericht (Fach "&amp;X100&amp;" Stk); ",IF(CA100=1,"Gebinde geschätzt ("&amp;T100&amp;"); ",IF(BZ100=1,"Lose – Tablare geschätzt; ","")))&amp;IF(H100&gt;AV100,"Überbestand "&amp;ROUND(H100-AV100,0)&amp;" Stk / CHF "&amp;ROUND((H100-AV100)*G100,0)&amp;"; ","")&amp;IF(AND(CH100=1,CI100&lt;CJ100),"MAX &lt; MB+LG; ","")&amp;IF(AND(CP100&gt;0,CO100*10&gt;CP100),"zu hoch für Tablar; ","")&amp;IF(AND(BV100=0,OR(CH100=1,AA100&lt;&gt;"",U100&lt;&gt;"",V100&lt;&gt;"",AB100&lt;&gt;"")),"manuell übersteuert; ","")&amp;IF(AND(BZ100=0,R100=0),"Gebinde unbekannt / Stellmass fehlt; ","")&amp;IF(AND(BZ100=0,N(V100)&lt;=0,N(Q100)&lt;=0),"Menge pro Gebinde fehlt (Ist = 1 Gebinde); ","")&amp;BU100)</f>
        <v/>
      </c>
      <c r="BN100" s="48"/>
      <c r="BO100" s="48"/>
      <c r="BP100" s="55"/>
      <c r="BQ100" s="50" t="n">
        <v>5</v>
      </c>
      <c r="BR100" s="50" t="n">
        <v>20</v>
      </c>
      <c r="BS100" s="49" t="n">
        <v>2352.15000000003</v>
      </c>
      <c r="BT100" s="50" t="n">
        <v>177</v>
      </c>
      <c r="BU100" s="48"/>
      <c r="BV100" s="53" t="n">
        <v>0</v>
      </c>
      <c r="BW100" s="53" t="n">
        <v>100</v>
      </c>
      <c r="BX100" s="48" t="str">
        <f aca="false">IF(U100&lt;&gt;"",UPPER(TRIM(U100)),IF(CA100=1,UPPER(VLOOKUP(T100,Parameter!$I$27:$K$29,2,0)),IF(P100="","LOSE",P100)))</f>
        <v>S72</v>
      </c>
      <c r="BY100" s="50" t="n">
        <f aca="false">IF(BX100="LOSE",1,IF(N(V100)&gt;0,V100,IF(CA100=1,MAX(1,N(VLOOKUP(T100,Parameter!$I$27:$K$29,3,0)),H100,N(N100)),IF(N(Q100)&gt;0,Q100,MAX(1,H100)))))</f>
        <v>20</v>
      </c>
      <c r="BZ100" s="53" t="n">
        <f aca="false">IF(BX100="LOSE",1,0)</f>
        <v>0</v>
      </c>
      <c r="CA100" s="53" t="n">
        <f aca="false">IF(AND(U100="",OR(P100="",P100="LOSE"),T100&lt;&gt;"",N(S100)&lt;=0,ISNUMBER(MATCH(T100,Parameter!$I$27:$I$29,0))),1,0)</f>
        <v>0</v>
      </c>
      <c r="CB100" s="53" t="n">
        <f aca="false">IF(CQ100&gt;0,INDEX(Parameter!$H$5:$H$7,W100)/INDEX(Parameter!$E$5:$E$7,W100),IF(AND(BZ100=0,N(IFERROR(VLOOKUP(BX100,'Gebinde-Kategorie'!$A$5:$N$45,14,0),0))&gt;0),VLOOKUP(BX100,'Gebinde-Kategorie'!$A$5:$N$45,14,0)*10+Parameter!$M$23,Parameter!$M$24))</f>
        <v>435</v>
      </c>
      <c r="CC100" s="48" t="n">
        <f aca="false">IF(AND(Parameter!$B$19="Ja",E100&lt;&gt;"",ISNUMBER(MATCH(E100,Parameter!$I$35:$I$52,0))),VLOOKUP(E100,Parameter!$I$35:$J$52,2,0),IFERROR(VLOOKUP(D100,Parameter!$A$35:$C$64,2,0),"Nein"))</f>
        <v>1</v>
      </c>
      <c r="CD100" s="52" t="n">
        <f aca="false">IF(BZ100=0,0,IF(N(S100)&gt;0,S100,IFERROR(VLOOKUP(D100,Parameter!$A$35:$C$64,3,0)+0,0)))</f>
        <v>0</v>
      </c>
      <c r="CE100" s="48" t="n">
        <f aca="false">IF(AA100&lt;&gt;"",AA100,Z100)</f>
        <v>1</v>
      </c>
      <c r="CF100" s="48" t="str">
        <f aca="false">IF(OR(CE100=1,CE100=2,CE100=3),IF(Parameter!$E$27="Ja","LIFT",IF(CE100=1,"L1","L23")),IF(CE100="Aussen","Aussen","-"))</f>
        <v>LIFT</v>
      </c>
      <c r="CG100" s="59" t="n">
        <f aca="false">IF(N(AB100)&gt;0,AB100,0)</f>
        <v>0</v>
      </c>
      <c r="CH100" s="53" t="n">
        <f aca="false">IF(ISNUMBER(AE100),1,0)</f>
        <v>0</v>
      </c>
      <c r="CI100" s="50" t="n">
        <f aca="false">N(AE100)</f>
        <v>0</v>
      </c>
      <c r="CJ100" s="50" t="n">
        <f aca="false">N(M100)+N(N100)</f>
        <v>55</v>
      </c>
      <c r="CK100" s="50" t="n">
        <f aca="false">N(M100)</f>
        <v>20</v>
      </c>
      <c r="CL100" s="50" t="n">
        <f aca="false">N(N100)</f>
        <v>35</v>
      </c>
      <c r="CM100" s="50" t="n">
        <f aca="false">ROUNDUP(H100/BY100,0)</f>
        <v>2</v>
      </c>
      <c r="CN100" s="50" t="n">
        <f aca="false">ROUNDUP(CI100/BY100,0)</f>
        <v>0</v>
      </c>
      <c r="CO100" s="53" t="n">
        <f aca="false">IF(BZ100=1,0,IFERROR(VLOOKUP(BX100,'Gebinde-Kategorie'!$A$5:$N$45,5,0)+0,0))</f>
        <v>40</v>
      </c>
      <c r="CP100" s="53" t="n">
        <f aca="false">IFERROR(IF(OR(CE100=1,CE100=2,CE100=3),N(INDEX(Parameter!$I$5:$I$7,CE100)),0),0)</f>
        <v>0</v>
      </c>
      <c r="CQ100" s="52" t="n">
        <f aca="false">IF(AND(Parameter!$B$21="Ja",ISNUMBER(W100),N(X100)&gt;0),IFERROR(N(INDEX(Parameter!$L$5:$L$7,W100))*INDEX(Parameter!$E$5:$E$7,W100)*X100/SUMIFS($X$7:$X$1843,$W$7:$W$1843,W100),0),0)</f>
        <v>0</v>
      </c>
    </row>
    <row r="101" customFormat="false" ht="15" hidden="false" customHeight="false" outlineLevel="0" collapsed="false">
      <c r="A101" s="48" t="s">
        <v>423</v>
      </c>
      <c r="B101" s="48" t="s">
        <v>424</v>
      </c>
      <c r="C101" s="48" t="s">
        <v>173</v>
      </c>
      <c r="D101" s="48" t="s">
        <v>193</v>
      </c>
      <c r="E101" s="48"/>
      <c r="F101" s="48" t="s">
        <v>227</v>
      </c>
      <c r="G101" s="49" t="n">
        <v>167.07</v>
      </c>
      <c r="H101" s="50" t="n">
        <f aca="false">MAX(0,IF(AND(Parameter!$B$21="Ja",ISNUMBER(Y101)),Y101,IF(Parameter!$B$20="Jahresanfang 2025 + Export",BR101+BQ101,BQ101)))</f>
        <v>14</v>
      </c>
      <c r="I101" s="50" t="n">
        <f aca="false">H101*G101</f>
        <v>2338.98</v>
      </c>
      <c r="J101" s="50" t="n">
        <f aca="false">BT101*Parameter!$B$18</f>
        <v>6</v>
      </c>
      <c r="K101" s="51" t="n">
        <v>0</v>
      </c>
      <c r="L101" s="52" t="n">
        <v>0</v>
      </c>
      <c r="M101" s="50" t="n">
        <v>0</v>
      </c>
      <c r="N101" s="50" t="n">
        <v>5</v>
      </c>
      <c r="O101" s="53" t="n">
        <v>28</v>
      </c>
      <c r="P101" s="48" t="s">
        <v>311</v>
      </c>
      <c r="Q101" s="50" t="n">
        <v>5</v>
      </c>
      <c r="R101" s="53" t="n">
        <f aca="false">IF(BZ101=1,0,IFERROR(VLOOKUP(BX101,'Gebinde-Kategorie'!$A$5:$N$45,13,0)+0,0))</f>
        <v>26</v>
      </c>
      <c r="S101" s="54"/>
      <c r="T101" s="55"/>
      <c r="U101" s="55"/>
      <c r="V101" s="55"/>
      <c r="W101" s="48"/>
      <c r="X101" s="50"/>
      <c r="Y101" s="50"/>
      <c r="Z101" s="48" t="n">
        <f aca="false">IF(A101="","",IF(AND(Parameter!$B$21="Ja",ISNUMBER(W101)),W101,IF(CC101="2+3",IF(ISNUMBER(SEARCH("grosser Artikel",BU101)),2,IFERROR(VLOOKUP(BX101,Parameter!$F$35:$G$64,2,0),2)),IF(OR(CC101="Nein",CC101=""),"-",CC101))))</f>
        <v>3</v>
      </c>
      <c r="AA101" s="55"/>
      <c r="AB101" s="56"/>
      <c r="AC101" s="50" t="n">
        <f aca="false">AV101</f>
        <v>5</v>
      </c>
      <c r="AD101" s="50" t="n">
        <f aca="false">MAX(AV101,H101)</f>
        <v>14</v>
      </c>
      <c r="AE101" s="57"/>
      <c r="AF101" s="50" t="n">
        <f aca="false">IF(LEFT(Cockpit!$C$5,1)="A",H101,IF(Parameter!$E$30="MAX-Bestand",IF(CH101=1,CI101,IF(LEFT(Cockpit!$C$5,1)="B",AL101,MAX(AL101,H101))),ROUNDUP(AJ101,0)))</f>
        <v>14</v>
      </c>
      <c r="AG101" s="50" t="n">
        <f aca="false">IF(BZ101=1,0,ROUNDUP(AF101/BY101,0))</f>
        <v>3</v>
      </c>
      <c r="AH101" s="52" t="n">
        <f aca="false">IF(CQ101&gt;0,CQ101*MAX(1,AF101/X101),IF(BZ101=1,IF(AF101&lt;=0,0,CD101*MAX(1,IF(H101&gt;0,AF101/H101,1))),IF(R101&gt;0,AG101/R101,0))/MAX(0.1,N(Parameter!$M$21)))</f>
        <v>0.115384615384615</v>
      </c>
      <c r="AI101" s="50" t="n">
        <f aca="false">AH101*CB101</f>
        <v>17.8846153846154</v>
      </c>
      <c r="AJ101" s="51" t="n">
        <f aca="false">IF(LEFT(Cockpit!$C$5,1)="A",H101,IF(CH101=1,(CK101+CI101)/2,IF(LEFT(Cockpit!$C$5,1)="B",(CK101+AL101)/2,MAX((CK101+AL101)/2,H101))))</f>
        <v>14</v>
      </c>
      <c r="AK101" s="50" t="n">
        <f aca="false">AJ101*G101</f>
        <v>2338.98</v>
      </c>
      <c r="AL101" s="50" t="n">
        <f aca="false">ROUNDUP(CK101+MAX(CL101,2*(J101/IF(CG101&gt;0,CG101,MAX(0.1,N(Cockpit!$C$6)))-CK101)),0)</f>
        <v>5</v>
      </c>
      <c r="AM101" s="51" t="n">
        <f aca="false">IF(AI101&gt;0,J101/AI101,-1)</f>
        <v>0.335483870967742</v>
      </c>
      <c r="AN101" s="51" t="n">
        <f aca="false">IF(AND(OR(CF101="L1",CF101="L23",CF101="LIFT"),AI101&gt;0),SUMIFS($AI$7:$AI$1843,$CF$7:$CF$1843,CF101,$AM$7:$AM$1843,"&gt;"&amp;AM101)+SUMIFS($AI$7:$AI$1843,$CF$7:$CF$1843,CF101,$AM$7:$AM$1843,AM101,$BW$7:$BW$1843,"&lt;="&amp;BW101),"")</f>
        <v>11162.1731933321</v>
      </c>
      <c r="AO101" s="58" t="n">
        <f aca="false">IF(AN101="",0,MAX(0,MIN(1,(IF(CF101="L1",Parameter!$H$5,IF(CF101="L23",Parameter!$H$6+Parameter!$H$7,Parameter!$H$5+Parameter!$H$6+Parameter!$H$7))-(AN101-AI101))/AI101)))</f>
        <v>1</v>
      </c>
      <c r="AP101" s="50" t="n">
        <f aca="false">IF(LEFT(Cockpit!$I$5,1)="A",H101,IF(Parameter!$E$30="MAX-Bestand",IF(CH101=1,CI101,IF(LEFT(Cockpit!$I$5,1)="B",AV101,MAX(AV101,H101))),ROUNDUP(AT101,0)))</f>
        <v>14</v>
      </c>
      <c r="AQ101" s="50" t="n">
        <f aca="false">IF(BZ101=1,0,ROUNDUP(AP101/BY101,0))</f>
        <v>3</v>
      </c>
      <c r="AR101" s="52" t="n">
        <f aca="false">IF(CQ101&gt;0,CQ101*MAX(1,AP101/X101),IF(BZ101=1,IF(AP101&lt;=0,0,CD101*MAX(1,IF(H101&gt;0,AP101/H101,1))),IF(R101&gt;0,AQ101/R101,0))/MAX(0.1,N(Parameter!$M$21)))</f>
        <v>0.115384615384615</v>
      </c>
      <c r="AS101" s="50" t="n">
        <f aca="false">AR101*CB101</f>
        <v>17.8846153846154</v>
      </c>
      <c r="AT101" s="51" t="n">
        <f aca="false">IF(LEFT(Cockpit!$I$5,1)="A",H101,IF(CH101=1,(CK101+CI101)/2,IF(LEFT(Cockpit!$I$5,1)="B",(CK101+AV101)/2,MAX((CK101+AV101)/2,H101))))</f>
        <v>14</v>
      </c>
      <c r="AU101" s="50" t="n">
        <f aca="false">AT101*G101</f>
        <v>2338.98</v>
      </c>
      <c r="AV101" s="50" t="n">
        <f aca="false">ROUNDUP(CK101+MAX(CL101,2*(J101/IF(CG101&gt;0,CG101,MAX(0.1,N(Cockpit!$I$6)))-CK101)),0)</f>
        <v>5</v>
      </c>
      <c r="AW101" s="51" t="n">
        <f aca="false">IF(AS101&gt;0,J101/AS101,-1)</f>
        <v>0.335483870967742</v>
      </c>
      <c r="AX101" s="51" t="n">
        <f aca="false">IF(AND(OR(CF101="L1",CF101="L23",CF101="LIFT"),AS101&gt;0),SUMIFS($AS$7:$AS$1843,$CF$7:$CF$1843,CF101,$AW$7:$AW$1843,"&gt;"&amp;AW101)+SUMIFS($AS$7:$AS$1843,$CF$7:$CF$1843,CF101,$AW$7:$AW$1843,AW101,$BW$7:$BW$1843,"&lt;="&amp;BW101),"")</f>
        <v>13684.3878205128</v>
      </c>
      <c r="AY101" s="58" t="n">
        <f aca="false">IF(AX101="",0,MAX(0,MIN(1,(IF(CF101="L1",Parameter!$H$5,IF(CF101="L23",Parameter!$H$6+Parameter!$H$7,Parameter!$H$5+Parameter!$H$6+Parameter!$H$7))-(AX101-AS101))/AS101)))</f>
        <v>1</v>
      </c>
      <c r="AZ101" s="50" t="n">
        <f aca="false">IF(LEFT(Cockpit!$O$5,1)="A",H101,IF(Parameter!$E$30="MAX-Bestand",IF(CH101=1,CI101,IF(LEFT(Cockpit!$O$5,1)="B",BF101,MAX(BF101,H101))),ROUNDUP(BD101,0)))</f>
        <v>3</v>
      </c>
      <c r="BA101" s="50" t="n">
        <f aca="false">IF(BZ101=1,0,ROUNDUP(AZ101/BY101,0))</f>
        <v>1</v>
      </c>
      <c r="BB101" s="52" t="n">
        <f aca="false">IF(CQ101&gt;0,CQ101*MAX(1,AZ101/X101),IF(BZ101=1,IF(AZ101&lt;=0,0,CD101*MAX(1,IF(H101&gt;0,AZ101/H101,1))),IF(R101&gt;0,BA101/R101,0))/MAX(0.1,N(Parameter!$M$21)))</f>
        <v>0.0384615384615385</v>
      </c>
      <c r="BC101" s="50" t="n">
        <f aca="false">BB101*CB101</f>
        <v>5.96153846153846</v>
      </c>
      <c r="BD101" s="51" t="n">
        <f aca="false">IF(LEFT(Cockpit!$O$5,1)="A",H101,IF(CH101=1,(CK101+CI101)/2,IF(LEFT(Cockpit!$O$5,1)="B",(CK101+BF101)/2,MAX((CK101+BF101)/2,H101))))</f>
        <v>2.5</v>
      </c>
      <c r="BE101" s="50" t="n">
        <f aca="false">BD101*G101</f>
        <v>417.675</v>
      </c>
      <c r="BF101" s="50" t="n">
        <f aca="false">ROUNDUP(CK101+MAX(CL101,2*(J101/IF(CG101&gt;0,CG101,MAX(0.1,N(Cockpit!$O$6)))-CK101)),0)</f>
        <v>5</v>
      </c>
      <c r="BG101" s="51" t="n">
        <f aca="false">IF(BC101&gt;0,J101/BC101,-1)</f>
        <v>1.00645161290323</v>
      </c>
      <c r="BH101" s="51" t="n">
        <f aca="false">IF(AND(OR(CF101="L1",CF101="L23",CF101="LIFT"),BC101&gt;0),SUMIFS($BC$7:$BC$1843,$CF$7:$CF$1843,CF101,$BG$7:$BG$1843,"&gt;"&amp;BG101)+SUMIFS($BC$7:$BC$1843,$CF$7:$CF$1843,CF101,$BG$7:$BG$1843,BG101,$BW$7:$BW$1843,"&lt;="&amp;BW101),"")</f>
        <v>7642.35485347985</v>
      </c>
      <c r="BI101" s="58" t="n">
        <f aca="false">IF(BH101="",0,MAX(0,MIN(1,(IF(CF101="L1",Parameter!$H$5,IF(CF101="L23",Parameter!$H$6+Parameter!$H$7,Parameter!$H$5+Parameter!$H$6+Parameter!$H$7))-(BH101-BC101))/BC101)))</f>
        <v>1</v>
      </c>
      <c r="BJ101" s="48" t="str">
        <f aca="false">IF(AI101&lt;=0,"",IF(CF101="Aussen","Aussenlager",IF(CF101="-","Nicht im Lift",IF(AO101&gt;=1,"Lift",IF(AO101&lt;=0,"Aussenlager","teilweise")))))</f>
        <v>Lift</v>
      </c>
      <c r="BK101" s="48" t="str">
        <f aca="false">IF(AS101&lt;=0,"",IF(CF101="Aussen","Aussenlager",IF(CF101="-","Nicht im Lift",IF(AY101&gt;=1,"Lift",IF(AY101&lt;=0,"Aussenlager","teilweise")))))</f>
        <v>Lift</v>
      </c>
      <c r="BL101" s="48" t="str">
        <f aca="false">IF(BC101&lt;=0,"",IF(CF101="Aussen","Aussenlager",IF(CF101="-","Nicht im Lift",IF(BI101&gt;=1,"Lift",IF(BI101&lt;=0,"Aussenlager","teilweise")))))</f>
        <v>Lift</v>
      </c>
      <c r="BM101" s="48" t="str">
        <f aca="false">IF(A101="","",IF(BV101=1,"Neu; ","")&amp;IF(AND(BV101=0,BQ101&lt;0),"negativer Bestand (Export "&amp;BQ101&amp;"); ","")&amp;IF(J101&lt;=0,"Kein Verbrauch; ","")&amp;IF(CQ101&gt;0,"Lift "&amp;W101&amp;" lt. Liftbericht (Fach "&amp;X101&amp;" Stk); ",IF(CA101=1,"Gebinde geschätzt ("&amp;T101&amp;"); ",IF(BZ101=1,"Lose – Tablare geschätzt; ","")))&amp;IF(H101&gt;AV101,"Überbestand "&amp;ROUND(H101-AV101,0)&amp;" Stk / CHF "&amp;ROUND((H101-AV101)*G101,0)&amp;"; ","")&amp;IF(AND(CH101=1,CI101&lt;CJ101),"MAX &lt; MB+LG; ","")&amp;IF(AND(CP101&gt;0,CO101*10&gt;CP101),"zu hoch für Tablar; ","")&amp;IF(AND(BV101=0,OR(CH101=1,AA101&lt;&gt;"",U101&lt;&gt;"",V101&lt;&gt;"",AB101&lt;&gt;"")),"manuell übersteuert; ","")&amp;IF(AND(BZ101=0,R101=0),"Gebinde unbekannt / Stellmass fehlt; ","")&amp;IF(AND(BZ101=0,N(V101)&lt;=0,N(Q101)&lt;=0),"Menge pro Gebinde fehlt (Ist = 1 Gebinde); ","")&amp;BU101)</f>
        <v>Überbestand 9 Stk / CHF 1504; </v>
      </c>
      <c r="BN101" s="48"/>
      <c r="BO101" s="48"/>
      <c r="BP101" s="55"/>
      <c r="BQ101" s="50" t="n">
        <v>14</v>
      </c>
      <c r="BR101" s="50" t="n">
        <v>0</v>
      </c>
      <c r="BS101" s="49" t="n">
        <v>2338.96</v>
      </c>
      <c r="BT101" s="50" t="n">
        <v>6</v>
      </c>
      <c r="BU101" s="48"/>
      <c r="BV101" s="53" t="n">
        <v>0</v>
      </c>
      <c r="BW101" s="53" t="n">
        <v>101</v>
      </c>
      <c r="BX101" s="48" t="str">
        <f aca="false">IF(U101&lt;&gt;"",UPPER(TRIM(U101)),IF(CA101=1,UPPER(VLOOKUP(T101,Parameter!$I$27:$K$29,2,0)),IF(P101="","LOSE",P101)))</f>
        <v>S51</v>
      </c>
      <c r="BY101" s="50" t="n">
        <f aca="false">IF(BX101="LOSE",1,IF(N(V101)&gt;0,V101,IF(CA101=1,MAX(1,N(VLOOKUP(T101,Parameter!$I$27:$K$29,3,0)),H101,N(N101)),IF(N(Q101)&gt;0,Q101,MAX(1,H101)))))</f>
        <v>5</v>
      </c>
      <c r="BZ101" s="53" t="n">
        <f aca="false">IF(BX101="LOSE",1,0)</f>
        <v>0</v>
      </c>
      <c r="CA101" s="53" t="n">
        <f aca="false">IF(AND(U101="",OR(P101="",P101="LOSE"),T101&lt;&gt;"",N(S101)&lt;=0,ISNUMBER(MATCH(T101,Parameter!$I$27:$I$29,0))),1,0)</f>
        <v>0</v>
      </c>
      <c r="CB101" s="53" t="n">
        <f aca="false">IF(CQ101&gt;0,INDEX(Parameter!$H$5:$H$7,W101)/INDEX(Parameter!$E$5:$E$7,W101),IF(AND(BZ101=0,N(IFERROR(VLOOKUP(BX101,'Gebinde-Kategorie'!$A$5:$N$45,14,0),0))&gt;0),VLOOKUP(BX101,'Gebinde-Kategorie'!$A$5:$N$45,14,0)*10+Parameter!$M$23,Parameter!$M$24))</f>
        <v>155</v>
      </c>
      <c r="CC101" s="48" t="str">
        <f aca="false">IF(AND(Parameter!$B$19="Ja",E101&lt;&gt;"",ISNUMBER(MATCH(E101,Parameter!$I$35:$I$52,0))),VLOOKUP(E101,Parameter!$I$35:$J$52,2,0),IFERROR(VLOOKUP(D101,Parameter!$A$35:$C$64,2,0),"Nein"))</f>
        <v>2+3</v>
      </c>
      <c r="CD101" s="52" t="n">
        <f aca="false">IF(BZ101=0,0,IF(N(S101)&gt;0,S101,IFERROR(VLOOKUP(D101,Parameter!$A$35:$C$64,3,0)+0,0)))</f>
        <v>0</v>
      </c>
      <c r="CE101" s="48" t="n">
        <f aca="false">IF(AA101&lt;&gt;"",AA101,Z101)</f>
        <v>3</v>
      </c>
      <c r="CF101" s="48" t="str">
        <f aca="false">IF(OR(CE101=1,CE101=2,CE101=3),IF(Parameter!$E$27="Ja","LIFT",IF(CE101=1,"L1","L23")),IF(CE101="Aussen","Aussen","-"))</f>
        <v>LIFT</v>
      </c>
      <c r="CG101" s="59" t="n">
        <f aca="false">IF(N(AB101)&gt;0,AB101,0)</f>
        <v>0</v>
      </c>
      <c r="CH101" s="53" t="n">
        <f aca="false">IF(ISNUMBER(AE101),1,0)</f>
        <v>0</v>
      </c>
      <c r="CI101" s="50" t="n">
        <f aca="false">N(AE101)</f>
        <v>0</v>
      </c>
      <c r="CJ101" s="50" t="n">
        <f aca="false">N(M101)+N(N101)</f>
        <v>5</v>
      </c>
      <c r="CK101" s="50" t="n">
        <f aca="false">N(M101)</f>
        <v>0</v>
      </c>
      <c r="CL101" s="50" t="n">
        <f aca="false">N(N101)</f>
        <v>5</v>
      </c>
      <c r="CM101" s="50" t="n">
        <f aca="false">ROUNDUP(H101/BY101,0)</f>
        <v>3</v>
      </c>
      <c r="CN101" s="50" t="n">
        <f aca="false">ROUNDUP(CI101/BY101,0)</f>
        <v>0</v>
      </c>
      <c r="CO101" s="53" t="n">
        <f aca="false">IF(BZ101=1,0,IFERROR(VLOOKUP(BX101,'Gebinde-Kategorie'!$A$5:$N$45,5,0)+0,0))</f>
        <v>11</v>
      </c>
      <c r="CP101" s="53" t="n">
        <f aca="false">IFERROR(IF(OR(CE101=1,CE101=2,CE101=3),N(INDEX(Parameter!$I$5:$I$7,CE101)),0),0)</f>
        <v>0</v>
      </c>
      <c r="CQ101" s="52" t="n">
        <f aca="false">IF(AND(Parameter!$B$21="Ja",ISNUMBER(W101),N(X101)&gt;0),IFERROR(N(INDEX(Parameter!$L$5:$L$7,W101))*INDEX(Parameter!$E$5:$E$7,W101)*X101/SUMIFS($X$7:$X$1843,$W$7:$W$1843,W101),0),0)</f>
        <v>0</v>
      </c>
    </row>
    <row r="102" customFormat="false" ht="15" hidden="false" customHeight="false" outlineLevel="0" collapsed="false">
      <c r="A102" s="48" t="s">
        <v>425</v>
      </c>
      <c r="B102" s="48" t="s">
        <v>426</v>
      </c>
      <c r="C102" s="48" t="s">
        <v>173</v>
      </c>
      <c r="D102" s="48" t="s">
        <v>182</v>
      </c>
      <c r="E102" s="48" t="s">
        <v>194</v>
      </c>
      <c r="F102" s="48" t="s">
        <v>227</v>
      </c>
      <c r="G102" s="49" t="n">
        <v>178.31</v>
      </c>
      <c r="H102" s="50" t="n">
        <f aca="false">MAX(0,IF(AND(Parameter!$B$21="Ja",ISNUMBER(Y102)),Y102,IF(Parameter!$B$20="Jahresanfang 2025 + Export",BR102+BQ102,BQ102)))</f>
        <v>17</v>
      </c>
      <c r="I102" s="50" t="n">
        <f aca="false">H102*G102</f>
        <v>3031.27</v>
      </c>
      <c r="J102" s="50" t="n">
        <f aca="false">BT102*Parameter!$B$18</f>
        <v>12</v>
      </c>
      <c r="K102" s="51" t="n">
        <v>12</v>
      </c>
      <c r="L102" s="52" t="n">
        <v>1</v>
      </c>
      <c r="M102" s="50" t="n">
        <v>0</v>
      </c>
      <c r="N102" s="50" t="n">
        <v>50</v>
      </c>
      <c r="O102" s="53" t="n">
        <v>14</v>
      </c>
      <c r="P102" s="48" t="s">
        <v>232</v>
      </c>
      <c r="Q102" s="50" t="n">
        <v>15</v>
      </c>
      <c r="R102" s="53" t="n">
        <f aca="false">IF(BZ102=1,0,IFERROR(VLOOKUP(BX102,'Gebinde-Kategorie'!$A$5:$N$45,13,0)+0,0))</f>
        <v>4</v>
      </c>
      <c r="S102" s="54"/>
      <c r="T102" s="55"/>
      <c r="U102" s="55"/>
      <c r="V102" s="55"/>
      <c r="W102" s="48"/>
      <c r="X102" s="50"/>
      <c r="Y102" s="50"/>
      <c r="Z102" s="48" t="n">
        <f aca="false">IF(A102="","",IF(AND(Parameter!$B$21="Ja",ISNUMBER(W102)),W102,IF(CC102="2+3",IF(ISNUMBER(SEARCH("grosser Artikel",BU102)),2,IFERROR(VLOOKUP(BX102,Parameter!$F$35:$G$64,2,0),2)),IF(OR(CC102="Nein",CC102=""),"-",CC102))))</f>
        <v>2</v>
      </c>
      <c r="AA102" s="55"/>
      <c r="AB102" s="56"/>
      <c r="AC102" s="50" t="n">
        <f aca="false">AV102</f>
        <v>50</v>
      </c>
      <c r="AD102" s="50" t="n">
        <f aca="false">MAX(AV102,H102)</f>
        <v>50</v>
      </c>
      <c r="AE102" s="57"/>
      <c r="AF102" s="50" t="n">
        <f aca="false">IF(LEFT(Cockpit!$C$5,1)="A",H102,IF(Parameter!$E$30="MAX-Bestand",IF(CH102=1,CI102,IF(LEFT(Cockpit!$C$5,1)="B",AL102,MAX(AL102,H102))),ROUNDUP(AJ102,0)))</f>
        <v>17</v>
      </c>
      <c r="AG102" s="50" t="n">
        <f aca="false">IF(BZ102=1,0,ROUNDUP(AF102/BY102,0))</f>
        <v>2</v>
      </c>
      <c r="AH102" s="52" t="n">
        <f aca="false">IF(CQ102&gt;0,CQ102*MAX(1,AF102/X102),IF(BZ102=1,IF(AF102&lt;=0,0,CD102*MAX(1,IF(H102&gt;0,AF102/H102,1))),IF(R102&gt;0,AG102/R102,0))/MAX(0.1,N(Parameter!$M$21)))</f>
        <v>0.5</v>
      </c>
      <c r="AI102" s="50" t="n">
        <f aca="false">AH102*CB102</f>
        <v>117.5</v>
      </c>
      <c r="AJ102" s="51" t="n">
        <f aca="false">IF(LEFT(Cockpit!$C$5,1)="A",H102,IF(CH102=1,(CK102+CI102)/2,IF(LEFT(Cockpit!$C$5,1)="B",(CK102+AL102)/2,MAX((CK102+AL102)/2,H102))))</f>
        <v>17</v>
      </c>
      <c r="AK102" s="50" t="n">
        <f aca="false">AJ102*G102</f>
        <v>3031.27</v>
      </c>
      <c r="AL102" s="50" t="n">
        <f aca="false">ROUNDUP(CK102+MAX(CL102,2*(J102/IF(CG102&gt;0,CG102,MAX(0.1,N(Cockpit!$C$6)))-CK102)),0)</f>
        <v>50</v>
      </c>
      <c r="AM102" s="51" t="n">
        <f aca="false">IF(AI102&gt;0,J102/AI102,-1)</f>
        <v>0.102127659574468</v>
      </c>
      <c r="AN102" s="51" t="n">
        <f aca="false">IF(AND(OR(CF102="L1",CF102="L23",CF102="LIFT"),AI102&gt;0),SUMIFS($AI$7:$AI$1843,$CF$7:$CF$1843,CF102,$AM$7:$AM$1843,"&gt;"&amp;AM102)+SUMIFS($AI$7:$AI$1843,$CF$7:$CF$1843,CF102,$AM$7:$AM$1843,AM102,$BW$7:$BW$1843,"&lt;="&amp;BW102),"")</f>
        <v>15736.4344306823</v>
      </c>
      <c r="AO102" s="58" t="n">
        <f aca="false">IF(AN102="",0,MAX(0,MIN(1,(IF(CF102="L1",Parameter!$H$5,IF(CF102="L23",Parameter!$H$6+Parameter!$H$7,Parameter!$H$5+Parameter!$H$6+Parameter!$H$7))-(AN102-AI102))/AI102)))</f>
        <v>1</v>
      </c>
      <c r="AP102" s="50" t="n">
        <f aca="false">IF(LEFT(Cockpit!$I$5,1)="A",H102,IF(Parameter!$E$30="MAX-Bestand",IF(CH102=1,CI102,IF(LEFT(Cockpit!$I$5,1)="B",AV102,MAX(AV102,H102))),ROUNDUP(AT102,0)))</f>
        <v>25</v>
      </c>
      <c r="AQ102" s="50" t="n">
        <f aca="false">IF(BZ102=1,0,ROUNDUP(AP102/BY102,0))</f>
        <v>2</v>
      </c>
      <c r="AR102" s="52" t="n">
        <f aca="false">IF(CQ102&gt;0,CQ102*MAX(1,AP102/X102),IF(BZ102=1,IF(AP102&lt;=0,0,CD102*MAX(1,IF(H102&gt;0,AP102/H102,1))),IF(R102&gt;0,AQ102/R102,0))/MAX(0.1,N(Parameter!$M$21)))</f>
        <v>0.5</v>
      </c>
      <c r="AS102" s="50" t="n">
        <f aca="false">AR102*CB102</f>
        <v>117.5</v>
      </c>
      <c r="AT102" s="51" t="n">
        <f aca="false">IF(LEFT(Cockpit!$I$5,1)="A",H102,IF(CH102=1,(CK102+CI102)/2,IF(LEFT(Cockpit!$I$5,1)="B",(CK102+AV102)/2,MAX((CK102+AV102)/2,H102))))</f>
        <v>25</v>
      </c>
      <c r="AU102" s="50" t="n">
        <f aca="false">AT102*G102</f>
        <v>4457.75</v>
      </c>
      <c r="AV102" s="50" t="n">
        <f aca="false">ROUNDUP(CK102+MAX(CL102,2*(J102/IF(CG102&gt;0,CG102,MAX(0.1,N(Cockpit!$I$6)))-CK102)),0)</f>
        <v>50</v>
      </c>
      <c r="AW102" s="51" t="n">
        <f aca="false">IF(AS102&gt;0,J102/AS102,-1)</f>
        <v>0.102127659574468</v>
      </c>
      <c r="AX102" s="51" t="n">
        <f aca="false">IF(AND(OR(CF102="L1",CF102="L23",CF102="LIFT"),AS102&gt;0),SUMIFS($AS$7:$AS$1843,$CF$7:$CF$1843,CF102,$AW$7:$AW$1843,"&gt;"&amp;AW102)+SUMIFS($AS$7:$AS$1843,$CF$7:$CF$1843,CF102,$AW$7:$AW$1843,AW102,$BW$7:$BW$1843,"&lt;="&amp;BW102),"")</f>
        <v>19760.8330720598</v>
      </c>
      <c r="AY102" s="58" t="n">
        <f aca="false">IF(AX102="",0,MAX(0,MIN(1,(IF(CF102="L1",Parameter!$H$5,IF(CF102="L23",Parameter!$H$6+Parameter!$H$7,Parameter!$H$5+Parameter!$H$6+Parameter!$H$7))-(AX102-AS102))/AS102)))</f>
        <v>1</v>
      </c>
      <c r="AZ102" s="50" t="n">
        <f aca="false">IF(LEFT(Cockpit!$O$5,1)="A",H102,IF(Parameter!$E$30="MAX-Bestand",IF(CH102=1,CI102,IF(LEFT(Cockpit!$O$5,1)="B",BF102,MAX(BF102,H102))),ROUNDUP(BD102,0)))</f>
        <v>25</v>
      </c>
      <c r="BA102" s="50" t="n">
        <f aca="false">IF(BZ102=1,0,ROUNDUP(AZ102/BY102,0))</f>
        <v>2</v>
      </c>
      <c r="BB102" s="52" t="n">
        <f aca="false">IF(CQ102&gt;0,CQ102*MAX(1,AZ102/X102),IF(BZ102=1,IF(AZ102&lt;=0,0,CD102*MAX(1,IF(H102&gt;0,AZ102/H102,1))),IF(R102&gt;0,BA102/R102,0))/MAX(0.1,N(Parameter!$M$21)))</f>
        <v>0.5</v>
      </c>
      <c r="BC102" s="50" t="n">
        <f aca="false">BB102*CB102</f>
        <v>117.5</v>
      </c>
      <c r="BD102" s="51" t="n">
        <f aca="false">IF(LEFT(Cockpit!$O$5,1)="A",H102,IF(CH102=1,(CK102+CI102)/2,IF(LEFT(Cockpit!$O$5,1)="B",(CK102+BF102)/2,MAX((CK102+BF102)/2,H102))))</f>
        <v>25</v>
      </c>
      <c r="BE102" s="50" t="n">
        <f aca="false">BD102*G102</f>
        <v>4457.75</v>
      </c>
      <c r="BF102" s="50" t="n">
        <f aca="false">ROUNDUP(CK102+MAX(CL102,2*(J102/IF(CG102&gt;0,CG102,MAX(0.1,N(Cockpit!$O$6)))-CK102)),0)</f>
        <v>50</v>
      </c>
      <c r="BG102" s="51" t="n">
        <f aca="false">IF(BC102&gt;0,J102/BC102,-1)</f>
        <v>0.102127659574468</v>
      </c>
      <c r="BH102" s="51" t="n">
        <f aca="false">IF(AND(OR(CF102="L1",CF102="L23",CF102="LIFT"),BC102&gt;0),SUMIFS($BC$7:$BC$1843,$CF$7:$CF$1843,CF102,$BG$7:$BG$1843,"&gt;"&amp;BG102)+SUMIFS($BC$7:$BC$1843,$CF$7:$CF$1843,CF102,$BG$7:$BG$1843,BG102,$BW$7:$BW$1843,"&lt;="&amp;BW102),"")</f>
        <v>17390.3956845885</v>
      </c>
      <c r="BI102" s="58" t="n">
        <f aca="false">IF(BH102="",0,MAX(0,MIN(1,(IF(CF102="L1",Parameter!$H$5,IF(CF102="L23",Parameter!$H$6+Parameter!$H$7,Parameter!$H$5+Parameter!$H$6+Parameter!$H$7))-(BH102-BC102))/BC102)))</f>
        <v>1</v>
      </c>
      <c r="BJ102" s="48" t="str">
        <f aca="false">IF(AI102&lt;=0,"",IF(CF102="Aussen","Aussenlager",IF(CF102="-","Nicht im Lift",IF(AO102&gt;=1,"Lift",IF(AO102&lt;=0,"Aussenlager","teilweise")))))</f>
        <v>Lift</v>
      </c>
      <c r="BK102" s="48" t="str">
        <f aca="false">IF(AS102&lt;=0,"",IF(CF102="Aussen","Aussenlager",IF(CF102="-","Nicht im Lift",IF(AY102&gt;=1,"Lift",IF(AY102&lt;=0,"Aussenlager","teilweise")))))</f>
        <v>Lift</v>
      </c>
      <c r="BL102" s="48" t="str">
        <f aca="false">IF(BC102&lt;=0,"",IF(CF102="Aussen","Aussenlager",IF(CF102="-","Nicht im Lift",IF(BI102&gt;=1,"Lift",IF(BI102&lt;=0,"Aussenlager","teilweise")))))</f>
        <v>Lift</v>
      </c>
      <c r="BM102" s="48" t="str">
        <f aca="false">IF(A102="","",IF(BV102=1,"Neu; ","")&amp;IF(AND(BV102=0,BQ102&lt;0),"negativer Bestand (Export "&amp;BQ102&amp;"); ","")&amp;IF(J102&lt;=0,"Kein Verbrauch; ","")&amp;IF(CQ102&gt;0,"Lift "&amp;W102&amp;" lt. Liftbericht (Fach "&amp;X102&amp;" Stk); ",IF(CA102=1,"Gebinde geschätzt ("&amp;T102&amp;"); ",IF(BZ102=1,"Lose – Tablare geschätzt; ","")))&amp;IF(H102&gt;AV102,"Überbestand "&amp;ROUND(H102-AV102,0)&amp;" Stk / CHF "&amp;ROUND((H102-AV102)*G102,0)&amp;"; ","")&amp;IF(AND(CH102=1,CI102&lt;CJ102),"MAX &lt; MB+LG; ","")&amp;IF(AND(CP102&gt;0,CO102*10&gt;CP102),"zu hoch für Tablar; ","")&amp;IF(AND(BV102=0,OR(CH102=1,AA102&lt;&gt;"",U102&lt;&gt;"",V102&lt;&gt;"",AB102&lt;&gt;"")),"manuell übersteuert; ","")&amp;IF(AND(BZ102=0,R102=0),"Gebinde unbekannt / Stellmass fehlt; ","")&amp;IF(AND(BZ102=0,N(V102)&lt;=0,N(Q102)&lt;=0),"Menge pro Gebinde fehlt (Ist = 1 Gebinde); ","")&amp;BU102)</f>
        <v>grosser Artikel &amp; nicht im KTL</v>
      </c>
      <c r="BN102" s="48"/>
      <c r="BO102" s="48"/>
      <c r="BP102" s="55"/>
      <c r="BQ102" s="50" t="n">
        <v>13</v>
      </c>
      <c r="BR102" s="50" t="n">
        <v>4</v>
      </c>
      <c r="BS102" s="49" t="n">
        <v>2328.73</v>
      </c>
      <c r="BT102" s="50" t="n">
        <v>12</v>
      </c>
      <c r="BU102" s="48" t="s">
        <v>270</v>
      </c>
      <c r="BV102" s="53" t="n">
        <v>0</v>
      </c>
      <c r="BW102" s="53" t="n">
        <v>102</v>
      </c>
      <c r="BX102" s="48" t="str">
        <f aca="false">IF(U102&lt;&gt;"",UPPER(TRIM(U102)),IF(CA102=1,UPPER(VLOOKUP(T102,Parameter!$I$27:$K$29,2,0)),IF(P102="","LOSE",P102)))</f>
        <v>S81</v>
      </c>
      <c r="BY102" s="50" t="n">
        <f aca="false">IF(BX102="LOSE",1,IF(N(V102)&gt;0,V102,IF(CA102=1,MAX(1,N(VLOOKUP(T102,Parameter!$I$27:$K$29,3,0)),H102,N(N102)),IF(N(Q102)&gt;0,Q102,MAX(1,H102)))))</f>
        <v>15</v>
      </c>
      <c r="BZ102" s="53" t="n">
        <f aca="false">IF(BX102="LOSE",1,0)</f>
        <v>0</v>
      </c>
      <c r="CA102" s="53" t="n">
        <f aca="false">IF(AND(U102="",OR(P102="",P102="LOSE"),T102&lt;&gt;"",N(S102)&lt;=0,ISNUMBER(MATCH(T102,Parameter!$I$27:$I$29,0))),1,0)</f>
        <v>0</v>
      </c>
      <c r="CB102" s="53" t="n">
        <f aca="false">IF(CQ102&gt;0,INDEX(Parameter!$H$5:$H$7,W102)/INDEX(Parameter!$E$5:$E$7,W102),IF(AND(BZ102=0,N(IFERROR(VLOOKUP(BX102,'Gebinde-Kategorie'!$A$5:$N$45,14,0),0))&gt;0),VLOOKUP(BX102,'Gebinde-Kategorie'!$A$5:$N$45,14,0)*10+Parameter!$M$23,Parameter!$M$24))</f>
        <v>235</v>
      </c>
      <c r="CC102" s="48" t="str">
        <f aca="false">IF(AND(Parameter!$B$19="Ja",E102&lt;&gt;"",ISNUMBER(MATCH(E102,Parameter!$I$35:$I$52,0))),VLOOKUP(E102,Parameter!$I$35:$J$52,2,0),IFERROR(VLOOKUP(D102,Parameter!$A$35:$C$64,2,0),"Nein"))</f>
        <v>2+3</v>
      </c>
      <c r="CD102" s="52" t="n">
        <f aca="false">IF(BZ102=0,0,IF(N(S102)&gt;0,S102,IFERROR(VLOOKUP(D102,Parameter!$A$35:$C$64,3,0)+0,0)))</f>
        <v>0</v>
      </c>
      <c r="CE102" s="48" t="n">
        <f aca="false">IF(AA102&lt;&gt;"",AA102,Z102)</f>
        <v>2</v>
      </c>
      <c r="CF102" s="48" t="str">
        <f aca="false">IF(OR(CE102=1,CE102=2,CE102=3),IF(Parameter!$E$27="Ja","LIFT",IF(CE102=1,"L1","L23")),IF(CE102="Aussen","Aussen","-"))</f>
        <v>LIFT</v>
      </c>
      <c r="CG102" s="59" t="n">
        <f aca="false">IF(N(AB102)&gt;0,AB102,0)</f>
        <v>0</v>
      </c>
      <c r="CH102" s="53" t="n">
        <f aca="false">IF(ISNUMBER(AE102),1,0)</f>
        <v>0</v>
      </c>
      <c r="CI102" s="50" t="n">
        <f aca="false">N(AE102)</f>
        <v>0</v>
      </c>
      <c r="CJ102" s="50" t="n">
        <f aca="false">N(M102)+N(N102)</f>
        <v>50</v>
      </c>
      <c r="CK102" s="50" t="n">
        <f aca="false">N(M102)</f>
        <v>0</v>
      </c>
      <c r="CL102" s="50" t="n">
        <f aca="false">N(N102)</f>
        <v>50</v>
      </c>
      <c r="CM102" s="50" t="n">
        <f aca="false">ROUNDUP(H102/BY102,0)</f>
        <v>2</v>
      </c>
      <c r="CN102" s="50" t="n">
        <f aca="false">ROUNDUP(CI102/BY102,0)</f>
        <v>0</v>
      </c>
      <c r="CO102" s="53" t="n">
        <f aca="false">IF(BZ102=1,0,IFERROR(VLOOKUP(BX102,'Gebinde-Kategorie'!$A$5:$N$45,5,0)+0,0))</f>
        <v>20</v>
      </c>
      <c r="CP102" s="53" t="n">
        <f aca="false">IFERROR(IF(OR(CE102=1,CE102=2,CE102=3),N(INDEX(Parameter!$I$5:$I$7,CE102)),0),0)</f>
        <v>0</v>
      </c>
      <c r="CQ102" s="52" t="n">
        <f aca="false">IF(AND(Parameter!$B$21="Ja",ISNUMBER(W102),N(X102)&gt;0),IFERROR(N(INDEX(Parameter!$L$5:$L$7,W102))*INDEX(Parameter!$E$5:$E$7,W102)*X102/SUMIFS($X$7:$X$1843,$W$7:$W$1843,W102),0),0)</f>
        <v>0</v>
      </c>
    </row>
    <row r="103" customFormat="false" ht="15" hidden="false" customHeight="false" outlineLevel="0" collapsed="false">
      <c r="A103" s="48" t="s">
        <v>427</v>
      </c>
      <c r="B103" s="48" t="s">
        <v>428</v>
      </c>
      <c r="C103" s="48" t="s">
        <v>173</v>
      </c>
      <c r="D103" s="48" t="s">
        <v>182</v>
      </c>
      <c r="E103" s="48"/>
      <c r="F103" s="48" t="s">
        <v>227</v>
      </c>
      <c r="G103" s="49" t="n">
        <v>305.49</v>
      </c>
      <c r="H103" s="50" t="n">
        <f aca="false">MAX(0,IF(AND(Parameter!$B$21="Ja",ISNUMBER(Y103)),Y103,IF(Parameter!$B$20="Jahresanfang 2025 + Export",BR103+BQ103,BQ103)))</f>
        <v>41</v>
      </c>
      <c r="I103" s="50" t="n">
        <f aca="false">H103*G103</f>
        <v>12525.09</v>
      </c>
      <c r="J103" s="50" t="n">
        <f aca="false">BT103*Parameter!$B$18</f>
        <v>151</v>
      </c>
      <c r="K103" s="51" t="n">
        <v>41.5</v>
      </c>
      <c r="L103" s="52" t="n">
        <v>3.63855421686747</v>
      </c>
      <c r="M103" s="50" t="n">
        <v>15</v>
      </c>
      <c r="N103" s="50" t="n">
        <v>24</v>
      </c>
      <c r="O103" s="53" t="n">
        <v>28</v>
      </c>
      <c r="P103" s="48" t="s">
        <v>183</v>
      </c>
      <c r="Q103" s="50" t="n">
        <v>40</v>
      </c>
      <c r="R103" s="53" t="n">
        <f aca="false">IF(BZ103=1,0,IFERROR(VLOOKUP(BX103,'Gebinde-Kategorie'!$A$5:$N$45,13,0)+0,0))</f>
        <v>6</v>
      </c>
      <c r="S103" s="54"/>
      <c r="T103" s="55"/>
      <c r="U103" s="55"/>
      <c r="V103" s="55"/>
      <c r="W103" s="48"/>
      <c r="X103" s="50"/>
      <c r="Y103" s="50"/>
      <c r="Z103" s="48" t="n">
        <f aca="false">IF(A103="","",IF(AND(Parameter!$B$21="Ja",ISNUMBER(W103)),W103,IF(CC103="2+3",IF(ISNUMBER(SEARCH("grosser Artikel",BU103)),2,IFERROR(VLOOKUP(BX103,Parameter!$F$35:$G$64,2,0),2)),IF(OR(CC103="Nein",CC103=""),"-",CC103))))</f>
        <v>2</v>
      </c>
      <c r="AA103" s="55"/>
      <c r="AB103" s="56"/>
      <c r="AC103" s="50" t="n">
        <f aca="false">AV103</f>
        <v>86</v>
      </c>
      <c r="AD103" s="50" t="n">
        <f aca="false">MAX(AV103,H103)</f>
        <v>86</v>
      </c>
      <c r="AE103" s="57"/>
      <c r="AF103" s="50" t="n">
        <f aca="false">IF(LEFT(Cockpit!$C$5,1)="A",H103,IF(Parameter!$E$30="MAX-Bestand",IF(CH103=1,CI103,IF(LEFT(Cockpit!$C$5,1)="B",AL103,MAX(AL103,H103))),ROUNDUP(AJ103,0)))</f>
        <v>41</v>
      </c>
      <c r="AG103" s="50" t="n">
        <f aca="false">IF(BZ103=1,0,ROUNDUP(AF103/BY103,0))</f>
        <v>2</v>
      </c>
      <c r="AH103" s="52" t="n">
        <f aca="false">IF(CQ103&gt;0,CQ103*MAX(1,AF103/X103),IF(BZ103=1,IF(AF103&lt;=0,0,CD103*MAX(1,IF(H103&gt;0,AF103/H103,1))),IF(R103&gt;0,AG103/R103,0))/MAX(0.1,N(Parameter!$M$21)))</f>
        <v>0.333333333333333</v>
      </c>
      <c r="AI103" s="50" t="n">
        <f aca="false">AH103*CB103</f>
        <v>78.3333333333333</v>
      </c>
      <c r="AJ103" s="51" t="n">
        <f aca="false">IF(LEFT(Cockpit!$C$5,1)="A",H103,IF(CH103=1,(CK103+CI103)/2,IF(LEFT(Cockpit!$C$5,1)="B",(CK103+AL103)/2,MAX((CK103+AL103)/2,H103))))</f>
        <v>41</v>
      </c>
      <c r="AK103" s="50" t="n">
        <f aca="false">AJ103*G103</f>
        <v>12525.09</v>
      </c>
      <c r="AL103" s="50" t="n">
        <f aca="false">ROUNDUP(CK103+MAX(CL103,2*(J103/IF(CG103&gt;0,CG103,MAX(0.1,N(Cockpit!$C$6)))-CK103)),0)</f>
        <v>86</v>
      </c>
      <c r="AM103" s="51" t="n">
        <f aca="false">IF(AI103&gt;0,J103/AI103,-1)</f>
        <v>1.92765957446809</v>
      </c>
      <c r="AN103" s="51" t="n">
        <f aca="false">IF(AND(OR(CF103="L1",CF103="L23",CF103="LIFT"),AI103&gt;0),SUMIFS($AI$7:$AI$1843,$CF$7:$CF$1843,CF103,$AM$7:$AM$1843,"&gt;"&amp;AM103)+SUMIFS($AI$7:$AI$1843,$CF$7:$CF$1843,CF103,$AM$7:$AM$1843,AM103,$BW$7:$BW$1843,"&lt;="&amp;BW103),"")</f>
        <v>5941.76327838828</v>
      </c>
      <c r="AO103" s="58" t="n">
        <f aca="false">IF(AN103="",0,MAX(0,MIN(1,(IF(CF103="L1",Parameter!$H$5,IF(CF103="L23",Parameter!$H$6+Parameter!$H$7,Parameter!$H$5+Parameter!$H$6+Parameter!$H$7))-(AN103-AI103))/AI103)))</f>
        <v>1</v>
      </c>
      <c r="AP103" s="50" t="n">
        <f aca="false">IF(LEFT(Cockpit!$I$5,1)="A",H103,IF(Parameter!$E$30="MAX-Bestand",IF(CH103=1,CI103,IF(LEFT(Cockpit!$I$5,1)="B",AV103,MAX(AV103,H103))),ROUNDUP(AT103,0)))</f>
        <v>51</v>
      </c>
      <c r="AQ103" s="50" t="n">
        <f aca="false">IF(BZ103=1,0,ROUNDUP(AP103/BY103,0))</f>
        <v>2</v>
      </c>
      <c r="AR103" s="52" t="n">
        <f aca="false">IF(CQ103&gt;0,CQ103*MAX(1,AP103/X103),IF(BZ103=1,IF(AP103&lt;=0,0,CD103*MAX(1,IF(H103&gt;0,AP103/H103,1))),IF(R103&gt;0,AQ103/R103,0))/MAX(0.1,N(Parameter!$M$21)))</f>
        <v>0.333333333333333</v>
      </c>
      <c r="AS103" s="50" t="n">
        <f aca="false">AR103*CB103</f>
        <v>78.3333333333333</v>
      </c>
      <c r="AT103" s="51" t="n">
        <f aca="false">IF(LEFT(Cockpit!$I$5,1)="A",H103,IF(CH103=1,(CK103+CI103)/2,IF(LEFT(Cockpit!$I$5,1)="B",(CK103+AV103)/2,MAX((CK103+AV103)/2,H103))))</f>
        <v>50.5</v>
      </c>
      <c r="AU103" s="50" t="n">
        <f aca="false">AT103*G103</f>
        <v>15427.245</v>
      </c>
      <c r="AV103" s="50" t="n">
        <f aca="false">ROUNDUP(CK103+MAX(CL103,2*(J103/IF(CG103&gt;0,CG103,MAX(0.1,N(Cockpit!$I$6)))-CK103)),0)</f>
        <v>86</v>
      </c>
      <c r="AW103" s="51" t="n">
        <f aca="false">IF(AS103&gt;0,J103/AS103,-1)</f>
        <v>1.92765957446809</v>
      </c>
      <c r="AX103" s="51" t="n">
        <f aca="false">IF(AND(OR(CF103="L1",CF103="L23",CF103="LIFT"),AS103&gt;0),SUMIFS($AS$7:$AS$1843,$CF$7:$CF$1843,CF103,$AW$7:$AW$1843,"&gt;"&amp;AW103)+SUMIFS($AS$7:$AS$1843,$CF$7:$CF$1843,CF103,$AW$7:$AW$1843,AW103,$BW$7:$BW$1843,"&lt;="&amp;BW103),"")</f>
        <v>7391.36950549451</v>
      </c>
      <c r="AY103" s="58" t="n">
        <f aca="false">IF(AX103="",0,MAX(0,MIN(1,(IF(CF103="L1",Parameter!$H$5,IF(CF103="L23",Parameter!$H$6+Parameter!$H$7,Parameter!$H$5+Parameter!$H$6+Parameter!$H$7))-(AX103-AS103))/AS103)))</f>
        <v>1</v>
      </c>
      <c r="AZ103" s="50" t="n">
        <f aca="false">IF(LEFT(Cockpit!$O$5,1)="A",H103,IF(Parameter!$E$30="MAX-Bestand",IF(CH103=1,CI103,IF(LEFT(Cockpit!$O$5,1)="B",BF103,MAX(BF103,H103))),ROUNDUP(BD103,0)))</f>
        <v>38</v>
      </c>
      <c r="BA103" s="50" t="n">
        <f aca="false">IF(BZ103=1,0,ROUNDUP(AZ103/BY103,0))</f>
        <v>1</v>
      </c>
      <c r="BB103" s="52" t="n">
        <f aca="false">IF(CQ103&gt;0,CQ103*MAX(1,AZ103/X103),IF(BZ103=1,IF(AZ103&lt;=0,0,CD103*MAX(1,IF(H103&gt;0,AZ103/H103,1))),IF(R103&gt;0,BA103/R103,0))/MAX(0.1,N(Parameter!$M$21)))</f>
        <v>0.166666666666667</v>
      </c>
      <c r="BC103" s="50" t="n">
        <f aca="false">BB103*CB103</f>
        <v>39.1666666666667</v>
      </c>
      <c r="BD103" s="51" t="n">
        <f aca="false">IF(LEFT(Cockpit!$O$5,1)="A",H103,IF(CH103=1,(CK103+CI103)/2,IF(LEFT(Cockpit!$O$5,1)="B",(CK103+BF103)/2,MAX((CK103+BF103)/2,H103))))</f>
        <v>38</v>
      </c>
      <c r="BE103" s="50" t="n">
        <f aca="false">BD103*G103</f>
        <v>11608.62</v>
      </c>
      <c r="BF103" s="50" t="n">
        <f aca="false">ROUNDUP(CK103+MAX(CL103,2*(J103/IF(CG103&gt;0,CG103,MAX(0.1,N(Cockpit!$O$6)))-CK103)),0)</f>
        <v>61</v>
      </c>
      <c r="BG103" s="51" t="n">
        <f aca="false">IF(BC103&gt;0,J103/BC103,-1)</f>
        <v>3.85531914893617</v>
      </c>
      <c r="BH103" s="51" t="n">
        <f aca="false">IF(AND(OR(CF103="L1",CF103="L23",CF103="LIFT"),BC103&gt;0),SUMIFS($BC$7:$BC$1843,$CF$7:$CF$1843,CF103,$BG$7:$BG$1843,"&gt;"&amp;BG103)+SUMIFS($BC$7:$BC$1843,$CF$7:$CF$1843,CF103,$BG$7:$BG$1843,BG103,$BW$7:$BW$1843,"&lt;="&amp;BW103),"")</f>
        <v>4315.84981684982</v>
      </c>
      <c r="BI103" s="58" t="n">
        <f aca="false">IF(BH103="",0,MAX(0,MIN(1,(IF(CF103="L1",Parameter!$H$5,IF(CF103="L23",Parameter!$H$6+Parameter!$H$7,Parameter!$H$5+Parameter!$H$6+Parameter!$H$7))-(BH103-BC103))/BC103)))</f>
        <v>1</v>
      </c>
      <c r="BJ103" s="48" t="str">
        <f aca="false">IF(AI103&lt;=0,"",IF(CF103="Aussen","Aussenlager",IF(CF103="-","Nicht im Lift",IF(AO103&gt;=1,"Lift",IF(AO103&lt;=0,"Aussenlager","teilweise")))))</f>
        <v>Lift</v>
      </c>
      <c r="BK103" s="48" t="str">
        <f aca="false">IF(AS103&lt;=0,"",IF(CF103="Aussen","Aussenlager",IF(CF103="-","Nicht im Lift",IF(AY103&gt;=1,"Lift",IF(AY103&lt;=0,"Aussenlager","teilweise")))))</f>
        <v>Lift</v>
      </c>
      <c r="BL103" s="48" t="str">
        <f aca="false">IF(BC103&lt;=0,"",IF(CF103="Aussen","Aussenlager",IF(CF103="-","Nicht im Lift",IF(BI103&gt;=1,"Lift",IF(BI103&lt;=0,"Aussenlager","teilweise")))))</f>
        <v>Lift</v>
      </c>
      <c r="BM103" s="48" t="str">
        <f aca="false">IF(A103="","",IF(BV103=1,"Neu; ","")&amp;IF(AND(BV103=0,BQ103&lt;0),"negativer Bestand (Export "&amp;BQ103&amp;"); ","")&amp;IF(J103&lt;=0,"Kein Verbrauch; ","")&amp;IF(CQ103&gt;0,"Lift "&amp;W103&amp;" lt. Liftbericht (Fach "&amp;X103&amp;" Stk); ",IF(CA103=1,"Gebinde geschätzt ("&amp;T103&amp;"); ",IF(BZ103=1,"Lose – Tablare geschätzt; ","")))&amp;IF(H103&gt;AV103,"Überbestand "&amp;ROUND(H103-AV103,0)&amp;" Stk / CHF "&amp;ROUND((H103-AV103)*G103,0)&amp;"; ","")&amp;IF(AND(CH103=1,CI103&lt;CJ103),"MAX &lt; MB+LG; ","")&amp;IF(AND(CP103&gt;0,CO103*10&gt;CP103),"zu hoch für Tablar; ","")&amp;IF(AND(BV103=0,OR(CH103=1,AA103&lt;&gt;"",U103&lt;&gt;"",V103&lt;&gt;"",AB103&lt;&gt;"")),"manuell übersteuert; ","")&amp;IF(AND(BZ103=0,R103=0),"Gebinde unbekannt / Stellmass fehlt; ","")&amp;IF(AND(BZ103=0,N(V103)&lt;=0,N(Q103)&lt;=0),"Menge pro Gebinde fehlt (Ist = 1 Gebinde); ","")&amp;BU103)</f>
        <v/>
      </c>
      <c r="BN103" s="48"/>
      <c r="BO103" s="48"/>
      <c r="BP103" s="55"/>
      <c r="BQ103" s="50" t="n">
        <v>5</v>
      </c>
      <c r="BR103" s="50" t="n">
        <v>36</v>
      </c>
      <c r="BS103" s="49" t="n">
        <v>2316.92999999999</v>
      </c>
      <c r="BT103" s="50" t="n">
        <v>151</v>
      </c>
      <c r="BU103" s="48"/>
      <c r="BV103" s="53" t="n">
        <v>0</v>
      </c>
      <c r="BW103" s="53" t="n">
        <v>103</v>
      </c>
      <c r="BX103" s="48" t="str">
        <f aca="false">IF(U103&lt;&gt;"",UPPER(TRIM(U103)),IF(CA103=1,UPPER(VLOOKUP(T103,Parameter!$I$27:$K$29,2,0)),IF(P103="","LOSE",P103)))</f>
        <v>S71</v>
      </c>
      <c r="BY103" s="50" t="n">
        <f aca="false">IF(BX103="LOSE",1,IF(N(V103)&gt;0,V103,IF(CA103=1,MAX(1,N(VLOOKUP(T103,Parameter!$I$27:$K$29,3,0)),H103,N(N103)),IF(N(Q103)&gt;0,Q103,MAX(1,H103)))))</f>
        <v>40</v>
      </c>
      <c r="BZ103" s="53" t="n">
        <f aca="false">IF(BX103="LOSE",1,0)</f>
        <v>0</v>
      </c>
      <c r="CA103" s="53" t="n">
        <f aca="false">IF(AND(U103="",OR(P103="",P103="LOSE"),T103&lt;&gt;"",N(S103)&lt;=0,ISNUMBER(MATCH(T103,Parameter!$I$27:$I$29,0))),1,0)</f>
        <v>0</v>
      </c>
      <c r="CB103" s="53" t="n">
        <f aca="false">IF(CQ103&gt;0,INDEX(Parameter!$H$5:$H$7,W103)/INDEX(Parameter!$E$5:$E$7,W103),IF(AND(BZ103=0,N(IFERROR(VLOOKUP(BX103,'Gebinde-Kategorie'!$A$5:$N$45,14,0),0))&gt;0),VLOOKUP(BX103,'Gebinde-Kategorie'!$A$5:$N$45,14,0)*10+Parameter!$M$23,Parameter!$M$24))</f>
        <v>235</v>
      </c>
      <c r="CC103" s="48" t="str">
        <f aca="false">IF(AND(Parameter!$B$19="Ja",E103&lt;&gt;"",ISNUMBER(MATCH(E103,Parameter!$I$35:$I$52,0))),VLOOKUP(E103,Parameter!$I$35:$J$52,2,0),IFERROR(VLOOKUP(D103,Parameter!$A$35:$C$64,2,0),"Nein"))</f>
        <v>2+3</v>
      </c>
      <c r="CD103" s="52" t="n">
        <f aca="false">IF(BZ103=0,0,IF(N(S103)&gt;0,S103,IFERROR(VLOOKUP(D103,Parameter!$A$35:$C$64,3,0)+0,0)))</f>
        <v>0</v>
      </c>
      <c r="CE103" s="48" t="n">
        <f aca="false">IF(AA103&lt;&gt;"",AA103,Z103)</f>
        <v>2</v>
      </c>
      <c r="CF103" s="48" t="str">
        <f aca="false">IF(OR(CE103=1,CE103=2,CE103=3),IF(Parameter!$E$27="Ja","LIFT",IF(CE103=1,"L1","L23")),IF(CE103="Aussen","Aussen","-"))</f>
        <v>LIFT</v>
      </c>
      <c r="CG103" s="59" t="n">
        <f aca="false">IF(N(AB103)&gt;0,AB103,0)</f>
        <v>0</v>
      </c>
      <c r="CH103" s="53" t="n">
        <f aca="false">IF(ISNUMBER(AE103),1,0)</f>
        <v>0</v>
      </c>
      <c r="CI103" s="50" t="n">
        <f aca="false">N(AE103)</f>
        <v>0</v>
      </c>
      <c r="CJ103" s="50" t="n">
        <f aca="false">N(M103)+N(N103)</f>
        <v>39</v>
      </c>
      <c r="CK103" s="50" t="n">
        <f aca="false">N(M103)</f>
        <v>15</v>
      </c>
      <c r="CL103" s="50" t="n">
        <f aca="false">N(N103)</f>
        <v>24</v>
      </c>
      <c r="CM103" s="50" t="n">
        <f aca="false">ROUNDUP(H103/BY103,0)</f>
        <v>2</v>
      </c>
      <c r="CN103" s="50" t="n">
        <f aca="false">ROUNDUP(CI103/BY103,0)</f>
        <v>0</v>
      </c>
      <c r="CO103" s="53" t="n">
        <f aca="false">IF(BZ103=1,0,IFERROR(VLOOKUP(BX103,'Gebinde-Kategorie'!$A$5:$N$45,5,0)+0,0))</f>
        <v>20</v>
      </c>
      <c r="CP103" s="53" t="n">
        <f aca="false">IFERROR(IF(OR(CE103=1,CE103=2,CE103=3),N(INDEX(Parameter!$I$5:$I$7,CE103)),0),0)</f>
        <v>0</v>
      </c>
      <c r="CQ103" s="52" t="n">
        <f aca="false">IF(AND(Parameter!$B$21="Ja",ISNUMBER(W103),N(X103)&gt;0),IFERROR(N(INDEX(Parameter!$L$5:$L$7,W103))*INDEX(Parameter!$E$5:$E$7,W103)*X103/SUMIFS($X$7:$X$1843,$W$7:$W$1843,W103),0),0)</f>
        <v>0</v>
      </c>
    </row>
    <row r="104" customFormat="false" ht="15" hidden="false" customHeight="false" outlineLevel="0" collapsed="false">
      <c r="A104" s="48" t="s">
        <v>429</v>
      </c>
      <c r="B104" s="48" t="s">
        <v>383</v>
      </c>
      <c r="C104" s="48" t="s">
        <v>173</v>
      </c>
      <c r="D104" s="48" t="s">
        <v>193</v>
      </c>
      <c r="E104" s="48" t="s">
        <v>194</v>
      </c>
      <c r="F104" s="48" t="s">
        <v>227</v>
      </c>
      <c r="G104" s="49" t="n">
        <v>12.37</v>
      </c>
      <c r="H104" s="50" t="n">
        <f aca="false">MAX(0,IF(AND(Parameter!$B$21="Ja",ISNUMBER(Y104)),Y104,IF(Parameter!$B$20="Jahresanfang 2025 + Export",BR104+BQ104,BQ104)))</f>
        <v>377</v>
      </c>
      <c r="I104" s="50" t="n">
        <f aca="false">H104*G104</f>
        <v>4663.49</v>
      </c>
      <c r="J104" s="50" t="n">
        <f aca="false">BT104*Parameter!$B$18</f>
        <v>1024</v>
      </c>
      <c r="K104" s="51" t="n">
        <v>264</v>
      </c>
      <c r="L104" s="52" t="n">
        <v>3.87878787878788</v>
      </c>
      <c r="M104" s="50" t="n">
        <v>65</v>
      </c>
      <c r="N104" s="50" t="n">
        <v>500</v>
      </c>
      <c r="O104" s="53" t="n">
        <v>21</v>
      </c>
      <c r="P104" s="48" t="s">
        <v>430</v>
      </c>
      <c r="Q104" s="50" t="n">
        <v>574</v>
      </c>
      <c r="R104" s="53" t="n">
        <f aca="false">IF(BZ104=1,0,IFERROR(VLOOKUP(BX104,'Gebinde-Kategorie'!$A$5:$N$45,13,0)+0,0))</f>
        <v>104</v>
      </c>
      <c r="S104" s="54"/>
      <c r="T104" s="55"/>
      <c r="U104" s="55"/>
      <c r="V104" s="55"/>
      <c r="W104" s="48"/>
      <c r="X104" s="50"/>
      <c r="Y104" s="50"/>
      <c r="Z104" s="48" t="n">
        <f aca="false">IF(A104="","",IF(AND(Parameter!$B$21="Ja",ISNUMBER(W104)),W104,IF(CC104="2+3",IF(ISNUMBER(SEARCH("grosser Artikel",BU104)),2,IFERROR(VLOOKUP(BX104,Parameter!$F$35:$G$64,2,0),2)),IF(OR(CC104="Nein",CC104=""),"-",CC104))))</f>
        <v>3</v>
      </c>
      <c r="AA104" s="55"/>
      <c r="AB104" s="56"/>
      <c r="AC104" s="50" t="n">
        <f aca="false">AV104</f>
        <v>618</v>
      </c>
      <c r="AD104" s="50" t="n">
        <f aca="false">MAX(AV104,H104)</f>
        <v>618</v>
      </c>
      <c r="AE104" s="57"/>
      <c r="AF104" s="50" t="n">
        <f aca="false">IF(LEFT(Cockpit!$C$5,1)="A",H104,IF(Parameter!$E$30="MAX-Bestand",IF(CH104=1,CI104,IF(LEFT(Cockpit!$C$5,1)="B",AL104,MAX(AL104,H104))),ROUNDUP(AJ104,0)))</f>
        <v>377</v>
      </c>
      <c r="AG104" s="50" t="n">
        <f aca="false">IF(BZ104=1,0,ROUNDUP(AF104/BY104,0))</f>
        <v>1</v>
      </c>
      <c r="AH104" s="52" t="n">
        <f aca="false">IF(CQ104&gt;0,CQ104*MAX(1,AF104/X104),IF(BZ104=1,IF(AF104&lt;=0,0,CD104*MAX(1,IF(H104&gt;0,AF104/H104,1))),IF(R104&gt;0,AG104/R104,0))/MAX(0.1,N(Parameter!$M$21)))</f>
        <v>0.00961538461538462</v>
      </c>
      <c r="AI104" s="50" t="n">
        <f aca="false">AH104*CB104</f>
        <v>1.49038461538462</v>
      </c>
      <c r="AJ104" s="51" t="n">
        <f aca="false">IF(LEFT(Cockpit!$C$5,1)="A",H104,IF(CH104=1,(CK104+CI104)/2,IF(LEFT(Cockpit!$C$5,1)="B",(CK104+AL104)/2,MAX((CK104+AL104)/2,H104))))</f>
        <v>377</v>
      </c>
      <c r="AK104" s="50" t="n">
        <f aca="false">AJ104*G104</f>
        <v>4663.49</v>
      </c>
      <c r="AL104" s="50" t="n">
        <f aca="false">ROUNDUP(CK104+MAX(CL104,2*(J104/IF(CG104&gt;0,CG104,MAX(0.1,N(Cockpit!$C$6)))-CK104)),0)</f>
        <v>618</v>
      </c>
      <c r="AM104" s="51" t="n">
        <f aca="false">IF(AI104&gt;0,J104/AI104,-1)</f>
        <v>687.070967741935</v>
      </c>
      <c r="AN104" s="51" t="n">
        <f aca="false">IF(AND(OR(CF104="L1",CF104="L23",CF104="LIFT"),AI104&gt;0),SUMIFS($AI$7:$AI$1843,$CF$7:$CF$1843,CF104,$AM$7:$AM$1843,"&gt;"&amp;AM104)+SUMIFS($AI$7:$AI$1843,$CF$7:$CF$1843,CF104,$AM$7:$AM$1843,AM104,$BW$7:$BW$1843,"&lt;="&amp;BW104),"")</f>
        <v>26.4436813186813</v>
      </c>
      <c r="AO104" s="58" t="n">
        <f aca="false">IF(AN104="",0,MAX(0,MIN(1,(IF(CF104="L1",Parameter!$H$5,IF(CF104="L23",Parameter!$H$6+Parameter!$H$7,Parameter!$H$5+Parameter!$H$6+Parameter!$H$7))-(AN104-AI104))/AI104)))</f>
        <v>1</v>
      </c>
      <c r="AP104" s="50" t="n">
        <f aca="false">IF(LEFT(Cockpit!$I$5,1)="A",H104,IF(Parameter!$E$30="MAX-Bestand",IF(CH104=1,CI104,IF(LEFT(Cockpit!$I$5,1)="B",AV104,MAX(AV104,H104))),ROUNDUP(AT104,0)))</f>
        <v>377</v>
      </c>
      <c r="AQ104" s="50" t="n">
        <f aca="false">IF(BZ104=1,0,ROUNDUP(AP104/BY104,0))</f>
        <v>1</v>
      </c>
      <c r="AR104" s="52" t="n">
        <f aca="false">IF(CQ104&gt;0,CQ104*MAX(1,AP104/X104),IF(BZ104=1,IF(AP104&lt;=0,0,CD104*MAX(1,IF(H104&gt;0,AP104/H104,1))),IF(R104&gt;0,AQ104/R104,0))/MAX(0.1,N(Parameter!$M$21)))</f>
        <v>0.00961538461538462</v>
      </c>
      <c r="AS104" s="50" t="n">
        <f aca="false">AR104*CB104</f>
        <v>1.49038461538462</v>
      </c>
      <c r="AT104" s="51" t="n">
        <f aca="false">IF(LEFT(Cockpit!$I$5,1)="A",H104,IF(CH104=1,(CK104+CI104)/2,IF(LEFT(Cockpit!$I$5,1)="B",(CK104+AV104)/2,MAX((CK104+AV104)/2,H104))))</f>
        <v>377</v>
      </c>
      <c r="AU104" s="50" t="n">
        <f aca="false">AT104*G104</f>
        <v>4663.49</v>
      </c>
      <c r="AV104" s="50" t="n">
        <f aca="false">ROUNDUP(CK104+MAX(CL104,2*(J104/IF(CG104&gt;0,CG104,MAX(0.1,N(Cockpit!$I$6)))-CK104)),0)</f>
        <v>618</v>
      </c>
      <c r="AW104" s="51" t="n">
        <f aca="false">IF(AS104&gt;0,J104/AS104,-1)</f>
        <v>687.070967741935</v>
      </c>
      <c r="AX104" s="51" t="n">
        <f aca="false">IF(AND(OR(CF104="L1",CF104="L23",CF104="LIFT"),AS104&gt;0),SUMIFS($AS$7:$AS$1843,$CF$7:$CF$1843,CF104,$AW$7:$AW$1843,"&gt;"&amp;AW104)+SUMIFS($AS$7:$AS$1843,$CF$7:$CF$1843,CF104,$AW$7:$AW$1843,AW104,$BW$7:$BW$1843,"&lt;="&amp;BW104),"")</f>
        <v>28.8708791208791</v>
      </c>
      <c r="AY104" s="58" t="n">
        <f aca="false">IF(AX104="",0,MAX(0,MIN(1,(IF(CF104="L1",Parameter!$H$5,IF(CF104="L23",Parameter!$H$6+Parameter!$H$7,Parameter!$H$5+Parameter!$H$6+Parameter!$H$7))-(AX104-AS104))/AS104)))</f>
        <v>1</v>
      </c>
      <c r="AZ104" s="50" t="n">
        <f aca="false">IF(LEFT(Cockpit!$O$5,1)="A",H104,IF(Parameter!$E$30="MAX-Bestand",IF(CH104=1,CI104,IF(LEFT(Cockpit!$O$5,1)="B",BF104,MAX(BF104,H104))),ROUNDUP(BD104,0)))</f>
        <v>315</v>
      </c>
      <c r="BA104" s="50" t="n">
        <f aca="false">IF(BZ104=1,0,ROUNDUP(AZ104/BY104,0))</f>
        <v>1</v>
      </c>
      <c r="BB104" s="52" t="n">
        <f aca="false">IF(CQ104&gt;0,CQ104*MAX(1,AZ104/X104),IF(BZ104=1,IF(AZ104&lt;=0,0,CD104*MAX(1,IF(H104&gt;0,AZ104/H104,1))),IF(R104&gt;0,BA104/R104,0))/MAX(0.1,N(Parameter!$M$21)))</f>
        <v>0.00961538461538462</v>
      </c>
      <c r="BC104" s="50" t="n">
        <f aca="false">BB104*CB104</f>
        <v>1.49038461538462</v>
      </c>
      <c r="BD104" s="51" t="n">
        <f aca="false">IF(LEFT(Cockpit!$O$5,1)="A",H104,IF(CH104=1,(CK104+CI104)/2,IF(LEFT(Cockpit!$O$5,1)="B",(CK104+BF104)/2,MAX((CK104+BF104)/2,H104))))</f>
        <v>315</v>
      </c>
      <c r="BE104" s="50" t="n">
        <f aca="false">BD104*G104</f>
        <v>3896.55</v>
      </c>
      <c r="BF104" s="50" t="n">
        <f aca="false">ROUNDUP(CK104+MAX(CL104,2*(J104/IF(CG104&gt;0,CG104,MAX(0.1,N(Cockpit!$O$6)))-CK104)),0)</f>
        <v>565</v>
      </c>
      <c r="BG104" s="51" t="n">
        <f aca="false">IF(BC104&gt;0,J104/BC104,-1)</f>
        <v>687.070967741935</v>
      </c>
      <c r="BH104" s="51" t="n">
        <f aca="false">IF(AND(OR(CF104="L1",CF104="L23",CF104="LIFT"),BC104&gt;0),SUMIFS($BC$7:$BC$1843,$CF$7:$CF$1843,CF104,$BG$7:$BG$1843,"&gt;"&amp;BG104)+SUMIFS($BC$7:$BC$1843,$CF$7:$CF$1843,CF104,$BG$7:$BG$1843,BG104,$BW$7:$BW$1843,"&lt;="&amp;BW104),"")</f>
        <v>35.0027472527473</v>
      </c>
      <c r="BI104" s="58" t="n">
        <f aca="false">IF(BH104="",0,MAX(0,MIN(1,(IF(CF104="L1",Parameter!$H$5,IF(CF104="L23",Parameter!$H$6+Parameter!$H$7,Parameter!$H$5+Parameter!$H$6+Parameter!$H$7))-(BH104-BC104))/BC104)))</f>
        <v>1</v>
      </c>
      <c r="BJ104" s="48" t="str">
        <f aca="false">IF(AI104&lt;=0,"",IF(CF104="Aussen","Aussenlager",IF(CF104="-","Nicht im Lift",IF(AO104&gt;=1,"Lift",IF(AO104&lt;=0,"Aussenlager","teilweise")))))</f>
        <v>Lift</v>
      </c>
      <c r="BK104" s="48" t="str">
        <f aca="false">IF(AS104&lt;=0,"",IF(CF104="Aussen","Aussenlager",IF(CF104="-","Nicht im Lift",IF(AY104&gt;=1,"Lift",IF(AY104&lt;=0,"Aussenlager","teilweise")))))</f>
        <v>Lift</v>
      </c>
      <c r="BL104" s="48" t="str">
        <f aca="false">IF(BC104&lt;=0,"",IF(CF104="Aussen","Aussenlager",IF(CF104="-","Nicht im Lift",IF(BI104&gt;=1,"Lift",IF(BI104&lt;=0,"Aussenlager","teilweise")))))</f>
        <v>Lift</v>
      </c>
      <c r="BM104" s="48" t="str">
        <f aca="false">IF(A104="","",IF(BV104=1,"Neu; ","")&amp;IF(AND(BV104=0,BQ104&lt;0),"negativer Bestand (Export "&amp;BQ104&amp;"); ","")&amp;IF(J104&lt;=0,"Kein Verbrauch; ","")&amp;IF(CQ104&gt;0,"Lift "&amp;W104&amp;" lt. Liftbericht (Fach "&amp;X104&amp;" Stk); ",IF(CA104=1,"Gebinde geschätzt ("&amp;T104&amp;"); ",IF(BZ104=1,"Lose – Tablare geschätzt; ","")))&amp;IF(H104&gt;AV104,"Überbestand "&amp;ROUND(H104-AV104,0)&amp;" Stk / CHF "&amp;ROUND((H104-AV104)*G104,0)&amp;"; ","")&amp;IF(AND(CH104=1,CI104&lt;CJ104),"MAX &lt; MB+LG; ","")&amp;IF(AND(CP104&gt;0,CO104*10&gt;CP104),"zu hoch für Tablar; ","")&amp;IF(AND(BV104=0,OR(CH104=1,AA104&lt;&gt;"",U104&lt;&gt;"",V104&lt;&gt;"",AB104&lt;&gt;"")),"manuell übersteuert; ","")&amp;IF(AND(BZ104=0,R104=0),"Gebinde unbekannt / Stellmass fehlt; ","")&amp;IF(AND(BZ104=0,N(V104)&lt;=0,N(Q104)&lt;=0),"Menge pro Gebinde fehlt (Ist = 1 Gebinde); ","")&amp;BU104)</f>
        <v/>
      </c>
      <c r="BN104" s="48"/>
      <c r="BO104" s="48"/>
      <c r="BP104" s="55"/>
      <c r="BQ104" s="50" t="n">
        <v>196</v>
      </c>
      <c r="BR104" s="50" t="n">
        <v>181</v>
      </c>
      <c r="BS104" s="49" t="n">
        <v>2298.74</v>
      </c>
      <c r="BT104" s="50" t="n">
        <v>1024</v>
      </c>
      <c r="BU104" s="48"/>
      <c r="BV104" s="53" t="n">
        <v>0</v>
      </c>
      <c r="BW104" s="53" t="n">
        <v>104</v>
      </c>
      <c r="BX104" s="48" t="str">
        <f aca="false">IF(U104&lt;&gt;"",UPPER(TRIM(U104)),IF(CA104=1,UPPER(VLOOKUP(T104,Parameter!$I$27:$K$29,2,0)),IF(P104="","LOSE",P104)))</f>
        <v>S32</v>
      </c>
      <c r="BY104" s="50" t="n">
        <f aca="false">IF(BX104="LOSE",1,IF(N(V104)&gt;0,V104,IF(CA104=1,MAX(1,N(VLOOKUP(T104,Parameter!$I$27:$K$29,3,0)),H104,N(N104)),IF(N(Q104)&gt;0,Q104,MAX(1,H104)))))</f>
        <v>574</v>
      </c>
      <c r="BZ104" s="53" t="n">
        <f aca="false">IF(BX104="LOSE",1,0)</f>
        <v>0</v>
      </c>
      <c r="CA104" s="53" t="n">
        <f aca="false">IF(AND(U104="",OR(P104="",P104="LOSE"),T104&lt;&gt;"",N(S104)&lt;=0,ISNUMBER(MATCH(T104,Parameter!$I$27:$I$29,0))),1,0)</f>
        <v>0</v>
      </c>
      <c r="CB104" s="53" t="n">
        <f aca="false">IF(CQ104&gt;0,INDEX(Parameter!$H$5:$H$7,W104)/INDEX(Parameter!$E$5:$E$7,W104),IF(AND(BZ104=0,N(IFERROR(VLOOKUP(BX104,'Gebinde-Kategorie'!$A$5:$N$45,14,0),0))&gt;0),VLOOKUP(BX104,'Gebinde-Kategorie'!$A$5:$N$45,14,0)*10+Parameter!$M$23,Parameter!$M$24))</f>
        <v>155</v>
      </c>
      <c r="CC104" s="48" t="str">
        <f aca="false">IF(AND(Parameter!$B$19="Ja",E104&lt;&gt;"",ISNUMBER(MATCH(E104,Parameter!$I$35:$I$52,0))),VLOOKUP(E104,Parameter!$I$35:$J$52,2,0),IFERROR(VLOOKUP(D104,Parameter!$A$35:$C$64,2,0),"Nein"))</f>
        <v>2+3</v>
      </c>
      <c r="CD104" s="52" t="n">
        <f aca="false">IF(BZ104=0,0,IF(N(S104)&gt;0,S104,IFERROR(VLOOKUP(D104,Parameter!$A$35:$C$64,3,0)+0,0)))</f>
        <v>0</v>
      </c>
      <c r="CE104" s="48" t="n">
        <f aca="false">IF(AA104&lt;&gt;"",AA104,Z104)</f>
        <v>3</v>
      </c>
      <c r="CF104" s="48" t="str">
        <f aca="false">IF(OR(CE104=1,CE104=2,CE104=3),IF(Parameter!$E$27="Ja","LIFT",IF(CE104=1,"L1","L23")),IF(CE104="Aussen","Aussen","-"))</f>
        <v>LIFT</v>
      </c>
      <c r="CG104" s="59" t="n">
        <f aca="false">IF(N(AB104)&gt;0,AB104,0)</f>
        <v>0</v>
      </c>
      <c r="CH104" s="53" t="n">
        <f aca="false">IF(ISNUMBER(AE104),1,0)</f>
        <v>0</v>
      </c>
      <c r="CI104" s="50" t="n">
        <f aca="false">N(AE104)</f>
        <v>0</v>
      </c>
      <c r="CJ104" s="50" t="n">
        <f aca="false">N(M104)+N(N104)</f>
        <v>565</v>
      </c>
      <c r="CK104" s="50" t="n">
        <f aca="false">N(M104)</f>
        <v>65</v>
      </c>
      <c r="CL104" s="50" t="n">
        <f aca="false">N(N104)</f>
        <v>500</v>
      </c>
      <c r="CM104" s="50" t="n">
        <f aca="false">ROUNDUP(H104/BY104,0)</f>
        <v>1</v>
      </c>
      <c r="CN104" s="50" t="n">
        <f aca="false">ROUNDUP(CI104/BY104,0)</f>
        <v>0</v>
      </c>
      <c r="CO104" s="53" t="n">
        <f aca="false">IF(BZ104=1,0,IFERROR(VLOOKUP(BX104,'Gebinde-Kategorie'!$A$5:$N$45,5,0)+0,0))</f>
        <v>8</v>
      </c>
      <c r="CP104" s="53" t="n">
        <f aca="false">IFERROR(IF(OR(CE104=1,CE104=2,CE104=3),N(INDEX(Parameter!$I$5:$I$7,CE104)),0),0)</f>
        <v>0</v>
      </c>
      <c r="CQ104" s="52" t="n">
        <f aca="false">IF(AND(Parameter!$B$21="Ja",ISNUMBER(W104),N(X104)&gt;0),IFERROR(N(INDEX(Parameter!$L$5:$L$7,W104))*INDEX(Parameter!$E$5:$E$7,W104)*X104/SUMIFS($X$7:$X$1843,$W$7:$W$1843,W104),0),0)</f>
        <v>0</v>
      </c>
    </row>
    <row r="105" customFormat="false" ht="15" hidden="false" customHeight="false" outlineLevel="0" collapsed="false">
      <c r="A105" s="48" t="s">
        <v>431</v>
      </c>
      <c r="B105" s="48" t="s">
        <v>432</v>
      </c>
      <c r="C105" s="48" t="s">
        <v>173</v>
      </c>
      <c r="D105" s="48" t="s">
        <v>182</v>
      </c>
      <c r="E105" s="48" t="s">
        <v>182</v>
      </c>
      <c r="F105" s="48" t="s">
        <v>227</v>
      </c>
      <c r="G105" s="49" t="n">
        <v>448.5</v>
      </c>
      <c r="H105" s="50" t="n">
        <f aca="false">MAX(0,IF(AND(Parameter!$B$21="Ja",ISNUMBER(Y105)),Y105,IF(Parameter!$B$20="Jahresanfang 2025 + Export",BR105+BQ105,BQ105)))</f>
        <v>6</v>
      </c>
      <c r="I105" s="50" t="n">
        <f aca="false">H105*G105</f>
        <v>2691</v>
      </c>
      <c r="J105" s="50" t="n">
        <f aca="false">BT105*Parameter!$B$18</f>
        <v>5</v>
      </c>
      <c r="K105" s="51" t="n">
        <v>3.5</v>
      </c>
      <c r="L105" s="52" t="n">
        <v>1.42857142857143</v>
      </c>
      <c r="M105" s="50" t="n">
        <v>0</v>
      </c>
      <c r="N105" s="50" t="n">
        <v>5</v>
      </c>
      <c r="O105" s="53" t="n">
        <v>21</v>
      </c>
      <c r="P105" s="48" t="s">
        <v>177</v>
      </c>
      <c r="Q105" s="50"/>
      <c r="R105" s="53" t="n">
        <f aca="false">IF(BZ105=1,0,IFERROR(VLOOKUP(BX105,'Gebinde-Kategorie'!$A$5:$N$45,13,0)+0,0))</f>
        <v>4</v>
      </c>
      <c r="S105" s="54"/>
      <c r="T105" s="55" t="s">
        <v>198</v>
      </c>
      <c r="U105" s="55"/>
      <c r="V105" s="55"/>
      <c r="W105" s="48"/>
      <c r="X105" s="50"/>
      <c r="Y105" s="50"/>
      <c r="Z105" s="48" t="str">
        <f aca="false">IF(A105="","",IF(AND(Parameter!$B$21="Ja",ISNUMBER(W105)),W105,IF(CC105="2+3",IF(ISNUMBER(SEARCH("grosser Artikel",BU105)),2,IFERROR(VLOOKUP(BX105,Parameter!$F$35:$G$64,2,0),2)),IF(OR(CC105="Nein",CC105=""),"-",CC105))))</f>
        <v>-</v>
      </c>
      <c r="AA105" s="55"/>
      <c r="AB105" s="56"/>
      <c r="AC105" s="50" t="n">
        <f aca="false">AV105</f>
        <v>5</v>
      </c>
      <c r="AD105" s="50" t="n">
        <f aca="false">MAX(AV105,H105)</f>
        <v>6</v>
      </c>
      <c r="AE105" s="57"/>
      <c r="AF105" s="50" t="n">
        <f aca="false">IF(LEFT(Cockpit!$C$5,1)="A",H105,IF(Parameter!$E$30="MAX-Bestand",IF(CH105=1,CI105,IF(LEFT(Cockpit!$C$5,1)="B",AL105,MAX(AL105,H105))),ROUNDUP(AJ105,0)))</f>
        <v>6</v>
      </c>
      <c r="AG105" s="50" t="n">
        <f aca="false">IF(BZ105=1,0,ROUNDUP(AF105/BY105,0))</f>
        <v>1</v>
      </c>
      <c r="AH105" s="52" t="n">
        <f aca="false">IF(CQ105&gt;0,CQ105*MAX(1,AF105/X105),IF(BZ105=1,IF(AF105&lt;=0,0,CD105*MAX(1,IF(H105&gt;0,AF105/H105,1))),IF(R105&gt;0,AG105/R105,0))/MAX(0.1,N(Parameter!$M$21)))</f>
        <v>0.25</v>
      </c>
      <c r="AI105" s="50" t="n">
        <f aca="false">AH105*CB105</f>
        <v>58.75</v>
      </c>
      <c r="AJ105" s="51" t="n">
        <f aca="false">IF(LEFT(Cockpit!$C$5,1)="A",H105,IF(CH105=1,(CK105+CI105)/2,IF(LEFT(Cockpit!$C$5,1)="B",(CK105+AL105)/2,MAX((CK105+AL105)/2,H105))))</f>
        <v>6</v>
      </c>
      <c r="AK105" s="50" t="n">
        <f aca="false">AJ105*G105</f>
        <v>2691</v>
      </c>
      <c r="AL105" s="50" t="n">
        <f aca="false">ROUNDUP(CK105+MAX(CL105,2*(J105/IF(CG105&gt;0,CG105,MAX(0.1,N(Cockpit!$C$6)))-CK105)),0)</f>
        <v>5</v>
      </c>
      <c r="AM105" s="51" t="n">
        <f aca="false">IF(AI105&gt;0,J105/AI105,-1)</f>
        <v>0.0851063829787234</v>
      </c>
      <c r="AN105" s="51" t="str">
        <f aca="false">IF(AND(OR(CF105="L1",CF105="L23",CF105="LIFT"),AI105&gt;0),SUMIFS($AI$7:$AI$1843,$CF$7:$CF$1843,CF105,$AM$7:$AM$1843,"&gt;"&amp;AM105)+SUMIFS($AI$7:$AI$1843,$CF$7:$CF$1843,CF105,$AM$7:$AM$1843,AM105,$BW$7:$BW$1843,"&lt;="&amp;BW105),"")</f>
        <v/>
      </c>
      <c r="AO105" s="58" t="n">
        <f aca="false">IF(AN105="",0,MAX(0,MIN(1,(IF(CF105="L1",Parameter!$H$5,IF(CF105="L23",Parameter!$H$6+Parameter!$H$7,Parameter!$H$5+Parameter!$H$6+Parameter!$H$7))-(AN105-AI105))/AI105)))</f>
        <v>0</v>
      </c>
      <c r="AP105" s="50" t="n">
        <f aca="false">IF(LEFT(Cockpit!$I$5,1)="A",H105,IF(Parameter!$E$30="MAX-Bestand",IF(CH105=1,CI105,IF(LEFT(Cockpit!$I$5,1)="B",AV105,MAX(AV105,H105))),ROUNDUP(AT105,0)))</f>
        <v>6</v>
      </c>
      <c r="AQ105" s="50" t="n">
        <f aca="false">IF(BZ105=1,0,ROUNDUP(AP105/BY105,0))</f>
        <v>1</v>
      </c>
      <c r="AR105" s="52" t="n">
        <f aca="false">IF(CQ105&gt;0,CQ105*MAX(1,AP105/X105),IF(BZ105=1,IF(AP105&lt;=0,0,CD105*MAX(1,IF(H105&gt;0,AP105/H105,1))),IF(R105&gt;0,AQ105/R105,0))/MAX(0.1,N(Parameter!$M$21)))</f>
        <v>0.25</v>
      </c>
      <c r="AS105" s="50" t="n">
        <f aca="false">AR105*CB105</f>
        <v>58.75</v>
      </c>
      <c r="AT105" s="51" t="n">
        <f aca="false">IF(LEFT(Cockpit!$I$5,1)="A",H105,IF(CH105=1,(CK105+CI105)/2,IF(LEFT(Cockpit!$I$5,1)="B",(CK105+AV105)/2,MAX((CK105+AV105)/2,H105))))</f>
        <v>6</v>
      </c>
      <c r="AU105" s="50" t="n">
        <f aca="false">AT105*G105</f>
        <v>2691</v>
      </c>
      <c r="AV105" s="50" t="n">
        <f aca="false">ROUNDUP(CK105+MAX(CL105,2*(J105/IF(CG105&gt;0,CG105,MAX(0.1,N(Cockpit!$I$6)))-CK105)),0)</f>
        <v>5</v>
      </c>
      <c r="AW105" s="51" t="n">
        <f aca="false">IF(AS105&gt;0,J105/AS105,-1)</f>
        <v>0.0851063829787234</v>
      </c>
      <c r="AX105" s="51" t="str">
        <f aca="false">IF(AND(OR(CF105="L1",CF105="L23",CF105="LIFT"),AS105&gt;0),SUMIFS($AS$7:$AS$1843,$CF$7:$CF$1843,CF105,$AW$7:$AW$1843,"&gt;"&amp;AW105)+SUMIFS($AS$7:$AS$1843,$CF$7:$CF$1843,CF105,$AW$7:$AW$1843,AW105,$BW$7:$BW$1843,"&lt;="&amp;BW105),"")</f>
        <v/>
      </c>
      <c r="AY105" s="58" t="n">
        <f aca="false">IF(AX105="",0,MAX(0,MIN(1,(IF(CF105="L1",Parameter!$H$5,IF(CF105="L23",Parameter!$H$6+Parameter!$H$7,Parameter!$H$5+Parameter!$H$6+Parameter!$H$7))-(AX105-AS105))/AS105)))</f>
        <v>0</v>
      </c>
      <c r="AZ105" s="50" t="n">
        <f aca="false">IF(LEFT(Cockpit!$O$5,1)="A",H105,IF(Parameter!$E$30="MAX-Bestand",IF(CH105=1,CI105,IF(LEFT(Cockpit!$O$5,1)="B",BF105,MAX(BF105,H105))),ROUNDUP(BD105,0)))</f>
        <v>3</v>
      </c>
      <c r="BA105" s="50" t="n">
        <f aca="false">IF(BZ105=1,0,ROUNDUP(AZ105/BY105,0))</f>
        <v>1</v>
      </c>
      <c r="BB105" s="52" t="n">
        <f aca="false">IF(CQ105&gt;0,CQ105*MAX(1,AZ105/X105),IF(BZ105=1,IF(AZ105&lt;=0,0,CD105*MAX(1,IF(H105&gt;0,AZ105/H105,1))),IF(R105&gt;0,BA105/R105,0))/MAX(0.1,N(Parameter!$M$21)))</f>
        <v>0.25</v>
      </c>
      <c r="BC105" s="50" t="n">
        <f aca="false">BB105*CB105</f>
        <v>58.75</v>
      </c>
      <c r="BD105" s="51" t="n">
        <f aca="false">IF(LEFT(Cockpit!$O$5,1)="A",H105,IF(CH105=1,(CK105+CI105)/2,IF(LEFT(Cockpit!$O$5,1)="B",(CK105+BF105)/2,MAX((CK105+BF105)/2,H105))))</f>
        <v>2.5</v>
      </c>
      <c r="BE105" s="50" t="n">
        <f aca="false">BD105*G105</f>
        <v>1121.25</v>
      </c>
      <c r="BF105" s="50" t="n">
        <f aca="false">ROUNDUP(CK105+MAX(CL105,2*(J105/IF(CG105&gt;0,CG105,MAX(0.1,N(Cockpit!$O$6)))-CK105)),0)</f>
        <v>5</v>
      </c>
      <c r="BG105" s="51" t="n">
        <f aca="false">IF(BC105&gt;0,J105/BC105,-1)</f>
        <v>0.0851063829787234</v>
      </c>
      <c r="BH105" s="51" t="str">
        <f aca="false">IF(AND(OR(CF105="L1",CF105="L23",CF105="LIFT"),BC105&gt;0),SUMIFS($BC$7:$BC$1843,$CF$7:$CF$1843,CF105,$BG$7:$BG$1843,"&gt;"&amp;BG105)+SUMIFS($BC$7:$BC$1843,$CF$7:$CF$1843,CF105,$BG$7:$BG$1843,BG105,$BW$7:$BW$1843,"&lt;="&amp;BW105),"")</f>
        <v/>
      </c>
      <c r="BI105" s="58" t="n">
        <f aca="false">IF(BH105="",0,MAX(0,MIN(1,(IF(CF105="L1",Parameter!$H$5,IF(CF105="L23",Parameter!$H$6+Parameter!$H$7,Parameter!$H$5+Parameter!$H$6+Parameter!$H$7))-(BH105-BC105))/BC105)))</f>
        <v>0</v>
      </c>
      <c r="BJ105" s="48" t="str">
        <f aca="false">IF(AI105&lt;=0,"",IF(CF105="Aussen","Aussenlager",IF(CF105="-","Nicht im Lift",IF(AO105&gt;=1,"Lift",IF(AO105&lt;=0,"Aussenlager","teilweise")))))</f>
        <v>Nicht im Lift</v>
      </c>
      <c r="BK105" s="48" t="str">
        <f aca="false">IF(AS105&lt;=0,"",IF(CF105="Aussen","Aussenlager",IF(CF105="-","Nicht im Lift",IF(AY105&gt;=1,"Lift",IF(AY105&lt;=0,"Aussenlager","teilweise")))))</f>
        <v>Nicht im Lift</v>
      </c>
      <c r="BL105" s="48" t="str">
        <f aca="false">IF(BC105&lt;=0,"",IF(CF105="Aussen","Aussenlager",IF(CF105="-","Nicht im Lift",IF(BI105&gt;=1,"Lift",IF(BI105&lt;=0,"Aussenlager","teilweise")))))</f>
        <v>Nicht im Lift</v>
      </c>
      <c r="BM105" s="48" t="str">
        <f aca="false">IF(A105="","",IF(BV105=1,"Neu; ","")&amp;IF(AND(BV105=0,BQ105&lt;0),"negativer Bestand (Export "&amp;BQ105&amp;"); ","")&amp;IF(J105&lt;=0,"Kein Verbrauch; ","")&amp;IF(CQ105&gt;0,"Lift "&amp;W105&amp;" lt. Liftbericht (Fach "&amp;X105&amp;" Stk); ",IF(CA105=1,"Gebinde geschätzt ("&amp;T105&amp;"); ",IF(BZ105=1,"Lose – Tablare geschätzt; ","")))&amp;IF(H105&gt;AV105,"Überbestand "&amp;ROUND(H105-AV105,0)&amp;" Stk / CHF "&amp;ROUND((H105-AV105)*G105,0)&amp;"; ","")&amp;IF(AND(CH105=1,CI105&lt;CJ105),"MAX &lt; MB+LG; ","")&amp;IF(AND(CP105&gt;0,CO105*10&gt;CP105),"zu hoch für Tablar; ","")&amp;IF(AND(BV105=0,OR(CH105=1,AA105&lt;&gt;"",U105&lt;&gt;"",V105&lt;&gt;"",AB105&lt;&gt;"")),"manuell übersteuert; ","")&amp;IF(AND(BZ105=0,R105=0),"Gebinde unbekannt / Stellmass fehlt; ","")&amp;IF(AND(BZ105=0,N(V105)&lt;=0,N(Q105)&lt;=0),"Menge pro Gebinde fehlt (Ist = 1 Gebinde); ","")&amp;BU105)</f>
        <v>Gebinde geschätzt (Gross); Überbestand 1 Stk / CHF 449; Menge pro Gebinde fehlt (Ist = 1 Gebinde); </v>
      </c>
      <c r="BN105" s="48"/>
      <c r="BO105" s="48"/>
      <c r="BP105" s="55"/>
      <c r="BQ105" s="50" t="n">
        <v>5</v>
      </c>
      <c r="BR105" s="50" t="n">
        <v>1</v>
      </c>
      <c r="BS105" s="49" t="n">
        <v>2291.16</v>
      </c>
      <c r="BT105" s="50" t="n">
        <v>5</v>
      </c>
      <c r="BU105" s="48"/>
      <c r="BV105" s="53" t="n">
        <v>0</v>
      </c>
      <c r="BW105" s="53" t="n">
        <v>105</v>
      </c>
      <c r="BX105" s="48" t="str">
        <f aca="false">IF(U105&lt;&gt;"",UPPER(TRIM(U105)),IF(CA105=1,UPPER(VLOOKUP(T105,Parameter!$I$27:$K$29,2,0)),IF(P105="","LOSE",P105)))</f>
        <v>S81</v>
      </c>
      <c r="BY105" s="50" t="n">
        <f aca="false">IF(BX105="LOSE",1,IF(N(V105)&gt;0,V105,IF(CA105=1,MAX(1,N(VLOOKUP(T105,Parameter!$I$27:$K$29,3,0)),H105,N(N105)),IF(N(Q105)&gt;0,Q105,MAX(1,H105)))))</f>
        <v>6</v>
      </c>
      <c r="BZ105" s="53" t="n">
        <f aca="false">IF(BX105="LOSE",1,0)</f>
        <v>0</v>
      </c>
      <c r="CA105" s="53" t="n">
        <f aca="false">IF(AND(U105="",OR(P105="",P105="LOSE"),T105&lt;&gt;"",N(S105)&lt;=0,ISNUMBER(MATCH(T105,Parameter!$I$27:$I$29,0))),1,0)</f>
        <v>1</v>
      </c>
      <c r="CB105" s="53" t="n">
        <f aca="false">IF(CQ105&gt;0,INDEX(Parameter!$H$5:$H$7,W105)/INDEX(Parameter!$E$5:$E$7,W105),IF(AND(BZ105=0,N(IFERROR(VLOOKUP(BX105,'Gebinde-Kategorie'!$A$5:$N$45,14,0),0))&gt;0),VLOOKUP(BX105,'Gebinde-Kategorie'!$A$5:$N$45,14,0)*10+Parameter!$M$23,Parameter!$M$24))</f>
        <v>235</v>
      </c>
      <c r="CC105" s="48" t="str">
        <f aca="false">IF(AND(Parameter!$B$19="Ja",E105&lt;&gt;"",ISNUMBER(MATCH(E105,Parameter!$I$35:$I$52,0))),VLOOKUP(E105,Parameter!$I$35:$J$52,2,0),IFERROR(VLOOKUP(D105,Parameter!$A$35:$C$64,2,0),"Nein"))</f>
        <v>Nein</v>
      </c>
      <c r="CD105" s="52" t="n">
        <f aca="false">IF(BZ105=0,0,IF(N(S105)&gt;0,S105,IFERROR(VLOOKUP(D105,Parameter!$A$35:$C$64,3,0)+0,0)))</f>
        <v>0</v>
      </c>
      <c r="CE105" s="48" t="str">
        <f aca="false">IF(AA105&lt;&gt;"",AA105,Z105)</f>
        <v>-</v>
      </c>
      <c r="CF105" s="48" t="str">
        <f aca="false">IF(OR(CE105=1,CE105=2,CE105=3),IF(Parameter!$E$27="Ja","LIFT",IF(CE105=1,"L1","L23")),IF(CE105="Aussen","Aussen","-"))</f>
        <v>-</v>
      </c>
      <c r="CG105" s="59" t="n">
        <f aca="false">IF(N(AB105)&gt;0,AB105,0)</f>
        <v>0</v>
      </c>
      <c r="CH105" s="53" t="n">
        <f aca="false">IF(ISNUMBER(AE105),1,0)</f>
        <v>0</v>
      </c>
      <c r="CI105" s="50" t="n">
        <f aca="false">N(AE105)</f>
        <v>0</v>
      </c>
      <c r="CJ105" s="50" t="n">
        <f aca="false">N(M105)+N(N105)</f>
        <v>5</v>
      </c>
      <c r="CK105" s="50" t="n">
        <f aca="false">N(M105)</f>
        <v>0</v>
      </c>
      <c r="CL105" s="50" t="n">
        <f aca="false">N(N105)</f>
        <v>5</v>
      </c>
      <c r="CM105" s="50" t="n">
        <f aca="false">ROUNDUP(H105/BY105,0)</f>
        <v>1</v>
      </c>
      <c r="CN105" s="50" t="n">
        <f aca="false">ROUNDUP(CI105/BY105,0)</f>
        <v>0</v>
      </c>
      <c r="CO105" s="53" t="n">
        <f aca="false">IF(BZ105=1,0,IFERROR(VLOOKUP(BX105,'Gebinde-Kategorie'!$A$5:$N$45,5,0)+0,0))</f>
        <v>20</v>
      </c>
      <c r="CP105" s="53" t="n">
        <f aca="false">IFERROR(IF(OR(CE105=1,CE105=2,CE105=3),N(INDEX(Parameter!$I$5:$I$7,CE105)),0),0)</f>
        <v>0</v>
      </c>
      <c r="CQ105" s="52" t="n">
        <f aca="false">IF(AND(Parameter!$B$21="Ja",ISNUMBER(W105),N(X105)&gt;0),IFERROR(N(INDEX(Parameter!$L$5:$L$7,W105))*INDEX(Parameter!$E$5:$E$7,W105)*X105/SUMIFS($X$7:$X$1843,$W$7:$W$1843,W105),0),0)</f>
        <v>0</v>
      </c>
    </row>
    <row r="106" customFormat="false" ht="15" hidden="false" customHeight="false" outlineLevel="0" collapsed="false">
      <c r="A106" s="48" t="s">
        <v>433</v>
      </c>
      <c r="B106" s="48" t="s">
        <v>434</v>
      </c>
      <c r="C106" s="48" t="s">
        <v>173</v>
      </c>
      <c r="D106" s="48" t="s">
        <v>193</v>
      </c>
      <c r="E106" s="48" t="s">
        <v>194</v>
      </c>
      <c r="F106" s="48" t="s">
        <v>227</v>
      </c>
      <c r="G106" s="49" t="n">
        <v>17.68</v>
      </c>
      <c r="H106" s="50" t="n">
        <f aca="false">MAX(0,IF(AND(Parameter!$B$21="Ja",ISNUMBER(Y106)),Y106,IF(Parameter!$B$20="Jahresanfang 2025 + Export",BR106+BQ106,BQ106)))</f>
        <v>214</v>
      </c>
      <c r="I106" s="50" t="n">
        <f aca="false">H106*G106</f>
        <v>3783.52</v>
      </c>
      <c r="J106" s="50" t="n">
        <f aca="false">BT106*Parameter!$B$18</f>
        <v>618</v>
      </c>
      <c r="K106" s="51" t="n">
        <v>140</v>
      </c>
      <c r="L106" s="52" t="n">
        <v>4.41428571428572</v>
      </c>
      <c r="M106" s="50" t="n">
        <v>36</v>
      </c>
      <c r="N106" s="50" t="n">
        <v>100</v>
      </c>
      <c r="O106" s="53" t="n">
        <v>21</v>
      </c>
      <c r="P106" s="48" t="s">
        <v>435</v>
      </c>
      <c r="Q106" s="50" t="n">
        <v>333</v>
      </c>
      <c r="R106" s="53" t="n">
        <f aca="false">IF(BZ106=1,0,IFERROR(VLOOKUP(BX106,'Gebinde-Kategorie'!$A$5:$N$45,13,0)+0,0))</f>
        <v>140</v>
      </c>
      <c r="S106" s="54"/>
      <c r="T106" s="55"/>
      <c r="U106" s="55"/>
      <c r="V106" s="55"/>
      <c r="W106" s="48"/>
      <c r="X106" s="50"/>
      <c r="Y106" s="50"/>
      <c r="Z106" s="48" t="n">
        <f aca="false">IF(A106="","",IF(AND(Parameter!$B$21="Ja",ISNUMBER(W106)),W106,IF(CC106="2+3",IF(ISNUMBER(SEARCH("grosser Artikel",BU106)),2,IFERROR(VLOOKUP(BX106,Parameter!$F$35:$G$64,2,0),2)),IF(OR(CC106="Nein",CC106=""),"-",CC106))))</f>
        <v>3</v>
      </c>
      <c r="AA106" s="55"/>
      <c r="AB106" s="56"/>
      <c r="AC106" s="50" t="n">
        <f aca="false">AV106</f>
        <v>376</v>
      </c>
      <c r="AD106" s="50" t="n">
        <f aca="false">MAX(AV106,H106)</f>
        <v>376</v>
      </c>
      <c r="AE106" s="57"/>
      <c r="AF106" s="50" t="n">
        <f aca="false">IF(LEFT(Cockpit!$C$5,1)="A",H106,IF(Parameter!$E$30="MAX-Bestand",IF(CH106=1,CI106,IF(LEFT(Cockpit!$C$5,1)="B",AL106,MAX(AL106,H106))),ROUNDUP(AJ106,0)))</f>
        <v>214</v>
      </c>
      <c r="AG106" s="50" t="n">
        <f aca="false">IF(BZ106=1,0,ROUNDUP(AF106/BY106,0))</f>
        <v>1</v>
      </c>
      <c r="AH106" s="52" t="n">
        <f aca="false">IF(CQ106&gt;0,CQ106*MAX(1,AF106/X106),IF(BZ106=1,IF(AF106&lt;=0,0,CD106*MAX(1,IF(H106&gt;0,AF106/H106,1))),IF(R106&gt;0,AG106/R106,0))/MAX(0.1,N(Parameter!$M$21)))</f>
        <v>0.00714285714285714</v>
      </c>
      <c r="AI106" s="50" t="n">
        <f aca="false">AH106*CB106</f>
        <v>1.10714285714286</v>
      </c>
      <c r="AJ106" s="51" t="n">
        <f aca="false">IF(LEFT(Cockpit!$C$5,1)="A",H106,IF(CH106=1,(CK106+CI106)/2,IF(LEFT(Cockpit!$C$5,1)="B",(CK106+AL106)/2,MAX((CK106+AL106)/2,H106))))</f>
        <v>214</v>
      </c>
      <c r="AK106" s="50" t="n">
        <f aca="false">AJ106*G106</f>
        <v>3783.52</v>
      </c>
      <c r="AL106" s="50" t="n">
        <f aca="false">ROUNDUP(CK106+MAX(CL106,2*(J106/IF(CG106&gt;0,CG106,MAX(0.1,N(Cockpit!$C$6)))-CK106)),0)</f>
        <v>376</v>
      </c>
      <c r="AM106" s="51" t="n">
        <f aca="false">IF(AI106&gt;0,J106/AI106,-1)</f>
        <v>558.193548387097</v>
      </c>
      <c r="AN106" s="51" t="n">
        <f aca="false">IF(AND(OR(CF106="L1",CF106="L23",CF106="LIFT"),AI106&gt;0),SUMIFS($AI$7:$AI$1843,$CF$7:$CF$1843,CF106,$AM$7:$AM$1843,"&gt;"&amp;AM106)+SUMIFS($AI$7:$AI$1843,$CF$7:$CF$1843,CF106,$AM$7:$AM$1843,AM106,$BW$7:$BW$1843,"&lt;="&amp;BW106),"")</f>
        <v>51.6648351648352</v>
      </c>
      <c r="AO106" s="58" t="n">
        <f aca="false">IF(AN106="",0,MAX(0,MIN(1,(IF(CF106="L1",Parameter!$H$5,IF(CF106="L23",Parameter!$H$6+Parameter!$H$7,Parameter!$H$5+Parameter!$H$6+Parameter!$H$7))-(AN106-AI106))/AI106)))</f>
        <v>1</v>
      </c>
      <c r="AP106" s="50" t="n">
        <f aca="false">IF(LEFT(Cockpit!$I$5,1)="A",H106,IF(Parameter!$E$30="MAX-Bestand",IF(CH106=1,CI106,IF(LEFT(Cockpit!$I$5,1)="B",AV106,MAX(AV106,H106))),ROUNDUP(AT106,0)))</f>
        <v>214</v>
      </c>
      <c r="AQ106" s="50" t="n">
        <f aca="false">IF(BZ106=1,0,ROUNDUP(AP106/BY106,0))</f>
        <v>1</v>
      </c>
      <c r="AR106" s="52" t="n">
        <f aca="false">IF(CQ106&gt;0,CQ106*MAX(1,AP106/X106),IF(BZ106=1,IF(AP106&lt;=0,0,CD106*MAX(1,IF(H106&gt;0,AP106/H106,1))),IF(R106&gt;0,AQ106/R106,0))/MAX(0.1,N(Parameter!$M$21)))</f>
        <v>0.00714285714285714</v>
      </c>
      <c r="AS106" s="50" t="n">
        <f aca="false">AR106*CB106</f>
        <v>1.10714285714286</v>
      </c>
      <c r="AT106" s="51" t="n">
        <f aca="false">IF(LEFT(Cockpit!$I$5,1)="A",H106,IF(CH106=1,(CK106+CI106)/2,IF(LEFT(Cockpit!$I$5,1)="B",(CK106+AV106)/2,MAX((CK106+AV106)/2,H106))))</f>
        <v>214</v>
      </c>
      <c r="AU106" s="50" t="n">
        <f aca="false">AT106*G106</f>
        <v>3783.52</v>
      </c>
      <c r="AV106" s="50" t="n">
        <f aca="false">ROUNDUP(CK106+MAX(CL106,2*(J106/IF(CG106&gt;0,CG106,MAX(0.1,N(Cockpit!$I$6)))-CK106)),0)</f>
        <v>376</v>
      </c>
      <c r="AW106" s="51" t="n">
        <f aca="false">IF(AS106&gt;0,J106/AS106,-1)</f>
        <v>558.193548387097</v>
      </c>
      <c r="AX106" s="51" t="n">
        <f aca="false">IF(AND(OR(CF106="L1",CF106="L23",CF106="LIFT"),AS106&gt;0),SUMIFS($AS$7:$AS$1843,$CF$7:$CF$1843,CF106,$AW$7:$AW$1843,"&gt;"&amp;AW106)+SUMIFS($AS$7:$AS$1843,$CF$7:$CF$1843,CF106,$AW$7:$AW$1843,AW106,$BW$7:$BW$1843,"&lt;="&amp;BW106),"")</f>
        <v>44.668956043956</v>
      </c>
      <c r="AY106" s="58" t="n">
        <f aca="false">IF(AX106="",0,MAX(0,MIN(1,(IF(CF106="L1",Parameter!$H$5,IF(CF106="L23",Parameter!$H$6+Parameter!$H$7,Parameter!$H$5+Parameter!$H$6+Parameter!$H$7))-(AX106-AS106))/AS106)))</f>
        <v>1</v>
      </c>
      <c r="AZ106" s="50" t="n">
        <f aca="false">IF(LEFT(Cockpit!$O$5,1)="A",H106,IF(Parameter!$E$30="MAX-Bestand",IF(CH106=1,CI106,IF(LEFT(Cockpit!$O$5,1)="B",BF106,MAX(BF106,H106))),ROUNDUP(BD106,0)))</f>
        <v>155</v>
      </c>
      <c r="BA106" s="50" t="n">
        <f aca="false">IF(BZ106=1,0,ROUNDUP(AZ106/BY106,0))</f>
        <v>1</v>
      </c>
      <c r="BB106" s="52" t="n">
        <f aca="false">IF(CQ106&gt;0,CQ106*MAX(1,AZ106/X106),IF(BZ106=1,IF(AZ106&lt;=0,0,CD106*MAX(1,IF(H106&gt;0,AZ106/H106,1))),IF(R106&gt;0,BA106/R106,0))/MAX(0.1,N(Parameter!$M$21)))</f>
        <v>0.00714285714285714</v>
      </c>
      <c r="BC106" s="50" t="n">
        <f aca="false">BB106*CB106</f>
        <v>1.10714285714286</v>
      </c>
      <c r="BD106" s="51" t="n">
        <f aca="false">IF(LEFT(Cockpit!$O$5,1)="A",H106,IF(CH106=1,(CK106+CI106)/2,IF(LEFT(Cockpit!$O$5,1)="B",(CK106+BF106)/2,MAX((CK106+BF106)/2,H106))))</f>
        <v>154.5</v>
      </c>
      <c r="BE106" s="50" t="n">
        <f aca="false">BD106*G106</f>
        <v>2731.56</v>
      </c>
      <c r="BF106" s="50" t="n">
        <f aca="false">ROUNDUP(CK106+MAX(CL106,2*(J106/IF(CG106&gt;0,CG106,MAX(0.1,N(Cockpit!$O$6)))-CK106)),0)</f>
        <v>273</v>
      </c>
      <c r="BG106" s="51" t="n">
        <f aca="false">IF(BC106&gt;0,J106/BC106,-1)</f>
        <v>558.193548387097</v>
      </c>
      <c r="BH106" s="51" t="n">
        <f aca="false">IF(AND(OR(CF106="L1",CF106="L23",CF106="LIFT"),BC106&gt;0),SUMIFS($BC$7:$BC$1843,$CF$7:$CF$1843,CF106,$BG$7:$BG$1843,"&gt;"&amp;BG106)+SUMIFS($BC$7:$BC$1843,$CF$7:$CF$1843,CF106,$BG$7:$BG$1843,BG106,$BW$7:$BW$1843,"&lt;="&amp;BW106),"")</f>
        <v>64.7577838827839</v>
      </c>
      <c r="BI106" s="58" t="n">
        <f aca="false">IF(BH106="",0,MAX(0,MIN(1,(IF(CF106="L1",Parameter!$H$5,IF(CF106="L23",Parameter!$H$6+Parameter!$H$7,Parameter!$H$5+Parameter!$H$6+Parameter!$H$7))-(BH106-BC106))/BC106)))</f>
        <v>1</v>
      </c>
      <c r="BJ106" s="48" t="str">
        <f aca="false">IF(AI106&lt;=0,"",IF(CF106="Aussen","Aussenlager",IF(CF106="-","Nicht im Lift",IF(AO106&gt;=1,"Lift",IF(AO106&lt;=0,"Aussenlager","teilweise")))))</f>
        <v>Lift</v>
      </c>
      <c r="BK106" s="48" t="str">
        <f aca="false">IF(AS106&lt;=0,"",IF(CF106="Aussen","Aussenlager",IF(CF106="-","Nicht im Lift",IF(AY106&gt;=1,"Lift",IF(AY106&lt;=0,"Aussenlager","teilweise")))))</f>
        <v>Lift</v>
      </c>
      <c r="BL106" s="48" t="str">
        <f aca="false">IF(BC106&lt;=0,"",IF(CF106="Aussen","Aussenlager",IF(CF106="-","Nicht im Lift",IF(BI106&gt;=1,"Lift",IF(BI106&lt;=0,"Aussenlager","teilweise")))))</f>
        <v>Lift</v>
      </c>
      <c r="BM106" s="48" t="str">
        <f aca="false">IF(A106="","",IF(BV106=1,"Neu; ","")&amp;IF(AND(BV106=0,BQ106&lt;0),"negativer Bestand (Export "&amp;BQ106&amp;"); ","")&amp;IF(J106&lt;=0,"Kein Verbrauch; ","")&amp;IF(CQ106&gt;0,"Lift "&amp;W106&amp;" lt. Liftbericht (Fach "&amp;X106&amp;" Stk); ",IF(CA106=1,"Gebinde geschätzt ("&amp;T106&amp;"); ",IF(BZ106=1,"Lose – Tablare geschätzt; ","")))&amp;IF(H106&gt;AV106,"Überbestand "&amp;ROUND(H106-AV106,0)&amp;" Stk / CHF "&amp;ROUND((H106-AV106)*G106,0)&amp;"; ","")&amp;IF(AND(CH106=1,CI106&lt;CJ106),"MAX &lt; MB+LG; ","")&amp;IF(AND(CP106&gt;0,CO106*10&gt;CP106),"zu hoch für Tablar; ","")&amp;IF(AND(BV106=0,OR(CH106=1,AA106&lt;&gt;"",U106&lt;&gt;"",V106&lt;&gt;"",AB106&lt;&gt;"")),"manuell übersteuert; ","")&amp;IF(AND(BZ106=0,R106=0),"Gebinde unbekannt / Stellmass fehlt; ","")&amp;IF(AND(BZ106=0,N(V106)&lt;=0,N(Q106)&lt;=0),"Menge pro Gebinde fehlt (Ist = 1 Gebinde); ","")&amp;BU106)</f>
        <v/>
      </c>
      <c r="BN106" s="48"/>
      <c r="BO106" s="48"/>
      <c r="BP106" s="55"/>
      <c r="BQ106" s="50" t="n">
        <v>119</v>
      </c>
      <c r="BR106" s="50" t="n">
        <v>95</v>
      </c>
      <c r="BS106" s="49" t="n">
        <v>2236.92</v>
      </c>
      <c r="BT106" s="50" t="n">
        <v>618</v>
      </c>
      <c r="BU106" s="48"/>
      <c r="BV106" s="53" t="n">
        <v>0</v>
      </c>
      <c r="BW106" s="53" t="n">
        <v>106</v>
      </c>
      <c r="BX106" s="48" t="str">
        <f aca="false">IF(U106&lt;&gt;"",UPPER(TRIM(U106)),IF(CA106=1,UPPER(VLOOKUP(T106,Parameter!$I$27:$K$29,2,0)),IF(P106="","LOSE",P106)))</f>
        <v>S22</v>
      </c>
      <c r="BY106" s="50" t="n">
        <f aca="false">IF(BX106="LOSE",1,IF(N(V106)&gt;0,V106,IF(CA106=1,MAX(1,N(VLOOKUP(T106,Parameter!$I$27:$K$29,3,0)),H106,N(N106)),IF(N(Q106)&gt;0,Q106,MAX(1,H106)))))</f>
        <v>333</v>
      </c>
      <c r="BZ106" s="53" t="n">
        <f aca="false">IF(BX106="LOSE",1,0)</f>
        <v>0</v>
      </c>
      <c r="CA106" s="53" t="n">
        <f aca="false">IF(AND(U106="",OR(P106="",P106="LOSE"),T106&lt;&gt;"",N(S106)&lt;=0,ISNUMBER(MATCH(T106,Parameter!$I$27:$I$29,0))),1,0)</f>
        <v>0</v>
      </c>
      <c r="CB106" s="53" t="n">
        <f aca="false">IF(CQ106&gt;0,INDEX(Parameter!$H$5:$H$7,W106)/INDEX(Parameter!$E$5:$E$7,W106),IF(AND(BZ106=0,N(IFERROR(VLOOKUP(BX106,'Gebinde-Kategorie'!$A$5:$N$45,14,0),0))&gt;0),VLOOKUP(BX106,'Gebinde-Kategorie'!$A$5:$N$45,14,0)*10+Parameter!$M$23,Parameter!$M$24))</f>
        <v>155</v>
      </c>
      <c r="CC106" s="48" t="str">
        <f aca="false">IF(AND(Parameter!$B$19="Ja",E106&lt;&gt;"",ISNUMBER(MATCH(E106,Parameter!$I$35:$I$52,0))),VLOOKUP(E106,Parameter!$I$35:$J$52,2,0),IFERROR(VLOOKUP(D106,Parameter!$A$35:$C$64,2,0),"Nein"))</f>
        <v>2+3</v>
      </c>
      <c r="CD106" s="52" t="n">
        <f aca="false">IF(BZ106=0,0,IF(N(S106)&gt;0,S106,IFERROR(VLOOKUP(D106,Parameter!$A$35:$C$64,3,0)+0,0)))</f>
        <v>0</v>
      </c>
      <c r="CE106" s="48" t="n">
        <f aca="false">IF(AA106&lt;&gt;"",AA106,Z106)</f>
        <v>3</v>
      </c>
      <c r="CF106" s="48" t="str">
        <f aca="false">IF(OR(CE106=1,CE106=2,CE106=3),IF(Parameter!$E$27="Ja","LIFT",IF(CE106=1,"L1","L23")),IF(CE106="Aussen","Aussen","-"))</f>
        <v>LIFT</v>
      </c>
      <c r="CG106" s="59" t="n">
        <f aca="false">IF(N(AB106)&gt;0,AB106,0)</f>
        <v>0</v>
      </c>
      <c r="CH106" s="53" t="n">
        <f aca="false">IF(ISNUMBER(AE106),1,0)</f>
        <v>0</v>
      </c>
      <c r="CI106" s="50" t="n">
        <f aca="false">N(AE106)</f>
        <v>0</v>
      </c>
      <c r="CJ106" s="50" t="n">
        <f aca="false">N(M106)+N(N106)</f>
        <v>136</v>
      </c>
      <c r="CK106" s="50" t="n">
        <f aca="false">N(M106)</f>
        <v>36</v>
      </c>
      <c r="CL106" s="50" t="n">
        <f aca="false">N(N106)</f>
        <v>100</v>
      </c>
      <c r="CM106" s="50" t="n">
        <f aca="false">ROUNDUP(H106/BY106,0)</f>
        <v>1</v>
      </c>
      <c r="CN106" s="50" t="n">
        <f aca="false">ROUNDUP(CI106/BY106,0)</f>
        <v>0</v>
      </c>
      <c r="CO106" s="53" t="n">
        <f aca="false">IF(BZ106=1,0,IFERROR(VLOOKUP(BX106,'Gebinde-Kategorie'!$A$5:$N$45,5,0)+0,0))</f>
        <v>8</v>
      </c>
      <c r="CP106" s="53" t="n">
        <f aca="false">IFERROR(IF(OR(CE106=1,CE106=2,CE106=3),N(INDEX(Parameter!$I$5:$I$7,CE106)),0),0)</f>
        <v>0</v>
      </c>
      <c r="CQ106" s="52" t="n">
        <f aca="false">IF(AND(Parameter!$B$21="Ja",ISNUMBER(W106),N(X106)&gt;0),IFERROR(N(INDEX(Parameter!$L$5:$L$7,W106))*INDEX(Parameter!$E$5:$E$7,W106)*X106/SUMIFS($X$7:$X$1843,$W$7:$W$1843,W106),0),0)</f>
        <v>0</v>
      </c>
    </row>
    <row r="107" customFormat="false" ht="15" hidden="false" customHeight="false" outlineLevel="0" collapsed="false">
      <c r="A107" s="48" t="s">
        <v>436</v>
      </c>
      <c r="B107" s="48" t="s">
        <v>301</v>
      </c>
      <c r="C107" s="48" t="s">
        <v>173</v>
      </c>
      <c r="D107" s="48" t="s">
        <v>193</v>
      </c>
      <c r="E107" s="48" t="s">
        <v>194</v>
      </c>
      <c r="F107" s="48" t="s">
        <v>227</v>
      </c>
      <c r="G107" s="49" t="n">
        <v>160.1</v>
      </c>
      <c r="H107" s="50" t="n">
        <f aca="false">MAX(0,IF(AND(Parameter!$B$21="Ja",ISNUMBER(Y107)),Y107,IF(Parameter!$B$20="Jahresanfang 2025 + Export",BR107+BQ107,BQ107)))</f>
        <v>37</v>
      </c>
      <c r="I107" s="50" t="n">
        <f aca="false">H107*G107</f>
        <v>5923.7</v>
      </c>
      <c r="J107" s="50" t="n">
        <f aca="false">BT107*Parameter!$B$18</f>
        <v>90</v>
      </c>
      <c r="K107" s="51" t="n">
        <v>30</v>
      </c>
      <c r="L107" s="52" t="n">
        <v>3</v>
      </c>
      <c r="M107" s="50" t="n">
        <v>10</v>
      </c>
      <c r="N107" s="50" t="n">
        <v>35</v>
      </c>
      <c r="O107" s="53" t="n">
        <v>30</v>
      </c>
      <c r="P107" s="48" t="s">
        <v>311</v>
      </c>
      <c r="Q107" s="50" t="n">
        <v>37</v>
      </c>
      <c r="R107" s="53" t="n">
        <f aca="false">IF(BZ107=1,0,IFERROR(VLOOKUP(BX107,'Gebinde-Kategorie'!$A$5:$N$45,13,0)+0,0))</f>
        <v>26</v>
      </c>
      <c r="S107" s="54"/>
      <c r="T107" s="55"/>
      <c r="U107" s="55"/>
      <c r="V107" s="55"/>
      <c r="W107" s="48"/>
      <c r="X107" s="50"/>
      <c r="Y107" s="50"/>
      <c r="Z107" s="48" t="n">
        <f aca="false">IF(A107="","",IF(AND(Parameter!$B$21="Ja",ISNUMBER(W107)),W107,IF(CC107="2+3",IF(ISNUMBER(SEARCH("grosser Artikel",BU107)),2,IFERROR(VLOOKUP(BX107,Parameter!$F$35:$G$64,2,0),2)),IF(OR(CC107="Nein",CC107=""),"-",CC107))))</f>
        <v>3</v>
      </c>
      <c r="AA107" s="55"/>
      <c r="AB107" s="56"/>
      <c r="AC107" s="50" t="n">
        <f aca="false">AV107</f>
        <v>50</v>
      </c>
      <c r="AD107" s="50" t="n">
        <f aca="false">MAX(AV107,H107)</f>
        <v>50</v>
      </c>
      <c r="AE107" s="57"/>
      <c r="AF107" s="50" t="n">
        <f aca="false">IF(LEFT(Cockpit!$C$5,1)="A",H107,IF(Parameter!$E$30="MAX-Bestand",IF(CH107=1,CI107,IF(LEFT(Cockpit!$C$5,1)="B",AL107,MAX(AL107,H107))),ROUNDUP(AJ107,0)))</f>
        <v>37</v>
      </c>
      <c r="AG107" s="50" t="n">
        <f aca="false">IF(BZ107=1,0,ROUNDUP(AF107/BY107,0))</f>
        <v>1</v>
      </c>
      <c r="AH107" s="52" t="n">
        <f aca="false">IF(CQ107&gt;0,CQ107*MAX(1,AF107/X107),IF(BZ107=1,IF(AF107&lt;=0,0,CD107*MAX(1,IF(H107&gt;0,AF107/H107,1))),IF(R107&gt;0,AG107/R107,0))/MAX(0.1,N(Parameter!$M$21)))</f>
        <v>0.0384615384615385</v>
      </c>
      <c r="AI107" s="50" t="n">
        <f aca="false">AH107*CB107</f>
        <v>5.96153846153846</v>
      </c>
      <c r="AJ107" s="51" t="n">
        <f aca="false">IF(LEFT(Cockpit!$C$5,1)="A",H107,IF(CH107=1,(CK107+CI107)/2,IF(LEFT(Cockpit!$C$5,1)="B",(CK107+AL107)/2,MAX((CK107+AL107)/2,H107))))</f>
        <v>37</v>
      </c>
      <c r="AK107" s="50" t="n">
        <f aca="false">AJ107*G107</f>
        <v>5923.7</v>
      </c>
      <c r="AL107" s="50" t="n">
        <f aca="false">ROUNDUP(CK107+MAX(CL107,2*(J107/IF(CG107&gt;0,CG107,MAX(0.1,N(Cockpit!$C$6)))-CK107)),0)</f>
        <v>50</v>
      </c>
      <c r="AM107" s="51" t="n">
        <f aca="false">IF(AI107&gt;0,J107/AI107,-1)</f>
        <v>15.0967741935484</v>
      </c>
      <c r="AN107" s="51" t="n">
        <f aca="false">IF(AND(OR(CF107="L1",CF107="L23",CF107="LIFT"),AI107&gt;0),SUMIFS($AI$7:$AI$1843,$CF$7:$CF$1843,CF107,$AM$7:$AM$1843,"&gt;"&amp;AM107)+SUMIFS($AI$7:$AI$1843,$CF$7:$CF$1843,CF107,$AM$7:$AM$1843,AM107,$BW$7:$BW$1843,"&lt;="&amp;BW107),"")</f>
        <v>2073.14102564103</v>
      </c>
      <c r="AO107" s="58" t="n">
        <f aca="false">IF(AN107="",0,MAX(0,MIN(1,(IF(CF107="L1",Parameter!$H$5,IF(CF107="L23",Parameter!$H$6+Parameter!$H$7,Parameter!$H$5+Parameter!$H$6+Parameter!$H$7))-(AN107-AI107))/AI107)))</f>
        <v>1</v>
      </c>
      <c r="AP107" s="50" t="n">
        <f aca="false">IF(LEFT(Cockpit!$I$5,1)="A",H107,IF(Parameter!$E$30="MAX-Bestand",IF(CH107=1,CI107,IF(LEFT(Cockpit!$I$5,1)="B",AV107,MAX(AV107,H107))),ROUNDUP(AT107,0)))</f>
        <v>37</v>
      </c>
      <c r="AQ107" s="50" t="n">
        <f aca="false">IF(BZ107=1,0,ROUNDUP(AP107/BY107,0))</f>
        <v>1</v>
      </c>
      <c r="AR107" s="52" t="n">
        <f aca="false">IF(CQ107&gt;0,CQ107*MAX(1,AP107/X107),IF(BZ107=1,IF(AP107&lt;=0,0,CD107*MAX(1,IF(H107&gt;0,AP107/H107,1))),IF(R107&gt;0,AQ107/R107,0))/MAX(0.1,N(Parameter!$M$21)))</f>
        <v>0.0384615384615385</v>
      </c>
      <c r="AS107" s="50" t="n">
        <f aca="false">AR107*CB107</f>
        <v>5.96153846153846</v>
      </c>
      <c r="AT107" s="51" t="n">
        <f aca="false">IF(LEFT(Cockpit!$I$5,1)="A",H107,IF(CH107=1,(CK107+CI107)/2,IF(LEFT(Cockpit!$I$5,1)="B",(CK107+AV107)/2,MAX((CK107+AV107)/2,H107))))</f>
        <v>37</v>
      </c>
      <c r="AU107" s="50" t="n">
        <f aca="false">AT107*G107</f>
        <v>5923.7</v>
      </c>
      <c r="AV107" s="50" t="n">
        <f aca="false">ROUNDUP(CK107+MAX(CL107,2*(J107/IF(CG107&gt;0,CG107,MAX(0.1,N(Cockpit!$I$6)))-CK107)),0)</f>
        <v>50</v>
      </c>
      <c r="AW107" s="51" t="n">
        <f aca="false">IF(AS107&gt;0,J107/AS107,-1)</f>
        <v>15.0967741935484</v>
      </c>
      <c r="AX107" s="51" t="n">
        <f aca="false">IF(AND(OR(CF107="L1",CF107="L23",CF107="LIFT"),AS107&gt;0),SUMIFS($AS$7:$AS$1843,$CF$7:$CF$1843,CF107,$AW$7:$AW$1843,"&gt;"&amp;AW107)+SUMIFS($AS$7:$AS$1843,$CF$7:$CF$1843,CF107,$AW$7:$AW$1843,AW107,$BW$7:$BW$1843,"&lt;="&amp;BW107),"")</f>
        <v>2721.07783882784</v>
      </c>
      <c r="AY107" s="58" t="n">
        <f aca="false">IF(AX107="",0,MAX(0,MIN(1,(IF(CF107="L1",Parameter!$H$5,IF(CF107="L23",Parameter!$H$6+Parameter!$H$7,Parameter!$H$5+Parameter!$H$6+Parameter!$H$7))-(AX107-AS107))/AS107)))</f>
        <v>1</v>
      </c>
      <c r="AZ107" s="50" t="n">
        <f aca="false">IF(LEFT(Cockpit!$O$5,1)="A",H107,IF(Parameter!$E$30="MAX-Bestand",IF(CH107=1,CI107,IF(LEFT(Cockpit!$O$5,1)="B",BF107,MAX(BF107,H107))),ROUNDUP(BD107,0)))</f>
        <v>28</v>
      </c>
      <c r="BA107" s="50" t="n">
        <f aca="false">IF(BZ107=1,0,ROUNDUP(AZ107/BY107,0))</f>
        <v>1</v>
      </c>
      <c r="BB107" s="52" t="n">
        <f aca="false">IF(CQ107&gt;0,CQ107*MAX(1,AZ107/X107),IF(BZ107=1,IF(AZ107&lt;=0,0,CD107*MAX(1,IF(H107&gt;0,AZ107/H107,1))),IF(R107&gt;0,BA107/R107,0))/MAX(0.1,N(Parameter!$M$21)))</f>
        <v>0.0384615384615385</v>
      </c>
      <c r="BC107" s="50" t="n">
        <f aca="false">BB107*CB107</f>
        <v>5.96153846153846</v>
      </c>
      <c r="BD107" s="51" t="n">
        <f aca="false">IF(LEFT(Cockpit!$O$5,1)="A",H107,IF(CH107=1,(CK107+CI107)/2,IF(LEFT(Cockpit!$O$5,1)="B",(CK107+BF107)/2,MAX((CK107+BF107)/2,H107))))</f>
        <v>27.5</v>
      </c>
      <c r="BE107" s="50" t="n">
        <f aca="false">BD107*G107</f>
        <v>4402.75</v>
      </c>
      <c r="BF107" s="50" t="n">
        <f aca="false">ROUNDUP(CK107+MAX(CL107,2*(J107/IF(CG107&gt;0,CG107,MAX(0.1,N(Cockpit!$O$6)))-CK107)),0)</f>
        <v>45</v>
      </c>
      <c r="BG107" s="51" t="n">
        <f aca="false">IF(BC107&gt;0,J107/BC107,-1)</f>
        <v>15.0967741935484</v>
      </c>
      <c r="BH107" s="51" t="n">
        <f aca="false">IF(AND(OR(CF107="L1",CF107="L23",CF107="LIFT"),BC107&gt;0),SUMIFS($BC$7:$BC$1843,$CF$7:$CF$1843,CF107,$BG$7:$BG$1843,"&gt;"&amp;BG107)+SUMIFS($BC$7:$BC$1843,$CF$7:$CF$1843,CF107,$BG$7:$BG$1843,BG107,$BW$7:$BW$1843,"&lt;="&amp;BW107),"")</f>
        <v>2404.11492673993</v>
      </c>
      <c r="BI107" s="58" t="n">
        <f aca="false">IF(BH107="",0,MAX(0,MIN(1,(IF(CF107="L1",Parameter!$H$5,IF(CF107="L23",Parameter!$H$6+Parameter!$H$7,Parameter!$H$5+Parameter!$H$6+Parameter!$H$7))-(BH107-BC107))/BC107)))</f>
        <v>1</v>
      </c>
      <c r="BJ107" s="48" t="str">
        <f aca="false">IF(AI107&lt;=0,"",IF(CF107="Aussen","Aussenlager",IF(CF107="-","Nicht im Lift",IF(AO107&gt;=1,"Lift",IF(AO107&lt;=0,"Aussenlager","teilweise")))))</f>
        <v>Lift</v>
      </c>
      <c r="BK107" s="48" t="str">
        <f aca="false">IF(AS107&lt;=0,"",IF(CF107="Aussen","Aussenlager",IF(CF107="-","Nicht im Lift",IF(AY107&gt;=1,"Lift",IF(AY107&lt;=0,"Aussenlager","teilweise")))))</f>
        <v>Lift</v>
      </c>
      <c r="BL107" s="48" t="str">
        <f aca="false">IF(BC107&lt;=0,"",IF(CF107="Aussen","Aussenlager",IF(CF107="-","Nicht im Lift",IF(BI107&gt;=1,"Lift",IF(BI107&lt;=0,"Aussenlager","teilweise")))))</f>
        <v>Lift</v>
      </c>
      <c r="BM107" s="48" t="str">
        <f aca="false">IF(A107="","",IF(BV107=1,"Neu; ","")&amp;IF(AND(BV107=0,BQ107&lt;0),"negativer Bestand (Export "&amp;BQ107&amp;"); ","")&amp;IF(J107&lt;=0,"Kein Verbrauch; ","")&amp;IF(CQ107&gt;0,"Lift "&amp;W107&amp;" lt. Liftbericht (Fach "&amp;X107&amp;" Stk); ",IF(CA107=1,"Gebinde geschätzt ("&amp;T107&amp;"); ",IF(BZ107=1,"Lose – Tablare geschätzt; ","")))&amp;IF(H107&gt;AV107,"Überbestand "&amp;ROUND(H107-AV107,0)&amp;" Stk / CHF "&amp;ROUND((H107-AV107)*G107,0)&amp;"; ","")&amp;IF(AND(CH107=1,CI107&lt;CJ107),"MAX &lt; MB+LG; ","")&amp;IF(AND(CP107&gt;0,CO107*10&gt;CP107),"zu hoch für Tablar; ","")&amp;IF(AND(BV107=0,OR(CH107=1,AA107&lt;&gt;"",U107&lt;&gt;"",V107&lt;&gt;"",AB107&lt;&gt;"")),"manuell übersteuert; ","")&amp;IF(AND(BZ107=0,R107=0),"Gebinde unbekannt / Stellmass fehlt; ","")&amp;IF(AND(BZ107=0,N(V107)&lt;=0,N(Q107)&lt;=0),"Menge pro Gebinde fehlt (Ist = 1 Gebinde); ","")&amp;BU107)</f>
        <v/>
      </c>
      <c r="BN107" s="48"/>
      <c r="BO107" s="48"/>
      <c r="BP107" s="55"/>
      <c r="BQ107" s="50" t="n">
        <v>12</v>
      </c>
      <c r="BR107" s="50" t="n">
        <v>25</v>
      </c>
      <c r="BS107" s="49" t="n">
        <v>2199.6</v>
      </c>
      <c r="BT107" s="50" t="n">
        <v>90</v>
      </c>
      <c r="BU107" s="48"/>
      <c r="BV107" s="53" t="n">
        <v>0</v>
      </c>
      <c r="BW107" s="53" t="n">
        <v>107</v>
      </c>
      <c r="BX107" s="48" t="str">
        <f aca="false">IF(U107&lt;&gt;"",UPPER(TRIM(U107)),IF(CA107=1,UPPER(VLOOKUP(T107,Parameter!$I$27:$K$29,2,0)),IF(P107="","LOSE",P107)))</f>
        <v>S51</v>
      </c>
      <c r="BY107" s="50" t="n">
        <f aca="false">IF(BX107="LOSE",1,IF(N(V107)&gt;0,V107,IF(CA107=1,MAX(1,N(VLOOKUP(T107,Parameter!$I$27:$K$29,3,0)),H107,N(N107)),IF(N(Q107)&gt;0,Q107,MAX(1,H107)))))</f>
        <v>37</v>
      </c>
      <c r="BZ107" s="53" t="n">
        <f aca="false">IF(BX107="LOSE",1,0)</f>
        <v>0</v>
      </c>
      <c r="CA107" s="53" t="n">
        <f aca="false">IF(AND(U107="",OR(P107="",P107="LOSE"),T107&lt;&gt;"",N(S107)&lt;=0,ISNUMBER(MATCH(T107,Parameter!$I$27:$I$29,0))),1,0)</f>
        <v>0</v>
      </c>
      <c r="CB107" s="53" t="n">
        <f aca="false">IF(CQ107&gt;0,INDEX(Parameter!$H$5:$H$7,W107)/INDEX(Parameter!$E$5:$E$7,W107),IF(AND(BZ107=0,N(IFERROR(VLOOKUP(BX107,'Gebinde-Kategorie'!$A$5:$N$45,14,0),0))&gt;0),VLOOKUP(BX107,'Gebinde-Kategorie'!$A$5:$N$45,14,0)*10+Parameter!$M$23,Parameter!$M$24))</f>
        <v>155</v>
      </c>
      <c r="CC107" s="48" t="str">
        <f aca="false">IF(AND(Parameter!$B$19="Ja",E107&lt;&gt;"",ISNUMBER(MATCH(E107,Parameter!$I$35:$I$52,0))),VLOOKUP(E107,Parameter!$I$35:$J$52,2,0),IFERROR(VLOOKUP(D107,Parameter!$A$35:$C$64,2,0),"Nein"))</f>
        <v>2+3</v>
      </c>
      <c r="CD107" s="52" t="n">
        <f aca="false">IF(BZ107=0,0,IF(N(S107)&gt;0,S107,IFERROR(VLOOKUP(D107,Parameter!$A$35:$C$64,3,0)+0,0)))</f>
        <v>0</v>
      </c>
      <c r="CE107" s="48" t="n">
        <f aca="false">IF(AA107&lt;&gt;"",AA107,Z107)</f>
        <v>3</v>
      </c>
      <c r="CF107" s="48" t="str">
        <f aca="false">IF(OR(CE107=1,CE107=2,CE107=3),IF(Parameter!$E$27="Ja","LIFT",IF(CE107=1,"L1","L23")),IF(CE107="Aussen","Aussen","-"))</f>
        <v>LIFT</v>
      </c>
      <c r="CG107" s="59" t="n">
        <f aca="false">IF(N(AB107)&gt;0,AB107,0)</f>
        <v>0</v>
      </c>
      <c r="CH107" s="53" t="n">
        <f aca="false">IF(ISNUMBER(AE107),1,0)</f>
        <v>0</v>
      </c>
      <c r="CI107" s="50" t="n">
        <f aca="false">N(AE107)</f>
        <v>0</v>
      </c>
      <c r="CJ107" s="50" t="n">
        <f aca="false">N(M107)+N(N107)</f>
        <v>45</v>
      </c>
      <c r="CK107" s="50" t="n">
        <f aca="false">N(M107)</f>
        <v>10</v>
      </c>
      <c r="CL107" s="50" t="n">
        <f aca="false">N(N107)</f>
        <v>35</v>
      </c>
      <c r="CM107" s="50" t="n">
        <f aca="false">ROUNDUP(H107/BY107,0)</f>
        <v>1</v>
      </c>
      <c r="CN107" s="50" t="n">
        <f aca="false">ROUNDUP(CI107/BY107,0)</f>
        <v>0</v>
      </c>
      <c r="CO107" s="53" t="n">
        <f aca="false">IF(BZ107=1,0,IFERROR(VLOOKUP(BX107,'Gebinde-Kategorie'!$A$5:$N$45,5,0)+0,0))</f>
        <v>11</v>
      </c>
      <c r="CP107" s="53" t="n">
        <f aca="false">IFERROR(IF(OR(CE107=1,CE107=2,CE107=3),N(INDEX(Parameter!$I$5:$I$7,CE107)),0),0)</f>
        <v>0</v>
      </c>
      <c r="CQ107" s="52" t="n">
        <f aca="false">IF(AND(Parameter!$B$21="Ja",ISNUMBER(W107),N(X107)&gt;0),IFERROR(N(INDEX(Parameter!$L$5:$L$7,W107))*INDEX(Parameter!$E$5:$E$7,W107)*X107/SUMIFS($X$7:$X$1843,$W$7:$W$1843,W107),0),0)</f>
        <v>0</v>
      </c>
    </row>
    <row r="108" customFormat="false" ht="15" hidden="false" customHeight="false" outlineLevel="0" collapsed="false">
      <c r="A108" s="48" t="s">
        <v>437</v>
      </c>
      <c r="B108" s="48" t="s">
        <v>438</v>
      </c>
      <c r="C108" s="48" t="s">
        <v>173</v>
      </c>
      <c r="D108" s="48" t="s">
        <v>193</v>
      </c>
      <c r="E108" s="48"/>
      <c r="F108" s="48" t="s">
        <v>227</v>
      </c>
      <c r="G108" s="49" t="n">
        <v>57.81</v>
      </c>
      <c r="H108" s="50" t="n">
        <f aca="false">MAX(0,IF(AND(Parameter!$B$21="Ja",ISNUMBER(Y108)),Y108,IF(Parameter!$B$20="Jahresanfang 2025 + Export",BR108+BQ108,BQ108)))</f>
        <v>53</v>
      </c>
      <c r="I108" s="50" t="n">
        <f aca="false">H108*G108</f>
        <v>3063.93</v>
      </c>
      <c r="J108" s="50" t="n">
        <f aca="false">BT108*Parameter!$B$18</f>
        <v>90</v>
      </c>
      <c r="K108" s="51" t="n">
        <v>32</v>
      </c>
      <c r="L108" s="52" t="n">
        <v>2.8125</v>
      </c>
      <c r="M108" s="50" t="n">
        <v>20</v>
      </c>
      <c r="N108" s="50" t="n">
        <v>55</v>
      </c>
      <c r="O108" s="53" t="n">
        <v>70</v>
      </c>
      <c r="P108" s="48" t="s">
        <v>242</v>
      </c>
      <c r="Q108" s="50" t="n">
        <v>50</v>
      </c>
      <c r="R108" s="53" t="n">
        <f aca="false">IF(BZ108=1,0,IFERROR(VLOOKUP(BX108,'Gebinde-Kategorie'!$A$5:$N$45,13,0)+0,0))</f>
        <v>26</v>
      </c>
      <c r="S108" s="54"/>
      <c r="T108" s="55"/>
      <c r="U108" s="55"/>
      <c r="V108" s="55"/>
      <c r="W108" s="48"/>
      <c r="X108" s="50"/>
      <c r="Y108" s="50"/>
      <c r="Z108" s="48" t="n">
        <f aca="false">IF(A108="","",IF(AND(Parameter!$B$21="Ja",ISNUMBER(W108)),W108,IF(CC108="2+3",IF(ISNUMBER(SEARCH("grosser Artikel",BU108)),2,IFERROR(VLOOKUP(BX108,Parameter!$F$35:$G$64,2,0),2)),IF(OR(CC108="Nein",CC108=""),"-",CC108))))</f>
        <v>3</v>
      </c>
      <c r="AA108" s="55"/>
      <c r="AB108" s="56"/>
      <c r="AC108" s="50" t="n">
        <f aca="false">AV108</f>
        <v>75</v>
      </c>
      <c r="AD108" s="50" t="n">
        <f aca="false">MAX(AV108,H108)</f>
        <v>75</v>
      </c>
      <c r="AE108" s="57"/>
      <c r="AF108" s="50" t="n">
        <f aca="false">IF(LEFT(Cockpit!$C$5,1)="A",H108,IF(Parameter!$E$30="MAX-Bestand",IF(CH108=1,CI108,IF(LEFT(Cockpit!$C$5,1)="B",AL108,MAX(AL108,H108))),ROUNDUP(AJ108,0)))</f>
        <v>53</v>
      </c>
      <c r="AG108" s="50" t="n">
        <f aca="false">IF(BZ108=1,0,ROUNDUP(AF108/BY108,0))</f>
        <v>2</v>
      </c>
      <c r="AH108" s="52" t="n">
        <f aca="false">IF(CQ108&gt;0,CQ108*MAX(1,AF108/X108),IF(BZ108=1,IF(AF108&lt;=0,0,CD108*MAX(1,IF(H108&gt;0,AF108/H108,1))),IF(R108&gt;0,AG108/R108,0))/MAX(0.1,N(Parameter!$M$21)))</f>
        <v>0.0769230769230769</v>
      </c>
      <c r="AI108" s="50" t="n">
        <f aca="false">AH108*CB108</f>
        <v>18.8461538461538</v>
      </c>
      <c r="AJ108" s="51" t="n">
        <f aca="false">IF(LEFT(Cockpit!$C$5,1)="A",H108,IF(CH108=1,(CK108+CI108)/2,IF(LEFT(Cockpit!$C$5,1)="B",(CK108+AL108)/2,MAX((CK108+AL108)/2,H108))))</f>
        <v>53</v>
      </c>
      <c r="AK108" s="50" t="n">
        <f aca="false">AJ108*G108</f>
        <v>3063.93</v>
      </c>
      <c r="AL108" s="50" t="n">
        <f aca="false">ROUNDUP(CK108+MAX(CL108,2*(J108/IF(CG108&gt;0,CG108,MAX(0.1,N(Cockpit!$C$6)))-CK108)),0)</f>
        <v>75</v>
      </c>
      <c r="AM108" s="51" t="n">
        <f aca="false">IF(AI108&gt;0,J108/AI108,-1)</f>
        <v>4.77551020408163</v>
      </c>
      <c r="AN108" s="51" t="n">
        <f aca="false">IF(AND(OR(CF108="L1",CF108="L23",CF108="LIFT"),AI108&gt;0),SUMIFS($AI$7:$AI$1843,$CF$7:$CF$1843,CF108,$AM$7:$AM$1843,"&gt;"&amp;AM108)+SUMIFS($AI$7:$AI$1843,$CF$7:$CF$1843,CF108,$AM$7:$AM$1843,AM108,$BW$7:$BW$1843,"&lt;="&amp;BW108),"")</f>
        <v>4111.52426739927</v>
      </c>
      <c r="AO108" s="58" t="n">
        <f aca="false">IF(AN108="",0,MAX(0,MIN(1,(IF(CF108="L1",Parameter!$H$5,IF(CF108="L23",Parameter!$H$6+Parameter!$H$7,Parameter!$H$5+Parameter!$H$6+Parameter!$H$7))-(AN108-AI108))/AI108)))</f>
        <v>1</v>
      </c>
      <c r="AP108" s="50" t="n">
        <f aca="false">IF(LEFT(Cockpit!$I$5,1)="A",H108,IF(Parameter!$E$30="MAX-Bestand",IF(CH108=1,CI108,IF(LEFT(Cockpit!$I$5,1)="B",AV108,MAX(AV108,H108))),ROUNDUP(AT108,0)))</f>
        <v>53</v>
      </c>
      <c r="AQ108" s="50" t="n">
        <f aca="false">IF(BZ108=1,0,ROUNDUP(AP108/BY108,0))</f>
        <v>2</v>
      </c>
      <c r="AR108" s="52" t="n">
        <f aca="false">IF(CQ108&gt;0,CQ108*MAX(1,AP108/X108),IF(BZ108=1,IF(AP108&lt;=0,0,CD108*MAX(1,IF(H108&gt;0,AP108/H108,1))),IF(R108&gt;0,AQ108/R108,0))/MAX(0.1,N(Parameter!$M$21)))</f>
        <v>0.0769230769230769</v>
      </c>
      <c r="AS108" s="50" t="n">
        <f aca="false">AR108*CB108</f>
        <v>18.8461538461538</v>
      </c>
      <c r="AT108" s="51" t="n">
        <f aca="false">IF(LEFT(Cockpit!$I$5,1)="A",H108,IF(CH108=1,(CK108+CI108)/2,IF(LEFT(Cockpit!$I$5,1)="B",(CK108+AV108)/2,MAX((CK108+AV108)/2,H108))))</f>
        <v>53</v>
      </c>
      <c r="AU108" s="50" t="n">
        <f aca="false">AT108*G108</f>
        <v>3063.93</v>
      </c>
      <c r="AV108" s="50" t="n">
        <f aca="false">ROUNDUP(CK108+MAX(CL108,2*(J108/IF(CG108&gt;0,CG108,MAX(0.1,N(Cockpit!$I$6)))-CK108)),0)</f>
        <v>75</v>
      </c>
      <c r="AW108" s="51" t="n">
        <f aca="false">IF(AS108&gt;0,J108/AS108,-1)</f>
        <v>4.77551020408163</v>
      </c>
      <c r="AX108" s="51" t="n">
        <f aca="false">IF(AND(OR(CF108="L1",CF108="L23",CF108="LIFT"),AS108&gt;0),SUMIFS($AS$7:$AS$1843,$CF$7:$CF$1843,CF108,$AW$7:$AW$1843,"&gt;"&amp;AW108)+SUMIFS($AS$7:$AS$1843,$CF$7:$CF$1843,CF108,$AW$7:$AW$1843,AW108,$BW$7:$BW$1843,"&lt;="&amp;BW108),"")</f>
        <v>4707.76510989011</v>
      </c>
      <c r="AY108" s="58" t="n">
        <f aca="false">IF(AX108="",0,MAX(0,MIN(1,(IF(CF108="L1",Parameter!$H$5,IF(CF108="L23",Parameter!$H$6+Parameter!$H$7,Parameter!$H$5+Parameter!$H$6+Parameter!$H$7))-(AX108-AS108))/AS108)))</f>
        <v>1</v>
      </c>
      <c r="AZ108" s="50" t="n">
        <f aca="false">IF(LEFT(Cockpit!$O$5,1)="A",H108,IF(Parameter!$E$30="MAX-Bestand",IF(CH108=1,CI108,IF(LEFT(Cockpit!$O$5,1)="B",BF108,MAX(BF108,H108))),ROUNDUP(BD108,0)))</f>
        <v>48</v>
      </c>
      <c r="BA108" s="50" t="n">
        <f aca="false">IF(BZ108=1,0,ROUNDUP(AZ108/BY108,0))</f>
        <v>1</v>
      </c>
      <c r="BB108" s="52" t="n">
        <f aca="false">IF(CQ108&gt;0,CQ108*MAX(1,AZ108/X108),IF(BZ108=1,IF(AZ108&lt;=0,0,CD108*MAX(1,IF(H108&gt;0,AZ108/H108,1))),IF(R108&gt;0,BA108/R108,0))/MAX(0.1,N(Parameter!$M$21)))</f>
        <v>0.0384615384615385</v>
      </c>
      <c r="BC108" s="50" t="n">
        <f aca="false">BB108*CB108</f>
        <v>9.42307692307692</v>
      </c>
      <c r="BD108" s="51" t="n">
        <f aca="false">IF(LEFT(Cockpit!$O$5,1)="A",H108,IF(CH108=1,(CK108+CI108)/2,IF(LEFT(Cockpit!$O$5,1)="B",(CK108+BF108)/2,MAX((CK108+BF108)/2,H108))))</f>
        <v>47.5</v>
      </c>
      <c r="BE108" s="50" t="n">
        <f aca="false">BD108*G108</f>
        <v>2745.975</v>
      </c>
      <c r="BF108" s="50" t="n">
        <f aca="false">ROUNDUP(CK108+MAX(CL108,2*(J108/IF(CG108&gt;0,CG108,MAX(0.1,N(Cockpit!$O$6)))-CK108)),0)</f>
        <v>75</v>
      </c>
      <c r="BG108" s="51" t="n">
        <f aca="false">IF(BC108&gt;0,J108/BC108,-1)</f>
        <v>9.55102040816326</v>
      </c>
      <c r="BH108" s="51" t="n">
        <f aca="false">IF(AND(OR(CF108="L1",CF108="L23",CF108="LIFT"),BC108&gt;0),SUMIFS($BC$7:$BC$1843,$CF$7:$CF$1843,CF108,$BG$7:$BG$1843,"&gt;"&amp;BG108)+SUMIFS($BC$7:$BC$1843,$CF$7:$CF$1843,CF108,$BG$7:$BG$1843,BG108,$BW$7:$BW$1843,"&lt;="&amp;BW108),"")</f>
        <v>2727.11858974359</v>
      </c>
      <c r="BI108" s="58" t="n">
        <f aca="false">IF(BH108="",0,MAX(0,MIN(1,(IF(CF108="L1",Parameter!$H$5,IF(CF108="L23",Parameter!$H$6+Parameter!$H$7,Parameter!$H$5+Parameter!$H$6+Parameter!$H$7))-(BH108-BC108))/BC108)))</f>
        <v>1</v>
      </c>
      <c r="BJ108" s="48" t="str">
        <f aca="false">IF(AI108&lt;=0,"",IF(CF108="Aussen","Aussenlager",IF(CF108="-","Nicht im Lift",IF(AO108&gt;=1,"Lift",IF(AO108&lt;=0,"Aussenlager","teilweise")))))</f>
        <v>Lift</v>
      </c>
      <c r="BK108" s="48" t="str">
        <f aca="false">IF(AS108&lt;=0,"",IF(CF108="Aussen","Aussenlager",IF(CF108="-","Nicht im Lift",IF(AY108&gt;=1,"Lift",IF(AY108&lt;=0,"Aussenlager","teilweise")))))</f>
        <v>Lift</v>
      </c>
      <c r="BL108" s="48" t="str">
        <f aca="false">IF(BC108&lt;=0,"",IF(CF108="Aussen","Aussenlager",IF(CF108="-","Nicht im Lift",IF(BI108&gt;=1,"Lift",IF(BI108&lt;=0,"Aussenlager","teilweise")))))</f>
        <v>Lift</v>
      </c>
      <c r="BM108" s="48" t="str">
        <f aca="false">IF(A108="","",IF(BV108=1,"Neu; ","")&amp;IF(AND(BV108=0,BQ108&lt;0),"negativer Bestand (Export "&amp;BQ108&amp;"); ","")&amp;IF(J108&lt;=0,"Kein Verbrauch; ","")&amp;IF(CQ108&gt;0,"Lift "&amp;W108&amp;" lt. Liftbericht (Fach "&amp;X108&amp;" Stk); ",IF(CA108=1,"Gebinde geschätzt ("&amp;T108&amp;"); ",IF(BZ108=1,"Lose – Tablare geschätzt; ","")))&amp;IF(H108&gt;AV108,"Überbestand "&amp;ROUND(H108-AV108,0)&amp;" Stk / CHF "&amp;ROUND((H108-AV108)*G108,0)&amp;"; ","")&amp;IF(AND(CH108=1,CI108&lt;CJ108),"MAX &lt; MB+LG; ","")&amp;IF(AND(CP108&gt;0,CO108*10&gt;CP108),"zu hoch für Tablar; ","")&amp;IF(AND(BV108=0,OR(CH108=1,AA108&lt;&gt;"",U108&lt;&gt;"",V108&lt;&gt;"",AB108&lt;&gt;"")),"manuell übersteuert; ","")&amp;IF(AND(BZ108=0,R108=0),"Gebinde unbekannt / Stellmass fehlt; ","")&amp;IF(AND(BZ108=0,N(V108)&lt;=0,N(Q108)&lt;=0),"Menge pro Gebinde fehlt (Ist = 1 Gebinde); ","")&amp;BU108)</f>
        <v/>
      </c>
      <c r="BN108" s="48"/>
      <c r="BO108" s="48"/>
      <c r="BP108" s="55"/>
      <c r="BQ108" s="50" t="n">
        <v>38</v>
      </c>
      <c r="BR108" s="50" t="n">
        <v>15</v>
      </c>
      <c r="BS108" s="49" t="n">
        <v>2184.18</v>
      </c>
      <c r="BT108" s="50" t="n">
        <v>90</v>
      </c>
      <c r="BU108" s="48"/>
      <c r="BV108" s="53" t="n">
        <v>0</v>
      </c>
      <c r="BW108" s="53" t="n">
        <v>108</v>
      </c>
      <c r="BX108" s="48" t="str">
        <f aca="false">IF(U108&lt;&gt;"",UPPER(TRIM(U108)),IF(CA108=1,UPPER(VLOOKUP(T108,Parameter!$I$27:$K$29,2,0)),IF(P108="","LOSE",P108)))</f>
        <v>S52</v>
      </c>
      <c r="BY108" s="50" t="n">
        <f aca="false">IF(BX108="LOSE",1,IF(N(V108)&gt;0,V108,IF(CA108=1,MAX(1,N(VLOOKUP(T108,Parameter!$I$27:$K$29,3,0)),H108,N(N108)),IF(N(Q108)&gt;0,Q108,MAX(1,H108)))))</f>
        <v>50</v>
      </c>
      <c r="BZ108" s="53" t="n">
        <f aca="false">IF(BX108="LOSE",1,0)</f>
        <v>0</v>
      </c>
      <c r="CA108" s="53" t="n">
        <f aca="false">IF(AND(U108="",OR(P108="",P108="LOSE"),T108&lt;&gt;"",N(S108)&lt;=0,ISNUMBER(MATCH(T108,Parameter!$I$27:$I$29,0))),1,0)</f>
        <v>0</v>
      </c>
      <c r="CB108" s="53" t="n">
        <f aca="false">IF(CQ108&gt;0,INDEX(Parameter!$H$5:$H$7,W108)/INDEX(Parameter!$E$5:$E$7,W108),IF(AND(BZ108=0,N(IFERROR(VLOOKUP(BX108,'Gebinde-Kategorie'!$A$5:$N$45,14,0),0))&gt;0),VLOOKUP(BX108,'Gebinde-Kategorie'!$A$5:$N$45,14,0)*10+Parameter!$M$23,Parameter!$M$24))</f>
        <v>245</v>
      </c>
      <c r="CC108" s="48" t="str">
        <f aca="false">IF(AND(Parameter!$B$19="Ja",E108&lt;&gt;"",ISNUMBER(MATCH(E108,Parameter!$I$35:$I$52,0))),VLOOKUP(E108,Parameter!$I$35:$J$52,2,0),IFERROR(VLOOKUP(D108,Parameter!$A$35:$C$64,2,0),"Nein"))</f>
        <v>2+3</v>
      </c>
      <c r="CD108" s="52" t="n">
        <f aca="false">IF(BZ108=0,0,IF(N(S108)&gt;0,S108,IFERROR(VLOOKUP(D108,Parameter!$A$35:$C$64,3,0)+0,0)))</f>
        <v>0</v>
      </c>
      <c r="CE108" s="48" t="n">
        <f aca="false">IF(AA108&lt;&gt;"",AA108,Z108)</f>
        <v>3</v>
      </c>
      <c r="CF108" s="48" t="str">
        <f aca="false">IF(OR(CE108=1,CE108=2,CE108=3),IF(Parameter!$E$27="Ja","LIFT",IF(CE108=1,"L1","L23")),IF(CE108="Aussen","Aussen","-"))</f>
        <v>LIFT</v>
      </c>
      <c r="CG108" s="59" t="n">
        <f aca="false">IF(N(AB108)&gt;0,AB108,0)</f>
        <v>0</v>
      </c>
      <c r="CH108" s="53" t="n">
        <f aca="false">IF(ISNUMBER(AE108),1,0)</f>
        <v>0</v>
      </c>
      <c r="CI108" s="50" t="n">
        <f aca="false">N(AE108)</f>
        <v>0</v>
      </c>
      <c r="CJ108" s="50" t="n">
        <f aca="false">N(M108)+N(N108)</f>
        <v>75</v>
      </c>
      <c r="CK108" s="50" t="n">
        <f aca="false">N(M108)</f>
        <v>20</v>
      </c>
      <c r="CL108" s="50" t="n">
        <f aca="false">N(N108)</f>
        <v>55</v>
      </c>
      <c r="CM108" s="50" t="n">
        <f aca="false">ROUNDUP(H108/BY108,0)</f>
        <v>2</v>
      </c>
      <c r="CN108" s="50" t="n">
        <f aca="false">ROUNDUP(CI108/BY108,0)</f>
        <v>0</v>
      </c>
      <c r="CO108" s="53" t="n">
        <f aca="false">IF(BZ108=1,0,IFERROR(VLOOKUP(BX108,'Gebinde-Kategorie'!$A$5:$N$45,5,0)+0,0))</f>
        <v>21</v>
      </c>
      <c r="CP108" s="53" t="n">
        <f aca="false">IFERROR(IF(OR(CE108=1,CE108=2,CE108=3),N(INDEX(Parameter!$I$5:$I$7,CE108)),0),0)</f>
        <v>0</v>
      </c>
      <c r="CQ108" s="52" t="n">
        <f aca="false">IF(AND(Parameter!$B$21="Ja",ISNUMBER(W108),N(X108)&gt;0),IFERROR(N(INDEX(Parameter!$L$5:$L$7,W108))*INDEX(Parameter!$E$5:$E$7,W108)*X108/SUMIFS($X$7:$X$1843,$W$7:$W$1843,W108),0),0)</f>
        <v>0</v>
      </c>
    </row>
    <row r="109" customFormat="false" ht="15" hidden="false" customHeight="false" outlineLevel="0" collapsed="false">
      <c r="A109" s="48" t="s">
        <v>439</v>
      </c>
      <c r="B109" s="48" t="s">
        <v>440</v>
      </c>
      <c r="C109" s="48" t="s">
        <v>173</v>
      </c>
      <c r="D109" s="48" t="s">
        <v>193</v>
      </c>
      <c r="E109" s="48" t="s">
        <v>194</v>
      </c>
      <c r="F109" s="48" t="s">
        <v>227</v>
      </c>
      <c r="G109" s="49" t="n">
        <v>251.24</v>
      </c>
      <c r="H109" s="50" t="n">
        <f aca="false">MAX(0,IF(AND(Parameter!$B$21="Ja",ISNUMBER(Y109)),Y109,IF(Parameter!$B$20="Jahresanfang 2025 + Export",BR109+BQ109,BQ109)))</f>
        <v>23</v>
      </c>
      <c r="I109" s="50" t="n">
        <f aca="false">H109*G109</f>
        <v>5778.52</v>
      </c>
      <c r="J109" s="50" t="n">
        <f aca="false">BT109*Parameter!$B$18</f>
        <v>16</v>
      </c>
      <c r="K109" s="51" t="n">
        <v>17</v>
      </c>
      <c r="L109" s="52" t="n">
        <v>0.941176470588235</v>
      </c>
      <c r="M109" s="50" t="n">
        <v>2</v>
      </c>
      <c r="N109" s="50" t="n">
        <v>10</v>
      </c>
      <c r="O109" s="53" t="n">
        <v>35</v>
      </c>
      <c r="P109" s="48" t="s">
        <v>242</v>
      </c>
      <c r="Q109" s="50" t="n">
        <v>22</v>
      </c>
      <c r="R109" s="53" t="n">
        <f aca="false">IF(BZ109=1,0,IFERROR(VLOOKUP(BX109,'Gebinde-Kategorie'!$A$5:$N$45,13,0)+0,0))</f>
        <v>26</v>
      </c>
      <c r="S109" s="54"/>
      <c r="T109" s="55"/>
      <c r="U109" s="55"/>
      <c r="V109" s="55"/>
      <c r="W109" s="48"/>
      <c r="X109" s="50"/>
      <c r="Y109" s="50"/>
      <c r="Z109" s="48" t="n">
        <f aca="false">IF(A109="","",IF(AND(Parameter!$B$21="Ja",ISNUMBER(W109)),W109,IF(CC109="2+3",IF(ISNUMBER(SEARCH("grosser Artikel",BU109)),2,IFERROR(VLOOKUP(BX109,Parameter!$F$35:$G$64,2,0),2)),IF(OR(CC109="Nein",CC109=""),"-",CC109))))</f>
        <v>3</v>
      </c>
      <c r="AA109" s="55"/>
      <c r="AB109" s="56"/>
      <c r="AC109" s="50" t="n">
        <f aca="false">AV109</f>
        <v>12</v>
      </c>
      <c r="AD109" s="50" t="n">
        <f aca="false">MAX(AV109,H109)</f>
        <v>23</v>
      </c>
      <c r="AE109" s="57"/>
      <c r="AF109" s="50" t="n">
        <f aca="false">IF(LEFT(Cockpit!$C$5,1)="A",H109,IF(Parameter!$E$30="MAX-Bestand",IF(CH109=1,CI109,IF(LEFT(Cockpit!$C$5,1)="B",AL109,MAX(AL109,H109))),ROUNDUP(AJ109,0)))</f>
        <v>23</v>
      </c>
      <c r="AG109" s="50" t="n">
        <f aca="false">IF(BZ109=1,0,ROUNDUP(AF109/BY109,0))</f>
        <v>2</v>
      </c>
      <c r="AH109" s="52" t="n">
        <f aca="false">IF(CQ109&gt;0,CQ109*MAX(1,AF109/X109),IF(BZ109=1,IF(AF109&lt;=0,0,CD109*MAX(1,IF(H109&gt;0,AF109/H109,1))),IF(R109&gt;0,AG109/R109,0))/MAX(0.1,N(Parameter!$M$21)))</f>
        <v>0.0769230769230769</v>
      </c>
      <c r="AI109" s="50" t="n">
        <f aca="false">AH109*CB109</f>
        <v>18.8461538461538</v>
      </c>
      <c r="AJ109" s="51" t="n">
        <f aca="false">IF(LEFT(Cockpit!$C$5,1)="A",H109,IF(CH109=1,(CK109+CI109)/2,IF(LEFT(Cockpit!$C$5,1)="B",(CK109+AL109)/2,MAX((CK109+AL109)/2,H109))))</f>
        <v>23</v>
      </c>
      <c r="AK109" s="50" t="n">
        <f aca="false">AJ109*G109</f>
        <v>5778.52</v>
      </c>
      <c r="AL109" s="50" t="n">
        <f aca="false">ROUNDUP(CK109+MAX(CL109,2*(J109/IF(CG109&gt;0,CG109,MAX(0.1,N(Cockpit!$C$6)))-CK109)),0)</f>
        <v>12</v>
      </c>
      <c r="AM109" s="51" t="n">
        <f aca="false">IF(AI109&gt;0,J109/AI109,-1)</f>
        <v>0.848979591836735</v>
      </c>
      <c r="AN109" s="51" t="n">
        <f aca="false">IF(AND(OR(CF109="L1",CF109="L23",CF109="LIFT"),AI109&gt;0),SUMIFS($AI$7:$AI$1843,$CF$7:$CF$1843,CF109,$AM$7:$AM$1843,"&gt;"&amp;AM109)+SUMIFS($AI$7:$AI$1843,$CF$7:$CF$1843,CF109,$AM$7:$AM$1843,AM109,$BW$7:$BW$1843,"&lt;="&amp;BW109),"")</f>
        <v>7824.1891025641</v>
      </c>
      <c r="AO109" s="58" t="n">
        <f aca="false">IF(AN109="",0,MAX(0,MIN(1,(IF(CF109="L1",Parameter!$H$5,IF(CF109="L23",Parameter!$H$6+Parameter!$H$7,Parameter!$H$5+Parameter!$H$6+Parameter!$H$7))-(AN109-AI109))/AI109)))</f>
        <v>1</v>
      </c>
      <c r="AP109" s="50" t="n">
        <f aca="false">IF(LEFT(Cockpit!$I$5,1)="A",H109,IF(Parameter!$E$30="MAX-Bestand",IF(CH109=1,CI109,IF(LEFT(Cockpit!$I$5,1)="B",AV109,MAX(AV109,H109))),ROUNDUP(AT109,0)))</f>
        <v>23</v>
      </c>
      <c r="AQ109" s="50" t="n">
        <f aca="false">IF(BZ109=1,0,ROUNDUP(AP109/BY109,0))</f>
        <v>2</v>
      </c>
      <c r="AR109" s="52" t="n">
        <f aca="false">IF(CQ109&gt;0,CQ109*MAX(1,AP109/X109),IF(BZ109=1,IF(AP109&lt;=0,0,CD109*MAX(1,IF(H109&gt;0,AP109/H109,1))),IF(R109&gt;0,AQ109/R109,0))/MAX(0.1,N(Parameter!$M$21)))</f>
        <v>0.0769230769230769</v>
      </c>
      <c r="AS109" s="50" t="n">
        <f aca="false">AR109*CB109</f>
        <v>18.8461538461538</v>
      </c>
      <c r="AT109" s="51" t="n">
        <f aca="false">IF(LEFT(Cockpit!$I$5,1)="A",H109,IF(CH109=1,(CK109+CI109)/2,IF(LEFT(Cockpit!$I$5,1)="B",(CK109+AV109)/2,MAX((CK109+AV109)/2,H109))))</f>
        <v>23</v>
      </c>
      <c r="AU109" s="50" t="n">
        <f aca="false">AT109*G109</f>
        <v>5778.52</v>
      </c>
      <c r="AV109" s="50" t="n">
        <f aca="false">ROUNDUP(CK109+MAX(CL109,2*(J109/IF(CG109&gt;0,CG109,MAX(0.1,N(Cockpit!$I$6)))-CK109)),0)</f>
        <v>12</v>
      </c>
      <c r="AW109" s="51" t="n">
        <f aca="false">IF(AS109&gt;0,J109/AS109,-1)</f>
        <v>0.848979591836735</v>
      </c>
      <c r="AX109" s="51" t="n">
        <f aca="false">IF(AND(OR(CF109="L1",CF109="L23",CF109="LIFT"),AS109&gt;0),SUMIFS($AS$7:$AS$1843,$CF$7:$CF$1843,CF109,$AW$7:$AW$1843,"&gt;"&amp;AW109)+SUMIFS($AS$7:$AS$1843,$CF$7:$CF$1843,CF109,$AW$7:$AW$1843,AW109,$BW$7:$BW$1843,"&lt;="&amp;BW109),"")</f>
        <v>9573.62912087912</v>
      </c>
      <c r="AY109" s="58" t="n">
        <f aca="false">IF(AX109="",0,MAX(0,MIN(1,(IF(CF109="L1",Parameter!$H$5,IF(CF109="L23",Parameter!$H$6+Parameter!$H$7,Parameter!$H$5+Parameter!$H$6+Parameter!$H$7))-(AX109-AS109))/AS109)))</f>
        <v>1</v>
      </c>
      <c r="AZ109" s="50" t="n">
        <f aca="false">IF(LEFT(Cockpit!$O$5,1)="A",H109,IF(Parameter!$E$30="MAX-Bestand",IF(CH109=1,CI109,IF(LEFT(Cockpit!$O$5,1)="B",BF109,MAX(BF109,H109))),ROUNDUP(BD109,0)))</f>
        <v>7</v>
      </c>
      <c r="BA109" s="50" t="n">
        <f aca="false">IF(BZ109=1,0,ROUNDUP(AZ109/BY109,0))</f>
        <v>1</v>
      </c>
      <c r="BB109" s="52" t="n">
        <f aca="false">IF(CQ109&gt;0,CQ109*MAX(1,AZ109/X109),IF(BZ109=1,IF(AZ109&lt;=0,0,CD109*MAX(1,IF(H109&gt;0,AZ109/H109,1))),IF(R109&gt;0,BA109/R109,0))/MAX(0.1,N(Parameter!$M$21)))</f>
        <v>0.0384615384615385</v>
      </c>
      <c r="BC109" s="50" t="n">
        <f aca="false">BB109*CB109</f>
        <v>9.42307692307692</v>
      </c>
      <c r="BD109" s="51" t="n">
        <f aca="false">IF(LEFT(Cockpit!$O$5,1)="A",H109,IF(CH109=1,(CK109+CI109)/2,IF(LEFT(Cockpit!$O$5,1)="B",(CK109+BF109)/2,MAX((CK109+BF109)/2,H109))))</f>
        <v>7</v>
      </c>
      <c r="BE109" s="50" t="n">
        <f aca="false">BD109*G109</f>
        <v>1758.68</v>
      </c>
      <c r="BF109" s="50" t="n">
        <f aca="false">ROUNDUP(CK109+MAX(CL109,2*(J109/IF(CG109&gt;0,CG109,MAX(0.1,N(Cockpit!$O$6)))-CK109)),0)</f>
        <v>12</v>
      </c>
      <c r="BG109" s="51" t="n">
        <f aca="false">IF(BC109&gt;0,J109/BC109,-1)</f>
        <v>1.69795918367347</v>
      </c>
      <c r="BH109" s="51" t="n">
        <f aca="false">IF(AND(OR(CF109="L1",CF109="L23",CF109="LIFT"),BC109&gt;0),SUMIFS($BC$7:$BC$1843,$CF$7:$CF$1843,CF109,$BG$7:$BG$1843,"&gt;"&amp;BG109)+SUMIFS($BC$7:$BC$1843,$CF$7:$CF$1843,CF109,$BG$7:$BG$1843,BG109,$BW$7:$BW$1843,"&lt;="&amp;BW109),"")</f>
        <v>6291.68177655678</v>
      </c>
      <c r="BI109" s="58" t="n">
        <f aca="false">IF(BH109="",0,MAX(0,MIN(1,(IF(CF109="L1",Parameter!$H$5,IF(CF109="L23",Parameter!$H$6+Parameter!$H$7,Parameter!$H$5+Parameter!$H$6+Parameter!$H$7))-(BH109-BC109))/BC109)))</f>
        <v>1</v>
      </c>
      <c r="BJ109" s="48" t="str">
        <f aca="false">IF(AI109&lt;=0,"",IF(CF109="Aussen","Aussenlager",IF(CF109="-","Nicht im Lift",IF(AO109&gt;=1,"Lift",IF(AO109&lt;=0,"Aussenlager","teilweise")))))</f>
        <v>Lift</v>
      </c>
      <c r="BK109" s="48" t="str">
        <f aca="false">IF(AS109&lt;=0,"",IF(CF109="Aussen","Aussenlager",IF(CF109="-","Nicht im Lift",IF(AY109&gt;=1,"Lift",IF(AY109&lt;=0,"Aussenlager","teilweise")))))</f>
        <v>Lift</v>
      </c>
      <c r="BL109" s="48" t="str">
        <f aca="false">IF(BC109&lt;=0,"",IF(CF109="Aussen","Aussenlager",IF(CF109="-","Nicht im Lift",IF(BI109&gt;=1,"Lift",IF(BI109&lt;=0,"Aussenlager","teilweise")))))</f>
        <v>Lift</v>
      </c>
      <c r="BM109" s="48" t="str">
        <f aca="false">IF(A109="","",IF(BV109=1,"Neu; ","")&amp;IF(AND(BV109=0,BQ109&lt;0),"negativer Bestand (Export "&amp;BQ109&amp;"); ","")&amp;IF(J109&lt;=0,"Kein Verbrauch; ","")&amp;IF(CQ109&gt;0,"Lift "&amp;W109&amp;" lt. Liftbericht (Fach "&amp;X109&amp;" Stk); ",IF(CA109=1,"Gebinde geschätzt ("&amp;T109&amp;"); ",IF(BZ109=1,"Lose – Tablare geschätzt; ","")))&amp;IF(H109&gt;AV109,"Überbestand "&amp;ROUND(H109-AV109,0)&amp;" Stk / CHF "&amp;ROUND((H109-AV109)*G109,0)&amp;"; ","")&amp;IF(AND(CH109=1,CI109&lt;CJ109),"MAX &lt; MB+LG; ","")&amp;IF(AND(CP109&gt;0,CO109*10&gt;CP109),"zu hoch für Tablar; ","")&amp;IF(AND(BV109=0,OR(CH109=1,AA109&lt;&gt;"",U109&lt;&gt;"",V109&lt;&gt;"",AB109&lt;&gt;"")),"manuell übersteuert; ","")&amp;IF(AND(BZ109=0,R109=0),"Gebinde unbekannt / Stellmass fehlt; ","")&amp;IF(AND(BZ109=0,N(V109)&lt;=0,N(Q109)&lt;=0),"Menge pro Gebinde fehlt (Ist = 1 Gebinde); ","")&amp;BU109)</f>
        <v>Überbestand 11 Stk / CHF 2764; </v>
      </c>
      <c r="BN109" s="48"/>
      <c r="BO109" s="48"/>
      <c r="BP109" s="55"/>
      <c r="BQ109" s="50" t="n">
        <v>8</v>
      </c>
      <c r="BR109" s="50" t="n">
        <v>15</v>
      </c>
      <c r="BS109" s="49" t="n">
        <v>2138.62</v>
      </c>
      <c r="BT109" s="50" t="n">
        <v>16</v>
      </c>
      <c r="BU109" s="48"/>
      <c r="BV109" s="53" t="n">
        <v>0</v>
      </c>
      <c r="BW109" s="53" t="n">
        <v>109</v>
      </c>
      <c r="BX109" s="48" t="str">
        <f aca="false">IF(U109&lt;&gt;"",UPPER(TRIM(U109)),IF(CA109=1,UPPER(VLOOKUP(T109,Parameter!$I$27:$K$29,2,0)),IF(P109="","LOSE",P109)))</f>
        <v>S52</v>
      </c>
      <c r="BY109" s="50" t="n">
        <f aca="false">IF(BX109="LOSE",1,IF(N(V109)&gt;0,V109,IF(CA109=1,MAX(1,N(VLOOKUP(T109,Parameter!$I$27:$K$29,3,0)),H109,N(N109)),IF(N(Q109)&gt;0,Q109,MAX(1,H109)))))</f>
        <v>22</v>
      </c>
      <c r="BZ109" s="53" t="n">
        <f aca="false">IF(BX109="LOSE",1,0)</f>
        <v>0</v>
      </c>
      <c r="CA109" s="53" t="n">
        <f aca="false">IF(AND(U109="",OR(P109="",P109="LOSE"),T109&lt;&gt;"",N(S109)&lt;=0,ISNUMBER(MATCH(T109,Parameter!$I$27:$I$29,0))),1,0)</f>
        <v>0</v>
      </c>
      <c r="CB109" s="53" t="n">
        <f aca="false">IF(CQ109&gt;0,INDEX(Parameter!$H$5:$H$7,W109)/INDEX(Parameter!$E$5:$E$7,W109),IF(AND(BZ109=0,N(IFERROR(VLOOKUP(BX109,'Gebinde-Kategorie'!$A$5:$N$45,14,0),0))&gt;0),VLOOKUP(BX109,'Gebinde-Kategorie'!$A$5:$N$45,14,0)*10+Parameter!$M$23,Parameter!$M$24))</f>
        <v>245</v>
      </c>
      <c r="CC109" s="48" t="str">
        <f aca="false">IF(AND(Parameter!$B$19="Ja",E109&lt;&gt;"",ISNUMBER(MATCH(E109,Parameter!$I$35:$I$52,0))),VLOOKUP(E109,Parameter!$I$35:$J$52,2,0),IFERROR(VLOOKUP(D109,Parameter!$A$35:$C$64,2,0),"Nein"))</f>
        <v>2+3</v>
      </c>
      <c r="CD109" s="52" t="n">
        <f aca="false">IF(BZ109=0,0,IF(N(S109)&gt;0,S109,IFERROR(VLOOKUP(D109,Parameter!$A$35:$C$64,3,0)+0,0)))</f>
        <v>0</v>
      </c>
      <c r="CE109" s="48" t="n">
        <f aca="false">IF(AA109&lt;&gt;"",AA109,Z109)</f>
        <v>3</v>
      </c>
      <c r="CF109" s="48" t="str">
        <f aca="false">IF(OR(CE109=1,CE109=2,CE109=3),IF(Parameter!$E$27="Ja","LIFT",IF(CE109=1,"L1","L23")),IF(CE109="Aussen","Aussen","-"))</f>
        <v>LIFT</v>
      </c>
      <c r="CG109" s="59" t="n">
        <f aca="false">IF(N(AB109)&gt;0,AB109,0)</f>
        <v>0</v>
      </c>
      <c r="CH109" s="53" t="n">
        <f aca="false">IF(ISNUMBER(AE109),1,0)</f>
        <v>0</v>
      </c>
      <c r="CI109" s="50" t="n">
        <f aca="false">N(AE109)</f>
        <v>0</v>
      </c>
      <c r="CJ109" s="50" t="n">
        <f aca="false">N(M109)+N(N109)</f>
        <v>12</v>
      </c>
      <c r="CK109" s="50" t="n">
        <f aca="false">N(M109)</f>
        <v>2</v>
      </c>
      <c r="CL109" s="50" t="n">
        <f aca="false">N(N109)</f>
        <v>10</v>
      </c>
      <c r="CM109" s="50" t="n">
        <f aca="false">ROUNDUP(H109/BY109,0)</f>
        <v>2</v>
      </c>
      <c r="CN109" s="50" t="n">
        <f aca="false">ROUNDUP(CI109/BY109,0)</f>
        <v>0</v>
      </c>
      <c r="CO109" s="53" t="n">
        <f aca="false">IF(BZ109=1,0,IFERROR(VLOOKUP(BX109,'Gebinde-Kategorie'!$A$5:$N$45,5,0)+0,0))</f>
        <v>21</v>
      </c>
      <c r="CP109" s="53" t="n">
        <f aca="false">IFERROR(IF(OR(CE109=1,CE109=2,CE109=3),N(INDEX(Parameter!$I$5:$I$7,CE109)),0),0)</f>
        <v>0</v>
      </c>
      <c r="CQ109" s="52" t="n">
        <f aca="false">IF(AND(Parameter!$B$21="Ja",ISNUMBER(W109),N(X109)&gt;0),IFERROR(N(INDEX(Parameter!$L$5:$L$7,W109))*INDEX(Parameter!$E$5:$E$7,W109)*X109/SUMIFS($X$7:$X$1843,$W$7:$W$1843,W109),0),0)</f>
        <v>0</v>
      </c>
    </row>
    <row r="110" customFormat="false" ht="15" hidden="false" customHeight="false" outlineLevel="0" collapsed="false">
      <c r="A110" s="48" t="s">
        <v>441</v>
      </c>
      <c r="B110" s="48" t="s">
        <v>442</v>
      </c>
      <c r="C110" s="48" t="s">
        <v>173</v>
      </c>
      <c r="D110" s="48" t="s">
        <v>193</v>
      </c>
      <c r="E110" s="48"/>
      <c r="F110" s="48" t="s">
        <v>227</v>
      </c>
      <c r="G110" s="49" t="n">
        <v>692.78</v>
      </c>
      <c r="H110" s="50" t="n">
        <f aca="false">MAX(0,IF(AND(Parameter!$B$21="Ja",ISNUMBER(Y110)),Y110,IF(Parameter!$B$20="Jahresanfang 2025 + Export",BR110+BQ110,BQ110)))</f>
        <v>3</v>
      </c>
      <c r="I110" s="50" t="n">
        <f aca="false">H110*G110</f>
        <v>2078.34</v>
      </c>
      <c r="J110" s="50" t="n">
        <f aca="false">BT110*Parameter!$B$18</f>
        <v>2</v>
      </c>
      <c r="K110" s="51" t="n">
        <v>2</v>
      </c>
      <c r="L110" s="52" t="n">
        <v>1</v>
      </c>
      <c r="M110" s="50" t="n">
        <v>0</v>
      </c>
      <c r="N110" s="50" t="n">
        <v>1</v>
      </c>
      <c r="O110" s="53" t="n">
        <v>31</v>
      </c>
      <c r="P110" s="48" t="s">
        <v>242</v>
      </c>
      <c r="Q110" s="50" t="n">
        <v>4</v>
      </c>
      <c r="R110" s="53" t="n">
        <f aca="false">IF(BZ110=1,0,IFERROR(VLOOKUP(BX110,'Gebinde-Kategorie'!$A$5:$N$45,13,0)+0,0))</f>
        <v>26</v>
      </c>
      <c r="S110" s="54"/>
      <c r="T110" s="55"/>
      <c r="U110" s="55"/>
      <c r="V110" s="55"/>
      <c r="W110" s="48"/>
      <c r="X110" s="50"/>
      <c r="Y110" s="50"/>
      <c r="Z110" s="48" t="n">
        <f aca="false">IF(A110="","",IF(AND(Parameter!$B$21="Ja",ISNUMBER(W110)),W110,IF(CC110="2+3",IF(ISNUMBER(SEARCH("grosser Artikel",BU110)),2,IFERROR(VLOOKUP(BX110,Parameter!$F$35:$G$64,2,0),2)),IF(OR(CC110="Nein",CC110=""),"-",CC110))))</f>
        <v>3</v>
      </c>
      <c r="AA110" s="55"/>
      <c r="AB110" s="56"/>
      <c r="AC110" s="50" t="n">
        <f aca="false">AV110</f>
        <v>2</v>
      </c>
      <c r="AD110" s="50" t="n">
        <f aca="false">MAX(AV110,H110)</f>
        <v>3</v>
      </c>
      <c r="AE110" s="57"/>
      <c r="AF110" s="50" t="n">
        <f aca="false">IF(LEFT(Cockpit!$C$5,1)="A",H110,IF(Parameter!$E$30="MAX-Bestand",IF(CH110=1,CI110,IF(LEFT(Cockpit!$C$5,1)="B",AL110,MAX(AL110,H110))),ROUNDUP(AJ110,0)))</f>
        <v>3</v>
      </c>
      <c r="AG110" s="50" t="n">
        <f aca="false">IF(BZ110=1,0,ROUNDUP(AF110/BY110,0))</f>
        <v>1</v>
      </c>
      <c r="AH110" s="52" t="n">
        <f aca="false">IF(CQ110&gt;0,CQ110*MAX(1,AF110/X110),IF(BZ110=1,IF(AF110&lt;=0,0,CD110*MAX(1,IF(H110&gt;0,AF110/H110,1))),IF(R110&gt;0,AG110/R110,0))/MAX(0.1,N(Parameter!$M$21)))</f>
        <v>0.0384615384615385</v>
      </c>
      <c r="AI110" s="50" t="n">
        <f aca="false">AH110*CB110</f>
        <v>9.42307692307692</v>
      </c>
      <c r="AJ110" s="51" t="n">
        <f aca="false">IF(LEFT(Cockpit!$C$5,1)="A",H110,IF(CH110=1,(CK110+CI110)/2,IF(LEFT(Cockpit!$C$5,1)="B",(CK110+AL110)/2,MAX((CK110+AL110)/2,H110))))</f>
        <v>3</v>
      </c>
      <c r="AK110" s="50" t="n">
        <f aca="false">AJ110*G110</f>
        <v>2078.34</v>
      </c>
      <c r="AL110" s="50" t="n">
        <f aca="false">ROUNDUP(CK110+MAX(CL110,2*(J110/IF(CG110&gt;0,CG110,MAX(0.1,N(Cockpit!$C$6)))-CK110)),0)</f>
        <v>2</v>
      </c>
      <c r="AM110" s="51" t="n">
        <f aca="false">IF(AI110&gt;0,J110/AI110,-1)</f>
        <v>0.212244897959184</v>
      </c>
      <c r="AN110" s="51" t="n">
        <f aca="false">IF(AND(OR(CF110="L1",CF110="L23",CF110="LIFT"),AI110&gt;0),SUMIFS($AI$7:$AI$1843,$CF$7:$CF$1843,CF110,$AM$7:$AM$1843,"&gt;"&amp;AM110)+SUMIFS($AI$7:$AI$1843,$CF$7:$CF$1843,CF110,$AM$7:$AM$1843,AM110,$BW$7:$BW$1843,"&lt;="&amp;BW110),"")</f>
        <v>12345.2785926409</v>
      </c>
      <c r="AO110" s="58" t="n">
        <f aca="false">IF(AN110="",0,MAX(0,MIN(1,(IF(CF110="L1",Parameter!$H$5,IF(CF110="L23",Parameter!$H$6+Parameter!$H$7,Parameter!$H$5+Parameter!$H$6+Parameter!$H$7))-(AN110-AI110))/AI110)))</f>
        <v>1</v>
      </c>
      <c r="AP110" s="50" t="n">
        <f aca="false">IF(LEFT(Cockpit!$I$5,1)="A",H110,IF(Parameter!$E$30="MAX-Bestand",IF(CH110=1,CI110,IF(LEFT(Cockpit!$I$5,1)="B",AV110,MAX(AV110,H110))),ROUNDUP(AT110,0)))</f>
        <v>3</v>
      </c>
      <c r="AQ110" s="50" t="n">
        <f aca="false">IF(BZ110=1,0,ROUNDUP(AP110/BY110,0))</f>
        <v>1</v>
      </c>
      <c r="AR110" s="52" t="n">
        <f aca="false">IF(CQ110&gt;0,CQ110*MAX(1,AP110/X110),IF(BZ110=1,IF(AP110&lt;=0,0,CD110*MAX(1,IF(H110&gt;0,AP110/H110,1))),IF(R110&gt;0,AQ110/R110,0))/MAX(0.1,N(Parameter!$M$21)))</f>
        <v>0.0384615384615385</v>
      </c>
      <c r="AS110" s="50" t="n">
        <f aca="false">AR110*CB110</f>
        <v>9.42307692307692</v>
      </c>
      <c r="AT110" s="51" t="n">
        <f aca="false">IF(LEFT(Cockpit!$I$5,1)="A",H110,IF(CH110=1,(CK110+CI110)/2,IF(LEFT(Cockpit!$I$5,1)="B",(CK110+AV110)/2,MAX((CK110+AV110)/2,H110))))</f>
        <v>3</v>
      </c>
      <c r="AU110" s="50" t="n">
        <f aca="false">AT110*G110</f>
        <v>2078.34</v>
      </c>
      <c r="AV110" s="50" t="n">
        <f aca="false">ROUNDUP(CK110+MAX(CL110,2*(J110/IF(CG110&gt;0,CG110,MAX(0.1,N(Cockpit!$I$6)))-CK110)),0)</f>
        <v>2</v>
      </c>
      <c r="AW110" s="51" t="n">
        <f aca="false">IF(AS110&gt;0,J110/AS110,-1)</f>
        <v>0.212244897959184</v>
      </c>
      <c r="AX110" s="51" t="n">
        <f aca="false">IF(AND(OR(CF110="L1",CF110="L23",CF110="LIFT"),AS110&gt;0),SUMIFS($AS$7:$AS$1843,$CF$7:$CF$1843,CF110,$AW$7:$AW$1843,"&gt;"&amp;AW110)+SUMIFS($AS$7:$AS$1843,$CF$7:$CF$1843,CF110,$AW$7:$AW$1843,AW110,$BW$7:$BW$1843,"&lt;="&amp;BW110),"")</f>
        <v>15174.5361721612</v>
      </c>
      <c r="AY110" s="58" t="n">
        <f aca="false">IF(AX110="",0,MAX(0,MIN(1,(IF(CF110="L1",Parameter!$H$5,IF(CF110="L23",Parameter!$H$6+Parameter!$H$7,Parameter!$H$5+Parameter!$H$6+Parameter!$H$7))-(AX110-AS110))/AS110)))</f>
        <v>1</v>
      </c>
      <c r="AZ110" s="50" t="n">
        <f aca="false">IF(LEFT(Cockpit!$O$5,1)="A",H110,IF(Parameter!$E$30="MAX-Bestand",IF(CH110=1,CI110,IF(LEFT(Cockpit!$O$5,1)="B",BF110,MAX(BF110,H110))),ROUNDUP(BD110,0)))</f>
        <v>1</v>
      </c>
      <c r="BA110" s="50" t="n">
        <f aca="false">IF(BZ110=1,0,ROUNDUP(AZ110/BY110,0))</f>
        <v>1</v>
      </c>
      <c r="BB110" s="52" t="n">
        <f aca="false">IF(CQ110&gt;0,CQ110*MAX(1,AZ110/X110),IF(BZ110=1,IF(AZ110&lt;=0,0,CD110*MAX(1,IF(H110&gt;0,AZ110/H110,1))),IF(R110&gt;0,BA110/R110,0))/MAX(0.1,N(Parameter!$M$21)))</f>
        <v>0.0384615384615385</v>
      </c>
      <c r="BC110" s="50" t="n">
        <f aca="false">BB110*CB110</f>
        <v>9.42307692307692</v>
      </c>
      <c r="BD110" s="51" t="n">
        <f aca="false">IF(LEFT(Cockpit!$O$5,1)="A",H110,IF(CH110=1,(CK110+CI110)/2,IF(LEFT(Cockpit!$O$5,1)="B",(CK110+BF110)/2,MAX((CK110+BF110)/2,H110))))</f>
        <v>0.5</v>
      </c>
      <c r="BE110" s="50" t="n">
        <f aca="false">BD110*G110</f>
        <v>346.39</v>
      </c>
      <c r="BF110" s="50" t="n">
        <f aca="false">ROUNDUP(CK110+MAX(CL110,2*(J110/IF(CG110&gt;0,CG110,MAX(0.1,N(Cockpit!$O$6)))-CK110)),0)</f>
        <v>1</v>
      </c>
      <c r="BG110" s="51" t="n">
        <f aca="false">IF(BC110&gt;0,J110/BC110,-1)</f>
        <v>0.212244897959184</v>
      </c>
      <c r="BH110" s="51" t="n">
        <f aca="false">IF(AND(OR(CF110="L1",CF110="L23",CF110="LIFT"),BC110&gt;0),SUMIFS($BC$7:$BC$1843,$CF$7:$CF$1843,CF110,$BG$7:$BG$1843,"&gt;"&amp;BG110)+SUMIFS($BC$7:$BC$1843,$CF$7:$CF$1843,CF110,$BG$7:$BG$1843,BG110,$BW$7:$BW$1843,"&lt;="&amp;BW110),"")</f>
        <v>12316.820970696</v>
      </c>
      <c r="BI110" s="58" t="n">
        <f aca="false">IF(BH110="",0,MAX(0,MIN(1,(IF(CF110="L1",Parameter!$H$5,IF(CF110="L23",Parameter!$H$6+Parameter!$H$7,Parameter!$H$5+Parameter!$H$6+Parameter!$H$7))-(BH110-BC110))/BC110)))</f>
        <v>1</v>
      </c>
      <c r="BJ110" s="48" t="str">
        <f aca="false">IF(AI110&lt;=0,"",IF(CF110="Aussen","Aussenlager",IF(CF110="-","Nicht im Lift",IF(AO110&gt;=1,"Lift",IF(AO110&lt;=0,"Aussenlager","teilweise")))))</f>
        <v>Lift</v>
      </c>
      <c r="BK110" s="48" t="str">
        <f aca="false">IF(AS110&lt;=0,"",IF(CF110="Aussen","Aussenlager",IF(CF110="-","Nicht im Lift",IF(AY110&gt;=1,"Lift",IF(AY110&lt;=0,"Aussenlager","teilweise")))))</f>
        <v>Lift</v>
      </c>
      <c r="BL110" s="48" t="str">
        <f aca="false">IF(BC110&lt;=0,"",IF(CF110="Aussen","Aussenlager",IF(CF110="-","Nicht im Lift",IF(BI110&gt;=1,"Lift",IF(BI110&lt;=0,"Aussenlager","teilweise")))))</f>
        <v>Lift</v>
      </c>
      <c r="BM110" s="48" t="str">
        <f aca="false">IF(A110="","",IF(BV110=1,"Neu; ","")&amp;IF(AND(BV110=0,BQ110&lt;0),"negativer Bestand (Export "&amp;BQ110&amp;"); ","")&amp;IF(J110&lt;=0,"Kein Verbrauch; ","")&amp;IF(CQ110&gt;0,"Lift "&amp;W110&amp;" lt. Liftbericht (Fach "&amp;X110&amp;" Stk); ",IF(CA110=1,"Gebinde geschätzt ("&amp;T110&amp;"); ",IF(BZ110=1,"Lose – Tablare geschätzt; ","")))&amp;IF(H110&gt;AV110,"Überbestand "&amp;ROUND(H110-AV110,0)&amp;" Stk / CHF "&amp;ROUND((H110-AV110)*G110,0)&amp;"; ","")&amp;IF(AND(CH110=1,CI110&lt;CJ110),"MAX &lt; MB+LG; ","")&amp;IF(AND(CP110&gt;0,CO110*10&gt;CP110),"zu hoch für Tablar; ","")&amp;IF(AND(BV110=0,OR(CH110=1,AA110&lt;&gt;"",U110&lt;&gt;"",V110&lt;&gt;"",AB110&lt;&gt;"")),"manuell übersteuert; ","")&amp;IF(AND(BZ110=0,R110=0),"Gebinde unbekannt / Stellmass fehlt; ","")&amp;IF(AND(BZ110=0,N(V110)&lt;=0,N(Q110)&lt;=0),"Menge pro Gebinde fehlt (Ist = 1 Gebinde); ","")&amp;BU110)</f>
        <v>Überbestand 1 Stk / CHF 693; </v>
      </c>
      <c r="BN110" s="48"/>
      <c r="BO110" s="48"/>
      <c r="BP110" s="55"/>
      <c r="BQ110" s="50" t="n">
        <v>3</v>
      </c>
      <c r="BR110" s="50" t="n">
        <v>0</v>
      </c>
      <c r="BS110" s="49" t="n">
        <v>2078.34</v>
      </c>
      <c r="BT110" s="50" t="n">
        <v>2</v>
      </c>
      <c r="BU110" s="48"/>
      <c r="BV110" s="53" t="n">
        <v>0</v>
      </c>
      <c r="BW110" s="53" t="n">
        <v>110</v>
      </c>
      <c r="BX110" s="48" t="str">
        <f aca="false">IF(U110&lt;&gt;"",UPPER(TRIM(U110)),IF(CA110=1,UPPER(VLOOKUP(T110,Parameter!$I$27:$K$29,2,0)),IF(P110="","LOSE",P110)))</f>
        <v>S52</v>
      </c>
      <c r="BY110" s="50" t="n">
        <f aca="false">IF(BX110="LOSE",1,IF(N(V110)&gt;0,V110,IF(CA110=1,MAX(1,N(VLOOKUP(T110,Parameter!$I$27:$K$29,3,0)),H110,N(N110)),IF(N(Q110)&gt;0,Q110,MAX(1,H110)))))</f>
        <v>4</v>
      </c>
      <c r="BZ110" s="53" t="n">
        <f aca="false">IF(BX110="LOSE",1,0)</f>
        <v>0</v>
      </c>
      <c r="CA110" s="53" t="n">
        <f aca="false">IF(AND(U110="",OR(P110="",P110="LOSE"),T110&lt;&gt;"",N(S110)&lt;=0,ISNUMBER(MATCH(T110,Parameter!$I$27:$I$29,0))),1,0)</f>
        <v>0</v>
      </c>
      <c r="CB110" s="53" t="n">
        <f aca="false">IF(CQ110&gt;0,INDEX(Parameter!$H$5:$H$7,W110)/INDEX(Parameter!$E$5:$E$7,W110),IF(AND(BZ110=0,N(IFERROR(VLOOKUP(BX110,'Gebinde-Kategorie'!$A$5:$N$45,14,0),0))&gt;0),VLOOKUP(BX110,'Gebinde-Kategorie'!$A$5:$N$45,14,0)*10+Parameter!$M$23,Parameter!$M$24))</f>
        <v>245</v>
      </c>
      <c r="CC110" s="48" t="str">
        <f aca="false">IF(AND(Parameter!$B$19="Ja",E110&lt;&gt;"",ISNUMBER(MATCH(E110,Parameter!$I$35:$I$52,0))),VLOOKUP(E110,Parameter!$I$35:$J$52,2,0),IFERROR(VLOOKUP(D110,Parameter!$A$35:$C$64,2,0),"Nein"))</f>
        <v>2+3</v>
      </c>
      <c r="CD110" s="52" t="n">
        <f aca="false">IF(BZ110=0,0,IF(N(S110)&gt;0,S110,IFERROR(VLOOKUP(D110,Parameter!$A$35:$C$64,3,0)+0,0)))</f>
        <v>0</v>
      </c>
      <c r="CE110" s="48" t="n">
        <f aca="false">IF(AA110&lt;&gt;"",AA110,Z110)</f>
        <v>3</v>
      </c>
      <c r="CF110" s="48" t="str">
        <f aca="false">IF(OR(CE110=1,CE110=2,CE110=3),IF(Parameter!$E$27="Ja","LIFT",IF(CE110=1,"L1","L23")),IF(CE110="Aussen","Aussen","-"))</f>
        <v>LIFT</v>
      </c>
      <c r="CG110" s="59" t="n">
        <f aca="false">IF(N(AB110)&gt;0,AB110,0)</f>
        <v>0</v>
      </c>
      <c r="CH110" s="53" t="n">
        <f aca="false">IF(ISNUMBER(AE110),1,0)</f>
        <v>0</v>
      </c>
      <c r="CI110" s="50" t="n">
        <f aca="false">N(AE110)</f>
        <v>0</v>
      </c>
      <c r="CJ110" s="50" t="n">
        <f aca="false">N(M110)+N(N110)</f>
        <v>1</v>
      </c>
      <c r="CK110" s="50" t="n">
        <f aca="false">N(M110)</f>
        <v>0</v>
      </c>
      <c r="CL110" s="50" t="n">
        <f aca="false">N(N110)</f>
        <v>1</v>
      </c>
      <c r="CM110" s="50" t="n">
        <f aca="false">ROUNDUP(H110/BY110,0)</f>
        <v>1</v>
      </c>
      <c r="CN110" s="50" t="n">
        <f aca="false">ROUNDUP(CI110/BY110,0)</f>
        <v>0</v>
      </c>
      <c r="CO110" s="53" t="n">
        <f aca="false">IF(BZ110=1,0,IFERROR(VLOOKUP(BX110,'Gebinde-Kategorie'!$A$5:$N$45,5,0)+0,0))</f>
        <v>21</v>
      </c>
      <c r="CP110" s="53" t="n">
        <f aca="false">IFERROR(IF(OR(CE110=1,CE110=2,CE110=3),N(INDEX(Parameter!$I$5:$I$7,CE110)),0),0)</f>
        <v>0</v>
      </c>
      <c r="CQ110" s="52" t="n">
        <f aca="false">IF(AND(Parameter!$B$21="Ja",ISNUMBER(W110),N(X110)&gt;0),IFERROR(N(INDEX(Parameter!$L$5:$L$7,W110))*INDEX(Parameter!$E$5:$E$7,W110)*X110/SUMIFS($X$7:$X$1843,$W$7:$W$1843,W110),0),0)</f>
        <v>0</v>
      </c>
    </row>
    <row r="111" customFormat="false" ht="15" hidden="false" customHeight="false" outlineLevel="0" collapsed="false">
      <c r="A111" s="48" t="s">
        <v>443</v>
      </c>
      <c r="B111" s="48" t="s">
        <v>444</v>
      </c>
      <c r="C111" s="48" t="s">
        <v>173</v>
      </c>
      <c r="D111" s="48" t="s">
        <v>193</v>
      </c>
      <c r="E111" s="48" t="s">
        <v>194</v>
      </c>
      <c r="F111" s="48" t="s">
        <v>227</v>
      </c>
      <c r="G111" s="49" t="n">
        <v>52.61</v>
      </c>
      <c r="H111" s="50" t="n">
        <f aca="false">MAX(0,IF(AND(Parameter!$B$21="Ja",ISNUMBER(Y111)),Y111,IF(Parameter!$B$20="Jahresanfang 2025 + Export",BR111+BQ111,BQ111)))</f>
        <v>47</v>
      </c>
      <c r="I111" s="50" t="n">
        <f aca="false">H111*G111</f>
        <v>2472.67</v>
      </c>
      <c r="J111" s="50" t="n">
        <f aca="false">BT111*Parameter!$B$18</f>
        <v>74</v>
      </c>
      <c r="K111" s="51" t="n">
        <v>25.5</v>
      </c>
      <c r="L111" s="52" t="n">
        <v>2.90196078431373</v>
      </c>
      <c r="M111" s="50" t="n">
        <v>5</v>
      </c>
      <c r="N111" s="50" t="n">
        <v>75</v>
      </c>
      <c r="O111" s="53" t="n">
        <v>21</v>
      </c>
      <c r="P111" s="48" t="s">
        <v>242</v>
      </c>
      <c r="Q111" s="50" t="n">
        <v>50</v>
      </c>
      <c r="R111" s="53" t="n">
        <f aca="false">IF(BZ111=1,0,IFERROR(VLOOKUP(BX111,'Gebinde-Kategorie'!$A$5:$N$45,13,0)+0,0))</f>
        <v>26</v>
      </c>
      <c r="S111" s="54"/>
      <c r="T111" s="55"/>
      <c r="U111" s="55"/>
      <c r="V111" s="55"/>
      <c r="W111" s="48"/>
      <c r="X111" s="50"/>
      <c r="Y111" s="50"/>
      <c r="Z111" s="48" t="n">
        <f aca="false">IF(A111="","",IF(AND(Parameter!$B$21="Ja",ISNUMBER(W111)),W111,IF(CC111="2+3",IF(ISNUMBER(SEARCH("grosser Artikel",BU111)),2,IFERROR(VLOOKUP(BX111,Parameter!$F$35:$G$64,2,0),2)),IF(OR(CC111="Nein",CC111=""),"-",CC111))))</f>
        <v>3</v>
      </c>
      <c r="AA111" s="55"/>
      <c r="AB111" s="56"/>
      <c r="AC111" s="50" t="n">
        <f aca="false">AV111</f>
        <v>80</v>
      </c>
      <c r="AD111" s="50" t="n">
        <f aca="false">MAX(AV111,H111)</f>
        <v>80</v>
      </c>
      <c r="AE111" s="57"/>
      <c r="AF111" s="50" t="n">
        <f aca="false">IF(LEFT(Cockpit!$C$5,1)="A",H111,IF(Parameter!$E$30="MAX-Bestand",IF(CH111=1,CI111,IF(LEFT(Cockpit!$C$5,1)="B",AL111,MAX(AL111,H111))),ROUNDUP(AJ111,0)))</f>
        <v>47</v>
      </c>
      <c r="AG111" s="50" t="n">
        <f aca="false">IF(BZ111=1,0,ROUNDUP(AF111/BY111,0))</f>
        <v>1</v>
      </c>
      <c r="AH111" s="52" t="n">
        <f aca="false">IF(CQ111&gt;0,CQ111*MAX(1,AF111/X111),IF(BZ111=1,IF(AF111&lt;=0,0,CD111*MAX(1,IF(H111&gt;0,AF111/H111,1))),IF(R111&gt;0,AG111/R111,0))/MAX(0.1,N(Parameter!$M$21)))</f>
        <v>0.0384615384615385</v>
      </c>
      <c r="AI111" s="50" t="n">
        <f aca="false">AH111*CB111</f>
        <v>9.42307692307692</v>
      </c>
      <c r="AJ111" s="51" t="n">
        <f aca="false">IF(LEFT(Cockpit!$C$5,1)="A",H111,IF(CH111=1,(CK111+CI111)/2,IF(LEFT(Cockpit!$C$5,1)="B",(CK111+AL111)/2,MAX((CK111+AL111)/2,H111))))</f>
        <v>47</v>
      </c>
      <c r="AK111" s="50" t="n">
        <f aca="false">AJ111*G111</f>
        <v>2472.67</v>
      </c>
      <c r="AL111" s="50" t="n">
        <f aca="false">ROUNDUP(CK111+MAX(CL111,2*(J111/IF(CG111&gt;0,CG111,MAX(0.1,N(Cockpit!$C$6)))-CK111)),0)</f>
        <v>80</v>
      </c>
      <c r="AM111" s="51" t="n">
        <f aca="false">IF(AI111&gt;0,J111/AI111,-1)</f>
        <v>7.8530612244898</v>
      </c>
      <c r="AN111" s="51" t="n">
        <f aca="false">IF(AND(OR(CF111="L1",CF111="L23",CF111="LIFT"),AI111&gt;0),SUMIFS($AI$7:$AI$1843,$CF$7:$CF$1843,CF111,$AM$7:$AM$1843,"&gt;"&amp;AM111)+SUMIFS($AI$7:$AI$1843,$CF$7:$CF$1843,CF111,$AM$7:$AM$1843,AM111,$BW$7:$BW$1843,"&lt;="&amp;BW111),"")</f>
        <v>3098.19230769231</v>
      </c>
      <c r="AO111" s="58" t="n">
        <f aca="false">IF(AN111="",0,MAX(0,MIN(1,(IF(CF111="L1",Parameter!$H$5,IF(CF111="L23",Parameter!$H$6+Parameter!$H$7,Parameter!$H$5+Parameter!$H$6+Parameter!$H$7))-(AN111-AI111))/AI111)))</f>
        <v>1</v>
      </c>
      <c r="AP111" s="50" t="n">
        <f aca="false">IF(LEFT(Cockpit!$I$5,1)="A",H111,IF(Parameter!$E$30="MAX-Bestand",IF(CH111=1,CI111,IF(LEFT(Cockpit!$I$5,1)="B",AV111,MAX(AV111,H111))),ROUNDUP(AT111,0)))</f>
        <v>47</v>
      </c>
      <c r="AQ111" s="50" t="n">
        <f aca="false">IF(BZ111=1,0,ROUNDUP(AP111/BY111,0))</f>
        <v>1</v>
      </c>
      <c r="AR111" s="52" t="n">
        <f aca="false">IF(CQ111&gt;0,CQ111*MAX(1,AP111/X111),IF(BZ111=1,IF(AP111&lt;=0,0,CD111*MAX(1,IF(H111&gt;0,AP111/H111,1))),IF(R111&gt;0,AQ111/R111,0))/MAX(0.1,N(Parameter!$M$21)))</f>
        <v>0.0384615384615385</v>
      </c>
      <c r="AS111" s="50" t="n">
        <f aca="false">AR111*CB111</f>
        <v>9.42307692307692</v>
      </c>
      <c r="AT111" s="51" t="n">
        <f aca="false">IF(LEFT(Cockpit!$I$5,1)="A",H111,IF(CH111=1,(CK111+CI111)/2,IF(LEFT(Cockpit!$I$5,1)="B",(CK111+AV111)/2,MAX((CK111+AV111)/2,H111))))</f>
        <v>47</v>
      </c>
      <c r="AU111" s="50" t="n">
        <f aca="false">AT111*G111</f>
        <v>2472.67</v>
      </c>
      <c r="AV111" s="50" t="n">
        <f aca="false">ROUNDUP(CK111+MAX(CL111,2*(J111/IF(CG111&gt;0,CG111,MAX(0.1,N(Cockpit!$I$6)))-CK111)),0)</f>
        <v>80</v>
      </c>
      <c r="AW111" s="51" t="n">
        <f aca="false">IF(AS111&gt;0,J111/AS111,-1)</f>
        <v>7.8530612244898</v>
      </c>
      <c r="AX111" s="51" t="n">
        <f aca="false">IF(AND(OR(CF111="L1",CF111="L23",CF111="LIFT"),AS111&gt;0),SUMIFS($AS$7:$AS$1843,$CF$7:$CF$1843,CF111,$AW$7:$AW$1843,"&gt;"&amp;AW111)+SUMIFS($AS$7:$AS$1843,$CF$7:$CF$1843,CF111,$AW$7:$AW$1843,AW111,$BW$7:$BW$1843,"&lt;="&amp;BW111),"")</f>
        <v>3722.25366300366</v>
      </c>
      <c r="AY111" s="58" t="n">
        <f aca="false">IF(AX111="",0,MAX(0,MIN(1,(IF(CF111="L1",Parameter!$H$5,IF(CF111="L23",Parameter!$H$6+Parameter!$H$7,Parameter!$H$5+Parameter!$H$6+Parameter!$H$7))-(AX111-AS111))/AS111)))</f>
        <v>1</v>
      </c>
      <c r="AZ111" s="50" t="n">
        <f aca="false">IF(LEFT(Cockpit!$O$5,1)="A",H111,IF(Parameter!$E$30="MAX-Bestand",IF(CH111=1,CI111,IF(LEFT(Cockpit!$O$5,1)="B",BF111,MAX(BF111,H111))),ROUNDUP(BD111,0)))</f>
        <v>43</v>
      </c>
      <c r="BA111" s="50" t="n">
        <f aca="false">IF(BZ111=1,0,ROUNDUP(AZ111/BY111,0))</f>
        <v>1</v>
      </c>
      <c r="BB111" s="52" t="n">
        <f aca="false">IF(CQ111&gt;0,CQ111*MAX(1,AZ111/X111),IF(BZ111=1,IF(AZ111&lt;=0,0,CD111*MAX(1,IF(H111&gt;0,AZ111/H111,1))),IF(R111&gt;0,BA111/R111,0))/MAX(0.1,N(Parameter!$M$21)))</f>
        <v>0.0384615384615385</v>
      </c>
      <c r="BC111" s="50" t="n">
        <f aca="false">BB111*CB111</f>
        <v>9.42307692307692</v>
      </c>
      <c r="BD111" s="51" t="n">
        <f aca="false">IF(LEFT(Cockpit!$O$5,1)="A",H111,IF(CH111=1,(CK111+CI111)/2,IF(LEFT(Cockpit!$O$5,1)="B",(CK111+BF111)/2,MAX((CK111+BF111)/2,H111))))</f>
        <v>42.5</v>
      </c>
      <c r="BE111" s="50" t="n">
        <f aca="false">BD111*G111</f>
        <v>2235.925</v>
      </c>
      <c r="BF111" s="50" t="n">
        <f aca="false">ROUNDUP(CK111+MAX(CL111,2*(J111/IF(CG111&gt;0,CG111,MAX(0.1,N(Cockpit!$O$6)))-CK111)),0)</f>
        <v>80</v>
      </c>
      <c r="BG111" s="51" t="n">
        <f aca="false">IF(BC111&gt;0,J111/BC111,-1)</f>
        <v>7.8530612244898</v>
      </c>
      <c r="BH111" s="51" t="n">
        <f aca="false">IF(AND(OR(CF111="L1",CF111="L23",CF111="LIFT"),BC111&gt;0),SUMIFS($BC$7:$BC$1843,$CF$7:$CF$1843,CF111,$BG$7:$BG$1843,"&gt;"&amp;BG111)+SUMIFS($BC$7:$BC$1843,$CF$7:$CF$1843,CF111,$BG$7:$BG$1843,BG111,$BW$7:$BW$1843,"&lt;="&amp;BW111),"")</f>
        <v>3083.62316849817</v>
      </c>
      <c r="BI111" s="58" t="n">
        <f aca="false">IF(BH111="",0,MAX(0,MIN(1,(IF(CF111="L1",Parameter!$H$5,IF(CF111="L23",Parameter!$H$6+Parameter!$H$7,Parameter!$H$5+Parameter!$H$6+Parameter!$H$7))-(BH111-BC111))/BC111)))</f>
        <v>1</v>
      </c>
      <c r="BJ111" s="48" t="str">
        <f aca="false">IF(AI111&lt;=0,"",IF(CF111="Aussen","Aussenlager",IF(CF111="-","Nicht im Lift",IF(AO111&gt;=1,"Lift",IF(AO111&lt;=0,"Aussenlager","teilweise")))))</f>
        <v>Lift</v>
      </c>
      <c r="BK111" s="48" t="str">
        <f aca="false">IF(AS111&lt;=0,"",IF(CF111="Aussen","Aussenlager",IF(CF111="-","Nicht im Lift",IF(AY111&gt;=1,"Lift",IF(AY111&lt;=0,"Aussenlager","teilweise")))))</f>
        <v>Lift</v>
      </c>
      <c r="BL111" s="48" t="str">
        <f aca="false">IF(BC111&lt;=0,"",IF(CF111="Aussen","Aussenlager",IF(CF111="-","Nicht im Lift",IF(BI111&gt;=1,"Lift",IF(BI111&lt;=0,"Aussenlager","teilweise")))))</f>
        <v>Lift</v>
      </c>
      <c r="BM111" s="48" t="str">
        <f aca="false">IF(A111="","",IF(BV111=1,"Neu; ","")&amp;IF(AND(BV111=0,BQ111&lt;0),"negativer Bestand (Export "&amp;BQ111&amp;"); ","")&amp;IF(J111&lt;=0,"Kein Verbrauch; ","")&amp;IF(CQ111&gt;0,"Lift "&amp;W111&amp;" lt. Liftbericht (Fach "&amp;X111&amp;" Stk); ",IF(CA111=1,"Gebinde geschätzt ("&amp;T111&amp;"); ",IF(BZ111=1,"Lose – Tablare geschätzt; ","")))&amp;IF(H111&gt;AV111,"Überbestand "&amp;ROUND(H111-AV111,0)&amp;" Stk / CHF "&amp;ROUND((H111-AV111)*G111,0)&amp;"; ","")&amp;IF(AND(CH111=1,CI111&lt;CJ111),"MAX &lt; MB+LG; ","")&amp;IF(AND(CP111&gt;0,CO111*10&gt;CP111),"zu hoch für Tablar; ","")&amp;IF(AND(BV111=0,OR(CH111=1,AA111&lt;&gt;"",U111&lt;&gt;"",V111&lt;&gt;"",AB111&lt;&gt;"")),"manuell übersteuert; ","")&amp;IF(AND(BZ111=0,R111=0),"Gebinde unbekannt / Stellmass fehlt; ","")&amp;IF(AND(BZ111=0,N(V111)&lt;=0,N(Q111)&lt;=0),"Menge pro Gebinde fehlt (Ist = 1 Gebinde); ","")&amp;BU111)</f>
        <v/>
      </c>
      <c r="BN111" s="48"/>
      <c r="BO111" s="48"/>
      <c r="BP111" s="55"/>
      <c r="BQ111" s="50" t="n">
        <v>34</v>
      </c>
      <c r="BR111" s="50" t="n">
        <v>13</v>
      </c>
      <c r="BS111" s="49" t="n">
        <v>2066.83</v>
      </c>
      <c r="BT111" s="50" t="n">
        <v>74</v>
      </c>
      <c r="BU111" s="48"/>
      <c r="BV111" s="53" t="n">
        <v>0</v>
      </c>
      <c r="BW111" s="53" t="n">
        <v>111</v>
      </c>
      <c r="BX111" s="48" t="str">
        <f aca="false">IF(U111&lt;&gt;"",UPPER(TRIM(U111)),IF(CA111=1,UPPER(VLOOKUP(T111,Parameter!$I$27:$K$29,2,0)),IF(P111="","LOSE",P111)))</f>
        <v>S52</v>
      </c>
      <c r="BY111" s="50" t="n">
        <f aca="false">IF(BX111="LOSE",1,IF(N(V111)&gt;0,V111,IF(CA111=1,MAX(1,N(VLOOKUP(T111,Parameter!$I$27:$K$29,3,0)),H111,N(N111)),IF(N(Q111)&gt;0,Q111,MAX(1,H111)))))</f>
        <v>50</v>
      </c>
      <c r="BZ111" s="53" t="n">
        <f aca="false">IF(BX111="LOSE",1,0)</f>
        <v>0</v>
      </c>
      <c r="CA111" s="53" t="n">
        <f aca="false">IF(AND(U111="",OR(P111="",P111="LOSE"),T111&lt;&gt;"",N(S111)&lt;=0,ISNUMBER(MATCH(T111,Parameter!$I$27:$I$29,0))),1,0)</f>
        <v>0</v>
      </c>
      <c r="CB111" s="53" t="n">
        <f aca="false">IF(CQ111&gt;0,INDEX(Parameter!$H$5:$H$7,W111)/INDEX(Parameter!$E$5:$E$7,W111),IF(AND(BZ111=0,N(IFERROR(VLOOKUP(BX111,'Gebinde-Kategorie'!$A$5:$N$45,14,0),0))&gt;0),VLOOKUP(BX111,'Gebinde-Kategorie'!$A$5:$N$45,14,0)*10+Parameter!$M$23,Parameter!$M$24))</f>
        <v>245</v>
      </c>
      <c r="CC111" s="48" t="str">
        <f aca="false">IF(AND(Parameter!$B$19="Ja",E111&lt;&gt;"",ISNUMBER(MATCH(E111,Parameter!$I$35:$I$52,0))),VLOOKUP(E111,Parameter!$I$35:$J$52,2,0),IFERROR(VLOOKUP(D111,Parameter!$A$35:$C$64,2,0),"Nein"))</f>
        <v>2+3</v>
      </c>
      <c r="CD111" s="52" t="n">
        <f aca="false">IF(BZ111=0,0,IF(N(S111)&gt;0,S111,IFERROR(VLOOKUP(D111,Parameter!$A$35:$C$64,3,0)+0,0)))</f>
        <v>0</v>
      </c>
      <c r="CE111" s="48" t="n">
        <f aca="false">IF(AA111&lt;&gt;"",AA111,Z111)</f>
        <v>3</v>
      </c>
      <c r="CF111" s="48" t="str">
        <f aca="false">IF(OR(CE111=1,CE111=2,CE111=3),IF(Parameter!$E$27="Ja","LIFT",IF(CE111=1,"L1","L23")),IF(CE111="Aussen","Aussen","-"))</f>
        <v>LIFT</v>
      </c>
      <c r="CG111" s="59" t="n">
        <f aca="false">IF(N(AB111)&gt;0,AB111,0)</f>
        <v>0</v>
      </c>
      <c r="CH111" s="53" t="n">
        <f aca="false">IF(ISNUMBER(AE111),1,0)</f>
        <v>0</v>
      </c>
      <c r="CI111" s="50" t="n">
        <f aca="false">N(AE111)</f>
        <v>0</v>
      </c>
      <c r="CJ111" s="50" t="n">
        <f aca="false">N(M111)+N(N111)</f>
        <v>80</v>
      </c>
      <c r="CK111" s="50" t="n">
        <f aca="false">N(M111)</f>
        <v>5</v>
      </c>
      <c r="CL111" s="50" t="n">
        <f aca="false">N(N111)</f>
        <v>75</v>
      </c>
      <c r="CM111" s="50" t="n">
        <f aca="false">ROUNDUP(H111/BY111,0)</f>
        <v>1</v>
      </c>
      <c r="CN111" s="50" t="n">
        <f aca="false">ROUNDUP(CI111/BY111,0)</f>
        <v>0</v>
      </c>
      <c r="CO111" s="53" t="n">
        <f aca="false">IF(BZ111=1,0,IFERROR(VLOOKUP(BX111,'Gebinde-Kategorie'!$A$5:$N$45,5,0)+0,0))</f>
        <v>21</v>
      </c>
      <c r="CP111" s="53" t="n">
        <f aca="false">IFERROR(IF(OR(CE111=1,CE111=2,CE111=3),N(INDEX(Parameter!$I$5:$I$7,CE111)),0),0)</f>
        <v>0</v>
      </c>
      <c r="CQ111" s="52" t="n">
        <f aca="false">IF(AND(Parameter!$B$21="Ja",ISNUMBER(W111),N(X111)&gt;0),IFERROR(N(INDEX(Parameter!$L$5:$L$7,W111))*INDEX(Parameter!$E$5:$E$7,W111)*X111/SUMIFS($X$7:$X$1843,$W$7:$W$1843,W111),0),0)</f>
        <v>0</v>
      </c>
    </row>
    <row r="112" customFormat="false" ht="15" hidden="false" customHeight="false" outlineLevel="0" collapsed="false">
      <c r="A112" s="48" t="s">
        <v>445</v>
      </c>
      <c r="B112" s="48" t="s">
        <v>446</v>
      </c>
      <c r="C112" s="48" t="s">
        <v>173</v>
      </c>
      <c r="D112" s="48" t="s">
        <v>182</v>
      </c>
      <c r="E112" s="48" t="s">
        <v>175</v>
      </c>
      <c r="F112" s="48" t="s">
        <v>227</v>
      </c>
      <c r="G112" s="49" t="n">
        <v>345.4</v>
      </c>
      <c r="H112" s="50" t="n">
        <f aca="false">MAX(0,IF(AND(Parameter!$B$21="Ja",ISNUMBER(Y112)),Y112,IF(Parameter!$B$20="Jahresanfang 2025 + Export",BR112+BQ112,BQ112)))</f>
        <v>34</v>
      </c>
      <c r="I112" s="50" t="n">
        <f aca="false">H112*G112</f>
        <v>11743.6</v>
      </c>
      <c r="J112" s="50" t="n">
        <f aca="false">BT112*Parameter!$B$18</f>
        <v>34</v>
      </c>
      <c r="K112" s="51" t="n">
        <v>28</v>
      </c>
      <c r="L112" s="52" t="n">
        <v>1.21428571428571</v>
      </c>
      <c r="M112" s="50" t="n">
        <v>10</v>
      </c>
      <c r="N112" s="50" t="n">
        <v>15</v>
      </c>
      <c r="O112" s="53" t="n">
        <v>98</v>
      </c>
      <c r="P112" s="48" t="s">
        <v>183</v>
      </c>
      <c r="Q112" s="50" t="n">
        <v>24</v>
      </c>
      <c r="R112" s="53" t="n">
        <f aca="false">IF(BZ112=1,0,IFERROR(VLOOKUP(BX112,'Gebinde-Kategorie'!$A$5:$N$45,13,0)+0,0))</f>
        <v>6</v>
      </c>
      <c r="S112" s="54"/>
      <c r="T112" s="55"/>
      <c r="U112" s="55"/>
      <c r="V112" s="55"/>
      <c r="W112" s="48"/>
      <c r="X112" s="50"/>
      <c r="Y112" s="50"/>
      <c r="Z112" s="48" t="n">
        <f aca="false">IF(A112="","",IF(AND(Parameter!$B$21="Ja",ISNUMBER(W112)),W112,IF(CC112="2+3",IF(ISNUMBER(SEARCH("grosser Artikel",BU112)),2,IFERROR(VLOOKUP(BX112,Parameter!$F$35:$G$64,2,0),2)),IF(OR(CC112="Nein",CC112=""),"-",CC112))))</f>
        <v>1</v>
      </c>
      <c r="AA112" s="55"/>
      <c r="AB112" s="56"/>
      <c r="AC112" s="50" t="n">
        <f aca="false">AV112</f>
        <v>25</v>
      </c>
      <c r="AD112" s="50" t="n">
        <f aca="false">MAX(AV112,H112)</f>
        <v>34</v>
      </c>
      <c r="AE112" s="57"/>
      <c r="AF112" s="50" t="n">
        <f aca="false">IF(LEFT(Cockpit!$C$5,1)="A",H112,IF(Parameter!$E$30="MAX-Bestand",IF(CH112=1,CI112,IF(LEFT(Cockpit!$C$5,1)="B",AL112,MAX(AL112,H112))),ROUNDUP(AJ112,0)))</f>
        <v>34</v>
      </c>
      <c r="AG112" s="50" t="n">
        <f aca="false">IF(BZ112=1,0,ROUNDUP(AF112/BY112,0))</f>
        <v>2</v>
      </c>
      <c r="AH112" s="52" t="n">
        <f aca="false">IF(CQ112&gt;0,CQ112*MAX(1,AF112/X112),IF(BZ112=1,IF(AF112&lt;=0,0,CD112*MAX(1,IF(H112&gt;0,AF112/H112,1))),IF(R112&gt;0,AG112/R112,0))/MAX(0.1,N(Parameter!$M$21)))</f>
        <v>0.333333333333333</v>
      </c>
      <c r="AI112" s="50" t="n">
        <f aca="false">AH112*CB112</f>
        <v>78.3333333333333</v>
      </c>
      <c r="AJ112" s="51" t="n">
        <f aca="false">IF(LEFT(Cockpit!$C$5,1)="A",H112,IF(CH112=1,(CK112+CI112)/2,IF(LEFT(Cockpit!$C$5,1)="B",(CK112+AL112)/2,MAX((CK112+AL112)/2,H112))))</f>
        <v>34</v>
      </c>
      <c r="AK112" s="50" t="n">
        <f aca="false">AJ112*G112</f>
        <v>11743.6</v>
      </c>
      <c r="AL112" s="50" t="n">
        <f aca="false">ROUNDUP(CK112+MAX(CL112,2*(J112/IF(CG112&gt;0,CG112,MAX(0.1,N(Cockpit!$C$6)))-CK112)),0)</f>
        <v>25</v>
      </c>
      <c r="AM112" s="51" t="n">
        <f aca="false">IF(AI112&gt;0,J112/AI112,-1)</f>
        <v>0.434042553191489</v>
      </c>
      <c r="AN112" s="51" t="n">
        <f aca="false">IF(AND(OR(CF112="L1",CF112="L23",CF112="LIFT"),AI112&gt;0),SUMIFS($AI$7:$AI$1843,$CF$7:$CF$1843,CF112,$AM$7:$AM$1843,"&gt;"&amp;AM112)+SUMIFS($AI$7:$AI$1843,$CF$7:$CF$1843,CF112,$AM$7:$AM$1843,AM112,$BW$7:$BW$1843,"&lt;="&amp;BW112),"")</f>
        <v>10002.8268946214</v>
      </c>
      <c r="AO112" s="58" t="n">
        <f aca="false">IF(AN112="",0,MAX(0,MIN(1,(IF(CF112="L1",Parameter!$H$5,IF(CF112="L23",Parameter!$H$6+Parameter!$H$7,Parameter!$H$5+Parameter!$H$6+Parameter!$H$7))-(AN112-AI112))/AI112)))</f>
        <v>1</v>
      </c>
      <c r="AP112" s="50" t="n">
        <f aca="false">IF(LEFT(Cockpit!$I$5,1)="A",H112,IF(Parameter!$E$30="MAX-Bestand",IF(CH112=1,CI112,IF(LEFT(Cockpit!$I$5,1)="B",AV112,MAX(AV112,H112))),ROUNDUP(AT112,0)))</f>
        <v>34</v>
      </c>
      <c r="AQ112" s="50" t="n">
        <f aca="false">IF(BZ112=1,0,ROUNDUP(AP112/BY112,0))</f>
        <v>2</v>
      </c>
      <c r="AR112" s="52" t="n">
        <f aca="false">IF(CQ112&gt;0,CQ112*MAX(1,AP112/X112),IF(BZ112=1,IF(AP112&lt;=0,0,CD112*MAX(1,IF(H112&gt;0,AP112/H112,1))),IF(R112&gt;0,AQ112/R112,0))/MAX(0.1,N(Parameter!$M$21)))</f>
        <v>0.333333333333333</v>
      </c>
      <c r="AS112" s="50" t="n">
        <f aca="false">AR112*CB112</f>
        <v>78.3333333333333</v>
      </c>
      <c r="AT112" s="51" t="n">
        <f aca="false">IF(LEFT(Cockpit!$I$5,1)="A",H112,IF(CH112=1,(CK112+CI112)/2,IF(LEFT(Cockpit!$I$5,1)="B",(CK112+AV112)/2,MAX((CK112+AV112)/2,H112))))</f>
        <v>34</v>
      </c>
      <c r="AU112" s="50" t="n">
        <f aca="false">AT112*G112</f>
        <v>11743.6</v>
      </c>
      <c r="AV112" s="50" t="n">
        <f aca="false">ROUNDUP(CK112+MAX(CL112,2*(J112/IF(CG112&gt;0,CG112,MAX(0.1,N(Cockpit!$I$6)))-CK112)),0)</f>
        <v>25</v>
      </c>
      <c r="AW112" s="51" t="n">
        <f aca="false">IF(AS112&gt;0,J112/AS112,-1)</f>
        <v>0.434042553191489</v>
      </c>
      <c r="AX112" s="51" t="n">
        <f aca="false">IF(AND(OR(CF112="L1",CF112="L23",CF112="LIFT"),AS112&gt;0),SUMIFS($AS$7:$AS$1843,$CF$7:$CF$1843,CF112,$AW$7:$AW$1843,"&gt;"&amp;AW112)+SUMIFS($AS$7:$AS$1843,$CF$7:$CF$1843,CF112,$AW$7:$AW$1843,AW112,$BW$7:$BW$1843,"&lt;="&amp;BW112),"")</f>
        <v>12357.9134615385</v>
      </c>
      <c r="AY112" s="58" t="n">
        <f aca="false">IF(AX112="",0,MAX(0,MIN(1,(IF(CF112="L1",Parameter!$H$5,IF(CF112="L23",Parameter!$H$6+Parameter!$H$7,Parameter!$H$5+Parameter!$H$6+Parameter!$H$7))-(AX112-AS112))/AS112)))</f>
        <v>1</v>
      </c>
      <c r="AZ112" s="50" t="n">
        <f aca="false">IF(LEFT(Cockpit!$O$5,1)="A",H112,IF(Parameter!$E$30="MAX-Bestand",IF(CH112=1,CI112,IF(LEFT(Cockpit!$O$5,1)="B",BF112,MAX(BF112,H112))),ROUNDUP(BD112,0)))</f>
        <v>18</v>
      </c>
      <c r="BA112" s="50" t="n">
        <f aca="false">IF(BZ112=1,0,ROUNDUP(AZ112/BY112,0))</f>
        <v>1</v>
      </c>
      <c r="BB112" s="52" t="n">
        <f aca="false">IF(CQ112&gt;0,CQ112*MAX(1,AZ112/X112),IF(BZ112=1,IF(AZ112&lt;=0,0,CD112*MAX(1,IF(H112&gt;0,AZ112/H112,1))),IF(R112&gt;0,BA112/R112,0))/MAX(0.1,N(Parameter!$M$21)))</f>
        <v>0.166666666666667</v>
      </c>
      <c r="BC112" s="50" t="n">
        <f aca="false">BB112*CB112</f>
        <v>39.1666666666667</v>
      </c>
      <c r="BD112" s="51" t="n">
        <f aca="false">IF(LEFT(Cockpit!$O$5,1)="A",H112,IF(CH112=1,(CK112+CI112)/2,IF(LEFT(Cockpit!$O$5,1)="B",(CK112+BF112)/2,MAX((CK112+BF112)/2,H112))))</f>
        <v>17.5</v>
      </c>
      <c r="BE112" s="50" t="n">
        <f aca="false">BD112*G112</f>
        <v>6044.5</v>
      </c>
      <c r="BF112" s="50" t="n">
        <f aca="false">ROUNDUP(CK112+MAX(CL112,2*(J112/IF(CG112&gt;0,CG112,MAX(0.1,N(Cockpit!$O$6)))-CK112)),0)</f>
        <v>25</v>
      </c>
      <c r="BG112" s="51" t="n">
        <f aca="false">IF(BC112&gt;0,J112/BC112,-1)</f>
        <v>0.868085106382979</v>
      </c>
      <c r="BH112" s="51" t="n">
        <f aca="false">IF(AND(OR(CF112="L1",CF112="L23",CF112="LIFT"),BC112&gt;0),SUMIFS($BC$7:$BC$1843,$CF$7:$CF$1843,CF112,$BG$7:$BG$1843,"&gt;"&amp;BG112)+SUMIFS($BC$7:$BC$1843,$CF$7:$CF$1843,CF112,$BG$7:$BG$1843,BG112,$BW$7:$BW$1843,"&lt;="&amp;BW112),"")</f>
        <v>8311.50045787546</v>
      </c>
      <c r="BI112" s="58" t="n">
        <f aca="false">IF(BH112="",0,MAX(0,MIN(1,(IF(CF112="L1",Parameter!$H$5,IF(CF112="L23",Parameter!$H$6+Parameter!$H$7,Parameter!$H$5+Parameter!$H$6+Parameter!$H$7))-(BH112-BC112))/BC112)))</f>
        <v>1</v>
      </c>
      <c r="BJ112" s="48" t="str">
        <f aca="false">IF(AI112&lt;=0,"",IF(CF112="Aussen","Aussenlager",IF(CF112="-","Nicht im Lift",IF(AO112&gt;=1,"Lift",IF(AO112&lt;=0,"Aussenlager","teilweise")))))</f>
        <v>Lift</v>
      </c>
      <c r="BK112" s="48" t="str">
        <f aca="false">IF(AS112&lt;=0,"",IF(CF112="Aussen","Aussenlager",IF(CF112="-","Nicht im Lift",IF(AY112&gt;=1,"Lift",IF(AY112&lt;=0,"Aussenlager","teilweise")))))</f>
        <v>Lift</v>
      </c>
      <c r="BL112" s="48" t="str">
        <f aca="false">IF(BC112&lt;=0,"",IF(CF112="Aussen","Aussenlager",IF(CF112="-","Nicht im Lift",IF(BI112&gt;=1,"Lift",IF(BI112&lt;=0,"Aussenlager","teilweise")))))</f>
        <v>Lift</v>
      </c>
      <c r="BM112" s="48" t="str">
        <f aca="false">IF(A112="","",IF(BV112=1,"Neu; ","")&amp;IF(AND(BV112=0,BQ112&lt;0),"negativer Bestand (Export "&amp;BQ112&amp;"); ","")&amp;IF(J112&lt;=0,"Kein Verbrauch; ","")&amp;IF(CQ112&gt;0,"Lift "&amp;W112&amp;" lt. Liftbericht (Fach "&amp;X112&amp;" Stk); ",IF(CA112=1,"Gebinde geschätzt ("&amp;T112&amp;"); ",IF(BZ112=1,"Lose – Tablare geschätzt; ","")))&amp;IF(H112&gt;AV112,"Überbestand "&amp;ROUND(H112-AV112,0)&amp;" Stk / CHF "&amp;ROUND((H112-AV112)*G112,0)&amp;"; ","")&amp;IF(AND(CH112=1,CI112&lt;CJ112),"MAX &lt; MB+LG; ","")&amp;IF(AND(CP112&gt;0,CO112*10&gt;CP112),"zu hoch für Tablar; ","")&amp;IF(AND(BV112=0,OR(CH112=1,AA112&lt;&gt;"",U112&lt;&gt;"",V112&lt;&gt;"",AB112&lt;&gt;"")),"manuell übersteuert; ","")&amp;IF(AND(BZ112=0,R112=0),"Gebinde unbekannt / Stellmass fehlt; ","")&amp;IF(AND(BZ112=0,N(V112)&lt;=0,N(Q112)&lt;=0),"Menge pro Gebinde fehlt (Ist = 1 Gebinde); ","")&amp;BU112)</f>
        <v>Überbestand 9 Stk / CHF 3109; </v>
      </c>
      <c r="BN112" s="48"/>
      <c r="BO112" s="48"/>
      <c r="BP112" s="55"/>
      <c r="BQ112" s="50" t="n">
        <v>1</v>
      </c>
      <c r="BR112" s="50" t="n">
        <v>33</v>
      </c>
      <c r="BS112" s="49" t="n">
        <v>2056.76</v>
      </c>
      <c r="BT112" s="50" t="n">
        <v>34</v>
      </c>
      <c r="BU112" s="48"/>
      <c r="BV112" s="53" t="n">
        <v>0</v>
      </c>
      <c r="BW112" s="53" t="n">
        <v>112</v>
      </c>
      <c r="BX112" s="48" t="str">
        <f aca="false">IF(U112&lt;&gt;"",UPPER(TRIM(U112)),IF(CA112=1,UPPER(VLOOKUP(T112,Parameter!$I$27:$K$29,2,0)),IF(P112="","LOSE",P112)))</f>
        <v>S71</v>
      </c>
      <c r="BY112" s="50" t="n">
        <f aca="false">IF(BX112="LOSE",1,IF(N(V112)&gt;0,V112,IF(CA112=1,MAX(1,N(VLOOKUP(T112,Parameter!$I$27:$K$29,3,0)),H112,N(N112)),IF(N(Q112)&gt;0,Q112,MAX(1,H112)))))</f>
        <v>24</v>
      </c>
      <c r="BZ112" s="53" t="n">
        <f aca="false">IF(BX112="LOSE",1,0)</f>
        <v>0</v>
      </c>
      <c r="CA112" s="53" t="n">
        <f aca="false">IF(AND(U112="",OR(P112="",P112="LOSE"),T112&lt;&gt;"",N(S112)&lt;=0,ISNUMBER(MATCH(T112,Parameter!$I$27:$I$29,0))),1,0)</f>
        <v>0</v>
      </c>
      <c r="CB112" s="53" t="n">
        <f aca="false">IF(CQ112&gt;0,INDEX(Parameter!$H$5:$H$7,W112)/INDEX(Parameter!$E$5:$E$7,W112),IF(AND(BZ112=0,N(IFERROR(VLOOKUP(BX112,'Gebinde-Kategorie'!$A$5:$N$45,14,0),0))&gt;0),VLOOKUP(BX112,'Gebinde-Kategorie'!$A$5:$N$45,14,0)*10+Parameter!$M$23,Parameter!$M$24))</f>
        <v>235</v>
      </c>
      <c r="CC112" s="48" t="n">
        <f aca="false">IF(AND(Parameter!$B$19="Ja",E112&lt;&gt;"",ISNUMBER(MATCH(E112,Parameter!$I$35:$I$52,0))),VLOOKUP(E112,Parameter!$I$35:$J$52,2,0),IFERROR(VLOOKUP(D112,Parameter!$A$35:$C$64,2,0),"Nein"))</f>
        <v>1</v>
      </c>
      <c r="CD112" s="52" t="n">
        <f aca="false">IF(BZ112=0,0,IF(N(S112)&gt;0,S112,IFERROR(VLOOKUP(D112,Parameter!$A$35:$C$64,3,0)+0,0)))</f>
        <v>0</v>
      </c>
      <c r="CE112" s="48" t="n">
        <f aca="false">IF(AA112&lt;&gt;"",AA112,Z112)</f>
        <v>1</v>
      </c>
      <c r="CF112" s="48" t="str">
        <f aca="false">IF(OR(CE112=1,CE112=2,CE112=3),IF(Parameter!$E$27="Ja","LIFT",IF(CE112=1,"L1","L23")),IF(CE112="Aussen","Aussen","-"))</f>
        <v>LIFT</v>
      </c>
      <c r="CG112" s="59" t="n">
        <f aca="false">IF(N(AB112)&gt;0,AB112,0)</f>
        <v>0</v>
      </c>
      <c r="CH112" s="53" t="n">
        <f aca="false">IF(ISNUMBER(AE112),1,0)</f>
        <v>0</v>
      </c>
      <c r="CI112" s="50" t="n">
        <f aca="false">N(AE112)</f>
        <v>0</v>
      </c>
      <c r="CJ112" s="50" t="n">
        <f aca="false">N(M112)+N(N112)</f>
        <v>25</v>
      </c>
      <c r="CK112" s="50" t="n">
        <f aca="false">N(M112)</f>
        <v>10</v>
      </c>
      <c r="CL112" s="50" t="n">
        <f aca="false">N(N112)</f>
        <v>15</v>
      </c>
      <c r="CM112" s="50" t="n">
        <f aca="false">ROUNDUP(H112/BY112,0)</f>
        <v>2</v>
      </c>
      <c r="CN112" s="50" t="n">
        <f aca="false">ROUNDUP(CI112/BY112,0)</f>
        <v>0</v>
      </c>
      <c r="CO112" s="53" t="n">
        <f aca="false">IF(BZ112=1,0,IFERROR(VLOOKUP(BX112,'Gebinde-Kategorie'!$A$5:$N$45,5,0)+0,0))</f>
        <v>20</v>
      </c>
      <c r="CP112" s="53" t="n">
        <f aca="false">IFERROR(IF(OR(CE112=1,CE112=2,CE112=3),N(INDEX(Parameter!$I$5:$I$7,CE112)),0),0)</f>
        <v>0</v>
      </c>
      <c r="CQ112" s="52" t="n">
        <f aca="false">IF(AND(Parameter!$B$21="Ja",ISNUMBER(W112),N(X112)&gt;0),IFERROR(N(INDEX(Parameter!$L$5:$L$7,W112))*INDEX(Parameter!$E$5:$E$7,W112)*X112/SUMIFS($X$7:$X$1843,$W$7:$W$1843,W112),0),0)</f>
        <v>0</v>
      </c>
    </row>
    <row r="113" customFormat="false" ht="15" hidden="false" customHeight="false" outlineLevel="0" collapsed="false">
      <c r="A113" s="48" t="s">
        <v>447</v>
      </c>
      <c r="B113" s="48" t="s">
        <v>440</v>
      </c>
      <c r="C113" s="48" t="s">
        <v>173</v>
      </c>
      <c r="D113" s="48" t="s">
        <v>193</v>
      </c>
      <c r="E113" s="48" t="s">
        <v>194</v>
      </c>
      <c r="F113" s="48" t="s">
        <v>227</v>
      </c>
      <c r="G113" s="49" t="n">
        <v>100.28</v>
      </c>
      <c r="H113" s="50" t="n">
        <f aca="false">MAX(0,IF(AND(Parameter!$B$21="Ja",ISNUMBER(Y113)),Y113,IF(Parameter!$B$20="Jahresanfang 2025 + Export",BR113+BQ113,BQ113)))</f>
        <v>39</v>
      </c>
      <c r="I113" s="50" t="n">
        <f aca="false">H113*G113</f>
        <v>3910.92</v>
      </c>
      <c r="J113" s="50" t="n">
        <f aca="false">BT113*Parameter!$B$18</f>
        <v>64</v>
      </c>
      <c r="K113" s="51" t="n">
        <v>17.5</v>
      </c>
      <c r="L113" s="52" t="n">
        <v>3.65714285714286</v>
      </c>
      <c r="M113" s="50" t="n">
        <v>5</v>
      </c>
      <c r="N113" s="50" t="n">
        <v>40</v>
      </c>
      <c r="O113" s="53" t="n">
        <v>35</v>
      </c>
      <c r="P113" s="48" t="s">
        <v>235</v>
      </c>
      <c r="Q113" s="50" t="n">
        <v>76</v>
      </c>
      <c r="R113" s="53" t="n">
        <f aca="false">IF(BZ113=1,0,IFERROR(VLOOKUP(BX113,'Gebinde-Kategorie'!$A$5:$N$45,13,0)+0,0))</f>
        <v>12</v>
      </c>
      <c r="S113" s="54"/>
      <c r="T113" s="55"/>
      <c r="U113" s="55"/>
      <c r="V113" s="55"/>
      <c r="W113" s="48"/>
      <c r="X113" s="50"/>
      <c r="Y113" s="50"/>
      <c r="Z113" s="48" t="n">
        <f aca="false">IF(A113="","",IF(AND(Parameter!$B$21="Ja",ISNUMBER(W113)),W113,IF(CC113="2+3",IF(ISNUMBER(SEARCH("grosser Artikel",BU113)),2,IFERROR(VLOOKUP(BX113,Parameter!$F$35:$G$64,2,0),2)),IF(OR(CC113="Nein",CC113=""),"-",CC113))))</f>
        <v>2</v>
      </c>
      <c r="AA113" s="55"/>
      <c r="AB113" s="56"/>
      <c r="AC113" s="50" t="n">
        <f aca="false">AV113</f>
        <v>45</v>
      </c>
      <c r="AD113" s="50" t="n">
        <f aca="false">MAX(AV113,H113)</f>
        <v>45</v>
      </c>
      <c r="AE113" s="57"/>
      <c r="AF113" s="50" t="n">
        <f aca="false">IF(LEFT(Cockpit!$C$5,1)="A",H113,IF(Parameter!$E$30="MAX-Bestand",IF(CH113=1,CI113,IF(LEFT(Cockpit!$C$5,1)="B",AL113,MAX(AL113,H113))),ROUNDUP(AJ113,0)))</f>
        <v>39</v>
      </c>
      <c r="AG113" s="50" t="n">
        <f aca="false">IF(BZ113=1,0,ROUNDUP(AF113/BY113,0))</f>
        <v>1</v>
      </c>
      <c r="AH113" s="52" t="n">
        <f aca="false">IF(CQ113&gt;0,CQ113*MAX(1,AF113/X113),IF(BZ113=1,IF(AF113&lt;=0,0,CD113*MAX(1,IF(H113&gt;0,AF113/H113,1))),IF(R113&gt;0,AG113/R113,0))/MAX(0.1,N(Parameter!$M$21)))</f>
        <v>0.0833333333333333</v>
      </c>
      <c r="AI113" s="50" t="n">
        <f aca="false">AH113*CB113</f>
        <v>28.75</v>
      </c>
      <c r="AJ113" s="51" t="n">
        <f aca="false">IF(LEFT(Cockpit!$C$5,1)="A",H113,IF(CH113=1,(CK113+CI113)/2,IF(LEFT(Cockpit!$C$5,1)="B",(CK113+AL113)/2,MAX((CK113+AL113)/2,H113))))</f>
        <v>39</v>
      </c>
      <c r="AK113" s="50" t="n">
        <f aca="false">AJ113*G113</f>
        <v>3910.92</v>
      </c>
      <c r="AL113" s="50" t="n">
        <f aca="false">ROUNDUP(CK113+MAX(CL113,2*(J113/IF(CG113&gt;0,CG113,MAX(0.1,N(Cockpit!$C$6)))-CK113)),0)</f>
        <v>45</v>
      </c>
      <c r="AM113" s="51" t="n">
        <f aca="false">IF(AI113&gt;0,J113/AI113,-1)</f>
        <v>2.22608695652174</v>
      </c>
      <c r="AN113" s="51" t="n">
        <f aca="false">IF(AND(OR(CF113="L1",CF113="L23",CF113="LIFT"),AI113&gt;0),SUMIFS($AI$7:$AI$1843,$CF$7:$CF$1843,CF113,$AM$7:$AM$1843,"&gt;"&amp;AM113)+SUMIFS($AI$7:$AI$1843,$CF$7:$CF$1843,CF113,$AM$7:$AM$1843,AM113,$BW$7:$BW$1843,"&lt;="&amp;BW113),"")</f>
        <v>5723.14148351648</v>
      </c>
      <c r="AO113" s="58" t="n">
        <f aca="false">IF(AN113="",0,MAX(0,MIN(1,(IF(CF113="L1",Parameter!$H$5,IF(CF113="L23",Parameter!$H$6+Parameter!$H$7,Parameter!$H$5+Parameter!$H$6+Parameter!$H$7))-(AN113-AI113))/AI113)))</f>
        <v>1</v>
      </c>
      <c r="AP113" s="50" t="n">
        <f aca="false">IF(LEFT(Cockpit!$I$5,1)="A",H113,IF(Parameter!$E$30="MAX-Bestand",IF(CH113=1,CI113,IF(LEFT(Cockpit!$I$5,1)="B",AV113,MAX(AV113,H113))),ROUNDUP(AT113,0)))</f>
        <v>39</v>
      </c>
      <c r="AQ113" s="50" t="n">
        <f aca="false">IF(BZ113=1,0,ROUNDUP(AP113/BY113,0))</f>
        <v>1</v>
      </c>
      <c r="AR113" s="52" t="n">
        <f aca="false">IF(CQ113&gt;0,CQ113*MAX(1,AP113/X113),IF(BZ113=1,IF(AP113&lt;=0,0,CD113*MAX(1,IF(H113&gt;0,AP113/H113,1))),IF(R113&gt;0,AQ113/R113,0))/MAX(0.1,N(Parameter!$M$21)))</f>
        <v>0.0833333333333333</v>
      </c>
      <c r="AS113" s="50" t="n">
        <f aca="false">AR113*CB113</f>
        <v>28.75</v>
      </c>
      <c r="AT113" s="51" t="n">
        <f aca="false">IF(LEFT(Cockpit!$I$5,1)="A",H113,IF(CH113=1,(CK113+CI113)/2,IF(LEFT(Cockpit!$I$5,1)="B",(CK113+AV113)/2,MAX((CK113+AV113)/2,H113))))</f>
        <v>39</v>
      </c>
      <c r="AU113" s="50" t="n">
        <f aca="false">AT113*G113</f>
        <v>3910.92</v>
      </c>
      <c r="AV113" s="50" t="n">
        <f aca="false">ROUNDUP(CK113+MAX(CL113,2*(J113/IF(CG113&gt;0,CG113,MAX(0.1,N(Cockpit!$I$6)))-CK113)),0)</f>
        <v>45</v>
      </c>
      <c r="AW113" s="51" t="n">
        <f aca="false">IF(AS113&gt;0,J113/AS113,-1)</f>
        <v>2.22608695652174</v>
      </c>
      <c r="AX113" s="51" t="n">
        <f aca="false">IF(AND(OR(CF113="L1",CF113="L23",CF113="LIFT"),AS113&gt;0),SUMIFS($AS$7:$AS$1843,$CF$7:$CF$1843,CF113,$AW$7:$AW$1843,"&gt;"&amp;AW113)+SUMIFS($AS$7:$AS$1843,$CF$7:$CF$1843,CF113,$AW$7:$AW$1843,AW113,$BW$7:$BW$1843,"&lt;="&amp;BW113),"")</f>
        <v>6627.20283882784</v>
      </c>
      <c r="AY113" s="58" t="n">
        <f aca="false">IF(AX113="",0,MAX(0,MIN(1,(IF(CF113="L1",Parameter!$H$5,IF(CF113="L23",Parameter!$H$6+Parameter!$H$7,Parameter!$H$5+Parameter!$H$6+Parameter!$H$7))-(AX113-AS113))/AS113)))</f>
        <v>1</v>
      </c>
      <c r="AZ113" s="50" t="n">
        <f aca="false">IF(LEFT(Cockpit!$O$5,1)="A",H113,IF(Parameter!$E$30="MAX-Bestand",IF(CH113=1,CI113,IF(LEFT(Cockpit!$O$5,1)="B",BF113,MAX(BF113,H113))),ROUNDUP(BD113,0)))</f>
        <v>25</v>
      </c>
      <c r="BA113" s="50" t="n">
        <f aca="false">IF(BZ113=1,0,ROUNDUP(AZ113/BY113,0))</f>
        <v>1</v>
      </c>
      <c r="BB113" s="52" t="n">
        <f aca="false">IF(CQ113&gt;0,CQ113*MAX(1,AZ113/X113),IF(BZ113=1,IF(AZ113&lt;=0,0,CD113*MAX(1,IF(H113&gt;0,AZ113/H113,1))),IF(R113&gt;0,BA113/R113,0))/MAX(0.1,N(Parameter!$M$21)))</f>
        <v>0.0833333333333333</v>
      </c>
      <c r="BC113" s="50" t="n">
        <f aca="false">BB113*CB113</f>
        <v>28.75</v>
      </c>
      <c r="BD113" s="51" t="n">
        <f aca="false">IF(LEFT(Cockpit!$O$5,1)="A",H113,IF(CH113=1,(CK113+CI113)/2,IF(LEFT(Cockpit!$O$5,1)="B",(CK113+BF113)/2,MAX((CK113+BF113)/2,H113))))</f>
        <v>25</v>
      </c>
      <c r="BE113" s="50" t="n">
        <f aca="false">BD113*G113</f>
        <v>2507</v>
      </c>
      <c r="BF113" s="50" t="n">
        <f aca="false">ROUNDUP(CK113+MAX(CL113,2*(J113/IF(CG113&gt;0,CG113,MAX(0.1,N(Cockpit!$O$6)))-CK113)),0)</f>
        <v>45</v>
      </c>
      <c r="BG113" s="51" t="n">
        <f aca="false">IF(BC113&gt;0,J113/BC113,-1)</f>
        <v>2.22608695652174</v>
      </c>
      <c r="BH113" s="51" t="n">
        <f aca="false">IF(AND(OR(CF113="L1",CF113="L23",CF113="LIFT"),BC113&gt;0),SUMIFS($BC$7:$BC$1843,$CF$7:$CF$1843,CF113,$BG$7:$BG$1843,"&gt;"&amp;BG113)+SUMIFS($BC$7:$BC$1843,$CF$7:$CF$1843,CF113,$BG$7:$BG$1843,BG113,$BW$7:$BW$1843,"&lt;="&amp;BW113),"")</f>
        <v>5699.40384615385</v>
      </c>
      <c r="BI113" s="58" t="n">
        <f aca="false">IF(BH113="",0,MAX(0,MIN(1,(IF(CF113="L1",Parameter!$H$5,IF(CF113="L23",Parameter!$H$6+Parameter!$H$7,Parameter!$H$5+Parameter!$H$6+Parameter!$H$7))-(BH113-BC113))/BC113)))</f>
        <v>1</v>
      </c>
      <c r="BJ113" s="48" t="str">
        <f aca="false">IF(AI113&lt;=0,"",IF(CF113="Aussen","Aussenlager",IF(CF113="-","Nicht im Lift",IF(AO113&gt;=1,"Lift",IF(AO113&lt;=0,"Aussenlager","teilweise")))))</f>
        <v>Lift</v>
      </c>
      <c r="BK113" s="48" t="str">
        <f aca="false">IF(AS113&lt;=0,"",IF(CF113="Aussen","Aussenlager",IF(CF113="-","Nicht im Lift",IF(AY113&gt;=1,"Lift",IF(AY113&lt;=0,"Aussenlager","teilweise")))))</f>
        <v>Lift</v>
      </c>
      <c r="BL113" s="48" t="str">
        <f aca="false">IF(BC113&lt;=0,"",IF(CF113="Aussen","Aussenlager",IF(CF113="-","Nicht im Lift",IF(BI113&gt;=1,"Lift",IF(BI113&lt;=0,"Aussenlager","teilweise")))))</f>
        <v>Lift</v>
      </c>
      <c r="BM113" s="48" t="str">
        <f aca="false">IF(A113="","",IF(BV113=1,"Neu; ","")&amp;IF(AND(BV113=0,BQ113&lt;0),"negativer Bestand (Export "&amp;BQ113&amp;"); ","")&amp;IF(J113&lt;=0,"Kein Verbrauch; ","")&amp;IF(CQ113&gt;0,"Lift "&amp;W113&amp;" lt. Liftbericht (Fach "&amp;X113&amp;" Stk); ",IF(CA113=1,"Gebinde geschätzt ("&amp;T113&amp;"); ",IF(BZ113=1,"Lose – Tablare geschätzt; ","")))&amp;IF(H113&gt;AV113,"Überbestand "&amp;ROUND(H113-AV113,0)&amp;" Stk / CHF "&amp;ROUND((H113-AV113)*G113,0)&amp;"; ","")&amp;IF(AND(CH113=1,CI113&lt;CJ113),"MAX &lt; MB+LG; ","")&amp;IF(AND(CP113&gt;0,CO113*10&gt;CP113),"zu hoch für Tablar; ","")&amp;IF(AND(BV113=0,OR(CH113=1,AA113&lt;&gt;"",U113&lt;&gt;"",V113&lt;&gt;"",AB113&lt;&gt;"")),"manuell übersteuert; ","")&amp;IF(AND(BZ113=0,R113=0),"Gebinde unbekannt / Stellmass fehlt; ","")&amp;IF(AND(BZ113=0,N(V113)&lt;=0,N(Q113)&lt;=0),"Menge pro Gebinde fehlt (Ist = 1 Gebinde); ","")&amp;BU113)</f>
        <v/>
      </c>
      <c r="BN113" s="48"/>
      <c r="BO113" s="48"/>
      <c r="BP113" s="55"/>
      <c r="BQ113" s="50" t="n">
        <v>19</v>
      </c>
      <c r="BR113" s="50" t="n">
        <v>20</v>
      </c>
      <c r="BS113" s="49" t="n">
        <v>2016.52</v>
      </c>
      <c r="BT113" s="50" t="n">
        <v>64</v>
      </c>
      <c r="BU113" s="48"/>
      <c r="BV113" s="53" t="n">
        <v>0</v>
      </c>
      <c r="BW113" s="53" t="n">
        <v>113</v>
      </c>
      <c r="BX113" s="48" t="str">
        <f aca="false">IF(U113&lt;&gt;"",UPPER(TRIM(U113)),IF(CA113=1,UPPER(VLOOKUP(T113,Parameter!$I$27:$K$29,2,0)),IF(P113="","LOSE",P113)))</f>
        <v>S63</v>
      </c>
      <c r="BY113" s="50" t="n">
        <f aca="false">IF(BX113="LOSE",1,IF(N(V113)&gt;0,V113,IF(CA113=1,MAX(1,N(VLOOKUP(T113,Parameter!$I$27:$K$29,3,0)),H113,N(N113)),IF(N(Q113)&gt;0,Q113,MAX(1,H113)))))</f>
        <v>76</v>
      </c>
      <c r="BZ113" s="53" t="n">
        <f aca="false">IF(BX113="LOSE",1,0)</f>
        <v>0</v>
      </c>
      <c r="CA113" s="53" t="n">
        <f aca="false">IF(AND(U113="",OR(P113="",P113="LOSE"),T113&lt;&gt;"",N(S113)&lt;=0,ISNUMBER(MATCH(T113,Parameter!$I$27:$I$29,0))),1,0)</f>
        <v>0</v>
      </c>
      <c r="CB113" s="53" t="n">
        <f aca="false">IF(CQ113&gt;0,INDEX(Parameter!$H$5:$H$7,W113)/INDEX(Parameter!$E$5:$E$7,W113),IF(AND(BZ113=0,N(IFERROR(VLOOKUP(BX113,'Gebinde-Kategorie'!$A$5:$N$45,14,0),0))&gt;0),VLOOKUP(BX113,'Gebinde-Kategorie'!$A$5:$N$45,14,0)*10+Parameter!$M$23,Parameter!$M$24))</f>
        <v>345</v>
      </c>
      <c r="CC113" s="48" t="str">
        <f aca="false">IF(AND(Parameter!$B$19="Ja",E113&lt;&gt;"",ISNUMBER(MATCH(E113,Parameter!$I$35:$I$52,0))),VLOOKUP(E113,Parameter!$I$35:$J$52,2,0),IFERROR(VLOOKUP(D113,Parameter!$A$35:$C$64,2,0),"Nein"))</f>
        <v>2+3</v>
      </c>
      <c r="CD113" s="52" t="n">
        <f aca="false">IF(BZ113=0,0,IF(N(S113)&gt;0,S113,IFERROR(VLOOKUP(D113,Parameter!$A$35:$C$64,3,0)+0,0)))</f>
        <v>0</v>
      </c>
      <c r="CE113" s="48" t="n">
        <f aca="false">IF(AA113&lt;&gt;"",AA113,Z113)</f>
        <v>2</v>
      </c>
      <c r="CF113" s="48" t="str">
        <f aca="false">IF(OR(CE113=1,CE113=2,CE113=3),IF(Parameter!$E$27="Ja","LIFT",IF(CE113=1,"L1","L23")),IF(CE113="Aussen","Aussen","-"))</f>
        <v>LIFT</v>
      </c>
      <c r="CG113" s="59" t="n">
        <f aca="false">IF(N(AB113)&gt;0,AB113,0)</f>
        <v>0</v>
      </c>
      <c r="CH113" s="53" t="n">
        <f aca="false">IF(ISNUMBER(AE113),1,0)</f>
        <v>0</v>
      </c>
      <c r="CI113" s="50" t="n">
        <f aca="false">N(AE113)</f>
        <v>0</v>
      </c>
      <c r="CJ113" s="50" t="n">
        <f aca="false">N(M113)+N(N113)</f>
        <v>45</v>
      </c>
      <c r="CK113" s="50" t="n">
        <f aca="false">N(M113)</f>
        <v>5</v>
      </c>
      <c r="CL113" s="50" t="n">
        <f aca="false">N(N113)</f>
        <v>40</v>
      </c>
      <c r="CM113" s="50" t="n">
        <f aca="false">ROUNDUP(H113/BY113,0)</f>
        <v>1</v>
      </c>
      <c r="CN113" s="50" t="n">
        <f aca="false">ROUNDUP(CI113/BY113,0)</f>
        <v>0</v>
      </c>
      <c r="CO113" s="53" t="n">
        <f aca="false">IF(BZ113=1,0,IFERROR(VLOOKUP(BX113,'Gebinde-Kategorie'!$A$5:$N$45,5,0)+0,0))</f>
        <v>31</v>
      </c>
      <c r="CP113" s="53" t="n">
        <f aca="false">IFERROR(IF(OR(CE113=1,CE113=2,CE113=3),N(INDEX(Parameter!$I$5:$I$7,CE113)),0),0)</f>
        <v>0</v>
      </c>
      <c r="CQ113" s="52" t="n">
        <f aca="false">IF(AND(Parameter!$B$21="Ja",ISNUMBER(W113),N(X113)&gt;0),IFERROR(N(INDEX(Parameter!$L$5:$L$7,W113))*INDEX(Parameter!$E$5:$E$7,W113)*X113/SUMIFS($X$7:$X$1843,$W$7:$W$1843,W113),0),0)</f>
        <v>0</v>
      </c>
    </row>
    <row r="114" customFormat="false" ht="15" hidden="false" customHeight="false" outlineLevel="0" collapsed="false">
      <c r="A114" s="48" t="s">
        <v>448</v>
      </c>
      <c r="B114" s="48" t="s">
        <v>449</v>
      </c>
      <c r="C114" s="48" t="s">
        <v>173</v>
      </c>
      <c r="D114" s="48" t="s">
        <v>193</v>
      </c>
      <c r="E114" s="48" t="s">
        <v>194</v>
      </c>
      <c r="F114" s="48" t="s">
        <v>227</v>
      </c>
      <c r="G114" s="49" t="n">
        <v>107</v>
      </c>
      <c r="H114" s="50" t="n">
        <f aca="false">MAX(0,IF(AND(Parameter!$B$21="Ja",ISNUMBER(Y114)),Y114,IF(Parameter!$B$20="Jahresanfang 2025 + Export",BR114+BQ114,BQ114)))</f>
        <v>25</v>
      </c>
      <c r="I114" s="50" t="n">
        <f aca="false">H114*G114</f>
        <v>2675</v>
      </c>
      <c r="J114" s="50" t="n">
        <f aca="false">BT114*Parameter!$B$18</f>
        <v>59</v>
      </c>
      <c r="K114" s="51" t="n">
        <v>18.5</v>
      </c>
      <c r="L114" s="52" t="n">
        <v>3.18918918918919</v>
      </c>
      <c r="M114" s="50" t="n">
        <v>2</v>
      </c>
      <c r="N114" s="50" t="n">
        <v>35</v>
      </c>
      <c r="O114" s="53" t="n">
        <v>14</v>
      </c>
      <c r="P114" s="48" t="s">
        <v>242</v>
      </c>
      <c r="Q114" s="50" t="n">
        <v>18</v>
      </c>
      <c r="R114" s="53" t="n">
        <f aca="false">IF(BZ114=1,0,IFERROR(VLOOKUP(BX114,'Gebinde-Kategorie'!$A$5:$N$45,13,0)+0,0))</f>
        <v>26</v>
      </c>
      <c r="S114" s="54"/>
      <c r="T114" s="55"/>
      <c r="U114" s="55"/>
      <c r="V114" s="55"/>
      <c r="W114" s="48"/>
      <c r="X114" s="50"/>
      <c r="Y114" s="50"/>
      <c r="Z114" s="48" t="n">
        <f aca="false">IF(A114="","",IF(AND(Parameter!$B$21="Ja",ISNUMBER(W114)),W114,IF(CC114="2+3",IF(ISNUMBER(SEARCH("grosser Artikel",BU114)),2,IFERROR(VLOOKUP(BX114,Parameter!$F$35:$G$64,2,0),2)),IF(OR(CC114="Nein",CC114=""),"-",CC114))))</f>
        <v>3</v>
      </c>
      <c r="AA114" s="55"/>
      <c r="AB114" s="56"/>
      <c r="AC114" s="50" t="n">
        <f aca="false">AV114</f>
        <v>38</v>
      </c>
      <c r="AD114" s="50" t="n">
        <f aca="false">MAX(AV114,H114)</f>
        <v>38</v>
      </c>
      <c r="AE114" s="57"/>
      <c r="AF114" s="50" t="n">
        <f aca="false">IF(LEFT(Cockpit!$C$5,1)="A",H114,IF(Parameter!$E$30="MAX-Bestand",IF(CH114=1,CI114,IF(LEFT(Cockpit!$C$5,1)="B",AL114,MAX(AL114,H114))),ROUNDUP(AJ114,0)))</f>
        <v>25</v>
      </c>
      <c r="AG114" s="50" t="n">
        <f aca="false">IF(BZ114=1,0,ROUNDUP(AF114/BY114,0))</f>
        <v>2</v>
      </c>
      <c r="AH114" s="52" t="n">
        <f aca="false">IF(CQ114&gt;0,CQ114*MAX(1,AF114/X114),IF(BZ114=1,IF(AF114&lt;=0,0,CD114*MAX(1,IF(H114&gt;0,AF114/H114,1))),IF(R114&gt;0,AG114/R114,0))/MAX(0.1,N(Parameter!$M$21)))</f>
        <v>0.0769230769230769</v>
      </c>
      <c r="AI114" s="50" t="n">
        <f aca="false">AH114*CB114</f>
        <v>18.8461538461538</v>
      </c>
      <c r="AJ114" s="51" t="n">
        <f aca="false">IF(LEFT(Cockpit!$C$5,1)="A",H114,IF(CH114=1,(CK114+CI114)/2,IF(LEFT(Cockpit!$C$5,1)="B",(CK114+AL114)/2,MAX((CK114+AL114)/2,H114))))</f>
        <v>25</v>
      </c>
      <c r="AK114" s="50" t="n">
        <f aca="false">AJ114*G114</f>
        <v>2675</v>
      </c>
      <c r="AL114" s="50" t="n">
        <f aca="false">ROUNDUP(CK114+MAX(CL114,2*(J114/IF(CG114&gt;0,CG114,MAX(0.1,N(Cockpit!$C$6)))-CK114)),0)</f>
        <v>38</v>
      </c>
      <c r="AM114" s="51" t="n">
        <f aca="false">IF(AI114&gt;0,J114/AI114,-1)</f>
        <v>3.13061224489796</v>
      </c>
      <c r="AN114" s="51" t="n">
        <f aca="false">IF(AND(OR(CF114="L1",CF114="L23",CF114="LIFT"),AI114&gt;0),SUMIFS($AI$7:$AI$1843,$CF$7:$CF$1843,CF114,$AM$7:$AM$1843,"&gt;"&amp;AM114)+SUMIFS($AI$7:$AI$1843,$CF$7:$CF$1843,CF114,$AM$7:$AM$1843,AM114,$BW$7:$BW$1843,"&lt;="&amp;BW114),"")</f>
        <v>4993.96932234432</v>
      </c>
      <c r="AO114" s="58" t="n">
        <f aca="false">IF(AN114="",0,MAX(0,MIN(1,(IF(CF114="L1",Parameter!$H$5,IF(CF114="L23",Parameter!$H$6+Parameter!$H$7,Parameter!$H$5+Parameter!$H$6+Parameter!$H$7))-(AN114-AI114))/AI114)))</f>
        <v>1</v>
      </c>
      <c r="AP114" s="50" t="n">
        <f aca="false">IF(LEFT(Cockpit!$I$5,1)="A",H114,IF(Parameter!$E$30="MAX-Bestand",IF(CH114=1,CI114,IF(LEFT(Cockpit!$I$5,1)="B",AV114,MAX(AV114,H114))),ROUNDUP(AT114,0)))</f>
        <v>25</v>
      </c>
      <c r="AQ114" s="50" t="n">
        <f aca="false">IF(BZ114=1,0,ROUNDUP(AP114/BY114,0))</f>
        <v>2</v>
      </c>
      <c r="AR114" s="52" t="n">
        <f aca="false">IF(CQ114&gt;0,CQ114*MAX(1,AP114/X114),IF(BZ114=1,IF(AP114&lt;=0,0,CD114*MAX(1,IF(H114&gt;0,AP114/H114,1))),IF(R114&gt;0,AQ114/R114,0))/MAX(0.1,N(Parameter!$M$21)))</f>
        <v>0.0769230769230769</v>
      </c>
      <c r="AS114" s="50" t="n">
        <f aca="false">AR114*CB114</f>
        <v>18.8461538461538</v>
      </c>
      <c r="AT114" s="51" t="n">
        <f aca="false">IF(LEFT(Cockpit!$I$5,1)="A",H114,IF(CH114=1,(CK114+CI114)/2,IF(LEFT(Cockpit!$I$5,1)="B",(CK114+AV114)/2,MAX((CK114+AV114)/2,H114))))</f>
        <v>25</v>
      </c>
      <c r="AU114" s="50" t="n">
        <f aca="false">AT114*G114</f>
        <v>2675</v>
      </c>
      <c r="AV114" s="50" t="n">
        <f aca="false">ROUNDUP(CK114+MAX(CL114,2*(J114/IF(CG114&gt;0,CG114,MAX(0.1,N(Cockpit!$I$6)))-CK114)),0)</f>
        <v>38</v>
      </c>
      <c r="AW114" s="51" t="n">
        <f aca="false">IF(AS114&gt;0,J114/AS114,-1)</f>
        <v>3.13061224489796</v>
      </c>
      <c r="AX114" s="51" t="n">
        <f aca="false">IF(AND(OR(CF114="L1",CF114="L23",CF114="LIFT"),AS114&gt;0),SUMIFS($AS$7:$AS$1843,$CF$7:$CF$1843,CF114,$AW$7:$AW$1843,"&gt;"&amp;AW114)+SUMIFS($AS$7:$AS$1843,$CF$7:$CF$1843,CF114,$AW$7:$AW$1843,AW114,$BW$7:$BW$1843,"&lt;="&amp;BW114),"")</f>
        <v>5750.01785714286</v>
      </c>
      <c r="AY114" s="58" t="n">
        <f aca="false">IF(AX114="",0,MAX(0,MIN(1,(IF(CF114="L1",Parameter!$H$5,IF(CF114="L23",Parameter!$H$6+Parameter!$H$7,Parameter!$H$5+Parameter!$H$6+Parameter!$H$7))-(AX114-AS114))/AS114)))</f>
        <v>1</v>
      </c>
      <c r="AZ114" s="50" t="n">
        <f aca="false">IF(LEFT(Cockpit!$O$5,1)="A",H114,IF(Parameter!$E$30="MAX-Bestand",IF(CH114=1,CI114,IF(LEFT(Cockpit!$O$5,1)="B",BF114,MAX(BF114,H114))),ROUNDUP(BD114,0)))</f>
        <v>20</v>
      </c>
      <c r="BA114" s="50" t="n">
        <f aca="false">IF(BZ114=1,0,ROUNDUP(AZ114/BY114,0))</f>
        <v>2</v>
      </c>
      <c r="BB114" s="52" t="n">
        <f aca="false">IF(CQ114&gt;0,CQ114*MAX(1,AZ114/X114),IF(BZ114=1,IF(AZ114&lt;=0,0,CD114*MAX(1,IF(H114&gt;0,AZ114/H114,1))),IF(R114&gt;0,BA114/R114,0))/MAX(0.1,N(Parameter!$M$21)))</f>
        <v>0.0769230769230769</v>
      </c>
      <c r="BC114" s="50" t="n">
        <f aca="false">BB114*CB114</f>
        <v>18.8461538461538</v>
      </c>
      <c r="BD114" s="51" t="n">
        <f aca="false">IF(LEFT(Cockpit!$O$5,1)="A",H114,IF(CH114=1,(CK114+CI114)/2,IF(LEFT(Cockpit!$O$5,1)="B",(CK114+BF114)/2,MAX((CK114+BF114)/2,H114))))</f>
        <v>19.5</v>
      </c>
      <c r="BE114" s="50" t="n">
        <f aca="false">BD114*G114</f>
        <v>2086.5</v>
      </c>
      <c r="BF114" s="50" t="n">
        <f aca="false">ROUNDUP(CK114+MAX(CL114,2*(J114/IF(CG114&gt;0,CG114,MAX(0.1,N(Cockpit!$O$6)))-CK114)),0)</f>
        <v>37</v>
      </c>
      <c r="BG114" s="51" t="n">
        <f aca="false">IF(BC114&gt;0,J114/BC114,-1)</f>
        <v>3.13061224489796</v>
      </c>
      <c r="BH114" s="51" t="n">
        <f aca="false">IF(AND(OR(CF114="L1",CF114="L23",CF114="LIFT"),BC114&gt;0),SUMIFS($BC$7:$BC$1843,$CF$7:$CF$1843,CF114,$BG$7:$BG$1843,"&gt;"&amp;BG114)+SUMIFS($BC$7:$BC$1843,$CF$7:$CF$1843,CF114,$BG$7:$BG$1843,BG114,$BW$7:$BW$1843,"&lt;="&amp;BW114),"")</f>
        <v>4713.28067765568</v>
      </c>
      <c r="BI114" s="58" t="n">
        <f aca="false">IF(BH114="",0,MAX(0,MIN(1,(IF(CF114="L1",Parameter!$H$5,IF(CF114="L23",Parameter!$H$6+Parameter!$H$7,Parameter!$H$5+Parameter!$H$6+Parameter!$H$7))-(BH114-BC114))/BC114)))</f>
        <v>1</v>
      </c>
      <c r="BJ114" s="48" t="str">
        <f aca="false">IF(AI114&lt;=0,"",IF(CF114="Aussen","Aussenlager",IF(CF114="-","Nicht im Lift",IF(AO114&gt;=1,"Lift",IF(AO114&lt;=0,"Aussenlager","teilweise")))))</f>
        <v>Lift</v>
      </c>
      <c r="BK114" s="48" t="str">
        <f aca="false">IF(AS114&lt;=0,"",IF(CF114="Aussen","Aussenlager",IF(CF114="-","Nicht im Lift",IF(AY114&gt;=1,"Lift",IF(AY114&lt;=0,"Aussenlager","teilweise")))))</f>
        <v>Lift</v>
      </c>
      <c r="BL114" s="48" t="str">
        <f aca="false">IF(BC114&lt;=0,"",IF(CF114="Aussen","Aussenlager",IF(CF114="-","Nicht im Lift",IF(BI114&gt;=1,"Lift",IF(BI114&lt;=0,"Aussenlager","teilweise")))))</f>
        <v>Lift</v>
      </c>
      <c r="BM114" s="48" t="str">
        <f aca="false">IF(A114="","",IF(BV114=1,"Neu; ","")&amp;IF(AND(BV114=0,BQ114&lt;0),"negativer Bestand (Export "&amp;BQ114&amp;"); ","")&amp;IF(J114&lt;=0,"Kein Verbrauch; ","")&amp;IF(CQ114&gt;0,"Lift "&amp;W114&amp;" lt. Liftbericht (Fach "&amp;X114&amp;" Stk); ",IF(CA114=1,"Gebinde geschätzt ("&amp;T114&amp;"); ",IF(BZ114=1,"Lose – Tablare geschätzt; ","")))&amp;IF(H114&gt;AV114,"Überbestand "&amp;ROUND(H114-AV114,0)&amp;" Stk / CHF "&amp;ROUND((H114-AV114)*G114,0)&amp;"; ","")&amp;IF(AND(CH114=1,CI114&lt;CJ114),"MAX &lt; MB+LG; ","")&amp;IF(AND(CP114&gt;0,CO114*10&gt;CP114),"zu hoch für Tablar; ","")&amp;IF(AND(BV114=0,OR(CH114=1,AA114&lt;&gt;"",U114&lt;&gt;"",V114&lt;&gt;"",AB114&lt;&gt;"")),"manuell übersteuert; ","")&amp;IF(AND(BZ114=0,R114=0),"Gebinde unbekannt / Stellmass fehlt; ","")&amp;IF(AND(BZ114=0,N(V114)&lt;=0,N(Q114)&lt;=0),"Menge pro Gebinde fehlt (Ist = 1 Gebinde); ","")&amp;BU114)</f>
        <v/>
      </c>
      <c r="BN114" s="48"/>
      <c r="BO114" s="48"/>
      <c r="BP114" s="55"/>
      <c r="BQ114" s="50" t="n">
        <v>18</v>
      </c>
      <c r="BR114" s="50" t="n">
        <v>7</v>
      </c>
      <c r="BS114" s="49" t="n">
        <v>1926</v>
      </c>
      <c r="BT114" s="50" t="n">
        <v>59</v>
      </c>
      <c r="BU114" s="48"/>
      <c r="BV114" s="53" t="n">
        <v>0</v>
      </c>
      <c r="BW114" s="53" t="n">
        <v>114</v>
      </c>
      <c r="BX114" s="48" t="str">
        <f aca="false">IF(U114&lt;&gt;"",UPPER(TRIM(U114)),IF(CA114=1,UPPER(VLOOKUP(T114,Parameter!$I$27:$K$29,2,0)),IF(P114="","LOSE",P114)))</f>
        <v>S52</v>
      </c>
      <c r="BY114" s="50" t="n">
        <f aca="false">IF(BX114="LOSE",1,IF(N(V114)&gt;0,V114,IF(CA114=1,MAX(1,N(VLOOKUP(T114,Parameter!$I$27:$K$29,3,0)),H114,N(N114)),IF(N(Q114)&gt;0,Q114,MAX(1,H114)))))</f>
        <v>18</v>
      </c>
      <c r="BZ114" s="53" t="n">
        <f aca="false">IF(BX114="LOSE",1,0)</f>
        <v>0</v>
      </c>
      <c r="CA114" s="53" t="n">
        <f aca="false">IF(AND(U114="",OR(P114="",P114="LOSE"),T114&lt;&gt;"",N(S114)&lt;=0,ISNUMBER(MATCH(T114,Parameter!$I$27:$I$29,0))),1,0)</f>
        <v>0</v>
      </c>
      <c r="CB114" s="53" t="n">
        <f aca="false">IF(CQ114&gt;0,INDEX(Parameter!$H$5:$H$7,W114)/INDEX(Parameter!$E$5:$E$7,W114),IF(AND(BZ114=0,N(IFERROR(VLOOKUP(BX114,'Gebinde-Kategorie'!$A$5:$N$45,14,0),0))&gt;0),VLOOKUP(BX114,'Gebinde-Kategorie'!$A$5:$N$45,14,0)*10+Parameter!$M$23,Parameter!$M$24))</f>
        <v>245</v>
      </c>
      <c r="CC114" s="48" t="str">
        <f aca="false">IF(AND(Parameter!$B$19="Ja",E114&lt;&gt;"",ISNUMBER(MATCH(E114,Parameter!$I$35:$I$52,0))),VLOOKUP(E114,Parameter!$I$35:$J$52,2,0),IFERROR(VLOOKUP(D114,Parameter!$A$35:$C$64,2,0),"Nein"))</f>
        <v>2+3</v>
      </c>
      <c r="CD114" s="52" t="n">
        <f aca="false">IF(BZ114=0,0,IF(N(S114)&gt;0,S114,IFERROR(VLOOKUP(D114,Parameter!$A$35:$C$64,3,0)+0,0)))</f>
        <v>0</v>
      </c>
      <c r="CE114" s="48" t="n">
        <f aca="false">IF(AA114&lt;&gt;"",AA114,Z114)</f>
        <v>3</v>
      </c>
      <c r="CF114" s="48" t="str">
        <f aca="false">IF(OR(CE114=1,CE114=2,CE114=3),IF(Parameter!$E$27="Ja","LIFT",IF(CE114=1,"L1","L23")),IF(CE114="Aussen","Aussen","-"))</f>
        <v>LIFT</v>
      </c>
      <c r="CG114" s="59" t="n">
        <f aca="false">IF(N(AB114)&gt;0,AB114,0)</f>
        <v>0</v>
      </c>
      <c r="CH114" s="53" t="n">
        <f aca="false">IF(ISNUMBER(AE114),1,0)</f>
        <v>0</v>
      </c>
      <c r="CI114" s="50" t="n">
        <f aca="false">N(AE114)</f>
        <v>0</v>
      </c>
      <c r="CJ114" s="50" t="n">
        <f aca="false">N(M114)+N(N114)</f>
        <v>37</v>
      </c>
      <c r="CK114" s="50" t="n">
        <f aca="false">N(M114)</f>
        <v>2</v>
      </c>
      <c r="CL114" s="50" t="n">
        <f aca="false">N(N114)</f>
        <v>35</v>
      </c>
      <c r="CM114" s="50" t="n">
        <f aca="false">ROUNDUP(H114/BY114,0)</f>
        <v>2</v>
      </c>
      <c r="CN114" s="50" t="n">
        <f aca="false">ROUNDUP(CI114/BY114,0)</f>
        <v>0</v>
      </c>
      <c r="CO114" s="53" t="n">
        <f aca="false">IF(BZ114=1,0,IFERROR(VLOOKUP(BX114,'Gebinde-Kategorie'!$A$5:$N$45,5,0)+0,0))</f>
        <v>21</v>
      </c>
      <c r="CP114" s="53" t="n">
        <f aca="false">IFERROR(IF(OR(CE114=1,CE114=2,CE114=3),N(INDEX(Parameter!$I$5:$I$7,CE114)),0),0)</f>
        <v>0</v>
      </c>
      <c r="CQ114" s="52" t="n">
        <f aca="false">IF(AND(Parameter!$B$21="Ja",ISNUMBER(W114),N(X114)&gt;0),IFERROR(N(INDEX(Parameter!$L$5:$L$7,W114))*INDEX(Parameter!$E$5:$E$7,W114)*X114/SUMIFS($X$7:$X$1843,$W$7:$W$1843,W114),0),0)</f>
        <v>0</v>
      </c>
    </row>
    <row r="115" customFormat="false" ht="15" hidden="false" customHeight="false" outlineLevel="0" collapsed="false">
      <c r="A115" s="48" t="s">
        <v>450</v>
      </c>
      <c r="B115" s="48" t="s">
        <v>451</v>
      </c>
      <c r="C115" s="48" t="s">
        <v>173</v>
      </c>
      <c r="D115" s="48" t="s">
        <v>193</v>
      </c>
      <c r="E115" s="48" t="s">
        <v>194</v>
      </c>
      <c r="F115" s="48" t="s">
        <v>227</v>
      </c>
      <c r="G115" s="49" t="n">
        <v>13.66</v>
      </c>
      <c r="H115" s="50" t="n">
        <f aca="false">MAX(0,IF(AND(Parameter!$B$21="Ja",ISNUMBER(Y115)),Y115,IF(Parameter!$B$20="Jahresanfang 2025 + Export",BR115+BQ115,BQ115)))</f>
        <v>195.1</v>
      </c>
      <c r="I115" s="50" t="n">
        <f aca="false">H115*G115</f>
        <v>2665.066</v>
      </c>
      <c r="J115" s="50" t="n">
        <f aca="false">BT115*Parameter!$B$18</f>
        <v>447.2</v>
      </c>
      <c r="K115" s="51" t="n">
        <v>62.2</v>
      </c>
      <c r="L115" s="52" t="n">
        <v>7.18971061093248</v>
      </c>
      <c r="M115" s="50" t="n">
        <v>30</v>
      </c>
      <c r="N115" s="50" t="n">
        <v>265</v>
      </c>
      <c r="O115" s="53" t="n">
        <v>21</v>
      </c>
      <c r="P115" s="48" t="s">
        <v>235</v>
      </c>
      <c r="Q115" s="50" t="n">
        <v>91</v>
      </c>
      <c r="R115" s="53" t="n">
        <f aca="false">IF(BZ115=1,0,IFERROR(VLOOKUP(BX115,'Gebinde-Kategorie'!$A$5:$N$45,13,0)+0,0))</f>
        <v>12</v>
      </c>
      <c r="S115" s="54"/>
      <c r="T115" s="55"/>
      <c r="U115" s="55"/>
      <c r="V115" s="55"/>
      <c r="W115" s="48"/>
      <c r="X115" s="50"/>
      <c r="Y115" s="50"/>
      <c r="Z115" s="48" t="n">
        <f aca="false">IF(A115="","",IF(AND(Parameter!$B$21="Ja",ISNUMBER(W115)),W115,IF(CC115="2+3",IF(ISNUMBER(SEARCH("grosser Artikel",BU115)),2,IFERROR(VLOOKUP(BX115,Parameter!$F$35:$G$64,2,0),2)),IF(OR(CC115="Nein",CC115=""),"-",CC115))))</f>
        <v>2</v>
      </c>
      <c r="AA115" s="55"/>
      <c r="AB115" s="56"/>
      <c r="AC115" s="50" t="n">
        <f aca="false">AV115</f>
        <v>295</v>
      </c>
      <c r="AD115" s="50" t="n">
        <f aca="false">MAX(AV115,H115)</f>
        <v>295</v>
      </c>
      <c r="AE115" s="57"/>
      <c r="AF115" s="50" t="n">
        <f aca="false">IF(LEFT(Cockpit!$C$5,1)="A",H115,IF(Parameter!$E$30="MAX-Bestand",IF(CH115=1,CI115,IF(LEFT(Cockpit!$C$5,1)="B",AL115,MAX(AL115,H115))),ROUNDUP(AJ115,0)))</f>
        <v>195.1</v>
      </c>
      <c r="AG115" s="50" t="n">
        <f aca="false">IF(BZ115=1,0,ROUNDUP(AF115/BY115,0))</f>
        <v>3</v>
      </c>
      <c r="AH115" s="52" t="n">
        <f aca="false">IF(CQ115&gt;0,CQ115*MAX(1,AF115/X115),IF(BZ115=1,IF(AF115&lt;=0,0,CD115*MAX(1,IF(H115&gt;0,AF115/H115,1))),IF(R115&gt;0,AG115/R115,0))/MAX(0.1,N(Parameter!$M$21)))</f>
        <v>0.25</v>
      </c>
      <c r="AI115" s="50" t="n">
        <f aca="false">AH115*CB115</f>
        <v>86.25</v>
      </c>
      <c r="AJ115" s="51" t="n">
        <f aca="false">IF(LEFT(Cockpit!$C$5,1)="A",H115,IF(CH115=1,(CK115+CI115)/2,IF(LEFT(Cockpit!$C$5,1)="B",(CK115+AL115)/2,MAX((CK115+AL115)/2,H115))))</f>
        <v>195.1</v>
      </c>
      <c r="AK115" s="50" t="n">
        <f aca="false">AJ115*G115</f>
        <v>2665.066</v>
      </c>
      <c r="AL115" s="50" t="n">
        <f aca="false">ROUNDUP(CK115+MAX(CL115,2*(J115/IF(CG115&gt;0,CG115,MAX(0.1,N(Cockpit!$C$6)))-CK115)),0)</f>
        <v>295</v>
      </c>
      <c r="AM115" s="51" t="n">
        <f aca="false">IF(AI115&gt;0,J115/AI115,-1)</f>
        <v>5.18492753623188</v>
      </c>
      <c r="AN115" s="51" t="n">
        <f aca="false">IF(AND(OR(CF115="L1",CF115="L23",CF115="LIFT"),AI115&gt;0),SUMIFS($AI$7:$AI$1843,$CF$7:$CF$1843,CF115,$AM$7:$AM$1843,"&gt;"&amp;AM115)+SUMIFS($AI$7:$AI$1843,$CF$7:$CF$1843,CF115,$AM$7:$AM$1843,AM115,$BW$7:$BW$1843,"&lt;="&amp;BW115),"")</f>
        <v>3819.89331501832</v>
      </c>
      <c r="AO115" s="58" t="n">
        <f aca="false">IF(AN115="",0,MAX(0,MIN(1,(IF(CF115="L1",Parameter!$H$5,IF(CF115="L23",Parameter!$H$6+Parameter!$H$7,Parameter!$H$5+Parameter!$H$6+Parameter!$H$7))-(AN115-AI115))/AI115)))</f>
        <v>1</v>
      </c>
      <c r="AP115" s="50" t="n">
        <f aca="false">IF(LEFT(Cockpit!$I$5,1)="A",H115,IF(Parameter!$E$30="MAX-Bestand",IF(CH115=1,CI115,IF(LEFT(Cockpit!$I$5,1)="B",AV115,MAX(AV115,H115))),ROUNDUP(AT115,0)))</f>
        <v>196</v>
      </c>
      <c r="AQ115" s="50" t="n">
        <f aca="false">IF(BZ115=1,0,ROUNDUP(AP115/BY115,0))</f>
        <v>3</v>
      </c>
      <c r="AR115" s="52" t="n">
        <f aca="false">IF(CQ115&gt;0,CQ115*MAX(1,AP115/X115),IF(BZ115=1,IF(AP115&lt;=0,0,CD115*MAX(1,IF(H115&gt;0,AP115/H115,1))),IF(R115&gt;0,AQ115/R115,0))/MAX(0.1,N(Parameter!$M$21)))</f>
        <v>0.25</v>
      </c>
      <c r="AS115" s="50" t="n">
        <f aca="false">AR115*CB115</f>
        <v>86.25</v>
      </c>
      <c r="AT115" s="51" t="n">
        <f aca="false">IF(LEFT(Cockpit!$I$5,1)="A",H115,IF(CH115=1,(CK115+CI115)/2,IF(LEFT(Cockpit!$I$5,1)="B",(CK115+AV115)/2,MAX((CK115+AV115)/2,H115))))</f>
        <v>195.1</v>
      </c>
      <c r="AU115" s="50" t="n">
        <f aca="false">AT115*G115</f>
        <v>2665.066</v>
      </c>
      <c r="AV115" s="50" t="n">
        <f aca="false">ROUNDUP(CK115+MAX(CL115,2*(J115/IF(CG115&gt;0,CG115,MAX(0.1,N(Cockpit!$I$6)))-CK115)),0)</f>
        <v>295</v>
      </c>
      <c r="AW115" s="51" t="n">
        <f aca="false">IF(AS115&gt;0,J115/AS115,-1)</f>
        <v>5.18492753623188</v>
      </c>
      <c r="AX115" s="51" t="n">
        <f aca="false">IF(AND(OR(CF115="L1",CF115="L23",CF115="LIFT"),AS115&gt;0),SUMIFS($AS$7:$AS$1843,$CF$7:$CF$1843,CF115,$AW$7:$AW$1843,"&gt;"&amp;AW115)+SUMIFS($AS$7:$AS$1843,$CF$7:$CF$1843,CF115,$AW$7:$AW$1843,AW115,$BW$7:$BW$1843,"&lt;="&amp;BW115),"")</f>
        <v>4473.63415750916</v>
      </c>
      <c r="AY115" s="58" t="n">
        <f aca="false">IF(AX115="",0,MAX(0,MIN(1,(IF(CF115="L1",Parameter!$H$5,IF(CF115="L23",Parameter!$H$6+Parameter!$H$7,Parameter!$H$5+Parameter!$H$6+Parameter!$H$7))-(AX115-AS115))/AS115)))</f>
        <v>1</v>
      </c>
      <c r="AZ115" s="50" t="n">
        <f aca="false">IF(LEFT(Cockpit!$O$5,1)="A",H115,IF(Parameter!$E$30="MAX-Bestand",IF(CH115=1,CI115,IF(LEFT(Cockpit!$O$5,1)="B",BF115,MAX(BF115,H115))),ROUNDUP(BD115,0)))</f>
        <v>163</v>
      </c>
      <c r="BA115" s="50" t="n">
        <f aca="false">IF(BZ115=1,0,ROUNDUP(AZ115/BY115,0))</f>
        <v>2</v>
      </c>
      <c r="BB115" s="52" t="n">
        <f aca="false">IF(CQ115&gt;0,CQ115*MAX(1,AZ115/X115),IF(BZ115=1,IF(AZ115&lt;=0,0,CD115*MAX(1,IF(H115&gt;0,AZ115/H115,1))),IF(R115&gt;0,BA115/R115,0))/MAX(0.1,N(Parameter!$M$21)))</f>
        <v>0.166666666666667</v>
      </c>
      <c r="BC115" s="50" t="n">
        <f aca="false">BB115*CB115</f>
        <v>57.5</v>
      </c>
      <c r="BD115" s="51" t="n">
        <f aca="false">IF(LEFT(Cockpit!$O$5,1)="A",H115,IF(CH115=1,(CK115+CI115)/2,IF(LEFT(Cockpit!$O$5,1)="B",(CK115+BF115)/2,MAX((CK115+BF115)/2,H115))))</f>
        <v>162.5</v>
      </c>
      <c r="BE115" s="50" t="n">
        <f aca="false">BD115*G115</f>
        <v>2219.75</v>
      </c>
      <c r="BF115" s="50" t="n">
        <f aca="false">ROUNDUP(CK115+MAX(CL115,2*(J115/IF(CG115&gt;0,CG115,MAX(0.1,N(Cockpit!$O$6)))-CK115)),0)</f>
        <v>295</v>
      </c>
      <c r="BG115" s="51" t="n">
        <f aca="false">IF(BC115&gt;0,J115/BC115,-1)</f>
        <v>7.77739130434783</v>
      </c>
      <c r="BH115" s="51" t="n">
        <f aca="false">IF(AND(OR(CF115="L1",CF115="L23",CF115="LIFT"),BC115&gt;0),SUMIFS($BC$7:$BC$1843,$CF$7:$CF$1843,CF115,$BG$7:$BG$1843,"&gt;"&amp;BG115)+SUMIFS($BC$7:$BC$1843,$CF$7:$CF$1843,CF115,$BG$7:$BG$1843,BG115,$BW$7:$BW$1843,"&lt;="&amp;BW115),"")</f>
        <v>3141.12316849817</v>
      </c>
      <c r="BI115" s="58" t="n">
        <f aca="false">IF(BH115="",0,MAX(0,MIN(1,(IF(CF115="L1",Parameter!$H$5,IF(CF115="L23",Parameter!$H$6+Parameter!$H$7,Parameter!$H$5+Parameter!$H$6+Parameter!$H$7))-(BH115-BC115))/BC115)))</f>
        <v>1</v>
      </c>
      <c r="BJ115" s="48" t="str">
        <f aca="false">IF(AI115&lt;=0,"",IF(CF115="Aussen","Aussenlager",IF(CF115="-","Nicht im Lift",IF(AO115&gt;=1,"Lift",IF(AO115&lt;=0,"Aussenlager","teilweise")))))</f>
        <v>Lift</v>
      </c>
      <c r="BK115" s="48" t="str">
        <f aca="false">IF(AS115&lt;=0,"",IF(CF115="Aussen","Aussenlager",IF(CF115="-","Nicht im Lift",IF(AY115&gt;=1,"Lift",IF(AY115&lt;=0,"Aussenlager","teilweise")))))</f>
        <v>Lift</v>
      </c>
      <c r="BL115" s="48" t="str">
        <f aca="false">IF(BC115&lt;=0,"",IF(CF115="Aussen","Aussenlager",IF(CF115="-","Nicht im Lift",IF(BI115&gt;=1,"Lift",IF(BI115&lt;=0,"Aussenlager","teilweise")))))</f>
        <v>Lift</v>
      </c>
      <c r="BM115" s="48" t="str">
        <f aca="false">IF(A115="","",IF(BV115=1,"Neu; ","")&amp;IF(AND(BV115=0,BQ115&lt;0),"negativer Bestand (Export "&amp;BQ115&amp;"); ","")&amp;IF(J115&lt;=0,"Kein Verbrauch; ","")&amp;IF(CQ115&gt;0,"Lift "&amp;W115&amp;" lt. Liftbericht (Fach "&amp;X115&amp;" Stk); ",IF(CA115=1,"Gebinde geschätzt ("&amp;T115&amp;"); ",IF(BZ115=1,"Lose – Tablare geschätzt; ","")))&amp;IF(H115&gt;AV115,"Überbestand "&amp;ROUND(H115-AV115,0)&amp;" Stk / CHF "&amp;ROUND((H115-AV115)*G115,0)&amp;"; ","")&amp;IF(AND(CH115=1,CI115&lt;CJ115),"MAX &lt; MB+LG; ","")&amp;IF(AND(CP115&gt;0,CO115*10&gt;CP115),"zu hoch für Tablar; ","")&amp;IF(AND(BV115=0,OR(CH115=1,AA115&lt;&gt;"",U115&lt;&gt;"",V115&lt;&gt;"",AB115&lt;&gt;"")),"manuell übersteuert; ","")&amp;IF(AND(BZ115=0,R115=0),"Gebinde unbekannt / Stellmass fehlt; ","")&amp;IF(AND(BZ115=0,N(V115)&lt;=0,N(Q115)&lt;=0),"Menge pro Gebinde fehlt (Ist = 1 Gebinde); ","")&amp;BU115)</f>
        <v/>
      </c>
      <c r="BN115" s="48"/>
      <c r="BO115" s="48"/>
      <c r="BP115" s="55"/>
      <c r="BQ115" s="50" t="n">
        <v>147.8</v>
      </c>
      <c r="BR115" s="50" t="n">
        <v>47.3</v>
      </c>
      <c r="BS115" s="49" t="n">
        <v>1915.36</v>
      </c>
      <c r="BT115" s="50" t="n">
        <v>447.2</v>
      </c>
      <c r="BU115" s="48"/>
      <c r="BV115" s="53" t="n">
        <v>0</v>
      </c>
      <c r="BW115" s="53" t="n">
        <v>115</v>
      </c>
      <c r="BX115" s="48" t="str">
        <f aca="false">IF(U115&lt;&gt;"",UPPER(TRIM(U115)),IF(CA115=1,UPPER(VLOOKUP(T115,Parameter!$I$27:$K$29,2,0)),IF(P115="","LOSE",P115)))</f>
        <v>S63</v>
      </c>
      <c r="BY115" s="50" t="n">
        <f aca="false">IF(BX115="LOSE",1,IF(N(V115)&gt;0,V115,IF(CA115=1,MAX(1,N(VLOOKUP(T115,Parameter!$I$27:$K$29,3,0)),H115,N(N115)),IF(N(Q115)&gt;0,Q115,MAX(1,H115)))))</f>
        <v>91</v>
      </c>
      <c r="BZ115" s="53" t="n">
        <f aca="false">IF(BX115="LOSE",1,0)</f>
        <v>0</v>
      </c>
      <c r="CA115" s="53" t="n">
        <f aca="false">IF(AND(U115="",OR(P115="",P115="LOSE"),T115&lt;&gt;"",N(S115)&lt;=0,ISNUMBER(MATCH(T115,Parameter!$I$27:$I$29,0))),1,0)</f>
        <v>0</v>
      </c>
      <c r="CB115" s="53" t="n">
        <f aca="false">IF(CQ115&gt;0,INDEX(Parameter!$H$5:$H$7,W115)/INDEX(Parameter!$E$5:$E$7,W115),IF(AND(BZ115=0,N(IFERROR(VLOOKUP(BX115,'Gebinde-Kategorie'!$A$5:$N$45,14,0),0))&gt;0),VLOOKUP(BX115,'Gebinde-Kategorie'!$A$5:$N$45,14,0)*10+Parameter!$M$23,Parameter!$M$24))</f>
        <v>345</v>
      </c>
      <c r="CC115" s="48" t="str">
        <f aca="false">IF(AND(Parameter!$B$19="Ja",E115&lt;&gt;"",ISNUMBER(MATCH(E115,Parameter!$I$35:$I$52,0))),VLOOKUP(E115,Parameter!$I$35:$J$52,2,0),IFERROR(VLOOKUP(D115,Parameter!$A$35:$C$64,2,0),"Nein"))</f>
        <v>2+3</v>
      </c>
      <c r="CD115" s="52" t="n">
        <f aca="false">IF(BZ115=0,0,IF(N(S115)&gt;0,S115,IFERROR(VLOOKUP(D115,Parameter!$A$35:$C$64,3,0)+0,0)))</f>
        <v>0</v>
      </c>
      <c r="CE115" s="48" t="n">
        <f aca="false">IF(AA115&lt;&gt;"",AA115,Z115)</f>
        <v>2</v>
      </c>
      <c r="CF115" s="48" t="str">
        <f aca="false">IF(OR(CE115=1,CE115=2,CE115=3),IF(Parameter!$E$27="Ja","LIFT",IF(CE115=1,"L1","L23")),IF(CE115="Aussen","Aussen","-"))</f>
        <v>LIFT</v>
      </c>
      <c r="CG115" s="59" t="n">
        <f aca="false">IF(N(AB115)&gt;0,AB115,0)</f>
        <v>0</v>
      </c>
      <c r="CH115" s="53" t="n">
        <f aca="false">IF(ISNUMBER(AE115),1,0)</f>
        <v>0</v>
      </c>
      <c r="CI115" s="50" t="n">
        <f aca="false">N(AE115)</f>
        <v>0</v>
      </c>
      <c r="CJ115" s="50" t="n">
        <f aca="false">N(M115)+N(N115)</f>
        <v>295</v>
      </c>
      <c r="CK115" s="50" t="n">
        <f aca="false">N(M115)</f>
        <v>30</v>
      </c>
      <c r="CL115" s="50" t="n">
        <f aca="false">N(N115)</f>
        <v>265</v>
      </c>
      <c r="CM115" s="50" t="n">
        <f aca="false">ROUNDUP(H115/BY115,0)</f>
        <v>3</v>
      </c>
      <c r="CN115" s="50" t="n">
        <f aca="false">ROUNDUP(CI115/BY115,0)</f>
        <v>0</v>
      </c>
      <c r="CO115" s="53" t="n">
        <f aca="false">IF(BZ115=1,0,IFERROR(VLOOKUP(BX115,'Gebinde-Kategorie'!$A$5:$N$45,5,0)+0,0))</f>
        <v>31</v>
      </c>
      <c r="CP115" s="53" t="n">
        <f aca="false">IFERROR(IF(OR(CE115=1,CE115=2,CE115=3),N(INDEX(Parameter!$I$5:$I$7,CE115)),0),0)</f>
        <v>0</v>
      </c>
      <c r="CQ115" s="52" t="n">
        <f aca="false">IF(AND(Parameter!$B$21="Ja",ISNUMBER(W115),N(X115)&gt;0),IFERROR(N(INDEX(Parameter!$L$5:$L$7,W115))*INDEX(Parameter!$E$5:$E$7,W115)*X115/SUMIFS($X$7:$X$1843,$W$7:$W$1843,W115),0),0)</f>
        <v>0</v>
      </c>
    </row>
    <row r="116" customFormat="false" ht="15" hidden="false" customHeight="false" outlineLevel="0" collapsed="false">
      <c r="A116" s="48" t="s">
        <v>452</v>
      </c>
      <c r="B116" s="48" t="s">
        <v>383</v>
      </c>
      <c r="C116" s="48" t="s">
        <v>173</v>
      </c>
      <c r="D116" s="48" t="s">
        <v>193</v>
      </c>
      <c r="E116" s="48" t="s">
        <v>194</v>
      </c>
      <c r="F116" s="48" t="s">
        <v>227</v>
      </c>
      <c r="G116" s="49" t="n">
        <v>9.17</v>
      </c>
      <c r="H116" s="50" t="n">
        <f aca="false">MAX(0,IF(AND(Parameter!$B$21="Ja",ISNUMBER(Y116)),Y116,IF(Parameter!$B$20="Jahresanfang 2025 + Export",BR116+BQ116,BQ116)))</f>
        <v>266</v>
      </c>
      <c r="I116" s="50" t="n">
        <f aca="false">H116*G116</f>
        <v>2439.22</v>
      </c>
      <c r="J116" s="50" t="n">
        <f aca="false">BT116*Parameter!$B$18</f>
        <v>309</v>
      </c>
      <c r="K116" s="51" t="n">
        <v>66</v>
      </c>
      <c r="L116" s="52" t="n">
        <v>4.68181818181818</v>
      </c>
      <c r="M116" s="50" t="n">
        <v>30</v>
      </c>
      <c r="N116" s="50" t="n">
        <v>265</v>
      </c>
      <c r="O116" s="53" t="n">
        <v>30</v>
      </c>
      <c r="P116" s="48" t="s">
        <v>410</v>
      </c>
      <c r="Q116" s="50" t="n">
        <v>58</v>
      </c>
      <c r="R116" s="53" t="n">
        <f aca="false">IF(BZ116=1,0,IFERROR(VLOOKUP(BX116,'Gebinde-Kategorie'!$A$5:$N$45,13,0)+0,0))</f>
        <v>280</v>
      </c>
      <c r="S116" s="54"/>
      <c r="T116" s="55"/>
      <c r="U116" s="55"/>
      <c r="V116" s="55"/>
      <c r="W116" s="48"/>
      <c r="X116" s="50"/>
      <c r="Y116" s="50"/>
      <c r="Z116" s="48" t="n">
        <f aca="false">IF(A116="","",IF(AND(Parameter!$B$21="Ja",ISNUMBER(W116)),W116,IF(CC116="2+3",IF(ISNUMBER(SEARCH("grosser Artikel",BU116)),2,IFERROR(VLOOKUP(BX116,Parameter!$F$35:$G$64,2,0),2)),IF(OR(CC116="Nein",CC116=""),"-",CC116))))</f>
        <v>3</v>
      </c>
      <c r="AA116" s="55"/>
      <c r="AB116" s="56"/>
      <c r="AC116" s="50" t="n">
        <f aca="false">AV116</f>
        <v>295</v>
      </c>
      <c r="AD116" s="50" t="n">
        <f aca="false">MAX(AV116,H116)</f>
        <v>295</v>
      </c>
      <c r="AE116" s="57"/>
      <c r="AF116" s="50" t="n">
        <f aca="false">IF(LEFT(Cockpit!$C$5,1)="A",H116,IF(Parameter!$E$30="MAX-Bestand",IF(CH116=1,CI116,IF(LEFT(Cockpit!$C$5,1)="B",AL116,MAX(AL116,H116))),ROUNDUP(AJ116,0)))</f>
        <v>266</v>
      </c>
      <c r="AG116" s="50" t="n">
        <f aca="false">IF(BZ116=1,0,ROUNDUP(AF116/BY116,0))</f>
        <v>5</v>
      </c>
      <c r="AH116" s="52" t="n">
        <f aca="false">IF(CQ116&gt;0,CQ116*MAX(1,AF116/X116),IF(BZ116=1,IF(AF116&lt;=0,0,CD116*MAX(1,IF(H116&gt;0,AF116/H116,1))),IF(R116&gt;0,AG116/R116,0))/MAX(0.1,N(Parameter!$M$21)))</f>
        <v>0.0178571428571429</v>
      </c>
      <c r="AI116" s="50" t="n">
        <f aca="false">AH116*CB116</f>
        <v>2.76785714285714</v>
      </c>
      <c r="AJ116" s="51" t="n">
        <f aca="false">IF(LEFT(Cockpit!$C$5,1)="A",H116,IF(CH116=1,(CK116+CI116)/2,IF(LEFT(Cockpit!$C$5,1)="B",(CK116+AL116)/2,MAX((CK116+AL116)/2,H116))))</f>
        <v>266</v>
      </c>
      <c r="AK116" s="50" t="n">
        <f aca="false">AJ116*G116</f>
        <v>2439.22</v>
      </c>
      <c r="AL116" s="50" t="n">
        <f aca="false">ROUNDUP(CK116+MAX(CL116,2*(J116/IF(CG116&gt;0,CG116,MAX(0.1,N(Cockpit!$C$6)))-CK116)),0)</f>
        <v>295</v>
      </c>
      <c r="AM116" s="51" t="n">
        <f aca="false">IF(AI116&gt;0,J116/AI116,-1)</f>
        <v>111.638709677419</v>
      </c>
      <c r="AN116" s="51" t="n">
        <f aca="false">IF(AND(OR(CF116="L1",CF116="L23",CF116="LIFT"),AI116&gt;0),SUMIFS($AI$7:$AI$1843,$CF$7:$CF$1843,CF116,$AM$7:$AM$1843,"&gt;"&amp;AM116)+SUMIFS($AI$7:$AI$1843,$CF$7:$CF$1843,CF116,$AM$7:$AM$1843,AM116,$BW$7:$BW$1843,"&lt;="&amp;BW116),"")</f>
        <v>749.580586080586</v>
      </c>
      <c r="AO116" s="58" t="n">
        <f aca="false">IF(AN116="",0,MAX(0,MIN(1,(IF(CF116="L1",Parameter!$H$5,IF(CF116="L23",Parameter!$H$6+Parameter!$H$7,Parameter!$H$5+Parameter!$H$6+Parameter!$H$7))-(AN116-AI116))/AI116)))</f>
        <v>1</v>
      </c>
      <c r="AP116" s="50" t="n">
        <f aca="false">IF(LEFT(Cockpit!$I$5,1)="A",H116,IF(Parameter!$E$30="MAX-Bestand",IF(CH116=1,CI116,IF(LEFT(Cockpit!$I$5,1)="B",AV116,MAX(AV116,H116))),ROUNDUP(AT116,0)))</f>
        <v>266</v>
      </c>
      <c r="AQ116" s="50" t="n">
        <f aca="false">IF(BZ116=1,0,ROUNDUP(AP116/BY116,0))</f>
        <v>5</v>
      </c>
      <c r="AR116" s="52" t="n">
        <f aca="false">IF(CQ116&gt;0,CQ116*MAX(1,AP116/X116),IF(BZ116=1,IF(AP116&lt;=0,0,CD116*MAX(1,IF(H116&gt;0,AP116/H116,1))),IF(R116&gt;0,AQ116/R116,0))/MAX(0.1,N(Parameter!$M$21)))</f>
        <v>0.0178571428571429</v>
      </c>
      <c r="AS116" s="50" t="n">
        <f aca="false">AR116*CB116</f>
        <v>2.76785714285714</v>
      </c>
      <c r="AT116" s="51" t="n">
        <f aca="false">IF(LEFT(Cockpit!$I$5,1)="A",H116,IF(CH116=1,(CK116+CI116)/2,IF(LEFT(Cockpit!$I$5,1)="B",(CK116+AV116)/2,MAX((CK116+AV116)/2,H116))))</f>
        <v>266</v>
      </c>
      <c r="AU116" s="50" t="n">
        <f aca="false">AT116*G116</f>
        <v>2439.22</v>
      </c>
      <c r="AV116" s="50" t="n">
        <f aca="false">ROUNDUP(CK116+MAX(CL116,2*(J116/IF(CG116&gt;0,CG116,MAX(0.1,N(Cockpit!$I$6)))-CK116)),0)</f>
        <v>295</v>
      </c>
      <c r="AW116" s="51" t="n">
        <f aca="false">IF(AS116&gt;0,J116/AS116,-1)</f>
        <v>111.638709677419</v>
      </c>
      <c r="AX116" s="51" t="n">
        <f aca="false">IF(AND(OR(CF116="L1",CF116="L23",CF116="LIFT"),AS116&gt;0),SUMIFS($AS$7:$AS$1843,$CF$7:$CF$1843,CF116,$AW$7:$AW$1843,"&gt;"&amp;AW116)+SUMIFS($AS$7:$AS$1843,$CF$7:$CF$1843,CF116,$AW$7:$AW$1843,AW116,$BW$7:$BW$1843,"&lt;="&amp;BW116),"")</f>
        <v>824.303571428571</v>
      </c>
      <c r="AY116" s="58" t="n">
        <f aca="false">IF(AX116="",0,MAX(0,MIN(1,(IF(CF116="L1",Parameter!$H$5,IF(CF116="L23",Parameter!$H$6+Parameter!$H$7,Parameter!$H$5+Parameter!$H$6+Parameter!$H$7))-(AX116-AS116))/AS116)))</f>
        <v>1</v>
      </c>
      <c r="AZ116" s="50" t="n">
        <f aca="false">IF(LEFT(Cockpit!$O$5,1)="A",H116,IF(Parameter!$E$30="MAX-Bestand",IF(CH116=1,CI116,IF(LEFT(Cockpit!$O$5,1)="B",BF116,MAX(BF116,H116))),ROUNDUP(BD116,0)))</f>
        <v>163</v>
      </c>
      <c r="BA116" s="50" t="n">
        <f aca="false">IF(BZ116=1,0,ROUNDUP(AZ116/BY116,0))</f>
        <v>3</v>
      </c>
      <c r="BB116" s="52" t="n">
        <f aca="false">IF(CQ116&gt;0,CQ116*MAX(1,AZ116/X116),IF(BZ116=1,IF(AZ116&lt;=0,0,CD116*MAX(1,IF(H116&gt;0,AZ116/H116,1))),IF(R116&gt;0,BA116/R116,0))/MAX(0.1,N(Parameter!$M$21)))</f>
        <v>0.0107142857142857</v>
      </c>
      <c r="BC116" s="50" t="n">
        <f aca="false">BB116*CB116</f>
        <v>1.66071428571429</v>
      </c>
      <c r="BD116" s="51" t="n">
        <f aca="false">IF(LEFT(Cockpit!$O$5,1)="A",H116,IF(CH116=1,(CK116+CI116)/2,IF(LEFT(Cockpit!$O$5,1)="B",(CK116+BF116)/2,MAX((CK116+BF116)/2,H116))))</f>
        <v>162.5</v>
      </c>
      <c r="BE116" s="50" t="n">
        <f aca="false">BD116*G116</f>
        <v>1490.125</v>
      </c>
      <c r="BF116" s="50" t="n">
        <f aca="false">ROUNDUP(CK116+MAX(CL116,2*(J116/IF(CG116&gt;0,CG116,MAX(0.1,N(Cockpit!$O$6)))-CK116)),0)</f>
        <v>295</v>
      </c>
      <c r="BG116" s="51" t="n">
        <f aca="false">IF(BC116&gt;0,J116/BC116,-1)</f>
        <v>186.064516129032</v>
      </c>
      <c r="BH116" s="51" t="n">
        <f aca="false">IF(AND(OR(CF116="L1",CF116="L23",CF116="LIFT"),BC116&gt;0),SUMIFS($BC$7:$BC$1843,$CF$7:$CF$1843,CF116,$BG$7:$BG$1843,"&gt;"&amp;BG116)+SUMIFS($BC$7:$BC$1843,$CF$7:$CF$1843,CF116,$BG$7:$BG$1843,BG116,$BW$7:$BW$1843,"&lt;="&amp;BW116),"")</f>
        <v>493.20467032967</v>
      </c>
      <c r="BI116" s="58" t="n">
        <f aca="false">IF(BH116="",0,MAX(0,MIN(1,(IF(CF116="L1",Parameter!$H$5,IF(CF116="L23",Parameter!$H$6+Parameter!$H$7,Parameter!$H$5+Parameter!$H$6+Parameter!$H$7))-(BH116-BC116))/BC116)))</f>
        <v>1</v>
      </c>
      <c r="BJ116" s="48" t="str">
        <f aca="false">IF(AI116&lt;=0,"",IF(CF116="Aussen","Aussenlager",IF(CF116="-","Nicht im Lift",IF(AO116&gt;=1,"Lift",IF(AO116&lt;=0,"Aussenlager","teilweise")))))</f>
        <v>Lift</v>
      </c>
      <c r="BK116" s="48" t="str">
        <f aca="false">IF(AS116&lt;=0,"",IF(CF116="Aussen","Aussenlager",IF(CF116="-","Nicht im Lift",IF(AY116&gt;=1,"Lift",IF(AY116&lt;=0,"Aussenlager","teilweise")))))</f>
        <v>Lift</v>
      </c>
      <c r="BL116" s="48" t="str">
        <f aca="false">IF(BC116&lt;=0,"",IF(CF116="Aussen","Aussenlager",IF(CF116="-","Nicht im Lift",IF(BI116&gt;=1,"Lift",IF(BI116&lt;=0,"Aussenlager","teilweise")))))</f>
        <v>Lift</v>
      </c>
      <c r="BM116" s="48" t="str">
        <f aca="false">IF(A116="","",IF(BV116=1,"Neu; ","")&amp;IF(AND(BV116=0,BQ116&lt;0),"negativer Bestand (Export "&amp;BQ116&amp;"); ","")&amp;IF(J116&lt;=0,"Kein Verbrauch; ","")&amp;IF(CQ116&gt;0,"Lift "&amp;W116&amp;" lt. Liftbericht (Fach "&amp;X116&amp;" Stk); ",IF(CA116=1,"Gebinde geschätzt ("&amp;T116&amp;"); ",IF(BZ116=1,"Lose – Tablare geschätzt; ","")))&amp;IF(H116&gt;AV116,"Überbestand "&amp;ROUND(H116-AV116,0)&amp;" Stk / CHF "&amp;ROUND((H116-AV116)*G116,0)&amp;"; ","")&amp;IF(AND(CH116=1,CI116&lt;CJ116),"MAX &lt; MB+LG; ","")&amp;IF(AND(CP116&gt;0,CO116*10&gt;CP116),"zu hoch für Tablar; ","")&amp;IF(AND(BV116=0,OR(CH116=1,AA116&lt;&gt;"",U116&lt;&gt;"",V116&lt;&gt;"",AB116&lt;&gt;"")),"manuell übersteuert; ","")&amp;IF(AND(BZ116=0,R116=0),"Gebinde unbekannt / Stellmass fehlt; ","")&amp;IF(AND(BZ116=0,N(V116)&lt;=0,N(Q116)&lt;=0),"Menge pro Gebinde fehlt (Ist = 1 Gebinde); ","")&amp;BU116)</f>
        <v/>
      </c>
      <c r="BN116" s="48"/>
      <c r="BO116" s="48"/>
      <c r="BP116" s="55"/>
      <c r="BQ116" s="50" t="n">
        <v>220</v>
      </c>
      <c r="BR116" s="50" t="n">
        <v>46</v>
      </c>
      <c r="BS116" s="49" t="n">
        <v>1914.82</v>
      </c>
      <c r="BT116" s="50" t="n">
        <v>309</v>
      </c>
      <c r="BU116" s="48"/>
      <c r="BV116" s="53" t="n">
        <v>0</v>
      </c>
      <c r="BW116" s="53" t="n">
        <v>116</v>
      </c>
      <c r="BX116" s="48" t="str">
        <f aca="false">IF(U116&lt;&gt;"",UPPER(TRIM(U116)),IF(CA116=1,UPPER(VLOOKUP(T116,Parameter!$I$27:$K$29,2,0)),IF(P116="","LOSE",P116)))</f>
        <v>S21</v>
      </c>
      <c r="BY116" s="50" t="n">
        <f aca="false">IF(BX116="LOSE",1,IF(N(V116)&gt;0,V116,IF(CA116=1,MAX(1,N(VLOOKUP(T116,Parameter!$I$27:$K$29,3,0)),H116,N(N116)),IF(N(Q116)&gt;0,Q116,MAX(1,H116)))))</f>
        <v>58</v>
      </c>
      <c r="BZ116" s="53" t="n">
        <f aca="false">IF(BX116="LOSE",1,0)</f>
        <v>0</v>
      </c>
      <c r="CA116" s="53" t="n">
        <f aca="false">IF(AND(U116="",OR(P116="",P116="LOSE"),T116&lt;&gt;"",N(S116)&lt;=0,ISNUMBER(MATCH(T116,Parameter!$I$27:$I$29,0))),1,0)</f>
        <v>0</v>
      </c>
      <c r="CB116" s="53" t="n">
        <f aca="false">IF(CQ116&gt;0,INDEX(Parameter!$H$5:$H$7,W116)/INDEX(Parameter!$E$5:$E$7,W116),IF(AND(BZ116=0,N(IFERROR(VLOOKUP(BX116,'Gebinde-Kategorie'!$A$5:$N$45,14,0),0))&gt;0),VLOOKUP(BX116,'Gebinde-Kategorie'!$A$5:$N$45,14,0)*10+Parameter!$M$23,Parameter!$M$24))</f>
        <v>155</v>
      </c>
      <c r="CC116" s="48" t="str">
        <f aca="false">IF(AND(Parameter!$B$19="Ja",E116&lt;&gt;"",ISNUMBER(MATCH(E116,Parameter!$I$35:$I$52,0))),VLOOKUP(E116,Parameter!$I$35:$J$52,2,0),IFERROR(VLOOKUP(D116,Parameter!$A$35:$C$64,2,0),"Nein"))</f>
        <v>2+3</v>
      </c>
      <c r="CD116" s="52" t="n">
        <f aca="false">IF(BZ116=0,0,IF(N(S116)&gt;0,S116,IFERROR(VLOOKUP(D116,Parameter!$A$35:$C$64,3,0)+0,0)))</f>
        <v>0</v>
      </c>
      <c r="CE116" s="48" t="n">
        <f aca="false">IF(AA116&lt;&gt;"",AA116,Z116)</f>
        <v>3</v>
      </c>
      <c r="CF116" s="48" t="str">
        <f aca="false">IF(OR(CE116=1,CE116=2,CE116=3),IF(Parameter!$E$27="Ja","LIFT",IF(CE116=1,"L1","L23")),IF(CE116="Aussen","Aussen","-"))</f>
        <v>LIFT</v>
      </c>
      <c r="CG116" s="59" t="n">
        <f aca="false">IF(N(AB116)&gt;0,AB116,0)</f>
        <v>0</v>
      </c>
      <c r="CH116" s="53" t="n">
        <f aca="false">IF(ISNUMBER(AE116),1,0)</f>
        <v>0</v>
      </c>
      <c r="CI116" s="50" t="n">
        <f aca="false">N(AE116)</f>
        <v>0</v>
      </c>
      <c r="CJ116" s="50" t="n">
        <f aca="false">N(M116)+N(N116)</f>
        <v>295</v>
      </c>
      <c r="CK116" s="50" t="n">
        <f aca="false">N(M116)</f>
        <v>30</v>
      </c>
      <c r="CL116" s="50" t="n">
        <f aca="false">N(N116)</f>
        <v>265</v>
      </c>
      <c r="CM116" s="50" t="n">
        <f aca="false">ROUNDUP(H116/BY116,0)</f>
        <v>5</v>
      </c>
      <c r="CN116" s="50" t="n">
        <f aca="false">ROUNDUP(CI116/BY116,0)</f>
        <v>0</v>
      </c>
      <c r="CO116" s="53" t="n">
        <f aca="false">IF(BZ116=1,0,IFERROR(VLOOKUP(BX116,'Gebinde-Kategorie'!$A$5:$N$45,5,0)+0,0))</f>
        <v>8</v>
      </c>
      <c r="CP116" s="53" t="n">
        <f aca="false">IFERROR(IF(OR(CE116=1,CE116=2,CE116=3),N(INDEX(Parameter!$I$5:$I$7,CE116)),0),0)</f>
        <v>0</v>
      </c>
      <c r="CQ116" s="52" t="n">
        <f aca="false">IF(AND(Parameter!$B$21="Ja",ISNUMBER(W116),N(X116)&gt;0),IFERROR(N(INDEX(Parameter!$L$5:$L$7,W116))*INDEX(Parameter!$E$5:$E$7,W116)*X116/SUMIFS($X$7:$X$1843,$W$7:$W$1843,W116),0),0)</f>
        <v>0</v>
      </c>
    </row>
    <row r="117" customFormat="false" ht="15" hidden="false" customHeight="false" outlineLevel="0" collapsed="false">
      <c r="A117" s="48" t="s">
        <v>453</v>
      </c>
      <c r="B117" s="48" t="s">
        <v>454</v>
      </c>
      <c r="C117" s="48" t="s">
        <v>173</v>
      </c>
      <c r="D117" s="48" t="s">
        <v>182</v>
      </c>
      <c r="E117" s="48"/>
      <c r="F117" s="48" t="s">
        <v>227</v>
      </c>
      <c r="G117" s="49" t="n">
        <v>127.1</v>
      </c>
      <c r="H117" s="50" t="n">
        <f aca="false">MAX(0,IF(AND(Parameter!$B$21="Ja",ISNUMBER(Y117)),Y117,IF(Parameter!$B$20="Jahresanfang 2025 + Export",BR117+BQ117,BQ117)))</f>
        <v>15</v>
      </c>
      <c r="I117" s="50" t="n">
        <f aca="false">H117*G117</f>
        <v>1906.5</v>
      </c>
      <c r="J117" s="50" t="n">
        <f aca="false">BT117*Parameter!$B$18</f>
        <v>0</v>
      </c>
      <c r="K117" s="51" t="n">
        <v>0</v>
      </c>
      <c r="L117" s="52" t="n">
        <v>0</v>
      </c>
      <c r="M117" s="50" t="n">
        <v>0</v>
      </c>
      <c r="N117" s="50" t="n">
        <v>1</v>
      </c>
      <c r="O117" s="53" t="n">
        <v>9999</v>
      </c>
      <c r="P117" s="48" t="s">
        <v>177</v>
      </c>
      <c r="Q117" s="50"/>
      <c r="R117" s="53" t="n">
        <f aca="false">IF(BZ117=1,0,IFERROR(VLOOKUP(BX117,'Gebinde-Kategorie'!$A$5:$N$45,13,0)+0,0))</f>
        <v>12</v>
      </c>
      <c r="S117" s="54"/>
      <c r="T117" s="55" t="s">
        <v>188</v>
      </c>
      <c r="U117" s="55"/>
      <c r="V117" s="55"/>
      <c r="W117" s="48"/>
      <c r="X117" s="50"/>
      <c r="Y117" s="50"/>
      <c r="Z117" s="48" t="n">
        <f aca="false">IF(A117="","",IF(AND(Parameter!$B$21="Ja",ISNUMBER(W117)),W117,IF(CC117="2+3",IF(ISNUMBER(SEARCH("grosser Artikel",BU117)),2,IFERROR(VLOOKUP(BX117,Parameter!$F$35:$G$64,2,0),2)),IF(OR(CC117="Nein",CC117=""),"-",CC117))))</f>
        <v>2</v>
      </c>
      <c r="AA117" s="55"/>
      <c r="AB117" s="56"/>
      <c r="AC117" s="50" t="n">
        <f aca="false">AV117</f>
        <v>1</v>
      </c>
      <c r="AD117" s="50" t="n">
        <f aca="false">MAX(AV117,H117)</f>
        <v>15</v>
      </c>
      <c r="AE117" s="57"/>
      <c r="AF117" s="50" t="n">
        <f aca="false">IF(LEFT(Cockpit!$C$5,1)="A",H117,IF(Parameter!$E$30="MAX-Bestand",IF(CH117=1,CI117,IF(LEFT(Cockpit!$C$5,1)="B",AL117,MAX(AL117,H117))),ROUNDUP(AJ117,0)))</f>
        <v>15</v>
      </c>
      <c r="AG117" s="50" t="n">
        <f aca="false">IF(BZ117=1,0,ROUNDUP(AF117/BY117,0))</f>
        <v>1</v>
      </c>
      <c r="AH117" s="52" t="n">
        <f aca="false">IF(CQ117&gt;0,CQ117*MAX(1,AF117/X117),IF(BZ117=1,IF(AF117&lt;=0,0,CD117*MAX(1,IF(H117&gt;0,AF117/H117,1))),IF(R117&gt;0,AG117/R117,0))/MAX(0.1,N(Parameter!$M$21)))</f>
        <v>0.0833333333333333</v>
      </c>
      <c r="AI117" s="50" t="n">
        <f aca="false">AH117*CB117</f>
        <v>12.0833333333333</v>
      </c>
      <c r="AJ117" s="51" t="n">
        <f aca="false">IF(LEFT(Cockpit!$C$5,1)="A",H117,IF(CH117=1,(CK117+CI117)/2,IF(LEFT(Cockpit!$C$5,1)="B",(CK117+AL117)/2,MAX((CK117+AL117)/2,H117))))</f>
        <v>15</v>
      </c>
      <c r="AK117" s="50" t="n">
        <f aca="false">AJ117*G117</f>
        <v>1906.5</v>
      </c>
      <c r="AL117" s="50" t="n">
        <f aca="false">ROUNDUP(CK117+MAX(CL117,2*(J117/IF(CG117&gt;0,CG117,MAX(0.1,N(Cockpit!$C$6)))-CK117)),0)</f>
        <v>1</v>
      </c>
      <c r="AM117" s="51" t="n">
        <f aca="false">IF(AI117&gt;0,J117/AI117,-1)</f>
        <v>0</v>
      </c>
      <c r="AN117" s="51" t="n">
        <f aca="false">IF(AND(OR(CF117="L1",CF117="L23",CF117="LIFT"),AI117&gt;0),SUMIFS($AI$7:$AI$1843,$CF$7:$CF$1843,CF117,$AM$7:$AM$1843,"&gt;"&amp;AM117)+SUMIFS($AI$7:$AI$1843,$CF$7:$CF$1843,CF117,$AM$7:$AM$1843,AM117,$BW$7:$BW$1843,"&lt;="&amp;BW117),"")</f>
        <v>27000.2632163035</v>
      </c>
      <c r="AO117" s="58" t="n">
        <f aca="false">IF(AN117="",0,MAX(0,MIN(1,(IF(CF117="L1",Parameter!$H$5,IF(CF117="L23",Parameter!$H$6+Parameter!$H$7,Parameter!$H$5+Parameter!$H$6+Parameter!$H$7))-(AN117-AI117))/AI117)))</f>
        <v>1</v>
      </c>
      <c r="AP117" s="50" t="n">
        <f aca="false">IF(LEFT(Cockpit!$I$5,1)="A",H117,IF(Parameter!$E$30="MAX-Bestand",IF(CH117=1,CI117,IF(LEFT(Cockpit!$I$5,1)="B",AV117,MAX(AV117,H117))),ROUNDUP(AT117,0)))</f>
        <v>15</v>
      </c>
      <c r="AQ117" s="50" t="n">
        <f aca="false">IF(BZ117=1,0,ROUNDUP(AP117/BY117,0))</f>
        <v>1</v>
      </c>
      <c r="AR117" s="52" t="n">
        <f aca="false">IF(CQ117&gt;0,CQ117*MAX(1,AP117/X117),IF(BZ117=1,IF(AP117&lt;=0,0,CD117*MAX(1,IF(H117&gt;0,AP117/H117,1))),IF(R117&gt;0,AQ117/R117,0))/MAX(0.1,N(Parameter!$M$21)))</f>
        <v>0.0833333333333333</v>
      </c>
      <c r="AS117" s="50" t="n">
        <f aca="false">AR117*CB117</f>
        <v>12.0833333333333</v>
      </c>
      <c r="AT117" s="51" t="n">
        <f aca="false">IF(LEFT(Cockpit!$I$5,1)="A",H117,IF(CH117=1,(CK117+CI117)/2,IF(LEFT(Cockpit!$I$5,1)="B",(CK117+AV117)/2,MAX((CK117+AV117)/2,H117))))</f>
        <v>15</v>
      </c>
      <c r="AU117" s="50" t="n">
        <f aca="false">AT117*G117</f>
        <v>1906.5</v>
      </c>
      <c r="AV117" s="50" t="n">
        <f aca="false">ROUNDUP(CK117+MAX(CL117,2*(J117/IF(CG117&gt;0,CG117,MAX(0.1,N(Cockpit!$I$6)))-CK117)),0)</f>
        <v>1</v>
      </c>
      <c r="AW117" s="51" t="n">
        <f aca="false">IF(AS117&gt;0,J117/AS117,-1)</f>
        <v>0</v>
      </c>
      <c r="AX117" s="51" t="n">
        <f aca="false">IF(AND(OR(CF117="L1",CF117="L23",CF117="LIFT"),AS117&gt;0),SUMIFS($AS$7:$AS$1843,$CF$7:$CF$1843,CF117,$AW$7:$AW$1843,"&gt;"&amp;AW117)+SUMIFS($AS$7:$AS$1843,$CF$7:$CF$1843,CF117,$AW$7:$AW$1843,AW117,$BW$7:$BW$1843,"&lt;="&amp;BW117),"")</f>
        <v>32353.4118576809</v>
      </c>
      <c r="AY117" s="58" t="n">
        <f aca="false">IF(AX117="",0,MAX(0,MIN(1,(IF(CF117="L1",Parameter!$H$5,IF(CF117="L23",Parameter!$H$6+Parameter!$H$7,Parameter!$H$5+Parameter!$H$6+Parameter!$H$7))-(AX117-AS117))/AS117)))</f>
        <v>1</v>
      </c>
      <c r="AZ117" s="50" t="n">
        <f aca="false">IF(LEFT(Cockpit!$O$5,1)="A",H117,IF(Parameter!$E$30="MAX-Bestand",IF(CH117=1,CI117,IF(LEFT(Cockpit!$O$5,1)="B",BF117,MAX(BF117,H117))),ROUNDUP(BD117,0)))</f>
        <v>1</v>
      </c>
      <c r="BA117" s="50" t="n">
        <f aca="false">IF(BZ117=1,0,ROUNDUP(AZ117/BY117,0))</f>
        <v>1</v>
      </c>
      <c r="BB117" s="52" t="n">
        <f aca="false">IF(CQ117&gt;0,CQ117*MAX(1,AZ117/X117),IF(BZ117=1,IF(AZ117&lt;=0,0,CD117*MAX(1,IF(H117&gt;0,AZ117/H117,1))),IF(R117&gt;0,BA117/R117,0))/MAX(0.1,N(Parameter!$M$21)))</f>
        <v>0.0833333333333333</v>
      </c>
      <c r="BC117" s="50" t="n">
        <f aca="false">BB117*CB117</f>
        <v>12.0833333333333</v>
      </c>
      <c r="BD117" s="51" t="n">
        <f aca="false">IF(LEFT(Cockpit!$O$5,1)="A",H117,IF(CH117=1,(CK117+CI117)/2,IF(LEFT(Cockpit!$O$5,1)="B",(CK117+BF117)/2,MAX((CK117+BF117)/2,H117))))</f>
        <v>0.5</v>
      </c>
      <c r="BE117" s="50" t="n">
        <f aca="false">BD117*G117</f>
        <v>63.55</v>
      </c>
      <c r="BF117" s="50" t="n">
        <f aca="false">ROUNDUP(CK117+MAX(CL117,2*(J117/IF(CG117&gt;0,CG117,MAX(0.1,N(Cockpit!$O$6)))-CK117)),0)</f>
        <v>1</v>
      </c>
      <c r="BG117" s="51" t="n">
        <f aca="false">IF(BC117&gt;0,J117/BC117,-1)</f>
        <v>0</v>
      </c>
      <c r="BH117" s="51" t="n">
        <f aca="false">IF(AND(OR(CF117="L1",CF117="L23",CF117="LIFT"),BC117&gt;0),SUMIFS($BC$7:$BC$1843,$CF$7:$CF$1843,CF117,$BG$7:$BG$1843,"&gt;"&amp;BG117)+SUMIFS($BC$7:$BC$1843,$CF$7:$CF$1843,CF117,$BG$7:$BG$1843,BG117,$BW$7:$BW$1843,"&lt;="&amp;BW117),"")</f>
        <v>26549.9937009789</v>
      </c>
      <c r="BI117" s="58" t="n">
        <f aca="false">IF(BH117="",0,MAX(0,MIN(1,(IF(CF117="L1",Parameter!$H$5,IF(CF117="L23",Parameter!$H$6+Parameter!$H$7,Parameter!$H$5+Parameter!$H$6+Parameter!$H$7))-(BH117-BC117))/BC117)))</f>
        <v>1</v>
      </c>
      <c r="BJ117" s="48" t="str">
        <f aca="false">IF(AI117&lt;=0,"",IF(CF117="Aussen","Aussenlager",IF(CF117="-","Nicht im Lift",IF(AO117&gt;=1,"Lift",IF(AO117&lt;=0,"Aussenlager","teilweise")))))</f>
        <v>Lift</v>
      </c>
      <c r="BK117" s="48" t="str">
        <f aca="false">IF(AS117&lt;=0,"",IF(CF117="Aussen","Aussenlager",IF(CF117="-","Nicht im Lift",IF(AY117&gt;=1,"Lift",IF(AY117&lt;=0,"Aussenlager","teilweise")))))</f>
        <v>Lift</v>
      </c>
      <c r="BL117" s="48" t="str">
        <f aca="false">IF(BC117&lt;=0,"",IF(CF117="Aussen","Aussenlager",IF(CF117="-","Nicht im Lift",IF(BI117&gt;=1,"Lift",IF(BI117&lt;=0,"Aussenlager","teilweise")))))</f>
        <v>Lift</v>
      </c>
      <c r="BM117" s="48" t="str">
        <f aca="false">IF(A117="","",IF(BV117=1,"Neu; ","")&amp;IF(AND(BV117=0,BQ117&lt;0),"negativer Bestand (Export "&amp;BQ117&amp;"); ","")&amp;IF(J117&lt;=0,"Kein Verbrauch; ","")&amp;IF(CQ117&gt;0,"Lift "&amp;W117&amp;" lt. Liftbericht (Fach "&amp;X117&amp;" Stk); ",IF(CA117=1,"Gebinde geschätzt ("&amp;T117&amp;"); ",IF(BZ117=1,"Lose – Tablare geschätzt; ","")))&amp;IF(H117&gt;AV117,"Überbestand "&amp;ROUND(H117-AV117,0)&amp;" Stk / CHF "&amp;ROUND((H117-AV117)*G117,0)&amp;"; ","")&amp;IF(AND(CH117=1,CI117&lt;CJ117),"MAX &lt; MB+LG; ","")&amp;IF(AND(CP117&gt;0,CO117*10&gt;CP117),"zu hoch für Tablar; ","")&amp;IF(AND(BV117=0,OR(CH117=1,AA117&lt;&gt;"",U117&lt;&gt;"",V117&lt;&gt;"",AB117&lt;&gt;"")),"manuell übersteuert; ","")&amp;IF(AND(BZ117=0,R117=0),"Gebinde unbekannt / Stellmass fehlt; ","")&amp;IF(AND(BZ117=0,N(V117)&lt;=0,N(Q117)&lt;=0),"Menge pro Gebinde fehlt (Ist = 1 Gebinde); ","")&amp;BU117)</f>
        <v>Kein Verbrauch; Gebinde geschätzt (Mittel); Überbestand 14 Stk / CHF 1779; Menge pro Gebinde fehlt (Ist = 1 Gebinde); </v>
      </c>
      <c r="BN117" s="48"/>
      <c r="BO117" s="48"/>
      <c r="BP117" s="55"/>
      <c r="BQ117" s="50" t="n">
        <v>15</v>
      </c>
      <c r="BR117" s="50" t="n">
        <v>0</v>
      </c>
      <c r="BS117" s="49" t="n">
        <v>1906.5</v>
      </c>
      <c r="BT117" s="50" t="n">
        <v>0</v>
      </c>
      <c r="BU117" s="48"/>
      <c r="BV117" s="53" t="n">
        <v>0</v>
      </c>
      <c r="BW117" s="53" t="n">
        <v>117</v>
      </c>
      <c r="BX117" s="48" t="str">
        <f aca="false">IF(U117&lt;&gt;"",UPPER(TRIM(U117)),IF(CA117=1,UPPER(VLOOKUP(T117,Parameter!$I$27:$K$29,2,0)),IF(P117="","LOSE",P117)))</f>
        <v>S61</v>
      </c>
      <c r="BY117" s="50" t="n">
        <f aca="false">IF(BX117="LOSE",1,IF(N(V117)&gt;0,V117,IF(CA117=1,MAX(1,N(VLOOKUP(T117,Parameter!$I$27:$K$29,3,0)),H117,N(N117)),IF(N(Q117)&gt;0,Q117,MAX(1,H117)))))</f>
        <v>15</v>
      </c>
      <c r="BZ117" s="53" t="n">
        <f aca="false">IF(BX117="LOSE",1,0)</f>
        <v>0</v>
      </c>
      <c r="CA117" s="53" t="n">
        <f aca="false">IF(AND(U117="",OR(P117="",P117="LOSE"),T117&lt;&gt;"",N(S117)&lt;=0,ISNUMBER(MATCH(T117,Parameter!$I$27:$I$29,0))),1,0)</f>
        <v>1</v>
      </c>
      <c r="CB117" s="53" t="n">
        <f aca="false">IF(CQ117&gt;0,INDEX(Parameter!$H$5:$H$7,W117)/INDEX(Parameter!$E$5:$E$7,W117),IF(AND(BZ117=0,N(IFERROR(VLOOKUP(BX117,'Gebinde-Kategorie'!$A$5:$N$45,14,0),0))&gt;0),VLOOKUP(BX117,'Gebinde-Kategorie'!$A$5:$N$45,14,0)*10+Parameter!$M$23,Parameter!$M$24))</f>
        <v>145</v>
      </c>
      <c r="CC117" s="48" t="str">
        <f aca="false">IF(AND(Parameter!$B$19="Ja",E117&lt;&gt;"",ISNUMBER(MATCH(E117,Parameter!$I$35:$I$52,0))),VLOOKUP(E117,Parameter!$I$35:$J$52,2,0),IFERROR(VLOOKUP(D117,Parameter!$A$35:$C$64,2,0),"Nein"))</f>
        <v>2+3</v>
      </c>
      <c r="CD117" s="52" t="n">
        <f aca="false">IF(BZ117=0,0,IF(N(S117)&gt;0,S117,IFERROR(VLOOKUP(D117,Parameter!$A$35:$C$64,3,0)+0,0)))</f>
        <v>0</v>
      </c>
      <c r="CE117" s="48" t="n">
        <f aca="false">IF(AA117&lt;&gt;"",AA117,Z117)</f>
        <v>2</v>
      </c>
      <c r="CF117" s="48" t="str">
        <f aca="false">IF(OR(CE117=1,CE117=2,CE117=3),IF(Parameter!$E$27="Ja","LIFT",IF(CE117=1,"L1","L23")),IF(CE117="Aussen","Aussen","-"))</f>
        <v>LIFT</v>
      </c>
      <c r="CG117" s="59" t="n">
        <f aca="false">IF(N(AB117)&gt;0,AB117,0)</f>
        <v>0</v>
      </c>
      <c r="CH117" s="53" t="n">
        <f aca="false">IF(ISNUMBER(AE117),1,0)</f>
        <v>0</v>
      </c>
      <c r="CI117" s="50" t="n">
        <f aca="false">N(AE117)</f>
        <v>0</v>
      </c>
      <c r="CJ117" s="50" t="n">
        <f aca="false">N(M117)+N(N117)</f>
        <v>1</v>
      </c>
      <c r="CK117" s="50" t="n">
        <f aca="false">N(M117)</f>
        <v>0</v>
      </c>
      <c r="CL117" s="50" t="n">
        <f aca="false">N(N117)</f>
        <v>1</v>
      </c>
      <c r="CM117" s="50" t="n">
        <f aca="false">ROUNDUP(H117/BY117,0)</f>
        <v>1</v>
      </c>
      <c r="CN117" s="50" t="n">
        <f aca="false">ROUNDUP(CI117/BY117,0)</f>
        <v>0</v>
      </c>
      <c r="CO117" s="53" t="n">
        <f aca="false">IF(BZ117=1,0,IFERROR(VLOOKUP(BX117,'Gebinde-Kategorie'!$A$5:$N$45,5,0)+0,0))</f>
        <v>11</v>
      </c>
      <c r="CP117" s="53" t="n">
        <f aca="false">IFERROR(IF(OR(CE117=1,CE117=2,CE117=3),N(INDEX(Parameter!$I$5:$I$7,CE117)),0),0)</f>
        <v>0</v>
      </c>
      <c r="CQ117" s="52" t="n">
        <f aca="false">IF(AND(Parameter!$B$21="Ja",ISNUMBER(W117),N(X117)&gt;0),IFERROR(N(INDEX(Parameter!$L$5:$L$7,W117))*INDEX(Parameter!$E$5:$E$7,W117)*X117/SUMIFS($X$7:$X$1843,$W$7:$W$1843,W117),0),0)</f>
        <v>0</v>
      </c>
    </row>
    <row r="118" customFormat="false" ht="15" hidden="false" customHeight="false" outlineLevel="0" collapsed="false">
      <c r="A118" s="48" t="s">
        <v>455</v>
      </c>
      <c r="B118" s="48" t="s">
        <v>456</v>
      </c>
      <c r="C118" s="48" t="s">
        <v>173</v>
      </c>
      <c r="D118" s="48" t="s">
        <v>193</v>
      </c>
      <c r="E118" s="48"/>
      <c r="F118" s="48" t="s">
        <v>227</v>
      </c>
      <c r="G118" s="49" t="n">
        <v>348.07</v>
      </c>
      <c r="H118" s="50" t="n">
        <f aca="false">MAX(0,IF(AND(Parameter!$B$21="Ja",ISNUMBER(Y118)),Y118,IF(Parameter!$B$20="Jahresanfang 2025 + Export",BR118+BQ118,BQ118)))</f>
        <v>17</v>
      </c>
      <c r="I118" s="50" t="n">
        <f aca="false">H118*G118</f>
        <v>5917.19</v>
      </c>
      <c r="J118" s="50" t="n">
        <f aca="false">BT118*Parameter!$B$18</f>
        <v>24</v>
      </c>
      <c r="K118" s="51" t="n">
        <v>10</v>
      </c>
      <c r="L118" s="52" t="n">
        <v>2.4</v>
      </c>
      <c r="M118" s="50" t="n">
        <v>2</v>
      </c>
      <c r="N118" s="50" t="n">
        <v>15</v>
      </c>
      <c r="O118" s="53" t="n">
        <v>42</v>
      </c>
      <c r="P118" s="48" t="s">
        <v>311</v>
      </c>
      <c r="Q118" s="50" t="n">
        <v>12</v>
      </c>
      <c r="R118" s="53" t="n">
        <f aca="false">IF(BZ118=1,0,IFERROR(VLOOKUP(BX118,'Gebinde-Kategorie'!$A$5:$N$45,13,0)+0,0))</f>
        <v>26</v>
      </c>
      <c r="S118" s="54"/>
      <c r="T118" s="55"/>
      <c r="U118" s="55"/>
      <c r="V118" s="55"/>
      <c r="W118" s="48"/>
      <c r="X118" s="50"/>
      <c r="Y118" s="50"/>
      <c r="Z118" s="48" t="n">
        <f aca="false">IF(A118="","",IF(AND(Parameter!$B$21="Ja",ISNUMBER(W118)),W118,IF(CC118="2+3",IF(ISNUMBER(SEARCH("grosser Artikel",BU118)),2,IFERROR(VLOOKUP(BX118,Parameter!$F$35:$G$64,2,0),2)),IF(OR(CC118="Nein",CC118=""),"-",CC118))))</f>
        <v>3</v>
      </c>
      <c r="AA118" s="55"/>
      <c r="AB118" s="56"/>
      <c r="AC118" s="50" t="n">
        <f aca="false">AV118</f>
        <v>17</v>
      </c>
      <c r="AD118" s="50" t="n">
        <f aca="false">MAX(AV118,H118)</f>
        <v>17</v>
      </c>
      <c r="AE118" s="57"/>
      <c r="AF118" s="50" t="n">
        <f aca="false">IF(LEFT(Cockpit!$C$5,1)="A",H118,IF(Parameter!$E$30="MAX-Bestand",IF(CH118=1,CI118,IF(LEFT(Cockpit!$C$5,1)="B",AL118,MAX(AL118,H118))),ROUNDUP(AJ118,0)))</f>
        <v>17</v>
      </c>
      <c r="AG118" s="50" t="n">
        <f aca="false">IF(BZ118=1,0,ROUNDUP(AF118/BY118,0))</f>
        <v>2</v>
      </c>
      <c r="AH118" s="52" t="n">
        <f aca="false">IF(CQ118&gt;0,CQ118*MAX(1,AF118/X118),IF(BZ118=1,IF(AF118&lt;=0,0,CD118*MAX(1,IF(H118&gt;0,AF118/H118,1))),IF(R118&gt;0,AG118/R118,0))/MAX(0.1,N(Parameter!$M$21)))</f>
        <v>0.0769230769230769</v>
      </c>
      <c r="AI118" s="50" t="n">
        <f aca="false">AH118*CB118</f>
        <v>11.9230769230769</v>
      </c>
      <c r="AJ118" s="51" t="n">
        <f aca="false">IF(LEFT(Cockpit!$C$5,1)="A",H118,IF(CH118=1,(CK118+CI118)/2,IF(LEFT(Cockpit!$C$5,1)="B",(CK118+AL118)/2,MAX((CK118+AL118)/2,H118))))</f>
        <v>17</v>
      </c>
      <c r="AK118" s="50" t="n">
        <f aca="false">AJ118*G118</f>
        <v>5917.19</v>
      </c>
      <c r="AL118" s="50" t="n">
        <f aca="false">ROUNDUP(CK118+MAX(CL118,2*(J118/IF(CG118&gt;0,CG118,MAX(0.1,N(Cockpit!$C$6)))-CK118)),0)</f>
        <v>17</v>
      </c>
      <c r="AM118" s="51" t="n">
        <f aca="false">IF(AI118&gt;0,J118/AI118,-1)</f>
        <v>2.01290322580645</v>
      </c>
      <c r="AN118" s="51" t="n">
        <f aca="false">IF(AND(OR(CF118="L1",CF118="L23",CF118="LIFT"),AI118&gt;0),SUMIFS($AI$7:$AI$1843,$CF$7:$CF$1843,CF118,$AM$7:$AM$1843,"&gt;"&amp;AM118)+SUMIFS($AI$7:$AI$1843,$CF$7:$CF$1843,CF118,$AM$7:$AM$1843,AM118,$BW$7:$BW$1843,"&lt;="&amp;BW118),"")</f>
        <v>5768.49404761905</v>
      </c>
      <c r="AO118" s="58" t="n">
        <f aca="false">IF(AN118="",0,MAX(0,MIN(1,(IF(CF118="L1",Parameter!$H$5,IF(CF118="L23",Parameter!$H$6+Parameter!$H$7,Parameter!$H$5+Parameter!$H$6+Parameter!$H$7))-(AN118-AI118))/AI118)))</f>
        <v>1</v>
      </c>
      <c r="AP118" s="50" t="n">
        <f aca="false">IF(LEFT(Cockpit!$I$5,1)="A",H118,IF(Parameter!$E$30="MAX-Bestand",IF(CH118=1,CI118,IF(LEFT(Cockpit!$I$5,1)="B",AV118,MAX(AV118,H118))),ROUNDUP(AT118,0)))</f>
        <v>17</v>
      </c>
      <c r="AQ118" s="50" t="n">
        <f aca="false">IF(BZ118=1,0,ROUNDUP(AP118/BY118,0))</f>
        <v>2</v>
      </c>
      <c r="AR118" s="52" t="n">
        <f aca="false">IF(CQ118&gt;0,CQ118*MAX(1,AP118/X118),IF(BZ118=1,IF(AP118&lt;=0,0,CD118*MAX(1,IF(H118&gt;0,AP118/H118,1))),IF(R118&gt;0,AQ118/R118,0))/MAX(0.1,N(Parameter!$M$21)))</f>
        <v>0.0769230769230769</v>
      </c>
      <c r="AS118" s="50" t="n">
        <f aca="false">AR118*CB118</f>
        <v>11.9230769230769</v>
      </c>
      <c r="AT118" s="51" t="n">
        <f aca="false">IF(LEFT(Cockpit!$I$5,1)="A",H118,IF(CH118=1,(CK118+CI118)/2,IF(LEFT(Cockpit!$I$5,1)="B",(CK118+AV118)/2,MAX((CK118+AV118)/2,H118))))</f>
        <v>17</v>
      </c>
      <c r="AU118" s="50" t="n">
        <f aca="false">AT118*G118</f>
        <v>5917.19</v>
      </c>
      <c r="AV118" s="50" t="n">
        <f aca="false">ROUNDUP(CK118+MAX(CL118,2*(J118/IF(CG118&gt;0,CG118,MAX(0.1,N(Cockpit!$I$6)))-CK118)),0)</f>
        <v>17</v>
      </c>
      <c r="AW118" s="51" t="n">
        <f aca="false">IF(AS118&gt;0,J118/AS118,-1)</f>
        <v>2.01290322580645</v>
      </c>
      <c r="AX118" s="51" t="n">
        <f aca="false">IF(AND(OR(CF118="L1",CF118="L23",CF118="LIFT"),AS118&gt;0),SUMIFS($AS$7:$AS$1843,$CF$7:$CF$1843,CF118,$AW$7:$AW$1843,"&gt;"&amp;AW118)+SUMIFS($AS$7:$AS$1843,$CF$7:$CF$1843,CF118,$AW$7:$AW$1843,AW118,$BW$7:$BW$1843,"&lt;="&amp;BW118),"")</f>
        <v>7136.43360805861</v>
      </c>
      <c r="AY118" s="58" t="n">
        <f aca="false">IF(AX118="",0,MAX(0,MIN(1,(IF(CF118="L1",Parameter!$H$5,IF(CF118="L23",Parameter!$H$6+Parameter!$H$7,Parameter!$H$5+Parameter!$H$6+Parameter!$H$7))-(AX118-AS118))/AS118)))</f>
        <v>1</v>
      </c>
      <c r="AZ118" s="50" t="n">
        <f aca="false">IF(LEFT(Cockpit!$O$5,1)="A",H118,IF(Parameter!$E$30="MAX-Bestand",IF(CH118=1,CI118,IF(LEFT(Cockpit!$O$5,1)="B",BF118,MAX(BF118,H118))),ROUNDUP(BD118,0)))</f>
        <v>10</v>
      </c>
      <c r="BA118" s="50" t="n">
        <f aca="false">IF(BZ118=1,0,ROUNDUP(AZ118/BY118,0))</f>
        <v>1</v>
      </c>
      <c r="BB118" s="52" t="n">
        <f aca="false">IF(CQ118&gt;0,CQ118*MAX(1,AZ118/X118),IF(BZ118=1,IF(AZ118&lt;=0,0,CD118*MAX(1,IF(H118&gt;0,AZ118/H118,1))),IF(R118&gt;0,BA118/R118,0))/MAX(0.1,N(Parameter!$M$21)))</f>
        <v>0.0384615384615385</v>
      </c>
      <c r="BC118" s="50" t="n">
        <f aca="false">BB118*CB118</f>
        <v>5.96153846153846</v>
      </c>
      <c r="BD118" s="51" t="n">
        <f aca="false">IF(LEFT(Cockpit!$O$5,1)="A",H118,IF(CH118=1,(CK118+CI118)/2,IF(LEFT(Cockpit!$O$5,1)="B",(CK118+BF118)/2,MAX((CK118+BF118)/2,H118))))</f>
        <v>9.5</v>
      </c>
      <c r="BE118" s="50" t="n">
        <f aca="false">BD118*G118</f>
        <v>3306.665</v>
      </c>
      <c r="BF118" s="50" t="n">
        <f aca="false">ROUNDUP(CK118+MAX(CL118,2*(J118/IF(CG118&gt;0,CG118,MAX(0.1,N(Cockpit!$O$6)))-CK118)),0)</f>
        <v>17</v>
      </c>
      <c r="BG118" s="51" t="n">
        <f aca="false">IF(BC118&gt;0,J118/BC118,-1)</f>
        <v>4.0258064516129</v>
      </c>
      <c r="BH118" s="51" t="n">
        <f aca="false">IF(AND(OR(CF118="L1",CF118="L23",CF118="LIFT"),BC118&gt;0),SUMIFS($BC$7:$BC$1843,$CF$7:$CF$1843,CF118,$BG$7:$BG$1843,"&gt;"&amp;BG118)+SUMIFS($BC$7:$BC$1843,$CF$7:$CF$1843,CF118,$BG$7:$BG$1843,BG118,$BW$7:$BW$1843,"&lt;="&amp;BW118),"")</f>
        <v>4042.03571428571</v>
      </c>
      <c r="BI118" s="58" t="n">
        <f aca="false">IF(BH118="",0,MAX(0,MIN(1,(IF(CF118="L1",Parameter!$H$5,IF(CF118="L23",Parameter!$H$6+Parameter!$H$7,Parameter!$H$5+Parameter!$H$6+Parameter!$H$7))-(BH118-BC118))/BC118)))</f>
        <v>1</v>
      </c>
      <c r="BJ118" s="48" t="str">
        <f aca="false">IF(AI118&lt;=0,"",IF(CF118="Aussen","Aussenlager",IF(CF118="-","Nicht im Lift",IF(AO118&gt;=1,"Lift",IF(AO118&lt;=0,"Aussenlager","teilweise")))))</f>
        <v>Lift</v>
      </c>
      <c r="BK118" s="48" t="str">
        <f aca="false">IF(AS118&lt;=0,"",IF(CF118="Aussen","Aussenlager",IF(CF118="-","Nicht im Lift",IF(AY118&gt;=1,"Lift",IF(AY118&lt;=0,"Aussenlager","teilweise")))))</f>
        <v>Lift</v>
      </c>
      <c r="BL118" s="48" t="str">
        <f aca="false">IF(BC118&lt;=0,"",IF(CF118="Aussen","Aussenlager",IF(CF118="-","Nicht im Lift",IF(BI118&gt;=1,"Lift",IF(BI118&lt;=0,"Aussenlager","teilweise")))))</f>
        <v>Lift</v>
      </c>
      <c r="BM118" s="48" t="str">
        <f aca="false">IF(A118="","",IF(BV118=1,"Neu; ","")&amp;IF(AND(BV118=0,BQ118&lt;0),"negativer Bestand (Export "&amp;BQ118&amp;"); ","")&amp;IF(J118&lt;=0,"Kein Verbrauch; ","")&amp;IF(CQ118&gt;0,"Lift "&amp;W118&amp;" lt. Liftbericht (Fach "&amp;X118&amp;" Stk); ",IF(CA118=1,"Gebinde geschätzt ("&amp;T118&amp;"); ",IF(BZ118=1,"Lose – Tablare geschätzt; ","")))&amp;IF(H118&gt;AV118,"Überbestand "&amp;ROUND(H118-AV118,0)&amp;" Stk / CHF "&amp;ROUND((H118-AV118)*G118,0)&amp;"; ","")&amp;IF(AND(CH118=1,CI118&lt;CJ118),"MAX &lt; MB+LG; ","")&amp;IF(AND(CP118&gt;0,CO118*10&gt;CP118),"zu hoch für Tablar; ","")&amp;IF(AND(BV118=0,OR(CH118=1,AA118&lt;&gt;"",U118&lt;&gt;"",V118&lt;&gt;"",AB118&lt;&gt;"")),"manuell übersteuert; ","")&amp;IF(AND(BZ118=0,R118=0),"Gebinde unbekannt / Stellmass fehlt; ","")&amp;IF(AND(BZ118=0,N(V118)&lt;=0,N(Q118)&lt;=0),"Menge pro Gebinde fehlt (Ist = 1 Gebinde); ","")&amp;BU118)</f>
        <v/>
      </c>
      <c r="BN118" s="48"/>
      <c r="BO118" s="48"/>
      <c r="BP118" s="55"/>
      <c r="BQ118" s="50" t="n">
        <v>5</v>
      </c>
      <c r="BR118" s="50" t="n">
        <v>12</v>
      </c>
      <c r="BS118" s="49" t="n">
        <v>1902.10999999999</v>
      </c>
      <c r="BT118" s="50" t="n">
        <v>24</v>
      </c>
      <c r="BU118" s="48"/>
      <c r="BV118" s="53" t="n">
        <v>0</v>
      </c>
      <c r="BW118" s="53" t="n">
        <v>118</v>
      </c>
      <c r="BX118" s="48" t="str">
        <f aca="false">IF(U118&lt;&gt;"",UPPER(TRIM(U118)),IF(CA118=1,UPPER(VLOOKUP(T118,Parameter!$I$27:$K$29,2,0)),IF(P118="","LOSE",P118)))</f>
        <v>S51</v>
      </c>
      <c r="BY118" s="50" t="n">
        <f aca="false">IF(BX118="LOSE",1,IF(N(V118)&gt;0,V118,IF(CA118=1,MAX(1,N(VLOOKUP(T118,Parameter!$I$27:$K$29,3,0)),H118,N(N118)),IF(N(Q118)&gt;0,Q118,MAX(1,H118)))))</f>
        <v>12</v>
      </c>
      <c r="BZ118" s="53" t="n">
        <f aca="false">IF(BX118="LOSE",1,0)</f>
        <v>0</v>
      </c>
      <c r="CA118" s="53" t="n">
        <f aca="false">IF(AND(U118="",OR(P118="",P118="LOSE"),T118&lt;&gt;"",N(S118)&lt;=0,ISNUMBER(MATCH(T118,Parameter!$I$27:$I$29,0))),1,0)</f>
        <v>0</v>
      </c>
      <c r="CB118" s="53" t="n">
        <f aca="false">IF(CQ118&gt;0,INDEX(Parameter!$H$5:$H$7,W118)/INDEX(Parameter!$E$5:$E$7,W118),IF(AND(BZ118=0,N(IFERROR(VLOOKUP(BX118,'Gebinde-Kategorie'!$A$5:$N$45,14,0),0))&gt;0),VLOOKUP(BX118,'Gebinde-Kategorie'!$A$5:$N$45,14,0)*10+Parameter!$M$23,Parameter!$M$24))</f>
        <v>155</v>
      </c>
      <c r="CC118" s="48" t="str">
        <f aca="false">IF(AND(Parameter!$B$19="Ja",E118&lt;&gt;"",ISNUMBER(MATCH(E118,Parameter!$I$35:$I$52,0))),VLOOKUP(E118,Parameter!$I$35:$J$52,2,0),IFERROR(VLOOKUP(D118,Parameter!$A$35:$C$64,2,0),"Nein"))</f>
        <v>2+3</v>
      </c>
      <c r="CD118" s="52" t="n">
        <f aca="false">IF(BZ118=0,0,IF(N(S118)&gt;0,S118,IFERROR(VLOOKUP(D118,Parameter!$A$35:$C$64,3,0)+0,0)))</f>
        <v>0</v>
      </c>
      <c r="CE118" s="48" t="n">
        <f aca="false">IF(AA118&lt;&gt;"",AA118,Z118)</f>
        <v>3</v>
      </c>
      <c r="CF118" s="48" t="str">
        <f aca="false">IF(OR(CE118=1,CE118=2,CE118=3),IF(Parameter!$E$27="Ja","LIFT",IF(CE118=1,"L1","L23")),IF(CE118="Aussen","Aussen","-"))</f>
        <v>LIFT</v>
      </c>
      <c r="CG118" s="59" t="n">
        <f aca="false">IF(N(AB118)&gt;0,AB118,0)</f>
        <v>0</v>
      </c>
      <c r="CH118" s="53" t="n">
        <f aca="false">IF(ISNUMBER(AE118),1,0)</f>
        <v>0</v>
      </c>
      <c r="CI118" s="50" t="n">
        <f aca="false">N(AE118)</f>
        <v>0</v>
      </c>
      <c r="CJ118" s="50" t="n">
        <f aca="false">N(M118)+N(N118)</f>
        <v>17</v>
      </c>
      <c r="CK118" s="50" t="n">
        <f aca="false">N(M118)</f>
        <v>2</v>
      </c>
      <c r="CL118" s="50" t="n">
        <f aca="false">N(N118)</f>
        <v>15</v>
      </c>
      <c r="CM118" s="50" t="n">
        <f aca="false">ROUNDUP(H118/BY118,0)</f>
        <v>2</v>
      </c>
      <c r="CN118" s="50" t="n">
        <f aca="false">ROUNDUP(CI118/BY118,0)</f>
        <v>0</v>
      </c>
      <c r="CO118" s="53" t="n">
        <f aca="false">IF(BZ118=1,0,IFERROR(VLOOKUP(BX118,'Gebinde-Kategorie'!$A$5:$N$45,5,0)+0,0))</f>
        <v>11</v>
      </c>
      <c r="CP118" s="53" t="n">
        <f aca="false">IFERROR(IF(OR(CE118=1,CE118=2,CE118=3),N(INDEX(Parameter!$I$5:$I$7,CE118)),0),0)</f>
        <v>0</v>
      </c>
      <c r="CQ118" s="52" t="n">
        <f aca="false">IF(AND(Parameter!$B$21="Ja",ISNUMBER(W118),N(X118)&gt;0),IFERROR(N(INDEX(Parameter!$L$5:$L$7,W118))*INDEX(Parameter!$E$5:$E$7,W118)*X118/SUMIFS($X$7:$X$1843,$W$7:$W$1843,W118),0),0)</f>
        <v>0</v>
      </c>
    </row>
    <row r="119" customFormat="false" ht="15" hidden="false" customHeight="false" outlineLevel="0" collapsed="false">
      <c r="A119" s="48" t="s">
        <v>457</v>
      </c>
      <c r="B119" s="48" t="s">
        <v>434</v>
      </c>
      <c r="C119" s="48" t="s">
        <v>173</v>
      </c>
      <c r="D119" s="48" t="s">
        <v>193</v>
      </c>
      <c r="E119" s="48" t="s">
        <v>194</v>
      </c>
      <c r="F119" s="48" t="s">
        <v>227</v>
      </c>
      <c r="G119" s="49" t="n">
        <v>41.62</v>
      </c>
      <c r="H119" s="50" t="n">
        <f aca="false">MAX(0,IF(AND(Parameter!$B$21="Ja",ISNUMBER(Y119)),Y119,IF(Parameter!$B$20="Jahresanfang 2025 + Export",BR119+BQ119,BQ119)))</f>
        <v>228</v>
      </c>
      <c r="I119" s="50" t="n">
        <f aca="false">H119*G119</f>
        <v>9489.36</v>
      </c>
      <c r="J119" s="50" t="n">
        <f aca="false">BT119*Parameter!$B$18</f>
        <v>1320</v>
      </c>
      <c r="K119" s="51" t="n">
        <v>220</v>
      </c>
      <c r="L119" s="52" t="n">
        <v>6</v>
      </c>
      <c r="M119" s="50" t="n">
        <v>77</v>
      </c>
      <c r="N119" s="50" t="n">
        <v>200</v>
      </c>
      <c r="O119" s="53" t="n">
        <v>21</v>
      </c>
      <c r="P119" s="48" t="s">
        <v>242</v>
      </c>
      <c r="Q119" s="50" t="n">
        <v>850</v>
      </c>
      <c r="R119" s="53" t="n">
        <f aca="false">IF(BZ119=1,0,IFERROR(VLOOKUP(BX119,'Gebinde-Kategorie'!$A$5:$N$45,13,0)+0,0))</f>
        <v>26</v>
      </c>
      <c r="S119" s="54"/>
      <c r="T119" s="55"/>
      <c r="U119" s="55"/>
      <c r="V119" s="55"/>
      <c r="W119" s="48"/>
      <c r="X119" s="50"/>
      <c r="Y119" s="50"/>
      <c r="Z119" s="48" t="n">
        <f aca="false">IF(A119="","",IF(AND(Parameter!$B$21="Ja",ISNUMBER(W119)),W119,IF(CC119="2+3",IF(ISNUMBER(SEARCH("grosser Artikel",BU119)),2,IFERROR(VLOOKUP(BX119,Parameter!$F$35:$G$64,2,0),2)),IF(OR(CC119="Nein",CC119=""),"-",CC119))))</f>
        <v>3</v>
      </c>
      <c r="AA119" s="55"/>
      <c r="AB119" s="56"/>
      <c r="AC119" s="50" t="n">
        <f aca="false">AV119</f>
        <v>803</v>
      </c>
      <c r="AD119" s="50" t="n">
        <f aca="false">MAX(AV119,H119)</f>
        <v>803</v>
      </c>
      <c r="AE119" s="57"/>
      <c r="AF119" s="50" t="n">
        <f aca="false">IF(LEFT(Cockpit!$C$5,1)="A",H119,IF(Parameter!$E$30="MAX-Bestand",IF(CH119=1,CI119,IF(LEFT(Cockpit!$C$5,1)="B",AL119,MAX(AL119,H119))),ROUNDUP(AJ119,0)))</f>
        <v>228</v>
      </c>
      <c r="AG119" s="50" t="n">
        <f aca="false">IF(BZ119=1,0,ROUNDUP(AF119/BY119,0))</f>
        <v>1</v>
      </c>
      <c r="AH119" s="52" t="n">
        <f aca="false">IF(CQ119&gt;0,CQ119*MAX(1,AF119/X119),IF(BZ119=1,IF(AF119&lt;=0,0,CD119*MAX(1,IF(H119&gt;0,AF119/H119,1))),IF(R119&gt;0,AG119/R119,0))/MAX(0.1,N(Parameter!$M$21)))</f>
        <v>0.0384615384615385</v>
      </c>
      <c r="AI119" s="50" t="n">
        <f aca="false">AH119*CB119</f>
        <v>9.42307692307692</v>
      </c>
      <c r="AJ119" s="51" t="n">
        <f aca="false">IF(LEFT(Cockpit!$C$5,1)="A",H119,IF(CH119=1,(CK119+CI119)/2,IF(LEFT(Cockpit!$C$5,1)="B",(CK119+AL119)/2,MAX((CK119+AL119)/2,H119))))</f>
        <v>228</v>
      </c>
      <c r="AK119" s="50" t="n">
        <f aca="false">AJ119*G119</f>
        <v>9489.36</v>
      </c>
      <c r="AL119" s="50" t="n">
        <f aca="false">ROUNDUP(CK119+MAX(CL119,2*(J119/IF(CG119&gt;0,CG119,MAX(0.1,N(Cockpit!$C$6)))-CK119)),0)</f>
        <v>803</v>
      </c>
      <c r="AM119" s="51" t="n">
        <f aca="false">IF(AI119&gt;0,J119/AI119,-1)</f>
        <v>140.081632653061</v>
      </c>
      <c r="AN119" s="51" t="n">
        <f aca="false">IF(AND(OR(CF119="L1",CF119="L23",CF119="LIFT"),AI119&gt;0),SUMIFS($AI$7:$AI$1843,$CF$7:$CF$1843,CF119,$AM$7:$AM$1843,"&gt;"&amp;AM119)+SUMIFS($AI$7:$AI$1843,$CF$7:$CF$1843,CF119,$AM$7:$AM$1843,AM119,$BW$7:$BW$1843,"&lt;="&amp;BW119),"")</f>
        <v>512.305402930403</v>
      </c>
      <c r="AO119" s="58" t="n">
        <f aca="false">IF(AN119="",0,MAX(0,MIN(1,(IF(CF119="L1",Parameter!$H$5,IF(CF119="L23",Parameter!$H$6+Parameter!$H$7,Parameter!$H$5+Parameter!$H$6+Parameter!$H$7))-(AN119-AI119))/AI119)))</f>
        <v>1</v>
      </c>
      <c r="AP119" s="50" t="n">
        <f aca="false">IF(LEFT(Cockpit!$I$5,1)="A",H119,IF(Parameter!$E$30="MAX-Bestand",IF(CH119=1,CI119,IF(LEFT(Cockpit!$I$5,1)="B",AV119,MAX(AV119,H119))),ROUNDUP(AT119,0)))</f>
        <v>440</v>
      </c>
      <c r="AQ119" s="50" t="n">
        <f aca="false">IF(BZ119=1,0,ROUNDUP(AP119/BY119,0))</f>
        <v>1</v>
      </c>
      <c r="AR119" s="52" t="n">
        <f aca="false">IF(CQ119&gt;0,CQ119*MAX(1,AP119/X119),IF(BZ119=1,IF(AP119&lt;=0,0,CD119*MAX(1,IF(H119&gt;0,AP119/H119,1))),IF(R119&gt;0,AQ119/R119,0))/MAX(0.1,N(Parameter!$M$21)))</f>
        <v>0.0384615384615385</v>
      </c>
      <c r="AS119" s="50" t="n">
        <f aca="false">AR119*CB119</f>
        <v>9.42307692307692</v>
      </c>
      <c r="AT119" s="51" t="n">
        <f aca="false">IF(LEFT(Cockpit!$I$5,1)="A",H119,IF(CH119=1,(CK119+CI119)/2,IF(LEFT(Cockpit!$I$5,1)="B",(CK119+AV119)/2,MAX((CK119+AV119)/2,H119))))</f>
        <v>440</v>
      </c>
      <c r="AU119" s="50" t="n">
        <f aca="false">AT119*G119</f>
        <v>18312.8</v>
      </c>
      <c r="AV119" s="50" t="n">
        <f aca="false">ROUNDUP(CK119+MAX(CL119,2*(J119/IF(CG119&gt;0,CG119,MAX(0.1,N(Cockpit!$I$6)))-CK119)),0)</f>
        <v>803</v>
      </c>
      <c r="AW119" s="51" t="n">
        <f aca="false">IF(AS119&gt;0,J119/AS119,-1)</f>
        <v>140.081632653061</v>
      </c>
      <c r="AX119" s="51" t="n">
        <f aca="false">IF(AND(OR(CF119="L1",CF119="L23",CF119="LIFT"),AS119&gt;0),SUMIFS($AS$7:$AS$1843,$CF$7:$CF$1843,CF119,$AW$7:$AW$1843,"&gt;"&amp;AW119)+SUMIFS($AS$7:$AS$1843,$CF$7:$CF$1843,CF119,$AW$7:$AW$1843,AW119,$BW$7:$BW$1843,"&lt;="&amp;BW119),"")</f>
        <v>629.942307692308</v>
      </c>
      <c r="AY119" s="58" t="n">
        <f aca="false">IF(AX119="",0,MAX(0,MIN(1,(IF(CF119="L1",Parameter!$H$5,IF(CF119="L23",Parameter!$H$6+Parameter!$H$7,Parameter!$H$5+Parameter!$H$6+Parameter!$H$7))-(AX119-AS119))/AS119)))</f>
        <v>1</v>
      </c>
      <c r="AZ119" s="50" t="n">
        <f aca="false">IF(LEFT(Cockpit!$O$5,1)="A",H119,IF(Parameter!$E$30="MAX-Bestand",IF(CH119=1,CI119,IF(LEFT(Cockpit!$O$5,1)="B",BF119,MAX(BF119,H119))),ROUNDUP(BD119,0)))</f>
        <v>330</v>
      </c>
      <c r="BA119" s="50" t="n">
        <f aca="false">IF(BZ119=1,0,ROUNDUP(AZ119/BY119,0))</f>
        <v>1</v>
      </c>
      <c r="BB119" s="52" t="n">
        <f aca="false">IF(CQ119&gt;0,CQ119*MAX(1,AZ119/X119),IF(BZ119=1,IF(AZ119&lt;=0,0,CD119*MAX(1,IF(H119&gt;0,AZ119/H119,1))),IF(R119&gt;0,BA119/R119,0))/MAX(0.1,N(Parameter!$M$21)))</f>
        <v>0.0384615384615385</v>
      </c>
      <c r="BC119" s="50" t="n">
        <f aca="false">BB119*CB119</f>
        <v>9.42307692307692</v>
      </c>
      <c r="BD119" s="51" t="n">
        <f aca="false">IF(LEFT(Cockpit!$O$5,1)="A",H119,IF(CH119=1,(CK119+CI119)/2,IF(LEFT(Cockpit!$O$5,1)="B",(CK119+BF119)/2,MAX((CK119+BF119)/2,H119))))</f>
        <v>330</v>
      </c>
      <c r="BE119" s="50" t="n">
        <f aca="false">BD119*G119</f>
        <v>13734.6</v>
      </c>
      <c r="BF119" s="50" t="n">
        <f aca="false">ROUNDUP(CK119+MAX(CL119,2*(J119/IF(CG119&gt;0,CG119,MAX(0.1,N(Cockpit!$O$6)))-CK119)),0)</f>
        <v>583</v>
      </c>
      <c r="BG119" s="51" t="n">
        <f aca="false">IF(BC119&gt;0,J119/BC119,-1)</f>
        <v>140.081632653061</v>
      </c>
      <c r="BH119" s="51" t="n">
        <f aca="false">IF(AND(OR(CF119="L1",CF119="L23",CF119="LIFT"),BC119&gt;0),SUMIFS($BC$7:$BC$1843,$CF$7:$CF$1843,CF119,$BG$7:$BG$1843,"&gt;"&amp;BG119)+SUMIFS($BC$7:$BC$1843,$CF$7:$CF$1843,CF119,$BG$7:$BG$1843,BG119,$BW$7:$BW$1843,"&lt;="&amp;BW119),"")</f>
        <v>594.101648351648</v>
      </c>
      <c r="BI119" s="58" t="n">
        <f aca="false">IF(BH119="",0,MAX(0,MIN(1,(IF(CF119="L1",Parameter!$H$5,IF(CF119="L23",Parameter!$H$6+Parameter!$H$7,Parameter!$H$5+Parameter!$H$6+Parameter!$H$7))-(BH119-BC119))/BC119)))</f>
        <v>1</v>
      </c>
      <c r="BJ119" s="48" t="str">
        <f aca="false">IF(AI119&lt;=0,"",IF(CF119="Aussen","Aussenlager",IF(CF119="-","Nicht im Lift",IF(AO119&gt;=1,"Lift",IF(AO119&lt;=0,"Aussenlager","teilweise")))))</f>
        <v>Lift</v>
      </c>
      <c r="BK119" s="48" t="str">
        <f aca="false">IF(AS119&lt;=0,"",IF(CF119="Aussen","Aussenlager",IF(CF119="-","Nicht im Lift",IF(AY119&gt;=1,"Lift",IF(AY119&lt;=0,"Aussenlager","teilweise")))))</f>
        <v>Lift</v>
      </c>
      <c r="BL119" s="48" t="str">
        <f aca="false">IF(BC119&lt;=0,"",IF(CF119="Aussen","Aussenlager",IF(CF119="-","Nicht im Lift",IF(BI119&gt;=1,"Lift",IF(BI119&lt;=0,"Aussenlager","teilweise")))))</f>
        <v>Lift</v>
      </c>
      <c r="BM119" s="48" t="str">
        <f aca="false">IF(A119="","",IF(BV119=1,"Neu; ","")&amp;IF(AND(BV119=0,BQ119&lt;0),"negativer Bestand (Export "&amp;BQ119&amp;"); ","")&amp;IF(J119&lt;=0,"Kein Verbrauch; ","")&amp;IF(CQ119&gt;0,"Lift "&amp;W119&amp;" lt. Liftbericht (Fach "&amp;X119&amp;" Stk); ",IF(CA119=1,"Gebinde geschätzt ("&amp;T119&amp;"); ",IF(BZ119=1,"Lose – Tablare geschätzt; ","")))&amp;IF(H119&gt;AV119,"Überbestand "&amp;ROUND(H119-AV119,0)&amp;" Stk / CHF "&amp;ROUND((H119-AV119)*G119,0)&amp;"; ","")&amp;IF(AND(CH119=1,CI119&lt;CJ119),"MAX &lt; MB+LG; ","")&amp;IF(AND(CP119&gt;0,CO119*10&gt;CP119),"zu hoch für Tablar; ","")&amp;IF(AND(BV119=0,OR(CH119=1,AA119&lt;&gt;"",U119&lt;&gt;"",V119&lt;&gt;"",AB119&lt;&gt;"")),"manuell übersteuert; ","")&amp;IF(AND(BZ119=0,R119=0),"Gebinde unbekannt / Stellmass fehlt; ","")&amp;IF(AND(BZ119=0,N(V119)&lt;=0,N(Q119)&lt;=0),"Menge pro Gebinde fehlt (Ist = 1 Gebinde); ","")&amp;BU119)</f>
        <v/>
      </c>
      <c r="BN119" s="48"/>
      <c r="BO119" s="48"/>
      <c r="BP119" s="55"/>
      <c r="BQ119" s="50" t="n">
        <v>45</v>
      </c>
      <c r="BR119" s="50" t="n">
        <v>183</v>
      </c>
      <c r="BS119" s="49" t="n">
        <v>1852.62</v>
      </c>
      <c r="BT119" s="50" t="n">
        <v>1320</v>
      </c>
      <c r="BU119" s="48"/>
      <c r="BV119" s="53" t="n">
        <v>0</v>
      </c>
      <c r="BW119" s="53" t="n">
        <v>119</v>
      </c>
      <c r="BX119" s="48" t="str">
        <f aca="false">IF(U119&lt;&gt;"",UPPER(TRIM(U119)),IF(CA119=1,UPPER(VLOOKUP(T119,Parameter!$I$27:$K$29,2,0)),IF(P119="","LOSE",P119)))</f>
        <v>S52</v>
      </c>
      <c r="BY119" s="50" t="n">
        <f aca="false">IF(BX119="LOSE",1,IF(N(V119)&gt;0,V119,IF(CA119=1,MAX(1,N(VLOOKUP(T119,Parameter!$I$27:$K$29,3,0)),H119,N(N119)),IF(N(Q119)&gt;0,Q119,MAX(1,H119)))))</f>
        <v>850</v>
      </c>
      <c r="BZ119" s="53" t="n">
        <f aca="false">IF(BX119="LOSE",1,0)</f>
        <v>0</v>
      </c>
      <c r="CA119" s="53" t="n">
        <f aca="false">IF(AND(U119="",OR(P119="",P119="LOSE"),T119&lt;&gt;"",N(S119)&lt;=0,ISNUMBER(MATCH(T119,Parameter!$I$27:$I$29,0))),1,0)</f>
        <v>0</v>
      </c>
      <c r="CB119" s="53" t="n">
        <f aca="false">IF(CQ119&gt;0,INDEX(Parameter!$H$5:$H$7,W119)/INDEX(Parameter!$E$5:$E$7,W119),IF(AND(BZ119=0,N(IFERROR(VLOOKUP(BX119,'Gebinde-Kategorie'!$A$5:$N$45,14,0),0))&gt;0),VLOOKUP(BX119,'Gebinde-Kategorie'!$A$5:$N$45,14,0)*10+Parameter!$M$23,Parameter!$M$24))</f>
        <v>245</v>
      </c>
      <c r="CC119" s="48" t="str">
        <f aca="false">IF(AND(Parameter!$B$19="Ja",E119&lt;&gt;"",ISNUMBER(MATCH(E119,Parameter!$I$35:$I$52,0))),VLOOKUP(E119,Parameter!$I$35:$J$52,2,0),IFERROR(VLOOKUP(D119,Parameter!$A$35:$C$64,2,0),"Nein"))</f>
        <v>2+3</v>
      </c>
      <c r="CD119" s="52" t="n">
        <f aca="false">IF(BZ119=0,0,IF(N(S119)&gt;0,S119,IFERROR(VLOOKUP(D119,Parameter!$A$35:$C$64,3,0)+0,0)))</f>
        <v>0</v>
      </c>
      <c r="CE119" s="48" t="n">
        <f aca="false">IF(AA119&lt;&gt;"",AA119,Z119)</f>
        <v>3</v>
      </c>
      <c r="CF119" s="48" t="str">
        <f aca="false">IF(OR(CE119=1,CE119=2,CE119=3),IF(Parameter!$E$27="Ja","LIFT",IF(CE119=1,"L1","L23")),IF(CE119="Aussen","Aussen","-"))</f>
        <v>LIFT</v>
      </c>
      <c r="CG119" s="59" t="n">
        <f aca="false">IF(N(AB119)&gt;0,AB119,0)</f>
        <v>0</v>
      </c>
      <c r="CH119" s="53" t="n">
        <f aca="false">IF(ISNUMBER(AE119),1,0)</f>
        <v>0</v>
      </c>
      <c r="CI119" s="50" t="n">
        <f aca="false">N(AE119)</f>
        <v>0</v>
      </c>
      <c r="CJ119" s="50" t="n">
        <f aca="false">N(M119)+N(N119)</f>
        <v>277</v>
      </c>
      <c r="CK119" s="50" t="n">
        <f aca="false">N(M119)</f>
        <v>77</v>
      </c>
      <c r="CL119" s="50" t="n">
        <f aca="false">N(N119)</f>
        <v>200</v>
      </c>
      <c r="CM119" s="50" t="n">
        <f aca="false">ROUNDUP(H119/BY119,0)</f>
        <v>1</v>
      </c>
      <c r="CN119" s="50" t="n">
        <f aca="false">ROUNDUP(CI119/BY119,0)</f>
        <v>0</v>
      </c>
      <c r="CO119" s="53" t="n">
        <f aca="false">IF(BZ119=1,0,IFERROR(VLOOKUP(BX119,'Gebinde-Kategorie'!$A$5:$N$45,5,0)+0,0))</f>
        <v>21</v>
      </c>
      <c r="CP119" s="53" t="n">
        <f aca="false">IFERROR(IF(OR(CE119=1,CE119=2,CE119=3),N(INDEX(Parameter!$I$5:$I$7,CE119)),0),0)</f>
        <v>0</v>
      </c>
      <c r="CQ119" s="52" t="n">
        <f aca="false">IF(AND(Parameter!$B$21="Ja",ISNUMBER(W119),N(X119)&gt;0),IFERROR(N(INDEX(Parameter!$L$5:$L$7,W119))*INDEX(Parameter!$E$5:$E$7,W119)*X119/SUMIFS($X$7:$X$1843,$W$7:$W$1843,W119),0),0)</f>
        <v>0</v>
      </c>
    </row>
    <row r="120" customFormat="false" ht="15" hidden="false" customHeight="false" outlineLevel="0" collapsed="false">
      <c r="A120" s="48" t="s">
        <v>458</v>
      </c>
      <c r="B120" s="48" t="s">
        <v>459</v>
      </c>
      <c r="C120" s="48" t="s">
        <v>173</v>
      </c>
      <c r="D120" s="48" t="s">
        <v>182</v>
      </c>
      <c r="E120" s="48" t="s">
        <v>194</v>
      </c>
      <c r="F120" s="48" t="s">
        <v>227</v>
      </c>
      <c r="G120" s="49" t="n">
        <v>106.7</v>
      </c>
      <c r="H120" s="50" t="n">
        <f aca="false">MAX(0,IF(AND(Parameter!$B$21="Ja",ISNUMBER(Y120)),Y120,IF(Parameter!$B$20="Jahresanfang 2025 + Export",BR120+BQ120,BQ120)))</f>
        <v>113</v>
      </c>
      <c r="I120" s="50" t="n">
        <f aca="false">H120*G120</f>
        <v>12057.1</v>
      </c>
      <c r="J120" s="50" t="n">
        <f aca="false">BT120*Parameter!$B$18</f>
        <v>444</v>
      </c>
      <c r="K120" s="51" t="n">
        <v>83.5</v>
      </c>
      <c r="L120" s="52" t="n">
        <v>5.31736526946108</v>
      </c>
      <c r="M120" s="50" t="n">
        <v>25</v>
      </c>
      <c r="N120" s="50" t="n">
        <v>110</v>
      </c>
      <c r="O120" s="53" t="n">
        <v>21</v>
      </c>
      <c r="P120" s="48" t="s">
        <v>183</v>
      </c>
      <c r="Q120" s="50" t="n">
        <v>56</v>
      </c>
      <c r="R120" s="53" t="n">
        <f aca="false">IF(BZ120=1,0,IFERROR(VLOOKUP(BX120,'Gebinde-Kategorie'!$A$5:$N$45,13,0)+0,0))</f>
        <v>6</v>
      </c>
      <c r="S120" s="54"/>
      <c r="T120" s="55"/>
      <c r="U120" s="55"/>
      <c r="V120" s="55"/>
      <c r="W120" s="48"/>
      <c r="X120" s="50"/>
      <c r="Y120" s="50"/>
      <c r="Z120" s="48" t="n">
        <f aca="false">IF(A120="","",IF(AND(Parameter!$B$21="Ja",ISNUMBER(W120)),W120,IF(CC120="2+3",IF(ISNUMBER(SEARCH("grosser Artikel",BU120)),2,IFERROR(VLOOKUP(BX120,Parameter!$F$35:$G$64,2,0),2)),IF(OR(CC120="Nein",CC120=""),"-",CC120))))</f>
        <v>2</v>
      </c>
      <c r="AA120" s="55"/>
      <c r="AB120" s="56"/>
      <c r="AC120" s="50" t="n">
        <f aca="false">AV120</f>
        <v>271</v>
      </c>
      <c r="AD120" s="50" t="n">
        <f aca="false">MAX(AV120,H120)</f>
        <v>271</v>
      </c>
      <c r="AE120" s="57"/>
      <c r="AF120" s="50" t="n">
        <f aca="false">IF(LEFT(Cockpit!$C$5,1)="A",H120,IF(Parameter!$E$30="MAX-Bestand",IF(CH120=1,CI120,IF(LEFT(Cockpit!$C$5,1)="B",AL120,MAX(AL120,H120))),ROUNDUP(AJ120,0)))</f>
        <v>113</v>
      </c>
      <c r="AG120" s="50" t="n">
        <f aca="false">IF(BZ120=1,0,ROUNDUP(AF120/BY120,0))</f>
        <v>3</v>
      </c>
      <c r="AH120" s="52" t="n">
        <f aca="false">IF(CQ120&gt;0,CQ120*MAX(1,AF120/X120),IF(BZ120=1,IF(AF120&lt;=0,0,CD120*MAX(1,IF(H120&gt;0,AF120/H120,1))),IF(R120&gt;0,AG120/R120,0))/MAX(0.1,N(Parameter!$M$21)))</f>
        <v>0.5</v>
      </c>
      <c r="AI120" s="50" t="n">
        <f aca="false">AH120*CB120</f>
        <v>117.5</v>
      </c>
      <c r="AJ120" s="51" t="n">
        <f aca="false">IF(LEFT(Cockpit!$C$5,1)="A",H120,IF(CH120=1,(CK120+CI120)/2,IF(LEFT(Cockpit!$C$5,1)="B",(CK120+AL120)/2,MAX((CK120+AL120)/2,H120))))</f>
        <v>113</v>
      </c>
      <c r="AK120" s="50" t="n">
        <f aca="false">AJ120*G120</f>
        <v>12057.1</v>
      </c>
      <c r="AL120" s="50" t="n">
        <f aca="false">ROUNDUP(CK120+MAX(CL120,2*(J120/IF(CG120&gt;0,CG120,MAX(0.1,N(Cockpit!$C$6)))-CK120)),0)</f>
        <v>271</v>
      </c>
      <c r="AM120" s="51" t="n">
        <f aca="false">IF(AI120&gt;0,J120/AI120,-1)</f>
        <v>3.77872340425532</v>
      </c>
      <c r="AN120" s="51" t="n">
        <f aca="false">IF(AND(OR(CF120="L1",CF120="L23",CF120="LIFT"),AI120&gt;0),SUMIFS($AI$7:$AI$1843,$CF$7:$CF$1843,CF120,$AM$7:$AM$1843,"&gt;"&amp;AM120)+SUMIFS($AI$7:$AI$1843,$CF$7:$CF$1843,CF120,$AM$7:$AM$1843,AM120,$BW$7:$BW$1843,"&lt;="&amp;BW120),"")</f>
        <v>4679.05769230769</v>
      </c>
      <c r="AO120" s="58" t="n">
        <f aca="false">IF(AN120="",0,MAX(0,MIN(1,(IF(CF120="L1",Parameter!$H$5,IF(CF120="L23",Parameter!$H$6+Parameter!$H$7,Parameter!$H$5+Parameter!$H$6+Parameter!$H$7))-(AN120-AI120))/AI120)))</f>
        <v>1</v>
      </c>
      <c r="AP120" s="50" t="n">
        <f aca="false">IF(LEFT(Cockpit!$I$5,1)="A",H120,IF(Parameter!$E$30="MAX-Bestand",IF(CH120=1,CI120,IF(LEFT(Cockpit!$I$5,1)="B",AV120,MAX(AV120,H120))),ROUNDUP(AT120,0)))</f>
        <v>148</v>
      </c>
      <c r="AQ120" s="50" t="n">
        <f aca="false">IF(BZ120=1,0,ROUNDUP(AP120/BY120,0))</f>
        <v>3</v>
      </c>
      <c r="AR120" s="52" t="n">
        <f aca="false">IF(CQ120&gt;0,CQ120*MAX(1,AP120/X120),IF(BZ120=1,IF(AP120&lt;=0,0,CD120*MAX(1,IF(H120&gt;0,AP120/H120,1))),IF(R120&gt;0,AQ120/R120,0))/MAX(0.1,N(Parameter!$M$21)))</f>
        <v>0.5</v>
      </c>
      <c r="AS120" s="50" t="n">
        <f aca="false">AR120*CB120</f>
        <v>117.5</v>
      </c>
      <c r="AT120" s="51" t="n">
        <f aca="false">IF(LEFT(Cockpit!$I$5,1)="A",H120,IF(CH120=1,(CK120+CI120)/2,IF(LEFT(Cockpit!$I$5,1)="B",(CK120+AV120)/2,MAX((CK120+AV120)/2,H120))))</f>
        <v>148</v>
      </c>
      <c r="AU120" s="50" t="n">
        <f aca="false">AT120*G120</f>
        <v>15791.6</v>
      </c>
      <c r="AV120" s="50" t="n">
        <f aca="false">ROUNDUP(CK120+MAX(CL120,2*(J120/IF(CG120&gt;0,CG120,MAX(0.1,N(Cockpit!$I$6)))-CK120)),0)</f>
        <v>271</v>
      </c>
      <c r="AW120" s="51" t="n">
        <f aca="false">IF(AS120&gt;0,J120/AS120,-1)</f>
        <v>3.77872340425532</v>
      </c>
      <c r="AX120" s="51" t="n">
        <f aca="false">IF(AND(OR(CF120="L1",CF120="L23",CF120="LIFT"),AS120&gt;0),SUMIFS($AS$7:$AS$1843,$CF$7:$CF$1843,CF120,$AW$7:$AW$1843,"&gt;"&amp;AW120)+SUMIFS($AS$7:$AS$1843,$CF$7:$CF$1843,CF120,$AW$7:$AW$1843,AW120,$BW$7:$BW$1843,"&lt;="&amp;BW120),"")</f>
        <v>5297.47802197802</v>
      </c>
      <c r="AY120" s="58" t="n">
        <f aca="false">IF(AX120="",0,MAX(0,MIN(1,(IF(CF120="L1",Parameter!$H$5,IF(CF120="L23",Parameter!$H$6+Parameter!$H$7,Parameter!$H$5+Parameter!$H$6+Parameter!$H$7))-(AX120-AS120))/AS120)))</f>
        <v>1</v>
      </c>
      <c r="AZ120" s="50" t="n">
        <f aca="false">IF(LEFT(Cockpit!$O$5,1)="A",H120,IF(Parameter!$E$30="MAX-Bestand",IF(CH120=1,CI120,IF(LEFT(Cockpit!$O$5,1)="B",BF120,MAX(BF120,H120))),ROUNDUP(BD120,0)))</f>
        <v>111</v>
      </c>
      <c r="BA120" s="50" t="n">
        <f aca="false">IF(BZ120=1,0,ROUNDUP(AZ120/BY120,0))</f>
        <v>2</v>
      </c>
      <c r="BB120" s="52" t="n">
        <f aca="false">IF(CQ120&gt;0,CQ120*MAX(1,AZ120/X120),IF(BZ120=1,IF(AZ120&lt;=0,0,CD120*MAX(1,IF(H120&gt;0,AZ120/H120,1))),IF(R120&gt;0,BA120/R120,0))/MAX(0.1,N(Parameter!$M$21)))</f>
        <v>0.333333333333333</v>
      </c>
      <c r="BC120" s="50" t="n">
        <f aca="false">BB120*CB120</f>
        <v>78.3333333333333</v>
      </c>
      <c r="BD120" s="51" t="n">
        <f aca="false">IF(LEFT(Cockpit!$O$5,1)="A",H120,IF(CH120=1,(CK120+CI120)/2,IF(LEFT(Cockpit!$O$5,1)="B",(CK120+BF120)/2,MAX((CK120+BF120)/2,H120))))</f>
        <v>111</v>
      </c>
      <c r="BE120" s="50" t="n">
        <f aca="false">BD120*G120</f>
        <v>11843.7</v>
      </c>
      <c r="BF120" s="50" t="n">
        <f aca="false">ROUNDUP(CK120+MAX(CL120,2*(J120/IF(CG120&gt;0,CG120,MAX(0.1,N(Cockpit!$O$6)))-CK120)),0)</f>
        <v>197</v>
      </c>
      <c r="BG120" s="51" t="n">
        <f aca="false">IF(BC120&gt;0,J120/BC120,-1)</f>
        <v>5.66808510638298</v>
      </c>
      <c r="BH120" s="51" t="n">
        <f aca="false">IF(AND(OR(CF120="L1",CF120="L23",CF120="LIFT"),BC120&gt;0),SUMIFS($BC$7:$BC$1843,$CF$7:$CF$1843,CF120,$BG$7:$BG$1843,"&gt;"&amp;BG120)+SUMIFS($BC$7:$BC$1843,$CF$7:$CF$1843,CF120,$BG$7:$BG$1843,BG120,$BW$7:$BW$1843,"&lt;="&amp;BW120),"")</f>
        <v>3637.61584249084</v>
      </c>
      <c r="BI120" s="58" t="n">
        <f aca="false">IF(BH120="",0,MAX(0,MIN(1,(IF(CF120="L1",Parameter!$H$5,IF(CF120="L23",Parameter!$H$6+Parameter!$H$7,Parameter!$H$5+Parameter!$H$6+Parameter!$H$7))-(BH120-BC120))/BC120)))</f>
        <v>1</v>
      </c>
      <c r="BJ120" s="48" t="str">
        <f aca="false">IF(AI120&lt;=0,"",IF(CF120="Aussen","Aussenlager",IF(CF120="-","Nicht im Lift",IF(AO120&gt;=1,"Lift",IF(AO120&lt;=0,"Aussenlager","teilweise")))))</f>
        <v>Lift</v>
      </c>
      <c r="BK120" s="48" t="str">
        <f aca="false">IF(AS120&lt;=0,"",IF(CF120="Aussen","Aussenlager",IF(CF120="-","Nicht im Lift",IF(AY120&gt;=1,"Lift",IF(AY120&lt;=0,"Aussenlager","teilweise")))))</f>
        <v>Lift</v>
      </c>
      <c r="BL120" s="48" t="str">
        <f aca="false">IF(BC120&lt;=0,"",IF(CF120="Aussen","Aussenlager",IF(CF120="-","Nicht im Lift",IF(BI120&gt;=1,"Lift",IF(BI120&lt;=0,"Aussenlager","teilweise")))))</f>
        <v>Lift</v>
      </c>
      <c r="BM120" s="48" t="str">
        <f aca="false">IF(A120="","",IF(BV120=1,"Neu; ","")&amp;IF(AND(BV120=0,BQ120&lt;0),"negativer Bestand (Export "&amp;BQ120&amp;"); ","")&amp;IF(J120&lt;=0,"Kein Verbrauch; ","")&amp;IF(CQ120&gt;0,"Lift "&amp;W120&amp;" lt. Liftbericht (Fach "&amp;X120&amp;" Stk); ",IF(CA120=1,"Gebinde geschätzt ("&amp;T120&amp;"); ",IF(BZ120=1,"Lose – Tablare geschätzt; ","")))&amp;IF(H120&gt;AV120,"Überbestand "&amp;ROUND(H120-AV120,0)&amp;" Stk / CHF "&amp;ROUND((H120-AV120)*G120,0)&amp;"; ","")&amp;IF(AND(CH120=1,CI120&lt;CJ120),"MAX &lt; MB+LG; ","")&amp;IF(AND(CP120&gt;0,CO120*10&gt;CP120),"zu hoch für Tablar; ","")&amp;IF(AND(BV120=0,OR(CH120=1,AA120&lt;&gt;"",U120&lt;&gt;"",V120&lt;&gt;"",AB120&lt;&gt;"")),"manuell übersteuert; ","")&amp;IF(AND(BZ120=0,R120=0),"Gebinde unbekannt / Stellmass fehlt; ","")&amp;IF(AND(BZ120=0,N(V120)&lt;=0,N(Q120)&lt;=0),"Menge pro Gebinde fehlt (Ist = 1 Gebinde); ","")&amp;BU120)</f>
        <v>grosser Artikel &amp; nicht im KTL</v>
      </c>
      <c r="BN120" s="48"/>
      <c r="BO120" s="48"/>
      <c r="BP120" s="55"/>
      <c r="BQ120" s="50" t="n">
        <v>20</v>
      </c>
      <c r="BR120" s="50" t="n">
        <v>93</v>
      </c>
      <c r="BS120" s="49" t="n">
        <v>1844.19999999997</v>
      </c>
      <c r="BT120" s="50" t="n">
        <v>444</v>
      </c>
      <c r="BU120" s="48" t="s">
        <v>270</v>
      </c>
      <c r="BV120" s="53" t="n">
        <v>0</v>
      </c>
      <c r="BW120" s="53" t="n">
        <v>120</v>
      </c>
      <c r="BX120" s="48" t="str">
        <f aca="false">IF(U120&lt;&gt;"",UPPER(TRIM(U120)),IF(CA120=1,UPPER(VLOOKUP(T120,Parameter!$I$27:$K$29,2,0)),IF(P120="","LOSE",P120)))</f>
        <v>S71</v>
      </c>
      <c r="BY120" s="50" t="n">
        <f aca="false">IF(BX120="LOSE",1,IF(N(V120)&gt;0,V120,IF(CA120=1,MAX(1,N(VLOOKUP(T120,Parameter!$I$27:$K$29,3,0)),H120,N(N120)),IF(N(Q120)&gt;0,Q120,MAX(1,H120)))))</f>
        <v>56</v>
      </c>
      <c r="BZ120" s="53" t="n">
        <f aca="false">IF(BX120="LOSE",1,0)</f>
        <v>0</v>
      </c>
      <c r="CA120" s="53" t="n">
        <f aca="false">IF(AND(U120="",OR(P120="",P120="LOSE"),T120&lt;&gt;"",N(S120)&lt;=0,ISNUMBER(MATCH(T120,Parameter!$I$27:$I$29,0))),1,0)</f>
        <v>0</v>
      </c>
      <c r="CB120" s="53" t="n">
        <f aca="false">IF(CQ120&gt;0,INDEX(Parameter!$H$5:$H$7,W120)/INDEX(Parameter!$E$5:$E$7,W120),IF(AND(BZ120=0,N(IFERROR(VLOOKUP(BX120,'Gebinde-Kategorie'!$A$5:$N$45,14,0),0))&gt;0),VLOOKUP(BX120,'Gebinde-Kategorie'!$A$5:$N$45,14,0)*10+Parameter!$M$23,Parameter!$M$24))</f>
        <v>235</v>
      </c>
      <c r="CC120" s="48" t="str">
        <f aca="false">IF(AND(Parameter!$B$19="Ja",E120&lt;&gt;"",ISNUMBER(MATCH(E120,Parameter!$I$35:$I$52,0))),VLOOKUP(E120,Parameter!$I$35:$J$52,2,0),IFERROR(VLOOKUP(D120,Parameter!$A$35:$C$64,2,0),"Nein"))</f>
        <v>2+3</v>
      </c>
      <c r="CD120" s="52" t="n">
        <f aca="false">IF(BZ120=0,0,IF(N(S120)&gt;0,S120,IFERROR(VLOOKUP(D120,Parameter!$A$35:$C$64,3,0)+0,0)))</f>
        <v>0</v>
      </c>
      <c r="CE120" s="48" t="n">
        <f aca="false">IF(AA120&lt;&gt;"",AA120,Z120)</f>
        <v>2</v>
      </c>
      <c r="CF120" s="48" t="str">
        <f aca="false">IF(OR(CE120=1,CE120=2,CE120=3),IF(Parameter!$E$27="Ja","LIFT",IF(CE120=1,"L1","L23")),IF(CE120="Aussen","Aussen","-"))</f>
        <v>LIFT</v>
      </c>
      <c r="CG120" s="59" t="n">
        <f aca="false">IF(N(AB120)&gt;0,AB120,0)</f>
        <v>0</v>
      </c>
      <c r="CH120" s="53" t="n">
        <f aca="false">IF(ISNUMBER(AE120),1,0)</f>
        <v>0</v>
      </c>
      <c r="CI120" s="50" t="n">
        <f aca="false">N(AE120)</f>
        <v>0</v>
      </c>
      <c r="CJ120" s="50" t="n">
        <f aca="false">N(M120)+N(N120)</f>
        <v>135</v>
      </c>
      <c r="CK120" s="50" t="n">
        <f aca="false">N(M120)</f>
        <v>25</v>
      </c>
      <c r="CL120" s="50" t="n">
        <f aca="false">N(N120)</f>
        <v>110</v>
      </c>
      <c r="CM120" s="50" t="n">
        <f aca="false">ROUNDUP(H120/BY120,0)</f>
        <v>3</v>
      </c>
      <c r="CN120" s="50" t="n">
        <f aca="false">ROUNDUP(CI120/BY120,0)</f>
        <v>0</v>
      </c>
      <c r="CO120" s="53" t="n">
        <f aca="false">IF(BZ120=1,0,IFERROR(VLOOKUP(BX120,'Gebinde-Kategorie'!$A$5:$N$45,5,0)+0,0))</f>
        <v>20</v>
      </c>
      <c r="CP120" s="53" t="n">
        <f aca="false">IFERROR(IF(OR(CE120=1,CE120=2,CE120=3),N(INDEX(Parameter!$I$5:$I$7,CE120)),0),0)</f>
        <v>0</v>
      </c>
      <c r="CQ120" s="52" t="n">
        <f aca="false">IF(AND(Parameter!$B$21="Ja",ISNUMBER(W120),N(X120)&gt;0),IFERROR(N(INDEX(Parameter!$L$5:$L$7,W120))*INDEX(Parameter!$E$5:$E$7,W120)*X120/SUMIFS($X$7:$X$1843,$W$7:$W$1843,W120),0),0)</f>
        <v>0</v>
      </c>
    </row>
    <row r="121" customFormat="false" ht="15" hidden="false" customHeight="false" outlineLevel="0" collapsed="false">
      <c r="A121" s="48" t="s">
        <v>460</v>
      </c>
      <c r="B121" s="48" t="s">
        <v>461</v>
      </c>
      <c r="C121" s="48" t="s">
        <v>173</v>
      </c>
      <c r="D121" s="48" t="s">
        <v>193</v>
      </c>
      <c r="E121" s="48" t="s">
        <v>194</v>
      </c>
      <c r="F121" s="48" t="s">
        <v>227</v>
      </c>
      <c r="G121" s="49" t="n">
        <v>59.19</v>
      </c>
      <c r="H121" s="50" t="n">
        <f aca="false">MAX(0,IF(AND(Parameter!$B$21="Ja",ISNUMBER(Y121)),Y121,IF(Parameter!$B$20="Jahresanfang 2025 + Export",BR121+BQ121,BQ121)))</f>
        <v>59</v>
      </c>
      <c r="I121" s="50" t="n">
        <f aca="false">H121*G121</f>
        <v>3492.21</v>
      </c>
      <c r="J121" s="50" t="n">
        <f aca="false">BT121*Parameter!$B$18</f>
        <v>59</v>
      </c>
      <c r="K121" s="51" t="n">
        <v>52</v>
      </c>
      <c r="L121" s="52" t="n">
        <v>1.13461538461539</v>
      </c>
      <c r="M121" s="50" t="n">
        <v>5</v>
      </c>
      <c r="N121" s="50" t="n">
        <v>50</v>
      </c>
      <c r="O121" s="53" t="n">
        <v>28</v>
      </c>
      <c r="P121" s="48" t="s">
        <v>242</v>
      </c>
      <c r="Q121" s="50" t="n">
        <v>12</v>
      </c>
      <c r="R121" s="53" t="n">
        <f aca="false">IF(BZ121=1,0,IFERROR(VLOOKUP(BX121,'Gebinde-Kategorie'!$A$5:$N$45,13,0)+0,0))</f>
        <v>26</v>
      </c>
      <c r="S121" s="54"/>
      <c r="T121" s="55"/>
      <c r="U121" s="55"/>
      <c r="V121" s="55"/>
      <c r="W121" s="48"/>
      <c r="X121" s="50"/>
      <c r="Y121" s="50"/>
      <c r="Z121" s="48" t="n">
        <f aca="false">IF(A121="","",IF(AND(Parameter!$B$21="Ja",ISNUMBER(W121)),W121,IF(CC121="2+3",IF(ISNUMBER(SEARCH("grosser Artikel",BU121)),2,IFERROR(VLOOKUP(BX121,Parameter!$F$35:$G$64,2,0),2)),IF(OR(CC121="Nein",CC121=""),"-",CC121))))</f>
        <v>3</v>
      </c>
      <c r="AA121" s="55"/>
      <c r="AB121" s="56"/>
      <c r="AC121" s="50" t="n">
        <f aca="false">AV121</f>
        <v>55</v>
      </c>
      <c r="AD121" s="50" t="n">
        <f aca="false">MAX(AV121,H121)</f>
        <v>59</v>
      </c>
      <c r="AE121" s="57"/>
      <c r="AF121" s="50" t="n">
        <f aca="false">IF(LEFT(Cockpit!$C$5,1)="A",H121,IF(Parameter!$E$30="MAX-Bestand",IF(CH121=1,CI121,IF(LEFT(Cockpit!$C$5,1)="B",AL121,MAX(AL121,H121))),ROUNDUP(AJ121,0)))</f>
        <v>59</v>
      </c>
      <c r="AG121" s="50" t="n">
        <f aca="false">IF(BZ121=1,0,ROUNDUP(AF121/BY121,0))</f>
        <v>5</v>
      </c>
      <c r="AH121" s="52" t="n">
        <f aca="false">IF(CQ121&gt;0,CQ121*MAX(1,AF121/X121),IF(BZ121=1,IF(AF121&lt;=0,0,CD121*MAX(1,IF(H121&gt;0,AF121/H121,1))),IF(R121&gt;0,AG121/R121,0))/MAX(0.1,N(Parameter!$M$21)))</f>
        <v>0.192307692307692</v>
      </c>
      <c r="AI121" s="50" t="n">
        <f aca="false">AH121*CB121</f>
        <v>47.1153846153846</v>
      </c>
      <c r="AJ121" s="51" t="n">
        <f aca="false">IF(LEFT(Cockpit!$C$5,1)="A",H121,IF(CH121=1,(CK121+CI121)/2,IF(LEFT(Cockpit!$C$5,1)="B",(CK121+AL121)/2,MAX((CK121+AL121)/2,H121))))</f>
        <v>59</v>
      </c>
      <c r="AK121" s="50" t="n">
        <f aca="false">AJ121*G121</f>
        <v>3492.21</v>
      </c>
      <c r="AL121" s="50" t="n">
        <f aca="false">ROUNDUP(CK121+MAX(CL121,2*(J121/IF(CG121&gt;0,CG121,MAX(0.1,N(Cockpit!$C$6)))-CK121)),0)</f>
        <v>55</v>
      </c>
      <c r="AM121" s="51" t="n">
        <f aca="false">IF(AI121&gt;0,J121/AI121,-1)</f>
        <v>1.25224489795918</v>
      </c>
      <c r="AN121" s="51" t="n">
        <f aca="false">IF(AND(OR(CF121="L1",CF121="L23",CF121="LIFT"),AI121&gt;0),SUMIFS($AI$7:$AI$1843,$CF$7:$CF$1843,CF121,$AM$7:$AM$1843,"&gt;"&amp;AM121)+SUMIFS($AI$7:$AI$1843,$CF$7:$CF$1843,CF121,$AM$7:$AM$1843,AM121,$BW$7:$BW$1843,"&lt;="&amp;BW121),"")</f>
        <v>6411.05173992674</v>
      </c>
      <c r="AO121" s="58" t="n">
        <f aca="false">IF(AN121="",0,MAX(0,MIN(1,(IF(CF121="L1",Parameter!$H$5,IF(CF121="L23",Parameter!$H$6+Parameter!$H$7,Parameter!$H$5+Parameter!$H$6+Parameter!$H$7))-(AN121-AI121))/AI121)))</f>
        <v>1</v>
      </c>
      <c r="AP121" s="50" t="n">
        <f aca="false">IF(LEFT(Cockpit!$I$5,1)="A",H121,IF(Parameter!$E$30="MAX-Bestand",IF(CH121=1,CI121,IF(LEFT(Cockpit!$I$5,1)="B",AV121,MAX(AV121,H121))),ROUNDUP(AT121,0)))</f>
        <v>59</v>
      </c>
      <c r="AQ121" s="50" t="n">
        <f aca="false">IF(BZ121=1,0,ROUNDUP(AP121/BY121,0))</f>
        <v>5</v>
      </c>
      <c r="AR121" s="52" t="n">
        <f aca="false">IF(CQ121&gt;0,CQ121*MAX(1,AP121/X121),IF(BZ121=1,IF(AP121&lt;=0,0,CD121*MAX(1,IF(H121&gt;0,AP121/H121,1))),IF(R121&gt;0,AQ121/R121,0))/MAX(0.1,N(Parameter!$M$21)))</f>
        <v>0.192307692307692</v>
      </c>
      <c r="AS121" s="50" t="n">
        <f aca="false">AR121*CB121</f>
        <v>47.1153846153846</v>
      </c>
      <c r="AT121" s="51" t="n">
        <f aca="false">IF(LEFT(Cockpit!$I$5,1)="A",H121,IF(CH121=1,(CK121+CI121)/2,IF(LEFT(Cockpit!$I$5,1)="B",(CK121+AV121)/2,MAX((CK121+AV121)/2,H121))))</f>
        <v>59</v>
      </c>
      <c r="AU121" s="50" t="n">
        <f aca="false">AT121*G121</f>
        <v>3492.21</v>
      </c>
      <c r="AV121" s="50" t="n">
        <f aca="false">ROUNDUP(CK121+MAX(CL121,2*(J121/IF(CG121&gt;0,CG121,MAX(0.1,N(Cockpit!$I$6)))-CK121)),0)</f>
        <v>55</v>
      </c>
      <c r="AW121" s="51" t="n">
        <f aca="false">IF(AS121&gt;0,J121/AS121,-1)</f>
        <v>1.25224489795918</v>
      </c>
      <c r="AX121" s="51" t="n">
        <f aca="false">IF(AND(OR(CF121="L1",CF121="L23",CF121="LIFT"),AS121&gt;0),SUMIFS($AS$7:$AS$1843,$CF$7:$CF$1843,CF121,$AW$7:$AW$1843,"&gt;"&amp;AW121)+SUMIFS($AS$7:$AS$1843,$CF$7:$CF$1843,CF121,$AW$7:$AW$1843,AW121,$BW$7:$BW$1843,"&lt;="&amp;BW121),"")</f>
        <v>8094.88278388278</v>
      </c>
      <c r="AY121" s="58" t="n">
        <f aca="false">IF(AX121="",0,MAX(0,MIN(1,(IF(CF121="L1",Parameter!$H$5,IF(CF121="L23",Parameter!$H$6+Parameter!$H$7,Parameter!$H$5+Parameter!$H$6+Parameter!$H$7))-(AX121-AS121))/AS121)))</f>
        <v>1</v>
      </c>
      <c r="AZ121" s="50" t="n">
        <f aca="false">IF(LEFT(Cockpit!$O$5,1)="A",H121,IF(Parameter!$E$30="MAX-Bestand",IF(CH121=1,CI121,IF(LEFT(Cockpit!$O$5,1)="B",BF121,MAX(BF121,H121))),ROUNDUP(BD121,0)))</f>
        <v>30</v>
      </c>
      <c r="BA121" s="50" t="n">
        <f aca="false">IF(BZ121=1,0,ROUNDUP(AZ121/BY121,0))</f>
        <v>3</v>
      </c>
      <c r="BB121" s="52" t="n">
        <f aca="false">IF(CQ121&gt;0,CQ121*MAX(1,AZ121/X121),IF(BZ121=1,IF(AZ121&lt;=0,0,CD121*MAX(1,IF(H121&gt;0,AZ121/H121,1))),IF(R121&gt;0,BA121/R121,0))/MAX(0.1,N(Parameter!$M$21)))</f>
        <v>0.115384615384615</v>
      </c>
      <c r="BC121" s="50" t="n">
        <f aca="false">BB121*CB121</f>
        <v>28.2692307692308</v>
      </c>
      <c r="BD121" s="51" t="n">
        <f aca="false">IF(LEFT(Cockpit!$O$5,1)="A",H121,IF(CH121=1,(CK121+CI121)/2,IF(LEFT(Cockpit!$O$5,1)="B",(CK121+BF121)/2,MAX((CK121+BF121)/2,H121))))</f>
        <v>30</v>
      </c>
      <c r="BE121" s="50" t="n">
        <f aca="false">BD121*G121</f>
        <v>1775.7</v>
      </c>
      <c r="BF121" s="50" t="n">
        <f aca="false">ROUNDUP(CK121+MAX(CL121,2*(J121/IF(CG121&gt;0,CG121,MAX(0.1,N(Cockpit!$O$6)))-CK121)),0)</f>
        <v>55</v>
      </c>
      <c r="BG121" s="51" t="n">
        <f aca="false">IF(BC121&gt;0,J121/BC121,-1)</f>
        <v>2.08707482993197</v>
      </c>
      <c r="BH121" s="51" t="n">
        <f aca="false">IF(AND(OR(CF121="L1",CF121="L23",CF121="LIFT"),BC121&gt;0),SUMIFS($BC$7:$BC$1843,$CF$7:$CF$1843,CF121,$BG$7:$BG$1843,"&gt;"&amp;BG121)+SUMIFS($BC$7:$BC$1843,$CF$7:$CF$1843,CF121,$BG$7:$BG$1843,BG121,$BW$7:$BW$1843,"&lt;="&amp;BW121),"")</f>
        <v>5764.40384615385</v>
      </c>
      <c r="BI121" s="58" t="n">
        <f aca="false">IF(BH121="",0,MAX(0,MIN(1,(IF(CF121="L1",Parameter!$H$5,IF(CF121="L23",Parameter!$H$6+Parameter!$H$7,Parameter!$H$5+Parameter!$H$6+Parameter!$H$7))-(BH121-BC121))/BC121)))</f>
        <v>1</v>
      </c>
      <c r="BJ121" s="48" t="str">
        <f aca="false">IF(AI121&lt;=0,"",IF(CF121="Aussen","Aussenlager",IF(CF121="-","Nicht im Lift",IF(AO121&gt;=1,"Lift",IF(AO121&lt;=0,"Aussenlager","teilweise")))))</f>
        <v>Lift</v>
      </c>
      <c r="BK121" s="48" t="str">
        <f aca="false">IF(AS121&lt;=0,"",IF(CF121="Aussen","Aussenlager",IF(CF121="-","Nicht im Lift",IF(AY121&gt;=1,"Lift",IF(AY121&lt;=0,"Aussenlager","teilweise")))))</f>
        <v>Lift</v>
      </c>
      <c r="BL121" s="48" t="str">
        <f aca="false">IF(BC121&lt;=0,"",IF(CF121="Aussen","Aussenlager",IF(CF121="-","Nicht im Lift",IF(BI121&gt;=1,"Lift",IF(BI121&lt;=0,"Aussenlager","teilweise")))))</f>
        <v>Lift</v>
      </c>
      <c r="BM121" s="48" t="str">
        <f aca="false">IF(A121="","",IF(BV121=1,"Neu; ","")&amp;IF(AND(BV121=0,BQ121&lt;0),"negativer Bestand (Export "&amp;BQ121&amp;"); ","")&amp;IF(J121&lt;=0,"Kein Verbrauch; ","")&amp;IF(CQ121&gt;0,"Lift "&amp;W121&amp;" lt. Liftbericht (Fach "&amp;X121&amp;" Stk); ",IF(CA121=1,"Gebinde geschätzt ("&amp;T121&amp;"); ",IF(BZ121=1,"Lose – Tablare geschätzt; ","")))&amp;IF(H121&gt;AV121,"Überbestand "&amp;ROUND(H121-AV121,0)&amp;" Stk / CHF "&amp;ROUND((H121-AV121)*G121,0)&amp;"; ","")&amp;IF(AND(CH121=1,CI121&lt;CJ121),"MAX &lt; MB+LG; ","")&amp;IF(AND(CP121&gt;0,CO121*10&gt;CP121),"zu hoch für Tablar; ","")&amp;IF(AND(BV121=0,OR(CH121=1,AA121&lt;&gt;"",U121&lt;&gt;"",V121&lt;&gt;"",AB121&lt;&gt;"")),"manuell übersteuert; ","")&amp;IF(AND(BZ121=0,R121=0),"Gebinde unbekannt / Stellmass fehlt; ","")&amp;IF(AND(BZ121=0,N(V121)&lt;=0,N(Q121)&lt;=0),"Menge pro Gebinde fehlt (Ist = 1 Gebinde); ","")&amp;BU121)</f>
        <v>Überbestand 4 Stk / CHF 237; </v>
      </c>
      <c r="BN121" s="48"/>
      <c r="BO121" s="48"/>
      <c r="BP121" s="55"/>
      <c r="BQ121" s="50" t="n">
        <v>31</v>
      </c>
      <c r="BR121" s="50" t="n">
        <v>28</v>
      </c>
      <c r="BS121" s="49" t="n">
        <v>1839.24</v>
      </c>
      <c r="BT121" s="50" t="n">
        <v>59</v>
      </c>
      <c r="BU121" s="48"/>
      <c r="BV121" s="53" t="n">
        <v>0</v>
      </c>
      <c r="BW121" s="53" t="n">
        <v>121</v>
      </c>
      <c r="BX121" s="48" t="str">
        <f aca="false">IF(U121&lt;&gt;"",UPPER(TRIM(U121)),IF(CA121=1,UPPER(VLOOKUP(T121,Parameter!$I$27:$K$29,2,0)),IF(P121="","LOSE",P121)))</f>
        <v>S52</v>
      </c>
      <c r="BY121" s="50" t="n">
        <f aca="false">IF(BX121="LOSE",1,IF(N(V121)&gt;0,V121,IF(CA121=1,MAX(1,N(VLOOKUP(T121,Parameter!$I$27:$K$29,3,0)),H121,N(N121)),IF(N(Q121)&gt;0,Q121,MAX(1,H121)))))</f>
        <v>12</v>
      </c>
      <c r="BZ121" s="53" t="n">
        <f aca="false">IF(BX121="LOSE",1,0)</f>
        <v>0</v>
      </c>
      <c r="CA121" s="53" t="n">
        <f aca="false">IF(AND(U121="",OR(P121="",P121="LOSE"),T121&lt;&gt;"",N(S121)&lt;=0,ISNUMBER(MATCH(T121,Parameter!$I$27:$I$29,0))),1,0)</f>
        <v>0</v>
      </c>
      <c r="CB121" s="53" t="n">
        <f aca="false">IF(CQ121&gt;0,INDEX(Parameter!$H$5:$H$7,W121)/INDEX(Parameter!$E$5:$E$7,W121),IF(AND(BZ121=0,N(IFERROR(VLOOKUP(BX121,'Gebinde-Kategorie'!$A$5:$N$45,14,0),0))&gt;0),VLOOKUP(BX121,'Gebinde-Kategorie'!$A$5:$N$45,14,0)*10+Parameter!$M$23,Parameter!$M$24))</f>
        <v>245</v>
      </c>
      <c r="CC121" s="48" t="str">
        <f aca="false">IF(AND(Parameter!$B$19="Ja",E121&lt;&gt;"",ISNUMBER(MATCH(E121,Parameter!$I$35:$I$52,0))),VLOOKUP(E121,Parameter!$I$35:$J$52,2,0),IFERROR(VLOOKUP(D121,Parameter!$A$35:$C$64,2,0),"Nein"))</f>
        <v>2+3</v>
      </c>
      <c r="CD121" s="52" t="n">
        <f aca="false">IF(BZ121=0,0,IF(N(S121)&gt;0,S121,IFERROR(VLOOKUP(D121,Parameter!$A$35:$C$64,3,0)+0,0)))</f>
        <v>0</v>
      </c>
      <c r="CE121" s="48" t="n">
        <f aca="false">IF(AA121&lt;&gt;"",AA121,Z121)</f>
        <v>3</v>
      </c>
      <c r="CF121" s="48" t="str">
        <f aca="false">IF(OR(CE121=1,CE121=2,CE121=3),IF(Parameter!$E$27="Ja","LIFT",IF(CE121=1,"L1","L23")),IF(CE121="Aussen","Aussen","-"))</f>
        <v>LIFT</v>
      </c>
      <c r="CG121" s="59" t="n">
        <f aca="false">IF(N(AB121)&gt;0,AB121,0)</f>
        <v>0</v>
      </c>
      <c r="CH121" s="53" t="n">
        <f aca="false">IF(ISNUMBER(AE121),1,0)</f>
        <v>0</v>
      </c>
      <c r="CI121" s="50" t="n">
        <f aca="false">N(AE121)</f>
        <v>0</v>
      </c>
      <c r="CJ121" s="50" t="n">
        <f aca="false">N(M121)+N(N121)</f>
        <v>55</v>
      </c>
      <c r="CK121" s="50" t="n">
        <f aca="false">N(M121)</f>
        <v>5</v>
      </c>
      <c r="CL121" s="50" t="n">
        <f aca="false">N(N121)</f>
        <v>50</v>
      </c>
      <c r="CM121" s="50" t="n">
        <f aca="false">ROUNDUP(H121/BY121,0)</f>
        <v>5</v>
      </c>
      <c r="CN121" s="50" t="n">
        <f aca="false">ROUNDUP(CI121/BY121,0)</f>
        <v>0</v>
      </c>
      <c r="CO121" s="53" t="n">
        <f aca="false">IF(BZ121=1,0,IFERROR(VLOOKUP(BX121,'Gebinde-Kategorie'!$A$5:$N$45,5,0)+0,0))</f>
        <v>21</v>
      </c>
      <c r="CP121" s="53" t="n">
        <f aca="false">IFERROR(IF(OR(CE121=1,CE121=2,CE121=3),N(INDEX(Parameter!$I$5:$I$7,CE121)),0),0)</f>
        <v>0</v>
      </c>
      <c r="CQ121" s="52" t="n">
        <f aca="false">IF(AND(Parameter!$B$21="Ja",ISNUMBER(W121),N(X121)&gt;0),IFERROR(N(INDEX(Parameter!$L$5:$L$7,W121))*INDEX(Parameter!$E$5:$E$7,W121)*X121/SUMIFS($X$7:$X$1843,$W$7:$W$1843,W121),0),0)</f>
        <v>0</v>
      </c>
    </row>
    <row r="122" customFormat="false" ht="15" hidden="false" customHeight="false" outlineLevel="0" collapsed="false">
      <c r="A122" s="48" t="s">
        <v>462</v>
      </c>
      <c r="B122" s="48" t="s">
        <v>454</v>
      </c>
      <c r="C122" s="48" t="s">
        <v>173</v>
      </c>
      <c r="D122" s="48" t="s">
        <v>182</v>
      </c>
      <c r="E122" s="48" t="s">
        <v>182</v>
      </c>
      <c r="F122" s="48" t="s">
        <v>227</v>
      </c>
      <c r="G122" s="49" t="n">
        <v>255.71</v>
      </c>
      <c r="H122" s="50" t="n">
        <f aca="false">MAX(0,IF(AND(Parameter!$B$21="Ja",ISNUMBER(Y122)),Y122,IF(Parameter!$B$20="Jahresanfang 2025 + Export",BR122+BQ122,BQ122)))</f>
        <v>17</v>
      </c>
      <c r="I122" s="50" t="n">
        <f aca="false">H122*G122</f>
        <v>4347.07</v>
      </c>
      <c r="J122" s="50" t="n">
        <f aca="false">BT122*Parameter!$B$18</f>
        <v>50</v>
      </c>
      <c r="K122" s="51" t="n">
        <v>19</v>
      </c>
      <c r="L122" s="52" t="n">
        <v>2.63157894736842</v>
      </c>
      <c r="M122" s="50" t="n">
        <v>10</v>
      </c>
      <c r="N122" s="50" t="n">
        <v>20</v>
      </c>
      <c r="O122" s="53" t="n">
        <v>40</v>
      </c>
      <c r="P122" s="48" t="s">
        <v>357</v>
      </c>
      <c r="Q122" s="50" t="n">
        <v>35</v>
      </c>
      <c r="R122" s="53" t="n">
        <f aca="false">IF(BZ122=1,0,IFERROR(VLOOKUP(BX122,'Gebinde-Kategorie'!$A$5:$N$45,13,0)+0,0))</f>
        <v>4</v>
      </c>
      <c r="S122" s="54"/>
      <c r="T122" s="55"/>
      <c r="U122" s="55"/>
      <c r="V122" s="55"/>
      <c r="W122" s="48"/>
      <c r="X122" s="50"/>
      <c r="Y122" s="50"/>
      <c r="Z122" s="48" t="str">
        <f aca="false">IF(A122="","",IF(AND(Parameter!$B$21="Ja",ISNUMBER(W122)),W122,IF(CC122="2+3",IF(ISNUMBER(SEARCH("grosser Artikel",BU122)),2,IFERROR(VLOOKUP(BX122,Parameter!$F$35:$G$64,2,0),2)),IF(OR(CC122="Nein",CC122=""),"-",CC122))))</f>
        <v>-</v>
      </c>
      <c r="AA122" s="55"/>
      <c r="AB122" s="56"/>
      <c r="AC122" s="50" t="n">
        <f aca="false">AV122</f>
        <v>30</v>
      </c>
      <c r="AD122" s="50" t="n">
        <f aca="false">MAX(AV122,H122)</f>
        <v>30</v>
      </c>
      <c r="AE122" s="57"/>
      <c r="AF122" s="50" t="n">
        <f aca="false">IF(LEFT(Cockpit!$C$5,1)="A",H122,IF(Parameter!$E$30="MAX-Bestand",IF(CH122=1,CI122,IF(LEFT(Cockpit!$C$5,1)="B",AL122,MAX(AL122,H122))),ROUNDUP(AJ122,0)))</f>
        <v>17</v>
      </c>
      <c r="AG122" s="50" t="n">
        <f aca="false">IF(BZ122=1,0,ROUNDUP(AF122/BY122,0))</f>
        <v>1</v>
      </c>
      <c r="AH122" s="52" t="n">
        <f aca="false">IF(CQ122&gt;0,CQ122*MAX(1,AF122/X122),IF(BZ122=1,IF(AF122&lt;=0,0,CD122*MAX(1,IF(H122&gt;0,AF122/H122,1))),IF(R122&gt;0,AG122/R122,0))/MAX(0.1,N(Parameter!$M$21)))</f>
        <v>0.25</v>
      </c>
      <c r="AI122" s="50" t="n">
        <f aca="false">AH122*CB122</f>
        <v>108.75</v>
      </c>
      <c r="AJ122" s="51" t="n">
        <f aca="false">IF(LEFT(Cockpit!$C$5,1)="A",H122,IF(CH122=1,(CK122+CI122)/2,IF(LEFT(Cockpit!$C$5,1)="B",(CK122+AL122)/2,MAX((CK122+AL122)/2,H122))))</f>
        <v>17</v>
      </c>
      <c r="AK122" s="50" t="n">
        <f aca="false">AJ122*G122</f>
        <v>4347.07</v>
      </c>
      <c r="AL122" s="50" t="n">
        <f aca="false">ROUNDUP(CK122+MAX(CL122,2*(J122/IF(CG122&gt;0,CG122,MAX(0.1,N(Cockpit!$C$6)))-CK122)),0)</f>
        <v>30</v>
      </c>
      <c r="AM122" s="51" t="n">
        <f aca="false">IF(AI122&gt;0,J122/AI122,-1)</f>
        <v>0.459770114942529</v>
      </c>
      <c r="AN122" s="51" t="str">
        <f aca="false">IF(AND(OR(CF122="L1",CF122="L23",CF122="LIFT"),AI122&gt;0),SUMIFS($AI$7:$AI$1843,$CF$7:$CF$1843,CF122,$AM$7:$AM$1843,"&gt;"&amp;AM122)+SUMIFS($AI$7:$AI$1843,$CF$7:$CF$1843,CF122,$AM$7:$AM$1843,AM122,$BW$7:$BW$1843,"&lt;="&amp;BW122),"")</f>
        <v/>
      </c>
      <c r="AO122" s="58" t="n">
        <f aca="false">IF(AN122="",0,MAX(0,MIN(1,(IF(CF122="L1",Parameter!$H$5,IF(CF122="L23",Parameter!$H$6+Parameter!$H$7,Parameter!$H$5+Parameter!$H$6+Parameter!$H$7))-(AN122-AI122))/AI122)))</f>
        <v>0</v>
      </c>
      <c r="AP122" s="50" t="n">
        <f aca="false">IF(LEFT(Cockpit!$I$5,1)="A",H122,IF(Parameter!$E$30="MAX-Bestand",IF(CH122=1,CI122,IF(LEFT(Cockpit!$I$5,1)="B",AV122,MAX(AV122,H122))),ROUNDUP(AT122,0)))</f>
        <v>20</v>
      </c>
      <c r="AQ122" s="50" t="n">
        <f aca="false">IF(BZ122=1,0,ROUNDUP(AP122/BY122,0))</f>
        <v>1</v>
      </c>
      <c r="AR122" s="52" t="n">
        <f aca="false">IF(CQ122&gt;0,CQ122*MAX(1,AP122/X122),IF(BZ122=1,IF(AP122&lt;=0,0,CD122*MAX(1,IF(H122&gt;0,AP122/H122,1))),IF(R122&gt;0,AQ122/R122,0))/MAX(0.1,N(Parameter!$M$21)))</f>
        <v>0.25</v>
      </c>
      <c r="AS122" s="50" t="n">
        <f aca="false">AR122*CB122</f>
        <v>108.75</v>
      </c>
      <c r="AT122" s="51" t="n">
        <f aca="false">IF(LEFT(Cockpit!$I$5,1)="A",H122,IF(CH122=1,(CK122+CI122)/2,IF(LEFT(Cockpit!$I$5,1)="B",(CK122+AV122)/2,MAX((CK122+AV122)/2,H122))))</f>
        <v>20</v>
      </c>
      <c r="AU122" s="50" t="n">
        <f aca="false">AT122*G122</f>
        <v>5114.2</v>
      </c>
      <c r="AV122" s="50" t="n">
        <f aca="false">ROUNDUP(CK122+MAX(CL122,2*(J122/IF(CG122&gt;0,CG122,MAX(0.1,N(Cockpit!$I$6)))-CK122)),0)</f>
        <v>30</v>
      </c>
      <c r="AW122" s="51" t="n">
        <f aca="false">IF(AS122&gt;0,J122/AS122,-1)</f>
        <v>0.459770114942529</v>
      </c>
      <c r="AX122" s="51" t="str">
        <f aca="false">IF(AND(OR(CF122="L1",CF122="L23",CF122="LIFT"),AS122&gt;0),SUMIFS($AS$7:$AS$1843,$CF$7:$CF$1843,CF122,$AW$7:$AW$1843,"&gt;"&amp;AW122)+SUMIFS($AS$7:$AS$1843,$CF$7:$CF$1843,CF122,$AW$7:$AW$1843,AW122,$BW$7:$BW$1843,"&lt;="&amp;BW122),"")</f>
        <v/>
      </c>
      <c r="AY122" s="58" t="n">
        <f aca="false">IF(AX122="",0,MAX(0,MIN(1,(IF(CF122="L1",Parameter!$H$5,IF(CF122="L23",Parameter!$H$6+Parameter!$H$7,Parameter!$H$5+Parameter!$H$6+Parameter!$H$7))-(AX122-AS122))/AS122)))</f>
        <v>0</v>
      </c>
      <c r="AZ122" s="50" t="n">
        <f aca="false">IF(LEFT(Cockpit!$O$5,1)="A",H122,IF(Parameter!$E$30="MAX-Bestand",IF(CH122=1,CI122,IF(LEFT(Cockpit!$O$5,1)="B",BF122,MAX(BF122,H122))),ROUNDUP(BD122,0)))</f>
        <v>20</v>
      </c>
      <c r="BA122" s="50" t="n">
        <f aca="false">IF(BZ122=1,0,ROUNDUP(AZ122/BY122,0))</f>
        <v>1</v>
      </c>
      <c r="BB122" s="52" t="n">
        <f aca="false">IF(CQ122&gt;0,CQ122*MAX(1,AZ122/X122),IF(BZ122=1,IF(AZ122&lt;=0,0,CD122*MAX(1,IF(H122&gt;0,AZ122/H122,1))),IF(R122&gt;0,BA122/R122,0))/MAX(0.1,N(Parameter!$M$21)))</f>
        <v>0.25</v>
      </c>
      <c r="BC122" s="50" t="n">
        <f aca="false">BB122*CB122</f>
        <v>108.75</v>
      </c>
      <c r="BD122" s="51" t="n">
        <f aca="false">IF(LEFT(Cockpit!$O$5,1)="A",H122,IF(CH122=1,(CK122+CI122)/2,IF(LEFT(Cockpit!$O$5,1)="B",(CK122+BF122)/2,MAX((CK122+BF122)/2,H122))))</f>
        <v>20</v>
      </c>
      <c r="BE122" s="50" t="n">
        <f aca="false">BD122*G122</f>
        <v>5114.2</v>
      </c>
      <c r="BF122" s="50" t="n">
        <f aca="false">ROUNDUP(CK122+MAX(CL122,2*(J122/IF(CG122&gt;0,CG122,MAX(0.1,N(Cockpit!$O$6)))-CK122)),0)</f>
        <v>30</v>
      </c>
      <c r="BG122" s="51" t="n">
        <f aca="false">IF(BC122&gt;0,J122/BC122,-1)</f>
        <v>0.459770114942529</v>
      </c>
      <c r="BH122" s="51" t="str">
        <f aca="false">IF(AND(OR(CF122="L1",CF122="L23",CF122="LIFT"),BC122&gt;0),SUMIFS($BC$7:$BC$1843,$CF$7:$CF$1843,CF122,$BG$7:$BG$1843,"&gt;"&amp;BG122)+SUMIFS($BC$7:$BC$1843,$CF$7:$CF$1843,CF122,$BG$7:$BG$1843,BG122,$BW$7:$BW$1843,"&lt;="&amp;BW122),"")</f>
        <v/>
      </c>
      <c r="BI122" s="58" t="n">
        <f aca="false">IF(BH122="",0,MAX(0,MIN(1,(IF(CF122="L1",Parameter!$H$5,IF(CF122="L23",Parameter!$H$6+Parameter!$H$7,Parameter!$H$5+Parameter!$H$6+Parameter!$H$7))-(BH122-BC122))/BC122)))</f>
        <v>0</v>
      </c>
      <c r="BJ122" s="48" t="str">
        <f aca="false">IF(AI122&lt;=0,"",IF(CF122="Aussen","Aussenlager",IF(CF122="-","Nicht im Lift",IF(AO122&gt;=1,"Lift",IF(AO122&lt;=0,"Aussenlager","teilweise")))))</f>
        <v>Nicht im Lift</v>
      </c>
      <c r="BK122" s="48" t="str">
        <f aca="false">IF(AS122&lt;=0,"",IF(CF122="Aussen","Aussenlager",IF(CF122="-","Nicht im Lift",IF(AY122&gt;=1,"Lift",IF(AY122&lt;=0,"Aussenlager","teilweise")))))</f>
        <v>Nicht im Lift</v>
      </c>
      <c r="BL122" s="48" t="str">
        <f aca="false">IF(BC122&lt;=0,"",IF(CF122="Aussen","Aussenlager",IF(CF122="-","Nicht im Lift",IF(BI122&gt;=1,"Lift",IF(BI122&lt;=0,"Aussenlager","teilweise")))))</f>
        <v>Nicht im Lift</v>
      </c>
      <c r="BM122" s="48" t="str">
        <f aca="false">IF(A122="","",IF(BV122=1,"Neu; ","")&amp;IF(AND(BV122=0,BQ122&lt;0),"negativer Bestand (Export "&amp;BQ122&amp;"); ","")&amp;IF(J122&lt;=0,"Kein Verbrauch; ","")&amp;IF(CQ122&gt;0,"Lift "&amp;W122&amp;" lt. Liftbericht (Fach "&amp;X122&amp;" Stk); ",IF(CA122=1,"Gebinde geschätzt ("&amp;T122&amp;"); ",IF(BZ122=1,"Lose – Tablare geschätzt; ","")))&amp;IF(H122&gt;AV122,"Überbestand "&amp;ROUND(H122-AV122,0)&amp;" Stk / CHF "&amp;ROUND((H122-AV122)*G122,0)&amp;"; ","")&amp;IF(AND(CH122=1,CI122&lt;CJ122),"MAX &lt; MB+LG; ","")&amp;IF(AND(CP122&gt;0,CO122*10&gt;CP122),"zu hoch für Tablar; ","")&amp;IF(AND(BV122=0,OR(CH122=1,AA122&lt;&gt;"",U122&lt;&gt;"",V122&lt;&gt;"",AB122&lt;&gt;"")),"manuell übersteuert; ","")&amp;IF(AND(BZ122=0,R122=0),"Gebinde unbekannt / Stellmass fehlt; ","")&amp;IF(AND(BZ122=0,N(V122)&lt;=0,N(Q122)&lt;=0),"Menge pro Gebinde fehlt (Ist = 1 Gebinde); ","")&amp;BU122)</f>
        <v>Überbestand</v>
      </c>
      <c r="BN122" s="48"/>
      <c r="BO122" s="48"/>
      <c r="BP122" s="55"/>
      <c r="BQ122" s="50" t="n">
        <v>7</v>
      </c>
      <c r="BR122" s="50" t="n">
        <v>10</v>
      </c>
      <c r="BS122" s="49" t="n">
        <v>1826.97</v>
      </c>
      <c r="BT122" s="50" t="n">
        <v>50</v>
      </c>
      <c r="BU122" s="48" t="s">
        <v>401</v>
      </c>
      <c r="BV122" s="53" t="n">
        <v>0</v>
      </c>
      <c r="BW122" s="53" t="n">
        <v>122</v>
      </c>
      <c r="BX122" s="48" t="str">
        <f aca="false">IF(U122&lt;&gt;"",UPPER(TRIM(U122)),IF(CA122=1,UPPER(VLOOKUP(T122,Parameter!$I$27:$K$29,2,0)),IF(P122="","LOSE",P122)))</f>
        <v>S82</v>
      </c>
      <c r="BY122" s="50" t="n">
        <f aca="false">IF(BX122="LOSE",1,IF(N(V122)&gt;0,V122,IF(CA122=1,MAX(1,N(VLOOKUP(T122,Parameter!$I$27:$K$29,3,0)),H122,N(N122)),IF(N(Q122)&gt;0,Q122,MAX(1,H122)))))</f>
        <v>35</v>
      </c>
      <c r="BZ122" s="53" t="n">
        <f aca="false">IF(BX122="LOSE",1,0)</f>
        <v>0</v>
      </c>
      <c r="CA122" s="53" t="n">
        <f aca="false">IF(AND(U122="",OR(P122="",P122="LOSE"),T122&lt;&gt;"",N(S122)&lt;=0,ISNUMBER(MATCH(T122,Parameter!$I$27:$I$29,0))),1,0)</f>
        <v>0</v>
      </c>
      <c r="CB122" s="53" t="n">
        <f aca="false">IF(CQ122&gt;0,INDEX(Parameter!$H$5:$H$7,W122)/INDEX(Parameter!$E$5:$E$7,W122),IF(AND(BZ122=0,N(IFERROR(VLOOKUP(BX122,'Gebinde-Kategorie'!$A$5:$N$45,14,0),0))&gt;0),VLOOKUP(BX122,'Gebinde-Kategorie'!$A$5:$N$45,14,0)*10+Parameter!$M$23,Parameter!$M$24))</f>
        <v>435</v>
      </c>
      <c r="CC122" s="48" t="str">
        <f aca="false">IF(AND(Parameter!$B$19="Ja",E122&lt;&gt;"",ISNUMBER(MATCH(E122,Parameter!$I$35:$I$52,0))),VLOOKUP(E122,Parameter!$I$35:$J$52,2,0),IFERROR(VLOOKUP(D122,Parameter!$A$35:$C$64,2,0),"Nein"))</f>
        <v>Nein</v>
      </c>
      <c r="CD122" s="52" t="n">
        <f aca="false">IF(BZ122=0,0,IF(N(S122)&gt;0,S122,IFERROR(VLOOKUP(D122,Parameter!$A$35:$C$64,3,0)+0,0)))</f>
        <v>0</v>
      </c>
      <c r="CE122" s="48" t="str">
        <f aca="false">IF(AA122&lt;&gt;"",AA122,Z122)</f>
        <v>-</v>
      </c>
      <c r="CF122" s="48" t="str">
        <f aca="false">IF(OR(CE122=1,CE122=2,CE122=3),IF(Parameter!$E$27="Ja","LIFT",IF(CE122=1,"L1","L23")),IF(CE122="Aussen","Aussen","-"))</f>
        <v>-</v>
      </c>
      <c r="CG122" s="59" t="n">
        <f aca="false">IF(N(AB122)&gt;0,AB122,0)</f>
        <v>0</v>
      </c>
      <c r="CH122" s="53" t="n">
        <f aca="false">IF(ISNUMBER(AE122),1,0)</f>
        <v>0</v>
      </c>
      <c r="CI122" s="50" t="n">
        <f aca="false">N(AE122)</f>
        <v>0</v>
      </c>
      <c r="CJ122" s="50" t="n">
        <f aca="false">N(M122)+N(N122)</f>
        <v>30</v>
      </c>
      <c r="CK122" s="50" t="n">
        <f aca="false">N(M122)</f>
        <v>10</v>
      </c>
      <c r="CL122" s="50" t="n">
        <f aca="false">N(N122)</f>
        <v>20</v>
      </c>
      <c r="CM122" s="50" t="n">
        <f aca="false">ROUNDUP(H122/BY122,0)</f>
        <v>1</v>
      </c>
      <c r="CN122" s="50" t="n">
        <f aca="false">ROUNDUP(CI122/BY122,0)</f>
        <v>0</v>
      </c>
      <c r="CO122" s="53" t="n">
        <f aca="false">IF(BZ122=1,0,IFERROR(VLOOKUP(BX122,'Gebinde-Kategorie'!$A$5:$N$45,5,0)+0,0))</f>
        <v>40</v>
      </c>
      <c r="CP122" s="53" t="n">
        <f aca="false">IFERROR(IF(OR(CE122=1,CE122=2,CE122=3),N(INDEX(Parameter!$I$5:$I$7,CE122)),0),0)</f>
        <v>0</v>
      </c>
      <c r="CQ122" s="52" t="n">
        <f aca="false">IF(AND(Parameter!$B$21="Ja",ISNUMBER(W122),N(X122)&gt;0),IFERROR(N(INDEX(Parameter!$L$5:$L$7,W122))*INDEX(Parameter!$E$5:$E$7,W122)*X122/SUMIFS($X$7:$X$1843,$W$7:$W$1843,W122),0),0)</f>
        <v>0</v>
      </c>
    </row>
    <row r="123" customFormat="false" ht="15" hidden="false" customHeight="false" outlineLevel="0" collapsed="false">
      <c r="A123" s="48" t="s">
        <v>463</v>
      </c>
      <c r="B123" s="48" t="s">
        <v>464</v>
      </c>
      <c r="C123" s="48" t="s">
        <v>465</v>
      </c>
      <c r="D123" s="48" t="s">
        <v>182</v>
      </c>
      <c r="E123" s="48"/>
      <c r="F123" s="48" t="s">
        <v>227</v>
      </c>
      <c r="G123" s="49" t="n">
        <v>606.9</v>
      </c>
      <c r="H123" s="50" t="n">
        <f aca="false">MAX(0,IF(AND(Parameter!$B$21="Ja",ISNUMBER(Y123)),Y123,IF(Parameter!$B$20="Jahresanfang 2025 + Export",BR123+BQ123,BQ123)))</f>
        <v>3</v>
      </c>
      <c r="I123" s="50" t="n">
        <f aca="false">H123*G123</f>
        <v>1820.7</v>
      </c>
      <c r="J123" s="50" t="n">
        <f aca="false">BT123*Parameter!$B$18</f>
        <v>6</v>
      </c>
      <c r="K123" s="51" t="n">
        <v>1.5</v>
      </c>
      <c r="L123" s="52" t="n">
        <v>4</v>
      </c>
      <c r="M123" s="50" t="n">
        <v>0</v>
      </c>
      <c r="N123" s="50" t="n">
        <v>1</v>
      </c>
      <c r="O123" s="53" t="n">
        <v>14</v>
      </c>
      <c r="P123" s="48" t="s">
        <v>177</v>
      </c>
      <c r="Q123" s="50"/>
      <c r="R123" s="53" t="n">
        <f aca="false">IF(BZ123=1,0,IFERROR(VLOOKUP(BX123,'Gebinde-Kategorie'!$A$5:$N$45,13,0)+0,0))</f>
        <v>4</v>
      </c>
      <c r="S123" s="54"/>
      <c r="T123" s="55" t="s">
        <v>198</v>
      </c>
      <c r="U123" s="55"/>
      <c r="V123" s="55"/>
      <c r="W123" s="48"/>
      <c r="X123" s="50"/>
      <c r="Y123" s="50"/>
      <c r="Z123" s="48" t="n">
        <f aca="false">IF(A123="","",IF(AND(Parameter!$B$21="Ja",ISNUMBER(W123)),W123,IF(CC123="2+3",IF(ISNUMBER(SEARCH("grosser Artikel",BU123)),2,IFERROR(VLOOKUP(BX123,Parameter!$F$35:$G$64,2,0),2)),IF(OR(CC123="Nein",CC123=""),"-",CC123))))</f>
        <v>2</v>
      </c>
      <c r="AA123" s="55"/>
      <c r="AB123" s="56"/>
      <c r="AC123" s="50" t="n">
        <f aca="false">AV123</f>
        <v>4</v>
      </c>
      <c r="AD123" s="50" t="n">
        <f aca="false">MAX(AV123,H123)</f>
        <v>4</v>
      </c>
      <c r="AE123" s="57"/>
      <c r="AF123" s="50" t="n">
        <f aca="false">IF(LEFT(Cockpit!$C$5,1)="A",H123,IF(Parameter!$E$30="MAX-Bestand",IF(CH123=1,CI123,IF(LEFT(Cockpit!$C$5,1)="B",AL123,MAX(AL123,H123))),ROUNDUP(AJ123,0)))</f>
        <v>3</v>
      </c>
      <c r="AG123" s="50" t="n">
        <f aca="false">IF(BZ123=1,0,ROUNDUP(AF123/BY123,0))</f>
        <v>1</v>
      </c>
      <c r="AH123" s="52" t="n">
        <f aca="false">IF(CQ123&gt;0,CQ123*MAX(1,AF123/X123),IF(BZ123=1,IF(AF123&lt;=0,0,CD123*MAX(1,IF(H123&gt;0,AF123/H123,1))),IF(R123&gt;0,AG123/R123,0))/MAX(0.1,N(Parameter!$M$21)))</f>
        <v>0.25</v>
      </c>
      <c r="AI123" s="50" t="n">
        <f aca="false">AH123*CB123</f>
        <v>58.75</v>
      </c>
      <c r="AJ123" s="51" t="n">
        <f aca="false">IF(LEFT(Cockpit!$C$5,1)="A",H123,IF(CH123=1,(CK123+CI123)/2,IF(LEFT(Cockpit!$C$5,1)="B",(CK123+AL123)/2,MAX((CK123+AL123)/2,H123))))</f>
        <v>3</v>
      </c>
      <c r="AK123" s="50" t="n">
        <f aca="false">AJ123*G123</f>
        <v>1820.7</v>
      </c>
      <c r="AL123" s="50" t="n">
        <f aca="false">ROUNDUP(CK123+MAX(CL123,2*(J123/IF(CG123&gt;0,CG123,MAX(0.1,N(Cockpit!$C$6)))-CK123)),0)</f>
        <v>4</v>
      </c>
      <c r="AM123" s="51" t="n">
        <f aca="false">IF(AI123&gt;0,J123/AI123,-1)</f>
        <v>0.102127659574468</v>
      </c>
      <c r="AN123" s="51" t="n">
        <f aca="false">IF(AND(OR(CF123="L1",CF123="L23",CF123="LIFT"),AI123&gt;0),SUMIFS($AI$7:$AI$1843,$CF$7:$CF$1843,CF123,$AM$7:$AM$1843,"&gt;"&amp;AM123)+SUMIFS($AI$7:$AI$1843,$CF$7:$CF$1843,CF123,$AM$7:$AM$1843,AM123,$BW$7:$BW$1843,"&lt;="&amp;BW123),"")</f>
        <v>15795.1844306823</v>
      </c>
      <c r="AO123" s="58" t="n">
        <f aca="false">IF(AN123="",0,MAX(0,MIN(1,(IF(CF123="L1",Parameter!$H$5,IF(CF123="L23",Parameter!$H$6+Parameter!$H$7,Parameter!$H$5+Parameter!$H$6+Parameter!$H$7))-(AN123-AI123))/AI123)))</f>
        <v>1</v>
      </c>
      <c r="AP123" s="50" t="n">
        <f aca="false">IF(LEFT(Cockpit!$I$5,1)="A",H123,IF(Parameter!$E$30="MAX-Bestand",IF(CH123=1,CI123,IF(LEFT(Cockpit!$I$5,1)="B",AV123,MAX(AV123,H123))),ROUNDUP(AT123,0)))</f>
        <v>3</v>
      </c>
      <c r="AQ123" s="50" t="n">
        <f aca="false">IF(BZ123=1,0,ROUNDUP(AP123/BY123,0))</f>
        <v>1</v>
      </c>
      <c r="AR123" s="52" t="n">
        <f aca="false">IF(CQ123&gt;0,CQ123*MAX(1,AP123/X123),IF(BZ123=1,IF(AP123&lt;=0,0,CD123*MAX(1,IF(H123&gt;0,AP123/H123,1))),IF(R123&gt;0,AQ123/R123,0))/MAX(0.1,N(Parameter!$M$21)))</f>
        <v>0.25</v>
      </c>
      <c r="AS123" s="50" t="n">
        <f aca="false">AR123*CB123</f>
        <v>58.75</v>
      </c>
      <c r="AT123" s="51" t="n">
        <f aca="false">IF(LEFT(Cockpit!$I$5,1)="A",H123,IF(CH123=1,(CK123+CI123)/2,IF(LEFT(Cockpit!$I$5,1)="B",(CK123+AV123)/2,MAX((CK123+AV123)/2,H123))))</f>
        <v>3</v>
      </c>
      <c r="AU123" s="50" t="n">
        <f aca="false">AT123*G123</f>
        <v>1820.7</v>
      </c>
      <c r="AV123" s="50" t="n">
        <f aca="false">ROUNDUP(CK123+MAX(CL123,2*(J123/IF(CG123&gt;0,CG123,MAX(0.1,N(Cockpit!$I$6)))-CK123)),0)</f>
        <v>4</v>
      </c>
      <c r="AW123" s="51" t="n">
        <f aca="false">IF(AS123&gt;0,J123/AS123,-1)</f>
        <v>0.102127659574468</v>
      </c>
      <c r="AX123" s="51" t="n">
        <f aca="false">IF(AND(OR(CF123="L1",CF123="L23",CF123="LIFT"),AS123&gt;0),SUMIFS($AS$7:$AS$1843,$CF$7:$CF$1843,CF123,$AW$7:$AW$1843,"&gt;"&amp;AW123)+SUMIFS($AS$7:$AS$1843,$CF$7:$CF$1843,CF123,$AW$7:$AW$1843,AW123,$BW$7:$BW$1843,"&lt;="&amp;BW123),"")</f>
        <v>19819.5830720598</v>
      </c>
      <c r="AY123" s="58" t="n">
        <f aca="false">IF(AX123="",0,MAX(0,MIN(1,(IF(CF123="L1",Parameter!$H$5,IF(CF123="L23",Parameter!$H$6+Parameter!$H$7,Parameter!$H$5+Parameter!$H$6+Parameter!$H$7))-(AX123-AS123))/AS123)))</f>
        <v>1</v>
      </c>
      <c r="AZ123" s="50" t="n">
        <f aca="false">IF(LEFT(Cockpit!$O$5,1)="A",H123,IF(Parameter!$E$30="MAX-Bestand",IF(CH123=1,CI123,IF(LEFT(Cockpit!$O$5,1)="B",BF123,MAX(BF123,H123))),ROUNDUP(BD123,0)))</f>
        <v>2</v>
      </c>
      <c r="BA123" s="50" t="n">
        <f aca="false">IF(BZ123=1,0,ROUNDUP(AZ123/BY123,0))</f>
        <v>1</v>
      </c>
      <c r="BB123" s="52" t="n">
        <f aca="false">IF(CQ123&gt;0,CQ123*MAX(1,AZ123/X123),IF(BZ123=1,IF(AZ123&lt;=0,0,CD123*MAX(1,IF(H123&gt;0,AZ123/H123,1))),IF(R123&gt;0,BA123/R123,0))/MAX(0.1,N(Parameter!$M$21)))</f>
        <v>0.25</v>
      </c>
      <c r="BC123" s="50" t="n">
        <f aca="false">BB123*CB123</f>
        <v>58.75</v>
      </c>
      <c r="BD123" s="51" t="n">
        <f aca="false">IF(LEFT(Cockpit!$O$5,1)="A",H123,IF(CH123=1,(CK123+CI123)/2,IF(LEFT(Cockpit!$O$5,1)="B",(CK123+BF123)/2,MAX((CK123+BF123)/2,H123))))</f>
        <v>1.5</v>
      </c>
      <c r="BE123" s="50" t="n">
        <f aca="false">BD123*G123</f>
        <v>910.35</v>
      </c>
      <c r="BF123" s="50" t="n">
        <f aca="false">ROUNDUP(CK123+MAX(CL123,2*(J123/IF(CG123&gt;0,CG123,MAX(0.1,N(Cockpit!$O$6)))-CK123)),0)</f>
        <v>3</v>
      </c>
      <c r="BG123" s="51" t="n">
        <f aca="false">IF(BC123&gt;0,J123/BC123,-1)</f>
        <v>0.102127659574468</v>
      </c>
      <c r="BH123" s="51" t="n">
        <f aca="false">IF(AND(OR(CF123="L1",CF123="L23",CF123="LIFT"),BC123&gt;0),SUMIFS($BC$7:$BC$1843,$CF$7:$CF$1843,CF123,$BG$7:$BG$1843,"&gt;"&amp;BG123)+SUMIFS($BC$7:$BC$1843,$CF$7:$CF$1843,CF123,$BG$7:$BG$1843,BG123,$BW$7:$BW$1843,"&lt;="&amp;BW123),"")</f>
        <v>17449.1456845885</v>
      </c>
      <c r="BI123" s="58" t="n">
        <f aca="false">IF(BH123="",0,MAX(0,MIN(1,(IF(CF123="L1",Parameter!$H$5,IF(CF123="L23",Parameter!$H$6+Parameter!$H$7,Parameter!$H$5+Parameter!$H$6+Parameter!$H$7))-(BH123-BC123))/BC123)))</f>
        <v>1</v>
      </c>
      <c r="BJ123" s="48" t="str">
        <f aca="false">IF(AI123&lt;=0,"",IF(CF123="Aussen","Aussenlager",IF(CF123="-","Nicht im Lift",IF(AO123&gt;=1,"Lift",IF(AO123&lt;=0,"Aussenlager","teilweise")))))</f>
        <v>Lift</v>
      </c>
      <c r="BK123" s="48" t="str">
        <f aca="false">IF(AS123&lt;=0,"",IF(CF123="Aussen","Aussenlager",IF(CF123="-","Nicht im Lift",IF(AY123&gt;=1,"Lift",IF(AY123&lt;=0,"Aussenlager","teilweise")))))</f>
        <v>Lift</v>
      </c>
      <c r="BL123" s="48" t="str">
        <f aca="false">IF(BC123&lt;=0,"",IF(CF123="Aussen","Aussenlager",IF(CF123="-","Nicht im Lift",IF(BI123&gt;=1,"Lift",IF(BI123&lt;=0,"Aussenlager","teilweise")))))</f>
        <v>Lift</v>
      </c>
      <c r="BM123" s="48" t="str">
        <f aca="false">IF(A123="","",IF(BV123=1,"Neu; ","")&amp;IF(AND(BV123=0,BQ123&lt;0),"negativer Bestand (Export "&amp;BQ123&amp;"); ","")&amp;IF(J123&lt;=0,"Kein Verbrauch; ","")&amp;IF(CQ123&gt;0,"Lift "&amp;W123&amp;" lt. Liftbericht (Fach "&amp;X123&amp;" Stk); ",IF(CA123=1,"Gebinde geschätzt ("&amp;T123&amp;"); ",IF(BZ123=1,"Lose – Tablare geschätzt; ","")))&amp;IF(H123&gt;AV123,"Überbestand "&amp;ROUND(H123-AV123,0)&amp;" Stk / CHF "&amp;ROUND((H123-AV123)*G123,0)&amp;"; ","")&amp;IF(AND(CH123=1,CI123&lt;CJ123),"MAX &lt; MB+LG; ","")&amp;IF(AND(CP123&gt;0,CO123*10&gt;CP123),"zu hoch für Tablar; ","")&amp;IF(AND(BV123=0,OR(CH123=1,AA123&lt;&gt;"",U123&lt;&gt;"",V123&lt;&gt;"",AB123&lt;&gt;"")),"manuell übersteuert; ","")&amp;IF(AND(BZ123=0,R123=0),"Gebinde unbekannt / Stellmass fehlt; ","")&amp;IF(AND(BZ123=0,N(V123)&lt;=0,N(Q123)&lt;=0),"Menge pro Gebinde fehlt (Ist = 1 Gebinde); ","")&amp;BU123)</f>
        <v>Gebinde geschätzt (Gross); Menge pro Gebinde fehlt (Ist = 1 Gebinde); </v>
      </c>
      <c r="BN123" s="48"/>
      <c r="BO123" s="48"/>
      <c r="BP123" s="55"/>
      <c r="BQ123" s="50" t="n">
        <v>3</v>
      </c>
      <c r="BR123" s="50" t="n">
        <v>0</v>
      </c>
      <c r="BS123" s="49" t="n">
        <v>1820.7</v>
      </c>
      <c r="BT123" s="50" t="n">
        <v>6</v>
      </c>
      <c r="BU123" s="48"/>
      <c r="BV123" s="53" t="n">
        <v>0</v>
      </c>
      <c r="BW123" s="53" t="n">
        <v>123</v>
      </c>
      <c r="BX123" s="48" t="str">
        <f aca="false">IF(U123&lt;&gt;"",UPPER(TRIM(U123)),IF(CA123=1,UPPER(VLOOKUP(T123,Parameter!$I$27:$K$29,2,0)),IF(P123="","LOSE",P123)))</f>
        <v>S81</v>
      </c>
      <c r="BY123" s="50" t="n">
        <f aca="false">IF(BX123="LOSE",1,IF(N(V123)&gt;0,V123,IF(CA123=1,MAX(1,N(VLOOKUP(T123,Parameter!$I$27:$K$29,3,0)),H123,N(N123)),IF(N(Q123)&gt;0,Q123,MAX(1,H123)))))</f>
        <v>3</v>
      </c>
      <c r="BZ123" s="53" t="n">
        <f aca="false">IF(BX123="LOSE",1,0)</f>
        <v>0</v>
      </c>
      <c r="CA123" s="53" t="n">
        <f aca="false">IF(AND(U123="",OR(P123="",P123="LOSE"),T123&lt;&gt;"",N(S123)&lt;=0,ISNUMBER(MATCH(T123,Parameter!$I$27:$I$29,0))),1,0)</f>
        <v>1</v>
      </c>
      <c r="CB123" s="53" t="n">
        <f aca="false">IF(CQ123&gt;0,INDEX(Parameter!$H$5:$H$7,W123)/INDEX(Parameter!$E$5:$E$7,W123),IF(AND(BZ123=0,N(IFERROR(VLOOKUP(BX123,'Gebinde-Kategorie'!$A$5:$N$45,14,0),0))&gt;0),VLOOKUP(BX123,'Gebinde-Kategorie'!$A$5:$N$45,14,0)*10+Parameter!$M$23,Parameter!$M$24))</f>
        <v>235</v>
      </c>
      <c r="CC123" s="48" t="str">
        <f aca="false">IF(AND(Parameter!$B$19="Ja",E123&lt;&gt;"",ISNUMBER(MATCH(E123,Parameter!$I$35:$I$52,0))),VLOOKUP(E123,Parameter!$I$35:$J$52,2,0),IFERROR(VLOOKUP(D123,Parameter!$A$35:$C$64,2,0),"Nein"))</f>
        <v>2+3</v>
      </c>
      <c r="CD123" s="52" t="n">
        <f aca="false">IF(BZ123=0,0,IF(N(S123)&gt;0,S123,IFERROR(VLOOKUP(D123,Parameter!$A$35:$C$64,3,0)+0,0)))</f>
        <v>0</v>
      </c>
      <c r="CE123" s="48" t="n">
        <f aca="false">IF(AA123&lt;&gt;"",AA123,Z123)</f>
        <v>2</v>
      </c>
      <c r="CF123" s="48" t="str">
        <f aca="false">IF(OR(CE123=1,CE123=2,CE123=3),IF(Parameter!$E$27="Ja","LIFT",IF(CE123=1,"L1","L23")),IF(CE123="Aussen","Aussen","-"))</f>
        <v>LIFT</v>
      </c>
      <c r="CG123" s="59" t="n">
        <f aca="false">IF(N(AB123)&gt;0,AB123,0)</f>
        <v>0</v>
      </c>
      <c r="CH123" s="53" t="n">
        <f aca="false">IF(ISNUMBER(AE123),1,0)</f>
        <v>0</v>
      </c>
      <c r="CI123" s="50" t="n">
        <f aca="false">N(AE123)</f>
        <v>0</v>
      </c>
      <c r="CJ123" s="50" t="n">
        <f aca="false">N(M123)+N(N123)</f>
        <v>1</v>
      </c>
      <c r="CK123" s="50" t="n">
        <f aca="false">N(M123)</f>
        <v>0</v>
      </c>
      <c r="CL123" s="50" t="n">
        <f aca="false">N(N123)</f>
        <v>1</v>
      </c>
      <c r="CM123" s="50" t="n">
        <f aca="false">ROUNDUP(H123/BY123,0)</f>
        <v>1</v>
      </c>
      <c r="CN123" s="50" t="n">
        <f aca="false">ROUNDUP(CI123/BY123,0)</f>
        <v>0</v>
      </c>
      <c r="CO123" s="53" t="n">
        <f aca="false">IF(BZ123=1,0,IFERROR(VLOOKUP(BX123,'Gebinde-Kategorie'!$A$5:$N$45,5,0)+0,0))</f>
        <v>20</v>
      </c>
      <c r="CP123" s="53" t="n">
        <f aca="false">IFERROR(IF(OR(CE123=1,CE123=2,CE123=3),N(INDEX(Parameter!$I$5:$I$7,CE123)),0),0)</f>
        <v>0</v>
      </c>
      <c r="CQ123" s="52" t="n">
        <f aca="false">IF(AND(Parameter!$B$21="Ja",ISNUMBER(W123),N(X123)&gt;0),IFERROR(N(INDEX(Parameter!$L$5:$L$7,W123))*INDEX(Parameter!$E$5:$E$7,W123)*X123/SUMIFS($X$7:$X$1843,$W$7:$W$1843,W123),0),0)</f>
        <v>0</v>
      </c>
    </row>
    <row r="124" customFormat="false" ht="15" hidden="false" customHeight="false" outlineLevel="0" collapsed="false">
      <c r="A124" s="48" t="s">
        <v>466</v>
      </c>
      <c r="B124" s="48" t="s">
        <v>467</v>
      </c>
      <c r="C124" s="48" t="s">
        <v>173</v>
      </c>
      <c r="D124" s="48" t="s">
        <v>193</v>
      </c>
      <c r="E124" s="48"/>
      <c r="F124" s="48" t="s">
        <v>227</v>
      </c>
      <c r="G124" s="49" t="n">
        <v>44.35</v>
      </c>
      <c r="H124" s="50" t="n">
        <f aca="false">MAX(0,IF(AND(Parameter!$B$21="Ja",ISNUMBER(Y124)),Y124,IF(Parameter!$B$20="Jahresanfang 2025 + Export",BR124+BQ124,BQ124)))</f>
        <v>50</v>
      </c>
      <c r="I124" s="50" t="n">
        <f aca="false">H124*G124</f>
        <v>2217.5</v>
      </c>
      <c r="J124" s="50" t="n">
        <f aca="false">BT124*Parameter!$B$18</f>
        <v>0</v>
      </c>
      <c r="K124" s="51" t="n">
        <v>10</v>
      </c>
      <c r="L124" s="52" t="n">
        <v>0</v>
      </c>
      <c r="M124" s="50" t="n">
        <v>0</v>
      </c>
      <c r="N124" s="50" t="n">
        <v>1</v>
      </c>
      <c r="O124" s="53" t="n">
        <v>42</v>
      </c>
      <c r="P124" s="48" t="s">
        <v>311</v>
      </c>
      <c r="Q124" s="50" t="n">
        <v>50</v>
      </c>
      <c r="R124" s="53" t="n">
        <f aca="false">IF(BZ124=1,0,IFERROR(VLOOKUP(BX124,'Gebinde-Kategorie'!$A$5:$N$45,13,0)+0,0))</f>
        <v>26</v>
      </c>
      <c r="S124" s="54"/>
      <c r="T124" s="55"/>
      <c r="U124" s="55"/>
      <c r="V124" s="55"/>
      <c r="W124" s="48"/>
      <c r="X124" s="50"/>
      <c r="Y124" s="50"/>
      <c r="Z124" s="48" t="n">
        <f aca="false">IF(A124="","",IF(AND(Parameter!$B$21="Ja",ISNUMBER(W124)),W124,IF(CC124="2+3",IF(ISNUMBER(SEARCH("grosser Artikel",BU124)),2,IFERROR(VLOOKUP(BX124,Parameter!$F$35:$G$64,2,0),2)),IF(OR(CC124="Nein",CC124=""),"-",CC124))))</f>
        <v>3</v>
      </c>
      <c r="AA124" s="55"/>
      <c r="AB124" s="56"/>
      <c r="AC124" s="50" t="n">
        <f aca="false">AV124</f>
        <v>1</v>
      </c>
      <c r="AD124" s="50" t="n">
        <f aca="false">MAX(AV124,H124)</f>
        <v>50</v>
      </c>
      <c r="AE124" s="57"/>
      <c r="AF124" s="50" t="n">
        <f aca="false">IF(LEFT(Cockpit!$C$5,1)="A",H124,IF(Parameter!$E$30="MAX-Bestand",IF(CH124=1,CI124,IF(LEFT(Cockpit!$C$5,1)="B",AL124,MAX(AL124,H124))),ROUNDUP(AJ124,0)))</f>
        <v>50</v>
      </c>
      <c r="AG124" s="50" t="n">
        <f aca="false">IF(BZ124=1,0,ROUNDUP(AF124/BY124,0))</f>
        <v>1</v>
      </c>
      <c r="AH124" s="52" t="n">
        <f aca="false">IF(CQ124&gt;0,CQ124*MAX(1,AF124/X124),IF(BZ124=1,IF(AF124&lt;=0,0,CD124*MAX(1,IF(H124&gt;0,AF124/H124,1))),IF(R124&gt;0,AG124/R124,0))/MAX(0.1,N(Parameter!$M$21)))</f>
        <v>0.0384615384615385</v>
      </c>
      <c r="AI124" s="50" t="n">
        <f aca="false">AH124*CB124</f>
        <v>5.96153846153846</v>
      </c>
      <c r="AJ124" s="51" t="n">
        <f aca="false">IF(LEFT(Cockpit!$C$5,1)="A",H124,IF(CH124=1,(CK124+CI124)/2,IF(LEFT(Cockpit!$C$5,1)="B",(CK124+AL124)/2,MAX((CK124+AL124)/2,H124))))</f>
        <v>50</v>
      </c>
      <c r="AK124" s="50" t="n">
        <f aca="false">AJ124*G124</f>
        <v>2217.5</v>
      </c>
      <c r="AL124" s="50" t="n">
        <f aca="false">ROUNDUP(CK124+MAX(CL124,2*(J124/IF(CG124&gt;0,CG124,MAX(0.1,N(Cockpit!$C$6)))-CK124)),0)</f>
        <v>1</v>
      </c>
      <c r="AM124" s="51" t="n">
        <f aca="false">IF(AI124&gt;0,J124/AI124,-1)</f>
        <v>0</v>
      </c>
      <c r="AN124" s="51" t="n">
        <f aca="false">IF(AND(OR(CF124="L1",CF124="L23",CF124="LIFT"),AI124&gt;0),SUMIFS($AI$7:$AI$1843,$CF$7:$CF$1843,CF124,$AM$7:$AM$1843,"&gt;"&amp;AM124)+SUMIFS($AI$7:$AI$1843,$CF$7:$CF$1843,CF124,$AM$7:$AM$1843,AM124,$BW$7:$BW$1843,"&lt;="&amp;BW124),"")</f>
        <v>27006.224754765</v>
      </c>
      <c r="AO124" s="58" t="n">
        <f aca="false">IF(AN124="",0,MAX(0,MIN(1,(IF(CF124="L1",Parameter!$H$5,IF(CF124="L23",Parameter!$H$6+Parameter!$H$7,Parameter!$H$5+Parameter!$H$6+Parameter!$H$7))-(AN124-AI124))/AI124)))</f>
        <v>1</v>
      </c>
      <c r="AP124" s="50" t="n">
        <f aca="false">IF(LEFT(Cockpit!$I$5,1)="A",H124,IF(Parameter!$E$30="MAX-Bestand",IF(CH124=1,CI124,IF(LEFT(Cockpit!$I$5,1)="B",AV124,MAX(AV124,H124))),ROUNDUP(AT124,0)))</f>
        <v>50</v>
      </c>
      <c r="AQ124" s="50" t="n">
        <f aca="false">IF(BZ124=1,0,ROUNDUP(AP124/BY124,0))</f>
        <v>1</v>
      </c>
      <c r="AR124" s="52" t="n">
        <f aca="false">IF(CQ124&gt;0,CQ124*MAX(1,AP124/X124),IF(BZ124=1,IF(AP124&lt;=0,0,CD124*MAX(1,IF(H124&gt;0,AP124/H124,1))),IF(R124&gt;0,AQ124/R124,0))/MAX(0.1,N(Parameter!$M$21)))</f>
        <v>0.0384615384615385</v>
      </c>
      <c r="AS124" s="50" t="n">
        <f aca="false">AR124*CB124</f>
        <v>5.96153846153846</v>
      </c>
      <c r="AT124" s="51" t="n">
        <f aca="false">IF(LEFT(Cockpit!$I$5,1)="A",H124,IF(CH124=1,(CK124+CI124)/2,IF(LEFT(Cockpit!$I$5,1)="B",(CK124+AV124)/2,MAX((CK124+AV124)/2,H124))))</f>
        <v>50</v>
      </c>
      <c r="AU124" s="50" t="n">
        <f aca="false">AT124*G124</f>
        <v>2217.5</v>
      </c>
      <c r="AV124" s="50" t="n">
        <f aca="false">ROUNDUP(CK124+MAX(CL124,2*(J124/IF(CG124&gt;0,CG124,MAX(0.1,N(Cockpit!$I$6)))-CK124)),0)</f>
        <v>1</v>
      </c>
      <c r="AW124" s="51" t="n">
        <f aca="false">IF(AS124&gt;0,J124/AS124,-1)</f>
        <v>0</v>
      </c>
      <c r="AX124" s="51" t="n">
        <f aca="false">IF(AND(OR(CF124="L1",CF124="L23",CF124="LIFT"),AS124&gt;0),SUMIFS($AS$7:$AS$1843,$CF$7:$CF$1843,CF124,$AW$7:$AW$1843,"&gt;"&amp;AW124)+SUMIFS($AS$7:$AS$1843,$CF$7:$CF$1843,CF124,$AW$7:$AW$1843,AW124,$BW$7:$BW$1843,"&lt;="&amp;BW124),"")</f>
        <v>32359.3733961425</v>
      </c>
      <c r="AY124" s="58" t="n">
        <f aca="false">IF(AX124="",0,MAX(0,MIN(1,(IF(CF124="L1",Parameter!$H$5,IF(CF124="L23",Parameter!$H$6+Parameter!$H$7,Parameter!$H$5+Parameter!$H$6+Parameter!$H$7))-(AX124-AS124))/AS124)))</f>
        <v>1</v>
      </c>
      <c r="AZ124" s="50" t="n">
        <f aca="false">IF(LEFT(Cockpit!$O$5,1)="A",H124,IF(Parameter!$E$30="MAX-Bestand",IF(CH124=1,CI124,IF(LEFT(Cockpit!$O$5,1)="B",BF124,MAX(BF124,H124))),ROUNDUP(BD124,0)))</f>
        <v>1</v>
      </c>
      <c r="BA124" s="50" t="n">
        <f aca="false">IF(BZ124=1,0,ROUNDUP(AZ124/BY124,0))</f>
        <v>1</v>
      </c>
      <c r="BB124" s="52" t="n">
        <f aca="false">IF(CQ124&gt;0,CQ124*MAX(1,AZ124/X124),IF(BZ124=1,IF(AZ124&lt;=0,0,CD124*MAX(1,IF(H124&gt;0,AZ124/H124,1))),IF(R124&gt;0,BA124/R124,0))/MAX(0.1,N(Parameter!$M$21)))</f>
        <v>0.0384615384615385</v>
      </c>
      <c r="BC124" s="50" t="n">
        <f aca="false">BB124*CB124</f>
        <v>5.96153846153846</v>
      </c>
      <c r="BD124" s="51" t="n">
        <f aca="false">IF(LEFT(Cockpit!$O$5,1)="A",H124,IF(CH124=1,(CK124+CI124)/2,IF(LEFT(Cockpit!$O$5,1)="B",(CK124+BF124)/2,MAX((CK124+BF124)/2,H124))))</f>
        <v>0.5</v>
      </c>
      <c r="BE124" s="50" t="n">
        <f aca="false">BD124*G124</f>
        <v>22.175</v>
      </c>
      <c r="BF124" s="50" t="n">
        <f aca="false">ROUNDUP(CK124+MAX(CL124,2*(J124/IF(CG124&gt;0,CG124,MAX(0.1,N(Cockpit!$O$6)))-CK124)),0)</f>
        <v>1</v>
      </c>
      <c r="BG124" s="51" t="n">
        <f aca="false">IF(BC124&gt;0,J124/BC124,-1)</f>
        <v>0</v>
      </c>
      <c r="BH124" s="51" t="n">
        <f aca="false">IF(AND(OR(CF124="L1",CF124="L23",CF124="LIFT"),BC124&gt;0),SUMIFS($BC$7:$BC$1843,$CF$7:$CF$1843,CF124,$BG$7:$BG$1843,"&gt;"&amp;BG124)+SUMIFS($BC$7:$BC$1843,$CF$7:$CF$1843,CF124,$BG$7:$BG$1843,BG124,$BW$7:$BW$1843,"&lt;="&amp;BW124),"")</f>
        <v>26555.9552394404</v>
      </c>
      <c r="BI124" s="58" t="n">
        <f aca="false">IF(BH124="",0,MAX(0,MIN(1,(IF(CF124="L1",Parameter!$H$5,IF(CF124="L23",Parameter!$H$6+Parameter!$H$7,Parameter!$H$5+Parameter!$H$6+Parameter!$H$7))-(BH124-BC124))/BC124)))</f>
        <v>1</v>
      </c>
      <c r="BJ124" s="48" t="str">
        <f aca="false">IF(AI124&lt;=0,"",IF(CF124="Aussen","Aussenlager",IF(CF124="-","Nicht im Lift",IF(AO124&gt;=1,"Lift",IF(AO124&lt;=0,"Aussenlager","teilweise")))))</f>
        <v>Lift</v>
      </c>
      <c r="BK124" s="48" t="str">
        <f aca="false">IF(AS124&lt;=0,"",IF(CF124="Aussen","Aussenlager",IF(CF124="-","Nicht im Lift",IF(AY124&gt;=1,"Lift",IF(AY124&lt;=0,"Aussenlager","teilweise")))))</f>
        <v>Lift</v>
      </c>
      <c r="BL124" s="48" t="str">
        <f aca="false">IF(BC124&lt;=0,"",IF(CF124="Aussen","Aussenlager",IF(CF124="-","Nicht im Lift",IF(BI124&gt;=1,"Lift",IF(BI124&lt;=0,"Aussenlager","teilweise")))))</f>
        <v>Lift</v>
      </c>
      <c r="BM124" s="48" t="str">
        <f aca="false">IF(A124="","",IF(BV124=1,"Neu; ","")&amp;IF(AND(BV124=0,BQ124&lt;0),"negativer Bestand (Export "&amp;BQ124&amp;"); ","")&amp;IF(J124&lt;=0,"Kein Verbrauch; ","")&amp;IF(CQ124&gt;0,"Lift "&amp;W124&amp;" lt. Liftbericht (Fach "&amp;X124&amp;" Stk); ",IF(CA124=1,"Gebinde geschätzt ("&amp;T124&amp;"); ",IF(BZ124=1,"Lose – Tablare geschätzt; ","")))&amp;IF(H124&gt;AV124,"Überbestand "&amp;ROUND(H124-AV124,0)&amp;" Stk / CHF "&amp;ROUND((H124-AV124)*G124,0)&amp;"; ","")&amp;IF(AND(CH124=1,CI124&lt;CJ124),"MAX &lt; MB+LG; ","")&amp;IF(AND(CP124&gt;0,CO124*10&gt;CP124),"zu hoch für Tablar; ","")&amp;IF(AND(BV124=0,OR(CH124=1,AA124&lt;&gt;"",U124&lt;&gt;"",V124&lt;&gt;"",AB124&lt;&gt;"")),"manuell übersteuert; ","")&amp;IF(AND(BZ124=0,R124=0),"Gebinde unbekannt / Stellmass fehlt; ","")&amp;IF(AND(BZ124=0,N(V124)&lt;=0,N(Q124)&lt;=0),"Menge pro Gebinde fehlt (Ist = 1 Gebinde); ","")&amp;BU124)</f>
        <v>Kein Verbrauch; Überbestand 49 Stk / CHF 2173; </v>
      </c>
      <c r="BN124" s="48"/>
      <c r="BO124" s="48"/>
      <c r="BP124" s="55"/>
      <c r="BQ124" s="50" t="n">
        <v>40</v>
      </c>
      <c r="BR124" s="50" t="n">
        <v>10</v>
      </c>
      <c r="BS124" s="49" t="n">
        <v>1795</v>
      </c>
      <c r="BT124" s="50" t="n">
        <v>0</v>
      </c>
      <c r="BU124" s="48"/>
      <c r="BV124" s="53" t="n">
        <v>0</v>
      </c>
      <c r="BW124" s="53" t="n">
        <v>124</v>
      </c>
      <c r="BX124" s="48" t="str">
        <f aca="false">IF(U124&lt;&gt;"",UPPER(TRIM(U124)),IF(CA124=1,UPPER(VLOOKUP(T124,Parameter!$I$27:$K$29,2,0)),IF(P124="","LOSE",P124)))</f>
        <v>S51</v>
      </c>
      <c r="BY124" s="50" t="n">
        <f aca="false">IF(BX124="LOSE",1,IF(N(V124)&gt;0,V124,IF(CA124=1,MAX(1,N(VLOOKUP(T124,Parameter!$I$27:$K$29,3,0)),H124,N(N124)),IF(N(Q124)&gt;0,Q124,MAX(1,H124)))))</f>
        <v>50</v>
      </c>
      <c r="BZ124" s="53" t="n">
        <f aca="false">IF(BX124="LOSE",1,0)</f>
        <v>0</v>
      </c>
      <c r="CA124" s="53" t="n">
        <f aca="false">IF(AND(U124="",OR(P124="",P124="LOSE"),T124&lt;&gt;"",N(S124)&lt;=0,ISNUMBER(MATCH(T124,Parameter!$I$27:$I$29,0))),1,0)</f>
        <v>0</v>
      </c>
      <c r="CB124" s="53" t="n">
        <f aca="false">IF(CQ124&gt;0,INDEX(Parameter!$H$5:$H$7,W124)/INDEX(Parameter!$E$5:$E$7,W124),IF(AND(BZ124=0,N(IFERROR(VLOOKUP(BX124,'Gebinde-Kategorie'!$A$5:$N$45,14,0),0))&gt;0),VLOOKUP(BX124,'Gebinde-Kategorie'!$A$5:$N$45,14,0)*10+Parameter!$M$23,Parameter!$M$24))</f>
        <v>155</v>
      </c>
      <c r="CC124" s="48" t="str">
        <f aca="false">IF(AND(Parameter!$B$19="Ja",E124&lt;&gt;"",ISNUMBER(MATCH(E124,Parameter!$I$35:$I$52,0))),VLOOKUP(E124,Parameter!$I$35:$J$52,2,0),IFERROR(VLOOKUP(D124,Parameter!$A$35:$C$64,2,0),"Nein"))</f>
        <v>2+3</v>
      </c>
      <c r="CD124" s="52" t="n">
        <f aca="false">IF(BZ124=0,0,IF(N(S124)&gt;0,S124,IFERROR(VLOOKUP(D124,Parameter!$A$35:$C$64,3,0)+0,0)))</f>
        <v>0</v>
      </c>
      <c r="CE124" s="48" t="n">
        <f aca="false">IF(AA124&lt;&gt;"",AA124,Z124)</f>
        <v>3</v>
      </c>
      <c r="CF124" s="48" t="str">
        <f aca="false">IF(OR(CE124=1,CE124=2,CE124=3),IF(Parameter!$E$27="Ja","LIFT",IF(CE124=1,"L1","L23")),IF(CE124="Aussen","Aussen","-"))</f>
        <v>LIFT</v>
      </c>
      <c r="CG124" s="59" t="n">
        <f aca="false">IF(N(AB124)&gt;0,AB124,0)</f>
        <v>0</v>
      </c>
      <c r="CH124" s="53" t="n">
        <f aca="false">IF(ISNUMBER(AE124),1,0)</f>
        <v>0</v>
      </c>
      <c r="CI124" s="50" t="n">
        <f aca="false">N(AE124)</f>
        <v>0</v>
      </c>
      <c r="CJ124" s="50" t="n">
        <f aca="false">N(M124)+N(N124)</f>
        <v>1</v>
      </c>
      <c r="CK124" s="50" t="n">
        <f aca="false">N(M124)</f>
        <v>0</v>
      </c>
      <c r="CL124" s="50" t="n">
        <f aca="false">N(N124)</f>
        <v>1</v>
      </c>
      <c r="CM124" s="50" t="n">
        <f aca="false">ROUNDUP(H124/BY124,0)</f>
        <v>1</v>
      </c>
      <c r="CN124" s="50" t="n">
        <f aca="false">ROUNDUP(CI124/BY124,0)</f>
        <v>0</v>
      </c>
      <c r="CO124" s="53" t="n">
        <f aca="false">IF(BZ124=1,0,IFERROR(VLOOKUP(BX124,'Gebinde-Kategorie'!$A$5:$N$45,5,0)+0,0))</f>
        <v>11</v>
      </c>
      <c r="CP124" s="53" t="n">
        <f aca="false">IFERROR(IF(OR(CE124=1,CE124=2,CE124=3),N(INDEX(Parameter!$I$5:$I$7,CE124)),0),0)</f>
        <v>0</v>
      </c>
      <c r="CQ124" s="52" t="n">
        <f aca="false">IF(AND(Parameter!$B$21="Ja",ISNUMBER(W124),N(X124)&gt;0),IFERROR(N(INDEX(Parameter!$L$5:$L$7,W124))*INDEX(Parameter!$E$5:$E$7,W124)*X124/SUMIFS($X$7:$X$1843,$W$7:$W$1843,W124),0),0)</f>
        <v>0</v>
      </c>
    </row>
    <row r="125" customFormat="false" ht="15" hidden="false" customHeight="false" outlineLevel="0" collapsed="false">
      <c r="A125" s="48" t="s">
        <v>468</v>
      </c>
      <c r="B125" s="48" t="s">
        <v>469</v>
      </c>
      <c r="C125" s="48" t="s">
        <v>173</v>
      </c>
      <c r="D125" s="48" t="s">
        <v>182</v>
      </c>
      <c r="E125" s="48"/>
      <c r="F125" s="48" t="s">
        <v>227</v>
      </c>
      <c r="G125" s="49" t="n">
        <v>583</v>
      </c>
      <c r="H125" s="50" t="n">
        <f aca="false">MAX(0,IF(AND(Parameter!$B$21="Ja",ISNUMBER(Y125)),Y125,IF(Parameter!$B$20="Jahresanfang 2025 + Export",BR125+BQ125,BQ125)))</f>
        <v>5</v>
      </c>
      <c r="I125" s="50" t="n">
        <f aca="false">H125*G125</f>
        <v>2915</v>
      </c>
      <c r="J125" s="50" t="n">
        <f aca="false">BT125*Parameter!$B$18</f>
        <v>2</v>
      </c>
      <c r="K125" s="51" t="n">
        <v>1.5</v>
      </c>
      <c r="L125" s="52" t="n">
        <v>1.33333333333333</v>
      </c>
      <c r="M125" s="50" t="n">
        <v>0</v>
      </c>
      <c r="N125" s="50" t="n">
        <v>1</v>
      </c>
      <c r="O125" s="53" t="n">
        <v>35</v>
      </c>
      <c r="P125" s="48" t="s">
        <v>195</v>
      </c>
      <c r="Q125" s="50" t="n">
        <v>7</v>
      </c>
      <c r="R125" s="53" t="n">
        <f aca="false">IF(BZ125=1,0,IFERROR(VLOOKUP(BX125,'Gebinde-Kategorie'!$A$5:$N$45,13,0)+0,0))</f>
        <v>12</v>
      </c>
      <c r="S125" s="54"/>
      <c r="T125" s="55"/>
      <c r="U125" s="55"/>
      <c r="V125" s="55"/>
      <c r="W125" s="48"/>
      <c r="X125" s="50"/>
      <c r="Y125" s="50"/>
      <c r="Z125" s="48" t="n">
        <f aca="false">IF(A125="","",IF(AND(Parameter!$B$21="Ja",ISNUMBER(W125)),W125,IF(CC125="2+3",IF(ISNUMBER(SEARCH("grosser Artikel",BU125)),2,IFERROR(VLOOKUP(BX125,Parameter!$F$35:$G$64,2,0),2)),IF(OR(CC125="Nein",CC125=""),"-",CC125))))</f>
        <v>2</v>
      </c>
      <c r="AA125" s="55"/>
      <c r="AB125" s="56"/>
      <c r="AC125" s="50" t="n">
        <f aca="false">AV125</f>
        <v>2</v>
      </c>
      <c r="AD125" s="50" t="n">
        <f aca="false">MAX(AV125,H125)</f>
        <v>5</v>
      </c>
      <c r="AE125" s="57"/>
      <c r="AF125" s="50" t="n">
        <f aca="false">IF(LEFT(Cockpit!$C$5,1)="A",H125,IF(Parameter!$E$30="MAX-Bestand",IF(CH125=1,CI125,IF(LEFT(Cockpit!$C$5,1)="B",AL125,MAX(AL125,H125))),ROUNDUP(AJ125,0)))</f>
        <v>5</v>
      </c>
      <c r="AG125" s="50" t="n">
        <f aca="false">IF(BZ125=1,0,ROUNDUP(AF125/BY125,0))</f>
        <v>1</v>
      </c>
      <c r="AH125" s="52" t="n">
        <f aca="false">IF(CQ125&gt;0,CQ125*MAX(1,AF125/X125),IF(BZ125=1,IF(AF125&lt;=0,0,CD125*MAX(1,IF(H125&gt;0,AF125/H125,1))),IF(R125&gt;0,AG125/R125,0))/MAX(0.1,N(Parameter!$M$21)))</f>
        <v>0.0833333333333333</v>
      </c>
      <c r="AI125" s="50" t="n">
        <f aca="false">AH125*CB125</f>
        <v>12.0833333333333</v>
      </c>
      <c r="AJ125" s="51" t="n">
        <f aca="false">IF(LEFT(Cockpit!$C$5,1)="A",H125,IF(CH125=1,(CK125+CI125)/2,IF(LEFT(Cockpit!$C$5,1)="B",(CK125+AL125)/2,MAX((CK125+AL125)/2,H125))))</f>
        <v>5</v>
      </c>
      <c r="AK125" s="50" t="n">
        <f aca="false">AJ125*G125</f>
        <v>2915</v>
      </c>
      <c r="AL125" s="50" t="n">
        <f aca="false">ROUNDUP(CK125+MAX(CL125,2*(J125/IF(CG125&gt;0,CG125,MAX(0.1,N(Cockpit!$C$6)))-CK125)),0)</f>
        <v>2</v>
      </c>
      <c r="AM125" s="51" t="n">
        <f aca="false">IF(AI125&gt;0,J125/AI125,-1)</f>
        <v>0.16551724137931</v>
      </c>
      <c r="AN125" s="51" t="n">
        <f aca="false">IF(AND(OR(CF125="L1",CF125="L23",CF125="LIFT"),AI125&gt;0),SUMIFS($AI$7:$AI$1843,$CF$7:$CF$1843,CF125,$AM$7:$AM$1843,"&gt;"&amp;AM125)+SUMIFS($AI$7:$AI$1843,$CF$7:$CF$1843,CF125,$AM$7:$AM$1843,AM125,$BW$7:$BW$1843,"&lt;="&amp;BW125),"")</f>
        <v>12781.2401311024</v>
      </c>
      <c r="AO125" s="58" t="n">
        <f aca="false">IF(AN125="",0,MAX(0,MIN(1,(IF(CF125="L1",Parameter!$H$5,IF(CF125="L23",Parameter!$H$6+Parameter!$H$7,Parameter!$H$5+Parameter!$H$6+Parameter!$H$7))-(AN125-AI125))/AI125)))</f>
        <v>1</v>
      </c>
      <c r="AP125" s="50" t="n">
        <f aca="false">IF(LEFT(Cockpit!$I$5,1)="A",H125,IF(Parameter!$E$30="MAX-Bestand",IF(CH125=1,CI125,IF(LEFT(Cockpit!$I$5,1)="B",AV125,MAX(AV125,H125))),ROUNDUP(AT125,0)))</f>
        <v>5</v>
      </c>
      <c r="AQ125" s="50" t="n">
        <f aca="false">IF(BZ125=1,0,ROUNDUP(AP125/BY125,0))</f>
        <v>1</v>
      </c>
      <c r="AR125" s="52" t="n">
        <f aca="false">IF(CQ125&gt;0,CQ125*MAX(1,AP125/X125),IF(BZ125=1,IF(AP125&lt;=0,0,CD125*MAX(1,IF(H125&gt;0,AP125/H125,1))),IF(R125&gt;0,AQ125/R125,0))/MAX(0.1,N(Parameter!$M$21)))</f>
        <v>0.0833333333333333</v>
      </c>
      <c r="AS125" s="50" t="n">
        <f aca="false">AR125*CB125</f>
        <v>12.0833333333333</v>
      </c>
      <c r="AT125" s="51" t="n">
        <f aca="false">IF(LEFT(Cockpit!$I$5,1)="A",H125,IF(CH125=1,(CK125+CI125)/2,IF(LEFT(Cockpit!$I$5,1)="B",(CK125+AV125)/2,MAX((CK125+AV125)/2,H125))))</f>
        <v>5</v>
      </c>
      <c r="AU125" s="50" t="n">
        <f aca="false">AT125*G125</f>
        <v>2915</v>
      </c>
      <c r="AV125" s="50" t="n">
        <f aca="false">ROUNDUP(CK125+MAX(CL125,2*(J125/IF(CG125&gt;0,CG125,MAX(0.1,N(Cockpit!$I$6)))-CK125)),0)</f>
        <v>2</v>
      </c>
      <c r="AW125" s="51" t="n">
        <f aca="false">IF(AS125&gt;0,J125/AS125,-1)</f>
        <v>0.16551724137931</v>
      </c>
      <c r="AX125" s="51" t="n">
        <f aca="false">IF(AND(OR(CF125="L1",CF125="L23",CF125="LIFT"),AS125&gt;0),SUMIFS($AS$7:$AS$1843,$CF$7:$CF$1843,CF125,$AW$7:$AW$1843,"&gt;"&amp;AW125)+SUMIFS($AS$7:$AS$1843,$CF$7:$CF$1843,CF125,$AW$7:$AW$1843,AW125,$BW$7:$BW$1843,"&lt;="&amp;BW125),"")</f>
        <v>15709.9207875458</v>
      </c>
      <c r="AY125" s="58" t="n">
        <f aca="false">IF(AX125="",0,MAX(0,MIN(1,(IF(CF125="L1",Parameter!$H$5,IF(CF125="L23",Parameter!$H$6+Parameter!$H$7,Parameter!$H$5+Parameter!$H$6+Parameter!$H$7))-(AX125-AS125))/AS125)))</f>
        <v>1</v>
      </c>
      <c r="AZ125" s="50" t="n">
        <f aca="false">IF(LEFT(Cockpit!$O$5,1)="A",H125,IF(Parameter!$E$30="MAX-Bestand",IF(CH125=1,CI125,IF(LEFT(Cockpit!$O$5,1)="B",BF125,MAX(BF125,H125))),ROUNDUP(BD125,0)))</f>
        <v>1</v>
      </c>
      <c r="BA125" s="50" t="n">
        <f aca="false">IF(BZ125=1,0,ROUNDUP(AZ125/BY125,0))</f>
        <v>1</v>
      </c>
      <c r="BB125" s="52" t="n">
        <f aca="false">IF(CQ125&gt;0,CQ125*MAX(1,AZ125/X125),IF(BZ125=1,IF(AZ125&lt;=0,0,CD125*MAX(1,IF(H125&gt;0,AZ125/H125,1))),IF(R125&gt;0,BA125/R125,0))/MAX(0.1,N(Parameter!$M$21)))</f>
        <v>0.0833333333333333</v>
      </c>
      <c r="BC125" s="50" t="n">
        <f aca="false">BB125*CB125</f>
        <v>12.0833333333333</v>
      </c>
      <c r="BD125" s="51" t="n">
        <f aca="false">IF(LEFT(Cockpit!$O$5,1)="A",H125,IF(CH125=1,(CK125+CI125)/2,IF(LEFT(Cockpit!$O$5,1)="B",(CK125+BF125)/2,MAX((CK125+BF125)/2,H125))))</f>
        <v>0.5</v>
      </c>
      <c r="BE125" s="50" t="n">
        <f aca="false">BD125*G125</f>
        <v>291.5</v>
      </c>
      <c r="BF125" s="50" t="n">
        <f aca="false">ROUNDUP(CK125+MAX(CL125,2*(J125/IF(CG125&gt;0,CG125,MAX(0.1,N(Cockpit!$O$6)))-CK125)),0)</f>
        <v>1</v>
      </c>
      <c r="BG125" s="51" t="n">
        <f aca="false">IF(BC125&gt;0,J125/BC125,-1)</f>
        <v>0.16551724137931</v>
      </c>
      <c r="BH125" s="51" t="n">
        <f aca="false">IF(AND(OR(CF125="L1",CF125="L23",CF125="LIFT"),BC125&gt;0),SUMIFS($BC$7:$BC$1843,$CF$7:$CF$1843,CF125,$BG$7:$BG$1843,"&gt;"&amp;BG125)+SUMIFS($BC$7:$BC$1843,$CF$7:$CF$1843,CF125,$BG$7:$BG$1843,BG125,$BW$7:$BW$1843,"&lt;="&amp;BW125),"")</f>
        <v>13512.2206157778</v>
      </c>
      <c r="BI125" s="58" t="n">
        <f aca="false">IF(BH125="",0,MAX(0,MIN(1,(IF(CF125="L1",Parameter!$H$5,IF(CF125="L23",Parameter!$H$6+Parameter!$H$7,Parameter!$H$5+Parameter!$H$6+Parameter!$H$7))-(BH125-BC125))/BC125)))</f>
        <v>1</v>
      </c>
      <c r="BJ125" s="48" t="str">
        <f aca="false">IF(AI125&lt;=0,"",IF(CF125="Aussen","Aussenlager",IF(CF125="-","Nicht im Lift",IF(AO125&gt;=1,"Lift",IF(AO125&lt;=0,"Aussenlager","teilweise")))))</f>
        <v>Lift</v>
      </c>
      <c r="BK125" s="48" t="str">
        <f aca="false">IF(AS125&lt;=0,"",IF(CF125="Aussen","Aussenlager",IF(CF125="-","Nicht im Lift",IF(AY125&gt;=1,"Lift",IF(AY125&lt;=0,"Aussenlager","teilweise")))))</f>
        <v>Lift</v>
      </c>
      <c r="BL125" s="48" t="str">
        <f aca="false">IF(BC125&lt;=0,"",IF(CF125="Aussen","Aussenlager",IF(CF125="-","Nicht im Lift",IF(BI125&gt;=1,"Lift",IF(BI125&lt;=0,"Aussenlager","teilweise")))))</f>
        <v>Lift</v>
      </c>
      <c r="BM125" s="48" t="str">
        <f aca="false">IF(A125="","",IF(BV125=1,"Neu; ","")&amp;IF(AND(BV125=0,BQ125&lt;0),"negativer Bestand (Export "&amp;BQ125&amp;"); ","")&amp;IF(J125&lt;=0,"Kein Verbrauch; ","")&amp;IF(CQ125&gt;0,"Lift "&amp;W125&amp;" lt. Liftbericht (Fach "&amp;X125&amp;" Stk); ",IF(CA125=1,"Gebinde geschätzt ("&amp;T125&amp;"); ",IF(BZ125=1,"Lose – Tablare geschätzt; ","")))&amp;IF(H125&gt;AV125,"Überbestand "&amp;ROUND(H125-AV125,0)&amp;" Stk / CHF "&amp;ROUND((H125-AV125)*G125,0)&amp;"; ","")&amp;IF(AND(CH125=1,CI125&lt;CJ125),"MAX &lt; MB+LG; ","")&amp;IF(AND(CP125&gt;0,CO125*10&gt;CP125),"zu hoch für Tablar; ","")&amp;IF(AND(BV125=0,OR(CH125=1,AA125&lt;&gt;"",U125&lt;&gt;"",V125&lt;&gt;"",AB125&lt;&gt;"")),"manuell übersteuert; ","")&amp;IF(AND(BZ125=0,R125=0),"Gebinde unbekannt / Stellmass fehlt; ","")&amp;IF(AND(BZ125=0,N(V125)&lt;=0,N(Q125)&lt;=0),"Menge pro Gebinde fehlt (Ist = 1 Gebinde); ","")&amp;BU125)</f>
        <v>Überbestand 3 Stk / CHF 1749; </v>
      </c>
      <c r="BN125" s="48"/>
      <c r="BO125" s="48"/>
      <c r="BP125" s="55"/>
      <c r="BQ125" s="50" t="n">
        <v>3</v>
      </c>
      <c r="BR125" s="50" t="n">
        <v>2</v>
      </c>
      <c r="BS125" s="49" t="n">
        <v>1783</v>
      </c>
      <c r="BT125" s="50" t="n">
        <v>2</v>
      </c>
      <c r="BU125" s="48"/>
      <c r="BV125" s="53" t="n">
        <v>0</v>
      </c>
      <c r="BW125" s="53" t="n">
        <v>125</v>
      </c>
      <c r="BX125" s="48" t="str">
        <f aca="false">IF(U125&lt;&gt;"",UPPER(TRIM(U125)),IF(CA125=1,UPPER(VLOOKUP(T125,Parameter!$I$27:$K$29,2,0)),IF(P125="","LOSE",P125)))</f>
        <v>S61</v>
      </c>
      <c r="BY125" s="50" t="n">
        <f aca="false">IF(BX125="LOSE",1,IF(N(V125)&gt;0,V125,IF(CA125=1,MAX(1,N(VLOOKUP(T125,Parameter!$I$27:$K$29,3,0)),H125,N(N125)),IF(N(Q125)&gt;0,Q125,MAX(1,H125)))))</f>
        <v>7</v>
      </c>
      <c r="BZ125" s="53" t="n">
        <f aca="false">IF(BX125="LOSE",1,0)</f>
        <v>0</v>
      </c>
      <c r="CA125" s="53" t="n">
        <f aca="false">IF(AND(U125="",OR(P125="",P125="LOSE"),T125&lt;&gt;"",N(S125)&lt;=0,ISNUMBER(MATCH(T125,Parameter!$I$27:$I$29,0))),1,0)</f>
        <v>0</v>
      </c>
      <c r="CB125" s="53" t="n">
        <f aca="false">IF(CQ125&gt;0,INDEX(Parameter!$H$5:$H$7,W125)/INDEX(Parameter!$E$5:$E$7,W125),IF(AND(BZ125=0,N(IFERROR(VLOOKUP(BX125,'Gebinde-Kategorie'!$A$5:$N$45,14,0),0))&gt;0),VLOOKUP(BX125,'Gebinde-Kategorie'!$A$5:$N$45,14,0)*10+Parameter!$M$23,Parameter!$M$24))</f>
        <v>145</v>
      </c>
      <c r="CC125" s="48" t="str">
        <f aca="false">IF(AND(Parameter!$B$19="Ja",E125&lt;&gt;"",ISNUMBER(MATCH(E125,Parameter!$I$35:$I$52,0))),VLOOKUP(E125,Parameter!$I$35:$J$52,2,0),IFERROR(VLOOKUP(D125,Parameter!$A$35:$C$64,2,0),"Nein"))</f>
        <v>2+3</v>
      </c>
      <c r="CD125" s="52" t="n">
        <f aca="false">IF(BZ125=0,0,IF(N(S125)&gt;0,S125,IFERROR(VLOOKUP(D125,Parameter!$A$35:$C$64,3,0)+0,0)))</f>
        <v>0</v>
      </c>
      <c r="CE125" s="48" t="n">
        <f aca="false">IF(AA125&lt;&gt;"",AA125,Z125)</f>
        <v>2</v>
      </c>
      <c r="CF125" s="48" t="str">
        <f aca="false">IF(OR(CE125=1,CE125=2,CE125=3),IF(Parameter!$E$27="Ja","LIFT",IF(CE125=1,"L1","L23")),IF(CE125="Aussen","Aussen","-"))</f>
        <v>LIFT</v>
      </c>
      <c r="CG125" s="59" t="n">
        <f aca="false">IF(N(AB125)&gt;0,AB125,0)</f>
        <v>0</v>
      </c>
      <c r="CH125" s="53" t="n">
        <f aca="false">IF(ISNUMBER(AE125),1,0)</f>
        <v>0</v>
      </c>
      <c r="CI125" s="50" t="n">
        <f aca="false">N(AE125)</f>
        <v>0</v>
      </c>
      <c r="CJ125" s="50" t="n">
        <f aca="false">N(M125)+N(N125)</f>
        <v>1</v>
      </c>
      <c r="CK125" s="50" t="n">
        <f aca="false">N(M125)</f>
        <v>0</v>
      </c>
      <c r="CL125" s="50" t="n">
        <f aca="false">N(N125)</f>
        <v>1</v>
      </c>
      <c r="CM125" s="50" t="n">
        <f aca="false">ROUNDUP(H125/BY125,0)</f>
        <v>1</v>
      </c>
      <c r="CN125" s="50" t="n">
        <f aca="false">ROUNDUP(CI125/BY125,0)</f>
        <v>0</v>
      </c>
      <c r="CO125" s="53" t="n">
        <f aca="false">IF(BZ125=1,0,IFERROR(VLOOKUP(BX125,'Gebinde-Kategorie'!$A$5:$N$45,5,0)+0,0))</f>
        <v>11</v>
      </c>
      <c r="CP125" s="53" t="n">
        <f aca="false">IFERROR(IF(OR(CE125=1,CE125=2,CE125=3),N(INDEX(Parameter!$I$5:$I$7,CE125)),0),0)</f>
        <v>0</v>
      </c>
      <c r="CQ125" s="52" t="n">
        <f aca="false">IF(AND(Parameter!$B$21="Ja",ISNUMBER(W125),N(X125)&gt;0),IFERROR(N(INDEX(Parameter!$L$5:$L$7,W125))*INDEX(Parameter!$E$5:$E$7,W125)*X125/SUMIFS($X$7:$X$1843,$W$7:$W$1843,W125),0),0)</f>
        <v>0</v>
      </c>
    </row>
    <row r="126" customFormat="false" ht="15" hidden="false" customHeight="false" outlineLevel="0" collapsed="false">
      <c r="A126" s="48" t="s">
        <v>470</v>
      </c>
      <c r="B126" s="48" t="s">
        <v>471</v>
      </c>
      <c r="C126" s="48" t="s">
        <v>173</v>
      </c>
      <c r="D126" s="48" t="s">
        <v>174</v>
      </c>
      <c r="E126" s="48"/>
      <c r="F126" s="48" t="s">
        <v>227</v>
      </c>
      <c r="G126" s="49" t="n">
        <v>222.71</v>
      </c>
      <c r="H126" s="50" t="n">
        <f aca="false">MAX(0,IF(AND(Parameter!$B$21="Ja",ISNUMBER(Y126)),Y126,IF(Parameter!$B$20="Jahresanfang 2025 + Export",BR126+BQ126,BQ126)))</f>
        <v>8</v>
      </c>
      <c r="I126" s="50" t="n">
        <f aca="false">H126*G126</f>
        <v>1781.68</v>
      </c>
      <c r="J126" s="50" t="n">
        <f aca="false">BT126*Parameter!$B$18</f>
        <v>0</v>
      </c>
      <c r="K126" s="51" t="n">
        <v>4</v>
      </c>
      <c r="L126" s="52" t="n">
        <v>0</v>
      </c>
      <c r="M126" s="50" t="n">
        <v>0</v>
      </c>
      <c r="N126" s="50" t="n">
        <v>1</v>
      </c>
      <c r="O126" s="53" t="n">
        <v>42</v>
      </c>
      <c r="P126" s="48" t="s">
        <v>177</v>
      </c>
      <c r="Q126" s="50"/>
      <c r="R126" s="53" t="n">
        <f aca="false">IF(BZ126=1,0,IFERROR(VLOOKUP(BX126,'Gebinde-Kategorie'!$A$5:$N$45,13,0)+0,0))</f>
        <v>0</v>
      </c>
      <c r="S126" s="54"/>
      <c r="T126" s="55"/>
      <c r="U126" s="55"/>
      <c r="V126" s="55"/>
      <c r="W126" s="48" t="n">
        <v>1</v>
      </c>
      <c r="X126" s="50" t="n">
        <v>8</v>
      </c>
      <c r="Y126" s="50" t="n">
        <v>8</v>
      </c>
      <c r="Z126" s="48" t="n">
        <f aca="false">IF(A126="","",IF(AND(Parameter!$B$21="Ja",ISNUMBER(W126)),W126,IF(CC126="2+3",IF(ISNUMBER(SEARCH("grosser Artikel",BU126)),2,IFERROR(VLOOKUP(BX126,Parameter!$F$35:$G$64,2,0),2)),IF(OR(CC126="Nein",CC126=""),"-",CC126))))</f>
        <v>1</v>
      </c>
      <c r="AA126" s="55"/>
      <c r="AB126" s="56"/>
      <c r="AC126" s="50" t="n">
        <f aca="false">AV126</f>
        <v>1</v>
      </c>
      <c r="AD126" s="50" t="n">
        <f aca="false">MAX(AV126,H126)</f>
        <v>8</v>
      </c>
      <c r="AE126" s="57"/>
      <c r="AF126" s="50" t="n">
        <f aca="false">IF(LEFT(Cockpit!$C$5,1)="A",H126,IF(Parameter!$E$30="MAX-Bestand",IF(CH126=1,CI126,IF(LEFT(Cockpit!$C$5,1)="B",AL126,MAX(AL126,H126))),ROUNDUP(AJ126,0)))</f>
        <v>8</v>
      </c>
      <c r="AG126" s="50" t="n">
        <f aca="false">IF(BZ126=1,0,ROUNDUP(AF126/BY126,0))</f>
        <v>0</v>
      </c>
      <c r="AH126" s="52" t="n">
        <f aca="false">IF(CQ126&gt;0,CQ126*MAX(1,AF126/X126),IF(BZ126=1,IF(AF126&lt;=0,0,CD126*MAX(1,IF(H126&gt;0,AF126/H126,1))),IF(R126&gt;0,AG126/R126,0))/MAX(0.1,N(Parameter!$M$21)))</f>
        <v>0.64030131826742</v>
      </c>
      <c r="AI126" s="50" t="n">
        <f aca="false">AH126*CB126</f>
        <v>152.391713747646</v>
      </c>
      <c r="AJ126" s="51" t="n">
        <f aca="false">IF(LEFT(Cockpit!$C$5,1)="A",H126,IF(CH126=1,(CK126+CI126)/2,IF(LEFT(Cockpit!$C$5,1)="B",(CK126+AL126)/2,MAX((CK126+AL126)/2,H126))))</f>
        <v>8</v>
      </c>
      <c r="AK126" s="50" t="n">
        <f aca="false">AJ126*G126</f>
        <v>1781.68</v>
      </c>
      <c r="AL126" s="50" t="n">
        <f aca="false">ROUNDUP(CK126+MAX(CL126,2*(J126/IF(CG126&gt;0,CG126,MAX(0.1,N(Cockpit!$C$6)))-CK126)),0)</f>
        <v>1</v>
      </c>
      <c r="AM126" s="51" t="n">
        <f aca="false">IF(AI126&gt;0,J126/AI126,-1)</f>
        <v>0</v>
      </c>
      <c r="AN126" s="51" t="n">
        <f aca="false">IF(AND(OR(CF126="L1",CF126="L23",CF126="LIFT"),AI126&gt;0),SUMIFS($AI$7:$AI$1843,$CF$7:$CF$1843,CF126,$AM$7:$AM$1843,"&gt;"&amp;AM126)+SUMIFS($AI$7:$AI$1843,$CF$7:$CF$1843,CF126,$AM$7:$AM$1843,AM126,$BW$7:$BW$1843,"&lt;="&amp;BW126),"")</f>
        <v>27158.6164685127</v>
      </c>
      <c r="AO126" s="58" t="n">
        <f aca="false">IF(AN126="",0,MAX(0,MIN(1,(IF(CF126="L1",Parameter!$H$5,IF(CF126="L23",Parameter!$H$6+Parameter!$H$7,Parameter!$H$5+Parameter!$H$6+Parameter!$H$7))-(AN126-AI126))/AI126)))</f>
        <v>1</v>
      </c>
      <c r="AP126" s="50" t="n">
        <f aca="false">IF(LEFT(Cockpit!$I$5,1)="A",H126,IF(Parameter!$E$30="MAX-Bestand",IF(CH126=1,CI126,IF(LEFT(Cockpit!$I$5,1)="B",AV126,MAX(AV126,H126))),ROUNDUP(AT126,0)))</f>
        <v>8</v>
      </c>
      <c r="AQ126" s="50" t="n">
        <f aca="false">IF(BZ126=1,0,ROUNDUP(AP126/BY126,0))</f>
        <v>0</v>
      </c>
      <c r="AR126" s="52" t="n">
        <f aca="false">IF(CQ126&gt;0,CQ126*MAX(1,AP126/X126),IF(BZ126=1,IF(AP126&lt;=0,0,CD126*MAX(1,IF(H126&gt;0,AP126/H126,1))),IF(R126&gt;0,AQ126/R126,0))/MAX(0.1,N(Parameter!$M$21)))</f>
        <v>0.64030131826742</v>
      </c>
      <c r="AS126" s="50" t="n">
        <f aca="false">AR126*CB126</f>
        <v>152.391713747646</v>
      </c>
      <c r="AT126" s="51" t="n">
        <f aca="false">IF(LEFT(Cockpit!$I$5,1)="A",H126,IF(CH126=1,(CK126+CI126)/2,IF(LEFT(Cockpit!$I$5,1)="B",(CK126+AV126)/2,MAX((CK126+AV126)/2,H126))))</f>
        <v>8</v>
      </c>
      <c r="AU126" s="50" t="n">
        <f aca="false">AT126*G126</f>
        <v>1781.68</v>
      </c>
      <c r="AV126" s="50" t="n">
        <f aca="false">ROUNDUP(CK126+MAX(CL126,2*(J126/IF(CG126&gt;0,CG126,MAX(0.1,N(Cockpit!$I$6)))-CK126)),0)</f>
        <v>1</v>
      </c>
      <c r="AW126" s="51" t="n">
        <f aca="false">IF(AS126&gt;0,J126/AS126,-1)</f>
        <v>0</v>
      </c>
      <c r="AX126" s="51" t="n">
        <f aca="false">IF(AND(OR(CF126="L1",CF126="L23",CF126="LIFT"),AS126&gt;0),SUMIFS($AS$7:$AS$1843,$CF$7:$CF$1843,CF126,$AW$7:$AW$1843,"&gt;"&amp;AW126)+SUMIFS($AS$7:$AS$1843,$CF$7:$CF$1843,CF126,$AW$7:$AW$1843,AW126,$BW$7:$BW$1843,"&lt;="&amp;BW126),"")</f>
        <v>32511.7651098901</v>
      </c>
      <c r="AY126" s="58" t="n">
        <f aca="false">IF(AX126="",0,MAX(0,MIN(1,(IF(CF126="L1",Parameter!$H$5,IF(CF126="L23",Parameter!$H$6+Parameter!$H$7,Parameter!$H$5+Parameter!$H$6+Parameter!$H$7))-(AX126-AS126))/AS126)))</f>
        <v>1</v>
      </c>
      <c r="AZ126" s="50" t="n">
        <f aca="false">IF(LEFT(Cockpit!$O$5,1)="A",H126,IF(Parameter!$E$30="MAX-Bestand",IF(CH126=1,CI126,IF(LEFT(Cockpit!$O$5,1)="B",BF126,MAX(BF126,H126))),ROUNDUP(BD126,0)))</f>
        <v>1</v>
      </c>
      <c r="BA126" s="50" t="n">
        <f aca="false">IF(BZ126=1,0,ROUNDUP(AZ126/BY126,0))</f>
        <v>0</v>
      </c>
      <c r="BB126" s="52" t="n">
        <f aca="false">IF(CQ126&gt;0,CQ126*MAX(1,AZ126/X126),IF(BZ126=1,IF(AZ126&lt;=0,0,CD126*MAX(1,IF(H126&gt;0,AZ126/H126,1))),IF(R126&gt;0,BA126/R126,0))/MAX(0.1,N(Parameter!$M$21)))</f>
        <v>0.64030131826742</v>
      </c>
      <c r="BC126" s="50" t="n">
        <f aca="false">BB126*CB126</f>
        <v>152.391713747646</v>
      </c>
      <c r="BD126" s="51" t="n">
        <f aca="false">IF(LEFT(Cockpit!$O$5,1)="A",H126,IF(CH126=1,(CK126+CI126)/2,IF(LEFT(Cockpit!$O$5,1)="B",(CK126+BF126)/2,MAX((CK126+BF126)/2,H126))))</f>
        <v>0.5</v>
      </c>
      <c r="BE126" s="50" t="n">
        <f aca="false">BD126*G126</f>
        <v>111.355</v>
      </c>
      <c r="BF126" s="50" t="n">
        <f aca="false">ROUNDUP(CK126+MAX(CL126,2*(J126/IF(CG126&gt;0,CG126,MAX(0.1,N(Cockpit!$O$6)))-CK126)),0)</f>
        <v>1</v>
      </c>
      <c r="BG126" s="51" t="n">
        <f aca="false">IF(BC126&gt;0,J126/BC126,-1)</f>
        <v>0</v>
      </c>
      <c r="BH126" s="51" t="n">
        <f aca="false">IF(AND(OR(CF126="L1",CF126="L23",CF126="LIFT"),BC126&gt;0),SUMIFS($BC$7:$BC$1843,$CF$7:$CF$1843,CF126,$BG$7:$BG$1843,"&gt;"&amp;BG126)+SUMIFS($BC$7:$BC$1843,$CF$7:$CF$1843,CF126,$BG$7:$BG$1843,BG126,$BW$7:$BW$1843,"&lt;="&amp;BW126),"")</f>
        <v>26708.3469531881</v>
      </c>
      <c r="BI126" s="58" t="n">
        <f aca="false">IF(BH126="",0,MAX(0,MIN(1,(IF(CF126="L1",Parameter!$H$5,IF(CF126="L23",Parameter!$H$6+Parameter!$H$7,Parameter!$H$5+Parameter!$H$6+Parameter!$H$7))-(BH126-BC126))/BC126)))</f>
        <v>1</v>
      </c>
      <c r="BJ126" s="48" t="str">
        <f aca="false">IF(AI126&lt;=0,"",IF(CF126="Aussen","Aussenlager",IF(CF126="-","Nicht im Lift",IF(AO126&gt;=1,"Lift",IF(AO126&lt;=0,"Aussenlager","teilweise")))))</f>
        <v>Lift</v>
      </c>
      <c r="BK126" s="48" t="str">
        <f aca="false">IF(AS126&lt;=0,"",IF(CF126="Aussen","Aussenlager",IF(CF126="-","Nicht im Lift",IF(AY126&gt;=1,"Lift",IF(AY126&lt;=0,"Aussenlager","teilweise")))))</f>
        <v>Lift</v>
      </c>
      <c r="BL126" s="48" t="str">
        <f aca="false">IF(BC126&lt;=0,"",IF(CF126="Aussen","Aussenlager",IF(CF126="-","Nicht im Lift",IF(BI126&gt;=1,"Lift",IF(BI126&lt;=0,"Aussenlager","teilweise")))))</f>
        <v>Lift</v>
      </c>
      <c r="BM126" s="48" t="str">
        <f aca="false">IF(A126="","",IF(BV126=1,"Neu; ","")&amp;IF(AND(BV126=0,BQ126&lt;0),"negativer Bestand (Export "&amp;BQ126&amp;"); ","")&amp;IF(J126&lt;=0,"Kein Verbrauch; ","")&amp;IF(CQ126&gt;0,"Lift "&amp;W126&amp;" lt. Liftbericht (Fach "&amp;X126&amp;" Stk); ",IF(CA126=1,"Gebinde geschätzt ("&amp;T126&amp;"); ",IF(BZ126=1,"Lose – Tablare geschätzt; ","")))&amp;IF(H126&gt;AV126,"Überbestand "&amp;ROUND(H126-AV126,0)&amp;" Stk / CHF "&amp;ROUND((H126-AV126)*G126,0)&amp;"; ","")&amp;IF(AND(CH126=1,CI126&lt;CJ126),"MAX &lt; MB+LG; ","")&amp;IF(AND(CP126&gt;0,CO126*10&gt;CP126),"zu hoch für Tablar; ","")&amp;IF(AND(BV126=0,OR(CH126=1,AA126&lt;&gt;"",U126&lt;&gt;"",V126&lt;&gt;"",AB126&lt;&gt;"")),"manuell übersteuert; ","")&amp;IF(AND(BZ126=0,R126=0),"Gebinde unbekannt / Stellmass fehlt; ","")&amp;IF(AND(BZ126=0,N(V126)&lt;=0,N(Q126)&lt;=0),"Menge pro Gebinde fehlt (Ist = 1 Gebinde); ","")&amp;BU126)</f>
        <v>Kein Verbrauch; Lift 1 lt. Liftbericht (Fach 8 Stk); Überbestand 7 Stk / CHF 1559; </v>
      </c>
      <c r="BN126" s="48"/>
      <c r="BO126" s="48"/>
      <c r="BP126" s="55"/>
      <c r="BQ126" s="50" t="n">
        <v>8</v>
      </c>
      <c r="BR126" s="50" t="n">
        <v>0</v>
      </c>
      <c r="BS126" s="49" t="n">
        <v>1781.68</v>
      </c>
      <c r="BT126" s="50" t="n">
        <v>0</v>
      </c>
      <c r="BU126" s="48"/>
      <c r="BV126" s="53" t="n">
        <v>0</v>
      </c>
      <c r="BW126" s="53" t="n">
        <v>126</v>
      </c>
      <c r="BX126" s="48" t="str">
        <f aca="false">IF(U126&lt;&gt;"",UPPER(TRIM(U126)),IF(CA126=1,UPPER(VLOOKUP(T126,Parameter!$I$27:$K$29,2,0)),IF(P126="","LOSE",P126)))</f>
        <v>LOSE</v>
      </c>
      <c r="BY126" s="50" t="n">
        <f aca="false">IF(BX126="LOSE",1,IF(N(V126)&gt;0,V126,IF(CA126=1,MAX(1,N(VLOOKUP(T126,Parameter!$I$27:$K$29,3,0)),H126,N(N126)),IF(N(Q126)&gt;0,Q126,MAX(1,H126)))))</f>
        <v>1</v>
      </c>
      <c r="BZ126" s="53" t="n">
        <f aca="false">IF(BX126="LOSE",1,0)</f>
        <v>1</v>
      </c>
      <c r="CA126" s="53" t="n">
        <f aca="false">IF(AND(U126="",OR(P126="",P126="LOSE"),T126&lt;&gt;"",N(S126)&lt;=0,ISNUMBER(MATCH(T126,Parameter!$I$27:$I$29,0))),1,0)</f>
        <v>0</v>
      </c>
      <c r="CB126" s="53" t="n">
        <f aca="false">IF(CQ126&gt;0,INDEX(Parameter!$H$5:$H$7,W126)/INDEX(Parameter!$E$5:$E$7,W126),IF(AND(BZ126=0,N(IFERROR(VLOOKUP(BX126,'Gebinde-Kategorie'!$A$5:$N$45,14,0),0))&gt;0),VLOOKUP(BX126,'Gebinde-Kategorie'!$A$5:$N$45,14,0)*10+Parameter!$M$23,Parameter!$M$24))</f>
        <v>238</v>
      </c>
      <c r="CC126" s="48" t="n">
        <f aca="false">IF(AND(Parameter!$B$19="Ja",E126&lt;&gt;"",ISNUMBER(MATCH(E126,Parameter!$I$35:$I$52,0))),VLOOKUP(E126,Parameter!$I$35:$J$52,2,0),IFERROR(VLOOKUP(D126,Parameter!$A$35:$C$64,2,0),"Nein"))</f>
        <v>1</v>
      </c>
      <c r="CD126" s="52" t="n">
        <f aca="false">IF(BZ126=0,0,IF(N(S126)&gt;0,S126,IFERROR(VLOOKUP(D126,Parameter!$A$35:$C$64,3,0)+0,0)))</f>
        <v>1</v>
      </c>
      <c r="CE126" s="48" t="n">
        <f aca="false">IF(AA126&lt;&gt;"",AA126,Z126)</f>
        <v>1</v>
      </c>
      <c r="CF126" s="48" t="str">
        <f aca="false">IF(OR(CE126=1,CE126=2,CE126=3),IF(Parameter!$E$27="Ja","LIFT",IF(CE126=1,"L1","L23")),IF(CE126="Aussen","Aussen","-"))</f>
        <v>LIFT</v>
      </c>
      <c r="CG126" s="59" t="n">
        <f aca="false">IF(N(AB126)&gt;0,AB126,0)</f>
        <v>0</v>
      </c>
      <c r="CH126" s="53" t="n">
        <f aca="false">IF(ISNUMBER(AE126),1,0)</f>
        <v>0</v>
      </c>
      <c r="CI126" s="50" t="n">
        <f aca="false">N(AE126)</f>
        <v>0</v>
      </c>
      <c r="CJ126" s="50" t="n">
        <f aca="false">N(M126)+N(N126)</f>
        <v>1</v>
      </c>
      <c r="CK126" s="50" t="n">
        <f aca="false">N(M126)</f>
        <v>0</v>
      </c>
      <c r="CL126" s="50" t="n">
        <f aca="false">N(N126)</f>
        <v>1</v>
      </c>
      <c r="CM126" s="50" t="n">
        <f aca="false">ROUNDUP(H126/BY126,0)</f>
        <v>8</v>
      </c>
      <c r="CN126" s="50" t="n">
        <f aca="false">ROUNDUP(CI126/BY126,0)</f>
        <v>0</v>
      </c>
      <c r="CO126" s="53" t="n">
        <f aca="false">IF(BZ126=1,0,IFERROR(VLOOKUP(BX126,'Gebinde-Kategorie'!$A$5:$N$45,5,0)+0,0))</f>
        <v>0</v>
      </c>
      <c r="CP126" s="53" t="n">
        <f aca="false">IFERROR(IF(OR(CE126=1,CE126=2,CE126=3),N(INDEX(Parameter!$I$5:$I$7,CE126)),0),0)</f>
        <v>0</v>
      </c>
      <c r="CQ126" s="52" t="n">
        <f aca="false">IF(AND(Parameter!$B$21="Ja",ISNUMBER(W126),N(X126)&gt;0),IFERROR(N(INDEX(Parameter!$L$5:$L$7,W126))*INDEX(Parameter!$E$5:$E$7,W126)*X126/SUMIFS($X$7:$X$1843,$W$7:$W$1843,W126),0),0)</f>
        <v>0.64030131826742</v>
      </c>
    </row>
    <row r="127" customFormat="false" ht="15" hidden="false" customHeight="false" outlineLevel="0" collapsed="false">
      <c r="A127" s="48" t="s">
        <v>472</v>
      </c>
      <c r="B127" s="48" t="s">
        <v>473</v>
      </c>
      <c r="C127" s="48" t="s">
        <v>173</v>
      </c>
      <c r="D127" s="48" t="s">
        <v>182</v>
      </c>
      <c r="E127" s="48" t="s">
        <v>474</v>
      </c>
      <c r="F127" s="48" t="s">
        <v>227</v>
      </c>
      <c r="G127" s="49" t="n">
        <v>19.53</v>
      </c>
      <c r="H127" s="50" t="n">
        <f aca="false">MAX(0,IF(AND(Parameter!$B$21="Ja",ISNUMBER(Y127)),Y127,IF(Parameter!$B$20="Jahresanfang 2025 + Export",BR127+BQ127,BQ127)))</f>
        <v>113</v>
      </c>
      <c r="I127" s="50" t="n">
        <f aca="false">H127*G127</f>
        <v>2206.89</v>
      </c>
      <c r="J127" s="50" t="n">
        <f aca="false">BT127*Parameter!$B$18</f>
        <v>25</v>
      </c>
      <c r="K127" s="51" t="n">
        <v>89</v>
      </c>
      <c r="L127" s="52" t="n">
        <v>0.280898876404494</v>
      </c>
      <c r="M127" s="50" t="n">
        <v>1</v>
      </c>
      <c r="N127" s="50" t="n">
        <v>25</v>
      </c>
      <c r="O127" s="53" t="n">
        <v>21</v>
      </c>
      <c r="P127" s="48" t="s">
        <v>177</v>
      </c>
      <c r="Q127" s="50"/>
      <c r="R127" s="53" t="n">
        <f aca="false">IF(BZ127=1,0,IFERROR(VLOOKUP(BX127,'Gebinde-Kategorie'!$A$5:$N$45,13,0)+0,0))</f>
        <v>4</v>
      </c>
      <c r="S127" s="54"/>
      <c r="T127" s="55" t="s">
        <v>198</v>
      </c>
      <c r="U127" s="55"/>
      <c r="V127" s="55"/>
      <c r="W127" s="48"/>
      <c r="X127" s="50"/>
      <c r="Y127" s="50"/>
      <c r="Z127" s="48" t="str">
        <f aca="false">IF(A127="","",IF(AND(Parameter!$B$21="Ja",ISNUMBER(W127)),W127,IF(CC127="2+3",IF(ISNUMBER(SEARCH("grosser Artikel",BU127)),2,IFERROR(VLOOKUP(BX127,Parameter!$F$35:$G$64,2,0),2)),IF(OR(CC127="Nein",CC127=""),"-",CC127))))</f>
        <v>-</v>
      </c>
      <c r="AA127" s="55"/>
      <c r="AB127" s="56"/>
      <c r="AC127" s="50" t="n">
        <f aca="false">AV127</f>
        <v>26</v>
      </c>
      <c r="AD127" s="50" t="n">
        <f aca="false">MAX(AV127,H127)</f>
        <v>113</v>
      </c>
      <c r="AE127" s="57"/>
      <c r="AF127" s="50" t="n">
        <f aca="false">IF(LEFT(Cockpit!$C$5,1)="A",H127,IF(Parameter!$E$30="MAX-Bestand",IF(CH127=1,CI127,IF(LEFT(Cockpit!$C$5,1)="B",AL127,MAX(AL127,H127))),ROUNDUP(AJ127,0)))</f>
        <v>113</v>
      </c>
      <c r="AG127" s="50" t="n">
        <f aca="false">IF(BZ127=1,0,ROUNDUP(AF127/BY127,0))</f>
        <v>1</v>
      </c>
      <c r="AH127" s="52" t="n">
        <f aca="false">IF(CQ127&gt;0,CQ127*MAX(1,AF127/X127),IF(BZ127=1,IF(AF127&lt;=0,0,CD127*MAX(1,IF(H127&gt;0,AF127/H127,1))),IF(R127&gt;0,AG127/R127,0))/MAX(0.1,N(Parameter!$M$21)))</f>
        <v>0.25</v>
      </c>
      <c r="AI127" s="50" t="n">
        <f aca="false">AH127*CB127</f>
        <v>58.75</v>
      </c>
      <c r="AJ127" s="51" t="n">
        <f aca="false">IF(LEFT(Cockpit!$C$5,1)="A",H127,IF(CH127=1,(CK127+CI127)/2,IF(LEFT(Cockpit!$C$5,1)="B",(CK127+AL127)/2,MAX((CK127+AL127)/2,H127))))</f>
        <v>113</v>
      </c>
      <c r="AK127" s="50" t="n">
        <f aca="false">AJ127*G127</f>
        <v>2206.89</v>
      </c>
      <c r="AL127" s="50" t="n">
        <f aca="false">ROUNDUP(CK127+MAX(CL127,2*(J127/IF(CG127&gt;0,CG127,MAX(0.1,N(Cockpit!$C$6)))-CK127)),0)</f>
        <v>26</v>
      </c>
      <c r="AM127" s="51" t="n">
        <f aca="false">IF(AI127&gt;0,J127/AI127,-1)</f>
        <v>0.425531914893617</v>
      </c>
      <c r="AN127" s="51" t="str">
        <f aca="false">IF(AND(OR(CF127="L1",CF127="L23",CF127="LIFT"),AI127&gt;0),SUMIFS($AI$7:$AI$1843,$CF$7:$CF$1843,CF127,$AM$7:$AM$1843,"&gt;"&amp;AM127)+SUMIFS($AI$7:$AI$1843,$CF$7:$CF$1843,CF127,$AM$7:$AM$1843,AM127,$BW$7:$BW$1843,"&lt;="&amp;BW127),"")</f>
        <v/>
      </c>
      <c r="AO127" s="58" t="n">
        <f aca="false">IF(AN127="",0,MAX(0,MIN(1,(IF(CF127="L1",Parameter!$H$5,IF(CF127="L23",Parameter!$H$6+Parameter!$H$7,Parameter!$H$5+Parameter!$H$6+Parameter!$H$7))-(AN127-AI127))/AI127)))</f>
        <v>0</v>
      </c>
      <c r="AP127" s="50" t="n">
        <f aca="false">IF(LEFT(Cockpit!$I$5,1)="A",H127,IF(Parameter!$E$30="MAX-Bestand",IF(CH127=1,CI127,IF(LEFT(Cockpit!$I$5,1)="B",AV127,MAX(AV127,H127))),ROUNDUP(AT127,0)))</f>
        <v>113</v>
      </c>
      <c r="AQ127" s="50" t="n">
        <f aca="false">IF(BZ127=1,0,ROUNDUP(AP127/BY127,0))</f>
        <v>1</v>
      </c>
      <c r="AR127" s="52" t="n">
        <f aca="false">IF(CQ127&gt;0,CQ127*MAX(1,AP127/X127),IF(BZ127=1,IF(AP127&lt;=0,0,CD127*MAX(1,IF(H127&gt;0,AP127/H127,1))),IF(R127&gt;0,AQ127/R127,0))/MAX(0.1,N(Parameter!$M$21)))</f>
        <v>0.25</v>
      </c>
      <c r="AS127" s="50" t="n">
        <f aca="false">AR127*CB127</f>
        <v>58.75</v>
      </c>
      <c r="AT127" s="51" t="n">
        <f aca="false">IF(LEFT(Cockpit!$I$5,1)="A",H127,IF(CH127=1,(CK127+CI127)/2,IF(LEFT(Cockpit!$I$5,1)="B",(CK127+AV127)/2,MAX((CK127+AV127)/2,H127))))</f>
        <v>113</v>
      </c>
      <c r="AU127" s="50" t="n">
        <f aca="false">AT127*G127</f>
        <v>2206.89</v>
      </c>
      <c r="AV127" s="50" t="n">
        <f aca="false">ROUNDUP(CK127+MAX(CL127,2*(J127/IF(CG127&gt;0,CG127,MAX(0.1,N(Cockpit!$I$6)))-CK127)),0)</f>
        <v>26</v>
      </c>
      <c r="AW127" s="51" t="n">
        <f aca="false">IF(AS127&gt;0,J127/AS127,-1)</f>
        <v>0.425531914893617</v>
      </c>
      <c r="AX127" s="51" t="str">
        <f aca="false">IF(AND(OR(CF127="L1",CF127="L23",CF127="LIFT"),AS127&gt;0),SUMIFS($AS$7:$AS$1843,$CF$7:$CF$1843,CF127,$AW$7:$AW$1843,"&gt;"&amp;AW127)+SUMIFS($AS$7:$AS$1843,$CF$7:$CF$1843,CF127,$AW$7:$AW$1843,AW127,$BW$7:$BW$1843,"&lt;="&amp;BW127),"")</f>
        <v/>
      </c>
      <c r="AY127" s="58" t="n">
        <f aca="false">IF(AX127="",0,MAX(0,MIN(1,(IF(CF127="L1",Parameter!$H$5,IF(CF127="L23",Parameter!$H$6+Parameter!$H$7,Parameter!$H$5+Parameter!$H$6+Parameter!$H$7))-(AX127-AS127))/AS127)))</f>
        <v>0</v>
      </c>
      <c r="AZ127" s="50" t="n">
        <f aca="false">IF(LEFT(Cockpit!$O$5,1)="A",H127,IF(Parameter!$E$30="MAX-Bestand",IF(CH127=1,CI127,IF(LEFT(Cockpit!$O$5,1)="B",BF127,MAX(BF127,H127))),ROUNDUP(BD127,0)))</f>
        <v>14</v>
      </c>
      <c r="BA127" s="50" t="n">
        <f aca="false">IF(BZ127=1,0,ROUNDUP(AZ127/BY127,0))</f>
        <v>1</v>
      </c>
      <c r="BB127" s="52" t="n">
        <f aca="false">IF(CQ127&gt;0,CQ127*MAX(1,AZ127/X127),IF(BZ127=1,IF(AZ127&lt;=0,0,CD127*MAX(1,IF(H127&gt;0,AZ127/H127,1))),IF(R127&gt;0,BA127/R127,0))/MAX(0.1,N(Parameter!$M$21)))</f>
        <v>0.25</v>
      </c>
      <c r="BC127" s="50" t="n">
        <f aca="false">BB127*CB127</f>
        <v>58.75</v>
      </c>
      <c r="BD127" s="51" t="n">
        <f aca="false">IF(LEFT(Cockpit!$O$5,1)="A",H127,IF(CH127=1,(CK127+CI127)/2,IF(LEFT(Cockpit!$O$5,1)="B",(CK127+BF127)/2,MAX((CK127+BF127)/2,H127))))</f>
        <v>13.5</v>
      </c>
      <c r="BE127" s="50" t="n">
        <f aca="false">BD127*G127</f>
        <v>263.655</v>
      </c>
      <c r="BF127" s="50" t="n">
        <f aca="false">ROUNDUP(CK127+MAX(CL127,2*(J127/IF(CG127&gt;0,CG127,MAX(0.1,N(Cockpit!$O$6)))-CK127)),0)</f>
        <v>26</v>
      </c>
      <c r="BG127" s="51" t="n">
        <f aca="false">IF(BC127&gt;0,J127/BC127,-1)</f>
        <v>0.425531914893617</v>
      </c>
      <c r="BH127" s="51" t="str">
        <f aca="false">IF(AND(OR(CF127="L1",CF127="L23",CF127="LIFT"),BC127&gt;0),SUMIFS($BC$7:$BC$1843,$CF$7:$CF$1843,CF127,$BG$7:$BG$1843,"&gt;"&amp;BG127)+SUMIFS($BC$7:$BC$1843,$CF$7:$CF$1843,CF127,$BG$7:$BG$1843,BG127,$BW$7:$BW$1843,"&lt;="&amp;BW127),"")</f>
        <v/>
      </c>
      <c r="BI127" s="58" t="n">
        <f aca="false">IF(BH127="",0,MAX(0,MIN(1,(IF(CF127="L1",Parameter!$H$5,IF(CF127="L23",Parameter!$H$6+Parameter!$H$7,Parameter!$H$5+Parameter!$H$6+Parameter!$H$7))-(BH127-BC127))/BC127)))</f>
        <v>0</v>
      </c>
      <c r="BJ127" s="48" t="str">
        <f aca="false">IF(AI127&lt;=0,"",IF(CF127="Aussen","Aussenlager",IF(CF127="-","Nicht im Lift",IF(AO127&gt;=1,"Lift",IF(AO127&lt;=0,"Aussenlager","teilweise")))))</f>
        <v>Nicht im Lift</v>
      </c>
      <c r="BK127" s="48" t="str">
        <f aca="false">IF(AS127&lt;=0,"",IF(CF127="Aussen","Aussenlager",IF(CF127="-","Nicht im Lift",IF(AY127&gt;=1,"Lift",IF(AY127&lt;=0,"Aussenlager","teilweise")))))</f>
        <v>Nicht im Lift</v>
      </c>
      <c r="BL127" s="48" t="str">
        <f aca="false">IF(BC127&lt;=0,"",IF(CF127="Aussen","Aussenlager",IF(CF127="-","Nicht im Lift",IF(BI127&gt;=1,"Lift",IF(BI127&lt;=0,"Aussenlager","teilweise")))))</f>
        <v>Nicht im Lift</v>
      </c>
      <c r="BM127" s="48" t="str">
        <f aca="false">IF(A127="","",IF(BV127=1,"Neu; ","")&amp;IF(AND(BV127=0,BQ127&lt;0),"negativer Bestand (Export "&amp;BQ127&amp;"); ","")&amp;IF(J127&lt;=0,"Kein Verbrauch; ","")&amp;IF(CQ127&gt;0,"Lift "&amp;W127&amp;" lt. Liftbericht (Fach "&amp;X127&amp;" Stk); ",IF(CA127=1,"Gebinde geschätzt ("&amp;T127&amp;"); ",IF(BZ127=1,"Lose – Tablare geschätzt; ","")))&amp;IF(H127&gt;AV127,"Überbestand "&amp;ROUND(H127-AV127,0)&amp;" Stk / CHF "&amp;ROUND((H127-AV127)*G127,0)&amp;"; ","")&amp;IF(AND(CH127=1,CI127&lt;CJ127),"MAX &lt; MB+LG; ","")&amp;IF(AND(CP127&gt;0,CO127*10&gt;CP127),"zu hoch für Tablar; ","")&amp;IF(AND(BV127=0,OR(CH127=1,AA127&lt;&gt;"",U127&lt;&gt;"",V127&lt;&gt;"",AB127&lt;&gt;"")),"manuell übersteuert; ","")&amp;IF(AND(BZ127=0,R127=0),"Gebinde unbekannt / Stellmass fehlt; ","")&amp;IF(AND(BZ127=0,N(V127)&lt;=0,N(Q127)&lt;=0),"Menge pro Gebinde fehlt (Ist = 1 Gebinde); ","")&amp;BU127)</f>
        <v>Gebinde geschätzt (Gross); Überbestand 87 Stk / CHF 1699; Menge pro Gebinde fehlt (Ist = 1 Gebinde); </v>
      </c>
      <c r="BN127" s="48"/>
      <c r="BO127" s="48"/>
      <c r="BP127" s="55"/>
      <c r="BQ127" s="50" t="n">
        <v>91</v>
      </c>
      <c r="BR127" s="50" t="n">
        <v>22</v>
      </c>
      <c r="BS127" s="49" t="n">
        <v>1776.13</v>
      </c>
      <c r="BT127" s="50" t="n">
        <v>25</v>
      </c>
      <c r="BU127" s="48"/>
      <c r="BV127" s="53" t="n">
        <v>0</v>
      </c>
      <c r="BW127" s="53" t="n">
        <v>127</v>
      </c>
      <c r="BX127" s="48" t="str">
        <f aca="false">IF(U127&lt;&gt;"",UPPER(TRIM(U127)),IF(CA127=1,UPPER(VLOOKUP(T127,Parameter!$I$27:$K$29,2,0)),IF(P127="","LOSE",P127)))</f>
        <v>S81</v>
      </c>
      <c r="BY127" s="50" t="n">
        <f aca="false">IF(BX127="LOSE",1,IF(N(V127)&gt;0,V127,IF(CA127=1,MAX(1,N(VLOOKUP(T127,Parameter!$I$27:$K$29,3,0)),H127,N(N127)),IF(N(Q127)&gt;0,Q127,MAX(1,H127)))))</f>
        <v>113</v>
      </c>
      <c r="BZ127" s="53" t="n">
        <f aca="false">IF(BX127="LOSE",1,0)</f>
        <v>0</v>
      </c>
      <c r="CA127" s="53" t="n">
        <f aca="false">IF(AND(U127="",OR(P127="",P127="LOSE"),T127&lt;&gt;"",N(S127)&lt;=0,ISNUMBER(MATCH(T127,Parameter!$I$27:$I$29,0))),1,0)</f>
        <v>1</v>
      </c>
      <c r="CB127" s="53" t="n">
        <f aca="false">IF(CQ127&gt;0,INDEX(Parameter!$H$5:$H$7,W127)/INDEX(Parameter!$E$5:$E$7,W127),IF(AND(BZ127=0,N(IFERROR(VLOOKUP(BX127,'Gebinde-Kategorie'!$A$5:$N$45,14,0),0))&gt;0),VLOOKUP(BX127,'Gebinde-Kategorie'!$A$5:$N$45,14,0)*10+Parameter!$M$23,Parameter!$M$24))</f>
        <v>235</v>
      </c>
      <c r="CC127" s="48" t="str">
        <f aca="false">IF(AND(Parameter!$B$19="Ja",E127&lt;&gt;"",ISNUMBER(MATCH(E127,Parameter!$I$35:$I$52,0))),VLOOKUP(E127,Parameter!$I$35:$J$52,2,0),IFERROR(VLOOKUP(D127,Parameter!$A$35:$C$64,2,0),"Nein"))</f>
        <v>Nein</v>
      </c>
      <c r="CD127" s="52" t="n">
        <f aca="false">IF(BZ127=0,0,IF(N(S127)&gt;0,S127,IFERROR(VLOOKUP(D127,Parameter!$A$35:$C$64,3,0)+0,0)))</f>
        <v>0</v>
      </c>
      <c r="CE127" s="48" t="str">
        <f aca="false">IF(AA127&lt;&gt;"",AA127,Z127)</f>
        <v>-</v>
      </c>
      <c r="CF127" s="48" t="str">
        <f aca="false">IF(OR(CE127=1,CE127=2,CE127=3),IF(Parameter!$E$27="Ja","LIFT",IF(CE127=1,"L1","L23")),IF(CE127="Aussen","Aussen","-"))</f>
        <v>-</v>
      </c>
      <c r="CG127" s="59" t="n">
        <f aca="false">IF(N(AB127)&gt;0,AB127,0)</f>
        <v>0</v>
      </c>
      <c r="CH127" s="53" t="n">
        <f aca="false">IF(ISNUMBER(AE127),1,0)</f>
        <v>0</v>
      </c>
      <c r="CI127" s="50" t="n">
        <f aca="false">N(AE127)</f>
        <v>0</v>
      </c>
      <c r="CJ127" s="50" t="n">
        <f aca="false">N(M127)+N(N127)</f>
        <v>26</v>
      </c>
      <c r="CK127" s="50" t="n">
        <f aca="false">N(M127)</f>
        <v>1</v>
      </c>
      <c r="CL127" s="50" t="n">
        <f aca="false">N(N127)</f>
        <v>25</v>
      </c>
      <c r="CM127" s="50" t="n">
        <f aca="false">ROUNDUP(H127/BY127,0)</f>
        <v>1</v>
      </c>
      <c r="CN127" s="50" t="n">
        <f aca="false">ROUNDUP(CI127/BY127,0)</f>
        <v>0</v>
      </c>
      <c r="CO127" s="53" t="n">
        <f aca="false">IF(BZ127=1,0,IFERROR(VLOOKUP(BX127,'Gebinde-Kategorie'!$A$5:$N$45,5,0)+0,0))</f>
        <v>20</v>
      </c>
      <c r="CP127" s="53" t="n">
        <f aca="false">IFERROR(IF(OR(CE127=1,CE127=2,CE127=3),N(INDEX(Parameter!$I$5:$I$7,CE127)),0),0)</f>
        <v>0</v>
      </c>
      <c r="CQ127" s="52" t="n">
        <f aca="false">IF(AND(Parameter!$B$21="Ja",ISNUMBER(W127),N(X127)&gt;0),IFERROR(N(INDEX(Parameter!$L$5:$L$7,W127))*INDEX(Parameter!$E$5:$E$7,W127)*X127/SUMIFS($X$7:$X$1843,$W$7:$W$1843,W127),0),0)</f>
        <v>0</v>
      </c>
    </row>
    <row r="128" customFormat="false" ht="15" hidden="false" customHeight="false" outlineLevel="0" collapsed="false">
      <c r="A128" s="48" t="s">
        <v>475</v>
      </c>
      <c r="B128" s="48" t="s">
        <v>440</v>
      </c>
      <c r="C128" s="48" t="s">
        <v>173</v>
      </c>
      <c r="D128" s="48" t="s">
        <v>193</v>
      </c>
      <c r="E128" s="48" t="s">
        <v>194</v>
      </c>
      <c r="F128" s="48" t="s">
        <v>227</v>
      </c>
      <c r="G128" s="49" t="n">
        <v>110.3</v>
      </c>
      <c r="H128" s="50" t="n">
        <f aca="false">MAX(0,IF(AND(Parameter!$B$21="Ja",ISNUMBER(Y128)),Y128,IF(Parameter!$B$20="Jahresanfang 2025 + Export",BR128+BQ128,BQ128)))</f>
        <v>44</v>
      </c>
      <c r="I128" s="50" t="n">
        <f aca="false">H128*G128</f>
        <v>4853.2</v>
      </c>
      <c r="J128" s="50" t="n">
        <f aca="false">BT128*Parameter!$B$18</f>
        <v>73</v>
      </c>
      <c r="K128" s="51" t="n">
        <v>26.5</v>
      </c>
      <c r="L128" s="52" t="n">
        <v>2.75471698113208</v>
      </c>
      <c r="M128" s="50" t="n">
        <v>10</v>
      </c>
      <c r="N128" s="50" t="n">
        <v>40</v>
      </c>
      <c r="O128" s="53" t="n">
        <v>35</v>
      </c>
      <c r="P128" s="48" t="s">
        <v>302</v>
      </c>
      <c r="Q128" s="50" t="n">
        <v>75</v>
      </c>
      <c r="R128" s="53" t="n">
        <f aca="false">IF(BZ128=1,0,IFERROR(VLOOKUP(BX128,'Gebinde-Kategorie'!$A$5:$N$45,13,0)+0,0))</f>
        <v>12</v>
      </c>
      <c r="S128" s="54"/>
      <c r="T128" s="55"/>
      <c r="U128" s="55"/>
      <c r="V128" s="55"/>
      <c r="W128" s="48"/>
      <c r="X128" s="50"/>
      <c r="Y128" s="50"/>
      <c r="Z128" s="48" t="n">
        <f aca="false">IF(A128="","",IF(AND(Parameter!$B$21="Ja",ISNUMBER(W128)),W128,IF(CC128="2+3",IF(ISNUMBER(SEARCH("grosser Artikel",BU128)),2,IFERROR(VLOOKUP(BX128,Parameter!$F$35:$G$64,2,0),2)),IF(OR(CC128="Nein",CC128=""),"-",CC128))))</f>
        <v>2</v>
      </c>
      <c r="AA128" s="55"/>
      <c r="AB128" s="56"/>
      <c r="AC128" s="50" t="n">
        <f aca="false">AV128</f>
        <v>50</v>
      </c>
      <c r="AD128" s="50" t="n">
        <f aca="false">MAX(AV128,H128)</f>
        <v>50</v>
      </c>
      <c r="AE128" s="57"/>
      <c r="AF128" s="50" t="n">
        <f aca="false">IF(LEFT(Cockpit!$C$5,1)="A",H128,IF(Parameter!$E$30="MAX-Bestand",IF(CH128=1,CI128,IF(LEFT(Cockpit!$C$5,1)="B",AL128,MAX(AL128,H128))),ROUNDUP(AJ128,0)))</f>
        <v>44</v>
      </c>
      <c r="AG128" s="50" t="n">
        <f aca="false">IF(BZ128=1,0,ROUNDUP(AF128/BY128,0))</f>
        <v>1</v>
      </c>
      <c r="AH128" s="52" t="n">
        <f aca="false">IF(CQ128&gt;0,CQ128*MAX(1,AF128/X128),IF(BZ128=1,IF(AF128&lt;=0,0,CD128*MAX(1,IF(H128&gt;0,AF128/H128,1))),IF(R128&gt;0,AG128/R128,0))/MAX(0.1,N(Parameter!$M$21)))</f>
        <v>0.0833333333333333</v>
      </c>
      <c r="AI128" s="50" t="n">
        <f aca="false">AH128*CB128</f>
        <v>20.4166666666667</v>
      </c>
      <c r="AJ128" s="51" t="n">
        <f aca="false">IF(LEFT(Cockpit!$C$5,1)="A",H128,IF(CH128=1,(CK128+CI128)/2,IF(LEFT(Cockpit!$C$5,1)="B",(CK128+AL128)/2,MAX((CK128+AL128)/2,H128))))</f>
        <v>44</v>
      </c>
      <c r="AK128" s="50" t="n">
        <f aca="false">AJ128*G128</f>
        <v>4853.2</v>
      </c>
      <c r="AL128" s="50" t="n">
        <f aca="false">ROUNDUP(CK128+MAX(CL128,2*(J128/IF(CG128&gt;0,CG128,MAX(0.1,N(Cockpit!$C$6)))-CK128)),0)</f>
        <v>50</v>
      </c>
      <c r="AM128" s="51" t="n">
        <f aca="false">IF(AI128&gt;0,J128/AI128,-1)</f>
        <v>3.57551020408163</v>
      </c>
      <c r="AN128" s="51" t="n">
        <f aca="false">IF(AND(OR(CF128="L1",CF128="L23",CF128="LIFT"),AI128&gt;0),SUMIFS($AI$7:$AI$1843,$CF$7:$CF$1843,CF128,$AM$7:$AM$1843,"&gt;"&amp;AM128)+SUMIFS($AI$7:$AI$1843,$CF$7:$CF$1843,CF128,$AM$7:$AM$1843,AM128,$BW$7:$BW$1843,"&lt;="&amp;BW128),"")</f>
        <v>4862.1423992674</v>
      </c>
      <c r="AO128" s="58" t="n">
        <f aca="false">IF(AN128="",0,MAX(0,MIN(1,(IF(CF128="L1",Parameter!$H$5,IF(CF128="L23",Parameter!$H$6+Parameter!$H$7,Parameter!$H$5+Parameter!$H$6+Parameter!$H$7))-(AN128-AI128))/AI128)))</f>
        <v>1</v>
      </c>
      <c r="AP128" s="50" t="n">
        <f aca="false">IF(LEFT(Cockpit!$I$5,1)="A",H128,IF(Parameter!$E$30="MAX-Bestand",IF(CH128=1,CI128,IF(LEFT(Cockpit!$I$5,1)="B",AV128,MAX(AV128,H128))),ROUNDUP(AT128,0)))</f>
        <v>44</v>
      </c>
      <c r="AQ128" s="50" t="n">
        <f aca="false">IF(BZ128=1,0,ROUNDUP(AP128/BY128,0))</f>
        <v>1</v>
      </c>
      <c r="AR128" s="52" t="n">
        <f aca="false">IF(CQ128&gt;0,CQ128*MAX(1,AP128/X128),IF(BZ128=1,IF(AP128&lt;=0,0,CD128*MAX(1,IF(H128&gt;0,AP128/H128,1))),IF(R128&gt;0,AQ128/R128,0))/MAX(0.1,N(Parameter!$M$21)))</f>
        <v>0.0833333333333333</v>
      </c>
      <c r="AS128" s="50" t="n">
        <f aca="false">AR128*CB128</f>
        <v>20.4166666666667</v>
      </c>
      <c r="AT128" s="51" t="n">
        <f aca="false">IF(LEFT(Cockpit!$I$5,1)="A",H128,IF(CH128=1,(CK128+CI128)/2,IF(LEFT(Cockpit!$I$5,1)="B",(CK128+AV128)/2,MAX((CK128+AV128)/2,H128))))</f>
        <v>44</v>
      </c>
      <c r="AU128" s="50" t="n">
        <f aca="false">AT128*G128</f>
        <v>4853.2</v>
      </c>
      <c r="AV128" s="50" t="n">
        <f aca="false">ROUNDUP(CK128+MAX(CL128,2*(J128/IF(CG128&gt;0,CG128,MAX(0.1,N(Cockpit!$I$6)))-CK128)),0)</f>
        <v>50</v>
      </c>
      <c r="AW128" s="51" t="n">
        <f aca="false">IF(AS128&gt;0,J128/AS128,-1)</f>
        <v>3.57551020408163</v>
      </c>
      <c r="AX128" s="51" t="n">
        <f aca="false">IF(AND(OR(CF128="L1",CF128="L23",CF128="LIFT"),AS128&gt;0),SUMIFS($AS$7:$AS$1843,$CF$7:$CF$1843,CF128,$AW$7:$AW$1843,"&gt;"&amp;AW128)+SUMIFS($AS$7:$AS$1843,$CF$7:$CF$1843,CF128,$AW$7:$AW$1843,AW128,$BW$7:$BW$1843,"&lt;="&amp;BW128),"")</f>
        <v>5439.7293956044</v>
      </c>
      <c r="AY128" s="58" t="n">
        <f aca="false">IF(AX128="",0,MAX(0,MIN(1,(IF(CF128="L1",Parameter!$H$5,IF(CF128="L23",Parameter!$H$6+Parameter!$H$7,Parameter!$H$5+Parameter!$H$6+Parameter!$H$7))-(AX128-AS128))/AS128)))</f>
        <v>1</v>
      </c>
      <c r="AZ128" s="50" t="n">
        <f aca="false">IF(LEFT(Cockpit!$O$5,1)="A",H128,IF(Parameter!$E$30="MAX-Bestand",IF(CH128=1,CI128,IF(LEFT(Cockpit!$O$5,1)="B",BF128,MAX(BF128,H128))),ROUNDUP(BD128,0)))</f>
        <v>30</v>
      </c>
      <c r="BA128" s="50" t="n">
        <f aca="false">IF(BZ128=1,0,ROUNDUP(AZ128/BY128,0))</f>
        <v>1</v>
      </c>
      <c r="BB128" s="52" t="n">
        <f aca="false">IF(CQ128&gt;0,CQ128*MAX(1,AZ128/X128),IF(BZ128=1,IF(AZ128&lt;=0,0,CD128*MAX(1,IF(H128&gt;0,AZ128/H128,1))),IF(R128&gt;0,BA128/R128,0))/MAX(0.1,N(Parameter!$M$21)))</f>
        <v>0.0833333333333333</v>
      </c>
      <c r="BC128" s="50" t="n">
        <f aca="false">BB128*CB128</f>
        <v>20.4166666666667</v>
      </c>
      <c r="BD128" s="51" t="n">
        <f aca="false">IF(LEFT(Cockpit!$O$5,1)="A",H128,IF(CH128=1,(CK128+CI128)/2,IF(LEFT(Cockpit!$O$5,1)="B",(CK128+BF128)/2,MAX((CK128+BF128)/2,H128))))</f>
        <v>30</v>
      </c>
      <c r="BE128" s="50" t="n">
        <f aca="false">BD128*G128</f>
        <v>3309</v>
      </c>
      <c r="BF128" s="50" t="n">
        <f aca="false">ROUNDUP(CK128+MAX(CL128,2*(J128/IF(CG128&gt;0,CG128,MAX(0.1,N(Cockpit!$O$6)))-CK128)),0)</f>
        <v>50</v>
      </c>
      <c r="BG128" s="51" t="n">
        <f aca="false">IF(BC128&gt;0,J128/BC128,-1)</f>
        <v>3.57551020408163</v>
      </c>
      <c r="BH128" s="51" t="n">
        <f aca="false">IF(AND(OR(CF128="L1",CF128="L23",CF128="LIFT"),BC128&gt;0),SUMIFS($BC$7:$BC$1843,$CF$7:$CF$1843,CF128,$BG$7:$BG$1843,"&gt;"&amp;BG128)+SUMIFS($BC$7:$BC$1843,$CF$7:$CF$1843,CF128,$BG$7:$BG$1843,BG128,$BW$7:$BW$1843,"&lt;="&amp;BW128),"")</f>
        <v>4454.22619047619</v>
      </c>
      <c r="BI128" s="58" t="n">
        <f aca="false">IF(BH128="",0,MAX(0,MIN(1,(IF(CF128="L1",Parameter!$H$5,IF(CF128="L23",Parameter!$H$6+Parameter!$H$7,Parameter!$H$5+Parameter!$H$6+Parameter!$H$7))-(BH128-BC128))/BC128)))</f>
        <v>1</v>
      </c>
      <c r="BJ128" s="48" t="str">
        <f aca="false">IF(AI128&lt;=0,"",IF(CF128="Aussen","Aussenlager",IF(CF128="-","Nicht im Lift",IF(AO128&gt;=1,"Lift",IF(AO128&lt;=0,"Aussenlager","teilweise")))))</f>
        <v>Lift</v>
      </c>
      <c r="BK128" s="48" t="str">
        <f aca="false">IF(AS128&lt;=0,"",IF(CF128="Aussen","Aussenlager",IF(CF128="-","Nicht im Lift",IF(AY128&gt;=1,"Lift",IF(AY128&lt;=0,"Aussenlager","teilweise")))))</f>
        <v>Lift</v>
      </c>
      <c r="BL128" s="48" t="str">
        <f aca="false">IF(BC128&lt;=0,"",IF(CF128="Aussen","Aussenlager",IF(CF128="-","Nicht im Lift",IF(BI128&gt;=1,"Lift",IF(BI128&lt;=0,"Aussenlager","teilweise")))))</f>
        <v>Lift</v>
      </c>
      <c r="BM128" s="48" t="str">
        <f aca="false">IF(A128="","",IF(BV128=1,"Neu; ","")&amp;IF(AND(BV128=0,BQ128&lt;0),"negativer Bestand (Export "&amp;BQ128&amp;"); ","")&amp;IF(J128&lt;=0,"Kein Verbrauch; ","")&amp;IF(CQ128&gt;0,"Lift "&amp;W128&amp;" lt. Liftbericht (Fach "&amp;X128&amp;" Stk); ",IF(CA128=1,"Gebinde geschätzt ("&amp;T128&amp;"); ",IF(BZ128=1,"Lose – Tablare geschätzt; ","")))&amp;IF(H128&gt;AV128,"Überbestand "&amp;ROUND(H128-AV128,0)&amp;" Stk / CHF "&amp;ROUND((H128-AV128)*G128,0)&amp;"; ","")&amp;IF(AND(CH128=1,CI128&lt;CJ128),"MAX &lt; MB+LG; ","")&amp;IF(AND(CP128&gt;0,CO128*10&gt;CP128),"zu hoch für Tablar; ","")&amp;IF(AND(BV128=0,OR(CH128=1,AA128&lt;&gt;"",U128&lt;&gt;"",V128&lt;&gt;"",AB128&lt;&gt;"")),"manuell übersteuert; ","")&amp;IF(AND(BZ128=0,R128=0),"Gebinde unbekannt / Stellmass fehlt; ","")&amp;IF(AND(BZ128=0,N(V128)&lt;=0,N(Q128)&lt;=0),"Menge pro Gebinde fehlt (Ist = 1 Gebinde); ","")&amp;BU128)</f>
        <v/>
      </c>
      <c r="BN128" s="48"/>
      <c r="BO128" s="48"/>
      <c r="BP128" s="55"/>
      <c r="BQ128" s="50" t="n">
        <v>11</v>
      </c>
      <c r="BR128" s="50" t="n">
        <v>33</v>
      </c>
      <c r="BS128" s="49" t="n">
        <v>1770.01</v>
      </c>
      <c r="BT128" s="50" t="n">
        <v>73</v>
      </c>
      <c r="BU128" s="48"/>
      <c r="BV128" s="53" t="n">
        <v>0</v>
      </c>
      <c r="BW128" s="53" t="n">
        <v>128</v>
      </c>
      <c r="BX128" s="48" t="str">
        <f aca="false">IF(U128&lt;&gt;"",UPPER(TRIM(U128)),IF(CA128=1,UPPER(VLOOKUP(T128,Parameter!$I$27:$K$29,2,0)),IF(P128="","LOSE",P128)))</f>
        <v>S62</v>
      </c>
      <c r="BY128" s="50" t="n">
        <f aca="false">IF(BX128="LOSE",1,IF(N(V128)&gt;0,V128,IF(CA128=1,MAX(1,N(VLOOKUP(T128,Parameter!$I$27:$K$29,3,0)),H128,N(N128)),IF(N(Q128)&gt;0,Q128,MAX(1,H128)))))</f>
        <v>75</v>
      </c>
      <c r="BZ128" s="53" t="n">
        <f aca="false">IF(BX128="LOSE",1,0)</f>
        <v>0</v>
      </c>
      <c r="CA128" s="53" t="n">
        <f aca="false">IF(AND(U128="",OR(P128="",P128="LOSE"),T128&lt;&gt;"",N(S128)&lt;=0,ISNUMBER(MATCH(T128,Parameter!$I$27:$I$29,0))),1,0)</f>
        <v>0</v>
      </c>
      <c r="CB128" s="53" t="n">
        <f aca="false">IF(CQ128&gt;0,INDEX(Parameter!$H$5:$H$7,W128)/INDEX(Parameter!$E$5:$E$7,W128),IF(AND(BZ128=0,N(IFERROR(VLOOKUP(BX128,'Gebinde-Kategorie'!$A$5:$N$45,14,0),0))&gt;0),VLOOKUP(BX128,'Gebinde-Kategorie'!$A$5:$N$45,14,0)*10+Parameter!$M$23,Parameter!$M$24))</f>
        <v>245</v>
      </c>
      <c r="CC128" s="48" t="str">
        <f aca="false">IF(AND(Parameter!$B$19="Ja",E128&lt;&gt;"",ISNUMBER(MATCH(E128,Parameter!$I$35:$I$52,0))),VLOOKUP(E128,Parameter!$I$35:$J$52,2,0),IFERROR(VLOOKUP(D128,Parameter!$A$35:$C$64,2,0),"Nein"))</f>
        <v>2+3</v>
      </c>
      <c r="CD128" s="52" t="n">
        <f aca="false">IF(BZ128=0,0,IF(N(S128)&gt;0,S128,IFERROR(VLOOKUP(D128,Parameter!$A$35:$C$64,3,0)+0,0)))</f>
        <v>0</v>
      </c>
      <c r="CE128" s="48" t="n">
        <f aca="false">IF(AA128&lt;&gt;"",AA128,Z128)</f>
        <v>2</v>
      </c>
      <c r="CF128" s="48" t="str">
        <f aca="false">IF(OR(CE128=1,CE128=2,CE128=3),IF(Parameter!$E$27="Ja","LIFT",IF(CE128=1,"L1","L23")),IF(CE128="Aussen","Aussen","-"))</f>
        <v>LIFT</v>
      </c>
      <c r="CG128" s="59" t="n">
        <f aca="false">IF(N(AB128)&gt;0,AB128,0)</f>
        <v>0</v>
      </c>
      <c r="CH128" s="53" t="n">
        <f aca="false">IF(ISNUMBER(AE128),1,0)</f>
        <v>0</v>
      </c>
      <c r="CI128" s="50" t="n">
        <f aca="false">N(AE128)</f>
        <v>0</v>
      </c>
      <c r="CJ128" s="50" t="n">
        <f aca="false">N(M128)+N(N128)</f>
        <v>50</v>
      </c>
      <c r="CK128" s="50" t="n">
        <f aca="false">N(M128)</f>
        <v>10</v>
      </c>
      <c r="CL128" s="50" t="n">
        <f aca="false">N(N128)</f>
        <v>40</v>
      </c>
      <c r="CM128" s="50" t="n">
        <f aca="false">ROUNDUP(H128/BY128,0)</f>
        <v>1</v>
      </c>
      <c r="CN128" s="50" t="n">
        <f aca="false">ROUNDUP(CI128/BY128,0)</f>
        <v>0</v>
      </c>
      <c r="CO128" s="53" t="n">
        <f aca="false">IF(BZ128=1,0,IFERROR(VLOOKUP(BX128,'Gebinde-Kategorie'!$A$5:$N$45,5,0)+0,0))</f>
        <v>21</v>
      </c>
      <c r="CP128" s="53" t="n">
        <f aca="false">IFERROR(IF(OR(CE128=1,CE128=2,CE128=3),N(INDEX(Parameter!$I$5:$I$7,CE128)),0),0)</f>
        <v>0</v>
      </c>
      <c r="CQ128" s="52" t="n">
        <f aca="false">IF(AND(Parameter!$B$21="Ja",ISNUMBER(W128),N(X128)&gt;0),IFERROR(N(INDEX(Parameter!$L$5:$L$7,W128))*INDEX(Parameter!$E$5:$E$7,W128)*X128/SUMIFS($X$7:$X$1843,$W$7:$W$1843,W128),0),0)</f>
        <v>0</v>
      </c>
    </row>
    <row r="129" customFormat="false" ht="15" hidden="false" customHeight="false" outlineLevel="0" collapsed="false">
      <c r="A129" s="48" t="s">
        <v>476</v>
      </c>
      <c r="B129" s="48" t="s">
        <v>477</v>
      </c>
      <c r="C129" s="48" t="s">
        <v>173</v>
      </c>
      <c r="D129" s="48" t="s">
        <v>193</v>
      </c>
      <c r="E129" s="48" t="s">
        <v>194</v>
      </c>
      <c r="F129" s="48" t="s">
        <v>227</v>
      </c>
      <c r="G129" s="49" t="n">
        <v>3.7</v>
      </c>
      <c r="H129" s="50" t="n">
        <f aca="false">MAX(0,IF(AND(Parameter!$B$21="Ja",ISNUMBER(Y129)),Y129,IF(Parameter!$B$20="Jahresanfang 2025 + Export",BR129+BQ129,BQ129)))</f>
        <v>601</v>
      </c>
      <c r="I129" s="50" t="n">
        <f aca="false">H129*G129</f>
        <v>2223.7</v>
      </c>
      <c r="J129" s="50" t="n">
        <f aca="false">BT129*Parameter!$B$18</f>
        <v>689</v>
      </c>
      <c r="K129" s="51" t="n">
        <v>214</v>
      </c>
      <c r="L129" s="52" t="n">
        <v>3.2196261682243</v>
      </c>
      <c r="M129" s="50" t="n">
        <v>26</v>
      </c>
      <c r="N129" s="50" t="n">
        <v>690</v>
      </c>
      <c r="O129" s="53" t="n">
        <v>14</v>
      </c>
      <c r="P129" s="48" t="s">
        <v>242</v>
      </c>
      <c r="Q129" s="50" t="n">
        <v>331</v>
      </c>
      <c r="R129" s="53" t="n">
        <f aca="false">IF(BZ129=1,0,IFERROR(VLOOKUP(BX129,'Gebinde-Kategorie'!$A$5:$N$45,13,0)+0,0))</f>
        <v>26</v>
      </c>
      <c r="S129" s="54"/>
      <c r="T129" s="55"/>
      <c r="U129" s="55"/>
      <c r="V129" s="55"/>
      <c r="W129" s="48"/>
      <c r="X129" s="50"/>
      <c r="Y129" s="50"/>
      <c r="Z129" s="48" t="n">
        <f aca="false">IF(A129="","",IF(AND(Parameter!$B$21="Ja",ISNUMBER(W129)),W129,IF(CC129="2+3",IF(ISNUMBER(SEARCH("grosser Artikel",BU129)),2,IFERROR(VLOOKUP(BX129,Parameter!$F$35:$G$64,2,0),2)),IF(OR(CC129="Nein",CC129=""),"-",CC129))))</f>
        <v>3</v>
      </c>
      <c r="AA129" s="55"/>
      <c r="AB129" s="56"/>
      <c r="AC129" s="50" t="n">
        <f aca="false">AV129</f>
        <v>716</v>
      </c>
      <c r="AD129" s="50" t="n">
        <f aca="false">MAX(AV129,H129)</f>
        <v>716</v>
      </c>
      <c r="AE129" s="57"/>
      <c r="AF129" s="50" t="n">
        <f aca="false">IF(LEFT(Cockpit!$C$5,1)="A",H129,IF(Parameter!$E$30="MAX-Bestand",IF(CH129=1,CI129,IF(LEFT(Cockpit!$C$5,1)="B",AL129,MAX(AL129,H129))),ROUNDUP(AJ129,0)))</f>
        <v>601</v>
      </c>
      <c r="AG129" s="50" t="n">
        <f aca="false">IF(BZ129=1,0,ROUNDUP(AF129/BY129,0))</f>
        <v>2</v>
      </c>
      <c r="AH129" s="52" t="n">
        <f aca="false">IF(CQ129&gt;0,CQ129*MAX(1,AF129/X129),IF(BZ129=1,IF(AF129&lt;=0,0,CD129*MAX(1,IF(H129&gt;0,AF129/H129,1))),IF(R129&gt;0,AG129/R129,0))/MAX(0.1,N(Parameter!$M$21)))</f>
        <v>0.0769230769230769</v>
      </c>
      <c r="AI129" s="50" t="n">
        <f aca="false">AH129*CB129</f>
        <v>18.8461538461538</v>
      </c>
      <c r="AJ129" s="51" t="n">
        <f aca="false">IF(LEFT(Cockpit!$C$5,1)="A",H129,IF(CH129=1,(CK129+CI129)/2,IF(LEFT(Cockpit!$C$5,1)="B",(CK129+AL129)/2,MAX((CK129+AL129)/2,H129))))</f>
        <v>601</v>
      </c>
      <c r="AK129" s="50" t="n">
        <f aca="false">AJ129*G129</f>
        <v>2223.7</v>
      </c>
      <c r="AL129" s="50" t="n">
        <f aca="false">ROUNDUP(CK129+MAX(CL129,2*(J129/IF(CG129&gt;0,CG129,MAX(0.1,N(Cockpit!$C$6)))-CK129)),0)</f>
        <v>716</v>
      </c>
      <c r="AM129" s="51" t="n">
        <f aca="false">IF(AI129&gt;0,J129/AI129,-1)</f>
        <v>36.5591836734694</v>
      </c>
      <c r="AN129" s="51" t="n">
        <f aca="false">IF(AND(OR(CF129="L1",CF129="L23",CF129="LIFT"),AI129&gt;0),SUMIFS($AI$7:$AI$1843,$CF$7:$CF$1843,CF129,$AM$7:$AM$1843,"&gt;"&amp;AM129)+SUMIFS($AI$7:$AI$1843,$CF$7:$CF$1843,CF129,$AM$7:$AM$1843,AM129,$BW$7:$BW$1843,"&lt;="&amp;BW129),"")</f>
        <v>1280.70192307692</v>
      </c>
      <c r="AO129" s="58" t="n">
        <f aca="false">IF(AN129="",0,MAX(0,MIN(1,(IF(CF129="L1",Parameter!$H$5,IF(CF129="L23",Parameter!$H$6+Parameter!$H$7,Parameter!$H$5+Parameter!$H$6+Parameter!$H$7))-(AN129-AI129))/AI129)))</f>
        <v>1</v>
      </c>
      <c r="AP129" s="50" t="n">
        <f aca="false">IF(LEFT(Cockpit!$I$5,1)="A",H129,IF(Parameter!$E$30="MAX-Bestand",IF(CH129=1,CI129,IF(LEFT(Cockpit!$I$5,1)="B",AV129,MAX(AV129,H129))),ROUNDUP(AT129,0)))</f>
        <v>601</v>
      </c>
      <c r="AQ129" s="50" t="n">
        <f aca="false">IF(BZ129=1,0,ROUNDUP(AP129/BY129,0))</f>
        <v>2</v>
      </c>
      <c r="AR129" s="52" t="n">
        <f aca="false">IF(CQ129&gt;0,CQ129*MAX(1,AP129/X129),IF(BZ129=1,IF(AP129&lt;=0,0,CD129*MAX(1,IF(H129&gt;0,AP129/H129,1))),IF(R129&gt;0,AQ129/R129,0))/MAX(0.1,N(Parameter!$M$21)))</f>
        <v>0.0769230769230769</v>
      </c>
      <c r="AS129" s="50" t="n">
        <f aca="false">AR129*CB129</f>
        <v>18.8461538461538</v>
      </c>
      <c r="AT129" s="51" t="n">
        <f aca="false">IF(LEFT(Cockpit!$I$5,1)="A",H129,IF(CH129=1,(CK129+CI129)/2,IF(LEFT(Cockpit!$I$5,1)="B",(CK129+AV129)/2,MAX((CK129+AV129)/2,H129))))</f>
        <v>601</v>
      </c>
      <c r="AU129" s="50" t="n">
        <f aca="false">AT129*G129</f>
        <v>2223.7</v>
      </c>
      <c r="AV129" s="50" t="n">
        <f aca="false">ROUNDUP(CK129+MAX(CL129,2*(J129/IF(CG129&gt;0,CG129,MAX(0.1,N(Cockpit!$I$6)))-CK129)),0)</f>
        <v>716</v>
      </c>
      <c r="AW129" s="51" t="n">
        <f aca="false">IF(AS129&gt;0,J129/AS129,-1)</f>
        <v>36.5591836734694</v>
      </c>
      <c r="AX129" s="51" t="n">
        <f aca="false">IF(AND(OR(CF129="L1",CF129="L23",CF129="LIFT"),AS129&gt;0),SUMIFS($AS$7:$AS$1843,$CF$7:$CF$1843,CF129,$AW$7:$AW$1843,"&gt;"&amp;AW129)+SUMIFS($AS$7:$AS$1843,$CF$7:$CF$1843,CF129,$AW$7:$AW$1843,AW129,$BW$7:$BW$1843,"&lt;="&amp;BW129),"")</f>
        <v>1599.25366300366</v>
      </c>
      <c r="AY129" s="58" t="n">
        <f aca="false">IF(AX129="",0,MAX(0,MIN(1,(IF(CF129="L1",Parameter!$H$5,IF(CF129="L23",Parameter!$H$6+Parameter!$H$7,Parameter!$H$5+Parameter!$H$6+Parameter!$H$7))-(AX129-AS129))/AS129)))</f>
        <v>1</v>
      </c>
      <c r="AZ129" s="50" t="n">
        <f aca="false">IF(LEFT(Cockpit!$O$5,1)="A",H129,IF(Parameter!$E$30="MAX-Bestand",IF(CH129=1,CI129,IF(LEFT(Cockpit!$O$5,1)="B",BF129,MAX(BF129,H129))),ROUNDUP(BD129,0)))</f>
        <v>371</v>
      </c>
      <c r="BA129" s="50" t="n">
        <f aca="false">IF(BZ129=1,0,ROUNDUP(AZ129/BY129,0))</f>
        <v>2</v>
      </c>
      <c r="BB129" s="52" t="n">
        <f aca="false">IF(CQ129&gt;0,CQ129*MAX(1,AZ129/X129),IF(BZ129=1,IF(AZ129&lt;=0,0,CD129*MAX(1,IF(H129&gt;0,AZ129/H129,1))),IF(R129&gt;0,BA129/R129,0))/MAX(0.1,N(Parameter!$M$21)))</f>
        <v>0.0769230769230769</v>
      </c>
      <c r="BC129" s="50" t="n">
        <f aca="false">BB129*CB129</f>
        <v>18.8461538461538</v>
      </c>
      <c r="BD129" s="51" t="n">
        <f aca="false">IF(LEFT(Cockpit!$O$5,1)="A",H129,IF(CH129=1,(CK129+CI129)/2,IF(LEFT(Cockpit!$O$5,1)="B",(CK129+BF129)/2,MAX((CK129+BF129)/2,H129))))</f>
        <v>371</v>
      </c>
      <c r="BE129" s="50" t="n">
        <f aca="false">BD129*G129</f>
        <v>1372.7</v>
      </c>
      <c r="BF129" s="50" t="n">
        <f aca="false">ROUNDUP(CK129+MAX(CL129,2*(J129/IF(CG129&gt;0,CG129,MAX(0.1,N(Cockpit!$O$6)))-CK129)),0)</f>
        <v>716</v>
      </c>
      <c r="BG129" s="51" t="n">
        <f aca="false">IF(BC129&gt;0,J129/BC129,-1)</f>
        <v>36.5591836734694</v>
      </c>
      <c r="BH129" s="51" t="n">
        <f aca="false">IF(AND(OR(CF129="L1",CF129="L23",CF129="LIFT"),BC129&gt;0),SUMIFS($BC$7:$BC$1843,$CF$7:$CF$1843,CF129,$BG$7:$BG$1843,"&gt;"&amp;BG129)+SUMIFS($BC$7:$BC$1843,$CF$7:$CF$1843,CF129,$BG$7:$BG$1843,BG129,$BW$7:$BW$1843,"&lt;="&amp;BW129),"")</f>
        <v>1527.45512820513</v>
      </c>
      <c r="BI129" s="58" t="n">
        <f aca="false">IF(BH129="",0,MAX(0,MIN(1,(IF(CF129="L1",Parameter!$H$5,IF(CF129="L23",Parameter!$H$6+Parameter!$H$7,Parameter!$H$5+Parameter!$H$6+Parameter!$H$7))-(BH129-BC129))/BC129)))</f>
        <v>1</v>
      </c>
      <c r="BJ129" s="48" t="str">
        <f aca="false">IF(AI129&lt;=0,"",IF(CF129="Aussen","Aussenlager",IF(CF129="-","Nicht im Lift",IF(AO129&gt;=1,"Lift",IF(AO129&lt;=0,"Aussenlager","teilweise")))))</f>
        <v>Lift</v>
      </c>
      <c r="BK129" s="48" t="str">
        <f aca="false">IF(AS129&lt;=0,"",IF(CF129="Aussen","Aussenlager",IF(CF129="-","Nicht im Lift",IF(AY129&gt;=1,"Lift",IF(AY129&lt;=0,"Aussenlager","teilweise")))))</f>
        <v>Lift</v>
      </c>
      <c r="BL129" s="48" t="str">
        <f aca="false">IF(BC129&lt;=0,"",IF(CF129="Aussen","Aussenlager",IF(CF129="-","Nicht im Lift",IF(BI129&gt;=1,"Lift",IF(BI129&lt;=0,"Aussenlager","teilweise")))))</f>
        <v>Lift</v>
      </c>
      <c r="BM129" s="48" t="str">
        <f aca="false">IF(A129="","",IF(BV129=1,"Neu; ","")&amp;IF(AND(BV129=0,BQ129&lt;0),"negativer Bestand (Export "&amp;BQ129&amp;"); ","")&amp;IF(J129&lt;=0,"Kein Verbrauch; ","")&amp;IF(CQ129&gt;0,"Lift "&amp;W129&amp;" lt. Liftbericht (Fach "&amp;X129&amp;" Stk); ",IF(CA129=1,"Gebinde geschätzt ("&amp;T129&amp;"); ",IF(BZ129=1,"Lose – Tablare geschätzt; ","")))&amp;IF(H129&gt;AV129,"Überbestand "&amp;ROUND(H129-AV129,0)&amp;" Stk / CHF "&amp;ROUND((H129-AV129)*G129,0)&amp;"; ","")&amp;IF(AND(CH129=1,CI129&lt;CJ129),"MAX &lt; MB+LG; ","")&amp;IF(AND(CP129&gt;0,CO129*10&gt;CP129),"zu hoch für Tablar; ","")&amp;IF(AND(BV129=0,OR(CH129=1,AA129&lt;&gt;"",U129&lt;&gt;"",V129&lt;&gt;"",AB129&lt;&gt;"")),"manuell übersteuert; ","")&amp;IF(AND(BZ129=0,R129=0),"Gebinde unbekannt / Stellmass fehlt; ","")&amp;IF(AND(BZ129=0,N(V129)&lt;=0,N(Q129)&lt;=0),"Menge pro Gebinde fehlt (Ist = 1 Gebinde); ","")&amp;BU129)</f>
        <v/>
      </c>
      <c r="BN129" s="48"/>
      <c r="BO129" s="48"/>
      <c r="BP129" s="55"/>
      <c r="BQ129" s="50" t="n">
        <v>487</v>
      </c>
      <c r="BR129" s="50" t="n">
        <v>114</v>
      </c>
      <c r="BS129" s="49" t="n">
        <v>1761.24</v>
      </c>
      <c r="BT129" s="50" t="n">
        <v>689</v>
      </c>
      <c r="BU129" s="48"/>
      <c r="BV129" s="53" t="n">
        <v>0</v>
      </c>
      <c r="BW129" s="53" t="n">
        <v>129</v>
      </c>
      <c r="BX129" s="48" t="str">
        <f aca="false">IF(U129&lt;&gt;"",UPPER(TRIM(U129)),IF(CA129=1,UPPER(VLOOKUP(T129,Parameter!$I$27:$K$29,2,0)),IF(P129="","LOSE",P129)))</f>
        <v>S52</v>
      </c>
      <c r="BY129" s="50" t="n">
        <f aca="false">IF(BX129="LOSE",1,IF(N(V129)&gt;0,V129,IF(CA129=1,MAX(1,N(VLOOKUP(T129,Parameter!$I$27:$K$29,3,0)),H129,N(N129)),IF(N(Q129)&gt;0,Q129,MAX(1,H129)))))</f>
        <v>331</v>
      </c>
      <c r="BZ129" s="53" t="n">
        <f aca="false">IF(BX129="LOSE",1,0)</f>
        <v>0</v>
      </c>
      <c r="CA129" s="53" t="n">
        <f aca="false">IF(AND(U129="",OR(P129="",P129="LOSE"),T129&lt;&gt;"",N(S129)&lt;=0,ISNUMBER(MATCH(T129,Parameter!$I$27:$I$29,0))),1,0)</f>
        <v>0</v>
      </c>
      <c r="CB129" s="53" t="n">
        <f aca="false">IF(CQ129&gt;0,INDEX(Parameter!$H$5:$H$7,W129)/INDEX(Parameter!$E$5:$E$7,W129),IF(AND(BZ129=0,N(IFERROR(VLOOKUP(BX129,'Gebinde-Kategorie'!$A$5:$N$45,14,0),0))&gt;0),VLOOKUP(BX129,'Gebinde-Kategorie'!$A$5:$N$45,14,0)*10+Parameter!$M$23,Parameter!$M$24))</f>
        <v>245</v>
      </c>
      <c r="CC129" s="48" t="str">
        <f aca="false">IF(AND(Parameter!$B$19="Ja",E129&lt;&gt;"",ISNUMBER(MATCH(E129,Parameter!$I$35:$I$52,0))),VLOOKUP(E129,Parameter!$I$35:$J$52,2,0),IFERROR(VLOOKUP(D129,Parameter!$A$35:$C$64,2,0),"Nein"))</f>
        <v>2+3</v>
      </c>
      <c r="CD129" s="52" t="n">
        <f aca="false">IF(BZ129=0,0,IF(N(S129)&gt;0,S129,IFERROR(VLOOKUP(D129,Parameter!$A$35:$C$64,3,0)+0,0)))</f>
        <v>0</v>
      </c>
      <c r="CE129" s="48" t="n">
        <f aca="false">IF(AA129&lt;&gt;"",AA129,Z129)</f>
        <v>3</v>
      </c>
      <c r="CF129" s="48" t="str">
        <f aca="false">IF(OR(CE129=1,CE129=2,CE129=3),IF(Parameter!$E$27="Ja","LIFT",IF(CE129=1,"L1","L23")),IF(CE129="Aussen","Aussen","-"))</f>
        <v>LIFT</v>
      </c>
      <c r="CG129" s="59" t="n">
        <f aca="false">IF(N(AB129)&gt;0,AB129,0)</f>
        <v>0</v>
      </c>
      <c r="CH129" s="53" t="n">
        <f aca="false">IF(ISNUMBER(AE129),1,0)</f>
        <v>0</v>
      </c>
      <c r="CI129" s="50" t="n">
        <f aca="false">N(AE129)</f>
        <v>0</v>
      </c>
      <c r="CJ129" s="50" t="n">
        <f aca="false">N(M129)+N(N129)</f>
        <v>716</v>
      </c>
      <c r="CK129" s="50" t="n">
        <f aca="false">N(M129)</f>
        <v>26</v>
      </c>
      <c r="CL129" s="50" t="n">
        <f aca="false">N(N129)</f>
        <v>690</v>
      </c>
      <c r="CM129" s="50" t="n">
        <f aca="false">ROUNDUP(H129/BY129,0)</f>
        <v>2</v>
      </c>
      <c r="CN129" s="50" t="n">
        <f aca="false">ROUNDUP(CI129/BY129,0)</f>
        <v>0</v>
      </c>
      <c r="CO129" s="53" t="n">
        <f aca="false">IF(BZ129=1,0,IFERROR(VLOOKUP(BX129,'Gebinde-Kategorie'!$A$5:$N$45,5,0)+0,0))</f>
        <v>21</v>
      </c>
      <c r="CP129" s="53" t="n">
        <f aca="false">IFERROR(IF(OR(CE129=1,CE129=2,CE129=3),N(INDEX(Parameter!$I$5:$I$7,CE129)),0),0)</f>
        <v>0</v>
      </c>
      <c r="CQ129" s="52" t="n">
        <f aca="false">IF(AND(Parameter!$B$21="Ja",ISNUMBER(W129),N(X129)&gt;0),IFERROR(N(INDEX(Parameter!$L$5:$L$7,W129))*INDEX(Parameter!$E$5:$E$7,W129)*X129/SUMIFS($X$7:$X$1843,$W$7:$W$1843,W129),0),0)</f>
        <v>0</v>
      </c>
    </row>
    <row r="130" customFormat="false" ht="15" hidden="false" customHeight="false" outlineLevel="0" collapsed="false">
      <c r="A130" s="48" t="s">
        <v>478</v>
      </c>
      <c r="B130" s="48" t="s">
        <v>172</v>
      </c>
      <c r="C130" s="48" t="s">
        <v>173</v>
      </c>
      <c r="D130" s="48" t="s">
        <v>174</v>
      </c>
      <c r="E130" s="48" t="s">
        <v>175</v>
      </c>
      <c r="F130" s="48" t="s">
        <v>227</v>
      </c>
      <c r="G130" s="49" t="n">
        <v>3280</v>
      </c>
      <c r="H130" s="50" t="n">
        <f aca="false">MAX(0,IF(AND(Parameter!$B$21="Ja",ISNUMBER(Y130)),Y130,IF(Parameter!$B$20="Jahresanfang 2025 + Export",BR130+BQ130,BQ130)))</f>
        <v>1</v>
      </c>
      <c r="I130" s="50" t="n">
        <f aca="false">H130*G130</f>
        <v>3280</v>
      </c>
      <c r="J130" s="50" t="n">
        <f aca="false">BT130*Parameter!$B$18</f>
        <v>3</v>
      </c>
      <c r="K130" s="51" t="n">
        <v>0.5</v>
      </c>
      <c r="L130" s="52" t="n">
        <v>6</v>
      </c>
      <c r="M130" s="50" t="n">
        <v>0</v>
      </c>
      <c r="N130" s="50" t="n">
        <v>1</v>
      </c>
      <c r="O130" s="53" t="n">
        <v>58</v>
      </c>
      <c r="P130" s="48" t="s">
        <v>177</v>
      </c>
      <c r="Q130" s="50"/>
      <c r="R130" s="53" t="n">
        <f aca="false">IF(BZ130=1,0,IFERROR(VLOOKUP(BX130,'Gebinde-Kategorie'!$A$5:$N$45,13,0)+0,0))</f>
        <v>0</v>
      </c>
      <c r="S130" s="54"/>
      <c r="T130" s="55"/>
      <c r="U130" s="55"/>
      <c r="V130" s="55"/>
      <c r="W130" s="48" t="n">
        <v>1</v>
      </c>
      <c r="X130" s="50" t="n">
        <v>2</v>
      </c>
      <c r="Y130" s="50" t="n">
        <v>1</v>
      </c>
      <c r="Z130" s="48" t="n">
        <f aca="false">IF(A130="","",IF(AND(Parameter!$B$21="Ja",ISNUMBER(W130)),W130,IF(CC130="2+3",IF(ISNUMBER(SEARCH("grosser Artikel",BU130)),2,IFERROR(VLOOKUP(BX130,Parameter!$F$35:$G$64,2,0),2)),IF(OR(CC130="Nein",CC130=""),"-",CC130))))</f>
        <v>1</v>
      </c>
      <c r="AA130" s="55"/>
      <c r="AB130" s="56"/>
      <c r="AC130" s="50" t="n">
        <f aca="false">AV130</f>
        <v>2</v>
      </c>
      <c r="AD130" s="50" t="n">
        <f aca="false">MAX(AV130,H130)</f>
        <v>2</v>
      </c>
      <c r="AE130" s="57"/>
      <c r="AF130" s="50" t="n">
        <f aca="false">IF(LEFT(Cockpit!$C$5,1)="A",H130,IF(Parameter!$E$30="MAX-Bestand",IF(CH130=1,CI130,IF(LEFT(Cockpit!$C$5,1)="B",AL130,MAX(AL130,H130))),ROUNDUP(AJ130,0)))</f>
        <v>1</v>
      </c>
      <c r="AG130" s="50" t="n">
        <f aca="false">IF(BZ130=1,0,ROUNDUP(AF130/BY130,0))</f>
        <v>0</v>
      </c>
      <c r="AH130" s="52" t="n">
        <f aca="false">IF(CQ130&gt;0,CQ130*MAX(1,AF130/X130),IF(BZ130=1,IF(AF130&lt;=0,0,CD130*MAX(1,IF(H130&gt;0,AF130/H130,1))),IF(R130&gt;0,AG130/R130,0))/MAX(0.1,N(Parameter!$M$21)))</f>
        <v>0.160075329566855</v>
      </c>
      <c r="AI130" s="50" t="n">
        <f aca="false">AH130*CB130</f>
        <v>38.0979284369115</v>
      </c>
      <c r="AJ130" s="51" t="n">
        <f aca="false">IF(LEFT(Cockpit!$C$5,1)="A",H130,IF(CH130=1,(CK130+CI130)/2,IF(LEFT(Cockpit!$C$5,1)="B",(CK130+AL130)/2,MAX((CK130+AL130)/2,H130))))</f>
        <v>1</v>
      </c>
      <c r="AK130" s="50" t="n">
        <f aca="false">AJ130*G130</f>
        <v>3280</v>
      </c>
      <c r="AL130" s="50" t="n">
        <f aca="false">ROUNDUP(CK130+MAX(CL130,2*(J130/IF(CG130&gt;0,CG130,MAX(0.1,N(Cockpit!$C$6)))-CK130)),0)</f>
        <v>2</v>
      </c>
      <c r="AM130" s="51" t="n">
        <f aca="false">IF(AI130&gt;0,J130/AI130,-1)</f>
        <v>0.0787444389520514</v>
      </c>
      <c r="AN130" s="51" t="n">
        <f aca="false">IF(AND(OR(CF130="L1",CF130="L23",CF130="LIFT"),AI130&gt;0),SUMIFS($AI$7:$AI$1843,$CF$7:$CF$1843,CF130,$AM$7:$AM$1843,"&gt;"&amp;AM130)+SUMIFS($AI$7:$AI$1843,$CF$7:$CF$1843,CF130,$AM$7:$AM$1843,AM130,$BW$7:$BW$1843,"&lt;="&amp;BW130),"")</f>
        <v>17181.0179450963</v>
      </c>
      <c r="AO130" s="58" t="n">
        <f aca="false">IF(AN130="",0,MAX(0,MIN(1,(IF(CF130="L1",Parameter!$H$5,IF(CF130="L23",Parameter!$H$6+Parameter!$H$7,Parameter!$H$5+Parameter!$H$6+Parameter!$H$7))-(AN130-AI130))/AI130)))</f>
        <v>1</v>
      </c>
      <c r="AP130" s="50" t="n">
        <f aca="false">IF(LEFT(Cockpit!$I$5,1)="A",H130,IF(Parameter!$E$30="MAX-Bestand",IF(CH130=1,CI130,IF(LEFT(Cockpit!$I$5,1)="B",AV130,MAX(AV130,H130))),ROUNDUP(AT130,0)))</f>
        <v>1</v>
      </c>
      <c r="AQ130" s="50" t="n">
        <f aca="false">IF(BZ130=1,0,ROUNDUP(AP130/BY130,0))</f>
        <v>0</v>
      </c>
      <c r="AR130" s="52" t="n">
        <f aca="false">IF(CQ130&gt;0,CQ130*MAX(1,AP130/X130),IF(BZ130=1,IF(AP130&lt;=0,0,CD130*MAX(1,IF(H130&gt;0,AP130/H130,1))),IF(R130&gt;0,AQ130/R130,0))/MAX(0.1,N(Parameter!$M$21)))</f>
        <v>0.160075329566855</v>
      </c>
      <c r="AS130" s="50" t="n">
        <f aca="false">AR130*CB130</f>
        <v>38.0979284369115</v>
      </c>
      <c r="AT130" s="51" t="n">
        <f aca="false">IF(LEFT(Cockpit!$I$5,1)="A",H130,IF(CH130=1,(CK130+CI130)/2,IF(LEFT(Cockpit!$I$5,1)="B",(CK130+AV130)/2,MAX((CK130+AV130)/2,H130))))</f>
        <v>1</v>
      </c>
      <c r="AU130" s="50" t="n">
        <f aca="false">AT130*G130</f>
        <v>3280</v>
      </c>
      <c r="AV130" s="50" t="n">
        <f aca="false">ROUNDUP(CK130+MAX(CL130,2*(J130/IF(CG130&gt;0,CG130,MAX(0.1,N(Cockpit!$I$6)))-CK130)),0)</f>
        <v>2</v>
      </c>
      <c r="AW130" s="51" t="n">
        <f aca="false">IF(AS130&gt;0,J130/AS130,-1)</f>
        <v>0.0787444389520514</v>
      </c>
      <c r="AX130" s="51" t="n">
        <f aca="false">IF(AND(OR(CF130="L1",CF130="L23",CF130="LIFT"),AS130&gt;0),SUMIFS($AS$7:$AS$1843,$CF$7:$CF$1843,CF130,$AW$7:$AW$1843,"&gt;"&amp;AW130)+SUMIFS($AS$7:$AS$1843,$CF$7:$CF$1843,CF130,$AW$7:$AW$1843,AW130,$BW$7:$BW$1843,"&lt;="&amp;BW130),"")</f>
        <v>22240.4165864738</v>
      </c>
      <c r="AY130" s="58" t="n">
        <f aca="false">IF(AX130="",0,MAX(0,MIN(1,(IF(CF130="L1",Parameter!$H$5,IF(CF130="L23",Parameter!$H$6+Parameter!$H$7,Parameter!$H$5+Parameter!$H$6+Parameter!$H$7))-(AX130-AS130))/AS130)))</f>
        <v>1</v>
      </c>
      <c r="AZ130" s="50" t="n">
        <f aca="false">IF(LEFT(Cockpit!$O$5,1)="A",H130,IF(Parameter!$E$30="MAX-Bestand",IF(CH130=1,CI130,IF(LEFT(Cockpit!$O$5,1)="B",BF130,MAX(BF130,H130))),ROUNDUP(BD130,0)))</f>
        <v>1</v>
      </c>
      <c r="BA130" s="50" t="n">
        <f aca="false">IF(BZ130=1,0,ROUNDUP(AZ130/BY130,0))</f>
        <v>0</v>
      </c>
      <c r="BB130" s="52" t="n">
        <f aca="false">IF(CQ130&gt;0,CQ130*MAX(1,AZ130/X130),IF(BZ130=1,IF(AZ130&lt;=0,0,CD130*MAX(1,IF(H130&gt;0,AZ130/H130,1))),IF(R130&gt;0,BA130/R130,0))/MAX(0.1,N(Parameter!$M$21)))</f>
        <v>0.160075329566855</v>
      </c>
      <c r="BC130" s="50" t="n">
        <f aca="false">BB130*CB130</f>
        <v>38.0979284369115</v>
      </c>
      <c r="BD130" s="51" t="n">
        <f aca="false">IF(LEFT(Cockpit!$O$5,1)="A",H130,IF(CH130=1,(CK130+CI130)/2,IF(LEFT(Cockpit!$O$5,1)="B",(CK130+BF130)/2,MAX((CK130+BF130)/2,H130))))</f>
        <v>1</v>
      </c>
      <c r="BE130" s="50" t="n">
        <f aca="false">BD130*G130</f>
        <v>3280</v>
      </c>
      <c r="BF130" s="50" t="n">
        <f aca="false">ROUNDUP(CK130+MAX(CL130,2*(J130/IF(CG130&gt;0,CG130,MAX(0.1,N(Cockpit!$O$6)))-CK130)),0)</f>
        <v>2</v>
      </c>
      <c r="BG130" s="51" t="n">
        <f aca="false">IF(BC130&gt;0,J130/BC130,-1)</f>
        <v>0.0787444389520514</v>
      </c>
      <c r="BH130" s="51" t="n">
        <f aca="false">IF(AND(OR(CF130="L1",CF130="L23",CF130="LIFT"),BC130&gt;0),SUMIFS($BC$7:$BC$1843,$CF$7:$CF$1843,CF130,$BG$7:$BG$1843,"&gt;"&amp;BG130)+SUMIFS($BC$7:$BC$1843,$CF$7:$CF$1843,CF130,$BG$7:$BG$1843,BG130,$BW$7:$BW$1843,"&lt;="&amp;BW130),"")</f>
        <v>18850.9727887461</v>
      </c>
      <c r="BI130" s="58" t="n">
        <f aca="false">IF(BH130="",0,MAX(0,MIN(1,(IF(CF130="L1",Parameter!$H$5,IF(CF130="L23",Parameter!$H$6+Parameter!$H$7,Parameter!$H$5+Parameter!$H$6+Parameter!$H$7))-(BH130-BC130))/BC130)))</f>
        <v>1</v>
      </c>
      <c r="BJ130" s="48" t="str">
        <f aca="false">IF(AI130&lt;=0,"",IF(CF130="Aussen","Aussenlager",IF(CF130="-","Nicht im Lift",IF(AO130&gt;=1,"Lift",IF(AO130&lt;=0,"Aussenlager","teilweise")))))</f>
        <v>Lift</v>
      </c>
      <c r="BK130" s="48" t="str">
        <f aca="false">IF(AS130&lt;=0,"",IF(CF130="Aussen","Aussenlager",IF(CF130="-","Nicht im Lift",IF(AY130&gt;=1,"Lift",IF(AY130&lt;=0,"Aussenlager","teilweise")))))</f>
        <v>Lift</v>
      </c>
      <c r="BL130" s="48" t="str">
        <f aca="false">IF(BC130&lt;=0,"",IF(CF130="Aussen","Aussenlager",IF(CF130="-","Nicht im Lift",IF(BI130&gt;=1,"Lift",IF(BI130&lt;=0,"Aussenlager","teilweise")))))</f>
        <v>Lift</v>
      </c>
      <c r="BM130" s="48" t="str">
        <f aca="false">IF(A130="","",IF(BV130=1,"Neu; ","")&amp;IF(AND(BV130=0,BQ130&lt;0),"negativer Bestand (Export "&amp;BQ130&amp;"); ","")&amp;IF(J130&lt;=0,"Kein Verbrauch; ","")&amp;IF(CQ130&gt;0,"Lift "&amp;W130&amp;" lt. Liftbericht (Fach "&amp;X130&amp;" Stk); ",IF(CA130=1,"Gebinde geschätzt ("&amp;T130&amp;"); ",IF(BZ130=1,"Lose – Tablare geschätzt; ","")))&amp;IF(H130&gt;AV130,"Überbestand "&amp;ROUND(H130-AV130,0)&amp;" Stk / CHF "&amp;ROUND((H130-AV130)*G130,0)&amp;"; ","")&amp;IF(AND(CH130=1,CI130&lt;CJ130),"MAX &lt; MB+LG; ","")&amp;IF(AND(CP130&gt;0,CO130*10&gt;CP130),"zu hoch für Tablar; ","")&amp;IF(AND(BV130=0,OR(CH130=1,AA130&lt;&gt;"",U130&lt;&gt;"",V130&lt;&gt;"",AB130&lt;&gt;"")),"manuell übersteuert; ","")&amp;IF(AND(BZ130=0,R130=0),"Gebinde unbekannt / Stellmass fehlt; ","")&amp;IF(AND(BZ130=0,N(V130)&lt;=0,N(Q130)&lt;=0),"Menge pro Gebinde fehlt (Ist = 1 Gebinde); ","")&amp;BU130)</f>
        <v>Lift 1 lt. Liftbericht (Fach 2 Stk); </v>
      </c>
      <c r="BN130" s="48"/>
      <c r="BO130" s="48"/>
      <c r="BP130" s="55"/>
      <c r="BQ130" s="50" t="n">
        <v>0</v>
      </c>
      <c r="BR130" s="50" t="n">
        <v>1</v>
      </c>
      <c r="BS130" s="49" t="n">
        <v>1745</v>
      </c>
      <c r="BT130" s="50" t="n">
        <v>3</v>
      </c>
      <c r="BU130" s="48"/>
      <c r="BV130" s="53" t="n">
        <v>0</v>
      </c>
      <c r="BW130" s="53" t="n">
        <v>130</v>
      </c>
      <c r="BX130" s="48" t="str">
        <f aca="false">IF(U130&lt;&gt;"",UPPER(TRIM(U130)),IF(CA130=1,UPPER(VLOOKUP(T130,Parameter!$I$27:$K$29,2,0)),IF(P130="","LOSE",P130)))</f>
        <v>LOSE</v>
      </c>
      <c r="BY130" s="50" t="n">
        <f aca="false">IF(BX130="LOSE",1,IF(N(V130)&gt;0,V130,IF(CA130=1,MAX(1,N(VLOOKUP(T130,Parameter!$I$27:$K$29,3,0)),H130,N(N130)),IF(N(Q130)&gt;0,Q130,MAX(1,H130)))))</f>
        <v>1</v>
      </c>
      <c r="BZ130" s="53" t="n">
        <f aca="false">IF(BX130="LOSE",1,0)</f>
        <v>1</v>
      </c>
      <c r="CA130" s="53" t="n">
        <f aca="false">IF(AND(U130="",OR(P130="",P130="LOSE"),T130&lt;&gt;"",N(S130)&lt;=0,ISNUMBER(MATCH(T130,Parameter!$I$27:$I$29,0))),1,0)</f>
        <v>0</v>
      </c>
      <c r="CB130" s="53" t="n">
        <f aca="false">IF(CQ130&gt;0,INDEX(Parameter!$H$5:$H$7,W130)/INDEX(Parameter!$E$5:$E$7,W130),IF(AND(BZ130=0,N(IFERROR(VLOOKUP(BX130,'Gebinde-Kategorie'!$A$5:$N$45,14,0),0))&gt;0),VLOOKUP(BX130,'Gebinde-Kategorie'!$A$5:$N$45,14,0)*10+Parameter!$M$23,Parameter!$M$24))</f>
        <v>238</v>
      </c>
      <c r="CC130" s="48" t="n">
        <f aca="false">IF(AND(Parameter!$B$19="Ja",E130&lt;&gt;"",ISNUMBER(MATCH(E130,Parameter!$I$35:$I$52,0))),VLOOKUP(E130,Parameter!$I$35:$J$52,2,0),IFERROR(VLOOKUP(D130,Parameter!$A$35:$C$64,2,0),"Nein"))</f>
        <v>1</v>
      </c>
      <c r="CD130" s="52" t="n">
        <f aca="false">IF(BZ130=0,0,IF(N(S130)&gt;0,S130,IFERROR(VLOOKUP(D130,Parameter!$A$35:$C$64,3,0)+0,0)))</f>
        <v>1</v>
      </c>
      <c r="CE130" s="48" t="n">
        <f aca="false">IF(AA130&lt;&gt;"",AA130,Z130)</f>
        <v>1</v>
      </c>
      <c r="CF130" s="48" t="str">
        <f aca="false">IF(OR(CE130=1,CE130=2,CE130=3),IF(Parameter!$E$27="Ja","LIFT",IF(CE130=1,"L1","L23")),IF(CE130="Aussen","Aussen","-"))</f>
        <v>LIFT</v>
      </c>
      <c r="CG130" s="59" t="n">
        <f aca="false">IF(N(AB130)&gt;0,AB130,0)</f>
        <v>0</v>
      </c>
      <c r="CH130" s="53" t="n">
        <f aca="false">IF(ISNUMBER(AE130),1,0)</f>
        <v>0</v>
      </c>
      <c r="CI130" s="50" t="n">
        <f aca="false">N(AE130)</f>
        <v>0</v>
      </c>
      <c r="CJ130" s="50" t="n">
        <f aca="false">N(M130)+N(N130)</f>
        <v>1</v>
      </c>
      <c r="CK130" s="50" t="n">
        <f aca="false">N(M130)</f>
        <v>0</v>
      </c>
      <c r="CL130" s="50" t="n">
        <f aca="false">N(N130)</f>
        <v>1</v>
      </c>
      <c r="CM130" s="50" t="n">
        <f aca="false">ROUNDUP(H130/BY130,0)</f>
        <v>1</v>
      </c>
      <c r="CN130" s="50" t="n">
        <f aca="false">ROUNDUP(CI130/BY130,0)</f>
        <v>0</v>
      </c>
      <c r="CO130" s="53" t="n">
        <f aca="false">IF(BZ130=1,0,IFERROR(VLOOKUP(BX130,'Gebinde-Kategorie'!$A$5:$N$45,5,0)+0,0))</f>
        <v>0</v>
      </c>
      <c r="CP130" s="53" t="n">
        <f aca="false">IFERROR(IF(OR(CE130=1,CE130=2,CE130=3),N(INDEX(Parameter!$I$5:$I$7,CE130)),0),0)</f>
        <v>0</v>
      </c>
      <c r="CQ130" s="52" t="n">
        <f aca="false">IF(AND(Parameter!$B$21="Ja",ISNUMBER(W130),N(X130)&gt;0),IFERROR(N(INDEX(Parameter!$L$5:$L$7,W130))*INDEX(Parameter!$E$5:$E$7,W130)*X130/SUMIFS($X$7:$X$1843,$W$7:$W$1843,W130),0),0)</f>
        <v>0.160075329566855</v>
      </c>
    </row>
    <row r="131" customFormat="false" ht="15" hidden="false" customHeight="false" outlineLevel="0" collapsed="false">
      <c r="A131" s="48" t="s">
        <v>479</v>
      </c>
      <c r="B131" s="48" t="s">
        <v>480</v>
      </c>
      <c r="C131" s="48" t="s">
        <v>173</v>
      </c>
      <c r="D131" s="48" t="s">
        <v>182</v>
      </c>
      <c r="E131" s="48" t="s">
        <v>194</v>
      </c>
      <c r="F131" s="48" t="s">
        <v>227</v>
      </c>
      <c r="G131" s="49" t="n">
        <v>2.89</v>
      </c>
      <c r="H131" s="50" t="n">
        <f aca="false">MAX(0,IF(AND(Parameter!$B$21="Ja",ISNUMBER(Y131)),Y131,IF(Parameter!$B$20="Jahresanfang 2025 + Export",BR131+BQ131,BQ131)))</f>
        <v>792</v>
      </c>
      <c r="I131" s="50" t="n">
        <f aca="false">H131*G131</f>
        <v>2288.88</v>
      </c>
      <c r="J131" s="50" t="n">
        <f aca="false">BT131*Parameter!$B$18</f>
        <v>797</v>
      </c>
      <c r="K131" s="51" t="n">
        <v>333</v>
      </c>
      <c r="L131" s="52" t="n">
        <v>2.39339339339339</v>
      </c>
      <c r="M131" s="50" t="n">
        <v>112</v>
      </c>
      <c r="N131" s="50" t="n">
        <v>800</v>
      </c>
      <c r="O131" s="53" t="n">
        <v>51</v>
      </c>
      <c r="P131" s="48" t="s">
        <v>235</v>
      </c>
      <c r="Q131" s="50" t="n">
        <v>250</v>
      </c>
      <c r="R131" s="53" t="n">
        <f aca="false">IF(BZ131=1,0,IFERROR(VLOOKUP(BX131,'Gebinde-Kategorie'!$A$5:$N$45,13,0)+0,0))</f>
        <v>12</v>
      </c>
      <c r="S131" s="54"/>
      <c r="T131" s="55"/>
      <c r="U131" s="55"/>
      <c r="V131" s="55"/>
      <c r="W131" s="48"/>
      <c r="X131" s="50"/>
      <c r="Y131" s="50"/>
      <c r="Z131" s="48" t="n">
        <f aca="false">IF(A131="","",IF(AND(Parameter!$B$21="Ja",ISNUMBER(W131)),W131,IF(CC131="2+3",IF(ISNUMBER(SEARCH("grosser Artikel",BU131)),2,IFERROR(VLOOKUP(BX131,Parameter!$F$35:$G$64,2,0),2)),IF(OR(CC131="Nein",CC131=""),"-",CC131))))</f>
        <v>2</v>
      </c>
      <c r="AA131" s="55"/>
      <c r="AB131" s="56"/>
      <c r="AC131" s="50" t="n">
        <f aca="false">AV131</f>
        <v>912</v>
      </c>
      <c r="AD131" s="50" t="n">
        <f aca="false">MAX(AV131,H131)</f>
        <v>912</v>
      </c>
      <c r="AE131" s="57"/>
      <c r="AF131" s="50" t="n">
        <f aca="false">IF(LEFT(Cockpit!$C$5,1)="A",H131,IF(Parameter!$E$30="MAX-Bestand",IF(CH131=1,CI131,IF(LEFT(Cockpit!$C$5,1)="B",AL131,MAX(AL131,H131))),ROUNDUP(AJ131,0)))</f>
        <v>792</v>
      </c>
      <c r="AG131" s="50" t="n">
        <f aca="false">IF(BZ131=1,0,ROUNDUP(AF131/BY131,0))</f>
        <v>4</v>
      </c>
      <c r="AH131" s="52" t="n">
        <f aca="false">IF(CQ131&gt;0,CQ131*MAX(1,AF131/X131),IF(BZ131=1,IF(AF131&lt;=0,0,CD131*MAX(1,IF(H131&gt;0,AF131/H131,1))),IF(R131&gt;0,AG131/R131,0))/MAX(0.1,N(Parameter!$M$21)))</f>
        <v>0.333333333333333</v>
      </c>
      <c r="AI131" s="50" t="n">
        <f aca="false">AH131*CB131</f>
        <v>115</v>
      </c>
      <c r="AJ131" s="51" t="n">
        <f aca="false">IF(LEFT(Cockpit!$C$5,1)="A",H131,IF(CH131=1,(CK131+CI131)/2,IF(LEFT(Cockpit!$C$5,1)="B",(CK131+AL131)/2,MAX((CK131+AL131)/2,H131))))</f>
        <v>792</v>
      </c>
      <c r="AK131" s="50" t="n">
        <f aca="false">AJ131*G131</f>
        <v>2288.88</v>
      </c>
      <c r="AL131" s="50" t="n">
        <f aca="false">ROUNDUP(CK131+MAX(CL131,2*(J131/IF(CG131&gt;0,CG131,MAX(0.1,N(Cockpit!$C$6)))-CK131)),0)</f>
        <v>912</v>
      </c>
      <c r="AM131" s="51" t="n">
        <f aca="false">IF(AI131&gt;0,J131/AI131,-1)</f>
        <v>6.9304347826087</v>
      </c>
      <c r="AN131" s="51" t="n">
        <f aca="false">IF(AND(OR(CF131="L1",CF131="L23",CF131="LIFT"),AI131&gt;0),SUMIFS($AI$7:$AI$1843,$CF$7:$CF$1843,CF131,$AM$7:$AM$1843,"&gt;"&amp;AM131)+SUMIFS($AI$7:$AI$1843,$CF$7:$CF$1843,CF131,$AM$7:$AM$1843,AM131,$BW$7:$BW$1843,"&lt;="&amp;BW131),"")</f>
        <v>3382.22023809524</v>
      </c>
      <c r="AO131" s="58" t="n">
        <f aca="false">IF(AN131="",0,MAX(0,MIN(1,(IF(CF131="L1",Parameter!$H$5,IF(CF131="L23",Parameter!$H$6+Parameter!$H$7,Parameter!$H$5+Parameter!$H$6+Parameter!$H$7))-(AN131-AI131))/AI131)))</f>
        <v>1</v>
      </c>
      <c r="AP131" s="50" t="n">
        <f aca="false">IF(LEFT(Cockpit!$I$5,1)="A",H131,IF(Parameter!$E$30="MAX-Bestand",IF(CH131=1,CI131,IF(LEFT(Cockpit!$I$5,1)="B",AV131,MAX(AV131,H131))),ROUNDUP(AT131,0)))</f>
        <v>792</v>
      </c>
      <c r="AQ131" s="50" t="n">
        <f aca="false">IF(BZ131=1,0,ROUNDUP(AP131/BY131,0))</f>
        <v>4</v>
      </c>
      <c r="AR131" s="52" t="n">
        <f aca="false">IF(CQ131&gt;0,CQ131*MAX(1,AP131/X131),IF(BZ131=1,IF(AP131&lt;=0,0,CD131*MAX(1,IF(H131&gt;0,AP131/H131,1))),IF(R131&gt;0,AQ131/R131,0))/MAX(0.1,N(Parameter!$M$21)))</f>
        <v>0.333333333333333</v>
      </c>
      <c r="AS131" s="50" t="n">
        <f aca="false">AR131*CB131</f>
        <v>115</v>
      </c>
      <c r="AT131" s="51" t="n">
        <f aca="false">IF(LEFT(Cockpit!$I$5,1)="A",H131,IF(CH131=1,(CK131+CI131)/2,IF(LEFT(Cockpit!$I$5,1)="B",(CK131+AV131)/2,MAX((CK131+AV131)/2,H131))))</f>
        <v>792</v>
      </c>
      <c r="AU131" s="50" t="n">
        <f aca="false">AT131*G131</f>
        <v>2288.88</v>
      </c>
      <c r="AV131" s="50" t="n">
        <f aca="false">ROUNDUP(CK131+MAX(CL131,2*(J131/IF(CG131&gt;0,CG131,MAX(0.1,N(Cockpit!$I$6)))-CK131)),0)</f>
        <v>912</v>
      </c>
      <c r="AW131" s="51" t="n">
        <f aca="false">IF(AS131&gt;0,J131/AS131,-1)</f>
        <v>6.9304347826087</v>
      </c>
      <c r="AX131" s="51" t="n">
        <f aca="false">IF(AND(OR(CF131="L1",CF131="L23",CF131="LIFT"),AS131&gt;0),SUMIFS($AS$7:$AS$1843,$CF$7:$CF$1843,CF131,$AW$7:$AW$1843,"&gt;"&amp;AW131)+SUMIFS($AS$7:$AS$1843,$CF$7:$CF$1843,CF131,$AW$7:$AW$1843,AW131,$BW$7:$BW$1843,"&lt;="&amp;BW131),"")</f>
        <v>4100.03159340659</v>
      </c>
      <c r="AY131" s="58" t="n">
        <f aca="false">IF(AX131="",0,MAX(0,MIN(1,(IF(CF131="L1",Parameter!$H$5,IF(CF131="L23",Parameter!$H$6+Parameter!$H$7,Parameter!$H$5+Parameter!$H$6+Parameter!$H$7))-(AX131-AS131))/AS131)))</f>
        <v>1</v>
      </c>
      <c r="AZ131" s="50" t="n">
        <f aca="false">IF(LEFT(Cockpit!$O$5,1)="A",H131,IF(Parameter!$E$30="MAX-Bestand",IF(CH131=1,CI131,IF(LEFT(Cockpit!$O$5,1)="B",BF131,MAX(BF131,H131))),ROUNDUP(BD131,0)))</f>
        <v>512</v>
      </c>
      <c r="BA131" s="50" t="n">
        <f aca="false">IF(BZ131=1,0,ROUNDUP(AZ131/BY131,0))</f>
        <v>3</v>
      </c>
      <c r="BB131" s="52" t="n">
        <f aca="false">IF(CQ131&gt;0,CQ131*MAX(1,AZ131/X131),IF(BZ131=1,IF(AZ131&lt;=0,0,CD131*MAX(1,IF(H131&gt;0,AZ131/H131,1))),IF(R131&gt;0,BA131/R131,0))/MAX(0.1,N(Parameter!$M$21)))</f>
        <v>0.25</v>
      </c>
      <c r="BC131" s="50" t="n">
        <f aca="false">BB131*CB131</f>
        <v>86.25</v>
      </c>
      <c r="BD131" s="51" t="n">
        <f aca="false">IF(LEFT(Cockpit!$O$5,1)="A",H131,IF(CH131=1,(CK131+CI131)/2,IF(LEFT(Cockpit!$O$5,1)="B",(CK131+BF131)/2,MAX((CK131+BF131)/2,H131))))</f>
        <v>512</v>
      </c>
      <c r="BE131" s="50" t="n">
        <f aca="false">BD131*G131</f>
        <v>1479.68</v>
      </c>
      <c r="BF131" s="50" t="n">
        <f aca="false">ROUNDUP(CK131+MAX(CL131,2*(J131/IF(CG131&gt;0,CG131,MAX(0.1,N(Cockpit!$O$6)))-CK131)),0)</f>
        <v>912</v>
      </c>
      <c r="BG131" s="51" t="n">
        <f aca="false">IF(BC131&gt;0,J131/BC131,-1)</f>
        <v>9.24057971014493</v>
      </c>
      <c r="BH131" s="51" t="n">
        <f aca="false">IF(AND(OR(CF131="L1",CF131="L23",CF131="LIFT"),BC131&gt;0),SUMIFS($BC$7:$BC$1843,$CF$7:$CF$1843,CF131,$BG$7:$BG$1843,"&gt;"&amp;BG131)+SUMIFS($BC$7:$BC$1843,$CF$7:$CF$1843,CF131,$BG$7:$BG$1843,BG131,$BW$7:$BW$1843,"&lt;="&amp;BW131),"")</f>
        <v>2871.52564102564</v>
      </c>
      <c r="BI131" s="58" t="n">
        <f aca="false">IF(BH131="",0,MAX(0,MIN(1,(IF(CF131="L1",Parameter!$H$5,IF(CF131="L23",Parameter!$H$6+Parameter!$H$7,Parameter!$H$5+Parameter!$H$6+Parameter!$H$7))-(BH131-BC131))/BC131)))</f>
        <v>1</v>
      </c>
      <c r="BJ131" s="48" t="str">
        <f aca="false">IF(AI131&lt;=0,"",IF(CF131="Aussen","Aussenlager",IF(CF131="-","Nicht im Lift",IF(AO131&gt;=1,"Lift",IF(AO131&lt;=0,"Aussenlager","teilweise")))))</f>
        <v>Lift</v>
      </c>
      <c r="BK131" s="48" t="str">
        <f aca="false">IF(AS131&lt;=0,"",IF(CF131="Aussen","Aussenlager",IF(CF131="-","Nicht im Lift",IF(AY131&gt;=1,"Lift",IF(AY131&lt;=0,"Aussenlager","teilweise")))))</f>
        <v>Lift</v>
      </c>
      <c r="BL131" s="48" t="str">
        <f aca="false">IF(BC131&lt;=0,"",IF(CF131="Aussen","Aussenlager",IF(CF131="-","Nicht im Lift",IF(BI131&gt;=1,"Lift",IF(BI131&lt;=0,"Aussenlager","teilweise")))))</f>
        <v>Lift</v>
      </c>
      <c r="BM131" s="48" t="str">
        <f aca="false">IF(A131="","",IF(BV131=1,"Neu; ","")&amp;IF(AND(BV131=0,BQ131&lt;0),"negativer Bestand (Export "&amp;BQ131&amp;"); ","")&amp;IF(J131&lt;=0,"Kein Verbrauch; ","")&amp;IF(CQ131&gt;0,"Lift "&amp;W131&amp;" lt. Liftbericht (Fach "&amp;X131&amp;" Stk); ",IF(CA131=1,"Gebinde geschätzt ("&amp;T131&amp;"); ",IF(BZ131=1,"Lose – Tablare geschätzt; ","")))&amp;IF(H131&gt;AV131,"Überbestand "&amp;ROUND(H131-AV131,0)&amp;" Stk / CHF "&amp;ROUND((H131-AV131)*G131,0)&amp;"; ","")&amp;IF(AND(CH131=1,CI131&lt;CJ131),"MAX &lt; MB+LG; ","")&amp;IF(AND(CP131&gt;0,CO131*10&gt;CP131),"zu hoch für Tablar; ","")&amp;IF(AND(BV131=0,OR(CH131=1,AA131&lt;&gt;"",U131&lt;&gt;"",V131&lt;&gt;"",AB131&lt;&gt;"")),"manuell übersteuert; ","")&amp;IF(AND(BZ131=0,R131=0),"Gebinde unbekannt / Stellmass fehlt; ","")&amp;IF(AND(BZ131=0,N(V131)&lt;=0,N(Q131)&lt;=0),"Menge pro Gebinde fehlt (Ist = 1 Gebinde); ","")&amp;BU131)</f>
        <v>gehört dieser Artikel ins KTL ?</v>
      </c>
      <c r="BN131" s="48"/>
      <c r="BO131" s="48"/>
      <c r="BP131" s="55"/>
      <c r="BQ131" s="50" t="n">
        <v>567</v>
      </c>
      <c r="BR131" s="50" t="n">
        <v>225</v>
      </c>
      <c r="BS131" s="49" t="n">
        <v>1734.11</v>
      </c>
      <c r="BT131" s="50" t="n">
        <v>797</v>
      </c>
      <c r="BU131" s="48" t="s">
        <v>481</v>
      </c>
      <c r="BV131" s="53" t="n">
        <v>0</v>
      </c>
      <c r="BW131" s="53" t="n">
        <v>131</v>
      </c>
      <c r="BX131" s="48" t="str">
        <f aca="false">IF(U131&lt;&gt;"",UPPER(TRIM(U131)),IF(CA131=1,UPPER(VLOOKUP(T131,Parameter!$I$27:$K$29,2,0)),IF(P131="","LOSE",P131)))</f>
        <v>S63</v>
      </c>
      <c r="BY131" s="50" t="n">
        <f aca="false">IF(BX131="LOSE",1,IF(N(V131)&gt;0,V131,IF(CA131=1,MAX(1,N(VLOOKUP(T131,Parameter!$I$27:$K$29,3,0)),H131,N(N131)),IF(N(Q131)&gt;0,Q131,MAX(1,H131)))))</f>
        <v>250</v>
      </c>
      <c r="BZ131" s="53" t="n">
        <f aca="false">IF(BX131="LOSE",1,0)</f>
        <v>0</v>
      </c>
      <c r="CA131" s="53" t="n">
        <f aca="false">IF(AND(U131="",OR(P131="",P131="LOSE"),T131&lt;&gt;"",N(S131)&lt;=0,ISNUMBER(MATCH(T131,Parameter!$I$27:$I$29,0))),1,0)</f>
        <v>0</v>
      </c>
      <c r="CB131" s="53" t="n">
        <f aca="false">IF(CQ131&gt;0,INDEX(Parameter!$H$5:$H$7,W131)/INDEX(Parameter!$E$5:$E$7,W131),IF(AND(BZ131=0,N(IFERROR(VLOOKUP(BX131,'Gebinde-Kategorie'!$A$5:$N$45,14,0),0))&gt;0),VLOOKUP(BX131,'Gebinde-Kategorie'!$A$5:$N$45,14,0)*10+Parameter!$M$23,Parameter!$M$24))</f>
        <v>345</v>
      </c>
      <c r="CC131" s="48" t="str">
        <f aca="false">IF(AND(Parameter!$B$19="Ja",E131&lt;&gt;"",ISNUMBER(MATCH(E131,Parameter!$I$35:$I$52,0))),VLOOKUP(E131,Parameter!$I$35:$J$52,2,0),IFERROR(VLOOKUP(D131,Parameter!$A$35:$C$64,2,0),"Nein"))</f>
        <v>2+3</v>
      </c>
      <c r="CD131" s="52" t="n">
        <f aca="false">IF(BZ131=0,0,IF(N(S131)&gt;0,S131,IFERROR(VLOOKUP(D131,Parameter!$A$35:$C$64,3,0)+0,0)))</f>
        <v>0</v>
      </c>
      <c r="CE131" s="48" t="n">
        <f aca="false">IF(AA131&lt;&gt;"",AA131,Z131)</f>
        <v>2</v>
      </c>
      <c r="CF131" s="48" t="str">
        <f aca="false">IF(OR(CE131=1,CE131=2,CE131=3),IF(Parameter!$E$27="Ja","LIFT",IF(CE131=1,"L1","L23")),IF(CE131="Aussen","Aussen","-"))</f>
        <v>LIFT</v>
      </c>
      <c r="CG131" s="59" t="n">
        <f aca="false">IF(N(AB131)&gt;0,AB131,0)</f>
        <v>0</v>
      </c>
      <c r="CH131" s="53" t="n">
        <f aca="false">IF(ISNUMBER(AE131),1,0)</f>
        <v>0</v>
      </c>
      <c r="CI131" s="50" t="n">
        <f aca="false">N(AE131)</f>
        <v>0</v>
      </c>
      <c r="CJ131" s="50" t="n">
        <f aca="false">N(M131)+N(N131)</f>
        <v>912</v>
      </c>
      <c r="CK131" s="50" t="n">
        <f aca="false">N(M131)</f>
        <v>112</v>
      </c>
      <c r="CL131" s="50" t="n">
        <f aca="false">N(N131)</f>
        <v>800</v>
      </c>
      <c r="CM131" s="50" t="n">
        <f aca="false">ROUNDUP(H131/BY131,0)</f>
        <v>4</v>
      </c>
      <c r="CN131" s="50" t="n">
        <f aca="false">ROUNDUP(CI131/BY131,0)</f>
        <v>0</v>
      </c>
      <c r="CO131" s="53" t="n">
        <f aca="false">IF(BZ131=1,0,IFERROR(VLOOKUP(BX131,'Gebinde-Kategorie'!$A$5:$N$45,5,0)+0,0))</f>
        <v>31</v>
      </c>
      <c r="CP131" s="53" t="n">
        <f aca="false">IFERROR(IF(OR(CE131=1,CE131=2,CE131=3),N(INDEX(Parameter!$I$5:$I$7,CE131)),0),0)</f>
        <v>0</v>
      </c>
      <c r="CQ131" s="52" t="n">
        <f aca="false">IF(AND(Parameter!$B$21="Ja",ISNUMBER(W131),N(X131)&gt;0),IFERROR(N(INDEX(Parameter!$L$5:$L$7,W131))*INDEX(Parameter!$E$5:$E$7,W131)*X131/SUMIFS($X$7:$X$1843,$W$7:$W$1843,W131),0),0)</f>
        <v>0</v>
      </c>
    </row>
    <row r="132" customFormat="false" ht="15" hidden="false" customHeight="false" outlineLevel="0" collapsed="false">
      <c r="A132" s="48" t="s">
        <v>482</v>
      </c>
      <c r="B132" s="48" t="s">
        <v>477</v>
      </c>
      <c r="C132" s="48" t="s">
        <v>173</v>
      </c>
      <c r="D132" s="48" t="s">
        <v>193</v>
      </c>
      <c r="E132" s="48" t="s">
        <v>194</v>
      </c>
      <c r="F132" s="48" t="s">
        <v>227</v>
      </c>
      <c r="G132" s="49" t="n">
        <v>7.89</v>
      </c>
      <c r="H132" s="50" t="n">
        <f aca="false">MAX(0,IF(AND(Parameter!$B$21="Ja",ISNUMBER(Y132)),Y132,IF(Parameter!$B$20="Jahresanfang 2025 + Export",BR132+BQ132,BQ132)))</f>
        <v>263</v>
      </c>
      <c r="I132" s="50" t="n">
        <f aca="false">H132*G132</f>
        <v>2075.07</v>
      </c>
      <c r="J132" s="50" t="n">
        <f aca="false">BT132*Parameter!$B$18</f>
        <v>391</v>
      </c>
      <c r="K132" s="51" t="n">
        <v>72.5</v>
      </c>
      <c r="L132" s="52" t="n">
        <v>5.39310344827586</v>
      </c>
      <c r="M132" s="50" t="n">
        <v>15</v>
      </c>
      <c r="N132" s="50" t="n">
        <v>390</v>
      </c>
      <c r="O132" s="53" t="n">
        <v>14</v>
      </c>
      <c r="P132" s="48" t="s">
        <v>337</v>
      </c>
      <c r="Q132" s="50" t="n">
        <v>178</v>
      </c>
      <c r="R132" s="53" t="n">
        <f aca="false">IF(BZ132=1,0,IFERROR(VLOOKUP(BX132,'Gebinde-Kategorie'!$A$5:$N$45,13,0)+0,0))</f>
        <v>52</v>
      </c>
      <c r="S132" s="54"/>
      <c r="T132" s="55"/>
      <c r="U132" s="55"/>
      <c r="V132" s="55"/>
      <c r="W132" s="48"/>
      <c r="X132" s="50"/>
      <c r="Y132" s="50"/>
      <c r="Z132" s="48" t="n">
        <f aca="false">IF(A132="","",IF(AND(Parameter!$B$21="Ja",ISNUMBER(W132)),W132,IF(CC132="2+3",IF(ISNUMBER(SEARCH("grosser Artikel",BU132)),2,IFERROR(VLOOKUP(BX132,Parameter!$F$35:$G$64,2,0),2)),IF(OR(CC132="Nein",CC132=""),"-",CC132))))</f>
        <v>3</v>
      </c>
      <c r="AA132" s="55"/>
      <c r="AB132" s="56"/>
      <c r="AC132" s="50" t="n">
        <f aca="false">AV132</f>
        <v>405</v>
      </c>
      <c r="AD132" s="50" t="n">
        <f aca="false">MAX(AV132,H132)</f>
        <v>405</v>
      </c>
      <c r="AE132" s="57"/>
      <c r="AF132" s="50" t="n">
        <f aca="false">IF(LEFT(Cockpit!$C$5,1)="A",H132,IF(Parameter!$E$30="MAX-Bestand",IF(CH132=1,CI132,IF(LEFT(Cockpit!$C$5,1)="B",AL132,MAX(AL132,H132))),ROUNDUP(AJ132,0)))</f>
        <v>263</v>
      </c>
      <c r="AG132" s="50" t="n">
        <f aca="false">IF(BZ132=1,0,ROUNDUP(AF132/BY132,0))</f>
        <v>2</v>
      </c>
      <c r="AH132" s="52" t="n">
        <f aca="false">IF(CQ132&gt;0,CQ132*MAX(1,AF132/X132),IF(BZ132=1,IF(AF132&lt;=0,0,CD132*MAX(1,IF(H132&gt;0,AF132/H132,1))),IF(R132&gt;0,AG132/R132,0))/MAX(0.1,N(Parameter!$M$21)))</f>
        <v>0.0384615384615385</v>
      </c>
      <c r="AI132" s="50" t="n">
        <f aca="false">AH132*CB132</f>
        <v>5.96153846153846</v>
      </c>
      <c r="AJ132" s="51" t="n">
        <f aca="false">IF(LEFT(Cockpit!$C$5,1)="A",H132,IF(CH132=1,(CK132+CI132)/2,IF(LEFT(Cockpit!$C$5,1)="B",(CK132+AL132)/2,MAX((CK132+AL132)/2,H132))))</f>
        <v>263</v>
      </c>
      <c r="AK132" s="50" t="n">
        <f aca="false">AJ132*G132</f>
        <v>2075.07</v>
      </c>
      <c r="AL132" s="50" t="n">
        <f aca="false">ROUNDUP(CK132+MAX(CL132,2*(J132/IF(CG132&gt;0,CG132,MAX(0.1,N(Cockpit!$C$6)))-CK132)),0)</f>
        <v>405</v>
      </c>
      <c r="AM132" s="51" t="n">
        <f aca="false">IF(AI132&gt;0,J132/AI132,-1)</f>
        <v>65.5870967741935</v>
      </c>
      <c r="AN132" s="51" t="n">
        <f aca="false">IF(AND(OR(CF132="L1",CF132="L23",CF132="LIFT"),AI132&gt;0),SUMIFS($AI$7:$AI$1843,$CF$7:$CF$1843,CF132,$AM$7:$AM$1843,"&gt;"&amp;AM132)+SUMIFS($AI$7:$AI$1843,$CF$7:$CF$1843,CF132,$AM$7:$AM$1843,AM132,$BW$7:$BW$1843,"&lt;="&amp;BW132),"")</f>
        <v>934.701923076923</v>
      </c>
      <c r="AO132" s="58" t="n">
        <f aca="false">IF(AN132="",0,MAX(0,MIN(1,(IF(CF132="L1",Parameter!$H$5,IF(CF132="L23",Parameter!$H$6+Parameter!$H$7,Parameter!$H$5+Parameter!$H$6+Parameter!$H$7))-(AN132-AI132))/AI132)))</f>
        <v>1</v>
      </c>
      <c r="AP132" s="50" t="n">
        <f aca="false">IF(LEFT(Cockpit!$I$5,1)="A",H132,IF(Parameter!$E$30="MAX-Bestand",IF(CH132=1,CI132,IF(LEFT(Cockpit!$I$5,1)="B",AV132,MAX(AV132,H132))),ROUNDUP(AT132,0)))</f>
        <v>263</v>
      </c>
      <c r="AQ132" s="50" t="n">
        <f aca="false">IF(BZ132=1,0,ROUNDUP(AP132/BY132,0))</f>
        <v>2</v>
      </c>
      <c r="AR132" s="52" t="n">
        <f aca="false">IF(CQ132&gt;0,CQ132*MAX(1,AP132/X132),IF(BZ132=1,IF(AP132&lt;=0,0,CD132*MAX(1,IF(H132&gt;0,AP132/H132,1))),IF(R132&gt;0,AQ132/R132,0))/MAX(0.1,N(Parameter!$M$21)))</f>
        <v>0.0384615384615385</v>
      </c>
      <c r="AS132" s="50" t="n">
        <f aca="false">AR132*CB132</f>
        <v>5.96153846153846</v>
      </c>
      <c r="AT132" s="51" t="n">
        <f aca="false">IF(LEFT(Cockpit!$I$5,1)="A",H132,IF(CH132=1,(CK132+CI132)/2,IF(LEFT(Cockpit!$I$5,1)="B",(CK132+AV132)/2,MAX((CK132+AV132)/2,H132))))</f>
        <v>263</v>
      </c>
      <c r="AU132" s="50" t="n">
        <f aca="false">AT132*G132</f>
        <v>2075.07</v>
      </c>
      <c r="AV132" s="50" t="n">
        <f aca="false">ROUNDUP(CK132+MAX(CL132,2*(J132/IF(CG132&gt;0,CG132,MAX(0.1,N(Cockpit!$I$6)))-CK132)),0)</f>
        <v>405</v>
      </c>
      <c r="AW132" s="51" t="n">
        <f aca="false">IF(AS132&gt;0,J132/AS132,-1)</f>
        <v>65.5870967741935</v>
      </c>
      <c r="AX132" s="51" t="n">
        <f aca="false">IF(AND(OR(CF132="L1",CF132="L23",CF132="LIFT"),AS132&gt;0),SUMIFS($AS$7:$AS$1843,$CF$7:$CF$1843,CF132,$AW$7:$AW$1843,"&gt;"&amp;AW132)+SUMIFS($AS$7:$AS$1843,$CF$7:$CF$1843,CF132,$AW$7:$AW$1843,AW132,$BW$7:$BW$1843,"&lt;="&amp;BW132),"")</f>
        <v>1146.50686813187</v>
      </c>
      <c r="AY132" s="58" t="n">
        <f aca="false">IF(AX132="",0,MAX(0,MIN(1,(IF(CF132="L1",Parameter!$H$5,IF(CF132="L23",Parameter!$H$6+Parameter!$H$7,Parameter!$H$5+Parameter!$H$6+Parameter!$H$7))-(AX132-AS132))/AS132)))</f>
        <v>1</v>
      </c>
      <c r="AZ132" s="50" t="n">
        <f aca="false">IF(LEFT(Cockpit!$O$5,1)="A",H132,IF(Parameter!$E$30="MAX-Bestand",IF(CH132=1,CI132,IF(LEFT(Cockpit!$O$5,1)="B",BF132,MAX(BF132,H132))),ROUNDUP(BD132,0)))</f>
        <v>210</v>
      </c>
      <c r="BA132" s="50" t="n">
        <f aca="false">IF(BZ132=1,0,ROUNDUP(AZ132/BY132,0))</f>
        <v>2</v>
      </c>
      <c r="BB132" s="52" t="n">
        <f aca="false">IF(CQ132&gt;0,CQ132*MAX(1,AZ132/X132),IF(BZ132=1,IF(AZ132&lt;=0,0,CD132*MAX(1,IF(H132&gt;0,AZ132/H132,1))),IF(R132&gt;0,BA132/R132,0))/MAX(0.1,N(Parameter!$M$21)))</f>
        <v>0.0384615384615385</v>
      </c>
      <c r="BC132" s="50" t="n">
        <f aca="false">BB132*CB132</f>
        <v>5.96153846153846</v>
      </c>
      <c r="BD132" s="51" t="n">
        <f aca="false">IF(LEFT(Cockpit!$O$5,1)="A",H132,IF(CH132=1,(CK132+CI132)/2,IF(LEFT(Cockpit!$O$5,1)="B",(CK132+BF132)/2,MAX((CK132+BF132)/2,H132))))</f>
        <v>210</v>
      </c>
      <c r="BE132" s="50" t="n">
        <f aca="false">BD132*G132</f>
        <v>1656.9</v>
      </c>
      <c r="BF132" s="50" t="n">
        <f aca="false">ROUNDUP(CK132+MAX(CL132,2*(J132/IF(CG132&gt;0,CG132,MAX(0.1,N(Cockpit!$O$6)))-CK132)),0)</f>
        <v>405</v>
      </c>
      <c r="BG132" s="51" t="n">
        <f aca="false">IF(BC132&gt;0,J132/BC132,-1)</f>
        <v>65.5870967741935</v>
      </c>
      <c r="BH132" s="51" t="n">
        <f aca="false">IF(AND(OR(CF132="L1",CF132="L23",CF132="LIFT"),BC132&gt;0),SUMIFS($BC$7:$BC$1843,$CF$7:$CF$1843,CF132,$BG$7:$BG$1843,"&gt;"&amp;BG132)+SUMIFS($BC$7:$BC$1843,$CF$7:$CF$1843,CF132,$BG$7:$BG$1843,BG132,$BW$7:$BW$1843,"&lt;="&amp;BW132),"")</f>
        <v>1045.8663003663</v>
      </c>
      <c r="BI132" s="58" t="n">
        <f aca="false">IF(BH132="",0,MAX(0,MIN(1,(IF(CF132="L1",Parameter!$H$5,IF(CF132="L23",Parameter!$H$6+Parameter!$H$7,Parameter!$H$5+Parameter!$H$6+Parameter!$H$7))-(BH132-BC132))/BC132)))</f>
        <v>1</v>
      </c>
      <c r="BJ132" s="48" t="str">
        <f aca="false">IF(AI132&lt;=0,"",IF(CF132="Aussen","Aussenlager",IF(CF132="-","Nicht im Lift",IF(AO132&gt;=1,"Lift",IF(AO132&lt;=0,"Aussenlager","teilweise")))))</f>
        <v>Lift</v>
      </c>
      <c r="BK132" s="48" t="str">
        <f aca="false">IF(AS132&lt;=0,"",IF(CF132="Aussen","Aussenlager",IF(CF132="-","Nicht im Lift",IF(AY132&gt;=1,"Lift",IF(AY132&lt;=0,"Aussenlager","teilweise")))))</f>
        <v>Lift</v>
      </c>
      <c r="BL132" s="48" t="str">
        <f aca="false">IF(BC132&lt;=0,"",IF(CF132="Aussen","Aussenlager",IF(CF132="-","Nicht im Lift",IF(BI132&gt;=1,"Lift",IF(BI132&lt;=0,"Aussenlager","teilweise")))))</f>
        <v>Lift</v>
      </c>
      <c r="BM132" s="48" t="str">
        <f aca="false">IF(A132="","",IF(BV132=1,"Neu; ","")&amp;IF(AND(BV132=0,BQ132&lt;0),"negativer Bestand (Export "&amp;BQ132&amp;"); ","")&amp;IF(J132&lt;=0,"Kein Verbrauch; ","")&amp;IF(CQ132&gt;0,"Lift "&amp;W132&amp;" lt. Liftbericht (Fach "&amp;X132&amp;" Stk); ",IF(CA132=1,"Gebinde geschätzt ("&amp;T132&amp;"); ",IF(BZ132=1,"Lose – Tablare geschätzt; ","")))&amp;IF(H132&gt;AV132,"Überbestand "&amp;ROUND(H132-AV132,0)&amp;" Stk / CHF "&amp;ROUND((H132-AV132)*G132,0)&amp;"; ","")&amp;IF(AND(CH132=1,CI132&lt;CJ132),"MAX &lt; MB+LG; ","")&amp;IF(AND(CP132&gt;0,CO132*10&gt;CP132),"zu hoch für Tablar; ","")&amp;IF(AND(BV132=0,OR(CH132=1,AA132&lt;&gt;"",U132&lt;&gt;"",V132&lt;&gt;"",AB132&lt;&gt;"")),"manuell übersteuert; ","")&amp;IF(AND(BZ132=0,R132=0),"Gebinde unbekannt / Stellmass fehlt; ","")&amp;IF(AND(BZ132=0,N(V132)&lt;=0,N(Q132)&lt;=0),"Menge pro Gebinde fehlt (Ist = 1 Gebinde); ","")&amp;BU132)</f>
        <v/>
      </c>
      <c r="BN132" s="48"/>
      <c r="BO132" s="48"/>
      <c r="BP132" s="55"/>
      <c r="BQ132" s="50" t="n">
        <v>217</v>
      </c>
      <c r="BR132" s="50" t="n">
        <v>46</v>
      </c>
      <c r="BS132" s="49" t="n">
        <v>1710.09</v>
      </c>
      <c r="BT132" s="50" t="n">
        <v>391</v>
      </c>
      <c r="BU132" s="48"/>
      <c r="BV132" s="53" t="n">
        <v>0</v>
      </c>
      <c r="BW132" s="53" t="n">
        <v>132</v>
      </c>
      <c r="BX132" s="48" t="str">
        <f aca="false">IF(U132&lt;&gt;"",UPPER(TRIM(U132)),IF(CA132=1,UPPER(VLOOKUP(T132,Parameter!$I$27:$K$29,2,0)),IF(P132="","LOSE",P132)))</f>
        <v>S41</v>
      </c>
      <c r="BY132" s="50" t="n">
        <f aca="false">IF(BX132="LOSE",1,IF(N(V132)&gt;0,V132,IF(CA132=1,MAX(1,N(VLOOKUP(T132,Parameter!$I$27:$K$29,3,0)),H132,N(N132)),IF(N(Q132)&gt;0,Q132,MAX(1,H132)))))</f>
        <v>178</v>
      </c>
      <c r="BZ132" s="53" t="n">
        <f aca="false">IF(BX132="LOSE",1,0)</f>
        <v>0</v>
      </c>
      <c r="CA132" s="53" t="n">
        <f aca="false">IF(AND(U132="",OR(P132="",P132="LOSE"),T132&lt;&gt;"",N(S132)&lt;=0,ISNUMBER(MATCH(T132,Parameter!$I$27:$I$29,0))),1,0)</f>
        <v>0</v>
      </c>
      <c r="CB132" s="53" t="n">
        <f aca="false">IF(CQ132&gt;0,INDEX(Parameter!$H$5:$H$7,W132)/INDEX(Parameter!$E$5:$E$7,W132),IF(AND(BZ132=0,N(IFERROR(VLOOKUP(BX132,'Gebinde-Kategorie'!$A$5:$N$45,14,0),0))&gt;0),VLOOKUP(BX132,'Gebinde-Kategorie'!$A$5:$N$45,14,0)*10+Parameter!$M$23,Parameter!$M$24))</f>
        <v>155</v>
      </c>
      <c r="CC132" s="48" t="str">
        <f aca="false">IF(AND(Parameter!$B$19="Ja",E132&lt;&gt;"",ISNUMBER(MATCH(E132,Parameter!$I$35:$I$52,0))),VLOOKUP(E132,Parameter!$I$35:$J$52,2,0),IFERROR(VLOOKUP(D132,Parameter!$A$35:$C$64,2,0),"Nein"))</f>
        <v>2+3</v>
      </c>
      <c r="CD132" s="52" t="n">
        <f aca="false">IF(BZ132=0,0,IF(N(S132)&gt;0,S132,IFERROR(VLOOKUP(D132,Parameter!$A$35:$C$64,3,0)+0,0)))</f>
        <v>0</v>
      </c>
      <c r="CE132" s="48" t="n">
        <f aca="false">IF(AA132&lt;&gt;"",AA132,Z132)</f>
        <v>3</v>
      </c>
      <c r="CF132" s="48" t="str">
        <f aca="false">IF(OR(CE132=1,CE132=2,CE132=3),IF(Parameter!$E$27="Ja","LIFT",IF(CE132=1,"L1","L23")),IF(CE132="Aussen","Aussen","-"))</f>
        <v>LIFT</v>
      </c>
      <c r="CG132" s="59" t="n">
        <f aca="false">IF(N(AB132)&gt;0,AB132,0)</f>
        <v>0</v>
      </c>
      <c r="CH132" s="53" t="n">
        <f aca="false">IF(ISNUMBER(AE132),1,0)</f>
        <v>0</v>
      </c>
      <c r="CI132" s="50" t="n">
        <f aca="false">N(AE132)</f>
        <v>0</v>
      </c>
      <c r="CJ132" s="50" t="n">
        <f aca="false">N(M132)+N(N132)</f>
        <v>405</v>
      </c>
      <c r="CK132" s="50" t="n">
        <f aca="false">N(M132)</f>
        <v>15</v>
      </c>
      <c r="CL132" s="50" t="n">
        <f aca="false">N(N132)</f>
        <v>390</v>
      </c>
      <c r="CM132" s="50" t="n">
        <f aca="false">ROUNDUP(H132/BY132,0)</f>
        <v>2</v>
      </c>
      <c r="CN132" s="50" t="n">
        <f aca="false">ROUNDUP(CI132/BY132,0)</f>
        <v>0</v>
      </c>
      <c r="CO132" s="53" t="n">
        <f aca="false">IF(BZ132=1,0,IFERROR(VLOOKUP(BX132,'Gebinde-Kategorie'!$A$5:$N$45,5,0)+0,0))</f>
        <v>11</v>
      </c>
      <c r="CP132" s="53" t="n">
        <f aca="false">IFERROR(IF(OR(CE132=1,CE132=2,CE132=3),N(INDEX(Parameter!$I$5:$I$7,CE132)),0),0)</f>
        <v>0</v>
      </c>
      <c r="CQ132" s="52" t="n">
        <f aca="false">IF(AND(Parameter!$B$21="Ja",ISNUMBER(W132),N(X132)&gt;0),IFERROR(N(INDEX(Parameter!$L$5:$L$7,W132))*INDEX(Parameter!$E$5:$E$7,W132)*X132/SUMIFS($X$7:$X$1843,$W$7:$W$1843,W132),0),0)</f>
        <v>0</v>
      </c>
    </row>
    <row r="133" customFormat="false" ht="15" hidden="false" customHeight="false" outlineLevel="0" collapsed="false">
      <c r="A133" s="48" t="s">
        <v>483</v>
      </c>
      <c r="B133" s="48" t="s">
        <v>484</v>
      </c>
      <c r="C133" s="48" t="s">
        <v>173</v>
      </c>
      <c r="D133" s="48" t="s">
        <v>193</v>
      </c>
      <c r="E133" s="48" t="s">
        <v>194</v>
      </c>
      <c r="F133" s="48" t="s">
        <v>227</v>
      </c>
      <c r="G133" s="49" t="n">
        <v>1.3</v>
      </c>
      <c r="H133" s="50" t="n">
        <f aca="false">MAX(0,IF(AND(Parameter!$B$21="Ja",ISNUMBER(Y133)),Y133,IF(Parameter!$B$20="Jahresanfang 2025 + Export",BR133+BQ133,BQ133)))</f>
        <v>2057</v>
      </c>
      <c r="I133" s="50" t="n">
        <f aca="false">H133*G133</f>
        <v>2674.1</v>
      </c>
      <c r="J133" s="50" t="n">
        <f aca="false">BT133*Parameter!$B$18</f>
        <v>2371</v>
      </c>
      <c r="K133" s="51" t="n">
        <v>739</v>
      </c>
      <c r="L133" s="52" t="n">
        <v>3.20838971583221</v>
      </c>
      <c r="M133" s="50" t="n">
        <v>100</v>
      </c>
      <c r="N133" s="50" t="n">
        <v>2145</v>
      </c>
      <c r="O133" s="53" t="n">
        <v>14</v>
      </c>
      <c r="P133" s="48" t="s">
        <v>485</v>
      </c>
      <c r="Q133" s="50" t="n">
        <v>1988</v>
      </c>
      <c r="R133" s="53" t="n">
        <f aca="false">IF(BZ133=1,0,IFERROR(VLOOKUP(BX133,'Gebinde-Kategorie'!$A$5:$N$45,13,0)+0,0))</f>
        <v>52</v>
      </c>
      <c r="S133" s="54"/>
      <c r="T133" s="55"/>
      <c r="U133" s="55"/>
      <c r="V133" s="55"/>
      <c r="W133" s="48"/>
      <c r="X133" s="50"/>
      <c r="Y133" s="50"/>
      <c r="Z133" s="48" t="n">
        <f aca="false">IF(A133="","",IF(AND(Parameter!$B$21="Ja",ISNUMBER(W133)),W133,IF(CC133="2+3",IF(ISNUMBER(SEARCH("grosser Artikel",BU133)),2,IFERROR(VLOOKUP(BX133,Parameter!$F$35:$G$64,2,0),2)),IF(OR(CC133="Nein",CC133=""),"-",CC133))))</f>
        <v>3</v>
      </c>
      <c r="AA133" s="55"/>
      <c r="AB133" s="56"/>
      <c r="AC133" s="50" t="n">
        <f aca="false">AV133</f>
        <v>2245</v>
      </c>
      <c r="AD133" s="50" t="n">
        <f aca="false">MAX(AV133,H133)</f>
        <v>2245</v>
      </c>
      <c r="AE133" s="57"/>
      <c r="AF133" s="50" t="n">
        <f aca="false">IF(LEFT(Cockpit!$C$5,1)="A",H133,IF(Parameter!$E$30="MAX-Bestand",IF(CH133=1,CI133,IF(LEFT(Cockpit!$C$5,1)="B",AL133,MAX(AL133,H133))),ROUNDUP(AJ133,0)))</f>
        <v>2057</v>
      </c>
      <c r="AG133" s="50" t="n">
        <f aca="false">IF(BZ133=1,0,ROUNDUP(AF133/BY133,0))</f>
        <v>2</v>
      </c>
      <c r="AH133" s="52" t="n">
        <f aca="false">IF(CQ133&gt;0,CQ133*MAX(1,AF133/X133),IF(BZ133=1,IF(AF133&lt;=0,0,CD133*MAX(1,IF(H133&gt;0,AF133/H133,1))),IF(R133&gt;0,AG133/R133,0))/MAX(0.1,N(Parameter!$M$21)))</f>
        <v>0.0384615384615385</v>
      </c>
      <c r="AI133" s="50" t="n">
        <f aca="false">AH133*CB133</f>
        <v>5.96153846153846</v>
      </c>
      <c r="AJ133" s="51" t="n">
        <f aca="false">IF(LEFT(Cockpit!$C$5,1)="A",H133,IF(CH133=1,(CK133+CI133)/2,IF(LEFT(Cockpit!$C$5,1)="B",(CK133+AL133)/2,MAX((CK133+AL133)/2,H133))))</f>
        <v>2057</v>
      </c>
      <c r="AK133" s="50" t="n">
        <f aca="false">AJ133*G133</f>
        <v>2674.1</v>
      </c>
      <c r="AL133" s="50" t="n">
        <f aca="false">ROUNDUP(CK133+MAX(CL133,2*(J133/IF(CG133&gt;0,CG133,MAX(0.1,N(Cockpit!$C$6)))-CK133)),0)</f>
        <v>2245</v>
      </c>
      <c r="AM133" s="51" t="n">
        <f aca="false">IF(AI133&gt;0,J133/AI133,-1)</f>
        <v>397.716129032258</v>
      </c>
      <c r="AN133" s="51" t="n">
        <f aca="false">IF(AND(OR(CF133="L1",CF133="L23",CF133="LIFT"),AI133&gt;0),SUMIFS($AI$7:$AI$1843,$CF$7:$CF$1843,CF133,$AM$7:$AM$1843,"&gt;"&amp;AM133)+SUMIFS($AI$7:$AI$1843,$CF$7:$CF$1843,CF133,$AM$7:$AM$1843,AM133,$BW$7:$BW$1843,"&lt;="&amp;BW133),"")</f>
        <v>177.527014652015</v>
      </c>
      <c r="AO133" s="58" t="n">
        <f aca="false">IF(AN133="",0,MAX(0,MIN(1,(IF(CF133="L1",Parameter!$H$5,IF(CF133="L23",Parameter!$H$6+Parameter!$H$7,Parameter!$H$5+Parameter!$H$6+Parameter!$H$7))-(AN133-AI133))/AI133)))</f>
        <v>1</v>
      </c>
      <c r="AP133" s="50" t="n">
        <f aca="false">IF(LEFT(Cockpit!$I$5,1)="A",H133,IF(Parameter!$E$30="MAX-Bestand",IF(CH133=1,CI133,IF(LEFT(Cockpit!$I$5,1)="B",AV133,MAX(AV133,H133))),ROUNDUP(AT133,0)))</f>
        <v>2057</v>
      </c>
      <c r="AQ133" s="50" t="n">
        <f aca="false">IF(BZ133=1,0,ROUNDUP(AP133/BY133,0))</f>
        <v>2</v>
      </c>
      <c r="AR133" s="52" t="n">
        <f aca="false">IF(CQ133&gt;0,CQ133*MAX(1,AP133/X133),IF(BZ133=1,IF(AP133&lt;=0,0,CD133*MAX(1,IF(H133&gt;0,AP133/H133,1))),IF(R133&gt;0,AQ133/R133,0))/MAX(0.1,N(Parameter!$M$21)))</f>
        <v>0.0384615384615385</v>
      </c>
      <c r="AS133" s="50" t="n">
        <f aca="false">AR133*CB133</f>
        <v>5.96153846153846</v>
      </c>
      <c r="AT133" s="51" t="n">
        <f aca="false">IF(LEFT(Cockpit!$I$5,1)="A",H133,IF(CH133=1,(CK133+CI133)/2,IF(LEFT(Cockpit!$I$5,1)="B",(CK133+AV133)/2,MAX((CK133+AV133)/2,H133))))</f>
        <v>2057</v>
      </c>
      <c r="AU133" s="50" t="n">
        <f aca="false">AT133*G133</f>
        <v>2674.1</v>
      </c>
      <c r="AV133" s="50" t="n">
        <f aca="false">ROUNDUP(CK133+MAX(CL133,2*(J133/IF(CG133&gt;0,CG133,MAX(0.1,N(Cockpit!$I$6)))-CK133)),0)</f>
        <v>2245</v>
      </c>
      <c r="AW133" s="51" t="n">
        <f aca="false">IF(AS133&gt;0,J133/AS133,-1)</f>
        <v>397.716129032258</v>
      </c>
      <c r="AX133" s="51" t="n">
        <f aca="false">IF(AND(OR(CF133="L1",CF133="L23",CF133="LIFT"),AS133&gt;0),SUMIFS($AS$7:$AS$1843,$CF$7:$CF$1843,CF133,$AW$7:$AW$1843,"&gt;"&amp;AW133)+SUMIFS($AS$7:$AS$1843,$CF$7:$CF$1843,CF133,$AW$7:$AW$1843,AW133,$BW$7:$BW$1843,"&lt;="&amp;BW133),"")</f>
        <v>111.743131868132</v>
      </c>
      <c r="AY133" s="58" t="n">
        <f aca="false">IF(AX133="",0,MAX(0,MIN(1,(IF(CF133="L1",Parameter!$H$5,IF(CF133="L23",Parameter!$H$6+Parameter!$H$7,Parameter!$H$5+Parameter!$H$6+Parameter!$H$7))-(AX133-AS133))/AS133)))</f>
        <v>1</v>
      </c>
      <c r="AZ133" s="50" t="n">
        <f aca="false">IF(LEFT(Cockpit!$O$5,1)="A",H133,IF(Parameter!$E$30="MAX-Bestand",IF(CH133=1,CI133,IF(LEFT(Cockpit!$O$5,1)="B",BF133,MAX(BF133,H133))),ROUNDUP(BD133,0)))</f>
        <v>1173</v>
      </c>
      <c r="BA133" s="50" t="n">
        <f aca="false">IF(BZ133=1,0,ROUNDUP(AZ133/BY133,0))</f>
        <v>1</v>
      </c>
      <c r="BB133" s="52" t="n">
        <f aca="false">IF(CQ133&gt;0,CQ133*MAX(1,AZ133/X133),IF(BZ133=1,IF(AZ133&lt;=0,0,CD133*MAX(1,IF(H133&gt;0,AZ133/H133,1))),IF(R133&gt;0,BA133/R133,0))/MAX(0.1,N(Parameter!$M$21)))</f>
        <v>0.0192307692307692</v>
      </c>
      <c r="BC133" s="50" t="n">
        <f aca="false">BB133*CB133</f>
        <v>2.98076923076923</v>
      </c>
      <c r="BD133" s="51" t="n">
        <f aca="false">IF(LEFT(Cockpit!$O$5,1)="A",H133,IF(CH133=1,(CK133+CI133)/2,IF(LEFT(Cockpit!$O$5,1)="B",(CK133+BF133)/2,MAX((CK133+BF133)/2,H133))))</f>
        <v>1172.5</v>
      </c>
      <c r="BE133" s="50" t="n">
        <f aca="false">BD133*G133</f>
        <v>1524.25</v>
      </c>
      <c r="BF133" s="50" t="n">
        <f aca="false">ROUNDUP(CK133+MAX(CL133,2*(J133/IF(CG133&gt;0,CG133,MAX(0.1,N(Cockpit!$O$6)))-CK133)),0)</f>
        <v>2245</v>
      </c>
      <c r="BG133" s="51" t="n">
        <f aca="false">IF(BC133&gt;0,J133/BC133,-1)</f>
        <v>795.432258064516</v>
      </c>
      <c r="BH133" s="51" t="n">
        <f aca="false">IF(AND(OR(CF133="L1",CF133="L23",CF133="LIFT"),BC133&gt;0),SUMIFS($BC$7:$BC$1843,$CF$7:$CF$1843,CF133,$BG$7:$BG$1843,"&gt;"&amp;BG133)+SUMIFS($BC$7:$BC$1843,$CF$7:$CF$1843,CF133,$BG$7:$BG$1843,BG133,$BW$7:$BW$1843,"&lt;="&amp;BW133),"")</f>
        <v>32.4052197802198</v>
      </c>
      <c r="BI133" s="58" t="n">
        <f aca="false">IF(BH133="",0,MAX(0,MIN(1,(IF(CF133="L1",Parameter!$H$5,IF(CF133="L23",Parameter!$H$6+Parameter!$H$7,Parameter!$H$5+Parameter!$H$6+Parameter!$H$7))-(BH133-BC133))/BC133)))</f>
        <v>1</v>
      </c>
      <c r="BJ133" s="48" t="str">
        <f aca="false">IF(AI133&lt;=0,"",IF(CF133="Aussen","Aussenlager",IF(CF133="-","Nicht im Lift",IF(AO133&gt;=1,"Lift",IF(AO133&lt;=0,"Aussenlager","teilweise")))))</f>
        <v>Lift</v>
      </c>
      <c r="BK133" s="48" t="str">
        <f aca="false">IF(AS133&lt;=0,"",IF(CF133="Aussen","Aussenlager",IF(CF133="-","Nicht im Lift",IF(AY133&gt;=1,"Lift",IF(AY133&lt;=0,"Aussenlager","teilweise")))))</f>
        <v>Lift</v>
      </c>
      <c r="BL133" s="48" t="str">
        <f aca="false">IF(BC133&lt;=0,"",IF(CF133="Aussen","Aussenlager",IF(CF133="-","Nicht im Lift",IF(BI133&gt;=1,"Lift",IF(BI133&lt;=0,"Aussenlager","teilweise")))))</f>
        <v>Lift</v>
      </c>
      <c r="BM133" s="48" t="str">
        <f aca="false">IF(A133="","",IF(BV133=1,"Neu; ","")&amp;IF(AND(BV133=0,BQ133&lt;0),"negativer Bestand (Export "&amp;BQ133&amp;"); ","")&amp;IF(J133&lt;=0,"Kein Verbrauch; ","")&amp;IF(CQ133&gt;0,"Lift "&amp;W133&amp;" lt. Liftbericht (Fach "&amp;X133&amp;" Stk); ",IF(CA133=1,"Gebinde geschätzt ("&amp;T133&amp;"); ",IF(BZ133=1,"Lose – Tablare geschätzt; ","")))&amp;IF(H133&gt;AV133,"Überbestand "&amp;ROUND(H133-AV133,0)&amp;" Stk / CHF "&amp;ROUND((H133-AV133)*G133,0)&amp;"; ","")&amp;IF(AND(CH133=1,CI133&lt;CJ133),"MAX &lt; MB+LG; ","")&amp;IF(AND(CP133&gt;0,CO133*10&gt;CP133),"zu hoch für Tablar; ","")&amp;IF(AND(BV133=0,OR(CH133=1,AA133&lt;&gt;"",U133&lt;&gt;"",V133&lt;&gt;"",AB133&lt;&gt;"")),"manuell übersteuert; ","")&amp;IF(AND(BZ133=0,R133=0),"Gebinde unbekannt / Stellmass fehlt; ","")&amp;IF(AND(BZ133=0,N(V133)&lt;=0,N(Q133)&lt;=0),"Menge pro Gebinde fehlt (Ist = 1 Gebinde); ","")&amp;BU133)</f>
        <v/>
      </c>
      <c r="BN133" s="48"/>
      <c r="BO133" s="48"/>
      <c r="BP133" s="55"/>
      <c r="BQ133" s="50" t="n">
        <v>1387</v>
      </c>
      <c r="BR133" s="50" t="n">
        <v>670</v>
      </c>
      <c r="BS133" s="49" t="n">
        <v>1675.10000000001</v>
      </c>
      <c r="BT133" s="50" t="n">
        <v>2371</v>
      </c>
      <c r="BU133" s="48"/>
      <c r="BV133" s="53" t="n">
        <v>0</v>
      </c>
      <c r="BW133" s="53" t="n">
        <v>133</v>
      </c>
      <c r="BX133" s="48" t="str">
        <f aca="false">IF(U133&lt;&gt;"",UPPER(TRIM(U133)),IF(CA133=1,UPPER(VLOOKUP(T133,Parameter!$I$27:$K$29,2,0)),IF(P133="","LOSE",P133)))</f>
        <v>S33</v>
      </c>
      <c r="BY133" s="50" t="n">
        <f aca="false">IF(BX133="LOSE",1,IF(N(V133)&gt;0,V133,IF(CA133=1,MAX(1,N(VLOOKUP(T133,Parameter!$I$27:$K$29,3,0)),H133,N(N133)),IF(N(Q133)&gt;0,Q133,MAX(1,H133)))))</f>
        <v>1988</v>
      </c>
      <c r="BZ133" s="53" t="n">
        <f aca="false">IF(BX133="LOSE",1,0)</f>
        <v>0</v>
      </c>
      <c r="CA133" s="53" t="n">
        <f aca="false">IF(AND(U133="",OR(P133="",P133="LOSE"),T133&lt;&gt;"",N(S133)&lt;=0,ISNUMBER(MATCH(T133,Parameter!$I$27:$I$29,0))),1,0)</f>
        <v>0</v>
      </c>
      <c r="CB133" s="53" t="n">
        <f aca="false">IF(CQ133&gt;0,INDEX(Parameter!$H$5:$H$7,W133)/INDEX(Parameter!$E$5:$E$7,W133),IF(AND(BZ133=0,N(IFERROR(VLOOKUP(BX133,'Gebinde-Kategorie'!$A$5:$N$45,14,0),0))&gt;0),VLOOKUP(BX133,'Gebinde-Kategorie'!$A$5:$N$45,14,0)*10+Parameter!$M$23,Parameter!$M$24))</f>
        <v>155</v>
      </c>
      <c r="CC133" s="48" t="str">
        <f aca="false">IF(AND(Parameter!$B$19="Ja",E133&lt;&gt;"",ISNUMBER(MATCH(E133,Parameter!$I$35:$I$52,0))),VLOOKUP(E133,Parameter!$I$35:$J$52,2,0),IFERROR(VLOOKUP(D133,Parameter!$A$35:$C$64,2,0),"Nein"))</f>
        <v>2+3</v>
      </c>
      <c r="CD133" s="52" t="n">
        <f aca="false">IF(BZ133=0,0,IF(N(S133)&gt;0,S133,IFERROR(VLOOKUP(D133,Parameter!$A$35:$C$64,3,0)+0,0)))</f>
        <v>0</v>
      </c>
      <c r="CE133" s="48" t="n">
        <f aca="false">IF(AA133&lt;&gt;"",AA133,Z133)</f>
        <v>3</v>
      </c>
      <c r="CF133" s="48" t="str">
        <f aca="false">IF(OR(CE133=1,CE133=2,CE133=3),IF(Parameter!$E$27="Ja","LIFT",IF(CE133=1,"L1","L23")),IF(CE133="Aussen","Aussen","-"))</f>
        <v>LIFT</v>
      </c>
      <c r="CG133" s="59" t="n">
        <f aca="false">IF(N(AB133)&gt;0,AB133,0)</f>
        <v>0</v>
      </c>
      <c r="CH133" s="53" t="n">
        <f aca="false">IF(ISNUMBER(AE133),1,0)</f>
        <v>0</v>
      </c>
      <c r="CI133" s="50" t="n">
        <f aca="false">N(AE133)</f>
        <v>0</v>
      </c>
      <c r="CJ133" s="50" t="n">
        <f aca="false">N(M133)+N(N133)</f>
        <v>2245</v>
      </c>
      <c r="CK133" s="50" t="n">
        <f aca="false">N(M133)</f>
        <v>100</v>
      </c>
      <c r="CL133" s="50" t="n">
        <f aca="false">N(N133)</f>
        <v>2145</v>
      </c>
      <c r="CM133" s="50" t="n">
        <f aca="false">ROUNDUP(H133/BY133,0)</f>
        <v>2</v>
      </c>
      <c r="CN133" s="50" t="n">
        <f aca="false">ROUNDUP(CI133/BY133,0)</f>
        <v>0</v>
      </c>
      <c r="CO133" s="53" t="n">
        <f aca="false">IF(BZ133=1,0,IFERROR(VLOOKUP(BX133,'Gebinde-Kategorie'!$A$5:$N$45,5,0)+0,0))</f>
        <v>8</v>
      </c>
      <c r="CP133" s="53" t="n">
        <f aca="false">IFERROR(IF(OR(CE133=1,CE133=2,CE133=3),N(INDEX(Parameter!$I$5:$I$7,CE133)),0),0)</f>
        <v>0</v>
      </c>
      <c r="CQ133" s="52" t="n">
        <f aca="false">IF(AND(Parameter!$B$21="Ja",ISNUMBER(W133),N(X133)&gt;0),IFERROR(N(INDEX(Parameter!$L$5:$L$7,W133))*INDEX(Parameter!$E$5:$E$7,W133)*X133/SUMIFS($X$7:$X$1843,$W$7:$W$1843,W133),0),0)</f>
        <v>0</v>
      </c>
    </row>
    <row r="134" customFormat="false" ht="15" hidden="false" customHeight="false" outlineLevel="0" collapsed="false">
      <c r="A134" s="48" t="s">
        <v>486</v>
      </c>
      <c r="B134" s="48" t="s">
        <v>310</v>
      </c>
      <c r="C134" s="48" t="s">
        <v>173</v>
      </c>
      <c r="D134" s="48" t="s">
        <v>193</v>
      </c>
      <c r="E134" s="48" t="s">
        <v>194</v>
      </c>
      <c r="F134" s="48" t="s">
        <v>227</v>
      </c>
      <c r="G134" s="49" t="n">
        <v>332.74</v>
      </c>
      <c r="H134" s="50" t="n">
        <f aca="false">MAX(0,IF(AND(Parameter!$B$21="Ja",ISNUMBER(Y134)),Y134,IF(Parameter!$B$20="Jahresanfang 2025 + Export",BR134+BQ134,BQ134)))</f>
        <v>22</v>
      </c>
      <c r="I134" s="50" t="n">
        <f aca="false">H134*G134</f>
        <v>7320.28</v>
      </c>
      <c r="J134" s="50" t="n">
        <f aca="false">BT134*Parameter!$B$18</f>
        <v>7</v>
      </c>
      <c r="K134" s="51" t="n">
        <v>18.5</v>
      </c>
      <c r="L134" s="52" t="n">
        <v>0.378378378378378</v>
      </c>
      <c r="M134" s="50" t="n">
        <v>2</v>
      </c>
      <c r="N134" s="50" t="n">
        <v>5</v>
      </c>
      <c r="O134" s="53" t="n">
        <v>105</v>
      </c>
      <c r="P134" s="48" t="s">
        <v>311</v>
      </c>
      <c r="Q134" s="50" t="n">
        <v>16</v>
      </c>
      <c r="R134" s="53" t="n">
        <f aca="false">IF(BZ134=1,0,IFERROR(VLOOKUP(BX134,'Gebinde-Kategorie'!$A$5:$N$45,13,0)+0,0))</f>
        <v>26</v>
      </c>
      <c r="S134" s="54"/>
      <c r="T134" s="55"/>
      <c r="U134" s="55"/>
      <c r="V134" s="55"/>
      <c r="W134" s="48"/>
      <c r="X134" s="50"/>
      <c r="Y134" s="50"/>
      <c r="Z134" s="48" t="n">
        <f aca="false">IF(A134="","",IF(AND(Parameter!$B$21="Ja",ISNUMBER(W134)),W134,IF(CC134="2+3",IF(ISNUMBER(SEARCH("grosser Artikel",BU134)),2,IFERROR(VLOOKUP(BX134,Parameter!$F$35:$G$64,2,0),2)),IF(OR(CC134="Nein",CC134=""),"-",CC134))))</f>
        <v>3</v>
      </c>
      <c r="AA134" s="55"/>
      <c r="AB134" s="56"/>
      <c r="AC134" s="50" t="n">
        <f aca="false">AV134</f>
        <v>7</v>
      </c>
      <c r="AD134" s="50" t="n">
        <f aca="false">MAX(AV134,H134)</f>
        <v>22</v>
      </c>
      <c r="AE134" s="57"/>
      <c r="AF134" s="50" t="n">
        <f aca="false">IF(LEFT(Cockpit!$C$5,1)="A",H134,IF(Parameter!$E$30="MAX-Bestand",IF(CH134=1,CI134,IF(LEFT(Cockpit!$C$5,1)="B",AL134,MAX(AL134,H134))),ROUNDUP(AJ134,0)))</f>
        <v>22</v>
      </c>
      <c r="AG134" s="50" t="n">
        <f aca="false">IF(BZ134=1,0,ROUNDUP(AF134/BY134,0))</f>
        <v>2</v>
      </c>
      <c r="AH134" s="52" t="n">
        <f aca="false">IF(CQ134&gt;0,CQ134*MAX(1,AF134/X134),IF(BZ134=1,IF(AF134&lt;=0,0,CD134*MAX(1,IF(H134&gt;0,AF134/H134,1))),IF(R134&gt;0,AG134/R134,0))/MAX(0.1,N(Parameter!$M$21)))</f>
        <v>0.0769230769230769</v>
      </c>
      <c r="AI134" s="50" t="n">
        <f aca="false">AH134*CB134</f>
        <v>11.9230769230769</v>
      </c>
      <c r="AJ134" s="51" t="n">
        <f aca="false">IF(LEFT(Cockpit!$C$5,1)="A",H134,IF(CH134=1,(CK134+CI134)/2,IF(LEFT(Cockpit!$C$5,1)="B",(CK134+AL134)/2,MAX((CK134+AL134)/2,H134))))</f>
        <v>22</v>
      </c>
      <c r="AK134" s="50" t="n">
        <f aca="false">AJ134*G134</f>
        <v>7320.28</v>
      </c>
      <c r="AL134" s="50" t="n">
        <f aca="false">ROUNDUP(CK134+MAX(CL134,2*(J134/IF(CG134&gt;0,CG134,MAX(0.1,N(Cockpit!$C$6)))-CK134)),0)</f>
        <v>7</v>
      </c>
      <c r="AM134" s="51" t="n">
        <f aca="false">IF(AI134&gt;0,J134/AI134,-1)</f>
        <v>0.587096774193548</v>
      </c>
      <c r="AN134" s="51" t="n">
        <f aca="false">IF(AND(OR(CF134="L1",CF134="L23",CF134="LIFT"),AI134&gt;0),SUMIFS($AI$7:$AI$1843,$CF$7:$CF$1843,CF134,$AM$7:$AM$1843,"&gt;"&amp;AM134)+SUMIFS($AI$7:$AI$1843,$CF$7:$CF$1843,CF134,$AM$7:$AM$1843,AM134,$BW$7:$BW$1843,"&lt;="&amp;BW134),"")</f>
        <v>9369.79255396205</v>
      </c>
      <c r="AO134" s="58" t="n">
        <f aca="false">IF(AN134="",0,MAX(0,MIN(1,(IF(CF134="L1",Parameter!$H$5,IF(CF134="L23",Parameter!$H$6+Parameter!$H$7,Parameter!$H$5+Parameter!$H$6+Parameter!$H$7))-(AN134-AI134))/AI134)))</f>
        <v>1</v>
      </c>
      <c r="AP134" s="50" t="n">
        <f aca="false">IF(LEFT(Cockpit!$I$5,1)="A",H134,IF(Parameter!$E$30="MAX-Bestand",IF(CH134=1,CI134,IF(LEFT(Cockpit!$I$5,1)="B",AV134,MAX(AV134,H134))),ROUNDUP(AT134,0)))</f>
        <v>22</v>
      </c>
      <c r="AQ134" s="50" t="n">
        <f aca="false">IF(BZ134=1,0,ROUNDUP(AP134/BY134,0))</f>
        <v>2</v>
      </c>
      <c r="AR134" s="52" t="n">
        <f aca="false">IF(CQ134&gt;0,CQ134*MAX(1,AP134/X134),IF(BZ134=1,IF(AP134&lt;=0,0,CD134*MAX(1,IF(H134&gt;0,AP134/H134,1))),IF(R134&gt;0,AQ134/R134,0))/MAX(0.1,N(Parameter!$M$21)))</f>
        <v>0.0769230769230769</v>
      </c>
      <c r="AS134" s="50" t="n">
        <f aca="false">AR134*CB134</f>
        <v>11.9230769230769</v>
      </c>
      <c r="AT134" s="51" t="n">
        <f aca="false">IF(LEFT(Cockpit!$I$5,1)="A",H134,IF(CH134=1,(CK134+CI134)/2,IF(LEFT(Cockpit!$I$5,1)="B",(CK134+AV134)/2,MAX((CK134+AV134)/2,H134))))</f>
        <v>22</v>
      </c>
      <c r="AU134" s="50" t="n">
        <f aca="false">AT134*G134</f>
        <v>7320.28</v>
      </c>
      <c r="AV134" s="50" t="n">
        <f aca="false">ROUNDUP(CK134+MAX(CL134,2*(J134/IF(CG134&gt;0,CG134,MAX(0.1,N(Cockpit!$I$6)))-CK134)),0)</f>
        <v>7</v>
      </c>
      <c r="AW134" s="51" t="n">
        <f aca="false">IF(AS134&gt;0,J134/AS134,-1)</f>
        <v>0.587096774193548</v>
      </c>
      <c r="AX134" s="51" t="n">
        <f aca="false">IF(AND(OR(CF134="L1",CF134="L23",CF134="LIFT"),AS134&gt;0),SUMIFS($AS$7:$AS$1843,$CF$7:$CF$1843,CF134,$AW$7:$AW$1843,"&gt;"&amp;AW134)+SUMIFS($AS$7:$AS$1843,$CF$7:$CF$1843,CF134,$AW$7:$AW$1843,AW134,$BW$7:$BW$1843,"&lt;="&amp;BW134),"")</f>
        <v>11455.0393772894</v>
      </c>
      <c r="AY134" s="58" t="n">
        <f aca="false">IF(AX134="",0,MAX(0,MIN(1,(IF(CF134="L1",Parameter!$H$5,IF(CF134="L23",Parameter!$H$6+Parameter!$H$7,Parameter!$H$5+Parameter!$H$6+Parameter!$H$7))-(AX134-AS134))/AS134)))</f>
        <v>1</v>
      </c>
      <c r="AZ134" s="50" t="n">
        <f aca="false">IF(LEFT(Cockpit!$O$5,1)="A",H134,IF(Parameter!$E$30="MAX-Bestand",IF(CH134=1,CI134,IF(LEFT(Cockpit!$O$5,1)="B",BF134,MAX(BF134,H134))),ROUNDUP(BD134,0)))</f>
        <v>5</v>
      </c>
      <c r="BA134" s="50" t="n">
        <f aca="false">IF(BZ134=1,0,ROUNDUP(AZ134/BY134,0))</f>
        <v>1</v>
      </c>
      <c r="BB134" s="52" t="n">
        <f aca="false">IF(CQ134&gt;0,CQ134*MAX(1,AZ134/X134),IF(BZ134=1,IF(AZ134&lt;=0,0,CD134*MAX(1,IF(H134&gt;0,AZ134/H134,1))),IF(R134&gt;0,BA134/R134,0))/MAX(0.1,N(Parameter!$M$21)))</f>
        <v>0.0384615384615385</v>
      </c>
      <c r="BC134" s="50" t="n">
        <f aca="false">BB134*CB134</f>
        <v>5.96153846153846</v>
      </c>
      <c r="BD134" s="51" t="n">
        <f aca="false">IF(LEFT(Cockpit!$O$5,1)="A",H134,IF(CH134=1,(CK134+CI134)/2,IF(LEFT(Cockpit!$O$5,1)="B",(CK134+BF134)/2,MAX((CK134+BF134)/2,H134))))</f>
        <v>4.5</v>
      </c>
      <c r="BE134" s="50" t="n">
        <f aca="false">BD134*G134</f>
        <v>1497.33</v>
      </c>
      <c r="BF134" s="50" t="n">
        <f aca="false">ROUNDUP(CK134+MAX(CL134,2*(J134/IF(CG134&gt;0,CG134,MAX(0.1,N(Cockpit!$O$6)))-CK134)),0)</f>
        <v>7</v>
      </c>
      <c r="BG134" s="51" t="n">
        <f aca="false">IF(BC134&gt;0,J134/BC134,-1)</f>
        <v>1.1741935483871</v>
      </c>
      <c r="BH134" s="51" t="n">
        <f aca="false">IF(AND(OR(CF134="L1",CF134="L23",CF134="LIFT"),BC134&gt;0),SUMIFS($BC$7:$BC$1843,$CF$7:$CF$1843,CF134,$BG$7:$BG$1843,"&gt;"&amp;BG134)+SUMIFS($BC$7:$BC$1843,$CF$7:$CF$1843,CF134,$BG$7:$BG$1843,BG134,$BW$7:$BW$1843,"&lt;="&amp;BW134),"")</f>
        <v>7188.38049450549</v>
      </c>
      <c r="BI134" s="58" t="n">
        <f aca="false">IF(BH134="",0,MAX(0,MIN(1,(IF(CF134="L1",Parameter!$H$5,IF(CF134="L23",Parameter!$H$6+Parameter!$H$7,Parameter!$H$5+Parameter!$H$6+Parameter!$H$7))-(BH134-BC134))/BC134)))</f>
        <v>1</v>
      </c>
      <c r="BJ134" s="48" t="str">
        <f aca="false">IF(AI134&lt;=0,"",IF(CF134="Aussen","Aussenlager",IF(CF134="-","Nicht im Lift",IF(AO134&gt;=1,"Lift",IF(AO134&lt;=0,"Aussenlager","teilweise")))))</f>
        <v>Lift</v>
      </c>
      <c r="BK134" s="48" t="str">
        <f aca="false">IF(AS134&lt;=0,"",IF(CF134="Aussen","Aussenlager",IF(CF134="-","Nicht im Lift",IF(AY134&gt;=1,"Lift",IF(AY134&lt;=0,"Aussenlager","teilweise")))))</f>
        <v>Lift</v>
      </c>
      <c r="BL134" s="48" t="str">
        <f aca="false">IF(BC134&lt;=0,"",IF(CF134="Aussen","Aussenlager",IF(CF134="-","Nicht im Lift",IF(BI134&gt;=1,"Lift",IF(BI134&lt;=0,"Aussenlager","teilweise")))))</f>
        <v>Lift</v>
      </c>
      <c r="BM134" s="48" t="str">
        <f aca="false">IF(A134="","",IF(BV134=1,"Neu; ","")&amp;IF(AND(BV134=0,BQ134&lt;0),"negativer Bestand (Export "&amp;BQ134&amp;"); ","")&amp;IF(J134&lt;=0,"Kein Verbrauch; ","")&amp;IF(CQ134&gt;0,"Lift "&amp;W134&amp;" lt. Liftbericht (Fach "&amp;X134&amp;" Stk); ",IF(CA134=1,"Gebinde geschätzt ("&amp;T134&amp;"); ",IF(BZ134=1,"Lose – Tablare geschätzt; ","")))&amp;IF(H134&gt;AV134,"Überbestand "&amp;ROUND(H134-AV134,0)&amp;" Stk / CHF "&amp;ROUND((H134-AV134)*G134,0)&amp;"; ","")&amp;IF(AND(CH134=1,CI134&lt;CJ134),"MAX &lt; MB+LG; ","")&amp;IF(AND(CP134&gt;0,CO134*10&gt;CP134),"zu hoch für Tablar; ","")&amp;IF(AND(BV134=0,OR(CH134=1,AA134&lt;&gt;"",U134&lt;&gt;"",V134&lt;&gt;"",AB134&lt;&gt;"")),"manuell übersteuert; ","")&amp;IF(AND(BZ134=0,R134=0),"Gebinde unbekannt / Stellmass fehlt; ","")&amp;IF(AND(BZ134=0,N(V134)&lt;=0,N(Q134)&lt;=0),"Menge pro Gebinde fehlt (Ist = 1 Gebinde); ","")&amp;BU134)</f>
        <v>Überbestand 15 Stk / CHF 4991; </v>
      </c>
      <c r="BN134" s="48"/>
      <c r="BO134" s="48"/>
      <c r="BP134" s="55"/>
      <c r="BQ134" s="50" t="n">
        <v>5</v>
      </c>
      <c r="BR134" s="50" t="n">
        <v>17</v>
      </c>
      <c r="BS134" s="49" t="n">
        <v>1663.19</v>
      </c>
      <c r="BT134" s="50" t="n">
        <v>7</v>
      </c>
      <c r="BU134" s="48"/>
      <c r="BV134" s="53" t="n">
        <v>0</v>
      </c>
      <c r="BW134" s="53" t="n">
        <v>134</v>
      </c>
      <c r="BX134" s="48" t="str">
        <f aca="false">IF(U134&lt;&gt;"",UPPER(TRIM(U134)),IF(CA134=1,UPPER(VLOOKUP(T134,Parameter!$I$27:$K$29,2,0)),IF(P134="","LOSE",P134)))</f>
        <v>S51</v>
      </c>
      <c r="BY134" s="50" t="n">
        <f aca="false">IF(BX134="LOSE",1,IF(N(V134)&gt;0,V134,IF(CA134=1,MAX(1,N(VLOOKUP(T134,Parameter!$I$27:$K$29,3,0)),H134,N(N134)),IF(N(Q134)&gt;0,Q134,MAX(1,H134)))))</f>
        <v>16</v>
      </c>
      <c r="BZ134" s="53" t="n">
        <f aca="false">IF(BX134="LOSE",1,0)</f>
        <v>0</v>
      </c>
      <c r="CA134" s="53" t="n">
        <f aca="false">IF(AND(U134="",OR(P134="",P134="LOSE"),T134&lt;&gt;"",N(S134)&lt;=0,ISNUMBER(MATCH(T134,Parameter!$I$27:$I$29,0))),1,0)</f>
        <v>0</v>
      </c>
      <c r="CB134" s="53" t="n">
        <f aca="false">IF(CQ134&gt;0,INDEX(Parameter!$H$5:$H$7,W134)/INDEX(Parameter!$E$5:$E$7,W134),IF(AND(BZ134=0,N(IFERROR(VLOOKUP(BX134,'Gebinde-Kategorie'!$A$5:$N$45,14,0),0))&gt;0),VLOOKUP(BX134,'Gebinde-Kategorie'!$A$5:$N$45,14,0)*10+Parameter!$M$23,Parameter!$M$24))</f>
        <v>155</v>
      </c>
      <c r="CC134" s="48" t="str">
        <f aca="false">IF(AND(Parameter!$B$19="Ja",E134&lt;&gt;"",ISNUMBER(MATCH(E134,Parameter!$I$35:$I$52,0))),VLOOKUP(E134,Parameter!$I$35:$J$52,2,0),IFERROR(VLOOKUP(D134,Parameter!$A$35:$C$64,2,0),"Nein"))</f>
        <v>2+3</v>
      </c>
      <c r="CD134" s="52" t="n">
        <f aca="false">IF(BZ134=0,0,IF(N(S134)&gt;0,S134,IFERROR(VLOOKUP(D134,Parameter!$A$35:$C$64,3,0)+0,0)))</f>
        <v>0</v>
      </c>
      <c r="CE134" s="48" t="n">
        <f aca="false">IF(AA134&lt;&gt;"",AA134,Z134)</f>
        <v>3</v>
      </c>
      <c r="CF134" s="48" t="str">
        <f aca="false">IF(OR(CE134=1,CE134=2,CE134=3),IF(Parameter!$E$27="Ja","LIFT",IF(CE134=1,"L1","L23")),IF(CE134="Aussen","Aussen","-"))</f>
        <v>LIFT</v>
      </c>
      <c r="CG134" s="59" t="n">
        <f aca="false">IF(N(AB134)&gt;0,AB134,0)</f>
        <v>0</v>
      </c>
      <c r="CH134" s="53" t="n">
        <f aca="false">IF(ISNUMBER(AE134),1,0)</f>
        <v>0</v>
      </c>
      <c r="CI134" s="50" t="n">
        <f aca="false">N(AE134)</f>
        <v>0</v>
      </c>
      <c r="CJ134" s="50" t="n">
        <f aca="false">N(M134)+N(N134)</f>
        <v>7</v>
      </c>
      <c r="CK134" s="50" t="n">
        <f aca="false">N(M134)</f>
        <v>2</v>
      </c>
      <c r="CL134" s="50" t="n">
        <f aca="false">N(N134)</f>
        <v>5</v>
      </c>
      <c r="CM134" s="50" t="n">
        <f aca="false">ROUNDUP(H134/BY134,0)</f>
        <v>2</v>
      </c>
      <c r="CN134" s="50" t="n">
        <f aca="false">ROUNDUP(CI134/BY134,0)</f>
        <v>0</v>
      </c>
      <c r="CO134" s="53" t="n">
        <f aca="false">IF(BZ134=1,0,IFERROR(VLOOKUP(BX134,'Gebinde-Kategorie'!$A$5:$N$45,5,0)+0,0))</f>
        <v>11</v>
      </c>
      <c r="CP134" s="53" t="n">
        <f aca="false">IFERROR(IF(OR(CE134=1,CE134=2,CE134=3),N(INDEX(Parameter!$I$5:$I$7,CE134)),0),0)</f>
        <v>0</v>
      </c>
      <c r="CQ134" s="52" t="n">
        <f aca="false">IF(AND(Parameter!$B$21="Ja",ISNUMBER(W134),N(X134)&gt;0),IFERROR(N(INDEX(Parameter!$L$5:$L$7,W134))*INDEX(Parameter!$E$5:$E$7,W134)*X134/SUMIFS($X$7:$X$1843,$W$7:$W$1843,W134),0),0)</f>
        <v>0</v>
      </c>
    </row>
    <row r="135" customFormat="false" ht="15" hidden="false" customHeight="false" outlineLevel="0" collapsed="false">
      <c r="A135" s="48" t="s">
        <v>487</v>
      </c>
      <c r="B135" s="48" t="s">
        <v>356</v>
      </c>
      <c r="C135" s="48" t="s">
        <v>173</v>
      </c>
      <c r="D135" s="48" t="s">
        <v>182</v>
      </c>
      <c r="E135" s="48" t="s">
        <v>182</v>
      </c>
      <c r="F135" s="48" t="s">
        <v>227</v>
      </c>
      <c r="G135" s="49" t="n">
        <v>112.45</v>
      </c>
      <c r="H135" s="50" t="n">
        <f aca="false">MAX(0,IF(AND(Parameter!$B$21="Ja",ISNUMBER(Y135)),Y135,IF(Parameter!$B$20="Jahresanfang 2025 + Export",BR135+BQ135,BQ135)))</f>
        <v>126</v>
      </c>
      <c r="I135" s="50" t="n">
        <f aca="false">H135*G135</f>
        <v>14168.7</v>
      </c>
      <c r="J135" s="50" t="n">
        <f aca="false">BT135*Parameter!$B$18</f>
        <v>315</v>
      </c>
      <c r="K135" s="51" t="n">
        <v>124.5</v>
      </c>
      <c r="L135" s="52" t="n">
        <v>2.53012048192771</v>
      </c>
      <c r="M135" s="50" t="n">
        <v>18</v>
      </c>
      <c r="N135" s="50" t="n">
        <v>100</v>
      </c>
      <c r="O135" s="53" t="n">
        <v>21</v>
      </c>
      <c r="P135" s="48" t="s">
        <v>183</v>
      </c>
      <c r="Q135" s="50" t="n">
        <v>60</v>
      </c>
      <c r="R135" s="53" t="n">
        <f aca="false">IF(BZ135=1,0,IFERROR(VLOOKUP(BX135,'Gebinde-Kategorie'!$A$5:$N$45,13,0)+0,0))</f>
        <v>6</v>
      </c>
      <c r="S135" s="54"/>
      <c r="T135" s="55"/>
      <c r="U135" s="55"/>
      <c r="V135" s="55"/>
      <c r="W135" s="48"/>
      <c r="X135" s="50"/>
      <c r="Y135" s="50"/>
      <c r="Z135" s="48" t="str">
        <f aca="false">IF(A135="","",IF(AND(Parameter!$B$21="Ja",ISNUMBER(W135)),W135,IF(CC135="2+3",IF(ISNUMBER(SEARCH("grosser Artikel",BU135)),2,IFERROR(VLOOKUP(BX135,Parameter!$F$35:$G$64,2,0),2)),IF(OR(CC135="Nein",CC135=""),"-",CC135))))</f>
        <v>-</v>
      </c>
      <c r="AA135" s="55"/>
      <c r="AB135" s="56"/>
      <c r="AC135" s="50" t="n">
        <f aca="false">AV135</f>
        <v>192</v>
      </c>
      <c r="AD135" s="50" t="n">
        <f aca="false">MAX(AV135,H135)</f>
        <v>192</v>
      </c>
      <c r="AE135" s="57"/>
      <c r="AF135" s="50" t="n">
        <f aca="false">IF(LEFT(Cockpit!$C$5,1)="A",H135,IF(Parameter!$E$30="MAX-Bestand",IF(CH135=1,CI135,IF(LEFT(Cockpit!$C$5,1)="B",AL135,MAX(AL135,H135))),ROUNDUP(AJ135,0)))</f>
        <v>126</v>
      </c>
      <c r="AG135" s="50" t="n">
        <f aca="false">IF(BZ135=1,0,ROUNDUP(AF135/BY135,0))</f>
        <v>3</v>
      </c>
      <c r="AH135" s="52" t="n">
        <f aca="false">IF(CQ135&gt;0,CQ135*MAX(1,AF135/X135),IF(BZ135=1,IF(AF135&lt;=0,0,CD135*MAX(1,IF(H135&gt;0,AF135/H135,1))),IF(R135&gt;0,AG135/R135,0))/MAX(0.1,N(Parameter!$M$21)))</f>
        <v>0.5</v>
      </c>
      <c r="AI135" s="50" t="n">
        <f aca="false">AH135*CB135</f>
        <v>117.5</v>
      </c>
      <c r="AJ135" s="51" t="n">
        <f aca="false">IF(LEFT(Cockpit!$C$5,1)="A",H135,IF(CH135=1,(CK135+CI135)/2,IF(LEFT(Cockpit!$C$5,1)="B",(CK135+AL135)/2,MAX((CK135+AL135)/2,H135))))</f>
        <v>126</v>
      </c>
      <c r="AK135" s="50" t="n">
        <f aca="false">AJ135*G135</f>
        <v>14168.7</v>
      </c>
      <c r="AL135" s="50" t="n">
        <f aca="false">ROUNDUP(CK135+MAX(CL135,2*(J135/IF(CG135&gt;0,CG135,MAX(0.1,N(Cockpit!$C$6)))-CK135)),0)</f>
        <v>192</v>
      </c>
      <c r="AM135" s="51" t="n">
        <f aca="false">IF(AI135&gt;0,J135/AI135,-1)</f>
        <v>2.68085106382979</v>
      </c>
      <c r="AN135" s="51" t="str">
        <f aca="false">IF(AND(OR(CF135="L1",CF135="L23",CF135="LIFT"),AI135&gt;0),SUMIFS($AI$7:$AI$1843,$CF$7:$CF$1843,CF135,$AM$7:$AM$1843,"&gt;"&amp;AM135)+SUMIFS($AI$7:$AI$1843,$CF$7:$CF$1843,CF135,$AM$7:$AM$1843,AM135,$BW$7:$BW$1843,"&lt;="&amp;BW135),"")</f>
        <v/>
      </c>
      <c r="AO135" s="58" t="n">
        <f aca="false">IF(AN135="",0,MAX(0,MIN(1,(IF(CF135="L1",Parameter!$H$5,IF(CF135="L23",Parameter!$H$6+Parameter!$H$7,Parameter!$H$5+Parameter!$H$6+Parameter!$H$7))-(AN135-AI135))/AI135)))</f>
        <v>0</v>
      </c>
      <c r="AP135" s="50" t="n">
        <f aca="false">IF(LEFT(Cockpit!$I$5,1)="A",H135,IF(Parameter!$E$30="MAX-Bestand",IF(CH135=1,CI135,IF(LEFT(Cockpit!$I$5,1)="B",AV135,MAX(AV135,H135))),ROUNDUP(AT135,0)))</f>
        <v>126</v>
      </c>
      <c r="AQ135" s="50" t="n">
        <f aca="false">IF(BZ135=1,0,ROUNDUP(AP135/BY135,0))</f>
        <v>3</v>
      </c>
      <c r="AR135" s="52" t="n">
        <f aca="false">IF(CQ135&gt;0,CQ135*MAX(1,AP135/X135),IF(BZ135=1,IF(AP135&lt;=0,0,CD135*MAX(1,IF(H135&gt;0,AP135/H135,1))),IF(R135&gt;0,AQ135/R135,0))/MAX(0.1,N(Parameter!$M$21)))</f>
        <v>0.5</v>
      </c>
      <c r="AS135" s="50" t="n">
        <f aca="false">AR135*CB135</f>
        <v>117.5</v>
      </c>
      <c r="AT135" s="51" t="n">
        <f aca="false">IF(LEFT(Cockpit!$I$5,1)="A",H135,IF(CH135=1,(CK135+CI135)/2,IF(LEFT(Cockpit!$I$5,1)="B",(CK135+AV135)/2,MAX((CK135+AV135)/2,H135))))</f>
        <v>126</v>
      </c>
      <c r="AU135" s="50" t="n">
        <f aca="false">AT135*G135</f>
        <v>14168.7</v>
      </c>
      <c r="AV135" s="50" t="n">
        <f aca="false">ROUNDUP(CK135+MAX(CL135,2*(J135/IF(CG135&gt;0,CG135,MAX(0.1,N(Cockpit!$I$6)))-CK135)),0)</f>
        <v>192</v>
      </c>
      <c r="AW135" s="51" t="n">
        <f aca="false">IF(AS135&gt;0,J135/AS135,-1)</f>
        <v>2.68085106382979</v>
      </c>
      <c r="AX135" s="51" t="str">
        <f aca="false">IF(AND(OR(CF135="L1",CF135="L23",CF135="LIFT"),AS135&gt;0),SUMIFS($AS$7:$AS$1843,$CF$7:$CF$1843,CF135,$AW$7:$AW$1843,"&gt;"&amp;AW135)+SUMIFS($AS$7:$AS$1843,$CF$7:$CF$1843,CF135,$AW$7:$AW$1843,AW135,$BW$7:$BW$1843,"&lt;="&amp;BW135),"")</f>
        <v/>
      </c>
      <c r="AY135" s="58" t="n">
        <f aca="false">IF(AX135="",0,MAX(0,MIN(1,(IF(CF135="L1",Parameter!$H$5,IF(CF135="L23",Parameter!$H$6+Parameter!$H$7,Parameter!$H$5+Parameter!$H$6+Parameter!$H$7))-(AX135-AS135))/AS135)))</f>
        <v>0</v>
      </c>
      <c r="AZ135" s="50" t="n">
        <f aca="false">IF(LEFT(Cockpit!$O$5,1)="A",H135,IF(Parameter!$E$30="MAX-Bestand",IF(CH135=1,CI135,IF(LEFT(Cockpit!$O$5,1)="B",BF135,MAX(BF135,H135))),ROUNDUP(BD135,0)))</f>
        <v>79</v>
      </c>
      <c r="BA135" s="50" t="n">
        <f aca="false">IF(BZ135=1,0,ROUNDUP(AZ135/BY135,0))</f>
        <v>2</v>
      </c>
      <c r="BB135" s="52" t="n">
        <f aca="false">IF(CQ135&gt;0,CQ135*MAX(1,AZ135/X135),IF(BZ135=1,IF(AZ135&lt;=0,0,CD135*MAX(1,IF(H135&gt;0,AZ135/H135,1))),IF(R135&gt;0,BA135/R135,0))/MAX(0.1,N(Parameter!$M$21)))</f>
        <v>0.333333333333333</v>
      </c>
      <c r="BC135" s="50" t="n">
        <f aca="false">BB135*CB135</f>
        <v>78.3333333333333</v>
      </c>
      <c r="BD135" s="51" t="n">
        <f aca="false">IF(LEFT(Cockpit!$O$5,1)="A",H135,IF(CH135=1,(CK135+CI135)/2,IF(LEFT(Cockpit!$O$5,1)="B",(CK135+BF135)/2,MAX((CK135+BF135)/2,H135))))</f>
        <v>79</v>
      </c>
      <c r="BE135" s="50" t="n">
        <f aca="false">BD135*G135</f>
        <v>8883.55</v>
      </c>
      <c r="BF135" s="50" t="n">
        <f aca="false">ROUNDUP(CK135+MAX(CL135,2*(J135/IF(CG135&gt;0,CG135,MAX(0.1,N(Cockpit!$O$6)))-CK135)),0)</f>
        <v>140</v>
      </c>
      <c r="BG135" s="51" t="n">
        <f aca="false">IF(BC135&gt;0,J135/BC135,-1)</f>
        <v>4.02127659574468</v>
      </c>
      <c r="BH135" s="51" t="str">
        <f aca="false">IF(AND(OR(CF135="L1",CF135="L23",CF135="LIFT"),BC135&gt;0),SUMIFS($BC$7:$BC$1843,$CF$7:$CF$1843,CF135,$BG$7:$BG$1843,"&gt;"&amp;BG135)+SUMIFS($BC$7:$BC$1843,$CF$7:$CF$1843,CF135,$BG$7:$BG$1843,BG135,$BW$7:$BW$1843,"&lt;="&amp;BW135),"")</f>
        <v/>
      </c>
      <c r="BI135" s="58" t="n">
        <f aca="false">IF(BH135="",0,MAX(0,MIN(1,(IF(CF135="L1",Parameter!$H$5,IF(CF135="L23",Parameter!$H$6+Parameter!$H$7,Parameter!$H$5+Parameter!$H$6+Parameter!$H$7))-(BH135-BC135))/BC135)))</f>
        <v>0</v>
      </c>
      <c r="BJ135" s="48" t="str">
        <f aca="false">IF(AI135&lt;=0,"",IF(CF135="Aussen","Aussenlager",IF(CF135="-","Nicht im Lift",IF(AO135&gt;=1,"Lift",IF(AO135&lt;=0,"Aussenlager","teilweise")))))</f>
        <v>Nicht im Lift</v>
      </c>
      <c r="BK135" s="48" t="str">
        <f aca="false">IF(AS135&lt;=0,"",IF(CF135="Aussen","Aussenlager",IF(CF135="-","Nicht im Lift",IF(AY135&gt;=1,"Lift",IF(AY135&lt;=0,"Aussenlager","teilweise")))))</f>
        <v>Nicht im Lift</v>
      </c>
      <c r="BL135" s="48" t="str">
        <f aca="false">IF(BC135&lt;=0,"",IF(CF135="Aussen","Aussenlager",IF(CF135="-","Nicht im Lift",IF(BI135&gt;=1,"Lift",IF(BI135&lt;=0,"Aussenlager","teilweise")))))</f>
        <v>Nicht im Lift</v>
      </c>
      <c r="BM135" s="48" t="str">
        <f aca="false">IF(A135="","",IF(BV135=1,"Neu; ","")&amp;IF(AND(BV135=0,BQ135&lt;0),"negativer Bestand (Export "&amp;BQ135&amp;"); ","")&amp;IF(J135&lt;=0,"Kein Verbrauch; ","")&amp;IF(CQ135&gt;0,"Lift "&amp;W135&amp;" lt. Liftbericht (Fach "&amp;X135&amp;" Stk); ",IF(CA135=1,"Gebinde geschätzt ("&amp;T135&amp;"); ",IF(BZ135=1,"Lose – Tablare geschätzt; ","")))&amp;IF(H135&gt;AV135,"Überbestand "&amp;ROUND(H135-AV135,0)&amp;" Stk / CHF "&amp;ROUND((H135-AV135)*G135,0)&amp;"; ","")&amp;IF(AND(CH135=1,CI135&lt;CJ135),"MAX &lt; MB+LG; ","")&amp;IF(AND(CP135&gt;0,CO135*10&gt;CP135),"zu hoch für Tablar; ","")&amp;IF(AND(BV135=0,OR(CH135=1,AA135&lt;&gt;"",U135&lt;&gt;"",V135&lt;&gt;"",AB135&lt;&gt;"")),"manuell übersteuert; ","")&amp;IF(AND(BZ135=0,R135=0),"Gebinde unbekannt / Stellmass fehlt; ","")&amp;IF(AND(BZ135=0,N(V135)&lt;=0,N(Q135)&lt;=0),"Menge pro Gebinde fehlt (Ist = 1 Gebinde); ","")&amp;BU135)</f>
        <v/>
      </c>
      <c r="BN135" s="48"/>
      <c r="BO135" s="48"/>
      <c r="BP135" s="55"/>
      <c r="BQ135" s="50" t="n">
        <v>20</v>
      </c>
      <c r="BR135" s="50" t="n">
        <v>106</v>
      </c>
      <c r="BS135" s="49" t="n">
        <v>1645.25000000001</v>
      </c>
      <c r="BT135" s="50" t="n">
        <v>315</v>
      </c>
      <c r="BU135" s="48"/>
      <c r="BV135" s="53" t="n">
        <v>0</v>
      </c>
      <c r="BW135" s="53" t="n">
        <v>135</v>
      </c>
      <c r="BX135" s="48" t="str">
        <f aca="false">IF(U135&lt;&gt;"",UPPER(TRIM(U135)),IF(CA135=1,UPPER(VLOOKUP(T135,Parameter!$I$27:$K$29,2,0)),IF(P135="","LOSE",P135)))</f>
        <v>S71</v>
      </c>
      <c r="BY135" s="50" t="n">
        <f aca="false">IF(BX135="LOSE",1,IF(N(V135)&gt;0,V135,IF(CA135=1,MAX(1,N(VLOOKUP(T135,Parameter!$I$27:$K$29,3,0)),H135,N(N135)),IF(N(Q135)&gt;0,Q135,MAX(1,H135)))))</f>
        <v>60</v>
      </c>
      <c r="BZ135" s="53" t="n">
        <f aca="false">IF(BX135="LOSE",1,0)</f>
        <v>0</v>
      </c>
      <c r="CA135" s="53" t="n">
        <f aca="false">IF(AND(U135="",OR(P135="",P135="LOSE"),T135&lt;&gt;"",N(S135)&lt;=0,ISNUMBER(MATCH(T135,Parameter!$I$27:$I$29,0))),1,0)</f>
        <v>0</v>
      </c>
      <c r="CB135" s="53" t="n">
        <f aca="false">IF(CQ135&gt;0,INDEX(Parameter!$H$5:$H$7,W135)/INDEX(Parameter!$E$5:$E$7,W135),IF(AND(BZ135=0,N(IFERROR(VLOOKUP(BX135,'Gebinde-Kategorie'!$A$5:$N$45,14,0),0))&gt;0),VLOOKUP(BX135,'Gebinde-Kategorie'!$A$5:$N$45,14,0)*10+Parameter!$M$23,Parameter!$M$24))</f>
        <v>235</v>
      </c>
      <c r="CC135" s="48" t="str">
        <f aca="false">IF(AND(Parameter!$B$19="Ja",E135&lt;&gt;"",ISNUMBER(MATCH(E135,Parameter!$I$35:$I$52,0))),VLOOKUP(E135,Parameter!$I$35:$J$52,2,0),IFERROR(VLOOKUP(D135,Parameter!$A$35:$C$64,2,0),"Nein"))</f>
        <v>Nein</v>
      </c>
      <c r="CD135" s="52" t="n">
        <f aca="false">IF(BZ135=0,0,IF(N(S135)&gt;0,S135,IFERROR(VLOOKUP(D135,Parameter!$A$35:$C$64,3,0)+0,0)))</f>
        <v>0</v>
      </c>
      <c r="CE135" s="48" t="str">
        <f aca="false">IF(AA135&lt;&gt;"",AA135,Z135)</f>
        <v>-</v>
      </c>
      <c r="CF135" s="48" t="str">
        <f aca="false">IF(OR(CE135=1,CE135=2,CE135=3),IF(Parameter!$E$27="Ja","LIFT",IF(CE135=1,"L1","L23")),IF(CE135="Aussen","Aussen","-"))</f>
        <v>-</v>
      </c>
      <c r="CG135" s="59" t="n">
        <f aca="false">IF(N(AB135)&gt;0,AB135,0)</f>
        <v>0</v>
      </c>
      <c r="CH135" s="53" t="n">
        <f aca="false">IF(ISNUMBER(AE135),1,0)</f>
        <v>0</v>
      </c>
      <c r="CI135" s="50" t="n">
        <f aca="false">N(AE135)</f>
        <v>0</v>
      </c>
      <c r="CJ135" s="50" t="n">
        <f aca="false">N(M135)+N(N135)</f>
        <v>118</v>
      </c>
      <c r="CK135" s="50" t="n">
        <f aca="false">N(M135)</f>
        <v>18</v>
      </c>
      <c r="CL135" s="50" t="n">
        <f aca="false">N(N135)</f>
        <v>100</v>
      </c>
      <c r="CM135" s="50" t="n">
        <f aca="false">ROUNDUP(H135/BY135,0)</f>
        <v>3</v>
      </c>
      <c r="CN135" s="50" t="n">
        <f aca="false">ROUNDUP(CI135/BY135,0)</f>
        <v>0</v>
      </c>
      <c r="CO135" s="53" t="n">
        <f aca="false">IF(BZ135=1,0,IFERROR(VLOOKUP(BX135,'Gebinde-Kategorie'!$A$5:$N$45,5,0)+0,0))</f>
        <v>20</v>
      </c>
      <c r="CP135" s="53" t="n">
        <f aca="false">IFERROR(IF(OR(CE135=1,CE135=2,CE135=3),N(INDEX(Parameter!$I$5:$I$7,CE135)),0),0)</f>
        <v>0</v>
      </c>
      <c r="CQ135" s="52" t="n">
        <f aca="false">IF(AND(Parameter!$B$21="Ja",ISNUMBER(W135),N(X135)&gt;0),IFERROR(N(INDEX(Parameter!$L$5:$L$7,W135))*INDEX(Parameter!$E$5:$E$7,W135)*X135/SUMIFS($X$7:$X$1843,$W$7:$W$1843,W135),0),0)</f>
        <v>0</v>
      </c>
    </row>
    <row r="136" customFormat="false" ht="15" hidden="false" customHeight="false" outlineLevel="0" collapsed="false">
      <c r="A136" s="48" t="s">
        <v>488</v>
      </c>
      <c r="B136" s="48" t="s">
        <v>489</v>
      </c>
      <c r="C136" s="48" t="s">
        <v>173</v>
      </c>
      <c r="D136" s="48" t="s">
        <v>182</v>
      </c>
      <c r="E136" s="48"/>
      <c r="F136" s="48" t="s">
        <v>227</v>
      </c>
      <c r="G136" s="49" t="n">
        <v>96.49</v>
      </c>
      <c r="H136" s="50" t="n">
        <f aca="false">MAX(0,IF(AND(Parameter!$B$21="Ja",ISNUMBER(Y136)),Y136,IF(Parameter!$B$20="Jahresanfang 2025 + Export",BR136+BQ136,BQ136)))</f>
        <v>49</v>
      </c>
      <c r="I136" s="50" t="n">
        <f aca="false">H136*G136</f>
        <v>4728.01</v>
      </c>
      <c r="J136" s="50" t="n">
        <f aca="false">BT136*Parameter!$B$18</f>
        <v>151</v>
      </c>
      <c r="K136" s="51" t="n">
        <v>34.5</v>
      </c>
      <c r="L136" s="52" t="n">
        <v>4.3768115942029</v>
      </c>
      <c r="M136" s="50" t="n">
        <v>15</v>
      </c>
      <c r="N136" s="50" t="n">
        <v>60</v>
      </c>
      <c r="O136" s="53" t="n">
        <v>28</v>
      </c>
      <c r="P136" s="48" t="s">
        <v>183</v>
      </c>
      <c r="Q136" s="50" t="n">
        <v>12</v>
      </c>
      <c r="R136" s="53" t="n">
        <f aca="false">IF(BZ136=1,0,IFERROR(VLOOKUP(BX136,'Gebinde-Kategorie'!$A$5:$N$45,13,0)+0,0))</f>
        <v>6</v>
      </c>
      <c r="S136" s="54"/>
      <c r="T136" s="55"/>
      <c r="U136" s="55"/>
      <c r="V136" s="55"/>
      <c r="W136" s="48"/>
      <c r="X136" s="50"/>
      <c r="Y136" s="50"/>
      <c r="Z136" s="48" t="n">
        <f aca="false">IF(A136="","",IF(AND(Parameter!$B$21="Ja",ISNUMBER(W136)),W136,IF(CC136="2+3",IF(ISNUMBER(SEARCH("grosser Artikel",BU136)),2,IFERROR(VLOOKUP(BX136,Parameter!$F$35:$G$64,2,0),2)),IF(OR(CC136="Nein",CC136=""),"-",CC136))))</f>
        <v>2</v>
      </c>
      <c r="AA136" s="55"/>
      <c r="AB136" s="56"/>
      <c r="AC136" s="50" t="n">
        <f aca="false">AV136</f>
        <v>86</v>
      </c>
      <c r="AD136" s="50" t="n">
        <f aca="false">MAX(AV136,H136)</f>
        <v>86</v>
      </c>
      <c r="AE136" s="57"/>
      <c r="AF136" s="50" t="n">
        <f aca="false">IF(LEFT(Cockpit!$C$5,1)="A",H136,IF(Parameter!$E$30="MAX-Bestand",IF(CH136=1,CI136,IF(LEFT(Cockpit!$C$5,1)="B",AL136,MAX(AL136,H136))),ROUNDUP(AJ136,0)))</f>
        <v>49</v>
      </c>
      <c r="AG136" s="50" t="n">
        <f aca="false">IF(BZ136=1,0,ROUNDUP(AF136/BY136,0))</f>
        <v>5</v>
      </c>
      <c r="AH136" s="52" t="n">
        <f aca="false">IF(CQ136&gt;0,CQ136*MAX(1,AF136/X136),IF(BZ136=1,IF(AF136&lt;=0,0,CD136*MAX(1,IF(H136&gt;0,AF136/H136,1))),IF(R136&gt;0,AG136/R136,0))/MAX(0.1,N(Parameter!$M$21)))</f>
        <v>0.833333333333333</v>
      </c>
      <c r="AI136" s="50" t="n">
        <f aca="false">AH136*CB136</f>
        <v>195.833333333333</v>
      </c>
      <c r="AJ136" s="51" t="n">
        <f aca="false">IF(LEFT(Cockpit!$C$5,1)="A",H136,IF(CH136=1,(CK136+CI136)/2,IF(LEFT(Cockpit!$C$5,1)="B",(CK136+AL136)/2,MAX((CK136+AL136)/2,H136))))</f>
        <v>49</v>
      </c>
      <c r="AK136" s="50" t="n">
        <f aca="false">AJ136*G136</f>
        <v>4728.01</v>
      </c>
      <c r="AL136" s="50" t="n">
        <f aca="false">ROUNDUP(CK136+MAX(CL136,2*(J136/IF(CG136&gt;0,CG136,MAX(0.1,N(Cockpit!$C$6)))-CK136)),0)</f>
        <v>86</v>
      </c>
      <c r="AM136" s="51" t="n">
        <f aca="false">IF(AI136&gt;0,J136/AI136,-1)</f>
        <v>0.771063829787234</v>
      </c>
      <c r="AN136" s="51" t="n">
        <f aca="false">IF(AND(OR(CF136="L1",CF136="L23",CF136="LIFT"),AI136&gt;0),SUMIFS($AI$7:$AI$1843,$CF$7:$CF$1843,CF136,$AM$7:$AM$1843,"&gt;"&amp;AM136)+SUMIFS($AI$7:$AI$1843,$CF$7:$CF$1843,CF136,$AM$7:$AM$1843,AM136,$BW$7:$BW$1843,"&lt;="&amp;BW136),"")</f>
        <v>8250.98397435898</v>
      </c>
      <c r="AO136" s="58" t="n">
        <f aca="false">IF(AN136="",0,MAX(0,MIN(1,(IF(CF136="L1",Parameter!$H$5,IF(CF136="L23",Parameter!$H$6+Parameter!$H$7,Parameter!$H$5+Parameter!$H$6+Parameter!$H$7))-(AN136-AI136))/AI136)))</f>
        <v>1</v>
      </c>
      <c r="AP136" s="50" t="n">
        <f aca="false">IF(LEFT(Cockpit!$I$5,1)="A",H136,IF(Parameter!$E$30="MAX-Bestand",IF(CH136=1,CI136,IF(LEFT(Cockpit!$I$5,1)="B",AV136,MAX(AV136,H136))),ROUNDUP(AT136,0)))</f>
        <v>51</v>
      </c>
      <c r="AQ136" s="50" t="n">
        <f aca="false">IF(BZ136=1,0,ROUNDUP(AP136/BY136,0))</f>
        <v>5</v>
      </c>
      <c r="AR136" s="52" t="n">
        <f aca="false">IF(CQ136&gt;0,CQ136*MAX(1,AP136/X136),IF(BZ136=1,IF(AP136&lt;=0,0,CD136*MAX(1,IF(H136&gt;0,AP136/H136,1))),IF(R136&gt;0,AQ136/R136,0))/MAX(0.1,N(Parameter!$M$21)))</f>
        <v>0.833333333333333</v>
      </c>
      <c r="AS136" s="50" t="n">
        <f aca="false">AR136*CB136</f>
        <v>195.833333333333</v>
      </c>
      <c r="AT136" s="51" t="n">
        <f aca="false">IF(LEFT(Cockpit!$I$5,1)="A",H136,IF(CH136=1,(CK136+CI136)/2,IF(LEFT(Cockpit!$I$5,1)="B",(CK136+AV136)/2,MAX((CK136+AV136)/2,H136))))</f>
        <v>50.5</v>
      </c>
      <c r="AU136" s="50" t="n">
        <f aca="false">AT136*G136</f>
        <v>4872.745</v>
      </c>
      <c r="AV136" s="50" t="n">
        <f aca="false">ROUNDUP(CK136+MAX(CL136,2*(J136/IF(CG136&gt;0,CG136,MAX(0.1,N(Cockpit!$I$6)))-CK136)),0)</f>
        <v>86</v>
      </c>
      <c r="AW136" s="51" t="n">
        <f aca="false">IF(AS136&gt;0,J136/AS136,-1)</f>
        <v>0.771063829787234</v>
      </c>
      <c r="AX136" s="51" t="n">
        <f aca="false">IF(AND(OR(CF136="L1",CF136="L23",CF136="LIFT"),AS136&gt;0),SUMIFS($AS$7:$AS$1843,$CF$7:$CF$1843,CF136,$AW$7:$AW$1843,"&gt;"&amp;AW136)+SUMIFS($AS$7:$AS$1843,$CF$7:$CF$1843,CF136,$AW$7:$AW$1843,AW136,$BW$7:$BW$1843,"&lt;="&amp;BW136),"")</f>
        <v>10510.5521978022</v>
      </c>
      <c r="AY136" s="58" t="n">
        <f aca="false">IF(AX136="",0,MAX(0,MIN(1,(IF(CF136="L1",Parameter!$H$5,IF(CF136="L23",Parameter!$H$6+Parameter!$H$7,Parameter!$H$5+Parameter!$H$6+Parameter!$H$7))-(AX136-AS136))/AS136)))</f>
        <v>1</v>
      </c>
      <c r="AZ136" s="50" t="n">
        <f aca="false">IF(LEFT(Cockpit!$O$5,1)="A",H136,IF(Parameter!$E$30="MAX-Bestand",IF(CH136=1,CI136,IF(LEFT(Cockpit!$O$5,1)="B",BF136,MAX(BF136,H136))),ROUNDUP(BD136,0)))</f>
        <v>45</v>
      </c>
      <c r="BA136" s="50" t="n">
        <f aca="false">IF(BZ136=1,0,ROUNDUP(AZ136/BY136,0))</f>
        <v>4</v>
      </c>
      <c r="BB136" s="52" t="n">
        <f aca="false">IF(CQ136&gt;0,CQ136*MAX(1,AZ136/X136),IF(BZ136=1,IF(AZ136&lt;=0,0,CD136*MAX(1,IF(H136&gt;0,AZ136/H136,1))),IF(R136&gt;0,BA136/R136,0))/MAX(0.1,N(Parameter!$M$21)))</f>
        <v>0.666666666666667</v>
      </c>
      <c r="BC136" s="50" t="n">
        <f aca="false">BB136*CB136</f>
        <v>156.666666666667</v>
      </c>
      <c r="BD136" s="51" t="n">
        <f aca="false">IF(LEFT(Cockpit!$O$5,1)="A",H136,IF(CH136=1,(CK136+CI136)/2,IF(LEFT(Cockpit!$O$5,1)="B",(CK136+BF136)/2,MAX((CK136+BF136)/2,H136))))</f>
        <v>45</v>
      </c>
      <c r="BE136" s="50" t="n">
        <f aca="false">BD136*G136</f>
        <v>4342.05</v>
      </c>
      <c r="BF136" s="50" t="n">
        <f aca="false">ROUNDUP(CK136+MAX(CL136,2*(J136/IF(CG136&gt;0,CG136,MAX(0.1,N(Cockpit!$O$6)))-CK136)),0)</f>
        <v>75</v>
      </c>
      <c r="BG136" s="51" t="n">
        <f aca="false">IF(BC136&gt;0,J136/BC136,-1)</f>
        <v>0.963829787234043</v>
      </c>
      <c r="BH136" s="51" t="n">
        <f aca="false">IF(AND(OR(CF136="L1",CF136="L23",CF136="LIFT"),BC136&gt;0),SUMIFS($BC$7:$BC$1843,$CF$7:$CF$1843,CF136,$BG$7:$BG$1843,"&gt;"&amp;BG136)+SUMIFS($BC$7:$BC$1843,$CF$7:$CF$1843,CF136,$BG$7:$BG$1843,BG136,$BW$7:$BW$1843,"&lt;="&amp;BW136),"")</f>
        <v>7931.48946886447</v>
      </c>
      <c r="BI136" s="58" t="n">
        <f aca="false">IF(BH136="",0,MAX(0,MIN(1,(IF(CF136="L1",Parameter!$H$5,IF(CF136="L23",Parameter!$H$6+Parameter!$H$7,Parameter!$H$5+Parameter!$H$6+Parameter!$H$7))-(BH136-BC136))/BC136)))</f>
        <v>1</v>
      </c>
      <c r="BJ136" s="48" t="str">
        <f aca="false">IF(AI136&lt;=0,"",IF(CF136="Aussen","Aussenlager",IF(CF136="-","Nicht im Lift",IF(AO136&gt;=1,"Lift",IF(AO136&lt;=0,"Aussenlager","teilweise")))))</f>
        <v>Lift</v>
      </c>
      <c r="BK136" s="48" t="str">
        <f aca="false">IF(AS136&lt;=0,"",IF(CF136="Aussen","Aussenlager",IF(CF136="-","Nicht im Lift",IF(AY136&gt;=1,"Lift",IF(AY136&lt;=0,"Aussenlager","teilweise")))))</f>
        <v>Lift</v>
      </c>
      <c r="BL136" s="48" t="str">
        <f aca="false">IF(BC136&lt;=0,"",IF(CF136="Aussen","Aussenlager",IF(CF136="-","Nicht im Lift",IF(BI136&gt;=1,"Lift",IF(BI136&lt;=0,"Aussenlager","teilweise")))))</f>
        <v>Lift</v>
      </c>
      <c r="BM136" s="48" t="str">
        <f aca="false">IF(A136="","",IF(BV136=1,"Neu; ","")&amp;IF(AND(BV136=0,BQ136&lt;0),"negativer Bestand (Export "&amp;BQ136&amp;"); ","")&amp;IF(J136&lt;=0,"Kein Verbrauch; ","")&amp;IF(CQ136&gt;0,"Lift "&amp;W136&amp;" lt. Liftbericht (Fach "&amp;X136&amp;" Stk); ",IF(CA136=1,"Gebinde geschätzt ("&amp;T136&amp;"); ",IF(BZ136=1,"Lose – Tablare geschätzt; ","")))&amp;IF(H136&gt;AV136,"Überbestand "&amp;ROUND(H136-AV136,0)&amp;" Stk / CHF "&amp;ROUND((H136-AV136)*G136,0)&amp;"; ","")&amp;IF(AND(CH136=1,CI136&lt;CJ136),"MAX &lt; MB+LG; ","")&amp;IF(AND(CP136&gt;0,CO136*10&gt;CP136),"zu hoch für Tablar; ","")&amp;IF(AND(BV136=0,OR(CH136=1,AA136&lt;&gt;"",U136&lt;&gt;"",V136&lt;&gt;"",AB136&lt;&gt;"")),"manuell übersteuert; ","")&amp;IF(AND(BZ136=0,R136=0),"Gebinde unbekannt / Stellmass fehlt; ","")&amp;IF(AND(BZ136=0,N(V136)&lt;=0,N(Q136)&lt;=0),"Menge pro Gebinde fehlt (Ist = 1 Gebinde); ","")&amp;BU136)</f>
        <v/>
      </c>
      <c r="BN136" s="48"/>
      <c r="BO136" s="48"/>
      <c r="BP136" s="55"/>
      <c r="BQ136" s="50" t="n">
        <v>19</v>
      </c>
      <c r="BR136" s="50" t="n">
        <v>30</v>
      </c>
      <c r="BS136" s="49" t="n">
        <v>1630.51</v>
      </c>
      <c r="BT136" s="50" t="n">
        <v>151</v>
      </c>
      <c r="BU136" s="48"/>
      <c r="BV136" s="53" t="n">
        <v>0</v>
      </c>
      <c r="BW136" s="53" t="n">
        <v>136</v>
      </c>
      <c r="BX136" s="48" t="str">
        <f aca="false">IF(U136&lt;&gt;"",UPPER(TRIM(U136)),IF(CA136=1,UPPER(VLOOKUP(T136,Parameter!$I$27:$K$29,2,0)),IF(P136="","LOSE",P136)))</f>
        <v>S71</v>
      </c>
      <c r="BY136" s="50" t="n">
        <f aca="false">IF(BX136="LOSE",1,IF(N(V136)&gt;0,V136,IF(CA136=1,MAX(1,N(VLOOKUP(T136,Parameter!$I$27:$K$29,3,0)),H136,N(N136)),IF(N(Q136)&gt;0,Q136,MAX(1,H136)))))</f>
        <v>12</v>
      </c>
      <c r="BZ136" s="53" t="n">
        <f aca="false">IF(BX136="LOSE",1,0)</f>
        <v>0</v>
      </c>
      <c r="CA136" s="53" t="n">
        <f aca="false">IF(AND(U136="",OR(P136="",P136="LOSE"),T136&lt;&gt;"",N(S136)&lt;=0,ISNUMBER(MATCH(T136,Parameter!$I$27:$I$29,0))),1,0)</f>
        <v>0</v>
      </c>
      <c r="CB136" s="53" t="n">
        <f aca="false">IF(CQ136&gt;0,INDEX(Parameter!$H$5:$H$7,W136)/INDEX(Parameter!$E$5:$E$7,W136),IF(AND(BZ136=0,N(IFERROR(VLOOKUP(BX136,'Gebinde-Kategorie'!$A$5:$N$45,14,0),0))&gt;0),VLOOKUP(BX136,'Gebinde-Kategorie'!$A$5:$N$45,14,0)*10+Parameter!$M$23,Parameter!$M$24))</f>
        <v>235</v>
      </c>
      <c r="CC136" s="48" t="str">
        <f aca="false">IF(AND(Parameter!$B$19="Ja",E136&lt;&gt;"",ISNUMBER(MATCH(E136,Parameter!$I$35:$I$52,0))),VLOOKUP(E136,Parameter!$I$35:$J$52,2,0),IFERROR(VLOOKUP(D136,Parameter!$A$35:$C$64,2,0),"Nein"))</f>
        <v>2+3</v>
      </c>
      <c r="CD136" s="52" t="n">
        <f aca="false">IF(BZ136=0,0,IF(N(S136)&gt;0,S136,IFERROR(VLOOKUP(D136,Parameter!$A$35:$C$64,3,0)+0,0)))</f>
        <v>0</v>
      </c>
      <c r="CE136" s="48" t="n">
        <f aca="false">IF(AA136&lt;&gt;"",AA136,Z136)</f>
        <v>2</v>
      </c>
      <c r="CF136" s="48" t="str">
        <f aca="false">IF(OR(CE136=1,CE136=2,CE136=3),IF(Parameter!$E$27="Ja","LIFT",IF(CE136=1,"L1","L23")),IF(CE136="Aussen","Aussen","-"))</f>
        <v>LIFT</v>
      </c>
      <c r="CG136" s="59" t="n">
        <f aca="false">IF(N(AB136)&gt;0,AB136,0)</f>
        <v>0</v>
      </c>
      <c r="CH136" s="53" t="n">
        <f aca="false">IF(ISNUMBER(AE136),1,0)</f>
        <v>0</v>
      </c>
      <c r="CI136" s="50" t="n">
        <f aca="false">N(AE136)</f>
        <v>0</v>
      </c>
      <c r="CJ136" s="50" t="n">
        <f aca="false">N(M136)+N(N136)</f>
        <v>75</v>
      </c>
      <c r="CK136" s="50" t="n">
        <f aca="false">N(M136)</f>
        <v>15</v>
      </c>
      <c r="CL136" s="50" t="n">
        <f aca="false">N(N136)</f>
        <v>60</v>
      </c>
      <c r="CM136" s="50" t="n">
        <f aca="false">ROUNDUP(H136/BY136,0)</f>
        <v>5</v>
      </c>
      <c r="CN136" s="50" t="n">
        <f aca="false">ROUNDUP(CI136/BY136,0)</f>
        <v>0</v>
      </c>
      <c r="CO136" s="53" t="n">
        <f aca="false">IF(BZ136=1,0,IFERROR(VLOOKUP(BX136,'Gebinde-Kategorie'!$A$5:$N$45,5,0)+0,0))</f>
        <v>20</v>
      </c>
      <c r="CP136" s="53" t="n">
        <f aca="false">IFERROR(IF(OR(CE136=1,CE136=2,CE136=3),N(INDEX(Parameter!$I$5:$I$7,CE136)),0),0)</f>
        <v>0</v>
      </c>
      <c r="CQ136" s="52" t="n">
        <f aca="false">IF(AND(Parameter!$B$21="Ja",ISNUMBER(W136),N(X136)&gt;0),IFERROR(N(INDEX(Parameter!$L$5:$L$7,W136))*INDEX(Parameter!$E$5:$E$7,W136)*X136/SUMIFS($X$7:$X$1843,$W$7:$W$1843,W136),0),0)</f>
        <v>0</v>
      </c>
    </row>
    <row r="137" customFormat="false" ht="15" hidden="false" customHeight="false" outlineLevel="0" collapsed="false">
      <c r="A137" s="48" t="s">
        <v>490</v>
      </c>
      <c r="B137" s="48" t="s">
        <v>299</v>
      </c>
      <c r="C137" s="48" t="s">
        <v>173</v>
      </c>
      <c r="D137" s="48" t="s">
        <v>182</v>
      </c>
      <c r="E137" s="48"/>
      <c r="F137" s="48" t="s">
        <v>227</v>
      </c>
      <c r="G137" s="49" t="n">
        <v>120.56</v>
      </c>
      <c r="H137" s="50" t="n">
        <f aca="false">MAX(0,IF(AND(Parameter!$B$21="Ja",ISNUMBER(Y137)),Y137,IF(Parameter!$B$20="Jahresanfang 2025 + Export",BR137+BQ137,BQ137)))</f>
        <v>26</v>
      </c>
      <c r="I137" s="50" t="n">
        <f aca="false">H137*G137</f>
        <v>3134.56</v>
      </c>
      <c r="J137" s="50" t="n">
        <f aca="false">BT137*Parameter!$B$18</f>
        <v>0</v>
      </c>
      <c r="K137" s="51" t="n">
        <v>13</v>
      </c>
      <c r="L137" s="52" t="n">
        <v>0</v>
      </c>
      <c r="M137" s="50" t="n">
        <v>0</v>
      </c>
      <c r="N137" s="50" t="n">
        <v>1</v>
      </c>
      <c r="O137" s="53" t="n">
        <v>77</v>
      </c>
      <c r="P137" s="48" t="s">
        <v>302</v>
      </c>
      <c r="Q137" s="50" t="n">
        <v>15</v>
      </c>
      <c r="R137" s="53" t="n">
        <f aca="false">IF(BZ137=1,0,IFERROR(VLOOKUP(BX137,'Gebinde-Kategorie'!$A$5:$N$45,13,0)+0,0))</f>
        <v>12</v>
      </c>
      <c r="S137" s="54"/>
      <c r="T137" s="55"/>
      <c r="U137" s="55"/>
      <c r="V137" s="55"/>
      <c r="W137" s="48"/>
      <c r="X137" s="50"/>
      <c r="Y137" s="50"/>
      <c r="Z137" s="48" t="n">
        <f aca="false">IF(A137="","",IF(AND(Parameter!$B$21="Ja",ISNUMBER(W137)),W137,IF(CC137="2+3",IF(ISNUMBER(SEARCH("grosser Artikel",BU137)),2,IFERROR(VLOOKUP(BX137,Parameter!$F$35:$G$64,2,0),2)),IF(OR(CC137="Nein",CC137=""),"-",CC137))))</f>
        <v>2</v>
      </c>
      <c r="AA137" s="55"/>
      <c r="AB137" s="56"/>
      <c r="AC137" s="50" t="n">
        <f aca="false">AV137</f>
        <v>1</v>
      </c>
      <c r="AD137" s="50" t="n">
        <f aca="false">MAX(AV137,H137)</f>
        <v>26</v>
      </c>
      <c r="AE137" s="57"/>
      <c r="AF137" s="50" t="n">
        <f aca="false">IF(LEFT(Cockpit!$C$5,1)="A",H137,IF(Parameter!$E$30="MAX-Bestand",IF(CH137=1,CI137,IF(LEFT(Cockpit!$C$5,1)="B",AL137,MAX(AL137,H137))),ROUNDUP(AJ137,0)))</f>
        <v>26</v>
      </c>
      <c r="AG137" s="50" t="n">
        <f aca="false">IF(BZ137=1,0,ROUNDUP(AF137/BY137,0))</f>
        <v>2</v>
      </c>
      <c r="AH137" s="52" t="n">
        <f aca="false">IF(CQ137&gt;0,CQ137*MAX(1,AF137/X137),IF(BZ137=1,IF(AF137&lt;=0,0,CD137*MAX(1,IF(H137&gt;0,AF137/H137,1))),IF(R137&gt;0,AG137/R137,0))/MAX(0.1,N(Parameter!$M$21)))</f>
        <v>0.166666666666667</v>
      </c>
      <c r="AI137" s="50" t="n">
        <f aca="false">AH137*CB137</f>
        <v>40.8333333333333</v>
      </c>
      <c r="AJ137" s="51" t="n">
        <f aca="false">IF(LEFT(Cockpit!$C$5,1)="A",H137,IF(CH137=1,(CK137+CI137)/2,IF(LEFT(Cockpit!$C$5,1)="B",(CK137+AL137)/2,MAX((CK137+AL137)/2,H137))))</f>
        <v>26</v>
      </c>
      <c r="AK137" s="50" t="n">
        <f aca="false">AJ137*G137</f>
        <v>3134.56</v>
      </c>
      <c r="AL137" s="50" t="n">
        <f aca="false">ROUNDUP(CK137+MAX(CL137,2*(J137/IF(CG137&gt;0,CG137,MAX(0.1,N(Cockpit!$C$6)))-CK137)),0)</f>
        <v>1</v>
      </c>
      <c r="AM137" s="51" t="n">
        <f aca="false">IF(AI137&gt;0,J137/AI137,-1)</f>
        <v>0</v>
      </c>
      <c r="AN137" s="51" t="n">
        <f aca="false">IF(AND(OR(CF137="L1",CF137="L23",CF137="LIFT"),AI137&gt;0),SUMIFS($AI$7:$AI$1843,$CF$7:$CF$1843,CF137,$AM$7:$AM$1843,"&gt;"&amp;AM137)+SUMIFS($AI$7:$AI$1843,$CF$7:$CF$1843,CF137,$AM$7:$AM$1843,AM137,$BW$7:$BW$1843,"&lt;="&amp;BW137),"")</f>
        <v>27199.449801846</v>
      </c>
      <c r="AO137" s="58" t="n">
        <f aca="false">IF(AN137="",0,MAX(0,MIN(1,(IF(CF137="L1",Parameter!$H$5,IF(CF137="L23",Parameter!$H$6+Parameter!$H$7,Parameter!$H$5+Parameter!$H$6+Parameter!$H$7))-(AN137-AI137))/AI137)))</f>
        <v>1</v>
      </c>
      <c r="AP137" s="50" t="n">
        <f aca="false">IF(LEFT(Cockpit!$I$5,1)="A",H137,IF(Parameter!$E$30="MAX-Bestand",IF(CH137=1,CI137,IF(LEFT(Cockpit!$I$5,1)="B",AV137,MAX(AV137,H137))),ROUNDUP(AT137,0)))</f>
        <v>26</v>
      </c>
      <c r="AQ137" s="50" t="n">
        <f aca="false">IF(BZ137=1,0,ROUNDUP(AP137/BY137,0))</f>
        <v>2</v>
      </c>
      <c r="AR137" s="52" t="n">
        <f aca="false">IF(CQ137&gt;0,CQ137*MAX(1,AP137/X137),IF(BZ137=1,IF(AP137&lt;=0,0,CD137*MAX(1,IF(H137&gt;0,AP137/H137,1))),IF(R137&gt;0,AQ137/R137,0))/MAX(0.1,N(Parameter!$M$21)))</f>
        <v>0.166666666666667</v>
      </c>
      <c r="AS137" s="50" t="n">
        <f aca="false">AR137*CB137</f>
        <v>40.8333333333333</v>
      </c>
      <c r="AT137" s="51" t="n">
        <f aca="false">IF(LEFT(Cockpit!$I$5,1)="A",H137,IF(CH137=1,(CK137+CI137)/2,IF(LEFT(Cockpit!$I$5,1)="B",(CK137+AV137)/2,MAX((CK137+AV137)/2,H137))))</f>
        <v>26</v>
      </c>
      <c r="AU137" s="50" t="n">
        <f aca="false">AT137*G137</f>
        <v>3134.56</v>
      </c>
      <c r="AV137" s="50" t="n">
        <f aca="false">ROUNDUP(CK137+MAX(CL137,2*(J137/IF(CG137&gt;0,CG137,MAX(0.1,N(Cockpit!$I$6)))-CK137)),0)</f>
        <v>1</v>
      </c>
      <c r="AW137" s="51" t="n">
        <f aca="false">IF(AS137&gt;0,J137/AS137,-1)</f>
        <v>0</v>
      </c>
      <c r="AX137" s="51" t="n">
        <f aca="false">IF(AND(OR(CF137="L1",CF137="L23",CF137="LIFT"),AS137&gt;0),SUMIFS($AS$7:$AS$1843,$CF$7:$CF$1843,CF137,$AW$7:$AW$1843,"&gt;"&amp;AW137)+SUMIFS($AS$7:$AS$1843,$CF$7:$CF$1843,CF137,$AW$7:$AW$1843,AW137,$BW$7:$BW$1843,"&lt;="&amp;BW137),"")</f>
        <v>32552.5984432234</v>
      </c>
      <c r="AY137" s="58" t="n">
        <f aca="false">IF(AX137="",0,MAX(0,MIN(1,(IF(CF137="L1",Parameter!$H$5,IF(CF137="L23",Parameter!$H$6+Parameter!$H$7,Parameter!$H$5+Parameter!$H$6+Parameter!$H$7))-(AX137-AS137))/AS137)))</f>
        <v>1</v>
      </c>
      <c r="AZ137" s="50" t="n">
        <f aca="false">IF(LEFT(Cockpit!$O$5,1)="A",H137,IF(Parameter!$E$30="MAX-Bestand",IF(CH137=1,CI137,IF(LEFT(Cockpit!$O$5,1)="B",BF137,MAX(BF137,H137))),ROUNDUP(BD137,0)))</f>
        <v>1</v>
      </c>
      <c r="BA137" s="50" t="n">
        <f aca="false">IF(BZ137=1,0,ROUNDUP(AZ137/BY137,0))</f>
        <v>1</v>
      </c>
      <c r="BB137" s="52" t="n">
        <f aca="false">IF(CQ137&gt;0,CQ137*MAX(1,AZ137/X137),IF(BZ137=1,IF(AZ137&lt;=0,0,CD137*MAX(1,IF(H137&gt;0,AZ137/H137,1))),IF(R137&gt;0,BA137/R137,0))/MAX(0.1,N(Parameter!$M$21)))</f>
        <v>0.0833333333333333</v>
      </c>
      <c r="BC137" s="50" t="n">
        <f aca="false">BB137*CB137</f>
        <v>20.4166666666667</v>
      </c>
      <c r="BD137" s="51" t="n">
        <f aca="false">IF(LEFT(Cockpit!$O$5,1)="A",H137,IF(CH137=1,(CK137+CI137)/2,IF(LEFT(Cockpit!$O$5,1)="B",(CK137+BF137)/2,MAX((CK137+BF137)/2,H137))))</f>
        <v>0.5</v>
      </c>
      <c r="BE137" s="50" t="n">
        <f aca="false">BD137*G137</f>
        <v>60.28</v>
      </c>
      <c r="BF137" s="50" t="n">
        <f aca="false">ROUNDUP(CK137+MAX(CL137,2*(J137/IF(CG137&gt;0,CG137,MAX(0.1,N(Cockpit!$O$6)))-CK137)),0)</f>
        <v>1</v>
      </c>
      <c r="BG137" s="51" t="n">
        <f aca="false">IF(BC137&gt;0,J137/BC137,-1)</f>
        <v>0</v>
      </c>
      <c r="BH137" s="51" t="n">
        <f aca="false">IF(AND(OR(CF137="L1",CF137="L23",CF137="LIFT"),BC137&gt;0),SUMIFS($BC$7:$BC$1843,$CF$7:$CF$1843,CF137,$BG$7:$BG$1843,"&gt;"&amp;BG137)+SUMIFS($BC$7:$BC$1843,$CF$7:$CF$1843,CF137,$BG$7:$BG$1843,BG137,$BW$7:$BW$1843,"&lt;="&amp;BW137),"")</f>
        <v>26728.7636198547</v>
      </c>
      <c r="BI137" s="58" t="n">
        <f aca="false">IF(BH137="",0,MAX(0,MIN(1,(IF(CF137="L1",Parameter!$H$5,IF(CF137="L23",Parameter!$H$6+Parameter!$H$7,Parameter!$H$5+Parameter!$H$6+Parameter!$H$7))-(BH137-BC137))/BC137)))</f>
        <v>1</v>
      </c>
      <c r="BJ137" s="48" t="str">
        <f aca="false">IF(AI137&lt;=0,"",IF(CF137="Aussen","Aussenlager",IF(CF137="-","Nicht im Lift",IF(AO137&gt;=1,"Lift",IF(AO137&lt;=0,"Aussenlager","teilweise")))))</f>
        <v>Lift</v>
      </c>
      <c r="BK137" s="48" t="str">
        <f aca="false">IF(AS137&lt;=0,"",IF(CF137="Aussen","Aussenlager",IF(CF137="-","Nicht im Lift",IF(AY137&gt;=1,"Lift",IF(AY137&lt;=0,"Aussenlager","teilweise")))))</f>
        <v>Lift</v>
      </c>
      <c r="BL137" s="48" t="str">
        <f aca="false">IF(BC137&lt;=0,"",IF(CF137="Aussen","Aussenlager",IF(CF137="-","Nicht im Lift",IF(BI137&gt;=1,"Lift",IF(BI137&lt;=0,"Aussenlager","teilweise")))))</f>
        <v>Lift</v>
      </c>
      <c r="BM137" s="48" t="str">
        <f aca="false">IF(A137="","",IF(BV137=1,"Neu; ","")&amp;IF(AND(BV137=0,BQ137&lt;0),"negativer Bestand (Export "&amp;BQ137&amp;"); ","")&amp;IF(J137&lt;=0,"Kein Verbrauch; ","")&amp;IF(CQ137&gt;0,"Lift "&amp;W137&amp;" lt. Liftbericht (Fach "&amp;X137&amp;" Stk); ",IF(CA137=1,"Gebinde geschätzt ("&amp;T137&amp;"); ",IF(BZ137=1,"Lose – Tablare geschätzt; ","")))&amp;IF(H137&gt;AV137,"Überbestand "&amp;ROUND(H137-AV137,0)&amp;" Stk / CHF "&amp;ROUND((H137-AV137)*G137,0)&amp;"; ","")&amp;IF(AND(CH137=1,CI137&lt;CJ137),"MAX &lt; MB+LG; ","")&amp;IF(AND(CP137&gt;0,CO137*10&gt;CP137),"zu hoch für Tablar; ","")&amp;IF(AND(BV137=0,OR(CH137=1,AA137&lt;&gt;"",U137&lt;&gt;"",V137&lt;&gt;"",AB137&lt;&gt;"")),"manuell übersteuert; ","")&amp;IF(AND(BZ137=0,R137=0),"Gebinde unbekannt / Stellmass fehlt; ","")&amp;IF(AND(BZ137=0,N(V137)&lt;=0,N(Q137)&lt;=0),"Menge pro Gebinde fehlt (Ist = 1 Gebinde); ","")&amp;BU137)</f>
        <v>Kein Verbrauch; Überbestand 25 Stk / CHF 3014; </v>
      </c>
      <c r="BN137" s="48"/>
      <c r="BO137" s="48"/>
      <c r="BP137" s="55"/>
      <c r="BQ137" s="50" t="n">
        <v>13</v>
      </c>
      <c r="BR137" s="50" t="n">
        <v>13</v>
      </c>
      <c r="BS137" s="49" t="n">
        <v>1567.28</v>
      </c>
      <c r="BT137" s="50" t="n">
        <v>0</v>
      </c>
      <c r="BU137" s="48"/>
      <c r="BV137" s="53" t="n">
        <v>0</v>
      </c>
      <c r="BW137" s="53" t="n">
        <v>137</v>
      </c>
      <c r="BX137" s="48" t="str">
        <f aca="false">IF(U137&lt;&gt;"",UPPER(TRIM(U137)),IF(CA137=1,UPPER(VLOOKUP(T137,Parameter!$I$27:$K$29,2,0)),IF(P137="","LOSE",P137)))</f>
        <v>S62</v>
      </c>
      <c r="BY137" s="50" t="n">
        <f aca="false">IF(BX137="LOSE",1,IF(N(V137)&gt;0,V137,IF(CA137=1,MAX(1,N(VLOOKUP(T137,Parameter!$I$27:$K$29,3,0)),H137,N(N137)),IF(N(Q137)&gt;0,Q137,MAX(1,H137)))))</f>
        <v>15</v>
      </c>
      <c r="BZ137" s="53" t="n">
        <f aca="false">IF(BX137="LOSE",1,0)</f>
        <v>0</v>
      </c>
      <c r="CA137" s="53" t="n">
        <f aca="false">IF(AND(U137="",OR(P137="",P137="LOSE"),T137&lt;&gt;"",N(S137)&lt;=0,ISNUMBER(MATCH(T137,Parameter!$I$27:$I$29,0))),1,0)</f>
        <v>0</v>
      </c>
      <c r="CB137" s="53" t="n">
        <f aca="false">IF(CQ137&gt;0,INDEX(Parameter!$H$5:$H$7,W137)/INDEX(Parameter!$E$5:$E$7,W137),IF(AND(BZ137=0,N(IFERROR(VLOOKUP(BX137,'Gebinde-Kategorie'!$A$5:$N$45,14,0),0))&gt;0),VLOOKUP(BX137,'Gebinde-Kategorie'!$A$5:$N$45,14,0)*10+Parameter!$M$23,Parameter!$M$24))</f>
        <v>245</v>
      </c>
      <c r="CC137" s="48" t="str">
        <f aca="false">IF(AND(Parameter!$B$19="Ja",E137&lt;&gt;"",ISNUMBER(MATCH(E137,Parameter!$I$35:$I$52,0))),VLOOKUP(E137,Parameter!$I$35:$J$52,2,0),IFERROR(VLOOKUP(D137,Parameter!$A$35:$C$64,2,0),"Nein"))</f>
        <v>2+3</v>
      </c>
      <c r="CD137" s="52" t="n">
        <f aca="false">IF(BZ137=0,0,IF(N(S137)&gt;0,S137,IFERROR(VLOOKUP(D137,Parameter!$A$35:$C$64,3,0)+0,0)))</f>
        <v>0</v>
      </c>
      <c r="CE137" s="48" t="n">
        <f aca="false">IF(AA137&lt;&gt;"",AA137,Z137)</f>
        <v>2</v>
      </c>
      <c r="CF137" s="48" t="str">
        <f aca="false">IF(OR(CE137=1,CE137=2,CE137=3),IF(Parameter!$E$27="Ja","LIFT",IF(CE137=1,"L1","L23")),IF(CE137="Aussen","Aussen","-"))</f>
        <v>LIFT</v>
      </c>
      <c r="CG137" s="59" t="n">
        <f aca="false">IF(N(AB137)&gt;0,AB137,0)</f>
        <v>0</v>
      </c>
      <c r="CH137" s="53" t="n">
        <f aca="false">IF(ISNUMBER(AE137),1,0)</f>
        <v>0</v>
      </c>
      <c r="CI137" s="50" t="n">
        <f aca="false">N(AE137)</f>
        <v>0</v>
      </c>
      <c r="CJ137" s="50" t="n">
        <f aca="false">N(M137)+N(N137)</f>
        <v>1</v>
      </c>
      <c r="CK137" s="50" t="n">
        <f aca="false">N(M137)</f>
        <v>0</v>
      </c>
      <c r="CL137" s="50" t="n">
        <f aca="false">N(N137)</f>
        <v>1</v>
      </c>
      <c r="CM137" s="50" t="n">
        <f aca="false">ROUNDUP(H137/BY137,0)</f>
        <v>2</v>
      </c>
      <c r="CN137" s="50" t="n">
        <f aca="false">ROUNDUP(CI137/BY137,0)</f>
        <v>0</v>
      </c>
      <c r="CO137" s="53" t="n">
        <f aca="false">IF(BZ137=1,0,IFERROR(VLOOKUP(BX137,'Gebinde-Kategorie'!$A$5:$N$45,5,0)+0,0))</f>
        <v>21</v>
      </c>
      <c r="CP137" s="53" t="n">
        <f aca="false">IFERROR(IF(OR(CE137=1,CE137=2,CE137=3),N(INDEX(Parameter!$I$5:$I$7,CE137)),0),0)</f>
        <v>0</v>
      </c>
      <c r="CQ137" s="52" t="n">
        <f aca="false">IF(AND(Parameter!$B$21="Ja",ISNUMBER(W137),N(X137)&gt;0),IFERROR(N(INDEX(Parameter!$L$5:$L$7,W137))*INDEX(Parameter!$E$5:$E$7,W137)*X137/SUMIFS($X$7:$X$1843,$W$7:$W$1843,W137),0),0)</f>
        <v>0</v>
      </c>
    </row>
    <row r="138" customFormat="false" ht="15" hidden="false" customHeight="false" outlineLevel="0" collapsed="false">
      <c r="A138" s="48" t="s">
        <v>491</v>
      </c>
      <c r="B138" s="48" t="s">
        <v>492</v>
      </c>
      <c r="C138" s="48" t="s">
        <v>173</v>
      </c>
      <c r="D138" s="48" t="s">
        <v>193</v>
      </c>
      <c r="E138" s="48"/>
      <c r="F138" s="48" t="s">
        <v>227</v>
      </c>
      <c r="G138" s="49" t="n">
        <v>138.33</v>
      </c>
      <c r="H138" s="50" t="n">
        <f aca="false">MAX(0,IF(AND(Parameter!$B$21="Ja",ISNUMBER(Y138)),Y138,IF(Parameter!$B$20="Jahresanfang 2025 + Export",BR138+BQ138,BQ138)))</f>
        <v>57</v>
      </c>
      <c r="I138" s="50" t="n">
        <f aca="false">H138*G138</f>
        <v>7884.81</v>
      </c>
      <c r="J138" s="50" t="n">
        <f aca="false">BT138*Parameter!$B$18</f>
        <v>25</v>
      </c>
      <c r="K138" s="51" t="n">
        <v>33.5</v>
      </c>
      <c r="L138" s="52" t="n">
        <v>0.746268656716418</v>
      </c>
      <c r="M138" s="50" t="n">
        <v>1</v>
      </c>
      <c r="N138" s="50" t="n">
        <v>25</v>
      </c>
      <c r="O138" s="53" t="n">
        <v>28</v>
      </c>
      <c r="P138" s="48" t="s">
        <v>337</v>
      </c>
      <c r="Q138" s="50" t="n">
        <v>20</v>
      </c>
      <c r="R138" s="53" t="n">
        <f aca="false">IF(BZ138=1,0,IFERROR(VLOOKUP(BX138,'Gebinde-Kategorie'!$A$5:$N$45,13,0)+0,0))</f>
        <v>52</v>
      </c>
      <c r="S138" s="54"/>
      <c r="T138" s="55"/>
      <c r="U138" s="55"/>
      <c r="V138" s="55"/>
      <c r="W138" s="48"/>
      <c r="X138" s="50"/>
      <c r="Y138" s="50"/>
      <c r="Z138" s="48" t="n">
        <f aca="false">IF(A138="","",IF(AND(Parameter!$B$21="Ja",ISNUMBER(W138)),W138,IF(CC138="2+3",IF(ISNUMBER(SEARCH("grosser Artikel",BU138)),2,IFERROR(VLOOKUP(BX138,Parameter!$F$35:$G$64,2,0),2)),IF(OR(CC138="Nein",CC138=""),"-",CC138))))</f>
        <v>3</v>
      </c>
      <c r="AA138" s="55"/>
      <c r="AB138" s="56"/>
      <c r="AC138" s="50" t="n">
        <f aca="false">AV138</f>
        <v>26</v>
      </c>
      <c r="AD138" s="50" t="n">
        <f aca="false">MAX(AV138,H138)</f>
        <v>57</v>
      </c>
      <c r="AE138" s="57"/>
      <c r="AF138" s="50" t="n">
        <f aca="false">IF(LEFT(Cockpit!$C$5,1)="A",H138,IF(Parameter!$E$30="MAX-Bestand",IF(CH138=1,CI138,IF(LEFT(Cockpit!$C$5,1)="B",AL138,MAX(AL138,H138))),ROUNDUP(AJ138,0)))</f>
        <v>57</v>
      </c>
      <c r="AG138" s="50" t="n">
        <f aca="false">IF(BZ138=1,0,ROUNDUP(AF138/BY138,0))</f>
        <v>3</v>
      </c>
      <c r="AH138" s="52" t="n">
        <f aca="false">IF(CQ138&gt;0,CQ138*MAX(1,AF138/X138),IF(BZ138=1,IF(AF138&lt;=0,0,CD138*MAX(1,IF(H138&gt;0,AF138/H138,1))),IF(R138&gt;0,AG138/R138,0))/MAX(0.1,N(Parameter!$M$21)))</f>
        <v>0.0576923076923077</v>
      </c>
      <c r="AI138" s="50" t="n">
        <f aca="false">AH138*CB138</f>
        <v>8.94230769230769</v>
      </c>
      <c r="AJ138" s="51" t="n">
        <f aca="false">IF(LEFT(Cockpit!$C$5,1)="A",H138,IF(CH138=1,(CK138+CI138)/2,IF(LEFT(Cockpit!$C$5,1)="B",(CK138+AL138)/2,MAX((CK138+AL138)/2,H138))))</f>
        <v>57</v>
      </c>
      <c r="AK138" s="50" t="n">
        <f aca="false">AJ138*G138</f>
        <v>7884.81</v>
      </c>
      <c r="AL138" s="50" t="n">
        <f aca="false">ROUNDUP(CK138+MAX(CL138,2*(J138/IF(CG138&gt;0,CG138,MAX(0.1,N(Cockpit!$C$6)))-CK138)),0)</f>
        <v>26</v>
      </c>
      <c r="AM138" s="51" t="n">
        <f aca="false">IF(AI138&gt;0,J138/AI138,-1)</f>
        <v>2.79569892473118</v>
      </c>
      <c r="AN138" s="51" t="n">
        <f aca="false">IF(AND(OR(CF138="L1",CF138="L23",CF138="LIFT"),AI138&gt;0),SUMIFS($AI$7:$AI$1843,$CF$7:$CF$1843,CF138,$AM$7:$AM$1843,"&gt;"&amp;AM138)+SUMIFS($AI$7:$AI$1843,$CF$7:$CF$1843,CF138,$AM$7:$AM$1843,AM138,$BW$7:$BW$1843,"&lt;="&amp;BW138),"")</f>
        <v>5259.12957875458</v>
      </c>
      <c r="AO138" s="58" t="n">
        <f aca="false">IF(AN138="",0,MAX(0,MIN(1,(IF(CF138="L1",Parameter!$H$5,IF(CF138="L23",Parameter!$H$6+Parameter!$H$7,Parameter!$H$5+Parameter!$H$6+Parameter!$H$7))-(AN138-AI138))/AI138)))</f>
        <v>1</v>
      </c>
      <c r="AP138" s="50" t="n">
        <f aca="false">IF(LEFT(Cockpit!$I$5,1)="A",H138,IF(Parameter!$E$30="MAX-Bestand",IF(CH138=1,CI138,IF(LEFT(Cockpit!$I$5,1)="B",AV138,MAX(AV138,H138))),ROUNDUP(AT138,0)))</f>
        <v>57</v>
      </c>
      <c r="AQ138" s="50" t="n">
        <f aca="false">IF(BZ138=1,0,ROUNDUP(AP138/BY138,0))</f>
        <v>3</v>
      </c>
      <c r="AR138" s="52" t="n">
        <f aca="false">IF(CQ138&gt;0,CQ138*MAX(1,AP138/X138),IF(BZ138=1,IF(AP138&lt;=0,0,CD138*MAX(1,IF(H138&gt;0,AP138/H138,1))),IF(R138&gt;0,AQ138/R138,0))/MAX(0.1,N(Parameter!$M$21)))</f>
        <v>0.0576923076923077</v>
      </c>
      <c r="AS138" s="50" t="n">
        <f aca="false">AR138*CB138</f>
        <v>8.94230769230769</v>
      </c>
      <c r="AT138" s="51" t="n">
        <f aca="false">IF(LEFT(Cockpit!$I$5,1)="A",H138,IF(CH138=1,(CK138+CI138)/2,IF(LEFT(Cockpit!$I$5,1)="B",(CK138+AV138)/2,MAX((CK138+AV138)/2,H138))))</f>
        <v>57</v>
      </c>
      <c r="AU138" s="50" t="n">
        <f aca="false">AT138*G138</f>
        <v>7884.81</v>
      </c>
      <c r="AV138" s="50" t="n">
        <f aca="false">ROUNDUP(CK138+MAX(CL138,2*(J138/IF(CG138&gt;0,CG138,MAX(0.1,N(Cockpit!$I$6)))-CK138)),0)</f>
        <v>26</v>
      </c>
      <c r="AW138" s="51" t="n">
        <f aca="false">IF(AS138&gt;0,J138/AS138,-1)</f>
        <v>2.79569892473118</v>
      </c>
      <c r="AX138" s="51" t="n">
        <f aca="false">IF(AND(OR(CF138="L1",CF138="L23",CF138="LIFT"),AS138&gt;0),SUMIFS($AS$7:$AS$1843,$CF$7:$CF$1843,CF138,$AW$7:$AW$1843,"&gt;"&amp;AW138)+SUMIFS($AS$7:$AS$1843,$CF$7:$CF$1843,CF138,$AW$7:$AW$1843,AW138,$BW$7:$BW$1843,"&lt;="&amp;BW138),"")</f>
        <v>6093.6076007326</v>
      </c>
      <c r="AY138" s="58" t="n">
        <f aca="false">IF(AX138="",0,MAX(0,MIN(1,(IF(CF138="L1",Parameter!$H$5,IF(CF138="L23",Parameter!$H$6+Parameter!$H$7,Parameter!$H$5+Parameter!$H$6+Parameter!$H$7))-(AX138-AS138))/AS138)))</f>
        <v>1</v>
      </c>
      <c r="AZ138" s="50" t="n">
        <f aca="false">IF(LEFT(Cockpit!$O$5,1)="A",H138,IF(Parameter!$E$30="MAX-Bestand",IF(CH138=1,CI138,IF(LEFT(Cockpit!$O$5,1)="B",BF138,MAX(BF138,H138))),ROUNDUP(BD138,0)))</f>
        <v>14</v>
      </c>
      <c r="BA138" s="50" t="n">
        <f aca="false">IF(BZ138=1,0,ROUNDUP(AZ138/BY138,0))</f>
        <v>1</v>
      </c>
      <c r="BB138" s="52" t="n">
        <f aca="false">IF(CQ138&gt;0,CQ138*MAX(1,AZ138/X138),IF(BZ138=1,IF(AZ138&lt;=0,0,CD138*MAX(1,IF(H138&gt;0,AZ138/H138,1))),IF(R138&gt;0,BA138/R138,0))/MAX(0.1,N(Parameter!$M$21)))</f>
        <v>0.0192307692307692</v>
      </c>
      <c r="BC138" s="50" t="n">
        <f aca="false">BB138*CB138</f>
        <v>2.98076923076923</v>
      </c>
      <c r="BD138" s="51" t="n">
        <f aca="false">IF(LEFT(Cockpit!$O$5,1)="A",H138,IF(CH138=1,(CK138+CI138)/2,IF(LEFT(Cockpit!$O$5,1)="B",(CK138+BF138)/2,MAX((CK138+BF138)/2,H138))))</f>
        <v>13.5</v>
      </c>
      <c r="BE138" s="50" t="n">
        <f aca="false">BD138*G138</f>
        <v>1867.455</v>
      </c>
      <c r="BF138" s="50" t="n">
        <f aca="false">ROUNDUP(CK138+MAX(CL138,2*(J138/IF(CG138&gt;0,CG138,MAX(0.1,N(Cockpit!$O$6)))-CK138)),0)</f>
        <v>26</v>
      </c>
      <c r="BG138" s="51" t="n">
        <f aca="false">IF(BC138&gt;0,J138/BC138,-1)</f>
        <v>8.38709677419355</v>
      </c>
      <c r="BH138" s="51" t="n">
        <f aca="false">IF(AND(OR(CF138="L1",CF138="L23",CF138="LIFT"),BC138&gt;0),SUMIFS($BC$7:$BC$1843,$CF$7:$CF$1843,CF138,$BG$7:$BG$1843,"&gt;"&amp;BG138)+SUMIFS($BC$7:$BC$1843,$CF$7:$CF$1843,CF138,$BG$7:$BG$1843,BG138,$BW$7:$BW$1843,"&lt;="&amp;BW138),"")</f>
        <v>2951.69734432234</v>
      </c>
      <c r="BI138" s="58" t="n">
        <f aca="false">IF(BH138="",0,MAX(0,MIN(1,(IF(CF138="L1",Parameter!$H$5,IF(CF138="L23",Parameter!$H$6+Parameter!$H$7,Parameter!$H$5+Parameter!$H$6+Parameter!$H$7))-(BH138-BC138))/BC138)))</f>
        <v>1</v>
      </c>
      <c r="BJ138" s="48" t="str">
        <f aca="false">IF(AI138&lt;=0,"",IF(CF138="Aussen","Aussenlager",IF(CF138="-","Nicht im Lift",IF(AO138&gt;=1,"Lift",IF(AO138&lt;=0,"Aussenlager","teilweise")))))</f>
        <v>Lift</v>
      </c>
      <c r="BK138" s="48" t="str">
        <f aca="false">IF(AS138&lt;=0,"",IF(CF138="Aussen","Aussenlager",IF(CF138="-","Nicht im Lift",IF(AY138&gt;=1,"Lift",IF(AY138&lt;=0,"Aussenlager","teilweise")))))</f>
        <v>Lift</v>
      </c>
      <c r="BL138" s="48" t="str">
        <f aca="false">IF(BC138&lt;=0,"",IF(CF138="Aussen","Aussenlager",IF(CF138="-","Nicht im Lift",IF(BI138&gt;=1,"Lift",IF(BI138&lt;=0,"Aussenlager","teilweise")))))</f>
        <v>Lift</v>
      </c>
      <c r="BM138" s="48" t="str">
        <f aca="false">IF(A138="","",IF(BV138=1,"Neu; ","")&amp;IF(AND(BV138=0,BQ138&lt;0),"negativer Bestand (Export "&amp;BQ138&amp;"); ","")&amp;IF(J138&lt;=0,"Kein Verbrauch; ","")&amp;IF(CQ138&gt;0,"Lift "&amp;W138&amp;" lt. Liftbericht (Fach "&amp;X138&amp;" Stk); ",IF(CA138=1,"Gebinde geschätzt ("&amp;T138&amp;"); ",IF(BZ138=1,"Lose – Tablare geschätzt; ","")))&amp;IF(H138&gt;AV138,"Überbestand "&amp;ROUND(H138-AV138,0)&amp;" Stk / CHF "&amp;ROUND((H138-AV138)*G138,0)&amp;"; ","")&amp;IF(AND(CH138=1,CI138&lt;CJ138),"MAX &lt; MB+LG; ","")&amp;IF(AND(CP138&gt;0,CO138*10&gt;CP138),"zu hoch für Tablar; ","")&amp;IF(AND(BV138=0,OR(CH138=1,AA138&lt;&gt;"",U138&lt;&gt;"",V138&lt;&gt;"",AB138&lt;&gt;"")),"manuell übersteuert; ","")&amp;IF(AND(BZ138=0,R138=0),"Gebinde unbekannt / Stellmass fehlt; ","")&amp;IF(AND(BZ138=0,N(V138)&lt;=0,N(Q138)&lt;=0),"Menge pro Gebinde fehlt (Ist = 1 Gebinde); ","")&amp;BU138)</f>
        <v>Überbestand 31 Stk / CHF 4288; </v>
      </c>
      <c r="BN138" s="48"/>
      <c r="BO138" s="48"/>
      <c r="BP138" s="55"/>
      <c r="BQ138" s="50" t="n">
        <v>11</v>
      </c>
      <c r="BR138" s="50" t="n">
        <v>46</v>
      </c>
      <c r="BS138" s="49" t="n">
        <v>1567.17</v>
      </c>
      <c r="BT138" s="50" t="n">
        <v>25</v>
      </c>
      <c r="BU138" s="48"/>
      <c r="BV138" s="53" t="n">
        <v>0</v>
      </c>
      <c r="BW138" s="53" t="n">
        <v>138</v>
      </c>
      <c r="BX138" s="48" t="str">
        <f aca="false">IF(U138&lt;&gt;"",UPPER(TRIM(U138)),IF(CA138=1,UPPER(VLOOKUP(T138,Parameter!$I$27:$K$29,2,0)),IF(P138="","LOSE",P138)))</f>
        <v>S41</v>
      </c>
      <c r="BY138" s="50" t="n">
        <f aca="false">IF(BX138="LOSE",1,IF(N(V138)&gt;0,V138,IF(CA138=1,MAX(1,N(VLOOKUP(T138,Parameter!$I$27:$K$29,3,0)),H138,N(N138)),IF(N(Q138)&gt;0,Q138,MAX(1,H138)))))</f>
        <v>20</v>
      </c>
      <c r="BZ138" s="53" t="n">
        <f aca="false">IF(BX138="LOSE",1,0)</f>
        <v>0</v>
      </c>
      <c r="CA138" s="53" t="n">
        <f aca="false">IF(AND(U138="",OR(P138="",P138="LOSE"),T138&lt;&gt;"",N(S138)&lt;=0,ISNUMBER(MATCH(T138,Parameter!$I$27:$I$29,0))),1,0)</f>
        <v>0</v>
      </c>
      <c r="CB138" s="53" t="n">
        <f aca="false">IF(CQ138&gt;0,INDEX(Parameter!$H$5:$H$7,W138)/INDEX(Parameter!$E$5:$E$7,W138),IF(AND(BZ138=0,N(IFERROR(VLOOKUP(BX138,'Gebinde-Kategorie'!$A$5:$N$45,14,0),0))&gt;0),VLOOKUP(BX138,'Gebinde-Kategorie'!$A$5:$N$45,14,0)*10+Parameter!$M$23,Parameter!$M$24))</f>
        <v>155</v>
      </c>
      <c r="CC138" s="48" t="str">
        <f aca="false">IF(AND(Parameter!$B$19="Ja",E138&lt;&gt;"",ISNUMBER(MATCH(E138,Parameter!$I$35:$I$52,0))),VLOOKUP(E138,Parameter!$I$35:$J$52,2,0),IFERROR(VLOOKUP(D138,Parameter!$A$35:$C$64,2,0),"Nein"))</f>
        <v>2+3</v>
      </c>
      <c r="CD138" s="52" t="n">
        <f aca="false">IF(BZ138=0,0,IF(N(S138)&gt;0,S138,IFERROR(VLOOKUP(D138,Parameter!$A$35:$C$64,3,0)+0,0)))</f>
        <v>0</v>
      </c>
      <c r="CE138" s="48" t="n">
        <f aca="false">IF(AA138&lt;&gt;"",AA138,Z138)</f>
        <v>3</v>
      </c>
      <c r="CF138" s="48" t="str">
        <f aca="false">IF(OR(CE138=1,CE138=2,CE138=3),IF(Parameter!$E$27="Ja","LIFT",IF(CE138=1,"L1","L23")),IF(CE138="Aussen","Aussen","-"))</f>
        <v>LIFT</v>
      </c>
      <c r="CG138" s="59" t="n">
        <f aca="false">IF(N(AB138)&gt;0,AB138,0)</f>
        <v>0</v>
      </c>
      <c r="CH138" s="53" t="n">
        <f aca="false">IF(ISNUMBER(AE138),1,0)</f>
        <v>0</v>
      </c>
      <c r="CI138" s="50" t="n">
        <f aca="false">N(AE138)</f>
        <v>0</v>
      </c>
      <c r="CJ138" s="50" t="n">
        <f aca="false">N(M138)+N(N138)</f>
        <v>26</v>
      </c>
      <c r="CK138" s="50" t="n">
        <f aca="false">N(M138)</f>
        <v>1</v>
      </c>
      <c r="CL138" s="50" t="n">
        <f aca="false">N(N138)</f>
        <v>25</v>
      </c>
      <c r="CM138" s="50" t="n">
        <f aca="false">ROUNDUP(H138/BY138,0)</f>
        <v>3</v>
      </c>
      <c r="CN138" s="50" t="n">
        <f aca="false">ROUNDUP(CI138/BY138,0)</f>
        <v>0</v>
      </c>
      <c r="CO138" s="53" t="n">
        <f aca="false">IF(BZ138=1,0,IFERROR(VLOOKUP(BX138,'Gebinde-Kategorie'!$A$5:$N$45,5,0)+0,0))</f>
        <v>11</v>
      </c>
      <c r="CP138" s="53" t="n">
        <f aca="false">IFERROR(IF(OR(CE138=1,CE138=2,CE138=3),N(INDEX(Parameter!$I$5:$I$7,CE138)),0),0)</f>
        <v>0</v>
      </c>
      <c r="CQ138" s="52" t="n">
        <f aca="false">IF(AND(Parameter!$B$21="Ja",ISNUMBER(W138),N(X138)&gt;0),IFERROR(N(INDEX(Parameter!$L$5:$L$7,W138))*INDEX(Parameter!$E$5:$E$7,W138)*X138/SUMIFS($X$7:$X$1843,$W$7:$W$1843,W138),0),0)</f>
        <v>0</v>
      </c>
    </row>
    <row r="139" customFormat="false" ht="15" hidden="false" customHeight="false" outlineLevel="0" collapsed="false">
      <c r="A139" s="48" t="s">
        <v>493</v>
      </c>
      <c r="B139" s="48" t="s">
        <v>494</v>
      </c>
      <c r="C139" s="48" t="s">
        <v>173</v>
      </c>
      <c r="D139" s="48" t="s">
        <v>182</v>
      </c>
      <c r="E139" s="48"/>
      <c r="F139" s="48" t="s">
        <v>227</v>
      </c>
      <c r="G139" s="49" t="n">
        <v>116.64</v>
      </c>
      <c r="H139" s="50" t="n">
        <f aca="false">MAX(0,IF(AND(Parameter!$B$21="Ja",ISNUMBER(Y139)),Y139,IF(Parameter!$B$20="Jahresanfang 2025 + Export",BR139+BQ139,BQ139)))</f>
        <v>31</v>
      </c>
      <c r="I139" s="50" t="n">
        <f aca="false">H139*G139</f>
        <v>3615.84</v>
      </c>
      <c r="J139" s="50" t="n">
        <f aca="false">BT139*Parameter!$B$18</f>
        <v>157</v>
      </c>
      <c r="K139" s="51" t="n">
        <v>37.5</v>
      </c>
      <c r="L139" s="52" t="n">
        <v>4.18666666666667</v>
      </c>
      <c r="M139" s="50" t="n">
        <v>3</v>
      </c>
      <c r="N139" s="50" t="n">
        <v>25</v>
      </c>
      <c r="O139" s="53" t="n">
        <v>7</v>
      </c>
      <c r="P139" s="48" t="s">
        <v>183</v>
      </c>
      <c r="Q139" s="50" t="n">
        <v>60</v>
      </c>
      <c r="R139" s="53" t="n">
        <f aca="false">IF(BZ139=1,0,IFERROR(VLOOKUP(BX139,'Gebinde-Kategorie'!$A$5:$N$45,13,0)+0,0))</f>
        <v>6</v>
      </c>
      <c r="S139" s="54"/>
      <c r="T139" s="55"/>
      <c r="U139" s="55"/>
      <c r="V139" s="55"/>
      <c r="W139" s="48"/>
      <c r="X139" s="50"/>
      <c r="Y139" s="50"/>
      <c r="Z139" s="48" t="n">
        <f aca="false">IF(A139="","",IF(AND(Parameter!$B$21="Ja",ISNUMBER(W139)),W139,IF(CC139="2+3",IF(ISNUMBER(SEARCH("grosser Artikel",BU139)),2,IFERROR(VLOOKUP(BX139,Parameter!$F$35:$G$64,2,0),2)),IF(OR(CC139="Nein",CC139=""),"-",CC139))))</f>
        <v>2</v>
      </c>
      <c r="AA139" s="55"/>
      <c r="AB139" s="56"/>
      <c r="AC139" s="50" t="n">
        <f aca="false">AV139</f>
        <v>102</v>
      </c>
      <c r="AD139" s="50" t="n">
        <f aca="false">MAX(AV139,H139)</f>
        <v>102</v>
      </c>
      <c r="AE139" s="57"/>
      <c r="AF139" s="50" t="n">
        <f aca="false">IF(LEFT(Cockpit!$C$5,1)="A",H139,IF(Parameter!$E$30="MAX-Bestand",IF(CH139=1,CI139,IF(LEFT(Cockpit!$C$5,1)="B",AL139,MAX(AL139,H139))),ROUNDUP(AJ139,0)))</f>
        <v>31</v>
      </c>
      <c r="AG139" s="50" t="n">
        <f aca="false">IF(BZ139=1,0,ROUNDUP(AF139/BY139,0))</f>
        <v>1</v>
      </c>
      <c r="AH139" s="52" t="n">
        <f aca="false">IF(CQ139&gt;0,CQ139*MAX(1,AF139/X139),IF(BZ139=1,IF(AF139&lt;=0,0,CD139*MAX(1,IF(H139&gt;0,AF139/H139,1))),IF(R139&gt;0,AG139/R139,0))/MAX(0.1,N(Parameter!$M$21)))</f>
        <v>0.166666666666667</v>
      </c>
      <c r="AI139" s="50" t="n">
        <f aca="false">AH139*CB139</f>
        <v>39.1666666666667</v>
      </c>
      <c r="AJ139" s="51" t="n">
        <f aca="false">IF(LEFT(Cockpit!$C$5,1)="A",H139,IF(CH139=1,(CK139+CI139)/2,IF(LEFT(Cockpit!$C$5,1)="B",(CK139+AL139)/2,MAX((CK139+AL139)/2,H139))))</f>
        <v>31</v>
      </c>
      <c r="AK139" s="50" t="n">
        <f aca="false">AJ139*G139</f>
        <v>3615.84</v>
      </c>
      <c r="AL139" s="50" t="n">
        <f aca="false">ROUNDUP(CK139+MAX(CL139,2*(J139/IF(CG139&gt;0,CG139,MAX(0.1,N(Cockpit!$C$6)))-CK139)),0)</f>
        <v>102</v>
      </c>
      <c r="AM139" s="51" t="n">
        <f aca="false">IF(AI139&gt;0,J139/AI139,-1)</f>
        <v>4.00851063829787</v>
      </c>
      <c r="AN139" s="51" t="n">
        <f aca="false">IF(AND(OR(CF139="L1",CF139="L23",CF139="LIFT"),AI139&gt;0),SUMIFS($AI$7:$AI$1843,$CF$7:$CF$1843,CF139,$AM$7:$AM$1843,"&gt;"&amp;AM139)+SUMIFS($AI$7:$AI$1843,$CF$7:$CF$1843,CF139,$AM$7:$AM$1843,AM139,$BW$7:$BW$1843,"&lt;="&amp;BW139),"")</f>
        <v>4429.15384615385</v>
      </c>
      <c r="AO139" s="58" t="n">
        <f aca="false">IF(AN139="",0,MAX(0,MIN(1,(IF(CF139="L1",Parameter!$H$5,IF(CF139="L23",Parameter!$H$6+Parameter!$H$7,Parameter!$H$5+Parameter!$H$6+Parameter!$H$7))-(AN139-AI139))/AI139)))</f>
        <v>1</v>
      </c>
      <c r="AP139" s="50" t="n">
        <f aca="false">IF(LEFT(Cockpit!$I$5,1)="A",H139,IF(Parameter!$E$30="MAX-Bestand",IF(CH139=1,CI139,IF(LEFT(Cockpit!$I$5,1)="B",AV139,MAX(AV139,H139))),ROUNDUP(AT139,0)))</f>
        <v>53</v>
      </c>
      <c r="AQ139" s="50" t="n">
        <f aca="false">IF(BZ139=1,0,ROUNDUP(AP139/BY139,0))</f>
        <v>1</v>
      </c>
      <c r="AR139" s="52" t="n">
        <f aca="false">IF(CQ139&gt;0,CQ139*MAX(1,AP139/X139),IF(BZ139=1,IF(AP139&lt;=0,0,CD139*MAX(1,IF(H139&gt;0,AP139/H139,1))),IF(R139&gt;0,AQ139/R139,0))/MAX(0.1,N(Parameter!$M$21)))</f>
        <v>0.166666666666667</v>
      </c>
      <c r="AS139" s="50" t="n">
        <f aca="false">AR139*CB139</f>
        <v>39.1666666666667</v>
      </c>
      <c r="AT139" s="51" t="n">
        <f aca="false">IF(LEFT(Cockpit!$I$5,1)="A",H139,IF(CH139=1,(CK139+CI139)/2,IF(LEFT(Cockpit!$I$5,1)="B",(CK139+AV139)/2,MAX((CK139+AV139)/2,H139))))</f>
        <v>52.5</v>
      </c>
      <c r="AU139" s="50" t="n">
        <f aca="false">AT139*G139</f>
        <v>6123.6</v>
      </c>
      <c r="AV139" s="50" t="n">
        <f aca="false">ROUNDUP(CK139+MAX(CL139,2*(J139/IF(CG139&gt;0,CG139,MAX(0.1,N(Cockpit!$I$6)))-CK139)),0)</f>
        <v>102</v>
      </c>
      <c r="AW139" s="51" t="n">
        <f aca="false">IF(AS139&gt;0,J139/AS139,-1)</f>
        <v>4.00851063829787</v>
      </c>
      <c r="AX139" s="51" t="n">
        <f aca="false">IF(AND(OR(CF139="L1",CF139="L23",CF139="LIFT"),AS139&gt;0),SUMIFS($AS$7:$AS$1843,$CF$7:$CF$1843,CF139,$AW$7:$AW$1843,"&gt;"&amp;AW139)+SUMIFS($AS$7:$AS$1843,$CF$7:$CF$1843,CF139,$AW$7:$AW$1843,AW139,$BW$7:$BW$1843,"&lt;="&amp;BW139),"")</f>
        <v>5020.26648351648</v>
      </c>
      <c r="AY139" s="58" t="n">
        <f aca="false">IF(AX139="",0,MAX(0,MIN(1,(IF(CF139="L1",Parameter!$H$5,IF(CF139="L23",Parameter!$H$6+Parameter!$H$7,Parameter!$H$5+Parameter!$H$6+Parameter!$H$7))-(AX139-AS139))/AS139)))</f>
        <v>1</v>
      </c>
      <c r="AZ139" s="50" t="n">
        <f aca="false">IF(LEFT(Cockpit!$O$5,1)="A",H139,IF(Parameter!$E$30="MAX-Bestand",IF(CH139=1,CI139,IF(LEFT(Cockpit!$O$5,1)="B",BF139,MAX(BF139,H139))),ROUNDUP(BD139,0)))</f>
        <v>40</v>
      </c>
      <c r="BA139" s="50" t="n">
        <f aca="false">IF(BZ139=1,0,ROUNDUP(AZ139/BY139,0))</f>
        <v>1</v>
      </c>
      <c r="BB139" s="52" t="n">
        <f aca="false">IF(CQ139&gt;0,CQ139*MAX(1,AZ139/X139),IF(BZ139=1,IF(AZ139&lt;=0,0,CD139*MAX(1,IF(H139&gt;0,AZ139/H139,1))),IF(R139&gt;0,BA139/R139,0))/MAX(0.1,N(Parameter!$M$21)))</f>
        <v>0.166666666666667</v>
      </c>
      <c r="BC139" s="50" t="n">
        <f aca="false">BB139*CB139</f>
        <v>39.1666666666667</v>
      </c>
      <c r="BD139" s="51" t="n">
        <f aca="false">IF(LEFT(Cockpit!$O$5,1)="A",H139,IF(CH139=1,(CK139+CI139)/2,IF(LEFT(Cockpit!$O$5,1)="B",(CK139+BF139)/2,MAX((CK139+BF139)/2,H139))))</f>
        <v>39.5</v>
      </c>
      <c r="BE139" s="50" t="n">
        <f aca="false">BD139*G139</f>
        <v>4607.28</v>
      </c>
      <c r="BF139" s="50" t="n">
        <f aca="false">ROUNDUP(CK139+MAX(CL139,2*(J139/IF(CG139&gt;0,CG139,MAX(0.1,N(Cockpit!$O$6)))-CK139)),0)</f>
        <v>76</v>
      </c>
      <c r="BG139" s="51" t="n">
        <f aca="false">IF(BC139&gt;0,J139/BC139,-1)</f>
        <v>4.00851063829787</v>
      </c>
      <c r="BH139" s="51" t="n">
        <f aca="false">IF(AND(OR(CF139="L1",CF139="L23",CF139="LIFT"),BC139&gt;0),SUMIFS($BC$7:$BC$1843,$CF$7:$CF$1843,CF139,$BG$7:$BG$1843,"&gt;"&amp;BG139)+SUMIFS($BC$7:$BC$1843,$CF$7:$CF$1843,CF139,$BG$7:$BG$1843,BG139,$BW$7:$BW$1843,"&lt;="&amp;BW139),"")</f>
        <v>4137.836996337</v>
      </c>
      <c r="BI139" s="58" t="n">
        <f aca="false">IF(BH139="",0,MAX(0,MIN(1,(IF(CF139="L1",Parameter!$H$5,IF(CF139="L23",Parameter!$H$6+Parameter!$H$7,Parameter!$H$5+Parameter!$H$6+Parameter!$H$7))-(BH139-BC139))/BC139)))</f>
        <v>1</v>
      </c>
      <c r="BJ139" s="48" t="str">
        <f aca="false">IF(AI139&lt;=0,"",IF(CF139="Aussen","Aussenlager",IF(CF139="-","Nicht im Lift",IF(AO139&gt;=1,"Lift",IF(AO139&lt;=0,"Aussenlager","teilweise")))))</f>
        <v>Lift</v>
      </c>
      <c r="BK139" s="48" t="str">
        <f aca="false">IF(AS139&lt;=0,"",IF(CF139="Aussen","Aussenlager",IF(CF139="-","Nicht im Lift",IF(AY139&gt;=1,"Lift",IF(AY139&lt;=0,"Aussenlager","teilweise")))))</f>
        <v>Lift</v>
      </c>
      <c r="BL139" s="48" t="str">
        <f aca="false">IF(BC139&lt;=0,"",IF(CF139="Aussen","Aussenlager",IF(CF139="-","Nicht im Lift",IF(BI139&gt;=1,"Lift",IF(BI139&lt;=0,"Aussenlager","teilweise")))))</f>
        <v>Lift</v>
      </c>
      <c r="BM139" s="48" t="str">
        <f aca="false">IF(A139="","",IF(BV139=1,"Neu; ","")&amp;IF(AND(BV139=0,BQ139&lt;0),"negativer Bestand (Export "&amp;BQ139&amp;"); ","")&amp;IF(J139&lt;=0,"Kein Verbrauch; ","")&amp;IF(CQ139&gt;0,"Lift "&amp;W139&amp;" lt. Liftbericht (Fach "&amp;X139&amp;" Stk); ",IF(CA139=1,"Gebinde geschätzt ("&amp;T139&amp;"); ",IF(BZ139=1,"Lose – Tablare geschätzt; ","")))&amp;IF(H139&gt;AV139,"Überbestand "&amp;ROUND(H139-AV139,0)&amp;" Stk / CHF "&amp;ROUND((H139-AV139)*G139,0)&amp;"; ","")&amp;IF(AND(CH139=1,CI139&lt;CJ139),"MAX &lt; MB+LG; ","")&amp;IF(AND(CP139&gt;0,CO139*10&gt;CP139),"zu hoch für Tablar; ","")&amp;IF(AND(BV139=0,OR(CH139=1,AA139&lt;&gt;"",U139&lt;&gt;"",V139&lt;&gt;"",AB139&lt;&gt;"")),"manuell übersteuert; ","")&amp;IF(AND(BZ139=0,R139=0),"Gebinde unbekannt / Stellmass fehlt; ","")&amp;IF(AND(BZ139=0,N(V139)&lt;=0,N(Q139)&lt;=0),"Menge pro Gebinde fehlt (Ist = 1 Gebinde); ","")&amp;BU139)</f>
        <v/>
      </c>
      <c r="BN139" s="48"/>
      <c r="BO139" s="48"/>
      <c r="BP139" s="55"/>
      <c r="BQ139" s="50" t="n">
        <v>13</v>
      </c>
      <c r="BR139" s="50" t="n">
        <v>18</v>
      </c>
      <c r="BS139" s="49" t="n">
        <v>1547.82</v>
      </c>
      <c r="BT139" s="50" t="n">
        <v>157</v>
      </c>
      <c r="BU139" s="48"/>
      <c r="BV139" s="53" t="n">
        <v>0</v>
      </c>
      <c r="BW139" s="53" t="n">
        <v>139</v>
      </c>
      <c r="BX139" s="48" t="str">
        <f aca="false">IF(U139&lt;&gt;"",UPPER(TRIM(U139)),IF(CA139=1,UPPER(VLOOKUP(T139,Parameter!$I$27:$K$29,2,0)),IF(P139="","LOSE",P139)))</f>
        <v>S71</v>
      </c>
      <c r="BY139" s="50" t="n">
        <f aca="false">IF(BX139="LOSE",1,IF(N(V139)&gt;0,V139,IF(CA139=1,MAX(1,N(VLOOKUP(T139,Parameter!$I$27:$K$29,3,0)),H139,N(N139)),IF(N(Q139)&gt;0,Q139,MAX(1,H139)))))</f>
        <v>60</v>
      </c>
      <c r="BZ139" s="53" t="n">
        <f aca="false">IF(BX139="LOSE",1,0)</f>
        <v>0</v>
      </c>
      <c r="CA139" s="53" t="n">
        <f aca="false">IF(AND(U139="",OR(P139="",P139="LOSE"),T139&lt;&gt;"",N(S139)&lt;=0,ISNUMBER(MATCH(T139,Parameter!$I$27:$I$29,0))),1,0)</f>
        <v>0</v>
      </c>
      <c r="CB139" s="53" t="n">
        <f aca="false">IF(CQ139&gt;0,INDEX(Parameter!$H$5:$H$7,W139)/INDEX(Parameter!$E$5:$E$7,W139),IF(AND(BZ139=0,N(IFERROR(VLOOKUP(BX139,'Gebinde-Kategorie'!$A$5:$N$45,14,0),0))&gt;0),VLOOKUP(BX139,'Gebinde-Kategorie'!$A$5:$N$45,14,0)*10+Parameter!$M$23,Parameter!$M$24))</f>
        <v>235</v>
      </c>
      <c r="CC139" s="48" t="str">
        <f aca="false">IF(AND(Parameter!$B$19="Ja",E139&lt;&gt;"",ISNUMBER(MATCH(E139,Parameter!$I$35:$I$52,0))),VLOOKUP(E139,Parameter!$I$35:$J$52,2,0),IFERROR(VLOOKUP(D139,Parameter!$A$35:$C$64,2,0),"Nein"))</f>
        <v>2+3</v>
      </c>
      <c r="CD139" s="52" t="n">
        <f aca="false">IF(BZ139=0,0,IF(N(S139)&gt;0,S139,IFERROR(VLOOKUP(D139,Parameter!$A$35:$C$64,3,0)+0,0)))</f>
        <v>0</v>
      </c>
      <c r="CE139" s="48" t="n">
        <f aca="false">IF(AA139&lt;&gt;"",AA139,Z139)</f>
        <v>2</v>
      </c>
      <c r="CF139" s="48" t="str">
        <f aca="false">IF(OR(CE139=1,CE139=2,CE139=3),IF(Parameter!$E$27="Ja","LIFT",IF(CE139=1,"L1","L23")),IF(CE139="Aussen","Aussen","-"))</f>
        <v>LIFT</v>
      </c>
      <c r="CG139" s="59" t="n">
        <f aca="false">IF(N(AB139)&gt;0,AB139,0)</f>
        <v>0</v>
      </c>
      <c r="CH139" s="53" t="n">
        <f aca="false">IF(ISNUMBER(AE139),1,0)</f>
        <v>0</v>
      </c>
      <c r="CI139" s="50" t="n">
        <f aca="false">N(AE139)</f>
        <v>0</v>
      </c>
      <c r="CJ139" s="50" t="n">
        <f aca="false">N(M139)+N(N139)</f>
        <v>28</v>
      </c>
      <c r="CK139" s="50" t="n">
        <f aca="false">N(M139)</f>
        <v>3</v>
      </c>
      <c r="CL139" s="50" t="n">
        <f aca="false">N(N139)</f>
        <v>25</v>
      </c>
      <c r="CM139" s="50" t="n">
        <f aca="false">ROUNDUP(H139/BY139,0)</f>
        <v>1</v>
      </c>
      <c r="CN139" s="50" t="n">
        <f aca="false">ROUNDUP(CI139/BY139,0)</f>
        <v>0</v>
      </c>
      <c r="CO139" s="53" t="n">
        <f aca="false">IF(BZ139=1,0,IFERROR(VLOOKUP(BX139,'Gebinde-Kategorie'!$A$5:$N$45,5,0)+0,0))</f>
        <v>20</v>
      </c>
      <c r="CP139" s="53" t="n">
        <f aca="false">IFERROR(IF(OR(CE139=1,CE139=2,CE139=3),N(INDEX(Parameter!$I$5:$I$7,CE139)),0),0)</f>
        <v>0</v>
      </c>
      <c r="CQ139" s="52" t="n">
        <f aca="false">IF(AND(Parameter!$B$21="Ja",ISNUMBER(W139),N(X139)&gt;0),IFERROR(N(INDEX(Parameter!$L$5:$L$7,W139))*INDEX(Parameter!$E$5:$E$7,W139)*X139/SUMIFS($X$7:$X$1843,$W$7:$W$1843,W139),0),0)</f>
        <v>0</v>
      </c>
    </row>
    <row r="140" customFormat="false" ht="15" hidden="false" customHeight="false" outlineLevel="0" collapsed="false">
      <c r="A140" s="48" t="s">
        <v>495</v>
      </c>
      <c r="B140" s="48" t="s">
        <v>496</v>
      </c>
      <c r="C140" s="48" t="s">
        <v>173</v>
      </c>
      <c r="D140" s="48" t="s">
        <v>193</v>
      </c>
      <c r="E140" s="48" t="s">
        <v>194</v>
      </c>
      <c r="F140" s="48" t="s">
        <v>227</v>
      </c>
      <c r="G140" s="49" t="n">
        <v>371.25</v>
      </c>
      <c r="H140" s="50" t="n">
        <f aca="false">MAX(0,IF(AND(Parameter!$B$21="Ja",ISNUMBER(Y140)),Y140,IF(Parameter!$B$20="Jahresanfang 2025 + Export",BR140+BQ140,BQ140)))</f>
        <v>5</v>
      </c>
      <c r="I140" s="50" t="n">
        <f aca="false">H140*G140</f>
        <v>1856.25</v>
      </c>
      <c r="J140" s="50" t="n">
        <f aca="false">BT140*Parameter!$B$18</f>
        <v>0</v>
      </c>
      <c r="K140" s="51" t="n">
        <v>3</v>
      </c>
      <c r="L140" s="52" t="n">
        <v>0</v>
      </c>
      <c r="M140" s="50" t="n">
        <v>0</v>
      </c>
      <c r="N140" s="50" t="n">
        <v>1</v>
      </c>
      <c r="O140" s="53" t="n">
        <v>21</v>
      </c>
      <c r="P140" s="48" t="s">
        <v>337</v>
      </c>
      <c r="Q140" s="50" t="n">
        <v>1</v>
      </c>
      <c r="R140" s="53" t="n">
        <f aca="false">IF(BZ140=1,0,IFERROR(VLOOKUP(BX140,'Gebinde-Kategorie'!$A$5:$N$45,13,0)+0,0))</f>
        <v>52</v>
      </c>
      <c r="S140" s="54"/>
      <c r="T140" s="55"/>
      <c r="U140" s="55"/>
      <c r="V140" s="55"/>
      <c r="W140" s="48"/>
      <c r="X140" s="50"/>
      <c r="Y140" s="50"/>
      <c r="Z140" s="48" t="n">
        <f aca="false">IF(A140="","",IF(AND(Parameter!$B$21="Ja",ISNUMBER(W140)),W140,IF(CC140="2+3",IF(ISNUMBER(SEARCH("grosser Artikel",BU140)),2,IFERROR(VLOOKUP(BX140,Parameter!$F$35:$G$64,2,0),2)),IF(OR(CC140="Nein",CC140=""),"-",CC140))))</f>
        <v>3</v>
      </c>
      <c r="AA140" s="55"/>
      <c r="AB140" s="56"/>
      <c r="AC140" s="50" t="n">
        <f aca="false">AV140</f>
        <v>1</v>
      </c>
      <c r="AD140" s="50" t="n">
        <f aca="false">MAX(AV140,H140)</f>
        <v>5</v>
      </c>
      <c r="AE140" s="57"/>
      <c r="AF140" s="50" t="n">
        <f aca="false">IF(LEFT(Cockpit!$C$5,1)="A",H140,IF(Parameter!$E$30="MAX-Bestand",IF(CH140=1,CI140,IF(LEFT(Cockpit!$C$5,1)="B",AL140,MAX(AL140,H140))),ROUNDUP(AJ140,0)))</f>
        <v>5</v>
      </c>
      <c r="AG140" s="50" t="n">
        <f aca="false">IF(BZ140=1,0,ROUNDUP(AF140/BY140,0))</f>
        <v>5</v>
      </c>
      <c r="AH140" s="52" t="n">
        <f aca="false">IF(CQ140&gt;0,CQ140*MAX(1,AF140/X140),IF(BZ140=1,IF(AF140&lt;=0,0,CD140*MAX(1,IF(H140&gt;0,AF140/H140,1))),IF(R140&gt;0,AG140/R140,0))/MAX(0.1,N(Parameter!$M$21)))</f>
        <v>0.0961538461538462</v>
      </c>
      <c r="AI140" s="50" t="n">
        <f aca="false">AH140*CB140</f>
        <v>14.9038461538462</v>
      </c>
      <c r="AJ140" s="51" t="n">
        <f aca="false">IF(LEFT(Cockpit!$C$5,1)="A",H140,IF(CH140=1,(CK140+CI140)/2,IF(LEFT(Cockpit!$C$5,1)="B",(CK140+AL140)/2,MAX((CK140+AL140)/2,H140))))</f>
        <v>5</v>
      </c>
      <c r="AK140" s="50" t="n">
        <f aca="false">AJ140*G140</f>
        <v>1856.25</v>
      </c>
      <c r="AL140" s="50" t="n">
        <f aca="false">ROUNDUP(CK140+MAX(CL140,2*(J140/IF(CG140&gt;0,CG140,MAX(0.1,N(Cockpit!$C$6)))-CK140)),0)</f>
        <v>1</v>
      </c>
      <c r="AM140" s="51" t="n">
        <f aca="false">IF(AI140&gt;0,J140/AI140,-1)</f>
        <v>0</v>
      </c>
      <c r="AN140" s="51" t="n">
        <f aca="false">IF(AND(OR(CF140="L1",CF140="L23",CF140="LIFT"),AI140&gt;0),SUMIFS($AI$7:$AI$1843,$CF$7:$CF$1843,CF140,$AM$7:$AM$1843,"&gt;"&amp;AM140)+SUMIFS($AI$7:$AI$1843,$CF$7:$CF$1843,CF140,$AM$7:$AM$1843,AM140,$BW$7:$BW$1843,"&lt;="&amp;BW140),"")</f>
        <v>27214.3536479998</v>
      </c>
      <c r="AO140" s="58" t="n">
        <f aca="false">IF(AN140="",0,MAX(0,MIN(1,(IF(CF140="L1",Parameter!$H$5,IF(CF140="L23",Parameter!$H$6+Parameter!$H$7,Parameter!$H$5+Parameter!$H$6+Parameter!$H$7))-(AN140-AI140))/AI140)))</f>
        <v>1</v>
      </c>
      <c r="AP140" s="50" t="n">
        <f aca="false">IF(LEFT(Cockpit!$I$5,1)="A",H140,IF(Parameter!$E$30="MAX-Bestand",IF(CH140=1,CI140,IF(LEFT(Cockpit!$I$5,1)="B",AV140,MAX(AV140,H140))),ROUNDUP(AT140,0)))</f>
        <v>5</v>
      </c>
      <c r="AQ140" s="50" t="n">
        <f aca="false">IF(BZ140=1,0,ROUNDUP(AP140/BY140,0))</f>
        <v>5</v>
      </c>
      <c r="AR140" s="52" t="n">
        <f aca="false">IF(CQ140&gt;0,CQ140*MAX(1,AP140/X140),IF(BZ140=1,IF(AP140&lt;=0,0,CD140*MAX(1,IF(H140&gt;0,AP140/H140,1))),IF(R140&gt;0,AQ140/R140,0))/MAX(0.1,N(Parameter!$M$21)))</f>
        <v>0.0961538461538462</v>
      </c>
      <c r="AS140" s="50" t="n">
        <f aca="false">AR140*CB140</f>
        <v>14.9038461538462</v>
      </c>
      <c r="AT140" s="51" t="n">
        <f aca="false">IF(LEFT(Cockpit!$I$5,1)="A",H140,IF(CH140=1,(CK140+CI140)/2,IF(LEFT(Cockpit!$I$5,1)="B",(CK140+AV140)/2,MAX((CK140+AV140)/2,H140))))</f>
        <v>5</v>
      </c>
      <c r="AU140" s="50" t="n">
        <f aca="false">AT140*G140</f>
        <v>1856.25</v>
      </c>
      <c r="AV140" s="50" t="n">
        <f aca="false">ROUNDUP(CK140+MAX(CL140,2*(J140/IF(CG140&gt;0,CG140,MAX(0.1,N(Cockpit!$I$6)))-CK140)),0)</f>
        <v>1</v>
      </c>
      <c r="AW140" s="51" t="n">
        <f aca="false">IF(AS140&gt;0,J140/AS140,-1)</f>
        <v>0</v>
      </c>
      <c r="AX140" s="51" t="n">
        <f aca="false">IF(AND(OR(CF140="L1",CF140="L23",CF140="LIFT"),AS140&gt;0),SUMIFS($AS$7:$AS$1843,$CF$7:$CF$1843,CF140,$AW$7:$AW$1843,"&gt;"&amp;AW140)+SUMIFS($AS$7:$AS$1843,$CF$7:$CF$1843,CF140,$AW$7:$AW$1843,AW140,$BW$7:$BW$1843,"&lt;="&amp;BW140),"")</f>
        <v>32567.5022893773</v>
      </c>
      <c r="AY140" s="58" t="n">
        <f aca="false">IF(AX140="",0,MAX(0,MIN(1,(IF(CF140="L1",Parameter!$H$5,IF(CF140="L23",Parameter!$H$6+Parameter!$H$7,Parameter!$H$5+Parameter!$H$6+Parameter!$H$7))-(AX140-AS140))/AS140)))</f>
        <v>1</v>
      </c>
      <c r="AZ140" s="50" t="n">
        <f aca="false">IF(LEFT(Cockpit!$O$5,1)="A",H140,IF(Parameter!$E$30="MAX-Bestand",IF(CH140=1,CI140,IF(LEFT(Cockpit!$O$5,1)="B",BF140,MAX(BF140,H140))),ROUNDUP(BD140,0)))</f>
        <v>1</v>
      </c>
      <c r="BA140" s="50" t="n">
        <f aca="false">IF(BZ140=1,0,ROUNDUP(AZ140/BY140,0))</f>
        <v>1</v>
      </c>
      <c r="BB140" s="52" t="n">
        <f aca="false">IF(CQ140&gt;0,CQ140*MAX(1,AZ140/X140),IF(BZ140=1,IF(AZ140&lt;=0,0,CD140*MAX(1,IF(H140&gt;0,AZ140/H140,1))),IF(R140&gt;0,BA140/R140,0))/MAX(0.1,N(Parameter!$M$21)))</f>
        <v>0.0192307692307692</v>
      </c>
      <c r="BC140" s="50" t="n">
        <f aca="false">BB140*CB140</f>
        <v>2.98076923076923</v>
      </c>
      <c r="BD140" s="51" t="n">
        <f aca="false">IF(LEFT(Cockpit!$O$5,1)="A",H140,IF(CH140=1,(CK140+CI140)/2,IF(LEFT(Cockpit!$O$5,1)="B",(CK140+BF140)/2,MAX((CK140+BF140)/2,H140))))</f>
        <v>0.5</v>
      </c>
      <c r="BE140" s="50" t="n">
        <f aca="false">BD140*G140</f>
        <v>185.625</v>
      </c>
      <c r="BF140" s="50" t="n">
        <f aca="false">ROUNDUP(CK140+MAX(CL140,2*(J140/IF(CG140&gt;0,CG140,MAX(0.1,N(Cockpit!$O$6)))-CK140)),0)</f>
        <v>1</v>
      </c>
      <c r="BG140" s="51" t="n">
        <f aca="false">IF(BC140&gt;0,J140/BC140,-1)</f>
        <v>0</v>
      </c>
      <c r="BH140" s="51" t="n">
        <f aca="false">IF(AND(OR(CF140="L1",CF140="L23",CF140="LIFT"),BC140&gt;0),SUMIFS($BC$7:$BC$1843,$CF$7:$CF$1843,CF140,$BG$7:$BG$1843,"&gt;"&amp;BG140)+SUMIFS($BC$7:$BC$1843,$CF$7:$CF$1843,CF140,$BG$7:$BG$1843,BG140,$BW$7:$BW$1843,"&lt;="&amp;BW140),"")</f>
        <v>26731.7443890855</v>
      </c>
      <c r="BI140" s="58" t="n">
        <f aca="false">IF(BH140="",0,MAX(0,MIN(1,(IF(CF140="L1",Parameter!$H$5,IF(CF140="L23",Parameter!$H$6+Parameter!$H$7,Parameter!$H$5+Parameter!$H$6+Parameter!$H$7))-(BH140-BC140))/BC140)))</f>
        <v>1</v>
      </c>
      <c r="BJ140" s="48" t="str">
        <f aca="false">IF(AI140&lt;=0,"",IF(CF140="Aussen","Aussenlager",IF(CF140="-","Nicht im Lift",IF(AO140&gt;=1,"Lift",IF(AO140&lt;=0,"Aussenlager","teilweise")))))</f>
        <v>Lift</v>
      </c>
      <c r="BK140" s="48" t="str">
        <f aca="false">IF(AS140&lt;=0,"",IF(CF140="Aussen","Aussenlager",IF(CF140="-","Nicht im Lift",IF(AY140&gt;=1,"Lift",IF(AY140&lt;=0,"Aussenlager","teilweise")))))</f>
        <v>Lift</v>
      </c>
      <c r="BL140" s="48" t="str">
        <f aca="false">IF(BC140&lt;=0,"",IF(CF140="Aussen","Aussenlager",IF(CF140="-","Nicht im Lift",IF(BI140&gt;=1,"Lift",IF(BI140&lt;=0,"Aussenlager","teilweise")))))</f>
        <v>Lift</v>
      </c>
      <c r="BM140" s="48" t="str">
        <f aca="false">IF(A140="","",IF(BV140=1,"Neu; ","")&amp;IF(AND(BV140=0,BQ140&lt;0),"negativer Bestand (Export "&amp;BQ140&amp;"); ","")&amp;IF(J140&lt;=0,"Kein Verbrauch; ","")&amp;IF(CQ140&gt;0,"Lift "&amp;W140&amp;" lt. Liftbericht (Fach "&amp;X140&amp;" Stk); ",IF(CA140=1,"Gebinde geschätzt ("&amp;T140&amp;"); ",IF(BZ140=1,"Lose – Tablare geschätzt; ","")))&amp;IF(H140&gt;AV140,"Überbestand "&amp;ROUND(H140-AV140,0)&amp;" Stk / CHF "&amp;ROUND((H140-AV140)*G140,0)&amp;"; ","")&amp;IF(AND(CH140=1,CI140&lt;CJ140),"MAX &lt; MB+LG; ","")&amp;IF(AND(CP140&gt;0,CO140*10&gt;CP140),"zu hoch für Tablar; ","")&amp;IF(AND(BV140=0,OR(CH140=1,AA140&lt;&gt;"",U140&lt;&gt;"",V140&lt;&gt;"",AB140&lt;&gt;"")),"manuell übersteuert; ","")&amp;IF(AND(BZ140=0,R140=0),"Gebinde unbekannt / Stellmass fehlt; ","")&amp;IF(AND(BZ140=0,N(V140)&lt;=0,N(Q140)&lt;=0),"Menge pro Gebinde fehlt (Ist = 1 Gebinde); ","")&amp;BU140)</f>
        <v>Kein Verbrauch; Überbestand 4 Stk / CHF 1485; </v>
      </c>
      <c r="BN140" s="48"/>
      <c r="BO140" s="48"/>
      <c r="BP140" s="55"/>
      <c r="BQ140" s="50" t="n">
        <v>4</v>
      </c>
      <c r="BR140" s="50" t="n">
        <v>1</v>
      </c>
      <c r="BS140" s="49" t="n">
        <v>1487.25</v>
      </c>
      <c r="BT140" s="50" t="n">
        <v>0</v>
      </c>
      <c r="BU140" s="48"/>
      <c r="BV140" s="53" t="n">
        <v>0</v>
      </c>
      <c r="BW140" s="53" t="n">
        <v>140</v>
      </c>
      <c r="BX140" s="48" t="str">
        <f aca="false">IF(U140&lt;&gt;"",UPPER(TRIM(U140)),IF(CA140=1,UPPER(VLOOKUP(T140,Parameter!$I$27:$K$29,2,0)),IF(P140="","LOSE",P140)))</f>
        <v>S41</v>
      </c>
      <c r="BY140" s="50" t="n">
        <f aca="false">IF(BX140="LOSE",1,IF(N(V140)&gt;0,V140,IF(CA140=1,MAX(1,N(VLOOKUP(T140,Parameter!$I$27:$K$29,3,0)),H140,N(N140)),IF(N(Q140)&gt;0,Q140,MAX(1,H140)))))</f>
        <v>1</v>
      </c>
      <c r="BZ140" s="53" t="n">
        <f aca="false">IF(BX140="LOSE",1,0)</f>
        <v>0</v>
      </c>
      <c r="CA140" s="53" t="n">
        <f aca="false">IF(AND(U140="",OR(P140="",P140="LOSE"),T140&lt;&gt;"",N(S140)&lt;=0,ISNUMBER(MATCH(T140,Parameter!$I$27:$I$29,0))),1,0)</f>
        <v>0</v>
      </c>
      <c r="CB140" s="53" t="n">
        <f aca="false">IF(CQ140&gt;0,INDEX(Parameter!$H$5:$H$7,W140)/INDEX(Parameter!$E$5:$E$7,W140),IF(AND(BZ140=0,N(IFERROR(VLOOKUP(BX140,'Gebinde-Kategorie'!$A$5:$N$45,14,0),0))&gt;0),VLOOKUP(BX140,'Gebinde-Kategorie'!$A$5:$N$45,14,0)*10+Parameter!$M$23,Parameter!$M$24))</f>
        <v>155</v>
      </c>
      <c r="CC140" s="48" t="str">
        <f aca="false">IF(AND(Parameter!$B$19="Ja",E140&lt;&gt;"",ISNUMBER(MATCH(E140,Parameter!$I$35:$I$52,0))),VLOOKUP(E140,Parameter!$I$35:$J$52,2,0),IFERROR(VLOOKUP(D140,Parameter!$A$35:$C$64,2,0),"Nein"))</f>
        <v>2+3</v>
      </c>
      <c r="CD140" s="52" t="n">
        <f aca="false">IF(BZ140=0,0,IF(N(S140)&gt;0,S140,IFERROR(VLOOKUP(D140,Parameter!$A$35:$C$64,3,0)+0,0)))</f>
        <v>0</v>
      </c>
      <c r="CE140" s="48" t="n">
        <f aca="false">IF(AA140&lt;&gt;"",AA140,Z140)</f>
        <v>3</v>
      </c>
      <c r="CF140" s="48" t="str">
        <f aca="false">IF(OR(CE140=1,CE140=2,CE140=3),IF(Parameter!$E$27="Ja","LIFT",IF(CE140=1,"L1","L23")),IF(CE140="Aussen","Aussen","-"))</f>
        <v>LIFT</v>
      </c>
      <c r="CG140" s="59" t="n">
        <f aca="false">IF(N(AB140)&gt;0,AB140,0)</f>
        <v>0</v>
      </c>
      <c r="CH140" s="53" t="n">
        <f aca="false">IF(ISNUMBER(AE140),1,0)</f>
        <v>0</v>
      </c>
      <c r="CI140" s="50" t="n">
        <f aca="false">N(AE140)</f>
        <v>0</v>
      </c>
      <c r="CJ140" s="50" t="n">
        <f aca="false">N(M140)+N(N140)</f>
        <v>1</v>
      </c>
      <c r="CK140" s="50" t="n">
        <f aca="false">N(M140)</f>
        <v>0</v>
      </c>
      <c r="CL140" s="50" t="n">
        <f aca="false">N(N140)</f>
        <v>1</v>
      </c>
      <c r="CM140" s="50" t="n">
        <f aca="false">ROUNDUP(H140/BY140,0)</f>
        <v>5</v>
      </c>
      <c r="CN140" s="50" t="n">
        <f aca="false">ROUNDUP(CI140/BY140,0)</f>
        <v>0</v>
      </c>
      <c r="CO140" s="53" t="n">
        <f aca="false">IF(BZ140=1,0,IFERROR(VLOOKUP(BX140,'Gebinde-Kategorie'!$A$5:$N$45,5,0)+0,0))</f>
        <v>11</v>
      </c>
      <c r="CP140" s="53" t="n">
        <f aca="false">IFERROR(IF(OR(CE140=1,CE140=2,CE140=3),N(INDEX(Parameter!$I$5:$I$7,CE140)),0),0)</f>
        <v>0</v>
      </c>
      <c r="CQ140" s="52" t="n">
        <f aca="false">IF(AND(Parameter!$B$21="Ja",ISNUMBER(W140),N(X140)&gt;0),IFERROR(N(INDEX(Parameter!$L$5:$L$7,W140))*INDEX(Parameter!$E$5:$E$7,W140)*X140/SUMIFS($X$7:$X$1843,$W$7:$W$1843,W140),0),0)</f>
        <v>0</v>
      </c>
    </row>
    <row r="141" customFormat="false" ht="15" hidden="false" customHeight="false" outlineLevel="0" collapsed="false">
      <c r="A141" s="48" t="s">
        <v>497</v>
      </c>
      <c r="B141" s="48" t="s">
        <v>498</v>
      </c>
      <c r="C141" s="48" t="s">
        <v>173</v>
      </c>
      <c r="D141" s="48" t="s">
        <v>193</v>
      </c>
      <c r="E141" s="48" t="s">
        <v>194</v>
      </c>
      <c r="F141" s="48" t="s">
        <v>227</v>
      </c>
      <c r="G141" s="49" t="n">
        <v>1.64</v>
      </c>
      <c r="H141" s="50" t="n">
        <f aca="false">MAX(0,IF(AND(Parameter!$B$21="Ja",ISNUMBER(Y141)),Y141,IF(Parameter!$B$20="Jahresanfang 2025 + Export",BR141+BQ141,BQ141)))</f>
        <v>1539</v>
      </c>
      <c r="I141" s="50" t="n">
        <f aca="false">H141*G141</f>
        <v>2523.96</v>
      </c>
      <c r="J141" s="50" t="n">
        <f aca="false">BT141*Parameter!$B$18</f>
        <v>4228</v>
      </c>
      <c r="K141" s="51" t="n">
        <v>1050.5</v>
      </c>
      <c r="L141" s="52" t="n">
        <v>4.02475011899096</v>
      </c>
      <c r="M141" s="50" t="n">
        <v>83</v>
      </c>
      <c r="N141" s="50" t="n">
        <v>2500</v>
      </c>
      <c r="O141" s="53" t="n">
        <v>7</v>
      </c>
      <c r="P141" s="48" t="s">
        <v>235</v>
      </c>
      <c r="Q141" s="50" t="n">
        <v>3358</v>
      </c>
      <c r="R141" s="53" t="n">
        <f aca="false">IF(BZ141=1,0,IFERROR(VLOOKUP(BX141,'Gebinde-Kategorie'!$A$5:$N$45,13,0)+0,0))</f>
        <v>12</v>
      </c>
      <c r="S141" s="54"/>
      <c r="T141" s="55"/>
      <c r="U141" s="55"/>
      <c r="V141" s="55"/>
      <c r="W141" s="48"/>
      <c r="X141" s="50"/>
      <c r="Y141" s="50"/>
      <c r="Z141" s="48" t="n">
        <f aca="false">IF(A141="","",IF(AND(Parameter!$B$21="Ja",ISNUMBER(W141)),W141,IF(CC141="2+3",IF(ISNUMBER(SEARCH("grosser Artikel",BU141)),2,IFERROR(VLOOKUP(BX141,Parameter!$F$35:$G$64,2,0),2)),IF(OR(CC141="Nein",CC141=""),"-",CC141))))</f>
        <v>2</v>
      </c>
      <c r="AA141" s="55"/>
      <c r="AB141" s="56"/>
      <c r="AC141" s="50" t="n">
        <f aca="false">AV141</f>
        <v>2736</v>
      </c>
      <c r="AD141" s="50" t="n">
        <f aca="false">MAX(AV141,H141)</f>
        <v>2736</v>
      </c>
      <c r="AE141" s="57"/>
      <c r="AF141" s="50" t="n">
        <f aca="false">IF(LEFT(Cockpit!$C$5,1)="A",H141,IF(Parameter!$E$30="MAX-Bestand",IF(CH141=1,CI141,IF(LEFT(Cockpit!$C$5,1)="B",AL141,MAX(AL141,H141))),ROUNDUP(AJ141,0)))</f>
        <v>1539</v>
      </c>
      <c r="AG141" s="50" t="n">
        <f aca="false">IF(BZ141=1,0,ROUNDUP(AF141/BY141,0))</f>
        <v>1</v>
      </c>
      <c r="AH141" s="52" t="n">
        <f aca="false">IF(CQ141&gt;0,CQ141*MAX(1,AF141/X141),IF(BZ141=1,IF(AF141&lt;=0,0,CD141*MAX(1,IF(H141&gt;0,AF141/H141,1))),IF(R141&gt;0,AG141/R141,0))/MAX(0.1,N(Parameter!$M$21)))</f>
        <v>0.0833333333333333</v>
      </c>
      <c r="AI141" s="50" t="n">
        <f aca="false">AH141*CB141</f>
        <v>28.75</v>
      </c>
      <c r="AJ141" s="51" t="n">
        <f aca="false">IF(LEFT(Cockpit!$C$5,1)="A",H141,IF(CH141=1,(CK141+CI141)/2,IF(LEFT(Cockpit!$C$5,1)="B",(CK141+AL141)/2,MAX((CK141+AL141)/2,H141))))</f>
        <v>1539</v>
      </c>
      <c r="AK141" s="50" t="n">
        <f aca="false">AJ141*G141</f>
        <v>2523.96</v>
      </c>
      <c r="AL141" s="50" t="n">
        <f aca="false">ROUNDUP(CK141+MAX(CL141,2*(J141/IF(CG141&gt;0,CG141,MAX(0.1,N(Cockpit!$C$6)))-CK141)),0)</f>
        <v>2736</v>
      </c>
      <c r="AM141" s="51" t="n">
        <f aca="false">IF(AI141&gt;0,J141/AI141,-1)</f>
        <v>147.060869565217</v>
      </c>
      <c r="AN141" s="51" t="n">
        <f aca="false">IF(AND(OR(CF141="L1",CF141="L23",CF141="LIFT"),AI141&gt;0),SUMIFS($AI$7:$AI$1843,$CF$7:$CF$1843,CF141,$AM$7:$AM$1843,"&gt;"&amp;AM141)+SUMIFS($AI$7:$AI$1843,$CF$7:$CF$1843,CF141,$AM$7:$AM$1843,AM141,$BW$7:$BW$1843,"&lt;="&amp;BW141),"")</f>
        <v>494.876831501832</v>
      </c>
      <c r="AO141" s="58" t="n">
        <f aca="false">IF(AN141="",0,MAX(0,MIN(1,(IF(CF141="L1",Parameter!$H$5,IF(CF141="L23",Parameter!$H$6+Parameter!$H$7,Parameter!$H$5+Parameter!$H$6+Parameter!$H$7))-(AN141-AI141))/AI141)))</f>
        <v>1</v>
      </c>
      <c r="AP141" s="50" t="n">
        <f aca="false">IF(LEFT(Cockpit!$I$5,1)="A",H141,IF(Parameter!$E$30="MAX-Bestand",IF(CH141=1,CI141,IF(LEFT(Cockpit!$I$5,1)="B",AV141,MAX(AV141,H141))),ROUNDUP(AT141,0)))</f>
        <v>1539</v>
      </c>
      <c r="AQ141" s="50" t="n">
        <f aca="false">IF(BZ141=1,0,ROUNDUP(AP141/BY141,0))</f>
        <v>1</v>
      </c>
      <c r="AR141" s="52" t="n">
        <f aca="false">IF(CQ141&gt;0,CQ141*MAX(1,AP141/X141),IF(BZ141=1,IF(AP141&lt;=0,0,CD141*MAX(1,IF(H141&gt;0,AP141/H141,1))),IF(R141&gt;0,AQ141/R141,0))/MAX(0.1,N(Parameter!$M$21)))</f>
        <v>0.0833333333333333</v>
      </c>
      <c r="AS141" s="50" t="n">
        <f aca="false">AR141*CB141</f>
        <v>28.75</v>
      </c>
      <c r="AT141" s="51" t="n">
        <f aca="false">IF(LEFT(Cockpit!$I$5,1)="A",H141,IF(CH141=1,(CK141+CI141)/2,IF(LEFT(Cockpit!$I$5,1)="B",(CK141+AV141)/2,MAX((CK141+AV141)/2,H141))))</f>
        <v>1539</v>
      </c>
      <c r="AU141" s="50" t="n">
        <f aca="false">AT141*G141</f>
        <v>2523.96</v>
      </c>
      <c r="AV141" s="50" t="n">
        <f aca="false">ROUNDUP(CK141+MAX(CL141,2*(J141/IF(CG141&gt;0,CG141,MAX(0.1,N(Cockpit!$I$6)))-CK141)),0)</f>
        <v>2736</v>
      </c>
      <c r="AW141" s="51" t="n">
        <f aca="false">IF(AS141&gt;0,J141/AS141,-1)</f>
        <v>147.060869565217</v>
      </c>
      <c r="AX141" s="51" t="n">
        <f aca="false">IF(AND(OR(CF141="L1",CF141="L23",CF141="LIFT"),AS141&gt;0),SUMIFS($AS$7:$AS$1843,$CF$7:$CF$1843,CF141,$AW$7:$AW$1843,"&gt;"&amp;AW141)+SUMIFS($AS$7:$AS$1843,$CF$7:$CF$1843,CF141,$AW$7:$AW$1843,AW141,$BW$7:$BW$1843,"&lt;="&amp;BW141),"")</f>
        <v>612.513736263736</v>
      </c>
      <c r="AY141" s="58" t="n">
        <f aca="false">IF(AX141="",0,MAX(0,MIN(1,(IF(CF141="L1",Parameter!$H$5,IF(CF141="L23",Parameter!$H$6+Parameter!$H$7,Parameter!$H$5+Parameter!$H$6+Parameter!$H$7))-(AX141-AS141))/AS141)))</f>
        <v>1</v>
      </c>
      <c r="AZ141" s="50" t="n">
        <f aca="false">IF(LEFT(Cockpit!$O$5,1)="A",H141,IF(Parameter!$E$30="MAX-Bestand",IF(CH141=1,CI141,IF(LEFT(Cockpit!$O$5,1)="B",BF141,MAX(BF141,H141))),ROUNDUP(BD141,0)))</f>
        <v>1333</v>
      </c>
      <c r="BA141" s="50" t="n">
        <f aca="false">IF(BZ141=1,0,ROUNDUP(AZ141/BY141,0))</f>
        <v>1</v>
      </c>
      <c r="BB141" s="52" t="n">
        <f aca="false">IF(CQ141&gt;0,CQ141*MAX(1,AZ141/X141),IF(BZ141=1,IF(AZ141&lt;=0,0,CD141*MAX(1,IF(H141&gt;0,AZ141/H141,1))),IF(R141&gt;0,BA141/R141,0))/MAX(0.1,N(Parameter!$M$21)))</f>
        <v>0.0833333333333333</v>
      </c>
      <c r="BC141" s="50" t="n">
        <f aca="false">BB141*CB141</f>
        <v>28.75</v>
      </c>
      <c r="BD141" s="51" t="n">
        <f aca="false">IF(LEFT(Cockpit!$O$5,1)="A",H141,IF(CH141=1,(CK141+CI141)/2,IF(LEFT(Cockpit!$O$5,1)="B",(CK141+BF141)/2,MAX((CK141+BF141)/2,H141))))</f>
        <v>1333</v>
      </c>
      <c r="BE141" s="50" t="n">
        <f aca="false">BD141*G141</f>
        <v>2186.12</v>
      </c>
      <c r="BF141" s="50" t="n">
        <f aca="false">ROUNDUP(CK141+MAX(CL141,2*(J141/IF(CG141&gt;0,CG141,MAX(0.1,N(Cockpit!$O$6)))-CK141)),0)</f>
        <v>2583</v>
      </c>
      <c r="BG141" s="51" t="n">
        <f aca="false">IF(BC141&gt;0,J141/BC141,-1)</f>
        <v>147.060869565217</v>
      </c>
      <c r="BH141" s="51" t="n">
        <f aca="false">IF(AND(OR(CF141="L1",CF141="L23",CF141="LIFT"),BC141&gt;0),SUMIFS($BC$7:$BC$1843,$CF$7:$CF$1843,CF141,$BG$7:$BG$1843,"&gt;"&amp;BG141)+SUMIFS($BC$7:$BC$1843,$CF$7:$CF$1843,CF141,$BG$7:$BG$1843,BG141,$BW$7:$BW$1843,"&lt;="&amp;BW141),"")</f>
        <v>576.673076923077</v>
      </c>
      <c r="BI141" s="58" t="n">
        <f aca="false">IF(BH141="",0,MAX(0,MIN(1,(IF(CF141="L1",Parameter!$H$5,IF(CF141="L23",Parameter!$H$6+Parameter!$H$7,Parameter!$H$5+Parameter!$H$6+Parameter!$H$7))-(BH141-BC141))/BC141)))</f>
        <v>1</v>
      </c>
      <c r="BJ141" s="48" t="str">
        <f aca="false">IF(AI141&lt;=0,"",IF(CF141="Aussen","Aussenlager",IF(CF141="-","Nicht im Lift",IF(AO141&gt;=1,"Lift",IF(AO141&lt;=0,"Aussenlager","teilweise")))))</f>
        <v>Lift</v>
      </c>
      <c r="BK141" s="48" t="str">
        <f aca="false">IF(AS141&lt;=0,"",IF(CF141="Aussen","Aussenlager",IF(CF141="-","Nicht im Lift",IF(AY141&gt;=1,"Lift",IF(AY141&lt;=0,"Aussenlager","teilweise")))))</f>
        <v>Lift</v>
      </c>
      <c r="BL141" s="48" t="str">
        <f aca="false">IF(BC141&lt;=0,"",IF(CF141="Aussen","Aussenlager",IF(CF141="-","Nicht im Lift",IF(BI141&gt;=1,"Lift",IF(BI141&lt;=0,"Aussenlager","teilweise")))))</f>
        <v>Lift</v>
      </c>
      <c r="BM141" s="48" t="str">
        <f aca="false">IF(A141="","",IF(BV141=1,"Neu; ","")&amp;IF(AND(BV141=0,BQ141&lt;0),"negativer Bestand (Export "&amp;BQ141&amp;"); ","")&amp;IF(J141&lt;=0,"Kein Verbrauch; ","")&amp;IF(CQ141&gt;0,"Lift "&amp;W141&amp;" lt. Liftbericht (Fach "&amp;X141&amp;" Stk); ",IF(CA141=1,"Gebinde geschätzt ("&amp;T141&amp;"); ",IF(BZ141=1,"Lose – Tablare geschätzt; ","")))&amp;IF(H141&gt;AV141,"Überbestand "&amp;ROUND(H141-AV141,0)&amp;" Stk / CHF "&amp;ROUND((H141-AV141)*G141,0)&amp;"; ","")&amp;IF(AND(CH141=1,CI141&lt;CJ141),"MAX &lt; MB+LG; ","")&amp;IF(AND(CP141&gt;0,CO141*10&gt;CP141),"zu hoch für Tablar; ","")&amp;IF(AND(BV141=0,OR(CH141=1,AA141&lt;&gt;"",U141&lt;&gt;"",V141&lt;&gt;"",AB141&lt;&gt;"")),"manuell übersteuert; ","")&amp;IF(AND(BZ141=0,R141=0),"Gebinde unbekannt / Stellmass fehlt; ","")&amp;IF(AND(BZ141=0,N(V141)&lt;=0,N(Q141)&lt;=0),"Menge pro Gebinde fehlt (Ist = 1 Gebinde); ","")&amp;BU141)</f>
        <v/>
      </c>
      <c r="BN141" s="48"/>
      <c r="BO141" s="48"/>
      <c r="BP141" s="55"/>
      <c r="BQ141" s="50" t="n">
        <v>902</v>
      </c>
      <c r="BR141" s="50" t="n">
        <v>637</v>
      </c>
      <c r="BS141" s="49" t="n">
        <v>1466.8</v>
      </c>
      <c r="BT141" s="50" t="n">
        <v>4228</v>
      </c>
      <c r="BU141" s="48"/>
      <c r="BV141" s="53" t="n">
        <v>0</v>
      </c>
      <c r="BW141" s="53" t="n">
        <v>141</v>
      </c>
      <c r="BX141" s="48" t="str">
        <f aca="false">IF(U141&lt;&gt;"",UPPER(TRIM(U141)),IF(CA141=1,UPPER(VLOOKUP(T141,Parameter!$I$27:$K$29,2,0)),IF(P141="","LOSE",P141)))</f>
        <v>S63</v>
      </c>
      <c r="BY141" s="50" t="n">
        <f aca="false">IF(BX141="LOSE",1,IF(N(V141)&gt;0,V141,IF(CA141=1,MAX(1,N(VLOOKUP(T141,Parameter!$I$27:$K$29,3,0)),H141,N(N141)),IF(N(Q141)&gt;0,Q141,MAX(1,H141)))))</f>
        <v>3358</v>
      </c>
      <c r="BZ141" s="53" t="n">
        <f aca="false">IF(BX141="LOSE",1,0)</f>
        <v>0</v>
      </c>
      <c r="CA141" s="53" t="n">
        <f aca="false">IF(AND(U141="",OR(P141="",P141="LOSE"),T141&lt;&gt;"",N(S141)&lt;=0,ISNUMBER(MATCH(T141,Parameter!$I$27:$I$29,0))),1,0)</f>
        <v>0</v>
      </c>
      <c r="CB141" s="53" t="n">
        <f aca="false">IF(CQ141&gt;0,INDEX(Parameter!$H$5:$H$7,W141)/INDEX(Parameter!$E$5:$E$7,W141),IF(AND(BZ141=0,N(IFERROR(VLOOKUP(BX141,'Gebinde-Kategorie'!$A$5:$N$45,14,0),0))&gt;0),VLOOKUP(BX141,'Gebinde-Kategorie'!$A$5:$N$45,14,0)*10+Parameter!$M$23,Parameter!$M$24))</f>
        <v>345</v>
      </c>
      <c r="CC141" s="48" t="str">
        <f aca="false">IF(AND(Parameter!$B$19="Ja",E141&lt;&gt;"",ISNUMBER(MATCH(E141,Parameter!$I$35:$I$52,0))),VLOOKUP(E141,Parameter!$I$35:$J$52,2,0),IFERROR(VLOOKUP(D141,Parameter!$A$35:$C$64,2,0),"Nein"))</f>
        <v>2+3</v>
      </c>
      <c r="CD141" s="52" t="n">
        <f aca="false">IF(BZ141=0,0,IF(N(S141)&gt;0,S141,IFERROR(VLOOKUP(D141,Parameter!$A$35:$C$64,3,0)+0,0)))</f>
        <v>0</v>
      </c>
      <c r="CE141" s="48" t="n">
        <f aca="false">IF(AA141&lt;&gt;"",AA141,Z141)</f>
        <v>2</v>
      </c>
      <c r="CF141" s="48" t="str">
        <f aca="false">IF(OR(CE141=1,CE141=2,CE141=3),IF(Parameter!$E$27="Ja","LIFT",IF(CE141=1,"L1","L23")),IF(CE141="Aussen","Aussen","-"))</f>
        <v>LIFT</v>
      </c>
      <c r="CG141" s="59" t="n">
        <f aca="false">IF(N(AB141)&gt;0,AB141,0)</f>
        <v>0</v>
      </c>
      <c r="CH141" s="53" t="n">
        <f aca="false">IF(ISNUMBER(AE141),1,0)</f>
        <v>0</v>
      </c>
      <c r="CI141" s="50" t="n">
        <f aca="false">N(AE141)</f>
        <v>0</v>
      </c>
      <c r="CJ141" s="50" t="n">
        <f aca="false">N(M141)+N(N141)</f>
        <v>2583</v>
      </c>
      <c r="CK141" s="50" t="n">
        <f aca="false">N(M141)</f>
        <v>83</v>
      </c>
      <c r="CL141" s="50" t="n">
        <f aca="false">N(N141)</f>
        <v>2500</v>
      </c>
      <c r="CM141" s="50" t="n">
        <f aca="false">ROUNDUP(H141/BY141,0)</f>
        <v>1</v>
      </c>
      <c r="CN141" s="50" t="n">
        <f aca="false">ROUNDUP(CI141/BY141,0)</f>
        <v>0</v>
      </c>
      <c r="CO141" s="53" t="n">
        <f aca="false">IF(BZ141=1,0,IFERROR(VLOOKUP(BX141,'Gebinde-Kategorie'!$A$5:$N$45,5,0)+0,0))</f>
        <v>31</v>
      </c>
      <c r="CP141" s="53" t="n">
        <f aca="false">IFERROR(IF(OR(CE141=1,CE141=2,CE141=3),N(INDEX(Parameter!$I$5:$I$7,CE141)),0),0)</f>
        <v>0</v>
      </c>
      <c r="CQ141" s="52" t="n">
        <f aca="false">IF(AND(Parameter!$B$21="Ja",ISNUMBER(W141),N(X141)&gt;0),IFERROR(N(INDEX(Parameter!$L$5:$L$7,W141))*INDEX(Parameter!$E$5:$E$7,W141)*X141/SUMIFS($X$7:$X$1843,$W$7:$W$1843,W141),0),0)</f>
        <v>0</v>
      </c>
    </row>
    <row r="142" customFormat="false" ht="15" hidden="false" customHeight="false" outlineLevel="0" collapsed="false">
      <c r="A142" s="48" t="s">
        <v>499</v>
      </c>
      <c r="B142" s="48" t="s">
        <v>500</v>
      </c>
      <c r="C142" s="48" t="s">
        <v>173</v>
      </c>
      <c r="D142" s="48" t="s">
        <v>182</v>
      </c>
      <c r="E142" s="48"/>
      <c r="F142" s="48" t="s">
        <v>227</v>
      </c>
      <c r="G142" s="49" t="n">
        <v>365.35</v>
      </c>
      <c r="H142" s="50" t="n">
        <f aca="false">MAX(0,IF(AND(Parameter!$B$21="Ja",ISNUMBER(Y142)),Y142,IF(Parameter!$B$20="Jahresanfang 2025 + Export",BR142+BQ142,BQ142)))</f>
        <v>4</v>
      </c>
      <c r="I142" s="50" t="n">
        <f aca="false">H142*G142</f>
        <v>1461.4</v>
      </c>
      <c r="J142" s="50" t="n">
        <f aca="false">BT142*Parameter!$B$18</f>
        <v>0</v>
      </c>
      <c r="K142" s="51" t="n">
        <v>0</v>
      </c>
      <c r="L142" s="52" t="n">
        <v>0</v>
      </c>
      <c r="M142" s="50" t="n">
        <v>0</v>
      </c>
      <c r="N142" s="50" t="n">
        <v>1</v>
      </c>
      <c r="O142" s="53" t="n">
        <v>14</v>
      </c>
      <c r="P142" s="48" t="s">
        <v>177</v>
      </c>
      <c r="Q142" s="50"/>
      <c r="R142" s="53" t="n">
        <f aca="false">IF(BZ142=1,0,IFERROR(VLOOKUP(BX142,'Gebinde-Kategorie'!$A$5:$N$45,13,0)+0,0))</f>
        <v>4</v>
      </c>
      <c r="S142" s="54"/>
      <c r="T142" s="55" t="s">
        <v>198</v>
      </c>
      <c r="U142" s="55"/>
      <c r="V142" s="55"/>
      <c r="W142" s="48"/>
      <c r="X142" s="50"/>
      <c r="Y142" s="50"/>
      <c r="Z142" s="48" t="n">
        <f aca="false">IF(A142="","",IF(AND(Parameter!$B$21="Ja",ISNUMBER(W142)),W142,IF(CC142="2+3",IF(ISNUMBER(SEARCH("grosser Artikel",BU142)),2,IFERROR(VLOOKUP(BX142,Parameter!$F$35:$G$64,2,0),2)),IF(OR(CC142="Nein",CC142=""),"-",CC142))))</f>
        <v>2</v>
      </c>
      <c r="AA142" s="55"/>
      <c r="AB142" s="56"/>
      <c r="AC142" s="50" t="n">
        <f aca="false">AV142</f>
        <v>1</v>
      </c>
      <c r="AD142" s="50" t="n">
        <f aca="false">MAX(AV142,H142)</f>
        <v>4</v>
      </c>
      <c r="AE142" s="57"/>
      <c r="AF142" s="50" t="n">
        <f aca="false">IF(LEFT(Cockpit!$C$5,1)="A",H142,IF(Parameter!$E$30="MAX-Bestand",IF(CH142=1,CI142,IF(LEFT(Cockpit!$C$5,1)="B",AL142,MAX(AL142,H142))),ROUNDUP(AJ142,0)))</f>
        <v>4</v>
      </c>
      <c r="AG142" s="50" t="n">
        <f aca="false">IF(BZ142=1,0,ROUNDUP(AF142/BY142,0))</f>
        <v>1</v>
      </c>
      <c r="AH142" s="52" t="n">
        <f aca="false">IF(CQ142&gt;0,CQ142*MAX(1,AF142/X142),IF(BZ142=1,IF(AF142&lt;=0,0,CD142*MAX(1,IF(H142&gt;0,AF142/H142,1))),IF(R142&gt;0,AG142/R142,0))/MAX(0.1,N(Parameter!$M$21)))</f>
        <v>0.25</v>
      </c>
      <c r="AI142" s="50" t="n">
        <f aca="false">AH142*CB142</f>
        <v>58.75</v>
      </c>
      <c r="AJ142" s="51" t="n">
        <f aca="false">IF(LEFT(Cockpit!$C$5,1)="A",H142,IF(CH142=1,(CK142+CI142)/2,IF(LEFT(Cockpit!$C$5,1)="B",(CK142+AL142)/2,MAX((CK142+AL142)/2,H142))))</f>
        <v>4</v>
      </c>
      <c r="AK142" s="50" t="n">
        <f aca="false">AJ142*G142</f>
        <v>1461.4</v>
      </c>
      <c r="AL142" s="50" t="n">
        <f aca="false">ROUNDUP(CK142+MAX(CL142,2*(J142/IF(CG142&gt;0,CG142,MAX(0.1,N(Cockpit!$C$6)))-CK142)),0)</f>
        <v>1</v>
      </c>
      <c r="AM142" s="51" t="n">
        <f aca="false">IF(AI142&gt;0,J142/AI142,-1)</f>
        <v>0</v>
      </c>
      <c r="AN142" s="51" t="n">
        <f aca="false">IF(AND(OR(CF142="L1",CF142="L23",CF142="LIFT"),AI142&gt;0),SUMIFS($AI$7:$AI$1843,$CF$7:$CF$1843,CF142,$AM$7:$AM$1843,"&gt;"&amp;AM142)+SUMIFS($AI$7:$AI$1843,$CF$7:$CF$1843,CF142,$AM$7:$AM$1843,AM142,$BW$7:$BW$1843,"&lt;="&amp;BW142),"")</f>
        <v>27273.1036479998</v>
      </c>
      <c r="AO142" s="58" t="n">
        <f aca="false">IF(AN142="",0,MAX(0,MIN(1,(IF(CF142="L1",Parameter!$H$5,IF(CF142="L23",Parameter!$H$6+Parameter!$H$7,Parameter!$H$5+Parameter!$H$6+Parameter!$H$7))-(AN142-AI142))/AI142)))</f>
        <v>1</v>
      </c>
      <c r="AP142" s="50" t="n">
        <f aca="false">IF(LEFT(Cockpit!$I$5,1)="A",H142,IF(Parameter!$E$30="MAX-Bestand",IF(CH142=1,CI142,IF(LEFT(Cockpit!$I$5,1)="B",AV142,MAX(AV142,H142))),ROUNDUP(AT142,0)))</f>
        <v>4</v>
      </c>
      <c r="AQ142" s="50" t="n">
        <f aca="false">IF(BZ142=1,0,ROUNDUP(AP142/BY142,0))</f>
        <v>1</v>
      </c>
      <c r="AR142" s="52" t="n">
        <f aca="false">IF(CQ142&gt;0,CQ142*MAX(1,AP142/X142),IF(BZ142=1,IF(AP142&lt;=0,0,CD142*MAX(1,IF(H142&gt;0,AP142/H142,1))),IF(R142&gt;0,AQ142/R142,0))/MAX(0.1,N(Parameter!$M$21)))</f>
        <v>0.25</v>
      </c>
      <c r="AS142" s="50" t="n">
        <f aca="false">AR142*CB142</f>
        <v>58.75</v>
      </c>
      <c r="AT142" s="51" t="n">
        <f aca="false">IF(LEFT(Cockpit!$I$5,1)="A",H142,IF(CH142=1,(CK142+CI142)/2,IF(LEFT(Cockpit!$I$5,1)="B",(CK142+AV142)/2,MAX((CK142+AV142)/2,H142))))</f>
        <v>4</v>
      </c>
      <c r="AU142" s="50" t="n">
        <f aca="false">AT142*G142</f>
        <v>1461.4</v>
      </c>
      <c r="AV142" s="50" t="n">
        <f aca="false">ROUNDUP(CK142+MAX(CL142,2*(J142/IF(CG142&gt;0,CG142,MAX(0.1,N(Cockpit!$I$6)))-CK142)),0)</f>
        <v>1</v>
      </c>
      <c r="AW142" s="51" t="n">
        <f aca="false">IF(AS142&gt;0,J142/AS142,-1)</f>
        <v>0</v>
      </c>
      <c r="AX142" s="51" t="n">
        <f aca="false">IF(AND(OR(CF142="L1",CF142="L23",CF142="LIFT"),AS142&gt;0),SUMIFS($AS$7:$AS$1843,$CF$7:$CF$1843,CF142,$AW$7:$AW$1843,"&gt;"&amp;AW142)+SUMIFS($AS$7:$AS$1843,$CF$7:$CF$1843,CF142,$AW$7:$AW$1843,AW142,$BW$7:$BW$1843,"&lt;="&amp;BW142),"")</f>
        <v>32626.2522893773</v>
      </c>
      <c r="AY142" s="58" t="n">
        <f aca="false">IF(AX142="",0,MAX(0,MIN(1,(IF(CF142="L1",Parameter!$H$5,IF(CF142="L23",Parameter!$H$6+Parameter!$H$7,Parameter!$H$5+Parameter!$H$6+Parameter!$H$7))-(AX142-AS142))/AS142)))</f>
        <v>1</v>
      </c>
      <c r="AZ142" s="50" t="n">
        <f aca="false">IF(LEFT(Cockpit!$O$5,1)="A",H142,IF(Parameter!$E$30="MAX-Bestand",IF(CH142=1,CI142,IF(LEFT(Cockpit!$O$5,1)="B",BF142,MAX(BF142,H142))),ROUNDUP(BD142,0)))</f>
        <v>1</v>
      </c>
      <c r="BA142" s="50" t="n">
        <f aca="false">IF(BZ142=1,0,ROUNDUP(AZ142/BY142,0))</f>
        <v>1</v>
      </c>
      <c r="BB142" s="52" t="n">
        <f aca="false">IF(CQ142&gt;0,CQ142*MAX(1,AZ142/X142),IF(BZ142=1,IF(AZ142&lt;=0,0,CD142*MAX(1,IF(H142&gt;0,AZ142/H142,1))),IF(R142&gt;0,BA142/R142,0))/MAX(0.1,N(Parameter!$M$21)))</f>
        <v>0.25</v>
      </c>
      <c r="BC142" s="50" t="n">
        <f aca="false">BB142*CB142</f>
        <v>58.75</v>
      </c>
      <c r="BD142" s="51" t="n">
        <f aca="false">IF(LEFT(Cockpit!$O$5,1)="A",H142,IF(CH142=1,(CK142+CI142)/2,IF(LEFT(Cockpit!$O$5,1)="B",(CK142+BF142)/2,MAX((CK142+BF142)/2,H142))))</f>
        <v>0.5</v>
      </c>
      <c r="BE142" s="50" t="n">
        <f aca="false">BD142*G142</f>
        <v>182.675</v>
      </c>
      <c r="BF142" s="50" t="n">
        <f aca="false">ROUNDUP(CK142+MAX(CL142,2*(J142/IF(CG142&gt;0,CG142,MAX(0.1,N(Cockpit!$O$6)))-CK142)),0)</f>
        <v>1</v>
      </c>
      <c r="BG142" s="51" t="n">
        <f aca="false">IF(BC142&gt;0,J142/BC142,-1)</f>
        <v>0</v>
      </c>
      <c r="BH142" s="51" t="n">
        <f aca="false">IF(AND(OR(CF142="L1",CF142="L23",CF142="LIFT"),BC142&gt;0),SUMIFS($BC$7:$BC$1843,$CF$7:$CF$1843,CF142,$BG$7:$BG$1843,"&gt;"&amp;BG142)+SUMIFS($BC$7:$BC$1843,$CF$7:$CF$1843,CF142,$BG$7:$BG$1843,BG142,$BW$7:$BW$1843,"&lt;="&amp;BW142),"")</f>
        <v>26790.4943890855</v>
      </c>
      <c r="BI142" s="58" t="n">
        <f aca="false">IF(BH142="",0,MAX(0,MIN(1,(IF(CF142="L1",Parameter!$H$5,IF(CF142="L23",Parameter!$H$6+Parameter!$H$7,Parameter!$H$5+Parameter!$H$6+Parameter!$H$7))-(BH142-BC142))/BC142)))</f>
        <v>1</v>
      </c>
      <c r="BJ142" s="48" t="str">
        <f aca="false">IF(AI142&lt;=0,"",IF(CF142="Aussen","Aussenlager",IF(CF142="-","Nicht im Lift",IF(AO142&gt;=1,"Lift",IF(AO142&lt;=0,"Aussenlager","teilweise")))))</f>
        <v>Lift</v>
      </c>
      <c r="BK142" s="48" t="str">
        <f aca="false">IF(AS142&lt;=0,"",IF(CF142="Aussen","Aussenlager",IF(CF142="-","Nicht im Lift",IF(AY142&gt;=1,"Lift",IF(AY142&lt;=0,"Aussenlager","teilweise")))))</f>
        <v>Lift</v>
      </c>
      <c r="BL142" s="48" t="str">
        <f aca="false">IF(BC142&lt;=0,"",IF(CF142="Aussen","Aussenlager",IF(CF142="-","Nicht im Lift",IF(BI142&gt;=1,"Lift",IF(BI142&lt;=0,"Aussenlager","teilweise")))))</f>
        <v>Lift</v>
      </c>
      <c r="BM142" s="48" t="str">
        <f aca="false">IF(A142="","",IF(BV142=1,"Neu; ","")&amp;IF(AND(BV142=0,BQ142&lt;0),"negativer Bestand (Export "&amp;BQ142&amp;"); ","")&amp;IF(J142&lt;=0,"Kein Verbrauch; ","")&amp;IF(CQ142&gt;0,"Lift "&amp;W142&amp;" lt. Liftbericht (Fach "&amp;X142&amp;" Stk); ",IF(CA142=1,"Gebinde geschätzt ("&amp;T142&amp;"); ",IF(BZ142=1,"Lose – Tablare geschätzt; ","")))&amp;IF(H142&gt;AV142,"Überbestand "&amp;ROUND(H142-AV142,0)&amp;" Stk / CHF "&amp;ROUND((H142-AV142)*G142,0)&amp;"; ","")&amp;IF(AND(CH142=1,CI142&lt;CJ142),"MAX &lt; MB+LG; ","")&amp;IF(AND(CP142&gt;0,CO142*10&gt;CP142),"zu hoch für Tablar; ","")&amp;IF(AND(BV142=0,OR(CH142=1,AA142&lt;&gt;"",U142&lt;&gt;"",V142&lt;&gt;"",AB142&lt;&gt;"")),"manuell übersteuert; ","")&amp;IF(AND(BZ142=0,R142=0),"Gebinde unbekannt / Stellmass fehlt; ","")&amp;IF(AND(BZ142=0,N(V142)&lt;=0,N(Q142)&lt;=0),"Menge pro Gebinde fehlt (Ist = 1 Gebinde); ","")&amp;BU142)</f>
        <v>Kein Verbrauch; Gebinde geschätzt (Gross); Überbestand 3 Stk / CHF 1096; Menge pro Gebinde fehlt (Ist = 1 Gebinde); </v>
      </c>
      <c r="BN142" s="48"/>
      <c r="BO142" s="48"/>
      <c r="BP142" s="55"/>
      <c r="BQ142" s="50" t="n">
        <v>4</v>
      </c>
      <c r="BR142" s="50" t="n">
        <v>0</v>
      </c>
      <c r="BS142" s="49" t="n">
        <v>1461.4</v>
      </c>
      <c r="BT142" s="50" t="n">
        <v>0</v>
      </c>
      <c r="BU142" s="48"/>
      <c r="BV142" s="53" t="n">
        <v>0</v>
      </c>
      <c r="BW142" s="53" t="n">
        <v>142</v>
      </c>
      <c r="BX142" s="48" t="str">
        <f aca="false">IF(U142&lt;&gt;"",UPPER(TRIM(U142)),IF(CA142=1,UPPER(VLOOKUP(T142,Parameter!$I$27:$K$29,2,0)),IF(P142="","LOSE",P142)))</f>
        <v>S81</v>
      </c>
      <c r="BY142" s="50" t="n">
        <f aca="false">IF(BX142="LOSE",1,IF(N(V142)&gt;0,V142,IF(CA142=1,MAX(1,N(VLOOKUP(T142,Parameter!$I$27:$K$29,3,0)),H142,N(N142)),IF(N(Q142)&gt;0,Q142,MAX(1,H142)))))</f>
        <v>4</v>
      </c>
      <c r="BZ142" s="53" t="n">
        <f aca="false">IF(BX142="LOSE",1,0)</f>
        <v>0</v>
      </c>
      <c r="CA142" s="53" t="n">
        <f aca="false">IF(AND(U142="",OR(P142="",P142="LOSE"),T142&lt;&gt;"",N(S142)&lt;=0,ISNUMBER(MATCH(T142,Parameter!$I$27:$I$29,0))),1,0)</f>
        <v>1</v>
      </c>
      <c r="CB142" s="53" t="n">
        <f aca="false">IF(CQ142&gt;0,INDEX(Parameter!$H$5:$H$7,W142)/INDEX(Parameter!$E$5:$E$7,W142),IF(AND(BZ142=0,N(IFERROR(VLOOKUP(BX142,'Gebinde-Kategorie'!$A$5:$N$45,14,0),0))&gt;0),VLOOKUP(BX142,'Gebinde-Kategorie'!$A$5:$N$45,14,0)*10+Parameter!$M$23,Parameter!$M$24))</f>
        <v>235</v>
      </c>
      <c r="CC142" s="48" t="str">
        <f aca="false">IF(AND(Parameter!$B$19="Ja",E142&lt;&gt;"",ISNUMBER(MATCH(E142,Parameter!$I$35:$I$52,0))),VLOOKUP(E142,Parameter!$I$35:$J$52,2,0),IFERROR(VLOOKUP(D142,Parameter!$A$35:$C$64,2,0),"Nein"))</f>
        <v>2+3</v>
      </c>
      <c r="CD142" s="52" t="n">
        <f aca="false">IF(BZ142=0,0,IF(N(S142)&gt;0,S142,IFERROR(VLOOKUP(D142,Parameter!$A$35:$C$64,3,0)+0,0)))</f>
        <v>0</v>
      </c>
      <c r="CE142" s="48" t="n">
        <f aca="false">IF(AA142&lt;&gt;"",AA142,Z142)</f>
        <v>2</v>
      </c>
      <c r="CF142" s="48" t="str">
        <f aca="false">IF(OR(CE142=1,CE142=2,CE142=3),IF(Parameter!$E$27="Ja","LIFT",IF(CE142=1,"L1","L23")),IF(CE142="Aussen","Aussen","-"))</f>
        <v>LIFT</v>
      </c>
      <c r="CG142" s="59" t="n">
        <f aca="false">IF(N(AB142)&gt;0,AB142,0)</f>
        <v>0</v>
      </c>
      <c r="CH142" s="53" t="n">
        <f aca="false">IF(ISNUMBER(AE142),1,0)</f>
        <v>0</v>
      </c>
      <c r="CI142" s="50" t="n">
        <f aca="false">N(AE142)</f>
        <v>0</v>
      </c>
      <c r="CJ142" s="50" t="n">
        <f aca="false">N(M142)+N(N142)</f>
        <v>1</v>
      </c>
      <c r="CK142" s="50" t="n">
        <f aca="false">N(M142)</f>
        <v>0</v>
      </c>
      <c r="CL142" s="50" t="n">
        <f aca="false">N(N142)</f>
        <v>1</v>
      </c>
      <c r="CM142" s="50" t="n">
        <f aca="false">ROUNDUP(H142/BY142,0)</f>
        <v>1</v>
      </c>
      <c r="CN142" s="50" t="n">
        <f aca="false">ROUNDUP(CI142/BY142,0)</f>
        <v>0</v>
      </c>
      <c r="CO142" s="53" t="n">
        <f aca="false">IF(BZ142=1,0,IFERROR(VLOOKUP(BX142,'Gebinde-Kategorie'!$A$5:$N$45,5,0)+0,0))</f>
        <v>20</v>
      </c>
      <c r="CP142" s="53" t="n">
        <f aca="false">IFERROR(IF(OR(CE142=1,CE142=2,CE142=3),N(INDEX(Parameter!$I$5:$I$7,CE142)),0),0)</f>
        <v>0</v>
      </c>
      <c r="CQ142" s="52" t="n">
        <f aca="false">IF(AND(Parameter!$B$21="Ja",ISNUMBER(W142),N(X142)&gt;0),IFERROR(N(INDEX(Parameter!$L$5:$L$7,W142))*INDEX(Parameter!$E$5:$E$7,W142)*X142/SUMIFS($X$7:$X$1843,$W$7:$W$1843,W142),0),0)</f>
        <v>0</v>
      </c>
    </row>
    <row r="143" customFormat="false" ht="15" hidden="false" customHeight="false" outlineLevel="0" collapsed="false">
      <c r="A143" s="48" t="s">
        <v>501</v>
      </c>
      <c r="B143" s="48" t="s">
        <v>502</v>
      </c>
      <c r="C143" s="48" t="s">
        <v>173</v>
      </c>
      <c r="D143" s="48" t="s">
        <v>182</v>
      </c>
      <c r="E143" s="48"/>
      <c r="F143" s="48" t="s">
        <v>227</v>
      </c>
      <c r="G143" s="49" t="n">
        <v>65.52</v>
      </c>
      <c r="H143" s="50" t="n">
        <f aca="false">MAX(0,IF(AND(Parameter!$B$21="Ja",ISNUMBER(Y143)),Y143,IF(Parameter!$B$20="Jahresanfang 2025 + Export",BR143+BQ143,BQ143)))</f>
        <v>50</v>
      </c>
      <c r="I143" s="50" t="n">
        <f aca="false">H143*G143</f>
        <v>3276</v>
      </c>
      <c r="J143" s="50" t="n">
        <f aca="false">BT143*Parameter!$B$18</f>
        <v>8</v>
      </c>
      <c r="K143" s="51" t="n">
        <v>38</v>
      </c>
      <c r="L143" s="52" t="n">
        <v>0.210526315789474</v>
      </c>
      <c r="M143" s="50" t="n">
        <v>0</v>
      </c>
      <c r="N143" s="50" t="n">
        <v>10</v>
      </c>
      <c r="O143" s="53" t="n">
        <v>28</v>
      </c>
      <c r="P143" s="48" t="s">
        <v>183</v>
      </c>
      <c r="Q143" s="50" t="n">
        <v>50</v>
      </c>
      <c r="R143" s="53" t="n">
        <f aca="false">IF(BZ143=1,0,IFERROR(VLOOKUP(BX143,'Gebinde-Kategorie'!$A$5:$N$45,13,0)+0,0))</f>
        <v>6</v>
      </c>
      <c r="S143" s="54"/>
      <c r="T143" s="55"/>
      <c r="U143" s="55"/>
      <c r="V143" s="55"/>
      <c r="W143" s="48"/>
      <c r="X143" s="50"/>
      <c r="Y143" s="50"/>
      <c r="Z143" s="48" t="n">
        <f aca="false">IF(A143="","",IF(AND(Parameter!$B$21="Ja",ISNUMBER(W143)),W143,IF(CC143="2+3",IF(ISNUMBER(SEARCH("grosser Artikel",BU143)),2,IFERROR(VLOOKUP(BX143,Parameter!$F$35:$G$64,2,0),2)),IF(OR(CC143="Nein",CC143=""),"-",CC143))))</f>
        <v>2</v>
      </c>
      <c r="AA143" s="55"/>
      <c r="AB143" s="56"/>
      <c r="AC143" s="50" t="n">
        <f aca="false">AV143</f>
        <v>10</v>
      </c>
      <c r="AD143" s="50" t="n">
        <f aca="false">MAX(AV143,H143)</f>
        <v>50</v>
      </c>
      <c r="AE143" s="57"/>
      <c r="AF143" s="50" t="n">
        <f aca="false">IF(LEFT(Cockpit!$C$5,1)="A",H143,IF(Parameter!$E$30="MAX-Bestand",IF(CH143=1,CI143,IF(LEFT(Cockpit!$C$5,1)="B",AL143,MAX(AL143,H143))),ROUNDUP(AJ143,0)))</f>
        <v>50</v>
      </c>
      <c r="AG143" s="50" t="n">
        <f aca="false">IF(BZ143=1,0,ROUNDUP(AF143/BY143,0))</f>
        <v>1</v>
      </c>
      <c r="AH143" s="52" t="n">
        <f aca="false">IF(CQ143&gt;0,CQ143*MAX(1,AF143/X143),IF(BZ143=1,IF(AF143&lt;=0,0,CD143*MAX(1,IF(H143&gt;0,AF143/H143,1))),IF(R143&gt;0,AG143/R143,0))/MAX(0.1,N(Parameter!$M$21)))</f>
        <v>0.166666666666667</v>
      </c>
      <c r="AI143" s="50" t="n">
        <f aca="false">AH143*CB143</f>
        <v>39.1666666666667</v>
      </c>
      <c r="AJ143" s="51" t="n">
        <f aca="false">IF(LEFT(Cockpit!$C$5,1)="A",H143,IF(CH143=1,(CK143+CI143)/2,IF(LEFT(Cockpit!$C$5,1)="B",(CK143+AL143)/2,MAX((CK143+AL143)/2,H143))))</f>
        <v>50</v>
      </c>
      <c r="AK143" s="50" t="n">
        <f aca="false">AJ143*G143</f>
        <v>3276</v>
      </c>
      <c r="AL143" s="50" t="n">
        <f aca="false">ROUNDUP(CK143+MAX(CL143,2*(J143/IF(CG143&gt;0,CG143,MAX(0.1,N(Cockpit!$C$6)))-CK143)),0)</f>
        <v>10</v>
      </c>
      <c r="AM143" s="51" t="n">
        <f aca="false">IF(AI143&gt;0,J143/AI143,-1)</f>
        <v>0.204255319148936</v>
      </c>
      <c r="AN143" s="51" t="n">
        <f aca="false">IF(AND(OR(CF143="L1",CF143="L23",CF143="LIFT"),AI143&gt;0),SUMIFS($AI$7:$AI$1843,$CF$7:$CF$1843,CF143,$AM$7:$AM$1843,"&gt;"&amp;AM143)+SUMIFS($AI$7:$AI$1843,$CF$7:$CF$1843,CF143,$AM$7:$AM$1843,AM143,$BW$7:$BW$1843,"&lt;="&amp;BW143),"")</f>
        <v>12440.983720846</v>
      </c>
      <c r="AO143" s="58" t="n">
        <f aca="false">IF(AN143="",0,MAX(0,MIN(1,(IF(CF143="L1",Parameter!$H$5,IF(CF143="L23",Parameter!$H$6+Parameter!$H$7,Parameter!$H$5+Parameter!$H$6+Parameter!$H$7))-(AN143-AI143))/AI143)))</f>
        <v>1</v>
      </c>
      <c r="AP143" s="50" t="n">
        <f aca="false">IF(LEFT(Cockpit!$I$5,1)="A",H143,IF(Parameter!$E$30="MAX-Bestand",IF(CH143=1,CI143,IF(LEFT(Cockpit!$I$5,1)="B",AV143,MAX(AV143,H143))),ROUNDUP(AT143,0)))</f>
        <v>50</v>
      </c>
      <c r="AQ143" s="50" t="n">
        <f aca="false">IF(BZ143=1,0,ROUNDUP(AP143/BY143,0))</f>
        <v>1</v>
      </c>
      <c r="AR143" s="52" t="n">
        <f aca="false">IF(CQ143&gt;0,CQ143*MAX(1,AP143/X143),IF(BZ143=1,IF(AP143&lt;=0,0,CD143*MAX(1,IF(H143&gt;0,AP143/H143,1))),IF(R143&gt;0,AQ143/R143,0))/MAX(0.1,N(Parameter!$M$21)))</f>
        <v>0.166666666666667</v>
      </c>
      <c r="AS143" s="50" t="n">
        <f aca="false">AR143*CB143</f>
        <v>39.1666666666667</v>
      </c>
      <c r="AT143" s="51" t="n">
        <f aca="false">IF(LEFT(Cockpit!$I$5,1)="A",H143,IF(CH143=1,(CK143+CI143)/2,IF(LEFT(Cockpit!$I$5,1)="B",(CK143+AV143)/2,MAX((CK143+AV143)/2,H143))))</f>
        <v>50</v>
      </c>
      <c r="AU143" s="50" t="n">
        <f aca="false">AT143*G143</f>
        <v>3276</v>
      </c>
      <c r="AV143" s="50" t="n">
        <f aca="false">ROUNDUP(CK143+MAX(CL143,2*(J143/IF(CG143&gt;0,CG143,MAX(0.1,N(Cockpit!$I$6)))-CK143)),0)</f>
        <v>10</v>
      </c>
      <c r="AW143" s="51" t="n">
        <f aca="false">IF(AS143&gt;0,J143/AS143,-1)</f>
        <v>0.204255319148936</v>
      </c>
      <c r="AX143" s="51" t="n">
        <f aca="false">IF(AND(OR(CF143="L1",CF143="L23",CF143="LIFT"),AS143&gt;0),SUMIFS($AS$7:$AS$1843,$CF$7:$CF$1843,CF143,$AW$7:$AW$1843,"&gt;"&amp;AW143)+SUMIFS($AS$7:$AS$1843,$CF$7:$CF$1843,CF143,$AW$7:$AW$1843,AW143,$BW$7:$BW$1843,"&lt;="&amp;BW143),"")</f>
        <v>15270.2413003663</v>
      </c>
      <c r="AY143" s="58" t="n">
        <f aca="false">IF(AX143="",0,MAX(0,MIN(1,(IF(CF143="L1",Parameter!$H$5,IF(CF143="L23",Parameter!$H$6+Parameter!$H$7,Parameter!$H$5+Parameter!$H$6+Parameter!$H$7))-(AX143-AS143))/AS143)))</f>
        <v>1</v>
      </c>
      <c r="AZ143" s="50" t="n">
        <f aca="false">IF(LEFT(Cockpit!$O$5,1)="A",H143,IF(Parameter!$E$30="MAX-Bestand",IF(CH143=1,CI143,IF(LEFT(Cockpit!$O$5,1)="B",BF143,MAX(BF143,H143))),ROUNDUP(BD143,0)))</f>
        <v>5</v>
      </c>
      <c r="BA143" s="50" t="n">
        <f aca="false">IF(BZ143=1,0,ROUNDUP(AZ143/BY143,0))</f>
        <v>1</v>
      </c>
      <c r="BB143" s="52" t="n">
        <f aca="false">IF(CQ143&gt;0,CQ143*MAX(1,AZ143/X143),IF(BZ143=1,IF(AZ143&lt;=0,0,CD143*MAX(1,IF(H143&gt;0,AZ143/H143,1))),IF(R143&gt;0,BA143/R143,0))/MAX(0.1,N(Parameter!$M$21)))</f>
        <v>0.166666666666667</v>
      </c>
      <c r="BC143" s="50" t="n">
        <f aca="false">BB143*CB143</f>
        <v>39.1666666666667</v>
      </c>
      <c r="BD143" s="51" t="n">
        <f aca="false">IF(LEFT(Cockpit!$O$5,1)="A",H143,IF(CH143=1,(CK143+CI143)/2,IF(LEFT(Cockpit!$O$5,1)="B",(CK143+BF143)/2,MAX((CK143+BF143)/2,H143))))</f>
        <v>5</v>
      </c>
      <c r="BE143" s="50" t="n">
        <f aca="false">BD143*G143</f>
        <v>327.6</v>
      </c>
      <c r="BF143" s="50" t="n">
        <f aca="false">ROUNDUP(CK143+MAX(CL143,2*(J143/IF(CG143&gt;0,CG143,MAX(0.1,N(Cockpit!$O$6)))-CK143)),0)</f>
        <v>10</v>
      </c>
      <c r="BG143" s="51" t="n">
        <f aca="false">IF(BC143&gt;0,J143/BC143,-1)</f>
        <v>0.204255319148936</v>
      </c>
      <c r="BH143" s="51" t="n">
        <f aca="false">IF(AND(OR(CF143="L1",CF143="L23",CF143="LIFT"),BC143&gt;0),SUMIFS($BC$7:$BC$1843,$CF$7:$CF$1843,CF143,$BG$7:$BG$1843,"&gt;"&amp;BG143)+SUMIFS($BC$7:$BC$1843,$CF$7:$CF$1843,CF143,$BG$7:$BG$1843,BG143,$BW$7:$BW$1843,"&lt;="&amp;BW143),"")</f>
        <v>13088.6629234701</v>
      </c>
      <c r="BI143" s="58" t="n">
        <f aca="false">IF(BH143="",0,MAX(0,MIN(1,(IF(CF143="L1",Parameter!$H$5,IF(CF143="L23",Parameter!$H$6+Parameter!$H$7,Parameter!$H$5+Parameter!$H$6+Parameter!$H$7))-(BH143-BC143))/BC143)))</f>
        <v>1</v>
      </c>
      <c r="BJ143" s="48" t="str">
        <f aca="false">IF(AI143&lt;=0,"",IF(CF143="Aussen","Aussenlager",IF(CF143="-","Nicht im Lift",IF(AO143&gt;=1,"Lift",IF(AO143&lt;=0,"Aussenlager","teilweise")))))</f>
        <v>Lift</v>
      </c>
      <c r="BK143" s="48" t="str">
        <f aca="false">IF(AS143&lt;=0,"",IF(CF143="Aussen","Aussenlager",IF(CF143="-","Nicht im Lift",IF(AY143&gt;=1,"Lift",IF(AY143&lt;=0,"Aussenlager","teilweise")))))</f>
        <v>Lift</v>
      </c>
      <c r="BL143" s="48" t="str">
        <f aca="false">IF(BC143&lt;=0,"",IF(CF143="Aussen","Aussenlager",IF(CF143="-","Nicht im Lift",IF(BI143&gt;=1,"Lift",IF(BI143&lt;=0,"Aussenlager","teilweise")))))</f>
        <v>Lift</v>
      </c>
      <c r="BM143" s="48" t="str">
        <f aca="false">IF(A143="","",IF(BV143=1,"Neu; ","")&amp;IF(AND(BV143=0,BQ143&lt;0),"negativer Bestand (Export "&amp;BQ143&amp;"); ","")&amp;IF(J143&lt;=0,"Kein Verbrauch; ","")&amp;IF(CQ143&gt;0,"Lift "&amp;W143&amp;" lt. Liftbericht (Fach "&amp;X143&amp;" Stk); ",IF(CA143=1,"Gebinde geschätzt ("&amp;T143&amp;"); ",IF(BZ143=1,"Lose – Tablare geschätzt; ","")))&amp;IF(H143&gt;AV143,"Überbestand "&amp;ROUND(H143-AV143,0)&amp;" Stk / CHF "&amp;ROUND((H143-AV143)*G143,0)&amp;"; ","")&amp;IF(AND(CH143=1,CI143&lt;CJ143),"MAX &lt; MB+LG; ","")&amp;IF(AND(CP143&gt;0,CO143*10&gt;CP143),"zu hoch für Tablar; ","")&amp;IF(AND(BV143=0,OR(CH143=1,AA143&lt;&gt;"",U143&lt;&gt;"",V143&lt;&gt;"",AB143&lt;&gt;"")),"manuell übersteuert; ","")&amp;IF(AND(BZ143=0,R143=0),"Gebinde unbekannt / Stellmass fehlt; ","")&amp;IF(AND(BZ143=0,N(V143)&lt;=0,N(Q143)&lt;=0),"Menge pro Gebinde fehlt (Ist = 1 Gebinde); ","")&amp;BU143)</f>
        <v>Überbestand 40 Stk / CHF 2621; </v>
      </c>
      <c r="BN143" s="48"/>
      <c r="BO143" s="48"/>
      <c r="BP143" s="55"/>
      <c r="BQ143" s="50" t="n">
        <v>24</v>
      </c>
      <c r="BR143" s="50" t="n">
        <v>26</v>
      </c>
      <c r="BS143" s="49" t="n">
        <v>1431.56</v>
      </c>
      <c r="BT143" s="50" t="n">
        <v>8</v>
      </c>
      <c r="BU143" s="48"/>
      <c r="BV143" s="53" t="n">
        <v>0</v>
      </c>
      <c r="BW143" s="53" t="n">
        <v>143</v>
      </c>
      <c r="BX143" s="48" t="str">
        <f aca="false">IF(U143&lt;&gt;"",UPPER(TRIM(U143)),IF(CA143=1,UPPER(VLOOKUP(T143,Parameter!$I$27:$K$29,2,0)),IF(P143="","LOSE",P143)))</f>
        <v>S71</v>
      </c>
      <c r="BY143" s="50" t="n">
        <f aca="false">IF(BX143="LOSE",1,IF(N(V143)&gt;0,V143,IF(CA143=1,MAX(1,N(VLOOKUP(T143,Parameter!$I$27:$K$29,3,0)),H143,N(N143)),IF(N(Q143)&gt;0,Q143,MAX(1,H143)))))</f>
        <v>50</v>
      </c>
      <c r="BZ143" s="53" t="n">
        <f aca="false">IF(BX143="LOSE",1,0)</f>
        <v>0</v>
      </c>
      <c r="CA143" s="53" t="n">
        <f aca="false">IF(AND(U143="",OR(P143="",P143="LOSE"),T143&lt;&gt;"",N(S143)&lt;=0,ISNUMBER(MATCH(T143,Parameter!$I$27:$I$29,0))),1,0)</f>
        <v>0</v>
      </c>
      <c r="CB143" s="53" t="n">
        <f aca="false">IF(CQ143&gt;0,INDEX(Parameter!$H$5:$H$7,W143)/INDEX(Parameter!$E$5:$E$7,W143),IF(AND(BZ143=0,N(IFERROR(VLOOKUP(BX143,'Gebinde-Kategorie'!$A$5:$N$45,14,0),0))&gt;0),VLOOKUP(BX143,'Gebinde-Kategorie'!$A$5:$N$45,14,0)*10+Parameter!$M$23,Parameter!$M$24))</f>
        <v>235</v>
      </c>
      <c r="CC143" s="48" t="str">
        <f aca="false">IF(AND(Parameter!$B$19="Ja",E143&lt;&gt;"",ISNUMBER(MATCH(E143,Parameter!$I$35:$I$52,0))),VLOOKUP(E143,Parameter!$I$35:$J$52,2,0),IFERROR(VLOOKUP(D143,Parameter!$A$35:$C$64,2,0),"Nein"))</f>
        <v>2+3</v>
      </c>
      <c r="CD143" s="52" t="n">
        <f aca="false">IF(BZ143=0,0,IF(N(S143)&gt;0,S143,IFERROR(VLOOKUP(D143,Parameter!$A$35:$C$64,3,0)+0,0)))</f>
        <v>0</v>
      </c>
      <c r="CE143" s="48" t="n">
        <f aca="false">IF(AA143&lt;&gt;"",AA143,Z143)</f>
        <v>2</v>
      </c>
      <c r="CF143" s="48" t="str">
        <f aca="false">IF(OR(CE143=1,CE143=2,CE143=3),IF(Parameter!$E$27="Ja","LIFT",IF(CE143=1,"L1","L23")),IF(CE143="Aussen","Aussen","-"))</f>
        <v>LIFT</v>
      </c>
      <c r="CG143" s="59" t="n">
        <f aca="false">IF(N(AB143)&gt;0,AB143,0)</f>
        <v>0</v>
      </c>
      <c r="CH143" s="53" t="n">
        <f aca="false">IF(ISNUMBER(AE143),1,0)</f>
        <v>0</v>
      </c>
      <c r="CI143" s="50" t="n">
        <f aca="false">N(AE143)</f>
        <v>0</v>
      </c>
      <c r="CJ143" s="50" t="n">
        <f aca="false">N(M143)+N(N143)</f>
        <v>10</v>
      </c>
      <c r="CK143" s="50" t="n">
        <f aca="false">N(M143)</f>
        <v>0</v>
      </c>
      <c r="CL143" s="50" t="n">
        <f aca="false">N(N143)</f>
        <v>10</v>
      </c>
      <c r="CM143" s="50" t="n">
        <f aca="false">ROUNDUP(H143/BY143,0)</f>
        <v>1</v>
      </c>
      <c r="CN143" s="50" t="n">
        <f aca="false">ROUNDUP(CI143/BY143,0)</f>
        <v>0</v>
      </c>
      <c r="CO143" s="53" t="n">
        <f aca="false">IF(BZ143=1,0,IFERROR(VLOOKUP(BX143,'Gebinde-Kategorie'!$A$5:$N$45,5,0)+0,0))</f>
        <v>20</v>
      </c>
      <c r="CP143" s="53" t="n">
        <f aca="false">IFERROR(IF(OR(CE143=1,CE143=2,CE143=3),N(INDEX(Parameter!$I$5:$I$7,CE143)),0),0)</f>
        <v>0</v>
      </c>
      <c r="CQ143" s="52" t="n">
        <f aca="false">IF(AND(Parameter!$B$21="Ja",ISNUMBER(W143),N(X143)&gt;0),IFERROR(N(INDEX(Parameter!$L$5:$L$7,W143))*INDEX(Parameter!$E$5:$E$7,W143)*X143/SUMIFS($X$7:$X$1843,$W$7:$W$1843,W143),0),0)</f>
        <v>0</v>
      </c>
    </row>
    <row r="144" customFormat="false" ht="15" hidden="false" customHeight="false" outlineLevel="0" collapsed="false">
      <c r="A144" s="48" t="s">
        <v>503</v>
      </c>
      <c r="B144" s="48" t="s">
        <v>504</v>
      </c>
      <c r="C144" s="48" t="s">
        <v>173</v>
      </c>
      <c r="D144" s="48" t="s">
        <v>193</v>
      </c>
      <c r="E144" s="48"/>
      <c r="F144" s="48" t="s">
        <v>227</v>
      </c>
      <c r="G144" s="49" t="n">
        <v>6.9</v>
      </c>
      <c r="H144" s="50" t="n">
        <f aca="false">MAX(0,IF(AND(Parameter!$B$21="Ja",ISNUMBER(Y144)),Y144,IF(Parameter!$B$20="Jahresanfang 2025 + Export",BR144+BQ144,BQ144)))</f>
        <v>207</v>
      </c>
      <c r="I144" s="50" t="n">
        <f aca="false">H144*G144</f>
        <v>1428.3</v>
      </c>
      <c r="J144" s="50" t="n">
        <f aca="false">BT144*Parameter!$B$18</f>
        <v>40</v>
      </c>
      <c r="K144" s="51" t="n">
        <v>8</v>
      </c>
      <c r="L144" s="52" t="n">
        <v>5</v>
      </c>
      <c r="M144" s="50" t="n">
        <v>1</v>
      </c>
      <c r="N144" s="50" t="n">
        <v>40</v>
      </c>
      <c r="O144" s="53" t="n">
        <v>14</v>
      </c>
      <c r="P144" s="48" t="s">
        <v>435</v>
      </c>
      <c r="Q144" s="50" t="n">
        <v>30</v>
      </c>
      <c r="R144" s="53" t="n">
        <f aca="false">IF(BZ144=1,0,IFERROR(VLOOKUP(BX144,'Gebinde-Kategorie'!$A$5:$N$45,13,0)+0,0))</f>
        <v>140</v>
      </c>
      <c r="S144" s="54"/>
      <c r="T144" s="55"/>
      <c r="U144" s="55"/>
      <c r="V144" s="55"/>
      <c r="W144" s="48"/>
      <c r="X144" s="50"/>
      <c r="Y144" s="50"/>
      <c r="Z144" s="48" t="n">
        <f aca="false">IF(A144="","",IF(AND(Parameter!$B$21="Ja",ISNUMBER(W144)),W144,IF(CC144="2+3",IF(ISNUMBER(SEARCH("grosser Artikel",BU144)),2,IFERROR(VLOOKUP(BX144,Parameter!$F$35:$G$64,2,0),2)),IF(OR(CC144="Nein",CC144=""),"-",CC144))))</f>
        <v>3</v>
      </c>
      <c r="AA144" s="55"/>
      <c r="AB144" s="56"/>
      <c r="AC144" s="50" t="n">
        <f aca="false">AV144</f>
        <v>41</v>
      </c>
      <c r="AD144" s="50" t="n">
        <f aca="false">MAX(AV144,H144)</f>
        <v>207</v>
      </c>
      <c r="AE144" s="57"/>
      <c r="AF144" s="50" t="n">
        <f aca="false">IF(LEFT(Cockpit!$C$5,1)="A",H144,IF(Parameter!$E$30="MAX-Bestand",IF(CH144=1,CI144,IF(LEFT(Cockpit!$C$5,1)="B",AL144,MAX(AL144,H144))),ROUNDUP(AJ144,0)))</f>
        <v>207</v>
      </c>
      <c r="AG144" s="50" t="n">
        <f aca="false">IF(BZ144=1,0,ROUNDUP(AF144/BY144,0))</f>
        <v>7</v>
      </c>
      <c r="AH144" s="52" t="n">
        <f aca="false">IF(CQ144&gt;0,CQ144*MAX(1,AF144/X144),IF(BZ144=1,IF(AF144&lt;=0,0,CD144*MAX(1,IF(H144&gt;0,AF144/H144,1))),IF(R144&gt;0,AG144/R144,0))/MAX(0.1,N(Parameter!$M$21)))</f>
        <v>0.05</v>
      </c>
      <c r="AI144" s="50" t="n">
        <f aca="false">AH144*CB144</f>
        <v>7.75</v>
      </c>
      <c r="AJ144" s="51" t="n">
        <f aca="false">IF(LEFT(Cockpit!$C$5,1)="A",H144,IF(CH144=1,(CK144+CI144)/2,IF(LEFT(Cockpit!$C$5,1)="B",(CK144+AL144)/2,MAX((CK144+AL144)/2,H144))))</f>
        <v>207</v>
      </c>
      <c r="AK144" s="50" t="n">
        <f aca="false">AJ144*G144</f>
        <v>1428.3</v>
      </c>
      <c r="AL144" s="50" t="n">
        <f aca="false">ROUNDUP(CK144+MAX(CL144,2*(J144/IF(CG144&gt;0,CG144,MAX(0.1,N(Cockpit!$C$6)))-CK144)),0)</f>
        <v>41</v>
      </c>
      <c r="AM144" s="51" t="n">
        <f aca="false">IF(AI144&gt;0,J144/AI144,-1)</f>
        <v>5.16129032258065</v>
      </c>
      <c r="AN144" s="51" t="n">
        <f aca="false">IF(AND(OR(CF144="L1",CF144="L23",CF144="LIFT"),AI144&gt;0),SUMIFS($AI$7:$AI$1843,$CF$7:$CF$1843,CF144,$AM$7:$AM$1843,"&gt;"&amp;AM144)+SUMIFS($AI$7:$AI$1843,$CF$7:$CF$1843,CF144,$AM$7:$AM$1843,AM144,$BW$7:$BW$1843,"&lt;="&amp;BW144),"")</f>
        <v>3885.14331501832</v>
      </c>
      <c r="AO144" s="58" t="n">
        <f aca="false">IF(AN144="",0,MAX(0,MIN(1,(IF(CF144="L1",Parameter!$H$5,IF(CF144="L23",Parameter!$H$6+Parameter!$H$7,Parameter!$H$5+Parameter!$H$6+Parameter!$H$7))-(AN144-AI144))/AI144)))</f>
        <v>1</v>
      </c>
      <c r="AP144" s="50" t="n">
        <f aca="false">IF(LEFT(Cockpit!$I$5,1)="A",H144,IF(Parameter!$E$30="MAX-Bestand",IF(CH144=1,CI144,IF(LEFT(Cockpit!$I$5,1)="B",AV144,MAX(AV144,H144))),ROUNDUP(AT144,0)))</f>
        <v>207</v>
      </c>
      <c r="AQ144" s="50" t="n">
        <f aca="false">IF(BZ144=1,0,ROUNDUP(AP144/BY144,0))</f>
        <v>7</v>
      </c>
      <c r="AR144" s="52" t="n">
        <f aca="false">IF(CQ144&gt;0,CQ144*MAX(1,AP144/X144),IF(BZ144=1,IF(AP144&lt;=0,0,CD144*MAX(1,IF(H144&gt;0,AP144/H144,1))),IF(R144&gt;0,AQ144/R144,0))/MAX(0.1,N(Parameter!$M$21)))</f>
        <v>0.05</v>
      </c>
      <c r="AS144" s="50" t="n">
        <f aca="false">AR144*CB144</f>
        <v>7.75</v>
      </c>
      <c r="AT144" s="51" t="n">
        <f aca="false">IF(LEFT(Cockpit!$I$5,1)="A",H144,IF(CH144=1,(CK144+CI144)/2,IF(LEFT(Cockpit!$I$5,1)="B",(CK144+AV144)/2,MAX((CK144+AV144)/2,H144))))</f>
        <v>207</v>
      </c>
      <c r="AU144" s="50" t="n">
        <f aca="false">AT144*G144</f>
        <v>1428.3</v>
      </c>
      <c r="AV144" s="50" t="n">
        <f aca="false">ROUNDUP(CK144+MAX(CL144,2*(J144/IF(CG144&gt;0,CG144,MAX(0.1,N(Cockpit!$I$6)))-CK144)),0)</f>
        <v>41</v>
      </c>
      <c r="AW144" s="51" t="n">
        <f aca="false">IF(AS144&gt;0,J144/AS144,-1)</f>
        <v>5.16129032258065</v>
      </c>
      <c r="AX144" s="51" t="n">
        <f aca="false">IF(AND(OR(CF144="L1",CF144="L23",CF144="LIFT"),AS144&gt;0),SUMIFS($AS$7:$AS$1843,$CF$7:$CF$1843,CF144,$AW$7:$AW$1843,"&gt;"&amp;AW144)+SUMIFS($AS$7:$AS$1843,$CF$7:$CF$1843,CF144,$AW$7:$AW$1843,AW144,$BW$7:$BW$1843,"&lt;="&amp;BW144),"")</f>
        <v>4481.38415750916</v>
      </c>
      <c r="AY144" s="58" t="n">
        <f aca="false">IF(AX144="",0,MAX(0,MIN(1,(IF(CF144="L1",Parameter!$H$5,IF(CF144="L23",Parameter!$H$6+Parameter!$H$7,Parameter!$H$5+Parameter!$H$6+Parameter!$H$7))-(AX144-AS144))/AS144)))</f>
        <v>1</v>
      </c>
      <c r="AZ144" s="50" t="n">
        <f aca="false">IF(LEFT(Cockpit!$O$5,1)="A",H144,IF(Parameter!$E$30="MAX-Bestand",IF(CH144=1,CI144,IF(LEFT(Cockpit!$O$5,1)="B",BF144,MAX(BF144,H144))),ROUNDUP(BD144,0)))</f>
        <v>21</v>
      </c>
      <c r="BA144" s="50" t="n">
        <f aca="false">IF(BZ144=1,0,ROUNDUP(AZ144/BY144,0))</f>
        <v>1</v>
      </c>
      <c r="BB144" s="52" t="n">
        <f aca="false">IF(CQ144&gt;0,CQ144*MAX(1,AZ144/X144),IF(BZ144=1,IF(AZ144&lt;=0,0,CD144*MAX(1,IF(H144&gt;0,AZ144/H144,1))),IF(R144&gt;0,BA144/R144,0))/MAX(0.1,N(Parameter!$M$21)))</f>
        <v>0.00714285714285714</v>
      </c>
      <c r="BC144" s="50" t="n">
        <f aca="false">BB144*CB144</f>
        <v>1.10714285714286</v>
      </c>
      <c r="BD144" s="51" t="n">
        <f aca="false">IF(LEFT(Cockpit!$O$5,1)="A",H144,IF(CH144=1,(CK144+CI144)/2,IF(LEFT(Cockpit!$O$5,1)="B",(CK144+BF144)/2,MAX((CK144+BF144)/2,H144))))</f>
        <v>21</v>
      </c>
      <c r="BE144" s="50" t="n">
        <f aca="false">BD144*G144</f>
        <v>144.9</v>
      </c>
      <c r="BF144" s="50" t="n">
        <f aca="false">ROUNDUP(CK144+MAX(CL144,2*(J144/IF(CG144&gt;0,CG144,MAX(0.1,N(Cockpit!$O$6)))-CK144)),0)</f>
        <v>41</v>
      </c>
      <c r="BG144" s="51" t="n">
        <f aca="false">IF(BC144&gt;0,J144/BC144,-1)</f>
        <v>36.1290322580645</v>
      </c>
      <c r="BH144" s="51" t="n">
        <f aca="false">IF(AND(OR(CF144="L1",CF144="L23",CF144="LIFT"),BC144&gt;0),SUMIFS($BC$7:$BC$1843,$CF$7:$CF$1843,CF144,$BG$7:$BG$1843,"&gt;"&amp;BG144)+SUMIFS($BC$7:$BC$1843,$CF$7:$CF$1843,CF144,$BG$7:$BG$1843,BG144,$BW$7:$BW$1843,"&lt;="&amp;BW144),"")</f>
        <v>1530.05265567766</v>
      </c>
      <c r="BI144" s="58" t="n">
        <f aca="false">IF(BH144="",0,MAX(0,MIN(1,(IF(CF144="L1",Parameter!$H$5,IF(CF144="L23",Parameter!$H$6+Parameter!$H$7,Parameter!$H$5+Parameter!$H$6+Parameter!$H$7))-(BH144-BC144))/BC144)))</f>
        <v>1</v>
      </c>
      <c r="BJ144" s="48" t="str">
        <f aca="false">IF(AI144&lt;=0,"",IF(CF144="Aussen","Aussenlager",IF(CF144="-","Nicht im Lift",IF(AO144&gt;=1,"Lift",IF(AO144&lt;=0,"Aussenlager","teilweise")))))</f>
        <v>Lift</v>
      </c>
      <c r="BK144" s="48" t="str">
        <f aca="false">IF(AS144&lt;=0,"",IF(CF144="Aussen","Aussenlager",IF(CF144="-","Nicht im Lift",IF(AY144&gt;=1,"Lift",IF(AY144&lt;=0,"Aussenlager","teilweise")))))</f>
        <v>Lift</v>
      </c>
      <c r="BL144" s="48" t="str">
        <f aca="false">IF(BC144&lt;=0,"",IF(CF144="Aussen","Aussenlager",IF(CF144="-","Nicht im Lift",IF(BI144&gt;=1,"Lift",IF(BI144&lt;=0,"Aussenlager","teilweise")))))</f>
        <v>Lift</v>
      </c>
      <c r="BM144" s="48" t="str">
        <f aca="false">IF(A144="","",IF(BV144=1,"Neu; ","")&amp;IF(AND(BV144=0,BQ144&lt;0),"negativer Bestand (Export "&amp;BQ144&amp;"); ","")&amp;IF(J144&lt;=0,"Kein Verbrauch; ","")&amp;IF(CQ144&gt;0,"Lift "&amp;W144&amp;" lt. Liftbericht (Fach "&amp;X144&amp;" Stk); ",IF(CA144=1,"Gebinde geschätzt ("&amp;T144&amp;"); ",IF(BZ144=1,"Lose – Tablare geschätzt; ","")))&amp;IF(H144&gt;AV144,"Überbestand "&amp;ROUND(H144-AV144,0)&amp;" Stk / CHF "&amp;ROUND((H144-AV144)*G144,0)&amp;"; ","")&amp;IF(AND(CH144=1,CI144&lt;CJ144),"MAX &lt; MB+LG; ","")&amp;IF(AND(CP144&gt;0,CO144*10&gt;CP144),"zu hoch für Tablar; ","")&amp;IF(AND(BV144=0,OR(CH144=1,AA144&lt;&gt;"",U144&lt;&gt;"",V144&lt;&gt;"",AB144&lt;&gt;"")),"manuell übersteuert; ","")&amp;IF(AND(BZ144=0,R144=0),"Gebinde unbekannt / Stellmass fehlt; ","")&amp;IF(AND(BZ144=0,N(V144)&lt;=0,N(Q144)&lt;=0),"Menge pro Gebinde fehlt (Ist = 1 Gebinde); ","")&amp;BU144)</f>
        <v>Überbestand 166 Stk / CHF 1145; </v>
      </c>
      <c r="BN144" s="48"/>
      <c r="BO144" s="48"/>
      <c r="BP144" s="55"/>
      <c r="BQ144" s="50" t="n">
        <v>207</v>
      </c>
      <c r="BR144" s="50" t="n">
        <v>0</v>
      </c>
      <c r="BS144" s="49" t="n">
        <v>1428.28</v>
      </c>
      <c r="BT144" s="50" t="n">
        <v>40</v>
      </c>
      <c r="BU144" s="48"/>
      <c r="BV144" s="53" t="n">
        <v>0</v>
      </c>
      <c r="BW144" s="53" t="n">
        <v>144</v>
      </c>
      <c r="BX144" s="48" t="str">
        <f aca="false">IF(U144&lt;&gt;"",UPPER(TRIM(U144)),IF(CA144=1,UPPER(VLOOKUP(T144,Parameter!$I$27:$K$29,2,0)),IF(P144="","LOSE",P144)))</f>
        <v>S22</v>
      </c>
      <c r="BY144" s="50" t="n">
        <f aca="false">IF(BX144="LOSE",1,IF(N(V144)&gt;0,V144,IF(CA144=1,MAX(1,N(VLOOKUP(T144,Parameter!$I$27:$K$29,3,0)),H144,N(N144)),IF(N(Q144)&gt;0,Q144,MAX(1,H144)))))</f>
        <v>30</v>
      </c>
      <c r="BZ144" s="53" t="n">
        <f aca="false">IF(BX144="LOSE",1,0)</f>
        <v>0</v>
      </c>
      <c r="CA144" s="53" t="n">
        <f aca="false">IF(AND(U144="",OR(P144="",P144="LOSE"),T144&lt;&gt;"",N(S144)&lt;=0,ISNUMBER(MATCH(T144,Parameter!$I$27:$I$29,0))),1,0)</f>
        <v>0</v>
      </c>
      <c r="CB144" s="53" t="n">
        <f aca="false">IF(CQ144&gt;0,INDEX(Parameter!$H$5:$H$7,W144)/INDEX(Parameter!$E$5:$E$7,W144),IF(AND(BZ144=0,N(IFERROR(VLOOKUP(BX144,'Gebinde-Kategorie'!$A$5:$N$45,14,0),0))&gt;0),VLOOKUP(BX144,'Gebinde-Kategorie'!$A$5:$N$45,14,0)*10+Parameter!$M$23,Parameter!$M$24))</f>
        <v>155</v>
      </c>
      <c r="CC144" s="48" t="str">
        <f aca="false">IF(AND(Parameter!$B$19="Ja",E144&lt;&gt;"",ISNUMBER(MATCH(E144,Parameter!$I$35:$I$52,0))),VLOOKUP(E144,Parameter!$I$35:$J$52,2,0),IFERROR(VLOOKUP(D144,Parameter!$A$35:$C$64,2,0),"Nein"))</f>
        <v>2+3</v>
      </c>
      <c r="CD144" s="52" t="n">
        <f aca="false">IF(BZ144=0,0,IF(N(S144)&gt;0,S144,IFERROR(VLOOKUP(D144,Parameter!$A$35:$C$64,3,0)+0,0)))</f>
        <v>0</v>
      </c>
      <c r="CE144" s="48" t="n">
        <f aca="false">IF(AA144&lt;&gt;"",AA144,Z144)</f>
        <v>3</v>
      </c>
      <c r="CF144" s="48" t="str">
        <f aca="false">IF(OR(CE144=1,CE144=2,CE144=3),IF(Parameter!$E$27="Ja","LIFT",IF(CE144=1,"L1","L23")),IF(CE144="Aussen","Aussen","-"))</f>
        <v>LIFT</v>
      </c>
      <c r="CG144" s="59" t="n">
        <f aca="false">IF(N(AB144)&gt;0,AB144,0)</f>
        <v>0</v>
      </c>
      <c r="CH144" s="53" t="n">
        <f aca="false">IF(ISNUMBER(AE144),1,0)</f>
        <v>0</v>
      </c>
      <c r="CI144" s="50" t="n">
        <f aca="false">N(AE144)</f>
        <v>0</v>
      </c>
      <c r="CJ144" s="50" t="n">
        <f aca="false">N(M144)+N(N144)</f>
        <v>41</v>
      </c>
      <c r="CK144" s="50" t="n">
        <f aca="false">N(M144)</f>
        <v>1</v>
      </c>
      <c r="CL144" s="50" t="n">
        <f aca="false">N(N144)</f>
        <v>40</v>
      </c>
      <c r="CM144" s="50" t="n">
        <f aca="false">ROUNDUP(H144/BY144,0)</f>
        <v>7</v>
      </c>
      <c r="CN144" s="50" t="n">
        <f aca="false">ROUNDUP(CI144/BY144,0)</f>
        <v>0</v>
      </c>
      <c r="CO144" s="53" t="n">
        <f aca="false">IF(BZ144=1,0,IFERROR(VLOOKUP(BX144,'Gebinde-Kategorie'!$A$5:$N$45,5,0)+0,0))</f>
        <v>8</v>
      </c>
      <c r="CP144" s="53" t="n">
        <f aca="false">IFERROR(IF(OR(CE144=1,CE144=2,CE144=3),N(INDEX(Parameter!$I$5:$I$7,CE144)),0),0)</f>
        <v>0</v>
      </c>
      <c r="CQ144" s="52" t="n">
        <f aca="false">IF(AND(Parameter!$B$21="Ja",ISNUMBER(W144),N(X144)&gt;0),IFERROR(N(INDEX(Parameter!$L$5:$L$7,W144))*INDEX(Parameter!$E$5:$E$7,W144)*X144/SUMIFS($X$7:$X$1843,$W$7:$W$1843,W144),0),0)</f>
        <v>0</v>
      </c>
    </row>
    <row r="145" customFormat="false" ht="15" hidden="false" customHeight="false" outlineLevel="0" collapsed="false">
      <c r="A145" s="48" t="s">
        <v>505</v>
      </c>
      <c r="B145" s="48" t="s">
        <v>506</v>
      </c>
      <c r="C145" s="48" t="s">
        <v>173</v>
      </c>
      <c r="D145" s="48" t="s">
        <v>193</v>
      </c>
      <c r="E145" s="48" t="s">
        <v>194</v>
      </c>
      <c r="F145" s="48" t="s">
        <v>227</v>
      </c>
      <c r="G145" s="49" t="n">
        <v>8.71</v>
      </c>
      <c r="H145" s="50" t="n">
        <f aca="false">MAX(0,IF(AND(Parameter!$B$21="Ja",ISNUMBER(Y145)),Y145,IF(Parameter!$B$20="Jahresanfang 2025 + Export",BR145+BQ145,BQ145)))</f>
        <v>197</v>
      </c>
      <c r="I145" s="50" t="n">
        <f aca="false">H145*G145</f>
        <v>1715.87</v>
      </c>
      <c r="J145" s="50" t="n">
        <f aca="false">BT145*Parameter!$B$18</f>
        <v>134</v>
      </c>
      <c r="K145" s="51" t="n">
        <v>86</v>
      </c>
      <c r="L145" s="52" t="n">
        <v>1.55813953488372</v>
      </c>
      <c r="M145" s="50" t="n">
        <v>20</v>
      </c>
      <c r="N145" s="50" t="n">
        <v>135</v>
      </c>
      <c r="O145" s="53" t="n">
        <v>56</v>
      </c>
      <c r="P145" s="48" t="s">
        <v>430</v>
      </c>
      <c r="Q145" s="50" t="n">
        <v>91</v>
      </c>
      <c r="R145" s="53" t="n">
        <f aca="false">IF(BZ145=1,0,IFERROR(VLOOKUP(BX145,'Gebinde-Kategorie'!$A$5:$N$45,13,0)+0,0))</f>
        <v>104</v>
      </c>
      <c r="S145" s="54"/>
      <c r="T145" s="55"/>
      <c r="U145" s="55"/>
      <c r="V145" s="55"/>
      <c r="W145" s="48"/>
      <c r="X145" s="50"/>
      <c r="Y145" s="50"/>
      <c r="Z145" s="48" t="n">
        <f aca="false">IF(A145="","",IF(AND(Parameter!$B$21="Ja",ISNUMBER(W145)),W145,IF(CC145="2+3",IF(ISNUMBER(SEARCH("grosser Artikel",BU145)),2,IFERROR(VLOOKUP(BX145,Parameter!$F$35:$G$64,2,0),2)),IF(OR(CC145="Nein",CC145=""),"-",CC145))))</f>
        <v>3</v>
      </c>
      <c r="AA145" s="55"/>
      <c r="AB145" s="56"/>
      <c r="AC145" s="50" t="n">
        <f aca="false">AV145</f>
        <v>155</v>
      </c>
      <c r="AD145" s="50" t="n">
        <f aca="false">MAX(AV145,H145)</f>
        <v>197</v>
      </c>
      <c r="AE145" s="57"/>
      <c r="AF145" s="50" t="n">
        <f aca="false">IF(LEFT(Cockpit!$C$5,1)="A",H145,IF(Parameter!$E$30="MAX-Bestand",IF(CH145=1,CI145,IF(LEFT(Cockpit!$C$5,1)="B",AL145,MAX(AL145,H145))),ROUNDUP(AJ145,0)))</f>
        <v>197</v>
      </c>
      <c r="AG145" s="50" t="n">
        <f aca="false">IF(BZ145=1,0,ROUNDUP(AF145/BY145,0))</f>
        <v>3</v>
      </c>
      <c r="AH145" s="52" t="n">
        <f aca="false">IF(CQ145&gt;0,CQ145*MAX(1,AF145/X145),IF(BZ145=1,IF(AF145&lt;=0,0,CD145*MAX(1,IF(H145&gt;0,AF145/H145,1))),IF(R145&gt;0,AG145/R145,0))/MAX(0.1,N(Parameter!$M$21)))</f>
        <v>0.0288461538461538</v>
      </c>
      <c r="AI145" s="50" t="n">
        <f aca="false">AH145*CB145</f>
        <v>4.47115384615385</v>
      </c>
      <c r="AJ145" s="51" t="n">
        <f aca="false">IF(LEFT(Cockpit!$C$5,1)="A",H145,IF(CH145=1,(CK145+CI145)/2,IF(LEFT(Cockpit!$C$5,1)="B",(CK145+AL145)/2,MAX((CK145+AL145)/2,H145))))</f>
        <v>197</v>
      </c>
      <c r="AK145" s="50" t="n">
        <f aca="false">AJ145*G145</f>
        <v>1715.87</v>
      </c>
      <c r="AL145" s="50" t="n">
        <f aca="false">ROUNDUP(CK145+MAX(CL145,2*(J145/IF(CG145&gt;0,CG145,MAX(0.1,N(Cockpit!$C$6)))-CK145)),0)</f>
        <v>155</v>
      </c>
      <c r="AM145" s="51" t="n">
        <f aca="false">IF(AI145&gt;0,J145/AI145,-1)</f>
        <v>29.9698924731183</v>
      </c>
      <c r="AN145" s="51" t="n">
        <f aca="false">IF(AND(OR(CF145="L1",CF145="L23",CF145="LIFT"),AI145&gt;0),SUMIFS($AI$7:$AI$1843,$CF$7:$CF$1843,CF145,$AM$7:$AM$1843,"&gt;"&amp;AM145)+SUMIFS($AI$7:$AI$1843,$CF$7:$CF$1843,CF145,$AM$7:$AM$1843,AM145,$BW$7:$BW$1843,"&lt;="&amp;BW145),"")</f>
        <v>1492.11767399267</v>
      </c>
      <c r="AO145" s="58" t="n">
        <f aca="false">IF(AN145="",0,MAX(0,MIN(1,(IF(CF145="L1",Parameter!$H$5,IF(CF145="L23",Parameter!$H$6+Parameter!$H$7,Parameter!$H$5+Parameter!$H$6+Parameter!$H$7))-(AN145-AI145))/AI145)))</f>
        <v>1</v>
      </c>
      <c r="AP145" s="50" t="n">
        <f aca="false">IF(LEFT(Cockpit!$I$5,1)="A",H145,IF(Parameter!$E$30="MAX-Bestand",IF(CH145=1,CI145,IF(LEFT(Cockpit!$I$5,1)="B",AV145,MAX(AV145,H145))),ROUNDUP(AT145,0)))</f>
        <v>197</v>
      </c>
      <c r="AQ145" s="50" t="n">
        <f aca="false">IF(BZ145=1,0,ROUNDUP(AP145/BY145,0))</f>
        <v>3</v>
      </c>
      <c r="AR145" s="52" t="n">
        <f aca="false">IF(CQ145&gt;0,CQ145*MAX(1,AP145/X145),IF(BZ145=1,IF(AP145&lt;=0,0,CD145*MAX(1,IF(H145&gt;0,AP145/H145,1))),IF(R145&gt;0,AQ145/R145,0))/MAX(0.1,N(Parameter!$M$21)))</f>
        <v>0.0288461538461538</v>
      </c>
      <c r="AS145" s="50" t="n">
        <f aca="false">AR145*CB145</f>
        <v>4.47115384615385</v>
      </c>
      <c r="AT145" s="51" t="n">
        <f aca="false">IF(LEFT(Cockpit!$I$5,1)="A",H145,IF(CH145=1,(CK145+CI145)/2,IF(LEFT(Cockpit!$I$5,1)="B",(CK145+AV145)/2,MAX((CK145+AV145)/2,H145))))</f>
        <v>197</v>
      </c>
      <c r="AU145" s="50" t="n">
        <f aca="false">AT145*G145</f>
        <v>1715.87</v>
      </c>
      <c r="AV145" s="50" t="n">
        <f aca="false">ROUNDUP(CK145+MAX(CL145,2*(J145/IF(CG145&gt;0,CG145,MAX(0.1,N(Cockpit!$I$6)))-CK145)),0)</f>
        <v>155</v>
      </c>
      <c r="AW145" s="51" t="n">
        <f aca="false">IF(AS145&gt;0,J145/AS145,-1)</f>
        <v>29.9698924731183</v>
      </c>
      <c r="AX145" s="51" t="n">
        <f aca="false">IF(AND(OR(CF145="L1",CF145="L23",CF145="LIFT"),AS145&gt;0),SUMIFS($AS$7:$AS$1843,$CF$7:$CF$1843,CF145,$AW$7:$AW$1843,"&gt;"&amp;AW145)+SUMIFS($AS$7:$AS$1843,$CF$7:$CF$1843,CF145,$AW$7:$AW$1843,AW145,$BW$7:$BW$1843,"&lt;="&amp;BW145),"")</f>
        <v>1910.74496336996</v>
      </c>
      <c r="AY145" s="58" t="n">
        <f aca="false">IF(AX145="",0,MAX(0,MIN(1,(IF(CF145="L1",Parameter!$H$5,IF(CF145="L23",Parameter!$H$6+Parameter!$H$7,Parameter!$H$5+Parameter!$H$6+Parameter!$H$7))-(AX145-AS145))/AS145)))</f>
        <v>1</v>
      </c>
      <c r="AZ145" s="50" t="n">
        <f aca="false">IF(LEFT(Cockpit!$O$5,1)="A",H145,IF(Parameter!$E$30="MAX-Bestand",IF(CH145=1,CI145,IF(LEFT(Cockpit!$O$5,1)="B",BF145,MAX(BF145,H145))),ROUNDUP(BD145,0)))</f>
        <v>88</v>
      </c>
      <c r="BA145" s="50" t="n">
        <f aca="false">IF(BZ145=1,0,ROUNDUP(AZ145/BY145,0))</f>
        <v>1</v>
      </c>
      <c r="BB145" s="52" t="n">
        <f aca="false">IF(CQ145&gt;0,CQ145*MAX(1,AZ145/X145),IF(BZ145=1,IF(AZ145&lt;=0,0,CD145*MAX(1,IF(H145&gt;0,AZ145/H145,1))),IF(R145&gt;0,BA145/R145,0))/MAX(0.1,N(Parameter!$M$21)))</f>
        <v>0.00961538461538462</v>
      </c>
      <c r="BC145" s="50" t="n">
        <f aca="false">BB145*CB145</f>
        <v>1.49038461538462</v>
      </c>
      <c r="BD145" s="51" t="n">
        <f aca="false">IF(LEFT(Cockpit!$O$5,1)="A",H145,IF(CH145=1,(CK145+CI145)/2,IF(LEFT(Cockpit!$O$5,1)="B",(CK145+BF145)/2,MAX((CK145+BF145)/2,H145))))</f>
        <v>87.5</v>
      </c>
      <c r="BE145" s="50" t="n">
        <f aca="false">BD145*G145</f>
        <v>762.125</v>
      </c>
      <c r="BF145" s="50" t="n">
        <f aca="false">ROUNDUP(CK145+MAX(CL145,2*(J145/IF(CG145&gt;0,CG145,MAX(0.1,N(Cockpit!$O$6)))-CK145)),0)</f>
        <v>155</v>
      </c>
      <c r="BG145" s="51" t="n">
        <f aca="false">IF(BC145&gt;0,J145/BC145,-1)</f>
        <v>89.9096774193548</v>
      </c>
      <c r="BH145" s="51" t="n">
        <f aca="false">IF(AND(OR(CF145="L1",CF145="L23",CF145="LIFT"),BC145&gt;0),SUMIFS($BC$7:$BC$1843,$CF$7:$CF$1843,CF145,$BG$7:$BG$1843,"&gt;"&amp;BG145)+SUMIFS($BC$7:$BC$1843,$CF$7:$CF$1843,CF145,$BG$7:$BG$1843,BG145,$BW$7:$BW$1843,"&lt;="&amp;BW145),"")</f>
        <v>970.525641025641</v>
      </c>
      <c r="BI145" s="58" t="n">
        <f aca="false">IF(BH145="",0,MAX(0,MIN(1,(IF(CF145="L1",Parameter!$H$5,IF(CF145="L23",Parameter!$H$6+Parameter!$H$7,Parameter!$H$5+Parameter!$H$6+Parameter!$H$7))-(BH145-BC145))/BC145)))</f>
        <v>1</v>
      </c>
      <c r="BJ145" s="48" t="str">
        <f aca="false">IF(AI145&lt;=0,"",IF(CF145="Aussen","Aussenlager",IF(CF145="-","Nicht im Lift",IF(AO145&gt;=1,"Lift",IF(AO145&lt;=0,"Aussenlager","teilweise")))))</f>
        <v>Lift</v>
      </c>
      <c r="BK145" s="48" t="str">
        <f aca="false">IF(AS145&lt;=0,"",IF(CF145="Aussen","Aussenlager",IF(CF145="-","Nicht im Lift",IF(AY145&gt;=1,"Lift",IF(AY145&lt;=0,"Aussenlager","teilweise")))))</f>
        <v>Lift</v>
      </c>
      <c r="BL145" s="48" t="str">
        <f aca="false">IF(BC145&lt;=0,"",IF(CF145="Aussen","Aussenlager",IF(CF145="-","Nicht im Lift",IF(BI145&gt;=1,"Lift",IF(BI145&lt;=0,"Aussenlager","teilweise")))))</f>
        <v>Lift</v>
      </c>
      <c r="BM145" s="48" t="str">
        <f aca="false">IF(A145="","",IF(BV145=1,"Neu; ","")&amp;IF(AND(BV145=0,BQ145&lt;0),"negativer Bestand (Export "&amp;BQ145&amp;"); ","")&amp;IF(J145&lt;=0,"Kein Verbrauch; ","")&amp;IF(CQ145&gt;0,"Lift "&amp;W145&amp;" lt. Liftbericht (Fach "&amp;X145&amp;" Stk); ",IF(CA145=1,"Gebinde geschätzt ("&amp;T145&amp;"); ",IF(BZ145=1,"Lose – Tablare geschätzt; ","")))&amp;IF(H145&gt;AV145,"Überbestand "&amp;ROUND(H145-AV145,0)&amp;" Stk / CHF "&amp;ROUND((H145-AV145)*G145,0)&amp;"; ","")&amp;IF(AND(CH145=1,CI145&lt;CJ145),"MAX &lt; MB+LG; ","")&amp;IF(AND(CP145&gt;0,CO145*10&gt;CP145),"zu hoch für Tablar; ","")&amp;IF(AND(BV145=0,OR(CH145=1,AA145&lt;&gt;"",U145&lt;&gt;"",V145&lt;&gt;"",AB145&lt;&gt;"")),"manuell übersteuert; ","")&amp;IF(AND(BZ145=0,R145=0),"Gebinde unbekannt / Stellmass fehlt; ","")&amp;IF(AND(BZ145=0,N(V145)&lt;=0,N(Q145)&lt;=0),"Menge pro Gebinde fehlt (Ist = 1 Gebinde); ","")&amp;BU145)</f>
        <v>Überbestand 42 Stk / CHF 366; </v>
      </c>
      <c r="BN145" s="48"/>
      <c r="BO145" s="48"/>
      <c r="BP145" s="55"/>
      <c r="BQ145" s="50" t="n">
        <v>165</v>
      </c>
      <c r="BR145" s="50" t="n">
        <v>32</v>
      </c>
      <c r="BS145" s="49" t="n">
        <v>1394.19</v>
      </c>
      <c r="BT145" s="50" t="n">
        <v>134</v>
      </c>
      <c r="BU145" s="48"/>
      <c r="BV145" s="53" t="n">
        <v>0</v>
      </c>
      <c r="BW145" s="53" t="n">
        <v>145</v>
      </c>
      <c r="BX145" s="48" t="str">
        <f aca="false">IF(U145&lt;&gt;"",UPPER(TRIM(U145)),IF(CA145=1,UPPER(VLOOKUP(T145,Parameter!$I$27:$K$29,2,0)),IF(P145="","LOSE",P145)))</f>
        <v>S32</v>
      </c>
      <c r="BY145" s="50" t="n">
        <f aca="false">IF(BX145="LOSE",1,IF(N(V145)&gt;0,V145,IF(CA145=1,MAX(1,N(VLOOKUP(T145,Parameter!$I$27:$K$29,3,0)),H145,N(N145)),IF(N(Q145)&gt;0,Q145,MAX(1,H145)))))</f>
        <v>91</v>
      </c>
      <c r="BZ145" s="53" t="n">
        <f aca="false">IF(BX145="LOSE",1,0)</f>
        <v>0</v>
      </c>
      <c r="CA145" s="53" t="n">
        <f aca="false">IF(AND(U145="",OR(P145="",P145="LOSE"),T145&lt;&gt;"",N(S145)&lt;=0,ISNUMBER(MATCH(T145,Parameter!$I$27:$I$29,0))),1,0)</f>
        <v>0</v>
      </c>
      <c r="CB145" s="53" t="n">
        <f aca="false">IF(CQ145&gt;0,INDEX(Parameter!$H$5:$H$7,W145)/INDEX(Parameter!$E$5:$E$7,W145),IF(AND(BZ145=0,N(IFERROR(VLOOKUP(BX145,'Gebinde-Kategorie'!$A$5:$N$45,14,0),0))&gt;0),VLOOKUP(BX145,'Gebinde-Kategorie'!$A$5:$N$45,14,0)*10+Parameter!$M$23,Parameter!$M$24))</f>
        <v>155</v>
      </c>
      <c r="CC145" s="48" t="str">
        <f aca="false">IF(AND(Parameter!$B$19="Ja",E145&lt;&gt;"",ISNUMBER(MATCH(E145,Parameter!$I$35:$I$52,0))),VLOOKUP(E145,Parameter!$I$35:$J$52,2,0),IFERROR(VLOOKUP(D145,Parameter!$A$35:$C$64,2,0),"Nein"))</f>
        <v>2+3</v>
      </c>
      <c r="CD145" s="52" t="n">
        <f aca="false">IF(BZ145=0,0,IF(N(S145)&gt;0,S145,IFERROR(VLOOKUP(D145,Parameter!$A$35:$C$64,3,0)+0,0)))</f>
        <v>0</v>
      </c>
      <c r="CE145" s="48" t="n">
        <f aca="false">IF(AA145&lt;&gt;"",AA145,Z145)</f>
        <v>3</v>
      </c>
      <c r="CF145" s="48" t="str">
        <f aca="false">IF(OR(CE145=1,CE145=2,CE145=3),IF(Parameter!$E$27="Ja","LIFT",IF(CE145=1,"L1","L23")),IF(CE145="Aussen","Aussen","-"))</f>
        <v>LIFT</v>
      </c>
      <c r="CG145" s="59" t="n">
        <f aca="false">IF(N(AB145)&gt;0,AB145,0)</f>
        <v>0</v>
      </c>
      <c r="CH145" s="53" t="n">
        <f aca="false">IF(ISNUMBER(AE145),1,0)</f>
        <v>0</v>
      </c>
      <c r="CI145" s="50" t="n">
        <f aca="false">N(AE145)</f>
        <v>0</v>
      </c>
      <c r="CJ145" s="50" t="n">
        <f aca="false">N(M145)+N(N145)</f>
        <v>155</v>
      </c>
      <c r="CK145" s="50" t="n">
        <f aca="false">N(M145)</f>
        <v>20</v>
      </c>
      <c r="CL145" s="50" t="n">
        <f aca="false">N(N145)</f>
        <v>135</v>
      </c>
      <c r="CM145" s="50" t="n">
        <f aca="false">ROUNDUP(H145/BY145,0)</f>
        <v>3</v>
      </c>
      <c r="CN145" s="50" t="n">
        <f aca="false">ROUNDUP(CI145/BY145,0)</f>
        <v>0</v>
      </c>
      <c r="CO145" s="53" t="n">
        <f aca="false">IF(BZ145=1,0,IFERROR(VLOOKUP(BX145,'Gebinde-Kategorie'!$A$5:$N$45,5,0)+0,0))</f>
        <v>8</v>
      </c>
      <c r="CP145" s="53" t="n">
        <f aca="false">IFERROR(IF(OR(CE145=1,CE145=2,CE145=3),N(INDEX(Parameter!$I$5:$I$7,CE145)),0),0)</f>
        <v>0</v>
      </c>
      <c r="CQ145" s="52" t="n">
        <f aca="false">IF(AND(Parameter!$B$21="Ja",ISNUMBER(W145),N(X145)&gt;0),IFERROR(N(INDEX(Parameter!$L$5:$L$7,W145))*INDEX(Parameter!$E$5:$E$7,W145)*X145/SUMIFS($X$7:$X$1843,$W$7:$W$1843,W145),0),0)</f>
        <v>0</v>
      </c>
    </row>
    <row r="146" customFormat="false" ht="15" hidden="false" customHeight="false" outlineLevel="0" collapsed="false">
      <c r="A146" s="48" t="s">
        <v>507</v>
      </c>
      <c r="B146" s="48" t="s">
        <v>508</v>
      </c>
      <c r="C146" s="48" t="s">
        <v>173</v>
      </c>
      <c r="D146" s="48" t="s">
        <v>182</v>
      </c>
      <c r="E146" s="48"/>
      <c r="F146" s="48" t="s">
        <v>227</v>
      </c>
      <c r="G146" s="49" t="n">
        <v>1394</v>
      </c>
      <c r="H146" s="50" t="n">
        <f aca="false">MAX(0,IF(AND(Parameter!$B$21="Ja",ISNUMBER(Y146)),Y146,IF(Parameter!$B$20="Jahresanfang 2025 + Export",BR146+BQ146,BQ146)))</f>
        <v>1</v>
      </c>
      <c r="I146" s="50" t="n">
        <f aca="false">H146*G146</f>
        <v>1394</v>
      </c>
      <c r="J146" s="50" t="n">
        <f aca="false">BT146*Parameter!$B$18</f>
        <v>0</v>
      </c>
      <c r="K146" s="51" t="n">
        <v>1</v>
      </c>
      <c r="L146" s="52" t="n">
        <v>0</v>
      </c>
      <c r="M146" s="50" t="n">
        <v>0</v>
      </c>
      <c r="N146" s="50" t="n">
        <v>1</v>
      </c>
      <c r="O146" s="53" t="n">
        <v>70</v>
      </c>
      <c r="P146" s="48" t="s">
        <v>311</v>
      </c>
      <c r="Q146" s="50" t="n">
        <v>2</v>
      </c>
      <c r="R146" s="53" t="n">
        <f aca="false">IF(BZ146=1,0,IFERROR(VLOOKUP(BX146,'Gebinde-Kategorie'!$A$5:$N$45,13,0)+0,0))</f>
        <v>26</v>
      </c>
      <c r="S146" s="54"/>
      <c r="T146" s="55"/>
      <c r="U146" s="55"/>
      <c r="V146" s="55"/>
      <c r="W146" s="48"/>
      <c r="X146" s="50"/>
      <c r="Y146" s="50"/>
      <c r="Z146" s="48" t="n">
        <f aca="false">IF(A146="","",IF(AND(Parameter!$B$21="Ja",ISNUMBER(W146)),W146,IF(CC146="2+3",IF(ISNUMBER(SEARCH("grosser Artikel",BU146)),2,IFERROR(VLOOKUP(BX146,Parameter!$F$35:$G$64,2,0),2)),IF(OR(CC146="Nein",CC146=""),"-",CC146))))</f>
        <v>3</v>
      </c>
      <c r="AA146" s="55"/>
      <c r="AB146" s="56"/>
      <c r="AC146" s="50" t="n">
        <f aca="false">AV146</f>
        <v>1</v>
      </c>
      <c r="AD146" s="50" t="n">
        <f aca="false">MAX(AV146,H146)</f>
        <v>1</v>
      </c>
      <c r="AE146" s="57"/>
      <c r="AF146" s="50" t="n">
        <f aca="false">IF(LEFT(Cockpit!$C$5,1)="A",H146,IF(Parameter!$E$30="MAX-Bestand",IF(CH146=1,CI146,IF(LEFT(Cockpit!$C$5,1)="B",AL146,MAX(AL146,H146))),ROUNDUP(AJ146,0)))</f>
        <v>1</v>
      </c>
      <c r="AG146" s="50" t="n">
        <f aca="false">IF(BZ146=1,0,ROUNDUP(AF146/BY146,0))</f>
        <v>1</v>
      </c>
      <c r="AH146" s="52" t="n">
        <f aca="false">IF(CQ146&gt;0,CQ146*MAX(1,AF146/X146),IF(BZ146=1,IF(AF146&lt;=0,0,CD146*MAX(1,IF(H146&gt;0,AF146/H146,1))),IF(R146&gt;0,AG146/R146,0))/MAX(0.1,N(Parameter!$M$21)))</f>
        <v>0.0384615384615385</v>
      </c>
      <c r="AI146" s="50" t="n">
        <f aca="false">AH146*CB146</f>
        <v>5.96153846153846</v>
      </c>
      <c r="AJ146" s="51" t="n">
        <f aca="false">IF(LEFT(Cockpit!$C$5,1)="A",H146,IF(CH146=1,(CK146+CI146)/2,IF(LEFT(Cockpit!$C$5,1)="B",(CK146+AL146)/2,MAX((CK146+AL146)/2,H146))))</f>
        <v>1</v>
      </c>
      <c r="AK146" s="50" t="n">
        <f aca="false">AJ146*G146</f>
        <v>1394</v>
      </c>
      <c r="AL146" s="50" t="n">
        <f aca="false">ROUNDUP(CK146+MAX(CL146,2*(J146/IF(CG146&gt;0,CG146,MAX(0.1,N(Cockpit!$C$6)))-CK146)),0)</f>
        <v>1</v>
      </c>
      <c r="AM146" s="51" t="n">
        <f aca="false">IF(AI146&gt;0,J146/AI146,-1)</f>
        <v>0</v>
      </c>
      <c r="AN146" s="51" t="n">
        <f aca="false">IF(AND(OR(CF146="L1",CF146="L23",CF146="LIFT"),AI146&gt;0),SUMIFS($AI$7:$AI$1843,$CF$7:$CF$1843,CF146,$AM$7:$AM$1843,"&gt;"&amp;AM146)+SUMIFS($AI$7:$AI$1843,$CF$7:$CF$1843,CF146,$AM$7:$AM$1843,AM146,$BW$7:$BW$1843,"&lt;="&amp;BW146),"")</f>
        <v>27279.0651864614</v>
      </c>
      <c r="AO146" s="58" t="n">
        <f aca="false">IF(AN146="",0,MAX(0,MIN(1,(IF(CF146="L1",Parameter!$H$5,IF(CF146="L23",Parameter!$H$6+Parameter!$H$7,Parameter!$H$5+Parameter!$H$6+Parameter!$H$7))-(AN146-AI146))/AI146)))</f>
        <v>1</v>
      </c>
      <c r="AP146" s="50" t="n">
        <f aca="false">IF(LEFT(Cockpit!$I$5,1)="A",H146,IF(Parameter!$E$30="MAX-Bestand",IF(CH146=1,CI146,IF(LEFT(Cockpit!$I$5,1)="B",AV146,MAX(AV146,H146))),ROUNDUP(AT146,0)))</f>
        <v>1</v>
      </c>
      <c r="AQ146" s="50" t="n">
        <f aca="false">IF(BZ146=1,0,ROUNDUP(AP146/BY146,0))</f>
        <v>1</v>
      </c>
      <c r="AR146" s="52" t="n">
        <f aca="false">IF(CQ146&gt;0,CQ146*MAX(1,AP146/X146),IF(BZ146=1,IF(AP146&lt;=0,0,CD146*MAX(1,IF(H146&gt;0,AP146/H146,1))),IF(R146&gt;0,AQ146/R146,0))/MAX(0.1,N(Parameter!$M$21)))</f>
        <v>0.0384615384615385</v>
      </c>
      <c r="AS146" s="50" t="n">
        <f aca="false">AR146*CB146</f>
        <v>5.96153846153846</v>
      </c>
      <c r="AT146" s="51" t="n">
        <f aca="false">IF(LEFT(Cockpit!$I$5,1)="A",H146,IF(CH146=1,(CK146+CI146)/2,IF(LEFT(Cockpit!$I$5,1)="B",(CK146+AV146)/2,MAX((CK146+AV146)/2,H146))))</f>
        <v>1</v>
      </c>
      <c r="AU146" s="50" t="n">
        <f aca="false">AT146*G146</f>
        <v>1394</v>
      </c>
      <c r="AV146" s="50" t="n">
        <f aca="false">ROUNDUP(CK146+MAX(CL146,2*(J146/IF(CG146&gt;0,CG146,MAX(0.1,N(Cockpit!$I$6)))-CK146)),0)</f>
        <v>1</v>
      </c>
      <c r="AW146" s="51" t="n">
        <f aca="false">IF(AS146&gt;0,J146/AS146,-1)</f>
        <v>0</v>
      </c>
      <c r="AX146" s="51" t="n">
        <f aca="false">IF(AND(OR(CF146="L1",CF146="L23",CF146="LIFT"),AS146&gt;0),SUMIFS($AS$7:$AS$1843,$CF$7:$CF$1843,CF146,$AW$7:$AW$1843,"&gt;"&amp;AW146)+SUMIFS($AS$7:$AS$1843,$CF$7:$CF$1843,CF146,$AW$7:$AW$1843,AW146,$BW$7:$BW$1843,"&lt;="&amp;BW146),"")</f>
        <v>32632.2138278388</v>
      </c>
      <c r="AY146" s="58" t="n">
        <f aca="false">IF(AX146="",0,MAX(0,MIN(1,(IF(CF146="L1",Parameter!$H$5,IF(CF146="L23",Parameter!$H$6+Parameter!$H$7,Parameter!$H$5+Parameter!$H$6+Parameter!$H$7))-(AX146-AS146))/AS146)))</f>
        <v>1</v>
      </c>
      <c r="AZ146" s="50" t="n">
        <f aca="false">IF(LEFT(Cockpit!$O$5,1)="A",H146,IF(Parameter!$E$30="MAX-Bestand",IF(CH146=1,CI146,IF(LEFT(Cockpit!$O$5,1)="B",BF146,MAX(BF146,H146))),ROUNDUP(BD146,0)))</f>
        <v>1</v>
      </c>
      <c r="BA146" s="50" t="n">
        <f aca="false">IF(BZ146=1,0,ROUNDUP(AZ146/BY146,0))</f>
        <v>1</v>
      </c>
      <c r="BB146" s="52" t="n">
        <f aca="false">IF(CQ146&gt;0,CQ146*MAX(1,AZ146/X146),IF(BZ146=1,IF(AZ146&lt;=0,0,CD146*MAX(1,IF(H146&gt;0,AZ146/H146,1))),IF(R146&gt;0,BA146/R146,0))/MAX(0.1,N(Parameter!$M$21)))</f>
        <v>0.0384615384615385</v>
      </c>
      <c r="BC146" s="50" t="n">
        <f aca="false">BB146*CB146</f>
        <v>5.96153846153846</v>
      </c>
      <c r="BD146" s="51" t="n">
        <f aca="false">IF(LEFT(Cockpit!$O$5,1)="A",H146,IF(CH146=1,(CK146+CI146)/2,IF(LEFT(Cockpit!$O$5,1)="B",(CK146+BF146)/2,MAX((CK146+BF146)/2,H146))))</f>
        <v>0.5</v>
      </c>
      <c r="BE146" s="50" t="n">
        <f aca="false">BD146*G146</f>
        <v>697</v>
      </c>
      <c r="BF146" s="50" t="n">
        <f aca="false">ROUNDUP(CK146+MAX(CL146,2*(J146/IF(CG146&gt;0,CG146,MAX(0.1,N(Cockpit!$O$6)))-CK146)),0)</f>
        <v>1</v>
      </c>
      <c r="BG146" s="51" t="n">
        <f aca="false">IF(BC146&gt;0,J146/BC146,-1)</f>
        <v>0</v>
      </c>
      <c r="BH146" s="51" t="n">
        <f aca="false">IF(AND(OR(CF146="L1",CF146="L23",CF146="LIFT"),BC146&gt;0),SUMIFS($BC$7:$BC$1843,$CF$7:$CF$1843,CF146,$BG$7:$BG$1843,"&gt;"&amp;BG146)+SUMIFS($BC$7:$BC$1843,$CF$7:$CF$1843,CF146,$BG$7:$BG$1843,BG146,$BW$7:$BW$1843,"&lt;="&amp;BW146),"")</f>
        <v>26796.455927547</v>
      </c>
      <c r="BI146" s="58" t="n">
        <f aca="false">IF(BH146="",0,MAX(0,MIN(1,(IF(CF146="L1",Parameter!$H$5,IF(CF146="L23",Parameter!$H$6+Parameter!$H$7,Parameter!$H$5+Parameter!$H$6+Parameter!$H$7))-(BH146-BC146))/BC146)))</f>
        <v>1</v>
      </c>
      <c r="BJ146" s="48" t="str">
        <f aca="false">IF(AI146&lt;=0,"",IF(CF146="Aussen","Aussenlager",IF(CF146="-","Nicht im Lift",IF(AO146&gt;=1,"Lift",IF(AO146&lt;=0,"Aussenlager","teilweise")))))</f>
        <v>Lift</v>
      </c>
      <c r="BK146" s="48" t="str">
        <f aca="false">IF(AS146&lt;=0,"",IF(CF146="Aussen","Aussenlager",IF(CF146="-","Nicht im Lift",IF(AY146&gt;=1,"Lift",IF(AY146&lt;=0,"Aussenlager","teilweise")))))</f>
        <v>Lift</v>
      </c>
      <c r="BL146" s="48" t="str">
        <f aca="false">IF(BC146&lt;=0,"",IF(CF146="Aussen","Aussenlager",IF(CF146="-","Nicht im Lift",IF(BI146&gt;=1,"Lift",IF(BI146&lt;=0,"Aussenlager","teilweise")))))</f>
        <v>Lift</v>
      </c>
      <c r="BM146" s="48" t="str">
        <f aca="false">IF(A146="","",IF(BV146=1,"Neu; ","")&amp;IF(AND(BV146=0,BQ146&lt;0),"negativer Bestand (Export "&amp;BQ146&amp;"); ","")&amp;IF(J146&lt;=0,"Kein Verbrauch; ","")&amp;IF(CQ146&gt;0,"Lift "&amp;W146&amp;" lt. Liftbericht (Fach "&amp;X146&amp;" Stk); ",IF(CA146=1,"Gebinde geschätzt ("&amp;T146&amp;"); ",IF(BZ146=1,"Lose – Tablare geschätzt; ","")))&amp;IF(H146&gt;AV146,"Überbestand "&amp;ROUND(H146-AV146,0)&amp;" Stk / CHF "&amp;ROUND((H146-AV146)*G146,0)&amp;"; ","")&amp;IF(AND(CH146=1,CI146&lt;CJ146),"MAX &lt; MB+LG; ","")&amp;IF(AND(CP146&gt;0,CO146*10&gt;CP146),"zu hoch für Tablar; ","")&amp;IF(AND(BV146=0,OR(CH146=1,AA146&lt;&gt;"",U146&lt;&gt;"",V146&lt;&gt;"",AB146&lt;&gt;"")),"manuell übersteuert; ","")&amp;IF(AND(BZ146=0,R146=0),"Gebinde unbekannt / Stellmass fehlt; ","")&amp;IF(AND(BZ146=0,N(V146)&lt;=0,N(Q146)&lt;=0),"Menge pro Gebinde fehlt (Ist = 1 Gebinde); ","")&amp;BU146)</f>
        <v>Kein Verbrauch; </v>
      </c>
      <c r="BN146" s="48"/>
      <c r="BO146" s="48"/>
      <c r="BP146" s="55"/>
      <c r="BQ146" s="50" t="n">
        <v>1</v>
      </c>
      <c r="BR146" s="50" t="n">
        <v>0</v>
      </c>
      <c r="BS146" s="49" t="n">
        <v>1394</v>
      </c>
      <c r="BT146" s="50" t="n">
        <v>0</v>
      </c>
      <c r="BU146" s="48"/>
      <c r="BV146" s="53" t="n">
        <v>0</v>
      </c>
      <c r="BW146" s="53" t="n">
        <v>146</v>
      </c>
      <c r="BX146" s="48" t="str">
        <f aca="false">IF(U146&lt;&gt;"",UPPER(TRIM(U146)),IF(CA146=1,UPPER(VLOOKUP(T146,Parameter!$I$27:$K$29,2,0)),IF(P146="","LOSE",P146)))</f>
        <v>S51</v>
      </c>
      <c r="BY146" s="50" t="n">
        <f aca="false">IF(BX146="LOSE",1,IF(N(V146)&gt;0,V146,IF(CA146=1,MAX(1,N(VLOOKUP(T146,Parameter!$I$27:$K$29,3,0)),H146,N(N146)),IF(N(Q146)&gt;0,Q146,MAX(1,H146)))))</f>
        <v>2</v>
      </c>
      <c r="BZ146" s="53" t="n">
        <f aca="false">IF(BX146="LOSE",1,0)</f>
        <v>0</v>
      </c>
      <c r="CA146" s="53" t="n">
        <f aca="false">IF(AND(U146="",OR(P146="",P146="LOSE"),T146&lt;&gt;"",N(S146)&lt;=0,ISNUMBER(MATCH(T146,Parameter!$I$27:$I$29,0))),1,0)</f>
        <v>0</v>
      </c>
      <c r="CB146" s="53" t="n">
        <f aca="false">IF(CQ146&gt;0,INDEX(Parameter!$H$5:$H$7,W146)/INDEX(Parameter!$E$5:$E$7,W146),IF(AND(BZ146=0,N(IFERROR(VLOOKUP(BX146,'Gebinde-Kategorie'!$A$5:$N$45,14,0),0))&gt;0),VLOOKUP(BX146,'Gebinde-Kategorie'!$A$5:$N$45,14,0)*10+Parameter!$M$23,Parameter!$M$24))</f>
        <v>155</v>
      </c>
      <c r="CC146" s="48" t="str">
        <f aca="false">IF(AND(Parameter!$B$19="Ja",E146&lt;&gt;"",ISNUMBER(MATCH(E146,Parameter!$I$35:$I$52,0))),VLOOKUP(E146,Parameter!$I$35:$J$52,2,0),IFERROR(VLOOKUP(D146,Parameter!$A$35:$C$64,2,0),"Nein"))</f>
        <v>2+3</v>
      </c>
      <c r="CD146" s="52" t="n">
        <f aca="false">IF(BZ146=0,0,IF(N(S146)&gt;0,S146,IFERROR(VLOOKUP(D146,Parameter!$A$35:$C$64,3,0)+0,0)))</f>
        <v>0</v>
      </c>
      <c r="CE146" s="48" t="n">
        <f aca="false">IF(AA146&lt;&gt;"",AA146,Z146)</f>
        <v>3</v>
      </c>
      <c r="CF146" s="48" t="str">
        <f aca="false">IF(OR(CE146=1,CE146=2,CE146=3),IF(Parameter!$E$27="Ja","LIFT",IF(CE146=1,"L1","L23")),IF(CE146="Aussen","Aussen","-"))</f>
        <v>LIFT</v>
      </c>
      <c r="CG146" s="59" t="n">
        <f aca="false">IF(N(AB146)&gt;0,AB146,0)</f>
        <v>0</v>
      </c>
      <c r="CH146" s="53" t="n">
        <f aca="false">IF(ISNUMBER(AE146),1,0)</f>
        <v>0</v>
      </c>
      <c r="CI146" s="50" t="n">
        <f aca="false">N(AE146)</f>
        <v>0</v>
      </c>
      <c r="CJ146" s="50" t="n">
        <f aca="false">N(M146)+N(N146)</f>
        <v>1</v>
      </c>
      <c r="CK146" s="50" t="n">
        <f aca="false">N(M146)</f>
        <v>0</v>
      </c>
      <c r="CL146" s="50" t="n">
        <f aca="false">N(N146)</f>
        <v>1</v>
      </c>
      <c r="CM146" s="50" t="n">
        <f aca="false">ROUNDUP(H146/BY146,0)</f>
        <v>1</v>
      </c>
      <c r="CN146" s="50" t="n">
        <f aca="false">ROUNDUP(CI146/BY146,0)</f>
        <v>0</v>
      </c>
      <c r="CO146" s="53" t="n">
        <f aca="false">IF(BZ146=1,0,IFERROR(VLOOKUP(BX146,'Gebinde-Kategorie'!$A$5:$N$45,5,0)+0,0))</f>
        <v>11</v>
      </c>
      <c r="CP146" s="53" t="n">
        <f aca="false">IFERROR(IF(OR(CE146=1,CE146=2,CE146=3),N(INDEX(Parameter!$I$5:$I$7,CE146)),0),0)</f>
        <v>0</v>
      </c>
      <c r="CQ146" s="52" t="n">
        <f aca="false">IF(AND(Parameter!$B$21="Ja",ISNUMBER(W146),N(X146)&gt;0),IFERROR(N(INDEX(Parameter!$L$5:$L$7,W146))*INDEX(Parameter!$E$5:$E$7,W146)*X146/SUMIFS($X$7:$X$1843,$W$7:$W$1843,W146),0),0)</f>
        <v>0</v>
      </c>
    </row>
    <row r="147" customFormat="false" ht="15" hidden="false" customHeight="false" outlineLevel="0" collapsed="false">
      <c r="A147" s="48" t="s">
        <v>509</v>
      </c>
      <c r="B147" s="48" t="s">
        <v>510</v>
      </c>
      <c r="C147" s="48" t="s">
        <v>173</v>
      </c>
      <c r="D147" s="48" t="s">
        <v>182</v>
      </c>
      <c r="E147" s="48"/>
      <c r="F147" s="48" t="s">
        <v>227</v>
      </c>
      <c r="G147" s="49" t="n">
        <v>23</v>
      </c>
      <c r="H147" s="50" t="n">
        <f aca="false">MAX(0,IF(AND(Parameter!$B$21="Ja",ISNUMBER(Y147)),Y147,IF(Parameter!$B$20="Jahresanfang 2025 + Export",BR147+BQ147,BQ147)))</f>
        <v>60</v>
      </c>
      <c r="I147" s="50" t="n">
        <f aca="false">H147*G147</f>
        <v>1380</v>
      </c>
      <c r="J147" s="50" t="n">
        <f aca="false">BT147*Parameter!$B$18</f>
        <v>0</v>
      </c>
      <c r="K147" s="51" t="n">
        <v>5</v>
      </c>
      <c r="L147" s="52" t="n">
        <v>0</v>
      </c>
      <c r="M147" s="50" t="n">
        <v>0</v>
      </c>
      <c r="N147" s="50" t="n">
        <v>1</v>
      </c>
      <c r="O147" s="53" t="n">
        <v>28</v>
      </c>
      <c r="P147" s="48" t="s">
        <v>177</v>
      </c>
      <c r="Q147" s="50"/>
      <c r="R147" s="53" t="n">
        <f aca="false">IF(BZ147=1,0,IFERROR(VLOOKUP(BX147,'Gebinde-Kategorie'!$A$5:$N$45,13,0)+0,0))</f>
        <v>26</v>
      </c>
      <c r="S147" s="54"/>
      <c r="T147" s="55" t="s">
        <v>284</v>
      </c>
      <c r="U147" s="55"/>
      <c r="V147" s="55"/>
      <c r="W147" s="48"/>
      <c r="X147" s="50"/>
      <c r="Y147" s="50"/>
      <c r="Z147" s="48" t="n">
        <f aca="false">IF(A147="","",IF(AND(Parameter!$B$21="Ja",ISNUMBER(W147)),W147,IF(CC147="2+3",IF(ISNUMBER(SEARCH("grosser Artikel",BU147)),2,IFERROR(VLOOKUP(BX147,Parameter!$F$35:$G$64,2,0),2)),IF(OR(CC147="Nein",CC147=""),"-",CC147))))</f>
        <v>3</v>
      </c>
      <c r="AA147" s="55"/>
      <c r="AB147" s="56"/>
      <c r="AC147" s="50" t="n">
        <f aca="false">AV147</f>
        <v>1</v>
      </c>
      <c r="AD147" s="50" t="n">
        <f aca="false">MAX(AV147,H147)</f>
        <v>60</v>
      </c>
      <c r="AE147" s="57"/>
      <c r="AF147" s="50" t="n">
        <f aca="false">IF(LEFT(Cockpit!$C$5,1)="A",H147,IF(Parameter!$E$30="MAX-Bestand",IF(CH147=1,CI147,IF(LEFT(Cockpit!$C$5,1)="B",AL147,MAX(AL147,H147))),ROUNDUP(AJ147,0)))</f>
        <v>60</v>
      </c>
      <c r="AG147" s="50" t="n">
        <f aca="false">IF(BZ147=1,0,ROUNDUP(AF147/BY147,0))</f>
        <v>1</v>
      </c>
      <c r="AH147" s="52" t="n">
        <f aca="false">IF(CQ147&gt;0,CQ147*MAX(1,AF147/X147),IF(BZ147=1,IF(AF147&lt;=0,0,CD147*MAX(1,IF(H147&gt;0,AF147/H147,1))),IF(R147&gt;0,AG147/R147,0))/MAX(0.1,N(Parameter!$M$21)))</f>
        <v>0.0384615384615385</v>
      </c>
      <c r="AI147" s="50" t="n">
        <f aca="false">AH147*CB147</f>
        <v>5.96153846153846</v>
      </c>
      <c r="AJ147" s="51" t="n">
        <f aca="false">IF(LEFT(Cockpit!$C$5,1)="A",H147,IF(CH147=1,(CK147+CI147)/2,IF(LEFT(Cockpit!$C$5,1)="B",(CK147+AL147)/2,MAX((CK147+AL147)/2,H147))))</f>
        <v>60</v>
      </c>
      <c r="AK147" s="50" t="n">
        <f aca="false">AJ147*G147</f>
        <v>1380</v>
      </c>
      <c r="AL147" s="50" t="n">
        <f aca="false">ROUNDUP(CK147+MAX(CL147,2*(J147/IF(CG147&gt;0,CG147,MAX(0.1,N(Cockpit!$C$6)))-CK147)),0)</f>
        <v>1</v>
      </c>
      <c r="AM147" s="51" t="n">
        <f aca="false">IF(AI147&gt;0,J147/AI147,-1)</f>
        <v>0</v>
      </c>
      <c r="AN147" s="51" t="n">
        <f aca="false">IF(AND(OR(CF147="L1",CF147="L23",CF147="LIFT"),AI147&gt;0),SUMIFS($AI$7:$AI$1843,$CF$7:$CF$1843,CF147,$AM$7:$AM$1843,"&gt;"&amp;AM147)+SUMIFS($AI$7:$AI$1843,$CF$7:$CF$1843,CF147,$AM$7:$AM$1843,AM147,$BW$7:$BW$1843,"&lt;="&amp;BW147),"")</f>
        <v>27285.0267249229</v>
      </c>
      <c r="AO147" s="58" t="n">
        <f aca="false">IF(AN147="",0,MAX(0,MIN(1,(IF(CF147="L1",Parameter!$H$5,IF(CF147="L23",Parameter!$H$6+Parameter!$H$7,Parameter!$H$5+Parameter!$H$6+Parameter!$H$7))-(AN147-AI147))/AI147)))</f>
        <v>1</v>
      </c>
      <c r="AP147" s="50" t="n">
        <f aca="false">IF(LEFT(Cockpit!$I$5,1)="A",H147,IF(Parameter!$E$30="MAX-Bestand",IF(CH147=1,CI147,IF(LEFT(Cockpit!$I$5,1)="B",AV147,MAX(AV147,H147))),ROUNDUP(AT147,0)))</f>
        <v>60</v>
      </c>
      <c r="AQ147" s="50" t="n">
        <f aca="false">IF(BZ147=1,0,ROUNDUP(AP147/BY147,0))</f>
        <v>1</v>
      </c>
      <c r="AR147" s="52" t="n">
        <f aca="false">IF(CQ147&gt;0,CQ147*MAX(1,AP147/X147),IF(BZ147=1,IF(AP147&lt;=0,0,CD147*MAX(1,IF(H147&gt;0,AP147/H147,1))),IF(R147&gt;0,AQ147/R147,0))/MAX(0.1,N(Parameter!$M$21)))</f>
        <v>0.0384615384615385</v>
      </c>
      <c r="AS147" s="50" t="n">
        <f aca="false">AR147*CB147</f>
        <v>5.96153846153846</v>
      </c>
      <c r="AT147" s="51" t="n">
        <f aca="false">IF(LEFT(Cockpit!$I$5,1)="A",H147,IF(CH147=1,(CK147+CI147)/2,IF(LEFT(Cockpit!$I$5,1)="B",(CK147+AV147)/2,MAX((CK147+AV147)/2,H147))))</f>
        <v>60</v>
      </c>
      <c r="AU147" s="50" t="n">
        <f aca="false">AT147*G147</f>
        <v>1380</v>
      </c>
      <c r="AV147" s="50" t="n">
        <f aca="false">ROUNDUP(CK147+MAX(CL147,2*(J147/IF(CG147&gt;0,CG147,MAX(0.1,N(Cockpit!$I$6)))-CK147)),0)</f>
        <v>1</v>
      </c>
      <c r="AW147" s="51" t="n">
        <f aca="false">IF(AS147&gt;0,J147/AS147,-1)</f>
        <v>0</v>
      </c>
      <c r="AX147" s="51" t="n">
        <f aca="false">IF(AND(OR(CF147="L1",CF147="L23",CF147="LIFT"),AS147&gt;0),SUMIFS($AS$7:$AS$1843,$CF$7:$CF$1843,CF147,$AW$7:$AW$1843,"&gt;"&amp;AW147)+SUMIFS($AS$7:$AS$1843,$CF$7:$CF$1843,CF147,$AW$7:$AW$1843,AW147,$BW$7:$BW$1843,"&lt;="&amp;BW147),"")</f>
        <v>32638.1753663004</v>
      </c>
      <c r="AY147" s="58" t="n">
        <f aca="false">IF(AX147="",0,MAX(0,MIN(1,(IF(CF147="L1",Parameter!$H$5,IF(CF147="L23",Parameter!$H$6+Parameter!$H$7,Parameter!$H$5+Parameter!$H$6+Parameter!$H$7))-(AX147-AS147))/AS147)))</f>
        <v>1</v>
      </c>
      <c r="AZ147" s="50" t="n">
        <f aca="false">IF(LEFT(Cockpit!$O$5,1)="A",H147,IF(Parameter!$E$30="MAX-Bestand",IF(CH147=1,CI147,IF(LEFT(Cockpit!$O$5,1)="B",BF147,MAX(BF147,H147))),ROUNDUP(BD147,0)))</f>
        <v>1</v>
      </c>
      <c r="BA147" s="50" t="n">
        <f aca="false">IF(BZ147=1,0,ROUNDUP(AZ147/BY147,0))</f>
        <v>1</v>
      </c>
      <c r="BB147" s="52" t="n">
        <f aca="false">IF(CQ147&gt;0,CQ147*MAX(1,AZ147/X147),IF(BZ147=1,IF(AZ147&lt;=0,0,CD147*MAX(1,IF(H147&gt;0,AZ147/H147,1))),IF(R147&gt;0,BA147/R147,0))/MAX(0.1,N(Parameter!$M$21)))</f>
        <v>0.0384615384615385</v>
      </c>
      <c r="BC147" s="50" t="n">
        <f aca="false">BB147*CB147</f>
        <v>5.96153846153846</v>
      </c>
      <c r="BD147" s="51" t="n">
        <f aca="false">IF(LEFT(Cockpit!$O$5,1)="A",H147,IF(CH147=1,(CK147+CI147)/2,IF(LEFT(Cockpit!$O$5,1)="B",(CK147+BF147)/2,MAX((CK147+BF147)/2,H147))))</f>
        <v>0.5</v>
      </c>
      <c r="BE147" s="50" t="n">
        <f aca="false">BD147*G147</f>
        <v>11.5</v>
      </c>
      <c r="BF147" s="50" t="n">
        <f aca="false">ROUNDUP(CK147+MAX(CL147,2*(J147/IF(CG147&gt;0,CG147,MAX(0.1,N(Cockpit!$O$6)))-CK147)),0)</f>
        <v>1</v>
      </c>
      <c r="BG147" s="51" t="n">
        <f aca="false">IF(BC147&gt;0,J147/BC147,-1)</f>
        <v>0</v>
      </c>
      <c r="BH147" s="51" t="n">
        <f aca="false">IF(AND(OR(CF147="L1",CF147="L23",CF147="LIFT"),BC147&gt;0),SUMIFS($BC$7:$BC$1843,$CF$7:$CF$1843,CF147,$BG$7:$BG$1843,"&gt;"&amp;BG147)+SUMIFS($BC$7:$BC$1843,$CF$7:$CF$1843,CF147,$BG$7:$BG$1843,BG147,$BW$7:$BW$1843,"&lt;="&amp;BW147),"")</f>
        <v>26802.4174660086</v>
      </c>
      <c r="BI147" s="58" t="n">
        <f aca="false">IF(BH147="",0,MAX(0,MIN(1,(IF(CF147="L1",Parameter!$H$5,IF(CF147="L23",Parameter!$H$6+Parameter!$H$7,Parameter!$H$5+Parameter!$H$6+Parameter!$H$7))-(BH147-BC147))/BC147)))</f>
        <v>1</v>
      </c>
      <c r="BJ147" s="48" t="str">
        <f aca="false">IF(AI147&lt;=0,"",IF(CF147="Aussen","Aussenlager",IF(CF147="-","Nicht im Lift",IF(AO147&gt;=1,"Lift",IF(AO147&lt;=0,"Aussenlager","teilweise")))))</f>
        <v>Lift</v>
      </c>
      <c r="BK147" s="48" t="str">
        <f aca="false">IF(AS147&lt;=0,"",IF(CF147="Aussen","Aussenlager",IF(CF147="-","Nicht im Lift",IF(AY147&gt;=1,"Lift",IF(AY147&lt;=0,"Aussenlager","teilweise")))))</f>
        <v>Lift</v>
      </c>
      <c r="BL147" s="48" t="str">
        <f aca="false">IF(BC147&lt;=0,"",IF(CF147="Aussen","Aussenlager",IF(CF147="-","Nicht im Lift",IF(BI147&gt;=1,"Lift",IF(BI147&lt;=0,"Aussenlager","teilweise")))))</f>
        <v>Lift</v>
      </c>
      <c r="BM147" s="48" t="str">
        <f aca="false">IF(A147="","",IF(BV147=1,"Neu; ","")&amp;IF(AND(BV147=0,BQ147&lt;0),"negativer Bestand (Export "&amp;BQ147&amp;"); ","")&amp;IF(J147&lt;=0,"Kein Verbrauch; ","")&amp;IF(CQ147&gt;0,"Lift "&amp;W147&amp;" lt. Liftbericht (Fach "&amp;X147&amp;" Stk); ",IF(CA147=1,"Gebinde geschätzt ("&amp;T147&amp;"); ",IF(BZ147=1,"Lose – Tablare geschätzt; ","")))&amp;IF(H147&gt;AV147,"Überbestand "&amp;ROUND(H147-AV147,0)&amp;" Stk / CHF "&amp;ROUND((H147-AV147)*G147,0)&amp;"; ","")&amp;IF(AND(CH147=1,CI147&lt;CJ147),"MAX &lt; MB+LG; ","")&amp;IF(AND(CP147&gt;0,CO147*10&gt;CP147),"zu hoch für Tablar; ","")&amp;IF(AND(BV147=0,OR(CH147=1,AA147&lt;&gt;"",U147&lt;&gt;"",V147&lt;&gt;"",AB147&lt;&gt;"")),"manuell übersteuert; ","")&amp;IF(AND(BZ147=0,R147=0),"Gebinde unbekannt / Stellmass fehlt; ","")&amp;IF(AND(BZ147=0,N(V147)&lt;=0,N(Q147)&lt;=0),"Menge pro Gebinde fehlt (Ist = 1 Gebinde); ","")&amp;BU147)</f>
        <v>Kein Verbrauch; Gebinde geschätzt (Klein); Überbestand 59 Stk / CHF 1357; Menge pro Gebinde fehlt (Ist = 1 Gebinde); </v>
      </c>
      <c r="BN147" s="48"/>
      <c r="BO147" s="48"/>
      <c r="BP147" s="55"/>
      <c r="BQ147" s="50" t="n">
        <v>60</v>
      </c>
      <c r="BR147" s="50" t="n">
        <v>0</v>
      </c>
      <c r="BS147" s="49" t="n">
        <v>1380</v>
      </c>
      <c r="BT147" s="50" t="n">
        <v>0</v>
      </c>
      <c r="BU147" s="48"/>
      <c r="BV147" s="53" t="n">
        <v>0</v>
      </c>
      <c r="BW147" s="53" t="n">
        <v>147</v>
      </c>
      <c r="BX147" s="48" t="str">
        <f aca="false">IF(U147&lt;&gt;"",UPPER(TRIM(U147)),IF(CA147=1,UPPER(VLOOKUP(T147,Parameter!$I$27:$K$29,2,0)),IF(P147="","LOSE",P147)))</f>
        <v>S51</v>
      </c>
      <c r="BY147" s="50" t="n">
        <f aca="false">IF(BX147="LOSE",1,IF(N(V147)&gt;0,V147,IF(CA147=1,MAX(1,N(VLOOKUP(T147,Parameter!$I$27:$K$29,3,0)),H147,N(N147)),IF(N(Q147)&gt;0,Q147,MAX(1,H147)))))</f>
        <v>60</v>
      </c>
      <c r="BZ147" s="53" t="n">
        <f aca="false">IF(BX147="LOSE",1,0)</f>
        <v>0</v>
      </c>
      <c r="CA147" s="53" t="n">
        <f aca="false">IF(AND(U147="",OR(P147="",P147="LOSE"),T147&lt;&gt;"",N(S147)&lt;=0,ISNUMBER(MATCH(T147,Parameter!$I$27:$I$29,0))),1,0)</f>
        <v>1</v>
      </c>
      <c r="CB147" s="53" t="n">
        <f aca="false">IF(CQ147&gt;0,INDEX(Parameter!$H$5:$H$7,W147)/INDEX(Parameter!$E$5:$E$7,W147),IF(AND(BZ147=0,N(IFERROR(VLOOKUP(BX147,'Gebinde-Kategorie'!$A$5:$N$45,14,0),0))&gt;0),VLOOKUP(BX147,'Gebinde-Kategorie'!$A$5:$N$45,14,0)*10+Parameter!$M$23,Parameter!$M$24))</f>
        <v>155</v>
      </c>
      <c r="CC147" s="48" t="str">
        <f aca="false">IF(AND(Parameter!$B$19="Ja",E147&lt;&gt;"",ISNUMBER(MATCH(E147,Parameter!$I$35:$I$52,0))),VLOOKUP(E147,Parameter!$I$35:$J$52,2,0),IFERROR(VLOOKUP(D147,Parameter!$A$35:$C$64,2,0),"Nein"))</f>
        <v>2+3</v>
      </c>
      <c r="CD147" s="52" t="n">
        <f aca="false">IF(BZ147=0,0,IF(N(S147)&gt;0,S147,IFERROR(VLOOKUP(D147,Parameter!$A$35:$C$64,3,0)+0,0)))</f>
        <v>0</v>
      </c>
      <c r="CE147" s="48" t="n">
        <f aca="false">IF(AA147&lt;&gt;"",AA147,Z147)</f>
        <v>3</v>
      </c>
      <c r="CF147" s="48" t="str">
        <f aca="false">IF(OR(CE147=1,CE147=2,CE147=3),IF(Parameter!$E$27="Ja","LIFT",IF(CE147=1,"L1","L23")),IF(CE147="Aussen","Aussen","-"))</f>
        <v>LIFT</v>
      </c>
      <c r="CG147" s="59" t="n">
        <f aca="false">IF(N(AB147)&gt;0,AB147,0)</f>
        <v>0</v>
      </c>
      <c r="CH147" s="53" t="n">
        <f aca="false">IF(ISNUMBER(AE147),1,0)</f>
        <v>0</v>
      </c>
      <c r="CI147" s="50" t="n">
        <f aca="false">N(AE147)</f>
        <v>0</v>
      </c>
      <c r="CJ147" s="50" t="n">
        <f aca="false">N(M147)+N(N147)</f>
        <v>1</v>
      </c>
      <c r="CK147" s="50" t="n">
        <f aca="false">N(M147)</f>
        <v>0</v>
      </c>
      <c r="CL147" s="50" t="n">
        <f aca="false">N(N147)</f>
        <v>1</v>
      </c>
      <c r="CM147" s="50" t="n">
        <f aca="false">ROUNDUP(H147/BY147,0)</f>
        <v>1</v>
      </c>
      <c r="CN147" s="50" t="n">
        <f aca="false">ROUNDUP(CI147/BY147,0)</f>
        <v>0</v>
      </c>
      <c r="CO147" s="53" t="n">
        <f aca="false">IF(BZ147=1,0,IFERROR(VLOOKUP(BX147,'Gebinde-Kategorie'!$A$5:$N$45,5,0)+0,0))</f>
        <v>11</v>
      </c>
      <c r="CP147" s="53" t="n">
        <f aca="false">IFERROR(IF(OR(CE147=1,CE147=2,CE147=3),N(INDEX(Parameter!$I$5:$I$7,CE147)),0),0)</f>
        <v>0</v>
      </c>
      <c r="CQ147" s="52" t="n">
        <f aca="false">IF(AND(Parameter!$B$21="Ja",ISNUMBER(W147),N(X147)&gt;0),IFERROR(N(INDEX(Parameter!$L$5:$L$7,W147))*INDEX(Parameter!$E$5:$E$7,W147)*X147/SUMIFS($X$7:$X$1843,$W$7:$W$1843,W147),0),0)</f>
        <v>0</v>
      </c>
    </row>
    <row r="148" customFormat="false" ht="15" hidden="false" customHeight="false" outlineLevel="0" collapsed="false">
      <c r="A148" s="48" t="s">
        <v>511</v>
      </c>
      <c r="B148" s="48" t="s">
        <v>512</v>
      </c>
      <c r="C148" s="48" t="s">
        <v>173</v>
      </c>
      <c r="D148" s="48" t="s">
        <v>193</v>
      </c>
      <c r="E148" s="48"/>
      <c r="F148" s="48" t="s">
        <v>227</v>
      </c>
      <c r="G148" s="49" t="n">
        <v>227.16</v>
      </c>
      <c r="H148" s="50" t="n">
        <f aca="false">MAX(0,IF(AND(Parameter!$B$21="Ja",ISNUMBER(Y148)),Y148,IF(Parameter!$B$20="Jahresanfang 2025 + Export",BR148+BQ148,BQ148)))</f>
        <v>8</v>
      </c>
      <c r="I148" s="50" t="n">
        <f aca="false">H148*G148</f>
        <v>1817.28</v>
      </c>
      <c r="J148" s="50" t="n">
        <f aca="false">BT148*Parameter!$B$18</f>
        <v>0</v>
      </c>
      <c r="K148" s="51" t="n">
        <v>5</v>
      </c>
      <c r="L148" s="52" t="n">
        <v>0</v>
      </c>
      <c r="M148" s="50" t="n">
        <v>0</v>
      </c>
      <c r="N148" s="50" t="n">
        <v>1</v>
      </c>
      <c r="O148" s="53" t="n">
        <v>14</v>
      </c>
      <c r="P148" s="48" t="s">
        <v>302</v>
      </c>
      <c r="Q148" s="50" t="n">
        <v>8</v>
      </c>
      <c r="R148" s="53" t="n">
        <f aca="false">IF(BZ148=1,0,IFERROR(VLOOKUP(BX148,'Gebinde-Kategorie'!$A$5:$N$45,13,0)+0,0))</f>
        <v>12</v>
      </c>
      <c r="S148" s="54"/>
      <c r="T148" s="55"/>
      <c r="U148" s="55"/>
      <c r="V148" s="55"/>
      <c r="W148" s="48"/>
      <c r="X148" s="50"/>
      <c r="Y148" s="50"/>
      <c r="Z148" s="48" t="n">
        <f aca="false">IF(A148="","",IF(AND(Parameter!$B$21="Ja",ISNUMBER(W148)),W148,IF(CC148="2+3",IF(ISNUMBER(SEARCH("grosser Artikel",BU148)),2,IFERROR(VLOOKUP(BX148,Parameter!$F$35:$G$64,2,0),2)),IF(OR(CC148="Nein",CC148=""),"-",CC148))))</f>
        <v>2</v>
      </c>
      <c r="AA148" s="55"/>
      <c r="AB148" s="56"/>
      <c r="AC148" s="50" t="n">
        <f aca="false">AV148</f>
        <v>1</v>
      </c>
      <c r="AD148" s="50" t="n">
        <f aca="false">MAX(AV148,H148)</f>
        <v>8</v>
      </c>
      <c r="AE148" s="57"/>
      <c r="AF148" s="50" t="n">
        <f aca="false">IF(LEFT(Cockpit!$C$5,1)="A",H148,IF(Parameter!$E$30="MAX-Bestand",IF(CH148=1,CI148,IF(LEFT(Cockpit!$C$5,1)="B",AL148,MAX(AL148,H148))),ROUNDUP(AJ148,0)))</f>
        <v>8</v>
      </c>
      <c r="AG148" s="50" t="n">
        <f aca="false">IF(BZ148=1,0,ROUNDUP(AF148/BY148,0))</f>
        <v>1</v>
      </c>
      <c r="AH148" s="52" t="n">
        <f aca="false">IF(CQ148&gt;0,CQ148*MAX(1,AF148/X148),IF(BZ148=1,IF(AF148&lt;=0,0,CD148*MAX(1,IF(H148&gt;0,AF148/H148,1))),IF(R148&gt;0,AG148/R148,0))/MAX(0.1,N(Parameter!$M$21)))</f>
        <v>0.0833333333333333</v>
      </c>
      <c r="AI148" s="50" t="n">
        <f aca="false">AH148*CB148</f>
        <v>20.4166666666667</v>
      </c>
      <c r="AJ148" s="51" t="n">
        <f aca="false">IF(LEFT(Cockpit!$C$5,1)="A",H148,IF(CH148=1,(CK148+CI148)/2,IF(LEFT(Cockpit!$C$5,1)="B",(CK148+AL148)/2,MAX((CK148+AL148)/2,H148))))</f>
        <v>8</v>
      </c>
      <c r="AK148" s="50" t="n">
        <f aca="false">AJ148*G148</f>
        <v>1817.28</v>
      </c>
      <c r="AL148" s="50" t="n">
        <f aca="false">ROUNDUP(CK148+MAX(CL148,2*(J148/IF(CG148&gt;0,CG148,MAX(0.1,N(Cockpit!$C$6)))-CK148)),0)</f>
        <v>1</v>
      </c>
      <c r="AM148" s="51" t="n">
        <f aca="false">IF(AI148&gt;0,J148/AI148,-1)</f>
        <v>0</v>
      </c>
      <c r="AN148" s="51" t="n">
        <f aca="false">IF(AND(OR(CF148="L1",CF148="L23",CF148="LIFT"),AI148&gt;0),SUMIFS($AI$7:$AI$1843,$CF$7:$CF$1843,CF148,$AM$7:$AM$1843,"&gt;"&amp;AM148)+SUMIFS($AI$7:$AI$1843,$CF$7:$CF$1843,CF148,$AM$7:$AM$1843,AM148,$BW$7:$BW$1843,"&lt;="&amp;BW148),"")</f>
        <v>27305.4433915896</v>
      </c>
      <c r="AO148" s="58" t="n">
        <f aca="false">IF(AN148="",0,MAX(0,MIN(1,(IF(CF148="L1",Parameter!$H$5,IF(CF148="L23",Parameter!$H$6+Parameter!$H$7,Parameter!$H$5+Parameter!$H$6+Parameter!$H$7))-(AN148-AI148))/AI148)))</f>
        <v>1</v>
      </c>
      <c r="AP148" s="50" t="n">
        <f aca="false">IF(LEFT(Cockpit!$I$5,1)="A",H148,IF(Parameter!$E$30="MAX-Bestand",IF(CH148=1,CI148,IF(LEFT(Cockpit!$I$5,1)="B",AV148,MAX(AV148,H148))),ROUNDUP(AT148,0)))</f>
        <v>8</v>
      </c>
      <c r="AQ148" s="50" t="n">
        <f aca="false">IF(BZ148=1,0,ROUNDUP(AP148/BY148,0))</f>
        <v>1</v>
      </c>
      <c r="AR148" s="52" t="n">
        <f aca="false">IF(CQ148&gt;0,CQ148*MAX(1,AP148/X148),IF(BZ148=1,IF(AP148&lt;=0,0,CD148*MAX(1,IF(H148&gt;0,AP148/H148,1))),IF(R148&gt;0,AQ148/R148,0))/MAX(0.1,N(Parameter!$M$21)))</f>
        <v>0.0833333333333333</v>
      </c>
      <c r="AS148" s="50" t="n">
        <f aca="false">AR148*CB148</f>
        <v>20.4166666666667</v>
      </c>
      <c r="AT148" s="51" t="n">
        <f aca="false">IF(LEFT(Cockpit!$I$5,1)="A",H148,IF(CH148=1,(CK148+CI148)/2,IF(LEFT(Cockpit!$I$5,1)="B",(CK148+AV148)/2,MAX((CK148+AV148)/2,H148))))</f>
        <v>8</v>
      </c>
      <c r="AU148" s="50" t="n">
        <f aca="false">AT148*G148</f>
        <v>1817.28</v>
      </c>
      <c r="AV148" s="50" t="n">
        <f aca="false">ROUNDUP(CK148+MAX(CL148,2*(J148/IF(CG148&gt;0,CG148,MAX(0.1,N(Cockpit!$I$6)))-CK148)),0)</f>
        <v>1</v>
      </c>
      <c r="AW148" s="51" t="n">
        <f aca="false">IF(AS148&gt;0,J148/AS148,-1)</f>
        <v>0</v>
      </c>
      <c r="AX148" s="51" t="n">
        <f aca="false">IF(AND(OR(CF148="L1",CF148="L23",CF148="LIFT"),AS148&gt;0),SUMIFS($AS$7:$AS$1843,$CF$7:$CF$1843,CF148,$AW$7:$AW$1843,"&gt;"&amp;AW148)+SUMIFS($AS$7:$AS$1843,$CF$7:$CF$1843,CF148,$AW$7:$AW$1843,AW148,$BW$7:$BW$1843,"&lt;="&amp;BW148),"")</f>
        <v>32658.592032967</v>
      </c>
      <c r="AY148" s="58" t="n">
        <f aca="false">IF(AX148="",0,MAX(0,MIN(1,(IF(CF148="L1",Parameter!$H$5,IF(CF148="L23",Parameter!$H$6+Parameter!$H$7,Parameter!$H$5+Parameter!$H$6+Parameter!$H$7))-(AX148-AS148))/AS148)))</f>
        <v>1</v>
      </c>
      <c r="AZ148" s="50" t="n">
        <f aca="false">IF(LEFT(Cockpit!$O$5,1)="A",H148,IF(Parameter!$E$30="MAX-Bestand",IF(CH148=1,CI148,IF(LEFT(Cockpit!$O$5,1)="B",BF148,MAX(BF148,H148))),ROUNDUP(BD148,0)))</f>
        <v>1</v>
      </c>
      <c r="BA148" s="50" t="n">
        <f aca="false">IF(BZ148=1,0,ROUNDUP(AZ148/BY148,0))</f>
        <v>1</v>
      </c>
      <c r="BB148" s="52" t="n">
        <f aca="false">IF(CQ148&gt;0,CQ148*MAX(1,AZ148/X148),IF(BZ148=1,IF(AZ148&lt;=0,0,CD148*MAX(1,IF(H148&gt;0,AZ148/H148,1))),IF(R148&gt;0,BA148/R148,0))/MAX(0.1,N(Parameter!$M$21)))</f>
        <v>0.0833333333333333</v>
      </c>
      <c r="BC148" s="50" t="n">
        <f aca="false">BB148*CB148</f>
        <v>20.4166666666667</v>
      </c>
      <c r="BD148" s="51" t="n">
        <f aca="false">IF(LEFT(Cockpit!$O$5,1)="A",H148,IF(CH148=1,(CK148+CI148)/2,IF(LEFT(Cockpit!$O$5,1)="B",(CK148+BF148)/2,MAX((CK148+BF148)/2,H148))))</f>
        <v>0.5</v>
      </c>
      <c r="BE148" s="50" t="n">
        <f aca="false">BD148*G148</f>
        <v>113.58</v>
      </c>
      <c r="BF148" s="50" t="n">
        <f aca="false">ROUNDUP(CK148+MAX(CL148,2*(J148/IF(CG148&gt;0,CG148,MAX(0.1,N(Cockpit!$O$6)))-CK148)),0)</f>
        <v>1</v>
      </c>
      <c r="BG148" s="51" t="n">
        <f aca="false">IF(BC148&gt;0,J148/BC148,-1)</f>
        <v>0</v>
      </c>
      <c r="BH148" s="51" t="n">
        <f aca="false">IF(AND(OR(CF148="L1",CF148="L23",CF148="LIFT"),BC148&gt;0),SUMIFS($BC$7:$BC$1843,$CF$7:$CF$1843,CF148,$BG$7:$BG$1843,"&gt;"&amp;BG148)+SUMIFS($BC$7:$BC$1843,$CF$7:$CF$1843,CF148,$BG$7:$BG$1843,BG148,$BW$7:$BW$1843,"&lt;="&amp;BW148),"")</f>
        <v>26822.8341326752</v>
      </c>
      <c r="BI148" s="58" t="n">
        <f aca="false">IF(BH148="",0,MAX(0,MIN(1,(IF(CF148="L1",Parameter!$H$5,IF(CF148="L23",Parameter!$H$6+Parameter!$H$7,Parameter!$H$5+Parameter!$H$6+Parameter!$H$7))-(BH148-BC148))/BC148)))</f>
        <v>1</v>
      </c>
      <c r="BJ148" s="48" t="str">
        <f aca="false">IF(AI148&lt;=0,"",IF(CF148="Aussen","Aussenlager",IF(CF148="-","Nicht im Lift",IF(AO148&gt;=1,"Lift",IF(AO148&lt;=0,"Aussenlager","teilweise")))))</f>
        <v>Lift</v>
      </c>
      <c r="BK148" s="48" t="str">
        <f aca="false">IF(AS148&lt;=0,"",IF(CF148="Aussen","Aussenlager",IF(CF148="-","Nicht im Lift",IF(AY148&gt;=1,"Lift",IF(AY148&lt;=0,"Aussenlager","teilweise")))))</f>
        <v>Lift</v>
      </c>
      <c r="BL148" s="48" t="str">
        <f aca="false">IF(BC148&lt;=0,"",IF(CF148="Aussen","Aussenlager",IF(CF148="-","Nicht im Lift",IF(BI148&gt;=1,"Lift",IF(BI148&lt;=0,"Aussenlager","teilweise")))))</f>
        <v>Lift</v>
      </c>
      <c r="BM148" s="48" t="str">
        <f aca="false">IF(A148="","",IF(BV148=1,"Neu; ","")&amp;IF(AND(BV148=0,BQ148&lt;0),"negativer Bestand (Export "&amp;BQ148&amp;"); ","")&amp;IF(J148&lt;=0,"Kein Verbrauch; ","")&amp;IF(CQ148&gt;0,"Lift "&amp;W148&amp;" lt. Liftbericht (Fach "&amp;X148&amp;" Stk); ",IF(CA148=1,"Gebinde geschätzt ("&amp;T148&amp;"); ",IF(BZ148=1,"Lose – Tablare geschätzt; ","")))&amp;IF(H148&gt;AV148,"Überbestand "&amp;ROUND(H148-AV148,0)&amp;" Stk / CHF "&amp;ROUND((H148-AV148)*G148,0)&amp;"; ","")&amp;IF(AND(CH148=1,CI148&lt;CJ148),"MAX &lt; MB+LG; ","")&amp;IF(AND(CP148&gt;0,CO148*10&gt;CP148),"zu hoch für Tablar; ","")&amp;IF(AND(BV148=0,OR(CH148=1,AA148&lt;&gt;"",U148&lt;&gt;"",V148&lt;&gt;"",AB148&lt;&gt;"")),"manuell übersteuert; ","")&amp;IF(AND(BZ148=0,R148=0),"Gebinde unbekannt / Stellmass fehlt; ","")&amp;IF(AND(BZ148=0,N(V148)&lt;=0,N(Q148)&lt;=0),"Menge pro Gebinde fehlt (Ist = 1 Gebinde); ","")&amp;BU148)</f>
        <v>Kein Verbrauch; Überbestand 7 Stk / CHF 1590; </v>
      </c>
      <c r="BN148" s="48"/>
      <c r="BO148" s="48"/>
      <c r="BP148" s="55"/>
      <c r="BQ148" s="50" t="n">
        <v>6</v>
      </c>
      <c r="BR148" s="50" t="n">
        <v>2</v>
      </c>
      <c r="BS148" s="49" t="n">
        <v>1362.96</v>
      </c>
      <c r="BT148" s="50" t="n">
        <v>0</v>
      </c>
      <c r="BU148" s="48"/>
      <c r="BV148" s="53" t="n">
        <v>0</v>
      </c>
      <c r="BW148" s="53" t="n">
        <v>148</v>
      </c>
      <c r="BX148" s="48" t="str">
        <f aca="false">IF(U148&lt;&gt;"",UPPER(TRIM(U148)),IF(CA148=1,UPPER(VLOOKUP(T148,Parameter!$I$27:$K$29,2,0)),IF(P148="","LOSE",P148)))</f>
        <v>S62</v>
      </c>
      <c r="BY148" s="50" t="n">
        <f aca="false">IF(BX148="LOSE",1,IF(N(V148)&gt;0,V148,IF(CA148=1,MAX(1,N(VLOOKUP(T148,Parameter!$I$27:$K$29,3,0)),H148,N(N148)),IF(N(Q148)&gt;0,Q148,MAX(1,H148)))))</f>
        <v>8</v>
      </c>
      <c r="BZ148" s="53" t="n">
        <f aca="false">IF(BX148="LOSE",1,0)</f>
        <v>0</v>
      </c>
      <c r="CA148" s="53" t="n">
        <f aca="false">IF(AND(U148="",OR(P148="",P148="LOSE"),T148&lt;&gt;"",N(S148)&lt;=0,ISNUMBER(MATCH(T148,Parameter!$I$27:$I$29,0))),1,0)</f>
        <v>0</v>
      </c>
      <c r="CB148" s="53" t="n">
        <f aca="false">IF(CQ148&gt;0,INDEX(Parameter!$H$5:$H$7,W148)/INDEX(Parameter!$E$5:$E$7,W148),IF(AND(BZ148=0,N(IFERROR(VLOOKUP(BX148,'Gebinde-Kategorie'!$A$5:$N$45,14,0),0))&gt;0),VLOOKUP(BX148,'Gebinde-Kategorie'!$A$5:$N$45,14,0)*10+Parameter!$M$23,Parameter!$M$24))</f>
        <v>245</v>
      </c>
      <c r="CC148" s="48" t="str">
        <f aca="false">IF(AND(Parameter!$B$19="Ja",E148&lt;&gt;"",ISNUMBER(MATCH(E148,Parameter!$I$35:$I$52,0))),VLOOKUP(E148,Parameter!$I$35:$J$52,2,0),IFERROR(VLOOKUP(D148,Parameter!$A$35:$C$64,2,0),"Nein"))</f>
        <v>2+3</v>
      </c>
      <c r="CD148" s="52" t="n">
        <f aca="false">IF(BZ148=0,0,IF(N(S148)&gt;0,S148,IFERROR(VLOOKUP(D148,Parameter!$A$35:$C$64,3,0)+0,0)))</f>
        <v>0</v>
      </c>
      <c r="CE148" s="48" t="n">
        <f aca="false">IF(AA148&lt;&gt;"",AA148,Z148)</f>
        <v>2</v>
      </c>
      <c r="CF148" s="48" t="str">
        <f aca="false">IF(OR(CE148=1,CE148=2,CE148=3),IF(Parameter!$E$27="Ja","LIFT",IF(CE148=1,"L1","L23")),IF(CE148="Aussen","Aussen","-"))</f>
        <v>LIFT</v>
      </c>
      <c r="CG148" s="59" t="n">
        <f aca="false">IF(N(AB148)&gt;0,AB148,0)</f>
        <v>0</v>
      </c>
      <c r="CH148" s="53" t="n">
        <f aca="false">IF(ISNUMBER(AE148),1,0)</f>
        <v>0</v>
      </c>
      <c r="CI148" s="50" t="n">
        <f aca="false">N(AE148)</f>
        <v>0</v>
      </c>
      <c r="CJ148" s="50" t="n">
        <f aca="false">N(M148)+N(N148)</f>
        <v>1</v>
      </c>
      <c r="CK148" s="50" t="n">
        <f aca="false">N(M148)</f>
        <v>0</v>
      </c>
      <c r="CL148" s="50" t="n">
        <f aca="false">N(N148)</f>
        <v>1</v>
      </c>
      <c r="CM148" s="50" t="n">
        <f aca="false">ROUNDUP(H148/BY148,0)</f>
        <v>1</v>
      </c>
      <c r="CN148" s="50" t="n">
        <f aca="false">ROUNDUP(CI148/BY148,0)</f>
        <v>0</v>
      </c>
      <c r="CO148" s="53" t="n">
        <f aca="false">IF(BZ148=1,0,IFERROR(VLOOKUP(BX148,'Gebinde-Kategorie'!$A$5:$N$45,5,0)+0,0))</f>
        <v>21</v>
      </c>
      <c r="CP148" s="53" t="n">
        <f aca="false">IFERROR(IF(OR(CE148=1,CE148=2,CE148=3),N(INDEX(Parameter!$I$5:$I$7,CE148)),0),0)</f>
        <v>0</v>
      </c>
      <c r="CQ148" s="52" t="n">
        <f aca="false">IF(AND(Parameter!$B$21="Ja",ISNUMBER(W148),N(X148)&gt;0),IFERROR(N(INDEX(Parameter!$L$5:$L$7,W148))*INDEX(Parameter!$E$5:$E$7,W148)*X148/SUMIFS($X$7:$X$1843,$W$7:$W$1843,W148),0),0)</f>
        <v>0</v>
      </c>
    </row>
    <row r="149" customFormat="false" ht="15" hidden="false" customHeight="false" outlineLevel="0" collapsed="false">
      <c r="A149" s="48" t="s">
        <v>513</v>
      </c>
      <c r="B149" s="48" t="s">
        <v>514</v>
      </c>
      <c r="C149" s="48" t="s">
        <v>173</v>
      </c>
      <c r="D149" s="48" t="s">
        <v>193</v>
      </c>
      <c r="E149" s="48" t="s">
        <v>194</v>
      </c>
      <c r="F149" s="48" t="s">
        <v>227</v>
      </c>
      <c r="G149" s="49" t="n">
        <v>50.41</v>
      </c>
      <c r="H149" s="50" t="n">
        <f aca="false">MAX(0,IF(AND(Parameter!$B$21="Ja",ISNUMBER(Y149)),Y149,IF(Parameter!$B$20="Jahresanfang 2025 + Export",BR149+BQ149,BQ149)))</f>
        <v>39</v>
      </c>
      <c r="I149" s="50" t="n">
        <f aca="false">H149*G149</f>
        <v>1965.99</v>
      </c>
      <c r="J149" s="50" t="n">
        <f aca="false">BT149*Parameter!$B$18</f>
        <v>59</v>
      </c>
      <c r="K149" s="51" t="n">
        <v>34.5</v>
      </c>
      <c r="L149" s="52" t="n">
        <v>1.71014492753623</v>
      </c>
      <c r="M149" s="50" t="n">
        <v>10</v>
      </c>
      <c r="N149" s="50" t="n">
        <v>60</v>
      </c>
      <c r="O149" s="53" t="n">
        <v>35</v>
      </c>
      <c r="P149" s="48" t="s">
        <v>302</v>
      </c>
      <c r="Q149" s="50" t="n">
        <v>16</v>
      </c>
      <c r="R149" s="53" t="n">
        <f aca="false">IF(BZ149=1,0,IFERROR(VLOOKUP(BX149,'Gebinde-Kategorie'!$A$5:$N$45,13,0)+0,0))</f>
        <v>12</v>
      </c>
      <c r="S149" s="54"/>
      <c r="T149" s="55"/>
      <c r="U149" s="55"/>
      <c r="V149" s="55"/>
      <c r="W149" s="48"/>
      <c r="X149" s="50"/>
      <c r="Y149" s="50"/>
      <c r="Z149" s="48" t="n">
        <f aca="false">IF(A149="","",IF(AND(Parameter!$B$21="Ja",ISNUMBER(W149)),W149,IF(CC149="2+3",IF(ISNUMBER(SEARCH("grosser Artikel",BU149)),2,IFERROR(VLOOKUP(BX149,Parameter!$F$35:$G$64,2,0),2)),IF(OR(CC149="Nein",CC149=""),"-",CC149))))</f>
        <v>2</v>
      </c>
      <c r="AA149" s="55"/>
      <c r="AB149" s="56"/>
      <c r="AC149" s="50" t="n">
        <f aca="false">AV149</f>
        <v>70</v>
      </c>
      <c r="AD149" s="50" t="n">
        <f aca="false">MAX(AV149,H149)</f>
        <v>70</v>
      </c>
      <c r="AE149" s="57"/>
      <c r="AF149" s="50" t="n">
        <f aca="false">IF(LEFT(Cockpit!$C$5,1)="A",H149,IF(Parameter!$E$30="MAX-Bestand",IF(CH149=1,CI149,IF(LEFT(Cockpit!$C$5,1)="B",AL149,MAX(AL149,H149))),ROUNDUP(AJ149,0)))</f>
        <v>39</v>
      </c>
      <c r="AG149" s="50" t="n">
        <f aca="false">IF(BZ149=1,0,ROUNDUP(AF149/BY149,0))</f>
        <v>3</v>
      </c>
      <c r="AH149" s="52" t="n">
        <f aca="false">IF(CQ149&gt;0,CQ149*MAX(1,AF149/X149),IF(BZ149=1,IF(AF149&lt;=0,0,CD149*MAX(1,IF(H149&gt;0,AF149/H149,1))),IF(R149&gt;0,AG149/R149,0))/MAX(0.1,N(Parameter!$M$21)))</f>
        <v>0.25</v>
      </c>
      <c r="AI149" s="50" t="n">
        <f aca="false">AH149*CB149</f>
        <v>61.25</v>
      </c>
      <c r="AJ149" s="51" t="n">
        <f aca="false">IF(LEFT(Cockpit!$C$5,1)="A",H149,IF(CH149=1,(CK149+CI149)/2,IF(LEFT(Cockpit!$C$5,1)="B",(CK149+AL149)/2,MAX((CK149+AL149)/2,H149))))</f>
        <v>39</v>
      </c>
      <c r="AK149" s="50" t="n">
        <f aca="false">AJ149*G149</f>
        <v>1965.99</v>
      </c>
      <c r="AL149" s="50" t="n">
        <f aca="false">ROUNDUP(CK149+MAX(CL149,2*(J149/IF(CG149&gt;0,CG149,MAX(0.1,N(Cockpit!$C$6)))-CK149)),0)</f>
        <v>70</v>
      </c>
      <c r="AM149" s="51" t="n">
        <f aca="false">IF(AI149&gt;0,J149/AI149,-1)</f>
        <v>0.963265306122449</v>
      </c>
      <c r="AN149" s="51" t="n">
        <f aca="false">IF(AND(OR(CF149="L1",CF149="L23",CF149="LIFT"),AI149&gt;0),SUMIFS($AI$7:$AI$1843,$CF$7:$CF$1843,CF149,$AM$7:$AM$1843,"&gt;"&amp;AM149)+SUMIFS($AI$7:$AI$1843,$CF$7:$CF$1843,CF149,$AM$7:$AM$1843,AM149,$BW$7:$BW$1843,"&lt;="&amp;BW149),"")</f>
        <v>7226.2760989011</v>
      </c>
      <c r="AO149" s="58" t="n">
        <f aca="false">IF(AN149="",0,MAX(0,MIN(1,(IF(CF149="L1",Parameter!$H$5,IF(CF149="L23",Parameter!$H$6+Parameter!$H$7,Parameter!$H$5+Parameter!$H$6+Parameter!$H$7))-(AN149-AI149))/AI149)))</f>
        <v>1</v>
      </c>
      <c r="AP149" s="50" t="n">
        <f aca="false">IF(LEFT(Cockpit!$I$5,1)="A",H149,IF(Parameter!$E$30="MAX-Bestand",IF(CH149=1,CI149,IF(LEFT(Cockpit!$I$5,1)="B",AV149,MAX(AV149,H149))),ROUNDUP(AT149,0)))</f>
        <v>40</v>
      </c>
      <c r="AQ149" s="50" t="n">
        <f aca="false">IF(BZ149=1,0,ROUNDUP(AP149/BY149,0))</f>
        <v>3</v>
      </c>
      <c r="AR149" s="52" t="n">
        <f aca="false">IF(CQ149&gt;0,CQ149*MAX(1,AP149/X149),IF(BZ149=1,IF(AP149&lt;=0,0,CD149*MAX(1,IF(H149&gt;0,AP149/H149,1))),IF(R149&gt;0,AQ149/R149,0))/MAX(0.1,N(Parameter!$M$21)))</f>
        <v>0.25</v>
      </c>
      <c r="AS149" s="50" t="n">
        <f aca="false">AR149*CB149</f>
        <v>61.25</v>
      </c>
      <c r="AT149" s="51" t="n">
        <f aca="false">IF(LEFT(Cockpit!$I$5,1)="A",H149,IF(CH149=1,(CK149+CI149)/2,IF(LEFT(Cockpit!$I$5,1)="B",(CK149+AV149)/2,MAX((CK149+AV149)/2,H149))))</f>
        <v>40</v>
      </c>
      <c r="AU149" s="50" t="n">
        <f aca="false">AT149*G149</f>
        <v>2016.4</v>
      </c>
      <c r="AV149" s="50" t="n">
        <f aca="false">ROUNDUP(CK149+MAX(CL149,2*(J149/IF(CG149&gt;0,CG149,MAX(0.1,N(Cockpit!$I$6)))-CK149)),0)</f>
        <v>70</v>
      </c>
      <c r="AW149" s="51" t="n">
        <f aca="false">IF(AS149&gt;0,J149/AS149,-1)</f>
        <v>0.963265306122449</v>
      </c>
      <c r="AX149" s="51" t="n">
        <f aca="false">IF(AND(OR(CF149="L1",CF149="L23",CF149="LIFT"),AS149&gt;0),SUMIFS($AS$7:$AS$1843,$CF$7:$CF$1843,CF149,$AW$7:$AW$1843,"&gt;"&amp;AW149)+SUMIFS($AS$7:$AS$1843,$CF$7:$CF$1843,CF149,$AW$7:$AW$1843,AW149,$BW$7:$BW$1843,"&lt;="&amp;BW149),"")</f>
        <v>8597.95970695971</v>
      </c>
      <c r="AY149" s="58" t="n">
        <f aca="false">IF(AX149="",0,MAX(0,MIN(1,(IF(CF149="L1",Parameter!$H$5,IF(CF149="L23",Parameter!$H$6+Parameter!$H$7,Parameter!$H$5+Parameter!$H$6+Parameter!$H$7))-(AX149-AS149))/AS149)))</f>
        <v>1</v>
      </c>
      <c r="AZ149" s="50" t="n">
        <f aca="false">IF(LEFT(Cockpit!$O$5,1)="A",H149,IF(Parameter!$E$30="MAX-Bestand",IF(CH149=1,CI149,IF(LEFT(Cockpit!$O$5,1)="B",BF149,MAX(BF149,H149))),ROUNDUP(BD149,0)))</f>
        <v>40</v>
      </c>
      <c r="BA149" s="50" t="n">
        <f aca="false">IF(BZ149=1,0,ROUNDUP(AZ149/BY149,0))</f>
        <v>3</v>
      </c>
      <c r="BB149" s="52" t="n">
        <f aca="false">IF(CQ149&gt;0,CQ149*MAX(1,AZ149/X149),IF(BZ149=1,IF(AZ149&lt;=0,0,CD149*MAX(1,IF(H149&gt;0,AZ149/H149,1))),IF(R149&gt;0,BA149/R149,0))/MAX(0.1,N(Parameter!$M$21)))</f>
        <v>0.25</v>
      </c>
      <c r="BC149" s="50" t="n">
        <f aca="false">BB149*CB149</f>
        <v>61.25</v>
      </c>
      <c r="BD149" s="51" t="n">
        <f aca="false">IF(LEFT(Cockpit!$O$5,1)="A",H149,IF(CH149=1,(CK149+CI149)/2,IF(LEFT(Cockpit!$O$5,1)="B",(CK149+BF149)/2,MAX((CK149+BF149)/2,H149))))</f>
        <v>40</v>
      </c>
      <c r="BE149" s="50" t="n">
        <f aca="false">BD149*G149</f>
        <v>2016.4</v>
      </c>
      <c r="BF149" s="50" t="n">
        <f aca="false">ROUNDUP(CK149+MAX(CL149,2*(J149/IF(CG149&gt;0,CG149,MAX(0.1,N(Cockpit!$O$6)))-CK149)),0)</f>
        <v>70</v>
      </c>
      <c r="BG149" s="51" t="n">
        <f aca="false">IF(BC149&gt;0,J149/BC149,-1)</f>
        <v>0.963265306122449</v>
      </c>
      <c r="BH149" s="51" t="n">
        <f aca="false">IF(AND(OR(CF149="L1",CF149="L23",CF149="LIFT"),BC149&gt;0),SUMIFS($BC$7:$BC$1843,$CF$7:$CF$1843,CF149,$BG$7:$BG$1843,"&gt;"&amp;BG149)+SUMIFS($BC$7:$BC$1843,$CF$7:$CF$1843,CF149,$BG$7:$BG$1843,BG149,$BW$7:$BW$1843,"&lt;="&amp;BW149),"")</f>
        <v>7992.73946886447</v>
      </c>
      <c r="BI149" s="58" t="n">
        <f aca="false">IF(BH149="",0,MAX(0,MIN(1,(IF(CF149="L1",Parameter!$H$5,IF(CF149="L23",Parameter!$H$6+Parameter!$H$7,Parameter!$H$5+Parameter!$H$6+Parameter!$H$7))-(BH149-BC149))/BC149)))</f>
        <v>1</v>
      </c>
      <c r="BJ149" s="48" t="str">
        <f aca="false">IF(AI149&lt;=0,"",IF(CF149="Aussen","Aussenlager",IF(CF149="-","Nicht im Lift",IF(AO149&gt;=1,"Lift",IF(AO149&lt;=0,"Aussenlager","teilweise")))))</f>
        <v>Lift</v>
      </c>
      <c r="BK149" s="48" t="str">
        <f aca="false">IF(AS149&lt;=0,"",IF(CF149="Aussen","Aussenlager",IF(CF149="-","Nicht im Lift",IF(AY149&gt;=1,"Lift",IF(AY149&lt;=0,"Aussenlager","teilweise")))))</f>
        <v>Lift</v>
      </c>
      <c r="BL149" s="48" t="str">
        <f aca="false">IF(BC149&lt;=0,"",IF(CF149="Aussen","Aussenlager",IF(CF149="-","Nicht im Lift",IF(BI149&gt;=1,"Lift",IF(BI149&lt;=0,"Aussenlager","teilweise")))))</f>
        <v>Lift</v>
      </c>
      <c r="BM149" s="48" t="str">
        <f aca="false">IF(A149="","",IF(BV149=1,"Neu; ","")&amp;IF(AND(BV149=0,BQ149&lt;0),"negativer Bestand (Export "&amp;BQ149&amp;"); ","")&amp;IF(J149&lt;=0,"Kein Verbrauch; ","")&amp;IF(CQ149&gt;0,"Lift "&amp;W149&amp;" lt. Liftbericht (Fach "&amp;X149&amp;" Stk); ",IF(CA149=1,"Gebinde geschätzt ("&amp;T149&amp;"); ",IF(BZ149=1,"Lose – Tablare geschätzt; ","")))&amp;IF(H149&gt;AV149,"Überbestand "&amp;ROUND(H149-AV149,0)&amp;" Stk / CHF "&amp;ROUND((H149-AV149)*G149,0)&amp;"; ","")&amp;IF(AND(CH149=1,CI149&lt;CJ149),"MAX &lt; MB+LG; ","")&amp;IF(AND(CP149&gt;0,CO149*10&gt;CP149),"zu hoch für Tablar; ","")&amp;IF(AND(BV149=0,OR(CH149=1,AA149&lt;&gt;"",U149&lt;&gt;"",V149&lt;&gt;"",AB149&lt;&gt;"")),"manuell übersteuert; ","")&amp;IF(AND(BZ149=0,R149=0),"Gebinde unbekannt / Stellmass fehlt; ","")&amp;IF(AND(BZ149=0,N(V149)&lt;=0,N(Q149)&lt;=0),"Menge pro Gebinde fehlt (Ist = 1 Gebinde); ","")&amp;BU149)</f>
        <v/>
      </c>
      <c r="BN149" s="48"/>
      <c r="BO149" s="48"/>
      <c r="BP149" s="55"/>
      <c r="BQ149" s="50" t="n">
        <v>25</v>
      </c>
      <c r="BR149" s="50" t="n">
        <v>14</v>
      </c>
      <c r="BS149" s="49" t="n">
        <v>1353.35</v>
      </c>
      <c r="BT149" s="50" t="n">
        <v>59</v>
      </c>
      <c r="BU149" s="48"/>
      <c r="BV149" s="53" t="n">
        <v>0</v>
      </c>
      <c r="BW149" s="53" t="n">
        <v>149</v>
      </c>
      <c r="BX149" s="48" t="str">
        <f aca="false">IF(U149&lt;&gt;"",UPPER(TRIM(U149)),IF(CA149=1,UPPER(VLOOKUP(T149,Parameter!$I$27:$K$29,2,0)),IF(P149="","LOSE",P149)))</f>
        <v>S62</v>
      </c>
      <c r="BY149" s="50" t="n">
        <f aca="false">IF(BX149="LOSE",1,IF(N(V149)&gt;0,V149,IF(CA149=1,MAX(1,N(VLOOKUP(T149,Parameter!$I$27:$K$29,3,0)),H149,N(N149)),IF(N(Q149)&gt;0,Q149,MAX(1,H149)))))</f>
        <v>16</v>
      </c>
      <c r="BZ149" s="53" t="n">
        <f aca="false">IF(BX149="LOSE",1,0)</f>
        <v>0</v>
      </c>
      <c r="CA149" s="53" t="n">
        <f aca="false">IF(AND(U149="",OR(P149="",P149="LOSE"),T149&lt;&gt;"",N(S149)&lt;=0,ISNUMBER(MATCH(T149,Parameter!$I$27:$I$29,0))),1,0)</f>
        <v>0</v>
      </c>
      <c r="CB149" s="53" t="n">
        <f aca="false">IF(CQ149&gt;0,INDEX(Parameter!$H$5:$H$7,W149)/INDEX(Parameter!$E$5:$E$7,W149),IF(AND(BZ149=0,N(IFERROR(VLOOKUP(BX149,'Gebinde-Kategorie'!$A$5:$N$45,14,0),0))&gt;0),VLOOKUP(BX149,'Gebinde-Kategorie'!$A$5:$N$45,14,0)*10+Parameter!$M$23,Parameter!$M$24))</f>
        <v>245</v>
      </c>
      <c r="CC149" s="48" t="str">
        <f aca="false">IF(AND(Parameter!$B$19="Ja",E149&lt;&gt;"",ISNUMBER(MATCH(E149,Parameter!$I$35:$I$52,0))),VLOOKUP(E149,Parameter!$I$35:$J$52,2,0),IFERROR(VLOOKUP(D149,Parameter!$A$35:$C$64,2,0),"Nein"))</f>
        <v>2+3</v>
      </c>
      <c r="CD149" s="52" t="n">
        <f aca="false">IF(BZ149=0,0,IF(N(S149)&gt;0,S149,IFERROR(VLOOKUP(D149,Parameter!$A$35:$C$64,3,0)+0,0)))</f>
        <v>0</v>
      </c>
      <c r="CE149" s="48" t="n">
        <f aca="false">IF(AA149&lt;&gt;"",AA149,Z149)</f>
        <v>2</v>
      </c>
      <c r="CF149" s="48" t="str">
        <f aca="false">IF(OR(CE149=1,CE149=2,CE149=3),IF(Parameter!$E$27="Ja","LIFT",IF(CE149=1,"L1","L23")),IF(CE149="Aussen","Aussen","-"))</f>
        <v>LIFT</v>
      </c>
      <c r="CG149" s="59" t="n">
        <f aca="false">IF(N(AB149)&gt;0,AB149,0)</f>
        <v>0</v>
      </c>
      <c r="CH149" s="53" t="n">
        <f aca="false">IF(ISNUMBER(AE149),1,0)</f>
        <v>0</v>
      </c>
      <c r="CI149" s="50" t="n">
        <f aca="false">N(AE149)</f>
        <v>0</v>
      </c>
      <c r="CJ149" s="50" t="n">
        <f aca="false">N(M149)+N(N149)</f>
        <v>70</v>
      </c>
      <c r="CK149" s="50" t="n">
        <f aca="false">N(M149)</f>
        <v>10</v>
      </c>
      <c r="CL149" s="50" t="n">
        <f aca="false">N(N149)</f>
        <v>60</v>
      </c>
      <c r="CM149" s="50" t="n">
        <f aca="false">ROUNDUP(H149/BY149,0)</f>
        <v>3</v>
      </c>
      <c r="CN149" s="50" t="n">
        <f aca="false">ROUNDUP(CI149/BY149,0)</f>
        <v>0</v>
      </c>
      <c r="CO149" s="53" t="n">
        <f aca="false">IF(BZ149=1,0,IFERROR(VLOOKUP(BX149,'Gebinde-Kategorie'!$A$5:$N$45,5,0)+0,0))</f>
        <v>21</v>
      </c>
      <c r="CP149" s="53" t="n">
        <f aca="false">IFERROR(IF(OR(CE149=1,CE149=2,CE149=3),N(INDEX(Parameter!$I$5:$I$7,CE149)),0),0)</f>
        <v>0</v>
      </c>
      <c r="CQ149" s="52" t="n">
        <f aca="false">IF(AND(Parameter!$B$21="Ja",ISNUMBER(W149),N(X149)&gt;0),IFERROR(N(INDEX(Parameter!$L$5:$L$7,W149))*INDEX(Parameter!$E$5:$E$7,W149)*X149/SUMIFS($X$7:$X$1843,$W$7:$W$1843,W149),0),0)</f>
        <v>0</v>
      </c>
    </row>
    <row r="150" customFormat="false" ht="15" hidden="false" customHeight="false" outlineLevel="0" collapsed="false">
      <c r="A150" s="48" t="s">
        <v>515</v>
      </c>
      <c r="B150" s="48" t="s">
        <v>516</v>
      </c>
      <c r="C150" s="48" t="s">
        <v>173</v>
      </c>
      <c r="D150" s="48" t="s">
        <v>193</v>
      </c>
      <c r="E150" s="48" t="s">
        <v>194</v>
      </c>
      <c r="F150" s="48" t="s">
        <v>227</v>
      </c>
      <c r="G150" s="49" t="n">
        <v>4.04</v>
      </c>
      <c r="H150" s="50" t="n">
        <f aca="false">MAX(0,IF(AND(Parameter!$B$21="Ja",ISNUMBER(Y150)),Y150,IF(Parameter!$B$20="Jahresanfang 2025 + Export",BR150+BQ150,BQ150)))</f>
        <v>397</v>
      </c>
      <c r="I150" s="50" t="n">
        <f aca="false">H150*G150</f>
        <v>1603.88</v>
      </c>
      <c r="J150" s="50" t="n">
        <f aca="false">BT150*Parameter!$B$18</f>
        <v>199</v>
      </c>
      <c r="K150" s="51" t="n">
        <v>57</v>
      </c>
      <c r="L150" s="52" t="n">
        <v>3.49122807017544</v>
      </c>
      <c r="M150" s="50" t="n">
        <v>11</v>
      </c>
      <c r="N150" s="50" t="n">
        <v>200</v>
      </c>
      <c r="O150" s="53" t="n">
        <v>21</v>
      </c>
      <c r="P150" s="48" t="s">
        <v>311</v>
      </c>
      <c r="Q150" s="50" t="n">
        <v>71</v>
      </c>
      <c r="R150" s="53" t="n">
        <f aca="false">IF(BZ150=1,0,IFERROR(VLOOKUP(BX150,'Gebinde-Kategorie'!$A$5:$N$45,13,0)+0,0))</f>
        <v>26</v>
      </c>
      <c r="S150" s="54"/>
      <c r="T150" s="55"/>
      <c r="U150" s="55"/>
      <c r="V150" s="55"/>
      <c r="W150" s="48"/>
      <c r="X150" s="50"/>
      <c r="Y150" s="50"/>
      <c r="Z150" s="48" t="n">
        <f aca="false">IF(A150="","",IF(AND(Parameter!$B$21="Ja",ISNUMBER(W150)),W150,IF(CC150="2+3",IF(ISNUMBER(SEARCH("grosser Artikel",BU150)),2,IFERROR(VLOOKUP(BX150,Parameter!$F$35:$G$64,2,0),2)),IF(OR(CC150="Nein",CC150=""),"-",CC150))))</f>
        <v>3</v>
      </c>
      <c r="AA150" s="55"/>
      <c r="AB150" s="56"/>
      <c r="AC150" s="50" t="n">
        <f aca="false">AV150</f>
        <v>211</v>
      </c>
      <c r="AD150" s="50" t="n">
        <f aca="false">MAX(AV150,H150)</f>
        <v>397</v>
      </c>
      <c r="AE150" s="57"/>
      <c r="AF150" s="50" t="n">
        <f aca="false">IF(LEFT(Cockpit!$C$5,1)="A",H150,IF(Parameter!$E$30="MAX-Bestand",IF(CH150=1,CI150,IF(LEFT(Cockpit!$C$5,1)="B",AL150,MAX(AL150,H150))),ROUNDUP(AJ150,0)))</f>
        <v>397</v>
      </c>
      <c r="AG150" s="50" t="n">
        <f aca="false">IF(BZ150=1,0,ROUNDUP(AF150/BY150,0))</f>
        <v>6</v>
      </c>
      <c r="AH150" s="52" t="n">
        <f aca="false">IF(CQ150&gt;0,CQ150*MAX(1,AF150/X150),IF(BZ150=1,IF(AF150&lt;=0,0,CD150*MAX(1,IF(H150&gt;0,AF150/H150,1))),IF(R150&gt;0,AG150/R150,0))/MAX(0.1,N(Parameter!$M$21)))</f>
        <v>0.230769230769231</v>
      </c>
      <c r="AI150" s="50" t="n">
        <f aca="false">AH150*CB150</f>
        <v>35.7692307692308</v>
      </c>
      <c r="AJ150" s="51" t="n">
        <f aca="false">IF(LEFT(Cockpit!$C$5,1)="A",H150,IF(CH150=1,(CK150+CI150)/2,IF(LEFT(Cockpit!$C$5,1)="B",(CK150+AL150)/2,MAX((CK150+AL150)/2,H150))))</f>
        <v>397</v>
      </c>
      <c r="AK150" s="50" t="n">
        <f aca="false">AJ150*G150</f>
        <v>1603.88</v>
      </c>
      <c r="AL150" s="50" t="n">
        <f aca="false">ROUNDUP(CK150+MAX(CL150,2*(J150/IF(CG150&gt;0,CG150,MAX(0.1,N(Cockpit!$C$6)))-CK150)),0)</f>
        <v>211</v>
      </c>
      <c r="AM150" s="51" t="n">
        <f aca="false">IF(AI150&gt;0,J150/AI150,-1)</f>
        <v>5.56344086021505</v>
      </c>
      <c r="AN150" s="51" t="n">
        <f aca="false">IF(AND(OR(CF150="L1",CF150="L23",CF150="LIFT"),AI150&gt;0),SUMIFS($AI$7:$AI$1843,$CF$7:$CF$1843,CF150,$AM$7:$AM$1843,"&gt;"&amp;AM150)+SUMIFS($AI$7:$AI$1843,$CF$7:$CF$1843,CF150,$AM$7:$AM$1843,AM150,$BW$7:$BW$1843,"&lt;="&amp;BW150),"")</f>
        <v>3696.59661172161</v>
      </c>
      <c r="AO150" s="58" t="n">
        <f aca="false">IF(AN150="",0,MAX(0,MIN(1,(IF(CF150="L1",Parameter!$H$5,IF(CF150="L23",Parameter!$H$6+Parameter!$H$7,Parameter!$H$5+Parameter!$H$6+Parameter!$H$7))-(AN150-AI150))/AI150)))</f>
        <v>1</v>
      </c>
      <c r="AP150" s="50" t="n">
        <f aca="false">IF(LEFT(Cockpit!$I$5,1)="A",H150,IF(Parameter!$E$30="MAX-Bestand",IF(CH150=1,CI150,IF(LEFT(Cockpit!$I$5,1)="B",AV150,MAX(AV150,H150))),ROUNDUP(AT150,0)))</f>
        <v>397</v>
      </c>
      <c r="AQ150" s="50" t="n">
        <f aca="false">IF(BZ150=1,0,ROUNDUP(AP150/BY150,0))</f>
        <v>6</v>
      </c>
      <c r="AR150" s="52" t="n">
        <f aca="false">IF(CQ150&gt;0,CQ150*MAX(1,AP150/X150),IF(BZ150=1,IF(AP150&lt;=0,0,CD150*MAX(1,IF(H150&gt;0,AP150/H150,1))),IF(R150&gt;0,AQ150/R150,0))/MAX(0.1,N(Parameter!$M$21)))</f>
        <v>0.230769230769231</v>
      </c>
      <c r="AS150" s="50" t="n">
        <f aca="false">AR150*CB150</f>
        <v>35.7692307692308</v>
      </c>
      <c r="AT150" s="51" t="n">
        <f aca="false">IF(LEFT(Cockpit!$I$5,1)="A",H150,IF(CH150=1,(CK150+CI150)/2,IF(LEFT(Cockpit!$I$5,1)="B",(CK150+AV150)/2,MAX((CK150+AV150)/2,H150))))</f>
        <v>397</v>
      </c>
      <c r="AU150" s="50" t="n">
        <f aca="false">AT150*G150</f>
        <v>1603.88</v>
      </c>
      <c r="AV150" s="50" t="n">
        <f aca="false">ROUNDUP(CK150+MAX(CL150,2*(J150/IF(CG150&gt;0,CG150,MAX(0.1,N(Cockpit!$I$6)))-CK150)),0)</f>
        <v>211</v>
      </c>
      <c r="AW150" s="51" t="n">
        <f aca="false">IF(AS150&gt;0,J150/AS150,-1)</f>
        <v>5.56344086021505</v>
      </c>
      <c r="AX150" s="51" t="n">
        <f aca="false">IF(AND(OR(CF150="L1",CF150="L23",CF150="LIFT"),AS150&gt;0),SUMIFS($AS$7:$AS$1843,$CF$7:$CF$1843,CF150,$AW$7:$AW$1843,"&gt;"&amp;AW150)+SUMIFS($AS$7:$AS$1843,$CF$7:$CF$1843,CF150,$AW$7:$AW$1843,AW150,$BW$7:$BW$1843,"&lt;="&amp;BW150),"")</f>
        <v>4350.33745421245</v>
      </c>
      <c r="AY150" s="58" t="n">
        <f aca="false">IF(AX150="",0,MAX(0,MIN(1,(IF(CF150="L1",Parameter!$H$5,IF(CF150="L23",Parameter!$H$6+Parameter!$H$7,Parameter!$H$5+Parameter!$H$6+Parameter!$H$7))-(AX150-AS150))/AS150)))</f>
        <v>1</v>
      </c>
      <c r="AZ150" s="50" t="n">
        <f aca="false">IF(LEFT(Cockpit!$O$5,1)="A",H150,IF(Parameter!$E$30="MAX-Bestand",IF(CH150=1,CI150,IF(LEFT(Cockpit!$O$5,1)="B",BF150,MAX(BF150,H150))),ROUNDUP(BD150,0)))</f>
        <v>111</v>
      </c>
      <c r="BA150" s="50" t="n">
        <f aca="false">IF(BZ150=1,0,ROUNDUP(AZ150/BY150,0))</f>
        <v>2</v>
      </c>
      <c r="BB150" s="52" t="n">
        <f aca="false">IF(CQ150&gt;0,CQ150*MAX(1,AZ150/X150),IF(BZ150=1,IF(AZ150&lt;=0,0,CD150*MAX(1,IF(H150&gt;0,AZ150/H150,1))),IF(R150&gt;0,BA150/R150,0))/MAX(0.1,N(Parameter!$M$21)))</f>
        <v>0.0769230769230769</v>
      </c>
      <c r="BC150" s="50" t="n">
        <f aca="false">BB150*CB150</f>
        <v>11.9230769230769</v>
      </c>
      <c r="BD150" s="51" t="n">
        <f aca="false">IF(LEFT(Cockpit!$O$5,1)="A",H150,IF(CH150=1,(CK150+CI150)/2,IF(LEFT(Cockpit!$O$5,1)="B",(CK150+BF150)/2,MAX((CK150+BF150)/2,H150))))</f>
        <v>111</v>
      </c>
      <c r="BE150" s="50" t="n">
        <f aca="false">BD150*G150</f>
        <v>448.44</v>
      </c>
      <c r="BF150" s="50" t="n">
        <f aca="false">ROUNDUP(CK150+MAX(CL150,2*(J150/IF(CG150&gt;0,CG150,MAX(0.1,N(Cockpit!$O$6)))-CK150)),0)</f>
        <v>211</v>
      </c>
      <c r="BG150" s="51" t="n">
        <f aca="false">IF(BC150&gt;0,J150/BC150,-1)</f>
        <v>16.6903225806452</v>
      </c>
      <c r="BH150" s="51" t="n">
        <f aca="false">IF(AND(OR(CF150="L1",CF150="L23",CF150="LIFT"),BC150&gt;0),SUMIFS($BC$7:$BC$1843,$CF$7:$CF$1843,CF150,$BG$7:$BG$1843,"&gt;"&amp;BG150)+SUMIFS($BC$7:$BC$1843,$CF$7:$CF$1843,CF150,$BG$7:$BG$1843,BG150,$BW$7:$BW$1843,"&lt;="&amp;BW150),"")</f>
        <v>2356.71840659341</v>
      </c>
      <c r="BI150" s="58" t="n">
        <f aca="false">IF(BH150="",0,MAX(0,MIN(1,(IF(CF150="L1",Parameter!$H$5,IF(CF150="L23",Parameter!$H$6+Parameter!$H$7,Parameter!$H$5+Parameter!$H$6+Parameter!$H$7))-(BH150-BC150))/BC150)))</f>
        <v>1</v>
      </c>
      <c r="BJ150" s="48" t="str">
        <f aca="false">IF(AI150&lt;=0,"",IF(CF150="Aussen","Aussenlager",IF(CF150="-","Nicht im Lift",IF(AO150&gt;=1,"Lift",IF(AO150&lt;=0,"Aussenlager","teilweise")))))</f>
        <v>Lift</v>
      </c>
      <c r="BK150" s="48" t="str">
        <f aca="false">IF(AS150&lt;=0,"",IF(CF150="Aussen","Aussenlager",IF(CF150="-","Nicht im Lift",IF(AY150&gt;=1,"Lift",IF(AY150&lt;=0,"Aussenlager","teilweise")))))</f>
        <v>Lift</v>
      </c>
      <c r="BL150" s="48" t="str">
        <f aca="false">IF(BC150&lt;=0,"",IF(CF150="Aussen","Aussenlager",IF(CF150="-","Nicht im Lift",IF(BI150&gt;=1,"Lift",IF(BI150&lt;=0,"Aussenlager","teilweise")))))</f>
        <v>Lift</v>
      </c>
      <c r="BM150" s="48" t="str">
        <f aca="false">IF(A150="","",IF(BV150=1,"Neu; ","")&amp;IF(AND(BV150=0,BQ150&lt;0),"negativer Bestand (Export "&amp;BQ150&amp;"); ","")&amp;IF(J150&lt;=0,"Kein Verbrauch; ","")&amp;IF(CQ150&gt;0,"Lift "&amp;W150&amp;" lt. Liftbericht (Fach "&amp;X150&amp;" Stk); ",IF(CA150=1,"Gebinde geschätzt ("&amp;T150&amp;"); ",IF(BZ150=1,"Lose – Tablare geschätzt; ","")))&amp;IF(H150&gt;AV150,"Überbestand "&amp;ROUND(H150-AV150,0)&amp;" Stk / CHF "&amp;ROUND((H150-AV150)*G150,0)&amp;"; ","")&amp;IF(AND(CH150=1,CI150&lt;CJ150),"MAX &lt; MB+LG; ","")&amp;IF(AND(CP150&gt;0,CO150*10&gt;CP150),"zu hoch für Tablar; ","")&amp;IF(AND(BV150=0,OR(CH150=1,AA150&lt;&gt;"",U150&lt;&gt;"",V150&lt;&gt;"",AB150&lt;&gt;"")),"manuell übersteuert; ","")&amp;IF(AND(BZ150=0,R150=0),"Gebinde unbekannt / Stellmass fehlt; ","")&amp;IF(AND(BZ150=0,N(V150)&lt;=0,N(Q150)&lt;=0),"Menge pro Gebinde fehlt (Ist = 1 Gebinde); ","")&amp;BU150)</f>
        <v>Überbestand 186 Stk / CHF 751; </v>
      </c>
      <c r="BN150" s="48"/>
      <c r="BO150" s="48"/>
      <c r="BP150" s="55"/>
      <c r="BQ150" s="50" t="n">
        <v>340</v>
      </c>
      <c r="BR150" s="50" t="n">
        <v>57</v>
      </c>
      <c r="BS150" s="49" t="n">
        <v>1338.26</v>
      </c>
      <c r="BT150" s="50" t="n">
        <v>199</v>
      </c>
      <c r="BU150" s="48"/>
      <c r="BV150" s="53" t="n">
        <v>0</v>
      </c>
      <c r="BW150" s="53" t="n">
        <v>150</v>
      </c>
      <c r="BX150" s="48" t="str">
        <f aca="false">IF(U150&lt;&gt;"",UPPER(TRIM(U150)),IF(CA150=1,UPPER(VLOOKUP(T150,Parameter!$I$27:$K$29,2,0)),IF(P150="","LOSE",P150)))</f>
        <v>S51</v>
      </c>
      <c r="BY150" s="50" t="n">
        <f aca="false">IF(BX150="LOSE",1,IF(N(V150)&gt;0,V150,IF(CA150=1,MAX(1,N(VLOOKUP(T150,Parameter!$I$27:$K$29,3,0)),H150,N(N150)),IF(N(Q150)&gt;0,Q150,MAX(1,H150)))))</f>
        <v>71</v>
      </c>
      <c r="BZ150" s="53" t="n">
        <f aca="false">IF(BX150="LOSE",1,0)</f>
        <v>0</v>
      </c>
      <c r="CA150" s="53" t="n">
        <f aca="false">IF(AND(U150="",OR(P150="",P150="LOSE"),T150&lt;&gt;"",N(S150)&lt;=0,ISNUMBER(MATCH(T150,Parameter!$I$27:$I$29,0))),1,0)</f>
        <v>0</v>
      </c>
      <c r="CB150" s="53" t="n">
        <f aca="false">IF(CQ150&gt;0,INDEX(Parameter!$H$5:$H$7,W150)/INDEX(Parameter!$E$5:$E$7,W150),IF(AND(BZ150=0,N(IFERROR(VLOOKUP(BX150,'Gebinde-Kategorie'!$A$5:$N$45,14,0),0))&gt;0),VLOOKUP(BX150,'Gebinde-Kategorie'!$A$5:$N$45,14,0)*10+Parameter!$M$23,Parameter!$M$24))</f>
        <v>155</v>
      </c>
      <c r="CC150" s="48" t="str">
        <f aca="false">IF(AND(Parameter!$B$19="Ja",E150&lt;&gt;"",ISNUMBER(MATCH(E150,Parameter!$I$35:$I$52,0))),VLOOKUP(E150,Parameter!$I$35:$J$52,2,0),IFERROR(VLOOKUP(D150,Parameter!$A$35:$C$64,2,0),"Nein"))</f>
        <v>2+3</v>
      </c>
      <c r="CD150" s="52" t="n">
        <f aca="false">IF(BZ150=0,0,IF(N(S150)&gt;0,S150,IFERROR(VLOOKUP(D150,Parameter!$A$35:$C$64,3,0)+0,0)))</f>
        <v>0</v>
      </c>
      <c r="CE150" s="48" t="n">
        <f aca="false">IF(AA150&lt;&gt;"",AA150,Z150)</f>
        <v>3</v>
      </c>
      <c r="CF150" s="48" t="str">
        <f aca="false">IF(OR(CE150=1,CE150=2,CE150=3),IF(Parameter!$E$27="Ja","LIFT",IF(CE150=1,"L1","L23")),IF(CE150="Aussen","Aussen","-"))</f>
        <v>LIFT</v>
      </c>
      <c r="CG150" s="59" t="n">
        <f aca="false">IF(N(AB150)&gt;0,AB150,0)</f>
        <v>0</v>
      </c>
      <c r="CH150" s="53" t="n">
        <f aca="false">IF(ISNUMBER(AE150),1,0)</f>
        <v>0</v>
      </c>
      <c r="CI150" s="50" t="n">
        <f aca="false">N(AE150)</f>
        <v>0</v>
      </c>
      <c r="CJ150" s="50" t="n">
        <f aca="false">N(M150)+N(N150)</f>
        <v>211</v>
      </c>
      <c r="CK150" s="50" t="n">
        <f aca="false">N(M150)</f>
        <v>11</v>
      </c>
      <c r="CL150" s="50" t="n">
        <f aca="false">N(N150)</f>
        <v>200</v>
      </c>
      <c r="CM150" s="50" t="n">
        <f aca="false">ROUNDUP(H150/BY150,0)</f>
        <v>6</v>
      </c>
      <c r="CN150" s="50" t="n">
        <f aca="false">ROUNDUP(CI150/BY150,0)</f>
        <v>0</v>
      </c>
      <c r="CO150" s="53" t="n">
        <f aca="false">IF(BZ150=1,0,IFERROR(VLOOKUP(BX150,'Gebinde-Kategorie'!$A$5:$N$45,5,0)+0,0))</f>
        <v>11</v>
      </c>
      <c r="CP150" s="53" t="n">
        <f aca="false">IFERROR(IF(OR(CE150=1,CE150=2,CE150=3),N(INDEX(Parameter!$I$5:$I$7,CE150)),0),0)</f>
        <v>0</v>
      </c>
      <c r="CQ150" s="52" t="n">
        <f aca="false">IF(AND(Parameter!$B$21="Ja",ISNUMBER(W150),N(X150)&gt;0),IFERROR(N(INDEX(Parameter!$L$5:$L$7,W150))*INDEX(Parameter!$E$5:$E$7,W150)*X150/SUMIFS($X$7:$X$1843,$W$7:$W$1843,W150),0),0)</f>
        <v>0</v>
      </c>
    </row>
    <row r="151" customFormat="false" ht="15" hidden="false" customHeight="false" outlineLevel="0" collapsed="false">
      <c r="A151" s="48" t="s">
        <v>517</v>
      </c>
      <c r="B151" s="48" t="s">
        <v>518</v>
      </c>
      <c r="C151" s="48" t="s">
        <v>173</v>
      </c>
      <c r="D151" s="48" t="s">
        <v>182</v>
      </c>
      <c r="E151" s="48" t="s">
        <v>182</v>
      </c>
      <c r="F151" s="48" t="s">
        <v>227</v>
      </c>
      <c r="G151" s="49" t="n">
        <v>444.6</v>
      </c>
      <c r="H151" s="50" t="n">
        <f aca="false">MAX(0,IF(AND(Parameter!$B$21="Ja",ISNUMBER(Y151)),Y151,IF(Parameter!$B$20="Jahresanfang 2025 + Export",BR151+BQ151,BQ151)))</f>
        <v>3</v>
      </c>
      <c r="I151" s="50" t="n">
        <f aca="false">H151*G151</f>
        <v>1333.8</v>
      </c>
      <c r="J151" s="50" t="n">
        <f aca="false">BT151*Parameter!$B$18</f>
        <v>3</v>
      </c>
      <c r="K151" s="51" t="n">
        <v>0</v>
      </c>
      <c r="L151" s="52" t="n">
        <v>0</v>
      </c>
      <c r="M151" s="50" t="n">
        <v>0</v>
      </c>
      <c r="N151" s="50" t="n">
        <v>5</v>
      </c>
      <c r="O151" s="53" t="n">
        <v>28</v>
      </c>
      <c r="P151" s="48" t="s">
        <v>177</v>
      </c>
      <c r="Q151" s="50"/>
      <c r="R151" s="53" t="n">
        <f aca="false">IF(BZ151=1,0,IFERROR(VLOOKUP(BX151,'Gebinde-Kategorie'!$A$5:$N$45,13,0)+0,0))</f>
        <v>12</v>
      </c>
      <c r="S151" s="54"/>
      <c r="T151" s="55" t="s">
        <v>188</v>
      </c>
      <c r="U151" s="55"/>
      <c r="V151" s="55"/>
      <c r="W151" s="48"/>
      <c r="X151" s="50"/>
      <c r="Y151" s="50"/>
      <c r="Z151" s="48" t="str">
        <f aca="false">IF(A151="","",IF(AND(Parameter!$B$21="Ja",ISNUMBER(W151)),W151,IF(CC151="2+3",IF(ISNUMBER(SEARCH("grosser Artikel",BU151)),2,IFERROR(VLOOKUP(BX151,Parameter!$F$35:$G$64,2,0),2)),IF(OR(CC151="Nein",CC151=""),"-",CC151))))</f>
        <v>-</v>
      </c>
      <c r="AA151" s="55"/>
      <c r="AB151" s="56"/>
      <c r="AC151" s="50" t="n">
        <f aca="false">AV151</f>
        <v>5</v>
      </c>
      <c r="AD151" s="50" t="n">
        <f aca="false">MAX(AV151,H151)</f>
        <v>5</v>
      </c>
      <c r="AE151" s="57"/>
      <c r="AF151" s="50" t="n">
        <f aca="false">IF(LEFT(Cockpit!$C$5,1)="A",H151,IF(Parameter!$E$30="MAX-Bestand",IF(CH151=1,CI151,IF(LEFT(Cockpit!$C$5,1)="B",AL151,MAX(AL151,H151))),ROUNDUP(AJ151,0)))</f>
        <v>3</v>
      </c>
      <c r="AG151" s="50" t="n">
        <f aca="false">IF(BZ151=1,0,ROUNDUP(AF151/BY151,0))</f>
        <v>1</v>
      </c>
      <c r="AH151" s="52" t="n">
        <f aca="false">IF(CQ151&gt;0,CQ151*MAX(1,AF151/X151),IF(BZ151=1,IF(AF151&lt;=0,0,CD151*MAX(1,IF(H151&gt;0,AF151/H151,1))),IF(R151&gt;0,AG151/R151,0))/MAX(0.1,N(Parameter!$M$21)))</f>
        <v>0.0833333333333333</v>
      </c>
      <c r="AI151" s="50" t="n">
        <f aca="false">AH151*CB151</f>
        <v>12.0833333333333</v>
      </c>
      <c r="AJ151" s="51" t="n">
        <f aca="false">IF(LEFT(Cockpit!$C$5,1)="A",H151,IF(CH151=1,(CK151+CI151)/2,IF(LEFT(Cockpit!$C$5,1)="B",(CK151+AL151)/2,MAX((CK151+AL151)/2,H151))))</f>
        <v>3</v>
      </c>
      <c r="AK151" s="50" t="n">
        <f aca="false">AJ151*G151</f>
        <v>1333.8</v>
      </c>
      <c r="AL151" s="50" t="n">
        <f aca="false">ROUNDUP(CK151+MAX(CL151,2*(J151/IF(CG151&gt;0,CG151,MAX(0.1,N(Cockpit!$C$6)))-CK151)),0)</f>
        <v>5</v>
      </c>
      <c r="AM151" s="51" t="n">
        <f aca="false">IF(AI151&gt;0,J151/AI151,-1)</f>
        <v>0.248275862068966</v>
      </c>
      <c r="AN151" s="51" t="str">
        <f aca="false">IF(AND(OR(CF151="L1",CF151="L23",CF151="LIFT"),AI151&gt;0),SUMIFS($AI$7:$AI$1843,$CF$7:$CF$1843,CF151,$AM$7:$AM$1843,"&gt;"&amp;AM151)+SUMIFS($AI$7:$AI$1843,$CF$7:$CF$1843,CF151,$AM$7:$AM$1843,AM151,$BW$7:$BW$1843,"&lt;="&amp;BW151),"")</f>
        <v/>
      </c>
      <c r="AO151" s="58" t="n">
        <f aca="false">IF(AN151="",0,MAX(0,MIN(1,(IF(CF151="L1",Parameter!$H$5,IF(CF151="L23",Parameter!$H$6+Parameter!$H$7,Parameter!$H$5+Parameter!$H$6+Parameter!$H$7))-(AN151-AI151))/AI151)))</f>
        <v>0</v>
      </c>
      <c r="AP151" s="50" t="n">
        <f aca="false">IF(LEFT(Cockpit!$I$5,1)="A",H151,IF(Parameter!$E$30="MAX-Bestand",IF(CH151=1,CI151,IF(LEFT(Cockpit!$I$5,1)="B",AV151,MAX(AV151,H151))),ROUNDUP(AT151,0)))</f>
        <v>3</v>
      </c>
      <c r="AQ151" s="50" t="n">
        <f aca="false">IF(BZ151=1,0,ROUNDUP(AP151/BY151,0))</f>
        <v>1</v>
      </c>
      <c r="AR151" s="52" t="n">
        <f aca="false">IF(CQ151&gt;0,CQ151*MAX(1,AP151/X151),IF(BZ151=1,IF(AP151&lt;=0,0,CD151*MAX(1,IF(H151&gt;0,AP151/H151,1))),IF(R151&gt;0,AQ151/R151,0))/MAX(0.1,N(Parameter!$M$21)))</f>
        <v>0.0833333333333333</v>
      </c>
      <c r="AS151" s="50" t="n">
        <f aca="false">AR151*CB151</f>
        <v>12.0833333333333</v>
      </c>
      <c r="AT151" s="51" t="n">
        <f aca="false">IF(LEFT(Cockpit!$I$5,1)="A",H151,IF(CH151=1,(CK151+CI151)/2,IF(LEFT(Cockpit!$I$5,1)="B",(CK151+AV151)/2,MAX((CK151+AV151)/2,H151))))</f>
        <v>3</v>
      </c>
      <c r="AU151" s="50" t="n">
        <f aca="false">AT151*G151</f>
        <v>1333.8</v>
      </c>
      <c r="AV151" s="50" t="n">
        <f aca="false">ROUNDUP(CK151+MAX(CL151,2*(J151/IF(CG151&gt;0,CG151,MAX(0.1,N(Cockpit!$I$6)))-CK151)),0)</f>
        <v>5</v>
      </c>
      <c r="AW151" s="51" t="n">
        <f aca="false">IF(AS151&gt;0,J151/AS151,-1)</f>
        <v>0.248275862068966</v>
      </c>
      <c r="AX151" s="51" t="str">
        <f aca="false">IF(AND(OR(CF151="L1",CF151="L23",CF151="LIFT"),AS151&gt;0),SUMIFS($AS$7:$AS$1843,$CF$7:$CF$1843,CF151,$AW$7:$AW$1843,"&gt;"&amp;AW151)+SUMIFS($AS$7:$AS$1843,$CF$7:$CF$1843,CF151,$AW$7:$AW$1843,AW151,$BW$7:$BW$1843,"&lt;="&amp;BW151),"")</f>
        <v/>
      </c>
      <c r="AY151" s="58" t="n">
        <f aca="false">IF(AX151="",0,MAX(0,MIN(1,(IF(CF151="L1",Parameter!$H$5,IF(CF151="L23",Parameter!$H$6+Parameter!$H$7,Parameter!$H$5+Parameter!$H$6+Parameter!$H$7))-(AX151-AS151))/AS151)))</f>
        <v>0</v>
      </c>
      <c r="AZ151" s="50" t="n">
        <f aca="false">IF(LEFT(Cockpit!$O$5,1)="A",H151,IF(Parameter!$E$30="MAX-Bestand",IF(CH151=1,CI151,IF(LEFT(Cockpit!$O$5,1)="B",BF151,MAX(BF151,H151))),ROUNDUP(BD151,0)))</f>
        <v>3</v>
      </c>
      <c r="BA151" s="50" t="n">
        <f aca="false">IF(BZ151=1,0,ROUNDUP(AZ151/BY151,0))</f>
        <v>1</v>
      </c>
      <c r="BB151" s="52" t="n">
        <f aca="false">IF(CQ151&gt;0,CQ151*MAX(1,AZ151/X151),IF(BZ151=1,IF(AZ151&lt;=0,0,CD151*MAX(1,IF(H151&gt;0,AZ151/H151,1))),IF(R151&gt;0,BA151/R151,0))/MAX(0.1,N(Parameter!$M$21)))</f>
        <v>0.0833333333333333</v>
      </c>
      <c r="BC151" s="50" t="n">
        <f aca="false">BB151*CB151</f>
        <v>12.0833333333333</v>
      </c>
      <c r="BD151" s="51" t="n">
        <f aca="false">IF(LEFT(Cockpit!$O$5,1)="A",H151,IF(CH151=1,(CK151+CI151)/2,IF(LEFT(Cockpit!$O$5,1)="B",(CK151+BF151)/2,MAX((CK151+BF151)/2,H151))))</f>
        <v>2.5</v>
      </c>
      <c r="BE151" s="50" t="n">
        <f aca="false">BD151*G151</f>
        <v>1111.5</v>
      </c>
      <c r="BF151" s="50" t="n">
        <f aca="false">ROUNDUP(CK151+MAX(CL151,2*(J151/IF(CG151&gt;0,CG151,MAX(0.1,N(Cockpit!$O$6)))-CK151)),0)</f>
        <v>5</v>
      </c>
      <c r="BG151" s="51" t="n">
        <f aca="false">IF(BC151&gt;0,J151/BC151,-1)</f>
        <v>0.248275862068966</v>
      </c>
      <c r="BH151" s="51" t="str">
        <f aca="false">IF(AND(OR(CF151="L1",CF151="L23",CF151="LIFT"),BC151&gt;0),SUMIFS($BC$7:$BC$1843,$CF$7:$CF$1843,CF151,$BG$7:$BG$1843,"&gt;"&amp;BG151)+SUMIFS($BC$7:$BC$1843,$CF$7:$CF$1843,CF151,$BG$7:$BG$1843,BG151,$BW$7:$BW$1843,"&lt;="&amp;BW151),"")</f>
        <v/>
      </c>
      <c r="BI151" s="58" t="n">
        <f aca="false">IF(BH151="",0,MAX(0,MIN(1,(IF(CF151="L1",Parameter!$H$5,IF(CF151="L23",Parameter!$H$6+Parameter!$H$7,Parameter!$H$5+Parameter!$H$6+Parameter!$H$7))-(BH151-BC151))/BC151)))</f>
        <v>0</v>
      </c>
      <c r="BJ151" s="48" t="str">
        <f aca="false">IF(AI151&lt;=0,"",IF(CF151="Aussen","Aussenlager",IF(CF151="-","Nicht im Lift",IF(AO151&gt;=1,"Lift",IF(AO151&lt;=0,"Aussenlager","teilweise")))))</f>
        <v>Nicht im Lift</v>
      </c>
      <c r="BK151" s="48" t="str">
        <f aca="false">IF(AS151&lt;=0,"",IF(CF151="Aussen","Aussenlager",IF(CF151="-","Nicht im Lift",IF(AY151&gt;=1,"Lift",IF(AY151&lt;=0,"Aussenlager","teilweise")))))</f>
        <v>Nicht im Lift</v>
      </c>
      <c r="BL151" s="48" t="str">
        <f aca="false">IF(BC151&lt;=0,"",IF(CF151="Aussen","Aussenlager",IF(CF151="-","Nicht im Lift",IF(BI151&gt;=1,"Lift",IF(BI151&lt;=0,"Aussenlager","teilweise")))))</f>
        <v>Nicht im Lift</v>
      </c>
      <c r="BM151" s="48" t="str">
        <f aca="false">IF(A151="","",IF(BV151=1,"Neu; ","")&amp;IF(AND(BV151=0,BQ151&lt;0),"negativer Bestand (Export "&amp;BQ151&amp;"); ","")&amp;IF(J151&lt;=0,"Kein Verbrauch; ","")&amp;IF(CQ151&gt;0,"Lift "&amp;W151&amp;" lt. Liftbericht (Fach "&amp;X151&amp;" Stk); ",IF(CA151=1,"Gebinde geschätzt ("&amp;T151&amp;"); ",IF(BZ151=1,"Lose – Tablare geschätzt; ","")))&amp;IF(H151&gt;AV151,"Überbestand "&amp;ROUND(H151-AV151,0)&amp;" Stk / CHF "&amp;ROUND((H151-AV151)*G151,0)&amp;"; ","")&amp;IF(AND(CH151=1,CI151&lt;CJ151),"MAX &lt; MB+LG; ","")&amp;IF(AND(CP151&gt;0,CO151*10&gt;CP151),"zu hoch für Tablar; ","")&amp;IF(AND(BV151=0,OR(CH151=1,AA151&lt;&gt;"",U151&lt;&gt;"",V151&lt;&gt;"",AB151&lt;&gt;"")),"manuell übersteuert; ","")&amp;IF(AND(BZ151=0,R151=0),"Gebinde unbekannt / Stellmass fehlt; ","")&amp;IF(AND(BZ151=0,N(V151)&lt;=0,N(Q151)&lt;=0),"Menge pro Gebinde fehlt (Ist = 1 Gebinde); ","")&amp;BU151)</f>
        <v>Gebinde geschätzt (Mittel); Menge pro Gebinde fehlt (Ist = 1 Gebinde); </v>
      </c>
      <c r="BN151" s="48"/>
      <c r="BO151" s="48"/>
      <c r="BP151" s="55"/>
      <c r="BQ151" s="50" t="n">
        <v>3</v>
      </c>
      <c r="BR151" s="50" t="n">
        <v>0</v>
      </c>
      <c r="BS151" s="49" t="n">
        <v>1333.8</v>
      </c>
      <c r="BT151" s="50" t="n">
        <v>3</v>
      </c>
      <c r="BU151" s="48"/>
      <c r="BV151" s="53" t="n">
        <v>0</v>
      </c>
      <c r="BW151" s="53" t="n">
        <v>151</v>
      </c>
      <c r="BX151" s="48" t="str">
        <f aca="false">IF(U151&lt;&gt;"",UPPER(TRIM(U151)),IF(CA151=1,UPPER(VLOOKUP(T151,Parameter!$I$27:$K$29,2,0)),IF(P151="","LOSE",P151)))</f>
        <v>S61</v>
      </c>
      <c r="BY151" s="50" t="n">
        <f aca="false">IF(BX151="LOSE",1,IF(N(V151)&gt;0,V151,IF(CA151=1,MAX(1,N(VLOOKUP(T151,Parameter!$I$27:$K$29,3,0)),H151,N(N151)),IF(N(Q151)&gt;0,Q151,MAX(1,H151)))))</f>
        <v>5</v>
      </c>
      <c r="BZ151" s="53" t="n">
        <f aca="false">IF(BX151="LOSE",1,0)</f>
        <v>0</v>
      </c>
      <c r="CA151" s="53" t="n">
        <f aca="false">IF(AND(U151="",OR(P151="",P151="LOSE"),T151&lt;&gt;"",N(S151)&lt;=0,ISNUMBER(MATCH(T151,Parameter!$I$27:$I$29,0))),1,0)</f>
        <v>1</v>
      </c>
      <c r="CB151" s="53" t="n">
        <f aca="false">IF(CQ151&gt;0,INDEX(Parameter!$H$5:$H$7,W151)/INDEX(Parameter!$E$5:$E$7,W151),IF(AND(BZ151=0,N(IFERROR(VLOOKUP(BX151,'Gebinde-Kategorie'!$A$5:$N$45,14,0),0))&gt;0),VLOOKUP(BX151,'Gebinde-Kategorie'!$A$5:$N$45,14,0)*10+Parameter!$M$23,Parameter!$M$24))</f>
        <v>145</v>
      </c>
      <c r="CC151" s="48" t="str">
        <f aca="false">IF(AND(Parameter!$B$19="Ja",E151&lt;&gt;"",ISNUMBER(MATCH(E151,Parameter!$I$35:$I$52,0))),VLOOKUP(E151,Parameter!$I$35:$J$52,2,0),IFERROR(VLOOKUP(D151,Parameter!$A$35:$C$64,2,0),"Nein"))</f>
        <v>Nein</v>
      </c>
      <c r="CD151" s="52" t="n">
        <f aca="false">IF(BZ151=0,0,IF(N(S151)&gt;0,S151,IFERROR(VLOOKUP(D151,Parameter!$A$35:$C$64,3,0)+0,0)))</f>
        <v>0</v>
      </c>
      <c r="CE151" s="48" t="str">
        <f aca="false">IF(AA151&lt;&gt;"",AA151,Z151)</f>
        <v>-</v>
      </c>
      <c r="CF151" s="48" t="str">
        <f aca="false">IF(OR(CE151=1,CE151=2,CE151=3),IF(Parameter!$E$27="Ja","LIFT",IF(CE151=1,"L1","L23")),IF(CE151="Aussen","Aussen","-"))</f>
        <v>-</v>
      </c>
      <c r="CG151" s="59" t="n">
        <f aca="false">IF(N(AB151)&gt;0,AB151,0)</f>
        <v>0</v>
      </c>
      <c r="CH151" s="53" t="n">
        <f aca="false">IF(ISNUMBER(AE151),1,0)</f>
        <v>0</v>
      </c>
      <c r="CI151" s="50" t="n">
        <f aca="false">N(AE151)</f>
        <v>0</v>
      </c>
      <c r="CJ151" s="50" t="n">
        <f aca="false">N(M151)+N(N151)</f>
        <v>5</v>
      </c>
      <c r="CK151" s="50" t="n">
        <f aca="false">N(M151)</f>
        <v>0</v>
      </c>
      <c r="CL151" s="50" t="n">
        <f aca="false">N(N151)</f>
        <v>5</v>
      </c>
      <c r="CM151" s="50" t="n">
        <f aca="false">ROUNDUP(H151/BY151,0)</f>
        <v>1</v>
      </c>
      <c r="CN151" s="50" t="n">
        <f aca="false">ROUNDUP(CI151/BY151,0)</f>
        <v>0</v>
      </c>
      <c r="CO151" s="53" t="n">
        <f aca="false">IF(BZ151=1,0,IFERROR(VLOOKUP(BX151,'Gebinde-Kategorie'!$A$5:$N$45,5,0)+0,0))</f>
        <v>11</v>
      </c>
      <c r="CP151" s="53" t="n">
        <f aca="false">IFERROR(IF(OR(CE151=1,CE151=2,CE151=3),N(INDEX(Parameter!$I$5:$I$7,CE151)),0),0)</f>
        <v>0</v>
      </c>
      <c r="CQ151" s="52" t="n">
        <f aca="false">IF(AND(Parameter!$B$21="Ja",ISNUMBER(W151),N(X151)&gt;0),IFERROR(N(INDEX(Parameter!$L$5:$L$7,W151))*INDEX(Parameter!$E$5:$E$7,W151)*X151/SUMIFS($X$7:$X$1843,$W$7:$W$1843,W151),0),0)</f>
        <v>0</v>
      </c>
    </row>
    <row r="152" customFormat="false" ht="15" hidden="false" customHeight="false" outlineLevel="0" collapsed="false">
      <c r="A152" s="48" t="s">
        <v>519</v>
      </c>
      <c r="B152" s="48" t="s">
        <v>520</v>
      </c>
      <c r="C152" s="48" t="s">
        <v>173</v>
      </c>
      <c r="D152" s="48" t="s">
        <v>193</v>
      </c>
      <c r="E152" s="48"/>
      <c r="F152" s="48" t="s">
        <v>227</v>
      </c>
      <c r="G152" s="49" t="n">
        <v>32.83</v>
      </c>
      <c r="H152" s="50" t="n">
        <f aca="false">MAX(0,IF(AND(Parameter!$B$21="Ja",ISNUMBER(Y152)),Y152,IF(Parameter!$B$20="Jahresanfang 2025 + Export",BR152+BQ152,BQ152)))</f>
        <v>42</v>
      </c>
      <c r="I152" s="50" t="n">
        <f aca="false">H152*G152</f>
        <v>1378.86</v>
      </c>
      <c r="J152" s="50" t="n">
        <f aca="false">BT152*Parameter!$B$18</f>
        <v>0</v>
      </c>
      <c r="K152" s="51" t="n">
        <v>2</v>
      </c>
      <c r="L152" s="52" t="n">
        <v>0</v>
      </c>
      <c r="M152" s="50" t="n">
        <v>0</v>
      </c>
      <c r="N152" s="50" t="n">
        <v>1</v>
      </c>
      <c r="O152" s="53" t="n">
        <v>28</v>
      </c>
      <c r="P152" s="48" t="s">
        <v>311</v>
      </c>
      <c r="Q152" s="50" t="n">
        <v>50</v>
      </c>
      <c r="R152" s="53" t="n">
        <f aca="false">IF(BZ152=1,0,IFERROR(VLOOKUP(BX152,'Gebinde-Kategorie'!$A$5:$N$45,13,0)+0,0))</f>
        <v>26</v>
      </c>
      <c r="S152" s="54"/>
      <c r="T152" s="55"/>
      <c r="U152" s="55"/>
      <c r="V152" s="55"/>
      <c r="W152" s="48"/>
      <c r="X152" s="50"/>
      <c r="Y152" s="50"/>
      <c r="Z152" s="48" t="n">
        <f aca="false">IF(A152="","",IF(AND(Parameter!$B$21="Ja",ISNUMBER(W152)),W152,IF(CC152="2+3",IF(ISNUMBER(SEARCH("grosser Artikel",BU152)),2,IFERROR(VLOOKUP(BX152,Parameter!$F$35:$G$64,2,0),2)),IF(OR(CC152="Nein",CC152=""),"-",CC152))))</f>
        <v>3</v>
      </c>
      <c r="AA152" s="55"/>
      <c r="AB152" s="56"/>
      <c r="AC152" s="50" t="n">
        <f aca="false">AV152</f>
        <v>1</v>
      </c>
      <c r="AD152" s="50" t="n">
        <f aca="false">MAX(AV152,H152)</f>
        <v>42</v>
      </c>
      <c r="AE152" s="57"/>
      <c r="AF152" s="50" t="n">
        <f aca="false">IF(LEFT(Cockpit!$C$5,1)="A",H152,IF(Parameter!$E$30="MAX-Bestand",IF(CH152=1,CI152,IF(LEFT(Cockpit!$C$5,1)="B",AL152,MAX(AL152,H152))),ROUNDUP(AJ152,0)))</f>
        <v>42</v>
      </c>
      <c r="AG152" s="50" t="n">
        <f aca="false">IF(BZ152=1,0,ROUNDUP(AF152/BY152,0))</f>
        <v>1</v>
      </c>
      <c r="AH152" s="52" t="n">
        <f aca="false">IF(CQ152&gt;0,CQ152*MAX(1,AF152/X152),IF(BZ152=1,IF(AF152&lt;=0,0,CD152*MAX(1,IF(H152&gt;0,AF152/H152,1))),IF(R152&gt;0,AG152/R152,0))/MAX(0.1,N(Parameter!$M$21)))</f>
        <v>0.0384615384615385</v>
      </c>
      <c r="AI152" s="50" t="n">
        <f aca="false">AH152*CB152</f>
        <v>5.96153846153846</v>
      </c>
      <c r="AJ152" s="51" t="n">
        <f aca="false">IF(LEFT(Cockpit!$C$5,1)="A",H152,IF(CH152=1,(CK152+CI152)/2,IF(LEFT(Cockpit!$C$5,1)="B",(CK152+AL152)/2,MAX((CK152+AL152)/2,H152))))</f>
        <v>42</v>
      </c>
      <c r="AK152" s="50" t="n">
        <f aca="false">AJ152*G152</f>
        <v>1378.86</v>
      </c>
      <c r="AL152" s="50" t="n">
        <f aca="false">ROUNDUP(CK152+MAX(CL152,2*(J152/IF(CG152&gt;0,CG152,MAX(0.1,N(Cockpit!$C$6)))-CK152)),0)</f>
        <v>1</v>
      </c>
      <c r="AM152" s="51" t="n">
        <f aca="false">IF(AI152&gt;0,J152/AI152,-1)</f>
        <v>0</v>
      </c>
      <c r="AN152" s="51" t="n">
        <f aca="false">IF(AND(OR(CF152="L1",CF152="L23",CF152="LIFT"),AI152&gt;0),SUMIFS($AI$7:$AI$1843,$CF$7:$CF$1843,CF152,$AM$7:$AM$1843,"&gt;"&amp;AM152)+SUMIFS($AI$7:$AI$1843,$CF$7:$CF$1843,CF152,$AM$7:$AM$1843,AM152,$BW$7:$BW$1843,"&lt;="&amp;BW152),"")</f>
        <v>27311.4049300511</v>
      </c>
      <c r="AO152" s="58" t="n">
        <f aca="false">IF(AN152="",0,MAX(0,MIN(1,(IF(CF152="L1",Parameter!$H$5,IF(CF152="L23",Parameter!$H$6+Parameter!$H$7,Parameter!$H$5+Parameter!$H$6+Parameter!$H$7))-(AN152-AI152))/AI152)))</f>
        <v>1</v>
      </c>
      <c r="AP152" s="50" t="n">
        <f aca="false">IF(LEFT(Cockpit!$I$5,1)="A",H152,IF(Parameter!$E$30="MAX-Bestand",IF(CH152=1,CI152,IF(LEFT(Cockpit!$I$5,1)="B",AV152,MAX(AV152,H152))),ROUNDUP(AT152,0)))</f>
        <v>42</v>
      </c>
      <c r="AQ152" s="50" t="n">
        <f aca="false">IF(BZ152=1,0,ROUNDUP(AP152/BY152,0))</f>
        <v>1</v>
      </c>
      <c r="AR152" s="52" t="n">
        <f aca="false">IF(CQ152&gt;0,CQ152*MAX(1,AP152/X152),IF(BZ152=1,IF(AP152&lt;=0,0,CD152*MAX(1,IF(H152&gt;0,AP152/H152,1))),IF(R152&gt;0,AQ152/R152,0))/MAX(0.1,N(Parameter!$M$21)))</f>
        <v>0.0384615384615385</v>
      </c>
      <c r="AS152" s="50" t="n">
        <f aca="false">AR152*CB152</f>
        <v>5.96153846153846</v>
      </c>
      <c r="AT152" s="51" t="n">
        <f aca="false">IF(LEFT(Cockpit!$I$5,1)="A",H152,IF(CH152=1,(CK152+CI152)/2,IF(LEFT(Cockpit!$I$5,1)="B",(CK152+AV152)/2,MAX((CK152+AV152)/2,H152))))</f>
        <v>42</v>
      </c>
      <c r="AU152" s="50" t="n">
        <f aca="false">AT152*G152</f>
        <v>1378.86</v>
      </c>
      <c r="AV152" s="50" t="n">
        <f aca="false">ROUNDUP(CK152+MAX(CL152,2*(J152/IF(CG152&gt;0,CG152,MAX(0.1,N(Cockpit!$I$6)))-CK152)),0)</f>
        <v>1</v>
      </c>
      <c r="AW152" s="51" t="n">
        <f aca="false">IF(AS152&gt;0,J152/AS152,-1)</f>
        <v>0</v>
      </c>
      <c r="AX152" s="51" t="n">
        <f aca="false">IF(AND(OR(CF152="L1",CF152="L23",CF152="LIFT"),AS152&gt;0),SUMIFS($AS$7:$AS$1843,$CF$7:$CF$1843,CF152,$AW$7:$AW$1843,"&gt;"&amp;AW152)+SUMIFS($AS$7:$AS$1843,$CF$7:$CF$1843,CF152,$AW$7:$AW$1843,AW152,$BW$7:$BW$1843,"&lt;="&amp;BW152),"")</f>
        <v>32664.5535714286</v>
      </c>
      <c r="AY152" s="58" t="n">
        <f aca="false">IF(AX152="",0,MAX(0,MIN(1,(IF(CF152="L1",Parameter!$H$5,IF(CF152="L23",Parameter!$H$6+Parameter!$H$7,Parameter!$H$5+Parameter!$H$6+Parameter!$H$7))-(AX152-AS152))/AS152)))</f>
        <v>1</v>
      </c>
      <c r="AZ152" s="50" t="n">
        <f aca="false">IF(LEFT(Cockpit!$O$5,1)="A",H152,IF(Parameter!$E$30="MAX-Bestand",IF(CH152=1,CI152,IF(LEFT(Cockpit!$O$5,1)="B",BF152,MAX(BF152,H152))),ROUNDUP(BD152,0)))</f>
        <v>1</v>
      </c>
      <c r="BA152" s="50" t="n">
        <f aca="false">IF(BZ152=1,0,ROUNDUP(AZ152/BY152,0))</f>
        <v>1</v>
      </c>
      <c r="BB152" s="52" t="n">
        <f aca="false">IF(CQ152&gt;0,CQ152*MAX(1,AZ152/X152),IF(BZ152=1,IF(AZ152&lt;=0,0,CD152*MAX(1,IF(H152&gt;0,AZ152/H152,1))),IF(R152&gt;0,BA152/R152,0))/MAX(0.1,N(Parameter!$M$21)))</f>
        <v>0.0384615384615385</v>
      </c>
      <c r="BC152" s="50" t="n">
        <f aca="false">BB152*CB152</f>
        <v>5.96153846153846</v>
      </c>
      <c r="BD152" s="51" t="n">
        <f aca="false">IF(LEFT(Cockpit!$O$5,1)="A",H152,IF(CH152=1,(CK152+CI152)/2,IF(LEFT(Cockpit!$O$5,1)="B",(CK152+BF152)/2,MAX((CK152+BF152)/2,H152))))</f>
        <v>0.5</v>
      </c>
      <c r="BE152" s="50" t="n">
        <f aca="false">BD152*G152</f>
        <v>16.415</v>
      </c>
      <c r="BF152" s="50" t="n">
        <f aca="false">ROUNDUP(CK152+MAX(CL152,2*(J152/IF(CG152&gt;0,CG152,MAX(0.1,N(Cockpit!$O$6)))-CK152)),0)</f>
        <v>1</v>
      </c>
      <c r="BG152" s="51" t="n">
        <f aca="false">IF(BC152&gt;0,J152/BC152,-1)</f>
        <v>0</v>
      </c>
      <c r="BH152" s="51" t="n">
        <f aca="false">IF(AND(OR(CF152="L1",CF152="L23",CF152="LIFT"),BC152&gt;0),SUMIFS($BC$7:$BC$1843,$CF$7:$CF$1843,CF152,$BG$7:$BG$1843,"&gt;"&amp;BG152)+SUMIFS($BC$7:$BC$1843,$CF$7:$CF$1843,CF152,$BG$7:$BG$1843,BG152,$BW$7:$BW$1843,"&lt;="&amp;BW152),"")</f>
        <v>26828.7956711368</v>
      </c>
      <c r="BI152" s="58" t="n">
        <f aca="false">IF(BH152="",0,MAX(0,MIN(1,(IF(CF152="L1",Parameter!$H$5,IF(CF152="L23",Parameter!$H$6+Parameter!$H$7,Parameter!$H$5+Parameter!$H$6+Parameter!$H$7))-(BH152-BC152))/BC152)))</f>
        <v>1</v>
      </c>
      <c r="BJ152" s="48" t="str">
        <f aca="false">IF(AI152&lt;=0,"",IF(CF152="Aussen","Aussenlager",IF(CF152="-","Nicht im Lift",IF(AO152&gt;=1,"Lift",IF(AO152&lt;=0,"Aussenlager","teilweise")))))</f>
        <v>Lift</v>
      </c>
      <c r="BK152" s="48" t="str">
        <f aca="false">IF(AS152&lt;=0,"",IF(CF152="Aussen","Aussenlager",IF(CF152="-","Nicht im Lift",IF(AY152&gt;=1,"Lift",IF(AY152&lt;=0,"Aussenlager","teilweise")))))</f>
        <v>Lift</v>
      </c>
      <c r="BL152" s="48" t="str">
        <f aca="false">IF(BC152&lt;=0,"",IF(CF152="Aussen","Aussenlager",IF(CF152="-","Nicht im Lift",IF(BI152&gt;=1,"Lift",IF(BI152&lt;=0,"Aussenlager","teilweise")))))</f>
        <v>Lift</v>
      </c>
      <c r="BM152" s="48" t="str">
        <f aca="false">IF(A152="","",IF(BV152=1,"Neu; ","")&amp;IF(AND(BV152=0,BQ152&lt;0),"negativer Bestand (Export "&amp;BQ152&amp;"); ","")&amp;IF(J152&lt;=0,"Kein Verbrauch; ","")&amp;IF(CQ152&gt;0,"Lift "&amp;W152&amp;" lt. Liftbericht (Fach "&amp;X152&amp;" Stk); ",IF(CA152=1,"Gebinde geschätzt ("&amp;T152&amp;"); ",IF(BZ152=1,"Lose – Tablare geschätzt; ","")))&amp;IF(H152&gt;AV152,"Überbestand "&amp;ROUND(H152-AV152,0)&amp;" Stk / CHF "&amp;ROUND((H152-AV152)*G152,0)&amp;"; ","")&amp;IF(AND(CH152=1,CI152&lt;CJ152),"MAX &lt; MB+LG; ","")&amp;IF(AND(CP152&gt;0,CO152*10&gt;CP152),"zu hoch für Tablar; ","")&amp;IF(AND(BV152=0,OR(CH152=1,AA152&lt;&gt;"",U152&lt;&gt;"",V152&lt;&gt;"",AB152&lt;&gt;"")),"manuell übersteuert; ","")&amp;IF(AND(BZ152=0,R152=0),"Gebinde unbekannt / Stellmass fehlt; ","")&amp;IF(AND(BZ152=0,N(V152)&lt;=0,N(Q152)&lt;=0),"Menge pro Gebinde fehlt (Ist = 1 Gebinde); ","")&amp;BU152)</f>
        <v>Kein Verbrauch; Überbestand 41 Stk / CHF 1346; Neuer Art.</v>
      </c>
      <c r="BN152" s="48"/>
      <c r="BO152" s="48"/>
      <c r="BP152" s="55"/>
      <c r="BQ152" s="50" t="n">
        <v>40</v>
      </c>
      <c r="BR152" s="50" t="n">
        <v>2</v>
      </c>
      <c r="BS152" s="49" t="n">
        <v>1322.06</v>
      </c>
      <c r="BT152" s="50" t="n">
        <v>0</v>
      </c>
      <c r="BU152" s="48" t="s">
        <v>521</v>
      </c>
      <c r="BV152" s="53" t="n">
        <v>0</v>
      </c>
      <c r="BW152" s="53" t="n">
        <v>152</v>
      </c>
      <c r="BX152" s="48" t="str">
        <f aca="false">IF(U152&lt;&gt;"",UPPER(TRIM(U152)),IF(CA152=1,UPPER(VLOOKUP(T152,Parameter!$I$27:$K$29,2,0)),IF(P152="","LOSE",P152)))</f>
        <v>S51</v>
      </c>
      <c r="BY152" s="50" t="n">
        <f aca="false">IF(BX152="LOSE",1,IF(N(V152)&gt;0,V152,IF(CA152=1,MAX(1,N(VLOOKUP(T152,Parameter!$I$27:$K$29,3,0)),H152,N(N152)),IF(N(Q152)&gt;0,Q152,MAX(1,H152)))))</f>
        <v>50</v>
      </c>
      <c r="BZ152" s="53" t="n">
        <f aca="false">IF(BX152="LOSE",1,0)</f>
        <v>0</v>
      </c>
      <c r="CA152" s="53" t="n">
        <f aca="false">IF(AND(U152="",OR(P152="",P152="LOSE"),T152&lt;&gt;"",N(S152)&lt;=0,ISNUMBER(MATCH(T152,Parameter!$I$27:$I$29,0))),1,0)</f>
        <v>0</v>
      </c>
      <c r="CB152" s="53" t="n">
        <f aca="false">IF(CQ152&gt;0,INDEX(Parameter!$H$5:$H$7,W152)/INDEX(Parameter!$E$5:$E$7,W152),IF(AND(BZ152=0,N(IFERROR(VLOOKUP(BX152,'Gebinde-Kategorie'!$A$5:$N$45,14,0),0))&gt;0),VLOOKUP(BX152,'Gebinde-Kategorie'!$A$5:$N$45,14,0)*10+Parameter!$M$23,Parameter!$M$24))</f>
        <v>155</v>
      </c>
      <c r="CC152" s="48" t="str">
        <f aca="false">IF(AND(Parameter!$B$19="Ja",E152&lt;&gt;"",ISNUMBER(MATCH(E152,Parameter!$I$35:$I$52,0))),VLOOKUP(E152,Parameter!$I$35:$J$52,2,0),IFERROR(VLOOKUP(D152,Parameter!$A$35:$C$64,2,0),"Nein"))</f>
        <v>2+3</v>
      </c>
      <c r="CD152" s="52" t="n">
        <f aca="false">IF(BZ152=0,0,IF(N(S152)&gt;0,S152,IFERROR(VLOOKUP(D152,Parameter!$A$35:$C$64,3,0)+0,0)))</f>
        <v>0</v>
      </c>
      <c r="CE152" s="48" t="n">
        <f aca="false">IF(AA152&lt;&gt;"",AA152,Z152)</f>
        <v>3</v>
      </c>
      <c r="CF152" s="48" t="str">
        <f aca="false">IF(OR(CE152=1,CE152=2,CE152=3),IF(Parameter!$E$27="Ja","LIFT",IF(CE152=1,"L1","L23")),IF(CE152="Aussen","Aussen","-"))</f>
        <v>LIFT</v>
      </c>
      <c r="CG152" s="59" t="n">
        <f aca="false">IF(N(AB152)&gt;0,AB152,0)</f>
        <v>0</v>
      </c>
      <c r="CH152" s="53" t="n">
        <f aca="false">IF(ISNUMBER(AE152),1,0)</f>
        <v>0</v>
      </c>
      <c r="CI152" s="50" t="n">
        <f aca="false">N(AE152)</f>
        <v>0</v>
      </c>
      <c r="CJ152" s="50" t="n">
        <f aca="false">N(M152)+N(N152)</f>
        <v>1</v>
      </c>
      <c r="CK152" s="50" t="n">
        <f aca="false">N(M152)</f>
        <v>0</v>
      </c>
      <c r="CL152" s="50" t="n">
        <f aca="false">N(N152)</f>
        <v>1</v>
      </c>
      <c r="CM152" s="50" t="n">
        <f aca="false">ROUNDUP(H152/BY152,0)</f>
        <v>1</v>
      </c>
      <c r="CN152" s="50" t="n">
        <f aca="false">ROUNDUP(CI152/BY152,0)</f>
        <v>0</v>
      </c>
      <c r="CO152" s="53" t="n">
        <f aca="false">IF(BZ152=1,0,IFERROR(VLOOKUP(BX152,'Gebinde-Kategorie'!$A$5:$N$45,5,0)+0,0))</f>
        <v>11</v>
      </c>
      <c r="CP152" s="53" t="n">
        <f aca="false">IFERROR(IF(OR(CE152=1,CE152=2,CE152=3),N(INDEX(Parameter!$I$5:$I$7,CE152)),0),0)</f>
        <v>0</v>
      </c>
      <c r="CQ152" s="52" t="n">
        <f aca="false">IF(AND(Parameter!$B$21="Ja",ISNUMBER(W152),N(X152)&gt;0),IFERROR(N(INDEX(Parameter!$L$5:$L$7,W152))*INDEX(Parameter!$E$5:$E$7,W152)*X152/SUMIFS($X$7:$X$1843,$W$7:$W$1843,W152),0),0)</f>
        <v>0</v>
      </c>
    </row>
    <row r="153" customFormat="false" ht="15" hidden="false" customHeight="false" outlineLevel="0" collapsed="false">
      <c r="A153" s="48" t="s">
        <v>522</v>
      </c>
      <c r="B153" s="48" t="s">
        <v>523</v>
      </c>
      <c r="C153" s="48" t="s">
        <v>173</v>
      </c>
      <c r="D153" s="48" t="s">
        <v>182</v>
      </c>
      <c r="E153" s="48" t="s">
        <v>175</v>
      </c>
      <c r="F153" s="48" t="s">
        <v>227</v>
      </c>
      <c r="G153" s="49" t="n">
        <v>2753.47</v>
      </c>
      <c r="H153" s="50" t="n">
        <f aca="false">MAX(0,IF(AND(Parameter!$B$21="Ja",ISNUMBER(Y153)),Y153,IF(Parameter!$B$20="Jahresanfang 2025 + Export",BR153+BQ153,BQ153)))</f>
        <v>2</v>
      </c>
      <c r="I153" s="50" t="n">
        <f aca="false">H153*G153</f>
        <v>5506.94</v>
      </c>
      <c r="J153" s="50" t="n">
        <f aca="false">BT153*Parameter!$B$18</f>
        <v>2</v>
      </c>
      <c r="K153" s="51" t="n">
        <v>2.5</v>
      </c>
      <c r="L153" s="52" t="n">
        <v>0.8</v>
      </c>
      <c r="M153" s="50" t="n">
        <v>1</v>
      </c>
      <c r="N153" s="50" t="n">
        <v>1</v>
      </c>
      <c r="O153" s="53" t="n">
        <v>56</v>
      </c>
      <c r="P153" s="48" t="s">
        <v>177</v>
      </c>
      <c r="Q153" s="50"/>
      <c r="R153" s="53" t="n">
        <f aca="false">IF(BZ153=1,0,IFERROR(VLOOKUP(BX153,'Gebinde-Kategorie'!$A$5:$N$45,13,0)+0,0))</f>
        <v>0</v>
      </c>
      <c r="S153" s="54"/>
      <c r="T153" s="55"/>
      <c r="U153" s="55"/>
      <c r="V153" s="55"/>
      <c r="W153" s="48" t="n">
        <v>1</v>
      </c>
      <c r="X153" s="50" t="n">
        <v>4</v>
      </c>
      <c r="Y153" s="50" t="n">
        <v>2</v>
      </c>
      <c r="Z153" s="48" t="n">
        <f aca="false">IF(A153="","",IF(AND(Parameter!$B$21="Ja",ISNUMBER(W153)),W153,IF(CC153="2+3",IF(ISNUMBER(SEARCH("grosser Artikel",BU153)),2,IFERROR(VLOOKUP(BX153,Parameter!$F$35:$G$64,2,0),2)),IF(OR(CC153="Nein",CC153=""),"-",CC153))))</f>
        <v>1</v>
      </c>
      <c r="AA153" s="55"/>
      <c r="AB153" s="56"/>
      <c r="AC153" s="50" t="n">
        <f aca="false">AV153</f>
        <v>2</v>
      </c>
      <c r="AD153" s="50" t="n">
        <f aca="false">MAX(AV153,H153)</f>
        <v>2</v>
      </c>
      <c r="AE153" s="57"/>
      <c r="AF153" s="50" t="n">
        <f aca="false">IF(LEFT(Cockpit!$C$5,1)="A",H153,IF(Parameter!$E$30="MAX-Bestand",IF(CH153=1,CI153,IF(LEFT(Cockpit!$C$5,1)="B",AL153,MAX(AL153,H153))),ROUNDUP(AJ153,0)))</f>
        <v>2</v>
      </c>
      <c r="AG153" s="50" t="n">
        <f aca="false">IF(BZ153=1,0,ROUNDUP(AF153/BY153,0))</f>
        <v>0</v>
      </c>
      <c r="AH153" s="52" t="n">
        <f aca="false">IF(CQ153&gt;0,CQ153*MAX(1,AF153/X153),IF(BZ153=1,IF(AF153&lt;=0,0,CD153*MAX(1,IF(H153&gt;0,AF153/H153,1))),IF(R153&gt;0,AG153/R153,0))/MAX(0.1,N(Parameter!$M$21)))</f>
        <v>0.32015065913371</v>
      </c>
      <c r="AI153" s="50" t="n">
        <f aca="false">AH153*CB153</f>
        <v>76.195856873823</v>
      </c>
      <c r="AJ153" s="51" t="n">
        <f aca="false">IF(LEFT(Cockpit!$C$5,1)="A",H153,IF(CH153=1,(CK153+CI153)/2,IF(LEFT(Cockpit!$C$5,1)="B",(CK153+AL153)/2,MAX((CK153+AL153)/2,H153))))</f>
        <v>2</v>
      </c>
      <c r="AK153" s="50" t="n">
        <f aca="false">AJ153*G153</f>
        <v>5506.94</v>
      </c>
      <c r="AL153" s="50" t="n">
        <f aca="false">ROUNDUP(CK153+MAX(CL153,2*(J153/IF(CG153&gt;0,CG153,MAX(0.1,N(Cockpit!$C$6)))-CK153)),0)</f>
        <v>2</v>
      </c>
      <c r="AM153" s="51" t="n">
        <f aca="false">IF(AI153&gt;0,J153/AI153,-1)</f>
        <v>0.0262481463173505</v>
      </c>
      <c r="AN153" s="51" t="n">
        <f aca="false">IF(AND(OR(CF153="L1",CF153="L23",CF153="LIFT"),AI153&gt;0),SUMIFS($AI$7:$AI$1843,$CF$7:$CF$1843,CF153,$AM$7:$AM$1843,"&gt;"&amp;AM153)+SUMIFS($AI$7:$AI$1843,$CF$7:$CF$1843,CF153,$AM$7:$AM$1843,AM153,$BW$7:$BW$1843,"&lt;="&amp;BW153),"")</f>
        <v>21691.5124764595</v>
      </c>
      <c r="AO153" s="58" t="n">
        <f aca="false">IF(AN153="",0,MAX(0,MIN(1,(IF(CF153="L1",Parameter!$H$5,IF(CF153="L23",Parameter!$H$6+Parameter!$H$7,Parameter!$H$5+Parameter!$H$6+Parameter!$H$7))-(AN153-AI153))/AI153)))</f>
        <v>1</v>
      </c>
      <c r="AP153" s="50" t="n">
        <f aca="false">IF(LEFT(Cockpit!$I$5,1)="A",H153,IF(Parameter!$E$30="MAX-Bestand",IF(CH153=1,CI153,IF(LEFT(Cockpit!$I$5,1)="B",AV153,MAX(AV153,H153))),ROUNDUP(AT153,0)))</f>
        <v>2</v>
      </c>
      <c r="AQ153" s="50" t="n">
        <f aca="false">IF(BZ153=1,0,ROUNDUP(AP153/BY153,0))</f>
        <v>0</v>
      </c>
      <c r="AR153" s="52" t="n">
        <f aca="false">IF(CQ153&gt;0,CQ153*MAX(1,AP153/X153),IF(BZ153=1,IF(AP153&lt;=0,0,CD153*MAX(1,IF(H153&gt;0,AP153/H153,1))),IF(R153&gt;0,AQ153/R153,0))/MAX(0.1,N(Parameter!$M$21)))</f>
        <v>0.32015065913371</v>
      </c>
      <c r="AS153" s="50" t="n">
        <f aca="false">AR153*CB153</f>
        <v>76.195856873823</v>
      </c>
      <c r="AT153" s="51" t="n">
        <f aca="false">IF(LEFT(Cockpit!$I$5,1)="A",H153,IF(CH153=1,(CK153+CI153)/2,IF(LEFT(Cockpit!$I$5,1)="B",(CK153+AV153)/2,MAX((CK153+AV153)/2,H153))))</f>
        <v>2</v>
      </c>
      <c r="AU153" s="50" t="n">
        <f aca="false">AT153*G153</f>
        <v>5506.94</v>
      </c>
      <c r="AV153" s="50" t="n">
        <f aca="false">ROUNDUP(CK153+MAX(CL153,2*(J153/IF(CG153&gt;0,CG153,MAX(0.1,N(Cockpit!$I$6)))-CK153)),0)</f>
        <v>2</v>
      </c>
      <c r="AW153" s="51" t="n">
        <f aca="false">IF(AS153&gt;0,J153/AS153,-1)</f>
        <v>0.0262481463173505</v>
      </c>
      <c r="AX153" s="51" t="n">
        <f aca="false">IF(AND(OR(CF153="L1",CF153="L23",CF153="LIFT"),AS153&gt;0),SUMIFS($AS$7:$AS$1843,$CF$7:$CF$1843,CF153,$AW$7:$AW$1843,"&gt;"&amp;AW153)+SUMIFS($AS$7:$AS$1843,$CF$7:$CF$1843,CF153,$AW$7:$AW$1843,AW153,$BW$7:$BW$1843,"&lt;="&amp;BW153),"")</f>
        <v>26809.661117837</v>
      </c>
      <c r="AY153" s="58" t="n">
        <f aca="false">IF(AX153="",0,MAX(0,MIN(1,(IF(CF153="L1",Parameter!$H$5,IF(CF153="L23",Parameter!$H$6+Parameter!$H$7,Parameter!$H$5+Parameter!$H$6+Parameter!$H$7))-(AX153-AS153))/AS153)))</f>
        <v>1</v>
      </c>
      <c r="AZ153" s="50" t="n">
        <f aca="false">IF(LEFT(Cockpit!$O$5,1)="A",H153,IF(Parameter!$E$30="MAX-Bestand",IF(CH153=1,CI153,IF(LEFT(Cockpit!$O$5,1)="B",BF153,MAX(BF153,H153))),ROUNDUP(BD153,0)))</f>
        <v>2</v>
      </c>
      <c r="BA153" s="50" t="n">
        <f aca="false">IF(BZ153=1,0,ROUNDUP(AZ153/BY153,0))</f>
        <v>0</v>
      </c>
      <c r="BB153" s="52" t="n">
        <f aca="false">IF(CQ153&gt;0,CQ153*MAX(1,AZ153/X153),IF(BZ153=1,IF(AZ153&lt;=0,0,CD153*MAX(1,IF(H153&gt;0,AZ153/H153,1))),IF(R153&gt;0,BA153/R153,0))/MAX(0.1,N(Parameter!$M$21)))</f>
        <v>0.32015065913371</v>
      </c>
      <c r="BC153" s="50" t="n">
        <f aca="false">BB153*CB153</f>
        <v>76.195856873823</v>
      </c>
      <c r="BD153" s="51" t="n">
        <f aca="false">IF(LEFT(Cockpit!$O$5,1)="A",H153,IF(CH153=1,(CK153+CI153)/2,IF(LEFT(Cockpit!$O$5,1)="B",(CK153+BF153)/2,MAX((CK153+BF153)/2,H153))))</f>
        <v>1.5</v>
      </c>
      <c r="BE153" s="50" t="n">
        <f aca="false">BD153*G153</f>
        <v>4130.205</v>
      </c>
      <c r="BF153" s="50" t="n">
        <f aca="false">ROUNDUP(CK153+MAX(CL153,2*(J153/IF(CG153&gt;0,CG153,MAX(0.1,N(Cockpit!$O$6)))-CK153)),0)</f>
        <v>2</v>
      </c>
      <c r="BG153" s="51" t="n">
        <f aca="false">IF(BC153&gt;0,J153/BC153,-1)</f>
        <v>0.0262481463173505</v>
      </c>
      <c r="BH153" s="51" t="n">
        <f aca="false">IF(AND(OR(CF153="L1",CF153="L23",CF153="LIFT"),BC153&gt;0),SUMIFS($BC$7:$BC$1843,$CF$7:$CF$1843,CF153,$BG$7:$BG$1843,"&gt;"&amp;BG153)+SUMIFS($BC$7:$BC$1843,$CF$7:$CF$1843,CF153,$BG$7:$BG$1843,BG153,$BW$7:$BW$1843,"&lt;="&amp;BW153),"")</f>
        <v>22473.1019354939</v>
      </c>
      <c r="BI153" s="58" t="n">
        <f aca="false">IF(BH153="",0,MAX(0,MIN(1,(IF(CF153="L1",Parameter!$H$5,IF(CF153="L23",Parameter!$H$6+Parameter!$H$7,Parameter!$H$5+Parameter!$H$6+Parameter!$H$7))-(BH153-BC153))/BC153)))</f>
        <v>1</v>
      </c>
      <c r="BJ153" s="48" t="str">
        <f aca="false">IF(AI153&lt;=0,"",IF(CF153="Aussen","Aussenlager",IF(CF153="-","Nicht im Lift",IF(AO153&gt;=1,"Lift",IF(AO153&lt;=0,"Aussenlager","teilweise")))))</f>
        <v>Lift</v>
      </c>
      <c r="BK153" s="48" t="str">
        <f aca="false">IF(AS153&lt;=0,"",IF(CF153="Aussen","Aussenlager",IF(CF153="-","Nicht im Lift",IF(AY153&gt;=1,"Lift",IF(AY153&lt;=0,"Aussenlager","teilweise")))))</f>
        <v>Lift</v>
      </c>
      <c r="BL153" s="48" t="str">
        <f aca="false">IF(BC153&lt;=0,"",IF(CF153="Aussen","Aussenlager",IF(CF153="-","Nicht im Lift",IF(BI153&gt;=1,"Lift",IF(BI153&lt;=0,"Aussenlager","teilweise")))))</f>
        <v>Lift</v>
      </c>
      <c r="BM153" s="48" t="str">
        <f aca="false">IF(A153="","",IF(BV153=1,"Neu; ","")&amp;IF(AND(BV153=0,BQ153&lt;0),"negativer Bestand (Export "&amp;BQ153&amp;"); ","")&amp;IF(J153&lt;=0,"Kein Verbrauch; ","")&amp;IF(CQ153&gt;0,"Lift "&amp;W153&amp;" lt. Liftbericht (Fach "&amp;X153&amp;" Stk); ",IF(CA153=1,"Gebinde geschätzt ("&amp;T153&amp;"); ",IF(BZ153=1,"Lose – Tablare geschätzt; ","")))&amp;IF(H153&gt;AV153,"Überbestand "&amp;ROUND(H153-AV153,0)&amp;" Stk / CHF "&amp;ROUND((H153-AV153)*G153,0)&amp;"; ","")&amp;IF(AND(CH153=1,CI153&lt;CJ153),"MAX &lt; MB+LG; ","")&amp;IF(AND(CP153&gt;0,CO153*10&gt;CP153),"zu hoch für Tablar; ","")&amp;IF(AND(BV153=0,OR(CH153=1,AA153&lt;&gt;"",U153&lt;&gt;"",V153&lt;&gt;"",AB153&lt;&gt;"")),"manuell übersteuert; ","")&amp;IF(AND(BZ153=0,R153=0),"Gebinde unbekannt / Stellmass fehlt; ","")&amp;IF(AND(BZ153=0,N(V153)&lt;=0,N(Q153)&lt;=0),"Menge pro Gebinde fehlt (Ist = 1 Gebinde); ","")&amp;BU153)</f>
        <v>Lift 1 lt. Liftbericht (Fach 4 Stk); </v>
      </c>
      <c r="BN153" s="48"/>
      <c r="BO153" s="48"/>
      <c r="BP153" s="55"/>
      <c r="BQ153" s="50" t="n">
        <v>0</v>
      </c>
      <c r="BR153" s="50" t="n">
        <v>3</v>
      </c>
      <c r="BS153" s="49" t="n">
        <v>1295.4</v>
      </c>
      <c r="BT153" s="50" t="n">
        <v>2</v>
      </c>
      <c r="BU153" s="48"/>
      <c r="BV153" s="53" t="n">
        <v>0</v>
      </c>
      <c r="BW153" s="53" t="n">
        <v>153</v>
      </c>
      <c r="BX153" s="48" t="str">
        <f aca="false">IF(U153&lt;&gt;"",UPPER(TRIM(U153)),IF(CA153=1,UPPER(VLOOKUP(T153,Parameter!$I$27:$K$29,2,0)),IF(P153="","LOSE",P153)))</f>
        <v>LOSE</v>
      </c>
      <c r="BY153" s="50" t="n">
        <f aca="false">IF(BX153="LOSE",1,IF(N(V153)&gt;0,V153,IF(CA153=1,MAX(1,N(VLOOKUP(T153,Parameter!$I$27:$K$29,3,0)),H153,N(N153)),IF(N(Q153)&gt;0,Q153,MAX(1,H153)))))</f>
        <v>1</v>
      </c>
      <c r="BZ153" s="53" t="n">
        <f aca="false">IF(BX153="LOSE",1,0)</f>
        <v>1</v>
      </c>
      <c r="CA153" s="53" t="n">
        <f aca="false">IF(AND(U153="",OR(P153="",P153="LOSE"),T153&lt;&gt;"",N(S153)&lt;=0,ISNUMBER(MATCH(T153,Parameter!$I$27:$I$29,0))),1,0)</f>
        <v>0</v>
      </c>
      <c r="CB153" s="53" t="n">
        <f aca="false">IF(CQ153&gt;0,INDEX(Parameter!$H$5:$H$7,W153)/INDEX(Parameter!$E$5:$E$7,W153),IF(AND(BZ153=0,N(IFERROR(VLOOKUP(BX153,'Gebinde-Kategorie'!$A$5:$N$45,14,0),0))&gt;0),VLOOKUP(BX153,'Gebinde-Kategorie'!$A$5:$N$45,14,0)*10+Parameter!$M$23,Parameter!$M$24))</f>
        <v>238</v>
      </c>
      <c r="CC153" s="48" t="n">
        <f aca="false">IF(AND(Parameter!$B$19="Ja",E153&lt;&gt;"",ISNUMBER(MATCH(E153,Parameter!$I$35:$I$52,0))),VLOOKUP(E153,Parameter!$I$35:$J$52,2,0),IFERROR(VLOOKUP(D153,Parameter!$A$35:$C$64,2,0),"Nein"))</f>
        <v>1</v>
      </c>
      <c r="CD153" s="52" t="n">
        <f aca="false">IF(BZ153=0,0,IF(N(S153)&gt;0,S153,IFERROR(VLOOKUP(D153,Parameter!$A$35:$C$64,3,0)+0,0)))</f>
        <v>0.15</v>
      </c>
      <c r="CE153" s="48" t="n">
        <f aca="false">IF(AA153&lt;&gt;"",AA153,Z153)</f>
        <v>1</v>
      </c>
      <c r="CF153" s="48" t="str">
        <f aca="false">IF(OR(CE153=1,CE153=2,CE153=3),IF(Parameter!$E$27="Ja","LIFT",IF(CE153=1,"L1","L23")),IF(CE153="Aussen","Aussen","-"))</f>
        <v>LIFT</v>
      </c>
      <c r="CG153" s="59" t="n">
        <f aca="false">IF(N(AB153)&gt;0,AB153,0)</f>
        <v>0</v>
      </c>
      <c r="CH153" s="53" t="n">
        <f aca="false">IF(ISNUMBER(AE153),1,0)</f>
        <v>0</v>
      </c>
      <c r="CI153" s="50" t="n">
        <f aca="false">N(AE153)</f>
        <v>0</v>
      </c>
      <c r="CJ153" s="50" t="n">
        <f aca="false">N(M153)+N(N153)</f>
        <v>2</v>
      </c>
      <c r="CK153" s="50" t="n">
        <f aca="false">N(M153)</f>
        <v>1</v>
      </c>
      <c r="CL153" s="50" t="n">
        <f aca="false">N(N153)</f>
        <v>1</v>
      </c>
      <c r="CM153" s="50" t="n">
        <f aca="false">ROUNDUP(H153/BY153,0)</f>
        <v>2</v>
      </c>
      <c r="CN153" s="50" t="n">
        <f aca="false">ROUNDUP(CI153/BY153,0)</f>
        <v>0</v>
      </c>
      <c r="CO153" s="53" t="n">
        <f aca="false">IF(BZ153=1,0,IFERROR(VLOOKUP(BX153,'Gebinde-Kategorie'!$A$5:$N$45,5,0)+0,0))</f>
        <v>0</v>
      </c>
      <c r="CP153" s="53" t="n">
        <f aca="false">IFERROR(IF(OR(CE153=1,CE153=2,CE153=3),N(INDEX(Parameter!$I$5:$I$7,CE153)),0),0)</f>
        <v>0</v>
      </c>
      <c r="CQ153" s="52" t="n">
        <f aca="false">IF(AND(Parameter!$B$21="Ja",ISNUMBER(W153),N(X153)&gt;0),IFERROR(N(INDEX(Parameter!$L$5:$L$7,W153))*INDEX(Parameter!$E$5:$E$7,W153)*X153/SUMIFS($X$7:$X$1843,$W$7:$W$1843,W153),0),0)</f>
        <v>0.32015065913371</v>
      </c>
    </row>
    <row r="154" customFormat="false" ht="15" hidden="false" customHeight="false" outlineLevel="0" collapsed="false">
      <c r="A154" s="48" t="s">
        <v>524</v>
      </c>
      <c r="B154" s="48" t="s">
        <v>525</v>
      </c>
      <c r="C154" s="48" t="s">
        <v>173</v>
      </c>
      <c r="D154" s="48" t="s">
        <v>182</v>
      </c>
      <c r="E154" s="48"/>
      <c r="F154" s="48" t="s">
        <v>227</v>
      </c>
      <c r="G154" s="49" t="n">
        <v>66.47</v>
      </c>
      <c r="H154" s="50" t="n">
        <f aca="false">MAX(0,IF(AND(Parameter!$B$21="Ja",ISNUMBER(Y154)),Y154,IF(Parameter!$B$20="Jahresanfang 2025 + Export",BR154+BQ154,BQ154)))</f>
        <v>36</v>
      </c>
      <c r="I154" s="50" t="n">
        <f aca="false">H154*G154</f>
        <v>2392.92</v>
      </c>
      <c r="J154" s="50" t="n">
        <f aca="false">BT154*Parameter!$B$18</f>
        <v>1</v>
      </c>
      <c r="K154" s="51" t="n">
        <v>26.5</v>
      </c>
      <c r="L154" s="52" t="n">
        <v>0.0377358490566038</v>
      </c>
      <c r="M154" s="50" t="n">
        <v>0</v>
      </c>
      <c r="N154" s="50" t="n">
        <v>1</v>
      </c>
      <c r="O154" s="53" t="n">
        <v>56</v>
      </c>
      <c r="P154" s="48" t="s">
        <v>177</v>
      </c>
      <c r="Q154" s="50"/>
      <c r="R154" s="53" t="n">
        <f aca="false">IF(BZ154=1,0,IFERROR(VLOOKUP(BX154,'Gebinde-Kategorie'!$A$5:$N$45,13,0)+0,0))</f>
        <v>12</v>
      </c>
      <c r="S154" s="54"/>
      <c r="T154" s="55" t="s">
        <v>188</v>
      </c>
      <c r="U154" s="55"/>
      <c r="V154" s="55"/>
      <c r="W154" s="48"/>
      <c r="X154" s="50"/>
      <c r="Y154" s="50"/>
      <c r="Z154" s="48" t="n">
        <f aca="false">IF(A154="","",IF(AND(Parameter!$B$21="Ja",ISNUMBER(W154)),W154,IF(CC154="2+3",IF(ISNUMBER(SEARCH("grosser Artikel",BU154)),2,IFERROR(VLOOKUP(BX154,Parameter!$F$35:$G$64,2,0),2)),IF(OR(CC154="Nein",CC154=""),"-",CC154))))</f>
        <v>2</v>
      </c>
      <c r="AA154" s="55"/>
      <c r="AB154" s="56"/>
      <c r="AC154" s="50" t="n">
        <f aca="false">AV154</f>
        <v>1</v>
      </c>
      <c r="AD154" s="50" t="n">
        <f aca="false">MAX(AV154,H154)</f>
        <v>36</v>
      </c>
      <c r="AE154" s="57"/>
      <c r="AF154" s="50" t="n">
        <f aca="false">IF(LEFT(Cockpit!$C$5,1)="A",H154,IF(Parameter!$E$30="MAX-Bestand",IF(CH154=1,CI154,IF(LEFT(Cockpit!$C$5,1)="B",AL154,MAX(AL154,H154))),ROUNDUP(AJ154,0)))</f>
        <v>36</v>
      </c>
      <c r="AG154" s="50" t="n">
        <f aca="false">IF(BZ154=1,0,ROUNDUP(AF154/BY154,0))</f>
        <v>1</v>
      </c>
      <c r="AH154" s="52" t="n">
        <f aca="false">IF(CQ154&gt;0,CQ154*MAX(1,AF154/X154),IF(BZ154=1,IF(AF154&lt;=0,0,CD154*MAX(1,IF(H154&gt;0,AF154/H154,1))),IF(R154&gt;0,AG154/R154,0))/MAX(0.1,N(Parameter!$M$21)))</f>
        <v>0.0833333333333333</v>
      </c>
      <c r="AI154" s="50" t="n">
        <f aca="false">AH154*CB154</f>
        <v>12.0833333333333</v>
      </c>
      <c r="AJ154" s="51" t="n">
        <f aca="false">IF(LEFT(Cockpit!$C$5,1)="A",H154,IF(CH154=1,(CK154+CI154)/2,IF(LEFT(Cockpit!$C$5,1)="B",(CK154+AL154)/2,MAX((CK154+AL154)/2,H154))))</f>
        <v>36</v>
      </c>
      <c r="AK154" s="50" t="n">
        <f aca="false">AJ154*G154</f>
        <v>2392.92</v>
      </c>
      <c r="AL154" s="50" t="n">
        <f aca="false">ROUNDUP(CK154+MAX(CL154,2*(J154/IF(CG154&gt;0,CG154,MAX(0.1,N(Cockpit!$C$6)))-CK154)),0)</f>
        <v>1</v>
      </c>
      <c r="AM154" s="51" t="n">
        <f aca="false">IF(AI154&gt;0,J154/AI154,-1)</f>
        <v>0.0827586206896552</v>
      </c>
      <c r="AN154" s="51" t="n">
        <f aca="false">IF(AND(OR(CF154="L1",CF154="L23",CF154="LIFT"),AI154&gt;0),SUMIFS($AI$7:$AI$1843,$CF$7:$CF$1843,CF154,$AM$7:$AM$1843,"&gt;"&amp;AM154)+SUMIFS($AI$7:$AI$1843,$CF$7:$CF$1843,CF154,$AM$7:$AM$1843,AM154,$BW$7:$BW$1843,"&lt;="&amp;BW154),"")</f>
        <v>16689.4407322903</v>
      </c>
      <c r="AO154" s="58" t="n">
        <f aca="false">IF(AN154="",0,MAX(0,MIN(1,(IF(CF154="L1",Parameter!$H$5,IF(CF154="L23",Parameter!$H$6+Parameter!$H$7,Parameter!$H$5+Parameter!$H$6+Parameter!$H$7))-(AN154-AI154))/AI154)))</f>
        <v>1</v>
      </c>
      <c r="AP154" s="50" t="n">
        <f aca="false">IF(LEFT(Cockpit!$I$5,1)="A",H154,IF(Parameter!$E$30="MAX-Bestand",IF(CH154=1,CI154,IF(LEFT(Cockpit!$I$5,1)="B",AV154,MAX(AV154,H154))),ROUNDUP(AT154,0)))</f>
        <v>36</v>
      </c>
      <c r="AQ154" s="50" t="n">
        <f aca="false">IF(BZ154=1,0,ROUNDUP(AP154/BY154,0))</f>
        <v>1</v>
      </c>
      <c r="AR154" s="52" t="n">
        <f aca="false">IF(CQ154&gt;0,CQ154*MAX(1,AP154/X154),IF(BZ154=1,IF(AP154&lt;=0,0,CD154*MAX(1,IF(H154&gt;0,AP154/H154,1))),IF(R154&gt;0,AQ154/R154,0))/MAX(0.1,N(Parameter!$M$21)))</f>
        <v>0.0833333333333333</v>
      </c>
      <c r="AS154" s="50" t="n">
        <f aca="false">AR154*CB154</f>
        <v>12.0833333333333</v>
      </c>
      <c r="AT154" s="51" t="n">
        <f aca="false">IF(LEFT(Cockpit!$I$5,1)="A",H154,IF(CH154=1,(CK154+CI154)/2,IF(LEFT(Cockpit!$I$5,1)="B",(CK154+AV154)/2,MAX((CK154+AV154)/2,H154))))</f>
        <v>36</v>
      </c>
      <c r="AU154" s="50" t="n">
        <f aca="false">AT154*G154</f>
        <v>2392.92</v>
      </c>
      <c r="AV154" s="50" t="n">
        <f aca="false">ROUNDUP(CK154+MAX(CL154,2*(J154/IF(CG154&gt;0,CG154,MAX(0.1,N(Cockpit!$I$6)))-CK154)),0)</f>
        <v>1</v>
      </c>
      <c r="AW154" s="51" t="n">
        <f aca="false">IF(AS154&gt;0,J154/AS154,-1)</f>
        <v>0.0827586206896552</v>
      </c>
      <c r="AX154" s="51" t="n">
        <f aca="false">IF(AND(OR(CF154="L1",CF154="L23",CF154="LIFT"),AS154&gt;0),SUMIFS($AS$7:$AS$1843,$CF$7:$CF$1843,CF154,$AW$7:$AW$1843,"&gt;"&amp;AW154)+SUMIFS($AS$7:$AS$1843,$CF$7:$CF$1843,CF154,$AW$7:$AW$1843,AW154,$BW$7:$BW$1843,"&lt;="&amp;BW154),"")</f>
        <v>21712.5893736678</v>
      </c>
      <c r="AY154" s="58" t="n">
        <f aca="false">IF(AX154="",0,MAX(0,MIN(1,(IF(CF154="L1",Parameter!$H$5,IF(CF154="L23",Parameter!$H$6+Parameter!$H$7,Parameter!$H$5+Parameter!$H$6+Parameter!$H$7))-(AX154-AS154))/AS154)))</f>
        <v>1</v>
      </c>
      <c r="AZ154" s="50" t="n">
        <f aca="false">IF(LEFT(Cockpit!$O$5,1)="A",H154,IF(Parameter!$E$30="MAX-Bestand",IF(CH154=1,CI154,IF(LEFT(Cockpit!$O$5,1)="B",BF154,MAX(BF154,H154))),ROUNDUP(BD154,0)))</f>
        <v>1</v>
      </c>
      <c r="BA154" s="50" t="n">
        <f aca="false">IF(BZ154=1,0,ROUNDUP(AZ154/BY154,0))</f>
        <v>1</v>
      </c>
      <c r="BB154" s="52" t="n">
        <f aca="false">IF(CQ154&gt;0,CQ154*MAX(1,AZ154/X154),IF(BZ154=1,IF(AZ154&lt;=0,0,CD154*MAX(1,IF(H154&gt;0,AZ154/H154,1))),IF(R154&gt;0,BA154/R154,0))/MAX(0.1,N(Parameter!$M$21)))</f>
        <v>0.0833333333333333</v>
      </c>
      <c r="BC154" s="50" t="n">
        <f aca="false">BB154*CB154</f>
        <v>12.0833333333333</v>
      </c>
      <c r="BD154" s="51" t="n">
        <f aca="false">IF(LEFT(Cockpit!$O$5,1)="A",H154,IF(CH154=1,(CK154+CI154)/2,IF(LEFT(Cockpit!$O$5,1)="B",(CK154+BF154)/2,MAX((CK154+BF154)/2,H154))))</f>
        <v>0.5</v>
      </c>
      <c r="BE154" s="50" t="n">
        <f aca="false">BD154*G154</f>
        <v>33.235</v>
      </c>
      <c r="BF154" s="50" t="n">
        <f aca="false">ROUNDUP(CK154+MAX(CL154,2*(J154/IF(CG154&gt;0,CG154,MAX(0.1,N(Cockpit!$O$6)))-CK154)),0)</f>
        <v>1</v>
      </c>
      <c r="BG154" s="51" t="n">
        <f aca="false">IF(BC154&gt;0,J154/BC154,-1)</f>
        <v>0.0827586206896552</v>
      </c>
      <c r="BH154" s="51" t="n">
        <f aca="false">IF(AND(OR(CF154="L1",CF154="L23",CF154="LIFT"),BC154&gt;0),SUMIFS($BC$7:$BC$1843,$CF$7:$CF$1843,CF154,$BG$7:$BG$1843,"&gt;"&amp;BG154)+SUMIFS($BC$7:$BC$1843,$CF$7:$CF$1843,CF154,$BG$7:$BG$1843,BG154,$BW$7:$BW$1843,"&lt;="&amp;BW154),"")</f>
        <v>18262.7289092734</v>
      </c>
      <c r="BI154" s="58" t="n">
        <f aca="false">IF(BH154="",0,MAX(0,MIN(1,(IF(CF154="L1",Parameter!$H$5,IF(CF154="L23",Parameter!$H$6+Parameter!$H$7,Parameter!$H$5+Parameter!$H$6+Parameter!$H$7))-(BH154-BC154))/BC154)))</f>
        <v>1</v>
      </c>
      <c r="BJ154" s="48" t="str">
        <f aca="false">IF(AI154&lt;=0,"",IF(CF154="Aussen","Aussenlager",IF(CF154="-","Nicht im Lift",IF(AO154&gt;=1,"Lift",IF(AO154&lt;=0,"Aussenlager","teilweise")))))</f>
        <v>Lift</v>
      </c>
      <c r="BK154" s="48" t="str">
        <f aca="false">IF(AS154&lt;=0,"",IF(CF154="Aussen","Aussenlager",IF(CF154="-","Nicht im Lift",IF(AY154&gt;=1,"Lift",IF(AY154&lt;=0,"Aussenlager","teilweise")))))</f>
        <v>Lift</v>
      </c>
      <c r="BL154" s="48" t="str">
        <f aca="false">IF(BC154&lt;=0,"",IF(CF154="Aussen","Aussenlager",IF(CF154="-","Nicht im Lift",IF(BI154&gt;=1,"Lift",IF(BI154&lt;=0,"Aussenlager","teilweise")))))</f>
        <v>Lift</v>
      </c>
      <c r="BM154" s="48" t="str">
        <f aca="false">IF(A154="","",IF(BV154=1,"Neu; ","")&amp;IF(AND(BV154=0,BQ154&lt;0),"negativer Bestand (Export "&amp;BQ154&amp;"); ","")&amp;IF(J154&lt;=0,"Kein Verbrauch; ","")&amp;IF(CQ154&gt;0,"Lift "&amp;W154&amp;" lt. Liftbericht (Fach "&amp;X154&amp;" Stk); ",IF(CA154=1,"Gebinde geschätzt ("&amp;T154&amp;"); ",IF(BZ154=1,"Lose – Tablare geschätzt; ","")))&amp;IF(H154&gt;AV154,"Überbestand "&amp;ROUND(H154-AV154,0)&amp;" Stk / CHF "&amp;ROUND((H154-AV154)*G154,0)&amp;"; ","")&amp;IF(AND(CH154=1,CI154&lt;CJ154),"MAX &lt; MB+LG; ","")&amp;IF(AND(CP154&gt;0,CO154*10&gt;CP154),"zu hoch für Tablar; ","")&amp;IF(AND(BV154=0,OR(CH154=1,AA154&lt;&gt;"",U154&lt;&gt;"",V154&lt;&gt;"",AB154&lt;&gt;"")),"manuell übersteuert; ","")&amp;IF(AND(BZ154=0,R154=0),"Gebinde unbekannt / Stellmass fehlt; ","")&amp;IF(AND(BZ154=0,N(V154)&lt;=0,N(Q154)&lt;=0),"Menge pro Gebinde fehlt (Ist = 1 Gebinde); ","")&amp;BU154)</f>
        <v>Gebinde geschätzt (Mittel); Überbestand 35 Stk / CHF 2326; Menge pro Gebinde fehlt (Ist = 1 Gebinde); </v>
      </c>
      <c r="BN154" s="48"/>
      <c r="BO154" s="48"/>
      <c r="BP154" s="55"/>
      <c r="BQ154" s="50" t="n">
        <v>19</v>
      </c>
      <c r="BR154" s="50" t="n">
        <v>17</v>
      </c>
      <c r="BS154" s="49" t="n">
        <v>1283.5</v>
      </c>
      <c r="BT154" s="50" t="n">
        <v>1</v>
      </c>
      <c r="BU154" s="48"/>
      <c r="BV154" s="53" t="n">
        <v>0</v>
      </c>
      <c r="BW154" s="53" t="n">
        <v>154</v>
      </c>
      <c r="BX154" s="48" t="str">
        <f aca="false">IF(U154&lt;&gt;"",UPPER(TRIM(U154)),IF(CA154=1,UPPER(VLOOKUP(T154,Parameter!$I$27:$K$29,2,0)),IF(P154="","LOSE",P154)))</f>
        <v>S61</v>
      </c>
      <c r="BY154" s="50" t="n">
        <f aca="false">IF(BX154="LOSE",1,IF(N(V154)&gt;0,V154,IF(CA154=1,MAX(1,N(VLOOKUP(T154,Parameter!$I$27:$K$29,3,0)),H154,N(N154)),IF(N(Q154)&gt;0,Q154,MAX(1,H154)))))</f>
        <v>36</v>
      </c>
      <c r="BZ154" s="53" t="n">
        <f aca="false">IF(BX154="LOSE",1,0)</f>
        <v>0</v>
      </c>
      <c r="CA154" s="53" t="n">
        <f aca="false">IF(AND(U154="",OR(P154="",P154="LOSE"),T154&lt;&gt;"",N(S154)&lt;=0,ISNUMBER(MATCH(T154,Parameter!$I$27:$I$29,0))),1,0)</f>
        <v>1</v>
      </c>
      <c r="CB154" s="53" t="n">
        <f aca="false">IF(CQ154&gt;0,INDEX(Parameter!$H$5:$H$7,W154)/INDEX(Parameter!$E$5:$E$7,W154),IF(AND(BZ154=0,N(IFERROR(VLOOKUP(BX154,'Gebinde-Kategorie'!$A$5:$N$45,14,0),0))&gt;0),VLOOKUP(BX154,'Gebinde-Kategorie'!$A$5:$N$45,14,0)*10+Parameter!$M$23,Parameter!$M$24))</f>
        <v>145</v>
      </c>
      <c r="CC154" s="48" t="str">
        <f aca="false">IF(AND(Parameter!$B$19="Ja",E154&lt;&gt;"",ISNUMBER(MATCH(E154,Parameter!$I$35:$I$52,0))),VLOOKUP(E154,Parameter!$I$35:$J$52,2,0),IFERROR(VLOOKUP(D154,Parameter!$A$35:$C$64,2,0),"Nein"))</f>
        <v>2+3</v>
      </c>
      <c r="CD154" s="52" t="n">
        <f aca="false">IF(BZ154=0,0,IF(N(S154)&gt;0,S154,IFERROR(VLOOKUP(D154,Parameter!$A$35:$C$64,3,0)+0,0)))</f>
        <v>0</v>
      </c>
      <c r="CE154" s="48" t="n">
        <f aca="false">IF(AA154&lt;&gt;"",AA154,Z154)</f>
        <v>2</v>
      </c>
      <c r="CF154" s="48" t="str">
        <f aca="false">IF(OR(CE154=1,CE154=2,CE154=3),IF(Parameter!$E$27="Ja","LIFT",IF(CE154=1,"L1","L23")),IF(CE154="Aussen","Aussen","-"))</f>
        <v>LIFT</v>
      </c>
      <c r="CG154" s="59" t="n">
        <f aca="false">IF(N(AB154)&gt;0,AB154,0)</f>
        <v>0</v>
      </c>
      <c r="CH154" s="53" t="n">
        <f aca="false">IF(ISNUMBER(AE154),1,0)</f>
        <v>0</v>
      </c>
      <c r="CI154" s="50" t="n">
        <f aca="false">N(AE154)</f>
        <v>0</v>
      </c>
      <c r="CJ154" s="50" t="n">
        <f aca="false">N(M154)+N(N154)</f>
        <v>1</v>
      </c>
      <c r="CK154" s="50" t="n">
        <f aca="false">N(M154)</f>
        <v>0</v>
      </c>
      <c r="CL154" s="50" t="n">
        <f aca="false">N(N154)</f>
        <v>1</v>
      </c>
      <c r="CM154" s="50" t="n">
        <f aca="false">ROUNDUP(H154/BY154,0)</f>
        <v>1</v>
      </c>
      <c r="CN154" s="50" t="n">
        <f aca="false">ROUNDUP(CI154/BY154,0)</f>
        <v>0</v>
      </c>
      <c r="CO154" s="53" t="n">
        <f aca="false">IF(BZ154=1,0,IFERROR(VLOOKUP(BX154,'Gebinde-Kategorie'!$A$5:$N$45,5,0)+0,0))</f>
        <v>11</v>
      </c>
      <c r="CP154" s="53" t="n">
        <f aca="false">IFERROR(IF(OR(CE154=1,CE154=2,CE154=3),N(INDEX(Parameter!$I$5:$I$7,CE154)),0),0)</f>
        <v>0</v>
      </c>
      <c r="CQ154" s="52" t="n">
        <f aca="false">IF(AND(Parameter!$B$21="Ja",ISNUMBER(W154),N(X154)&gt;0),IFERROR(N(INDEX(Parameter!$L$5:$L$7,W154))*INDEX(Parameter!$E$5:$E$7,W154)*X154/SUMIFS($X$7:$X$1843,$W$7:$W$1843,W154),0),0)</f>
        <v>0</v>
      </c>
    </row>
    <row r="155" customFormat="false" ht="15" hidden="false" customHeight="false" outlineLevel="0" collapsed="false">
      <c r="A155" s="48" t="s">
        <v>526</v>
      </c>
      <c r="B155" s="48" t="s">
        <v>527</v>
      </c>
      <c r="C155" s="48" t="s">
        <v>173</v>
      </c>
      <c r="D155" s="48" t="s">
        <v>182</v>
      </c>
      <c r="E155" s="48" t="s">
        <v>194</v>
      </c>
      <c r="F155" s="48" t="s">
        <v>227</v>
      </c>
      <c r="G155" s="49" t="n">
        <v>57.07</v>
      </c>
      <c r="H155" s="50" t="n">
        <f aca="false">MAX(0,IF(AND(Parameter!$B$21="Ja",ISNUMBER(Y155)),Y155,IF(Parameter!$B$20="Jahresanfang 2025 + Export",BR155+BQ155,BQ155)))</f>
        <v>124</v>
      </c>
      <c r="I155" s="50" t="n">
        <f aca="false">H155*G155</f>
        <v>7076.68</v>
      </c>
      <c r="J155" s="50" t="n">
        <f aca="false">BT155*Parameter!$B$18</f>
        <v>388</v>
      </c>
      <c r="K155" s="51" t="n">
        <v>163.5</v>
      </c>
      <c r="L155" s="52" t="n">
        <v>2.37308868501529</v>
      </c>
      <c r="M155" s="50" t="n">
        <v>80</v>
      </c>
      <c r="N155" s="50" t="n">
        <v>135</v>
      </c>
      <c r="O155" s="53" t="n">
        <v>70</v>
      </c>
      <c r="P155" s="48" t="s">
        <v>183</v>
      </c>
      <c r="Q155" s="50" t="n">
        <v>150</v>
      </c>
      <c r="R155" s="53" t="n">
        <f aca="false">IF(BZ155=1,0,IFERROR(VLOOKUP(BX155,'Gebinde-Kategorie'!$A$5:$N$45,13,0)+0,0))</f>
        <v>6</v>
      </c>
      <c r="S155" s="54"/>
      <c r="T155" s="55"/>
      <c r="U155" s="55"/>
      <c r="V155" s="55"/>
      <c r="W155" s="48"/>
      <c r="X155" s="50"/>
      <c r="Y155" s="50"/>
      <c r="Z155" s="48" t="n">
        <f aca="false">IF(A155="","",IF(AND(Parameter!$B$21="Ja",ISNUMBER(W155)),W155,IF(CC155="2+3",IF(ISNUMBER(SEARCH("grosser Artikel",BU155)),2,IFERROR(VLOOKUP(BX155,Parameter!$F$35:$G$64,2,0),2)),IF(OR(CC155="Nein",CC155=""),"-",CC155))))</f>
        <v>2</v>
      </c>
      <c r="AA155" s="55"/>
      <c r="AB155" s="56"/>
      <c r="AC155" s="50" t="n">
        <f aca="false">AV155</f>
        <v>215</v>
      </c>
      <c r="AD155" s="50" t="n">
        <f aca="false">MAX(AV155,H155)</f>
        <v>215</v>
      </c>
      <c r="AE155" s="57"/>
      <c r="AF155" s="50" t="n">
        <f aca="false">IF(LEFT(Cockpit!$C$5,1)="A",H155,IF(Parameter!$E$30="MAX-Bestand",IF(CH155=1,CI155,IF(LEFT(Cockpit!$C$5,1)="B",AL155,MAX(AL155,H155))),ROUNDUP(AJ155,0)))</f>
        <v>124</v>
      </c>
      <c r="AG155" s="50" t="n">
        <f aca="false">IF(BZ155=1,0,ROUNDUP(AF155/BY155,0))</f>
        <v>1</v>
      </c>
      <c r="AH155" s="52" t="n">
        <f aca="false">IF(CQ155&gt;0,CQ155*MAX(1,AF155/X155),IF(BZ155=1,IF(AF155&lt;=0,0,CD155*MAX(1,IF(H155&gt;0,AF155/H155,1))),IF(R155&gt;0,AG155/R155,0))/MAX(0.1,N(Parameter!$M$21)))</f>
        <v>0.166666666666667</v>
      </c>
      <c r="AI155" s="50" t="n">
        <f aca="false">AH155*CB155</f>
        <v>39.1666666666667</v>
      </c>
      <c r="AJ155" s="51" t="n">
        <f aca="false">IF(LEFT(Cockpit!$C$5,1)="A",H155,IF(CH155=1,(CK155+CI155)/2,IF(LEFT(Cockpit!$C$5,1)="B",(CK155+AL155)/2,MAX((CK155+AL155)/2,H155))))</f>
        <v>124</v>
      </c>
      <c r="AK155" s="50" t="n">
        <f aca="false">AJ155*G155</f>
        <v>7076.68</v>
      </c>
      <c r="AL155" s="50" t="n">
        <f aca="false">ROUNDUP(CK155+MAX(CL155,2*(J155/IF(CG155&gt;0,CG155,MAX(0.1,N(Cockpit!$C$6)))-CK155)),0)</f>
        <v>215</v>
      </c>
      <c r="AM155" s="51" t="n">
        <f aca="false">IF(AI155&gt;0,J155/AI155,-1)</f>
        <v>9.90638297872341</v>
      </c>
      <c r="AN155" s="51" t="n">
        <f aca="false">IF(AND(OR(CF155="L1",CF155="L23",CF155="LIFT"),AI155&gt;0),SUMIFS($AI$7:$AI$1843,$CF$7:$CF$1843,CF155,$AM$7:$AM$1843,"&gt;"&amp;AM155)+SUMIFS($AI$7:$AI$1843,$CF$7:$CF$1843,CF155,$AM$7:$AM$1843,AM155,$BW$7:$BW$1843,"&lt;="&amp;BW155),"")</f>
        <v>2642.40613553114</v>
      </c>
      <c r="AO155" s="58" t="n">
        <f aca="false">IF(AN155="",0,MAX(0,MIN(1,(IF(CF155="L1",Parameter!$H$5,IF(CF155="L23",Parameter!$H$6+Parameter!$H$7,Parameter!$H$5+Parameter!$H$6+Parameter!$H$7))-(AN155-AI155))/AI155)))</f>
        <v>1</v>
      </c>
      <c r="AP155" s="50" t="n">
        <f aca="false">IF(LEFT(Cockpit!$I$5,1)="A",H155,IF(Parameter!$E$30="MAX-Bestand",IF(CH155=1,CI155,IF(LEFT(Cockpit!$I$5,1)="B",AV155,MAX(AV155,H155))),ROUNDUP(AT155,0)))</f>
        <v>148</v>
      </c>
      <c r="AQ155" s="50" t="n">
        <f aca="false">IF(BZ155=1,0,ROUNDUP(AP155/BY155,0))</f>
        <v>1</v>
      </c>
      <c r="AR155" s="52" t="n">
        <f aca="false">IF(CQ155&gt;0,CQ155*MAX(1,AP155/X155),IF(BZ155=1,IF(AP155&lt;=0,0,CD155*MAX(1,IF(H155&gt;0,AP155/H155,1))),IF(R155&gt;0,AQ155/R155,0))/MAX(0.1,N(Parameter!$M$21)))</f>
        <v>0.166666666666667</v>
      </c>
      <c r="AS155" s="50" t="n">
        <f aca="false">AR155*CB155</f>
        <v>39.1666666666667</v>
      </c>
      <c r="AT155" s="51" t="n">
        <f aca="false">IF(LEFT(Cockpit!$I$5,1)="A",H155,IF(CH155=1,(CK155+CI155)/2,IF(LEFT(Cockpit!$I$5,1)="B",(CK155+AV155)/2,MAX((CK155+AV155)/2,H155))))</f>
        <v>147.5</v>
      </c>
      <c r="AU155" s="50" t="n">
        <f aca="false">AT155*G155</f>
        <v>8417.825</v>
      </c>
      <c r="AV155" s="50" t="n">
        <f aca="false">ROUNDUP(CK155+MAX(CL155,2*(J155/IF(CG155&gt;0,CG155,MAX(0.1,N(Cockpit!$I$6)))-CK155)),0)</f>
        <v>215</v>
      </c>
      <c r="AW155" s="51" t="n">
        <f aca="false">IF(AS155&gt;0,J155/AS155,-1)</f>
        <v>9.90638297872341</v>
      </c>
      <c r="AX155" s="51" t="n">
        <f aca="false">IF(AND(OR(CF155="L1",CF155="L23",CF155="LIFT"),AS155&gt;0),SUMIFS($AS$7:$AS$1843,$CF$7:$CF$1843,CF155,$AW$7:$AW$1843,"&gt;"&amp;AW155)+SUMIFS($AS$7:$AS$1843,$CF$7:$CF$1843,CF155,$AW$7:$AW$1843,AW155,$BW$7:$BW$1843,"&lt;="&amp;BW155),"")</f>
        <v>3238.54807692308</v>
      </c>
      <c r="AY155" s="58" t="n">
        <f aca="false">IF(AX155="",0,MAX(0,MIN(1,(IF(CF155="L1",Parameter!$H$5,IF(CF155="L23",Parameter!$H$6+Parameter!$H$7,Parameter!$H$5+Parameter!$H$6+Parameter!$H$7))-(AX155-AS155))/AS155)))</f>
        <v>1</v>
      </c>
      <c r="AZ155" s="50" t="n">
        <f aca="false">IF(LEFT(Cockpit!$O$5,1)="A",H155,IF(Parameter!$E$30="MAX-Bestand",IF(CH155=1,CI155,IF(LEFT(Cockpit!$O$5,1)="B",BF155,MAX(BF155,H155))),ROUNDUP(BD155,0)))</f>
        <v>148</v>
      </c>
      <c r="BA155" s="50" t="n">
        <f aca="false">IF(BZ155=1,0,ROUNDUP(AZ155/BY155,0))</f>
        <v>1</v>
      </c>
      <c r="BB155" s="52" t="n">
        <f aca="false">IF(CQ155&gt;0,CQ155*MAX(1,AZ155/X155),IF(BZ155=1,IF(AZ155&lt;=0,0,CD155*MAX(1,IF(H155&gt;0,AZ155/H155,1))),IF(R155&gt;0,BA155/R155,0))/MAX(0.1,N(Parameter!$M$21)))</f>
        <v>0.166666666666667</v>
      </c>
      <c r="BC155" s="50" t="n">
        <f aca="false">BB155*CB155</f>
        <v>39.1666666666667</v>
      </c>
      <c r="BD155" s="51" t="n">
        <f aca="false">IF(LEFT(Cockpit!$O$5,1)="A",H155,IF(CH155=1,(CK155+CI155)/2,IF(LEFT(Cockpit!$O$5,1)="B",(CK155+BF155)/2,MAX((CK155+BF155)/2,H155))))</f>
        <v>147.5</v>
      </c>
      <c r="BE155" s="50" t="n">
        <f aca="false">BD155*G155</f>
        <v>8417.825</v>
      </c>
      <c r="BF155" s="50" t="n">
        <f aca="false">ROUNDUP(CK155+MAX(CL155,2*(J155/IF(CG155&gt;0,CG155,MAX(0.1,N(Cockpit!$O$6)))-CK155)),0)</f>
        <v>215</v>
      </c>
      <c r="BG155" s="51" t="n">
        <f aca="false">IF(BC155&gt;0,J155/BC155,-1)</f>
        <v>9.90638297872341</v>
      </c>
      <c r="BH155" s="51" t="n">
        <f aca="false">IF(AND(OR(CF155="L1",CF155="L23",CF155="LIFT"),BC155&gt;0),SUMIFS($BC$7:$BC$1843,$CF$7:$CF$1843,CF155,$BG$7:$BG$1843,"&gt;"&amp;BG155)+SUMIFS($BC$7:$BC$1843,$CF$7:$CF$1843,CF155,$BG$7:$BG$1843,BG155,$BW$7:$BW$1843,"&lt;="&amp;BW155),"")</f>
        <v>2711.73397435897</v>
      </c>
      <c r="BI155" s="58" t="n">
        <f aca="false">IF(BH155="",0,MAX(0,MIN(1,(IF(CF155="L1",Parameter!$H$5,IF(CF155="L23",Parameter!$H$6+Parameter!$H$7,Parameter!$H$5+Parameter!$H$6+Parameter!$H$7))-(BH155-BC155))/BC155)))</f>
        <v>1</v>
      </c>
      <c r="BJ155" s="48" t="str">
        <f aca="false">IF(AI155&lt;=0,"",IF(CF155="Aussen","Aussenlager",IF(CF155="-","Nicht im Lift",IF(AO155&gt;=1,"Lift",IF(AO155&lt;=0,"Aussenlager","teilweise")))))</f>
        <v>Lift</v>
      </c>
      <c r="BK155" s="48" t="str">
        <f aca="false">IF(AS155&lt;=0,"",IF(CF155="Aussen","Aussenlager",IF(CF155="-","Nicht im Lift",IF(AY155&gt;=1,"Lift",IF(AY155&lt;=0,"Aussenlager","teilweise")))))</f>
        <v>Lift</v>
      </c>
      <c r="BL155" s="48" t="str">
        <f aca="false">IF(BC155&lt;=0,"",IF(CF155="Aussen","Aussenlager",IF(CF155="-","Nicht im Lift",IF(BI155&gt;=1,"Lift",IF(BI155&lt;=0,"Aussenlager","teilweise")))))</f>
        <v>Lift</v>
      </c>
      <c r="BM155" s="48" t="str">
        <f aca="false">IF(A155="","",IF(BV155=1,"Neu; ","")&amp;IF(AND(BV155=0,BQ155&lt;0),"negativer Bestand (Export "&amp;BQ155&amp;"); ","")&amp;IF(J155&lt;=0,"Kein Verbrauch; ","")&amp;IF(CQ155&gt;0,"Lift "&amp;W155&amp;" lt. Liftbericht (Fach "&amp;X155&amp;" Stk); ",IF(CA155=1,"Gebinde geschätzt ("&amp;T155&amp;"); ",IF(BZ155=1,"Lose – Tablare geschätzt; ","")))&amp;IF(H155&gt;AV155,"Überbestand "&amp;ROUND(H155-AV155,0)&amp;" Stk / CHF "&amp;ROUND((H155-AV155)*G155,0)&amp;"; ","")&amp;IF(AND(CH155=1,CI155&lt;CJ155),"MAX &lt; MB+LG; ","")&amp;IF(AND(CP155&gt;0,CO155*10&gt;CP155),"zu hoch für Tablar; ","")&amp;IF(AND(BV155=0,OR(CH155=1,AA155&lt;&gt;"",U155&lt;&gt;"",V155&lt;&gt;"",AB155&lt;&gt;"")),"manuell übersteuert; ","")&amp;IF(AND(BZ155=0,R155=0),"Gebinde unbekannt / Stellmass fehlt; ","")&amp;IF(AND(BZ155=0,N(V155)&lt;=0,N(Q155)&lt;=0),"Menge pro Gebinde fehlt (Ist = 1 Gebinde); ","")&amp;BU155)</f>
        <v>grosser Artikel &amp; nicht im KTL</v>
      </c>
      <c r="BN155" s="48"/>
      <c r="BO155" s="48"/>
      <c r="BP155" s="55"/>
      <c r="BQ155" s="50" t="n">
        <v>27</v>
      </c>
      <c r="BR155" s="50" t="n">
        <v>97</v>
      </c>
      <c r="BS155" s="49" t="n">
        <v>1272.2</v>
      </c>
      <c r="BT155" s="50" t="n">
        <v>388</v>
      </c>
      <c r="BU155" s="48" t="s">
        <v>270</v>
      </c>
      <c r="BV155" s="53" t="n">
        <v>0</v>
      </c>
      <c r="BW155" s="53" t="n">
        <v>155</v>
      </c>
      <c r="BX155" s="48" t="str">
        <f aca="false">IF(U155&lt;&gt;"",UPPER(TRIM(U155)),IF(CA155=1,UPPER(VLOOKUP(T155,Parameter!$I$27:$K$29,2,0)),IF(P155="","LOSE",P155)))</f>
        <v>S71</v>
      </c>
      <c r="BY155" s="50" t="n">
        <f aca="false">IF(BX155="LOSE",1,IF(N(V155)&gt;0,V155,IF(CA155=1,MAX(1,N(VLOOKUP(T155,Parameter!$I$27:$K$29,3,0)),H155,N(N155)),IF(N(Q155)&gt;0,Q155,MAX(1,H155)))))</f>
        <v>150</v>
      </c>
      <c r="BZ155" s="53" t="n">
        <f aca="false">IF(BX155="LOSE",1,0)</f>
        <v>0</v>
      </c>
      <c r="CA155" s="53" t="n">
        <f aca="false">IF(AND(U155="",OR(P155="",P155="LOSE"),T155&lt;&gt;"",N(S155)&lt;=0,ISNUMBER(MATCH(T155,Parameter!$I$27:$I$29,0))),1,0)</f>
        <v>0</v>
      </c>
      <c r="CB155" s="53" t="n">
        <f aca="false">IF(CQ155&gt;0,INDEX(Parameter!$H$5:$H$7,W155)/INDEX(Parameter!$E$5:$E$7,W155),IF(AND(BZ155=0,N(IFERROR(VLOOKUP(BX155,'Gebinde-Kategorie'!$A$5:$N$45,14,0),0))&gt;0),VLOOKUP(BX155,'Gebinde-Kategorie'!$A$5:$N$45,14,0)*10+Parameter!$M$23,Parameter!$M$24))</f>
        <v>235</v>
      </c>
      <c r="CC155" s="48" t="str">
        <f aca="false">IF(AND(Parameter!$B$19="Ja",E155&lt;&gt;"",ISNUMBER(MATCH(E155,Parameter!$I$35:$I$52,0))),VLOOKUP(E155,Parameter!$I$35:$J$52,2,0),IFERROR(VLOOKUP(D155,Parameter!$A$35:$C$64,2,0),"Nein"))</f>
        <v>2+3</v>
      </c>
      <c r="CD155" s="52" t="n">
        <f aca="false">IF(BZ155=0,0,IF(N(S155)&gt;0,S155,IFERROR(VLOOKUP(D155,Parameter!$A$35:$C$64,3,0)+0,0)))</f>
        <v>0</v>
      </c>
      <c r="CE155" s="48" t="n">
        <f aca="false">IF(AA155&lt;&gt;"",AA155,Z155)</f>
        <v>2</v>
      </c>
      <c r="CF155" s="48" t="str">
        <f aca="false">IF(OR(CE155=1,CE155=2,CE155=3),IF(Parameter!$E$27="Ja","LIFT",IF(CE155=1,"L1","L23")),IF(CE155="Aussen","Aussen","-"))</f>
        <v>LIFT</v>
      </c>
      <c r="CG155" s="59" t="n">
        <f aca="false">IF(N(AB155)&gt;0,AB155,0)</f>
        <v>0</v>
      </c>
      <c r="CH155" s="53" t="n">
        <f aca="false">IF(ISNUMBER(AE155),1,0)</f>
        <v>0</v>
      </c>
      <c r="CI155" s="50" t="n">
        <f aca="false">N(AE155)</f>
        <v>0</v>
      </c>
      <c r="CJ155" s="50" t="n">
        <f aca="false">N(M155)+N(N155)</f>
        <v>215</v>
      </c>
      <c r="CK155" s="50" t="n">
        <f aca="false">N(M155)</f>
        <v>80</v>
      </c>
      <c r="CL155" s="50" t="n">
        <f aca="false">N(N155)</f>
        <v>135</v>
      </c>
      <c r="CM155" s="50" t="n">
        <f aca="false">ROUNDUP(H155/BY155,0)</f>
        <v>1</v>
      </c>
      <c r="CN155" s="50" t="n">
        <f aca="false">ROUNDUP(CI155/BY155,0)</f>
        <v>0</v>
      </c>
      <c r="CO155" s="53" t="n">
        <f aca="false">IF(BZ155=1,0,IFERROR(VLOOKUP(BX155,'Gebinde-Kategorie'!$A$5:$N$45,5,0)+0,0))</f>
        <v>20</v>
      </c>
      <c r="CP155" s="53" t="n">
        <f aca="false">IFERROR(IF(OR(CE155=1,CE155=2,CE155=3),N(INDEX(Parameter!$I$5:$I$7,CE155)),0),0)</f>
        <v>0</v>
      </c>
      <c r="CQ155" s="52" t="n">
        <f aca="false">IF(AND(Parameter!$B$21="Ja",ISNUMBER(W155),N(X155)&gt;0),IFERROR(N(INDEX(Parameter!$L$5:$L$7,W155))*INDEX(Parameter!$E$5:$E$7,W155)*X155/SUMIFS($X$7:$X$1843,$W$7:$W$1843,W155),0),0)</f>
        <v>0</v>
      </c>
    </row>
    <row r="156" customFormat="false" ht="15" hidden="false" customHeight="false" outlineLevel="0" collapsed="false">
      <c r="A156" s="48" t="s">
        <v>528</v>
      </c>
      <c r="B156" s="48" t="s">
        <v>529</v>
      </c>
      <c r="C156" s="48" t="s">
        <v>173</v>
      </c>
      <c r="D156" s="48" t="s">
        <v>193</v>
      </c>
      <c r="E156" s="48" t="s">
        <v>194</v>
      </c>
      <c r="F156" s="48" t="s">
        <v>227</v>
      </c>
      <c r="G156" s="49" t="n">
        <v>45.59</v>
      </c>
      <c r="H156" s="50" t="n">
        <f aca="false">MAX(0,IF(AND(Parameter!$B$21="Ja",ISNUMBER(Y156)),Y156,IF(Parameter!$B$20="Jahresanfang 2025 + Export",BR156+BQ156,BQ156)))</f>
        <v>64</v>
      </c>
      <c r="I156" s="50" t="n">
        <f aca="false">H156*G156</f>
        <v>2917.76</v>
      </c>
      <c r="J156" s="50" t="n">
        <f aca="false">BT156*Parameter!$B$18</f>
        <v>69</v>
      </c>
      <c r="K156" s="51" t="n">
        <v>33.5</v>
      </c>
      <c r="L156" s="52" t="n">
        <v>2.05970149253731</v>
      </c>
      <c r="M156" s="50" t="n">
        <v>2</v>
      </c>
      <c r="N156" s="50" t="n">
        <v>60</v>
      </c>
      <c r="O156" s="53" t="n">
        <v>10</v>
      </c>
      <c r="P156" s="48" t="s">
        <v>311</v>
      </c>
      <c r="Q156" s="50" t="n">
        <v>107</v>
      </c>
      <c r="R156" s="53" t="n">
        <f aca="false">IF(BZ156=1,0,IFERROR(VLOOKUP(BX156,'Gebinde-Kategorie'!$A$5:$N$45,13,0)+0,0))</f>
        <v>26</v>
      </c>
      <c r="S156" s="54"/>
      <c r="T156" s="55"/>
      <c r="U156" s="55"/>
      <c r="V156" s="55"/>
      <c r="W156" s="48"/>
      <c r="X156" s="50"/>
      <c r="Y156" s="50"/>
      <c r="Z156" s="48" t="n">
        <f aca="false">IF(A156="","",IF(AND(Parameter!$B$21="Ja",ISNUMBER(W156)),W156,IF(CC156="2+3",IF(ISNUMBER(SEARCH("grosser Artikel",BU156)),2,IFERROR(VLOOKUP(BX156,Parameter!$F$35:$G$64,2,0),2)),IF(OR(CC156="Nein",CC156=""),"-",CC156))))</f>
        <v>3</v>
      </c>
      <c r="AA156" s="55"/>
      <c r="AB156" s="56"/>
      <c r="AC156" s="50" t="n">
        <f aca="false">AV156</f>
        <v>62</v>
      </c>
      <c r="AD156" s="50" t="n">
        <f aca="false">MAX(AV156,H156)</f>
        <v>64</v>
      </c>
      <c r="AE156" s="57"/>
      <c r="AF156" s="50" t="n">
        <f aca="false">IF(LEFT(Cockpit!$C$5,1)="A",H156,IF(Parameter!$E$30="MAX-Bestand",IF(CH156=1,CI156,IF(LEFT(Cockpit!$C$5,1)="B",AL156,MAX(AL156,H156))),ROUNDUP(AJ156,0)))</f>
        <v>64</v>
      </c>
      <c r="AG156" s="50" t="n">
        <f aca="false">IF(BZ156=1,0,ROUNDUP(AF156/BY156,0))</f>
        <v>1</v>
      </c>
      <c r="AH156" s="52" t="n">
        <f aca="false">IF(CQ156&gt;0,CQ156*MAX(1,AF156/X156),IF(BZ156=1,IF(AF156&lt;=0,0,CD156*MAX(1,IF(H156&gt;0,AF156/H156,1))),IF(R156&gt;0,AG156/R156,0))/MAX(0.1,N(Parameter!$M$21)))</f>
        <v>0.0384615384615385</v>
      </c>
      <c r="AI156" s="50" t="n">
        <f aca="false">AH156*CB156</f>
        <v>5.96153846153846</v>
      </c>
      <c r="AJ156" s="51" t="n">
        <f aca="false">IF(LEFT(Cockpit!$C$5,1)="A",H156,IF(CH156=1,(CK156+CI156)/2,IF(LEFT(Cockpit!$C$5,1)="B",(CK156+AL156)/2,MAX((CK156+AL156)/2,H156))))</f>
        <v>64</v>
      </c>
      <c r="AK156" s="50" t="n">
        <f aca="false">AJ156*G156</f>
        <v>2917.76</v>
      </c>
      <c r="AL156" s="50" t="n">
        <f aca="false">ROUNDUP(CK156+MAX(CL156,2*(J156/IF(CG156&gt;0,CG156,MAX(0.1,N(Cockpit!$C$6)))-CK156)),0)</f>
        <v>62</v>
      </c>
      <c r="AM156" s="51" t="n">
        <f aca="false">IF(AI156&gt;0,J156/AI156,-1)</f>
        <v>11.5741935483871</v>
      </c>
      <c r="AN156" s="51" t="n">
        <f aca="false">IF(AND(OR(CF156="L1",CF156="L23",CF156="LIFT"),AI156&gt;0),SUMIFS($AI$7:$AI$1843,$CF$7:$CF$1843,CF156,$AM$7:$AM$1843,"&gt;"&amp;AM156)+SUMIFS($AI$7:$AI$1843,$CF$7:$CF$1843,CF156,$AM$7:$AM$1843,AM156,$BW$7:$BW$1843,"&lt;="&amp;BW156),"")</f>
        <v>2541.47527472527</v>
      </c>
      <c r="AO156" s="58" t="n">
        <f aca="false">IF(AN156="",0,MAX(0,MIN(1,(IF(CF156="L1",Parameter!$H$5,IF(CF156="L23",Parameter!$H$6+Parameter!$H$7,Parameter!$H$5+Parameter!$H$6+Parameter!$H$7))-(AN156-AI156))/AI156)))</f>
        <v>1</v>
      </c>
      <c r="AP156" s="50" t="n">
        <f aca="false">IF(LEFT(Cockpit!$I$5,1)="A",H156,IF(Parameter!$E$30="MAX-Bestand",IF(CH156=1,CI156,IF(LEFT(Cockpit!$I$5,1)="B",AV156,MAX(AV156,H156))),ROUNDUP(AT156,0)))</f>
        <v>64</v>
      </c>
      <c r="AQ156" s="50" t="n">
        <f aca="false">IF(BZ156=1,0,ROUNDUP(AP156/BY156,0))</f>
        <v>1</v>
      </c>
      <c r="AR156" s="52" t="n">
        <f aca="false">IF(CQ156&gt;0,CQ156*MAX(1,AP156/X156),IF(BZ156=1,IF(AP156&lt;=0,0,CD156*MAX(1,IF(H156&gt;0,AP156/H156,1))),IF(R156&gt;0,AQ156/R156,0))/MAX(0.1,N(Parameter!$M$21)))</f>
        <v>0.0384615384615385</v>
      </c>
      <c r="AS156" s="50" t="n">
        <f aca="false">AR156*CB156</f>
        <v>5.96153846153846</v>
      </c>
      <c r="AT156" s="51" t="n">
        <f aca="false">IF(LEFT(Cockpit!$I$5,1)="A",H156,IF(CH156=1,(CK156+CI156)/2,IF(LEFT(Cockpit!$I$5,1)="B",(CK156+AV156)/2,MAX((CK156+AV156)/2,H156))))</f>
        <v>64</v>
      </c>
      <c r="AU156" s="50" t="n">
        <f aca="false">AT156*G156</f>
        <v>2917.76</v>
      </c>
      <c r="AV156" s="50" t="n">
        <f aca="false">ROUNDUP(CK156+MAX(CL156,2*(J156/IF(CG156&gt;0,CG156,MAX(0.1,N(Cockpit!$I$6)))-CK156)),0)</f>
        <v>62</v>
      </c>
      <c r="AW156" s="51" t="n">
        <f aca="false">IF(AS156&gt;0,J156/AS156,-1)</f>
        <v>11.5741935483871</v>
      </c>
      <c r="AX156" s="51" t="n">
        <f aca="false">IF(AND(OR(CF156="L1",CF156="L23",CF156="LIFT"),AS156&gt;0),SUMIFS($AS$7:$AS$1843,$CF$7:$CF$1843,CF156,$AW$7:$AW$1843,"&gt;"&amp;AW156)+SUMIFS($AS$7:$AS$1843,$CF$7:$CF$1843,CF156,$AW$7:$AW$1843,AW156,$BW$7:$BW$1843,"&lt;="&amp;BW156),"")</f>
        <v>3118.77106227106</v>
      </c>
      <c r="AY156" s="58" t="n">
        <f aca="false">IF(AX156="",0,MAX(0,MIN(1,(IF(CF156="L1",Parameter!$H$5,IF(CF156="L23",Parameter!$H$6+Parameter!$H$7,Parameter!$H$5+Parameter!$H$6+Parameter!$H$7))-(AX156-AS156))/AS156)))</f>
        <v>1</v>
      </c>
      <c r="AZ156" s="50" t="n">
        <f aca="false">IF(LEFT(Cockpit!$O$5,1)="A",H156,IF(Parameter!$E$30="MAX-Bestand",IF(CH156=1,CI156,IF(LEFT(Cockpit!$O$5,1)="B",BF156,MAX(BF156,H156))),ROUNDUP(BD156,0)))</f>
        <v>32</v>
      </c>
      <c r="BA156" s="50" t="n">
        <f aca="false">IF(BZ156=1,0,ROUNDUP(AZ156/BY156,0))</f>
        <v>1</v>
      </c>
      <c r="BB156" s="52" t="n">
        <f aca="false">IF(CQ156&gt;0,CQ156*MAX(1,AZ156/X156),IF(BZ156=1,IF(AZ156&lt;=0,0,CD156*MAX(1,IF(H156&gt;0,AZ156/H156,1))),IF(R156&gt;0,BA156/R156,0))/MAX(0.1,N(Parameter!$M$21)))</f>
        <v>0.0384615384615385</v>
      </c>
      <c r="BC156" s="50" t="n">
        <f aca="false">BB156*CB156</f>
        <v>5.96153846153846</v>
      </c>
      <c r="BD156" s="51" t="n">
        <f aca="false">IF(LEFT(Cockpit!$O$5,1)="A",H156,IF(CH156=1,(CK156+CI156)/2,IF(LEFT(Cockpit!$O$5,1)="B",(CK156+BF156)/2,MAX((CK156+BF156)/2,H156))))</f>
        <v>32</v>
      </c>
      <c r="BE156" s="50" t="n">
        <f aca="false">BD156*G156</f>
        <v>1458.88</v>
      </c>
      <c r="BF156" s="50" t="n">
        <f aca="false">ROUNDUP(CK156+MAX(CL156,2*(J156/IF(CG156&gt;0,CG156,MAX(0.1,N(Cockpit!$O$6)))-CK156)),0)</f>
        <v>62</v>
      </c>
      <c r="BG156" s="51" t="n">
        <f aca="false">IF(BC156&gt;0,J156/BC156,-1)</f>
        <v>11.5741935483871</v>
      </c>
      <c r="BH156" s="51" t="n">
        <f aca="false">IF(AND(OR(CF156="L1",CF156="L23",CF156="LIFT"),BC156&gt;0),SUMIFS($BC$7:$BC$1843,$CF$7:$CF$1843,CF156,$BG$7:$BG$1843,"&gt;"&amp;BG156)+SUMIFS($BC$7:$BC$1843,$CF$7:$CF$1843,CF156,$BG$7:$BG$1843,BG156,$BW$7:$BW$1843,"&lt;="&amp;BW156),"")</f>
        <v>2586.63644688645</v>
      </c>
      <c r="BI156" s="58" t="n">
        <f aca="false">IF(BH156="",0,MAX(0,MIN(1,(IF(CF156="L1",Parameter!$H$5,IF(CF156="L23",Parameter!$H$6+Parameter!$H$7,Parameter!$H$5+Parameter!$H$6+Parameter!$H$7))-(BH156-BC156))/BC156)))</f>
        <v>1</v>
      </c>
      <c r="BJ156" s="48" t="str">
        <f aca="false">IF(AI156&lt;=0,"",IF(CF156="Aussen","Aussenlager",IF(CF156="-","Nicht im Lift",IF(AO156&gt;=1,"Lift",IF(AO156&lt;=0,"Aussenlager","teilweise")))))</f>
        <v>Lift</v>
      </c>
      <c r="BK156" s="48" t="str">
        <f aca="false">IF(AS156&lt;=0,"",IF(CF156="Aussen","Aussenlager",IF(CF156="-","Nicht im Lift",IF(AY156&gt;=1,"Lift",IF(AY156&lt;=0,"Aussenlager","teilweise")))))</f>
        <v>Lift</v>
      </c>
      <c r="BL156" s="48" t="str">
        <f aca="false">IF(BC156&lt;=0,"",IF(CF156="Aussen","Aussenlager",IF(CF156="-","Nicht im Lift",IF(BI156&gt;=1,"Lift",IF(BI156&lt;=0,"Aussenlager","teilweise")))))</f>
        <v>Lift</v>
      </c>
      <c r="BM156" s="48" t="str">
        <f aca="false">IF(A156="","",IF(BV156=1,"Neu; ","")&amp;IF(AND(BV156=0,BQ156&lt;0),"negativer Bestand (Export "&amp;BQ156&amp;"); ","")&amp;IF(J156&lt;=0,"Kein Verbrauch; ","")&amp;IF(CQ156&gt;0,"Lift "&amp;W156&amp;" lt. Liftbericht (Fach "&amp;X156&amp;" Stk); ",IF(CA156=1,"Gebinde geschätzt ("&amp;T156&amp;"); ",IF(BZ156=1,"Lose – Tablare geschätzt; ","")))&amp;IF(H156&gt;AV156,"Überbestand "&amp;ROUND(H156-AV156,0)&amp;" Stk / CHF "&amp;ROUND((H156-AV156)*G156,0)&amp;"; ","")&amp;IF(AND(CH156=1,CI156&lt;CJ156),"MAX &lt; MB+LG; ","")&amp;IF(AND(CP156&gt;0,CO156*10&gt;CP156),"zu hoch für Tablar; ","")&amp;IF(AND(BV156=0,OR(CH156=1,AA156&lt;&gt;"",U156&lt;&gt;"",V156&lt;&gt;"",AB156&lt;&gt;"")),"manuell übersteuert; ","")&amp;IF(AND(BZ156=0,R156=0),"Gebinde unbekannt / Stellmass fehlt; ","")&amp;IF(AND(BZ156=0,N(V156)&lt;=0,N(Q156)&lt;=0),"Menge pro Gebinde fehlt (Ist = 1 Gebinde); ","")&amp;BU156)</f>
        <v>Überbestand 2 Stk / CHF 91; </v>
      </c>
      <c r="BN156" s="48"/>
      <c r="BO156" s="48"/>
      <c r="BP156" s="55"/>
      <c r="BQ156" s="50" t="n">
        <v>26</v>
      </c>
      <c r="BR156" s="50" t="n">
        <v>38</v>
      </c>
      <c r="BS156" s="49" t="n">
        <v>1269.7</v>
      </c>
      <c r="BT156" s="50" t="n">
        <v>69</v>
      </c>
      <c r="BU156" s="48"/>
      <c r="BV156" s="53" t="n">
        <v>0</v>
      </c>
      <c r="BW156" s="53" t="n">
        <v>156</v>
      </c>
      <c r="BX156" s="48" t="str">
        <f aca="false">IF(U156&lt;&gt;"",UPPER(TRIM(U156)),IF(CA156=1,UPPER(VLOOKUP(T156,Parameter!$I$27:$K$29,2,0)),IF(P156="","LOSE",P156)))</f>
        <v>S51</v>
      </c>
      <c r="BY156" s="50" t="n">
        <f aca="false">IF(BX156="LOSE",1,IF(N(V156)&gt;0,V156,IF(CA156=1,MAX(1,N(VLOOKUP(T156,Parameter!$I$27:$K$29,3,0)),H156,N(N156)),IF(N(Q156)&gt;0,Q156,MAX(1,H156)))))</f>
        <v>107</v>
      </c>
      <c r="BZ156" s="53" t="n">
        <f aca="false">IF(BX156="LOSE",1,0)</f>
        <v>0</v>
      </c>
      <c r="CA156" s="53" t="n">
        <f aca="false">IF(AND(U156="",OR(P156="",P156="LOSE"),T156&lt;&gt;"",N(S156)&lt;=0,ISNUMBER(MATCH(T156,Parameter!$I$27:$I$29,0))),1,0)</f>
        <v>0</v>
      </c>
      <c r="CB156" s="53" t="n">
        <f aca="false">IF(CQ156&gt;0,INDEX(Parameter!$H$5:$H$7,W156)/INDEX(Parameter!$E$5:$E$7,W156),IF(AND(BZ156=0,N(IFERROR(VLOOKUP(BX156,'Gebinde-Kategorie'!$A$5:$N$45,14,0),0))&gt;0),VLOOKUP(BX156,'Gebinde-Kategorie'!$A$5:$N$45,14,0)*10+Parameter!$M$23,Parameter!$M$24))</f>
        <v>155</v>
      </c>
      <c r="CC156" s="48" t="str">
        <f aca="false">IF(AND(Parameter!$B$19="Ja",E156&lt;&gt;"",ISNUMBER(MATCH(E156,Parameter!$I$35:$I$52,0))),VLOOKUP(E156,Parameter!$I$35:$J$52,2,0),IFERROR(VLOOKUP(D156,Parameter!$A$35:$C$64,2,0),"Nein"))</f>
        <v>2+3</v>
      </c>
      <c r="CD156" s="52" t="n">
        <f aca="false">IF(BZ156=0,0,IF(N(S156)&gt;0,S156,IFERROR(VLOOKUP(D156,Parameter!$A$35:$C$64,3,0)+0,0)))</f>
        <v>0</v>
      </c>
      <c r="CE156" s="48" t="n">
        <f aca="false">IF(AA156&lt;&gt;"",AA156,Z156)</f>
        <v>3</v>
      </c>
      <c r="CF156" s="48" t="str">
        <f aca="false">IF(OR(CE156=1,CE156=2,CE156=3),IF(Parameter!$E$27="Ja","LIFT",IF(CE156=1,"L1","L23")),IF(CE156="Aussen","Aussen","-"))</f>
        <v>LIFT</v>
      </c>
      <c r="CG156" s="59" t="n">
        <f aca="false">IF(N(AB156)&gt;0,AB156,0)</f>
        <v>0</v>
      </c>
      <c r="CH156" s="53" t="n">
        <f aca="false">IF(ISNUMBER(AE156),1,0)</f>
        <v>0</v>
      </c>
      <c r="CI156" s="50" t="n">
        <f aca="false">N(AE156)</f>
        <v>0</v>
      </c>
      <c r="CJ156" s="50" t="n">
        <f aca="false">N(M156)+N(N156)</f>
        <v>62</v>
      </c>
      <c r="CK156" s="50" t="n">
        <f aca="false">N(M156)</f>
        <v>2</v>
      </c>
      <c r="CL156" s="50" t="n">
        <f aca="false">N(N156)</f>
        <v>60</v>
      </c>
      <c r="CM156" s="50" t="n">
        <f aca="false">ROUNDUP(H156/BY156,0)</f>
        <v>1</v>
      </c>
      <c r="CN156" s="50" t="n">
        <f aca="false">ROUNDUP(CI156/BY156,0)</f>
        <v>0</v>
      </c>
      <c r="CO156" s="53" t="n">
        <f aca="false">IF(BZ156=1,0,IFERROR(VLOOKUP(BX156,'Gebinde-Kategorie'!$A$5:$N$45,5,0)+0,0))</f>
        <v>11</v>
      </c>
      <c r="CP156" s="53" t="n">
        <f aca="false">IFERROR(IF(OR(CE156=1,CE156=2,CE156=3),N(INDEX(Parameter!$I$5:$I$7,CE156)),0),0)</f>
        <v>0</v>
      </c>
      <c r="CQ156" s="52" t="n">
        <f aca="false">IF(AND(Parameter!$B$21="Ja",ISNUMBER(W156),N(X156)&gt;0),IFERROR(N(INDEX(Parameter!$L$5:$L$7,W156))*INDEX(Parameter!$E$5:$E$7,W156)*X156/SUMIFS($X$7:$X$1843,$W$7:$W$1843,W156),0),0)</f>
        <v>0</v>
      </c>
    </row>
    <row r="157" customFormat="false" ht="15" hidden="false" customHeight="false" outlineLevel="0" collapsed="false">
      <c r="A157" s="48" t="s">
        <v>530</v>
      </c>
      <c r="B157" s="48" t="s">
        <v>531</v>
      </c>
      <c r="C157" s="48" t="s">
        <v>173</v>
      </c>
      <c r="D157" s="48" t="s">
        <v>182</v>
      </c>
      <c r="E157" s="48" t="s">
        <v>194</v>
      </c>
      <c r="F157" s="48" t="s">
        <v>227</v>
      </c>
      <c r="G157" s="49" t="n">
        <v>421.59</v>
      </c>
      <c r="H157" s="50" t="n">
        <f aca="false">MAX(0,IF(AND(Parameter!$B$21="Ja",ISNUMBER(Y157)),Y157,IF(Parameter!$B$20="Jahresanfang 2025 + Export",BR157+BQ157,BQ157)))</f>
        <v>7</v>
      </c>
      <c r="I157" s="50" t="n">
        <f aca="false">H157*G157</f>
        <v>2951.13</v>
      </c>
      <c r="J157" s="50" t="n">
        <f aca="false">BT157*Parameter!$B$18</f>
        <v>0</v>
      </c>
      <c r="K157" s="51" t="n">
        <v>5.5</v>
      </c>
      <c r="L157" s="52" t="n">
        <v>0</v>
      </c>
      <c r="M157" s="50" t="n">
        <v>0</v>
      </c>
      <c r="N157" s="50" t="n">
        <v>1</v>
      </c>
      <c r="O157" s="53" t="n">
        <v>30</v>
      </c>
      <c r="P157" s="48" t="s">
        <v>183</v>
      </c>
      <c r="Q157" s="50" t="n">
        <v>7</v>
      </c>
      <c r="R157" s="53" t="n">
        <f aca="false">IF(BZ157=1,0,IFERROR(VLOOKUP(BX157,'Gebinde-Kategorie'!$A$5:$N$45,13,0)+0,0))</f>
        <v>6</v>
      </c>
      <c r="S157" s="54"/>
      <c r="T157" s="55"/>
      <c r="U157" s="55"/>
      <c r="V157" s="55"/>
      <c r="W157" s="48"/>
      <c r="X157" s="50"/>
      <c r="Y157" s="50"/>
      <c r="Z157" s="48" t="n">
        <f aca="false">IF(A157="","",IF(AND(Parameter!$B$21="Ja",ISNUMBER(W157)),W157,IF(CC157="2+3",IF(ISNUMBER(SEARCH("grosser Artikel",BU157)),2,IFERROR(VLOOKUP(BX157,Parameter!$F$35:$G$64,2,0),2)),IF(OR(CC157="Nein",CC157=""),"-",CC157))))</f>
        <v>2</v>
      </c>
      <c r="AA157" s="55"/>
      <c r="AB157" s="56"/>
      <c r="AC157" s="50" t="n">
        <f aca="false">AV157</f>
        <v>1</v>
      </c>
      <c r="AD157" s="50" t="n">
        <f aca="false">MAX(AV157,H157)</f>
        <v>7</v>
      </c>
      <c r="AE157" s="57"/>
      <c r="AF157" s="50" t="n">
        <f aca="false">IF(LEFT(Cockpit!$C$5,1)="A",H157,IF(Parameter!$E$30="MAX-Bestand",IF(CH157=1,CI157,IF(LEFT(Cockpit!$C$5,1)="B",AL157,MAX(AL157,H157))),ROUNDUP(AJ157,0)))</f>
        <v>7</v>
      </c>
      <c r="AG157" s="50" t="n">
        <f aca="false">IF(BZ157=1,0,ROUNDUP(AF157/BY157,0))</f>
        <v>1</v>
      </c>
      <c r="AH157" s="52" t="n">
        <f aca="false">IF(CQ157&gt;0,CQ157*MAX(1,AF157/X157),IF(BZ157=1,IF(AF157&lt;=0,0,CD157*MAX(1,IF(H157&gt;0,AF157/H157,1))),IF(R157&gt;0,AG157/R157,0))/MAX(0.1,N(Parameter!$M$21)))</f>
        <v>0.166666666666667</v>
      </c>
      <c r="AI157" s="50" t="n">
        <f aca="false">AH157*CB157</f>
        <v>39.1666666666667</v>
      </c>
      <c r="AJ157" s="51" t="n">
        <f aca="false">IF(LEFT(Cockpit!$C$5,1)="A",H157,IF(CH157=1,(CK157+CI157)/2,IF(LEFT(Cockpit!$C$5,1)="B",(CK157+AL157)/2,MAX((CK157+AL157)/2,H157))))</f>
        <v>7</v>
      </c>
      <c r="AK157" s="50" t="n">
        <f aca="false">AJ157*G157</f>
        <v>2951.13</v>
      </c>
      <c r="AL157" s="50" t="n">
        <f aca="false">ROUNDUP(CK157+MAX(CL157,2*(J157/IF(CG157&gt;0,CG157,MAX(0.1,N(Cockpit!$C$6)))-CK157)),0)</f>
        <v>1</v>
      </c>
      <c r="AM157" s="51" t="n">
        <f aca="false">IF(AI157&gt;0,J157/AI157,-1)</f>
        <v>0</v>
      </c>
      <c r="AN157" s="51" t="n">
        <f aca="false">IF(AND(OR(CF157="L1",CF157="L23",CF157="LIFT"),AI157&gt;0),SUMIFS($AI$7:$AI$1843,$CF$7:$CF$1843,CF157,$AM$7:$AM$1843,"&gt;"&amp;AM157)+SUMIFS($AI$7:$AI$1843,$CF$7:$CF$1843,CF157,$AM$7:$AM$1843,AM157,$BW$7:$BW$1843,"&lt;="&amp;BW157),"")</f>
        <v>27350.5715967178</v>
      </c>
      <c r="AO157" s="58" t="n">
        <f aca="false">IF(AN157="",0,MAX(0,MIN(1,(IF(CF157="L1",Parameter!$H$5,IF(CF157="L23",Parameter!$H$6+Parameter!$H$7,Parameter!$H$5+Parameter!$H$6+Parameter!$H$7))-(AN157-AI157))/AI157)))</f>
        <v>1</v>
      </c>
      <c r="AP157" s="50" t="n">
        <f aca="false">IF(LEFT(Cockpit!$I$5,1)="A",H157,IF(Parameter!$E$30="MAX-Bestand",IF(CH157=1,CI157,IF(LEFT(Cockpit!$I$5,1)="B",AV157,MAX(AV157,H157))),ROUNDUP(AT157,0)))</f>
        <v>7</v>
      </c>
      <c r="AQ157" s="50" t="n">
        <f aca="false">IF(BZ157=1,0,ROUNDUP(AP157/BY157,0))</f>
        <v>1</v>
      </c>
      <c r="AR157" s="52" t="n">
        <f aca="false">IF(CQ157&gt;0,CQ157*MAX(1,AP157/X157),IF(BZ157=1,IF(AP157&lt;=0,0,CD157*MAX(1,IF(H157&gt;0,AP157/H157,1))),IF(R157&gt;0,AQ157/R157,0))/MAX(0.1,N(Parameter!$M$21)))</f>
        <v>0.166666666666667</v>
      </c>
      <c r="AS157" s="50" t="n">
        <f aca="false">AR157*CB157</f>
        <v>39.1666666666667</v>
      </c>
      <c r="AT157" s="51" t="n">
        <f aca="false">IF(LEFT(Cockpit!$I$5,1)="A",H157,IF(CH157=1,(CK157+CI157)/2,IF(LEFT(Cockpit!$I$5,1)="B",(CK157+AV157)/2,MAX((CK157+AV157)/2,H157))))</f>
        <v>7</v>
      </c>
      <c r="AU157" s="50" t="n">
        <f aca="false">AT157*G157</f>
        <v>2951.13</v>
      </c>
      <c r="AV157" s="50" t="n">
        <f aca="false">ROUNDUP(CK157+MAX(CL157,2*(J157/IF(CG157&gt;0,CG157,MAX(0.1,N(Cockpit!$I$6)))-CK157)),0)</f>
        <v>1</v>
      </c>
      <c r="AW157" s="51" t="n">
        <f aca="false">IF(AS157&gt;0,J157/AS157,-1)</f>
        <v>0</v>
      </c>
      <c r="AX157" s="51" t="n">
        <f aca="false">IF(AND(OR(CF157="L1",CF157="L23",CF157="LIFT"),AS157&gt;0),SUMIFS($AS$7:$AS$1843,$CF$7:$CF$1843,CF157,$AW$7:$AW$1843,"&gt;"&amp;AW157)+SUMIFS($AS$7:$AS$1843,$CF$7:$CF$1843,CF157,$AW$7:$AW$1843,AW157,$BW$7:$BW$1843,"&lt;="&amp;BW157),"")</f>
        <v>32703.7202380952</v>
      </c>
      <c r="AY157" s="58" t="n">
        <f aca="false">IF(AX157="",0,MAX(0,MIN(1,(IF(CF157="L1",Parameter!$H$5,IF(CF157="L23",Parameter!$H$6+Parameter!$H$7,Parameter!$H$5+Parameter!$H$6+Parameter!$H$7))-(AX157-AS157))/AS157)))</f>
        <v>1</v>
      </c>
      <c r="AZ157" s="50" t="n">
        <f aca="false">IF(LEFT(Cockpit!$O$5,1)="A",H157,IF(Parameter!$E$30="MAX-Bestand",IF(CH157=1,CI157,IF(LEFT(Cockpit!$O$5,1)="B",BF157,MAX(BF157,H157))),ROUNDUP(BD157,0)))</f>
        <v>1</v>
      </c>
      <c r="BA157" s="50" t="n">
        <f aca="false">IF(BZ157=1,0,ROUNDUP(AZ157/BY157,0))</f>
        <v>1</v>
      </c>
      <c r="BB157" s="52" t="n">
        <f aca="false">IF(CQ157&gt;0,CQ157*MAX(1,AZ157/X157),IF(BZ157=1,IF(AZ157&lt;=0,0,CD157*MAX(1,IF(H157&gt;0,AZ157/H157,1))),IF(R157&gt;0,BA157/R157,0))/MAX(0.1,N(Parameter!$M$21)))</f>
        <v>0.166666666666667</v>
      </c>
      <c r="BC157" s="50" t="n">
        <f aca="false">BB157*CB157</f>
        <v>39.1666666666667</v>
      </c>
      <c r="BD157" s="51" t="n">
        <f aca="false">IF(LEFT(Cockpit!$O$5,1)="A",H157,IF(CH157=1,(CK157+CI157)/2,IF(LEFT(Cockpit!$O$5,1)="B",(CK157+BF157)/2,MAX((CK157+BF157)/2,H157))))</f>
        <v>0.5</v>
      </c>
      <c r="BE157" s="50" t="n">
        <f aca="false">BD157*G157</f>
        <v>210.795</v>
      </c>
      <c r="BF157" s="50" t="n">
        <f aca="false">ROUNDUP(CK157+MAX(CL157,2*(J157/IF(CG157&gt;0,CG157,MAX(0.1,N(Cockpit!$O$6)))-CK157)),0)</f>
        <v>1</v>
      </c>
      <c r="BG157" s="51" t="n">
        <f aca="false">IF(BC157&gt;0,J157/BC157,-1)</f>
        <v>0</v>
      </c>
      <c r="BH157" s="51" t="n">
        <f aca="false">IF(AND(OR(CF157="L1",CF157="L23",CF157="LIFT"),BC157&gt;0),SUMIFS($BC$7:$BC$1843,$CF$7:$CF$1843,CF157,$BG$7:$BG$1843,"&gt;"&amp;BG157)+SUMIFS($BC$7:$BC$1843,$CF$7:$CF$1843,CF157,$BG$7:$BG$1843,BG157,$BW$7:$BW$1843,"&lt;="&amp;BW157),"")</f>
        <v>26867.9623378034</v>
      </c>
      <c r="BI157" s="58" t="n">
        <f aca="false">IF(BH157="",0,MAX(0,MIN(1,(IF(CF157="L1",Parameter!$H$5,IF(CF157="L23",Parameter!$H$6+Parameter!$H$7,Parameter!$H$5+Parameter!$H$6+Parameter!$H$7))-(BH157-BC157))/BC157)))</f>
        <v>1</v>
      </c>
      <c r="BJ157" s="48" t="str">
        <f aca="false">IF(AI157&lt;=0,"",IF(CF157="Aussen","Aussenlager",IF(CF157="-","Nicht im Lift",IF(AO157&gt;=1,"Lift",IF(AO157&lt;=0,"Aussenlager","teilweise")))))</f>
        <v>Lift</v>
      </c>
      <c r="BK157" s="48" t="str">
        <f aca="false">IF(AS157&lt;=0,"",IF(CF157="Aussen","Aussenlager",IF(CF157="-","Nicht im Lift",IF(AY157&gt;=1,"Lift",IF(AY157&lt;=0,"Aussenlager","teilweise")))))</f>
        <v>Lift</v>
      </c>
      <c r="BL157" s="48" t="str">
        <f aca="false">IF(BC157&lt;=0,"",IF(CF157="Aussen","Aussenlager",IF(CF157="-","Nicht im Lift",IF(BI157&gt;=1,"Lift",IF(BI157&lt;=0,"Aussenlager","teilweise")))))</f>
        <v>Lift</v>
      </c>
      <c r="BM157" s="48" t="str">
        <f aca="false">IF(A157="","",IF(BV157=1,"Neu; ","")&amp;IF(AND(BV157=0,BQ157&lt;0),"negativer Bestand (Export "&amp;BQ157&amp;"); ","")&amp;IF(J157&lt;=0,"Kein Verbrauch; ","")&amp;IF(CQ157&gt;0,"Lift "&amp;W157&amp;" lt. Liftbericht (Fach "&amp;X157&amp;" Stk); ",IF(CA157=1,"Gebinde geschätzt ("&amp;T157&amp;"); ",IF(BZ157=1,"Lose – Tablare geschätzt; ","")))&amp;IF(H157&gt;AV157,"Überbestand "&amp;ROUND(H157-AV157,0)&amp;" Stk / CHF "&amp;ROUND((H157-AV157)*G157,0)&amp;"; ","")&amp;IF(AND(CH157=1,CI157&lt;CJ157),"MAX &lt; MB+LG; ","")&amp;IF(AND(CP157&gt;0,CO157*10&gt;CP157),"zu hoch für Tablar; ","")&amp;IF(AND(BV157=0,OR(CH157=1,AA157&lt;&gt;"",U157&lt;&gt;"",V157&lt;&gt;"",AB157&lt;&gt;"")),"manuell übersteuert; ","")&amp;IF(AND(BZ157=0,R157=0),"Gebinde unbekannt / Stellmass fehlt; ","")&amp;IF(AND(BZ157=0,N(V157)&lt;=0,N(Q157)&lt;=0),"Menge pro Gebinde fehlt (Ist = 1 Gebinde); ","")&amp;BU157)</f>
        <v>Kein Verbrauch; Überbestand 6 Stk / CHF 2530; grosser Artikel &amp; nicht im KTL</v>
      </c>
      <c r="BN157" s="48"/>
      <c r="BO157" s="48"/>
      <c r="BP157" s="55"/>
      <c r="BQ157" s="50" t="n">
        <v>3</v>
      </c>
      <c r="BR157" s="50" t="n">
        <v>4</v>
      </c>
      <c r="BS157" s="49" t="n">
        <v>1264.77</v>
      </c>
      <c r="BT157" s="50" t="n">
        <v>0</v>
      </c>
      <c r="BU157" s="48" t="s">
        <v>270</v>
      </c>
      <c r="BV157" s="53" t="n">
        <v>0</v>
      </c>
      <c r="BW157" s="53" t="n">
        <v>157</v>
      </c>
      <c r="BX157" s="48" t="str">
        <f aca="false">IF(U157&lt;&gt;"",UPPER(TRIM(U157)),IF(CA157=1,UPPER(VLOOKUP(T157,Parameter!$I$27:$K$29,2,0)),IF(P157="","LOSE",P157)))</f>
        <v>S71</v>
      </c>
      <c r="BY157" s="50" t="n">
        <f aca="false">IF(BX157="LOSE",1,IF(N(V157)&gt;0,V157,IF(CA157=1,MAX(1,N(VLOOKUP(T157,Parameter!$I$27:$K$29,3,0)),H157,N(N157)),IF(N(Q157)&gt;0,Q157,MAX(1,H157)))))</f>
        <v>7</v>
      </c>
      <c r="BZ157" s="53" t="n">
        <f aca="false">IF(BX157="LOSE",1,0)</f>
        <v>0</v>
      </c>
      <c r="CA157" s="53" t="n">
        <f aca="false">IF(AND(U157="",OR(P157="",P157="LOSE"),T157&lt;&gt;"",N(S157)&lt;=0,ISNUMBER(MATCH(T157,Parameter!$I$27:$I$29,0))),1,0)</f>
        <v>0</v>
      </c>
      <c r="CB157" s="53" t="n">
        <f aca="false">IF(CQ157&gt;0,INDEX(Parameter!$H$5:$H$7,W157)/INDEX(Parameter!$E$5:$E$7,W157),IF(AND(BZ157=0,N(IFERROR(VLOOKUP(BX157,'Gebinde-Kategorie'!$A$5:$N$45,14,0),0))&gt;0),VLOOKUP(BX157,'Gebinde-Kategorie'!$A$5:$N$45,14,0)*10+Parameter!$M$23,Parameter!$M$24))</f>
        <v>235</v>
      </c>
      <c r="CC157" s="48" t="str">
        <f aca="false">IF(AND(Parameter!$B$19="Ja",E157&lt;&gt;"",ISNUMBER(MATCH(E157,Parameter!$I$35:$I$52,0))),VLOOKUP(E157,Parameter!$I$35:$J$52,2,0),IFERROR(VLOOKUP(D157,Parameter!$A$35:$C$64,2,0),"Nein"))</f>
        <v>2+3</v>
      </c>
      <c r="CD157" s="52" t="n">
        <f aca="false">IF(BZ157=0,0,IF(N(S157)&gt;0,S157,IFERROR(VLOOKUP(D157,Parameter!$A$35:$C$64,3,0)+0,0)))</f>
        <v>0</v>
      </c>
      <c r="CE157" s="48" t="n">
        <f aca="false">IF(AA157&lt;&gt;"",AA157,Z157)</f>
        <v>2</v>
      </c>
      <c r="CF157" s="48" t="str">
        <f aca="false">IF(OR(CE157=1,CE157=2,CE157=3),IF(Parameter!$E$27="Ja","LIFT",IF(CE157=1,"L1","L23")),IF(CE157="Aussen","Aussen","-"))</f>
        <v>LIFT</v>
      </c>
      <c r="CG157" s="59" t="n">
        <f aca="false">IF(N(AB157)&gt;0,AB157,0)</f>
        <v>0</v>
      </c>
      <c r="CH157" s="53" t="n">
        <f aca="false">IF(ISNUMBER(AE157),1,0)</f>
        <v>0</v>
      </c>
      <c r="CI157" s="50" t="n">
        <f aca="false">N(AE157)</f>
        <v>0</v>
      </c>
      <c r="CJ157" s="50" t="n">
        <f aca="false">N(M157)+N(N157)</f>
        <v>1</v>
      </c>
      <c r="CK157" s="50" t="n">
        <f aca="false">N(M157)</f>
        <v>0</v>
      </c>
      <c r="CL157" s="50" t="n">
        <f aca="false">N(N157)</f>
        <v>1</v>
      </c>
      <c r="CM157" s="50" t="n">
        <f aca="false">ROUNDUP(H157/BY157,0)</f>
        <v>1</v>
      </c>
      <c r="CN157" s="50" t="n">
        <f aca="false">ROUNDUP(CI157/BY157,0)</f>
        <v>0</v>
      </c>
      <c r="CO157" s="53" t="n">
        <f aca="false">IF(BZ157=1,0,IFERROR(VLOOKUP(BX157,'Gebinde-Kategorie'!$A$5:$N$45,5,0)+0,0))</f>
        <v>20</v>
      </c>
      <c r="CP157" s="53" t="n">
        <f aca="false">IFERROR(IF(OR(CE157=1,CE157=2,CE157=3),N(INDEX(Parameter!$I$5:$I$7,CE157)),0),0)</f>
        <v>0</v>
      </c>
      <c r="CQ157" s="52" t="n">
        <f aca="false">IF(AND(Parameter!$B$21="Ja",ISNUMBER(W157),N(X157)&gt;0),IFERROR(N(INDEX(Parameter!$L$5:$L$7,W157))*INDEX(Parameter!$E$5:$E$7,W157)*X157/SUMIFS($X$7:$X$1843,$W$7:$W$1843,W157),0),0)</f>
        <v>0</v>
      </c>
    </row>
    <row r="158" customFormat="false" ht="15" hidden="false" customHeight="false" outlineLevel="0" collapsed="false">
      <c r="A158" s="48" t="s">
        <v>532</v>
      </c>
      <c r="B158" s="48" t="s">
        <v>533</v>
      </c>
      <c r="C158" s="48" t="s">
        <v>173</v>
      </c>
      <c r="D158" s="48" t="s">
        <v>193</v>
      </c>
      <c r="E158" s="48" t="s">
        <v>194</v>
      </c>
      <c r="F158" s="48" t="s">
        <v>227</v>
      </c>
      <c r="G158" s="49" t="n">
        <v>4.82</v>
      </c>
      <c r="H158" s="50" t="n">
        <f aca="false">MAX(0,IF(AND(Parameter!$B$21="Ja",ISNUMBER(Y158)),Y158,IF(Parameter!$B$20="Jahresanfang 2025 + Export",BR158+BQ158,BQ158)))</f>
        <v>339</v>
      </c>
      <c r="I158" s="50" t="n">
        <f aca="false">H158*G158</f>
        <v>1633.98</v>
      </c>
      <c r="J158" s="50" t="n">
        <f aca="false">BT158*Parameter!$B$18</f>
        <v>386</v>
      </c>
      <c r="K158" s="51" t="n">
        <v>85.5</v>
      </c>
      <c r="L158" s="52" t="n">
        <v>4.51461988304094</v>
      </c>
      <c r="M158" s="50" t="n">
        <v>15</v>
      </c>
      <c r="N158" s="50" t="n">
        <v>390</v>
      </c>
      <c r="O158" s="53" t="n">
        <v>14</v>
      </c>
      <c r="P158" s="48" t="s">
        <v>242</v>
      </c>
      <c r="Q158" s="50" t="n">
        <v>131</v>
      </c>
      <c r="R158" s="53" t="n">
        <f aca="false">IF(BZ158=1,0,IFERROR(VLOOKUP(BX158,'Gebinde-Kategorie'!$A$5:$N$45,13,0)+0,0))</f>
        <v>26</v>
      </c>
      <c r="S158" s="54"/>
      <c r="T158" s="55"/>
      <c r="U158" s="55"/>
      <c r="V158" s="55"/>
      <c r="W158" s="48"/>
      <c r="X158" s="50"/>
      <c r="Y158" s="50"/>
      <c r="Z158" s="48" t="n">
        <f aca="false">IF(A158="","",IF(AND(Parameter!$B$21="Ja",ISNUMBER(W158)),W158,IF(CC158="2+3",IF(ISNUMBER(SEARCH("grosser Artikel",BU158)),2,IFERROR(VLOOKUP(BX158,Parameter!$F$35:$G$64,2,0),2)),IF(OR(CC158="Nein",CC158=""),"-",CC158))))</f>
        <v>3</v>
      </c>
      <c r="AA158" s="55"/>
      <c r="AB158" s="56"/>
      <c r="AC158" s="50" t="n">
        <f aca="false">AV158</f>
        <v>405</v>
      </c>
      <c r="AD158" s="50" t="n">
        <f aca="false">MAX(AV158,H158)</f>
        <v>405</v>
      </c>
      <c r="AE158" s="57"/>
      <c r="AF158" s="50" t="n">
        <f aca="false">IF(LEFT(Cockpit!$C$5,1)="A",H158,IF(Parameter!$E$30="MAX-Bestand",IF(CH158=1,CI158,IF(LEFT(Cockpit!$C$5,1)="B",AL158,MAX(AL158,H158))),ROUNDUP(AJ158,0)))</f>
        <v>339</v>
      </c>
      <c r="AG158" s="50" t="n">
        <f aca="false">IF(BZ158=1,0,ROUNDUP(AF158/BY158,0))</f>
        <v>3</v>
      </c>
      <c r="AH158" s="52" t="n">
        <f aca="false">IF(CQ158&gt;0,CQ158*MAX(1,AF158/X158),IF(BZ158=1,IF(AF158&lt;=0,0,CD158*MAX(1,IF(H158&gt;0,AF158/H158,1))),IF(R158&gt;0,AG158/R158,0))/MAX(0.1,N(Parameter!$M$21)))</f>
        <v>0.115384615384615</v>
      </c>
      <c r="AI158" s="50" t="n">
        <f aca="false">AH158*CB158</f>
        <v>28.2692307692308</v>
      </c>
      <c r="AJ158" s="51" t="n">
        <f aca="false">IF(LEFT(Cockpit!$C$5,1)="A",H158,IF(CH158=1,(CK158+CI158)/2,IF(LEFT(Cockpit!$C$5,1)="B",(CK158+AL158)/2,MAX((CK158+AL158)/2,H158))))</f>
        <v>339</v>
      </c>
      <c r="AK158" s="50" t="n">
        <f aca="false">AJ158*G158</f>
        <v>1633.98</v>
      </c>
      <c r="AL158" s="50" t="n">
        <f aca="false">ROUNDUP(CK158+MAX(CL158,2*(J158/IF(CG158&gt;0,CG158,MAX(0.1,N(Cockpit!$C$6)))-CK158)),0)</f>
        <v>405</v>
      </c>
      <c r="AM158" s="51" t="n">
        <f aca="false">IF(AI158&gt;0,J158/AI158,-1)</f>
        <v>13.6544217687075</v>
      </c>
      <c r="AN158" s="51" t="n">
        <f aca="false">IF(AND(OR(CF158="L1",CF158="L23",CF158="LIFT"),AI158&gt;0),SUMIFS($AI$7:$AI$1843,$CF$7:$CF$1843,CF158,$AM$7:$AM$1843,"&gt;"&amp;AM158)+SUMIFS($AI$7:$AI$1843,$CF$7:$CF$1843,CF158,$AM$7:$AM$1843,AM158,$BW$7:$BW$1843,"&lt;="&amp;BW158),"")</f>
        <v>2338.40750915751</v>
      </c>
      <c r="AO158" s="58" t="n">
        <f aca="false">IF(AN158="",0,MAX(0,MIN(1,(IF(CF158="L1",Parameter!$H$5,IF(CF158="L23",Parameter!$H$6+Parameter!$H$7,Parameter!$H$5+Parameter!$H$6+Parameter!$H$7))-(AN158-AI158))/AI158)))</f>
        <v>1</v>
      </c>
      <c r="AP158" s="50" t="n">
        <f aca="false">IF(LEFT(Cockpit!$I$5,1)="A",H158,IF(Parameter!$E$30="MAX-Bestand",IF(CH158=1,CI158,IF(LEFT(Cockpit!$I$5,1)="B",AV158,MAX(AV158,H158))),ROUNDUP(AT158,0)))</f>
        <v>339</v>
      </c>
      <c r="AQ158" s="50" t="n">
        <f aca="false">IF(BZ158=1,0,ROUNDUP(AP158/BY158,0))</f>
        <v>3</v>
      </c>
      <c r="AR158" s="52" t="n">
        <f aca="false">IF(CQ158&gt;0,CQ158*MAX(1,AP158/X158),IF(BZ158=1,IF(AP158&lt;=0,0,CD158*MAX(1,IF(H158&gt;0,AP158/H158,1))),IF(R158&gt;0,AQ158/R158,0))/MAX(0.1,N(Parameter!$M$21)))</f>
        <v>0.115384615384615</v>
      </c>
      <c r="AS158" s="50" t="n">
        <f aca="false">AR158*CB158</f>
        <v>28.2692307692308</v>
      </c>
      <c r="AT158" s="51" t="n">
        <f aca="false">IF(LEFT(Cockpit!$I$5,1)="A",H158,IF(CH158=1,(CK158+CI158)/2,IF(LEFT(Cockpit!$I$5,1)="B",(CK158+AV158)/2,MAX((CK158+AV158)/2,H158))))</f>
        <v>339</v>
      </c>
      <c r="AU158" s="50" t="n">
        <f aca="false">AT158*G158</f>
        <v>1633.98</v>
      </c>
      <c r="AV158" s="50" t="n">
        <f aca="false">ROUNDUP(CK158+MAX(CL158,2*(J158/IF(CG158&gt;0,CG158,MAX(0.1,N(Cockpit!$I$6)))-CK158)),0)</f>
        <v>405</v>
      </c>
      <c r="AW158" s="51" t="n">
        <f aca="false">IF(AS158&gt;0,J158/AS158,-1)</f>
        <v>13.6544217687075</v>
      </c>
      <c r="AX158" s="51" t="n">
        <f aca="false">IF(AND(OR(CF158="L1",CF158="L23",CF158="LIFT"),AS158&gt;0),SUMIFS($AS$7:$AS$1843,$CF$7:$CF$1843,CF158,$AW$7:$AW$1843,"&gt;"&amp;AW158)+SUMIFS($AS$7:$AS$1843,$CF$7:$CF$1843,CF158,$AW$7:$AW$1843,AW158,$BW$7:$BW$1843,"&lt;="&amp;BW158),"")</f>
        <v>2957.59432234432</v>
      </c>
      <c r="AY158" s="58" t="n">
        <f aca="false">IF(AX158="",0,MAX(0,MIN(1,(IF(CF158="L1",Parameter!$H$5,IF(CF158="L23",Parameter!$H$6+Parameter!$H$7,Parameter!$H$5+Parameter!$H$6+Parameter!$H$7))-(AX158-AS158))/AS158)))</f>
        <v>1</v>
      </c>
      <c r="AZ158" s="50" t="n">
        <f aca="false">IF(LEFT(Cockpit!$O$5,1)="A",H158,IF(Parameter!$E$30="MAX-Bestand",IF(CH158=1,CI158,IF(LEFT(Cockpit!$O$5,1)="B",BF158,MAX(BF158,H158))),ROUNDUP(BD158,0)))</f>
        <v>210</v>
      </c>
      <c r="BA158" s="50" t="n">
        <f aca="false">IF(BZ158=1,0,ROUNDUP(AZ158/BY158,0))</f>
        <v>2</v>
      </c>
      <c r="BB158" s="52" t="n">
        <f aca="false">IF(CQ158&gt;0,CQ158*MAX(1,AZ158/X158),IF(BZ158=1,IF(AZ158&lt;=0,0,CD158*MAX(1,IF(H158&gt;0,AZ158/H158,1))),IF(R158&gt;0,BA158/R158,0))/MAX(0.1,N(Parameter!$M$21)))</f>
        <v>0.0769230769230769</v>
      </c>
      <c r="BC158" s="50" t="n">
        <f aca="false">BB158*CB158</f>
        <v>18.8461538461538</v>
      </c>
      <c r="BD158" s="51" t="n">
        <f aca="false">IF(LEFT(Cockpit!$O$5,1)="A",H158,IF(CH158=1,(CK158+CI158)/2,IF(LEFT(Cockpit!$O$5,1)="B",(CK158+BF158)/2,MAX((CK158+BF158)/2,H158))))</f>
        <v>210</v>
      </c>
      <c r="BE158" s="50" t="n">
        <f aca="false">BD158*G158</f>
        <v>1012.2</v>
      </c>
      <c r="BF158" s="50" t="n">
        <f aca="false">ROUNDUP(CK158+MAX(CL158,2*(J158/IF(CG158&gt;0,CG158,MAX(0.1,N(Cockpit!$O$6)))-CK158)),0)</f>
        <v>405</v>
      </c>
      <c r="BG158" s="51" t="n">
        <f aca="false">IF(BC158&gt;0,J158/BC158,-1)</f>
        <v>20.4816326530612</v>
      </c>
      <c r="BH158" s="51" t="n">
        <f aca="false">IF(AND(OR(CF158="L1",CF158="L23",CF158="LIFT"),BC158&gt;0),SUMIFS($BC$7:$BC$1843,$CF$7:$CF$1843,CF158,$BG$7:$BG$1843,"&gt;"&amp;BG158)+SUMIFS($BC$7:$BC$1843,$CF$7:$CF$1843,CF158,$BG$7:$BG$1843,BG158,$BW$7:$BW$1843,"&lt;="&amp;BW158),"")</f>
        <v>2219.04258241758</v>
      </c>
      <c r="BI158" s="58" t="n">
        <f aca="false">IF(BH158="",0,MAX(0,MIN(1,(IF(CF158="L1",Parameter!$H$5,IF(CF158="L23",Parameter!$H$6+Parameter!$H$7,Parameter!$H$5+Parameter!$H$6+Parameter!$H$7))-(BH158-BC158))/BC158)))</f>
        <v>1</v>
      </c>
      <c r="BJ158" s="48" t="str">
        <f aca="false">IF(AI158&lt;=0,"",IF(CF158="Aussen","Aussenlager",IF(CF158="-","Nicht im Lift",IF(AO158&gt;=1,"Lift",IF(AO158&lt;=0,"Aussenlager","teilweise")))))</f>
        <v>Lift</v>
      </c>
      <c r="BK158" s="48" t="str">
        <f aca="false">IF(AS158&lt;=0,"",IF(CF158="Aussen","Aussenlager",IF(CF158="-","Nicht im Lift",IF(AY158&gt;=1,"Lift",IF(AY158&lt;=0,"Aussenlager","teilweise")))))</f>
        <v>Lift</v>
      </c>
      <c r="BL158" s="48" t="str">
        <f aca="false">IF(BC158&lt;=0,"",IF(CF158="Aussen","Aussenlager",IF(CF158="-","Nicht im Lift",IF(BI158&gt;=1,"Lift",IF(BI158&lt;=0,"Aussenlager","teilweise")))))</f>
        <v>Lift</v>
      </c>
      <c r="BM158" s="48" t="str">
        <f aca="false">IF(A158="","",IF(BV158=1,"Neu; ","")&amp;IF(AND(BV158=0,BQ158&lt;0),"negativer Bestand (Export "&amp;BQ158&amp;"); ","")&amp;IF(J158&lt;=0,"Kein Verbrauch; ","")&amp;IF(CQ158&gt;0,"Lift "&amp;W158&amp;" lt. Liftbericht (Fach "&amp;X158&amp;" Stk); ",IF(CA158=1,"Gebinde geschätzt ("&amp;T158&amp;"); ",IF(BZ158=1,"Lose – Tablare geschätzt; ","")))&amp;IF(H158&gt;AV158,"Überbestand "&amp;ROUND(H158-AV158,0)&amp;" Stk / CHF "&amp;ROUND((H158-AV158)*G158,0)&amp;"; ","")&amp;IF(AND(CH158=1,CI158&lt;CJ158),"MAX &lt; MB+LG; ","")&amp;IF(AND(CP158&gt;0,CO158*10&gt;CP158),"zu hoch für Tablar; ","")&amp;IF(AND(BV158=0,OR(CH158=1,AA158&lt;&gt;"",U158&lt;&gt;"",V158&lt;&gt;"",AB158&lt;&gt;"")),"manuell übersteuert; ","")&amp;IF(AND(BZ158=0,R158=0),"Gebinde unbekannt / Stellmass fehlt; ","")&amp;IF(AND(BZ158=0,N(V158)&lt;=0,N(Q158)&lt;=0),"Menge pro Gebinde fehlt (Ist = 1 Gebinde); ","")&amp;BU158)</f>
        <v/>
      </c>
      <c r="BN158" s="48"/>
      <c r="BO158" s="48"/>
      <c r="BP158" s="55"/>
      <c r="BQ158" s="50" t="n">
        <v>259</v>
      </c>
      <c r="BR158" s="50" t="n">
        <v>80</v>
      </c>
      <c r="BS158" s="49" t="n">
        <v>1249.1</v>
      </c>
      <c r="BT158" s="50" t="n">
        <v>386</v>
      </c>
      <c r="BU158" s="48"/>
      <c r="BV158" s="53" t="n">
        <v>0</v>
      </c>
      <c r="BW158" s="53" t="n">
        <v>158</v>
      </c>
      <c r="BX158" s="48" t="str">
        <f aca="false">IF(U158&lt;&gt;"",UPPER(TRIM(U158)),IF(CA158=1,UPPER(VLOOKUP(T158,Parameter!$I$27:$K$29,2,0)),IF(P158="","LOSE",P158)))</f>
        <v>S52</v>
      </c>
      <c r="BY158" s="50" t="n">
        <f aca="false">IF(BX158="LOSE",1,IF(N(V158)&gt;0,V158,IF(CA158=1,MAX(1,N(VLOOKUP(T158,Parameter!$I$27:$K$29,3,0)),H158,N(N158)),IF(N(Q158)&gt;0,Q158,MAX(1,H158)))))</f>
        <v>131</v>
      </c>
      <c r="BZ158" s="53" t="n">
        <f aca="false">IF(BX158="LOSE",1,0)</f>
        <v>0</v>
      </c>
      <c r="CA158" s="53" t="n">
        <f aca="false">IF(AND(U158="",OR(P158="",P158="LOSE"),T158&lt;&gt;"",N(S158)&lt;=0,ISNUMBER(MATCH(T158,Parameter!$I$27:$I$29,0))),1,0)</f>
        <v>0</v>
      </c>
      <c r="CB158" s="53" t="n">
        <f aca="false">IF(CQ158&gt;0,INDEX(Parameter!$H$5:$H$7,W158)/INDEX(Parameter!$E$5:$E$7,W158),IF(AND(BZ158=0,N(IFERROR(VLOOKUP(BX158,'Gebinde-Kategorie'!$A$5:$N$45,14,0),0))&gt;0),VLOOKUP(BX158,'Gebinde-Kategorie'!$A$5:$N$45,14,0)*10+Parameter!$M$23,Parameter!$M$24))</f>
        <v>245</v>
      </c>
      <c r="CC158" s="48" t="str">
        <f aca="false">IF(AND(Parameter!$B$19="Ja",E158&lt;&gt;"",ISNUMBER(MATCH(E158,Parameter!$I$35:$I$52,0))),VLOOKUP(E158,Parameter!$I$35:$J$52,2,0),IFERROR(VLOOKUP(D158,Parameter!$A$35:$C$64,2,0),"Nein"))</f>
        <v>2+3</v>
      </c>
      <c r="CD158" s="52" t="n">
        <f aca="false">IF(BZ158=0,0,IF(N(S158)&gt;0,S158,IFERROR(VLOOKUP(D158,Parameter!$A$35:$C$64,3,0)+0,0)))</f>
        <v>0</v>
      </c>
      <c r="CE158" s="48" t="n">
        <f aca="false">IF(AA158&lt;&gt;"",AA158,Z158)</f>
        <v>3</v>
      </c>
      <c r="CF158" s="48" t="str">
        <f aca="false">IF(OR(CE158=1,CE158=2,CE158=3),IF(Parameter!$E$27="Ja","LIFT",IF(CE158=1,"L1","L23")),IF(CE158="Aussen","Aussen","-"))</f>
        <v>LIFT</v>
      </c>
      <c r="CG158" s="59" t="n">
        <f aca="false">IF(N(AB158)&gt;0,AB158,0)</f>
        <v>0</v>
      </c>
      <c r="CH158" s="53" t="n">
        <f aca="false">IF(ISNUMBER(AE158),1,0)</f>
        <v>0</v>
      </c>
      <c r="CI158" s="50" t="n">
        <f aca="false">N(AE158)</f>
        <v>0</v>
      </c>
      <c r="CJ158" s="50" t="n">
        <f aca="false">N(M158)+N(N158)</f>
        <v>405</v>
      </c>
      <c r="CK158" s="50" t="n">
        <f aca="false">N(M158)</f>
        <v>15</v>
      </c>
      <c r="CL158" s="50" t="n">
        <f aca="false">N(N158)</f>
        <v>390</v>
      </c>
      <c r="CM158" s="50" t="n">
        <f aca="false">ROUNDUP(H158/BY158,0)</f>
        <v>3</v>
      </c>
      <c r="CN158" s="50" t="n">
        <f aca="false">ROUNDUP(CI158/BY158,0)</f>
        <v>0</v>
      </c>
      <c r="CO158" s="53" t="n">
        <f aca="false">IF(BZ158=1,0,IFERROR(VLOOKUP(BX158,'Gebinde-Kategorie'!$A$5:$N$45,5,0)+0,0))</f>
        <v>21</v>
      </c>
      <c r="CP158" s="53" t="n">
        <f aca="false">IFERROR(IF(OR(CE158=1,CE158=2,CE158=3),N(INDEX(Parameter!$I$5:$I$7,CE158)),0),0)</f>
        <v>0</v>
      </c>
      <c r="CQ158" s="52" t="n">
        <f aca="false">IF(AND(Parameter!$B$21="Ja",ISNUMBER(W158),N(X158)&gt;0),IFERROR(N(INDEX(Parameter!$L$5:$L$7,W158))*INDEX(Parameter!$E$5:$E$7,W158)*X158/SUMIFS($X$7:$X$1843,$W$7:$W$1843,W158),0),0)</f>
        <v>0</v>
      </c>
    </row>
    <row r="159" customFormat="false" ht="15" hidden="false" customHeight="false" outlineLevel="0" collapsed="false">
      <c r="A159" s="48" t="s">
        <v>534</v>
      </c>
      <c r="B159" s="48" t="s">
        <v>535</v>
      </c>
      <c r="C159" s="48" t="s">
        <v>173</v>
      </c>
      <c r="D159" s="48" t="s">
        <v>182</v>
      </c>
      <c r="E159" s="48"/>
      <c r="F159" s="48" t="s">
        <v>227</v>
      </c>
      <c r="G159" s="49" t="n">
        <v>103.6</v>
      </c>
      <c r="H159" s="50" t="n">
        <f aca="false">MAX(0,IF(AND(Parameter!$B$21="Ja",ISNUMBER(Y159)),Y159,IF(Parameter!$B$20="Jahresanfang 2025 + Export",BR159+BQ159,BQ159)))</f>
        <v>45</v>
      </c>
      <c r="I159" s="50" t="n">
        <f aca="false">H159*G159</f>
        <v>4662</v>
      </c>
      <c r="J159" s="50" t="n">
        <f aca="false">BT159*Parameter!$B$18</f>
        <v>151</v>
      </c>
      <c r="K159" s="51" t="n">
        <v>35.5</v>
      </c>
      <c r="L159" s="52" t="n">
        <v>4.25352112676056</v>
      </c>
      <c r="M159" s="50" t="n">
        <v>15</v>
      </c>
      <c r="N159" s="50" t="n">
        <v>55</v>
      </c>
      <c r="O159" s="53" t="n">
        <v>28</v>
      </c>
      <c r="P159" s="48" t="s">
        <v>177</v>
      </c>
      <c r="Q159" s="50"/>
      <c r="R159" s="53" t="n">
        <f aca="false">IF(BZ159=1,0,IFERROR(VLOOKUP(BX159,'Gebinde-Kategorie'!$A$5:$N$45,13,0)+0,0))</f>
        <v>12</v>
      </c>
      <c r="S159" s="54"/>
      <c r="T159" s="55" t="s">
        <v>188</v>
      </c>
      <c r="U159" s="55"/>
      <c r="V159" s="55"/>
      <c r="W159" s="48"/>
      <c r="X159" s="50"/>
      <c r="Y159" s="50"/>
      <c r="Z159" s="48" t="n">
        <f aca="false">IF(A159="","",IF(AND(Parameter!$B$21="Ja",ISNUMBER(W159)),W159,IF(CC159="2+3",IF(ISNUMBER(SEARCH("grosser Artikel",BU159)),2,IFERROR(VLOOKUP(BX159,Parameter!$F$35:$G$64,2,0),2)),IF(OR(CC159="Nein",CC159=""),"-",CC159))))</f>
        <v>2</v>
      </c>
      <c r="AA159" s="55"/>
      <c r="AB159" s="56"/>
      <c r="AC159" s="50" t="n">
        <f aca="false">AV159</f>
        <v>86</v>
      </c>
      <c r="AD159" s="50" t="n">
        <f aca="false">MAX(AV159,H159)</f>
        <v>86</v>
      </c>
      <c r="AE159" s="57"/>
      <c r="AF159" s="50" t="n">
        <f aca="false">IF(LEFT(Cockpit!$C$5,1)="A",H159,IF(Parameter!$E$30="MAX-Bestand",IF(CH159=1,CI159,IF(LEFT(Cockpit!$C$5,1)="B",AL159,MAX(AL159,H159))),ROUNDUP(AJ159,0)))</f>
        <v>45</v>
      </c>
      <c r="AG159" s="50" t="n">
        <f aca="false">IF(BZ159=1,0,ROUNDUP(AF159/BY159,0))</f>
        <v>1</v>
      </c>
      <c r="AH159" s="52" t="n">
        <f aca="false">IF(CQ159&gt;0,CQ159*MAX(1,AF159/X159),IF(BZ159=1,IF(AF159&lt;=0,0,CD159*MAX(1,IF(H159&gt;0,AF159/H159,1))),IF(R159&gt;0,AG159/R159,0))/MAX(0.1,N(Parameter!$M$21)))</f>
        <v>0.0833333333333333</v>
      </c>
      <c r="AI159" s="50" t="n">
        <f aca="false">AH159*CB159</f>
        <v>12.0833333333333</v>
      </c>
      <c r="AJ159" s="51" t="n">
        <f aca="false">IF(LEFT(Cockpit!$C$5,1)="A",H159,IF(CH159=1,(CK159+CI159)/2,IF(LEFT(Cockpit!$C$5,1)="B",(CK159+AL159)/2,MAX((CK159+AL159)/2,H159))))</f>
        <v>45</v>
      </c>
      <c r="AK159" s="50" t="n">
        <f aca="false">AJ159*G159</f>
        <v>4662</v>
      </c>
      <c r="AL159" s="50" t="n">
        <f aca="false">ROUNDUP(CK159+MAX(CL159,2*(J159/IF(CG159&gt;0,CG159,MAX(0.1,N(Cockpit!$C$6)))-CK159)),0)</f>
        <v>86</v>
      </c>
      <c r="AM159" s="51" t="n">
        <f aca="false">IF(AI159&gt;0,J159/AI159,-1)</f>
        <v>12.4965517241379</v>
      </c>
      <c r="AN159" s="51" t="n">
        <f aca="false">IF(AND(OR(CF159="L1",CF159="L23",CF159="LIFT"),AI159&gt;0),SUMIFS($AI$7:$AI$1843,$CF$7:$CF$1843,CF159,$AM$7:$AM$1843,"&gt;"&amp;AM159)+SUMIFS($AI$7:$AI$1843,$CF$7:$CF$1843,CF159,$AM$7:$AM$1843,AM159,$BW$7:$BW$1843,"&lt;="&amp;BW159),"")</f>
        <v>2450.46428571429</v>
      </c>
      <c r="AO159" s="58" t="n">
        <f aca="false">IF(AN159="",0,MAX(0,MIN(1,(IF(CF159="L1",Parameter!$H$5,IF(CF159="L23",Parameter!$H$6+Parameter!$H$7,Parameter!$H$5+Parameter!$H$6+Parameter!$H$7))-(AN159-AI159))/AI159)))</f>
        <v>1</v>
      </c>
      <c r="AP159" s="50" t="n">
        <f aca="false">IF(LEFT(Cockpit!$I$5,1)="A",H159,IF(Parameter!$E$30="MAX-Bestand",IF(CH159=1,CI159,IF(LEFT(Cockpit!$I$5,1)="B",AV159,MAX(AV159,H159))),ROUNDUP(AT159,0)))</f>
        <v>51</v>
      </c>
      <c r="AQ159" s="50" t="n">
        <f aca="false">IF(BZ159=1,0,ROUNDUP(AP159/BY159,0))</f>
        <v>1</v>
      </c>
      <c r="AR159" s="52" t="n">
        <f aca="false">IF(CQ159&gt;0,CQ159*MAX(1,AP159/X159),IF(BZ159=1,IF(AP159&lt;=0,0,CD159*MAX(1,IF(H159&gt;0,AP159/H159,1))),IF(R159&gt;0,AQ159/R159,0))/MAX(0.1,N(Parameter!$M$21)))</f>
        <v>0.0833333333333333</v>
      </c>
      <c r="AS159" s="50" t="n">
        <f aca="false">AR159*CB159</f>
        <v>12.0833333333333</v>
      </c>
      <c r="AT159" s="51" t="n">
        <f aca="false">IF(LEFT(Cockpit!$I$5,1)="A",H159,IF(CH159=1,(CK159+CI159)/2,IF(LEFT(Cockpit!$I$5,1)="B",(CK159+AV159)/2,MAX((CK159+AV159)/2,H159))))</f>
        <v>50.5</v>
      </c>
      <c r="AU159" s="50" t="n">
        <f aca="false">AT159*G159</f>
        <v>5231.8</v>
      </c>
      <c r="AV159" s="50" t="n">
        <f aca="false">ROUNDUP(CK159+MAX(CL159,2*(J159/IF(CG159&gt;0,CG159,MAX(0.1,N(Cockpit!$I$6)))-CK159)),0)</f>
        <v>86</v>
      </c>
      <c r="AW159" s="51" t="n">
        <f aca="false">IF(AS159&gt;0,J159/AS159,-1)</f>
        <v>12.4965517241379</v>
      </c>
      <c r="AX159" s="51" t="n">
        <f aca="false">IF(AND(OR(CF159="L1",CF159="L23",CF159="LIFT"),AS159&gt;0),SUMIFS($AS$7:$AS$1843,$CF$7:$CF$1843,CF159,$AW$7:$AW$1843,"&gt;"&amp;AW159)+SUMIFS($AS$7:$AS$1843,$CF$7:$CF$1843,CF159,$AW$7:$AW$1843,AW159,$BW$7:$BW$1843,"&lt;="&amp;BW159),"")</f>
        <v>3039.84340659341</v>
      </c>
      <c r="AY159" s="58" t="n">
        <f aca="false">IF(AX159="",0,MAX(0,MIN(1,(IF(CF159="L1",Parameter!$H$5,IF(CF159="L23",Parameter!$H$6+Parameter!$H$7,Parameter!$H$5+Parameter!$H$6+Parameter!$H$7))-(AX159-AS159))/AS159)))</f>
        <v>1</v>
      </c>
      <c r="AZ159" s="50" t="n">
        <f aca="false">IF(LEFT(Cockpit!$O$5,1)="A",H159,IF(Parameter!$E$30="MAX-Bestand",IF(CH159=1,CI159,IF(LEFT(Cockpit!$O$5,1)="B",BF159,MAX(BF159,H159))),ROUNDUP(BD159,0)))</f>
        <v>43</v>
      </c>
      <c r="BA159" s="50" t="n">
        <f aca="false">IF(BZ159=1,0,ROUNDUP(AZ159/BY159,0))</f>
        <v>1</v>
      </c>
      <c r="BB159" s="52" t="n">
        <f aca="false">IF(CQ159&gt;0,CQ159*MAX(1,AZ159/X159),IF(BZ159=1,IF(AZ159&lt;=0,0,CD159*MAX(1,IF(H159&gt;0,AZ159/H159,1))),IF(R159&gt;0,BA159/R159,0))/MAX(0.1,N(Parameter!$M$21)))</f>
        <v>0.0833333333333333</v>
      </c>
      <c r="BC159" s="50" t="n">
        <f aca="false">BB159*CB159</f>
        <v>12.0833333333333</v>
      </c>
      <c r="BD159" s="51" t="n">
        <f aca="false">IF(LEFT(Cockpit!$O$5,1)="A",H159,IF(CH159=1,(CK159+CI159)/2,IF(LEFT(Cockpit!$O$5,1)="B",(CK159+BF159)/2,MAX((CK159+BF159)/2,H159))))</f>
        <v>42.5</v>
      </c>
      <c r="BE159" s="50" t="n">
        <f aca="false">BD159*G159</f>
        <v>4403</v>
      </c>
      <c r="BF159" s="50" t="n">
        <f aca="false">ROUNDUP(CK159+MAX(CL159,2*(J159/IF(CG159&gt;0,CG159,MAX(0.1,N(Cockpit!$O$6)))-CK159)),0)</f>
        <v>70</v>
      </c>
      <c r="BG159" s="51" t="n">
        <f aca="false">IF(BC159&gt;0,J159/BC159,-1)</f>
        <v>12.4965517241379</v>
      </c>
      <c r="BH159" s="51" t="n">
        <f aca="false">IF(AND(OR(CF159="L1",CF159="L23",CF159="LIFT"),BC159&gt;0),SUMIFS($BC$7:$BC$1843,$CF$7:$CF$1843,CF159,$BG$7:$BG$1843,"&gt;"&amp;BG159)+SUMIFS($BC$7:$BC$1843,$CF$7:$CF$1843,CF159,$BG$7:$BG$1843,BG159,$BW$7:$BW$1843,"&lt;="&amp;BW159),"")</f>
        <v>2556.82875457876</v>
      </c>
      <c r="BI159" s="58" t="n">
        <f aca="false">IF(BH159="",0,MAX(0,MIN(1,(IF(CF159="L1",Parameter!$H$5,IF(CF159="L23",Parameter!$H$6+Parameter!$H$7,Parameter!$H$5+Parameter!$H$6+Parameter!$H$7))-(BH159-BC159))/BC159)))</f>
        <v>1</v>
      </c>
      <c r="BJ159" s="48" t="str">
        <f aca="false">IF(AI159&lt;=0,"",IF(CF159="Aussen","Aussenlager",IF(CF159="-","Nicht im Lift",IF(AO159&gt;=1,"Lift",IF(AO159&lt;=0,"Aussenlager","teilweise")))))</f>
        <v>Lift</v>
      </c>
      <c r="BK159" s="48" t="str">
        <f aca="false">IF(AS159&lt;=0,"",IF(CF159="Aussen","Aussenlager",IF(CF159="-","Nicht im Lift",IF(AY159&gt;=1,"Lift",IF(AY159&lt;=0,"Aussenlager","teilweise")))))</f>
        <v>Lift</v>
      </c>
      <c r="BL159" s="48" t="str">
        <f aca="false">IF(BC159&lt;=0,"",IF(CF159="Aussen","Aussenlager",IF(CF159="-","Nicht im Lift",IF(BI159&gt;=1,"Lift",IF(BI159&lt;=0,"Aussenlager","teilweise")))))</f>
        <v>Lift</v>
      </c>
      <c r="BM159" s="48" t="str">
        <f aca="false">IF(A159="","",IF(BV159=1,"Neu; ","")&amp;IF(AND(BV159=0,BQ159&lt;0),"negativer Bestand (Export "&amp;BQ159&amp;"); ","")&amp;IF(J159&lt;=0,"Kein Verbrauch; ","")&amp;IF(CQ159&gt;0,"Lift "&amp;W159&amp;" lt. Liftbericht (Fach "&amp;X159&amp;" Stk); ",IF(CA159=1,"Gebinde geschätzt ("&amp;T159&amp;"); ",IF(BZ159=1,"Lose – Tablare geschätzt; ","")))&amp;IF(H159&gt;AV159,"Überbestand "&amp;ROUND(H159-AV159,0)&amp;" Stk / CHF "&amp;ROUND((H159-AV159)*G159,0)&amp;"; ","")&amp;IF(AND(CH159=1,CI159&lt;CJ159),"MAX &lt; MB+LG; ","")&amp;IF(AND(CP159&gt;0,CO159*10&gt;CP159),"zu hoch für Tablar; ","")&amp;IF(AND(BV159=0,OR(CH159=1,AA159&lt;&gt;"",U159&lt;&gt;"",V159&lt;&gt;"",AB159&lt;&gt;"")),"manuell übersteuert; ","")&amp;IF(AND(BZ159=0,R159=0),"Gebinde unbekannt / Stellmass fehlt; ","")&amp;IF(AND(BZ159=0,N(V159)&lt;=0,N(Q159)&lt;=0),"Menge pro Gebinde fehlt (Ist = 1 Gebinde); ","")&amp;BU159)</f>
        <v>Gebinde geschätzt (Mittel); Menge pro Gebinde fehlt (Ist = 1 Gebinde); </v>
      </c>
      <c r="BN159" s="48"/>
      <c r="BO159" s="48"/>
      <c r="BP159" s="55"/>
      <c r="BQ159" s="50" t="n">
        <v>14</v>
      </c>
      <c r="BR159" s="50" t="n">
        <v>31</v>
      </c>
      <c r="BS159" s="49" t="n">
        <v>1244.25</v>
      </c>
      <c r="BT159" s="50" t="n">
        <v>151</v>
      </c>
      <c r="BU159" s="48"/>
      <c r="BV159" s="53" t="n">
        <v>0</v>
      </c>
      <c r="BW159" s="53" t="n">
        <v>159</v>
      </c>
      <c r="BX159" s="48" t="str">
        <f aca="false">IF(U159&lt;&gt;"",UPPER(TRIM(U159)),IF(CA159=1,UPPER(VLOOKUP(T159,Parameter!$I$27:$K$29,2,0)),IF(P159="","LOSE",P159)))</f>
        <v>S61</v>
      </c>
      <c r="BY159" s="50" t="n">
        <f aca="false">IF(BX159="LOSE",1,IF(N(V159)&gt;0,V159,IF(CA159=1,MAX(1,N(VLOOKUP(T159,Parameter!$I$27:$K$29,3,0)),H159,N(N159)),IF(N(Q159)&gt;0,Q159,MAX(1,H159)))))</f>
        <v>55</v>
      </c>
      <c r="BZ159" s="53" t="n">
        <f aca="false">IF(BX159="LOSE",1,0)</f>
        <v>0</v>
      </c>
      <c r="CA159" s="53" t="n">
        <f aca="false">IF(AND(U159="",OR(P159="",P159="LOSE"),T159&lt;&gt;"",N(S159)&lt;=0,ISNUMBER(MATCH(T159,Parameter!$I$27:$I$29,0))),1,0)</f>
        <v>1</v>
      </c>
      <c r="CB159" s="53" t="n">
        <f aca="false">IF(CQ159&gt;0,INDEX(Parameter!$H$5:$H$7,W159)/INDEX(Parameter!$E$5:$E$7,W159),IF(AND(BZ159=0,N(IFERROR(VLOOKUP(BX159,'Gebinde-Kategorie'!$A$5:$N$45,14,0),0))&gt;0),VLOOKUP(BX159,'Gebinde-Kategorie'!$A$5:$N$45,14,0)*10+Parameter!$M$23,Parameter!$M$24))</f>
        <v>145</v>
      </c>
      <c r="CC159" s="48" t="str">
        <f aca="false">IF(AND(Parameter!$B$19="Ja",E159&lt;&gt;"",ISNUMBER(MATCH(E159,Parameter!$I$35:$I$52,0))),VLOOKUP(E159,Parameter!$I$35:$J$52,2,0),IFERROR(VLOOKUP(D159,Parameter!$A$35:$C$64,2,0),"Nein"))</f>
        <v>2+3</v>
      </c>
      <c r="CD159" s="52" t="n">
        <f aca="false">IF(BZ159=0,0,IF(N(S159)&gt;0,S159,IFERROR(VLOOKUP(D159,Parameter!$A$35:$C$64,3,0)+0,0)))</f>
        <v>0</v>
      </c>
      <c r="CE159" s="48" t="n">
        <f aca="false">IF(AA159&lt;&gt;"",AA159,Z159)</f>
        <v>2</v>
      </c>
      <c r="CF159" s="48" t="str">
        <f aca="false">IF(OR(CE159=1,CE159=2,CE159=3),IF(Parameter!$E$27="Ja","LIFT",IF(CE159=1,"L1","L23")),IF(CE159="Aussen","Aussen","-"))</f>
        <v>LIFT</v>
      </c>
      <c r="CG159" s="59" t="n">
        <f aca="false">IF(N(AB159)&gt;0,AB159,0)</f>
        <v>0</v>
      </c>
      <c r="CH159" s="53" t="n">
        <f aca="false">IF(ISNUMBER(AE159),1,0)</f>
        <v>0</v>
      </c>
      <c r="CI159" s="50" t="n">
        <f aca="false">N(AE159)</f>
        <v>0</v>
      </c>
      <c r="CJ159" s="50" t="n">
        <f aca="false">N(M159)+N(N159)</f>
        <v>70</v>
      </c>
      <c r="CK159" s="50" t="n">
        <f aca="false">N(M159)</f>
        <v>15</v>
      </c>
      <c r="CL159" s="50" t="n">
        <f aca="false">N(N159)</f>
        <v>55</v>
      </c>
      <c r="CM159" s="50" t="n">
        <f aca="false">ROUNDUP(H159/BY159,0)</f>
        <v>1</v>
      </c>
      <c r="CN159" s="50" t="n">
        <f aca="false">ROUNDUP(CI159/BY159,0)</f>
        <v>0</v>
      </c>
      <c r="CO159" s="53" t="n">
        <f aca="false">IF(BZ159=1,0,IFERROR(VLOOKUP(BX159,'Gebinde-Kategorie'!$A$5:$N$45,5,0)+0,0))</f>
        <v>11</v>
      </c>
      <c r="CP159" s="53" t="n">
        <f aca="false">IFERROR(IF(OR(CE159=1,CE159=2,CE159=3),N(INDEX(Parameter!$I$5:$I$7,CE159)),0),0)</f>
        <v>0</v>
      </c>
      <c r="CQ159" s="52" t="n">
        <f aca="false">IF(AND(Parameter!$B$21="Ja",ISNUMBER(W159),N(X159)&gt;0),IFERROR(N(INDEX(Parameter!$L$5:$L$7,W159))*INDEX(Parameter!$E$5:$E$7,W159)*X159/SUMIFS($X$7:$X$1843,$W$7:$W$1843,W159),0),0)</f>
        <v>0</v>
      </c>
    </row>
    <row r="160" customFormat="false" ht="15" hidden="false" customHeight="false" outlineLevel="0" collapsed="false">
      <c r="A160" s="48" t="s">
        <v>536</v>
      </c>
      <c r="B160" s="48" t="s">
        <v>392</v>
      </c>
      <c r="C160" s="48" t="s">
        <v>173</v>
      </c>
      <c r="D160" s="48" t="s">
        <v>193</v>
      </c>
      <c r="E160" s="48" t="s">
        <v>194</v>
      </c>
      <c r="F160" s="48" t="s">
        <v>227</v>
      </c>
      <c r="G160" s="49" t="n">
        <v>598.49</v>
      </c>
      <c r="H160" s="50" t="n">
        <f aca="false">MAX(0,IF(AND(Parameter!$B$21="Ja",ISNUMBER(Y160)),Y160,IF(Parameter!$B$20="Jahresanfang 2025 + Export",BR160+BQ160,BQ160)))</f>
        <v>7</v>
      </c>
      <c r="I160" s="50" t="n">
        <f aca="false">H160*G160</f>
        <v>4189.43</v>
      </c>
      <c r="J160" s="50" t="n">
        <f aca="false">BT160*Parameter!$B$18</f>
        <v>21</v>
      </c>
      <c r="K160" s="51" t="n">
        <v>6.5</v>
      </c>
      <c r="L160" s="52" t="n">
        <v>3.23076923076923</v>
      </c>
      <c r="M160" s="50" t="n">
        <v>1</v>
      </c>
      <c r="N160" s="50" t="n">
        <v>1</v>
      </c>
      <c r="O160" s="53" t="n">
        <v>14</v>
      </c>
      <c r="P160" s="48" t="s">
        <v>183</v>
      </c>
      <c r="Q160" s="50" t="n">
        <v>12</v>
      </c>
      <c r="R160" s="53" t="n">
        <f aca="false">IF(BZ160=1,0,IFERROR(VLOOKUP(BX160,'Gebinde-Kategorie'!$A$5:$N$45,13,0)+0,0))</f>
        <v>6</v>
      </c>
      <c r="S160" s="54"/>
      <c r="T160" s="55"/>
      <c r="U160" s="55"/>
      <c r="V160" s="55"/>
      <c r="W160" s="48"/>
      <c r="X160" s="50"/>
      <c r="Y160" s="50"/>
      <c r="Z160" s="48" t="n">
        <f aca="false">IF(A160="","",IF(AND(Parameter!$B$21="Ja",ISNUMBER(W160)),W160,IF(CC160="2+3",IF(ISNUMBER(SEARCH("grosser Artikel",BU160)),2,IFERROR(VLOOKUP(BX160,Parameter!$F$35:$G$64,2,0),2)),IF(OR(CC160="Nein",CC160=""),"-",CC160))))</f>
        <v>2</v>
      </c>
      <c r="AA160" s="55"/>
      <c r="AB160" s="56"/>
      <c r="AC160" s="50" t="n">
        <f aca="false">AV160</f>
        <v>13</v>
      </c>
      <c r="AD160" s="50" t="n">
        <f aca="false">MAX(AV160,H160)</f>
        <v>13</v>
      </c>
      <c r="AE160" s="57"/>
      <c r="AF160" s="50" t="n">
        <f aca="false">IF(LEFT(Cockpit!$C$5,1)="A",H160,IF(Parameter!$E$30="MAX-Bestand",IF(CH160=1,CI160,IF(LEFT(Cockpit!$C$5,1)="B",AL160,MAX(AL160,H160))),ROUNDUP(AJ160,0)))</f>
        <v>7</v>
      </c>
      <c r="AG160" s="50" t="n">
        <f aca="false">IF(BZ160=1,0,ROUNDUP(AF160/BY160,0))</f>
        <v>1</v>
      </c>
      <c r="AH160" s="52" t="n">
        <f aca="false">IF(CQ160&gt;0,CQ160*MAX(1,AF160/X160),IF(BZ160=1,IF(AF160&lt;=0,0,CD160*MAX(1,IF(H160&gt;0,AF160/H160,1))),IF(R160&gt;0,AG160/R160,0))/MAX(0.1,N(Parameter!$M$21)))</f>
        <v>0.166666666666667</v>
      </c>
      <c r="AI160" s="50" t="n">
        <f aca="false">AH160*CB160</f>
        <v>39.1666666666667</v>
      </c>
      <c r="AJ160" s="51" t="n">
        <f aca="false">IF(LEFT(Cockpit!$C$5,1)="A",H160,IF(CH160=1,(CK160+CI160)/2,IF(LEFT(Cockpit!$C$5,1)="B",(CK160+AL160)/2,MAX((CK160+AL160)/2,H160))))</f>
        <v>7</v>
      </c>
      <c r="AK160" s="50" t="n">
        <f aca="false">AJ160*G160</f>
        <v>4189.43</v>
      </c>
      <c r="AL160" s="50" t="n">
        <f aca="false">ROUNDUP(CK160+MAX(CL160,2*(J160/IF(CG160&gt;0,CG160,MAX(0.1,N(Cockpit!$C$6)))-CK160)),0)</f>
        <v>13</v>
      </c>
      <c r="AM160" s="51" t="n">
        <f aca="false">IF(AI160&gt;0,J160/AI160,-1)</f>
        <v>0.536170212765957</v>
      </c>
      <c r="AN160" s="51" t="n">
        <f aca="false">IF(AND(OR(CF160="L1",CF160="L23",CF160="LIFT"),AI160&gt;0),SUMIFS($AI$7:$AI$1843,$CF$7:$CF$1843,CF160,$AM$7:$AM$1843,"&gt;"&amp;AM160)+SUMIFS($AI$7:$AI$1843,$CF$7:$CF$1843,CF160,$AM$7:$AM$1843,AM160,$BW$7:$BW$1843,"&lt;="&amp;BW160),"")</f>
        <v>9500.20922062871</v>
      </c>
      <c r="AO160" s="58" t="n">
        <f aca="false">IF(AN160="",0,MAX(0,MIN(1,(IF(CF160="L1",Parameter!$H$5,IF(CF160="L23",Parameter!$H$6+Parameter!$H$7,Parameter!$H$5+Parameter!$H$6+Parameter!$H$7))-(AN160-AI160))/AI160)))</f>
        <v>1</v>
      </c>
      <c r="AP160" s="50" t="n">
        <f aca="false">IF(LEFT(Cockpit!$I$5,1)="A",H160,IF(Parameter!$E$30="MAX-Bestand",IF(CH160=1,CI160,IF(LEFT(Cockpit!$I$5,1)="B",AV160,MAX(AV160,H160))),ROUNDUP(AT160,0)))</f>
        <v>7</v>
      </c>
      <c r="AQ160" s="50" t="n">
        <f aca="false">IF(BZ160=1,0,ROUNDUP(AP160/BY160,0))</f>
        <v>1</v>
      </c>
      <c r="AR160" s="52" t="n">
        <f aca="false">IF(CQ160&gt;0,CQ160*MAX(1,AP160/X160),IF(BZ160=1,IF(AP160&lt;=0,0,CD160*MAX(1,IF(H160&gt;0,AP160/H160,1))),IF(R160&gt;0,AQ160/R160,0))/MAX(0.1,N(Parameter!$M$21)))</f>
        <v>0.166666666666667</v>
      </c>
      <c r="AS160" s="50" t="n">
        <f aca="false">AR160*CB160</f>
        <v>39.1666666666667</v>
      </c>
      <c r="AT160" s="51" t="n">
        <f aca="false">IF(LEFT(Cockpit!$I$5,1)="A",H160,IF(CH160=1,(CK160+CI160)/2,IF(LEFT(Cockpit!$I$5,1)="B",(CK160+AV160)/2,MAX((CK160+AV160)/2,H160))))</f>
        <v>7</v>
      </c>
      <c r="AU160" s="50" t="n">
        <f aca="false">AT160*G160</f>
        <v>4189.43</v>
      </c>
      <c r="AV160" s="50" t="n">
        <f aca="false">ROUNDUP(CK160+MAX(CL160,2*(J160/IF(CG160&gt;0,CG160,MAX(0.1,N(Cockpit!$I$6)))-CK160)),0)</f>
        <v>13</v>
      </c>
      <c r="AW160" s="51" t="n">
        <f aca="false">IF(AS160&gt;0,J160/AS160,-1)</f>
        <v>0.536170212765957</v>
      </c>
      <c r="AX160" s="51" t="n">
        <f aca="false">IF(AND(OR(CF160="L1",CF160="L23",CF160="LIFT"),AS160&gt;0),SUMIFS($AS$7:$AS$1843,$CF$7:$CF$1843,CF160,$AW$7:$AW$1843,"&gt;"&amp;AW160)+SUMIFS($AS$7:$AS$1843,$CF$7:$CF$1843,CF160,$AW$7:$AW$1843,AW160,$BW$7:$BW$1843,"&lt;="&amp;BW160),"")</f>
        <v>11902.1227106227</v>
      </c>
      <c r="AY160" s="58" t="n">
        <f aca="false">IF(AX160="",0,MAX(0,MIN(1,(IF(CF160="L1",Parameter!$H$5,IF(CF160="L23",Parameter!$H$6+Parameter!$H$7,Parameter!$H$5+Parameter!$H$6+Parameter!$H$7))-(AX160-AS160))/AS160)))</f>
        <v>1</v>
      </c>
      <c r="AZ160" s="50" t="n">
        <f aca="false">IF(LEFT(Cockpit!$O$5,1)="A",H160,IF(Parameter!$E$30="MAX-Bestand",IF(CH160=1,CI160,IF(LEFT(Cockpit!$O$5,1)="B",BF160,MAX(BF160,H160))),ROUNDUP(BD160,0)))</f>
        <v>6</v>
      </c>
      <c r="BA160" s="50" t="n">
        <f aca="false">IF(BZ160=1,0,ROUNDUP(AZ160/BY160,0))</f>
        <v>1</v>
      </c>
      <c r="BB160" s="52" t="n">
        <f aca="false">IF(CQ160&gt;0,CQ160*MAX(1,AZ160/X160),IF(BZ160=1,IF(AZ160&lt;=0,0,CD160*MAX(1,IF(H160&gt;0,AZ160/H160,1))),IF(R160&gt;0,BA160/R160,0))/MAX(0.1,N(Parameter!$M$21)))</f>
        <v>0.166666666666667</v>
      </c>
      <c r="BC160" s="50" t="n">
        <f aca="false">BB160*CB160</f>
        <v>39.1666666666667</v>
      </c>
      <c r="BD160" s="51" t="n">
        <f aca="false">IF(LEFT(Cockpit!$O$5,1)="A",H160,IF(CH160=1,(CK160+CI160)/2,IF(LEFT(Cockpit!$O$5,1)="B",(CK160+BF160)/2,MAX((CK160+BF160)/2,H160))))</f>
        <v>5.5</v>
      </c>
      <c r="BE160" s="50" t="n">
        <f aca="false">BD160*G160</f>
        <v>3291.695</v>
      </c>
      <c r="BF160" s="50" t="n">
        <f aca="false">ROUNDUP(CK160+MAX(CL160,2*(J160/IF(CG160&gt;0,CG160,MAX(0.1,N(Cockpit!$O$6)))-CK160)),0)</f>
        <v>10</v>
      </c>
      <c r="BG160" s="51" t="n">
        <f aca="false">IF(BC160&gt;0,J160/BC160,-1)</f>
        <v>0.536170212765957</v>
      </c>
      <c r="BH160" s="51" t="n">
        <f aca="false">IF(AND(OR(CF160="L1",CF160="L23",CF160="LIFT"),BC160&gt;0),SUMIFS($BC$7:$BC$1843,$CF$7:$CF$1843,CF160,$BG$7:$BG$1843,"&gt;"&amp;BG160)+SUMIFS($BC$7:$BC$1843,$CF$7:$CF$1843,CF160,$BG$7:$BG$1843,BG160,$BW$7:$BW$1843,"&lt;="&amp;BW160),"")</f>
        <v>10265.5389194139</v>
      </c>
      <c r="BI160" s="58" t="n">
        <f aca="false">IF(BH160="",0,MAX(0,MIN(1,(IF(CF160="L1",Parameter!$H$5,IF(CF160="L23",Parameter!$H$6+Parameter!$H$7,Parameter!$H$5+Parameter!$H$6+Parameter!$H$7))-(BH160-BC160))/BC160)))</f>
        <v>1</v>
      </c>
      <c r="BJ160" s="48" t="str">
        <f aca="false">IF(AI160&lt;=0,"",IF(CF160="Aussen","Aussenlager",IF(CF160="-","Nicht im Lift",IF(AO160&gt;=1,"Lift",IF(AO160&lt;=0,"Aussenlager","teilweise")))))</f>
        <v>Lift</v>
      </c>
      <c r="BK160" s="48" t="str">
        <f aca="false">IF(AS160&lt;=0,"",IF(CF160="Aussen","Aussenlager",IF(CF160="-","Nicht im Lift",IF(AY160&gt;=1,"Lift",IF(AY160&lt;=0,"Aussenlager","teilweise")))))</f>
        <v>Lift</v>
      </c>
      <c r="BL160" s="48" t="str">
        <f aca="false">IF(BC160&lt;=0,"",IF(CF160="Aussen","Aussenlager",IF(CF160="-","Nicht im Lift",IF(BI160&gt;=1,"Lift",IF(BI160&lt;=0,"Aussenlager","teilweise")))))</f>
        <v>Lift</v>
      </c>
      <c r="BM160" s="48" t="str">
        <f aca="false">IF(A160="","",IF(BV160=1,"Neu; ","")&amp;IF(AND(BV160=0,BQ160&lt;0),"negativer Bestand (Export "&amp;BQ160&amp;"); ","")&amp;IF(J160&lt;=0,"Kein Verbrauch; ","")&amp;IF(CQ160&gt;0,"Lift "&amp;W160&amp;" lt. Liftbericht (Fach "&amp;X160&amp;" Stk); ",IF(CA160=1,"Gebinde geschätzt ("&amp;T160&amp;"); ",IF(BZ160=1,"Lose – Tablare geschätzt; ","")))&amp;IF(H160&gt;AV160,"Überbestand "&amp;ROUND(H160-AV160,0)&amp;" Stk / CHF "&amp;ROUND((H160-AV160)*G160,0)&amp;"; ","")&amp;IF(AND(CH160=1,CI160&lt;CJ160),"MAX &lt; MB+LG; ","")&amp;IF(AND(CP160&gt;0,CO160*10&gt;CP160),"zu hoch für Tablar; ","")&amp;IF(AND(BV160=0,OR(CH160=1,AA160&lt;&gt;"",U160&lt;&gt;"",V160&lt;&gt;"",AB160&lt;&gt;"")),"manuell übersteuert; ","")&amp;IF(AND(BZ160=0,R160=0),"Gebinde unbekannt / Stellmass fehlt; ","")&amp;IF(AND(BZ160=0,N(V160)&lt;=0,N(Q160)&lt;=0),"Menge pro Gebinde fehlt (Ist = 1 Gebinde); ","")&amp;BU160)</f>
        <v>länger als die Kisten</v>
      </c>
      <c r="BN160" s="48"/>
      <c r="BO160" s="48"/>
      <c r="BP160" s="55"/>
      <c r="BQ160" s="50" t="n">
        <v>2</v>
      </c>
      <c r="BR160" s="50" t="n">
        <v>5</v>
      </c>
      <c r="BS160" s="49" t="n">
        <v>1225.11</v>
      </c>
      <c r="BT160" s="50" t="n">
        <v>21</v>
      </c>
      <c r="BU160" s="48" t="s">
        <v>537</v>
      </c>
      <c r="BV160" s="53" t="n">
        <v>0</v>
      </c>
      <c r="BW160" s="53" t="n">
        <v>160</v>
      </c>
      <c r="BX160" s="48" t="str">
        <f aca="false">IF(U160&lt;&gt;"",UPPER(TRIM(U160)),IF(CA160=1,UPPER(VLOOKUP(T160,Parameter!$I$27:$K$29,2,0)),IF(P160="","LOSE",P160)))</f>
        <v>S71</v>
      </c>
      <c r="BY160" s="50" t="n">
        <f aca="false">IF(BX160="LOSE",1,IF(N(V160)&gt;0,V160,IF(CA160=1,MAX(1,N(VLOOKUP(T160,Parameter!$I$27:$K$29,3,0)),H160,N(N160)),IF(N(Q160)&gt;0,Q160,MAX(1,H160)))))</f>
        <v>12</v>
      </c>
      <c r="BZ160" s="53" t="n">
        <f aca="false">IF(BX160="LOSE",1,0)</f>
        <v>0</v>
      </c>
      <c r="CA160" s="53" t="n">
        <f aca="false">IF(AND(U160="",OR(P160="",P160="LOSE"),T160&lt;&gt;"",N(S160)&lt;=0,ISNUMBER(MATCH(T160,Parameter!$I$27:$I$29,0))),1,0)</f>
        <v>0</v>
      </c>
      <c r="CB160" s="53" t="n">
        <f aca="false">IF(CQ160&gt;0,INDEX(Parameter!$H$5:$H$7,W160)/INDEX(Parameter!$E$5:$E$7,W160),IF(AND(BZ160=0,N(IFERROR(VLOOKUP(BX160,'Gebinde-Kategorie'!$A$5:$N$45,14,0),0))&gt;0),VLOOKUP(BX160,'Gebinde-Kategorie'!$A$5:$N$45,14,0)*10+Parameter!$M$23,Parameter!$M$24))</f>
        <v>235</v>
      </c>
      <c r="CC160" s="48" t="str">
        <f aca="false">IF(AND(Parameter!$B$19="Ja",E160&lt;&gt;"",ISNUMBER(MATCH(E160,Parameter!$I$35:$I$52,0))),VLOOKUP(E160,Parameter!$I$35:$J$52,2,0),IFERROR(VLOOKUP(D160,Parameter!$A$35:$C$64,2,0),"Nein"))</f>
        <v>2+3</v>
      </c>
      <c r="CD160" s="52" t="n">
        <f aca="false">IF(BZ160=0,0,IF(N(S160)&gt;0,S160,IFERROR(VLOOKUP(D160,Parameter!$A$35:$C$64,3,0)+0,0)))</f>
        <v>0</v>
      </c>
      <c r="CE160" s="48" t="n">
        <f aca="false">IF(AA160&lt;&gt;"",AA160,Z160)</f>
        <v>2</v>
      </c>
      <c r="CF160" s="48" t="str">
        <f aca="false">IF(OR(CE160=1,CE160=2,CE160=3),IF(Parameter!$E$27="Ja","LIFT",IF(CE160=1,"L1","L23")),IF(CE160="Aussen","Aussen","-"))</f>
        <v>LIFT</v>
      </c>
      <c r="CG160" s="59" t="n">
        <f aca="false">IF(N(AB160)&gt;0,AB160,0)</f>
        <v>0</v>
      </c>
      <c r="CH160" s="53" t="n">
        <f aca="false">IF(ISNUMBER(AE160),1,0)</f>
        <v>0</v>
      </c>
      <c r="CI160" s="50" t="n">
        <f aca="false">N(AE160)</f>
        <v>0</v>
      </c>
      <c r="CJ160" s="50" t="n">
        <f aca="false">N(M160)+N(N160)</f>
        <v>2</v>
      </c>
      <c r="CK160" s="50" t="n">
        <f aca="false">N(M160)</f>
        <v>1</v>
      </c>
      <c r="CL160" s="50" t="n">
        <f aca="false">N(N160)</f>
        <v>1</v>
      </c>
      <c r="CM160" s="50" t="n">
        <f aca="false">ROUNDUP(H160/BY160,0)</f>
        <v>1</v>
      </c>
      <c r="CN160" s="50" t="n">
        <f aca="false">ROUNDUP(CI160/BY160,0)</f>
        <v>0</v>
      </c>
      <c r="CO160" s="53" t="n">
        <f aca="false">IF(BZ160=1,0,IFERROR(VLOOKUP(BX160,'Gebinde-Kategorie'!$A$5:$N$45,5,0)+0,0))</f>
        <v>20</v>
      </c>
      <c r="CP160" s="53" t="n">
        <f aca="false">IFERROR(IF(OR(CE160=1,CE160=2,CE160=3),N(INDEX(Parameter!$I$5:$I$7,CE160)),0),0)</f>
        <v>0</v>
      </c>
      <c r="CQ160" s="52" t="n">
        <f aca="false">IF(AND(Parameter!$B$21="Ja",ISNUMBER(W160),N(X160)&gt;0),IFERROR(N(INDEX(Parameter!$L$5:$L$7,W160))*INDEX(Parameter!$E$5:$E$7,W160)*X160/SUMIFS($X$7:$X$1843,$W$7:$W$1843,W160),0),0)</f>
        <v>0</v>
      </c>
    </row>
    <row r="161" customFormat="false" ht="15" hidden="false" customHeight="false" outlineLevel="0" collapsed="false">
      <c r="A161" s="48" t="s">
        <v>538</v>
      </c>
      <c r="B161" s="48" t="s">
        <v>539</v>
      </c>
      <c r="C161" s="48" t="s">
        <v>173</v>
      </c>
      <c r="D161" s="48" t="s">
        <v>193</v>
      </c>
      <c r="E161" s="48"/>
      <c r="F161" s="48" t="s">
        <v>227</v>
      </c>
      <c r="G161" s="49" t="n">
        <v>51</v>
      </c>
      <c r="H161" s="50" t="n">
        <f aca="false">MAX(0,IF(AND(Parameter!$B$21="Ja",ISNUMBER(Y161)),Y161,IF(Parameter!$B$20="Jahresanfang 2025 + Export",BR161+BQ161,BQ161)))</f>
        <v>24</v>
      </c>
      <c r="I161" s="50" t="n">
        <f aca="false">H161*G161</f>
        <v>1224</v>
      </c>
      <c r="J161" s="50" t="n">
        <f aca="false">BT161*Parameter!$B$18</f>
        <v>0</v>
      </c>
      <c r="K161" s="51" t="n">
        <v>0</v>
      </c>
      <c r="L161" s="52" t="n">
        <v>0</v>
      </c>
      <c r="M161" s="50" t="n">
        <v>0</v>
      </c>
      <c r="N161" s="50" t="n">
        <v>1</v>
      </c>
      <c r="O161" s="53" t="n">
        <v>9999</v>
      </c>
      <c r="P161" s="48" t="s">
        <v>177</v>
      </c>
      <c r="Q161" s="50"/>
      <c r="R161" s="53" t="n">
        <f aca="false">IF(BZ161=1,0,IFERROR(VLOOKUP(BX161,'Gebinde-Kategorie'!$A$5:$N$45,13,0)+0,0))</f>
        <v>4</v>
      </c>
      <c r="S161" s="54"/>
      <c r="T161" s="55" t="s">
        <v>198</v>
      </c>
      <c r="U161" s="55"/>
      <c r="V161" s="55"/>
      <c r="W161" s="48"/>
      <c r="X161" s="50"/>
      <c r="Y161" s="50"/>
      <c r="Z161" s="48" t="n">
        <f aca="false">IF(A161="","",IF(AND(Parameter!$B$21="Ja",ISNUMBER(W161)),W161,IF(CC161="2+3",IF(ISNUMBER(SEARCH("grosser Artikel",BU161)),2,IFERROR(VLOOKUP(BX161,Parameter!$F$35:$G$64,2,0),2)),IF(OR(CC161="Nein",CC161=""),"-",CC161))))</f>
        <v>2</v>
      </c>
      <c r="AA161" s="55"/>
      <c r="AB161" s="56"/>
      <c r="AC161" s="50" t="n">
        <f aca="false">AV161</f>
        <v>1</v>
      </c>
      <c r="AD161" s="50" t="n">
        <f aca="false">MAX(AV161,H161)</f>
        <v>24</v>
      </c>
      <c r="AE161" s="57"/>
      <c r="AF161" s="50" t="n">
        <f aca="false">IF(LEFT(Cockpit!$C$5,1)="A",H161,IF(Parameter!$E$30="MAX-Bestand",IF(CH161=1,CI161,IF(LEFT(Cockpit!$C$5,1)="B",AL161,MAX(AL161,H161))),ROUNDUP(AJ161,0)))</f>
        <v>24</v>
      </c>
      <c r="AG161" s="50" t="n">
        <f aca="false">IF(BZ161=1,0,ROUNDUP(AF161/BY161,0))</f>
        <v>1</v>
      </c>
      <c r="AH161" s="52" t="n">
        <f aca="false">IF(CQ161&gt;0,CQ161*MAX(1,AF161/X161),IF(BZ161=1,IF(AF161&lt;=0,0,CD161*MAX(1,IF(H161&gt;0,AF161/H161,1))),IF(R161&gt;0,AG161/R161,0))/MAX(0.1,N(Parameter!$M$21)))</f>
        <v>0.25</v>
      </c>
      <c r="AI161" s="50" t="n">
        <f aca="false">AH161*CB161</f>
        <v>58.75</v>
      </c>
      <c r="AJ161" s="51" t="n">
        <f aca="false">IF(LEFT(Cockpit!$C$5,1)="A",H161,IF(CH161=1,(CK161+CI161)/2,IF(LEFT(Cockpit!$C$5,1)="B",(CK161+AL161)/2,MAX((CK161+AL161)/2,H161))))</f>
        <v>24</v>
      </c>
      <c r="AK161" s="50" t="n">
        <f aca="false">AJ161*G161</f>
        <v>1224</v>
      </c>
      <c r="AL161" s="50" t="n">
        <f aca="false">ROUNDUP(CK161+MAX(CL161,2*(J161/IF(CG161&gt;0,CG161,MAX(0.1,N(Cockpit!$C$6)))-CK161)),0)</f>
        <v>1</v>
      </c>
      <c r="AM161" s="51" t="n">
        <f aca="false">IF(AI161&gt;0,J161/AI161,-1)</f>
        <v>0</v>
      </c>
      <c r="AN161" s="51" t="n">
        <f aca="false">IF(AND(OR(CF161="L1",CF161="L23",CF161="LIFT"),AI161&gt;0),SUMIFS($AI$7:$AI$1843,$CF$7:$CF$1843,CF161,$AM$7:$AM$1843,"&gt;"&amp;AM161)+SUMIFS($AI$7:$AI$1843,$CF$7:$CF$1843,CF161,$AM$7:$AM$1843,AM161,$BW$7:$BW$1843,"&lt;="&amp;BW161),"")</f>
        <v>27409.3215967178</v>
      </c>
      <c r="AO161" s="58" t="n">
        <f aca="false">IF(AN161="",0,MAX(0,MIN(1,(IF(CF161="L1",Parameter!$H$5,IF(CF161="L23",Parameter!$H$6+Parameter!$H$7,Parameter!$H$5+Parameter!$H$6+Parameter!$H$7))-(AN161-AI161))/AI161)))</f>
        <v>1</v>
      </c>
      <c r="AP161" s="50" t="n">
        <f aca="false">IF(LEFT(Cockpit!$I$5,1)="A",H161,IF(Parameter!$E$30="MAX-Bestand",IF(CH161=1,CI161,IF(LEFT(Cockpit!$I$5,1)="B",AV161,MAX(AV161,H161))),ROUNDUP(AT161,0)))</f>
        <v>24</v>
      </c>
      <c r="AQ161" s="50" t="n">
        <f aca="false">IF(BZ161=1,0,ROUNDUP(AP161/BY161,0))</f>
        <v>1</v>
      </c>
      <c r="AR161" s="52" t="n">
        <f aca="false">IF(CQ161&gt;0,CQ161*MAX(1,AP161/X161),IF(BZ161=1,IF(AP161&lt;=0,0,CD161*MAX(1,IF(H161&gt;0,AP161/H161,1))),IF(R161&gt;0,AQ161/R161,0))/MAX(0.1,N(Parameter!$M$21)))</f>
        <v>0.25</v>
      </c>
      <c r="AS161" s="50" t="n">
        <f aca="false">AR161*CB161</f>
        <v>58.75</v>
      </c>
      <c r="AT161" s="51" t="n">
        <f aca="false">IF(LEFT(Cockpit!$I$5,1)="A",H161,IF(CH161=1,(CK161+CI161)/2,IF(LEFT(Cockpit!$I$5,1)="B",(CK161+AV161)/2,MAX((CK161+AV161)/2,H161))))</f>
        <v>24</v>
      </c>
      <c r="AU161" s="50" t="n">
        <f aca="false">AT161*G161</f>
        <v>1224</v>
      </c>
      <c r="AV161" s="50" t="n">
        <f aca="false">ROUNDUP(CK161+MAX(CL161,2*(J161/IF(CG161&gt;0,CG161,MAX(0.1,N(Cockpit!$I$6)))-CK161)),0)</f>
        <v>1</v>
      </c>
      <c r="AW161" s="51" t="n">
        <f aca="false">IF(AS161&gt;0,J161/AS161,-1)</f>
        <v>0</v>
      </c>
      <c r="AX161" s="51" t="n">
        <f aca="false">IF(AND(OR(CF161="L1",CF161="L23",CF161="LIFT"),AS161&gt;0),SUMIFS($AS$7:$AS$1843,$CF$7:$CF$1843,CF161,$AW$7:$AW$1843,"&gt;"&amp;AW161)+SUMIFS($AS$7:$AS$1843,$CF$7:$CF$1843,CF161,$AW$7:$AW$1843,AW161,$BW$7:$BW$1843,"&lt;="&amp;BW161),"")</f>
        <v>32762.4702380952</v>
      </c>
      <c r="AY161" s="58" t="n">
        <f aca="false">IF(AX161="",0,MAX(0,MIN(1,(IF(CF161="L1",Parameter!$H$5,IF(CF161="L23",Parameter!$H$6+Parameter!$H$7,Parameter!$H$5+Parameter!$H$6+Parameter!$H$7))-(AX161-AS161))/AS161)))</f>
        <v>1</v>
      </c>
      <c r="AZ161" s="50" t="n">
        <f aca="false">IF(LEFT(Cockpit!$O$5,1)="A",H161,IF(Parameter!$E$30="MAX-Bestand",IF(CH161=1,CI161,IF(LEFT(Cockpit!$O$5,1)="B",BF161,MAX(BF161,H161))),ROUNDUP(BD161,0)))</f>
        <v>1</v>
      </c>
      <c r="BA161" s="50" t="n">
        <f aca="false">IF(BZ161=1,0,ROUNDUP(AZ161/BY161,0))</f>
        <v>1</v>
      </c>
      <c r="BB161" s="52" t="n">
        <f aca="false">IF(CQ161&gt;0,CQ161*MAX(1,AZ161/X161),IF(BZ161=1,IF(AZ161&lt;=0,0,CD161*MAX(1,IF(H161&gt;0,AZ161/H161,1))),IF(R161&gt;0,BA161/R161,0))/MAX(0.1,N(Parameter!$M$21)))</f>
        <v>0.25</v>
      </c>
      <c r="BC161" s="50" t="n">
        <f aca="false">BB161*CB161</f>
        <v>58.75</v>
      </c>
      <c r="BD161" s="51" t="n">
        <f aca="false">IF(LEFT(Cockpit!$O$5,1)="A",H161,IF(CH161=1,(CK161+CI161)/2,IF(LEFT(Cockpit!$O$5,1)="B",(CK161+BF161)/2,MAX((CK161+BF161)/2,H161))))</f>
        <v>0.5</v>
      </c>
      <c r="BE161" s="50" t="n">
        <f aca="false">BD161*G161</f>
        <v>25.5</v>
      </c>
      <c r="BF161" s="50" t="n">
        <f aca="false">ROUNDUP(CK161+MAX(CL161,2*(J161/IF(CG161&gt;0,CG161,MAX(0.1,N(Cockpit!$O$6)))-CK161)),0)</f>
        <v>1</v>
      </c>
      <c r="BG161" s="51" t="n">
        <f aca="false">IF(BC161&gt;0,J161/BC161,-1)</f>
        <v>0</v>
      </c>
      <c r="BH161" s="51" t="n">
        <f aca="false">IF(AND(OR(CF161="L1",CF161="L23",CF161="LIFT"),BC161&gt;0),SUMIFS($BC$7:$BC$1843,$CF$7:$CF$1843,CF161,$BG$7:$BG$1843,"&gt;"&amp;BG161)+SUMIFS($BC$7:$BC$1843,$CF$7:$CF$1843,CF161,$BG$7:$BG$1843,BG161,$BW$7:$BW$1843,"&lt;="&amp;BW161),"")</f>
        <v>26926.7123378034</v>
      </c>
      <c r="BI161" s="58" t="n">
        <f aca="false">IF(BH161="",0,MAX(0,MIN(1,(IF(CF161="L1",Parameter!$H$5,IF(CF161="L23",Parameter!$H$6+Parameter!$H$7,Parameter!$H$5+Parameter!$H$6+Parameter!$H$7))-(BH161-BC161))/BC161)))</f>
        <v>1</v>
      </c>
      <c r="BJ161" s="48" t="str">
        <f aca="false">IF(AI161&lt;=0,"",IF(CF161="Aussen","Aussenlager",IF(CF161="-","Nicht im Lift",IF(AO161&gt;=1,"Lift",IF(AO161&lt;=0,"Aussenlager","teilweise")))))</f>
        <v>Lift</v>
      </c>
      <c r="BK161" s="48" t="str">
        <f aca="false">IF(AS161&lt;=0,"",IF(CF161="Aussen","Aussenlager",IF(CF161="-","Nicht im Lift",IF(AY161&gt;=1,"Lift",IF(AY161&lt;=0,"Aussenlager","teilweise")))))</f>
        <v>Lift</v>
      </c>
      <c r="BL161" s="48" t="str">
        <f aca="false">IF(BC161&lt;=0,"",IF(CF161="Aussen","Aussenlager",IF(CF161="-","Nicht im Lift",IF(BI161&gt;=1,"Lift",IF(BI161&lt;=0,"Aussenlager","teilweise")))))</f>
        <v>Lift</v>
      </c>
      <c r="BM161" s="48" t="str">
        <f aca="false">IF(A161="","",IF(BV161=1,"Neu; ","")&amp;IF(AND(BV161=0,BQ161&lt;0),"negativer Bestand (Export "&amp;BQ161&amp;"); ","")&amp;IF(J161&lt;=0,"Kein Verbrauch; ","")&amp;IF(CQ161&gt;0,"Lift "&amp;W161&amp;" lt. Liftbericht (Fach "&amp;X161&amp;" Stk); ",IF(CA161=1,"Gebinde geschätzt ("&amp;T161&amp;"); ",IF(BZ161=1,"Lose – Tablare geschätzt; ","")))&amp;IF(H161&gt;AV161,"Überbestand "&amp;ROUND(H161-AV161,0)&amp;" Stk / CHF "&amp;ROUND((H161-AV161)*G161,0)&amp;"; ","")&amp;IF(AND(CH161=1,CI161&lt;CJ161),"MAX &lt; MB+LG; ","")&amp;IF(AND(CP161&gt;0,CO161*10&gt;CP161),"zu hoch für Tablar; ","")&amp;IF(AND(BV161=0,OR(CH161=1,AA161&lt;&gt;"",U161&lt;&gt;"",V161&lt;&gt;"",AB161&lt;&gt;"")),"manuell übersteuert; ","")&amp;IF(AND(BZ161=0,R161=0),"Gebinde unbekannt / Stellmass fehlt; ","")&amp;IF(AND(BZ161=0,N(V161)&lt;=0,N(Q161)&lt;=0),"Menge pro Gebinde fehlt (Ist = 1 Gebinde); ","")&amp;BU161)</f>
        <v>Kein Verbrauch; Gebinde geschätzt (Gross); Überbestand 23 Stk / CHF 1173; Menge pro Gebinde fehlt (Ist = 1 Gebinde); </v>
      </c>
      <c r="BN161" s="48"/>
      <c r="BO161" s="48"/>
      <c r="BP161" s="55"/>
      <c r="BQ161" s="50" t="n">
        <v>24</v>
      </c>
      <c r="BR161" s="50" t="n">
        <v>0</v>
      </c>
      <c r="BS161" s="49" t="n">
        <v>1224</v>
      </c>
      <c r="BT161" s="50" t="n">
        <v>0</v>
      </c>
      <c r="BU161" s="48"/>
      <c r="BV161" s="53" t="n">
        <v>0</v>
      </c>
      <c r="BW161" s="53" t="n">
        <v>161</v>
      </c>
      <c r="BX161" s="48" t="str">
        <f aca="false">IF(U161&lt;&gt;"",UPPER(TRIM(U161)),IF(CA161=1,UPPER(VLOOKUP(T161,Parameter!$I$27:$K$29,2,0)),IF(P161="","LOSE",P161)))</f>
        <v>S81</v>
      </c>
      <c r="BY161" s="50" t="n">
        <f aca="false">IF(BX161="LOSE",1,IF(N(V161)&gt;0,V161,IF(CA161=1,MAX(1,N(VLOOKUP(T161,Parameter!$I$27:$K$29,3,0)),H161,N(N161)),IF(N(Q161)&gt;0,Q161,MAX(1,H161)))))</f>
        <v>24</v>
      </c>
      <c r="BZ161" s="53" t="n">
        <f aca="false">IF(BX161="LOSE",1,0)</f>
        <v>0</v>
      </c>
      <c r="CA161" s="53" t="n">
        <f aca="false">IF(AND(U161="",OR(P161="",P161="LOSE"),T161&lt;&gt;"",N(S161)&lt;=0,ISNUMBER(MATCH(T161,Parameter!$I$27:$I$29,0))),1,0)</f>
        <v>1</v>
      </c>
      <c r="CB161" s="53" t="n">
        <f aca="false">IF(CQ161&gt;0,INDEX(Parameter!$H$5:$H$7,W161)/INDEX(Parameter!$E$5:$E$7,W161),IF(AND(BZ161=0,N(IFERROR(VLOOKUP(BX161,'Gebinde-Kategorie'!$A$5:$N$45,14,0),0))&gt;0),VLOOKUP(BX161,'Gebinde-Kategorie'!$A$5:$N$45,14,0)*10+Parameter!$M$23,Parameter!$M$24))</f>
        <v>235</v>
      </c>
      <c r="CC161" s="48" t="str">
        <f aca="false">IF(AND(Parameter!$B$19="Ja",E161&lt;&gt;"",ISNUMBER(MATCH(E161,Parameter!$I$35:$I$52,0))),VLOOKUP(E161,Parameter!$I$35:$J$52,2,0),IFERROR(VLOOKUP(D161,Parameter!$A$35:$C$64,2,0),"Nein"))</f>
        <v>2+3</v>
      </c>
      <c r="CD161" s="52" t="n">
        <f aca="false">IF(BZ161=0,0,IF(N(S161)&gt;0,S161,IFERROR(VLOOKUP(D161,Parameter!$A$35:$C$64,3,0)+0,0)))</f>
        <v>0</v>
      </c>
      <c r="CE161" s="48" t="n">
        <f aca="false">IF(AA161&lt;&gt;"",AA161,Z161)</f>
        <v>2</v>
      </c>
      <c r="CF161" s="48" t="str">
        <f aca="false">IF(OR(CE161=1,CE161=2,CE161=3),IF(Parameter!$E$27="Ja","LIFT",IF(CE161=1,"L1","L23")),IF(CE161="Aussen","Aussen","-"))</f>
        <v>LIFT</v>
      </c>
      <c r="CG161" s="59" t="n">
        <f aca="false">IF(N(AB161)&gt;0,AB161,0)</f>
        <v>0</v>
      </c>
      <c r="CH161" s="53" t="n">
        <f aca="false">IF(ISNUMBER(AE161),1,0)</f>
        <v>0</v>
      </c>
      <c r="CI161" s="50" t="n">
        <f aca="false">N(AE161)</f>
        <v>0</v>
      </c>
      <c r="CJ161" s="50" t="n">
        <f aca="false">N(M161)+N(N161)</f>
        <v>1</v>
      </c>
      <c r="CK161" s="50" t="n">
        <f aca="false">N(M161)</f>
        <v>0</v>
      </c>
      <c r="CL161" s="50" t="n">
        <f aca="false">N(N161)</f>
        <v>1</v>
      </c>
      <c r="CM161" s="50" t="n">
        <f aca="false">ROUNDUP(H161/BY161,0)</f>
        <v>1</v>
      </c>
      <c r="CN161" s="50" t="n">
        <f aca="false">ROUNDUP(CI161/BY161,0)</f>
        <v>0</v>
      </c>
      <c r="CO161" s="53" t="n">
        <f aca="false">IF(BZ161=1,0,IFERROR(VLOOKUP(BX161,'Gebinde-Kategorie'!$A$5:$N$45,5,0)+0,0))</f>
        <v>20</v>
      </c>
      <c r="CP161" s="53" t="n">
        <f aca="false">IFERROR(IF(OR(CE161=1,CE161=2,CE161=3),N(INDEX(Parameter!$I$5:$I$7,CE161)),0),0)</f>
        <v>0</v>
      </c>
      <c r="CQ161" s="52" t="n">
        <f aca="false">IF(AND(Parameter!$B$21="Ja",ISNUMBER(W161),N(X161)&gt;0),IFERROR(N(INDEX(Parameter!$L$5:$L$7,W161))*INDEX(Parameter!$E$5:$E$7,W161)*X161/SUMIFS($X$7:$X$1843,$W$7:$W$1843,W161),0),0)</f>
        <v>0</v>
      </c>
    </row>
    <row r="162" customFormat="false" ht="15" hidden="false" customHeight="false" outlineLevel="0" collapsed="false">
      <c r="A162" s="48" t="s">
        <v>540</v>
      </c>
      <c r="B162" s="48" t="s">
        <v>541</v>
      </c>
      <c r="C162" s="48" t="s">
        <v>173</v>
      </c>
      <c r="D162" s="48" t="s">
        <v>193</v>
      </c>
      <c r="E162" s="48"/>
      <c r="F162" s="48" t="s">
        <v>227</v>
      </c>
      <c r="G162" s="49" t="n">
        <v>10.02</v>
      </c>
      <c r="H162" s="50" t="n">
        <f aca="false">MAX(0,IF(AND(Parameter!$B$21="Ja",ISNUMBER(Y162)),Y162,IF(Parameter!$B$20="Jahresanfang 2025 + Export",BR162+BQ162,BQ162)))</f>
        <v>173</v>
      </c>
      <c r="I162" s="50" t="n">
        <f aca="false">H162*G162</f>
        <v>1733.46</v>
      </c>
      <c r="J162" s="50" t="n">
        <f aca="false">BT162*Parameter!$B$18</f>
        <v>153</v>
      </c>
      <c r="K162" s="51" t="n">
        <v>52</v>
      </c>
      <c r="L162" s="52" t="n">
        <v>2.94230769230769</v>
      </c>
      <c r="M162" s="50" t="n">
        <v>26</v>
      </c>
      <c r="N162" s="50" t="n">
        <v>155</v>
      </c>
      <c r="O162" s="53" t="n">
        <v>63</v>
      </c>
      <c r="P162" s="48" t="s">
        <v>337</v>
      </c>
      <c r="Q162" s="50" t="n">
        <v>40</v>
      </c>
      <c r="R162" s="53" t="n">
        <f aca="false">IF(BZ162=1,0,IFERROR(VLOOKUP(BX162,'Gebinde-Kategorie'!$A$5:$N$45,13,0)+0,0))</f>
        <v>52</v>
      </c>
      <c r="S162" s="54"/>
      <c r="T162" s="55"/>
      <c r="U162" s="55"/>
      <c r="V162" s="55"/>
      <c r="W162" s="48"/>
      <c r="X162" s="50"/>
      <c r="Y162" s="50"/>
      <c r="Z162" s="48" t="n">
        <f aca="false">IF(A162="","",IF(AND(Parameter!$B$21="Ja",ISNUMBER(W162)),W162,IF(CC162="2+3",IF(ISNUMBER(SEARCH("grosser Artikel",BU162)),2,IFERROR(VLOOKUP(BX162,Parameter!$F$35:$G$64,2,0),2)),IF(OR(CC162="Nein",CC162=""),"-",CC162))))</f>
        <v>3</v>
      </c>
      <c r="AA162" s="55"/>
      <c r="AB162" s="56"/>
      <c r="AC162" s="50" t="n">
        <f aca="false">AV162</f>
        <v>181</v>
      </c>
      <c r="AD162" s="50" t="n">
        <f aca="false">MAX(AV162,H162)</f>
        <v>181</v>
      </c>
      <c r="AE162" s="57"/>
      <c r="AF162" s="50" t="n">
        <f aca="false">IF(LEFT(Cockpit!$C$5,1)="A",H162,IF(Parameter!$E$30="MAX-Bestand",IF(CH162=1,CI162,IF(LEFT(Cockpit!$C$5,1)="B",AL162,MAX(AL162,H162))),ROUNDUP(AJ162,0)))</f>
        <v>173</v>
      </c>
      <c r="AG162" s="50" t="n">
        <f aca="false">IF(BZ162=1,0,ROUNDUP(AF162/BY162,0))</f>
        <v>5</v>
      </c>
      <c r="AH162" s="52" t="n">
        <f aca="false">IF(CQ162&gt;0,CQ162*MAX(1,AF162/X162),IF(BZ162=1,IF(AF162&lt;=0,0,CD162*MAX(1,IF(H162&gt;0,AF162/H162,1))),IF(R162&gt;0,AG162/R162,0))/MAX(0.1,N(Parameter!$M$21)))</f>
        <v>0.0961538461538462</v>
      </c>
      <c r="AI162" s="50" t="n">
        <f aca="false">AH162*CB162</f>
        <v>14.9038461538462</v>
      </c>
      <c r="AJ162" s="51" t="n">
        <f aca="false">IF(LEFT(Cockpit!$C$5,1)="A",H162,IF(CH162=1,(CK162+CI162)/2,IF(LEFT(Cockpit!$C$5,1)="B",(CK162+AL162)/2,MAX((CK162+AL162)/2,H162))))</f>
        <v>173</v>
      </c>
      <c r="AK162" s="50" t="n">
        <f aca="false">AJ162*G162</f>
        <v>1733.46</v>
      </c>
      <c r="AL162" s="50" t="n">
        <f aca="false">ROUNDUP(CK162+MAX(CL162,2*(J162/IF(CG162&gt;0,CG162,MAX(0.1,N(Cockpit!$C$6)))-CK162)),0)</f>
        <v>181</v>
      </c>
      <c r="AM162" s="51" t="n">
        <f aca="false">IF(AI162&gt;0,J162/AI162,-1)</f>
        <v>10.2658064516129</v>
      </c>
      <c r="AN162" s="51" t="n">
        <f aca="false">IF(AND(OR(CF162="L1",CF162="L23",CF162="LIFT"),AI162&gt;0),SUMIFS($AI$7:$AI$1843,$CF$7:$CF$1843,CF162,$AM$7:$AM$1843,"&gt;"&amp;AM162)+SUMIFS($AI$7:$AI$1843,$CF$7:$CF$1843,CF162,$AM$7:$AM$1843,AM162,$BW$7:$BW$1843,"&lt;="&amp;BW162),"")</f>
        <v>2597.66117216117</v>
      </c>
      <c r="AO162" s="58" t="n">
        <f aca="false">IF(AN162="",0,MAX(0,MIN(1,(IF(CF162="L1",Parameter!$H$5,IF(CF162="L23",Parameter!$H$6+Parameter!$H$7,Parameter!$H$5+Parameter!$H$6+Parameter!$H$7))-(AN162-AI162))/AI162)))</f>
        <v>1</v>
      </c>
      <c r="AP162" s="50" t="n">
        <f aca="false">IF(LEFT(Cockpit!$I$5,1)="A",H162,IF(Parameter!$E$30="MAX-Bestand",IF(CH162=1,CI162,IF(LEFT(Cockpit!$I$5,1)="B",AV162,MAX(AV162,H162))),ROUNDUP(AT162,0)))</f>
        <v>173</v>
      </c>
      <c r="AQ162" s="50" t="n">
        <f aca="false">IF(BZ162=1,0,ROUNDUP(AP162/BY162,0))</f>
        <v>5</v>
      </c>
      <c r="AR162" s="52" t="n">
        <f aca="false">IF(CQ162&gt;0,CQ162*MAX(1,AP162/X162),IF(BZ162=1,IF(AP162&lt;=0,0,CD162*MAX(1,IF(H162&gt;0,AP162/H162,1))),IF(R162&gt;0,AQ162/R162,0))/MAX(0.1,N(Parameter!$M$21)))</f>
        <v>0.0961538461538462</v>
      </c>
      <c r="AS162" s="50" t="n">
        <f aca="false">AR162*CB162</f>
        <v>14.9038461538462</v>
      </c>
      <c r="AT162" s="51" t="n">
        <f aca="false">IF(LEFT(Cockpit!$I$5,1)="A",H162,IF(CH162=1,(CK162+CI162)/2,IF(LEFT(Cockpit!$I$5,1)="B",(CK162+AV162)/2,MAX((CK162+AV162)/2,H162))))</f>
        <v>173</v>
      </c>
      <c r="AU162" s="50" t="n">
        <f aca="false">AT162*G162</f>
        <v>1733.46</v>
      </c>
      <c r="AV162" s="50" t="n">
        <f aca="false">ROUNDUP(CK162+MAX(CL162,2*(J162/IF(CG162&gt;0,CG162,MAX(0.1,N(Cockpit!$I$6)))-CK162)),0)</f>
        <v>181</v>
      </c>
      <c r="AW162" s="51" t="n">
        <f aca="false">IF(AS162&gt;0,J162/AS162,-1)</f>
        <v>10.2658064516129</v>
      </c>
      <c r="AX162" s="51" t="n">
        <f aca="false">IF(AND(OR(CF162="L1",CF162="L23",CF162="LIFT"),AS162&gt;0),SUMIFS($AS$7:$AS$1843,$CF$7:$CF$1843,CF162,$AW$7:$AW$1843,"&gt;"&amp;AW162)+SUMIFS($AS$7:$AS$1843,$CF$7:$CF$1843,CF162,$AW$7:$AW$1843,AW162,$BW$7:$BW$1843,"&lt;="&amp;BW162),"")</f>
        <v>3193.80311355311</v>
      </c>
      <c r="AY162" s="58" t="n">
        <f aca="false">IF(AX162="",0,MAX(0,MIN(1,(IF(CF162="L1",Parameter!$H$5,IF(CF162="L23",Parameter!$H$6+Parameter!$H$7,Parameter!$H$5+Parameter!$H$6+Parameter!$H$7))-(AX162-AS162))/AS162)))</f>
        <v>1</v>
      </c>
      <c r="AZ162" s="50" t="n">
        <f aca="false">IF(LEFT(Cockpit!$O$5,1)="A",H162,IF(Parameter!$E$30="MAX-Bestand",IF(CH162=1,CI162,IF(LEFT(Cockpit!$O$5,1)="B",BF162,MAX(BF162,H162))),ROUNDUP(BD162,0)))</f>
        <v>104</v>
      </c>
      <c r="BA162" s="50" t="n">
        <f aca="false">IF(BZ162=1,0,ROUNDUP(AZ162/BY162,0))</f>
        <v>3</v>
      </c>
      <c r="BB162" s="52" t="n">
        <f aca="false">IF(CQ162&gt;0,CQ162*MAX(1,AZ162/X162),IF(BZ162=1,IF(AZ162&lt;=0,0,CD162*MAX(1,IF(H162&gt;0,AZ162/H162,1))),IF(R162&gt;0,BA162/R162,0))/MAX(0.1,N(Parameter!$M$21)))</f>
        <v>0.0576923076923077</v>
      </c>
      <c r="BC162" s="50" t="n">
        <f aca="false">BB162*CB162</f>
        <v>8.94230769230769</v>
      </c>
      <c r="BD162" s="51" t="n">
        <f aca="false">IF(LEFT(Cockpit!$O$5,1)="A",H162,IF(CH162=1,(CK162+CI162)/2,IF(LEFT(Cockpit!$O$5,1)="B",(CK162+BF162)/2,MAX((CK162+BF162)/2,H162))))</f>
        <v>103.5</v>
      </c>
      <c r="BE162" s="50" t="n">
        <f aca="false">BD162*G162</f>
        <v>1037.07</v>
      </c>
      <c r="BF162" s="50" t="n">
        <f aca="false">ROUNDUP(CK162+MAX(CL162,2*(J162/IF(CG162&gt;0,CG162,MAX(0.1,N(Cockpit!$O$6)))-CK162)),0)</f>
        <v>181</v>
      </c>
      <c r="BG162" s="51" t="n">
        <f aca="false">IF(BC162&gt;0,J162/BC162,-1)</f>
        <v>17.1096774193548</v>
      </c>
      <c r="BH162" s="51" t="n">
        <f aca="false">IF(AND(OR(CF162="L1",CF162="L23",CF162="LIFT"),BC162&gt;0),SUMIFS($BC$7:$BC$1843,$CF$7:$CF$1843,CF162,$BG$7:$BG$1843,"&gt;"&amp;BG162)+SUMIFS($BC$7:$BC$1843,$CF$7:$CF$1843,CF162,$BG$7:$BG$1843,BG162,$BW$7:$BW$1843,"&lt;="&amp;BW162),"")</f>
        <v>2331.38186813187</v>
      </c>
      <c r="BI162" s="58" t="n">
        <f aca="false">IF(BH162="",0,MAX(0,MIN(1,(IF(CF162="L1",Parameter!$H$5,IF(CF162="L23",Parameter!$H$6+Parameter!$H$7,Parameter!$H$5+Parameter!$H$6+Parameter!$H$7))-(BH162-BC162))/BC162)))</f>
        <v>1</v>
      </c>
      <c r="BJ162" s="48" t="str">
        <f aca="false">IF(AI162&lt;=0,"",IF(CF162="Aussen","Aussenlager",IF(CF162="-","Nicht im Lift",IF(AO162&gt;=1,"Lift",IF(AO162&lt;=0,"Aussenlager","teilweise")))))</f>
        <v>Lift</v>
      </c>
      <c r="BK162" s="48" t="str">
        <f aca="false">IF(AS162&lt;=0,"",IF(CF162="Aussen","Aussenlager",IF(CF162="-","Nicht im Lift",IF(AY162&gt;=1,"Lift",IF(AY162&lt;=0,"Aussenlager","teilweise")))))</f>
        <v>Lift</v>
      </c>
      <c r="BL162" s="48" t="str">
        <f aca="false">IF(BC162&lt;=0,"",IF(CF162="Aussen","Aussenlager",IF(CF162="-","Nicht im Lift",IF(BI162&gt;=1,"Lift",IF(BI162&lt;=0,"Aussenlager","teilweise")))))</f>
        <v>Lift</v>
      </c>
      <c r="BM162" s="48" t="str">
        <f aca="false">IF(A162="","",IF(BV162=1,"Neu; ","")&amp;IF(AND(BV162=0,BQ162&lt;0),"negativer Bestand (Export "&amp;BQ162&amp;"); ","")&amp;IF(J162&lt;=0,"Kein Verbrauch; ","")&amp;IF(CQ162&gt;0,"Lift "&amp;W162&amp;" lt. Liftbericht (Fach "&amp;X162&amp;" Stk); ",IF(CA162=1,"Gebinde geschätzt ("&amp;T162&amp;"); ",IF(BZ162=1,"Lose – Tablare geschätzt; ","")))&amp;IF(H162&gt;AV162,"Überbestand "&amp;ROUND(H162-AV162,0)&amp;" Stk / CHF "&amp;ROUND((H162-AV162)*G162,0)&amp;"; ","")&amp;IF(AND(CH162=1,CI162&lt;CJ162),"MAX &lt; MB+LG; ","")&amp;IF(AND(CP162&gt;0,CO162*10&gt;CP162),"zu hoch für Tablar; ","")&amp;IF(AND(BV162=0,OR(CH162=1,AA162&lt;&gt;"",U162&lt;&gt;"",V162&lt;&gt;"",AB162&lt;&gt;"")),"manuell übersteuert; ","")&amp;IF(AND(BZ162=0,R162=0),"Gebinde unbekannt / Stellmass fehlt; ","")&amp;IF(AND(BZ162=0,N(V162)&lt;=0,N(Q162)&lt;=0),"Menge pro Gebinde fehlt (Ist = 1 Gebinde); ","")&amp;BU162)</f>
        <v/>
      </c>
      <c r="BN162" s="48"/>
      <c r="BO162" s="48"/>
      <c r="BP162" s="55"/>
      <c r="BQ162" s="50" t="n">
        <v>122</v>
      </c>
      <c r="BR162" s="50" t="n">
        <v>51</v>
      </c>
      <c r="BS162" s="49" t="n">
        <v>1214.28</v>
      </c>
      <c r="BT162" s="50" t="n">
        <v>153</v>
      </c>
      <c r="BU162" s="48"/>
      <c r="BV162" s="53" t="n">
        <v>0</v>
      </c>
      <c r="BW162" s="53" t="n">
        <v>162</v>
      </c>
      <c r="BX162" s="48" t="str">
        <f aca="false">IF(U162&lt;&gt;"",UPPER(TRIM(U162)),IF(CA162=1,UPPER(VLOOKUP(T162,Parameter!$I$27:$K$29,2,0)),IF(P162="","LOSE",P162)))</f>
        <v>S41</v>
      </c>
      <c r="BY162" s="50" t="n">
        <f aca="false">IF(BX162="LOSE",1,IF(N(V162)&gt;0,V162,IF(CA162=1,MAX(1,N(VLOOKUP(T162,Parameter!$I$27:$K$29,3,0)),H162,N(N162)),IF(N(Q162)&gt;0,Q162,MAX(1,H162)))))</f>
        <v>40</v>
      </c>
      <c r="BZ162" s="53" t="n">
        <f aca="false">IF(BX162="LOSE",1,0)</f>
        <v>0</v>
      </c>
      <c r="CA162" s="53" t="n">
        <f aca="false">IF(AND(U162="",OR(P162="",P162="LOSE"),T162&lt;&gt;"",N(S162)&lt;=0,ISNUMBER(MATCH(T162,Parameter!$I$27:$I$29,0))),1,0)</f>
        <v>0</v>
      </c>
      <c r="CB162" s="53" t="n">
        <f aca="false">IF(CQ162&gt;0,INDEX(Parameter!$H$5:$H$7,W162)/INDEX(Parameter!$E$5:$E$7,W162),IF(AND(BZ162=0,N(IFERROR(VLOOKUP(BX162,'Gebinde-Kategorie'!$A$5:$N$45,14,0),0))&gt;0),VLOOKUP(BX162,'Gebinde-Kategorie'!$A$5:$N$45,14,0)*10+Parameter!$M$23,Parameter!$M$24))</f>
        <v>155</v>
      </c>
      <c r="CC162" s="48" t="str">
        <f aca="false">IF(AND(Parameter!$B$19="Ja",E162&lt;&gt;"",ISNUMBER(MATCH(E162,Parameter!$I$35:$I$52,0))),VLOOKUP(E162,Parameter!$I$35:$J$52,2,0),IFERROR(VLOOKUP(D162,Parameter!$A$35:$C$64,2,0),"Nein"))</f>
        <v>2+3</v>
      </c>
      <c r="CD162" s="52" t="n">
        <f aca="false">IF(BZ162=0,0,IF(N(S162)&gt;0,S162,IFERROR(VLOOKUP(D162,Parameter!$A$35:$C$64,3,0)+0,0)))</f>
        <v>0</v>
      </c>
      <c r="CE162" s="48" t="n">
        <f aca="false">IF(AA162&lt;&gt;"",AA162,Z162)</f>
        <v>3</v>
      </c>
      <c r="CF162" s="48" t="str">
        <f aca="false">IF(OR(CE162=1,CE162=2,CE162=3),IF(Parameter!$E$27="Ja","LIFT",IF(CE162=1,"L1","L23")),IF(CE162="Aussen","Aussen","-"))</f>
        <v>LIFT</v>
      </c>
      <c r="CG162" s="59" t="n">
        <f aca="false">IF(N(AB162)&gt;0,AB162,0)</f>
        <v>0</v>
      </c>
      <c r="CH162" s="53" t="n">
        <f aca="false">IF(ISNUMBER(AE162),1,0)</f>
        <v>0</v>
      </c>
      <c r="CI162" s="50" t="n">
        <f aca="false">N(AE162)</f>
        <v>0</v>
      </c>
      <c r="CJ162" s="50" t="n">
        <f aca="false">N(M162)+N(N162)</f>
        <v>181</v>
      </c>
      <c r="CK162" s="50" t="n">
        <f aca="false">N(M162)</f>
        <v>26</v>
      </c>
      <c r="CL162" s="50" t="n">
        <f aca="false">N(N162)</f>
        <v>155</v>
      </c>
      <c r="CM162" s="50" t="n">
        <f aca="false">ROUNDUP(H162/BY162,0)</f>
        <v>5</v>
      </c>
      <c r="CN162" s="50" t="n">
        <f aca="false">ROUNDUP(CI162/BY162,0)</f>
        <v>0</v>
      </c>
      <c r="CO162" s="53" t="n">
        <f aca="false">IF(BZ162=1,0,IFERROR(VLOOKUP(BX162,'Gebinde-Kategorie'!$A$5:$N$45,5,0)+0,0))</f>
        <v>11</v>
      </c>
      <c r="CP162" s="53" t="n">
        <f aca="false">IFERROR(IF(OR(CE162=1,CE162=2,CE162=3),N(INDEX(Parameter!$I$5:$I$7,CE162)),0),0)</f>
        <v>0</v>
      </c>
      <c r="CQ162" s="52" t="n">
        <f aca="false">IF(AND(Parameter!$B$21="Ja",ISNUMBER(W162),N(X162)&gt;0),IFERROR(N(INDEX(Parameter!$L$5:$L$7,W162))*INDEX(Parameter!$E$5:$E$7,W162)*X162/SUMIFS($X$7:$X$1843,$W$7:$W$1843,W162),0),0)</f>
        <v>0</v>
      </c>
    </row>
    <row r="163" customFormat="false" ht="15" hidden="false" customHeight="false" outlineLevel="0" collapsed="false">
      <c r="A163" s="48" t="s">
        <v>542</v>
      </c>
      <c r="B163" s="48" t="s">
        <v>498</v>
      </c>
      <c r="C163" s="48" t="s">
        <v>173</v>
      </c>
      <c r="D163" s="48" t="s">
        <v>193</v>
      </c>
      <c r="E163" s="48" t="s">
        <v>194</v>
      </c>
      <c r="F163" s="48" t="s">
        <v>227</v>
      </c>
      <c r="G163" s="49" t="n">
        <v>1.8</v>
      </c>
      <c r="H163" s="50" t="n">
        <f aca="false">MAX(0,IF(AND(Parameter!$B$21="Ja",ISNUMBER(Y163)),Y163,IF(Parameter!$B$20="Jahresanfang 2025 + Export",BR163+BQ163,BQ163)))</f>
        <v>776</v>
      </c>
      <c r="I163" s="50" t="n">
        <f aca="false">H163*G163</f>
        <v>1396.8</v>
      </c>
      <c r="J163" s="50" t="n">
        <f aca="false">BT163*Parameter!$B$18</f>
        <v>985</v>
      </c>
      <c r="K163" s="51" t="n">
        <v>215</v>
      </c>
      <c r="L163" s="52" t="n">
        <v>4.58139534883721</v>
      </c>
      <c r="M163" s="50" t="n">
        <v>38</v>
      </c>
      <c r="N163" s="50" t="n">
        <v>985</v>
      </c>
      <c r="O163" s="53" t="n">
        <v>14</v>
      </c>
      <c r="P163" s="48" t="s">
        <v>337</v>
      </c>
      <c r="Q163" s="50" t="n">
        <v>388</v>
      </c>
      <c r="R163" s="53" t="n">
        <f aca="false">IF(BZ163=1,0,IFERROR(VLOOKUP(BX163,'Gebinde-Kategorie'!$A$5:$N$45,13,0)+0,0))</f>
        <v>52</v>
      </c>
      <c r="S163" s="54"/>
      <c r="T163" s="55"/>
      <c r="U163" s="55"/>
      <c r="V163" s="55"/>
      <c r="W163" s="48"/>
      <c r="X163" s="50"/>
      <c r="Y163" s="50"/>
      <c r="Z163" s="48" t="n">
        <f aca="false">IF(A163="","",IF(AND(Parameter!$B$21="Ja",ISNUMBER(W163)),W163,IF(CC163="2+3",IF(ISNUMBER(SEARCH("grosser Artikel",BU163)),2,IFERROR(VLOOKUP(BX163,Parameter!$F$35:$G$64,2,0),2)),IF(OR(CC163="Nein",CC163=""),"-",CC163))))</f>
        <v>3</v>
      </c>
      <c r="AA163" s="55"/>
      <c r="AB163" s="56"/>
      <c r="AC163" s="50" t="n">
        <f aca="false">AV163</f>
        <v>1023</v>
      </c>
      <c r="AD163" s="50" t="n">
        <f aca="false">MAX(AV163,H163)</f>
        <v>1023</v>
      </c>
      <c r="AE163" s="57"/>
      <c r="AF163" s="50" t="n">
        <f aca="false">IF(LEFT(Cockpit!$C$5,1)="A",H163,IF(Parameter!$E$30="MAX-Bestand",IF(CH163=1,CI163,IF(LEFT(Cockpit!$C$5,1)="B",AL163,MAX(AL163,H163))),ROUNDUP(AJ163,0)))</f>
        <v>776</v>
      </c>
      <c r="AG163" s="50" t="n">
        <f aca="false">IF(BZ163=1,0,ROUNDUP(AF163/BY163,0))</f>
        <v>2</v>
      </c>
      <c r="AH163" s="52" t="n">
        <f aca="false">IF(CQ163&gt;0,CQ163*MAX(1,AF163/X163),IF(BZ163=1,IF(AF163&lt;=0,0,CD163*MAX(1,IF(H163&gt;0,AF163/H163,1))),IF(R163&gt;0,AG163/R163,0))/MAX(0.1,N(Parameter!$M$21)))</f>
        <v>0.0384615384615385</v>
      </c>
      <c r="AI163" s="50" t="n">
        <f aca="false">AH163*CB163</f>
        <v>5.96153846153846</v>
      </c>
      <c r="AJ163" s="51" t="n">
        <f aca="false">IF(LEFT(Cockpit!$C$5,1)="A",H163,IF(CH163=1,(CK163+CI163)/2,IF(LEFT(Cockpit!$C$5,1)="B",(CK163+AL163)/2,MAX((CK163+AL163)/2,H163))))</f>
        <v>776</v>
      </c>
      <c r="AK163" s="50" t="n">
        <f aca="false">AJ163*G163</f>
        <v>1396.8</v>
      </c>
      <c r="AL163" s="50" t="n">
        <f aca="false">ROUNDUP(CK163+MAX(CL163,2*(J163/IF(CG163&gt;0,CG163,MAX(0.1,N(Cockpit!$C$6)))-CK163)),0)</f>
        <v>1023</v>
      </c>
      <c r="AM163" s="51" t="n">
        <f aca="false">IF(AI163&gt;0,J163/AI163,-1)</f>
        <v>165.225806451613</v>
      </c>
      <c r="AN163" s="51" t="n">
        <f aca="false">IF(AND(OR(CF163="L1",CF163="L23",CF163="LIFT"),AI163&gt;0),SUMIFS($AI$7:$AI$1843,$CF$7:$CF$1843,CF163,$AM$7:$AM$1843,"&gt;"&amp;AM163)+SUMIFS($AI$7:$AI$1843,$CF$7:$CF$1843,CF163,$AM$7:$AM$1843,AM163,$BW$7:$BW$1843,"&lt;="&amp;BW163),"")</f>
        <v>414.346611721612</v>
      </c>
      <c r="AO163" s="58" t="n">
        <f aca="false">IF(AN163="",0,MAX(0,MIN(1,(IF(CF163="L1",Parameter!$H$5,IF(CF163="L23",Parameter!$H$6+Parameter!$H$7,Parameter!$H$5+Parameter!$H$6+Parameter!$H$7))-(AN163-AI163))/AI163)))</f>
        <v>1</v>
      </c>
      <c r="AP163" s="50" t="n">
        <f aca="false">IF(LEFT(Cockpit!$I$5,1)="A",H163,IF(Parameter!$E$30="MAX-Bestand",IF(CH163=1,CI163,IF(LEFT(Cockpit!$I$5,1)="B",AV163,MAX(AV163,H163))),ROUNDUP(AT163,0)))</f>
        <v>776</v>
      </c>
      <c r="AQ163" s="50" t="n">
        <f aca="false">IF(BZ163=1,0,ROUNDUP(AP163/BY163,0))</f>
        <v>2</v>
      </c>
      <c r="AR163" s="52" t="n">
        <f aca="false">IF(CQ163&gt;0,CQ163*MAX(1,AP163/X163),IF(BZ163=1,IF(AP163&lt;=0,0,CD163*MAX(1,IF(H163&gt;0,AP163/H163,1))),IF(R163&gt;0,AQ163/R163,0))/MAX(0.1,N(Parameter!$M$21)))</f>
        <v>0.0384615384615385</v>
      </c>
      <c r="AS163" s="50" t="n">
        <f aca="false">AR163*CB163</f>
        <v>5.96153846153846</v>
      </c>
      <c r="AT163" s="51" t="n">
        <f aca="false">IF(LEFT(Cockpit!$I$5,1)="A",H163,IF(CH163=1,(CK163+CI163)/2,IF(LEFT(Cockpit!$I$5,1)="B",(CK163+AV163)/2,MAX((CK163+AV163)/2,H163))))</f>
        <v>776</v>
      </c>
      <c r="AU163" s="50" t="n">
        <f aca="false">AT163*G163</f>
        <v>1396.8</v>
      </c>
      <c r="AV163" s="50" t="n">
        <f aca="false">ROUNDUP(CK163+MAX(CL163,2*(J163/IF(CG163&gt;0,CG163,MAX(0.1,N(Cockpit!$I$6)))-CK163)),0)</f>
        <v>1023</v>
      </c>
      <c r="AW163" s="51" t="n">
        <f aca="false">IF(AS163&gt;0,J163/AS163,-1)</f>
        <v>165.225806451613</v>
      </c>
      <c r="AX163" s="51" t="n">
        <f aca="false">IF(AND(OR(CF163="L1",CF163="L23",CF163="LIFT"),AS163&gt;0),SUMIFS($AS$7:$AS$1843,$CF$7:$CF$1843,CF163,$AW$7:$AW$1843,"&gt;"&amp;AW163)+SUMIFS($AS$7:$AS$1843,$CF$7:$CF$1843,CF163,$AW$7:$AW$1843,AW163,$BW$7:$BW$1843,"&lt;="&amp;BW163),"")</f>
        <v>531.983516483517</v>
      </c>
      <c r="AY163" s="58" t="n">
        <f aca="false">IF(AX163="",0,MAX(0,MIN(1,(IF(CF163="L1",Parameter!$H$5,IF(CF163="L23",Parameter!$H$6+Parameter!$H$7,Parameter!$H$5+Parameter!$H$6+Parameter!$H$7))-(AX163-AS163))/AS163)))</f>
        <v>1</v>
      </c>
      <c r="AZ163" s="50" t="n">
        <f aca="false">IF(LEFT(Cockpit!$O$5,1)="A",H163,IF(Parameter!$E$30="MAX-Bestand",IF(CH163=1,CI163,IF(LEFT(Cockpit!$O$5,1)="B",BF163,MAX(BF163,H163))),ROUNDUP(BD163,0)))</f>
        <v>531</v>
      </c>
      <c r="BA163" s="50" t="n">
        <f aca="false">IF(BZ163=1,0,ROUNDUP(AZ163/BY163,0))</f>
        <v>2</v>
      </c>
      <c r="BB163" s="52" t="n">
        <f aca="false">IF(CQ163&gt;0,CQ163*MAX(1,AZ163/X163),IF(BZ163=1,IF(AZ163&lt;=0,0,CD163*MAX(1,IF(H163&gt;0,AZ163/H163,1))),IF(R163&gt;0,BA163/R163,0))/MAX(0.1,N(Parameter!$M$21)))</f>
        <v>0.0384615384615385</v>
      </c>
      <c r="BC163" s="50" t="n">
        <f aca="false">BB163*CB163</f>
        <v>5.96153846153846</v>
      </c>
      <c r="BD163" s="51" t="n">
        <f aca="false">IF(LEFT(Cockpit!$O$5,1)="A",H163,IF(CH163=1,(CK163+CI163)/2,IF(LEFT(Cockpit!$O$5,1)="B",(CK163+BF163)/2,MAX((CK163+BF163)/2,H163))))</f>
        <v>530.5</v>
      </c>
      <c r="BE163" s="50" t="n">
        <f aca="false">BD163*G163</f>
        <v>954.9</v>
      </c>
      <c r="BF163" s="50" t="n">
        <f aca="false">ROUNDUP(CK163+MAX(CL163,2*(J163/IF(CG163&gt;0,CG163,MAX(0.1,N(Cockpit!$O$6)))-CK163)),0)</f>
        <v>1023</v>
      </c>
      <c r="BG163" s="51" t="n">
        <f aca="false">IF(BC163&gt;0,J163/BC163,-1)</f>
        <v>165.225806451613</v>
      </c>
      <c r="BH163" s="51" t="n">
        <f aca="false">IF(AND(OR(CF163="L1",CF163="L23",CF163="LIFT"),BC163&gt;0),SUMIFS($BC$7:$BC$1843,$CF$7:$CF$1843,CF163,$BG$7:$BG$1843,"&gt;"&amp;BG163)+SUMIFS($BC$7:$BC$1843,$CF$7:$CF$1843,CF163,$BG$7:$BG$1843,BG163,$BW$7:$BW$1843,"&lt;="&amp;BW163),"")</f>
        <v>526.163461538462</v>
      </c>
      <c r="BI163" s="58" t="n">
        <f aca="false">IF(BH163="",0,MAX(0,MIN(1,(IF(CF163="L1",Parameter!$H$5,IF(CF163="L23",Parameter!$H$6+Parameter!$H$7,Parameter!$H$5+Parameter!$H$6+Parameter!$H$7))-(BH163-BC163))/BC163)))</f>
        <v>1</v>
      </c>
      <c r="BJ163" s="48" t="str">
        <f aca="false">IF(AI163&lt;=0,"",IF(CF163="Aussen","Aussenlager",IF(CF163="-","Nicht im Lift",IF(AO163&gt;=1,"Lift",IF(AO163&lt;=0,"Aussenlager","teilweise")))))</f>
        <v>Lift</v>
      </c>
      <c r="BK163" s="48" t="str">
        <f aca="false">IF(AS163&lt;=0,"",IF(CF163="Aussen","Aussenlager",IF(CF163="-","Nicht im Lift",IF(AY163&gt;=1,"Lift",IF(AY163&lt;=0,"Aussenlager","teilweise")))))</f>
        <v>Lift</v>
      </c>
      <c r="BL163" s="48" t="str">
        <f aca="false">IF(BC163&lt;=0,"",IF(CF163="Aussen","Aussenlager",IF(CF163="-","Nicht im Lift",IF(BI163&gt;=1,"Lift",IF(BI163&lt;=0,"Aussenlager","teilweise")))))</f>
        <v>Lift</v>
      </c>
      <c r="BM163" s="48" t="str">
        <f aca="false">IF(A163="","",IF(BV163=1,"Neu; ","")&amp;IF(AND(BV163=0,BQ163&lt;0),"negativer Bestand (Export "&amp;BQ163&amp;"); ","")&amp;IF(J163&lt;=0,"Kein Verbrauch; ","")&amp;IF(CQ163&gt;0,"Lift "&amp;W163&amp;" lt. Liftbericht (Fach "&amp;X163&amp;" Stk); ",IF(CA163=1,"Gebinde geschätzt ("&amp;T163&amp;"); ",IF(BZ163=1,"Lose – Tablare geschätzt; ","")))&amp;IF(H163&gt;AV163,"Überbestand "&amp;ROUND(H163-AV163,0)&amp;" Stk / CHF "&amp;ROUND((H163-AV163)*G163,0)&amp;"; ","")&amp;IF(AND(CH163=1,CI163&lt;CJ163),"MAX &lt; MB+LG; ","")&amp;IF(AND(CP163&gt;0,CO163*10&gt;CP163),"zu hoch für Tablar; ","")&amp;IF(AND(BV163=0,OR(CH163=1,AA163&lt;&gt;"",U163&lt;&gt;"",V163&lt;&gt;"",AB163&lt;&gt;"")),"manuell übersteuert; ","")&amp;IF(AND(BZ163=0,R163=0),"Gebinde unbekannt / Stellmass fehlt; ","")&amp;IF(AND(BZ163=0,N(V163)&lt;=0,N(Q163)&lt;=0),"Menge pro Gebinde fehlt (Ist = 1 Gebinde); ","")&amp;BU163)</f>
        <v/>
      </c>
      <c r="BN163" s="48"/>
      <c r="BO163" s="48"/>
      <c r="BP163" s="55"/>
      <c r="BQ163" s="50" t="n">
        <v>665</v>
      </c>
      <c r="BR163" s="50" t="n">
        <v>111</v>
      </c>
      <c r="BS163" s="49" t="n">
        <v>1197</v>
      </c>
      <c r="BT163" s="50" t="n">
        <v>985</v>
      </c>
      <c r="BU163" s="48"/>
      <c r="BV163" s="53" t="n">
        <v>0</v>
      </c>
      <c r="BW163" s="53" t="n">
        <v>163</v>
      </c>
      <c r="BX163" s="48" t="str">
        <f aca="false">IF(U163&lt;&gt;"",UPPER(TRIM(U163)),IF(CA163=1,UPPER(VLOOKUP(T163,Parameter!$I$27:$K$29,2,0)),IF(P163="","LOSE",P163)))</f>
        <v>S41</v>
      </c>
      <c r="BY163" s="50" t="n">
        <f aca="false">IF(BX163="LOSE",1,IF(N(V163)&gt;0,V163,IF(CA163=1,MAX(1,N(VLOOKUP(T163,Parameter!$I$27:$K$29,3,0)),H163,N(N163)),IF(N(Q163)&gt;0,Q163,MAX(1,H163)))))</f>
        <v>388</v>
      </c>
      <c r="BZ163" s="53" t="n">
        <f aca="false">IF(BX163="LOSE",1,0)</f>
        <v>0</v>
      </c>
      <c r="CA163" s="53" t="n">
        <f aca="false">IF(AND(U163="",OR(P163="",P163="LOSE"),T163&lt;&gt;"",N(S163)&lt;=0,ISNUMBER(MATCH(T163,Parameter!$I$27:$I$29,0))),1,0)</f>
        <v>0</v>
      </c>
      <c r="CB163" s="53" t="n">
        <f aca="false">IF(CQ163&gt;0,INDEX(Parameter!$H$5:$H$7,W163)/INDEX(Parameter!$E$5:$E$7,W163),IF(AND(BZ163=0,N(IFERROR(VLOOKUP(BX163,'Gebinde-Kategorie'!$A$5:$N$45,14,0),0))&gt;0),VLOOKUP(BX163,'Gebinde-Kategorie'!$A$5:$N$45,14,0)*10+Parameter!$M$23,Parameter!$M$24))</f>
        <v>155</v>
      </c>
      <c r="CC163" s="48" t="str">
        <f aca="false">IF(AND(Parameter!$B$19="Ja",E163&lt;&gt;"",ISNUMBER(MATCH(E163,Parameter!$I$35:$I$52,0))),VLOOKUP(E163,Parameter!$I$35:$J$52,2,0),IFERROR(VLOOKUP(D163,Parameter!$A$35:$C$64,2,0),"Nein"))</f>
        <v>2+3</v>
      </c>
      <c r="CD163" s="52" t="n">
        <f aca="false">IF(BZ163=0,0,IF(N(S163)&gt;0,S163,IFERROR(VLOOKUP(D163,Parameter!$A$35:$C$64,3,0)+0,0)))</f>
        <v>0</v>
      </c>
      <c r="CE163" s="48" t="n">
        <f aca="false">IF(AA163&lt;&gt;"",AA163,Z163)</f>
        <v>3</v>
      </c>
      <c r="CF163" s="48" t="str">
        <f aca="false">IF(OR(CE163=1,CE163=2,CE163=3),IF(Parameter!$E$27="Ja","LIFT",IF(CE163=1,"L1","L23")),IF(CE163="Aussen","Aussen","-"))</f>
        <v>LIFT</v>
      </c>
      <c r="CG163" s="59" t="n">
        <f aca="false">IF(N(AB163)&gt;0,AB163,0)</f>
        <v>0</v>
      </c>
      <c r="CH163" s="53" t="n">
        <f aca="false">IF(ISNUMBER(AE163),1,0)</f>
        <v>0</v>
      </c>
      <c r="CI163" s="50" t="n">
        <f aca="false">N(AE163)</f>
        <v>0</v>
      </c>
      <c r="CJ163" s="50" t="n">
        <f aca="false">N(M163)+N(N163)</f>
        <v>1023</v>
      </c>
      <c r="CK163" s="50" t="n">
        <f aca="false">N(M163)</f>
        <v>38</v>
      </c>
      <c r="CL163" s="50" t="n">
        <f aca="false">N(N163)</f>
        <v>985</v>
      </c>
      <c r="CM163" s="50" t="n">
        <f aca="false">ROUNDUP(H163/BY163,0)</f>
        <v>2</v>
      </c>
      <c r="CN163" s="50" t="n">
        <f aca="false">ROUNDUP(CI163/BY163,0)</f>
        <v>0</v>
      </c>
      <c r="CO163" s="53" t="n">
        <f aca="false">IF(BZ163=1,0,IFERROR(VLOOKUP(BX163,'Gebinde-Kategorie'!$A$5:$N$45,5,0)+0,0))</f>
        <v>11</v>
      </c>
      <c r="CP163" s="53" t="n">
        <f aca="false">IFERROR(IF(OR(CE163=1,CE163=2,CE163=3),N(INDEX(Parameter!$I$5:$I$7,CE163)),0),0)</f>
        <v>0</v>
      </c>
      <c r="CQ163" s="52" t="n">
        <f aca="false">IF(AND(Parameter!$B$21="Ja",ISNUMBER(W163),N(X163)&gt;0),IFERROR(N(INDEX(Parameter!$L$5:$L$7,W163))*INDEX(Parameter!$E$5:$E$7,W163)*X163/SUMIFS($X$7:$X$1843,$W$7:$W$1843,W163),0),0)</f>
        <v>0</v>
      </c>
    </row>
    <row r="164" customFormat="false" ht="15" hidden="false" customHeight="false" outlineLevel="0" collapsed="false">
      <c r="A164" s="48" t="s">
        <v>543</v>
      </c>
      <c r="B164" s="48" t="s">
        <v>544</v>
      </c>
      <c r="C164" s="48" t="s">
        <v>173</v>
      </c>
      <c r="D164" s="48" t="s">
        <v>193</v>
      </c>
      <c r="E164" s="48"/>
      <c r="F164" s="48" t="s">
        <v>227</v>
      </c>
      <c r="G164" s="49" t="n">
        <v>22.14</v>
      </c>
      <c r="H164" s="50" t="n">
        <f aca="false">MAX(0,IF(AND(Parameter!$B$21="Ja",ISNUMBER(Y164)),Y164,IF(Parameter!$B$20="Jahresanfang 2025 + Export",BR164+BQ164,BQ164)))</f>
        <v>123</v>
      </c>
      <c r="I164" s="50" t="n">
        <f aca="false">H164*G164</f>
        <v>2723.22</v>
      </c>
      <c r="J164" s="50" t="n">
        <f aca="false">BT164*Parameter!$B$18</f>
        <v>2</v>
      </c>
      <c r="K164" s="51" t="n">
        <v>75</v>
      </c>
      <c r="L164" s="52" t="n">
        <v>0.0266666666666667</v>
      </c>
      <c r="M164" s="50" t="n">
        <v>0</v>
      </c>
      <c r="N164" s="50" t="n">
        <v>1</v>
      </c>
      <c r="O164" s="53" t="n">
        <v>70</v>
      </c>
      <c r="P164" s="48" t="s">
        <v>195</v>
      </c>
      <c r="Q164" s="50" t="n">
        <v>100</v>
      </c>
      <c r="R164" s="53" t="n">
        <f aca="false">IF(BZ164=1,0,IFERROR(VLOOKUP(BX164,'Gebinde-Kategorie'!$A$5:$N$45,13,0)+0,0))</f>
        <v>12</v>
      </c>
      <c r="S164" s="54"/>
      <c r="T164" s="55"/>
      <c r="U164" s="55"/>
      <c r="V164" s="55"/>
      <c r="W164" s="48"/>
      <c r="X164" s="50"/>
      <c r="Y164" s="50"/>
      <c r="Z164" s="48" t="n">
        <f aca="false">IF(A164="","",IF(AND(Parameter!$B$21="Ja",ISNUMBER(W164)),W164,IF(CC164="2+3",IF(ISNUMBER(SEARCH("grosser Artikel",BU164)),2,IFERROR(VLOOKUP(BX164,Parameter!$F$35:$G$64,2,0),2)),IF(OR(CC164="Nein",CC164=""),"-",CC164))))</f>
        <v>2</v>
      </c>
      <c r="AA164" s="55"/>
      <c r="AB164" s="56"/>
      <c r="AC164" s="50" t="n">
        <f aca="false">AV164</f>
        <v>2</v>
      </c>
      <c r="AD164" s="50" t="n">
        <f aca="false">MAX(AV164,H164)</f>
        <v>123</v>
      </c>
      <c r="AE164" s="57"/>
      <c r="AF164" s="50" t="n">
        <f aca="false">IF(LEFT(Cockpit!$C$5,1)="A",H164,IF(Parameter!$E$30="MAX-Bestand",IF(CH164=1,CI164,IF(LEFT(Cockpit!$C$5,1)="B",AL164,MAX(AL164,H164))),ROUNDUP(AJ164,0)))</f>
        <v>123</v>
      </c>
      <c r="AG164" s="50" t="n">
        <f aca="false">IF(BZ164=1,0,ROUNDUP(AF164/BY164,0))</f>
        <v>2</v>
      </c>
      <c r="AH164" s="52" t="n">
        <f aca="false">IF(CQ164&gt;0,CQ164*MAX(1,AF164/X164),IF(BZ164=1,IF(AF164&lt;=0,0,CD164*MAX(1,IF(H164&gt;0,AF164/H164,1))),IF(R164&gt;0,AG164/R164,0))/MAX(0.1,N(Parameter!$M$21)))</f>
        <v>0.166666666666667</v>
      </c>
      <c r="AI164" s="50" t="n">
        <f aca="false">AH164*CB164</f>
        <v>24.1666666666667</v>
      </c>
      <c r="AJ164" s="51" t="n">
        <f aca="false">IF(LEFT(Cockpit!$C$5,1)="A",H164,IF(CH164=1,(CK164+CI164)/2,IF(LEFT(Cockpit!$C$5,1)="B",(CK164+AL164)/2,MAX((CK164+AL164)/2,H164))))</f>
        <v>123</v>
      </c>
      <c r="AK164" s="50" t="n">
        <f aca="false">AJ164*G164</f>
        <v>2723.22</v>
      </c>
      <c r="AL164" s="50" t="n">
        <f aca="false">ROUNDUP(CK164+MAX(CL164,2*(J164/IF(CG164&gt;0,CG164,MAX(0.1,N(Cockpit!$C$6)))-CK164)),0)</f>
        <v>2</v>
      </c>
      <c r="AM164" s="51" t="n">
        <f aca="false">IF(AI164&gt;0,J164/AI164,-1)</f>
        <v>0.0827586206896552</v>
      </c>
      <c r="AN164" s="51" t="n">
        <f aca="false">IF(AND(OR(CF164="L1",CF164="L23",CF164="LIFT"),AI164&gt;0),SUMIFS($AI$7:$AI$1843,$CF$7:$CF$1843,CF164,$AM$7:$AM$1843,"&gt;"&amp;AM164)+SUMIFS($AI$7:$AI$1843,$CF$7:$CF$1843,CF164,$AM$7:$AM$1843,AM164,$BW$7:$BW$1843,"&lt;="&amp;BW164),"")</f>
        <v>16713.607398957</v>
      </c>
      <c r="AO164" s="58" t="n">
        <f aca="false">IF(AN164="",0,MAX(0,MIN(1,(IF(CF164="L1",Parameter!$H$5,IF(CF164="L23",Parameter!$H$6+Parameter!$H$7,Parameter!$H$5+Parameter!$H$6+Parameter!$H$7))-(AN164-AI164))/AI164)))</f>
        <v>1</v>
      </c>
      <c r="AP164" s="50" t="n">
        <f aca="false">IF(LEFT(Cockpit!$I$5,1)="A",H164,IF(Parameter!$E$30="MAX-Bestand",IF(CH164=1,CI164,IF(LEFT(Cockpit!$I$5,1)="B",AV164,MAX(AV164,H164))),ROUNDUP(AT164,0)))</f>
        <v>123</v>
      </c>
      <c r="AQ164" s="50" t="n">
        <f aca="false">IF(BZ164=1,0,ROUNDUP(AP164/BY164,0))</f>
        <v>2</v>
      </c>
      <c r="AR164" s="52" t="n">
        <f aca="false">IF(CQ164&gt;0,CQ164*MAX(1,AP164/X164),IF(BZ164=1,IF(AP164&lt;=0,0,CD164*MAX(1,IF(H164&gt;0,AP164/H164,1))),IF(R164&gt;0,AQ164/R164,0))/MAX(0.1,N(Parameter!$M$21)))</f>
        <v>0.166666666666667</v>
      </c>
      <c r="AS164" s="50" t="n">
        <f aca="false">AR164*CB164</f>
        <v>24.1666666666667</v>
      </c>
      <c r="AT164" s="51" t="n">
        <f aca="false">IF(LEFT(Cockpit!$I$5,1)="A",H164,IF(CH164=1,(CK164+CI164)/2,IF(LEFT(Cockpit!$I$5,1)="B",(CK164+AV164)/2,MAX((CK164+AV164)/2,H164))))</f>
        <v>123</v>
      </c>
      <c r="AU164" s="50" t="n">
        <f aca="false">AT164*G164</f>
        <v>2723.22</v>
      </c>
      <c r="AV164" s="50" t="n">
        <f aca="false">ROUNDUP(CK164+MAX(CL164,2*(J164/IF(CG164&gt;0,CG164,MAX(0.1,N(Cockpit!$I$6)))-CK164)),0)</f>
        <v>2</v>
      </c>
      <c r="AW164" s="51" t="n">
        <f aca="false">IF(AS164&gt;0,J164/AS164,-1)</f>
        <v>0.0827586206896552</v>
      </c>
      <c r="AX164" s="51" t="n">
        <f aca="false">IF(AND(OR(CF164="L1",CF164="L23",CF164="LIFT"),AS164&gt;0),SUMIFS($AS$7:$AS$1843,$CF$7:$CF$1843,CF164,$AW$7:$AW$1843,"&gt;"&amp;AW164)+SUMIFS($AS$7:$AS$1843,$CF$7:$CF$1843,CF164,$AW$7:$AW$1843,AW164,$BW$7:$BW$1843,"&lt;="&amp;BW164),"")</f>
        <v>21736.7560403344</v>
      </c>
      <c r="AY164" s="58" t="n">
        <f aca="false">IF(AX164="",0,MAX(0,MIN(1,(IF(CF164="L1",Parameter!$H$5,IF(CF164="L23",Parameter!$H$6+Parameter!$H$7,Parameter!$H$5+Parameter!$H$6+Parameter!$H$7))-(AX164-AS164))/AS164)))</f>
        <v>1</v>
      </c>
      <c r="AZ164" s="50" t="n">
        <f aca="false">IF(LEFT(Cockpit!$O$5,1)="A",H164,IF(Parameter!$E$30="MAX-Bestand",IF(CH164=1,CI164,IF(LEFT(Cockpit!$O$5,1)="B",BF164,MAX(BF164,H164))),ROUNDUP(BD164,0)))</f>
        <v>1</v>
      </c>
      <c r="BA164" s="50" t="n">
        <f aca="false">IF(BZ164=1,0,ROUNDUP(AZ164/BY164,0))</f>
        <v>1</v>
      </c>
      <c r="BB164" s="52" t="n">
        <f aca="false">IF(CQ164&gt;0,CQ164*MAX(1,AZ164/X164),IF(BZ164=1,IF(AZ164&lt;=0,0,CD164*MAX(1,IF(H164&gt;0,AZ164/H164,1))),IF(R164&gt;0,BA164/R164,0))/MAX(0.1,N(Parameter!$M$21)))</f>
        <v>0.0833333333333333</v>
      </c>
      <c r="BC164" s="50" t="n">
        <f aca="false">BB164*CB164</f>
        <v>12.0833333333333</v>
      </c>
      <c r="BD164" s="51" t="n">
        <f aca="false">IF(LEFT(Cockpit!$O$5,1)="A",H164,IF(CH164=1,(CK164+CI164)/2,IF(LEFT(Cockpit!$O$5,1)="B",(CK164+BF164)/2,MAX((CK164+BF164)/2,H164))))</f>
        <v>0.5</v>
      </c>
      <c r="BE164" s="50" t="n">
        <f aca="false">BD164*G164</f>
        <v>11.07</v>
      </c>
      <c r="BF164" s="50" t="n">
        <f aca="false">ROUNDUP(CK164+MAX(CL164,2*(J164/IF(CG164&gt;0,CG164,MAX(0.1,N(Cockpit!$O$6)))-CK164)),0)</f>
        <v>1</v>
      </c>
      <c r="BG164" s="51" t="n">
        <f aca="false">IF(BC164&gt;0,J164/BC164,-1)</f>
        <v>0.16551724137931</v>
      </c>
      <c r="BH164" s="51" t="n">
        <f aca="false">IF(AND(OR(CF164="L1",CF164="L23",CF164="LIFT"),BC164&gt;0),SUMIFS($BC$7:$BC$1843,$CF$7:$CF$1843,CF164,$BG$7:$BG$1843,"&gt;"&amp;BG164)+SUMIFS($BC$7:$BC$1843,$CF$7:$CF$1843,CF164,$BG$7:$BG$1843,BG164,$BW$7:$BW$1843,"&lt;="&amp;BW164),"")</f>
        <v>13524.3039491112</v>
      </c>
      <c r="BI164" s="58" t="n">
        <f aca="false">IF(BH164="",0,MAX(0,MIN(1,(IF(CF164="L1",Parameter!$H$5,IF(CF164="L23",Parameter!$H$6+Parameter!$H$7,Parameter!$H$5+Parameter!$H$6+Parameter!$H$7))-(BH164-BC164))/BC164)))</f>
        <v>1</v>
      </c>
      <c r="BJ164" s="48" t="str">
        <f aca="false">IF(AI164&lt;=0,"",IF(CF164="Aussen","Aussenlager",IF(CF164="-","Nicht im Lift",IF(AO164&gt;=1,"Lift",IF(AO164&lt;=0,"Aussenlager","teilweise")))))</f>
        <v>Lift</v>
      </c>
      <c r="BK164" s="48" t="str">
        <f aca="false">IF(AS164&lt;=0,"",IF(CF164="Aussen","Aussenlager",IF(CF164="-","Nicht im Lift",IF(AY164&gt;=1,"Lift",IF(AY164&lt;=0,"Aussenlager","teilweise")))))</f>
        <v>Lift</v>
      </c>
      <c r="BL164" s="48" t="str">
        <f aca="false">IF(BC164&lt;=0,"",IF(CF164="Aussen","Aussenlager",IF(CF164="-","Nicht im Lift",IF(BI164&gt;=1,"Lift",IF(BI164&lt;=0,"Aussenlager","teilweise")))))</f>
        <v>Lift</v>
      </c>
      <c r="BM164" s="48" t="str">
        <f aca="false">IF(A164="","",IF(BV164=1,"Neu; ","")&amp;IF(AND(BV164=0,BQ164&lt;0),"negativer Bestand (Export "&amp;BQ164&amp;"); ","")&amp;IF(J164&lt;=0,"Kein Verbrauch; ","")&amp;IF(CQ164&gt;0,"Lift "&amp;W164&amp;" lt. Liftbericht (Fach "&amp;X164&amp;" Stk); ",IF(CA164=1,"Gebinde geschätzt ("&amp;T164&amp;"); ",IF(BZ164=1,"Lose – Tablare geschätzt; ","")))&amp;IF(H164&gt;AV164,"Überbestand "&amp;ROUND(H164-AV164,0)&amp;" Stk / CHF "&amp;ROUND((H164-AV164)*G164,0)&amp;"; ","")&amp;IF(AND(CH164=1,CI164&lt;CJ164),"MAX &lt; MB+LG; ","")&amp;IF(AND(CP164&gt;0,CO164*10&gt;CP164),"zu hoch für Tablar; ","")&amp;IF(AND(BV164=0,OR(CH164=1,AA164&lt;&gt;"",U164&lt;&gt;"",V164&lt;&gt;"",AB164&lt;&gt;"")),"manuell übersteuert; ","")&amp;IF(AND(BZ164=0,R164=0),"Gebinde unbekannt / Stellmass fehlt; ","")&amp;IF(AND(BZ164=0,N(V164)&lt;=0,N(Q164)&lt;=0),"Menge pro Gebinde fehlt (Ist = 1 Gebinde); ","")&amp;BU164)</f>
        <v>Überbestand 121 Stk / CHF 2679; i.o</v>
      </c>
      <c r="BN164" s="48"/>
      <c r="BO164" s="48"/>
      <c r="BP164" s="55"/>
      <c r="BQ164" s="50" t="n">
        <v>48</v>
      </c>
      <c r="BR164" s="50" t="n">
        <v>75</v>
      </c>
      <c r="BS164" s="49" t="n">
        <v>1171.2</v>
      </c>
      <c r="BT164" s="50" t="n">
        <v>2</v>
      </c>
      <c r="BU164" s="48" t="s">
        <v>545</v>
      </c>
      <c r="BV164" s="53" t="n">
        <v>0</v>
      </c>
      <c r="BW164" s="53" t="n">
        <v>164</v>
      </c>
      <c r="BX164" s="48" t="str">
        <f aca="false">IF(U164&lt;&gt;"",UPPER(TRIM(U164)),IF(CA164=1,UPPER(VLOOKUP(T164,Parameter!$I$27:$K$29,2,0)),IF(P164="","LOSE",P164)))</f>
        <v>S61</v>
      </c>
      <c r="BY164" s="50" t="n">
        <f aca="false">IF(BX164="LOSE",1,IF(N(V164)&gt;0,V164,IF(CA164=1,MAX(1,N(VLOOKUP(T164,Parameter!$I$27:$K$29,3,0)),H164,N(N164)),IF(N(Q164)&gt;0,Q164,MAX(1,H164)))))</f>
        <v>100</v>
      </c>
      <c r="BZ164" s="53" t="n">
        <f aca="false">IF(BX164="LOSE",1,0)</f>
        <v>0</v>
      </c>
      <c r="CA164" s="53" t="n">
        <f aca="false">IF(AND(U164="",OR(P164="",P164="LOSE"),T164&lt;&gt;"",N(S164)&lt;=0,ISNUMBER(MATCH(T164,Parameter!$I$27:$I$29,0))),1,0)</f>
        <v>0</v>
      </c>
      <c r="CB164" s="53" t="n">
        <f aca="false">IF(CQ164&gt;0,INDEX(Parameter!$H$5:$H$7,W164)/INDEX(Parameter!$E$5:$E$7,W164),IF(AND(BZ164=0,N(IFERROR(VLOOKUP(BX164,'Gebinde-Kategorie'!$A$5:$N$45,14,0),0))&gt;0),VLOOKUP(BX164,'Gebinde-Kategorie'!$A$5:$N$45,14,0)*10+Parameter!$M$23,Parameter!$M$24))</f>
        <v>145</v>
      </c>
      <c r="CC164" s="48" t="str">
        <f aca="false">IF(AND(Parameter!$B$19="Ja",E164&lt;&gt;"",ISNUMBER(MATCH(E164,Parameter!$I$35:$I$52,0))),VLOOKUP(E164,Parameter!$I$35:$J$52,2,0),IFERROR(VLOOKUP(D164,Parameter!$A$35:$C$64,2,0),"Nein"))</f>
        <v>2+3</v>
      </c>
      <c r="CD164" s="52" t="n">
        <f aca="false">IF(BZ164=0,0,IF(N(S164)&gt;0,S164,IFERROR(VLOOKUP(D164,Parameter!$A$35:$C$64,3,0)+0,0)))</f>
        <v>0</v>
      </c>
      <c r="CE164" s="48" t="n">
        <f aca="false">IF(AA164&lt;&gt;"",AA164,Z164)</f>
        <v>2</v>
      </c>
      <c r="CF164" s="48" t="str">
        <f aca="false">IF(OR(CE164=1,CE164=2,CE164=3),IF(Parameter!$E$27="Ja","LIFT",IF(CE164=1,"L1","L23")),IF(CE164="Aussen","Aussen","-"))</f>
        <v>LIFT</v>
      </c>
      <c r="CG164" s="59" t="n">
        <f aca="false">IF(N(AB164)&gt;0,AB164,0)</f>
        <v>0</v>
      </c>
      <c r="CH164" s="53" t="n">
        <f aca="false">IF(ISNUMBER(AE164),1,0)</f>
        <v>0</v>
      </c>
      <c r="CI164" s="50" t="n">
        <f aca="false">N(AE164)</f>
        <v>0</v>
      </c>
      <c r="CJ164" s="50" t="n">
        <f aca="false">N(M164)+N(N164)</f>
        <v>1</v>
      </c>
      <c r="CK164" s="50" t="n">
        <f aca="false">N(M164)</f>
        <v>0</v>
      </c>
      <c r="CL164" s="50" t="n">
        <f aca="false">N(N164)</f>
        <v>1</v>
      </c>
      <c r="CM164" s="50" t="n">
        <f aca="false">ROUNDUP(H164/BY164,0)</f>
        <v>2</v>
      </c>
      <c r="CN164" s="50" t="n">
        <f aca="false">ROUNDUP(CI164/BY164,0)</f>
        <v>0</v>
      </c>
      <c r="CO164" s="53" t="n">
        <f aca="false">IF(BZ164=1,0,IFERROR(VLOOKUP(BX164,'Gebinde-Kategorie'!$A$5:$N$45,5,0)+0,0))</f>
        <v>11</v>
      </c>
      <c r="CP164" s="53" t="n">
        <f aca="false">IFERROR(IF(OR(CE164=1,CE164=2,CE164=3),N(INDEX(Parameter!$I$5:$I$7,CE164)),0),0)</f>
        <v>0</v>
      </c>
      <c r="CQ164" s="52" t="n">
        <f aca="false">IF(AND(Parameter!$B$21="Ja",ISNUMBER(W164),N(X164)&gt;0),IFERROR(N(INDEX(Parameter!$L$5:$L$7,W164))*INDEX(Parameter!$E$5:$E$7,W164)*X164/SUMIFS($X$7:$X$1843,$W$7:$W$1843,W164),0),0)</f>
        <v>0</v>
      </c>
    </row>
    <row r="165" customFormat="false" ht="15" hidden="false" customHeight="false" outlineLevel="0" collapsed="false">
      <c r="A165" s="48" t="s">
        <v>546</v>
      </c>
      <c r="B165" s="48" t="s">
        <v>547</v>
      </c>
      <c r="C165" s="48" t="s">
        <v>173</v>
      </c>
      <c r="D165" s="48" t="s">
        <v>182</v>
      </c>
      <c r="E165" s="48"/>
      <c r="F165" s="48" t="s">
        <v>227</v>
      </c>
      <c r="G165" s="49" t="n">
        <v>145.13</v>
      </c>
      <c r="H165" s="50" t="n">
        <f aca="false">MAX(0,IF(AND(Parameter!$B$21="Ja",ISNUMBER(Y165)),Y165,IF(Parameter!$B$20="Jahresanfang 2025 + Export",BR165+BQ165,BQ165)))</f>
        <v>18</v>
      </c>
      <c r="I165" s="50" t="n">
        <f aca="false">H165*G165</f>
        <v>2612.34</v>
      </c>
      <c r="J165" s="50" t="n">
        <f aca="false">BT165*Parameter!$B$18</f>
        <v>28</v>
      </c>
      <c r="K165" s="51" t="n">
        <v>11.5</v>
      </c>
      <c r="L165" s="52" t="n">
        <v>2.43478260869565</v>
      </c>
      <c r="M165" s="50" t="n">
        <v>4</v>
      </c>
      <c r="N165" s="50" t="n">
        <v>20</v>
      </c>
      <c r="O165" s="53" t="n">
        <v>50</v>
      </c>
      <c r="P165" s="48" t="s">
        <v>183</v>
      </c>
      <c r="Q165" s="50" t="n">
        <v>15</v>
      </c>
      <c r="R165" s="53" t="n">
        <f aca="false">IF(BZ165=1,0,IFERROR(VLOOKUP(BX165,'Gebinde-Kategorie'!$A$5:$N$45,13,0)+0,0))</f>
        <v>6</v>
      </c>
      <c r="S165" s="54"/>
      <c r="T165" s="55"/>
      <c r="U165" s="55"/>
      <c r="V165" s="55"/>
      <c r="W165" s="48"/>
      <c r="X165" s="50"/>
      <c r="Y165" s="50"/>
      <c r="Z165" s="48" t="n">
        <f aca="false">IF(A165="","",IF(AND(Parameter!$B$21="Ja",ISNUMBER(W165)),W165,IF(CC165="2+3",IF(ISNUMBER(SEARCH("grosser Artikel",BU165)),2,IFERROR(VLOOKUP(BX165,Parameter!$F$35:$G$64,2,0),2)),IF(OR(CC165="Nein",CC165=""),"-",CC165))))</f>
        <v>2</v>
      </c>
      <c r="AA165" s="55"/>
      <c r="AB165" s="56"/>
      <c r="AC165" s="50" t="n">
        <f aca="false">AV165</f>
        <v>24</v>
      </c>
      <c r="AD165" s="50" t="n">
        <f aca="false">MAX(AV165,H165)</f>
        <v>24</v>
      </c>
      <c r="AE165" s="57"/>
      <c r="AF165" s="50" t="n">
        <f aca="false">IF(LEFT(Cockpit!$C$5,1)="A",H165,IF(Parameter!$E$30="MAX-Bestand",IF(CH165=1,CI165,IF(LEFT(Cockpit!$C$5,1)="B",AL165,MAX(AL165,H165))),ROUNDUP(AJ165,0)))</f>
        <v>18</v>
      </c>
      <c r="AG165" s="50" t="n">
        <f aca="false">IF(BZ165=1,0,ROUNDUP(AF165/BY165,0))</f>
        <v>2</v>
      </c>
      <c r="AH165" s="52" t="n">
        <f aca="false">IF(CQ165&gt;0,CQ165*MAX(1,AF165/X165),IF(BZ165=1,IF(AF165&lt;=0,0,CD165*MAX(1,IF(H165&gt;0,AF165/H165,1))),IF(R165&gt;0,AG165/R165,0))/MAX(0.1,N(Parameter!$M$21)))</f>
        <v>0.333333333333333</v>
      </c>
      <c r="AI165" s="50" t="n">
        <f aca="false">AH165*CB165</f>
        <v>78.3333333333333</v>
      </c>
      <c r="AJ165" s="51" t="n">
        <f aca="false">IF(LEFT(Cockpit!$C$5,1)="A",H165,IF(CH165=1,(CK165+CI165)/2,IF(LEFT(Cockpit!$C$5,1)="B",(CK165+AL165)/2,MAX((CK165+AL165)/2,H165))))</f>
        <v>18</v>
      </c>
      <c r="AK165" s="50" t="n">
        <f aca="false">AJ165*G165</f>
        <v>2612.34</v>
      </c>
      <c r="AL165" s="50" t="n">
        <f aca="false">ROUNDUP(CK165+MAX(CL165,2*(J165/IF(CG165&gt;0,CG165,MAX(0.1,N(Cockpit!$C$6)))-CK165)),0)</f>
        <v>24</v>
      </c>
      <c r="AM165" s="51" t="n">
        <f aca="false">IF(AI165&gt;0,J165/AI165,-1)</f>
        <v>0.357446808510638</v>
      </c>
      <c r="AN165" s="51" t="n">
        <f aca="false">IF(AND(OR(CF165="L1",CF165="L23",CF165="LIFT"),AI165&gt;0),SUMIFS($AI$7:$AI$1843,$CF$7:$CF$1843,CF165,$AM$7:$AM$1843,"&gt;"&amp;AM165)+SUMIFS($AI$7:$AI$1843,$CF$7:$CF$1843,CF165,$AM$7:$AM$1843,AM165,$BW$7:$BW$1843,"&lt;="&amp;BW165),"")</f>
        <v>10619.3333048778</v>
      </c>
      <c r="AO165" s="58" t="n">
        <f aca="false">IF(AN165="",0,MAX(0,MIN(1,(IF(CF165="L1",Parameter!$H$5,IF(CF165="L23",Parameter!$H$6+Parameter!$H$7,Parameter!$H$5+Parameter!$H$6+Parameter!$H$7))-(AN165-AI165))/AI165)))</f>
        <v>1</v>
      </c>
      <c r="AP165" s="50" t="n">
        <f aca="false">IF(LEFT(Cockpit!$I$5,1)="A",H165,IF(Parameter!$E$30="MAX-Bestand",IF(CH165=1,CI165,IF(LEFT(Cockpit!$I$5,1)="B",AV165,MAX(AV165,H165))),ROUNDUP(AT165,0)))</f>
        <v>18</v>
      </c>
      <c r="AQ165" s="50" t="n">
        <f aca="false">IF(BZ165=1,0,ROUNDUP(AP165/BY165,0))</f>
        <v>2</v>
      </c>
      <c r="AR165" s="52" t="n">
        <f aca="false">IF(CQ165&gt;0,CQ165*MAX(1,AP165/X165),IF(BZ165=1,IF(AP165&lt;=0,0,CD165*MAX(1,IF(H165&gt;0,AP165/H165,1))),IF(R165&gt;0,AQ165/R165,0))/MAX(0.1,N(Parameter!$M$21)))</f>
        <v>0.333333333333333</v>
      </c>
      <c r="AS165" s="50" t="n">
        <f aca="false">AR165*CB165</f>
        <v>78.3333333333333</v>
      </c>
      <c r="AT165" s="51" t="n">
        <f aca="false">IF(LEFT(Cockpit!$I$5,1)="A",H165,IF(CH165=1,(CK165+CI165)/2,IF(LEFT(Cockpit!$I$5,1)="B",(CK165+AV165)/2,MAX((CK165+AV165)/2,H165))))</f>
        <v>18</v>
      </c>
      <c r="AU165" s="50" t="n">
        <f aca="false">AT165*G165</f>
        <v>2612.34</v>
      </c>
      <c r="AV165" s="50" t="n">
        <f aca="false">ROUNDUP(CK165+MAX(CL165,2*(J165/IF(CG165&gt;0,CG165,MAX(0.1,N(Cockpit!$I$6)))-CK165)),0)</f>
        <v>24</v>
      </c>
      <c r="AW165" s="51" t="n">
        <f aca="false">IF(AS165&gt;0,J165/AS165,-1)</f>
        <v>0.357446808510638</v>
      </c>
      <c r="AX165" s="51" t="n">
        <f aca="false">IF(AND(OR(CF165="L1",CF165="L23",CF165="LIFT"),AS165&gt;0),SUMIFS($AS$7:$AS$1843,$CF$7:$CF$1843,CF165,$AW$7:$AW$1843,"&gt;"&amp;AW165)+SUMIFS($AS$7:$AS$1843,$CF$7:$CF$1843,CF165,$AW$7:$AW$1843,AW165,$BW$7:$BW$1843,"&lt;="&amp;BW165),"")</f>
        <v>13351.0865384615</v>
      </c>
      <c r="AY165" s="58" t="n">
        <f aca="false">IF(AX165="",0,MAX(0,MIN(1,(IF(CF165="L1",Parameter!$H$5,IF(CF165="L23",Parameter!$H$6+Parameter!$H$7,Parameter!$H$5+Parameter!$H$6+Parameter!$H$7))-(AX165-AS165))/AS165)))</f>
        <v>1</v>
      </c>
      <c r="AZ165" s="50" t="n">
        <f aca="false">IF(LEFT(Cockpit!$O$5,1)="A",H165,IF(Parameter!$E$30="MAX-Bestand",IF(CH165=1,CI165,IF(LEFT(Cockpit!$O$5,1)="B",BF165,MAX(BF165,H165))),ROUNDUP(BD165,0)))</f>
        <v>14</v>
      </c>
      <c r="BA165" s="50" t="n">
        <f aca="false">IF(BZ165=1,0,ROUNDUP(AZ165/BY165,0))</f>
        <v>1</v>
      </c>
      <c r="BB165" s="52" t="n">
        <f aca="false">IF(CQ165&gt;0,CQ165*MAX(1,AZ165/X165),IF(BZ165=1,IF(AZ165&lt;=0,0,CD165*MAX(1,IF(H165&gt;0,AZ165/H165,1))),IF(R165&gt;0,BA165/R165,0))/MAX(0.1,N(Parameter!$M$21)))</f>
        <v>0.166666666666667</v>
      </c>
      <c r="BC165" s="50" t="n">
        <f aca="false">BB165*CB165</f>
        <v>39.1666666666667</v>
      </c>
      <c r="BD165" s="51" t="n">
        <f aca="false">IF(LEFT(Cockpit!$O$5,1)="A",H165,IF(CH165=1,(CK165+CI165)/2,IF(LEFT(Cockpit!$O$5,1)="B",(CK165+BF165)/2,MAX((CK165+BF165)/2,H165))))</f>
        <v>14</v>
      </c>
      <c r="BE165" s="50" t="n">
        <f aca="false">BD165*G165</f>
        <v>2031.82</v>
      </c>
      <c r="BF165" s="50" t="n">
        <f aca="false">ROUNDUP(CK165+MAX(CL165,2*(J165/IF(CG165&gt;0,CG165,MAX(0.1,N(Cockpit!$O$6)))-CK165)),0)</f>
        <v>24</v>
      </c>
      <c r="BG165" s="51" t="n">
        <f aca="false">IF(BC165&gt;0,J165/BC165,-1)</f>
        <v>0.714893617021277</v>
      </c>
      <c r="BH165" s="51" t="n">
        <f aca="false">IF(AND(OR(CF165="L1",CF165="L23",CF165="LIFT"),BC165&gt;0),SUMIFS($BC$7:$BC$1843,$CF$7:$CF$1843,CF165,$BG$7:$BG$1843,"&gt;"&amp;BG165)+SUMIFS($BC$7:$BC$1843,$CF$7:$CF$1843,CF165,$BG$7:$BG$1843,BG165,$BW$7:$BW$1843,"&lt;="&amp;BW165),"")</f>
        <v>9358.03891941392</v>
      </c>
      <c r="BI165" s="58" t="n">
        <f aca="false">IF(BH165="",0,MAX(0,MIN(1,(IF(CF165="L1",Parameter!$H$5,IF(CF165="L23",Parameter!$H$6+Parameter!$H$7,Parameter!$H$5+Parameter!$H$6+Parameter!$H$7))-(BH165-BC165))/BC165)))</f>
        <v>1</v>
      </c>
      <c r="BJ165" s="48" t="str">
        <f aca="false">IF(AI165&lt;=0,"",IF(CF165="Aussen","Aussenlager",IF(CF165="-","Nicht im Lift",IF(AO165&gt;=1,"Lift",IF(AO165&lt;=0,"Aussenlager","teilweise")))))</f>
        <v>Lift</v>
      </c>
      <c r="BK165" s="48" t="str">
        <f aca="false">IF(AS165&lt;=0,"",IF(CF165="Aussen","Aussenlager",IF(CF165="-","Nicht im Lift",IF(AY165&gt;=1,"Lift",IF(AY165&lt;=0,"Aussenlager","teilweise")))))</f>
        <v>Lift</v>
      </c>
      <c r="BL165" s="48" t="str">
        <f aca="false">IF(BC165&lt;=0,"",IF(CF165="Aussen","Aussenlager",IF(CF165="-","Nicht im Lift",IF(BI165&gt;=1,"Lift",IF(BI165&lt;=0,"Aussenlager","teilweise")))))</f>
        <v>Lift</v>
      </c>
      <c r="BM165" s="48" t="str">
        <f aca="false">IF(A165="","",IF(BV165=1,"Neu; ","")&amp;IF(AND(BV165=0,BQ165&lt;0),"negativer Bestand (Export "&amp;BQ165&amp;"); ","")&amp;IF(J165&lt;=0,"Kein Verbrauch; ","")&amp;IF(CQ165&gt;0,"Lift "&amp;W165&amp;" lt. Liftbericht (Fach "&amp;X165&amp;" Stk); ",IF(CA165=1,"Gebinde geschätzt ("&amp;T165&amp;"); ",IF(BZ165=1,"Lose – Tablare geschätzt; ","")))&amp;IF(H165&gt;AV165,"Überbestand "&amp;ROUND(H165-AV165,0)&amp;" Stk / CHF "&amp;ROUND((H165-AV165)*G165,0)&amp;"; ","")&amp;IF(AND(CH165=1,CI165&lt;CJ165),"MAX &lt; MB+LG; ","")&amp;IF(AND(CP165&gt;0,CO165*10&gt;CP165),"zu hoch für Tablar; ","")&amp;IF(AND(BV165=0,OR(CH165=1,AA165&lt;&gt;"",U165&lt;&gt;"",V165&lt;&gt;"",AB165&lt;&gt;"")),"manuell übersteuert; ","")&amp;IF(AND(BZ165=0,R165=0),"Gebinde unbekannt / Stellmass fehlt; ","")&amp;IF(AND(BZ165=0,N(V165)&lt;=0,N(Q165)&lt;=0),"Menge pro Gebinde fehlt (Ist = 1 Gebinde); ","")&amp;BU165)</f>
        <v/>
      </c>
      <c r="BN165" s="48"/>
      <c r="BO165" s="48"/>
      <c r="BP165" s="55"/>
      <c r="BQ165" s="50" t="n">
        <v>7</v>
      </c>
      <c r="BR165" s="50" t="n">
        <v>11</v>
      </c>
      <c r="BS165" s="49" t="n">
        <v>1134.27</v>
      </c>
      <c r="BT165" s="50" t="n">
        <v>28</v>
      </c>
      <c r="BU165" s="48"/>
      <c r="BV165" s="53" t="n">
        <v>0</v>
      </c>
      <c r="BW165" s="53" t="n">
        <v>165</v>
      </c>
      <c r="BX165" s="48" t="str">
        <f aca="false">IF(U165&lt;&gt;"",UPPER(TRIM(U165)),IF(CA165=1,UPPER(VLOOKUP(T165,Parameter!$I$27:$K$29,2,0)),IF(P165="","LOSE",P165)))</f>
        <v>S71</v>
      </c>
      <c r="BY165" s="50" t="n">
        <f aca="false">IF(BX165="LOSE",1,IF(N(V165)&gt;0,V165,IF(CA165=1,MAX(1,N(VLOOKUP(T165,Parameter!$I$27:$K$29,3,0)),H165,N(N165)),IF(N(Q165)&gt;0,Q165,MAX(1,H165)))))</f>
        <v>15</v>
      </c>
      <c r="BZ165" s="53" t="n">
        <f aca="false">IF(BX165="LOSE",1,0)</f>
        <v>0</v>
      </c>
      <c r="CA165" s="53" t="n">
        <f aca="false">IF(AND(U165="",OR(P165="",P165="LOSE"),T165&lt;&gt;"",N(S165)&lt;=0,ISNUMBER(MATCH(T165,Parameter!$I$27:$I$29,0))),1,0)</f>
        <v>0</v>
      </c>
      <c r="CB165" s="53" t="n">
        <f aca="false">IF(CQ165&gt;0,INDEX(Parameter!$H$5:$H$7,W165)/INDEX(Parameter!$E$5:$E$7,W165),IF(AND(BZ165=0,N(IFERROR(VLOOKUP(BX165,'Gebinde-Kategorie'!$A$5:$N$45,14,0),0))&gt;0),VLOOKUP(BX165,'Gebinde-Kategorie'!$A$5:$N$45,14,0)*10+Parameter!$M$23,Parameter!$M$24))</f>
        <v>235</v>
      </c>
      <c r="CC165" s="48" t="str">
        <f aca="false">IF(AND(Parameter!$B$19="Ja",E165&lt;&gt;"",ISNUMBER(MATCH(E165,Parameter!$I$35:$I$52,0))),VLOOKUP(E165,Parameter!$I$35:$J$52,2,0),IFERROR(VLOOKUP(D165,Parameter!$A$35:$C$64,2,0),"Nein"))</f>
        <v>2+3</v>
      </c>
      <c r="CD165" s="52" t="n">
        <f aca="false">IF(BZ165=0,0,IF(N(S165)&gt;0,S165,IFERROR(VLOOKUP(D165,Parameter!$A$35:$C$64,3,0)+0,0)))</f>
        <v>0</v>
      </c>
      <c r="CE165" s="48" t="n">
        <f aca="false">IF(AA165&lt;&gt;"",AA165,Z165)</f>
        <v>2</v>
      </c>
      <c r="CF165" s="48" t="str">
        <f aca="false">IF(OR(CE165=1,CE165=2,CE165=3),IF(Parameter!$E$27="Ja","LIFT",IF(CE165=1,"L1","L23")),IF(CE165="Aussen","Aussen","-"))</f>
        <v>LIFT</v>
      </c>
      <c r="CG165" s="59" t="n">
        <f aca="false">IF(N(AB165)&gt;0,AB165,0)</f>
        <v>0</v>
      </c>
      <c r="CH165" s="53" t="n">
        <f aca="false">IF(ISNUMBER(AE165),1,0)</f>
        <v>0</v>
      </c>
      <c r="CI165" s="50" t="n">
        <f aca="false">N(AE165)</f>
        <v>0</v>
      </c>
      <c r="CJ165" s="50" t="n">
        <f aca="false">N(M165)+N(N165)</f>
        <v>24</v>
      </c>
      <c r="CK165" s="50" t="n">
        <f aca="false">N(M165)</f>
        <v>4</v>
      </c>
      <c r="CL165" s="50" t="n">
        <f aca="false">N(N165)</f>
        <v>20</v>
      </c>
      <c r="CM165" s="50" t="n">
        <f aca="false">ROUNDUP(H165/BY165,0)</f>
        <v>2</v>
      </c>
      <c r="CN165" s="50" t="n">
        <f aca="false">ROUNDUP(CI165/BY165,0)</f>
        <v>0</v>
      </c>
      <c r="CO165" s="53" t="n">
        <f aca="false">IF(BZ165=1,0,IFERROR(VLOOKUP(BX165,'Gebinde-Kategorie'!$A$5:$N$45,5,0)+0,0))</f>
        <v>20</v>
      </c>
      <c r="CP165" s="53" t="n">
        <f aca="false">IFERROR(IF(OR(CE165=1,CE165=2,CE165=3),N(INDEX(Parameter!$I$5:$I$7,CE165)),0),0)</f>
        <v>0</v>
      </c>
      <c r="CQ165" s="52" t="n">
        <f aca="false">IF(AND(Parameter!$B$21="Ja",ISNUMBER(W165),N(X165)&gt;0),IFERROR(N(INDEX(Parameter!$L$5:$L$7,W165))*INDEX(Parameter!$E$5:$E$7,W165)*X165/SUMIFS($X$7:$X$1843,$W$7:$W$1843,W165),0),0)</f>
        <v>0</v>
      </c>
    </row>
    <row r="166" customFormat="false" ht="15" hidden="false" customHeight="false" outlineLevel="0" collapsed="false">
      <c r="A166" s="48" t="s">
        <v>548</v>
      </c>
      <c r="B166" s="48" t="s">
        <v>549</v>
      </c>
      <c r="C166" s="48" t="s">
        <v>173</v>
      </c>
      <c r="D166" s="48" t="s">
        <v>182</v>
      </c>
      <c r="E166" s="48" t="s">
        <v>379</v>
      </c>
      <c r="F166" s="48" t="s">
        <v>227</v>
      </c>
      <c r="G166" s="49" t="n">
        <v>314.61</v>
      </c>
      <c r="H166" s="50" t="n">
        <f aca="false">MAX(0,IF(AND(Parameter!$B$21="Ja",ISNUMBER(Y166)),Y166,IF(Parameter!$B$20="Jahresanfang 2025 + Export",BR166+BQ166,BQ166)))</f>
        <v>5</v>
      </c>
      <c r="I166" s="50" t="n">
        <f aca="false">H166*G166</f>
        <v>1573.05</v>
      </c>
      <c r="J166" s="50" t="n">
        <f aca="false">BT166*Parameter!$B$18</f>
        <v>17</v>
      </c>
      <c r="K166" s="51" t="n">
        <v>1.5</v>
      </c>
      <c r="L166" s="52" t="n">
        <v>11.3333333333333</v>
      </c>
      <c r="M166" s="50" t="n">
        <v>1</v>
      </c>
      <c r="N166" s="50" t="n">
        <v>2</v>
      </c>
      <c r="O166" s="53" t="n">
        <v>14</v>
      </c>
      <c r="P166" s="48" t="s">
        <v>177</v>
      </c>
      <c r="Q166" s="50"/>
      <c r="R166" s="53" t="n">
        <f aca="false">IF(BZ166=1,0,IFERROR(VLOOKUP(BX166,'Gebinde-Kategorie'!$A$5:$N$45,13,0)+0,0))</f>
        <v>4</v>
      </c>
      <c r="S166" s="54"/>
      <c r="T166" s="55" t="s">
        <v>198</v>
      </c>
      <c r="U166" s="55"/>
      <c r="V166" s="55"/>
      <c r="W166" s="48"/>
      <c r="X166" s="50"/>
      <c r="Y166" s="50"/>
      <c r="Z166" s="48" t="str">
        <f aca="false">IF(A166="","",IF(AND(Parameter!$B$21="Ja",ISNUMBER(W166)),W166,IF(CC166="2+3",IF(ISNUMBER(SEARCH("grosser Artikel",BU166)),2,IFERROR(VLOOKUP(BX166,Parameter!$F$35:$G$64,2,0),2)),IF(OR(CC166="Nein",CC166=""),"-",CC166))))</f>
        <v>-</v>
      </c>
      <c r="AA166" s="55"/>
      <c r="AB166" s="56"/>
      <c r="AC166" s="50" t="n">
        <f aca="false">AV166</f>
        <v>11</v>
      </c>
      <c r="AD166" s="50" t="n">
        <f aca="false">MAX(AV166,H166)</f>
        <v>11</v>
      </c>
      <c r="AE166" s="57"/>
      <c r="AF166" s="50" t="n">
        <f aca="false">IF(LEFT(Cockpit!$C$5,1)="A",H166,IF(Parameter!$E$30="MAX-Bestand",IF(CH166=1,CI166,IF(LEFT(Cockpit!$C$5,1)="B",AL166,MAX(AL166,H166))),ROUNDUP(AJ166,0)))</f>
        <v>5</v>
      </c>
      <c r="AG166" s="50" t="n">
        <f aca="false">IF(BZ166=1,0,ROUNDUP(AF166/BY166,0))</f>
        <v>1</v>
      </c>
      <c r="AH166" s="52" t="n">
        <f aca="false">IF(CQ166&gt;0,CQ166*MAX(1,AF166/X166),IF(BZ166=1,IF(AF166&lt;=0,0,CD166*MAX(1,IF(H166&gt;0,AF166/H166,1))),IF(R166&gt;0,AG166/R166,0))/MAX(0.1,N(Parameter!$M$21)))</f>
        <v>0.25</v>
      </c>
      <c r="AI166" s="50" t="n">
        <f aca="false">AH166*CB166</f>
        <v>58.75</v>
      </c>
      <c r="AJ166" s="51" t="n">
        <f aca="false">IF(LEFT(Cockpit!$C$5,1)="A",H166,IF(CH166=1,(CK166+CI166)/2,IF(LEFT(Cockpit!$C$5,1)="B",(CK166+AL166)/2,MAX((CK166+AL166)/2,H166))))</f>
        <v>5</v>
      </c>
      <c r="AK166" s="50" t="n">
        <f aca="false">AJ166*G166</f>
        <v>1573.05</v>
      </c>
      <c r="AL166" s="50" t="n">
        <f aca="false">ROUNDUP(CK166+MAX(CL166,2*(J166/IF(CG166&gt;0,CG166,MAX(0.1,N(Cockpit!$C$6)))-CK166)),0)</f>
        <v>11</v>
      </c>
      <c r="AM166" s="51" t="n">
        <f aca="false">IF(AI166&gt;0,J166/AI166,-1)</f>
        <v>0.28936170212766</v>
      </c>
      <c r="AN166" s="51" t="str">
        <f aca="false">IF(AND(OR(CF166="L1",CF166="L23",CF166="LIFT"),AI166&gt;0),SUMIFS($AI$7:$AI$1843,$CF$7:$CF$1843,CF166,$AM$7:$AM$1843,"&gt;"&amp;AM166)+SUMIFS($AI$7:$AI$1843,$CF$7:$CF$1843,CF166,$AM$7:$AM$1843,AM166,$BW$7:$BW$1843,"&lt;="&amp;BW166),"")</f>
        <v/>
      </c>
      <c r="AO166" s="58" t="n">
        <f aca="false">IF(AN166="",0,MAX(0,MIN(1,(IF(CF166="L1",Parameter!$H$5,IF(CF166="L23",Parameter!$H$6+Parameter!$H$7,Parameter!$H$5+Parameter!$H$6+Parameter!$H$7))-(AN166-AI166))/AI166)))</f>
        <v>0</v>
      </c>
      <c r="AP166" s="50" t="n">
        <f aca="false">IF(LEFT(Cockpit!$I$5,1)="A",H166,IF(Parameter!$E$30="MAX-Bestand",IF(CH166=1,CI166,IF(LEFT(Cockpit!$I$5,1)="B",AV166,MAX(AV166,H166))),ROUNDUP(AT166,0)))</f>
        <v>6</v>
      </c>
      <c r="AQ166" s="50" t="n">
        <f aca="false">IF(BZ166=1,0,ROUNDUP(AP166/BY166,0))</f>
        <v>2</v>
      </c>
      <c r="AR166" s="52" t="n">
        <f aca="false">IF(CQ166&gt;0,CQ166*MAX(1,AP166/X166),IF(BZ166=1,IF(AP166&lt;=0,0,CD166*MAX(1,IF(H166&gt;0,AP166/H166,1))),IF(R166&gt;0,AQ166/R166,0))/MAX(0.1,N(Parameter!$M$21)))</f>
        <v>0.5</v>
      </c>
      <c r="AS166" s="50" t="n">
        <f aca="false">AR166*CB166</f>
        <v>117.5</v>
      </c>
      <c r="AT166" s="51" t="n">
        <f aca="false">IF(LEFT(Cockpit!$I$5,1)="A",H166,IF(CH166=1,(CK166+CI166)/2,IF(LEFT(Cockpit!$I$5,1)="B",(CK166+AV166)/2,MAX((CK166+AV166)/2,H166))))</f>
        <v>6</v>
      </c>
      <c r="AU166" s="50" t="n">
        <f aca="false">AT166*G166</f>
        <v>1887.66</v>
      </c>
      <c r="AV166" s="50" t="n">
        <f aca="false">ROUNDUP(CK166+MAX(CL166,2*(J166/IF(CG166&gt;0,CG166,MAX(0.1,N(Cockpit!$I$6)))-CK166)),0)</f>
        <v>11</v>
      </c>
      <c r="AW166" s="51" t="n">
        <f aca="false">IF(AS166&gt;0,J166/AS166,-1)</f>
        <v>0.14468085106383</v>
      </c>
      <c r="AX166" s="51" t="str">
        <f aca="false">IF(AND(OR(CF166="L1",CF166="L23",CF166="LIFT"),AS166&gt;0),SUMIFS($AS$7:$AS$1843,$CF$7:$CF$1843,CF166,$AW$7:$AW$1843,"&gt;"&amp;AW166)+SUMIFS($AS$7:$AS$1843,$CF$7:$CF$1843,CF166,$AW$7:$AW$1843,AW166,$BW$7:$BW$1843,"&lt;="&amp;BW166),"")</f>
        <v/>
      </c>
      <c r="AY166" s="58" t="n">
        <f aca="false">IF(AX166="",0,MAX(0,MIN(1,(IF(CF166="L1",Parameter!$H$5,IF(CF166="L23",Parameter!$H$6+Parameter!$H$7,Parameter!$H$5+Parameter!$H$6+Parameter!$H$7))-(AX166-AS166))/AS166)))</f>
        <v>0</v>
      </c>
      <c r="AZ166" s="50" t="n">
        <f aca="false">IF(LEFT(Cockpit!$O$5,1)="A",H166,IF(Parameter!$E$30="MAX-Bestand",IF(CH166=1,CI166,IF(LEFT(Cockpit!$O$5,1)="B",BF166,MAX(BF166,H166))),ROUNDUP(BD166,0)))</f>
        <v>5</v>
      </c>
      <c r="BA166" s="50" t="n">
        <f aca="false">IF(BZ166=1,0,ROUNDUP(AZ166/BY166,0))</f>
        <v>1</v>
      </c>
      <c r="BB166" s="52" t="n">
        <f aca="false">IF(CQ166&gt;0,CQ166*MAX(1,AZ166/X166),IF(BZ166=1,IF(AZ166&lt;=0,0,CD166*MAX(1,IF(H166&gt;0,AZ166/H166,1))),IF(R166&gt;0,BA166/R166,0))/MAX(0.1,N(Parameter!$M$21)))</f>
        <v>0.25</v>
      </c>
      <c r="BC166" s="50" t="n">
        <f aca="false">BB166*CB166</f>
        <v>58.75</v>
      </c>
      <c r="BD166" s="51" t="n">
        <f aca="false">IF(LEFT(Cockpit!$O$5,1)="A",H166,IF(CH166=1,(CK166+CI166)/2,IF(LEFT(Cockpit!$O$5,1)="B",(CK166+BF166)/2,MAX((CK166+BF166)/2,H166))))</f>
        <v>4.5</v>
      </c>
      <c r="BE166" s="50" t="n">
        <f aca="false">BD166*G166</f>
        <v>1415.745</v>
      </c>
      <c r="BF166" s="50" t="n">
        <f aca="false">ROUNDUP(CK166+MAX(CL166,2*(J166/IF(CG166&gt;0,CG166,MAX(0.1,N(Cockpit!$O$6)))-CK166)),0)</f>
        <v>8</v>
      </c>
      <c r="BG166" s="51" t="n">
        <f aca="false">IF(BC166&gt;0,J166/BC166,-1)</f>
        <v>0.28936170212766</v>
      </c>
      <c r="BH166" s="51" t="str">
        <f aca="false">IF(AND(OR(CF166="L1",CF166="L23",CF166="LIFT"),BC166&gt;0),SUMIFS($BC$7:$BC$1843,$CF$7:$CF$1843,CF166,$BG$7:$BG$1843,"&gt;"&amp;BG166)+SUMIFS($BC$7:$BC$1843,$CF$7:$CF$1843,CF166,$BG$7:$BG$1843,BG166,$BW$7:$BW$1843,"&lt;="&amp;BW166),"")</f>
        <v/>
      </c>
      <c r="BI166" s="58" t="n">
        <f aca="false">IF(BH166="",0,MAX(0,MIN(1,(IF(CF166="L1",Parameter!$H$5,IF(CF166="L23",Parameter!$H$6+Parameter!$H$7,Parameter!$H$5+Parameter!$H$6+Parameter!$H$7))-(BH166-BC166))/BC166)))</f>
        <v>0</v>
      </c>
      <c r="BJ166" s="48" t="str">
        <f aca="false">IF(AI166&lt;=0,"",IF(CF166="Aussen","Aussenlager",IF(CF166="-","Nicht im Lift",IF(AO166&gt;=1,"Lift",IF(AO166&lt;=0,"Aussenlager","teilweise")))))</f>
        <v>Nicht im Lift</v>
      </c>
      <c r="BK166" s="48" t="str">
        <f aca="false">IF(AS166&lt;=0,"",IF(CF166="Aussen","Aussenlager",IF(CF166="-","Nicht im Lift",IF(AY166&gt;=1,"Lift",IF(AY166&lt;=0,"Aussenlager","teilweise")))))</f>
        <v>Nicht im Lift</v>
      </c>
      <c r="BL166" s="48" t="str">
        <f aca="false">IF(BC166&lt;=0,"",IF(CF166="Aussen","Aussenlager",IF(CF166="-","Nicht im Lift",IF(BI166&gt;=1,"Lift",IF(BI166&lt;=0,"Aussenlager","teilweise")))))</f>
        <v>Nicht im Lift</v>
      </c>
      <c r="BM166" s="48" t="str">
        <f aca="false">IF(A166="","",IF(BV166=1,"Neu; ","")&amp;IF(AND(BV166=0,BQ166&lt;0),"negativer Bestand (Export "&amp;BQ166&amp;"); ","")&amp;IF(J166&lt;=0,"Kein Verbrauch; ","")&amp;IF(CQ166&gt;0,"Lift "&amp;W166&amp;" lt. Liftbericht (Fach "&amp;X166&amp;" Stk); ",IF(CA166=1,"Gebinde geschätzt ("&amp;T166&amp;"); ",IF(BZ166=1,"Lose – Tablare geschätzt; ","")))&amp;IF(H166&gt;AV166,"Überbestand "&amp;ROUND(H166-AV166,0)&amp;" Stk / CHF "&amp;ROUND((H166-AV166)*G166,0)&amp;"; ","")&amp;IF(AND(CH166=1,CI166&lt;CJ166),"MAX &lt; MB+LG; ","")&amp;IF(AND(CP166&gt;0,CO166*10&gt;CP166),"zu hoch für Tablar; ","")&amp;IF(AND(BV166=0,OR(CH166=1,AA166&lt;&gt;"",U166&lt;&gt;"",V166&lt;&gt;"",AB166&lt;&gt;"")),"manuell übersteuert; ","")&amp;IF(AND(BZ166=0,R166=0),"Gebinde unbekannt / Stellmass fehlt; ","")&amp;IF(AND(BZ166=0,N(V166)&lt;=0,N(Q166)&lt;=0),"Menge pro Gebinde fehlt (Ist = 1 Gebinde); ","")&amp;BU166)</f>
        <v>Gebinde geschätzt (Gross); Menge pro Gebinde fehlt (Ist = 1 Gebinde); </v>
      </c>
      <c r="BN166" s="48"/>
      <c r="BO166" s="48"/>
      <c r="BP166" s="55"/>
      <c r="BQ166" s="50" t="n">
        <v>3</v>
      </c>
      <c r="BR166" s="50" t="n">
        <v>2</v>
      </c>
      <c r="BS166" s="49" t="n">
        <v>1123.95</v>
      </c>
      <c r="BT166" s="50" t="n">
        <v>17</v>
      </c>
      <c r="BU166" s="48"/>
      <c r="BV166" s="53" t="n">
        <v>0</v>
      </c>
      <c r="BW166" s="53" t="n">
        <v>166</v>
      </c>
      <c r="BX166" s="48" t="str">
        <f aca="false">IF(U166&lt;&gt;"",UPPER(TRIM(U166)),IF(CA166=1,UPPER(VLOOKUP(T166,Parameter!$I$27:$K$29,2,0)),IF(P166="","LOSE",P166)))</f>
        <v>S81</v>
      </c>
      <c r="BY166" s="50" t="n">
        <f aca="false">IF(BX166="LOSE",1,IF(N(V166)&gt;0,V166,IF(CA166=1,MAX(1,N(VLOOKUP(T166,Parameter!$I$27:$K$29,3,0)),H166,N(N166)),IF(N(Q166)&gt;0,Q166,MAX(1,H166)))))</f>
        <v>5</v>
      </c>
      <c r="BZ166" s="53" t="n">
        <f aca="false">IF(BX166="LOSE",1,0)</f>
        <v>0</v>
      </c>
      <c r="CA166" s="53" t="n">
        <f aca="false">IF(AND(U166="",OR(P166="",P166="LOSE"),T166&lt;&gt;"",N(S166)&lt;=0,ISNUMBER(MATCH(T166,Parameter!$I$27:$I$29,0))),1,0)</f>
        <v>1</v>
      </c>
      <c r="CB166" s="53" t="n">
        <f aca="false">IF(CQ166&gt;0,INDEX(Parameter!$H$5:$H$7,W166)/INDEX(Parameter!$E$5:$E$7,W166),IF(AND(BZ166=0,N(IFERROR(VLOOKUP(BX166,'Gebinde-Kategorie'!$A$5:$N$45,14,0),0))&gt;0),VLOOKUP(BX166,'Gebinde-Kategorie'!$A$5:$N$45,14,0)*10+Parameter!$M$23,Parameter!$M$24))</f>
        <v>235</v>
      </c>
      <c r="CC166" s="48" t="str">
        <f aca="false">IF(AND(Parameter!$B$19="Ja",E166&lt;&gt;"",ISNUMBER(MATCH(E166,Parameter!$I$35:$I$52,0))),VLOOKUP(E166,Parameter!$I$35:$J$52,2,0),IFERROR(VLOOKUP(D166,Parameter!$A$35:$C$64,2,0),"Nein"))</f>
        <v>Nein</v>
      </c>
      <c r="CD166" s="52" t="n">
        <f aca="false">IF(BZ166=0,0,IF(N(S166)&gt;0,S166,IFERROR(VLOOKUP(D166,Parameter!$A$35:$C$64,3,0)+0,0)))</f>
        <v>0</v>
      </c>
      <c r="CE166" s="48" t="str">
        <f aca="false">IF(AA166&lt;&gt;"",AA166,Z166)</f>
        <v>-</v>
      </c>
      <c r="CF166" s="48" t="str">
        <f aca="false">IF(OR(CE166=1,CE166=2,CE166=3),IF(Parameter!$E$27="Ja","LIFT",IF(CE166=1,"L1","L23")),IF(CE166="Aussen","Aussen","-"))</f>
        <v>-</v>
      </c>
      <c r="CG166" s="59" t="n">
        <f aca="false">IF(N(AB166)&gt;0,AB166,0)</f>
        <v>0</v>
      </c>
      <c r="CH166" s="53" t="n">
        <f aca="false">IF(ISNUMBER(AE166),1,0)</f>
        <v>0</v>
      </c>
      <c r="CI166" s="50" t="n">
        <f aca="false">N(AE166)</f>
        <v>0</v>
      </c>
      <c r="CJ166" s="50" t="n">
        <f aca="false">N(M166)+N(N166)</f>
        <v>3</v>
      </c>
      <c r="CK166" s="50" t="n">
        <f aca="false">N(M166)</f>
        <v>1</v>
      </c>
      <c r="CL166" s="50" t="n">
        <f aca="false">N(N166)</f>
        <v>2</v>
      </c>
      <c r="CM166" s="50" t="n">
        <f aca="false">ROUNDUP(H166/BY166,0)</f>
        <v>1</v>
      </c>
      <c r="CN166" s="50" t="n">
        <f aca="false">ROUNDUP(CI166/BY166,0)</f>
        <v>0</v>
      </c>
      <c r="CO166" s="53" t="n">
        <f aca="false">IF(BZ166=1,0,IFERROR(VLOOKUP(BX166,'Gebinde-Kategorie'!$A$5:$N$45,5,0)+0,0))</f>
        <v>20</v>
      </c>
      <c r="CP166" s="53" t="n">
        <f aca="false">IFERROR(IF(OR(CE166=1,CE166=2,CE166=3),N(INDEX(Parameter!$I$5:$I$7,CE166)),0),0)</f>
        <v>0</v>
      </c>
      <c r="CQ166" s="52" t="n">
        <f aca="false">IF(AND(Parameter!$B$21="Ja",ISNUMBER(W166),N(X166)&gt;0),IFERROR(N(INDEX(Parameter!$L$5:$L$7,W166))*INDEX(Parameter!$E$5:$E$7,W166)*X166/SUMIFS($X$7:$X$1843,$W$7:$W$1843,W166),0),0)</f>
        <v>0</v>
      </c>
    </row>
    <row r="167" customFormat="false" ht="15" hidden="false" customHeight="false" outlineLevel="0" collapsed="false">
      <c r="A167" s="48" t="s">
        <v>550</v>
      </c>
      <c r="B167" s="48" t="s">
        <v>551</v>
      </c>
      <c r="C167" s="48" t="s">
        <v>173</v>
      </c>
      <c r="D167" s="48" t="s">
        <v>193</v>
      </c>
      <c r="E167" s="48" t="s">
        <v>194</v>
      </c>
      <c r="F167" s="48" t="s">
        <v>227</v>
      </c>
      <c r="G167" s="49" t="n">
        <v>102.3</v>
      </c>
      <c r="H167" s="50" t="n">
        <f aca="false">MAX(0,IF(AND(Parameter!$B$21="Ja",ISNUMBER(Y167)),Y167,IF(Parameter!$B$20="Jahresanfang 2025 + Export",BR167+BQ167,BQ167)))</f>
        <v>18</v>
      </c>
      <c r="I167" s="50" t="n">
        <f aca="false">H167*G167</f>
        <v>1841.4</v>
      </c>
      <c r="J167" s="50" t="n">
        <f aca="false">BT167*Parameter!$B$18</f>
        <v>28</v>
      </c>
      <c r="K167" s="51" t="n">
        <v>13</v>
      </c>
      <c r="L167" s="52" t="n">
        <v>2.15384615384615</v>
      </c>
      <c r="M167" s="50" t="n">
        <v>1</v>
      </c>
      <c r="N167" s="50" t="n">
        <v>30</v>
      </c>
      <c r="O167" s="53" t="n">
        <v>21</v>
      </c>
      <c r="P167" s="48" t="s">
        <v>311</v>
      </c>
      <c r="Q167" s="50" t="n">
        <v>7</v>
      </c>
      <c r="R167" s="53" t="n">
        <f aca="false">IF(BZ167=1,0,IFERROR(VLOOKUP(BX167,'Gebinde-Kategorie'!$A$5:$N$45,13,0)+0,0))</f>
        <v>26</v>
      </c>
      <c r="S167" s="54"/>
      <c r="T167" s="55"/>
      <c r="U167" s="55"/>
      <c r="V167" s="55"/>
      <c r="W167" s="48"/>
      <c r="X167" s="50"/>
      <c r="Y167" s="50"/>
      <c r="Z167" s="48" t="n">
        <f aca="false">IF(A167="","",IF(AND(Parameter!$B$21="Ja",ISNUMBER(W167)),W167,IF(CC167="2+3",IF(ISNUMBER(SEARCH("grosser Artikel",BU167)),2,IFERROR(VLOOKUP(BX167,Parameter!$F$35:$G$64,2,0),2)),IF(OR(CC167="Nein",CC167=""),"-",CC167))))</f>
        <v>3</v>
      </c>
      <c r="AA167" s="55"/>
      <c r="AB167" s="56"/>
      <c r="AC167" s="50" t="n">
        <f aca="false">AV167</f>
        <v>31</v>
      </c>
      <c r="AD167" s="50" t="n">
        <f aca="false">MAX(AV167,H167)</f>
        <v>31</v>
      </c>
      <c r="AE167" s="57"/>
      <c r="AF167" s="50" t="n">
        <f aca="false">IF(LEFT(Cockpit!$C$5,1)="A",H167,IF(Parameter!$E$30="MAX-Bestand",IF(CH167=1,CI167,IF(LEFT(Cockpit!$C$5,1)="B",AL167,MAX(AL167,H167))),ROUNDUP(AJ167,0)))</f>
        <v>18</v>
      </c>
      <c r="AG167" s="50" t="n">
        <f aca="false">IF(BZ167=1,0,ROUNDUP(AF167/BY167,0))</f>
        <v>3</v>
      </c>
      <c r="AH167" s="52" t="n">
        <f aca="false">IF(CQ167&gt;0,CQ167*MAX(1,AF167/X167),IF(BZ167=1,IF(AF167&lt;=0,0,CD167*MAX(1,IF(H167&gt;0,AF167/H167,1))),IF(R167&gt;0,AG167/R167,0))/MAX(0.1,N(Parameter!$M$21)))</f>
        <v>0.115384615384615</v>
      </c>
      <c r="AI167" s="50" t="n">
        <f aca="false">AH167*CB167</f>
        <v>17.8846153846154</v>
      </c>
      <c r="AJ167" s="51" t="n">
        <f aca="false">IF(LEFT(Cockpit!$C$5,1)="A",H167,IF(CH167=1,(CK167+CI167)/2,IF(LEFT(Cockpit!$C$5,1)="B",(CK167+AL167)/2,MAX((CK167+AL167)/2,H167))))</f>
        <v>18</v>
      </c>
      <c r="AK167" s="50" t="n">
        <f aca="false">AJ167*G167</f>
        <v>1841.4</v>
      </c>
      <c r="AL167" s="50" t="n">
        <f aca="false">ROUNDUP(CK167+MAX(CL167,2*(J167/IF(CG167&gt;0,CG167,MAX(0.1,N(Cockpit!$C$6)))-CK167)),0)</f>
        <v>31</v>
      </c>
      <c r="AM167" s="51" t="n">
        <f aca="false">IF(AI167&gt;0,J167/AI167,-1)</f>
        <v>1.56559139784946</v>
      </c>
      <c r="AN167" s="51" t="n">
        <f aca="false">IF(AND(OR(CF167="L1",CF167="L23",CF167="LIFT"),AI167&gt;0),SUMIFS($AI$7:$AI$1843,$CF$7:$CF$1843,CF167,$AM$7:$AM$1843,"&gt;"&amp;AM167)+SUMIFS($AI$7:$AI$1843,$CF$7:$CF$1843,CF167,$AM$7:$AM$1843,AM167,$BW$7:$BW$1843,"&lt;="&amp;BW167),"")</f>
        <v>6198.00686813187</v>
      </c>
      <c r="AO167" s="58" t="n">
        <f aca="false">IF(AN167="",0,MAX(0,MIN(1,(IF(CF167="L1",Parameter!$H$5,IF(CF167="L23",Parameter!$H$6+Parameter!$H$7,Parameter!$H$5+Parameter!$H$6+Parameter!$H$7))-(AN167-AI167))/AI167)))</f>
        <v>1</v>
      </c>
      <c r="AP167" s="50" t="n">
        <f aca="false">IF(LEFT(Cockpit!$I$5,1)="A",H167,IF(Parameter!$E$30="MAX-Bestand",IF(CH167=1,CI167,IF(LEFT(Cockpit!$I$5,1)="B",AV167,MAX(AV167,H167))),ROUNDUP(AT167,0)))</f>
        <v>18</v>
      </c>
      <c r="AQ167" s="50" t="n">
        <f aca="false">IF(BZ167=1,0,ROUNDUP(AP167/BY167,0))</f>
        <v>3</v>
      </c>
      <c r="AR167" s="52" t="n">
        <f aca="false">IF(CQ167&gt;0,CQ167*MAX(1,AP167/X167),IF(BZ167=1,IF(AP167&lt;=0,0,CD167*MAX(1,IF(H167&gt;0,AP167/H167,1))),IF(R167&gt;0,AQ167/R167,0))/MAX(0.1,N(Parameter!$M$21)))</f>
        <v>0.115384615384615</v>
      </c>
      <c r="AS167" s="50" t="n">
        <f aca="false">AR167*CB167</f>
        <v>17.8846153846154</v>
      </c>
      <c r="AT167" s="51" t="n">
        <f aca="false">IF(LEFT(Cockpit!$I$5,1)="A",H167,IF(CH167=1,(CK167+CI167)/2,IF(LEFT(Cockpit!$I$5,1)="B",(CK167+AV167)/2,MAX((CK167+AV167)/2,H167))))</f>
        <v>18</v>
      </c>
      <c r="AU167" s="50" t="n">
        <f aca="false">AT167*G167</f>
        <v>1841.4</v>
      </c>
      <c r="AV167" s="50" t="n">
        <f aca="false">ROUNDUP(CK167+MAX(CL167,2*(J167/IF(CG167&gt;0,CG167,MAX(0.1,N(Cockpit!$I$6)))-CK167)),0)</f>
        <v>31</v>
      </c>
      <c r="AW167" s="51" t="n">
        <f aca="false">IF(AS167&gt;0,J167/AS167,-1)</f>
        <v>1.56559139784946</v>
      </c>
      <c r="AX167" s="51" t="n">
        <f aca="false">IF(AND(OR(CF167="L1",CF167="L23",CF167="LIFT"),AS167&gt;0),SUMIFS($AS$7:$AS$1843,$CF$7:$CF$1843,CF167,$AW$7:$AW$1843,"&gt;"&amp;AW167)+SUMIFS($AS$7:$AS$1843,$CF$7:$CF$1843,CF167,$AW$7:$AW$1843,AW167,$BW$7:$BW$1843,"&lt;="&amp;BW167),"")</f>
        <v>7637.8956043956</v>
      </c>
      <c r="AY167" s="58" t="n">
        <f aca="false">IF(AX167="",0,MAX(0,MIN(1,(IF(CF167="L1",Parameter!$H$5,IF(CF167="L23",Parameter!$H$6+Parameter!$H$7,Parameter!$H$5+Parameter!$H$6+Parameter!$H$7))-(AX167-AS167))/AS167)))</f>
        <v>1</v>
      </c>
      <c r="AZ167" s="50" t="n">
        <f aca="false">IF(LEFT(Cockpit!$O$5,1)="A",H167,IF(Parameter!$E$30="MAX-Bestand",IF(CH167=1,CI167,IF(LEFT(Cockpit!$O$5,1)="B",BF167,MAX(BF167,H167))),ROUNDUP(BD167,0)))</f>
        <v>16</v>
      </c>
      <c r="BA167" s="50" t="n">
        <f aca="false">IF(BZ167=1,0,ROUNDUP(AZ167/BY167,0))</f>
        <v>3</v>
      </c>
      <c r="BB167" s="52" t="n">
        <f aca="false">IF(CQ167&gt;0,CQ167*MAX(1,AZ167/X167),IF(BZ167=1,IF(AZ167&lt;=0,0,CD167*MAX(1,IF(H167&gt;0,AZ167/H167,1))),IF(R167&gt;0,BA167/R167,0))/MAX(0.1,N(Parameter!$M$21)))</f>
        <v>0.115384615384615</v>
      </c>
      <c r="BC167" s="50" t="n">
        <f aca="false">BB167*CB167</f>
        <v>17.8846153846154</v>
      </c>
      <c r="BD167" s="51" t="n">
        <f aca="false">IF(LEFT(Cockpit!$O$5,1)="A",H167,IF(CH167=1,(CK167+CI167)/2,IF(LEFT(Cockpit!$O$5,1)="B",(CK167+BF167)/2,MAX((CK167+BF167)/2,H167))))</f>
        <v>16</v>
      </c>
      <c r="BE167" s="50" t="n">
        <f aca="false">BD167*G167</f>
        <v>1636.8</v>
      </c>
      <c r="BF167" s="50" t="n">
        <f aca="false">ROUNDUP(CK167+MAX(CL167,2*(J167/IF(CG167&gt;0,CG167,MAX(0.1,N(Cockpit!$O$6)))-CK167)),0)</f>
        <v>31</v>
      </c>
      <c r="BG167" s="51" t="n">
        <f aca="false">IF(BC167&gt;0,J167/BC167,-1)</f>
        <v>1.56559139784946</v>
      </c>
      <c r="BH167" s="51" t="n">
        <f aca="false">IF(AND(OR(CF167="L1",CF167="L23",CF167="LIFT"),BC167&gt;0),SUMIFS($BC$7:$BC$1843,$CF$7:$CF$1843,CF167,$BG$7:$BG$1843,"&gt;"&amp;BG167)+SUMIFS($BC$7:$BC$1843,$CF$7:$CF$1843,CF167,$BG$7:$BG$1843,BG167,$BW$7:$BW$1843,"&lt;="&amp;BW167),"")</f>
        <v>6450.55998168498</v>
      </c>
      <c r="BI167" s="58" t="n">
        <f aca="false">IF(BH167="",0,MAX(0,MIN(1,(IF(CF167="L1",Parameter!$H$5,IF(CF167="L23",Parameter!$H$6+Parameter!$H$7,Parameter!$H$5+Parameter!$H$6+Parameter!$H$7))-(BH167-BC167))/BC167)))</f>
        <v>1</v>
      </c>
      <c r="BJ167" s="48" t="str">
        <f aca="false">IF(AI167&lt;=0,"",IF(CF167="Aussen","Aussenlager",IF(CF167="-","Nicht im Lift",IF(AO167&gt;=1,"Lift",IF(AO167&lt;=0,"Aussenlager","teilweise")))))</f>
        <v>Lift</v>
      </c>
      <c r="BK167" s="48" t="str">
        <f aca="false">IF(AS167&lt;=0,"",IF(CF167="Aussen","Aussenlager",IF(CF167="-","Nicht im Lift",IF(AY167&gt;=1,"Lift",IF(AY167&lt;=0,"Aussenlager","teilweise")))))</f>
        <v>Lift</v>
      </c>
      <c r="BL167" s="48" t="str">
        <f aca="false">IF(BC167&lt;=0,"",IF(CF167="Aussen","Aussenlager",IF(CF167="-","Nicht im Lift",IF(BI167&gt;=1,"Lift",IF(BI167&lt;=0,"Aussenlager","teilweise")))))</f>
        <v>Lift</v>
      </c>
      <c r="BM167" s="48" t="str">
        <f aca="false">IF(A167="","",IF(BV167=1,"Neu; ","")&amp;IF(AND(BV167=0,BQ167&lt;0),"negativer Bestand (Export "&amp;BQ167&amp;"); ","")&amp;IF(J167&lt;=0,"Kein Verbrauch; ","")&amp;IF(CQ167&gt;0,"Lift "&amp;W167&amp;" lt. Liftbericht (Fach "&amp;X167&amp;" Stk); ",IF(CA167=1,"Gebinde geschätzt ("&amp;T167&amp;"); ",IF(BZ167=1,"Lose – Tablare geschätzt; ","")))&amp;IF(H167&gt;AV167,"Überbestand "&amp;ROUND(H167-AV167,0)&amp;" Stk / CHF "&amp;ROUND((H167-AV167)*G167,0)&amp;"; ","")&amp;IF(AND(CH167=1,CI167&lt;CJ167),"MAX &lt; MB+LG; ","")&amp;IF(AND(CP167&gt;0,CO167*10&gt;CP167),"zu hoch für Tablar; ","")&amp;IF(AND(BV167=0,OR(CH167=1,AA167&lt;&gt;"",U167&lt;&gt;"",V167&lt;&gt;"",AB167&lt;&gt;"")),"manuell übersteuert; ","")&amp;IF(AND(BZ167=0,R167=0),"Gebinde unbekannt / Stellmass fehlt; ","")&amp;IF(AND(BZ167=0,N(V167)&lt;=0,N(Q167)&lt;=0),"Menge pro Gebinde fehlt (Ist = 1 Gebinde); ","")&amp;BU167)</f>
        <v/>
      </c>
      <c r="BN167" s="48"/>
      <c r="BO167" s="48"/>
      <c r="BP167" s="55"/>
      <c r="BQ167" s="50" t="n">
        <v>10</v>
      </c>
      <c r="BR167" s="50" t="n">
        <v>8</v>
      </c>
      <c r="BS167" s="49" t="n">
        <v>1120.12</v>
      </c>
      <c r="BT167" s="50" t="n">
        <v>28</v>
      </c>
      <c r="BU167" s="48"/>
      <c r="BV167" s="53" t="n">
        <v>0</v>
      </c>
      <c r="BW167" s="53" t="n">
        <v>167</v>
      </c>
      <c r="BX167" s="48" t="str">
        <f aca="false">IF(U167&lt;&gt;"",UPPER(TRIM(U167)),IF(CA167=1,UPPER(VLOOKUP(T167,Parameter!$I$27:$K$29,2,0)),IF(P167="","LOSE",P167)))</f>
        <v>S51</v>
      </c>
      <c r="BY167" s="50" t="n">
        <f aca="false">IF(BX167="LOSE",1,IF(N(V167)&gt;0,V167,IF(CA167=1,MAX(1,N(VLOOKUP(T167,Parameter!$I$27:$K$29,3,0)),H167,N(N167)),IF(N(Q167)&gt;0,Q167,MAX(1,H167)))))</f>
        <v>7</v>
      </c>
      <c r="BZ167" s="53" t="n">
        <f aca="false">IF(BX167="LOSE",1,0)</f>
        <v>0</v>
      </c>
      <c r="CA167" s="53" t="n">
        <f aca="false">IF(AND(U167="",OR(P167="",P167="LOSE"),T167&lt;&gt;"",N(S167)&lt;=0,ISNUMBER(MATCH(T167,Parameter!$I$27:$I$29,0))),1,0)</f>
        <v>0</v>
      </c>
      <c r="CB167" s="53" t="n">
        <f aca="false">IF(CQ167&gt;0,INDEX(Parameter!$H$5:$H$7,W167)/INDEX(Parameter!$E$5:$E$7,W167),IF(AND(BZ167=0,N(IFERROR(VLOOKUP(BX167,'Gebinde-Kategorie'!$A$5:$N$45,14,0),0))&gt;0),VLOOKUP(BX167,'Gebinde-Kategorie'!$A$5:$N$45,14,0)*10+Parameter!$M$23,Parameter!$M$24))</f>
        <v>155</v>
      </c>
      <c r="CC167" s="48" t="str">
        <f aca="false">IF(AND(Parameter!$B$19="Ja",E167&lt;&gt;"",ISNUMBER(MATCH(E167,Parameter!$I$35:$I$52,0))),VLOOKUP(E167,Parameter!$I$35:$J$52,2,0),IFERROR(VLOOKUP(D167,Parameter!$A$35:$C$64,2,0),"Nein"))</f>
        <v>2+3</v>
      </c>
      <c r="CD167" s="52" t="n">
        <f aca="false">IF(BZ167=0,0,IF(N(S167)&gt;0,S167,IFERROR(VLOOKUP(D167,Parameter!$A$35:$C$64,3,0)+0,0)))</f>
        <v>0</v>
      </c>
      <c r="CE167" s="48" t="n">
        <f aca="false">IF(AA167&lt;&gt;"",AA167,Z167)</f>
        <v>3</v>
      </c>
      <c r="CF167" s="48" t="str">
        <f aca="false">IF(OR(CE167=1,CE167=2,CE167=3),IF(Parameter!$E$27="Ja","LIFT",IF(CE167=1,"L1","L23")),IF(CE167="Aussen","Aussen","-"))</f>
        <v>LIFT</v>
      </c>
      <c r="CG167" s="59" t="n">
        <f aca="false">IF(N(AB167)&gt;0,AB167,0)</f>
        <v>0</v>
      </c>
      <c r="CH167" s="53" t="n">
        <f aca="false">IF(ISNUMBER(AE167),1,0)</f>
        <v>0</v>
      </c>
      <c r="CI167" s="50" t="n">
        <f aca="false">N(AE167)</f>
        <v>0</v>
      </c>
      <c r="CJ167" s="50" t="n">
        <f aca="false">N(M167)+N(N167)</f>
        <v>31</v>
      </c>
      <c r="CK167" s="50" t="n">
        <f aca="false">N(M167)</f>
        <v>1</v>
      </c>
      <c r="CL167" s="50" t="n">
        <f aca="false">N(N167)</f>
        <v>30</v>
      </c>
      <c r="CM167" s="50" t="n">
        <f aca="false">ROUNDUP(H167/BY167,0)</f>
        <v>3</v>
      </c>
      <c r="CN167" s="50" t="n">
        <f aca="false">ROUNDUP(CI167/BY167,0)</f>
        <v>0</v>
      </c>
      <c r="CO167" s="53" t="n">
        <f aca="false">IF(BZ167=1,0,IFERROR(VLOOKUP(BX167,'Gebinde-Kategorie'!$A$5:$N$45,5,0)+0,0))</f>
        <v>11</v>
      </c>
      <c r="CP167" s="53" t="n">
        <f aca="false">IFERROR(IF(OR(CE167=1,CE167=2,CE167=3),N(INDEX(Parameter!$I$5:$I$7,CE167)),0),0)</f>
        <v>0</v>
      </c>
      <c r="CQ167" s="52" t="n">
        <f aca="false">IF(AND(Parameter!$B$21="Ja",ISNUMBER(W167),N(X167)&gt;0),IFERROR(N(INDEX(Parameter!$L$5:$L$7,W167))*INDEX(Parameter!$E$5:$E$7,W167)*X167/SUMIFS($X$7:$X$1843,$W$7:$W$1843,W167),0),0)</f>
        <v>0</v>
      </c>
    </row>
    <row r="168" customFormat="false" ht="15" hidden="false" customHeight="false" outlineLevel="0" collapsed="false">
      <c r="A168" s="48" t="s">
        <v>552</v>
      </c>
      <c r="B168" s="48" t="s">
        <v>553</v>
      </c>
      <c r="C168" s="48" t="s">
        <v>173</v>
      </c>
      <c r="D168" s="48" t="s">
        <v>193</v>
      </c>
      <c r="E168" s="48" t="s">
        <v>194</v>
      </c>
      <c r="F168" s="48" t="s">
        <v>227</v>
      </c>
      <c r="G168" s="49" t="n">
        <v>14.58</v>
      </c>
      <c r="H168" s="50" t="n">
        <f aca="false">MAX(0,IF(AND(Parameter!$B$21="Ja",ISNUMBER(Y168)),Y168,IF(Parameter!$B$20="Jahresanfang 2025 + Export",BR168+BQ168,BQ168)))</f>
        <v>130</v>
      </c>
      <c r="I168" s="50" t="n">
        <f aca="false">H168*G168</f>
        <v>1895.4</v>
      </c>
      <c r="J168" s="50" t="n">
        <f aca="false">BT168*Parameter!$B$18</f>
        <v>151</v>
      </c>
      <c r="K168" s="51" t="n">
        <v>44</v>
      </c>
      <c r="L168" s="52" t="n">
        <v>3.43181818181818</v>
      </c>
      <c r="M168" s="50" t="n">
        <v>8</v>
      </c>
      <c r="N168" s="50" t="n">
        <v>150</v>
      </c>
      <c r="O168" s="53" t="n">
        <v>28</v>
      </c>
      <c r="P168" s="48" t="s">
        <v>430</v>
      </c>
      <c r="Q168" s="50" t="n">
        <v>76</v>
      </c>
      <c r="R168" s="53" t="n">
        <f aca="false">IF(BZ168=1,0,IFERROR(VLOOKUP(BX168,'Gebinde-Kategorie'!$A$5:$N$45,13,0)+0,0))</f>
        <v>104</v>
      </c>
      <c r="S168" s="54"/>
      <c r="T168" s="55"/>
      <c r="U168" s="55"/>
      <c r="V168" s="55"/>
      <c r="W168" s="48"/>
      <c r="X168" s="50"/>
      <c r="Y168" s="50"/>
      <c r="Z168" s="48" t="n">
        <f aca="false">IF(A168="","",IF(AND(Parameter!$B$21="Ja",ISNUMBER(W168)),W168,IF(CC168="2+3",IF(ISNUMBER(SEARCH("grosser Artikel",BU168)),2,IFERROR(VLOOKUP(BX168,Parameter!$F$35:$G$64,2,0),2)),IF(OR(CC168="Nein",CC168=""),"-",CC168))))</f>
        <v>3</v>
      </c>
      <c r="AA168" s="55"/>
      <c r="AB168" s="56"/>
      <c r="AC168" s="50" t="n">
        <f aca="false">AV168</f>
        <v>158</v>
      </c>
      <c r="AD168" s="50" t="n">
        <f aca="false">MAX(AV168,H168)</f>
        <v>158</v>
      </c>
      <c r="AE168" s="57"/>
      <c r="AF168" s="50" t="n">
        <f aca="false">IF(LEFT(Cockpit!$C$5,1)="A",H168,IF(Parameter!$E$30="MAX-Bestand",IF(CH168=1,CI168,IF(LEFT(Cockpit!$C$5,1)="B",AL168,MAX(AL168,H168))),ROUNDUP(AJ168,0)))</f>
        <v>130</v>
      </c>
      <c r="AG168" s="50" t="n">
        <f aca="false">IF(BZ168=1,0,ROUNDUP(AF168/BY168,0))</f>
        <v>2</v>
      </c>
      <c r="AH168" s="52" t="n">
        <f aca="false">IF(CQ168&gt;0,CQ168*MAX(1,AF168/X168),IF(BZ168=1,IF(AF168&lt;=0,0,CD168*MAX(1,IF(H168&gt;0,AF168/H168,1))),IF(R168&gt;0,AG168/R168,0))/MAX(0.1,N(Parameter!$M$21)))</f>
        <v>0.0192307692307692</v>
      </c>
      <c r="AI168" s="50" t="n">
        <f aca="false">AH168*CB168</f>
        <v>2.98076923076923</v>
      </c>
      <c r="AJ168" s="51" t="n">
        <f aca="false">IF(LEFT(Cockpit!$C$5,1)="A",H168,IF(CH168=1,(CK168+CI168)/2,IF(LEFT(Cockpit!$C$5,1)="B",(CK168+AL168)/2,MAX((CK168+AL168)/2,H168))))</f>
        <v>130</v>
      </c>
      <c r="AK168" s="50" t="n">
        <f aca="false">AJ168*G168</f>
        <v>1895.4</v>
      </c>
      <c r="AL168" s="50" t="n">
        <f aca="false">ROUNDUP(CK168+MAX(CL168,2*(J168/IF(CG168&gt;0,CG168,MAX(0.1,N(Cockpit!$C$6)))-CK168)),0)</f>
        <v>158</v>
      </c>
      <c r="AM168" s="51" t="n">
        <f aca="false">IF(AI168&gt;0,J168/AI168,-1)</f>
        <v>50.658064516129</v>
      </c>
      <c r="AN168" s="51" t="n">
        <f aca="false">IF(AND(OR(CF168="L1",CF168="L23",CF168="LIFT"),AI168&gt;0),SUMIFS($AI$7:$AI$1843,$CF$7:$CF$1843,CF168,$AM$7:$AM$1843,"&gt;"&amp;AM168)+SUMIFS($AI$7:$AI$1843,$CF$7:$CF$1843,CF168,$AM$7:$AM$1843,AM168,$BW$7:$BW$1843,"&lt;="&amp;BW168),"")</f>
        <v>1020.91346153846</v>
      </c>
      <c r="AO168" s="58" t="n">
        <f aca="false">IF(AN168="",0,MAX(0,MIN(1,(IF(CF168="L1",Parameter!$H$5,IF(CF168="L23",Parameter!$H$6+Parameter!$H$7,Parameter!$H$5+Parameter!$H$6+Parameter!$H$7))-(AN168-AI168))/AI168)))</f>
        <v>1</v>
      </c>
      <c r="AP168" s="50" t="n">
        <f aca="false">IF(LEFT(Cockpit!$I$5,1)="A",H168,IF(Parameter!$E$30="MAX-Bestand",IF(CH168=1,CI168,IF(LEFT(Cockpit!$I$5,1)="B",AV168,MAX(AV168,H168))),ROUNDUP(AT168,0)))</f>
        <v>130</v>
      </c>
      <c r="AQ168" s="50" t="n">
        <f aca="false">IF(BZ168=1,0,ROUNDUP(AP168/BY168,0))</f>
        <v>2</v>
      </c>
      <c r="AR168" s="52" t="n">
        <f aca="false">IF(CQ168&gt;0,CQ168*MAX(1,AP168/X168),IF(BZ168=1,IF(AP168&lt;=0,0,CD168*MAX(1,IF(H168&gt;0,AP168/H168,1))),IF(R168&gt;0,AQ168/R168,0))/MAX(0.1,N(Parameter!$M$21)))</f>
        <v>0.0192307692307692</v>
      </c>
      <c r="AS168" s="50" t="n">
        <f aca="false">AR168*CB168</f>
        <v>2.98076923076923</v>
      </c>
      <c r="AT168" s="51" t="n">
        <f aca="false">IF(LEFT(Cockpit!$I$5,1)="A",H168,IF(CH168=1,(CK168+CI168)/2,IF(LEFT(Cockpit!$I$5,1)="B",(CK168+AV168)/2,MAX((CK168+AV168)/2,H168))))</f>
        <v>130</v>
      </c>
      <c r="AU168" s="50" t="n">
        <f aca="false">AT168*G168</f>
        <v>1895.4</v>
      </c>
      <c r="AV168" s="50" t="n">
        <f aca="false">ROUNDUP(CK168+MAX(CL168,2*(J168/IF(CG168&gt;0,CG168,MAX(0.1,N(Cockpit!$I$6)))-CK168)),0)</f>
        <v>158</v>
      </c>
      <c r="AW168" s="51" t="n">
        <f aca="false">IF(AS168&gt;0,J168/AS168,-1)</f>
        <v>50.658064516129</v>
      </c>
      <c r="AX168" s="51" t="n">
        <f aca="false">IF(AND(OR(CF168="L1",CF168="L23",CF168="LIFT"),AS168&gt;0),SUMIFS($AS$7:$AS$1843,$CF$7:$CF$1843,CF168,$AW$7:$AW$1843,"&gt;"&amp;AW168)+SUMIFS($AS$7:$AS$1843,$CF$7:$CF$1843,CF168,$AW$7:$AW$1843,AW168,$BW$7:$BW$1843,"&lt;="&amp;BW168),"")</f>
        <v>1304.60943223443</v>
      </c>
      <c r="AY168" s="58" t="n">
        <f aca="false">IF(AX168="",0,MAX(0,MIN(1,(IF(CF168="L1",Parameter!$H$5,IF(CF168="L23",Parameter!$H$6+Parameter!$H$7,Parameter!$H$5+Parameter!$H$6+Parameter!$H$7))-(AX168-AS168))/AS168)))</f>
        <v>1</v>
      </c>
      <c r="AZ168" s="50" t="n">
        <f aca="false">IF(LEFT(Cockpit!$O$5,1)="A",H168,IF(Parameter!$E$30="MAX-Bestand",IF(CH168=1,CI168,IF(LEFT(Cockpit!$O$5,1)="B",BF168,MAX(BF168,H168))),ROUNDUP(BD168,0)))</f>
        <v>83</v>
      </c>
      <c r="BA168" s="50" t="n">
        <f aca="false">IF(BZ168=1,0,ROUNDUP(AZ168/BY168,0))</f>
        <v>2</v>
      </c>
      <c r="BB168" s="52" t="n">
        <f aca="false">IF(CQ168&gt;0,CQ168*MAX(1,AZ168/X168),IF(BZ168=1,IF(AZ168&lt;=0,0,CD168*MAX(1,IF(H168&gt;0,AZ168/H168,1))),IF(R168&gt;0,BA168/R168,0))/MAX(0.1,N(Parameter!$M$21)))</f>
        <v>0.0192307692307692</v>
      </c>
      <c r="BC168" s="50" t="n">
        <f aca="false">BB168*CB168</f>
        <v>2.98076923076923</v>
      </c>
      <c r="BD168" s="51" t="n">
        <f aca="false">IF(LEFT(Cockpit!$O$5,1)="A",H168,IF(CH168=1,(CK168+CI168)/2,IF(LEFT(Cockpit!$O$5,1)="B",(CK168+BF168)/2,MAX((CK168+BF168)/2,H168))))</f>
        <v>83</v>
      </c>
      <c r="BE168" s="50" t="n">
        <f aca="false">BD168*G168</f>
        <v>1210.14</v>
      </c>
      <c r="BF168" s="50" t="n">
        <f aca="false">ROUNDUP(CK168+MAX(CL168,2*(J168/IF(CG168&gt;0,CG168,MAX(0.1,N(Cockpit!$O$6)))-CK168)),0)</f>
        <v>158</v>
      </c>
      <c r="BG168" s="51" t="n">
        <f aca="false">IF(BC168&gt;0,J168/BC168,-1)</f>
        <v>50.658064516129</v>
      </c>
      <c r="BH168" s="51" t="n">
        <f aca="false">IF(AND(OR(CF168="L1",CF168="L23",CF168="LIFT"),BC168&gt;0),SUMIFS($BC$7:$BC$1843,$CF$7:$CF$1843,CF168,$BG$7:$BG$1843,"&gt;"&amp;BG168)+SUMIFS($BC$7:$BC$1843,$CF$7:$CF$1843,CF168,$BG$7:$BG$1843,BG168,$BW$7:$BW$1843,"&lt;="&amp;BW168),"")</f>
        <v>1201.0467032967</v>
      </c>
      <c r="BI168" s="58" t="n">
        <f aca="false">IF(BH168="",0,MAX(0,MIN(1,(IF(CF168="L1",Parameter!$H$5,IF(CF168="L23",Parameter!$H$6+Parameter!$H$7,Parameter!$H$5+Parameter!$H$6+Parameter!$H$7))-(BH168-BC168))/BC168)))</f>
        <v>1</v>
      </c>
      <c r="BJ168" s="48" t="str">
        <f aca="false">IF(AI168&lt;=0,"",IF(CF168="Aussen","Aussenlager",IF(CF168="-","Nicht im Lift",IF(AO168&gt;=1,"Lift",IF(AO168&lt;=0,"Aussenlager","teilweise")))))</f>
        <v>Lift</v>
      </c>
      <c r="BK168" s="48" t="str">
        <f aca="false">IF(AS168&lt;=0,"",IF(CF168="Aussen","Aussenlager",IF(CF168="-","Nicht im Lift",IF(AY168&gt;=1,"Lift",IF(AY168&lt;=0,"Aussenlager","teilweise")))))</f>
        <v>Lift</v>
      </c>
      <c r="BL168" s="48" t="str">
        <f aca="false">IF(BC168&lt;=0,"",IF(CF168="Aussen","Aussenlager",IF(CF168="-","Nicht im Lift",IF(BI168&gt;=1,"Lift",IF(BI168&lt;=0,"Aussenlager","teilweise")))))</f>
        <v>Lift</v>
      </c>
      <c r="BM168" s="48" t="str">
        <f aca="false">IF(A168="","",IF(BV168=1,"Neu; ","")&amp;IF(AND(BV168=0,BQ168&lt;0),"negativer Bestand (Export "&amp;BQ168&amp;"); ","")&amp;IF(J168&lt;=0,"Kein Verbrauch; ","")&amp;IF(CQ168&gt;0,"Lift "&amp;W168&amp;" lt. Liftbericht (Fach "&amp;X168&amp;" Stk); ",IF(CA168=1,"Gebinde geschätzt ("&amp;T168&amp;"); ",IF(BZ168=1,"Lose – Tablare geschätzt; ","")))&amp;IF(H168&gt;AV168,"Überbestand "&amp;ROUND(H168-AV168,0)&amp;" Stk / CHF "&amp;ROUND((H168-AV168)*G168,0)&amp;"; ","")&amp;IF(AND(CH168=1,CI168&lt;CJ168),"MAX &lt; MB+LG; ","")&amp;IF(AND(CP168&gt;0,CO168*10&gt;CP168),"zu hoch für Tablar; ","")&amp;IF(AND(BV168=0,OR(CH168=1,AA168&lt;&gt;"",U168&lt;&gt;"",V168&lt;&gt;"",AB168&lt;&gt;"")),"manuell übersteuert; ","")&amp;IF(AND(BZ168=0,R168=0),"Gebinde unbekannt / Stellmass fehlt; ","")&amp;IF(AND(BZ168=0,N(V168)&lt;=0,N(Q168)&lt;=0),"Menge pro Gebinde fehlt (Ist = 1 Gebinde); ","")&amp;BU168)</f>
        <v/>
      </c>
      <c r="BN168" s="48"/>
      <c r="BO168" s="48"/>
      <c r="BP168" s="55"/>
      <c r="BQ168" s="50" t="n">
        <v>82</v>
      </c>
      <c r="BR168" s="50" t="n">
        <v>48</v>
      </c>
      <c r="BS168" s="49" t="n">
        <v>1112.04</v>
      </c>
      <c r="BT168" s="50" t="n">
        <v>151</v>
      </c>
      <c r="BU168" s="48"/>
      <c r="BV168" s="53" t="n">
        <v>0</v>
      </c>
      <c r="BW168" s="53" t="n">
        <v>168</v>
      </c>
      <c r="BX168" s="48" t="str">
        <f aca="false">IF(U168&lt;&gt;"",UPPER(TRIM(U168)),IF(CA168=1,UPPER(VLOOKUP(T168,Parameter!$I$27:$K$29,2,0)),IF(P168="","LOSE",P168)))</f>
        <v>S32</v>
      </c>
      <c r="BY168" s="50" t="n">
        <f aca="false">IF(BX168="LOSE",1,IF(N(V168)&gt;0,V168,IF(CA168=1,MAX(1,N(VLOOKUP(T168,Parameter!$I$27:$K$29,3,0)),H168,N(N168)),IF(N(Q168)&gt;0,Q168,MAX(1,H168)))))</f>
        <v>76</v>
      </c>
      <c r="BZ168" s="53" t="n">
        <f aca="false">IF(BX168="LOSE",1,0)</f>
        <v>0</v>
      </c>
      <c r="CA168" s="53" t="n">
        <f aca="false">IF(AND(U168="",OR(P168="",P168="LOSE"),T168&lt;&gt;"",N(S168)&lt;=0,ISNUMBER(MATCH(T168,Parameter!$I$27:$I$29,0))),1,0)</f>
        <v>0</v>
      </c>
      <c r="CB168" s="53" t="n">
        <f aca="false">IF(CQ168&gt;0,INDEX(Parameter!$H$5:$H$7,W168)/INDEX(Parameter!$E$5:$E$7,W168),IF(AND(BZ168=0,N(IFERROR(VLOOKUP(BX168,'Gebinde-Kategorie'!$A$5:$N$45,14,0),0))&gt;0),VLOOKUP(BX168,'Gebinde-Kategorie'!$A$5:$N$45,14,0)*10+Parameter!$M$23,Parameter!$M$24))</f>
        <v>155</v>
      </c>
      <c r="CC168" s="48" t="str">
        <f aca="false">IF(AND(Parameter!$B$19="Ja",E168&lt;&gt;"",ISNUMBER(MATCH(E168,Parameter!$I$35:$I$52,0))),VLOOKUP(E168,Parameter!$I$35:$J$52,2,0),IFERROR(VLOOKUP(D168,Parameter!$A$35:$C$64,2,0),"Nein"))</f>
        <v>2+3</v>
      </c>
      <c r="CD168" s="52" t="n">
        <f aca="false">IF(BZ168=0,0,IF(N(S168)&gt;0,S168,IFERROR(VLOOKUP(D168,Parameter!$A$35:$C$64,3,0)+0,0)))</f>
        <v>0</v>
      </c>
      <c r="CE168" s="48" t="n">
        <f aca="false">IF(AA168&lt;&gt;"",AA168,Z168)</f>
        <v>3</v>
      </c>
      <c r="CF168" s="48" t="str">
        <f aca="false">IF(OR(CE168=1,CE168=2,CE168=3),IF(Parameter!$E$27="Ja","LIFT",IF(CE168=1,"L1","L23")),IF(CE168="Aussen","Aussen","-"))</f>
        <v>LIFT</v>
      </c>
      <c r="CG168" s="59" t="n">
        <f aca="false">IF(N(AB168)&gt;0,AB168,0)</f>
        <v>0</v>
      </c>
      <c r="CH168" s="53" t="n">
        <f aca="false">IF(ISNUMBER(AE168),1,0)</f>
        <v>0</v>
      </c>
      <c r="CI168" s="50" t="n">
        <f aca="false">N(AE168)</f>
        <v>0</v>
      </c>
      <c r="CJ168" s="50" t="n">
        <f aca="false">N(M168)+N(N168)</f>
        <v>158</v>
      </c>
      <c r="CK168" s="50" t="n">
        <f aca="false">N(M168)</f>
        <v>8</v>
      </c>
      <c r="CL168" s="50" t="n">
        <f aca="false">N(N168)</f>
        <v>150</v>
      </c>
      <c r="CM168" s="50" t="n">
        <f aca="false">ROUNDUP(H168/BY168,0)</f>
        <v>2</v>
      </c>
      <c r="CN168" s="50" t="n">
        <f aca="false">ROUNDUP(CI168/BY168,0)</f>
        <v>0</v>
      </c>
      <c r="CO168" s="53" t="n">
        <f aca="false">IF(BZ168=1,0,IFERROR(VLOOKUP(BX168,'Gebinde-Kategorie'!$A$5:$N$45,5,0)+0,0))</f>
        <v>8</v>
      </c>
      <c r="CP168" s="53" t="n">
        <f aca="false">IFERROR(IF(OR(CE168=1,CE168=2,CE168=3),N(INDEX(Parameter!$I$5:$I$7,CE168)),0),0)</f>
        <v>0</v>
      </c>
      <c r="CQ168" s="52" t="n">
        <f aca="false">IF(AND(Parameter!$B$21="Ja",ISNUMBER(W168),N(X168)&gt;0),IFERROR(N(INDEX(Parameter!$L$5:$L$7,W168))*INDEX(Parameter!$E$5:$E$7,W168)*X168/SUMIFS($X$7:$X$1843,$W$7:$W$1843,W168),0),0)</f>
        <v>0</v>
      </c>
    </row>
    <row r="169" customFormat="false" ht="15" hidden="false" customHeight="false" outlineLevel="0" collapsed="false">
      <c r="A169" s="48" t="s">
        <v>554</v>
      </c>
      <c r="B169" s="48" t="s">
        <v>555</v>
      </c>
      <c r="C169" s="48" t="s">
        <v>173</v>
      </c>
      <c r="D169" s="48" t="s">
        <v>193</v>
      </c>
      <c r="E169" s="48"/>
      <c r="F169" s="48" t="s">
        <v>227</v>
      </c>
      <c r="G169" s="49" t="n">
        <v>11.02</v>
      </c>
      <c r="H169" s="50" t="n">
        <f aca="false">MAX(0,IF(AND(Parameter!$B$21="Ja",ISNUMBER(Y169)),Y169,IF(Parameter!$B$20="Jahresanfang 2025 + Export",BR169+BQ169,BQ169)))</f>
        <v>100</v>
      </c>
      <c r="I169" s="50" t="n">
        <f aca="false">H169*G169</f>
        <v>1102</v>
      </c>
      <c r="J169" s="50" t="n">
        <f aca="false">BT169*Parameter!$B$18</f>
        <v>0</v>
      </c>
      <c r="K169" s="51" t="n">
        <v>0</v>
      </c>
      <c r="L169" s="52" t="n">
        <v>0</v>
      </c>
      <c r="M169" s="50" t="n">
        <v>0</v>
      </c>
      <c r="N169" s="50" t="n">
        <v>1</v>
      </c>
      <c r="O169" s="53" t="n">
        <v>9999</v>
      </c>
      <c r="P169" s="48" t="s">
        <v>177</v>
      </c>
      <c r="Q169" s="50"/>
      <c r="R169" s="53" t="n">
        <f aca="false">IF(BZ169=1,0,IFERROR(VLOOKUP(BX169,'Gebinde-Kategorie'!$A$5:$N$45,13,0)+0,0))</f>
        <v>26</v>
      </c>
      <c r="S169" s="54"/>
      <c r="T169" s="55" t="s">
        <v>284</v>
      </c>
      <c r="U169" s="55"/>
      <c r="V169" s="55"/>
      <c r="W169" s="48"/>
      <c r="X169" s="50"/>
      <c r="Y169" s="50"/>
      <c r="Z169" s="48" t="n">
        <f aca="false">IF(A169="","",IF(AND(Parameter!$B$21="Ja",ISNUMBER(W169)),W169,IF(CC169="2+3",IF(ISNUMBER(SEARCH("grosser Artikel",BU169)),2,IFERROR(VLOOKUP(BX169,Parameter!$F$35:$G$64,2,0),2)),IF(OR(CC169="Nein",CC169=""),"-",CC169))))</f>
        <v>3</v>
      </c>
      <c r="AA169" s="55"/>
      <c r="AB169" s="56"/>
      <c r="AC169" s="50" t="n">
        <f aca="false">AV169</f>
        <v>1</v>
      </c>
      <c r="AD169" s="50" t="n">
        <f aca="false">MAX(AV169,H169)</f>
        <v>100</v>
      </c>
      <c r="AE169" s="57"/>
      <c r="AF169" s="50" t="n">
        <f aca="false">IF(LEFT(Cockpit!$C$5,1)="A",H169,IF(Parameter!$E$30="MAX-Bestand",IF(CH169=1,CI169,IF(LEFT(Cockpit!$C$5,1)="B",AL169,MAX(AL169,H169))),ROUNDUP(AJ169,0)))</f>
        <v>100</v>
      </c>
      <c r="AG169" s="50" t="n">
        <f aca="false">IF(BZ169=1,0,ROUNDUP(AF169/BY169,0))</f>
        <v>1</v>
      </c>
      <c r="AH169" s="52" t="n">
        <f aca="false">IF(CQ169&gt;0,CQ169*MAX(1,AF169/X169),IF(BZ169=1,IF(AF169&lt;=0,0,CD169*MAX(1,IF(H169&gt;0,AF169/H169,1))),IF(R169&gt;0,AG169/R169,0))/MAX(0.1,N(Parameter!$M$21)))</f>
        <v>0.0384615384615385</v>
      </c>
      <c r="AI169" s="50" t="n">
        <f aca="false">AH169*CB169</f>
        <v>5.96153846153846</v>
      </c>
      <c r="AJ169" s="51" t="n">
        <f aca="false">IF(LEFT(Cockpit!$C$5,1)="A",H169,IF(CH169=1,(CK169+CI169)/2,IF(LEFT(Cockpit!$C$5,1)="B",(CK169+AL169)/2,MAX((CK169+AL169)/2,H169))))</f>
        <v>100</v>
      </c>
      <c r="AK169" s="50" t="n">
        <f aca="false">AJ169*G169</f>
        <v>1102</v>
      </c>
      <c r="AL169" s="50" t="n">
        <f aca="false">ROUNDUP(CK169+MAX(CL169,2*(J169/IF(CG169&gt;0,CG169,MAX(0.1,N(Cockpit!$C$6)))-CK169)),0)</f>
        <v>1</v>
      </c>
      <c r="AM169" s="51" t="n">
        <f aca="false">IF(AI169&gt;0,J169/AI169,-1)</f>
        <v>0</v>
      </c>
      <c r="AN169" s="51" t="n">
        <f aca="false">IF(AND(OR(CF169="L1",CF169="L23",CF169="LIFT"),AI169&gt;0),SUMIFS($AI$7:$AI$1843,$CF$7:$CF$1843,CF169,$AM$7:$AM$1843,"&gt;"&amp;AM169)+SUMIFS($AI$7:$AI$1843,$CF$7:$CF$1843,CF169,$AM$7:$AM$1843,AM169,$BW$7:$BW$1843,"&lt;="&amp;BW169),"")</f>
        <v>27415.2831351793</v>
      </c>
      <c r="AO169" s="58" t="n">
        <f aca="false">IF(AN169="",0,MAX(0,MIN(1,(IF(CF169="L1",Parameter!$H$5,IF(CF169="L23",Parameter!$H$6+Parameter!$H$7,Parameter!$H$5+Parameter!$H$6+Parameter!$H$7))-(AN169-AI169))/AI169)))</f>
        <v>1</v>
      </c>
      <c r="AP169" s="50" t="n">
        <f aca="false">IF(LEFT(Cockpit!$I$5,1)="A",H169,IF(Parameter!$E$30="MAX-Bestand",IF(CH169=1,CI169,IF(LEFT(Cockpit!$I$5,1)="B",AV169,MAX(AV169,H169))),ROUNDUP(AT169,0)))</f>
        <v>100</v>
      </c>
      <c r="AQ169" s="50" t="n">
        <f aca="false">IF(BZ169=1,0,ROUNDUP(AP169/BY169,0))</f>
        <v>1</v>
      </c>
      <c r="AR169" s="52" t="n">
        <f aca="false">IF(CQ169&gt;0,CQ169*MAX(1,AP169/X169),IF(BZ169=1,IF(AP169&lt;=0,0,CD169*MAX(1,IF(H169&gt;0,AP169/H169,1))),IF(R169&gt;0,AQ169/R169,0))/MAX(0.1,N(Parameter!$M$21)))</f>
        <v>0.0384615384615385</v>
      </c>
      <c r="AS169" s="50" t="n">
        <f aca="false">AR169*CB169</f>
        <v>5.96153846153846</v>
      </c>
      <c r="AT169" s="51" t="n">
        <f aca="false">IF(LEFT(Cockpit!$I$5,1)="A",H169,IF(CH169=1,(CK169+CI169)/2,IF(LEFT(Cockpit!$I$5,1)="B",(CK169+AV169)/2,MAX((CK169+AV169)/2,H169))))</f>
        <v>100</v>
      </c>
      <c r="AU169" s="50" t="n">
        <f aca="false">AT169*G169</f>
        <v>1102</v>
      </c>
      <c r="AV169" s="50" t="n">
        <f aca="false">ROUNDUP(CK169+MAX(CL169,2*(J169/IF(CG169&gt;0,CG169,MAX(0.1,N(Cockpit!$I$6)))-CK169)),0)</f>
        <v>1</v>
      </c>
      <c r="AW169" s="51" t="n">
        <f aca="false">IF(AS169&gt;0,J169/AS169,-1)</f>
        <v>0</v>
      </c>
      <c r="AX169" s="51" t="n">
        <f aca="false">IF(AND(OR(CF169="L1",CF169="L23",CF169="LIFT"),AS169&gt;0),SUMIFS($AS$7:$AS$1843,$CF$7:$CF$1843,CF169,$AW$7:$AW$1843,"&gt;"&amp;AW169)+SUMIFS($AS$7:$AS$1843,$CF$7:$CF$1843,CF169,$AW$7:$AW$1843,AW169,$BW$7:$BW$1843,"&lt;="&amp;BW169),"")</f>
        <v>32768.4317765568</v>
      </c>
      <c r="AY169" s="58" t="n">
        <f aca="false">IF(AX169="",0,MAX(0,MIN(1,(IF(CF169="L1",Parameter!$H$5,IF(CF169="L23",Parameter!$H$6+Parameter!$H$7,Parameter!$H$5+Parameter!$H$6+Parameter!$H$7))-(AX169-AS169))/AS169)))</f>
        <v>1</v>
      </c>
      <c r="AZ169" s="50" t="n">
        <f aca="false">IF(LEFT(Cockpit!$O$5,1)="A",H169,IF(Parameter!$E$30="MAX-Bestand",IF(CH169=1,CI169,IF(LEFT(Cockpit!$O$5,1)="B",BF169,MAX(BF169,H169))),ROUNDUP(BD169,0)))</f>
        <v>1</v>
      </c>
      <c r="BA169" s="50" t="n">
        <f aca="false">IF(BZ169=1,0,ROUNDUP(AZ169/BY169,0))</f>
        <v>1</v>
      </c>
      <c r="BB169" s="52" t="n">
        <f aca="false">IF(CQ169&gt;0,CQ169*MAX(1,AZ169/X169),IF(BZ169=1,IF(AZ169&lt;=0,0,CD169*MAX(1,IF(H169&gt;0,AZ169/H169,1))),IF(R169&gt;0,BA169/R169,0))/MAX(0.1,N(Parameter!$M$21)))</f>
        <v>0.0384615384615385</v>
      </c>
      <c r="BC169" s="50" t="n">
        <f aca="false">BB169*CB169</f>
        <v>5.96153846153846</v>
      </c>
      <c r="BD169" s="51" t="n">
        <f aca="false">IF(LEFT(Cockpit!$O$5,1)="A",H169,IF(CH169=1,(CK169+CI169)/2,IF(LEFT(Cockpit!$O$5,1)="B",(CK169+BF169)/2,MAX((CK169+BF169)/2,H169))))</f>
        <v>0.5</v>
      </c>
      <c r="BE169" s="50" t="n">
        <f aca="false">BD169*G169</f>
        <v>5.51</v>
      </c>
      <c r="BF169" s="50" t="n">
        <f aca="false">ROUNDUP(CK169+MAX(CL169,2*(J169/IF(CG169&gt;0,CG169,MAX(0.1,N(Cockpit!$O$6)))-CK169)),0)</f>
        <v>1</v>
      </c>
      <c r="BG169" s="51" t="n">
        <f aca="false">IF(BC169&gt;0,J169/BC169,-1)</f>
        <v>0</v>
      </c>
      <c r="BH169" s="51" t="n">
        <f aca="false">IF(AND(OR(CF169="L1",CF169="L23",CF169="LIFT"),BC169&gt;0),SUMIFS($BC$7:$BC$1843,$CF$7:$CF$1843,CF169,$BG$7:$BG$1843,"&gt;"&amp;BG169)+SUMIFS($BC$7:$BC$1843,$CF$7:$CF$1843,CF169,$BG$7:$BG$1843,BG169,$BW$7:$BW$1843,"&lt;="&amp;BW169),"")</f>
        <v>26932.673876265</v>
      </c>
      <c r="BI169" s="58" t="n">
        <f aca="false">IF(BH169="",0,MAX(0,MIN(1,(IF(CF169="L1",Parameter!$H$5,IF(CF169="L23",Parameter!$H$6+Parameter!$H$7,Parameter!$H$5+Parameter!$H$6+Parameter!$H$7))-(BH169-BC169))/BC169)))</f>
        <v>1</v>
      </c>
      <c r="BJ169" s="48" t="str">
        <f aca="false">IF(AI169&lt;=0,"",IF(CF169="Aussen","Aussenlager",IF(CF169="-","Nicht im Lift",IF(AO169&gt;=1,"Lift",IF(AO169&lt;=0,"Aussenlager","teilweise")))))</f>
        <v>Lift</v>
      </c>
      <c r="BK169" s="48" t="str">
        <f aca="false">IF(AS169&lt;=0,"",IF(CF169="Aussen","Aussenlager",IF(CF169="-","Nicht im Lift",IF(AY169&gt;=1,"Lift",IF(AY169&lt;=0,"Aussenlager","teilweise")))))</f>
        <v>Lift</v>
      </c>
      <c r="BL169" s="48" t="str">
        <f aca="false">IF(BC169&lt;=0,"",IF(CF169="Aussen","Aussenlager",IF(CF169="-","Nicht im Lift",IF(BI169&gt;=1,"Lift",IF(BI169&lt;=0,"Aussenlager","teilweise")))))</f>
        <v>Lift</v>
      </c>
      <c r="BM169" s="48" t="str">
        <f aca="false">IF(A169="","",IF(BV169=1,"Neu; ","")&amp;IF(AND(BV169=0,BQ169&lt;0),"negativer Bestand (Export "&amp;BQ169&amp;"); ","")&amp;IF(J169&lt;=0,"Kein Verbrauch; ","")&amp;IF(CQ169&gt;0,"Lift "&amp;W169&amp;" lt. Liftbericht (Fach "&amp;X169&amp;" Stk); ",IF(CA169=1,"Gebinde geschätzt ("&amp;T169&amp;"); ",IF(BZ169=1,"Lose – Tablare geschätzt; ","")))&amp;IF(H169&gt;AV169,"Überbestand "&amp;ROUND(H169-AV169,0)&amp;" Stk / CHF "&amp;ROUND((H169-AV169)*G169,0)&amp;"; ","")&amp;IF(AND(CH169=1,CI169&lt;CJ169),"MAX &lt; MB+LG; ","")&amp;IF(AND(CP169&gt;0,CO169*10&gt;CP169),"zu hoch für Tablar; ","")&amp;IF(AND(BV169=0,OR(CH169=1,AA169&lt;&gt;"",U169&lt;&gt;"",V169&lt;&gt;"",AB169&lt;&gt;"")),"manuell übersteuert; ","")&amp;IF(AND(BZ169=0,R169=0),"Gebinde unbekannt / Stellmass fehlt; ","")&amp;IF(AND(BZ169=0,N(V169)&lt;=0,N(Q169)&lt;=0),"Menge pro Gebinde fehlt (Ist = 1 Gebinde); ","")&amp;BU169)</f>
        <v>Kein Verbrauch; Gebinde geschätzt (Klein); Überbestand 99 Stk / CHF 1091; Menge pro Gebinde fehlt (Ist = 1 Gebinde); </v>
      </c>
      <c r="BN169" s="48"/>
      <c r="BO169" s="48"/>
      <c r="BP169" s="55"/>
      <c r="BQ169" s="50" t="n">
        <v>100</v>
      </c>
      <c r="BR169" s="50" t="n">
        <v>0</v>
      </c>
      <c r="BS169" s="49" t="n">
        <v>1102</v>
      </c>
      <c r="BT169" s="50" t="n">
        <v>0</v>
      </c>
      <c r="BU169" s="48"/>
      <c r="BV169" s="53" t="n">
        <v>0</v>
      </c>
      <c r="BW169" s="53" t="n">
        <v>169</v>
      </c>
      <c r="BX169" s="48" t="str">
        <f aca="false">IF(U169&lt;&gt;"",UPPER(TRIM(U169)),IF(CA169=1,UPPER(VLOOKUP(T169,Parameter!$I$27:$K$29,2,0)),IF(P169="","LOSE",P169)))</f>
        <v>S51</v>
      </c>
      <c r="BY169" s="50" t="n">
        <f aca="false">IF(BX169="LOSE",1,IF(N(V169)&gt;0,V169,IF(CA169=1,MAX(1,N(VLOOKUP(T169,Parameter!$I$27:$K$29,3,0)),H169,N(N169)),IF(N(Q169)&gt;0,Q169,MAX(1,H169)))))</f>
        <v>100</v>
      </c>
      <c r="BZ169" s="53" t="n">
        <f aca="false">IF(BX169="LOSE",1,0)</f>
        <v>0</v>
      </c>
      <c r="CA169" s="53" t="n">
        <f aca="false">IF(AND(U169="",OR(P169="",P169="LOSE"),T169&lt;&gt;"",N(S169)&lt;=0,ISNUMBER(MATCH(T169,Parameter!$I$27:$I$29,0))),1,0)</f>
        <v>1</v>
      </c>
      <c r="CB169" s="53" t="n">
        <f aca="false">IF(CQ169&gt;0,INDEX(Parameter!$H$5:$H$7,W169)/INDEX(Parameter!$E$5:$E$7,W169),IF(AND(BZ169=0,N(IFERROR(VLOOKUP(BX169,'Gebinde-Kategorie'!$A$5:$N$45,14,0),0))&gt;0),VLOOKUP(BX169,'Gebinde-Kategorie'!$A$5:$N$45,14,0)*10+Parameter!$M$23,Parameter!$M$24))</f>
        <v>155</v>
      </c>
      <c r="CC169" s="48" t="str">
        <f aca="false">IF(AND(Parameter!$B$19="Ja",E169&lt;&gt;"",ISNUMBER(MATCH(E169,Parameter!$I$35:$I$52,0))),VLOOKUP(E169,Parameter!$I$35:$J$52,2,0),IFERROR(VLOOKUP(D169,Parameter!$A$35:$C$64,2,0),"Nein"))</f>
        <v>2+3</v>
      </c>
      <c r="CD169" s="52" t="n">
        <f aca="false">IF(BZ169=0,0,IF(N(S169)&gt;0,S169,IFERROR(VLOOKUP(D169,Parameter!$A$35:$C$64,3,0)+0,0)))</f>
        <v>0</v>
      </c>
      <c r="CE169" s="48" t="n">
        <f aca="false">IF(AA169&lt;&gt;"",AA169,Z169)</f>
        <v>3</v>
      </c>
      <c r="CF169" s="48" t="str">
        <f aca="false">IF(OR(CE169=1,CE169=2,CE169=3),IF(Parameter!$E$27="Ja","LIFT",IF(CE169=1,"L1","L23")),IF(CE169="Aussen","Aussen","-"))</f>
        <v>LIFT</v>
      </c>
      <c r="CG169" s="59" t="n">
        <f aca="false">IF(N(AB169)&gt;0,AB169,0)</f>
        <v>0</v>
      </c>
      <c r="CH169" s="53" t="n">
        <f aca="false">IF(ISNUMBER(AE169),1,0)</f>
        <v>0</v>
      </c>
      <c r="CI169" s="50" t="n">
        <f aca="false">N(AE169)</f>
        <v>0</v>
      </c>
      <c r="CJ169" s="50" t="n">
        <f aca="false">N(M169)+N(N169)</f>
        <v>1</v>
      </c>
      <c r="CK169" s="50" t="n">
        <f aca="false">N(M169)</f>
        <v>0</v>
      </c>
      <c r="CL169" s="50" t="n">
        <f aca="false">N(N169)</f>
        <v>1</v>
      </c>
      <c r="CM169" s="50" t="n">
        <f aca="false">ROUNDUP(H169/BY169,0)</f>
        <v>1</v>
      </c>
      <c r="CN169" s="50" t="n">
        <f aca="false">ROUNDUP(CI169/BY169,0)</f>
        <v>0</v>
      </c>
      <c r="CO169" s="53" t="n">
        <f aca="false">IF(BZ169=1,0,IFERROR(VLOOKUP(BX169,'Gebinde-Kategorie'!$A$5:$N$45,5,0)+0,0))</f>
        <v>11</v>
      </c>
      <c r="CP169" s="53" t="n">
        <f aca="false">IFERROR(IF(OR(CE169=1,CE169=2,CE169=3),N(INDEX(Parameter!$I$5:$I$7,CE169)),0),0)</f>
        <v>0</v>
      </c>
      <c r="CQ169" s="52" t="n">
        <f aca="false">IF(AND(Parameter!$B$21="Ja",ISNUMBER(W169),N(X169)&gt;0),IFERROR(N(INDEX(Parameter!$L$5:$L$7,W169))*INDEX(Parameter!$E$5:$E$7,W169)*X169/SUMIFS($X$7:$X$1843,$W$7:$W$1843,W169),0),0)</f>
        <v>0</v>
      </c>
    </row>
    <row r="170" customFormat="false" ht="15" hidden="false" customHeight="false" outlineLevel="0" collapsed="false">
      <c r="A170" s="48" t="s">
        <v>556</v>
      </c>
      <c r="B170" s="48" t="s">
        <v>557</v>
      </c>
      <c r="C170" s="48" t="s">
        <v>173</v>
      </c>
      <c r="D170" s="48" t="s">
        <v>193</v>
      </c>
      <c r="E170" s="48"/>
      <c r="F170" s="48" t="s">
        <v>227</v>
      </c>
      <c r="G170" s="49" t="n">
        <v>45.71</v>
      </c>
      <c r="H170" s="50" t="n">
        <f aca="false">MAX(0,IF(AND(Parameter!$B$21="Ja",ISNUMBER(Y170)),Y170,IF(Parameter!$B$20="Jahresanfang 2025 + Export",BR170+BQ170,BQ170)))</f>
        <v>24</v>
      </c>
      <c r="I170" s="50" t="n">
        <f aca="false">H170*G170</f>
        <v>1097.04</v>
      </c>
      <c r="J170" s="50" t="n">
        <f aca="false">BT170*Parameter!$B$18</f>
        <v>0</v>
      </c>
      <c r="K170" s="51" t="n">
        <v>0</v>
      </c>
      <c r="L170" s="52" t="n">
        <v>0</v>
      </c>
      <c r="M170" s="50" t="n">
        <v>0</v>
      </c>
      <c r="N170" s="50" t="n">
        <v>1</v>
      </c>
      <c r="O170" s="53" t="n">
        <v>9999</v>
      </c>
      <c r="P170" s="48" t="s">
        <v>177</v>
      </c>
      <c r="Q170" s="50"/>
      <c r="R170" s="53" t="n">
        <f aca="false">IF(BZ170=1,0,IFERROR(VLOOKUP(BX170,'Gebinde-Kategorie'!$A$5:$N$45,13,0)+0,0))</f>
        <v>26</v>
      </c>
      <c r="S170" s="54"/>
      <c r="T170" s="55" t="s">
        <v>284</v>
      </c>
      <c r="U170" s="55"/>
      <c r="V170" s="55"/>
      <c r="W170" s="48"/>
      <c r="X170" s="50"/>
      <c r="Y170" s="50"/>
      <c r="Z170" s="48" t="n">
        <f aca="false">IF(A170="","",IF(AND(Parameter!$B$21="Ja",ISNUMBER(W170)),W170,IF(CC170="2+3",IF(ISNUMBER(SEARCH("grosser Artikel",BU170)),2,IFERROR(VLOOKUP(BX170,Parameter!$F$35:$G$64,2,0),2)),IF(OR(CC170="Nein",CC170=""),"-",CC170))))</f>
        <v>3</v>
      </c>
      <c r="AA170" s="55"/>
      <c r="AB170" s="56"/>
      <c r="AC170" s="50" t="n">
        <f aca="false">AV170</f>
        <v>1</v>
      </c>
      <c r="AD170" s="50" t="n">
        <f aca="false">MAX(AV170,H170)</f>
        <v>24</v>
      </c>
      <c r="AE170" s="57"/>
      <c r="AF170" s="50" t="n">
        <f aca="false">IF(LEFT(Cockpit!$C$5,1)="A",H170,IF(Parameter!$E$30="MAX-Bestand",IF(CH170=1,CI170,IF(LEFT(Cockpit!$C$5,1)="B",AL170,MAX(AL170,H170))),ROUNDUP(AJ170,0)))</f>
        <v>24</v>
      </c>
      <c r="AG170" s="50" t="n">
        <f aca="false">IF(BZ170=1,0,ROUNDUP(AF170/BY170,0))</f>
        <v>1</v>
      </c>
      <c r="AH170" s="52" t="n">
        <f aca="false">IF(CQ170&gt;0,CQ170*MAX(1,AF170/X170),IF(BZ170=1,IF(AF170&lt;=0,0,CD170*MAX(1,IF(H170&gt;0,AF170/H170,1))),IF(R170&gt;0,AG170/R170,0))/MAX(0.1,N(Parameter!$M$21)))</f>
        <v>0.0384615384615385</v>
      </c>
      <c r="AI170" s="50" t="n">
        <f aca="false">AH170*CB170</f>
        <v>5.96153846153846</v>
      </c>
      <c r="AJ170" s="51" t="n">
        <f aca="false">IF(LEFT(Cockpit!$C$5,1)="A",H170,IF(CH170=1,(CK170+CI170)/2,IF(LEFT(Cockpit!$C$5,1)="B",(CK170+AL170)/2,MAX((CK170+AL170)/2,H170))))</f>
        <v>24</v>
      </c>
      <c r="AK170" s="50" t="n">
        <f aca="false">AJ170*G170</f>
        <v>1097.04</v>
      </c>
      <c r="AL170" s="50" t="n">
        <f aca="false">ROUNDUP(CK170+MAX(CL170,2*(J170/IF(CG170&gt;0,CG170,MAX(0.1,N(Cockpit!$C$6)))-CK170)),0)</f>
        <v>1</v>
      </c>
      <c r="AM170" s="51" t="n">
        <f aca="false">IF(AI170&gt;0,J170/AI170,-1)</f>
        <v>0</v>
      </c>
      <c r="AN170" s="51" t="n">
        <f aca="false">IF(AND(OR(CF170="L1",CF170="L23",CF170="LIFT"),AI170&gt;0),SUMIFS($AI$7:$AI$1843,$CF$7:$CF$1843,CF170,$AM$7:$AM$1843,"&gt;"&amp;AM170)+SUMIFS($AI$7:$AI$1843,$CF$7:$CF$1843,CF170,$AM$7:$AM$1843,AM170,$BW$7:$BW$1843,"&lt;="&amp;BW170),"")</f>
        <v>27421.2446736409</v>
      </c>
      <c r="AO170" s="58" t="n">
        <f aca="false">IF(AN170="",0,MAX(0,MIN(1,(IF(CF170="L1",Parameter!$H$5,IF(CF170="L23",Parameter!$H$6+Parameter!$H$7,Parameter!$H$5+Parameter!$H$6+Parameter!$H$7))-(AN170-AI170))/AI170)))</f>
        <v>1</v>
      </c>
      <c r="AP170" s="50" t="n">
        <f aca="false">IF(LEFT(Cockpit!$I$5,1)="A",H170,IF(Parameter!$E$30="MAX-Bestand",IF(CH170=1,CI170,IF(LEFT(Cockpit!$I$5,1)="B",AV170,MAX(AV170,H170))),ROUNDUP(AT170,0)))</f>
        <v>24</v>
      </c>
      <c r="AQ170" s="50" t="n">
        <f aca="false">IF(BZ170=1,0,ROUNDUP(AP170/BY170,0))</f>
        <v>1</v>
      </c>
      <c r="AR170" s="52" t="n">
        <f aca="false">IF(CQ170&gt;0,CQ170*MAX(1,AP170/X170),IF(BZ170=1,IF(AP170&lt;=0,0,CD170*MAX(1,IF(H170&gt;0,AP170/H170,1))),IF(R170&gt;0,AQ170/R170,0))/MAX(0.1,N(Parameter!$M$21)))</f>
        <v>0.0384615384615385</v>
      </c>
      <c r="AS170" s="50" t="n">
        <f aca="false">AR170*CB170</f>
        <v>5.96153846153846</v>
      </c>
      <c r="AT170" s="51" t="n">
        <f aca="false">IF(LEFT(Cockpit!$I$5,1)="A",H170,IF(CH170=1,(CK170+CI170)/2,IF(LEFT(Cockpit!$I$5,1)="B",(CK170+AV170)/2,MAX((CK170+AV170)/2,H170))))</f>
        <v>24</v>
      </c>
      <c r="AU170" s="50" t="n">
        <f aca="false">AT170*G170</f>
        <v>1097.04</v>
      </c>
      <c r="AV170" s="50" t="n">
        <f aca="false">ROUNDUP(CK170+MAX(CL170,2*(J170/IF(CG170&gt;0,CG170,MAX(0.1,N(Cockpit!$I$6)))-CK170)),0)</f>
        <v>1</v>
      </c>
      <c r="AW170" s="51" t="n">
        <f aca="false">IF(AS170&gt;0,J170/AS170,-1)</f>
        <v>0</v>
      </c>
      <c r="AX170" s="51" t="n">
        <f aca="false">IF(AND(OR(CF170="L1",CF170="L23",CF170="LIFT"),AS170&gt;0),SUMIFS($AS$7:$AS$1843,$CF$7:$CF$1843,CF170,$AW$7:$AW$1843,"&gt;"&amp;AW170)+SUMIFS($AS$7:$AS$1843,$CF$7:$CF$1843,CF170,$AW$7:$AW$1843,AW170,$BW$7:$BW$1843,"&lt;="&amp;BW170),"")</f>
        <v>32774.3933150183</v>
      </c>
      <c r="AY170" s="58" t="n">
        <f aca="false">IF(AX170="",0,MAX(0,MIN(1,(IF(CF170="L1",Parameter!$H$5,IF(CF170="L23",Parameter!$H$6+Parameter!$H$7,Parameter!$H$5+Parameter!$H$6+Parameter!$H$7))-(AX170-AS170))/AS170)))</f>
        <v>1</v>
      </c>
      <c r="AZ170" s="50" t="n">
        <f aca="false">IF(LEFT(Cockpit!$O$5,1)="A",H170,IF(Parameter!$E$30="MAX-Bestand",IF(CH170=1,CI170,IF(LEFT(Cockpit!$O$5,1)="B",BF170,MAX(BF170,H170))),ROUNDUP(BD170,0)))</f>
        <v>1</v>
      </c>
      <c r="BA170" s="50" t="n">
        <f aca="false">IF(BZ170=1,0,ROUNDUP(AZ170/BY170,0))</f>
        <v>1</v>
      </c>
      <c r="BB170" s="52" t="n">
        <f aca="false">IF(CQ170&gt;0,CQ170*MAX(1,AZ170/X170),IF(BZ170=1,IF(AZ170&lt;=0,0,CD170*MAX(1,IF(H170&gt;0,AZ170/H170,1))),IF(R170&gt;0,BA170/R170,0))/MAX(0.1,N(Parameter!$M$21)))</f>
        <v>0.0384615384615385</v>
      </c>
      <c r="BC170" s="50" t="n">
        <f aca="false">BB170*CB170</f>
        <v>5.96153846153846</v>
      </c>
      <c r="BD170" s="51" t="n">
        <f aca="false">IF(LEFT(Cockpit!$O$5,1)="A",H170,IF(CH170=1,(CK170+CI170)/2,IF(LEFT(Cockpit!$O$5,1)="B",(CK170+BF170)/2,MAX((CK170+BF170)/2,H170))))</f>
        <v>0.5</v>
      </c>
      <c r="BE170" s="50" t="n">
        <f aca="false">BD170*G170</f>
        <v>22.855</v>
      </c>
      <c r="BF170" s="50" t="n">
        <f aca="false">ROUNDUP(CK170+MAX(CL170,2*(J170/IF(CG170&gt;0,CG170,MAX(0.1,N(Cockpit!$O$6)))-CK170)),0)</f>
        <v>1</v>
      </c>
      <c r="BG170" s="51" t="n">
        <f aca="false">IF(BC170&gt;0,J170/BC170,-1)</f>
        <v>0</v>
      </c>
      <c r="BH170" s="51" t="n">
        <f aca="false">IF(AND(OR(CF170="L1",CF170="L23",CF170="LIFT"),BC170&gt;0),SUMIFS($BC$7:$BC$1843,$CF$7:$CF$1843,CF170,$BG$7:$BG$1843,"&gt;"&amp;BG170)+SUMIFS($BC$7:$BC$1843,$CF$7:$CF$1843,CF170,$BG$7:$BG$1843,BG170,$BW$7:$BW$1843,"&lt;="&amp;BW170),"")</f>
        <v>26938.6354147265</v>
      </c>
      <c r="BI170" s="58" t="n">
        <f aca="false">IF(BH170="",0,MAX(0,MIN(1,(IF(CF170="L1",Parameter!$H$5,IF(CF170="L23",Parameter!$H$6+Parameter!$H$7,Parameter!$H$5+Parameter!$H$6+Parameter!$H$7))-(BH170-BC170))/BC170)))</f>
        <v>1</v>
      </c>
      <c r="BJ170" s="48" t="str">
        <f aca="false">IF(AI170&lt;=0,"",IF(CF170="Aussen","Aussenlager",IF(CF170="-","Nicht im Lift",IF(AO170&gt;=1,"Lift",IF(AO170&lt;=0,"Aussenlager","teilweise")))))</f>
        <v>Lift</v>
      </c>
      <c r="BK170" s="48" t="str">
        <f aca="false">IF(AS170&lt;=0,"",IF(CF170="Aussen","Aussenlager",IF(CF170="-","Nicht im Lift",IF(AY170&gt;=1,"Lift",IF(AY170&lt;=0,"Aussenlager","teilweise")))))</f>
        <v>Lift</v>
      </c>
      <c r="BL170" s="48" t="str">
        <f aca="false">IF(BC170&lt;=0,"",IF(CF170="Aussen","Aussenlager",IF(CF170="-","Nicht im Lift",IF(BI170&gt;=1,"Lift",IF(BI170&lt;=0,"Aussenlager","teilweise")))))</f>
        <v>Lift</v>
      </c>
      <c r="BM170" s="48" t="str">
        <f aca="false">IF(A170="","",IF(BV170=1,"Neu; ","")&amp;IF(AND(BV170=0,BQ170&lt;0),"negativer Bestand (Export "&amp;BQ170&amp;"); ","")&amp;IF(J170&lt;=0,"Kein Verbrauch; ","")&amp;IF(CQ170&gt;0,"Lift "&amp;W170&amp;" lt. Liftbericht (Fach "&amp;X170&amp;" Stk); ",IF(CA170=1,"Gebinde geschätzt ("&amp;T170&amp;"); ",IF(BZ170=1,"Lose – Tablare geschätzt; ","")))&amp;IF(H170&gt;AV170,"Überbestand "&amp;ROUND(H170-AV170,0)&amp;" Stk / CHF "&amp;ROUND((H170-AV170)*G170,0)&amp;"; ","")&amp;IF(AND(CH170=1,CI170&lt;CJ170),"MAX &lt; MB+LG; ","")&amp;IF(AND(CP170&gt;0,CO170*10&gt;CP170),"zu hoch für Tablar; ","")&amp;IF(AND(BV170=0,OR(CH170=1,AA170&lt;&gt;"",U170&lt;&gt;"",V170&lt;&gt;"",AB170&lt;&gt;"")),"manuell übersteuert; ","")&amp;IF(AND(BZ170=0,R170=0),"Gebinde unbekannt / Stellmass fehlt; ","")&amp;IF(AND(BZ170=0,N(V170)&lt;=0,N(Q170)&lt;=0),"Menge pro Gebinde fehlt (Ist = 1 Gebinde); ","")&amp;BU170)</f>
        <v>Kein Verbrauch; Gebinde geschätzt (Klein); Überbestand 23 Stk / CHF 1051; Menge pro Gebinde fehlt (Ist = 1 Gebinde); </v>
      </c>
      <c r="BN170" s="48"/>
      <c r="BO170" s="48"/>
      <c r="BP170" s="55"/>
      <c r="BQ170" s="50" t="n">
        <v>24</v>
      </c>
      <c r="BR170" s="50" t="n">
        <v>0</v>
      </c>
      <c r="BS170" s="49" t="n">
        <v>1097.04</v>
      </c>
      <c r="BT170" s="50" t="n">
        <v>0</v>
      </c>
      <c r="BU170" s="48"/>
      <c r="BV170" s="53" t="n">
        <v>0</v>
      </c>
      <c r="BW170" s="53" t="n">
        <v>170</v>
      </c>
      <c r="BX170" s="48" t="str">
        <f aca="false">IF(U170&lt;&gt;"",UPPER(TRIM(U170)),IF(CA170=1,UPPER(VLOOKUP(T170,Parameter!$I$27:$K$29,2,0)),IF(P170="","LOSE",P170)))</f>
        <v>S51</v>
      </c>
      <c r="BY170" s="50" t="n">
        <f aca="false">IF(BX170="LOSE",1,IF(N(V170)&gt;0,V170,IF(CA170=1,MAX(1,N(VLOOKUP(T170,Parameter!$I$27:$K$29,3,0)),H170,N(N170)),IF(N(Q170)&gt;0,Q170,MAX(1,H170)))))</f>
        <v>24</v>
      </c>
      <c r="BZ170" s="53" t="n">
        <f aca="false">IF(BX170="LOSE",1,0)</f>
        <v>0</v>
      </c>
      <c r="CA170" s="53" t="n">
        <f aca="false">IF(AND(U170="",OR(P170="",P170="LOSE"),T170&lt;&gt;"",N(S170)&lt;=0,ISNUMBER(MATCH(T170,Parameter!$I$27:$I$29,0))),1,0)</f>
        <v>1</v>
      </c>
      <c r="CB170" s="53" t="n">
        <f aca="false">IF(CQ170&gt;0,INDEX(Parameter!$H$5:$H$7,W170)/INDEX(Parameter!$E$5:$E$7,W170),IF(AND(BZ170=0,N(IFERROR(VLOOKUP(BX170,'Gebinde-Kategorie'!$A$5:$N$45,14,0),0))&gt;0),VLOOKUP(BX170,'Gebinde-Kategorie'!$A$5:$N$45,14,0)*10+Parameter!$M$23,Parameter!$M$24))</f>
        <v>155</v>
      </c>
      <c r="CC170" s="48" t="str">
        <f aca="false">IF(AND(Parameter!$B$19="Ja",E170&lt;&gt;"",ISNUMBER(MATCH(E170,Parameter!$I$35:$I$52,0))),VLOOKUP(E170,Parameter!$I$35:$J$52,2,0),IFERROR(VLOOKUP(D170,Parameter!$A$35:$C$64,2,0),"Nein"))</f>
        <v>2+3</v>
      </c>
      <c r="CD170" s="52" t="n">
        <f aca="false">IF(BZ170=0,0,IF(N(S170)&gt;0,S170,IFERROR(VLOOKUP(D170,Parameter!$A$35:$C$64,3,0)+0,0)))</f>
        <v>0</v>
      </c>
      <c r="CE170" s="48" t="n">
        <f aca="false">IF(AA170&lt;&gt;"",AA170,Z170)</f>
        <v>3</v>
      </c>
      <c r="CF170" s="48" t="str">
        <f aca="false">IF(OR(CE170=1,CE170=2,CE170=3),IF(Parameter!$E$27="Ja","LIFT",IF(CE170=1,"L1","L23")),IF(CE170="Aussen","Aussen","-"))</f>
        <v>LIFT</v>
      </c>
      <c r="CG170" s="59" t="n">
        <f aca="false">IF(N(AB170)&gt;0,AB170,0)</f>
        <v>0</v>
      </c>
      <c r="CH170" s="53" t="n">
        <f aca="false">IF(ISNUMBER(AE170),1,0)</f>
        <v>0</v>
      </c>
      <c r="CI170" s="50" t="n">
        <f aca="false">N(AE170)</f>
        <v>0</v>
      </c>
      <c r="CJ170" s="50" t="n">
        <f aca="false">N(M170)+N(N170)</f>
        <v>1</v>
      </c>
      <c r="CK170" s="50" t="n">
        <f aca="false">N(M170)</f>
        <v>0</v>
      </c>
      <c r="CL170" s="50" t="n">
        <f aca="false">N(N170)</f>
        <v>1</v>
      </c>
      <c r="CM170" s="50" t="n">
        <f aca="false">ROUNDUP(H170/BY170,0)</f>
        <v>1</v>
      </c>
      <c r="CN170" s="50" t="n">
        <f aca="false">ROUNDUP(CI170/BY170,0)</f>
        <v>0</v>
      </c>
      <c r="CO170" s="53" t="n">
        <f aca="false">IF(BZ170=1,0,IFERROR(VLOOKUP(BX170,'Gebinde-Kategorie'!$A$5:$N$45,5,0)+0,0))</f>
        <v>11</v>
      </c>
      <c r="CP170" s="53" t="n">
        <f aca="false">IFERROR(IF(OR(CE170=1,CE170=2,CE170=3),N(INDEX(Parameter!$I$5:$I$7,CE170)),0),0)</f>
        <v>0</v>
      </c>
      <c r="CQ170" s="52" t="n">
        <f aca="false">IF(AND(Parameter!$B$21="Ja",ISNUMBER(W170),N(X170)&gt;0),IFERROR(N(INDEX(Parameter!$L$5:$L$7,W170))*INDEX(Parameter!$E$5:$E$7,W170)*X170/SUMIFS($X$7:$X$1843,$W$7:$W$1843,W170),0),0)</f>
        <v>0</v>
      </c>
    </row>
    <row r="171" customFormat="false" ht="15" hidden="false" customHeight="false" outlineLevel="0" collapsed="false">
      <c r="A171" s="48" t="s">
        <v>558</v>
      </c>
      <c r="B171" s="48" t="s">
        <v>557</v>
      </c>
      <c r="C171" s="48" t="s">
        <v>173</v>
      </c>
      <c r="D171" s="48" t="s">
        <v>193</v>
      </c>
      <c r="E171" s="48"/>
      <c r="F171" s="48" t="s">
        <v>227</v>
      </c>
      <c r="G171" s="49" t="n">
        <v>45.71</v>
      </c>
      <c r="H171" s="50" t="n">
        <f aca="false">MAX(0,IF(AND(Parameter!$B$21="Ja",ISNUMBER(Y171)),Y171,IF(Parameter!$B$20="Jahresanfang 2025 + Export",BR171+BQ171,BQ171)))</f>
        <v>24</v>
      </c>
      <c r="I171" s="50" t="n">
        <f aca="false">H171*G171</f>
        <v>1097.04</v>
      </c>
      <c r="J171" s="50" t="n">
        <f aca="false">BT171*Parameter!$B$18</f>
        <v>0</v>
      </c>
      <c r="K171" s="51" t="n">
        <v>0</v>
      </c>
      <c r="L171" s="52" t="n">
        <v>0</v>
      </c>
      <c r="M171" s="50" t="n">
        <v>0</v>
      </c>
      <c r="N171" s="50" t="n">
        <v>1</v>
      </c>
      <c r="O171" s="53" t="n">
        <v>9999</v>
      </c>
      <c r="P171" s="48" t="s">
        <v>177</v>
      </c>
      <c r="Q171" s="50"/>
      <c r="R171" s="53" t="n">
        <f aca="false">IF(BZ171=1,0,IFERROR(VLOOKUP(BX171,'Gebinde-Kategorie'!$A$5:$N$45,13,0)+0,0))</f>
        <v>26</v>
      </c>
      <c r="S171" s="54"/>
      <c r="T171" s="55" t="s">
        <v>284</v>
      </c>
      <c r="U171" s="55"/>
      <c r="V171" s="55"/>
      <c r="W171" s="48"/>
      <c r="X171" s="50"/>
      <c r="Y171" s="50"/>
      <c r="Z171" s="48" t="n">
        <f aca="false">IF(A171="","",IF(AND(Parameter!$B$21="Ja",ISNUMBER(W171)),W171,IF(CC171="2+3",IF(ISNUMBER(SEARCH("grosser Artikel",BU171)),2,IFERROR(VLOOKUP(BX171,Parameter!$F$35:$G$64,2,0),2)),IF(OR(CC171="Nein",CC171=""),"-",CC171))))</f>
        <v>3</v>
      </c>
      <c r="AA171" s="55"/>
      <c r="AB171" s="56"/>
      <c r="AC171" s="50" t="n">
        <f aca="false">AV171</f>
        <v>1</v>
      </c>
      <c r="AD171" s="50" t="n">
        <f aca="false">MAX(AV171,H171)</f>
        <v>24</v>
      </c>
      <c r="AE171" s="57"/>
      <c r="AF171" s="50" t="n">
        <f aca="false">IF(LEFT(Cockpit!$C$5,1)="A",H171,IF(Parameter!$E$30="MAX-Bestand",IF(CH171=1,CI171,IF(LEFT(Cockpit!$C$5,1)="B",AL171,MAX(AL171,H171))),ROUNDUP(AJ171,0)))</f>
        <v>24</v>
      </c>
      <c r="AG171" s="50" t="n">
        <f aca="false">IF(BZ171=1,0,ROUNDUP(AF171/BY171,0))</f>
        <v>1</v>
      </c>
      <c r="AH171" s="52" t="n">
        <f aca="false">IF(CQ171&gt;0,CQ171*MAX(1,AF171/X171),IF(BZ171=1,IF(AF171&lt;=0,0,CD171*MAX(1,IF(H171&gt;0,AF171/H171,1))),IF(R171&gt;0,AG171/R171,0))/MAX(0.1,N(Parameter!$M$21)))</f>
        <v>0.0384615384615385</v>
      </c>
      <c r="AI171" s="50" t="n">
        <f aca="false">AH171*CB171</f>
        <v>5.96153846153846</v>
      </c>
      <c r="AJ171" s="51" t="n">
        <f aca="false">IF(LEFT(Cockpit!$C$5,1)="A",H171,IF(CH171=1,(CK171+CI171)/2,IF(LEFT(Cockpit!$C$5,1)="B",(CK171+AL171)/2,MAX((CK171+AL171)/2,H171))))</f>
        <v>24</v>
      </c>
      <c r="AK171" s="50" t="n">
        <f aca="false">AJ171*G171</f>
        <v>1097.04</v>
      </c>
      <c r="AL171" s="50" t="n">
        <f aca="false">ROUNDUP(CK171+MAX(CL171,2*(J171/IF(CG171&gt;0,CG171,MAX(0.1,N(Cockpit!$C$6)))-CK171)),0)</f>
        <v>1</v>
      </c>
      <c r="AM171" s="51" t="n">
        <f aca="false">IF(AI171&gt;0,J171/AI171,-1)</f>
        <v>0</v>
      </c>
      <c r="AN171" s="51" t="n">
        <f aca="false">IF(AND(OR(CF171="L1",CF171="L23",CF171="LIFT"),AI171&gt;0),SUMIFS($AI$7:$AI$1843,$CF$7:$CF$1843,CF171,$AM$7:$AM$1843,"&gt;"&amp;AM171)+SUMIFS($AI$7:$AI$1843,$CF$7:$CF$1843,CF171,$AM$7:$AM$1843,AM171,$BW$7:$BW$1843,"&lt;="&amp;BW171),"")</f>
        <v>27427.2062121024</v>
      </c>
      <c r="AO171" s="58" t="n">
        <f aca="false">IF(AN171="",0,MAX(0,MIN(1,(IF(CF171="L1",Parameter!$H$5,IF(CF171="L23",Parameter!$H$6+Parameter!$H$7,Parameter!$H$5+Parameter!$H$6+Parameter!$H$7))-(AN171-AI171))/AI171)))</f>
        <v>1</v>
      </c>
      <c r="AP171" s="50" t="n">
        <f aca="false">IF(LEFT(Cockpit!$I$5,1)="A",H171,IF(Parameter!$E$30="MAX-Bestand",IF(CH171=1,CI171,IF(LEFT(Cockpit!$I$5,1)="B",AV171,MAX(AV171,H171))),ROUNDUP(AT171,0)))</f>
        <v>24</v>
      </c>
      <c r="AQ171" s="50" t="n">
        <f aca="false">IF(BZ171=1,0,ROUNDUP(AP171/BY171,0))</f>
        <v>1</v>
      </c>
      <c r="AR171" s="52" t="n">
        <f aca="false">IF(CQ171&gt;0,CQ171*MAX(1,AP171/X171),IF(BZ171=1,IF(AP171&lt;=0,0,CD171*MAX(1,IF(H171&gt;0,AP171/H171,1))),IF(R171&gt;0,AQ171/R171,0))/MAX(0.1,N(Parameter!$M$21)))</f>
        <v>0.0384615384615385</v>
      </c>
      <c r="AS171" s="50" t="n">
        <f aca="false">AR171*CB171</f>
        <v>5.96153846153846</v>
      </c>
      <c r="AT171" s="51" t="n">
        <f aca="false">IF(LEFT(Cockpit!$I$5,1)="A",H171,IF(CH171=1,(CK171+CI171)/2,IF(LEFT(Cockpit!$I$5,1)="B",(CK171+AV171)/2,MAX((CK171+AV171)/2,H171))))</f>
        <v>24</v>
      </c>
      <c r="AU171" s="50" t="n">
        <f aca="false">AT171*G171</f>
        <v>1097.04</v>
      </c>
      <c r="AV171" s="50" t="n">
        <f aca="false">ROUNDUP(CK171+MAX(CL171,2*(J171/IF(CG171&gt;0,CG171,MAX(0.1,N(Cockpit!$I$6)))-CK171)),0)</f>
        <v>1</v>
      </c>
      <c r="AW171" s="51" t="n">
        <f aca="false">IF(AS171&gt;0,J171/AS171,-1)</f>
        <v>0</v>
      </c>
      <c r="AX171" s="51" t="n">
        <f aca="false">IF(AND(OR(CF171="L1",CF171="L23",CF171="LIFT"),AS171&gt;0),SUMIFS($AS$7:$AS$1843,$CF$7:$CF$1843,CF171,$AW$7:$AW$1843,"&gt;"&amp;AW171)+SUMIFS($AS$7:$AS$1843,$CF$7:$CF$1843,CF171,$AW$7:$AW$1843,AW171,$BW$7:$BW$1843,"&lt;="&amp;BW171),"")</f>
        <v>32780.3548534799</v>
      </c>
      <c r="AY171" s="58" t="n">
        <f aca="false">IF(AX171="",0,MAX(0,MIN(1,(IF(CF171="L1",Parameter!$H$5,IF(CF171="L23",Parameter!$H$6+Parameter!$H$7,Parameter!$H$5+Parameter!$H$6+Parameter!$H$7))-(AX171-AS171))/AS171)))</f>
        <v>1</v>
      </c>
      <c r="AZ171" s="50" t="n">
        <f aca="false">IF(LEFT(Cockpit!$O$5,1)="A",H171,IF(Parameter!$E$30="MAX-Bestand",IF(CH171=1,CI171,IF(LEFT(Cockpit!$O$5,1)="B",BF171,MAX(BF171,H171))),ROUNDUP(BD171,0)))</f>
        <v>1</v>
      </c>
      <c r="BA171" s="50" t="n">
        <f aca="false">IF(BZ171=1,0,ROUNDUP(AZ171/BY171,0))</f>
        <v>1</v>
      </c>
      <c r="BB171" s="52" t="n">
        <f aca="false">IF(CQ171&gt;0,CQ171*MAX(1,AZ171/X171),IF(BZ171=1,IF(AZ171&lt;=0,0,CD171*MAX(1,IF(H171&gt;0,AZ171/H171,1))),IF(R171&gt;0,BA171/R171,0))/MAX(0.1,N(Parameter!$M$21)))</f>
        <v>0.0384615384615385</v>
      </c>
      <c r="BC171" s="50" t="n">
        <f aca="false">BB171*CB171</f>
        <v>5.96153846153846</v>
      </c>
      <c r="BD171" s="51" t="n">
        <f aca="false">IF(LEFT(Cockpit!$O$5,1)="A",H171,IF(CH171=1,(CK171+CI171)/2,IF(LEFT(Cockpit!$O$5,1)="B",(CK171+BF171)/2,MAX((CK171+BF171)/2,H171))))</f>
        <v>0.5</v>
      </c>
      <c r="BE171" s="50" t="n">
        <f aca="false">BD171*G171</f>
        <v>22.855</v>
      </c>
      <c r="BF171" s="50" t="n">
        <f aca="false">ROUNDUP(CK171+MAX(CL171,2*(J171/IF(CG171&gt;0,CG171,MAX(0.1,N(Cockpit!$O$6)))-CK171)),0)</f>
        <v>1</v>
      </c>
      <c r="BG171" s="51" t="n">
        <f aca="false">IF(BC171&gt;0,J171/BC171,-1)</f>
        <v>0</v>
      </c>
      <c r="BH171" s="51" t="n">
        <f aca="false">IF(AND(OR(CF171="L1",CF171="L23",CF171="LIFT"),BC171&gt;0),SUMIFS($BC$7:$BC$1843,$CF$7:$CF$1843,CF171,$BG$7:$BG$1843,"&gt;"&amp;BG171)+SUMIFS($BC$7:$BC$1843,$CF$7:$CF$1843,CF171,$BG$7:$BG$1843,BG171,$BW$7:$BW$1843,"&lt;="&amp;BW171),"")</f>
        <v>26944.5969531881</v>
      </c>
      <c r="BI171" s="58" t="n">
        <f aca="false">IF(BH171="",0,MAX(0,MIN(1,(IF(CF171="L1",Parameter!$H$5,IF(CF171="L23",Parameter!$H$6+Parameter!$H$7,Parameter!$H$5+Parameter!$H$6+Parameter!$H$7))-(BH171-BC171))/BC171)))</f>
        <v>1</v>
      </c>
      <c r="BJ171" s="48" t="str">
        <f aca="false">IF(AI171&lt;=0,"",IF(CF171="Aussen","Aussenlager",IF(CF171="-","Nicht im Lift",IF(AO171&gt;=1,"Lift",IF(AO171&lt;=0,"Aussenlager","teilweise")))))</f>
        <v>Lift</v>
      </c>
      <c r="BK171" s="48" t="str">
        <f aca="false">IF(AS171&lt;=0,"",IF(CF171="Aussen","Aussenlager",IF(CF171="-","Nicht im Lift",IF(AY171&gt;=1,"Lift",IF(AY171&lt;=0,"Aussenlager","teilweise")))))</f>
        <v>Lift</v>
      </c>
      <c r="BL171" s="48" t="str">
        <f aca="false">IF(BC171&lt;=0,"",IF(CF171="Aussen","Aussenlager",IF(CF171="-","Nicht im Lift",IF(BI171&gt;=1,"Lift",IF(BI171&lt;=0,"Aussenlager","teilweise")))))</f>
        <v>Lift</v>
      </c>
      <c r="BM171" s="48" t="str">
        <f aca="false">IF(A171="","",IF(BV171=1,"Neu; ","")&amp;IF(AND(BV171=0,BQ171&lt;0),"negativer Bestand (Export "&amp;BQ171&amp;"); ","")&amp;IF(J171&lt;=0,"Kein Verbrauch; ","")&amp;IF(CQ171&gt;0,"Lift "&amp;W171&amp;" lt. Liftbericht (Fach "&amp;X171&amp;" Stk); ",IF(CA171=1,"Gebinde geschätzt ("&amp;T171&amp;"); ",IF(BZ171=1,"Lose – Tablare geschätzt; ","")))&amp;IF(H171&gt;AV171,"Überbestand "&amp;ROUND(H171-AV171,0)&amp;" Stk / CHF "&amp;ROUND((H171-AV171)*G171,0)&amp;"; ","")&amp;IF(AND(CH171=1,CI171&lt;CJ171),"MAX &lt; MB+LG; ","")&amp;IF(AND(CP171&gt;0,CO171*10&gt;CP171),"zu hoch für Tablar; ","")&amp;IF(AND(BV171=0,OR(CH171=1,AA171&lt;&gt;"",U171&lt;&gt;"",V171&lt;&gt;"",AB171&lt;&gt;"")),"manuell übersteuert; ","")&amp;IF(AND(BZ171=0,R171=0),"Gebinde unbekannt / Stellmass fehlt; ","")&amp;IF(AND(BZ171=0,N(V171)&lt;=0,N(Q171)&lt;=0),"Menge pro Gebinde fehlt (Ist = 1 Gebinde); ","")&amp;BU171)</f>
        <v>Kein Verbrauch; Gebinde geschätzt (Klein); Überbestand 23 Stk / CHF 1051; Menge pro Gebinde fehlt (Ist = 1 Gebinde); </v>
      </c>
      <c r="BN171" s="48"/>
      <c r="BO171" s="48"/>
      <c r="BP171" s="55"/>
      <c r="BQ171" s="50" t="n">
        <v>24</v>
      </c>
      <c r="BR171" s="50" t="n">
        <v>0</v>
      </c>
      <c r="BS171" s="49" t="n">
        <v>1097.04</v>
      </c>
      <c r="BT171" s="50" t="n">
        <v>0</v>
      </c>
      <c r="BU171" s="48"/>
      <c r="BV171" s="53" t="n">
        <v>0</v>
      </c>
      <c r="BW171" s="53" t="n">
        <v>171</v>
      </c>
      <c r="BX171" s="48" t="str">
        <f aca="false">IF(U171&lt;&gt;"",UPPER(TRIM(U171)),IF(CA171=1,UPPER(VLOOKUP(T171,Parameter!$I$27:$K$29,2,0)),IF(P171="","LOSE",P171)))</f>
        <v>S51</v>
      </c>
      <c r="BY171" s="50" t="n">
        <f aca="false">IF(BX171="LOSE",1,IF(N(V171)&gt;0,V171,IF(CA171=1,MAX(1,N(VLOOKUP(T171,Parameter!$I$27:$K$29,3,0)),H171,N(N171)),IF(N(Q171)&gt;0,Q171,MAX(1,H171)))))</f>
        <v>24</v>
      </c>
      <c r="BZ171" s="53" t="n">
        <f aca="false">IF(BX171="LOSE",1,0)</f>
        <v>0</v>
      </c>
      <c r="CA171" s="53" t="n">
        <f aca="false">IF(AND(U171="",OR(P171="",P171="LOSE"),T171&lt;&gt;"",N(S171)&lt;=0,ISNUMBER(MATCH(T171,Parameter!$I$27:$I$29,0))),1,0)</f>
        <v>1</v>
      </c>
      <c r="CB171" s="53" t="n">
        <f aca="false">IF(CQ171&gt;0,INDEX(Parameter!$H$5:$H$7,W171)/INDEX(Parameter!$E$5:$E$7,W171),IF(AND(BZ171=0,N(IFERROR(VLOOKUP(BX171,'Gebinde-Kategorie'!$A$5:$N$45,14,0),0))&gt;0),VLOOKUP(BX171,'Gebinde-Kategorie'!$A$5:$N$45,14,0)*10+Parameter!$M$23,Parameter!$M$24))</f>
        <v>155</v>
      </c>
      <c r="CC171" s="48" t="str">
        <f aca="false">IF(AND(Parameter!$B$19="Ja",E171&lt;&gt;"",ISNUMBER(MATCH(E171,Parameter!$I$35:$I$52,0))),VLOOKUP(E171,Parameter!$I$35:$J$52,2,0),IFERROR(VLOOKUP(D171,Parameter!$A$35:$C$64,2,0),"Nein"))</f>
        <v>2+3</v>
      </c>
      <c r="CD171" s="52" t="n">
        <f aca="false">IF(BZ171=0,0,IF(N(S171)&gt;0,S171,IFERROR(VLOOKUP(D171,Parameter!$A$35:$C$64,3,0)+0,0)))</f>
        <v>0</v>
      </c>
      <c r="CE171" s="48" t="n">
        <f aca="false">IF(AA171&lt;&gt;"",AA171,Z171)</f>
        <v>3</v>
      </c>
      <c r="CF171" s="48" t="str">
        <f aca="false">IF(OR(CE171=1,CE171=2,CE171=3),IF(Parameter!$E$27="Ja","LIFT",IF(CE171=1,"L1","L23")),IF(CE171="Aussen","Aussen","-"))</f>
        <v>LIFT</v>
      </c>
      <c r="CG171" s="59" t="n">
        <f aca="false">IF(N(AB171)&gt;0,AB171,0)</f>
        <v>0</v>
      </c>
      <c r="CH171" s="53" t="n">
        <f aca="false">IF(ISNUMBER(AE171),1,0)</f>
        <v>0</v>
      </c>
      <c r="CI171" s="50" t="n">
        <f aca="false">N(AE171)</f>
        <v>0</v>
      </c>
      <c r="CJ171" s="50" t="n">
        <f aca="false">N(M171)+N(N171)</f>
        <v>1</v>
      </c>
      <c r="CK171" s="50" t="n">
        <f aca="false">N(M171)</f>
        <v>0</v>
      </c>
      <c r="CL171" s="50" t="n">
        <f aca="false">N(N171)</f>
        <v>1</v>
      </c>
      <c r="CM171" s="50" t="n">
        <f aca="false">ROUNDUP(H171/BY171,0)</f>
        <v>1</v>
      </c>
      <c r="CN171" s="50" t="n">
        <f aca="false">ROUNDUP(CI171/BY171,0)</f>
        <v>0</v>
      </c>
      <c r="CO171" s="53" t="n">
        <f aca="false">IF(BZ171=1,0,IFERROR(VLOOKUP(BX171,'Gebinde-Kategorie'!$A$5:$N$45,5,0)+0,0))</f>
        <v>11</v>
      </c>
      <c r="CP171" s="53" t="n">
        <f aca="false">IFERROR(IF(OR(CE171=1,CE171=2,CE171=3),N(INDEX(Parameter!$I$5:$I$7,CE171)),0),0)</f>
        <v>0</v>
      </c>
      <c r="CQ171" s="52" t="n">
        <f aca="false">IF(AND(Parameter!$B$21="Ja",ISNUMBER(W171),N(X171)&gt;0),IFERROR(N(INDEX(Parameter!$L$5:$L$7,W171))*INDEX(Parameter!$E$5:$E$7,W171)*X171/SUMIFS($X$7:$X$1843,$W$7:$W$1843,W171),0),0)</f>
        <v>0</v>
      </c>
    </row>
    <row r="172" customFormat="false" ht="15" hidden="false" customHeight="false" outlineLevel="0" collapsed="false">
      <c r="A172" s="48" t="s">
        <v>559</v>
      </c>
      <c r="B172" s="48" t="s">
        <v>560</v>
      </c>
      <c r="C172" s="48" t="s">
        <v>173</v>
      </c>
      <c r="D172" s="48" t="s">
        <v>193</v>
      </c>
      <c r="E172" s="48" t="s">
        <v>194</v>
      </c>
      <c r="F172" s="48" t="s">
        <v>227</v>
      </c>
      <c r="G172" s="49" t="n">
        <v>10.48</v>
      </c>
      <c r="H172" s="50" t="n">
        <f aca="false">MAX(0,IF(AND(Parameter!$B$21="Ja",ISNUMBER(Y172)),Y172,IF(Parameter!$B$20="Jahresanfang 2025 + Export",BR172+BQ172,BQ172)))</f>
        <v>206</v>
      </c>
      <c r="I172" s="50" t="n">
        <f aca="false">H172*G172</f>
        <v>2158.88</v>
      </c>
      <c r="J172" s="50" t="n">
        <f aca="false">BT172*Parameter!$B$18</f>
        <v>378</v>
      </c>
      <c r="K172" s="51" t="n">
        <v>102.5</v>
      </c>
      <c r="L172" s="52" t="n">
        <v>3.68780487804878</v>
      </c>
      <c r="M172" s="50" t="n">
        <v>25</v>
      </c>
      <c r="N172" s="50" t="n">
        <v>280</v>
      </c>
      <c r="O172" s="53" t="n">
        <v>21</v>
      </c>
      <c r="P172" s="48" t="s">
        <v>311</v>
      </c>
      <c r="Q172" s="50" t="n">
        <v>155</v>
      </c>
      <c r="R172" s="53" t="n">
        <f aca="false">IF(BZ172=1,0,IFERROR(VLOOKUP(BX172,'Gebinde-Kategorie'!$A$5:$N$45,13,0)+0,0))</f>
        <v>26</v>
      </c>
      <c r="S172" s="54"/>
      <c r="T172" s="55"/>
      <c r="U172" s="55"/>
      <c r="V172" s="55"/>
      <c r="W172" s="48"/>
      <c r="X172" s="50"/>
      <c r="Y172" s="50"/>
      <c r="Z172" s="48" t="n">
        <f aca="false">IF(A172="","",IF(AND(Parameter!$B$21="Ja",ISNUMBER(W172)),W172,IF(CC172="2+3",IF(ISNUMBER(SEARCH("grosser Artikel",BU172)),2,IFERROR(VLOOKUP(BX172,Parameter!$F$35:$G$64,2,0),2)),IF(OR(CC172="Nein",CC172=""),"-",CC172))))</f>
        <v>3</v>
      </c>
      <c r="AA172" s="55"/>
      <c r="AB172" s="56"/>
      <c r="AC172" s="50" t="n">
        <f aca="false">AV172</f>
        <v>305</v>
      </c>
      <c r="AD172" s="50" t="n">
        <f aca="false">MAX(AV172,H172)</f>
        <v>305</v>
      </c>
      <c r="AE172" s="57"/>
      <c r="AF172" s="50" t="n">
        <f aca="false">IF(LEFT(Cockpit!$C$5,1)="A",H172,IF(Parameter!$E$30="MAX-Bestand",IF(CH172=1,CI172,IF(LEFT(Cockpit!$C$5,1)="B",AL172,MAX(AL172,H172))),ROUNDUP(AJ172,0)))</f>
        <v>206</v>
      </c>
      <c r="AG172" s="50" t="n">
        <f aca="false">IF(BZ172=1,0,ROUNDUP(AF172/BY172,0))</f>
        <v>2</v>
      </c>
      <c r="AH172" s="52" t="n">
        <f aca="false">IF(CQ172&gt;0,CQ172*MAX(1,AF172/X172),IF(BZ172=1,IF(AF172&lt;=0,0,CD172*MAX(1,IF(H172&gt;0,AF172/H172,1))),IF(R172&gt;0,AG172/R172,0))/MAX(0.1,N(Parameter!$M$21)))</f>
        <v>0.0769230769230769</v>
      </c>
      <c r="AI172" s="50" t="n">
        <f aca="false">AH172*CB172</f>
        <v>11.9230769230769</v>
      </c>
      <c r="AJ172" s="51" t="n">
        <f aca="false">IF(LEFT(Cockpit!$C$5,1)="A",H172,IF(CH172=1,(CK172+CI172)/2,IF(LEFT(Cockpit!$C$5,1)="B",(CK172+AL172)/2,MAX((CK172+AL172)/2,H172))))</f>
        <v>206</v>
      </c>
      <c r="AK172" s="50" t="n">
        <f aca="false">AJ172*G172</f>
        <v>2158.88</v>
      </c>
      <c r="AL172" s="50" t="n">
        <f aca="false">ROUNDUP(CK172+MAX(CL172,2*(J172/IF(CG172&gt;0,CG172,MAX(0.1,N(Cockpit!$C$6)))-CK172)),0)</f>
        <v>305</v>
      </c>
      <c r="AM172" s="51" t="n">
        <f aca="false">IF(AI172&gt;0,J172/AI172,-1)</f>
        <v>31.7032258064516</v>
      </c>
      <c r="AN172" s="51" t="n">
        <f aca="false">IF(AND(OR(CF172="L1",CF172="L23",CF172="LIFT"),AI172&gt;0),SUMIFS($AI$7:$AI$1843,$CF$7:$CF$1843,CF172,$AM$7:$AM$1843,"&gt;"&amp;AM172)+SUMIFS($AI$7:$AI$1843,$CF$7:$CF$1843,CF172,$AM$7:$AM$1843,AM172,$BW$7:$BW$1843,"&lt;="&amp;BW172),"")</f>
        <v>1379.02472527473</v>
      </c>
      <c r="AO172" s="58" t="n">
        <f aca="false">IF(AN172="",0,MAX(0,MIN(1,(IF(CF172="L1",Parameter!$H$5,IF(CF172="L23",Parameter!$H$6+Parameter!$H$7,Parameter!$H$5+Parameter!$H$6+Parameter!$H$7))-(AN172-AI172))/AI172)))</f>
        <v>1</v>
      </c>
      <c r="AP172" s="50" t="n">
        <f aca="false">IF(LEFT(Cockpit!$I$5,1)="A",H172,IF(Parameter!$E$30="MAX-Bestand",IF(CH172=1,CI172,IF(LEFT(Cockpit!$I$5,1)="B",AV172,MAX(AV172,H172))),ROUNDUP(AT172,0)))</f>
        <v>206</v>
      </c>
      <c r="AQ172" s="50" t="n">
        <f aca="false">IF(BZ172=1,0,ROUNDUP(AP172/BY172,0))</f>
        <v>2</v>
      </c>
      <c r="AR172" s="52" t="n">
        <f aca="false">IF(CQ172&gt;0,CQ172*MAX(1,AP172/X172),IF(BZ172=1,IF(AP172&lt;=0,0,CD172*MAX(1,IF(H172&gt;0,AP172/H172,1))),IF(R172&gt;0,AQ172/R172,0))/MAX(0.1,N(Parameter!$M$21)))</f>
        <v>0.0769230769230769</v>
      </c>
      <c r="AS172" s="50" t="n">
        <f aca="false">AR172*CB172</f>
        <v>11.9230769230769</v>
      </c>
      <c r="AT172" s="51" t="n">
        <f aca="false">IF(LEFT(Cockpit!$I$5,1)="A",H172,IF(CH172=1,(CK172+CI172)/2,IF(LEFT(Cockpit!$I$5,1)="B",(CK172+AV172)/2,MAX((CK172+AV172)/2,H172))))</f>
        <v>206</v>
      </c>
      <c r="AU172" s="50" t="n">
        <f aca="false">AT172*G172</f>
        <v>2158.88</v>
      </c>
      <c r="AV172" s="50" t="n">
        <f aca="false">ROUNDUP(CK172+MAX(CL172,2*(J172/IF(CG172&gt;0,CG172,MAX(0.1,N(Cockpit!$I$6)))-CK172)),0)</f>
        <v>305</v>
      </c>
      <c r="AW172" s="51" t="n">
        <f aca="false">IF(AS172&gt;0,J172/AS172,-1)</f>
        <v>31.7032258064516</v>
      </c>
      <c r="AX172" s="51" t="n">
        <f aca="false">IF(AND(OR(CF172="L1",CF172="L23",CF172="LIFT"),AS172&gt;0),SUMIFS($AS$7:$AS$1843,$CF$7:$CF$1843,CF172,$AW$7:$AW$1843,"&gt;"&amp;AW172)+SUMIFS($AS$7:$AS$1843,$CF$7:$CF$1843,CF172,$AW$7:$AW$1843,AW172,$BW$7:$BW$1843,"&lt;="&amp;BW172),"")</f>
        <v>1772.29075091575</v>
      </c>
      <c r="AY172" s="58" t="n">
        <f aca="false">IF(AX172="",0,MAX(0,MIN(1,(IF(CF172="L1",Parameter!$H$5,IF(CF172="L23",Parameter!$H$6+Parameter!$H$7,Parameter!$H$5+Parameter!$H$6+Parameter!$H$7))-(AX172-AS172))/AS172)))</f>
        <v>1</v>
      </c>
      <c r="AZ172" s="50" t="n">
        <f aca="false">IF(LEFT(Cockpit!$O$5,1)="A",H172,IF(Parameter!$E$30="MAX-Bestand",IF(CH172=1,CI172,IF(LEFT(Cockpit!$O$5,1)="B",BF172,MAX(BF172,H172))),ROUNDUP(BD172,0)))</f>
        <v>165</v>
      </c>
      <c r="BA172" s="50" t="n">
        <f aca="false">IF(BZ172=1,0,ROUNDUP(AZ172/BY172,0))</f>
        <v>2</v>
      </c>
      <c r="BB172" s="52" t="n">
        <f aca="false">IF(CQ172&gt;0,CQ172*MAX(1,AZ172/X172),IF(BZ172=1,IF(AZ172&lt;=0,0,CD172*MAX(1,IF(H172&gt;0,AZ172/H172,1))),IF(R172&gt;0,BA172/R172,0))/MAX(0.1,N(Parameter!$M$21)))</f>
        <v>0.0769230769230769</v>
      </c>
      <c r="BC172" s="50" t="n">
        <f aca="false">BB172*CB172</f>
        <v>11.9230769230769</v>
      </c>
      <c r="BD172" s="51" t="n">
        <f aca="false">IF(LEFT(Cockpit!$O$5,1)="A",H172,IF(CH172=1,(CK172+CI172)/2,IF(LEFT(Cockpit!$O$5,1)="B",(CK172+BF172)/2,MAX((CK172+BF172)/2,H172))))</f>
        <v>165</v>
      </c>
      <c r="BE172" s="50" t="n">
        <f aca="false">BD172*G172</f>
        <v>1729.2</v>
      </c>
      <c r="BF172" s="50" t="n">
        <f aca="false">ROUNDUP(CK172+MAX(CL172,2*(J172/IF(CG172&gt;0,CG172,MAX(0.1,N(Cockpit!$O$6)))-CK172)),0)</f>
        <v>305</v>
      </c>
      <c r="BG172" s="51" t="n">
        <f aca="false">IF(BC172&gt;0,J172/BC172,-1)</f>
        <v>31.7032258064516</v>
      </c>
      <c r="BH172" s="51" t="n">
        <f aca="false">IF(AND(OR(CF172="L1",CF172="L23",CF172="LIFT"),BC172&gt;0),SUMIFS($BC$7:$BC$1843,$CF$7:$CF$1843,CF172,$BG$7:$BG$1843,"&gt;"&amp;BG172)+SUMIFS($BC$7:$BC$1843,$CF$7:$CF$1843,CF172,$BG$7:$BG$1843,BG172,$BW$7:$BW$1843,"&lt;="&amp;BW172),"")</f>
        <v>1709.75228937729</v>
      </c>
      <c r="BI172" s="58" t="n">
        <f aca="false">IF(BH172="",0,MAX(0,MIN(1,(IF(CF172="L1",Parameter!$H$5,IF(CF172="L23",Parameter!$H$6+Parameter!$H$7,Parameter!$H$5+Parameter!$H$6+Parameter!$H$7))-(BH172-BC172))/BC172)))</f>
        <v>1</v>
      </c>
      <c r="BJ172" s="48" t="str">
        <f aca="false">IF(AI172&lt;=0,"",IF(CF172="Aussen","Aussenlager",IF(CF172="-","Nicht im Lift",IF(AO172&gt;=1,"Lift",IF(AO172&lt;=0,"Aussenlager","teilweise")))))</f>
        <v>Lift</v>
      </c>
      <c r="BK172" s="48" t="str">
        <f aca="false">IF(AS172&lt;=0,"",IF(CF172="Aussen","Aussenlager",IF(CF172="-","Nicht im Lift",IF(AY172&gt;=1,"Lift",IF(AY172&lt;=0,"Aussenlager","teilweise")))))</f>
        <v>Lift</v>
      </c>
      <c r="BL172" s="48" t="str">
        <f aca="false">IF(BC172&lt;=0,"",IF(CF172="Aussen","Aussenlager",IF(CF172="-","Nicht im Lift",IF(BI172&gt;=1,"Lift",IF(BI172&lt;=0,"Aussenlager","teilweise")))))</f>
        <v>Lift</v>
      </c>
      <c r="BM172" s="48" t="str">
        <f aca="false">IF(A172="","",IF(BV172=1,"Neu; ","")&amp;IF(AND(BV172=0,BQ172&lt;0),"negativer Bestand (Export "&amp;BQ172&amp;"); ","")&amp;IF(J172&lt;=0,"Kein Verbrauch; ","")&amp;IF(CQ172&gt;0,"Lift "&amp;W172&amp;" lt. Liftbericht (Fach "&amp;X172&amp;" Stk); ",IF(CA172=1,"Gebinde geschätzt ("&amp;T172&amp;"); ",IF(BZ172=1,"Lose – Tablare geschätzt; ","")))&amp;IF(H172&gt;AV172,"Überbestand "&amp;ROUND(H172-AV172,0)&amp;" Stk / CHF "&amp;ROUND((H172-AV172)*G172,0)&amp;"; ","")&amp;IF(AND(CH172=1,CI172&lt;CJ172),"MAX &lt; MB+LG; ","")&amp;IF(AND(CP172&gt;0,CO172*10&gt;CP172),"zu hoch für Tablar; ","")&amp;IF(AND(BV172=0,OR(CH172=1,AA172&lt;&gt;"",U172&lt;&gt;"",V172&lt;&gt;"",AB172&lt;&gt;"")),"manuell übersteuert; ","")&amp;IF(AND(BZ172=0,R172=0),"Gebinde unbekannt / Stellmass fehlt; ","")&amp;IF(AND(BZ172=0,N(V172)&lt;=0,N(Q172)&lt;=0),"Menge pro Gebinde fehlt (Ist = 1 Gebinde); ","")&amp;BU172)</f>
        <v/>
      </c>
      <c r="BN172" s="48"/>
      <c r="BO172" s="48"/>
      <c r="BP172" s="55"/>
      <c r="BQ172" s="50" t="n">
        <v>119</v>
      </c>
      <c r="BR172" s="50" t="n">
        <v>87</v>
      </c>
      <c r="BS172" s="49" t="n">
        <v>1093.13</v>
      </c>
      <c r="BT172" s="50" t="n">
        <v>378</v>
      </c>
      <c r="BU172" s="48"/>
      <c r="BV172" s="53" t="n">
        <v>0</v>
      </c>
      <c r="BW172" s="53" t="n">
        <v>172</v>
      </c>
      <c r="BX172" s="48" t="str">
        <f aca="false">IF(U172&lt;&gt;"",UPPER(TRIM(U172)),IF(CA172=1,UPPER(VLOOKUP(T172,Parameter!$I$27:$K$29,2,0)),IF(P172="","LOSE",P172)))</f>
        <v>S51</v>
      </c>
      <c r="BY172" s="50" t="n">
        <f aca="false">IF(BX172="LOSE",1,IF(N(V172)&gt;0,V172,IF(CA172=1,MAX(1,N(VLOOKUP(T172,Parameter!$I$27:$K$29,3,0)),H172,N(N172)),IF(N(Q172)&gt;0,Q172,MAX(1,H172)))))</f>
        <v>155</v>
      </c>
      <c r="BZ172" s="53" t="n">
        <f aca="false">IF(BX172="LOSE",1,0)</f>
        <v>0</v>
      </c>
      <c r="CA172" s="53" t="n">
        <f aca="false">IF(AND(U172="",OR(P172="",P172="LOSE"),T172&lt;&gt;"",N(S172)&lt;=0,ISNUMBER(MATCH(T172,Parameter!$I$27:$I$29,0))),1,0)</f>
        <v>0</v>
      </c>
      <c r="CB172" s="53" t="n">
        <f aca="false">IF(CQ172&gt;0,INDEX(Parameter!$H$5:$H$7,W172)/INDEX(Parameter!$E$5:$E$7,W172),IF(AND(BZ172=0,N(IFERROR(VLOOKUP(BX172,'Gebinde-Kategorie'!$A$5:$N$45,14,0),0))&gt;0),VLOOKUP(BX172,'Gebinde-Kategorie'!$A$5:$N$45,14,0)*10+Parameter!$M$23,Parameter!$M$24))</f>
        <v>155</v>
      </c>
      <c r="CC172" s="48" t="str">
        <f aca="false">IF(AND(Parameter!$B$19="Ja",E172&lt;&gt;"",ISNUMBER(MATCH(E172,Parameter!$I$35:$I$52,0))),VLOOKUP(E172,Parameter!$I$35:$J$52,2,0),IFERROR(VLOOKUP(D172,Parameter!$A$35:$C$64,2,0),"Nein"))</f>
        <v>2+3</v>
      </c>
      <c r="CD172" s="52" t="n">
        <f aca="false">IF(BZ172=0,0,IF(N(S172)&gt;0,S172,IFERROR(VLOOKUP(D172,Parameter!$A$35:$C$64,3,0)+0,0)))</f>
        <v>0</v>
      </c>
      <c r="CE172" s="48" t="n">
        <f aca="false">IF(AA172&lt;&gt;"",AA172,Z172)</f>
        <v>3</v>
      </c>
      <c r="CF172" s="48" t="str">
        <f aca="false">IF(OR(CE172=1,CE172=2,CE172=3),IF(Parameter!$E$27="Ja","LIFT",IF(CE172=1,"L1","L23")),IF(CE172="Aussen","Aussen","-"))</f>
        <v>LIFT</v>
      </c>
      <c r="CG172" s="59" t="n">
        <f aca="false">IF(N(AB172)&gt;0,AB172,0)</f>
        <v>0</v>
      </c>
      <c r="CH172" s="53" t="n">
        <f aca="false">IF(ISNUMBER(AE172),1,0)</f>
        <v>0</v>
      </c>
      <c r="CI172" s="50" t="n">
        <f aca="false">N(AE172)</f>
        <v>0</v>
      </c>
      <c r="CJ172" s="50" t="n">
        <f aca="false">N(M172)+N(N172)</f>
        <v>305</v>
      </c>
      <c r="CK172" s="50" t="n">
        <f aca="false">N(M172)</f>
        <v>25</v>
      </c>
      <c r="CL172" s="50" t="n">
        <f aca="false">N(N172)</f>
        <v>280</v>
      </c>
      <c r="CM172" s="50" t="n">
        <f aca="false">ROUNDUP(H172/BY172,0)</f>
        <v>2</v>
      </c>
      <c r="CN172" s="50" t="n">
        <f aca="false">ROUNDUP(CI172/BY172,0)</f>
        <v>0</v>
      </c>
      <c r="CO172" s="53" t="n">
        <f aca="false">IF(BZ172=1,0,IFERROR(VLOOKUP(BX172,'Gebinde-Kategorie'!$A$5:$N$45,5,0)+0,0))</f>
        <v>11</v>
      </c>
      <c r="CP172" s="53" t="n">
        <f aca="false">IFERROR(IF(OR(CE172=1,CE172=2,CE172=3),N(INDEX(Parameter!$I$5:$I$7,CE172)),0),0)</f>
        <v>0</v>
      </c>
      <c r="CQ172" s="52" t="n">
        <f aca="false">IF(AND(Parameter!$B$21="Ja",ISNUMBER(W172),N(X172)&gt;0),IFERROR(N(INDEX(Parameter!$L$5:$L$7,W172))*INDEX(Parameter!$E$5:$E$7,W172)*X172/SUMIFS($X$7:$X$1843,$W$7:$W$1843,W172),0),0)</f>
        <v>0</v>
      </c>
    </row>
    <row r="173" customFormat="false" ht="15" hidden="false" customHeight="false" outlineLevel="0" collapsed="false">
      <c r="A173" s="48" t="s">
        <v>561</v>
      </c>
      <c r="B173" s="48" t="s">
        <v>562</v>
      </c>
      <c r="C173" s="48" t="s">
        <v>173</v>
      </c>
      <c r="D173" s="48" t="s">
        <v>193</v>
      </c>
      <c r="E173" s="48" t="s">
        <v>194</v>
      </c>
      <c r="F173" s="48" t="s">
        <v>227</v>
      </c>
      <c r="G173" s="49" t="n">
        <v>11.46</v>
      </c>
      <c r="H173" s="50" t="n">
        <f aca="false">MAX(0,IF(AND(Parameter!$B$21="Ja",ISNUMBER(Y173)),Y173,IF(Parameter!$B$20="Jahresanfang 2025 + Export",BR173+BQ173,BQ173)))</f>
        <v>172</v>
      </c>
      <c r="I173" s="50" t="n">
        <f aca="false">H173*G173</f>
        <v>1971.12</v>
      </c>
      <c r="J173" s="50" t="n">
        <f aca="false">BT173*Parameter!$B$18</f>
        <v>152</v>
      </c>
      <c r="K173" s="51" t="n">
        <v>110</v>
      </c>
      <c r="L173" s="52" t="n">
        <v>1.38181818181818</v>
      </c>
      <c r="M173" s="50" t="n">
        <v>17</v>
      </c>
      <c r="N173" s="50" t="n">
        <v>150</v>
      </c>
      <c r="O173" s="53" t="n">
        <v>42</v>
      </c>
      <c r="P173" s="48" t="s">
        <v>311</v>
      </c>
      <c r="Q173" s="50" t="n">
        <v>122</v>
      </c>
      <c r="R173" s="53" t="n">
        <f aca="false">IF(BZ173=1,0,IFERROR(VLOOKUP(BX173,'Gebinde-Kategorie'!$A$5:$N$45,13,0)+0,0))</f>
        <v>26</v>
      </c>
      <c r="S173" s="54"/>
      <c r="T173" s="55"/>
      <c r="U173" s="55"/>
      <c r="V173" s="55"/>
      <c r="W173" s="48"/>
      <c r="X173" s="50"/>
      <c r="Y173" s="50"/>
      <c r="Z173" s="48" t="n">
        <f aca="false">IF(A173="","",IF(AND(Parameter!$B$21="Ja",ISNUMBER(W173)),W173,IF(CC173="2+3",IF(ISNUMBER(SEARCH("grosser Artikel",BU173)),2,IFERROR(VLOOKUP(BX173,Parameter!$F$35:$G$64,2,0),2)),IF(OR(CC173="Nein",CC173=""),"-",CC173))))</f>
        <v>3</v>
      </c>
      <c r="AA173" s="55"/>
      <c r="AB173" s="56"/>
      <c r="AC173" s="50" t="n">
        <f aca="false">AV173</f>
        <v>167</v>
      </c>
      <c r="AD173" s="50" t="n">
        <f aca="false">MAX(AV173,H173)</f>
        <v>172</v>
      </c>
      <c r="AE173" s="57"/>
      <c r="AF173" s="50" t="n">
        <f aca="false">IF(LEFT(Cockpit!$C$5,1)="A",H173,IF(Parameter!$E$30="MAX-Bestand",IF(CH173=1,CI173,IF(LEFT(Cockpit!$C$5,1)="B",AL173,MAX(AL173,H173))),ROUNDUP(AJ173,0)))</f>
        <v>172</v>
      </c>
      <c r="AG173" s="50" t="n">
        <f aca="false">IF(BZ173=1,0,ROUNDUP(AF173/BY173,0))</f>
        <v>2</v>
      </c>
      <c r="AH173" s="52" t="n">
        <f aca="false">IF(CQ173&gt;0,CQ173*MAX(1,AF173/X173),IF(BZ173=1,IF(AF173&lt;=0,0,CD173*MAX(1,IF(H173&gt;0,AF173/H173,1))),IF(R173&gt;0,AG173/R173,0))/MAX(0.1,N(Parameter!$M$21)))</f>
        <v>0.0769230769230769</v>
      </c>
      <c r="AI173" s="50" t="n">
        <f aca="false">AH173*CB173</f>
        <v>11.9230769230769</v>
      </c>
      <c r="AJ173" s="51" t="n">
        <f aca="false">IF(LEFT(Cockpit!$C$5,1)="A",H173,IF(CH173=1,(CK173+CI173)/2,IF(LEFT(Cockpit!$C$5,1)="B",(CK173+AL173)/2,MAX((CK173+AL173)/2,H173))))</f>
        <v>172</v>
      </c>
      <c r="AK173" s="50" t="n">
        <f aca="false">AJ173*G173</f>
        <v>1971.12</v>
      </c>
      <c r="AL173" s="50" t="n">
        <f aca="false">ROUNDUP(CK173+MAX(CL173,2*(J173/IF(CG173&gt;0,CG173,MAX(0.1,N(Cockpit!$C$6)))-CK173)),0)</f>
        <v>167</v>
      </c>
      <c r="AM173" s="51" t="n">
        <f aca="false">IF(AI173&gt;0,J173/AI173,-1)</f>
        <v>12.7483870967742</v>
      </c>
      <c r="AN173" s="51" t="n">
        <f aca="false">IF(AND(OR(CF173="L1",CF173="L23",CF173="LIFT"),AI173&gt;0),SUMIFS($AI$7:$AI$1843,$CF$7:$CF$1843,CF173,$AM$7:$AM$1843,"&gt;"&amp;AM173)+SUMIFS($AI$7:$AI$1843,$CF$7:$CF$1843,CF173,$AM$7:$AM$1843,AM173,$BW$7:$BW$1843,"&lt;="&amp;BW173),"")</f>
        <v>2393.50915750916</v>
      </c>
      <c r="AO173" s="58" t="n">
        <f aca="false">IF(AN173="",0,MAX(0,MIN(1,(IF(CF173="L1",Parameter!$H$5,IF(CF173="L23",Parameter!$H$6+Parameter!$H$7,Parameter!$H$5+Parameter!$H$6+Parameter!$H$7))-(AN173-AI173))/AI173)))</f>
        <v>1</v>
      </c>
      <c r="AP173" s="50" t="n">
        <f aca="false">IF(LEFT(Cockpit!$I$5,1)="A",H173,IF(Parameter!$E$30="MAX-Bestand",IF(CH173=1,CI173,IF(LEFT(Cockpit!$I$5,1)="B",AV173,MAX(AV173,H173))),ROUNDUP(AT173,0)))</f>
        <v>172</v>
      </c>
      <c r="AQ173" s="50" t="n">
        <f aca="false">IF(BZ173=1,0,ROUNDUP(AP173/BY173,0))</f>
        <v>2</v>
      </c>
      <c r="AR173" s="52" t="n">
        <f aca="false">IF(CQ173&gt;0,CQ173*MAX(1,AP173/X173),IF(BZ173=1,IF(AP173&lt;=0,0,CD173*MAX(1,IF(H173&gt;0,AP173/H173,1))),IF(R173&gt;0,AQ173/R173,0))/MAX(0.1,N(Parameter!$M$21)))</f>
        <v>0.0769230769230769</v>
      </c>
      <c r="AS173" s="50" t="n">
        <f aca="false">AR173*CB173</f>
        <v>11.9230769230769</v>
      </c>
      <c r="AT173" s="51" t="n">
        <f aca="false">IF(LEFT(Cockpit!$I$5,1)="A",H173,IF(CH173=1,(CK173+CI173)/2,IF(LEFT(Cockpit!$I$5,1)="B",(CK173+AV173)/2,MAX((CK173+AV173)/2,H173))))</f>
        <v>172</v>
      </c>
      <c r="AU173" s="50" t="n">
        <f aca="false">AT173*G173</f>
        <v>1971.12</v>
      </c>
      <c r="AV173" s="50" t="n">
        <f aca="false">ROUNDUP(CK173+MAX(CL173,2*(J173/IF(CG173&gt;0,CG173,MAX(0.1,N(Cockpit!$I$6)))-CK173)),0)</f>
        <v>167</v>
      </c>
      <c r="AW173" s="51" t="n">
        <f aca="false">IF(AS173&gt;0,J173/AS173,-1)</f>
        <v>12.7483870967742</v>
      </c>
      <c r="AX173" s="51" t="n">
        <f aca="false">IF(AND(OR(CF173="L1",CF173="L23",CF173="LIFT"),AS173&gt;0),SUMIFS($AS$7:$AS$1843,$CF$7:$CF$1843,CF173,$AW$7:$AW$1843,"&gt;"&amp;AW173)+SUMIFS($AS$7:$AS$1843,$CF$7:$CF$1843,CF173,$AW$7:$AW$1843,AW173,$BW$7:$BW$1843,"&lt;="&amp;BW173),"")</f>
        <v>2982.88827838828</v>
      </c>
      <c r="AY173" s="58" t="n">
        <f aca="false">IF(AX173="",0,MAX(0,MIN(1,(IF(CF173="L1",Parameter!$H$5,IF(CF173="L23",Parameter!$H$6+Parameter!$H$7,Parameter!$H$5+Parameter!$H$6+Parameter!$H$7))-(AX173-AS173))/AS173)))</f>
        <v>1</v>
      </c>
      <c r="AZ173" s="50" t="n">
        <f aca="false">IF(LEFT(Cockpit!$O$5,1)="A",H173,IF(Parameter!$E$30="MAX-Bestand",IF(CH173=1,CI173,IF(LEFT(Cockpit!$O$5,1)="B",BF173,MAX(BF173,H173))),ROUNDUP(BD173,0)))</f>
        <v>92</v>
      </c>
      <c r="BA173" s="50" t="n">
        <f aca="false">IF(BZ173=1,0,ROUNDUP(AZ173/BY173,0))</f>
        <v>1</v>
      </c>
      <c r="BB173" s="52" t="n">
        <f aca="false">IF(CQ173&gt;0,CQ173*MAX(1,AZ173/X173),IF(BZ173=1,IF(AZ173&lt;=0,0,CD173*MAX(1,IF(H173&gt;0,AZ173/H173,1))),IF(R173&gt;0,BA173/R173,0))/MAX(0.1,N(Parameter!$M$21)))</f>
        <v>0.0384615384615385</v>
      </c>
      <c r="BC173" s="50" t="n">
        <f aca="false">BB173*CB173</f>
        <v>5.96153846153846</v>
      </c>
      <c r="BD173" s="51" t="n">
        <f aca="false">IF(LEFT(Cockpit!$O$5,1)="A",H173,IF(CH173=1,(CK173+CI173)/2,IF(LEFT(Cockpit!$O$5,1)="B",(CK173+BF173)/2,MAX((CK173+BF173)/2,H173))))</f>
        <v>92</v>
      </c>
      <c r="BE173" s="50" t="n">
        <f aca="false">BD173*G173</f>
        <v>1054.32</v>
      </c>
      <c r="BF173" s="50" t="n">
        <f aca="false">ROUNDUP(CK173+MAX(CL173,2*(J173/IF(CG173&gt;0,CG173,MAX(0.1,N(Cockpit!$O$6)))-CK173)),0)</f>
        <v>167</v>
      </c>
      <c r="BG173" s="51" t="n">
        <f aca="false">IF(BC173&gt;0,J173/BC173,-1)</f>
        <v>25.4967741935484</v>
      </c>
      <c r="BH173" s="51" t="n">
        <f aca="false">IF(AND(OR(CF173="L1",CF173="L23",CF173="LIFT"),BC173&gt;0),SUMIFS($BC$7:$BC$1843,$CF$7:$CF$1843,CF173,$BG$7:$BG$1843,"&gt;"&amp;BG173)+SUMIFS($BC$7:$BC$1843,$CF$7:$CF$1843,CF173,$BG$7:$BG$1843,BG173,$BW$7:$BW$1843,"&lt;="&amp;BW173),"")</f>
        <v>2060.37133699634</v>
      </c>
      <c r="BI173" s="58" t="n">
        <f aca="false">IF(BH173="",0,MAX(0,MIN(1,(IF(CF173="L1",Parameter!$H$5,IF(CF173="L23",Parameter!$H$6+Parameter!$H$7,Parameter!$H$5+Parameter!$H$6+Parameter!$H$7))-(BH173-BC173))/BC173)))</f>
        <v>1</v>
      </c>
      <c r="BJ173" s="48" t="str">
        <f aca="false">IF(AI173&lt;=0,"",IF(CF173="Aussen","Aussenlager",IF(CF173="-","Nicht im Lift",IF(AO173&gt;=1,"Lift",IF(AO173&lt;=0,"Aussenlager","teilweise")))))</f>
        <v>Lift</v>
      </c>
      <c r="BK173" s="48" t="str">
        <f aca="false">IF(AS173&lt;=0,"",IF(CF173="Aussen","Aussenlager",IF(CF173="-","Nicht im Lift",IF(AY173&gt;=1,"Lift",IF(AY173&lt;=0,"Aussenlager","teilweise")))))</f>
        <v>Lift</v>
      </c>
      <c r="BL173" s="48" t="str">
        <f aca="false">IF(BC173&lt;=0,"",IF(CF173="Aussen","Aussenlager",IF(CF173="-","Nicht im Lift",IF(BI173&gt;=1,"Lift",IF(BI173&lt;=0,"Aussenlager","teilweise")))))</f>
        <v>Lift</v>
      </c>
      <c r="BM173" s="48" t="str">
        <f aca="false">IF(A173="","",IF(BV173=1,"Neu; ","")&amp;IF(AND(BV173=0,BQ173&lt;0),"negativer Bestand (Export "&amp;BQ173&amp;"); ","")&amp;IF(J173&lt;=0,"Kein Verbrauch; ","")&amp;IF(CQ173&gt;0,"Lift "&amp;W173&amp;" lt. Liftbericht (Fach "&amp;X173&amp;" Stk); ",IF(CA173=1,"Gebinde geschätzt ("&amp;T173&amp;"); ",IF(BZ173=1,"Lose – Tablare geschätzt; ","")))&amp;IF(H173&gt;AV173,"Überbestand "&amp;ROUND(H173-AV173,0)&amp;" Stk / CHF "&amp;ROUND((H173-AV173)*G173,0)&amp;"; ","")&amp;IF(AND(CH173=1,CI173&lt;CJ173),"MAX &lt; MB+LG; ","")&amp;IF(AND(CP173&gt;0,CO173*10&gt;CP173),"zu hoch für Tablar; ","")&amp;IF(AND(BV173=0,OR(CH173=1,AA173&lt;&gt;"",U173&lt;&gt;"",V173&lt;&gt;"",AB173&lt;&gt;"")),"manuell übersteuert; ","")&amp;IF(AND(BZ173=0,R173=0),"Gebinde unbekannt / Stellmass fehlt; ","")&amp;IF(AND(BZ173=0,N(V173)&lt;=0,N(Q173)&lt;=0),"Menge pro Gebinde fehlt (Ist = 1 Gebinde); ","")&amp;BU173)</f>
        <v>Überbestand 5 Stk / CHF 57; </v>
      </c>
      <c r="BN173" s="48"/>
      <c r="BO173" s="48"/>
      <c r="BP173" s="55"/>
      <c r="BQ173" s="50" t="n">
        <v>84</v>
      </c>
      <c r="BR173" s="50" t="n">
        <v>88</v>
      </c>
      <c r="BS173" s="49" t="n">
        <v>1092</v>
      </c>
      <c r="BT173" s="50" t="n">
        <v>152</v>
      </c>
      <c r="BU173" s="48"/>
      <c r="BV173" s="53" t="n">
        <v>0</v>
      </c>
      <c r="BW173" s="53" t="n">
        <v>173</v>
      </c>
      <c r="BX173" s="48" t="str">
        <f aca="false">IF(U173&lt;&gt;"",UPPER(TRIM(U173)),IF(CA173=1,UPPER(VLOOKUP(T173,Parameter!$I$27:$K$29,2,0)),IF(P173="","LOSE",P173)))</f>
        <v>S51</v>
      </c>
      <c r="BY173" s="50" t="n">
        <f aca="false">IF(BX173="LOSE",1,IF(N(V173)&gt;0,V173,IF(CA173=1,MAX(1,N(VLOOKUP(T173,Parameter!$I$27:$K$29,3,0)),H173,N(N173)),IF(N(Q173)&gt;0,Q173,MAX(1,H173)))))</f>
        <v>122</v>
      </c>
      <c r="BZ173" s="53" t="n">
        <f aca="false">IF(BX173="LOSE",1,0)</f>
        <v>0</v>
      </c>
      <c r="CA173" s="53" t="n">
        <f aca="false">IF(AND(U173="",OR(P173="",P173="LOSE"),T173&lt;&gt;"",N(S173)&lt;=0,ISNUMBER(MATCH(T173,Parameter!$I$27:$I$29,0))),1,0)</f>
        <v>0</v>
      </c>
      <c r="CB173" s="53" t="n">
        <f aca="false">IF(CQ173&gt;0,INDEX(Parameter!$H$5:$H$7,W173)/INDEX(Parameter!$E$5:$E$7,W173),IF(AND(BZ173=0,N(IFERROR(VLOOKUP(BX173,'Gebinde-Kategorie'!$A$5:$N$45,14,0),0))&gt;0),VLOOKUP(BX173,'Gebinde-Kategorie'!$A$5:$N$45,14,0)*10+Parameter!$M$23,Parameter!$M$24))</f>
        <v>155</v>
      </c>
      <c r="CC173" s="48" t="str">
        <f aca="false">IF(AND(Parameter!$B$19="Ja",E173&lt;&gt;"",ISNUMBER(MATCH(E173,Parameter!$I$35:$I$52,0))),VLOOKUP(E173,Parameter!$I$35:$J$52,2,0),IFERROR(VLOOKUP(D173,Parameter!$A$35:$C$64,2,0),"Nein"))</f>
        <v>2+3</v>
      </c>
      <c r="CD173" s="52" t="n">
        <f aca="false">IF(BZ173=0,0,IF(N(S173)&gt;0,S173,IFERROR(VLOOKUP(D173,Parameter!$A$35:$C$64,3,0)+0,0)))</f>
        <v>0</v>
      </c>
      <c r="CE173" s="48" t="n">
        <f aca="false">IF(AA173&lt;&gt;"",AA173,Z173)</f>
        <v>3</v>
      </c>
      <c r="CF173" s="48" t="str">
        <f aca="false">IF(OR(CE173=1,CE173=2,CE173=3),IF(Parameter!$E$27="Ja","LIFT",IF(CE173=1,"L1","L23")),IF(CE173="Aussen","Aussen","-"))</f>
        <v>LIFT</v>
      </c>
      <c r="CG173" s="59" t="n">
        <f aca="false">IF(N(AB173)&gt;0,AB173,0)</f>
        <v>0</v>
      </c>
      <c r="CH173" s="53" t="n">
        <f aca="false">IF(ISNUMBER(AE173),1,0)</f>
        <v>0</v>
      </c>
      <c r="CI173" s="50" t="n">
        <f aca="false">N(AE173)</f>
        <v>0</v>
      </c>
      <c r="CJ173" s="50" t="n">
        <f aca="false">N(M173)+N(N173)</f>
        <v>167</v>
      </c>
      <c r="CK173" s="50" t="n">
        <f aca="false">N(M173)</f>
        <v>17</v>
      </c>
      <c r="CL173" s="50" t="n">
        <f aca="false">N(N173)</f>
        <v>150</v>
      </c>
      <c r="CM173" s="50" t="n">
        <f aca="false">ROUNDUP(H173/BY173,0)</f>
        <v>2</v>
      </c>
      <c r="CN173" s="50" t="n">
        <f aca="false">ROUNDUP(CI173/BY173,0)</f>
        <v>0</v>
      </c>
      <c r="CO173" s="53" t="n">
        <f aca="false">IF(BZ173=1,0,IFERROR(VLOOKUP(BX173,'Gebinde-Kategorie'!$A$5:$N$45,5,0)+0,0))</f>
        <v>11</v>
      </c>
      <c r="CP173" s="53" t="n">
        <f aca="false">IFERROR(IF(OR(CE173=1,CE173=2,CE173=3),N(INDEX(Parameter!$I$5:$I$7,CE173)),0),0)</f>
        <v>0</v>
      </c>
      <c r="CQ173" s="52" t="n">
        <f aca="false">IF(AND(Parameter!$B$21="Ja",ISNUMBER(W173),N(X173)&gt;0),IFERROR(N(INDEX(Parameter!$L$5:$L$7,W173))*INDEX(Parameter!$E$5:$E$7,W173)*X173/SUMIFS($X$7:$X$1843,$W$7:$W$1843,W173),0),0)</f>
        <v>0</v>
      </c>
    </row>
    <row r="174" customFormat="false" ht="15" hidden="false" customHeight="false" outlineLevel="0" collapsed="false">
      <c r="A174" s="48" t="s">
        <v>563</v>
      </c>
      <c r="B174" s="48" t="s">
        <v>564</v>
      </c>
      <c r="C174" s="48" t="s">
        <v>173</v>
      </c>
      <c r="D174" s="48" t="s">
        <v>182</v>
      </c>
      <c r="E174" s="48"/>
      <c r="F174" s="48" t="s">
        <v>227</v>
      </c>
      <c r="G174" s="49" t="n">
        <v>533.7</v>
      </c>
      <c r="H174" s="50" t="n">
        <f aca="false">MAX(0,IF(AND(Parameter!$B$21="Ja",ISNUMBER(Y174)),Y174,IF(Parameter!$B$20="Jahresanfang 2025 + Export",BR174+BQ174,BQ174)))</f>
        <v>2</v>
      </c>
      <c r="I174" s="50" t="n">
        <f aca="false">H174*G174</f>
        <v>1067.4</v>
      </c>
      <c r="J174" s="50" t="n">
        <f aca="false">BT174*Parameter!$B$18</f>
        <v>0</v>
      </c>
      <c r="K174" s="51" t="n">
        <v>0</v>
      </c>
      <c r="L174" s="52" t="n">
        <v>0</v>
      </c>
      <c r="M174" s="50" t="n">
        <v>0</v>
      </c>
      <c r="N174" s="50" t="n">
        <v>1</v>
      </c>
      <c r="O174" s="53" t="n">
        <v>28</v>
      </c>
      <c r="P174" s="48" t="s">
        <v>177</v>
      </c>
      <c r="Q174" s="50"/>
      <c r="R174" s="53" t="n">
        <f aca="false">IF(BZ174=1,0,IFERROR(VLOOKUP(BX174,'Gebinde-Kategorie'!$A$5:$N$45,13,0)+0,0))</f>
        <v>12</v>
      </c>
      <c r="S174" s="54"/>
      <c r="T174" s="55" t="s">
        <v>188</v>
      </c>
      <c r="U174" s="55"/>
      <c r="V174" s="55"/>
      <c r="W174" s="48"/>
      <c r="X174" s="50"/>
      <c r="Y174" s="50"/>
      <c r="Z174" s="48" t="n">
        <f aca="false">IF(A174="","",IF(AND(Parameter!$B$21="Ja",ISNUMBER(W174)),W174,IF(CC174="2+3",IF(ISNUMBER(SEARCH("grosser Artikel",BU174)),2,IFERROR(VLOOKUP(BX174,Parameter!$F$35:$G$64,2,0),2)),IF(OR(CC174="Nein",CC174=""),"-",CC174))))</f>
        <v>2</v>
      </c>
      <c r="AA174" s="55"/>
      <c r="AB174" s="56"/>
      <c r="AC174" s="50" t="n">
        <f aca="false">AV174</f>
        <v>1</v>
      </c>
      <c r="AD174" s="50" t="n">
        <f aca="false">MAX(AV174,H174)</f>
        <v>2</v>
      </c>
      <c r="AE174" s="57"/>
      <c r="AF174" s="50" t="n">
        <f aca="false">IF(LEFT(Cockpit!$C$5,1)="A",H174,IF(Parameter!$E$30="MAX-Bestand",IF(CH174=1,CI174,IF(LEFT(Cockpit!$C$5,1)="B",AL174,MAX(AL174,H174))),ROUNDUP(AJ174,0)))</f>
        <v>2</v>
      </c>
      <c r="AG174" s="50" t="n">
        <f aca="false">IF(BZ174=1,0,ROUNDUP(AF174/BY174,0))</f>
        <v>1</v>
      </c>
      <c r="AH174" s="52" t="n">
        <f aca="false">IF(CQ174&gt;0,CQ174*MAX(1,AF174/X174),IF(BZ174=1,IF(AF174&lt;=0,0,CD174*MAX(1,IF(H174&gt;0,AF174/H174,1))),IF(R174&gt;0,AG174/R174,0))/MAX(0.1,N(Parameter!$M$21)))</f>
        <v>0.0833333333333333</v>
      </c>
      <c r="AI174" s="50" t="n">
        <f aca="false">AH174*CB174</f>
        <v>12.0833333333333</v>
      </c>
      <c r="AJ174" s="51" t="n">
        <f aca="false">IF(LEFT(Cockpit!$C$5,1)="A",H174,IF(CH174=1,(CK174+CI174)/2,IF(LEFT(Cockpit!$C$5,1)="B",(CK174+AL174)/2,MAX((CK174+AL174)/2,H174))))</f>
        <v>2</v>
      </c>
      <c r="AK174" s="50" t="n">
        <f aca="false">AJ174*G174</f>
        <v>1067.4</v>
      </c>
      <c r="AL174" s="50" t="n">
        <f aca="false">ROUNDUP(CK174+MAX(CL174,2*(J174/IF(CG174&gt;0,CG174,MAX(0.1,N(Cockpit!$C$6)))-CK174)),0)</f>
        <v>1</v>
      </c>
      <c r="AM174" s="51" t="n">
        <f aca="false">IF(AI174&gt;0,J174/AI174,-1)</f>
        <v>0</v>
      </c>
      <c r="AN174" s="51" t="n">
        <f aca="false">IF(AND(OR(CF174="L1",CF174="L23",CF174="LIFT"),AI174&gt;0),SUMIFS($AI$7:$AI$1843,$CF$7:$CF$1843,CF174,$AM$7:$AM$1843,"&gt;"&amp;AM174)+SUMIFS($AI$7:$AI$1843,$CF$7:$CF$1843,CF174,$AM$7:$AM$1843,AM174,$BW$7:$BW$1843,"&lt;="&amp;BW174),"")</f>
        <v>27439.2895454357</v>
      </c>
      <c r="AO174" s="58" t="n">
        <f aca="false">IF(AN174="",0,MAX(0,MIN(1,(IF(CF174="L1",Parameter!$H$5,IF(CF174="L23",Parameter!$H$6+Parameter!$H$7,Parameter!$H$5+Parameter!$H$6+Parameter!$H$7))-(AN174-AI174))/AI174)))</f>
        <v>1</v>
      </c>
      <c r="AP174" s="50" t="n">
        <f aca="false">IF(LEFT(Cockpit!$I$5,1)="A",H174,IF(Parameter!$E$30="MAX-Bestand",IF(CH174=1,CI174,IF(LEFT(Cockpit!$I$5,1)="B",AV174,MAX(AV174,H174))),ROUNDUP(AT174,0)))</f>
        <v>2</v>
      </c>
      <c r="AQ174" s="50" t="n">
        <f aca="false">IF(BZ174=1,0,ROUNDUP(AP174/BY174,0))</f>
        <v>1</v>
      </c>
      <c r="AR174" s="52" t="n">
        <f aca="false">IF(CQ174&gt;0,CQ174*MAX(1,AP174/X174),IF(BZ174=1,IF(AP174&lt;=0,0,CD174*MAX(1,IF(H174&gt;0,AP174/H174,1))),IF(R174&gt;0,AQ174/R174,0))/MAX(0.1,N(Parameter!$M$21)))</f>
        <v>0.0833333333333333</v>
      </c>
      <c r="AS174" s="50" t="n">
        <f aca="false">AR174*CB174</f>
        <v>12.0833333333333</v>
      </c>
      <c r="AT174" s="51" t="n">
        <f aca="false">IF(LEFT(Cockpit!$I$5,1)="A",H174,IF(CH174=1,(CK174+CI174)/2,IF(LEFT(Cockpit!$I$5,1)="B",(CK174+AV174)/2,MAX((CK174+AV174)/2,H174))))</f>
        <v>2</v>
      </c>
      <c r="AU174" s="50" t="n">
        <f aca="false">AT174*G174</f>
        <v>1067.4</v>
      </c>
      <c r="AV174" s="50" t="n">
        <f aca="false">ROUNDUP(CK174+MAX(CL174,2*(J174/IF(CG174&gt;0,CG174,MAX(0.1,N(Cockpit!$I$6)))-CK174)),0)</f>
        <v>1</v>
      </c>
      <c r="AW174" s="51" t="n">
        <f aca="false">IF(AS174&gt;0,J174/AS174,-1)</f>
        <v>0</v>
      </c>
      <c r="AX174" s="51" t="n">
        <f aca="false">IF(AND(OR(CF174="L1",CF174="L23",CF174="LIFT"),AS174&gt;0),SUMIFS($AS$7:$AS$1843,$CF$7:$CF$1843,CF174,$AW$7:$AW$1843,"&gt;"&amp;AW174)+SUMIFS($AS$7:$AS$1843,$CF$7:$CF$1843,CF174,$AW$7:$AW$1843,AW174,$BW$7:$BW$1843,"&lt;="&amp;BW174),"")</f>
        <v>32792.4381868132</v>
      </c>
      <c r="AY174" s="58" t="n">
        <f aca="false">IF(AX174="",0,MAX(0,MIN(1,(IF(CF174="L1",Parameter!$H$5,IF(CF174="L23",Parameter!$H$6+Parameter!$H$7,Parameter!$H$5+Parameter!$H$6+Parameter!$H$7))-(AX174-AS174))/AS174)))</f>
        <v>1</v>
      </c>
      <c r="AZ174" s="50" t="n">
        <f aca="false">IF(LEFT(Cockpit!$O$5,1)="A",H174,IF(Parameter!$E$30="MAX-Bestand",IF(CH174=1,CI174,IF(LEFT(Cockpit!$O$5,1)="B",BF174,MAX(BF174,H174))),ROUNDUP(BD174,0)))</f>
        <v>1</v>
      </c>
      <c r="BA174" s="50" t="n">
        <f aca="false">IF(BZ174=1,0,ROUNDUP(AZ174/BY174,0))</f>
        <v>1</v>
      </c>
      <c r="BB174" s="52" t="n">
        <f aca="false">IF(CQ174&gt;0,CQ174*MAX(1,AZ174/X174),IF(BZ174=1,IF(AZ174&lt;=0,0,CD174*MAX(1,IF(H174&gt;0,AZ174/H174,1))),IF(R174&gt;0,BA174/R174,0))/MAX(0.1,N(Parameter!$M$21)))</f>
        <v>0.0833333333333333</v>
      </c>
      <c r="BC174" s="50" t="n">
        <f aca="false">BB174*CB174</f>
        <v>12.0833333333333</v>
      </c>
      <c r="BD174" s="51" t="n">
        <f aca="false">IF(LEFT(Cockpit!$O$5,1)="A",H174,IF(CH174=1,(CK174+CI174)/2,IF(LEFT(Cockpit!$O$5,1)="B",(CK174+BF174)/2,MAX((CK174+BF174)/2,H174))))</f>
        <v>0.5</v>
      </c>
      <c r="BE174" s="50" t="n">
        <f aca="false">BD174*G174</f>
        <v>266.85</v>
      </c>
      <c r="BF174" s="50" t="n">
        <f aca="false">ROUNDUP(CK174+MAX(CL174,2*(J174/IF(CG174&gt;0,CG174,MAX(0.1,N(Cockpit!$O$6)))-CK174)),0)</f>
        <v>1</v>
      </c>
      <c r="BG174" s="51" t="n">
        <f aca="false">IF(BC174&gt;0,J174/BC174,-1)</f>
        <v>0</v>
      </c>
      <c r="BH174" s="51" t="n">
        <f aca="false">IF(AND(OR(CF174="L1",CF174="L23",CF174="LIFT"),BC174&gt;0),SUMIFS($BC$7:$BC$1843,$CF$7:$CF$1843,CF174,$BG$7:$BG$1843,"&gt;"&amp;BG174)+SUMIFS($BC$7:$BC$1843,$CF$7:$CF$1843,CF174,$BG$7:$BG$1843,BG174,$BW$7:$BW$1843,"&lt;="&amp;BW174),"")</f>
        <v>26956.6802865214</v>
      </c>
      <c r="BI174" s="58" t="n">
        <f aca="false">IF(BH174="",0,MAX(0,MIN(1,(IF(CF174="L1",Parameter!$H$5,IF(CF174="L23",Parameter!$H$6+Parameter!$H$7,Parameter!$H$5+Parameter!$H$6+Parameter!$H$7))-(BH174-BC174))/BC174)))</f>
        <v>1</v>
      </c>
      <c r="BJ174" s="48" t="str">
        <f aca="false">IF(AI174&lt;=0,"",IF(CF174="Aussen","Aussenlager",IF(CF174="-","Nicht im Lift",IF(AO174&gt;=1,"Lift",IF(AO174&lt;=0,"Aussenlager","teilweise")))))</f>
        <v>Lift</v>
      </c>
      <c r="BK174" s="48" t="str">
        <f aca="false">IF(AS174&lt;=0,"",IF(CF174="Aussen","Aussenlager",IF(CF174="-","Nicht im Lift",IF(AY174&gt;=1,"Lift",IF(AY174&lt;=0,"Aussenlager","teilweise")))))</f>
        <v>Lift</v>
      </c>
      <c r="BL174" s="48" t="str">
        <f aca="false">IF(BC174&lt;=0,"",IF(CF174="Aussen","Aussenlager",IF(CF174="-","Nicht im Lift",IF(BI174&gt;=1,"Lift",IF(BI174&lt;=0,"Aussenlager","teilweise")))))</f>
        <v>Lift</v>
      </c>
      <c r="BM174" s="48" t="str">
        <f aca="false">IF(A174="","",IF(BV174=1,"Neu; ","")&amp;IF(AND(BV174=0,BQ174&lt;0),"negativer Bestand (Export "&amp;BQ174&amp;"); ","")&amp;IF(J174&lt;=0,"Kein Verbrauch; ","")&amp;IF(CQ174&gt;0,"Lift "&amp;W174&amp;" lt. Liftbericht (Fach "&amp;X174&amp;" Stk); ",IF(CA174=1,"Gebinde geschätzt ("&amp;T174&amp;"); ",IF(BZ174=1,"Lose – Tablare geschätzt; ","")))&amp;IF(H174&gt;AV174,"Überbestand "&amp;ROUND(H174-AV174,0)&amp;" Stk / CHF "&amp;ROUND((H174-AV174)*G174,0)&amp;"; ","")&amp;IF(AND(CH174=1,CI174&lt;CJ174),"MAX &lt; MB+LG; ","")&amp;IF(AND(CP174&gt;0,CO174*10&gt;CP174),"zu hoch für Tablar; ","")&amp;IF(AND(BV174=0,OR(CH174=1,AA174&lt;&gt;"",U174&lt;&gt;"",V174&lt;&gt;"",AB174&lt;&gt;"")),"manuell übersteuert; ","")&amp;IF(AND(BZ174=0,R174=0),"Gebinde unbekannt / Stellmass fehlt; ","")&amp;IF(AND(BZ174=0,N(V174)&lt;=0,N(Q174)&lt;=0),"Menge pro Gebinde fehlt (Ist = 1 Gebinde); ","")&amp;BU174)</f>
        <v>Kein Verbrauch; Gebinde geschätzt (Mittel); Überbestand 1 Stk / CHF 534; Menge pro Gebinde fehlt (Ist = 1 Gebinde); </v>
      </c>
      <c r="BN174" s="48"/>
      <c r="BO174" s="48"/>
      <c r="BP174" s="55"/>
      <c r="BQ174" s="50" t="n">
        <v>2</v>
      </c>
      <c r="BR174" s="50" t="n">
        <v>0</v>
      </c>
      <c r="BS174" s="49" t="n">
        <v>1067.4</v>
      </c>
      <c r="BT174" s="50" t="n">
        <v>0</v>
      </c>
      <c r="BU174" s="48"/>
      <c r="BV174" s="53" t="n">
        <v>0</v>
      </c>
      <c r="BW174" s="53" t="n">
        <v>174</v>
      </c>
      <c r="BX174" s="48" t="str">
        <f aca="false">IF(U174&lt;&gt;"",UPPER(TRIM(U174)),IF(CA174=1,UPPER(VLOOKUP(T174,Parameter!$I$27:$K$29,2,0)),IF(P174="","LOSE",P174)))</f>
        <v>S61</v>
      </c>
      <c r="BY174" s="50" t="n">
        <f aca="false">IF(BX174="LOSE",1,IF(N(V174)&gt;0,V174,IF(CA174=1,MAX(1,N(VLOOKUP(T174,Parameter!$I$27:$K$29,3,0)),H174,N(N174)),IF(N(Q174)&gt;0,Q174,MAX(1,H174)))))</f>
        <v>4</v>
      </c>
      <c r="BZ174" s="53" t="n">
        <f aca="false">IF(BX174="LOSE",1,0)</f>
        <v>0</v>
      </c>
      <c r="CA174" s="53" t="n">
        <f aca="false">IF(AND(U174="",OR(P174="",P174="LOSE"),T174&lt;&gt;"",N(S174)&lt;=0,ISNUMBER(MATCH(T174,Parameter!$I$27:$I$29,0))),1,0)</f>
        <v>1</v>
      </c>
      <c r="CB174" s="53" t="n">
        <f aca="false">IF(CQ174&gt;0,INDEX(Parameter!$H$5:$H$7,W174)/INDEX(Parameter!$E$5:$E$7,W174),IF(AND(BZ174=0,N(IFERROR(VLOOKUP(BX174,'Gebinde-Kategorie'!$A$5:$N$45,14,0),0))&gt;0),VLOOKUP(BX174,'Gebinde-Kategorie'!$A$5:$N$45,14,0)*10+Parameter!$M$23,Parameter!$M$24))</f>
        <v>145</v>
      </c>
      <c r="CC174" s="48" t="str">
        <f aca="false">IF(AND(Parameter!$B$19="Ja",E174&lt;&gt;"",ISNUMBER(MATCH(E174,Parameter!$I$35:$I$52,0))),VLOOKUP(E174,Parameter!$I$35:$J$52,2,0),IFERROR(VLOOKUP(D174,Parameter!$A$35:$C$64,2,0),"Nein"))</f>
        <v>2+3</v>
      </c>
      <c r="CD174" s="52" t="n">
        <f aca="false">IF(BZ174=0,0,IF(N(S174)&gt;0,S174,IFERROR(VLOOKUP(D174,Parameter!$A$35:$C$64,3,0)+0,0)))</f>
        <v>0</v>
      </c>
      <c r="CE174" s="48" t="n">
        <f aca="false">IF(AA174&lt;&gt;"",AA174,Z174)</f>
        <v>2</v>
      </c>
      <c r="CF174" s="48" t="str">
        <f aca="false">IF(OR(CE174=1,CE174=2,CE174=3),IF(Parameter!$E$27="Ja","LIFT",IF(CE174=1,"L1","L23")),IF(CE174="Aussen","Aussen","-"))</f>
        <v>LIFT</v>
      </c>
      <c r="CG174" s="59" t="n">
        <f aca="false">IF(N(AB174)&gt;0,AB174,0)</f>
        <v>0</v>
      </c>
      <c r="CH174" s="53" t="n">
        <f aca="false">IF(ISNUMBER(AE174),1,0)</f>
        <v>0</v>
      </c>
      <c r="CI174" s="50" t="n">
        <f aca="false">N(AE174)</f>
        <v>0</v>
      </c>
      <c r="CJ174" s="50" t="n">
        <f aca="false">N(M174)+N(N174)</f>
        <v>1</v>
      </c>
      <c r="CK174" s="50" t="n">
        <f aca="false">N(M174)</f>
        <v>0</v>
      </c>
      <c r="CL174" s="50" t="n">
        <f aca="false">N(N174)</f>
        <v>1</v>
      </c>
      <c r="CM174" s="50" t="n">
        <f aca="false">ROUNDUP(H174/BY174,0)</f>
        <v>1</v>
      </c>
      <c r="CN174" s="50" t="n">
        <f aca="false">ROUNDUP(CI174/BY174,0)</f>
        <v>0</v>
      </c>
      <c r="CO174" s="53" t="n">
        <f aca="false">IF(BZ174=1,0,IFERROR(VLOOKUP(BX174,'Gebinde-Kategorie'!$A$5:$N$45,5,0)+0,0))</f>
        <v>11</v>
      </c>
      <c r="CP174" s="53" t="n">
        <f aca="false">IFERROR(IF(OR(CE174=1,CE174=2,CE174=3),N(INDEX(Parameter!$I$5:$I$7,CE174)),0),0)</f>
        <v>0</v>
      </c>
      <c r="CQ174" s="52" t="n">
        <f aca="false">IF(AND(Parameter!$B$21="Ja",ISNUMBER(W174),N(X174)&gt;0),IFERROR(N(INDEX(Parameter!$L$5:$L$7,W174))*INDEX(Parameter!$E$5:$E$7,W174)*X174/SUMIFS($X$7:$X$1843,$W$7:$W$1843,W174),0),0)</f>
        <v>0</v>
      </c>
    </row>
    <row r="175" customFormat="false" ht="15" hidden="false" customHeight="false" outlineLevel="0" collapsed="false">
      <c r="A175" s="48" t="s">
        <v>565</v>
      </c>
      <c r="B175" s="48" t="s">
        <v>566</v>
      </c>
      <c r="C175" s="48" t="s">
        <v>173</v>
      </c>
      <c r="D175" s="48" t="s">
        <v>193</v>
      </c>
      <c r="E175" s="48" t="s">
        <v>194</v>
      </c>
      <c r="F175" s="48" t="s">
        <v>227</v>
      </c>
      <c r="G175" s="49" t="n">
        <v>9.07</v>
      </c>
      <c r="H175" s="50" t="n">
        <f aca="false">MAX(0,IF(AND(Parameter!$B$21="Ja",ISNUMBER(Y175)),Y175,IF(Parameter!$B$20="Jahresanfang 2025 + Export",BR175+BQ175,BQ175)))</f>
        <v>207</v>
      </c>
      <c r="I175" s="50" t="n">
        <f aca="false">H175*G175</f>
        <v>1877.49</v>
      </c>
      <c r="J175" s="50" t="n">
        <f aca="false">BT175*Parameter!$B$18</f>
        <v>178</v>
      </c>
      <c r="K175" s="51" t="n">
        <v>76.5</v>
      </c>
      <c r="L175" s="52" t="n">
        <v>2.32679738562092</v>
      </c>
      <c r="M175" s="50" t="n">
        <v>13</v>
      </c>
      <c r="N175" s="50" t="n">
        <v>180</v>
      </c>
      <c r="O175" s="53" t="n">
        <v>28</v>
      </c>
      <c r="P175" s="48" t="s">
        <v>195</v>
      </c>
      <c r="Q175" s="50" t="n">
        <v>90</v>
      </c>
      <c r="R175" s="53" t="n">
        <f aca="false">IF(BZ175=1,0,IFERROR(VLOOKUP(BX175,'Gebinde-Kategorie'!$A$5:$N$45,13,0)+0,0))</f>
        <v>12</v>
      </c>
      <c r="S175" s="54"/>
      <c r="T175" s="55"/>
      <c r="U175" s="55"/>
      <c r="V175" s="55"/>
      <c r="W175" s="48"/>
      <c r="X175" s="50"/>
      <c r="Y175" s="50"/>
      <c r="Z175" s="48" t="n">
        <f aca="false">IF(A175="","",IF(AND(Parameter!$B$21="Ja",ISNUMBER(W175)),W175,IF(CC175="2+3",IF(ISNUMBER(SEARCH("grosser Artikel",BU175)),2,IFERROR(VLOOKUP(BX175,Parameter!$F$35:$G$64,2,0),2)),IF(OR(CC175="Nein",CC175=""),"-",CC175))))</f>
        <v>2</v>
      </c>
      <c r="AA175" s="55"/>
      <c r="AB175" s="56"/>
      <c r="AC175" s="50" t="n">
        <f aca="false">AV175</f>
        <v>193</v>
      </c>
      <c r="AD175" s="50" t="n">
        <f aca="false">MAX(AV175,H175)</f>
        <v>207</v>
      </c>
      <c r="AE175" s="57"/>
      <c r="AF175" s="50" t="n">
        <f aca="false">IF(LEFT(Cockpit!$C$5,1)="A",H175,IF(Parameter!$E$30="MAX-Bestand",IF(CH175=1,CI175,IF(LEFT(Cockpit!$C$5,1)="B",AL175,MAX(AL175,H175))),ROUNDUP(AJ175,0)))</f>
        <v>207</v>
      </c>
      <c r="AG175" s="50" t="n">
        <f aca="false">IF(BZ175=1,0,ROUNDUP(AF175/BY175,0))</f>
        <v>3</v>
      </c>
      <c r="AH175" s="52" t="n">
        <f aca="false">IF(CQ175&gt;0,CQ175*MAX(1,AF175/X175),IF(BZ175=1,IF(AF175&lt;=0,0,CD175*MAX(1,IF(H175&gt;0,AF175/H175,1))),IF(R175&gt;0,AG175/R175,0))/MAX(0.1,N(Parameter!$M$21)))</f>
        <v>0.25</v>
      </c>
      <c r="AI175" s="50" t="n">
        <f aca="false">AH175*CB175</f>
        <v>36.25</v>
      </c>
      <c r="AJ175" s="51" t="n">
        <f aca="false">IF(LEFT(Cockpit!$C$5,1)="A",H175,IF(CH175=1,(CK175+CI175)/2,IF(LEFT(Cockpit!$C$5,1)="B",(CK175+AL175)/2,MAX((CK175+AL175)/2,H175))))</f>
        <v>207</v>
      </c>
      <c r="AK175" s="50" t="n">
        <f aca="false">AJ175*G175</f>
        <v>1877.49</v>
      </c>
      <c r="AL175" s="50" t="n">
        <f aca="false">ROUNDUP(CK175+MAX(CL175,2*(J175/IF(CG175&gt;0,CG175,MAX(0.1,N(Cockpit!$C$6)))-CK175)),0)</f>
        <v>193</v>
      </c>
      <c r="AM175" s="51" t="n">
        <f aca="false">IF(AI175&gt;0,J175/AI175,-1)</f>
        <v>4.91034482758621</v>
      </c>
      <c r="AN175" s="51" t="n">
        <f aca="false">IF(AND(OR(CF175="L1",CF175="L23",CF175="LIFT"),AI175&gt;0),SUMIFS($AI$7:$AI$1843,$CF$7:$CF$1843,CF175,$AM$7:$AM$1843,"&gt;"&amp;AM175)+SUMIFS($AI$7:$AI$1843,$CF$7:$CF$1843,CF175,$AM$7:$AM$1843,AM175,$BW$7:$BW$1843,"&lt;="&amp;BW175),"")</f>
        <v>4029.21657509158</v>
      </c>
      <c r="AO175" s="58" t="n">
        <f aca="false">IF(AN175="",0,MAX(0,MIN(1,(IF(CF175="L1",Parameter!$H$5,IF(CF175="L23",Parameter!$H$6+Parameter!$H$7,Parameter!$H$5+Parameter!$H$6+Parameter!$H$7))-(AN175-AI175))/AI175)))</f>
        <v>1</v>
      </c>
      <c r="AP175" s="50" t="n">
        <f aca="false">IF(LEFT(Cockpit!$I$5,1)="A",H175,IF(Parameter!$E$30="MAX-Bestand",IF(CH175=1,CI175,IF(LEFT(Cockpit!$I$5,1)="B",AV175,MAX(AV175,H175))),ROUNDUP(AT175,0)))</f>
        <v>207</v>
      </c>
      <c r="AQ175" s="50" t="n">
        <f aca="false">IF(BZ175=1,0,ROUNDUP(AP175/BY175,0))</f>
        <v>3</v>
      </c>
      <c r="AR175" s="52" t="n">
        <f aca="false">IF(CQ175&gt;0,CQ175*MAX(1,AP175/X175),IF(BZ175=1,IF(AP175&lt;=0,0,CD175*MAX(1,IF(H175&gt;0,AP175/H175,1))),IF(R175&gt;0,AQ175/R175,0))/MAX(0.1,N(Parameter!$M$21)))</f>
        <v>0.25</v>
      </c>
      <c r="AS175" s="50" t="n">
        <f aca="false">AR175*CB175</f>
        <v>36.25</v>
      </c>
      <c r="AT175" s="51" t="n">
        <f aca="false">IF(LEFT(Cockpit!$I$5,1)="A",H175,IF(CH175=1,(CK175+CI175)/2,IF(LEFT(Cockpit!$I$5,1)="B",(CK175+AV175)/2,MAX((CK175+AV175)/2,H175))))</f>
        <v>207</v>
      </c>
      <c r="AU175" s="50" t="n">
        <f aca="false">AT175*G175</f>
        <v>1877.49</v>
      </c>
      <c r="AV175" s="50" t="n">
        <f aca="false">ROUNDUP(CK175+MAX(CL175,2*(J175/IF(CG175&gt;0,CG175,MAX(0.1,N(Cockpit!$I$6)))-CK175)),0)</f>
        <v>193</v>
      </c>
      <c r="AW175" s="51" t="n">
        <f aca="false">IF(AS175&gt;0,J175/AS175,-1)</f>
        <v>4.91034482758621</v>
      </c>
      <c r="AX175" s="51" t="n">
        <f aca="false">IF(AND(OR(CF175="L1",CF175="L23",CF175="LIFT"),AS175&gt;0),SUMIFS($AS$7:$AS$1843,$CF$7:$CF$1843,CF175,$AW$7:$AW$1843,"&gt;"&amp;AW175)+SUMIFS($AS$7:$AS$1843,$CF$7:$CF$1843,CF175,$AW$7:$AW$1843,AW175,$BW$7:$BW$1843,"&lt;="&amp;BW175),"")</f>
        <v>4625.45741758242</v>
      </c>
      <c r="AY175" s="58" t="n">
        <f aca="false">IF(AX175="",0,MAX(0,MIN(1,(IF(CF175="L1",Parameter!$H$5,IF(CF175="L23",Parameter!$H$6+Parameter!$H$7,Parameter!$H$5+Parameter!$H$6+Parameter!$H$7))-(AX175-AS175))/AS175)))</f>
        <v>1</v>
      </c>
      <c r="AZ175" s="50" t="n">
        <f aca="false">IF(LEFT(Cockpit!$O$5,1)="A",H175,IF(Parameter!$E$30="MAX-Bestand",IF(CH175=1,CI175,IF(LEFT(Cockpit!$O$5,1)="B",BF175,MAX(BF175,H175))),ROUNDUP(BD175,0)))</f>
        <v>103</v>
      </c>
      <c r="BA175" s="50" t="n">
        <f aca="false">IF(BZ175=1,0,ROUNDUP(AZ175/BY175,0))</f>
        <v>2</v>
      </c>
      <c r="BB175" s="52" t="n">
        <f aca="false">IF(CQ175&gt;0,CQ175*MAX(1,AZ175/X175),IF(BZ175=1,IF(AZ175&lt;=0,0,CD175*MAX(1,IF(H175&gt;0,AZ175/H175,1))),IF(R175&gt;0,BA175/R175,0))/MAX(0.1,N(Parameter!$M$21)))</f>
        <v>0.166666666666667</v>
      </c>
      <c r="BC175" s="50" t="n">
        <f aca="false">BB175*CB175</f>
        <v>24.1666666666667</v>
      </c>
      <c r="BD175" s="51" t="n">
        <f aca="false">IF(LEFT(Cockpit!$O$5,1)="A",H175,IF(CH175=1,(CK175+CI175)/2,IF(LEFT(Cockpit!$O$5,1)="B",(CK175+BF175)/2,MAX((CK175+BF175)/2,H175))))</f>
        <v>103</v>
      </c>
      <c r="BE175" s="50" t="n">
        <f aca="false">BD175*G175</f>
        <v>934.21</v>
      </c>
      <c r="BF175" s="50" t="n">
        <f aca="false">ROUNDUP(CK175+MAX(CL175,2*(J175/IF(CG175&gt;0,CG175,MAX(0.1,N(Cockpit!$O$6)))-CK175)),0)</f>
        <v>193</v>
      </c>
      <c r="BG175" s="51" t="n">
        <f aca="false">IF(BC175&gt;0,J175/BC175,-1)</f>
        <v>7.36551724137931</v>
      </c>
      <c r="BH175" s="51" t="n">
        <f aca="false">IF(AND(OR(CF175="L1",CF175="L23",CF175="LIFT"),BC175&gt;0),SUMIFS($BC$7:$BC$1843,$CF$7:$CF$1843,CF175,$BG$7:$BG$1843,"&gt;"&amp;BG175)+SUMIFS($BC$7:$BC$1843,$CF$7:$CF$1843,CF175,$BG$7:$BG$1843,BG175,$BW$7:$BW$1843,"&lt;="&amp;BW175),"")</f>
        <v>3235.36996336996</v>
      </c>
      <c r="BI175" s="58" t="n">
        <f aca="false">IF(BH175="",0,MAX(0,MIN(1,(IF(CF175="L1",Parameter!$H$5,IF(CF175="L23",Parameter!$H$6+Parameter!$H$7,Parameter!$H$5+Parameter!$H$6+Parameter!$H$7))-(BH175-BC175))/BC175)))</f>
        <v>1</v>
      </c>
      <c r="BJ175" s="48" t="str">
        <f aca="false">IF(AI175&lt;=0,"",IF(CF175="Aussen","Aussenlager",IF(CF175="-","Nicht im Lift",IF(AO175&gt;=1,"Lift",IF(AO175&lt;=0,"Aussenlager","teilweise")))))</f>
        <v>Lift</v>
      </c>
      <c r="BK175" s="48" t="str">
        <f aca="false">IF(AS175&lt;=0,"",IF(CF175="Aussen","Aussenlager",IF(CF175="-","Nicht im Lift",IF(AY175&gt;=1,"Lift",IF(AY175&lt;=0,"Aussenlager","teilweise")))))</f>
        <v>Lift</v>
      </c>
      <c r="BL175" s="48" t="str">
        <f aca="false">IF(BC175&lt;=0,"",IF(CF175="Aussen","Aussenlager",IF(CF175="-","Nicht im Lift",IF(BI175&gt;=1,"Lift",IF(BI175&lt;=0,"Aussenlager","teilweise")))))</f>
        <v>Lift</v>
      </c>
      <c r="BM175" s="48" t="str">
        <f aca="false">IF(A175="","",IF(BV175=1,"Neu; ","")&amp;IF(AND(BV175=0,BQ175&lt;0),"negativer Bestand (Export "&amp;BQ175&amp;"); ","")&amp;IF(J175&lt;=0,"Kein Verbrauch; ","")&amp;IF(CQ175&gt;0,"Lift "&amp;W175&amp;" lt. Liftbericht (Fach "&amp;X175&amp;" Stk); ",IF(CA175=1,"Gebinde geschätzt ("&amp;T175&amp;"); ",IF(BZ175=1,"Lose – Tablare geschätzt; ","")))&amp;IF(H175&gt;AV175,"Überbestand "&amp;ROUND(H175-AV175,0)&amp;" Stk / CHF "&amp;ROUND((H175-AV175)*G175,0)&amp;"; ","")&amp;IF(AND(CH175=1,CI175&lt;CJ175),"MAX &lt; MB+LG; ","")&amp;IF(AND(CP175&gt;0,CO175*10&gt;CP175),"zu hoch für Tablar; ","")&amp;IF(AND(BV175=0,OR(CH175=1,AA175&lt;&gt;"",U175&lt;&gt;"",V175&lt;&gt;"",AB175&lt;&gt;"")),"manuell übersteuert; ","")&amp;IF(AND(BZ175=0,R175=0),"Gebinde unbekannt / Stellmass fehlt; ","")&amp;IF(AND(BZ175=0,N(V175)&lt;=0,N(Q175)&lt;=0),"Menge pro Gebinde fehlt (Ist = 1 Gebinde); ","")&amp;BU175)</f>
        <v>Überbestand 14 Stk / CHF 127; nicht im KTL vorhanden</v>
      </c>
      <c r="BN175" s="48"/>
      <c r="BO175" s="48"/>
      <c r="BP175" s="55"/>
      <c r="BQ175" s="50" t="n">
        <v>116</v>
      </c>
      <c r="BR175" s="50" t="n">
        <v>91</v>
      </c>
      <c r="BS175" s="49" t="n">
        <v>1053.94</v>
      </c>
      <c r="BT175" s="50" t="n">
        <v>178</v>
      </c>
      <c r="BU175" s="48" t="s">
        <v>239</v>
      </c>
      <c r="BV175" s="53" t="n">
        <v>0</v>
      </c>
      <c r="BW175" s="53" t="n">
        <v>175</v>
      </c>
      <c r="BX175" s="48" t="str">
        <f aca="false">IF(U175&lt;&gt;"",UPPER(TRIM(U175)),IF(CA175=1,UPPER(VLOOKUP(T175,Parameter!$I$27:$K$29,2,0)),IF(P175="","LOSE",P175)))</f>
        <v>S61</v>
      </c>
      <c r="BY175" s="50" t="n">
        <f aca="false">IF(BX175="LOSE",1,IF(N(V175)&gt;0,V175,IF(CA175=1,MAX(1,N(VLOOKUP(T175,Parameter!$I$27:$K$29,3,0)),H175,N(N175)),IF(N(Q175)&gt;0,Q175,MAX(1,H175)))))</f>
        <v>90</v>
      </c>
      <c r="BZ175" s="53" t="n">
        <f aca="false">IF(BX175="LOSE",1,0)</f>
        <v>0</v>
      </c>
      <c r="CA175" s="53" t="n">
        <f aca="false">IF(AND(U175="",OR(P175="",P175="LOSE"),T175&lt;&gt;"",N(S175)&lt;=0,ISNUMBER(MATCH(T175,Parameter!$I$27:$I$29,0))),1,0)</f>
        <v>0</v>
      </c>
      <c r="CB175" s="53" t="n">
        <f aca="false">IF(CQ175&gt;0,INDEX(Parameter!$H$5:$H$7,W175)/INDEX(Parameter!$E$5:$E$7,W175),IF(AND(BZ175=0,N(IFERROR(VLOOKUP(BX175,'Gebinde-Kategorie'!$A$5:$N$45,14,0),0))&gt;0),VLOOKUP(BX175,'Gebinde-Kategorie'!$A$5:$N$45,14,0)*10+Parameter!$M$23,Parameter!$M$24))</f>
        <v>145</v>
      </c>
      <c r="CC175" s="48" t="str">
        <f aca="false">IF(AND(Parameter!$B$19="Ja",E175&lt;&gt;"",ISNUMBER(MATCH(E175,Parameter!$I$35:$I$52,0))),VLOOKUP(E175,Parameter!$I$35:$J$52,2,0),IFERROR(VLOOKUP(D175,Parameter!$A$35:$C$64,2,0),"Nein"))</f>
        <v>2+3</v>
      </c>
      <c r="CD175" s="52" t="n">
        <f aca="false">IF(BZ175=0,0,IF(N(S175)&gt;0,S175,IFERROR(VLOOKUP(D175,Parameter!$A$35:$C$64,3,0)+0,0)))</f>
        <v>0</v>
      </c>
      <c r="CE175" s="48" t="n">
        <f aca="false">IF(AA175&lt;&gt;"",AA175,Z175)</f>
        <v>2</v>
      </c>
      <c r="CF175" s="48" t="str">
        <f aca="false">IF(OR(CE175=1,CE175=2,CE175=3),IF(Parameter!$E$27="Ja","LIFT",IF(CE175=1,"L1","L23")),IF(CE175="Aussen","Aussen","-"))</f>
        <v>LIFT</v>
      </c>
      <c r="CG175" s="59" t="n">
        <f aca="false">IF(N(AB175)&gt;0,AB175,0)</f>
        <v>0</v>
      </c>
      <c r="CH175" s="53" t="n">
        <f aca="false">IF(ISNUMBER(AE175),1,0)</f>
        <v>0</v>
      </c>
      <c r="CI175" s="50" t="n">
        <f aca="false">N(AE175)</f>
        <v>0</v>
      </c>
      <c r="CJ175" s="50" t="n">
        <f aca="false">N(M175)+N(N175)</f>
        <v>193</v>
      </c>
      <c r="CK175" s="50" t="n">
        <f aca="false">N(M175)</f>
        <v>13</v>
      </c>
      <c r="CL175" s="50" t="n">
        <f aca="false">N(N175)</f>
        <v>180</v>
      </c>
      <c r="CM175" s="50" t="n">
        <f aca="false">ROUNDUP(H175/BY175,0)</f>
        <v>3</v>
      </c>
      <c r="CN175" s="50" t="n">
        <f aca="false">ROUNDUP(CI175/BY175,0)</f>
        <v>0</v>
      </c>
      <c r="CO175" s="53" t="n">
        <f aca="false">IF(BZ175=1,0,IFERROR(VLOOKUP(BX175,'Gebinde-Kategorie'!$A$5:$N$45,5,0)+0,0))</f>
        <v>11</v>
      </c>
      <c r="CP175" s="53" t="n">
        <f aca="false">IFERROR(IF(OR(CE175=1,CE175=2,CE175=3),N(INDEX(Parameter!$I$5:$I$7,CE175)),0),0)</f>
        <v>0</v>
      </c>
      <c r="CQ175" s="52" t="n">
        <f aca="false">IF(AND(Parameter!$B$21="Ja",ISNUMBER(W175),N(X175)&gt;0),IFERROR(N(INDEX(Parameter!$L$5:$L$7,W175))*INDEX(Parameter!$E$5:$E$7,W175)*X175/SUMIFS($X$7:$X$1843,$W$7:$W$1843,W175),0),0)</f>
        <v>0</v>
      </c>
    </row>
    <row r="176" customFormat="false" ht="15" hidden="false" customHeight="false" outlineLevel="0" collapsed="false">
      <c r="A176" s="48" t="s">
        <v>567</v>
      </c>
      <c r="B176" s="48" t="s">
        <v>568</v>
      </c>
      <c r="C176" s="48" t="s">
        <v>173</v>
      </c>
      <c r="D176" s="48" t="s">
        <v>193</v>
      </c>
      <c r="E176" s="48" t="s">
        <v>194</v>
      </c>
      <c r="F176" s="48" t="s">
        <v>227</v>
      </c>
      <c r="G176" s="49" t="n">
        <v>11.84</v>
      </c>
      <c r="H176" s="50" t="n">
        <f aca="false">MAX(0,IF(AND(Parameter!$B$21="Ja",ISNUMBER(Y176)),Y176,IF(Parameter!$B$20="Jahresanfang 2025 + Export",BR176+BQ176,BQ176)))</f>
        <v>149</v>
      </c>
      <c r="I176" s="50" t="n">
        <f aca="false">H176*G176</f>
        <v>1764.16</v>
      </c>
      <c r="J176" s="50" t="n">
        <f aca="false">BT176*Parameter!$B$18</f>
        <v>161</v>
      </c>
      <c r="K176" s="51" t="n">
        <v>60.5</v>
      </c>
      <c r="L176" s="52" t="n">
        <v>2.66115702479339</v>
      </c>
      <c r="M176" s="50" t="n">
        <v>12</v>
      </c>
      <c r="N176" s="50" t="n">
        <v>160</v>
      </c>
      <c r="O176" s="53" t="n">
        <v>28</v>
      </c>
      <c r="P176" s="48" t="s">
        <v>242</v>
      </c>
      <c r="Q176" s="50" t="n">
        <v>67</v>
      </c>
      <c r="R176" s="53" t="n">
        <f aca="false">IF(BZ176=1,0,IFERROR(VLOOKUP(BX176,'Gebinde-Kategorie'!$A$5:$N$45,13,0)+0,0))</f>
        <v>26</v>
      </c>
      <c r="S176" s="54"/>
      <c r="T176" s="55"/>
      <c r="U176" s="55"/>
      <c r="V176" s="55"/>
      <c r="W176" s="48"/>
      <c r="X176" s="50"/>
      <c r="Y176" s="50"/>
      <c r="Z176" s="48" t="n">
        <f aca="false">IF(A176="","",IF(AND(Parameter!$B$21="Ja",ISNUMBER(W176)),W176,IF(CC176="2+3",IF(ISNUMBER(SEARCH("grosser Artikel",BU176)),2,IFERROR(VLOOKUP(BX176,Parameter!$F$35:$G$64,2,0),2)),IF(OR(CC176="Nein",CC176=""),"-",CC176))))</f>
        <v>3</v>
      </c>
      <c r="AA176" s="55"/>
      <c r="AB176" s="56"/>
      <c r="AC176" s="50" t="n">
        <f aca="false">AV176</f>
        <v>172</v>
      </c>
      <c r="AD176" s="50" t="n">
        <f aca="false">MAX(AV176,H176)</f>
        <v>172</v>
      </c>
      <c r="AE176" s="57"/>
      <c r="AF176" s="50" t="n">
        <f aca="false">IF(LEFT(Cockpit!$C$5,1)="A",H176,IF(Parameter!$E$30="MAX-Bestand",IF(CH176=1,CI176,IF(LEFT(Cockpit!$C$5,1)="B",AL176,MAX(AL176,H176))),ROUNDUP(AJ176,0)))</f>
        <v>149</v>
      </c>
      <c r="AG176" s="50" t="n">
        <f aca="false">IF(BZ176=1,0,ROUNDUP(AF176/BY176,0))</f>
        <v>3</v>
      </c>
      <c r="AH176" s="52" t="n">
        <f aca="false">IF(CQ176&gt;0,CQ176*MAX(1,AF176/X176),IF(BZ176=1,IF(AF176&lt;=0,0,CD176*MAX(1,IF(H176&gt;0,AF176/H176,1))),IF(R176&gt;0,AG176/R176,0))/MAX(0.1,N(Parameter!$M$21)))</f>
        <v>0.115384615384615</v>
      </c>
      <c r="AI176" s="50" t="n">
        <f aca="false">AH176*CB176</f>
        <v>28.2692307692308</v>
      </c>
      <c r="AJ176" s="51" t="n">
        <f aca="false">IF(LEFT(Cockpit!$C$5,1)="A",H176,IF(CH176=1,(CK176+CI176)/2,IF(LEFT(Cockpit!$C$5,1)="B",(CK176+AL176)/2,MAX((CK176+AL176)/2,H176))))</f>
        <v>149</v>
      </c>
      <c r="AK176" s="50" t="n">
        <f aca="false">AJ176*G176</f>
        <v>1764.16</v>
      </c>
      <c r="AL176" s="50" t="n">
        <f aca="false">ROUNDUP(CK176+MAX(CL176,2*(J176/IF(CG176&gt;0,CG176,MAX(0.1,N(Cockpit!$C$6)))-CK176)),0)</f>
        <v>172</v>
      </c>
      <c r="AM176" s="51" t="n">
        <f aca="false">IF(AI176&gt;0,J176/AI176,-1)</f>
        <v>5.6952380952381</v>
      </c>
      <c r="AN176" s="51" t="n">
        <f aca="false">IF(AND(OR(CF176="L1",CF176="L23",CF176="LIFT"),AI176&gt;0),SUMIFS($AI$7:$AI$1843,$CF$7:$CF$1843,CF176,$AM$7:$AM$1843,"&gt;"&amp;AM176)+SUMIFS($AI$7:$AI$1843,$CF$7:$CF$1843,CF176,$AM$7:$AM$1843,AM176,$BW$7:$BW$1843,"&lt;="&amp;BW176),"")</f>
        <v>3621.66071428571</v>
      </c>
      <c r="AO176" s="58" t="n">
        <f aca="false">IF(AN176="",0,MAX(0,MIN(1,(IF(CF176="L1",Parameter!$H$5,IF(CF176="L23",Parameter!$H$6+Parameter!$H$7,Parameter!$H$5+Parameter!$H$6+Parameter!$H$7))-(AN176-AI176))/AI176)))</f>
        <v>1</v>
      </c>
      <c r="AP176" s="50" t="n">
        <f aca="false">IF(LEFT(Cockpit!$I$5,1)="A",H176,IF(Parameter!$E$30="MAX-Bestand",IF(CH176=1,CI176,IF(LEFT(Cockpit!$I$5,1)="B",AV176,MAX(AV176,H176))),ROUNDUP(AT176,0)))</f>
        <v>149</v>
      </c>
      <c r="AQ176" s="50" t="n">
        <f aca="false">IF(BZ176=1,0,ROUNDUP(AP176/BY176,0))</f>
        <v>3</v>
      </c>
      <c r="AR176" s="52" t="n">
        <f aca="false">IF(CQ176&gt;0,CQ176*MAX(1,AP176/X176),IF(BZ176=1,IF(AP176&lt;=0,0,CD176*MAX(1,IF(H176&gt;0,AP176/H176,1))),IF(R176&gt;0,AQ176/R176,0))/MAX(0.1,N(Parameter!$M$21)))</f>
        <v>0.115384615384615</v>
      </c>
      <c r="AS176" s="50" t="n">
        <f aca="false">AR176*CB176</f>
        <v>28.2692307692308</v>
      </c>
      <c r="AT176" s="51" t="n">
        <f aca="false">IF(LEFT(Cockpit!$I$5,1)="A",H176,IF(CH176=1,(CK176+CI176)/2,IF(LEFT(Cockpit!$I$5,1)="B",(CK176+AV176)/2,MAX((CK176+AV176)/2,H176))))</f>
        <v>149</v>
      </c>
      <c r="AU176" s="50" t="n">
        <f aca="false">AT176*G176</f>
        <v>1764.16</v>
      </c>
      <c r="AV176" s="50" t="n">
        <f aca="false">ROUNDUP(CK176+MAX(CL176,2*(J176/IF(CG176&gt;0,CG176,MAX(0.1,N(Cockpit!$I$6)))-CK176)),0)</f>
        <v>172</v>
      </c>
      <c r="AW176" s="51" t="n">
        <f aca="false">IF(AS176&gt;0,J176/AS176,-1)</f>
        <v>5.6952380952381</v>
      </c>
      <c r="AX176" s="51" t="n">
        <f aca="false">IF(AND(OR(CF176="L1",CF176="L23",CF176="LIFT"),AS176&gt;0),SUMIFS($AS$7:$AS$1843,$CF$7:$CF$1843,CF176,$AW$7:$AW$1843,"&gt;"&amp;AW176)+SUMIFS($AS$7:$AS$1843,$CF$7:$CF$1843,CF176,$AW$7:$AW$1843,AW176,$BW$7:$BW$1843,"&lt;="&amp;BW176),"")</f>
        <v>4275.40155677656</v>
      </c>
      <c r="AY176" s="58" t="n">
        <f aca="false">IF(AX176="",0,MAX(0,MIN(1,(IF(CF176="L1",Parameter!$H$5,IF(CF176="L23",Parameter!$H$6+Parameter!$H$7,Parameter!$H$5+Parameter!$H$6+Parameter!$H$7))-(AX176-AS176))/AS176)))</f>
        <v>1</v>
      </c>
      <c r="AZ176" s="50" t="n">
        <f aca="false">IF(LEFT(Cockpit!$O$5,1)="A",H176,IF(Parameter!$E$30="MAX-Bestand",IF(CH176=1,CI176,IF(LEFT(Cockpit!$O$5,1)="B",BF176,MAX(BF176,H176))),ROUNDUP(BD176,0)))</f>
        <v>92</v>
      </c>
      <c r="BA176" s="50" t="n">
        <f aca="false">IF(BZ176=1,0,ROUNDUP(AZ176/BY176,0))</f>
        <v>2</v>
      </c>
      <c r="BB176" s="52" t="n">
        <f aca="false">IF(CQ176&gt;0,CQ176*MAX(1,AZ176/X176),IF(BZ176=1,IF(AZ176&lt;=0,0,CD176*MAX(1,IF(H176&gt;0,AZ176/H176,1))),IF(R176&gt;0,BA176/R176,0))/MAX(0.1,N(Parameter!$M$21)))</f>
        <v>0.0769230769230769</v>
      </c>
      <c r="BC176" s="50" t="n">
        <f aca="false">BB176*CB176</f>
        <v>18.8461538461538</v>
      </c>
      <c r="BD176" s="51" t="n">
        <f aca="false">IF(LEFT(Cockpit!$O$5,1)="A",H176,IF(CH176=1,(CK176+CI176)/2,IF(LEFT(Cockpit!$O$5,1)="B",(CK176+BF176)/2,MAX((CK176+BF176)/2,H176))))</f>
        <v>92</v>
      </c>
      <c r="BE176" s="50" t="n">
        <f aca="false">BD176*G176</f>
        <v>1089.28</v>
      </c>
      <c r="BF176" s="50" t="n">
        <f aca="false">ROUNDUP(CK176+MAX(CL176,2*(J176/IF(CG176&gt;0,CG176,MAX(0.1,N(Cockpit!$O$6)))-CK176)),0)</f>
        <v>172</v>
      </c>
      <c r="BG176" s="51" t="n">
        <f aca="false">IF(BC176&gt;0,J176/BC176,-1)</f>
        <v>8.54285714285714</v>
      </c>
      <c r="BH176" s="51" t="n">
        <f aca="false">IF(AND(OR(CF176="L1",CF176="L23",CF176="LIFT"),BC176&gt;0),SUMIFS($BC$7:$BC$1843,$CF$7:$CF$1843,CF176,$BG$7:$BG$1843,"&gt;"&amp;BG176)+SUMIFS($BC$7:$BC$1843,$CF$7:$CF$1843,CF176,$BG$7:$BG$1843,BG176,$BW$7:$BW$1843,"&lt;="&amp;BW176),"")</f>
        <v>2948.71657509158</v>
      </c>
      <c r="BI176" s="58" t="n">
        <f aca="false">IF(BH176="",0,MAX(0,MIN(1,(IF(CF176="L1",Parameter!$H$5,IF(CF176="L23",Parameter!$H$6+Parameter!$H$7,Parameter!$H$5+Parameter!$H$6+Parameter!$H$7))-(BH176-BC176))/BC176)))</f>
        <v>1</v>
      </c>
      <c r="BJ176" s="48" t="str">
        <f aca="false">IF(AI176&lt;=0,"",IF(CF176="Aussen","Aussenlager",IF(CF176="-","Nicht im Lift",IF(AO176&gt;=1,"Lift",IF(AO176&lt;=0,"Aussenlager","teilweise")))))</f>
        <v>Lift</v>
      </c>
      <c r="BK176" s="48" t="str">
        <f aca="false">IF(AS176&lt;=0,"",IF(CF176="Aussen","Aussenlager",IF(CF176="-","Nicht im Lift",IF(AY176&gt;=1,"Lift",IF(AY176&lt;=0,"Aussenlager","teilweise")))))</f>
        <v>Lift</v>
      </c>
      <c r="BL176" s="48" t="str">
        <f aca="false">IF(BC176&lt;=0,"",IF(CF176="Aussen","Aussenlager",IF(CF176="-","Nicht im Lift",IF(BI176&gt;=1,"Lift",IF(BI176&lt;=0,"Aussenlager","teilweise")))))</f>
        <v>Lift</v>
      </c>
      <c r="BM176" s="48" t="str">
        <f aca="false">IF(A176="","",IF(BV176=1,"Neu; ","")&amp;IF(AND(BV176=0,BQ176&lt;0),"negativer Bestand (Export "&amp;BQ176&amp;"); ","")&amp;IF(J176&lt;=0,"Kein Verbrauch; ","")&amp;IF(CQ176&gt;0,"Lift "&amp;W176&amp;" lt. Liftbericht (Fach "&amp;X176&amp;" Stk); ",IF(CA176=1,"Gebinde geschätzt ("&amp;T176&amp;"); ",IF(BZ176=1,"Lose – Tablare geschätzt; ","")))&amp;IF(H176&gt;AV176,"Überbestand "&amp;ROUND(H176-AV176,0)&amp;" Stk / CHF "&amp;ROUND((H176-AV176)*G176,0)&amp;"; ","")&amp;IF(AND(CH176=1,CI176&lt;CJ176),"MAX &lt; MB+LG; ","")&amp;IF(AND(CP176&gt;0,CO176*10&gt;CP176),"zu hoch für Tablar; ","")&amp;IF(AND(BV176=0,OR(CH176=1,AA176&lt;&gt;"",U176&lt;&gt;"",V176&lt;&gt;"",AB176&lt;&gt;"")),"manuell übersteuert; ","")&amp;IF(AND(BZ176=0,R176=0),"Gebinde unbekannt / Stellmass fehlt; ","")&amp;IF(AND(BZ176=0,N(V176)&lt;=0,N(Q176)&lt;=0),"Menge pro Gebinde fehlt (Ist = 1 Gebinde); ","")&amp;BU176)</f>
        <v/>
      </c>
      <c r="BN176" s="48"/>
      <c r="BO176" s="48"/>
      <c r="BP176" s="55"/>
      <c r="BQ176" s="50" t="n">
        <v>88</v>
      </c>
      <c r="BR176" s="50" t="n">
        <v>61</v>
      </c>
      <c r="BS176" s="49" t="n">
        <v>1041.92</v>
      </c>
      <c r="BT176" s="50" t="n">
        <v>161</v>
      </c>
      <c r="BU176" s="48"/>
      <c r="BV176" s="53" t="n">
        <v>0</v>
      </c>
      <c r="BW176" s="53" t="n">
        <v>176</v>
      </c>
      <c r="BX176" s="48" t="str">
        <f aca="false">IF(U176&lt;&gt;"",UPPER(TRIM(U176)),IF(CA176=1,UPPER(VLOOKUP(T176,Parameter!$I$27:$K$29,2,0)),IF(P176="","LOSE",P176)))</f>
        <v>S52</v>
      </c>
      <c r="BY176" s="50" t="n">
        <f aca="false">IF(BX176="LOSE",1,IF(N(V176)&gt;0,V176,IF(CA176=1,MAX(1,N(VLOOKUP(T176,Parameter!$I$27:$K$29,3,0)),H176,N(N176)),IF(N(Q176)&gt;0,Q176,MAX(1,H176)))))</f>
        <v>67</v>
      </c>
      <c r="BZ176" s="53" t="n">
        <f aca="false">IF(BX176="LOSE",1,0)</f>
        <v>0</v>
      </c>
      <c r="CA176" s="53" t="n">
        <f aca="false">IF(AND(U176="",OR(P176="",P176="LOSE"),T176&lt;&gt;"",N(S176)&lt;=0,ISNUMBER(MATCH(T176,Parameter!$I$27:$I$29,0))),1,0)</f>
        <v>0</v>
      </c>
      <c r="CB176" s="53" t="n">
        <f aca="false">IF(CQ176&gt;0,INDEX(Parameter!$H$5:$H$7,W176)/INDEX(Parameter!$E$5:$E$7,W176),IF(AND(BZ176=0,N(IFERROR(VLOOKUP(BX176,'Gebinde-Kategorie'!$A$5:$N$45,14,0),0))&gt;0),VLOOKUP(BX176,'Gebinde-Kategorie'!$A$5:$N$45,14,0)*10+Parameter!$M$23,Parameter!$M$24))</f>
        <v>245</v>
      </c>
      <c r="CC176" s="48" t="str">
        <f aca="false">IF(AND(Parameter!$B$19="Ja",E176&lt;&gt;"",ISNUMBER(MATCH(E176,Parameter!$I$35:$I$52,0))),VLOOKUP(E176,Parameter!$I$35:$J$52,2,0),IFERROR(VLOOKUP(D176,Parameter!$A$35:$C$64,2,0),"Nein"))</f>
        <v>2+3</v>
      </c>
      <c r="CD176" s="52" t="n">
        <f aca="false">IF(BZ176=0,0,IF(N(S176)&gt;0,S176,IFERROR(VLOOKUP(D176,Parameter!$A$35:$C$64,3,0)+0,0)))</f>
        <v>0</v>
      </c>
      <c r="CE176" s="48" t="n">
        <f aca="false">IF(AA176&lt;&gt;"",AA176,Z176)</f>
        <v>3</v>
      </c>
      <c r="CF176" s="48" t="str">
        <f aca="false">IF(OR(CE176=1,CE176=2,CE176=3),IF(Parameter!$E$27="Ja","LIFT",IF(CE176=1,"L1","L23")),IF(CE176="Aussen","Aussen","-"))</f>
        <v>LIFT</v>
      </c>
      <c r="CG176" s="59" t="n">
        <f aca="false">IF(N(AB176)&gt;0,AB176,0)</f>
        <v>0</v>
      </c>
      <c r="CH176" s="53" t="n">
        <f aca="false">IF(ISNUMBER(AE176),1,0)</f>
        <v>0</v>
      </c>
      <c r="CI176" s="50" t="n">
        <f aca="false">N(AE176)</f>
        <v>0</v>
      </c>
      <c r="CJ176" s="50" t="n">
        <f aca="false">N(M176)+N(N176)</f>
        <v>172</v>
      </c>
      <c r="CK176" s="50" t="n">
        <f aca="false">N(M176)</f>
        <v>12</v>
      </c>
      <c r="CL176" s="50" t="n">
        <f aca="false">N(N176)</f>
        <v>160</v>
      </c>
      <c r="CM176" s="50" t="n">
        <f aca="false">ROUNDUP(H176/BY176,0)</f>
        <v>3</v>
      </c>
      <c r="CN176" s="50" t="n">
        <f aca="false">ROUNDUP(CI176/BY176,0)</f>
        <v>0</v>
      </c>
      <c r="CO176" s="53" t="n">
        <f aca="false">IF(BZ176=1,0,IFERROR(VLOOKUP(BX176,'Gebinde-Kategorie'!$A$5:$N$45,5,0)+0,0))</f>
        <v>21</v>
      </c>
      <c r="CP176" s="53" t="n">
        <f aca="false">IFERROR(IF(OR(CE176=1,CE176=2,CE176=3),N(INDEX(Parameter!$I$5:$I$7,CE176)),0),0)</f>
        <v>0</v>
      </c>
      <c r="CQ176" s="52" t="n">
        <f aca="false">IF(AND(Parameter!$B$21="Ja",ISNUMBER(W176),N(X176)&gt;0),IFERROR(N(INDEX(Parameter!$L$5:$L$7,W176))*INDEX(Parameter!$E$5:$E$7,W176)*X176/SUMIFS($X$7:$X$1843,$W$7:$W$1843,W176),0),0)</f>
        <v>0</v>
      </c>
    </row>
    <row r="177" customFormat="false" ht="15" hidden="false" customHeight="false" outlineLevel="0" collapsed="false">
      <c r="A177" s="48" t="s">
        <v>569</v>
      </c>
      <c r="B177" s="48" t="s">
        <v>498</v>
      </c>
      <c r="C177" s="48" t="s">
        <v>173</v>
      </c>
      <c r="D177" s="48" t="s">
        <v>193</v>
      </c>
      <c r="E177" s="48" t="s">
        <v>194</v>
      </c>
      <c r="F177" s="48" t="s">
        <v>227</v>
      </c>
      <c r="G177" s="49" t="n">
        <v>1.51</v>
      </c>
      <c r="H177" s="50" t="n">
        <f aca="false">MAX(0,IF(AND(Parameter!$B$21="Ja",ISNUMBER(Y177)),Y177,IF(Parameter!$B$20="Jahresanfang 2025 + Export",BR177+BQ177,BQ177)))</f>
        <v>1155</v>
      </c>
      <c r="I177" s="50" t="n">
        <f aca="false">H177*G177</f>
        <v>1744.05</v>
      </c>
      <c r="J177" s="50" t="n">
        <f aca="false">BT177*Parameter!$B$18</f>
        <v>2212</v>
      </c>
      <c r="K177" s="51" t="n">
        <v>594.5</v>
      </c>
      <c r="L177" s="52" t="n">
        <v>3.72077375946173</v>
      </c>
      <c r="M177" s="50" t="n">
        <v>45</v>
      </c>
      <c r="N177" s="50" t="n">
        <v>1870</v>
      </c>
      <c r="O177" s="53" t="n">
        <v>7</v>
      </c>
      <c r="P177" s="48" t="s">
        <v>311</v>
      </c>
      <c r="Q177" s="50" t="n">
        <v>1322</v>
      </c>
      <c r="R177" s="53" t="n">
        <f aca="false">IF(BZ177=1,0,IFERROR(VLOOKUP(BX177,'Gebinde-Kategorie'!$A$5:$N$45,13,0)+0,0))</f>
        <v>26</v>
      </c>
      <c r="S177" s="54"/>
      <c r="T177" s="55"/>
      <c r="U177" s="55"/>
      <c r="V177" s="55"/>
      <c r="W177" s="48"/>
      <c r="X177" s="50"/>
      <c r="Y177" s="50"/>
      <c r="Z177" s="48" t="n">
        <f aca="false">IF(A177="","",IF(AND(Parameter!$B$21="Ja",ISNUMBER(W177)),W177,IF(CC177="2+3",IF(ISNUMBER(SEARCH("grosser Artikel",BU177)),2,IFERROR(VLOOKUP(BX177,Parameter!$F$35:$G$64,2,0),2)),IF(OR(CC177="Nein",CC177=""),"-",CC177))))</f>
        <v>3</v>
      </c>
      <c r="AA177" s="55"/>
      <c r="AB177" s="56"/>
      <c r="AC177" s="50" t="n">
        <f aca="false">AV177</f>
        <v>1915</v>
      </c>
      <c r="AD177" s="50" t="n">
        <f aca="false">MAX(AV177,H177)</f>
        <v>1915</v>
      </c>
      <c r="AE177" s="57"/>
      <c r="AF177" s="50" t="n">
        <f aca="false">IF(LEFT(Cockpit!$C$5,1)="A",H177,IF(Parameter!$E$30="MAX-Bestand",IF(CH177=1,CI177,IF(LEFT(Cockpit!$C$5,1)="B",AL177,MAX(AL177,H177))),ROUNDUP(AJ177,0)))</f>
        <v>1155</v>
      </c>
      <c r="AG177" s="50" t="n">
        <f aca="false">IF(BZ177=1,0,ROUNDUP(AF177/BY177,0))</f>
        <v>1</v>
      </c>
      <c r="AH177" s="52" t="n">
        <f aca="false">IF(CQ177&gt;0,CQ177*MAX(1,AF177/X177),IF(BZ177=1,IF(AF177&lt;=0,0,CD177*MAX(1,IF(H177&gt;0,AF177/H177,1))),IF(R177&gt;0,AG177/R177,0))/MAX(0.1,N(Parameter!$M$21)))</f>
        <v>0.0384615384615385</v>
      </c>
      <c r="AI177" s="50" t="n">
        <f aca="false">AH177*CB177</f>
        <v>5.96153846153846</v>
      </c>
      <c r="AJ177" s="51" t="n">
        <f aca="false">IF(LEFT(Cockpit!$C$5,1)="A",H177,IF(CH177=1,(CK177+CI177)/2,IF(LEFT(Cockpit!$C$5,1)="B",(CK177+AL177)/2,MAX((CK177+AL177)/2,H177))))</f>
        <v>1155</v>
      </c>
      <c r="AK177" s="50" t="n">
        <f aca="false">AJ177*G177</f>
        <v>1744.05</v>
      </c>
      <c r="AL177" s="50" t="n">
        <f aca="false">ROUNDUP(CK177+MAX(CL177,2*(J177/IF(CG177&gt;0,CG177,MAX(0.1,N(Cockpit!$C$6)))-CK177)),0)</f>
        <v>1915</v>
      </c>
      <c r="AM177" s="51" t="n">
        <f aca="false">IF(AI177&gt;0,J177/AI177,-1)</f>
        <v>371.045161290323</v>
      </c>
      <c r="AN177" s="51" t="n">
        <f aca="false">IF(AND(OR(CF177="L1",CF177="L23",CF177="LIFT"),AI177&gt;0),SUMIFS($AI$7:$AI$1843,$CF$7:$CF$1843,CF177,$AM$7:$AM$1843,"&gt;"&amp;AM177)+SUMIFS($AI$7:$AI$1843,$CF$7:$CF$1843,CF177,$AM$7:$AM$1843,AM177,$BW$7:$BW$1843,"&lt;="&amp;BW177),"")</f>
        <v>211.910714285714</v>
      </c>
      <c r="AO177" s="58" t="n">
        <f aca="false">IF(AN177="",0,MAX(0,MIN(1,(IF(CF177="L1",Parameter!$H$5,IF(CF177="L23",Parameter!$H$6+Parameter!$H$7,Parameter!$H$5+Parameter!$H$6+Parameter!$H$7))-(AN177-AI177))/AI177)))</f>
        <v>1</v>
      </c>
      <c r="AP177" s="50" t="n">
        <f aca="false">IF(LEFT(Cockpit!$I$5,1)="A",H177,IF(Parameter!$E$30="MAX-Bestand",IF(CH177=1,CI177,IF(LEFT(Cockpit!$I$5,1)="B",AV177,MAX(AV177,H177))),ROUNDUP(AT177,0)))</f>
        <v>1155</v>
      </c>
      <c r="AQ177" s="50" t="n">
        <f aca="false">IF(BZ177=1,0,ROUNDUP(AP177/BY177,0))</f>
        <v>1</v>
      </c>
      <c r="AR177" s="52" t="n">
        <f aca="false">IF(CQ177&gt;0,CQ177*MAX(1,AP177/X177),IF(BZ177=1,IF(AP177&lt;=0,0,CD177*MAX(1,IF(H177&gt;0,AP177/H177,1))),IF(R177&gt;0,AQ177/R177,0))/MAX(0.1,N(Parameter!$M$21)))</f>
        <v>0.0384615384615385</v>
      </c>
      <c r="AS177" s="50" t="n">
        <f aca="false">AR177*CB177</f>
        <v>5.96153846153846</v>
      </c>
      <c r="AT177" s="51" t="n">
        <f aca="false">IF(LEFT(Cockpit!$I$5,1)="A",H177,IF(CH177=1,(CK177+CI177)/2,IF(LEFT(Cockpit!$I$5,1)="B",(CK177+AV177)/2,MAX((CK177+AV177)/2,H177))))</f>
        <v>1155</v>
      </c>
      <c r="AU177" s="50" t="n">
        <f aca="false">AT177*G177</f>
        <v>1744.05</v>
      </c>
      <c r="AV177" s="50" t="n">
        <f aca="false">ROUNDUP(CK177+MAX(CL177,2*(J177/IF(CG177&gt;0,CG177,MAX(0.1,N(Cockpit!$I$6)))-CK177)),0)</f>
        <v>1915</v>
      </c>
      <c r="AW177" s="51" t="n">
        <f aca="false">IF(AS177&gt;0,J177/AS177,-1)</f>
        <v>371.045161290323</v>
      </c>
      <c r="AX177" s="51" t="n">
        <f aca="false">IF(AND(OR(CF177="L1",CF177="L23",CF177="LIFT"),AS177&gt;0),SUMIFS($AS$7:$AS$1843,$CF$7:$CF$1843,CF177,$AW$7:$AW$1843,"&gt;"&amp;AW177)+SUMIFS($AS$7:$AS$1843,$CF$7:$CF$1843,CF177,$AW$7:$AW$1843,AW177,$BW$7:$BW$1843,"&lt;="&amp;BW177),"")</f>
        <v>146.126831501832</v>
      </c>
      <c r="AY177" s="58" t="n">
        <f aca="false">IF(AX177="",0,MAX(0,MIN(1,(IF(CF177="L1",Parameter!$H$5,IF(CF177="L23",Parameter!$H$6+Parameter!$H$7,Parameter!$H$5+Parameter!$H$6+Parameter!$H$7))-(AX177-AS177))/AS177)))</f>
        <v>1</v>
      </c>
      <c r="AZ177" s="50" t="n">
        <f aca="false">IF(LEFT(Cockpit!$O$5,1)="A",H177,IF(Parameter!$E$30="MAX-Bestand",IF(CH177=1,CI177,IF(LEFT(Cockpit!$O$5,1)="B",BF177,MAX(BF177,H177))),ROUNDUP(BD177,0)))</f>
        <v>980</v>
      </c>
      <c r="BA177" s="50" t="n">
        <f aca="false">IF(BZ177=1,0,ROUNDUP(AZ177/BY177,0))</f>
        <v>1</v>
      </c>
      <c r="BB177" s="52" t="n">
        <f aca="false">IF(CQ177&gt;0,CQ177*MAX(1,AZ177/X177),IF(BZ177=1,IF(AZ177&lt;=0,0,CD177*MAX(1,IF(H177&gt;0,AZ177/H177,1))),IF(R177&gt;0,BA177/R177,0))/MAX(0.1,N(Parameter!$M$21)))</f>
        <v>0.0384615384615385</v>
      </c>
      <c r="BC177" s="50" t="n">
        <f aca="false">BB177*CB177</f>
        <v>5.96153846153846</v>
      </c>
      <c r="BD177" s="51" t="n">
        <f aca="false">IF(LEFT(Cockpit!$O$5,1)="A",H177,IF(CH177=1,(CK177+CI177)/2,IF(LEFT(Cockpit!$O$5,1)="B",(CK177+BF177)/2,MAX((CK177+BF177)/2,H177))))</f>
        <v>980</v>
      </c>
      <c r="BE177" s="50" t="n">
        <f aca="false">BD177*G177</f>
        <v>1479.8</v>
      </c>
      <c r="BF177" s="50" t="n">
        <f aca="false">ROUNDUP(CK177+MAX(CL177,2*(J177/IF(CG177&gt;0,CG177,MAX(0.1,N(Cockpit!$O$6)))-CK177)),0)</f>
        <v>1915</v>
      </c>
      <c r="BG177" s="51" t="n">
        <f aca="false">IF(BC177&gt;0,J177/BC177,-1)</f>
        <v>371.045161290323</v>
      </c>
      <c r="BH177" s="51" t="n">
        <f aca="false">IF(AND(OR(CF177="L1",CF177="L23",CF177="LIFT"),BC177&gt;0),SUMIFS($BC$7:$BC$1843,$CF$7:$CF$1843,CF177,$BG$7:$BG$1843,"&gt;"&amp;BG177)+SUMIFS($BC$7:$BC$1843,$CF$7:$CF$1843,CF177,$BG$7:$BG$1843,BG177,$BW$7:$BW$1843,"&lt;="&amp;BW177),"")</f>
        <v>221.320512820513</v>
      </c>
      <c r="BI177" s="58" t="n">
        <f aca="false">IF(BH177="",0,MAX(0,MIN(1,(IF(CF177="L1",Parameter!$H$5,IF(CF177="L23",Parameter!$H$6+Parameter!$H$7,Parameter!$H$5+Parameter!$H$6+Parameter!$H$7))-(BH177-BC177))/BC177)))</f>
        <v>1</v>
      </c>
      <c r="BJ177" s="48" t="str">
        <f aca="false">IF(AI177&lt;=0,"",IF(CF177="Aussen","Aussenlager",IF(CF177="-","Nicht im Lift",IF(AO177&gt;=1,"Lift",IF(AO177&lt;=0,"Aussenlager","teilweise")))))</f>
        <v>Lift</v>
      </c>
      <c r="BK177" s="48" t="str">
        <f aca="false">IF(AS177&lt;=0,"",IF(CF177="Aussen","Aussenlager",IF(CF177="-","Nicht im Lift",IF(AY177&gt;=1,"Lift",IF(AY177&lt;=0,"Aussenlager","teilweise")))))</f>
        <v>Lift</v>
      </c>
      <c r="BL177" s="48" t="str">
        <f aca="false">IF(BC177&lt;=0,"",IF(CF177="Aussen","Aussenlager",IF(CF177="-","Nicht im Lift",IF(BI177&gt;=1,"Lift",IF(BI177&lt;=0,"Aussenlager","teilweise")))))</f>
        <v>Lift</v>
      </c>
      <c r="BM177" s="48" t="str">
        <f aca="false">IF(A177="","",IF(BV177=1,"Neu; ","")&amp;IF(AND(BV177=0,BQ177&lt;0),"negativer Bestand (Export "&amp;BQ177&amp;"); ","")&amp;IF(J177&lt;=0,"Kein Verbrauch; ","")&amp;IF(CQ177&gt;0,"Lift "&amp;W177&amp;" lt. Liftbericht (Fach "&amp;X177&amp;" Stk); ",IF(CA177=1,"Gebinde geschätzt ("&amp;T177&amp;"); ",IF(BZ177=1,"Lose – Tablare geschätzt; ","")))&amp;IF(H177&gt;AV177,"Überbestand "&amp;ROUND(H177-AV177,0)&amp;" Stk / CHF "&amp;ROUND((H177-AV177)*G177,0)&amp;"; ","")&amp;IF(AND(CH177=1,CI177&lt;CJ177),"MAX &lt; MB+LG; ","")&amp;IF(AND(CP177&gt;0,CO177*10&gt;CP177),"zu hoch für Tablar; ","")&amp;IF(AND(BV177=0,OR(CH177=1,AA177&lt;&gt;"",U177&lt;&gt;"",V177&lt;&gt;"",AB177&lt;&gt;"")),"manuell übersteuert; ","")&amp;IF(AND(BZ177=0,R177=0),"Gebinde unbekannt / Stellmass fehlt; ","")&amp;IF(AND(BZ177=0,N(V177)&lt;=0,N(Q177)&lt;=0),"Menge pro Gebinde fehlt (Ist = 1 Gebinde); ","")&amp;BU177)</f>
        <v/>
      </c>
      <c r="BN177" s="48"/>
      <c r="BO177" s="48"/>
      <c r="BP177" s="55"/>
      <c r="BQ177" s="50" t="n">
        <v>744</v>
      </c>
      <c r="BR177" s="50" t="n">
        <v>411</v>
      </c>
      <c r="BS177" s="49" t="n">
        <v>1039.86</v>
      </c>
      <c r="BT177" s="50" t="n">
        <v>2212</v>
      </c>
      <c r="BU177" s="48"/>
      <c r="BV177" s="53" t="n">
        <v>0</v>
      </c>
      <c r="BW177" s="53" t="n">
        <v>177</v>
      </c>
      <c r="BX177" s="48" t="str">
        <f aca="false">IF(U177&lt;&gt;"",UPPER(TRIM(U177)),IF(CA177=1,UPPER(VLOOKUP(T177,Parameter!$I$27:$K$29,2,0)),IF(P177="","LOSE",P177)))</f>
        <v>S51</v>
      </c>
      <c r="BY177" s="50" t="n">
        <f aca="false">IF(BX177="LOSE",1,IF(N(V177)&gt;0,V177,IF(CA177=1,MAX(1,N(VLOOKUP(T177,Parameter!$I$27:$K$29,3,0)),H177,N(N177)),IF(N(Q177)&gt;0,Q177,MAX(1,H177)))))</f>
        <v>1322</v>
      </c>
      <c r="BZ177" s="53" t="n">
        <f aca="false">IF(BX177="LOSE",1,0)</f>
        <v>0</v>
      </c>
      <c r="CA177" s="53" t="n">
        <f aca="false">IF(AND(U177="",OR(P177="",P177="LOSE"),T177&lt;&gt;"",N(S177)&lt;=0,ISNUMBER(MATCH(T177,Parameter!$I$27:$I$29,0))),1,0)</f>
        <v>0</v>
      </c>
      <c r="CB177" s="53" t="n">
        <f aca="false">IF(CQ177&gt;0,INDEX(Parameter!$H$5:$H$7,W177)/INDEX(Parameter!$E$5:$E$7,W177),IF(AND(BZ177=0,N(IFERROR(VLOOKUP(BX177,'Gebinde-Kategorie'!$A$5:$N$45,14,0),0))&gt;0),VLOOKUP(BX177,'Gebinde-Kategorie'!$A$5:$N$45,14,0)*10+Parameter!$M$23,Parameter!$M$24))</f>
        <v>155</v>
      </c>
      <c r="CC177" s="48" t="str">
        <f aca="false">IF(AND(Parameter!$B$19="Ja",E177&lt;&gt;"",ISNUMBER(MATCH(E177,Parameter!$I$35:$I$52,0))),VLOOKUP(E177,Parameter!$I$35:$J$52,2,0),IFERROR(VLOOKUP(D177,Parameter!$A$35:$C$64,2,0),"Nein"))</f>
        <v>2+3</v>
      </c>
      <c r="CD177" s="52" t="n">
        <f aca="false">IF(BZ177=0,0,IF(N(S177)&gt;0,S177,IFERROR(VLOOKUP(D177,Parameter!$A$35:$C$64,3,0)+0,0)))</f>
        <v>0</v>
      </c>
      <c r="CE177" s="48" t="n">
        <f aca="false">IF(AA177&lt;&gt;"",AA177,Z177)</f>
        <v>3</v>
      </c>
      <c r="CF177" s="48" t="str">
        <f aca="false">IF(OR(CE177=1,CE177=2,CE177=3),IF(Parameter!$E$27="Ja","LIFT",IF(CE177=1,"L1","L23")),IF(CE177="Aussen","Aussen","-"))</f>
        <v>LIFT</v>
      </c>
      <c r="CG177" s="59" t="n">
        <f aca="false">IF(N(AB177)&gt;0,AB177,0)</f>
        <v>0</v>
      </c>
      <c r="CH177" s="53" t="n">
        <f aca="false">IF(ISNUMBER(AE177),1,0)</f>
        <v>0</v>
      </c>
      <c r="CI177" s="50" t="n">
        <f aca="false">N(AE177)</f>
        <v>0</v>
      </c>
      <c r="CJ177" s="50" t="n">
        <f aca="false">N(M177)+N(N177)</f>
        <v>1915</v>
      </c>
      <c r="CK177" s="50" t="n">
        <f aca="false">N(M177)</f>
        <v>45</v>
      </c>
      <c r="CL177" s="50" t="n">
        <f aca="false">N(N177)</f>
        <v>1870</v>
      </c>
      <c r="CM177" s="50" t="n">
        <f aca="false">ROUNDUP(H177/BY177,0)</f>
        <v>1</v>
      </c>
      <c r="CN177" s="50" t="n">
        <f aca="false">ROUNDUP(CI177/BY177,0)</f>
        <v>0</v>
      </c>
      <c r="CO177" s="53" t="n">
        <f aca="false">IF(BZ177=1,0,IFERROR(VLOOKUP(BX177,'Gebinde-Kategorie'!$A$5:$N$45,5,0)+0,0))</f>
        <v>11</v>
      </c>
      <c r="CP177" s="53" t="n">
        <f aca="false">IFERROR(IF(OR(CE177=1,CE177=2,CE177=3),N(INDEX(Parameter!$I$5:$I$7,CE177)),0),0)</f>
        <v>0</v>
      </c>
      <c r="CQ177" s="52" t="n">
        <f aca="false">IF(AND(Parameter!$B$21="Ja",ISNUMBER(W177),N(X177)&gt;0),IFERROR(N(INDEX(Parameter!$L$5:$L$7,W177))*INDEX(Parameter!$E$5:$E$7,W177)*X177/SUMIFS($X$7:$X$1843,$W$7:$W$1843,W177),0),0)</f>
        <v>0</v>
      </c>
    </row>
    <row r="178" customFormat="false" ht="15" hidden="false" customHeight="false" outlineLevel="0" collapsed="false">
      <c r="A178" s="48" t="s">
        <v>570</v>
      </c>
      <c r="B178" s="48" t="s">
        <v>571</v>
      </c>
      <c r="C178" s="48" t="s">
        <v>173</v>
      </c>
      <c r="D178" s="48" t="s">
        <v>193</v>
      </c>
      <c r="E178" s="48" t="s">
        <v>194</v>
      </c>
      <c r="F178" s="48" t="s">
        <v>227</v>
      </c>
      <c r="G178" s="49" t="n">
        <v>62.49</v>
      </c>
      <c r="H178" s="50" t="n">
        <f aca="false">MAX(0,IF(AND(Parameter!$B$21="Ja",ISNUMBER(Y178)),Y178,IF(Parameter!$B$20="Jahresanfang 2025 + Export",BR178+BQ178,BQ178)))</f>
        <v>39</v>
      </c>
      <c r="I178" s="50" t="n">
        <f aca="false">H178*G178</f>
        <v>2437.11</v>
      </c>
      <c r="J178" s="50" t="n">
        <f aca="false">BT178*Parameter!$B$18</f>
        <v>69</v>
      </c>
      <c r="K178" s="51" t="n">
        <v>46</v>
      </c>
      <c r="L178" s="52" t="n">
        <v>1.5</v>
      </c>
      <c r="M178" s="50" t="n">
        <v>15</v>
      </c>
      <c r="N178" s="50" t="n">
        <v>50</v>
      </c>
      <c r="O178" s="53" t="n">
        <v>56</v>
      </c>
      <c r="P178" s="48" t="s">
        <v>311</v>
      </c>
      <c r="Q178" s="50" t="n">
        <v>43</v>
      </c>
      <c r="R178" s="53" t="n">
        <f aca="false">IF(BZ178=1,0,IFERROR(VLOOKUP(BX178,'Gebinde-Kategorie'!$A$5:$N$45,13,0)+0,0))</f>
        <v>26</v>
      </c>
      <c r="S178" s="54"/>
      <c r="T178" s="55"/>
      <c r="U178" s="55"/>
      <c r="V178" s="55"/>
      <c r="W178" s="48"/>
      <c r="X178" s="50"/>
      <c r="Y178" s="50"/>
      <c r="Z178" s="48" t="n">
        <f aca="false">IF(A178="","",IF(AND(Parameter!$B$21="Ja",ISNUMBER(W178)),W178,IF(CC178="2+3",IF(ISNUMBER(SEARCH("grosser Artikel",BU178)),2,IFERROR(VLOOKUP(BX178,Parameter!$F$35:$G$64,2,0),2)),IF(OR(CC178="Nein",CC178=""),"-",CC178))))</f>
        <v>3</v>
      </c>
      <c r="AA178" s="55"/>
      <c r="AB178" s="56"/>
      <c r="AC178" s="50" t="n">
        <f aca="false">AV178</f>
        <v>65</v>
      </c>
      <c r="AD178" s="50" t="n">
        <f aca="false">MAX(AV178,H178)</f>
        <v>65</v>
      </c>
      <c r="AE178" s="57"/>
      <c r="AF178" s="50" t="n">
        <f aca="false">IF(LEFT(Cockpit!$C$5,1)="A",H178,IF(Parameter!$E$30="MAX-Bestand",IF(CH178=1,CI178,IF(LEFT(Cockpit!$C$5,1)="B",AL178,MAX(AL178,H178))),ROUNDUP(AJ178,0)))</f>
        <v>39</v>
      </c>
      <c r="AG178" s="50" t="n">
        <f aca="false">IF(BZ178=1,0,ROUNDUP(AF178/BY178,0))</f>
        <v>1</v>
      </c>
      <c r="AH178" s="52" t="n">
        <f aca="false">IF(CQ178&gt;0,CQ178*MAX(1,AF178/X178),IF(BZ178=1,IF(AF178&lt;=0,0,CD178*MAX(1,IF(H178&gt;0,AF178/H178,1))),IF(R178&gt;0,AG178/R178,0))/MAX(0.1,N(Parameter!$M$21)))</f>
        <v>0.0384615384615385</v>
      </c>
      <c r="AI178" s="50" t="n">
        <f aca="false">AH178*CB178</f>
        <v>5.96153846153846</v>
      </c>
      <c r="AJ178" s="51" t="n">
        <f aca="false">IF(LEFT(Cockpit!$C$5,1)="A",H178,IF(CH178=1,(CK178+CI178)/2,IF(LEFT(Cockpit!$C$5,1)="B",(CK178+AL178)/2,MAX((CK178+AL178)/2,H178))))</f>
        <v>39</v>
      </c>
      <c r="AK178" s="50" t="n">
        <f aca="false">AJ178*G178</f>
        <v>2437.11</v>
      </c>
      <c r="AL178" s="50" t="n">
        <f aca="false">ROUNDUP(CK178+MAX(CL178,2*(J178/IF(CG178&gt;0,CG178,MAX(0.1,N(Cockpit!$C$6)))-CK178)),0)</f>
        <v>65</v>
      </c>
      <c r="AM178" s="51" t="n">
        <f aca="false">IF(AI178&gt;0,J178/AI178,-1)</f>
        <v>11.5741935483871</v>
      </c>
      <c r="AN178" s="51" t="n">
        <f aca="false">IF(AND(OR(CF178="L1",CF178="L23",CF178="LIFT"),AI178&gt;0),SUMIFS($AI$7:$AI$1843,$CF$7:$CF$1843,CF178,$AM$7:$AM$1843,"&gt;"&amp;AM178)+SUMIFS($AI$7:$AI$1843,$CF$7:$CF$1843,CF178,$AM$7:$AM$1843,AM178,$BW$7:$BW$1843,"&lt;="&amp;BW178),"")</f>
        <v>2547.43681318681</v>
      </c>
      <c r="AO178" s="58" t="n">
        <f aca="false">IF(AN178="",0,MAX(0,MIN(1,(IF(CF178="L1",Parameter!$H$5,IF(CF178="L23",Parameter!$H$6+Parameter!$H$7,Parameter!$H$5+Parameter!$H$6+Parameter!$H$7))-(AN178-AI178))/AI178)))</f>
        <v>1</v>
      </c>
      <c r="AP178" s="50" t="n">
        <f aca="false">IF(LEFT(Cockpit!$I$5,1)="A",H178,IF(Parameter!$E$30="MAX-Bestand",IF(CH178=1,CI178,IF(LEFT(Cockpit!$I$5,1)="B",AV178,MAX(AV178,H178))),ROUNDUP(AT178,0)))</f>
        <v>40</v>
      </c>
      <c r="AQ178" s="50" t="n">
        <f aca="false">IF(BZ178=1,0,ROUNDUP(AP178/BY178,0))</f>
        <v>1</v>
      </c>
      <c r="AR178" s="52" t="n">
        <f aca="false">IF(CQ178&gt;0,CQ178*MAX(1,AP178/X178),IF(BZ178=1,IF(AP178&lt;=0,0,CD178*MAX(1,IF(H178&gt;0,AP178/H178,1))),IF(R178&gt;0,AQ178/R178,0))/MAX(0.1,N(Parameter!$M$21)))</f>
        <v>0.0384615384615385</v>
      </c>
      <c r="AS178" s="50" t="n">
        <f aca="false">AR178*CB178</f>
        <v>5.96153846153846</v>
      </c>
      <c r="AT178" s="51" t="n">
        <f aca="false">IF(LEFT(Cockpit!$I$5,1)="A",H178,IF(CH178=1,(CK178+CI178)/2,IF(LEFT(Cockpit!$I$5,1)="B",(CK178+AV178)/2,MAX((CK178+AV178)/2,H178))))</f>
        <v>40</v>
      </c>
      <c r="AU178" s="50" t="n">
        <f aca="false">AT178*G178</f>
        <v>2499.6</v>
      </c>
      <c r="AV178" s="50" t="n">
        <f aca="false">ROUNDUP(CK178+MAX(CL178,2*(J178/IF(CG178&gt;0,CG178,MAX(0.1,N(Cockpit!$I$6)))-CK178)),0)</f>
        <v>65</v>
      </c>
      <c r="AW178" s="51" t="n">
        <f aca="false">IF(AS178&gt;0,J178/AS178,-1)</f>
        <v>11.5741935483871</v>
      </c>
      <c r="AX178" s="51" t="n">
        <f aca="false">IF(AND(OR(CF178="L1",CF178="L23",CF178="LIFT"),AS178&gt;0),SUMIFS($AS$7:$AS$1843,$CF$7:$CF$1843,CF178,$AW$7:$AW$1843,"&gt;"&amp;AW178)+SUMIFS($AS$7:$AS$1843,$CF$7:$CF$1843,CF178,$AW$7:$AW$1843,AW178,$BW$7:$BW$1843,"&lt;="&amp;BW178),"")</f>
        <v>3124.7326007326</v>
      </c>
      <c r="AY178" s="58" t="n">
        <f aca="false">IF(AX178="",0,MAX(0,MIN(1,(IF(CF178="L1",Parameter!$H$5,IF(CF178="L23",Parameter!$H$6+Parameter!$H$7,Parameter!$H$5+Parameter!$H$6+Parameter!$H$7))-(AX178-AS178))/AS178)))</f>
        <v>1</v>
      </c>
      <c r="AZ178" s="50" t="n">
        <f aca="false">IF(LEFT(Cockpit!$O$5,1)="A",H178,IF(Parameter!$E$30="MAX-Bestand",IF(CH178=1,CI178,IF(LEFT(Cockpit!$O$5,1)="B",BF178,MAX(BF178,H178))),ROUNDUP(BD178,0)))</f>
        <v>40</v>
      </c>
      <c r="BA178" s="50" t="n">
        <f aca="false">IF(BZ178=1,0,ROUNDUP(AZ178/BY178,0))</f>
        <v>1</v>
      </c>
      <c r="BB178" s="52" t="n">
        <f aca="false">IF(CQ178&gt;0,CQ178*MAX(1,AZ178/X178),IF(BZ178=1,IF(AZ178&lt;=0,0,CD178*MAX(1,IF(H178&gt;0,AZ178/H178,1))),IF(R178&gt;0,BA178/R178,0))/MAX(0.1,N(Parameter!$M$21)))</f>
        <v>0.0384615384615385</v>
      </c>
      <c r="BC178" s="50" t="n">
        <f aca="false">BB178*CB178</f>
        <v>5.96153846153846</v>
      </c>
      <c r="BD178" s="51" t="n">
        <f aca="false">IF(LEFT(Cockpit!$O$5,1)="A",H178,IF(CH178=1,(CK178+CI178)/2,IF(LEFT(Cockpit!$O$5,1)="B",(CK178+BF178)/2,MAX((CK178+BF178)/2,H178))))</f>
        <v>40</v>
      </c>
      <c r="BE178" s="50" t="n">
        <f aca="false">BD178*G178</f>
        <v>2499.6</v>
      </c>
      <c r="BF178" s="50" t="n">
        <f aca="false">ROUNDUP(CK178+MAX(CL178,2*(J178/IF(CG178&gt;0,CG178,MAX(0.1,N(Cockpit!$O$6)))-CK178)),0)</f>
        <v>65</v>
      </c>
      <c r="BG178" s="51" t="n">
        <f aca="false">IF(BC178&gt;0,J178/BC178,-1)</f>
        <v>11.5741935483871</v>
      </c>
      <c r="BH178" s="51" t="n">
        <f aca="false">IF(AND(OR(CF178="L1",CF178="L23",CF178="LIFT"),BC178&gt;0),SUMIFS($BC$7:$BC$1843,$CF$7:$CF$1843,CF178,$BG$7:$BG$1843,"&gt;"&amp;BG178)+SUMIFS($BC$7:$BC$1843,$CF$7:$CF$1843,CF178,$BG$7:$BG$1843,BG178,$BW$7:$BW$1843,"&lt;="&amp;BW178),"")</f>
        <v>2592.59798534799</v>
      </c>
      <c r="BI178" s="58" t="n">
        <f aca="false">IF(BH178="",0,MAX(0,MIN(1,(IF(CF178="L1",Parameter!$H$5,IF(CF178="L23",Parameter!$H$6+Parameter!$H$7,Parameter!$H$5+Parameter!$H$6+Parameter!$H$7))-(BH178-BC178))/BC178)))</f>
        <v>1</v>
      </c>
      <c r="BJ178" s="48" t="str">
        <f aca="false">IF(AI178&lt;=0,"",IF(CF178="Aussen","Aussenlager",IF(CF178="-","Nicht im Lift",IF(AO178&gt;=1,"Lift",IF(AO178&lt;=0,"Aussenlager","teilweise")))))</f>
        <v>Lift</v>
      </c>
      <c r="BK178" s="48" t="str">
        <f aca="false">IF(AS178&lt;=0,"",IF(CF178="Aussen","Aussenlager",IF(CF178="-","Nicht im Lift",IF(AY178&gt;=1,"Lift",IF(AY178&lt;=0,"Aussenlager","teilweise")))))</f>
        <v>Lift</v>
      </c>
      <c r="BL178" s="48" t="str">
        <f aca="false">IF(BC178&lt;=0,"",IF(CF178="Aussen","Aussenlager",IF(CF178="-","Nicht im Lift",IF(BI178&gt;=1,"Lift",IF(BI178&lt;=0,"Aussenlager","teilweise")))))</f>
        <v>Lift</v>
      </c>
      <c r="BM178" s="48" t="str">
        <f aca="false">IF(A178="","",IF(BV178=1,"Neu; ","")&amp;IF(AND(BV178=0,BQ178&lt;0),"negativer Bestand (Export "&amp;BQ178&amp;"); ","")&amp;IF(J178&lt;=0,"Kein Verbrauch; ","")&amp;IF(CQ178&gt;0,"Lift "&amp;W178&amp;" lt. Liftbericht (Fach "&amp;X178&amp;" Stk); ",IF(CA178=1,"Gebinde geschätzt ("&amp;T178&amp;"); ",IF(BZ178=1,"Lose – Tablare geschätzt; ","")))&amp;IF(H178&gt;AV178,"Überbestand "&amp;ROUND(H178-AV178,0)&amp;" Stk / CHF "&amp;ROUND((H178-AV178)*G178,0)&amp;"; ","")&amp;IF(AND(CH178=1,CI178&lt;CJ178),"MAX &lt; MB+LG; ","")&amp;IF(AND(CP178&gt;0,CO178*10&gt;CP178),"zu hoch für Tablar; ","")&amp;IF(AND(BV178=0,OR(CH178=1,AA178&lt;&gt;"",U178&lt;&gt;"",V178&lt;&gt;"",AB178&lt;&gt;"")),"manuell übersteuert; ","")&amp;IF(AND(BZ178=0,R178=0),"Gebinde unbekannt / Stellmass fehlt; ","")&amp;IF(AND(BZ178=0,N(V178)&lt;=0,N(Q178)&lt;=0),"Menge pro Gebinde fehlt (Ist = 1 Gebinde); ","")&amp;BU178)</f>
        <v/>
      </c>
      <c r="BN178" s="48"/>
      <c r="BO178" s="48"/>
      <c r="BP178" s="55"/>
      <c r="BQ178" s="50" t="n">
        <v>23</v>
      </c>
      <c r="BR178" s="50" t="n">
        <v>16</v>
      </c>
      <c r="BS178" s="49" t="n">
        <v>1027.83</v>
      </c>
      <c r="BT178" s="50" t="n">
        <v>69</v>
      </c>
      <c r="BU178" s="48"/>
      <c r="BV178" s="53" t="n">
        <v>0</v>
      </c>
      <c r="BW178" s="53" t="n">
        <v>178</v>
      </c>
      <c r="BX178" s="48" t="str">
        <f aca="false">IF(U178&lt;&gt;"",UPPER(TRIM(U178)),IF(CA178=1,UPPER(VLOOKUP(T178,Parameter!$I$27:$K$29,2,0)),IF(P178="","LOSE",P178)))</f>
        <v>S51</v>
      </c>
      <c r="BY178" s="50" t="n">
        <f aca="false">IF(BX178="LOSE",1,IF(N(V178)&gt;0,V178,IF(CA178=1,MAX(1,N(VLOOKUP(T178,Parameter!$I$27:$K$29,3,0)),H178,N(N178)),IF(N(Q178)&gt;0,Q178,MAX(1,H178)))))</f>
        <v>43</v>
      </c>
      <c r="BZ178" s="53" t="n">
        <f aca="false">IF(BX178="LOSE",1,0)</f>
        <v>0</v>
      </c>
      <c r="CA178" s="53" t="n">
        <f aca="false">IF(AND(U178="",OR(P178="",P178="LOSE"),T178&lt;&gt;"",N(S178)&lt;=0,ISNUMBER(MATCH(T178,Parameter!$I$27:$I$29,0))),1,0)</f>
        <v>0</v>
      </c>
      <c r="CB178" s="53" t="n">
        <f aca="false">IF(CQ178&gt;0,INDEX(Parameter!$H$5:$H$7,W178)/INDEX(Parameter!$E$5:$E$7,W178),IF(AND(BZ178=0,N(IFERROR(VLOOKUP(BX178,'Gebinde-Kategorie'!$A$5:$N$45,14,0),0))&gt;0),VLOOKUP(BX178,'Gebinde-Kategorie'!$A$5:$N$45,14,0)*10+Parameter!$M$23,Parameter!$M$24))</f>
        <v>155</v>
      </c>
      <c r="CC178" s="48" t="str">
        <f aca="false">IF(AND(Parameter!$B$19="Ja",E178&lt;&gt;"",ISNUMBER(MATCH(E178,Parameter!$I$35:$I$52,0))),VLOOKUP(E178,Parameter!$I$35:$J$52,2,0),IFERROR(VLOOKUP(D178,Parameter!$A$35:$C$64,2,0),"Nein"))</f>
        <v>2+3</v>
      </c>
      <c r="CD178" s="52" t="n">
        <f aca="false">IF(BZ178=0,0,IF(N(S178)&gt;0,S178,IFERROR(VLOOKUP(D178,Parameter!$A$35:$C$64,3,0)+0,0)))</f>
        <v>0</v>
      </c>
      <c r="CE178" s="48" t="n">
        <f aca="false">IF(AA178&lt;&gt;"",AA178,Z178)</f>
        <v>3</v>
      </c>
      <c r="CF178" s="48" t="str">
        <f aca="false">IF(OR(CE178=1,CE178=2,CE178=3),IF(Parameter!$E$27="Ja","LIFT",IF(CE178=1,"L1","L23")),IF(CE178="Aussen","Aussen","-"))</f>
        <v>LIFT</v>
      </c>
      <c r="CG178" s="59" t="n">
        <f aca="false">IF(N(AB178)&gt;0,AB178,0)</f>
        <v>0</v>
      </c>
      <c r="CH178" s="53" t="n">
        <f aca="false">IF(ISNUMBER(AE178),1,0)</f>
        <v>0</v>
      </c>
      <c r="CI178" s="50" t="n">
        <f aca="false">N(AE178)</f>
        <v>0</v>
      </c>
      <c r="CJ178" s="50" t="n">
        <f aca="false">N(M178)+N(N178)</f>
        <v>65</v>
      </c>
      <c r="CK178" s="50" t="n">
        <f aca="false">N(M178)</f>
        <v>15</v>
      </c>
      <c r="CL178" s="50" t="n">
        <f aca="false">N(N178)</f>
        <v>50</v>
      </c>
      <c r="CM178" s="50" t="n">
        <f aca="false">ROUNDUP(H178/BY178,0)</f>
        <v>1</v>
      </c>
      <c r="CN178" s="50" t="n">
        <f aca="false">ROUNDUP(CI178/BY178,0)</f>
        <v>0</v>
      </c>
      <c r="CO178" s="53" t="n">
        <f aca="false">IF(BZ178=1,0,IFERROR(VLOOKUP(BX178,'Gebinde-Kategorie'!$A$5:$N$45,5,0)+0,0))</f>
        <v>11</v>
      </c>
      <c r="CP178" s="53" t="n">
        <f aca="false">IFERROR(IF(OR(CE178=1,CE178=2,CE178=3),N(INDEX(Parameter!$I$5:$I$7,CE178)),0),0)</f>
        <v>0</v>
      </c>
      <c r="CQ178" s="52" t="n">
        <f aca="false">IF(AND(Parameter!$B$21="Ja",ISNUMBER(W178),N(X178)&gt;0),IFERROR(N(INDEX(Parameter!$L$5:$L$7,W178))*INDEX(Parameter!$E$5:$E$7,W178)*X178/SUMIFS($X$7:$X$1843,$W$7:$W$1843,W178),0),0)</f>
        <v>0</v>
      </c>
    </row>
    <row r="179" customFormat="false" ht="15" hidden="false" customHeight="false" outlineLevel="0" collapsed="false">
      <c r="A179" s="48" t="s">
        <v>572</v>
      </c>
      <c r="B179" s="48" t="s">
        <v>573</v>
      </c>
      <c r="C179" s="48" t="s">
        <v>173</v>
      </c>
      <c r="D179" s="48" t="s">
        <v>193</v>
      </c>
      <c r="E179" s="48" t="s">
        <v>194</v>
      </c>
      <c r="F179" s="48" t="s">
        <v>227</v>
      </c>
      <c r="G179" s="49" t="n">
        <v>17.82</v>
      </c>
      <c r="H179" s="50" t="n">
        <f aca="false">MAX(0,IF(AND(Parameter!$B$21="Ja",ISNUMBER(Y179)),Y179,IF(Parameter!$B$20="Jahresanfang 2025 + Export",BR179+BQ179,BQ179)))</f>
        <v>71</v>
      </c>
      <c r="I179" s="50" t="n">
        <f aca="false">H179*G179</f>
        <v>1265.22</v>
      </c>
      <c r="J179" s="50" t="n">
        <f aca="false">BT179*Parameter!$B$18</f>
        <v>10</v>
      </c>
      <c r="K179" s="51" t="n">
        <v>9.5</v>
      </c>
      <c r="L179" s="52" t="n">
        <v>1.05263157894737</v>
      </c>
      <c r="M179" s="50" t="n">
        <v>0</v>
      </c>
      <c r="N179" s="50" t="n">
        <v>10</v>
      </c>
      <c r="O179" s="53" t="n">
        <v>28</v>
      </c>
      <c r="P179" s="48" t="s">
        <v>485</v>
      </c>
      <c r="Q179" s="50" t="n">
        <v>27</v>
      </c>
      <c r="R179" s="53" t="n">
        <f aca="false">IF(BZ179=1,0,IFERROR(VLOOKUP(BX179,'Gebinde-Kategorie'!$A$5:$N$45,13,0)+0,0))</f>
        <v>52</v>
      </c>
      <c r="S179" s="54"/>
      <c r="T179" s="55"/>
      <c r="U179" s="55"/>
      <c r="V179" s="55"/>
      <c r="W179" s="48"/>
      <c r="X179" s="50"/>
      <c r="Y179" s="50"/>
      <c r="Z179" s="48" t="n">
        <f aca="false">IF(A179="","",IF(AND(Parameter!$B$21="Ja",ISNUMBER(W179)),W179,IF(CC179="2+3",IF(ISNUMBER(SEARCH("grosser Artikel",BU179)),2,IFERROR(VLOOKUP(BX179,Parameter!$F$35:$G$64,2,0),2)),IF(OR(CC179="Nein",CC179=""),"-",CC179))))</f>
        <v>3</v>
      </c>
      <c r="AA179" s="55"/>
      <c r="AB179" s="56"/>
      <c r="AC179" s="50" t="n">
        <f aca="false">AV179</f>
        <v>10</v>
      </c>
      <c r="AD179" s="50" t="n">
        <f aca="false">MAX(AV179,H179)</f>
        <v>71</v>
      </c>
      <c r="AE179" s="57"/>
      <c r="AF179" s="50" t="n">
        <f aca="false">IF(LEFT(Cockpit!$C$5,1)="A",H179,IF(Parameter!$E$30="MAX-Bestand",IF(CH179=1,CI179,IF(LEFT(Cockpit!$C$5,1)="B",AL179,MAX(AL179,H179))),ROUNDUP(AJ179,0)))</f>
        <v>71</v>
      </c>
      <c r="AG179" s="50" t="n">
        <f aca="false">IF(BZ179=1,0,ROUNDUP(AF179/BY179,0))</f>
        <v>3</v>
      </c>
      <c r="AH179" s="52" t="n">
        <f aca="false">IF(CQ179&gt;0,CQ179*MAX(1,AF179/X179),IF(BZ179=1,IF(AF179&lt;=0,0,CD179*MAX(1,IF(H179&gt;0,AF179/H179,1))),IF(R179&gt;0,AG179/R179,0))/MAX(0.1,N(Parameter!$M$21)))</f>
        <v>0.0576923076923077</v>
      </c>
      <c r="AI179" s="50" t="n">
        <f aca="false">AH179*CB179</f>
        <v>8.94230769230769</v>
      </c>
      <c r="AJ179" s="51" t="n">
        <f aca="false">IF(LEFT(Cockpit!$C$5,1)="A",H179,IF(CH179=1,(CK179+CI179)/2,IF(LEFT(Cockpit!$C$5,1)="B",(CK179+AL179)/2,MAX((CK179+AL179)/2,H179))))</f>
        <v>71</v>
      </c>
      <c r="AK179" s="50" t="n">
        <f aca="false">AJ179*G179</f>
        <v>1265.22</v>
      </c>
      <c r="AL179" s="50" t="n">
        <f aca="false">ROUNDUP(CK179+MAX(CL179,2*(J179/IF(CG179&gt;0,CG179,MAX(0.1,N(Cockpit!$C$6)))-CK179)),0)</f>
        <v>10</v>
      </c>
      <c r="AM179" s="51" t="n">
        <f aca="false">IF(AI179&gt;0,J179/AI179,-1)</f>
        <v>1.11827956989247</v>
      </c>
      <c r="AN179" s="51" t="n">
        <f aca="false">IF(AND(OR(CF179="L1",CF179="L23",CF179="LIFT"),AI179&gt;0),SUMIFS($AI$7:$AI$1843,$CF$7:$CF$1843,CF179,$AM$7:$AM$1843,"&gt;"&amp;AM179)+SUMIFS($AI$7:$AI$1843,$CF$7:$CF$1843,CF179,$AM$7:$AM$1843,AM179,$BW$7:$BW$1843,"&lt;="&amp;BW179),"")</f>
        <v>6763.711996337</v>
      </c>
      <c r="AO179" s="58" t="n">
        <f aca="false">IF(AN179="",0,MAX(0,MIN(1,(IF(CF179="L1",Parameter!$H$5,IF(CF179="L23",Parameter!$H$6+Parameter!$H$7,Parameter!$H$5+Parameter!$H$6+Parameter!$H$7))-(AN179-AI179))/AI179)))</f>
        <v>1</v>
      </c>
      <c r="AP179" s="50" t="n">
        <f aca="false">IF(LEFT(Cockpit!$I$5,1)="A",H179,IF(Parameter!$E$30="MAX-Bestand",IF(CH179=1,CI179,IF(LEFT(Cockpit!$I$5,1)="B",AV179,MAX(AV179,H179))),ROUNDUP(AT179,0)))</f>
        <v>71</v>
      </c>
      <c r="AQ179" s="50" t="n">
        <f aca="false">IF(BZ179=1,0,ROUNDUP(AP179/BY179,0))</f>
        <v>3</v>
      </c>
      <c r="AR179" s="52" t="n">
        <f aca="false">IF(CQ179&gt;0,CQ179*MAX(1,AP179/X179),IF(BZ179=1,IF(AP179&lt;=0,0,CD179*MAX(1,IF(H179&gt;0,AP179/H179,1))),IF(R179&gt;0,AQ179/R179,0))/MAX(0.1,N(Parameter!$M$21)))</f>
        <v>0.0576923076923077</v>
      </c>
      <c r="AS179" s="50" t="n">
        <f aca="false">AR179*CB179</f>
        <v>8.94230769230769</v>
      </c>
      <c r="AT179" s="51" t="n">
        <f aca="false">IF(LEFT(Cockpit!$I$5,1)="A",H179,IF(CH179=1,(CK179+CI179)/2,IF(LEFT(Cockpit!$I$5,1)="B",(CK179+AV179)/2,MAX((CK179+AV179)/2,H179))))</f>
        <v>71</v>
      </c>
      <c r="AU179" s="50" t="n">
        <f aca="false">AT179*G179</f>
        <v>1265.22</v>
      </c>
      <c r="AV179" s="50" t="n">
        <f aca="false">ROUNDUP(CK179+MAX(CL179,2*(J179/IF(CG179&gt;0,CG179,MAX(0.1,N(Cockpit!$I$6)))-CK179)),0)</f>
        <v>10</v>
      </c>
      <c r="AW179" s="51" t="n">
        <f aca="false">IF(AS179&gt;0,J179/AS179,-1)</f>
        <v>1.11827956989247</v>
      </c>
      <c r="AX179" s="51" t="n">
        <f aca="false">IF(AND(OR(CF179="L1",CF179="L23",CF179="LIFT"),AS179&gt;0),SUMIFS($AS$7:$AS$1843,$CF$7:$CF$1843,CF179,$AW$7:$AW$1843,"&gt;"&amp;AW179)+SUMIFS($AS$7:$AS$1843,$CF$7:$CF$1843,CF179,$AW$7:$AW$1843,AW179,$BW$7:$BW$1843,"&lt;="&amp;BW179),"")</f>
        <v>8221.29304029304</v>
      </c>
      <c r="AY179" s="58" t="n">
        <f aca="false">IF(AX179="",0,MAX(0,MIN(1,(IF(CF179="L1",Parameter!$H$5,IF(CF179="L23",Parameter!$H$6+Parameter!$H$7,Parameter!$H$5+Parameter!$H$6+Parameter!$H$7))-(AX179-AS179))/AS179)))</f>
        <v>1</v>
      </c>
      <c r="AZ179" s="50" t="n">
        <f aca="false">IF(LEFT(Cockpit!$O$5,1)="A",H179,IF(Parameter!$E$30="MAX-Bestand",IF(CH179=1,CI179,IF(LEFT(Cockpit!$O$5,1)="B",BF179,MAX(BF179,H179))),ROUNDUP(BD179,0)))</f>
        <v>5</v>
      </c>
      <c r="BA179" s="50" t="n">
        <f aca="false">IF(BZ179=1,0,ROUNDUP(AZ179/BY179,0))</f>
        <v>1</v>
      </c>
      <c r="BB179" s="52" t="n">
        <f aca="false">IF(CQ179&gt;0,CQ179*MAX(1,AZ179/X179),IF(BZ179=1,IF(AZ179&lt;=0,0,CD179*MAX(1,IF(H179&gt;0,AZ179/H179,1))),IF(R179&gt;0,BA179/R179,0))/MAX(0.1,N(Parameter!$M$21)))</f>
        <v>0.0192307692307692</v>
      </c>
      <c r="BC179" s="50" t="n">
        <f aca="false">BB179*CB179</f>
        <v>2.98076923076923</v>
      </c>
      <c r="BD179" s="51" t="n">
        <f aca="false">IF(LEFT(Cockpit!$O$5,1)="A",H179,IF(CH179=1,(CK179+CI179)/2,IF(LEFT(Cockpit!$O$5,1)="B",(CK179+BF179)/2,MAX((CK179+BF179)/2,H179))))</f>
        <v>5</v>
      </c>
      <c r="BE179" s="50" t="n">
        <f aca="false">BD179*G179</f>
        <v>89.1</v>
      </c>
      <c r="BF179" s="50" t="n">
        <f aca="false">ROUNDUP(CK179+MAX(CL179,2*(J179/IF(CG179&gt;0,CG179,MAX(0.1,N(Cockpit!$O$6)))-CK179)),0)</f>
        <v>10</v>
      </c>
      <c r="BG179" s="51" t="n">
        <f aca="false">IF(BC179&gt;0,J179/BC179,-1)</f>
        <v>3.35483870967742</v>
      </c>
      <c r="BH179" s="51" t="n">
        <f aca="false">IF(AND(OR(CF179="L1",CF179="L23",CF179="LIFT"),BC179&gt;0),SUMIFS($BC$7:$BC$1843,$CF$7:$CF$1843,CF179,$BG$7:$BG$1843,"&gt;"&amp;BG179)+SUMIFS($BC$7:$BC$1843,$CF$7:$CF$1843,CF179,$BG$7:$BG$1843,BG179,$BW$7:$BW$1843,"&lt;="&amp;BW179),"")</f>
        <v>4563.87362637363</v>
      </c>
      <c r="BI179" s="58" t="n">
        <f aca="false">IF(BH179="",0,MAX(0,MIN(1,(IF(CF179="L1",Parameter!$H$5,IF(CF179="L23",Parameter!$H$6+Parameter!$H$7,Parameter!$H$5+Parameter!$H$6+Parameter!$H$7))-(BH179-BC179))/BC179)))</f>
        <v>1</v>
      </c>
      <c r="BJ179" s="48" t="str">
        <f aca="false">IF(AI179&lt;=0,"",IF(CF179="Aussen","Aussenlager",IF(CF179="-","Nicht im Lift",IF(AO179&gt;=1,"Lift",IF(AO179&lt;=0,"Aussenlager","teilweise")))))</f>
        <v>Lift</v>
      </c>
      <c r="BK179" s="48" t="str">
        <f aca="false">IF(AS179&lt;=0,"",IF(CF179="Aussen","Aussenlager",IF(CF179="-","Nicht im Lift",IF(AY179&gt;=1,"Lift",IF(AY179&lt;=0,"Aussenlager","teilweise")))))</f>
        <v>Lift</v>
      </c>
      <c r="BL179" s="48" t="str">
        <f aca="false">IF(BC179&lt;=0,"",IF(CF179="Aussen","Aussenlager",IF(CF179="-","Nicht im Lift",IF(BI179&gt;=1,"Lift",IF(BI179&lt;=0,"Aussenlager","teilweise")))))</f>
        <v>Lift</v>
      </c>
      <c r="BM179" s="48" t="str">
        <f aca="false">IF(A179="","",IF(BV179=1,"Neu; ","")&amp;IF(AND(BV179=0,BQ179&lt;0),"negativer Bestand (Export "&amp;BQ179&amp;"); ","")&amp;IF(J179&lt;=0,"Kein Verbrauch; ","")&amp;IF(CQ179&gt;0,"Lift "&amp;W179&amp;" lt. Liftbericht (Fach "&amp;X179&amp;" Stk); ",IF(CA179=1,"Gebinde geschätzt ("&amp;T179&amp;"); ",IF(BZ179=1,"Lose – Tablare geschätzt; ","")))&amp;IF(H179&gt;AV179,"Überbestand "&amp;ROUND(H179-AV179,0)&amp;" Stk / CHF "&amp;ROUND((H179-AV179)*G179,0)&amp;"; ","")&amp;IF(AND(CH179=1,CI179&lt;CJ179),"MAX &lt; MB+LG; ","")&amp;IF(AND(CP179&gt;0,CO179*10&gt;CP179),"zu hoch für Tablar; ","")&amp;IF(AND(BV179=0,OR(CH179=1,AA179&lt;&gt;"",U179&lt;&gt;"",V179&lt;&gt;"",AB179&lt;&gt;"")),"manuell übersteuert; ","")&amp;IF(AND(BZ179=0,R179=0),"Gebinde unbekannt / Stellmass fehlt; ","")&amp;IF(AND(BZ179=0,N(V179)&lt;=0,N(Q179)&lt;=0),"Menge pro Gebinde fehlt (Ist = 1 Gebinde); ","")&amp;BU179)</f>
        <v>Überbestand 61 Stk / CHF 1087; </v>
      </c>
      <c r="BN179" s="48"/>
      <c r="BO179" s="48"/>
      <c r="BP179" s="55"/>
      <c r="BQ179" s="50" t="n">
        <v>66</v>
      </c>
      <c r="BR179" s="50" t="n">
        <v>5</v>
      </c>
      <c r="BS179" s="49" t="n">
        <v>1025.77</v>
      </c>
      <c r="BT179" s="50" t="n">
        <v>10</v>
      </c>
      <c r="BU179" s="48"/>
      <c r="BV179" s="53" t="n">
        <v>0</v>
      </c>
      <c r="BW179" s="53" t="n">
        <v>179</v>
      </c>
      <c r="BX179" s="48" t="str">
        <f aca="false">IF(U179&lt;&gt;"",UPPER(TRIM(U179)),IF(CA179=1,UPPER(VLOOKUP(T179,Parameter!$I$27:$K$29,2,0)),IF(P179="","LOSE",P179)))</f>
        <v>S33</v>
      </c>
      <c r="BY179" s="50" t="n">
        <f aca="false">IF(BX179="LOSE",1,IF(N(V179)&gt;0,V179,IF(CA179=1,MAX(1,N(VLOOKUP(T179,Parameter!$I$27:$K$29,3,0)),H179,N(N179)),IF(N(Q179)&gt;0,Q179,MAX(1,H179)))))</f>
        <v>27</v>
      </c>
      <c r="BZ179" s="53" t="n">
        <f aca="false">IF(BX179="LOSE",1,0)</f>
        <v>0</v>
      </c>
      <c r="CA179" s="53" t="n">
        <f aca="false">IF(AND(U179="",OR(P179="",P179="LOSE"),T179&lt;&gt;"",N(S179)&lt;=0,ISNUMBER(MATCH(T179,Parameter!$I$27:$I$29,0))),1,0)</f>
        <v>0</v>
      </c>
      <c r="CB179" s="53" t="n">
        <f aca="false">IF(CQ179&gt;0,INDEX(Parameter!$H$5:$H$7,W179)/INDEX(Parameter!$E$5:$E$7,W179),IF(AND(BZ179=0,N(IFERROR(VLOOKUP(BX179,'Gebinde-Kategorie'!$A$5:$N$45,14,0),0))&gt;0),VLOOKUP(BX179,'Gebinde-Kategorie'!$A$5:$N$45,14,0)*10+Parameter!$M$23,Parameter!$M$24))</f>
        <v>155</v>
      </c>
      <c r="CC179" s="48" t="str">
        <f aca="false">IF(AND(Parameter!$B$19="Ja",E179&lt;&gt;"",ISNUMBER(MATCH(E179,Parameter!$I$35:$I$52,0))),VLOOKUP(E179,Parameter!$I$35:$J$52,2,0),IFERROR(VLOOKUP(D179,Parameter!$A$35:$C$64,2,0),"Nein"))</f>
        <v>2+3</v>
      </c>
      <c r="CD179" s="52" t="n">
        <f aca="false">IF(BZ179=0,0,IF(N(S179)&gt;0,S179,IFERROR(VLOOKUP(D179,Parameter!$A$35:$C$64,3,0)+0,0)))</f>
        <v>0</v>
      </c>
      <c r="CE179" s="48" t="n">
        <f aca="false">IF(AA179&lt;&gt;"",AA179,Z179)</f>
        <v>3</v>
      </c>
      <c r="CF179" s="48" t="str">
        <f aca="false">IF(OR(CE179=1,CE179=2,CE179=3),IF(Parameter!$E$27="Ja","LIFT",IF(CE179=1,"L1","L23")),IF(CE179="Aussen","Aussen","-"))</f>
        <v>LIFT</v>
      </c>
      <c r="CG179" s="59" t="n">
        <f aca="false">IF(N(AB179)&gt;0,AB179,0)</f>
        <v>0</v>
      </c>
      <c r="CH179" s="53" t="n">
        <f aca="false">IF(ISNUMBER(AE179),1,0)</f>
        <v>0</v>
      </c>
      <c r="CI179" s="50" t="n">
        <f aca="false">N(AE179)</f>
        <v>0</v>
      </c>
      <c r="CJ179" s="50" t="n">
        <f aca="false">N(M179)+N(N179)</f>
        <v>10</v>
      </c>
      <c r="CK179" s="50" t="n">
        <f aca="false">N(M179)</f>
        <v>0</v>
      </c>
      <c r="CL179" s="50" t="n">
        <f aca="false">N(N179)</f>
        <v>10</v>
      </c>
      <c r="CM179" s="50" t="n">
        <f aca="false">ROUNDUP(H179/BY179,0)</f>
        <v>3</v>
      </c>
      <c r="CN179" s="50" t="n">
        <f aca="false">ROUNDUP(CI179/BY179,0)</f>
        <v>0</v>
      </c>
      <c r="CO179" s="53" t="n">
        <f aca="false">IF(BZ179=1,0,IFERROR(VLOOKUP(BX179,'Gebinde-Kategorie'!$A$5:$N$45,5,0)+0,0))</f>
        <v>8</v>
      </c>
      <c r="CP179" s="53" t="n">
        <f aca="false">IFERROR(IF(OR(CE179=1,CE179=2,CE179=3),N(INDEX(Parameter!$I$5:$I$7,CE179)),0),0)</f>
        <v>0</v>
      </c>
      <c r="CQ179" s="52" t="n">
        <f aca="false">IF(AND(Parameter!$B$21="Ja",ISNUMBER(W179),N(X179)&gt;0),IFERROR(N(INDEX(Parameter!$L$5:$L$7,W179))*INDEX(Parameter!$E$5:$E$7,W179)*X179/SUMIFS($X$7:$X$1843,$W$7:$W$1843,W179),0),0)</f>
        <v>0</v>
      </c>
    </row>
    <row r="180" customFormat="false" ht="15" hidden="false" customHeight="false" outlineLevel="0" collapsed="false">
      <c r="A180" s="48" t="s">
        <v>574</v>
      </c>
      <c r="B180" s="48" t="s">
        <v>575</v>
      </c>
      <c r="C180" s="48" t="s">
        <v>173</v>
      </c>
      <c r="D180" s="48" t="s">
        <v>193</v>
      </c>
      <c r="E180" s="48" t="s">
        <v>194</v>
      </c>
      <c r="F180" s="48" t="s">
        <v>227</v>
      </c>
      <c r="G180" s="49" t="n">
        <v>134.64</v>
      </c>
      <c r="H180" s="50" t="n">
        <f aca="false">MAX(0,IF(AND(Parameter!$B$21="Ja",ISNUMBER(Y180)),Y180,IF(Parameter!$B$20="Jahresanfang 2025 + Export",BR180+BQ180,BQ180)))</f>
        <v>13</v>
      </c>
      <c r="I180" s="50" t="n">
        <f aca="false">H180*G180</f>
        <v>1750.32</v>
      </c>
      <c r="J180" s="50" t="n">
        <f aca="false">BT180*Parameter!$B$18</f>
        <v>13</v>
      </c>
      <c r="K180" s="51" t="n">
        <v>6</v>
      </c>
      <c r="L180" s="52" t="n">
        <v>2.16666666666667</v>
      </c>
      <c r="M180" s="50" t="n">
        <v>0</v>
      </c>
      <c r="N180" s="50" t="n">
        <v>15</v>
      </c>
      <c r="O180" s="53" t="n">
        <v>14</v>
      </c>
      <c r="P180" s="48" t="s">
        <v>485</v>
      </c>
      <c r="Q180" s="50" t="n">
        <v>29</v>
      </c>
      <c r="R180" s="53" t="n">
        <f aca="false">IF(BZ180=1,0,IFERROR(VLOOKUP(BX180,'Gebinde-Kategorie'!$A$5:$N$45,13,0)+0,0))</f>
        <v>52</v>
      </c>
      <c r="S180" s="54"/>
      <c r="T180" s="55"/>
      <c r="U180" s="55"/>
      <c r="V180" s="55"/>
      <c r="W180" s="48"/>
      <c r="X180" s="50"/>
      <c r="Y180" s="50"/>
      <c r="Z180" s="48" t="n">
        <f aca="false">IF(A180="","",IF(AND(Parameter!$B$21="Ja",ISNUMBER(W180)),W180,IF(CC180="2+3",IF(ISNUMBER(SEARCH("grosser Artikel",BU180)),2,IFERROR(VLOOKUP(BX180,Parameter!$F$35:$G$64,2,0),2)),IF(OR(CC180="Nein",CC180=""),"-",CC180))))</f>
        <v>3</v>
      </c>
      <c r="AA180" s="55"/>
      <c r="AB180" s="56"/>
      <c r="AC180" s="50" t="n">
        <f aca="false">AV180</f>
        <v>15</v>
      </c>
      <c r="AD180" s="50" t="n">
        <f aca="false">MAX(AV180,H180)</f>
        <v>15</v>
      </c>
      <c r="AE180" s="57"/>
      <c r="AF180" s="50" t="n">
        <f aca="false">IF(LEFT(Cockpit!$C$5,1)="A",H180,IF(Parameter!$E$30="MAX-Bestand",IF(CH180=1,CI180,IF(LEFT(Cockpit!$C$5,1)="B",AL180,MAX(AL180,H180))),ROUNDUP(AJ180,0)))</f>
        <v>13</v>
      </c>
      <c r="AG180" s="50" t="n">
        <f aca="false">IF(BZ180=1,0,ROUNDUP(AF180/BY180,0))</f>
        <v>1</v>
      </c>
      <c r="AH180" s="52" t="n">
        <f aca="false">IF(CQ180&gt;0,CQ180*MAX(1,AF180/X180),IF(BZ180=1,IF(AF180&lt;=0,0,CD180*MAX(1,IF(H180&gt;0,AF180/H180,1))),IF(R180&gt;0,AG180/R180,0))/MAX(0.1,N(Parameter!$M$21)))</f>
        <v>0.0192307692307692</v>
      </c>
      <c r="AI180" s="50" t="n">
        <f aca="false">AH180*CB180</f>
        <v>2.98076923076923</v>
      </c>
      <c r="AJ180" s="51" t="n">
        <f aca="false">IF(LEFT(Cockpit!$C$5,1)="A",H180,IF(CH180=1,(CK180+CI180)/2,IF(LEFT(Cockpit!$C$5,1)="B",(CK180+AL180)/2,MAX((CK180+AL180)/2,H180))))</f>
        <v>13</v>
      </c>
      <c r="AK180" s="50" t="n">
        <f aca="false">AJ180*G180</f>
        <v>1750.32</v>
      </c>
      <c r="AL180" s="50" t="n">
        <f aca="false">ROUNDUP(CK180+MAX(CL180,2*(J180/IF(CG180&gt;0,CG180,MAX(0.1,N(Cockpit!$C$6)))-CK180)),0)</f>
        <v>15</v>
      </c>
      <c r="AM180" s="51" t="n">
        <f aca="false">IF(AI180&gt;0,J180/AI180,-1)</f>
        <v>4.36129032258065</v>
      </c>
      <c r="AN180" s="51" t="n">
        <f aca="false">IF(AND(OR(CF180="L1",CF180="L23",CF180="LIFT"),AI180&gt;0),SUMIFS($AI$7:$AI$1843,$CF$7:$CF$1843,CF180,$AM$7:$AM$1843,"&gt;"&amp;AM180)+SUMIFS($AI$7:$AI$1843,$CF$7:$CF$1843,CF180,$AM$7:$AM$1843,AM180,$BW$7:$BW$1843,"&lt;="&amp;BW180),"")</f>
        <v>4180.61217948718</v>
      </c>
      <c r="AO180" s="58" t="n">
        <f aca="false">IF(AN180="",0,MAX(0,MIN(1,(IF(CF180="L1",Parameter!$H$5,IF(CF180="L23",Parameter!$H$6+Parameter!$H$7,Parameter!$H$5+Parameter!$H$6+Parameter!$H$7))-(AN180-AI180))/AI180)))</f>
        <v>1</v>
      </c>
      <c r="AP180" s="50" t="n">
        <f aca="false">IF(LEFT(Cockpit!$I$5,1)="A",H180,IF(Parameter!$E$30="MAX-Bestand",IF(CH180=1,CI180,IF(LEFT(Cockpit!$I$5,1)="B",AV180,MAX(AV180,H180))),ROUNDUP(AT180,0)))</f>
        <v>13</v>
      </c>
      <c r="AQ180" s="50" t="n">
        <f aca="false">IF(BZ180=1,0,ROUNDUP(AP180/BY180,0))</f>
        <v>1</v>
      </c>
      <c r="AR180" s="52" t="n">
        <f aca="false">IF(CQ180&gt;0,CQ180*MAX(1,AP180/X180),IF(BZ180=1,IF(AP180&lt;=0,0,CD180*MAX(1,IF(H180&gt;0,AP180/H180,1))),IF(R180&gt;0,AQ180/R180,0))/MAX(0.1,N(Parameter!$M$21)))</f>
        <v>0.0192307692307692</v>
      </c>
      <c r="AS180" s="50" t="n">
        <f aca="false">AR180*CB180</f>
        <v>2.98076923076923</v>
      </c>
      <c r="AT180" s="51" t="n">
        <f aca="false">IF(LEFT(Cockpit!$I$5,1)="A",H180,IF(CH180=1,(CK180+CI180)/2,IF(LEFT(Cockpit!$I$5,1)="B",(CK180+AV180)/2,MAX((CK180+AV180)/2,H180))))</f>
        <v>13</v>
      </c>
      <c r="AU180" s="50" t="n">
        <f aca="false">AT180*G180</f>
        <v>1750.32</v>
      </c>
      <c r="AV180" s="50" t="n">
        <f aca="false">ROUNDUP(CK180+MAX(CL180,2*(J180/IF(CG180&gt;0,CG180,MAX(0.1,N(Cockpit!$I$6)))-CK180)),0)</f>
        <v>15</v>
      </c>
      <c r="AW180" s="51" t="n">
        <f aca="false">IF(AS180&gt;0,J180/AS180,-1)</f>
        <v>4.36129032258065</v>
      </c>
      <c r="AX180" s="51" t="n">
        <f aca="false">IF(AND(OR(CF180="L1",CF180="L23",CF180="LIFT"),AS180&gt;0),SUMIFS($AS$7:$AS$1843,$CF$7:$CF$1843,CF180,$AW$7:$AW$1843,"&gt;"&amp;AW180)+SUMIFS($AS$7:$AS$1843,$CF$7:$CF$1843,CF180,$AW$7:$AW$1843,AW180,$BW$7:$BW$1843,"&lt;="&amp;BW180),"")</f>
        <v>4748.10302197802</v>
      </c>
      <c r="AY180" s="58" t="n">
        <f aca="false">IF(AX180="",0,MAX(0,MIN(1,(IF(CF180="L1",Parameter!$H$5,IF(CF180="L23",Parameter!$H$6+Parameter!$H$7,Parameter!$H$5+Parameter!$H$6+Parameter!$H$7))-(AX180-AS180))/AS180)))</f>
        <v>1</v>
      </c>
      <c r="AZ180" s="50" t="n">
        <f aca="false">IF(LEFT(Cockpit!$O$5,1)="A",H180,IF(Parameter!$E$30="MAX-Bestand",IF(CH180=1,CI180,IF(LEFT(Cockpit!$O$5,1)="B",BF180,MAX(BF180,H180))),ROUNDUP(BD180,0)))</f>
        <v>8</v>
      </c>
      <c r="BA180" s="50" t="n">
        <f aca="false">IF(BZ180=1,0,ROUNDUP(AZ180/BY180,0))</f>
        <v>1</v>
      </c>
      <c r="BB180" s="52" t="n">
        <f aca="false">IF(CQ180&gt;0,CQ180*MAX(1,AZ180/X180),IF(BZ180=1,IF(AZ180&lt;=0,0,CD180*MAX(1,IF(H180&gt;0,AZ180/H180,1))),IF(R180&gt;0,BA180/R180,0))/MAX(0.1,N(Parameter!$M$21)))</f>
        <v>0.0192307692307692</v>
      </c>
      <c r="BC180" s="50" t="n">
        <f aca="false">BB180*CB180</f>
        <v>2.98076923076923</v>
      </c>
      <c r="BD180" s="51" t="n">
        <f aca="false">IF(LEFT(Cockpit!$O$5,1)="A",H180,IF(CH180=1,(CK180+CI180)/2,IF(LEFT(Cockpit!$O$5,1)="B",(CK180+BF180)/2,MAX((CK180+BF180)/2,H180))))</f>
        <v>7.5</v>
      </c>
      <c r="BE180" s="50" t="n">
        <f aca="false">BD180*G180</f>
        <v>1009.8</v>
      </c>
      <c r="BF180" s="50" t="n">
        <f aca="false">ROUNDUP(CK180+MAX(CL180,2*(J180/IF(CG180&gt;0,CG180,MAX(0.1,N(Cockpit!$O$6)))-CK180)),0)</f>
        <v>15</v>
      </c>
      <c r="BG180" s="51" t="n">
        <f aca="false">IF(BC180&gt;0,J180/BC180,-1)</f>
        <v>4.36129032258065</v>
      </c>
      <c r="BH180" s="51" t="n">
        <f aca="false">IF(AND(OR(CF180="L1",CF180="L23",CF180="LIFT"),BC180&gt;0),SUMIFS($BC$7:$BC$1843,$CF$7:$CF$1843,CF180,$BG$7:$BG$1843,"&gt;"&amp;BG180)+SUMIFS($BC$7:$BC$1843,$CF$7:$CF$1843,CF180,$BG$7:$BG$1843,BG180,$BW$7:$BW$1843,"&lt;="&amp;BW180),"")</f>
        <v>3944.69597069597</v>
      </c>
      <c r="BI180" s="58" t="n">
        <f aca="false">IF(BH180="",0,MAX(0,MIN(1,(IF(CF180="L1",Parameter!$H$5,IF(CF180="L23",Parameter!$H$6+Parameter!$H$7,Parameter!$H$5+Parameter!$H$6+Parameter!$H$7))-(BH180-BC180))/BC180)))</f>
        <v>1</v>
      </c>
      <c r="BJ180" s="48" t="str">
        <f aca="false">IF(AI180&lt;=0,"",IF(CF180="Aussen","Aussenlager",IF(CF180="-","Nicht im Lift",IF(AO180&gt;=1,"Lift",IF(AO180&lt;=0,"Aussenlager","teilweise")))))</f>
        <v>Lift</v>
      </c>
      <c r="BK180" s="48" t="str">
        <f aca="false">IF(AS180&lt;=0,"",IF(CF180="Aussen","Aussenlager",IF(CF180="-","Nicht im Lift",IF(AY180&gt;=1,"Lift",IF(AY180&lt;=0,"Aussenlager","teilweise")))))</f>
        <v>Lift</v>
      </c>
      <c r="BL180" s="48" t="str">
        <f aca="false">IF(BC180&lt;=0,"",IF(CF180="Aussen","Aussenlager",IF(CF180="-","Nicht im Lift",IF(BI180&gt;=1,"Lift",IF(BI180&lt;=0,"Aussenlager","teilweise")))))</f>
        <v>Lift</v>
      </c>
      <c r="BM180" s="48" t="str">
        <f aca="false">IF(A180="","",IF(BV180=1,"Neu; ","")&amp;IF(AND(BV180=0,BQ180&lt;0),"negativer Bestand (Export "&amp;BQ180&amp;"); ","")&amp;IF(J180&lt;=0,"Kein Verbrauch; ","")&amp;IF(CQ180&gt;0,"Lift "&amp;W180&amp;" lt. Liftbericht (Fach "&amp;X180&amp;" Stk); ",IF(CA180=1,"Gebinde geschätzt ("&amp;T180&amp;"); ",IF(BZ180=1,"Lose – Tablare geschätzt; ","")))&amp;IF(H180&gt;AV180,"Überbestand "&amp;ROUND(H180-AV180,0)&amp;" Stk / CHF "&amp;ROUND((H180-AV180)*G180,0)&amp;"; ","")&amp;IF(AND(CH180=1,CI180&lt;CJ180),"MAX &lt; MB+LG; ","")&amp;IF(AND(CP180&gt;0,CO180*10&gt;CP180),"zu hoch für Tablar; ","")&amp;IF(AND(BV180=0,OR(CH180=1,AA180&lt;&gt;"",U180&lt;&gt;"",V180&lt;&gt;"",AB180&lt;&gt;"")),"manuell übersteuert; ","")&amp;IF(AND(BZ180=0,R180=0),"Gebinde unbekannt / Stellmass fehlt; ","")&amp;IF(AND(BZ180=0,N(V180)&lt;=0,N(Q180)&lt;=0),"Menge pro Gebinde fehlt (Ist = 1 Gebinde); ","")&amp;BU180)</f>
        <v/>
      </c>
      <c r="BN180" s="48"/>
      <c r="BO180" s="48"/>
      <c r="BP180" s="55"/>
      <c r="BQ180" s="50" t="n">
        <v>5</v>
      </c>
      <c r="BR180" s="50" t="n">
        <v>8</v>
      </c>
      <c r="BS180" s="49" t="n">
        <v>1016.24</v>
      </c>
      <c r="BT180" s="50" t="n">
        <v>13</v>
      </c>
      <c r="BU180" s="48"/>
      <c r="BV180" s="53" t="n">
        <v>0</v>
      </c>
      <c r="BW180" s="53" t="n">
        <v>180</v>
      </c>
      <c r="BX180" s="48" t="str">
        <f aca="false">IF(U180&lt;&gt;"",UPPER(TRIM(U180)),IF(CA180=1,UPPER(VLOOKUP(T180,Parameter!$I$27:$K$29,2,0)),IF(P180="","LOSE",P180)))</f>
        <v>S33</v>
      </c>
      <c r="BY180" s="50" t="n">
        <f aca="false">IF(BX180="LOSE",1,IF(N(V180)&gt;0,V180,IF(CA180=1,MAX(1,N(VLOOKUP(T180,Parameter!$I$27:$K$29,3,0)),H180,N(N180)),IF(N(Q180)&gt;0,Q180,MAX(1,H180)))))</f>
        <v>29</v>
      </c>
      <c r="BZ180" s="53" t="n">
        <f aca="false">IF(BX180="LOSE",1,0)</f>
        <v>0</v>
      </c>
      <c r="CA180" s="53" t="n">
        <f aca="false">IF(AND(U180="",OR(P180="",P180="LOSE"),T180&lt;&gt;"",N(S180)&lt;=0,ISNUMBER(MATCH(T180,Parameter!$I$27:$I$29,0))),1,0)</f>
        <v>0</v>
      </c>
      <c r="CB180" s="53" t="n">
        <f aca="false">IF(CQ180&gt;0,INDEX(Parameter!$H$5:$H$7,W180)/INDEX(Parameter!$E$5:$E$7,W180),IF(AND(BZ180=0,N(IFERROR(VLOOKUP(BX180,'Gebinde-Kategorie'!$A$5:$N$45,14,0),0))&gt;0),VLOOKUP(BX180,'Gebinde-Kategorie'!$A$5:$N$45,14,0)*10+Parameter!$M$23,Parameter!$M$24))</f>
        <v>155</v>
      </c>
      <c r="CC180" s="48" t="str">
        <f aca="false">IF(AND(Parameter!$B$19="Ja",E180&lt;&gt;"",ISNUMBER(MATCH(E180,Parameter!$I$35:$I$52,0))),VLOOKUP(E180,Parameter!$I$35:$J$52,2,0),IFERROR(VLOOKUP(D180,Parameter!$A$35:$C$64,2,0),"Nein"))</f>
        <v>2+3</v>
      </c>
      <c r="CD180" s="52" t="n">
        <f aca="false">IF(BZ180=0,0,IF(N(S180)&gt;0,S180,IFERROR(VLOOKUP(D180,Parameter!$A$35:$C$64,3,0)+0,0)))</f>
        <v>0</v>
      </c>
      <c r="CE180" s="48" t="n">
        <f aca="false">IF(AA180&lt;&gt;"",AA180,Z180)</f>
        <v>3</v>
      </c>
      <c r="CF180" s="48" t="str">
        <f aca="false">IF(OR(CE180=1,CE180=2,CE180=3),IF(Parameter!$E$27="Ja","LIFT",IF(CE180=1,"L1","L23")),IF(CE180="Aussen","Aussen","-"))</f>
        <v>LIFT</v>
      </c>
      <c r="CG180" s="59" t="n">
        <f aca="false">IF(N(AB180)&gt;0,AB180,0)</f>
        <v>0</v>
      </c>
      <c r="CH180" s="53" t="n">
        <f aca="false">IF(ISNUMBER(AE180),1,0)</f>
        <v>0</v>
      </c>
      <c r="CI180" s="50" t="n">
        <f aca="false">N(AE180)</f>
        <v>0</v>
      </c>
      <c r="CJ180" s="50" t="n">
        <f aca="false">N(M180)+N(N180)</f>
        <v>15</v>
      </c>
      <c r="CK180" s="50" t="n">
        <f aca="false">N(M180)</f>
        <v>0</v>
      </c>
      <c r="CL180" s="50" t="n">
        <f aca="false">N(N180)</f>
        <v>15</v>
      </c>
      <c r="CM180" s="50" t="n">
        <f aca="false">ROUNDUP(H180/BY180,0)</f>
        <v>1</v>
      </c>
      <c r="CN180" s="50" t="n">
        <f aca="false">ROUNDUP(CI180/BY180,0)</f>
        <v>0</v>
      </c>
      <c r="CO180" s="53" t="n">
        <f aca="false">IF(BZ180=1,0,IFERROR(VLOOKUP(BX180,'Gebinde-Kategorie'!$A$5:$N$45,5,0)+0,0))</f>
        <v>8</v>
      </c>
      <c r="CP180" s="53" t="n">
        <f aca="false">IFERROR(IF(OR(CE180=1,CE180=2,CE180=3),N(INDEX(Parameter!$I$5:$I$7,CE180)),0),0)</f>
        <v>0</v>
      </c>
      <c r="CQ180" s="52" t="n">
        <f aca="false">IF(AND(Parameter!$B$21="Ja",ISNUMBER(W180),N(X180)&gt;0),IFERROR(N(INDEX(Parameter!$L$5:$L$7,W180))*INDEX(Parameter!$E$5:$E$7,W180)*X180/SUMIFS($X$7:$X$1843,$W$7:$W$1843,W180),0),0)</f>
        <v>0</v>
      </c>
    </row>
    <row r="181" customFormat="false" ht="15" hidden="false" customHeight="false" outlineLevel="0" collapsed="false">
      <c r="A181" s="48" t="s">
        <v>576</v>
      </c>
      <c r="B181" s="48" t="s">
        <v>553</v>
      </c>
      <c r="C181" s="48" t="s">
        <v>173</v>
      </c>
      <c r="D181" s="48" t="s">
        <v>193</v>
      </c>
      <c r="E181" s="48" t="s">
        <v>194</v>
      </c>
      <c r="F181" s="48" t="s">
        <v>227</v>
      </c>
      <c r="G181" s="49" t="n">
        <v>14.91</v>
      </c>
      <c r="H181" s="50" t="n">
        <f aca="false">MAX(0,IF(AND(Parameter!$B$21="Ja",ISNUMBER(Y181)),Y181,IF(Parameter!$B$20="Jahresanfang 2025 + Export",BR181+BQ181,BQ181)))</f>
        <v>83</v>
      </c>
      <c r="I181" s="50" t="n">
        <f aca="false">H181*G181</f>
        <v>1237.53</v>
      </c>
      <c r="J181" s="50" t="n">
        <f aca="false">BT181*Parameter!$B$18</f>
        <v>83</v>
      </c>
      <c r="K181" s="51" t="n">
        <v>13.5</v>
      </c>
      <c r="L181" s="52" t="n">
        <v>6.14814814814815</v>
      </c>
      <c r="M181" s="50" t="n">
        <v>4</v>
      </c>
      <c r="N181" s="50" t="n">
        <v>85</v>
      </c>
      <c r="O181" s="53" t="n">
        <v>21</v>
      </c>
      <c r="P181" s="48" t="s">
        <v>435</v>
      </c>
      <c r="Q181" s="50" t="n">
        <v>36</v>
      </c>
      <c r="R181" s="53" t="n">
        <f aca="false">IF(BZ181=1,0,IFERROR(VLOOKUP(BX181,'Gebinde-Kategorie'!$A$5:$N$45,13,0)+0,0))</f>
        <v>140</v>
      </c>
      <c r="S181" s="54"/>
      <c r="T181" s="55"/>
      <c r="U181" s="55"/>
      <c r="V181" s="55"/>
      <c r="W181" s="48"/>
      <c r="X181" s="50"/>
      <c r="Y181" s="50"/>
      <c r="Z181" s="48" t="n">
        <f aca="false">IF(A181="","",IF(AND(Parameter!$B$21="Ja",ISNUMBER(W181)),W181,IF(CC181="2+3",IF(ISNUMBER(SEARCH("grosser Artikel",BU181)),2,IFERROR(VLOOKUP(BX181,Parameter!$F$35:$G$64,2,0),2)),IF(OR(CC181="Nein",CC181=""),"-",CC181))))</f>
        <v>3</v>
      </c>
      <c r="AA181" s="55"/>
      <c r="AB181" s="56"/>
      <c r="AC181" s="50" t="n">
        <f aca="false">AV181</f>
        <v>89</v>
      </c>
      <c r="AD181" s="50" t="n">
        <f aca="false">MAX(AV181,H181)</f>
        <v>89</v>
      </c>
      <c r="AE181" s="57"/>
      <c r="AF181" s="50" t="n">
        <f aca="false">IF(LEFT(Cockpit!$C$5,1)="A",H181,IF(Parameter!$E$30="MAX-Bestand",IF(CH181=1,CI181,IF(LEFT(Cockpit!$C$5,1)="B",AL181,MAX(AL181,H181))),ROUNDUP(AJ181,0)))</f>
        <v>83</v>
      </c>
      <c r="AG181" s="50" t="n">
        <f aca="false">IF(BZ181=1,0,ROUNDUP(AF181/BY181,0))</f>
        <v>3</v>
      </c>
      <c r="AH181" s="52" t="n">
        <f aca="false">IF(CQ181&gt;0,CQ181*MAX(1,AF181/X181),IF(BZ181=1,IF(AF181&lt;=0,0,CD181*MAX(1,IF(H181&gt;0,AF181/H181,1))),IF(R181&gt;0,AG181/R181,0))/MAX(0.1,N(Parameter!$M$21)))</f>
        <v>0.0214285714285714</v>
      </c>
      <c r="AI181" s="50" t="n">
        <f aca="false">AH181*CB181</f>
        <v>3.32142857142857</v>
      </c>
      <c r="AJ181" s="51" t="n">
        <f aca="false">IF(LEFT(Cockpit!$C$5,1)="A",H181,IF(CH181=1,(CK181+CI181)/2,IF(LEFT(Cockpit!$C$5,1)="B",(CK181+AL181)/2,MAX((CK181+AL181)/2,H181))))</f>
        <v>83</v>
      </c>
      <c r="AK181" s="50" t="n">
        <f aca="false">AJ181*G181</f>
        <v>1237.53</v>
      </c>
      <c r="AL181" s="50" t="n">
        <f aca="false">ROUNDUP(CK181+MAX(CL181,2*(J181/IF(CG181&gt;0,CG181,MAX(0.1,N(Cockpit!$C$6)))-CK181)),0)</f>
        <v>89</v>
      </c>
      <c r="AM181" s="51" t="n">
        <f aca="false">IF(AI181&gt;0,J181/AI181,-1)</f>
        <v>24.989247311828</v>
      </c>
      <c r="AN181" s="51" t="n">
        <f aca="false">IF(AND(OR(CF181="L1",CF181="L23",CF181="LIFT"),AI181&gt;0),SUMIFS($AI$7:$AI$1843,$CF$7:$CF$1843,CF181,$AM$7:$AM$1843,"&gt;"&amp;AM181)+SUMIFS($AI$7:$AI$1843,$CF$7:$CF$1843,CF181,$AM$7:$AM$1843,AM181,$BW$7:$BW$1843,"&lt;="&amp;BW181),"")</f>
        <v>1542.62728937729</v>
      </c>
      <c r="AO181" s="58" t="n">
        <f aca="false">IF(AN181="",0,MAX(0,MIN(1,(IF(CF181="L1",Parameter!$H$5,IF(CF181="L23",Parameter!$H$6+Parameter!$H$7,Parameter!$H$5+Parameter!$H$6+Parameter!$H$7))-(AN181-AI181))/AI181)))</f>
        <v>1</v>
      </c>
      <c r="AP181" s="50" t="n">
        <f aca="false">IF(LEFT(Cockpit!$I$5,1)="A",H181,IF(Parameter!$E$30="MAX-Bestand",IF(CH181=1,CI181,IF(LEFT(Cockpit!$I$5,1)="B",AV181,MAX(AV181,H181))),ROUNDUP(AT181,0)))</f>
        <v>83</v>
      </c>
      <c r="AQ181" s="50" t="n">
        <f aca="false">IF(BZ181=1,0,ROUNDUP(AP181/BY181,0))</f>
        <v>3</v>
      </c>
      <c r="AR181" s="52" t="n">
        <f aca="false">IF(CQ181&gt;0,CQ181*MAX(1,AP181/X181),IF(BZ181=1,IF(AP181&lt;=0,0,CD181*MAX(1,IF(H181&gt;0,AP181/H181,1))),IF(R181&gt;0,AQ181/R181,0))/MAX(0.1,N(Parameter!$M$21)))</f>
        <v>0.0214285714285714</v>
      </c>
      <c r="AS181" s="50" t="n">
        <f aca="false">AR181*CB181</f>
        <v>3.32142857142857</v>
      </c>
      <c r="AT181" s="51" t="n">
        <f aca="false">IF(LEFT(Cockpit!$I$5,1)="A",H181,IF(CH181=1,(CK181+CI181)/2,IF(LEFT(Cockpit!$I$5,1)="B",(CK181+AV181)/2,MAX((CK181+AV181)/2,H181))))</f>
        <v>83</v>
      </c>
      <c r="AU181" s="50" t="n">
        <f aca="false">AT181*G181</f>
        <v>1237.53</v>
      </c>
      <c r="AV181" s="50" t="n">
        <f aca="false">ROUNDUP(CK181+MAX(CL181,2*(J181/IF(CG181&gt;0,CG181,MAX(0.1,N(Cockpit!$I$6)))-CK181)),0)</f>
        <v>89</v>
      </c>
      <c r="AW181" s="51" t="n">
        <f aca="false">IF(AS181&gt;0,J181/AS181,-1)</f>
        <v>24.989247311828</v>
      </c>
      <c r="AX181" s="51" t="n">
        <f aca="false">IF(AND(OR(CF181="L1",CF181="L23",CF181="LIFT"),AS181&gt;0),SUMIFS($AS$7:$AS$1843,$CF$7:$CF$1843,CF181,$AW$7:$AW$1843,"&gt;"&amp;AW181)+SUMIFS($AS$7:$AS$1843,$CF$7:$CF$1843,CF181,$AW$7:$AW$1843,AW181,$BW$7:$BW$1843,"&lt;="&amp;BW181),"")</f>
        <v>2168.46611721612</v>
      </c>
      <c r="AY181" s="58" t="n">
        <f aca="false">IF(AX181="",0,MAX(0,MIN(1,(IF(CF181="L1",Parameter!$H$5,IF(CF181="L23",Parameter!$H$6+Parameter!$H$7,Parameter!$H$5+Parameter!$H$6+Parameter!$H$7))-(AX181-AS181))/AS181)))</f>
        <v>1</v>
      </c>
      <c r="AZ181" s="50" t="n">
        <f aca="false">IF(LEFT(Cockpit!$O$5,1)="A",H181,IF(Parameter!$E$30="MAX-Bestand",IF(CH181=1,CI181,IF(LEFT(Cockpit!$O$5,1)="B",BF181,MAX(BF181,H181))),ROUNDUP(BD181,0)))</f>
        <v>47</v>
      </c>
      <c r="BA181" s="50" t="n">
        <f aca="false">IF(BZ181=1,0,ROUNDUP(AZ181/BY181,0))</f>
        <v>2</v>
      </c>
      <c r="BB181" s="52" t="n">
        <f aca="false">IF(CQ181&gt;0,CQ181*MAX(1,AZ181/X181),IF(BZ181=1,IF(AZ181&lt;=0,0,CD181*MAX(1,IF(H181&gt;0,AZ181/H181,1))),IF(R181&gt;0,BA181/R181,0))/MAX(0.1,N(Parameter!$M$21)))</f>
        <v>0.0142857142857143</v>
      </c>
      <c r="BC181" s="50" t="n">
        <f aca="false">BB181*CB181</f>
        <v>2.21428571428571</v>
      </c>
      <c r="BD181" s="51" t="n">
        <f aca="false">IF(LEFT(Cockpit!$O$5,1)="A",H181,IF(CH181=1,(CK181+CI181)/2,IF(LEFT(Cockpit!$O$5,1)="B",(CK181+BF181)/2,MAX((CK181+BF181)/2,H181))))</f>
        <v>46.5</v>
      </c>
      <c r="BE181" s="50" t="n">
        <f aca="false">BD181*G181</f>
        <v>693.315</v>
      </c>
      <c r="BF181" s="50" t="n">
        <f aca="false">ROUNDUP(CK181+MAX(CL181,2*(J181/IF(CG181&gt;0,CG181,MAX(0.1,N(Cockpit!$O$6)))-CK181)),0)</f>
        <v>89</v>
      </c>
      <c r="BG181" s="51" t="n">
        <f aca="false">IF(BC181&gt;0,J181/BC181,-1)</f>
        <v>37.4838709677419</v>
      </c>
      <c r="BH181" s="51" t="n">
        <f aca="false">IF(AND(OR(CF181="L1",CF181="L23",CF181="LIFT"),BC181&gt;0),SUMIFS($BC$7:$BC$1843,$CF$7:$CF$1843,CF181,$BG$7:$BG$1843,"&gt;"&amp;BG181)+SUMIFS($BC$7:$BC$1843,$CF$7:$CF$1843,CF181,$BG$7:$BG$1843,BG181,$BW$7:$BW$1843,"&lt;="&amp;BW181),"")</f>
        <v>1504.13782051282</v>
      </c>
      <c r="BI181" s="58" t="n">
        <f aca="false">IF(BH181="",0,MAX(0,MIN(1,(IF(CF181="L1",Parameter!$H$5,IF(CF181="L23",Parameter!$H$6+Parameter!$H$7,Parameter!$H$5+Parameter!$H$6+Parameter!$H$7))-(BH181-BC181))/BC181)))</f>
        <v>1</v>
      </c>
      <c r="BJ181" s="48" t="str">
        <f aca="false">IF(AI181&lt;=0,"",IF(CF181="Aussen","Aussenlager",IF(CF181="-","Nicht im Lift",IF(AO181&gt;=1,"Lift",IF(AO181&lt;=0,"Aussenlager","teilweise")))))</f>
        <v>Lift</v>
      </c>
      <c r="BK181" s="48" t="str">
        <f aca="false">IF(AS181&lt;=0,"",IF(CF181="Aussen","Aussenlager",IF(CF181="-","Nicht im Lift",IF(AY181&gt;=1,"Lift",IF(AY181&lt;=0,"Aussenlager","teilweise")))))</f>
        <v>Lift</v>
      </c>
      <c r="BL181" s="48" t="str">
        <f aca="false">IF(BC181&lt;=0,"",IF(CF181="Aussen","Aussenlager",IF(CF181="-","Nicht im Lift",IF(BI181&gt;=1,"Lift",IF(BI181&lt;=0,"Aussenlager","teilweise")))))</f>
        <v>Lift</v>
      </c>
      <c r="BM181" s="48" t="str">
        <f aca="false">IF(A181="","",IF(BV181=1,"Neu; ","")&amp;IF(AND(BV181=0,BQ181&lt;0),"negativer Bestand (Export "&amp;BQ181&amp;"); ","")&amp;IF(J181&lt;=0,"Kein Verbrauch; ","")&amp;IF(CQ181&gt;0,"Lift "&amp;W181&amp;" lt. Liftbericht (Fach "&amp;X181&amp;" Stk); ",IF(CA181=1,"Gebinde geschätzt ("&amp;T181&amp;"); ",IF(BZ181=1,"Lose – Tablare geschätzt; ","")))&amp;IF(H181&gt;AV181,"Überbestand "&amp;ROUND(H181-AV181,0)&amp;" Stk / CHF "&amp;ROUND((H181-AV181)*G181,0)&amp;"; ","")&amp;IF(AND(CH181=1,CI181&lt;CJ181),"MAX &lt; MB+LG; ","")&amp;IF(AND(CP181&gt;0,CO181*10&gt;CP181),"zu hoch für Tablar; ","")&amp;IF(AND(BV181=0,OR(CH181=1,AA181&lt;&gt;"",U181&lt;&gt;"",V181&lt;&gt;"",AB181&lt;&gt;"")),"manuell übersteuert; ","")&amp;IF(AND(BZ181=0,R181=0),"Gebinde unbekannt / Stellmass fehlt; ","")&amp;IF(AND(BZ181=0,N(V181)&lt;=0,N(Q181)&lt;=0),"Menge pro Gebinde fehlt (Ist = 1 Gebinde); ","")&amp;BU181)</f>
        <v/>
      </c>
      <c r="BN181" s="48"/>
      <c r="BO181" s="48"/>
      <c r="BP181" s="55"/>
      <c r="BQ181" s="50" t="n">
        <v>71</v>
      </c>
      <c r="BR181" s="50" t="n">
        <v>12</v>
      </c>
      <c r="BS181" s="49" t="n">
        <v>1001.61</v>
      </c>
      <c r="BT181" s="50" t="n">
        <v>83</v>
      </c>
      <c r="BU181" s="48"/>
      <c r="BV181" s="53" t="n">
        <v>0</v>
      </c>
      <c r="BW181" s="53" t="n">
        <v>181</v>
      </c>
      <c r="BX181" s="48" t="str">
        <f aca="false">IF(U181&lt;&gt;"",UPPER(TRIM(U181)),IF(CA181=1,UPPER(VLOOKUP(T181,Parameter!$I$27:$K$29,2,0)),IF(P181="","LOSE",P181)))</f>
        <v>S22</v>
      </c>
      <c r="BY181" s="50" t="n">
        <f aca="false">IF(BX181="LOSE",1,IF(N(V181)&gt;0,V181,IF(CA181=1,MAX(1,N(VLOOKUP(T181,Parameter!$I$27:$K$29,3,0)),H181,N(N181)),IF(N(Q181)&gt;0,Q181,MAX(1,H181)))))</f>
        <v>36</v>
      </c>
      <c r="BZ181" s="53" t="n">
        <f aca="false">IF(BX181="LOSE",1,0)</f>
        <v>0</v>
      </c>
      <c r="CA181" s="53" t="n">
        <f aca="false">IF(AND(U181="",OR(P181="",P181="LOSE"),T181&lt;&gt;"",N(S181)&lt;=0,ISNUMBER(MATCH(T181,Parameter!$I$27:$I$29,0))),1,0)</f>
        <v>0</v>
      </c>
      <c r="CB181" s="53" t="n">
        <f aca="false">IF(CQ181&gt;0,INDEX(Parameter!$H$5:$H$7,W181)/INDEX(Parameter!$E$5:$E$7,W181),IF(AND(BZ181=0,N(IFERROR(VLOOKUP(BX181,'Gebinde-Kategorie'!$A$5:$N$45,14,0),0))&gt;0),VLOOKUP(BX181,'Gebinde-Kategorie'!$A$5:$N$45,14,0)*10+Parameter!$M$23,Parameter!$M$24))</f>
        <v>155</v>
      </c>
      <c r="CC181" s="48" t="str">
        <f aca="false">IF(AND(Parameter!$B$19="Ja",E181&lt;&gt;"",ISNUMBER(MATCH(E181,Parameter!$I$35:$I$52,0))),VLOOKUP(E181,Parameter!$I$35:$J$52,2,0),IFERROR(VLOOKUP(D181,Parameter!$A$35:$C$64,2,0),"Nein"))</f>
        <v>2+3</v>
      </c>
      <c r="CD181" s="52" t="n">
        <f aca="false">IF(BZ181=0,0,IF(N(S181)&gt;0,S181,IFERROR(VLOOKUP(D181,Parameter!$A$35:$C$64,3,0)+0,0)))</f>
        <v>0</v>
      </c>
      <c r="CE181" s="48" t="n">
        <f aca="false">IF(AA181&lt;&gt;"",AA181,Z181)</f>
        <v>3</v>
      </c>
      <c r="CF181" s="48" t="str">
        <f aca="false">IF(OR(CE181=1,CE181=2,CE181=3),IF(Parameter!$E$27="Ja","LIFT",IF(CE181=1,"L1","L23")),IF(CE181="Aussen","Aussen","-"))</f>
        <v>LIFT</v>
      </c>
      <c r="CG181" s="59" t="n">
        <f aca="false">IF(N(AB181)&gt;0,AB181,0)</f>
        <v>0</v>
      </c>
      <c r="CH181" s="53" t="n">
        <f aca="false">IF(ISNUMBER(AE181),1,0)</f>
        <v>0</v>
      </c>
      <c r="CI181" s="50" t="n">
        <f aca="false">N(AE181)</f>
        <v>0</v>
      </c>
      <c r="CJ181" s="50" t="n">
        <f aca="false">N(M181)+N(N181)</f>
        <v>89</v>
      </c>
      <c r="CK181" s="50" t="n">
        <f aca="false">N(M181)</f>
        <v>4</v>
      </c>
      <c r="CL181" s="50" t="n">
        <f aca="false">N(N181)</f>
        <v>85</v>
      </c>
      <c r="CM181" s="50" t="n">
        <f aca="false">ROUNDUP(H181/BY181,0)</f>
        <v>3</v>
      </c>
      <c r="CN181" s="50" t="n">
        <f aca="false">ROUNDUP(CI181/BY181,0)</f>
        <v>0</v>
      </c>
      <c r="CO181" s="53" t="n">
        <f aca="false">IF(BZ181=1,0,IFERROR(VLOOKUP(BX181,'Gebinde-Kategorie'!$A$5:$N$45,5,0)+0,0))</f>
        <v>8</v>
      </c>
      <c r="CP181" s="53" t="n">
        <f aca="false">IFERROR(IF(OR(CE181=1,CE181=2,CE181=3),N(INDEX(Parameter!$I$5:$I$7,CE181)),0),0)</f>
        <v>0</v>
      </c>
      <c r="CQ181" s="52" t="n">
        <f aca="false">IF(AND(Parameter!$B$21="Ja",ISNUMBER(W181),N(X181)&gt;0),IFERROR(N(INDEX(Parameter!$L$5:$L$7,W181))*INDEX(Parameter!$E$5:$E$7,W181)*X181/SUMIFS($X$7:$X$1843,$W$7:$W$1843,W181),0),0)</f>
        <v>0</v>
      </c>
    </row>
    <row r="182" customFormat="false" ht="15" hidden="false" customHeight="false" outlineLevel="0" collapsed="false">
      <c r="A182" s="48" t="s">
        <v>577</v>
      </c>
      <c r="B182" s="48" t="s">
        <v>578</v>
      </c>
      <c r="C182" s="48" t="s">
        <v>173</v>
      </c>
      <c r="D182" s="48" t="s">
        <v>193</v>
      </c>
      <c r="E182" s="48"/>
      <c r="F182" s="48" t="s">
        <v>227</v>
      </c>
      <c r="G182" s="49" t="n">
        <v>66.53</v>
      </c>
      <c r="H182" s="50" t="n">
        <f aca="false">MAX(0,IF(AND(Parameter!$B$21="Ja",ISNUMBER(Y182)),Y182,IF(Parameter!$B$20="Jahresanfang 2025 + Export",BR182+BQ182,BQ182)))</f>
        <v>15</v>
      </c>
      <c r="I182" s="50" t="n">
        <f aca="false">H182*G182</f>
        <v>997.95</v>
      </c>
      <c r="J182" s="50" t="n">
        <f aca="false">BT182*Parameter!$B$18</f>
        <v>0</v>
      </c>
      <c r="K182" s="51" t="n">
        <v>0</v>
      </c>
      <c r="L182" s="52" t="n">
        <v>0</v>
      </c>
      <c r="M182" s="50" t="n">
        <v>0</v>
      </c>
      <c r="N182" s="50" t="n">
        <v>1</v>
      </c>
      <c r="O182" s="53" t="n">
        <v>9999</v>
      </c>
      <c r="P182" s="48" t="s">
        <v>177</v>
      </c>
      <c r="Q182" s="50"/>
      <c r="R182" s="53" t="n">
        <f aca="false">IF(BZ182=1,0,IFERROR(VLOOKUP(BX182,'Gebinde-Kategorie'!$A$5:$N$45,13,0)+0,0))</f>
        <v>4</v>
      </c>
      <c r="S182" s="54"/>
      <c r="T182" s="55" t="s">
        <v>198</v>
      </c>
      <c r="U182" s="55"/>
      <c r="V182" s="55"/>
      <c r="W182" s="48"/>
      <c r="X182" s="50"/>
      <c r="Y182" s="50"/>
      <c r="Z182" s="48" t="n">
        <f aca="false">IF(A182="","",IF(AND(Parameter!$B$21="Ja",ISNUMBER(W182)),W182,IF(CC182="2+3",IF(ISNUMBER(SEARCH("grosser Artikel",BU182)),2,IFERROR(VLOOKUP(BX182,Parameter!$F$35:$G$64,2,0),2)),IF(OR(CC182="Nein",CC182=""),"-",CC182))))</f>
        <v>2</v>
      </c>
      <c r="AA182" s="55"/>
      <c r="AB182" s="56"/>
      <c r="AC182" s="50" t="n">
        <f aca="false">AV182</f>
        <v>1</v>
      </c>
      <c r="AD182" s="50" t="n">
        <f aca="false">MAX(AV182,H182)</f>
        <v>15</v>
      </c>
      <c r="AE182" s="57"/>
      <c r="AF182" s="50" t="n">
        <f aca="false">IF(LEFT(Cockpit!$C$5,1)="A",H182,IF(Parameter!$E$30="MAX-Bestand",IF(CH182=1,CI182,IF(LEFT(Cockpit!$C$5,1)="B",AL182,MAX(AL182,H182))),ROUNDUP(AJ182,0)))</f>
        <v>15</v>
      </c>
      <c r="AG182" s="50" t="n">
        <f aca="false">IF(BZ182=1,0,ROUNDUP(AF182/BY182,0))</f>
        <v>1</v>
      </c>
      <c r="AH182" s="52" t="n">
        <f aca="false">IF(CQ182&gt;0,CQ182*MAX(1,AF182/X182),IF(BZ182=1,IF(AF182&lt;=0,0,CD182*MAX(1,IF(H182&gt;0,AF182/H182,1))),IF(R182&gt;0,AG182/R182,0))/MAX(0.1,N(Parameter!$M$21)))</f>
        <v>0.25</v>
      </c>
      <c r="AI182" s="50" t="n">
        <f aca="false">AH182*CB182</f>
        <v>58.75</v>
      </c>
      <c r="AJ182" s="51" t="n">
        <f aca="false">IF(LEFT(Cockpit!$C$5,1)="A",H182,IF(CH182=1,(CK182+CI182)/2,IF(LEFT(Cockpit!$C$5,1)="B",(CK182+AL182)/2,MAX((CK182+AL182)/2,H182))))</f>
        <v>15</v>
      </c>
      <c r="AK182" s="50" t="n">
        <f aca="false">AJ182*G182</f>
        <v>997.95</v>
      </c>
      <c r="AL182" s="50" t="n">
        <f aca="false">ROUNDUP(CK182+MAX(CL182,2*(J182/IF(CG182&gt;0,CG182,MAX(0.1,N(Cockpit!$C$6)))-CK182)),0)</f>
        <v>1</v>
      </c>
      <c r="AM182" s="51" t="n">
        <f aca="false">IF(AI182&gt;0,J182/AI182,-1)</f>
        <v>0</v>
      </c>
      <c r="AN182" s="51" t="n">
        <f aca="false">IF(AND(OR(CF182="L1",CF182="L23",CF182="LIFT"),AI182&gt;0),SUMIFS($AI$7:$AI$1843,$CF$7:$CF$1843,CF182,$AM$7:$AM$1843,"&gt;"&amp;AM182)+SUMIFS($AI$7:$AI$1843,$CF$7:$CF$1843,CF182,$AM$7:$AM$1843,AM182,$BW$7:$BW$1843,"&lt;="&amp;BW182),"")</f>
        <v>27498.0395454357</v>
      </c>
      <c r="AO182" s="58" t="n">
        <f aca="false">IF(AN182="",0,MAX(0,MIN(1,(IF(CF182="L1",Parameter!$H$5,IF(CF182="L23",Parameter!$H$6+Parameter!$H$7,Parameter!$H$5+Parameter!$H$6+Parameter!$H$7))-(AN182-AI182))/AI182)))</f>
        <v>1</v>
      </c>
      <c r="AP182" s="50" t="n">
        <f aca="false">IF(LEFT(Cockpit!$I$5,1)="A",H182,IF(Parameter!$E$30="MAX-Bestand",IF(CH182=1,CI182,IF(LEFT(Cockpit!$I$5,1)="B",AV182,MAX(AV182,H182))),ROUNDUP(AT182,0)))</f>
        <v>15</v>
      </c>
      <c r="AQ182" s="50" t="n">
        <f aca="false">IF(BZ182=1,0,ROUNDUP(AP182/BY182,0))</f>
        <v>1</v>
      </c>
      <c r="AR182" s="52" t="n">
        <f aca="false">IF(CQ182&gt;0,CQ182*MAX(1,AP182/X182),IF(BZ182=1,IF(AP182&lt;=0,0,CD182*MAX(1,IF(H182&gt;0,AP182/H182,1))),IF(R182&gt;0,AQ182/R182,0))/MAX(0.1,N(Parameter!$M$21)))</f>
        <v>0.25</v>
      </c>
      <c r="AS182" s="50" t="n">
        <f aca="false">AR182*CB182</f>
        <v>58.75</v>
      </c>
      <c r="AT182" s="51" t="n">
        <f aca="false">IF(LEFT(Cockpit!$I$5,1)="A",H182,IF(CH182=1,(CK182+CI182)/2,IF(LEFT(Cockpit!$I$5,1)="B",(CK182+AV182)/2,MAX((CK182+AV182)/2,H182))))</f>
        <v>15</v>
      </c>
      <c r="AU182" s="50" t="n">
        <f aca="false">AT182*G182</f>
        <v>997.95</v>
      </c>
      <c r="AV182" s="50" t="n">
        <f aca="false">ROUNDUP(CK182+MAX(CL182,2*(J182/IF(CG182&gt;0,CG182,MAX(0.1,N(Cockpit!$I$6)))-CK182)),0)</f>
        <v>1</v>
      </c>
      <c r="AW182" s="51" t="n">
        <f aca="false">IF(AS182&gt;0,J182/AS182,-1)</f>
        <v>0</v>
      </c>
      <c r="AX182" s="51" t="n">
        <f aca="false">IF(AND(OR(CF182="L1",CF182="L23",CF182="LIFT"),AS182&gt;0),SUMIFS($AS$7:$AS$1843,$CF$7:$CF$1843,CF182,$AW$7:$AW$1843,"&gt;"&amp;AW182)+SUMIFS($AS$7:$AS$1843,$CF$7:$CF$1843,CF182,$AW$7:$AW$1843,AW182,$BW$7:$BW$1843,"&lt;="&amp;BW182),"")</f>
        <v>32851.1881868132</v>
      </c>
      <c r="AY182" s="58" t="n">
        <f aca="false">IF(AX182="",0,MAX(0,MIN(1,(IF(CF182="L1",Parameter!$H$5,IF(CF182="L23",Parameter!$H$6+Parameter!$H$7,Parameter!$H$5+Parameter!$H$6+Parameter!$H$7))-(AX182-AS182))/AS182)))</f>
        <v>1</v>
      </c>
      <c r="AZ182" s="50" t="n">
        <f aca="false">IF(LEFT(Cockpit!$O$5,1)="A",H182,IF(Parameter!$E$30="MAX-Bestand",IF(CH182=1,CI182,IF(LEFT(Cockpit!$O$5,1)="B",BF182,MAX(BF182,H182))),ROUNDUP(BD182,0)))</f>
        <v>1</v>
      </c>
      <c r="BA182" s="50" t="n">
        <f aca="false">IF(BZ182=1,0,ROUNDUP(AZ182/BY182,0))</f>
        <v>1</v>
      </c>
      <c r="BB182" s="52" t="n">
        <f aca="false">IF(CQ182&gt;0,CQ182*MAX(1,AZ182/X182),IF(BZ182=1,IF(AZ182&lt;=0,0,CD182*MAX(1,IF(H182&gt;0,AZ182/H182,1))),IF(R182&gt;0,BA182/R182,0))/MAX(0.1,N(Parameter!$M$21)))</f>
        <v>0.25</v>
      </c>
      <c r="BC182" s="50" t="n">
        <f aca="false">BB182*CB182</f>
        <v>58.75</v>
      </c>
      <c r="BD182" s="51" t="n">
        <f aca="false">IF(LEFT(Cockpit!$O$5,1)="A",H182,IF(CH182=1,(CK182+CI182)/2,IF(LEFT(Cockpit!$O$5,1)="B",(CK182+BF182)/2,MAX((CK182+BF182)/2,H182))))</f>
        <v>0.5</v>
      </c>
      <c r="BE182" s="50" t="n">
        <f aca="false">BD182*G182</f>
        <v>33.265</v>
      </c>
      <c r="BF182" s="50" t="n">
        <f aca="false">ROUNDUP(CK182+MAX(CL182,2*(J182/IF(CG182&gt;0,CG182,MAX(0.1,N(Cockpit!$O$6)))-CK182)),0)</f>
        <v>1</v>
      </c>
      <c r="BG182" s="51" t="n">
        <f aca="false">IF(BC182&gt;0,J182/BC182,-1)</f>
        <v>0</v>
      </c>
      <c r="BH182" s="51" t="n">
        <f aca="false">IF(AND(OR(CF182="L1",CF182="L23",CF182="LIFT"),BC182&gt;0),SUMIFS($BC$7:$BC$1843,$CF$7:$CF$1843,CF182,$BG$7:$BG$1843,"&gt;"&amp;BG182)+SUMIFS($BC$7:$BC$1843,$CF$7:$CF$1843,CF182,$BG$7:$BG$1843,BG182,$BW$7:$BW$1843,"&lt;="&amp;BW182),"")</f>
        <v>27015.4302865214</v>
      </c>
      <c r="BI182" s="58" t="n">
        <f aca="false">IF(BH182="",0,MAX(0,MIN(1,(IF(CF182="L1",Parameter!$H$5,IF(CF182="L23",Parameter!$H$6+Parameter!$H$7,Parameter!$H$5+Parameter!$H$6+Parameter!$H$7))-(BH182-BC182))/BC182)))</f>
        <v>1</v>
      </c>
      <c r="BJ182" s="48" t="str">
        <f aca="false">IF(AI182&lt;=0,"",IF(CF182="Aussen","Aussenlager",IF(CF182="-","Nicht im Lift",IF(AO182&gt;=1,"Lift",IF(AO182&lt;=0,"Aussenlager","teilweise")))))</f>
        <v>Lift</v>
      </c>
      <c r="BK182" s="48" t="str">
        <f aca="false">IF(AS182&lt;=0,"",IF(CF182="Aussen","Aussenlager",IF(CF182="-","Nicht im Lift",IF(AY182&gt;=1,"Lift",IF(AY182&lt;=0,"Aussenlager","teilweise")))))</f>
        <v>Lift</v>
      </c>
      <c r="BL182" s="48" t="str">
        <f aca="false">IF(BC182&lt;=0,"",IF(CF182="Aussen","Aussenlager",IF(CF182="-","Nicht im Lift",IF(BI182&gt;=1,"Lift",IF(BI182&lt;=0,"Aussenlager","teilweise")))))</f>
        <v>Lift</v>
      </c>
      <c r="BM182" s="48" t="str">
        <f aca="false">IF(A182="","",IF(BV182=1,"Neu; ","")&amp;IF(AND(BV182=0,BQ182&lt;0),"negativer Bestand (Export "&amp;BQ182&amp;"); ","")&amp;IF(J182&lt;=0,"Kein Verbrauch; ","")&amp;IF(CQ182&gt;0,"Lift "&amp;W182&amp;" lt. Liftbericht (Fach "&amp;X182&amp;" Stk); ",IF(CA182=1,"Gebinde geschätzt ("&amp;T182&amp;"); ",IF(BZ182=1,"Lose – Tablare geschätzt; ","")))&amp;IF(H182&gt;AV182,"Überbestand "&amp;ROUND(H182-AV182,0)&amp;" Stk / CHF "&amp;ROUND((H182-AV182)*G182,0)&amp;"; ","")&amp;IF(AND(CH182=1,CI182&lt;CJ182),"MAX &lt; MB+LG; ","")&amp;IF(AND(CP182&gt;0,CO182*10&gt;CP182),"zu hoch für Tablar; ","")&amp;IF(AND(BV182=0,OR(CH182=1,AA182&lt;&gt;"",U182&lt;&gt;"",V182&lt;&gt;"",AB182&lt;&gt;"")),"manuell übersteuert; ","")&amp;IF(AND(BZ182=0,R182=0),"Gebinde unbekannt / Stellmass fehlt; ","")&amp;IF(AND(BZ182=0,N(V182)&lt;=0,N(Q182)&lt;=0),"Menge pro Gebinde fehlt (Ist = 1 Gebinde); ","")&amp;BU182)</f>
        <v>Kein Verbrauch; Gebinde geschätzt (Gross); Überbestand 14 Stk / CHF 931; Menge pro Gebinde fehlt (Ist = 1 Gebinde); </v>
      </c>
      <c r="BN182" s="48"/>
      <c r="BO182" s="48"/>
      <c r="BP182" s="55"/>
      <c r="BQ182" s="50" t="n">
        <v>15</v>
      </c>
      <c r="BR182" s="50" t="n">
        <v>0</v>
      </c>
      <c r="BS182" s="49" t="n">
        <v>997.95</v>
      </c>
      <c r="BT182" s="50" t="n">
        <v>0</v>
      </c>
      <c r="BU182" s="48"/>
      <c r="BV182" s="53" t="n">
        <v>0</v>
      </c>
      <c r="BW182" s="53" t="n">
        <v>182</v>
      </c>
      <c r="BX182" s="48" t="str">
        <f aca="false">IF(U182&lt;&gt;"",UPPER(TRIM(U182)),IF(CA182=1,UPPER(VLOOKUP(T182,Parameter!$I$27:$K$29,2,0)),IF(P182="","LOSE",P182)))</f>
        <v>S81</v>
      </c>
      <c r="BY182" s="50" t="n">
        <f aca="false">IF(BX182="LOSE",1,IF(N(V182)&gt;0,V182,IF(CA182=1,MAX(1,N(VLOOKUP(T182,Parameter!$I$27:$K$29,3,0)),H182,N(N182)),IF(N(Q182)&gt;0,Q182,MAX(1,H182)))))</f>
        <v>15</v>
      </c>
      <c r="BZ182" s="53" t="n">
        <f aca="false">IF(BX182="LOSE",1,0)</f>
        <v>0</v>
      </c>
      <c r="CA182" s="53" t="n">
        <f aca="false">IF(AND(U182="",OR(P182="",P182="LOSE"),T182&lt;&gt;"",N(S182)&lt;=0,ISNUMBER(MATCH(T182,Parameter!$I$27:$I$29,0))),1,0)</f>
        <v>1</v>
      </c>
      <c r="CB182" s="53" t="n">
        <f aca="false">IF(CQ182&gt;0,INDEX(Parameter!$H$5:$H$7,W182)/INDEX(Parameter!$E$5:$E$7,W182),IF(AND(BZ182=0,N(IFERROR(VLOOKUP(BX182,'Gebinde-Kategorie'!$A$5:$N$45,14,0),0))&gt;0),VLOOKUP(BX182,'Gebinde-Kategorie'!$A$5:$N$45,14,0)*10+Parameter!$M$23,Parameter!$M$24))</f>
        <v>235</v>
      </c>
      <c r="CC182" s="48" t="str">
        <f aca="false">IF(AND(Parameter!$B$19="Ja",E182&lt;&gt;"",ISNUMBER(MATCH(E182,Parameter!$I$35:$I$52,0))),VLOOKUP(E182,Parameter!$I$35:$J$52,2,0),IFERROR(VLOOKUP(D182,Parameter!$A$35:$C$64,2,0),"Nein"))</f>
        <v>2+3</v>
      </c>
      <c r="CD182" s="52" t="n">
        <f aca="false">IF(BZ182=0,0,IF(N(S182)&gt;0,S182,IFERROR(VLOOKUP(D182,Parameter!$A$35:$C$64,3,0)+0,0)))</f>
        <v>0</v>
      </c>
      <c r="CE182" s="48" t="n">
        <f aca="false">IF(AA182&lt;&gt;"",AA182,Z182)</f>
        <v>2</v>
      </c>
      <c r="CF182" s="48" t="str">
        <f aca="false">IF(OR(CE182=1,CE182=2,CE182=3),IF(Parameter!$E$27="Ja","LIFT",IF(CE182=1,"L1","L23")),IF(CE182="Aussen","Aussen","-"))</f>
        <v>LIFT</v>
      </c>
      <c r="CG182" s="59" t="n">
        <f aca="false">IF(N(AB182)&gt;0,AB182,0)</f>
        <v>0</v>
      </c>
      <c r="CH182" s="53" t="n">
        <f aca="false">IF(ISNUMBER(AE182),1,0)</f>
        <v>0</v>
      </c>
      <c r="CI182" s="50" t="n">
        <f aca="false">N(AE182)</f>
        <v>0</v>
      </c>
      <c r="CJ182" s="50" t="n">
        <f aca="false">N(M182)+N(N182)</f>
        <v>1</v>
      </c>
      <c r="CK182" s="50" t="n">
        <f aca="false">N(M182)</f>
        <v>0</v>
      </c>
      <c r="CL182" s="50" t="n">
        <f aca="false">N(N182)</f>
        <v>1</v>
      </c>
      <c r="CM182" s="50" t="n">
        <f aca="false">ROUNDUP(H182/BY182,0)</f>
        <v>1</v>
      </c>
      <c r="CN182" s="50" t="n">
        <f aca="false">ROUNDUP(CI182/BY182,0)</f>
        <v>0</v>
      </c>
      <c r="CO182" s="53" t="n">
        <f aca="false">IF(BZ182=1,0,IFERROR(VLOOKUP(BX182,'Gebinde-Kategorie'!$A$5:$N$45,5,0)+0,0))</f>
        <v>20</v>
      </c>
      <c r="CP182" s="53" t="n">
        <f aca="false">IFERROR(IF(OR(CE182=1,CE182=2,CE182=3),N(INDEX(Parameter!$I$5:$I$7,CE182)),0),0)</f>
        <v>0</v>
      </c>
      <c r="CQ182" s="52" t="n">
        <f aca="false">IF(AND(Parameter!$B$21="Ja",ISNUMBER(W182),N(X182)&gt;0),IFERROR(N(INDEX(Parameter!$L$5:$L$7,W182))*INDEX(Parameter!$E$5:$E$7,W182)*X182/SUMIFS($X$7:$X$1843,$W$7:$W$1843,W182),0),0)</f>
        <v>0</v>
      </c>
    </row>
    <row r="183" customFormat="false" ht="15" hidden="false" customHeight="false" outlineLevel="0" collapsed="false">
      <c r="A183" s="48" t="s">
        <v>579</v>
      </c>
      <c r="B183" s="48" t="s">
        <v>580</v>
      </c>
      <c r="C183" s="48" t="s">
        <v>173</v>
      </c>
      <c r="D183" s="48" t="s">
        <v>193</v>
      </c>
      <c r="E183" s="48" t="s">
        <v>194</v>
      </c>
      <c r="F183" s="48" t="s">
        <v>227</v>
      </c>
      <c r="G183" s="49" t="n">
        <v>16.3</v>
      </c>
      <c r="H183" s="50" t="n">
        <f aca="false">MAX(0,IF(AND(Parameter!$B$21="Ja",ISNUMBER(Y183)),Y183,IF(Parameter!$B$20="Jahresanfang 2025 + Export",BR183+BQ183,BQ183)))</f>
        <v>122</v>
      </c>
      <c r="I183" s="50" t="n">
        <f aca="false">H183*G183</f>
        <v>1988.6</v>
      </c>
      <c r="J183" s="50" t="n">
        <f aca="false">BT183*Parameter!$B$18</f>
        <v>280</v>
      </c>
      <c r="K183" s="51" t="n">
        <v>55.5</v>
      </c>
      <c r="L183" s="52" t="n">
        <v>5.04504504504505</v>
      </c>
      <c r="M183" s="50" t="n">
        <v>16</v>
      </c>
      <c r="N183" s="50" t="n">
        <v>100</v>
      </c>
      <c r="O183" s="53" t="n">
        <v>21</v>
      </c>
      <c r="P183" s="48" t="s">
        <v>311</v>
      </c>
      <c r="Q183" s="50" t="n">
        <v>112</v>
      </c>
      <c r="R183" s="53" t="n">
        <f aca="false">IF(BZ183=1,0,IFERROR(VLOOKUP(BX183,'Gebinde-Kategorie'!$A$5:$N$45,13,0)+0,0))</f>
        <v>26</v>
      </c>
      <c r="S183" s="54"/>
      <c r="T183" s="55"/>
      <c r="U183" s="55"/>
      <c r="V183" s="55"/>
      <c r="W183" s="48"/>
      <c r="X183" s="50"/>
      <c r="Y183" s="50"/>
      <c r="Z183" s="48" t="n">
        <f aca="false">IF(A183="","",IF(AND(Parameter!$B$21="Ja",ISNUMBER(W183)),W183,IF(CC183="2+3",IF(ISNUMBER(SEARCH("grosser Artikel",BU183)),2,IFERROR(VLOOKUP(BX183,Parameter!$F$35:$G$64,2,0),2)),IF(OR(CC183="Nein",CC183=""),"-",CC183))))</f>
        <v>3</v>
      </c>
      <c r="AA183" s="55"/>
      <c r="AB183" s="56"/>
      <c r="AC183" s="50" t="n">
        <f aca="false">AV183</f>
        <v>171</v>
      </c>
      <c r="AD183" s="50" t="n">
        <f aca="false">MAX(AV183,H183)</f>
        <v>171</v>
      </c>
      <c r="AE183" s="57"/>
      <c r="AF183" s="50" t="n">
        <f aca="false">IF(LEFT(Cockpit!$C$5,1)="A",H183,IF(Parameter!$E$30="MAX-Bestand",IF(CH183=1,CI183,IF(LEFT(Cockpit!$C$5,1)="B",AL183,MAX(AL183,H183))),ROUNDUP(AJ183,0)))</f>
        <v>122</v>
      </c>
      <c r="AG183" s="50" t="n">
        <f aca="false">IF(BZ183=1,0,ROUNDUP(AF183/BY183,0))</f>
        <v>2</v>
      </c>
      <c r="AH183" s="52" t="n">
        <f aca="false">IF(CQ183&gt;0,CQ183*MAX(1,AF183/X183),IF(BZ183=1,IF(AF183&lt;=0,0,CD183*MAX(1,IF(H183&gt;0,AF183/H183,1))),IF(R183&gt;0,AG183/R183,0))/MAX(0.1,N(Parameter!$M$21)))</f>
        <v>0.0769230769230769</v>
      </c>
      <c r="AI183" s="50" t="n">
        <f aca="false">AH183*CB183</f>
        <v>11.9230769230769</v>
      </c>
      <c r="AJ183" s="51" t="n">
        <f aca="false">IF(LEFT(Cockpit!$C$5,1)="A",H183,IF(CH183=1,(CK183+CI183)/2,IF(LEFT(Cockpit!$C$5,1)="B",(CK183+AL183)/2,MAX((CK183+AL183)/2,H183))))</f>
        <v>122</v>
      </c>
      <c r="AK183" s="50" t="n">
        <f aca="false">AJ183*G183</f>
        <v>1988.6</v>
      </c>
      <c r="AL183" s="50" t="n">
        <f aca="false">ROUNDUP(CK183+MAX(CL183,2*(J183/IF(CG183&gt;0,CG183,MAX(0.1,N(Cockpit!$C$6)))-CK183)),0)</f>
        <v>171</v>
      </c>
      <c r="AM183" s="51" t="n">
        <f aca="false">IF(AI183&gt;0,J183/AI183,-1)</f>
        <v>23.4838709677419</v>
      </c>
      <c r="AN183" s="51" t="n">
        <f aca="false">IF(AND(OR(CF183="L1",CF183="L23",CF183="LIFT"),AI183&gt;0),SUMIFS($AI$7:$AI$1843,$CF$7:$CF$1843,CF183,$AM$7:$AM$1843,"&gt;"&amp;AM183)+SUMIFS($AI$7:$AI$1843,$CF$7:$CF$1843,CF183,$AM$7:$AM$1843,AM183,$BW$7:$BW$1843,"&lt;="&amp;BW183),"")</f>
        <v>1575.89652014652</v>
      </c>
      <c r="AO183" s="58" t="n">
        <f aca="false">IF(AN183="",0,MAX(0,MIN(1,(IF(CF183="L1",Parameter!$H$5,IF(CF183="L23",Parameter!$H$6+Parameter!$H$7,Parameter!$H$5+Parameter!$H$6+Parameter!$H$7))-(AN183-AI183))/AI183)))</f>
        <v>1</v>
      </c>
      <c r="AP183" s="50" t="n">
        <f aca="false">IF(LEFT(Cockpit!$I$5,1)="A",H183,IF(Parameter!$E$30="MAX-Bestand",IF(CH183=1,CI183,IF(LEFT(Cockpit!$I$5,1)="B",AV183,MAX(AV183,H183))),ROUNDUP(AT183,0)))</f>
        <v>122</v>
      </c>
      <c r="AQ183" s="50" t="n">
        <f aca="false">IF(BZ183=1,0,ROUNDUP(AP183/BY183,0))</f>
        <v>2</v>
      </c>
      <c r="AR183" s="52" t="n">
        <f aca="false">IF(CQ183&gt;0,CQ183*MAX(1,AP183/X183),IF(BZ183=1,IF(AP183&lt;=0,0,CD183*MAX(1,IF(H183&gt;0,AP183/H183,1))),IF(R183&gt;0,AQ183/R183,0))/MAX(0.1,N(Parameter!$M$21)))</f>
        <v>0.0769230769230769</v>
      </c>
      <c r="AS183" s="50" t="n">
        <f aca="false">AR183*CB183</f>
        <v>11.9230769230769</v>
      </c>
      <c r="AT183" s="51" t="n">
        <f aca="false">IF(LEFT(Cockpit!$I$5,1)="A",H183,IF(CH183=1,(CK183+CI183)/2,IF(LEFT(Cockpit!$I$5,1)="B",(CK183+AV183)/2,MAX((CK183+AV183)/2,H183))))</f>
        <v>122</v>
      </c>
      <c r="AU183" s="50" t="n">
        <f aca="false">AT183*G183</f>
        <v>1988.6</v>
      </c>
      <c r="AV183" s="50" t="n">
        <f aca="false">ROUNDUP(CK183+MAX(CL183,2*(J183/IF(CG183&gt;0,CG183,MAX(0.1,N(Cockpit!$I$6)))-CK183)),0)</f>
        <v>171</v>
      </c>
      <c r="AW183" s="51" t="n">
        <f aca="false">IF(AS183&gt;0,J183/AS183,-1)</f>
        <v>23.4838709677419</v>
      </c>
      <c r="AX183" s="51" t="n">
        <f aca="false">IF(AND(OR(CF183="L1",CF183="L23",CF183="LIFT"),AS183&gt;0),SUMIFS($AS$7:$AS$1843,$CF$7:$CF$1843,CF183,$AW$7:$AW$1843,"&gt;"&amp;AW183)+SUMIFS($AS$7:$AS$1843,$CF$7:$CF$1843,CF183,$AW$7:$AW$1843,AW183,$BW$7:$BW$1843,"&lt;="&amp;BW183),"")</f>
        <v>2201.73534798535</v>
      </c>
      <c r="AY183" s="58" t="n">
        <f aca="false">IF(AX183="",0,MAX(0,MIN(1,(IF(CF183="L1",Parameter!$H$5,IF(CF183="L23",Parameter!$H$6+Parameter!$H$7,Parameter!$H$5+Parameter!$H$6+Parameter!$H$7))-(AX183-AS183))/AS183)))</f>
        <v>1</v>
      </c>
      <c r="AZ183" s="50" t="n">
        <f aca="false">IF(LEFT(Cockpit!$O$5,1)="A",H183,IF(Parameter!$E$30="MAX-Bestand",IF(CH183=1,CI183,IF(LEFT(Cockpit!$O$5,1)="B",BF183,MAX(BF183,H183))),ROUNDUP(BD183,0)))</f>
        <v>70</v>
      </c>
      <c r="BA183" s="50" t="n">
        <f aca="false">IF(BZ183=1,0,ROUNDUP(AZ183/BY183,0))</f>
        <v>1</v>
      </c>
      <c r="BB183" s="52" t="n">
        <f aca="false">IF(CQ183&gt;0,CQ183*MAX(1,AZ183/X183),IF(BZ183=1,IF(AZ183&lt;=0,0,CD183*MAX(1,IF(H183&gt;0,AZ183/H183,1))),IF(R183&gt;0,BA183/R183,0))/MAX(0.1,N(Parameter!$M$21)))</f>
        <v>0.0384615384615385</v>
      </c>
      <c r="BC183" s="50" t="n">
        <f aca="false">BB183*CB183</f>
        <v>5.96153846153846</v>
      </c>
      <c r="BD183" s="51" t="n">
        <f aca="false">IF(LEFT(Cockpit!$O$5,1)="A",H183,IF(CH183=1,(CK183+CI183)/2,IF(LEFT(Cockpit!$O$5,1)="B",(CK183+BF183)/2,MAX((CK183+BF183)/2,H183))))</f>
        <v>70</v>
      </c>
      <c r="BE183" s="50" t="n">
        <f aca="false">BD183*G183</f>
        <v>1141</v>
      </c>
      <c r="BF183" s="50" t="n">
        <f aca="false">ROUNDUP(CK183+MAX(CL183,2*(J183/IF(CG183&gt;0,CG183,MAX(0.1,N(Cockpit!$O$6)))-CK183)),0)</f>
        <v>124</v>
      </c>
      <c r="BG183" s="51" t="n">
        <f aca="false">IF(BC183&gt;0,J183/BC183,-1)</f>
        <v>46.9677419354839</v>
      </c>
      <c r="BH183" s="51" t="n">
        <f aca="false">IF(AND(OR(CF183="L1",CF183="L23",CF183="LIFT"),BC183&gt;0),SUMIFS($BC$7:$BC$1843,$CF$7:$CF$1843,CF183,$BG$7:$BG$1843,"&gt;"&amp;BG183)+SUMIFS($BC$7:$BC$1843,$CF$7:$CF$1843,CF183,$BG$7:$BG$1843,BG183,$BW$7:$BW$1843,"&lt;="&amp;BW183),"")</f>
        <v>1220.03846153846</v>
      </c>
      <c r="BI183" s="58" t="n">
        <f aca="false">IF(BH183="",0,MAX(0,MIN(1,(IF(CF183="L1",Parameter!$H$5,IF(CF183="L23",Parameter!$H$6+Parameter!$H$7,Parameter!$H$5+Parameter!$H$6+Parameter!$H$7))-(BH183-BC183))/BC183)))</f>
        <v>1</v>
      </c>
      <c r="BJ183" s="48" t="str">
        <f aca="false">IF(AI183&lt;=0,"",IF(CF183="Aussen","Aussenlager",IF(CF183="-","Nicht im Lift",IF(AO183&gt;=1,"Lift",IF(AO183&lt;=0,"Aussenlager","teilweise")))))</f>
        <v>Lift</v>
      </c>
      <c r="BK183" s="48" t="str">
        <f aca="false">IF(AS183&lt;=0,"",IF(CF183="Aussen","Aussenlager",IF(CF183="-","Nicht im Lift",IF(AY183&gt;=1,"Lift",IF(AY183&lt;=0,"Aussenlager","teilweise")))))</f>
        <v>Lift</v>
      </c>
      <c r="BL183" s="48" t="str">
        <f aca="false">IF(BC183&lt;=0,"",IF(CF183="Aussen","Aussenlager",IF(CF183="-","Nicht im Lift",IF(BI183&gt;=1,"Lift",IF(BI183&lt;=0,"Aussenlager","teilweise")))))</f>
        <v>Lift</v>
      </c>
      <c r="BM183" s="48" t="str">
        <f aca="false">IF(A183="","",IF(BV183=1,"Neu; ","")&amp;IF(AND(BV183=0,BQ183&lt;0),"negativer Bestand (Export "&amp;BQ183&amp;"); ","")&amp;IF(J183&lt;=0,"Kein Verbrauch; ","")&amp;IF(CQ183&gt;0,"Lift "&amp;W183&amp;" lt. Liftbericht (Fach "&amp;X183&amp;" Stk); ",IF(CA183=1,"Gebinde geschätzt ("&amp;T183&amp;"); ",IF(BZ183=1,"Lose – Tablare geschätzt; ","")))&amp;IF(H183&gt;AV183,"Überbestand "&amp;ROUND(H183-AV183,0)&amp;" Stk / CHF "&amp;ROUND((H183-AV183)*G183,0)&amp;"; ","")&amp;IF(AND(CH183=1,CI183&lt;CJ183),"MAX &lt; MB+LG; ","")&amp;IF(AND(CP183&gt;0,CO183*10&gt;CP183),"zu hoch für Tablar; ","")&amp;IF(AND(BV183=0,OR(CH183=1,AA183&lt;&gt;"",U183&lt;&gt;"",V183&lt;&gt;"",AB183&lt;&gt;"")),"manuell übersteuert; ","")&amp;IF(AND(BZ183=0,R183=0),"Gebinde unbekannt / Stellmass fehlt; ","")&amp;IF(AND(BZ183=0,N(V183)&lt;=0,N(Q183)&lt;=0),"Menge pro Gebinde fehlt (Ist = 1 Gebinde); ","")&amp;BU183)</f>
        <v/>
      </c>
      <c r="BN183" s="48"/>
      <c r="BO183" s="48"/>
      <c r="BP183" s="55"/>
      <c r="BQ183" s="50" t="n">
        <v>77</v>
      </c>
      <c r="BR183" s="50" t="n">
        <v>45</v>
      </c>
      <c r="BS183" s="49" t="n">
        <v>995.94</v>
      </c>
      <c r="BT183" s="50" t="n">
        <v>280</v>
      </c>
      <c r="BU183" s="48"/>
      <c r="BV183" s="53" t="n">
        <v>0</v>
      </c>
      <c r="BW183" s="53" t="n">
        <v>183</v>
      </c>
      <c r="BX183" s="48" t="str">
        <f aca="false">IF(U183&lt;&gt;"",UPPER(TRIM(U183)),IF(CA183=1,UPPER(VLOOKUP(T183,Parameter!$I$27:$K$29,2,0)),IF(P183="","LOSE",P183)))</f>
        <v>S51</v>
      </c>
      <c r="BY183" s="50" t="n">
        <f aca="false">IF(BX183="LOSE",1,IF(N(V183)&gt;0,V183,IF(CA183=1,MAX(1,N(VLOOKUP(T183,Parameter!$I$27:$K$29,3,0)),H183,N(N183)),IF(N(Q183)&gt;0,Q183,MAX(1,H183)))))</f>
        <v>112</v>
      </c>
      <c r="BZ183" s="53" t="n">
        <f aca="false">IF(BX183="LOSE",1,0)</f>
        <v>0</v>
      </c>
      <c r="CA183" s="53" t="n">
        <f aca="false">IF(AND(U183="",OR(P183="",P183="LOSE"),T183&lt;&gt;"",N(S183)&lt;=0,ISNUMBER(MATCH(T183,Parameter!$I$27:$I$29,0))),1,0)</f>
        <v>0</v>
      </c>
      <c r="CB183" s="53" t="n">
        <f aca="false">IF(CQ183&gt;0,INDEX(Parameter!$H$5:$H$7,W183)/INDEX(Parameter!$E$5:$E$7,W183),IF(AND(BZ183=0,N(IFERROR(VLOOKUP(BX183,'Gebinde-Kategorie'!$A$5:$N$45,14,0),0))&gt;0),VLOOKUP(BX183,'Gebinde-Kategorie'!$A$5:$N$45,14,0)*10+Parameter!$M$23,Parameter!$M$24))</f>
        <v>155</v>
      </c>
      <c r="CC183" s="48" t="str">
        <f aca="false">IF(AND(Parameter!$B$19="Ja",E183&lt;&gt;"",ISNUMBER(MATCH(E183,Parameter!$I$35:$I$52,0))),VLOOKUP(E183,Parameter!$I$35:$J$52,2,0),IFERROR(VLOOKUP(D183,Parameter!$A$35:$C$64,2,0),"Nein"))</f>
        <v>2+3</v>
      </c>
      <c r="CD183" s="52" t="n">
        <f aca="false">IF(BZ183=0,0,IF(N(S183)&gt;0,S183,IFERROR(VLOOKUP(D183,Parameter!$A$35:$C$64,3,0)+0,0)))</f>
        <v>0</v>
      </c>
      <c r="CE183" s="48" t="n">
        <f aca="false">IF(AA183&lt;&gt;"",AA183,Z183)</f>
        <v>3</v>
      </c>
      <c r="CF183" s="48" t="str">
        <f aca="false">IF(OR(CE183=1,CE183=2,CE183=3),IF(Parameter!$E$27="Ja","LIFT",IF(CE183=1,"L1","L23")),IF(CE183="Aussen","Aussen","-"))</f>
        <v>LIFT</v>
      </c>
      <c r="CG183" s="59" t="n">
        <f aca="false">IF(N(AB183)&gt;0,AB183,0)</f>
        <v>0</v>
      </c>
      <c r="CH183" s="53" t="n">
        <f aca="false">IF(ISNUMBER(AE183),1,0)</f>
        <v>0</v>
      </c>
      <c r="CI183" s="50" t="n">
        <f aca="false">N(AE183)</f>
        <v>0</v>
      </c>
      <c r="CJ183" s="50" t="n">
        <f aca="false">N(M183)+N(N183)</f>
        <v>116</v>
      </c>
      <c r="CK183" s="50" t="n">
        <f aca="false">N(M183)</f>
        <v>16</v>
      </c>
      <c r="CL183" s="50" t="n">
        <f aca="false">N(N183)</f>
        <v>100</v>
      </c>
      <c r="CM183" s="50" t="n">
        <f aca="false">ROUNDUP(H183/BY183,0)</f>
        <v>2</v>
      </c>
      <c r="CN183" s="50" t="n">
        <f aca="false">ROUNDUP(CI183/BY183,0)</f>
        <v>0</v>
      </c>
      <c r="CO183" s="53" t="n">
        <f aca="false">IF(BZ183=1,0,IFERROR(VLOOKUP(BX183,'Gebinde-Kategorie'!$A$5:$N$45,5,0)+0,0))</f>
        <v>11</v>
      </c>
      <c r="CP183" s="53" t="n">
        <f aca="false">IFERROR(IF(OR(CE183=1,CE183=2,CE183=3),N(INDEX(Parameter!$I$5:$I$7,CE183)),0),0)</f>
        <v>0</v>
      </c>
      <c r="CQ183" s="52" t="n">
        <f aca="false">IF(AND(Parameter!$B$21="Ja",ISNUMBER(W183),N(X183)&gt;0),IFERROR(N(INDEX(Parameter!$L$5:$L$7,W183))*INDEX(Parameter!$E$5:$E$7,W183)*X183/SUMIFS($X$7:$X$1843,$W$7:$W$1843,W183),0),0)</f>
        <v>0</v>
      </c>
    </row>
    <row r="184" customFormat="false" ht="15" hidden="false" customHeight="false" outlineLevel="0" collapsed="false">
      <c r="A184" s="48" t="s">
        <v>581</v>
      </c>
      <c r="B184" s="48" t="s">
        <v>582</v>
      </c>
      <c r="C184" s="48" t="s">
        <v>173</v>
      </c>
      <c r="D184" s="48" t="s">
        <v>182</v>
      </c>
      <c r="E184" s="48" t="s">
        <v>194</v>
      </c>
      <c r="F184" s="48" t="s">
        <v>227</v>
      </c>
      <c r="G184" s="49" t="n">
        <v>159.24</v>
      </c>
      <c r="H184" s="50" t="n">
        <f aca="false">MAX(0,IF(AND(Parameter!$B$21="Ja",ISNUMBER(Y184)),Y184,IF(Parameter!$B$20="Jahresanfang 2025 + Export",BR184+BQ184,BQ184)))</f>
        <v>8</v>
      </c>
      <c r="I184" s="50" t="n">
        <f aca="false">H184*G184</f>
        <v>1273.92</v>
      </c>
      <c r="J184" s="50" t="n">
        <f aca="false">BT184*Parameter!$B$18</f>
        <v>0</v>
      </c>
      <c r="K184" s="51" t="n">
        <v>6.5</v>
      </c>
      <c r="L184" s="52" t="n">
        <v>0</v>
      </c>
      <c r="M184" s="50" t="n">
        <v>0</v>
      </c>
      <c r="N184" s="50" t="n">
        <v>1</v>
      </c>
      <c r="O184" s="53" t="n">
        <v>70</v>
      </c>
      <c r="P184" s="48" t="s">
        <v>302</v>
      </c>
      <c r="Q184" s="50" t="n">
        <v>12</v>
      </c>
      <c r="R184" s="53" t="n">
        <f aca="false">IF(BZ184=1,0,IFERROR(VLOOKUP(BX184,'Gebinde-Kategorie'!$A$5:$N$45,13,0)+0,0))</f>
        <v>12</v>
      </c>
      <c r="S184" s="54"/>
      <c r="T184" s="55"/>
      <c r="U184" s="55"/>
      <c r="V184" s="55"/>
      <c r="W184" s="48"/>
      <c r="X184" s="50"/>
      <c r="Y184" s="50"/>
      <c r="Z184" s="48" t="n">
        <f aca="false">IF(A184="","",IF(AND(Parameter!$B$21="Ja",ISNUMBER(W184)),W184,IF(CC184="2+3",IF(ISNUMBER(SEARCH("grosser Artikel",BU184)),2,IFERROR(VLOOKUP(BX184,Parameter!$F$35:$G$64,2,0),2)),IF(OR(CC184="Nein",CC184=""),"-",CC184))))</f>
        <v>2</v>
      </c>
      <c r="AA184" s="55"/>
      <c r="AB184" s="56"/>
      <c r="AC184" s="50" t="n">
        <f aca="false">AV184</f>
        <v>1</v>
      </c>
      <c r="AD184" s="50" t="n">
        <f aca="false">MAX(AV184,H184)</f>
        <v>8</v>
      </c>
      <c r="AE184" s="57"/>
      <c r="AF184" s="50" t="n">
        <f aca="false">IF(LEFT(Cockpit!$C$5,1)="A",H184,IF(Parameter!$E$30="MAX-Bestand",IF(CH184=1,CI184,IF(LEFT(Cockpit!$C$5,1)="B",AL184,MAX(AL184,H184))),ROUNDUP(AJ184,0)))</f>
        <v>8</v>
      </c>
      <c r="AG184" s="50" t="n">
        <f aca="false">IF(BZ184=1,0,ROUNDUP(AF184/BY184,0))</f>
        <v>1</v>
      </c>
      <c r="AH184" s="52" t="n">
        <f aca="false">IF(CQ184&gt;0,CQ184*MAX(1,AF184/X184),IF(BZ184=1,IF(AF184&lt;=0,0,CD184*MAX(1,IF(H184&gt;0,AF184/H184,1))),IF(R184&gt;0,AG184/R184,0))/MAX(0.1,N(Parameter!$M$21)))</f>
        <v>0.0833333333333333</v>
      </c>
      <c r="AI184" s="50" t="n">
        <f aca="false">AH184*CB184</f>
        <v>20.4166666666667</v>
      </c>
      <c r="AJ184" s="51" t="n">
        <f aca="false">IF(LEFT(Cockpit!$C$5,1)="A",H184,IF(CH184=1,(CK184+CI184)/2,IF(LEFT(Cockpit!$C$5,1)="B",(CK184+AL184)/2,MAX((CK184+AL184)/2,H184))))</f>
        <v>8</v>
      </c>
      <c r="AK184" s="50" t="n">
        <f aca="false">AJ184*G184</f>
        <v>1273.92</v>
      </c>
      <c r="AL184" s="50" t="n">
        <f aca="false">ROUNDUP(CK184+MAX(CL184,2*(J184/IF(CG184&gt;0,CG184,MAX(0.1,N(Cockpit!$C$6)))-CK184)),0)</f>
        <v>1</v>
      </c>
      <c r="AM184" s="51" t="n">
        <f aca="false">IF(AI184&gt;0,J184/AI184,-1)</f>
        <v>0</v>
      </c>
      <c r="AN184" s="51" t="n">
        <f aca="false">IF(AND(OR(CF184="L1",CF184="L23",CF184="LIFT"),AI184&gt;0),SUMIFS($AI$7:$AI$1843,$CF$7:$CF$1843,CF184,$AM$7:$AM$1843,"&gt;"&amp;AM184)+SUMIFS($AI$7:$AI$1843,$CF$7:$CF$1843,CF184,$AM$7:$AM$1843,AM184,$BW$7:$BW$1843,"&lt;="&amp;BW184),"")</f>
        <v>27518.4562121024</v>
      </c>
      <c r="AO184" s="58" t="n">
        <f aca="false">IF(AN184="",0,MAX(0,MIN(1,(IF(CF184="L1",Parameter!$H$5,IF(CF184="L23",Parameter!$H$6+Parameter!$H$7,Parameter!$H$5+Parameter!$H$6+Parameter!$H$7))-(AN184-AI184))/AI184)))</f>
        <v>1</v>
      </c>
      <c r="AP184" s="50" t="n">
        <f aca="false">IF(LEFT(Cockpit!$I$5,1)="A",H184,IF(Parameter!$E$30="MAX-Bestand",IF(CH184=1,CI184,IF(LEFT(Cockpit!$I$5,1)="B",AV184,MAX(AV184,H184))),ROUNDUP(AT184,0)))</f>
        <v>8</v>
      </c>
      <c r="AQ184" s="50" t="n">
        <f aca="false">IF(BZ184=1,0,ROUNDUP(AP184/BY184,0))</f>
        <v>1</v>
      </c>
      <c r="AR184" s="52" t="n">
        <f aca="false">IF(CQ184&gt;0,CQ184*MAX(1,AP184/X184),IF(BZ184=1,IF(AP184&lt;=0,0,CD184*MAX(1,IF(H184&gt;0,AP184/H184,1))),IF(R184&gt;0,AQ184/R184,0))/MAX(0.1,N(Parameter!$M$21)))</f>
        <v>0.0833333333333333</v>
      </c>
      <c r="AS184" s="50" t="n">
        <f aca="false">AR184*CB184</f>
        <v>20.4166666666667</v>
      </c>
      <c r="AT184" s="51" t="n">
        <f aca="false">IF(LEFT(Cockpit!$I$5,1)="A",H184,IF(CH184=1,(CK184+CI184)/2,IF(LEFT(Cockpit!$I$5,1)="B",(CK184+AV184)/2,MAX((CK184+AV184)/2,H184))))</f>
        <v>8</v>
      </c>
      <c r="AU184" s="50" t="n">
        <f aca="false">AT184*G184</f>
        <v>1273.92</v>
      </c>
      <c r="AV184" s="50" t="n">
        <f aca="false">ROUNDUP(CK184+MAX(CL184,2*(J184/IF(CG184&gt;0,CG184,MAX(0.1,N(Cockpit!$I$6)))-CK184)),0)</f>
        <v>1</v>
      </c>
      <c r="AW184" s="51" t="n">
        <f aca="false">IF(AS184&gt;0,J184/AS184,-1)</f>
        <v>0</v>
      </c>
      <c r="AX184" s="51" t="n">
        <f aca="false">IF(AND(OR(CF184="L1",CF184="L23",CF184="LIFT"),AS184&gt;0),SUMIFS($AS$7:$AS$1843,$CF$7:$CF$1843,CF184,$AW$7:$AW$1843,"&gt;"&amp;AW184)+SUMIFS($AS$7:$AS$1843,$CF$7:$CF$1843,CF184,$AW$7:$AW$1843,AW184,$BW$7:$BW$1843,"&lt;="&amp;BW184),"")</f>
        <v>32871.6048534799</v>
      </c>
      <c r="AY184" s="58" t="n">
        <f aca="false">IF(AX184="",0,MAX(0,MIN(1,(IF(CF184="L1",Parameter!$H$5,IF(CF184="L23",Parameter!$H$6+Parameter!$H$7,Parameter!$H$5+Parameter!$H$6+Parameter!$H$7))-(AX184-AS184))/AS184)))</f>
        <v>1</v>
      </c>
      <c r="AZ184" s="50" t="n">
        <f aca="false">IF(LEFT(Cockpit!$O$5,1)="A",H184,IF(Parameter!$E$30="MAX-Bestand",IF(CH184=1,CI184,IF(LEFT(Cockpit!$O$5,1)="B",BF184,MAX(BF184,H184))),ROUNDUP(BD184,0)))</f>
        <v>1</v>
      </c>
      <c r="BA184" s="50" t="n">
        <f aca="false">IF(BZ184=1,0,ROUNDUP(AZ184/BY184,0))</f>
        <v>1</v>
      </c>
      <c r="BB184" s="52" t="n">
        <f aca="false">IF(CQ184&gt;0,CQ184*MAX(1,AZ184/X184),IF(BZ184=1,IF(AZ184&lt;=0,0,CD184*MAX(1,IF(H184&gt;0,AZ184/H184,1))),IF(R184&gt;0,BA184/R184,0))/MAX(0.1,N(Parameter!$M$21)))</f>
        <v>0.0833333333333333</v>
      </c>
      <c r="BC184" s="50" t="n">
        <f aca="false">BB184*CB184</f>
        <v>20.4166666666667</v>
      </c>
      <c r="BD184" s="51" t="n">
        <f aca="false">IF(LEFT(Cockpit!$O$5,1)="A",H184,IF(CH184=1,(CK184+CI184)/2,IF(LEFT(Cockpit!$O$5,1)="B",(CK184+BF184)/2,MAX((CK184+BF184)/2,H184))))</f>
        <v>0.5</v>
      </c>
      <c r="BE184" s="50" t="n">
        <f aca="false">BD184*G184</f>
        <v>79.62</v>
      </c>
      <c r="BF184" s="50" t="n">
        <f aca="false">ROUNDUP(CK184+MAX(CL184,2*(J184/IF(CG184&gt;0,CG184,MAX(0.1,N(Cockpit!$O$6)))-CK184)),0)</f>
        <v>1</v>
      </c>
      <c r="BG184" s="51" t="n">
        <f aca="false">IF(BC184&gt;0,J184/BC184,-1)</f>
        <v>0</v>
      </c>
      <c r="BH184" s="51" t="n">
        <f aca="false">IF(AND(OR(CF184="L1",CF184="L23",CF184="LIFT"),BC184&gt;0),SUMIFS($BC$7:$BC$1843,$CF$7:$CF$1843,CF184,$BG$7:$BG$1843,"&gt;"&amp;BG184)+SUMIFS($BC$7:$BC$1843,$CF$7:$CF$1843,CF184,$BG$7:$BG$1843,BG184,$BW$7:$BW$1843,"&lt;="&amp;BW184),"")</f>
        <v>27035.8469531881</v>
      </c>
      <c r="BI184" s="58" t="n">
        <f aca="false">IF(BH184="",0,MAX(0,MIN(1,(IF(CF184="L1",Parameter!$H$5,IF(CF184="L23",Parameter!$H$6+Parameter!$H$7,Parameter!$H$5+Parameter!$H$6+Parameter!$H$7))-(BH184-BC184))/BC184)))</f>
        <v>1</v>
      </c>
      <c r="BJ184" s="48" t="str">
        <f aca="false">IF(AI184&lt;=0,"",IF(CF184="Aussen","Aussenlager",IF(CF184="-","Nicht im Lift",IF(AO184&gt;=1,"Lift",IF(AO184&lt;=0,"Aussenlager","teilweise")))))</f>
        <v>Lift</v>
      </c>
      <c r="BK184" s="48" t="str">
        <f aca="false">IF(AS184&lt;=0,"",IF(CF184="Aussen","Aussenlager",IF(CF184="-","Nicht im Lift",IF(AY184&gt;=1,"Lift",IF(AY184&lt;=0,"Aussenlager","teilweise")))))</f>
        <v>Lift</v>
      </c>
      <c r="BL184" s="48" t="str">
        <f aca="false">IF(BC184&lt;=0,"",IF(CF184="Aussen","Aussenlager",IF(CF184="-","Nicht im Lift",IF(BI184&gt;=1,"Lift",IF(BI184&lt;=0,"Aussenlager","teilweise")))))</f>
        <v>Lift</v>
      </c>
      <c r="BM184" s="48" t="str">
        <f aca="false">IF(A184="","",IF(BV184=1,"Neu; ","")&amp;IF(AND(BV184=0,BQ184&lt;0),"negativer Bestand (Export "&amp;BQ184&amp;"); ","")&amp;IF(J184&lt;=0,"Kein Verbrauch; ","")&amp;IF(CQ184&gt;0,"Lift "&amp;W184&amp;" lt. Liftbericht (Fach "&amp;X184&amp;" Stk); ",IF(CA184=1,"Gebinde geschätzt ("&amp;T184&amp;"); ",IF(BZ184=1,"Lose – Tablare geschätzt; ","")))&amp;IF(H184&gt;AV184,"Überbestand "&amp;ROUND(H184-AV184,0)&amp;" Stk / CHF "&amp;ROUND((H184-AV184)*G184,0)&amp;"; ","")&amp;IF(AND(CH184=1,CI184&lt;CJ184),"MAX &lt; MB+LG; ","")&amp;IF(AND(CP184&gt;0,CO184*10&gt;CP184),"zu hoch für Tablar; ","")&amp;IF(AND(BV184=0,OR(CH184=1,AA184&lt;&gt;"",U184&lt;&gt;"",V184&lt;&gt;"",AB184&lt;&gt;"")),"manuell übersteuert; ","")&amp;IF(AND(BZ184=0,R184=0),"Gebinde unbekannt / Stellmass fehlt; ","")&amp;IF(AND(BZ184=0,N(V184)&lt;=0,N(Q184)&lt;=0),"Menge pro Gebinde fehlt (Ist = 1 Gebinde); ","")&amp;BU184)</f>
        <v>Kein Verbrauch; Überbestand 7 Stk / CHF 1115; Überbestand</v>
      </c>
      <c r="BN184" s="48"/>
      <c r="BO184" s="48"/>
      <c r="BP184" s="55"/>
      <c r="BQ184" s="50" t="n">
        <v>6</v>
      </c>
      <c r="BR184" s="50" t="n">
        <v>2</v>
      </c>
      <c r="BS184" s="49" t="n">
        <v>964.86</v>
      </c>
      <c r="BT184" s="50" t="n">
        <v>0</v>
      </c>
      <c r="BU184" s="48" t="s">
        <v>401</v>
      </c>
      <c r="BV184" s="53" t="n">
        <v>0</v>
      </c>
      <c r="BW184" s="53" t="n">
        <v>184</v>
      </c>
      <c r="BX184" s="48" t="str">
        <f aca="false">IF(U184&lt;&gt;"",UPPER(TRIM(U184)),IF(CA184=1,UPPER(VLOOKUP(T184,Parameter!$I$27:$K$29,2,0)),IF(P184="","LOSE",P184)))</f>
        <v>S62</v>
      </c>
      <c r="BY184" s="50" t="n">
        <f aca="false">IF(BX184="LOSE",1,IF(N(V184)&gt;0,V184,IF(CA184=1,MAX(1,N(VLOOKUP(T184,Parameter!$I$27:$K$29,3,0)),H184,N(N184)),IF(N(Q184)&gt;0,Q184,MAX(1,H184)))))</f>
        <v>12</v>
      </c>
      <c r="BZ184" s="53" t="n">
        <f aca="false">IF(BX184="LOSE",1,0)</f>
        <v>0</v>
      </c>
      <c r="CA184" s="53" t="n">
        <f aca="false">IF(AND(U184="",OR(P184="",P184="LOSE"),T184&lt;&gt;"",N(S184)&lt;=0,ISNUMBER(MATCH(T184,Parameter!$I$27:$I$29,0))),1,0)</f>
        <v>0</v>
      </c>
      <c r="CB184" s="53" t="n">
        <f aca="false">IF(CQ184&gt;0,INDEX(Parameter!$H$5:$H$7,W184)/INDEX(Parameter!$E$5:$E$7,W184),IF(AND(BZ184=0,N(IFERROR(VLOOKUP(BX184,'Gebinde-Kategorie'!$A$5:$N$45,14,0),0))&gt;0),VLOOKUP(BX184,'Gebinde-Kategorie'!$A$5:$N$45,14,0)*10+Parameter!$M$23,Parameter!$M$24))</f>
        <v>245</v>
      </c>
      <c r="CC184" s="48" t="str">
        <f aca="false">IF(AND(Parameter!$B$19="Ja",E184&lt;&gt;"",ISNUMBER(MATCH(E184,Parameter!$I$35:$I$52,0))),VLOOKUP(E184,Parameter!$I$35:$J$52,2,0),IFERROR(VLOOKUP(D184,Parameter!$A$35:$C$64,2,0),"Nein"))</f>
        <v>2+3</v>
      </c>
      <c r="CD184" s="52" t="n">
        <f aca="false">IF(BZ184=0,0,IF(N(S184)&gt;0,S184,IFERROR(VLOOKUP(D184,Parameter!$A$35:$C$64,3,0)+0,0)))</f>
        <v>0</v>
      </c>
      <c r="CE184" s="48" t="n">
        <f aca="false">IF(AA184&lt;&gt;"",AA184,Z184)</f>
        <v>2</v>
      </c>
      <c r="CF184" s="48" t="str">
        <f aca="false">IF(OR(CE184=1,CE184=2,CE184=3),IF(Parameter!$E$27="Ja","LIFT",IF(CE184=1,"L1","L23")),IF(CE184="Aussen","Aussen","-"))</f>
        <v>LIFT</v>
      </c>
      <c r="CG184" s="59" t="n">
        <f aca="false">IF(N(AB184)&gt;0,AB184,0)</f>
        <v>0</v>
      </c>
      <c r="CH184" s="53" t="n">
        <f aca="false">IF(ISNUMBER(AE184),1,0)</f>
        <v>0</v>
      </c>
      <c r="CI184" s="50" t="n">
        <f aca="false">N(AE184)</f>
        <v>0</v>
      </c>
      <c r="CJ184" s="50" t="n">
        <f aca="false">N(M184)+N(N184)</f>
        <v>1</v>
      </c>
      <c r="CK184" s="50" t="n">
        <f aca="false">N(M184)</f>
        <v>0</v>
      </c>
      <c r="CL184" s="50" t="n">
        <f aca="false">N(N184)</f>
        <v>1</v>
      </c>
      <c r="CM184" s="50" t="n">
        <f aca="false">ROUNDUP(H184/BY184,0)</f>
        <v>1</v>
      </c>
      <c r="CN184" s="50" t="n">
        <f aca="false">ROUNDUP(CI184/BY184,0)</f>
        <v>0</v>
      </c>
      <c r="CO184" s="53" t="n">
        <f aca="false">IF(BZ184=1,0,IFERROR(VLOOKUP(BX184,'Gebinde-Kategorie'!$A$5:$N$45,5,0)+0,0))</f>
        <v>21</v>
      </c>
      <c r="CP184" s="53" t="n">
        <f aca="false">IFERROR(IF(OR(CE184=1,CE184=2,CE184=3),N(INDEX(Parameter!$I$5:$I$7,CE184)),0),0)</f>
        <v>0</v>
      </c>
      <c r="CQ184" s="52" t="n">
        <f aca="false">IF(AND(Parameter!$B$21="Ja",ISNUMBER(W184),N(X184)&gt;0),IFERROR(N(INDEX(Parameter!$L$5:$L$7,W184))*INDEX(Parameter!$E$5:$E$7,W184)*X184/SUMIFS($X$7:$X$1843,$W$7:$W$1843,W184),0),0)</f>
        <v>0</v>
      </c>
    </row>
    <row r="185" customFormat="false" ht="15" hidden="false" customHeight="false" outlineLevel="0" collapsed="false">
      <c r="A185" s="48" t="s">
        <v>583</v>
      </c>
      <c r="B185" s="48" t="s">
        <v>348</v>
      </c>
      <c r="C185" s="48" t="s">
        <v>173</v>
      </c>
      <c r="D185" s="48" t="s">
        <v>182</v>
      </c>
      <c r="E185" s="48"/>
      <c r="F185" s="48" t="s">
        <v>227</v>
      </c>
      <c r="G185" s="49" t="n">
        <v>388.14</v>
      </c>
      <c r="H185" s="50" t="n">
        <f aca="false">MAX(0,IF(AND(Parameter!$B$21="Ja",ISNUMBER(Y185)),Y185,IF(Parameter!$B$20="Jahresanfang 2025 + Export",BR185+BQ185,BQ185)))</f>
        <v>5</v>
      </c>
      <c r="I185" s="50" t="n">
        <f aca="false">H185*G185</f>
        <v>1940.7</v>
      </c>
      <c r="J185" s="50" t="n">
        <f aca="false">BT185*Parameter!$B$18</f>
        <v>2</v>
      </c>
      <c r="K185" s="51" t="n">
        <v>3.5</v>
      </c>
      <c r="L185" s="52" t="n">
        <v>0.571428571428571</v>
      </c>
      <c r="M185" s="50" t="n">
        <v>0</v>
      </c>
      <c r="N185" s="50" t="n">
        <v>1</v>
      </c>
      <c r="O185" s="53" t="n">
        <v>28</v>
      </c>
      <c r="P185" s="48" t="s">
        <v>183</v>
      </c>
      <c r="Q185" s="50" t="n">
        <v>5</v>
      </c>
      <c r="R185" s="53" t="n">
        <f aca="false">IF(BZ185=1,0,IFERROR(VLOOKUP(BX185,'Gebinde-Kategorie'!$A$5:$N$45,13,0)+0,0))</f>
        <v>6</v>
      </c>
      <c r="S185" s="54"/>
      <c r="T185" s="55"/>
      <c r="U185" s="55"/>
      <c r="V185" s="55"/>
      <c r="W185" s="48"/>
      <c r="X185" s="50"/>
      <c r="Y185" s="50"/>
      <c r="Z185" s="48" t="n">
        <f aca="false">IF(A185="","",IF(AND(Parameter!$B$21="Ja",ISNUMBER(W185)),W185,IF(CC185="2+3",IF(ISNUMBER(SEARCH("grosser Artikel",BU185)),2,IFERROR(VLOOKUP(BX185,Parameter!$F$35:$G$64,2,0),2)),IF(OR(CC185="Nein",CC185=""),"-",CC185))))</f>
        <v>2</v>
      </c>
      <c r="AA185" s="55"/>
      <c r="AB185" s="56"/>
      <c r="AC185" s="50" t="n">
        <f aca="false">AV185</f>
        <v>2</v>
      </c>
      <c r="AD185" s="50" t="n">
        <f aca="false">MAX(AV185,H185)</f>
        <v>5</v>
      </c>
      <c r="AE185" s="57"/>
      <c r="AF185" s="50" t="n">
        <f aca="false">IF(LEFT(Cockpit!$C$5,1)="A",H185,IF(Parameter!$E$30="MAX-Bestand",IF(CH185=1,CI185,IF(LEFT(Cockpit!$C$5,1)="B",AL185,MAX(AL185,H185))),ROUNDUP(AJ185,0)))</f>
        <v>5</v>
      </c>
      <c r="AG185" s="50" t="n">
        <f aca="false">IF(BZ185=1,0,ROUNDUP(AF185/BY185,0))</f>
        <v>1</v>
      </c>
      <c r="AH185" s="52" t="n">
        <f aca="false">IF(CQ185&gt;0,CQ185*MAX(1,AF185/X185),IF(BZ185=1,IF(AF185&lt;=0,0,CD185*MAX(1,IF(H185&gt;0,AF185/H185,1))),IF(R185&gt;0,AG185/R185,0))/MAX(0.1,N(Parameter!$M$21)))</f>
        <v>0.166666666666667</v>
      </c>
      <c r="AI185" s="50" t="n">
        <f aca="false">AH185*CB185</f>
        <v>39.1666666666667</v>
      </c>
      <c r="AJ185" s="51" t="n">
        <f aca="false">IF(LEFT(Cockpit!$C$5,1)="A",H185,IF(CH185=1,(CK185+CI185)/2,IF(LEFT(Cockpit!$C$5,1)="B",(CK185+AL185)/2,MAX((CK185+AL185)/2,H185))))</f>
        <v>5</v>
      </c>
      <c r="AK185" s="50" t="n">
        <f aca="false">AJ185*G185</f>
        <v>1940.7</v>
      </c>
      <c r="AL185" s="50" t="n">
        <f aca="false">ROUNDUP(CK185+MAX(CL185,2*(J185/IF(CG185&gt;0,CG185,MAX(0.1,N(Cockpit!$C$6)))-CK185)),0)</f>
        <v>2</v>
      </c>
      <c r="AM185" s="51" t="n">
        <f aca="false">IF(AI185&gt;0,J185/AI185,-1)</f>
        <v>0.0510638297872341</v>
      </c>
      <c r="AN185" s="51" t="n">
        <f aca="false">IF(AND(OR(CF185="L1",CF185="L23",CF185="LIFT"),AI185&gt;0),SUMIFS($AI$7:$AI$1843,$CF$7:$CF$1843,CF185,$AM$7:$AM$1843,"&gt;"&amp;AM185)+SUMIFS($AI$7:$AI$1843,$CF$7:$CF$1843,CF185,$AM$7:$AM$1843,AM185,$BW$7:$BW$1843,"&lt;="&amp;BW185),"")</f>
        <v>19180.7291213965</v>
      </c>
      <c r="AO185" s="58" t="n">
        <f aca="false">IF(AN185="",0,MAX(0,MIN(1,(IF(CF185="L1",Parameter!$H$5,IF(CF185="L23",Parameter!$H$6+Parameter!$H$7,Parameter!$H$5+Parameter!$H$6+Parameter!$H$7))-(AN185-AI185))/AI185)))</f>
        <v>1</v>
      </c>
      <c r="AP185" s="50" t="n">
        <f aca="false">IF(LEFT(Cockpit!$I$5,1)="A",H185,IF(Parameter!$E$30="MAX-Bestand",IF(CH185=1,CI185,IF(LEFT(Cockpit!$I$5,1)="B",AV185,MAX(AV185,H185))),ROUNDUP(AT185,0)))</f>
        <v>5</v>
      </c>
      <c r="AQ185" s="50" t="n">
        <f aca="false">IF(BZ185=1,0,ROUNDUP(AP185/BY185,0))</f>
        <v>1</v>
      </c>
      <c r="AR185" s="52" t="n">
        <f aca="false">IF(CQ185&gt;0,CQ185*MAX(1,AP185/X185),IF(BZ185=1,IF(AP185&lt;=0,0,CD185*MAX(1,IF(H185&gt;0,AP185/H185,1))),IF(R185&gt;0,AQ185/R185,0))/MAX(0.1,N(Parameter!$M$21)))</f>
        <v>0.166666666666667</v>
      </c>
      <c r="AS185" s="50" t="n">
        <f aca="false">AR185*CB185</f>
        <v>39.1666666666667</v>
      </c>
      <c r="AT185" s="51" t="n">
        <f aca="false">IF(LEFT(Cockpit!$I$5,1)="A",H185,IF(CH185=1,(CK185+CI185)/2,IF(LEFT(Cockpit!$I$5,1)="B",(CK185+AV185)/2,MAX((CK185+AV185)/2,H185))))</f>
        <v>5</v>
      </c>
      <c r="AU185" s="50" t="n">
        <f aca="false">AT185*G185</f>
        <v>1940.7</v>
      </c>
      <c r="AV185" s="50" t="n">
        <f aca="false">ROUNDUP(CK185+MAX(CL185,2*(J185/IF(CG185&gt;0,CG185,MAX(0.1,N(Cockpit!$I$6)))-CK185)),0)</f>
        <v>2</v>
      </c>
      <c r="AW185" s="51" t="n">
        <f aca="false">IF(AS185&gt;0,J185/AS185,-1)</f>
        <v>0.0510638297872341</v>
      </c>
      <c r="AX185" s="51" t="n">
        <f aca="false">IF(AND(OR(CF185="L1",CF185="L23",CF185="LIFT"),AS185&gt;0),SUMIFS($AS$7:$AS$1843,$CF$7:$CF$1843,CF185,$AW$7:$AW$1843,"&gt;"&amp;AW185)+SUMIFS($AS$7:$AS$1843,$CF$7:$CF$1843,CF185,$AW$7:$AW$1843,AW185,$BW$7:$BW$1843,"&lt;="&amp;BW185),"")</f>
        <v>24298.877762774</v>
      </c>
      <c r="AY185" s="58" t="n">
        <f aca="false">IF(AX185="",0,MAX(0,MIN(1,(IF(CF185="L1",Parameter!$H$5,IF(CF185="L23",Parameter!$H$6+Parameter!$H$7,Parameter!$H$5+Parameter!$H$6+Parameter!$H$7))-(AX185-AS185))/AS185)))</f>
        <v>1</v>
      </c>
      <c r="AZ185" s="50" t="n">
        <f aca="false">IF(LEFT(Cockpit!$O$5,1)="A",H185,IF(Parameter!$E$30="MAX-Bestand",IF(CH185=1,CI185,IF(LEFT(Cockpit!$O$5,1)="B",BF185,MAX(BF185,H185))),ROUNDUP(BD185,0)))</f>
        <v>1</v>
      </c>
      <c r="BA185" s="50" t="n">
        <f aca="false">IF(BZ185=1,0,ROUNDUP(AZ185/BY185,0))</f>
        <v>1</v>
      </c>
      <c r="BB185" s="52" t="n">
        <f aca="false">IF(CQ185&gt;0,CQ185*MAX(1,AZ185/X185),IF(BZ185=1,IF(AZ185&lt;=0,0,CD185*MAX(1,IF(H185&gt;0,AZ185/H185,1))),IF(R185&gt;0,BA185/R185,0))/MAX(0.1,N(Parameter!$M$21)))</f>
        <v>0.166666666666667</v>
      </c>
      <c r="BC185" s="50" t="n">
        <f aca="false">BB185*CB185</f>
        <v>39.1666666666667</v>
      </c>
      <c r="BD185" s="51" t="n">
        <f aca="false">IF(LEFT(Cockpit!$O$5,1)="A",H185,IF(CH185=1,(CK185+CI185)/2,IF(LEFT(Cockpit!$O$5,1)="B",(CK185+BF185)/2,MAX((CK185+BF185)/2,H185))))</f>
        <v>0.5</v>
      </c>
      <c r="BE185" s="50" t="n">
        <f aca="false">BD185*G185</f>
        <v>194.07</v>
      </c>
      <c r="BF185" s="50" t="n">
        <f aca="false">ROUNDUP(CK185+MAX(CL185,2*(J185/IF(CG185&gt;0,CG185,MAX(0.1,N(Cockpit!$O$6)))-CK185)),0)</f>
        <v>1</v>
      </c>
      <c r="BG185" s="51" t="n">
        <f aca="false">IF(BC185&gt;0,J185/BC185,-1)</f>
        <v>0.0510638297872341</v>
      </c>
      <c r="BH185" s="51" t="n">
        <f aca="false">IF(AND(OR(CF185="L1",CF185="L23",CF185="LIFT"),BC185&gt;0),SUMIFS($BC$7:$BC$1843,$CF$7:$CF$1843,CF185,$BG$7:$BG$1843,"&gt;"&amp;BG185)+SUMIFS($BC$7:$BC$1843,$CF$7:$CF$1843,CF185,$BG$7:$BG$1843,BG185,$BW$7:$BW$1843,"&lt;="&amp;BW185),"")</f>
        <v>20189.2096060719</v>
      </c>
      <c r="BI185" s="58" t="n">
        <f aca="false">IF(BH185="",0,MAX(0,MIN(1,(IF(CF185="L1",Parameter!$H$5,IF(CF185="L23",Parameter!$H$6+Parameter!$H$7,Parameter!$H$5+Parameter!$H$6+Parameter!$H$7))-(BH185-BC185))/BC185)))</f>
        <v>1</v>
      </c>
      <c r="BJ185" s="48" t="str">
        <f aca="false">IF(AI185&lt;=0,"",IF(CF185="Aussen","Aussenlager",IF(CF185="-","Nicht im Lift",IF(AO185&gt;=1,"Lift",IF(AO185&lt;=0,"Aussenlager","teilweise")))))</f>
        <v>Lift</v>
      </c>
      <c r="BK185" s="48" t="str">
        <f aca="false">IF(AS185&lt;=0,"",IF(CF185="Aussen","Aussenlager",IF(CF185="-","Nicht im Lift",IF(AY185&gt;=1,"Lift",IF(AY185&lt;=0,"Aussenlager","teilweise")))))</f>
        <v>Lift</v>
      </c>
      <c r="BL185" s="48" t="str">
        <f aca="false">IF(BC185&lt;=0,"",IF(CF185="Aussen","Aussenlager",IF(CF185="-","Nicht im Lift",IF(BI185&gt;=1,"Lift",IF(BI185&lt;=0,"Aussenlager","teilweise")))))</f>
        <v>Lift</v>
      </c>
      <c r="BM185" s="48" t="str">
        <f aca="false">IF(A185="","",IF(BV185=1,"Neu; ","")&amp;IF(AND(BV185=0,BQ185&lt;0),"negativer Bestand (Export "&amp;BQ185&amp;"); ","")&amp;IF(J185&lt;=0,"Kein Verbrauch; ","")&amp;IF(CQ185&gt;0,"Lift "&amp;W185&amp;" lt. Liftbericht (Fach "&amp;X185&amp;" Stk); ",IF(CA185=1,"Gebinde geschätzt ("&amp;T185&amp;"); ",IF(BZ185=1,"Lose – Tablare geschätzt; ","")))&amp;IF(H185&gt;AV185,"Überbestand "&amp;ROUND(H185-AV185,0)&amp;" Stk / CHF "&amp;ROUND((H185-AV185)*G185,0)&amp;"; ","")&amp;IF(AND(CH185=1,CI185&lt;CJ185),"MAX &lt; MB+LG; ","")&amp;IF(AND(CP185&gt;0,CO185*10&gt;CP185),"zu hoch für Tablar; ","")&amp;IF(AND(BV185=0,OR(CH185=1,AA185&lt;&gt;"",U185&lt;&gt;"",V185&lt;&gt;"",AB185&lt;&gt;"")),"manuell übersteuert; ","")&amp;IF(AND(BZ185=0,R185=0),"Gebinde unbekannt / Stellmass fehlt; ","")&amp;IF(AND(BZ185=0,N(V185)&lt;=0,N(Q185)&lt;=0),"Menge pro Gebinde fehlt (Ist = 1 Gebinde); ","")&amp;BU185)</f>
        <v>Überbestand 3 Stk / CHF 1164; </v>
      </c>
      <c r="BN185" s="48"/>
      <c r="BO185" s="48"/>
      <c r="BP185" s="55"/>
      <c r="BQ185" s="50" t="n">
        <v>3</v>
      </c>
      <c r="BR185" s="50" t="n">
        <v>2</v>
      </c>
      <c r="BS185" s="49" t="n">
        <v>958.700000000001</v>
      </c>
      <c r="BT185" s="50" t="n">
        <v>2</v>
      </c>
      <c r="BU185" s="48"/>
      <c r="BV185" s="53" t="n">
        <v>0</v>
      </c>
      <c r="BW185" s="53" t="n">
        <v>185</v>
      </c>
      <c r="BX185" s="48" t="str">
        <f aca="false">IF(U185&lt;&gt;"",UPPER(TRIM(U185)),IF(CA185=1,UPPER(VLOOKUP(T185,Parameter!$I$27:$K$29,2,0)),IF(P185="","LOSE",P185)))</f>
        <v>S71</v>
      </c>
      <c r="BY185" s="50" t="n">
        <f aca="false">IF(BX185="LOSE",1,IF(N(V185)&gt;0,V185,IF(CA185=1,MAX(1,N(VLOOKUP(T185,Parameter!$I$27:$K$29,3,0)),H185,N(N185)),IF(N(Q185)&gt;0,Q185,MAX(1,H185)))))</f>
        <v>5</v>
      </c>
      <c r="BZ185" s="53" t="n">
        <f aca="false">IF(BX185="LOSE",1,0)</f>
        <v>0</v>
      </c>
      <c r="CA185" s="53" t="n">
        <f aca="false">IF(AND(U185="",OR(P185="",P185="LOSE"),T185&lt;&gt;"",N(S185)&lt;=0,ISNUMBER(MATCH(T185,Parameter!$I$27:$I$29,0))),1,0)</f>
        <v>0</v>
      </c>
      <c r="CB185" s="53" t="n">
        <f aca="false">IF(CQ185&gt;0,INDEX(Parameter!$H$5:$H$7,W185)/INDEX(Parameter!$E$5:$E$7,W185),IF(AND(BZ185=0,N(IFERROR(VLOOKUP(BX185,'Gebinde-Kategorie'!$A$5:$N$45,14,0),0))&gt;0),VLOOKUP(BX185,'Gebinde-Kategorie'!$A$5:$N$45,14,0)*10+Parameter!$M$23,Parameter!$M$24))</f>
        <v>235</v>
      </c>
      <c r="CC185" s="48" t="str">
        <f aca="false">IF(AND(Parameter!$B$19="Ja",E185&lt;&gt;"",ISNUMBER(MATCH(E185,Parameter!$I$35:$I$52,0))),VLOOKUP(E185,Parameter!$I$35:$J$52,2,0),IFERROR(VLOOKUP(D185,Parameter!$A$35:$C$64,2,0),"Nein"))</f>
        <v>2+3</v>
      </c>
      <c r="CD185" s="52" t="n">
        <f aca="false">IF(BZ185=0,0,IF(N(S185)&gt;0,S185,IFERROR(VLOOKUP(D185,Parameter!$A$35:$C$64,3,0)+0,0)))</f>
        <v>0</v>
      </c>
      <c r="CE185" s="48" t="n">
        <f aca="false">IF(AA185&lt;&gt;"",AA185,Z185)</f>
        <v>2</v>
      </c>
      <c r="CF185" s="48" t="str">
        <f aca="false">IF(OR(CE185=1,CE185=2,CE185=3),IF(Parameter!$E$27="Ja","LIFT",IF(CE185=1,"L1","L23")),IF(CE185="Aussen","Aussen","-"))</f>
        <v>LIFT</v>
      </c>
      <c r="CG185" s="59" t="n">
        <f aca="false">IF(N(AB185)&gt;0,AB185,0)</f>
        <v>0</v>
      </c>
      <c r="CH185" s="53" t="n">
        <f aca="false">IF(ISNUMBER(AE185),1,0)</f>
        <v>0</v>
      </c>
      <c r="CI185" s="50" t="n">
        <f aca="false">N(AE185)</f>
        <v>0</v>
      </c>
      <c r="CJ185" s="50" t="n">
        <f aca="false">N(M185)+N(N185)</f>
        <v>1</v>
      </c>
      <c r="CK185" s="50" t="n">
        <f aca="false">N(M185)</f>
        <v>0</v>
      </c>
      <c r="CL185" s="50" t="n">
        <f aca="false">N(N185)</f>
        <v>1</v>
      </c>
      <c r="CM185" s="50" t="n">
        <f aca="false">ROUNDUP(H185/BY185,0)</f>
        <v>1</v>
      </c>
      <c r="CN185" s="50" t="n">
        <f aca="false">ROUNDUP(CI185/BY185,0)</f>
        <v>0</v>
      </c>
      <c r="CO185" s="53" t="n">
        <f aca="false">IF(BZ185=1,0,IFERROR(VLOOKUP(BX185,'Gebinde-Kategorie'!$A$5:$N$45,5,0)+0,0))</f>
        <v>20</v>
      </c>
      <c r="CP185" s="53" t="n">
        <f aca="false">IFERROR(IF(OR(CE185=1,CE185=2,CE185=3),N(INDEX(Parameter!$I$5:$I$7,CE185)),0),0)</f>
        <v>0</v>
      </c>
      <c r="CQ185" s="52" t="n">
        <f aca="false">IF(AND(Parameter!$B$21="Ja",ISNUMBER(W185),N(X185)&gt;0),IFERROR(N(INDEX(Parameter!$L$5:$L$7,W185))*INDEX(Parameter!$E$5:$E$7,W185)*X185/SUMIFS($X$7:$X$1843,$W$7:$W$1843,W185),0),0)</f>
        <v>0</v>
      </c>
    </row>
    <row r="186" customFormat="false" ht="15" hidden="false" customHeight="false" outlineLevel="0" collapsed="false">
      <c r="A186" s="48" t="s">
        <v>584</v>
      </c>
      <c r="B186" s="48" t="s">
        <v>585</v>
      </c>
      <c r="C186" s="48" t="s">
        <v>173</v>
      </c>
      <c r="D186" s="48" t="s">
        <v>193</v>
      </c>
      <c r="E186" s="48"/>
      <c r="F186" s="48" t="s">
        <v>227</v>
      </c>
      <c r="G186" s="49" t="n">
        <v>428.28</v>
      </c>
      <c r="H186" s="50" t="n">
        <f aca="false">MAX(0,IF(AND(Parameter!$B$21="Ja",ISNUMBER(Y186)),Y186,IF(Parameter!$B$20="Jahresanfang 2025 + Export",BR186+BQ186,BQ186)))</f>
        <v>9</v>
      </c>
      <c r="I186" s="50" t="n">
        <f aca="false">H186*G186</f>
        <v>3854.52</v>
      </c>
      <c r="J186" s="50" t="n">
        <f aca="false">BT186*Parameter!$B$18</f>
        <v>8</v>
      </c>
      <c r="K186" s="51" t="n">
        <v>5</v>
      </c>
      <c r="L186" s="52" t="n">
        <v>1.6</v>
      </c>
      <c r="M186" s="50" t="n">
        <v>10</v>
      </c>
      <c r="N186" s="50" t="n">
        <v>5</v>
      </c>
      <c r="O186" s="53" t="n">
        <v>35</v>
      </c>
      <c r="P186" s="48" t="s">
        <v>177</v>
      </c>
      <c r="Q186" s="50"/>
      <c r="R186" s="53" t="n">
        <f aca="false">IF(BZ186=1,0,IFERROR(VLOOKUP(BX186,'Gebinde-Kategorie'!$A$5:$N$45,13,0)+0,0))</f>
        <v>26</v>
      </c>
      <c r="S186" s="54"/>
      <c r="T186" s="55" t="s">
        <v>284</v>
      </c>
      <c r="U186" s="55"/>
      <c r="V186" s="55"/>
      <c r="W186" s="48"/>
      <c r="X186" s="50"/>
      <c r="Y186" s="50"/>
      <c r="Z186" s="48" t="n">
        <f aca="false">IF(A186="","",IF(AND(Parameter!$B$21="Ja",ISNUMBER(W186)),W186,IF(CC186="2+3",IF(ISNUMBER(SEARCH("grosser Artikel",BU186)),2,IFERROR(VLOOKUP(BX186,Parameter!$F$35:$G$64,2,0),2)),IF(OR(CC186="Nein",CC186=""),"-",CC186))))</f>
        <v>3</v>
      </c>
      <c r="AA186" s="55"/>
      <c r="AB186" s="56"/>
      <c r="AC186" s="50" t="n">
        <f aca="false">AV186</f>
        <v>15</v>
      </c>
      <c r="AD186" s="50" t="n">
        <f aca="false">MAX(AV186,H186)</f>
        <v>15</v>
      </c>
      <c r="AE186" s="57"/>
      <c r="AF186" s="50" t="n">
        <f aca="false">IF(LEFT(Cockpit!$C$5,1)="A",H186,IF(Parameter!$E$30="MAX-Bestand",IF(CH186=1,CI186,IF(LEFT(Cockpit!$C$5,1)="B",AL186,MAX(AL186,H186))),ROUNDUP(AJ186,0)))</f>
        <v>9</v>
      </c>
      <c r="AG186" s="50" t="n">
        <f aca="false">IF(BZ186=1,0,ROUNDUP(AF186/BY186,0))</f>
        <v>1</v>
      </c>
      <c r="AH186" s="52" t="n">
        <f aca="false">IF(CQ186&gt;0,CQ186*MAX(1,AF186/X186),IF(BZ186=1,IF(AF186&lt;=0,0,CD186*MAX(1,IF(H186&gt;0,AF186/H186,1))),IF(R186&gt;0,AG186/R186,0))/MAX(0.1,N(Parameter!$M$21)))</f>
        <v>0.0384615384615385</v>
      </c>
      <c r="AI186" s="50" t="n">
        <f aca="false">AH186*CB186</f>
        <v>5.96153846153846</v>
      </c>
      <c r="AJ186" s="51" t="n">
        <f aca="false">IF(LEFT(Cockpit!$C$5,1)="A",H186,IF(CH186=1,(CK186+CI186)/2,IF(LEFT(Cockpit!$C$5,1)="B",(CK186+AL186)/2,MAX((CK186+AL186)/2,H186))))</f>
        <v>9</v>
      </c>
      <c r="AK186" s="50" t="n">
        <f aca="false">AJ186*G186</f>
        <v>3854.52</v>
      </c>
      <c r="AL186" s="50" t="n">
        <f aca="false">ROUNDUP(CK186+MAX(CL186,2*(J186/IF(CG186&gt;0,CG186,MAX(0.1,N(Cockpit!$C$6)))-CK186)),0)</f>
        <v>15</v>
      </c>
      <c r="AM186" s="51" t="n">
        <f aca="false">IF(AI186&gt;0,J186/AI186,-1)</f>
        <v>1.34193548387097</v>
      </c>
      <c r="AN186" s="51" t="n">
        <f aca="false">IF(AND(OR(CF186="L1",CF186="L23",CF186="LIFT"),AI186&gt;0),SUMIFS($AI$7:$AI$1843,$CF$7:$CF$1843,CF186,$AM$7:$AM$1843,"&gt;"&amp;AM186)+SUMIFS($AI$7:$AI$1843,$CF$7:$CF$1843,CF186,$AM$7:$AM$1843,AM186,$BW$7:$BW$1843,"&lt;="&amp;BW186),"")</f>
        <v>6325.18635531136</v>
      </c>
      <c r="AO186" s="58" t="n">
        <f aca="false">IF(AN186="",0,MAX(0,MIN(1,(IF(CF186="L1",Parameter!$H$5,IF(CF186="L23",Parameter!$H$6+Parameter!$H$7,Parameter!$H$5+Parameter!$H$6+Parameter!$H$7))-(AN186-AI186))/AI186)))</f>
        <v>1</v>
      </c>
      <c r="AP186" s="50" t="n">
        <f aca="false">IF(LEFT(Cockpit!$I$5,1)="A",H186,IF(Parameter!$E$30="MAX-Bestand",IF(CH186=1,CI186,IF(LEFT(Cockpit!$I$5,1)="B",AV186,MAX(AV186,H186))),ROUNDUP(AT186,0)))</f>
        <v>13</v>
      </c>
      <c r="AQ186" s="50" t="n">
        <f aca="false">IF(BZ186=1,0,ROUNDUP(AP186/BY186,0))</f>
        <v>1</v>
      </c>
      <c r="AR186" s="52" t="n">
        <f aca="false">IF(CQ186&gt;0,CQ186*MAX(1,AP186/X186),IF(BZ186=1,IF(AP186&lt;=0,0,CD186*MAX(1,IF(H186&gt;0,AP186/H186,1))),IF(R186&gt;0,AQ186/R186,0))/MAX(0.1,N(Parameter!$M$21)))</f>
        <v>0.0384615384615385</v>
      </c>
      <c r="AS186" s="50" t="n">
        <f aca="false">AR186*CB186</f>
        <v>5.96153846153846</v>
      </c>
      <c r="AT186" s="51" t="n">
        <f aca="false">IF(LEFT(Cockpit!$I$5,1)="A",H186,IF(CH186=1,(CK186+CI186)/2,IF(LEFT(Cockpit!$I$5,1)="B",(CK186+AV186)/2,MAX((CK186+AV186)/2,H186))))</f>
        <v>12.5</v>
      </c>
      <c r="AU186" s="50" t="n">
        <f aca="false">AT186*G186</f>
        <v>5353.5</v>
      </c>
      <c r="AV186" s="50" t="n">
        <f aca="false">ROUNDUP(CK186+MAX(CL186,2*(J186/IF(CG186&gt;0,CG186,MAX(0.1,N(Cockpit!$I$6)))-CK186)),0)</f>
        <v>15</v>
      </c>
      <c r="AW186" s="51" t="n">
        <f aca="false">IF(AS186&gt;0,J186/AS186,-1)</f>
        <v>1.34193548387097</v>
      </c>
      <c r="AX186" s="51" t="n">
        <f aca="false">IF(AND(OR(CF186="L1",CF186="L23",CF186="LIFT"),AS186&gt;0),SUMIFS($AS$7:$AS$1843,$CF$7:$CF$1843,CF186,$AW$7:$AW$1843,"&gt;"&amp;AW186)+SUMIFS($AS$7:$AS$1843,$CF$7:$CF$1843,CF186,$AW$7:$AW$1843,AW186,$BW$7:$BW$1843,"&lt;="&amp;BW186),"")</f>
        <v>7843.40842490842</v>
      </c>
      <c r="AY186" s="58" t="n">
        <f aca="false">IF(AX186="",0,MAX(0,MIN(1,(IF(CF186="L1",Parameter!$H$5,IF(CF186="L23",Parameter!$H$6+Parameter!$H$7,Parameter!$H$5+Parameter!$H$6+Parameter!$H$7))-(AX186-AS186))/AS186)))</f>
        <v>1</v>
      </c>
      <c r="AZ186" s="50" t="n">
        <f aca="false">IF(LEFT(Cockpit!$O$5,1)="A",H186,IF(Parameter!$E$30="MAX-Bestand",IF(CH186=1,CI186,IF(LEFT(Cockpit!$O$5,1)="B",BF186,MAX(BF186,H186))),ROUNDUP(BD186,0)))</f>
        <v>13</v>
      </c>
      <c r="BA186" s="50" t="n">
        <f aca="false">IF(BZ186=1,0,ROUNDUP(AZ186/BY186,0))</f>
        <v>1</v>
      </c>
      <c r="BB186" s="52" t="n">
        <f aca="false">IF(CQ186&gt;0,CQ186*MAX(1,AZ186/X186),IF(BZ186=1,IF(AZ186&lt;=0,0,CD186*MAX(1,IF(H186&gt;0,AZ186/H186,1))),IF(R186&gt;0,BA186/R186,0))/MAX(0.1,N(Parameter!$M$21)))</f>
        <v>0.0384615384615385</v>
      </c>
      <c r="BC186" s="50" t="n">
        <f aca="false">BB186*CB186</f>
        <v>5.96153846153846</v>
      </c>
      <c r="BD186" s="51" t="n">
        <f aca="false">IF(LEFT(Cockpit!$O$5,1)="A",H186,IF(CH186=1,(CK186+CI186)/2,IF(LEFT(Cockpit!$O$5,1)="B",(CK186+BF186)/2,MAX((CK186+BF186)/2,H186))))</f>
        <v>12.5</v>
      </c>
      <c r="BE186" s="50" t="n">
        <f aca="false">BD186*G186</f>
        <v>5353.5</v>
      </c>
      <c r="BF186" s="50" t="n">
        <f aca="false">ROUNDUP(CK186+MAX(CL186,2*(J186/IF(CG186&gt;0,CG186,MAX(0.1,N(Cockpit!$O$6)))-CK186)),0)</f>
        <v>15</v>
      </c>
      <c r="BG186" s="51" t="n">
        <f aca="false">IF(BC186&gt;0,J186/BC186,-1)</f>
        <v>1.34193548387097</v>
      </c>
      <c r="BH186" s="51" t="n">
        <f aca="false">IF(AND(OR(CF186="L1",CF186="L23",CF186="LIFT"),BC186&gt;0),SUMIFS($BC$7:$BC$1843,$CF$7:$CF$1843,CF186,$BG$7:$BG$1843,"&gt;"&amp;BG186)+SUMIFS($BC$7:$BC$1843,$CF$7:$CF$1843,CF186,$BG$7:$BG$1843,BG186,$BW$7:$BW$1843,"&lt;="&amp;BW186),"")</f>
        <v>6777.64331501832</v>
      </c>
      <c r="BI186" s="58" t="n">
        <f aca="false">IF(BH186="",0,MAX(0,MIN(1,(IF(CF186="L1",Parameter!$H$5,IF(CF186="L23",Parameter!$H$6+Parameter!$H$7,Parameter!$H$5+Parameter!$H$6+Parameter!$H$7))-(BH186-BC186))/BC186)))</f>
        <v>1</v>
      </c>
      <c r="BJ186" s="48" t="str">
        <f aca="false">IF(AI186&lt;=0,"",IF(CF186="Aussen","Aussenlager",IF(CF186="-","Nicht im Lift",IF(AO186&gt;=1,"Lift",IF(AO186&lt;=0,"Aussenlager","teilweise")))))</f>
        <v>Lift</v>
      </c>
      <c r="BK186" s="48" t="str">
        <f aca="false">IF(AS186&lt;=0,"",IF(CF186="Aussen","Aussenlager",IF(CF186="-","Nicht im Lift",IF(AY186&gt;=1,"Lift",IF(AY186&lt;=0,"Aussenlager","teilweise")))))</f>
        <v>Lift</v>
      </c>
      <c r="BL186" s="48" t="str">
        <f aca="false">IF(BC186&lt;=0,"",IF(CF186="Aussen","Aussenlager",IF(CF186="-","Nicht im Lift",IF(BI186&gt;=1,"Lift",IF(BI186&lt;=0,"Aussenlager","teilweise")))))</f>
        <v>Lift</v>
      </c>
      <c r="BM186" s="48" t="str">
        <f aca="false">IF(A186="","",IF(BV186=1,"Neu; ","")&amp;IF(AND(BV186=0,BQ186&lt;0),"negativer Bestand (Export "&amp;BQ186&amp;"); ","")&amp;IF(J186&lt;=0,"Kein Verbrauch; ","")&amp;IF(CQ186&gt;0,"Lift "&amp;W186&amp;" lt. Liftbericht (Fach "&amp;X186&amp;" Stk); ",IF(CA186=1,"Gebinde geschätzt ("&amp;T186&amp;"); ",IF(BZ186=1,"Lose – Tablare geschätzt; ","")))&amp;IF(H186&gt;AV186,"Überbestand "&amp;ROUND(H186-AV186,0)&amp;" Stk / CHF "&amp;ROUND((H186-AV186)*G186,0)&amp;"; ","")&amp;IF(AND(CH186=1,CI186&lt;CJ186),"MAX &lt; MB+LG; ","")&amp;IF(AND(CP186&gt;0,CO186*10&gt;CP186),"zu hoch für Tablar; ","")&amp;IF(AND(BV186=0,OR(CH186=1,AA186&lt;&gt;"",U186&lt;&gt;"",V186&lt;&gt;"",AB186&lt;&gt;"")),"manuell übersteuert; ","")&amp;IF(AND(BZ186=0,R186=0),"Gebinde unbekannt / Stellmass fehlt; ","")&amp;IF(AND(BZ186=0,N(V186)&lt;=0,N(Q186)&lt;=0),"Menge pro Gebinde fehlt (Ist = 1 Gebinde); ","")&amp;BU186)</f>
        <v>Gebinde geschätzt (Klein); Menge pro Gebinde fehlt (Ist = 1 Gebinde); </v>
      </c>
      <c r="BN186" s="48"/>
      <c r="BO186" s="48"/>
      <c r="BP186" s="55"/>
      <c r="BQ186" s="50" t="n">
        <v>2</v>
      </c>
      <c r="BR186" s="50" t="n">
        <v>7</v>
      </c>
      <c r="BS186" s="49" t="n">
        <v>957.990000000001</v>
      </c>
      <c r="BT186" s="50" t="n">
        <v>8</v>
      </c>
      <c r="BU186" s="48"/>
      <c r="BV186" s="53" t="n">
        <v>0</v>
      </c>
      <c r="BW186" s="53" t="n">
        <v>186</v>
      </c>
      <c r="BX186" s="48" t="str">
        <f aca="false">IF(U186&lt;&gt;"",UPPER(TRIM(U186)),IF(CA186=1,UPPER(VLOOKUP(T186,Parameter!$I$27:$K$29,2,0)),IF(P186="","LOSE",P186)))</f>
        <v>S51</v>
      </c>
      <c r="BY186" s="50" t="n">
        <f aca="false">IF(BX186="LOSE",1,IF(N(V186)&gt;0,V186,IF(CA186=1,MAX(1,N(VLOOKUP(T186,Parameter!$I$27:$K$29,3,0)),H186,N(N186)),IF(N(Q186)&gt;0,Q186,MAX(1,H186)))))</f>
        <v>20</v>
      </c>
      <c r="BZ186" s="53" t="n">
        <f aca="false">IF(BX186="LOSE",1,0)</f>
        <v>0</v>
      </c>
      <c r="CA186" s="53" t="n">
        <f aca="false">IF(AND(U186="",OR(P186="",P186="LOSE"),T186&lt;&gt;"",N(S186)&lt;=0,ISNUMBER(MATCH(T186,Parameter!$I$27:$I$29,0))),1,0)</f>
        <v>1</v>
      </c>
      <c r="CB186" s="53" t="n">
        <f aca="false">IF(CQ186&gt;0,INDEX(Parameter!$H$5:$H$7,W186)/INDEX(Parameter!$E$5:$E$7,W186),IF(AND(BZ186=0,N(IFERROR(VLOOKUP(BX186,'Gebinde-Kategorie'!$A$5:$N$45,14,0),0))&gt;0),VLOOKUP(BX186,'Gebinde-Kategorie'!$A$5:$N$45,14,0)*10+Parameter!$M$23,Parameter!$M$24))</f>
        <v>155</v>
      </c>
      <c r="CC186" s="48" t="str">
        <f aca="false">IF(AND(Parameter!$B$19="Ja",E186&lt;&gt;"",ISNUMBER(MATCH(E186,Parameter!$I$35:$I$52,0))),VLOOKUP(E186,Parameter!$I$35:$J$52,2,0),IFERROR(VLOOKUP(D186,Parameter!$A$35:$C$64,2,0),"Nein"))</f>
        <v>2+3</v>
      </c>
      <c r="CD186" s="52" t="n">
        <f aca="false">IF(BZ186=0,0,IF(N(S186)&gt;0,S186,IFERROR(VLOOKUP(D186,Parameter!$A$35:$C$64,3,0)+0,0)))</f>
        <v>0</v>
      </c>
      <c r="CE186" s="48" t="n">
        <f aca="false">IF(AA186&lt;&gt;"",AA186,Z186)</f>
        <v>3</v>
      </c>
      <c r="CF186" s="48" t="str">
        <f aca="false">IF(OR(CE186=1,CE186=2,CE186=3),IF(Parameter!$E$27="Ja","LIFT",IF(CE186=1,"L1","L23")),IF(CE186="Aussen","Aussen","-"))</f>
        <v>LIFT</v>
      </c>
      <c r="CG186" s="59" t="n">
        <f aca="false">IF(N(AB186)&gt;0,AB186,0)</f>
        <v>0</v>
      </c>
      <c r="CH186" s="53" t="n">
        <f aca="false">IF(ISNUMBER(AE186),1,0)</f>
        <v>0</v>
      </c>
      <c r="CI186" s="50" t="n">
        <f aca="false">N(AE186)</f>
        <v>0</v>
      </c>
      <c r="CJ186" s="50" t="n">
        <f aca="false">N(M186)+N(N186)</f>
        <v>15</v>
      </c>
      <c r="CK186" s="50" t="n">
        <f aca="false">N(M186)</f>
        <v>10</v>
      </c>
      <c r="CL186" s="50" t="n">
        <f aca="false">N(N186)</f>
        <v>5</v>
      </c>
      <c r="CM186" s="50" t="n">
        <f aca="false">ROUNDUP(H186/BY186,0)</f>
        <v>1</v>
      </c>
      <c r="CN186" s="50" t="n">
        <f aca="false">ROUNDUP(CI186/BY186,0)</f>
        <v>0</v>
      </c>
      <c r="CO186" s="53" t="n">
        <f aca="false">IF(BZ186=1,0,IFERROR(VLOOKUP(BX186,'Gebinde-Kategorie'!$A$5:$N$45,5,0)+0,0))</f>
        <v>11</v>
      </c>
      <c r="CP186" s="53" t="n">
        <f aca="false">IFERROR(IF(OR(CE186=1,CE186=2,CE186=3),N(INDEX(Parameter!$I$5:$I$7,CE186)),0),0)</f>
        <v>0</v>
      </c>
      <c r="CQ186" s="52" t="n">
        <f aca="false">IF(AND(Parameter!$B$21="Ja",ISNUMBER(W186),N(X186)&gt;0),IFERROR(N(INDEX(Parameter!$L$5:$L$7,W186))*INDEX(Parameter!$E$5:$E$7,W186)*X186/SUMIFS($X$7:$X$1843,$W$7:$W$1843,W186),0),0)</f>
        <v>0</v>
      </c>
    </row>
    <row r="187" customFormat="false" ht="15" hidden="false" customHeight="false" outlineLevel="0" collapsed="false">
      <c r="A187" s="48" t="s">
        <v>586</v>
      </c>
      <c r="B187" s="48" t="s">
        <v>587</v>
      </c>
      <c r="C187" s="48" t="s">
        <v>173</v>
      </c>
      <c r="D187" s="48" t="s">
        <v>182</v>
      </c>
      <c r="E187" s="48" t="s">
        <v>194</v>
      </c>
      <c r="F187" s="48" t="s">
        <v>227</v>
      </c>
      <c r="G187" s="49" t="n">
        <v>227.72</v>
      </c>
      <c r="H187" s="50" t="n">
        <f aca="false">MAX(0,IF(AND(Parameter!$B$21="Ja",ISNUMBER(Y187)),Y187,IF(Parameter!$B$20="Jahresanfang 2025 + Export",BR187+BQ187,BQ187)))</f>
        <v>15</v>
      </c>
      <c r="I187" s="50" t="n">
        <f aca="false">H187*G187</f>
        <v>3415.8</v>
      </c>
      <c r="J187" s="50" t="n">
        <f aca="false">BT187*Parameter!$B$18</f>
        <v>29</v>
      </c>
      <c r="K187" s="51" t="n">
        <v>19</v>
      </c>
      <c r="L187" s="52" t="n">
        <v>1.52631578947368</v>
      </c>
      <c r="M187" s="50" t="n">
        <v>3</v>
      </c>
      <c r="N187" s="50" t="n">
        <v>20</v>
      </c>
      <c r="O187" s="53" t="n">
        <v>35</v>
      </c>
      <c r="P187" s="48" t="s">
        <v>311</v>
      </c>
      <c r="Q187" s="50" t="n">
        <v>15</v>
      </c>
      <c r="R187" s="53" t="n">
        <f aca="false">IF(BZ187=1,0,IFERROR(VLOOKUP(BX187,'Gebinde-Kategorie'!$A$5:$N$45,13,0)+0,0))</f>
        <v>26</v>
      </c>
      <c r="S187" s="54"/>
      <c r="T187" s="55"/>
      <c r="U187" s="55"/>
      <c r="V187" s="55"/>
      <c r="W187" s="48"/>
      <c r="X187" s="50"/>
      <c r="Y187" s="50"/>
      <c r="Z187" s="48" t="n">
        <f aca="false">IF(A187="","",IF(AND(Parameter!$B$21="Ja",ISNUMBER(W187)),W187,IF(CC187="2+3",IF(ISNUMBER(SEARCH("grosser Artikel",BU187)),2,IFERROR(VLOOKUP(BX187,Parameter!$F$35:$G$64,2,0),2)),IF(OR(CC187="Nein",CC187=""),"-",CC187))))</f>
        <v>3</v>
      </c>
      <c r="AA187" s="55"/>
      <c r="AB187" s="56"/>
      <c r="AC187" s="50" t="n">
        <f aca="false">AV187</f>
        <v>23</v>
      </c>
      <c r="AD187" s="50" t="n">
        <f aca="false">MAX(AV187,H187)</f>
        <v>23</v>
      </c>
      <c r="AE187" s="57"/>
      <c r="AF187" s="50" t="n">
        <f aca="false">IF(LEFT(Cockpit!$C$5,1)="A",H187,IF(Parameter!$E$30="MAX-Bestand",IF(CH187=1,CI187,IF(LEFT(Cockpit!$C$5,1)="B",AL187,MAX(AL187,H187))),ROUNDUP(AJ187,0)))</f>
        <v>15</v>
      </c>
      <c r="AG187" s="50" t="n">
        <f aca="false">IF(BZ187=1,0,ROUNDUP(AF187/BY187,0))</f>
        <v>1</v>
      </c>
      <c r="AH187" s="52" t="n">
        <f aca="false">IF(CQ187&gt;0,CQ187*MAX(1,AF187/X187),IF(BZ187=1,IF(AF187&lt;=0,0,CD187*MAX(1,IF(H187&gt;0,AF187/H187,1))),IF(R187&gt;0,AG187/R187,0))/MAX(0.1,N(Parameter!$M$21)))</f>
        <v>0.0384615384615385</v>
      </c>
      <c r="AI187" s="50" t="n">
        <f aca="false">AH187*CB187</f>
        <v>5.96153846153846</v>
      </c>
      <c r="AJ187" s="51" t="n">
        <f aca="false">IF(LEFT(Cockpit!$C$5,1)="A",H187,IF(CH187=1,(CK187+CI187)/2,IF(LEFT(Cockpit!$C$5,1)="B",(CK187+AL187)/2,MAX((CK187+AL187)/2,H187))))</f>
        <v>15</v>
      </c>
      <c r="AK187" s="50" t="n">
        <f aca="false">AJ187*G187</f>
        <v>3415.8</v>
      </c>
      <c r="AL187" s="50" t="n">
        <f aca="false">ROUNDUP(CK187+MAX(CL187,2*(J187/IF(CG187&gt;0,CG187,MAX(0.1,N(Cockpit!$C$6)))-CK187)),0)</f>
        <v>23</v>
      </c>
      <c r="AM187" s="51" t="n">
        <f aca="false">IF(AI187&gt;0,J187/AI187,-1)</f>
        <v>4.86451612903226</v>
      </c>
      <c r="AN187" s="51" t="n">
        <f aca="false">IF(AND(OR(CF187="L1",CF187="L23",CF187="LIFT"),AI187&gt;0),SUMIFS($AI$7:$AI$1843,$CF$7:$CF$1843,CF187,$AM$7:$AM$1843,"&gt;"&amp;AM187)+SUMIFS($AI$7:$AI$1843,$CF$7:$CF$1843,CF187,$AM$7:$AM$1843,AM187,$BW$7:$BW$1843,"&lt;="&amp;BW187),"")</f>
        <v>4092.67811355311</v>
      </c>
      <c r="AO187" s="58" t="n">
        <f aca="false">IF(AN187="",0,MAX(0,MIN(1,(IF(CF187="L1",Parameter!$H$5,IF(CF187="L23",Parameter!$H$6+Parameter!$H$7,Parameter!$H$5+Parameter!$H$6+Parameter!$H$7))-(AN187-AI187))/AI187)))</f>
        <v>1</v>
      </c>
      <c r="AP187" s="50" t="n">
        <f aca="false">IF(LEFT(Cockpit!$I$5,1)="A",H187,IF(Parameter!$E$30="MAX-Bestand",IF(CH187=1,CI187,IF(LEFT(Cockpit!$I$5,1)="B",AV187,MAX(AV187,H187))),ROUNDUP(AT187,0)))</f>
        <v>15</v>
      </c>
      <c r="AQ187" s="50" t="n">
        <f aca="false">IF(BZ187=1,0,ROUNDUP(AP187/BY187,0))</f>
        <v>1</v>
      </c>
      <c r="AR187" s="52" t="n">
        <f aca="false">IF(CQ187&gt;0,CQ187*MAX(1,AP187/X187),IF(BZ187=1,IF(AP187&lt;=0,0,CD187*MAX(1,IF(H187&gt;0,AP187/H187,1))),IF(R187&gt;0,AQ187/R187,0))/MAX(0.1,N(Parameter!$M$21)))</f>
        <v>0.0384615384615385</v>
      </c>
      <c r="AS187" s="50" t="n">
        <f aca="false">AR187*CB187</f>
        <v>5.96153846153846</v>
      </c>
      <c r="AT187" s="51" t="n">
        <f aca="false">IF(LEFT(Cockpit!$I$5,1)="A",H187,IF(CH187=1,(CK187+CI187)/2,IF(LEFT(Cockpit!$I$5,1)="B",(CK187+AV187)/2,MAX((CK187+AV187)/2,H187))))</f>
        <v>15</v>
      </c>
      <c r="AU187" s="50" t="n">
        <f aca="false">AT187*G187</f>
        <v>3415.8</v>
      </c>
      <c r="AV187" s="50" t="n">
        <f aca="false">ROUNDUP(CK187+MAX(CL187,2*(J187/IF(CG187&gt;0,CG187,MAX(0.1,N(Cockpit!$I$6)))-CK187)),0)</f>
        <v>23</v>
      </c>
      <c r="AW187" s="51" t="n">
        <f aca="false">IF(AS187&gt;0,J187/AS187,-1)</f>
        <v>4.86451612903226</v>
      </c>
      <c r="AX187" s="51" t="n">
        <f aca="false">IF(AND(OR(CF187="L1",CF187="L23",CF187="LIFT"),AS187&gt;0),SUMIFS($AS$7:$AS$1843,$CF$7:$CF$1843,CF187,$AW$7:$AW$1843,"&gt;"&amp;AW187)+SUMIFS($AS$7:$AS$1843,$CF$7:$CF$1843,CF187,$AW$7:$AW$1843,AW187,$BW$7:$BW$1843,"&lt;="&amp;BW187),"")</f>
        <v>4688.91895604396</v>
      </c>
      <c r="AY187" s="58" t="n">
        <f aca="false">IF(AX187="",0,MAX(0,MIN(1,(IF(CF187="L1",Parameter!$H$5,IF(CF187="L23",Parameter!$H$6+Parameter!$H$7,Parameter!$H$5+Parameter!$H$6+Parameter!$H$7))-(AX187-AS187))/AS187)))</f>
        <v>1</v>
      </c>
      <c r="AZ187" s="50" t="n">
        <f aca="false">IF(LEFT(Cockpit!$O$5,1)="A",H187,IF(Parameter!$E$30="MAX-Bestand",IF(CH187=1,CI187,IF(LEFT(Cockpit!$O$5,1)="B",BF187,MAX(BF187,H187))),ROUNDUP(BD187,0)))</f>
        <v>13</v>
      </c>
      <c r="BA187" s="50" t="n">
        <f aca="false">IF(BZ187=1,0,ROUNDUP(AZ187/BY187,0))</f>
        <v>1</v>
      </c>
      <c r="BB187" s="52" t="n">
        <f aca="false">IF(CQ187&gt;0,CQ187*MAX(1,AZ187/X187),IF(BZ187=1,IF(AZ187&lt;=0,0,CD187*MAX(1,IF(H187&gt;0,AZ187/H187,1))),IF(R187&gt;0,BA187/R187,0))/MAX(0.1,N(Parameter!$M$21)))</f>
        <v>0.0384615384615385</v>
      </c>
      <c r="BC187" s="50" t="n">
        <f aca="false">BB187*CB187</f>
        <v>5.96153846153846</v>
      </c>
      <c r="BD187" s="51" t="n">
        <f aca="false">IF(LEFT(Cockpit!$O$5,1)="A",H187,IF(CH187=1,(CK187+CI187)/2,IF(LEFT(Cockpit!$O$5,1)="B",(CK187+BF187)/2,MAX((CK187+BF187)/2,H187))))</f>
        <v>13</v>
      </c>
      <c r="BE187" s="50" t="n">
        <f aca="false">BD187*G187</f>
        <v>2960.36</v>
      </c>
      <c r="BF187" s="50" t="n">
        <f aca="false">ROUNDUP(CK187+MAX(CL187,2*(J187/IF(CG187&gt;0,CG187,MAX(0.1,N(Cockpit!$O$6)))-CK187)),0)</f>
        <v>23</v>
      </c>
      <c r="BG187" s="51" t="n">
        <f aca="false">IF(BC187&gt;0,J187/BC187,-1)</f>
        <v>4.86451612903226</v>
      </c>
      <c r="BH187" s="51" t="n">
        <f aca="false">IF(AND(OR(CF187="L1",CF187="L23",CF187="LIFT"),BC187&gt;0),SUMIFS($BC$7:$BC$1843,$CF$7:$CF$1843,CF187,$BG$7:$BG$1843,"&gt;"&amp;BG187)+SUMIFS($BC$7:$BC$1843,$CF$7:$CF$1843,CF187,$BG$7:$BG$1843,BG187,$BW$7:$BW$1843,"&lt;="&amp;BW187),"")</f>
        <v>3872.46703296703</v>
      </c>
      <c r="BI187" s="58" t="n">
        <f aca="false">IF(BH187="",0,MAX(0,MIN(1,(IF(CF187="L1",Parameter!$H$5,IF(CF187="L23",Parameter!$H$6+Parameter!$H$7,Parameter!$H$5+Parameter!$H$6+Parameter!$H$7))-(BH187-BC187))/BC187)))</f>
        <v>1</v>
      </c>
      <c r="BJ187" s="48" t="str">
        <f aca="false">IF(AI187&lt;=0,"",IF(CF187="Aussen","Aussenlager",IF(CF187="-","Nicht im Lift",IF(AO187&gt;=1,"Lift",IF(AO187&lt;=0,"Aussenlager","teilweise")))))</f>
        <v>Lift</v>
      </c>
      <c r="BK187" s="48" t="str">
        <f aca="false">IF(AS187&lt;=0,"",IF(CF187="Aussen","Aussenlager",IF(CF187="-","Nicht im Lift",IF(AY187&gt;=1,"Lift",IF(AY187&lt;=0,"Aussenlager","teilweise")))))</f>
        <v>Lift</v>
      </c>
      <c r="BL187" s="48" t="str">
        <f aca="false">IF(BC187&lt;=0,"",IF(CF187="Aussen","Aussenlager",IF(CF187="-","Nicht im Lift",IF(BI187&gt;=1,"Lift",IF(BI187&lt;=0,"Aussenlager","teilweise")))))</f>
        <v>Lift</v>
      </c>
      <c r="BM187" s="48" t="str">
        <f aca="false">IF(A187="","",IF(BV187=1,"Neu; ","")&amp;IF(AND(BV187=0,BQ187&lt;0),"negativer Bestand (Export "&amp;BQ187&amp;"); ","")&amp;IF(J187&lt;=0,"Kein Verbrauch; ","")&amp;IF(CQ187&gt;0,"Lift "&amp;W187&amp;" lt. Liftbericht (Fach "&amp;X187&amp;" Stk); ",IF(CA187=1,"Gebinde geschätzt ("&amp;T187&amp;"); ",IF(BZ187=1,"Lose – Tablare geschätzt; ","")))&amp;IF(H187&gt;AV187,"Überbestand "&amp;ROUND(H187-AV187,0)&amp;" Stk / CHF "&amp;ROUND((H187-AV187)*G187,0)&amp;"; ","")&amp;IF(AND(CH187=1,CI187&lt;CJ187),"MAX &lt; MB+LG; ","")&amp;IF(AND(CP187&gt;0,CO187*10&gt;CP187),"zu hoch für Tablar; ","")&amp;IF(AND(BV187=0,OR(CH187=1,AA187&lt;&gt;"",U187&lt;&gt;"",V187&lt;&gt;"",AB187&lt;&gt;"")),"manuell übersteuert; ","")&amp;IF(AND(BZ187=0,R187=0),"Gebinde unbekannt / Stellmass fehlt; ","")&amp;IF(AND(BZ187=0,N(V187)&lt;=0,N(Q187)&lt;=0),"Menge pro Gebinde fehlt (Ist = 1 Gebinde); ","")&amp;BU187)</f>
        <v/>
      </c>
      <c r="BN187" s="48"/>
      <c r="BO187" s="48"/>
      <c r="BP187" s="55"/>
      <c r="BQ187" s="50" t="n">
        <v>2</v>
      </c>
      <c r="BR187" s="50" t="n">
        <v>13</v>
      </c>
      <c r="BS187" s="49" t="n">
        <v>952.169999999999</v>
      </c>
      <c r="BT187" s="50" t="n">
        <v>29</v>
      </c>
      <c r="BU187" s="48"/>
      <c r="BV187" s="53" t="n">
        <v>0</v>
      </c>
      <c r="BW187" s="53" t="n">
        <v>187</v>
      </c>
      <c r="BX187" s="48" t="str">
        <f aca="false">IF(U187&lt;&gt;"",UPPER(TRIM(U187)),IF(CA187=1,UPPER(VLOOKUP(T187,Parameter!$I$27:$K$29,2,0)),IF(P187="","LOSE",P187)))</f>
        <v>S51</v>
      </c>
      <c r="BY187" s="50" t="n">
        <f aca="false">IF(BX187="LOSE",1,IF(N(V187)&gt;0,V187,IF(CA187=1,MAX(1,N(VLOOKUP(T187,Parameter!$I$27:$K$29,3,0)),H187,N(N187)),IF(N(Q187)&gt;0,Q187,MAX(1,H187)))))</f>
        <v>15</v>
      </c>
      <c r="BZ187" s="53" t="n">
        <f aca="false">IF(BX187="LOSE",1,0)</f>
        <v>0</v>
      </c>
      <c r="CA187" s="53" t="n">
        <f aca="false">IF(AND(U187="",OR(P187="",P187="LOSE"),T187&lt;&gt;"",N(S187)&lt;=0,ISNUMBER(MATCH(T187,Parameter!$I$27:$I$29,0))),1,0)</f>
        <v>0</v>
      </c>
      <c r="CB187" s="53" t="n">
        <f aca="false">IF(CQ187&gt;0,INDEX(Parameter!$H$5:$H$7,W187)/INDEX(Parameter!$E$5:$E$7,W187),IF(AND(BZ187=0,N(IFERROR(VLOOKUP(BX187,'Gebinde-Kategorie'!$A$5:$N$45,14,0),0))&gt;0),VLOOKUP(BX187,'Gebinde-Kategorie'!$A$5:$N$45,14,0)*10+Parameter!$M$23,Parameter!$M$24))</f>
        <v>155</v>
      </c>
      <c r="CC187" s="48" t="str">
        <f aca="false">IF(AND(Parameter!$B$19="Ja",E187&lt;&gt;"",ISNUMBER(MATCH(E187,Parameter!$I$35:$I$52,0))),VLOOKUP(E187,Parameter!$I$35:$J$52,2,0),IFERROR(VLOOKUP(D187,Parameter!$A$35:$C$64,2,0),"Nein"))</f>
        <v>2+3</v>
      </c>
      <c r="CD187" s="52" t="n">
        <f aca="false">IF(BZ187=0,0,IF(N(S187)&gt;0,S187,IFERROR(VLOOKUP(D187,Parameter!$A$35:$C$64,3,0)+0,0)))</f>
        <v>0</v>
      </c>
      <c r="CE187" s="48" t="n">
        <f aca="false">IF(AA187&lt;&gt;"",AA187,Z187)</f>
        <v>3</v>
      </c>
      <c r="CF187" s="48" t="str">
        <f aca="false">IF(OR(CE187=1,CE187=2,CE187=3),IF(Parameter!$E$27="Ja","LIFT",IF(CE187=1,"L1","L23")),IF(CE187="Aussen","Aussen","-"))</f>
        <v>LIFT</v>
      </c>
      <c r="CG187" s="59" t="n">
        <f aca="false">IF(N(AB187)&gt;0,AB187,0)</f>
        <v>0</v>
      </c>
      <c r="CH187" s="53" t="n">
        <f aca="false">IF(ISNUMBER(AE187),1,0)</f>
        <v>0</v>
      </c>
      <c r="CI187" s="50" t="n">
        <f aca="false">N(AE187)</f>
        <v>0</v>
      </c>
      <c r="CJ187" s="50" t="n">
        <f aca="false">N(M187)+N(N187)</f>
        <v>23</v>
      </c>
      <c r="CK187" s="50" t="n">
        <f aca="false">N(M187)</f>
        <v>3</v>
      </c>
      <c r="CL187" s="50" t="n">
        <f aca="false">N(N187)</f>
        <v>20</v>
      </c>
      <c r="CM187" s="50" t="n">
        <f aca="false">ROUNDUP(H187/BY187,0)</f>
        <v>1</v>
      </c>
      <c r="CN187" s="50" t="n">
        <f aca="false">ROUNDUP(CI187/BY187,0)</f>
        <v>0</v>
      </c>
      <c r="CO187" s="53" t="n">
        <f aca="false">IF(BZ187=1,0,IFERROR(VLOOKUP(BX187,'Gebinde-Kategorie'!$A$5:$N$45,5,0)+0,0))</f>
        <v>11</v>
      </c>
      <c r="CP187" s="53" t="n">
        <f aca="false">IFERROR(IF(OR(CE187=1,CE187=2,CE187=3),N(INDEX(Parameter!$I$5:$I$7,CE187)),0),0)</f>
        <v>0</v>
      </c>
      <c r="CQ187" s="52" t="n">
        <f aca="false">IF(AND(Parameter!$B$21="Ja",ISNUMBER(W187),N(X187)&gt;0),IFERROR(N(INDEX(Parameter!$L$5:$L$7,W187))*INDEX(Parameter!$E$5:$E$7,W187)*X187/SUMIFS($X$7:$X$1843,$W$7:$W$1843,W187),0),0)</f>
        <v>0</v>
      </c>
    </row>
    <row r="188" customFormat="false" ht="15" hidden="false" customHeight="false" outlineLevel="0" collapsed="false">
      <c r="A188" s="48" t="s">
        <v>588</v>
      </c>
      <c r="B188" s="48" t="s">
        <v>589</v>
      </c>
      <c r="C188" s="48" t="s">
        <v>173</v>
      </c>
      <c r="D188" s="48" t="s">
        <v>182</v>
      </c>
      <c r="E188" s="48" t="s">
        <v>175</v>
      </c>
      <c r="F188" s="48" t="s">
        <v>227</v>
      </c>
      <c r="G188" s="49" t="n">
        <v>150.01</v>
      </c>
      <c r="H188" s="50" t="n">
        <f aca="false">MAX(0,IF(AND(Parameter!$B$21="Ja",ISNUMBER(Y188)),Y188,IF(Parameter!$B$20="Jahresanfang 2025 + Export",BR188+BQ188,BQ188)))</f>
        <v>11</v>
      </c>
      <c r="I188" s="50" t="n">
        <f aca="false">H188*G188</f>
        <v>1650.11</v>
      </c>
      <c r="J188" s="50" t="n">
        <f aca="false">BT188*Parameter!$B$18</f>
        <v>30</v>
      </c>
      <c r="K188" s="51" t="n">
        <v>10</v>
      </c>
      <c r="L188" s="52" t="n">
        <v>3</v>
      </c>
      <c r="M188" s="50" t="n">
        <v>1</v>
      </c>
      <c r="N188" s="50" t="n">
        <v>15</v>
      </c>
      <c r="O188" s="53" t="n">
        <v>21</v>
      </c>
      <c r="P188" s="48" t="s">
        <v>183</v>
      </c>
      <c r="Q188" s="50" t="n">
        <v>15</v>
      </c>
      <c r="R188" s="53" t="n">
        <f aca="false">IF(BZ188=1,0,IFERROR(VLOOKUP(BX188,'Gebinde-Kategorie'!$A$5:$N$45,13,0)+0,0))</f>
        <v>6</v>
      </c>
      <c r="S188" s="54"/>
      <c r="T188" s="55"/>
      <c r="U188" s="55"/>
      <c r="V188" s="55"/>
      <c r="W188" s="48"/>
      <c r="X188" s="50"/>
      <c r="Y188" s="50"/>
      <c r="Z188" s="48" t="n">
        <f aca="false">IF(A188="","",IF(AND(Parameter!$B$21="Ja",ISNUMBER(W188)),W188,IF(CC188="2+3",IF(ISNUMBER(SEARCH("grosser Artikel",BU188)),2,IFERROR(VLOOKUP(BX188,Parameter!$F$35:$G$64,2,0),2)),IF(OR(CC188="Nein",CC188=""),"-",CC188))))</f>
        <v>1</v>
      </c>
      <c r="AA188" s="55"/>
      <c r="AB188" s="56"/>
      <c r="AC188" s="50" t="n">
        <f aca="false">AV188</f>
        <v>19</v>
      </c>
      <c r="AD188" s="50" t="n">
        <f aca="false">MAX(AV188,H188)</f>
        <v>19</v>
      </c>
      <c r="AE188" s="57"/>
      <c r="AF188" s="50" t="n">
        <f aca="false">IF(LEFT(Cockpit!$C$5,1)="A",H188,IF(Parameter!$E$30="MAX-Bestand",IF(CH188=1,CI188,IF(LEFT(Cockpit!$C$5,1)="B",AL188,MAX(AL188,H188))),ROUNDUP(AJ188,0)))</f>
        <v>11</v>
      </c>
      <c r="AG188" s="50" t="n">
        <f aca="false">IF(BZ188=1,0,ROUNDUP(AF188/BY188,0))</f>
        <v>1</v>
      </c>
      <c r="AH188" s="52" t="n">
        <f aca="false">IF(CQ188&gt;0,CQ188*MAX(1,AF188/X188),IF(BZ188=1,IF(AF188&lt;=0,0,CD188*MAX(1,IF(H188&gt;0,AF188/H188,1))),IF(R188&gt;0,AG188/R188,0))/MAX(0.1,N(Parameter!$M$21)))</f>
        <v>0.166666666666667</v>
      </c>
      <c r="AI188" s="50" t="n">
        <f aca="false">AH188*CB188</f>
        <v>39.1666666666667</v>
      </c>
      <c r="AJ188" s="51" t="n">
        <f aca="false">IF(LEFT(Cockpit!$C$5,1)="A",H188,IF(CH188=1,(CK188+CI188)/2,IF(LEFT(Cockpit!$C$5,1)="B",(CK188+AL188)/2,MAX((CK188+AL188)/2,H188))))</f>
        <v>11</v>
      </c>
      <c r="AK188" s="50" t="n">
        <f aca="false">AJ188*G188</f>
        <v>1650.11</v>
      </c>
      <c r="AL188" s="50" t="n">
        <f aca="false">ROUNDUP(CK188+MAX(CL188,2*(J188/IF(CG188&gt;0,CG188,MAX(0.1,N(Cockpit!$C$6)))-CK188)),0)</f>
        <v>19</v>
      </c>
      <c r="AM188" s="51" t="n">
        <f aca="false">IF(AI188&gt;0,J188/AI188,-1)</f>
        <v>0.765957446808511</v>
      </c>
      <c r="AN188" s="51" t="n">
        <f aca="false">IF(AND(OR(CF188="L1",CF188="L23",CF188="LIFT"),AI188&gt;0),SUMIFS($AI$7:$AI$1843,$CF$7:$CF$1843,CF188,$AM$7:$AM$1843,"&gt;"&amp;AM188)+SUMIFS($AI$7:$AI$1843,$CF$7:$CF$1843,CF188,$AM$7:$AM$1843,AM188,$BW$7:$BW$1843,"&lt;="&amp;BW188),"")</f>
        <v>8329.31730769231</v>
      </c>
      <c r="AO188" s="58" t="n">
        <f aca="false">IF(AN188="",0,MAX(0,MIN(1,(IF(CF188="L1",Parameter!$H$5,IF(CF188="L23",Parameter!$H$6+Parameter!$H$7,Parameter!$H$5+Parameter!$H$6+Parameter!$H$7))-(AN188-AI188))/AI188)))</f>
        <v>1</v>
      </c>
      <c r="AP188" s="50" t="n">
        <f aca="false">IF(LEFT(Cockpit!$I$5,1)="A",H188,IF(Parameter!$E$30="MAX-Bestand",IF(CH188=1,CI188,IF(LEFT(Cockpit!$I$5,1)="B",AV188,MAX(AV188,H188))),ROUNDUP(AT188,0)))</f>
        <v>11</v>
      </c>
      <c r="AQ188" s="50" t="n">
        <f aca="false">IF(BZ188=1,0,ROUNDUP(AP188/BY188,0))</f>
        <v>1</v>
      </c>
      <c r="AR188" s="52" t="n">
        <f aca="false">IF(CQ188&gt;0,CQ188*MAX(1,AP188/X188),IF(BZ188=1,IF(AP188&lt;=0,0,CD188*MAX(1,IF(H188&gt;0,AP188/H188,1))),IF(R188&gt;0,AQ188/R188,0))/MAX(0.1,N(Parameter!$M$21)))</f>
        <v>0.166666666666667</v>
      </c>
      <c r="AS188" s="50" t="n">
        <f aca="false">AR188*CB188</f>
        <v>39.1666666666667</v>
      </c>
      <c r="AT188" s="51" t="n">
        <f aca="false">IF(LEFT(Cockpit!$I$5,1)="A",H188,IF(CH188=1,(CK188+CI188)/2,IF(LEFT(Cockpit!$I$5,1)="B",(CK188+AV188)/2,MAX((CK188+AV188)/2,H188))))</f>
        <v>11</v>
      </c>
      <c r="AU188" s="50" t="n">
        <f aca="false">AT188*G188</f>
        <v>1650.11</v>
      </c>
      <c r="AV188" s="50" t="n">
        <f aca="false">ROUNDUP(CK188+MAX(CL188,2*(J188/IF(CG188&gt;0,CG188,MAX(0.1,N(Cockpit!$I$6)))-CK188)),0)</f>
        <v>19</v>
      </c>
      <c r="AW188" s="51" t="n">
        <f aca="false">IF(AS188&gt;0,J188/AS188,-1)</f>
        <v>0.765957446808511</v>
      </c>
      <c r="AX188" s="51" t="n">
        <f aca="false">IF(AND(OR(CF188="L1",CF188="L23",CF188="LIFT"),AS188&gt;0),SUMIFS($AS$7:$AS$1843,$CF$7:$CF$1843,CF188,$AW$7:$AW$1843,"&gt;"&amp;AW188)+SUMIFS($AS$7:$AS$1843,$CF$7:$CF$1843,CF188,$AW$7:$AW$1843,AW188,$BW$7:$BW$1843,"&lt;="&amp;BW188),"")</f>
        <v>10588.8855311355</v>
      </c>
      <c r="AY188" s="58" t="n">
        <f aca="false">IF(AX188="",0,MAX(0,MIN(1,(IF(CF188="L1",Parameter!$H$5,IF(CF188="L23",Parameter!$H$6+Parameter!$H$7,Parameter!$H$5+Parameter!$H$6+Parameter!$H$7))-(AX188-AS188))/AS188)))</f>
        <v>1</v>
      </c>
      <c r="AZ188" s="50" t="n">
        <f aca="false">IF(LEFT(Cockpit!$O$5,1)="A",H188,IF(Parameter!$E$30="MAX-Bestand",IF(CH188=1,CI188,IF(LEFT(Cockpit!$O$5,1)="B",BF188,MAX(BF188,H188))),ROUNDUP(BD188,0)))</f>
        <v>9</v>
      </c>
      <c r="BA188" s="50" t="n">
        <f aca="false">IF(BZ188=1,0,ROUNDUP(AZ188/BY188,0))</f>
        <v>1</v>
      </c>
      <c r="BB188" s="52" t="n">
        <f aca="false">IF(CQ188&gt;0,CQ188*MAX(1,AZ188/X188),IF(BZ188=1,IF(AZ188&lt;=0,0,CD188*MAX(1,IF(H188&gt;0,AZ188/H188,1))),IF(R188&gt;0,BA188/R188,0))/MAX(0.1,N(Parameter!$M$21)))</f>
        <v>0.166666666666667</v>
      </c>
      <c r="BC188" s="50" t="n">
        <f aca="false">BB188*CB188</f>
        <v>39.1666666666667</v>
      </c>
      <c r="BD188" s="51" t="n">
        <f aca="false">IF(LEFT(Cockpit!$O$5,1)="A",H188,IF(CH188=1,(CK188+CI188)/2,IF(LEFT(Cockpit!$O$5,1)="B",(CK188+BF188)/2,MAX((CK188+BF188)/2,H188))))</f>
        <v>8.5</v>
      </c>
      <c r="BE188" s="50" t="n">
        <f aca="false">BD188*G188</f>
        <v>1275.085</v>
      </c>
      <c r="BF188" s="50" t="n">
        <f aca="false">ROUNDUP(CK188+MAX(CL188,2*(J188/IF(CG188&gt;0,CG188,MAX(0.1,N(Cockpit!$O$6)))-CK188)),0)</f>
        <v>16</v>
      </c>
      <c r="BG188" s="51" t="n">
        <f aca="false">IF(BC188&gt;0,J188/BC188,-1)</f>
        <v>0.765957446808511</v>
      </c>
      <c r="BH188" s="51" t="n">
        <f aca="false">IF(AND(OR(CF188="L1",CF188="L23",CF188="LIFT"),BC188&gt;0),SUMIFS($BC$7:$BC$1843,$CF$7:$CF$1843,CF188,$BG$7:$BG$1843,"&gt;"&amp;BG188)+SUMIFS($BC$7:$BC$1843,$CF$7:$CF$1843,CF188,$BG$7:$BG$1843,BG188,$BW$7:$BW$1843,"&lt;="&amp;BW188),"")</f>
        <v>9040.18635531135</v>
      </c>
      <c r="BI188" s="58" t="n">
        <f aca="false">IF(BH188="",0,MAX(0,MIN(1,(IF(CF188="L1",Parameter!$H$5,IF(CF188="L23",Parameter!$H$6+Parameter!$H$7,Parameter!$H$5+Parameter!$H$6+Parameter!$H$7))-(BH188-BC188))/BC188)))</f>
        <v>1</v>
      </c>
      <c r="BJ188" s="48" t="str">
        <f aca="false">IF(AI188&lt;=0,"",IF(CF188="Aussen","Aussenlager",IF(CF188="-","Nicht im Lift",IF(AO188&gt;=1,"Lift",IF(AO188&lt;=0,"Aussenlager","teilweise")))))</f>
        <v>Lift</v>
      </c>
      <c r="BK188" s="48" t="str">
        <f aca="false">IF(AS188&lt;=0,"",IF(CF188="Aussen","Aussenlager",IF(CF188="-","Nicht im Lift",IF(AY188&gt;=1,"Lift",IF(AY188&lt;=0,"Aussenlager","teilweise")))))</f>
        <v>Lift</v>
      </c>
      <c r="BL188" s="48" t="str">
        <f aca="false">IF(BC188&lt;=0,"",IF(CF188="Aussen","Aussenlager",IF(CF188="-","Nicht im Lift",IF(BI188&gt;=1,"Lift",IF(BI188&lt;=0,"Aussenlager","teilweise")))))</f>
        <v>Lift</v>
      </c>
      <c r="BM188" s="48" t="str">
        <f aca="false">IF(A188="","",IF(BV188=1,"Neu; ","")&amp;IF(AND(BV188=0,BQ188&lt;0),"negativer Bestand (Export "&amp;BQ188&amp;"); ","")&amp;IF(J188&lt;=0,"Kein Verbrauch; ","")&amp;IF(CQ188&gt;0,"Lift "&amp;W188&amp;" lt. Liftbericht (Fach "&amp;X188&amp;" Stk); ",IF(CA188=1,"Gebinde geschätzt ("&amp;T188&amp;"); ",IF(BZ188=1,"Lose – Tablare geschätzt; ","")))&amp;IF(H188&gt;AV188,"Überbestand "&amp;ROUND(H188-AV188,0)&amp;" Stk / CHF "&amp;ROUND((H188-AV188)*G188,0)&amp;"; ","")&amp;IF(AND(CH188=1,CI188&lt;CJ188),"MAX &lt; MB+LG; ","")&amp;IF(AND(CP188&gt;0,CO188*10&gt;CP188),"zu hoch für Tablar; ","")&amp;IF(AND(BV188=0,OR(CH188=1,AA188&lt;&gt;"",U188&lt;&gt;"",V188&lt;&gt;"",AB188&lt;&gt;"")),"manuell übersteuert; ","")&amp;IF(AND(BZ188=0,R188=0),"Gebinde unbekannt / Stellmass fehlt; ","")&amp;IF(AND(BZ188=0,N(V188)&lt;=0,N(Q188)&lt;=0),"Menge pro Gebinde fehlt (Ist = 1 Gebinde); ","")&amp;BU188)</f>
        <v/>
      </c>
      <c r="BN188" s="48"/>
      <c r="BO188" s="48"/>
      <c r="BP188" s="55"/>
      <c r="BQ188" s="50" t="n">
        <v>6</v>
      </c>
      <c r="BR188" s="50" t="n">
        <v>5</v>
      </c>
      <c r="BS188" s="49" t="n">
        <v>951.909999999999</v>
      </c>
      <c r="BT188" s="50" t="n">
        <v>30</v>
      </c>
      <c r="BU188" s="48"/>
      <c r="BV188" s="53" t="n">
        <v>0</v>
      </c>
      <c r="BW188" s="53" t="n">
        <v>188</v>
      </c>
      <c r="BX188" s="48" t="str">
        <f aca="false">IF(U188&lt;&gt;"",UPPER(TRIM(U188)),IF(CA188=1,UPPER(VLOOKUP(T188,Parameter!$I$27:$K$29,2,0)),IF(P188="","LOSE",P188)))</f>
        <v>S71</v>
      </c>
      <c r="BY188" s="50" t="n">
        <f aca="false">IF(BX188="LOSE",1,IF(N(V188)&gt;0,V188,IF(CA188=1,MAX(1,N(VLOOKUP(T188,Parameter!$I$27:$K$29,3,0)),H188,N(N188)),IF(N(Q188)&gt;0,Q188,MAX(1,H188)))))</f>
        <v>15</v>
      </c>
      <c r="BZ188" s="53" t="n">
        <f aca="false">IF(BX188="LOSE",1,0)</f>
        <v>0</v>
      </c>
      <c r="CA188" s="53" t="n">
        <f aca="false">IF(AND(U188="",OR(P188="",P188="LOSE"),T188&lt;&gt;"",N(S188)&lt;=0,ISNUMBER(MATCH(T188,Parameter!$I$27:$I$29,0))),1,0)</f>
        <v>0</v>
      </c>
      <c r="CB188" s="53" t="n">
        <f aca="false">IF(CQ188&gt;0,INDEX(Parameter!$H$5:$H$7,W188)/INDEX(Parameter!$E$5:$E$7,W188),IF(AND(BZ188=0,N(IFERROR(VLOOKUP(BX188,'Gebinde-Kategorie'!$A$5:$N$45,14,0),0))&gt;0),VLOOKUP(BX188,'Gebinde-Kategorie'!$A$5:$N$45,14,0)*10+Parameter!$M$23,Parameter!$M$24))</f>
        <v>235</v>
      </c>
      <c r="CC188" s="48" t="n">
        <f aca="false">IF(AND(Parameter!$B$19="Ja",E188&lt;&gt;"",ISNUMBER(MATCH(E188,Parameter!$I$35:$I$52,0))),VLOOKUP(E188,Parameter!$I$35:$J$52,2,0),IFERROR(VLOOKUP(D188,Parameter!$A$35:$C$64,2,0),"Nein"))</f>
        <v>1</v>
      </c>
      <c r="CD188" s="52" t="n">
        <f aca="false">IF(BZ188=0,0,IF(N(S188)&gt;0,S188,IFERROR(VLOOKUP(D188,Parameter!$A$35:$C$64,3,0)+0,0)))</f>
        <v>0</v>
      </c>
      <c r="CE188" s="48" t="n">
        <f aca="false">IF(AA188&lt;&gt;"",AA188,Z188)</f>
        <v>1</v>
      </c>
      <c r="CF188" s="48" t="str">
        <f aca="false">IF(OR(CE188=1,CE188=2,CE188=3),IF(Parameter!$E$27="Ja","LIFT",IF(CE188=1,"L1","L23")),IF(CE188="Aussen","Aussen","-"))</f>
        <v>LIFT</v>
      </c>
      <c r="CG188" s="59" t="n">
        <f aca="false">IF(N(AB188)&gt;0,AB188,0)</f>
        <v>0</v>
      </c>
      <c r="CH188" s="53" t="n">
        <f aca="false">IF(ISNUMBER(AE188),1,0)</f>
        <v>0</v>
      </c>
      <c r="CI188" s="50" t="n">
        <f aca="false">N(AE188)</f>
        <v>0</v>
      </c>
      <c r="CJ188" s="50" t="n">
        <f aca="false">N(M188)+N(N188)</f>
        <v>16</v>
      </c>
      <c r="CK188" s="50" t="n">
        <f aca="false">N(M188)</f>
        <v>1</v>
      </c>
      <c r="CL188" s="50" t="n">
        <f aca="false">N(N188)</f>
        <v>15</v>
      </c>
      <c r="CM188" s="50" t="n">
        <f aca="false">ROUNDUP(H188/BY188,0)</f>
        <v>1</v>
      </c>
      <c r="CN188" s="50" t="n">
        <f aca="false">ROUNDUP(CI188/BY188,0)</f>
        <v>0</v>
      </c>
      <c r="CO188" s="53" t="n">
        <f aca="false">IF(BZ188=1,0,IFERROR(VLOOKUP(BX188,'Gebinde-Kategorie'!$A$5:$N$45,5,0)+0,0))</f>
        <v>20</v>
      </c>
      <c r="CP188" s="53" t="n">
        <f aca="false">IFERROR(IF(OR(CE188=1,CE188=2,CE188=3),N(INDEX(Parameter!$I$5:$I$7,CE188)),0),0)</f>
        <v>0</v>
      </c>
      <c r="CQ188" s="52" t="n">
        <f aca="false">IF(AND(Parameter!$B$21="Ja",ISNUMBER(W188),N(X188)&gt;0),IFERROR(N(INDEX(Parameter!$L$5:$L$7,W188))*INDEX(Parameter!$E$5:$E$7,W188)*X188/SUMIFS($X$7:$X$1843,$W$7:$W$1843,W188),0),0)</f>
        <v>0</v>
      </c>
    </row>
    <row r="189" customFormat="false" ht="15" hidden="false" customHeight="false" outlineLevel="0" collapsed="false">
      <c r="A189" s="48" t="s">
        <v>590</v>
      </c>
      <c r="B189" s="48" t="s">
        <v>591</v>
      </c>
      <c r="C189" s="48" t="s">
        <v>173</v>
      </c>
      <c r="D189" s="48" t="s">
        <v>193</v>
      </c>
      <c r="E189" s="48" t="s">
        <v>194</v>
      </c>
      <c r="F189" s="48" t="s">
        <v>227</v>
      </c>
      <c r="G189" s="49" t="n">
        <v>33.18</v>
      </c>
      <c r="H189" s="50" t="n">
        <f aca="false">MAX(0,IF(AND(Parameter!$B$21="Ja",ISNUMBER(Y189)),Y189,IF(Parameter!$B$20="Jahresanfang 2025 + Export",BR189+BQ189,BQ189)))</f>
        <v>81</v>
      </c>
      <c r="I189" s="50" t="n">
        <f aca="false">H189*G189</f>
        <v>2687.58</v>
      </c>
      <c r="J189" s="50" t="n">
        <f aca="false">BT189*Parameter!$B$18</f>
        <v>35</v>
      </c>
      <c r="K189" s="51" t="n">
        <v>77</v>
      </c>
      <c r="L189" s="52" t="n">
        <v>0.454545454545455</v>
      </c>
      <c r="M189" s="50" t="n">
        <v>8</v>
      </c>
      <c r="N189" s="50" t="n">
        <v>35</v>
      </c>
      <c r="O189" s="53" t="n">
        <v>84</v>
      </c>
      <c r="P189" s="48" t="s">
        <v>311</v>
      </c>
      <c r="Q189" s="50" t="n">
        <v>99</v>
      </c>
      <c r="R189" s="53" t="n">
        <f aca="false">IF(BZ189=1,0,IFERROR(VLOOKUP(BX189,'Gebinde-Kategorie'!$A$5:$N$45,13,0)+0,0))</f>
        <v>26</v>
      </c>
      <c r="S189" s="54"/>
      <c r="T189" s="55"/>
      <c r="U189" s="55"/>
      <c r="V189" s="55"/>
      <c r="W189" s="48"/>
      <c r="X189" s="50"/>
      <c r="Y189" s="50"/>
      <c r="Z189" s="48" t="n">
        <f aca="false">IF(A189="","",IF(AND(Parameter!$B$21="Ja",ISNUMBER(W189)),W189,IF(CC189="2+3",IF(ISNUMBER(SEARCH("grosser Artikel",BU189)),2,IFERROR(VLOOKUP(BX189,Parameter!$F$35:$G$64,2,0),2)),IF(OR(CC189="Nein",CC189=""),"-",CC189))))</f>
        <v>3</v>
      </c>
      <c r="AA189" s="55"/>
      <c r="AB189" s="56"/>
      <c r="AC189" s="50" t="n">
        <f aca="false">AV189</f>
        <v>43</v>
      </c>
      <c r="AD189" s="50" t="n">
        <f aca="false">MAX(AV189,H189)</f>
        <v>81</v>
      </c>
      <c r="AE189" s="57"/>
      <c r="AF189" s="50" t="n">
        <f aca="false">IF(LEFT(Cockpit!$C$5,1)="A",H189,IF(Parameter!$E$30="MAX-Bestand",IF(CH189=1,CI189,IF(LEFT(Cockpit!$C$5,1)="B",AL189,MAX(AL189,H189))),ROUNDUP(AJ189,0)))</f>
        <v>81</v>
      </c>
      <c r="AG189" s="50" t="n">
        <f aca="false">IF(BZ189=1,0,ROUNDUP(AF189/BY189,0))</f>
        <v>1</v>
      </c>
      <c r="AH189" s="52" t="n">
        <f aca="false">IF(CQ189&gt;0,CQ189*MAX(1,AF189/X189),IF(BZ189=1,IF(AF189&lt;=0,0,CD189*MAX(1,IF(H189&gt;0,AF189/H189,1))),IF(R189&gt;0,AG189/R189,0))/MAX(0.1,N(Parameter!$M$21)))</f>
        <v>0.0384615384615385</v>
      </c>
      <c r="AI189" s="50" t="n">
        <f aca="false">AH189*CB189</f>
        <v>5.96153846153846</v>
      </c>
      <c r="AJ189" s="51" t="n">
        <f aca="false">IF(LEFT(Cockpit!$C$5,1)="A",H189,IF(CH189=1,(CK189+CI189)/2,IF(LEFT(Cockpit!$C$5,1)="B",(CK189+AL189)/2,MAX((CK189+AL189)/2,H189))))</f>
        <v>81</v>
      </c>
      <c r="AK189" s="50" t="n">
        <f aca="false">AJ189*G189</f>
        <v>2687.58</v>
      </c>
      <c r="AL189" s="50" t="n">
        <f aca="false">ROUNDUP(CK189+MAX(CL189,2*(J189/IF(CG189&gt;0,CG189,MAX(0.1,N(Cockpit!$C$6)))-CK189)),0)</f>
        <v>43</v>
      </c>
      <c r="AM189" s="51" t="n">
        <f aca="false">IF(AI189&gt;0,J189/AI189,-1)</f>
        <v>5.87096774193548</v>
      </c>
      <c r="AN189" s="51" t="n">
        <f aca="false">IF(AND(OR(CF189="L1",CF189="L23",CF189="LIFT"),AI189&gt;0),SUMIFS($AI$7:$AI$1843,$CF$7:$CF$1843,CF189,$AM$7:$AM$1843,"&gt;"&amp;AM189)+SUMIFS($AI$7:$AI$1843,$CF$7:$CF$1843,CF189,$AM$7:$AM$1843,AM189,$BW$7:$BW$1843,"&lt;="&amp;BW189),"")</f>
        <v>3528.87225274725</v>
      </c>
      <c r="AO189" s="58" t="n">
        <f aca="false">IF(AN189="",0,MAX(0,MIN(1,(IF(CF189="L1",Parameter!$H$5,IF(CF189="L23",Parameter!$H$6+Parameter!$H$7,Parameter!$H$5+Parameter!$H$6+Parameter!$H$7))-(AN189-AI189))/AI189)))</f>
        <v>1</v>
      </c>
      <c r="AP189" s="50" t="n">
        <f aca="false">IF(LEFT(Cockpit!$I$5,1)="A",H189,IF(Parameter!$E$30="MAX-Bestand",IF(CH189=1,CI189,IF(LEFT(Cockpit!$I$5,1)="B",AV189,MAX(AV189,H189))),ROUNDUP(AT189,0)))</f>
        <v>81</v>
      </c>
      <c r="AQ189" s="50" t="n">
        <f aca="false">IF(BZ189=1,0,ROUNDUP(AP189/BY189,0))</f>
        <v>1</v>
      </c>
      <c r="AR189" s="52" t="n">
        <f aca="false">IF(CQ189&gt;0,CQ189*MAX(1,AP189/X189),IF(BZ189=1,IF(AP189&lt;=0,0,CD189*MAX(1,IF(H189&gt;0,AP189/H189,1))),IF(R189&gt;0,AQ189/R189,0))/MAX(0.1,N(Parameter!$M$21)))</f>
        <v>0.0384615384615385</v>
      </c>
      <c r="AS189" s="50" t="n">
        <f aca="false">AR189*CB189</f>
        <v>5.96153846153846</v>
      </c>
      <c r="AT189" s="51" t="n">
        <f aca="false">IF(LEFT(Cockpit!$I$5,1)="A",H189,IF(CH189=1,(CK189+CI189)/2,IF(LEFT(Cockpit!$I$5,1)="B",(CK189+AV189)/2,MAX((CK189+AV189)/2,H189))))</f>
        <v>81</v>
      </c>
      <c r="AU189" s="50" t="n">
        <f aca="false">AT189*G189</f>
        <v>2687.58</v>
      </c>
      <c r="AV189" s="50" t="n">
        <f aca="false">ROUNDUP(CK189+MAX(CL189,2*(J189/IF(CG189&gt;0,CG189,MAX(0.1,N(Cockpit!$I$6)))-CK189)),0)</f>
        <v>43</v>
      </c>
      <c r="AW189" s="51" t="n">
        <f aca="false">IF(AS189&gt;0,J189/AS189,-1)</f>
        <v>5.87096774193548</v>
      </c>
      <c r="AX189" s="51" t="n">
        <f aca="false">IF(AND(OR(CF189="L1",CF189="L23",CF189="LIFT"),AS189&gt;0),SUMIFS($AS$7:$AS$1843,$CF$7:$CF$1843,CF189,$AW$7:$AW$1843,"&gt;"&amp;AW189)+SUMIFS($AS$7:$AS$1843,$CF$7:$CF$1843,CF189,$AW$7:$AW$1843,AW189,$BW$7:$BW$1843,"&lt;="&amp;BW189),"")</f>
        <v>4194.53617216117</v>
      </c>
      <c r="AY189" s="58" t="n">
        <f aca="false">IF(AX189="",0,MAX(0,MIN(1,(IF(CF189="L1",Parameter!$H$5,IF(CF189="L23",Parameter!$H$6+Parameter!$H$7,Parameter!$H$5+Parameter!$H$6+Parameter!$H$7))-(AX189-AS189))/AS189)))</f>
        <v>1</v>
      </c>
      <c r="AZ189" s="50" t="n">
        <f aca="false">IF(LEFT(Cockpit!$O$5,1)="A",H189,IF(Parameter!$E$30="MAX-Bestand",IF(CH189=1,CI189,IF(LEFT(Cockpit!$O$5,1)="B",BF189,MAX(BF189,H189))),ROUNDUP(BD189,0)))</f>
        <v>26</v>
      </c>
      <c r="BA189" s="50" t="n">
        <f aca="false">IF(BZ189=1,0,ROUNDUP(AZ189/BY189,0))</f>
        <v>1</v>
      </c>
      <c r="BB189" s="52" t="n">
        <f aca="false">IF(CQ189&gt;0,CQ189*MAX(1,AZ189/X189),IF(BZ189=1,IF(AZ189&lt;=0,0,CD189*MAX(1,IF(H189&gt;0,AZ189/H189,1))),IF(R189&gt;0,BA189/R189,0))/MAX(0.1,N(Parameter!$M$21)))</f>
        <v>0.0384615384615385</v>
      </c>
      <c r="BC189" s="50" t="n">
        <f aca="false">BB189*CB189</f>
        <v>5.96153846153846</v>
      </c>
      <c r="BD189" s="51" t="n">
        <f aca="false">IF(LEFT(Cockpit!$O$5,1)="A",H189,IF(CH189=1,(CK189+CI189)/2,IF(LEFT(Cockpit!$O$5,1)="B",(CK189+BF189)/2,MAX((CK189+BF189)/2,H189))))</f>
        <v>25.5</v>
      </c>
      <c r="BE189" s="50" t="n">
        <f aca="false">BD189*G189</f>
        <v>846.09</v>
      </c>
      <c r="BF189" s="50" t="n">
        <f aca="false">ROUNDUP(CK189+MAX(CL189,2*(J189/IF(CG189&gt;0,CG189,MAX(0.1,N(Cockpit!$O$6)))-CK189)),0)</f>
        <v>43</v>
      </c>
      <c r="BG189" s="51" t="n">
        <f aca="false">IF(BC189&gt;0,J189/BC189,-1)</f>
        <v>5.87096774193548</v>
      </c>
      <c r="BH189" s="51" t="n">
        <f aca="false">IF(AND(OR(CF189="L1",CF189="L23",CF189="LIFT"),BC189&gt;0),SUMIFS($BC$7:$BC$1843,$CF$7:$CF$1843,CF189,$BG$7:$BG$1843,"&gt;"&amp;BG189)+SUMIFS($BC$7:$BC$1843,$CF$7:$CF$1843,CF189,$BG$7:$BG$1843,BG189,$BW$7:$BW$1843,"&lt;="&amp;BW189),"")</f>
        <v>3518.60943223443</v>
      </c>
      <c r="BI189" s="58" t="n">
        <f aca="false">IF(BH189="",0,MAX(0,MIN(1,(IF(CF189="L1",Parameter!$H$5,IF(CF189="L23",Parameter!$H$6+Parameter!$H$7,Parameter!$H$5+Parameter!$H$6+Parameter!$H$7))-(BH189-BC189))/BC189)))</f>
        <v>1</v>
      </c>
      <c r="BJ189" s="48" t="str">
        <f aca="false">IF(AI189&lt;=0,"",IF(CF189="Aussen","Aussenlager",IF(CF189="-","Nicht im Lift",IF(AO189&gt;=1,"Lift",IF(AO189&lt;=0,"Aussenlager","teilweise")))))</f>
        <v>Lift</v>
      </c>
      <c r="BK189" s="48" t="str">
        <f aca="false">IF(AS189&lt;=0,"",IF(CF189="Aussen","Aussenlager",IF(CF189="-","Nicht im Lift",IF(AY189&gt;=1,"Lift",IF(AY189&lt;=0,"Aussenlager","teilweise")))))</f>
        <v>Lift</v>
      </c>
      <c r="BL189" s="48" t="str">
        <f aca="false">IF(BC189&lt;=0,"",IF(CF189="Aussen","Aussenlager",IF(CF189="-","Nicht im Lift",IF(BI189&gt;=1,"Lift",IF(BI189&lt;=0,"Aussenlager","teilweise")))))</f>
        <v>Lift</v>
      </c>
      <c r="BM189" s="48" t="str">
        <f aca="false">IF(A189="","",IF(BV189=1,"Neu; ","")&amp;IF(AND(BV189=0,BQ189&lt;0),"negativer Bestand (Export "&amp;BQ189&amp;"); ","")&amp;IF(J189&lt;=0,"Kein Verbrauch; ","")&amp;IF(CQ189&gt;0,"Lift "&amp;W189&amp;" lt. Liftbericht (Fach "&amp;X189&amp;" Stk); ",IF(CA189=1,"Gebinde geschätzt ("&amp;T189&amp;"); ",IF(BZ189=1,"Lose – Tablare geschätzt; ","")))&amp;IF(H189&gt;AV189,"Überbestand "&amp;ROUND(H189-AV189,0)&amp;" Stk / CHF "&amp;ROUND((H189-AV189)*G189,0)&amp;"; ","")&amp;IF(AND(CH189=1,CI189&lt;CJ189),"MAX &lt; MB+LG; ","")&amp;IF(AND(CP189&gt;0,CO189*10&gt;CP189),"zu hoch für Tablar; ","")&amp;IF(AND(BV189=0,OR(CH189=1,AA189&lt;&gt;"",U189&lt;&gt;"",V189&lt;&gt;"",AB189&lt;&gt;"")),"manuell übersteuert; ","")&amp;IF(AND(BZ189=0,R189=0),"Gebinde unbekannt / Stellmass fehlt; ","")&amp;IF(AND(BZ189=0,N(V189)&lt;=0,N(Q189)&lt;=0),"Menge pro Gebinde fehlt (Ist = 1 Gebinde); ","")&amp;BU189)</f>
        <v>Überbestand 38 Stk / CHF 1261; </v>
      </c>
      <c r="BN189" s="48"/>
      <c r="BO189" s="48"/>
      <c r="BP189" s="55"/>
      <c r="BQ189" s="50" t="n">
        <v>33</v>
      </c>
      <c r="BR189" s="50" t="n">
        <v>48</v>
      </c>
      <c r="BS189" s="49" t="n">
        <v>948.66</v>
      </c>
      <c r="BT189" s="50" t="n">
        <v>35</v>
      </c>
      <c r="BU189" s="48"/>
      <c r="BV189" s="53" t="n">
        <v>0</v>
      </c>
      <c r="BW189" s="53" t="n">
        <v>189</v>
      </c>
      <c r="BX189" s="48" t="str">
        <f aca="false">IF(U189&lt;&gt;"",UPPER(TRIM(U189)),IF(CA189=1,UPPER(VLOOKUP(T189,Parameter!$I$27:$K$29,2,0)),IF(P189="","LOSE",P189)))</f>
        <v>S51</v>
      </c>
      <c r="BY189" s="50" t="n">
        <f aca="false">IF(BX189="LOSE",1,IF(N(V189)&gt;0,V189,IF(CA189=1,MAX(1,N(VLOOKUP(T189,Parameter!$I$27:$K$29,3,0)),H189,N(N189)),IF(N(Q189)&gt;0,Q189,MAX(1,H189)))))</f>
        <v>99</v>
      </c>
      <c r="BZ189" s="53" t="n">
        <f aca="false">IF(BX189="LOSE",1,0)</f>
        <v>0</v>
      </c>
      <c r="CA189" s="53" t="n">
        <f aca="false">IF(AND(U189="",OR(P189="",P189="LOSE"),T189&lt;&gt;"",N(S189)&lt;=0,ISNUMBER(MATCH(T189,Parameter!$I$27:$I$29,0))),1,0)</f>
        <v>0</v>
      </c>
      <c r="CB189" s="53" t="n">
        <f aca="false">IF(CQ189&gt;0,INDEX(Parameter!$H$5:$H$7,W189)/INDEX(Parameter!$E$5:$E$7,W189),IF(AND(BZ189=0,N(IFERROR(VLOOKUP(BX189,'Gebinde-Kategorie'!$A$5:$N$45,14,0),0))&gt;0),VLOOKUP(BX189,'Gebinde-Kategorie'!$A$5:$N$45,14,0)*10+Parameter!$M$23,Parameter!$M$24))</f>
        <v>155</v>
      </c>
      <c r="CC189" s="48" t="str">
        <f aca="false">IF(AND(Parameter!$B$19="Ja",E189&lt;&gt;"",ISNUMBER(MATCH(E189,Parameter!$I$35:$I$52,0))),VLOOKUP(E189,Parameter!$I$35:$J$52,2,0),IFERROR(VLOOKUP(D189,Parameter!$A$35:$C$64,2,0),"Nein"))</f>
        <v>2+3</v>
      </c>
      <c r="CD189" s="52" t="n">
        <f aca="false">IF(BZ189=0,0,IF(N(S189)&gt;0,S189,IFERROR(VLOOKUP(D189,Parameter!$A$35:$C$64,3,0)+0,0)))</f>
        <v>0</v>
      </c>
      <c r="CE189" s="48" t="n">
        <f aca="false">IF(AA189&lt;&gt;"",AA189,Z189)</f>
        <v>3</v>
      </c>
      <c r="CF189" s="48" t="str">
        <f aca="false">IF(OR(CE189=1,CE189=2,CE189=3),IF(Parameter!$E$27="Ja","LIFT",IF(CE189=1,"L1","L23")),IF(CE189="Aussen","Aussen","-"))</f>
        <v>LIFT</v>
      </c>
      <c r="CG189" s="59" t="n">
        <f aca="false">IF(N(AB189)&gt;0,AB189,0)</f>
        <v>0</v>
      </c>
      <c r="CH189" s="53" t="n">
        <f aca="false">IF(ISNUMBER(AE189),1,0)</f>
        <v>0</v>
      </c>
      <c r="CI189" s="50" t="n">
        <f aca="false">N(AE189)</f>
        <v>0</v>
      </c>
      <c r="CJ189" s="50" t="n">
        <f aca="false">N(M189)+N(N189)</f>
        <v>43</v>
      </c>
      <c r="CK189" s="50" t="n">
        <f aca="false">N(M189)</f>
        <v>8</v>
      </c>
      <c r="CL189" s="50" t="n">
        <f aca="false">N(N189)</f>
        <v>35</v>
      </c>
      <c r="CM189" s="50" t="n">
        <f aca="false">ROUNDUP(H189/BY189,0)</f>
        <v>1</v>
      </c>
      <c r="CN189" s="50" t="n">
        <f aca="false">ROUNDUP(CI189/BY189,0)</f>
        <v>0</v>
      </c>
      <c r="CO189" s="53" t="n">
        <f aca="false">IF(BZ189=1,0,IFERROR(VLOOKUP(BX189,'Gebinde-Kategorie'!$A$5:$N$45,5,0)+0,0))</f>
        <v>11</v>
      </c>
      <c r="CP189" s="53" t="n">
        <f aca="false">IFERROR(IF(OR(CE189=1,CE189=2,CE189=3),N(INDEX(Parameter!$I$5:$I$7,CE189)),0),0)</f>
        <v>0</v>
      </c>
      <c r="CQ189" s="52" t="n">
        <f aca="false">IF(AND(Parameter!$B$21="Ja",ISNUMBER(W189),N(X189)&gt;0),IFERROR(N(INDEX(Parameter!$L$5:$L$7,W189))*INDEX(Parameter!$E$5:$E$7,W189)*X189/SUMIFS($X$7:$X$1843,$W$7:$W$1843,W189),0),0)</f>
        <v>0</v>
      </c>
    </row>
    <row r="190" customFormat="false" ht="15" hidden="false" customHeight="false" outlineLevel="0" collapsed="false">
      <c r="A190" s="48" t="s">
        <v>592</v>
      </c>
      <c r="B190" s="48" t="s">
        <v>434</v>
      </c>
      <c r="C190" s="48" t="s">
        <v>173</v>
      </c>
      <c r="D190" s="48" t="s">
        <v>193</v>
      </c>
      <c r="E190" s="48" t="s">
        <v>194</v>
      </c>
      <c r="F190" s="48" t="s">
        <v>227</v>
      </c>
      <c r="G190" s="49" t="n">
        <v>10.96</v>
      </c>
      <c r="H190" s="50" t="n">
        <f aca="false">MAX(0,IF(AND(Parameter!$B$21="Ja",ISNUMBER(Y190)),Y190,IF(Parameter!$B$20="Jahresanfang 2025 + Export",BR190+BQ190,BQ190)))</f>
        <v>134</v>
      </c>
      <c r="I190" s="50" t="n">
        <f aca="false">H190*G190</f>
        <v>1468.64</v>
      </c>
      <c r="J190" s="50" t="n">
        <f aca="false">BT190*Parameter!$B$18</f>
        <v>156</v>
      </c>
      <c r="K190" s="51" t="n">
        <v>33</v>
      </c>
      <c r="L190" s="52" t="n">
        <v>4.72727272727273</v>
      </c>
      <c r="M190" s="50" t="n">
        <v>10</v>
      </c>
      <c r="N190" s="50" t="n">
        <v>50</v>
      </c>
      <c r="O190" s="53" t="n">
        <v>21</v>
      </c>
      <c r="P190" s="48" t="s">
        <v>311</v>
      </c>
      <c r="Q190" s="50" t="n">
        <v>61</v>
      </c>
      <c r="R190" s="53" t="n">
        <f aca="false">IF(BZ190=1,0,IFERROR(VLOOKUP(BX190,'Gebinde-Kategorie'!$A$5:$N$45,13,0)+0,0))</f>
        <v>26</v>
      </c>
      <c r="S190" s="54"/>
      <c r="T190" s="55"/>
      <c r="U190" s="55"/>
      <c r="V190" s="55"/>
      <c r="W190" s="48"/>
      <c r="X190" s="50"/>
      <c r="Y190" s="50"/>
      <c r="Z190" s="48" t="n">
        <f aca="false">IF(A190="","",IF(AND(Parameter!$B$21="Ja",ISNUMBER(W190)),W190,IF(CC190="2+3",IF(ISNUMBER(SEARCH("grosser Artikel",BU190)),2,IFERROR(VLOOKUP(BX190,Parameter!$F$35:$G$64,2,0),2)),IF(OR(CC190="Nein",CC190=""),"-",CC190))))</f>
        <v>3</v>
      </c>
      <c r="AA190" s="55"/>
      <c r="AB190" s="56"/>
      <c r="AC190" s="50" t="n">
        <f aca="false">AV190</f>
        <v>94</v>
      </c>
      <c r="AD190" s="50" t="n">
        <f aca="false">MAX(AV190,H190)</f>
        <v>134</v>
      </c>
      <c r="AE190" s="57"/>
      <c r="AF190" s="50" t="n">
        <f aca="false">IF(LEFT(Cockpit!$C$5,1)="A",H190,IF(Parameter!$E$30="MAX-Bestand",IF(CH190=1,CI190,IF(LEFT(Cockpit!$C$5,1)="B",AL190,MAX(AL190,H190))),ROUNDUP(AJ190,0)))</f>
        <v>134</v>
      </c>
      <c r="AG190" s="50" t="n">
        <f aca="false">IF(BZ190=1,0,ROUNDUP(AF190/BY190,0))</f>
        <v>3</v>
      </c>
      <c r="AH190" s="52" t="n">
        <f aca="false">IF(CQ190&gt;0,CQ190*MAX(1,AF190/X190),IF(BZ190=1,IF(AF190&lt;=0,0,CD190*MAX(1,IF(H190&gt;0,AF190/H190,1))),IF(R190&gt;0,AG190/R190,0))/MAX(0.1,N(Parameter!$M$21)))</f>
        <v>0.115384615384615</v>
      </c>
      <c r="AI190" s="50" t="n">
        <f aca="false">AH190*CB190</f>
        <v>17.8846153846154</v>
      </c>
      <c r="AJ190" s="51" t="n">
        <f aca="false">IF(LEFT(Cockpit!$C$5,1)="A",H190,IF(CH190=1,(CK190+CI190)/2,IF(LEFT(Cockpit!$C$5,1)="B",(CK190+AL190)/2,MAX((CK190+AL190)/2,H190))))</f>
        <v>134</v>
      </c>
      <c r="AK190" s="50" t="n">
        <f aca="false">AJ190*G190</f>
        <v>1468.64</v>
      </c>
      <c r="AL190" s="50" t="n">
        <f aca="false">ROUNDUP(CK190+MAX(CL190,2*(J190/IF(CG190&gt;0,CG190,MAX(0.1,N(Cockpit!$C$6)))-CK190)),0)</f>
        <v>94</v>
      </c>
      <c r="AM190" s="51" t="n">
        <f aca="false">IF(AI190&gt;0,J190/AI190,-1)</f>
        <v>8.72258064516129</v>
      </c>
      <c r="AN190" s="51" t="n">
        <f aca="false">IF(AND(OR(CF190="L1",CF190="L23",CF190="LIFT"),AI190&gt;0),SUMIFS($AI$7:$AI$1843,$CF$7:$CF$1843,CF190,$AM$7:$AM$1843,"&gt;"&amp;AM190)+SUMIFS($AI$7:$AI$1843,$CF$7:$CF$1843,CF190,$AM$7:$AM$1843,AM190,$BW$7:$BW$1843,"&lt;="&amp;BW190),"")</f>
        <v>2947.94917582418</v>
      </c>
      <c r="AO190" s="58" t="n">
        <f aca="false">IF(AN190="",0,MAX(0,MIN(1,(IF(CF190="L1",Parameter!$H$5,IF(CF190="L23",Parameter!$H$6+Parameter!$H$7,Parameter!$H$5+Parameter!$H$6+Parameter!$H$7))-(AN190-AI190))/AI190)))</f>
        <v>1</v>
      </c>
      <c r="AP190" s="50" t="n">
        <f aca="false">IF(LEFT(Cockpit!$I$5,1)="A",H190,IF(Parameter!$E$30="MAX-Bestand",IF(CH190=1,CI190,IF(LEFT(Cockpit!$I$5,1)="B",AV190,MAX(AV190,H190))),ROUNDUP(AT190,0)))</f>
        <v>134</v>
      </c>
      <c r="AQ190" s="50" t="n">
        <f aca="false">IF(BZ190=1,0,ROUNDUP(AP190/BY190,0))</f>
        <v>3</v>
      </c>
      <c r="AR190" s="52" t="n">
        <f aca="false">IF(CQ190&gt;0,CQ190*MAX(1,AP190/X190),IF(BZ190=1,IF(AP190&lt;=0,0,CD190*MAX(1,IF(H190&gt;0,AP190/H190,1))),IF(R190&gt;0,AQ190/R190,0))/MAX(0.1,N(Parameter!$M$21)))</f>
        <v>0.115384615384615</v>
      </c>
      <c r="AS190" s="50" t="n">
        <f aca="false">AR190*CB190</f>
        <v>17.8846153846154</v>
      </c>
      <c r="AT190" s="51" t="n">
        <f aca="false">IF(LEFT(Cockpit!$I$5,1)="A",H190,IF(CH190=1,(CK190+CI190)/2,IF(LEFT(Cockpit!$I$5,1)="B",(CK190+AV190)/2,MAX((CK190+AV190)/2,H190))))</f>
        <v>134</v>
      </c>
      <c r="AU190" s="50" t="n">
        <f aca="false">AT190*G190</f>
        <v>1468.64</v>
      </c>
      <c r="AV190" s="50" t="n">
        <f aca="false">ROUNDUP(CK190+MAX(CL190,2*(J190/IF(CG190&gt;0,CG190,MAX(0.1,N(Cockpit!$I$6)))-CK190)),0)</f>
        <v>94</v>
      </c>
      <c r="AW190" s="51" t="n">
        <f aca="false">IF(AS190&gt;0,J190/AS190,-1)</f>
        <v>8.72258064516129</v>
      </c>
      <c r="AX190" s="51" t="n">
        <f aca="false">IF(AND(OR(CF190="L1",CF190="L23",CF190="LIFT"),AS190&gt;0),SUMIFS($AS$7:$AS$1843,$CF$7:$CF$1843,CF190,$AW$7:$AW$1843,"&gt;"&amp;AW190)+SUMIFS($AS$7:$AS$1843,$CF$7:$CF$1843,CF190,$AW$7:$AW$1843,AW190,$BW$7:$BW$1843,"&lt;="&amp;BW190),"")</f>
        <v>3562.93727106227</v>
      </c>
      <c r="AY190" s="58" t="n">
        <f aca="false">IF(AX190="",0,MAX(0,MIN(1,(IF(CF190="L1",Parameter!$H$5,IF(CF190="L23",Parameter!$H$6+Parameter!$H$7,Parameter!$H$5+Parameter!$H$6+Parameter!$H$7))-(AX190-AS190))/AS190)))</f>
        <v>1</v>
      </c>
      <c r="AZ190" s="50" t="n">
        <f aca="false">IF(LEFT(Cockpit!$O$5,1)="A",H190,IF(Parameter!$E$30="MAX-Bestand",IF(CH190=1,CI190,IF(LEFT(Cockpit!$O$5,1)="B",BF190,MAX(BF190,H190))),ROUNDUP(BD190,0)))</f>
        <v>39</v>
      </c>
      <c r="BA190" s="50" t="n">
        <f aca="false">IF(BZ190=1,0,ROUNDUP(AZ190/BY190,0))</f>
        <v>1</v>
      </c>
      <c r="BB190" s="52" t="n">
        <f aca="false">IF(CQ190&gt;0,CQ190*MAX(1,AZ190/X190),IF(BZ190=1,IF(AZ190&lt;=0,0,CD190*MAX(1,IF(H190&gt;0,AZ190/H190,1))),IF(R190&gt;0,BA190/R190,0))/MAX(0.1,N(Parameter!$M$21)))</f>
        <v>0.0384615384615385</v>
      </c>
      <c r="BC190" s="50" t="n">
        <f aca="false">BB190*CB190</f>
        <v>5.96153846153846</v>
      </c>
      <c r="BD190" s="51" t="n">
        <f aca="false">IF(LEFT(Cockpit!$O$5,1)="A",H190,IF(CH190=1,(CK190+CI190)/2,IF(LEFT(Cockpit!$O$5,1)="B",(CK190+BF190)/2,MAX((CK190+BF190)/2,H190))))</f>
        <v>39</v>
      </c>
      <c r="BE190" s="50" t="n">
        <f aca="false">BD190*G190</f>
        <v>427.44</v>
      </c>
      <c r="BF190" s="50" t="n">
        <f aca="false">ROUNDUP(CK190+MAX(CL190,2*(J190/IF(CG190&gt;0,CG190,MAX(0.1,N(Cockpit!$O$6)))-CK190)),0)</f>
        <v>68</v>
      </c>
      <c r="BG190" s="51" t="n">
        <f aca="false">IF(BC190&gt;0,J190/BC190,-1)</f>
        <v>26.1677419354839</v>
      </c>
      <c r="BH190" s="51" t="n">
        <f aca="false">IF(AND(OR(CF190="L1",CF190="L23",CF190="LIFT"),BC190&gt;0),SUMIFS($BC$7:$BC$1843,$CF$7:$CF$1843,CF190,$BG$7:$BG$1843,"&gt;"&amp;BG190)+SUMIFS($BC$7:$BC$1843,$CF$7:$CF$1843,CF190,$BG$7:$BG$1843,BG190,$BW$7:$BW$1843,"&lt;="&amp;BW190),"")</f>
        <v>2042.48672161172</v>
      </c>
      <c r="BI190" s="58" t="n">
        <f aca="false">IF(BH190="",0,MAX(0,MIN(1,(IF(CF190="L1",Parameter!$H$5,IF(CF190="L23",Parameter!$H$6+Parameter!$H$7,Parameter!$H$5+Parameter!$H$6+Parameter!$H$7))-(BH190-BC190))/BC190)))</f>
        <v>1</v>
      </c>
      <c r="BJ190" s="48" t="str">
        <f aca="false">IF(AI190&lt;=0,"",IF(CF190="Aussen","Aussenlager",IF(CF190="-","Nicht im Lift",IF(AO190&gt;=1,"Lift",IF(AO190&lt;=0,"Aussenlager","teilweise")))))</f>
        <v>Lift</v>
      </c>
      <c r="BK190" s="48" t="str">
        <f aca="false">IF(AS190&lt;=0,"",IF(CF190="Aussen","Aussenlager",IF(CF190="-","Nicht im Lift",IF(AY190&gt;=1,"Lift",IF(AY190&lt;=0,"Aussenlager","teilweise")))))</f>
        <v>Lift</v>
      </c>
      <c r="BL190" s="48" t="str">
        <f aca="false">IF(BC190&lt;=0,"",IF(CF190="Aussen","Aussenlager",IF(CF190="-","Nicht im Lift",IF(BI190&gt;=1,"Lift",IF(BI190&lt;=0,"Aussenlager","teilweise")))))</f>
        <v>Lift</v>
      </c>
      <c r="BM190" s="48" t="str">
        <f aca="false">IF(A190="","",IF(BV190=1,"Neu; ","")&amp;IF(AND(BV190=0,BQ190&lt;0),"negativer Bestand (Export "&amp;BQ190&amp;"); ","")&amp;IF(J190&lt;=0,"Kein Verbrauch; ","")&amp;IF(CQ190&gt;0,"Lift "&amp;W190&amp;" lt. Liftbericht (Fach "&amp;X190&amp;" Stk); ",IF(CA190=1,"Gebinde geschätzt ("&amp;T190&amp;"); ",IF(BZ190=1,"Lose – Tablare geschätzt; ","")))&amp;IF(H190&gt;AV190,"Überbestand "&amp;ROUND(H190-AV190,0)&amp;" Stk / CHF "&amp;ROUND((H190-AV190)*G190,0)&amp;"; ","")&amp;IF(AND(CH190=1,CI190&lt;CJ190),"MAX &lt; MB+LG; ","")&amp;IF(AND(CP190&gt;0,CO190*10&gt;CP190),"zu hoch für Tablar; ","")&amp;IF(AND(BV190=0,OR(CH190=1,AA190&lt;&gt;"",U190&lt;&gt;"",V190&lt;&gt;"",AB190&lt;&gt;"")),"manuell übersteuert; ","")&amp;IF(AND(BZ190=0,R190=0),"Gebinde unbekannt / Stellmass fehlt; ","")&amp;IF(AND(BZ190=0,N(V190)&lt;=0,N(Q190)&lt;=0),"Menge pro Gebinde fehlt (Ist = 1 Gebinde); ","")&amp;BU190)</f>
        <v>Überbestand 40 Stk / CHF 438; </v>
      </c>
      <c r="BN190" s="48"/>
      <c r="BO190" s="48"/>
      <c r="BP190" s="55"/>
      <c r="BQ190" s="50" t="n">
        <v>98</v>
      </c>
      <c r="BR190" s="50" t="n">
        <v>36</v>
      </c>
      <c r="BS190" s="49" t="n">
        <v>926.84</v>
      </c>
      <c r="BT190" s="50" t="n">
        <v>156</v>
      </c>
      <c r="BU190" s="48"/>
      <c r="BV190" s="53" t="n">
        <v>0</v>
      </c>
      <c r="BW190" s="53" t="n">
        <v>190</v>
      </c>
      <c r="BX190" s="48" t="str">
        <f aca="false">IF(U190&lt;&gt;"",UPPER(TRIM(U190)),IF(CA190=1,UPPER(VLOOKUP(T190,Parameter!$I$27:$K$29,2,0)),IF(P190="","LOSE",P190)))</f>
        <v>S51</v>
      </c>
      <c r="BY190" s="50" t="n">
        <f aca="false">IF(BX190="LOSE",1,IF(N(V190)&gt;0,V190,IF(CA190=1,MAX(1,N(VLOOKUP(T190,Parameter!$I$27:$K$29,3,0)),H190,N(N190)),IF(N(Q190)&gt;0,Q190,MAX(1,H190)))))</f>
        <v>61</v>
      </c>
      <c r="BZ190" s="53" t="n">
        <f aca="false">IF(BX190="LOSE",1,0)</f>
        <v>0</v>
      </c>
      <c r="CA190" s="53" t="n">
        <f aca="false">IF(AND(U190="",OR(P190="",P190="LOSE"),T190&lt;&gt;"",N(S190)&lt;=0,ISNUMBER(MATCH(T190,Parameter!$I$27:$I$29,0))),1,0)</f>
        <v>0</v>
      </c>
      <c r="CB190" s="53" t="n">
        <f aca="false">IF(CQ190&gt;0,INDEX(Parameter!$H$5:$H$7,W190)/INDEX(Parameter!$E$5:$E$7,W190),IF(AND(BZ190=0,N(IFERROR(VLOOKUP(BX190,'Gebinde-Kategorie'!$A$5:$N$45,14,0),0))&gt;0),VLOOKUP(BX190,'Gebinde-Kategorie'!$A$5:$N$45,14,0)*10+Parameter!$M$23,Parameter!$M$24))</f>
        <v>155</v>
      </c>
      <c r="CC190" s="48" t="str">
        <f aca="false">IF(AND(Parameter!$B$19="Ja",E190&lt;&gt;"",ISNUMBER(MATCH(E190,Parameter!$I$35:$I$52,0))),VLOOKUP(E190,Parameter!$I$35:$J$52,2,0),IFERROR(VLOOKUP(D190,Parameter!$A$35:$C$64,2,0),"Nein"))</f>
        <v>2+3</v>
      </c>
      <c r="CD190" s="52" t="n">
        <f aca="false">IF(BZ190=0,0,IF(N(S190)&gt;0,S190,IFERROR(VLOOKUP(D190,Parameter!$A$35:$C$64,3,0)+0,0)))</f>
        <v>0</v>
      </c>
      <c r="CE190" s="48" t="n">
        <f aca="false">IF(AA190&lt;&gt;"",AA190,Z190)</f>
        <v>3</v>
      </c>
      <c r="CF190" s="48" t="str">
        <f aca="false">IF(OR(CE190=1,CE190=2,CE190=3),IF(Parameter!$E$27="Ja","LIFT",IF(CE190=1,"L1","L23")),IF(CE190="Aussen","Aussen","-"))</f>
        <v>LIFT</v>
      </c>
      <c r="CG190" s="59" t="n">
        <f aca="false">IF(N(AB190)&gt;0,AB190,0)</f>
        <v>0</v>
      </c>
      <c r="CH190" s="53" t="n">
        <f aca="false">IF(ISNUMBER(AE190),1,0)</f>
        <v>0</v>
      </c>
      <c r="CI190" s="50" t="n">
        <f aca="false">N(AE190)</f>
        <v>0</v>
      </c>
      <c r="CJ190" s="50" t="n">
        <f aca="false">N(M190)+N(N190)</f>
        <v>60</v>
      </c>
      <c r="CK190" s="50" t="n">
        <f aca="false">N(M190)</f>
        <v>10</v>
      </c>
      <c r="CL190" s="50" t="n">
        <f aca="false">N(N190)</f>
        <v>50</v>
      </c>
      <c r="CM190" s="50" t="n">
        <f aca="false">ROUNDUP(H190/BY190,0)</f>
        <v>3</v>
      </c>
      <c r="CN190" s="50" t="n">
        <f aca="false">ROUNDUP(CI190/BY190,0)</f>
        <v>0</v>
      </c>
      <c r="CO190" s="53" t="n">
        <f aca="false">IF(BZ190=1,0,IFERROR(VLOOKUP(BX190,'Gebinde-Kategorie'!$A$5:$N$45,5,0)+0,0))</f>
        <v>11</v>
      </c>
      <c r="CP190" s="53" t="n">
        <f aca="false">IFERROR(IF(OR(CE190=1,CE190=2,CE190=3),N(INDEX(Parameter!$I$5:$I$7,CE190)),0),0)</f>
        <v>0</v>
      </c>
      <c r="CQ190" s="52" t="n">
        <f aca="false">IF(AND(Parameter!$B$21="Ja",ISNUMBER(W190),N(X190)&gt;0),IFERROR(N(INDEX(Parameter!$L$5:$L$7,W190))*INDEX(Parameter!$E$5:$E$7,W190)*X190/SUMIFS($X$7:$X$1843,$W$7:$W$1843,W190),0),0)</f>
        <v>0</v>
      </c>
    </row>
    <row r="191" customFormat="false" ht="15" hidden="false" customHeight="false" outlineLevel="0" collapsed="false">
      <c r="A191" s="48" t="s">
        <v>593</v>
      </c>
      <c r="B191" s="48" t="s">
        <v>594</v>
      </c>
      <c r="C191" s="48" t="s">
        <v>173</v>
      </c>
      <c r="D191" s="48" t="s">
        <v>182</v>
      </c>
      <c r="E191" s="48"/>
      <c r="F191" s="48" t="s">
        <v>227</v>
      </c>
      <c r="G191" s="49" t="n">
        <v>185.13</v>
      </c>
      <c r="H191" s="50" t="n">
        <f aca="false">MAX(0,IF(AND(Parameter!$B$21="Ja",ISNUMBER(Y191)),Y191,IF(Parameter!$B$20="Jahresanfang 2025 + Export",BR191+BQ191,BQ191)))</f>
        <v>5</v>
      </c>
      <c r="I191" s="50" t="n">
        <f aca="false">H191*G191</f>
        <v>925.65</v>
      </c>
      <c r="J191" s="50" t="n">
        <f aca="false">BT191*Parameter!$B$18</f>
        <v>2</v>
      </c>
      <c r="K191" s="51" t="n">
        <v>1.5</v>
      </c>
      <c r="L191" s="52" t="n">
        <v>1.33333333333333</v>
      </c>
      <c r="M191" s="50" t="n">
        <v>0</v>
      </c>
      <c r="N191" s="50" t="n">
        <v>1</v>
      </c>
      <c r="O191" s="53" t="n">
        <v>31</v>
      </c>
      <c r="P191" s="48" t="s">
        <v>177</v>
      </c>
      <c r="Q191" s="50"/>
      <c r="R191" s="53" t="n">
        <f aca="false">IF(BZ191=1,0,IFERROR(VLOOKUP(BX191,'Gebinde-Kategorie'!$A$5:$N$45,13,0)+0,0))</f>
        <v>26</v>
      </c>
      <c r="S191" s="54"/>
      <c r="T191" s="55" t="s">
        <v>284</v>
      </c>
      <c r="U191" s="55"/>
      <c r="V191" s="55"/>
      <c r="W191" s="48"/>
      <c r="X191" s="50"/>
      <c r="Y191" s="50"/>
      <c r="Z191" s="48" t="n">
        <f aca="false">IF(A191="","",IF(AND(Parameter!$B$21="Ja",ISNUMBER(W191)),W191,IF(CC191="2+3",IF(ISNUMBER(SEARCH("grosser Artikel",BU191)),2,IFERROR(VLOOKUP(BX191,Parameter!$F$35:$G$64,2,0),2)),IF(OR(CC191="Nein",CC191=""),"-",CC191))))</f>
        <v>3</v>
      </c>
      <c r="AA191" s="55"/>
      <c r="AB191" s="56"/>
      <c r="AC191" s="50" t="n">
        <f aca="false">AV191</f>
        <v>2</v>
      </c>
      <c r="AD191" s="50" t="n">
        <f aca="false">MAX(AV191,H191)</f>
        <v>5</v>
      </c>
      <c r="AE191" s="57"/>
      <c r="AF191" s="50" t="n">
        <f aca="false">IF(LEFT(Cockpit!$C$5,1)="A",H191,IF(Parameter!$E$30="MAX-Bestand",IF(CH191=1,CI191,IF(LEFT(Cockpit!$C$5,1)="B",AL191,MAX(AL191,H191))),ROUNDUP(AJ191,0)))</f>
        <v>5</v>
      </c>
      <c r="AG191" s="50" t="n">
        <f aca="false">IF(BZ191=1,0,ROUNDUP(AF191/BY191,0))</f>
        <v>1</v>
      </c>
      <c r="AH191" s="52" t="n">
        <f aca="false">IF(CQ191&gt;0,CQ191*MAX(1,AF191/X191),IF(BZ191=1,IF(AF191&lt;=0,0,CD191*MAX(1,IF(H191&gt;0,AF191/H191,1))),IF(R191&gt;0,AG191/R191,0))/MAX(0.1,N(Parameter!$M$21)))</f>
        <v>0.0384615384615385</v>
      </c>
      <c r="AI191" s="50" t="n">
        <f aca="false">AH191*CB191</f>
        <v>5.96153846153846</v>
      </c>
      <c r="AJ191" s="51" t="n">
        <f aca="false">IF(LEFT(Cockpit!$C$5,1)="A",H191,IF(CH191=1,(CK191+CI191)/2,IF(LEFT(Cockpit!$C$5,1)="B",(CK191+AL191)/2,MAX((CK191+AL191)/2,H191))))</f>
        <v>5</v>
      </c>
      <c r="AK191" s="50" t="n">
        <f aca="false">AJ191*G191</f>
        <v>925.65</v>
      </c>
      <c r="AL191" s="50" t="n">
        <f aca="false">ROUNDUP(CK191+MAX(CL191,2*(J191/IF(CG191&gt;0,CG191,MAX(0.1,N(Cockpit!$C$6)))-CK191)),0)</f>
        <v>2</v>
      </c>
      <c r="AM191" s="51" t="n">
        <f aca="false">IF(AI191&gt;0,J191/AI191,-1)</f>
        <v>0.335483870967742</v>
      </c>
      <c r="AN191" s="51" t="n">
        <f aca="false">IF(AND(OR(CF191="L1",CF191="L23",CF191="LIFT"),AI191&gt;0),SUMIFS($AI$7:$AI$1843,$CF$7:$CF$1843,CF191,$AM$7:$AM$1843,"&gt;"&amp;AM191)+SUMIFS($AI$7:$AI$1843,$CF$7:$CF$1843,CF191,$AM$7:$AM$1843,AM191,$BW$7:$BW$1843,"&lt;="&amp;BW191),"")</f>
        <v>11168.1347317936</v>
      </c>
      <c r="AO191" s="58" t="n">
        <f aca="false">IF(AN191="",0,MAX(0,MIN(1,(IF(CF191="L1",Parameter!$H$5,IF(CF191="L23",Parameter!$H$6+Parameter!$H$7,Parameter!$H$5+Parameter!$H$6+Parameter!$H$7))-(AN191-AI191))/AI191)))</f>
        <v>1</v>
      </c>
      <c r="AP191" s="50" t="n">
        <f aca="false">IF(LEFT(Cockpit!$I$5,1)="A",H191,IF(Parameter!$E$30="MAX-Bestand",IF(CH191=1,CI191,IF(LEFT(Cockpit!$I$5,1)="B",AV191,MAX(AV191,H191))),ROUNDUP(AT191,0)))</f>
        <v>5</v>
      </c>
      <c r="AQ191" s="50" t="n">
        <f aca="false">IF(BZ191=1,0,ROUNDUP(AP191/BY191,0))</f>
        <v>1</v>
      </c>
      <c r="AR191" s="52" t="n">
        <f aca="false">IF(CQ191&gt;0,CQ191*MAX(1,AP191/X191),IF(BZ191=1,IF(AP191&lt;=0,0,CD191*MAX(1,IF(H191&gt;0,AP191/H191,1))),IF(R191&gt;0,AQ191/R191,0))/MAX(0.1,N(Parameter!$M$21)))</f>
        <v>0.0384615384615385</v>
      </c>
      <c r="AS191" s="50" t="n">
        <f aca="false">AR191*CB191</f>
        <v>5.96153846153846</v>
      </c>
      <c r="AT191" s="51" t="n">
        <f aca="false">IF(LEFT(Cockpit!$I$5,1)="A",H191,IF(CH191=1,(CK191+CI191)/2,IF(LEFT(Cockpit!$I$5,1)="B",(CK191+AV191)/2,MAX((CK191+AV191)/2,H191))))</f>
        <v>5</v>
      </c>
      <c r="AU191" s="50" t="n">
        <f aca="false">AT191*G191</f>
        <v>925.65</v>
      </c>
      <c r="AV191" s="50" t="n">
        <f aca="false">ROUNDUP(CK191+MAX(CL191,2*(J191/IF(CG191&gt;0,CG191,MAX(0.1,N(Cockpit!$I$6)))-CK191)),0)</f>
        <v>2</v>
      </c>
      <c r="AW191" s="51" t="n">
        <f aca="false">IF(AS191&gt;0,J191/AS191,-1)</f>
        <v>0.335483870967742</v>
      </c>
      <c r="AX191" s="51" t="n">
        <f aca="false">IF(AND(OR(CF191="L1",CF191="L23",CF191="LIFT"),AS191&gt;0),SUMIFS($AS$7:$AS$1843,$CF$7:$CF$1843,CF191,$AW$7:$AW$1843,"&gt;"&amp;AW191)+SUMIFS($AS$7:$AS$1843,$CF$7:$CF$1843,CF191,$AW$7:$AW$1843,AW191,$BW$7:$BW$1843,"&lt;="&amp;BW191),"")</f>
        <v>13690.3493589744</v>
      </c>
      <c r="AY191" s="58" t="n">
        <f aca="false">IF(AX191="",0,MAX(0,MIN(1,(IF(CF191="L1",Parameter!$H$5,IF(CF191="L23",Parameter!$H$6+Parameter!$H$7,Parameter!$H$5+Parameter!$H$6+Parameter!$H$7))-(AX191-AS191))/AS191)))</f>
        <v>1</v>
      </c>
      <c r="AZ191" s="50" t="n">
        <f aca="false">IF(LEFT(Cockpit!$O$5,1)="A",H191,IF(Parameter!$E$30="MAX-Bestand",IF(CH191=1,CI191,IF(LEFT(Cockpit!$O$5,1)="B",BF191,MAX(BF191,H191))),ROUNDUP(BD191,0)))</f>
        <v>1</v>
      </c>
      <c r="BA191" s="50" t="n">
        <f aca="false">IF(BZ191=1,0,ROUNDUP(AZ191/BY191,0))</f>
        <v>1</v>
      </c>
      <c r="BB191" s="52" t="n">
        <f aca="false">IF(CQ191&gt;0,CQ191*MAX(1,AZ191/X191),IF(BZ191=1,IF(AZ191&lt;=0,0,CD191*MAX(1,IF(H191&gt;0,AZ191/H191,1))),IF(R191&gt;0,BA191/R191,0))/MAX(0.1,N(Parameter!$M$21)))</f>
        <v>0.0384615384615385</v>
      </c>
      <c r="BC191" s="50" t="n">
        <f aca="false">BB191*CB191</f>
        <v>5.96153846153846</v>
      </c>
      <c r="BD191" s="51" t="n">
        <f aca="false">IF(LEFT(Cockpit!$O$5,1)="A",H191,IF(CH191=1,(CK191+CI191)/2,IF(LEFT(Cockpit!$O$5,1)="B",(CK191+BF191)/2,MAX((CK191+BF191)/2,H191))))</f>
        <v>0.5</v>
      </c>
      <c r="BE191" s="50" t="n">
        <f aca="false">BD191*G191</f>
        <v>92.565</v>
      </c>
      <c r="BF191" s="50" t="n">
        <f aca="false">ROUNDUP(CK191+MAX(CL191,2*(J191/IF(CG191&gt;0,CG191,MAX(0.1,N(Cockpit!$O$6)))-CK191)),0)</f>
        <v>1</v>
      </c>
      <c r="BG191" s="51" t="n">
        <f aca="false">IF(BC191&gt;0,J191/BC191,-1)</f>
        <v>0.335483870967742</v>
      </c>
      <c r="BH191" s="51" t="n">
        <f aca="false">IF(AND(OR(CF191="L1",CF191="L23",CF191="LIFT"),BC191&gt;0),SUMIFS($BC$7:$BC$1843,$CF$7:$CF$1843,CF191,$BG$7:$BG$1843,"&gt;"&amp;BG191)+SUMIFS($BC$7:$BC$1843,$CF$7:$CF$1843,CF191,$BG$7:$BG$1843,BG191,$BW$7:$BW$1843,"&lt;="&amp;BW191),"")</f>
        <v>11553.2312271062</v>
      </c>
      <c r="BI191" s="58" t="n">
        <f aca="false">IF(BH191="",0,MAX(0,MIN(1,(IF(CF191="L1",Parameter!$H$5,IF(CF191="L23",Parameter!$H$6+Parameter!$H$7,Parameter!$H$5+Parameter!$H$6+Parameter!$H$7))-(BH191-BC191))/BC191)))</f>
        <v>1</v>
      </c>
      <c r="BJ191" s="48" t="str">
        <f aca="false">IF(AI191&lt;=0,"",IF(CF191="Aussen","Aussenlager",IF(CF191="-","Nicht im Lift",IF(AO191&gt;=1,"Lift",IF(AO191&lt;=0,"Aussenlager","teilweise")))))</f>
        <v>Lift</v>
      </c>
      <c r="BK191" s="48" t="str">
        <f aca="false">IF(AS191&lt;=0,"",IF(CF191="Aussen","Aussenlager",IF(CF191="-","Nicht im Lift",IF(AY191&gt;=1,"Lift",IF(AY191&lt;=0,"Aussenlager","teilweise")))))</f>
        <v>Lift</v>
      </c>
      <c r="BL191" s="48" t="str">
        <f aca="false">IF(BC191&lt;=0,"",IF(CF191="Aussen","Aussenlager",IF(CF191="-","Nicht im Lift",IF(BI191&gt;=1,"Lift",IF(BI191&lt;=0,"Aussenlager","teilweise")))))</f>
        <v>Lift</v>
      </c>
      <c r="BM191" s="48" t="str">
        <f aca="false">IF(A191="","",IF(BV191=1,"Neu; ","")&amp;IF(AND(BV191=0,BQ191&lt;0),"negativer Bestand (Export "&amp;BQ191&amp;"); ","")&amp;IF(J191&lt;=0,"Kein Verbrauch; ","")&amp;IF(CQ191&gt;0,"Lift "&amp;W191&amp;" lt. Liftbericht (Fach "&amp;X191&amp;" Stk); ",IF(CA191=1,"Gebinde geschätzt ("&amp;T191&amp;"); ",IF(BZ191=1,"Lose – Tablare geschätzt; ","")))&amp;IF(H191&gt;AV191,"Überbestand "&amp;ROUND(H191-AV191,0)&amp;" Stk / CHF "&amp;ROUND((H191-AV191)*G191,0)&amp;"; ","")&amp;IF(AND(CH191=1,CI191&lt;CJ191),"MAX &lt; MB+LG; ","")&amp;IF(AND(CP191&gt;0,CO191*10&gt;CP191),"zu hoch für Tablar; ","")&amp;IF(AND(BV191=0,OR(CH191=1,AA191&lt;&gt;"",U191&lt;&gt;"",V191&lt;&gt;"",AB191&lt;&gt;"")),"manuell übersteuert; ","")&amp;IF(AND(BZ191=0,R191=0),"Gebinde unbekannt / Stellmass fehlt; ","")&amp;IF(AND(BZ191=0,N(V191)&lt;=0,N(Q191)&lt;=0),"Menge pro Gebinde fehlt (Ist = 1 Gebinde); ","")&amp;BU191)</f>
        <v>Gebinde geschätzt (Klein); Überbestand 3 Stk / CHF 555; Menge pro Gebinde fehlt (Ist = 1 Gebinde); </v>
      </c>
      <c r="BN191" s="48"/>
      <c r="BO191" s="48"/>
      <c r="BP191" s="55"/>
      <c r="BQ191" s="50" t="n">
        <v>5</v>
      </c>
      <c r="BR191" s="50" t="n">
        <v>0</v>
      </c>
      <c r="BS191" s="49" t="n">
        <v>925.65</v>
      </c>
      <c r="BT191" s="50" t="n">
        <v>2</v>
      </c>
      <c r="BU191" s="48"/>
      <c r="BV191" s="53" t="n">
        <v>0</v>
      </c>
      <c r="BW191" s="53" t="n">
        <v>191</v>
      </c>
      <c r="BX191" s="48" t="str">
        <f aca="false">IF(U191&lt;&gt;"",UPPER(TRIM(U191)),IF(CA191=1,UPPER(VLOOKUP(T191,Parameter!$I$27:$K$29,2,0)),IF(P191="","LOSE",P191)))</f>
        <v>S51</v>
      </c>
      <c r="BY191" s="50" t="n">
        <f aca="false">IF(BX191="LOSE",1,IF(N(V191)&gt;0,V191,IF(CA191=1,MAX(1,N(VLOOKUP(T191,Parameter!$I$27:$K$29,3,0)),H191,N(N191)),IF(N(Q191)&gt;0,Q191,MAX(1,H191)))))</f>
        <v>20</v>
      </c>
      <c r="BZ191" s="53" t="n">
        <f aca="false">IF(BX191="LOSE",1,0)</f>
        <v>0</v>
      </c>
      <c r="CA191" s="53" t="n">
        <f aca="false">IF(AND(U191="",OR(P191="",P191="LOSE"),T191&lt;&gt;"",N(S191)&lt;=0,ISNUMBER(MATCH(T191,Parameter!$I$27:$I$29,0))),1,0)</f>
        <v>1</v>
      </c>
      <c r="CB191" s="53" t="n">
        <f aca="false">IF(CQ191&gt;0,INDEX(Parameter!$H$5:$H$7,W191)/INDEX(Parameter!$E$5:$E$7,W191),IF(AND(BZ191=0,N(IFERROR(VLOOKUP(BX191,'Gebinde-Kategorie'!$A$5:$N$45,14,0),0))&gt;0),VLOOKUP(BX191,'Gebinde-Kategorie'!$A$5:$N$45,14,0)*10+Parameter!$M$23,Parameter!$M$24))</f>
        <v>155</v>
      </c>
      <c r="CC191" s="48" t="str">
        <f aca="false">IF(AND(Parameter!$B$19="Ja",E191&lt;&gt;"",ISNUMBER(MATCH(E191,Parameter!$I$35:$I$52,0))),VLOOKUP(E191,Parameter!$I$35:$J$52,2,0),IFERROR(VLOOKUP(D191,Parameter!$A$35:$C$64,2,0),"Nein"))</f>
        <v>2+3</v>
      </c>
      <c r="CD191" s="52" t="n">
        <f aca="false">IF(BZ191=0,0,IF(N(S191)&gt;0,S191,IFERROR(VLOOKUP(D191,Parameter!$A$35:$C$64,3,0)+0,0)))</f>
        <v>0</v>
      </c>
      <c r="CE191" s="48" t="n">
        <f aca="false">IF(AA191&lt;&gt;"",AA191,Z191)</f>
        <v>3</v>
      </c>
      <c r="CF191" s="48" t="str">
        <f aca="false">IF(OR(CE191=1,CE191=2,CE191=3),IF(Parameter!$E$27="Ja","LIFT",IF(CE191=1,"L1","L23")),IF(CE191="Aussen","Aussen","-"))</f>
        <v>LIFT</v>
      </c>
      <c r="CG191" s="59" t="n">
        <f aca="false">IF(N(AB191)&gt;0,AB191,0)</f>
        <v>0</v>
      </c>
      <c r="CH191" s="53" t="n">
        <f aca="false">IF(ISNUMBER(AE191),1,0)</f>
        <v>0</v>
      </c>
      <c r="CI191" s="50" t="n">
        <f aca="false">N(AE191)</f>
        <v>0</v>
      </c>
      <c r="CJ191" s="50" t="n">
        <f aca="false">N(M191)+N(N191)</f>
        <v>1</v>
      </c>
      <c r="CK191" s="50" t="n">
        <f aca="false">N(M191)</f>
        <v>0</v>
      </c>
      <c r="CL191" s="50" t="n">
        <f aca="false">N(N191)</f>
        <v>1</v>
      </c>
      <c r="CM191" s="50" t="n">
        <f aca="false">ROUNDUP(H191/BY191,0)</f>
        <v>1</v>
      </c>
      <c r="CN191" s="50" t="n">
        <f aca="false">ROUNDUP(CI191/BY191,0)</f>
        <v>0</v>
      </c>
      <c r="CO191" s="53" t="n">
        <f aca="false">IF(BZ191=1,0,IFERROR(VLOOKUP(BX191,'Gebinde-Kategorie'!$A$5:$N$45,5,0)+0,0))</f>
        <v>11</v>
      </c>
      <c r="CP191" s="53" t="n">
        <f aca="false">IFERROR(IF(OR(CE191=1,CE191=2,CE191=3),N(INDEX(Parameter!$I$5:$I$7,CE191)),0),0)</f>
        <v>0</v>
      </c>
      <c r="CQ191" s="52" t="n">
        <f aca="false">IF(AND(Parameter!$B$21="Ja",ISNUMBER(W191),N(X191)&gt;0),IFERROR(N(INDEX(Parameter!$L$5:$L$7,W191))*INDEX(Parameter!$E$5:$E$7,W191)*X191/SUMIFS($X$7:$X$1843,$W$7:$W$1843,W191),0),0)</f>
        <v>0</v>
      </c>
    </row>
    <row r="192" customFormat="false" ht="15" hidden="false" customHeight="false" outlineLevel="0" collapsed="false">
      <c r="A192" s="48" t="s">
        <v>595</v>
      </c>
      <c r="B192" s="48" t="s">
        <v>596</v>
      </c>
      <c r="C192" s="48" t="s">
        <v>173</v>
      </c>
      <c r="D192" s="48" t="s">
        <v>193</v>
      </c>
      <c r="E192" s="48" t="s">
        <v>194</v>
      </c>
      <c r="F192" s="48" t="s">
        <v>227</v>
      </c>
      <c r="G192" s="49" t="n">
        <v>4.88</v>
      </c>
      <c r="H192" s="50" t="n">
        <f aca="false">MAX(0,IF(AND(Parameter!$B$21="Ja",ISNUMBER(Y192)),Y192,IF(Parameter!$B$20="Jahresanfang 2025 + Export",BR192+BQ192,BQ192)))</f>
        <v>335</v>
      </c>
      <c r="I192" s="50" t="n">
        <f aca="false">H192*G192</f>
        <v>1634.8</v>
      </c>
      <c r="J192" s="50" t="n">
        <f aca="false">BT192*Parameter!$B$18</f>
        <v>354</v>
      </c>
      <c r="K192" s="51" t="n">
        <v>175</v>
      </c>
      <c r="L192" s="52" t="n">
        <v>2.02285714285714</v>
      </c>
      <c r="M192" s="50" t="n">
        <v>20</v>
      </c>
      <c r="N192" s="50" t="n">
        <v>355</v>
      </c>
      <c r="O192" s="53" t="n">
        <v>21</v>
      </c>
      <c r="P192" s="48" t="s">
        <v>430</v>
      </c>
      <c r="Q192" s="50" t="n">
        <v>241</v>
      </c>
      <c r="R192" s="53" t="n">
        <f aca="false">IF(BZ192=1,0,IFERROR(VLOOKUP(BX192,'Gebinde-Kategorie'!$A$5:$N$45,13,0)+0,0))</f>
        <v>104</v>
      </c>
      <c r="S192" s="54"/>
      <c r="T192" s="55"/>
      <c r="U192" s="55"/>
      <c r="V192" s="55"/>
      <c r="W192" s="48"/>
      <c r="X192" s="50"/>
      <c r="Y192" s="50"/>
      <c r="Z192" s="48" t="n">
        <f aca="false">IF(A192="","",IF(AND(Parameter!$B$21="Ja",ISNUMBER(W192)),W192,IF(CC192="2+3",IF(ISNUMBER(SEARCH("grosser Artikel",BU192)),2,IFERROR(VLOOKUP(BX192,Parameter!$F$35:$G$64,2,0),2)),IF(OR(CC192="Nein",CC192=""),"-",CC192))))</f>
        <v>3</v>
      </c>
      <c r="AA192" s="55"/>
      <c r="AB192" s="56"/>
      <c r="AC192" s="50" t="n">
        <f aca="false">AV192</f>
        <v>375</v>
      </c>
      <c r="AD192" s="50" t="n">
        <f aca="false">MAX(AV192,H192)</f>
        <v>375</v>
      </c>
      <c r="AE192" s="57"/>
      <c r="AF192" s="50" t="n">
        <f aca="false">IF(LEFT(Cockpit!$C$5,1)="A",H192,IF(Parameter!$E$30="MAX-Bestand",IF(CH192=1,CI192,IF(LEFT(Cockpit!$C$5,1)="B",AL192,MAX(AL192,H192))),ROUNDUP(AJ192,0)))</f>
        <v>335</v>
      </c>
      <c r="AG192" s="50" t="n">
        <f aca="false">IF(BZ192=1,0,ROUNDUP(AF192/BY192,0))</f>
        <v>2</v>
      </c>
      <c r="AH192" s="52" t="n">
        <f aca="false">IF(CQ192&gt;0,CQ192*MAX(1,AF192/X192),IF(BZ192=1,IF(AF192&lt;=0,0,CD192*MAX(1,IF(H192&gt;0,AF192/H192,1))),IF(R192&gt;0,AG192/R192,0))/MAX(0.1,N(Parameter!$M$21)))</f>
        <v>0.0192307692307692</v>
      </c>
      <c r="AI192" s="50" t="n">
        <f aca="false">AH192*CB192</f>
        <v>2.98076923076923</v>
      </c>
      <c r="AJ192" s="51" t="n">
        <f aca="false">IF(LEFT(Cockpit!$C$5,1)="A",H192,IF(CH192=1,(CK192+CI192)/2,IF(LEFT(Cockpit!$C$5,1)="B",(CK192+AL192)/2,MAX((CK192+AL192)/2,H192))))</f>
        <v>335</v>
      </c>
      <c r="AK192" s="50" t="n">
        <f aca="false">AJ192*G192</f>
        <v>1634.8</v>
      </c>
      <c r="AL192" s="50" t="n">
        <f aca="false">ROUNDUP(CK192+MAX(CL192,2*(J192/IF(CG192&gt;0,CG192,MAX(0.1,N(Cockpit!$C$6)))-CK192)),0)</f>
        <v>375</v>
      </c>
      <c r="AM192" s="51" t="n">
        <f aca="false">IF(AI192&gt;0,J192/AI192,-1)</f>
        <v>118.761290322581</v>
      </c>
      <c r="AN192" s="51" t="n">
        <f aca="false">IF(AND(OR(CF192="L1",CF192="L23",CF192="LIFT"),AI192&gt;0),SUMIFS($AI$7:$AI$1843,$CF$7:$CF$1843,CF192,$AM$7:$AM$1843,"&gt;"&amp;AM192)+SUMIFS($AI$7:$AI$1843,$CF$7:$CF$1843,CF192,$AM$7:$AM$1843,AM192,$BW$7:$BW$1843,"&lt;="&amp;BW192),"")</f>
        <v>681.202380952381</v>
      </c>
      <c r="AO192" s="58" t="n">
        <f aca="false">IF(AN192="",0,MAX(0,MIN(1,(IF(CF192="L1",Parameter!$H$5,IF(CF192="L23",Parameter!$H$6+Parameter!$H$7,Parameter!$H$5+Parameter!$H$6+Parameter!$H$7))-(AN192-AI192))/AI192)))</f>
        <v>1</v>
      </c>
      <c r="AP192" s="50" t="n">
        <f aca="false">IF(LEFT(Cockpit!$I$5,1)="A",H192,IF(Parameter!$E$30="MAX-Bestand",IF(CH192=1,CI192,IF(LEFT(Cockpit!$I$5,1)="B",AV192,MAX(AV192,H192))),ROUNDUP(AT192,0)))</f>
        <v>335</v>
      </c>
      <c r="AQ192" s="50" t="n">
        <f aca="false">IF(BZ192=1,0,ROUNDUP(AP192/BY192,0))</f>
        <v>2</v>
      </c>
      <c r="AR192" s="52" t="n">
        <f aca="false">IF(CQ192&gt;0,CQ192*MAX(1,AP192/X192),IF(BZ192=1,IF(AP192&lt;=0,0,CD192*MAX(1,IF(H192&gt;0,AP192/H192,1))),IF(R192&gt;0,AQ192/R192,0))/MAX(0.1,N(Parameter!$M$21)))</f>
        <v>0.0192307692307692</v>
      </c>
      <c r="AS192" s="50" t="n">
        <f aca="false">AR192*CB192</f>
        <v>2.98076923076923</v>
      </c>
      <c r="AT192" s="51" t="n">
        <f aca="false">IF(LEFT(Cockpit!$I$5,1)="A",H192,IF(CH192=1,(CK192+CI192)/2,IF(LEFT(Cockpit!$I$5,1)="B",(CK192+AV192)/2,MAX((CK192+AV192)/2,H192))))</f>
        <v>335</v>
      </c>
      <c r="AU192" s="50" t="n">
        <f aca="false">AT192*G192</f>
        <v>1634.8</v>
      </c>
      <c r="AV192" s="50" t="n">
        <f aca="false">ROUNDUP(CK192+MAX(CL192,2*(J192/IF(CG192&gt;0,CG192,MAX(0.1,N(Cockpit!$I$6)))-CK192)),0)</f>
        <v>375</v>
      </c>
      <c r="AW192" s="51" t="n">
        <f aca="false">IF(AS192&gt;0,J192/AS192,-1)</f>
        <v>118.761290322581</v>
      </c>
      <c r="AX192" s="51" t="n">
        <f aca="false">IF(AND(OR(CF192="L1",CF192="L23",CF192="LIFT"),AS192&gt;0),SUMIFS($AS$7:$AS$1843,$CF$7:$CF$1843,CF192,$AW$7:$AW$1843,"&gt;"&amp;AW192)+SUMIFS($AS$7:$AS$1843,$CF$7:$CF$1843,CF192,$AW$7:$AW$1843,AW192,$BW$7:$BW$1843,"&lt;="&amp;BW192),"")</f>
        <v>795.092032967033</v>
      </c>
      <c r="AY192" s="58" t="n">
        <f aca="false">IF(AX192="",0,MAX(0,MIN(1,(IF(CF192="L1",Parameter!$H$5,IF(CF192="L23",Parameter!$H$6+Parameter!$H$7,Parameter!$H$5+Parameter!$H$6+Parameter!$H$7))-(AX192-AS192))/AS192)))</f>
        <v>1</v>
      </c>
      <c r="AZ192" s="50" t="n">
        <f aca="false">IF(LEFT(Cockpit!$O$5,1)="A",H192,IF(Parameter!$E$30="MAX-Bestand",IF(CH192=1,CI192,IF(LEFT(Cockpit!$O$5,1)="B",BF192,MAX(BF192,H192))),ROUNDUP(BD192,0)))</f>
        <v>198</v>
      </c>
      <c r="BA192" s="50" t="n">
        <f aca="false">IF(BZ192=1,0,ROUNDUP(AZ192/BY192,0))</f>
        <v>1</v>
      </c>
      <c r="BB192" s="52" t="n">
        <f aca="false">IF(CQ192&gt;0,CQ192*MAX(1,AZ192/X192),IF(BZ192=1,IF(AZ192&lt;=0,0,CD192*MAX(1,IF(H192&gt;0,AZ192/H192,1))),IF(R192&gt;0,BA192/R192,0))/MAX(0.1,N(Parameter!$M$21)))</f>
        <v>0.00961538461538462</v>
      </c>
      <c r="BC192" s="50" t="n">
        <f aca="false">BB192*CB192</f>
        <v>1.49038461538462</v>
      </c>
      <c r="BD192" s="51" t="n">
        <f aca="false">IF(LEFT(Cockpit!$O$5,1)="A",H192,IF(CH192=1,(CK192+CI192)/2,IF(LEFT(Cockpit!$O$5,1)="B",(CK192+BF192)/2,MAX((CK192+BF192)/2,H192))))</f>
        <v>197.5</v>
      </c>
      <c r="BE192" s="50" t="n">
        <f aca="false">BD192*G192</f>
        <v>963.8</v>
      </c>
      <c r="BF192" s="50" t="n">
        <f aca="false">ROUNDUP(CK192+MAX(CL192,2*(J192/IF(CG192&gt;0,CG192,MAX(0.1,N(Cockpit!$O$6)))-CK192)),0)</f>
        <v>375</v>
      </c>
      <c r="BG192" s="51" t="n">
        <f aca="false">IF(BC192&gt;0,J192/BC192,-1)</f>
        <v>237.522580645161</v>
      </c>
      <c r="BH192" s="51" t="n">
        <f aca="false">IF(AND(OR(CF192="L1",CF192="L23",CF192="LIFT"),BC192&gt;0),SUMIFS($BC$7:$BC$1843,$CF$7:$CF$1843,CF192,$BG$7:$BG$1843,"&gt;"&amp;BG192)+SUMIFS($BC$7:$BC$1843,$CF$7:$CF$1843,CF192,$BG$7:$BG$1843,BG192,$BW$7:$BW$1843,"&lt;="&amp;BW192),"")</f>
        <v>315.799908424908</v>
      </c>
      <c r="BI192" s="58" t="n">
        <f aca="false">IF(BH192="",0,MAX(0,MIN(1,(IF(CF192="L1",Parameter!$H$5,IF(CF192="L23",Parameter!$H$6+Parameter!$H$7,Parameter!$H$5+Parameter!$H$6+Parameter!$H$7))-(BH192-BC192))/BC192)))</f>
        <v>1</v>
      </c>
      <c r="BJ192" s="48" t="str">
        <f aca="false">IF(AI192&lt;=0,"",IF(CF192="Aussen","Aussenlager",IF(CF192="-","Nicht im Lift",IF(AO192&gt;=1,"Lift",IF(AO192&lt;=0,"Aussenlager","teilweise")))))</f>
        <v>Lift</v>
      </c>
      <c r="BK192" s="48" t="str">
        <f aca="false">IF(AS192&lt;=0,"",IF(CF192="Aussen","Aussenlager",IF(CF192="-","Nicht im Lift",IF(AY192&gt;=1,"Lift",IF(AY192&lt;=0,"Aussenlager","teilweise")))))</f>
        <v>Lift</v>
      </c>
      <c r="BL192" s="48" t="str">
        <f aca="false">IF(BC192&lt;=0,"",IF(CF192="Aussen","Aussenlager",IF(CF192="-","Nicht im Lift",IF(BI192&gt;=1,"Lift",IF(BI192&lt;=0,"Aussenlager","teilweise")))))</f>
        <v>Lift</v>
      </c>
      <c r="BM192" s="48" t="str">
        <f aca="false">IF(A192="","",IF(BV192=1,"Neu; ","")&amp;IF(AND(BV192=0,BQ192&lt;0),"negativer Bestand (Export "&amp;BQ192&amp;"); ","")&amp;IF(J192&lt;=0,"Kein Verbrauch; ","")&amp;IF(CQ192&gt;0,"Lift "&amp;W192&amp;" lt. Liftbericht (Fach "&amp;X192&amp;" Stk); ",IF(CA192=1,"Gebinde geschätzt ("&amp;T192&amp;"); ",IF(BZ192=1,"Lose – Tablare geschätzt; ","")))&amp;IF(H192&gt;AV192,"Überbestand "&amp;ROUND(H192-AV192,0)&amp;" Stk / CHF "&amp;ROUND((H192-AV192)*G192,0)&amp;"; ","")&amp;IF(AND(CH192=1,CI192&lt;CJ192),"MAX &lt; MB+LG; ","")&amp;IF(AND(CP192&gt;0,CO192*10&gt;CP192),"zu hoch für Tablar; ","")&amp;IF(AND(BV192=0,OR(CH192=1,AA192&lt;&gt;"",U192&lt;&gt;"",V192&lt;&gt;"",AB192&lt;&gt;"")),"manuell übersteuert; ","")&amp;IF(AND(BZ192=0,R192=0),"Gebinde unbekannt / Stellmass fehlt; ","")&amp;IF(AND(BZ192=0,N(V192)&lt;=0,N(Q192)&lt;=0),"Menge pro Gebinde fehlt (Ist = 1 Gebinde); ","")&amp;BU192)</f>
        <v/>
      </c>
      <c r="BN192" s="48"/>
      <c r="BO192" s="48"/>
      <c r="BP192" s="55"/>
      <c r="BQ192" s="50" t="n">
        <v>216</v>
      </c>
      <c r="BR192" s="50" t="n">
        <v>119</v>
      </c>
      <c r="BS192" s="49" t="n">
        <v>900.630000000002</v>
      </c>
      <c r="BT192" s="50" t="n">
        <v>354</v>
      </c>
      <c r="BU192" s="48"/>
      <c r="BV192" s="53" t="n">
        <v>0</v>
      </c>
      <c r="BW192" s="53" t="n">
        <v>192</v>
      </c>
      <c r="BX192" s="48" t="str">
        <f aca="false">IF(U192&lt;&gt;"",UPPER(TRIM(U192)),IF(CA192=1,UPPER(VLOOKUP(T192,Parameter!$I$27:$K$29,2,0)),IF(P192="","LOSE",P192)))</f>
        <v>S32</v>
      </c>
      <c r="BY192" s="50" t="n">
        <f aca="false">IF(BX192="LOSE",1,IF(N(V192)&gt;0,V192,IF(CA192=1,MAX(1,N(VLOOKUP(T192,Parameter!$I$27:$K$29,3,0)),H192,N(N192)),IF(N(Q192)&gt;0,Q192,MAX(1,H192)))))</f>
        <v>241</v>
      </c>
      <c r="BZ192" s="53" t="n">
        <f aca="false">IF(BX192="LOSE",1,0)</f>
        <v>0</v>
      </c>
      <c r="CA192" s="53" t="n">
        <f aca="false">IF(AND(U192="",OR(P192="",P192="LOSE"),T192&lt;&gt;"",N(S192)&lt;=0,ISNUMBER(MATCH(T192,Parameter!$I$27:$I$29,0))),1,0)</f>
        <v>0</v>
      </c>
      <c r="CB192" s="53" t="n">
        <f aca="false">IF(CQ192&gt;0,INDEX(Parameter!$H$5:$H$7,W192)/INDEX(Parameter!$E$5:$E$7,W192),IF(AND(BZ192=0,N(IFERROR(VLOOKUP(BX192,'Gebinde-Kategorie'!$A$5:$N$45,14,0),0))&gt;0),VLOOKUP(BX192,'Gebinde-Kategorie'!$A$5:$N$45,14,0)*10+Parameter!$M$23,Parameter!$M$24))</f>
        <v>155</v>
      </c>
      <c r="CC192" s="48" t="str">
        <f aca="false">IF(AND(Parameter!$B$19="Ja",E192&lt;&gt;"",ISNUMBER(MATCH(E192,Parameter!$I$35:$I$52,0))),VLOOKUP(E192,Parameter!$I$35:$J$52,2,0),IFERROR(VLOOKUP(D192,Parameter!$A$35:$C$64,2,0),"Nein"))</f>
        <v>2+3</v>
      </c>
      <c r="CD192" s="52" t="n">
        <f aca="false">IF(BZ192=0,0,IF(N(S192)&gt;0,S192,IFERROR(VLOOKUP(D192,Parameter!$A$35:$C$64,3,0)+0,0)))</f>
        <v>0</v>
      </c>
      <c r="CE192" s="48" t="n">
        <f aca="false">IF(AA192&lt;&gt;"",AA192,Z192)</f>
        <v>3</v>
      </c>
      <c r="CF192" s="48" t="str">
        <f aca="false">IF(OR(CE192=1,CE192=2,CE192=3),IF(Parameter!$E$27="Ja","LIFT",IF(CE192=1,"L1","L23")),IF(CE192="Aussen","Aussen","-"))</f>
        <v>LIFT</v>
      </c>
      <c r="CG192" s="59" t="n">
        <f aca="false">IF(N(AB192)&gt;0,AB192,0)</f>
        <v>0</v>
      </c>
      <c r="CH192" s="53" t="n">
        <f aca="false">IF(ISNUMBER(AE192),1,0)</f>
        <v>0</v>
      </c>
      <c r="CI192" s="50" t="n">
        <f aca="false">N(AE192)</f>
        <v>0</v>
      </c>
      <c r="CJ192" s="50" t="n">
        <f aca="false">N(M192)+N(N192)</f>
        <v>375</v>
      </c>
      <c r="CK192" s="50" t="n">
        <f aca="false">N(M192)</f>
        <v>20</v>
      </c>
      <c r="CL192" s="50" t="n">
        <f aca="false">N(N192)</f>
        <v>355</v>
      </c>
      <c r="CM192" s="50" t="n">
        <f aca="false">ROUNDUP(H192/BY192,0)</f>
        <v>2</v>
      </c>
      <c r="CN192" s="50" t="n">
        <f aca="false">ROUNDUP(CI192/BY192,0)</f>
        <v>0</v>
      </c>
      <c r="CO192" s="53" t="n">
        <f aca="false">IF(BZ192=1,0,IFERROR(VLOOKUP(BX192,'Gebinde-Kategorie'!$A$5:$N$45,5,0)+0,0))</f>
        <v>8</v>
      </c>
      <c r="CP192" s="53" t="n">
        <f aca="false">IFERROR(IF(OR(CE192=1,CE192=2,CE192=3),N(INDEX(Parameter!$I$5:$I$7,CE192)),0),0)</f>
        <v>0</v>
      </c>
      <c r="CQ192" s="52" t="n">
        <f aca="false">IF(AND(Parameter!$B$21="Ja",ISNUMBER(W192),N(X192)&gt;0),IFERROR(N(INDEX(Parameter!$L$5:$L$7,W192))*INDEX(Parameter!$E$5:$E$7,W192)*X192/SUMIFS($X$7:$X$1843,$W$7:$W$1843,W192),0),0)</f>
        <v>0</v>
      </c>
    </row>
    <row r="193" customFormat="false" ht="15" hidden="false" customHeight="false" outlineLevel="0" collapsed="false">
      <c r="A193" s="48" t="s">
        <v>597</v>
      </c>
      <c r="B193" s="48" t="s">
        <v>598</v>
      </c>
      <c r="C193" s="48" t="s">
        <v>173</v>
      </c>
      <c r="D193" s="48" t="s">
        <v>193</v>
      </c>
      <c r="E193" s="48"/>
      <c r="F193" s="48" t="s">
        <v>227</v>
      </c>
      <c r="G193" s="49" t="n">
        <v>54.41</v>
      </c>
      <c r="H193" s="50" t="n">
        <f aca="false">MAX(0,IF(AND(Parameter!$B$21="Ja",ISNUMBER(Y193)),Y193,IF(Parameter!$B$20="Jahresanfang 2025 + Export",BR193+BQ193,BQ193)))</f>
        <v>16</v>
      </c>
      <c r="I193" s="50" t="n">
        <f aca="false">H193*G193</f>
        <v>870.56</v>
      </c>
      <c r="J193" s="50" t="n">
        <f aca="false">BT193*Parameter!$B$18</f>
        <v>40</v>
      </c>
      <c r="K193" s="51" t="n">
        <v>8</v>
      </c>
      <c r="L193" s="52" t="n">
        <v>5</v>
      </c>
      <c r="M193" s="50" t="n">
        <v>3</v>
      </c>
      <c r="N193" s="50" t="n">
        <v>40</v>
      </c>
      <c r="O193" s="53" t="n">
        <v>35</v>
      </c>
      <c r="P193" s="48" t="s">
        <v>430</v>
      </c>
      <c r="Q193" s="50" t="n">
        <v>40</v>
      </c>
      <c r="R193" s="53" t="n">
        <f aca="false">IF(BZ193=1,0,IFERROR(VLOOKUP(BX193,'Gebinde-Kategorie'!$A$5:$N$45,13,0)+0,0))</f>
        <v>104</v>
      </c>
      <c r="S193" s="54"/>
      <c r="T193" s="55"/>
      <c r="U193" s="55"/>
      <c r="V193" s="55"/>
      <c r="W193" s="48"/>
      <c r="X193" s="50"/>
      <c r="Y193" s="50"/>
      <c r="Z193" s="48" t="n">
        <f aca="false">IF(A193="","",IF(AND(Parameter!$B$21="Ja",ISNUMBER(W193)),W193,IF(CC193="2+3",IF(ISNUMBER(SEARCH("grosser Artikel",BU193)),2,IFERROR(VLOOKUP(BX193,Parameter!$F$35:$G$64,2,0),2)),IF(OR(CC193="Nein",CC193=""),"-",CC193))))</f>
        <v>3</v>
      </c>
      <c r="AA193" s="55"/>
      <c r="AB193" s="56"/>
      <c r="AC193" s="50" t="n">
        <f aca="false">AV193</f>
        <v>43</v>
      </c>
      <c r="AD193" s="50" t="n">
        <f aca="false">MAX(AV193,H193)</f>
        <v>43</v>
      </c>
      <c r="AE193" s="57"/>
      <c r="AF193" s="50" t="n">
        <f aca="false">IF(LEFT(Cockpit!$C$5,1)="A",H193,IF(Parameter!$E$30="MAX-Bestand",IF(CH193=1,CI193,IF(LEFT(Cockpit!$C$5,1)="B",AL193,MAX(AL193,H193))),ROUNDUP(AJ193,0)))</f>
        <v>16</v>
      </c>
      <c r="AG193" s="50" t="n">
        <f aca="false">IF(BZ193=1,0,ROUNDUP(AF193/BY193,0))</f>
        <v>1</v>
      </c>
      <c r="AH193" s="52" t="n">
        <f aca="false">IF(CQ193&gt;0,CQ193*MAX(1,AF193/X193),IF(BZ193=1,IF(AF193&lt;=0,0,CD193*MAX(1,IF(H193&gt;0,AF193/H193,1))),IF(R193&gt;0,AG193/R193,0))/MAX(0.1,N(Parameter!$M$21)))</f>
        <v>0.00961538461538462</v>
      </c>
      <c r="AI193" s="50" t="n">
        <f aca="false">AH193*CB193</f>
        <v>1.49038461538462</v>
      </c>
      <c r="AJ193" s="51" t="n">
        <f aca="false">IF(LEFT(Cockpit!$C$5,1)="A",H193,IF(CH193=1,(CK193+CI193)/2,IF(LEFT(Cockpit!$C$5,1)="B",(CK193+AL193)/2,MAX((CK193+AL193)/2,H193))))</f>
        <v>16</v>
      </c>
      <c r="AK193" s="50" t="n">
        <f aca="false">AJ193*G193</f>
        <v>870.56</v>
      </c>
      <c r="AL193" s="50" t="n">
        <f aca="false">ROUNDUP(CK193+MAX(CL193,2*(J193/IF(CG193&gt;0,CG193,MAX(0.1,N(Cockpit!$C$6)))-CK193)),0)</f>
        <v>43</v>
      </c>
      <c r="AM193" s="51" t="n">
        <f aca="false">IF(AI193&gt;0,J193/AI193,-1)</f>
        <v>26.8387096774194</v>
      </c>
      <c r="AN193" s="51" t="n">
        <f aca="false">IF(AND(OR(CF193="L1",CF193="L23",CF193="LIFT"),AI193&gt;0),SUMIFS($AI$7:$AI$1843,$CF$7:$CF$1843,CF193,$AM$7:$AM$1843,"&gt;"&amp;AM193)+SUMIFS($AI$7:$AI$1843,$CF$7:$CF$1843,CF193,$AM$7:$AM$1843,AM193,$BW$7:$BW$1843,"&lt;="&amp;BW193),"")</f>
        <v>1503.03113553114</v>
      </c>
      <c r="AO193" s="58" t="n">
        <f aca="false">IF(AN193="",0,MAX(0,MIN(1,(IF(CF193="L1",Parameter!$H$5,IF(CF193="L23",Parameter!$H$6+Parameter!$H$7,Parameter!$H$5+Parameter!$H$6+Parameter!$H$7))-(AN193-AI193))/AI193)))</f>
        <v>1</v>
      </c>
      <c r="AP193" s="50" t="n">
        <f aca="false">IF(LEFT(Cockpit!$I$5,1)="A",H193,IF(Parameter!$E$30="MAX-Bestand",IF(CH193=1,CI193,IF(LEFT(Cockpit!$I$5,1)="B",AV193,MAX(AV193,H193))),ROUNDUP(AT193,0)))</f>
        <v>23</v>
      </c>
      <c r="AQ193" s="50" t="n">
        <f aca="false">IF(BZ193=1,0,ROUNDUP(AP193/BY193,0))</f>
        <v>1</v>
      </c>
      <c r="AR193" s="52" t="n">
        <f aca="false">IF(CQ193&gt;0,CQ193*MAX(1,AP193/X193),IF(BZ193=1,IF(AP193&lt;=0,0,CD193*MAX(1,IF(H193&gt;0,AP193/H193,1))),IF(R193&gt;0,AQ193/R193,0))/MAX(0.1,N(Parameter!$M$21)))</f>
        <v>0.00961538461538462</v>
      </c>
      <c r="AS193" s="50" t="n">
        <f aca="false">AR193*CB193</f>
        <v>1.49038461538462</v>
      </c>
      <c r="AT193" s="51" t="n">
        <f aca="false">IF(LEFT(Cockpit!$I$5,1)="A",H193,IF(CH193=1,(CK193+CI193)/2,IF(LEFT(Cockpit!$I$5,1)="B",(CK193+AV193)/2,MAX((CK193+AV193)/2,H193))))</f>
        <v>23</v>
      </c>
      <c r="AU193" s="50" t="n">
        <f aca="false">AT193*G193</f>
        <v>1251.43</v>
      </c>
      <c r="AV193" s="50" t="n">
        <f aca="false">ROUNDUP(CK193+MAX(CL193,2*(J193/IF(CG193&gt;0,CG193,MAX(0.1,N(Cockpit!$I$6)))-CK193)),0)</f>
        <v>43</v>
      </c>
      <c r="AW193" s="51" t="n">
        <f aca="false">IF(AS193&gt;0,J193/AS193,-1)</f>
        <v>26.8387096774194</v>
      </c>
      <c r="AX193" s="51" t="n">
        <f aca="false">IF(AND(OR(CF193="L1",CF193="L23",CF193="LIFT"),AS193&gt;0),SUMIFS($AS$7:$AS$1843,$CF$7:$CF$1843,CF193,$AW$7:$AW$1843,"&gt;"&amp;AW193)+SUMIFS($AS$7:$AS$1843,$CF$7:$CF$1843,CF193,$AW$7:$AW$1843,AW193,$BW$7:$BW$1843,"&lt;="&amp;BW193),"")</f>
        <v>2128.86996336996</v>
      </c>
      <c r="AY193" s="58" t="n">
        <f aca="false">IF(AX193="",0,MAX(0,MIN(1,(IF(CF193="L1",Parameter!$H$5,IF(CF193="L23",Parameter!$H$6+Parameter!$H$7,Parameter!$H$5+Parameter!$H$6+Parameter!$H$7))-(AX193-AS193))/AS193)))</f>
        <v>1</v>
      </c>
      <c r="AZ193" s="50" t="n">
        <f aca="false">IF(LEFT(Cockpit!$O$5,1)="A",H193,IF(Parameter!$E$30="MAX-Bestand",IF(CH193=1,CI193,IF(LEFT(Cockpit!$O$5,1)="B",BF193,MAX(BF193,H193))),ROUNDUP(BD193,0)))</f>
        <v>23</v>
      </c>
      <c r="BA193" s="50" t="n">
        <f aca="false">IF(BZ193=1,0,ROUNDUP(AZ193/BY193,0))</f>
        <v>1</v>
      </c>
      <c r="BB193" s="52" t="n">
        <f aca="false">IF(CQ193&gt;0,CQ193*MAX(1,AZ193/X193),IF(BZ193=1,IF(AZ193&lt;=0,0,CD193*MAX(1,IF(H193&gt;0,AZ193/H193,1))),IF(R193&gt;0,BA193/R193,0))/MAX(0.1,N(Parameter!$M$21)))</f>
        <v>0.00961538461538462</v>
      </c>
      <c r="BC193" s="50" t="n">
        <f aca="false">BB193*CB193</f>
        <v>1.49038461538462</v>
      </c>
      <c r="BD193" s="51" t="n">
        <f aca="false">IF(LEFT(Cockpit!$O$5,1)="A",H193,IF(CH193=1,(CK193+CI193)/2,IF(LEFT(Cockpit!$O$5,1)="B",(CK193+BF193)/2,MAX((CK193+BF193)/2,H193))))</f>
        <v>23</v>
      </c>
      <c r="BE193" s="50" t="n">
        <f aca="false">BD193*G193</f>
        <v>1251.43</v>
      </c>
      <c r="BF193" s="50" t="n">
        <f aca="false">ROUNDUP(CK193+MAX(CL193,2*(J193/IF(CG193&gt;0,CG193,MAX(0.1,N(Cockpit!$O$6)))-CK193)),0)</f>
        <v>43</v>
      </c>
      <c r="BG193" s="51" t="n">
        <f aca="false">IF(BC193&gt;0,J193/BC193,-1)</f>
        <v>26.8387096774194</v>
      </c>
      <c r="BH193" s="51" t="n">
        <f aca="false">IF(AND(OR(CF193="L1",CF193="L23",CF193="LIFT"),BC193&gt;0),SUMIFS($BC$7:$BC$1843,$CF$7:$CF$1843,CF193,$BG$7:$BG$1843,"&gt;"&amp;BG193)+SUMIFS($BC$7:$BC$1843,$CF$7:$CF$1843,CF193,$BG$7:$BG$1843,BG193,$BW$7:$BW$1843,"&lt;="&amp;BW193),"")</f>
        <v>1947.29441391941</v>
      </c>
      <c r="BI193" s="58" t="n">
        <f aca="false">IF(BH193="",0,MAX(0,MIN(1,(IF(CF193="L1",Parameter!$H$5,IF(CF193="L23",Parameter!$H$6+Parameter!$H$7,Parameter!$H$5+Parameter!$H$6+Parameter!$H$7))-(BH193-BC193))/BC193)))</f>
        <v>1</v>
      </c>
      <c r="BJ193" s="48" t="str">
        <f aca="false">IF(AI193&lt;=0,"",IF(CF193="Aussen","Aussenlager",IF(CF193="-","Nicht im Lift",IF(AO193&gt;=1,"Lift",IF(AO193&lt;=0,"Aussenlager","teilweise")))))</f>
        <v>Lift</v>
      </c>
      <c r="BK193" s="48" t="str">
        <f aca="false">IF(AS193&lt;=0,"",IF(CF193="Aussen","Aussenlager",IF(CF193="-","Nicht im Lift",IF(AY193&gt;=1,"Lift",IF(AY193&lt;=0,"Aussenlager","teilweise")))))</f>
        <v>Lift</v>
      </c>
      <c r="BL193" s="48" t="str">
        <f aca="false">IF(BC193&lt;=0,"",IF(CF193="Aussen","Aussenlager",IF(CF193="-","Nicht im Lift",IF(BI193&gt;=1,"Lift",IF(BI193&lt;=0,"Aussenlager","teilweise")))))</f>
        <v>Lift</v>
      </c>
      <c r="BM193" s="48" t="str">
        <f aca="false">IF(A193="","",IF(BV193=1,"Neu; ","")&amp;IF(AND(BV193=0,BQ193&lt;0),"negativer Bestand (Export "&amp;BQ193&amp;"); ","")&amp;IF(J193&lt;=0,"Kein Verbrauch; ","")&amp;IF(CQ193&gt;0,"Lift "&amp;W193&amp;" lt. Liftbericht (Fach "&amp;X193&amp;" Stk); ",IF(CA193=1,"Gebinde geschätzt ("&amp;T193&amp;"); ",IF(BZ193=1,"Lose – Tablare geschätzt; ","")))&amp;IF(H193&gt;AV193,"Überbestand "&amp;ROUND(H193-AV193,0)&amp;" Stk / CHF "&amp;ROUND((H193-AV193)*G193,0)&amp;"; ","")&amp;IF(AND(CH193=1,CI193&lt;CJ193),"MAX &lt; MB+LG; ","")&amp;IF(AND(CP193&gt;0,CO193*10&gt;CP193),"zu hoch für Tablar; ","")&amp;IF(AND(BV193=0,OR(CH193=1,AA193&lt;&gt;"",U193&lt;&gt;"",V193&lt;&gt;"",AB193&lt;&gt;"")),"manuell übersteuert; ","")&amp;IF(AND(BZ193=0,R193=0),"Gebinde unbekannt / Stellmass fehlt; ","")&amp;IF(AND(BZ193=0,N(V193)&lt;=0,N(Q193)&lt;=0),"Menge pro Gebinde fehlt (Ist = 1 Gebinde); ","")&amp;BU193)</f>
        <v/>
      </c>
      <c r="BN193" s="48"/>
      <c r="BO193" s="48"/>
      <c r="BP193" s="55"/>
      <c r="BQ193" s="50" t="n">
        <v>16</v>
      </c>
      <c r="BR193" s="50" t="n">
        <v>0</v>
      </c>
      <c r="BS193" s="49" t="n">
        <v>870.56</v>
      </c>
      <c r="BT193" s="50" t="n">
        <v>40</v>
      </c>
      <c r="BU193" s="48"/>
      <c r="BV193" s="53" t="n">
        <v>0</v>
      </c>
      <c r="BW193" s="53" t="n">
        <v>193</v>
      </c>
      <c r="BX193" s="48" t="str">
        <f aca="false">IF(U193&lt;&gt;"",UPPER(TRIM(U193)),IF(CA193=1,UPPER(VLOOKUP(T193,Parameter!$I$27:$K$29,2,0)),IF(P193="","LOSE",P193)))</f>
        <v>S32</v>
      </c>
      <c r="BY193" s="50" t="n">
        <f aca="false">IF(BX193="LOSE",1,IF(N(V193)&gt;0,V193,IF(CA193=1,MAX(1,N(VLOOKUP(T193,Parameter!$I$27:$K$29,3,0)),H193,N(N193)),IF(N(Q193)&gt;0,Q193,MAX(1,H193)))))</f>
        <v>40</v>
      </c>
      <c r="BZ193" s="53" t="n">
        <f aca="false">IF(BX193="LOSE",1,0)</f>
        <v>0</v>
      </c>
      <c r="CA193" s="53" t="n">
        <f aca="false">IF(AND(U193="",OR(P193="",P193="LOSE"),T193&lt;&gt;"",N(S193)&lt;=0,ISNUMBER(MATCH(T193,Parameter!$I$27:$I$29,0))),1,0)</f>
        <v>0</v>
      </c>
      <c r="CB193" s="53" t="n">
        <f aca="false">IF(CQ193&gt;0,INDEX(Parameter!$H$5:$H$7,W193)/INDEX(Parameter!$E$5:$E$7,W193),IF(AND(BZ193=0,N(IFERROR(VLOOKUP(BX193,'Gebinde-Kategorie'!$A$5:$N$45,14,0),0))&gt;0),VLOOKUP(BX193,'Gebinde-Kategorie'!$A$5:$N$45,14,0)*10+Parameter!$M$23,Parameter!$M$24))</f>
        <v>155</v>
      </c>
      <c r="CC193" s="48" t="str">
        <f aca="false">IF(AND(Parameter!$B$19="Ja",E193&lt;&gt;"",ISNUMBER(MATCH(E193,Parameter!$I$35:$I$52,0))),VLOOKUP(E193,Parameter!$I$35:$J$52,2,0),IFERROR(VLOOKUP(D193,Parameter!$A$35:$C$64,2,0),"Nein"))</f>
        <v>2+3</v>
      </c>
      <c r="CD193" s="52" t="n">
        <f aca="false">IF(BZ193=0,0,IF(N(S193)&gt;0,S193,IFERROR(VLOOKUP(D193,Parameter!$A$35:$C$64,3,0)+0,0)))</f>
        <v>0</v>
      </c>
      <c r="CE193" s="48" t="n">
        <f aca="false">IF(AA193&lt;&gt;"",AA193,Z193)</f>
        <v>3</v>
      </c>
      <c r="CF193" s="48" t="str">
        <f aca="false">IF(OR(CE193=1,CE193=2,CE193=3),IF(Parameter!$E$27="Ja","LIFT",IF(CE193=1,"L1","L23")),IF(CE193="Aussen","Aussen","-"))</f>
        <v>LIFT</v>
      </c>
      <c r="CG193" s="59" t="n">
        <f aca="false">IF(N(AB193)&gt;0,AB193,0)</f>
        <v>0</v>
      </c>
      <c r="CH193" s="53" t="n">
        <f aca="false">IF(ISNUMBER(AE193),1,0)</f>
        <v>0</v>
      </c>
      <c r="CI193" s="50" t="n">
        <f aca="false">N(AE193)</f>
        <v>0</v>
      </c>
      <c r="CJ193" s="50" t="n">
        <f aca="false">N(M193)+N(N193)</f>
        <v>43</v>
      </c>
      <c r="CK193" s="50" t="n">
        <f aca="false">N(M193)</f>
        <v>3</v>
      </c>
      <c r="CL193" s="50" t="n">
        <f aca="false">N(N193)</f>
        <v>40</v>
      </c>
      <c r="CM193" s="50" t="n">
        <f aca="false">ROUNDUP(H193/BY193,0)</f>
        <v>1</v>
      </c>
      <c r="CN193" s="50" t="n">
        <f aca="false">ROUNDUP(CI193/BY193,0)</f>
        <v>0</v>
      </c>
      <c r="CO193" s="53" t="n">
        <f aca="false">IF(BZ193=1,0,IFERROR(VLOOKUP(BX193,'Gebinde-Kategorie'!$A$5:$N$45,5,0)+0,0))</f>
        <v>8</v>
      </c>
      <c r="CP193" s="53" t="n">
        <f aca="false">IFERROR(IF(OR(CE193=1,CE193=2,CE193=3),N(INDEX(Parameter!$I$5:$I$7,CE193)),0),0)</f>
        <v>0</v>
      </c>
      <c r="CQ193" s="52" t="n">
        <f aca="false">IF(AND(Parameter!$B$21="Ja",ISNUMBER(W193),N(X193)&gt;0),IFERROR(N(INDEX(Parameter!$L$5:$L$7,W193))*INDEX(Parameter!$E$5:$E$7,W193)*X193/SUMIFS($X$7:$X$1843,$W$7:$W$1843,W193),0),0)</f>
        <v>0</v>
      </c>
    </row>
    <row r="194" customFormat="false" ht="15" hidden="false" customHeight="false" outlineLevel="0" collapsed="false">
      <c r="A194" s="48" t="s">
        <v>599</v>
      </c>
      <c r="B194" s="48" t="s">
        <v>600</v>
      </c>
      <c r="C194" s="48" t="s">
        <v>173</v>
      </c>
      <c r="D194" s="48" t="s">
        <v>193</v>
      </c>
      <c r="E194" s="48" t="s">
        <v>194</v>
      </c>
      <c r="F194" s="48" t="s">
        <v>227</v>
      </c>
      <c r="G194" s="49" t="n">
        <v>10.46</v>
      </c>
      <c r="H194" s="50" t="n">
        <f aca="false">MAX(0,IF(AND(Parameter!$B$21="Ja",ISNUMBER(Y194)),Y194,IF(Parameter!$B$20="Jahresanfang 2025 + Export",BR194+BQ194,BQ194)))</f>
        <v>130</v>
      </c>
      <c r="I194" s="50" t="n">
        <f aca="false">H194*G194</f>
        <v>1359.8</v>
      </c>
      <c r="J194" s="50" t="n">
        <f aca="false">BT194*Parameter!$B$18</f>
        <v>153</v>
      </c>
      <c r="K194" s="51" t="n">
        <v>41</v>
      </c>
      <c r="L194" s="52" t="n">
        <v>3.73170731707317</v>
      </c>
      <c r="M194" s="50" t="n">
        <v>8</v>
      </c>
      <c r="N194" s="50" t="n">
        <v>150</v>
      </c>
      <c r="O194" s="53" t="n">
        <v>21</v>
      </c>
      <c r="P194" s="48" t="s">
        <v>430</v>
      </c>
      <c r="Q194" s="50" t="n">
        <v>75</v>
      </c>
      <c r="R194" s="53" t="n">
        <f aca="false">IF(BZ194=1,0,IFERROR(VLOOKUP(BX194,'Gebinde-Kategorie'!$A$5:$N$45,13,0)+0,0))</f>
        <v>104</v>
      </c>
      <c r="S194" s="54"/>
      <c r="T194" s="55"/>
      <c r="U194" s="55"/>
      <c r="V194" s="55"/>
      <c r="W194" s="48"/>
      <c r="X194" s="50"/>
      <c r="Y194" s="50"/>
      <c r="Z194" s="48" t="n">
        <f aca="false">IF(A194="","",IF(AND(Parameter!$B$21="Ja",ISNUMBER(W194)),W194,IF(CC194="2+3",IF(ISNUMBER(SEARCH("grosser Artikel",BU194)),2,IFERROR(VLOOKUP(BX194,Parameter!$F$35:$G$64,2,0),2)),IF(OR(CC194="Nein",CC194=""),"-",CC194))))</f>
        <v>3</v>
      </c>
      <c r="AA194" s="55"/>
      <c r="AB194" s="56"/>
      <c r="AC194" s="50" t="n">
        <f aca="false">AV194</f>
        <v>158</v>
      </c>
      <c r="AD194" s="50" t="n">
        <f aca="false">MAX(AV194,H194)</f>
        <v>158</v>
      </c>
      <c r="AE194" s="57"/>
      <c r="AF194" s="50" t="n">
        <f aca="false">IF(LEFT(Cockpit!$C$5,1)="A",H194,IF(Parameter!$E$30="MAX-Bestand",IF(CH194=1,CI194,IF(LEFT(Cockpit!$C$5,1)="B",AL194,MAX(AL194,H194))),ROUNDUP(AJ194,0)))</f>
        <v>130</v>
      </c>
      <c r="AG194" s="50" t="n">
        <f aca="false">IF(BZ194=1,0,ROUNDUP(AF194/BY194,0))</f>
        <v>2</v>
      </c>
      <c r="AH194" s="52" t="n">
        <f aca="false">IF(CQ194&gt;0,CQ194*MAX(1,AF194/X194),IF(BZ194=1,IF(AF194&lt;=0,0,CD194*MAX(1,IF(H194&gt;0,AF194/H194,1))),IF(R194&gt;0,AG194/R194,0))/MAX(0.1,N(Parameter!$M$21)))</f>
        <v>0.0192307692307692</v>
      </c>
      <c r="AI194" s="50" t="n">
        <f aca="false">AH194*CB194</f>
        <v>2.98076923076923</v>
      </c>
      <c r="AJ194" s="51" t="n">
        <f aca="false">IF(LEFT(Cockpit!$C$5,1)="A",H194,IF(CH194=1,(CK194+CI194)/2,IF(LEFT(Cockpit!$C$5,1)="B",(CK194+AL194)/2,MAX((CK194+AL194)/2,H194))))</f>
        <v>130</v>
      </c>
      <c r="AK194" s="50" t="n">
        <f aca="false">AJ194*G194</f>
        <v>1359.8</v>
      </c>
      <c r="AL194" s="50" t="n">
        <f aca="false">ROUNDUP(CK194+MAX(CL194,2*(J194/IF(CG194&gt;0,CG194,MAX(0.1,N(Cockpit!$C$6)))-CK194)),0)</f>
        <v>158</v>
      </c>
      <c r="AM194" s="51" t="n">
        <f aca="false">IF(AI194&gt;0,J194/AI194,-1)</f>
        <v>51.3290322580645</v>
      </c>
      <c r="AN194" s="51" t="n">
        <f aca="false">IF(AND(OR(CF194="L1",CF194="L23",CF194="LIFT"),AI194&gt;0),SUMIFS($AI$7:$AI$1843,$CF$7:$CF$1843,CF194,$AM$7:$AM$1843,"&gt;"&amp;AM194)+SUMIFS($AI$7:$AI$1843,$CF$7:$CF$1843,CF194,$AM$7:$AM$1843,AM194,$BW$7:$BW$1843,"&lt;="&amp;BW194),"")</f>
        <v>1017.93269230769</v>
      </c>
      <c r="AO194" s="58" t="n">
        <f aca="false">IF(AN194="",0,MAX(0,MIN(1,(IF(CF194="L1",Parameter!$H$5,IF(CF194="L23",Parameter!$H$6+Parameter!$H$7,Parameter!$H$5+Parameter!$H$6+Parameter!$H$7))-(AN194-AI194))/AI194)))</f>
        <v>1</v>
      </c>
      <c r="AP194" s="50" t="n">
        <f aca="false">IF(LEFT(Cockpit!$I$5,1)="A",H194,IF(Parameter!$E$30="MAX-Bestand",IF(CH194=1,CI194,IF(LEFT(Cockpit!$I$5,1)="B",AV194,MAX(AV194,H194))),ROUNDUP(AT194,0)))</f>
        <v>130</v>
      </c>
      <c r="AQ194" s="50" t="n">
        <f aca="false">IF(BZ194=1,0,ROUNDUP(AP194/BY194,0))</f>
        <v>2</v>
      </c>
      <c r="AR194" s="52" t="n">
        <f aca="false">IF(CQ194&gt;0,CQ194*MAX(1,AP194/X194),IF(BZ194=1,IF(AP194&lt;=0,0,CD194*MAX(1,IF(H194&gt;0,AP194/H194,1))),IF(R194&gt;0,AQ194/R194,0))/MAX(0.1,N(Parameter!$M$21)))</f>
        <v>0.0192307692307692</v>
      </c>
      <c r="AS194" s="50" t="n">
        <f aca="false">AR194*CB194</f>
        <v>2.98076923076923</v>
      </c>
      <c r="AT194" s="51" t="n">
        <f aca="false">IF(LEFT(Cockpit!$I$5,1)="A",H194,IF(CH194=1,(CK194+CI194)/2,IF(LEFT(Cockpit!$I$5,1)="B",(CK194+AV194)/2,MAX((CK194+AV194)/2,H194))))</f>
        <v>130</v>
      </c>
      <c r="AU194" s="50" t="n">
        <f aca="false">AT194*G194</f>
        <v>1359.8</v>
      </c>
      <c r="AV194" s="50" t="n">
        <f aca="false">ROUNDUP(CK194+MAX(CL194,2*(J194/IF(CG194&gt;0,CG194,MAX(0.1,N(Cockpit!$I$6)))-CK194)),0)</f>
        <v>158</v>
      </c>
      <c r="AW194" s="51" t="n">
        <f aca="false">IF(AS194&gt;0,J194/AS194,-1)</f>
        <v>51.3290322580645</v>
      </c>
      <c r="AX194" s="51" t="n">
        <f aca="false">IF(AND(OR(CF194="L1",CF194="L23",CF194="LIFT"),AS194&gt;0),SUMIFS($AS$7:$AS$1843,$CF$7:$CF$1843,CF194,$AW$7:$AW$1843,"&gt;"&amp;AW194)+SUMIFS($AS$7:$AS$1843,$CF$7:$CF$1843,CF194,$AW$7:$AW$1843,AW194,$BW$7:$BW$1843,"&lt;="&amp;BW194),"")</f>
        <v>1301.62866300366</v>
      </c>
      <c r="AY194" s="58" t="n">
        <f aca="false">IF(AX194="",0,MAX(0,MIN(1,(IF(CF194="L1",Parameter!$H$5,IF(CF194="L23",Parameter!$H$6+Parameter!$H$7,Parameter!$H$5+Parameter!$H$6+Parameter!$H$7))-(AX194-AS194))/AS194)))</f>
        <v>1</v>
      </c>
      <c r="AZ194" s="50" t="n">
        <f aca="false">IF(LEFT(Cockpit!$O$5,1)="A",H194,IF(Parameter!$E$30="MAX-Bestand",IF(CH194=1,CI194,IF(LEFT(Cockpit!$O$5,1)="B",BF194,MAX(BF194,H194))),ROUNDUP(BD194,0)))</f>
        <v>83</v>
      </c>
      <c r="BA194" s="50" t="n">
        <f aca="false">IF(BZ194=1,0,ROUNDUP(AZ194/BY194,0))</f>
        <v>2</v>
      </c>
      <c r="BB194" s="52" t="n">
        <f aca="false">IF(CQ194&gt;0,CQ194*MAX(1,AZ194/X194),IF(BZ194=1,IF(AZ194&lt;=0,0,CD194*MAX(1,IF(H194&gt;0,AZ194/H194,1))),IF(R194&gt;0,BA194/R194,0))/MAX(0.1,N(Parameter!$M$21)))</f>
        <v>0.0192307692307692</v>
      </c>
      <c r="BC194" s="50" t="n">
        <f aca="false">BB194*CB194</f>
        <v>2.98076923076923</v>
      </c>
      <c r="BD194" s="51" t="n">
        <f aca="false">IF(LEFT(Cockpit!$O$5,1)="A",H194,IF(CH194=1,(CK194+CI194)/2,IF(LEFT(Cockpit!$O$5,1)="B",(CK194+BF194)/2,MAX((CK194+BF194)/2,H194))))</f>
        <v>83</v>
      </c>
      <c r="BE194" s="50" t="n">
        <f aca="false">BD194*G194</f>
        <v>868.18</v>
      </c>
      <c r="BF194" s="50" t="n">
        <f aca="false">ROUNDUP(CK194+MAX(CL194,2*(J194/IF(CG194&gt;0,CG194,MAX(0.1,N(Cockpit!$O$6)))-CK194)),0)</f>
        <v>158</v>
      </c>
      <c r="BG194" s="51" t="n">
        <f aca="false">IF(BC194&gt;0,J194/BC194,-1)</f>
        <v>51.3290322580645</v>
      </c>
      <c r="BH194" s="51" t="n">
        <f aca="false">IF(AND(OR(CF194="L1",CF194="L23",CF194="LIFT"),BC194&gt;0),SUMIFS($BC$7:$BC$1843,$CF$7:$CF$1843,CF194,$BG$7:$BG$1843,"&gt;"&amp;BG194)+SUMIFS($BC$7:$BC$1843,$CF$7:$CF$1843,CF194,$BG$7:$BG$1843,BG194,$BW$7:$BW$1843,"&lt;="&amp;BW194),"")</f>
        <v>1198.06593406593</v>
      </c>
      <c r="BI194" s="58" t="n">
        <f aca="false">IF(BH194="",0,MAX(0,MIN(1,(IF(CF194="L1",Parameter!$H$5,IF(CF194="L23",Parameter!$H$6+Parameter!$H$7,Parameter!$H$5+Parameter!$H$6+Parameter!$H$7))-(BH194-BC194))/BC194)))</f>
        <v>1</v>
      </c>
      <c r="BJ194" s="48" t="str">
        <f aca="false">IF(AI194&lt;=0,"",IF(CF194="Aussen","Aussenlager",IF(CF194="-","Nicht im Lift",IF(AO194&gt;=1,"Lift",IF(AO194&lt;=0,"Aussenlager","teilweise")))))</f>
        <v>Lift</v>
      </c>
      <c r="BK194" s="48" t="str">
        <f aca="false">IF(AS194&lt;=0,"",IF(CF194="Aussen","Aussenlager",IF(CF194="-","Nicht im Lift",IF(AY194&gt;=1,"Lift",IF(AY194&lt;=0,"Aussenlager","teilweise")))))</f>
        <v>Lift</v>
      </c>
      <c r="BL194" s="48" t="str">
        <f aca="false">IF(BC194&lt;=0,"",IF(CF194="Aussen","Aussenlager",IF(CF194="-","Nicht im Lift",IF(BI194&gt;=1,"Lift",IF(BI194&lt;=0,"Aussenlager","teilweise")))))</f>
        <v>Lift</v>
      </c>
      <c r="BM194" s="48" t="str">
        <f aca="false">IF(A194="","",IF(BV194=1,"Neu; ","")&amp;IF(AND(BV194=0,BQ194&lt;0),"negativer Bestand (Export "&amp;BQ194&amp;"); ","")&amp;IF(J194&lt;=0,"Kein Verbrauch; ","")&amp;IF(CQ194&gt;0,"Lift "&amp;W194&amp;" lt. Liftbericht (Fach "&amp;X194&amp;" Stk); ",IF(CA194=1,"Gebinde geschätzt ("&amp;T194&amp;"); ",IF(BZ194=1,"Lose – Tablare geschätzt; ","")))&amp;IF(H194&gt;AV194,"Überbestand "&amp;ROUND(H194-AV194,0)&amp;" Stk / CHF "&amp;ROUND((H194-AV194)*G194,0)&amp;"; ","")&amp;IF(AND(CH194=1,CI194&lt;CJ194),"MAX &lt; MB+LG; ","")&amp;IF(AND(CP194&gt;0,CO194*10&gt;CP194),"zu hoch für Tablar; ","")&amp;IF(AND(BV194=0,OR(CH194=1,AA194&lt;&gt;"",U194&lt;&gt;"",V194&lt;&gt;"",AB194&lt;&gt;"")),"manuell übersteuert; ","")&amp;IF(AND(BZ194=0,R194=0),"Gebinde unbekannt / Stellmass fehlt; ","")&amp;IF(AND(BZ194=0,N(V194)&lt;=0,N(Q194)&lt;=0),"Menge pro Gebinde fehlt (Ist = 1 Gebinde); ","")&amp;BU194)</f>
        <v/>
      </c>
      <c r="BN194" s="48"/>
      <c r="BO194" s="48"/>
      <c r="BP194" s="55"/>
      <c r="BQ194" s="50" t="n">
        <v>86</v>
      </c>
      <c r="BR194" s="50" t="n">
        <v>44</v>
      </c>
      <c r="BS194" s="49" t="n">
        <v>842.36</v>
      </c>
      <c r="BT194" s="50" t="n">
        <v>153</v>
      </c>
      <c r="BU194" s="48"/>
      <c r="BV194" s="53" t="n">
        <v>0</v>
      </c>
      <c r="BW194" s="53" t="n">
        <v>194</v>
      </c>
      <c r="BX194" s="48" t="str">
        <f aca="false">IF(U194&lt;&gt;"",UPPER(TRIM(U194)),IF(CA194=1,UPPER(VLOOKUP(T194,Parameter!$I$27:$K$29,2,0)),IF(P194="","LOSE",P194)))</f>
        <v>S32</v>
      </c>
      <c r="BY194" s="50" t="n">
        <f aca="false">IF(BX194="LOSE",1,IF(N(V194)&gt;0,V194,IF(CA194=1,MAX(1,N(VLOOKUP(T194,Parameter!$I$27:$K$29,3,0)),H194,N(N194)),IF(N(Q194)&gt;0,Q194,MAX(1,H194)))))</f>
        <v>75</v>
      </c>
      <c r="BZ194" s="53" t="n">
        <f aca="false">IF(BX194="LOSE",1,0)</f>
        <v>0</v>
      </c>
      <c r="CA194" s="53" t="n">
        <f aca="false">IF(AND(U194="",OR(P194="",P194="LOSE"),T194&lt;&gt;"",N(S194)&lt;=0,ISNUMBER(MATCH(T194,Parameter!$I$27:$I$29,0))),1,0)</f>
        <v>0</v>
      </c>
      <c r="CB194" s="53" t="n">
        <f aca="false">IF(CQ194&gt;0,INDEX(Parameter!$H$5:$H$7,W194)/INDEX(Parameter!$E$5:$E$7,W194),IF(AND(BZ194=0,N(IFERROR(VLOOKUP(BX194,'Gebinde-Kategorie'!$A$5:$N$45,14,0),0))&gt;0),VLOOKUP(BX194,'Gebinde-Kategorie'!$A$5:$N$45,14,0)*10+Parameter!$M$23,Parameter!$M$24))</f>
        <v>155</v>
      </c>
      <c r="CC194" s="48" t="str">
        <f aca="false">IF(AND(Parameter!$B$19="Ja",E194&lt;&gt;"",ISNUMBER(MATCH(E194,Parameter!$I$35:$I$52,0))),VLOOKUP(E194,Parameter!$I$35:$J$52,2,0),IFERROR(VLOOKUP(D194,Parameter!$A$35:$C$64,2,0),"Nein"))</f>
        <v>2+3</v>
      </c>
      <c r="CD194" s="52" t="n">
        <f aca="false">IF(BZ194=0,0,IF(N(S194)&gt;0,S194,IFERROR(VLOOKUP(D194,Parameter!$A$35:$C$64,3,0)+0,0)))</f>
        <v>0</v>
      </c>
      <c r="CE194" s="48" t="n">
        <f aca="false">IF(AA194&lt;&gt;"",AA194,Z194)</f>
        <v>3</v>
      </c>
      <c r="CF194" s="48" t="str">
        <f aca="false">IF(OR(CE194=1,CE194=2,CE194=3),IF(Parameter!$E$27="Ja","LIFT",IF(CE194=1,"L1","L23")),IF(CE194="Aussen","Aussen","-"))</f>
        <v>LIFT</v>
      </c>
      <c r="CG194" s="59" t="n">
        <f aca="false">IF(N(AB194)&gt;0,AB194,0)</f>
        <v>0</v>
      </c>
      <c r="CH194" s="53" t="n">
        <f aca="false">IF(ISNUMBER(AE194),1,0)</f>
        <v>0</v>
      </c>
      <c r="CI194" s="50" t="n">
        <f aca="false">N(AE194)</f>
        <v>0</v>
      </c>
      <c r="CJ194" s="50" t="n">
        <f aca="false">N(M194)+N(N194)</f>
        <v>158</v>
      </c>
      <c r="CK194" s="50" t="n">
        <f aca="false">N(M194)</f>
        <v>8</v>
      </c>
      <c r="CL194" s="50" t="n">
        <f aca="false">N(N194)</f>
        <v>150</v>
      </c>
      <c r="CM194" s="50" t="n">
        <f aca="false">ROUNDUP(H194/BY194,0)</f>
        <v>2</v>
      </c>
      <c r="CN194" s="50" t="n">
        <f aca="false">ROUNDUP(CI194/BY194,0)</f>
        <v>0</v>
      </c>
      <c r="CO194" s="53" t="n">
        <f aca="false">IF(BZ194=1,0,IFERROR(VLOOKUP(BX194,'Gebinde-Kategorie'!$A$5:$N$45,5,0)+0,0))</f>
        <v>8</v>
      </c>
      <c r="CP194" s="53" t="n">
        <f aca="false">IFERROR(IF(OR(CE194=1,CE194=2,CE194=3),N(INDEX(Parameter!$I$5:$I$7,CE194)),0),0)</f>
        <v>0</v>
      </c>
      <c r="CQ194" s="52" t="n">
        <f aca="false">IF(AND(Parameter!$B$21="Ja",ISNUMBER(W194),N(X194)&gt;0),IFERROR(N(INDEX(Parameter!$L$5:$L$7,W194))*INDEX(Parameter!$E$5:$E$7,W194)*X194/SUMIFS($X$7:$X$1843,$W$7:$W$1843,W194),0),0)</f>
        <v>0</v>
      </c>
    </row>
    <row r="195" customFormat="false" ht="15" hidden="false" customHeight="false" outlineLevel="0" collapsed="false">
      <c r="A195" s="48" t="s">
        <v>601</v>
      </c>
      <c r="B195" s="48" t="s">
        <v>498</v>
      </c>
      <c r="C195" s="48" t="s">
        <v>173</v>
      </c>
      <c r="D195" s="48" t="s">
        <v>193</v>
      </c>
      <c r="E195" s="48" t="s">
        <v>194</v>
      </c>
      <c r="F195" s="48" t="s">
        <v>227</v>
      </c>
      <c r="G195" s="49" t="n">
        <v>1.2</v>
      </c>
      <c r="H195" s="50" t="n">
        <f aca="false">MAX(0,IF(AND(Parameter!$B$21="Ja",ISNUMBER(Y195)),Y195,IF(Parameter!$B$20="Jahresanfang 2025 + Export",BR195+BQ195,BQ195)))</f>
        <v>1006</v>
      </c>
      <c r="I195" s="50" t="n">
        <f aca="false">H195*G195</f>
        <v>1207.2</v>
      </c>
      <c r="J195" s="50" t="n">
        <f aca="false">BT195*Parameter!$B$18</f>
        <v>1270</v>
      </c>
      <c r="K195" s="51" t="n">
        <v>400</v>
      </c>
      <c r="L195" s="52" t="n">
        <v>3.175</v>
      </c>
      <c r="M195" s="50" t="n">
        <v>49</v>
      </c>
      <c r="N195" s="50" t="n">
        <v>1270</v>
      </c>
      <c r="O195" s="53" t="n">
        <v>14</v>
      </c>
      <c r="P195" s="48" t="s">
        <v>485</v>
      </c>
      <c r="Q195" s="50" t="n">
        <v>666</v>
      </c>
      <c r="R195" s="53" t="n">
        <f aca="false">IF(BZ195=1,0,IFERROR(VLOOKUP(BX195,'Gebinde-Kategorie'!$A$5:$N$45,13,0)+0,0))</f>
        <v>52</v>
      </c>
      <c r="S195" s="54"/>
      <c r="T195" s="55"/>
      <c r="U195" s="55"/>
      <c r="V195" s="55"/>
      <c r="W195" s="48"/>
      <c r="X195" s="50"/>
      <c r="Y195" s="50"/>
      <c r="Z195" s="48" t="n">
        <f aca="false">IF(A195="","",IF(AND(Parameter!$B$21="Ja",ISNUMBER(W195)),W195,IF(CC195="2+3",IF(ISNUMBER(SEARCH("grosser Artikel",BU195)),2,IFERROR(VLOOKUP(BX195,Parameter!$F$35:$G$64,2,0),2)),IF(OR(CC195="Nein",CC195=""),"-",CC195))))</f>
        <v>3</v>
      </c>
      <c r="AA195" s="55"/>
      <c r="AB195" s="56"/>
      <c r="AC195" s="50" t="n">
        <f aca="false">AV195</f>
        <v>1319</v>
      </c>
      <c r="AD195" s="50" t="n">
        <f aca="false">MAX(AV195,H195)</f>
        <v>1319</v>
      </c>
      <c r="AE195" s="57"/>
      <c r="AF195" s="50" t="n">
        <f aca="false">IF(LEFT(Cockpit!$C$5,1)="A",H195,IF(Parameter!$E$30="MAX-Bestand",IF(CH195=1,CI195,IF(LEFT(Cockpit!$C$5,1)="B",AL195,MAX(AL195,H195))),ROUNDUP(AJ195,0)))</f>
        <v>1006</v>
      </c>
      <c r="AG195" s="50" t="n">
        <f aca="false">IF(BZ195=1,0,ROUNDUP(AF195/BY195,0))</f>
        <v>2</v>
      </c>
      <c r="AH195" s="52" t="n">
        <f aca="false">IF(CQ195&gt;0,CQ195*MAX(1,AF195/X195),IF(BZ195=1,IF(AF195&lt;=0,0,CD195*MAX(1,IF(H195&gt;0,AF195/H195,1))),IF(R195&gt;0,AG195/R195,0))/MAX(0.1,N(Parameter!$M$21)))</f>
        <v>0.0384615384615385</v>
      </c>
      <c r="AI195" s="50" t="n">
        <f aca="false">AH195*CB195</f>
        <v>5.96153846153846</v>
      </c>
      <c r="AJ195" s="51" t="n">
        <f aca="false">IF(LEFT(Cockpit!$C$5,1)="A",H195,IF(CH195=1,(CK195+CI195)/2,IF(LEFT(Cockpit!$C$5,1)="B",(CK195+AL195)/2,MAX((CK195+AL195)/2,H195))))</f>
        <v>1006</v>
      </c>
      <c r="AK195" s="50" t="n">
        <f aca="false">AJ195*G195</f>
        <v>1207.2</v>
      </c>
      <c r="AL195" s="50" t="n">
        <f aca="false">ROUNDUP(CK195+MAX(CL195,2*(J195/IF(CG195&gt;0,CG195,MAX(0.1,N(Cockpit!$C$6)))-CK195)),0)</f>
        <v>1319</v>
      </c>
      <c r="AM195" s="51" t="n">
        <f aca="false">IF(AI195&gt;0,J195/AI195,-1)</f>
        <v>213.032258064516</v>
      </c>
      <c r="AN195" s="51" t="n">
        <f aca="false">IF(AND(OR(CF195="L1",CF195="L23",CF195="LIFT"),AI195&gt;0),SUMIFS($AI$7:$AI$1843,$CF$7:$CF$1843,CF195,$AM$7:$AM$1843,"&gt;"&amp;AM195)+SUMIFS($AI$7:$AI$1843,$CF$7:$CF$1843,CF195,$AM$7:$AM$1843,AM195,$BW$7:$BW$1843,"&lt;="&amp;BW195),"")</f>
        <v>328.974358974359</v>
      </c>
      <c r="AO195" s="58" t="n">
        <f aca="false">IF(AN195="",0,MAX(0,MIN(1,(IF(CF195="L1",Parameter!$H$5,IF(CF195="L23",Parameter!$H$6+Parameter!$H$7,Parameter!$H$5+Parameter!$H$6+Parameter!$H$7))-(AN195-AI195))/AI195)))</f>
        <v>1</v>
      </c>
      <c r="AP195" s="50" t="n">
        <f aca="false">IF(LEFT(Cockpit!$I$5,1)="A",H195,IF(Parameter!$E$30="MAX-Bestand",IF(CH195=1,CI195,IF(LEFT(Cockpit!$I$5,1)="B",AV195,MAX(AV195,H195))),ROUNDUP(AT195,0)))</f>
        <v>1006</v>
      </c>
      <c r="AQ195" s="50" t="n">
        <f aca="false">IF(BZ195=1,0,ROUNDUP(AP195/BY195,0))</f>
        <v>2</v>
      </c>
      <c r="AR195" s="52" t="n">
        <f aca="false">IF(CQ195&gt;0,CQ195*MAX(1,AP195/X195),IF(BZ195=1,IF(AP195&lt;=0,0,CD195*MAX(1,IF(H195&gt;0,AP195/H195,1))),IF(R195&gt;0,AQ195/R195,0))/MAX(0.1,N(Parameter!$M$21)))</f>
        <v>0.0384615384615385</v>
      </c>
      <c r="AS195" s="50" t="n">
        <f aca="false">AR195*CB195</f>
        <v>5.96153846153846</v>
      </c>
      <c r="AT195" s="51" t="n">
        <f aca="false">IF(LEFT(Cockpit!$I$5,1)="A",H195,IF(CH195=1,(CK195+CI195)/2,IF(LEFT(Cockpit!$I$5,1)="B",(CK195+AV195)/2,MAX((CK195+AV195)/2,H195))))</f>
        <v>1006</v>
      </c>
      <c r="AU195" s="50" t="n">
        <f aca="false">AT195*G195</f>
        <v>1207.2</v>
      </c>
      <c r="AV195" s="50" t="n">
        <f aca="false">ROUNDUP(CK195+MAX(CL195,2*(J195/IF(CG195&gt;0,CG195,MAX(0.1,N(Cockpit!$I$6)))-CK195)),0)</f>
        <v>1319</v>
      </c>
      <c r="AW195" s="51" t="n">
        <f aca="false">IF(AS195&gt;0,J195/AS195,-1)</f>
        <v>213.032258064516</v>
      </c>
      <c r="AX195" s="51" t="n">
        <f aca="false">IF(AND(OR(CF195="L1",CF195="L23",CF195="LIFT"),AS195&gt;0),SUMIFS($AS$7:$AS$1843,$CF$7:$CF$1843,CF195,$AW$7:$AW$1843,"&gt;"&amp;AW195)+SUMIFS($AS$7:$AS$1843,$CF$7:$CF$1843,CF195,$AW$7:$AW$1843,AW195,$BW$7:$BW$1843,"&lt;="&amp;BW195),"")</f>
        <v>438.149725274725</v>
      </c>
      <c r="AY195" s="58" t="n">
        <f aca="false">IF(AX195="",0,MAX(0,MIN(1,(IF(CF195="L1",Parameter!$H$5,IF(CF195="L23",Parameter!$H$6+Parameter!$H$7,Parameter!$H$5+Parameter!$H$6+Parameter!$H$7))-(AX195-AS195))/AS195)))</f>
        <v>1</v>
      </c>
      <c r="AZ195" s="50" t="n">
        <f aca="false">IF(LEFT(Cockpit!$O$5,1)="A",H195,IF(Parameter!$E$30="MAX-Bestand",IF(CH195=1,CI195,IF(LEFT(Cockpit!$O$5,1)="B",BF195,MAX(BF195,H195))),ROUNDUP(BD195,0)))</f>
        <v>684</v>
      </c>
      <c r="BA195" s="50" t="n">
        <f aca="false">IF(BZ195=1,0,ROUNDUP(AZ195/BY195,0))</f>
        <v>2</v>
      </c>
      <c r="BB195" s="52" t="n">
        <f aca="false">IF(CQ195&gt;0,CQ195*MAX(1,AZ195/X195),IF(BZ195=1,IF(AZ195&lt;=0,0,CD195*MAX(1,IF(H195&gt;0,AZ195/H195,1))),IF(R195&gt;0,BA195/R195,0))/MAX(0.1,N(Parameter!$M$21)))</f>
        <v>0.0384615384615385</v>
      </c>
      <c r="BC195" s="50" t="n">
        <f aca="false">BB195*CB195</f>
        <v>5.96153846153846</v>
      </c>
      <c r="BD195" s="51" t="n">
        <f aca="false">IF(LEFT(Cockpit!$O$5,1)="A",H195,IF(CH195=1,(CK195+CI195)/2,IF(LEFT(Cockpit!$O$5,1)="B",(CK195+BF195)/2,MAX((CK195+BF195)/2,H195))))</f>
        <v>684</v>
      </c>
      <c r="BE195" s="50" t="n">
        <f aca="false">BD195*G195</f>
        <v>820.8</v>
      </c>
      <c r="BF195" s="50" t="n">
        <f aca="false">ROUNDUP(CK195+MAX(CL195,2*(J195/IF(CG195&gt;0,CG195,MAX(0.1,N(Cockpit!$O$6)))-CK195)),0)</f>
        <v>1319</v>
      </c>
      <c r="BG195" s="51" t="n">
        <f aca="false">IF(BC195&gt;0,J195/BC195,-1)</f>
        <v>213.032258064516</v>
      </c>
      <c r="BH195" s="51" t="n">
        <f aca="false">IF(AND(OR(CF195="L1",CF195="L23",CF195="LIFT"),BC195&gt;0),SUMIFS($BC$7:$BC$1843,$CF$7:$CF$1843,CF195,$BG$7:$BG$1843,"&gt;"&amp;BG195)+SUMIFS($BC$7:$BC$1843,$CF$7:$CF$1843,CF195,$BG$7:$BG$1843,BG195,$BW$7:$BW$1843,"&lt;="&amp;BW195),"")</f>
        <v>414.061813186813</v>
      </c>
      <c r="BI195" s="58" t="n">
        <f aca="false">IF(BH195="",0,MAX(0,MIN(1,(IF(CF195="L1",Parameter!$H$5,IF(CF195="L23",Parameter!$H$6+Parameter!$H$7,Parameter!$H$5+Parameter!$H$6+Parameter!$H$7))-(BH195-BC195))/BC195)))</f>
        <v>1</v>
      </c>
      <c r="BJ195" s="48" t="str">
        <f aca="false">IF(AI195&lt;=0,"",IF(CF195="Aussen","Aussenlager",IF(CF195="-","Nicht im Lift",IF(AO195&gt;=1,"Lift",IF(AO195&lt;=0,"Aussenlager","teilweise")))))</f>
        <v>Lift</v>
      </c>
      <c r="BK195" s="48" t="str">
        <f aca="false">IF(AS195&lt;=0,"",IF(CF195="Aussen","Aussenlager",IF(CF195="-","Nicht im Lift",IF(AY195&gt;=1,"Lift",IF(AY195&lt;=0,"Aussenlager","teilweise")))))</f>
        <v>Lift</v>
      </c>
      <c r="BL195" s="48" t="str">
        <f aca="false">IF(BC195&lt;=0,"",IF(CF195="Aussen","Aussenlager",IF(CF195="-","Nicht im Lift",IF(BI195&gt;=1,"Lift",IF(BI195&lt;=0,"Aussenlager","teilweise")))))</f>
        <v>Lift</v>
      </c>
      <c r="BM195" s="48" t="str">
        <f aca="false">IF(A195="","",IF(BV195=1,"Neu; ","")&amp;IF(AND(BV195=0,BQ195&lt;0),"negativer Bestand (Export "&amp;BQ195&amp;"); ","")&amp;IF(J195&lt;=0,"Kein Verbrauch; ","")&amp;IF(CQ195&gt;0,"Lift "&amp;W195&amp;" lt. Liftbericht (Fach "&amp;X195&amp;" Stk); ",IF(CA195=1,"Gebinde geschätzt ("&amp;T195&amp;"); ",IF(BZ195=1,"Lose – Tablare geschätzt; ","")))&amp;IF(H195&gt;AV195,"Überbestand "&amp;ROUND(H195-AV195,0)&amp;" Stk / CHF "&amp;ROUND((H195-AV195)*G195,0)&amp;"; ","")&amp;IF(AND(CH195=1,CI195&lt;CJ195),"MAX &lt; MB+LG; ","")&amp;IF(AND(CP195&gt;0,CO195*10&gt;CP195),"zu hoch für Tablar; ","")&amp;IF(AND(BV195=0,OR(CH195=1,AA195&lt;&gt;"",U195&lt;&gt;"",V195&lt;&gt;"",AB195&lt;&gt;"")),"manuell übersteuert; ","")&amp;IF(AND(BZ195=0,R195=0),"Gebinde unbekannt / Stellmass fehlt; ","")&amp;IF(AND(BZ195=0,N(V195)&lt;=0,N(Q195)&lt;=0),"Menge pro Gebinde fehlt (Ist = 1 Gebinde); ","")&amp;BU195)</f>
        <v/>
      </c>
      <c r="BN195" s="48"/>
      <c r="BO195" s="48"/>
      <c r="BP195" s="55"/>
      <c r="BQ195" s="50" t="n">
        <v>746</v>
      </c>
      <c r="BR195" s="50" t="n">
        <v>260</v>
      </c>
      <c r="BS195" s="49" t="n">
        <v>830.199999999999</v>
      </c>
      <c r="BT195" s="50" t="n">
        <v>1270</v>
      </c>
      <c r="BU195" s="48"/>
      <c r="BV195" s="53" t="n">
        <v>0</v>
      </c>
      <c r="BW195" s="53" t="n">
        <v>195</v>
      </c>
      <c r="BX195" s="48" t="str">
        <f aca="false">IF(U195&lt;&gt;"",UPPER(TRIM(U195)),IF(CA195=1,UPPER(VLOOKUP(T195,Parameter!$I$27:$K$29,2,0)),IF(P195="","LOSE",P195)))</f>
        <v>S33</v>
      </c>
      <c r="BY195" s="50" t="n">
        <f aca="false">IF(BX195="LOSE",1,IF(N(V195)&gt;0,V195,IF(CA195=1,MAX(1,N(VLOOKUP(T195,Parameter!$I$27:$K$29,3,0)),H195,N(N195)),IF(N(Q195)&gt;0,Q195,MAX(1,H195)))))</f>
        <v>666</v>
      </c>
      <c r="BZ195" s="53" t="n">
        <f aca="false">IF(BX195="LOSE",1,0)</f>
        <v>0</v>
      </c>
      <c r="CA195" s="53" t="n">
        <f aca="false">IF(AND(U195="",OR(P195="",P195="LOSE"),T195&lt;&gt;"",N(S195)&lt;=0,ISNUMBER(MATCH(T195,Parameter!$I$27:$I$29,0))),1,0)</f>
        <v>0</v>
      </c>
      <c r="CB195" s="53" t="n">
        <f aca="false">IF(CQ195&gt;0,INDEX(Parameter!$H$5:$H$7,W195)/INDEX(Parameter!$E$5:$E$7,W195),IF(AND(BZ195=0,N(IFERROR(VLOOKUP(BX195,'Gebinde-Kategorie'!$A$5:$N$45,14,0),0))&gt;0),VLOOKUP(BX195,'Gebinde-Kategorie'!$A$5:$N$45,14,0)*10+Parameter!$M$23,Parameter!$M$24))</f>
        <v>155</v>
      </c>
      <c r="CC195" s="48" t="str">
        <f aca="false">IF(AND(Parameter!$B$19="Ja",E195&lt;&gt;"",ISNUMBER(MATCH(E195,Parameter!$I$35:$I$52,0))),VLOOKUP(E195,Parameter!$I$35:$J$52,2,0),IFERROR(VLOOKUP(D195,Parameter!$A$35:$C$64,2,0),"Nein"))</f>
        <v>2+3</v>
      </c>
      <c r="CD195" s="52" t="n">
        <f aca="false">IF(BZ195=0,0,IF(N(S195)&gt;0,S195,IFERROR(VLOOKUP(D195,Parameter!$A$35:$C$64,3,0)+0,0)))</f>
        <v>0</v>
      </c>
      <c r="CE195" s="48" t="n">
        <f aca="false">IF(AA195&lt;&gt;"",AA195,Z195)</f>
        <v>3</v>
      </c>
      <c r="CF195" s="48" t="str">
        <f aca="false">IF(OR(CE195=1,CE195=2,CE195=3),IF(Parameter!$E$27="Ja","LIFT",IF(CE195=1,"L1","L23")),IF(CE195="Aussen","Aussen","-"))</f>
        <v>LIFT</v>
      </c>
      <c r="CG195" s="59" t="n">
        <f aca="false">IF(N(AB195)&gt;0,AB195,0)</f>
        <v>0</v>
      </c>
      <c r="CH195" s="53" t="n">
        <f aca="false">IF(ISNUMBER(AE195),1,0)</f>
        <v>0</v>
      </c>
      <c r="CI195" s="50" t="n">
        <f aca="false">N(AE195)</f>
        <v>0</v>
      </c>
      <c r="CJ195" s="50" t="n">
        <f aca="false">N(M195)+N(N195)</f>
        <v>1319</v>
      </c>
      <c r="CK195" s="50" t="n">
        <f aca="false">N(M195)</f>
        <v>49</v>
      </c>
      <c r="CL195" s="50" t="n">
        <f aca="false">N(N195)</f>
        <v>1270</v>
      </c>
      <c r="CM195" s="50" t="n">
        <f aca="false">ROUNDUP(H195/BY195,0)</f>
        <v>2</v>
      </c>
      <c r="CN195" s="50" t="n">
        <f aca="false">ROUNDUP(CI195/BY195,0)</f>
        <v>0</v>
      </c>
      <c r="CO195" s="53" t="n">
        <f aca="false">IF(BZ195=1,0,IFERROR(VLOOKUP(BX195,'Gebinde-Kategorie'!$A$5:$N$45,5,0)+0,0))</f>
        <v>8</v>
      </c>
      <c r="CP195" s="53" t="n">
        <f aca="false">IFERROR(IF(OR(CE195=1,CE195=2,CE195=3),N(INDEX(Parameter!$I$5:$I$7,CE195)),0),0)</f>
        <v>0</v>
      </c>
      <c r="CQ195" s="52" t="n">
        <f aca="false">IF(AND(Parameter!$B$21="Ja",ISNUMBER(W195),N(X195)&gt;0),IFERROR(N(INDEX(Parameter!$L$5:$L$7,W195))*INDEX(Parameter!$E$5:$E$7,W195)*X195/SUMIFS($X$7:$X$1843,$W$7:$W$1843,W195),0),0)</f>
        <v>0</v>
      </c>
    </row>
    <row r="196" customFormat="false" ht="15" hidden="false" customHeight="false" outlineLevel="0" collapsed="false">
      <c r="A196" s="48" t="s">
        <v>602</v>
      </c>
      <c r="B196" s="48" t="s">
        <v>603</v>
      </c>
      <c r="C196" s="48" t="s">
        <v>173</v>
      </c>
      <c r="D196" s="48" t="s">
        <v>193</v>
      </c>
      <c r="E196" s="48"/>
      <c r="F196" s="48" t="s">
        <v>227</v>
      </c>
      <c r="G196" s="49" t="n">
        <v>34.52</v>
      </c>
      <c r="H196" s="50" t="n">
        <f aca="false">MAX(0,IF(AND(Parameter!$B$21="Ja",ISNUMBER(Y196)),Y196,IF(Parameter!$B$20="Jahresanfang 2025 + Export",BR196+BQ196,BQ196)))</f>
        <v>24</v>
      </c>
      <c r="I196" s="50" t="n">
        <f aca="false">H196*G196</f>
        <v>828.48</v>
      </c>
      <c r="J196" s="50" t="n">
        <f aca="false">BT196*Parameter!$B$18</f>
        <v>0</v>
      </c>
      <c r="K196" s="51" t="n">
        <v>0</v>
      </c>
      <c r="L196" s="52" t="n">
        <v>0</v>
      </c>
      <c r="M196" s="50" t="n">
        <v>0</v>
      </c>
      <c r="N196" s="50" t="n">
        <v>1</v>
      </c>
      <c r="O196" s="53" t="n">
        <v>9999</v>
      </c>
      <c r="P196" s="48" t="s">
        <v>177</v>
      </c>
      <c r="Q196" s="50"/>
      <c r="R196" s="53" t="n">
        <f aca="false">IF(BZ196=1,0,IFERROR(VLOOKUP(BX196,'Gebinde-Kategorie'!$A$5:$N$45,13,0)+0,0))</f>
        <v>26</v>
      </c>
      <c r="S196" s="54"/>
      <c r="T196" s="55" t="s">
        <v>284</v>
      </c>
      <c r="U196" s="55"/>
      <c r="V196" s="55"/>
      <c r="W196" s="48"/>
      <c r="X196" s="50"/>
      <c r="Y196" s="50"/>
      <c r="Z196" s="48" t="n">
        <f aca="false">IF(A196="","",IF(AND(Parameter!$B$21="Ja",ISNUMBER(W196)),W196,IF(CC196="2+3",IF(ISNUMBER(SEARCH("grosser Artikel",BU196)),2,IFERROR(VLOOKUP(BX196,Parameter!$F$35:$G$64,2,0),2)),IF(OR(CC196="Nein",CC196=""),"-",CC196))))</f>
        <v>3</v>
      </c>
      <c r="AA196" s="55"/>
      <c r="AB196" s="56"/>
      <c r="AC196" s="50" t="n">
        <f aca="false">AV196</f>
        <v>1</v>
      </c>
      <c r="AD196" s="50" t="n">
        <f aca="false">MAX(AV196,H196)</f>
        <v>24</v>
      </c>
      <c r="AE196" s="57"/>
      <c r="AF196" s="50" t="n">
        <f aca="false">IF(LEFT(Cockpit!$C$5,1)="A",H196,IF(Parameter!$E$30="MAX-Bestand",IF(CH196=1,CI196,IF(LEFT(Cockpit!$C$5,1)="B",AL196,MAX(AL196,H196))),ROUNDUP(AJ196,0)))</f>
        <v>24</v>
      </c>
      <c r="AG196" s="50" t="n">
        <f aca="false">IF(BZ196=1,0,ROUNDUP(AF196/BY196,0))</f>
        <v>1</v>
      </c>
      <c r="AH196" s="52" t="n">
        <f aca="false">IF(CQ196&gt;0,CQ196*MAX(1,AF196/X196),IF(BZ196=1,IF(AF196&lt;=0,0,CD196*MAX(1,IF(H196&gt;0,AF196/H196,1))),IF(R196&gt;0,AG196/R196,0))/MAX(0.1,N(Parameter!$M$21)))</f>
        <v>0.0384615384615385</v>
      </c>
      <c r="AI196" s="50" t="n">
        <f aca="false">AH196*CB196</f>
        <v>5.96153846153846</v>
      </c>
      <c r="AJ196" s="51" t="n">
        <f aca="false">IF(LEFT(Cockpit!$C$5,1)="A",H196,IF(CH196=1,(CK196+CI196)/2,IF(LEFT(Cockpit!$C$5,1)="B",(CK196+AL196)/2,MAX((CK196+AL196)/2,H196))))</f>
        <v>24</v>
      </c>
      <c r="AK196" s="50" t="n">
        <f aca="false">AJ196*G196</f>
        <v>828.48</v>
      </c>
      <c r="AL196" s="50" t="n">
        <f aca="false">ROUNDUP(CK196+MAX(CL196,2*(J196/IF(CG196&gt;0,CG196,MAX(0.1,N(Cockpit!$C$6)))-CK196)),0)</f>
        <v>1</v>
      </c>
      <c r="AM196" s="51" t="n">
        <f aca="false">IF(AI196&gt;0,J196/AI196,-1)</f>
        <v>0</v>
      </c>
      <c r="AN196" s="51" t="n">
        <f aca="false">IF(AND(OR(CF196="L1",CF196="L23",CF196="LIFT"),AI196&gt;0),SUMIFS($AI$7:$AI$1843,$CF$7:$CF$1843,CF196,$AM$7:$AM$1843,"&gt;"&amp;AM196)+SUMIFS($AI$7:$AI$1843,$CF$7:$CF$1843,CF196,$AM$7:$AM$1843,AM196,$BW$7:$BW$1843,"&lt;="&amp;BW196),"")</f>
        <v>27524.4177505639</v>
      </c>
      <c r="AO196" s="58" t="n">
        <f aca="false">IF(AN196="",0,MAX(0,MIN(1,(IF(CF196="L1",Parameter!$H$5,IF(CF196="L23",Parameter!$H$6+Parameter!$H$7,Parameter!$H$5+Parameter!$H$6+Parameter!$H$7))-(AN196-AI196))/AI196)))</f>
        <v>1</v>
      </c>
      <c r="AP196" s="50" t="n">
        <f aca="false">IF(LEFT(Cockpit!$I$5,1)="A",H196,IF(Parameter!$E$30="MAX-Bestand",IF(CH196=1,CI196,IF(LEFT(Cockpit!$I$5,1)="B",AV196,MAX(AV196,H196))),ROUNDUP(AT196,0)))</f>
        <v>24</v>
      </c>
      <c r="AQ196" s="50" t="n">
        <f aca="false">IF(BZ196=1,0,ROUNDUP(AP196/BY196,0))</f>
        <v>1</v>
      </c>
      <c r="AR196" s="52" t="n">
        <f aca="false">IF(CQ196&gt;0,CQ196*MAX(1,AP196/X196),IF(BZ196=1,IF(AP196&lt;=0,0,CD196*MAX(1,IF(H196&gt;0,AP196/H196,1))),IF(R196&gt;0,AQ196/R196,0))/MAX(0.1,N(Parameter!$M$21)))</f>
        <v>0.0384615384615385</v>
      </c>
      <c r="AS196" s="50" t="n">
        <f aca="false">AR196*CB196</f>
        <v>5.96153846153846</v>
      </c>
      <c r="AT196" s="51" t="n">
        <f aca="false">IF(LEFT(Cockpit!$I$5,1)="A",H196,IF(CH196=1,(CK196+CI196)/2,IF(LEFT(Cockpit!$I$5,1)="B",(CK196+AV196)/2,MAX((CK196+AV196)/2,H196))))</f>
        <v>24</v>
      </c>
      <c r="AU196" s="50" t="n">
        <f aca="false">AT196*G196</f>
        <v>828.48</v>
      </c>
      <c r="AV196" s="50" t="n">
        <f aca="false">ROUNDUP(CK196+MAX(CL196,2*(J196/IF(CG196&gt;0,CG196,MAX(0.1,N(Cockpit!$I$6)))-CK196)),0)</f>
        <v>1</v>
      </c>
      <c r="AW196" s="51" t="n">
        <f aca="false">IF(AS196&gt;0,J196/AS196,-1)</f>
        <v>0</v>
      </c>
      <c r="AX196" s="51" t="n">
        <f aca="false">IF(AND(OR(CF196="L1",CF196="L23",CF196="LIFT"),AS196&gt;0),SUMIFS($AS$7:$AS$1843,$CF$7:$CF$1843,CF196,$AW$7:$AW$1843,"&gt;"&amp;AW196)+SUMIFS($AS$7:$AS$1843,$CF$7:$CF$1843,CF196,$AW$7:$AW$1843,AW196,$BW$7:$BW$1843,"&lt;="&amp;BW196),"")</f>
        <v>32877.5663919414</v>
      </c>
      <c r="AY196" s="58" t="n">
        <f aca="false">IF(AX196="",0,MAX(0,MIN(1,(IF(CF196="L1",Parameter!$H$5,IF(CF196="L23",Parameter!$H$6+Parameter!$H$7,Parameter!$H$5+Parameter!$H$6+Parameter!$H$7))-(AX196-AS196))/AS196)))</f>
        <v>1</v>
      </c>
      <c r="AZ196" s="50" t="n">
        <f aca="false">IF(LEFT(Cockpit!$O$5,1)="A",H196,IF(Parameter!$E$30="MAX-Bestand",IF(CH196=1,CI196,IF(LEFT(Cockpit!$O$5,1)="B",BF196,MAX(BF196,H196))),ROUNDUP(BD196,0)))</f>
        <v>1</v>
      </c>
      <c r="BA196" s="50" t="n">
        <f aca="false">IF(BZ196=1,0,ROUNDUP(AZ196/BY196,0))</f>
        <v>1</v>
      </c>
      <c r="BB196" s="52" t="n">
        <f aca="false">IF(CQ196&gt;0,CQ196*MAX(1,AZ196/X196),IF(BZ196=1,IF(AZ196&lt;=0,0,CD196*MAX(1,IF(H196&gt;0,AZ196/H196,1))),IF(R196&gt;0,BA196/R196,0))/MAX(0.1,N(Parameter!$M$21)))</f>
        <v>0.0384615384615385</v>
      </c>
      <c r="BC196" s="50" t="n">
        <f aca="false">BB196*CB196</f>
        <v>5.96153846153846</v>
      </c>
      <c r="BD196" s="51" t="n">
        <f aca="false">IF(LEFT(Cockpit!$O$5,1)="A",H196,IF(CH196=1,(CK196+CI196)/2,IF(LEFT(Cockpit!$O$5,1)="B",(CK196+BF196)/2,MAX((CK196+BF196)/2,H196))))</f>
        <v>0.5</v>
      </c>
      <c r="BE196" s="50" t="n">
        <f aca="false">BD196*G196</f>
        <v>17.26</v>
      </c>
      <c r="BF196" s="50" t="n">
        <f aca="false">ROUNDUP(CK196+MAX(CL196,2*(J196/IF(CG196&gt;0,CG196,MAX(0.1,N(Cockpit!$O$6)))-CK196)),0)</f>
        <v>1</v>
      </c>
      <c r="BG196" s="51" t="n">
        <f aca="false">IF(BC196&gt;0,J196/BC196,-1)</f>
        <v>0</v>
      </c>
      <c r="BH196" s="51" t="n">
        <f aca="false">IF(AND(OR(CF196="L1",CF196="L23",CF196="LIFT"),BC196&gt;0),SUMIFS($BC$7:$BC$1843,$CF$7:$CF$1843,CF196,$BG$7:$BG$1843,"&gt;"&amp;BG196)+SUMIFS($BC$7:$BC$1843,$CF$7:$CF$1843,CF196,$BG$7:$BG$1843,BG196,$BW$7:$BW$1843,"&lt;="&amp;BW196),"")</f>
        <v>27041.8084916496</v>
      </c>
      <c r="BI196" s="58" t="n">
        <f aca="false">IF(BH196="",0,MAX(0,MIN(1,(IF(CF196="L1",Parameter!$H$5,IF(CF196="L23",Parameter!$H$6+Parameter!$H$7,Parameter!$H$5+Parameter!$H$6+Parameter!$H$7))-(BH196-BC196))/BC196)))</f>
        <v>1</v>
      </c>
      <c r="BJ196" s="48" t="str">
        <f aca="false">IF(AI196&lt;=0,"",IF(CF196="Aussen","Aussenlager",IF(CF196="-","Nicht im Lift",IF(AO196&gt;=1,"Lift",IF(AO196&lt;=0,"Aussenlager","teilweise")))))</f>
        <v>Lift</v>
      </c>
      <c r="BK196" s="48" t="str">
        <f aca="false">IF(AS196&lt;=0,"",IF(CF196="Aussen","Aussenlager",IF(CF196="-","Nicht im Lift",IF(AY196&gt;=1,"Lift",IF(AY196&lt;=0,"Aussenlager","teilweise")))))</f>
        <v>Lift</v>
      </c>
      <c r="BL196" s="48" t="str">
        <f aca="false">IF(BC196&lt;=0,"",IF(CF196="Aussen","Aussenlager",IF(CF196="-","Nicht im Lift",IF(BI196&gt;=1,"Lift",IF(BI196&lt;=0,"Aussenlager","teilweise")))))</f>
        <v>Lift</v>
      </c>
      <c r="BM196" s="48" t="str">
        <f aca="false">IF(A196="","",IF(BV196=1,"Neu; ","")&amp;IF(AND(BV196=0,BQ196&lt;0),"negativer Bestand (Export "&amp;BQ196&amp;"); ","")&amp;IF(J196&lt;=0,"Kein Verbrauch; ","")&amp;IF(CQ196&gt;0,"Lift "&amp;W196&amp;" lt. Liftbericht (Fach "&amp;X196&amp;" Stk); ",IF(CA196=1,"Gebinde geschätzt ("&amp;T196&amp;"); ",IF(BZ196=1,"Lose – Tablare geschätzt; ","")))&amp;IF(H196&gt;AV196,"Überbestand "&amp;ROUND(H196-AV196,0)&amp;" Stk / CHF "&amp;ROUND((H196-AV196)*G196,0)&amp;"; ","")&amp;IF(AND(CH196=1,CI196&lt;CJ196),"MAX &lt; MB+LG; ","")&amp;IF(AND(CP196&gt;0,CO196*10&gt;CP196),"zu hoch für Tablar; ","")&amp;IF(AND(BV196=0,OR(CH196=1,AA196&lt;&gt;"",U196&lt;&gt;"",V196&lt;&gt;"",AB196&lt;&gt;"")),"manuell übersteuert; ","")&amp;IF(AND(BZ196=0,R196=0),"Gebinde unbekannt / Stellmass fehlt; ","")&amp;IF(AND(BZ196=0,N(V196)&lt;=0,N(Q196)&lt;=0),"Menge pro Gebinde fehlt (Ist = 1 Gebinde); ","")&amp;BU196)</f>
        <v>Kein Verbrauch; Gebinde geschätzt (Klein); Überbestand 23 Stk / CHF 794; Menge pro Gebinde fehlt (Ist = 1 Gebinde); </v>
      </c>
      <c r="BN196" s="48"/>
      <c r="BO196" s="48"/>
      <c r="BP196" s="55"/>
      <c r="BQ196" s="50" t="n">
        <v>24</v>
      </c>
      <c r="BR196" s="50" t="n">
        <v>0</v>
      </c>
      <c r="BS196" s="49" t="n">
        <v>828.48</v>
      </c>
      <c r="BT196" s="50" t="n">
        <v>0</v>
      </c>
      <c r="BU196" s="48"/>
      <c r="BV196" s="53" t="n">
        <v>0</v>
      </c>
      <c r="BW196" s="53" t="n">
        <v>196</v>
      </c>
      <c r="BX196" s="48" t="str">
        <f aca="false">IF(U196&lt;&gt;"",UPPER(TRIM(U196)),IF(CA196=1,UPPER(VLOOKUP(T196,Parameter!$I$27:$K$29,2,0)),IF(P196="","LOSE",P196)))</f>
        <v>S51</v>
      </c>
      <c r="BY196" s="50" t="n">
        <f aca="false">IF(BX196="LOSE",1,IF(N(V196)&gt;0,V196,IF(CA196=1,MAX(1,N(VLOOKUP(T196,Parameter!$I$27:$K$29,3,0)),H196,N(N196)),IF(N(Q196)&gt;0,Q196,MAX(1,H196)))))</f>
        <v>24</v>
      </c>
      <c r="BZ196" s="53" t="n">
        <f aca="false">IF(BX196="LOSE",1,0)</f>
        <v>0</v>
      </c>
      <c r="CA196" s="53" t="n">
        <f aca="false">IF(AND(U196="",OR(P196="",P196="LOSE"),T196&lt;&gt;"",N(S196)&lt;=0,ISNUMBER(MATCH(T196,Parameter!$I$27:$I$29,0))),1,0)</f>
        <v>1</v>
      </c>
      <c r="CB196" s="53" t="n">
        <f aca="false">IF(CQ196&gt;0,INDEX(Parameter!$H$5:$H$7,W196)/INDEX(Parameter!$E$5:$E$7,W196),IF(AND(BZ196=0,N(IFERROR(VLOOKUP(BX196,'Gebinde-Kategorie'!$A$5:$N$45,14,0),0))&gt;0),VLOOKUP(BX196,'Gebinde-Kategorie'!$A$5:$N$45,14,0)*10+Parameter!$M$23,Parameter!$M$24))</f>
        <v>155</v>
      </c>
      <c r="CC196" s="48" t="str">
        <f aca="false">IF(AND(Parameter!$B$19="Ja",E196&lt;&gt;"",ISNUMBER(MATCH(E196,Parameter!$I$35:$I$52,0))),VLOOKUP(E196,Parameter!$I$35:$J$52,2,0),IFERROR(VLOOKUP(D196,Parameter!$A$35:$C$64,2,0),"Nein"))</f>
        <v>2+3</v>
      </c>
      <c r="CD196" s="52" t="n">
        <f aca="false">IF(BZ196=0,0,IF(N(S196)&gt;0,S196,IFERROR(VLOOKUP(D196,Parameter!$A$35:$C$64,3,0)+0,0)))</f>
        <v>0</v>
      </c>
      <c r="CE196" s="48" t="n">
        <f aca="false">IF(AA196&lt;&gt;"",AA196,Z196)</f>
        <v>3</v>
      </c>
      <c r="CF196" s="48" t="str">
        <f aca="false">IF(OR(CE196=1,CE196=2,CE196=3),IF(Parameter!$E$27="Ja","LIFT",IF(CE196=1,"L1","L23")),IF(CE196="Aussen","Aussen","-"))</f>
        <v>LIFT</v>
      </c>
      <c r="CG196" s="59" t="n">
        <f aca="false">IF(N(AB196)&gt;0,AB196,0)</f>
        <v>0</v>
      </c>
      <c r="CH196" s="53" t="n">
        <f aca="false">IF(ISNUMBER(AE196),1,0)</f>
        <v>0</v>
      </c>
      <c r="CI196" s="50" t="n">
        <f aca="false">N(AE196)</f>
        <v>0</v>
      </c>
      <c r="CJ196" s="50" t="n">
        <f aca="false">N(M196)+N(N196)</f>
        <v>1</v>
      </c>
      <c r="CK196" s="50" t="n">
        <f aca="false">N(M196)</f>
        <v>0</v>
      </c>
      <c r="CL196" s="50" t="n">
        <f aca="false">N(N196)</f>
        <v>1</v>
      </c>
      <c r="CM196" s="50" t="n">
        <f aca="false">ROUNDUP(H196/BY196,0)</f>
        <v>1</v>
      </c>
      <c r="CN196" s="50" t="n">
        <f aca="false">ROUNDUP(CI196/BY196,0)</f>
        <v>0</v>
      </c>
      <c r="CO196" s="53" t="n">
        <f aca="false">IF(BZ196=1,0,IFERROR(VLOOKUP(BX196,'Gebinde-Kategorie'!$A$5:$N$45,5,0)+0,0))</f>
        <v>11</v>
      </c>
      <c r="CP196" s="53" t="n">
        <f aca="false">IFERROR(IF(OR(CE196=1,CE196=2,CE196=3),N(INDEX(Parameter!$I$5:$I$7,CE196)),0),0)</f>
        <v>0</v>
      </c>
      <c r="CQ196" s="52" t="n">
        <f aca="false">IF(AND(Parameter!$B$21="Ja",ISNUMBER(W196),N(X196)&gt;0),IFERROR(N(INDEX(Parameter!$L$5:$L$7,W196))*INDEX(Parameter!$E$5:$E$7,W196)*X196/SUMIFS($X$7:$X$1843,$W$7:$W$1843,W196),0),0)</f>
        <v>0</v>
      </c>
    </row>
    <row r="197" customFormat="false" ht="15" hidden="false" customHeight="false" outlineLevel="0" collapsed="false">
      <c r="A197" s="48" t="s">
        <v>604</v>
      </c>
      <c r="B197" s="48" t="s">
        <v>605</v>
      </c>
      <c r="C197" s="48" t="s">
        <v>173</v>
      </c>
      <c r="D197" s="48" t="s">
        <v>193</v>
      </c>
      <c r="E197" s="48" t="s">
        <v>194</v>
      </c>
      <c r="F197" s="48" t="s">
        <v>227</v>
      </c>
      <c r="G197" s="49" t="n">
        <v>25.14</v>
      </c>
      <c r="H197" s="50" t="n">
        <f aca="false">MAX(0,IF(AND(Parameter!$B$21="Ja",ISNUMBER(Y197)),Y197,IF(Parameter!$B$20="Jahresanfang 2025 + Export",BR197+BQ197,BQ197)))</f>
        <v>112</v>
      </c>
      <c r="I197" s="50" t="n">
        <f aca="false">H197*G197</f>
        <v>2815.68</v>
      </c>
      <c r="J197" s="50" t="n">
        <f aca="false">BT197*Parameter!$B$18</f>
        <v>112</v>
      </c>
      <c r="K197" s="51" t="n">
        <v>123</v>
      </c>
      <c r="L197" s="52" t="n">
        <v>0.910569105691057</v>
      </c>
      <c r="M197" s="50" t="n">
        <v>26</v>
      </c>
      <c r="N197" s="50" t="n">
        <v>110</v>
      </c>
      <c r="O197" s="53" t="n">
        <v>84</v>
      </c>
      <c r="P197" s="48" t="s">
        <v>337</v>
      </c>
      <c r="Q197" s="50" t="n">
        <v>19</v>
      </c>
      <c r="R197" s="53" t="n">
        <f aca="false">IF(BZ197=1,0,IFERROR(VLOOKUP(BX197,'Gebinde-Kategorie'!$A$5:$N$45,13,0)+0,0))</f>
        <v>52</v>
      </c>
      <c r="S197" s="54"/>
      <c r="T197" s="55"/>
      <c r="U197" s="55"/>
      <c r="V197" s="55"/>
      <c r="W197" s="48"/>
      <c r="X197" s="50"/>
      <c r="Y197" s="50"/>
      <c r="Z197" s="48" t="n">
        <f aca="false">IF(A197="","",IF(AND(Parameter!$B$21="Ja",ISNUMBER(W197)),W197,IF(CC197="2+3",IF(ISNUMBER(SEARCH("grosser Artikel",BU197)),2,IFERROR(VLOOKUP(BX197,Parameter!$F$35:$G$64,2,0),2)),IF(OR(CC197="Nein",CC197=""),"-",CC197))))</f>
        <v>3</v>
      </c>
      <c r="AA197" s="55"/>
      <c r="AB197" s="56"/>
      <c r="AC197" s="50" t="n">
        <f aca="false">AV197</f>
        <v>136</v>
      </c>
      <c r="AD197" s="50" t="n">
        <f aca="false">MAX(AV197,H197)</f>
        <v>136</v>
      </c>
      <c r="AE197" s="57"/>
      <c r="AF197" s="50" t="n">
        <f aca="false">IF(LEFT(Cockpit!$C$5,1)="A",H197,IF(Parameter!$E$30="MAX-Bestand",IF(CH197=1,CI197,IF(LEFT(Cockpit!$C$5,1)="B",AL197,MAX(AL197,H197))),ROUNDUP(AJ197,0)))</f>
        <v>112</v>
      </c>
      <c r="AG197" s="50" t="n">
        <f aca="false">IF(BZ197=1,0,ROUNDUP(AF197/BY197,0))</f>
        <v>6</v>
      </c>
      <c r="AH197" s="52" t="n">
        <f aca="false">IF(CQ197&gt;0,CQ197*MAX(1,AF197/X197),IF(BZ197=1,IF(AF197&lt;=0,0,CD197*MAX(1,IF(H197&gt;0,AF197/H197,1))),IF(R197&gt;0,AG197/R197,0))/MAX(0.1,N(Parameter!$M$21)))</f>
        <v>0.115384615384615</v>
      </c>
      <c r="AI197" s="50" t="n">
        <f aca="false">AH197*CB197</f>
        <v>17.8846153846154</v>
      </c>
      <c r="AJ197" s="51" t="n">
        <f aca="false">IF(LEFT(Cockpit!$C$5,1)="A",H197,IF(CH197=1,(CK197+CI197)/2,IF(LEFT(Cockpit!$C$5,1)="B",(CK197+AL197)/2,MAX((CK197+AL197)/2,H197))))</f>
        <v>112</v>
      </c>
      <c r="AK197" s="50" t="n">
        <f aca="false">AJ197*G197</f>
        <v>2815.68</v>
      </c>
      <c r="AL197" s="50" t="n">
        <f aca="false">ROUNDUP(CK197+MAX(CL197,2*(J197/IF(CG197&gt;0,CG197,MAX(0.1,N(Cockpit!$C$6)))-CK197)),0)</f>
        <v>136</v>
      </c>
      <c r="AM197" s="51" t="n">
        <f aca="false">IF(AI197&gt;0,J197/AI197,-1)</f>
        <v>6.26236559139785</v>
      </c>
      <c r="AN197" s="51" t="n">
        <f aca="false">IF(AND(OR(CF197="L1",CF197="L23",CF197="LIFT"),AI197&gt;0),SUMIFS($AI$7:$AI$1843,$CF$7:$CF$1843,CF197,$AM$7:$AM$1843,"&gt;"&amp;AM197)+SUMIFS($AI$7:$AI$1843,$CF$7:$CF$1843,CF197,$AM$7:$AM$1843,AM197,$BW$7:$BW$1843,"&lt;="&amp;BW197),"")</f>
        <v>3490.0902014652</v>
      </c>
      <c r="AO197" s="58" t="n">
        <f aca="false">IF(AN197="",0,MAX(0,MIN(1,(IF(CF197="L1",Parameter!$H$5,IF(CF197="L23",Parameter!$H$6+Parameter!$H$7,Parameter!$H$5+Parameter!$H$6+Parameter!$H$7))-(AN197-AI197))/AI197)))</f>
        <v>1</v>
      </c>
      <c r="AP197" s="50" t="n">
        <f aca="false">IF(LEFT(Cockpit!$I$5,1)="A",H197,IF(Parameter!$E$30="MAX-Bestand",IF(CH197=1,CI197,IF(LEFT(Cockpit!$I$5,1)="B",AV197,MAX(AV197,H197))),ROUNDUP(AT197,0)))</f>
        <v>112</v>
      </c>
      <c r="AQ197" s="50" t="n">
        <f aca="false">IF(BZ197=1,0,ROUNDUP(AP197/BY197,0))</f>
        <v>6</v>
      </c>
      <c r="AR197" s="52" t="n">
        <f aca="false">IF(CQ197&gt;0,CQ197*MAX(1,AP197/X197),IF(BZ197=1,IF(AP197&lt;=0,0,CD197*MAX(1,IF(H197&gt;0,AP197/H197,1))),IF(R197&gt;0,AQ197/R197,0))/MAX(0.1,N(Parameter!$M$21)))</f>
        <v>0.115384615384615</v>
      </c>
      <c r="AS197" s="50" t="n">
        <f aca="false">AR197*CB197</f>
        <v>17.8846153846154</v>
      </c>
      <c r="AT197" s="51" t="n">
        <f aca="false">IF(LEFT(Cockpit!$I$5,1)="A",H197,IF(CH197=1,(CK197+CI197)/2,IF(LEFT(Cockpit!$I$5,1)="B",(CK197+AV197)/2,MAX((CK197+AV197)/2,H197))))</f>
        <v>112</v>
      </c>
      <c r="AU197" s="50" t="n">
        <f aca="false">AT197*G197</f>
        <v>2815.68</v>
      </c>
      <c r="AV197" s="50" t="n">
        <f aca="false">ROUNDUP(CK197+MAX(CL197,2*(J197/IF(CG197&gt;0,CG197,MAX(0.1,N(Cockpit!$I$6)))-CK197)),0)</f>
        <v>136</v>
      </c>
      <c r="AW197" s="51" t="n">
        <f aca="false">IF(AS197&gt;0,J197/AS197,-1)</f>
        <v>6.26236559139785</v>
      </c>
      <c r="AX197" s="51" t="n">
        <f aca="false">IF(AND(OR(CF197="L1",CF197="L23",CF197="LIFT"),AS197&gt;0),SUMIFS($AS$7:$AS$1843,$CF$7:$CF$1843,CF197,$AW$7:$AW$1843,"&gt;"&amp;AW197)+SUMIFS($AS$7:$AS$1843,$CF$7:$CF$1843,CF197,$AW$7:$AW$1843,AW197,$BW$7:$BW$1843,"&lt;="&amp;BW197),"")</f>
        <v>4155.75412087912</v>
      </c>
      <c r="AY197" s="58" t="n">
        <f aca="false">IF(AX197="",0,MAX(0,MIN(1,(IF(CF197="L1",Parameter!$H$5,IF(CF197="L23",Parameter!$H$6+Parameter!$H$7,Parameter!$H$5+Parameter!$H$6+Parameter!$H$7))-(AX197-AS197))/AS197)))</f>
        <v>1</v>
      </c>
      <c r="AZ197" s="50" t="n">
        <f aca="false">IF(LEFT(Cockpit!$O$5,1)="A",H197,IF(Parameter!$E$30="MAX-Bestand",IF(CH197=1,CI197,IF(LEFT(Cockpit!$O$5,1)="B",BF197,MAX(BF197,H197))),ROUNDUP(BD197,0)))</f>
        <v>81</v>
      </c>
      <c r="BA197" s="50" t="n">
        <f aca="false">IF(BZ197=1,0,ROUNDUP(AZ197/BY197,0))</f>
        <v>5</v>
      </c>
      <c r="BB197" s="52" t="n">
        <f aca="false">IF(CQ197&gt;0,CQ197*MAX(1,AZ197/X197),IF(BZ197=1,IF(AZ197&lt;=0,0,CD197*MAX(1,IF(H197&gt;0,AZ197/H197,1))),IF(R197&gt;0,BA197/R197,0))/MAX(0.1,N(Parameter!$M$21)))</f>
        <v>0.0961538461538462</v>
      </c>
      <c r="BC197" s="50" t="n">
        <f aca="false">BB197*CB197</f>
        <v>14.9038461538462</v>
      </c>
      <c r="BD197" s="51" t="n">
        <f aca="false">IF(LEFT(Cockpit!$O$5,1)="A",H197,IF(CH197=1,(CK197+CI197)/2,IF(LEFT(Cockpit!$O$5,1)="B",(CK197+BF197)/2,MAX((CK197+BF197)/2,H197))))</f>
        <v>81</v>
      </c>
      <c r="BE197" s="50" t="n">
        <f aca="false">BD197*G197</f>
        <v>2036.34</v>
      </c>
      <c r="BF197" s="50" t="n">
        <f aca="false">ROUNDUP(CK197+MAX(CL197,2*(J197/IF(CG197&gt;0,CG197,MAX(0.1,N(Cockpit!$O$6)))-CK197)),0)</f>
        <v>136</v>
      </c>
      <c r="BG197" s="51" t="n">
        <f aca="false">IF(BC197&gt;0,J197/BC197,-1)</f>
        <v>7.51483870967742</v>
      </c>
      <c r="BH197" s="51" t="n">
        <f aca="false">IF(AND(OR(CF197="L1",CF197="L23",CF197="LIFT"),BC197&gt;0),SUMIFS($BC$7:$BC$1843,$CF$7:$CF$1843,CF197,$BG$7:$BG$1843,"&gt;"&amp;BG197)+SUMIFS($BC$7:$BC$1843,$CF$7:$CF$1843,CF197,$BG$7:$BG$1843,BG197,$BW$7:$BW$1843,"&lt;="&amp;BW197),"")</f>
        <v>3186.31547619048</v>
      </c>
      <c r="BI197" s="58" t="n">
        <f aca="false">IF(BH197="",0,MAX(0,MIN(1,(IF(CF197="L1",Parameter!$H$5,IF(CF197="L23",Parameter!$H$6+Parameter!$H$7,Parameter!$H$5+Parameter!$H$6+Parameter!$H$7))-(BH197-BC197))/BC197)))</f>
        <v>1</v>
      </c>
      <c r="BJ197" s="48" t="str">
        <f aca="false">IF(AI197&lt;=0,"",IF(CF197="Aussen","Aussenlager",IF(CF197="-","Nicht im Lift",IF(AO197&gt;=1,"Lift",IF(AO197&lt;=0,"Aussenlager","teilweise")))))</f>
        <v>Lift</v>
      </c>
      <c r="BK197" s="48" t="str">
        <f aca="false">IF(AS197&lt;=0,"",IF(CF197="Aussen","Aussenlager",IF(CF197="-","Nicht im Lift",IF(AY197&gt;=1,"Lift",IF(AY197&lt;=0,"Aussenlager","teilweise")))))</f>
        <v>Lift</v>
      </c>
      <c r="BL197" s="48" t="str">
        <f aca="false">IF(BC197&lt;=0,"",IF(CF197="Aussen","Aussenlager",IF(CF197="-","Nicht im Lift",IF(BI197&gt;=1,"Lift",IF(BI197&lt;=0,"Aussenlager","teilweise")))))</f>
        <v>Lift</v>
      </c>
      <c r="BM197" s="48" t="str">
        <f aca="false">IF(A197="","",IF(BV197=1,"Neu; ","")&amp;IF(AND(BV197=0,BQ197&lt;0),"negativer Bestand (Export "&amp;BQ197&amp;"); ","")&amp;IF(J197&lt;=0,"Kein Verbrauch; ","")&amp;IF(CQ197&gt;0,"Lift "&amp;W197&amp;" lt. Liftbericht (Fach "&amp;X197&amp;" Stk); ",IF(CA197=1,"Gebinde geschätzt ("&amp;T197&amp;"); ",IF(BZ197=1,"Lose – Tablare geschätzt; ","")))&amp;IF(H197&gt;AV197,"Überbestand "&amp;ROUND(H197-AV197,0)&amp;" Stk / CHF "&amp;ROUND((H197-AV197)*G197,0)&amp;"; ","")&amp;IF(AND(CH197=1,CI197&lt;CJ197),"MAX &lt; MB+LG; ","")&amp;IF(AND(CP197&gt;0,CO197*10&gt;CP197),"zu hoch für Tablar; ","")&amp;IF(AND(BV197=0,OR(CH197=1,AA197&lt;&gt;"",U197&lt;&gt;"",V197&lt;&gt;"",AB197&lt;&gt;"")),"manuell übersteuert; ","")&amp;IF(AND(BZ197=0,R197=0),"Gebinde unbekannt / Stellmass fehlt; ","")&amp;IF(AND(BZ197=0,N(V197)&lt;=0,N(Q197)&lt;=0),"Menge pro Gebinde fehlt (Ist = 1 Gebinde); ","")&amp;BU197)</f>
        <v/>
      </c>
      <c r="BN197" s="48"/>
      <c r="BO197" s="48"/>
      <c r="BP197" s="55"/>
      <c r="BQ197" s="50" t="n">
        <v>52</v>
      </c>
      <c r="BR197" s="50" t="n">
        <v>60</v>
      </c>
      <c r="BS197" s="49" t="n">
        <v>819.519999999994</v>
      </c>
      <c r="BT197" s="50" t="n">
        <v>112</v>
      </c>
      <c r="BU197" s="48"/>
      <c r="BV197" s="53" t="n">
        <v>0</v>
      </c>
      <c r="BW197" s="53" t="n">
        <v>197</v>
      </c>
      <c r="BX197" s="48" t="str">
        <f aca="false">IF(U197&lt;&gt;"",UPPER(TRIM(U197)),IF(CA197=1,UPPER(VLOOKUP(T197,Parameter!$I$27:$K$29,2,0)),IF(P197="","LOSE",P197)))</f>
        <v>S41</v>
      </c>
      <c r="BY197" s="50" t="n">
        <f aca="false">IF(BX197="LOSE",1,IF(N(V197)&gt;0,V197,IF(CA197=1,MAX(1,N(VLOOKUP(T197,Parameter!$I$27:$K$29,3,0)),H197,N(N197)),IF(N(Q197)&gt;0,Q197,MAX(1,H197)))))</f>
        <v>19</v>
      </c>
      <c r="BZ197" s="53" t="n">
        <f aca="false">IF(BX197="LOSE",1,0)</f>
        <v>0</v>
      </c>
      <c r="CA197" s="53" t="n">
        <f aca="false">IF(AND(U197="",OR(P197="",P197="LOSE"),T197&lt;&gt;"",N(S197)&lt;=0,ISNUMBER(MATCH(T197,Parameter!$I$27:$I$29,0))),1,0)</f>
        <v>0</v>
      </c>
      <c r="CB197" s="53" t="n">
        <f aca="false">IF(CQ197&gt;0,INDEX(Parameter!$H$5:$H$7,W197)/INDEX(Parameter!$E$5:$E$7,W197),IF(AND(BZ197=0,N(IFERROR(VLOOKUP(BX197,'Gebinde-Kategorie'!$A$5:$N$45,14,0),0))&gt;0),VLOOKUP(BX197,'Gebinde-Kategorie'!$A$5:$N$45,14,0)*10+Parameter!$M$23,Parameter!$M$24))</f>
        <v>155</v>
      </c>
      <c r="CC197" s="48" t="str">
        <f aca="false">IF(AND(Parameter!$B$19="Ja",E197&lt;&gt;"",ISNUMBER(MATCH(E197,Parameter!$I$35:$I$52,0))),VLOOKUP(E197,Parameter!$I$35:$J$52,2,0),IFERROR(VLOOKUP(D197,Parameter!$A$35:$C$64,2,0),"Nein"))</f>
        <v>2+3</v>
      </c>
      <c r="CD197" s="52" t="n">
        <f aca="false">IF(BZ197=0,0,IF(N(S197)&gt;0,S197,IFERROR(VLOOKUP(D197,Parameter!$A$35:$C$64,3,0)+0,0)))</f>
        <v>0</v>
      </c>
      <c r="CE197" s="48" t="n">
        <f aca="false">IF(AA197&lt;&gt;"",AA197,Z197)</f>
        <v>3</v>
      </c>
      <c r="CF197" s="48" t="str">
        <f aca="false">IF(OR(CE197=1,CE197=2,CE197=3),IF(Parameter!$E$27="Ja","LIFT",IF(CE197=1,"L1","L23")),IF(CE197="Aussen","Aussen","-"))</f>
        <v>LIFT</v>
      </c>
      <c r="CG197" s="59" t="n">
        <f aca="false">IF(N(AB197)&gt;0,AB197,0)</f>
        <v>0</v>
      </c>
      <c r="CH197" s="53" t="n">
        <f aca="false">IF(ISNUMBER(AE197),1,0)</f>
        <v>0</v>
      </c>
      <c r="CI197" s="50" t="n">
        <f aca="false">N(AE197)</f>
        <v>0</v>
      </c>
      <c r="CJ197" s="50" t="n">
        <f aca="false">N(M197)+N(N197)</f>
        <v>136</v>
      </c>
      <c r="CK197" s="50" t="n">
        <f aca="false">N(M197)</f>
        <v>26</v>
      </c>
      <c r="CL197" s="50" t="n">
        <f aca="false">N(N197)</f>
        <v>110</v>
      </c>
      <c r="CM197" s="50" t="n">
        <f aca="false">ROUNDUP(H197/BY197,0)</f>
        <v>6</v>
      </c>
      <c r="CN197" s="50" t="n">
        <f aca="false">ROUNDUP(CI197/BY197,0)</f>
        <v>0</v>
      </c>
      <c r="CO197" s="53" t="n">
        <f aca="false">IF(BZ197=1,0,IFERROR(VLOOKUP(BX197,'Gebinde-Kategorie'!$A$5:$N$45,5,0)+0,0))</f>
        <v>11</v>
      </c>
      <c r="CP197" s="53" t="n">
        <f aca="false">IFERROR(IF(OR(CE197=1,CE197=2,CE197=3),N(INDEX(Parameter!$I$5:$I$7,CE197)),0),0)</f>
        <v>0</v>
      </c>
      <c r="CQ197" s="52" t="n">
        <f aca="false">IF(AND(Parameter!$B$21="Ja",ISNUMBER(W197),N(X197)&gt;0),IFERROR(N(INDEX(Parameter!$L$5:$L$7,W197))*INDEX(Parameter!$E$5:$E$7,W197)*X197/SUMIFS($X$7:$X$1843,$W$7:$W$1843,W197),0),0)</f>
        <v>0</v>
      </c>
    </row>
    <row r="198" customFormat="false" ht="15" hidden="false" customHeight="false" outlineLevel="0" collapsed="false">
      <c r="A198" s="48" t="s">
        <v>606</v>
      </c>
      <c r="B198" s="48" t="s">
        <v>607</v>
      </c>
      <c r="C198" s="48" t="s">
        <v>173</v>
      </c>
      <c r="D198" s="48" t="s">
        <v>193</v>
      </c>
      <c r="E198" s="48" t="s">
        <v>194</v>
      </c>
      <c r="F198" s="48" t="s">
        <v>227</v>
      </c>
      <c r="G198" s="49" t="n">
        <v>6.37</v>
      </c>
      <c r="H198" s="50" t="n">
        <f aca="false">MAX(0,IF(AND(Parameter!$B$21="Ja",ISNUMBER(Y198)),Y198,IF(Parameter!$B$20="Jahresanfang 2025 + Export",BR198+BQ198,BQ198)))</f>
        <v>341</v>
      </c>
      <c r="I198" s="50" t="n">
        <f aca="false">H198*G198</f>
        <v>2172.17</v>
      </c>
      <c r="J198" s="50" t="n">
        <f aca="false">BT198*Parameter!$B$18</f>
        <v>869</v>
      </c>
      <c r="K198" s="51" t="n">
        <v>225.5</v>
      </c>
      <c r="L198" s="52" t="n">
        <v>3.85365853658537</v>
      </c>
      <c r="M198" s="50" t="n">
        <v>25</v>
      </c>
      <c r="N198" s="50" t="n">
        <v>585</v>
      </c>
      <c r="O198" s="53" t="n">
        <v>10</v>
      </c>
      <c r="P198" s="48" t="s">
        <v>311</v>
      </c>
      <c r="Q198" s="50" t="n">
        <v>895</v>
      </c>
      <c r="R198" s="53" t="n">
        <f aca="false">IF(BZ198=1,0,IFERROR(VLOOKUP(BX198,'Gebinde-Kategorie'!$A$5:$N$45,13,0)+0,0))</f>
        <v>26</v>
      </c>
      <c r="S198" s="54"/>
      <c r="T198" s="55"/>
      <c r="U198" s="55"/>
      <c r="V198" s="55"/>
      <c r="W198" s="48"/>
      <c r="X198" s="50"/>
      <c r="Y198" s="50"/>
      <c r="Z198" s="48" t="n">
        <f aca="false">IF(A198="","",IF(AND(Parameter!$B$21="Ja",ISNUMBER(W198)),W198,IF(CC198="2+3",IF(ISNUMBER(SEARCH("grosser Artikel",BU198)),2,IFERROR(VLOOKUP(BX198,Parameter!$F$35:$G$64,2,0),2)),IF(OR(CC198="Nein",CC198=""),"-",CC198))))</f>
        <v>3</v>
      </c>
      <c r="AA198" s="55"/>
      <c r="AB198" s="56"/>
      <c r="AC198" s="50" t="n">
        <f aca="false">AV198</f>
        <v>610</v>
      </c>
      <c r="AD198" s="50" t="n">
        <f aca="false">MAX(AV198,H198)</f>
        <v>610</v>
      </c>
      <c r="AE198" s="57"/>
      <c r="AF198" s="50" t="n">
        <f aca="false">IF(LEFT(Cockpit!$C$5,1)="A",H198,IF(Parameter!$E$30="MAX-Bestand",IF(CH198=1,CI198,IF(LEFT(Cockpit!$C$5,1)="B",AL198,MAX(AL198,H198))),ROUNDUP(AJ198,0)))</f>
        <v>341</v>
      </c>
      <c r="AG198" s="50" t="n">
        <f aca="false">IF(BZ198=1,0,ROUNDUP(AF198/BY198,0))</f>
        <v>1</v>
      </c>
      <c r="AH198" s="52" t="n">
        <f aca="false">IF(CQ198&gt;0,CQ198*MAX(1,AF198/X198),IF(BZ198=1,IF(AF198&lt;=0,0,CD198*MAX(1,IF(H198&gt;0,AF198/H198,1))),IF(R198&gt;0,AG198/R198,0))/MAX(0.1,N(Parameter!$M$21)))</f>
        <v>0.0384615384615385</v>
      </c>
      <c r="AI198" s="50" t="n">
        <f aca="false">AH198*CB198</f>
        <v>5.96153846153846</v>
      </c>
      <c r="AJ198" s="51" t="n">
        <f aca="false">IF(LEFT(Cockpit!$C$5,1)="A",H198,IF(CH198=1,(CK198+CI198)/2,IF(LEFT(Cockpit!$C$5,1)="B",(CK198+AL198)/2,MAX((CK198+AL198)/2,H198))))</f>
        <v>341</v>
      </c>
      <c r="AK198" s="50" t="n">
        <f aca="false">AJ198*G198</f>
        <v>2172.17</v>
      </c>
      <c r="AL198" s="50" t="n">
        <f aca="false">ROUNDUP(CK198+MAX(CL198,2*(J198/IF(CG198&gt;0,CG198,MAX(0.1,N(Cockpit!$C$6)))-CK198)),0)</f>
        <v>610</v>
      </c>
      <c r="AM198" s="51" t="n">
        <f aca="false">IF(AI198&gt;0,J198/AI198,-1)</f>
        <v>145.767741935484</v>
      </c>
      <c r="AN198" s="51" t="n">
        <f aca="false">IF(AND(OR(CF198="L1",CF198="L23",CF198="LIFT"),AI198&gt;0),SUMIFS($AI$7:$AI$1843,$CF$7:$CF$1843,CF198,$AM$7:$AM$1843,"&gt;"&amp;AM198)+SUMIFS($AI$7:$AI$1843,$CF$7:$CF$1843,CF198,$AM$7:$AM$1843,AM198,$BW$7:$BW$1843,"&lt;="&amp;BW198),"")</f>
        <v>502.328754578755</v>
      </c>
      <c r="AO198" s="58" t="n">
        <f aca="false">IF(AN198="",0,MAX(0,MIN(1,(IF(CF198="L1",Parameter!$H$5,IF(CF198="L23",Parameter!$H$6+Parameter!$H$7,Parameter!$H$5+Parameter!$H$6+Parameter!$H$7))-(AN198-AI198))/AI198)))</f>
        <v>1</v>
      </c>
      <c r="AP198" s="50" t="n">
        <f aca="false">IF(LEFT(Cockpit!$I$5,1)="A",H198,IF(Parameter!$E$30="MAX-Bestand",IF(CH198=1,CI198,IF(LEFT(Cockpit!$I$5,1)="B",AV198,MAX(AV198,H198))),ROUNDUP(AT198,0)))</f>
        <v>341</v>
      </c>
      <c r="AQ198" s="50" t="n">
        <f aca="false">IF(BZ198=1,0,ROUNDUP(AP198/BY198,0))</f>
        <v>1</v>
      </c>
      <c r="AR198" s="52" t="n">
        <f aca="false">IF(CQ198&gt;0,CQ198*MAX(1,AP198/X198),IF(BZ198=1,IF(AP198&lt;=0,0,CD198*MAX(1,IF(H198&gt;0,AP198/H198,1))),IF(R198&gt;0,AQ198/R198,0))/MAX(0.1,N(Parameter!$M$21)))</f>
        <v>0.0384615384615385</v>
      </c>
      <c r="AS198" s="50" t="n">
        <f aca="false">AR198*CB198</f>
        <v>5.96153846153846</v>
      </c>
      <c r="AT198" s="51" t="n">
        <f aca="false">IF(LEFT(Cockpit!$I$5,1)="A",H198,IF(CH198=1,(CK198+CI198)/2,IF(LEFT(Cockpit!$I$5,1)="B",(CK198+AV198)/2,MAX((CK198+AV198)/2,H198))))</f>
        <v>341</v>
      </c>
      <c r="AU198" s="50" t="n">
        <f aca="false">AT198*G198</f>
        <v>2172.17</v>
      </c>
      <c r="AV198" s="50" t="n">
        <f aca="false">ROUNDUP(CK198+MAX(CL198,2*(J198/IF(CG198&gt;0,CG198,MAX(0.1,N(Cockpit!$I$6)))-CK198)),0)</f>
        <v>610</v>
      </c>
      <c r="AW198" s="51" t="n">
        <f aca="false">IF(AS198&gt;0,J198/AS198,-1)</f>
        <v>145.767741935484</v>
      </c>
      <c r="AX198" s="51" t="n">
        <f aca="false">IF(AND(OR(CF198="L1",CF198="L23",CF198="LIFT"),AS198&gt;0),SUMIFS($AS$7:$AS$1843,$CF$7:$CF$1843,CF198,$AW$7:$AW$1843,"&gt;"&amp;AW198)+SUMIFS($AS$7:$AS$1843,$CF$7:$CF$1843,CF198,$AW$7:$AW$1843,AW198,$BW$7:$BW$1843,"&lt;="&amp;BW198),"")</f>
        <v>619.965659340659</v>
      </c>
      <c r="AY198" s="58" t="n">
        <f aca="false">IF(AX198="",0,MAX(0,MIN(1,(IF(CF198="L1",Parameter!$H$5,IF(CF198="L23",Parameter!$H$6+Parameter!$H$7,Parameter!$H$5+Parameter!$H$6+Parameter!$H$7))-(AX198-AS198))/AS198)))</f>
        <v>1</v>
      </c>
      <c r="AZ198" s="50" t="n">
        <f aca="false">IF(LEFT(Cockpit!$O$5,1)="A",H198,IF(Parameter!$E$30="MAX-Bestand",IF(CH198=1,CI198,IF(LEFT(Cockpit!$O$5,1)="B",BF198,MAX(BF198,H198))),ROUNDUP(BD198,0)))</f>
        <v>318</v>
      </c>
      <c r="BA198" s="50" t="n">
        <f aca="false">IF(BZ198=1,0,ROUNDUP(AZ198/BY198,0))</f>
        <v>1</v>
      </c>
      <c r="BB198" s="52" t="n">
        <f aca="false">IF(CQ198&gt;0,CQ198*MAX(1,AZ198/X198),IF(BZ198=1,IF(AZ198&lt;=0,0,CD198*MAX(1,IF(H198&gt;0,AZ198/H198,1))),IF(R198&gt;0,BA198/R198,0))/MAX(0.1,N(Parameter!$M$21)))</f>
        <v>0.0384615384615385</v>
      </c>
      <c r="BC198" s="50" t="n">
        <f aca="false">BB198*CB198</f>
        <v>5.96153846153846</v>
      </c>
      <c r="BD198" s="51" t="n">
        <f aca="false">IF(LEFT(Cockpit!$O$5,1)="A",H198,IF(CH198=1,(CK198+CI198)/2,IF(LEFT(Cockpit!$O$5,1)="B",(CK198+BF198)/2,MAX((CK198+BF198)/2,H198))))</f>
        <v>317.5</v>
      </c>
      <c r="BE198" s="50" t="n">
        <f aca="false">BD198*G198</f>
        <v>2022.475</v>
      </c>
      <c r="BF198" s="50" t="n">
        <f aca="false">ROUNDUP(CK198+MAX(CL198,2*(J198/IF(CG198&gt;0,CG198,MAX(0.1,N(Cockpit!$O$6)))-CK198)),0)</f>
        <v>610</v>
      </c>
      <c r="BG198" s="51" t="n">
        <f aca="false">IF(BC198&gt;0,J198/BC198,-1)</f>
        <v>145.767741935484</v>
      </c>
      <c r="BH198" s="51" t="n">
        <f aca="false">IF(AND(OR(CF198="L1",CF198="L23",CF198="LIFT"),BC198&gt;0),SUMIFS($BC$7:$BC$1843,$CF$7:$CF$1843,CF198,$BG$7:$BG$1843,"&gt;"&amp;BG198)+SUMIFS($BC$7:$BC$1843,$CF$7:$CF$1843,CF198,$BG$7:$BG$1843,BG198,$BW$7:$BW$1843,"&lt;="&amp;BW198),"")</f>
        <v>584.125</v>
      </c>
      <c r="BI198" s="58" t="n">
        <f aca="false">IF(BH198="",0,MAX(0,MIN(1,(IF(CF198="L1",Parameter!$H$5,IF(CF198="L23",Parameter!$H$6+Parameter!$H$7,Parameter!$H$5+Parameter!$H$6+Parameter!$H$7))-(BH198-BC198))/BC198)))</f>
        <v>1</v>
      </c>
      <c r="BJ198" s="48" t="str">
        <f aca="false">IF(AI198&lt;=0,"",IF(CF198="Aussen","Aussenlager",IF(CF198="-","Nicht im Lift",IF(AO198&gt;=1,"Lift",IF(AO198&lt;=0,"Aussenlager","teilweise")))))</f>
        <v>Lift</v>
      </c>
      <c r="BK198" s="48" t="str">
        <f aca="false">IF(AS198&lt;=0,"",IF(CF198="Aussen","Aussenlager",IF(CF198="-","Nicht im Lift",IF(AY198&gt;=1,"Lift",IF(AY198&lt;=0,"Aussenlager","teilweise")))))</f>
        <v>Lift</v>
      </c>
      <c r="BL198" s="48" t="str">
        <f aca="false">IF(BC198&lt;=0,"",IF(CF198="Aussen","Aussenlager",IF(CF198="-","Nicht im Lift",IF(BI198&gt;=1,"Lift",IF(BI198&lt;=0,"Aussenlager","teilweise")))))</f>
        <v>Lift</v>
      </c>
      <c r="BM198" s="48" t="str">
        <f aca="false">IF(A198="","",IF(BV198=1,"Neu; ","")&amp;IF(AND(BV198=0,BQ198&lt;0),"negativer Bestand (Export "&amp;BQ198&amp;"); ","")&amp;IF(J198&lt;=0,"Kein Verbrauch; ","")&amp;IF(CQ198&gt;0,"Lift "&amp;W198&amp;" lt. Liftbericht (Fach "&amp;X198&amp;" Stk); ",IF(CA198=1,"Gebinde geschätzt ("&amp;T198&amp;"); ",IF(BZ198=1,"Lose – Tablare geschätzt; ","")))&amp;IF(H198&gt;AV198,"Überbestand "&amp;ROUND(H198-AV198,0)&amp;" Stk / CHF "&amp;ROUND((H198-AV198)*G198,0)&amp;"; ","")&amp;IF(AND(CH198=1,CI198&lt;CJ198),"MAX &lt; MB+LG; ","")&amp;IF(AND(CP198&gt;0,CO198*10&gt;CP198),"zu hoch für Tablar; ","")&amp;IF(AND(BV198=0,OR(CH198=1,AA198&lt;&gt;"",U198&lt;&gt;"",V198&lt;&gt;"",AB198&lt;&gt;"")),"manuell übersteuert; ","")&amp;IF(AND(BZ198=0,R198=0),"Gebinde unbekannt / Stellmass fehlt; ","")&amp;IF(AND(BZ198=0,N(V198)&lt;=0,N(Q198)&lt;=0),"Menge pro Gebinde fehlt (Ist = 1 Gebinde); ","")&amp;BU198)</f>
        <v/>
      </c>
      <c r="BN198" s="48"/>
      <c r="BO198" s="48"/>
      <c r="BP198" s="55"/>
      <c r="BQ198" s="50" t="n">
        <v>131</v>
      </c>
      <c r="BR198" s="50" t="n">
        <v>210</v>
      </c>
      <c r="BS198" s="49" t="n">
        <v>818.950000000001</v>
      </c>
      <c r="BT198" s="50" t="n">
        <v>869</v>
      </c>
      <c r="BU198" s="48"/>
      <c r="BV198" s="53" t="n">
        <v>0</v>
      </c>
      <c r="BW198" s="53" t="n">
        <v>198</v>
      </c>
      <c r="BX198" s="48" t="str">
        <f aca="false">IF(U198&lt;&gt;"",UPPER(TRIM(U198)),IF(CA198=1,UPPER(VLOOKUP(T198,Parameter!$I$27:$K$29,2,0)),IF(P198="","LOSE",P198)))</f>
        <v>S51</v>
      </c>
      <c r="BY198" s="50" t="n">
        <f aca="false">IF(BX198="LOSE",1,IF(N(V198)&gt;0,V198,IF(CA198=1,MAX(1,N(VLOOKUP(T198,Parameter!$I$27:$K$29,3,0)),H198,N(N198)),IF(N(Q198)&gt;0,Q198,MAX(1,H198)))))</f>
        <v>895</v>
      </c>
      <c r="BZ198" s="53" t="n">
        <f aca="false">IF(BX198="LOSE",1,0)</f>
        <v>0</v>
      </c>
      <c r="CA198" s="53" t="n">
        <f aca="false">IF(AND(U198="",OR(P198="",P198="LOSE"),T198&lt;&gt;"",N(S198)&lt;=0,ISNUMBER(MATCH(T198,Parameter!$I$27:$I$29,0))),1,0)</f>
        <v>0</v>
      </c>
      <c r="CB198" s="53" t="n">
        <f aca="false">IF(CQ198&gt;0,INDEX(Parameter!$H$5:$H$7,W198)/INDEX(Parameter!$E$5:$E$7,W198),IF(AND(BZ198=0,N(IFERROR(VLOOKUP(BX198,'Gebinde-Kategorie'!$A$5:$N$45,14,0),0))&gt;0),VLOOKUP(BX198,'Gebinde-Kategorie'!$A$5:$N$45,14,0)*10+Parameter!$M$23,Parameter!$M$24))</f>
        <v>155</v>
      </c>
      <c r="CC198" s="48" t="str">
        <f aca="false">IF(AND(Parameter!$B$19="Ja",E198&lt;&gt;"",ISNUMBER(MATCH(E198,Parameter!$I$35:$I$52,0))),VLOOKUP(E198,Parameter!$I$35:$J$52,2,0),IFERROR(VLOOKUP(D198,Parameter!$A$35:$C$64,2,0),"Nein"))</f>
        <v>2+3</v>
      </c>
      <c r="CD198" s="52" t="n">
        <f aca="false">IF(BZ198=0,0,IF(N(S198)&gt;0,S198,IFERROR(VLOOKUP(D198,Parameter!$A$35:$C$64,3,0)+0,0)))</f>
        <v>0</v>
      </c>
      <c r="CE198" s="48" t="n">
        <f aca="false">IF(AA198&lt;&gt;"",AA198,Z198)</f>
        <v>3</v>
      </c>
      <c r="CF198" s="48" t="str">
        <f aca="false">IF(OR(CE198=1,CE198=2,CE198=3),IF(Parameter!$E$27="Ja","LIFT",IF(CE198=1,"L1","L23")),IF(CE198="Aussen","Aussen","-"))</f>
        <v>LIFT</v>
      </c>
      <c r="CG198" s="59" t="n">
        <f aca="false">IF(N(AB198)&gt;0,AB198,0)</f>
        <v>0</v>
      </c>
      <c r="CH198" s="53" t="n">
        <f aca="false">IF(ISNUMBER(AE198),1,0)</f>
        <v>0</v>
      </c>
      <c r="CI198" s="50" t="n">
        <f aca="false">N(AE198)</f>
        <v>0</v>
      </c>
      <c r="CJ198" s="50" t="n">
        <f aca="false">N(M198)+N(N198)</f>
        <v>610</v>
      </c>
      <c r="CK198" s="50" t="n">
        <f aca="false">N(M198)</f>
        <v>25</v>
      </c>
      <c r="CL198" s="50" t="n">
        <f aca="false">N(N198)</f>
        <v>585</v>
      </c>
      <c r="CM198" s="50" t="n">
        <f aca="false">ROUNDUP(H198/BY198,0)</f>
        <v>1</v>
      </c>
      <c r="CN198" s="50" t="n">
        <f aca="false">ROUNDUP(CI198/BY198,0)</f>
        <v>0</v>
      </c>
      <c r="CO198" s="53" t="n">
        <f aca="false">IF(BZ198=1,0,IFERROR(VLOOKUP(BX198,'Gebinde-Kategorie'!$A$5:$N$45,5,0)+0,0))</f>
        <v>11</v>
      </c>
      <c r="CP198" s="53" t="n">
        <f aca="false">IFERROR(IF(OR(CE198=1,CE198=2,CE198=3),N(INDEX(Parameter!$I$5:$I$7,CE198)),0),0)</f>
        <v>0</v>
      </c>
      <c r="CQ198" s="52" t="n">
        <f aca="false">IF(AND(Parameter!$B$21="Ja",ISNUMBER(W198),N(X198)&gt;0),IFERROR(N(INDEX(Parameter!$L$5:$L$7,W198))*INDEX(Parameter!$E$5:$E$7,W198)*X198/SUMIFS($X$7:$X$1843,$W$7:$W$1843,W198),0),0)</f>
        <v>0</v>
      </c>
    </row>
    <row r="199" customFormat="false" ht="15" hidden="false" customHeight="false" outlineLevel="0" collapsed="false">
      <c r="A199" s="48" t="s">
        <v>608</v>
      </c>
      <c r="B199" s="48" t="s">
        <v>609</v>
      </c>
      <c r="C199" s="48" t="s">
        <v>173</v>
      </c>
      <c r="D199" s="48" t="s">
        <v>193</v>
      </c>
      <c r="E199" s="48" t="s">
        <v>194</v>
      </c>
      <c r="F199" s="48" t="s">
        <v>227</v>
      </c>
      <c r="G199" s="49" t="n">
        <v>15.65</v>
      </c>
      <c r="H199" s="50" t="n">
        <f aca="false">MAX(0,IF(AND(Parameter!$B$21="Ja",ISNUMBER(Y199)),Y199,IF(Parameter!$B$20="Jahresanfang 2025 + Export",BR199+BQ199,BQ199)))</f>
        <v>78</v>
      </c>
      <c r="I199" s="50" t="n">
        <f aca="false">H199*G199</f>
        <v>1220.7</v>
      </c>
      <c r="J199" s="50" t="n">
        <f aca="false">BT199*Parameter!$B$18</f>
        <v>54</v>
      </c>
      <c r="K199" s="51" t="n">
        <v>24</v>
      </c>
      <c r="L199" s="52" t="n">
        <v>2.25</v>
      </c>
      <c r="M199" s="50" t="n">
        <v>6</v>
      </c>
      <c r="N199" s="50" t="n">
        <v>55</v>
      </c>
      <c r="O199" s="53" t="n">
        <v>42</v>
      </c>
      <c r="P199" s="48" t="s">
        <v>311</v>
      </c>
      <c r="Q199" s="50" t="n">
        <v>62</v>
      </c>
      <c r="R199" s="53" t="n">
        <f aca="false">IF(BZ199=1,0,IFERROR(VLOOKUP(BX199,'Gebinde-Kategorie'!$A$5:$N$45,13,0)+0,0))</f>
        <v>26</v>
      </c>
      <c r="S199" s="54"/>
      <c r="T199" s="55"/>
      <c r="U199" s="55"/>
      <c r="V199" s="55"/>
      <c r="W199" s="48"/>
      <c r="X199" s="50"/>
      <c r="Y199" s="50"/>
      <c r="Z199" s="48" t="n">
        <f aca="false">IF(A199="","",IF(AND(Parameter!$B$21="Ja",ISNUMBER(W199)),W199,IF(CC199="2+3",IF(ISNUMBER(SEARCH("grosser Artikel",BU199)),2,IFERROR(VLOOKUP(BX199,Parameter!$F$35:$G$64,2,0),2)),IF(OR(CC199="Nein",CC199=""),"-",CC199))))</f>
        <v>3</v>
      </c>
      <c r="AA199" s="55"/>
      <c r="AB199" s="56"/>
      <c r="AC199" s="50" t="n">
        <f aca="false">AV199</f>
        <v>61</v>
      </c>
      <c r="AD199" s="50" t="n">
        <f aca="false">MAX(AV199,H199)</f>
        <v>78</v>
      </c>
      <c r="AE199" s="57"/>
      <c r="AF199" s="50" t="n">
        <f aca="false">IF(LEFT(Cockpit!$C$5,1)="A",H199,IF(Parameter!$E$30="MAX-Bestand",IF(CH199=1,CI199,IF(LEFT(Cockpit!$C$5,1)="B",AL199,MAX(AL199,H199))),ROUNDUP(AJ199,0)))</f>
        <v>78</v>
      </c>
      <c r="AG199" s="50" t="n">
        <f aca="false">IF(BZ199=1,0,ROUNDUP(AF199/BY199,0))</f>
        <v>2</v>
      </c>
      <c r="AH199" s="52" t="n">
        <f aca="false">IF(CQ199&gt;0,CQ199*MAX(1,AF199/X199),IF(BZ199=1,IF(AF199&lt;=0,0,CD199*MAX(1,IF(H199&gt;0,AF199/H199,1))),IF(R199&gt;0,AG199/R199,0))/MAX(0.1,N(Parameter!$M$21)))</f>
        <v>0.0769230769230769</v>
      </c>
      <c r="AI199" s="50" t="n">
        <f aca="false">AH199*CB199</f>
        <v>11.9230769230769</v>
      </c>
      <c r="AJ199" s="51" t="n">
        <f aca="false">IF(LEFT(Cockpit!$C$5,1)="A",H199,IF(CH199=1,(CK199+CI199)/2,IF(LEFT(Cockpit!$C$5,1)="B",(CK199+AL199)/2,MAX((CK199+AL199)/2,H199))))</f>
        <v>78</v>
      </c>
      <c r="AK199" s="50" t="n">
        <f aca="false">AJ199*G199</f>
        <v>1220.7</v>
      </c>
      <c r="AL199" s="50" t="n">
        <f aca="false">ROUNDUP(CK199+MAX(CL199,2*(J199/IF(CG199&gt;0,CG199,MAX(0.1,N(Cockpit!$C$6)))-CK199)),0)</f>
        <v>61</v>
      </c>
      <c r="AM199" s="51" t="n">
        <f aca="false">IF(AI199&gt;0,J199/AI199,-1)</f>
        <v>4.52903225806452</v>
      </c>
      <c r="AN199" s="51" t="n">
        <f aca="false">IF(AND(OR(CF199="L1",CF199="L23",CF199="LIFT"),AI199&gt;0),SUMIFS($AI$7:$AI$1843,$CF$7:$CF$1843,CF199,$AM$7:$AM$1843,"&gt;"&amp;AM199)+SUMIFS($AI$7:$AI$1843,$CF$7:$CF$1843,CF199,$AM$7:$AM$1843,AM199,$BW$7:$BW$1843,"&lt;="&amp;BW199),"")</f>
        <v>4141.81272893773</v>
      </c>
      <c r="AO199" s="58" t="n">
        <f aca="false">IF(AN199="",0,MAX(0,MIN(1,(IF(CF199="L1",Parameter!$H$5,IF(CF199="L23",Parameter!$H$6+Parameter!$H$7,Parameter!$H$5+Parameter!$H$6+Parameter!$H$7))-(AN199-AI199))/AI199)))</f>
        <v>1</v>
      </c>
      <c r="AP199" s="50" t="n">
        <f aca="false">IF(LEFT(Cockpit!$I$5,1)="A",H199,IF(Parameter!$E$30="MAX-Bestand",IF(CH199=1,CI199,IF(LEFT(Cockpit!$I$5,1)="B",AV199,MAX(AV199,H199))),ROUNDUP(AT199,0)))</f>
        <v>78</v>
      </c>
      <c r="AQ199" s="50" t="n">
        <f aca="false">IF(BZ199=1,0,ROUNDUP(AP199/BY199,0))</f>
        <v>2</v>
      </c>
      <c r="AR199" s="52" t="n">
        <f aca="false">IF(CQ199&gt;0,CQ199*MAX(1,AP199/X199),IF(BZ199=1,IF(AP199&lt;=0,0,CD199*MAX(1,IF(H199&gt;0,AP199/H199,1))),IF(R199&gt;0,AQ199/R199,0))/MAX(0.1,N(Parameter!$M$21)))</f>
        <v>0.0769230769230769</v>
      </c>
      <c r="AS199" s="50" t="n">
        <f aca="false">AR199*CB199</f>
        <v>11.9230769230769</v>
      </c>
      <c r="AT199" s="51" t="n">
        <f aca="false">IF(LEFT(Cockpit!$I$5,1)="A",H199,IF(CH199=1,(CK199+CI199)/2,IF(LEFT(Cockpit!$I$5,1)="B",(CK199+AV199)/2,MAX((CK199+AV199)/2,H199))))</f>
        <v>78</v>
      </c>
      <c r="AU199" s="50" t="n">
        <f aca="false">AT199*G199</f>
        <v>1220.7</v>
      </c>
      <c r="AV199" s="50" t="n">
        <f aca="false">ROUNDUP(CK199+MAX(CL199,2*(J199/IF(CG199&gt;0,CG199,MAX(0.1,N(Cockpit!$I$6)))-CK199)),0)</f>
        <v>61</v>
      </c>
      <c r="AW199" s="51" t="n">
        <f aca="false">IF(AS199&gt;0,J199/AS199,-1)</f>
        <v>4.52903225806452</v>
      </c>
      <c r="AX199" s="51" t="n">
        <f aca="false">IF(AND(OR(CF199="L1",CF199="L23",CF199="LIFT"),AS199&gt;0),SUMIFS($AS$7:$AS$1843,$CF$7:$CF$1843,CF199,$AW$7:$AW$1843,"&gt;"&amp;AW199)+SUMIFS($AS$7:$AS$1843,$CF$7:$CF$1843,CF199,$AW$7:$AW$1843,AW199,$BW$7:$BW$1843,"&lt;="&amp;BW199),"")</f>
        <v>4738.05357142857</v>
      </c>
      <c r="AY199" s="58" t="n">
        <f aca="false">IF(AX199="",0,MAX(0,MIN(1,(IF(CF199="L1",Parameter!$H$5,IF(CF199="L23",Parameter!$H$6+Parameter!$H$7,Parameter!$H$5+Parameter!$H$6+Parameter!$H$7))-(AX199-AS199))/AS199)))</f>
        <v>1</v>
      </c>
      <c r="AZ199" s="50" t="n">
        <f aca="false">IF(LEFT(Cockpit!$O$5,1)="A",H199,IF(Parameter!$E$30="MAX-Bestand",IF(CH199=1,CI199,IF(LEFT(Cockpit!$O$5,1)="B",BF199,MAX(BF199,H199))),ROUNDUP(BD199,0)))</f>
        <v>34</v>
      </c>
      <c r="BA199" s="50" t="n">
        <f aca="false">IF(BZ199=1,0,ROUNDUP(AZ199/BY199,0))</f>
        <v>1</v>
      </c>
      <c r="BB199" s="52" t="n">
        <f aca="false">IF(CQ199&gt;0,CQ199*MAX(1,AZ199/X199),IF(BZ199=1,IF(AZ199&lt;=0,0,CD199*MAX(1,IF(H199&gt;0,AZ199/H199,1))),IF(R199&gt;0,BA199/R199,0))/MAX(0.1,N(Parameter!$M$21)))</f>
        <v>0.0384615384615385</v>
      </c>
      <c r="BC199" s="50" t="n">
        <f aca="false">BB199*CB199</f>
        <v>5.96153846153846</v>
      </c>
      <c r="BD199" s="51" t="n">
        <f aca="false">IF(LEFT(Cockpit!$O$5,1)="A",H199,IF(CH199=1,(CK199+CI199)/2,IF(LEFT(Cockpit!$O$5,1)="B",(CK199+BF199)/2,MAX((CK199+BF199)/2,H199))))</f>
        <v>33.5</v>
      </c>
      <c r="BE199" s="50" t="n">
        <f aca="false">BD199*G199</f>
        <v>524.275</v>
      </c>
      <c r="BF199" s="50" t="n">
        <f aca="false">ROUNDUP(CK199+MAX(CL199,2*(J199/IF(CG199&gt;0,CG199,MAX(0.1,N(Cockpit!$O$6)))-CK199)),0)</f>
        <v>61</v>
      </c>
      <c r="BG199" s="51" t="n">
        <f aca="false">IF(BC199&gt;0,J199/BC199,-1)</f>
        <v>9.05806451612903</v>
      </c>
      <c r="BH199" s="51" t="n">
        <f aca="false">IF(AND(OR(CF199="L1",CF199="L23",CF199="LIFT"),BC199&gt;0),SUMIFS($BC$7:$BC$1843,$CF$7:$CF$1843,CF199,$BG$7:$BG$1843,"&gt;"&amp;BG199)+SUMIFS($BC$7:$BC$1843,$CF$7:$CF$1843,CF199,$BG$7:$BG$1843,BG199,$BW$7:$BW$1843,"&lt;="&amp;BW199),"")</f>
        <v>2877.48717948718</v>
      </c>
      <c r="BI199" s="58" t="n">
        <f aca="false">IF(BH199="",0,MAX(0,MIN(1,(IF(CF199="L1",Parameter!$H$5,IF(CF199="L23",Parameter!$H$6+Parameter!$H$7,Parameter!$H$5+Parameter!$H$6+Parameter!$H$7))-(BH199-BC199))/BC199)))</f>
        <v>1</v>
      </c>
      <c r="BJ199" s="48" t="str">
        <f aca="false">IF(AI199&lt;=0,"",IF(CF199="Aussen","Aussenlager",IF(CF199="-","Nicht im Lift",IF(AO199&gt;=1,"Lift",IF(AO199&lt;=0,"Aussenlager","teilweise")))))</f>
        <v>Lift</v>
      </c>
      <c r="BK199" s="48" t="str">
        <f aca="false">IF(AS199&lt;=0,"",IF(CF199="Aussen","Aussenlager",IF(CF199="-","Nicht im Lift",IF(AY199&gt;=1,"Lift",IF(AY199&lt;=0,"Aussenlager","teilweise")))))</f>
        <v>Lift</v>
      </c>
      <c r="BL199" s="48" t="str">
        <f aca="false">IF(BC199&lt;=0,"",IF(CF199="Aussen","Aussenlager",IF(CF199="-","Nicht im Lift",IF(BI199&gt;=1,"Lift",IF(BI199&lt;=0,"Aussenlager","teilweise")))))</f>
        <v>Lift</v>
      </c>
      <c r="BM199" s="48" t="str">
        <f aca="false">IF(A199="","",IF(BV199=1,"Neu; ","")&amp;IF(AND(BV199=0,BQ199&lt;0),"negativer Bestand (Export "&amp;BQ199&amp;"); ","")&amp;IF(J199&lt;=0,"Kein Verbrauch; ","")&amp;IF(CQ199&gt;0,"Lift "&amp;W199&amp;" lt. Liftbericht (Fach "&amp;X199&amp;" Stk); ",IF(CA199=1,"Gebinde geschätzt ("&amp;T199&amp;"); ",IF(BZ199=1,"Lose – Tablare geschätzt; ","")))&amp;IF(H199&gt;AV199,"Überbestand "&amp;ROUND(H199-AV199,0)&amp;" Stk / CHF "&amp;ROUND((H199-AV199)*G199,0)&amp;"; ","")&amp;IF(AND(CH199=1,CI199&lt;CJ199),"MAX &lt; MB+LG; ","")&amp;IF(AND(CP199&gt;0,CO199*10&gt;CP199),"zu hoch für Tablar; ","")&amp;IF(AND(BV199=0,OR(CH199=1,AA199&lt;&gt;"",U199&lt;&gt;"",V199&lt;&gt;"",AB199&lt;&gt;"")),"manuell übersteuert; ","")&amp;IF(AND(BZ199=0,R199=0),"Gebinde unbekannt / Stellmass fehlt; ","")&amp;IF(AND(BZ199=0,N(V199)&lt;=0,N(Q199)&lt;=0),"Menge pro Gebinde fehlt (Ist = 1 Gebinde); ","")&amp;BU199)</f>
        <v>Überbestand 17 Stk / CHF 266; </v>
      </c>
      <c r="BN199" s="48"/>
      <c r="BO199" s="48"/>
      <c r="BP199" s="55"/>
      <c r="BQ199" s="50" t="n">
        <v>52</v>
      </c>
      <c r="BR199" s="50" t="n">
        <v>26</v>
      </c>
      <c r="BS199" s="49" t="n">
        <v>815.88</v>
      </c>
      <c r="BT199" s="50" t="n">
        <v>54</v>
      </c>
      <c r="BU199" s="48"/>
      <c r="BV199" s="53" t="n">
        <v>0</v>
      </c>
      <c r="BW199" s="53" t="n">
        <v>199</v>
      </c>
      <c r="BX199" s="48" t="str">
        <f aca="false">IF(U199&lt;&gt;"",UPPER(TRIM(U199)),IF(CA199=1,UPPER(VLOOKUP(T199,Parameter!$I$27:$K$29,2,0)),IF(P199="","LOSE",P199)))</f>
        <v>S51</v>
      </c>
      <c r="BY199" s="50" t="n">
        <f aca="false">IF(BX199="LOSE",1,IF(N(V199)&gt;0,V199,IF(CA199=1,MAX(1,N(VLOOKUP(T199,Parameter!$I$27:$K$29,3,0)),H199,N(N199)),IF(N(Q199)&gt;0,Q199,MAX(1,H199)))))</f>
        <v>62</v>
      </c>
      <c r="BZ199" s="53" t="n">
        <f aca="false">IF(BX199="LOSE",1,0)</f>
        <v>0</v>
      </c>
      <c r="CA199" s="53" t="n">
        <f aca="false">IF(AND(U199="",OR(P199="",P199="LOSE"),T199&lt;&gt;"",N(S199)&lt;=0,ISNUMBER(MATCH(T199,Parameter!$I$27:$I$29,0))),1,0)</f>
        <v>0</v>
      </c>
      <c r="CB199" s="53" t="n">
        <f aca="false">IF(CQ199&gt;0,INDEX(Parameter!$H$5:$H$7,W199)/INDEX(Parameter!$E$5:$E$7,W199),IF(AND(BZ199=0,N(IFERROR(VLOOKUP(BX199,'Gebinde-Kategorie'!$A$5:$N$45,14,0),0))&gt;0),VLOOKUP(BX199,'Gebinde-Kategorie'!$A$5:$N$45,14,0)*10+Parameter!$M$23,Parameter!$M$24))</f>
        <v>155</v>
      </c>
      <c r="CC199" s="48" t="str">
        <f aca="false">IF(AND(Parameter!$B$19="Ja",E199&lt;&gt;"",ISNUMBER(MATCH(E199,Parameter!$I$35:$I$52,0))),VLOOKUP(E199,Parameter!$I$35:$J$52,2,0),IFERROR(VLOOKUP(D199,Parameter!$A$35:$C$64,2,0),"Nein"))</f>
        <v>2+3</v>
      </c>
      <c r="CD199" s="52" t="n">
        <f aca="false">IF(BZ199=0,0,IF(N(S199)&gt;0,S199,IFERROR(VLOOKUP(D199,Parameter!$A$35:$C$64,3,0)+0,0)))</f>
        <v>0</v>
      </c>
      <c r="CE199" s="48" t="n">
        <f aca="false">IF(AA199&lt;&gt;"",AA199,Z199)</f>
        <v>3</v>
      </c>
      <c r="CF199" s="48" t="str">
        <f aca="false">IF(OR(CE199=1,CE199=2,CE199=3),IF(Parameter!$E$27="Ja","LIFT",IF(CE199=1,"L1","L23")),IF(CE199="Aussen","Aussen","-"))</f>
        <v>LIFT</v>
      </c>
      <c r="CG199" s="59" t="n">
        <f aca="false">IF(N(AB199)&gt;0,AB199,0)</f>
        <v>0</v>
      </c>
      <c r="CH199" s="53" t="n">
        <f aca="false">IF(ISNUMBER(AE199),1,0)</f>
        <v>0</v>
      </c>
      <c r="CI199" s="50" t="n">
        <f aca="false">N(AE199)</f>
        <v>0</v>
      </c>
      <c r="CJ199" s="50" t="n">
        <f aca="false">N(M199)+N(N199)</f>
        <v>61</v>
      </c>
      <c r="CK199" s="50" t="n">
        <f aca="false">N(M199)</f>
        <v>6</v>
      </c>
      <c r="CL199" s="50" t="n">
        <f aca="false">N(N199)</f>
        <v>55</v>
      </c>
      <c r="CM199" s="50" t="n">
        <f aca="false">ROUNDUP(H199/BY199,0)</f>
        <v>2</v>
      </c>
      <c r="CN199" s="50" t="n">
        <f aca="false">ROUNDUP(CI199/BY199,0)</f>
        <v>0</v>
      </c>
      <c r="CO199" s="53" t="n">
        <f aca="false">IF(BZ199=1,0,IFERROR(VLOOKUP(BX199,'Gebinde-Kategorie'!$A$5:$N$45,5,0)+0,0))</f>
        <v>11</v>
      </c>
      <c r="CP199" s="53" t="n">
        <f aca="false">IFERROR(IF(OR(CE199=1,CE199=2,CE199=3),N(INDEX(Parameter!$I$5:$I$7,CE199)),0),0)</f>
        <v>0</v>
      </c>
      <c r="CQ199" s="52" t="n">
        <f aca="false">IF(AND(Parameter!$B$21="Ja",ISNUMBER(W199),N(X199)&gt;0),IFERROR(N(INDEX(Parameter!$L$5:$L$7,W199))*INDEX(Parameter!$E$5:$E$7,W199)*X199/SUMIFS($X$7:$X$1843,$W$7:$W$1843,W199),0),0)</f>
        <v>0</v>
      </c>
    </row>
    <row r="200" customFormat="false" ht="15" hidden="false" customHeight="false" outlineLevel="0" collapsed="false">
      <c r="A200" s="48" t="s">
        <v>610</v>
      </c>
      <c r="B200" s="48" t="s">
        <v>611</v>
      </c>
      <c r="C200" s="48" t="s">
        <v>173</v>
      </c>
      <c r="D200" s="48" t="s">
        <v>182</v>
      </c>
      <c r="E200" s="48" t="s">
        <v>194</v>
      </c>
      <c r="F200" s="48" t="s">
        <v>227</v>
      </c>
      <c r="G200" s="49" t="n">
        <v>39.92</v>
      </c>
      <c r="H200" s="50" t="n">
        <f aca="false">MAX(0,IF(AND(Parameter!$B$21="Ja",ISNUMBER(Y200)),Y200,IF(Parameter!$B$20="Jahresanfang 2025 + Export",BR200+BQ200,BQ200)))</f>
        <v>78</v>
      </c>
      <c r="I200" s="50" t="n">
        <f aca="false">H200*G200</f>
        <v>3113.76</v>
      </c>
      <c r="J200" s="50" t="n">
        <f aca="false">BT200*Parameter!$B$18</f>
        <v>281</v>
      </c>
      <c r="K200" s="51" t="n">
        <v>49</v>
      </c>
      <c r="L200" s="52" t="n">
        <v>5.73469387755102</v>
      </c>
      <c r="M200" s="50" t="n">
        <v>5</v>
      </c>
      <c r="N200" s="50" t="n">
        <v>135</v>
      </c>
      <c r="O200" s="53" t="n">
        <v>7</v>
      </c>
      <c r="P200" s="48" t="s">
        <v>235</v>
      </c>
      <c r="Q200" s="50" t="n">
        <v>50</v>
      </c>
      <c r="R200" s="53" t="n">
        <f aca="false">IF(BZ200=1,0,IFERROR(VLOOKUP(BX200,'Gebinde-Kategorie'!$A$5:$N$45,13,0)+0,0))</f>
        <v>12</v>
      </c>
      <c r="S200" s="54"/>
      <c r="T200" s="55"/>
      <c r="U200" s="55"/>
      <c r="V200" s="55"/>
      <c r="W200" s="48"/>
      <c r="X200" s="50"/>
      <c r="Y200" s="50"/>
      <c r="Z200" s="48" t="n">
        <f aca="false">IF(A200="","",IF(AND(Parameter!$B$21="Ja",ISNUMBER(W200)),W200,IF(CC200="2+3",IF(ISNUMBER(SEARCH("grosser Artikel",BU200)),2,IFERROR(VLOOKUP(BX200,Parameter!$F$35:$G$64,2,0),2)),IF(OR(CC200="Nein",CC200=""),"-",CC200))))</f>
        <v>2</v>
      </c>
      <c r="AA200" s="55"/>
      <c r="AB200" s="56"/>
      <c r="AC200" s="50" t="n">
        <f aca="false">AV200</f>
        <v>183</v>
      </c>
      <c r="AD200" s="50" t="n">
        <f aca="false">MAX(AV200,H200)</f>
        <v>183</v>
      </c>
      <c r="AE200" s="57"/>
      <c r="AF200" s="50" t="n">
        <f aca="false">IF(LEFT(Cockpit!$C$5,1)="A",H200,IF(Parameter!$E$30="MAX-Bestand",IF(CH200=1,CI200,IF(LEFT(Cockpit!$C$5,1)="B",AL200,MAX(AL200,H200))),ROUNDUP(AJ200,0)))</f>
        <v>78</v>
      </c>
      <c r="AG200" s="50" t="n">
        <f aca="false">IF(BZ200=1,0,ROUNDUP(AF200/BY200,0))</f>
        <v>2</v>
      </c>
      <c r="AH200" s="52" t="n">
        <f aca="false">IF(CQ200&gt;0,CQ200*MAX(1,AF200/X200),IF(BZ200=1,IF(AF200&lt;=0,0,CD200*MAX(1,IF(H200&gt;0,AF200/H200,1))),IF(R200&gt;0,AG200/R200,0))/MAX(0.1,N(Parameter!$M$21)))</f>
        <v>0.166666666666667</v>
      </c>
      <c r="AI200" s="50" t="n">
        <f aca="false">AH200*CB200</f>
        <v>57.5</v>
      </c>
      <c r="AJ200" s="51" t="n">
        <f aca="false">IF(LEFT(Cockpit!$C$5,1)="A",H200,IF(CH200=1,(CK200+CI200)/2,IF(LEFT(Cockpit!$C$5,1)="B",(CK200+AL200)/2,MAX((CK200+AL200)/2,H200))))</f>
        <v>78</v>
      </c>
      <c r="AK200" s="50" t="n">
        <f aca="false">AJ200*G200</f>
        <v>3113.76</v>
      </c>
      <c r="AL200" s="50" t="n">
        <f aca="false">ROUNDUP(CK200+MAX(CL200,2*(J200/IF(CG200&gt;0,CG200,MAX(0.1,N(Cockpit!$C$6)))-CK200)),0)</f>
        <v>183</v>
      </c>
      <c r="AM200" s="51" t="n">
        <f aca="false">IF(AI200&gt;0,J200/AI200,-1)</f>
        <v>4.88695652173913</v>
      </c>
      <c r="AN200" s="51" t="n">
        <f aca="false">IF(AND(OR(CF200="L1",CF200="L23",CF200="LIFT"),AI200&gt;0),SUMIFS($AI$7:$AI$1843,$CF$7:$CF$1843,CF200,$AM$7:$AM$1843,"&gt;"&amp;AM200)+SUMIFS($AI$7:$AI$1843,$CF$7:$CF$1843,CF200,$AM$7:$AM$1843,AM200,$BW$7:$BW$1843,"&lt;="&amp;BW200),"")</f>
        <v>4086.71657509158</v>
      </c>
      <c r="AO200" s="58" t="n">
        <f aca="false">IF(AN200="",0,MAX(0,MIN(1,(IF(CF200="L1",Parameter!$H$5,IF(CF200="L23",Parameter!$H$6+Parameter!$H$7,Parameter!$H$5+Parameter!$H$6+Parameter!$H$7))-(AN200-AI200))/AI200)))</f>
        <v>1</v>
      </c>
      <c r="AP200" s="50" t="n">
        <f aca="false">IF(LEFT(Cockpit!$I$5,1)="A",H200,IF(Parameter!$E$30="MAX-Bestand",IF(CH200=1,CI200,IF(LEFT(Cockpit!$I$5,1)="B",AV200,MAX(AV200,H200))),ROUNDUP(AT200,0)))</f>
        <v>94</v>
      </c>
      <c r="AQ200" s="50" t="n">
        <f aca="false">IF(BZ200=1,0,ROUNDUP(AP200/BY200,0))</f>
        <v>2</v>
      </c>
      <c r="AR200" s="52" t="n">
        <f aca="false">IF(CQ200&gt;0,CQ200*MAX(1,AP200/X200),IF(BZ200=1,IF(AP200&lt;=0,0,CD200*MAX(1,IF(H200&gt;0,AP200/H200,1))),IF(R200&gt;0,AQ200/R200,0))/MAX(0.1,N(Parameter!$M$21)))</f>
        <v>0.166666666666667</v>
      </c>
      <c r="AS200" s="50" t="n">
        <f aca="false">AR200*CB200</f>
        <v>57.5</v>
      </c>
      <c r="AT200" s="51" t="n">
        <f aca="false">IF(LEFT(Cockpit!$I$5,1)="A",H200,IF(CH200=1,(CK200+CI200)/2,IF(LEFT(Cockpit!$I$5,1)="B",(CK200+AV200)/2,MAX((CK200+AV200)/2,H200))))</f>
        <v>94</v>
      </c>
      <c r="AU200" s="50" t="n">
        <f aca="false">AT200*G200</f>
        <v>3752.48</v>
      </c>
      <c r="AV200" s="50" t="n">
        <f aca="false">ROUNDUP(CK200+MAX(CL200,2*(J200/IF(CG200&gt;0,CG200,MAX(0.1,N(Cockpit!$I$6)))-CK200)),0)</f>
        <v>183</v>
      </c>
      <c r="AW200" s="51" t="n">
        <f aca="false">IF(AS200&gt;0,J200/AS200,-1)</f>
        <v>4.88695652173913</v>
      </c>
      <c r="AX200" s="51" t="n">
        <f aca="false">IF(AND(OR(CF200="L1",CF200="L23",CF200="LIFT"),AS200&gt;0),SUMIFS($AS$7:$AS$1843,$CF$7:$CF$1843,CF200,$AW$7:$AW$1843,"&gt;"&amp;AW200)+SUMIFS($AS$7:$AS$1843,$CF$7:$CF$1843,CF200,$AW$7:$AW$1843,AW200,$BW$7:$BW$1843,"&lt;="&amp;BW200),"")</f>
        <v>4682.95741758242</v>
      </c>
      <c r="AY200" s="58" t="n">
        <f aca="false">IF(AX200="",0,MAX(0,MIN(1,(IF(CF200="L1",Parameter!$H$5,IF(CF200="L23",Parameter!$H$6+Parameter!$H$7,Parameter!$H$5+Parameter!$H$6+Parameter!$H$7))-(AX200-AS200))/AS200)))</f>
        <v>1</v>
      </c>
      <c r="AZ200" s="50" t="n">
        <f aca="false">IF(LEFT(Cockpit!$O$5,1)="A",H200,IF(Parameter!$E$30="MAX-Bestand",IF(CH200=1,CI200,IF(LEFT(Cockpit!$O$5,1)="B",BF200,MAX(BF200,H200))),ROUNDUP(BD200,0)))</f>
        <v>73</v>
      </c>
      <c r="BA200" s="50" t="n">
        <f aca="false">IF(BZ200=1,0,ROUNDUP(AZ200/BY200,0))</f>
        <v>2</v>
      </c>
      <c r="BB200" s="52" t="n">
        <f aca="false">IF(CQ200&gt;0,CQ200*MAX(1,AZ200/X200),IF(BZ200=1,IF(AZ200&lt;=0,0,CD200*MAX(1,IF(H200&gt;0,AZ200/H200,1))),IF(R200&gt;0,BA200/R200,0))/MAX(0.1,N(Parameter!$M$21)))</f>
        <v>0.166666666666667</v>
      </c>
      <c r="BC200" s="50" t="n">
        <f aca="false">BB200*CB200</f>
        <v>57.5</v>
      </c>
      <c r="BD200" s="51" t="n">
        <f aca="false">IF(LEFT(Cockpit!$O$5,1)="A",H200,IF(CH200=1,(CK200+CI200)/2,IF(LEFT(Cockpit!$O$5,1)="B",(CK200+BF200)/2,MAX((CK200+BF200)/2,H200))))</f>
        <v>72.5</v>
      </c>
      <c r="BE200" s="50" t="n">
        <f aca="false">BD200*G200</f>
        <v>2894.2</v>
      </c>
      <c r="BF200" s="50" t="n">
        <f aca="false">ROUNDUP(CK200+MAX(CL200,2*(J200/IF(CG200&gt;0,CG200,MAX(0.1,N(Cockpit!$O$6)))-CK200)),0)</f>
        <v>140</v>
      </c>
      <c r="BG200" s="51" t="n">
        <f aca="false">IF(BC200&gt;0,J200/BC200,-1)</f>
        <v>4.88695652173913</v>
      </c>
      <c r="BH200" s="51" t="n">
        <f aca="false">IF(AND(OR(CF200="L1",CF200="L23",CF200="LIFT"),BC200&gt;0),SUMIFS($BC$7:$BC$1843,$CF$7:$CF$1843,CF200,$BG$7:$BG$1843,"&gt;"&amp;BG200)+SUMIFS($BC$7:$BC$1843,$CF$7:$CF$1843,CF200,$BG$7:$BG$1843,BG200,$BW$7:$BW$1843,"&lt;="&amp;BW200),"")</f>
        <v>3866.50549450549</v>
      </c>
      <c r="BI200" s="58" t="n">
        <f aca="false">IF(BH200="",0,MAX(0,MIN(1,(IF(CF200="L1",Parameter!$H$5,IF(CF200="L23",Parameter!$H$6+Parameter!$H$7,Parameter!$H$5+Parameter!$H$6+Parameter!$H$7))-(BH200-BC200))/BC200)))</f>
        <v>1</v>
      </c>
      <c r="BJ200" s="48" t="str">
        <f aca="false">IF(AI200&lt;=0,"",IF(CF200="Aussen","Aussenlager",IF(CF200="-","Nicht im Lift",IF(AO200&gt;=1,"Lift",IF(AO200&lt;=0,"Aussenlager","teilweise")))))</f>
        <v>Lift</v>
      </c>
      <c r="BK200" s="48" t="str">
        <f aca="false">IF(AS200&lt;=0,"",IF(CF200="Aussen","Aussenlager",IF(CF200="-","Nicht im Lift",IF(AY200&gt;=1,"Lift",IF(AY200&lt;=0,"Aussenlager","teilweise")))))</f>
        <v>Lift</v>
      </c>
      <c r="BL200" s="48" t="str">
        <f aca="false">IF(BC200&lt;=0,"",IF(CF200="Aussen","Aussenlager",IF(CF200="-","Nicht im Lift",IF(BI200&gt;=1,"Lift",IF(BI200&lt;=0,"Aussenlager","teilweise")))))</f>
        <v>Lift</v>
      </c>
      <c r="BM200" s="48" t="str">
        <f aca="false">IF(A200="","",IF(BV200=1,"Neu; ","")&amp;IF(AND(BV200=0,BQ200&lt;0),"negativer Bestand (Export "&amp;BQ200&amp;"); ","")&amp;IF(J200&lt;=0,"Kein Verbrauch; ","")&amp;IF(CQ200&gt;0,"Lift "&amp;W200&amp;" lt. Liftbericht (Fach "&amp;X200&amp;" Stk); ",IF(CA200=1,"Gebinde geschätzt ("&amp;T200&amp;"); ",IF(BZ200=1,"Lose – Tablare geschätzt; ","")))&amp;IF(H200&gt;AV200,"Überbestand "&amp;ROUND(H200-AV200,0)&amp;" Stk / CHF "&amp;ROUND((H200-AV200)*G200,0)&amp;"; ","")&amp;IF(AND(CH200=1,CI200&lt;CJ200),"MAX &lt; MB+LG; ","")&amp;IF(AND(CP200&gt;0,CO200*10&gt;CP200),"zu hoch für Tablar; ","")&amp;IF(AND(BV200=0,OR(CH200=1,AA200&lt;&gt;"",U200&lt;&gt;"",V200&lt;&gt;"",AB200&lt;&gt;"")),"manuell übersteuert; ","")&amp;IF(AND(BZ200=0,R200=0),"Gebinde unbekannt / Stellmass fehlt; ","")&amp;IF(AND(BZ200=0,N(V200)&lt;=0,N(Q200)&lt;=0),"Menge pro Gebinde fehlt (Ist = 1 Gebinde); ","")&amp;BU200)</f>
        <v/>
      </c>
      <c r="BN200" s="48"/>
      <c r="BO200" s="48"/>
      <c r="BP200" s="55"/>
      <c r="BQ200" s="50" t="n">
        <v>21</v>
      </c>
      <c r="BR200" s="50" t="n">
        <v>57</v>
      </c>
      <c r="BS200" s="49" t="n">
        <v>810.96</v>
      </c>
      <c r="BT200" s="50" t="n">
        <v>281</v>
      </c>
      <c r="BU200" s="48"/>
      <c r="BV200" s="53" t="n">
        <v>0</v>
      </c>
      <c r="BW200" s="53" t="n">
        <v>200</v>
      </c>
      <c r="BX200" s="48" t="str">
        <f aca="false">IF(U200&lt;&gt;"",UPPER(TRIM(U200)),IF(CA200=1,UPPER(VLOOKUP(T200,Parameter!$I$27:$K$29,2,0)),IF(P200="","LOSE",P200)))</f>
        <v>S63</v>
      </c>
      <c r="BY200" s="50" t="n">
        <f aca="false">IF(BX200="LOSE",1,IF(N(V200)&gt;0,V200,IF(CA200=1,MAX(1,N(VLOOKUP(T200,Parameter!$I$27:$K$29,3,0)),H200,N(N200)),IF(N(Q200)&gt;0,Q200,MAX(1,H200)))))</f>
        <v>50</v>
      </c>
      <c r="BZ200" s="53" t="n">
        <f aca="false">IF(BX200="LOSE",1,0)</f>
        <v>0</v>
      </c>
      <c r="CA200" s="53" t="n">
        <f aca="false">IF(AND(U200="",OR(P200="",P200="LOSE"),T200&lt;&gt;"",N(S200)&lt;=0,ISNUMBER(MATCH(T200,Parameter!$I$27:$I$29,0))),1,0)</f>
        <v>0</v>
      </c>
      <c r="CB200" s="53" t="n">
        <f aca="false">IF(CQ200&gt;0,INDEX(Parameter!$H$5:$H$7,W200)/INDEX(Parameter!$E$5:$E$7,W200),IF(AND(BZ200=0,N(IFERROR(VLOOKUP(BX200,'Gebinde-Kategorie'!$A$5:$N$45,14,0),0))&gt;0),VLOOKUP(BX200,'Gebinde-Kategorie'!$A$5:$N$45,14,0)*10+Parameter!$M$23,Parameter!$M$24))</f>
        <v>345</v>
      </c>
      <c r="CC200" s="48" t="str">
        <f aca="false">IF(AND(Parameter!$B$19="Ja",E200&lt;&gt;"",ISNUMBER(MATCH(E200,Parameter!$I$35:$I$52,0))),VLOOKUP(E200,Parameter!$I$35:$J$52,2,0),IFERROR(VLOOKUP(D200,Parameter!$A$35:$C$64,2,0),"Nein"))</f>
        <v>2+3</v>
      </c>
      <c r="CD200" s="52" t="n">
        <f aca="false">IF(BZ200=0,0,IF(N(S200)&gt;0,S200,IFERROR(VLOOKUP(D200,Parameter!$A$35:$C$64,3,0)+0,0)))</f>
        <v>0</v>
      </c>
      <c r="CE200" s="48" t="n">
        <f aca="false">IF(AA200&lt;&gt;"",AA200,Z200)</f>
        <v>2</v>
      </c>
      <c r="CF200" s="48" t="str">
        <f aca="false">IF(OR(CE200=1,CE200=2,CE200=3),IF(Parameter!$E$27="Ja","LIFT",IF(CE200=1,"L1","L23")),IF(CE200="Aussen","Aussen","-"))</f>
        <v>LIFT</v>
      </c>
      <c r="CG200" s="59" t="n">
        <f aca="false">IF(N(AB200)&gt;0,AB200,0)</f>
        <v>0</v>
      </c>
      <c r="CH200" s="53" t="n">
        <f aca="false">IF(ISNUMBER(AE200),1,0)</f>
        <v>0</v>
      </c>
      <c r="CI200" s="50" t="n">
        <f aca="false">N(AE200)</f>
        <v>0</v>
      </c>
      <c r="CJ200" s="50" t="n">
        <f aca="false">N(M200)+N(N200)</f>
        <v>140</v>
      </c>
      <c r="CK200" s="50" t="n">
        <f aca="false">N(M200)</f>
        <v>5</v>
      </c>
      <c r="CL200" s="50" t="n">
        <f aca="false">N(N200)</f>
        <v>135</v>
      </c>
      <c r="CM200" s="50" t="n">
        <f aca="false">ROUNDUP(H200/BY200,0)</f>
        <v>2</v>
      </c>
      <c r="CN200" s="50" t="n">
        <f aca="false">ROUNDUP(CI200/BY200,0)</f>
        <v>0</v>
      </c>
      <c r="CO200" s="53" t="n">
        <f aca="false">IF(BZ200=1,0,IFERROR(VLOOKUP(BX200,'Gebinde-Kategorie'!$A$5:$N$45,5,0)+0,0))</f>
        <v>31</v>
      </c>
      <c r="CP200" s="53" t="n">
        <f aca="false">IFERROR(IF(OR(CE200=1,CE200=2,CE200=3),N(INDEX(Parameter!$I$5:$I$7,CE200)),0),0)</f>
        <v>0</v>
      </c>
      <c r="CQ200" s="52" t="n">
        <f aca="false">IF(AND(Parameter!$B$21="Ja",ISNUMBER(W200),N(X200)&gt;0),IFERROR(N(INDEX(Parameter!$L$5:$L$7,W200))*INDEX(Parameter!$E$5:$E$7,W200)*X200/SUMIFS($X$7:$X$1843,$W$7:$W$1843,W200),0),0)</f>
        <v>0</v>
      </c>
    </row>
    <row r="201" customFormat="false" ht="15" hidden="false" customHeight="false" outlineLevel="0" collapsed="false">
      <c r="A201" s="48" t="s">
        <v>612</v>
      </c>
      <c r="B201" s="48" t="s">
        <v>613</v>
      </c>
      <c r="C201" s="48" t="s">
        <v>173</v>
      </c>
      <c r="D201" s="48" t="s">
        <v>182</v>
      </c>
      <c r="E201" s="48" t="s">
        <v>194</v>
      </c>
      <c r="F201" s="48" t="s">
        <v>227</v>
      </c>
      <c r="G201" s="49" t="n">
        <v>98.69</v>
      </c>
      <c r="H201" s="50" t="n">
        <f aca="false">MAX(0,IF(AND(Parameter!$B$21="Ja",ISNUMBER(Y201)),Y201,IF(Parameter!$B$20="Jahresanfang 2025 + Export",BR201+BQ201,BQ201)))</f>
        <v>33</v>
      </c>
      <c r="I201" s="50" t="n">
        <f aca="false">H201*G201</f>
        <v>3256.77</v>
      </c>
      <c r="J201" s="50" t="n">
        <f aca="false">BT201*Parameter!$B$18</f>
        <v>77</v>
      </c>
      <c r="K201" s="51" t="n">
        <v>30</v>
      </c>
      <c r="L201" s="52" t="n">
        <v>2.56666666666667</v>
      </c>
      <c r="M201" s="50" t="n">
        <v>10</v>
      </c>
      <c r="N201" s="50" t="n">
        <v>45</v>
      </c>
      <c r="O201" s="53" t="n">
        <v>49</v>
      </c>
      <c r="P201" s="48" t="s">
        <v>183</v>
      </c>
      <c r="Q201" s="50" t="n">
        <v>18</v>
      </c>
      <c r="R201" s="53" t="n">
        <f aca="false">IF(BZ201=1,0,IFERROR(VLOOKUP(BX201,'Gebinde-Kategorie'!$A$5:$N$45,13,0)+0,0))</f>
        <v>6</v>
      </c>
      <c r="S201" s="54"/>
      <c r="T201" s="55"/>
      <c r="U201" s="55"/>
      <c r="V201" s="55"/>
      <c r="W201" s="48"/>
      <c r="X201" s="50"/>
      <c r="Y201" s="50"/>
      <c r="Z201" s="48" t="n">
        <f aca="false">IF(A201="","",IF(AND(Parameter!$B$21="Ja",ISNUMBER(W201)),W201,IF(CC201="2+3",IF(ISNUMBER(SEARCH("grosser Artikel",BU201)),2,IFERROR(VLOOKUP(BX201,Parameter!$F$35:$G$64,2,0),2)),IF(OR(CC201="Nein",CC201=""),"-",CC201))))</f>
        <v>2</v>
      </c>
      <c r="AA201" s="55"/>
      <c r="AB201" s="56"/>
      <c r="AC201" s="50" t="n">
        <f aca="false">AV201</f>
        <v>55</v>
      </c>
      <c r="AD201" s="50" t="n">
        <f aca="false">MAX(AV201,H201)</f>
        <v>55</v>
      </c>
      <c r="AE201" s="57"/>
      <c r="AF201" s="50" t="n">
        <f aca="false">IF(LEFT(Cockpit!$C$5,1)="A",H201,IF(Parameter!$E$30="MAX-Bestand",IF(CH201=1,CI201,IF(LEFT(Cockpit!$C$5,1)="B",AL201,MAX(AL201,H201))),ROUNDUP(AJ201,0)))</f>
        <v>33</v>
      </c>
      <c r="AG201" s="50" t="n">
        <f aca="false">IF(BZ201=1,0,ROUNDUP(AF201/BY201,0))</f>
        <v>2</v>
      </c>
      <c r="AH201" s="52" t="n">
        <f aca="false">IF(CQ201&gt;0,CQ201*MAX(1,AF201/X201),IF(BZ201=1,IF(AF201&lt;=0,0,CD201*MAX(1,IF(H201&gt;0,AF201/H201,1))),IF(R201&gt;0,AG201/R201,0))/MAX(0.1,N(Parameter!$M$21)))</f>
        <v>0.333333333333333</v>
      </c>
      <c r="AI201" s="50" t="n">
        <f aca="false">AH201*CB201</f>
        <v>78.3333333333333</v>
      </c>
      <c r="AJ201" s="51" t="n">
        <f aca="false">IF(LEFT(Cockpit!$C$5,1)="A",H201,IF(CH201=1,(CK201+CI201)/2,IF(LEFT(Cockpit!$C$5,1)="B",(CK201+AL201)/2,MAX((CK201+AL201)/2,H201))))</f>
        <v>33</v>
      </c>
      <c r="AK201" s="50" t="n">
        <f aca="false">AJ201*G201</f>
        <v>3256.77</v>
      </c>
      <c r="AL201" s="50" t="n">
        <f aca="false">ROUNDUP(CK201+MAX(CL201,2*(J201/IF(CG201&gt;0,CG201,MAX(0.1,N(Cockpit!$C$6)))-CK201)),0)</f>
        <v>55</v>
      </c>
      <c r="AM201" s="51" t="n">
        <f aca="false">IF(AI201&gt;0,J201/AI201,-1)</f>
        <v>0.982978723404255</v>
      </c>
      <c r="AN201" s="51" t="n">
        <f aca="false">IF(AND(OR(CF201="L1",CF201="L23",CF201="LIFT"),AI201&gt;0),SUMIFS($AI$7:$AI$1843,$CF$7:$CF$1843,CF201,$AM$7:$AM$1843,"&gt;"&amp;AM201)+SUMIFS($AI$7:$AI$1843,$CF$7:$CF$1843,CF201,$AM$7:$AM$1843,AM201,$BW$7:$BW$1843,"&lt;="&amp;BW201),"")</f>
        <v>7165.0260989011</v>
      </c>
      <c r="AO201" s="58" t="n">
        <f aca="false">IF(AN201="",0,MAX(0,MIN(1,(IF(CF201="L1",Parameter!$H$5,IF(CF201="L23",Parameter!$H$6+Parameter!$H$7,Parameter!$H$5+Parameter!$H$6+Parameter!$H$7))-(AN201-AI201))/AI201)))</f>
        <v>1</v>
      </c>
      <c r="AP201" s="50" t="n">
        <f aca="false">IF(LEFT(Cockpit!$I$5,1)="A",H201,IF(Parameter!$E$30="MAX-Bestand",IF(CH201=1,CI201,IF(LEFT(Cockpit!$I$5,1)="B",AV201,MAX(AV201,H201))),ROUNDUP(AT201,0)))</f>
        <v>33</v>
      </c>
      <c r="AQ201" s="50" t="n">
        <f aca="false">IF(BZ201=1,0,ROUNDUP(AP201/BY201,0))</f>
        <v>2</v>
      </c>
      <c r="AR201" s="52" t="n">
        <f aca="false">IF(CQ201&gt;0,CQ201*MAX(1,AP201/X201),IF(BZ201=1,IF(AP201&lt;=0,0,CD201*MAX(1,IF(H201&gt;0,AP201/H201,1))),IF(R201&gt;0,AQ201/R201,0))/MAX(0.1,N(Parameter!$M$21)))</f>
        <v>0.333333333333333</v>
      </c>
      <c r="AS201" s="50" t="n">
        <f aca="false">AR201*CB201</f>
        <v>78.3333333333333</v>
      </c>
      <c r="AT201" s="51" t="n">
        <f aca="false">IF(LEFT(Cockpit!$I$5,1)="A",H201,IF(CH201=1,(CK201+CI201)/2,IF(LEFT(Cockpit!$I$5,1)="B",(CK201+AV201)/2,MAX((CK201+AV201)/2,H201))))</f>
        <v>33</v>
      </c>
      <c r="AU201" s="50" t="n">
        <f aca="false">AT201*G201</f>
        <v>3256.77</v>
      </c>
      <c r="AV201" s="50" t="n">
        <f aca="false">ROUNDUP(CK201+MAX(CL201,2*(J201/IF(CG201&gt;0,CG201,MAX(0.1,N(Cockpit!$I$6)))-CK201)),0)</f>
        <v>55</v>
      </c>
      <c r="AW201" s="51" t="n">
        <f aca="false">IF(AS201&gt;0,J201/AS201,-1)</f>
        <v>0.982978723404255</v>
      </c>
      <c r="AX201" s="51" t="n">
        <f aca="false">IF(AND(OR(CF201="L1",CF201="L23",CF201="LIFT"),AS201&gt;0),SUMIFS($AS$7:$AS$1843,$CF$7:$CF$1843,CF201,$AW$7:$AW$1843,"&gt;"&amp;AW201)+SUMIFS($AS$7:$AS$1843,$CF$7:$CF$1843,CF201,$AW$7:$AW$1843,AW201,$BW$7:$BW$1843,"&lt;="&amp;BW201),"")</f>
        <v>8536.70970695971</v>
      </c>
      <c r="AY201" s="58" t="n">
        <f aca="false">IF(AX201="",0,MAX(0,MIN(1,(IF(CF201="L1",Parameter!$H$5,IF(CF201="L23",Parameter!$H$6+Parameter!$H$7,Parameter!$H$5+Parameter!$H$6+Parameter!$H$7))-(AX201-AS201))/AS201)))</f>
        <v>1</v>
      </c>
      <c r="AZ201" s="50" t="n">
        <f aca="false">IF(LEFT(Cockpit!$O$5,1)="A",H201,IF(Parameter!$E$30="MAX-Bestand",IF(CH201=1,CI201,IF(LEFT(Cockpit!$O$5,1)="B",BF201,MAX(BF201,H201))),ROUNDUP(BD201,0)))</f>
        <v>33</v>
      </c>
      <c r="BA201" s="50" t="n">
        <f aca="false">IF(BZ201=1,0,ROUNDUP(AZ201/BY201,0))</f>
        <v>2</v>
      </c>
      <c r="BB201" s="52" t="n">
        <f aca="false">IF(CQ201&gt;0,CQ201*MAX(1,AZ201/X201),IF(BZ201=1,IF(AZ201&lt;=0,0,CD201*MAX(1,IF(H201&gt;0,AZ201/H201,1))),IF(R201&gt;0,BA201/R201,0))/MAX(0.1,N(Parameter!$M$21)))</f>
        <v>0.333333333333333</v>
      </c>
      <c r="BC201" s="50" t="n">
        <f aca="false">BB201*CB201</f>
        <v>78.3333333333333</v>
      </c>
      <c r="BD201" s="51" t="n">
        <f aca="false">IF(LEFT(Cockpit!$O$5,1)="A",H201,IF(CH201=1,(CK201+CI201)/2,IF(LEFT(Cockpit!$O$5,1)="B",(CK201+BF201)/2,MAX((CK201+BF201)/2,H201))))</f>
        <v>32.5</v>
      </c>
      <c r="BE201" s="50" t="n">
        <f aca="false">BD201*G201</f>
        <v>3207.425</v>
      </c>
      <c r="BF201" s="50" t="n">
        <f aca="false">ROUNDUP(CK201+MAX(CL201,2*(J201/IF(CG201&gt;0,CG201,MAX(0.1,N(Cockpit!$O$6)))-CK201)),0)</f>
        <v>55</v>
      </c>
      <c r="BG201" s="51" t="n">
        <f aca="false">IF(BC201&gt;0,J201/BC201,-1)</f>
        <v>0.982978723404255</v>
      </c>
      <c r="BH201" s="51" t="n">
        <f aca="false">IF(AND(OR(CF201="L1",CF201="L23",CF201="LIFT"),BC201&gt;0),SUMIFS($BC$7:$BC$1843,$CF$7:$CF$1843,CF201,$BG$7:$BG$1843,"&gt;"&amp;BG201)+SUMIFS($BC$7:$BC$1843,$CF$7:$CF$1843,CF201,$BG$7:$BG$1843,BG201,$BW$7:$BW$1843,"&lt;="&amp;BW201),"")</f>
        <v>7774.8228021978</v>
      </c>
      <c r="BI201" s="58" t="n">
        <f aca="false">IF(BH201="",0,MAX(0,MIN(1,(IF(CF201="L1",Parameter!$H$5,IF(CF201="L23",Parameter!$H$6+Parameter!$H$7,Parameter!$H$5+Parameter!$H$6+Parameter!$H$7))-(BH201-BC201))/BC201)))</f>
        <v>1</v>
      </c>
      <c r="BJ201" s="48" t="str">
        <f aca="false">IF(AI201&lt;=0,"",IF(CF201="Aussen","Aussenlager",IF(CF201="-","Nicht im Lift",IF(AO201&gt;=1,"Lift",IF(AO201&lt;=0,"Aussenlager","teilweise")))))</f>
        <v>Lift</v>
      </c>
      <c r="BK201" s="48" t="str">
        <f aca="false">IF(AS201&lt;=0,"",IF(CF201="Aussen","Aussenlager",IF(CF201="-","Nicht im Lift",IF(AY201&gt;=1,"Lift",IF(AY201&lt;=0,"Aussenlager","teilweise")))))</f>
        <v>Lift</v>
      </c>
      <c r="BL201" s="48" t="str">
        <f aca="false">IF(BC201&lt;=0,"",IF(CF201="Aussen","Aussenlager",IF(CF201="-","Nicht im Lift",IF(BI201&gt;=1,"Lift",IF(BI201&lt;=0,"Aussenlager","teilweise")))))</f>
        <v>Lift</v>
      </c>
      <c r="BM201" s="48" t="str">
        <f aca="false">IF(A201="","",IF(BV201=1,"Neu; ","")&amp;IF(AND(BV201=0,BQ201&lt;0),"negativer Bestand (Export "&amp;BQ201&amp;"); ","")&amp;IF(J201&lt;=0,"Kein Verbrauch; ","")&amp;IF(CQ201&gt;0,"Lift "&amp;W201&amp;" lt. Liftbericht (Fach "&amp;X201&amp;" Stk); ",IF(CA201=1,"Gebinde geschätzt ("&amp;T201&amp;"); ",IF(BZ201=1,"Lose – Tablare geschätzt; ","")))&amp;IF(H201&gt;AV201,"Überbestand "&amp;ROUND(H201-AV201,0)&amp;" Stk / CHF "&amp;ROUND((H201-AV201)*G201,0)&amp;"; ","")&amp;IF(AND(CH201=1,CI201&lt;CJ201),"MAX &lt; MB+LG; ","")&amp;IF(AND(CP201&gt;0,CO201*10&gt;CP201),"zu hoch für Tablar; ","")&amp;IF(AND(BV201=0,OR(CH201=1,AA201&lt;&gt;"",U201&lt;&gt;"",V201&lt;&gt;"",AB201&lt;&gt;"")),"manuell übersteuert; ","")&amp;IF(AND(BZ201=0,R201=0),"Gebinde unbekannt / Stellmass fehlt; ","")&amp;IF(AND(BZ201=0,N(V201)&lt;=0,N(Q201)&lt;=0),"Menge pro Gebinde fehlt (Ist = 1 Gebinde); ","")&amp;BU201)</f>
        <v>grosser Artikel &amp; nicht im KTL</v>
      </c>
      <c r="BN201" s="48"/>
      <c r="BO201" s="48"/>
      <c r="BP201" s="55"/>
      <c r="BQ201" s="50" t="n">
        <v>8</v>
      </c>
      <c r="BR201" s="50" t="n">
        <v>25</v>
      </c>
      <c r="BS201" s="49" t="n">
        <v>801.770000000001</v>
      </c>
      <c r="BT201" s="50" t="n">
        <v>77</v>
      </c>
      <c r="BU201" s="48" t="s">
        <v>270</v>
      </c>
      <c r="BV201" s="53" t="n">
        <v>0</v>
      </c>
      <c r="BW201" s="53" t="n">
        <v>201</v>
      </c>
      <c r="BX201" s="48" t="str">
        <f aca="false">IF(U201&lt;&gt;"",UPPER(TRIM(U201)),IF(CA201=1,UPPER(VLOOKUP(T201,Parameter!$I$27:$K$29,2,0)),IF(P201="","LOSE",P201)))</f>
        <v>S71</v>
      </c>
      <c r="BY201" s="50" t="n">
        <f aca="false">IF(BX201="LOSE",1,IF(N(V201)&gt;0,V201,IF(CA201=1,MAX(1,N(VLOOKUP(T201,Parameter!$I$27:$K$29,3,0)),H201,N(N201)),IF(N(Q201)&gt;0,Q201,MAX(1,H201)))))</f>
        <v>18</v>
      </c>
      <c r="BZ201" s="53" t="n">
        <f aca="false">IF(BX201="LOSE",1,0)</f>
        <v>0</v>
      </c>
      <c r="CA201" s="53" t="n">
        <f aca="false">IF(AND(U201="",OR(P201="",P201="LOSE"),T201&lt;&gt;"",N(S201)&lt;=0,ISNUMBER(MATCH(T201,Parameter!$I$27:$I$29,0))),1,0)</f>
        <v>0</v>
      </c>
      <c r="CB201" s="53" t="n">
        <f aca="false">IF(CQ201&gt;0,INDEX(Parameter!$H$5:$H$7,W201)/INDEX(Parameter!$E$5:$E$7,W201),IF(AND(BZ201=0,N(IFERROR(VLOOKUP(BX201,'Gebinde-Kategorie'!$A$5:$N$45,14,0),0))&gt;0),VLOOKUP(BX201,'Gebinde-Kategorie'!$A$5:$N$45,14,0)*10+Parameter!$M$23,Parameter!$M$24))</f>
        <v>235</v>
      </c>
      <c r="CC201" s="48" t="str">
        <f aca="false">IF(AND(Parameter!$B$19="Ja",E201&lt;&gt;"",ISNUMBER(MATCH(E201,Parameter!$I$35:$I$52,0))),VLOOKUP(E201,Parameter!$I$35:$J$52,2,0),IFERROR(VLOOKUP(D201,Parameter!$A$35:$C$64,2,0),"Nein"))</f>
        <v>2+3</v>
      </c>
      <c r="CD201" s="52" t="n">
        <f aca="false">IF(BZ201=0,0,IF(N(S201)&gt;0,S201,IFERROR(VLOOKUP(D201,Parameter!$A$35:$C$64,3,0)+0,0)))</f>
        <v>0</v>
      </c>
      <c r="CE201" s="48" t="n">
        <f aca="false">IF(AA201&lt;&gt;"",AA201,Z201)</f>
        <v>2</v>
      </c>
      <c r="CF201" s="48" t="str">
        <f aca="false">IF(OR(CE201=1,CE201=2,CE201=3),IF(Parameter!$E$27="Ja","LIFT",IF(CE201=1,"L1","L23")),IF(CE201="Aussen","Aussen","-"))</f>
        <v>LIFT</v>
      </c>
      <c r="CG201" s="59" t="n">
        <f aca="false">IF(N(AB201)&gt;0,AB201,0)</f>
        <v>0</v>
      </c>
      <c r="CH201" s="53" t="n">
        <f aca="false">IF(ISNUMBER(AE201),1,0)</f>
        <v>0</v>
      </c>
      <c r="CI201" s="50" t="n">
        <f aca="false">N(AE201)</f>
        <v>0</v>
      </c>
      <c r="CJ201" s="50" t="n">
        <f aca="false">N(M201)+N(N201)</f>
        <v>55</v>
      </c>
      <c r="CK201" s="50" t="n">
        <f aca="false">N(M201)</f>
        <v>10</v>
      </c>
      <c r="CL201" s="50" t="n">
        <f aca="false">N(N201)</f>
        <v>45</v>
      </c>
      <c r="CM201" s="50" t="n">
        <f aca="false">ROUNDUP(H201/BY201,0)</f>
        <v>2</v>
      </c>
      <c r="CN201" s="50" t="n">
        <f aca="false">ROUNDUP(CI201/BY201,0)</f>
        <v>0</v>
      </c>
      <c r="CO201" s="53" t="n">
        <f aca="false">IF(BZ201=1,0,IFERROR(VLOOKUP(BX201,'Gebinde-Kategorie'!$A$5:$N$45,5,0)+0,0))</f>
        <v>20</v>
      </c>
      <c r="CP201" s="53" t="n">
        <f aca="false">IFERROR(IF(OR(CE201=1,CE201=2,CE201=3),N(INDEX(Parameter!$I$5:$I$7,CE201)),0),0)</f>
        <v>0</v>
      </c>
      <c r="CQ201" s="52" t="n">
        <f aca="false">IF(AND(Parameter!$B$21="Ja",ISNUMBER(W201),N(X201)&gt;0),IFERROR(N(INDEX(Parameter!$L$5:$L$7,W201))*INDEX(Parameter!$E$5:$E$7,W201)*X201/SUMIFS($X$7:$X$1843,$W$7:$W$1843,W201),0),0)</f>
        <v>0</v>
      </c>
    </row>
    <row r="202" customFormat="false" ht="15" hidden="false" customHeight="false" outlineLevel="0" collapsed="false">
      <c r="A202" s="48" t="s">
        <v>614</v>
      </c>
      <c r="B202" s="48" t="s">
        <v>440</v>
      </c>
      <c r="C202" s="48" t="s">
        <v>173</v>
      </c>
      <c r="D202" s="48" t="s">
        <v>193</v>
      </c>
      <c r="E202" s="48" t="s">
        <v>194</v>
      </c>
      <c r="F202" s="48" t="s">
        <v>227</v>
      </c>
      <c r="G202" s="49" t="n">
        <v>66.73</v>
      </c>
      <c r="H202" s="50" t="n">
        <f aca="false">MAX(0,IF(AND(Parameter!$B$21="Ja",ISNUMBER(Y202)),Y202,IF(Parameter!$B$20="Jahresanfang 2025 + Export",BR202+BQ202,BQ202)))</f>
        <v>39</v>
      </c>
      <c r="I202" s="50" t="n">
        <f aca="false">H202*G202</f>
        <v>2602.47</v>
      </c>
      <c r="J202" s="50" t="n">
        <f aca="false">BT202*Parameter!$B$18</f>
        <v>7</v>
      </c>
      <c r="K202" s="51" t="n">
        <v>35</v>
      </c>
      <c r="L202" s="52" t="n">
        <v>0.2</v>
      </c>
      <c r="M202" s="50" t="n">
        <v>1</v>
      </c>
      <c r="N202" s="50" t="n">
        <v>5</v>
      </c>
      <c r="O202" s="53" t="n">
        <v>70</v>
      </c>
      <c r="P202" s="48" t="s">
        <v>242</v>
      </c>
      <c r="Q202" s="50" t="n">
        <v>45</v>
      </c>
      <c r="R202" s="53" t="n">
        <f aca="false">IF(BZ202=1,0,IFERROR(VLOOKUP(BX202,'Gebinde-Kategorie'!$A$5:$N$45,13,0)+0,0))</f>
        <v>26</v>
      </c>
      <c r="S202" s="54"/>
      <c r="T202" s="55"/>
      <c r="U202" s="55"/>
      <c r="V202" s="55"/>
      <c r="W202" s="48"/>
      <c r="X202" s="50"/>
      <c r="Y202" s="50"/>
      <c r="Z202" s="48" t="n">
        <f aca="false">IF(A202="","",IF(AND(Parameter!$B$21="Ja",ISNUMBER(W202)),W202,IF(CC202="2+3",IF(ISNUMBER(SEARCH("grosser Artikel",BU202)),2,IFERROR(VLOOKUP(BX202,Parameter!$F$35:$G$64,2,0),2)),IF(OR(CC202="Nein",CC202=""),"-",CC202))))</f>
        <v>3</v>
      </c>
      <c r="AA202" s="55"/>
      <c r="AB202" s="56"/>
      <c r="AC202" s="50" t="n">
        <f aca="false">AV202</f>
        <v>6</v>
      </c>
      <c r="AD202" s="50" t="n">
        <f aca="false">MAX(AV202,H202)</f>
        <v>39</v>
      </c>
      <c r="AE202" s="57"/>
      <c r="AF202" s="50" t="n">
        <f aca="false">IF(LEFT(Cockpit!$C$5,1)="A",H202,IF(Parameter!$E$30="MAX-Bestand",IF(CH202=1,CI202,IF(LEFT(Cockpit!$C$5,1)="B",AL202,MAX(AL202,H202))),ROUNDUP(AJ202,0)))</f>
        <v>39</v>
      </c>
      <c r="AG202" s="50" t="n">
        <f aca="false">IF(BZ202=1,0,ROUNDUP(AF202/BY202,0))</f>
        <v>1</v>
      </c>
      <c r="AH202" s="52" t="n">
        <f aca="false">IF(CQ202&gt;0,CQ202*MAX(1,AF202/X202),IF(BZ202=1,IF(AF202&lt;=0,0,CD202*MAX(1,IF(H202&gt;0,AF202/H202,1))),IF(R202&gt;0,AG202/R202,0))/MAX(0.1,N(Parameter!$M$21)))</f>
        <v>0.0384615384615385</v>
      </c>
      <c r="AI202" s="50" t="n">
        <f aca="false">AH202*CB202</f>
        <v>9.42307692307692</v>
      </c>
      <c r="AJ202" s="51" t="n">
        <f aca="false">IF(LEFT(Cockpit!$C$5,1)="A",H202,IF(CH202=1,(CK202+CI202)/2,IF(LEFT(Cockpit!$C$5,1)="B",(CK202+AL202)/2,MAX((CK202+AL202)/2,H202))))</f>
        <v>39</v>
      </c>
      <c r="AK202" s="50" t="n">
        <f aca="false">AJ202*G202</f>
        <v>2602.47</v>
      </c>
      <c r="AL202" s="50" t="n">
        <f aca="false">ROUNDUP(CK202+MAX(CL202,2*(J202/IF(CG202&gt;0,CG202,MAX(0.1,N(Cockpit!$C$6)))-CK202)),0)</f>
        <v>6</v>
      </c>
      <c r="AM202" s="51" t="n">
        <f aca="false">IF(AI202&gt;0,J202/AI202,-1)</f>
        <v>0.742857142857143</v>
      </c>
      <c r="AN202" s="51" t="n">
        <f aca="false">IF(AND(OR(CF202="L1",CF202="L23",CF202="LIFT"),AI202&gt;0),SUMIFS($AI$7:$AI$1843,$CF$7:$CF$1843,CF202,$AM$7:$AM$1843,"&gt;"&amp;AM202)+SUMIFS($AI$7:$AI$1843,$CF$7:$CF$1843,CF202,$AM$7:$AM$1843,AM202,$BW$7:$BW$1843,"&lt;="&amp;BW202),"")</f>
        <v>8379.57371794872</v>
      </c>
      <c r="AO202" s="58" t="n">
        <f aca="false">IF(AN202="",0,MAX(0,MIN(1,(IF(CF202="L1",Parameter!$H$5,IF(CF202="L23",Parameter!$H$6+Parameter!$H$7,Parameter!$H$5+Parameter!$H$6+Parameter!$H$7))-(AN202-AI202))/AI202)))</f>
        <v>1</v>
      </c>
      <c r="AP202" s="50" t="n">
        <f aca="false">IF(LEFT(Cockpit!$I$5,1)="A",H202,IF(Parameter!$E$30="MAX-Bestand",IF(CH202=1,CI202,IF(LEFT(Cockpit!$I$5,1)="B",AV202,MAX(AV202,H202))),ROUNDUP(AT202,0)))</f>
        <v>39</v>
      </c>
      <c r="AQ202" s="50" t="n">
        <f aca="false">IF(BZ202=1,0,ROUNDUP(AP202/BY202,0))</f>
        <v>1</v>
      </c>
      <c r="AR202" s="52" t="n">
        <f aca="false">IF(CQ202&gt;0,CQ202*MAX(1,AP202/X202),IF(BZ202=1,IF(AP202&lt;=0,0,CD202*MAX(1,IF(H202&gt;0,AP202/H202,1))),IF(R202&gt;0,AQ202/R202,0))/MAX(0.1,N(Parameter!$M$21)))</f>
        <v>0.0384615384615385</v>
      </c>
      <c r="AS202" s="50" t="n">
        <f aca="false">AR202*CB202</f>
        <v>9.42307692307692</v>
      </c>
      <c r="AT202" s="51" t="n">
        <f aca="false">IF(LEFT(Cockpit!$I$5,1)="A",H202,IF(CH202=1,(CK202+CI202)/2,IF(LEFT(Cockpit!$I$5,1)="B",(CK202+AV202)/2,MAX((CK202+AV202)/2,H202))))</f>
        <v>39</v>
      </c>
      <c r="AU202" s="50" t="n">
        <f aca="false">AT202*G202</f>
        <v>2602.47</v>
      </c>
      <c r="AV202" s="50" t="n">
        <f aca="false">ROUNDUP(CK202+MAX(CL202,2*(J202/IF(CG202&gt;0,CG202,MAX(0.1,N(Cockpit!$I$6)))-CK202)),0)</f>
        <v>6</v>
      </c>
      <c r="AW202" s="51" t="n">
        <f aca="false">IF(AS202&gt;0,J202/AS202,-1)</f>
        <v>0.742857142857143</v>
      </c>
      <c r="AX202" s="51" t="n">
        <f aca="false">IF(AND(OR(CF202="L1",CF202="L23",CF202="LIFT"),AS202&gt;0),SUMIFS($AS$7:$AS$1843,$CF$7:$CF$1843,CF202,$AW$7:$AW$1843,"&gt;"&amp;AW202)+SUMIFS($AS$7:$AS$1843,$CF$7:$CF$1843,CF202,$AW$7:$AW$1843,AW202,$BW$7:$BW$1843,"&lt;="&amp;BW202),"")</f>
        <v>10639.1419413919</v>
      </c>
      <c r="AY202" s="58" t="n">
        <f aca="false">IF(AX202="",0,MAX(0,MIN(1,(IF(CF202="L1",Parameter!$H$5,IF(CF202="L23",Parameter!$H$6+Parameter!$H$7,Parameter!$H$5+Parameter!$H$6+Parameter!$H$7))-(AX202-AS202))/AS202)))</f>
        <v>1</v>
      </c>
      <c r="AZ202" s="50" t="n">
        <f aca="false">IF(LEFT(Cockpit!$O$5,1)="A",H202,IF(Parameter!$E$30="MAX-Bestand",IF(CH202=1,CI202,IF(LEFT(Cockpit!$O$5,1)="B",BF202,MAX(BF202,H202))),ROUNDUP(BD202,0)))</f>
        <v>4</v>
      </c>
      <c r="BA202" s="50" t="n">
        <f aca="false">IF(BZ202=1,0,ROUNDUP(AZ202/BY202,0))</f>
        <v>1</v>
      </c>
      <c r="BB202" s="52" t="n">
        <f aca="false">IF(CQ202&gt;0,CQ202*MAX(1,AZ202/X202),IF(BZ202=1,IF(AZ202&lt;=0,0,CD202*MAX(1,IF(H202&gt;0,AZ202/H202,1))),IF(R202&gt;0,BA202/R202,0))/MAX(0.1,N(Parameter!$M$21)))</f>
        <v>0.0384615384615385</v>
      </c>
      <c r="BC202" s="50" t="n">
        <f aca="false">BB202*CB202</f>
        <v>9.42307692307692</v>
      </c>
      <c r="BD202" s="51" t="n">
        <f aca="false">IF(LEFT(Cockpit!$O$5,1)="A",H202,IF(CH202=1,(CK202+CI202)/2,IF(LEFT(Cockpit!$O$5,1)="B",(CK202+BF202)/2,MAX((CK202+BF202)/2,H202))))</f>
        <v>3.5</v>
      </c>
      <c r="BE202" s="50" t="n">
        <f aca="false">BD202*G202</f>
        <v>233.555</v>
      </c>
      <c r="BF202" s="50" t="n">
        <f aca="false">ROUNDUP(CK202+MAX(CL202,2*(J202/IF(CG202&gt;0,CG202,MAX(0.1,N(Cockpit!$O$6)))-CK202)),0)</f>
        <v>6</v>
      </c>
      <c r="BG202" s="51" t="n">
        <f aca="false">IF(BC202&gt;0,J202/BC202,-1)</f>
        <v>0.742857142857143</v>
      </c>
      <c r="BH202" s="51" t="n">
        <f aca="false">IF(AND(OR(CF202="L1",CF202="L23",CF202="LIFT"),BC202&gt;0),SUMIFS($BC$7:$BC$1843,$CF$7:$CF$1843,CF202,$BG$7:$BG$1843,"&gt;"&amp;BG202)+SUMIFS($BC$7:$BC$1843,$CF$7:$CF$1843,CF202,$BG$7:$BG$1843,BG202,$BW$7:$BW$1843,"&lt;="&amp;BW202),"")</f>
        <v>9102.5260989011</v>
      </c>
      <c r="BI202" s="58" t="n">
        <f aca="false">IF(BH202="",0,MAX(0,MIN(1,(IF(CF202="L1",Parameter!$H$5,IF(CF202="L23",Parameter!$H$6+Parameter!$H$7,Parameter!$H$5+Parameter!$H$6+Parameter!$H$7))-(BH202-BC202))/BC202)))</f>
        <v>1</v>
      </c>
      <c r="BJ202" s="48" t="str">
        <f aca="false">IF(AI202&lt;=0,"",IF(CF202="Aussen","Aussenlager",IF(CF202="-","Nicht im Lift",IF(AO202&gt;=1,"Lift",IF(AO202&lt;=0,"Aussenlager","teilweise")))))</f>
        <v>Lift</v>
      </c>
      <c r="BK202" s="48" t="str">
        <f aca="false">IF(AS202&lt;=0,"",IF(CF202="Aussen","Aussenlager",IF(CF202="-","Nicht im Lift",IF(AY202&gt;=1,"Lift",IF(AY202&lt;=0,"Aussenlager","teilweise")))))</f>
        <v>Lift</v>
      </c>
      <c r="BL202" s="48" t="str">
        <f aca="false">IF(BC202&lt;=0,"",IF(CF202="Aussen","Aussenlager",IF(CF202="-","Nicht im Lift",IF(BI202&gt;=1,"Lift",IF(BI202&lt;=0,"Aussenlager","teilweise")))))</f>
        <v>Lift</v>
      </c>
      <c r="BM202" s="48" t="str">
        <f aca="false">IF(A202="","",IF(BV202=1,"Neu; ","")&amp;IF(AND(BV202=0,BQ202&lt;0),"negativer Bestand (Export "&amp;BQ202&amp;"); ","")&amp;IF(J202&lt;=0,"Kein Verbrauch; ","")&amp;IF(CQ202&gt;0,"Lift "&amp;W202&amp;" lt. Liftbericht (Fach "&amp;X202&amp;" Stk); ",IF(CA202=1,"Gebinde geschätzt ("&amp;T202&amp;"); ",IF(BZ202=1,"Lose – Tablare geschätzt; ","")))&amp;IF(H202&gt;AV202,"Überbestand "&amp;ROUND(H202-AV202,0)&amp;" Stk / CHF "&amp;ROUND((H202-AV202)*G202,0)&amp;"; ","")&amp;IF(AND(CH202=1,CI202&lt;CJ202),"MAX &lt; MB+LG; ","")&amp;IF(AND(CP202&gt;0,CO202*10&gt;CP202),"zu hoch für Tablar; ","")&amp;IF(AND(BV202=0,OR(CH202=1,AA202&lt;&gt;"",U202&lt;&gt;"",V202&lt;&gt;"",AB202&lt;&gt;"")),"manuell übersteuert; ","")&amp;IF(AND(BZ202=0,R202=0),"Gebinde unbekannt / Stellmass fehlt; ","")&amp;IF(AND(BZ202=0,N(V202)&lt;=0,N(Q202)&lt;=0),"Menge pro Gebinde fehlt (Ist = 1 Gebinde); ","")&amp;BU202)</f>
        <v>Überbestand 33 Stk / CHF 2202; </v>
      </c>
      <c r="BN202" s="48"/>
      <c r="BO202" s="48"/>
      <c r="BP202" s="55"/>
      <c r="BQ202" s="50" t="n">
        <v>12</v>
      </c>
      <c r="BR202" s="50" t="n">
        <v>27</v>
      </c>
      <c r="BS202" s="49" t="n">
        <v>800.76</v>
      </c>
      <c r="BT202" s="50" t="n">
        <v>7</v>
      </c>
      <c r="BU202" s="48"/>
      <c r="BV202" s="53" t="n">
        <v>0</v>
      </c>
      <c r="BW202" s="53" t="n">
        <v>202</v>
      </c>
      <c r="BX202" s="48" t="str">
        <f aca="false">IF(U202&lt;&gt;"",UPPER(TRIM(U202)),IF(CA202=1,UPPER(VLOOKUP(T202,Parameter!$I$27:$K$29,2,0)),IF(P202="","LOSE",P202)))</f>
        <v>S52</v>
      </c>
      <c r="BY202" s="50" t="n">
        <f aca="false">IF(BX202="LOSE",1,IF(N(V202)&gt;0,V202,IF(CA202=1,MAX(1,N(VLOOKUP(T202,Parameter!$I$27:$K$29,3,0)),H202,N(N202)),IF(N(Q202)&gt;0,Q202,MAX(1,H202)))))</f>
        <v>45</v>
      </c>
      <c r="BZ202" s="53" t="n">
        <f aca="false">IF(BX202="LOSE",1,0)</f>
        <v>0</v>
      </c>
      <c r="CA202" s="53" t="n">
        <f aca="false">IF(AND(U202="",OR(P202="",P202="LOSE"),T202&lt;&gt;"",N(S202)&lt;=0,ISNUMBER(MATCH(T202,Parameter!$I$27:$I$29,0))),1,0)</f>
        <v>0</v>
      </c>
      <c r="CB202" s="53" t="n">
        <f aca="false">IF(CQ202&gt;0,INDEX(Parameter!$H$5:$H$7,W202)/INDEX(Parameter!$E$5:$E$7,W202),IF(AND(BZ202=0,N(IFERROR(VLOOKUP(BX202,'Gebinde-Kategorie'!$A$5:$N$45,14,0),0))&gt;0),VLOOKUP(BX202,'Gebinde-Kategorie'!$A$5:$N$45,14,0)*10+Parameter!$M$23,Parameter!$M$24))</f>
        <v>245</v>
      </c>
      <c r="CC202" s="48" t="str">
        <f aca="false">IF(AND(Parameter!$B$19="Ja",E202&lt;&gt;"",ISNUMBER(MATCH(E202,Parameter!$I$35:$I$52,0))),VLOOKUP(E202,Parameter!$I$35:$J$52,2,0),IFERROR(VLOOKUP(D202,Parameter!$A$35:$C$64,2,0),"Nein"))</f>
        <v>2+3</v>
      </c>
      <c r="CD202" s="52" t="n">
        <f aca="false">IF(BZ202=0,0,IF(N(S202)&gt;0,S202,IFERROR(VLOOKUP(D202,Parameter!$A$35:$C$64,3,0)+0,0)))</f>
        <v>0</v>
      </c>
      <c r="CE202" s="48" t="n">
        <f aca="false">IF(AA202&lt;&gt;"",AA202,Z202)</f>
        <v>3</v>
      </c>
      <c r="CF202" s="48" t="str">
        <f aca="false">IF(OR(CE202=1,CE202=2,CE202=3),IF(Parameter!$E$27="Ja","LIFT",IF(CE202=1,"L1","L23")),IF(CE202="Aussen","Aussen","-"))</f>
        <v>LIFT</v>
      </c>
      <c r="CG202" s="59" t="n">
        <f aca="false">IF(N(AB202)&gt;0,AB202,0)</f>
        <v>0</v>
      </c>
      <c r="CH202" s="53" t="n">
        <f aca="false">IF(ISNUMBER(AE202),1,0)</f>
        <v>0</v>
      </c>
      <c r="CI202" s="50" t="n">
        <f aca="false">N(AE202)</f>
        <v>0</v>
      </c>
      <c r="CJ202" s="50" t="n">
        <f aca="false">N(M202)+N(N202)</f>
        <v>6</v>
      </c>
      <c r="CK202" s="50" t="n">
        <f aca="false">N(M202)</f>
        <v>1</v>
      </c>
      <c r="CL202" s="50" t="n">
        <f aca="false">N(N202)</f>
        <v>5</v>
      </c>
      <c r="CM202" s="50" t="n">
        <f aca="false">ROUNDUP(H202/BY202,0)</f>
        <v>1</v>
      </c>
      <c r="CN202" s="50" t="n">
        <f aca="false">ROUNDUP(CI202/BY202,0)</f>
        <v>0</v>
      </c>
      <c r="CO202" s="53" t="n">
        <f aca="false">IF(BZ202=1,0,IFERROR(VLOOKUP(BX202,'Gebinde-Kategorie'!$A$5:$N$45,5,0)+0,0))</f>
        <v>21</v>
      </c>
      <c r="CP202" s="53" t="n">
        <f aca="false">IFERROR(IF(OR(CE202=1,CE202=2,CE202=3),N(INDEX(Parameter!$I$5:$I$7,CE202)),0),0)</f>
        <v>0</v>
      </c>
      <c r="CQ202" s="52" t="n">
        <f aca="false">IF(AND(Parameter!$B$21="Ja",ISNUMBER(W202),N(X202)&gt;0),IFERROR(N(INDEX(Parameter!$L$5:$L$7,W202))*INDEX(Parameter!$E$5:$E$7,W202)*X202/SUMIFS($X$7:$X$1843,$W$7:$W$1843,W202),0),0)</f>
        <v>0</v>
      </c>
    </row>
    <row r="203" customFormat="false" ht="15" hidden="false" customHeight="false" outlineLevel="0" collapsed="false">
      <c r="A203" s="48" t="s">
        <v>615</v>
      </c>
      <c r="B203" s="48" t="s">
        <v>616</v>
      </c>
      <c r="C203" s="48" t="s">
        <v>173</v>
      </c>
      <c r="D203" s="48" t="s">
        <v>193</v>
      </c>
      <c r="E203" s="48"/>
      <c r="F203" s="48" t="s">
        <v>227</v>
      </c>
      <c r="G203" s="49" t="n">
        <v>44.47</v>
      </c>
      <c r="H203" s="50" t="n">
        <f aca="false">MAX(0,IF(AND(Parameter!$B$21="Ja",ISNUMBER(Y203)),Y203,IF(Parameter!$B$20="Jahresanfang 2025 + Export",BR203+BQ203,BQ203)))</f>
        <v>18</v>
      </c>
      <c r="I203" s="50" t="n">
        <f aca="false">H203*G203</f>
        <v>800.46</v>
      </c>
      <c r="J203" s="50" t="n">
        <f aca="false">BT203*Parameter!$B$18</f>
        <v>25</v>
      </c>
      <c r="K203" s="51" t="n">
        <v>2.5</v>
      </c>
      <c r="L203" s="52" t="n">
        <v>10</v>
      </c>
      <c r="M203" s="50" t="n">
        <v>1</v>
      </c>
      <c r="N203" s="50" t="n">
        <v>25</v>
      </c>
      <c r="O203" s="53" t="n">
        <v>28</v>
      </c>
      <c r="P203" s="48" t="s">
        <v>430</v>
      </c>
      <c r="Q203" s="50" t="n">
        <v>25</v>
      </c>
      <c r="R203" s="53" t="n">
        <f aca="false">IF(BZ203=1,0,IFERROR(VLOOKUP(BX203,'Gebinde-Kategorie'!$A$5:$N$45,13,0)+0,0))</f>
        <v>104</v>
      </c>
      <c r="S203" s="54"/>
      <c r="T203" s="55"/>
      <c r="U203" s="55"/>
      <c r="V203" s="55"/>
      <c r="W203" s="48"/>
      <c r="X203" s="50"/>
      <c r="Y203" s="50"/>
      <c r="Z203" s="48" t="n">
        <f aca="false">IF(A203="","",IF(AND(Parameter!$B$21="Ja",ISNUMBER(W203)),W203,IF(CC203="2+3",IF(ISNUMBER(SEARCH("grosser Artikel",BU203)),2,IFERROR(VLOOKUP(BX203,Parameter!$F$35:$G$64,2,0),2)),IF(OR(CC203="Nein",CC203=""),"-",CC203))))</f>
        <v>3</v>
      </c>
      <c r="AA203" s="55"/>
      <c r="AB203" s="56"/>
      <c r="AC203" s="50" t="n">
        <f aca="false">AV203</f>
        <v>26</v>
      </c>
      <c r="AD203" s="50" t="n">
        <f aca="false">MAX(AV203,H203)</f>
        <v>26</v>
      </c>
      <c r="AE203" s="57"/>
      <c r="AF203" s="50" t="n">
        <f aca="false">IF(LEFT(Cockpit!$C$5,1)="A",H203,IF(Parameter!$E$30="MAX-Bestand",IF(CH203=1,CI203,IF(LEFT(Cockpit!$C$5,1)="B",AL203,MAX(AL203,H203))),ROUNDUP(AJ203,0)))</f>
        <v>18</v>
      </c>
      <c r="AG203" s="50" t="n">
        <f aca="false">IF(BZ203=1,0,ROUNDUP(AF203/BY203,0))</f>
        <v>1</v>
      </c>
      <c r="AH203" s="52" t="n">
        <f aca="false">IF(CQ203&gt;0,CQ203*MAX(1,AF203/X203),IF(BZ203=1,IF(AF203&lt;=0,0,CD203*MAX(1,IF(H203&gt;0,AF203/H203,1))),IF(R203&gt;0,AG203/R203,0))/MAX(0.1,N(Parameter!$M$21)))</f>
        <v>0.00961538461538462</v>
      </c>
      <c r="AI203" s="50" t="n">
        <f aca="false">AH203*CB203</f>
        <v>1.49038461538462</v>
      </c>
      <c r="AJ203" s="51" t="n">
        <f aca="false">IF(LEFT(Cockpit!$C$5,1)="A",H203,IF(CH203=1,(CK203+CI203)/2,IF(LEFT(Cockpit!$C$5,1)="B",(CK203+AL203)/2,MAX((CK203+AL203)/2,H203))))</f>
        <v>18</v>
      </c>
      <c r="AK203" s="50" t="n">
        <f aca="false">AJ203*G203</f>
        <v>800.46</v>
      </c>
      <c r="AL203" s="50" t="n">
        <f aca="false">ROUNDUP(CK203+MAX(CL203,2*(J203/IF(CG203&gt;0,CG203,MAX(0.1,N(Cockpit!$C$6)))-CK203)),0)</f>
        <v>26</v>
      </c>
      <c r="AM203" s="51" t="n">
        <f aca="false">IF(AI203&gt;0,J203/AI203,-1)</f>
        <v>16.7741935483871</v>
      </c>
      <c r="AN203" s="51" t="n">
        <f aca="false">IF(AND(OR(CF203="L1",CF203="L23",CF203="LIFT"),AI203&gt;0),SUMIFS($AI$7:$AI$1843,$CF$7:$CF$1843,CF203,$AM$7:$AM$1843,"&gt;"&amp;AM203)+SUMIFS($AI$7:$AI$1843,$CF$7:$CF$1843,CF203,$AM$7:$AM$1843,AM203,$BW$7:$BW$1843,"&lt;="&amp;BW203),"")</f>
        <v>2009.73351648352</v>
      </c>
      <c r="AO203" s="58" t="n">
        <f aca="false">IF(AN203="",0,MAX(0,MIN(1,(IF(CF203="L1",Parameter!$H$5,IF(CF203="L23",Parameter!$H$6+Parameter!$H$7,Parameter!$H$5+Parameter!$H$6+Parameter!$H$7))-(AN203-AI203))/AI203)))</f>
        <v>1</v>
      </c>
      <c r="AP203" s="50" t="n">
        <f aca="false">IF(LEFT(Cockpit!$I$5,1)="A",H203,IF(Parameter!$E$30="MAX-Bestand",IF(CH203=1,CI203,IF(LEFT(Cockpit!$I$5,1)="B",AV203,MAX(AV203,H203))),ROUNDUP(AT203,0)))</f>
        <v>18</v>
      </c>
      <c r="AQ203" s="50" t="n">
        <f aca="false">IF(BZ203=1,0,ROUNDUP(AP203/BY203,0))</f>
        <v>1</v>
      </c>
      <c r="AR203" s="52" t="n">
        <f aca="false">IF(CQ203&gt;0,CQ203*MAX(1,AP203/X203),IF(BZ203=1,IF(AP203&lt;=0,0,CD203*MAX(1,IF(H203&gt;0,AP203/H203,1))),IF(R203&gt;0,AQ203/R203,0))/MAX(0.1,N(Parameter!$M$21)))</f>
        <v>0.00961538461538462</v>
      </c>
      <c r="AS203" s="50" t="n">
        <f aca="false">AR203*CB203</f>
        <v>1.49038461538462</v>
      </c>
      <c r="AT203" s="51" t="n">
        <f aca="false">IF(LEFT(Cockpit!$I$5,1)="A",H203,IF(CH203=1,(CK203+CI203)/2,IF(LEFT(Cockpit!$I$5,1)="B",(CK203+AV203)/2,MAX((CK203+AV203)/2,H203))))</f>
        <v>18</v>
      </c>
      <c r="AU203" s="50" t="n">
        <f aca="false">AT203*G203</f>
        <v>800.46</v>
      </c>
      <c r="AV203" s="50" t="n">
        <f aca="false">ROUNDUP(CK203+MAX(CL203,2*(J203/IF(CG203&gt;0,CG203,MAX(0.1,N(Cockpit!$I$6)))-CK203)),0)</f>
        <v>26</v>
      </c>
      <c r="AW203" s="51" t="n">
        <f aca="false">IF(AS203&gt;0,J203/AS203,-1)</f>
        <v>16.7741935483871</v>
      </c>
      <c r="AX203" s="51" t="n">
        <f aca="false">IF(AND(OR(CF203="L1",CF203="L23",CF203="LIFT"),AS203&gt;0),SUMIFS($AS$7:$AS$1843,$CF$7:$CF$1843,CF203,$AW$7:$AW$1843,"&gt;"&amp;AW203)+SUMIFS($AS$7:$AS$1843,$CF$7:$CF$1843,CF203,$AW$7:$AW$1843,AW203,$BW$7:$BW$1843,"&lt;="&amp;BW203),"")</f>
        <v>2646.8543956044</v>
      </c>
      <c r="AY203" s="58" t="n">
        <f aca="false">IF(AX203="",0,MAX(0,MIN(1,(IF(CF203="L1",Parameter!$H$5,IF(CF203="L23",Parameter!$H$6+Parameter!$H$7,Parameter!$H$5+Parameter!$H$6+Parameter!$H$7))-(AX203-AS203))/AS203)))</f>
        <v>1</v>
      </c>
      <c r="AZ203" s="50" t="n">
        <f aca="false">IF(LEFT(Cockpit!$O$5,1)="A",H203,IF(Parameter!$E$30="MAX-Bestand",IF(CH203=1,CI203,IF(LEFT(Cockpit!$O$5,1)="B",BF203,MAX(BF203,H203))),ROUNDUP(BD203,0)))</f>
        <v>14</v>
      </c>
      <c r="BA203" s="50" t="n">
        <f aca="false">IF(BZ203=1,0,ROUNDUP(AZ203/BY203,0))</f>
        <v>1</v>
      </c>
      <c r="BB203" s="52" t="n">
        <f aca="false">IF(CQ203&gt;0,CQ203*MAX(1,AZ203/X203),IF(BZ203=1,IF(AZ203&lt;=0,0,CD203*MAX(1,IF(H203&gt;0,AZ203/H203,1))),IF(R203&gt;0,BA203/R203,0))/MAX(0.1,N(Parameter!$M$21)))</f>
        <v>0.00961538461538462</v>
      </c>
      <c r="BC203" s="50" t="n">
        <f aca="false">BB203*CB203</f>
        <v>1.49038461538462</v>
      </c>
      <c r="BD203" s="51" t="n">
        <f aca="false">IF(LEFT(Cockpit!$O$5,1)="A",H203,IF(CH203=1,(CK203+CI203)/2,IF(LEFT(Cockpit!$O$5,1)="B",(CK203+BF203)/2,MAX((CK203+BF203)/2,H203))))</f>
        <v>13.5</v>
      </c>
      <c r="BE203" s="50" t="n">
        <f aca="false">BD203*G203</f>
        <v>600.345</v>
      </c>
      <c r="BF203" s="50" t="n">
        <f aca="false">ROUNDUP(CK203+MAX(CL203,2*(J203/IF(CG203&gt;0,CG203,MAX(0.1,N(Cockpit!$O$6)))-CK203)),0)</f>
        <v>26</v>
      </c>
      <c r="BG203" s="51" t="n">
        <f aca="false">IF(BC203&gt;0,J203/BC203,-1)</f>
        <v>16.7741935483871</v>
      </c>
      <c r="BH203" s="51" t="n">
        <f aca="false">IF(AND(OR(CF203="L1",CF203="L23",CF203="LIFT"),BC203&gt;0),SUMIFS($BC$7:$BC$1843,$CF$7:$CF$1843,CF203,$BG$7:$BG$1843,"&gt;"&amp;BG203)+SUMIFS($BC$7:$BC$1843,$CF$7:$CF$1843,CF203,$BG$7:$BG$1843,BG203,$BW$7:$BW$1843,"&lt;="&amp;BW203),"")</f>
        <v>2332.87225274725</v>
      </c>
      <c r="BI203" s="58" t="n">
        <f aca="false">IF(BH203="",0,MAX(0,MIN(1,(IF(CF203="L1",Parameter!$H$5,IF(CF203="L23",Parameter!$H$6+Parameter!$H$7,Parameter!$H$5+Parameter!$H$6+Parameter!$H$7))-(BH203-BC203))/BC203)))</f>
        <v>1</v>
      </c>
      <c r="BJ203" s="48" t="str">
        <f aca="false">IF(AI203&lt;=0,"",IF(CF203="Aussen","Aussenlager",IF(CF203="-","Nicht im Lift",IF(AO203&gt;=1,"Lift",IF(AO203&lt;=0,"Aussenlager","teilweise")))))</f>
        <v>Lift</v>
      </c>
      <c r="BK203" s="48" t="str">
        <f aca="false">IF(AS203&lt;=0,"",IF(CF203="Aussen","Aussenlager",IF(CF203="-","Nicht im Lift",IF(AY203&gt;=1,"Lift",IF(AY203&lt;=0,"Aussenlager","teilweise")))))</f>
        <v>Lift</v>
      </c>
      <c r="BL203" s="48" t="str">
        <f aca="false">IF(BC203&lt;=0,"",IF(CF203="Aussen","Aussenlager",IF(CF203="-","Nicht im Lift",IF(BI203&gt;=1,"Lift",IF(BI203&lt;=0,"Aussenlager","teilweise")))))</f>
        <v>Lift</v>
      </c>
      <c r="BM203" s="48" t="str">
        <f aca="false">IF(A203="","",IF(BV203=1,"Neu; ","")&amp;IF(AND(BV203=0,BQ203&lt;0),"negativer Bestand (Export "&amp;BQ203&amp;"); ","")&amp;IF(J203&lt;=0,"Kein Verbrauch; ","")&amp;IF(CQ203&gt;0,"Lift "&amp;W203&amp;" lt. Liftbericht (Fach "&amp;X203&amp;" Stk); ",IF(CA203=1,"Gebinde geschätzt ("&amp;T203&amp;"); ",IF(BZ203=1,"Lose – Tablare geschätzt; ","")))&amp;IF(H203&gt;AV203,"Überbestand "&amp;ROUND(H203-AV203,0)&amp;" Stk / CHF "&amp;ROUND((H203-AV203)*G203,0)&amp;"; ","")&amp;IF(AND(CH203=1,CI203&lt;CJ203),"MAX &lt; MB+LG; ","")&amp;IF(AND(CP203&gt;0,CO203*10&gt;CP203),"zu hoch für Tablar; ","")&amp;IF(AND(BV203=0,OR(CH203=1,AA203&lt;&gt;"",U203&lt;&gt;"",V203&lt;&gt;"",AB203&lt;&gt;"")),"manuell übersteuert; ","")&amp;IF(AND(BZ203=0,R203=0),"Gebinde unbekannt / Stellmass fehlt; ","")&amp;IF(AND(BZ203=0,N(V203)&lt;=0,N(Q203)&lt;=0),"Menge pro Gebinde fehlt (Ist = 1 Gebinde); ","")&amp;BU203)</f>
        <v/>
      </c>
      <c r="BN203" s="48"/>
      <c r="BO203" s="48"/>
      <c r="BP203" s="55"/>
      <c r="BQ203" s="50" t="n">
        <v>18</v>
      </c>
      <c r="BR203" s="50" t="n">
        <v>0</v>
      </c>
      <c r="BS203" s="49" t="n">
        <v>800.46</v>
      </c>
      <c r="BT203" s="50" t="n">
        <v>25</v>
      </c>
      <c r="BU203" s="48"/>
      <c r="BV203" s="53" t="n">
        <v>0</v>
      </c>
      <c r="BW203" s="53" t="n">
        <v>203</v>
      </c>
      <c r="BX203" s="48" t="str">
        <f aca="false">IF(U203&lt;&gt;"",UPPER(TRIM(U203)),IF(CA203=1,UPPER(VLOOKUP(T203,Parameter!$I$27:$K$29,2,0)),IF(P203="","LOSE",P203)))</f>
        <v>S32</v>
      </c>
      <c r="BY203" s="50" t="n">
        <f aca="false">IF(BX203="LOSE",1,IF(N(V203)&gt;0,V203,IF(CA203=1,MAX(1,N(VLOOKUP(T203,Parameter!$I$27:$K$29,3,0)),H203,N(N203)),IF(N(Q203)&gt;0,Q203,MAX(1,H203)))))</f>
        <v>25</v>
      </c>
      <c r="BZ203" s="53" t="n">
        <f aca="false">IF(BX203="LOSE",1,0)</f>
        <v>0</v>
      </c>
      <c r="CA203" s="53" t="n">
        <f aca="false">IF(AND(U203="",OR(P203="",P203="LOSE"),T203&lt;&gt;"",N(S203)&lt;=0,ISNUMBER(MATCH(T203,Parameter!$I$27:$I$29,0))),1,0)</f>
        <v>0</v>
      </c>
      <c r="CB203" s="53" t="n">
        <f aca="false">IF(CQ203&gt;0,INDEX(Parameter!$H$5:$H$7,W203)/INDEX(Parameter!$E$5:$E$7,W203),IF(AND(BZ203=0,N(IFERROR(VLOOKUP(BX203,'Gebinde-Kategorie'!$A$5:$N$45,14,0),0))&gt;0),VLOOKUP(BX203,'Gebinde-Kategorie'!$A$5:$N$45,14,0)*10+Parameter!$M$23,Parameter!$M$24))</f>
        <v>155</v>
      </c>
      <c r="CC203" s="48" t="str">
        <f aca="false">IF(AND(Parameter!$B$19="Ja",E203&lt;&gt;"",ISNUMBER(MATCH(E203,Parameter!$I$35:$I$52,0))),VLOOKUP(E203,Parameter!$I$35:$J$52,2,0),IFERROR(VLOOKUP(D203,Parameter!$A$35:$C$64,2,0),"Nein"))</f>
        <v>2+3</v>
      </c>
      <c r="CD203" s="52" t="n">
        <f aca="false">IF(BZ203=0,0,IF(N(S203)&gt;0,S203,IFERROR(VLOOKUP(D203,Parameter!$A$35:$C$64,3,0)+0,0)))</f>
        <v>0</v>
      </c>
      <c r="CE203" s="48" t="n">
        <f aca="false">IF(AA203&lt;&gt;"",AA203,Z203)</f>
        <v>3</v>
      </c>
      <c r="CF203" s="48" t="str">
        <f aca="false">IF(OR(CE203=1,CE203=2,CE203=3),IF(Parameter!$E$27="Ja","LIFT",IF(CE203=1,"L1","L23")),IF(CE203="Aussen","Aussen","-"))</f>
        <v>LIFT</v>
      </c>
      <c r="CG203" s="59" t="n">
        <f aca="false">IF(N(AB203)&gt;0,AB203,0)</f>
        <v>0</v>
      </c>
      <c r="CH203" s="53" t="n">
        <f aca="false">IF(ISNUMBER(AE203),1,0)</f>
        <v>0</v>
      </c>
      <c r="CI203" s="50" t="n">
        <f aca="false">N(AE203)</f>
        <v>0</v>
      </c>
      <c r="CJ203" s="50" t="n">
        <f aca="false">N(M203)+N(N203)</f>
        <v>26</v>
      </c>
      <c r="CK203" s="50" t="n">
        <f aca="false">N(M203)</f>
        <v>1</v>
      </c>
      <c r="CL203" s="50" t="n">
        <f aca="false">N(N203)</f>
        <v>25</v>
      </c>
      <c r="CM203" s="50" t="n">
        <f aca="false">ROUNDUP(H203/BY203,0)</f>
        <v>1</v>
      </c>
      <c r="CN203" s="50" t="n">
        <f aca="false">ROUNDUP(CI203/BY203,0)</f>
        <v>0</v>
      </c>
      <c r="CO203" s="53" t="n">
        <f aca="false">IF(BZ203=1,0,IFERROR(VLOOKUP(BX203,'Gebinde-Kategorie'!$A$5:$N$45,5,0)+0,0))</f>
        <v>8</v>
      </c>
      <c r="CP203" s="53" t="n">
        <f aca="false">IFERROR(IF(OR(CE203=1,CE203=2,CE203=3),N(INDEX(Parameter!$I$5:$I$7,CE203)),0),0)</f>
        <v>0</v>
      </c>
      <c r="CQ203" s="52" t="n">
        <f aca="false">IF(AND(Parameter!$B$21="Ja",ISNUMBER(W203),N(X203)&gt;0),IFERROR(N(INDEX(Parameter!$L$5:$L$7,W203))*INDEX(Parameter!$E$5:$E$7,W203)*X203/SUMIFS($X$7:$X$1843,$W$7:$W$1843,W203),0),0)</f>
        <v>0</v>
      </c>
    </row>
    <row r="204" customFormat="false" ht="15" hidden="false" customHeight="false" outlineLevel="0" collapsed="false">
      <c r="A204" s="48" t="s">
        <v>617</v>
      </c>
      <c r="B204" s="48" t="s">
        <v>618</v>
      </c>
      <c r="C204" s="48" t="s">
        <v>173</v>
      </c>
      <c r="D204" s="48" t="s">
        <v>193</v>
      </c>
      <c r="E204" s="48"/>
      <c r="F204" s="48" t="s">
        <v>227</v>
      </c>
      <c r="G204" s="49" t="n">
        <v>31.77</v>
      </c>
      <c r="H204" s="50" t="n">
        <f aca="false">MAX(0,IF(AND(Parameter!$B$21="Ja",ISNUMBER(Y204)),Y204,IF(Parameter!$B$20="Jahresanfang 2025 + Export",BR204+BQ204,BQ204)))</f>
        <v>25</v>
      </c>
      <c r="I204" s="50" t="n">
        <f aca="false">H204*G204</f>
        <v>794.25</v>
      </c>
      <c r="J204" s="50" t="n">
        <f aca="false">BT204*Parameter!$B$18</f>
        <v>0</v>
      </c>
      <c r="K204" s="51" t="n">
        <v>0</v>
      </c>
      <c r="L204" s="52" t="n">
        <v>0</v>
      </c>
      <c r="M204" s="50" t="n">
        <v>0</v>
      </c>
      <c r="N204" s="50" t="n">
        <v>1</v>
      </c>
      <c r="O204" s="53" t="n">
        <v>9999</v>
      </c>
      <c r="P204" s="48" t="s">
        <v>177</v>
      </c>
      <c r="Q204" s="50"/>
      <c r="R204" s="53" t="n">
        <f aca="false">IF(BZ204=1,0,IFERROR(VLOOKUP(BX204,'Gebinde-Kategorie'!$A$5:$N$45,13,0)+0,0))</f>
        <v>26</v>
      </c>
      <c r="S204" s="54"/>
      <c r="T204" s="55" t="s">
        <v>284</v>
      </c>
      <c r="U204" s="55"/>
      <c r="V204" s="55"/>
      <c r="W204" s="48"/>
      <c r="X204" s="50"/>
      <c r="Y204" s="50"/>
      <c r="Z204" s="48" t="n">
        <f aca="false">IF(A204="","",IF(AND(Parameter!$B$21="Ja",ISNUMBER(W204)),W204,IF(CC204="2+3",IF(ISNUMBER(SEARCH("grosser Artikel",BU204)),2,IFERROR(VLOOKUP(BX204,Parameter!$F$35:$G$64,2,0),2)),IF(OR(CC204="Nein",CC204=""),"-",CC204))))</f>
        <v>3</v>
      </c>
      <c r="AA204" s="55"/>
      <c r="AB204" s="56"/>
      <c r="AC204" s="50" t="n">
        <f aca="false">AV204</f>
        <v>1</v>
      </c>
      <c r="AD204" s="50" t="n">
        <f aca="false">MAX(AV204,H204)</f>
        <v>25</v>
      </c>
      <c r="AE204" s="57"/>
      <c r="AF204" s="50" t="n">
        <f aca="false">IF(LEFT(Cockpit!$C$5,1)="A",H204,IF(Parameter!$E$30="MAX-Bestand",IF(CH204=1,CI204,IF(LEFT(Cockpit!$C$5,1)="B",AL204,MAX(AL204,H204))),ROUNDUP(AJ204,0)))</f>
        <v>25</v>
      </c>
      <c r="AG204" s="50" t="n">
        <f aca="false">IF(BZ204=1,0,ROUNDUP(AF204/BY204,0))</f>
        <v>1</v>
      </c>
      <c r="AH204" s="52" t="n">
        <f aca="false">IF(CQ204&gt;0,CQ204*MAX(1,AF204/X204),IF(BZ204=1,IF(AF204&lt;=0,0,CD204*MAX(1,IF(H204&gt;0,AF204/H204,1))),IF(R204&gt;0,AG204/R204,0))/MAX(0.1,N(Parameter!$M$21)))</f>
        <v>0.0384615384615385</v>
      </c>
      <c r="AI204" s="50" t="n">
        <f aca="false">AH204*CB204</f>
        <v>5.96153846153846</v>
      </c>
      <c r="AJ204" s="51" t="n">
        <f aca="false">IF(LEFT(Cockpit!$C$5,1)="A",H204,IF(CH204=1,(CK204+CI204)/2,IF(LEFT(Cockpit!$C$5,1)="B",(CK204+AL204)/2,MAX((CK204+AL204)/2,H204))))</f>
        <v>25</v>
      </c>
      <c r="AK204" s="50" t="n">
        <f aca="false">AJ204*G204</f>
        <v>794.25</v>
      </c>
      <c r="AL204" s="50" t="n">
        <f aca="false">ROUNDUP(CK204+MAX(CL204,2*(J204/IF(CG204&gt;0,CG204,MAX(0.1,N(Cockpit!$C$6)))-CK204)),0)</f>
        <v>1</v>
      </c>
      <c r="AM204" s="51" t="n">
        <f aca="false">IF(AI204&gt;0,J204/AI204,-1)</f>
        <v>0</v>
      </c>
      <c r="AN204" s="51" t="n">
        <f aca="false">IF(AND(OR(CF204="L1",CF204="L23",CF204="LIFT"),AI204&gt;0),SUMIFS($AI$7:$AI$1843,$CF$7:$CF$1843,CF204,$AM$7:$AM$1843,"&gt;"&amp;AM204)+SUMIFS($AI$7:$AI$1843,$CF$7:$CF$1843,CF204,$AM$7:$AM$1843,AM204,$BW$7:$BW$1843,"&lt;="&amp;BW204),"")</f>
        <v>27530.3792890255</v>
      </c>
      <c r="AO204" s="58" t="n">
        <f aca="false">IF(AN204="",0,MAX(0,MIN(1,(IF(CF204="L1",Parameter!$H$5,IF(CF204="L23",Parameter!$H$6+Parameter!$H$7,Parameter!$H$5+Parameter!$H$6+Parameter!$H$7))-(AN204-AI204))/AI204)))</f>
        <v>1</v>
      </c>
      <c r="AP204" s="50" t="n">
        <f aca="false">IF(LEFT(Cockpit!$I$5,1)="A",H204,IF(Parameter!$E$30="MAX-Bestand",IF(CH204=1,CI204,IF(LEFT(Cockpit!$I$5,1)="B",AV204,MAX(AV204,H204))),ROUNDUP(AT204,0)))</f>
        <v>25</v>
      </c>
      <c r="AQ204" s="50" t="n">
        <f aca="false">IF(BZ204=1,0,ROUNDUP(AP204/BY204,0))</f>
        <v>1</v>
      </c>
      <c r="AR204" s="52" t="n">
        <f aca="false">IF(CQ204&gt;0,CQ204*MAX(1,AP204/X204),IF(BZ204=1,IF(AP204&lt;=0,0,CD204*MAX(1,IF(H204&gt;0,AP204/H204,1))),IF(R204&gt;0,AQ204/R204,0))/MAX(0.1,N(Parameter!$M$21)))</f>
        <v>0.0384615384615385</v>
      </c>
      <c r="AS204" s="50" t="n">
        <f aca="false">AR204*CB204</f>
        <v>5.96153846153846</v>
      </c>
      <c r="AT204" s="51" t="n">
        <f aca="false">IF(LEFT(Cockpit!$I$5,1)="A",H204,IF(CH204=1,(CK204+CI204)/2,IF(LEFT(Cockpit!$I$5,1)="B",(CK204+AV204)/2,MAX((CK204+AV204)/2,H204))))</f>
        <v>25</v>
      </c>
      <c r="AU204" s="50" t="n">
        <f aca="false">AT204*G204</f>
        <v>794.25</v>
      </c>
      <c r="AV204" s="50" t="n">
        <f aca="false">ROUNDUP(CK204+MAX(CL204,2*(J204/IF(CG204&gt;0,CG204,MAX(0.1,N(Cockpit!$I$6)))-CK204)),0)</f>
        <v>1</v>
      </c>
      <c r="AW204" s="51" t="n">
        <f aca="false">IF(AS204&gt;0,J204/AS204,-1)</f>
        <v>0</v>
      </c>
      <c r="AX204" s="51" t="n">
        <f aca="false">IF(AND(OR(CF204="L1",CF204="L23",CF204="LIFT"),AS204&gt;0),SUMIFS($AS$7:$AS$1843,$CF$7:$CF$1843,CF204,$AW$7:$AW$1843,"&gt;"&amp;AW204)+SUMIFS($AS$7:$AS$1843,$CF$7:$CF$1843,CF204,$AW$7:$AW$1843,AW204,$BW$7:$BW$1843,"&lt;="&amp;BW204),"")</f>
        <v>32883.5279304029</v>
      </c>
      <c r="AY204" s="58" t="n">
        <f aca="false">IF(AX204="",0,MAX(0,MIN(1,(IF(CF204="L1",Parameter!$H$5,IF(CF204="L23",Parameter!$H$6+Parameter!$H$7,Parameter!$H$5+Parameter!$H$6+Parameter!$H$7))-(AX204-AS204))/AS204)))</f>
        <v>1</v>
      </c>
      <c r="AZ204" s="50" t="n">
        <f aca="false">IF(LEFT(Cockpit!$O$5,1)="A",H204,IF(Parameter!$E$30="MAX-Bestand",IF(CH204=1,CI204,IF(LEFT(Cockpit!$O$5,1)="B",BF204,MAX(BF204,H204))),ROUNDUP(BD204,0)))</f>
        <v>1</v>
      </c>
      <c r="BA204" s="50" t="n">
        <f aca="false">IF(BZ204=1,0,ROUNDUP(AZ204/BY204,0))</f>
        <v>1</v>
      </c>
      <c r="BB204" s="52" t="n">
        <f aca="false">IF(CQ204&gt;0,CQ204*MAX(1,AZ204/X204),IF(BZ204=1,IF(AZ204&lt;=0,0,CD204*MAX(1,IF(H204&gt;0,AZ204/H204,1))),IF(R204&gt;0,BA204/R204,0))/MAX(0.1,N(Parameter!$M$21)))</f>
        <v>0.0384615384615385</v>
      </c>
      <c r="BC204" s="50" t="n">
        <f aca="false">BB204*CB204</f>
        <v>5.96153846153846</v>
      </c>
      <c r="BD204" s="51" t="n">
        <f aca="false">IF(LEFT(Cockpit!$O$5,1)="A",H204,IF(CH204=1,(CK204+CI204)/2,IF(LEFT(Cockpit!$O$5,1)="B",(CK204+BF204)/2,MAX((CK204+BF204)/2,H204))))</f>
        <v>0.5</v>
      </c>
      <c r="BE204" s="50" t="n">
        <f aca="false">BD204*G204</f>
        <v>15.885</v>
      </c>
      <c r="BF204" s="50" t="n">
        <f aca="false">ROUNDUP(CK204+MAX(CL204,2*(J204/IF(CG204&gt;0,CG204,MAX(0.1,N(Cockpit!$O$6)))-CK204)),0)</f>
        <v>1</v>
      </c>
      <c r="BG204" s="51" t="n">
        <f aca="false">IF(BC204&gt;0,J204/BC204,-1)</f>
        <v>0</v>
      </c>
      <c r="BH204" s="51" t="n">
        <f aca="false">IF(AND(OR(CF204="L1",CF204="L23",CF204="LIFT"),BC204&gt;0),SUMIFS($BC$7:$BC$1843,$CF$7:$CF$1843,CF204,$BG$7:$BG$1843,"&gt;"&amp;BG204)+SUMIFS($BC$7:$BC$1843,$CF$7:$CF$1843,CF204,$BG$7:$BG$1843,BG204,$BW$7:$BW$1843,"&lt;="&amp;BW204),"")</f>
        <v>27047.7700301111</v>
      </c>
      <c r="BI204" s="58" t="n">
        <f aca="false">IF(BH204="",0,MAX(0,MIN(1,(IF(CF204="L1",Parameter!$H$5,IF(CF204="L23",Parameter!$H$6+Parameter!$H$7,Parameter!$H$5+Parameter!$H$6+Parameter!$H$7))-(BH204-BC204))/BC204)))</f>
        <v>1</v>
      </c>
      <c r="BJ204" s="48" t="str">
        <f aca="false">IF(AI204&lt;=0,"",IF(CF204="Aussen","Aussenlager",IF(CF204="-","Nicht im Lift",IF(AO204&gt;=1,"Lift",IF(AO204&lt;=0,"Aussenlager","teilweise")))))</f>
        <v>Lift</v>
      </c>
      <c r="BK204" s="48" t="str">
        <f aca="false">IF(AS204&lt;=0,"",IF(CF204="Aussen","Aussenlager",IF(CF204="-","Nicht im Lift",IF(AY204&gt;=1,"Lift",IF(AY204&lt;=0,"Aussenlager","teilweise")))))</f>
        <v>Lift</v>
      </c>
      <c r="BL204" s="48" t="str">
        <f aca="false">IF(BC204&lt;=0,"",IF(CF204="Aussen","Aussenlager",IF(CF204="-","Nicht im Lift",IF(BI204&gt;=1,"Lift",IF(BI204&lt;=0,"Aussenlager","teilweise")))))</f>
        <v>Lift</v>
      </c>
      <c r="BM204" s="48" t="str">
        <f aca="false">IF(A204="","",IF(BV204=1,"Neu; ","")&amp;IF(AND(BV204=0,BQ204&lt;0),"negativer Bestand (Export "&amp;BQ204&amp;"); ","")&amp;IF(J204&lt;=0,"Kein Verbrauch; ","")&amp;IF(CQ204&gt;0,"Lift "&amp;W204&amp;" lt. Liftbericht (Fach "&amp;X204&amp;" Stk); ",IF(CA204=1,"Gebinde geschätzt ("&amp;T204&amp;"); ",IF(BZ204=1,"Lose – Tablare geschätzt; ","")))&amp;IF(H204&gt;AV204,"Überbestand "&amp;ROUND(H204-AV204,0)&amp;" Stk / CHF "&amp;ROUND((H204-AV204)*G204,0)&amp;"; ","")&amp;IF(AND(CH204=1,CI204&lt;CJ204),"MAX &lt; MB+LG; ","")&amp;IF(AND(CP204&gt;0,CO204*10&gt;CP204),"zu hoch für Tablar; ","")&amp;IF(AND(BV204=0,OR(CH204=1,AA204&lt;&gt;"",U204&lt;&gt;"",V204&lt;&gt;"",AB204&lt;&gt;"")),"manuell übersteuert; ","")&amp;IF(AND(BZ204=0,R204=0),"Gebinde unbekannt / Stellmass fehlt; ","")&amp;IF(AND(BZ204=0,N(V204)&lt;=0,N(Q204)&lt;=0),"Menge pro Gebinde fehlt (Ist = 1 Gebinde); ","")&amp;BU204)</f>
        <v>Kein Verbrauch; Gebinde geschätzt (Klein); Überbestand 24 Stk / CHF 762; Menge pro Gebinde fehlt (Ist = 1 Gebinde); </v>
      </c>
      <c r="BN204" s="48"/>
      <c r="BO204" s="48"/>
      <c r="BP204" s="55"/>
      <c r="BQ204" s="50" t="n">
        <v>25</v>
      </c>
      <c r="BR204" s="50" t="n">
        <v>0</v>
      </c>
      <c r="BS204" s="49" t="n">
        <v>794.25</v>
      </c>
      <c r="BT204" s="50" t="n">
        <v>0</v>
      </c>
      <c r="BU204" s="48"/>
      <c r="BV204" s="53" t="n">
        <v>0</v>
      </c>
      <c r="BW204" s="53" t="n">
        <v>204</v>
      </c>
      <c r="BX204" s="48" t="str">
        <f aca="false">IF(U204&lt;&gt;"",UPPER(TRIM(U204)),IF(CA204=1,UPPER(VLOOKUP(T204,Parameter!$I$27:$K$29,2,0)),IF(P204="","LOSE",P204)))</f>
        <v>S51</v>
      </c>
      <c r="BY204" s="50" t="n">
        <f aca="false">IF(BX204="LOSE",1,IF(N(V204)&gt;0,V204,IF(CA204=1,MAX(1,N(VLOOKUP(T204,Parameter!$I$27:$K$29,3,0)),H204,N(N204)),IF(N(Q204)&gt;0,Q204,MAX(1,H204)))))</f>
        <v>25</v>
      </c>
      <c r="BZ204" s="53" t="n">
        <f aca="false">IF(BX204="LOSE",1,0)</f>
        <v>0</v>
      </c>
      <c r="CA204" s="53" t="n">
        <f aca="false">IF(AND(U204="",OR(P204="",P204="LOSE"),T204&lt;&gt;"",N(S204)&lt;=0,ISNUMBER(MATCH(T204,Parameter!$I$27:$I$29,0))),1,0)</f>
        <v>1</v>
      </c>
      <c r="CB204" s="53" t="n">
        <f aca="false">IF(CQ204&gt;0,INDEX(Parameter!$H$5:$H$7,W204)/INDEX(Parameter!$E$5:$E$7,W204),IF(AND(BZ204=0,N(IFERROR(VLOOKUP(BX204,'Gebinde-Kategorie'!$A$5:$N$45,14,0),0))&gt;0),VLOOKUP(BX204,'Gebinde-Kategorie'!$A$5:$N$45,14,0)*10+Parameter!$M$23,Parameter!$M$24))</f>
        <v>155</v>
      </c>
      <c r="CC204" s="48" t="str">
        <f aca="false">IF(AND(Parameter!$B$19="Ja",E204&lt;&gt;"",ISNUMBER(MATCH(E204,Parameter!$I$35:$I$52,0))),VLOOKUP(E204,Parameter!$I$35:$J$52,2,0),IFERROR(VLOOKUP(D204,Parameter!$A$35:$C$64,2,0),"Nein"))</f>
        <v>2+3</v>
      </c>
      <c r="CD204" s="52" t="n">
        <f aca="false">IF(BZ204=0,0,IF(N(S204)&gt;0,S204,IFERROR(VLOOKUP(D204,Parameter!$A$35:$C$64,3,0)+0,0)))</f>
        <v>0</v>
      </c>
      <c r="CE204" s="48" t="n">
        <f aca="false">IF(AA204&lt;&gt;"",AA204,Z204)</f>
        <v>3</v>
      </c>
      <c r="CF204" s="48" t="str">
        <f aca="false">IF(OR(CE204=1,CE204=2,CE204=3),IF(Parameter!$E$27="Ja","LIFT",IF(CE204=1,"L1","L23")),IF(CE204="Aussen","Aussen","-"))</f>
        <v>LIFT</v>
      </c>
      <c r="CG204" s="59" t="n">
        <f aca="false">IF(N(AB204)&gt;0,AB204,0)</f>
        <v>0</v>
      </c>
      <c r="CH204" s="53" t="n">
        <f aca="false">IF(ISNUMBER(AE204),1,0)</f>
        <v>0</v>
      </c>
      <c r="CI204" s="50" t="n">
        <f aca="false">N(AE204)</f>
        <v>0</v>
      </c>
      <c r="CJ204" s="50" t="n">
        <f aca="false">N(M204)+N(N204)</f>
        <v>1</v>
      </c>
      <c r="CK204" s="50" t="n">
        <f aca="false">N(M204)</f>
        <v>0</v>
      </c>
      <c r="CL204" s="50" t="n">
        <f aca="false">N(N204)</f>
        <v>1</v>
      </c>
      <c r="CM204" s="50" t="n">
        <f aca="false">ROUNDUP(H204/BY204,0)</f>
        <v>1</v>
      </c>
      <c r="CN204" s="50" t="n">
        <f aca="false">ROUNDUP(CI204/BY204,0)</f>
        <v>0</v>
      </c>
      <c r="CO204" s="53" t="n">
        <f aca="false">IF(BZ204=1,0,IFERROR(VLOOKUP(BX204,'Gebinde-Kategorie'!$A$5:$N$45,5,0)+0,0))</f>
        <v>11</v>
      </c>
      <c r="CP204" s="53" t="n">
        <f aca="false">IFERROR(IF(OR(CE204=1,CE204=2,CE204=3),N(INDEX(Parameter!$I$5:$I$7,CE204)),0),0)</f>
        <v>0</v>
      </c>
      <c r="CQ204" s="52" t="n">
        <f aca="false">IF(AND(Parameter!$B$21="Ja",ISNUMBER(W204),N(X204)&gt;0),IFERROR(N(INDEX(Parameter!$L$5:$L$7,W204))*INDEX(Parameter!$E$5:$E$7,W204)*X204/SUMIFS($X$7:$X$1843,$W$7:$W$1843,W204),0),0)</f>
        <v>0</v>
      </c>
    </row>
    <row r="205" customFormat="false" ht="15" hidden="false" customHeight="false" outlineLevel="0" collapsed="false">
      <c r="A205" s="48" t="s">
        <v>619</v>
      </c>
      <c r="B205" s="48" t="s">
        <v>310</v>
      </c>
      <c r="C205" s="48" t="s">
        <v>173</v>
      </c>
      <c r="D205" s="48" t="s">
        <v>193</v>
      </c>
      <c r="E205" s="48"/>
      <c r="F205" s="48" t="s">
        <v>227</v>
      </c>
      <c r="G205" s="49" t="n">
        <v>539</v>
      </c>
      <c r="H205" s="50" t="n">
        <f aca="false">MAX(0,IF(AND(Parameter!$B$21="Ja",ISNUMBER(Y205)),Y205,IF(Parameter!$B$20="Jahresanfang 2025 + Export",BR205+BQ205,BQ205)))</f>
        <v>5</v>
      </c>
      <c r="I205" s="50" t="n">
        <f aca="false">H205*G205</f>
        <v>2695</v>
      </c>
      <c r="J205" s="50" t="n">
        <f aca="false">BT205*Parameter!$B$18</f>
        <v>4</v>
      </c>
      <c r="K205" s="51" t="n">
        <v>4.5</v>
      </c>
      <c r="L205" s="52" t="n">
        <v>0.888888888888889</v>
      </c>
      <c r="M205" s="50" t="n">
        <v>0</v>
      </c>
      <c r="N205" s="50" t="n">
        <v>5</v>
      </c>
      <c r="O205" s="53" t="n">
        <v>35</v>
      </c>
      <c r="P205" s="48" t="s">
        <v>337</v>
      </c>
      <c r="Q205" s="50" t="n">
        <v>4</v>
      </c>
      <c r="R205" s="53" t="n">
        <f aca="false">IF(BZ205=1,0,IFERROR(VLOOKUP(BX205,'Gebinde-Kategorie'!$A$5:$N$45,13,0)+0,0))</f>
        <v>52</v>
      </c>
      <c r="S205" s="54"/>
      <c r="T205" s="55"/>
      <c r="U205" s="55"/>
      <c r="V205" s="55"/>
      <c r="W205" s="48"/>
      <c r="X205" s="50"/>
      <c r="Y205" s="50"/>
      <c r="Z205" s="48" t="n">
        <f aca="false">IF(A205="","",IF(AND(Parameter!$B$21="Ja",ISNUMBER(W205)),W205,IF(CC205="2+3",IF(ISNUMBER(SEARCH("grosser Artikel",BU205)),2,IFERROR(VLOOKUP(BX205,Parameter!$F$35:$G$64,2,0),2)),IF(OR(CC205="Nein",CC205=""),"-",CC205))))</f>
        <v>3</v>
      </c>
      <c r="AA205" s="55"/>
      <c r="AB205" s="56"/>
      <c r="AC205" s="50" t="n">
        <f aca="false">AV205</f>
        <v>5</v>
      </c>
      <c r="AD205" s="50" t="n">
        <f aca="false">MAX(AV205,H205)</f>
        <v>5</v>
      </c>
      <c r="AE205" s="57"/>
      <c r="AF205" s="50" t="n">
        <f aca="false">IF(LEFT(Cockpit!$C$5,1)="A",H205,IF(Parameter!$E$30="MAX-Bestand",IF(CH205=1,CI205,IF(LEFT(Cockpit!$C$5,1)="B",AL205,MAX(AL205,H205))),ROUNDUP(AJ205,0)))</f>
        <v>5</v>
      </c>
      <c r="AG205" s="50" t="n">
        <f aca="false">IF(BZ205=1,0,ROUNDUP(AF205/BY205,0))</f>
        <v>2</v>
      </c>
      <c r="AH205" s="52" t="n">
        <f aca="false">IF(CQ205&gt;0,CQ205*MAX(1,AF205/X205),IF(BZ205=1,IF(AF205&lt;=0,0,CD205*MAX(1,IF(H205&gt;0,AF205/H205,1))),IF(R205&gt;0,AG205/R205,0))/MAX(0.1,N(Parameter!$M$21)))</f>
        <v>0.0384615384615385</v>
      </c>
      <c r="AI205" s="50" t="n">
        <f aca="false">AH205*CB205</f>
        <v>5.96153846153846</v>
      </c>
      <c r="AJ205" s="51" t="n">
        <f aca="false">IF(LEFT(Cockpit!$C$5,1)="A",H205,IF(CH205=1,(CK205+CI205)/2,IF(LEFT(Cockpit!$C$5,1)="B",(CK205+AL205)/2,MAX((CK205+AL205)/2,H205))))</f>
        <v>5</v>
      </c>
      <c r="AK205" s="50" t="n">
        <f aca="false">AJ205*G205</f>
        <v>2695</v>
      </c>
      <c r="AL205" s="50" t="n">
        <f aca="false">ROUNDUP(CK205+MAX(CL205,2*(J205/IF(CG205&gt;0,CG205,MAX(0.1,N(Cockpit!$C$6)))-CK205)),0)</f>
        <v>5</v>
      </c>
      <c r="AM205" s="51" t="n">
        <f aca="false">IF(AI205&gt;0,J205/AI205,-1)</f>
        <v>0.670967741935484</v>
      </c>
      <c r="AN205" s="51" t="n">
        <f aca="false">IF(AND(OR(CF205="L1",CF205="L23",CF205="LIFT"),AI205&gt;0),SUMIFS($AI$7:$AI$1843,$CF$7:$CF$1843,CF205,$AM$7:$AM$1843,"&gt;"&amp;AM205)+SUMIFS($AI$7:$AI$1843,$CF$7:$CF$1843,CF205,$AM$7:$AM$1843,AM205,$BW$7:$BW$1843,"&lt;="&amp;BW205),"")</f>
        <v>8601.20833333333</v>
      </c>
      <c r="AO205" s="58" t="n">
        <f aca="false">IF(AN205="",0,MAX(0,MIN(1,(IF(CF205="L1",Parameter!$H$5,IF(CF205="L23",Parameter!$H$6+Parameter!$H$7,Parameter!$H$5+Parameter!$H$6+Parameter!$H$7))-(AN205-AI205))/AI205)))</f>
        <v>1</v>
      </c>
      <c r="AP205" s="50" t="n">
        <f aca="false">IF(LEFT(Cockpit!$I$5,1)="A",H205,IF(Parameter!$E$30="MAX-Bestand",IF(CH205=1,CI205,IF(LEFT(Cockpit!$I$5,1)="B",AV205,MAX(AV205,H205))),ROUNDUP(AT205,0)))</f>
        <v>5</v>
      </c>
      <c r="AQ205" s="50" t="n">
        <f aca="false">IF(BZ205=1,0,ROUNDUP(AP205/BY205,0))</f>
        <v>2</v>
      </c>
      <c r="AR205" s="52" t="n">
        <f aca="false">IF(CQ205&gt;0,CQ205*MAX(1,AP205/X205),IF(BZ205=1,IF(AP205&lt;=0,0,CD205*MAX(1,IF(H205&gt;0,AP205/H205,1))),IF(R205&gt;0,AQ205/R205,0))/MAX(0.1,N(Parameter!$M$21)))</f>
        <v>0.0384615384615385</v>
      </c>
      <c r="AS205" s="50" t="n">
        <f aca="false">AR205*CB205</f>
        <v>5.96153846153846</v>
      </c>
      <c r="AT205" s="51" t="n">
        <f aca="false">IF(LEFT(Cockpit!$I$5,1)="A",H205,IF(CH205=1,(CK205+CI205)/2,IF(LEFT(Cockpit!$I$5,1)="B",(CK205+AV205)/2,MAX((CK205+AV205)/2,H205))))</f>
        <v>5</v>
      </c>
      <c r="AU205" s="50" t="n">
        <f aca="false">AT205*G205</f>
        <v>2695</v>
      </c>
      <c r="AV205" s="50" t="n">
        <f aca="false">ROUNDUP(CK205+MAX(CL205,2*(J205/IF(CG205&gt;0,CG205,MAX(0.1,N(Cockpit!$I$6)))-CK205)),0)</f>
        <v>5</v>
      </c>
      <c r="AW205" s="51" t="n">
        <f aca="false">IF(AS205&gt;0,J205/AS205,-1)</f>
        <v>0.670967741935484</v>
      </c>
      <c r="AX205" s="51" t="n">
        <f aca="false">IF(AND(OR(CF205="L1",CF205="L23",CF205="LIFT"),AS205&gt;0),SUMIFS($AS$7:$AS$1843,$CF$7:$CF$1843,CF205,$AW$7:$AW$1843,"&gt;"&amp;AW205)+SUMIFS($AS$7:$AS$1843,$CF$7:$CF$1843,CF205,$AW$7:$AW$1843,AW205,$BW$7:$BW$1843,"&lt;="&amp;BW205),"")</f>
        <v>10884.9432234432</v>
      </c>
      <c r="AY205" s="58" t="n">
        <f aca="false">IF(AX205="",0,MAX(0,MIN(1,(IF(CF205="L1",Parameter!$H$5,IF(CF205="L23",Parameter!$H$6+Parameter!$H$7,Parameter!$H$5+Parameter!$H$6+Parameter!$H$7))-(AX205-AS205))/AS205)))</f>
        <v>1</v>
      </c>
      <c r="AZ205" s="50" t="n">
        <f aca="false">IF(LEFT(Cockpit!$O$5,1)="A",H205,IF(Parameter!$E$30="MAX-Bestand",IF(CH205=1,CI205,IF(LEFT(Cockpit!$O$5,1)="B",BF205,MAX(BF205,H205))),ROUNDUP(BD205,0)))</f>
        <v>3</v>
      </c>
      <c r="BA205" s="50" t="n">
        <f aca="false">IF(BZ205=1,0,ROUNDUP(AZ205/BY205,0))</f>
        <v>1</v>
      </c>
      <c r="BB205" s="52" t="n">
        <f aca="false">IF(CQ205&gt;0,CQ205*MAX(1,AZ205/X205),IF(BZ205=1,IF(AZ205&lt;=0,0,CD205*MAX(1,IF(H205&gt;0,AZ205/H205,1))),IF(R205&gt;0,BA205/R205,0))/MAX(0.1,N(Parameter!$M$21)))</f>
        <v>0.0192307692307692</v>
      </c>
      <c r="BC205" s="50" t="n">
        <f aca="false">BB205*CB205</f>
        <v>2.98076923076923</v>
      </c>
      <c r="BD205" s="51" t="n">
        <f aca="false">IF(LEFT(Cockpit!$O$5,1)="A",H205,IF(CH205=1,(CK205+CI205)/2,IF(LEFT(Cockpit!$O$5,1)="B",(CK205+BF205)/2,MAX((CK205+BF205)/2,H205))))</f>
        <v>2.5</v>
      </c>
      <c r="BE205" s="50" t="n">
        <f aca="false">BD205*G205</f>
        <v>1347.5</v>
      </c>
      <c r="BF205" s="50" t="n">
        <f aca="false">ROUNDUP(CK205+MAX(CL205,2*(J205/IF(CG205&gt;0,CG205,MAX(0.1,N(Cockpit!$O$6)))-CK205)),0)</f>
        <v>5</v>
      </c>
      <c r="BG205" s="51" t="n">
        <f aca="false">IF(BC205&gt;0,J205/BC205,-1)</f>
        <v>1.34193548387097</v>
      </c>
      <c r="BH205" s="51" t="n">
        <f aca="false">IF(AND(OR(CF205="L1",CF205="L23",CF205="LIFT"),BC205&gt;0),SUMIFS($BC$7:$BC$1843,$CF$7:$CF$1843,CF205,$BG$7:$BG$1843,"&gt;"&amp;BG205)+SUMIFS($BC$7:$BC$1843,$CF$7:$CF$1843,CF205,$BG$7:$BG$1843,BG205,$BW$7:$BW$1843,"&lt;="&amp;BW205),"")</f>
        <v>6780.62408424908</v>
      </c>
      <c r="BI205" s="58" t="n">
        <f aca="false">IF(BH205="",0,MAX(0,MIN(1,(IF(CF205="L1",Parameter!$H$5,IF(CF205="L23",Parameter!$H$6+Parameter!$H$7,Parameter!$H$5+Parameter!$H$6+Parameter!$H$7))-(BH205-BC205))/BC205)))</f>
        <v>1</v>
      </c>
      <c r="BJ205" s="48" t="str">
        <f aca="false">IF(AI205&lt;=0,"",IF(CF205="Aussen","Aussenlager",IF(CF205="-","Nicht im Lift",IF(AO205&gt;=1,"Lift",IF(AO205&lt;=0,"Aussenlager","teilweise")))))</f>
        <v>Lift</v>
      </c>
      <c r="BK205" s="48" t="str">
        <f aca="false">IF(AS205&lt;=0,"",IF(CF205="Aussen","Aussenlager",IF(CF205="-","Nicht im Lift",IF(AY205&gt;=1,"Lift",IF(AY205&lt;=0,"Aussenlager","teilweise")))))</f>
        <v>Lift</v>
      </c>
      <c r="BL205" s="48" t="str">
        <f aca="false">IF(BC205&lt;=0,"",IF(CF205="Aussen","Aussenlager",IF(CF205="-","Nicht im Lift",IF(BI205&gt;=1,"Lift",IF(BI205&lt;=0,"Aussenlager","teilweise")))))</f>
        <v>Lift</v>
      </c>
      <c r="BM205" s="48" t="str">
        <f aca="false">IF(A205="","",IF(BV205=1,"Neu; ","")&amp;IF(AND(BV205=0,BQ205&lt;0),"negativer Bestand (Export "&amp;BQ205&amp;"); ","")&amp;IF(J205&lt;=0,"Kein Verbrauch; ","")&amp;IF(CQ205&gt;0,"Lift "&amp;W205&amp;" lt. Liftbericht (Fach "&amp;X205&amp;" Stk); ",IF(CA205=1,"Gebinde geschätzt ("&amp;T205&amp;"); ",IF(BZ205=1,"Lose – Tablare geschätzt; ","")))&amp;IF(H205&gt;AV205,"Überbestand "&amp;ROUND(H205-AV205,0)&amp;" Stk / CHF "&amp;ROUND((H205-AV205)*G205,0)&amp;"; ","")&amp;IF(AND(CH205=1,CI205&lt;CJ205),"MAX &lt; MB+LG; ","")&amp;IF(AND(CP205&gt;0,CO205*10&gt;CP205),"zu hoch für Tablar; ","")&amp;IF(AND(BV205=0,OR(CH205=1,AA205&lt;&gt;"",U205&lt;&gt;"",V205&lt;&gt;"",AB205&lt;&gt;"")),"manuell übersteuert; ","")&amp;IF(AND(BZ205=0,R205=0),"Gebinde unbekannt / Stellmass fehlt; ","")&amp;IF(AND(BZ205=0,N(V205)&lt;=0,N(Q205)&lt;=0),"Menge pro Gebinde fehlt (Ist = 1 Gebinde); ","")&amp;BU205)</f>
        <v/>
      </c>
      <c r="BN205" s="48"/>
      <c r="BO205" s="48"/>
      <c r="BP205" s="55"/>
      <c r="BQ205" s="50" t="n">
        <v>1</v>
      </c>
      <c r="BR205" s="50" t="n">
        <v>4</v>
      </c>
      <c r="BS205" s="49" t="n">
        <v>780.479999999999</v>
      </c>
      <c r="BT205" s="50" t="n">
        <v>4</v>
      </c>
      <c r="BU205" s="48"/>
      <c r="BV205" s="53" t="n">
        <v>0</v>
      </c>
      <c r="BW205" s="53" t="n">
        <v>205</v>
      </c>
      <c r="BX205" s="48" t="str">
        <f aca="false">IF(U205&lt;&gt;"",UPPER(TRIM(U205)),IF(CA205=1,UPPER(VLOOKUP(T205,Parameter!$I$27:$K$29,2,0)),IF(P205="","LOSE",P205)))</f>
        <v>S41</v>
      </c>
      <c r="BY205" s="50" t="n">
        <f aca="false">IF(BX205="LOSE",1,IF(N(V205)&gt;0,V205,IF(CA205=1,MAX(1,N(VLOOKUP(T205,Parameter!$I$27:$K$29,3,0)),H205,N(N205)),IF(N(Q205)&gt;0,Q205,MAX(1,H205)))))</f>
        <v>4</v>
      </c>
      <c r="BZ205" s="53" t="n">
        <f aca="false">IF(BX205="LOSE",1,0)</f>
        <v>0</v>
      </c>
      <c r="CA205" s="53" t="n">
        <f aca="false">IF(AND(U205="",OR(P205="",P205="LOSE"),T205&lt;&gt;"",N(S205)&lt;=0,ISNUMBER(MATCH(T205,Parameter!$I$27:$I$29,0))),1,0)</f>
        <v>0</v>
      </c>
      <c r="CB205" s="53" t="n">
        <f aca="false">IF(CQ205&gt;0,INDEX(Parameter!$H$5:$H$7,W205)/INDEX(Parameter!$E$5:$E$7,W205),IF(AND(BZ205=0,N(IFERROR(VLOOKUP(BX205,'Gebinde-Kategorie'!$A$5:$N$45,14,0),0))&gt;0),VLOOKUP(BX205,'Gebinde-Kategorie'!$A$5:$N$45,14,0)*10+Parameter!$M$23,Parameter!$M$24))</f>
        <v>155</v>
      </c>
      <c r="CC205" s="48" t="str">
        <f aca="false">IF(AND(Parameter!$B$19="Ja",E205&lt;&gt;"",ISNUMBER(MATCH(E205,Parameter!$I$35:$I$52,0))),VLOOKUP(E205,Parameter!$I$35:$J$52,2,0),IFERROR(VLOOKUP(D205,Parameter!$A$35:$C$64,2,0),"Nein"))</f>
        <v>2+3</v>
      </c>
      <c r="CD205" s="52" t="n">
        <f aca="false">IF(BZ205=0,0,IF(N(S205)&gt;0,S205,IFERROR(VLOOKUP(D205,Parameter!$A$35:$C$64,3,0)+0,0)))</f>
        <v>0</v>
      </c>
      <c r="CE205" s="48" t="n">
        <f aca="false">IF(AA205&lt;&gt;"",AA205,Z205)</f>
        <v>3</v>
      </c>
      <c r="CF205" s="48" t="str">
        <f aca="false">IF(OR(CE205=1,CE205=2,CE205=3),IF(Parameter!$E$27="Ja","LIFT",IF(CE205=1,"L1","L23")),IF(CE205="Aussen","Aussen","-"))</f>
        <v>LIFT</v>
      </c>
      <c r="CG205" s="59" t="n">
        <f aca="false">IF(N(AB205)&gt;0,AB205,0)</f>
        <v>0</v>
      </c>
      <c r="CH205" s="53" t="n">
        <f aca="false">IF(ISNUMBER(AE205),1,0)</f>
        <v>0</v>
      </c>
      <c r="CI205" s="50" t="n">
        <f aca="false">N(AE205)</f>
        <v>0</v>
      </c>
      <c r="CJ205" s="50" t="n">
        <f aca="false">N(M205)+N(N205)</f>
        <v>5</v>
      </c>
      <c r="CK205" s="50" t="n">
        <f aca="false">N(M205)</f>
        <v>0</v>
      </c>
      <c r="CL205" s="50" t="n">
        <f aca="false">N(N205)</f>
        <v>5</v>
      </c>
      <c r="CM205" s="50" t="n">
        <f aca="false">ROUNDUP(H205/BY205,0)</f>
        <v>2</v>
      </c>
      <c r="CN205" s="50" t="n">
        <f aca="false">ROUNDUP(CI205/BY205,0)</f>
        <v>0</v>
      </c>
      <c r="CO205" s="53" t="n">
        <f aca="false">IF(BZ205=1,0,IFERROR(VLOOKUP(BX205,'Gebinde-Kategorie'!$A$5:$N$45,5,0)+0,0))</f>
        <v>11</v>
      </c>
      <c r="CP205" s="53" t="n">
        <f aca="false">IFERROR(IF(OR(CE205=1,CE205=2,CE205=3),N(INDEX(Parameter!$I$5:$I$7,CE205)),0),0)</f>
        <v>0</v>
      </c>
      <c r="CQ205" s="52" t="n">
        <f aca="false">IF(AND(Parameter!$B$21="Ja",ISNUMBER(W205),N(X205)&gt;0),IFERROR(N(INDEX(Parameter!$L$5:$L$7,W205))*INDEX(Parameter!$E$5:$E$7,W205)*X205/SUMIFS($X$7:$X$1843,$W$7:$W$1843,W205),0),0)</f>
        <v>0</v>
      </c>
    </row>
    <row r="206" customFormat="false" ht="15" hidden="false" customHeight="false" outlineLevel="0" collapsed="false">
      <c r="A206" s="48" t="s">
        <v>620</v>
      </c>
      <c r="B206" s="48" t="s">
        <v>621</v>
      </c>
      <c r="C206" s="48" t="s">
        <v>173</v>
      </c>
      <c r="D206" s="48" t="s">
        <v>193</v>
      </c>
      <c r="E206" s="48" t="s">
        <v>194</v>
      </c>
      <c r="F206" s="48" t="s">
        <v>227</v>
      </c>
      <c r="G206" s="49" t="n">
        <v>8.16</v>
      </c>
      <c r="H206" s="50" t="n">
        <f aca="false">MAX(0,IF(AND(Parameter!$B$21="Ja",ISNUMBER(Y206)),Y206,IF(Parameter!$B$20="Jahresanfang 2025 + Export",BR206+BQ206,BQ206)))</f>
        <v>137</v>
      </c>
      <c r="I206" s="50" t="n">
        <f aca="false">H206*G206</f>
        <v>1117.92</v>
      </c>
      <c r="J206" s="50" t="n">
        <f aca="false">BT206*Parameter!$B$18</f>
        <v>151</v>
      </c>
      <c r="K206" s="51" t="n">
        <v>72</v>
      </c>
      <c r="L206" s="52" t="n">
        <v>2.09722222222222</v>
      </c>
      <c r="M206" s="50" t="n">
        <v>5</v>
      </c>
      <c r="N206" s="50" t="n">
        <v>150</v>
      </c>
      <c r="O206" s="53" t="n">
        <v>14</v>
      </c>
      <c r="P206" s="48" t="s">
        <v>485</v>
      </c>
      <c r="Q206" s="50" t="n">
        <v>71</v>
      </c>
      <c r="R206" s="53" t="n">
        <f aca="false">IF(BZ206=1,0,IFERROR(VLOOKUP(BX206,'Gebinde-Kategorie'!$A$5:$N$45,13,0)+0,0))</f>
        <v>52</v>
      </c>
      <c r="S206" s="54"/>
      <c r="T206" s="55"/>
      <c r="U206" s="55"/>
      <c r="V206" s="55"/>
      <c r="W206" s="48"/>
      <c r="X206" s="50"/>
      <c r="Y206" s="50"/>
      <c r="Z206" s="48" t="n">
        <f aca="false">IF(A206="","",IF(AND(Parameter!$B$21="Ja",ISNUMBER(W206)),W206,IF(CC206="2+3",IF(ISNUMBER(SEARCH("grosser Artikel",BU206)),2,IFERROR(VLOOKUP(BX206,Parameter!$F$35:$G$64,2,0),2)),IF(OR(CC206="Nein",CC206=""),"-",CC206))))</f>
        <v>3</v>
      </c>
      <c r="AA206" s="55"/>
      <c r="AB206" s="56"/>
      <c r="AC206" s="50" t="n">
        <f aca="false">AV206</f>
        <v>155</v>
      </c>
      <c r="AD206" s="50" t="n">
        <f aca="false">MAX(AV206,H206)</f>
        <v>155</v>
      </c>
      <c r="AE206" s="57"/>
      <c r="AF206" s="50" t="n">
        <f aca="false">IF(LEFT(Cockpit!$C$5,1)="A",H206,IF(Parameter!$E$30="MAX-Bestand",IF(CH206=1,CI206,IF(LEFT(Cockpit!$C$5,1)="B",AL206,MAX(AL206,H206))),ROUNDUP(AJ206,0)))</f>
        <v>137</v>
      </c>
      <c r="AG206" s="50" t="n">
        <f aca="false">IF(BZ206=1,0,ROUNDUP(AF206/BY206,0))</f>
        <v>2</v>
      </c>
      <c r="AH206" s="52" t="n">
        <f aca="false">IF(CQ206&gt;0,CQ206*MAX(1,AF206/X206),IF(BZ206=1,IF(AF206&lt;=0,0,CD206*MAX(1,IF(H206&gt;0,AF206/H206,1))),IF(R206&gt;0,AG206/R206,0))/MAX(0.1,N(Parameter!$M$21)))</f>
        <v>0.0384615384615385</v>
      </c>
      <c r="AI206" s="50" t="n">
        <f aca="false">AH206*CB206</f>
        <v>5.96153846153846</v>
      </c>
      <c r="AJ206" s="51" t="n">
        <f aca="false">IF(LEFT(Cockpit!$C$5,1)="A",H206,IF(CH206=1,(CK206+CI206)/2,IF(LEFT(Cockpit!$C$5,1)="B",(CK206+AL206)/2,MAX((CK206+AL206)/2,H206))))</f>
        <v>137</v>
      </c>
      <c r="AK206" s="50" t="n">
        <f aca="false">AJ206*G206</f>
        <v>1117.92</v>
      </c>
      <c r="AL206" s="50" t="n">
        <f aca="false">ROUNDUP(CK206+MAX(CL206,2*(J206/IF(CG206&gt;0,CG206,MAX(0.1,N(Cockpit!$C$6)))-CK206)),0)</f>
        <v>155</v>
      </c>
      <c r="AM206" s="51" t="n">
        <f aca="false">IF(AI206&gt;0,J206/AI206,-1)</f>
        <v>25.3290322580645</v>
      </c>
      <c r="AN206" s="51" t="n">
        <f aca="false">IF(AND(OR(CF206="L1",CF206="L23",CF206="LIFT"),AI206&gt;0),SUMIFS($AI$7:$AI$1843,$CF$7:$CF$1843,CF206,$AM$7:$AM$1843,"&gt;"&amp;AM206)+SUMIFS($AI$7:$AI$1843,$CF$7:$CF$1843,CF206,$AM$7:$AM$1843,AM206,$BW$7:$BW$1843,"&lt;="&amp;BW206),"")</f>
        <v>1510.48305860806</v>
      </c>
      <c r="AO206" s="58" t="n">
        <f aca="false">IF(AN206="",0,MAX(0,MIN(1,(IF(CF206="L1",Parameter!$H$5,IF(CF206="L23",Parameter!$H$6+Parameter!$H$7,Parameter!$H$5+Parameter!$H$6+Parameter!$H$7))-(AN206-AI206))/AI206)))</f>
        <v>1</v>
      </c>
      <c r="AP206" s="50" t="n">
        <f aca="false">IF(LEFT(Cockpit!$I$5,1)="A",H206,IF(Parameter!$E$30="MAX-Bestand",IF(CH206=1,CI206,IF(LEFT(Cockpit!$I$5,1)="B",AV206,MAX(AV206,H206))),ROUNDUP(AT206,0)))</f>
        <v>137</v>
      </c>
      <c r="AQ206" s="50" t="n">
        <f aca="false">IF(BZ206=1,0,ROUNDUP(AP206/BY206,0))</f>
        <v>2</v>
      </c>
      <c r="AR206" s="52" t="n">
        <f aca="false">IF(CQ206&gt;0,CQ206*MAX(1,AP206/X206),IF(BZ206=1,IF(AP206&lt;=0,0,CD206*MAX(1,IF(H206&gt;0,AP206/H206,1))),IF(R206&gt;0,AQ206/R206,0))/MAX(0.1,N(Parameter!$M$21)))</f>
        <v>0.0384615384615385</v>
      </c>
      <c r="AS206" s="50" t="n">
        <f aca="false">AR206*CB206</f>
        <v>5.96153846153846</v>
      </c>
      <c r="AT206" s="51" t="n">
        <f aca="false">IF(LEFT(Cockpit!$I$5,1)="A",H206,IF(CH206=1,(CK206+CI206)/2,IF(LEFT(Cockpit!$I$5,1)="B",(CK206+AV206)/2,MAX((CK206+AV206)/2,H206))))</f>
        <v>137</v>
      </c>
      <c r="AU206" s="50" t="n">
        <f aca="false">AT206*G206</f>
        <v>1117.92</v>
      </c>
      <c r="AV206" s="50" t="n">
        <f aca="false">ROUNDUP(CK206+MAX(CL206,2*(J206/IF(CG206&gt;0,CG206,MAX(0.1,N(Cockpit!$I$6)))-CK206)),0)</f>
        <v>155</v>
      </c>
      <c r="AW206" s="51" t="n">
        <f aca="false">IF(AS206&gt;0,J206/AS206,-1)</f>
        <v>25.3290322580645</v>
      </c>
      <c r="AX206" s="51" t="n">
        <f aca="false">IF(AND(OR(CF206="L1",CF206="L23",CF206="LIFT"),AS206&gt;0),SUMIFS($AS$7:$AS$1843,$CF$7:$CF$1843,CF206,$AW$7:$AW$1843,"&gt;"&amp;AW206)+SUMIFS($AS$7:$AS$1843,$CF$7:$CF$1843,CF206,$AW$7:$AW$1843,AW206,$BW$7:$BW$1843,"&lt;="&amp;BW206),"")</f>
        <v>2136.32188644689</v>
      </c>
      <c r="AY206" s="58" t="n">
        <f aca="false">IF(AX206="",0,MAX(0,MIN(1,(IF(CF206="L1",Parameter!$H$5,IF(CF206="L23",Parameter!$H$6+Parameter!$H$7,Parameter!$H$5+Parameter!$H$6+Parameter!$H$7))-(AX206-AS206))/AS206)))</f>
        <v>1</v>
      </c>
      <c r="AZ206" s="50" t="n">
        <f aca="false">IF(LEFT(Cockpit!$O$5,1)="A",H206,IF(Parameter!$E$30="MAX-Bestand",IF(CH206=1,CI206,IF(LEFT(Cockpit!$O$5,1)="B",BF206,MAX(BF206,H206))),ROUNDUP(BD206,0)))</f>
        <v>80</v>
      </c>
      <c r="BA206" s="50" t="n">
        <f aca="false">IF(BZ206=1,0,ROUNDUP(AZ206/BY206,0))</f>
        <v>2</v>
      </c>
      <c r="BB206" s="52" t="n">
        <f aca="false">IF(CQ206&gt;0,CQ206*MAX(1,AZ206/X206),IF(BZ206=1,IF(AZ206&lt;=0,0,CD206*MAX(1,IF(H206&gt;0,AZ206/H206,1))),IF(R206&gt;0,BA206/R206,0))/MAX(0.1,N(Parameter!$M$21)))</f>
        <v>0.0384615384615385</v>
      </c>
      <c r="BC206" s="50" t="n">
        <f aca="false">BB206*CB206</f>
        <v>5.96153846153846</v>
      </c>
      <c r="BD206" s="51" t="n">
        <f aca="false">IF(LEFT(Cockpit!$O$5,1)="A",H206,IF(CH206=1,(CK206+CI206)/2,IF(LEFT(Cockpit!$O$5,1)="B",(CK206+BF206)/2,MAX((CK206+BF206)/2,H206))))</f>
        <v>80</v>
      </c>
      <c r="BE206" s="50" t="n">
        <f aca="false">BD206*G206</f>
        <v>652.8</v>
      </c>
      <c r="BF206" s="50" t="n">
        <f aca="false">ROUNDUP(CK206+MAX(CL206,2*(J206/IF(CG206&gt;0,CG206,MAX(0.1,N(Cockpit!$O$6)))-CK206)),0)</f>
        <v>155</v>
      </c>
      <c r="BG206" s="51" t="n">
        <f aca="false">IF(BC206&gt;0,J206/BC206,-1)</f>
        <v>25.3290322580645</v>
      </c>
      <c r="BH206" s="51" t="n">
        <f aca="false">IF(AND(OR(CF206="L1",CF206="L23",CF206="LIFT"),BC206&gt;0),SUMIFS($BC$7:$BC$1843,$CF$7:$CF$1843,CF206,$BG$7:$BG$1843,"&gt;"&amp;BG206)+SUMIFS($BC$7:$BC$1843,$CF$7:$CF$1843,CF206,$BG$7:$BG$1843,BG206,$BW$7:$BW$1843,"&lt;="&amp;BW206),"")</f>
        <v>2066.33287545788</v>
      </c>
      <c r="BI206" s="58" t="n">
        <f aca="false">IF(BH206="",0,MAX(0,MIN(1,(IF(CF206="L1",Parameter!$H$5,IF(CF206="L23",Parameter!$H$6+Parameter!$H$7,Parameter!$H$5+Parameter!$H$6+Parameter!$H$7))-(BH206-BC206))/BC206)))</f>
        <v>1</v>
      </c>
      <c r="BJ206" s="48" t="str">
        <f aca="false">IF(AI206&lt;=0,"",IF(CF206="Aussen","Aussenlager",IF(CF206="-","Nicht im Lift",IF(AO206&gt;=1,"Lift",IF(AO206&lt;=0,"Aussenlager","teilweise")))))</f>
        <v>Lift</v>
      </c>
      <c r="BK206" s="48" t="str">
        <f aca="false">IF(AS206&lt;=0,"",IF(CF206="Aussen","Aussenlager",IF(CF206="-","Nicht im Lift",IF(AY206&gt;=1,"Lift",IF(AY206&lt;=0,"Aussenlager","teilweise")))))</f>
        <v>Lift</v>
      </c>
      <c r="BL206" s="48" t="str">
        <f aca="false">IF(BC206&lt;=0,"",IF(CF206="Aussen","Aussenlager",IF(CF206="-","Nicht im Lift",IF(BI206&gt;=1,"Lift",IF(BI206&lt;=0,"Aussenlager","teilweise")))))</f>
        <v>Lift</v>
      </c>
      <c r="BM206" s="48" t="str">
        <f aca="false">IF(A206="","",IF(BV206=1,"Neu; ","")&amp;IF(AND(BV206=0,BQ206&lt;0),"negativer Bestand (Export "&amp;BQ206&amp;"); ","")&amp;IF(J206&lt;=0,"Kein Verbrauch; ","")&amp;IF(CQ206&gt;0,"Lift "&amp;W206&amp;" lt. Liftbericht (Fach "&amp;X206&amp;" Stk); ",IF(CA206=1,"Gebinde geschätzt ("&amp;T206&amp;"); ",IF(BZ206=1,"Lose – Tablare geschätzt; ","")))&amp;IF(H206&gt;AV206,"Überbestand "&amp;ROUND(H206-AV206,0)&amp;" Stk / CHF "&amp;ROUND((H206-AV206)*G206,0)&amp;"; ","")&amp;IF(AND(CH206=1,CI206&lt;CJ206),"MAX &lt; MB+LG; ","")&amp;IF(AND(CP206&gt;0,CO206*10&gt;CP206),"zu hoch für Tablar; ","")&amp;IF(AND(BV206=0,OR(CH206=1,AA206&lt;&gt;"",U206&lt;&gt;"",V206&lt;&gt;"",AB206&lt;&gt;"")),"manuell übersteuert; ","")&amp;IF(AND(BZ206=0,R206=0),"Gebinde unbekannt / Stellmass fehlt; ","")&amp;IF(AND(BZ206=0,N(V206)&lt;=0,N(Q206)&lt;=0),"Menge pro Gebinde fehlt (Ist = 1 Gebinde); ","")&amp;BU206)</f>
        <v/>
      </c>
      <c r="BN206" s="48"/>
      <c r="BO206" s="48"/>
      <c r="BP206" s="55"/>
      <c r="BQ206" s="50" t="n">
        <v>90</v>
      </c>
      <c r="BR206" s="50" t="n">
        <v>47</v>
      </c>
      <c r="BS206" s="49" t="n">
        <v>744.27</v>
      </c>
      <c r="BT206" s="50" t="n">
        <v>151</v>
      </c>
      <c r="BU206" s="48"/>
      <c r="BV206" s="53" t="n">
        <v>0</v>
      </c>
      <c r="BW206" s="53" t="n">
        <v>206</v>
      </c>
      <c r="BX206" s="48" t="str">
        <f aca="false">IF(U206&lt;&gt;"",UPPER(TRIM(U206)),IF(CA206=1,UPPER(VLOOKUP(T206,Parameter!$I$27:$K$29,2,0)),IF(P206="","LOSE",P206)))</f>
        <v>S33</v>
      </c>
      <c r="BY206" s="50" t="n">
        <f aca="false">IF(BX206="LOSE",1,IF(N(V206)&gt;0,V206,IF(CA206=1,MAX(1,N(VLOOKUP(T206,Parameter!$I$27:$K$29,3,0)),H206,N(N206)),IF(N(Q206)&gt;0,Q206,MAX(1,H206)))))</f>
        <v>71</v>
      </c>
      <c r="BZ206" s="53" t="n">
        <f aca="false">IF(BX206="LOSE",1,0)</f>
        <v>0</v>
      </c>
      <c r="CA206" s="53" t="n">
        <f aca="false">IF(AND(U206="",OR(P206="",P206="LOSE"),T206&lt;&gt;"",N(S206)&lt;=0,ISNUMBER(MATCH(T206,Parameter!$I$27:$I$29,0))),1,0)</f>
        <v>0</v>
      </c>
      <c r="CB206" s="53" t="n">
        <f aca="false">IF(CQ206&gt;0,INDEX(Parameter!$H$5:$H$7,W206)/INDEX(Parameter!$E$5:$E$7,W206),IF(AND(BZ206=0,N(IFERROR(VLOOKUP(BX206,'Gebinde-Kategorie'!$A$5:$N$45,14,0),0))&gt;0),VLOOKUP(BX206,'Gebinde-Kategorie'!$A$5:$N$45,14,0)*10+Parameter!$M$23,Parameter!$M$24))</f>
        <v>155</v>
      </c>
      <c r="CC206" s="48" t="str">
        <f aca="false">IF(AND(Parameter!$B$19="Ja",E206&lt;&gt;"",ISNUMBER(MATCH(E206,Parameter!$I$35:$I$52,0))),VLOOKUP(E206,Parameter!$I$35:$J$52,2,0),IFERROR(VLOOKUP(D206,Parameter!$A$35:$C$64,2,0),"Nein"))</f>
        <v>2+3</v>
      </c>
      <c r="CD206" s="52" t="n">
        <f aca="false">IF(BZ206=0,0,IF(N(S206)&gt;0,S206,IFERROR(VLOOKUP(D206,Parameter!$A$35:$C$64,3,0)+0,0)))</f>
        <v>0</v>
      </c>
      <c r="CE206" s="48" t="n">
        <f aca="false">IF(AA206&lt;&gt;"",AA206,Z206)</f>
        <v>3</v>
      </c>
      <c r="CF206" s="48" t="str">
        <f aca="false">IF(OR(CE206=1,CE206=2,CE206=3),IF(Parameter!$E$27="Ja","LIFT",IF(CE206=1,"L1","L23")),IF(CE206="Aussen","Aussen","-"))</f>
        <v>LIFT</v>
      </c>
      <c r="CG206" s="59" t="n">
        <f aca="false">IF(N(AB206)&gt;0,AB206,0)</f>
        <v>0</v>
      </c>
      <c r="CH206" s="53" t="n">
        <f aca="false">IF(ISNUMBER(AE206),1,0)</f>
        <v>0</v>
      </c>
      <c r="CI206" s="50" t="n">
        <f aca="false">N(AE206)</f>
        <v>0</v>
      </c>
      <c r="CJ206" s="50" t="n">
        <f aca="false">N(M206)+N(N206)</f>
        <v>155</v>
      </c>
      <c r="CK206" s="50" t="n">
        <f aca="false">N(M206)</f>
        <v>5</v>
      </c>
      <c r="CL206" s="50" t="n">
        <f aca="false">N(N206)</f>
        <v>150</v>
      </c>
      <c r="CM206" s="50" t="n">
        <f aca="false">ROUNDUP(H206/BY206,0)</f>
        <v>2</v>
      </c>
      <c r="CN206" s="50" t="n">
        <f aca="false">ROUNDUP(CI206/BY206,0)</f>
        <v>0</v>
      </c>
      <c r="CO206" s="53" t="n">
        <f aca="false">IF(BZ206=1,0,IFERROR(VLOOKUP(BX206,'Gebinde-Kategorie'!$A$5:$N$45,5,0)+0,0))</f>
        <v>8</v>
      </c>
      <c r="CP206" s="53" t="n">
        <f aca="false">IFERROR(IF(OR(CE206=1,CE206=2,CE206=3),N(INDEX(Parameter!$I$5:$I$7,CE206)),0),0)</f>
        <v>0</v>
      </c>
      <c r="CQ206" s="52" t="n">
        <f aca="false">IF(AND(Parameter!$B$21="Ja",ISNUMBER(W206),N(X206)&gt;0),IFERROR(N(INDEX(Parameter!$L$5:$L$7,W206))*INDEX(Parameter!$E$5:$E$7,W206)*X206/SUMIFS($X$7:$X$1843,$W$7:$W$1843,W206),0),0)</f>
        <v>0</v>
      </c>
    </row>
    <row r="207" customFormat="false" ht="15" hidden="false" customHeight="false" outlineLevel="0" collapsed="false">
      <c r="A207" s="48" t="s">
        <v>622</v>
      </c>
      <c r="B207" s="48" t="s">
        <v>623</v>
      </c>
      <c r="C207" s="48" t="s">
        <v>173</v>
      </c>
      <c r="D207" s="48" t="s">
        <v>193</v>
      </c>
      <c r="E207" s="48" t="s">
        <v>194</v>
      </c>
      <c r="F207" s="48" t="s">
        <v>227</v>
      </c>
      <c r="G207" s="49" t="n">
        <v>11.13</v>
      </c>
      <c r="H207" s="50" t="n">
        <f aca="false">MAX(0,IF(AND(Parameter!$B$21="Ja",ISNUMBER(Y207)),Y207,IF(Parameter!$B$20="Jahresanfang 2025 + Export",BR207+BQ207,BQ207)))</f>
        <v>395</v>
      </c>
      <c r="I207" s="50" t="n">
        <f aca="false">H207*G207</f>
        <v>4396.35</v>
      </c>
      <c r="J207" s="50" t="n">
        <f aca="false">BT207*Parameter!$B$18</f>
        <v>1125</v>
      </c>
      <c r="K207" s="51" t="n">
        <v>471.5</v>
      </c>
      <c r="L207" s="52" t="n">
        <v>2.38600212089077</v>
      </c>
      <c r="M207" s="50" t="n">
        <v>65</v>
      </c>
      <c r="N207" s="50" t="n">
        <v>500</v>
      </c>
      <c r="O207" s="53" t="n">
        <v>21</v>
      </c>
      <c r="P207" s="48" t="s">
        <v>242</v>
      </c>
      <c r="Q207" s="50" t="n">
        <v>951</v>
      </c>
      <c r="R207" s="53" t="n">
        <f aca="false">IF(BZ207=1,0,IFERROR(VLOOKUP(BX207,'Gebinde-Kategorie'!$A$5:$N$45,13,0)+0,0))</f>
        <v>26</v>
      </c>
      <c r="S207" s="54"/>
      <c r="T207" s="55"/>
      <c r="U207" s="55"/>
      <c r="V207" s="55"/>
      <c r="W207" s="48"/>
      <c r="X207" s="50"/>
      <c r="Y207" s="50"/>
      <c r="Z207" s="48" t="n">
        <f aca="false">IF(A207="","",IF(AND(Parameter!$B$21="Ja",ISNUMBER(W207)),W207,IF(CC207="2+3",IF(ISNUMBER(SEARCH("grosser Artikel",BU207)),2,IFERROR(VLOOKUP(BX207,Parameter!$F$35:$G$64,2,0),2)),IF(OR(CC207="Nein",CC207=""),"-",CC207))))</f>
        <v>3</v>
      </c>
      <c r="AA207" s="55"/>
      <c r="AB207" s="56"/>
      <c r="AC207" s="50" t="n">
        <f aca="false">AV207</f>
        <v>685</v>
      </c>
      <c r="AD207" s="50" t="n">
        <f aca="false">MAX(AV207,H207)</f>
        <v>685</v>
      </c>
      <c r="AE207" s="57"/>
      <c r="AF207" s="50" t="n">
        <f aca="false">IF(LEFT(Cockpit!$C$5,1)="A",H207,IF(Parameter!$E$30="MAX-Bestand",IF(CH207=1,CI207,IF(LEFT(Cockpit!$C$5,1)="B",AL207,MAX(AL207,H207))),ROUNDUP(AJ207,0)))</f>
        <v>395</v>
      </c>
      <c r="AG207" s="50" t="n">
        <f aca="false">IF(BZ207=1,0,ROUNDUP(AF207/BY207,0))</f>
        <v>1</v>
      </c>
      <c r="AH207" s="52" t="n">
        <f aca="false">IF(CQ207&gt;0,CQ207*MAX(1,AF207/X207),IF(BZ207=1,IF(AF207&lt;=0,0,CD207*MAX(1,IF(H207&gt;0,AF207/H207,1))),IF(R207&gt;0,AG207/R207,0))/MAX(0.1,N(Parameter!$M$21)))</f>
        <v>0.0384615384615385</v>
      </c>
      <c r="AI207" s="50" t="n">
        <f aca="false">AH207*CB207</f>
        <v>9.42307692307692</v>
      </c>
      <c r="AJ207" s="51" t="n">
        <f aca="false">IF(LEFT(Cockpit!$C$5,1)="A",H207,IF(CH207=1,(CK207+CI207)/2,IF(LEFT(Cockpit!$C$5,1)="B",(CK207+AL207)/2,MAX((CK207+AL207)/2,H207))))</f>
        <v>395</v>
      </c>
      <c r="AK207" s="50" t="n">
        <f aca="false">AJ207*G207</f>
        <v>4396.35</v>
      </c>
      <c r="AL207" s="50" t="n">
        <f aca="false">ROUNDUP(CK207+MAX(CL207,2*(J207/IF(CG207&gt;0,CG207,MAX(0.1,N(Cockpit!$C$6)))-CK207)),0)</f>
        <v>685</v>
      </c>
      <c r="AM207" s="51" t="n">
        <f aca="false">IF(AI207&gt;0,J207/AI207,-1)</f>
        <v>119.387755102041</v>
      </c>
      <c r="AN207" s="51" t="n">
        <f aca="false">IF(AND(OR(CF207="L1",CF207="L23",CF207="LIFT"),AI207&gt;0),SUMIFS($AI$7:$AI$1843,$CF$7:$CF$1843,CF207,$AM$7:$AM$1843,"&gt;"&amp;AM207)+SUMIFS($AI$7:$AI$1843,$CF$7:$CF$1843,CF207,$AM$7:$AM$1843,AM207,$BW$7:$BW$1843,"&lt;="&amp;BW207),"")</f>
        <v>678.221611721612</v>
      </c>
      <c r="AO207" s="58" t="n">
        <f aca="false">IF(AN207="",0,MAX(0,MIN(1,(IF(CF207="L1",Parameter!$H$5,IF(CF207="L23",Parameter!$H$6+Parameter!$H$7,Parameter!$H$5+Parameter!$H$6+Parameter!$H$7))-(AN207-AI207))/AI207)))</f>
        <v>1</v>
      </c>
      <c r="AP207" s="50" t="n">
        <f aca="false">IF(LEFT(Cockpit!$I$5,1)="A",H207,IF(Parameter!$E$30="MAX-Bestand",IF(CH207=1,CI207,IF(LEFT(Cockpit!$I$5,1)="B",AV207,MAX(AV207,H207))),ROUNDUP(AT207,0)))</f>
        <v>395</v>
      </c>
      <c r="AQ207" s="50" t="n">
        <f aca="false">IF(BZ207=1,0,ROUNDUP(AP207/BY207,0))</f>
        <v>1</v>
      </c>
      <c r="AR207" s="52" t="n">
        <f aca="false">IF(CQ207&gt;0,CQ207*MAX(1,AP207/X207),IF(BZ207=1,IF(AP207&lt;=0,0,CD207*MAX(1,IF(H207&gt;0,AP207/H207,1))),IF(R207&gt;0,AQ207/R207,0))/MAX(0.1,N(Parameter!$M$21)))</f>
        <v>0.0384615384615385</v>
      </c>
      <c r="AS207" s="50" t="n">
        <f aca="false">AR207*CB207</f>
        <v>9.42307692307692</v>
      </c>
      <c r="AT207" s="51" t="n">
        <f aca="false">IF(LEFT(Cockpit!$I$5,1)="A",H207,IF(CH207=1,(CK207+CI207)/2,IF(LEFT(Cockpit!$I$5,1)="B",(CK207+AV207)/2,MAX((CK207+AV207)/2,H207))))</f>
        <v>395</v>
      </c>
      <c r="AU207" s="50" t="n">
        <f aca="false">AT207*G207</f>
        <v>4396.35</v>
      </c>
      <c r="AV207" s="50" t="n">
        <f aca="false">ROUNDUP(CK207+MAX(CL207,2*(J207/IF(CG207&gt;0,CG207,MAX(0.1,N(Cockpit!$I$6)))-CK207)),0)</f>
        <v>685</v>
      </c>
      <c r="AW207" s="51" t="n">
        <f aca="false">IF(AS207&gt;0,J207/AS207,-1)</f>
        <v>119.387755102041</v>
      </c>
      <c r="AX207" s="51" t="n">
        <f aca="false">IF(AND(OR(CF207="L1",CF207="L23",CF207="LIFT"),AS207&gt;0),SUMIFS($AS$7:$AS$1843,$CF$7:$CF$1843,CF207,$AW$7:$AW$1843,"&gt;"&amp;AW207)+SUMIFS($AS$7:$AS$1843,$CF$7:$CF$1843,CF207,$AW$7:$AW$1843,AW207,$BW$7:$BW$1843,"&lt;="&amp;BW207),"")</f>
        <v>791.004120879121</v>
      </c>
      <c r="AY207" s="58" t="n">
        <f aca="false">IF(AX207="",0,MAX(0,MIN(1,(IF(CF207="L1",Parameter!$H$5,IF(CF207="L23",Parameter!$H$6+Parameter!$H$7,Parameter!$H$5+Parameter!$H$6+Parameter!$H$7))-(AX207-AS207))/AS207)))</f>
        <v>1</v>
      </c>
      <c r="AZ207" s="50" t="n">
        <f aca="false">IF(LEFT(Cockpit!$O$5,1)="A",H207,IF(Parameter!$E$30="MAX-Bestand",IF(CH207=1,CI207,IF(LEFT(Cockpit!$O$5,1)="B",BF207,MAX(BF207,H207))),ROUNDUP(BD207,0)))</f>
        <v>315</v>
      </c>
      <c r="BA207" s="50" t="n">
        <f aca="false">IF(BZ207=1,0,ROUNDUP(AZ207/BY207,0))</f>
        <v>1</v>
      </c>
      <c r="BB207" s="52" t="n">
        <f aca="false">IF(CQ207&gt;0,CQ207*MAX(1,AZ207/X207),IF(BZ207=1,IF(AZ207&lt;=0,0,CD207*MAX(1,IF(H207&gt;0,AZ207/H207,1))),IF(R207&gt;0,BA207/R207,0))/MAX(0.1,N(Parameter!$M$21)))</f>
        <v>0.0384615384615385</v>
      </c>
      <c r="BC207" s="50" t="n">
        <f aca="false">BB207*CB207</f>
        <v>9.42307692307692</v>
      </c>
      <c r="BD207" s="51" t="n">
        <f aca="false">IF(LEFT(Cockpit!$O$5,1)="A",H207,IF(CH207=1,(CK207+CI207)/2,IF(LEFT(Cockpit!$O$5,1)="B",(CK207+BF207)/2,MAX((CK207+BF207)/2,H207))))</f>
        <v>315</v>
      </c>
      <c r="BE207" s="50" t="n">
        <f aca="false">BD207*G207</f>
        <v>3505.95</v>
      </c>
      <c r="BF207" s="50" t="n">
        <f aca="false">ROUNDUP(CK207+MAX(CL207,2*(J207/IF(CG207&gt;0,CG207,MAX(0.1,N(Cockpit!$O$6)))-CK207)),0)</f>
        <v>565</v>
      </c>
      <c r="BG207" s="51" t="n">
        <f aca="false">IF(BC207&gt;0,J207/BC207,-1)</f>
        <v>119.387755102041</v>
      </c>
      <c r="BH207" s="51" t="n">
        <f aca="false">IF(AND(OR(CF207="L1",CF207="L23",CF207="LIFT"),BC207&gt;0),SUMIFS($BC$7:$BC$1843,$CF$7:$CF$1843,CF207,$BG$7:$BG$1843,"&gt;"&amp;BG207)+SUMIFS($BC$7:$BC$1843,$CF$7:$CF$1843,CF207,$BG$7:$BG$1843,BG207,$BW$7:$BW$1843,"&lt;="&amp;BW207),"")</f>
        <v>816.894230769231</v>
      </c>
      <c r="BI207" s="58" t="n">
        <f aca="false">IF(BH207="",0,MAX(0,MIN(1,(IF(CF207="L1",Parameter!$H$5,IF(CF207="L23",Parameter!$H$6+Parameter!$H$7,Parameter!$H$5+Parameter!$H$6+Parameter!$H$7))-(BH207-BC207))/BC207)))</f>
        <v>1</v>
      </c>
      <c r="BJ207" s="48" t="str">
        <f aca="false">IF(AI207&lt;=0,"",IF(CF207="Aussen","Aussenlager",IF(CF207="-","Nicht im Lift",IF(AO207&gt;=1,"Lift",IF(AO207&lt;=0,"Aussenlager","teilweise")))))</f>
        <v>Lift</v>
      </c>
      <c r="BK207" s="48" t="str">
        <f aca="false">IF(AS207&lt;=0,"",IF(CF207="Aussen","Aussenlager",IF(CF207="-","Nicht im Lift",IF(AY207&gt;=1,"Lift",IF(AY207&lt;=0,"Aussenlager","teilweise")))))</f>
        <v>Lift</v>
      </c>
      <c r="BL207" s="48" t="str">
        <f aca="false">IF(BC207&lt;=0,"",IF(CF207="Aussen","Aussenlager",IF(CF207="-","Nicht im Lift",IF(BI207&gt;=1,"Lift",IF(BI207&lt;=0,"Aussenlager","teilweise")))))</f>
        <v>Lift</v>
      </c>
      <c r="BM207" s="48" t="str">
        <f aca="false">IF(A207="","",IF(BV207=1,"Neu; ","")&amp;IF(AND(BV207=0,BQ207&lt;0),"negativer Bestand (Export "&amp;BQ207&amp;"); ","")&amp;IF(J207&lt;=0,"Kein Verbrauch; ","")&amp;IF(CQ207&gt;0,"Lift "&amp;W207&amp;" lt. Liftbericht (Fach "&amp;X207&amp;" Stk); ",IF(CA207=1,"Gebinde geschätzt ("&amp;T207&amp;"); ",IF(BZ207=1,"Lose – Tablare geschätzt; ","")))&amp;IF(H207&gt;AV207,"Überbestand "&amp;ROUND(H207-AV207,0)&amp;" Stk / CHF "&amp;ROUND((H207-AV207)*G207,0)&amp;"; ","")&amp;IF(AND(CH207=1,CI207&lt;CJ207),"MAX &lt; MB+LG; ","")&amp;IF(AND(CP207&gt;0,CO207*10&gt;CP207),"zu hoch für Tablar; ","")&amp;IF(AND(BV207=0,OR(CH207=1,AA207&lt;&gt;"",U207&lt;&gt;"",V207&lt;&gt;"",AB207&lt;&gt;"")),"manuell übersteuert; ","")&amp;IF(AND(BZ207=0,R207=0),"Gebinde unbekannt / Stellmass fehlt; ","")&amp;IF(AND(BZ207=0,N(V207)&lt;=0,N(Q207)&lt;=0),"Menge pro Gebinde fehlt (Ist = 1 Gebinde); ","")&amp;BU207)</f>
        <v/>
      </c>
      <c r="BN207" s="48"/>
      <c r="BO207" s="48"/>
      <c r="BP207" s="55"/>
      <c r="BQ207" s="50" t="n">
        <v>106</v>
      </c>
      <c r="BR207" s="50" t="n">
        <v>289</v>
      </c>
      <c r="BS207" s="49" t="n">
        <v>741.420000000001</v>
      </c>
      <c r="BT207" s="50" t="n">
        <v>1125</v>
      </c>
      <c r="BU207" s="48"/>
      <c r="BV207" s="53" t="n">
        <v>0</v>
      </c>
      <c r="BW207" s="53" t="n">
        <v>207</v>
      </c>
      <c r="BX207" s="48" t="str">
        <f aca="false">IF(U207&lt;&gt;"",UPPER(TRIM(U207)),IF(CA207=1,UPPER(VLOOKUP(T207,Parameter!$I$27:$K$29,2,0)),IF(P207="","LOSE",P207)))</f>
        <v>S52</v>
      </c>
      <c r="BY207" s="50" t="n">
        <f aca="false">IF(BX207="LOSE",1,IF(N(V207)&gt;0,V207,IF(CA207=1,MAX(1,N(VLOOKUP(T207,Parameter!$I$27:$K$29,3,0)),H207,N(N207)),IF(N(Q207)&gt;0,Q207,MAX(1,H207)))))</f>
        <v>951</v>
      </c>
      <c r="BZ207" s="53" t="n">
        <f aca="false">IF(BX207="LOSE",1,0)</f>
        <v>0</v>
      </c>
      <c r="CA207" s="53" t="n">
        <f aca="false">IF(AND(U207="",OR(P207="",P207="LOSE"),T207&lt;&gt;"",N(S207)&lt;=0,ISNUMBER(MATCH(T207,Parameter!$I$27:$I$29,0))),1,0)</f>
        <v>0</v>
      </c>
      <c r="CB207" s="53" t="n">
        <f aca="false">IF(CQ207&gt;0,INDEX(Parameter!$H$5:$H$7,W207)/INDEX(Parameter!$E$5:$E$7,W207),IF(AND(BZ207=0,N(IFERROR(VLOOKUP(BX207,'Gebinde-Kategorie'!$A$5:$N$45,14,0),0))&gt;0),VLOOKUP(BX207,'Gebinde-Kategorie'!$A$5:$N$45,14,0)*10+Parameter!$M$23,Parameter!$M$24))</f>
        <v>245</v>
      </c>
      <c r="CC207" s="48" t="str">
        <f aca="false">IF(AND(Parameter!$B$19="Ja",E207&lt;&gt;"",ISNUMBER(MATCH(E207,Parameter!$I$35:$I$52,0))),VLOOKUP(E207,Parameter!$I$35:$J$52,2,0),IFERROR(VLOOKUP(D207,Parameter!$A$35:$C$64,2,0),"Nein"))</f>
        <v>2+3</v>
      </c>
      <c r="CD207" s="52" t="n">
        <f aca="false">IF(BZ207=0,0,IF(N(S207)&gt;0,S207,IFERROR(VLOOKUP(D207,Parameter!$A$35:$C$64,3,0)+0,0)))</f>
        <v>0</v>
      </c>
      <c r="CE207" s="48" t="n">
        <f aca="false">IF(AA207&lt;&gt;"",AA207,Z207)</f>
        <v>3</v>
      </c>
      <c r="CF207" s="48" t="str">
        <f aca="false">IF(OR(CE207=1,CE207=2,CE207=3),IF(Parameter!$E$27="Ja","LIFT",IF(CE207=1,"L1","L23")),IF(CE207="Aussen","Aussen","-"))</f>
        <v>LIFT</v>
      </c>
      <c r="CG207" s="59" t="n">
        <f aca="false">IF(N(AB207)&gt;0,AB207,0)</f>
        <v>0</v>
      </c>
      <c r="CH207" s="53" t="n">
        <f aca="false">IF(ISNUMBER(AE207),1,0)</f>
        <v>0</v>
      </c>
      <c r="CI207" s="50" t="n">
        <f aca="false">N(AE207)</f>
        <v>0</v>
      </c>
      <c r="CJ207" s="50" t="n">
        <f aca="false">N(M207)+N(N207)</f>
        <v>565</v>
      </c>
      <c r="CK207" s="50" t="n">
        <f aca="false">N(M207)</f>
        <v>65</v>
      </c>
      <c r="CL207" s="50" t="n">
        <f aca="false">N(N207)</f>
        <v>500</v>
      </c>
      <c r="CM207" s="50" t="n">
        <f aca="false">ROUNDUP(H207/BY207,0)</f>
        <v>1</v>
      </c>
      <c r="CN207" s="50" t="n">
        <f aca="false">ROUNDUP(CI207/BY207,0)</f>
        <v>0</v>
      </c>
      <c r="CO207" s="53" t="n">
        <f aca="false">IF(BZ207=1,0,IFERROR(VLOOKUP(BX207,'Gebinde-Kategorie'!$A$5:$N$45,5,0)+0,0))</f>
        <v>21</v>
      </c>
      <c r="CP207" s="53" t="n">
        <f aca="false">IFERROR(IF(OR(CE207=1,CE207=2,CE207=3),N(INDEX(Parameter!$I$5:$I$7,CE207)),0),0)</f>
        <v>0</v>
      </c>
      <c r="CQ207" s="52" t="n">
        <f aca="false">IF(AND(Parameter!$B$21="Ja",ISNUMBER(W207),N(X207)&gt;0),IFERROR(N(INDEX(Parameter!$L$5:$L$7,W207))*INDEX(Parameter!$E$5:$E$7,W207)*X207/SUMIFS($X$7:$X$1843,$W$7:$W$1843,W207),0),0)</f>
        <v>0</v>
      </c>
    </row>
    <row r="208" customFormat="false" ht="15" hidden="false" customHeight="false" outlineLevel="0" collapsed="false">
      <c r="A208" s="48" t="s">
        <v>624</v>
      </c>
      <c r="B208" s="48" t="s">
        <v>440</v>
      </c>
      <c r="C208" s="48" t="s">
        <v>173</v>
      </c>
      <c r="D208" s="48" t="s">
        <v>193</v>
      </c>
      <c r="E208" s="48" t="s">
        <v>194</v>
      </c>
      <c r="F208" s="48" t="s">
        <v>227</v>
      </c>
      <c r="G208" s="49" t="n">
        <v>67.09</v>
      </c>
      <c r="H208" s="50" t="n">
        <f aca="false">MAX(0,IF(AND(Parameter!$B$21="Ja",ISNUMBER(Y208)),Y208,IF(Parameter!$B$20="Jahresanfang 2025 + Export",BR208+BQ208,BQ208)))</f>
        <v>34</v>
      </c>
      <c r="I208" s="50" t="n">
        <f aca="false">H208*G208</f>
        <v>2281.06</v>
      </c>
      <c r="J208" s="50" t="n">
        <f aca="false">BT208*Parameter!$B$18</f>
        <v>4</v>
      </c>
      <c r="K208" s="51" t="n">
        <v>21</v>
      </c>
      <c r="L208" s="52" t="n">
        <v>0.190476190476191</v>
      </c>
      <c r="M208" s="50" t="n">
        <v>0</v>
      </c>
      <c r="N208" s="50" t="n">
        <v>5</v>
      </c>
      <c r="O208" s="53" t="n">
        <v>70</v>
      </c>
      <c r="P208" s="48" t="s">
        <v>242</v>
      </c>
      <c r="Q208" s="50" t="n">
        <v>15</v>
      </c>
      <c r="R208" s="53" t="n">
        <f aca="false">IF(BZ208=1,0,IFERROR(VLOOKUP(BX208,'Gebinde-Kategorie'!$A$5:$N$45,13,0)+0,0))</f>
        <v>26</v>
      </c>
      <c r="S208" s="54"/>
      <c r="T208" s="55"/>
      <c r="U208" s="55"/>
      <c r="V208" s="55"/>
      <c r="W208" s="48"/>
      <c r="X208" s="50"/>
      <c r="Y208" s="50"/>
      <c r="Z208" s="48" t="n">
        <f aca="false">IF(A208="","",IF(AND(Parameter!$B$21="Ja",ISNUMBER(W208)),W208,IF(CC208="2+3",IF(ISNUMBER(SEARCH("grosser Artikel",BU208)),2,IFERROR(VLOOKUP(BX208,Parameter!$F$35:$G$64,2,0),2)),IF(OR(CC208="Nein",CC208=""),"-",CC208))))</f>
        <v>3</v>
      </c>
      <c r="AA208" s="55"/>
      <c r="AB208" s="56"/>
      <c r="AC208" s="50" t="n">
        <f aca="false">AV208</f>
        <v>5</v>
      </c>
      <c r="AD208" s="50" t="n">
        <f aca="false">MAX(AV208,H208)</f>
        <v>34</v>
      </c>
      <c r="AE208" s="57"/>
      <c r="AF208" s="50" t="n">
        <f aca="false">IF(LEFT(Cockpit!$C$5,1)="A",H208,IF(Parameter!$E$30="MAX-Bestand",IF(CH208=1,CI208,IF(LEFT(Cockpit!$C$5,1)="B",AL208,MAX(AL208,H208))),ROUNDUP(AJ208,0)))</f>
        <v>34</v>
      </c>
      <c r="AG208" s="50" t="n">
        <f aca="false">IF(BZ208=1,0,ROUNDUP(AF208/BY208,0))</f>
        <v>3</v>
      </c>
      <c r="AH208" s="52" t="n">
        <f aca="false">IF(CQ208&gt;0,CQ208*MAX(1,AF208/X208),IF(BZ208=1,IF(AF208&lt;=0,0,CD208*MAX(1,IF(H208&gt;0,AF208/H208,1))),IF(R208&gt;0,AG208/R208,0))/MAX(0.1,N(Parameter!$M$21)))</f>
        <v>0.115384615384615</v>
      </c>
      <c r="AI208" s="50" t="n">
        <f aca="false">AH208*CB208</f>
        <v>28.2692307692308</v>
      </c>
      <c r="AJ208" s="51" t="n">
        <f aca="false">IF(LEFT(Cockpit!$C$5,1)="A",H208,IF(CH208=1,(CK208+CI208)/2,IF(LEFT(Cockpit!$C$5,1)="B",(CK208+AL208)/2,MAX((CK208+AL208)/2,H208))))</f>
        <v>34</v>
      </c>
      <c r="AK208" s="50" t="n">
        <f aca="false">AJ208*G208</f>
        <v>2281.06</v>
      </c>
      <c r="AL208" s="50" t="n">
        <f aca="false">ROUNDUP(CK208+MAX(CL208,2*(J208/IF(CG208&gt;0,CG208,MAX(0.1,N(Cockpit!$C$6)))-CK208)),0)</f>
        <v>5</v>
      </c>
      <c r="AM208" s="51" t="n">
        <f aca="false">IF(AI208&gt;0,J208/AI208,-1)</f>
        <v>0.141496598639456</v>
      </c>
      <c r="AN208" s="51" t="n">
        <f aca="false">IF(AND(OR(CF208="L1",CF208="L23",CF208="LIFT"),AI208&gt;0),SUMIFS($AI$7:$AI$1843,$CF$7:$CF$1843,CF208,$AM$7:$AM$1843,"&gt;"&amp;AM208)+SUMIFS($AI$7:$AI$1843,$CF$7:$CF$1843,CF208,$AM$7:$AM$1843,AM208,$BW$7:$BW$1843,"&lt;="&amp;BW208),"")</f>
        <v>13152.842695205</v>
      </c>
      <c r="AO208" s="58" t="n">
        <f aca="false">IF(AN208="",0,MAX(0,MIN(1,(IF(CF208="L1",Parameter!$H$5,IF(CF208="L23",Parameter!$H$6+Parameter!$H$7,Parameter!$H$5+Parameter!$H$6+Parameter!$H$7))-(AN208-AI208))/AI208)))</f>
        <v>1</v>
      </c>
      <c r="AP208" s="50" t="n">
        <f aca="false">IF(LEFT(Cockpit!$I$5,1)="A",H208,IF(Parameter!$E$30="MAX-Bestand",IF(CH208=1,CI208,IF(LEFT(Cockpit!$I$5,1)="B",AV208,MAX(AV208,H208))),ROUNDUP(AT208,0)))</f>
        <v>34</v>
      </c>
      <c r="AQ208" s="50" t="n">
        <f aca="false">IF(BZ208=1,0,ROUNDUP(AP208/BY208,0))</f>
        <v>3</v>
      </c>
      <c r="AR208" s="52" t="n">
        <f aca="false">IF(CQ208&gt;0,CQ208*MAX(1,AP208/X208),IF(BZ208=1,IF(AP208&lt;=0,0,CD208*MAX(1,IF(H208&gt;0,AP208/H208,1))),IF(R208&gt;0,AQ208/R208,0))/MAX(0.1,N(Parameter!$M$21)))</f>
        <v>0.115384615384615</v>
      </c>
      <c r="AS208" s="50" t="n">
        <f aca="false">AR208*CB208</f>
        <v>28.2692307692308</v>
      </c>
      <c r="AT208" s="51" t="n">
        <f aca="false">IF(LEFT(Cockpit!$I$5,1)="A",H208,IF(CH208=1,(CK208+CI208)/2,IF(LEFT(Cockpit!$I$5,1)="B",(CK208+AV208)/2,MAX((CK208+AV208)/2,H208))))</f>
        <v>34</v>
      </c>
      <c r="AU208" s="50" t="n">
        <f aca="false">AT208*G208</f>
        <v>2281.06</v>
      </c>
      <c r="AV208" s="50" t="n">
        <f aca="false">ROUNDUP(CK208+MAX(CL208,2*(J208/IF(CG208&gt;0,CG208,MAX(0.1,N(Cockpit!$I$6)))-CK208)),0)</f>
        <v>5</v>
      </c>
      <c r="AW208" s="51" t="n">
        <f aca="false">IF(AS208&gt;0,J208/AS208,-1)</f>
        <v>0.141496598639456</v>
      </c>
      <c r="AX208" s="51" t="n">
        <f aca="false">IF(AND(OR(CF208="L1",CF208="L23",CF208="LIFT"),AS208&gt;0),SUMIFS($AS$7:$AS$1843,$CF$7:$CF$1843,CF208,$AW$7:$AW$1843,"&gt;"&amp;AW208)+SUMIFS($AS$7:$AS$1843,$CF$7:$CF$1843,CF208,$AW$7:$AW$1843,AW208,$BW$7:$BW$1843,"&lt;="&amp;BW208),"")</f>
        <v>17177.2413365824</v>
      </c>
      <c r="AY208" s="58" t="n">
        <f aca="false">IF(AX208="",0,MAX(0,MIN(1,(IF(CF208="L1",Parameter!$H$5,IF(CF208="L23",Parameter!$H$6+Parameter!$H$7,Parameter!$H$5+Parameter!$H$6+Parameter!$H$7))-(AX208-AS208))/AS208)))</f>
        <v>1</v>
      </c>
      <c r="AZ208" s="50" t="n">
        <f aca="false">IF(LEFT(Cockpit!$O$5,1)="A",H208,IF(Parameter!$E$30="MAX-Bestand",IF(CH208=1,CI208,IF(LEFT(Cockpit!$O$5,1)="B",BF208,MAX(BF208,H208))),ROUNDUP(BD208,0)))</f>
        <v>3</v>
      </c>
      <c r="BA208" s="50" t="n">
        <f aca="false">IF(BZ208=1,0,ROUNDUP(AZ208/BY208,0))</f>
        <v>1</v>
      </c>
      <c r="BB208" s="52" t="n">
        <f aca="false">IF(CQ208&gt;0,CQ208*MAX(1,AZ208/X208),IF(BZ208=1,IF(AZ208&lt;=0,0,CD208*MAX(1,IF(H208&gt;0,AZ208/H208,1))),IF(R208&gt;0,BA208/R208,0))/MAX(0.1,N(Parameter!$M$21)))</f>
        <v>0.0384615384615385</v>
      </c>
      <c r="BC208" s="50" t="n">
        <f aca="false">BB208*CB208</f>
        <v>9.42307692307692</v>
      </c>
      <c r="BD208" s="51" t="n">
        <f aca="false">IF(LEFT(Cockpit!$O$5,1)="A",H208,IF(CH208=1,(CK208+CI208)/2,IF(LEFT(Cockpit!$O$5,1)="B",(CK208+BF208)/2,MAX((CK208+BF208)/2,H208))))</f>
        <v>2.5</v>
      </c>
      <c r="BE208" s="50" t="n">
        <f aca="false">BD208*G208</f>
        <v>167.725</v>
      </c>
      <c r="BF208" s="50" t="n">
        <f aca="false">ROUNDUP(CK208+MAX(CL208,2*(J208/IF(CG208&gt;0,CG208,MAX(0.1,N(Cockpit!$O$6)))-CK208)),0)</f>
        <v>5</v>
      </c>
      <c r="BG208" s="51" t="n">
        <f aca="false">IF(BC208&gt;0,J208/BC208,-1)</f>
        <v>0.424489795918367</v>
      </c>
      <c r="BH208" s="51" t="n">
        <f aca="false">IF(AND(OR(CF208="L1",CF208="L23",CF208="LIFT"),BC208&gt;0),SUMIFS($BC$7:$BC$1843,$CF$7:$CF$1843,CF208,$BG$7:$BG$1843,"&gt;"&amp;BG208)+SUMIFS($BC$7:$BC$1843,$CF$7:$CF$1843,CF208,$BG$7:$BG$1843,BG208,$BW$7:$BW$1843,"&lt;="&amp;BW208),"")</f>
        <v>10606.4363553114</v>
      </c>
      <c r="BI208" s="58" t="n">
        <f aca="false">IF(BH208="",0,MAX(0,MIN(1,(IF(CF208="L1",Parameter!$H$5,IF(CF208="L23",Parameter!$H$6+Parameter!$H$7,Parameter!$H$5+Parameter!$H$6+Parameter!$H$7))-(BH208-BC208))/BC208)))</f>
        <v>1</v>
      </c>
      <c r="BJ208" s="48" t="str">
        <f aca="false">IF(AI208&lt;=0,"",IF(CF208="Aussen","Aussenlager",IF(CF208="-","Nicht im Lift",IF(AO208&gt;=1,"Lift",IF(AO208&lt;=0,"Aussenlager","teilweise")))))</f>
        <v>Lift</v>
      </c>
      <c r="BK208" s="48" t="str">
        <f aca="false">IF(AS208&lt;=0,"",IF(CF208="Aussen","Aussenlager",IF(CF208="-","Nicht im Lift",IF(AY208&gt;=1,"Lift",IF(AY208&lt;=0,"Aussenlager","teilweise")))))</f>
        <v>Lift</v>
      </c>
      <c r="BL208" s="48" t="str">
        <f aca="false">IF(BC208&lt;=0,"",IF(CF208="Aussen","Aussenlager",IF(CF208="-","Nicht im Lift",IF(BI208&gt;=1,"Lift",IF(BI208&lt;=0,"Aussenlager","teilweise")))))</f>
        <v>Lift</v>
      </c>
      <c r="BM208" s="48" t="str">
        <f aca="false">IF(A208="","",IF(BV208=1,"Neu; ","")&amp;IF(AND(BV208=0,BQ208&lt;0),"negativer Bestand (Export "&amp;BQ208&amp;"); ","")&amp;IF(J208&lt;=0,"Kein Verbrauch; ","")&amp;IF(CQ208&gt;0,"Lift "&amp;W208&amp;" lt. Liftbericht (Fach "&amp;X208&amp;" Stk); ",IF(CA208=1,"Gebinde geschätzt ("&amp;T208&amp;"); ",IF(BZ208=1,"Lose – Tablare geschätzt; ","")))&amp;IF(H208&gt;AV208,"Überbestand "&amp;ROUND(H208-AV208,0)&amp;" Stk / CHF "&amp;ROUND((H208-AV208)*G208,0)&amp;"; ","")&amp;IF(AND(CH208=1,CI208&lt;CJ208),"MAX &lt; MB+LG; ","")&amp;IF(AND(CP208&gt;0,CO208*10&gt;CP208),"zu hoch für Tablar; ","")&amp;IF(AND(BV208=0,OR(CH208=1,AA208&lt;&gt;"",U208&lt;&gt;"",V208&lt;&gt;"",AB208&lt;&gt;"")),"manuell übersteuert; ","")&amp;IF(AND(BZ208=0,R208=0),"Gebinde unbekannt / Stellmass fehlt; ","")&amp;IF(AND(BZ208=0,N(V208)&lt;=0,N(Q208)&lt;=0),"Menge pro Gebinde fehlt (Ist = 1 Gebinde); ","")&amp;BU208)</f>
        <v>Überbestand 29 Stk / CHF 1946; </v>
      </c>
      <c r="BN208" s="48"/>
      <c r="BO208" s="48"/>
      <c r="BP208" s="55"/>
      <c r="BQ208" s="50" t="n">
        <v>11</v>
      </c>
      <c r="BR208" s="50" t="n">
        <v>23</v>
      </c>
      <c r="BS208" s="49" t="n">
        <v>740.99</v>
      </c>
      <c r="BT208" s="50" t="n">
        <v>4</v>
      </c>
      <c r="BU208" s="48"/>
      <c r="BV208" s="53" t="n">
        <v>0</v>
      </c>
      <c r="BW208" s="53" t="n">
        <v>208</v>
      </c>
      <c r="BX208" s="48" t="str">
        <f aca="false">IF(U208&lt;&gt;"",UPPER(TRIM(U208)),IF(CA208=1,UPPER(VLOOKUP(T208,Parameter!$I$27:$K$29,2,0)),IF(P208="","LOSE",P208)))</f>
        <v>S52</v>
      </c>
      <c r="BY208" s="50" t="n">
        <f aca="false">IF(BX208="LOSE",1,IF(N(V208)&gt;0,V208,IF(CA208=1,MAX(1,N(VLOOKUP(T208,Parameter!$I$27:$K$29,3,0)),H208,N(N208)),IF(N(Q208)&gt;0,Q208,MAX(1,H208)))))</f>
        <v>15</v>
      </c>
      <c r="BZ208" s="53" t="n">
        <f aca="false">IF(BX208="LOSE",1,0)</f>
        <v>0</v>
      </c>
      <c r="CA208" s="53" t="n">
        <f aca="false">IF(AND(U208="",OR(P208="",P208="LOSE"),T208&lt;&gt;"",N(S208)&lt;=0,ISNUMBER(MATCH(T208,Parameter!$I$27:$I$29,0))),1,0)</f>
        <v>0</v>
      </c>
      <c r="CB208" s="53" t="n">
        <f aca="false">IF(CQ208&gt;0,INDEX(Parameter!$H$5:$H$7,W208)/INDEX(Parameter!$E$5:$E$7,W208),IF(AND(BZ208=0,N(IFERROR(VLOOKUP(BX208,'Gebinde-Kategorie'!$A$5:$N$45,14,0),0))&gt;0),VLOOKUP(BX208,'Gebinde-Kategorie'!$A$5:$N$45,14,0)*10+Parameter!$M$23,Parameter!$M$24))</f>
        <v>245</v>
      </c>
      <c r="CC208" s="48" t="str">
        <f aca="false">IF(AND(Parameter!$B$19="Ja",E208&lt;&gt;"",ISNUMBER(MATCH(E208,Parameter!$I$35:$I$52,0))),VLOOKUP(E208,Parameter!$I$35:$J$52,2,0),IFERROR(VLOOKUP(D208,Parameter!$A$35:$C$64,2,0),"Nein"))</f>
        <v>2+3</v>
      </c>
      <c r="CD208" s="52" t="n">
        <f aca="false">IF(BZ208=0,0,IF(N(S208)&gt;0,S208,IFERROR(VLOOKUP(D208,Parameter!$A$35:$C$64,3,0)+0,0)))</f>
        <v>0</v>
      </c>
      <c r="CE208" s="48" t="n">
        <f aca="false">IF(AA208&lt;&gt;"",AA208,Z208)</f>
        <v>3</v>
      </c>
      <c r="CF208" s="48" t="str">
        <f aca="false">IF(OR(CE208=1,CE208=2,CE208=3),IF(Parameter!$E$27="Ja","LIFT",IF(CE208=1,"L1","L23")),IF(CE208="Aussen","Aussen","-"))</f>
        <v>LIFT</v>
      </c>
      <c r="CG208" s="59" t="n">
        <f aca="false">IF(N(AB208)&gt;0,AB208,0)</f>
        <v>0</v>
      </c>
      <c r="CH208" s="53" t="n">
        <f aca="false">IF(ISNUMBER(AE208),1,0)</f>
        <v>0</v>
      </c>
      <c r="CI208" s="50" t="n">
        <f aca="false">N(AE208)</f>
        <v>0</v>
      </c>
      <c r="CJ208" s="50" t="n">
        <f aca="false">N(M208)+N(N208)</f>
        <v>5</v>
      </c>
      <c r="CK208" s="50" t="n">
        <f aca="false">N(M208)</f>
        <v>0</v>
      </c>
      <c r="CL208" s="50" t="n">
        <f aca="false">N(N208)</f>
        <v>5</v>
      </c>
      <c r="CM208" s="50" t="n">
        <f aca="false">ROUNDUP(H208/BY208,0)</f>
        <v>3</v>
      </c>
      <c r="CN208" s="50" t="n">
        <f aca="false">ROUNDUP(CI208/BY208,0)</f>
        <v>0</v>
      </c>
      <c r="CO208" s="53" t="n">
        <f aca="false">IF(BZ208=1,0,IFERROR(VLOOKUP(BX208,'Gebinde-Kategorie'!$A$5:$N$45,5,0)+0,0))</f>
        <v>21</v>
      </c>
      <c r="CP208" s="53" t="n">
        <f aca="false">IFERROR(IF(OR(CE208=1,CE208=2,CE208=3),N(INDEX(Parameter!$I$5:$I$7,CE208)),0),0)</f>
        <v>0</v>
      </c>
      <c r="CQ208" s="52" t="n">
        <f aca="false">IF(AND(Parameter!$B$21="Ja",ISNUMBER(W208),N(X208)&gt;0),IFERROR(N(INDEX(Parameter!$L$5:$L$7,W208))*INDEX(Parameter!$E$5:$E$7,W208)*X208/SUMIFS($X$7:$X$1843,$W$7:$W$1843,W208),0),0)</f>
        <v>0</v>
      </c>
    </row>
    <row r="209" customFormat="false" ht="15" hidden="false" customHeight="false" outlineLevel="0" collapsed="false">
      <c r="A209" s="48" t="s">
        <v>625</v>
      </c>
      <c r="B209" s="48" t="s">
        <v>498</v>
      </c>
      <c r="C209" s="48" t="s">
        <v>173</v>
      </c>
      <c r="D209" s="48" t="s">
        <v>193</v>
      </c>
      <c r="E209" s="48" t="s">
        <v>194</v>
      </c>
      <c r="F209" s="48" t="s">
        <v>227</v>
      </c>
      <c r="G209" s="49" t="n">
        <v>14.7</v>
      </c>
      <c r="H209" s="50" t="n">
        <f aca="false">MAX(0,IF(AND(Parameter!$B$21="Ja",ISNUMBER(Y209)),Y209,IF(Parameter!$B$20="Jahresanfang 2025 + Export",BR209+BQ209,BQ209)))</f>
        <v>136</v>
      </c>
      <c r="I209" s="50" t="n">
        <f aca="false">H209*G209</f>
        <v>1999.2</v>
      </c>
      <c r="J209" s="50" t="n">
        <f aca="false">BT209*Parameter!$B$18</f>
        <v>318</v>
      </c>
      <c r="K209" s="51" t="n">
        <v>76</v>
      </c>
      <c r="L209" s="52" t="n">
        <v>4.18421052631579</v>
      </c>
      <c r="M209" s="50" t="n">
        <v>10</v>
      </c>
      <c r="N209" s="50" t="n">
        <v>225</v>
      </c>
      <c r="O209" s="53" t="n">
        <v>7</v>
      </c>
      <c r="P209" s="48" t="s">
        <v>311</v>
      </c>
      <c r="Q209" s="50" t="n">
        <v>60</v>
      </c>
      <c r="R209" s="53" t="n">
        <f aca="false">IF(BZ209=1,0,IFERROR(VLOOKUP(BX209,'Gebinde-Kategorie'!$A$5:$N$45,13,0)+0,0))</f>
        <v>26</v>
      </c>
      <c r="S209" s="54"/>
      <c r="T209" s="55"/>
      <c r="U209" s="55"/>
      <c r="V209" s="55"/>
      <c r="W209" s="48"/>
      <c r="X209" s="50"/>
      <c r="Y209" s="50"/>
      <c r="Z209" s="48" t="n">
        <f aca="false">IF(A209="","",IF(AND(Parameter!$B$21="Ja",ISNUMBER(W209)),W209,IF(CC209="2+3",IF(ISNUMBER(SEARCH("grosser Artikel",BU209)),2,IFERROR(VLOOKUP(BX209,Parameter!$F$35:$G$64,2,0),2)),IF(OR(CC209="Nein",CC209=""),"-",CC209))))</f>
        <v>3</v>
      </c>
      <c r="AA209" s="55"/>
      <c r="AB209" s="56"/>
      <c r="AC209" s="50" t="n">
        <f aca="false">AV209</f>
        <v>235</v>
      </c>
      <c r="AD209" s="50" t="n">
        <f aca="false">MAX(AV209,H209)</f>
        <v>235</v>
      </c>
      <c r="AE209" s="57"/>
      <c r="AF209" s="50" t="n">
        <f aca="false">IF(LEFT(Cockpit!$C$5,1)="A",H209,IF(Parameter!$E$30="MAX-Bestand",IF(CH209=1,CI209,IF(LEFT(Cockpit!$C$5,1)="B",AL209,MAX(AL209,H209))),ROUNDUP(AJ209,0)))</f>
        <v>136</v>
      </c>
      <c r="AG209" s="50" t="n">
        <f aca="false">IF(BZ209=1,0,ROUNDUP(AF209/BY209,0))</f>
        <v>3</v>
      </c>
      <c r="AH209" s="52" t="n">
        <f aca="false">IF(CQ209&gt;0,CQ209*MAX(1,AF209/X209),IF(BZ209=1,IF(AF209&lt;=0,0,CD209*MAX(1,IF(H209&gt;0,AF209/H209,1))),IF(R209&gt;0,AG209/R209,0))/MAX(0.1,N(Parameter!$M$21)))</f>
        <v>0.115384615384615</v>
      </c>
      <c r="AI209" s="50" t="n">
        <f aca="false">AH209*CB209</f>
        <v>17.8846153846154</v>
      </c>
      <c r="AJ209" s="51" t="n">
        <f aca="false">IF(LEFT(Cockpit!$C$5,1)="A",H209,IF(CH209=1,(CK209+CI209)/2,IF(LEFT(Cockpit!$C$5,1)="B",(CK209+AL209)/2,MAX((CK209+AL209)/2,H209))))</f>
        <v>136</v>
      </c>
      <c r="AK209" s="50" t="n">
        <f aca="false">AJ209*G209</f>
        <v>1999.2</v>
      </c>
      <c r="AL209" s="50" t="n">
        <f aca="false">ROUNDUP(CK209+MAX(CL209,2*(J209/IF(CG209&gt;0,CG209,MAX(0.1,N(Cockpit!$C$6)))-CK209)),0)</f>
        <v>235</v>
      </c>
      <c r="AM209" s="51" t="n">
        <f aca="false">IF(AI209&gt;0,J209/AI209,-1)</f>
        <v>17.7806451612903</v>
      </c>
      <c r="AN209" s="51" t="n">
        <f aca="false">IF(AND(OR(CF209="L1",CF209="L23",CF209="LIFT"),AI209&gt;0),SUMIFS($AI$7:$AI$1843,$CF$7:$CF$1843,CF209,$AM$7:$AM$1843,"&gt;"&amp;AM209)+SUMIFS($AI$7:$AI$1843,$CF$7:$CF$1843,CF209,$AM$7:$AM$1843,AM209,$BW$7:$BW$1843,"&lt;="&amp;BW209),"")</f>
        <v>1916.73672161172</v>
      </c>
      <c r="AO209" s="58" t="n">
        <f aca="false">IF(AN209="",0,MAX(0,MIN(1,(IF(CF209="L1",Parameter!$H$5,IF(CF209="L23",Parameter!$H$6+Parameter!$H$7,Parameter!$H$5+Parameter!$H$6+Parameter!$H$7))-(AN209-AI209))/AI209)))</f>
        <v>1</v>
      </c>
      <c r="AP209" s="50" t="n">
        <f aca="false">IF(LEFT(Cockpit!$I$5,1)="A",H209,IF(Parameter!$E$30="MAX-Bestand",IF(CH209=1,CI209,IF(LEFT(Cockpit!$I$5,1)="B",AV209,MAX(AV209,H209))),ROUNDUP(AT209,0)))</f>
        <v>136</v>
      </c>
      <c r="AQ209" s="50" t="n">
        <f aca="false">IF(BZ209=1,0,ROUNDUP(AP209/BY209,0))</f>
        <v>3</v>
      </c>
      <c r="AR209" s="52" t="n">
        <f aca="false">IF(CQ209&gt;0,CQ209*MAX(1,AP209/X209),IF(BZ209=1,IF(AP209&lt;=0,0,CD209*MAX(1,IF(H209&gt;0,AP209/H209,1))),IF(R209&gt;0,AQ209/R209,0))/MAX(0.1,N(Parameter!$M$21)))</f>
        <v>0.115384615384615</v>
      </c>
      <c r="AS209" s="50" t="n">
        <f aca="false">AR209*CB209</f>
        <v>17.8846153846154</v>
      </c>
      <c r="AT209" s="51" t="n">
        <f aca="false">IF(LEFT(Cockpit!$I$5,1)="A",H209,IF(CH209=1,(CK209+CI209)/2,IF(LEFT(Cockpit!$I$5,1)="B",(CK209+AV209)/2,MAX((CK209+AV209)/2,H209))))</f>
        <v>136</v>
      </c>
      <c r="AU209" s="50" t="n">
        <f aca="false">AT209*G209</f>
        <v>1999.2</v>
      </c>
      <c r="AV209" s="50" t="n">
        <f aca="false">ROUNDUP(CK209+MAX(CL209,2*(J209/IF(CG209&gt;0,CG209,MAX(0.1,N(Cockpit!$I$6)))-CK209)),0)</f>
        <v>235</v>
      </c>
      <c r="AW209" s="51" t="n">
        <f aca="false">IF(AS209&gt;0,J209/AS209,-1)</f>
        <v>17.7806451612903</v>
      </c>
      <c r="AX209" s="51" t="n">
        <f aca="false">IF(AND(OR(CF209="L1",CF209="L23",CF209="LIFT"),AS209&gt;0),SUMIFS($AS$7:$AS$1843,$CF$7:$CF$1843,CF209,$AW$7:$AW$1843,"&gt;"&amp;AW209)+SUMIFS($AS$7:$AS$1843,$CF$7:$CF$1843,CF209,$AW$7:$AW$1843,AW209,$BW$7:$BW$1843,"&lt;="&amp;BW209),"")</f>
        <v>2553.8576007326</v>
      </c>
      <c r="AY209" s="58" t="n">
        <f aca="false">IF(AX209="",0,MAX(0,MIN(1,(IF(CF209="L1",Parameter!$H$5,IF(CF209="L23",Parameter!$H$6+Parameter!$H$7,Parameter!$H$5+Parameter!$H$6+Parameter!$H$7))-(AX209-AS209))/AS209)))</f>
        <v>1</v>
      </c>
      <c r="AZ209" s="50" t="n">
        <f aca="false">IF(LEFT(Cockpit!$O$5,1)="A",H209,IF(Parameter!$E$30="MAX-Bestand",IF(CH209=1,CI209,IF(LEFT(Cockpit!$O$5,1)="B",BF209,MAX(BF209,H209))),ROUNDUP(BD209,0)))</f>
        <v>123</v>
      </c>
      <c r="BA209" s="50" t="n">
        <f aca="false">IF(BZ209=1,0,ROUNDUP(AZ209/BY209,0))</f>
        <v>3</v>
      </c>
      <c r="BB209" s="52" t="n">
        <f aca="false">IF(CQ209&gt;0,CQ209*MAX(1,AZ209/X209),IF(BZ209=1,IF(AZ209&lt;=0,0,CD209*MAX(1,IF(H209&gt;0,AZ209/H209,1))),IF(R209&gt;0,BA209/R209,0))/MAX(0.1,N(Parameter!$M$21)))</f>
        <v>0.115384615384615</v>
      </c>
      <c r="BC209" s="50" t="n">
        <f aca="false">BB209*CB209</f>
        <v>17.8846153846154</v>
      </c>
      <c r="BD209" s="51" t="n">
        <f aca="false">IF(LEFT(Cockpit!$O$5,1)="A",H209,IF(CH209=1,(CK209+CI209)/2,IF(LEFT(Cockpit!$O$5,1)="B",(CK209+BF209)/2,MAX((CK209+BF209)/2,H209))))</f>
        <v>122.5</v>
      </c>
      <c r="BE209" s="50" t="n">
        <f aca="false">BD209*G209</f>
        <v>1800.75</v>
      </c>
      <c r="BF209" s="50" t="n">
        <f aca="false">ROUNDUP(CK209+MAX(CL209,2*(J209/IF(CG209&gt;0,CG209,MAX(0.1,N(Cockpit!$O$6)))-CK209)),0)</f>
        <v>235</v>
      </c>
      <c r="BG209" s="51" t="n">
        <f aca="false">IF(BC209&gt;0,J209/BC209,-1)</f>
        <v>17.7806451612903</v>
      </c>
      <c r="BH209" s="51" t="n">
        <f aca="false">IF(AND(OR(CF209="L1",CF209="L23",CF209="LIFT"),BC209&gt;0),SUMIFS($BC$7:$BC$1843,$CF$7:$CF$1843,CF209,$BG$7:$BG$1843,"&gt;"&amp;BG209)+SUMIFS($BC$7:$BC$1843,$CF$7:$CF$1843,CF209,$BG$7:$BG$1843,BG209,$BW$7:$BW$1843,"&lt;="&amp;BW209),"")</f>
        <v>2318.35164835165</v>
      </c>
      <c r="BI209" s="58" t="n">
        <f aca="false">IF(BH209="",0,MAX(0,MIN(1,(IF(CF209="L1",Parameter!$H$5,IF(CF209="L23",Parameter!$H$6+Parameter!$H$7,Parameter!$H$5+Parameter!$H$6+Parameter!$H$7))-(BH209-BC209))/BC209)))</f>
        <v>1</v>
      </c>
      <c r="BJ209" s="48" t="str">
        <f aca="false">IF(AI209&lt;=0,"",IF(CF209="Aussen","Aussenlager",IF(CF209="-","Nicht im Lift",IF(AO209&gt;=1,"Lift",IF(AO209&lt;=0,"Aussenlager","teilweise")))))</f>
        <v>Lift</v>
      </c>
      <c r="BK209" s="48" t="str">
        <f aca="false">IF(AS209&lt;=0,"",IF(CF209="Aussen","Aussenlager",IF(CF209="-","Nicht im Lift",IF(AY209&gt;=1,"Lift",IF(AY209&lt;=0,"Aussenlager","teilweise")))))</f>
        <v>Lift</v>
      </c>
      <c r="BL209" s="48" t="str">
        <f aca="false">IF(BC209&lt;=0,"",IF(CF209="Aussen","Aussenlager",IF(CF209="-","Nicht im Lift",IF(BI209&gt;=1,"Lift",IF(BI209&lt;=0,"Aussenlager","teilweise")))))</f>
        <v>Lift</v>
      </c>
      <c r="BM209" s="48" t="str">
        <f aca="false">IF(A209="","",IF(BV209=1,"Neu; ","")&amp;IF(AND(BV209=0,BQ209&lt;0),"negativer Bestand (Export "&amp;BQ209&amp;"); ","")&amp;IF(J209&lt;=0,"Kein Verbrauch; ","")&amp;IF(CQ209&gt;0,"Lift "&amp;W209&amp;" lt. Liftbericht (Fach "&amp;X209&amp;" Stk); ",IF(CA209=1,"Gebinde geschätzt ("&amp;T209&amp;"); ",IF(BZ209=1,"Lose – Tablare geschätzt; ","")))&amp;IF(H209&gt;AV209,"Überbestand "&amp;ROUND(H209-AV209,0)&amp;" Stk / CHF "&amp;ROUND((H209-AV209)*G209,0)&amp;"; ","")&amp;IF(AND(CH209=1,CI209&lt;CJ209),"MAX &lt; MB+LG; ","")&amp;IF(AND(CP209&gt;0,CO209*10&gt;CP209),"zu hoch für Tablar; ","")&amp;IF(AND(BV209=0,OR(CH209=1,AA209&lt;&gt;"",U209&lt;&gt;"",V209&lt;&gt;"",AB209&lt;&gt;"")),"manuell übersteuert; ","")&amp;IF(AND(BZ209=0,R209=0),"Gebinde unbekannt / Stellmass fehlt; ","")&amp;IF(AND(BZ209=0,N(V209)&lt;=0,N(Q209)&lt;=0),"Menge pro Gebinde fehlt (Ist = 1 Gebinde); ","")&amp;BU209)</f>
        <v/>
      </c>
      <c r="BN209" s="48"/>
      <c r="BO209" s="48"/>
      <c r="BP209" s="55"/>
      <c r="BQ209" s="50" t="n">
        <v>52</v>
      </c>
      <c r="BR209" s="50" t="n">
        <v>84</v>
      </c>
      <c r="BS209" s="49" t="n">
        <v>740.079999999999</v>
      </c>
      <c r="BT209" s="50" t="n">
        <v>318</v>
      </c>
      <c r="BU209" s="48"/>
      <c r="BV209" s="53" t="n">
        <v>0</v>
      </c>
      <c r="BW209" s="53" t="n">
        <v>209</v>
      </c>
      <c r="BX209" s="48" t="str">
        <f aca="false">IF(U209&lt;&gt;"",UPPER(TRIM(U209)),IF(CA209=1,UPPER(VLOOKUP(T209,Parameter!$I$27:$K$29,2,0)),IF(P209="","LOSE",P209)))</f>
        <v>S51</v>
      </c>
      <c r="BY209" s="50" t="n">
        <f aca="false">IF(BX209="LOSE",1,IF(N(V209)&gt;0,V209,IF(CA209=1,MAX(1,N(VLOOKUP(T209,Parameter!$I$27:$K$29,3,0)),H209,N(N209)),IF(N(Q209)&gt;0,Q209,MAX(1,H209)))))</f>
        <v>60</v>
      </c>
      <c r="BZ209" s="53" t="n">
        <f aca="false">IF(BX209="LOSE",1,0)</f>
        <v>0</v>
      </c>
      <c r="CA209" s="53" t="n">
        <f aca="false">IF(AND(U209="",OR(P209="",P209="LOSE"),T209&lt;&gt;"",N(S209)&lt;=0,ISNUMBER(MATCH(T209,Parameter!$I$27:$I$29,0))),1,0)</f>
        <v>0</v>
      </c>
      <c r="CB209" s="53" t="n">
        <f aca="false">IF(CQ209&gt;0,INDEX(Parameter!$H$5:$H$7,W209)/INDEX(Parameter!$E$5:$E$7,W209),IF(AND(BZ209=0,N(IFERROR(VLOOKUP(BX209,'Gebinde-Kategorie'!$A$5:$N$45,14,0),0))&gt;0),VLOOKUP(BX209,'Gebinde-Kategorie'!$A$5:$N$45,14,0)*10+Parameter!$M$23,Parameter!$M$24))</f>
        <v>155</v>
      </c>
      <c r="CC209" s="48" t="str">
        <f aca="false">IF(AND(Parameter!$B$19="Ja",E209&lt;&gt;"",ISNUMBER(MATCH(E209,Parameter!$I$35:$I$52,0))),VLOOKUP(E209,Parameter!$I$35:$J$52,2,0),IFERROR(VLOOKUP(D209,Parameter!$A$35:$C$64,2,0),"Nein"))</f>
        <v>2+3</v>
      </c>
      <c r="CD209" s="52" t="n">
        <f aca="false">IF(BZ209=0,0,IF(N(S209)&gt;0,S209,IFERROR(VLOOKUP(D209,Parameter!$A$35:$C$64,3,0)+0,0)))</f>
        <v>0</v>
      </c>
      <c r="CE209" s="48" t="n">
        <f aca="false">IF(AA209&lt;&gt;"",AA209,Z209)</f>
        <v>3</v>
      </c>
      <c r="CF209" s="48" t="str">
        <f aca="false">IF(OR(CE209=1,CE209=2,CE209=3),IF(Parameter!$E$27="Ja","LIFT",IF(CE209=1,"L1","L23")),IF(CE209="Aussen","Aussen","-"))</f>
        <v>LIFT</v>
      </c>
      <c r="CG209" s="59" t="n">
        <f aca="false">IF(N(AB209)&gt;0,AB209,0)</f>
        <v>0</v>
      </c>
      <c r="CH209" s="53" t="n">
        <f aca="false">IF(ISNUMBER(AE209),1,0)</f>
        <v>0</v>
      </c>
      <c r="CI209" s="50" t="n">
        <f aca="false">N(AE209)</f>
        <v>0</v>
      </c>
      <c r="CJ209" s="50" t="n">
        <f aca="false">N(M209)+N(N209)</f>
        <v>235</v>
      </c>
      <c r="CK209" s="50" t="n">
        <f aca="false">N(M209)</f>
        <v>10</v>
      </c>
      <c r="CL209" s="50" t="n">
        <f aca="false">N(N209)</f>
        <v>225</v>
      </c>
      <c r="CM209" s="50" t="n">
        <f aca="false">ROUNDUP(H209/BY209,0)</f>
        <v>3</v>
      </c>
      <c r="CN209" s="50" t="n">
        <f aca="false">ROUNDUP(CI209/BY209,0)</f>
        <v>0</v>
      </c>
      <c r="CO209" s="53" t="n">
        <f aca="false">IF(BZ209=1,0,IFERROR(VLOOKUP(BX209,'Gebinde-Kategorie'!$A$5:$N$45,5,0)+0,0))</f>
        <v>11</v>
      </c>
      <c r="CP209" s="53" t="n">
        <f aca="false">IFERROR(IF(OR(CE209=1,CE209=2,CE209=3),N(INDEX(Parameter!$I$5:$I$7,CE209)),0),0)</f>
        <v>0</v>
      </c>
      <c r="CQ209" s="52" t="n">
        <f aca="false">IF(AND(Parameter!$B$21="Ja",ISNUMBER(W209),N(X209)&gt;0),IFERROR(N(INDEX(Parameter!$L$5:$L$7,W209))*INDEX(Parameter!$E$5:$E$7,W209)*X209/SUMIFS($X$7:$X$1843,$W$7:$W$1843,W209),0),0)</f>
        <v>0</v>
      </c>
    </row>
    <row r="210" customFormat="false" ht="15" hidden="false" customHeight="false" outlineLevel="0" collapsed="false">
      <c r="A210" s="48" t="s">
        <v>626</v>
      </c>
      <c r="B210" s="48" t="s">
        <v>440</v>
      </c>
      <c r="C210" s="48" t="s">
        <v>173</v>
      </c>
      <c r="D210" s="48" t="s">
        <v>193</v>
      </c>
      <c r="E210" s="48"/>
      <c r="F210" s="48" t="s">
        <v>227</v>
      </c>
      <c r="G210" s="49" t="n">
        <v>244.93</v>
      </c>
      <c r="H210" s="50" t="n">
        <f aca="false">MAX(0,IF(AND(Parameter!$B$21="Ja",ISNUMBER(Y210)),Y210,IF(Parameter!$B$20="Jahresanfang 2025 + Export",BR210+BQ210,BQ210)))</f>
        <v>3</v>
      </c>
      <c r="I210" s="50" t="n">
        <f aca="false">H210*G210</f>
        <v>734.79</v>
      </c>
      <c r="J210" s="50" t="n">
        <f aca="false">BT210*Parameter!$B$18</f>
        <v>248</v>
      </c>
      <c r="K210" s="51" t="n">
        <v>1.5</v>
      </c>
      <c r="L210" s="52" t="n">
        <v>165.333333333333</v>
      </c>
      <c r="M210" s="50" t="n">
        <v>0</v>
      </c>
      <c r="N210" s="50" t="n">
        <v>0</v>
      </c>
      <c r="O210" s="53" t="n">
        <v>42</v>
      </c>
      <c r="P210" s="48" t="s">
        <v>235</v>
      </c>
      <c r="Q210" s="50" t="n">
        <v>80</v>
      </c>
      <c r="R210" s="53" t="n">
        <f aca="false">IF(BZ210=1,0,IFERROR(VLOOKUP(BX210,'Gebinde-Kategorie'!$A$5:$N$45,13,0)+0,0))</f>
        <v>12</v>
      </c>
      <c r="S210" s="54"/>
      <c r="T210" s="55"/>
      <c r="U210" s="55"/>
      <c r="V210" s="55"/>
      <c r="W210" s="48"/>
      <c r="X210" s="50"/>
      <c r="Y210" s="50"/>
      <c r="Z210" s="48" t="n">
        <f aca="false">IF(A210="","",IF(AND(Parameter!$B$21="Ja",ISNUMBER(W210)),W210,IF(CC210="2+3",IF(ISNUMBER(SEARCH("grosser Artikel",BU210)),2,IFERROR(VLOOKUP(BX210,Parameter!$F$35:$G$64,2,0),2)),IF(OR(CC210="Nein",CC210=""),"-",CC210))))</f>
        <v>2</v>
      </c>
      <c r="AA210" s="55"/>
      <c r="AB210" s="56"/>
      <c r="AC210" s="50" t="n">
        <f aca="false">AV210</f>
        <v>166</v>
      </c>
      <c r="AD210" s="50" t="n">
        <f aca="false">MAX(AV210,H210)</f>
        <v>166</v>
      </c>
      <c r="AE210" s="57"/>
      <c r="AF210" s="50" t="n">
        <f aca="false">IF(LEFT(Cockpit!$C$5,1)="A",H210,IF(Parameter!$E$30="MAX-Bestand",IF(CH210=1,CI210,IF(LEFT(Cockpit!$C$5,1)="B",AL210,MAX(AL210,H210))),ROUNDUP(AJ210,0)))</f>
        <v>3</v>
      </c>
      <c r="AG210" s="50" t="n">
        <f aca="false">IF(BZ210=1,0,ROUNDUP(AF210/BY210,0))</f>
        <v>1</v>
      </c>
      <c r="AH210" s="52" t="n">
        <f aca="false">IF(CQ210&gt;0,CQ210*MAX(1,AF210/X210),IF(BZ210=1,IF(AF210&lt;=0,0,CD210*MAX(1,IF(H210&gt;0,AF210/H210,1))),IF(R210&gt;0,AG210/R210,0))/MAX(0.1,N(Parameter!$M$21)))</f>
        <v>0.0833333333333333</v>
      </c>
      <c r="AI210" s="50" t="n">
        <f aca="false">AH210*CB210</f>
        <v>28.75</v>
      </c>
      <c r="AJ210" s="51" t="n">
        <f aca="false">IF(LEFT(Cockpit!$C$5,1)="A",H210,IF(CH210=1,(CK210+CI210)/2,IF(LEFT(Cockpit!$C$5,1)="B",(CK210+AL210)/2,MAX((CK210+AL210)/2,H210))))</f>
        <v>3</v>
      </c>
      <c r="AK210" s="50" t="n">
        <f aca="false">AJ210*G210</f>
        <v>734.79</v>
      </c>
      <c r="AL210" s="50" t="n">
        <f aca="false">ROUNDUP(CK210+MAX(CL210,2*(J210/IF(CG210&gt;0,CG210,MAX(0.1,N(Cockpit!$C$6)))-CK210)),0)</f>
        <v>166</v>
      </c>
      <c r="AM210" s="51" t="n">
        <f aca="false">IF(AI210&gt;0,J210/AI210,-1)</f>
        <v>8.62608695652174</v>
      </c>
      <c r="AN210" s="51" t="n">
        <f aca="false">IF(AND(OR(CF210="L1",CF210="L23",CF210="LIFT"),AI210&gt;0),SUMIFS($AI$7:$AI$1843,$CF$7:$CF$1843,CF210,$AM$7:$AM$1843,"&gt;"&amp;AM210)+SUMIFS($AI$7:$AI$1843,$CF$7:$CF$1843,CF210,$AM$7:$AM$1843,AM210,$BW$7:$BW$1843,"&lt;="&amp;BW210),"")</f>
        <v>2982.66071428571</v>
      </c>
      <c r="AO210" s="58" t="n">
        <f aca="false">IF(AN210="",0,MAX(0,MIN(1,(IF(CF210="L1",Parameter!$H$5,IF(CF210="L23",Parameter!$H$6+Parameter!$H$7,Parameter!$H$5+Parameter!$H$6+Parameter!$H$7))-(AN210-AI210))/AI210)))</f>
        <v>1</v>
      </c>
      <c r="AP210" s="50" t="n">
        <f aca="false">IF(LEFT(Cockpit!$I$5,1)="A",H210,IF(Parameter!$E$30="MAX-Bestand",IF(CH210=1,CI210,IF(LEFT(Cockpit!$I$5,1)="B",AV210,MAX(AV210,H210))),ROUNDUP(AT210,0)))</f>
        <v>83</v>
      </c>
      <c r="AQ210" s="50" t="n">
        <f aca="false">IF(BZ210=1,0,ROUNDUP(AP210/BY210,0))</f>
        <v>2</v>
      </c>
      <c r="AR210" s="52" t="n">
        <f aca="false">IF(CQ210&gt;0,CQ210*MAX(1,AP210/X210),IF(BZ210=1,IF(AP210&lt;=0,0,CD210*MAX(1,IF(H210&gt;0,AP210/H210,1))),IF(R210&gt;0,AQ210/R210,0))/MAX(0.1,N(Parameter!$M$21)))</f>
        <v>0.166666666666667</v>
      </c>
      <c r="AS210" s="50" t="n">
        <f aca="false">AR210*CB210</f>
        <v>57.5</v>
      </c>
      <c r="AT210" s="51" t="n">
        <f aca="false">IF(LEFT(Cockpit!$I$5,1)="A",H210,IF(CH210=1,(CK210+CI210)/2,IF(LEFT(Cockpit!$I$5,1)="B",(CK210+AV210)/2,MAX((CK210+AV210)/2,H210))))</f>
        <v>83</v>
      </c>
      <c r="AU210" s="50" t="n">
        <f aca="false">AT210*G210</f>
        <v>20329.19</v>
      </c>
      <c r="AV210" s="50" t="n">
        <f aca="false">ROUNDUP(CK210+MAX(CL210,2*(J210/IF(CG210&gt;0,CG210,MAX(0.1,N(Cockpit!$I$6)))-CK210)),0)</f>
        <v>166</v>
      </c>
      <c r="AW210" s="51" t="n">
        <f aca="false">IF(AS210&gt;0,J210/AS210,-1)</f>
        <v>4.31304347826087</v>
      </c>
      <c r="AX210" s="51" t="n">
        <f aca="false">IF(AND(OR(CF210="L1",CF210="L23",CF210="LIFT"),AS210&gt;0),SUMIFS($AS$7:$AS$1843,$CF$7:$CF$1843,CF210,$AW$7:$AW$1843,"&gt;"&amp;AW210)+SUMIFS($AS$7:$AS$1843,$CF$7:$CF$1843,CF210,$AW$7:$AW$1843,AW210,$BW$7:$BW$1843,"&lt;="&amp;BW210),"")</f>
        <v>4811.56456043956</v>
      </c>
      <c r="AY210" s="58" t="n">
        <f aca="false">IF(AX210="",0,MAX(0,MIN(1,(IF(CF210="L1",Parameter!$H$5,IF(CF210="L23",Parameter!$H$6+Parameter!$H$7,Parameter!$H$5+Parameter!$H$6+Parameter!$H$7))-(AX210-AS210))/AS210)))</f>
        <v>1</v>
      </c>
      <c r="AZ210" s="50" t="n">
        <f aca="false">IF(LEFT(Cockpit!$O$5,1)="A",H210,IF(Parameter!$E$30="MAX-Bestand",IF(CH210=1,CI210,IF(LEFT(Cockpit!$O$5,1)="B",BF210,MAX(BF210,H210))),ROUNDUP(BD210,0)))</f>
        <v>62</v>
      </c>
      <c r="BA210" s="50" t="n">
        <f aca="false">IF(BZ210=1,0,ROUNDUP(AZ210/BY210,0))</f>
        <v>1</v>
      </c>
      <c r="BB210" s="52" t="n">
        <f aca="false">IF(CQ210&gt;0,CQ210*MAX(1,AZ210/X210),IF(BZ210=1,IF(AZ210&lt;=0,0,CD210*MAX(1,IF(H210&gt;0,AZ210/H210,1))),IF(R210&gt;0,BA210/R210,0))/MAX(0.1,N(Parameter!$M$21)))</f>
        <v>0.0833333333333333</v>
      </c>
      <c r="BC210" s="50" t="n">
        <f aca="false">BB210*CB210</f>
        <v>28.75</v>
      </c>
      <c r="BD210" s="51" t="n">
        <f aca="false">IF(LEFT(Cockpit!$O$5,1)="A",H210,IF(CH210=1,(CK210+CI210)/2,IF(LEFT(Cockpit!$O$5,1)="B",(CK210+BF210)/2,MAX((CK210+BF210)/2,H210))))</f>
        <v>62</v>
      </c>
      <c r="BE210" s="50" t="n">
        <f aca="false">BD210*G210</f>
        <v>15185.66</v>
      </c>
      <c r="BF210" s="50" t="n">
        <f aca="false">ROUNDUP(CK210+MAX(CL210,2*(J210/IF(CG210&gt;0,CG210,MAX(0.1,N(Cockpit!$O$6)))-CK210)),0)</f>
        <v>124</v>
      </c>
      <c r="BG210" s="51" t="n">
        <f aca="false">IF(BC210&gt;0,J210/BC210,-1)</f>
        <v>8.62608695652174</v>
      </c>
      <c r="BH210" s="51" t="n">
        <f aca="false">IF(AND(OR(CF210="L1",CF210="L23",CF210="LIFT"),BC210&gt;0),SUMIFS($BC$7:$BC$1843,$CF$7:$CF$1843,CF210,$BG$7:$BG$1843,"&gt;"&amp;BG210)+SUMIFS($BC$7:$BC$1843,$CF$7:$CF$1843,CF210,$BG$7:$BG$1843,BG210,$BW$7:$BW$1843,"&lt;="&amp;BW210),"")</f>
        <v>2923.90888278388</v>
      </c>
      <c r="BI210" s="58" t="n">
        <f aca="false">IF(BH210="",0,MAX(0,MIN(1,(IF(CF210="L1",Parameter!$H$5,IF(CF210="L23",Parameter!$H$6+Parameter!$H$7,Parameter!$H$5+Parameter!$H$6+Parameter!$H$7))-(BH210-BC210))/BC210)))</f>
        <v>1</v>
      </c>
      <c r="BJ210" s="48" t="str">
        <f aca="false">IF(AI210&lt;=0,"",IF(CF210="Aussen","Aussenlager",IF(CF210="-","Nicht im Lift",IF(AO210&gt;=1,"Lift",IF(AO210&lt;=0,"Aussenlager","teilweise")))))</f>
        <v>Lift</v>
      </c>
      <c r="BK210" s="48" t="str">
        <f aca="false">IF(AS210&lt;=0,"",IF(CF210="Aussen","Aussenlager",IF(CF210="-","Nicht im Lift",IF(AY210&gt;=1,"Lift",IF(AY210&lt;=0,"Aussenlager","teilweise")))))</f>
        <v>Lift</v>
      </c>
      <c r="BL210" s="48" t="str">
        <f aca="false">IF(BC210&lt;=0,"",IF(CF210="Aussen","Aussenlager",IF(CF210="-","Nicht im Lift",IF(BI210&gt;=1,"Lift",IF(BI210&lt;=0,"Aussenlager","teilweise")))))</f>
        <v>Lift</v>
      </c>
      <c r="BM210" s="48" t="str">
        <f aca="false">IF(A210="","",IF(BV210=1,"Neu; ","")&amp;IF(AND(BV210=0,BQ210&lt;0),"negativer Bestand (Export "&amp;BQ210&amp;"); ","")&amp;IF(J210&lt;=0,"Kein Verbrauch; ","")&amp;IF(CQ210&gt;0,"Lift "&amp;W210&amp;" lt. Liftbericht (Fach "&amp;X210&amp;" Stk); ",IF(CA210=1,"Gebinde geschätzt ("&amp;T210&amp;"); ",IF(BZ210=1,"Lose – Tablare geschätzt; ","")))&amp;IF(H210&gt;AV210,"Überbestand "&amp;ROUND(H210-AV210,0)&amp;" Stk / CHF "&amp;ROUND((H210-AV210)*G210,0)&amp;"; ","")&amp;IF(AND(CH210=1,CI210&lt;CJ210),"MAX &lt; MB+LG; ","")&amp;IF(AND(CP210&gt;0,CO210*10&gt;CP210),"zu hoch für Tablar; ","")&amp;IF(AND(BV210=0,OR(CH210=1,AA210&lt;&gt;"",U210&lt;&gt;"",V210&lt;&gt;"",AB210&lt;&gt;"")),"manuell übersteuert; ","")&amp;IF(AND(BZ210=0,R210=0),"Gebinde unbekannt / Stellmass fehlt; ","")&amp;IF(AND(BZ210=0,N(V210)&lt;=0,N(Q210)&lt;=0),"Menge pro Gebinde fehlt (Ist = 1 Gebinde); ","")&amp;BU210)</f>
        <v/>
      </c>
      <c r="BN210" s="48"/>
      <c r="BO210" s="48"/>
      <c r="BP210" s="55"/>
      <c r="BQ210" s="50" t="n">
        <v>3</v>
      </c>
      <c r="BR210" s="50" t="n">
        <v>0</v>
      </c>
      <c r="BS210" s="49" t="n">
        <v>734.79</v>
      </c>
      <c r="BT210" s="50" t="n">
        <v>248</v>
      </c>
      <c r="BU210" s="48"/>
      <c r="BV210" s="53" t="n">
        <v>0</v>
      </c>
      <c r="BW210" s="53" t="n">
        <v>210</v>
      </c>
      <c r="BX210" s="48" t="str">
        <f aca="false">IF(U210&lt;&gt;"",UPPER(TRIM(U210)),IF(CA210=1,UPPER(VLOOKUP(T210,Parameter!$I$27:$K$29,2,0)),IF(P210="","LOSE",P210)))</f>
        <v>S63</v>
      </c>
      <c r="BY210" s="50" t="n">
        <f aca="false">IF(BX210="LOSE",1,IF(N(V210)&gt;0,V210,IF(CA210=1,MAX(1,N(VLOOKUP(T210,Parameter!$I$27:$K$29,3,0)),H210,N(N210)),IF(N(Q210)&gt;0,Q210,MAX(1,H210)))))</f>
        <v>80</v>
      </c>
      <c r="BZ210" s="53" t="n">
        <f aca="false">IF(BX210="LOSE",1,0)</f>
        <v>0</v>
      </c>
      <c r="CA210" s="53" t="n">
        <f aca="false">IF(AND(U210="",OR(P210="",P210="LOSE"),T210&lt;&gt;"",N(S210)&lt;=0,ISNUMBER(MATCH(T210,Parameter!$I$27:$I$29,0))),1,0)</f>
        <v>0</v>
      </c>
      <c r="CB210" s="53" t="n">
        <f aca="false">IF(CQ210&gt;0,INDEX(Parameter!$H$5:$H$7,W210)/INDEX(Parameter!$E$5:$E$7,W210),IF(AND(BZ210=0,N(IFERROR(VLOOKUP(BX210,'Gebinde-Kategorie'!$A$5:$N$45,14,0),0))&gt;0),VLOOKUP(BX210,'Gebinde-Kategorie'!$A$5:$N$45,14,0)*10+Parameter!$M$23,Parameter!$M$24))</f>
        <v>345</v>
      </c>
      <c r="CC210" s="48" t="str">
        <f aca="false">IF(AND(Parameter!$B$19="Ja",E210&lt;&gt;"",ISNUMBER(MATCH(E210,Parameter!$I$35:$I$52,0))),VLOOKUP(E210,Parameter!$I$35:$J$52,2,0),IFERROR(VLOOKUP(D210,Parameter!$A$35:$C$64,2,0),"Nein"))</f>
        <v>2+3</v>
      </c>
      <c r="CD210" s="52" t="n">
        <f aca="false">IF(BZ210=0,0,IF(N(S210)&gt;0,S210,IFERROR(VLOOKUP(D210,Parameter!$A$35:$C$64,3,0)+0,0)))</f>
        <v>0</v>
      </c>
      <c r="CE210" s="48" t="n">
        <f aca="false">IF(AA210&lt;&gt;"",AA210,Z210)</f>
        <v>2</v>
      </c>
      <c r="CF210" s="48" t="str">
        <f aca="false">IF(OR(CE210=1,CE210=2,CE210=3),IF(Parameter!$E$27="Ja","LIFT",IF(CE210=1,"L1","L23")),IF(CE210="Aussen","Aussen","-"))</f>
        <v>LIFT</v>
      </c>
      <c r="CG210" s="59" t="n">
        <f aca="false">IF(N(AB210)&gt;0,AB210,0)</f>
        <v>0</v>
      </c>
      <c r="CH210" s="53" t="n">
        <f aca="false">IF(ISNUMBER(AE210),1,0)</f>
        <v>0</v>
      </c>
      <c r="CI210" s="50" t="n">
        <f aca="false">N(AE210)</f>
        <v>0</v>
      </c>
      <c r="CJ210" s="50" t="n">
        <f aca="false">N(M210)+N(N210)</f>
        <v>0</v>
      </c>
      <c r="CK210" s="50" t="n">
        <f aca="false">N(M210)</f>
        <v>0</v>
      </c>
      <c r="CL210" s="50" t="n">
        <f aca="false">N(N210)</f>
        <v>0</v>
      </c>
      <c r="CM210" s="50" t="n">
        <f aca="false">ROUNDUP(H210/BY210,0)</f>
        <v>1</v>
      </c>
      <c r="CN210" s="50" t="n">
        <f aca="false">ROUNDUP(CI210/BY210,0)</f>
        <v>0</v>
      </c>
      <c r="CO210" s="53" t="n">
        <f aca="false">IF(BZ210=1,0,IFERROR(VLOOKUP(BX210,'Gebinde-Kategorie'!$A$5:$N$45,5,0)+0,0))</f>
        <v>31</v>
      </c>
      <c r="CP210" s="53" t="n">
        <f aca="false">IFERROR(IF(OR(CE210=1,CE210=2,CE210=3),N(INDEX(Parameter!$I$5:$I$7,CE210)),0),0)</f>
        <v>0</v>
      </c>
      <c r="CQ210" s="52" t="n">
        <f aca="false">IF(AND(Parameter!$B$21="Ja",ISNUMBER(W210),N(X210)&gt;0),IFERROR(N(INDEX(Parameter!$L$5:$L$7,W210))*INDEX(Parameter!$E$5:$E$7,W210)*X210/SUMIFS($X$7:$X$1843,$W$7:$W$1843,W210),0),0)</f>
        <v>0</v>
      </c>
    </row>
    <row r="211" customFormat="false" ht="15" hidden="false" customHeight="false" outlineLevel="0" collapsed="false">
      <c r="A211" s="48" t="s">
        <v>627</v>
      </c>
      <c r="B211" s="48" t="s">
        <v>628</v>
      </c>
      <c r="C211" s="48" t="s">
        <v>173</v>
      </c>
      <c r="D211" s="48" t="s">
        <v>193</v>
      </c>
      <c r="E211" s="48" t="s">
        <v>194</v>
      </c>
      <c r="F211" s="48" t="s">
        <v>227</v>
      </c>
      <c r="G211" s="49" t="n">
        <v>26.21</v>
      </c>
      <c r="H211" s="50" t="n">
        <f aca="false">MAX(0,IF(AND(Parameter!$B$21="Ja",ISNUMBER(Y211)),Y211,IF(Parameter!$B$20="Jahresanfang 2025 + Export",BR211+BQ211,BQ211)))</f>
        <v>257</v>
      </c>
      <c r="I211" s="50" t="n">
        <f aca="false">H211*G211</f>
        <v>6735.97</v>
      </c>
      <c r="J211" s="50" t="n">
        <f aca="false">BT211*Parameter!$B$18</f>
        <v>685</v>
      </c>
      <c r="K211" s="51" t="n">
        <v>242.5</v>
      </c>
      <c r="L211" s="52" t="n">
        <v>2.82474226804124</v>
      </c>
      <c r="M211" s="50" t="n">
        <v>39</v>
      </c>
      <c r="N211" s="50" t="n">
        <v>200</v>
      </c>
      <c r="O211" s="53" t="n">
        <v>21</v>
      </c>
      <c r="P211" s="48" t="s">
        <v>302</v>
      </c>
      <c r="Q211" s="50" t="n">
        <v>178</v>
      </c>
      <c r="R211" s="53" t="n">
        <f aca="false">IF(BZ211=1,0,IFERROR(VLOOKUP(BX211,'Gebinde-Kategorie'!$A$5:$N$45,13,0)+0,0))</f>
        <v>12</v>
      </c>
      <c r="S211" s="54"/>
      <c r="T211" s="55"/>
      <c r="U211" s="55"/>
      <c r="V211" s="55"/>
      <c r="W211" s="48"/>
      <c r="X211" s="50"/>
      <c r="Y211" s="50"/>
      <c r="Z211" s="48" t="n">
        <f aca="false">IF(A211="","",IF(AND(Parameter!$B$21="Ja",ISNUMBER(W211)),W211,IF(CC211="2+3",IF(ISNUMBER(SEARCH("grosser Artikel",BU211)),2,IFERROR(VLOOKUP(BX211,Parameter!$F$35:$G$64,2,0),2)),IF(OR(CC211="Nein",CC211=""),"-",CC211))))</f>
        <v>2</v>
      </c>
      <c r="AA211" s="55"/>
      <c r="AB211" s="56"/>
      <c r="AC211" s="50" t="n">
        <f aca="false">AV211</f>
        <v>418</v>
      </c>
      <c r="AD211" s="50" t="n">
        <f aca="false">MAX(AV211,H211)</f>
        <v>418</v>
      </c>
      <c r="AE211" s="57"/>
      <c r="AF211" s="50" t="n">
        <f aca="false">IF(LEFT(Cockpit!$C$5,1)="A",H211,IF(Parameter!$E$30="MAX-Bestand",IF(CH211=1,CI211,IF(LEFT(Cockpit!$C$5,1)="B",AL211,MAX(AL211,H211))),ROUNDUP(AJ211,0)))</f>
        <v>257</v>
      </c>
      <c r="AG211" s="50" t="n">
        <f aca="false">IF(BZ211=1,0,ROUNDUP(AF211/BY211,0))</f>
        <v>2</v>
      </c>
      <c r="AH211" s="52" t="n">
        <f aca="false">IF(CQ211&gt;0,CQ211*MAX(1,AF211/X211),IF(BZ211=1,IF(AF211&lt;=0,0,CD211*MAX(1,IF(H211&gt;0,AF211/H211,1))),IF(R211&gt;0,AG211/R211,0))/MAX(0.1,N(Parameter!$M$21)))</f>
        <v>0.166666666666667</v>
      </c>
      <c r="AI211" s="50" t="n">
        <f aca="false">AH211*CB211</f>
        <v>40.8333333333333</v>
      </c>
      <c r="AJ211" s="51" t="n">
        <f aca="false">IF(LEFT(Cockpit!$C$5,1)="A",H211,IF(CH211=1,(CK211+CI211)/2,IF(LEFT(Cockpit!$C$5,1)="B",(CK211+AL211)/2,MAX((CK211+AL211)/2,H211))))</f>
        <v>257</v>
      </c>
      <c r="AK211" s="50" t="n">
        <f aca="false">AJ211*G211</f>
        <v>6735.97</v>
      </c>
      <c r="AL211" s="50" t="n">
        <f aca="false">ROUNDUP(CK211+MAX(CL211,2*(J211/IF(CG211&gt;0,CG211,MAX(0.1,N(Cockpit!$C$6)))-CK211)),0)</f>
        <v>418</v>
      </c>
      <c r="AM211" s="51" t="n">
        <f aca="false">IF(AI211&gt;0,J211/AI211,-1)</f>
        <v>16.7755102040816</v>
      </c>
      <c r="AN211" s="51" t="n">
        <f aca="false">IF(AND(OR(CF211="L1",CF211="L23",CF211="LIFT"),AI211&gt;0),SUMIFS($AI$7:$AI$1843,$CF$7:$CF$1843,CF211,$AM$7:$AM$1843,"&gt;"&amp;AM211)+SUMIFS($AI$7:$AI$1843,$CF$7:$CF$1843,CF211,$AM$7:$AM$1843,AM211,$BW$7:$BW$1843,"&lt;="&amp;BW211),"")</f>
        <v>2008.24313186813</v>
      </c>
      <c r="AO211" s="58" t="n">
        <f aca="false">IF(AN211="",0,MAX(0,MIN(1,(IF(CF211="L1",Parameter!$H$5,IF(CF211="L23",Parameter!$H$6+Parameter!$H$7,Parameter!$H$5+Parameter!$H$6+Parameter!$H$7))-(AN211-AI211))/AI211)))</f>
        <v>1</v>
      </c>
      <c r="AP211" s="50" t="n">
        <f aca="false">IF(LEFT(Cockpit!$I$5,1)="A",H211,IF(Parameter!$E$30="MAX-Bestand",IF(CH211=1,CI211,IF(LEFT(Cockpit!$I$5,1)="B",AV211,MAX(AV211,H211))),ROUNDUP(AT211,0)))</f>
        <v>257</v>
      </c>
      <c r="AQ211" s="50" t="n">
        <f aca="false">IF(BZ211=1,0,ROUNDUP(AP211/BY211,0))</f>
        <v>2</v>
      </c>
      <c r="AR211" s="52" t="n">
        <f aca="false">IF(CQ211&gt;0,CQ211*MAX(1,AP211/X211),IF(BZ211=1,IF(AP211&lt;=0,0,CD211*MAX(1,IF(H211&gt;0,AP211/H211,1))),IF(R211&gt;0,AQ211/R211,0))/MAX(0.1,N(Parameter!$M$21)))</f>
        <v>0.166666666666667</v>
      </c>
      <c r="AS211" s="50" t="n">
        <f aca="false">AR211*CB211</f>
        <v>40.8333333333333</v>
      </c>
      <c r="AT211" s="51" t="n">
        <f aca="false">IF(LEFT(Cockpit!$I$5,1)="A",H211,IF(CH211=1,(CK211+CI211)/2,IF(LEFT(Cockpit!$I$5,1)="B",(CK211+AV211)/2,MAX((CK211+AV211)/2,H211))))</f>
        <v>257</v>
      </c>
      <c r="AU211" s="50" t="n">
        <f aca="false">AT211*G211</f>
        <v>6735.97</v>
      </c>
      <c r="AV211" s="50" t="n">
        <f aca="false">ROUNDUP(CK211+MAX(CL211,2*(J211/IF(CG211&gt;0,CG211,MAX(0.1,N(Cockpit!$I$6)))-CK211)),0)</f>
        <v>418</v>
      </c>
      <c r="AW211" s="51" t="n">
        <f aca="false">IF(AS211&gt;0,J211/AS211,-1)</f>
        <v>16.7755102040816</v>
      </c>
      <c r="AX211" s="51" t="n">
        <f aca="false">IF(AND(OR(CF211="L1",CF211="L23",CF211="LIFT"),AS211&gt;0),SUMIFS($AS$7:$AS$1843,$CF$7:$CF$1843,CF211,$AW$7:$AW$1843,"&gt;"&amp;AW211)+SUMIFS($AS$7:$AS$1843,$CF$7:$CF$1843,CF211,$AW$7:$AW$1843,AW211,$BW$7:$BW$1843,"&lt;="&amp;BW211),"")</f>
        <v>2645.36401098901</v>
      </c>
      <c r="AY211" s="58" t="n">
        <f aca="false">IF(AX211="",0,MAX(0,MIN(1,(IF(CF211="L1",Parameter!$H$5,IF(CF211="L23",Parameter!$H$6+Parameter!$H$7,Parameter!$H$5+Parameter!$H$6+Parameter!$H$7))-(AX211-AS211))/AS211)))</f>
        <v>1</v>
      </c>
      <c r="AZ211" s="50" t="n">
        <f aca="false">IF(LEFT(Cockpit!$O$5,1)="A",H211,IF(Parameter!$E$30="MAX-Bestand",IF(CH211=1,CI211,IF(LEFT(Cockpit!$O$5,1)="B",BF211,MAX(BF211,H211))),ROUNDUP(BD211,0)))</f>
        <v>172</v>
      </c>
      <c r="BA211" s="50" t="n">
        <f aca="false">IF(BZ211=1,0,ROUNDUP(AZ211/BY211,0))</f>
        <v>1</v>
      </c>
      <c r="BB211" s="52" t="n">
        <f aca="false">IF(CQ211&gt;0,CQ211*MAX(1,AZ211/X211),IF(BZ211=1,IF(AZ211&lt;=0,0,CD211*MAX(1,IF(H211&gt;0,AZ211/H211,1))),IF(R211&gt;0,BA211/R211,0))/MAX(0.1,N(Parameter!$M$21)))</f>
        <v>0.0833333333333333</v>
      </c>
      <c r="BC211" s="50" t="n">
        <f aca="false">BB211*CB211</f>
        <v>20.4166666666667</v>
      </c>
      <c r="BD211" s="51" t="n">
        <f aca="false">IF(LEFT(Cockpit!$O$5,1)="A",H211,IF(CH211=1,(CK211+CI211)/2,IF(LEFT(Cockpit!$O$5,1)="B",(CK211+BF211)/2,MAX((CK211+BF211)/2,H211))))</f>
        <v>171.5</v>
      </c>
      <c r="BE211" s="50" t="n">
        <f aca="false">BD211*G211</f>
        <v>4495.015</v>
      </c>
      <c r="BF211" s="50" t="n">
        <f aca="false">ROUNDUP(CK211+MAX(CL211,2*(J211/IF(CG211&gt;0,CG211,MAX(0.1,N(Cockpit!$O$6)))-CK211)),0)</f>
        <v>304</v>
      </c>
      <c r="BG211" s="51" t="n">
        <f aca="false">IF(BC211&gt;0,J211/BC211,-1)</f>
        <v>33.5510204081633</v>
      </c>
      <c r="BH211" s="51" t="n">
        <f aca="false">IF(AND(OR(CF211="L1",CF211="L23",CF211="LIFT"),BC211&gt;0),SUMIFS($BC$7:$BC$1843,$CF$7:$CF$1843,CF211,$BG$7:$BG$1843,"&gt;"&amp;BG211)+SUMIFS($BC$7:$BC$1843,$CF$7:$CF$1843,CF211,$BG$7:$BG$1843,BG211,$BW$7:$BW$1843,"&lt;="&amp;BW211),"")</f>
        <v>1571.1217948718</v>
      </c>
      <c r="BI211" s="58" t="n">
        <f aca="false">IF(BH211="",0,MAX(0,MIN(1,(IF(CF211="L1",Parameter!$H$5,IF(CF211="L23",Parameter!$H$6+Parameter!$H$7,Parameter!$H$5+Parameter!$H$6+Parameter!$H$7))-(BH211-BC211))/BC211)))</f>
        <v>1</v>
      </c>
      <c r="BJ211" s="48" t="str">
        <f aca="false">IF(AI211&lt;=0,"",IF(CF211="Aussen","Aussenlager",IF(CF211="-","Nicht im Lift",IF(AO211&gt;=1,"Lift",IF(AO211&lt;=0,"Aussenlager","teilweise")))))</f>
        <v>Lift</v>
      </c>
      <c r="BK211" s="48" t="str">
        <f aca="false">IF(AS211&lt;=0,"",IF(CF211="Aussen","Aussenlager",IF(CF211="-","Nicht im Lift",IF(AY211&gt;=1,"Lift",IF(AY211&lt;=0,"Aussenlager","teilweise")))))</f>
        <v>Lift</v>
      </c>
      <c r="BL211" s="48" t="str">
        <f aca="false">IF(BC211&lt;=0,"",IF(CF211="Aussen","Aussenlager",IF(CF211="-","Nicht im Lift",IF(BI211&gt;=1,"Lift",IF(BI211&lt;=0,"Aussenlager","teilweise")))))</f>
        <v>Lift</v>
      </c>
      <c r="BM211" s="48" t="str">
        <f aca="false">IF(A211="","",IF(BV211=1,"Neu; ","")&amp;IF(AND(BV211=0,BQ211&lt;0),"negativer Bestand (Export "&amp;BQ211&amp;"); ","")&amp;IF(J211&lt;=0,"Kein Verbrauch; ","")&amp;IF(CQ211&gt;0,"Lift "&amp;W211&amp;" lt. Liftbericht (Fach "&amp;X211&amp;" Stk); ",IF(CA211=1,"Gebinde geschätzt ("&amp;T211&amp;"); ",IF(BZ211=1,"Lose – Tablare geschätzt; ","")))&amp;IF(H211&gt;AV211,"Überbestand "&amp;ROUND(H211-AV211,0)&amp;" Stk / CHF "&amp;ROUND((H211-AV211)*G211,0)&amp;"; ","")&amp;IF(AND(CH211=1,CI211&lt;CJ211),"MAX &lt; MB+LG; ","")&amp;IF(AND(CP211&gt;0,CO211*10&gt;CP211),"zu hoch für Tablar; ","")&amp;IF(AND(BV211=0,OR(CH211=1,AA211&lt;&gt;"",U211&lt;&gt;"",V211&lt;&gt;"",AB211&lt;&gt;"")),"manuell übersteuert; ","")&amp;IF(AND(BZ211=0,R211=0),"Gebinde unbekannt / Stellmass fehlt; ","")&amp;IF(AND(BZ211=0,N(V211)&lt;=0,N(Q211)&lt;=0),"Menge pro Gebinde fehlt (Ist = 1 Gebinde); ","")&amp;BU211)</f>
        <v/>
      </c>
      <c r="BN211" s="48"/>
      <c r="BO211" s="48"/>
      <c r="BP211" s="55"/>
      <c r="BQ211" s="50" t="n">
        <v>77</v>
      </c>
      <c r="BR211" s="50" t="n">
        <v>180</v>
      </c>
      <c r="BS211" s="49" t="n">
        <v>729.890000000004</v>
      </c>
      <c r="BT211" s="50" t="n">
        <v>685</v>
      </c>
      <c r="BU211" s="48"/>
      <c r="BV211" s="53" t="n">
        <v>0</v>
      </c>
      <c r="BW211" s="53" t="n">
        <v>211</v>
      </c>
      <c r="BX211" s="48" t="str">
        <f aca="false">IF(U211&lt;&gt;"",UPPER(TRIM(U211)),IF(CA211=1,UPPER(VLOOKUP(T211,Parameter!$I$27:$K$29,2,0)),IF(P211="","LOSE",P211)))</f>
        <v>S62</v>
      </c>
      <c r="BY211" s="50" t="n">
        <f aca="false">IF(BX211="LOSE",1,IF(N(V211)&gt;0,V211,IF(CA211=1,MAX(1,N(VLOOKUP(T211,Parameter!$I$27:$K$29,3,0)),H211,N(N211)),IF(N(Q211)&gt;0,Q211,MAX(1,H211)))))</f>
        <v>178</v>
      </c>
      <c r="BZ211" s="53" t="n">
        <f aca="false">IF(BX211="LOSE",1,0)</f>
        <v>0</v>
      </c>
      <c r="CA211" s="53" t="n">
        <f aca="false">IF(AND(U211="",OR(P211="",P211="LOSE"),T211&lt;&gt;"",N(S211)&lt;=0,ISNUMBER(MATCH(T211,Parameter!$I$27:$I$29,0))),1,0)</f>
        <v>0</v>
      </c>
      <c r="CB211" s="53" t="n">
        <f aca="false">IF(CQ211&gt;0,INDEX(Parameter!$H$5:$H$7,W211)/INDEX(Parameter!$E$5:$E$7,W211),IF(AND(BZ211=0,N(IFERROR(VLOOKUP(BX211,'Gebinde-Kategorie'!$A$5:$N$45,14,0),0))&gt;0),VLOOKUP(BX211,'Gebinde-Kategorie'!$A$5:$N$45,14,0)*10+Parameter!$M$23,Parameter!$M$24))</f>
        <v>245</v>
      </c>
      <c r="CC211" s="48" t="str">
        <f aca="false">IF(AND(Parameter!$B$19="Ja",E211&lt;&gt;"",ISNUMBER(MATCH(E211,Parameter!$I$35:$I$52,0))),VLOOKUP(E211,Parameter!$I$35:$J$52,2,0),IFERROR(VLOOKUP(D211,Parameter!$A$35:$C$64,2,0),"Nein"))</f>
        <v>2+3</v>
      </c>
      <c r="CD211" s="52" t="n">
        <f aca="false">IF(BZ211=0,0,IF(N(S211)&gt;0,S211,IFERROR(VLOOKUP(D211,Parameter!$A$35:$C$64,3,0)+0,0)))</f>
        <v>0</v>
      </c>
      <c r="CE211" s="48" t="n">
        <f aca="false">IF(AA211&lt;&gt;"",AA211,Z211)</f>
        <v>2</v>
      </c>
      <c r="CF211" s="48" t="str">
        <f aca="false">IF(OR(CE211=1,CE211=2,CE211=3),IF(Parameter!$E$27="Ja","LIFT",IF(CE211=1,"L1","L23")),IF(CE211="Aussen","Aussen","-"))</f>
        <v>LIFT</v>
      </c>
      <c r="CG211" s="59" t="n">
        <f aca="false">IF(N(AB211)&gt;0,AB211,0)</f>
        <v>0</v>
      </c>
      <c r="CH211" s="53" t="n">
        <f aca="false">IF(ISNUMBER(AE211),1,0)</f>
        <v>0</v>
      </c>
      <c r="CI211" s="50" t="n">
        <f aca="false">N(AE211)</f>
        <v>0</v>
      </c>
      <c r="CJ211" s="50" t="n">
        <f aca="false">N(M211)+N(N211)</f>
        <v>239</v>
      </c>
      <c r="CK211" s="50" t="n">
        <f aca="false">N(M211)</f>
        <v>39</v>
      </c>
      <c r="CL211" s="50" t="n">
        <f aca="false">N(N211)</f>
        <v>200</v>
      </c>
      <c r="CM211" s="50" t="n">
        <f aca="false">ROUNDUP(H211/BY211,0)</f>
        <v>2</v>
      </c>
      <c r="CN211" s="50" t="n">
        <f aca="false">ROUNDUP(CI211/BY211,0)</f>
        <v>0</v>
      </c>
      <c r="CO211" s="53" t="n">
        <f aca="false">IF(BZ211=1,0,IFERROR(VLOOKUP(BX211,'Gebinde-Kategorie'!$A$5:$N$45,5,0)+0,0))</f>
        <v>21</v>
      </c>
      <c r="CP211" s="53" t="n">
        <f aca="false">IFERROR(IF(OR(CE211=1,CE211=2,CE211=3),N(INDEX(Parameter!$I$5:$I$7,CE211)),0),0)</f>
        <v>0</v>
      </c>
      <c r="CQ211" s="52" t="n">
        <f aca="false">IF(AND(Parameter!$B$21="Ja",ISNUMBER(W211),N(X211)&gt;0),IFERROR(N(INDEX(Parameter!$L$5:$L$7,W211))*INDEX(Parameter!$E$5:$E$7,W211)*X211/SUMIFS($X$7:$X$1843,$W$7:$W$1843,W211),0),0)</f>
        <v>0</v>
      </c>
    </row>
    <row r="212" customFormat="false" ht="15" hidden="false" customHeight="false" outlineLevel="0" collapsed="false">
      <c r="A212" s="48" t="s">
        <v>629</v>
      </c>
      <c r="B212" s="48" t="s">
        <v>630</v>
      </c>
      <c r="C212" s="48" t="s">
        <v>173</v>
      </c>
      <c r="D212" s="48" t="s">
        <v>193</v>
      </c>
      <c r="E212" s="48" t="s">
        <v>194</v>
      </c>
      <c r="F212" s="48" t="s">
        <v>227</v>
      </c>
      <c r="G212" s="49" t="n">
        <v>19.3</v>
      </c>
      <c r="H212" s="50" t="n">
        <f aca="false">MAX(0,IF(AND(Parameter!$B$21="Ja",ISNUMBER(Y212)),Y212,IF(Parameter!$B$20="Jahresanfang 2025 + Export",BR212+BQ212,BQ212)))</f>
        <v>65</v>
      </c>
      <c r="I212" s="50" t="n">
        <f aca="false">H212*G212</f>
        <v>1254.5</v>
      </c>
      <c r="J212" s="50" t="n">
        <f aca="false">BT212*Parameter!$B$18</f>
        <v>56</v>
      </c>
      <c r="K212" s="51" t="n">
        <v>80</v>
      </c>
      <c r="L212" s="52" t="n">
        <v>0.7</v>
      </c>
      <c r="M212" s="50" t="n">
        <v>9</v>
      </c>
      <c r="N212" s="50" t="n">
        <v>55</v>
      </c>
      <c r="O212" s="53" t="n">
        <v>63</v>
      </c>
      <c r="P212" s="48" t="s">
        <v>337</v>
      </c>
      <c r="Q212" s="50" t="n">
        <v>66</v>
      </c>
      <c r="R212" s="53" t="n">
        <f aca="false">IF(BZ212=1,0,IFERROR(VLOOKUP(BX212,'Gebinde-Kategorie'!$A$5:$N$45,13,0)+0,0))</f>
        <v>52</v>
      </c>
      <c r="S212" s="54"/>
      <c r="T212" s="55"/>
      <c r="U212" s="55"/>
      <c r="V212" s="55"/>
      <c r="W212" s="48"/>
      <c r="X212" s="50"/>
      <c r="Y212" s="50"/>
      <c r="Z212" s="48" t="n">
        <f aca="false">IF(A212="","",IF(AND(Parameter!$B$21="Ja",ISNUMBER(W212)),W212,IF(CC212="2+3",IF(ISNUMBER(SEARCH("grosser Artikel",BU212)),2,IFERROR(VLOOKUP(BX212,Parameter!$F$35:$G$64,2,0),2)),IF(OR(CC212="Nein",CC212=""),"-",CC212))))</f>
        <v>3</v>
      </c>
      <c r="AA212" s="55"/>
      <c r="AB212" s="56"/>
      <c r="AC212" s="50" t="n">
        <f aca="false">AV212</f>
        <v>64</v>
      </c>
      <c r="AD212" s="50" t="n">
        <f aca="false">MAX(AV212,H212)</f>
        <v>65</v>
      </c>
      <c r="AE212" s="57"/>
      <c r="AF212" s="50" t="n">
        <f aca="false">IF(LEFT(Cockpit!$C$5,1)="A",H212,IF(Parameter!$E$30="MAX-Bestand",IF(CH212=1,CI212,IF(LEFT(Cockpit!$C$5,1)="B",AL212,MAX(AL212,H212))),ROUNDUP(AJ212,0)))</f>
        <v>65</v>
      </c>
      <c r="AG212" s="50" t="n">
        <f aca="false">IF(BZ212=1,0,ROUNDUP(AF212/BY212,0))</f>
        <v>1</v>
      </c>
      <c r="AH212" s="52" t="n">
        <f aca="false">IF(CQ212&gt;0,CQ212*MAX(1,AF212/X212),IF(BZ212=1,IF(AF212&lt;=0,0,CD212*MAX(1,IF(H212&gt;0,AF212/H212,1))),IF(R212&gt;0,AG212/R212,0))/MAX(0.1,N(Parameter!$M$21)))</f>
        <v>0.0192307692307692</v>
      </c>
      <c r="AI212" s="50" t="n">
        <f aca="false">AH212*CB212</f>
        <v>2.98076923076923</v>
      </c>
      <c r="AJ212" s="51" t="n">
        <f aca="false">IF(LEFT(Cockpit!$C$5,1)="A",H212,IF(CH212=1,(CK212+CI212)/2,IF(LEFT(Cockpit!$C$5,1)="B",(CK212+AL212)/2,MAX((CK212+AL212)/2,H212))))</f>
        <v>65</v>
      </c>
      <c r="AK212" s="50" t="n">
        <f aca="false">AJ212*G212</f>
        <v>1254.5</v>
      </c>
      <c r="AL212" s="50" t="n">
        <f aca="false">ROUNDUP(CK212+MAX(CL212,2*(J212/IF(CG212&gt;0,CG212,MAX(0.1,N(Cockpit!$C$6)))-CK212)),0)</f>
        <v>64</v>
      </c>
      <c r="AM212" s="51" t="n">
        <f aca="false">IF(AI212&gt;0,J212/AI212,-1)</f>
        <v>18.7870967741935</v>
      </c>
      <c r="AN212" s="51" t="n">
        <f aca="false">IF(AND(OR(CF212="L1",CF212="L23",CF212="LIFT"),AI212&gt;0),SUMIFS($AI$7:$AI$1843,$CF$7:$CF$1843,CF212,$AM$7:$AM$1843,"&gt;"&amp;AM212)+SUMIFS($AI$7:$AI$1843,$CF$7:$CF$1843,CF212,$AM$7:$AM$1843,AM212,$BW$7:$BW$1843,"&lt;="&amp;BW212),"")</f>
        <v>1769.3315018315</v>
      </c>
      <c r="AO212" s="58" t="n">
        <f aca="false">IF(AN212="",0,MAX(0,MIN(1,(IF(CF212="L1",Parameter!$H$5,IF(CF212="L23",Parameter!$H$6+Parameter!$H$7,Parameter!$H$5+Parameter!$H$6+Parameter!$H$7))-(AN212-AI212))/AI212)))</f>
        <v>1</v>
      </c>
      <c r="AP212" s="50" t="n">
        <f aca="false">IF(LEFT(Cockpit!$I$5,1)="A",H212,IF(Parameter!$E$30="MAX-Bestand",IF(CH212=1,CI212,IF(LEFT(Cockpit!$I$5,1)="B",AV212,MAX(AV212,H212))),ROUNDUP(AT212,0)))</f>
        <v>65</v>
      </c>
      <c r="AQ212" s="50" t="n">
        <f aca="false">IF(BZ212=1,0,ROUNDUP(AP212/BY212,0))</f>
        <v>1</v>
      </c>
      <c r="AR212" s="52" t="n">
        <f aca="false">IF(CQ212&gt;0,CQ212*MAX(1,AP212/X212),IF(BZ212=1,IF(AP212&lt;=0,0,CD212*MAX(1,IF(H212&gt;0,AP212/H212,1))),IF(R212&gt;0,AQ212/R212,0))/MAX(0.1,N(Parameter!$M$21)))</f>
        <v>0.0192307692307692</v>
      </c>
      <c r="AS212" s="50" t="n">
        <f aca="false">AR212*CB212</f>
        <v>2.98076923076923</v>
      </c>
      <c r="AT212" s="51" t="n">
        <f aca="false">IF(LEFT(Cockpit!$I$5,1)="A",H212,IF(CH212=1,(CK212+CI212)/2,IF(LEFT(Cockpit!$I$5,1)="B",(CK212+AV212)/2,MAX((CK212+AV212)/2,H212))))</f>
        <v>65</v>
      </c>
      <c r="AU212" s="50" t="n">
        <f aca="false">AT212*G212</f>
        <v>1254.5</v>
      </c>
      <c r="AV212" s="50" t="n">
        <f aca="false">ROUNDUP(CK212+MAX(CL212,2*(J212/IF(CG212&gt;0,CG212,MAX(0.1,N(Cockpit!$I$6)))-CK212)),0)</f>
        <v>64</v>
      </c>
      <c r="AW212" s="51" t="n">
        <f aca="false">IF(AS212&gt;0,J212/AS212,-1)</f>
        <v>18.7870967741935</v>
      </c>
      <c r="AX212" s="51" t="n">
        <f aca="false">IF(AND(OR(CF212="L1",CF212="L23",CF212="LIFT"),AS212&gt;0),SUMIFS($AS$7:$AS$1843,$CF$7:$CF$1843,CF212,$AW$7:$AW$1843,"&gt;"&amp;AW212)+SUMIFS($AS$7:$AS$1843,$CF$7:$CF$1843,CF212,$AW$7:$AW$1843,AW212,$BW$7:$BW$1843,"&lt;="&amp;BW212),"")</f>
        <v>2406.45238095238</v>
      </c>
      <c r="AY212" s="58" t="n">
        <f aca="false">IF(AX212="",0,MAX(0,MIN(1,(IF(CF212="L1",Parameter!$H$5,IF(CF212="L23",Parameter!$H$6+Parameter!$H$7,Parameter!$H$5+Parameter!$H$6+Parameter!$H$7))-(AX212-AS212))/AS212)))</f>
        <v>1</v>
      </c>
      <c r="AZ212" s="50" t="n">
        <f aca="false">IF(LEFT(Cockpit!$O$5,1)="A",H212,IF(Parameter!$E$30="MAX-Bestand",IF(CH212=1,CI212,IF(LEFT(Cockpit!$O$5,1)="B",BF212,MAX(BF212,H212))),ROUNDUP(BD212,0)))</f>
        <v>37</v>
      </c>
      <c r="BA212" s="50" t="n">
        <f aca="false">IF(BZ212=1,0,ROUNDUP(AZ212/BY212,0))</f>
        <v>1</v>
      </c>
      <c r="BB212" s="52" t="n">
        <f aca="false">IF(CQ212&gt;0,CQ212*MAX(1,AZ212/X212),IF(BZ212=1,IF(AZ212&lt;=0,0,CD212*MAX(1,IF(H212&gt;0,AZ212/H212,1))),IF(R212&gt;0,BA212/R212,0))/MAX(0.1,N(Parameter!$M$21)))</f>
        <v>0.0192307692307692</v>
      </c>
      <c r="BC212" s="50" t="n">
        <f aca="false">BB212*CB212</f>
        <v>2.98076923076923</v>
      </c>
      <c r="BD212" s="51" t="n">
        <f aca="false">IF(LEFT(Cockpit!$O$5,1)="A",H212,IF(CH212=1,(CK212+CI212)/2,IF(LEFT(Cockpit!$O$5,1)="B",(CK212+BF212)/2,MAX((CK212+BF212)/2,H212))))</f>
        <v>36.5</v>
      </c>
      <c r="BE212" s="50" t="n">
        <f aca="false">BD212*G212</f>
        <v>704.45</v>
      </c>
      <c r="BF212" s="50" t="n">
        <f aca="false">ROUNDUP(CK212+MAX(CL212,2*(J212/IF(CG212&gt;0,CG212,MAX(0.1,N(Cockpit!$O$6)))-CK212)),0)</f>
        <v>64</v>
      </c>
      <c r="BG212" s="51" t="n">
        <f aca="false">IF(BC212&gt;0,J212/BC212,-1)</f>
        <v>18.7870967741935</v>
      </c>
      <c r="BH212" s="51" t="n">
        <f aca="false">IF(AND(OR(CF212="L1",CF212="L23",CF212="LIFT"),BC212&gt;0),SUMIFS($BC$7:$BC$1843,$CF$7:$CF$1843,CF212,$BG$7:$BG$1843,"&gt;"&amp;BG212)+SUMIFS($BC$7:$BC$1843,$CF$7:$CF$1843,CF212,$BG$7:$BG$1843,BG212,$BW$7:$BW$1843,"&lt;="&amp;BW212),"")</f>
        <v>2275.41620879121</v>
      </c>
      <c r="BI212" s="58" t="n">
        <f aca="false">IF(BH212="",0,MAX(0,MIN(1,(IF(CF212="L1",Parameter!$H$5,IF(CF212="L23",Parameter!$H$6+Parameter!$H$7,Parameter!$H$5+Parameter!$H$6+Parameter!$H$7))-(BH212-BC212))/BC212)))</f>
        <v>1</v>
      </c>
      <c r="BJ212" s="48" t="str">
        <f aca="false">IF(AI212&lt;=0,"",IF(CF212="Aussen","Aussenlager",IF(CF212="-","Nicht im Lift",IF(AO212&gt;=1,"Lift",IF(AO212&lt;=0,"Aussenlager","teilweise")))))</f>
        <v>Lift</v>
      </c>
      <c r="BK212" s="48" t="str">
        <f aca="false">IF(AS212&lt;=0,"",IF(CF212="Aussen","Aussenlager",IF(CF212="-","Nicht im Lift",IF(AY212&gt;=1,"Lift",IF(AY212&lt;=0,"Aussenlager","teilweise")))))</f>
        <v>Lift</v>
      </c>
      <c r="BL212" s="48" t="str">
        <f aca="false">IF(BC212&lt;=0,"",IF(CF212="Aussen","Aussenlager",IF(CF212="-","Nicht im Lift",IF(BI212&gt;=1,"Lift",IF(BI212&lt;=0,"Aussenlager","teilweise")))))</f>
        <v>Lift</v>
      </c>
      <c r="BM212" s="48" t="str">
        <f aca="false">IF(A212="","",IF(BV212=1,"Neu; ","")&amp;IF(AND(BV212=0,BQ212&lt;0),"negativer Bestand (Export "&amp;BQ212&amp;"); ","")&amp;IF(J212&lt;=0,"Kein Verbrauch; ","")&amp;IF(CQ212&gt;0,"Lift "&amp;W212&amp;" lt. Liftbericht (Fach "&amp;X212&amp;" Stk); ",IF(CA212=1,"Gebinde geschätzt ("&amp;T212&amp;"); ",IF(BZ212=1,"Lose – Tablare geschätzt; ","")))&amp;IF(H212&gt;AV212,"Überbestand "&amp;ROUND(H212-AV212,0)&amp;" Stk / CHF "&amp;ROUND((H212-AV212)*G212,0)&amp;"; ","")&amp;IF(AND(CH212=1,CI212&lt;CJ212),"MAX &lt; MB+LG; ","")&amp;IF(AND(CP212&gt;0,CO212*10&gt;CP212),"zu hoch für Tablar; ","")&amp;IF(AND(BV212=0,OR(CH212=1,AA212&lt;&gt;"",U212&lt;&gt;"",V212&lt;&gt;"",AB212&lt;&gt;"")),"manuell übersteuert; ","")&amp;IF(AND(BZ212=0,R212=0),"Gebinde unbekannt / Stellmass fehlt; ","")&amp;IF(AND(BZ212=0,N(V212)&lt;=0,N(Q212)&lt;=0),"Menge pro Gebinde fehlt (Ist = 1 Gebinde); ","")&amp;BU212)</f>
        <v>Überbestand 1 Stk / CHF 19; </v>
      </c>
      <c r="BN212" s="48"/>
      <c r="BO212" s="48"/>
      <c r="BP212" s="55"/>
      <c r="BQ212" s="50" t="n">
        <v>37</v>
      </c>
      <c r="BR212" s="50" t="n">
        <v>28</v>
      </c>
      <c r="BS212" s="49" t="n">
        <v>720.26</v>
      </c>
      <c r="BT212" s="50" t="n">
        <v>56</v>
      </c>
      <c r="BU212" s="48"/>
      <c r="BV212" s="53" t="n">
        <v>0</v>
      </c>
      <c r="BW212" s="53" t="n">
        <v>212</v>
      </c>
      <c r="BX212" s="48" t="str">
        <f aca="false">IF(U212&lt;&gt;"",UPPER(TRIM(U212)),IF(CA212=1,UPPER(VLOOKUP(T212,Parameter!$I$27:$K$29,2,0)),IF(P212="","LOSE",P212)))</f>
        <v>S41</v>
      </c>
      <c r="BY212" s="50" t="n">
        <f aca="false">IF(BX212="LOSE",1,IF(N(V212)&gt;0,V212,IF(CA212=1,MAX(1,N(VLOOKUP(T212,Parameter!$I$27:$K$29,3,0)),H212,N(N212)),IF(N(Q212)&gt;0,Q212,MAX(1,H212)))))</f>
        <v>66</v>
      </c>
      <c r="BZ212" s="53" t="n">
        <f aca="false">IF(BX212="LOSE",1,0)</f>
        <v>0</v>
      </c>
      <c r="CA212" s="53" t="n">
        <f aca="false">IF(AND(U212="",OR(P212="",P212="LOSE"),T212&lt;&gt;"",N(S212)&lt;=0,ISNUMBER(MATCH(T212,Parameter!$I$27:$I$29,0))),1,0)</f>
        <v>0</v>
      </c>
      <c r="CB212" s="53" t="n">
        <f aca="false">IF(CQ212&gt;0,INDEX(Parameter!$H$5:$H$7,W212)/INDEX(Parameter!$E$5:$E$7,W212),IF(AND(BZ212=0,N(IFERROR(VLOOKUP(BX212,'Gebinde-Kategorie'!$A$5:$N$45,14,0),0))&gt;0),VLOOKUP(BX212,'Gebinde-Kategorie'!$A$5:$N$45,14,0)*10+Parameter!$M$23,Parameter!$M$24))</f>
        <v>155</v>
      </c>
      <c r="CC212" s="48" t="str">
        <f aca="false">IF(AND(Parameter!$B$19="Ja",E212&lt;&gt;"",ISNUMBER(MATCH(E212,Parameter!$I$35:$I$52,0))),VLOOKUP(E212,Parameter!$I$35:$J$52,2,0),IFERROR(VLOOKUP(D212,Parameter!$A$35:$C$64,2,0),"Nein"))</f>
        <v>2+3</v>
      </c>
      <c r="CD212" s="52" t="n">
        <f aca="false">IF(BZ212=0,0,IF(N(S212)&gt;0,S212,IFERROR(VLOOKUP(D212,Parameter!$A$35:$C$64,3,0)+0,0)))</f>
        <v>0</v>
      </c>
      <c r="CE212" s="48" t="n">
        <f aca="false">IF(AA212&lt;&gt;"",AA212,Z212)</f>
        <v>3</v>
      </c>
      <c r="CF212" s="48" t="str">
        <f aca="false">IF(OR(CE212=1,CE212=2,CE212=3),IF(Parameter!$E$27="Ja","LIFT",IF(CE212=1,"L1","L23")),IF(CE212="Aussen","Aussen","-"))</f>
        <v>LIFT</v>
      </c>
      <c r="CG212" s="59" t="n">
        <f aca="false">IF(N(AB212)&gt;0,AB212,0)</f>
        <v>0</v>
      </c>
      <c r="CH212" s="53" t="n">
        <f aca="false">IF(ISNUMBER(AE212),1,0)</f>
        <v>0</v>
      </c>
      <c r="CI212" s="50" t="n">
        <f aca="false">N(AE212)</f>
        <v>0</v>
      </c>
      <c r="CJ212" s="50" t="n">
        <f aca="false">N(M212)+N(N212)</f>
        <v>64</v>
      </c>
      <c r="CK212" s="50" t="n">
        <f aca="false">N(M212)</f>
        <v>9</v>
      </c>
      <c r="CL212" s="50" t="n">
        <f aca="false">N(N212)</f>
        <v>55</v>
      </c>
      <c r="CM212" s="50" t="n">
        <f aca="false">ROUNDUP(H212/BY212,0)</f>
        <v>1</v>
      </c>
      <c r="CN212" s="50" t="n">
        <f aca="false">ROUNDUP(CI212/BY212,0)</f>
        <v>0</v>
      </c>
      <c r="CO212" s="53" t="n">
        <f aca="false">IF(BZ212=1,0,IFERROR(VLOOKUP(BX212,'Gebinde-Kategorie'!$A$5:$N$45,5,0)+0,0))</f>
        <v>11</v>
      </c>
      <c r="CP212" s="53" t="n">
        <f aca="false">IFERROR(IF(OR(CE212=1,CE212=2,CE212=3),N(INDEX(Parameter!$I$5:$I$7,CE212)),0),0)</f>
        <v>0</v>
      </c>
      <c r="CQ212" s="52" t="n">
        <f aca="false">IF(AND(Parameter!$B$21="Ja",ISNUMBER(W212),N(X212)&gt;0),IFERROR(N(INDEX(Parameter!$L$5:$L$7,W212))*INDEX(Parameter!$E$5:$E$7,W212)*X212/SUMIFS($X$7:$X$1843,$W$7:$W$1843,W212),0),0)</f>
        <v>0</v>
      </c>
    </row>
    <row r="213" customFormat="false" ht="15" hidden="false" customHeight="false" outlineLevel="0" collapsed="false">
      <c r="A213" s="48" t="s">
        <v>631</v>
      </c>
      <c r="B213" s="48" t="s">
        <v>231</v>
      </c>
      <c r="C213" s="48" t="s">
        <v>173</v>
      </c>
      <c r="D213" s="48" t="s">
        <v>182</v>
      </c>
      <c r="E213" s="48" t="s">
        <v>182</v>
      </c>
      <c r="F213" s="48" t="s">
        <v>227</v>
      </c>
      <c r="G213" s="49" t="n">
        <v>165.25</v>
      </c>
      <c r="H213" s="50" t="n">
        <f aca="false">MAX(0,IF(AND(Parameter!$B$21="Ja",ISNUMBER(Y213)),Y213,IF(Parameter!$B$20="Jahresanfang 2025 + Export",BR213+BQ213,BQ213)))</f>
        <v>39</v>
      </c>
      <c r="I213" s="50" t="n">
        <f aca="false">H213*G213</f>
        <v>6444.75</v>
      </c>
      <c r="J213" s="50" t="n">
        <f aca="false">BT213*Parameter!$B$18</f>
        <v>122</v>
      </c>
      <c r="K213" s="51" t="n">
        <v>35</v>
      </c>
      <c r="L213" s="52" t="n">
        <v>3.48571428571429</v>
      </c>
      <c r="M213" s="50" t="n">
        <v>10</v>
      </c>
      <c r="N213" s="50" t="n">
        <v>40</v>
      </c>
      <c r="O213" s="53" t="n">
        <v>21</v>
      </c>
      <c r="P213" s="48" t="s">
        <v>268</v>
      </c>
      <c r="Q213" s="50" t="n">
        <v>22</v>
      </c>
      <c r="R213" s="53" t="n">
        <f aca="false">IF(BZ213=1,0,IFERROR(VLOOKUP(BX213,'Gebinde-Kategorie'!$A$5:$N$45,13,0)+0,0))</f>
        <v>6</v>
      </c>
      <c r="S213" s="54"/>
      <c r="T213" s="55"/>
      <c r="U213" s="55"/>
      <c r="V213" s="55"/>
      <c r="W213" s="48"/>
      <c r="X213" s="50"/>
      <c r="Y213" s="50"/>
      <c r="Z213" s="48" t="str">
        <f aca="false">IF(A213="","",IF(AND(Parameter!$B$21="Ja",ISNUMBER(W213)),W213,IF(CC213="2+3",IF(ISNUMBER(SEARCH("grosser Artikel",BU213)),2,IFERROR(VLOOKUP(BX213,Parameter!$F$35:$G$64,2,0),2)),IF(OR(CC213="Nein",CC213=""),"-",CC213))))</f>
        <v>-</v>
      </c>
      <c r="AA213" s="55"/>
      <c r="AB213" s="56"/>
      <c r="AC213" s="50" t="n">
        <f aca="false">AV213</f>
        <v>72</v>
      </c>
      <c r="AD213" s="50" t="n">
        <f aca="false">MAX(AV213,H213)</f>
        <v>72</v>
      </c>
      <c r="AE213" s="57"/>
      <c r="AF213" s="50" t="n">
        <f aca="false">IF(LEFT(Cockpit!$C$5,1)="A",H213,IF(Parameter!$E$30="MAX-Bestand",IF(CH213=1,CI213,IF(LEFT(Cockpit!$C$5,1)="B",AL213,MAX(AL213,H213))),ROUNDUP(AJ213,0)))</f>
        <v>39</v>
      </c>
      <c r="AG213" s="50" t="n">
        <f aca="false">IF(BZ213=1,0,ROUNDUP(AF213/BY213,0))</f>
        <v>2</v>
      </c>
      <c r="AH213" s="52" t="n">
        <f aca="false">IF(CQ213&gt;0,CQ213*MAX(1,AF213/X213),IF(BZ213=1,IF(AF213&lt;=0,0,CD213*MAX(1,IF(H213&gt;0,AF213/H213,1))),IF(R213&gt;0,AG213/R213,0))/MAX(0.1,N(Parameter!$M$21)))</f>
        <v>0.333333333333333</v>
      </c>
      <c r="AI213" s="50" t="n">
        <f aca="false">AH213*CB213</f>
        <v>145</v>
      </c>
      <c r="AJ213" s="51" t="n">
        <f aca="false">IF(LEFT(Cockpit!$C$5,1)="A",H213,IF(CH213=1,(CK213+CI213)/2,IF(LEFT(Cockpit!$C$5,1)="B",(CK213+AL213)/2,MAX((CK213+AL213)/2,H213))))</f>
        <v>39</v>
      </c>
      <c r="AK213" s="50" t="n">
        <f aca="false">AJ213*G213</f>
        <v>6444.75</v>
      </c>
      <c r="AL213" s="50" t="n">
        <f aca="false">ROUNDUP(CK213+MAX(CL213,2*(J213/IF(CG213&gt;0,CG213,MAX(0.1,N(Cockpit!$C$6)))-CK213)),0)</f>
        <v>72</v>
      </c>
      <c r="AM213" s="51" t="n">
        <f aca="false">IF(AI213&gt;0,J213/AI213,-1)</f>
        <v>0.841379310344828</v>
      </c>
      <c r="AN213" s="51" t="str">
        <f aca="false">IF(AND(OR(CF213="L1",CF213="L23",CF213="LIFT"),AI213&gt;0),SUMIFS($AI$7:$AI$1843,$CF$7:$CF$1843,CF213,$AM$7:$AM$1843,"&gt;"&amp;AM213)+SUMIFS($AI$7:$AI$1843,$CF$7:$CF$1843,CF213,$AM$7:$AM$1843,AM213,$BW$7:$BW$1843,"&lt;="&amp;BW213),"")</f>
        <v/>
      </c>
      <c r="AO213" s="58" t="n">
        <f aca="false">IF(AN213="",0,MAX(0,MIN(1,(IF(CF213="L1",Parameter!$H$5,IF(CF213="L23",Parameter!$H$6+Parameter!$H$7,Parameter!$H$5+Parameter!$H$6+Parameter!$H$7))-(AN213-AI213))/AI213)))</f>
        <v>0</v>
      </c>
      <c r="AP213" s="50" t="n">
        <f aca="false">IF(LEFT(Cockpit!$I$5,1)="A",H213,IF(Parameter!$E$30="MAX-Bestand",IF(CH213=1,CI213,IF(LEFT(Cockpit!$I$5,1)="B",AV213,MAX(AV213,H213))),ROUNDUP(AT213,0)))</f>
        <v>41</v>
      </c>
      <c r="AQ213" s="50" t="n">
        <f aca="false">IF(BZ213=1,0,ROUNDUP(AP213/BY213,0))</f>
        <v>2</v>
      </c>
      <c r="AR213" s="52" t="n">
        <f aca="false">IF(CQ213&gt;0,CQ213*MAX(1,AP213/X213),IF(BZ213=1,IF(AP213&lt;=0,0,CD213*MAX(1,IF(H213&gt;0,AP213/H213,1))),IF(R213&gt;0,AQ213/R213,0))/MAX(0.1,N(Parameter!$M$21)))</f>
        <v>0.333333333333333</v>
      </c>
      <c r="AS213" s="50" t="n">
        <f aca="false">AR213*CB213</f>
        <v>145</v>
      </c>
      <c r="AT213" s="51" t="n">
        <f aca="false">IF(LEFT(Cockpit!$I$5,1)="A",H213,IF(CH213=1,(CK213+CI213)/2,IF(LEFT(Cockpit!$I$5,1)="B",(CK213+AV213)/2,MAX((CK213+AV213)/2,H213))))</f>
        <v>41</v>
      </c>
      <c r="AU213" s="50" t="n">
        <f aca="false">AT213*G213</f>
        <v>6775.25</v>
      </c>
      <c r="AV213" s="50" t="n">
        <f aca="false">ROUNDUP(CK213+MAX(CL213,2*(J213/IF(CG213&gt;0,CG213,MAX(0.1,N(Cockpit!$I$6)))-CK213)),0)</f>
        <v>72</v>
      </c>
      <c r="AW213" s="51" t="n">
        <f aca="false">IF(AS213&gt;0,J213/AS213,-1)</f>
        <v>0.841379310344828</v>
      </c>
      <c r="AX213" s="51" t="str">
        <f aca="false">IF(AND(OR(CF213="L1",CF213="L23",CF213="LIFT"),AS213&gt;0),SUMIFS($AS$7:$AS$1843,$CF$7:$CF$1843,CF213,$AW$7:$AW$1843,"&gt;"&amp;AW213)+SUMIFS($AS$7:$AS$1843,$CF$7:$CF$1843,CF213,$AW$7:$AW$1843,AW213,$BW$7:$BW$1843,"&lt;="&amp;BW213),"")</f>
        <v/>
      </c>
      <c r="AY213" s="58" t="n">
        <f aca="false">IF(AX213="",0,MAX(0,MIN(1,(IF(CF213="L1",Parameter!$H$5,IF(CF213="L23",Parameter!$H$6+Parameter!$H$7,Parameter!$H$5+Parameter!$H$6+Parameter!$H$7))-(AX213-AS213))/AS213)))</f>
        <v>0</v>
      </c>
      <c r="AZ213" s="50" t="n">
        <f aca="false">IF(LEFT(Cockpit!$O$5,1)="A",H213,IF(Parameter!$E$30="MAX-Bestand",IF(CH213=1,CI213,IF(LEFT(Cockpit!$O$5,1)="B",BF213,MAX(BF213,H213))),ROUNDUP(BD213,0)))</f>
        <v>31</v>
      </c>
      <c r="BA213" s="50" t="n">
        <f aca="false">IF(BZ213=1,0,ROUNDUP(AZ213/BY213,0))</f>
        <v>2</v>
      </c>
      <c r="BB213" s="52" t="n">
        <f aca="false">IF(CQ213&gt;0,CQ213*MAX(1,AZ213/X213),IF(BZ213=1,IF(AZ213&lt;=0,0,CD213*MAX(1,IF(H213&gt;0,AZ213/H213,1))),IF(R213&gt;0,BA213/R213,0))/MAX(0.1,N(Parameter!$M$21)))</f>
        <v>0.333333333333333</v>
      </c>
      <c r="BC213" s="50" t="n">
        <f aca="false">BB213*CB213</f>
        <v>145</v>
      </c>
      <c r="BD213" s="51" t="n">
        <f aca="false">IF(LEFT(Cockpit!$O$5,1)="A",H213,IF(CH213=1,(CK213+CI213)/2,IF(LEFT(Cockpit!$O$5,1)="B",(CK213+BF213)/2,MAX((CK213+BF213)/2,H213))))</f>
        <v>30.5</v>
      </c>
      <c r="BE213" s="50" t="n">
        <f aca="false">BD213*G213</f>
        <v>5040.125</v>
      </c>
      <c r="BF213" s="50" t="n">
        <f aca="false">ROUNDUP(CK213+MAX(CL213,2*(J213/IF(CG213&gt;0,CG213,MAX(0.1,N(Cockpit!$O$6)))-CK213)),0)</f>
        <v>51</v>
      </c>
      <c r="BG213" s="51" t="n">
        <f aca="false">IF(BC213&gt;0,J213/BC213,-1)</f>
        <v>0.841379310344828</v>
      </c>
      <c r="BH213" s="51" t="str">
        <f aca="false">IF(AND(OR(CF213="L1",CF213="L23",CF213="LIFT"),BC213&gt;0),SUMIFS($BC$7:$BC$1843,$CF$7:$CF$1843,CF213,$BG$7:$BG$1843,"&gt;"&amp;BG213)+SUMIFS($BC$7:$BC$1843,$CF$7:$CF$1843,CF213,$BG$7:$BG$1843,BG213,$BW$7:$BW$1843,"&lt;="&amp;BW213),"")</f>
        <v/>
      </c>
      <c r="BI213" s="58" t="n">
        <f aca="false">IF(BH213="",0,MAX(0,MIN(1,(IF(CF213="L1",Parameter!$H$5,IF(CF213="L23",Parameter!$H$6+Parameter!$H$7,Parameter!$H$5+Parameter!$H$6+Parameter!$H$7))-(BH213-BC213))/BC213)))</f>
        <v>0</v>
      </c>
      <c r="BJ213" s="48" t="str">
        <f aca="false">IF(AI213&lt;=0,"",IF(CF213="Aussen","Aussenlager",IF(CF213="-","Nicht im Lift",IF(AO213&gt;=1,"Lift",IF(AO213&lt;=0,"Aussenlager","teilweise")))))</f>
        <v>Nicht im Lift</v>
      </c>
      <c r="BK213" s="48" t="str">
        <f aca="false">IF(AS213&lt;=0,"",IF(CF213="Aussen","Aussenlager",IF(CF213="-","Nicht im Lift",IF(AY213&gt;=1,"Lift",IF(AY213&lt;=0,"Aussenlager","teilweise")))))</f>
        <v>Nicht im Lift</v>
      </c>
      <c r="BL213" s="48" t="str">
        <f aca="false">IF(BC213&lt;=0,"",IF(CF213="Aussen","Aussenlager",IF(CF213="-","Nicht im Lift",IF(BI213&gt;=1,"Lift",IF(BI213&lt;=0,"Aussenlager","teilweise")))))</f>
        <v>Nicht im Lift</v>
      </c>
      <c r="BM213" s="48" t="str">
        <f aca="false">IF(A213="","",IF(BV213=1,"Neu; ","")&amp;IF(AND(BV213=0,BQ213&lt;0),"negativer Bestand (Export "&amp;BQ213&amp;"); ","")&amp;IF(J213&lt;=0,"Kein Verbrauch; ","")&amp;IF(CQ213&gt;0,"Lift "&amp;W213&amp;" lt. Liftbericht (Fach "&amp;X213&amp;" Stk); ",IF(CA213=1,"Gebinde geschätzt ("&amp;T213&amp;"); ",IF(BZ213=1,"Lose – Tablare geschätzt; ","")))&amp;IF(H213&gt;AV213,"Überbestand "&amp;ROUND(H213-AV213,0)&amp;" Stk / CHF "&amp;ROUND((H213-AV213)*G213,0)&amp;"; ","")&amp;IF(AND(CH213=1,CI213&lt;CJ213),"MAX &lt; MB+LG; ","")&amp;IF(AND(CP213&gt;0,CO213*10&gt;CP213),"zu hoch für Tablar; ","")&amp;IF(AND(BV213=0,OR(CH213=1,AA213&lt;&gt;"",U213&lt;&gt;"",V213&lt;&gt;"",AB213&lt;&gt;"")),"manuell übersteuert; ","")&amp;IF(AND(BZ213=0,R213=0),"Gebinde unbekannt / Stellmass fehlt; ","")&amp;IF(AND(BZ213=0,N(V213)&lt;=0,N(Q213)&lt;=0),"Menge pro Gebinde fehlt (Ist = 1 Gebinde); ","")&amp;BU213)</f>
        <v/>
      </c>
      <c r="BN213" s="48"/>
      <c r="BO213" s="48"/>
      <c r="BP213" s="55"/>
      <c r="BQ213" s="50" t="n">
        <v>8</v>
      </c>
      <c r="BR213" s="50" t="n">
        <v>31</v>
      </c>
      <c r="BS213" s="49" t="n">
        <v>719.980000000002</v>
      </c>
      <c r="BT213" s="50" t="n">
        <v>122</v>
      </c>
      <c r="BU213" s="48"/>
      <c r="BV213" s="53" t="n">
        <v>0</v>
      </c>
      <c r="BW213" s="53" t="n">
        <v>213</v>
      </c>
      <c r="BX213" s="48" t="str">
        <f aca="false">IF(U213&lt;&gt;"",UPPER(TRIM(U213)),IF(CA213=1,UPPER(VLOOKUP(T213,Parameter!$I$27:$K$29,2,0)),IF(P213="","LOSE",P213)))</f>
        <v>S72</v>
      </c>
      <c r="BY213" s="50" t="n">
        <f aca="false">IF(BX213="LOSE",1,IF(N(V213)&gt;0,V213,IF(CA213=1,MAX(1,N(VLOOKUP(T213,Parameter!$I$27:$K$29,3,0)),H213,N(N213)),IF(N(Q213)&gt;0,Q213,MAX(1,H213)))))</f>
        <v>22</v>
      </c>
      <c r="BZ213" s="53" t="n">
        <f aca="false">IF(BX213="LOSE",1,0)</f>
        <v>0</v>
      </c>
      <c r="CA213" s="53" t="n">
        <f aca="false">IF(AND(U213="",OR(P213="",P213="LOSE"),T213&lt;&gt;"",N(S213)&lt;=0,ISNUMBER(MATCH(T213,Parameter!$I$27:$I$29,0))),1,0)</f>
        <v>0</v>
      </c>
      <c r="CB213" s="53" t="n">
        <f aca="false">IF(CQ213&gt;0,INDEX(Parameter!$H$5:$H$7,W213)/INDEX(Parameter!$E$5:$E$7,W213),IF(AND(BZ213=0,N(IFERROR(VLOOKUP(BX213,'Gebinde-Kategorie'!$A$5:$N$45,14,0),0))&gt;0),VLOOKUP(BX213,'Gebinde-Kategorie'!$A$5:$N$45,14,0)*10+Parameter!$M$23,Parameter!$M$24))</f>
        <v>435</v>
      </c>
      <c r="CC213" s="48" t="str">
        <f aca="false">IF(AND(Parameter!$B$19="Ja",E213&lt;&gt;"",ISNUMBER(MATCH(E213,Parameter!$I$35:$I$52,0))),VLOOKUP(E213,Parameter!$I$35:$J$52,2,0),IFERROR(VLOOKUP(D213,Parameter!$A$35:$C$64,2,0),"Nein"))</f>
        <v>Nein</v>
      </c>
      <c r="CD213" s="52" t="n">
        <f aca="false">IF(BZ213=0,0,IF(N(S213)&gt;0,S213,IFERROR(VLOOKUP(D213,Parameter!$A$35:$C$64,3,0)+0,0)))</f>
        <v>0</v>
      </c>
      <c r="CE213" s="48" t="str">
        <f aca="false">IF(AA213&lt;&gt;"",AA213,Z213)</f>
        <v>-</v>
      </c>
      <c r="CF213" s="48" t="str">
        <f aca="false">IF(OR(CE213=1,CE213=2,CE213=3),IF(Parameter!$E$27="Ja","LIFT",IF(CE213=1,"L1","L23")),IF(CE213="Aussen","Aussen","-"))</f>
        <v>-</v>
      </c>
      <c r="CG213" s="59" t="n">
        <f aca="false">IF(N(AB213)&gt;0,AB213,0)</f>
        <v>0</v>
      </c>
      <c r="CH213" s="53" t="n">
        <f aca="false">IF(ISNUMBER(AE213),1,0)</f>
        <v>0</v>
      </c>
      <c r="CI213" s="50" t="n">
        <f aca="false">N(AE213)</f>
        <v>0</v>
      </c>
      <c r="CJ213" s="50" t="n">
        <f aca="false">N(M213)+N(N213)</f>
        <v>50</v>
      </c>
      <c r="CK213" s="50" t="n">
        <f aca="false">N(M213)</f>
        <v>10</v>
      </c>
      <c r="CL213" s="50" t="n">
        <f aca="false">N(N213)</f>
        <v>40</v>
      </c>
      <c r="CM213" s="50" t="n">
        <f aca="false">ROUNDUP(H213/BY213,0)</f>
        <v>2</v>
      </c>
      <c r="CN213" s="50" t="n">
        <f aca="false">ROUNDUP(CI213/BY213,0)</f>
        <v>0</v>
      </c>
      <c r="CO213" s="53" t="n">
        <f aca="false">IF(BZ213=1,0,IFERROR(VLOOKUP(BX213,'Gebinde-Kategorie'!$A$5:$N$45,5,0)+0,0))</f>
        <v>40</v>
      </c>
      <c r="CP213" s="53" t="n">
        <f aca="false">IFERROR(IF(OR(CE213=1,CE213=2,CE213=3),N(INDEX(Parameter!$I$5:$I$7,CE213)),0),0)</f>
        <v>0</v>
      </c>
      <c r="CQ213" s="52" t="n">
        <f aca="false">IF(AND(Parameter!$B$21="Ja",ISNUMBER(W213),N(X213)&gt;0),IFERROR(N(INDEX(Parameter!$L$5:$L$7,W213))*INDEX(Parameter!$E$5:$E$7,W213)*X213/SUMIFS($X$7:$X$1843,$W$7:$W$1843,W213),0),0)</f>
        <v>0</v>
      </c>
    </row>
    <row r="214" customFormat="false" ht="15" hidden="false" customHeight="false" outlineLevel="0" collapsed="false">
      <c r="A214" s="48" t="s">
        <v>632</v>
      </c>
      <c r="B214" s="48" t="s">
        <v>555</v>
      </c>
      <c r="C214" s="48" t="s">
        <v>173</v>
      </c>
      <c r="D214" s="48" t="s">
        <v>193</v>
      </c>
      <c r="E214" s="48"/>
      <c r="F214" s="48" t="s">
        <v>227</v>
      </c>
      <c r="G214" s="49" t="n">
        <v>14.2</v>
      </c>
      <c r="H214" s="50" t="n">
        <f aca="false">MAX(0,IF(AND(Parameter!$B$21="Ja",ISNUMBER(Y214)),Y214,IF(Parameter!$B$20="Jahresanfang 2025 + Export",BR214+BQ214,BQ214)))</f>
        <v>50</v>
      </c>
      <c r="I214" s="50" t="n">
        <f aca="false">H214*G214</f>
        <v>710</v>
      </c>
      <c r="J214" s="50" t="n">
        <f aca="false">BT214*Parameter!$B$18</f>
        <v>0</v>
      </c>
      <c r="K214" s="51" t="n">
        <v>0</v>
      </c>
      <c r="L214" s="52" t="n">
        <v>0</v>
      </c>
      <c r="M214" s="50" t="n">
        <v>0</v>
      </c>
      <c r="N214" s="50" t="n">
        <v>1</v>
      </c>
      <c r="O214" s="53" t="n">
        <v>9999</v>
      </c>
      <c r="P214" s="48" t="s">
        <v>177</v>
      </c>
      <c r="Q214" s="50"/>
      <c r="R214" s="53" t="n">
        <f aca="false">IF(BZ214=1,0,IFERROR(VLOOKUP(BX214,'Gebinde-Kategorie'!$A$5:$N$45,13,0)+0,0))</f>
        <v>26</v>
      </c>
      <c r="S214" s="54"/>
      <c r="T214" s="55" t="s">
        <v>284</v>
      </c>
      <c r="U214" s="55"/>
      <c r="V214" s="55"/>
      <c r="W214" s="48"/>
      <c r="X214" s="50"/>
      <c r="Y214" s="50"/>
      <c r="Z214" s="48" t="n">
        <f aca="false">IF(A214="","",IF(AND(Parameter!$B$21="Ja",ISNUMBER(W214)),W214,IF(CC214="2+3",IF(ISNUMBER(SEARCH("grosser Artikel",BU214)),2,IFERROR(VLOOKUP(BX214,Parameter!$F$35:$G$64,2,0),2)),IF(OR(CC214="Nein",CC214=""),"-",CC214))))</f>
        <v>3</v>
      </c>
      <c r="AA214" s="55"/>
      <c r="AB214" s="56"/>
      <c r="AC214" s="50" t="n">
        <f aca="false">AV214</f>
        <v>1</v>
      </c>
      <c r="AD214" s="50" t="n">
        <f aca="false">MAX(AV214,H214)</f>
        <v>50</v>
      </c>
      <c r="AE214" s="57"/>
      <c r="AF214" s="50" t="n">
        <f aca="false">IF(LEFT(Cockpit!$C$5,1)="A",H214,IF(Parameter!$E$30="MAX-Bestand",IF(CH214=1,CI214,IF(LEFT(Cockpit!$C$5,1)="B",AL214,MAX(AL214,H214))),ROUNDUP(AJ214,0)))</f>
        <v>50</v>
      </c>
      <c r="AG214" s="50" t="n">
        <f aca="false">IF(BZ214=1,0,ROUNDUP(AF214/BY214,0))</f>
        <v>1</v>
      </c>
      <c r="AH214" s="52" t="n">
        <f aca="false">IF(CQ214&gt;0,CQ214*MAX(1,AF214/X214),IF(BZ214=1,IF(AF214&lt;=0,0,CD214*MAX(1,IF(H214&gt;0,AF214/H214,1))),IF(R214&gt;0,AG214/R214,0))/MAX(0.1,N(Parameter!$M$21)))</f>
        <v>0.0384615384615385</v>
      </c>
      <c r="AI214" s="50" t="n">
        <f aca="false">AH214*CB214</f>
        <v>5.96153846153846</v>
      </c>
      <c r="AJ214" s="51" t="n">
        <f aca="false">IF(LEFT(Cockpit!$C$5,1)="A",H214,IF(CH214=1,(CK214+CI214)/2,IF(LEFT(Cockpit!$C$5,1)="B",(CK214+AL214)/2,MAX((CK214+AL214)/2,H214))))</f>
        <v>50</v>
      </c>
      <c r="AK214" s="50" t="n">
        <f aca="false">AJ214*G214</f>
        <v>710</v>
      </c>
      <c r="AL214" s="50" t="n">
        <f aca="false">ROUNDUP(CK214+MAX(CL214,2*(J214/IF(CG214&gt;0,CG214,MAX(0.1,N(Cockpit!$C$6)))-CK214)),0)</f>
        <v>1</v>
      </c>
      <c r="AM214" s="51" t="n">
        <f aca="false">IF(AI214&gt;0,J214/AI214,-1)</f>
        <v>0</v>
      </c>
      <c r="AN214" s="51" t="n">
        <f aca="false">IF(AND(OR(CF214="L1",CF214="L23",CF214="LIFT"),AI214&gt;0),SUMIFS($AI$7:$AI$1843,$CF$7:$CF$1843,CF214,$AM$7:$AM$1843,"&gt;"&amp;AM214)+SUMIFS($AI$7:$AI$1843,$CF$7:$CF$1843,CF214,$AM$7:$AM$1843,AM214,$BW$7:$BW$1843,"&lt;="&amp;BW214),"")</f>
        <v>27536.340827487</v>
      </c>
      <c r="AO214" s="58" t="n">
        <f aca="false">IF(AN214="",0,MAX(0,MIN(1,(IF(CF214="L1",Parameter!$H$5,IF(CF214="L23",Parameter!$H$6+Parameter!$H$7,Parameter!$H$5+Parameter!$H$6+Parameter!$H$7))-(AN214-AI214))/AI214)))</f>
        <v>1</v>
      </c>
      <c r="AP214" s="50" t="n">
        <f aca="false">IF(LEFT(Cockpit!$I$5,1)="A",H214,IF(Parameter!$E$30="MAX-Bestand",IF(CH214=1,CI214,IF(LEFT(Cockpit!$I$5,1)="B",AV214,MAX(AV214,H214))),ROUNDUP(AT214,0)))</f>
        <v>50</v>
      </c>
      <c r="AQ214" s="50" t="n">
        <f aca="false">IF(BZ214=1,0,ROUNDUP(AP214/BY214,0))</f>
        <v>1</v>
      </c>
      <c r="AR214" s="52" t="n">
        <f aca="false">IF(CQ214&gt;0,CQ214*MAX(1,AP214/X214),IF(BZ214=1,IF(AP214&lt;=0,0,CD214*MAX(1,IF(H214&gt;0,AP214/H214,1))),IF(R214&gt;0,AQ214/R214,0))/MAX(0.1,N(Parameter!$M$21)))</f>
        <v>0.0384615384615385</v>
      </c>
      <c r="AS214" s="50" t="n">
        <f aca="false">AR214*CB214</f>
        <v>5.96153846153846</v>
      </c>
      <c r="AT214" s="51" t="n">
        <f aca="false">IF(LEFT(Cockpit!$I$5,1)="A",H214,IF(CH214=1,(CK214+CI214)/2,IF(LEFT(Cockpit!$I$5,1)="B",(CK214+AV214)/2,MAX((CK214+AV214)/2,H214))))</f>
        <v>50</v>
      </c>
      <c r="AU214" s="50" t="n">
        <f aca="false">AT214*G214</f>
        <v>710</v>
      </c>
      <c r="AV214" s="50" t="n">
        <f aca="false">ROUNDUP(CK214+MAX(CL214,2*(J214/IF(CG214&gt;0,CG214,MAX(0.1,N(Cockpit!$I$6)))-CK214)),0)</f>
        <v>1</v>
      </c>
      <c r="AW214" s="51" t="n">
        <f aca="false">IF(AS214&gt;0,J214/AS214,-1)</f>
        <v>0</v>
      </c>
      <c r="AX214" s="51" t="n">
        <f aca="false">IF(AND(OR(CF214="L1",CF214="L23",CF214="LIFT"),AS214&gt;0),SUMIFS($AS$7:$AS$1843,$CF$7:$CF$1843,CF214,$AW$7:$AW$1843,"&gt;"&amp;AW214)+SUMIFS($AS$7:$AS$1843,$CF$7:$CF$1843,CF214,$AW$7:$AW$1843,AW214,$BW$7:$BW$1843,"&lt;="&amp;BW214),"")</f>
        <v>32889.4894688645</v>
      </c>
      <c r="AY214" s="58" t="n">
        <f aca="false">IF(AX214="",0,MAX(0,MIN(1,(IF(CF214="L1",Parameter!$H$5,IF(CF214="L23",Parameter!$H$6+Parameter!$H$7,Parameter!$H$5+Parameter!$H$6+Parameter!$H$7))-(AX214-AS214))/AS214)))</f>
        <v>1</v>
      </c>
      <c r="AZ214" s="50" t="n">
        <f aca="false">IF(LEFT(Cockpit!$O$5,1)="A",H214,IF(Parameter!$E$30="MAX-Bestand",IF(CH214=1,CI214,IF(LEFT(Cockpit!$O$5,1)="B",BF214,MAX(BF214,H214))),ROUNDUP(BD214,0)))</f>
        <v>1</v>
      </c>
      <c r="BA214" s="50" t="n">
        <f aca="false">IF(BZ214=1,0,ROUNDUP(AZ214/BY214,0))</f>
        <v>1</v>
      </c>
      <c r="BB214" s="52" t="n">
        <f aca="false">IF(CQ214&gt;0,CQ214*MAX(1,AZ214/X214),IF(BZ214=1,IF(AZ214&lt;=0,0,CD214*MAX(1,IF(H214&gt;0,AZ214/H214,1))),IF(R214&gt;0,BA214/R214,0))/MAX(0.1,N(Parameter!$M$21)))</f>
        <v>0.0384615384615385</v>
      </c>
      <c r="BC214" s="50" t="n">
        <f aca="false">BB214*CB214</f>
        <v>5.96153846153846</v>
      </c>
      <c r="BD214" s="51" t="n">
        <f aca="false">IF(LEFT(Cockpit!$O$5,1)="A",H214,IF(CH214=1,(CK214+CI214)/2,IF(LEFT(Cockpit!$O$5,1)="B",(CK214+BF214)/2,MAX((CK214+BF214)/2,H214))))</f>
        <v>0.5</v>
      </c>
      <c r="BE214" s="50" t="n">
        <f aca="false">BD214*G214</f>
        <v>7.1</v>
      </c>
      <c r="BF214" s="50" t="n">
        <f aca="false">ROUNDUP(CK214+MAX(CL214,2*(J214/IF(CG214&gt;0,CG214,MAX(0.1,N(Cockpit!$O$6)))-CK214)),0)</f>
        <v>1</v>
      </c>
      <c r="BG214" s="51" t="n">
        <f aca="false">IF(BC214&gt;0,J214/BC214,-1)</f>
        <v>0</v>
      </c>
      <c r="BH214" s="51" t="n">
        <f aca="false">IF(AND(OR(CF214="L1",CF214="L23",CF214="LIFT"),BC214&gt;0),SUMIFS($BC$7:$BC$1843,$CF$7:$CF$1843,CF214,$BG$7:$BG$1843,"&gt;"&amp;BG214)+SUMIFS($BC$7:$BC$1843,$CF$7:$CF$1843,CF214,$BG$7:$BG$1843,BG214,$BW$7:$BW$1843,"&lt;="&amp;BW214),"")</f>
        <v>27053.7315685727</v>
      </c>
      <c r="BI214" s="58" t="n">
        <f aca="false">IF(BH214="",0,MAX(0,MIN(1,(IF(CF214="L1",Parameter!$H$5,IF(CF214="L23",Parameter!$H$6+Parameter!$H$7,Parameter!$H$5+Parameter!$H$6+Parameter!$H$7))-(BH214-BC214))/BC214)))</f>
        <v>1</v>
      </c>
      <c r="BJ214" s="48" t="str">
        <f aca="false">IF(AI214&lt;=0,"",IF(CF214="Aussen","Aussenlager",IF(CF214="-","Nicht im Lift",IF(AO214&gt;=1,"Lift",IF(AO214&lt;=0,"Aussenlager","teilweise")))))</f>
        <v>Lift</v>
      </c>
      <c r="BK214" s="48" t="str">
        <f aca="false">IF(AS214&lt;=0,"",IF(CF214="Aussen","Aussenlager",IF(CF214="-","Nicht im Lift",IF(AY214&gt;=1,"Lift",IF(AY214&lt;=0,"Aussenlager","teilweise")))))</f>
        <v>Lift</v>
      </c>
      <c r="BL214" s="48" t="str">
        <f aca="false">IF(BC214&lt;=0,"",IF(CF214="Aussen","Aussenlager",IF(CF214="-","Nicht im Lift",IF(BI214&gt;=1,"Lift",IF(BI214&lt;=0,"Aussenlager","teilweise")))))</f>
        <v>Lift</v>
      </c>
      <c r="BM214" s="48" t="str">
        <f aca="false">IF(A214="","",IF(BV214=1,"Neu; ","")&amp;IF(AND(BV214=0,BQ214&lt;0),"negativer Bestand (Export "&amp;BQ214&amp;"); ","")&amp;IF(J214&lt;=0,"Kein Verbrauch; ","")&amp;IF(CQ214&gt;0,"Lift "&amp;W214&amp;" lt. Liftbericht (Fach "&amp;X214&amp;" Stk); ",IF(CA214=1,"Gebinde geschätzt ("&amp;T214&amp;"); ",IF(BZ214=1,"Lose – Tablare geschätzt; ","")))&amp;IF(H214&gt;AV214,"Überbestand "&amp;ROUND(H214-AV214,0)&amp;" Stk / CHF "&amp;ROUND((H214-AV214)*G214,0)&amp;"; ","")&amp;IF(AND(CH214=1,CI214&lt;CJ214),"MAX &lt; MB+LG; ","")&amp;IF(AND(CP214&gt;0,CO214*10&gt;CP214),"zu hoch für Tablar; ","")&amp;IF(AND(BV214=0,OR(CH214=1,AA214&lt;&gt;"",U214&lt;&gt;"",V214&lt;&gt;"",AB214&lt;&gt;"")),"manuell übersteuert; ","")&amp;IF(AND(BZ214=0,R214=0),"Gebinde unbekannt / Stellmass fehlt; ","")&amp;IF(AND(BZ214=0,N(V214)&lt;=0,N(Q214)&lt;=0),"Menge pro Gebinde fehlt (Ist = 1 Gebinde); ","")&amp;BU214)</f>
        <v>Kein Verbrauch; Gebinde geschätzt (Klein); Überbestand 49 Stk / CHF 696; Menge pro Gebinde fehlt (Ist = 1 Gebinde); </v>
      </c>
      <c r="BN214" s="48"/>
      <c r="BO214" s="48"/>
      <c r="BP214" s="55"/>
      <c r="BQ214" s="50" t="n">
        <v>50</v>
      </c>
      <c r="BR214" s="50" t="n">
        <v>0</v>
      </c>
      <c r="BS214" s="49" t="n">
        <v>710</v>
      </c>
      <c r="BT214" s="50" t="n">
        <v>0</v>
      </c>
      <c r="BU214" s="48"/>
      <c r="BV214" s="53" t="n">
        <v>0</v>
      </c>
      <c r="BW214" s="53" t="n">
        <v>214</v>
      </c>
      <c r="BX214" s="48" t="str">
        <f aca="false">IF(U214&lt;&gt;"",UPPER(TRIM(U214)),IF(CA214=1,UPPER(VLOOKUP(T214,Parameter!$I$27:$K$29,2,0)),IF(P214="","LOSE",P214)))</f>
        <v>S51</v>
      </c>
      <c r="BY214" s="50" t="n">
        <f aca="false">IF(BX214="LOSE",1,IF(N(V214)&gt;0,V214,IF(CA214=1,MAX(1,N(VLOOKUP(T214,Parameter!$I$27:$K$29,3,0)),H214,N(N214)),IF(N(Q214)&gt;0,Q214,MAX(1,H214)))))</f>
        <v>50</v>
      </c>
      <c r="BZ214" s="53" t="n">
        <f aca="false">IF(BX214="LOSE",1,0)</f>
        <v>0</v>
      </c>
      <c r="CA214" s="53" t="n">
        <f aca="false">IF(AND(U214="",OR(P214="",P214="LOSE"),T214&lt;&gt;"",N(S214)&lt;=0,ISNUMBER(MATCH(T214,Parameter!$I$27:$I$29,0))),1,0)</f>
        <v>1</v>
      </c>
      <c r="CB214" s="53" t="n">
        <f aca="false">IF(CQ214&gt;0,INDEX(Parameter!$H$5:$H$7,W214)/INDEX(Parameter!$E$5:$E$7,W214),IF(AND(BZ214=0,N(IFERROR(VLOOKUP(BX214,'Gebinde-Kategorie'!$A$5:$N$45,14,0),0))&gt;0),VLOOKUP(BX214,'Gebinde-Kategorie'!$A$5:$N$45,14,0)*10+Parameter!$M$23,Parameter!$M$24))</f>
        <v>155</v>
      </c>
      <c r="CC214" s="48" t="str">
        <f aca="false">IF(AND(Parameter!$B$19="Ja",E214&lt;&gt;"",ISNUMBER(MATCH(E214,Parameter!$I$35:$I$52,0))),VLOOKUP(E214,Parameter!$I$35:$J$52,2,0),IFERROR(VLOOKUP(D214,Parameter!$A$35:$C$64,2,0),"Nein"))</f>
        <v>2+3</v>
      </c>
      <c r="CD214" s="52" t="n">
        <f aca="false">IF(BZ214=0,0,IF(N(S214)&gt;0,S214,IFERROR(VLOOKUP(D214,Parameter!$A$35:$C$64,3,0)+0,0)))</f>
        <v>0</v>
      </c>
      <c r="CE214" s="48" t="n">
        <f aca="false">IF(AA214&lt;&gt;"",AA214,Z214)</f>
        <v>3</v>
      </c>
      <c r="CF214" s="48" t="str">
        <f aca="false">IF(OR(CE214=1,CE214=2,CE214=3),IF(Parameter!$E$27="Ja","LIFT",IF(CE214=1,"L1","L23")),IF(CE214="Aussen","Aussen","-"))</f>
        <v>LIFT</v>
      </c>
      <c r="CG214" s="59" t="n">
        <f aca="false">IF(N(AB214)&gt;0,AB214,0)</f>
        <v>0</v>
      </c>
      <c r="CH214" s="53" t="n">
        <f aca="false">IF(ISNUMBER(AE214),1,0)</f>
        <v>0</v>
      </c>
      <c r="CI214" s="50" t="n">
        <f aca="false">N(AE214)</f>
        <v>0</v>
      </c>
      <c r="CJ214" s="50" t="n">
        <f aca="false">N(M214)+N(N214)</f>
        <v>1</v>
      </c>
      <c r="CK214" s="50" t="n">
        <f aca="false">N(M214)</f>
        <v>0</v>
      </c>
      <c r="CL214" s="50" t="n">
        <f aca="false">N(N214)</f>
        <v>1</v>
      </c>
      <c r="CM214" s="50" t="n">
        <f aca="false">ROUNDUP(H214/BY214,0)</f>
        <v>1</v>
      </c>
      <c r="CN214" s="50" t="n">
        <f aca="false">ROUNDUP(CI214/BY214,0)</f>
        <v>0</v>
      </c>
      <c r="CO214" s="53" t="n">
        <f aca="false">IF(BZ214=1,0,IFERROR(VLOOKUP(BX214,'Gebinde-Kategorie'!$A$5:$N$45,5,0)+0,0))</f>
        <v>11</v>
      </c>
      <c r="CP214" s="53" t="n">
        <f aca="false">IFERROR(IF(OR(CE214=1,CE214=2,CE214=3),N(INDEX(Parameter!$I$5:$I$7,CE214)),0),0)</f>
        <v>0</v>
      </c>
      <c r="CQ214" s="52" t="n">
        <f aca="false">IF(AND(Parameter!$B$21="Ja",ISNUMBER(W214),N(X214)&gt;0),IFERROR(N(INDEX(Parameter!$L$5:$L$7,W214))*INDEX(Parameter!$E$5:$E$7,W214)*X214/SUMIFS($X$7:$X$1843,$W$7:$W$1843,W214),0),0)</f>
        <v>0</v>
      </c>
    </row>
    <row r="215" customFormat="false" ht="15" hidden="false" customHeight="false" outlineLevel="0" collapsed="false">
      <c r="A215" s="48" t="s">
        <v>633</v>
      </c>
      <c r="B215" s="48" t="s">
        <v>392</v>
      </c>
      <c r="C215" s="48" t="s">
        <v>173</v>
      </c>
      <c r="D215" s="48" t="s">
        <v>193</v>
      </c>
      <c r="E215" s="48" t="s">
        <v>194</v>
      </c>
      <c r="F215" s="48" t="s">
        <v>227</v>
      </c>
      <c r="G215" s="49" t="n">
        <v>223.2</v>
      </c>
      <c r="H215" s="50" t="n">
        <f aca="false">MAX(0,IF(AND(Parameter!$B$21="Ja",ISNUMBER(Y215)),Y215,IF(Parameter!$B$20="Jahresanfang 2025 + Export",BR215+BQ215,BQ215)))</f>
        <v>10</v>
      </c>
      <c r="I215" s="50" t="n">
        <f aca="false">H215*G215</f>
        <v>2232</v>
      </c>
      <c r="J215" s="50" t="n">
        <f aca="false">BT215*Parameter!$B$18</f>
        <v>22</v>
      </c>
      <c r="K215" s="51" t="n">
        <v>6.5</v>
      </c>
      <c r="L215" s="52" t="n">
        <v>3.38461538461539</v>
      </c>
      <c r="M215" s="50" t="n">
        <v>1</v>
      </c>
      <c r="N215" s="50" t="n">
        <v>5</v>
      </c>
      <c r="O215" s="53" t="n">
        <v>21</v>
      </c>
      <c r="P215" s="48" t="s">
        <v>302</v>
      </c>
      <c r="Q215" s="50" t="n">
        <v>18</v>
      </c>
      <c r="R215" s="53" t="n">
        <f aca="false">IF(BZ215=1,0,IFERROR(VLOOKUP(BX215,'Gebinde-Kategorie'!$A$5:$N$45,13,0)+0,0))</f>
        <v>12</v>
      </c>
      <c r="S215" s="54"/>
      <c r="T215" s="55"/>
      <c r="U215" s="55"/>
      <c r="V215" s="55"/>
      <c r="W215" s="48"/>
      <c r="X215" s="50"/>
      <c r="Y215" s="50"/>
      <c r="Z215" s="48" t="n">
        <f aca="false">IF(A215="","",IF(AND(Parameter!$B$21="Ja",ISNUMBER(W215)),W215,IF(CC215="2+3",IF(ISNUMBER(SEARCH("grosser Artikel",BU215)),2,IFERROR(VLOOKUP(BX215,Parameter!$F$35:$G$64,2,0),2)),IF(OR(CC215="Nein",CC215=""),"-",CC215))))</f>
        <v>2</v>
      </c>
      <c r="AA215" s="55"/>
      <c r="AB215" s="56"/>
      <c r="AC215" s="50" t="n">
        <f aca="false">AV215</f>
        <v>14</v>
      </c>
      <c r="AD215" s="50" t="n">
        <f aca="false">MAX(AV215,H215)</f>
        <v>14</v>
      </c>
      <c r="AE215" s="57"/>
      <c r="AF215" s="50" t="n">
        <f aca="false">IF(LEFT(Cockpit!$C$5,1)="A",H215,IF(Parameter!$E$30="MAX-Bestand",IF(CH215=1,CI215,IF(LEFT(Cockpit!$C$5,1)="B",AL215,MAX(AL215,H215))),ROUNDUP(AJ215,0)))</f>
        <v>10</v>
      </c>
      <c r="AG215" s="50" t="n">
        <f aca="false">IF(BZ215=1,0,ROUNDUP(AF215/BY215,0))</f>
        <v>1</v>
      </c>
      <c r="AH215" s="52" t="n">
        <f aca="false">IF(CQ215&gt;0,CQ215*MAX(1,AF215/X215),IF(BZ215=1,IF(AF215&lt;=0,0,CD215*MAX(1,IF(H215&gt;0,AF215/H215,1))),IF(R215&gt;0,AG215/R215,0))/MAX(0.1,N(Parameter!$M$21)))</f>
        <v>0.0833333333333333</v>
      </c>
      <c r="AI215" s="50" t="n">
        <f aca="false">AH215*CB215</f>
        <v>20.4166666666667</v>
      </c>
      <c r="AJ215" s="51" t="n">
        <f aca="false">IF(LEFT(Cockpit!$C$5,1)="A",H215,IF(CH215=1,(CK215+CI215)/2,IF(LEFT(Cockpit!$C$5,1)="B",(CK215+AL215)/2,MAX((CK215+AL215)/2,H215))))</f>
        <v>10</v>
      </c>
      <c r="AK215" s="50" t="n">
        <f aca="false">AJ215*G215</f>
        <v>2232</v>
      </c>
      <c r="AL215" s="50" t="n">
        <f aca="false">ROUNDUP(CK215+MAX(CL215,2*(J215/IF(CG215&gt;0,CG215,MAX(0.1,N(Cockpit!$C$6)))-CK215)),0)</f>
        <v>14</v>
      </c>
      <c r="AM215" s="51" t="n">
        <f aca="false">IF(AI215&gt;0,J215/AI215,-1)</f>
        <v>1.07755102040816</v>
      </c>
      <c r="AN215" s="51" t="n">
        <f aca="false">IF(AND(OR(CF215="L1",CF215="L23",CF215="LIFT"),AI215&gt;0),SUMIFS($AI$7:$AI$1843,$CF$7:$CF$1843,CF215,$AM$7:$AM$1843,"&gt;"&amp;AM215)+SUMIFS($AI$7:$AI$1843,$CF$7:$CF$1843,CF215,$AM$7:$AM$1843,AM215,$BW$7:$BW$1843,"&lt;="&amp;BW215),"")</f>
        <v>6903.13507326007</v>
      </c>
      <c r="AO215" s="58" t="n">
        <f aca="false">IF(AN215="",0,MAX(0,MIN(1,(IF(CF215="L1",Parameter!$H$5,IF(CF215="L23",Parameter!$H$6+Parameter!$H$7,Parameter!$H$5+Parameter!$H$6+Parameter!$H$7))-(AN215-AI215))/AI215)))</f>
        <v>1</v>
      </c>
      <c r="AP215" s="50" t="n">
        <f aca="false">IF(LEFT(Cockpit!$I$5,1)="A",H215,IF(Parameter!$E$30="MAX-Bestand",IF(CH215=1,CI215,IF(LEFT(Cockpit!$I$5,1)="B",AV215,MAX(AV215,H215))),ROUNDUP(AT215,0)))</f>
        <v>10</v>
      </c>
      <c r="AQ215" s="50" t="n">
        <f aca="false">IF(BZ215=1,0,ROUNDUP(AP215/BY215,0))</f>
        <v>1</v>
      </c>
      <c r="AR215" s="52" t="n">
        <f aca="false">IF(CQ215&gt;0,CQ215*MAX(1,AP215/X215),IF(BZ215=1,IF(AP215&lt;=0,0,CD215*MAX(1,IF(H215&gt;0,AP215/H215,1))),IF(R215&gt;0,AQ215/R215,0))/MAX(0.1,N(Parameter!$M$21)))</f>
        <v>0.0833333333333333</v>
      </c>
      <c r="AS215" s="50" t="n">
        <f aca="false">AR215*CB215</f>
        <v>20.4166666666667</v>
      </c>
      <c r="AT215" s="51" t="n">
        <f aca="false">IF(LEFT(Cockpit!$I$5,1)="A",H215,IF(CH215=1,(CK215+CI215)/2,IF(LEFT(Cockpit!$I$5,1)="B",(CK215+AV215)/2,MAX((CK215+AV215)/2,H215))))</f>
        <v>10</v>
      </c>
      <c r="AU215" s="50" t="n">
        <f aca="false">AT215*G215</f>
        <v>2232</v>
      </c>
      <c r="AV215" s="50" t="n">
        <f aca="false">ROUNDUP(CK215+MAX(CL215,2*(J215/IF(CG215&gt;0,CG215,MAX(0.1,N(Cockpit!$I$6)))-CK215)),0)</f>
        <v>14</v>
      </c>
      <c r="AW215" s="51" t="n">
        <f aca="false">IF(AS215&gt;0,J215/AS215,-1)</f>
        <v>1.07755102040816</v>
      </c>
      <c r="AX215" s="51" t="n">
        <f aca="false">IF(AND(OR(CF215="L1",CF215="L23",CF215="LIFT"),AS215&gt;0),SUMIFS($AS$7:$AS$1843,$CF$7:$CF$1843,CF215,$AW$7:$AW$1843,"&gt;"&amp;AW215)+SUMIFS($AS$7:$AS$1843,$CF$7:$CF$1843,CF215,$AW$7:$AW$1843,AW215,$BW$7:$BW$1843,"&lt;="&amp;BW215),"")</f>
        <v>8253.63278388278</v>
      </c>
      <c r="AY215" s="58" t="n">
        <f aca="false">IF(AX215="",0,MAX(0,MIN(1,(IF(CF215="L1",Parameter!$H$5,IF(CF215="L23",Parameter!$H$6+Parameter!$H$7,Parameter!$H$5+Parameter!$H$6+Parameter!$H$7))-(AX215-AS215))/AS215)))</f>
        <v>1</v>
      </c>
      <c r="AZ215" s="50" t="n">
        <f aca="false">IF(LEFT(Cockpit!$O$5,1)="A",H215,IF(Parameter!$E$30="MAX-Bestand",IF(CH215=1,CI215,IF(LEFT(Cockpit!$O$5,1)="B",BF215,MAX(BF215,H215))),ROUNDUP(BD215,0)))</f>
        <v>6</v>
      </c>
      <c r="BA215" s="50" t="n">
        <f aca="false">IF(BZ215=1,0,ROUNDUP(AZ215/BY215,0))</f>
        <v>1</v>
      </c>
      <c r="BB215" s="52" t="n">
        <f aca="false">IF(CQ215&gt;0,CQ215*MAX(1,AZ215/X215),IF(BZ215=1,IF(AZ215&lt;=0,0,CD215*MAX(1,IF(H215&gt;0,AZ215/H215,1))),IF(R215&gt;0,BA215/R215,0))/MAX(0.1,N(Parameter!$M$21)))</f>
        <v>0.0833333333333333</v>
      </c>
      <c r="BC215" s="50" t="n">
        <f aca="false">BB215*CB215</f>
        <v>20.4166666666667</v>
      </c>
      <c r="BD215" s="51" t="n">
        <f aca="false">IF(LEFT(Cockpit!$O$5,1)="A",H215,IF(CH215=1,(CK215+CI215)/2,IF(LEFT(Cockpit!$O$5,1)="B",(CK215+BF215)/2,MAX((CK215+BF215)/2,H215))))</f>
        <v>5.5</v>
      </c>
      <c r="BE215" s="50" t="n">
        <f aca="false">BD215*G215</f>
        <v>1227.6</v>
      </c>
      <c r="BF215" s="50" t="n">
        <f aca="false">ROUNDUP(CK215+MAX(CL215,2*(J215/IF(CG215&gt;0,CG215,MAX(0.1,N(Cockpit!$O$6)))-CK215)),0)</f>
        <v>10</v>
      </c>
      <c r="BG215" s="51" t="n">
        <f aca="false">IF(BC215&gt;0,J215/BC215,-1)</f>
        <v>1.07755102040816</v>
      </c>
      <c r="BH215" s="51" t="n">
        <f aca="false">IF(AND(OR(CF215="L1",CF215="L23",CF215="LIFT"),BC215&gt;0),SUMIFS($BC$7:$BC$1843,$CF$7:$CF$1843,CF215,$BG$7:$BG$1843,"&gt;"&amp;BG215)+SUMIFS($BC$7:$BC$1843,$CF$7:$CF$1843,CF215,$BG$7:$BG$1843,BG215,$BW$7:$BW$1843,"&lt;="&amp;BW215),"")</f>
        <v>7407.80357142857</v>
      </c>
      <c r="BI215" s="58" t="n">
        <f aca="false">IF(BH215="",0,MAX(0,MIN(1,(IF(CF215="L1",Parameter!$H$5,IF(CF215="L23",Parameter!$H$6+Parameter!$H$7,Parameter!$H$5+Parameter!$H$6+Parameter!$H$7))-(BH215-BC215))/BC215)))</f>
        <v>1</v>
      </c>
      <c r="BJ215" s="48" t="str">
        <f aca="false">IF(AI215&lt;=0,"",IF(CF215="Aussen","Aussenlager",IF(CF215="-","Nicht im Lift",IF(AO215&gt;=1,"Lift",IF(AO215&lt;=0,"Aussenlager","teilweise")))))</f>
        <v>Lift</v>
      </c>
      <c r="BK215" s="48" t="str">
        <f aca="false">IF(AS215&lt;=0,"",IF(CF215="Aussen","Aussenlager",IF(CF215="-","Nicht im Lift",IF(AY215&gt;=1,"Lift",IF(AY215&lt;=0,"Aussenlager","teilweise")))))</f>
        <v>Lift</v>
      </c>
      <c r="BL215" s="48" t="str">
        <f aca="false">IF(BC215&lt;=0,"",IF(CF215="Aussen","Aussenlager",IF(CF215="-","Nicht im Lift",IF(BI215&gt;=1,"Lift",IF(BI215&lt;=0,"Aussenlager","teilweise")))))</f>
        <v>Lift</v>
      </c>
      <c r="BM215" s="48" t="str">
        <f aca="false">IF(A215="","",IF(BV215=1,"Neu; ","")&amp;IF(AND(BV215=0,BQ215&lt;0),"negativer Bestand (Export "&amp;BQ215&amp;"); ","")&amp;IF(J215&lt;=0,"Kein Verbrauch; ","")&amp;IF(CQ215&gt;0,"Lift "&amp;W215&amp;" lt. Liftbericht (Fach "&amp;X215&amp;" Stk); ",IF(CA215=1,"Gebinde geschätzt ("&amp;T215&amp;"); ",IF(BZ215=1,"Lose – Tablare geschätzt; ","")))&amp;IF(H215&gt;AV215,"Überbestand "&amp;ROUND(H215-AV215,0)&amp;" Stk / CHF "&amp;ROUND((H215-AV215)*G215,0)&amp;"; ","")&amp;IF(AND(CH215=1,CI215&lt;CJ215),"MAX &lt; MB+LG; ","")&amp;IF(AND(CP215&gt;0,CO215*10&gt;CP215),"zu hoch für Tablar; ","")&amp;IF(AND(BV215=0,OR(CH215=1,AA215&lt;&gt;"",U215&lt;&gt;"",V215&lt;&gt;"",AB215&lt;&gt;"")),"manuell übersteuert; ","")&amp;IF(AND(BZ215=0,R215=0),"Gebinde unbekannt / Stellmass fehlt; ","")&amp;IF(AND(BZ215=0,N(V215)&lt;=0,N(Q215)&lt;=0),"Menge pro Gebinde fehlt (Ist = 1 Gebinde); ","")&amp;BU215)</f>
        <v/>
      </c>
      <c r="BN215" s="48"/>
      <c r="BO215" s="48"/>
      <c r="BP215" s="55"/>
      <c r="BQ215" s="50" t="n">
        <v>3</v>
      </c>
      <c r="BR215" s="50" t="n">
        <v>7</v>
      </c>
      <c r="BS215" s="49" t="n">
        <v>705.600000000001</v>
      </c>
      <c r="BT215" s="50" t="n">
        <v>22</v>
      </c>
      <c r="BU215" s="48"/>
      <c r="BV215" s="53" t="n">
        <v>0</v>
      </c>
      <c r="BW215" s="53" t="n">
        <v>215</v>
      </c>
      <c r="BX215" s="48" t="str">
        <f aca="false">IF(U215&lt;&gt;"",UPPER(TRIM(U215)),IF(CA215=1,UPPER(VLOOKUP(T215,Parameter!$I$27:$K$29,2,0)),IF(P215="","LOSE",P215)))</f>
        <v>S62</v>
      </c>
      <c r="BY215" s="50" t="n">
        <f aca="false">IF(BX215="LOSE",1,IF(N(V215)&gt;0,V215,IF(CA215=1,MAX(1,N(VLOOKUP(T215,Parameter!$I$27:$K$29,3,0)),H215,N(N215)),IF(N(Q215)&gt;0,Q215,MAX(1,H215)))))</f>
        <v>18</v>
      </c>
      <c r="BZ215" s="53" t="n">
        <f aca="false">IF(BX215="LOSE",1,0)</f>
        <v>0</v>
      </c>
      <c r="CA215" s="53" t="n">
        <f aca="false">IF(AND(U215="",OR(P215="",P215="LOSE"),T215&lt;&gt;"",N(S215)&lt;=0,ISNUMBER(MATCH(T215,Parameter!$I$27:$I$29,0))),1,0)</f>
        <v>0</v>
      </c>
      <c r="CB215" s="53" t="n">
        <f aca="false">IF(CQ215&gt;0,INDEX(Parameter!$H$5:$H$7,W215)/INDEX(Parameter!$E$5:$E$7,W215),IF(AND(BZ215=0,N(IFERROR(VLOOKUP(BX215,'Gebinde-Kategorie'!$A$5:$N$45,14,0),0))&gt;0),VLOOKUP(BX215,'Gebinde-Kategorie'!$A$5:$N$45,14,0)*10+Parameter!$M$23,Parameter!$M$24))</f>
        <v>245</v>
      </c>
      <c r="CC215" s="48" t="str">
        <f aca="false">IF(AND(Parameter!$B$19="Ja",E215&lt;&gt;"",ISNUMBER(MATCH(E215,Parameter!$I$35:$I$52,0))),VLOOKUP(E215,Parameter!$I$35:$J$52,2,0),IFERROR(VLOOKUP(D215,Parameter!$A$35:$C$64,2,0),"Nein"))</f>
        <v>2+3</v>
      </c>
      <c r="CD215" s="52" t="n">
        <f aca="false">IF(BZ215=0,0,IF(N(S215)&gt;0,S215,IFERROR(VLOOKUP(D215,Parameter!$A$35:$C$64,3,0)+0,0)))</f>
        <v>0</v>
      </c>
      <c r="CE215" s="48" t="n">
        <f aca="false">IF(AA215&lt;&gt;"",AA215,Z215)</f>
        <v>2</v>
      </c>
      <c r="CF215" s="48" t="str">
        <f aca="false">IF(OR(CE215=1,CE215=2,CE215=3),IF(Parameter!$E$27="Ja","LIFT",IF(CE215=1,"L1","L23")),IF(CE215="Aussen","Aussen","-"))</f>
        <v>LIFT</v>
      </c>
      <c r="CG215" s="59" t="n">
        <f aca="false">IF(N(AB215)&gt;0,AB215,0)</f>
        <v>0</v>
      </c>
      <c r="CH215" s="53" t="n">
        <f aca="false">IF(ISNUMBER(AE215),1,0)</f>
        <v>0</v>
      </c>
      <c r="CI215" s="50" t="n">
        <f aca="false">N(AE215)</f>
        <v>0</v>
      </c>
      <c r="CJ215" s="50" t="n">
        <f aca="false">N(M215)+N(N215)</f>
        <v>6</v>
      </c>
      <c r="CK215" s="50" t="n">
        <f aca="false">N(M215)</f>
        <v>1</v>
      </c>
      <c r="CL215" s="50" t="n">
        <f aca="false">N(N215)</f>
        <v>5</v>
      </c>
      <c r="CM215" s="50" t="n">
        <f aca="false">ROUNDUP(H215/BY215,0)</f>
        <v>1</v>
      </c>
      <c r="CN215" s="50" t="n">
        <f aca="false">ROUNDUP(CI215/BY215,0)</f>
        <v>0</v>
      </c>
      <c r="CO215" s="53" t="n">
        <f aca="false">IF(BZ215=1,0,IFERROR(VLOOKUP(BX215,'Gebinde-Kategorie'!$A$5:$N$45,5,0)+0,0))</f>
        <v>21</v>
      </c>
      <c r="CP215" s="53" t="n">
        <f aca="false">IFERROR(IF(OR(CE215=1,CE215=2,CE215=3),N(INDEX(Parameter!$I$5:$I$7,CE215)),0),0)</f>
        <v>0</v>
      </c>
      <c r="CQ215" s="52" t="n">
        <f aca="false">IF(AND(Parameter!$B$21="Ja",ISNUMBER(W215),N(X215)&gt;0),IFERROR(N(INDEX(Parameter!$L$5:$L$7,W215))*INDEX(Parameter!$E$5:$E$7,W215)*X215/SUMIFS($X$7:$X$1843,$W$7:$W$1843,W215),0),0)</f>
        <v>0</v>
      </c>
    </row>
    <row r="216" customFormat="false" ht="15" hidden="false" customHeight="false" outlineLevel="0" collapsed="false">
      <c r="A216" s="48" t="s">
        <v>634</v>
      </c>
      <c r="B216" s="48" t="s">
        <v>516</v>
      </c>
      <c r="C216" s="48" t="s">
        <v>173</v>
      </c>
      <c r="D216" s="48" t="s">
        <v>193</v>
      </c>
      <c r="E216" s="48" t="s">
        <v>194</v>
      </c>
      <c r="F216" s="48" t="s">
        <v>227</v>
      </c>
      <c r="G216" s="49" t="n">
        <v>29.19</v>
      </c>
      <c r="H216" s="50" t="n">
        <f aca="false">MAX(0,IF(AND(Parameter!$B$21="Ja",ISNUMBER(Y216)),Y216,IF(Parameter!$B$20="Jahresanfang 2025 + Export",BR216+BQ216,BQ216)))</f>
        <v>39</v>
      </c>
      <c r="I216" s="50" t="n">
        <f aca="false">H216*G216</f>
        <v>1138.41</v>
      </c>
      <c r="J216" s="50" t="n">
        <f aca="false">BT216*Parameter!$B$18</f>
        <v>0</v>
      </c>
      <c r="K216" s="51" t="n">
        <v>27</v>
      </c>
      <c r="L216" s="52" t="n">
        <v>0</v>
      </c>
      <c r="M216" s="50" t="n">
        <v>0</v>
      </c>
      <c r="N216" s="50" t="n">
        <v>1</v>
      </c>
      <c r="O216" s="53" t="n">
        <v>21</v>
      </c>
      <c r="P216" s="48" t="s">
        <v>242</v>
      </c>
      <c r="Q216" s="50" t="n">
        <v>24</v>
      </c>
      <c r="R216" s="53" t="n">
        <f aca="false">IF(BZ216=1,0,IFERROR(VLOOKUP(BX216,'Gebinde-Kategorie'!$A$5:$N$45,13,0)+0,0))</f>
        <v>26</v>
      </c>
      <c r="S216" s="54"/>
      <c r="T216" s="55"/>
      <c r="U216" s="55"/>
      <c r="V216" s="55"/>
      <c r="W216" s="48"/>
      <c r="X216" s="50"/>
      <c r="Y216" s="50"/>
      <c r="Z216" s="48" t="n">
        <f aca="false">IF(A216="","",IF(AND(Parameter!$B$21="Ja",ISNUMBER(W216)),W216,IF(CC216="2+3",IF(ISNUMBER(SEARCH("grosser Artikel",BU216)),2,IFERROR(VLOOKUP(BX216,Parameter!$F$35:$G$64,2,0),2)),IF(OR(CC216="Nein",CC216=""),"-",CC216))))</f>
        <v>3</v>
      </c>
      <c r="AA216" s="55"/>
      <c r="AB216" s="56"/>
      <c r="AC216" s="50" t="n">
        <f aca="false">AV216</f>
        <v>1</v>
      </c>
      <c r="AD216" s="50" t="n">
        <f aca="false">MAX(AV216,H216)</f>
        <v>39</v>
      </c>
      <c r="AE216" s="57"/>
      <c r="AF216" s="50" t="n">
        <f aca="false">IF(LEFT(Cockpit!$C$5,1)="A",H216,IF(Parameter!$E$30="MAX-Bestand",IF(CH216=1,CI216,IF(LEFT(Cockpit!$C$5,1)="B",AL216,MAX(AL216,H216))),ROUNDUP(AJ216,0)))</f>
        <v>39</v>
      </c>
      <c r="AG216" s="50" t="n">
        <f aca="false">IF(BZ216=1,0,ROUNDUP(AF216/BY216,0))</f>
        <v>2</v>
      </c>
      <c r="AH216" s="52" t="n">
        <f aca="false">IF(CQ216&gt;0,CQ216*MAX(1,AF216/X216),IF(BZ216=1,IF(AF216&lt;=0,0,CD216*MAX(1,IF(H216&gt;0,AF216/H216,1))),IF(R216&gt;0,AG216/R216,0))/MAX(0.1,N(Parameter!$M$21)))</f>
        <v>0.0769230769230769</v>
      </c>
      <c r="AI216" s="50" t="n">
        <f aca="false">AH216*CB216</f>
        <v>18.8461538461538</v>
      </c>
      <c r="AJ216" s="51" t="n">
        <f aca="false">IF(LEFT(Cockpit!$C$5,1)="A",H216,IF(CH216=1,(CK216+CI216)/2,IF(LEFT(Cockpit!$C$5,1)="B",(CK216+AL216)/2,MAX((CK216+AL216)/2,H216))))</f>
        <v>39</v>
      </c>
      <c r="AK216" s="50" t="n">
        <f aca="false">AJ216*G216</f>
        <v>1138.41</v>
      </c>
      <c r="AL216" s="50" t="n">
        <f aca="false">ROUNDUP(CK216+MAX(CL216,2*(J216/IF(CG216&gt;0,CG216,MAX(0.1,N(Cockpit!$C$6)))-CK216)),0)</f>
        <v>1</v>
      </c>
      <c r="AM216" s="51" t="n">
        <f aca="false">IF(AI216&gt;0,J216/AI216,-1)</f>
        <v>0</v>
      </c>
      <c r="AN216" s="51" t="n">
        <f aca="false">IF(AND(OR(CF216="L1",CF216="L23",CF216="LIFT"),AI216&gt;0),SUMIFS($AI$7:$AI$1843,$CF$7:$CF$1843,CF216,$AM$7:$AM$1843,"&gt;"&amp;AM216)+SUMIFS($AI$7:$AI$1843,$CF$7:$CF$1843,CF216,$AM$7:$AM$1843,AM216,$BW$7:$BW$1843,"&lt;="&amp;BW216),"")</f>
        <v>27555.1869813332</v>
      </c>
      <c r="AO216" s="58" t="n">
        <f aca="false">IF(AN216="",0,MAX(0,MIN(1,(IF(CF216="L1",Parameter!$H$5,IF(CF216="L23",Parameter!$H$6+Parameter!$H$7,Parameter!$H$5+Parameter!$H$6+Parameter!$H$7))-(AN216-AI216))/AI216)))</f>
        <v>1</v>
      </c>
      <c r="AP216" s="50" t="n">
        <f aca="false">IF(LEFT(Cockpit!$I$5,1)="A",H216,IF(Parameter!$E$30="MAX-Bestand",IF(CH216=1,CI216,IF(LEFT(Cockpit!$I$5,1)="B",AV216,MAX(AV216,H216))),ROUNDUP(AT216,0)))</f>
        <v>39</v>
      </c>
      <c r="AQ216" s="50" t="n">
        <f aca="false">IF(BZ216=1,0,ROUNDUP(AP216/BY216,0))</f>
        <v>2</v>
      </c>
      <c r="AR216" s="52" t="n">
        <f aca="false">IF(CQ216&gt;0,CQ216*MAX(1,AP216/X216),IF(BZ216=1,IF(AP216&lt;=0,0,CD216*MAX(1,IF(H216&gt;0,AP216/H216,1))),IF(R216&gt;0,AQ216/R216,0))/MAX(0.1,N(Parameter!$M$21)))</f>
        <v>0.0769230769230769</v>
      </c>
      <c r="AS216" s="50" t="n">
        <f aca="false">AR216*CB216</f>
        <v>18.8461538461538</v>
      </c>
      <c r="AT216" s="51" t="n">
        <f aca="false">IF(LEFT(Cockpit!$I$5,1)="A",H216,IF(CH216=1,(CK216+CI216)/2,IF(LEFT(Cockpit!$I$5,1)="B",(CK216+AV216)/2,MAX((CK216+AV216)/2,H216))))</f>
        <v>39</v>
      </c>
      <c r="AU216" s="50" t="n">
        <f aca="false">AT216*G216</f>
        <v>1138.41</v>
      </c>
      <c r="AV216" s="50" t="n">
        <f aca="false">ROUNDUP(CK216+MAX(CL216,2*(J216/IF(CG216&gt;0,CG216,MAX(0.1,N(Cockpit!$I$6)))-CK216)),0)</f>
        <v>1</v>
      </c>
      <c r="AW216" s="51" t="n">
        <f aca="false">IF(AS216&gt;0,J216/AS216,-1)</f>
        <v>0</v>
      </c>
      <c r="AX216" s="51" t="n">
        <f aca="false">IF(AND(OR(CF216="L1",CF216="L23",CF216="LIFT"),AS216&gt;0),SUMIFS($AS$7:$AS$1843,$CF$7:$CF$1843,CF216,$AW$7:$AW$1843,"&gt;"&amp;AW216)+SUMIFS($AS$7:$AS$1843,$CF$7:$CF$1843,CF216,$AW$7:$AW$1843,AW216,$BW$7:$BW$1843,"&lt;="&amp;BW216),"")</f>
        <v>32908.3356227106</v>
      </c>
      <c r="AY216" s="58" t="n">
        <f aca="false">IF(AX216="",0,MAX(0,MIN(1,(IF(CF216="L1",Parameter!$H$5,IF(CF216="L23",Parameter!$H$6+Parameter!$H$7,Parameter!$H$5+Parameter!$H$6+Parameter!$H$7))-(AX216-AS216))/AS216)))</f>
        <v>1</v>
      </c>
      <c r="AZ216" s="50" t="n">
        <f aca="false">IF(LEFT(Cockpit!$O$5,1)="A",H216,IF(Parameter!$E$30="MAX-Bestand",IF(CH216=1,CI216,IF(LEFT(Cockpit!$O$5,1)="B",BF216,MAX(BF216,H216))),ROUNDUP(BD216,0)))</f>
        <v>1</v>
      </c>
      <c r="BA216" s="50" t="n">
        <f aca="false">IF(BZ216=1,0,ROUNDUP(AZ216/BY216,0))</f>
        <v>1</v>
      </c>
      <c r="BB216" s="52" t="n">
        <f aca="false">IF(CQ216&gt;0,CQ216*MAX(1,AZ216/X216),IF(BZ216=1,IF(AZ216&lt;=0,0,CD216*MAX(1,IF(H216&gt;0,AZ216/H216,1))),IF(R216&gt;0,BA216/R216,0))/MAX(0.1,N(Parameter!$M$21)))</f>
        <v>0.0384615384615385</v>
      </c>
      <c r="BC216" s="50" t="n">
        <f aca="false">BB216*CB216</f>
        <v>9.42307692307692</v>
      </c>
      <c r="BD216" s="51" t="n">
        <f aca="false">IF(LEFT(Cockpit!$O$5,1)="A",H216,IF(CH216=1,(CK216+CI216)/2,IF(LEFT(Cockpit!$O$5,1)="B",(CK216+BF216)/2,MAX((CK216+BF216)/2,H216))))</f>
        <v>0.5</v>
      </c>
      <c r="BE216" s="50" t="n">
        <f aca="false">BD216*G216</f>
        <v>14.595</v>
      </c>
      <c r="BF216" s="50" t="n">
        <f aca="false">ROUNDUP(CK216+MAX(CL216,2*(J216/IF(CG216&gt;0,CG216,MAX(0.1,N(Cockpit!$O$6)))-CK216)),0)</f>
        <v>1</v>
      </c>
      <c r="BG216" s="51" t="n">
        <f aca="false">IF(BC216&gt;0,J216/BC216,-1)</f>
        <v>0</v>
      </c>
      <c r="BH216" s="51" t="n">
        <f aca="false">IF(AND(OR(CF216="L1",CF216="L23",CF216="LIFT"),BC216&gt;0),SUMIFS($BC$7:$BC$1843,$CF$7:$CF$1843,CF216,$BG$7:$BG$1843,"&gt;"&amp;BG216)+SUMIFS($BC$7:$BC$1843,$CF$7:$CF$1843,CF216,$BG$7:$BG$1843,BG216,$BW$7:$BW$1843,"&lt;="&amp;BW216),"")</f>
        <v>27063.1546454957</v>
      </c>
      <c r="BI216" s="58" t="n">
        <f aca="false">IF(BH216="",0,MAX(0,MIN(1,(IF(CF216="L1",Parameter!$H$5,IF(CF216="L23",Parameter!$H$6+Parameter!$H$7,Parameter!$H$5+Parameter!$H$6+Parameter!$H$7))-(BH216-BC216))/BC216)))</f>
        <v>1</v>
      </c>
      <c r="BJ216" s="48" t="str">
        <f aca="false">IF(AI216&lt;=0,"",IF(CF216="Aussen","Aussenlager",IF(CF216="-","Nicht im Lift",IF(AO216&gt;=1,"Lift",IF(AO216&lt;=0,"Aussenlager","teilweise")))))</f>
        <v>Lift</v>
      </c>
      <c r="BK216" s="48" t="str">
        <f aca="false">IF(AS216&lt;=0,"",IF(CF216="Aussen","Aussenlager",IF(CF216="-","Nicht im Lift",IF(AY216&gt;=1,"Lift",IF(AY216&lt;=0,"Aussenlager","teilweise")))))</f>
        <v>Lift</v>
      </c>
      <c r="BL216" s="48" t="str">
        <f aca="false">IF(BC216&lt;=0,"",IF(CF216="Aussen","Aussenlager",IF(CF216="-","Nicht im Lift",IF(BI216&gt;=1,"Lift",IF(BI216&lt;=0,"Aussenlager","teilweise")))))</f>
        <v>Lift</v>
      </c>
      <c r="BM216" s="48" t="str">
        <f aca="false">IF(A216="","",IF(BV216=1,"Neu; ","")&amp;IF(AND(BV216=0,BQ216&lt;0),"negativer Bestand (Export "&amp;BQ216&amp;"); ","")&amp;IF(J216&lt;=0,"Kein Verbrauch; ","")&amp;IF(CQ216&gt;0,"Lift "&amp;W216&amp;" lt. Liftbericht (Fach "&amp;X216&amp;" Stk); ",IF(CA216=1,"Gebinde geschätzt ("&amp;T216&amp;"); ",IF(BZ216=1,"Lose – Tablare geschätzt; ","")))&amp;IF(H216&gt;AV216,"Überbestand "&amp;ROUND(H216-AV216,0)&amp;" Stk / CHF "&amp;ROUND((H216-AV216)*G216,0)&amp;"; ","")&amp;IF(AND(CH216=1,CI216&lt;CJ216),"MAX &lt; MB+LG; ","")&amp;IF(AND(CP216&gt;0,CO216*10&gt;CP216),"zu hoch für Tablar; ","")&amp;IF(AND(BV216=0,OR(CH216=1,AA216&lt;&gt;"",U216&lt;&gt;"",V216&lt;&gt;"",AB216&lt;&gt;"")),"manuell übersteuert; ","")&amp;IF(AND(BZ216=0,R216=0),"Gebinde unbekannt / Stellmass fehlt; ","")&amp;IF(AND(BZ216=0,N(V216)&lt;=0,N(Q216)&lt;=0),"Menge pro Gebinde fehlt (Ist = 1 Gebinde); ","")&amp;BU216)</f>
        <v>Kein Verbrauch; Überbestand 38 Stk / CHF 1109; Neu</v>
      </c>
      <c r="BN216" s="48"/>
      <c r="BO216" s="48"/>
      <c r="BP216" s="55"/>
      <c r="BQ216" s="50" t="n">
        <v>24</v>
      </c>
      <c r="BR216" s="50" t="n">
        <v>15</v>
      </c>
      <c r="BS216" s="49" t="n">
        <v>700.56</v>
      </c>
      <c r="BT216" s="50" t="n">
        <v>0</v>
      </c>
      <c r="BU216" s="48" t="s">
        <v>635</v>
      </c>
      <c r="BV216" s="53" t="n">
        <v>0</v>
      </c>
      <c r="BW216" s="53" t="n">
        <v>216</v>
      </c>
      <c r="BX216" s="48" t="str">
        <f aca="false">IF(U216&lt;&gt;"",UPPER(TRIM(U216)),IF(CA216=1,UPPER(VLOOKUP(T216,Parameter!$I$27:$K$29,2,0)),IF(P216="","LOSE",P216)))</f>
        <v>S52</v>
      </c>
      <c r="BY216" s="50" t="n">
        <f aca="false">IF(BX216="LOSE",1,IF(N(V216)&gt;0,V216,IF(CA216=1,MAX(1,N(VLOOKUP(T216,Parameter!$I$27:$K$29,3,0)),H216,N(N216)),IF(N(Q216)&gt;0,Q216,MAX(1,H216)))))</f>
        <v>24</v>
      </c>
      <c r="BZ216" s="53" t="n">
        <f aca="false">IF(BX216="LOSE",1,0)</f>
        <v>0</v>
      </c>
      <c r="CA216" s="53" t="n">
        <f aca="false">IF(AND(U216="",OR(P216="",P216="LOSE"),T216&lt;&gt;"",N(S216)&lt;=0,ISNUMBER(MATCH(T216,Parameter!$I$27:$I$29,0))),1,0)</f>
        <v>0</v>
      </c>
      <c r="CB216" s="53" t="n">
        <f aca="false">IF(CQ216&gt;0,INDEX(Parameter!$H$5:$H$7,W216)/INDEX(Parameter!$E$5:$E$7,W216),IF(AND(BZ216=0,N(IFERROR(VLOOKUP(BX216,'Gebinde-Kategorie'!$A$5:$N$45,14,0),0))&gt;0),VLOOKUP(BX216,'Gebinde-Kategorie'!$A$5:$N$45,14,0)*10+Parameter!$M$23,Parameter!$M$24))</f>
        <v>245</v>
      </c>
      <c r="CC216" s="48" t="str">
        <f aca="false">IF(AND(Parameter!$B$19="Ja",E216&lt;&gt;"",ISNUMBER(MATCH(E216,Parameter!$I$35:$I$52,0))),VLOOKUP(E216,Parameter!$I$35:$J$52,2,0),IFERROR(VLOOKUP(D216,Parameter!$A$35:$C$64,2,0),"Nein"))</f>
        <v>2+3</v>
      </c>
      <c r="CD216" s="52" t="n">
        <f aca="false">IF(BZ216=0,0,IF(N(S216)&gt;0,S216,IFERROR(VLOOKUP(D216,Parameter!$A$35:$C$64,3,0)+0,0)))</f>
        <v>0</v>
      </c>
      <c r="CE216" s="48" t="n">
        <f aca="false">IF(AA216&lt;&gt;"",AA216,Z216)</f>
        <v>3</v>
      </c>
      <c r="CF216" s="48" t="str">
        <f aca="false">IF(OR(CE216=1,CE216=2,CE216=3),IF(Parameter!$E$27="Ja","LIFT",IF(CE216=1,"L1","L23")),IF(CE216="Aussen","Aussen","-"))</f>
        <v>LIFT</v>
      </c>
      <c r="CG216" s="59" t="n">
        <f aca="false">IF(N(AB216)&gt;0,AB216,0)</f>
        <v>0</v>
      </c>
      <c r="CH216" s="53" t="n">
        <f aca="false">IF(ISNUMBER(AE216),1,0)</f>
        <v>0</v>
      </c>
      <c r="CI216" s="50" t="n">
        <f aca="false">N(AE216)</f>
        <v>0</v>
      </c>
      <c r="CJ216" s="50" t="n">
        <f aca="false">N(M216)+N(N216)</f>
        <v>1</v>
      </c>
      <c r="CK216" s="50" t="n">
        <f aca="false">N(M216)</f>
        <v>0</v>
      </c>
      <c r="CL216" s="50" t="n">
        <f aca="false">N(N216)</f>
        <v>1</v>
      </c>
      <c r="CM216" s="50" t="n">
        <f aca="false">ROUNDUP(H216/BY216,0)</f>
        <v>2</v>
      </c>
      <c r="CN216" s="50" t="n">
        <f aca="false">ROUNDUP(CI216/BY216,0)</f>
        <v>0</v>
      </c>
      <c r="CO216" s="53" t="n">
        <f aca="false">IF(BZ216=1,0,IFERROR(VLOOKUP(BX216,'Gebinde-Kategorie'!$A$5:$N$45,5,0)+0,0))</f>
        <v>21</v>
      </c>
      <c r="CP216" s="53" t="n">
        <f aca="false">IFERROR(IF(OR(CE216=1,CE216=2,CE216=3),N(INDEX(Parameter!$I$5:$I$7,CE216)),0),0)</f>
        <v>0</v>
      </c>
      <c r="CQ216" s="52" t="n">
        <f aca="false">IF(AND(Parameter!$B$21="Ja",ISNUMBER(W216),N(X216)&gt;0),IFERROR(N(INDEX(Parameter!$L$5:$L$7,W216))*INDEX(Parameter!$E$5:$E$7,W216)*X216/SUMIFS($X$7:$X$1843,$W$7:$W$1843,W216),0),0)</f>
        <v>0</v>
      </c>
    </row>
    <row r="217" customFormat="false" ht="15" hidden="false" customHeight="false" outlineLevel="0" collapsed="false">
      <c r="A217" s="48" t="s">
        <v>636</v>
      </c>
      <c r="B217" s="48" t="s">
        <v>637</v>
      </c>
      <c r="C217" s="48" t="s">
        <v>173</v>
      </c>
      <c r="D217" s="48" t="s">
        <v>193</v>
      </c>
      <c r="E217" s="48" t="s">
        <v>194</v>
      </c>
      <c r="F217" s="48" t="s">
        <v>227</v>
      </c>
      <c r="G217" s="49" t="n">
        <v>23.17</v>
      </c>
      <c r="H217" s="50" t="n">
        <f aca="false">MAX(0,IF(AND(Parameter!$B$21="Ja",ISNUMBER(Y217)),Y217,IF(Parameter!$B$20="Jahresanfang 2025 + Export",BR217+BQ217,BQ217)))</f>
        <v>33</v>
      </c>
      <c r="I217" s="50" t="n">
        <f aca="false">H217*G217</f>
        <v>764.61</v>
      </c>
      <c r="J217" s="50" t="n">
        <f aca="false">BT217*Parameter!$B$18</f>
        <v>9</v>
      </c>
      <c r="K217" s="51" t="n">
        <v>2</v>
      </c>
      <c r="L217" s="52" t="n">
        <v>4.5</v>
      </c>
      <c r="M217" s="50" t="n">
        <v>0</v>
      </c>
      <c r="N217" s="50" t="n">
        <v>10</v>
      </c>
      <c r="O217" s="53" t="n">
        <v>19</v>
      </c>
      <c r="P217" s="48" t="s">
        <v>430</v>
      </c>
      <c r="Q217" s="50" t="n">
        <v>16</v>
      </c>
      <c r="R217" s="53" t="n">
        <f aca="false">IF(BZ217=1,0,IFERROR(VLOOKUP(BX217,'Gebinde-Kategorie'!$A$5:$N$45,13,0)+0,0))</f>
        <v>104</v>
      </c>
      <c r="S217" s="54"/>
      <c r="T217" s="55"/>
      <c r="U217" s="55"/>
      <c r="V217" s="55"/>
      <c r="W217" s="48"/>
      <c r="X217" s="50"/>
      <c r="Y217" s="50"/>
      <c r="Z217" s="48" t="n">
        <f aca="false">IF(A217="","",IF(AND(Parameter!$B$21="Ja",ISNUMBER(W217)),W217,IF(CC217="2+3",IF(ISNUMBER(SEARCH("grosser Artikel",BU217)),2,IFERROR(VLOOKUP(BX217,Parameter!$F$35:$G$64,2,0),2)),IF(OR(CC217="Nein",CC217=""),"-",CC217))))</f>
        <v>3</v>
      </c>
      <c r="AA217" s="55"/>
      <c r="AB217" s="56"/>
      <c r="AC217" s="50" t="n">
        <f aca="false">AV217</f>
        <v>10</v>
      </c>
      <c r="AD217" s="50" t="n">
        <f aca="false">MAX(AV217,H217)</f>
        <v>33</v>
      </c>
      <c r="AE217" s="57"/>
      <c r="AF217" s="50" t="n">
        <f aca="false">IF(LEFT(Cockpit!$C$5,1)="A",H217,IF(Parameter!$E$30="MAX-Bestand",IF(CH217=1,CI217,IF(LEFT(Cockpit!$C$5,1)="B",AL217,MAX(AL217,H217))),ROUNDUP(AJ217,0)))</f>
        <v>33</v>
      </c>
      <c r="AG217" s="50" t="n">
        <f aca="false">IF(BZ217=1,0,ROUNDUP(AF217/BY217,0))</f>
        <v>3</v>
      </c>
      <c r="AH217" s="52" t="n">
        <f aca="false">IF(CQ217&gt;0,CQ217*MAX(1,AF217/X217),IF(BZ217=1,IF(AF217&lt;=0,0,CD217*MAX(1,IF(H217&gt;0,AF217/H217,1))),IF(R217&gt;0,AG217/R217,0))/MAX(0.1,N(Parameter!$M$21)))</f>
        <v>0.0288461538461538</v>
      </c>
      <c r="AI217" s="50" t="n">
        <f aca="false">AH217*CB217</f>
        <v>4.47115384615385</v>
      </c>
      <c r="AJ217" s="51" t="n">
        <f aca="false">IF(LEFT(Cockpit!$C$5,1)="A",H217,IF(CH217=1,(CK217+CI217)/2,IF(LEFT(Cockpit!$C$5,1)="B",(CK217+AL217)/2,MAX((CK217+AL217)/2,H217))))</f>
        <v>33</v>
      </c>
      <c r="AK217" s="50" t="n">
        <f aca="false">AJ217*G217</f>
        <v>764.61</v>
      </c>
      <c r="AL217" s="50" t="n">
        <f aca="false">ROUNDUP(CK217+MAX(CL217,2*(J217/IF(CG217&gt;0,CG217,MAX(0.1,N(Cockpit!$C$6)))-CK217)),0)</f>
        <v>10</v>
      </c>
      <c r="AM217" s="51" t="n">
        <f aca="false">IF(AI217&gt;0,J217/AI217,-1)</f>
        <v>2.01290322580645</v>
      </c>
      <c r="AN217" s="51" t="n">
        <f aca="false">IF(AND(OR(CF217="L1",CF217="L23",CF217="LIFT"),AI217&gt;0),SUMIFS($AI$7:$AI$1843,$CF$7:$CF$1843,CF217,$AM$7:$AM$1843,"&gt;"&amp;AM217)+SUMIFS($AI$7:$AI$1843,$CF$7:$CF$1843,CF217,$AM$7:$AM$1843,AM217,$BW$7:$BW$1843,"&lt;="&amp;BW217),"")</f>
        <v>5772.9652014652</v>
      </c>
      <c r="AO217" s="58" t="n">
        <f aca="false">IF(AN217="",0,MAX(0,MIN(1,(IF(CF217="L1",Parameter!$H$5,IF(CF217="L23",Parameter!$H$6+Parameter!$H$7,Parameter!$H$5+Parameter!$H$6+Parameter!$H$7))-(AN217-AI217))/AI217)))</f>
        <v>1</v>
      </c>
      <c r="AP217" s="50" t="n">
        <f aca="false">IF(LEFT(Cockpit!$I$5,1)="A",H217,IF(Parameter!$E$30="MAX-Bestand",IF(CH217=1,CI217,IF(LEFT(Cockpit!$I$5,1)="B",AV217,MAX(AV217,H217))),ROUNDUP(AT217,0)))</f>
        <v>33</v>
      </c>
      <c r="AQ217" s="50" t="n">
        <f aca="false">IF(BZ217=1,0,ROUNDUP(AP217/BY217,0))</f>
        <v>3</v>
      </c>
      <c r="AR217" s="52" t="n">
        <f aca="false">IF(CQ217&gt;0,CQ217*MAX(1,AP217/X217),IF(BZ217=1,IF(AP217&lt;=0,0,CD217*MAX(1,IF(H217&gt;0,AP217/H217,1))),IF(R217&gt;0,AQ217/R217,0))/MAX(0.1,N(Parameter!$M$21)))</f>
        <v>0.0288461538461538</v>
      </c>
      <c r="AS217" s="50" t="n">
        <f aca="false">AR217*CB217</f>
        <v>4.47115384615385</v>
      </c>
      <c r="AT217" s="51" t="n">
        <f aca="false">IF(LEFT(Cockpit!$I$5,1)="A",H217,IF(CH217=1,(CK217+CI217)/2,IF(LEFT(Cockpit!$I$5,1)="B",(CK217+AV217)/2,MAX((CK217+AV217)/2,H217))))</f>
        <v>33</v>
      </c>
      <c r="AU217" s="50" t="n">
        <f aca="false">AT217*G217</f>
        <v>764.61</v>
      </c>
      <c r="AV217" s="50" t="n">
        <f aca="false">ROUNDUP(CK217+MAX(CL217,2*(J217/IF(CG217&gt;0,CG217,MAX(0.1,N(Cockpit!$I$6)))-CK217)),0)</f>
        <v>10</v>
      </c>
      <c r="AW217" s="51" t="n">
        <f aca="false">IF(AS217&gt;0,J217/AS217,-1)</f>
        <v>2.01290322580645</v>
      </c>
      <c r="AX217" s="51" t="n">
        <f aca="false">IF(AND(OR(CF217="L1",CF217="L23",CF217="LIFT"),AS217&gt;0),SUMIFS($AS$7:$AS$1843,$CF$7:$CF$1843,CF217,$AW$7:$AW$1843,"&gt;"&amp;AW217)+SUMIFS($AS$7:$AS$1843,$CF$7:$CF$1843,CF217,$AW$7:$AW$1843,AW217,$BW$7:$BW$1843,"&lt;="&amp;BW217),"")</f>
        <v>7140.90476190476</v>
      </c>
      <c r="AY217" s="58" t="n">
        <f aca="false">IF(AX217="",0,MAX(0,MIN(1,(IF(CF217="L1",Parameter!$H$5,IF(CF217="L23",Parameter!$H$6+Parameter!$H$7,Parameter!$H$5+Parameter!$H$6+Parameter!$H$7))-(AX217-AS217))/AS217)))</f>
        <v>1</v>
      </c>
      <c r="AZ217" s="50" t="n">
        <f aca="false">IF(LEFT(Cockpit!$O$5,1)="A",H217,IF(Parameter!$E$30="MAX-Bestand",IF(CH217=1,CI217,IF(LEFT(Cockpit!$O$5,1)="B",BF217,MAX(BF217,H217))),ROUNDUP(BD217,0)))</f>
        <v>5</v>
      </c>
      <c r="BA217" s="50" t="n">
        <f aca="false">IF(BZ217=1,0,ROUNDUP(AZ217/BY217,0))</f>
        <v>1</v>
      </c>
      <c r="BB217" s="52" t="n">
        <f aca="false">IF(CQ217&gt;0,CQ217*MAX(1,AZ217/X217),IF(BZ217=1,IF(AZ217&lt;=0,0,CD217*MAX(1,IF(H217&gt;0,AZ217/H217,1))),IF(R217&gt;0,BA217/R217,0))/MAX(0.1,N(Parameter!$M$21)))</f>
        <v>0.00961538461538462</v>
      </c>
      <c r="BC217" s="50" t="n">
        <f aca="false">BB217*CB217</f>
        <v>1.49038461538462</v>
      </c>
      <c r="BD217" s="51" t="n">
        <f aca="false">IF(LEFT(Cockpit!$O$5,1)="A",H217,IF(CH217=1,(CK217+CI217)/2,IF(LEFT(Cockpit!$O$5,1)="B",(CK217+BF217)/2,MAX((CK217+BF217)/2,H217))))</f>
        <v>5</v>
      </c>
      <c r="BE217" s="50" t="n">
        <f aca="false">BD217*G217</f>
        <v>115.85</v>
      </c>
      <c r="BF217" s="50" t="n">
        <f aca="false">ROUNDUP(CK217+MAX(CL217,2*(J217/IF(CG217&gt;0,CG217,MAX(0.1,N(Cockpit!$O$6)))-CK217)),0)</f>
        <v>10</v>
      </c>
      <c r="BG217" s="51" t="n">
        <f aca="false">IF(BC217&gt;0,J217/BC217,-1)</f>
        <v>6.03870967741935</v>
      </c>
      <c r="BH217" s="51" t="n">
        <f aca="false">IF(AND(OR(CF217="L1",CF217="L23",CF217="LIFT"),BC217&gt;0),SUMIFS($BC$7:$BC$1843,$CF$7:$CF$1843,CF217,$BG$7:$BG$1843,"&gt;"&amp;BG217)+SUMIFS($BC$7:$BC$1843,$CF$7:$CF$1843,CF217,$BG$7:$BG$1843,BG217,$BW$7:$BW$1843,"&lt;="&amp;BW217),"")</f>
        <v>3486.83058608059</v>
      </c>
      <c r="BI217" s="58" t="n">
        <f aca="false">IF(BH217="",0,MAX(0,MIN(1,(IF(CF217="L1",Parameter!$H$5,IF(CF217="L23",Parameter!$H$6+Parameter!$H$7,Parameter!$H$5+Parameter!$H$6+Parameter!$H$7))-(BH217-BC217))/BC217)))</f>
        <v>1</v>
      </c>
      <c r="BJ217" s="48" t="str">
        <f aca="false">IF(AI217&lt;=0,"",IF(CF217="Aussen","Aussenlager",IF(CF217="-","Nicht im Lift",IF(AO217&gt;=1,"Lift",IF(AO217&lt;=0,"Aussenlager","teilweise")))))</f>
        <v>Lift</v>
      </c>
      <c r="BK217" s="48" t="str">
        <f aca="false">IF(AS217&lt;=0,"",IF(CF217="Aussen","Aussenlager",IF(CF217="-","Nicht im Lift",IF(AY217&gt;=1,"Lift",IF(AY217&lt;=0,"Aussenlager","teilweise")))))</f>
        <v>Lift</v>
      </c>
      <c r="BL217" s="48" t="str">
        <f aca="false">IF(BC217&lt;=0,"",IF(CF217="Aussen","Aussenlager",IF(CF217="-","Nicht im Lift",IF(BI217&gt;=1,"Lift",IF(BI217&lt;=0,"Aussenlager","teilweise")))))</f>
        <v>Lift</v>
      </c>
      <c r="BM217" s="48" t="str">
        <f aca="false">IF(A217="","",IF(BV217=1,"Neu; ","")&amp;IF(AND(BV217=0,BQ217&lt;0),"negativer Bestand (Export "&amp;BQ217&amp;"); ","")&amp;IF(J217&lt;=0,"Kein Verbrauch; ","")&amp;IF(CQ217&gt;0,"Lift "&amp;W217&amp;" lt. Liftbericht (Fach "&amp;X217&amp;" Stk); ",IF(CA217=1,"Gebinde geschätzt ("&amp;T217&amp;"); ",IF(BZ217=1,"Lose – Tablare geschätzt; ","")))&amp;IF(H217&gt;AV217,"Überbestand "&amp;ROUND(H217-AV217,0)&amp;" Stk / CHF "&amp;ROUND((H217-AV217)*G217,0)&amp;"; ","")&amp;IF(AND(CH217=1,CI217&lt;CJ217),"MAX &lt; MB+LG; ","")&amp;IF(AND(CP217&gt;0,CO217*10&gt;CP217),"zu hoch für Tablar; ","")&amp;IF(AND(BV217=0,OR(CH217=1,AA217&lt;&gt;"",U217&lt;&gt;"",V217&lt;&gt;"",AB217&lt;&gt;"")),"manuell übersteuert; ","")&amp;IF(AND(BZ217=0,R217=0),"Gebinde unbekannt / Stellmass fehlt; ","")&amp;IF(AND(BZ217=0,N(V217)&lt;=0,N(Q217)&lt;=0),"Menge pro Gebinde fehlt (Ist = 1 Gebinde); ","")&amp;BU217)</f>
        <v>Überbestand 23 Stk / CHF 533; Neu</v>
      </c>
      <c r="BN217" s="48"/>
      <c r="BO217" s="48"/>
      <c r="BP217" s="55"/>
      <c r="BQ217" s="50" t="n">
        <v>31</v>
      </c>
      <c r="BR217" s="50" t="n">
        <v>2</v>
      </c>
      <c r="BS217" s="49" t="n">
        <v>698.21</v>
      </c>
      <c r="BT217" s="50" t="n">
        <v>9</v>
      </c>
      <c r="BU217" s="48" t="s">
        <v>635</v>
      </c>
      <c r="BV217" s="53" t="n">
        <v>0</v>
      </c>
      <c r="BW217" s="53" t="n">
        <v>217</v>
      </c>
      <c r="BX217" s="48" t="str">
        <f aca="false">IF(U217&lt;&gt;"",UPPER(TRIM(U217)),IF(CA217=1,UPPER(VLOOKUP(T217,Parameter!$I$27:$K$29,2,0)),IF(P217="","LOSE",P217)))</f>
        <v>S32</v>
      </c>
      <c r="BY217" s="50" t="n">
        <f aca="false">IF(BX217="LOSE",1,IF(N(V217)&gt;0,V217,IF(CA217=1,MAX(1,N(VLOOKUP(T217,Parameter!$I$27:$K$29,3,0)),H217,N(N217)),IF(N(Q217)&gt;0,Q217,MAX(1,H217)))))</f>
        <v>16</v>
      </c>
      <c r="BZ217" s="53" t="n">
        <f aca="false">IF(BX217="LOSE",1,0)</f>
        <v>0</v>
      </c>
      <c r="CA217" s="53" t="n">
        <f aca="false">IF(AND(U217="",OR(P217="",P217="LOSE"),T217&lt;&gt;"",N(S217)&lt;=0,ISNUMBER(MATCH(T217,Parameter!$I$27:$I$29,0))),1,0)</f>
        <v>0</v>
      </c>
      <c r="CB217" s="53" t="n">
        <f aca="false">IF(CQ217&gt;0,INDEX(Parameter!$H$5:$H$7,W217)/INDEX(Parameter!$E$5:$E$7,W217),IF(AND(BZ217=0,N(IFERROR(VLOOKUP(BX217,'Gebinde-Kategorie'!$A$5:$N$45,14,0),0))&gt;0),VLOOKUP(BX217,'Gebinde-Kategorie'!$A$5:$N$45,14,0)*10+Parameter!$M$23,Parameter!$M$24))</f>
        <v>155</v>
      </c>
      <c r="CC217" s="48" t="str">
        <f aca="false">IF(AND(Parameter!$B$19="Ja",E217&lt;&gt;"",ISNUMBER(MATCH(E217,Parameter!$I$35:$I$52,0))),VLOOKUP(E217,Parameter!$I$35:$J$52,2,0),IFERROR(VLOOKUP(D217,Parameter!$A$35:$C$64,2,0),"Nein"))</f>
        <v>2+3</v>
      </c>
      <c r="CD217" s="52" t="n">
        <f aca="false">IF(BZ217=0,0,IF(N(S217)&gt;0,S217,IFERROR(VLOOKUP(D217,Parameter!$A$35:$C$64,3,0)+0,0)))</f>
        <v>0</v>
      </c>
      <c r="CE217" s="48" t="n">
        <f aca="false">IF(AA217&lt;&gt;"",AA217,Z217)</f>
        <v>3</v>
      </c>
      <c r="CF217" s="48" t="str">
        <f aca="false">IF(OR(CE217=1,CE217=2,CE217=3),IF(Parameter!$E$27="Ja","LIFT",IF(CE217=1,"L1","L23")),IF(CE217="Aussen","Aussen","-"))</f>
        <v>LIFT</v>
      </c>
      <c r="CG217" s="59" t="n">
        <f aca="false">IF(N(AB217)&gt;0,AB217,0)</f>
        <v>0</v>
      </c>
      <c r="CH217" s="53" t="n">
        <f aca="false">IF(ISNUMBER(AE217),1,0)</f>
        <v>0</v>
      </c>
      <c r="CI217" s="50" t="n">
        <f aca="false">N(AE217)</f>
        <v>0</v>
      </c>
      <c r="CJ217" s="50" t="n">
        <f aca="false">N(M217)+N(N217)</f>
        <v>10</v>
      </c>
      <c r="CK217" s="50" t="n">
        <f aca="false">N(M217)</f>
        <v>0</v>
      </c>
      <c r="CL217" s="50" t="n">
        <f aca="false">N(N217)</f>
        <v>10</v>
      </c>
      <c r="CM217" s="50" t="n">
        <f aca="false">ROUNDUP(H217/BY217,0)</f>
        <v>3</v>
      </c>
      <c r="CN217" s="50" t="n">
        <f aca="false">ROUNDUP(CI217/BY217,0)</f>
        <v>0</v>
      </c>
      <c r="CO217" s="53" t="n">
        <f aca="false">IF(BZ217=1,0,IFERROR(VLOOKUP(BX217,'Gebinde-Kategorie'!$A$5:$N$45,5,0)+0,0))</f>
        <v>8</v>
      </c>
      <c r="CP217" s="53" t="n">
        <f aca="false">IFERROR(IF(OR(CE217=1,CE217=2,CE217=3),N(INDEX(Parameter!$I$5:$I$7,CE217)),0),0)</f>
        <v>0</v>
      </c>
      <c r="CQ217" s="52" t="n">
        <f aca="false">IF(AND(Parameter!$B$21="Ja",ISNUMBER(W217),N(X217)&gt;0),IFERROR(N(INDEX(Parameter!$L$5:$L$7,W217))*INDEX(Parameter!$E$5:$E$7,W217)*X217/SUMIFS($X$7:$X$1843,$W$7:$W$1843,W217),0),0)</f>
        <v>0</v>
      </c>
    </row>
    <row r="218" customFormat="false" ht="15" hidden="false" customHeight="false" outlineLevel="0" collapsed="false">
      <c r="A218" s="48" t="s">
        <v>638</v>
      </c>
      <c r="B218" s="48" t="s">
        <v>348</v>
      </c>
      <c r="C218" s="48" t="s">
        <v>173</v>
      </c>
      <c r="D218" s="48" t="s">
        <v>182</v>
      </c>
      <c r="E218" s="48" t="s">
        <v>175</v>
      </c>
      <c r="F218" s="48" t="s">
        <v>227</v>
      </c>
      <c r="G218" s="49" t="n">
        <v>301.38</v>
      </c>
      <c r="H218" s="50" t="n">
        <f aca="false">MAX(0,IF(AND(Parameter!$B$21="Ja",ISNUMBER(Y218)),Y218,IF(Parameter!$B$20="Jahresanfang 2025 + Export",BR218+BQ218,BQ218)))</f>
        <v>10</v>
      </c>
      <c r="I218" s="50" t="n">
        <f aca="false">H218*G218</f>
        <v>3013.8</v>
      </c>
      <c r="J218" s="50" t="n">
        <f aca="false">BT218*Parameter!$B$18</f>
        <v>24</v>
      </c>
      <c r="K218" s="51" t="n">
        <v>9</v>
      </c>
      <c r="L218" s="52" t="n">
        <v>2.66666666666667</v>
      </c>
      <c r="M218" s="50" t="n">
        <v>3</v>
      </c>
      <c r="N218" s="50" t="n">
        <v>15</v>
      </c>
      <c r="O218" s="53" t="n">
        <v>35</v>
      </c>
      <c r="P218" s="48" t="s">
        <v>183</v>
      </c>
      <c r="Q218" s="50" t="n">
        <v>22</v>
      </c>
      <c r="R218" s="53" t="n">
        <f aca="false">IF(BZ218=1,0,IFERROR(VLOOKUP(BX218,'Gebinde-Kategorie'!$A$5:$N$45,13,0)+0,0))</f>
        <v>6</v>
      </c>
      <c r="S218" s="54"/>
      <c r="T218" s="55"/>
      <c r="U218" s="55"/>
      <c r="V218" s="55"/>
      <c r="W218" s="48"/>
      <c r="X218" s="50"/>
      <c r="Y218" s="50"/>
      <c r="Z218" s="48" t="n">
        <f aca="false">IF(A218="","",IF(AND(Parameter!$B$21="Ja",ISNUMBER(W218)),W218,IF(CC218="2+3",IF(ISNUMBER(SEARCH("grosser Artikel",BU218)),2,IFERROR(VLOOKUP(BX218,Parameter!$F$35:$G$64,2,0),2)),IF(OR(CC218="Nein",CC218=""),"-",CC218))))</f>
        <v>1</v>
      </c>
      <c r="AA218" s="55"/>
      <c r="AB218" s="56"/>
      <c r="AC218" s="50" t="n">
        <f aca="false">AV218</f>
        <v>18</v>
      </c>
      <c r="AD218" s="50" t="n">
        <f aca="false">MAX(AV218,H218)</f>
        <v>18</v>
      </c>
      <c r="AE218" s="57"/>
      <c r="AF218" s="50" t="n">
        <f aca="false">IF(LEFT(Cockpit!$C$5,1)="A",H218,IF(Parameter!$E$30="MAX-Bestand",IF(CH218=1,CI218,IF(LEFT(Cockpit!$C$5,1)="B",AL218,MAX(AL218,H218))),ROUNDUP(AJ218,0)))</f>
        <v>10</v>
      </c>
      <c r="AG218" s="50" t="n">
        <f aca="false">IF(BZ218=1,0,ROUNDUP(AF218/BY218,0))</f>
        <v>1</v>
      </c>
      <c r="AH218" s="52" t="n">
        <f aca="false">IF(CQ218&gt;0,CQ218*MAX(1,AF218/X218),IF(BZ218=1,IF(AF218&lt;=0,0,CD218*MAX(1,IF(H218&gt;0,AF218/H218,1))),IF(R218&gt;0,AG218/R218,0))/MAX(0.1,N(Parameter!$M$21)))</f>
        <v>0.166666666666667</v>
      </c>
      <c r="AI218" s="50" t="n">
        <f aca="false">AH218*CB218</f>
        <v>39.1666666666667</v>
      </c>
      <c r="AJ218" s="51" t="n">
        <f aca="false">IF(LEFT(Cockpit!$C$5,1)="A",H218,IF(CH218=1,(CK218+CI218)/2,IF(LEFT(Cockpit!$C$5,1)="B",(CK218+AL218)/2,MAX((CK218+AL218)/2,H218))))</f>
        <v>10</v>
      </c>
      <c r="AK218" s="50" t="n">
        <f aca="false">AJ218*G218</f>
        <v>3013.8</v>
      </c>
      <c r="AL218" s="50" t="n">
        <f aca="false">ROUNDUP(CK218+MAX(CL218,2*(J218/IF(CG218&gt;0,CG218,MAX(0.1,N(Cockpit!$C$6)))-CK218)),0)</f>
        <v>18</v>
      </c>
      <c r="AM218" s="51" t="n">
        <f aca="false">IF(AI218&gt;0,J218/AI218,-1)</f>
        <v>0.612765957446809</v>
      </c>
      <c r="AN218" s="51" t="n">
        <f aca="false">IF(AND(OR(CF218="L1",CF218="L23",CF218="LIFT"),AI218&gt;0),SUMIFS($AI$7:$AI$1843,$CF$7:$CF$1843,CF218,$AM$7:$AM$1843,"&gt;"&amp;AM218)+SUMIFS($AI$7:$AI$1843,$CF$7:$CF$1843,CF218,$AM$7:$AM$1843,AM218,$BW$7:$BW$1843,"&lt;="&amp;BW218),"")</f>
        <v>9152.03614370563</v>
      </c>
      <c r="AO218" s="58" t="n">
        <f aca="false">IF(AN218="",0,MAX(0,MIN(1,(IF(CF218="L1",Parameter!$H$5,IF(CF218="L23",Parameter!$H$6+Parameter!$H$7,Parameter!$H$5+Parameter!$H$6+Parameter!$H$7))-(AN218-AI218))/AI218)))</f>
        <v>1</v>
      </c>
      <c r="AP218" s="50" t="n">
        <f aca="false">IF(LEFT(Cockpit!$I$5,1)="A",H218,IF(Parameter!$E$30="MAX-Bestand",IF(CH218=1,CI218,IF(LEFT(Cockpit!$I$5,1)="B",AV218,MAX(AV218,H218))),ROUNDUP(AT218,0)))</f>
        <v>11</v>
      </c>
      <c r="AQ218" s="50" t="n">
        <f aca="false">IF(BZ218=1,0,ROUNDUP(AP218/BY218,0))</f>
        <v>1</v>
      </c>
      <c r="AR218" s="52" t="n">
        <f aca="false">IF(CQ218&gt;0,CQ218*MAX(1,AP218/X218),IF(BZ218=1,IF(AP218&lt;=0,0,CD218*MAX(1,IF(H218&gt;0,AP218/H218,1))),IF(R218&gt;0,AQ218/R218,0))/MAX(0.1,N(Parameter!$M$21)))</f>
        <v>0.166666666666667</v>
      </c>
      <c r="AS218" s="50" t="n">
        <f aca="false">AR218*CB218</f>
        <v>39.1666666666667</v>
      </c>
      <c r="AT218" s="51" t="n">
        <f aca="false">IF(LEFT(Cockpit!$I$5,1)="A",H218,IF(CH218=1,(CK218+CI218)/2,IF(LEFT(Cockpit!$I$5,1)="B",(CK218+AV218)/2,MAX((CK218+AV218)/2,H218))))</f>
        <v>10.5</v>
      </c>
      <c r="AU218" s="50" t="n">
        <f aca="false">AT218*G218</f>
        <v>3164.49</v>
      </c>
      <c r="AV218" s="50" t="n">
        <f aca="false">ROUNDUP(CK218+MAX(CL218,2*(J218/IF(CG218&gt;0,CG218,MAX(0.1,N(Cockpit!$I$6)))-CK218)),0)</f>
        <v>18</v>
      </c>
      <c r="AW218" s="51" t="n">
        <f aca="false">IF(AS218&gt;0,J218/AS218,-1)</f>
        <v>0.612765957446809</v>
      </c>
      <c r="AX218" s="51" t="n">
        <f aca="false">IF(AND(OR(CF218="L1",CF218="L23",CF218="LIFT"),AS218&gt;0),SUMIFS($AS$7:$AS$1843,$CF$7:$CF$1843,CF218,$AW$7:$AW$1843,"&gt;"&amp;AW218)+SUMIFS($AS$7:$AS$1843,$CF$7:$CF$1843,CF218,$AW$7:$AW$1843,AW218,$BW$7:$BW$1843,"&lt;="&amp;BW218),"")</f>
        <v>11198.1163003663</v>
      </c>
      <c r="AY218" s="58" t="n">
        <f aca="false">IF(AX218="",0,MAX(0,MIN(1,(IF(CF218="L1",Parameter!$H$5,IF(CF218="L23",Parameter!$H$6+Parameter!$H$7,Parameter!$H$5+Parameter!$H$6+Parameter!$H$7))-(AX218-AS218))/AS218)))</f>
        <v>1</v>
      </c>
      <c r="AZ218" s="50" t="n">
        <f aca="false">IF(LEFT(Cockpit!$O$5,1)="A",H218,IF(Parameter!$E$30="MAX-Bestand",IF(CH218=1,CI218,IF(LEFT(Cockpit!$O$5,1)="B",BF218,MAX(BF218,H218))),ROUNDUP(BD218,0)))</f>
        <v>11</v>
      </c>
      <c r="BA218" s="50" t="n">
        <f aca="false">IF(BZ218=1,0,ROUNDUP(AZ218/BY218,0))</f>
        <v>1</v>
      </c>
      <c r="BB218" s="52" t="n">
        <f aca="false">IF(CQ218&gt;0,CQ218*MAX(1,AZ218/X218),IF(BZ218=1,IF(AZ218&lt;=0,0,CD218*MAX(1,IF(H218&gt;0,AZ218/H218,1))),IF(R218&gt;0,BA218/R218,0))/MAX(0.1,N(Parameter!$M$21)))</f>
        <v>0.166666666666667</v>
      </c>
      <c r="BC218" s="50" t="n">
        <f aca="false">BB218*CB218</f>
        <v>39.1666666666667</v>
      </c>
      <c r="BD218" s="51" t="n">
        <f aca="false">IF(LEFT(Cockpit!$O$5,1)="A",H218,IF(CH218=1,(CK218+CI218)/2,IF(LEFT(Cockpit!$O$5,1)="B",(CK218+BF218)/2,MAX((CK218+BF218)/2,H218))))</f>
        <v>10.5</v>
      </c>
      <c r="BE218" s="50" t="n">
        <f aca="false">BD218*G218</f>
        <v>3164.49</v>
      </c>
      <c r="BF218" s="50" t="n">
        <f aca="false">ROUNDUP(CK218+MAX(CL218,2*(J218/IF(CG218&gt;0,CG218,MAX(0.1,N(Cockpit!$O$6)))-CK218)),0)</f>
        <v>18</v>
      </c>
      <c r="BG218" s="51" t="n">
        <f aca="false">IF(BC218&gt;0,J218/BC218,-1)</f>
        <v>0.612765957446809</v>
      </c>
      <c r="BH218" s="51" t="n">
        <f aca="false">IF(AND(OR(CF218="L1",CF218="L23",CF218="LIFT"),BC218&gt;0),SUMIFS($BC$7:$BC$1843,$CF$7:$CF$1843,CF218,$BG$7:$BG$1843,"&gt;"&amp;BG218)+SUMIFS($BC$7:$BC$1843,$CF$7:$CF$1843,CF218,$BG$7:$BG$1843,BG218,$BW$7:$BW$1843,"&lt;="&amp;BW218),"")</f>
        <v>9890.53891941392</v>
      </c>
      <c r="BI218" s="58" t="n">
        <f aca="false">IF(BH218="",0,MAX(0,MIN(1,(IF(CF218="L1",Parameter!$H$5,IF(CF218="L23",Parameter!$H$6+Parameter!$H$7,Parameter!$H$5+Parameter!$H$6+Parameter!$H$7))-(BH218-BC218))/BC218)))</f>
        <v>1</v>
      </c>
      <c r="BJ218" s="48" t="str">
        <f aca="false">IF(AI218&lt;=0,"",IF(CF218="Aussen","Aussenlager",IF(CF218="-","Nicht im Lift",IF(AO218&gt;=1,"Lift",IF(AO218&lt;=0,"Aussenlager","teilweise")))))</f>
        <v>Lift</v>
      </c>
      <c r="BK218" s="48" t="str">
        <f aca="false">IF(AS218&lt;=0,"",IF(CF218="Aussen","Aussenlager",IF(CF218="-","Nicht im Lift",IF(AY218&gt;=1,"Lift",IF(AY218&lt;=0,"Aussenlager","teilweise")))))</f>
        <v>Lift</v>
      </c>
      <c r="BL218" s="48" t="str">
        <f aca="false">IF(BC218&lt;=0,"",IF(CF218="Aussen","Aussenlager",IF(CF218="-","Nicht im Lift",IF(BI218&gt;=1,"Lift",IF(BI218&lt;=0,"Aussenlager","teilweise")))))</f>
        <v>Lift</v>
      </c>
      <c r="BM218" s="48" t="str">
        <f aca="false">IF(A218="","",IF(BV218=1,"Neu; ","")&amp;IF(AND(BV218=0,BQ218&lt;0),"negativer Bestand (Export "&amp;BQ218&amp;"); ","")&amp;IF(J218&lt;=0,"Kein Verbrauch; ","")&amp;IF(CQ218&gt;0,"Lift "&amp;W218&amp;" lt. Liftbericht (Fach "&amp;X218&amp;" Stk); ",IF(CA218=1,"Gebinde geschätzt ("&amp;T218&amp;"); ",IF(BZ218=1,"Lose – Tablare geschätzt; ","")))&amp;IF(H218&gt;AV218,"Überbestand "&amp;ROUND(H218-AV218,0)&amp;" Stk / CHF "&amp;ROUND((H218-AV218)*G218,0)&amp;"; ","")&amp;IF(AND(CH218=1,CI218&lt;CJ218),"MAX &lt; MB+LG; ","")&amp;IF(AND(CP218&gt;0,CO218*10&gt;CP218),"zu hoch für Tablar; ","")&amp;IF(AND(BV218=0,OR(CH218=1,AA218&lt;&gt;"",U218&lt;&gt;"",V218&lt;&gt;"",AB218&lt;&gt;"")),"manuell übersteuert; ","")&amp;IF(AND(BZ218=0,R218=0),"Gebinde unbekannt / Stellmass fehlt; ","")&amp;IF(AND(BZ218=0,N(V218)&lt;=0,N(Q218)&lt;=0),"Menge pro Gebinde fehlt (Ist = 1 Gebinde); ","")&amp;BU218)</f>
        <v/>
      </c>
      <c r="BN218" s="48"/>
      <c r="BO218" s="48"/>
      <c r="BP218" s="55"/>
      <c r="BQ218" s="50" t="n">
        <v>3</v>
      </c>
      <c r="BR218" s="50" t="n">
        <v>7</v>
      </c>
      <c r="BS218" s="49" t="n">
        <v>696.450000000001</v>
      </c>
      <c r="BT218" s="50" t="n">
        <v>24</v>
      </c>
      <c r="BU218" s="48"/>
      <c r="BV218" s="53" t="n">
        <v>0</v>
      </c>
      <c r="BW218" s="53" t="n">
        <v>218</v>
      </c>
      <c r="BX218" s="48" t="str">
        <f aca="false">IF(U218&lt;&gt;"",UPPER(TRIM(U218)),IF(CA218=1,UPPER(VLOOKUP(T218,Parameter!$I$27:$K$29,2,0)),IF(P218="","LOSE",P218)))</f>
        <v>S71</v>
      </c>
      <c r="BY218" s="50" t="n">
        <f aca="false">IF(BX218="LOSE",1,IF(N(V218)&gt;0,V218,IF(CA218=1,MAX(1,N(VLOOKUP(T218,Parameter!$I$27:$K$29,3,0)),H218,N(N218)),IF(N(Q218)&gt;0,Q218,MAX(1,H218)))))</f>
        <v>22</v>
      </c>
      <c r="BZ218" s="53" t="n">
        <f aca="false">IF(BX218="LOSE",1,0)</f>
        <v>0</v>
      </c>
      <c r="CA218" s="53" t="n">
        <f aca="false">IF(AND(U218="",OR(P218="",P218="LOSE"),T218&lt;&gt;"",N(S218)&lt;=0,ISNUMBER(MATCH(T218,Parameter!$I$27:$I$29,0))),1,0)</f>
        <v>0</v>
      </c>
      <c r="CB218" s="53" t="n">
        <f aca="false">IF(CQ218&gt;0,INDEX(Parameter!$H$5:$H$7,W218)/INDEX(Parameter!$E$5:$E$7,W218),IF(AND(BZ218=0,N(IFERROR(VLOOKUP(BX218,'Gebinde-Kategorie'!$A$5:$N$45,14,0),0))&gt;0),VLOOKUP(BX218,'Gebinde-Kategorie'!$A$5:$N$45,14,0)*10+Parameter!$M$23,Parameter!$M$24))</f>
        <v>235</v>
      </c>
      <c r="CC218" s="48" t="n">
        <f aca="false">IF(AND(Parameter!$B$19="Ja",E218&lt;&gt;"",ISNUMBER(MATCH(E218,Parameter!$I$35:$I$52,0))),VLOOKUP(E218,Parameter!$I$35:$J$52,2,0),IFERROR(VLOOKUP(D218,Parameter!$A$35:$C$64,2,0),"Nein"))</f>
        <v>1</v>
      </c>
      <c r="CD218" s="52" t="n">
        <f aca="false">IF(BZ218=0,0,IF(N(S218)&gt;0,S218,IFERROR(VLOOKUP(D218,Parameter!$A$35:$C$64,3,0)+0,0)))</f>
        <v>0</v>
      </c>
      <c r="CE218" s="48" t="n">
        <f aca="false">IF(AA218&lt;&gt;"",AA218,Z218)</f>
        <v>1</v>
      </c>
      <c r="CF218" s="48" t="str">
        <f aca="false">IF(OR(CE218=1,CE218=2,CE218=3),IF(Parameter!$E$27="Ja","LIFT",IF(CE218=1,"L1","L23")),IF(CE218="Aussen","Aussen","-"))</f>
        <v>LIFT</v>
      </c>
      <c r="CG218" s="59" t="n">
        <f aca="false">IF(N(AB218)&gt;0,AB218,0)</f>
        <v>0</v>
      </c>
      <c r="CH218" s="53" t="n">
        <f aca="false">IF(ISNUMBER(AE218),1,0)</f>
        <v>0</v>
      </c>
      <c r="CI218" s="50" t="n">
        <f aca="false">N(AE218)</f>
        <v>0</v>
      </c>
      <c r="CJ218" s="50" t="n">
        <f aca="false">N(M218)+N(N218)</f>
        <v>18</v>
      </c>
      <c r="CK218" s="50" t="n">
        <f aca="false">N(M218)</f>
        <v>3</v>
      </c>
      <c r="CL218" s="50" t="n">
        <f aca="false">N(N218)</f>
        <v>15</v>
      </c>
      <c r="CM218" s="50" t="n">
        <f aca="false">ROUNDUP(H218/BY218,0)</f>
        <v>1</v>
      </c>
      <c r="CN218" s="50" t="n">
        <f aca="false">ROUNDUP(CI218/BY218,0)</f>
        <v>0</v>
      </c>
      <c r="CO218" s="53" t="n">
        <f aca="false">IF(BZ218=1,0,IFERROR(VLOOKUP(BX218,'Gebinde-Kategorie'!$A$5:$N$45,5,0)+0,0))</f>
        <v>20</v>
      </c>
      <c r="CP218" s="53" t="n">
        <f aca="false">IFERROR(IF(OR(CE218=1,CE218=2,CE218=3),N(INDEX(Parameter!$I$5:$I$7,CE218)),0),0)</f>
        <v>0</v>
      </c>
      <c r="CQ218" s="52" t="n">
        <f aca="false">IF(AND(Parameter!$B$21="Ja",ISNUMBER(W218),N(X218)&gt;0),IFERROR(N(INDEX(Parameter!$L$5:$L$7,W218))*INDEX(Parameter!$E$5:$E$7,W218)*X218/SUMIFS($X$7:$X$1843,$W$7:$W$1843,W218),0),0)</f>
        <v>0</v>
      </c>
    </row>
    <row r="219" customFormat="false" ht="15" hidden="false" customHeight="false" outlineLevel="0" collapsed="false">
      <c r="A219" s="48" t="s">
        <v>639</v>
      </c>
      <c r="B219" s="48" t="s">
        <v>640</v>
      </c>
      <c r="C219" s="48" t="s">
        <v>173</v>
      </c>
      <c r="D219" s="48" t="s">
        <v>193</v>
      </c>
      <c r="E219" s="48"/>
      <c r="F219" s="48" t="s">
        <v>227</v>
      </c>
      <c r="G219" s="49" t="n">
        <v>14</v>
      </c>
      <c r="H219" s="50" t="n">
        <f aca="false">MAX(0,IF(AND(Parameter!$B$21="Ja",ISNUMBER(Y219)),Y219,IF(Parameter!$B$20="Jahresanfang 2025 + Export",BR219+BQ219,BQ219)))</f>
        <v>53</v>
      </c>
      <c r="I219" s="50" t="n">
        <f aca="false">H219*G219</f>
        <v>742</v>
      </c>
      <c r="J219" s="50" t="n">
        <f aca="false">BT219*Parameter!$B$18</f>
        <v>0</v>
      </c>
      <c r="K219" s="51" t="n">
        <v>4</v>
      </c>
      <c r="L219" s="52" t="n">
        <v>0</v>
      </c>
      <c r="M219" s="50" t="n">
        <v>0</v>
      </c>
      <c r="N219" s="50" t="n">
        <v>1</v>
      </c>
      <c r="O219" s="53" t="n">
        <v>28</v>
      </c>
      <c r="P219" s="48" t="s">
        <v>430</v>
      </c>
      <c r="Q219" s="50" t="n">
        <v>55</v>
      </c>
      <c r="R219" s="53" t="n">
        <f aca="false">IF(BZ219=1,0,IFERROR(VLOOKUP(BX219,'Gebinde-Kategorie'!$A$5:$N$45,13,0)+0,0))</f>
        <v>104</v>
      </c>
      <c r="S219" s="54"/>
      <c r="T219" s="55"/>
      <c r="U219" s="55"/>
      <c r="V219" s="55"/>
      <c r="W219" s="48"/>
      <c r="X219" s="50"/>
      <c r="Y219" s="50"/>
      <c r="Z219" s="48" t="n">
        <f aca="false">IF(A219="","",IF(AND(Parameter!$B$21="Ja",ISNUMBER(W219)),W219,IF(CC219="2+3",IF(ISNUMBER(SEARCH("grosser Artikel",BU219)),2,IFERROR(VLOOKUP(BX219,Parameter!$F$35:$G$64,2,0),2)),IF(OR(CC219="Nein",CC219=""),"-",CC219))))</f>
        <v>3</v>
      </c>
      <c r="AA219" s="55"/>
      <c r="AB219" s="56"/>
      <c r="AC219" s="50" t="n">
        <f aca="false">AV219</f>
        <v>1</v>
      </c>
      <c r="AD219" s="50" t="n">
        <f aca="false">MAX(AV219,H219)</f>
        <v>53</v>
      </c>
      <c r="AE219" s="57"/>
      <c r="AF219" s="50" t="n">
        <f aca="false">IF(LEFT(Cockpit!$C$5,1)="A",H219,IF(Parameter!$E$30="MAX-Bestand",IF(CH219=1,CI219,IF(LEFT(Cockpit!$C$5,1)="B",AL219,MAX(AL219,H219))),ROUNDUP(AJ219,0)))</f>
        <v>53</v>
      </c>
      <c r="AG219" s="50" t="n">
        <f aca="false">IF(BZ219=1,0,ROUNDUP(AF219/BY219,0))</f>
        <v>1</v>
      </c>
      <c r="AH219" s="52" t="n">
        <f aca="false">IF(CQ219&gt;0,CQ219*MAX(1,AF219/X219),IF(BZ219=1,IF(AF219&lt;=0,0,CD219*MAX(1,IF(H219&gt;0,AF219/H219,1))),IF(R219&gt;0,AG219/R219,0))/MAX(0.1,N(Parameter!$M$21)))</f>
        <v>0.00961538461538462</v>
      </c>
      <c r="AI219" s="50" t="n">
        <f aca="false">AH219*CB219</f>
        <v>1.49038461538462</v>
      </c>
      <c r="AJ219" s="51" t="n">
        <f aca="false">IF(LEFT(Cockpit!$C$5,1)="A",H219,IF(CH219=1,(CK219+CI219)/2,IF(LEFT(Cockpit!$C$5,1)="B",(CK219+AL219)/2,MAX((CK219+AL219)/2,H219))))</f>
        <v>53</v>
      </c>
      <c r="AK219" s="50" t="n">
        <f aca="false">AJ219*G219</f>
        <v>742</v>
      </c>
      <c r="AL219" s="50" t="n">
        <f aca="false">ROUNDUP(CK219+MAX(CL219,2*(J219/IF(CG219&gt;0,CG219,MAX(0.1,N(Cockpit!$C$6)))-CK219)),0)</f>
        <v>1</v>
      </c>
      <c r="AM219" s="51" t="n">
        <f aca="false">IF(AI219&gt;0,J219/AI219,-1)</f>
        <v>0</v>
      </c>
      <c r="AN219" s="51" t="n">
        <f aca="false">IF(AND(OR(CF219="L1",CF219="L23",CF219="LIFT"),AI219&gt;0),SUMIFS($AI$7:$AI$1843,$CF$7:$CF$1843,CF219,$AM$7:$AM$1843,"&gt;"&amp;AM219)+SUMIFS($AI$7:$AI$1843,$CF$7:$CF$1843,CF219,$AM$7:$AM$1843,AM219,$BW$7:$BW$1843,"&lt;="&amp;BW219),"")</f>
        <v>27556.6773659486</v>
      </c>
      <c r="AO219" s="58" t="n">
        <f aca="false">IF(AN219="",0,MAX(0,MIN(1,(IF(CF219="L1",Parameter!$H$5,IF(CF219="L23",Parameter!$H$6+Parameter!$H$7,Parameter!$H$5+Parameter!$H$6+Parameter!$H$7))-(AN219-AI219))/AI219)))</f>
        <v>1</v>
      </c>
      <c r="AP219" s="50" t="n">
        <f aca="false">IF(LEFT(Cockpit!$I$5,1)="A",H219,IF(Parameter!$E$30="MAX-Bestand",IF(CH219=1,CI219,IF(LEFT(Cockpit!$I$5,1)="B",AV219,MAX(AV219,H219))),ROUNDUP(AT219,0)))</f>
        <v>53</v>
      </c>
      <c r="AQ219" s="50" t="n">
        <f aca="false">IF(BZ219=1,0,ROUNDUP(AP219/BY219,0))</f>
        <v>1</v>
      </c>
      <c r="AR219" s="52" t="n">
        <f aca="false">IF(CQ219&gt;0,CQ219*MAX(1,AP219/X219),IF(BZ219=1,IF(AP219&lt;=0,0,CD219*MAX(1,IF(H219&gt;0,AP219/H219,1))),IF(R219&gt;0,AQ219/R219,0))/MAX(0.1,N(Parameter!$M$21)))</f>
        <v>0.00961538461538462</v>
      </c>
      <c r="AS219" s="50" t="n">
        <f aca="false">AR219*CB219</f>
        <v>1.49038461538462</v>
      </c>
      <c r="AT219" s="51" t="n">
        <f aca="false">IF(LEFT(Cockpit!$I$5,1)="A",H219,IF(CH219=1,(CK219+CI219)/2,IF(LEFT(Cockpit!$I$5,1)="B",(CK219+AV219)/2,MAX((CK219+AV219)/2,H219))))</f>
        <v>53</v>
      </c>
      <c r="AU219" s="50" t="n">
        <f aca="false">AT219*G219</f>
        <v>742</v>
      </c>
      <c r="AV219" s="50" t="n">
        <f aca="false">ROUNDUP(CK219+MAX(CL219,2*(J219/IF(CG219&gt;0,CG219,MAX(0.1,N(Cockpit!$I$6)))-CK219)),0)</f>
        <v>1</v>
      </c>
      <c r="AW219" s="51" t="n">
        <f aca="false">IF(AS219&gt;0,J219/AS219,-1)</f>
        <v>0</v>
      </c>
      <c r="AX219" s="51" t="n">
        <f aca="false">IF(AND(OR(CF219="L1",CF219="L23",CF219="LIFT"),AS219&gt;0),SUMIFS($AS$7:$AS$1843,$CF$7:$CF$1843,CF219,$AW$7:$AW$1843,"&gt;"&amp;AW219)+SUMIFS($AS$7:$AS$1843,$CF$7:$CF$1843,CF219,$AW$7:$AW$1843,AW219,$BW$7:$BW$1843,"&lt;="&amp;BW219),"")</f>
        <v>32909.826007326</v>
      </c>
      <c r="AY219" s="58" t="n">
        <f aca="false">IF(AX219="",0,MAX(0,MIN(1,(IF(CF219="L1",Parameter!$H$5,IF(CF219="L23",Parameter!$H$6+Parameter!$H$7,Parameter!$H$5+Parameter!$H$6+Parameter!$H$7))-(AX219-AS219))/AS219)))</f>
        <v>1</v>
      </c>
      <c r="AZ219" s="50" t="n">
        <f aca="false">IF(LEFT(Cockpit!$O$5,1)="A",H219,IF(Parameter!$E$30="MAX-Bestand",IF(CH219=1,CI219,IF(LEFT(Cockpit!$O$5,1)="B",BF219,MAX(BF219,H219))),ROUNDUP(BD219,0)))</f>
        <v>1</v>
      </c>
      <c r="BA219" s="50" t="n">
        <f aca="false">IF(BZ219=1,0,ROUNDUP(AZ219/BY219,0))</f>
        <v>1</v>
      </c>
      <c r="BB219" s="52" t="n">
        <f aca="false">IF(CQ219&gt;0,CQ219*MAX(1,AZ219/X219),IF(BZ219=1,IF(AZ219&lt;=0,0,CD219*MAX(1,IF(H219&gt;0,AZ219/H219,1))),IF(R219&gt;0,BA219/R219,0))/MAX(0.1,N(Parameter!$M$21)))</f>
        <v>0.00961538461538462</v>
      </c>
      <c r="BC219" s="50" t="n">
        <f aca="false">BB219*CB219</f>
        <v>1.49038461538462</v>
      </c>
      <c r="BD219" s="51" t="n">
        <f aca="false">IF(LEFT(Cockpit!$O$5,1)="A",H219,IF(CH219=1,(CK219+CI219)/2,IF(LEFT(Cockpit!$O$5,1)="B",(CK219+BF219)/2,MAX((CK219+BF219)/2,H219))))</f>
        <v>0.5</v>
      </c>
      <c r="BE219" s="50" t="n">
        <f aca="false">BD219*G219</f>
        <v>7</v>
      </c>
      <c r="BF219" s="50" t="n">
        <f aca="false">ROUNDUP(CK219+MAX(CL219,2*(J219/IF(CG219&gt;0,CG219,MAX(0.1,N(Cockpit!$O$6)))-CK219)),0)</f>
        <v>1</v>
      </c>
      <c r="BG219" s="51" t="n">
        <f aca="false">IF(BC219&gt;0,J219/BC219,-1)</f>
        <v>0</v>
      </c>
      <c r="BH219" s="51" t="n">
        <f aca="false">IF(AND(OR(CF219="L1",CF219="L23",CF219="LIFT"),BC219&gt;0),SUMIFS($BC$7:$BC$1843,$CF$7:$CF$1843,CF219,$BG$7:$BG$1843,"&gt;"&amp;BG219)+SUMIFS($BC$7:$BC$1843,$CF$7:$CF$1843,CF219,$BG$7:$BG$1843,BG219,$BW$7:$BW$1843,"&lt;="&amp;BW219),"")</f>
        <v>27064.6450301111</v>
      </c>
      <c r="BI219" s="58" t="n">
        <f aca="false">IF(BH219="",0,MAX(0,MIN(1,(IF(CF219="L1",Parameter!$H$5,IF(CF219="L23",Parameter!$H$6+Parameter!$H$7,Parameter!$H$5+Parameter!$H$6+Parameter!$H$7))-(BH219-BC219))/BC219)))</f>
        <v>1</v>
      </c>
      <c r="BJ219" s="48" t="str">
        <f aca="false">IF(AI219&lt;=0,"",IF(CF219="Aussen","Aussenlager",IF(CF219="-","Nicht im Lift",IF(AO219&gt;=1,"Lift",IF(AO219&lt;=0,"Aussenlager","teilweise")))))</f>
        <v>Lift</v>
      </c>
      <c r="BK219" s="48" t="str">
        <f aca="false">IF(AS219&lt;=0,"",IF(CF219="Aussen","Aussenlager",IF(CF219="-","Nicht im Lift",IF(AY219&gt;=1,"Lift",IF(AY219&lt;=0,"Aussenlager","teilweise")))))</f>
        <v>Lift</v>
      </c>
      <c r="BL219" s="48" t="str">
        <f aca="false">IF(BC219&lt;=0,"",IF(CF219="Aussen","Aussenlager",IF(CF219="-","Nicht im Lift",IF(BI219&gt;=1,"Lift",IF(BI219&lt;=0,"Aussenlager","teilweise")))))</f>
        <v>Lift</v>
      </c>
      <c r="BM219" s="48" t="str">
        <f aca="false">IF(A219="","",IF(BV219=1,"Neu; ","")&amp;IF(AND(BV219=0,BQ219&lt;0),"negativer Bestand (Export "&amp;BQ219&amp;"); ","")&amp;IF(J219&lt;=0,"Kein Verbrauch; ","")&amp;IF(CQ219&gt;0,"Lift "&amp;W219&amp;" lt. Liftbericht (Fach "&amp;X219&amp;" Stk); ",IF(CA219=1,"Gebinde geschätzt ("&amp;T219&amp;"); ",IF(BZ219=1,"Lose – Tablare geschätzt; ","")))&amp;IF(H219&gt;AV219,"Überbestand "&amp;ROUND(H219-AV219,0)&amp;" Stk / CHF "&amp;ROUND((H219-AV219)*G219,0)&amp;"; ","")&amp;IF(AND(CH219=1,CI219&lt;CJ219),"MAX &lt; MB+LG; ","")&amp;IF(AND(CP219&gt;0,CO219*10&gt;CP219),"zu hoch für Tablar; ","")&amp;IF(AND(BV219=0,OR(CH219=1,AA219&lt;&gt;"",U219&lt;&gt;"",V219&lt;&gt;"",AB219&lt;&gt;"")),"manuell übersteuert; ","")&amp;IF(AND(BZ219=0,R219=0),"Gebinde unbekannt / Stellmass fehlt; ","")&amp;IF(AND(BZ219=0,N(V219)&lt;=0,N(Q219)&lt;=0),"Menge pro Gebinde fehlt (Ist = 1 Gebinde); ","")&amp;BU219)</f>
        <v>Kein Verbrauch; Überbestand 52 Stk / CHF 728; </v>
      </c>
      <c r="BN219" s="48"/>
      <c r="BO219" s="48"/>
      <c r="BP219" s="55"/>
      <c r="BQ219" s="50" t="n">
        <v>49</v>
      </c>
      <c r="BR219" s="50" t="n">
        <v>4</v>
      </c>
      <c r="BS219" s="49" t="n">
        <v>688.92</v>
      </c>
      <c r="BT219" s="50" t="n">
        <v>0</v>
      </c>
      <c r="BU219" s="48"/>
      <c r="BV219" s="53" t="n">
        <v>0</v>
      </c>
      <c r="BW219" s="53" t="n">
        <v>219</v>
      </c>
      <c r="BX219" s="48" t="str">
        <f aca="false">IF(U219&lt;&gt;"",UPPER(TRIM(U219)),IF(CA219=1,UPPER(VLOOKUP(T219,Parameter!$I$27:$K$29,2,0)),IF(P219="","LOSE",P219)))</f>
        <v>S32</v>
      </c>
      <c r="BY219" s="50" t="n">
        <f aca="false">IF(BX219="LOSE",1,IF(N(V219)&gt;0,V219,IF(CA219=1,MAX(1,N(VLOOKUP(T219,Parameter!$I$27:$K$29,3,0)),H219,N(N219)),IF(N(Q219)&gt;0,Q219,MAX(1,H219)))))</f>
        <v>55</v>
      </c>
      <c r="BZ219" s="53" t="n">
        <f aca="false">IF(BX219="LOSE",1,0)</f>
        <v>0</v>
      </c>
      <c r="CA219" s="53" t="n">
        <f aca="false">IF(AND(U219="",OR(P219="",P219="LOSE"),T219&lt;&gt;"",N(S219)&lt;=0,ISNUMBER(MATCH(T219,Parameter!$I$27:$I$29,0))),1,0)</f>
        <v>0</v>
      </c>
      <c r="CB219" s="53" t="n">
        <f aca="false">IF(CQ219&gt;0,INDEX(Parameter!$H$5:$H$7,W219)/INDEX(Parameter!$E$5:$E$7,W219),IF(AND(BZ219=0,N(IFERROR(VLOOKUP(BX219,'Gebinde-Kategorie'!$A$5:$N$45,14,0),0))&gt;0),VLOOKUP(BX219,'Gebinde-Kategorie'!$A$5:$N$45,14,0)*10+Parameter!$M$23,Parameter!$M$24))</f>
        <v>155</v>
      </c>
      <c r="CC219" s="48" t="str">
        <f aca="false">IF(AND(Parameter!$B$19="Ja",E219&lt;&gt;"",ISNUMBER(MATCH(E219,Parameter!$I$35:$I$52,0))),VLOOKUP(E219,Parameter!$I$35:$J$52,2,0),IFERROR(VLOOKUP(D219,Parameter!$A$35:$C$64,2,0),"Nein"))</f>
        <v>2+3</v>
      </c>
      <c r="CD219" s="52" t="n">
        <f aca="false">IF(BZ219=0,0,IF(N(S219)&gt;0,S219,IFERROR(VLOOKUP(D219,Parameter!$A$35:$C$64,3,0)+0,0)))</f>
        <v>0</v>
      </c>
      <c r="CE219" s="48" t="n">
        <f aca="false">IF(AA219&lt;&gt;"",AA219,Z219)</f>
        <v>3</v>
      </c>
      <c r="CF219" s="48" t="str">
        <f aca="false">IF(OR(CE219=1,CE219=2,CE219=3),IF(Parameter!$E$27="Ja","LIFT",IF(CE219=1,"L1","L23")),IF(CE219="Aussen","Aussen","-"))</f>
        <v>LIFT</v>
      </c>
      <c r="CG219" s="59" t="n">
        <f aca="false">IF(N(AB219)&gt;0,AB219,0)</f>
        <v>0</v>
      </c>
      <c r="CH219" s="53" t="n">
        <f aca="false">IF(ISNUMBER(AE219),1,0)</f>
        <v>0</v>
      </c>
      <c r="CI219" s="50" t="n">
        <f aca="false">N(AE219)</f>
        <v>0</v>
      </c>
      <c r="CJ219" s="50" t="n">
        <f aca="false">N(M219)+N(N219)</f>
        <v>1</v>
      </c>
      <c r="CK219" s="50" t="n">
        <f aca="false">N(M219)</f>
        <v>0</v>
      </c>
      <c r="CL219" s="50" t="n">
        <f aca="false">N(N219)</f>
        <v>1</v>
      </c>
      <c r="CM219" s="50" t="n">
        <f aca="false">ROUNDUP(H219/BY219,0)</f>
        <v>1</v>
      </c>
      <c r="CN219" s="50" t="n">
        <f aca="false">ROUNDUP(CI219/BY219,0)</f>
        <v>0</v>
      </c>
      <c r="CO219" s="53" t="n">
        <f aca="false">IF(BZ219=1,0,IFERROR(VLOOKUP(BX219,'Gebinde-Kategorie'!$A$5:$N$45,5,0)+0,0))</f>
        <v>8</v>
      </c>
      <c r="CP219" s="53" t="n">
        <f aca="false">IFERROR(IF(OR(CE219=1,CE219=2,CE219=3),N(INDEX(Parameter!$I$5:$I$7,CE219)),0),0)</f>
        <v>0</v>
      </c>
      <c r="CQ219" s="52" t="n">
        <f aca="false">IF(AND(Parameter!$B$21="Ja",ISNUMBER(W219),N(X219)&gt;0),IFERROR(N(INDEX(Parameter!$L$5:$L$7,W219))*INDEX(Parameter!$E$5:$E$7,W219)*X219/SUMIFS($X$7:$X$1843,$W$7:$W$1843,W219),0),0)</f>
        <v>0</v>
      </c>
    </row>
    <row r="220" customFormat="false" ht="15" hidden="false" customHeight="false" outlineLevel="0" collapsed="false">
      <c r="A220" s="48" t="s">
        <v>641</v>
      </c>
      <c r="B220" s="48" t="s">
        <v>642</v>
      </c>
      <c r="C220" s="48" t="s">
        <v>173</v>
      </c>
      <c r="D220" s="48" t="s">
        <v>182</v>
      </c>
      <c r="E220" s="48"/>
      <c r="F220" s="48" t="s">
        <v>227</v>
      </c>
      <c r="G220" s="49" t="n">
        <v>678.65</v>
      </c>
      <c r="H220" s="50" t="n">
        <f aca="false">MAX(0,IF(AND(Parameter!$B$21="Ja",ISNUMBER(Y220)),Y220,IF(Parameter!$B$20="Jahresanfang 2025 + Export",BR220+BQ220,BQ220)))</f>
        <v>1</v>
      </c>
      <c r="I220" s="50" t="n">
        <f aca="false">H220*G220</f>
        <v>678.65</v>
      </c>
      <c r="J220" s="50" t="n">
        <f aca="false">BT220*Parameter!$B$18</f>
        <v>0</v>
      </c>
      <c r="K220" s="51" t="n">
        <v>0.5</v>
      </c>
      <c r="L220" s="52" t="n">
        <v>0</v>
      </c>
      <c r="M220" s="50" t="n">
        <v>0</v>
      </c>
      <c r="N220" s="50" t="n">
        <v>1</v>
      </c>
      <c r="O220" s="53" t="n">
        <v>14</v>
      </c>
      <c r="P220" s="48" t="s">
        <v>177</v>
      </c>
      <c r="Q220" s="50"/>
      <c r="R220" s="53" t="n">
        <f aca="false">IF(BZ220=1,0,IFERROR(VLOOKUP(BX220,'Gebinde-Kategorie'!$A$5:$N$45,13,0)+0,0))</f>
        <v>4</v>
      </c>
      <c r="S220" s="54"/>
      <c r="T220" s="55" t="s">
        <v>198</v>
      </c>
      <c r="U220" s="55"/>
      <c r="V220" s="55"/>
      <c r="W220" s="48"/>
      <c r="X220" s="50"/>
      <c r="Y220" s="50"/>
      <c r="Z220" s="48" t="n">
        <f aca="false">IF(A220="","",IF(AND(Parameter!$B$21="Ja",ISNUMBER(W220)),W220,IF(CC220="2+3",IF(ISNUMBER(SEARCH("grosser Artikel",BU220)),2,IFERROR(VLOOKUP(BX220,Parameter!$F$35:$G$64,2,0),2)),IF(OR(CC220="Nein",CC220=""),"-",CC220))))</f>
        <v>2</v>
      </c>
      <c r="AA220" s="55"/>
      <c r="AB220" s="56"/>
      <c r="AC220" s="50" t="n">
        <f aca="false">AV220</f>
        <v>1</v>
      </c>
      <c r="AD220" s="50" t="n">
        <f aca="false">MAX(AV220,H220)</f>
        <v>1</v>
      </c>
      <c r="AE220" s="57"/>
      <c r="AF220" s="50" t="n">
        <f aca="false">IF(LEFT(Cockpit!$C$5,1)="A",H220,IF(Parameter!$E$30="MAX-Bestand",IF(CH220=1,CI220,IF(LEFT(Cockpit!$C$5,1)="B",AL220,MAX(AL220,H220))),ROUNDUP(AJ220,0)))</f>
        <v>1</v>
      </c>
      <c r="AG220" s="50" t="n">
        <f aca="false">IF(BZ220=1,0,ROUNDUP(AF220/BY220,0))</f>
        <v>1</v>
      </c>
      <c r="AH220" s="52" t="n">
        <f aca="false">IF(CQ220&gt;0,CQ220*MAX(1,AF220/X220),IF(BZ220=1,IF(AF220&lt;=0,0,CD220*MAX(1,IF(H220&gt;0,AF220/H220,1))),IF(R220&gt;0,AG220/R220,0))/MAX(0.1,N(Parameter!$M$21)))</f>
        <v>0.25</v>
      </c>
      <c r="AI220" s="50" t="n">
        <f aca="false">AH220*CB220</f>
        <v>58.75</v>
      </c>
      <c r="AJ220" s="51" t="n">
        <f aca="false">IF(LEFT(Cockpit!$C$5,1)="A",H220,IF(CH220=1,(CK220+CI220)/2,IF(LEFT(Cockpit!$C$5,1)="B",(CK220+AL220)/2,MAX((CK220+AL220)/2,H220))))</f>
        <v>1</v>
      </c>
      <c r="AK220" s="50" t="n">
        <f aca="false">AJ220*G220</f>
        <v>678.65</v>
      </c>
      <c r="AL220" s="50" t="n">
        <f aca="false">ROUNDUP(CK220+MAX(CL220,2*(J220/IF(CG220&gt;0,CG220,MAX(0.1,N(Cockpit!$C$6)))-CK220)),0)</f>
        <v>1</v>
      </c>
      <c r="AM220" s="51" t="n">
        <f aca="false">IF(AI220&gt;0,J220/AI220,-1)</f>
        <v>0</v>
      </c>
      <c r="AN220" s="51" t="n">
        <f aca="false">IF(AND(OR(CF220="L1",CF220="L23",CF220="LIFT"),AI220&gt;0),SUMIFS($AI$7:$AI$1843,$CF$7:$CF$1843,CF220,$AM$7:$AM$1843,"&gt;"&amp;AM220)+SUMIFS($AI$7:$AI$1843,$CF$7:$CF$1843,CF220,$AM$7:$AM$1843,AM220,$BW$7:$BW$1843,"&lt;="&amp;BW220),"")</f>
        <v>27615.4273659486</v>
      </c>
      <c r="AO220" s="58" t="n">
        <f aca="false">IF(AN220="",0,MAX(0,MIN(1,(IF(CF220="L1",Parameter!$H$5,IF(CF220="L23",Parameter!$H$6+Parameter!$H$7,Parameter!$H$5+Parameter!$H$6+Parameter!$H$7))-(AN220-AI220))/AI220)))</f>
        <v>1</v>
      </c>
      <c r="AP220" s="50" t="n">
        <f aca="false">IF(LEFT(Cockpit!$I$5,1)="A",H220,IF(Parameter!$E$30="MAX-Bestand",IF(CH220=1,CI220,IF(LEFT(Cockpit!$I$5,1)="B",AV220,MAX(AV220,H220))),ROUNDUP(AT220,0)))</f>
        <v>1</v>
      </c>
      <c r="AQ220" s="50" t="n">
        <f aca="false">IF(BZ220=1,0,ROUNDUP(AP220/BY220,0))</f>
        <v>1</v>
      </c>
      <c r="AR220" s="52" t="n">
        <f aca="false">IF(CQ220&gt;0,CQ220*MAX(1,AP220/X220),IF(BZ220=1,IF(AP220&lt;=0,0,CD220*MAX(1,IF(H220&gt;0,AP220/H220,1))),IF(R220&gt;0,AQ220/R220,0))/MAX(0.1,N(Parameter!$M$21)))</f>
        <v>0.25</v>
      </c>
      <c r="AS220" s="50" t="n">
        <f aca="false">AR220*CB220</f>
        <v>58.75</v>
      </c>
      <c r="AT220" s="51" t="n">
        <f aca="false">IF(LEFT(Cockpit!$I$5,1)="A",H220,IF(CH220=1,(CK220+CI220)/2,IF(LEFT(Cockpit!$I$5,1)="B",(CK220+AV220)/2,MAX((CK220+AV220)/2,H220))))</f>
        <v>1</v>
      </c>
      <c r="AU220" s="50" t="n">
        <f aca="false">AT220*G220</f>
        <v>678.65</v>
      </c>
      <c r="AV220" s="50" t="n">
        <f aca="false">ROUNDUP(CK220+MAX(CL220,2*(J220/IF(CG220&gt;0,CG220,MAX(0.1,N(Cockpit!$I$6)))-CK220)),0)</f>
        <v>1</v>
      </c>
      <c r="AW220" s="51" t="n">
        <f aca="false">IF(AS220&gt;0,J220/AS220,-1)</f>
        <v>0</v>
      </c>
      <c r="AX220" s="51" t="n">
        <f aca="false">IF(AND(OR(CF220="L1",CF220="L23",CF220="LIFT"),AS220&gt;0),SUMIFS($AS$7:$AS$1843,$CF$7:$CF$1843,CF220,$AW$7:$AW$1843,"&gt;"&amp;AW220)+SUMIFS($AS$7:$AS$1843,$CF$7:$CF$1843,CF220,$AW$7:$AW$1843,AW220,$BW$7:$BW$1843,"&lt;="&amp;BW220),"")</f>
        <v>32968.576007326</v>
      </c>
      <c r="AY220" s="58" t="n">
        <f aca="false">IF(AX220="",0,MAX(0,MIN(1,(IF(CF220="L1",Parameter!$H$5,IF(CF220="L23",Parameter!$H$6+Parameter!$H$7,Parameter!$H$5+Parameter!$H$6+Parameter!$H$7))-(AX220-AS220))/AS220)))</f>
        <v>1</v>
      </c>
      <c r="AZ220" s="50" t="n">
        <f aca="false">IF(LEFT(Cockpit!$O$5,1)="A",H220,IF(Parameter!$E$30="MAX-Bestand",IF(CH220=1,CI220,IF(LEFT(Cockpit!$O$5,1)="B",BF220,MAX(BF220,H220))),ROUNDUP(BD220,0)))</f>
        <v>1</v>
      </c>
      <c r="BA220" s="50" t="n">
        <f aca="false">IF(BZ220=1,0,ROUNDUP(AZ220/BY220,0))</f>
        <v>1</v>
      </c>
      <c r="BB220" s="52" t="n">
        <f aca="false">IF(CQ220&gt;0,CQ220*MAX(1,AZ220/X220),IF(BZ220=1,IF(AZ220&lt;=0,0,CD220*MAX(1,IF(H220&gt;0,AZ220/H220,1))),IF(R220&gt;0,BA220/R220,0))/MAX(0.1,N(Parameter!$M$21)))</f>
        <v>0.25</v>
      </c>
      <c r="BC220" s="50" t="n">
        <f aca="false">BB220*CB220</f>
        <v>58.75</v>
      </c>
      <c r="BD220" s="51" t="n">
        <f aca="false">IF(LEFT(Cockpit!$O$5,1)="A",H220,IF(CH220=1,(CK220+CI220)/2,IF(LEFT(Cockpit!$O$5,1)="B",(CK220+BF220)/2,MAX((CK220+BF220)/2,H220))))</f>
        <v>0.5</v>
      </c>
      <c r="BE220" s="50" t="n">
        <f aca="false">BD220*G220</f>
        <v>339.325</v>
      </c>
      <c r="BF220" s="50" t="n">
        <f aca="false">ROUNDUP(CK220+MAX(CL220,2*(J220/IF(CG220&gt;0,CG220,MAX(0.1,N(Cockpit!$O$6)))-CK220)),0)</f>
        <v>1</v>
      </c>
      <c r="BG220" s="51" t="n">
        <f aca="false">IF(BC220&gt;0,J220/BC220,-1)</f>
        <v>0</v>
      </c>
      <c r="BH220" s="51" t="n">
        <f aca="false">IF(AND(OR(CF220="L1",CF220="L23",CF220="LIFT"),BC220&gt;0),SUMIFS($BC$7:$BC$1843,$CF$7:$CF$1843,CF220,$BG$7:$BG$1843,"&gt;"&amp;BG220)+SUMIFS($BC$7:$BC$1843,$CF$7:$CF$1843,CF220,$BG$7:$BG$1843,BG220,$BW$7:$BW$1843,"&lt;="&amp;BW220),"")</f>
        <v>27123.3950301111</v>
      </c>
      <c r="BI220" s="58" t="n">
        <f aca="false">IF(BH220="",0,MAX(0,MIN(1,(IF(CF220="L1",Parameter!$H$5,IF(CF220="L23",Parameter!$H$6+Parameter!$H$7,Parameter!$H$5+Parameter!$H$6+Parameter!$H$7))-(BH220-BC220))/BC220)))</f>
        <v>1</v>
      </c>
      <c r="BJ220" s="48" t="str">
        <f aca="false">IF(AI220&lt;=0,"",IF(CF220="Aussen","Aussenlager",IF(CF220="-","Nicht im Lift",IF(AO220&gt;=1,"Lift",IF(AO220&lt;=0,"Aussenlager","teilweise")))))</f>
        <v>Lift</v>
      </c>
      <c r="BK220" s="48" t="str">
        <f aca="false">IF(AS220&lt;=0,"",IF(CF220="Aussen","Aussenlager",IF(CF220="-","Nicht im Lift",IF(AY220&gt;=1,"Lift",IF(AY220&lt;=0,"Aussenlager","teilweise")))))</f>
        <v>Lift</v>
      </c>
      <c r="BL220" s="48" t="str">
        <f aca="false">IF(BC220&lt;=0,"",IF(CF220="Aussen","Aussenlager",IF(CF220="-","Nicht im Lift",IF(BI220&gt;=1,"Lift",IF(BI220&lt;=0,"Aussenlager","teilweise")))))</f>
        <v>Lift</v>
      </c>
      <c r="BM220" s="48" t="str">
        <f aca="false">IF(A220="","",IF(BV220=1,"Neu; ","")&amp;IF(AND(BV220=0,BQ220&lt;0),"negativer Bestand (Export "&amp;BQ220&amp;"); ","")&amp;IF(J220&lt;=0,"Kein Verbrauch; ","")&amp;IF(CQ220&gt;0,"Lift "&amp;W220&amp;" lt. Liftbericht (Fach "&amp;X220&amp;" Stk); ",IF(CA220=1,"Gebinde geschätzt ("&amp;T220&amp;"); ",IF(BZ220=1,"Lose – Tablare geschätzt; ","")))&amp;IF(H220&gt;AV220,"Überbestand "&amp;ROUND(H220-AV220,0)&amp;" Stk / CHF "&amp;ROUND((H220-AV220)*G220,0)&amp;"; ","")&amp;IF(AND(CH220=1,CI220&lt;CJ220),"MAX &lt; MB+LG; ","")&amp;IF(AND(CP220&gt;0,CO220*10&gt;CP220),"zu hoch für Tablar; ","")&amp;IF(AND(BV220=0,OR(CH220=1,AA220&lt;&gt;"",U220&lt;&gt;"",V220&lt;&gt;"",AB220&lt;&gt;"")),"manuell übersteuert; ","")&amp;IF(AND(BZ220=0,R220=0),"Gebinde unbekannt / Stellmass fehlt; ","")&amp;IF(AND(BZ220=0,N(V220)&lt;=0,N(Q220)&lt;=0),"Menge pro Gebinde fehlt (Ist = 1 Gebinde); ","")&amp;BU220)</f>
        <v>Kein Verbrauch; Gebinde geschätzt (Gross); Menge pro Gebinde fehlt (Ist = 1 Gebinde); </v>
      </c>
      <c r="BN220" s="48"/>
      <c r="BO220" s="48"/>
      <c r="BP220" s="55"/>
      <c r="BQ220" s="50" t="n">
        <v>1</v>
      </c>
      <c r="BR220" s="50" t="n">
        <v>0</v>
      </c>
      <c r="BS220" s="49" t="n">
        <v>678.65</v>
      </c>
      <c r="BT220" s="50" t="n">
        <v>0</v>
      </c>
      <c r="BU220" s="48"/>
      <c r="BV220" s="53" t="n">
        <v>0</v>
      </c>
      <c r="BW220" s="53" t="n">
        <v>220</v>
      </c>
      <c r="BX220" s="48" t="str">
        <f aca="false">IF(U220&lt;&gt;"",UPPER(TRIM(U220)),IF(CA220=1,UPPER(VLOOKUP(T220,Parameter!$I$27:$K$29,2,0)),IF(P220="","LOSE",P220)))</f>
        <v>S81</v>
      </c>
      <c r="BY220" s="50" t="n">
        <f aca="false">IF(BX220="LOSE",1,IF(N(V220)&gt;0,V220,IF(CA220=1,MAX(1,N(VLOOKUP(T220,Parameter!$I$27:$K$29,3,0)),H220,N(N220)),IF(N(Q220)&gt;0,Q220,MAX(1,H220)))))</f>
        <v>2</v>
      </c>
      <c r="BZ220" s="53" t="n">
        <f aca="false">IF(BX220="LOSE",1,0)</f>
        <v>0</v>
      </c>
      <c r="CA220" s="53" t="n">
        <f aca="false">IF(AND(U220="",OR(P220="",P220="LOSE"),T220&lt;&gt;"",N(S220)&lt;=0,ISNUMBER(MATCH(T220,Parameter!$I$27:$I$29,0))),1,0)</f>
        <v>1</v>
      </c>
      <c r="CB220" s="53" t="n">
        <f aca="false">IF(CQ220&gt;0,INDEX(Parameter!$H$5:$H$7,W220)/INDEX(Parameter!$E$5:$E$7,W220),IF(AND(BZ220=0,N(IFERROR(VLOOKUP(BX220,'Gebinde-Kategorie'!$A$5:$N$45,14,0),0))&gt;0),VLOOKUP(BX220,'Gebinde-Kategorie'!$A$5:$N$45,14,0)*10+Parameter!$M$23,Parameter!$M$24))</f>
        <v>235</v>
      </c>
      <c r="CC220" s="48" t="str">
        <f aca="false">IF(AND(Parameter!$B$19="Ja",E220&lt;&gt;"",ISNUMBER(MATCH(E220,Parameter!$I$35:$I$52,0))),VLOOKUP(E220,Parameter!$I$35:$J$52,2,0),IFERROR(VLOOKUP(D220,Parameter!$A$35:$C$64,2,0),"Nein"))</f>
        <v>2+3</v>
      </c>
      <c r="CD220" s="52" t="n">
        <f aca="false">IF(BZ220=0,0,IF(N(S220)&gt;0,S220,IFERROR(VLOOKUP(D220,Parameter!$A$35:$C$64,3,0)+0,0)))</f>
        <v>0</v>
      </c>
      <c r="CE220" s="48" t="n">
        <f aca="false">IF(AA220&lt;&gt;"",AA220,Z220)</f>
        <v>2</v>
      </c>
      <c r="CF220" s="48" t="str">
        <f aca="false">IF(OR(CE220=1,CE220=2,CE220=3),IF(Parameter!$E$27="Ja","LIFT",IF(CE220=1,"L1","L23")),IF(CE220="Aussen","Aussen","-"))</f>
        <v>LIFT</v>
      </c>
      <c r="CG220" s="59" t="n">
        <f aca="false">IF(N(AB220)&gt;0,AB220,0)</f>
        <v>0</v>
      </c>
      <c r="CH220" s="53" t="n">
        <f aca="false">IF(ISNUMBER(AE220),1,0)</f>
        <v>0</v>
      </c>
      <c r="CI220" s="50" t="n">
        <f aca="false">N(AE220)</f>
        <v>0</v>
      </c>
      <c r="CJ220" s="50" t="n">
        <f aca="false">N(M220)+N(N220)</f>
        <v>1</v>
      </c>
      <c r="CK220" s="50" t="n">
        <f aca="false">N(M220)</f>
        <v>0</v>
      </c>
      <c r="CL220" s="50" t="n">
        <f aca="false">N(N220)</f>
        <v>1</v>
      </c>
      <c r="CM220" s="50" t="n">
        <f aca="false">ROUNDUP(H220/BY220,0)</f>
        <v>1</v>
      </c>
      <c r="CN220" s="50" t="n">
        <f aca="false">ROUNDUP(CI220/BY220,0)</f>
        <v>0</v>
      </c>
      <c r="CO220" s="53" t="n">
        <f aca="false">IF(BZ220=1,0,IFERROR(VLOOKUP(BX220,'Gebinde-Kategorie'!$A$5:$N$45,5,0)+0,0))</f>
        <v>20</v>
      </c>
      <c r="CP220" s="53" t="n">
        <f aca="false">IFERROR(IF(OR(CE220=1,CE220=2,CE220=3),N(INDEX(Parameter!$I$5:$I$7,CE220)),0),0)</f>
        <v>0</v>
      </c>
      <c r="CQ220" s="52" t="n">
        <f aca="false">IF(AND(Parameter!$B$21="Ja",ISNUMBER(W220),N(X220)&gt;0),IFERROR(N(INDEX(Parameter!$L$5:$L$7,W220))*INDEX(Parameter!$E$5:$E$7,W220)*X220/SUMIFS($X$7:$X$1843,$W$7:$W$1843,W220),0),0)</f>
        <v>0</v>
      </c>
    </row>
    <row r="221" customFormat="false" ht="15" hidden="false" customHeight="false" outlineLevel="0" collapsed="false">
      <c r="A221" s="48" t="s">
        <v>643</v>
      </c>
      <c r="B221" s="48" t="s">
        <v>644</v>
      </c>
      <c r="C221" s="48" t="s">
        <v>173</v>
      </c>
      <c r="D221" s="48" t="s">
        <v>193</v>
      </c>
      <c r="E221" s="48"/>
      <c r="F221" s="48" t="s">
        <v>227</v>
      </c>
      <c r="G221" s="49" t="n">
        <v>36.84</v>
      </c>
      <c r="H221" s="50" t="n">
        <f aca="false">MAX(0,IF(AND(Parameter!$B$21="Ja",ISNUMBER(Y221)),Y221,IF(Parameter!$B$20="Jahresanfang 2025 + Export",BR221+BQ221,BQ221)))</f>
        <v>36</v>
      </c>
      <c r="I221" s="50" t="n">
        <f aca="false">H221*G221</f>
        <v>1326.24</v>
      </c>
      <c r="J221" s="50" t="n">
        <f aca="false">BT221*Parameter!$B$18</f>
        <v>49</v>
      </c>
      <c r="K221" s="51" t="n">
        <v>23</v>
      </c>
      <c r="L221" s="52" t="n">
        <v>2.1304347826087</v>
      </c>
      <c r="M221" s="50" t="n">
        <v>3</v>
      </c>
      <c r="N221" s="50" t="n">
        <v>50</v>
      </c>
      <c r="O221" s="53" t="n">
        <v>28</v>
      </c>
      <c r="P221" s="48" t="s">
        <v>195</v>
      </c>
      <c r="Q221" s="50" t="n">
        <v>40</v>
      </c>
      <c r="R221" s="53" t="n">
        <f aca="false">IF(BZ221=1,0,IFERROR(VLOOKUP(BX221,'Gebinde-Kategorie'!$A$5:$N$45,13,0)+0,0))</f>
        <v>12</v>
      </c>
      <c r="S221" s="54"/>
      <c r="T221" s="55"/>
      <c r="U221" s="55"/>
      <c r="V221" s="55"/>
      <c r="W221" s="48"/>
      <c r="X221" s="50"/>
      <c r="Y221" s="50"/>
      <c r="Z221" s="48" t="n">
        <f aca="false">IF(A221="","",IF(AND(Parameter!$B$21="Ja",ISNUMBER(W221)),W221,IF(CC221="2+3",IF(ISNUMBER(SEARCH("grosser Artikel",BU221)),2,IFERROR(VLOOKUP(BX221,Parameter!$F$35:$G$64,2,0),2)),IF(OR(CC221="Nein",CC221=""),"-",CC221))))</f>
        <v>2</v>
      </c>
      <c r="AA221" s="55"/>
      <c r="AB221" s="56"/>
      <c r="AC221" s="50" t="n">
        <f aca="false">AV221</f>
        <v>53</v>
      </c>
      <c r="AD221" s="50" t="n">
        <f aca="false">MAX(AV221,H221)</f>
        <v>53</v>
      </c>
      <c r="AE221" s="57"/>
      <c r="AF221" s="50" t="n">
        <f aca="false">IF(LEFT(Cockpit!$C$5,1)="A",H221,IF(Parameter!$E$30="MAX-Bestand",IF(CH221=1,CI221,IF(LEFT(Cockpit!$C$5,1)="B",AL221,MAX(AL221,H221))),ROUNDUP(AJ221,0)))</f>
        <v>36</v>
      </c>
      <c r="AG221" s="50" t="n">
        <f aca="false">IF(BZ221=1,0,ROUNDUP(AF221/BY221,0))</f>
        <v>1</v>
      </c>
      <c r="AH221" s="52" t="n">
        <f aca="false">IF(CQ221&gt;0,CQ221*MAX(1,AF221/X221),IF(BZ221=1,IF(AF221&lt;=0,0,CD221*MAX(1,IF(H221&gt;0,AF221/H221,1))),IF(R221&gt;0,AG221/R221,0))/MAX(0.1,N(Parameter!$M$21)))</f>
        <v>0.0833333333333333</v>
      </c>
      <c r="AI221" s="50" t="n">
        <f aca="false">AH221*CB221</f>
        <v>12.0833333333333</v>
      </c>
      <c r="AJ221" s="51" t="n">
        <f aca="false">IF(LEFT(Cockpit!$C$5,1)="A",H221,IF(CH221=1,(CK221+CI221)/2,IF(LEFT(Cockpit!$C$5,1)="B",(CK221+AL221)/2,MAX((CK221+AL221)/2,H221))))</f>
        <v>36</v>
      </c>
      <c r="AK221" s="50" t="n">
        <f aca="false">AJ221*G221</f>
        <v>1326.24</v>
      </c>
      <c r="AL221" s="50" t="n">
        <f aca="false">ROUNDUP(CK221+MAX(CL221,2*(J221/IF(CG221&gt;0,CG221,MAX(0.1,N(Cockpit!$C$6)))-CK221)),0)</f>
        <v>53</v>
      </c>
      <c r="AM221" s="51" t="n">
        <f aca="false">IF(AI221&gt;0,J221/AI221,-1)</f>
        <v>4.0551724137931</v>
      </c>
      <c r="AN221" s="51" t="n">
        <f aca="false">IF(AND(OR(CF221="L1",CF221="L23",CF221="LIFT"),AI221&gt;0),SUMIFS($AI$7:$AI$1843,$CF$7:$CF$1843,CF221,$AM$7:$AM$1843,"&gt;"&amp;AM221)+SUMIFS($AI$7:$AI$1843,$CF$7:$CF$1843,CF221,$AM$7:$AM$1843,AM221,$BW$7:$BW$1843,"&lt;="&amp;BW221),"")</f>
        <v>4249.7467948718</v>
      </c>
      <c r="AO221" s="58" t="n">
        <f aca="false">IF(AN221="",0,MAX(0,MIN(1,(IF(CF221="L1",Parameter!$H$5,IF(CF221="L23",Parameter!$H$6+Parameter!$H$7,Parameter!$H$5+Parameter!$H$6+Parameter!$H$7))-(AN221-AI221))/AI221)))</f>
        <v>1</v>
      </c>
      <c r="AP221" s="50" t="n">
        <f aca="false">IF(LEFT(Cockpit!$I$5,1)="A",H221,IF(Parameter!$E$30="MAX-Bestand",IF(CH221=1,CI221,IF(LEFT(Cockpit!$I$5,1)="B",AV221,MAX(AV221,H221))),ROUNDUP(AT221,0)))</f>
        <v>36</v>
      </c>
      <c r="AQ221" s="50" t="n">
        <f aca="false">IF(BZ221=1,0,ROUNDUP(AP221/BY221,0))</f>
        <v>1</v>
      </c>
      <c r="AR221" s="52" t="n">
        <f aca="false">IF(CQ221&gt;0,CQ221*MAX(1,AP221/X221),IF(BZ221=1,IF(AP221&lt;=0,0,CD221*MAX(1,IF(H221&gt;0,AP221/H221,1))),IF(R221&gt;0,AQ221/R221,0))/MAX(0.1,N(Parameter!$M$21)))</f>
        <v>0.0833333333333333</v>
      </c>
      <c r="AS221" s="50" t="n">
        <f aca="false">AR221*CB221</f>
        <v>12.0833333333333</v>
      </c>
      <c r="AT221" s="51" t="n">
        <f aca="false">IF(LEFT(Cockpit!$I$5,1)="A",H221,IF(CH221=1,(CK221+CI221)/2,IF(LEFT(Cockpit!$I$5,1)="B",(CK221+AV221)/2,MAX((CK221+AV221)/2,H221))))</f>
        <v>36</v>
      </c>
      <c r="AU221" s="50" t="n">
        <f aca="false">AT221*G221</f>
        <v>1326.24</v>
      </c>
      <c r="AV221" s="50" t="n">
        <f aca="false">ROUNDUP(CK221+MAX(CL221,2*(J221/IF(CG221&gt;0,CG221,MAX(0.1,N(Cockpit!$I$6)))-CK221)),0)</f>
        <v>53</v>
      </c>
      <c r="AW221" s="51" t="n">
        <f aca="false">IF(AS221&gt;0,J221/AS221,-1)</f>
        <v>4.0551724137931</v>
      </c>
      <c r="AX221" s="51" t="n">
        <f aca="false">IF(AND(OR(CF221="L1",CF221="L23",CF221="LIFT"),AS221&gt;0),SUMIFS($AS$7:$AS$1843,$CF$7:$CF$1843,CF221,$AW$7:$AW$1843,"&gt;"&amp;AW221)+SUMIFS($AS$7:$AS$1843,$CF$7:$CF$1843,CF221,$AW$7:$AW$1843,AW221,$BW$7:$BW$1843,"&lt;="&amp;BW221),"")</f>
        <v>4883.9043040293</v>
      </c>
      <c r="AY221" s="58" t="n">
        <f aca="false">IF(AX221="",0,MAX(0,MIN(1,(IF(CF221="L1",Parameter!$H$5,IF(CF221="L23",Parameter!$H$6+Parameter!$H$7,Parameter!$H$5+Parameter!$H$6+Parameter!$H$7))-(AX221-AS221))/AS221)))</f>
        <v>1</v>
      </c>
      <c r="AZ221" s="50" t="n">
        <f aca="false">IF(LEFT(Cockpit!$O$5,1)="A",H221,IF(Parameter!$E$30="MAX-Bestand",IF(CH221=1,CI221,IF(LEFT(Cockpit!$O$5,1)="B",BF221,MAX(BF221,H221))),ROUNDUP(BD221,0)))</f>
        <v>28</v>
      </c>
      <c r="BA221" s="50" t="n">
        <f aca="false">IF(BZ221=1,0,ROUNDUP(AZ221/BY221,0))</f>
        <v>1</v>
      </c>
      <c r="BB221" s="52" t="n">
        <f aca="false">IF(CQ221&gt;0,CQ221*MAX(1,AZ221/X221),IF(BZ221=1,IF(AZ221&lt;=0,0,CD221*MAX(1,IF(H221&gt;0,AZ221/H221,1))),IF(R221&gt;0,BA221/R221,0))/MAX(0.1,N(Parameter!$M$21)))</f>
        <v>0.0833333333333333</v>
      </c>
      <c r="BC221" s="50" t="n">
        <f aca="false">BB221*CB221</f>
        <v>12.0833333333333</v>
      </c>
      <c r="BD221" s="51" t="n">
        <f aca="false">IF(LEFT(Cockpit!$O$5,1)="A",H221,IF(CH221=1,(CK221+CI221)/2,IF(LEFT(Cockpit!$O$5,1)="B",(CK221+BF221)/2,MAX((CK221+BF221)/2,H221))))</f>
        <v>28</v>
      </c>
      <c r="BE221" s="50" t="n">
        <f aca="false">BD221*G221</f>
        <v>1031.52</v>
      </c>
      <c r="BF221" s="50" t="n">
        <f aca="false">ROUNDUP(CK221+MAX(CL221,2*(J221/IF(CG221&gt;0,CG221,MAX(0.1,N(Cockpit!$O$6)))-CK221)),0)</f>
        <v>53</v>
      </c>
      <c r="BG221" s="51" t="n">
        <f aca="false">IF(BC221&gt;0,J221/BC221,-1)</f>
        <v>4.0551724137931</v>
      </c>
      <c r="BH221" s="51" t="n">
        <f aca="false">IF(AND(OR(CF221="L1",CF221="L23",CF221="LIFT"),BC221&gt;0),SUMIFS($BC$7:$BC$1843,$CF$7:$CF$1843,CF221,$BG$7:$BG$1843,"&gt;"&amp;BG221)+SUMIFS($BC$7:$BC$1843,$CF$7:$CF$1843,CF221,$BG$7:$BG$1843,BG221,$BW$7:$BW$1843,"&lt;="&amp;BW221),"")</f>
        <v>3968.86263736264</v>
      </c>
      <c r="BI221" s="58" t="n">
        <f aca="false">IF(BH221="",0,MAX(0,MIN(1,(IF(CF221="L1",Parameter!$H$5,IF(CF221="L23",Parameter!$H$6+Parameter!$H$7,Parameter!$H$5+Parameter!$H$6+Parameter!$H$7))-(BH221-BC221))/BC221)))</f>
        <v>1</v>
      </c>
      <c r="BJ221" s="48" t="str">
        <f aca="false">IF(AI221&lt;=0,"",IF(CF221="Aussen","Aussenlager",IF(CF221="-","Nicht im Lift",IF(AO221&gt;=1,"Lift",IF(AO221&lt;=0,"Aussenlager","teilweise")))))</f>
        <v>Lift</v>
      </c>
      <c r="BK221" s="48" t="str">
        <f aca="false">IF(AS221&lt;=0,"",IF(CF221="Aussen","Aussenlager",IF(CF221="-","Nicht im Lift",IF(AY221&gt;=1,"Lift",IF(AY221&lt;=0,"Aussenlager","teilweise")))))</f>
        <v>Lift</v>
      </c>
      <c r="BL221" s="48" t="str">
        <f aca="false">IF(BC221&lt;=0,"",IF(CF221="Aussen","Aussenlager",IF(CF221="-","Nicht im Lift",IF(BI221&gt;=1,"Lift",IF(BI221&lt;=0,"Aussenlager","teilweise")))))</f>
        <v>Lift</v>
      </c>
      <c r="BM221" s="48" t="str">
        <f aca="false">IF(A221="","",IF(BV221=1,"Neu; ","")&amp;IF(AND(BV221=0,BQ221&lt;0),"negativer Bestand (Export "&amp;BQ221&amp;"); ","")&amp;IF(J221&lt;=0,"Kein Verbrauch; ","")&amp;IF(CQ221&gt;0,"Lift "&amp;W221&amp;" lt. Liftbericht (Fach "&amp;X221&amp;" Stk); ",IF(CA221=1,"Gebinde geschätzt ("&amp;T221&amp;"); ",IF(BZ221=1,"Lose – Tablare geschätzt; ","")))&amp;IF(H221&gt;AV221,"Überbestand "&amp;ROUND(H221-AV221,0)&amp;" Stk / CHF "&amp;ROUND((H221-AV221)*G221,0)&amp;"; ","")&amp;IF(AND(CH221=1,CI221&lt;CJ221),"MAX &lt; MB+LG; ","")&amp;IF(AND(CP221&gt;0,CO221*10&gt;CP221),"zu hoch für Tablar; ","")&amp;IF(AND(BV221=0,OR(CH221=1,AA221&lt;&gt;"",U221&lt;&gt;"",V221&lt;&gt;"",AB221&lt;&gt;"")),"manuell übersteuert; ","")&amp;IF(AND(BZ221=0,R221=0),"Gebinde unbekannt / Stellmass fehlt; ","")&amp;IF(AND(BZ221=0,N(V221)&lt;=0,N(Q221)&lt;=0),"Menge pro Gebinde fehlt (Ist = 1 Gebinde); ","")&amp;BU221)</f>
        <v/>
      </c>
      <c r="BN221" s="48"/>
      <c r="BO221" s="48"/>
      <c r="BP221" s="55"/>
      <c r="BQ221" s="50" t="n">
        <v>18</v>
      </c>
      <c r="BR221" s="50" t="n">
        <v>18</v>
      </c>
      <c r="BS221" s="49" t="n">
        <v>675.72</v>
      </c>
      <c r="BT221" s="50" t="n">
        <v>49</v>
      </c>
      <c r="BU221" s="48"/>
      <c r="BV221" s="53" t="n">
        <v>0</v>
      </c>
      <c r="BW221" s="53" t="n">
        <v>221</v>
      </c>
      <c r="BX221" s="48" t="str">
        <f aca="false">IF(U221&lt;&gt;"",UPPER(TRIM(U221)),IF(CA221=1,UPPER(VLOOKUP(T221,Parameter!$I$27:$K$29,2,0)),IF(P221="","LOSE",P221)))</f>
        <v>S61</v>
      </c>
      <c r="BY221" s="50" t="n">
        <f aca="false">IF(BX221="LOSE",1,IF(N(V221)&gt;0,V221,IF(CA221=1,MAX(1,N(VLOOKUP(T221,Parameter!$I$27:$K$29,3,0)),H221,N(N221)),IF(N(Q221)&gt;0,Q221,MAX(1,H221)))))</f>
        <v>40</v>
      </c>
      <c r="BZ221" s="53" t="n">
        <f aca="false">IF(BX221="LOSE",1,0)</f>
        <v>0</v>
      </c>
      <c r="CA221" s="53" t="n">
        <f aca="false">IF(AND(U221="",OR(P221="",P221="LOSE"),T221&lt;&gt;"",N(S221)&lt;=0,ISNUMBER(MATCH(T221,Parameter!$I$27:$I$29,0))),1,0)</f>
        <v>0</v>
      </c>
      <c r="CB221" s="53" t="n">
        <f aca="false">IF(CQ221&gt;0,INDEX(Parameter!$H$5:$H$7,W221)/INDEX(Parameter!$E$5:$E$7,W221),IF(AND(BZ221=0,N(IFERROR(VLOOKUP(BX221,'Gebinde-Kategorie'!$A$5:$N$45,14,0),0))&gt;0),VLOOKUP(BX221,'Gebinde-Kategorie'!$A$5:$N$45,14,0)*10+Parameter!$M$23,Parameter!$M$24))</f>
        <v>145</v>
      </c>
      <c r="CC221" s="48" t="str">
        <f aca="false">IF(AND(Parameter!$B$19="Ja",E221&lt;&gt;"",ISNUMBER(MATCH(E221,Parameter!$I$35:$I$52,0))),VLOOKUP(E221,Parameter!$I$35:$J$52,2,0),IFERROR(VLOOKUP(D221,Parameter!$A$35:$C$64,2,0),"Nein"))</f>
        <v>2+3</v>
      </c>
      <c r="CD221" s="52" t="n">
        <f aca="false">IF(BZ221=0,0,IF(N(S221)&gt;0,S221,IFERROR(VLOOKUP(D221,Parameter!$A$35:$C$64,3,0)+0,0)))</f>
        <v>0</v>
      </c>
      <c r="CE221" s="48" t="n">
        <f aca="false">IF(AA221&lt;&gt;"",AA221,Z221)</f>
        <v>2</v>
      </c>
      <c r="CF221" s="48" t="str">
        <f aca="false">IF(OR(CE221=1,CE221=2,CE221=3),IF(Parameter!$E$27="Ja","LIFT",IF(CE221=1,"L1","L23")),IF(CE221="Aussen","Aussen","-"))</f>
        <v>LIFT</v>
      </c>
      <c r="CG221" s="59" t="n">
        <f aca="false">IF(N(AB221)&gt;0,AB221,0)</f>
        <v>0</v>
      </c>
      <c r="CH221" s="53" t="n">
        <f aca="false">IF(ISNUMBER(AE221),1,0)</f>
        <v>0</v>
      </c>
      <c r="CI221" s="50" t="n">
        <f aca="false">N(AE221)</f>
        <v>0</v>
      </c>
      <c r="CJ221" s="50" t="n">
        <f aca="false">N(M221)+N(N221)</f>
        <v>53</v>
      </c>
      <c r="CK221" s="50" t="n">
        <f aca="false">N(M221)</f>
        <v>3</v>
      </c>
      <c r="CL221" s="50" t="n">
        <f aca="false">N(N221)</f>
        <v>50</v>
      </c>
      <c r="CM221" s="50" t="n">
        <f aca="false">ROUNDUP(H221/BY221,0)</f>
        <v>1</v>
      </c>
      <c r="CN221" s="50" t="n">
        <f aca="false">ROUNDUP(CI221/BY221,0)</f>
        <v>0</v>
      </c>
      <c r="CO221" s="53" t="n">
        <f aca="false">IF(BZ221=1,0,IFERROR(VLOOKUP(BX221,'Gebinde-Kategorie'!$A$5:$N$45,5,0)+0,0))</f>
        <v>11</v>
      </c>
      <c r="CP221" s="53" t="n">
        <f aca="false">IFERROR(IF(OR(CE221=1,CE221=2,CE221=3),N(INDEX(Parameter!$I$5:$I$7,CE221)),0),0)</f>
        <v>0</v>
      </c>
      <c r="CQ221" s="52" t="n">
        <f aca="false">IF(AND(Parameter!$B$21="Ja",ISNUMBER(W221),N(X221)&gt;0),IFERROR(N(INDEX(Parameter!$L$5:$L$7,W221))*INDEX(Parameter!$E$5:$E$7,W221)*X221/SUMIFS($X$7:$X$1843,$W$7:$W$1843,W221),0),0)</f>
        <v>0</v>
      </c>
    </row>
    <row r="222" customFormat="false" ht="15" hidden="false" customHeight="false" outlineLevel="0" collapsed="false">
      <c r="A222" s="48" t="s">
        <v>645</v>
      </c>
      <c r="B222" s="48" t="s">
        <v>646</v>
      </c>
      <c r="C222" s="48" t="s">
        <v>173</v>
      </c>
      <c r="D222" s="48" t="s">
        <v>193</v>
      </c>
      <c r="E222" s="48" t="s">
        <v>194</v>
      </c>
      <c r="F222" s="48" t="s">
        <v>227</v>
      </c>
      <c r="G222" s="49" t="n">
        <v>5.56</v>
      </c>
      <c r="H222" s="50" t="n">
        <f aca="false">MAX(0,IF(AND(Parameter!$B$21="Ja",ISNUMBER(Y222)),Y222,IF(Parameter!$B$20="Jahresanfang 2025 + Export",BR222+BQ222,BQ222)))</f>
        <v>162</v>
      </c>
      <c r="I222" s="50" t="n">
        <f aca="false">H222*G222</f>
        <v>900.72</v>
      </c>
      <c r="J222" s="50" t="n">
        <f aca="false">BT222*Parameter!$B$18</f>
        <v>150</v>
      </c>
      <c r="K222" s="51" t="n">
        <v>47.5</v>
      </c>
      <c r="L222" s="52" t="n">
        <v>3.15789473684211</v>
      </c>
      <c r="M222" s="50" t="n">
        <v>11</v>
      </c>
      <c r="N222" s="50" t="n">
        <v>150</v>
      </c>
      <c r="O222" s="53" t="n">
        <v>28</v>
      </c>
      <c r="P222" s="48" t="s">
        <v>311</v>
      </c>
      <c r="Q222" s="50" t="n">
        <v>89</v>
      </c>
      <c r="R222" s="53" t="n">
        <f aca="false">IF(BZ222=1,0,IFERROR(VLOOKUP(BX222,'Gebinde-Kategorie'!$A$5:$N$45,13,0)+0,0))</f>
        <v>26</v>
      </c>
      <c r="S222" s="54"/>
      <c r="T222" s="55"/>
      <c r="U222" s="55"/>
      <c r="V222" s="55"/>
      <c r="W222" s="48"/>
      <c r="X222" s="50"/>
      <c r="Y222" s="50"/>
      <c r="Z222" s="48" t="n">
        <f aca="false">IF(A222="","",IF(AND(Parameter!$B$21="Ja",ISNUMBER(W222)),W222,IF(CC222="2+3",IF(ISNUMBER(SEARCH("grosser Artikel",BU222)),2,IFERROR(VLOOKUP(BX222,Parameter!$F$35:$G$64,2,0),2)),IF(OR(CC222="Nein",CC222=""),"-",CC222))))</f>
        <v>3</v>
      </c>
      <c r="AA222" s="55"/>
      <c r="AB222" s="56"/>
      <c r="AC222" s="50" t="n">
        <f aca="false">AV222</f>
        <v>161</v>
      </c>
      <c r="AD222" s="50" t="n">
        <f aca="false">MAX(AV222,H222)</f>
        <v>162</v>
      </c>
      <c r="AE222" s="57"/>
      <c r="AF222" s="50" t="n">
        <f aca="false">IF(LEFT(Cockpit!$C$5,1)="A",H222,IF(Parameter!$E$30="MAX-Bestand",IF(CH222=1,CI222,IF(LEFT(Cockpit!$C$5,1)="B",AL222,MAX(AL222,H222))),ROUNDUP(AJ222,0)))</f>
        <v>162</v>
      </c>
      <c r="AG222" s="50" t="n">
        <f aca="false">IF(BZ222=1,0,ROUNDUP(AF222/BY222,0))</f>
        <v>2</v>
      </c>
      <c r="AH222" s="52" t="n">
        <f aca="false">IF(CQ222&gt;0,CQ222*MAX(1,AF222/X222),IF(BZ222=1,IF(AF222&lt;=0,0,CD222*MAX(1,IF(H222&gt;0,AF222/H222,1))),IF(R222&gt;0,AG222/R222,0))/MAX(0.1,N(Parameter!$M$21)))</f>
        <v>0.0769230769230769</v>
      </c>
      <c r="AI222" s="50" t="n">
        <f aca="false">AH222*CB222</f>
        <v>11.9230769230769</v>
      </c>
      <c r="AJ222" s="51" t="n">
        <f aca="false">IF(LEFT(Cockpit!$C$5,1)="A",H222,IF(CH222=1,(CK222+CI222)/2,IF(LEFT(Cockpit!$C$5,1)="B",(CK222+AL222)/2,MAX((CK222+AL222)/2,H222))))</f>
        <v>162</v>
      </c>
      <c r="AK222" s="50" t="n">
        <f aca="false">AJ222*G222</f>
        <v>900.72</v>
      </c>
      <c r="AL222" s="50" t="n">
        <f aca="false">ROUNDUP(CK222+MAX(CL222,2*(J222/IF(CG222&gt;0,CG222,MAX(0.1,N(Cockpit!$C$6)))-CK222)),0)</f>
        <v>161</v>
      </c>
      <c r="AM222" s="51" t="n">
        <f aca="false">IF(AI222&gt;0,J222/AI222,-1)</f>
        <v>12.5806451612903</v>
      </c>
      <c r="AN222" s="51" t="n">
        <f aca="false">IF(AND(OR(CF222="L1",CF222="L23",CF222="LIFT"),AI222&gt;0),SUMIFS($AI$7:$AI$1843,$CF$7:$CF$1843,CF222,$AM$7:$AM$1843,"&gt;"&amp;AM222)+SUMIFS($AI$7:$AI$1843,$CF$7:$CF$1843,CF222,$AM$7:$AM$1843,AM222,$BW$7:$BW$1843,"&lt;="&amp;BW222),"")</f>
        <v>2408.413003663</v>
      </c>
      <c r="AO222" s="58" t="n">
        <f aca="false">IF(AN222="",0,MAX(0,MIN(1,(IF(CF222="L1",Parameter!$H$5,IF(CF222="L23",Parameter!$H$6+Parameter!$H$7,Parameter!$H$5+Parameter!$H$6+Parameter!$H$7))-(AN222-AI222))/AI222)))</f>
        <v>1</v>
      </c>
      <c r="AP222" s="50" t="n">
        <f aca="false">IF(LEFT(Cockpit!$I$5,1)="A",H222,IF(Parameter!$E$30="MAX-Bestand",IF(CH222=1,CI222,IF(LEFT(Cockpit!$I$5,1)="B",AV222,MAX(AV222,H222))),ROUNDUP(AT222,0)))</f>
        <v>162</v>
      </c>
      <c r="AQ222" s="50" t="n">
        <f aca="false">IF(BZ222=1,0,ROUNDUP(AP222/BY222,0))</f>
        <v>2</v>
      </c>
      <c r="AR222" s="52" t="n">
        <f aca="false">IF(CQ222&gt;0,CQ222*MAX(1,AP222/X222),IF(BZ222=1,IF(AP222&lt;=0,0,CD222*MAX(1,IF(H222&gt;0,AP222/H222,1))),IF(R222&gt;0,AQ222/R222,0))/MAX(0.1,N(Parameter!$M$21)))</f>
        <v>0.0769230769230769</v>
      </c>
      <c r="AS222" s="50" t="n">
        <f aca="false">AR222*CB222</f>
        <v>11.9230769230769</v>
      </c>
      <c r="AT222" s="51" t="n">
        <f aca="false">IF(LEFT(Cockpit!$I$5,1)="A",H222,IF(CH222=1,(CK222+CI222)/2,IF(LEFT(Cockpit!$I$5,1)="B",(CK222+AV222)/2,MAX((CK222+AV222)/2,H222))))</f>
        <v>162</v>
      </c>
      <c r="AU222" s="50" t="n">
        <f aca="false">AT222*G222</f>
        <v>900.72</v>
      </c>
      <c r="AV222" s="50" t="n">
        <f aca="false">ROUNDUP(CK222+MAX(CL222,2*(J222/IF(CG222&gt;0,CG222,MAX(0.1,N(Cockpit!$I$6)))-CK222)),0)</f>
        <v>161</v>
      </c>
      <c r="AW222" s="51" t="n">
        <f aca="false">IF(AS222&gt;0,J222/AS222,-1)</f>
        <v>12.5806451612903</v>
      </c>
      <c r="AX222" s="51" t="n">
        <f aca="false">IF(AND(OR(CF222="L1",CF222="L23",CF222="LIFT"),AS222&gt;0),SUMIFS($AS$7:$AS$1843,$CF$7:$CF$1843,CF222,$AW$7:$AW$1843,"&gt;"&amp;AW222)+SUMIFS($AS$7:$AS$1843,$CF$7:$CF$1843,CF222,$AW$7:$AW$1843,AW222,$BW$7:$BW$1843,"&lt;="&amp;BW222),"")</f>
        <v>2997.79212454213</v>
      </c>
      <c r="AY222" s="58" t="n">
        <f aca="false">IF(AX222="",0,MAX(0,MIN(1,(IF(CF222="L1",Parameter!$H$5,IF(CF222="L23",Parameter!$H$6+Parameter!$H$7,Parameter!$H$5+Parameter!$H$6+Parameter!$H$7))-(AX222-AS222))/AS222)))</f>
        <v>1</v>
      </c>
      <c r="AZ222" s="50" t="n">
        <f aca="false">IF(LEFT(Cockpit!$O$5,1)="A",H222,IF(Parameter!$E$30="MAX-Bestand",IF(CH222=1,CI222,IF(LEFT(Cockpit!$O$5,1)="B",BF222,MAX(BF222,H222))),ROUNDUP(BD222,0)))</f>
        <v>86</v>
      </c>
      <c r="BA222" s="50" t="n">
        <f aca="false">IF(BZ222=1,0,ROUNDUP(AZ222/BY222,0))</f>
        <v>1</v>
      </c>
      <c r="BB222" s="52" t="n">
        <f aca="false">IF(CQ222&gt;0,CQ222*MAX(1,AZ222/X222),IF(BZ222=1,IF(AZ222&lt;=0,0,CD222*MAX(1,IF(H222&gt;0,AZ222/H222,1))),IF(R222&gt;0,BA222/R222,0))/MAX(0.1,N(Parameter!$M$21)))</f>
        <v>0.0384615384615385</v>
      </c>
      <c r="BC222" s="50" t="n">
        <f aca="false">BB222*CB222</f>
        <v>5.96153846153846</v>
      </c>
      <c r="BD222" s="51" t="n">
        <f aca="false">IF(LEFT(Cockpit!$O$5,1)="A",H222,IF(CH222=1,(CK222+CI222)/2,IF(LEFT(Cockpit!$O$5,1)="B",(CK222+BF222)/2,MAX((CK222+BF222)/2,H222))))</f>
        <v>86</v>
      </c>
      <c r="BE222" s="50" t="n">
        <f aca="false">BD222*G222</f>
        <v>478.16</v>
      </c>
      <c r="BF222" s="50" t="n">
        <f aca="false">ROUNDUP(CK222+MAX(CL222,2*(J222/IF(CG222&gt;0,CG222,MAX(0.1,N(Cockpit!$O$6)))-CK222)),0)</f>
        <v>161</v>
      </c>
      <c r="BG222" s="51" t="n">
        <f aca="false">IF(BC222&gt;0,J222/BC222,-1)</f>
        <v>25.1612903225806</v>
      </c>
      <c r="BH222" s="51" t="n">
        <f aca="false">IF(AND(OR(CF222="L1",CF222="L23",CF222="LIFT"),BC222&gt;0),SUMIFS($BC$7:$BC$1843,$CF$7:$CF$1843,CF222,$BG$7:$BG$1843,"&gt;"&amp;BG222)+SUMIFS($BC$7:$BC$1843,$CF$7:$CF$1843,CF222,$BG$7:$BG$1843,BG222,$BW$7:$BW$1843,"&lt;="&amp;BW222),"")</f>
        <v>2072.84798534799</v>
      </c>
      <c r="BI222" s="58" t="n">
        <f aca="false">IF(BH222="",0,MAX(0,MIN(1,(IF(CF222="L1",Parameter!$H$5,IF(CF222="L23",Parameter!$H$6+Parameter!$H$7,Parameter!$H$5+Parameter!$H$6+Parameter!$H$7))-(BH222-BC222))/BC222)))</f>
        <v>1</v>
      </c>
      <c r="BJ222" s="48" t="str">
        <f aca="false">IF(AI222&lt;=0,"",IF(CF222="Aussen","Aussenlager",IF(CF222="-","Nicht im Lift",IF(AO222&gt;=1,"Lift",IF(AO222&lt;=0,"Aussenlager","teilweise")))))</f>
        <v>Lift</v>
      </c>
      <c r="BK222" s="48" t="str">
        <f aca="false">IF(AS222&lt;=0,"",IF(CF222="Aussen","Aussenlager",IF(CF222="-","Nicht im Lift",IF(AY222&gt;=1,"Lift",IF(AY222&lt;=0,"Aussenlager","teilweise")))))</f>
        <v>Lift</v>
      </c>
      <c r="BL222" s="48" t="str">
        <f aca="false">IF(BC222&lt;=0,"",IF(CF222="Aussen","Aussenlager",IF(CF222="-","Nicht im Lift",IF(BI222&gt;=1,"Lift",IF(BI222&lt;=0,"Aussenlager","teilweise")))))</f>
        <v>Lift</v>
      </c>
      <c r="BM222" s="48" t="str">
        <f aca="false">IF(A222="","",IF(BV222=1,"Neu; ","")&amp;IF(AND(BV222=0,BQ222&lt;0),"negativer Bestand (Export "&amp;BQ222&amp;"); ","")&amp;IF(J222&lt;=0,"Kein Verbrauch; ","")&amp;IF(CQ222&gt;0,"Lift "&amp;W222&amp;" lt. Liftbericht (Fach "&amp;X222&amp;" Stk); ",IF(CA222=1,"Gebinde geschätzt ("&amp;T222&amp;"); ",IF(BZ222=1,"Lose – Tablare geschätzt; ","")))&amp;IF(H222&gt;AV222,"Überbestand "&amp;ROUND(H222-AV222,0)&amp;" Stk / CHF "&amp;ROUND((H222-AV222)*G222,0)&amp;"; ","")&amp;IF(AND(CH222=1,CI222&lt;CJ222),"MAX &lt; MB+LG; ","")&amp;IF(AND(CP222&gt;0,CO222*10&gt;CP222),"zu hoch für Tablar; ","")&amp;IF(AND(BV222=0,OR(CH222=1,AA222&lt;&gt;"",U222&lt;&gt;"",V222&lt;&gt;"",AB222&lt;&gt;"")),"manuell übersteuert; ","")&amp;IF(AND(BZ222=0,R222=0),"Gebinde unbekannt / Stellmass fehlt; ","")&amp;IF(AND(BZ222=0,N(V222)&lt;=0,N(Q222)&lt;=0),"Menge pro Gebinde fehlt (Ist = 1 Gebinde); ","")&amp;BU222)</f>
        <v>Überbestand 1 Stk / CHF 6; </v>
      </c>
      <c r="BN222" s="48"/>
      <c r="BO222" s="48"/>
      <c r="BP222" s="55"/>
      <c r="BQ222" s="50" t="n">
        <v>119</v>
      </c>
      <c r="BR222" s="50" t="n">
        <v>43</v>
      </c>
      <c r="BS222" s="49" t="n">
        <v>671.96</v>
      </c>
      <c r="BT222" s="50" t="n">
        <v>150</v>
      </c>
      <c r="BU222" s="48"/>
      <c r="BV222" s="53" t="n">
        <v>0</v>
      </c>
      <c r="BW222" s="53" t="n">
        <v>222</v>
      </c>
      <c r="BX222" s="48" t="str">
        <f aca="false">IF(U222&lt;&gt;"",UPPER(TRIM(U222)),IF(CA222=1,UPPER(VLOOKUP(T222,Parameter!$I$27:$K$29,2,0)),IF(P222="","LOSE",P222)))</f>
        <v>S51</v>
      </c>
      <c r="BY222" s="50" t="n">
        <f aca="false">IF(BX222="LOSE",1,IF(N(V222)&gt;0,V222,IF(CA222=1,MAX(1,N(VLOOKUP(T222,Parameter!$I$27:$K$29,3,0)),H222,N(N222)),IF(N(Q222)&gt;0,Q222,MAX(1,H222)))))</f>
        <v>89</v>
      </c>
      <c r="BZ222" s="53" t="n">
        <f aca="false">IF(BX222="LOSE",1,0)</f>
        <v>0</v>
      </c>
      <c r="CA222" s="53" t="n">
        <f aca="false">IF(AND(U222="",OR(P222="",P222="LOSE"),T222&lt;&gt;"",N(S222)&lt;=0,ISNUMBER(MATCH(T222,Parameter!$I$27:$I$29,0))),1,0)</f>
        <v>0</v>
      </c>
      <c r="CB222" s="53" t="n">
        <f aca="false">IF(CQ222&gt;0,INDEX(Parameter!$H$5:$H$7,W222)/INDEX(Parameter!$E$5:$E$7,W222),IF(AND(BZ222=0,N(IFERROR(VLOOKUP(BX222,'Gebinde-Kategorie'!$A$5:$N$45,14,0),0))&gt;0),VLOOKUP(BX222,'Gebinde-Kategorie'!$A$5:$N$45,14,0)*10+Parameter!$M$23,Parameter!$M$24))</f>
        <v>155</v>
      </c>
      <c r="CC222" s="48" t="str">
        <f aca="false">IF(AND(Parameter!$B$19="Ja",E222&lt;&gt;"",ISNUMBER(MATCH(E222,Parameter!$I$35:$I$52,0))),VLOOKUP(E222,Parameter!$I$35:$J$52,2,0),IFERROR(VLOOKUP(D222,Parameter!$A$35:$C$64,2,0),"Nein"))</f>
        <v>2+3</v>
      </c>
      <c r="CD222" s="52" t="n">
        <f aca="false">IF(BZ222=0,0,IF(N(S222)&gt;0,S222,IFERROR(VLOOKUP(D222,Parameter!$A$35:$C$64,3,0)+0,0)))</f>
        <v>0</v>
      </c>
      <c r="CE222" s="48" t="n">
        <f aca="false">IF(AA222&lt;&gt;"",AA222,Z222)</f>
        <v>3</v>
      </c>
      <c r="CF222" s="48" t="str">
        <f aca="false">IF(OR(CE222=1,CE222=2,CE222=3),IF(Parameter!$E$27="Ja","LIFT",IF(CE222=1,"L1","L23")),IF(CE222="Aussen","Aussen","-"))</f>
        <v>LIFT</v>
      </c>
      <c r="CG222" s="59" t="n">
        <f aca="false">IF(N(AB222)&gt;0,AB222,0)</f>
        <v>0</v>
      </c>
      <c r="CH222" s="53" t="n">
        <f aca="false">IF(ISNUMBER(AE222),1,0)</f>
        <v>0</v>
      </c>
      <c r="CI222" s="50" t="n">
        <f aca="false">N(AE222)</f>
        <v>0</v>
      </c>
      <c r="CJ222" s="50" t="n">
        <f aca="false">N(M222)+N(N222)</f>
        <v>161</v>
      </c>
      <c r="CK222" s="50" t="n">
        <f aca="false">N(M222)</f>
        <v>11</v>
      </c>
      <c r="CL222" s="50" t="n">
        <f aca="false">N(N222)</f>
        <v>150</v>
      </c>
      <c r="CM222" s="50" t="n">
        <f aca="false">ROUNDUP(H222/BY222,0)</f>
        <v>2</v>
      </c>
      <c r="CN222" s="50" t="n">
        <f aca="false">ROUNDUP(CI222/BY222,0)</f>
        <v>0</v>
      </c>
      <c r="CO222" s="53" t="n">
        <f aca="false">IF(BZ222=1,0,IFERROR(VLOOKUP(BX222,'Gebinde-Kategorie'!$A$5:$N$45,5,0)+0,0))</f>
        <v>11</v>
      </c>
      <c r="CP222" s="53" t="n">
        <f aca="false">IFERROR(IF(OR(CE222=1,CE222=2,CE222=3),N(INDEX(Parameter!$I$5:$I$7,CE222)),0),0)</f>
        <v>0</v>
      </c>
      <c r="CQ222" s="52" t="n">
        <f aca="false">IF(AND(Parameter!$B$21="Ja",ISNUMBER(W222),N(X222)&gt;0),IFERROR(N(INDEX(Parameter!$L$5:$L$7,W222))*INDEX(Parameter!$E$5:$E$7,W222)*X222/SUMIFS($X$7:$X$1843,$W$7:$W$1843,W222),0),0)</f>
        <v>0</v>
      </c>
    </row>
    <row r="223" customFormat="false" ht="15" hidden="false" customHeight="false" outlineLevel="0" collapsed="false">
      <c r="A223" s="48" t="s">
        <v>647</v>
      </c>
      <c r="B223" s="48" t="s">
        <v>648</v>
      </c>
      <c r="C223" s="48" t="s">
        <v>173</v>
      </c>
      <c r="D223" s="48" t="s">
        <v>193</v>
      </c>
      <c r="E223" s="48" t="s">
        <v>194</v>
      </c>
      <c r="F223" s="48" t="s">
        <v>227</v>
      </c>
      <c r="G223" s="49" t="n">
        <v>13.8</v>
      </c>
      <c r="H223" s="50" t="n">
        <f aca="false">MAX(0,IF(AND(Parameter!$B$21="Ja",ISNUMBER(Y223)),Y223,IF(Parameter!$B$20="Jahresanfang 2025 + Export",BR223+BQ223,BQ223)))</f>
        <v>55</v>
      </c>
      <c r="I223" s="50" t="n">
        <f aca="false">H223*G223</f>
        <v>759</v>
      </c>
      <c r="J223" s="50" t="n">
        <f aca="false">BT223*Parameter!$B$18</f>
        <v>6</v>
      </c>
      <c r="K223" s="51" t="n">
        <v>8.5</v>
      </c>
      <c r="L223" s="52" t="n">
        <v>0.705882352941177</v>
      </c>
      <c r="M223" s="50" t="n">
        <v>0</v>
      </c>
      <c r="N223" s="50" t="n">
        <v>5</v>
      </c>
      <c r="O223" s="53" t="n">
        <v>14</v>
      </c>
      <c r="P223" s="48" t="s">
        <v>337</v>
      </c>
      <c r="Q223" s="50" t="n">
        <v>11</v>
      </c>
      <c r="R223" s="53" t="n">
        <f aca="false">IF(BZ223=1,0,IFERROR(VLOOKUP(BX223,'Gebinde-Kategorie'!$A$5:$N$45,13,0)+0,0))</f>
        <v>52</v>
      </c>
      <c r="S223" s="54"/>
      <c r="T223" s="55"/>
      <c r="U223" s="55"/>
      <c r="V223" s="55"/>
      <c r="W223" s="48"/>
      <c r="X223" s="50"/>
      <c r="Y223" s="50"/>
      <c r="Z223" s="48" t="n">
        <f aca="false">IF(A223="","",IF(AND(Parameter!$B$21="Ja",ISNUMBER(W223)),W223,IF(CC223="2+3",IF(ISNUMBER(SEARCH("grosser Artikel",BU223)),2,IFERROR(VLOOKUP(BX223,Parameter!$F$35:$G$64,2,0),2)),IF(OR(CC223="Nein",CC223=""),"-",CC223))))</f>
        <v>3</v>
      </c>
      <c r="AA223" s="55"/>
      <c r="AB223" s="56"/>
      <c r="AC223" s="50" t="n">
        <f aca="false">AV223</f>
        <v>5</v>
      </c>
      <c r="AD223" s="50" t="n">
        <f aca="false">MAX(AV223,H223)</f>
        <v>55</v>
      </c>
      <c r="AE223" s="57"/>
      <c r="AF223" s="50" t="n">
        <f aca="false">IF(LEFT(Cockpit!$C$5,1)="A",H223,IF(Parameter!$E$30="MAX-Bestand",IF(CH223=1,CI223,IF(LEFT(Cockpit!$C$5,1)="B",AL223,MAX(AL223,H223))),ROUNDUP(AJ223,0)))</f>
        <v>55</v>
      </c>
      <c r="AG223" s="50" t="n">
        <f aca="false">IF(BZ223=1,0,ROUNDUP(AF223/BY223,0))</f>
        <v>5</v>
      </c>
      <c r="AH223" s="52" t="n">
        <f aca="false">IF(CQ223&gt;0,CQ223*MAX(1,AF223/X223),IF(BZ223=1,IF(AF223&lt;=0,0,CD223*MAX(1,IF(H223&gt;0,AF223/H223,1))),IF(R223&gt;0,AG223/R223,0))/MAX(0.1,N(Parameter!$M$21)))</f>
        <v>0.0961538461538462</v>
      </c>
      <c r="AI223" s="50" t="n">
        <f aca="false">AH223*CB223</f>
        <v>14.9038461538462</v>
      </c>
      <c r="AJ223" s="51" t="n">
        <f aca="false">IF(LEFT(Cockpit!$C$5,1)="A",H223,IF(CH223=1,(CK223+CI223)/2,IF(LEFT(Cockpit!$C$5,1)="B",(CK223+AL223)/2,MAX((CK223+AL223)/2,H223))))</f>
        <v>55</v>
      </c>
      <c r="AK223" s="50" t="n">
        <f aca="false">AJ223*G223</f>
        <v>759</v>
      </c>
      <c r="AL223" s="50" t="n">
        <f aca="false">ROUNDUP(CK223+MAX(CL223,2*(J223/IF(CG223&gt;0,CG223,MAX(0.1,N(Cockpit!$C$6)))-CK223)),0)</f>
        <v>5</v>
      </c>
      <c r="AM223" s="51" t="n">
        <f aca="false">IF(AI223&gt;0,J223/AI223,-1)</f>
        <v>0.40258064516129</v>
      </c>
      <c r="AN223" s="51" t="n">
        <f aca="false">IF(AND(OR(CF223="L1",CF223="L23",CF223="LIFT"),AI223&gt;0),SUMIFS($AI$7:$AI$1843,$CF$7:$CF$1843,CF223,$AM$7:$AM$1843,"&gt;"&amp;AM223)+SUMIFS($AI$7:$AI$1843,$CF$7:$CF$1843,CF223,$AM$7:$AM$1843,AM223,$BW$7:$BW$1843,"&lt;="&amp;BW223),"")</f>
        <v>10157.6666382111</v>
      </c>
      <c r="AO223" s="58" t="n">
        <f aca="false">IF(AN223="",0,MAX(0,MIN(1,(IF(CF223="L1",Parameter!$H$5,IF(CF223="L23",Parameter!$H$6+Parameter!$H$7,Parameter!$H$5+Parameter!$H$6+Parameter!$H$7))-(AN223-AI223))/AI223)))</f>
        <v>1</v>
      </c>
      <c r="AP223" s="50" t="n">
        <f aca="false">IF(LEFT(Cockpit!$I$5,1)="A",H223,IF(Parameter!$E$30="MAX-Bestand",IF(CH223=1,CI223,IF(LEFT(Cockpit!$I$5,1)="B",AV223,MAX(AV223,H223))),ROUNDUP(AT223,0)))</f>
        <v>55</v>
      </c>
      <c r="AQ223" s="50" t="n">
        <f aca="false">IF(BZ223=1,0,ROUNDUP(AP223/BY223,0))</f>
        <v>5</v>
      </c>
      <c r="AR223" s="52" t="n">
        <f aca="false">IF(CQ223&gt;0,CQ223*MAX(1,AP223/X223),IF(BZ223=1,IF(AP223&lt;=0,0,CD223*MAX(1,IF(H223&gt;0,AP223/H223,1))),IF(R223&gt;0,AQ223/R223,0))/MAX(0.1,N(Parameter!$M$21)))</f>
        <v>0.0961538461538462</v>
      </c>
      <c r="AS223" s="50" t="n">
        <f aca="false">AR223*CB223</f>
        <v>14.9038461538462</v>
      </c>
      <c r="AT223" s="51" t="n">
        <f aca="false">IF(LEFT(Cockpit!$I$5,1)="A",H223,IF(CH223=1,(CK223+CI223)/2,IF(LEFT(Cockpit!$I$5,1)="B",(CK223+AV223)/2,MAX((CK223+AV223)/2,H223))))</f>
        <v>55</v>
      </c>
      <c r="AU223" s="50" t="n">
        <f aca="false">AT223*G223</f>
        <v>759</v>
      </c>
      <c r="AV223" s="50" t="n">
        <f aca="false">ROUNDUP(CK223+MAX(CL223,2*(J223/IF(CG223&gt;0,CG223,MAX(0.1,N(Cockpit!$I$6)))-CK223)),0)</f>
        <v>5</v>
      </c>
      <c r="AW223" s="51" t="n">
        <f aca="false">IF(AS223&gt;0,J223/AS223,-1)</f>
        <v>0.40258064516129</v>
      </c>
      <c r="AX223" s="51" t="n">
        <f aca="false">IF(AND(OR(CF223="L1",CF223="L23",CF223="LIFT"),AS223&gt;0),SUMIFS($AS$7:$AS$1843,$CF$7:$CF$1843,CF223,$AW$7:$AW$1843,"&gt;"&amp;AW223)+SUMIFS($AS$7:$AS$1843,$CF$7:$CF$1843,CF223,$AW$7:$AW$1843,AW223,$BW$7:$BW$1843,"&lt;="&amp;BW223),"")</f>
        <v>12889.4198717949</v>
      </c>
      <c r="AY223" s="58" t="n">
        <f aca="false">IF(AX223="",0,MAX(0,MIN(1,(IF(CF223="L1",Parameter!$H$5,IF(CF223="L23",Parameter!$H$6+Parameter!$H$7,Parameter!$H$5+Parameter!$H$6+Parameter!$H$7))-(AX223-AS223))/AS223)))</f>
        <v>1</v>
      </c>
      <c r="AZ223" s="50" t="n">
        <f aca="false">IF(LEFT(Cockpit!$O$5,1)="A",H223,IF(Parameter!$E$30="MAX-Bestand",IF(CH223=1,CI223,IF(LEFT(Cockpit!$O$5,1)="B",BF223,MAX(BF223,H223))),ROUNDUP(BD223,0)))</f>
        <v>3</v>
      </c>
      <c r="BA223" s="50" t="n">
        <f aca="false">IF(BZ223=1,0,ROUNDUP(AZ223/BY223,0))</f>
        <v>1</v>
      </c>
      <c r="BB223" s="52" t="n">
        <f aca="false">IF(CQ223&gt;0,CQ223*MAX(1,AZ223/X223),IF(BZ223=1,IF(AZ223&lt;=0,0,CD223*MAX(1,IF(H223&gt;0,AZ223/H223,1))),IF(R223&gt;0,BA223/R223,0))/MAX(0.1,N(Parameter!$M$21)))</f>
        <v>0.0192307692307692</v>
      </c>
      <c r="BC223" s="50" t="n">
        <f aca="false">BB223*CB223</f>
        <v>2.98076923076923</v>
      </c>
      <c r="BD223" s="51" t="n">
        <f aca="false">IF(LEFT(Cockpit!$O$5,1)="A",H223,IF(CH223=1,(CK223+CI223)/2,IF(LEFT(Cockpit!$O$5,1)="B",(CK223+BF223)/2,MAX((CK223+BF223)/2,H223))))</f>
        <v>2.5</v>
      </c>
      <c r="BE223" s="50" t="n">
        <f aca="false">BD223*G223</f>
        <v>34.5</v>
      </c>
      <c r="BF223" s="50" t="n">
        <f aca="false">ROUNDUP(CK223+MAX(CL223,2*(J223/IF(CG223&gt;0,CG223,MAX(0.1,N(Cockpit!$O$6)))-CK223)),0)</f>
        <v>5</v>
      </c>
      <c r="BG223" s="51" t="n">
        <f aca="false">IF(BC223&gt;0,J223/BC223,-1)</f>
        <v>2.01290322580645</v>
      </c>
      <c r="BH223" s="51" t="n">
        <f aca="false">IF(AND(OR(CF223="L1",CF223="L23",CF223="LIFT"),BC223&gt;0),SUMIFS($BC$7:$BC$1843,$CF$7:$CF$1843,CF223,$BG$7:$BG$1843,"&gt;"&amp;BG223)+SUMIFS($BC$7:$BC$1843,$CF$7:$CF$1843,CF223,$BG$7:$BG$1843,BG223,$BW$7:$BW$1843,"&lt;="&amp;BW223),"")</f>
        <v>5851.67948717949</v>
      </c>
      <c r="BI223" s="58" t="n">
        <f aca="false">IF(BH223="",0,MAX(0,MIN(1,(IF(CF223="L1",Parameter!$H$5,IF(CF223="L23",Parameter!$H$6+Parameter!$H$7,Parameter!$H$5+Parameter!$H$6+Parameter!$H$7))-(BH223-BC223))/BC223)))</f>
        <v>1</v>
      </c>
      <c r="BJ223" s="48" t="str">
        <f aca="false">IF(AI223&lt;=0,"",IF(CF223="Aussen","Aussenlager",IF(CF223="-","Nicht im Lift",IF(AO223&gt;=1,"Lift",IF(AO223&lt;=0,"Aussenlager","teilweise")))))</f>
        <v>Lift</v>
      </c>
      <c r="BK223" s="48" t="str">
        <f aca="false">IF(AS223&lt;=0,"",IF(CF223="Aussen","Aussenlager",IF(CF223="-","Nicht im Lift",IF(AY223&gt;=1,"Lift",IF(AY223&lt;=0,"Aussenlager","teilweise")))))</f>
        <v>Lift</v>
      </c>
      <c r="BL223" s="48" t="str">
        <f aca="false">IF(BC223&lt;=0,"",IF(CF223="Aussen","Aussenlager",IF(CF223="-","Nicht im Lift",IF(BI223&gt;=1,"Lift",IF(BI223&lt;=0,"Aussenlager","teilweise")))))</f>
        <v>Lift</v>
      </c>
      <c r="BM223" s="48" t="str">
        <f aca="false">IF(A223="","",IF(BV223=1,"Neu; ","")&amp;IF(AND(BV223=0,BQ223&lt;0),"negativer Bestand (Export "&amp;BQ223&amp;"); ","")&amp;IF(J223&lt;=0,"Kein Verbrauch; ","")&amp;IF(CQ223&gt;0,"Lift "&amp;W223&amp;" lt. Liftbericht (Fach "&amp;X223&amp;" Stk); ",IF(CA223=1,"Gebinde geschätzt ("&amp;T223&amp;"); ",IF(BZ223=1,"Lose – Tablare geschätzt; ","")))&amp;IF(H223&gt;AV223,"Überbestand "&amp;ROUND(H223-AV223,0)&amp;" Stk / CHF "&amp;ROUND((H223-AV223)*G223,0)&amp;"; ","")&amp;IF(AND(CH223=1,CI223&lt;CJ223),"MAX &lt; MB+LG; ","")&amp;IF(AND(CP223&gt;0,CO223*10&gt;CP223),"zu hoch für Tablar; ","")&amp;IF(AND(BV223=0,OR(CH223=1,AA223&lt;&gt;"",U223&lt;&gt;"",V223&lt;&gt;"",AB223&lt;&gt;"")),"manuell übersteuert; ","")&amp;IF(AND(BZ223=0,R223=0),"Gebinde unbekannt / Stellmass fehlt; ","")&amp;IF(AND(BZ223=0,N(V223)&lt;=0,N(Q223)&lt;=0),"Menge pro Gebinde fehlt (Ist = 1 Gebinde); ","")&amp;BU223)</f>
        <v>Überbestand 50 Stk / CHF 690; </v>
      </c>
      <c r="BN223" s="48"/>
      <c r="BO223" s="48"/>
      <c r="BP223" s="55"/>
      <c r="BQ223" s="50" t="n">
        <v>48</v>
      </c>
      <c r="BR223" s="50" t="n">
        <v>7</v>
      </c>
      <c r="BS223" s="49" t="n">
        <v>656.1</v>
      </c>
      <c r="BT223" s="50" t="n">
        <v>6</v>
      </c>
      <c r="BU223" s="48"/>
      <c r="BV223" s="53" t="n">
        <v>0</v>
      </c>
      <c r="BW223" s="53" t="n">
        <v>223</v>
      </c>
      <c r="BX223" s="48" t="str">
        <f aca="false">IF(U223&lt;&gt;"",UPPER(TRIM(U223)),IF(CA223=1,UPPER(VLOOKUP(T223,Parameter!$I$27:$K$29,2,0)),IF(P223="","LOSE",P223)))</f>
        <v>S41</v>
      </c>
      <c r="BY223" s="50" t="n">
        <f aca="false">IF(BX223="LOSE",1,IF(N(V223)&gt;0,V223,IF(CA223=1,MAX(1,N(VLOOKUP(T223,Parameter!$I$27:$K$29,3,0)),H223,N(N223)),IF(N(Q223)&gt;0,Q223,MAX(1,H223)))))</f>
        <v>11</v>
      </c>
      <c r="BZ223" s="53" t="n">
        <f aca="false">IF(BX223="LOSE",1,0)</f>
        <v>0</v>
      </c>
      <c r="CA223" s="53" t="n">
        <f aca="false">IF(AND(U223="",OR(P223="",P223="LOSE"),T223&lt;&gt;"",N(S223)&lt;=0,ISNUMBER(MATCH(T223,Parameter!$I$27:$I$29,0))),1,0)</f>
        <v>0</v>
      </c>
      <c r="CB223" s="53" t="n">
        <f aca="false">IF(CQ223&gt;0,INDEX(Parameter!$H$5:$H$7,W223)/INDEX(Parameter!$E$5:$E$7,W223),IF(AND(BZ223=0,N(IFERROR(VLOOKUP(BX223,'Gebinde-Kategorie'!$A$5:$N$45,14,0),0))&gt;0),VLOOKUP(BX223,'Gebinde-Kategorie'!$A$5:$N$45,14,0)*10+Parameter!$M$23,Parameter!$M$24))</f>
        <v>155</v>
      </c>
      <c r="CC223" s="48" t="str">
        <f aca="false">IF(AND(Parameter!$B$19="Ja",E223&lt;&gt;"",ISNUMBER(MATCH(E223,Parameter!$I$35:$I$52,0))),VLOOKUP(E223,Parameter!$I$35:$J$52,2,0),IFERROR(VLOOKUP(D223,Parameter!$A$35:$C$64,2,0),"Nein"))</f>
        <v>2+3</v>
      </c>
      <c r="CD223" s="52" t="n">
        <f aca="false">IF(BZ223=0,0,IF(N(S223)&gt;0,S223,IFERROR(VLOOKUP(D223,Parameter!$A$35:$C$64,3,0)+0,0)))</f>
        <v>0</v>
      </c>
      <c r="CE223" s="48" t="n">
        <f aca="false">IF(AA223&lt;&gt;"",AA223,Z223)</f>
        <v>3</v>
      </c>
      <c r="CF223" s="48" t="str">
        <f aca="false">IF(OR(CE223=1,CE223=2,CE223=3),IF(Parameter!$E$27="Ja","LIFT",IF(CE223=1,"L1","L23")),IF(CE223="Aussen","Aussen","-"))</f>
        <v>LIFT</v>
      </c>
      <c r="CG223" s="59" t="n">
        <f aca="false">IF(N(AB223)&gt;0,AB223,0)</f>
        <v>0</v>
      </c>
      <c r="CH223" s="53" t="n">
        <f aca="false">IF(ISNUMBER(AE223),1,0)</f>
        <v>0</v>
      </c>
      <c r="CI223" s="50" t="n">
        <f aca="false">N(AE223)</f>
        <v>0</v>
      </c>
      <c r="CJ223" s="50" t="n">
        <f aca="false">N(M223)+N(N223)</f>
        <v>5</v>
      </c>
      <c r="CK223" s="50" t="n">
        <f aca="false">N(M223)</f>
        <v>0</v>
      </c>
      <c r="CL223" s="50" t="n">
        <f aca="false">N(N223)</f>
        <v>5</v>
      </c>
      <c r="CM223" s="50" t="n">
        <f aca="false">ROUNDUP(H223/BY223,0)</f>
        <v>5</v>
      </c>
      <c r="CN223" s="50" t="n">
        <f aca="false">ROUNDUP(CI223/BY223,0)</f>
        <v>0</v>
      </c>
      <c r="CO223" s="53" t="n">
        <f aca="false">IF(BZ223=1,0,IFERROR(VLOOKUP(BX223,'Gebinde-Kategorie'!$A$5:$N$45,5,0)+0,0))</f>
        <v>11</v>
      </c>
      <c r="CP223" s="53" t="n">
        <f aca="false">IFERROR(IF(OR(CE223=1,CE223=2,CE223=3),N(INDEX(Parameter!$I$5:$I$7,CE223)),0),0)</f>
        <v>0</v>
      </c>
      <c r="CQ223" s="52" t="n">
        <f aca="false">IF(AND(Parameter!$B$21="Ja",ISNUMBER(W223),N(X223)&gt;0),IFERROR(N(INDEX(Parameter!$L$5:$L$7,W223))*INDEX(Parameter!$E$5:$E$7,W223)*X223/SUMIFS($X$7:$X$1843,$W$7:$W$1843,W223),0),0)</f>
        <v>0</v>
      </c>
    </row>
    <row r="224" customFormat="false" ht="15" hidden="false" customHeight="false" outlineLevel="0" collapsed="false">
      <c r="A224" s="48" t="s">
        <v>649</v>
      </c>
      <c r="B224" s="48" t="s">
        <v>580</v>
      </c>
      <c r="C224" s="48" t="s">
        <v>173</v>
      </c>
      <c r="D224" s="48" t="s">
        <v>193</v>
      </c>
      <c r="E224" s="48" t="s">
        <v>194</v>
      </c>
      <c r="F224" s="48" t="s">
        <v>227</v>
      </c>
      <c r="G224" s="49" t="n">
        <v>6.91</v>
      </c>
      <c r="H224" s="50" t="n">
        <f aca="false">MAX(0,IF(AND(Parameter!$B$21="Ja",ISNUMBER(Y224)),Y224,IF(Parameter!$B$20="Jahresanfang 2025 + Export",BR224+BQ224,BQ224)))</f>
        <v>152</v>
      </c>
      <c r="I224" s="50" t="n">
        <f aca="false">H224*G224</f>
        <v>1050.32</v>
      </c>
      <c r="J224" s="50" t="n">
        <f aca="false">BT224*Parameter!$B$18</f>
        <v>428</v>
      </c>
      <c r="K224" s="51" t="n">
        <v>137</v>
      </c>
      <c r="L224" s="52" t="n">
        <v>3.12408759124088</v>
      </c>
      <c r="M224" s="50" t="n">
        <v>32</v>
      </c>
      <c r="N224" s="50" t="n">
        <v>200</v>
      </c>
      <c r="O224" s="53" t="n">
        <v>70</v>
      </c>
      <c r="P224" s="48" t="s">
        <v>311</v>
      </c>
      <c r="Q224" s="50" t="n">
        <v>179</v>
      </c>
      <c r="R224" s="53" t="n">
        <f aca="false">IF(BZ224=1,0,IFERROR(VLOOKUP(BX224,'Gebinde-Kategorie'!$A$5:$N$45,13,0)+0,0))</f>
        <v>26</v>
      </c>
      <c r="S224" s="54"/>
      <c r="T224" s="55"/>
      <c r="U224" s="55"/>
      <c r="V224" s="55"/>
      <c r="W224" s="48"/>
      <c r="X224" s="50"/>
      <c r="Y224" s="50"/>
      <c r="Z224" s="48" t="n">
        <f aca="false">IF(A224="","",IF(AND(Parameter!$B$21="Ja",ISNUMBER(W224)),W224,IF(CC224="2+3",IF(ISNUMBER(SEARCH("grosser Artikel",BU224)),2,IFERROR(VLOOKUP(BX224,Parameter!$F$35:$G$64,2,0),2)),IF(OR(CC224="Nein",CC224=""),"-",CC224))))</f>
        <v>3</v>
      </c>
      <c r="AA224" s="55"/>
      <c r="AB224" s="56"/>
      <c r="AC224" s="50" t="n">
        <f aca="false">AV224</f>
        <v>254</v>
      </c>
      <c r="AD224" s="50" t="n">
        <f aca="false">MAX(AV224,H224)</f>
        <v>254</v>
      </c>
      <c r="AE224" s="57"/>
      <c r="AF224" s="50" t="n">
        <f aca="false">IF(LEFT(Cockpit!$C$5,1)="A",H224,IF(Parameter!$E$30="MAX-Bestand",IF(CH224=1,CI224,IF(LEFT(Cockpit!$C$5,1)="B",AL224,MAX(AL224,H224))),ROUNDUP(AJ224,0)))</f>
        <v>152</v>
      </c>
      <c r="AG224" s="50" t="n">
        <f aca="false">IF(BZ224=1,0,ROUNDUP(AF224/BY224,0))</f>
        <v>1</v>
      </c>
      <c r="AH224" s="52" t="n">
        <f aca="false">IF(CQ224&gt;0,CQ224*MAX(1,AF224/X224),IF(BZ224=1,IF(AF224&lt;=0,0,CD224*MAX(1,IF(H224&gt;0,AF224/H224,1))),IF(R224&gt;0,AG224/R224,0))/MAX(0.1,N(Parameter!$M$21)))</f>
        <v>0.0384615384615385</v>
      </c>
      <c r="AI224" s="50" t="n">
        <f aca="false">AH224*CB224</f>
        <v>5.96153846153846</v>
      </c>
      <c r="AJ224" s="51" t="n">
        <f aca="false">IF(LEFT(Cockpit!$C$5,1)="A",H224,IF(CH224=1,(CK224+CI224)/2,IF(LEFT(Cockpit!$C$5,1)="B",(CK224+AL224)/2,MAX((CK224+AL224)/2,H224))))</f>
        <v>152</v>
      </c>
      <c r="AK224" s="50" t="n">
        <f aca="false">AJ224*G224</f>
        <v>1050.32</v>
      </c>
      <c r="AL224" s="50" t="n">
        <f aca="false">ROUNDUP(CK224+MAX(CL224,2*(J224/IF(CG224&gt;0,CG224,MAX(0.1,N(Cockpit!$C$6)))-CK224)),0)</f>
        <v>254</v>
      </c>
      <c r="AM224" s="51" t="n">
        <f aca="false">IF(AI224&gt;0,J224/AI224,-1)</f>
        <v>71.7935483870968</v>
      </c>
      <c r="AN224" s="51" t="n">
        <f aca="false">IF(AND(OR(CF224="L1",CF224="L23",CF224="LIFT"),AI224&gt;0),SUMIFS($AI$7:$AI$1843,$CF$7:$CF$1843,CF224,$AM$7:$AM$1843,"&gt;"&amp;AM224)+SUMIFS($AI$7:$AI$1843,$CF$7:$CF$1843,CF224,$AM$7:$AM$1843,AM224,$BW$7:$BW$1843,"&lt;="&amp;BW224),"")</f>
        <v>886.498626373626</v>
      </c>
      <c r="AO224" s="58" t="n">
        <f aca="false">IF(AN224="",0,MAX(0,MIN(1,(IF(CF224="L1",Parameter!$H$5,IF(CF224="L23",Parameter!$H$6+Parameter!$H$7,Parameter!$H$5+Parameter!$H$6+Parameter!$H$7))-(AN224-AI224))/AI224)))</f>
        <v>1</v>
      </c>
      <c r="AP224" s="50" t="n">
        <f aca="false">IF(LEFT(Cockpit!$I$5,1)="A",H224,IF(Parameter!$E$30="MAX-Bestand",IF(CH224=1,CI224,IF(LEFT(Cockpit!$I$5,1)="B",AV224,MAX(AV224,H224))),ROUNDUP(AT224,0)))</f>
        <v>152</v>
      </c>
      <c r="AQ224" s="50" t="n">
        <f aca="false">IF(BZ224=1,0,ROUNDUP(AP224/BY224,0))</f>
        <v>1</v>
      </c>
      <c r="AR224" s="52" t="n">
        <f aca="false">IF(CQ224&gt;0,CQ224*MAX(1,AP224/X224),IF(BZ224=1,IF(AP224&lt;=0,0,CD224*MAX(1,IF(H224&gt;0,AP224/H224,1))),IF(R224&gt;0,AQ224/R224,0))/MAX(0.1,N(Parameter!$M$21)))</f>
        <v>0.0384615384615385</v>
      </c>
      <c r="AS224" s="50" t="n">
        <f aca="false">AR224*CB224</f>
        <v>5.96153846153846</v>
      </c>
      <c r="AT224" s="51" t="n">
        <f aca="false">IF(LEFT(Cockpit!$I$5,1)="A",H224,IF(CH224=1,(CK224+CI224)/2,IF(LEFT(Cockpit!$I$5,1)="B",(CK224+AV224)/2,MAX((CK224+AV224)/2,H224))))</f>
        <v>152</v>
      </c>
      <c r="AU224" s="50" t="n">
        <f aca="false">AT224*G224</f>
        <v>1050.32</v>
      </c>
      <c r="AV224" s="50" t="n">
        <f aca="false">ROUNDUP(CK224+MAX(CL224,2*(J224/IF(CG224&gt;0,CG224,MAX(0.1,N(Cockpit!$I$6)))-CK224)),0)</f>
        <v>254</v>
      </c>
      <c r="AW224" s="51" t="n">
        <f aca="false">IF(AS224&gt;0,J224/AS224,-1)</f>
        <v>71.7935483870968</v>
      </c>
      <c r="AX224" s="51" t="n">
        <f aca="false">IF(AND(OR(CF224="L1",CF224="L23",CF224="LIFT"),AS224&gt;0),SUMIFS($AS$7:$AS$1843,$CF$7:$CF$1843,CF224,$AW$7:$AW$1843,"&gt;"&amp;AW224)+SUMIFS($AS$7:$AS$1843,$CF$7:$CF$1843,CF224,$AW$7:$AW$1843,AW224,$BW$7:$BW$1843,"&lt;="&amp;BW224),"")</f>
        <v>1098.30357142857</v>
      </c>
      <c r="AY224" s="58" t="n">
        <f aca="false">IF(AX224="",0,MAX(0,MIN(1,(IF(CF224="L1",Parameter!$H$5,IF(CF224="L23",Parameter!$H$6+Parameter!$H$7,Parameter!$H$5+Parameter!$H$6+Parameter!$H$7))-(AX224-AS224))/AS224)))</f>
        <v>1</v>
      </c>
      <c r="AZ224" s="50" t="n">
        <f aca="false">IF(LEFT(Cockpit!$O$5,1)="A",H224,IF(Parameter!$E$30="MAX-Bestand",IF(CH224=1,CI224,IF(LEFT(Cockpit!$O$5,1)="B",BF224,MAX(BF224,H224))),ROUNDUP(BD224,0)))</f>
        <v>132</v>
      </c>
      <c r="BA224" s="50" t="n">
        <f aca="false">IF(BZ224=1,0,ROUNDUP(AZ224/BY224,0))</f>
        <v>1</v>
      </c>
      <c r="BB224" s="52" t="n">
        <f aca="false">IF(CQ224&gt;0,CQ224*MAX(1,AZ224/X224),IF(BZ224=1,IF(AZ224&lt;=0,0,CD224*MAX(1,IF(H224&gt;0,AZ224/H224,1))),IF(R224&gt;0,BA224/R224,0))/MAX(0.1,N(Parameter!$M$21)))</f>
        <v>0.0384615384615385</v>
      </c>
      <c r="BC224" s="50" t="n">
        <f aca="false">BB224*CB224</f>
        <v>5.96153846153846</v>
      </c>
      <c r="BD224" s="51" t="n">
        <f aca="false">IF(LEFT(Cockpit!$O$5,1)="A",H224,IF(CH224=1,(CK224+CI224)/2,IF(LEFT(Cockpit!$O$5,1)="B",(CK224+BF224)/2,MAX((CK224+BF224)/2,H224))))</f>
        <v>132</v>
      </c>
      <c r="BE224" s="50" t="n">
        <f aca="false">BD224*G224</f>
        <v>912.12</v>
      </c>
      <c r="BF224" s="50" t="n">
        <f aca="false">ROUNDUP(CK224+MAX(CL224,2*(J224/IF(CG224&gt;0,CG224,MAX(0.1,N(Cockpit!$O$6)))-CK224)),0)</f>
        <v>232</v>
      </c>
      <c r="BG224" s="51" t="n">
        <f aca="false">IF(BC224&gt;0,J224/BC224,-1)</f>
        <v>71.7935483870968</v>
      </c>
      <c r="BH224" s="51" t="n">
        <f aca="false">IF(AND(OR(CF224="L1",CF224="L23",CF224="LIFT"),BC224&gt;0),SUMIFS($BC$7:$BC$1843,$CF$7:$CF$1843,CF224,$BG$7:$BG$1843,"&gt;"&amp;BG224)+SUMIFS($BC$7:$BC$1843,$CF$7:$CF$1843,CF224,$BG$7:$BG$1843,BG224,$BW$7:$BW$1843,"&lt;="&amp;BW224),"")</f>
        <v>1016.99542124542</v>
      </c>
      <c r="BI224" s="58" t="n">
        <f aca="false">IF(BH224="",0,MAX(0,MIN(1,(IF(CF224="L1",Parameter!$H$5,IF(CF224="L23",Parameter!$H$6+Parameter!$H$7,Parameter!$H$5+Parameter!$H$6+Parameter!$H$7))-(BH224-BC224))/BC224)))</f>
        <v>1</v>
      </c>
      <c r="BJ224" s="48" t="str">
        <f aca="false">IF(AI224&lt;=0,"",IF(CF224="Aussen","Aussenlager",IF(CF224="-","Nicht im Lift",IF(AO224&gt;=1,"Lift",IF(AO224&lt;=0,"Aussenlager","teilweise")))))</f>
        <v>Lift</v>
      </c>
      <c r="BK224" s="48" t="str">
        <f aca="false">IF(AS224&lt;=0,"",IF(CF224="Aussen","Aussenlager",IF(CF224="-","Nicht im Lift",IF(AY224&gt;=1,"Lift",IF(AY224&lt;=0,"Aussenlager","teilweise")))))</f>
        <v>Lift</v>
      </c>
      <c r="BL224" s="48" t="str">
        <f aca="false">IF(BC224&lt;=0,"",IF(CF224="Aussen","Aussenlager",IF(CF224="-","Nicht im Lift",IF(BI224&gt;=1,"Lift",IF(BI224&lt;=0,"Aussenlager","teilweise")))))</f>
        <v>Lift</v>
      </c>
      <c r="BM224" s="48" t="str">
        <f aca="false">IF(A224="","",IF(BV224=1,"Neu; ","")&amp;IF(AND(BV224=0,BQ224&lt;0),"negativer Bestand (Export "&amp;BQ224&amp;"); ","")&amp;IF(J224&lt;=0,"Kein Verbrauch; ","")&amp;IF(CQ224&gt;0,"Lift "&amp;W224&amp;" lt. Liftbericht (Fach "&amp;X224&amp;" Stk); ",IF(CA224=1,"Gebinde geschätzt ("&amp;T224&amp;"); ",IF(BZ224=1,"Lose – Tablare geschätzt; ","")))&amp;IF(H224&gt;AV224,"Überbestand "&amp;ROUND(H224-AV224,0)&amp;" Stk / CHF "&amp;ROUND((H224-AV224)*G224,0)&amp;"; ","")&amp;IF(AND(CH224=1,CI224&lt;CJ224),"MAX &lt; MB+LG; ","")&amp;IF(AND(CP224&gt;0,CO224*10&gt;CP224),"zu hoch für Tablar; ","")&amp;IF(AND(BV224=0,OR(CH224=1,AA224&lt;&gt;"",U224&lt;&gt;"",V224&lt;&gt;"",AB224&lt;&gt;"")),"manuell übersteuert; ","")&amp;IF(AND(BZ224=0,R224=0),"Gebinde unbekannt / Stellmass fehlt; ","")&amp;IF(AND(BZ224=0,N(V224)&lt;=0,N(Q224)&lt;=0),"Menge pro Gebinde fehlt (Ist = 1 Gebinde); ","")&amp;BU224)</f>
        <v/>
      </c>
      <c r="BN224" s="48"/>
      <c r="BO224" s="48"/>
      <c r="BP224" s="55"/>
      <c r="BQ224" s="50" t="n">
        <v>81</v>
      </c>
      <c r="BR224" s="50" t="n">
        <v>71</v>
      </c>
      <c r="BS224" s="49" t="n">
        <v>642.240000000004</v>
      </c>
      <c r="BT224" s="50" t="n">
        <v>428</v>
      </c>
      <c r="BU224" s="48"/>
      <c r="BV224" s="53" t="n">
        <v>0</v>
      </c>
      <c r="BW224" s="53" t="n">
        <v>224</v>
      </c>
      <c r="BX224" s="48" t="str">
        <f aca="false">IF(U224&lt;&gt;"",UPPER(TRIM(U224)),IF(CA224=1,UPPER(VLOOKUP(T224,Parameter!$I$27:$K$29,2,0)),IF(P224="","LOSE",P224)))</f>
        <v>S51</v>
      </c>
      <c r="BY224" s="50" t="n">
        <f aca="false">IF(BX224="LOSE",1,IF(N(V224)&gt;0,V224,IF(CA224=1,MAX(1,N(VLOOKUP(T224,Parameter!$I$27:$K$29,3,0)),H224,N(N224)),IF(N(Q224)&gt;0,Q224,MAX(1,H224)))))</f>
        <v>179</v>
      </c>
      <c r="BZ224" s="53" t="n">
        <f aca="false">IF(BX224="LOSE",1,0)</f>
        <v>0</v>
      </c>
      <c r="CA224" s="53" t="n">
        <f aca="false">IF(AND(U224="",OR(P224="",P224="LOSE"),T224&lt;&gt;"",N(S224)&lt;=0,ISNUMBER(MATCH(T224,Parameter!$I$27:$I$29,0))),1,0)</f>
        <v>0</v>
      </c>
      <c r="CB224" s="53" t="n">
        <f aca="false">IF(CQ224&gt;0,INDEX(Parameter!$H$5:$H$7,W224)/INDEX(Parameter!$E$5:$E$7,W224),IF(AND(BZ224=0,N(IFERROR(VLOOKUP(BX224,'Gebinde-Kategorie'!$A$5:$N$45,14,0),0))&gt;0),VLOOKUP(BX224,'Gebinde-Kategorie'!$A$5:$N$45,14,0)*10+Parameter!$M$23,Parameter!$M$24))</f>
        <v>155</v>
      </c>
      <c r="CC224" s="48" t="str">
        <f aca="false">IF(AND(Parameter!$B$19="Ja",E224&lt;&gt;"",ISNUMBER(MATCH(E224,Parameter!$I$35:$I$52,0))),VLOOKUP(E224,Parameter!$I$35:$J$52,2,0),IFERROR(VLOOKUP(D224,Parameter!$A$35:$C$64,2,0),"Nein"))</f>
        <v>2+3</v>
      </c>
      <c r="CD224" s="52" t="n">
        <f aca="false">IF(BZ224=0,0,IF(N(S224)&gt;0,S224,IFERROR(VLOOKUP(D224,Parameter!$A$35:$C$64,3,0)+0,0)))</f>
        <v>0</v>
      </c>
      <c r="CE224" s="48" t="n">
        <f aca="false">IF(AA224&lt;&gt;"",AA224,Z224)</f>
        <v>3</v>
      </c>
      <c r="CF224" s="48" t="str">
        <f aca="false">IF(OR(CE224=1,CE224=2,CE224=3),IF(Parameter!$E$27="Ja","LIFT",IF(CE224=1,"L1","L23")),IF(CE224="Aussen","Aussen","-"))</f>
        <v>LIFT</v>
      </c>
      <c r="CG224" s="59" t="n">
        <f aca="false">IF(N(AB224)&gt;0,AB224,0)</f>
        <v>0</v>
      </c>
      <c r="CH224" s="53" t="n">
        <f aca="false">IF(ISNUMBER(AE224),1,0)</f>
        <v>0</v>
      </c>
      <c r="CI224" s="50" t="n">
        <f aca="false">N(AE224)</f>
        <v>0</v>
      </c>
      <c r="CJ224" s="50" t="n">
        <f aca="false">N(M224)+N(N224)</f>
        <v>232</v>
      </c>
      <c r="CK224" s="50" t="n">
        <f aca="false">N(M224)</f>
        <v>32</v>
      </c>
      <c r="CL224" s="50" t="n">
        <f aca="false">N(N224)</f>
        <v>200</v>
      </c>
      <c r="CM224" s="50" t="n">
        <f aca="false">ROUNDUP(H224/BY224,0)</f>
        <v>1</v>
      </c>
      <c r="CN224" s="50" t="n">
        <f aca="false">ROUNDUP(CI224/BY224,0)</f>
        <v>0</v>
      </c>
      <c r="CO224" s="53" t="n">
        <f aca="false">IF(BZ224=1,0,IFERROR(VLOOKUP(BX224,'Gebinde-Kategorie'!$A$5:$N$45,5,0)+0,0))</f>
        <v>11</v>
      </c>
      <c r="CP224" s="53" t="n">
        <f aca="false">IFERROR(IF(OR(CE224=1,CE224=2,CE224=3),N(INDEX(Parameter!$I$5:$I$7,CE224)),0),0)</f>
        <v>0</v>
      </c>
      <c r="CQ224" s="52" t="n">
        <f aca="false">IF(AND(Parameter!$B$21="Ja",ISNUMBER(W224),N(X224)&gt;0),IFERROR(N(INDEX(Parameter!$L$5:$L$7,W224))*INDEX(Parameter!$E$5:$E$7,W224)*X224/SUMIFS($X$7:$X$1843,$W$7:$W$1843,W224),0),0)</f>
        <v>0</v>
      </c>
    </row>
    <row r="225" customFormat="false" ht="15" hidden="false" customHeight="false" outlineLevel="0" collapsed="false">
      <c r="A225" s="48" t="s">
        <v>650</v>
      </c>
      <c r="B225" s="48" t="s">
        <v>651</v>
      </c>
      <c r="C225" s="48" t="s">
        <v>173</v>
      </c>
      <c r="D225" s="48" t="s">
        <v>182</v>
      </c>
      <c r="E225" s="48"/>
      <c r="F225" s="48" t="s">
        <v>227</v>
      </c>
      <c r="G225" s="49" t="n">
        <v>640</v>
      </c>
      <c r="H225" s="50" t="n">
        <f aca="false">MAX(0,IF(AND(Parameter!$B$21="Ja",ISNUMBER(Y225)),Y225,IF(Parameter!$B$20="Jahresanfang 2025 + Export",BR225+BQ225,BQ225)))</f>
        <v>1</v>
      </c>
      <c r="I225" s="50" t="n">
        <f aca="false">H225*G225</f>
        <v>640</v>
      </c>
      <c r="J225" s="50" t="n">
        <f aca="false">BT225*Parameter!$B$18</f>
        <v>11</v>
      </c>
      <c r="K225" s="51" t="n">
        <v>0.5</v>
      </c>
      <c r="L225" s="52" t="n">
        <v>22</v>
      </c>
      <c r="M225" s="50" t="n">
        <v>1</v>
      </c>
      <c r="N225" s="50" t="n">
        <v>5</v>
      </c>
      <c r="O225" s="53" t="n">
        <v>35</v>
      </c>
      <c r="P225" s="48" t="s">
        <v>195</v>
      </c>
      <c r="Q225" s="50" t="n">
        <v>6</v>
      </c>
      <c r="R225" s="53" t="n">
        <f aca="false">IF(BZ225=1,0,IFERROR(VLOOKUP(BX225,'Gebinde-Kategorie'!$A$5:$N$45,13,0)+0,0))</f>
        <v>12</v>
      </c>
      <c r="S225" s="54"/>
      <c r="T225" s="55"/>
      <c r="U225" s="55"/>
      <c r="V225" s="55"/>
      <c r="W225" s="48"/>
      <c r="X225" s="50"/>
      <c r="Y225" s="50"/>
      <c r="Z225" s="48" t="n">
        <f aca="false">IF(A225="","",IF(AND(Parameter!$B$21="Ja",ISNUMBER(W225)),W225,IF(CC225="2+3",IF(ISNUMBER(SEARCH("grosser Artikel",BU225)),2,IFERROR(VLOOKUP(BX225,Parameter!$F$35:$G$64,2,0),2)),IF(OR(CC225="Nein",CC225=""),"-",CC225))))</f>
        <v>2</v>
      </c>
      <c r="AA225" s="55"/>
      <c r="AB225" s="56"/>
      <c r="AC225" s="50" t="n">
        <f aca="false">AV225</f>
        <v>7</v>
      </c>
      <c r="AD225" s="50" t="n">
        <f aca="false">MAX(AV225,H225)</f>
        <v>7</v>
      </c>
      <c r="AE225" s="57"/>
      <c r="AF225" s="50" t="n">
        <f aca="false">IF(LEFT(Cockpit!$C$5,1)="A",H225,IF(Parameter!$E$30="MAX-Bestand",IF(CH225=1,CI225,IF(LEFT(Cockpit!$C$5,1)="B",AL225,MAX(AL225,H225))),ROUNDUP(AJ225,0)))</f>
        <v>1</v>
      </c>
      <c r="AG225" s="50" t="n">
        <f aca="false">IF(BZ225=1,0,ROUNDUP(AF225/BY225,0))</f>
        <v>1</v>
      </c>
      <c r="AH225" s="52" t="n">
        <f aca="false">IF(CQ225&gt;0,CQ225*MAX(1,AF225/X225),IF(BZ225=1,IF(AF225&lt;=0,0,CD225*MAX(1,IF(H225&gt;0,AF225/H225,1))),IF(R225&gt;0,AG225/R225,0))/MAX(0.1,N(Parameter!$M$21)))</f>
        <v>0.0833333333333333</v>
      </c>
      <c r="AI225" s="50" t="n">
        <f aca="false">AH225*CB225</f>
        <v>12.0833333333333</v>
      </c>
      <c r="AJ225" s="51" t="n">
        <f aca="false">IF(LEFT(Cockpit!$C$5,1)="A",H225,IF(CH225=1,(CK225+CI225)/2,IF(LEFT(Cockpit!$C$5,1)="B",(CK225+AL225)/2,MAX((CK225+AL225)/2,H225))))</f>
        <v>1</v>
      </c>
      <c r="AK225" s="50" t="n">
        <f aca="false">AJ225*G225</f>
        <v>640</v>
      </c>
      <c r="AL225" s="50" t="n">
        <f aca="false">ROUNDUP(CK225+MAX(CL225,2*(J225/IF(CG225&gt;0,CG225,MAX(0.1,N(Cockpit!$C$6)))-CK225)),0)</f>
        <v>7</v>
      </c>
      <c r="AM225" s="51" t="n">
        <f aca="false">IF(AI225&gt;0,J225/AI225,-1)</f>
        <v>0.910344827586207</v>
      </c>
      <c r="AN225" s="51" t="n">
        <f aca="false">IF(AND(OR(CF225="L1",CF225="L23",CF225="LIFT"),AI225&gt;0),SUMIFS($AI$7:$AI$1843,$CF$7:$CF$1843,CF225,$AM$7:$AM$1843,"&gt;"&amp;AM225)+SUMIFS($AI$7:$AI$1843,$CF$7:$CF$1843,CF225,$AM$7:$AM$1843,AM225,$BW$7:$BW$1843,"&lt;="&amp;BW225),"")</f>
        <v>7418.87225274725</v>
      </c>
      <c r="AO225" s="58" t="n">
        <f aca="false">IF(AN225="",0,MAX(0,MIN(1,(IF(CF225="L1",Parameter!$H$5,IF(CF225="L23",Parameter!$H$6+Parameter!$H$7,Parameter!$H$5+Parameter!$H$6+Parameter!$H$7))-(AN225-AI225))/AI225)))</f>
        <v>1</v>
      </c>
      <c r="AP225" s="50" t="n">
        <f aca="false">IF(LEFT(Cockpit!$I$5,1)="A",H225,IF(Parameter!$E$30="MAX-Bestand",IF(CH225=1,CI225,IF(LEFT(Cockpit!$I$5,1)="B",AV225,MAX(AV225,H225))),ROUNDUP(AT225,0)))</f>
        <v>4</v>
      </c>
      <c r="AQ225" s="50" t="n">
        <f aca="false">IF(BZ225=1,0,ROUNDUP(AP225/BY225,0))</f>
        <v>1</v>
      </c>
      <c r="AR225" s="52" t="n">
        <f aca="false">IF(CQ225&gt;0,CQ225*MAX(1,AP225/X225),IF(BZ225=1,IF(AP225&lt;=0,0,CD225*MAX(1,IF(H225&gt;0,AP225/H225,1))),IF(R225&gt;0,AQ225/R225,0))/MAX(0.1,N(Parameter!$M$21)))</f>
        <v>0.0833333333333333</v>
      </c>
      <c r="AS225" s="50" t="n">
        <f aca="false">AR225*CB225</f>
        <v>12.0833333333333</v>
      </c>
      <c r="AT225" s="51" t="n">
        <f aca="false">IF(LEFT(Cockpit!$I$5,1)="A",H225,IF(CH225=1,(CK225+CI225)/2,IF(LEFT(Cockpit!$I$5,1)="B",(CK225+AV225)/2,MAX((CK225+AV225)/2,H225))))</f>
        <v>4</v>
      </c>
      <c r="AU225" s="50" t="n">
        <f aca="false">AT225*G225</f>
        <v>2560</v>
      </c>
      <c r="AV225" s="50" t="n">
        <f aca="false">ROUNDUP(CK225+MAX(CL225,2*(J225/IF(CG225&gt;0,CG225,MAX(0.1,N(Cockpit!$I$6)))-CK225)),0)</f>
        <v>7</v>
      </c>
      <c r="AW225" s="51" t="n">
        <f aca="false">IF(AS225&gt;0,J225/AS225,-1)</f>
        <v>0.910344827586207</v>
      </c>
      <c r="AX225" s="51" t="n">
        <f aca="false">IF(AND(OR(CF225="L1",CF225="L23",CF225="LIFT"),AS225&gt;0),SUMIFS($AS$7:$AS$1843,$CF$7:$CF$1843,CF225,$AW$7:$AW$1843,"&gt;"&amp;AW225)+SUMIFS($AS$7:$AS$1843,$CF$7:$CF$1843,CF225,$AW$7:$AW$1843,AW225,$BW$7:$BW$1843,"&lt;="&amp;BW225),"")</f>
        <v>8993.31227106227</v>
      </c>
      <c r="AY225" s="58" t="n">
        <f aca="false">IF(AX225="",0,MAX(0,MIN(1,(IF(CF225="L1",Parameter!$H$5,IF(CF225="L23",Parameter!$H$6+Parameter!$H$7,Parameter!$H$5+Parameter!$H$6+Parameter!$H$7))-(AX225-AS225))/AS225)))</f>
        <v>1</v>
      </c>
      <c r="AZ225" s="50" t="n">
        <f aca="false">IF(LEFT(Cockpit!$O$5,1)="A",H225,IF(Parameter!$E$30="MAX-Bestand",IF(CH225=1,CI225,IF(LEFT(Cockpit!$O$5,1)="B",BF225,MAX(BF225,H225))),ROUNDUP(BD225,0)))</f>
        <v>4</v>
      </c>
      <c r="BA225" s="50" t="n">
        <f aca="false">IF(BZ225=1,0,ROUNDUP(AZ225/BY225,0))</f>
        <v>1</v>
      </c>
      <c r="BB225" s="52" t="n">
        <f aca="false">IF(CQ225&gt;0,CQ225*MAX(1,AZ225/X225),IF(BZ225=1,IF(AZ225&lt;=0,0,CD225*MAX(1,IF(H225&gt;0,AZ225/H225,1))),IF(R225&gt;0,BA225/R225,0))/MAX(0.1,N(Parameter!$M$21)))</f>
        <v>0.0833333333333333</v>
      </c>
      <c r="BC225" s="50" t="n">
        <f aca="false">BB225*CB225</f>
        <v>12.0833333333333</v>
      </c>
      <c r="BD225" s="51" t="n">
        <f aca="false">IF(LEFT(Cockpit!$O$5,1)="A",H225,IF(CH225=1,(CK225+CI225)/2,IF(LEFT(Cockpit!$O$5,1)="B",(CK225+BF225)/2,MAX((CK225+BF225)/2,H225))))</f>
        <v>3.5</v>
      </c>
      <c r="BE225" s="50" t="n">
        <f aca="false">BD225*G225</f>
        <v>2240</v>
      </c>
      <c r="BF225" s="50" t="n">
        <f aca="false">ROUNDUP(CK225+MAX(CL225,2*(J225/IF(CG225&gt;0,CG225,MAX(0.1,N(Cockpit!$O$6)))-CK225)),0)</f>
        <v>6</v>
      </c>
      <c r="BG225" s="51" t="n">
        <f aca="false">IF(BC225&gt;0,J225/BC225,-1)</f>
        <v>0.910344827586207</v>
      </c>
      <c r="BH225" s="51" t="n">
        <f aca="false">IF(AND(OR(CF225="L1",CF225="L23",CF225="LIFT"),BC225&gt;0),SUMIFS($BC$7:$BC$1843,$CF$7:$CF$1843,CF225,$BG$7:$BG$1843,"&gt;"&amp;BG225)+SUMIFS($BC$7:$BC$1843,$CF$7:$CF$1843,CF225,$BG$7:$BG$1843,BG225,$BW$7:$BW$1843,"&lt;="&amp;BW225),"")</f>
        <v>8191.74587912088</v>
      </c>
      <c r="BI225" s="58" t="n">
        <f aca="false">IF(BH225="",0,MAX(0,MIN(1,(IF(CF225="L1",Parameter!$H$5,IF(CF225="L23",Parameter!$H$6+Parameter!$H$7,Parameter!$H$5+Parameter!$H$6+Parameter!$H$7))-(BH225-BC225))/BC225)))</f>
        <v>1</v>
      </c>
      <c r="BJ225" s="48" t="str">
        <f aca="false">IF(AI225&lt;=0,"",IF(CF225="Aussen","Aussenlager",IF(CF225="-","Nicht im Lift",IF(AO225&gt;=1,"Lift",IF(AO225&lt;=0,"Aussenlager","teilweise")))))</f>
        <v>Lift</v>
      </c>
      <c r="BK225" s="48" t="str">
        <f aca="false">IF(AS225&lt;=0,"",IF(CF225="Aussen","Aussenlager",IF(CF225="-","Nicht im Lift",IF(AY225&gt;=1,"Lift",IF(AY225&lt;=0,"Aussenlager","teilweise")))))</f>
        <v>Lift</v>
      </c>
      <c r="BL225" s="48" t="str">
        <f aca="false">IF(BC225&lt;=0,"",IF(CF225="Aussen","Aussenlager",IF(CF225="-","Nicht im Lift",IF(BI225&gt;=1,"Lift",IF(BI225&lt;=0,"Aussenlager","teilweise")))))</f>
        <v>Lift</v>
      </c>
      <c r="BM225" s="48" t="str">
        <f aca="false">IF(A225="","",IF(BV225=1,"Neu; ","")&amp;IF(AND(BV225=0,BQ225&lt;0),"negativer Bestand (Export "&amp;BQ225&amp;"); ","")&amp;IF(J225&lt;=0,"Kein Verbrauch; ","")&amp;IF(CQ225&gt;0,"Lift "&amp;W225&amp;" lt. Liftbericht (Fach "&amp;X225&amp;" Stk); ",IF(CA225=1,"Gebinde geschätzt ("&amp;T225&amp;"); ",IF(BZ225=1,"Lose – Tablare geschätzt; ","")))&amp;IF(H225&gt;AV225,"Überbestand "&amp;ROUND(H225-AV225,0)&amp;" Stk / CHF "&amp;ROUND((H225-AV225)*G225,0)&amp;"; ","")&amp;IF(AND(CH225=1,CI225&lt;CJ225),"MAX &lt; MB+LG; ","")&amp;IF(AND(CP225&gt;0,CO225*10&gt;CP225),"zu hoch für Tablar; ","")&amp;IF(AND(BV225=0,OR(CH225=1,AA225&lt;&gt;"",U225&lt;&gt;"",V225&lt;&gt;"",AB225&lt;&gt;"")),"manuell übersteuert; ","")&amp;IF(AND(BZ225=0,R225=0),"Gebinde unbekannt / Stellmass fehlt; ","")&amp;IF(AND(BZ225=0,N(V225)&lt;=0,N(Q225)&lt;=0),"Menge pro Gebinde fehlt (Ist = 1 Gebinde); ","")&amp;BU225)</f>
        <v/>
      </c>
      <c r="BN225" s="48"/>
      <c r="BO225" s="48"/>
      <c r="BP225" s="55"/>
      <c r="BQ225" s="50" t="n">
        <v>1</v>
      </c>
      <c r="BR225" s="50" t="n">
        <v>0</v>
      </c>
      <c r="BS225" s="49" t="n">
        <v>640</v>
      </c>
      <c r="BT225" s="50" t="n">
        <v>11</v>
      </c>
      <c r="BU225" s="48"/>
      <c r="BV225" s="53" t="n">
        <v>0</v>
      </c>
      <c r="BW225" s="53" t="n">
        <v>225</v>
      </c>
      <c r="BX225" s="48" t="str">
        <f aca="false">IF(U225&lt;&gt;"",UPPER(TRIM(U225)),IF(CA225=1,UPPER(VLOOKUP(T225,Parameter!$I$27:$K$29,2,0)),IF(P225="","LOSE",P225)))</f>
        <v>S61</v>
      </c>
      <c r="BY225" s="50" t="n">
        <f aca="false">IF(BX225="LOSE",1,IF(N(V225)&gt;0,V225,IF(CA225=1,MAX(1,N(VLOOKUP(T225,Parameter!$I$27:$K$29,3,0)),H225,N(N225)),IF(N(Q225)&gt;0,Q225,MAX(1,H225)))))</f>
        <v>6</v>
      </c>
      <c r="BZ225" s="53" t="n">
        <f aca="false">IF(BX225="LOSE",1,0)</f>
        <v>0</v>
      </c>
      <c r="CA225" s="53" t="n">
        <f aca="false">IF(AND(U225="",OR(P225="",P225="LOSE"),T225&lt;&gt;"",N(S225)&lt;=0,ISNUMBER(MATCH(T225,Parameter!$I$27:$I$29,0))),1,0)</f>
        <v>0</v>
      </c>
      <c r="CB225" s="53" t="n">
        <f aca="false">IF(CQ225&gt;0,INDEX(Parameter!$H$5:$H$7,W225)/INDEX(Parameter!$E$5:$E$7,W225),IF(AND(BZ225=0,N(IFERROR(VLOOKUP(BX225,'Gebinde-Kategorie'!$A$5:$N$45,14,0),0))&gt;0),VLOOKUP(BX225,'Gebinde-Kategorie'!$A$5:$N$45,14,0)*10+Parameter!$M$23,Parameter!$M$24))</f>
        <v>145</v>
      </c>
      <c r="CC225" s="48" t="str">
        <f aca="false">IF(AND(Parameter!$B$19="Ja",E225&lt;&gt;"",ISNUMBER(MATCH(E225,Parameter!$I$35:$I$52,0))),VLOOKUP(E225,Parameter!$I$35:$J$52,2,0),IFERROR(VLOOKUP(D225,Parameter!$A$35:$C$64,2,0),"Nein"))</f>
        <v>2+3</v>
      </c>
      <c r="CD225" s="52" t="n">
        <f aca="false">IF(BZ225=0,0,IF(N(S225)&gt;0,S225,IFERROR(VLOOKUP(D225,Parameter!$A$35:$C$64,3,0)+0,0)))</f>
        <v>0</v>
      </c>
      <c r="CE225" s="48" t="n">
        <f aca="false">IF(AA225&lt;&gt;"",AA225,Z225)</f>
        <v>2</v>
      </c>
      <c r="CF225" s="48" t="str">
        <f aca="false">IF(OR(CE225=1,CE225=2,CE225=3),IF(Parameter!$E$27="Ja","LIFT",IF(CE225=1,"L1","L23")),IF(CE225="Aussen","Aussen","-"))</f>
        <v>LIFT</v>
      </c>
      <c r="CG225" s="59" t="n">
        <f aca="false">IF(N(AB225)&gt;0,AB225,0)</f>
        <v>0</v>
      </c>
      <c r="CH225" s="53" t="n">
        <f aca="false">IF(ISNUMBER(AE225),1,0)</f>
        <v>0</v>
      </c>
      <c r="CI225" s="50" t="n">
        <f aca="false">N(AE225)</f>
        <v>0</v>
      </c>
      <c r="CJ225" s="50" t="n">
        <f aca="false">N(M225)+N(N225)</f>
        <v>6</v>
      </c>
      <c r="CK225" s="50" t="n">
        <f aca="false">N(M225)</f>
        <v>1</v>
      </c>
      <c r="CL225" s="50" t="n">
        <f aca="false">N(N225)</f>
        <v>5</v>
      </c>
      <c r="CM225" s="50" t="n">
        <f aca="false">ROUNDUP(H225/BY225,0)</f>
        <v>1</v>
      </c>
      <c r="CN225" s="50" t="n">
        <f aca="false">ROUNDUP(CI225/BY225,0)</f>
        <v>0</v>
      </c>
      <c r="CO225" s="53" t="n">
        <f aca="false">IF(BZ225=1,0,IFERROR(VLOOKUP(BX225,'Gebinde-Kategorie'!$A$5:$N$45,5,0)+0,0))</f>
        <v>11</v>
      </c>
      <c r="CP225" s="53" t="n">
        <f aca="false">IFERROR(IF(OR(CE225=1,CE225=2,CE225=3),N(INDEX(Parameter!$I$5:$I$7,CE225)),0),0)</f>
        <v>0</v>
      </c>
      <c r="CQ225" s="52" t="n">
        <f aca="false">IF(AND(Parameter!$B$21="Ja",ISNUMBER(W225),N(X225)&gt;0),IFERROR(N(INDEX(Parameter!$L$5:$L$7,W225))*INDEX(Parameter!$E$5:$E$7,W225)*X225/SUMIFS($X$7:$X$1843,$W$7:$W$1843,W225),0),0)</f>
        <v>0</v>
      </c>
    </row>
    <row r="226" customFormat="false" ht="15" hidden="false" customHeight="false" outlineLevel="0" collapsed="false">
      <c r="A226" s="48" t="s">
        <v>652</v>
      </c>
      <c r="B226" s="48" t="s">
        <v>653</v>
      </c>
      <c r="C226" s="48" t="s">
        <v>173</v>
      </c>
      <c r="D226" s="48" t="s">
        <v>193</v>
      </c>
      <c r="E226" s="48" t="s">
        <v>194</v>
      </c>
      <c r="F226" s="48" t="s">
        <v>227</v>
      </c>
      <c r="G226" s="49" t="n">
        <v>7.7</v>
      </c>
      <c r="H226" s="50" t="n">
        <f aca="false">MAX(0,IF(AND(Parameter!$B$21="Ja",ISNUMBER(Y226)),Y226,IF(Parameter!$B$20="Jahresanfang 2025 + Export",BR226+BQ226,BQ226)))</f>
        <v>119</v>
      </c>
      <c r="I226" s="50" t="n">
        <f aca="false">H226*G226</f>
        <v>916.3</v>
      </c>
      <c r="J226" s="50" t="n">
        <f aca="false">BT226*Parameter!$B$18</f>
        <v>129</v>
      </c>
      <c r="K226" s="51" t="n">
        <v>37</v>
      </c>
      <c r="L226" s="52" t="n">
        <v>3.48648648648649</v>
      </c>
      <c r="M226" s="50" t="n">
        <v>7</v>
      </c>
      <c r="N226" s="50" t="n">
        <v>130</v>
      </c>
      <c r="O226" s="53" t="n">
        <v>21</v>
      </c>
      <c r="P226" s="48" t="s">
        <v>311</v>
      </c>
      <c r="Q226" s="50" t="n">
        <v>131</v>
      </c>
      <c r="R226" s="53" t="n">
        <f aca="false">IF(BZ226=1,0,IFERROR(VLOOKUP(BX226,'Gebinde-Kategorie'!$A$5:$N$45,13,0)+0,0))</f>
        <v>26</v>
      </c>
      <c r="S226" s="54"/>
      <c r="T226" s="55"/>
      <c r="U226" s="55"/>
      <c r="V226" s="55"/>
      <c r="W226" s="48"/>
      <c r="X226" s="50"/>
      <c r="Y226" s="50"/>
      <c r="Z226" s="48" t="n">
        <f aca="false">IF(A226="","",IF(AND(Parameter!$B$21="Ja",ISNUMBER(W226)),W226,IF(CC226="2+3",IF(ISNUMBER(SEARCH("grosser Artikel",BU226)),2,IFERROR(VLOOKUP(BX226,Parameter!$F$35:$G$64,2,0),2)),IF(OR(CC226="Nein",CC226=""),"-",CC226))))</f>
        <v>3</v>
      </c>
      <c r="AA226" s="55"/>
      <c r="AB226" s="56"/>
      <c r="AC226" s="50" t="n">
        <f aca="false">AV226</f>
        <v>137</v>
      </c>
      <c r="AD226" s="50" t="n">
        <f aca="false">MAX(AV226,H226)</f>
        <v>137</v>
      </c>
      <c r="AE226" s="57"/>
      <c r="AF226" s="50" t="n">
        <f aca="false">IF(LEFT(Cockpit!$C$5,1)="A",H226,IF(Parameter!$E$30="MAX-Bestand",IF(CH226=1,CI226,IF(LEFT(Cockpit!$C$5,1)="B",AL226,MAX(AL226,H226))),ROUNDUP(AJ226,0)))</f>
        <v>119</v>
      </c>
      <c r="AG226" s="50" t="n">
        <f aca="false">IF(BZ226=1,0,ROUNDUP(AF226/BY226,0))</f>
        <v>1</v>
      </c>
      <c r="AH226" s="52" t="n">
        <f aca="false">IF(CQ226&gt;0,CQ226*MAX(1,AF226/X226),IF(BZ226=1,IF(AF226&lt;=0,0,CD226*MAX(1,IF(H226&gt;0,AF226/H226,1))),IF(R226&gt;0,AG226/R226,0))/MAX(0.1,N(Parameter!$M$21)))</f>
        <v>0.0384615384615385</v>
      </c>
      <c r="AI226" s="50" t="n">
        <f aca="false">AH226*CB226</f>
        <v>5.96153846153846</v>
      </c>
      <c r="AJ226" s="51" t="n">
        <f aca="false">IF(LEFT(Cockpit!$C$5,1)="A",H226,IF(CH226=1,(CK226+CI226)/2,IF(LEFT(Cockpit!$C$5,1)="B",(CK226+AL226)/2,MAX((CK226+AL226)/2,H226))))</f>
        <v>119</v>
      </c>
      <c r="AK226" s="50" t="n">
        <f aca="false">AJ226*G226</f>
        <v>916.3</v>
      </c>
      <c r="AL226" s="50" t="n">
        <f aca="false">ROUNDUP(CK226+MAX(CL226,2*(J226/IF(CG226&gt;0,CG226,MAX(0.1,N(Cockpit!$C$6)))-CK226)),0)</f>
        <v>137</v>
      </c>
      <c r="AM226" s="51" t="n">
        <f aca="false">IF(AI226&gt;0,J226/AI226,-1)</f>
        <v>21.6387096774194</v>
      </c>
      <c r="AN226" s="51" t="n">
        <f aca="false">IF(AND(OR(CF226="L1",CF226="L23",CF226="LIFT"),AI226&gt;0),SUMIFS($AI$7:$AI$1843,$CF$7:$CF$1843,CF226,$AM$7:$AM$1843,"&gt;"&amp;AM226)+SUMIFS($AI$7:$AI$1843,$CF$7:$CF$1843,CF226,$AM$7:$AM$1843,AM226,$BW$7:$BW$1843,"&lt;="&amp;BW226),"")</f>
        <v>1619.37545787546</v>
      </c>
      <c r="AO226" s="58" t="n">
        <f aca="false">IF(AN226="",0,MAX(0,MIN(1,(IF(CF226="L1",Parameter!$H$5,IF(CF226="L23",Parameter!$H$6+Parameter!$H$7,Parameter!$H$5+Parameter!$H$6+Parameter!$H$7))-(AN226-AI226))/AI226)))</f>
        <v>1</v>
      </c>
      <c r="AP226" s="50" t="n">
        <f aca="false">IF(LEFT(Cockpit!$I$5,1)="A",H226,IF(Parameter!$E$30="MAX-Bestand",IF(CH226=1,CI226,IF(LEFT(Cockpit!$I$5,1)="B",AV226,MAX(AV226,H226))),ROUNDUP(AT226,0)))</f>
        <v>119</v>
      </c>
      <c r="AQ226" s="50" t="n">
        <f aca="false">IF(BZ226=1,0,ROUNDUP(AP226/BY226,0))</f>
        <v>1</v>
      </c>
      <c r="AR226" s="52" t="n">
        <f aca="false">IF(CQ226&gt;0,CQ226*MAX(1,AP226/X226),IF(BZ226=1,IF(AP226&lt;=0,0,CD226*MAX(1,IF(H226&gt;0,AP226/H226,1))),IF(R226&gt;0,AQ226/R226,0))/MAX(0.1,N(Parameter!$M$21)))</f>
        <v>0.0384615384615385</v>
      </c>
      <c r="AS226" s="50" t="n">
        <f aca="false">AR226*CB226</f>
        <v>5.96153846153846</v>
      </c>
      <c r="AT226" s="51" t="n">
        <f aca="false">IF(LEFT(Cockpit!$I$5,1)="A",H226,IF(CH226=1,(CK226+CI226)/2,IF(LEFT(Cockpit!$I$5,1)="B",(CK226+AV226)/2,MAX((CK226+AV226)/2,H226))))</f>
        <v>119</v>
      </c>
      <c r="AU226" s="50" t="n">
        <f aca="false">AT226*G226</f>
        <v>916.3</v>
      </c>
      <c r="AV226" s="50" t="n">
        <f aca="false">ROUNDUP(CK226+MAX(CL226,2*(J226/IF(CG226&gt;0,CG226,MAX(0.1,N(Cockpit!$I$6)))-CK226)),0)</f>
        <v>137</v>
      </c>
      <c r="AW226" s="51" t="n">
        <f aca="false">IF(AS226&gt;0,J226/AS226,-1)</f>
        <v>21.6387096774194</v>
      </c>
      <c r="AX226" s="51" t="n">
        <f aca="false">IF(AND(OR(CF226="L1",CF226="L23",CF226="LIFT"),AS226&gt;0),SUMIFS($AS$7:$AS$1843,$CF$7:$CF$1843,CF226,$AW$7:$AW$1843,"&gt;"&amp;AW226)+SUMIFS($AS$7:$AS$1843,$CF$7:$CF$1843,CF226,$AW$7:$AW$1843,AW226,$BW$7:$BW$1843,"&lt;="&amp;BW226),"")</f>
        <v>2226.68864468864</v>
      </c>
      <c r="AY226" s="58" t="n">
        <f aca="false">IF(AX226="",0,MAX(0,MIN(1,(IF(CF226="L1",Parameter!$H$5,IF(CF226="L23",Parameter!$H$6+Parameter!$H$7,Parameter!$H$5+Parameter!$H$6+Parameter!$H$7))-(AX226-AS226))/AS226)))</f>
        <v>1</v>
      </c>
      <c r="AZ226" s="50" t="n">
        <f aca="false">IF(LEFT(Cockpit!$O$5,1)="A",H226,IF(Parameter!$E$30="MAX-Bestand",IF(CH226=1,CI226,IF(LEFT(Cockpit!$O$5,1)="B",BF226,MAX(BF226,H226))),ROUNDUP(BD226,0)))</f>
        <v>72</v>
      </c>
      <c r="BA226" s="50" t="n">
        <f aca="false">IF(BZ226=1,0,ROUNDUP(AZ226/BY226,0))</f>
        <v>1</v>
      </c>
      <c r="BB226" s="52" t="n">
        <f aca="false">IF(CQ226&gt;0,CQ226*MAX(1,AZ226/X226),IF(BZ226=1,IF(AZ226&lt;=0,0,CD226*MAX(1,IF(H226&gt;0,AZ226/H226,1))),IF(R226&gt;0,BA226/R226,0))/MAX(0.1,N(Parameter!$M$21)))</f>
        <v>0.0384615384615385</v>
      </c>
      <c r="BC226" s="50" t="n">
        <f aca="false">BB226*CB226</f>
        <v>5.96153846153846</v>
      </c>
      <c r="BD226" s="51" t="n">
        <f aca="false">IF(LEFT(Cockpit!$O$5,1)="A",H226,IF(CH226=1,(CK226+CI226)/2,IF(LEFT(Cockpit!$O$5,1)="B",(CK226+BF226)/2,MAX((CK226+BF226)/2,H226))))</f>
        <v>72</v>
      </c>
      <c r="BE226" s="50" t="n">
        <f aca="false">BD226*G226</f>
        <v>554.4</v>
      </c>
      <c r="BF226" s="50" t="n">
        <f aca="false">ROUNDUP(CK226+MAX(CL226,2*(J226/IF(CG226&gt;0,CG226,MAX(0.1,N(Cockpit!$O$6)))-CK226)),0)</f>
        <v>137</v>
      </c>
      <c r="BG226" s="51" t="n">
        <f aca="false">IF(BC226&gt;0,J226/BC226,-1)</f>
        <v>21.6387096774194</v>
      </c>
      <c r="BH226" s="51" t="n">
        <f aca="false">IF(AND(OR(CF226="L1",CF226="L23",CF226="LIFT"),BC226&gt;0),SUMIFS($BC$7:$BC$1843,$CF$7:$CF$1843,CF226,$BG$7:$BG$1843,"&gt;"&amp;BG226)+SUMIFS($BC$7:$BC$1843,$CF$7:$CF$1843,CF226,$BG$7:$BG$1843,BG226,$BW$7:$BW$1843,"&lt;="&amp;BW226),"")</f>
        <v>2157.98489010989</v>
      </c>
      <c r="BI226" s="58" t="n">
        <f aca="false">IF(BH226="",0,MAX(0,MIN(1,(IF(CF226="L1",Parameter!$H$5,IF(CF226="L23",Parameter!$H$6+Parameter!$H$7,Parameter!$H$5+Parameter!$H$6+Parameter!$H$7))-(BH226-BC226))/BC226)))</f>
        <v>1</v>
      </c>
      <c r="BJ226" s="48" t="str">
        <f aca="false">IF(AI226&lt;=0,"",IF(CF226="Aussen","Aussenlager",IF(CF226="-","Nicht im Lift",IF(AO226&gt;=1,"Lift",IF(AO226&lt;=0,"Aussenlager","teilweise")))))</f>
        <v>Lift</v>
      </c>
      <c r="BK226" s="48" t="str">
        <f aca="false">IF(AS226&lt;=0,"",IF(CF226="Aussen","Aussenlager",IF(CF226="-","Nicht im Lift",IF(AY226&gt;=1,"Lift",IF(AY226&lt;=0,"Aussenlager","teilweise")))))</f>
        <v>Lift</v>
      </c>
      <c r="BL226" s="48" t="str">
        <f aca="false">IF(BC226&lt;=0,"",IF(CF226="Aussen","Aussenlager",IF(CF226="-","Nicht im Lift",IF(BI226&gt;=1,"Lift",IF(BI226&lt;=0,"Aussenlager","teilweise")))))</f>
        <v>Lift</v>
      </c>
      <c r="BM226" s="48" t="str">
        <f aca="false">IF(A226="","",IF(BV226=1,"Neu; ","")&amp;IF(AND(BV226=0,BQ226&lt;0),"negativer Bestand (Export "&amp;BQ226&amp;"); ","")&amp;IF(J226&lt;=0,"Kein Verbrauch; ","")&amp;IF(CQ226&gt;0,"Lift "&amp;W226&amp;" lt. Liftbericht (Fach "&amp;X226&amp;" Stk); ",IF(CA226=1,"Gebinde geschätzt ("&amp;T226&amp;"); ",IF(BZ226=1,"Lose – Tablare geschätzt; ","")))&amp;IF(H226&gt;AV226,"Überbestand "&amp;ROUND(H226-AV226,0)&amp;" Stk / CHF "&amp;ROUND((H226-AV226)*G226,0)&amp;"; ","")&amp;IF(AND(CH226=1,CI226&lt;CJ226),"MAX &lt; MB+LG; ","")&amp;IF(AND(CP226&gt;0,CO226*10&gt;CP226),"zu hoch für Tablar; ","")&amp;IF(AND(BV226=0,OR(CH226=1,AA226&lt;&gt;"",U226&lt;&gt;"",V226&lt;&gt;"",AB226&lt;&gt;"")),"manuell übersteuert; ","")&amp;IF(AND(BZ226=0,R226=0),"Gebinde unbekannt / Stellmass fehlt; ","")&amp;IF(AND(BZ226=0,N(V226)&lt;=0,N(Q226)&lt;=0),"Menge pro Gebinde fehlt (Ist = 1 Gebinde); ","")&amp;BU226)</f>
        <v/>
      </c>
      <c r="BN226" s="48"/>
      <c r="BO226" s="48"/>
      <c r="BP226" s="55"/>
      <c r="BQ226" s="50" t="n">
        <v>83</v>
      </c>
      <c r="BR226" s="50" t="n">
        <v>36</v>
      </c>
      <c r="BS226" s="49" t="n">
        <v>638.739999999999</v>
      </c>
      <c r="BT226" s="50" t="n">
        <v>129</v>
      </c>
      <c r="BU226" s="48"/>
      <c r="BV226" s="53" t="n">
        <v>0</v>
      </c>
      <c r="BW226" s="53" t="n">
        <v>226</v>
      </c>
      <c r="BX226" s="48" t="str">
        <f aca="false">IF(U226&lt;&gt;"",UPPER(TRIM(U226)),IF(CA226=1,UPPER(VLOOKUP(T226,Parameter!$I$27:$K$29,2,0)),IF(P226="","LOSE",P226)))</f>
        <v>S51</v>
      </c>
      <c r="BY226" s="50" t="n">
        <f aca="false">IF(BX226="LOSE",1,IF(N(V226)&gt;0,V226,IF(CA226=1,MAX(1,N(VLOOKUP(T226,Parameter!$I$27:$K$29,3,0)),H226,N(N226)),IF(N(Q226)&gt;0,Q226,MAX(1,H226)))))</f>
        <v>131</v>
      </c>
      <c r="BZ226" s="53" t="n">
        <f aca="false">IF(BX226="LOSE",1,0)</f>
        <v>0</v>
      </c>
      <c r="CA226" s="53" t="n">
        <f aca="false">IF(AND(U226="",OR(P226="",P226="LOSE"),T226&lt;&gt;"",N(S226)&lt;=0,ISNUMBER(MATCH(T226,Parameter!$I$27:$I$29,0))),1,0)</f>
        <v>0</v>
      </c>
      <c r="CB226" s="53" t="n">
        <f aca="false">IF(CQ226&gt;0,INDEX(Parameter!$H$5:$H$7,W226)/INDEX(Parameter!$E$5:$E$7,W226),IF(AND(BZ226=0,N(IFERROR(VLOOKUP(BX226,'Gebinde-Kategorie'!$A$5:$N$45,14,0),0))&gt;0),VLOOKUP(BX226,'Gebinde-Kategorie'!$A$5:$N$45,14,0)*10+Parameter!$M$23,Parameter!$M$24))</f>
        <v>155</v>
      </c>
      <c r="CC226" s="48" t="str">
        <f aca="false">IF(AND(Parameter!$B$19="Ja",E226&lt;&gt;"",ISNUMBER(MATCH(E226,Parameter!$I$35:$I$52,0))),VLOOKUP(E226,Parameter!$I$35:$J$52,2,0),IFERROR(VLOOKUP(D226,Parameter!$A$35:$C$64,2,0),"Nein"))</f>
        <v>2+3</v>
      </c>
      <c r="CD226" s="52" t="n">
        <f aca="false">IF(BZ226=0,0,IF(N(S226)&gt;0,S226,IFERROR(VLOOKUP(D226,Parameter!$A$35:$C$64,3,0)+0,0)))</f>
        <v>0</v>
      </c>
      <c r="CE226" s="48" t="n">
        <f aca="false">IF(AA226&lt;&gt;"",AA226,Z226)</f>
        <v>3</v>
      </c>
      <c r="CF226" s="48" t="str">
        <f aca="false">IF(OR(CE226=1,CE226=2,CE226=3),IF(Parameter!$E$27="Ja","LIFT",IF(CE226=1,"L1","L23")),IF(CE226="Aussen","Aussen","-"))</f>
        <v>LIFT</v>
      </c>
      <c r="CG226" s="59" t="n">
        <f aca="false">IF(N(AB226)&gt;0,AB226,0)</f>
        <v>0</v>
      </c>
      <c r="CH226" s="53" t="n">
        <f aca="false">IF(ISNUMBER(AE226),1,0)</f>
        <v>0</v>
      </c>
      <c r="CI226" s="50" t="n">
        <f aca="false">N(AE226)</f>
        <v>0</v>
      </c>
      <c r="CJ226" s="50" t="n">
        <f aca="false">N(M226)+N(N226)</f>
        <v>137</v>
      </c>
      <c r="CK226" s="50" t="n">
        <f aca="false">N(M226)</f>
        <v>7</v>
      </c>
      <c r="CL226" s="50" t="n">
        <f aca="false">N(N226)</f>
        <v>130</v>
      </c>
      <c r="CM226" s="50" t="n">
        <f aca="false">ROUNDUP(H226/BY226,0)</f>
        <v>1</v>
      </c>
      <c r="CN226" s="50" t="n">
        <f aca="false">ROUNDUP(CI226/BY226,0)</f>
        <v>0</v>
      </c>
      <c r="CO226" s="53" t="n">
        <f aca="false">IF(BZ226=1,0,IFERROR(VLOOKUP(BX226,'Gebinde-Kategorie'!$A$5:$N$45,5,0)+0,0))</f>
        <v>11</v>
      </c>
      <c r="CP226" s="53" t="n">
        <f aca="false">IFERROR(IF(OR(CE226=1,CE226=2,CE226=3),N(INDEX(Parameter!$I$5:$I$7,CE226)),0),0)</f>
        <v>0</v>
      </c>
      <c r="CQ226" s="52" t="n">
        <f aca="false">IF(AND(Parameter!$B$21="Ja",ISNUMBER(W226),N(X226)&gt;0),IFERROR(N(INDEX(Parameter!$L$5:$L$7,W226))*INDEX(Parameter!$E$5:$E$7,W226)*X226/SUMIFS($X$7:$X$1843,$W$7:$W$1843,W226),0),0)</f>
        <v>0</v>
      </c>
    </row>
    <row r="227" customFormat="false" ht="15" hidden="false" customHeight="false" outlineLevel="0" collapsed="false">
      <c r="A227" s="48" t="s">
        <v>654</v>
      </c>
      <c r="B227" s="48" t="s">
        <v>655</v>
      </c>
      <c r="C227" s="48" t="s">
        <v>173</v>
      </c>
      <c r="D227" s="48" t="s">
        <v>182</v>
      </c>
      <c r="E227" s="48" t="s">
        <v>379</v>
      </c>
      <c r="F227" s="48" t="s">
        <v>227</v>
      </c>
      <c r="G227" s="49" t="n">
        <v>245.45</v>
      </c>
      <c r="H227" s="50" t="n">
        <f aca="false">MAX(0,IF(AND(Parameter!$B$21="Ja",ISNUMBER(Y227)),Y227,IF(Parameter!$B$20="Jahresanfang 2025 + Export",BR227+BQ227,BQ227)))</f>
        <v>4</v>
      </c>
      <c r="I227" s="50" t="n">
        <f aca="false">H227*G227</f>
        <v>981.8</v>
      </c>
      <c r="J227" s="50" t="n">
        <f aca="false">BT227*Parameter!$B$18</f>
        <v>20</v>
      </c>
      <c r="K227" s="51" t="n">
        <v>1</v>
      </c>
      <c r="L227" s="52" t="n">
        <v>20</v>
      </c>
      <c r="M227" s="50" t="n">
        <v>1</v>
      </c>
      <c r="N227" s="50" t="n">
        <v>2</v>
      </c>
      <c r="O227" s="53" t="n">
        <v>14</v>
      </c>
      <c r="P227" s="48" t="s">
        <v>177</v>
      </c>
      <c r="Q227" s="50"/>
      <c r="R227" s="53" t="n">
        <f aca="false">IF(BZ227=1,0,IFERROR(VLOOKUP(BX227,'Gebinde-Kategorie'!$A$5:$N$45,13,0)+0,0))</f>
        <v>4</v>
      </c>
      <c r="S227" s="54"/>
      <c r="T227" s="55" t="s">
        <v>198</v>
      </c>
      <c r="U227" s="55"/>
      <c r="V227" s="55"/>
      <c r="W227" s="48"/>
      <c r="X227" s="50"/>
      <c r="Y227" s="50"/>
      <c r="Z227" s="48" t="str">
        <f aca="false">IF(A227="","",IF(AND(Parameter!$B$21="Ja",ISNUMBER(W227)),W227,IF(CC227="2+3",IF(ISNUMBER(SEARCH("grosser Artikel",BU227)),2,IFERROR(VLOOKUP(BX227,Parameter!$F$35:$G$64,2,0),2)),IF(OR(CC227="Nein",CC227=""),"-",CC227))))</f>
        <v>-</v>
      </c>
      <c r="AA227" s="55"/>
      <c r="AB227" s="56"/>
      <c r="AC227" s="50" t="n">
        <f aca="false">AV227</f>
        <v>13</v>
      </c>
      <c r="AD227" s="50" t="n">
        <f aca="false">MAX(AV227,H227)</f>
        <v>13</v>
      </c>
      <c r="AE227" s="57"/>
      <c r="AF227" s="50" t="n">
        <f aca="false">IF(LEFT(Cockpit!$C$5,1)="A",H227,IF(Parameter!$E$30="MAX-Bestand",IF(CH227=1,CI227,IF(LEFT(Cockpit!$C$5,1)="B",AL227,MAX(AL227,H227))),ROUNDUP(AJ227,0)))</f>
        <v>4</v>
      </c>
      <c r="AG227" s="50" t="n">
        <f aca="false">IF(BZ227=1,0,ROUNDUP(AF227/BY227,0))</f>
        <v>1</v>
      </c>
      <c r="AH227" s="52" t="n">
        <f aca="false">IF(CQ227&gt;0,CQ227*MAX(1,AF227/X227),IF(BZ227=1,IF(AF227&lt;=0,0,CD227*MAX(1,IF(H227&gt;0,AF227/H227,1))),IF(R227&gt;0,AG227/R227,0))/MAX(0.1,N(Parameter!$M$21)))</f>
        <v>0.25</v>
      </c>
      <c r="AI227" s="50" t="n">
        <f aca="false">AH227*CB227</f>
        <v>58.75</v>
      </c>
      <c r="AJ227" s="51" t="n">
        <f aca="false">IF(LEFT(Cockpit!$C$5,1)="A",H227,IF(CH227=1,(CK227+CI227)/2,IF(LEFT(Cockpit!$C$5,1)="B",(CK227+AL227)/2,MAX((CK227+AL227)/2,H227))))</f>
        <v>4</v>
      </c>
      <c r="AK227" s="50" t="n">
        <f aca="false">AJ227*G227</f>
        <v>981.8</v>
      </c>
      <c r="AL227" s="50" t="n">
        <f aca="false">ROUNDUP(CK227+MAX(CL227,2*(J227/IF(CG227&gt;0,CG227,MAX(0.1,N(Cockpit!$C$6)))-CK227)),0)</f>
        <v>13</v>
      </c>
      <c r="AM227" s="51" t="n">
        <f aca="false">IF(AI227&gt;0,J227/AI227,-1)</f>
        <v>0.340425531914894</v>
      </c>
      <c r="AN227" s="51" t="str">
        <f aca="false">IF(AND(OR(CF227="L1",CF227="L23",CF227="LIFT"),AI227&gt;0),SUMIFS($AI$7:$AI$1843,$CF$7:$CF$1843,CF227,$AM$7:$AM$1843,"&gt;"&amp;AM227)+SUMIFS($AI$7:$AI$1843,$CF$7:$CF$1843,CF227,$AM$7:$AM$1843,AM227,$BW$7:$BW$1843,"&lt;="&amp;BW227),"")</f>
        <v/>
      </c>
      <c r="AO227" s="58" t="n">
        <f aca="false">IF(AN227="",0,MAX(0,MIN(1,(IF(CF227="L1",Parameter!$H$5,IF(CF227="L23",Parameter!$H$6+Parameter!$H$7,Parameter!$H$5+Parameter!$H$6+Parameter!$H$7))-(AN227-AI227))/AI227)))</f>
        <v>0</v>
      </c>
      <c r="AP227" s="50" t="n">
        <f aca="false">IF(LEFT(Cockpit!$I$5,1)="A",H227,IF(Parameter!$E$30="MAX-Bestand",IF(CH227=1,CI227,IF(LEFT(Cockpit!$I$5,1)="B",AV227,MAX(AV227,H227))),ROUNDUP(AT227,0)))</f>
        <v>7</v>
      </c>
      <c r="AQ227" s="50" t="n">
        <f aca="false">IF(BZ227=1,0,ROUNDUP(AP227/BY227,0))</f>
        <v>2</v>
      </c>
      <c r="AR227" s="52" t="n">
        <f aca="false">IF(CQ227&gt;0,CQ227*MAX(1,AP227/X227),IF(BZ227=1,IF(AP227&lt;=0,0,CD227*MAX(1,IF(H227&gt;0,AP227/H227,1))),IF(R227&gt;0,AQ227/R227,0))/MAX(0.1,N(Parameter!$M$21)))</f>
        <v>0.5</v>
      </c>
      <c r="AS227" s="50" t="n">
        <f aca="false">AR227*CB227</f>
        <v>117.5</v>
      </c>
      <c r="AT227" s="51" t="n">
        <f aca="false">IF(LEFT(Cockpit!$I$5,1)="A",H227,IF(CH227=1,(CK227+CI227)/2,IF(LEFT(Cockpit!$I$5,1)="B",(CK227+AV227)/2,MAX((CK227+AV227)/2,H227))))</f>
        <v>7</v>
      </c>
      <c r="AU227" s="50" t="n">
        <f aca="false">AT227*G227</f>
        <v>1718.15</v>
      </c>
      <c r="AV227" s="50" t="n">
        <f aca="false">ROUNDUP(CK227+MAX(CL227,2*(J227/IF(CG227&gt;0,CG227,MAX(0.1,N(Cockpit!$I$6)))-CK227)),0)</f>
        <v>13</v>
      </c>
      <c r="AW227" s="51" t="n">
        <f aca="false">IF(AS227&gt;0,J227/AS227,-1)</f>
        <v>0.170212765957447</v>
      </c>
      <c r="AX227" s="51" t="str">
        <f aca="false">IF(AND(OR(CF227="L1",CF227="L23",CF227="LIFT"),AS227&gt;0),SUMIFS($AS$7:$AS$1843,$CF$7:$CF$1843,CF227,$AW$7:$AW$1843,"&gt;"&amp;AW227)+SUMIFS($AS$7:$AS$1843,$CF$7:$CF$1843,CF227,$AW$7:$AW$1843,AW227,$BW$7:$BW$1843,"&lt;="&amp;BW227),"")</f>
        <v/>
      </c>
      <c r="AY227" s="58" t="n">
        <f aca="false">IF(AX227="",0,MAX(0,MIN(1,(IF(CF227="L1",Parameter!$H$5,IF(CF227="L23",Parameter!$H$6+Parameter!$H$7,Parameter!$H$5+Parameter!$H$6+Parameter!$H$7))-(AX227-AS227))/AS227)))</f>
        <v>0</v>
      </c>
      <c r="AZ227" s="50" t="n">
        <f aca="false">IF(LEFT(Cockpit!$O$5,1)="A",H227,IF(Parameter!$E$30="MAX-Bestand",IF(CH227=1,CI227,IF(LEFT(Cockpit!$O$5,1)="B",BF227,MAX(BF227,H227))),ROUNDUP(BD227,0)))</f>
        <v>5</v>
      </c>
      <c r="BA227" s="50" t="n">
        <f aca="false">IF(BZ227=1,0,ROUNDUP(AZ227/BY227,0))</f>
        <v>2</v>
      </c>
      <c r="BB227" s="52" t="n">
        <f aca="false">IF(CQ227&gt;0,CQ227*MAX(1,AZ227/X227),IF(BZ227=1,IF(AZ227&lt;=0,0,CD227*MAX(1,IF(H227&gt;0,AZ227/H227,1))),IF(R227&gt;0,BA227/R227,0))/MAX(0.1,N(Parameter!$M$21)))</f>
        <v>0.5</v>
      </c>
      <c r="BC227" s="50" t="n">
        <f aca="false">BB227*CB227</f>
        <v>117.5</v>
      </c>
      <c r="BD227" s="51" t="n">
        <f aca="false">IF(LEFT(Cockpit!$O$5,1)="A",H227,IF(CH227=1,(CK227+CI227)/2,IF(LEFT(Cockpit!$O$5,1)="B",(CK227+BF227)/2,MAX((CK227+BF227)/2,H227))))</f>
        <v>5</v>
      </c>
      <c r="BE227" s="50" t="n">
        <f aca="false">BD227*G227</f>
        <v>1227.25</v>
      </c>
      <c r="BF227" s="50" t="n">
        <f aca="false">ROUNDUP(CK227+MAX(CL227,2*(J227/IF(CG227&gt;0,CG227,MAX(0.1,N(Cockpit!$O$6)))-CK227)),0)</f>
        <v>9</v>
      </c>
      <c r="BG227" s="51" t="n">
        <f aca="false">IF(BC227&gt;0,J227/BC227,-1)</f>
        <v>0.170212765957447</v>
      </c>
      <c r="BH227" s="51" t="str">
        <f aca="false">IF(AND(OR(CF227="L1",CF227="L23",CF227="LIFT"),BC227&gt;0),SUMIFS($BC$7:$BC$1843,$CF$7:$CF$1843,CF227,$BG$7:$BG$1843,"&gt;"&amp;BG227)+SUMIFS($BC$7:$BC$1843,$CF$7:$CF$1843,CF227,$BG$7:$BG$1843,BG227,$BW$7:$BW$1843,"&lt;="&amp;BW227),"")</f>
        <v/>
      </c>
      <c r="BI227" s="58" t="n">
        <f aca="false">IF(BH227="",0,MAX(0,MIN(1,(IF(CF227="L1",Parameter!$H$5,IF(CF227="L23",Parameter!$H$6+Parameter!$H$7,Parameter!$H$5+Parameter!$H$6+Parameter!$H$7))-(BH227-BC227))/BC227)))</f>
        <v>0</v>
      </c>
      <c r="BJ227" s="48" t="str">
        <f aca="false">IF(AI227&lt;=0,"",IF(CF227="Aussen","Aussenlager",IF(CF227="-","Nicht im Lift",IF(AO227&gt;=1,"Lift",IF(AO227&lt;=0,"Aussenlager","teilweise")))))</f>
        <v>Nicht im Lift</v>
      </c>
      <c r="BK227" s="48" t="str">
        <f aca="false">IF(AS227&lt;=0,"",IF(CF227="Aussen","Aussenlager",IF(CF227="-","Nicht im Lift",IF(AY227&gt;=1,"Lift",IF(AY227&lt;=0,"Aussenlager","teilweise")))))</f>
        <v>Nicht im Lift</v>
      </c>
      <c r="BL227" s="48" t="str">
        <f aca="false">IF(BC227&lt;=0,"",IF(CF227="Aussen","Aussenlager",IF(CF227="-","Nicht im Lift",IF(BI227&gt;=1,"Lift",IF(BI227&lt;=0,"Aussenlager","teilweise")))))</f>
        <v>Nicht im Lift</v>
      </c>
      <c r="BM227" s="48" t="str">
        <f aca="false">IF(A227="","",IF(BV227=1,"Neu; ","")&amp;IF(AND(BV227=0,BQ227&lt;0),"negativer Bestand (Export "&amp;BQ227&amp;"); ","")&amp;IF(J227&lt;=0,"Kein Verbrauch; ","")&amp;IF(CQ227&gt;0,"Lift "&amp;W227&amp;" lt. Liftbericht (Fach "&amp;X227&amp;" Stk); ",IF(CA227=1,"Gebinde geschätzt ("&amp;T227&amp;"); ",IF(BZ227=1,"Lose – Tablare geschätzt; ","")))&amp;IF(H227&gt;AV227,"Überbestand "&amp;ROUND(H227-AV227,0)&amp;" Stk / CHF "&amp;ROUND((H227-AV227)*G227,0)&amp;"; ","")&amp;IF(AND(CH227=1,CI227&lt;CJ227),"MAX &lt; MB+LG; ","")&amp;IF(AND(CP227&gt;0,CO227*10&gt;CP227),"zu hoch für Tablar; ","")&amp;IF(AND(BV227=0,OR(CH227=1,AA227&lt;&gt;"",U227&lt;&gt;"",V227&lt;&gt;"",AB227&lt;&gt;"")),"manuell übersteuert; ","")&amp;IF(AND(BZ227=0,R227=0),"Gebinde unbekannt / Stellmass fehlt; ","")&amp;IF(AND(BZ227=0,N(V227)&lt;=0,N(Q227)&lt;=0),"Menge pro Gebinde fehlt (Ist = 1 Gebinde); ","")&amp;BU227)</f>
        <v>Gebinde geschätzt (Gross); Menge pro Gebinde fehlt (Ist = 1 Gebinde); </v>
      </c>
      <c r="BN227" s="48"/>
      <c r="BO227" s="48"/>
      <c r="BP227" s="55"/>
      <c r="BQ227" s="50" t="n">
        <v>2</v>
      </c>
      <c r="BR227" s="50" t="n">
        <v>2</v>
      </c>
      <c r="BS227" s="49" t="n">
        <v>636.5</v>
      </c>
      <c r="BT227" s="50" t="n">
        <v>20</v>
      </c>
      <c r="BU227" s="48"/>
      <c r="BV227" s="53" t="n">
        <v>0</v>
      </c>
      <c r="BW227" s="53" t="n">
        <v>227</v>
      </c>
      <c r="BX227" s="48" t="str">
        <f aca="false">IF(U227&lt;&gt;"",UPPER(TRIM(U227)),IF(CA227=1,UPPER(VLOOKUP(T227,Parameter!$I$27:$K$29,2,0)),IF(P227="","LOSE",P227)))</f>
        <v>S81</v>
      </c>
      <c r="BY227" s="50" t="n">
        <f aca="false">IF(BX227="LOSE",1,IF(N(V227)&gt;0,V227,IF(CA227=1,MAX(1,N(VLOOKUP(T227,Parameter!$I$27:$K$29,3,0)),H227,N(N227)),IF(N(Q227)&gt;0,Q227,MAX(1,H227)))))</f>
        <v>4</v>
      </c>
      <c r="BZ227" s="53" t="n">
        <f aca="false">IF(BX227="LOSE",1,0)</f>
        <v>0</v>
      </c>
      <c r="CA227" s="53" t="n">
        <f aca="false">IF(AND(U227="",OR(P227="",P227="LOSE"),T227&lt;&gt;"",N(S227)&lt;=0,ISNUMBER(MATCH(T227,Parameter!$I$27:$I$29,0))),1,0)</f>
        <v>1</v>
      </c>
      <c r="CB227" s="53" t="n">
        <f aca="false">IF(CQ227&gt;0,INDEX(Parameter!$H$5:$H$7,W227)/INDEX(Parameter!$E$5:$E$7,W227),IF(AND(BZ227=0,N(IFERROR(VLOOKUP(BX227,'Gebinde-Kategorie'!$A$5:$N$45,14,0),0))&gt;0),VLOOKUP(BX227,'Gebinde-Kategorie'!$A$5:$N$45,14,0)*10+Parameter!$M$23,Parameter!$M$24))</f>
        <v>235</v>
      </c>
      <c r="CC227" s="48" t="str">
        <f aca="false">IF(AND(Parameter!$B$19="Ja",E227&lt;&gt;"",ISNUMBER(MATCH(E227,Parameter!$I$35:$I$52,0))),VLOOKUP(E227,Parameter!$I$35:$J$52,2,0),IFERROR(VLOOKUP(D227,Parameter!$A$35:$C$64,2,0),"Nein"))</f>
        <v>Nein</v>
      </c>
      <c r="CD227" s="52" t="n">
        <f aca="false">IF(BZ227=0,0,IF(N(S227)&gt;0,S227,IFERROR(VLOOKUP(D227,Parameter!$A$35:$C$64,3,0)+0,0)))</f>
        <v>0</v>
      </c>
      <c r="CE227" s="48" t="str">
        <f aca="false">IF(AA227&lt;&gt;"",AA227,Z227)</f>
        <v>-</v>
      </c>
      <c r="CF227" s="48" t="str">
        <f aca="false">IF(OR(CE227=1,CE227=2,CE227=3),IF(Parameter!$E$27="Ja","LIFT",IF(CE227=1,"L1","L23")),IF(CE227="Aussen","Aussen","-"))</f>
        <v>-</v>
      </c>
      <c r="CG227" s="59" t="n">
        <f aca="false">IF(N(AB227)&gt;0,AB227,0)</f>
        <v>0</v>
      </c>
      <c r="CH227" s="53" t="n">
        <f aca="false">IF(ISNUMBER(AE227),1,0)</f>
        <v>0</v>
      </c>
      <c r="CI227" s="50" t="n">
        <f aca="false">N(AE227)</f>
        <v>0</v>
      </c>
      <c r="CJ227" s="50" t="n">
        <f aca="false">N(M227)+N(N227)</f>
        <v>3</v>
      </c>
      <c r="CK227" s="50" t="n">
        <f aca="false">N(M227)</f>
        <v>1</v>
      </c>
      <c r="CL227" s="50" t="n">
        <f aca="false">N(N227)</f>
        <v>2</v>
      </c>
      <c r="CM227" s="50" t="n">
        <f aca="false">ROUNDUP(H227/BY227,0)</f>
        <v>1</v>
      </c>
      <c r="CN227" s="50" t="n">
        <f aca="false">ROUNDUP(CI227/BY227,0)</f>
        <v>0</v>
      </c>
      <c r="CO227" s="53" t="n">
        <f aca="false">IF(BZ227=1,0,IFERROR(VLOOKUP(BX227,'Gebinde-Kategorie'!$A$5:$N$45,5,0)+0,0))</f>
        <v>20</v>
      </c>
      <c r="CP227" s="53" t="n">
        <f aca="false">IFERROR(IF(OR(CE227=1,CE227=2,CE227=3),N(INDEX(Parameter!$I$5:$I$7,CE227)),0),0)</f>
        <v>0</v>
      </c>
      <c r="CQ227" s="52" t="n">
        <f aca="false">IF(AND(Parameter!$B$21="Ja",ISNUMBER(W227),N(X227)&gt;0),IFERROR(N(INDEX(Parameter!$L$5:$L$7,W227))*INDEX(Parameter!$E$5:$E$7,W227)*X227/SUMIFS($X$7:$X$1843,$W$7:$W$1843,W227),0),0)</f>
        <v>0</v>
      </c>
    </row>
    <row r="228" customFormat="false" ht="15" hidden="false" customHeight="false" outlineLevel="0" collapsed="false">
      <c r="A228" s="48" t="s">
        <v>656</v>
      </c>
      <c r="B228" s="48" t="s">
        <v>555</v>
      </c>
      <c r="C228" s="48" t="s">
        <v>173</v>
      </c>
      <c r="D228" s="48" t="s">
        <v>193</v>
      </c>
      <c r="E228" s="48"/>
      <c r="F228" s="48" t="s">
        <v>227</v>
      </c>
      <c r="G228" s="49" t="n">
        <v>15.33</v>
      </c>
      <c r="H228" s="50" t="n">
        <f aca="false">MAX(0,IF(AND(Parameter!$B$21="Ja",ISNUMBER(Y228)),Y228,IF(Parameter!$B$20="Jahresanfang 2025 + Export",BR228+BQ228,BQ228)))</f>
        <v>40</v>
      </c>
      <c r="I228" s="50" t="n">
        <f aca="false">H228*G228</f>
        <v>613.2</v>
      </c>
      <c r="J228" s="50" t="n">
        <f aca="false">BT228*Parameter!$B$18</f>
        <v>0</v>
      </c>
      <c r="K228" s="51" t="n">
        <v>0</v>
      </c>
      <c r="L228" s="52" t="n">
        <v>0</v>
      </c>
      <c r="M228" s="50" t="n">
        <v>0</v>
      </c>
      <c r="N228" s="50" t="n">
        <v>1</v>
      </c>
      <c r="O228" s="53" t="n">
        <v>9999</v>
      </c>
      <c r="P228" s="48" t="s">
        <v>177</v>
      </c>
      <c r="Q228" s="50"/>
      <c r="R228" s="53" t="n">
        <f aca="false">IF(BZ228=1,0,IFERROR(VLOOKUP(BX228,'Gebinde-Kategorie'!$A$5:$N$45,13,0)+0,0))</f>
        <v>26</v>
      </c>
      <c r="S228" s="54"/>
      <c r="T228" s="55" t="s">
        <v>284</v>
      </c>
      <c r="U228" s="55"/>
      <c r="V228" s="55"/>
      <c r="W228" s="48"/>
      <c r="X228" s="50"/>
      <c r="Y228" s="50"/>
      <c r="Z228" s="48" t="n">
        <f aca="false">IF(A228="","",IF(AND(Parameter!$B$21="Ja",ISNUMBER(W228)),W228,IF(CC228="2+3",IF(ISNUMBER(SEARCH("grosser Artikel",BU228)),2,IFERROR(VLOOKUP(BX228,Parameter!$F$35:$G$64,2,0),2)),IF(OR(CC228="Nein",CC228=""),"-",CC228))))</f>
        <v>3</v>
      </c>
      <c r="AA228" s="55"/>
      <c r="AB228" s="56"/>
      <c r="AC228" s="50" t="n">
        <f aca="false">AV228</f>
        <v>1</v>
      </c>
      <c r="AD228" s="50" t="n">
        <f aca="false">MAX(AV228,H228)</f>
        <v>40</v>
      </c>
      <c r="AE228" s="57"/>
      <c r="AF228" s="50" t="n">
        <f aca="false">IF(LEFT(Cockpit!$C$5,1)="A",H228,IF(Parameter!$E$30="MAX-Bestand",IF(CH228=1,CI228,IF(LEFT(Cockpit!$C$5,1)="B",AL228,MAX(AL228,H228))),ROUNDUP(AJ228,0)))</f>
        <v>40</v>
      </c>
      <c r="AG228" s="50" t="n">
        <f aca="false">IF(BZ228=1,0,ROUNDUP(AF228/BY228,0))</f>
        <v>1</v>
      </c>
      <c r="AH228" s="52" t="n">
        <f aca="false">IF(CQ228&gt;0,CQ228*MAX(1,AF228/X228),IF(BZ228=1,IF(AF228&lt;=0,0,CD228*MAX(1,IF(H228&gt;0,AF228/H228,1))),IF(R228&gt;0,AG228/R228,0))/MAX(0.1,N(Parameter!$M$21)))</f>
        <v>0.0384615384615385</v>
      </c>
      <c r="AI228" s="50" t="n">
        <f aca="false">AH228*CB228</f>
        <v>5.96153846153846</v>
      </c>
      <c r="AJ228" s="51" t="n">
        <f aca="false">IF(LEFT(Cockpit!$C$5,1)="A",H228,IF(CH228=1,(CK228+CI228)/2,IF(LEFT(Cockpit!$C$5,1)="B",(CK228+AL228)/2,MAX((CK228+AL228)/2,H228))))</f>
        <v>40</v>
      </c>
      <c r="AK228" s="50" t="n">
        <f aca="false">AJ228*G228</f>
        <v>613.2</v>
      </c>
      <c r="AL228" s="50" t="n">
        <f aca="false">ROUNDUP(CK228+MAX(CL228,2*(J228/IF(CG228&gt;0,CG228,MAX(0.1,N(Cockpit!$C$6)))-CK228)),0)</f>
        <v>1</v>
      </c>
      <c r="AM228" s="51" t="n">
        <f aca="false">IF(AI228&gt;0,J228/AI228,-1)</f>
        <v>0</v>
      </c>
      <c r="AN228" s="51" t="n">
        <f aca="false">IF(AND(OR(CF228="L1",CF228="L23",CF228="LIFT"),AI228&gt;0),SUMIFS($AI$7:$AI$1843,$CF$7:$CF$1843,CF228,$AM$7:$AM$1843,"&gt;"&amp;AM228)+SUMIFS($AI$7:$AI$1843,$CF$7:$CF$1843,CF228,$AM$7:$AM$1843,AM228,$BW$7:$BW$1843,"&lt;="&amp;BW228),"")</f>
        <v>27621.3889044101</v>
      </c>
      <c r="AO228" s="58" t="n">
        <f aca="false">IF(AN228="",0,MAX(0,MIN(1,(IF(CF228="L1",Parameter!$H$5,IF(CF228="L23",Parameter!$H$6+Parameter!$H$7,Parameter!$H$5+Parameter!$H$6+Parameter!$H$7))-(AN228-AI228))/AI228)))</f>
        <v>1</v>
      </c>
      <c r="AP228" s="50" t="n">
        <f aca="false">IF(LEFT(Cockpit!$I$5,1)="A",H228,IF(Parameter!$E$30="MAX-Bestand",IF(CH228=1,CI228,IF(LEFT(Cockpit!$I$5,1)="B",AV228,MAX(AV228,H228))),ROUNDUP(AT228,0)))</f>
        <v>40</v>
      </c>
      <c r="AQ228" s="50" t="n">
        <f aca="false">IF(BZ228=1,0,ROUNDUP(AP228/BY228,0))</f>
        <v>1</v>
      </c>
      <c r="AR228" s="52" t="n">
        <f aca="false">IF(CQ228&gt;0,CQ228*MAX(1,AP228/X228),IF(BZ228=1,IF(AP228&lt;=0,0,CD228*MAX(1,IF(H228&gt;0,AP228/H228,1))),IF(R228&gt;0,AQ228/R228,0))/MAX(0.1,N(Parameter!$M$21)))</f>
        <v>0.0384615384615385</v>
      </c>
      <c r="AS228" s="50" t="n">
        <f aca="false">AR228*CB228</f>
        <v>5.96153846153846</v>
      </c>
      <c r="AT228" s="51" t="n">
        <f aca="false">IF(LEFT(Cockpit!$I$5,1)="A",H228,IF(CH228=1,(CK228+CI228)/2,IF(LEFT(Cockpit!$I$5,1)="B",(CK228+AV228)/2,MAX((CK228+AV228)/2,H228))))</f>
        <v>40</v>
      </c>
      <c r="AU228" s="50" t="n">
        <f aca="false">AT228*G228</f>
        <v>613.2</v>
      </c>
      <c r="AV228" s="50" t="n">
        <f aca="false">ROUNDUP(CK228+MAX(CL228,2*(J228/IF(CG228&gt;0,CG228,MAX(0.1,N(Cockpit!$I$6)))-CK228)),0)</f>
        <v>1</v>
      </c>
      <c r="AW228" s="51" t="n">
        <f aca="false">IF(AS228&gt;0,J228/AS228,-1)</f>
        <v>0</v>
      </c>
      <c r="AX228" s="51" t="n">
        <f aca="false">IF(AND(OR(CF228="L1",CF228="L23",CF228="LIFT"),AS228&gt;0),SUMIFS($AS$7:$AS$1843,$CF$7:$CF$1843,CF228,$AW$7:$AW$1843,"&gt;"&amp;AW228)+SUMIFS($AS$7:$AS$1843,$CF$7:$CF$1843,CF228,$AW$7:$AW$1843,AW228,$BW$7:$BW$1843,"&lt;="&amp;BW228),"")</f>
        <v>32974.5375457875</v>
      </c>
      <c r="AY228" s="58" t="n">
        <f aca="false">IF(AX228="",0,MAX(0,MIN(1,(IF(CF228="L1",Parameter!$H$5,IF(CF228="L23",Parameter!$H$6+Parameter!$H$7,Parameter!$H$5+Parameter!$H$6+Parameter!$H$7))-(AX228-AS228))/AS228)))</f>
        <v>1</v>
      </c>
      <c r="AZ228" s="50" t="n">
        <f aca="false">IF(LEFT(Cockpit!$O$5,1)="A",H228,IF(Parameter!$E$30="MAX-Bestand",IF(CH228=1,CI228,IF(LEFT(Cockpit!$O$5,1)="B",BF228,MAX(BF228,H228))),ROUNDUP(BD228,0)))</f>
        <v>1</v>
      </c>
      <c r="BA228" s="50" t="n">
        <f aca="false">IF(BZ228=1,0,ROUNDUP(AZ228/BY228,0))</f>
        <v>1</v>
      </c>
      <c r="BB228" s="52" t="n">
        <f aca="false">IF(CQ228&gt;0,CQ228*MAX(1,AZ228/X228),IF(BZ228=1,IF(AZ228&lt;=0,0,CD228*MAX(1,IF(H228&gt;0,AZ228/H228,1))),IF(R228&gt;0,BA228/R228,0))/MAX(0.1,N(Parameter!$M$21)))</f>
        <v>0.0384615384615385</v>
      </c>
      <c r="BC228" s="50" t="n">
        <f aca="false">BB228*CB228</f>
        <v>5.96153846153846</v>
      </c>
      <c r="BD228" s="51" t="n">
        <f aca="false">IF(LEFT(Cockpit!$O$5,1)="A",H228,IF(CH228=1,(CK228+CI228)/2,IF(LEFT(Cockpit!$O$5,1)="B",(CK228+BF228)/2,MAX((CK228+BF228)/2,H228))))</f>
        <v>0.5</v>
      </c>
      <c r="BE228" s="50" t="n">
        <f aca="false">BD228*G228</f>
        <v>7.665</v>
      </c>
      <c r="BF228" s="50" t="n">
        <f aca="false">ROUNDUP(CK228+MAX(CL228,2*(J228/IF(CG228&gt;0,CG228,MAX(0.1,N(Cockpit!$O$6)))-CK228)),0)</f>
        <v>1</v>
      </c>
      <c r="BG228" s="51" t="n">
        <f aca="false">IF(BC228&gt;0,J228/BC228,-1)</f>
        <v>0</v>
      </c>
      <c r="BH228" s="51" t="n">
        <f aca="false">IF(AND(OR(CF228="L1",CF228="L23",CF228="LIFT"),BC228&gt;0),SUMIFS($BC$7:$BC$1843,$CF$7:$CF$1843,CF228,$BG$7:$BG$1843,"&gt;"&amp;BG228)+SUMIFS($BC$7:$BC$1843,$CF$7:$CF$1843,CF228,$BG$7:$BG$1843,BG228,$BW$7:$BW$1843,"&lt;="&amp;BW228),"")</f>
        <v>27129.3565685727</v>
      </c>
      <c r="BI228" s="58" t="n">
        <f aca="false">IF(BH228="",0,MAX(0,MIN(1,(IF(CF228="L1",Parameter!$H$5,IF(CF228="L23",Parameter!$H$6+Parameter!$H$7,Parameter!$H$5+Parameter!$H$6+Parameter!$H$7))-(BH228-BC228))/BC228)))</f>
        <v>1</v>
      </c>
      <c r="BJ228" s="48" t="str">
        <f aca="false">IF(AI228&lt;=0,"",IF(CF228="Aussen","Aussenlager",IF(CF228="-","Nicht im Lift",IF(AO228&gt;=1,"Lift",IF(AO228&lt;=0,"Aussenlager","teilweise")))))</f>
        <v>Lift</v>
      </c>
      <c r="BK228" s="48" t="str">
        <f aca="false">IF(AS228&lt;=0,"",IF(CF228="Aussen","Aussenlager",IF(CF228="-","Nicht im Lift",IF(AY228&gt;=1,"Lift",IF(AY228&lt;=0,"Aussenlager","teilweise")))))</f>
        <v>Lift</v>
      </c>
      <c r="BL228" s="48" t="str">
        <f aca="false">IF(BC228&lt;=0,"",IF(CF228="Aussen","Aussenlager",IF(CF228="-","Nicht im Lift",IF(BI228&gt;=1,"Lift",IF(BI228&lt;=0,"Aussenlager","teilweise")))))</f>
        <v>Lift</v>
      </c>
      <c r="BM228" s="48" t="str">
        <f aca="false">IF(A228="","",IF(BV228=1,"Neu; ","")&amp;IF(AND(BV228=0,BQ228&lt;0),"negativer Bestand (Export "&amp;BQ228&amp;"); ","")&amp;IF(J228&lt;=0,"Kein Verbrauch; ","")&amp;IF(CQ228&gt;0,"Lift "&amp;W228&amp;" lt. Liftbericht (Fach "&amp;X228&amp;" Stk); ",IF(CA228=1,"Gebinde geschätzt ("&amp;T228&amp;"); ",IF(BZ228=1,"Lose – Tablare geschätzt; ","")))&amp;IF(H228&gt;AV228,"Überbestand "&amp;ROUND(H228-AV228,0)&amp;" Stk / CHF "&amp;ROUND((H228-AV228)*G228,0)&amp;"; ","")&amp;IF(AND(CH228=1,CI228&lt;CJ228),"MAX &lt; MB+LG; ","")&amp;IF(AND(CP228&gt;0,CO228*10&gt;CP228),"zu hoch für Tablar; ","")&amp;IF(AND(BV228=0,OR(CH228=1,AA228&lt;&gt;"",U228&lt;&gt;"",V228&lt;&gt;"",AB228&lt;&gt;"")),"manuell übersteuert; ","")&amp;IF(AND(BZ228=0,R228=0),"Gebinde unbekannt / Stellmass fehlt; ","")&amp;IF(AND(BZ228=0,N(V228)&lt;=0,N(Q228)&lt;=0),"Menge pro Gebinde fehlt (Ist = 1 Gebinde); ","")&amp;BU228)</f>
        <v>Kein Verbrauch; Gebinde geschätzt (Klein); Überbestand 39 Stk / CHF 598; Menge pro Gebinde fehlt (Ist = 1 Gebinde); </v>
      </c>
      <c r="BN228" s="48"/>
      <c r="BO228" s="48"/>
      <c r="BP228" s="55"/>
      <c r="BQ228" s="50" t="n">
        <v>40</v>
      </c>
      <c r="BR228" s="50" t="n">
        <v>0</v>
      </c>
      <c r="BS228" s="49" t="n">
        <v>613.2</v>
      </c>
      <c r="BT228" s="50" t="n">
        <v>0</v>
      </c>
      <c r="BU228" s="48"/>
      <c r="BV228" s="53" t="n">
        <v>0</v>
      </c>
      <c r="BW228" s="53" t="n">
        <v>228</v>
      </c>
      <c r="BX228" s="48" t="str">
        <f aca="false">IF(U228&lt;&gt;"",UPPER(TRIM(U228)),IF(CA228=1,UPPER(VLOOKUP(T228,Parameter!$I$27:$K$29,2,0)),IF(P228="","LOSE",P228)))</f>
        <v>S51</v>
      </c>
      <c r="BY228" s="50" t="n">
        <f aca="false">IF(BX228="LOSE",1,IF(N(V228)&gt;0,V228,IF(CA228=1,MAX(1,N(VLOOKUP(T228,Parameter!$I$27:$K$29,3,0)),H228,N(N228)),IF(N(Q228)&gt;0,Q228,MAX(1,H228)))))</f>
        <v>40</v>
      </c>
      <c r="BZ228" s="53" t="n">
        <f aca="false">IF(BX228="LOSE",1,0)</f>
        <v>0</v>
      </c>
      <c r="CA228" s="53" t="n">
        <f aca="false">IF(AND(U228="",OR(P228="",P228="LOSE"),T228&lt;&gt;"",N(S228)&lt;=0,ISNUMBER(MATCH(T228,Parameter!$I$27:$I$29,0))),1,0)</f>
        <v>1</v>
      </c>
      <c r="CB228" s="53" t="n">
        <f aca="false">IF(CQ228&gt;0,INDEX(Parameter!$H$5:$H$7,W228)/INDEX(Parameter!$E$5:$E$7,W228),IF(AND(BZ228=0,N(IFERROR(VLOOKUP(BX228,'Gebinde-Kategorie'!$A$5:$N$45,14,0),0))&gt;0),VLOOKUP(BX228,'Gebinde-Kategorie'!$A$5:$N$45,14,0)*10+Parameter!$M$23,Parameter!$M$24))</f>
        <v>155</v>
      </c>
      <c r="CC228" s="48" t="str">
        <f aca="false">IF(AND(Parameter!$B$19="Ja",E228&lt;&gt;"",ISNUMBER(MATCH(E228,Parameter!$I$35:$I$52,0))),VLOOKUP(E228,Parameter!$I$35:$J$52,2,0),IFERROR(VLOOKUP(D228,Parameter!$A$35:$C$64,2,0),"Nein"))</f>
        <v>2+3</v>
      </c>
      <c r="CD228" s="52" t="n">
        <f aca="false">IF(BZ228=0,0,IF(N(S228)&gt;0,S228,IFERROR(VLOOKUP(D228,Parameter!$A$35:$C$64,3,0)+0,0)))</f>
        <v>0</v>
      </c>
      <c r="CE228" s="48" t="n">
        <f aca="false">IF(AA228&lt;&gt;"",AA228,Z228)</f>
        <v>3</v>
      </c>
      <c r="CF228" s="48" t="str">
        <f aca="false">IF(OR(CE228=1,CE228=2,CE228=3),IF(Parameter!$E$27="Ja","LIFT",IF(CE228=1,"L1","L23")),IF(CE228="Aussen","Aussen","-"))</f>
        <v>LIFT</v>
      </c>
      <c r="CG228" s="59" t="n">
        <f aca="false">IF(N(AB228)&gt;0,AB228,0)</f>
        <v>0</v>
      </c>
      <c r="CH228" s="53" t="n">
        <f aca="false">IF(ISNUMBER(AE228),1,0)</f>
        <v>0</v>
      </c>
      <c r="CI228" s="50" t="n">
        <f aca="false">N(AE228)</f>
        <v>0</v>
      </c>
      <c r="CJ228" s="50" t="n">
        <f aca="false">N(M228)+N(N228)</f>
        <v>1</v>
      </c>
      <c r="CK228" s="50" t="n">
        <f aca="false">N(M228)</f>
        <v>0</v>
      </c>
      <c r="CL228" s="50" t="n">
        <f aca="false">N(N228)</f>
        <v>1</v>
      </c>
      <c r="CM228" s="50" t="n">
        <f aca="false">ROUNDUP(H228/BY228,0)</f>
        <v>1</v>
      </c>
      <c r="CN228" s="50" t="n">
        <f aca="false">ROUNDUP(CI228/BY228,0)</f>
        <v>0</v>
      </c>
      <c r="CO228" s="53" t="n">
        <f aca="false">IF(BZ228=1,0,IFERROR(VLOOKUP(BX228,'Gebinde-Kategorie'!$A$5:$N$45,5,0)+0,0))</f>
        <v>11</v>
      </c>
      <c r="CP228" s="53" t="n">
        <f aca="false">IFERROR(IF(OR(CE228=1,CE228=2,CE228=3),N(INDEX(Parameter!$I$5:$I$7,CE228)),0),0)</f>
        <v>0</v>
      </c>
      <c r="CQ228" s="52" t="n">
        <f aca="false">IF(AND(Parameter!$B$21="Ja",ISNUMBER(W228),N(X228)&gt;0),IFERROR(N(INDEX(Parameter!$L$5:$L$7,W228))*INDEX(Parameter!$E$5:$E$7,W228)*X228/SUMIFS($X$7:$X$1843,$W$7:$W$1843,W228),0),0)</f>
        <v>0</v>
      </c>
    </row>
    <row r="229" customFormat="false" ht="15" hidden="false" customHeight="false" outlineLevel="0" collapsed="false">
      <c r="A229" s="48" t="s">
        <v>657</v>
      </c>
      <c r="B229" s="48" t="s">
        <v>306</v>
      </c>
      <c r="C229" s="48" t="s">
        <v>173</v>
      </c>
      <c r="D229" s="48" t="s">
        <v>174</v>
      </c>
      <c r="E229" s="48" t="s">
        <v>175</v>
      </c>
      <c r="F229" s="48" t="s">
        <v>227</v>
      </c>
      <c r="G229" s="49" t="n">
        <v>229.54</v>
      </c>
      <c r="H229" s="50" t="n">
        <f aca="false">MAX(0,IF(AND(Parameter!$B$21="Ja",ISNUMBER(Y229)),Y229,IF(Parameter!$B$20="Jahresanfang 2025 + Export",BR229+BQ229,BQ229)))</f>
        <v>9</v>
      </c>
      <c r="I229" s="50" t="n">
        <f aca="false">H229*G229</f>
        <v>2065.86</v>
      </c>
      <c r="J229" s="50" t="n">
        <f aca="false">BT229*Parameter!$B$18</f>
        <v>14</v>
      </c>
      <c r="K229" s="51" t="n">
        <v>10.5</v>
      </c>
      <c r="L229" s="52" t="n">
        <v>1.33333333333333</v>
      </c>
      <c r="M229" s="50" t="n">
        <v>3</v>
      </c>
      <c r="N229" s="50" t="n">
        <v>10</v>
      </c>
      <c r="O229" s="53" t="n">
        <v>70</v>
      </c>
      <c r="P229" s="48" t="s">
        <v>177</v>
      </c>
      <c r="Q229" s="50"/>
      <c r="R229" s="53" t="n">
        <f aca="false">IF(BZ229=1,0,IFERROR(VLOOKUP(BX229,'Gebinde-Kategorie'!$A$5:$N$45,13,0)+0,0))</f>
        <v>0</v>
      </c>
      <c r="S229" s="54"/>
      <c r="T229" s="55"/>
      <c r="U229" s="55"/>
      <c r="V229" s="55"/>
      <c r="W229" s="48" t="n">
        <v>1</v>
      </c>
      <c r="X229" s="50" t="n">
        <v>16</v>
      </c>
      <c r="Y229" s="50" t="n">
        <v>9</v>
      </c>
      <c r="Z229" s="48" t="n">
        <f aca="false">IF(A229="","",IF(AND(Parameter!$B$21="Ja",ISNUMBER(W229)),W229,IF(CC229="2+3",IF(ISNUMBER(SEARCH("grosser Artikel",BU229)),2,IFERROR(VLOOKUP(BX229,Parameter!$F$35:$G$64,2,0),2)),IF(OR(CC229="Nein",CC229=""),"-",CC229))))</f>
        <v>1</v>
      </c>
      <c r="AA229" s="55"/>
      <c r="AB229" s="56"/>
      <c r="AC229" s="50" t="n">
        <f aca="false">AV229</f>
        <v>13</v>
      </c>
      <c r="AD229" s="50" t="n">
        <f aca="false">MAX(AV229,H229)</f>
        <v>13</v>
      </c>
      <c r="AE229" s="57"/>
      <c r="AF229" s="50" t="n">
        <f aca="false">IF(LEFT(Cockpit!$C$5,1)="A",H229,IF(Parameter!$E$30="MAX-Bestand",IF(CH229=1,CI229,IF(LEFT(Cockpit!$C$5,1)="B",AL229,MAX(AL229,H229))),ROUNDUP(AJ229,0)))</f>
        <v>9</v>
      </c>
      <c r="AG229" s="50" t="n">
        <f aca="false">IF(BZ229=1,0,ROUNDUP(AF229/BY229,0))</f>
        <v>0</v>
      </c>
      <c r="AH229" s="52" t="n">
        <f aca="false">IF(CQ229&gt;0,CQ229*MAX(1,AF229/X229),IF(BZ229=1,IF(AF229&lt;=0,0,CD229*MAX(1,IF(H229&gt;0,AF229/H229,1))),IF(R229&gt;0,AG229/R229,0))/MAX(0.1,N(Parameter!$M$21)))</f>
        <v>1.28060263653484</v>
      </c>
      <c r="AI229" s="50" t="n">
        <f aca="false">AH229*CB229</f>
        <v>304.783427495292</v>
      </c>
      <c r="AJ229" s="51" t="n">
        <f aca="false">IF(LEFT(Cockpit!$C$5,1)="A",H229,IF(CH229=1,(CK229+CI229)/2,IF(LEFT(Cockpit!$C$5,1)="B",(CK229+AL229)/2,MAX((CK229+AL229)/2,H229))))</f>
        <v>9</v>
      </c>
      <c r="AK229" s="50" t="n">
        <f aca="false">AJ229*G229</f>
        <v>2065.86</v>
      </c>
      <c r="AL229" s="50" t="n">
        <f aca="false">ROUNDUP(CK229+MAX(CL229,2*(J229/IF(CG229&gt;0,CG229,MAX(0.1,N(Cockpit!$C$6)))-CK229)),0)</f>
        <v>13</v>
      </c>
      <c r="AM229" s="51" t="n">
        <f aca="false">IF(AI229&gt;0,J229/AI229,-1)</f>
        <v>0.0459342560553633</v>
      </c>
      <c r="AN229" s="51" t="n">
        <f aca="false">IF(AND(OR(CF229="L1",CF229="L23",CF229="LIFT"),AI229&gt;0),SUMIFS($AI$7:$AI$1843,$CF$7:$CF$1843,CF229,$AM$7:$AM$1843,"&gt;"&amp;AM229)+SUMIFS($AI$7:$AI$1843,$CF$7:$CF$1843,CF229,$AM$7:$AM$1843,AM229,$BW$7:$BW$1843,"&lt;="&amp;BW229),"")</f>
        <v>19648.9740873533</v>
      </c>
      <c r="AO229" s="58" t="n">
        <f aca="false">IF(AN229="",0,MAX(0,MIN(1,(IF(CF229="L1",Parameter!$H$5,IF(CF229="L23",Parameter!$H$6+Parameter!$H$7,Parameter!$H$5+Parameter!$H$6+Parameter!$H$7))-(AN229-AI229))/AI229)))</f>
        <v>1</v>
      </c>
      <c r="AP229" s="50" t="n">
        <f aca="false">IF(LEFT(Cockpit!$I$5,1)="A",H229,IF(Parameter!$E$30="MAX-Bestand",IF(CH229=1,CI229,IF(LEFT(Cockpit!$I$5,1)="B",AV229,MAX(AV229,H229))),ROUNDUP(AT229,0)))</f>
        <v>9</v>
      </c>
      <c r="AQ229" s="50" t="n">
        <f aca="false">IF(BZ229=1,0,ROUNDUP(AP229/BY229,0))</f>
        <v>0</v>
      </c>
      <c r="AR229" s="52" t="n">
        <f aca="false">IF(CQ229&gt;0,CQ229*MAX(1,AP229/X229),IF(BZ229=1,IF(AP229&lt;=0,0,CD229*MAX(1,IF(H229&gt;0,AP229/H229,1))),IF(R229&gt;0,AQ229/R229,0))/MAX(0.1,N(Parameter!$M$21)))</f>
        <v>1.28060263653484</v>
      </c>
      <c r="AS229" s="50" t="n">
        <f aca="false">AR229*CB229</f>
        <v>304.783427495292</v>
      </c>
      <c r="AT229" s="51" t="n">
        <f aca="false">IF(LEFT(Cockpit!$I$5,1)="A",H229,IF(CH229=1,(CK229+CI229)/2,IF(LEFT(Cockpit!$I$5,1)="B",(CK229+AV229)/2,MAX((CK229+AV229)/2,H229))))</f>
        <v>9</v>
      </c>
      <c r="AU229" s="50" t="n">
        <f aca="false">AT229*G229</f>
        <v>2065.86</v>
      </c>
      <c r="AV229" s="50" t="n">
        <f aca="false">ROUNDUP(CK229+MAX(CL229,2*(J229/IF(CG229&gt;0,CG229,MAX(0.1,N(Cockpit!$I$6)))-CK229)),0)</f>
        <v>13</v>
      </c>
      <c r="AW229" s="51" t="n">
        <f aca="false">IF(AS229&gt;0,J229/AS229,-1)</f>
        <v>0.0459342560553633</v>
      </c>
      <c r="AX229" s="51" t="n">
        <f aca="false">IF(AND(OR(CF229="L1",CF229="L23",CF229="LIFT"),AS229&gt;0),SUMIFS($AS$7:$AS$1843,$CF$7:$CF$1843,CF229,$AW$7:$AW$1843,"&gt;"&amp;AW229)+SUMIFS($AS$7:$AS$1843,$CF$7:$CF$1843,CF229,$AW$7:$AW$1843,AW229,$BW$7:$BW$1843,"&lt;="&amp;BW229),"")</f>
        <v>24708.3727287308</v>
      </c>
      <c r="AY229" s="58" t="n">
        <f aca="false">IF(AX229="",0,MAX(0,MIN(1,(IF(CF229="L1",Parameter!$H$5,IF(CF229="L23",Parameter!$H$6+Parameter!$H$7,Parameter!$H$5+Parameter!$H$6+Parameter!$H$7))-(AX229-AS229))/AS229)))</f>
        <v>1</v>
      </c>
      <c r="AZ229" s="50" t="n">
        <f aca="false">IF(LEFT(Cockpit!$O$5,1)="A",H229,IF(Parameter!$E$30="MAX-Bestand",IF(CH229=1,CI229,IF(LEFT(Cockpit!$O$5,1)="B",BF229,MAX(BF229,H229))),ROUNDUP(BD229,0)))</f>
        <v>8</v>
      </c>
      <c r="BA229" s="50" t="n">
        <f aca="false">IF(BZ229=1,0,ROUNDUP(AZ229/BY229,0))</f>
        <v>0</v>
      </c>
      <c r="BB229" s="52" t="n">
        <f aca="false">IF(CQ229&gt;0,CQ229*MAX(1,AZ229/X229),IF(BZ229=1,IF(AZ229&lt;=0,0,CD229*MAX(1,IF(H229&gt;0,AZ229/H229,1))),IF(R229&gt;0,BA229/R229,0))/MAX(0.1,N(Parameter!$M$21)))</f>
        <v>1.28060263653484</v>
      </c>
      <c r="BC229" s="50" t="n">
        <f aca="false">BB229*CB229</f>
        <v>304.783427495292</v>
      </c>
      <c r="BD229" s="51" t="n">
        <f aca="false">IF(LEFT(Cockpit!$O$5,1)="A",H229,IF(CH229=1,(CK229+CI229)/2,IF(LEFT(Cockpit!$O$5,1)="B",(CK229+BF229)/2,MAX((CK229+BF229)/2,H229))))</f>
        <v>8</v>
      </c>
      <c r="BE229" s="50" t="n">
        <f aca="false">BD229*G229</f>
        <v>1836.32</v>
      </c>
      <c r="BF229" s="50" t="n">
        <f aca="false">ROUNDUP(CK229+MAX(CL229,2*(J229/IF(CG229&gt;0,CG229,MAX(0.1,N(Cockpit!$O$6)))-CK229)),0)</f>
        <v>13</v>
      </c>
      <c r="BG229" s="51" t="n">
        <f aca="false">IF(BC229&gt;0,J229/BC229,-1)</f>
        <v>0.0459342560553633</v>
      </c>
      <c r="BH229" s="51" t="n">
        <f aca="false">IF(AND(OR(CF229="L1",CF229="L23",CF229="LIFT"),BC229&gt;0),SUMIFS($BC$7:$BC$1843,$CF$7:$CF$1843,CF229,$BG$7:$BG$1843,"&gt;"&amp;BG229)+SUMIFS($BC$7:$BC$1843,$CF$7:$CF$1843,CF229,$BG$7:$BG$1843,BG229,$BW$7:$BW$1843,"&lt;="&amp;BW229),"")</f>
        <v>20658.2879053621</v>
      </c>
      <c r="BI229" s="58" t="n">
        <f aca="false">IF(BH229="",0,MAX(0,MIN(1,(IF(CF229="L1",Parameter!$H$5,IF(CF229="L23",Parameter!$H$6+Parameter!$H$7,Parameter!$H$5+Parameter!$H$6+Parameter!$H$7))-(BH229-BC229))/BC229)))</f>
        <v>1</v>
      </c>
      <c r="BJ229" s="48" t="str">
        <f aca="false">IF(AI229&lt;=0,"",IF(CF229="Aussen","Aussenlager",IF(CF229="-","Nicht im Lift",IF(AO229&gt;=1,"Lift",IF(AO229&lt;=0,"Aussenlager","teilweise")))))</f>
        <v>Lift</v>
      </c>
      <c r="BK229" s="48" t="str">
        <f aca="false">IF(AS229&lt;=0,"",IF(CF229="Aussen","Aussenlager",IF(CF229="-","Nicht im Lift",IF(AY229&gt;=1,"Lift",IF(AY229&lt;=0,"Aussenlager","teilweise")))))</f>
        <v>Lift</v>
      </c>
      <c r="BL229" s="48" t="str">
        <f aca="false">IF(BC229&lt;=0,"",IF(CF229="Aussen","Aussenlager",IF(CF229="-","Nicht im Lift",IF(BI229&gt;=1,"Lift",IF(BI229&lt;=0,"Aussenlager","teilweise")))))</f>
        <v>Lift</v>
      </c>
      <c r="BM229" s="48" t="str">
        <f aca="false">IF(A229="","",IF(BV229=1,"Neu; ","")&amp;IF(AND(BV229=0,BQ229&lt;0),"negativer Bestand (Export "&amp;BQ229&amp;"); ","")&amp;IF(J229&lt;=0,"Kein Verbrauch; ","")&amp;IF(CQ229&gt;0,"Lift "&amp;W229&amp;" lt. Liftbericht (Fach "&amp;X229&amp;" Stk); ",IF(CA229=1,"Gebinde geschätzt ("&amp;T229&amp;"); ",IF(BZ229=1,"Lose – Tablare geschätzt; ","")))&amp;IF(H229&gt;AV229,"Überbestand "&amp;ROUND(H229-AV229,0)&amp;" Stk / CHF "&amp;ROUND((H229-AV229)*G229,0)&amp;"; ","")&amp;IF(AND(CH229=1,CI229&lt;CJ229),"MAX &lt; MB+LG; ","")&amp;IF(AND(CP229&gt;0,CO229*10&gt;CP229),"zu hoch für Tablar; ","")&amp;IF(AND(BV229=0,OR(CH229=1,AA229&lt;&gt;"",U229&lt;&gt;"",V229&lt;&gt;"",AB229&lt;&gt;"")),"manuell übersteuert; ","")&amp;IF(AND(BZ229=0,R229=0),"Gebinde unbekannt / Stellmass fehlt; ","")&amp;IF(AND(BZ229=0,N(V229)&lt;=0,N(Q229)&lt;=0),"Menge pro Gebinde fehlt (Ist = 1 Gebinde); ","")&amp;BU229)</f>
        <v>Lift 1 lt. Liftbericht (Fach 16 Stk); </v>
      </c>
      <c r="BN229" s="48"/>
      <c r="BO229" s="48"/>
      <c r="BP229" s="55"/>
      <c r="BQ229" s="50" t="n">
        <v>3</v>
      </c>
      <c r="BR229" s="50" t="n">
        <v>6</v>
      </c>
      <c r="BS229" s="49" t="n">
        <v>598.979999999999</v>
      </c>
      <c r="BT229" s="50" t="n">
        <v>14</v>
      </c>
      <c r="BU229" s="48"/>
      <c r="BV229" s="53" t="n">
        <v>0</v>
      </c>
      <c r="BW229" s="53" t="n">
        <v>229</v>
      </c>
      <c r="BX229" s="48" t="str">
        <f aca="false">IF(U229&lt;&gt;"",UPPER(TRIM(U229)),IF(CA229=1,UPPER(VLOOKUP(T229,Parameter!$I$27:$K$29,2,0)),IF(P229="","LOSE",P229)))</f>
        <v>LOSE</v>
      </c>
      <c r="BY229" s="50" t="n">
        <f aca="false">IF(BX229="LOSE",1,IF(N(V229)&gt;0,V229,IF(CA229=1,MAX(1,N(VLOOKUP(T229,Parameter!$I$27:$K$29,3,0)),H229,N(N229)),IF(N(Q229)&gt;0,Q229,MAX(1,H229)))))</f>
        <v>1</v>
      </c>
      <c r="BZ229" s="53" t="n">
        <f aca="false">IF(BX229="LOSE",1,0)</f>
        <v>1</v>
      </c>
      <c r="CA229" s="53" t="n">
        <f aca="false">IF(AND(U229="",OR(P229="",P229="LOSE"),T229&lt;&gt;"",N(S229)&lt;=0,ISNUMBER(MATCH(T229,Parameter!$I$27:$I$29,0))),1,0)</f>
        <v>0</v>
      </c>
      <c r="CB229" s="53" t="n">
        <f aca="false">IF(CQ229&gt;0,INDEX(Parameter!$H$5:$H$7,W229)/INDEX(Parameter!$E$5:$E$7,W229),IF(AND(BZ229=0,N(IFERROR(VLOOKUP(BX229,'Gebinde-Kategorie'!$A$5:$N$45,14,0),0))&gt;0),VLOOKUP(BX229,'Gebinde-Kategorie'!$A$5:$N$45,14,0)*10+Parameter!$M$23,Parameter!$M$24))</f>
        <v>238</v>
      </c>
      <c r="CC229" s="48" t="n">
        <f aca="false">IF(AND(Parameter!$B$19="Ja",E229&lt;&gt;"",ISNUMBER(MATCH(E229,Parameter!$I$35:$I$52,0))),VLOOKUP(E229,Parameter!$I$35:$J$52,2,0),IFERROR(VLOOKUP(D229,Parameter!$A$35:$C$64,2,0),"Nein"))</f>
        <v>1</v>
      </c>
      <c r="CD229" s="52" t="n">
        <f aca="false">IF(BZ229=0,0,IF(N(S229)&gt;0,S229,IFERROR(VLOOKUP(D229,Parameter!$A$35:$C$64,3,0)+0,0)))</f>
        <v>1</v>
      </c>
      <c r="CE229" s="48" t="n">
        <f aca="false">IF(AA229&lt;&gt;"",AA229,Z229)</f>
        <v>1</v>
      </c>
      <c r="CF229" s="48" t="str">
        <f aca="false">IF(OR(CE229=1,CE229=2,CE229=3),IF(Parameter!$E$27="Ja","LIFT",IF(CE229=1,"L1","L23")),IF(CE229="Aussen","Aussen","-"))</f>
        <v>LIFT</v>
      </c>
      <c r="CG229" s="59" t="n">
        <f aca="false">IF(N(AB229)&gt;0,AB229,0)</f>
        <v>0</v>
      </c>
      <c r="CH229" s="53" t="n">
        <f aca="false">IF(ISNUMBER(AE229),1,0)</f>
        <v>0</v>
      </c>
      <c r="CI229" s="50" t="n">
        <f aca="false">N(AE229)</f>
        <v>0</v>
      </c>
      <c r="CJ229" s="50" t="n">
        <f aca="false">N(M229)+N(N229)</f>
        <v>13</v>
      </c>
      <c r="CK229" s="50" t="n">
        <f aca="false">N(M229)</f>
        <v>3</v>
      </c>
      <c r="CL229" s="50" t="n">
        <f aca="false">N(N229)</f>
        <v>10</v>
      </c>
      <c r="CM229" s="50" t="n">
        <f aca="false">ROUNDUP(H229/BY229,0)</f>
        <v>9</v>
      </c>
      <c r="CN229" s="50" t="n">
        <f aca="false">ROUNDUP(CI229/BY229,0)</f>
        <v>0</v>
      </c>
      <c r="CO229" s="53" t="n">
        <f aca="false">IF(BZ229=1,0,IFERROR(VLOOKUP(BX229,'Gebinde-Kategorie'!$A$5:$N$45,5,0)+0,0))</f>
        <v>0</v>
      </c>
      <c r="CP229" s="53" t="n">
        <f aca="false">IFERROR(IF(OR(CE229=1,CE229=2,CE229=3),N(INDEX(Parameter!$I$5:$I$7,CE229)),0),0)</f>
        <v>0</v>
      </c>
      <c r="CQ229" s="52" t="n">
        <f aca="false">IF(AND(Parameter!$B$21="Ja",ISNUMBER(W229),N(X229)&gt;0),IFERROR(N(INDEX(Parameter!$L$5:$L$7,W229))*INDEX(Parameter!$E$5:$E$7,W229)*X229/SUMIFS($X$7:$X$1843,$W$7:$W$1843,W229),0),0)</f>
        <v>1.28060263653484</v>
      </c>
    </row>
    <row r="230" customFormat="false" ht="15" hidden="false" customHeight="false" outlineLevel="0" collapsed="false">
      <c r="A230" s="48" t="s">
        <v>658</v>
      </c>
      <c r="B230" s="48" t="s">
        <v>659</v>
      </c>
      <c r="C230" s="48" t="s">
        <v>173</v>
      </c>
      <c r="D230" s="48" t="s">
        <v>193</v>
      </c>
      <c r="E230" s="48" t="s">
        <v>194</v>
      </c>
      <c r="F230" s="48" t="s">
        <v>227</v>
      </c>
      <c r="G230" s="49" t="n">
        <v>9.98</v>
      </c>
      <c r="H230" s="50" t="n">
        <f aca="false">MAX(0,IF(AND(Parameter!$B$21="Ja",ISNUMBER(Y230)),Y230,IF(Parameter!$B$20="Jahresanfang 2025 + Export",BR230+BQ230,BQ230)))</f>
        <v>148</v>
      </c>
      <c r="I230" s="50" t="n">
        <f aca="false">H230*G230</f>
        <v>1477.04</v>
      </c>
      <c r="J230" s="50" t="n">
        <f aca="false">BT230*Parameter!$B$18</f>
        <v>168</v>
      </c>
      <c r="K230" s="51" t="n">
        <v>82.5</v>
      </c>
      <c r="L230" s="52" t="n">
        <v>2.03636363636364</v>
      </c>
      <c r="M230" s="50" t="n">
        <v>10</v>
      </c>
      <c r="N230" s="50" t="n">
        <v>170</v>
      </c>
      <c r="O230" s="53" t="n">
        <v>28</v>
      </c>
      <c r="P230" s="48" t="s">
        <v>242</v>
      </c>
      <c r="Q230" s="50" t="n">
        <v>150</v>
      </c>
      <c r="R230" s="53" t="n">
        <f aca="false">IF(BZ230=1,0,IFERROR(VLOOKUP(BX230,'Gebinde-Kategorie'!$A$5:$N$45,13,0)+0,0))</f>
        <v>26</v>
      </c>
      <c r="S230" s="54"/>
      <c r="T230" s="55"/>
      <c r="U230" s="55"/>
      <c r="V230" s="55"/>
      <c r="W230" s="48"/>
      <c r="X230" s="50"/>
      <c r="Y230" s="50"/>
      <c r="Z230" s="48" t="n">
        <f aca="false">IF(A230="","",IF(AND(Parameter!$B$21="Ja",ISNUMBER(W230)),W230,IF(CC230="2+3",IF(ISNUMBER(SEARCH("grosser Artikel",BU230)),2,IFERROR(VLOOKUP(BX230,Parameter!$F$35:$G$64,2,0),2)),IF(OR(CC230="Nein",CC230=""),"-",CC230))))</f>
        <v>3</v>
      </c>
      <c r="AA230" s="55"/>
      <c r="AB230" s="56"/>
      <c r="AC230" s="50" t="n">
        <f aca="false">AV230</f>
        <v>180</v>
      </c>
      <c r="AD230" s="50" t="n">
        <f aca="false">MAX(AV230,H230)</f>
        <v>180</v>
      </c>
      <c r="AE230" s="57"/>
      <c r="AF230" s="50" t="n">
        <f aca="false">IF(LEFT(Cockpit!$C$5,1)="A",H230,IF(Parameter!$E$30="MAX-Bestand",IF(CH230=1,CI230,IF(LEFT(Cockpit!$C$5,1)="B",AL230,MAX(AL230,H230))),ROUNDUP(AJ230,0)))</f>
        <v>148</v>
      </c>
      <c r="AG230" s="50" t="n">
        <f aca="false">IF(BZ230=1,0,ROUNDUP(AF230/BY230,0))</f>
        <v>1</v>
      </c>
      <c r="AH230" s="52" t="n">
        <f aca="false">IF(CQ230&gt;0,CQ230*MAX(1,AF230/X230),IF(BZ230=1,IF(AF230&lt;=0,0,CD230*MAX(1,IF(H230&gt;0,AF230/H230,1))),IF(R230&gt;0,AG230/R230,0))/MAX(0.1,N(Parameter!$M$21)))</f>
        <v>0.0384615384615385</v>
      </c>
      <c r="AI230" s="50" t="n">
        <f aca="false">AH230*CB230</f>
        <v>9.42307692307692</v>
      </c>
      <c r="AJ230" s="51" t="n">
        <f aca="false">IF(LEFT(Cockpit!$C$5,1)="A",H230,IF(CH230=1,(CK230+CI230)/2,IF(LEFT(Cockpit!$C$5,1)="B",(CK230+AL230)/2,MAX((CK230+AL230)/2,H230))))</f>
        <v>148</v>
      </c>
      <c r="AK230" s="50" t="n">
        <f aca="false">AJ230*G230</f>
        <v>1477.04</v>
      </c>
      <c r="AL230" s="50" t="n">
        <f aca="false">ROUNDUP(CK230+MAX(CL230,2*(J230/IF(CG230&gt;0,CG230,MAX(0.1,N(Cockpit!$C$6)))-CK230)),0)</f>
        <v>180</v>
      </c>
      <c r="AM230" s="51" t="n">
        <f aca="false">IF(AI230&gt;0,J230/AI230,-1)</f>
        <v>17.8285714285714</v>
      </c>
      <c r="AN230" s="51" t="n">
        <f aca="false">IF(AND(OR(CF230="L1",CF230="L23",CF230="LIFT"),AI230&gt;0),SUMIFS($AI$7:$AI$1843,$CF$7:$CF$1843,CF230,$AM$7:$AM$1843,"&gt;"&amp;AM230)+SUMIFS($AI$7:$AI$1843,$CF$7:$CF$1843,CF230,$AM$7:$AM$1843,AM230,$BW$7:$BW$1843,"&lt;="&amp;BW230),"")</f>
        <v>1898.85210622711</v>
      </c>
      <c r="AO230" s="58" t="n">
        <f aca="false">IF(AN230="",0,MAX(0,MIN(1,(IF(CF230="L1",Parameter!$H$5,IF(CF230="L23",Parameter!$H$6+Parameter!$H$7,Parameter!$H$5+Parameter!$H$6+Parameter!$H$7))-(AN230-AI230))/AI230)))</f>
        <v>1</v>
      </c>
      <c r="AP230" s="50" t="n">
        <f aca="false">IF(LEFT(Cockpit!$I$5,1)="A",H230,IF(Parameter!$E$30="MAX-Bestand",IF(CH230=1,CI230,IF(LEFT(Cockpit!$I$5,1)="B",AV230,MAX(AV230,H230))),ROUNDUP(AT230,0)))</f>
        <v>148</v>
      </c>
      <c r="AQ230" s="50" t="n">
        <f aca="false">IF(BZ230=1,0,ROUNDUP(AP230/BY230,0))</f>
        <v>1</v>
      </c>
      <c r="AR230" s="52" t="n">
        <f aca="false">IF(CQ230&gt;0,CQ230*MAX(1,AP230/X230),IF(BZ230=1,IF(AP230&lt;=0,0,CD230*MAX(1,IF(H230&gt;0,AP230/H230,1))),IF(R230&gt;0,AQ230/R230,0))/MAX(0.1,N(Parameter!$M$21)))</f>
        <v>0.0384615384615385</v>
      </c>
      <c r="AS230" s="50" t="n">
        <f aca="false">AR230*CB230</f>
        <v>9.42307692307692</v>
      </c>
      <c r="AT230" s="51" t="n">
        <f aca="false">IF(LEFT(Cockpit!$I$5,1)="A",H230,IF(CH230=1,(CK230+CI230)/2,IF(LEFT(Cockpit!$I$5,1)="B",(CK230+AV230)/2,MAX((CK230+AV230)/2,H230))))</f>
        <v>148</v>
      </c>
      <c r="AU230" s="50" t="n">
        <f aca="false">AT230*G230</f>
        <v>1477.04</v>
      </c>
      <c r="AV230" s="50" t="n">
        <f aca="false">ROUNDUP(CK230+MAX(CL230,2*(J230/IF(CG230&gt;0,CG230,MAX(0.1,N(Cockpit!$I$6)))-CK230)),0)</f>
        <v>180</v>
      </c>
      <c r="AW230" s="51" t="n">
        <f aca="false">IF(AS230&gt;0,J230/AS230,-1)</f>
        <v>17.8285714285714</v>
      </c>
      <c r="AX230" s="51" t="n">
        <f aca="false">IF(AND(OR(CF230="L1",CF230="L23",CF230="LIFT"),AS230&gt;0),SUMIFS($AS$7:$AS$1843,$CF$7:$CF$1843,CF230,$AW$7:$AW$1843,"&gt;"&amp;AW230)+SUMIFS($AS$7:$AS$1843,$CF$7:$CF$1843,CF230,$AW$7:$AW$1843,AW230,$BW$7:$BW$1843,"&lt;="&amp;BW230),"")</f>
        <v>2535.97298534799</v>
      </c>
      <c r="AY230" s="58" t="n">
        <f aca="false">IF(AX230="",0,MAX(0,MIN(1,(IF(CF230="L1",Parameter!$H$5,IF(CF230="L23",Parameter!$H$6+Parameter!$H$7,Parameter!$H$5+Parameter!$H$6+Parameter!$H$7))-(AX230-AS230))/AS230)))</f>
        <v>1</v>
      </c>
      <c r="AZ230" s="50" t="n">
        <f aca="false">IF(LEFT(Cockpit!$O$5,1)="A",H230,IF(Parameter!$E$30="MAX-Bestand",IF(CH230=1,CI230,IF(LEFT(Cockpit!$O$5,1)="B",BF230,MAX(BF230,H230))),ROUNDUP(BD230,0)))</f>
        <v>95</v>
      </c>
      <c r="BA230" s="50" t="n">
        <f aca="false">IF(BZ230=1,0,ROUNDUP(AZ230/BY230,0))</f>
        <v>1</v>
      </c>
      <c r="BB230" s="52" t="n">
        <f aca="false">IF(CQ230&gt;0,CQ230*MAX(1,AZ230/X230),IF(BZ230=1,IF(AZ230&lt;=0,0,CD230*MAX(1,IF(H230&gt;0,AZ230/H230,1))),IF(R230&gt;0,BA230/R230,0))/MAX(0.1,N(Parameter!$M$21)))</f>
        <v>0.0384615384615385</v>
      </c>
      <c r="BC230" s="50" t="n">
        <f aca="false">BB230*CB230</f>
        <v>9.42307692307692</v>
      </c>
      <c r="BD230" s="51" t="n">
        <f aca="false">IF(LEFT(Cockpit!$O$5,1)="A",H230,IF(CH230=1,(CK230+CI230)/2,IF(LEFT(Cockpit!$O$5,1)="B",(CK230+BF230)/2,MAX((CK230+BF230)/2,H230))))</f>
        <v>95</v>
      </c>
      <c r="BE230" s="50" t="n">
        <f aca="false">BD230*G230</f>
        <v>948.1</v>
      </c>
      <c r="BF230" s="50" t="n">
        <f aca="false">ROUNDUP(CK230+MAX(CL230,2*(J230/IF(CG230&gt;0,CG230,MAX(0.1,N(Cockpit!$O$6)))-CK230)),0)</f>
        <v>180</v>
      </c>
      <c r="BG230" s="51" t="n">
        <f aca="false">IF(BC230&gt;0,J230/BC230,-1)</f>
        <v>17.8285714285714</v>
      </c>
      <c r="BH230" s="51" t="n">
        <f aca="false">IF(AND(OR(CF230="L1",CF230="L23",CF230="LIFT"),BC230&gt;0),SUMIFS($BC$7:$BC$1843,$CF$7:$CF$1843,CF230,$BG$7:$BG$1843,"&gt;"&amp;BG230)+SUMIFS($BC$7:$BC$1843,$CF$7:$CF$1843,CF230,$BG$7:$BG$1843,BG230,$BW$7:$BW$1843,"&lt;="&amp;BW230),"")</f>
        <v>2300.46703296703</v>
      </c>
      <c r="BI230" s="58" t="n">
        <f aca="false">IF(BH230="",0,MAX(0,MIN(1,(IF(CF230="L1",Parameter!$H$5,IF(CF230="L23",Parameter!$H$6+Parameter!$H$7,Parameter!$H$5+Parameter!$H$6+Parameter!$H$7))-(BH230-BC230))/BC230)))</f>
        <v>1</v>
      </c>
      <c r="BJ230" s="48" t="str">
        <f aca="false">IF(AI230&lt;=0,"",IF(CF230="Aussen","Aussenlager",IF(CF230="-","Nicht im Lift",IF(AO230&gt;=1,"Lift",IF(AO230&lt;=0,"Aussenlager","teilweise")))))</f>
        <v>Lift</v>
      </c>
      <c r="BK230" s="48" t="str">
        <f aca="false">IF(AS230&lt;=0,"",IF(CF230="Aussen","Aussenlager",IF(CF230="-","Nicht im Lift",IF(AY230&gt;=1,"Lift",IF(AY230&lt;=0,"Aussenlager","teilweise")))))</f>
        <v>Lift</v>
      </c>
      <c r="BL230" s="48" t="str">
        <f aca="false">IF(BC230&lt;=0,"",IF(CF230="Aussen","Aussenlager",IF(CF230="-","Nicht im Lift",IF(BI230&gt;=1,"Lift",IF(BI230&lt;=0,"Aussenlager","teilweise")))))</f>
        <v>Lift</v>
      </c>
      <c r="BM230" s="48" t="str">
        <f aca="false">IF(A230="","",IF(BV230=1,"Neu; ","")&amp;IF(AND(BV230=0,BQ230&lt;0),"negativer Bestand (Export "&amp;BQ230&amp;"); ","")&amp;IF(J230&lt;=0,"Kein Verbrauch; ","")&amp;IF(CQ230&gt;0,"Lift "&amp;W230&amp;" lt. Liftbericht (Fach "&amp;X230&amp;" Stk); ",IF(CA230=1,"Gebinde geschätzt ("&amp;T230&amp;"); ",IF(BZ230=1,"Lose – Tablare geschätzt; ","")))&amp;IF(H230&gt;AV230,"Überbestand "&amp;ROUND(H230-AV230,0)&amp;" Stk / CHF "&amp;ROUND((H230-AV230)*G230,0)&amp;"; ","")&amp;IF(AND(CH230=1,CI230&lt;CJ230),"MAX &lt; MB+LG; ","")&amp;IF(AND(CP230&gt;0,CO230*10&gt;CP230),"zu hoch für Tablar; ","")&amp;IF(AND(BV230=0,OR(CH230=1,AA230&lt;&gt;"",U230&lt;&gt;"",V230&lt;&gt;"",AB230&lt;&gt;"")),"manuell übersteuert; ","")&amp;IF(AND(BZ230=0,R230=0),"Gebinde unbekannt / Stellmass fehlt; ","")&amp;IF(AND(BZ230=0,N(V230)&lt;=0,N(Q230)&lt;=0),"Menge pro Gebinde fehlt (Ist = 1 Gebinde); ","")&amp;BU230)</f>
        <v/>
      </c>
      <c r="BN230" s="48"/>
      <c r="BO230" s="48"/>
      <c r="BP230" s="55"/>
      <c r="BQ230" s="50" t="n">
        <v>59</v>
      </c>
      <c r="BR230" s="50" t="n">
        <v>89</v>
      </c>
      <c r="BS230" s="49" t="n">
        <v>591.49</v>
      </c>
      <c r="BT230" s="50" t="n">
        <v>168</v>
      </c>
      <c r="BU230" s="48"/>
      <c r="BV230" s="53" t="n">
        <v>0</v>
      </c>
      <c r="BW230" s="53" t="n">
        <v>230</v>
      </c>
      <c r="BX230" s="48" t="str">
        <f aca="false">IF(U230&lt;&gt;"",UPPER(TRIM(U230)),IF(CA230=1,UPPER(VLOOKUP(T230,Parameter!$I$27:$K$29,2,0)),IF(P230="","LOSE",P230)))</f>
        <v>S52</v>
      </c>
      <c r="BY230" s="50" t="n">
        <f aca="false">IF(BX230="LOSE",1,IF(N(V230)&gt;0,V230,IF(CA230=1,MAX(1,N(VLOOKUP(T230,Parameter!$I$27:$K$29,3,0)),H230,N(N230)),IF(N(Q230)&gt;0,Q230,MAX(1,H230)))))</f>
        <v>150</v>
      </c>
      <c r="BZ230" s="53" t="n">
        <f aca="false">IF(BX230="LOSE",1,0)</f>
        <v>0</v>
      </c>
      <c r="CA230" s="53" t="n">
        <f aca="false">IF(AND(U230="",OR(P230="",P230="LOSE"),T230&lt;&gt;"",N(S230)&lt;=0,ISNUMBER(MATCH(T230,Parameter!$I$27:$I$29,0))),1,0)</f>
        <v>0</v>
      </c>
      <c r="CB230" s="53" t="n">
        <f aca="false">IF(CQ230&gt;0,INDEX(Parameter!$H$5:$H$7,W230)/INDEX(Parameter!$E$5:$E$7,W230),IF(AND(BZ230=0,N(IFERROR(VLOOKUP(BX230,'Gebinde-Kategorie'!$A$5:$N$45,14,0),0))&gt;0),VLOOKUP(BX230,'Gebinde-Kategorie'!$A$5:$N$45,14,0)*10+Parameter!$M$23,Parameter!$M$24))</f>
        <v>245</v>
      </c>
      <c r="CC230" s="48" t="str">
        <f aca="false">IF(AND(Parameter!$B$19="Ja",E230&lt;&gt;"",ISNUMBER(MATCH(E230,Parameter!$I$35:$I$52,0))),VLOOKUP(E230,Parameter!$I$35:$J$52,2,0),IFERROR(VLOOKUP(D230,Parameter!$A$35:$C$64,2,0),"Nein"))</f>
        <v>2+3</v>
      </c>
      <c r="CD230" s="52" t="n">
        <f aca="false">IF(BZ230=0,0,IF(N(S230)&gt;0,S230,IFERROR(VLOOKUP(D230,Parameter!$A$35:$C$64,3,0)+0,0)))</f>
        <v>0</v>
      </c>
      <c r="CE230" s="48" t="n">
        <f aca="false">IF(AA230&lt;&gt;"",AA230,Z230)</f>
        <v>3</v>
      </c>
      <c r="CF230" s="48" t="str">
        <f aca="false">IF(OR(CE230=1,CE230=2,CE230=3),IF(Parameter!$E$27="Ja","LIFT",IF(CE230=1,"L1","L23")),IF(CE230="Aussen","Aussen","-"))</f>
        <v>LIFT</v>
      </c>
      <c r="CG230" s="59" t="n">
        <f aca="false">IF(N(AB230)&gt;0,AB230,0)</f>
        <v>0</v>
      </c>
      <c r="CH230" s="53" t="n">
        <f aca="false">IF(ISNUMBER(AE230),1,0)</f>
        <v>0</v>
      </c>
      <c r="CI230" s="50" t="n">
        <f aca="false">N(AE230)</f>
        <v>0</v>
      </c>
      <c r="CJ230" s="50" t="n">
        <f aca="false">N(M230)+N(N230)</f>
        <v>180</v>
      </c>
      <c r="CK230" s="50" t="n">
        <f aca="false">N(M230)</f>
        <v>10</v>
      </c>
      <c r="CL230" s="50" t="n">
        <f aca="false">N(N230)</f>
        <v>170</v>
      </c>
      <c r="CM230" s="50" t="n">
        <f aca="false">ROUNDUP(H230/BY230,0)</f>
        <v>1</v>
      </c>
      <c r="CN230" s="50" t="n">
        <f aca="false">ROUNDUP(CI230/BY230,0)</f>
        <v>0</v>
      </c>
      <c r="CO230" s="53" t="n">
        <f aca="false">IF(BZ230=1,0,IFERROR(VLOOKUP(BX230,'Gebinde-Kategorie'!$A$5:$N$45,5,0)+0,0))</f>
        <v>21</v>
      </c>
      <c r="CP230" s="53" t="n">
        <f aca="false">IFERROR(IF(OR(CE230=1,CE230=2,CE230=3),N(INDEX(Parameter!$I$5:$I$7,CE230)),0),0)</f>
        <v>0</v>
      </c>
      <c r="CQ230" s="52" t="n">
        <f aca="false">IF(AND(Parameter!$B$21="Ja",ISNUMBER(W230),N(X230)&gt;0),IFERROR(N(INDEX(Parameter!$L$5:$L$7,W230))*INDEX(Parameter!$E$5:$E$7,W230)*X230/SUMIFS($X$7:$X$1843,$W$7:$W$1843,W230),0),0)</f>
        <v>0</v>
      </c>
    </row>
    <row r="231" customFormat="false" ht="15" hidden="false" customHeight="false" outlineLevel="0" collapsed="false">
      <c r="A231" s="48" t="s">
        <v>660</v>
      </c>
      <c r="B231" s="48" t="s">
        <v>661</v>
      </c>
      <c r="C231" s="48" t="s">
        <v>173</v>
      </c>
      <c r="D231" s="48" t="s">
        <v>182</v>
      </c>
      <c r="E231" s="48" t="s">
        <v>175</v>
      </c>
      <c r="F231" s="48" t="s">
        <v>227</v>
      </c>
      <c r="G231" s="49" t="n">
        <v>579</v>
      </c>
      <c r="H231" s="50" t="n">
        <f aca="false">MAX(0,IF(AND(Parameter!$B$21="Ja",ISNUMBER(Y231)),Y231,IF(Parameter!$B$20="Jahresanfang 2025 + Export",BR231+BQ231,BQ231)))</f>
        <v>1</v>
      </c>
      <c r="I231" s="50" t="n">
        <f aca="false">H231*G231</f>
        <v>579</v>
      </c>
      <c r="J231" s="50" t="n">
        <f aca="false">BT231*Parameter!$B$18</f>
        <v>1</v>
      </c>
      <c r="K231" s="51" t="n">
        <v>0.5</v>
      </c>
      <c r="L231" s="52" t="n">
        <v>2</v>
      </c>
      <c r="M231" s="50" t="n">
        <v>0</v>
      </c>
      <c r="N231" s="50" t="n">
        <v>1</v>
      </c>
      <c r="O231" s="53" t="n">
        <v>14</v>
      </c>
      <c r="P231" s="48" t="s">
        <v>177</v>
      </c>
      <c r="Q231" s="50"/>
      <c r="R231" s="53" t="n">
        <f aca="false">IF(BZ231=1,0,IFERROR(VLOOKUP(BX231,'Gebinde-Kategorie'!$A$5:$N$45,13,0)+0,0))</f>
        <v>0</v>
      </c>
      <c r="S231" s="54"/>
      <c r="T231" s="55"/>
      <c r="U231" s="55"/>
      <c r="V231" s="55"/>
      <c r="W231" s="48" t="n">
        <v>1</v>
      </c>
      <c r="X231" s="50" t="n">
        <v>1</v>
      </c>
      <c r="Y231" s="50" t="n">
        <v>1</v>
      </c>
      <c r="Z231" s="48" t="n">
        <f aca="false">IF(A231="","",IF(AND(Parameter!$B$21="Ja",ISNUMBER(W231)),W231,IF(CC231="2+3",IF(ISNUMBER(SEARCH("grosser Artikel",BU231)),2,IFERROR(VLOOKUP(BX231,Parameter!$F$35:$G$64,2,0),2)),IF(OR(CC231="Nein",CC231=""),"-",CC231))))</f>
        <v>1</v>
      </c>
      <c r="AA231" s="55"/>
      <c r="AB231" s="56"/>
      <c r="AC231" s="50" t="n">
        <f aca="false">AV231</f>
        <v>1</v>
      </c>
      <c r="AD231" s="50" t="n">
        <f aca="false">MAX(AV231,H231)</f>
        <v>1</v>
      </c>
      <c r="AE231" s="57"/>
      <c r="AF231" s="50" t="n">
        <f aca="false">IF(LEFT(Cockpit!$C$5,1)="A",H231,IF(Parameter!$E$30="MAX-Bestand",IF(CH231=1,CI231,IF(LEFT(Cockpit!$C$5,1)="B",AL231,MAX(AL231,H231))),ROUNDUP(AJ231,0)))</f>
        <v>1</v>
      </c>
      <c r="AG231" s="50" t="n">
        <f aca="false">IF(BZ231=1,0,ROUNDUP(AF231/BY231,0))</f>
        <v>0</v>
      </c>
      <c r="AH231" s="52" t="n">
        <f aca="false">IF(CQ231&gt;0,CQ231*MAX(1,AF231/X231),IF(BZ231=1,IF(AF231&lt;=0,0,CD231*MAX(1,IF(H231&gt;0,AF231/H231,1))),IF(R231&gt;0,AG231/R231,0))/MAX(0.1,N(Parameter!$M$21)))</f>
        <v>0.0800376647834275</v>
      </c>
      <c r="AI231" s="50" t="n">
        <f aca="false">AH231*CB231</f>
        <v>19.0489642184557</v>
      </c>
      <c r="AJ231" s="51" t="n">
        <f aca="false">IF(LEFT(Cockpit!$C$5,1)="A",H231,IF(CH231=1,(CK231+CI231)/2,IF(LEFT(Cockpit!$C$5,1)="B",(CK231+AL231)/2,MAX((CK231+AL231)/2,H231))))</f>
        <v>1</v>
      </c>
      <c r="AK231" s="50" t="n">
        <f aca="false">AJ231*G231</f>
        <v>579</v>
      </c>
      <c r="AL231" s="50" t="n">
        <f aca="false">ROUNDUP(CK231+MAX(CL231,2*(J231/IF(CG231&gt;0,CG231,MAX(0.1,N(Cockpit!$C$6)))-CK231)),0)</f>
        <v>1</v>
      </c>
      <c r="AM231" s="51" t="n">
        <f aca="false">IF(AI231&gt;0,J231/AI231,-1)</f>
        <v>0.0524962926347009</v>
      </c>
      <c r="AN231" s="51" t="n">
        <f aca="false">IF(AND(OR(CF231="L1",CF231="L23",CF231="LIFT"),AI231&gt;0),SUMIFS($AI$7:$AI$1843,$CF$7:$CF$1843,CF231,$AM$7:$AM$1843,"&gt;"&amp;AM231)+SUMIFS($AI$7:$AI$1843,$CF$7:$CF$1843,CF231,$AM$7:$AM$1843,AM231,$BW$7:$BW$1843,"&lt;="&amp;BW231),"")</f>
        <v>19045.9645262929</v>
      </c>
      <c r="AO231" s="58" t="n">
        <f aca="false">IF(AN231="",0,MAX(0,MIN(1,(IF(CF231="L1",Parameter!$H$5,IF(CF231="L23",Parameter!$H$6+Parameter!$H$7,Parameter!$H$5+Parameter!$H$6+Parameter!$H$7))-(AN231-AI231))/AI231)))</f>
        <v>1</v>
      </c>
      <c r="AP231" s="50" t="n">
        <f aca="false">IF(LEFT(Cockpit!$I$5,1)="A",H231,IF(Parameter!$E$30="MAX-Bestand",IF(CH231=1,CI231,IF(LEFT(Cockpit!$I$5,1)="B",AV231,MAX(AV231,H231))),ROUNDUP(AT231,0)))</f>
        <v>1</v>
      </c>
      <c r="AQ231" s="50" t="n">
        <f aca="false">IF(BZ231=1,0,ROUNDUP(AP231/BY231,0))</f>
        <v>0</v>
      </c>
      <c r="AR231" s="52" t="n">
        <f aca="false">IF(CQ231&gt;0,CQ231*MAX(1,AP231/X231),IF(BZ231=1,IF(AP231&lt;=0,0,CD231*MAX(1,IF(H231&gt;0,AP231/H231,1))),IF(R231&gt;0,AQ231/R231,0))/MAX(0.1,N(Parameter!$M$21)))</f>
        <v>0.0800376647834275</v>
      </c>
      <c r="AS231" s="50" t="n">
        <f aca="false">AR231*CB231</f>
        <v>19.0489642184557</v>
      </c>
      <c r="AT231" s="51" t="n">
        <f aca="false">IF(LEFT(Cockpit!$I$5,1)="A",H231,IF(CH231=1,(CK231+CI231)/2,IF(LEFT(Cockpit!$I$5,1)="B",(CK231+AV231)/2,MAX((CK231+AV231)/2,H231))))</f>
        <v>1</v>
      </c>
      <c r="AU231" s="50" t="n">
        <f aca="false">AT231*G231</f>
        <v>579</v>
      </c>
      <c r="AV231" s="50" t="n">
        <f aca="false">ROUNDUP(CK231+MAX(CL231,2*(J231/IF(CG231&gt;0,CG231,MAX(0.1,N(Cockpit!$I$6)))-CK231)),0)</f>
        <v>1</v>
      </c>
      <c r="AW231" s="51" t="n">
        <f aca="false">IF(AS231&gt;0,J231/AS231,-1)</f>
        <v>0.0524962926347009</v>
      </c>
      <c r="AX231" s="51" t="n">
        <f aca="false">IF(AND(OR(CF231="L1",CF231="L23",CF231="LIFT"),AS231&gt;0),SUMIFS($AS$7:$AS$1843,$CF$7:$CF$1843,CF231,$AW$7:$AW$1843,"&gt;"&amp;AW231)+SUMIFS($AS$7:$AS$1843,$CF$7:$CF$1843,CF231,$AW$7:$AW$1843,AW231,$BW$7:$BW$1843,"&lt;="&amp;BW231),"")</f>
        <v>24164.1131676704</v>
      </c>
      <c r="AY231" s="58" t="n">
        <f aca="false">IF(AX231="",0,MAX(0,MIN(1,(IF(CF231="L1",Parameter!$H$5,IF(CF231="L23",Parameter!$H$6+Parameter!$H$7,Parameter!$H$5+Parameter!$H$6+Parameter!$H$7))-(AX231-AS231))/AS231)))</f>
        <v>1</v>
      </c>
      <c r="AZ231" s="50" t="n">
        <f aca="false">IF(LEFT(Cockpit!$O$5,1)="A",H231,IF(Parameter!$E$30="MAX-Bestand",IF(CH231=1,CI231,IF(LEFT(Cockpit!$O$5,1)="B",BF231,MAX(BF231,H231))),ROUNDUP(BD231,0)))</f>
        <v>1</v>
      </c>
      <c r="BA231" s="50" t="n">
        <f aca="false">IF(BZ231=1,0,ROUNDUP(AZ231/BY231,0))</f>
        <v>0</v>
      </c>
      <c r="BB231" s="52" t="n">
        <f aca="false">IF(CQ231&gt;0,CQ231*MAX(1,AZ231/X231),IF(BZ231=1,IF(AZ231&lt;=0,0,CD231*MAX(1,IF(H231&gt;0,AZ231/H231,1))),IF(R231&gt;0,BA231/R231,0))/MAX(0.1,N(Parameter!$M$21)))</f>
        <v>0.0800376647834275</v>
      </c>
      <c r="BC231" s="50" t="n">
        <f aca="false">BB231*CB231</f>
        <v>19.0489642184557</v>
      </c>
      <c r="BD231" s="51" t="n">
        <f aca="false">IF(LEFT(Cockpit!$O$5,1)="A",H231,IF(CH231=1,(CK231+CI231)/2,IF(LEFT(Cockpit!$O$5,1)="B",(CK231+BF231)/2,MAX((CK231+BF231)/2,H231))))</f>
        <v>0.5</v>
      </c>
      <c r="BE231" s="50" t="n">
        <f aca="false">BD231*G231</f>
        <v>289.5</v>
      </c>
      <c r="BF231" s="50" t="n">
        <f aca="false">ROUNDUP(CK231+MAX(CL231,2*(J231/IF(CG231&gt;0,CG231,MAX(0.1,N(Cockpit!$O$6)))-CK231)),0)</f>
        <v>1</v>
      </c>
      <c r="BG231" s="51" t="n">
        <f aca="false">IF(BC231&gt;0,J231/BC231,-1)</f>
        <v>0.0524962926347009</v>
      </c>
      <c r="BH231" s="51" t="n">
        <f aca="false">IF(AND(OR(CF231="L1",CF231="L23",CF231="LIFT"),BC231&gt;0),SUMIFS($BC$7:$BC$1843,$CF$7:$CF$1843,CF231,$BG$7:$BG$1843,"&gt;"&amp;BG231)+SUMIFS($BC$7:$BC$1843,$CF$7:$CF$1843,CF231,$BG$7:$BG$1843,BG231,$BW$7:$BW$1843,"&lt;="&amp;BW231),"")</f>
        <v>20072.7783443017</v>
      </c>
      <c r="BI231" s="58" t="n">
        <f aca="false">IF(BH231="",0,MAX(0,MIN(1,(IF(CF231="L1",Parameter!$H$5,IF(CF231="L23",Parameter!$H$6+Parameter!$H$7,Parameter!$H$5+Parameter!$H$6+Parameter!$H$7))-(BH231-BC231))/BC231)))</f>
        <v>1</v>
      </c>
      <c r="BJ231" s="48" t="str">
        <f aca="false">IF(AI231&lt;=0,"",IF(CF231="Aussen","Aussenlager",IF(CF231="-","Nicht im Lift",IF(AO231&gt;=1,"Lift",IF(AO231&lt;=0,"Aussenlager","teilweise")))))</f>
        <v>Lift</v>
      </c>
      <c r="BK231" s="48" t="str">
        <f aca="false">IF(AS231&lt;=0,"",IF(CF231="Aussen","Aussenlager",IF(CF231="-","Nicht im Lift",IF(AY231&gt;=1,"Lift",IF(AY231&lt;=0,"Aussenlager","teilweise")))))</f>
        <v>Lift</v>
      </c>
      <c r="BL231" s="48" t="str">
        <f aca="false">IF(BC231&lt;=0,"",IF(CF231="Aussen","Aussenlager",IF(CF231="-","Nicht im Lift",IF(BI231&gt;=1,"Lift",IF(BI231&lt;=0,"Aussenlager","teilweise")))))</f>
        <v>Lift</v>
      </c>
      <c r="BM231" s="48" t="str">
        <f aca="false">IF(A231="","",IF(BV231=1,"Neu; ","")&amp;IF(AND(BV231=0,BQ231&lt;0),"negativer Bestand (Export "&amp;BQ231&amp;"); ","")&amp;IF(J231&lt;=0,"Kein Verbrauch; ","")&amp;IF(CQ231&gt;0,"Lift "&amp;W231&amp;" lt. Liftbericht (Fach "&amp;X231&amp;" Stk); ",IF(CA231=1,"Gebinde geschätzt ("&amp;T231&amp;"); ",IF(BZ231=1,"Lose – Tablare geschätzt; ","")))&amp;IF(H231&gt;AV231,"Überbestand "&amp;ROUND(H231-AV231,0)&amp;" Stk / CHF "&amp;ROUND((H231-AV231)*G231,0)&amp;"; ","")&amp;IF(AND(CH231=1,CI231&lt;CJ231),"MAX &lt; MB+LG; ","")&amp;IF(AND(CP231&gt;0,CO231*10&gt;CP231),"zu hoch für Tablar; ","")&amp;IF(AND(BV231=0,OR(CH231=1,AA231&lt;&gt;"",U231&lt;&gt;"",V231&lt;&gt;"",AB231&lt;&gt;"")),"manuell übersteuert; ","")&amp;IF(AND(BZ231=0,R231=0),"Gebinde unbekannt / Stellmass fehlt; ","")&amp;IF(AND(BZ231=0,N(V231)&lt;=0,N(Q231)&lt;=0),"Menge pro Gebinde fehlt (Ist = 1 Gebinde); ","")&amp;BU231)</f>
        <v>Lift 1 lt. Liftbericht (Fach 1 Stk); </v>
      </c>
      <c r="BN231" s="48"/>
      <c r="BO231" s="48"/>
      <c r="BP231" s="55"/>
      <c r="BQ231" s="50" t="n">
        <v>1</v>
      </c>
      <c r="BR231" s="50" t="n">
        <v>0</v>
      </c>
      <c r="BS231" s="49" t="n">
        <v>579</v>
      </c>
      <c r="BT231" s="50" t="n">
        <v>1</v>
      </c>
      <c r="BU231" s="48"/>
      <c r="BV231" s="53" t="n">
        <v>0</v>
      </c>
      <c r="BW231" s="53" t="n">
        <v>231</v>
      </c>
      <c r="BX231" s="48" t="str">
        <f aca="false">IF(U231&lt;&gt;"",UPPER(TRIM(U231)),IF(CA231=1,UPPER(VLOOKUP(T231,Parameter!$I$27:$K$29,2,0)),IF(P231="","LOSE",P231)))</f>
        <v>LOSE</v>
      </c>
      <c r="BY231" s="50" t="n">
        <f aca="false">IF(BX231="LOSE",1,IF(N(V231)&gt;0,V231,IF(CA231=1,MAX(1,N(VLOOKUP(T231,Parameter!$I$27:$K$29,3,0)),H231,N(N231)),IF(N(Q231)&gt;0,Q231,MAX(1,H231)))))</f>
        <v>1</v>
      </c>
      <c r="BZ231" s="53" t="n">
        <f aca="false">IF(BX231="LOSE",1,0)</f>
        <v>1</v>
      </c>
      <c r="CA231" s="53" t="n">
        <f aca="false">IF(AND(U231="",OR(P231="",P231="LOSE"),T231&lt;&gt;"",N(S231)&lt;=0,ISNUMBER(MATCH(T231,Parameter!$I$27:$I$29,0))),1,0)</f>
        <v>0</v>
      </c>
      <c r="CB231" s="53" t="n">
        <f aca="false">IF(CQ231&gt;0,INDEX(Parameter!$H$5:$H$7,W231)/INDEX(Parameter!$E$5:$E$7,W231),IF(AND(BZ231=0,N(IFERROR(VLOOKUP(BX231,'Gebinde-Kategorie'!$A$5:$N$45,14,0),0))&gt;0),VLOOKUP(BX231,'Gebinde-Kategorie'!$A$5:$N$45,14,0)*10+Parameter!$M$23,Parameter!$M$24))</f>
        <v>238</v>
      </c>
      <c r="CC231" s="48" t="n">
        <f aca="false">IF(AND(Parameter!$B$19="Ja",E231&lt;&gt;"",ISNUMBER(MATCH(E231,Parameter!$I$35:$I$52,0))),VLOOKUP(E231,Parameter!$I$35:$J$52,2,0),IFERROR(VLOOKUP(D231,Parameter!$A$35:$C$64,2,0),"Nein"))</f>
        <v>1</v>
      </c>
      <c r="CD231" s="52" t="n">
        <f aca="false">IF(BZ231=0,0,IF(N(S231)&gt;0,S231,IFERROR(VLOOKUP(D231,Parameter!$A$35:$C$64,3,0)+0,0)))</f>
        <v>0.15</v>
      </c>
      <c r="CE231" s="48" t="n">
        <f aca="false">IF(AA231&lt;&gt;"",AA231,Z231)</f>
        <v>1</v>
      </c>
      <c r="CF231" s="48" t="str">
        <f aca="false">IF(OR(CE231=1,CE231=2,CE231=3),IF(Parameter!$E$27="Ja","LIFT",IF(CE231=1,"L1","L23")),IF(CE231="Aussen","Aussen","-"))</f>
        <v>LIFT</v>
      </c>
      <c r="CG231" s="59" t="n">
        <f aca="false">IF(N(AB231)&gt;0,AB231,0)</f>
        <v>0</v>
      </c>
      <c r="CH231" s="53" t="n">
        <f aca="false">IF(ISNUMBER(AE231),1,0)</f>
        <v>0</v>
      </c>
      <c r="CI231" s="50" t="n">
        <f aca="false">N(AE231)</f>
        <v>0</v>
      </c>
      <c r="CJ231" s="50" t="n">
        <f aca="false">N(M231)+N(N231)</f>
        <v>1</v>
      </c>
      <c r="CK231" s="50" t="n">
        <f aca="false">N(M231)</f>
        <v>0</v>
      </c>
      <c r="CL231" s="50" t="n">
        <f aca="false">N(N231)</f>
        <v>1</v>
      </c>
      <c r="CM231" s="50" t="n">
        <f aca="false">ROUNDUP(H231/BY231,0)</f>
        <v>1</v>
      </c>
      <c r="CN231" s="50" t="n">
        <f aca="false">ROUNDUP(CI231/BY231,0)</f>
        <v>0</v>
      </c>
      <c r="CO231" s="53" t="n">
        <f aca="false">IF(BZ231=1,0,IFERROR(VLOOKUP(BX231,'Gebinde-Kategorie'!$A$5:$N$45,5,0)+0,0))</f>
        <v>0</v>
      </c>
      <c r="CP231" s="53" t="n">
        <f aca="false">IFERROR(IF(OR(CE231=1,CE231=2,CE231=3),N(INDEX(Parameter!$I$5:$I$7,CE231)),0),0)</f>
        <v>0</v>
      </c>
      <c r="CQ231" s="52" t="n">
        <f aca="false">IF(AND(Parameter!$B$21="Ja",ISNUMBER(W231),N(X231)&gt;0),IFERROR(N(INDEX(Parameter!$L$5:$L$7,W231))*INDEX(Parameter!$E$5:$E$7,W231)*X231/SUMIFS($X$7:$X$1843,$W$7:$W$1843,W231),0),0)</f>
        <v>0.0800376647834275</v>
      </c>
    </row>
    <row r="232" customFormat="false" ht="15" hidden="false" customHeight="false" outlineLevel="0" collapsed="false">
      <c r="A232" s="48" t="s">
        <v>662</v>
      </c>
      <c r="B232" s="48" t="s">
        <v>663</v>
      </c>
      <c r="C232" s="48" t="s">
        <v>173</v>
      </c>
      <c r="D232" s="48" t="s">
        <v>193</v>
      </c>
      <c r="E232" s="48" t="s">
        <v>194</v>
      </c>
      <c r="F232" s="48" t="s">
        <v>227</v>
      </c>
      <c r="G232" s="49" t="n">
        <v>41.32</v>
      </c>
      <c r="H232" s="50" t="n">
        <f aca="false">MAX(0,IF(AND(Parameter!$B$21="Ja",ISNUMBER(Y232)),Y232,IF(Parameter!$B$20="Jahresanfang 2025 + Export",BR232+BQ232,BQ232)))</f>
        <v>21</v>
      </c>
      <c r="I232" s="50" t="n">
        <f aca="false">H232*G232</f>
        <v>867.72</v>
      </c>
      <c r="J232" s="50" t="n">
        <f aca="false">BT232*Parameter!$B$18</f>
        <v>10</v>
      </c>
      <c r="K232" s="51" t="n">
        <v>4</v>
      </c>
      <c r="L232" s="52" t="n">
        <v>2.5</v>
      </c>
      <c r="M232" s="50" t="n">
        <v>0</v>
      </c>
      <c r="N232" s="50" t="n">
        <v>10</v>
      </c>
      <c r="O232" s="53" t="n">
        <v>35</v>
      </c>
      <c r="P232" s="48" t="s">
        <v>430</v>
      </c>
      <c r="Q232" s="50" t="n">
        <v>13</v>
      </c>
      <c r="R232" s="53" t="n">
        <f aca="false">IF(BZ232=1,0,IFERROR(VLOOKUP(BX232,'Gebinde-Kategorie'!$A$5:$N$45,13,0)+0,0))</f>
        <v>104</v>
      </c>
      <c r="S232" s="54"/>
      <c r="T232" s="55"/>
      <c r="U232" s="55"/>
      <c r="V232" s="55"/>
      <c r="W232" s="48"/>
      <c r="X232" s="50"/>
      <c r="Y232" s="50"/>
      <c r="Z232" s="48" t="n">
        <f aca="false">IF(A232="","",IF(AND(Parameter!$B$21="Ja",ISNUMBER(W232)),W232,IF(CC232="2+3",IF(ISNUMBER(SEARCH("grosser Artikel",BU232)),2,IFERROR(VLOOKUP(BX232,Parameter!$F$35:$G$64,2,0),2)),IF(OR(CC232="Nein",CC232=""),"-",CC232))))</f>
        <v>3</v>
      </c>
      <c r="AA232" s="55"/>
      <c r="AB232" s="56"/>
      <c r="AC232" s="50" t="n">
        <f aca="false">AV232</f>
        <v>10</v>
      </c>
      <c r="AD232" s="50" t="n">
        <f aca="false">MAX(AV232,H232)</f>
        <v>21</v>
      </c>
      <c r="AE232" s="57"/>
      <c r="AF232" s="50" t="n">
        <f aca="false">IF(LEFT(Cockpit!$C$5,1)="A",H232,IF(Parameter!$E$30="MAX-Bestand",IF(CH232=1,CI232,IF(LEFT(Cockpit!$C$5,1)="B",AL232,MAX(AL232,H232))),ROUNDUP(AJ232,0)))</f>
        <v>21</v>
      </c>
      <c r="AG232" s="50" t="n">
        <f aca="false">IF(BZ232=1,0,ROUNDUP(AF232/BY232,0))</f>
        <v>2</v>
      </c>
      <c r="AH232" s="52" t="n">
        <f aca="false">IF(CQ232&gt;0,CQ232*MAX(1,AF232/X232),IF(BZ232=1,IF(AF232&lt;=0,0,CD232*MAX(1,IF(H232&gt;0,AF232/H232,1))),IF(R232&gt;0,AG232/R232,0))/MAX(0.1,N(Parameter!$M$21)))</f>
        <v>0.0192307692307692</v>
      </c>
      <c r="AI232" s="50" t="n">
        <f aca="false">AH232*CB232</f>
        <v>2.98076923076923</v>
      </c>
      <c r="AJ232" s="51" t="n">
        <f aca="false">IF(LEFT(Cockpit!$C$5,1)="A",H232,IF(CH232=1,(CK232+CI232)/2,IF(LEFT(Cockpit!$C$5,1)="B",(CK232+AL232)/2,MAX((CK232+AL232)/2,H232))))</f>
        <v>21</v>
      </c>
      <c r="AK232" s="50" t="n">
        <f aca="false">AJ232*G232</f>
        <v>867.72</v>
      </c>
      <c r="AL232" s="50" t="n">
        <f aca="false">ROUNDUP(CK232+MAX(CL232,2*(J232/IF(CG232&gt;0,CG232,MAX(0.1,N(Cockpit!$C$6)))-CK232)),0)</f>
        <v>10</v>
      </c>
      <c r="AM232" s="51" t="n">
        <f aca="false">IF(AI232&gt;0,J232/AI232,-1)</f>
        <v>3.35483870967742</v>
      </c>
      <c r="AN232" s="51" t="n">
        <f aca="false">IF(AND(OR(CF232="L1",CF232="L23",CF232="LIFT"),AI232&gt;0),SUMIFS($AI$7:$AI$1843,$CF$7:$CF$1843,CF232,$AM$7:$AM$1843,"&gt;"&amp;AM232)+SUMIFS($AI$7:$AI$1843,$CF$7:$CF$1843,CF232,$AM$7:$AM$1843,AM232,$BW$7:$BW$1843,"&lt;="&amp;BW232),"")</f>
        <v>4903.42445054945</v>
      </c>
      <c r="AO232" s="58" t="n">
        <f aca="false">IF(AN232="",0,MAX(0,MIN(1,(IF(CF232="L1",Parameter!$H$5,IF(CF232="L23",Parameter!$H$6+Parameter!$H$7,Parameter!$H$5+Parameter!$H$6+Parameter!$H$7))-(AN232-AI232))/AI232)))</f>
        <v>1</v>
      </c>
      <c r="AP232" s="50" t="n">
        <f aca="false">IF(LEFT(Cockpit!$I$5,1)="A",H232,IF(Parameter!$E$30="MAX-Bestand",IF(CH232=1,CI232,IF(LEFT(Cockpit!$I$5,1)="B",AV232,MAX(AV232,H232))),ROUNDUP(AT232,0)))</f>
        <v>21</v>
      </c>
      <c r="AQ232" s="50" t="n">
        <f aca="false">IF(BZ232=1,0,ROUNDUP(AP232/BY232,0))</f>
        <v>2</v>
      </c>
      <c r="AR232" s="52" t="n">
        <f aca="false">IF(CQ232&gt;0,CQ232*MAX(1,AP232/X232),IF(BZ232=1,IF(AP232&lt;=0,0,CD232*MAX(1,IF(H232&gt;0,AP232/H232,1))),IF(R232&gt;0,AQ232/R232,0))/MAX(0.1,N(Parameter!$M$21)))</f>
        <v>0.0192307692307692</v>
      </c>
      <c r="AS232" s="50" t="n">
        <f aca="false">AR232*CB232</f>
        <v>2.98076923076923</v>
      </c>
      <c r="AT232" s="51" t="n">
        <f aca="false">IF(LEFT(Cockpit!$I$5,1)="A",H232,IF(CH232=1,(CK232+CI232)/2,IF(LEFT(Cockpit!$I$5,1)="B",(CK232+AV232)/2,MAX((CK232+AV232)/2,H232))))</f>
        <v>21</v>
      </c>
      <c r="AU232" s="50" t="n">
        <f aca="false">AT232*G232</f>
        <v>867.72</v>
      </c>
      <c r="AV232" s="50" t="n">
        <f aca="false">ROUNDUP(CK232+MAX(CL232,2*(J232/IF(CG232&gt;0,CG232,MAX(0.1,N(Cockpit!$I$6)))-CK232)),0)</f>
        <v>10</v>
      </c>
      <c r="AW232" s="51" t="n">
        <f aca="false">IF(AS232&gt;0,J232/AS232,-1)</f>
        <v>3.35483870967742</v>
      </c>
      <c r="AX232" s="51" t="n">
        <f aca="false">IF(AND(OR(CF232="L1",CF232="L23",CF232="LIFT"),AS232&gt;0),SUMIFS($AS$7:$AS$1843,$CF$7:$CF$1843,CF232,$AW$7:$AW$1843,"&gt;"&amp;AW232)+SUMIFS($AS$7:$AS$1843,$CF$7:$CF$1843,CF232,$AW$7:$AW$1843,AW232,$BW$7:$BW$1843,"&lt;="&amp;BW232),"")</f>
        <v>5567.26144688645</v>
      </c>
      <c r="AY232" s="58" t="n">
        <f aca="false">IF(AX232="",0,MAX(0,MIN(1,(IF(CF232="L1",Parameter!$H$5,IF(CF232="L23",Parameter!$H$6+Parameter!$H$7,Parameter!$H$5+Parameter!$H$6+Parameter!$H$7))-(AX232-AS232))/AS232)))</f>
        <v>1</v>
      </c>
      <c r="AZ232" s="50" t="n">
        <f aca="false">IF(LEFT(Cockpit!$O$5,1)="A",H232,IF(Parameter!$E$30="MAX-Bestand",IF(CH232=1,CI232,IF(LEFT(Cockpit!$O$5,1)="B",BF232,MAX(BF232,H232))),ROUNDUP(BD232,0)))</f>
        <v>5</v>
      </c>
      <c r="BA232" s="50" t="n">
        <f aca="false">IF(BZ232=1,0,ROUNDUP(AZ232/BY232,0))</f>
        <v>1</v>
      </c>
      <c r="BB232" s="52" t="n">
        <f aca="false">IF(CQ232&gt;0,CQ232*MAX(1,AZ232/X232),IF(BZ232=1,IF(AZ232&lt;=0,0,CD232*MAX(1,IF(H232&gt;0,AZ232/H232,1))),IF(R232&gt;0,BA232/R232,0))/MAX(0.1,N(Parameter!$M$21)))</f>
        <v>0.00961538461538462</v>
      </c>
      <c r="BC232" s="50" t="n">
        <f aca="false">BB232*CB232</f>
        <v>1.49038461538462</v>
      </c>
      <c r="BD232" s="51" t="n">
        <f aca="false">IF(LEFT(Cockpit!$O$5,1)="A",H232,IF(CH232=1,(CK232+CI232)/2,IF(LEFT(Cockpit!$O$5,1)="B",(CK232+BF232)/2,MAX((CK232+BF232)/2,H232))))</f>
        <v>5</v>
      </c>
      <c r="BE232" s="50" t="n">
        <f aca="false">BD232*G232</f>
        <v>206.6</v>
      </c>
      <c r="BF232" s="50" t="n">
        <f aca="false">ROUNDUP(CK232+MAX(CL232,2*(J232/IF(CG232&gt;0,CG232,MAX(0.1,N(Cockpit!$O$6)))-CK232)),0)</f>
        <v>10</v>
      </c>
      <c r="BG232" s="51" t="n">
        <f aca="false">IF(BC232&gt;0,J232/BC232,-1)</f>
        <v>6.70967741935484</v>
      </c>
      <c r="BH232" s="51" t="n">
        <f aca="false">IF(AND(OR(CF232="L1",CF232="L23",CF232="LIFT"),BC232&gt;0),SUMIFS($BC$7:$BC$1843,$CF$7:$CF$1843,CF232,$BG$7:$BG$1843,"&gt;"&amp;BG232)+SUMIFS($BC$7:$BC$1843,$CF$7:$CF$1843,CF232,$BG$7:$BG$1843,BG232,$BW$7:$BW$1843,"&lt;="&amp;BW232),"")</f>
        <v>3371.58882783883</v>
      </c>
      <c r="BI232" s="58" t="n">
        <f aca="false">IF(BH232="",0,MAX(0,MIN(1,(IF(CF232="L1",Parameter!$H$5,IF(CF232="L23",Parameter!$H$6+Parameter!$H$7,Parameter!$H$5+Parameter!$H$6+Parameter!$H$7))-(BH232-BC232))/BC232)))</f>
        <v>1</v>
      </c>
      <c r="BJ232" s="48" t="str">
        <f aca="false">IF(AI232&lt;=0,"",IF(CF232="Aussen","Aussenlager",IF(CF232="-","Nicht im Lift",IF(AO232&gt;=1,"Lift",IF(AO232&lt;=0,"Aussenlager","teilweise")))))</f>
        <v>Lift</v>
      </c>
      <c r="BK232" s="48" t="str">
        <f aca="false">IF(AS232&lt;=0,"",IF(CF232="Aussen","Aussenlager",IF(CF232="-","Nicht im Lift",IF(AY232&gt;=1,"Lift",IF(AY232&lt;=0,"Aussenlager","teilweise")))))</f>
        <v>Lift</v>
      </c>
      <c r="BL232" s="48" t="str">
        <f aca="false">IF(BC232&lt;=0,"",IF(CF232="Aussen","Aussenlager",IF(CF232="-","Nicht im Lift",IF(BI232&gt;=1,"Lift",IF(BI232&lt;=0,"Aussenlager","teilweise")))))</f>
        <v>Lift</v>
      </c>
      <c r="BM232" s="48" t="str">
        <f aca="false">IF(A232="","",IF(BV232=1,"Neu; ","")&amp;IF(AND(BV232=0,BQ232&lt;0),"negativer Bestand (Export "&amp;BQ232&amp;"); ","")&amp;IF(J232&lt;=0,"Kein Verbrauch; ","")&amp;IF(CQ232&gt;0,"Lift "&amp;W232&amp;" lt. Liftbericht (Fach "&amp;X232&amp;" Stk); ",IF(CA232=1,"Gebinde geschätzt ("&amp;T232&amp;"); ",IF(BZ232=1,"Lose – Tablare geschätzt; ","")))&amp;IF(H232&gt;AV232,"Überbestand "&amp;ROUND(H232-AV232,0)&amp;" Stk / CHF "&amp;ROUND((H232-AV232)*G232,0)&amp;"; ","")&amp;IF(AND(CH232=1,CI232&lt;CJ232),"MAX &lt; MB+LG; ","")&amp;IF(AND(CP232&gt;0,CO232*10&gt;CP232),"zu hoch für Tablar; ","")&amp;IF(AND(BV232=0,OR(CH232=1,AA232&lt;&gt;"",U232&lt;&gt;"",V232&lt;&gt;"",AB232&lt;&gt;"")),"manuell übersteuert; ","")&amp;IF(AND(BZ232=0,R232=0),"Gebinde unbekannt / Stellmass fehlt; ","")&amp;IF(AND(BZ232=0,N(V232)&lt;=0,N(Q232)&lt;=0),"Menge pro Gebinde fehlt (Ist = 1 Gebinde); ","")&amp;BU232)</f>
        <v>Überbestand 11 Stk / CHF 455; </v>
      </c>
      <c r="BN232" s="48"/>
      <c r="BO232" s="48"/>
      <c r="BP232" s="55"/>
      <c r="BQ232" s="50" t="n">
        <v>17</v>
      </c>
      <c r="BR232" s="50" t="n">
        <v>4</v>
      </c>
      <c r="BS232" s="49" t="n">
        <v>578.4</v>
      </c>
      <c r="BT232" s="50" t="n">
        <v>10</v>
      </c>
      <c r="BU232" s="48"/>
      <c r="BV232" s="53" t="n">
        <v>0</v>
      </c>
      <c r="BW232" s="53" t="n">
        <v>232</v>
      </c>
      <c r="BX232" s="48" t="str">
        <f aca="false">IF(U232&lt;&gt;"",UPPER(TRIM(U232)),IF(CA232=1,UPPER(VLOOKUP(T232,Parameter!$I$27:$K$29,2,0)),IF(P232="","LOSE",P232)))</f>
        <v>S32</v>
      </c>
      <c r="BY232" s="50" t="n">
        <f aca="false">IF(BX232="LOSE",1,IF(N(V232)&gt;0,V232,IF(CA232=1,MAX(1,N(VLOOKUP(T232,Parameter!$I$27:$K$29,3,0)),H232,N(N232)),IF(N(Q232)&gt;0,Q232,MAX(1,H232)))))</f>
        <v>13</v>
      </c>
      <c r="BZ232" s="53" t="n">
        <f aca="false">IF(BX232="LOSE",1,0)</f>
        <v>0</v>
      </c>
      <c r="CA232" s="53" t="n">
        <f aca="false">IF(AND(U232="",OR(P232="",P232="LOSE"),T232&lt;&gt;"",N(S232)&lt;=0,ISNUMBER(MATCH(T232,Parameter!$I$27:$I$29,0))),1,0)</f>
        <v>0</v>
      </c>
      <c r="CB232" s="53" t="n">
        <f aca="false">IF(CQ232&gt;0,INDEX(Parameter!$H$5:$H$7,W232)/INDEX(Parameter!$E$5:$E$7,W232),IF(AND(BZ232=0,N(IFERROR(VLOOKUP(BX232,'Gebinde-Kategorie'!$A$5:$N$45,14,0),0))&gt;0),VLOOKUP(BX232,'Gebinde-Kategorie'!$A$5:$N$45,14,0)*10+Parameter!$M$23,Parameter!$M$24))</f>
        <v>155</v>
      </c>
      <c r="CC232" s="48" t="str">
        <f aca="false">IF(AND(Parameter!$B$19="Ja",E232&lt;&gt;"",ISNUMBER(MATCH(E232,Parameter!$I$35:$I$52,0))),VLOOKUP(E232,Parameter!$I$35:$J$52,2,0),IFERROR(VLOOKUP(D232,Parameter!$A$35:$C$64,2,0),"Nein"))</f>
        <v>2+3</v>
      </c>
      <c r="CD232" s="52" t="n">
        <f aca="false">IF(BZ232=0,0,IF(N(S232)&gt;0,S232,IFERROR(VLOOKUP(D232,Parameter!$A$35:$C$64,3,0)+0,0)))</f>
        <v>0</v>
      </c>
      <c r="CE232" s="48" t="n">
        <f aca="false">IF(AA232&lt;&gt;"",AA232,Z232)</f>
        <v>3</v>
      </c>
      <c r="CF232" s="48" t="str">
        <f aca="false">IF(OR(CE232=1,CE232=2,CE232=3),IF(Parameter!$E$27="Ja","LIFT",IF(CE232=1,"L1","L23")),IF(CE232="Aussen","Aussen","-"))</f>
        <v>LIFT</v>
      </c>
      <c r="CG232" s="59" t="n">
        <f aca="false">IF(N(AB232)&gt;0,AB232,0)</f>
        <v>0</v>
      </c>
      <c r="CH232" s="53" t="n">
        <f aca="false">IF(ISNUMBER(AE232),1,0)</f>
        <v>0</v>
      </c>
      <c r="CI232" s="50" t="n">
        <f aca="false">N(AE232)</f>
        <v>0</v>
      </c>
      <c r="CJ232" s="50" t="n">
        <f aca="false">N(M232)+N(N232)</f>
        <v>10</v>
      </c>
      <c r="CK232" s="50" t="n">
        <f aca="false">N(M232)</f>
        <v>0</v>
      </c>
      <c r="CL232" s="50" t="n">
        <f aca="false">N(N232)</f>
        <v>10</v>
      </c>
      <c r="CM232" s="50" t="n">
        <f aca="false">ROUNDUP(H232/BY232,0)</f>
        <v>2</v>
      </c>
      <c r="CN232" s="50" t="n">
        <f aca="false">ROUNDUP(CI232/BY232,0)</f>
        <v>0</v>
      </c>
      <c r="CO232" s="53" t="n">
        <f aca="false">IF(BZ232=1,0,IFERROR(VLOOKUP(BX232,'Gebinde-Kategorie'!$A$5:$N$45,5,0)+0,0))</f>
        <v>8</v>
      </c>
      <c r="CP232" s="53" t="n">
        <f aca="false">IFERROR(IF(OR(CE232=1,CE232=2,CE232=3),N(INDEX(Parameter!$I$5:$I$7,CE232)),0),0)</f>
        <v>0</v>
      </c>
      <c r="CQ232" s="52" t="n">
        <f aca="false">IF(AND(Parameter!$B$21="Ja",ISNUMBER(W232),N(X232)&gt;0),IFERROR(N(INDEX(Parameter!$L$5:$L$7,W232))*INDEX(Parameter!$E$5:$E$7,W232)*X232/SUMIFS($X$7:$X$1843,$W$7:$W$1843,W232),0),0)</f>
        <v>0</v>
      </c>
    </row>
    <row r="233" customFormat="false" ht="15" hidden="false" customHeight="false" outlineLevel="0" collapsed="false">
      <c r="A233" s="48" t="s">
        <v>664</v>
      </c>
      <c r="B233" s="48" t="s">
        <v>665</v>
      </c>
      <c r="C233" s="48" t="s">
        <v>173</v>
      </c>
      <c r="D233" s="48" t="s">
        <v>182</v>
      </c>
      <c r="E233" s="48"/>
      <c r="F233" s="48" t="s">
        <v>227</v>
      </c>
      <c r="G233" s="49" t="n">
        <v>533.7</v>
      </c>
      <c r="H233" s="50" t="n">
        <f aca="false">MAX(0,IF(AND(Parameter!$B$21="Ja",ISNUMBER(Y233)),Y233,IF(Parameter!$B$20="Jahresanfang 2025 + Export",BR233+BQ233,BQ233)))</f>
        <v>2</v>
      </c>
      <c r="I233" s="50" t="n">
        <f aca="false">H233*G233</f>
        <v>1067.4</v>
      </c>
      <c r="J233" s="50" t="n">
        <f aca="false">BT233*Parameter!$B$18</f>
        <v>0</v>
      </c>
      <c r="K233" s="51" t="n">
        <v>1</v>
      </c>
      <c r="L233" s="52" t="n">
        <v>0</v>
      </c>
      <c r="M233" s="50" t="n">
        <v>0</v>
      </c>
      <c r="N233" s="50" t="n">
        <v>1</v>
      </c>
      <c r="O233" s="53" t="n">
        <v>28</v>
      </c>
      <c r="P233" s="48" t="s">
        <v>177</v>
      </c>
      <c r="Q233" s="50"/>
      <c r="R233" s="53" t="n">
        <f aca="false">IF(BZ233=1,0,IFERROR(VLOOKUP(BX233,'Gebinde-Kategorie'!$A$5:$N$45,13,0)+0,0))</f>
        <v>12</v>
      </c>
      <c r="S233" s="54"/>
      <c r="T233" s="55" t="s">
        <v>188</v>
      </c>
      <c r="U233" s="55"/>
      <c r="V233" s="55"/>
      <c r="W233" s="48"/>
      <c r="X233" s="50"/>
      <c r="Y233" s="50"/>
      <c r="Z233" s="48" t="n">
        <f aca="false">IF(A233="","",IF(AND(Parameter!$B$21="Ja",ISNUMBER(W233)),W233,IF(CC233="2+3",IF(ISNUMBER(SEARCH("grosser Artikel",BU233)),2,IFERROR(VLOOKUP(BX233,Parameter!$F$35:$G$64,2,0),2)),IF(OR(CC233="Nein",CC233=""),"-",CC233))))</f>
        <v>2</v>
      </c>
      <c r="AA233" s="55"/>
      <c r="AB233" s="56"/>
      <c r="AC233" s="50" t="n">
        <f aca="false">AV233</f>
        <v>1</v>
      </c>
      <c r="AD233" s="50" t="n">
        <f aca="false">MAX(AV233,H233)</f>
        <v>2</v>
      </c>
      <c r="AE233" s="57"/>
      <c r="AF233" s="50" t="n">
        <f aca="false">IF(LEFT(Cockpit!$C$5,1)="A",H233,IF(Parameter!$E$30="MAX-Bestand",IF(CH233=1,CI233,IF(LEFT(Cockpit!$C$5,1)="B",AL233,MAX(AL233,H233))),ROUNDUP(AJ233,0)))</f>
        <v>2</v>
      </c>
      <c r="AG233" s="50" t="n">
        <f aca="false">IF(BZ233=1,0,ROUNDUP(AF233/BY233,0))</f>
        <v>1</v>
      </c>
      <c r="AH233" s="52" t="n">
        <f aca="false">IF(CQ233&gt;0,CQ233*MAX(1,AF233/X233),IF(BZ233=1,IF(AF233&lt;=0,0,CD233*MAX(1,IF(H233&gt;0,AF233/H233,1))),IF(R233&gt;0,AG233/R233,0))/MAX(0.1,N(Parameter!$M$21)))</f>
        <v>0.0833333333333333</v>
      </c>
      <c r="AI233" s="50" t="n">
        <f aca="false">AH233*CB233</f>
        <v>12.0833333333333</v>
      </c>
      <c r="AJ233" s="51" t="n">
        <f aca="false">IF(LEFT(Cockpit!$C$5,1)="A",H233,IF(CH233=1,(CK233+CI233)/2,IF(LEFT(Cockpit!$C$5,1)="B",(CK233+AL233)/2,MAX((CK233+AL233)/2,H233))))</f>
        <v>2</v>
      </c>
      <c r="AK233" s="50" t="n">
        <f aca="false">AJ233*G233</f>
        <v>1067.4</v>
      </c>
      <c r="AL233" s="50" t="n">
        <f aca="false">ROUNDUP(CK233+MAX(CL233,2*(J233/IF(CG233&gt;0,CG233,MAX(0.1,N(Cockpit!$C$6)))-CK233)),0)</f>
        <v>1</v>
      </c>
      <c r="AM233" s="51" t="n">
        <f aca="false">IF(AI233&gt;0,J233/AI233,-1)</f>
        <v>0</v>
      </c>
      <c r="AN233" s="51" t="n">
        <f aca="false">IF(AND(OR(CF233="L1",CF233="L23",CF233="LIFT"),AI233&gt;0),SUMIFS($AI$7:$AI$1843,$CF$7:$CF$1843,CF233,$AM$7:$AM$1843,"&gt;"&amp;AM233)+SUMIFS($AI$7:$AI$1843,$CF$7:$CF$1843,CF233,$AM$7:$AM$1843,AM233,$BW$7:$BW$1843,"&lt;="&amp;BW233),"")</f>
        <v>27633.4722377434</v>
      </c>
      <c r="AO233" s="58" t="n">
        <f aca="false">IF(AN233="",0,MAX(0,MIN(1,(IF(CF233="L1",Parameter!$H$5,IF(CF233="L23",Parameter!$H$6+Parameter!$H$7,Parameter!$H$5+Parameter!$H$6+Parameter!$H$7))-(AN233-AI233))/AI233)))</f>
        <v>1</v>
      </c>
      <c r="AP233" s="50" t="n">
        <f aca="false">IF(LEFT(Cockpit!$I$5,1)="A",H233,IF(Parameter!$E$30="MAX-Bestand",IF(CH233=1,CI233,IF(LEFT(Cockpit!$I$5,1)="B",AV233,MAX(AV233,H233))),ROUNDUP(AT233,0)))</f>
        <v>2</v>
      </c>
      <c r="AQ233" s="50" t="n">
        <f aca="false">IF(BZ233=1,0,ROUNDUP(AP233/BY233,0))</f>
        <v>1</v>
      </c>
      <c r="AR233" s="52" t="n">
        <f aca="false">IF(CQ233&gt;0,CQ233*MAX(1,AP233/X233),IF(BZ233=1,IF(AP233&lt;=0,0,CD233*MAX(1,IF(H233&gt;0,AP233/H233,1))),IF(R233&gt;0,AQ233/R233,0))/MAX(0.1,N(Parameter!$M$21)))</f>
        <v>0.0833333333333333</v>
      </c>
      <c r="AS233" s="50" t="n">
        <f aca="false">AR233*CB233</f>
        <v>12.0833333333333</v>
      </c>
      <c r="AT233" s="51" t="n">
        <f aca="false">IF(LEFT(Cockpit!$I$5,1)="A",H233,IF(CH233=1,(CK233+CI233)/2,IF(LEFT(Cockpit!$I$5,1)="B",(CK233+AV233)/2,MAX((CK233+AV233)/2,H233))))</f>
        <v>2</v>
      </c>
      <c r="AU233" s="50" t="n">
        <f aca="false">AT233*G233</f>
        <v>1067.4</v>
      </c>
      <c r="AV233" s="50" t="n">
        <f aca="false">ROUNDUP(CK233+MAX(CL233,2*(J233/IF(CG233&gt;0,CG233,MAX(0.1,N(Cockpit!$I$6)))-CK233)),0)</f>
        <v>1</v>
      </c>
      <c r="AW233" s="51" t="n">
        <f aca="false">IF(AS233&gt;0,J233/AS233,-1)</f>
        <v>0</v>
      </c>
      <c r="AX233" s="51" t="n">
        <f aca="false">IF(AND(OR(CF233="L1",CF233="L23",CF233="LIFT"),AS233&gt;0),SUMIFS($AS$7:$AS$1843,$CF$7:$CF$1843,CF233,$AW$7:$AW$1843,"&gt;"&amp;AW233)+SUMIFS($AS$7:$AS$1843,$CF$7:$CF$1843,CF233,$AW$7:$AW$1843,AW233,$BW$7:$BW$1843,"&lt;="&amp;BW233),"")</f>
        <v>32986.6208791209</v>
      </c>
      <c r="AY233" s="58" t="n">
        <f aca="false">IF(AX233="",0,MAX(0,MIN(1,(IF(CF233="L1",Parameter!$H$5,IF(CF233="L23",Parameter!$H$6+Parameter!$H$7,Parameter!$H$5+Parameter!$H$6+Parameter!$H$7))-(AX233-AS233))/AS233)))</f>
        <v>1</v>
      </c>
      <c r="AZ233" s="50" t="n">
        <f aca="false">IF(LEFT(Cockpit!$O$5,1)="A",H233,IF(Parameter!$E$30="MAX-Bestand",IF(CH233=1,CI233,IF(LEFT(Cockpit!$O$5,1)="B",BF233,MAX(BF233,H233))),ROUNDUP(BD233,0)))</f>
        <v>1</v>
      </c>
      <c r="BA233" s="50" t="n">
        <f aca="false">IF(BZ233=1,0,ROUNDUP(AZ233/BY233,0))</f>
        <v>1</v>
      </c>
      <c r="BB233" s="52" t="n">
        <f aca="false">IF(CQ233&gt;0,CQ233*MAX(1,AZ233/X233),IF(BZ233=1,IF(AZ233&lt;=0,0,CD233*MAX(1,IF(H233&gt;0,AZ233/H233,1))),IF(R233&gt;0,BA233/R233,0))/MAX(0.1,N(Parameter!$M$21)))</f>
        <v>0.0833333333333333</v>
      </c>
      <c r="BC233" s="50" t="n">
        <f aca="false">BB233*CB233</f>
        <v>12.0833333333333</v>
      </c>
      <c r="BD233" s="51" t="n">
        <f aca="false">IF(LEFT(Cockpit!$O$5,1)="A",H233,IF(CH233=1,(CK233+CI233)/2,IF(LEFT(Cockpit!$O$5,1)="B",(CK233+BF233)/2,MAX((CK233+BF233)/2,H233))))</f>
        <v>0.5</v>
      </c>
      <c r="BE233" s="50" t="n">
        <f aca="false">BD233*G233</f>
        <v>266.85</v>
      </c>
      <c r="BF233" s="50" t="n">
        <f aca="false">ROUNDUP(CK233+MAX(CL233,2*(J233/IF(CG233&gt;0,CG233,MAX(0.1,N(Cockpit!$O$6)))-CK233)),0)</f>
        <v>1</v>
      </c>
      <c r="BG233" s="51" t="n">
        <f aca="false">IF(BC233&gt;0,J233/BC233,-1)</f>
        <v>0</v>
      </c>
      <c r="BH233" s="51" t="n">
        <f aca="false">IF(AND(OR(CF233="L1",CF233="L23",CF233="LIFT"),BC233&gt;0),SUMIFS($BC$7:$BC$1843,$CF$7:$CF$1843,CF233,$BG$7:$BG$1843,"&gt;"&amp;BG233)+SUMIFS($BC$7:$BC$1843,$CF$7:$CF$1843,CF233,$BG$7:$BG$1843,BG233,$BW$7:$BW$1843,"&lt;="&amp;BW233),"")</f>
        <v>27141.439901906</v>
      </c>
      <c r="BI233" s="58" t="n">
        <f aca="false">IF(BH233="",0,MAX(0,MIN(1,(IF(CF233="L1",Parameter!$H$5,IF(CF233="L23",Parameter!$H$6+Parameter!$H$7,Parameter!$H$5+Parameter!$H$6+Parameter!$H$7))-(BH233-BC233))/BC233)))</f>
        <v>1</v>
      </c>
      <c r="BJ233" s="48" t="str">
        <f aca="false">IF(AI233&lt;=0,"",IF(CF233="Aussen","Aussenlager",IF(CF233="-","Nicht im Lift",IF(AO233&gt;=1,"Lift",IF(AO233&lt;=0,"Aussenlager","teilweise")))))</f>
        <v>Lift</v>
      </c>
      <c r="BK233" s="48" t="str">
        <f aca="false">IF(AS233&lt;=0,"",IF(CF233="Aussen","Aussenlager",IF(CF233="-","Nicht im Lift",IF(AY233&gt;=1,"Lift",IF(AY233&lt;=0,"Aussenlager","teilweise")))))</f>
        <v>Lift</v>
      </c>
      <c r="BL233" s="48" t="str">
        <f aca="false">IF(BC233&lt;=0,"",IF(CF233="Aussen","Aussenlager",IF(CF233="-","Nicht im Lift",IF(BI233&gt;=1,"Lift",IF(BI233&lt;=0,"Aussenlager","teilweise")))))</f>
        <v>Lift</v>
      </c>
      <c r="BM233" s="48" t="str">
        <f aca="false">IF(A233="","",IF(BV233=1,"Neu; ","")&amp;IF(AND(BV233=0,BQ233&lt;0),"negativer Bestand (Export "&amp;BQ233&amp;"); ","")&amp;IF(J233&lt;=0,"Kein Verbrauch; ","")&amp;IF(CQ233&gt;0,"Lift "&amp;W233&amp;" lt. Liftbericht (Fach "&amp;X233&amp;" Stk); ",IF(CA233=1,"Gebinde geschätzt ("&amp;T233&amp;"); ",IF(BZ233=1,"Lose – Tablare geschätzt; ","")))&amp;IF(H233&gt;AV233,"Überbestand "&amp;ROUND(H233-AV233,0)&amp;" Stk / CHF "&amp;ROUND((H233-AV233)*G233,0)&amp;"; ","")&amp;IF(AND(CH233=1,CI233&lt;CJ233),"MAX &lt; MB+LG; ","")&amp;IF(AND(CP233&gt;0,CO233*10&gt;CP233),"zu hoch für Tablar; ","")&amp;IF(AND(BV233=0,OR(CH233=1,AA233&lt;&gt;"",U233&lt;&gt;"",V233&lt;&gt;"",AB233&lt;&gt;"")),"manuell übersteuert; ","")&amp;IF(AND(BZ233=0,R233=0),"Gebinde unbekannt / Stellmass fehlt; ","")&amp;IF(AND(BZ233=0,N(V233)&lt;=0,N(Q233)&lt;=0),"Menge pro Gebinde fehlt (Ist = 1 Gebinde); ","")&amp;BU233)</f>
        <v>Kein Verbrauch; Gebinde geschätzt (Mittel); Überbestand 1 Stk / CHF 534; Menge pro Gebinde fehlt (Ist = 1 Gebinde); </v>
      </c>
      <c r="BN233" s="48"/>
      <c r="BO233" s="48"/>
      <c r="BP233" s="55"/>
      <c r="BQ233" s="50" t="n">
        <v>1</v>
      </c>
      <c r="BR233" s="50" t="n">
        <v>1</v>
      </c>
      <c r="BS233" s="49" t="n">
        <v>576.9</v>
      </c>
      <c r="BT233" s="50" t="n">
        <v>0</v>
      </c>
      <c r="BU233" s="48"/>
      <c r="BV233" s="53" t="n">
        <v>0</v>
      </c>
      <c r="BW233" s="53" t="n">
        <v>233</v>
      </c>
      <c r="BX233" s="48" t="str">
        <f aca="false">IF(U233&lt;&gt;"",UPPER(TRIM(U233)),IF(CA233=1,UPPER(VLOOKUP(T233,Parameter!$I$27:$K$29,2,0)),IF(P233="","LOSE",P233)))</f>
        <v>S61</v>
      </c>
      <c r="BY233" s="50" t="n">
        <f aca="false">IF(BX233="LOSE",1,IF(N(V233)&gt;0,V233,IF(CA233=1,MAX(1,N(VLOOKUP(T233,Parameter!$I$27:$K$29,3,0)),H233,N(N233)),IF(N(Q233)&gt;0,Q233,MAX(1,H233)))))</f>
        <v>4</v>
      </c>
      <c r="BZ233" s="53" t="n">
        <f aca="false">IF(BX233="LOSE",1,0)</f>
        <v>0</v>
      </c>
      <c r="CA233" s="53" t="n">
        <f aca="false">IF(AND(U233="",OR(P233="",P233="LOSE"),T233&lt;&gt;"",N(S233)&lt;=0,ISNUMBER(MATCH(T233,Parameter!$I$27:$I$29,0))),1,0)</f>
        <v>1</v>
      </c>
      <c r="CB233" s="53" t="n">
        <f aca="false">IF(CQ233&gt;0,INDEX(Parameter!$H$5:$H$7,W233)/INDEX(Parameter!$E$5:$E$7,W233),IF(AND(BZ233=0,N(IFERROR(VLOOKUP(BX233,'Gebinde-Kategorie'!$A$5:$N$45,14,0),0))&gt;0),VLOOKUP(BX233,'Gebinde-Kategorie'!$A$5:$N$45,14,0)*10+Parameter!$M$23,Parameter!$M$24))</f>
        <v>145</v>
      </c>
      <c r="CC233" s="48" t="str">
        <f aca="false">IF(AND(Parameter!$B$19="Ja",E233&lt;&gt;"",ISNUMBER(MATCH(E233,Parameter!$I$35:$I$52,0))),VLOOKUP(E233,Parameter!$I$35:$J$52,2,0),IFERROR(VLOOKUP(D233,Parameter!$A$35:$C$64,2,0),"Nein"))</f>
        <v>2+3</v>
      </c>
      <c r="CD233" s="52" t="n">
        <f aca="false">IF(BZ233=0,0,IF(N(S233)&gt;0,S233,IFERROR(VLOOKUP(D233,Parameter!$A$35:$C$64,3,0)+0,0)))</f>
        <v>0</v>
      </c>
      <c r="CE233" s="48" t="n">
        <f aca="false">IF(AA233&lt;&gt;"",AA233,Z233)</f>
        <v>2</v>
      </c>
      <c r="CF233" s="48" t="str">
        <f aca="false">IF(OR(CE233=1,CE233=2,CE233=3),IF(Parameter!$E$27="Ja","LIFT",IF(CE233=1,"L1","L23")),IF(CE233="Aussen","Aussen","-"))</f>
        <v>LIFT</v>
      </c>
      <c r="CG233" s="59" t="n">
        <f aca="false">IF(N(AB233)&gt;0,AB233,0)</f>
        <v>0</v>
      </c>
      <c r="CH233" s="53" t="n">
        <f aca="false">IF(ISNUMBER(AE233),1,0)</f>
        <v>0</v>
      </c>
      <c r="CI233" s="50" t="n">
        <f aca="false">N(AE233)</f>
        <v>0</v>
      </c>
      <c r="CJ233" s="50" t="n">
        <f aca="false">N(M233)+N(N233)</f>
        <v>1</v>
      </c>
      <c r="CK233" s="50" t="n">
        <f aca="false">N(M233)</f>
        <v>0</v>
      </c>
      <c r="CL233" s="50" t="n">
        <f aca="false">N(N233)</f>
        <v>1</v>
      </c>
      <c r="CM233" s="50" t="n">
        <f aca="false">ROUNDUP(H233/BY233,0)</f>
        <v>1</v>
      </c>
      <c r="CN233" s="50" t="n">
        <f aca="false">ROUNDUP(CI233/BY233,0)</f>
        <v>0</v>
      </c>
      <c r="CO233" s="53" t="n">
        <f aca="false">IF(BZ233=1,0,IFERROR(VLOOKUP(BX233,'Gebinde-Kategorie'!$A$5:$N$45,5,0)+0,0))</f>
        <v>11</v>
      </c>
      <c r="CP233" s="53" t="n">
        <f aca="false">IFERROR(IF(OR(CE233=1,CE233=2,CE233=3),N(INDEX(Parameter!$I$5:$I$7,CE233)),0),0)</f>
        <v>0</v>
      </c>
      <c r="CQ233" s="52" t="n">
        <f aca="false">IF(AND(Parameter!$B$21="Ja",ISNUMBER(W233),N(X233)&gt;0),IFERROR(N(INDEX(Parameter!$L$5:$L$7,W233))*INDEX(Parameter!$E$5:$E$7,W233)*X233/SUMIFS($X$7:$X$1843,$W$7:$W$1843,W233),0),0)</f>
        <v>0</v>
      </c>
    </row>
    <row r="234" customFormat="false" ht="15" hidden="false" customHeight="false" outlineLevel="0" collapsed="false">
      <c r="A234" s="48" t="s">
        <v>666</v>
      </c>
      <c r="B234" s="48" t="s">
        <v>667</v>
      </c>
      <c r="C234" s="48" t="s">
        <v>173</v>
      </c>
      <c r="D234" s="48" t="s">
        <v>182</v>
      </c>
      <c r="E234" s="48"/>
      <c r="F234" s="48" t="s">
        <v>227</v>
      </c>
      <c r="G234" s="49" t="n">
        <v>533.7</v>
      </c>
      <c r="H234" s="50" t="n">
        <f aca="false">MAX(0,IF(AND(Parameter!$B$21="Ja",ISNUMBER(Y234)),Y234,IF(Parameter!$B$20="Jahresanfang 2025 + Export",BR234+BQ234,BQ234)))</f>
        <v>2</v>
      </c>
      <c r="I234" s="50" t="n">
        <f aca="false">H234*G234</f>
        <v>1067.4</v>
      </c>
      <c r="J234" s="50" t="n">
        <f aca="false">BT234*Parameter!$B$18</f>
        <v>0</v>
      </c>
      <c r="K234" s="51" t="n">
        <v>1</v>
      </c>
      <c r="L234" s="52" t="n">
        <v>0</v>
      </c>
      <c r="M234" s="50" t="n">
        <v>0</v>
      </c>
      <c r="N234" s="50" t="n">
        <v>1</v>
      </c>
      <c r="O234" s="53" t="n">
        <v>28</v>
      </c>
      <c r="P234" s="48" t="s">
        <v>177</v>
      </c>
      <c r="Q234" s="50"/>
      <c r="R234" s="53" t="n">
        <f aca="false">IF(BZ234=1,0,IFERROR(VLOOKUP(BX234,'Gebinde-Kategorie'!$A$5:$N$45,13,0)+0,0))</f>
        <v>12</v>
      </c>
      <c r="S234" s="54"/>
      <c r="T234" s="55" t="s">
        <v>188</v>
      </c>
      <c r="U234" s="55"/>
      <c r="V234" s="55"/>
      <c r="W234" s="48"/>
      <c r="X234" s="50"/>
      <c r="Y234" s="50"/>
      <c r="Z234" s="48" t="n">
        <f aca="false">IF(A234="","",IF(AND(Parameter!$B$21="Ja",ISNUMBER(W234)),W234,IF(CC234="2+3",IF(ISNUMBER(SEARCH("grosser Artikel",BU234)),2,IFERROR(VLOOKUP(BX234,Parameter!$F$35:$G$64,2,0),2)),IF(OR(CC234="Nein",CC234=""),"-",CC234))))</f>
        <v>2</v>
      </c>
      <c r="AA234" s="55"/>
      <c r="AB234" s="56"/>
      <c r="AC234" s="50" t="n">
        <f aca="false">AV234</f>
        <v>1</v>
      </c>
      <c r="AD234" s="50" t="n">
        <f aca="false">MAX(AV234,H234)</f>
        <v>2</v>
      </c>
      <c r="AE234" s="57"/>
      <c r="AF234" s="50" t="n">
        <f aca="false">IF(LEFT(Cockpit!$C$5,1)="A",H234,IF(Parameter!$E$30="MAX-Bestand",IF(CH234=1,CI234,IF(LEFT(Cockpit!$C$5,1)="B",AL234,MAX(AL234,H234))),ROUNDUP(AJ234,0)))</f>
        <v>2</v>
      </c>
      <c r="AG234" s="50" t="n">
        <f aca="false">IF(BZ234=1,0,ROUNDUP(AF234/BY234,0))</f>
        <v>1</v>
      </c>
      <c r="AH234" s="52" t="n">
        <f aca="false">IF(CQ234&gt;0,CQ234*MAX(1,AF234/X234),IF(BZ234=1,IF(AF234&lt;=0,0,CD234*MAX(1,IF(H234&gt;0,AF234/H234,1))),IF(R234&gt;0,AG234/R234,0))/MAX(0.1,N(Parameter!$M$21)))</f>
        <v>0.0833333333333333</v>
      </c>
      <c r="AI234" s="50" t="n">
        <f aca="false">AH234*CB234</f>
        <v>12.0833333333333</v>
      </c>
      <c r="AJ234" s="51" t="n">
        <f aca="false">IF(LEFT(Cockpit!$C$5,1)="A",H234,IF(CH234=1,(CK234+CI234)/2,IF(LEFT(Cockpit!$C$5,1)="B",(CK234+AL234)/2,MAX((CK234+AL234)/2,H234))))</f>
        <v>2</v>
      </c>
      <c r="AK234" s="50" t="n">
        <f aca="false">AJ234*G234</f>
        <v>1067.4</v>
      </c>
      <c r="AL234" s="50" t="n">
        <f aca="false">ROUNDUP(CK234+MAX(CL234,2*(J234/IF(CG234&gt;0,CG234,MAX(0.1,N(Cockpit!$C$6)))-CK234)),0)</f>
        <v>1</v>
      </c>
      <c r="AM234" s="51" t="n">
        <f aca="false">IF(AI234&gt;0,J234/AI234,-1)</f>
        <v>0</v>
      </c>
      <c r="AN234" s="51" t="n">
        <f aca="false">IF(AND(OR(CF234="L1",CF234="L23",CF234="LIFT"),AI234&gt;0),SUMIFS($AI$7:$AI$1843,$CF$7:$CF$1843,CF234,$AM$7:$AM$1843,"&gt;"&amp;AM234)+SUMIFS($AI$7:$AI$1843,$CF$7:$CF$1843,CF234,$AM$7:$AM$1843,AM234,$BW$7:$BW$1843,"&lt;="&amp;BW234),"")</f>
        <v>27645.5555710768</v>
      </c>
      <c r="AO234" s="58" t="n">
        <f aca="false">IF(AN234="",0,MAX(0,MIN(1,(IF(CF234="L1",Parameter!$H$5,IF(CF234="L23",Parameter!$H$6+Parameter!$H$7,Parameter!$H$5+Parameter!$H$6+Parameter!$H$7))-(AN234-AI234))/AI234)))</f>
        <v>1</v>
      </c>
      <c r="AP234" s="50" t="n">
        <f aca="false">IF(LEFT(Cockpit!$I$5,1)="A",H234,IF(Parameter!$E$30="MAX-Bestand",IF(CH234=1,CI234,IF(LEFT(Cockpit!$I$5,1)="B",AV234,MAX(AV234,H234))),ROUNDUP(AT234,0)))</f>
        <v>2</v>
      </c>
      <c r="AQ234" s="50" t="n">
        <f aca="false">IF(BZ234=1,0,ROUNDUP(AP234/BY234,0))</f>
        <v>1</v>
      </c>
      <c r="AR234" s="52" t="n">
        <f aca="false">IF(CQ234&gt;0,CQ234*MAX(1,AP234/X234),IF(BZ234=1,IF(AP234&lt;=0,0,CD234*MAX(1,IF(H234&gt;0,AP234/H234,1))),IF(R234&gt;0,AQ234/R234,0))/MAX(0.1,N(Parameter!$M$21)))</f>
        <v>0.0833333333333333</v>
      </c>
      <c r="AS234" s="50" t="n">
        <f aca="false">AR234*CB234</f>
        <v>12.0833333333333</v>
      </c>
      <c r="AT234" s="51" t="n">
        <f aca="false">IF(LEFT(Cockpit!$I$5,1)="A",H234,IF(CH234=1,(CK234+CI234)/2,IF(LEFT(Cockpit!$I$5,1)="B",(CK234+AV234)/2,MAX((CK234+AV234)/2,H234))))</f>
        <v>2</v>
      </c>
      <c r="AU234" s="50" t="n">
        <f aca="false">AT234*G234</f>
        <v>1067.4</v>
      </c>
      <c r="AV234" s="50" t="n">
        <f aca="false">ROUNDUP(CK234+MAX(CL234,2*(J234/IF(CG234&gt;0,CG234,MAX(0.1,N(Cockpit!$I$6)))-CK234)),0)</f>
        <v>1</v>
      </c>
      <c r="AW234" s="51" t="n">
        <f aca="false">IF(AS234&gt;0,J234/AS234,-1)</f>
        <v>0</v>
      </c>
      <c r="AX234" s="51" t="n">
        <f aca="false">IF(AND(OR(CF234="L1",CF234="L23",CF234="LIFT"),AS234&gt;0),SUMIFS($AS$7:$AS$1843,$CF$7:$CF$1843,CF234,$AW$7:$AW$1843,"&gt;"&amp;AW234)+SUMIFS($AS$7:$AS$1843,$CF$7:$CF$1843,CF234,$AW$7:$AW$1843,AW234,$BW$7:$BW$1843,"&lt;="&amp;BW234),"")</f>
        <v>32998.7042124542</v>
      </c>
      <c r="AY234" s="58" t="n">
        <f aca="false">IF(AX234="",0,MAX(0,MIN(1,(IF(CF234="L1",Parameter!$H$5,IF(CF234="L23",Parameter!$H$6+Parameter!$H$7,Parameter!$H$5+Parameter!$H$6+Parameter!$H$7))-(AX234-AS234))/AS234)))</f>
        <v>1</v>
      </c>
      <c r="AZ234" s="50" t="n">
        <f aca="false">IF(LEFT(Cockpit!$O$5,1)="A",H234,IF(Parameter!$E$30="MAX-Bestand",IF(CH234=1,CI234,IF(LEFT(Cockpit!$O$5,1)="B",BF234,MAX(BF234,H234))),ROUNDUP(BD234,0)))</f>
        <v>1</v>
      </c>
      <c r="BA234" s="50" t="n">
        <f aca="false">IF(BZ234=1,0,ROUNDUP(AZ234/BY234,0))</f>
        <v>1</v>
      </c>
      <c r="BB234" s="52" t="n">
        <f aca="false">IF(CQ234&gt;0,CQ234*MAX(1,AZ234/X234),IF(BZ234=1,IF(AZ234&lt;=0,0,CD234*MAX(1,IF(H234&gt;0,AZ234/H234,1))),IF(R234&gt;0,BA234/R234,0))/MAX(0.1,N(Parameter!$M$21)))</f>
        <v>0.0833333333333333</v>
      </c>
      <c r="BC234" s="50" t="n">
        <f aca="false">BB234*CB234</f>
        <v>12.0833333333333</v>
      </c>
      <c r="BD234" s="51" t="n">
        <f aca="false">IF(LEFT(Cockpit!$O$5,1)="A",H234,IF(CH234=1,(CK234+CI234)/2,IF(LEFT(Cockpit!$O$5,1)="B",(CK234+BF234)/2,MAX((CK234+BF234)/2,H234))))</f>
        <v>0.5</v>
      </c>
      <c r="BE234" s="50" t="n">
        <f aca="false">BD234*G234</f>
        <v>266.85</v>
      </c>
      <c r="BF234" s="50" t="n">
        <f aca="false">ROUNDUP(CK234+MAX(CL234,2*(J234/IF(CG234&gt;0,CG234,MAX(0.1,N(Cockpit!$O$6)))-CK234)),0)</f>
        <v>1</v>
      </c>
      <c r="BG234" s="51" t="n">
        <f aca="false">IF(BC234&gt;0,J234/BC234,-1)</f>
        <v>0</v>
      </c>
      <c r="BH234" s="51" t="n">
        <f aca="false">IF(AND(OR(CF234="L1",CF234="L23",CF234="LIFT"),BC234&gt;0),SUMIFS($BC$7:$BC$1843,$CF$7:$CF$1843,CF234,$BG$7:$BG$1843,"&gt;"&amp;BG234)+SUMIFS($BC$7:$BC$1843,$CF$7:$CF$1843,CF234,$BG$7:$BG$1843,BG234,$BW$7:$BW$1843,"&lt;="&amp;BW234),"")</f>
        <v>27153.5232352393</v>
      </c>
      <c r="BI234" s="58" t="n">
        <f aca="false">IF(BH234="",0,MAX(0,MIN(1,(IF(CF234="L1",Parameter!$H$5,IF(CF234="L23",Parameter!$H$6+Parameter!$H$7,Parameter!$H$5+Parameter!$H$6+Parameter!$H$7))-(BH234-BC234))/BC234)))</f>
        <v>1</v>
      </c>
      <c r="BJ234" s="48" t="str">
        <f aca="false">IF(AI234&lt;=0,"",IF(CF234="Aussen","Aussenlager",IF(CF234="-","Nicht im Lift",IF(AO234&gt;=1,"Lift",IF(AO234&lt;=0,"Aussenlager","teilweise")))))</f>
        <v>Lift</v>
      </c>
      <c r="BK234" s="48" t="str">
        <f aca="false">IF(AS234&lt;=0,"",IF(CF234="Aussen","Aussenlager",IF(CF234="-","Nicht im Lift",IF(AY234&gt;=1,"Lift",IF(AY234&lt;=0,"Aussenlager","teilweise")))))</f>
        <v>Lift</v>
      </c>
      <c r="BL234" s="48" t="str">
        <f aca="false">IF(BC234&lt;=0,"",IF(CF234="Aussen","Aussenlager",IF(CF234="-","Nicht im Lift",IF(BI234&gt;=1,"Lift",IF(BI234&lt;=0,"Aussenlager","teilweise")))))</f>
        <v>Lift</v>
      </c>
      <c r="BM234" s="48" t="str">
        <f aca="false">IF(A234="","",IF(BV234=1,"Neu; ","")&amp;IF(AND(BV234=0,BQ234&lt;0),"negativer Bestand (Export "&amp;BQ234&amp;"); ","")&amp;IF(J234&lt;=0,"Kein Verbrauch; ","")&amp;IF(CQ234&gt;0,"Lift "&amp;W234&amp;" lt. Liftbericht (Fach "&amp;X234&amp;" Stk); ",IF(CA234=1,"Gebinde geschätzt ("&amp;T234&amp;"); ",IF(BZ234=1,"Lose – Tablare geschätzt; ","")))&amp;IF(H234&gt;AV234,"Überbestand "&amp;ROUND(H234-AV234,0)&amp;" Stk / CHF "&amp;ROUND((H234-AV234)*G234,0)&amp;"; ","")&amp;IF(AND(CH234=1,CI234&lt;CJ234),"MAX &lt; MB+LG; ","")&amp;IF(AND(CP234&gt;0,CO234*10&gt;CP234),"zu hoch für Tablar; ","")&amp;IF(AND(BV234=0,OR(CH234=1,AA234&lt;&gt;"",U234&lt;&gt;"",V234&lt;&gt;"",AB234&lt;&gt;"")),"manuell übersteuert; ","")&amp;IF(AND(BZ234=0,R234=0),"Gebinde unbekannt / Stellmass fehlt; ","")&amp;IF(AND(BZ234=0,N(V234)&lt;=0,N(Q234)&lt;=0),"Menge pro Gebinde fehlt (Ist = 1 Gebinde); ","")&amp;BU234)</f>
        <v>Kein Verbrauch; Gebinde geschätzt (Mittel); Überbestand 1 Stk / CHF 534; Menge pro Gebinde fehlt (Ist = 1 Gebinde); </v>
      </c>
      <c r="BN234" s="48"/>
      <c r="BO234" s="48"/>
      <c r="BP234" s="55"/>
      <c r="BQ234" s="50" t="n">
        <v>1</v>
      </c>
      <c r="BR234" s="50" t="n">
        <v>1</v>
      </c>
      <c r="BS234" s="49" t="n">
        <v>576.9</v>
      </c>
      <c r="BT234" s="50" t="n">
        <v>0</v>
      </c>
      <c r="BU234" s="48"/>
      <c r="BV234" s="53" t="n">
        <v>0</v>
      </c>
      <c r="BW234" s="53" t="n">
        <v>234</v>
      </c>
      <c r="BX234" s="48" t="str">
        <f aca="false">IF(U234&lt;&gt;"",UPPER(TRIM(U234)),IF(CA234=1,UPPER(VLOOKUP(T234,Parameter!$I$27:$K$29,2,0)),IF(P234="","LOSE",P234)))</f>
        <v>S61</v>
      </c>
      <c r="BY234" s="50" t="n">
        <f aca="false">IF(BX234="LOSE",1,IF(N(V234)&gt;0,V234,IF(CA234=1,MAX(1,N(VLOOKUP(T234,Parameter!$I$27:$K$29,3,0)),H234,N(N234)),IF(N(Q234)&gt;0,Q234,MAX(1,H234)))))</f>
        <v>4</v>
      </c>
      <c r="BZ234" s="53" t="n">
        <f aca="false">IF(BX234="LOSE",1,0)</f>
        <v>0</v>
      </c>
      <c r="CA234" s="53" t="n">
        <f aca="false">IF(AND(U234="",OR(P234="",P234="LOSE"),T234&lt;&gt;"",N(S234)&lt;=0,ISNUMBER(MATCH(T234,Parameter!$I$27:$I$29,0))),1,0)</f>
        <v>1</v>
      </c>
      <c r="CB234" s="53" t="n">
        <f aca="false">IF(CQ234&gt;0,INDEX(Parameter!$H$5:$H$7,W234)/INDEX(Parameter!$E$5:$E$7,W234),IF(AND(BZ234=0,N(IFERROR(VLOOKUP(BX234,'Gebinde-Kategorie'!$A$5:$N$45,14,0),0))&gt;0),VLOOKUP(BX234,'Gebinde-Kategorie'!$A$5:$N$45,14,0)*10+Parameter!$M$23,Parameter!$M$24))</f>
        <v>145</v>
      </c>
      <c r="CC234" s="48" t="str">
        <f aca="false">IF(AND(Parameter!$B$19="Ja",E234&lt;&gt;"",ISNUMBER(MATCH(E234,Parameter!$I$35:$I$52,0))),VLOOKUP(E234,Parameter!$I$35:$J$52,2,0),IFERROR(VLOOKUP(D234,Parameter!$A$35:$C$64,2,0),"Nein"))</f>
        <v>2+3</v>
      </c>
      <c r="CD234" s="52" t="n">
        <f aca="false">IF(BZ234=0,0,IF(N(S234)&gt;0,S234,IFERROR(VLOOKUP(D234,Parameter!$A$35:$C$64,3,0)+0,0)))</f>
        <v>0</v>
      </c>
      <c r="CE234" s="48" t="n">
        <f aca="false">IF(AA234&lt;&gt;"",AA234,Z234)</f>
        <v>2</v>
      </c>
      <c r="CF234" s="48" t="str">
        <f aca="false">IF(OR(CE234=1,CE234=2,CE234=3),IF(Parameter!$E$27="Ja","LIFT",IF(CE234=1,"L1","L23")),IF(CE234="Aussen","Aussen","-"))</f>
        <v>LIFT</v>
      </c>
      <c r="CG234" s="59" t="n">
        <f aca="false">IF(N(AB234)&gt;0,AB234,0)</f>
        <v>0</v>
      </c>
      <c r="CH234" s="53" t="n">
        <f aca="false">IF(ISNUMBER(AE234),1,0)</f>
        <v>0</v>
      </c>
      <c r="CI234" s="50" t="n">
        <f aca="false">N(AE234)</f>
        <v>0</v>
      </c>
      <c r="CJ234" s="50" t="n">
        <f aca="false">N(M234)+N(N234)</f>
        <v>1</v>
      </c>
      <c r="CK234" s="50" t="n">
        <f aca="false">N(M234)</f>
        <v>0</v>
      </c>
      <c r="CL234" s="50" t="n">
        <f aca="false">N(N234)</f>
        <v>1</v>
      </c>
      <c r="CM234" s="50" t="n">
        <f aca="false">ROUNDUP(H234/BY234,0)</f>
        <v>1</v>
      </c>
      <c r="CN234" s="50" t="n">
        <f aca="false">ROUNDUP(CI234/BY234,0)</f>
        <v>0</v>
      </c>
      <c r="CO234" s="53" t="n">
        <f aca="false">IF(BZ234=1,0,IFERROR(VLOOKUP(BX234,'Gebinde-Kategorie'!$A$5:$N$45,5,0)+0,0))</f>
        <v>11</v>
      </c>
      <c r="CP234" s="53" t="n">
        <f aca="false">IFERROR(IF(OR(CE234=1,CE234=2,CE234=3),N(INDEX(Parameter!$I$5:$I$7,CE234)),0),0)</f>
        <v>0</v>
      </c>
      <c r="CQ234" s="52" t="n">
        <f aca="false">IF(AND(Parameter!$B$21="Ja",ISNUMBER(W234),N(X234)&gt;0),IFERROR(N(INDEX(Parameter!$L$5:$L$7,W234))*INDEX(Parameter!$E$5:$E$7,W234)*X234/SUMIFS($X$7:$X$1843,$W$7:$W$1843,W234),0),0)</f>
        <v>0</v>
      </c>
    </row>
    <row r="235" customFormat="false" ht="15" hidden="false" customHeight="false" outlineLevel="0" collapsed="false">
      <c r="A235" s="48" t="s">
        <v>668</v>
      </c>
      <c r="B235" s="48" t="s">
        <v>555</v>
      </c>
      <c r="C235" s="48" t="s">
        <v>173</v>
      </c>
      <c r="D235" s="48" t="s">
        <v>193</v>
      </c>
      <c r="E235" s="48"/>
      <c r="F235" s="48" t="s">
        <v>227</v>
      </c>
      <c r="G235" s="49" t="n">
        <v>11.5</v>
      </c>
      <c r="H235" s="50" t="n">
        <f aca="false">MAX(0,IF(AND(Parameter!$B$21="Ja",ISNUMBER(Y235)),Y235,IF(Parameter!$B$20="Jahresanfang 2025 + Export",BR235+BQ235,BQ235)))</f>
        <v>50</v>
      </c>
      <c r="I235" s="50" t="n">
        <f aca="false">H235*G235</f>
        <v>575</v>
      </c>
      <c r="J235" s="50" t="n">
        <f aca="false">BT235*Parameter!$B$18</f>
        <v>0</v>
      </c>
      <c r="K235" s="51" t="n">
        <v>0</v>
      </c>
      <c r="L235" s="52" t="n">
        <v>0</v>
      </c>
      <c r="M235" s="50" t="n">
        <v>0</v>
      </c>
      <c r="N235" s="50" t="n">
        <v>1</v>
      </c>
      <c r="O235" s="53" t="n">
        <v>9999</v>
      </c>
      <c r="P235" s="48" t="s">
        <v>177</v>
      </c>
      <c r="Q235" s="50"/>
      <c r="R235" s="53" t="n">
        <f aca="false">IF(BZ235=1,0,IFERROR(VLOOKUP(BX235,'Gebinde-Kategorie'!$A$5:$N$45,13,0)+0,0))</f>
        <v>26</v>
      </c>
      <c r="S235" s="54"/>
      <c r="T235" s="55" t="s">
        <v>284</v>
      </c>
      <c r="U235" s="55"/>
      <c r="V235" s="55"/>
      <c r="W235" s="48"/>
      <c r="X235" s="50"/>
      <c r="Y235" s="50"/>
      <c r="Z235" s="48" t="n">
        <f aca="false">IF(A235="","",IF(AND(Parameter!$B$21="Ja",ISNUMBER(W235)),W235,IF(CC235="2+3",IF(ISNUMBER(SEARCH("grosser Artikel",BU235)),2,IFERROR(VLOOKUP(BX235,Parameter!$F$35:$G$64,2,0),2)),IF(OR(CC235="Nein",CC235=""),"-",CC235))))</f>
        <v>3</v>
      </c>
      <c r="AA235" s="55"/>
      <c r="AB235" s="56"/>
      <c r="AC235" s="50" t="n">
        <f aca="false">AV235</f>
        <v>1</v>
      </c>
      <c r="AD235" s="50" t="n">
        <f aca="false">MAX(AV235,H235)</f>
        <v>50</v>
      </c>
      <c r="AE235" s="57"/>
      <c r="AF235" s="50" t="n">
        <f aca="false">IF(LEFT(Cockpit!$C$5,1)="A",H235,IF(Parameter!$E$30="MAX-Bestand",IF(CH235=1,CI235,IF(LEFT(Cockpit!$C$5,1)="B",AL235,MAX(AL235,H235))),ROUNDUP(AJ235,0)))</f>
        <v>50</v>
      </c>
      <c r="AG235" s="50" t="n">
        <f aca="false">IF(BZ235=1,0,ROUNDUP(AF235/BY235,0))</f>
        <v>1</v>
      </c>
      <c r="AH235" s="52" t="n">
        <f aca="false">IF(CQ235&gt;0,CQ235*MAX(1,AF235/X235),IF(BZ235=1,IF(AF235&lt;=0,0,CD235*MAX(1,IF(H235&gt;0,AF235/H235,1))),IF(R235&gt;0,AG235/R235,0))/MAX(0.1,N(Parameter!$M$21)))</f>
        <v>0.0384615384615385</v>
      </c>
      <c r="AI235" s="50" t="n">
        <f aca="false">AH235*CB235</f>
        <v>5.96153846153846</v>
      </c>
      <c r="AJ235" s="51" t="n">
        <f aca="false">IF(LEFT(Cockpit!$C$5,1)="A",H235,IF(CH235=1,(CK235+CI235)/2,IF(LEFT(Cockpit!$C$5,1)="B",(CK235+AL235)/2,MAX((CK235+AL235)/2,H235))))</f>
        <v>50</v>
      </c>
      <c r="AK235" s="50" t="n">
        <f aca="false">AJ235*G235</f>
        <v>575</v>
      </c>
      <c r="AL235" s="50" t="n">
        <f aca="false">ROUNDUP(CK235+MAX(CL235,2*(J235/IF(CG235&gt;0,CG235,MAX(0.1,N(Cockpit!$C$6)))-CK235)),0)</f>
        <v>1</v>
      </c>
      <c r="AM235" s="51" t="n">
        <f aca="false">IF(AI235&gt;0,J235/AI235,-1)</f>
        <v>0</v>
      </c>
      <c r="AN235" s="51" t="n">
        <f aca="false">IF(AND(OR(CF235="L1",CF235="L23",CF235="LIFT"),AI235&gt;0),SUMIFS($AI$7:$AI$1843,$CF$7:$CF$1843,CF235,$AM$7:$AM$1843,"&gt;"&amp;AM235)+SUMIFS($AI$7:$AI$1843,$CF$7:$CF$1843,CF235,$AM$7:$AM$1843,AM235,$BW$7:$BW$1843,"&lt;="&amp;BW235),"")</f>
        <v>27651.5171095383</v>
      </c>
      <c r="AO235" s="58" t="n">
        <f aca="false">IF(AN235="",0,MAX(0,MIN(1,(IF(CF235="L1",Parameter!$H$5,IF(CF235="L23",Parameter!$H$6+Parameter!$H$7,Parameter!$H$5+Parameter!$H$6+Parameter!$H$7))-(AN235-AI235))/AI235)))</f>
        <v>1</v>
      </c>
      <c r="AP235" s="50" t="n">
        <f aca="false">IF(LEFT(Cockpit!$I$5,1)="A",H235,IF(Parameter!$E$30="MAX-Bestand",IF(CH235=1,CI235,IF(LEFT(Cockpit!$I$5,1)="B",AV235,MAX(AV235,H235))),ROUNDUP(AT235,0)))</f>
        <v>50</v>
      </c>
      <c r="AQ235" s="50" t="n">
        <f aca="false">IF(BZ235=1,0,ROUNDUP(AP235/BY235,0))</f>
        <v>1</v>
      </c>
      <c r="AR235" s="52" t="n">
        <f aca="false">IF(CQ235&gt;0,CQ235*MAX(1,AP235/X235),IF(BZ235=1,IF(AP235&lt;=0,0,CD235*MAX(1,IF(H235&gt;0,AP235/H235,1))),IF(R235&gt;0,AQ235/R235,0))/MAX(0.1,N(Parameter!$M$21)))</f>
        <v>0.0384615384615385</v>
      </c>
      <c r="AS235" s="50" t="n">
        <f aca="false">AR235*CB235</f>
        <v>5.96153846153846</v>
      </c>
      <c r="AT235" s="51" t="n">
        <f aca="false">IF(LEFT(Cockpit!$I$5,1)="A",H235,IF(CH235=1,(CK235+CI235)/2,IF(LEFT(Cockpit!$I$5,1)="B",(CK235+AV235)/2,MAX((CK235+AV235)/2,H235))))</f>
        <v>50</v>
      </c>
      <c r="AU235" s="50" t="n">
        <f aca="false">AT235*G235</f>
        <v>575</v>
      </c>
      <c r="AV235" s="50" t="n">
        <f aca="false">ROUNDUP(CK235+MAX(CL235,2*(J235/IF(CG235&gt;0,CG235,MAX(0.1,N(Cockpit!$I$6)))-CK235)),0)</f>
        <v>1</v>
      </c>
      <c r="AW235" s="51" t="n">
        <f aca="false">IF(AS235&gt;0,J235/AS235,-1)</f>
        <v>0</v>
      </c>
      <c r="AX235" s="51" t="n">
        <f aca="false">IF(AND(OR(CF235="L1",CF235="L23",CF235="LIFT"),AS235&gt;0),SUMIFS($AS$7:$AS$1843,$CF$7:$CF$1843,CF235,$AW$7:$AW$1843,"&gt;"&amp;AW235)+SUMIFS($AS$7:$AS$1843,$CF$7:$CF$1843,CF235,$AW$7:$AW$1843,AW235,$BW$7:$BW$1843,"&lt;="&amp;BW235),"")</f>
        <v>33004.6657509158</v>
      </c>
      <c r="AY235" s="58" t="n">
        <f aca="false">IF(AX235="",0,MAX(0,MIN(1,(IF(CF235="L1",Parameter!$H$5,IF(CF235="L23",Parameter!$H$6+Parameter!$H$7,Parameter!$H$5+Parameter!$H$6+Parameter!$H$7))-(AX235-AS235))/AS235)))</f>
        <v>1</v>
      </c>
      <c r="AZ235" s="50" t="n">
        <f aca="false">IF(LEFT(Cockpit!$O$5,1)="A",H235,IF(Parameter!$E$30="MAX-Bestand",IF(CH235=1,CI235,IF(LEFT(Cockpit!$O$5,1)="B",BF235,MAX(BF235,H235))),ROUNDUP(BD235,0)))</f>
        <v>1</v>
      </c>
      <c r="BA235" s="50" t="n">
        <f aca="false">IF(BZ235=1,0,ROUNDUP(AZ235/BY235,0))</f>
        <v>1</v>
      </c>
      <c r="BB235" s="52" t="n">
        <f aca="false">IF(CQ235&gt;0,CQ235*MAX(1,AZ235/X235),IF(BZ235=1,IF(AZ235&lt;=0,0,CD235*MAX(1,IF(H235&gt;0,AZ235/H235,1))),IF(R235&gt;0,BA235/R235,0))/MAX(0.1,N(Parameter!$M$21)))</f>
        <v>0.0384615384615385</v>
      </c>
      <c r="BC235" s="50" t="n">
        <f aca="false">BB235*CB235</f>
        <v>5.96153846153846</v>
      </c>
      <c r="BD235" s="51" t="n">
        <f aca="false">IF(LEFT(Cockpit!$O$5,1)="A",H235,IF(CH235=1,(CK235+CI235)/2,IF(LEFT(Cockpit!$O$5,1)="B",(CK235+BF235)/2,MAX((CK235+BF235)/2,H235))))</f>
        <v>0.5</v>
      </c>
      <c r="BE235" s="50" t="n">
        <f aca="false">BD235*G235</f>
        <v>5.75</v>
      </c>
      <c r="BF235" s="50" t="n">
        <f aca="false">ROUNDUP(CK235+MAX(CL235,2*(J235/IF(CG235&gt;0,CG235,MAX(0.1,N(Cockpit!$O$6)))-CK235)),0)</f>
        <v>1</v>
      </c>
      <c r="BG235" s="51" t="n">
        <f aca="false">IF(BC235&gt;0,J235/BC235,-1)</f>
        <v>0</v>
      </c>
      <c r="BH235" s="51" t="n">
        <f aca="false">IF(AND(OR(CF235="L1",CF235="L23",CF235="LIFT"),BC235&gt;0),SUMIFS($BC$7:$BC$1843,$CF$7:$CF$1843,CF235,$BG$7:$BG$1843,"&gt;"&amp;BG235)+SUMIFS($BC$7:$BC$1843,$CF$7:$CF$1843,CF235,$BG$7:$BG$1843,BG235,$BW$7:$BW$1843,"&lt;="&amp;BW235),"")</f>
        <v>27159.4847737009</v>
      </c>
      <c r="BI235" s="58" t="n">
        <f aca="false">IF(BH235="",0,MAX(0,MIN(1,(IF(CF235="L1",Parameter!$H$5,IF(CF235="L23",Parameter!$H$6+Parameter!$H$7,Parameter!$H$5+Parameter!$H$6+Parameter!$H$7))-(BH235-BC235))/BC235)))</f>
        <v>1</v>
      </c>
      <c r="BJ235" s="48" t="str">
        <f aca="false">IF(AI235&lt;=0,"",IF(CF235="Aussen","Aussenlager",IF(CF235="-","Nicht im Lift",IF(AO235&gt;=1,"Lift",IF(AO235&lt;=0,"Aussenlager","teilweise")))))</f>
        <v>Lift</v>
      </c>
      <c r="BK235" s="48" t="str">
        <f aca="false">IF(AS235&lt;=0,"",IF(CF235="Aussen","Aussenlager",IF(CF235="-","Nicht im Lift",IF(AY235&gt;=1,"Lift",IF(AY235&lt;=0,"Aussenlager","teilweise")))))</f>
        <v>Lift</v>
      </c>
      <c r="BL235" s="48" t="str">
        <f aca="false">IF(BC235&lt;=0,"",IF(CF235="Aussen","Aussenlager",IF(CF235="-","Nicht im Lift",IF(BI235&gt;=1,"Lift",IF(BI235&lt;=0,"Aussenlager","teilweise")))))</f>
        <v>Lift</v>
      </c>
      <c r="BM235" s="48" t="str">
        <f aca="false">IF(A235="","",IF(BV235=1,"Neu; ","")&amp;IF(AND(BV235=0,BQ235&lt;0),"negativer Bestand (Export "&amp;BQ235&amp;"); ","")&amp;IF(J235&lt;=0,"Kein Verbrauch; ","")&amp;IF(CQ235&gt;0,"Lift "&amp;W235&amp;" lt. Liftbericht (Fach "&amp;X235&amp;" Stk); ",IF(CA235=1,"Gebinde geschätzt ("&amp;T235&amp;"); ",IF(BZ235=1,"Lose – Tablare geschätzt; ","")))&amp;IF(H235&gt;AV235,"Überbestand "&amp;ROUND(H235-AV235,0)&amp;" Stk / CHF "&amp;ROUND((H235-AV235)*G235,0)&amp;"; ","")&amp;IF(AND(CH235=1,CI235&lt;CJ235),"MAX &lt; MB+LG; ","")&amp;IF(AND(CP235&gt;0,CO235*10&gt;CP235),"zu hoch für Tablar; ","")&amp;IF(AND(BV235=0,OR(CH235=1,AA235&lt;&gt;"",U235&lt;&gt;"",V235&lt;&gt;"",AB235&lt;&gt;"")),"manuell übersteuert; ","")&amp;IF(AND(BZ235=0,R235=0),"Gebinde unbekannt / Stellmass fehlt; ","")&amp;IF(AND(BZ235=0,N(V235)&lt;=0,N(Q235)&lt;=0),"Menge pro Gebinde fehlt (Ist = 1 Gebinde); ","")&amp;BU235)</f>
        <v>Kein Verbrauch; Gebinde geschätzt (Klein); Überbestand 49 Stk / CHF 564; Menge pro Gebinde fehlt (Ist = 1 Gebinde); </v>
      </c>
      <c r="BN235" s="48"/>
      <c r="BO235" s="48"/>
      <c r="BP235" s="55"/>
      <c r="BQ235" s="50" t="n">
        <v>50</v>
      </c>
      <c r="BR235" s="50" t="n">
        <v>0</v>
      </c>
      <c r="BS235" s="49" t="n">
        <v>575</v>
      </c>
      <c r="BT235" s="50" t="n">
        <v>0</v>
      </c>
      <c r="BU235" s="48"/>
      <c r="BV235" s="53" t="n">
        <v>0</v>
      </c>
      <c r="BW235" s="53" t="n">
        <v>235</v>
      </c>
      <c r="BX235" s="48" t="str">
        <f aca="false">IF(U235&lt;&gt;"",UPPER(TRIM(U235)),IF(CA235=1,UPPER(VLOOKUP(T235,Parameter!$I$27:$K$29,2,0)),IF(P235="","LOSE",P235)))</f>
        <v>S51</v>
      </c>
      <c r="BY235" s="50" t="n">
        <f aca="false">IF(BX235="LOSE",1,IF(N(V235)&gt;0,V235,IF(CA235=1,MAX(1,N(VLOOKUP(T235,Parameter!$I$27:$K$29,3,0)),H235,N(N235)),IF(N(Q235)&gt;0,Q235,MAX(1,H235)))))</f>
        <v>50</v>
      </c>
      <c r="BZ235" s="53" t="n">
        <f aca="false">IF(BX235="LOSE",1,0)</f>
        <v>0</v>
      </c>
      <c r="CA235" s="53" t="n">
        <f aca="false">IF(AND(U235="",OR(P235="",P235="LOSE"),T235&lt;&gt;"",N(S235)&lt;=0,ISNUMBER(MATCH(T235,Parameter!$I$27:$I$29,0))),1,0)</f>
        <v>1</v>
      </c>
      <c r="CB235" s="53" t="n">
        <f aca="false">IF(CQ235&gt;0,INDEX(Parameter!$H$5:$H$7,W235)/INDEX(Parameter!$E$5:$E$7,W235),IF(AND(BZ235=0,N(IFERROR(VLOOKUP(BX235,'Gebinde-Kategorie'!$A$5:$N$45,14,0),0))&gt;0),VLOOKUP(BX235,'Gebinde-Kategorie'!$A$5:$N$45,14,0)*10+Parameter!$M$23,Parameter!$M$24))</f>
        <v>155</v>
      </c>
      <c r="CC235" s="48" t="str">
        <f aca="false">IF(AND(Parameter!$B$19="Ja",E235&lt;&gt;"",ISNUMBER(MATCH(E235,Parameter!$I$35:$I$52,0))),VLOOKUP(E235,Parameter!$I$35:$J$52,2,0),IFERROR(VLOOKUP(D235,Parameter!$A$35:$C$64,2,0),"Nein"))</f>
        <v>2+3</v>
      </c>
      <c r="CD235" s="52" t="n">
        <f aca="false">IF(BZ235=0,0,IF(N(S235)&gt;0,S235,IFERROR(VLOOKUP(D235,Parameter!$A$35:$C$64,3,0)+0,0)))</f>
        <v>0</v>
      </c>
      <c r="CE235" s="48" t="n">
        <f aca="false">IF(AA235&lt;&gt;"",AA235,Z235)</f>
        <v>3</v>
      </c>
      <c r="CF235" s="48" t="str">
        <f aca="false">IF(OR(CE235=1,CE235=2,CE235=3),IF(Parameter!$E$27="Ja","LIFT",IF(CE235=1,"L1","L23")),IF(CE235="Aussen","Aussen","-"))</f>
        <v>LIFT</v>
      </c>
      <c r="CG235" s="59" t="n">
        <f aca="false">IF(N(AB235)&gt;0,AB235,0)</f>
        <v>0</v>
      </c>
      <c r="CH235" s="53" t="n">
        <f aca="false">IF(ISNUMBER(AE235),1,0)</f>
        <v>0</v>
      </c>
      <c r="CI235" s="50" t="n">
        <f aca="false">N(AE235)</f>
        <v>0</v>
      </c>
      <c r="CJ235" s="50" t="n">
        <f aca="false">N(M235)+N(N235)</f>
        <v>1</v>
      </c>
      <c r="CK235" s="50" t="n">
        <f aca="false">N(M235)</f>
        <v>0</v>
      </c>
      <c r="CL235" s="50" t="n">
        <f aca="false">N(N235)</f>
        <v>1</v>
      </c>
      <c r="CM235" s="50" t="n">
        <f aca="false">ROUNDUP(H235/BY235,0)</f>
        <v>1</v>
      </c>
      <c r="CN235" s="50" t="n">
        <f aca="false">ROUNDUP(CI235/BY235,0)</f>
        <v>0</v>
      </c>
      <c r="CO235" s="53" t="n">
        <f aca="false">IF(BZ235=1,0,IFERROR(VLOOKUP(BX235,'Gebinde-Kategorie'!$A$5:$N$45,5,0)+0,0))</f>
        <v>11</v>
      </c>
      <c r="CP235" s="53" t="n">
        <f aca="false">IFERROR(IF(OR(CE235=1,CE235=2,CE235=3),N(INDEX(Parameter!$I$5:$I$7,CE235)),0),0)</f>
        <v>0</v>
      </c>
      <c r="CQ235" s="52" t="n">
        <f aca="false">IF(AND(Parameter!$B$21="Ja",ISNUMBER(W235),N(X235)&gt;0),IFERROR(N(INDEX(Parameter!$L$5:$L$7,W235))*INDEX(Parameter!$E$5:$E$7,W235)*X235/SUMIFS($X$7:$X$1843,$W$7:$W$1843,W235),0),0)</f>
        <v>0</v>
      </c>
    </row>
    <row r="236" customFormat="false" ht="15" hidden="false" customHeight="false" outlineLevel="0" collapsed="false">
      <c r="A236" s="48" t="s">
        <v>669</v>
      </c>
      <c r="B236" s="48" t="s">
        <v>670</v>
      </c>
      <c r="C236" s="48" t="s">
        <v>173</v>
      </c>
      <c r="D236" s="48" t="s">
        <v>193</v>
      </c>
      <c r="E236" s="48" t="s">
        <v>194</v>
      </c>
      <c r="F236" s="48" t="s">
        <v>227</v>
      </c>
      <c r="G236" s="49" t="n">
        <v>114.02</v>
      </c>
      <c r="H236" s="50" t="n">
        <f aca="false">MAX(0,IF(AND(Parameter!$B$21="Ja",ISNUMBER(Y236)),Y236,IF(Parameter!$B$20="Jahresanfang 2025 + Export",BR236+BQ236,BQ236)))</f>
        <v>61</v>
      </c>
      <c r="I236" s="50" t="n">
        <f aca="false">H236*G236</f>
        <v>6955.22</v>
      </c>
      <c r="J236" s="50" t="n">
        <f aca="false">BT236*Parameter!$B$18</f>
        <v>2</v>
      </c>
      <c r="K236" s="51" t="n">
        <v>60.5</v>
      </c>
      <c r="L236" s="52" t="n">
        <v>0.0330578512396694</v>
      </c>
      <c r="M236" s="50" t="n">
        <v>0</v>
      </c>
      <c r="N236" s="50" t="n">
        <v>5</v>
      </c>
      <c r="O236" s="53" t="n">
        <v>42</v>
      </c>
      <c r="P236" s="48" t="s">
        <v>242</v>
      </c>
      <c r="Q236" s="50" t="n">
        <v>146</v>
      </c>
      <c r="R236" s="53" t="n">
        <f aca="false">IF(BZ236=1,0,IFERROR(VLOOKUP(BX236,'Gebinde-Kategorie'!$A$5:$N$45,13,0)+0,0))</f>
        <v>26</v>
      </c>
      <c r="S236" s="54"/>
      <c r="T236" s="55"/>
      <c r="U236" s="55"/>
      <c r="V236" s="55"/>
      <c r="W236" s="48"/>
      <c r="X236" s="50"/>
      <c r="Y236" s="50"/>
      <c r="Z236" s="48" t="n">
        <f aca="false">IF(A236="","",IF(AND(Parameter!$B$21="Ja",ISNUMBER(W236)),W236,IF(CC236="2+3",IF(ISNUMBER(SEARCH("grosser Artikel",BU236)),2,IFERROR(VLOOKUP(BX236,Parameter!$F$35:$G$64,2,0),2)),IF(OR(CC236="Nein",CC236=""),"-",CC236))))</f>
        <v>3</v>
      </c>
      <c r="AA236" s="55"/>
      <c r="AB236" s="56"/>
      <c r="AC236" s="50" t="n">
        <f aca="false">AV236</f>
        <v>5</v>
      </c>
      <c r="AD236" s="50" t="n">
        <f aca="false">MAX(AV236,H236)</f>
        <v>61</v>
      </c>
      <c r="AE236" s="57"/>
      <c r="AF236" s="50" t="n">
        <f aca="false">IF(LEFT(Cockpit!$C$5,1)="A",H236,IF(Parameter!$E$30="MAX-Bestand",IF(CH236=1,CI236,IF(LEFT(Cockpit!$C$5,1)="B",AL236,MAX(AL236,H236))),ROUNDUP(AJ236,0)))</f>
        <v>61</v>
      </c>
      <c r="AG236" s="50" t="n">
        <f aca="false">IF(BZ236=1,0,ROUNDUP(AF236/BY236,0))</f>
        <v>1</v>
      </c>
      <c r="AH236" s="52" t="n">
        <f aca="false">IF(CQ236&gt;0,CQ236*MAX(1,AF236/X236),IF(BZ236=1,IF(AF236&lt;=0,0,CD236*MAX(1,IF(H236&gt;0,AF236/H236,1))),IF(R236&gt;0,AG236/R236,0))/MAX(0.1,N(Parameter!$M$21)))</f>
        <v>0.0384615384615385</v>
      </c>
      <c r="AI236" s="50" t="n">
        <f aca="false">AH236*CB236</f>
        <v>9.42307692307692</v>
      </c>
      <c r="AJ236" s="51" t="n">
        <f aca="false">IF(LEFT(Cockpit!$C$5,1)="A",H236,IF(CH236=1,(CK236+CI236)/2,IF(LEFT(Cockpit!$C$5,1)="B",(CK236+AL236)/2,MAX((CK236+AL236)/2,H236))))</f>
        <v>61</v>
      </c>
      <c r="AK236" s="50" t="n">
        <f aca="false">AJ236*G236</f>
        <v>6955.22</v>
      </c>
      <c r="AL236" s="50" t="n">
        <f aca="false">ROUNDUP(CK236+MAX(CL236,2*(J236/IF(CG236&gt;0,CG236,MAX(0.1,N(Cockpit!$C$6)))-CK236)),0)</f>
        <v>5</v>
      </c>
      <c r="AM236" s="51" t="n">
        <f aca="false">IF(AI236&gt;0,J236/AI236,-1)</f>
        <v>0.212244897959184</v>
      </c>
      <c r="AN236" s="51" t="n">
        <f aca="false">IF(AND(OR(CF236="L1",CF236="L23",CF236="LIFT"),AI236&gt;0),SUMIFS($AI$7:$AI$1843,$CF$7:$CF$1843,CF236,$AM$7:$AM$1843,"&gt;"&amp;AM236)+SUMIFS($AI$7:$AI$1843,$CF$7:$CF$1843,CF236,$AM$7:$AM$1843,AM236,$BW$7:$BW$1843,"&lt;="&amp;BW236),"")</f>
        <v>12354.701669564</v>
      </c>
      <c r="AO236" s="58" t="n">
        <f aca="false">IF(AN236="",0,MAX(0,MIN(1,(IF(CF236="L1",Parameter!$H$5,IF(CF236="L23",Parameter!$H$6+Parameter!$H$7,Parameter!$H$5+Parameter!$H$6+Parameter!$H$7))-(AN236-AI236))/AI236)))</f>
        <v>1</v>
      </c>
      <c r="AP236" s="50" t="n">
        <f aca="false">IF(LEFT(Cockpit!$I$5,1)="A",H236,IF(Parameter!$E$30="MAX-Bestand",IF(CH236=1,CI236,IF(LEFT(Cockpit!$I$5,1)="B",AV236,MAX(AV236,H236))),ROUNDUP(AT236,0)))</f>
        <v>61</v>
      </c>
      <c r="AQ236" s="50" t="n">
        <f aca="false">IF(BZ236=1,0,ROUNDUP(AP236/BY236,0))</f>
        <v>1</v>
      </c>
      <c r="AR236" s="52" t="n">
        <f aca="false">IF(CQ236&gt;0,CQ236*MAX(1,AP236/X236),IF(BZ236=1,IF(AP236&lt;=0,0,CD236*MAX(1,IF(H236&gt;0,AP236/H236,1))),IF(R236&gt;0,AQ236/R236,0))/MAX(0.1,N(Parameter!$M$21)))</f>
        <v>0.0384615384615385</v>
      </c>
      <c r="AS236" s="50" t="n">
        <f aca="false">AR236*CB236</f>
        <v>9.42307692307692</v>
      </c>
      <c r="AT236" s="51" t="n">
        <f aca="false">IF(LEFT(Cockpit!$I$5,1)="A",H236,IF(CH236=1,(CK236+CI236)/2,IF(LEFT(Cockpit!$I$5,1)="B",(CK236+AV236)/2,MAX((CK236+AV236)/2,H236))))</f>
        <v>61</v>
      </c>
      <c r="AU236" s="50" t="n">
        <f aca="false">AT236*G236</f>
        <v>6955.22</v>
      </c>
      <c r="AV236" s="50" t="n">
        <f aca="false">ROUNDUP(CK236+MAX(CL236,2*(J236/IF(CG236&gt;0,CG236,MAX(0.1,N(Cockpit!$I$6)))-CK236)),0)</f>
        <v>5</v>
      </c>
      <c r="AW236" s="51" t="n">
        <f aca="false">IF(AS236&gt;0,J236/AS236,-1)</f>
        <v>0.212244897959184</v>
      </c>
      <c r="AX236" s="51" t="n">
        <f aca="false">IF(AND(OR(CF236="L1",CF236="L23",CF236="LIFT"),AS236&gt;0),SUMIFS($AS$7:$AS$1843,$CF$7:$CF$1843,CF236,$AW$7:$AW$1843,"&gt;"&amp;AW236)+SUMIFS($AS$7:$AS$1843,$CF$7:$CF$1843,CF236,$AW$7:$AW$1843,AW236,$BW$7:$BW$1843,"&lt;="&amp;BW236),"")</f>
        <v>15183.9592490842</v>
      </c>
      <c r="AY236" s="58" t="n">
        <f aca="false">IF(AX236="",0,MAX(0,MIN(1,(IF(CF236="L1",Parameter!$H$5,IF(CF236="L23",Parameter!$H$6+Parameter!$H$7,Parameter!$H$5+Parameter!$H$6+Parameter!$H$7))-(AX236-AS236))/AS236)))</f>
        <v>1</v>
      </c>
      <c r="AZ236" s="50" t="n">
        <f aca="false">IF(LEFT(Cockpit!$O$5,1)="A",H236,IF(Parameter!$E$30="MAX-Bestand",IF(CH236=1,CI236,IF(LEFT(Cockpit!$O$5,1)="B",BF236,MAX(BF236,H236))),ROUNDUP(BD236,0)))</f>
        <v>3</v>
      </c>
      <c r="BA236" s="50" t="n">
        <f aca="false">IF(BZ236=1,0,ROUNDUP(AZ236/BY236,0))</f>
        <v>1</v>
      </c>
      <c r="BB236" s="52" t="n">
        <f aca="false">IF(CQ236&gt;0,CQ236*MAX(1,AZ236/X236),IF(BZ236=1,IF(AZ236&lt;=0,0,CD236*MAX(1,IF(H236&gt;0,AZ236/H236,1))),IF(R236&gt;0,BA236/R236,0))/MAX(0.1,N(Parameter!$M$21)))</f>
        <v>0.0384615384615385</v>
      </c>
      <c r="BC236" s="50" t="n">
        <f aca="false">BB236*CB236</f>
        <v>9.42307692307692</v>
      </c>
      <c r="BD236" s="51" t="n">
        <f aca="false">IF(LEFT(Cockpit!$O$5,1)="A",H236,IF(CH236=1,(CK236+CI236)/2,IF(LEFT(Cockpit!$O$5,1)="B",(CK236+BF236)/2,MAX((CK236+BF236)/2,H236))))</f>
        <v>2.5</v>
      </c>
      <c r="BE236" s="50" t="n">
        <f aca="false">BD236*G236</f>
        <v>285.05</v>
      </c>
      <c r="BF236" s="50" t="n">
        <f aca="false">ROUNDUP(CK236+MAX(CL236,2*(J236/IF(CG236&gt;0,CG236,MAX(0.1,N(Cockpit!$O$6)))-CK236)),0)</f>
        <v>5</v>
      </c>
      <c r="BG236" s="51" t="n">
        <f aca="false">IF(BC236&gt;0,J236/BC236,-1)</f>
        <v>0.212244897959184</v>
      </c>
      <c r="BH236" s="51" t="n">
        <f aca="false">IF(AND(OR(CF236="L1",CF236="L23",CF236="LIFT"),BC236&gt;0),SUMIFS($BC$7:$BC$1843,$CF$7:$CF$1843,CF236,$BG$7:$BG$1843,"&gt;"&amp;BG236)+SUMIFS($BC$7:$BC$1843,$CF$7:$CF$1843,CF236,$BG$7:$BG$1843,BG236,$BW$7:$BW$1843,"&lt;="&amp;BW236),"")</f>
        <v>12326.244047619</v>
      </c>
      <c r="BI236" s="58" t="n">
        <f aca="false">IF(BH236="",0,MAX(0,MIN(1,(IF(CF236="L1",Parameter!$H$5,IF(CF236="L23",Parameter!$H$6+Parameter!$H$7,Parameter!$H$5+Parameter!$H$6+Parameter!$H$7))-(BH236-BC236))/BC236)))</f>
        <v>1</v>
      </c>
      <c r="BJ236" s="48" t="str">
        <f aca="false">IF(AI236&lt;=0,"",IF(CF236="Aussen","Aussenlager",IF(CF236="-","Nicht im Lift",IF(AO236&gt;=1,"Lift",IF(AO236&lt;=0,"Aussenlager","teilweise")))))</f>
        <v>Lift</v>
      </c>
      <c r="BK236" s="48" t="str">
        <f aca="false">IF(AS236&lt;=0,"",IF(CF236="Aussen","Aussenlager",IF(CF236="-","Nicht im Lift",IF(AY236&gt;=1,"Lift",IF(AY236&lt;=0,"Aussenlager","teilweise")))))</f>
        <v>Lift</v>
      </c>
      <c r="BL236" s="48" t="str">
        <f aca="false">IF(BC236&lt;=0,"",IF(CF236="Aussen","Aussenlager",IF(CF236="-","Nicht im Lift",IF(BI236&gt;=1,"Lift",IF(BI236&lt;=0,"Aussenlager","teilweise")))))</f>
        <v>Lift</v>
      </c>
      <c r="BM236" s="48" t="str">
        <f aca="false">IF(A236="","",IF(BV236=1,"Neu; ","")&amp;IF(AND(BV236=0,BQ236&lt;0),"negativer Bestand (Export "&amp;BQ236&amp;"); ","")&amp;IF(J236&lt;=0,"Kein Verbrauch; ","")&amp;IF(CQ236&gt;0,"Lift "&amp;W236&amp;" lt. Liftbericht (Fach "&amp;X236&amp;" Stk); ",IF(CA236=1,"Gebinde geschätzt ("&amp;T236&amp;"); ",IF(BZ236=1,"Lose – Tablare geschätzt; ","")))&amp;IF(H236&gt;AV236,"Überbestand "&amp;ROUND(H236-AV236,0)&amp;" Stk / CHF "&amp;ROUND((H236-AV236)*G236,0)&amp;"; ","")&amp;IF(AND(CH236=1,CI236&lt;CJ236),"MAX &lt; MB+LG; ","")&amp;IF(AND(CP236&gt;0,CO236*10&gt;CP236),"zu hoch für Tablar; ","")&amp;IF(AND(BV236=0,OR(CH236=1,AA236&lt;&gt;"",U236&lt;&gt;"",V236&lt;&gt;"",AB236&lt;&gt;"")),"manuell übersteuert; ","")&amp;IF(AND(BZ236=0,R236=0),"Gebinde unbekannt / Stellmass fehlt; ","")&amp;IF(AND(BZ236=0,N(V236)&lt;=0,N(Q236)&lt;=0),"Menge pro Gebinde fehlt (Ist = 1 Gebinde); ","")&amp;BU236)</f>
        <v>Überbestand 56 Stk / CHF 6385; Überbestand</v>
      </c>
      <c r="BN236" s="48"/>
      <c r="BO236" s="48"/>
      <c r="BP236" s="55"/>
      <c r="BQ236" s="50" t="n">
        <v>5</v>
      </c>
      <c r="BR236" s="50" t="n">
        <v>56</v>
      </c>
      <c r="BS236" s="49" t="n">
        <v>570.1</v>
      </c>
      <c r="BT236" s="50" t="n">
        <v>2</v>
      </c>
      <c r="BU236" s="48" t="s">
        <v>401</v>
      </c>
      <c r="BV236" s="53" t="n">
        <v>0</v>
      </c>
      <c r="BW236" s="53" t="n">
        <v>236</v>
      </c>
      <c r="BX236" s="48" t="str">
        <f aca="false">IF(U236&lt;&gt;"",UPPER(TRIM(U236)),IF(CA236=1,UPPER(VLOOKUP(T236,Parameter!$I$27:$K$29,2,0)),IF(P236="","LOSE",P236)))</f>
        <v>S52</v>
      </c>
      <c r="BY236" s="50" t="n">
        <f aca="false">IF(BX236="LOSE",1,IF(N(V236)&gt;0,V236,IF(CA236=1,MAX(1,N(VLOOKUP(T236,Parameter!$I$27:$K$29,3,0)),H236,N(N236)),IF(N(Q236)&gt;0,Q236,MAX(1,H236)))))</f>
        <v>146</v>
      </c>
      <c r="BZ236" s="53" t="n">
        <f aca="false">IF(BX236="LOSE",1,0)</f>
        <v>0</v>
      </c>
      <c r="CA236" s="53" t="n">
        <f aca="false">IF(AND(U236="",OR(P236="",P236="LOSE"),T236&lt;&gt;"",N(S236)&lt;=0,ISNUMBER(MATCH(T236,Parameter!$I$27:$I$29,0))),1,0)</f>
        <v>0</v>
      </c>
      <c r="CB236" s="53" t="n">
        <f aca="false">IF(CQ236&gt;0,INDEX(Parameter!$H$5:$H$7,W236)/INDEX(Parameter!$E$5:$E$7,W236),IF(AND(BZ236=0,N(IFERROR(VLOOKUP(BX236,'Gebinde-Kategorie'!$A$5:$N$45,14,0),0))&gt;0),VLOOKUP(BX236,'Gebinde-Kategorie'!$A$5:$N$45,14,0)*10+Parameter!$M$23,Parameter!$M$24))</f>
        <v>245</v>
      </c>
      <c r="CC236" s="48" t="str">
        <f aca="false">IF(AND(Parameter!$B$19="Ja",E236&lt;&gt;"",ISNUMBER(MATCH(E236,Parameter!$I$35:$I$52,0))),VLOOKUP(E236,Parameter!$I$35:$J$52,2,0),IFERROR(VLOOKUP(D236,Parameter!$A$35:$C$64,2,0),"Nein"))</f>
        <v>2+3</v>
      </c>
      <c r="CD236" s="52" t="n">
        <f aca="false">IF(BZ236=0,0,IF(N(S236)&gt;0,S236,IFERROR(VLOOKUP(D236,Parameter!$A$35:$C$64,3,0)+0,0)))</f>
        <v>0</v>
      </c>
      <c r="CE236" s="48" t="n">
        <f aca="false">IF(AA236&lt;&gt;"",AA236,Z236)</f>
        <v>3</v>
      </c>
      <c r="CF236" s="48" t="str">
        <f aca="false">IF(OR(CE236=1,CE236=2,CE236=3),IF(Parameter!$E$27="Ja","LIFT",IF(CE236=1,"L1","L23")),IF(CE236="Aussen","Aussen","-"))</f>
        <v>LIFT</v>
      </c>
      <c r="CG236" s="59" t="n">
        <f aca="false">IF(N(AB236)&gt;0,AB236,0)</f>
        <v>0</v>
      </c>
      <c r="CH236" s="53" t="n">
        <f aca="false">IF(ISNUMBER(AE236),1,0)</f>
        <v>0</v>
      </c>
      <c r="CI236" s="50" t="n">
        <f aca="false">N(AE236)</f>
        <v>0</v>
      </c>
      <c r="CJ236" s="50" t="n">
        <f aca="false">N(M236)+N(N236)</f>
        <v>5</v>
      </c>
      <c r="CK236" s="50" t="n">
        <f aca="false">N(M236)</f>
        <v>0</v>
      </c>
      <c r="CL236" s="50" t="n">
        <f aca="false">N(N236)</f>
        <v>5</v>
      </c>
      <c r="CM236" s="50" t="n">
        <f aca="false">ROUNDUP(H236/BY236,0)</f>
        <v>1</v>
      </c>
      <c r="CN236" s="50" t="n">
        <f aca="false">ROUNDUP(CI236/BY236,0)</f>
        <v>0</v>
      </c>
      <c r="CO236" s="53" t="n">
        <f aca="false">IF(BZ236=1,0,IFERROR(VLOOKUP(BX236,'Gebinde-Kategorie'!$A$5:$N$45,5,0)+0,0))</f>
        <v>21</v>
      </c>
      <c r="CP236" s="53" t="n">
        <f aca="false">IFERROR(IF(OR(CE236=1,CE236=2,CE236=3),N(INDEX(Parameter!$I$5:$I$7,CE236)),0),0)</f>
        <v>0</v>
      </c>
      <c r="CQ236" s="52" t="n">
        <f aca="false">IF(AND(Parameter!$B$21="Ja",ISNUMBER(W236),N(X236)&gt;0),IFERROR(N(INDEX(Parameter!$L$5:$L$7,W236))*INDEX(Parameter!$E$5:$E$7,W236)*X236/SUMIFS($X$7:$X$1843,$W$7:$W$1843,W236),0),0)</f>
        <v>0</v>
      </c>
    </row>
    <row r="237" customFormat="false" ht="15" hidden="false" customHeight="false" outlineLevel="0" collapsed="false">
      <c r="A237" s="48" t="s">
        <v>671</v>
      </c>
      <c r="B237" s="48" t="s">
        <v>477</v>
      </c>
      <c r="C237" s="48" t="s">
        <v>173</v>
      </c>
      <c r="D237" s="48" t="s">
        <v>193</v>
      </c>
      <c r="E237" s="48" t="s">
        <v>194</v>
      </c>
      <c r="F237" s="48" t="s">
        <v>227</v>
      </c>
      <c r="G237" s="49" t="n">
        <v>4.28</v>
      </c>
      <c r="H237" s="50" t="n">
        <f aca="false">MAX(0,IF(AND(Parameter!$B$21="Ja",ISNUMBER(Y237)),Y237,IF(Parameter!$B$20="Jahresanfang 2025 + Export",BR237+BQ237,BQ237)))</f>
        <v>187</v>
      </c>
      <c r="I237" s="50" t="n">
        <f aca="false">H237*G237</f>
        <v>800.36</v>
      </c>
      <c r="J237" s="50" t="n">
        <f aca="false">BT237*Parameter!$B$18</f>
        <v>30</v>
      </c>
      <c r="K237" s="51" t="n">
        <v>144.5</v>
      </c>
      <c r="L237" s="52" t="n">
        <v>0.207612456747405</v>
      </c>
      <c r="M237" s="50" t="n">
        <v>1</v>
      </c>
      <c r="N237" s="50" t="n">
        <v>30</v>
      </c>
      <c r="O237" s="53" t="n">
        <v>14</v>
      </c>
      <c r="P237" s="48" t="s">
        <v>242</v>
      </c>
      <c r="Q237" s="50" t="n">
        <v>139</v>
      </c>
      <c r="R237" s="53" t="n">
        <f aca="false">IF(BZ237=1,0,IFERROR(VLOOKUP(BX237,'Gebinde-Kategorie'!$A$5:$N$45,13,0)+0,0))</f>
        <v>26</v>
      </c>
      <c r="S237" s="54"/>
      <c r="T237" s="55"/>
      <c r="U237" s="55"/>
      <c r="V237" s="55"/>
      <c r="W237" s="48"/>
      <c r="X237" s="50"/>
      <c r="Y237" s="50"/>
      <c r="Z237" s="48" t="n">
        <f aca="false">IF(A237="","",IF(AND(Parameter!$B$21="Ja",ISNUMBER(W237)),W237,IF(CC237="2+3",IF(ISNUMBER(SEARCH("grosser Artikel",BU237)),2,IFERROR(VLOOKUP(BX237,Parameter!$F$35:$G$64,2,0),2)),IF(OR(CC237="Nein",CC237=""),"-",CC237))))</f>
        <v>3</v>
      </c>
      <c r="AA237" s="55"/>
      <c r="AB237" s="56"/>
      <c r="AC237" s="50" t="n">
        <f aca="false">AV237</f>
        <v>31</v>
      </c>
      <c r="AD237" s="50" t="n">
        <f aca="false">MAX(AV237,H237)</f>
        <v>187</v>
      </c>
      <c r="AE237" s="57"/>
      <c r="AF237" s="50" t="n">
        <f aca="false">IF(LEFT(Cockpit!$C$5,1)="A",H237,IF(Parameter!$E$30="MAX-Bestand",IF(CH237=1,CI237,IF(LEFT(Cockpit!$C$5,1)="B",AL237,MAX(AL237,H237))),ROUNDUP(AJ237,0)))</f>
        <v>187</v>
      </c>
      <c r="AG237" s="50" t="n">
        <f aca="false">IF(BZ237=1,0,ROUNDUP(AF237/BY237,0))</f>
        <v>2</v>
      </c>
      <c r="AH237" s="52" t="n">
        <f aca="false">IF(CQ237&gt;0,CQ237*MAX(1,AF237/X237),IF(BZ237=1,IF(AF237&lt;=0,0,CD237*MAX(1,IF(H237&gt;0,AF237/H237,1))),IF(R237&gt;0,AG237/R237,0))/MAX(0.1,N(Parameter!$M$21)))</f>
        <v>0.0769230769230769</v>
      </c>
      <c r="AI237" s="50" t="n">
        <f aca="false">AH237*CB237</f>
        <v>18.8461538461538</v>
      </c>
      <c r="AJ237" s="51" t="n">
        <f aca="false">IF(LEFT(Cockpit!$C$5,1)="A",H237,IF(CH237=1,(CK237+CI237)/2,IF(LEFT(Cockpit!$C$5,1)="B",(CK237+AL237)/2,MAX((CK237+AL237)/2,H237))))</f>
        <v>187</v>
      </c>
      <c r="AK237" s="50" t="n">
        <f aca="false">AJ237*G237</f>
        <v>800.36</v>
      </c>
      <c r="AL237" s="50" t="n">
        <f aca="false">ROUNDUP(CK237+MAX(CL237,2*(J237/IF(CG237&gt;0,CG237,MAX(0.1,N(Cockpit!$C$6)))-CK237)),0)</f>
        <v>31</v>
      </c>
      <c r="AM237" s="51" t="n">
        <f aca="false">IF(AI237&gt;0,J237/AI237,-1)</f>
        <v>1.59183673469388</v>
      </c>
      <c r="AN237" s="51" t="n">
        <f aca="false">IF(AND(OR(CF237="L1",CF237="L23",CF237="LIFT"),AI237&gt;0),SUMIFS($AI$7:$AI$1843,$CF$7:$CF$1843,CF237,$AM$7:$AM$1843,"&gt;"&amp;AM237)+SUMIFS($AI$7:$AI$1843,$CF$7:$CF$1843,CF237,$AM$7:$AM$1843,AM237,$BW$7:$BW$1843,"&lt;="&amp;BW237),"")</f>
        <v>6180.12225274725</v>
      </c>
      <c r="AO237" s="58" t="n">
        <f aca="false">IF(AN237="",0,MAX(0,MIN(1,(IF(CF237="L1",Parameter!$H$5,IF(CF237="L23",Parameter!$H$6+Parameter!$H$7,Parameter!$H$5+Parameter!$H$6+Parameter!$H$7))-(AN237-AI237))/AI237)))</f>
        <v>1</v>
      </c>
      <c r="AP237" s="50" t="n">
        <f aca="false">IF(LEFT(Cockpit!$I$5,1)="A",H237,IF(Parameter!$E$30="MAX-Bestand",IF(CH237=1,CI237,IF(LEFT(Cockpit!$I$5,1)="B",AV237,MAX(AV237,H237))),ROUNDUP(AT237,0)))</f>
        <v>187</v>
      </c>
      <c r="AQ237" s="50" t="n">
        <f aca="false">IF(BZ237=1,0,ROUNDUP(AP237/BY237,0))</f>
        <v>2</v>
      </c>
      <c r="AR237" s="52" t="n">
        <f aca="false">IF(CQ237&gt;0,CQ237*MAX(1,AP237/X237),IF(BZ237=1,IF(AP237&lt;=0,0,CD237*MAX(1,IF(H237&gt;0,AP237/H237,1))),IF(R237&gt;0,AQ237/R237,0))/MAX(0.1,N(Parameter!$M$21)))</f>
        <v>0.0769230769230769</v>
      </c>
      <c r="AS237" s="50" t="n">
        <f aca="false">AR237*CB237</f>
        <v>18.8461538461538</v>
      </c>
      <c r="AT237" s="51" t="n">
        <f aca="false">IF(LEFT(Cockpit!$I$5,1)="A",H237,IF(CH237=1,(CK237+CI237)/2,IF(LEFT(Cockpit!$I$5,1)="B",(CK237+AV237)/2,MAX((CK237+AV237)/2,H237))))</f>
        <v>187</v>
      </c>
      <c r="AU237" s="50" t="n">
        <f aca="false">AT237*G237</f>
        <v>800.36</v>
      </c>
      <c r="AV237" s="50" t="n">
        <f aca="false">ROUNDUP(CK237+MAX(CL237,2*(J237/IF(CG237&gt;0,CG237,MAX(0.1,N(Cockpit!$I$6)))-CK237)),0)</f>
        <v>31</v>
      </c>
      <c r="AW237" s="51" t="n">
        <f aca="false">IF(AS237&gt;0,J237/AS237,-1)</f>
        <v>1.59183673469388</v>
      </c>
      <c r="AX237" s="51" t="n">
        <f aca="false">IF(AND(OR(CF237="L1",CF237="L23",CF237="LIFT"),AS237&gt;0),SUMIFS($AS$7:$AS$1843,$CF$7:$CF$1843,CF237,$AW$7:$AW$1843,"&gt;"&amp;AW237)+SUMIFS($AS$7:$AS$1843,$CF$7:$CF$1843,CF237,$AW$7:$AW$1843,AW237,$BW$7:$BW$1843,"&lt;="&amp;BW237),"")</f>
        <v>7620.01098901099</v>
      </c>
      <c r="AY237" s="58" t="n">
        <f aca="false">IF(AX237="",0,MAX(0,MIN(1,(IF(CF237="L1",Parameter!$H$5,IF(CF237="L23",Parameter!$H$6+Parameter!$H$7,Parameter!$H$5+Parameter!$H$6+Parameter!$H$7))-(AX237-AS237))/AS237)))</f>
        <v>1</v>
      </c>
      <c r="AZ237" s="50" t="n">
        <f aca="false">IF(LEFT(Cockpit!$O$5,1)="A",H237,IF(Parameter!$E$30="MAX-Bestand",IF(CH237=1,CI237,IF(LEFT(Cockpit!$O$5,1)="B",BF237,MAX(BF237,H237))),ROUNDUP(BD237,0)))</f>
        <v>16</v>
      </c>
      <c r="BA237" s="50" t="n">
        <f aca="false">IF(BZ237=1,0,ROUNDUP(AZ237/BY237,0))</f>
        <v>1</v>
      </c>
      <c r="BB237" s="52" t="n">
        <f aca="false">IF(CQ237&gt;0,CQ237*MAX(1,AZ237/X237),IF(BZ237=1,IF(AZ237&lt;=0,0,CD237*MAX(1,IF(H237&gt;0,AZ237/H237,1))),IF(R237&gt;0,BA237/R237,0))/MAX(0.1,N(Parameter!$M$21)))</f>
        <v>0.0384615384615385</v>
      </c>
      <c r="BC237" s="50" t="n">
        <f aca="false">BB237*CB237</f>
        <v>9.42307692307692</v>
      </c>
      <c r="BD237" s="51" t="n">
        <f aca="false">IF(LEFT(Cockpit!$O$5,1)="A",H237,IF(CH237=1,(CK237+CI237)/2,IF(LEFT(Cockpit!$O$5,1)="B",(CK237+BF237)/2,MAX((CK237+BF237)/2,H237))))</f>
        <v>16</v>
      </c>
      <c r="BE237" s="50" t="n">
        <f aca="false">BD237*G237</f>
        <v>68.48</v>
      </c>
      <c r="BF237" s="50" t="n">
        <f aca="false">ROUNDUP(CK237+MAX(CL237,2*(J237/IF(CG237&gt;0,CG237,MAX(0.1,N(Cockpit!$O$6)))-CK237)),0)</f>
        <v>31</v>
      </c>
      <c r="BG237" s="51" t="n">
        <f aca="false">IF(BC237&gt;0,J237/BC237,-1)</f>
        <v>3.18367346938776</v>
      </c>
      <c r="BH237" s="51" t="n">
        <f aca="false">IF(AND(OR(CF237="L1",CF237="L23",CF237="LIFT"),BC237&gt;0),SUMIFS($BC$7:$BC$1843,$CF$7:$CF$1843,CF237,$BG$7:$BG$1843,"&gt;"&amp;BG237)+SUMIFS($BC$7:$BC$1843,$CF$7:$CF$1843,CF237,$BG$7:$BG$1843,BG237,$BW$7:$BW$1843,"&lt;="&amp;BW237),"")</f>
        <v>4694.43452380952</v>
      </c>
      <c r="BI237" s="58" t="n">
        <f aca="false">IF(BH237="",0,MAX(0,MIN(1,(IF(CF237="L1",Parameter!$H$5,IF(CF237="L23",Parameter!$H$6+Parameter!$H$7,Parameter!$H$5+Parameter!$H$6+Parameter!$H$7))-(BH237-BC237))/BC237)))</f>
        <v>1</v>
      </c>
      <c r="BJ237" s="48" t="str">
        <f aca="false">IF(AI237&lt;=0,"",IF(CF237="Aussen","Aussenlager",IF(CF237="-","Nicht im Lift",IF(AO237&gt;=1,"Lift",IF(AO237&lt;=0,"Aussenlager","teilweise")))))</f>
        <v>Lift</v>
      </c>
      <c r="BK237" s="48" t="str">
        <f aca="false">IF(AS237&lt;=0,"",IF(CF237="Aussen","Aussenlager",IF(CF237="-","Nicht im Lift",IF(AY237&gt;=1,"Lift",IF(AY237&lt;=0,"Aussenlager","teilweise")))))</f>
        <v>Lift</v>
      </c>
      <c r="BL237" s="48" t="str">
        <f aca="false">IF(BC237&lt;=0,"",IF(CF237="Aussen","Aussenlager",IF(CF237="-","Nicht im Lift",IF(BI237&gt;=1,"Lift",IF(BI237&lt;=0,"Aussenlager","teilweise")))))</f>
        <v>Lift</v>
      </c>
      <c r="BM237" s="48" t="str">
        <f aca="false">IF(A237="","",IF(BV237=1,"Neu; ","")&amp;IF(AND(BV237=0,BQ237&lt;0),"negativer Bestand (Export "&amp;BQ237&amp;"); ","")&amp;IF(J237&lt;=0,"Kein Verbrauch; ","")&amp;IF(CQ237&gt;0,"Lift "&amp;W237&amp;" lt. Liftbericht (Fach "&amp;X237&amp;" Stk); ",IF(CA237=1,"Gebinde geschätzt ("&amp;T237&amp;"); ",IF(BZ237=1,"Lose – Tablare geschätzt; ","")))&amp;IF(H237&gt;AV237,"Überbestand "&amp;ROUND(H237-AV237,0)&amp;" Stk / CHF "&amp;ROUND((H237-AV237)*G237,0)&amp;"; ","")&amp;IF(AND(CH237=1,CI237&lt;CJ237),"MAX &lt; MB+LG; ","")&amp;IF(AND(CP237&gt;0,CO237*10&gt;CP237),"zu hoch für Tablar; ","")&amp;IF(AND(BV237=0,OR(CH237=1,AA237&lt;&gt;"",U237&lt;&gt;"",V237&lt;&gt;"",AB237&lt;&gt;"")),"manuell übersteuert; ","")&amp;IF(AND(BZ237=0,R237=0),"Gebinde unbekannt / Stellmass fehlt; ","")&amp;IF(AND(BZ237=0,N(V237)&lt;=0,N(Q237)&lt;=0),"Menge pro Gebinde fehlt (Ist = 1 Gebinde); ","")&amp;BU237)</f>
        <v>Überbestand 156 Stk / CHF 668; </v>
      </c>
      <c r="BN237" s="48"/>
      <c r="BO237" s="48"/>
      <c r="BP237" s="55"/>
      <c r="BQ237" s="50" t="n">
        <v>135</v>
      </c>
      <c r="BR237" s="50" t="n">
        <v>52</v>
      </c>
      <c r="BS237" s="49" t="n">
        <v>570.000000000001</v>
      </c>
      <c r="BT237" s="50" t="n">
        <v>30</v>
      </c>
      <c r="BU237" s="48"/>
      <c r="BV237" s="53" t="n">
        <v>0</v>
      </c>
      <c r="BW237" s="53" t="n">
        <v>237</v>
      </c>
      <c r="BX237" s="48" t="str">
        <f aca="false">IF(U237&lt;&gt;"",UPPER(TRIM(U237)),IF(CA237=1,UPPER(VLOOKUP(T237,Parameter!$I$27:$K$29,2,0)),IF(P237="","LOSE",P237)))</f>
        <v>S52</v>
      </c>
      <c r="BY237" s="50" t="n">
        <f aca="false">IF(BX237="LOSE",1,IF(N(V237)&gt;0,V237,IF(CA237=1,MAX(1,N(VLOOKUP(T237,Parameter!$I$27:$K$29,3,0)),H237,N(N237)),IF(N(Q237)&gt;0,Q237,MAX(1,H237)))))</f>
        <v>139</v>
      </c>
      <c r="BZ237" s="53" t="n">
        <f aca="false">IF(BX237="LOSE",1,0)</f>
        <v>0</v>
      </c>
      <c r="CA237" s="53" t="n">
        <f aca="false">IF(AND(U237="",OR(P237="",P237="LOSE"),T237&lt;&gt;"",N(S237)&lt;=0,ISNUMBER(MATCH(T237,Parameter!$I$27:$I$29,0))),1,0)</f>
        <v>0</v>
      </c>
      <c r="CB237" s="53" t="n">
        <f aca="false">IF(CQ237&gt;0,INDEX(Parameter!$H$5:$H$7,W237)/INDEX(Parameter!$E$5:$E$7,W237),IF(AND(BZ237=0,N(IFERROR(VLOOKUP(BX237,'Gebinde-Kategorie'!$A$5:$N$45,14,0),0))&gt;0),VLOOKUP(BX237,'Gebinde-Kategorie'!$A$5:$N$45,14,0)*10+Parameter!$M$23,Parameter!$M$24))</f>
        <v>245</v>
      </c>
      <c r="CC237" s="48" t="str">
        <f aca="false">IF(AND(Parameter!$B$19="Ja",E237&lt;&gt;"",ISNUMBER(MATCH(E237,Parameter!$I$35:$I$52,0))),VLOOKUP(E237,Parameter!$I$35:$J$52,2,0),IFERROR(VLOOKUP(D237,Parameter!$A$35:$C$64,2,0),"Nein"))</f>
        <v>2+3</v>
      </c>
      <c r="CD237" s="52" t="n">
        <f aca="false">IF(BZ237=0,0,IF(N(S237)&gt;0,S237,IFERROR(VLOOKUP(D237,Parameter!$A$35:$C$64,3,0)+0,0)))</f>
        <v>0</v>
      </c>
      <c r="CE237" s="48" t="n">
        <f aca="false">IF(AA237&lt;&gt;"",AA237,Z237)</f>
        <v>3</v>
      </c>
      <c r="CF237" s="48" t="str">
        <f aca="false">IF(OR(CE237=1,CE237=2,CE237=3),IF(Parameter!$E$27="Ja","LIFT",IF(CE237=1,"L1","L23")),IF(CE237="Aussen","Aussen","-"))</f>
        <v>LIFT</v>
      </c>
      <c r="CG237" s="59" t="n">
        <f aca="false">IF(N(AB237)&gt;0,AB237,0)</f>
        <v>0</v>
      </c>
      <c r="CH237" s="53" t="n">
        <f aca="false">IF(ISNUMBER(AE237),1,0)</f>
        <v>0</v>
      </c>
      <c r="CI237" s="50" t="n">
        <f aca="false">N(AE237)</f>
        <v>0</v>
      </c>
      <c r="CJ237" s="50" t="n">
        <f aca="false">N(M237)+N(N237)</f>
        <v>31</v>
      </c>
      <c r="CK237" s="50" t="n">
        <f aca="false">N(M237)</f>
        <v>1</v>
      </c>
      <c r="CL237" s="50" t="n">
        <f aca="false">N(N237)</f>
        <v>30</v>
      </c>
      <c r="CM237" s="50" t="n">
        <f aca="false">ROUNDUP(H237/BY237,0)</f>
        <v>2</v>
      </c>
      <c r="CN237" s="50" t="n">
        <f aca="false">ROUNDUP(CI237/BY237,0)</f>
        <v>0</v>
      </c>
      <c r="CO237" s="53" t="n">
        <f aca="false">IF(BZ237=1,0,IFERROR(VLOOKUP(BX237,'Gebinde-Kategorie'!$A$5:$N$45,5,0)+0,0))</f>
        <v>21</v>
      </c>
      <c r="CP237" s="53" t="n">
        <f aca="false">IFERROR(IF(OR(CE237=1,CE237=2,CE237=3),N(INDEX(Parameter!$I$5:$I$7,CE237)),0),0)</f>
        <v>0</v>
      </c>
      <c r="CQ237" s="52" t="n">
        <f aca="false">IF(AND(Parameter!$B$21="Ja",ISNUMBER(W237),N(X237)&gt;0),IFERROR(N(INDEX(Parameter!$L$5:$L$7,W237))*INDEX(Parameter!$E$5:$E$7,W237)*X237/SUMIFS($X$7:$X$1843,$W$7:$W$1843,W237),0),0)</f>
        <v>0</v>
      </c>
    </row>
    <row r="238" customFormat="false" ht="15" hidden="false" customHeight="false" outlineLevel="0" collapsed="false">
      <c r="A238" s="48" t="s">
        <v>672</v>
      </c>
      <c r="B238" s="48" t="s">
        <v>673</v>
      </c>
      <c r="C238" s="48" t="s">
        <v>173</v>
      </c>
      <c r="D238" s="48" t="s">
        <v>182</v>
      </c>
      <c r="E238" s="48" t="s">
        <v>194</v>
      </c>
      <c r="F238" s="48" t="s">
        <v>227</v>
      </c>
      <c r="G238" s="49" t="n">
        <v>142</v>
      </c>
      <c r="H238" s="50" t="n">
        <f aca="false">MAX(0,IF(AND(Parameter!$B$21="Ja",ISNUMBER(Y238)),Y238,IF(Parameter!$B$20="Jahresanfang 2025 + Export",BR238+BQ238,BQ238)))</f>
        <v>5</v>
      </c>
      <c r="I238" s="50" t="n">
        <f aca="false">H238*G238</f>
        <v>710</v>
      </c>
      <c r="J238" s="50" t="n">
        <f aca="false">BT238*Parameter!$B$18</f>
        <v>12</v>
      </c>
      <c r="K238" s="51" t="n">
        <v>4.5</v>
      </c>
      <c r="L238" s="52" t="n">
        <v>2.66666666666667</v>
      </c>
      <c r="M238" s="50" t="n">
        <v>1</v>
      </c>
      <c r="N238" s="50" t="n">
        <v>10</v>
      </c>
      <c r="O238" s="53" t="n">
        <v>35</v>
      </c>
      <c r="P238" s="48" t="s">
        <v>183</v>
      </c>
      <c r="Q238" s="50" t="n">
        <v>10</v>
      </c>
      <c r="R238" s="53" t="n">
        <f aca="false">IF(BZ238=1,0,IFERROR(VLOOKUP(BX238,'Gebinde-Kategorie'!$A$5:$N$45,13,0)+0,0))</f>
        <v>6</v>
      </c>
      <c r="S238" s="54"/>
      <c r="T238" s="55"/>
      <c r="U238" s="55"/>
      <c r="V238" s="55"/>
      <c r="W238" s="48"/>
      <c r="X238" s="50"/>
      <c r="Y238" s="50"/>
      <c r="Z238" s="48" t="n">
        <f aca="false">IF(A238="","",IF(AND(Parameter!$B$21="Ja",ISNUMBER(W238)),W238,IF(CC238="2+3",IF(ISNUMBER(SEARCH("grosser Artikel",BU238)),2,IFERROR(VLOOKUP(BX238,Parameter!$F$35:$G$64,2,0),2)),IF(OR(CC238="Nein",CC238=""),"-",CC238))))</f>
        <v>2</v>
      </c>
      <c r="AA238" s="55"/>
      <c r="AB238" s="56"/>
      <c r="AC238" s="50" t="n">
        <f aca="false">AV238</f>
        <v>11</v>
      </c>
      <c r="AD238" s="50" t="n">
        <f aca="false">MAX(AV238,H238)</f>
        <v>11</v>
      </c>
      <c r="AE238" s="57"/>
      <c r="AF238" s="50" t="n">
        <f aca="false">IF(LEFT(Cockpit!$C$5,1)="A",H238,IF(Parameter!$E$30="MAX-Bestand",IF(CH238=1,CI238,IF(LEFT(Cockpit!$C$5,1)="B",AL238,MAX(AL238,H238))),ROUNDUP(AJ238,0)))</f>
        <v>5</v>
      </c>
      <c r="AG238" s="50" t="n">
        <f aca="false">IF(BZ238=1,0,ROUNDUP(AF238/BY238,0))</f>
        <v>1</v>
      </c>
      <c r="AH238" s="52" t="n">
        <f aca="false">IF(CQ238&gt;0,CQ238*MAX(1,AF238/X238),IF(BZ238=1,IF(AF238&lt;=0,0,CD238*MAX(1,IF(H238&gt;0,AF238/H238,1))),IF(R238&gt;0,AG238/R238,0))/MAX(0.1,N(Parameter!$M$21)))</f>
        <v>0.166666666666667</v>
      </c>
      <c r="AI238" s="50" t="n">
        <f aca="false">AH238*CB238</f>
        <v>39.1666666666667</v>
      </c>
      <c r="AJ238" s="51" t="n">
        <f aca="false">IF(LEFT(Cockpit!$C$5,1)="A",H238,IF(CH238=1,(CK238+CI238)/2,IF(LEFT(Cockpit!$C$5,1)="B",(CK238+AL238)/2,MAX((CK238+AL238)/2,H238))))</f>
        <v>5</v>
      </c>
      <c r="AK238" s="50" t="n">
        <f aca="false">AJ238*G238</f>
        <v>710</v>
      </c>
      <c r="AL238" s="50" t="n">
        <f aca="false">ROUNDUP(CK238+MAX(CL238,2*(J238/IF(CG238&gt;0,CG238,MAX(0.1,N(Cockpit!$C$6)))-CK238)),0)</f>
        <v>11</v>
      </c>
      <c r="AM238" s="51" t="n">
        <f aca="false">IF(AI238&gt;0,J238/AI238,-1)</f>
        <v>0.306382978723404</v>
      </c>
      <c r="AN238" s="51" t="n">
        <f aca="false">IF(AND(OR(CF238="L1",CF238="L23",CF238="LIFT"),AI238&gt;0),SUMIFS($AI$7:$AI$1843,$CF$7:$CF$1843,CF238,$AM$7:$AM$1843,"&gt;"&amp;AM238)+SUMIFS($AI$7:$AI$1843,$CF$7:$CF$1843,CF238,$AM$7:$AM$1843,AM238,$BW$7:$BW$1843,"&lt;="&amp;BW238),"")</f>
        <v>11287.7821676911</v>
      </c>
      <c r="AO238" s="58" t="n">
        <f aca="false">IF(AN238="",0,MAX(0,MIN(1,(IF(CF238="L1",Parameter!$H$5,IF(CF238="L23",Parameter!$H$6+Parameter!$H$7,Parameter!$H$5+Parameter!$H$6+Parameter!$H$7))-(AN238-AI238))/AI238)))</f>
        <v>1</v>
      </c>
      <c r="AP238" s="50" t="n">
        <f aca="false">IF(LEFT(Cockpit!$I$5,1)="A",H238,IF(Parameter!$E$30="MAX-Bestand",IF(CH238=1,CI238,IF(LEFT(Cockpit!$I$5,1)="B",AV238,MAX(AV238,H238))),ROUNDUP(AT238,0)))</f>
        <v>6</v>
      </c>
      <c r="AQ238" s="50" t="n">
        <f aca="false">IF(BZ238=1,0,ROUNDUP(AP238/BY238,0))</f>
        <v>1</v>
      </c>
      <c r="AR238" s="52" t="n">
        <f aca="false">IF(CQ238&gt;0,CQ238*MAX(1,AP238/X238),IF(BZ238=1,IF(AP238&lt;=0,0,CD238*MAX(1,IF(H238&gt;0,AP238/H238,1))),IF(R238&gt;0,AQ238/R238,0))/MAX(0.1,N(Parameter!$M$21)))</f>
        <v>0.166666666666667</v>
      </c>
      <c r="AS238" s="50" t="n">
        <f aca="false">AR238*CB238</f>
        <v>39.1666666666667</v>
      </c>
      <c r="AT238" s="51" t="n">
        <f aca="false">IF(LEFT(Cockpit!$I$5,1)="A",H238,IF(CH238=1,(CK238+CI238)/2,IF(LEFT(Cockpit!$I$5,1)="B",(CK238+AV238)/2,MAX((CK238+AV238)/2,H238))))</f>
        <v>6</v>
      </c>
      <c r="AU238" s="50" t="n">
        <f aca="false">AT238*G238</f>
        <v>852</v>
      </c>
      <c r="AV238" s="50" t="n">
        <f aca="false">ROUNDUP(CK238+MAX(CL238,2*(J238/IF(CG238&gt;0,CG238,MAX(0.1,N(Cockpit!$I$6)))-CK238)),0)</f>
        <v>11</v>
      </c>
      <c r="AW238" s="51" t="n">
        <f aca="false">IF(AS238&gt;0,J238/AS238,-1)</f>
        <v>0.306382978723404</v>
      </c>
      <c r="AX238" s="51" t="n">
        <f aca="false">IF(AND(OR(CF238="L1",CF238="L23",CF238="LIFT"),AS238&gt;0),SUMIFS($AS$7:$AS$1843,$CF$7:$CF$1843,CF238,$AW$7:$AW$1843,"&gt;"&amp;AW238)+SUMIFS($AS$7:$AS$1843,$CF$7:$CF$1843,CF238,$AW$7:$AW$1843,AW238,$BW$7:$BW$1843,"&lt;="&amp;BW238),"")</f>
        <v>13855.5096153846</v>
      </c>
      <c r="AY238" s="58" t="n">
        <f aca="false">IF(AX238="",0,MAX(0,MIN(1,(IF(CF238="L1",Parameter!$H$5,IF(CF238="L23",Parameter!$H$6+Parameter!$H$7,Parameter!$H$5+Parameter!$H$6+Parameter!$H$7))-(AX238-AS238))/AS238)))</f>
        <v>1</v>
      </c>
      <c r="AZ238" s="50" t="n">
        <f aca="false">IF(LEFT(Cockpit!$O$5,1)="A",H238,IF(Parameter!$E$30="MAX-Bestand",IF(CH238=1,CI238,IF(LEFT(Cockpit!$O$5,1)="B",BF238,MAX(BF238,H238))),ROUNDUP(BD238,0)))</f>
        <v>6</v>
      </c>
      <c r="BA238" s="50" t="n">
        <f aca="false">IF(BZ238=1,0,ROUNDUP(AZ238/BY238,0))</f>
        <v>1</v>
      </c>
      <c r="BB238" s="52" t="n">
        <f aca="false">IF(CQ238&gt;0,CQ238*MAX(1,AZ238/X238),IF(BZ238=1,IF(AZ238&lt;=0,0,CD238*MAX(1,IF(H238&gt;0,AZ238/H238,1))),IF(R238&gt;0,BA238/R238,0))/MAX(0.1,N(Parameter!$M$21)))</f>
        <v>0.166666666666667</v>
      </c>
      <c r="BC238" s="50" t="n">
        <f aca="false">BB238*CB238</f>
        <v>39.1666666666667</v>
      </c>
      <c r="BD238" s="51" t="n">
        <f aca="false">IF(LEFT(Cockpit!$O$5,1)="A",H238,IF(CH238=1,(CK238+CI238)/2,IF(LEFT(Cockpit!$O$5,1)="B",(CK238+BF238)/2,MAX((CK238+BF238)/2,H238))))</f>
        <v>6</v>
      </c>
      <c r="BE238" s="50" t="n">
        <f aca="false">BD238*G238</f>
        <v>852</v>
      </c>
      <c r="BF238" s="50" t="n">
        <f aca="false">ROUNDUP(CK238+MAX(CL238,2*(J238/IF(CG238&gt;0,CG238,MAX(0.1,N(Cockpit!$O$6)))-CK238)),0)</f>
        <v>11</v>
      </c>
      <c r="BG238" s="51" t="n">
        <f aca="false">IF(BC238&gt;0,J238/BC238,-1)</f>
        <v>0.306382978723404</v>
      </c>
      <c r="BH238" s="51" t="n">
        <f aca="false">IF(AND(OR(CF238="L1",CF238="L23",CF238="LIFT"),BC238&gt;0),SUMIFS($BC$7:$BC$1843,$CF$7:$CF$1843,CF238,$BG$7:$BG$1843,"&gt;"&amp;BG238)+SUMIFS($BC$7:$BC$1843,$CF$7:$CF$1843,CF238,$BG$7:$BG$1843,BG238,$BW$7:$BW$1843,"&lt;="&amp;BW238),"")</f>
        <v>11794.2248168498</v>
      </c>
      <c r="BI238" s="58" t="n">
        <f aca="false">IF(BH238="",0,MAX(0,MIN(1,(IF(CF238="L1",Parameter!$H$5,IF(CF238="L23",Parameter!$H$6+Parameter!$H$7,Parameter!$H$5+Parameter!$H$6+Parameter!$H$7))-(BH238-BC238))/BC238)))</f>
        <v>1</v>
      </c>
      <c r="BJ238" s="48" t="str">
        <f aca="false">IF(AI238&lt;=0,"",IF(CF238="Aussen","Aussenlager",IF(CF238="-","Nicht im Lift",IF(AO238&gt;=1,"Lift",IF(AO238&lt;=0,"Aussenlager","teilweise")))))</f>
        <v>Lift</v>
      </c>
      <c r="BK238" s="48" t="str">
        <f aca="false">IF(AS238&lt;=0,"",IF(CF238="Aussen","Aussenlager",IF(CF238="-","Nicht im Lift",IF(AY238&gt;=1,"Lift",IF(AY238&lt;=0,"Aussenlager","teilweise")))))</f>
        <v>Lift</v>
      </c>
      <c r="BL238" s="48" t="str">
        <f aca="false">IF(BC238&lt;=0,"",IF(CF238="Aussen","Aussenlager",IF(CF238="-","Nicht im Lift",IF(BI238&gt;=1,"Lift",IF(BI238&lt;=0,"Aussenlager","teilweise")))))</f>
        <v>Lift</v>
      </c>
      <c r="BM238" s="48" t="str">
        <f aca="false">IF(A238="","",IF(BV238=1,"Neu; ","")&amp;IF(AND(BV238=0,BQ238&lt;0),"negativer Bestand (Export "&amp;BQ238&amp;"); ","")&amp;IF(J238&lt;=0,"Kein Verbrauch; ","")&amp;IF(CQ238&gt;0,"Lift "&amp;W238&amp;" lt. Liftbericht (Fach "&amp;X238&amp;" Stk); ",IF(CA238=1,"Gebinde geschätzt ("&amp;T238&amp;"); ",IF(BZ238=1,"Lose – Tablare geschätzt; ","")))&amp;IF(H238&gt;AV238,"Überbestand "&amp;ROUND(H238-AV238,0)&amp;" Stk / CHF "&amp;ROUND((H238-AV238)*G238,0)&amp;"; ","")&amp;IF(AND(CH238=1,CI238&lt;CJ238),"MAX &lt; MB+LG; ","")&amp;IF(AND(CP238&gt;0,CO238*10&gt;CP238),"zu hoch für Tablar; ","")&amp;IF(AND(BV238=0,OR(CH238=1,AA238&lt;&gt;"",U238&lt;&gt;"",V238&lt;&gt;"",AB238&lt;&gt;"")),"manuell übersteuert; ","")&amp;IF(AND(BZ238=0,R238=0),"Gebinde unbekannt / Stellmass fehlt; ","")&amp;IF(AND(BZ238=0,N(V238)&lt;=0,N(Q238)&lt;=0),"Menge pro Gebinde fehlt (Ist = 1 Gebinde); ","")&amp;BU238)</f>
        <v>grosser Artikel &amp; nicht im KTL</v>
      </c>
      <c r="BN238" s="48"/>
      <c r="BO238" s="48"/>
      <c r="BP238" s="55"/>
      <c r="BQ238" s="50" t="n">
        <v>4</v>
      </c>
      <c r="BR238" s="50" t="n">
        <v>1</v>
      </c>
      <c r="BS238" s="49" t="n">
        <v>567.95</v>
      </c>
      <c r="BT238" s="50" t="n">
        <v>12</v>
      </c>
      <c r="BU238" s="48" t="s">
        <v>270</v>
      </c>
      <c r="BV238" s="53" t="n">
        <v>0</v>
      </c>
      <c r="BW238" s="53" t="n">
        <v>238</v>
      </c>
      <c r="BX238" s="48" t="str">
        <f aca="false">IF(U238&lt;&gt;"",UPPER(TRIM(U238)),IF(CA238=1,UPPER(VLOOKUP(T238,Parameter!$I$27:$K$29,2,0)),IF(P238="","LOSE",P238)))</f>
        <v>S71</v>
      </c>
      <c r="BY238" s="50" t="n">
        <f aca="false">IF(BX238="LOSE",1,IF(N(V238)&gt;0,V238,IF(CA238=1,MAX(1,N(VLOOKUP(T238,Parameter!$I$27:$K$29,3,0)),H238,N(N238)),IF(N(Q238)&gt;0,Q238,MAX(1,H238)))))</f>
        <v>10</v>
      </c>
      <c r="BZ238" s="53" t="n">
        <f aca="false">IF(BX238="LOSE",1,0)</f>
        <v>0</v>
      </c>
      <c r="CA238" s="53" t="n">
        <f aca="false">IF(AND(U238="",OR(P238="",P238="LOSE"),T238&lt;&gt;"",N(S238)&lt;=0,ISNUMBER(MATCH(T238,Parameter!$I$27:$I$29,0))),1,0)</f>
        <v>0</v>
      </c>
      <c r="CB238" s="53" t="n">
        <f aca="false">IF(CQ238&gt;0,INDEX(Parameter!$H$5:$H$7,W238)/INDEX(Parameter!$E$5:$E$7,W238),IF(AND(BZ238=0,N(IFERROR(VLOOKUP(BX238,'Gebinde-Kategorie'!$A$5:$N$45,14,0),0))&gt;0),VLOOKUP(BX238,'Gebinde-Kategorie'!$A$5:$N$45,14,0)*10+Parameter!$M$23,Parameter!$M$24))</f>
        <v>235</v>
      </c>
      <c r="CC238" s="48" t="str">
        <f aca="false">IF(AND(Parameter!$B$19="Ja",E238&lt;&gt;"",ISNUMBER(MATCH(E238,Parameter!$I$35:$I$52,0))),VLOOKUP(E238,Parameter!$I$35:$J$52,2,0),IFERROR(VLOOKUP(D238,Parameter!$A$35:$C$64,2,0),"Nein"))</f>
        <v>2+3</v>
      </c>
      <c r="CD238" s="52" t="n">
        <f aca="false">IF(BZ238=0,0,IF(N(S238)&gt;0,S238,IFERROR(VLOOKUP(D238,Parameter!$A$35:$C$64,3,0)+0,0)))</f>
        <v>0</v>
      </c>
      <c r="CE238" s="48" t="n">
        <f aca="false">IF(AA238&lt;&gt;"",AA238,Z238)</f>
        <v>2</v>
      </c>
      <c r="CF238" s="48" t="str">
        <f aca="false">IF(OR(CE238=1,CE238=2,CE238=3),IF(Parameter!$E$27="Ja","LIFT",IF(CE238=1,"L1","L23")),IF(CE238="Aussen","Aussen","-"))</f>
        <v>LIFT</v>
      </c>
      <c r="CG238" s="59" t="n">
        <f aca="false">IF(N(AB238)&gt;0,AB238,0)</f>
        <v>0</v>
      </c>
      <c r="CH238" s="53" t="n">
        <f aca="false">IF(ISNUMBER(AE238),1,0)</f>
        <v>0</v>
      </c>
      <c r="CI238" s="50" t="n">
        <f aca="false">N(AE238)</f>
        <v>0</v>
      </c>
      <c r="CJ238" s="50" t="n">
        <f aca="false">N(M238)+N(N238)</f>
        <v>11</v>
      </c>
      <c r="CK238" s="50" t="n">
        <f aca="false">N(M238)</f>
        <v>1</v>
      </c>
      <c r="CL238" s="50" t="n">
        <f aca="false">N(N238)</f>
        <v>10</v>
      </c>
      <c r="CM238" s="50" t="n">
        <f aca="false">ROUNDUP(H238/BY238,0)</f>
        <v>1</v>
      </c>
      <c r="CN238" s="50" t="n">
        <f aca="false">ROUNDUP(CI238/BY238,0)</f>
        <v>0</v>
      </c>
      <c r="CO238" s="53" t="n">
        <f aca="false">IF(BZ238=1,0,IFERROR(VLOOKUP(BX238,'Gebinde-Kategorie'!$A$5:$N$45,5,0)+0,0))</f>
        <v>20</v>
      </c>
      <c r="CP238" s="53" t="n">
        <f aca="false">IFERROR(IF(OR(CE238=1,CE238=2,CE238=3),N(INDEX(Parameter!$I$5:$I$7,CE238)),0),0)</f>
        <v>0</v>
      </c>
      <c r="CQ238" s="52" t="n">
        <f aca="false">IF(AND(Parameter!$B$21="Ja",ISNUMBER(W238),N(X238)&gt;0),IFERROR(N(INDEX(Parameter!$L$5:$L$7,W238))*INDEX(Parameter!$E$5:$E$7,W238)*X238/SUMIFS($X$7:$X$1843,$W$7:$W$1843,W238),0),0)</f>
        <v>0</v>
      </c>
    </row>
    <row r="239" customFormat="false" ht="15" hidden="false" customHeight="false" outlineLevel="0" collapsed="false">
      <c r="A239" s="48" t="s">
        <v>674</v>
      </c>
      <c r="B239" s="48" t="s">
        <v>675</v>
      </c>
      <c r="C239" s="48" t="s">
        <v>173</v>
      </c>
      <c r="D239" s="48" t="s">
        <v>193</v>
      </c>
      <c r="E239" s="48" t="s">
        <v>194</v>
      </c>
      <c r="F239" s="48" t="s">
        <v>227</v>
      </c>
      <c r="G239" s="49" t="n">
        <v>10.59</v>
      </c>
      <c r="H239" s="50" t="n">
        <f aca="false">MAX(0,IF(AND(Parameter!$B$21="Ja",ISNUMBER(Y239)),Y239,IF(Parameter!$B$20="Jahresanfang 2025 + Export",BR239+BQ239,BQ239)))</f>
        <v>102</v>
      </c>
      <c r="I239" s="50" t="n">
        <f aca="false">H239*G239</f>
        <v>1080.18</v>
      </c>
      <c r="J239" s="50" t="n">
        <f aca="false">BT239*Parameter!$B$18</f>
        <v>108</v>
      </c>
      <c r="K239" s="51" t="n">
        <v>80</v>
      </c>
      <c r="L239" s="52" t="n">
        <v>1.35</v>
      </c>
      <c r="M239" s="50" t="n">
        <v>12</v>
      </c>
      <c r="N239" s="50" t="n">
        <v>110</v>
      </c>
      <c r="O239" s="53" t="n">
        <v>42</v>
      </c>
      <c r="P239" s="48" t="s">
        <v>430</v>
      </c>
      <c r="Q239" s="50" t="n">
        <v>311</v>
      </c>
      <c r="R239" s="53" t="n">
        <f aca="false">IF(BZ239=1,0,IFERROR(VLOOKUP(BX239,'Gebinde-Kategorie'!$A$5:$N$45,13,0)+0,0))</f>
        <v>104</v>
      </c>
      <c r="S239" s="54"/>
      <c r="T239" s="55"/>
      <c r="U239" s="55"/>
      <c r="V239" s="55"/>
      <c r="W239" s="48"/>
      <c r="X239" s="50"/>
      <c r="Y239" s="50"/>
      <c r="Z239" s="48" t="n">
        <f aca="false">IF(A239="","",IF(AND(Parameter!$B$21="Ja",ISNUMBER(W239)),W239,IF(CC239="2+3",IF(ISNUMBER(SEARCH("grosser Artikel",BU239)),2,IFERROR(VLOOKUP(BX239,Parameter!$F$35:$G$64,2,0),2)),IF(OR(CC239="Nein",CC239=""),"-",CC239))))</f>
        <v>3</v>
      </c>
      <c r="AA239" s="55"/>
      <c r="AB239" s="56"/>
      <c r="AC239" s="50" t="n">
        <f aca="false">AV239</f>
        <v>122</v>
      </c>
      <c r="AD239" s="50" t="n">
        <f aca="false">MAX(AV239,H239)</f>
        <v>122</v>
      </c>
      <c r="AE239" s="57"/>
      <c r="AF239" s="50" t="n">
        <f aca="false">IF(LEFT(Cockpit!$C$5,1)="A",H239,IF(Parameter!$E$30="MAX-Bestand",IF(CH239=1,CI239,IF(LEFT(Cockpit!$C$5,1)="B",AL239,MAX(AL239,H239))),ROUNDUP(AJ239,0)))</f>
        <v>102</v>
      </c>
      <c r="AG239" s="50" t="n">
        <f aca="false">IF(BZ239=1,0,ROUNDUP(AF239/BY239,0))</f>
        <v>1</v>
      </c>
      <c r="AH239" s="52" t="n">
        <f aca="false">IF(CQ239&gt;0,CQ239*MAX(1,AF239/X239),IF(BZ239=1,IF(AF239&lt;=0,0,CD239*MAX(1,IF(H239&gt;0,AF239/H239,1))),IF(R239&gt;0,AG239/R239,0))/MAX(0.1,N(Parameter!$M$21)))</f>
        <v>0.00961538461538462</v>
      </c>
      <c r="AI239" s="50" t="n">
        <f aca="false">AH239*CB239</f>
        <v>1.49038461538462</v>
      </c>
      <c r="AJ239" s="51" t="n">
        <f aca="false">IF(LEFT(Cockpit!$C$5,1)="A",H239,IF(CH239=1,(CK239+CI239)/2,IF(LEFT(Cockpit!$C$5,1)="B",(CK239+AL239)/2,MAX((CK239+AL239)/2,H239))))</f>
        <v>102</v>
      </c>
      <c r="AK239" s="50" t="n">
        <f aca="false">AJ239*G239</f>
        <v>1080.18</v>
      </c>
      <c r="AL239" s="50" t="n">
        <f aca="false">ROUNDUP(CK239+MAX(CL239,2*(J239/IF(CG239&gt;0,CG239,MAX(0.1,N(Cockpit!$C$6)))-CK239)),0)</f>
        <v>122</v>
      </c>
      <c r="AM239" s="51" t="n">
        <f aca="false">IF(AI239&gt;0,J239/AI239,-1)</f>
        <v>72.4645161290323</v>
      </c>
      <c r="AN239" s="51" t="n">
        <f aca="false">IF(AND(OR(CF239="L1",CF239="L23",CF239="LIFT"),AI239&gt;0),SUMIFS($AI$7:$AI$1843,$CF$7:$CF$1843,CF239,$AM$7:$AM$1843,"&gt;"&amp;AM239)+SUMIFS($AI$7:$AI$1843,$CF$7:$CF$1843,CF239,$AM$7:$AM$1843,AM239,$BW$7:$BW$1843,"&lt;="&amp;BW239),"")</f>
        <v>878.322802197802</v>
      </c>
      <c r="AO239" s="58" t="n">
        <f aca="false">IF(AN239="",0,MAX(0,MIN(1,(IF(CF239="L1",Parameter!$H$5,IF(CF239="L23",Parameter!$H$6+Parameter!$H$7,Parameter!$H$5+Parameter!$H$6+Parameter!$H$7))-(AN239-AI239))/AI239)))</f>
        <v>1</v>
      </c>
      <c r="AP239" s="50" t="n">
        <f aca="false">IF(LEFT(Cockpit!$I$5,1)="A",H239,IF(Parameter!$E$30="MAX-Bestand",IF(CH239=1,CI239,IF(LEFT(Cockpit!$I$5,1)="B",AV239,MAX(AV239,H239))),ROUNDUP(AT239,0)))</f>
        <v>102</v>
      </c>
      <c r="AQ239" s="50" t="n">
        <f aca="false">IF(BZ239=1,0,ROUNDUP(AP239/BY239,0))</f>
        <v>1</v>
      </c>
      <c r="AR239" s="52" t="n">
        <f aca="false">IF(CQ239&gt;0,CQ239*MAX(1,AP239/X239),IF(BZ239=1,IF(AP239&lt;=0,0,CD239*MAX(1,IF(H239&gt;0,AP239/H239,1))),IF(R239&gt;0,AQ239/R239,0))/MAX(0.1,N(Parameter!$M$21)))</f>
        <v>0.00961538461538462</v>
      </c>
      <c r="AS239" s="50" t="n">
        <f aca="false">AR239*CB239</f>
        <v>1.49038461538462</v>
      </c>
      <c r="AT239" s="51" t="n">
        <f aca="false">IF(LEFT(Cockpit!$I$5,1)="A",H239,IF(CH239=1,(CK239+CI239)/2,IF(LEFT(Cockpit!$I$5,1)="B",(CK239+AV239)/2,MAX((CK239+AV239)/2,H239))))</f>
        <v>102</v>
      </c>
      <c r="AU239" s="50" t="n">
        <f aca="false">AT239*G239</f>
        <v>1080.18</v>
      </c>
      <c r="AV239" s="50" t="n">
        <f aca="false">ROUNDUP(CK239+MAX(CL239,2*(J239/IF(CG239&gt;0,CG239,MAX(0.1,N(Cockpit!$I$6)))-CK239)),0)</f>
        <v>122</v>
      </c>
      <c r="AW239" s="51" t="n">
        <f aca="false">IF(AS239&gt;0,J239/AS239,-1)</f>
        <v>72.4645161290323</v>
      </c>
      <c r="AX239" s="51" t="n">
        <f aca="false">IF(AND(OR(CF239="L1",CF239="L23",CF239="LIFT"),AS239&gt;0),SUMIFS($AS$7:$AS$1843,$CF$7:$CF$1843,CF239,$AW$7:$AW$1843,"&gt;"&amp;AW239)+SUMIFS($AS$7:$AS$1843,$CF$7:$CF$1843,CF239,$AW$7:$AW$1843,AW239,$BW$7:$BW$1843,"&lt;="&amp;BW239),"")</f>
        <v>1091.23489010989</v>
      </c>
      <c r="AY239" s="58" t="n">
        <f aca="false">IF(AX239="",0,MAX(0,MIN(1,(IF(CF239="L1",Parameter!$H$5,IF(CF239="L23",Parameter!$H$6+Parameter!$H$7,Parameter!$H$5+Parameter!$H$6+Parameter!$H$7))-(AX239-AS239))/AS239)))</f>
        <v>1</v>
      </c>
      <c r="AZ239" s="50" t="n">
        <f aca="false">IF(LEFT(Cockpit!$O$5,1)="A",H239,IF(Parameter!$E$30="MAX-Bestand",IF(CH239=1,CI239,IF(LEFT(Cockpit!$O$5,1)="B",BF239,MAX(BF239,H239))),ROUNDUP(BD239,0)))</f>
        <v>67</v>
      </c>
      <c r="BA239" s="50" t="n">
        <f aca="false">IF(BZ239=1,0,ROUNDUP(AZ239/BY239,0))</f>
        <v>1</v>
      </c>
      <c r="BB239" s="52" t="n">
        <f aca="false">IF(CQ239&gt;0,CQ239*MAX(1,AZ239/X239),IF(BZ239=1,IF(AZ239&lt;=0,0,CD239*MAX(1,IF(H239&gt;0,AZ239/H239,1))),IF(R239&gt;0,BA239/R239,0))/MAX(0.1,N(Parameter!$M$21)))</f>
        <v>0.00961538461538462</v>
      </c>
      <c r="BC239" s="50" t="n">
        <f aca="false">BB239*CB239</f>
        <v>1.49038461538462</v>
      </c>
      <c r="BD239" s="51" t="n">
        <f aca="false">IF(LEFT(Cockpit!$O$5,1)="A",H239,IF(CH239=1,(CK239+CI239)/2,IF(LEFT(Cockpit!$O$5,1)="B",(CK239+BF239)/2,MAX((CK239+BF239)/2,H239))))</f>
        <v>67</v>
      </c>
      <c r="BE239" s="50" t="n">
        <f aca="false">BD239*G239</f>
        <v>709.53</v>
      </c>
      <c r="BF239" s="50" t="n">
        <f aca="false">ROUNDUP(CK239+MAX(CL239,2*(J239/IF(CG239&gt;0,CG239,MAX(0.1,N(Cockpit!$O$6)))-CK239)),0)</f>
        <v>122</v>
      </c>
      <c r="BG239" s="51" t="n">
        <f aca="false">IF(BC239&gt;0,J239/BC239,-1)</f>
        <v>72.4645161290323</v>
      </c>
      <c r="BH239" s="51" t="n">
        <f aca="false">IF(AND(OR(CF239="L1",CF239="L23",CF239="LIFT"),BC239&gt;0),SUMIFS($BC$7:$BC$1843,$CF$7:$CF$1843,CF239,$BG$7:$BG$1843,"&gt;"&amp;BG239)+SUMIFS($BC$7:$BC$1843,$CF$7:$CF$1843,CF239,$BG$7:$BG$1843,BG239,$BW$7:$BW$1843,"&lt;="&amp;BW239),"")</f>
        <v>1009.37316849817</v>
      </c>
      <c r="BI239" s="58" t="n">
        <f aca="false">IF(BH239="",0,MAX(0,MIN(1,(IF(CF239="L1",Parameter!$H$5,IF(CF239="L23",Parameter!$H$6+Parameter!$H$7,Parameter!$H$5+Parameter!$H$6+Parameter!$H$7))-(BH239-BC239))/BC239)))</f>
        <v>1</v>
      </c>
      <c r="BJ239" s="48" t="str">
        <f aca="false">IF(AI239&lt;=0,"",IF(CF239="Aussen","Aussenlager",IF(CF239="-","Nicht im Lift",IF(AO239&gt;=1,"Lift",IF(AO239&lt;=0,"Aussenlager","teilweise")))))</f>
        <v>Lift</v>
      </c>
      <c r="BK239" s="48" t="str">
        <f aca="false">IF(AS239&lt;=0,"",IF(CF239="Aussen","Aussenlager",IF(CF239="-","Nicht im Lift",IF(AY239&gt;=1,"Lift",IF(AY239&lt;=0,"Aussenlager","teilweise")))))</f>
        <v>Lift</v>
      </c>
      <c r="BL239" s="48" t="str">
        <f aca="false">IF(BC239&lt;=0,"",IF(CF239="Aussen","Aussenlager",IF(CF239="-","Nicht im Lift",IF(BI239&gt;=1,"Lift",IF(BI239&lt;=0,"Aussenlager","teilweise")))))</f>
        <v>Lift</v>
      </c>
      <c r="BM239" s="48" t="str">
        <f aca="false">IF(A239="","",IF(BV239=1,"Neu; ","")&amp;IF(AND(BV239=0,BQ239&lt;0),"negativer Bestand (Export "&amp;BQ239&amp;"); ","")&amp;IF(J239&lt;=0,"Kein Verbrauch; ","")&amp;IF(CQ239&gt;0,"Lift "&amp;W239&amp;" lt. Liftbericht (Fach "&amp;X239&amp;" Stk); ",IF(CA239=1,"Gebinde geschätzt ("&amp;T239&amp;"); ",IF(BZ239=1,"Lose – Tablare geschätzt; ","")))&amp;IF(H239&gt;AV239,"Überbestand "&amp;ROUND(H239-AV239,0)&amp;" Stk / CHF "&amp;ROUND((H239-AV239)*G239,0)&amp;"; ","")&amp;IF(AND(CH239=1,CI239&lt;CJ239),"MAX &lt; MB+LG; ","")&amp;IF(AND(CP239&gt;0,CO239*10&gt;CP239),"zu hoch für Tablar; ","")&amp;IF(AND(BV239=0,OR(CH239=1,AA239&lt;&gt;"",U239&lt;&gt;"",V239&lt;&gt;"",AB239&lt;&gt;"")),"manuell übersteuert; ","")&amp;IF(AND(BZ239=0,R239=0),"Gebinde unbekannt / Stellmass fehlt; ","")&amp;IF(AND(BZ239=0,N(V239)&lt;=0,N(Q239)&lt;=0),"Menge pro Gebinde fehlt (Ist = 1 Gebinde); ","")&amp;BU239)</f>
        <v/>
      </c>
      <c r="BN239" s="48"/>
      <c r="BO239" s="48"/>
      <c r="BP239" s="55"/>
      <c r="BQ239" s="50" t="n">
        <v>46</v>
      </c>
      <c r="BR239" s="50" t="n">
        <v>56</v>
      </c>
      <c r="BS239" s="49" t="n">
        <v>564.67</v>
      </c>
      <c r="BT239" s="50" t="n">
        <v>108</v>
      </c>
      <c r="BU239" s="48"/>
      <c r="BV239" s="53" t="n">
        <v>0</v>
      </c>
      <c r="BW239" s="53" t="n">
        <v>239</v>
      </c>
      <c r="BX239" s="48" t="str">
        <f aca="false">IF(U239&lt;&gt;"",UPPER(TRIM(U239)),IF(CA239=1,UPPER(VLOOKUP(T239,Parameter!$I$27:$K$29,2,0)),IF(P239="","LOSE",P239)))</f>
        <v>S32</v>
      </c>
      <c r="BY239" s="50" t="n">
        <f aca="false">IF(BX239="LOSE",1,IF(N(V239)&gt;0,V239,IF(CA239=1,MAX(1,N(VLOOKUP(T239,Parameter!$I$27:$K$29,3,0)),H239,N(N239)),IF(N(Q239)&gt;0,Q239,MAX(1,H239)))))</f>
        <v>311</v>
      </c>
      <c r="BZ239" s="53" t="n">
        <f aca="false">IF(BX239="LOSE",1,0)</f>
        <v>0</v>
      </c>
      <c r="CA239" s="53" t="n">
        <f aca="false">IF(AND(U239="",OR(P239="",P239="LOSE"),T239&lt;&gt;"",N(S239)&lt;=0,ISNUMBER(MATCH(T239,Parameter!$I$27:$I$29,0))),1,0)</f>
        <v>0</v>
      </c>
      <c r="CB239" s="53" t="n">
        <f aca="false">IF(CQ239&gt;0,INDEX(Parameter!$H$5:$H$7,W239)/INDEX(Parameter!$E$5:$E$7,W239),IF(AND(BZ239=0,N(IFERROR(VLOOKUP(BX239,'Gebinde-Kategorie'!$A$5:$N$45,14,0),0))&gt;0),VLOOKUP(BX239,'Gebinde-Kategorie'!$A$5:$N$45,14,0)*10+Parameter!$M$23,Parameter!$M$24))</f>
        <v>155</v>
      </c>
      <c r="CC239" s="48" t="str">
        <f aca="false">IF(AND(Parameter!$B$19="Ja",E239&lt;&gt;"",ISNUMBER(MATCH(E239,Parameter!$I$35:$I$52,0))),VLOOKUP(E239,Parameter!$I$35:$J$52,2,0),IFERROR(VLOOKUP(D239,Parameter!$A$35:$C$64,2,0),"Nein"))</f>
        <v>2+3</v>
      </c>
      <c r="CD239" s="52" t="n">
        <f aca="false">IF(BZ239=0,0,IF(N(S239)&gt;0,S239,IFERROR(VLOOKUP(D239,Parameter!$A$35:$C$64,3,0)+0,0)))</f>
        <v>0</v>
      </c>
      <c r="CE239" s="48" t="n">
        <f aca="false">IF(AA239&lt;&gt;"",AA239,Z239)</f>
        <v>3</v>
      </c>
      <c r="CF239" s="48" t="str">
        <f aca="false">IF(OR(CE239=1,CE239=2,CE239=3),IF(Parameter!$E$27="Ja","LIFT",IF(CE239=1,"L1","L23")),IF(CE239="Aussen","Aussen","-"))</f>
        <v>LIFT</v>
      </c>
      <c r="CG239" s="59" t="n">
        <f aca="false">IF(N(AB239)&gt;0,AB239,0)</f>
        <v>0</v>
      </c>
      <c r="CH239" s="53" t="n">
        <f aca="false">IF(ISNUMBER(AE239),1,0)</f>
        <v>0</v>
      </c>
      <c r="CI239" s="50" t="n">
        <f aca="false">N(AE239)</f>
        <v>0</v>
      </c>
      <c r="CJ239" s="50" t="n">
        <f aca="false">N(M239)+N(N239)</f>
        <v>122</v>
      </c>
      <c r="CK239" s="50" t="n">
        <f aca="false">N(M239)</f>
        <v>12</v>
      </c>
      <c r="CL239" s="50" t="n">
        <f aca="false">N(N239)</f>
        <v>110</v>
      </c>
      <c r="CM239" s="50" t="n">
        <f aca="false">ROUNDUP(H239/BY239,0)</f>
        <v>1</v>
      </c>
      <c r="CN239" s="50" t="n">
        <f aca="false">ROUNDUP(CI239/BY239,0)</f>
        <v>0</v>
      </c>
      <c r="CO239" s="53" t="n">
        <f aca="false">IF(BZ239=1,0,IFERROR(VLOOKUP(BX239,'Gebinde-Kategorie'!$A$5:$N$45,5,0)+0,0))</f>
        <v>8</v>
      </c>
      <c r="CP239" s="53" t="n">
        <f aca="false">IFERROR(IF(OR(CE239=1,CE239=2,CE239=3),N(INDEX(Parameter!$I$5:$I$7,CE239)),0),0)</f>
        <v>0</v>
      </c>
      <c r="CQ239" s="52" t="n">
        <f aca="false">IF(AND(Parameter!$B$21="Ja",ISNUMBER(W239),N(X239)&gt;0),IFERROR(N(INDEX(Parameter!$L$5:$L$7,W239))*INDEX(Parameter!$E$5:$E$7,W239)*X239/SUMIFS($X$7:$X$1843,$W$7:$W$1843,W239),0),0)</f>
        <v>0</v>
      </c>
    </row>
    <row r="240" customFormat="false" ht="15" hidden="false" customHeight="false" outlineLevel="0" collapsed="false">
      <c r="A240" s="48" t="s">
        <v>676</v>
      </c>
      <c r="B240" s="48" t="s">
        <v>677</v>
      </c>
      <c r="C240" s="48" t="s">
        <v>173</v>
      </c>
      <c r="D240" s="48" t="s">
        <v>174</v>
      </c>
      <c r="E240" s="48"/>
      <c r="F240" s="48" t="s">
        <v>227</v>
      </c>
      <c r="G240" s="49" t="n">
        <v>284.49</v>
      </c>
      <c r="H240" s="50" t="n">
        <f aca="false">MAX(0,IF(AND(Parameter!$B$21="Ja",ISNUMBER(Y240)),Y240,IF(Parameter!$B$20="Jahresanfang 2025 + Export",BR240+BQ240,BQ240)))</f>
        <v>13</v>
      </c>
      <c r="I240" s="50" t="n">
        <f aca="false">H240*G240</f>
        <v>3698.37</v>
      </c>
      <c r="J240" s="50" t="n">
        <f aca="false">BT240*Parameter!$B$18</f>
        <v>14</v>
      </c>
      <c r="K240" s="51" t="n">
        <v>9</v>
      </c>
      <c r="L240" s="52" t="n">
        <v>1.55555555555556</v>
      </c>
      <c r="M240" s="50" t="n">
        <v>1</v>
      </c>
      <c r="N240" s="50" t="n">
        <v>10</v>
      </c>
      <c r="O240" s="53" t="n">
        <v>28</v>
      </c>
      <c r="P240" s="48" t="s">
        <v>177</v>
      </c>
      <c r="Q240" s="50"/>
      <c r="R240" s="53" t="n">
        <f aca="false">IF(BZ240=1,0,IFERROR(VLOOKUP(BX240,'Gebinde-Kategorie'!$A$5:$N$45,13,0)+0,0))</f>
        <v>0</v>
      </c>
      <c r="S240" s="54"/>
      <c r="T240" s="55"/>
      <c r="U240" s="55"/>
      <c r="V240" s="55"/>
      <c r="W240" s="48" t="n">
        <v>1</v>
      </c>
      <c r="X240" s="50" t="n">
        <v>22</v>
      </c>
      <c r="Y240" s="50" t="n">
        <v>13</v>
      </c>
      <c r="Z240" s="48" t="n">
        <f aca="false">IF(A240="","",IF(AND(Parameter!$B$21="Ja",ISNUMBER(W240)),W240,IF(CC240="2+3",IF(ISNUMBER(SEARCH("grosser Artikel",BU240)),2,IFERROR(VLOOKUP(BX240,Parameter!$F$35:$G$64,2,0),2)),IF(OR(CC240="Nein",CC240=""),"-",CC240))))</f>
        <v>1</v>
      </c>
      <c r="AA240" s="55"/>
      <c r="AB240" s="56"/>
      <c r="AC240" s="50" t="n">
        <f aca="false">AV240</f>
        <v>11</v>
      </c>
      <c r="AD240" s="50" t="n">
        <f aca="false">MAX(AV240,H240)</f>
        <v>13</v>
      </c>
      <c r="AE240" s="57"/>
      <c r="AF240" s="50" t="n">
        <f aca="false">IF(LEFT(Cockpit!$C$5,1)="A",H240,IF(Parameter!$E$30="MAX-Bestand",IF(CH240=1,CI240,IF(LEFT(Cockpit!$C$5,1)="B",AL240,MAX(AL240,H240))),ROUNDUP(AJ240,0)))</f>
        <v>13</v>
      </c>
      <c r="AG240" s="50" t="n">
        <f aca="false">IF(BZ240=1,0,ROUNDUP(AF240/BY240,0))</f>
        <v>0</v>
      </c>
      <c r="AH240" s="52" t="n">
        <f aca="false">IF(CQ240&gt;0,CQ240*MAX(1,AF240/X240),IF(BZ240=1,IF(AF240&lt;=0,0,CD240*MAX(1,IF(H240&gt;0,AF240/H240,1))),IF(R240&gt;0,AG240/R240,0))/MAX(0.1,N(Parameter!$M$21)))</f>
        <v>1.7608286252354</v>
      </c>
      <c r="AI240" s="50" t="n">
        <f aca="false">AH240*CB240</f>
        <v>419.077212806026</v>
      </c>
      <c r="AJ240" s="51" t="n">
        <f aca="false">IF(LEFT(Cockpit!$C$5,1)="A",H240,IF(CH240=1,(CK240+CI240)/2,IF(LEFT(Cockpit!$C$5,1)="B",(CK240+AL240)/2,MAX((CK240+AL240)/2,H240))))</f>
        <v>13</v>
      </c>
      <c r="AK240" s="50" t="n">
        <f aca="false">AJ240*G240</f>
        <v>3698.37</v>
      </c>
      <c r="AL240" s="50" t="n">
        <f aca="false">ROUNDUP(CK240+MAX(CL240,2*(J240/IF(CG240&gt;0,CG240,MAX(0.1,N(Cockpit!$C$6)))-CK240)),0)</f>
        <v>11</v>
      </c>
      <c r="AM240" s="51" t="n">
        <f aca="false">IF(AI240&gt;0,J240/AI240,-1)</f>
        <v>0.0334067316766279</v>
      </c>
      <c r="AN240" s="51" t="n">
        <f aca="false">IF(AND(OR(CF240="L1",CF240="L23",CF240="LIFT"),AI240&gt;0),SUMIFS($AI$7:$AI$1843,$CF$7:$CF$1843,CF240,$AM$7:$AM$1843,"&gt;"&amp;AM240)+SUMIFS($AI$7:$AI$1843,$CF$7:$CF$1843,CF240,$AM$7:$AM$1843,AM240,$BW$7:$BW$1843,"&lt;="&amp;BW240),"")</f>
        <v>20810.9851694915</v>
      </c>
      <c r="AO240" s="58" t="n">
        <f aca="false">IF(AN240="",0,MAX(0,MIN(1,(IF(CF240="L1",Parameter!$H$5,IF(CF240="L23",Parameter!$H$6+Parameter!$H$7,Parameter!$H$5+Parameter!$H$6+Parameter!$H$7))-(AN240-AI240))/AI240)))</f>
        <v>1</v>
      </c>
      <c r="AP240" s="50" t="n">
        <f aca="false">IF(LEFT(Cockpit!$I$5,1)="A",H240,IF(Parameter!$E$30="MAX-Bestand",IF(CH240=1,CI240,IF(LEFT(Cockpit!$I$5,1)="B",AV240,MAX(AV240,H240))),ROUNDUP(AT240,0)))</f>
        <v>13</v>
      </c>
      <c r="AQ240" s="50" t="n">
        <f aca="false">IF(BZ240=1,0,ROUNDUP(AP240/BY240,0))</f>
        <v>0</v>
      </c>
      <c r="AR240" s="52" t="n">
        <f aca="false">IF(CQ240&gt;0,CQ240*MAX(1,AP240/X240),IF(BZ240=1,IF(AP240&lt;=0,0,CD240*MAX(1,IF(H240&gt;0,AP240/H240,1))),IF(R240&gt;0,AQ240/R240,0))/MAX(0.1,N(Parameter!$M$21)))</f>
        <v>1.7608286252354</v>
      </c>
      <c r="AS240" s="50" t="n">
        <f aca="false">AR240*CB240</f>
        <v>419.077212806026</v>
      </c>
      <c r="AT240" s="51" t="n">
        <f aca="false">IF(LEFT(Cockpit!$I$5,1)="A",H240,IF(CH240=1,(CK240+CI240)/2,IF(LEFT(Cockpit!$I$5,1)="B",(CK240+AV240)/2,MAX((CK240+AV240)/2,H240))))</f>
        <v>13</v>
      </c>
      <c r="AU240" s="50" t="n">
        <f aca="false">AT240*G240</f>
        <v>3698.37</v>
      </c>
      <c r="AV240" s="50" t="n">
        <f aca="false">ROUNDUP(CK240+MAX(CL240,2*(J240/IF(CG240&gt;0,CG240,MAX(0.1,N(Cockpit!$I$6)))-CK240)),0)</f>
        <v>11</v>
      </c>
      <c r="AW240" s="51" t="n">
        <f aca="false">IF(AS240&gt;0,J240/AS240,-1)</f>
        <v>0.0334067316766279</v>
      </c>
      <c r="AX240" s="51" t="n">
        <f aca="false">IF(AND(OR(CF240="L1",CF240="L23",CF240="LIFT"),AS240&gt;0),SUMIFS($AS$7:$AS$1843,$CF$7:$CF$1843,CF240,$AW$7:$AW$1843,"&gt;"&amp;AW240)+SUMIFS($AS$7:$AS$1843,$CF$7:$CF$1843,CF240,$AW$7:$AW$1843,AW240,$BW$7:$BW$1843,"&lt;="&amp;BW240),"")</f>
        <v>25929.133810869</v>
      </c>
      <c r="AY240" s="58" t="n">
        <f aca="false">IF(AX240="",0,MAX(0,MIN(1,(IF(CF240="L1",Parameter!$H$5,IF(CF240="L23",Parameter!$H$6+Parameter!$H$7,Parameter!$H$5+Parameter!$H$6+Parameter!$H$7))-(AX240-AS240))/AS240)))</f>
        <v>1</v>
      </c>
      <c r="AZ240" s="50" t="n">
        <f aca="false">IF(LEFT(Cockpit!$O$5,1)="A",H240,IF(Parameter!$E$30="MAX-Bestand",IF(CH240=1,CI240,IF(LEFT(Cockpit!$O$5,1)="B",BF240,MAX(BF240,H240))),ROUNDUP(BD240,0)))</f>
        <v>6</v>
      </c>
      <c r="BA240" s="50" t="n">
        <f aca="false">IF(BZ240=1,0,ROUNDUP(AZ240/BY240,0))</f>
        <v>0</v>
      </c>
      <c r="BB240" s="52" t="n">
        <f aca="false">IF(CQ240&gt;0,CQ240*MAX(1,AZ240/X240),IF(BZ240=1,IF(AZ240&lt;=0,0,CD240*MAX(1,IF(H240&gt;0,AZ240/H240,1))),IF(R240&gt;0,BA240/R240,0))/MAX(0.1,N(Parameter!$M$21)))</f>
        <v>1.7608286252354</v>
      </c>
      <c r="BC240" s="50" t="n">
        <f aca="false">BB240*CB240</f>
        <v>419.077212806026</v>
      </c>
      <c r="BD240" s="51" t="n">
        <f aca="false">IF(LEFT(Cockpit!$O$5,1)="A",H240,IF(CH240=1,(CK240+CI240)/2,IF(LEFT(Cockpit!$O$5,1)="B",(CK240+BF240)/2,MAX((CK240+BF240)/2,H240))))</f>
        <v>6</v>
      </c>
      <c r="BE240" s="50" t="n">
        <f aca="false">BD240*G240</f>
        <v>1706.94</v>
      </c>
      <c r="BF240" s="50" t="n">
        <f aca="false">ROUNDUP(CK240+MAX(CL240,2*(J240/IF(CG240&gt;0,CG240,MAX(0.1,N(Cockpit!$O$6)))-CK240)),0)</f>
        <v>11</v>
      </c>
      <c r="BG240" s="51" t="n">
        <f aca="false">IF(BC240&gt;0,J240/BC240,-1)</f>
        <v>0.0334067316766279</v>
      </c>
      <c r="BH240" s="51" t="n">
        <f aca="false">IF(AND(OR(CF240="L1",CF240="L23",CF240="LIFT"),BC240&gt;0),SUMIFS($BC$7:$BC$1843,$CF$7:$CF$1843,CF240,$BG$7:$BG$1843,"&gt;"&amp;BG240)+SUMIFS($BC$7:$BC$1843,$CF$7:$CF$1843,CF240,$BG$7:$BG$1843,BG240,$BW$7:$BW$1843,"&lt;="&amp;BW240),"")</f>
        <v>21749.2412951926</v>
      </c>
      <c r="BI240" s="58" t="n">
        <f aca="false">IF(BH240="",0,MAX(0,MIN(1,(IF(CF240="L1",Parameter!$H$5,IF(CF240="L23",Parameter!$H$6+Parameter!$H$7,Parameter!$H$5+Parameter!$H$6+Parameter!$H$7))-(BH240-BC240))/BC240)))</f>
        <v>1</v>
      </c>
      <c r="BJ240" s="48" t="str">
        <f aca="false">IF(AI240&lt;=0,"",IF(CF240="Aussen","Aussenlager",IF(CF240="-","Nicht im Lift",IF(AO240&gt;=1,"Lift",IF(AO240&lt;=0,"Aussenlager","teilweise")))))</f>
        <v>Lift</v>
      </c>
      <c r="BK240" s="48" t="str">
        <f aca="false">IF(AS240&lt;=0,"",IF(CF240="Aussen","Aussenlager",IF(CF240="-","Nicht im Lift",IF(AY240&gt;=1,"Lift",IF(AY240&lt;=0,"Aussenlager","teilweise")))))</f>
        <v>Lift</v>
      </c>
      <c r="BL240" s="48" t="str">
        <f aca="false">IF(BC240&lt;=0,"",IF(CF240="Aussen","Aussenlager",IF(CF240="-","Nicht im Lift",IF(BI240&gt;=1,"Lift",IF(BI240&lt;=0,"Aussenlager","teilweise")))))</f>
        <v>Lift</v>
      </c>
      <c r="BM240" s="48" t="str">
        <f aca="false">IF(A240="","",IF(BV240=1,"Neu; ","")&amp;IF(AND(BV240=0,BQ240&lt;0),"negativer Bestand (Export "&amp;BQ240&amp;"); ","")&amp;IF(J240&lt;=0,"Kein Verbrauch; ","")&amp;IF(CQ240&gt;0,"Lift "&amp;W240&amp;" lt. Liftbericht (Fach "&amp;X240&amp;" Stk); ",IF(CA240=1,"Gebinde geschätzt ("&amp;T240&amp;"); ",IF(BZ240=1,"Lose – Tablare geschätzt; ","")))&amp;IF(H240&gt;AV240,"Überbestand "&amp;ROUND(H240-AV240,0)&amp;" Stk / CHF "&amp;ROUND((H240-AV240)*G240,0)&amp;"; ","")&amp;IF(AND(CH240=1,CI240&lt;CJ240),"MAX &lt; MB+LG; ","")&amp;IF(AND(CP240&gt;0,CO240*10&gt;CP240),"zu hoch für Tablar; ","")&amp;IF(AND(BV240=0,OR(CH240=1,AA240&lt;&gt;"",U240&lt;&gt;"",V240&lt;&gt;"",AB240&lt;&gt;"")),"manuell übersteuert; ","")&amp;IF(AND(BZ240=0,R240=0),"Gebinde unbekannt / Stellmass fehlt; ","")&amp;IF(AND(BZ240=0,N(V240)&lt;=0,N(Q240)&lt;=0),"Menge pro Gebinde fehlt (Ist = 1 Gebinde); ","")&amp;BU240)</f>
        <v>Lift 1 lt. Liftbericht (Fach 22 Stk); Überbestand 2 Stk / CHF 569; </v>
      </c>
      <c r="BN240" s="48"/>
      <c r="BO240" s="48"/>
      <c r="BP240" s="55"/>
      <c r="BQ240" s="50" t="n">
        <v>2</v>
      </c>
      <c r="BR240" s="50" t="n">
        <v>11</v>
      </c>
      <c r="BS240" s="49" t="n">
        <v>558.200000000001</v>
      </c>
      <c r="BT240" s="50" t="n">
        <v>14</v>
      </c>
      <c r="BU240" s="48"/>
      <c r="BV240" s="53" t="n">
        <v>0</v>
      </c>
      <c r="BW240" s="53" t="n">
        <v>240</v>
      </c>
      <c r="BX240" s="48" t="str">
        <f aca="false">IF(U240&lt;&gt;"",UPPER(TRIM(U240)),IF(CA240=1,UPPER(VLOOKUP(T240,Parameter!$I$27:$K$29,2,0)),IF(P240="","LOSE",P240)))</f>
        <v>LOSE</v>
      </c>
      <c r="BY240" s="50" t="n">
        <f aca="false">IF(BX240="LOSE",1,IF(N(V240)&gt;0,V240,IF(CA240=1,MAX(1,N(VLOOKUP(T240,Parameter!$I$27:$K$29,3,0)),H240,N(N240)),IF(N(Q240)&gt;0,Q240,MAX(1,H240)))))</f>
        <v>1</v>
      </c>
      <c r="BZ240" s="53" t="n">
        <f aca="false">IF(BX240="LOSE",1,0)</f>
        <v>1</v>
      </c>
      <c r="CA240" s="53" t="n">
        <f aca="false">IF(AND(U240="",OR(P240="",P240="LOSE"),T240&lt;&gt;"",N(S240)&lt;=0,ISNUMBER(MATCH(T240,Parameter!$I$27:$I$29,0))),1,0)</f>
        <v>0</v>
      </c>
      <c r="CB240" s="53" t="n">
        <f aca="false">IF(CQ240&gt;0,INDEX(Parameter!$H$5:$H$7,W240)/INDEX(Parameter!$E$5:$E$7,W240),IF(AND(BZ240=0,N(IFERROR(VLOOKUP(BX240,'Gebinde-Kategorie'!$A$5:$N$45,14,0),0))&gt;0),VLOOKUP(BX240,'Gebinde-Kategorie'!$A$5:$N$45,14,0)*10+Parameter!$M$23,Parameter!$M$24))</f>
        <v>238</v>
      </c>
      <c r="CC240" s="48" t="n">
        <f aca="false">IF(AND(Parameter!$B$19="Ja",E240&lt;&gt;"",ISNUMBER(MATCH(E240,Parameter!$I$35:$I$52,0))),VLOOKUP(E240,Parameter!$I$35:$J$52,2,0),IFERROR(VLOOKUP(D240,Parameter!$A$35:$C$64,2,0),"Nein"))</f>
        <v>1</v>
      </c>
      <c r="CD240" s="52" t="n">
        <f aca="false">IF(BZ240=0,0,IF(N(S240)&gt;0,S240,IFERROR(VLOOKUP(D240,Parameter!$A$35:$C$64,3,0)+0,0)))</f>
        <v>1</v>
      </c>
      <c r="CE240" s="48" t="n">
        <f aca="false">IF(AA240&lt;&gt;"",AA240,Z240)</f>
        <v>1</v>
      </c>
      <c r="CF240" s="48" t="str">
        <f aca="false">IF(OR(CE240=1,CE240=2,CE240=3),IF(Parameter!$E$27="Ja","LIFT",IF(CE240=1,"L1","L23")),IF(CE240="Aussen","Aussen","-"))</f>
        <v>LIFT</v>
      </c>
      <c r="CG240" s="59" t="n">
        <f aca="false">IF(N(AB240)&gt;0,AB240,0)</f>
        <v>0</v>
      </c>
      <c r="CH240" s="53" t="n">
        <f aca="false">IF(ISNUMBER(AE240),1,0)</f>
        <v>0</v>
      </c>
      <c r="CI240" s="50" t="n">
        <f aca="false">N(AE240)</f>
        <v>0</v>
      </c>
      <c r="CJ240" s="50" t="n">
        <f aca="false">N(M240)+N(N240)</f>
        <v>11</v>
      </c>
      <c r="CK240" s="50" t="n">
        <f aca="false">N(M240)</f>
        <v>1</v>
      </c>
      <c r="CL240" s="50" t="n">
        <f aca="false">N(N240)</f>
        <v>10</v>
      </c>
      <c r="CM240" s="50" t="n">
        <f aca="false">ROUNDUP(H240/BY240,0)</f>
        <v>13</v>
      </c>
      <c r="CN240" s="50" t="n">
        <f aca="false">ROUNDUP(CI240/BY240,0)</f>
        <v>0</v>
      </c>
      <c r="CO240" s="53" t="n">
        <f aca="false">IF(BZ240=1,0,IFERROR(VLOOKUP(BX240,'Gebinde-Kategorie'!$A$5:$N$45,5,0)+0,0))</f>
        <v>0</v>
      </c>
      <c r="CP240" s="53" t="n">
        <f aca="false">IFERROR(IF(OR(CE240=1,CE240=2,CE240=3),N(INDEX(Parameter!$I$5:$I$7,CE240)),0),0)</f>
        <v>0</v>
      </c>
      <c r="CQ240" s="52" t="n">
        <f aca="false">IF(AND(Parameter!$B$21="Ja",ISNUMBER(W240),N(X240)&gt;0),IFERROR(N(INDEX(Parameter!$L$5:$L$7,W240))*INDEX(Parameter!$E$5:$E$7,W240)*X240/SUMIFS($X$7:$X$1843,$W$7:$W$1843,W240),0),0)</f>
        <v>1.7608286252354</v>
      </c>
    </row>
    <row r="241" customFormat="false" ht="15" hidden="false" customHeight="false" outlineLevel="0" collapsed="false">
      <c r="A241" s="48" t="s">
        <v>678</v>
      </c>
      <c r="B241" s="48" t="s">
        <v>679</v>
      </c>
      <c r="C241" s="48" t="s">
        <v>173</v>
      </c>
      <c r="D241" s="48" t="s">
        <v>182</v>
      </c>
      <c r="E241" s="48" t="s">
        <v>182</v>
      </c>
      <c r="F241" s="48" t="s">
        <v>227</v>
      </c>
      <c r="G241" s="49" t="n">
        <v>35.2</v>
      </c>
      <c r="H241" s="50" t="n">
        <f aca="false">MAX(0,IF(AND(Parameter!$B$21="Ja",ISNUMBER(Y241)),Y241,IF(Parameter!$B$20="Jahresanfang 2025 + Export",BR241+BQ241,BQ241)))</f>
        <v>26</v>
      </c>
      <c r="I241" s="50" t="n">
        <f aca="false">H241*G241</f>
        <v>915.2</v>
      </c>
      <c r="J241" s="50" t="n">
        <f aca="false">BT241*Parameter!$B$18</f>
        <v>52</v>
      </c>
      <c r="K241" s="51" t="n">
        <v>34</v>
      </c>
      <c r="L241" s="52" t="n">
        <v>1.52941176470588</v>
      </c>
      <c r="M241" s="50" t="n">
        <v>5</v>
      </c>
      <c r="N241" s="50" t="n">
        <v>50</v>
      </c>
      <c r="O241" s="53" t="n">
        <v>35</v>
      </c>
      <c r="P241" s="48" t="s">
        <v>183</v>
      </c>
      <c r="Q241" s="50" t="n">
        <v>35</v>
      </c>
      <c r="R241" s="53" t="n">
        <f aca="false">IF(BZ241=1,0,IFERROR(VLOOKUP(BX241,'Gebinde-Kategorie'!$A$5:$N$45,13,0)+0,0))</f>
        <v>6</v>
      </c>
      <c r="S241" s="54"/>
      <c r="T241" s="55"/>
      <c r="U241" s="55"/>
      <c r="V241" s="55"/>
      <c r="W241" s="48"/>
      <c r="X241" s="50"/>
      <c r="Y241" s="50"/>
      <c r="Z241" s="48" t="str">
        <f aca="false">IF(A241="","",IF(AND(Parameter!$B$21="Ja",ISNUMBER(W241)),W241,IF(CC241="2+3",IF(ISNUMBER(SEARCH("grosser Artikel",BU241)),2,IFERROR(VLOOKUP(BX241,Parameter!$F$35:$G$64,2,0),2)),IF(OR(CC241="Nein",CC241=""),"-",CC241))))</f>
        <v>-</v>
      </c>
      <c r="AA241" s="55"/>
      <c r="AB241" s="56"/>
      <c r="AC241" s="50" t="n">
        <f aca="false">AV241</f>
        <v>55</v>
      </c>
      <c r="AD241" s="50" t="n">
        <f aca="false">MAX(AV241,H241)</f>
        <v>55</v>
      </c>
      <c r="AE241" s="57"/>
      <c r="AF241" s="50" t="n">
        <f aca="false">IF(LEFT(Cockpit!$C$5,1)="A",H241,IF(Parameter!$E$30="MAX-Bestand",IF(CH241=1,CI241,IF(LEFT(Cockpit!$C$5,1)="B",AL241,MAX(AL241,H241))),ROUNDUP(AJ241,0)))</f>
        <v>26</v>
      </c>
      <c r="AG241" s="50" t="n">
        <f aca="false">IF(BZ241=1,0,ROUNDUP(AF241/BY241,0))</f>
        <v>1</v>
      </c>
      <c r="AH241" s="52" t="n">
        <f aca="false">IF(CQ241&gt;0,CQ241*MAX(1,AF241/X241),IF(BZ241=1,IF(AF241&lt;=0,0,CD241*MAX(1,IF(H241&gt;0,AF241/H241,1))),IF(R241&gt;0,AG241/R241,0))/MAX(0.1,N(Parameter!$M$21)))</f>
        <v>0.166666666666667</v>
      </c>
      <c r="AI241" s="50" t="n">
        <f aca="false">AH241*CB241</f>
        <v>39.1666666666667</v>
      </c>
      <c r="AJ241" s="51" t="n">
        <f aca="false">IF(LEFT(Cockpit!$C$5,1)="A",H241,IF(CH241=1,(CK241+CI241)/2,IF(LEFT(Cockpit!$C$5,1)="B",(CK241+AL241)/2,MAX((CK241+AL241)/2,H241))))</f>
        <v>26</v>
      </c>
      <c r="AK241" s="50" t="n">
        <f aca="false">AJ241*G241</f>
        <v>915.2</v>
      </c>
      <c r="AL241" s="50" t="n">
        <f aca="false">ROUNDUP(CK241+MAX(CL241,2*(J241/IF(CG241&gt;0,CG241,MAX(0.1,N(Cockpit!$C$6)))-CK241)),0)</f>
        <v>55</v>
      </c>
      <c r="AM241" s="51" t="n">
        <f aca="false">IF(AI241&gt;0,J241/AI241,-1)</f>
        <v>1.32765957446809</v>
      </c>
      <c r="AN241" s="51" t="str">
        <f aca="false">IF(AND(OR(CF241="L1",CF241="L23",CF241="LIFT"),AI241&gt;0),SUMIFS($AI$7:$AI$1843,$CF$7:$CF$1843,CF241,$AM$7:$AM$1843,"&gt;"&amp;AM241)+SUMIFS($AI$7:$AI$1843,$CF$7:$CF$1843,CF241,$AM$7:$AM$1843,AM241,$BW$7:$BW$1843,"&lt;="&amp;BW241),"")</f>
        <v/>
      </c>
      <c r="AO241" s="58" t="n">
        <f aca="false">IF(AN241="",0,MAX(0,MIN(1,(IF(CF241="L1",Parameter!$H$5,IF(CF241="L23",Parameter!$H$6+Parameter!$H$7,Parameter!$H$5+Parameter!$H$6+Parameter!$H$7))-(AN241-AI241))/AI241)))</f>
        <v>0</v>
      </c>
      <c r="AP241" s="50" t="n">
        <f aca="false">IF(LEFT(Cockpit!$I$5,1)="A",H241,IF(Parameter!$E$30="MAX-Bestand",IF(CH241=1,CI241,IF(LEFT(Cockpit!$I$5,1)="B",AV241,MAX(AV241,H241))),ROUNDUP(AT241,0)))</f>
        <v>30</v>
      </c>
      <c r="AQ241" s="50" t="n">
        <f aca="false">IF(BZ241=1,0,ROUNDUP(AP241/BY241,0))</f>
        <v>1</v>
      </c>
      <c r="AR241" s="52" t="n">
        <f aca="false">IF(CQ241&gt;0,CQ241*MAX(1,AP241/X241),IF(BZ241=1,IF(AP241&lt;=0,0,CD241*MAX(1,IF(H241&gt;0,AP241/H241,1))),IF(R241&gt;0,AQ241/R241,0))/MAX(0.1,N(Parameter!$M$21)))</f>
        <v>0.166666666666667</v>
      </c>
      <c r="AS241" s="50" t="n">
        <f aca="false">AR241*CB241</f>
        <v>39.1666666666667</v>
      </c>
      <c r="AT241" s="51" t="n">
        <f aca="false">IF(LEFT(Cockpit!$I$5,1)="A",H241,IF(CH241=1,(CK241+CI241)/2,IF(LEFT(Cockpit!$I$5,1)="B",(CK241+AV241)/2,MAX((CK241+AV241)/2,H241))))</f>
        <v>30</v>
      </c>
      <c r="AU241" s="50" t="n">
        <f aca="false">AT241*G241</f>
        <v>1056</v>
      </c>
      <c r="AV241" s="50" t="n">
        <f aca="false">ROUNDUP(CK241+MAX(CL241,2*(J241/IF(CG241&gt;0,CG241,MAX(0.1,N(Cockpit!$I$6)))-CK241)),0)</f>
        <v>55</v>
      </c>
      <c r="AW241" s="51" t="n">
        <f aca="false">IF(AS241&gt;0,J241/AS241,-1)</f>
        <v>1.32765957446809</v>
      </c>
      <c r="AX241" s="51" t="str">
        <f aca="false">IF(AND(OR(CF241="L1",CF241="L23",CF241="LIFT"),AS241&gt;0),SUMIFS($AS$7:$AS$1843,$CF$7:$CF$1843,CF241,$AW$7:$AW$1843,"&gt;"&amp;AW241)+SUMIFS($AS$7:$AS$1843,$CF$7:$CF$1843,CF241,$AW$7:$AW$1843,AW241,$BW$7:$BW$1843,"&lt;="&amp;BW241),"")</f>
        <v/>
      </c>
      <c r="AY241" s="58" t="n">
        <f aca="false">IF(AX241="",0,MAX(0,MIN(1,(IF(CF241="L1",Parameter!$H$5,IF(CF241="L23",Parameter!$H$6+Parameter!$H$7,Parameter!$H$5+Parameter!$H$6+Parameter!$H$7))-(AX241-AS241))/AS241)))</f>
        <v>0</v>
      </c>
      <c r="AZ241" s="50" t="n">
        <f aca="false">IF(LEFT(Cockpit!$O$5,1)="A",H241,IF(Parameter!$E$30="MAX-Bestand",IF(CH241=1,CI241,IF(LEFT(Cockpit!$O$5,1)="B",BF241,MAX(BF241,H241))),ROUNDUP(BD241,0)))</f>
        <v>30</v>
      </c>
      <c r="BA241" s="50" t="n">
        <f aca="false">IF(BZ241=1,0,ROUNDUP(AZ241/BY241,0))</f>
        <v>1</v>
      </c>
      <c r="BB241" s="52" t="n">
        <f aca="false">IF(CQ241&gt;0,CQ241*MAX(1,AZ241/X241),IF(BZ241=1,IF(AZ241&lt;=0,0,CD241*MAX(1,IF(H241&gt;0,AZ241/H241,1))),IF(R241&gt;0,BA241/R241,0))/MAX(0.1,N(Parameter!$M$21)))</f>
        <v>0.166666666666667</v>
      </c>
      <c r="BC241" s="50" t="n">
        <f aca="false">BB241*CB241</f>
        <v>39.1666666666667</v>
      </c>
      <c r="BD241" s="51" t="n">
        <f aca="false">IF(LEFT(Cockpit!$O$5,1)="A",H241,IF(CH241=1,(CK241+CI241)/2,IF(LEFT(Cockpit!$O$5,1)="B",(CK241+BF241)/2,MAX((CK241+BF241)/2,H241))))</f>
        <v>30</v>
      </c>
      <c r="BE241" s="50" t="n">
        <f aca="false">BD241*G241</f>
        <v>1056</v>
      </c>
      <c r="BF241" s="50" t="n">
        <f aca="false">ROUNDUP(CK241+MAX(CL241,2*(J241/IF(CG241&gt;0,CG241,MAX(0.1,N(Cockpit!$O$6)))-CK241)),0)</f>
        <v>55</v>
      </c>
      <c r="BG241" s="51" t="n">
        <f aca="false">IF(BC241&gt;0,J241/BC241,-1)</f>
        <v>1.32765957446809</v>
      </c>
      <c r="BH241" s="51" t="str">
        <f aca="false">IF(AND(OR(CF241="L1",CF241="L23",CF241="LIFT"),BC241&gt;0),SUMIFS($BC$7:$BC$1843,$CF$7:$CF$1843,CF241,$BG$7:$BG$1843,"&gt;"&amp;BG241)+SUMIFS($BC$7:$BC$1843,$CF$7:$CF$1843,CF241,$BG$7:$BG$1843,BG241,$BW$7:$BW$1843,"&lt;="&amp;BW241),"")</f>
        <v/>
      </c>
      <c r="BI241" s="58" t="n">
        <f aca="false">IF(BH241="",0,MAX(0,MIN(1,(IF(CF241="L1",Parameter!$H$5,IF(CF241="L23",Parameter!$H$6+Parameter!$H$7,Parameter!$H$5+Parameter!$H$6+Parameter!$H$7))-(BH241-BC241))/BC241)))</f>
        <v>0</v>
      </c>
      <c r="BJ241" s="48" t="str">
        <f aca="false">IF(AI241&lt;=0,"",IF(CF241="Aussen","Aussenlager",IF(CF241="-","Nicht im Lift",IF(AO241&gt;=1,"Lift",IF(AO241&lt;=0,"Aussenlager","teilweise")))))</f>
        <v>Nicht im Lift</v>
      </c>
      <c r="BK241" s="48" t="str">
        <f aca="false">IF(AS241&lt;=0,"",IF(CF241="Aussen","Aussenlager",IF(CF241="-","Nicht im Lift",IF(AY241&gt;=1,"Lift",IF(AY241&lt;=0,"Aussenlager","teilweise")))))</f>
        <v>Nicht im Lift</v>
      </c>
      <c r="BL241" s="48" t="str">
        <f aca="false">IF(BC241&lt;=0,"",IF(CF241="Aussen","Aussenlager",IF(CF241="-","Nicht im Lift",IF(BI241&gt;=1,"Lift",IF(BI241&lt;=0,"Aussenlager","teilweise")))))</f>
        <v>Nicht im Lift</v>
      </c>
      <c r="BM241" s="48" t="str">
        <f aca="false">IF(A241="","",IF(BV241=1,"Neu; ","")&amp;IF(AND(BV241=0,BQ241&lt;0),"negativer Bestand (Export "&amp;BQ241&amp;"); ","")&amp;IF(J241&lt;=0,"Kein Verbrauch; ","")&amp;IF(CQ241&gt;0,"Lift "&amp;W241&amp;" lt. Liftbericht (Fach "&amp;X241&amp;" Stk); ",IF(CA241=1,"Gebinde geschätzt ("&amp;T241&amp;"); ",IF(BZ241=1,"Lose – Tablare geschätzt; ","")))&amp;IF(H241&gt;AV241,"Überbestand "&amp;ROUND(H241-AV241,0)&amp;" Stk / CHF "&amp;ROUND((H241-AV241)*G241,0)&amp;"; ","")&amp;IF(AND(CH241=1,CI241&lt;CJ241),"MAX &lt; MB+LG; ","")&amp;IF(AND(CP241&gt;0,CO241*10&gt;CP241),"zu hoch für Tablar; ","")&amp;IF(AND(BV241=0,OR(CH241=1,AA241&lt;&gt;"",U241&lt;&gt;"",V241&lt;&gt;"",AB241&lt;&gt;"")),"manuell übersteuert; ","")&amp;IF(AND(BZ241=0,R241=0),"Gebinde unbekannt / Stellmass fehlt; ","")&amp;IF(AND(BZ241=0,N(V241)&lt;=0,N(Q241)&lt;=0),"Menge pro Gebinde fehlt (Ist = 1 Gebinde); ","")&amp;BU241)</f>
        <v/>
      </c>
      <c r="BN241" s="48"/>
      <c r="BO241" s="48"/>
      <c r="BP241" s="55"/>
      <c r="BQ241" s="50" t="n">
        <v>17</v>
      </c>
      <c r="BR241" s="50" t="n">
        <v>9</v>
      </c>
      <c r="BS241" s="49" t="n">
        <v>553.130000000005</v>
      </c>
      <c r="BT241" s="50" t="n">
        <v>52</v>
      </c>
      <c r="BU241" s="48"/>
      <c r="BV241" s="53" t="n">
        <v>0</v>
      </c>
      <c r="BW241" s="53" t="n">
        <v>241</v>
      </c>
      <c r="BX241" s="48" t="str">
        <f aca="false">IF(U241&lt;&gt;"",UPPER(TRIM(U241)),IF(CA241=1,UPPER(VLOOKUP(T241,Parameter!$I$27:$K$29,2,0)),IF(P241="","LOSE",P241)))</f>
        <v>S71</v>
      </c>
      <c r="BY241" s="50" t="n">
        <f aca="false">IF(BX241="LOSE",1,IF(N(V241)&gt;0,V241,IF(CA241=1,MAX(1,N(VLOOKUP(T241,Parameter!$I$27:$K$29,3,0)),H241,N(N241)),IF(N(Q241)&gt;0,Q241,MAX(1,H241)))))</f>
        <v>35</v>
      </c>
      <c r="BZ241" s="53" t="n">
        <f aca="false">IF(BX241="LOSE",1,0)</f>
        <v>0</v>
      </c>
      <c r="CA241" s="53" t="n">
        <f aca="false">IF(AND(U241="",OR(P241="",P241="LOSE"),T241&lt;&gt;"",N(S241)&lt;=0,ISNUMBER(MATCH(T241,Parameter!$I$27:$I$29,0))),1,0)</f>
        <v>0</v>
      </c>
      <c r="CB241" s="53" t="n">
        <f aca="false">IF(CQ241&gt;0,INDEX(Parameter!$H$5:$H$7,W241)/INDEX(Parameter!$E$5:$E$7,W241),IF(AND(BZ241=0,N(IFERROR(VLOOKUP(BX241,'Gebinde-Kategorie'!$A$5:$N$45,14,0),0))&gt;0),VLOOKUP(BX241,'Gebinde-Kategorie'!$A$5:$N$45,14,0)*10+Parameter!$M$23,Parameter!$M$24))</f>
        <v>235</v>
      </c>
      <c r="CC241" s="48" t="str">
        <f aca="false">IF(AND(Parameter!$B$19="Ja",E241&lt;&gt;"",ISNUMBER(MATCH(E241,Parameter!$I$35:$I$52,0))),VLOOKUP(E241,Parameter!$I$35:$J$52,2,0),IFERROR(VLOOKUP(D241,Parameter!$A$35:$C$64,2,0),"Nein"))</f>
        <v>Nein</v>
      </c>
      <c r="CD241" s="52" t="n">
        <f aca="false">IF(BZ241=0,0,IF(N(S241)&gt;0,S241,IFERROR(VLOOKUP(D241,Parameter!$A$35:$C$64,3,0)+0,0)))</f>
        <v>0</v>
      </c>
      <c r="CE241" s="48" t="str">
        <f aca="false">IF(AA241&lt;&gt;"",AA241,Z241)</f>
        <v>-</v>
      </c>
      <c r="CF241" s="48" t="str">
        <f aca="false">IF(OR(CE241=1,CE241=2,CE241=3),IF(Parameter!$E$27="Ja","LIFT",IF(CE241=1,"L1","L23")),IF(CE241="Aussen","Aussen","-"))</f>
        <v>-</v>
      </c>
      <c r="CG241" s="59" t="n">
        <f aca="false">IF(N(AB241)&gt;0,AB241,0)</f>
        <v>0</v>
      </c>
      <c r="CH241" s="53" t="n">
        <f aca="false">IF(ISNUMBER(AE241),1,0)</f>
        <v>0</v>
      </c>
      <c r="CI241" s="50" t="n">
        <f aca="false">N(AE241)</f>
        <v>0</v>
      </c>
      <c r="CJ241" s="50" t="n">
        <f aca="false">N(M241)+N(N241)</f>
        <v>55</v>
      </c>
      <c r="CK241" s="50" t="n">
        <f aca="false">N(M241)</f>
        <v>5</v>
      </c>
      <c r="CL241" s="50" t="n">
        <f aca="false">N(N241)</f>
        <v>50</v>
      </c>
      <c r="CM241" s="50" t="n">
        <f aca="false">ROUNDUP(H241/BY241,0)</f>
        <v>1</v>
      </c>
      <c r="CN241" s="50" t="n">
        <f aca="false">ROUNDUP(CI241/BY241,0)</f>
        <v>0</v>
      </c>
      <c r="CO241" s="53" t="n">
        <f aca="false">IF(BZ241=1,0,IFERROR(VLOOKUP(BX241,'Gebinde-Kategorie'!$A$5:$N$45,5,0)+0,0))</f>
        <v>20</v>
      </c>
      <c r="CP241" s="53" t="n">
        <f aca="false">IFERROR(IF(OR(CE241=1,CE241=2,CE241=3),N(INDEX(Parameter!$I$5:$I$7,CE241)),0),0)</f>
        <v>0</v>
      </c>
      <c r="CQ241" s="52" t="n">
        <f aca="false">IF(AND(Parameter!$B$21="Ja",ISNUMBER(W241),N(X241)&gt;0),IFERROR(N(INDEX(Parameter!$L$5:$L$7,W241))*INDEX(Parameter!$E$5:$E$7,W241)*X241/SUMIFS($X$7:$X$1843,$W$7:$W$1843,W241),0),0)</f>
        <v>0</v>
      </c>
    </row>
    <row r="242" customFormat="false" ht="15" hidden="false" customHeight="false" outlineLevel="0" collapsed="false">
      <c r="A242" s="48" t="s">
        <v>680</v>
      </c>
      <c r="B242" s="48" t="s">
        <v>403</v>
      </c>
      <c r="C242" s="48" t="s">
        <v>173</v>
      </c>
      <c r="D242" s="48" t="s">
        <v>182</v>
      </c>
      <c r="E242" s="48" t="s">
        <v>194</v>
      </c>
      <c r="F242" s="48" t="s">
        <v>227</v>
      </c>
      <c r="G242" s="49" t="n">
        <v>423.49</v>
      </c>
      <c r="H242" s="50" t="n">
        <f aca="false">MAX(0,IF(AND(Parameter!$B$21="Ja",ISNUMBER(Y242)),Y242,IF(Parameter!$B$20="Jahresanfang 2025 + Export",BR242+BQ242,BQ242)))</f>
        <v>11</v>
      </c>
      <c r="I242" s="50" t="n">
        <f aca="false">H242*G242</f>
        <v>4658.39</v>
      </c>
      <c r="J242" s="50" t="n">
        <f aca="false">BT242*Parameter!$B$18</f>
        <v>26</v>
      </c>
      <c r="K242" s="51" t="n">
        <v>11</v>
      </c>
      <c r="L242" s="52" t="n">
        <v>2.36363636363636</v>
      </c>
      <c r="M242" s="50" t="n">
        <v>1</v>
      </c>
      <c r="N242" s="50" t="n">
        <v>10</v>
      </c>
      <c r="O242" s="53" t="n">
        <v>21</v>
      </c>
      <c r="P242" s="48" t="s">
        <v>183</v>
      </c>
      <c r="Q242" s="50" t="n">
        <v>13</v>
      </c>
      <c r="R242" s="53" t="n">
        <f aca="false">IF(BZ242=1,0,IFERROR(VLOOKUP(BX242,'Gebinde-Kategorie'!$A$5:$N$45,13,0)+0,0))</f>
        <v>6</v>
      </c>
      <c r="S242" s="54"/>
      <c r="T242" s="55"/>
      <c r="U242" s="55"/>
      <c r="V242" s="55"/>
      <c r="W242" s="48"/>
      <c r="X242" s="50"/>
      <c r="Y242" s="50"/>
      <c r="Z242" s="48" t="n">
        <f aca="false">IF(A242="","",IF(AND(Parameter!$B$21="Ja",ISNUMBER(W242)),W242,IF(CC242="2+3",IF(ISNUMBER(SEARCH("grosser Artikel",BU242)),2,IFERROR(VLOOKUP(BX242,Parameter!$F$35:$G$64,2,0),2)),IF(OR(CC242="Nein",CC242=""),"-",CC242))))</f>
        <v>2</v>
      </c>
      <c r="AA242" s="55"/>
      <c r="AB242" s="56"/>
      <c r="AC242" s="50" t="n">
        <f aca="false">AV242</f>
        <v>17</v>
      </c>
      <c r="AD242" s="50" t="n">
        <f aca="false">MAX(AV242,H242)</f>
        <v>17</v>
      </c>
      <c r="AE242" s="57"/>
      <c r="AF242" s="50" t="n">
        <f aca="false">IF(LEFT(Cockpit!$C$5,1)="A",H242,IF(Parameter!$E$30="MAX-Bestand",IF(CH242=1,CI242,IF(LEFT(Cockpit!$C$5,1)="B",AL242,MAX(AL242,H242))),ROUNDUP(AJ242,0)))</f>
        <v>11</v>
      </c>
      <c r="AG242" s="50" t="n">
        <f aca="false">IF(BZ242=1,0,ROUNDUP(AF242/BY242,0))</f>
        <v>1</v>
      </c>
      <c r="AH242" s="52" t="n">
        <f aca="false">IF(CQ242&gt;0,CQ242*MAX(1,AF242/X242),IF(BZ242=1,IF(AF242&lt;=0,0,CD242*MAX(1,IF(H242&gt;0,AF242/H242,1))),IF(R242&gt;0,AG242/R242,0))/MAX(0.1,N(Parameter!$M$21)))</f>
        <v>0.166666666666667</v>
      </c>
      <c r="AI242" s="50" t="n">
        <f aca="false">AH242*CB242</f>
        <v>39.1666666666667</v>
      </c>
      <c r="AJ242" s="51" t="n">
        <f aca="false">IF(LEFT(Cockpit!$C$5,1)="A",H242,IF(CH242=1,(CK242+CI242)/2,IF(LEFT(Cockpit!$C$5,1)="B",(CK242+AL242)/2,MAX((CK242+AL242)/2,H242))))</f>
        <v>11</v>
      </c>
      <c r="AK242" s="50" t="n">
        <f aca="false">AJ242*G242</f>
        <v>4658.39</v>
      </c>
      <c r="AL242" s="50" t="n">
        <f aca="false">ROUNDUP(CK242+MAX(CL242,2*(J242/IF(CG242&gt;0,CG242,MAX(0.1,N(Cockpit!$C$6)))-CK242)),0)</f>
        <v>17</v>
      </c>
      <c r="AM242" s="51" t="n">
        <f aca="false">IF(AI242&gt;0,J242/AI242,-1)</f>
        <v>0.663829787234043</v>
      </c>
      <c r="AN242" s="51" t="n">
        <f aca="false">IF(AND(OR(CF242="L1",CF242="L23",CF242="LIFT"),AI242&gt;0),SUMIFS($AI$7:$AI$1843,$CF$7:$CF$1843,CF242,$AM$7:$AM$1843,"&gt;"&amp;AM242)+SUMIFS($AI$7:$AI$1843,$CF$7:$CF$1843,CF242,$AM$7:$AM$1843,AM242,$BW$7:$BW$1843,"&lt;="&amp;BW242),"")</f>
        <v>8692.53846153846</v>
      </c>
      <c r="AO242" s="58" t="n">
        <f aca="false">IF(AN242="",0,MAX(0,MIN(1,(IF(CF242="L1",Parameter!$H$5,IF(CF242="L23",Parameter!$H$6+Parameter!$H$7,Parameter!$H$5+Parameter!$H$6+Parameter!$H$7))-(AN242-AI242))/AI242)))</f>
        <v>1</v>
      </c>
      <c r="AP242" s="50" t="n">
        <f aca="false">IF(LEFT(Cockpit!$I$5,1)="A",H242,IF(Parameter!$E$30="MAX-Bestand",IF(CH242=1,CI242,IF(LEFT(Cockpit!$I$5,1)="B",AV242,MAX(AV242,H242))),ROUNDUP(AT242,0)))</f>
        <v>11</v>
      </c>
      <c r="AQ242" s="50" t="n">
        <f aca="false">IF(BZ242=1,0,ROUNDUP(AP242/BY242,0))</f>
        <v>1</v>
      </c>
      <c r="AR242" s="52" t="n">
        <f aca="false">IF(CQ242&gt;0,CQ242*MAX(1,AP242/X242),IF(BZ242=1,IF(AP242&lt;=0,0,CD242*MAX(1,IF(H242&gt;0,AP242/H242,1))),IF(R242&gt;0,AQ242/R242,0))/MAX(0.1,N(Parameter!$M$21)))</f>
        <v>0.166666666666667</v>
      </c>
      <c r="AS242" s="50" t="n">
        <f aca="false">AR242*CB242</f>
        <v>39.1666666666667</v>
      </c>
      <c r="AT242" s="51" t="n">
        <f aca="false">IF(LEFT(Cockpit!$I$5,1)="A",H242,IF(CH242=1,(CK242+CI242)/2,IF(LEFT(Cockpit!$I$5,1)="B",(CK242+AV242)/2,MAX((CK242+AV242)/2,H242))))</f>
        <v>11</v>
      </c>
      <c r="AU242" s="50" t="n">
        <f aca="false">AT242*G242</f>
        <v>4658.39</v>
      </c>
      <c r="AV242" s="50" t="n">
        <f aca="false">ROUNDUP(CK242+MAX(CL242,2*(J242/IF(CG242&gt;0,CG242,MAX(0.1,N(Cockpit!$I$6)))-CK242)),0)</f>
        <v>17</v>
      </c>
      <c r="AW242" s="51" t="n">
        <f aca="false">IF(AS242&gt;0,J242/AS242,-1)</f>
        <v>0.663829787234043</v>
      </c>
      <c r="AX242" s="51" t="n">
        <f aca="false">IF(AND(OR(CF242="L1",CF242="L23",CF242="LIFT"),AS242&gt;0),SUMIFS($AS$7:$AS$1843,$CF$7:$CF$1843,CF242,$AW$7:$AW$1843,"&gt;"&amp;AW242)+SUMIFS($AS$7:$AS$1843,$CF$7:$CF$1843,CF242,$AW$7:$AW$1843,AW242,$BW$7:$BW$1843,"&lt;="&amp;BW242),"")</f>
        <v>10992.6675824176</v>
      </c>
      <c r="AY242" s="58" t="n">
        <f aca="false">IF(AX242="",0,MAX(0,MIN(1,(IF(CF242="L1",Parameter!$H$5,IF(CF242="L23",Parameter!$H$6+Parameter!$H$7,Parameter!$H$5+Parameter!$H$6+Parameter!$H$7))-(AX242-AS242))/AS242)))</f>
        <v>1</v>
      </c>
      <c r="AZ242" s="50" t="n">
        <f aca="false">IF(LEFT(Cockpit!$O$5,1)="A",H242,IF(Parameter!$E$30="MAX-Bestand",IF(CH242=1,CI242,IF(LEFT(Cockpit!$O$5,1)="B",BF242,MAX(BF242,H242))),ROUNDUP(BD242,0)))</f>
        <v>7</v>
      </c>
      <c r="BA242" s="50" t="n">
        <f aca="false">IF(BZ242=1,0,ROUNDUP(AZ242/BY242,0))</f>
        <v>1</v>
      </c>
      <c r="BB242" s="52" t="n">
        <f aca="false">IF(CQ242&gt;0,CQ242*MAX(1,AZ242/X242),IF(BZ242=1,IF(AZ242&lt;=0,0,CD242*MAX(1,IF(H242&gt;0,AZ242/H242,1))),IF(R242&gt;0,BA242/R242,0))/MAX(0.1,N(Parameter!$M$21)))</f>
        <v>0.166666666666667</v>
      </c>
      <c r="BC242" s="50" t="n">
        <f aca="false">BB242*CB242</f>
        <v>39.1666666666667</v>
      </c>
      <c r="BD242" s="51" t="n">
        <f aca="false">IF(LEFT(Cockpit!$O$5,1)="A",H242,IF(CH242=1,(CK242+CI242)/2,IF(LEFT(Cockpit!$O$5,1)="B",(CK242+BF242)/2,MAX((CK242+BF242)/2,H242))))</f>
        <v>6.5</v>
      </c>
      <c r="BE242" s="50" t="n">
        <f aca="false">BD242*G242</f>
        <v>2752.685</v>
      </c>
      <c r="BF242" s="50" t="n">
        <f aca="false">ROUNDUP(CK242+MAX(CL242,2*(J242/IF(CG242&gt;0,CG242,MAX(0.1,N(Cockpit!$O$6)))-CK242)),0)</f>
        <v>12</v>
      </c>
      <c r="BG242" s="51" t="n">
        <f aca="false">IF(BC242&gt;0,J242/BC242,-1)</f>
        <v>0.663829787234043</v>
      </c>
      <c r="BH242" s="51" t="n">
        <f aca="false">IF(AND(OR(CF242="L1",CF242="L23",CF242="LIFT"),BC242&gt;0),SUMIFS($BC$7:$BC$1843,$CF$7:$CF$1843,CF242,$BG$7:$BG$1843,"&gt;"&amp;BG242)+SUMIFS($BC$7:$BC$1843,$CF$7:$CF$1843,CF242,$BG$7:$BG$1843,BG242,$BW$7:$BW$1843,"&lt;="&amp;BW242),"")</f>
        <v>9605.28250915751</v>
      </c>
      <c r="BI242" s="58" t="n">
        <f aca="false">IF(BH242="",0,MAX(0,MIN(1,(IF(CF242="L1",Parameter!$H$5,IF(CF242="L23",Parameter!$H$6+Parameter!$H$7,Parameter!$H$5+Parameter!$H$6+Parameter!$H$7))-(BH242-BC242))/BC242)))</f>
        <v>1</v>
      </c>
      <c r="BJ242" s="48" t="str">
        <f aca="false">IF(AI242&lt;=0,"",IF(CF242="Aussen","Aussenlager",IF(CF242="-","Nicht im Lift",IF(AO242&gt;=1,"Lift",IF(AO242&lt;=0,"Aussenlager","teilweise")))))</f>
        <v>Lift</v>
      </c>
      <c r="BK242" s="48" t="str">
        <f aca="false">IF(AS242&lt;=0,"",IF(CF242="Aussen","Aussenlager",IF(CF242="-","Nicht im Lift",IF(AY242&gt;=1,"Lift",IF(AY242&lt;=0,"Aussenlager","teilweise")))))</f>
        <v>Lift</v>
      </c>
      <c r="BL242" s="48" t="str">
        <f aca="false">IF(BC242&lt;=0,"",IF(CF242="Aussen","Aussenlager",IF(CF242="-","Nicht im Lift",IF(BI242&gt;=1,"Lift",IF(BI242&lt;=0,"Aussenlager","teilweise")))))</f>
        <v>Lift</v>
      </c>
      <c r="BM242" s="48" t="str">
        <f aca="false">IF(A242="","",IF(BV242=1,"Neu; ","")&amp;IF(AND(BV242=0,BQ242&lt;0),"negativer Bestand (Export "&amp;BQ242&amp;"); ","")&amp;IF(J242&lt;=0,"Kein Verbrauch; ","")&amp;IF(CQ242&gt;0,"Lift "&amp;W242&amp;" lt. Liftbericht (Fach "&amp;X242&amp;" Stk); ",IF(CA242=1,"Gebinde geschätzt ("&amp;T242&amp;"); ",IF(BZ242=1,"Lose – Tablare geschätzt; ","")))&amp;IF(H242&gt;AV242,"Überbestand "&amp;ROUND(H242-AV242,0)&amp;" Stk / CHF "&amp;ROUND((H242-AV242)*G242,0)&amp;"; ","")&amp;IF(AND(CH242=1,CI242&lt;CJ242),"MAX &lt; MB+LG; ","")&amp;IF(AND(CP242&gt;0,CO242*10&gt;CP242),"zu hoch für Tablar; ","")&amp;IF(AND(BV242=0,OR(CH242=1,AA242&lt;&gt;"",U242&lt;&gt;"",V242&lt;&gt;"",AB242&lt;&gt;"")),"manuell übersteuert; ","")&amp;IF(AND(BZ242=0,R242=0),"Gebinde unbekannt / Stellmass fehlt; ","")&amp;IF(AND(BZ242=0,N(V242)&lt;=0,N(Q242)&lt;=0),"Menge pro Gebinde fehlt (Ist = 1 Gebinde); ","")&amp;BU242)</f>
        <v>grosser Artikel &amp; nicht im KTL</v>
      </c>
      <c r="BN242" s="48"/>
      <c r="BO242" s="48"/>
      <c r="BP242" s="55"/>
      <c r="BQ242" s="50" t="n">
        <v>1</v>
      </c>
      <c r="BR242" s="50" t="n">
        <v>10</v>
      </c>
      <c r="BS242" s="49" t="n">
        <v>545.890000000001</v>
      </c>
      <c r="BT242" s="50" t="n">
        <v>26</v>
      </c>
      <c r="BU242" s="48" t="s">
        <v>270</v>
      </c>
      <c r="BV242" s="53" t="n">
        <v>0</v>
      </c>
      <c r="BW242" s="53" t="n">
        <v>242</v>
      </c>
      <c r="BX242" s="48" t="str">
        <f aca="false">IF(U242&lt;&gt;"",UPPER(TRIM(U242)),IF(CA242=1,UPPER(VLOOKUP(T242,Parameter!$I$27:$K$29,2,0)),IF(P242="","LOSE",P242)))</f>
        <v>S71</v>
      </c>
      <c r="BY242" s="50" t="n">
        <f aca="false">IF(BX242="LOSE",1,IF(N(V242)&gt;0,V242,IF(CA242=1,MAX(1,N(VLOOKUP(T242,Parameter!$I$27:$K$29,3,0)),H242,N(N242)),IF(N(Q242)&gt;0,Q242,MAX(1,H242)))))</f>
        <v>13</v>
      </c>
      <c r="BZ242" s="53" t="n">
        <f aca="false">IF(BX242="LOSE",1,0)</f>
        <v>0</v>
      </c>
      <c r="CA242" s="53" t="n">
        <f aca="false">IF(AND(U242="",OR(P242="",P242="LOSE"),T242&lt;&gt;"",N(S242)&lt;=0,ISNUMBER(MATCH(T242,Parameter!$I$27:$I$29,0))),1,0)</f>
        <v>0</v>
      </c>
      <c r="CB242" s="53" t="n">
        <f aca="false">IF(CQ242&gt;0,INDEX(Parameter!$H$5:$H$7,W242)/INDEX(Parameter!$E$5:$E$7,W242),IF(AND(BZ242=0,N(IFERROR(VLOOKUP(BX242,'Gebinde-Kategorie'!$A$5:$N$45,14,0),0))&gt;0),VLOOKUP(BX242,'Gebinde-Kategorie'!$A$5:$N$45,14,0)*10+Parameter!$M$23,Parameter!$M$24))</f>
        <v>235</v>
      </c>
      <c r="CC242" s="48" t="str">
        <f aca="false">IF(AND(Parameter!$B$19="Ja",E242&lt;&gt;"",ISNUMBER(MATCH(E242,Parameter!$I$35:$I$52,0))),VLOOKUP(E242,Parameter!$I$35:$J$52,2,0),IFERROR(VLOOKUP(D242,Parameter!$A$35:$C$64,2,0),"Nein"))</f>
        <v>2+3</v>
      </c>
      <c r="CD242" s="52" t="n">
        <f aca="false">IF(BZ242=0,0,IF(N(S242)&gt;0,S242,IFERROR(VLOOKUP(D242,Parameter!$A$35:$C$64,3,0)+0,0)))</f>
        <v>0</v>
      </c>
      <c r="CE242" s="48" t="n">
        <f aca="false">IF(AA242&lt;&gt;"",AA242,Z242)</f>
        <v>2</v>
      </c>
      <c r="CF242" s="48" t="str">
        <f aca="false">IF(OR(CE242=1,CE242=2,CE242=3),IF(Parameter!$E$27="Ja","LIFT",IF(CE242=1,"L1","L23")),IF(CE242="Aussen","Aussen","-"))</f>
        <v>LIFT</v>
      </c>
      <c r="CG242" s="59" t="n">
        <f aca="false">IF(N(AB242)&gt;0,AB242,0)</f>
        <v>0</v>
      </c>
      <c r="CH242" s="53" t="n">
        <f aca="false">IF(ISNUMBER(AE242),1,0)</f>
        <v>0</v>
      </c>
      <c r="CI242" s="50" t="n">
        <f aca="false">N(AE242)</f>
        <v>0</v>
      </c>
      <c r="CJ242" s="50" t="n">
        <f aca="false">N(M242)+N(N242)</f>
        <v>11</v>
      </c>
      <c r="CK242" s="50" t="n">
        <f aca="false">N(M242)</f>
        <v>1</v>
      </c>
      <c r="CL242" s="50" t="n">
        <f aca="false">N(N242)</f>
        <v>10</v>
      </c>
      <c r="CM242" s="50" t="n">
        <f aca="false">ROUNDUP(H242/BY242,0)</f>
        <v>1</v>
      </c>
      <c r="CN242" s="50" t="n">
        <f aca="false">ROUNDUP(CI242/BY242,0)</f>
        <v>0</v>
      </c>
      <c r="CO242" s="53" t="n">
        <f aca="false">IF(BZ242=1,0,IFERROR(VLOOKUP(BX242,'Gebinde-Kategorie'!$A$5:$N$45,5,0)+0,0))</f>
        <v>20</v>
      </c>
      <c r="CP242" s="53" t="n">
        <f aca="false">IFERROR(IF(OR(CE242=1,CE242=2,CE242=3),N(INDEX(Parameter!$I$5:$I$7,CE242)),0),0)</f>
        <v>0</v>
      </c>
      <c r="CQ242" s="52" t="n">
        <f aca="false">IF(AND(Parameter!$B$21="Ja",ISNUMBER(W242),N(X242)&gt;0),IFERROR(N(INDEX(Parameter!$L$5:$L$7,W242))*INDEX(Parameter!$E$5:$E$7,W242)*X242/SUMIFS($X$7:$X$1843,$W$7:$W$1843,W242),0),0)</f>
        <v>0</v>
      </c>
    </row>
    <row r="243" customFormat="false" ht="15" hidden="false" customHeight="false" outlineLevel="0" collapsed="false">
      <c r="A243" s="48" t="s">
        <v>681</v>
      </c>
      <c r="B243" s="48" t="s">
        <v>682</v>
      </c>
      <c r="C243" s="48" t="s">
        <v>173</v>
      </c>
      <c r="D243" s="48" t="s">
        <v>193</v>
      </c>
      <c r="E243" s="48"/>
      <c r="F243" s="48" t="s">
        <v>227</v>
      </c>
      <c r="G243" s="49" t="n">
        <v>108.25</v>
      </c>
      <c r="H243" s="50" t="n">
        <f aca="false">MAX(0,IF(AND(Parameter!$B$21="Ja",ISNUMBER(Y243)),Y243,IF(Parameter!$B$20="Jahresanfang 2025 + Export",BR243+BQ243,BQ243)))</f>
        <v>28</v>
      </c>
      <c r="I243" s="50" t="n">
        <f aca="false">H243*G243</f>
        <v>3031</v>
      </c>
      <c r="J243" s="50" t="n">
        <f aca="false">BT243*Parameter!$B$18</f>
        <v>0</v>
      </c>
      <c r="K243" s="51" t="n">
        <v>25.5</v>
      </c>
      <c r="L243" s="52" t="n">
        <v>0</v>
      </c>
      <c r="M243" s="50" t="n">
        <v>0</v>
      </c>
      <c r="N243" s="50" t="n">
        <v>1</v>
      </c>
      <c r="O243" s="53" t="n">
        <v>49</v>
      </c>
      <c r="P243" s="48" t="s">
        <v>235</v>
      </c>
      <c r="Q243" s="50" t="n">
        <v>30</v>
      </c>
      <c r="R243" s="53" t="n">
        <f aca="false">IF(BZ243=1,0,IFERROR(VLOOKUP(BX243,'Gebinde-Kategorie'!$A$5:$N$45,13,0)+0,0))</f>
        <v>12</v>
      </c>
      <c r="S243" s="54"/>
      <c r="T243" s="55"/>
      <c r="U243" s="55"/>
      <c r="V243" s="55"/>
      <c r="W243" s="48"/>
      <c r="X243" s="50"/>
      <c r="Y243" s="50"/>
      <c r="Z243" s="48" t="n">
        <f aca="false">IF(A243="","",IF(AND(Parameter!$B$21="Ja",ISNUMBER(W243)),W243,IF(CC243="2+3",IF(ISNUMBER(SEARCH("grosser Artikel",BU243)),2,IFERROR(VLOOKUP(BX243,Parameter!$F$35:$G$64,2,0),2)),IF(OR(CC243="Nein",CC243=""),"-",CC243))))</f>
        <v>2</v>
      </c>
      <c r="AA243" s="55"/>
      <c r="AB243" s="56"/>
      <c r="AC243" s="50" t="n">
        <f aca="false">AV243</f>
        <v>1</v>
      </c>
      <c r="AD243" s="50" t="n">
        <f aca="false">MAX(AV243,H243)</f>
        <v>28</v>
      </c>
      <c r="AE243" s="57"/>
      <c r="AF243" s="50" t="n">
        <f aca="false">IF(LEFT(Cockpit!$C$5,1)="A",H243,IF(Parameter!$E$30="MAX-Bestand",IF(CH243=1,CI243,IF(LEFT(Cockpit!$C$5,1)="B",AL243,MAX(AL243,H243))),ROUNDUP(AJ243,0)))</f>
        <v>28</v>
      </c>
      <c r="AG243" s="50" t="n">
        <f aca="false">IF(BZ243=1,0,ROUNDUP(AF243/BY243,0))</f>
        <v>1</v>
      </c>
      <c r="AH243" s="52" t="n">
        <f aca="false">IF(CQ243&gt;0,CQ243*MAX(1,AF243/X243),IF(BZ243=1,IF(AF243&lt;=0,0,CD243*MAX(1,IF(H243&gt;0,AF243/H243,1))),IF(R243&gt;0,AG243/R243,0))/MAX(0.1,N(Parameter!$M$21)))</f>
        <v>0.0833333333333333</v>
      </c>
      <c r="AI243" s="50" t="n">
        <f aca="false">AH243*CB243</f>
        <v>28.75</v>
      </c>
      <c r="AJ243" s="51" t="n">
        <f aca="false">IF(LEFT(Cockpit!$C$5,1)="A",H243,IF(CH243=1,(CK243+CI243)/2,IF(LEFT(Cockpit!$C$5,1)="B",(CK243+AL243)/2,MAX((CK243+AL243)/2,H243))))</f>
        <v>28</v>
      </c>
      <c r="AK243" s="50" t="n">
        <f aca="false">AJ243*G243</f>
        <v>3031</v>
      </c>
      <c r="AL243" s="50" t="n">
        <f aca="false">ROUNDUP(CK243+MAX(CL243,2*(J243/IF(CG243&gt;0,CG243,MAX(0.1,N(Cockpit!$C$6)))-CK243)),0)</f>
        <v>1</v>
      </c>
      <c r="AM243" s="51" t="n">
        <f aca="false">IF(AI243&gt;0,J243/AI243,-1)</f>
        <v>0</v>
      </c>
      <c r="AN243" s="51" t="n">
        <f aca="false">IF(AND(OR(CF243="L1",CF243="L23",CF243="LIFT"),AI243&gt;0),SUMIFS($AI$7:$AI$1843,$CF$7:$CF$1843,CF243,$AM$7:$AM$1843,"&gt;"&amp;AM243)+SUMIFS($AI$7:$AI$1843,$CF$7:$CF$1843,CF243,$AM$7:$AM$1843,AM243,$BW$7:$BW$1843,"&lt;="&amp;BW243),"")</f>
        <v>27680.2671095383</v>
      </c>
      <c r="AO243" s="58" t="n">
        <f aca="false">IF(AN243="",0,MAX(0,MIN(1,(IF(CF243="L1",Parameter!$H$5,IF(CF243="L23",Parameter!$H$6+Parameter!$H$7,Parameter!$H$5+Parameter!$H$6+Parameter!$H$7))-(AN243-AI243))/AI243)))</f>
        <v>1</v>
      </c>
      <c r="AP243" s="50" t="n">
        <f aca="false">IF(LEFT(Cockpit!$I$5,1)="A",H243,IF(Parameter!$E$30="MAX-Bestand",IF(CH243=1,CI243,IF(LEFT(Cockpit!$I$5,1)="B",AV243,MAX(AV243,H243))),ROUNDUP(AT243,0)))</f>
        <v>28</v>
      </c>
      <c r="AQ243" s="50" t="n">
        <f aca="false">IF(BZ243=1,0,ROUNDUP(AP243/BY243,0))</f>
        <v>1</v>
      </c>
      <c r="AR243" s="52" t="n">
        <f aca="false">IF(CQ243&gt;0,CQ243*MAX(1,AP243/X243),IF(BZ243=1,IF(AP243&lt;=0,0,CD243*MAX(1,IF(H243&gt;0,AP243/H243,1))),IF(R243&gt;0,AQ243/R243,0))/MAX(0.1,N(Parameter!$M$21)))</f>
        <v>0.0833333333333333</v>
      </c>
      <c r="AS243" s="50" t="n">
        <f aca="false">AR243*CB243</f>
        <v>28.75</v>
      </c>
      <c r="AT243" s="51" t="n">
        <f aca="false">IF(LEFT(Cockpit!$I$5,1)="A",H243,IF(CH243=1,(CK243+CI243)/2,IF(LEFT(Cockpit!$I$5,1)="B",(CK243+AV243)/2,MAX((CK243+AV243)/2,H243))))</f>
        <v>28</v>
      </c>
      <c r="AU243" s="50" t="n">
        <f aca="false">AT243*G243</f>
        <v>3031</v>
      </c>
      <c r="AV243" s="50" t="n">
        <f aca="false">ROUNDUP(CK243+MAX(CL243,2*(J243/IF(CG243&gt;0,CG243,MAX(0.1,N(Cockpit!$I$6)))-CK243)),0)</f>
        <v>1</v>
      </c>
      <c r="AW243" s="51" t="n">
        <f aca="false">IF(AS243&gt;0,J243/AS243,-1)</f>
        <v>0</v>
      </c>
      <c r="AX243" s="51" t="n">
        <f aca="false">IF(AND(OR(CF243="L1",CF243="L23",CF243="LIFT"),AS243&gt;0),SUMIFS($AS$7:$AS$1843,$CF$7:$CF$1843,CF243,$AW$7:$AW$1843,"&gt;"&amp;AW243)+SUMIFS($AS$7:$AS$1843,$CF$7:$CF$1843,CF243,$AW$7:$AW$1843,AW243,$BW$7:$BW$1843,"&lt;="&amp;BW243),"")</f>
        <v>33033.4157509158</v>
      </c>
      <c r="AY243" s="58" t="n">
        <f aca="false">IF(AX243="",0,MAX(0,MIN(1,(IF(CF243="L1",Parameter!$H$5,IF(CF243="L23",Parameter!$H$6+Parameter!$H$7,Parameter!$H$5+Parameter!$H$6+Parameter!$H$7))-(AX243-AS243))/AS243)))</f>
        <v>1</v>
      </c>
      <c r="AZ243" s="50" t="n">
        <f aca="false">IF(LEFT(Cockpit!$O$5,1)="A",H243,IF(Parameter!$E$30="MAX-Bestand",IF(CH243=1,CI243,IF(LEFT(Cockpit!$O$5,1)="B",BF243,MAX(BF243,H243))),ROUNDUP(BD243,0)))</f>
        <v>1</v>
      </c>
      <c r="BA243" s="50" t="n">
        <f aca="false">IF(BZ243=1,0,ROUNDUP(AZ243/BY243,0))</f>
        <v>1</v>
      </c>
      <c r="BB243" s="52" t="n">
        <f aca="false">IF(CQ243&gt;0,CQ243*MAX(1,AZ243/X243),IF(BZ243=1,IF(AZ243&lt;=0,0,CD243*MAX(1,IF(H243&gt;0,AZ243/H243,1))),IF(R243&gt;0,BA243/R243,0))/MAX(0.1,N(Parameter!$M$21)))</f>
        <v>0.0833333333333333</v>
      </c>
      <c r="BC243" s="50" t="n">
        <f aca="false">BB243*CB243</f>
        <v>28.75</v>
      </c>
      <c r="BD243" s="51" t="n">
        <f aca="false">IF(LEFT(Cockpit!$O$5,1)="A",H243,IF(CH243=1,(CK243+CI243)/2,IF(LEFT(Cockpit!$O$5,1)="B",(CK243+BF243)/2,MAX((CK243+BF243)/2,H243))))</f>
        <v>0.5</v>
      </c>
      <c r="BE243" s="50" t="n">
        <f aca="false">BD243*G243</f>
        <v>54.125</v>
      </c>
      <c r="BF243" s="50" t="n">
        <f aca="false">ROUNDUP(CK243+MAX(CL243,2*(J243/IF(CG243&gt;0,CG243,MAX(0.1,N(Cockpit!$O$6)))-CK243)),0)</f>
        <v>1</v>
      </c>
      <c r="BG243" s="51" t="n">
        <f aca="false">IF(BC243&gt;0,J243/BC243,-1)</f>
        <v>0</v>
      </c>
      <c r="BH243" s="51" t="n">
        <f aca="false">IF(AND(OR(CF243="L1",CF243="L23",CF243="LIFT"),BC243&gt;0),SUMIFS($BC$7:$BC$1843,$CF$7:$CF$1843,CF243,$BG$7:$BG$1843,"&gt;"&amp;BG243)+SUMIFS($BC$7:$BC$1843,$CF$7:$CF$1843,CF243,$BG$7:$BG$1843,BG243,$BW$7:$BW$1843,"&lt;="&amp;BW243),"")</f>
        <v>27188.2347737009</v>
      </c>
      <c r="BI243" s="58" t="n">
        <f aca="false">IF(BH243="",0,MAX(0,MIN(1,(IF(CF243="L1",Parameter!$H$5,IF(CF243="L23",Parameter!$H$6+Parameter!$H$7,Parameter!$H$5+Parameter!$H$6+Parameter!$H$7))-(BH243-BC243))/BC243)))</f>
        <v>1</v>
      </c>
      <c r="BJ243" s="48" t="str">
        <f aca="false">IF(AI243&lt;=0,"",IF(CF243="Aussen","Aussenlager",IF(CF243="-","Nicht im Lift",IF(AO243&gt;=1,"Lift",IF(AO243&lt;=0,"Aussenlager","teilweise")))))</f>
        <v>Lift</v>
      </c>
      <c r="BK243" s="48" t="str">
        <f aca="false">IF(AS243&lt;=0,"",IF(CF243="Aussen","Aussenlager",IF(CF243="-","Nicht im Lift",IF(AY243&gt;=1,"Lift",IF(AY243&lt;=0,"Aussenlager","teilweise")))))</f>
        <v>Lift</v>
      </c>
      <c r="BL243" s="48" t="str">
        <f aca="false">IF(BC243&lt;=0,"",IF(CF243="Aussen","Aussenlager",IF(CF243="-","Nicht im Lift",IF(BI243&gt;=1,"Lift",IF(BI243&lt;=0,"Aussenlager","teilweise")))))</f>
        <v>Lift</v>
      </c>
      <c r="BM243" s="48" t="str">
        <f aca="false">IF(A243="","",IF(BV243=1,"Neu; ","")&amp;IF(AND(BV243=0,BQ243&lt;0),"negativer Bestand (Export "&amp;BQ243&amp;"); ","")&amp;IF(J243&lt;=0,"Kein Verbrauch; ","")&amp;IF(CQ243&gt;0,"Lift "&amp;W243&amp;" lt. Liftbericht (Fach "&amp;X243&amp;" Stk); ",IF(CA243=1,"Gebinde geschätzt ("&amp;T243&amp;"); ",IF(BZ243=1,"Lose – Tablare geschätzt; ","")))&amp;IF(H243&gt;AV243,"Überbestand "&amp;ROUND(H243-AV243,0)&amp;" Stk / CHF "&amp;ROUND((H243-AV243)*G243,0)&amp;"; ","")&amp;IF(AND(CH243=1,CI243&lt;CJ243),"MAX &lt; MB+LG; ","")&amp;IF(AND(CP243&gt;0,CO243*10&gt;CP243),"zu hoch für Tablar; ","")&amp;IF(AND(BV243=0,OR(CH243=1,AA243&lt;&gt;"",U243&lt;&gt;"",V243&lt;&gt;"",AB243&lt;&gt;"")),"manuell übersteuert; ","")&amp;IF(AND(BZ243=0,R243=0),"Gebinde unbekannt / Stellmass fehlt; ","")&amp;IF(AND(BZ243=0,N(V243)&lt;=0,N(Q243)&lt;=0),"Menge pro Gebinde fehlt (Ist = 1 Gebinde); ","")&amp;BU243)</f>
        <v>Kein Verbrauch; Überbestand 27 Stk / CHF 2923; </v>
      </c>
      <c r="BN243" s="48"/>
      <c r="BO243" s="48"/>
      <c r="BP243" s="55"/>
      <c r="BQ243" s="50" t="n">
        <v>5</v>
      </c>
      <c r="BR243" s="50" t="n">
        <v>23</v>
      </c>
      <c r="BS243" s="49" t="n">
        <v>541.25</v>
      </c>
      <c r="BT243" s="50" t="n">
        <v>0</v>
      </c>
      <c r="BU243" s="48"/>
      <c r="BV243" s="53" t="n">
        <v>0</v>
      </c>
      <c r="BW243" s="53" t="n">
        <v>243</v>
      </c>
      <c r="BX243" s="48" t="str">
        <f aca="false">IF(U243&lt;&gt;"",UPPER(TRIM(U243)),IF(CA243=1,UPPER(VLOOKUP(T243,Parameter!$I$27:$K$29,2,0)),IF(P243="","LOSE",P243)))</f>
        <v>S63</v>
      </c>
      <c r="BY243" s="50" t="n">
        <f aca="false">IF(BX243="LOSE",1,IF(N(V243)&gt;0,V243,IF(CA243=1,MAX(1,N(VLOOKUP(T243,Parameter!$I$27:$K$29,3,0)),H243,N(N243)),IF(N(Q243)&gt;0,Q243,MAX(1,H243)))))</f>
        <v>30</v>
      </c>
      <c r="BZ243" s="53" t="n">
        <f aca="false">IF(BX243="LOSE",1,0)</f>
        <v>0</v>
      </c>
      <c r="CA243" s="53" t="n">
        <f aca="false">IF(AND(U243="",OR(P243="",P243="LOSE"),T243&lt;&gt;"",N(S243)&lt;=0,ISNUMBER(MATCH(T243,Parameter!$I$27:$I$29,0))),1,0)</f>
        <v>0</v>
      </c>
      <c r="CB243" s="53" t="n">
        <f aca="false">IF(CQ243&gt;0,INDEX(Parameter!$H$5:$H$7,W243)/INDEX(Parameter!$E$5:$E$7,W243),IF(AND(BZ243=0,N(IFERROR(VLOOKUP(BX243,'Gebinde-Kategorie'!$A$5:$N$45,14,0),0))&gt;0),VLOOKUP(BX243,'Gebinde-Kategorie'!$A$5:$N$45,14,0)*10+Parameter!$M$23,Parameter!$M$24))</f>
        <v>345</v>
      </c>
      <c r="CC243" s="48" t="str">
        <f aca="false">IF(AND(Parameter!$B$19="Ja",E243&lt;&gt;"",ISNUMBER(MATCH(E243,Parameter!$I$35:$I$52,0))),VLOOKUP(E243,Parameter!$I$35:$J$52,2,0),IFERROR(VLOOKUP(D243,Parameter!$A$35:$C$64,2,0),"Nein"))</f>
        <v>2+3</v>
      </c>
      <c r="CD243" s="52" t="n">
        <f aca="false">IF(BZ243=0,0,IF(N(S243)&gt;0,S243,IFERROR(VLOOKUP(D243,Parameter!$A$35:$C$64,3,0)+0,0)))</f>
        <v>0</v>
      </c>
      <c r="CE243" s="48" t="n">
        <f aca="false">IF(AA243&lt;&gt;"",AA243,Z243)</f>
        <v>2</v>
      </c>
      <c r="CF243" s="48" t="str">
        <f aca="false">IF(OR(CE243=1,CE243=2,CE243=3),IF(Parameter!$E$27="Ja","LIFT",IF(CE243=1,"L1","L23")),IF(CE243="Aussen","Aussen","-"))</f>
        <v>LIFT</v>
      </c>
      <c r="CG243" s="59" t="n">
        <f aca="false">IF(N(AB243)&gt;0,AB243,0)</f>
        <v>0</v>
      </c>
      <c r="CH243" s="53" t="n">
        <f aca="false">IF(ISNUMBER(AE243),1,0)</f>
        <v>0</v>
      </c>
      <c r="CI243" s="50" t="n">
        <f aca="false">N(AE243)</f>
        <v>0</v>
      </c>
      <c r="CJ243" s="50" t="n">
        <f aca="false">N(M243)+N(N243)</f>
        <v>1</v>
      </c>
      <c r="CK243" s="50" t="n">
        <f aca="false">N(M243)</f>
        <v>0</v>
      </c>
      <c r="CL243" s="50" t="n">
        <f aca="false">N(N243)</f>
        <v>1</v>
      </c>
      <c r="CM243" s="50" t="n">
        <f aca="false">ROUNDUP(H243/BY243,0)</f>
        <v>1</v>
      </c>
      <c r="CN243" s="50" t="n">
        <f aca="false">ROUNDUP(CI243/BY243,0)</f>
        <v>0</v>
      </c>
      <c r="CO243" s="53" t="n">
        <f aca="false">IF(BZ243=1,0,IFERROR(VLOOKUP(BX243,'Gebinde-Kategorie'!$A$5:$N$45,5,0)+0,0))</f>
        <v>31</v>
      </c>
      <c r="CP243" s="53" t="n">
        <f aca="false">IFERROR(IF(OR(CE243=1,CE243=2,CE243=3),N(INDEX(Parameter!$I$5:$I$7,CE243)),0),0)</f>
        <v>0</v>
      </c>
      <c r="CQ243" s="52" t="n">
        <f aca="false">IF(AND(Parameter!$B$21="Ja",ISNUMBER(W243),N(X243)&gt;0),IFERROR(N(INDEX(Parameter!$L$5:$L$7,W243))*INDEX(Parameter!$E$5:$E$7,W243)*X243/SUMIFS($X$7:$X$1843,$W$7:$W$1843,W243),0),0)</f>
        <v>0</v>
      </c>
    </row>
    <row r="244" customFormat="false" ht="15" hidden="false" customHeight="false" outlineLevel="0" collapsed="false">
      <c r="A244" s="48" t="s">
        <v>683</v>
      </c>
      <c r="B244" s="48" t="s">
        <v>477</v>
      </c>
      <c r="C244" s="48" t="s">
        <v>173</v>
      </c>
      <c r="D244" s="48" t="s">
        <v>193</v>
      </c>
      <c r="E244" s="48" t="s">
        <v>194</v>
      </c>
      <c r="F244" s="48" t="s">
        <v>227</v>
      </c>
      <c r="G244" s="49" t="n">
        <v>0.81</v>
      </c>
      <c r="H244" s="50" t="n">
        <f aca="false">MAX(0,IF(AND(Parameter!$B$21="Ja",ISNUMBER(Y244)),Y244,IF(Parameter!$B$20="Jahresanfang 2025 + Export",BR244+BQ244,BQ244)))</f>
        <v>1034</v>
      </c>
      <c r="I244" s="50" t="n">
        <f aca="false">H244*G244</f>
        <v>837.54</v>
      </c>
      <c r="J244" s="50" t="n">
        <f aca="false">BT244*Parameter!$B$18</f>
        <v>1638</v>
      </c>
      <c r="K244" s="51" t="n">
        <v>432.5</v>
      </c>
      <c r="L244" s="52" t="n">
        <v>3.78728323699422</v>
      </c>
      <c r="M244" s="50" t="n">
        <v>63</v>
      </c>
      <c r="N244" s="50" t="n">
        <v>1640</v>
      </c>
      <c r="O244" s="53" t="n">
        <v>14</v>
      </c>
      <c r="P244" s="48" t="s">
        <v>311</v>
      </c>
      <c r="Q244" s="50" t="n">
        <v>961</v>
      </c>
      <c r="R244" s="53" t="n">
        <f aca="false">IF(BZ244=1,0,IFERROR(VLOOKUP(BX244,'Gebinde-Kategorie'!$A$5:$N$45,13,0)+0,0))</f>
        <v>26</v>
      </c>
      <c r="S244" s="54"/>
      <c r="T244" s="55"/>
      <c r="U244" s="55"/>
      <c r="V244" s="55"/>
      <c r="W244" s="48"/>
      <c r="X244" s="50"/>
      <c r="Y244" s="50"/>
      <c r="Z244" s="48" t="n">
        <f aca="false">IF(A244="","",IF(AND(Parameter!$B$21="Ja",ISNUMBER(W244)),W244,IF(CC244="2+3",IF(ISNUMBER(SEARCH("grosser Artikel",BU244)),2,IFERROR(VLOOKUP(BX244,Parameter!$F$35:$G$64,2,0),2)),IF(OR(CC244="Nein",CC244=""),"-",CC244))))</f>
        <v>3</v>
      </c>
      <c r="AA244" s="55"/>
      <c r="AB244" s="56"/>
      <c r="AC244" s="50" t="n">
        <f aca="false">AV244</f>
        <v>1703</v>
      </c>
      <c r="AD244" s="50" t="n">
        <f aca="false">MAX(AV244,H244)</f>
        <v>1703</v>
      </c>
      <c r="AE244" s="57"/>
      <c r="AF244" s="50" t="n">
        <f aca="false">IF(LEFT(Cockpit!$C$5,1)="A",H244,IF(Parameter!$E$30="MAX-Bestand",IF(CH244=1,CI244,IF(LEFT(Cockpit!$C$5,1)="B",AL244,MAX(AL244,H244))),ROUNDUP(AJ244,0)))</f>
        <v>1034</v>
      </c>
      <c r="AG244" s="50" t="n">
        <f aca="false">IF(BZ244=1,0,ROUNDUP(AF244/BY244,0))</f>
        <v>2</v>
      </c>
      <c r="AH244" s="52" t="n">
        <f aca="false">IF(CQ244&gt;0,CQ244*MAX(1,AF244/X244),IF(BZ244=1,IF(AF244&lt;=0,0,CD244*MAX(1,IF(H244&gt;0,AF244/H244,1))),IF(R244&gt;0,AG244/R244,0))/MAX(0.1,N(Parameter!$M$21)))</f>
        <v>0.0769230769230769</v>
      </c>
      <c r="AI244" s="50" t="n">
        <f aca="false">AH244*CB244</f>
        <v>11.9230769230769</v>
      </c>
      <c r="AJ244" s="51" t="n">
        <f aca="false">IF(LEFT(Cockpit!$C$5,1)="A",H244,IF(CH244=1,(CK244+CI244)/2,IF(LEFT(Cockpit!$C$5,1)="B",(CK244+AL244)/2,MAX((CK244+AL244)/2,H244))))</f>
        <v>1034</v>
      </c>
      <c r="AK244" s="50" t="n">
        <f aca="false">AJ244*G244</f>
        <v>837.54</v>
      </c>
      <c r="AL244" s="50" t="n">
        <f aca="false">ROUNDUP(CK244+MAX(CL244,2*(J244/IF(CG244&gt;0,CG244,MAX(0.1,N(Cockpit!$C$6)))-CK244)),0)</f>
        <v>1703</v>
      </c>
      <c r="AM244" s="51" t="n">
        <f aca="false">IF(AI244&gt;0,J244/AI244,-1)</f>
        <v>137.38064516129</v>
      </c>
      <c r="AN244" s="51" t="n">
        <f aca="false">IF(AND(OR(CF244="L1",CF244="L23",CF244="LIFT"),AI244&gt;0),SUMIFS($AI$7:$AI$1843,$CF$7:$CF$1843,CF244,$AM$7:$AM$1843,"&gt;"&amp;AM244)+SUMIFS($AI$7:$AI$1843,$CF$7:$CF$1843,CF244,$AM$7:$AM$1843,AM244,$BW$7:$BW$1843,"&lt;="&amp;BW244),"")</f>
        <v>533.170787545788</v>
      </c>
      <c r="AO244" s="58" t="n">
        <f aca="false">IF(AN244="",0,MAX(0,MIN(1,(IF(CF244="L1",Parameter!$H$5,IF(CF244="L23",Parameter!$H$6+Parameter!$H$7,Parameter!$H$5+Parameter!$H$6+Parameter!$H$7))-(AN244-AI244))/AI244)))</f>
        <v>1</v>
      </c>
      <c r="AP244" s="50" t="n">
        <f aca="false">IF(LEFT(Cockpit!$I$5,1)="A",H244,IF(Parameter!$E$30="MAX-Bestand",IF(CH244=1,CI244,IF(LEFT(Cockpit!$I$5,1)="B",AV244,MAX(AV244,H244))),ROUNDUP(AT244,0)))</f>
        <v>1034</v>
      </c>
      <c r="AQ244" s="50" t="n">
        <f aca="false">IF(BZ244=1,0,ROUNDUP(AP244/BY244,0))</f>
        <v>2</v>
      </c>
      <c r="AR244" s="52" t="n">
        <f aca="false">IF(CQ244&gt;0,CQ244*MAX(1,AP244/X244),IF(BZ244=1,IF(AP244&lt;=0,0,CD244*MAX(1,IF(H244&gt;0,AP244/H244,1))),IF(R244&gt;0,AQ244/R244,0))/MAX(0.1,N(Parameter!$M$21)))</f>
        <v>0.0769230769230769</v>
      </c>
      <c r="AS244" s="50" t="n">
        <f aca="false">AR244*CB244</f>
        <v>11.9230769230769</v>
      </c>
      <c r="AT244" s="51" t="n">
        <f aca="false">IF(LEFT(Cockpit!$I$5,1)="A",H244,IF(CH244=1,(CK244+CI244)/2,IF(LEFT(Cockpit!$I$5,1)="B",(CK244+AV244)/2,MAX((CK244+AV244)/2,H244))))</f>
        <v>1034</v>
      </c>
      <c r="AU244" s="50" t="n">
        <f aca="false">AT244*G244</f>
        <v>837.54</v>
      </c>
      <c r="AV244" s="50" t="n">
        <f aca="false">ROUNDUP(CK244+MAX(CL244,2*(J244/IF(CG244&gt;0,CG244,MAX(0.1,N(Cockpit!$I$6)))-CK244)),0)</f>
        <v>1703</v>
      </c>
      <c r="AW244" s="51" t="n">
        <f aca="false">IF(AS244&gt;0,J244/AS244,-1)</f>
        <v>137.38064516129</v>
      </c>
      <c r="AX244" s="51" t="n">
        <f aca="false">IF(AND(OR(CF244="L1",CF244="L23",CF244="LIFT"),AS244&gt;0),SUMIFS($AS$7:$AS$1843,$CF$7:$CF$1843,CF244,$AW$7:$AW$1843,"&gt;"&amp;AW244)+SUMIFS($AS$7:$AS$1843,$CF$7:$CF$1843,CF244,$AW$7:$AW$1843,AW244,$BW$7:$BW$1843,"&lt;="&amp;BW244),"")</f>
        <v>650.807692307692</v>
      </c>
      <c r="AY244" s="58" t="n">
        <f aca="false">IF(AX244="",0,MAX(0,MIN(1,(IF(CF244="L1",Parameter!$H$5,IF(CF244="L23",Parameter!$H$6+Parameter!$H$7,Parameter!$H$5+Parameter!$H$6+Parameter!$H$7))-(AX244-AS244))/AS244)))</f>
        <v>1</v>
      </c>
      <c r="AZ244" s="50" t="n">
        <f aca="false">IF(LEFT(Cockpit!$O$5,1)="A",H244,IF(Parameter!$E$30="MAX-Bestand",IF(CH244=1,CI244,IF(LEFT(Cockpit!$O$5,1)="B",BF244,MAX(BF244,H244))),ROUNDUP(BD244,0)))</f>
        <v>883</v>
      </c>
      <c r="BA244" s="50" t="n">
        <f aca="false">IF(BZ244=1,0,ROUNDUP(AZ244/BY244,0))</f>
        <v>1</v>
      </c>
      <c r="BB244" s="52" t="n">
        <f aca="false">IF(CQ244&gt;0,CQ244*MAX(1,AZ244/X244),IF(BZ244=1,IF(AZ244&lt;=0,0,CD244*MAX(1,IF(H244&gt;0,AZ244/H244,1))),IF(R244&gt;0,BA244/R244,0))/MAX(0.1,N(Parameter!$M$21)))</f>
        <v>0.0384615384615385</v>
      </c>
      <c r="BC244" s="50" t="n">
        <f aca="false">BB244*CB244</f>
        <v>5.96153846153846</v>
      </c>
      <c r="BD244" s="51" t="n">
        <f aca="false">IF(LEFT(Cockpit!$O$5,1)="A",H244,IF(CH244=1,(CK244+CI244)/2,IF(LEFT(Cockpit!$O$5,1)="B",(CK244+BF244)/2,MAX((CK244+BF244)/2,H244))))</f>
        <v>883</v>
      </c>
      <c r="BE244" s="50" t="n">
        <f aca="false">BD244*G244</f>
        <v>715.23</v>
      </c>
      <c r="BF244" s="50" t="n">
        <f aca="false">ROUNDUP(CK244+MAX(CL244,2*(J244/IF(CG244&gt;0,CG244,MAX(0.1,N(Cockpit!$O$6)))-CK244)),0)</f>
        <v>1703</v>
      </c>
      <c r="BG244" s="51" t="n">
        <f aca="false">IF(BC244&gt;0,J244/BC244,-1)</f>
        <v>274.761290322581</v>
      </c>
      <c r="BH244" s="51" t="n">
        <f aca="false">IF(AND(OR(CF244="L1",CF244="L23",CF244="LIFT"),BC244&gt;0),SUMIFS($BC$7:$BC$1843,$CF$7:$CF$1843,CF244,$BG$7:$BG$1843,"&gt;"&amp;BG244)+SUMIFS($BC$7:$BC$1843,$CF$7:$CF$1843,CF244,$BG$7:$BG$1843,BG244,$BW$7:$BW$1843,"&lt;="&amp;BW244),"")</f>
        <v>269.931776556777</v>
      </c>
      <c r="BI244" s="58" t="n">
        <f aca="false">IF(BH244="",0,MAX(0,MIN(1,(IF(CF244="L1",Parameter!$H$5,IF(CF244="L23",Parameter!$H$6+Parameter!$H$7,Parameter!$H$5+Parameter!$H$6+Parameter!$H$7))-(BH244-BC244))/BC244)))</f>
        <v>1</v>
      </c>
      <c r="BJ244" s="48" t="str">
        <f aca="false">IF(AI244&lt;=0,"",IF(CF244="Aussen","Aussenlager",IF(CF244="-","Nicht im Lift",IF(AO244&gt;=1,"Lift",IF(AO244&lt;=0,"Aussenlager","teilweise")))))</f>
        <v>Lift</v>
      </c>
      <c r="BK244" s="48" t="str">
        <f aca="false">IF(AS244&lt;=0,"",IF(CF244="Aussen","Aussenlager",IF(CF244="-","Nicht im Lift",IF(AY244&gt;=1,"Lift",IF(AY244&lt;=0,"Aussenlager","teilweise")))))</f>
        <v>Lift</v>
      </c>
      <c r="BL244" s="48" t="str">
        <f aca="false">IF(BC244&lt;=0,"",IF(CF244="Aussen","Aussenlager",IF(CF244="-","Nicht im Lift",IF(BI244&gt;=1,"Lift",IF(BI244&lt;=0,"Aussenlager","teilweise")))))</f>
        <v>Lift</v>
      </c>
      <c r="BM244" s="48" t="str">
        <f aca="false">IF(A244="","",IF(BV244=1,"Neu; ","")&amp;IF(AND(BV244=0,BQ244&lt;0),"negativer Bestand (Export "&amp;BQ244&amp;"); ","")&amp;IF(J244&lt;=0,"Kein Verbrauch; ","")&amp;IF(CQ244&gt;0,"Lift "&amp;W244&amp;" lt. Liftbericht (Fach "&amp;X244&amp;" Stk); ",IF(CA244=1,"Gebinde geschätzt ("&amp;T244&amp;"); ",IF(BZ244=1,"Lose – Tablare geschätzt; ","")))&amp;IF(H244&gt;AV244,"Überbestand "&amp;ROUND(H244-AV244,0)&amp;" Stk / CHF "&amp;ROUND((H244-AV244)*G244,0)&amp;"; ","")&amp;IF(AND(CH244=1,CI244&lt;CJ244),"MAX &lt; MB+LG; ","")&amp;IF(AND(CP244&gt;0,CO244*10&gt;CP244),"zu hoch für Tablar; ","")&amp;IF(AND(BV244=0,OR(CH244=1,AA244&lt;&gt;"",U244&lt;&gt;"",V244&lt;&gt;"",AB244&lt;&gt;"")),"manuell übersteuert; ","")&amp;IF(AND(BZ244=0,R244=0),"Gebinde unbekannt / Stellmass fehlt; ","")&amp;IF(AND(BZ244=0,N(V244)&lt;=0,N(Q244)&lt;=0),"Menge pro Gebinde fehlt (Ist = 1 Gebinde); ","")&amp;BU244)</f>
        <v/>
      </c>
      <c r="BN244" s="48"/>
      <c r="BO244" s="48"/>
      <c r="BP244" s="55"/>
      <c r="BQ244" s="50" t="n">
        <v>663</v>
      </c>
      <c r="BR244" s="50" t="n">
        <v>371</v>
      </c>
      <c r="BS244" s="49" t="n">
        <v>540.659999999999</v>
      </c>
      <c r="BT244" s="50" t="n">
        <v>1638</v>
      </c>
      <c r="BU244" s="48"/>
      <c r="BV244" s="53" t="n">
        <v>0</v>
      </c>
      <c r="BW244" s="53" t="n">
        <v>244</v>
      </c>
      <c r="BX244" s="48" t="str">
        <f aca="false">IF(U244&lt;&gt;"",UPPER(TRIM(U244)),IF(CA244=1,UPPER(VLOOKUP(T244,Parameter!$I$27:$K$29,2,0)),IF(P244="","LOSE",P244)))</f>
        <v>S51</v>
      </c>
      <c r="BY244" s="50" t="n">
        <f aca="false">IF(BX244="LOSE",1,IF(N(V244)&gt;0,V244,IF(CA244=1,MAX(1,N(VLOOKUP(T244,Parameter!$I$27:$K$29,3,0)),H244,N(N244)),IF(N(Q244)&gt;0,Q244,MAX(1,H244)))))</f>
        <v>961</v>
      </c>
      <c r="BZ244" s="53" t="n">
        <f aca="false">IF(BX244="LOSE",1,0)</f>
        <v>0</v>
      </c>
      <c r="CA244" s="53" t="n">
        <f aca="false">IF(AND(U244="",OR(P244="",P244="LOSE"),T244&lt;&gt;"",N(S244)&lt;=0,ISNUMBER(MATCH(T244,Parameter!$I$27:$I$29,0))),1,0)</f>
        <v>0</v>
      </c>
      <c r="CB244" s="53" t="n">
        <f aca="false">IF(CQ244&gt;0,INDEX(Parameter!$H$5:$H$7,W244)/INDEX(Parameter!$E$5:$E$7,W244),IF(AND(BZ244=0,N(IFERROR(VLOOKUP(BX244,'Gebinde-Kategorie'!$A$5:$N$45,14,0),0))&gt;0),VLOOKUP(BX244,'Gebinde-Kategorie'!$A$5:$N$45,14,0)*10+Parameter!$M$23,Parameter!$M$24))</f>
        <v>155</v>
      </c>
      <c r="CC244" s="48" t="str">
        <f aca="false">IF(AND(Parameter!$B$19="Ja",E244&lt;&gt;"",ISNUMBER(MATCH(E244,Parameter!$I$35:$I$52,0))),VLOOKUP(E244,Parameter!$I$35:$J$52,2,0),IFERROR(VLOOKUP(D244,Parameter!$A$35:$C$64,2,0),"Nein"))</f>
        <v>2+3</v>
      </c>
      <c r="CD244" s="52" t="n">
        <f aca="false">IF(BZ244=0,0,IF(N(S244)&gt;0,S244,IFERROR(VLOOKUP(D244,Parameter!$A$35:$C$64,3,0)+0,0)))</f>
        <v>0</v>
      </c>
      <c r="CE244" s="48" t="n">
        <f aca="false">IF(AA244&lt;&gt;"",AA244,Z244)</f>
        <v>3</v>
      </c>
      <c r="CF244" s="48" t="str">
        <f aca="false">IF(OR(CE244=1,CE244=2,CE244=3),IF(Parameter!$E$27="Ja","LIFT",IF(CE244=1,"L1","L23")),IF(CE244="Aussen","Aussen","-"))</f>
        <v>LIFT</v>
      </c>
      <c r="CG244" s="59" t="n">
        <f aca="false">IF(N(AB244)&gt;0,AB244,0)</f>
        <v>0</v>
      </c>
      <c r="CH244" s="53" t="n">
        <f aca="false">IF(ISNUMBER(AE244),1,0)</f>
        <v>0</v>
      </c>
      <c r="CI244" s="50" t="n">
        <f aca="false">N(AE244)</f>
        <v>0</v>
      </c>
      <c r="CJ244" s="50" t="n">
        <f aca="false">N(M244)+N(N244)</f>
        <v>1703</v>
      </c>
      <c r="CK244" s="50" t="n">
        <f aca="false">N(M244)</f>
        <v>63</v>
      </c>
      <c r="CL244" s="50" t="n">
        <f aca="false">N(N244)</f>
        <v>1640</v>
      </c>
      <c r="CM244" s="50" t="n">
        <f aca="false">ROUNDUP(H244/BY244,0)</f>
        <v>2</v>
      </c>
      <c r="CN244" s="50" t="n">
        <f aca="false">ROUNDUP(CI244/BY244,0)</f>
        <v>0</v>
      </c>
      <c r="CO244" s="53" t="n">
        <f aca="false">IF(BZ244=1,0,IFERROR(VLOOKUP(BX244,'Gebinde-Kategorie'!$A$5:$N$45,5,0)+0,0))</f>
        <v>11</v>
      </c>
      <c r="CP244" s="53" t="n">
        <f aca="false">IFERROR(IF(OR(CE244=1,CE244=2,CE244=3),N(INDEX(Parameter!$I$5:$I$7,CE244)),0),0)</f>
        <v>0</v>
      </c>
      <c r="CQ244" s="52" t="n">
        <f aca="false">IF(AND(Parameter!$B$21="Ja",ISNUMBER(W244),N(X244)&gt;0),IFERROR(N(INDEX(Parameter!$L$5:$L$7,W244))*INDEX(Parameter!$E$5:$E$7,W244)*X244/SUMIFS($X$7:$X$1843,$W$7:$W$1843,W244),0),0)</f>
        <v>0</v>
      </c>
    </row>
    <row r="245" customFormat="false" ht="15" hidden="false" customHeight="false" outlineLevel="0" collapsed="false">
      <c r="A245" s="48" t="s">
        <v>684</v>
      </c>
      <c r="B245" s="48" t="s">
        <v>685</v>
      </c>
      <c r="C245" s="48" t="s">
        <v>173</v>
      </c>
      <c r="D245" s="48" t="s">
        <v>193</v>
      </c>
      <c r="E245" s="48"/>
      <c r="F245" s="48" t="s">
        <v>227</v>
      </c>
      <c r="G245" s="49" t="n">
        <v>44.7</v>
      </c>
      <c r="H245" s="50" t="n">
        <f aca="false">MAX(0,IF(AND(Parameter!$B$21="Ja",ISNUMBER(Y245)),Y245,IF(Parameter!$B$20="Jahresanfang 2025 + Export",BR245+BQ245,BQ245)))</f>
        <v>65</v>
      </c>
      <c r="I245" s="50" t="n">
        <f aca="false">H245*G245</f>
        <v>2905.5</v>
      </c>
      <c r="J245" s="50" t="n">
        <f aca="false">BT245*Parameter!$B$18</f>
        <v>1</v>
      </c>
      <c r="K245" s="51" t="n">
        <v>49</v>
      </c>
      <c r="L245" s="52" t="n">
        <v>0.0204081632653061</v>
      </c>
      <c r="M245" s="50" t="n">
        <v>0</v>
      </c>
      <c r="N245" s="50" t="n">
        <v>1</v>
      </c>
      <c r="O245" s="53" t="n">
        <v>63</v>
      </c>
      <c r="P245" s="48" t="s">
        <v>302</v>
      </c>
      <c r="Q245" s="50" t="n">
        <v>50</v>
      </c>
      <c r="R245" s="53" t="n">
        <f aca="false">IF(BZ245=1,0,IFERROR(VLOOKUP(BX245,'Gebinde-Kategorie'!$A$5:$N$45,13,0)+0,0))</f>
        <v>12</v>
      </c>
      <c r="S245" s="54"/>
      <c r="T245" s="55"/>
      <c r="U245" s="55"/>
      <c r="V245" s="55"/>
      <c r="W245" s="48"/>
      <c r="X245" s="50"/>
      <c r="Y245" s="50"/>
      <c r="Z245" s="48" t="n">
        <f aca="false">IF(A245="","",IF(AND(Parameter!$B$21="Ja",ISNUMBER(W245)),W245,IF(CC245="2+3",IF(ISNUMBER(SEARCH("grosser Artikel",BU245)),2,IFERROR(VLOOKUP(BX245,Parameter!$F$35:$G$64,2,0),2)),IF(OR(CC245="Nein",CC245=""),"-",CC245))))</f>
        <v>2</v>
      </c>
      <c r="AA245" s="55"/>
      <c r="AB245" s="56"/>
      <c r="AC245" s="50" t="n">
        <f aca="false">AV245</f>
        <v>1</v>
      </c>
      <c r="AD245" s="50" t="n">
        <f aca="false">MAX(AV245,H245)</f>
        <v>65</v>
      </c>
      <c r="AE245" s="57"/>
      <c r="AF245" s="50" t="n">
        <f aca="false">IF(LEFT(Cockpit!$C$5,1)="A",H245,IF(Parameter!$E$30="MAX-Bestand",IF(CH245=1,CI245,IF(LEFT(Cockpit!$C$5,1)="B",AL245,MAX(AL245,H245))),ROUNDUP(AJ245,0)))</f>
        <v>65</v>
      </c>
      <c r="AG245" s="50" t="n">
        <f aca="false">IF(BZ245=1,0,ROUNDUP(AF245/BY245,0))</f>
        <v>2</v>
      </c>
      <c r="AH245" s="52" t="n">
        <f aca="false">IF(CQ245&gt;0,CQ245*MAX(1,AF245/X245),IF(BZ245=1,IF(AF245&lt;=0,0,CD245*MAX(1,IF(H245&gt;0,AF245/H245,1))),IF(R245&gt;0,AG245/R245,0))/MAX(0.1,N(Parameter!$M$21)))</f>
        <v>0.166666666666667</v>
      </c>
      <c r="AI245" s="50" t="n">
        <f aca="false">AH245*CB245</f>
        <v>40.8333333333333</v>
      </c>
      <c r="AJ245" s="51" t="n">
        <f aca="false">IF(LEFT(Cockpit!$C$5,1)="A",H245,IF(CH245=1,(CK245+CI245)/2,IF(LEFT(Cockpit!$C$5,1)="B",(CK245+AL245)/2,MAX((CK245+AL245)/2,H245))))</f>
        <v>65</v>
      </c>
      <c r="AK245" s="50" t="n">
        <f aca="false">AJ245*G245</f>
        <v>2905.5</v>
      </c>
      <c r="AL245" s="50" t="n">
        <f aca="false">ROUNDUP(CK245+MAX(CL245,2*(J245/IF(CG245&gt;0,CG245,MAX(0.1,N(Cockpit!$C$6)))-CK245)),0)</f>
        <v>1</v>
      </c>
      <c r="AM245" s="51" t="n">
        <f aca="false">IF(AI245&gt;0,J245/AI245,-1)</f>
        <v>0.0244897959183674</v>
      </c>
      <c r="AN245" s="51" t="n">
        <f aca="false">IF(AND(OR(CF245="L1",CF245="L23",CF245="LIFT"),AI245&gt;0),SUMIFS($AI$7:$AI$1843,$CF$7:$CF$1843,CF245,$AM$7:$AM$1843,"&gt;"&amp;AM245)+SUMIFS($AI$7:$AI$1843,$CF$7:$CF$1843,CF245,$AM$7:$AM$1843,AM245,$BW$7:$BW$1843,"&lt;="&amp;BW245),"")</f>
        <v>22044.6104048964</v>
      </c>
      <c r="AO245" s="58" t="n">
        <f aca="false">IF(AN245="",0,MAX(0,MIN(1,(IF(CF245="L1",Parameter!$H$5,IF(CF245="L23",Parameter!$H$6+Parameter!$H$7,Parameter!$H$5+Parameter!$H$6+Parameter!$H$7))-(AN245-AI245))/AI245)))</f>
        <v>1</v>
      </c>
      <c r="AP245" s="50" t="n">
        <f aca="false">IF(LEFT(Cockpit!$I$5,1)="A",H245,IF(Parameter!$E$30="MAX-Bestand",IF(CH245=1,CI245,IF(LEFT(Cockpit!$I$5,1)="B",AV245,MAX(AV245,H245))),ROUNDUP(AT245,0)))</f>
        <v>65</v>
      </c>
      <c r="AQ245" s="50" t="n">
        <f aca="false">IF(BZ245=1,0,ROUNDUP(AP245/BY245,0))</f>
        <v>2</v>
      </c>
      <c r="AR245" s="52" t="n">
        <f aca="false">IF(CQ245&gt;0,CQ245*MAX(1,AP245/X245),IF(BZ245=1,IF(AP245&lt;=0,0,CD245*MAX(1,IF(H245&gt;0,AP245/H245,1))),IF(R245&gt;0,AQ245/R245,0))/MAX(0.1,N(Parameter!$M$21)))</f>
        <v>0.166666666666667</v>
      </c>
      <c r="AS245" s="50" t="n">
        <f aca="false">AR245*CB245</f>
        <v>40.8333333333333</v>
      </c>
      <c r="AT245" s="51" t="n">
        <f aca="false">IF(LEFT(Cockpit!$I$5,1)="A",H245,IF(CH245=1,(CK245+CI245)/2,IF(LEFT(Cockpit!$I$5,1)="B",(CK245+AV245)/2,MAX((CK245+AV245)/2,H245))))</f>
        <v>65</v>
      </c>
      <c r="AU245" s="50" t="n">
        <f aca="false">AT245*G245</f>
        <v>2905.5</v>
      </c>
      <c r="AV245" s="50" t="n">
        <f aca="false">ROUNDUP(CK245+MAX(CL245,2*(J245/IF(CG245&gt;0,CG245,MAX(0.1,N(Cockpit!$I$6)))-CK245)),0)</f>
        <v>1</v>
      </c>
      <c r="AW245" s="51" t="n">
        <f aca="false">IF(AS245&gt;0,J245/AS245,-1)</f>
        <v>0.0244897959183674</v>
      </c>
      <c r="AX245" s="51" t="n">
        <f aca="false">IF(AND(OR(CF245="L1",CF245="L23",CF245="LIFT"),AS245&gt;0),SUMIFS($AS$7:$AS$1843,$CF$7:$CF$1843,CF245,$AW$7:$AW$1843,"&gt;"&amp;AW245)+SUMIFS($AS$7:$AS$1843,$CF$7:$CF$1843,CF245,$AW$7:$AW$1843,AW245,$BW$7:$BW$1843,"&lt;="&amp;BW245),"")</f>
        <v>27280.2590462739</v>
      </c>
      <c r="AY245" s="58" t="n">
        <f aca="false">IF(AX245="",0,MAX(0,MIN(1,(IF(CF245="L1",Parameter!$H$5,IF(CF245="L23",Parameter!$H$6+Parameter!$H$7,Parameter!$H$5+Parameter!$H$6+Parameter!$H$7))-(AX245-AS245))/AS245)))</f>
        <v>1</v>
      </c>
      <c r="AZ245" s="50" t="n">
        <f aca="false">IF(LEFT(Cockpit!$O$5,1)="A",H245,IF(Parameter!$E$30="MAX-Bestand",IF(CH245=1,CI245,IF(LEFT(Cockpit!$O$5,1)="B",BF245,MAX(BF245,H245))),ROUNDUP(BD245,0)))</f>
        <v>1</v>
      </c>
      <c r="BA245" s="50" t="n">
        <f aca="false">IF(BZ245=1,0,ROUNDUP(AZ245/BY245,0))</f>
        <v>1</v>
      </c>
      <c r="BB245" s="52" t="n">
        <f aca="false">IF(CQ245&gt;0,CQ245*MAX(1,AZ245/X245),IF(BZ245=1,IF(AZ245&lt;=0,0,CD245*MAX(1,IF(H245&gt;0,AZ245/H245,1))),IF(R245&gt;0,BA245/R245,0))/MAX(0.1,N(Parameter!$M$21)))</f>
        <v>0.0833333333333333</v>
      </c>
      <c r="BC245" s="50" t="n">
        <f aca="false">BB245*CB245</f>
        <v>20.4166666666667</v>
      </c>
      <c r="BD245" s="51" t="n">
        <f aca="false">IF(LEFT(Cockpit!$O$5,1)="A",H245,IF(CH245=1,(CK245+CI245)/2,IF(LEFT(Cockpit!$O$5,1)="B",(CK245+BF245)/2,MAX((CK245+BF245)/2,H245))))</f>
        <v>0.5</v>
      </c>
      <c r="BE245" s="50" t="n">
        <f aca="false">BD245*G245</f>
        <v>22.35</v>
      </c>
      <c r="BF245" s="50" t="n">
        <f aca="false">ROUNDUP(CK245+MAX(CL245,2*(J245/IF(CG245&gt;0,CG245,MAX(0.1,N(Cockpit!$O$6)))-CK245)),0)</f>
        <v>1</v>
      </c>
      <c r="BG245" s="51" t="n">
        <f aca="false">IF(BC245&gt;0,J245/BC245,-1)</f>
        <v>0.0489795918367347</v>
      </c>
      <c r="BH245" s="51" t="n">
        <f aca="false">IF(AND(OR(CF245="L1",CF245="L23",CF245="LIFT"),BC245&gt;0),SUMIFS($BC$7:$BC$1843,$CF$7:$CF$1843,CF245,$BG$7:$BG$1843,"&gt;"&amp;BG245)+SUMIFS($BC$7:$BC$1843,$CF$7:$CF$1843,CF245,$BG$7:$BG$1843,BG245,$BW$7:$BW$1843,"&lt;="&amp;BW245),"")</f>
        <v>20353.5044778668</v>
      </c>
      <c r="BI245" s="58" t="n">
        <f aca="false">IF(BH245="",0,MAX(0,MIN(1,(IF(CF245="L1",Parameter!$H$5,IF(CF245="L23",Parameter!$H$6+Parameter!$H$7,Parameter!$H$5+Parameter!$H$6+Parameter!$H$7))-(BH245-BC245))/BC245)))</f>
        <v>1</v>
      </c>
      <c r="BJ245" s="48" t="str">
        <f aca="false">IF(AI245&lt;=0,"",IF(CF245="Aussen","Aussenlager",IF(CF245="-","Nicht im Lift",IF(AO245&gt;=1,"Lift",IF(AO245&lt;=0,"Aussenlager","teilweise")))))</f>
        <v>Lift</v>
      </c>
      <c r="BK245" s="48" t="str">
        <f aca="false">IF(AS245&lt;=0,"",IF(CF245="Aussen","Aussenlager",IF(CF245="-","Nicht im Lift",IF(AY245&gt;=1,"Lift",IF(AY245&lt;=0,"Aussenlager","teilweise")))))</f>
        <v>Lift</v>
      </c>
      <c r="BL245" s="48" t="str">
        <f aca="false">IF(BC245&lt;=0,"",IF(CF245="Aussen","Aussenlager",IF(CF245="-","Nicht im Lift",IF(BI245&gt;=1,"Lift",IF(BI245&lt;=0,"Aussenlager","teilweise")))))</f>
        <v>Lift</v>
      </c>
      <c r="BM245" s="48" t="str">
        <f aca="false">IF(A245="","",IF(BV245=1,"Neu; ","")&amp;IF(AND(BV245=0,BQ245&lt;0),"negativer Bestand (Export "&amp;BQ245&amp;"); ","")&amp;IF(J245&lt;=0,"Kein Verbrauch; ","")&amp;IF(CQ245&gt;0,"Lift "&amp;W245&amp;" lt. Liftbericht (Fach "&amp;X245&amp;" Stk); ",IF(CA245=1,"Gebinde geschätzt ("&amp;T245&amp;"); ",IF(BZ245=1,"Lose – Tablare geschätzt; ","")))&amp;IF(H245&gt;AV245,"Überbestand "&amp;ROUND(H245-AV245,0)&amp;" Stk / CHF "&amp;ROUND((H245-AV245)*G245,0)&amp;"; ","")&amp;IF(AND(CH245=1,CI245&lt;CJ245),"MAX &lt; MB+LG; ","")&amp;IF(AND(CP245&gt;0,CO245*10&gt;CP245),"zu hoch für Tablar; ","")&amp;IF(AND(BV245=0,OR(CH245=1,AA245&lt;&gt;"",U245&lt;&gt;"",V245&lt;&gt;"",AB245&lt;&gt;"")),"manuell übersteuert; ","")&amp;IF(AND(BZ245=0,R245=0),"Gebinde unbekannt / Stellmass fehlt; ","")&amp;IF(AND(BZ245=0,N(V245)&lt;=0,N(Q245)&lt;=0),"Menge pro Gebinde fehlt (Ist = 1 Gebinde); ","")&amp;BU245)</f>
        <v>Überbestand 64 Stk / CHF 2861; </v>
      </c>
      <c r="BN245" s="48"/>
      <c r="BO245" s="48"/>
      <c r="BP245" s="55"/>
      <c r="BQ245" s="50" t="n">
        <v>16</v>
      </c>
      <c r="BR245" s="50" t="n">
        <v>49</v>
      </c>
      <c r="BS245" s="49" t="n">
        <v>529.74</v>
      </c>
      <c r="BT245" s="50" t="n">
        <v>1</v>
      </c>
      <c r="BU245" s="48"/>
      <c r="BV245" s="53" t="n">
        <v>0</v>
      </c>
      <c r="BW245" s="53" t="n">
        <v>245</v>
      </c>
      <c r="BX245" s="48" t="str">
        <f aca="false">IF(U245&lt;&gt;"",UPPER(TRIM(U245)),IF(CA245=1,UPPER(VLOOKUP(T245,Parameter!$I$27:$K$29,2,0)),IF(P245="","LOSE",P245)))</f>
        <v>S62</v>
      </c>
      <c r="BY245" s="50" t="n">
        <f aca="false">IF(BX245="LOSE",1,IF(N(V245)&gt;0,V245,IF(CA245=1,MAX(1,N(VLOOKUP(T245,Parameter!$I$27:$K$29,3,0)),H245,N(N245)),IF(N(Q245)&gt;0,Q245,MAX(1,H245)))))</f>
        <v>50</v>
      </c>
      <c r="BZ245" s="53" t="n">
        <f aca="false">IF(BX245="LOSE",1,0)</f>
        <v>0</v>
      </c>
      <c r="CA245" s="53" t="n">
        <f aca="false">IF(AND(U245="",OR(P245="",P245="LOSE"),T245&lt;&gt;"",N(S245)&lt;=0,ISNUMBER(MATCH(T245,Parameter!$I$27:$I$29,0))),1,0)</f>
        <v>0</v>
      </c>
      <c r="CB245" s="53" t="n">
        <f aca="false">IF(CQ245&gt;0,INDEX(Parameter!$H$5:$H$7,W245)/INDEX(Parameter!$E$5:$E$7,W245),IF(AND(BZ245=0,N(IFERROR(VLOOKUP(BX245,'Gebinde-Kategorie'!$A$5:$N$45,14,0),0))&gt;0),VLOOKUP(BX245,'Gebinde-Kategorie'!$A$5:$N$45,14,0)*10+Parameter!$M$23,Parameter!$M$24))</f>
        <v>245</v>
      </c>
      <c r="CC245" s="48" t="str">
        <f aca="false">IF(AND(Parameter!$B$19="Ja",E245&lt;&gt;"",ISNUMBER(MATCH(E245,Parameter!$I$35:$I$52,0))),VLOOKUP(E245,Parameter!$I$35:$J$52,2,0),IFERROR(VLOOKUP(D245,Parameter!$A$35:$C$64,2,0),"Nein"))</f>
        <v>2+3</v>
      </c>
      <c r="CD245" s="52" t="n">
        <f aca="false">IF(BZ245=0,0,IF(N(S245)&gt;0,S245,IFERROR(VLOOKUP(D245,Parameter!$A$35:$C$64,3,0)+0,0)))</f>
        <v>0</v>
      </c>
      <c r="CE245" s="48" t="n">
        <f aca="false">IF(AA245&lt;&gt;"",AA245,Z245)</f>
        <v>2</v>
      </c>
      <c r="CF245" s="48" t="str">
        <f aca="false">IF(OR(CE245=1,CE245=2,CE245=3),IF(Parameter!$E$27="Ja","LIFT",IF(CE245=1,"L1","L23")),IF(CE245="Aussen","Aussen","-"))</f>
        <v>LIFT</v>
      </c>
      <c r="CG245" s="59" t="n">
        <f aca="false">IF(N(AB245)&gt;0,AB245,0)</f>
        <v>0</v>
      </c>
      <c r="CH245" s="53" t="n">
        <f aca="false">IF(ISNUMBER(AE245),1,0)</f>
        <v>0</v>
      </c>
      <c r="CI245" s="50" t="n">
        <f aca="false">N(AE245)</f>
        <v>0</v>
      </c>
      <c r="CJ245" s="50" t="n">
        <f aca="false">N(M245)+N(N245)</f>
        <v>1</v>
      </c>
      <c r="CK245" s="50" t="n">
        <f aca="false">N(M245)</f>
        <v>0</v>
      </c>
      <c r="CL245" s="50" t="n">
        <f aca="false">N(N245)</f>
        <v>1</v>
      </c>
      <c r="CM245" s="50" t="n">
        <f aca="false">ROUNDUP(H245/BY245,0)</f>
        <v>2</v>
      </c>
      <c r="CN245" s="50" t="n">
        <f aca="false">ROUNDUP(CI245/BY245,0)</f>
        <v>0</v>
      </c>
      <c r="CO245" s="53" t="n">
        <f aca="false">IF(BZ245=1,0,IFERROR(VLOOKUP(BX245,'Gebinde-Kategorie'!$A$5:$N$45,5,0)+0,0))</f>
        <v>21</v>
      </c>
      <c r="CP245" s="53" t="n">
        <f aca="false">IFERROR(IF(OR(CE245=1,CE245=2,CE245=3),N(INDEX(Parameter!$I$5:$I$7,CE245)),0),0)</f>
        <v>0</v>
      </c>
      <c r="CQ245" s="52" t="n">
        <f aca="false">IF(AND(Parameter!$B$21="Ja",ISNUMBER(W245),N(X245)&gt;0),IFERROR(N(INDEX(Parameter!$L$5:$L$7,W245))*INDEX(Parameter!$E$5:$E$7,W245)*X245/SUMIFS($X$7:$X$1843,$W$7:$W$1843,W245),0),0)</f>
        <v>0</v>
      </c>
    </row>
    <row r="246" customFormat="false" ht="15" hidden="false" customHeight="false" outlineLevel="0" collapsed="false">
      <c r="A246" s="48" t="s">
        <v>686</v>
      </c>
      <c r="B246" s="48" t="s">
        <v>376</v>
      </c>
      <c r="C246" s="48" t="s">
        <v>173</v>
      </c>
      <c r="D246" s="48" t="s">
        <v>182</v>
      </c>
      <c r="E246" s="48" t="s">
        <v>175</v>
      </c>
      <c r="F246" s="48" t="s">
        <v>227</v>
      </c>
      <c r="G246" s="49" t="n">
        <v>520</v>
      </c>
      <c r="H246" s="50" t="n">
        <f aca="false">MAX(0,IF(AND(Parameter!$B$21="Ja",ISNUMBER(Y246)),Y246,IF(Parameter!$B$20="Jahresanfang 2025 + Export",BR246+BQ246,BQ246)))</f>
        <v>1</v>
      </c>
      <c r="I246" s="50" t="n">
        <f aca="false">H246*G246</f>
        <v>520</v>
      </c>
      <c r="J246" s="50" t="n">
        <f aca="false">BT246*Parameter!$B$18</f>
        <v>1</v>
      </c>
      <c r="K246" s="51" t="n">
        <v>0.5</v>
      </c>
      <c r="L246" s="52" t="n">
        <v>2</v>
      </c>
      <c r="M246" s="50" t="n">
        <v>0</v>
      </c>
      <c r="N246" s="50" t="n">
        <v>1</v>
      </c>
      <c r="O246" s="53" t="n">
        <v>28</v>
      </c>
      <c r="P246" s="48" t="s">
        <v>177</v>
      </c>
      <c r="Q246" s="50"/>
      <c r="R246" s="53" t="n">
        <f aca="false">IF(BZ246=1,0,IFERROR(VLOOKUP(BX246,'Gebinde-Kategorie'!$A$5:$N$45,13,0)+0,0))</f>
        <v>0</v>
      </c>
      <c r="S246" s="54"/>
      <c r="T246" s="55"/>
      <c r="U246" s="55"/>
      <c r="V246" s="55"/>
      <c r="W246" s="48" t="n">
        <v>1</v>
      </c>
      <c r="X246" s="50" t="n">
        <v>1</v>
      </c>
      <c r="Y246" s="50" t="n">
        <v>1</v>
      </c>
      <c r="Z246" s="48" t="n">
        <f aca="false">IF(A246="","",IF(AND(Parameter!$B$21="Ja",ISNUMBER(W246)),W246,IF(CC246="2+3",IF(ISNUMBER(SEARCH("grosser Artikel",BU246)),2,IFERROR(VLOOKUP(BX246,Parameter!$F$35:$G$64,2,0),2)),IF(OR(CC246="Nein",CC246=""),"-",CC246))))</f>
        <v>1</v>
      </c>
      <c r="AA246" s="55"/>
      <c r="AB246" s="56"/>
      <c r="AC246" s="50" t="n">
        <f aca="false">AV246</f>
        <v>1</v>
      </c>
      <c r="AD246" s="50" t="n">
        <f aca="false">MAX(AV246,H246)</f>
        <v>1</v>
      </c>
      <c r="AE246" s="57"/>
      <c r="AF246" s="50" t="n">
        <f aca="false">IF(LEFT(Cockpit!$C$5,1)="A",H246,IF(Parameter!$E$30="MAX-Bestand",IF(CH246=1,CI246,IF(LEFT(Cockpit!$C$5,1)="B",AL246,MAX(AL246,H246))),ROUNDUP(AJ246,0)))</f>
        <v>1</v>
      </c>
      <c r="AG246" s="50" t="n">
        <f aca="false">IF(BZ246=1,0,ROUNDUP(AF246/BY246,0))</f>
        <v>0</v>
      </c>
      <c r="AH246" s="52" t="n">
        <f aca="false">IF(CQ246&gt;0,CQ246*MAX(1,AF246/X246),IF(BZ246=1,IF(AF246&lt;=0,0,CD246*MAX(1,IF(H246&gt;0,AF246/H246,1))),IF(R246&gt;0,AG246/R246,0))/MAX(0.1,N(Parameter!$M$21)))</f>
        <v>0.0800376647834275</v>
      </c>
      <c r="AI246" s="50" t="n">
        <f aca="false">AH246*CB246</f>
        <v>19.0489642184557</v>
      </c>
      <c r="AJ246" s="51" t="n">
        <f aca="false">IF(LEFT(Cockpit!$C$5,1)="A",H246,IF(CH246=1,(CK246+CI246)/2,IF(LEFT(Cockpit!$C$5,1)="B",(CK246+AL246)/2,MAX((CK246+AL246)/2,H246))))</f>
        <v>1</v>
      </c>
      <c r="AK246" s="50" t="n">
        <f aca="false">AJ246*G246</f>
        <v>520</v>
      </c>
      <c r="AL246" s="50" t="n">
        <f aca="false">ROUNDUP(CK246+MAX(CL246,2*(J246/IF(CG246&gt;0,CG246,MAX(0.1,N(Cockpit!$C$6)))-CK246)),0)</f>
        <v>1</v>
      </c>
      <c r="AM246" s="51" t="n">
        <f aca="false">IF(AI246&gt;0,J246/AI246,-1)</f>
        <v>0.0524962926347009</v>
      </c>
      <c r="AN246" s="51" t="n">
        <f aca="false">IF(AND(OR(CF246="L1",CF246="L23",CF246="LIFT"),AI246&gt;0),SUMIFS($AI$7:$AI$1843,$CF$7:$CF$1843,CF246,$AM$7:$AM$1843,"&gt;"&amp;AM246)+SUMIFS($AI$7:$AI$1843,$CF$7:$CF$1843,CF246,$AM$7:$AM$1843,AM246,$BW$7:$BW$1843,"&lt;="&amp;BW246),"")</f>
        <v>19065.0134905114</v>
      </c>
      <c r="AO246" s="58" t="n">
        <f aca="false">IF(AN246="",0,MAX(0,MIN(1,(IF(CF246="L1",Parameter!$H$5,IF(CF246="L23",Parameter!$H$6+Parameter!$H$7,Parameter!$H$5+Parameter!$H$6+Parameter!$H$7))-(AN246-AI246))/AI246)))</f>
        <v>1</v>
      </c>
      <c r="AP246" s="50" t="n">
        <f aca="false">IF(LEFT(Cockpit!$I$5,1)="A",H246,IF(Parameter!$E$30="MAX-Bestand",IF(CH246=1,CI246,IF(LEFT(Cockpit!$I$5,1)="B",AV246,MAX(AV246,H246))),ROUNDUP(AT246,0)))</f>
        <v>1</v>
      </c>
      <c r="AQ246" s="50" t="n">
        <f aca="false">IF(BZ246=1,0,ROUNDUP(AP246/BY246,0))</f>
        <v>0</v>
      </c>
      <c r="AR246" s="52" t="n">
        <f aca="false">IF(CQ246&gt;0,CQ246*MAX(1,AP246/X246),IF(BZ246=1,IF(AP246&lt;=0,0,CD246*MAX(1,IF(H246&gt;0,AP246/H246,1))),IF(R246&gt;0,AQ246/R246,0))/MAX(0.1,N(Parameter!$M$21)))</f>
        <v>0.0800376647834275</v>
      </c>
      <c r="AS246" s="50" t="n">
        <f aca="false">AR246*CB246</f>
        <v>19.0489642184557</v>
      </c>
      <c r="AT246" s="51" t="n">
        <f aca="false">IF(LEFT(Cockpit!$I$5,1)="A",H246,IF(CH246=1,(CK246+CI246)/2,IF(LEFT(Cockpit!$I$5,1)="B",(CK246+AV246)/2,MAX((CK246+AV246)/2,H246))))</f>
        <v>1</v>
      </c>
      <c r="AU246" s="50" t="n">
        <f aca="false">AT246*G246</f>
        <v>520</v>
      </c>
      <c r="AV246" s="50" t="n">
        <f aca="false">ROUNDUP(CK246+MAX(CL246,2*(J246/IF(CG246&gt;0,CG246,MAX(0.1,N(Cockpit!$I$6)))-CK246)),0)</f>
        <v>1</v>
      </c>
      <c r="AW246" s="51" t="n">
        <f aca="false">IF(AS246&gt;0,J246/AS246,-1)</f>
        <v>0.0524962926347009</v>
      </c>
      <c r="AX246" s="51" t="n">
        <f aca="false">IF(AND(OR(CF246="L1",CF246="L23",CF246="LIFT"),AS246&gt;0),SUMIFS($AS$7:$AS$1843,$CF$7:$CF$1843,CF246,$AW$7:$AW$1843,"&gt;"&amp;AW246)+SUMIFS($AS$7:$AS$1843,$CF$7:$CF$1843,CF246,$AW$7:$AW$1843,AW246,$BW$7:$BW$1843,"&lt;="&amp;BW246),"")</f>
        <v>24183.1621318888</v>
      </c>
      <c r="AY246" s="58" t="n">
        <f aca="false">IF(AX246="",0,MAX(0,MIN(1,(IF(CF246="L1",Parameter!$H$5,IF(CF246="L23",Parameter!$H$6+Parameter!$H$7,Parameter!$H$5+Parameter!$H$6+Parameter!$H$7))-(AX246-AS246))/AS246)))</f>
        <v>1</v>
      </c>
      <c r="AZ246" s="50" t="n">
        <f aca="false">IF(LEFT(Cockpit!$O$5,1)="A",H246,IF(Parameter!$E$30="MAX-Bestand",IF(CH246=1,CI246,IF(LEFT(Cockpit!$O$5,1)="B",BF246,MAX(BF246,H246))),ROUNDUP(BD246,0)))</f>
        <v>1</v>
      </c>
      <c r="BA246" s="50" t="n">
        <f aca="false">IF(BZ246=1,0,ROUNDUP(AZ246/BY246,0))</f>
        <v>0</v>
      </c>
      <c r="BB246" s="52" t="n">
        <f aca="false">IF(CQ246&gt;0,CQ246*MAX(1,AZ246/X246),IF(BZ246=1,IF(AZ246&lt;=0,0,CD246*MAX(1,IF(H246&gt;0,AZ246/H246,1))),IF(R246&gt;0,BA246/R246,0))/MAX(0.1,N(Parameter!$M$21)))</f>
        <v>0.0800376647834275</v>
      </c>
      <c r="BC246" s="50" t="n">
        <f aca="false">BB246*CB246</f>
        <v>19.0489642184557</v>
      </c>
      <c r="BD246" s="51" t="n">
        <f aca="false">IF(LEFT(Cockpit!$O$5,1)="A",H246,IF(CH246=1,(CK246+CI246)/2,IF(LEFT(Cockpit!$O$5,1)="B",(CK246+BF246)/2,MAX((CK246+BF246)/2,H246))))</f>
        <v>0.5</v>
      </c>
      <c r="BE246" s="50" t="n">
        <f aca="false">BD246*G246</f>
        <v>260</v>
      </c>
      <c r="BF246" s="50" t="n">
        <f aca="false">ROUNDUP(CK246+MAX(CL246,2*(J246/IF(CG246&gt;0,CG246,MAX(0.1,N(Cockpit!$O$6)))-CK246)),0)</f>
        <v>1</v>
      </c>
      <c r="BG246" s="51" t="n">
        <f aca="false">IF(BC246&gt;0,J246/BC246,-1)</f>
        <v>0.0524962926347009</v>
      </c>
      <c r="BH246" s="51" t="n">
        <f aca="false">IF(AND(OR(CF246="L1",CF246="L23",CF246="LIFT"),BC246&gt;0),SUMIFS($BC$7:$BC$1843,$CF$7:$CF$1843,CF246,$BG$7:$BG$1843,"&gt;"&amp;BG246)+SUMIFS($BC$7:$BC$1843,$CF$7:$CF$1843,CF246,$BG$7:$BG$1843,BG246,$BW$7:$BW$1843,"&lt;="&amp;BW246),"")</f>
        <v>20091.8273085201</v>
      </c>
      <c r="BI246" s="58" t="n">
        <f aca="false">IF(BH246="",0,MAX(0,MIN(1,(IF(CF246="L1",Parameter!$H$5,IF(CF246="L23",Parameter!$H$6+Parameter!$H$7,Parameter!$H$5+Parameter!$H$6+Parameter!$H$7))-(BH246-BC246))/BC246)))</f>
        <v>1</v>
      </c>
      <c r="BJ246" s="48" t="str">
        <f aca="false">IF(AI246&lt;=0,"",IF(CF246="Aussen","Aussenlager",IF(CF246="-","Nicht im Lift",IF(AO246&gt;=1,"Lift",IF(AO246&lt;=0,"Aussenlager","teilweise")))))</f>
        <v>Lift</v>
      </c>
      <c r="BK246" s="48" t="str">
        <f aca="false">IF(AS246&lt;=0,"",IF(CF246="Aussen","Aussenlager",IF(CF246="-","Nicht im Lift",IF(AY246&gt;=1,"Lift",IF(AY246&lt;=0,"Aussenlager","teilweise")))))</f>
        <v>Lift</v>
      </c>
      <c r="BL246" s="48" t="str">
        <f aca="false">IF(BC246&lt;=0,"",IF(CF246="Aussen","Aussenlager",IF(CF246="-","Nicht im Lift",IF(BI246&gt;=1,"Lift",IF(BI246&lt;=0,"Aussenlager","teilweise")))))</f>
        <v>Lift</v>
      </c>
      <c r="BM246" s="48" t="str">
        <f aca="false">IF(A246="","",IF(BV246=1,"Neu; ","")&amp;IF(AND(BV246=0,BQ246&lt;0),"negativer Bestand (Export "&amp;BQ246&amp;"); ","")&amp;IF(J246&lt;=0,"Kein Verbrauch; ","")&amp;IF(CQ246&gt;0,"Lift "&amp;W246&amp;" lt. Liftbericht (Fach "&amp;X246&amp;" Stk); ",IF(CA246=1,"Gebinde geschätzt ("&amp;T246&amp;"); ",IF(BZ246=1,"Lose – Tablare geschätzt; ","")))&amp;IF(H246&gt;AV246,"Überbestand "&amp;ROUND(H246-AV246,0)&amp;" Stk / CHF "&amp;ROUND((H246-AV246)*G246,0)&amp;"; ","")&amp;IF(AND(CH246=1,CI246&lt;CJ246),"MAX &lt; MB+LG; ","")&amp;IF(AND(CP246&gt;0,CO246*10&gt;CP246),"zu hoch für Tablar; ","")&amp;IF(AND(BV246=0,OR(CH246=1,AA246&lt;&gt;"",U246&lt;&gt;"",V246&lt;&gt;"",AB246&lt;&gt;"")),"manuell übersteuert; ","")&amp;IF(AND(BZ246=0,R246=0),"Gebinde unbekannt / Stellmass fehlt; ","")&amp;IF(AND(BZ246=0,N(V246)&lt;=0,N(Q246)&lt;=0),"Menge pro Gebinde fehlt (Ist = 1 Gebinde); ","")&amp;BU246)</f>
        <v>Lift 1 lt. Liftbericht (Fach 1 Stk); </v>
      </c>
      <c r="BN246" s="48"/>
      <c r="BO246" s="48"/>
      <c r="BP246" s="55"/>
      <c r="BQ246" s="50" t="n">
        <v>1</v>
      </c>
      <c r="BR246" s="50" t="n">
        <v>0</v>
      </c>
      <c r="BS246" s="49" t="n">
        <v>520</v>
      </c>
      <c r="BT246" s="50" t="n">
        <v>1</v>
      </c>
      <c r="BU246" s="48"/>
      <c r="BV246" s="53" t="n">
        <v>0</v>
      </c>
      <c r="BW246" s="53" t="n">
        <v>246</v>
      </c>
      <c r="BX246" s="48" t="str">
        <f aca="false">IF(U246&lt;&gt;"",UPPER(TRIM(U246)),IF(CA246=1,UPPER(VLOOKUP(T246,Parameter!$I$27:$K$29,2,0)),IF(P246="","LOSE",P246)))</f>
        <v>LOSE</v>
      </c>
      <c r="BY246" s="50" t="n">
        <f aca="false">IF(BX246="LOSE",1,IF(N(V246)&gt;0,V246,IF(CA246=1,MAX(1,N(VLOOKUP(T246,Parameter!$I$27:$K$29,3,0)),H246,N(N246)),IF(N(Q246)&gt;0,Q246,MAX(1,H246)))))</f>
        <v>1</v>
      </c>
      <c r="BZ246" s="53" t="n">
        <f aca="false">IF(BX246="LOSE",1,0)</f>
        <v>1</v>
      </c>
      <c r="CA246" s="53" t="n">
        <f aca="false">IF(AND(U246="",OR(P246="",P246="LOSE"),T246&lt;&gt;"",N(S246)&lt;=0,ISNUMBER(MATCH(T246,Parameter!$I$27:$I$29,0))),1,0)</f>
        <v>0</v>
      </c>
      <c r="CB246" s="53" t="n">
        <f aca="false">IF(CQ246&gt;0,INDEX(Parameter!$H$5:$H$7,W246)/INDEX(Parameter!$E$5:$E$7,W246),IF(AND(BZ246=0,N(IFERROR(VLOOKUP(BX246,'Gebinde-Kategorie'!$A$5:$N$45,14,0),0))&gt;0),VLOOKUP(BX246,'Gebinde-Kategorie'!$A$5:$N$45,14,0)*10+Parameter!$M$23,Parameter!$M$24))</f>
        <v>238</v>
      </c>
      <c r="CC246" s="48" t="n">
        <f aca="false">IF(AND(Parameter!$B$19="Ja",E246&lt;&gt;"",ISNUMBER(MATCH(E246,Parameter!$I$35:$I$52,0))),VLOOKUP(E246,Parameter!$I$35:$J$52,2,0),IFERROR(VLOOKUP(D246,Parameter!$A$35:$C$64,2,0),"Nein"))</f>
        <v>1</v>
      </c>
      <c r="CD246" s="52" t="n">
        <f aca="false">IF(BZ246=0,0,IF(N(S246)&gt;0,S246,IFERROR(VLOOKUP(D246,Parameter!$A$35:$C$64,3,0)+0,0)))</f>
        <v>0.15</v>
      </c>
      <c r="CE246" s="48" t="n">
        <f aca="false">IF(AA246&lt;&gt;"",AA246,Z246)</f>
        <v>1</v>
      </c>
      <c r="CF246" s="48" t="str">
        <f aca="false">IF(OR(CE246=1,CE246=2,CE246=3),IF(Parameter!$E$27="Ja","LIFT",IF(CE246=1,"L1","L23")),IF(CE246="Aussen","Aussen","-"))</f>
        <v>LIFT</v>
      </c>
      <c r="CG246" s="59" t="n">
        <f aca="false">IF(N(AB246)&gt;0,AB246,0)</f>
        <v>0</v>
      </c>
      <c r="CH246" s="53" t="n">
        <f aca="false">IF(ISNUMBER(AE246),1,0)</f>
        <v>0</v>
      </c>
      <c r="CI246" s="50" t="n">
        <f aca="false">N(AE246)</f>
        <v>0</v>
      </c>
      <c r="CJ246" s="50" t="n">
        <f aca="false">N(M246)+N(N246)</f>
        <v>1</v>
      </c>
      <c r="CK246" s="50" t="n">
        <f aca="false">N(M246)</f>
        <v>0</v>
      </c>
      <c r="CL246" s="50" t="n">
        <f aca="false">N(N246)</f>
        <v>1</v>
      </c>
      <c r="CM246" s="50" t="n">
        <f aca="false">ROUNDUP(H246/BY246,0)</f>
        <v>1</v>
      </c>
      <c r="CN246" s="50" t="n">
        <f aca="false">ROUNDUP(CI246/BY246,0)</f>
        <v>0</v>
      </c>
      <c r="CO246" s="53" t="n">
        <f aca="false">IF(BZ246=1,0,IFERROR(VLOOKUP(BX246,'Gebinde-Kategorie'!$A$5:$N$45,5,0)+0,0))</f>
        <v>0</v>
      </c>
      <c r="CP246" s="53" t="n">
        <f aca="false">IFERROR(IF(OR(CE246=1,CE246=2,CE246=3),N(INDEX(Parameter!$I$5:$I$7,CE246)),0),0)</f>
        <v>0</v>
      </c>
      <c r="CQ246" s="52" t="n">
        <f aca="false">IF(AND(Parameter!$B$21="Ja",ISNUMBER(W246),N(X246)&gt;0),IFERROR(N(INDEX(Parameter!$L$5:$L$7,W246))*INDEX(Parameter!$E$5:$E$7,W246)*X246/SUMIFS($X$7:$X$1843,$W$7:$W$1843,W246),0),0)</f>
        <v>0.0800376647834275</v>
      </c>
    </row>
    <row r="247" customFormat="false" ht="15" hidden="false" customHeight="false" outlineLevel="0" collapsed="false">
      <c r="A247" s="48" t="s">
        <v>687</v>
      </c>
      <c r="B247" s="48" t="s">
        <v>688</v>
      </c>
      <c r="C247" s="48" t="s">
        <v>173</v>
      </c>
      <c r="D247" s="48" t="s">
        <v>193</v>
      </c>
      <c r="E247" s="48" t="s">
        <v>194</v>
      </c>
      <c r="F247" s="48" t="s">
        <v>227</v>
      </c>
      <c r="G247" s="49" t="n">
        <v>37</v>
      </c>
      <c r="H247" s="50" t="n">
        <f aca="false">MAX(0,IF(AND(Parameter!$B$21="Ja",ISNUMBER(Y247)),Y247,IF(Parameter!$B$20="Jahresanfang 2025 + Export",BR247+BQ247,BQ247)))</f>
        <v>14</v>
      </c>
      <c r="I247" s="50" t="n">
        <f aca="false">H247*G247</f>
        <v>518</v>
      </c>
      <c r="J247" s="50" t="n">
        <f aca="false">BT247*Parameter!$B$18</f>
        <v>1</v>
      </c>
      <c r="K247" s="51" t="n">
        <v>7</v>
      </c>
      <c r="L247" s="52" t="n">
        <v>0.142857142857143</v>
      </c>
      <c r="M247" s="50" t="n">
        <v>0</v>
      </c>
      <c r="N247" s="50" t="n">
        <v>1</v>
      </c>
      <c r="O247" s="53" t="n">
        <v>35</v>
      </c>
      <c r="P247" s="48" t="s">
        <v>435</v>
      </c>
      <c r="Q247" s="50" t="n">
        <v>8</v>
      </c>
      <c r="R247" s="53" t="n">
        <f aca="false">IF(BZ247=1,0,IFERROR(VLOOKUP(BX247,'Gebinde-Kategorie'!$A$5:$N$45,13,0)+0,0))</f>
        <v>140</v>
      </c>
      <c r="S247" s="54"/>
      <c r="T247" s="55"/>
      <c r="U247" s="55"/>
      <c r="V247" s="55"/>
      <c r="W247" s="48"/>
      <c r="X247" s="50"/>
      <c r="Y247" s="50"/>
      <c r="Z247" s="48" t="n">
        <f aca="false">IF(A247="","",IF(AND(Parameter!$B$21="Ja",ISNUMBER(W247)),W247,IF(CC247="2+3",IF(ISNUMBER(SEARCH("grosser Artikel",BU247)),2,IFERROR(VLOOKUP(BX247,Parameter!$F$35:$G$64,2,0),2)),IF(OR(CC247="Nein",CC247=""),"-",CC247))))</f>
        <v>3</v>
      </c>
      <c r="AA247" s="55"/>
      <c r="AB247" s="56"/>
      <c r="AC247" s="50" t="n">
        <f aca="false">AV247</f>
        <v>1</v>
      </c>
      <c r="AD247" s="50" t="n">
        <f aca="false">MAX(AV247,H247)</f>
        <v>14</v>
      </c>
      <c r="AE247" s="57"/>
      <c r="AF247" s="50" t="n">
        <f aca="false">IF(LEFT(Cockpit!$C$5,1)="A",H247,IF(Parameter!$E$30="MAX-Bestand",IF(CH247=1,CI247,IF(LEFT(Cockpit!$C$5,1)="B",AL247,MAX(AL247,H247))),ROUNDUP(AJ247,0)))</f>
        <v>14</v>
      </c>
      <c r="AG247" s="50" t="n">
        <f aca="false">IF(BZ247=1,0,ROUNDUP(AF247/BY247,0))</f>
        <v>2</v>
      </c>
      <c r="AH247" s="52" t="n">
        <f aca="false">IF(CQ247&gt;0,CQ247*MAX(1,AF247/X247),IF(BZ247=1,IF(AF247&lt;=0,0,CD247*MAX(1,IF(H247&gt;0,AF247/H247,1))),IF(R247&gt;0,AG247/R247,0))/MAX(0.1,N(Parameter!$M$21)))</f>
        <v>0.0142857142857143</v>
      </c>
      <c r="AI247" s="50" t="n">
        <f aca="false">AH247*CB247</f>
        <v>2.21428571428571</v>
      </c>
      <c r="AJ247" s="51" t="n">
        <f aca="false">IF(LEFT(Cockpit!$C$5,1)="A",H247,IF(CH247=1,(CK247+CI247)/2,IF(LEFT(Cockpit!$C$5,1)="B",(CK247+AL247)/2,MAX((CK247+AL247)/2,H247))))</f>
        <v>14</v>
      </c>
      <c r="AK247" s="50" t="n">
        <f aca="false">AJ247*G247</f>
        <v>518</v>
      </c>
      <c r="AL247" s="50" t="n">
        <f aca="false">ROUNDUP(CK247+MAX(CL247,2*(J247/IF(CG247&gt;0,CG247,MAX(0.1,N(Cockpit!$C$6)))-CK247)),0)</f>
        <v>1</v>
      </c>
      <c r="AM247" s="51" t="n">
        <f aca="false">IF(AI247&gt;0,J247/AI247,-1)</f>
        <v>0.451612903225806</v>
      </c>
      <c r="AN247" s="51" t="n">
        <f aca="false">IF(AND(OR(CF247="L1",CF247="L23",CF247="LIFT"),AI247&gt;0),SUMIFS($AI$7:$AI$1843,$CF$7:$CF$1843,CF247,$AM$7:$AM$1843,"&gt;"&amp;AM247)+SUMIFS($AI$7:$AI$1843,$CF$7:$CF$1843,CF247,$AM$7:$AM$1843,AM247,$BW$7:$BW$1843,"&lt;="&amp;BW247),"")</f>
        <v>9859.05812172761</v>
      </c>
      <c r="AO247" s="58" t="n">
        <f aca="false">IF(AN247="",0,MAX(0,MIN(1,(IF(CF247="L1",Parameter!$H$5,IF(CF247="L23",Parameter!$H$6+Parameter!$H$7,Parameter!$H$5+Parameter!$H$6+Parameter!$H$7))-(AN247-AI247))/AI247)))</f>
        <v>1</v>
      </c>
      <c r="AP247" s="50" t="n">
        <f aca="false">IF(LEFT(Cockpit!$I$5,1)="A",H247,IF(Parameter!$E$30="MAX-Bestand",IF(CH247=1,CI247,IF(LEFT(Cockpit!$I$5,1)="B",AV247,MAX(AV247,H247))),ROUNDUP(AT247,0)))</f>
        <v>14</v>
      </c>
      <c r="AQ247" s="50" t="n">
        <f aca="false">IF(BZ247=1,0,ROUNDUP(AP247/BY247,0))</f>
        <v>2</v>
      </c>
      <c r="AR247" s="52" t="n">
        <f aca="false">IF(CQ247&gt;0,CQ247*MAX(1,AP247/X247),IF(BZ247=1,IF(AP247&lt;=0,0,CD247*MAX(1,IF(H247&gt;0,AP247/H247,1))),IF(R247&gt;0,AQ247/R247,0))/MAX(0.1,N(Parameter!$M$21)))</f>
        <v>0.0142857142857143</v>
      </c>
      <c r="AS247" s="50" t="n">
        <f aca="false">AR247*CB247</f>
        <v>2.21428571428571</v>
      </c>
      <c r="AT247" s="51" t="n">
        <f aca="false">IF(LEFT(Cockpit!$I$5,1)="A",H247,IF(CH247=1,(CK247+CI247)/2,IF(LEFT(Cockpit!$I$5,1)="B",(CK247+AV247)/2,MAX((CK247+AV247)/2,H247))))</f>
        <v>14</v>
      </c>
      <c r="AU247" s="50" t="n">
        <f aca="false">AT247*G247</f>
        <v>518</v>
      </c>
      <c r="AV247" s="50" t="n">
        <f aca="false">ROUNDUP(CK247+MAX(CL247,2*(J247/IF(CG247&gt;0,CG247,MAX(0.1,N(Cockpit!$I$6)))-CK247)),0)</f>
        <v>1</v>
      </c>
      <c r="AW247" s="51" t="n">
        <f aca="false">IF(AS247&gt;0,J247/AS247,-1)</f>
        <v>0.451612903225806</v>
      </c>
      <c r="AX247" s="51" t="n">
        <f aca="false">IF(AND(OR(CF247="L1",CF247="L23",CF247="LIFT"),AS247&gt;0),SUMIFS($AS$7:$AS$1843,$CF$7:$CF$1843,CF247,$AW$7:$AW$1843,"&gt;"&amp;AW247)+SUMIFS($AS$7:$AS$1843,$CF$7:$CF$1843,CF247,$AW$7:$AW$1843,AW247,$BW$7:$BW$1843,"&lt;="&amp;BW247),"")</f>
        <v>12272.8946886447</v>
      </c>
      <c r="AY247" s="58" t="n">
        <f aca="false">IF(AX247="",0,MAX(0,MIN(1,(IF(CF247="L1",Parameter!$H$5,IF(CF247="L23",Parameter!$H$6+Parameter!$H$7,Parameter!$H$5+Parameter!$H$6+Parameter!$H$7))-(AX247-AS247))/AS247)))</f>
        <v>1</v>
      </c>
      <c r="AZ247" s="50" t="n">
        <f aca="false">IF(LEFT(Cockpit!$O$5,1)="A",H247,IF(Parameter!$E$30="MAX-Bestand",IF(CH247=1,CI247,IF(LEFT(Cockpit!$O$5,1)="B",BF247,MAX(BF247,H247))),ROUNDUP(BD247,0)))</f>
        <v>1</v>
      </c>
      <c r="BA247" s="50" t="n">
        <f aca="false">IF(BZ247=1,0,ROUNDUP(AZ247/BY247,0))</f>
        <v>1</v>
      </c>
      <c r="BB247" s="52" t="n">
        <f aca="false">IF(CQ247&gt;0,CQ247*MAX(1,AZ247/X247),IF(BZ247=1,IF(AZ247&lt;=0,0,CD247*MAX(1,IF(H247&gt;0,AZ247/H247,1))),IF(R247&gt;0,BA247/R247,0))/MAX(0.1,N(Parameter!$M$21)))</f>
        <v>0.00714285714285714</v>
      </c>
      <c r="BC247" s="50" t="n">
        <f aca="false">BB247*CB247</f>
        <v>1.10714285714286</v>
      </c>
      <c r="BD247" s="51" t="n">
        <f aca="false">IF(LEFT(Cockpit!$O$5,1)="A",H247,IF(CH247=1,(CK247+CI247)/2,IF(LEFT(Cockpit!$O$5,1)="B",(CK247+BF247)/2,MAX((CK247+BF247)/2,H247))))</f>
        <v>0.5</v>
      </c>
      <c r="BE247" s="50" t="n">
        <f aca="false">BD247*G247</f>
        <v>18.5</v>
      </c>
      <c r="BF247" s="50" t="n">
        <f aca="false">ROUNDUP(CK247+MAX(CL247,2*(J247/IF(CG247&gt;0,CG247,MAX(0.1,N(Cockpit!$O$6)))-CK247)),0)</f>
        <v>1</v>
      </c>
      <c r="BG247" s="51" t="n">
        <f aca="false">IF(BC247&gt;0,J247/BC247,-1)</f>
        <v>0.903225806451613</v>
      </c>
      <c r="BH247" s="51" t="n">
        <f aca="false">IF(AND(OR(CF247="L1",CF247="L23",CF247="LIFT"),BC247&gt;0),SUMIFS($BC$7:$BC$1843,$CF$7:$CF$1843,CF247,$BG$7:$BG$1843,"&gt;"&amp;BG247)+SUMIFS($BC$7:$BC$1843,$CF$7:$CF$1843,CF247,$BG$7:$BG$1843,BG247,$BW$7:$BW$1843,"&lt;="&amp;BW247),"")</f>
        <v>8241.18635531136</v>
      </c>
      <c r="BI247" s="58" t="n">
        <f aca="false">IF(BH247="",0,MAX(0,MIN(1,(IF(CF247="L1",Parameter!$H$5,IF(CF247="L23",Parameter!$H$6+Parameter!$H$7,Parameter!$H$5+Parameter!$H$6+Parameter!$H$7))-(BH247-BC247))/BC247)))</f>
        <v>1</v>
      </c>
      <c r="BJ247" s="48" t="str">
        <f aca="false">IF(AI247&lt;=0,"",IF(CF247="Aussen","Aussenlager",IF(CF247="-","Nicht im Lift",IF(AO247&gt;=1,"Lift",IF(AO247&lt;=0,"Aussenlager","teilweise")))))</f>
        <v>Lift</v>
      </c>
      <c r="BK247" s="48" t="str">
        <f aca="false">IF(AS247&lt;=0,"",IF(CF247="Aussen","Aussenlager",IF(CF247="-","Nicht im Lift",IF(AY247&gt;=1,"Lift",IF(AY247&lt;=0,"Aussenlager","teilweise")))))</f>
        <v>Lift</v>
      </c>
      <c r="BL247" s="48" t="str">
        <f aca="false">IF(BC247&lt;=0,"",IF(CF247="Aussen","Aussenlager",IF(CF247="-","Nicht im Lift",IF(BI247&gt;=1,"Lift",IF(BI247&lt;=0,"Aussenlager","teilweise")))))</f>
        <v>Lift</v>
      </c>
      <c r="BM247" s="48" t="str">
        <f aca="false">IF(A247="","",IF(BV247=1,"Neu; ","")&amp;IF(AND(BV247=0,BQ247&lt;0),"negativer Bestand (Export "&amp;BQ247&amp;"); ","")&amp;IF(J247&lt;=0,"Kein Verbrauch; ","")&amp;IF(CQ247&gt;0,"Lift "&amp;W247&amp;" lt. Liftbericht (Fach "&amp;X247&amp;" Stk); ",IF(CA247=1,"Gebinde geschätzt ("&amp;T247&amp;"); ",IF(BZ247=1,"Lose – Tablare geschätzt; ","")))&amp;IF(H247&gt;AV247,"Überbestand "&amp;ROUND(H247-AV247,0)&amp;" Stk / CHF "&amp;ROUND((H247-AV247)*G247,0)&amp;"; ","")&amp;IF(AND(CH247=1,CI247&lt;CJ247),"MAX &lt; MB+LG; ","")&amp;IF(AND(CP247&gt;0,CO247*10&gt;CP247),"zu hoch für Tablar; ","")&amp;IF(AND(BV247=0,OR(CH247=1,AA247&lt;&gt;"",U247&lt;&gt;"",V247&lt;&gt;"",AB247&lt;&gt;"")),"manuell übersteuert; ","")&amp;IF(AND(BZ247=0,R247=0),"Gebinde unbekannt / Stellmass fehlt; ","")&amp;IF(AND(BZ247=0,N(V247)&lt;=0,N(Q247)&lt;=0),"Menge pro Gebinde fehlt (Ist = 1 Gebinde); ","")&amp;BU247)</f>
        <v>Überbestand 13 Stk / CHF 481; </v>
      </c>
      <c r="BN247" s="48"/>
      <c r="BO247" s="48"/>
      <c r="BP247" s="55"/>
      <c r="BQ247" s="50" t="n">
        <v>14</v>
      </c>
      <c r="BR247" s="50" t="n">
        <v>0</v>
      </c>
      <c r="BS247" s="49" t="n">
        <v>518</v>
      </c>
      <c r="BT247" s="50" t="n">
        <v>1</v>
      </c>
      <c r="BU247" s="48"/>
      <c r="BV247" s="53" t="n">
        <v>0</v>
      </c>
      <c r="BW247" s="53" t="n">
        <v>247</v>
      </c>
      <c r="BX247" s="48" t="str">
        <f aca="false">IF(U247&lt;&gt;"",UPPER(TRIM(U247)),IF(CA247=1,UPPER(VLOOKUP(T247,Parameter!$I$27:$K$29,2,0)),IF(P247="","LOSE",P247)))</f>
        <v>S22</v>
      </c>
      <c r="BY247" s="50" t="n">
        <f aca="false">IF(BX247="LOSE",1,IF(N(V247)&gt;0,V247,IF(CA247=1,MAX(1,N(VLOOKUP(T247,Parameter!$I$27:$K$29,3,0)),H247,N(N247)),IF(N(Q247)&gt;0,Q247,MAX(1,H247)))))</f>
        <v>8</v>
      </c>
      <c r="BZ247" s="53" t="n">
        <f aca="false">IF(BX247="LOSE",1,0)</f>
        <v>0</v>
      </c>
      <c r="CA247" s="53" t="n">
        <f aca="false">IF(AND(U247="",OR(P247="",P247="LOSE"),T247&lt;&gt;"",N(S247)&lt;=0,ISNUMBER(MATCH(T247,Parameter!$I$27:$I$29,0))),1,0)</f>
        <v>0</v>
      </c>
      <c r="CB247" s="53" t="n">
        <f aca="false">IF(CQ247&gt;0,INDEX(Parameter!$H$5:$H$7,W247)/INDEX(Parameter!$E$5:$E$7,W247),IF(AND(BZ247=0,N(IFERROR(VLOOKUP(BX247,'Gebinde-Kategorie'!$A$5:$N$45,14,0),0))&gt;0),VLOOKUP(BX247,'Gebinde-Kategorie'!$A$5:$N$45,14,0)*10+Parameter!$M$23,Parameter!$M$24))</f>
        <v>155</v>
      </c>
      <c r="CC247" s="48" t="str">
        <f aca="false">IF(AND(Parameter!$B$19="Ja",E247&lt;&gt;"",ISNUMBER(MATCH(E247,Parameter!$I$35:$I$52,0))),VLOOKUP(E247,Parameter!$I$35:$J$52,2,0),IFERROR(VLOOKUP(D247,Parameter!$A$35:$C$64,2,0),"Nein"))</f>
        <v>2+3</v>
      </c>
      <c r="CD247" s="52" t="n">
        <f aca="false">IF(BZ247=0,0,IF(N(S247)&gt;0,S247,IFERROR(VLOOKUP(D247,Parameter!$A$35:$C$64,3,0)+0,0)))</f>
        <v>0</v>
      </c>
      <c r="CE247" s="48" t="n">
        <f aca="false">IF(AA247&lt;&gt;"",AA247,Z247)</f>
        <v>3</v>
      </c>
      <c r="CF247" s="48" t="str">
        <f aca="false">IF(OR(CE247=1,CE247=2,CE247=3),IF(Parameter!$E$27="Ja","LIFT",IF(CE247=1,"L1","L23")),IF(CE247="Aussen","Aussen","-"))</f>
        <v>LIFT</v>
      </c>
      <c r="CG247" s="59" t="n">
        <f aca="false">IF(N(AB247)&gt;0,AB247,0)</f>
        <v>0</v>
      </c>
      <c r="CH247" s="53" t="n">
        <f aca="false">IF(ISNUMBER(AE247),1,0)</f>
        <v>0</v>
      </c>
      <c r="CI247" s="50" t="n">
        <f aca="false">N(AE247)</f>
        <v>0</v>
      </c>
      <c r="CJ247" s="50" t="n">
        <f aca="false">N(M247)+N(N247)</f>
        <v>1</v>
      </c>
      <c r="CK247" s="50" t="n">
        <f aca="false">N(M247)</f>
        <v>0</v>
      </c>
      <c r="CL247" s="50" t="n">
        <f aca="false">N(N247)</f>
        <v>1</v>
      </c>
      <c r="CM247" s="50" t="n">
        <f aca="false">ROUNDUP(H247/BY247,0)</f>
        <v>2</v>
      </c>
      <c r="CN247" s="50" t="n">
        <f aca="false">ROUNDUP(CI247/BY247,0)</f>
        <v>0</v>
      </c>
      <c r="CO247" s="53" t="n">
        <f aca="false">IF(BZ247=1,0,IFERROR(VLOOKUP(BX247,'Gebinde-Kategorie'!$A$5:$N$45,5,0)+0,0))</f>
        <v>8</v>
      </c>
      <c r="CP247" s="53" t="n">
        <f aca="false">IFERROR(IF(OR(CE247=1,CE247=2,CE247=3),N(INDEX(Parameter!$I$5:$I$7,CE247)),0),0)</f>
        <v>0</v>
      </c>
      <c r="CQ247" s="52" t="n">
        <f aca="false">IF(AND(Parameter!$B$21="Ja",ISNUMBER(W247),N(X247)&gt;0),IFERROR(N(INDEX(Parameter!$L$5:$L$7,W247))*INDEX(Parameter!$E$5:$E$7,W247)*X247/SUMIFS($X$7:$X$1843,$W$7:$W$1843,W247),0),0)</f>
        <v>0</v>
      </c>
    </row>
    <row r="248" customFormat="false" ht="15" hidden="false" customHeight="false" outlineLevel="0" collapsed="false">
      <c r="A248" s="48" t="s">
        <v>689</v>
      </c>
      <c r="B248" s="48" t="s">
        <v>690</v>
      </c>
      <c r="C248" s="48" t="s">
        <v>173</v>
      </c>
      <c r="D248" s="48" t="s">
        <v>193</v>
      </c>
      <c r="E248" s="48" t="s">
        <v>194</v>
      </c>
      <c r="F248" s="48" t="s">
        <v>227</v>
      </c>
      <c r="G248" s="49" t="n">
        <v>2.83</v>
      </c>
      <c r="H248" s="50" t="n">
        <f aca="false">MAX(0,IF(AND(Parameter!$B$21="Ja",ISNUMBER(Y248)),Y248,IF(Parameter!$B$20="Jahresanfang 2025 + Export",BR248+BQ248,BQ248)))</f>
        <v>337</v>
      </c>
      <c r="I248" s="50" t="n">
        <f aca="false">H248*G248</f>
        <v>953.71</v>
      </c>
      <c r="J248" s="50" t="n">
        <f aca="false">BT248*Parameter!$B$18</f>
        <v>300</v>
      </c>
      <c r="K248" s="51" t="n">
        <v>155</v>
      </c>
      <c r="L248" s="52" t="n">
        <v>1.93548387096774</v>
      </c>
      <c r="M248" s="50" t="n">
        <v>35</v>
      </c>
      <c r="N248" s="50" t="n">
        <v>300</v>
      </c>
      <c r="O248" s="53" t="n">
        <v>42</v>
      </c>
      <c r="P248" s="48" t="s">
        <v>485</v>
      </c>
      <c r="Q248" s="50" t="n">
        <v>150</v>
      </c>
      <c r="R248" s="53" t="n">
        <f aca="false">IF(BZ248=1,0,IFERROR(VLOOKUP(BX248,'Gebinde-Kategorie'!$A$5:$N$45,13,0)+0,0))</f>
        <v>52</v>
      </c>
      <c r="S248" s="54"/>
      <c r="T248" s="55"/>
      <c r="U248" s="55"/>
      <c r="V248" s="55"/>
      <c r="W248" s="48"/>
      <c r="X248" s="50"/>
      <c r="Y248" s="50"/>
      <c r="Z248" s="48" t="n">
        <f aca="false">IF(A248="","",IF(AND(Parameter!$B$21="Ja",ISNUMBER(W248)),W248,IF(CC248="2+3",IF(ISNUMBER(SEARCH("grosser Artikel",BU248)),2,IFERROR(VLOOKUP(BX248,Parameter!$F$35:$G$64,2,0),2)),IF(OR(CC248="Nein",CC248=""),"-",CC248))))</f>
        <v>3</v>
      </c>
      <c r="AA248" s="55"/>
      <c r="AB248" s="56"/>
      <c r="AC248" s="50" t="n">
        <f aca="false">AV248</f>
        <v>335</v>
      </c>
      <c r="AD248" s="50" t="n">
        <f aca="false">MAX(AV248,H248)</f>
        <v>337</v>
      </c>
      <c r="AE248" s="57"/>
      <c r="AF248" s="50" t="n">
        <f aca="false">IF(LEFT(Cockpit!$C$5,1)="A",H248,IF(Parameter!$E$30="MAX-Bestand",IF(CH248=1,CI248,IF(LEFT(Cockpit!$C$5,1)="B",AL248,MAX(AL248,H248))),ROUNDUP(AJ248,0)))</f>
        <v>337</v>
      </c>
      <c r="AG248" s="50" t="n">
        <f aca="false">IF(BZ248=1,0,ROUNDUP(AF248/BY248,0))</f>
        <v>3</v>
      </c>
      <c r="AH248" s="52" t="n">
        <f aca="false">IF(CQ248&gt;0,CQ248*MAX(1,AF248/X248),IF(BZ248=1,IF(AF248&lt;=0,0,CD248*MAX(1,IF(H248&gt;0,AF248/H248,1))),IF(R248&gt;0,AG248/R248,0))/MAX(0.1,N(Parameter!$M$21)))</f>
        <v>0.0576923076923077</v>
      </c>
      <c r="AI248" s="50" t="n">
        <f aca="false">AH248*CB248</f>
        <v>8.94230769230769</v>
      </c>
      <c r="AJ248" s="51" t="n">
        <f aca="false">IF(LEFT(Cockpit!$C$5,1)="A",H248,IF(CH248=1,(CK248+CI248)/2,IF(LEFT(Cockpit!$C$5,1)="B",(CK248+AL248)/2,MAX((CK248+AL248)/2,H248))))</f>
        <v>337</v>
      </c>
      <c r="AK248" s="50" t="n">
        <f aca="false">AJ248*G248</f>
        <v>953.71</v>
      </c>
      <c r="AL248" s="50" t="n">
        <f aca="false">ROUNDUP(CK248+MAX(CL248,2*(J248/IF(CG248&gt;0,CG248,MAX(0.1,N(Cockpit!$C$6)))-CK248)),0)</f>
        <v>335</v>
      </c>
      <c r="AM248" s="51" t="n">
        <f aca="false">IF(AI248&gt;0,J248/AI248,-1)</f>
        <v>33.5483870967742</v>
      </c>
      <c r="AN248" s="51" t="n">
        <f aca="false">IF(AND(OR(CF248="L1",CF248="L23",CF248="LIFT"),AI248&gt;0),SUMIFS($AI$7:$AI$1843,$CF$7:$CF$1843,CF248,$AM$7:$AM$1843,"&gt;"&amp;AM248)+SUMIFS($AI$7:$AI$1843,$CF$7:$CF$1843,CF248,$AM$7:$AM$1843,AM248,$BW$7:$BW$1843,"&lt;="&amp;BW248),"")</f>
        <v>1316.64148351648</v>
      </c>
      <c r="AO248" s="58" t="n">
        <f aca="false">IF(AN248="",0,MAX(0,MIN(1,(IF(CF248="L1",Parameter!$H$5,IF(CF248="L23",Parameter!$H$6+Parameter!$H$7,Parameter!$H$5+Parameter!$H$6+Parameter!$H$7))-(AN248-AI248))/AI248)))</f>
        <v>1</v>
      </c>
      <c r="AP248" s="50" t="n">
        <f aca="false">IF(LEFT(Cockpit!$I$5,1)="A",H248,IF(Parameter!$E$30="MAX-Bestand",IF(CH248=1,CI248,IF(LEFT(Cockpit!$I$5,1)="B",AV248,MAX(AV248,H248))),ROUNDUP(AT248,0)))</f>
        <v>337</v>
      </c>
      <c r="AQ248" s="50" t="n">
        <f aca="false">IF(BZ248=1,0,ROUNDUP(AP248/BY248,0))</f>
        <v>3</v>
      </c>
      <c r="AR248" s="52" t="n">
        <f aca="false">IF(CQ248&gt;0,CQ248*MAX(1,AP248/X248),IF(BZ248=1,IF(AP248&lt;=0,0,CD248*MAX(1,IF(H248&gt;0,AP248/H248,1))),IF(R248&gt;0,AQ248/R248,0))/MAX(0.1,N(Parameter!$M$21)))</f>
        <v>0.0576923076923077</v>
      </c>
      <c r="AS248" s="50" t="n">
        <f aca="false">AR248*CB248</f>
        <v>8.94230769230769</v>
      </c>
      <c r="AT248" s="51" t="n">
        <f aca="false">IF(LEFT(Cockpit!$I$5,1)="A",H248,IF(CH248=1,(CK248+CI248)/2,IF(LEFT(Cockpit!$I$5,1)="B",(CK248+AV248)/2,MAX((CK248+AV248)/2,H248))))</f>
        <v>337</v>
      </c>
      <c r="AU248" s="50" t="n">
        <f aca="false">AT248*G248</f>
        <v>953.71</v>
      </c>
      <c r="AV248" s="50" t="n">
        <f aca="false">ROUNDUP(CK248+MAX(CL248,2*(J248/IF(CG248&gt;0,CG248,MAX(0.1,N(Cockpit!$I$6)))-CK248)),0)</f>
        <v>335</v>
      </c>
      <c r="AW248" s="51" t="n">
        <f aca="false">IF(AS248&gt;0,J248/AS248,-1)</f>
        <v>33.5483870967742</v>
      </c>
      <c r="AX248" s="51" t="n">
        <f aca="false">IF(AND(OR(CF248="L1",CF248="L23",CF248="LIFT"),AS248&gt;0),SUMIFS($AS$7:$AS$1843,$CF$7:$CF$1843,CF248,$AW$7:$AW$1843,"&gt;"&amp;AW248)+SUMIFS($AS$7:$AS$1843,$CF$7:$CF$1843,CF248,$AW$7:$AW$1843,AW248,$BW$7:$BW$1843,"&lt;="&amp;BW248),"")</f>
        <v>1637.40750915751</v>
      </c>
      <c r="AY248" s="58" t="n">
        <f aca="false">IF(AX248="",0,MAX(0,MIN(1,(IF(CF248="L1",Parameter!$H$5,IF(CF248="L23",Parameter!$H$6+Parameter!$H$7,Parameter!$H$5+Parameter!$H$6+Parameter!$H$7))-(AX248-AS248))/AS248)))</f>
        <v>1</v>
      </c>
      <c r="AZ248" s="50" t="n">
        <f aca="false">IF(LEFT(Cockpit!$O$5,1)="A",H248,IF(Parameter!$E$30="MAX-Bestand",IF(CH248=1,CI248,IF(LEFT(Cockpit!$O$5,1)="B",BF248,MAX(BF248,H248))),ROUNDUP(BD248,0)))</f>
        <v>185</v>
      </c>
      <c r="BA248" s="50" t="n">
        <f aca="false">IF(BZ248=1,0,ROUNDUP(AZ248/BY248,0))</f>
        <v>2</v>
      </c>
      <c r="BB248" s="52" t="n">
        <f aca="false">IF(CQ248&gt;0,CQ248*MAX(1,AZ248/X248),IF(BZ248=1,IF(AZ248&lt;=0,0,CD248*MAX(1,IF(H248&gt;0,AZ248/H248,1))),IF(R248&gt;0,BA248/R248,0))/MAX(0.1,N(Parameter!$M$21)))</f>
        <v>0.0384615384615385</v>
      </c>
      <c r="BC248" s="50" t="n">
        <f aca="false">BB248*CB248</f>
        <v>5.96153846153846</v>
      </c>
      <c r="BD248" s="51" t="n">
        <f aca="false">IF(LEFT(Cockpit!$O$5,1)="A",H248,IF(CH248=1,(CK248+CI248)/2,IF(LEFT(Cockpit!$O$5,1)="B",(CK248+BF248)/2,MAX((CK248+BF248)/2,H248))))</f>
        <v>185</v>
      </c>
      <c r="BE248" s="50" t="n">
        <f aca="false">BD248*G248</f>
        <v>523.55</v>
      </c>
      <c r="BF248" s="50" t="n">
        <f aca="false">ROUNDUP(CK248+MAX(CL248,2*(J248/IF(CG248&gt;0,CG248,MAX(0.1,N(Cockpit!$O$6)))-CK248)),0)</f>
        <v>335</v>
      </c>
      <c r="BG248" s="51" t="n">
        <f aca="false">IF(BC248&gt;0,J248/BC248,-1)</f>
        <v>50.3225806451613</v>
      </c>
      <c r="BH248" s="51" t="n">
        <f aca="false">IF(AND(OR(CF248="L1",CF248="L23",CF248="LIFT"),BC248&gt;0),SUMIFS($BC$7:$BC$1843,$CF$7:$CF$1843,CF248,$BG$7:$BG$1843,"&gt;"&amp;BG248)+SUMIFS($BC$7:$BC$1843,$CF$7:$CF$1843,CF248,$BG$7:$BG$1843,BG248,$BW$7:$BW$1843,"&lt;="&amp;BW248),"")</f>
        <v>1208.11538461538</v>
      </c>
      <c r="BI248" s="58" t="n">
        <f aca="false">IF(BH248="",0,MAX(0,MIN(1,(IF(CF248="L1",Parameter!$H$5,IF(CF248="L23",Parameter!$H$6+Parameter!$H$7,Parameter!$H$5+Parameter!$H$6+Parameter!$H$7))-(BH248-BC248))/BC248)))</f>
        <v>1</v>
      </c>
      <c r="BJ248" s="48" t="str">
        <f aca="false">IF(AI248&lt;=0,"",IF(CF248="Aussen","Aussenlager",IF(CF248="-","Nicht im Lift",IF(AO248&gt;=1,"Lift",IF(AO248&lt;=0,"Aussenlager","teilweise")))))</f>
        <v>Lift</v>
      </c>
      <c r="BK248" s="48" t="str">
        <f aca="false">IF(AS248&lt;=0,"",IF(CF248="Aussen","Aussenlager",IF(CF248="-","Nicht im Lift",IF(AY248&gt;=1,"Lift",IF(AY248&lt;=0,"Aussenlager","teilweise")))))</f>
        <v>Lift</v>
      </c>
      <c r="BL248" s="48" t="str">
        <f aca="false">IF(BC248&lt;=0,"",IF(CF248="Aussen","Aussenlager",IF(CF248="-","Nicht im Lift",IF(BI248&gt;=1,"Lift",IF(BI248&lt;=0,"Aussenlager","teilweise")))))</f>
        <v>Lift</v>
      </c>
      <c r="BM248" s="48" t="str">
        <f aca="false">IF(A248="","",IF(BV248=1,"Neu; ","")&amp;IF(AND(BV248=0,BQ248&lt;0),"negativer Bestand (Export "&amp;BQ248&amp;"); ","")&amp;IF(J248&lt;=0,"Kein Verbrauch; ","")&amp;IF(CQ248&gt;0,"Lift "&amp;W248&amp;" lt. Liftbericht (Fach "&amp;X248&amp;" Stk); ",IF(CA248=1,"Gebinde geschätzt ("&amp;T248&amp;"); ",IF(BZ248=1,"Lose – Tablare geschätzt; ","")))&amp;IF(H248&gt;AV248,"Überbestand "&amp;ROUND(H248-AV248,0)&amp;" Stk / CHF "&amp;ROUND((H248-AV248)*G248,0)&amp;"; ","")&amp;IF(AND(CH248=1,CI248&lt;CJ248),"MAX &lt; MB+LG; ","")&amp;IF(AND(CP248&gt;0,CO248*10&gt;CP248),"zu hoch für Tablar; ","")&amp;IF(AND(BV248=0,OR(CH248=1,AA248&lt;&gt;"",U248&lt;&gt;"",V248&lt;&gt;"",AB248&lt;&gt;"")),"manuell übersteuert; ","")&amp;IF(AND(BZ248=0,R248=0),"Gebinde unbekannt / Stellmass fehlt; ","")&amp;IF(AND(BZ248=0,N(V248)&lt;=0,N(Q248)&lt;=0),"Menge pro Gebinde fehlt (Ist = 1 Gebinde); ","")&amp;BU248)</f>
        <v>Überbestand 2 Stk / CHF 6; nicht im KTL vorhanden</v>
      </c>
      <c r="BN248" s="48"/>
      <c r="BO248" s="48"/>
      <c r="BP248" s="55"/>
      <c r="BQ248" s="50" t="n">
        <v>184</v>
      </c>
      <c r="BR248" s="50" t="n">
        <v>153</v>
      </c>
      <c r="BS248" s="49" t="n">
        <v>517.66</v>
      </c>
      <c r="BT248" s="50" t="n">
        <v>300</v>
      </c>
      <c r="BU248" s="48" t="s">
        <v>239</v>
      </c>
      <c r="BV248" s="53" t="n">
        <v>0</v>
      </c>
      <c r="BW248" s="53" t="n">
        <v>248</v>
      </c>
      <c r="BX248" s="48" t="str">
        <f aca="false">IF(U248&lt;&gt;"",UPPER(TRIM(U248)),IF(CA248=1,UPPER(VLOOKUP(T248,Parameter!$I$27:$K$29,2,0)),IF(P248="","LOSE",P248)))</f>
        <v>S33</v>
      </c>
      <c r="BY248" s="50" t="n">
        <f aca="false">IF(BX248="LOSE",1,IF(N(V248)&gt;0,V248,IF(CA248=1,MAX(1,N(VLOOKUP(T248,Parameter!$I$27:$K$29,3,0)),H248,N(N248)),IF(N(Q248)&gt;0,Q248,MAX(1,H248)))))</f>
        <v>150</v>
      </c>
      <c r="BZ248" s="53" t="n">
        <f aca="false">IF(BX248="LOSE",1,0)</f>
        <v>0</v>
      </c>
      <c r="CA248" s="53" t="n">
        <f aca="false">IF(AND(U248="",OR(P248="",P248="LOSE"),T248&lt;&gt;"",N(S248)&lt;=0,ISNUMBER(MATCH(T248,Parameter!$I$27:$I$29,0))),1,0)</f>
        <v>0</v>
      </c>
      <c r="CB248" s="53" t="n">
        <f aca="false">IF(CQ248&gt;0,INDEX(Parameter!$H$5:$H$7,W248)/INDEX(Parameter!$E$5:$E$7,W248),IF(AND(BZ248=0,N(IFERROR(VLOOKUP(BX248,'Gebinde-Kategorie'!$A$5:$N$45,14,0),0))&gt;0),VLOOKUP(BX248,'Gebinde-Kategorie'!$A$5:$N$45,14,0)*10+Parameter!$M$23,Parameter!$M$24))</f>
        <v>155</v>
      </c>
      <c r="CC248" s="48" t="str">
        <f aca="false">IF(AND(Parameter!$B$19="Ja",E248&lt;&gt;"",ISNUMBER(MATCH(E248,Parameter!$I$35:$I$52,0))),VLOOKUP(E248,Parameter!$I$35:$J$52,2,0),IFERROR(VLOOKUP(D248,Parameter!$A$35:$C$64,2,0),"Nein"))</f>
        <v>2+3</v>
      </c>
      <c r="CD248" s="52" t="n">
        <f aca="false">IF(BZ248=0,0,IF(N(S248)&gt;0,S248,IFERROR(VLOOKUP(D248,Parameter!$A$35:$C$64,3,0)+0,0)))</f>
        <v>0</v>
      </c>
      <c r="CE248" s="48" t="n">
        <f aca="false">IF(AA248&lt;&gt;"",AA248,Z248)</f>
        <v>3</v>
      </c>
      <c r="CF248" s="48" t="str">
        <f aca="false">IF(OR(CE248=1,CE248=2,CE248=3),IF(Parameter!$E$27="Ja","LIFT",IF(CE248=1,"L1","L23")),IF(CE248="Aussen","Aussen","-"))</f>
        <v>LIFT</v>
      </c>
      <c r="CG248" s="59" t="n">
        <f aca="false">IF(N(AB248)&gt;0,AB248,0)</f>
        <v>0</v>
      </c>
      <c r="CH248" s="53" t="n">
        <f aca="false">IF(ISNUMBER(AE248),1,0)</f>
        <v>0</v>
      </c>
      <c r="CI248" s="50" t="n">
        <f aca="false">N(AE248)</f>
        <v>0</v>
      </c>
      <c r="CJ248" s="50" t="n">
        <f aca="false">N(M248)+N(N248)</f>
        <v>335</v>
      </c>
      <c r="CK248" s="50" t="n">
        <f aca="false">N(M248)</f>
        <v>35</v>
      </c>
      <c r="CL248" s="50" t="n">
        <f aca="false">N(N248)</f>
        <v>300</v>
      </c>
      <c r="CM248" s="50" t="n">
        <f aca="false">ROUNDUP(H248/BY248,0)</f>
        <v>3</v>
      </c>
      <c r="CN248" s="50" t="n">
        <f aca="false">ROUNDUP(CI248/BY248,0)</f>
        <v>0</v>
      </c>
      <c r="CO248" s="53" t="n">
        <f aca="false">IF(BZ248=1,0,IFERROR(VLOOKUP(BX248,'Gebinde-Kategorie'!$A$5:$N$45,5,0)+0,0))</f>
        <v>8</v>
      </c>
      <c r="CP248" s="53" t="n">
        <f aca="false">IFERROR(IF(OR(CE248=1,CE248=2,CE248=3),N(INDEX(Parameter!$I$5:$I$7,CE248)),0),0)</f>
        <v>0</v>
      </c>
      <c r="CQ248" s="52" t="n">
        <f aca="false">IF(AND(Parameter!$B$21="Ja",ISNUMBER(W248),N(X248)&gt;0),IFERROR(N(INDEX(Parameter!$L$5:$L$7,W248))*INDEX(Parameter!$E$5:$E$7,W248)*X248/SUMIFS($X$7:$X$1843,$W$7:$W$1843,W248),0),0)</f>
        <v>0</v>
      </c>
    </row>
    <row r="249" customFormat="false" ht="15" hidden="false" customHeight="false" outlineLevel="0" collapsed="false">
      <c r="A249" s="48" t="s">
        <v>691</v>
      </c>
      <c r="B249" s="48" t="s">
        <v>432</v>
      </c>
      <c r="C249" s="48" t="s">
        <v>173</v>
      </c>
      <c r="D249" s="48" t="s">
        <v>182</v>
      </c>
      <c r="E249" s="48" t="s">
        <v>182</v>
      </c>
      <c r="F249" s="48" t="s">
        <v>227</v>
      </c>
      <c r="G249" s="49" t="n">
        <v>126.31</v>
      </c>
      <c r="H249" s="50" t="n">
        <f aca="false">MAX(0,IF(AND(Parameter!$B$21="Ja",ISNUMBER(Y249)),Y249,IF(Parameter!$B$20="Jahresanfang 2025 + Export",BR249+BQ249,BQ249)))</f>
        <v>13</v>
      </c>
      <c r="I249" s="50" t="n">
        <f aca="false">H249*G249</f>
        <v>1642.03</v>
      </c>
      <c r="J249" s="50" t="n">
        <f aca="false">BT249*Parameter!$B$18</f>
        <v>43</v>
      </c>
      <c r="K249" s="51" t="n">
        <v>12.5</v>
      </c>
      <c r="L249" s="52" t="n">
        <v>3.44</v>
      </c>
      <c r="M249" s="50" t="n">
        <v>2</v>
      </c>
      <c r="N249" s="50" t="n">
        <v>6</v>
      </c>
      <c r="O249" s="53" t="n">
        <v>21</v>
      </c>
      <c r="P249" s="48" t="s">
        <v>268</v>
      </c>
      <c r="Q249" s="50" t="n">
        <v>12</v>
      </c>
      <c r="R249" s="53" t="n">
        <f aca="false">IF(BZ249=1,0,IFERROR(VLOOKUP(BX249,'Gebinde-Kategorie'!$A$5:$N$45,13,0)+0,0))</f>
        <v>6</v>
      </c>
      <c r="S249" s="54"/>
      <c r="T249" s="55"/>
      <c r="U249" s="55"/>
      <c r="V249" s="55"/>
      <c r="W249" s="48"/>
      <c r="X249" s="50"/>
      <c r="Y249" s="50"/>
      <c r="Z249" s="48" t="str">
        <f aca="false">IF(A249="","",IF(AND(Parameter!$B$21="Ja",ISNUMBER(W249)),W249,IF(CC249="2+3",IF(ISNUMBER(SEARCH("grosser Artikel",BU249)),2,IFERROR(VLOOKUP(BX249,Parameter!$F$35:$G$64,2,0),2)),IF(OR(CC249="Nein",CC249=""),"-",CC249))))</f>
        <v>-</v>
      </c>
      <c r="AA249" s="55"/>
      <c r="AB249" s="56"/>
      <c r="AC249" s="50" t="n">
        <f aca="false">AV249</f>
        <v>27</v>
      </c>
      <c r="AD249" s="50" t="n">
        <f aca="false">MAX(AV249,H249)</f>
        <v>27</v>
      </c>
      <c r="AE249" s="57"/>
      <c r="AF249" s="50" t="n">
        <f aca="false">IF(LEFT(Cockpit!$C$5,1)="A",H249,IF(Parameter!$E$30="MAX-Bestand",IF(CH249=1,CI249,IF(LEFT(Cockpit!$C$5,1)="B",AL249,MAX(AL249,H249))),ROUNDUP(AJ249,0)))</f>
        <v>13</v>
      </c>
      <c r="AG249" s="50" t="n">
        <f aca="false">IF(BZ249=1,0,ROUNDUP(AF249/BY249,0))</f>
        <v>2</v>
      </c>
      <c r="AH249" s="52" t="n">
        <f aca="false">IF(CQ249&gt;0,CQ249*MAX(1,AF249/X249),IF(BZ249=1,IF(AF249&lt;=0,0,CD249*MAX(1,IF(H249&gt;0,AF249/H249,1))),IF(R249&gt;0,AG249/R249,0))/MAX(0.1,N(Parameter!$M$21)))</f>
        <v>0.333333333333333</v>
      </c>
      <c r="AI249" s="50" t="n">
        <f aca="false">AH249*CB249</f>
        <v>145</v>
      </c>
      <c r="AJ249" s="51" t="n">
        <f aca="false">IF(LEFT(Cockpit!$C$5,1)="A",H249,IF(CH249=1,(CK249+CI249)/2,IF(LEFT(Cockpit!$C$5,1)="B",(CK249+AL249)/2,MAX((CK249+AL249)/2,H249))))</f>
        <v>13</v>
      </c>
      <c r="AK249" s="50" t="n">
        <f aca="false">AJ249*G249</f>
        <v>1642.03</v>
      </c>
      <c r="AL249" s="50" t="n">
        <f aca="false">ROUNDUP(CK249+MAX(CL249,2*(J249/IF(CG249&gt;0,CG249,MAX(0.1,N(Cockpit!$C$6)))-CK249)),0)</f>
        <v>27</v>
      </c>
      <c r="AM249" s="51" t="n">
        <f aca="false">IF(AI249&gt;0,J249/AI249,-1)</f>
        <v>0.296551724137931</v>
      </c>
      <c r="AN249" s="51" t="str">
        <f aca="false">IF(AND(OR(CF249="L1",CF249="L23",CF249="LIFT"),AI249&gt;0),SUMIFS($AI$7:$AI$1843,$CF$7:$CF$1843,CF249,$AM$7:$AM$1843,"&gt;"&amp;AM249)+SUMIFS($AI$7:$AI$1843,$CF$7:$CF$1843,CF249,$AM$7:$AM$1843,AM249,$BW$7:$BW$1843,"&lt;="&amp;BW249),"")</f>
        <v/>
      </c>
      <c r="AO249" s="58" t="n">
        <f aca="false">IF(AN249="",0,MAX(0,MIN(1,(IF(CF249="L1",Parameter!$H$5,IF(CF249="L23",Parameter!$H$6+Parameter!$H$7,Parameter!$H$5+Parameter!$H$6+Parameter!$H$7))-(AN249-AI249))/AI249)))</f>
        <v>0</v>
      </c>
      <c r="AP249" s="50" t="n">
        <f aca="false">IF(LEFT(Cockpit!$I$5,1)="A",H249,IF(Parameter!$E$30="MAX-Bestand",IF(CH249=1,CI249,IF(LEFT(Cockpit!$I$5,1)="B",AV249,MAX(AV249,H249))),ROUNDUP(AT249,0)))</f>
        <v>15</v>
      </c>
      <c r="AQ249" s="50" t="n">
        <f aca="false">IF(BZ249=1,0,ROUNDUP(AP249/BY249,0))</f>
        <v>2</v>
      </c>
      <c r="AR249" s="52" t="n">
        <f aca="false">IF(CQ249&gt;0,CQ249*MAX(1,AP249/X249),IF(BZ249=1,IF(AP249&lt;=0,0,CD249*MAX(1,IF(H249&gt;0,AP249/H249,1))),IF(R249&gt;0,AQ249/R249,0))/MAX(0.1,N(Parameter!$M$21)))</f>
        <v>0.333333333333333</v>
      </c>
      <c r="AS249" s="50" t="n">
        <f aca="false">AR249*CB249</f>
        <v>145</v>
      </c>
      <c r="AT249" s="51" t="n">
        <f aca="false">IF(LEFT(Cockpit!$I$5,1)="A",H249,IF(CH249=1,(CK249+CI249)/2,IF(LEFT(Cockpit!$I$5,1)="B",(CK249+AV249)/2,MAX((CK249+AV249)/2,H249))))</f>
        <v>14.5</v>
      </c>
      <c r="AU249" s="50" t="n">
        <f aca="false">AT249*G249</f>
        <v>1831.495</v>
      </c>
      <c r="AV249" s="50" t="n">
        <f aca="false">ROUNDUP(CK249+MAX(CL249,2*(J249/IF(CG249&gt;0,CG249,MAX(0.1,N(Cockpit!$I$6)))-CK249)),0)</f>
        <v>27</v>
      </c>
      <c r="AW249" s="51" t="n">
        <f aca="false">IF(AS249&gt;0,J249/AS249,-1)</f>
        <v>0.296551724137931</v>
      </c>
      <c r="AX249" s="51" t="str">
        <f aca="false">IF(AND(OR(CF249="L1",CF249="L23",CF249="LIFT"),AS249&gt;0),SUMIFS($AS$7:$AS$1843,$CF$7:$CF$1843,CF249,$AW$7:$AW$1843,"&gt;"&amp;AW249)+SUMIFS($AS$7:$AS$1843,$CF$7:$CF$1843,CF249,$AW$7:$AW$1843,AW249,$BW$7:$BW$1843,"&lt;="&amp;BW249),"")</f>
        <v/>
      </c>
      <c r="AY249" s="58" t="n">
        <f aca="false">IF(AX249="",0,MAX(0,MIN(1,(IF(CF249="L1",Parameter!$H$5,IF(CF249="L23",Parameter!$H$6+Parameter!$H$7,Parameter!$H$5+Parameter!$H$6+Parameter!$H$7))-(AX249-AS249))/AS249)))</f>
        <v>0</v>
      </c>
      <c r="AZ249" s="50" t="n">
        <f aca="false">IF(LEFT(Cockpit!$O$5,1)="A",H249,IF(Parameter!$E$30="MAX-Bestand",IF(CH249=1,CI249,IF(LEFT(Cockpit!$O$5,1)="B",BF249,MAX(BF249,H249))),ROUNDUP(BD249,0)))</f>
        <v>11</v>
      </c>
      <c r="BA249" s="50" t="n">
        <f aca="false">IF(BZ249=1,0,ROUNDUP(AZ249/BY249,0))</f>
        <v>1</v>
      </c>
      <c r="BB249" s="52" t="n">
        <f aca="false">IF(CQ249&gt;0,CQ249*MAX(1,AZ249/X249),IF(BZ249=1,IF(AZ249&lt;=0,0,CD249*MAX(1,IF(H249&gt;0,AZ249/H249,1))),IF(R249&gt;0,BA249/R249,0))/MAX(0.1,N(Parameter!$M$21)))</f>
        <v>0.166666666666667</v>
      </c>
      <c r="BC249" s="50" t="n">
        <f aca="false">BB249*CB249</f>
        <v>72.5</v>
      </c>
      <c r="BD249" s="51" t="n">
        <f aca="false">IF(LEFT(Cockpit!$O$5,1)="A",H249,IF(CH249=1,(CK249+CI249)/2,IF(LEFT(Cockpit!$O$5,1)="B",(CK249+BF249)/2,MAX((CK249+BF249)/2,H249))))</f>
        <v>11</v>
      </c>
      <c r="BE249" s="50" t="n">
        <f aca="false">BD249*G249</f>
        <v>1389.41</v>
      </c>
      <c r="BF249" s="50" t="n">
        <f aca="false">ROUNDUP(CK249+MAX(CL249,2*(J249/IF(CG249&gt;0,CG249,MAX(0.1,N(Cockpit!$O$6)))-CK249)),0)</f>
        <v>20</v>
      </c>
      <c r="BG249" s="51" t="n">
        <f aca="false">IF(BC249&gt;0,J249/BC249,-1)</f>
        <v>0.593103448275862</v>
      </c>
      <c r="BH249" s="51" t="str">
        <f aca="false">IF(AND(OR(CF249="L1",CF249="L23",CF249="LIFT"),BC249&gt;0),SUMIFS($BC$7:$BC$1843,$CF$7:$CF$1843,CF249,$BG$7:$BG$1843,"&gt;"&amp;BG249)+SUMIFS($BC$7:$BC$1843,$CF$7:$CF$1843,CF249,$BG$7:$BG$1843,BG249,$BW$7:$BW$1843,"&lt;="&amp;BW249),"")</f>
        <v/>
      </c>
      <c r="BI249" s="58" t="n">
        <f aca="false">IF(BH249="",0,MAX(0,MIN(1,(IF(CF249="L1",Parameter!$H$5,IF(CF249="L23",Parameter!$H$6+Parameter!$H$7,Parameter!$H$5+Parameter!$H$6+Parameter!$H$7))-(BH249-BC249))/BC249)))</f>
        <v>0</v>
      </c>
      <c r="BJ249" s="48" t="str">
        <f aca="false">IF(AI249&lt;=0,"",IF(CF249="Aussen","Aussenlager",IF(CF249="-","Nicht im Lift",IF(AO249&gt;=1,"Lift",IF(AO249&lt;=0,"Aussenlager","teilweise")))))</f>
        <v>Nicht im Lift</v>
      </c>
      <c r="BK249" s="48" t="str">
        <f aca="false">IF(AS249&lt;=0,"",IF(CF249="Aussen","Aussenlager",IF(CF249="-","Nicht im Lift",IF(AY249&gt;=1,"Lift",IF(AY249&lt;=0,"Aussenlager","teilweise")))))</f>
        <v>Nicht im Lift</v>
      </c>
      <c r="BL249" s="48" t="str">
        <f aca="false">IF(BC249&lt;=0,"",IF(CF249="Aussen","Aussenlager",IF(CF249="-","Nicht im Lift",IF(BI249&gt;=1,"Lift",IF(BI249&lt;=0,"Aussenlager","teilweise")))))</f>
        <v>Nicht im Lift</v>
      </c>
      <c r="BM249" s="48" t="str">
        <f aca="false">IF(A249="","",IF(BV249=1,"Neu; ","")&amp;IF(AND(BV249=0,BQ249&lt;0),"negativer Bestand (Export "&amp;BQ249&amp;"); ","")&amp;IF(J249&lt;=0,"Kein Verbrauch; ","")&amp;IF(CQ249&gt;0,"Lift "&amp;W249&amp;" lt. Liftbericht (Fach "&amp;X249&amp;" Stk); ",IF(CA249=1,"Gebinde geschätzt ("&amp;T249&amp;"); ",IF(BZ249=1,"Lose – Tablare geschätzt; ","")))&amp;IF(H249&gt;AV249,"Überbestand "&amp;ROUND(H249-AV249,0)&amp;" Stk / CHF "&amp;ROUND((H249-AV249)*G249,0)&amp;"; ","")&amp;IF(AND(CH249=1,CI249&lt;CJ249),"MAX &lt; MB+LG; ","")&amp;IF(AND(CP249&gt;0,CO249*10&gt;CP249),"zu hoch für Tablar; ","")&amp;IF(AND(BV249=0,OR(CH249=1,AA249&lt;&gt;"",U249&lt;&gt;"",V249&lt;&gt;"",AB249&lt;&gt;"")),"manuell übersteuert; ","")&amp;IF(AND(BZ249=0,R249=0),"Gebinde unbekannt / Stellmass fehlt; ","")&amp;IF(AND(BZ249=0,N(V249)&lt;=0,N(Q249)&lt;=0),"Menge pro Gebinde fehlt (Ist = 1 Gebinde); ","")&amp;BU249)</f>
        <v/>
      </c>
      <c r="BN249" s="48"/>
      <c r="BO249" s="48"/>
      <c r="BP249" s="55"/>
      <c r="BQ249" s="50" t="n">
        <v>3</v>
      </c>
      <c r="BR249" s="50" t="n">
        <v>10</v>
      </c>
      <c r="BS249" s="49" t="n">
        <v>515.759999999998</v>
      </c>
      <c r="BT249" s="50" t="n">
        <v>43</v>
      </c>
      <c r="BU249" s="48"/>
      <c r="BV249" s="53" t="n">
        <v>0</v>
      </c>
      <c r="BW249" s="53" t="n">
        <v>249</v>
      </c>
      <c r="BX249" s="48" t="str">
        <f aca="false">IF(U249&lt;&gt;"",UPPER(TRIM(U249)),IF(CA249=1,UPPER(VLOOKUP(T249,Parameter!$I$27:$K$29,2,0)),IF(P249="","LOSE",P249)))</f>
        <v>S72</v>
      </c>
      <c r="BY249" s="50" t="n">
        <f aca="false">IF(BX249="LOSE",1,IF(N(V249)&gt;0,V249,IF(CA249=1,MAX(1,N(VLOOKUP(T249,Parameter!$I$27:$K$29,3,0)),H249,N(N249)),IF(N(Q249)&gt;0,Q249,MAX(1,H249)))))</f>
        <v>12</v>
      </c>
      <c r="BZ249" s="53" t="n">
        <f aca="false">IF(BX249="LOSE",1,0)</f>
        <v>0</v>
      </c>
      <c r="CA249" s="53" t="n">
        <f aca="false">IF(AND(U249="",OR(P249="",P249="LOSE"),T249&lt;&gt;"",N(S249)&lt;=0,ISNUMBER(MATCH(T249,Parameter!$I$27:$I$29,0))),1,0)</f>
        <v>0</v>
      </c>
      <c r="CB249" s="53" t="n">
        <f aca="false">IF(CQ249&gt;0,INDEX(Parameter!$H$5:$H$7,W249)/INDEX(Parameter!$E$5:$E$7,W249),IF(AND(BZ249=0,N(IFERROR(VLOOKUP(BX249,'Gebinde-Kategorie'!$A$5:$N$45,14,0),0))&gt;0),VLOOKUP(BX249,'Gebinde-Kategorie'!$A$5:$N$45,14,0)*10+Parameter!$M$23,Parameter!$M$24))</f>
        <v>435</v>
      </c>
      <c r="CC249" s="48" t="str">
        <f aca="false">IF(AND(Parameter!$B$19="Ja",E249&lt;&gt;"",ISNUMBER(MATCH(E249,Parameter!$I$35:$I$52,0))),VLOOKUP(E249,Parameter!$I$35:$J$52,2,0),IFERROR(VLOOKUP(D249,Parameter!$A$35:$C$64,2,0),"Nein"))</f>
        <v>Nein</v>
      </c>
      <c r="CD249" s="52" t="n">
        <f aca="false">IF(BZ249=0,0,IF(N(S249)&gt;0,S249,IFERROR(VLOOKUP(D249,Parameter!$A$35:$C$64,3,0)+0,0)))</f>
        <v>0</v>
      </c>
      <c r="CE249" s="48" t="str">
        <f aca="false">IF(AA249&lt;&gt;"",AA249,Z249)</f>
        <v>-</v>
      </c>
      <c r="CF249" s="48" t="str">
        <f aca="false">IF(OR(CE249=1,CE249=2,CE249=3),IF(Parameter!$E$27="Ja","LIFT",IF(CE249=1,"L1","L23")),IF(CE249="Aussen","Aussen","-"))</f>
        <v>-</v>
      </c>
      <c r="CG249" s="59" t="n">
        <f aca="false">IF(N(AB249)&gt;0,AB249,0)</f>
        <v>0</v>
      </c>
      <c r="CH249" s="53" t="n">
        <f aca="false">IF(ISNUMBER(AE249),1,0)</f>
        <v>0</v>
      </c>
      <c r="CI249" s="50" t="n">
        <f aca="false">N(AE249)</f>
        <v>0</v>
      </c>
      <c r="CJ249" s="50" t="n">
        <f aca="false">N(M249)+N(N249)</f>
        <v>8</v>
      </c>
      <c r="CK249" s="50" t="n">
        <f aca="false">N(M249)</f>
        <v>2</v>
      </c>
      <c r="CL249" s="50" t="n">
        <f aca="false">N(N249)</f>
        <v>6</v>
      </c>
      <c r="CM249" s="50" t="n">
        <f aca="false">ROUNDUP(H249/BY249,0)</f>
        <v>2</v>
      </c>
      <c r="CN249" s="50" t="n">
        <f aca="false">ROUNDUP(CI249/BY249,0)</f>
        <v>0</v>
      </c>
      <c r="CO249" s="53" t="n">
        <f aca="false">IF(BZ249=1,0,IFERROR(VLOOKUP(BX249,'Gebinde-Kategorie'!$A$5:$N$45,5,0)+0,0))</f>
        <v>40</v>
      </c>
      <c r="CP249" s="53" t="n">
        <f aca="false">IFERROR(IF(OR(CE249=1,CE249=2,CE249=3),N(INDEX(Parameter!$I$5:$I$7,CE249)),0),0)</f>
        <v>0</v>
      </c>
      <c r="CQ249" s="52" t="n">
        <f aca="false">IF(AND(Parameter!$B$21="Ja",ISNUMBER(W249),N(X249)&gt;0),IFERROR(N(INDEX(Parameter!$L$5:$L$7,W249))*INDEX(Parameter!$E$5:$E$7,W249)*X249/SUMIFS($X$7:$X$1843,$W$7:$W$1843,W249),0),0)</f>
        <v>0</v>
      </c>
    </row>
    <row r="250" customFormat="false" ht="15" hidden="false" customHeight="false" outlineLevel="0" collapsed="false">
      <c r="A250" s="48" t="s">
        <v>692</v>
      </c>
      <c r="B250" s="48" t="s">
        <v>693</v>
      </c>
      <c r="C250" s="48" t="s">
        <v>173</v>
      </c>
      <c r="D250" s="48" t="s">
        <v>193</v>
      </c>
      <c r="E250" s="48" t="s">
        <v>194</v>
      </c>
      <c r="F250" s="48" t="s">
        <v>227</v>
      </c>
      <c r="G250" s="49" t="n">
        <v>1.23</v>
      </c>
      <c r="H250" s="50" t="n">
        <f aca="false">MAX(0,IF(AND(Parameter!$B$21="Ja",ISNUMBER(Y250)),Y250,IF(Parameter!$B$20="Jahresanfang 2025 + Export",BR250+BQ250,BQ250)))</f>
        <v>549</v>
      </c>
      <c r="I250" s="50" t="n">
        <f aca="false">H250*G250</f>
        <v>675.27</v>
      </c>
      <c r="J250" s="50" t="n">
        <f aca="false">BT250*Parameter!$B$18</f>
        <v>602</v>
      </c>
      <c r="K250" s="51" t="n">
        <v>211.5</v>
      </c>
      <c r="L250" s="52" t="n">
        <v>2.84633569739953</v>
      </c>
      <c r="M250" s="50" t="n">
        <v>35</v>
      </c>
      <c r="N250" s="50" t="n">
        <v>250</v>
      </c>
      <c r="O250" s="53" t="n">
        <v>21</v>
      </c>
      <c r="P250" s="48" t="s">
        <v>311</v>
      </c>
      <c r="Q250" s="50" t="n">
        <v>559</v>
      </c>
      <c r="R250" s="53" t="n">
        <f aca="false">IF(BZ250=1,0,IFERROR(VLOOKUP(BX250,'Gebinde-Kategorie'!$A$5:$N$45,13,0)+0,0))</f>
        <v>26</v>
      </c>
      <c r="S250" s="54"/>
      <c r="T250" s="55"/>
      <c r="U250" s="55"/>
      <c r="V250" s="55"/>
      <c r="W250" s="48"/>
      <c r="X250" s="50"/>
      <c r="Y250" s="50"/>
      <c r="Z250" s="48" t="n">
        <f aca="false">IF(A250="","",IF(AND(Parameter!$B$21="Ja",ISNUMBER(W250)),W250,IF(CC250="2+3",IF(ISNUMBER(SEARCH("grosser Artikel",BU250)),2,IFERROR(VLOOKUP(BX250,Parameter!$F$35:$G$64,2,0),2)),IF(OR(CC250="Nein",CC250=""),"-",CC250))))</f>
        <v>3</v>
      </c>
      <c r="AA250" s="55"/>
      <c r="AB250" s="56"/>
      <c r="AC250" s="50" t="n">
        <f aca="false">AV250</f>
        <v>367</v>
      </c>
      <c r="AD250" s="50" t="n">
        <f aca="false">MAX(AV250,H250)</f>
        <v>549</v>
      </c>
      <c r="AE250" s="57"/>
      <c r="AF250" s="50" t="n">
        <f aca="false">IF(LEFT(Cockpit!$C$5,1)="A",H250,IF(Parameter!$E$30="MAX-Bestand",IF(CH250=1,CI250,IF(LEFT(Cockpit!$C$5,1)="B",AL250,MAX(AL250,H250))),ROUNDUP(AJ250,0)))</f>
        <v>549</v>
      </c>
      <c r="AG250" s="50" t="n">
        <f aca="false">IF(BZ250=1,0,ROUNDUP(AF250/BY250,0))</f>
        <v>1</v>
      </c>
      <c r="AH250" s="52" t="n">
        <f aca="false">IF(CQ250&gt;0,CQ250*MAX(1,AF250/X250),IF(BZ250=1,IF(AF250&lt;=0,0,CD250*MAX(1,IF(H250&gt;0,AF250/H250,1))),IF(R250&gt;0,AG250/R250,0))/MAX(0.1,N(Parameter!$M$21)))</f>
        <v>0.0384615384615385</v>
      </c>
      <c r="AI250" s="50" t="n">
        <f aca="false">AH250*CB250</f>
        <v>5.96153846153846</v>
      </c>
      <c r="AJ250" s="51" t="n">
        <f aca="false">IF(LEFT(Cockpit!$C$5,1)="A",H250,IF(CH250=1,(CK250+CI250)/2,IF(LEFT(Cockpit!$C$5,1)="B",(CK250+AL250)/2,MAX((CK250+AL250)/2,H250))))</f>
        <v>549</v>
      </c>
      <c r="AK250" s="50" t="n">
        <f aca="false">AJ250*G250</f>
        <v>675.27</v>
      </c>
      <c r="AL250" s="50" t="n">
        <f aca="false">ROUNDUP(CK250+MAX(CL250,2*(J250/IF(CG250&gt;0,CG250,MAX(0.1,N(Cockpit!$C$6)))-CK250)),0)</f>
        <v>367</v>
      </c>
      <c r="AM250" s="51" t="n">
        <f aca="false">IF(AI250&gt;0,J250/AI250,-1)</f>
        <v>100.98064516129</v>
      </c>
      <c r="AN250" s="51" t="n">
        <f aca="false">IF(AND(OR(CF250="L1",CF250="L23",CF250="LIFT"),AI250&gt;0),SUMIFS($AI$7:$AI$1843,$CF$7:$CF$1843,CF250,$AM$7:$AM$1843,"&gt;"&amp;AM250)+SUMIFS($AI$7:$AI$1843,$CF$7:$CF$1843,CF250,$AM$7:$AM$1843,AM250,$BW$7:$BW$1843,"&lt;="&amp;BW250),"")</f>
        <v>764.44184981685</v>
      </c>
      <c r="AO250" s="58" t="n">
        <f aca="false">IF(AN250="",0,MAX(0,MIN(1,(IF(CF250="L1",Parameter!$H$5,IF(CF250="L23",Parameter!$H$6+Parameter!$H$7,Parameter!$H$5+Parameter!$H$6+Parameter!$H$7))-(AN250-AI250))/AI250)))</f>
        <v>1</v>
      </c>
      <c r="AP250" s="50" t="n">
        <f aca="false">IF(LEFT(Cockpit!$I$5,1)="A",H250,IF(Parameter!$E$30="MAX-Bestand",IF(CH250=1,CI250,IF(LEFT(Cockpit!$I$5,1)="B",AV250,MAX(AV250,H250))),ROUNDUP(AT250,0)))</f>
        <v>549</v>
      </c>
      <c r="AQ250" s="50" t="n">
        <f aca="false">IF(BZ250=1,0,ROUNDUP(AP250/BY250,0))</f>
        <v>1</v>
      </c>
      <c r="AR250" s="52" t="n">
        <f aca="false">IF(CQ250&gt;0,CQ250*MAX(1,AP250/X250),IF(BZ250=1,IF(AP250&lt;=0,0,CD250*MAX(1,IF(H250&gt;0,AP250/H250,1))),IF(R250&gt;0,AQ250/R250,0))/MAX(0.1,N(Parameter!$M$21)))</f>
        <v>0.0384615384615385</v>
      </c>
      <c r="AS250" s="50" t="n">
        <f aca="false">AR250*CB250</f>
        <v>5.96153846153846</v>
      </c>
      <c r="AT250" s="51" t="n">
        <f aca="false">IF(LEFT(Cockpit!$I$5,1)="A",H250,IF(CH250=1,(CK250+CI250)/2,IF(LEFT(Cockpit!$I$5,1)="B",(CK250+AV250)/2,MAX((CK250+AV250)/2,H250))))</f>
        <v>549</v>
      </c>
      <c r="AU250" s="50" t="n">
        <f aca="false">AT250*G250</f>
        <v>675.27</v>
      </c>
      <c r="AV250" s="50" t="n">
        <f aca="false">ROUNDUP(CK250+MAX(CL250,2*(J250/IF(CG250&gt;0,CG250,MAX(0.1,N(Cockpit!$I$6)))-CK250)),0)</f>
        <v>367</v>
      </c>
      <c r="AW250" s="51" t="n">
        <f aca="false">IF(AS250&gt;0,J250/AS250,-1)</f>
        <v>100.98064516129</v>
      </c>
      <c r="AX250" s="51" t="n">
        <f aca="false">IF(AND(OR(CF250="L1",CF250="L23",CF250="LIFT"),AS250&gt;0),SUMIFS($AS$7:$AS$1843,$CF$7:$CF$1843,CF250,$AW$7:$AW$1843,"&gt;"&amp;AW250)+SUMIFS($AS$7:$AS$1843,$CF$7:$CF$1843,CF250,$AW$7:$AW$1843,AW250,$BW$7:$BW$1843,"&lt;="&amp;BW250),"")</f>
        <v>839.164835164835</v>
      </c>
      <c r="AY250" s="58" t="n">
        <f aca="false">IF(AX250="",0,MAX(0,MIN(1,(IF(CF250="L1",Parameter!$H$5,IF(CF250="L23",Parameter!$H$6+Parameter!$H$7,Parameter!$H$5+Parameter!$H$6+Parameter!$H$7))-(AX250-AS250))/AS250)))</f>
        <v>1</v>
      </c>
      <c r="AZ250" s="50" t="n">
        <f aca="false">IF(LEFT(Cockpit!$O$5,1)="A",H250,IF(Parameter!$E$30="MAX-Bestand",IF(CH250=1,CI250,IF(LEFT(Cockpit!$O$5,1)="B",BF250,MAX(BF250,H250))),ROUNDUP(BD250,0)))</f>
        <v>160</v>
      </c>
      <c r="BA250" s="50" t="n">
        <f aca="false">IF(BZ250=1,0,ROUNDUP(AZ250/BY250,0))</f>
        <v>1</v>
      </c>
      <c r="BB250" s="52" t="n">
        <f aca="false">IF(CQ250&gt;0,CQ250*MAX(1,AZ250/X250),IF(BZ250=1,IF(AZ250&lt;=0,0,CD250*MAX(1,IF(H250&gt;0,AZ250/H250,1))),IF(R250&gt;0,BA250/R250,0))/MAX(0.1,N(Parameter!$M$21)))</f>
        <v>0.0384615384615385</v>
      </c>
      <c r="BC250" s="50" t="n">
        <f aca="false">BB250*CB250</f>
        <v>5.96153846153846</v>
      </c>
      <c r="BD250" s="51" t="n">
        <f aca="false">IF(LEFT(Cockpit!$O$5,1)="A",H250,IF(CH250=1,(CK250+CI250)/2,IF(LEFT(Cockpit!$O$5,1)="B",(CK250+BF250)/2,MAX((CK250+BF250)/2,H250))))</f>
        <v>160</v>
      </c>
      <c r="BE250" s="50" t="n">
        <f aca="false">BD250*G250</f>
        <v>196.8</v>
      </c>
      <c r="BF250" s="50" t="n">
        <f aca="false">ROUNDUP(CK250+MAX(CL250,2*(J250/IF(CG250&gt;0,CG250,MAX(0.1,N(Cockpit!$O$6)))-CK250)),0)</f>
        <v>285</v>
      </c>
      <c r="BG250" s="51" t="n">
        <f aca="false">IF(BC250&gt;0,J250/BC250,-1)</f>
        <v>100.98064516129</v>
      </c>
      <c r="BH250" s="51" t="n">
        <f aca="false">IF(AND(OR(CF250="L1",CF250="L23",CF250="LIFT"),BC250&gt;0),SUMIFS($BC$7:$BC$1843,$CF$7:$CF$1843,CF250,$BG$7:$BG$1843,"&gt;"&amp;BG250)+SUMIFS($BC$7:$BC$1843,$CF$7:$CF$1843,CF250,$BG$7:$BG$1843,BG250,$BW$7:$BW$1843,"&lt;="&amp;BW250),"")</f>
        <v>908.905677655678</v>
      </c>
      <c r="BI250" s="58" t="n">
        <f aca="false">IF(BH250="",0,MAX(0,MIN(1,(IF(CF250="L1",Parameter!$H$5,IF(CF250="L23",Parameter!$H$6+Parameter!$H$7,Parameter!$H$5+Parameter!$H$6+Parameter!$H$7))-(BH250-BC250))/BC250)))</f>
        <v>1</v>
      </c>
      <c r="BJ250" s="48" t="str">
        <f aca="false">IF(AI250&lt;=0,"",IF(CF250="Aussen","Aussenlager",IF(CF250="-","Nicht im Lift",IF(AO250&gt;=1,"Lift",IF(AO250&lt;=0,"Aussenlager","teilweise")))))</f>
        <v>Lift</v>
      </c>
      <c r="BK250" s="48" t="str">
        <f aca="false">IF(AS250&lt;=0,"",IF(CF250="Aussen","Aussenlager",IF(CF250="-","Nicht im Lift",IF(AY250&gt;=1,"Lift",IF(AY250&lt;=0,"Aussenlager","teilweise")))))</f>
        <v>Lift</v>
      </c>
      <c r="BL250" s="48" t="str">
        <f aca="false">IF(BC250&lt;=0,"",IF(CF250="Aussen","Aussenlager",IF(CF250="-","Nicht im Lift",IF(BI250&gt;=1,"Lift",IF(BI250&lt;=0,"Aussenlager","teilweise")))))</f>
        <v>Lift</v>
      </c>
      <c r="BM250" s="48" t="str">
        <f aca="false">IF(A250="","",IF(BV250=1,"Neu; ","")&amp;IF(AND(BV250=0,BQ250&lt;0),"negativer Bestand (Export "&amp;BQ250&amp;"); ","")&amp;IF(J250&lt;=0,"Kein Verbrauch; ","")&amp;IF(CQ250&gt;0,"Lift "&amp;W250&amp;" lt. Liftbericht (Fach "&amp;X250&amp;" Stk); ",IF(CA250=1,"Gebinde geschätzt ("&amp;T250&amp;"); ",IF(BZ250=1,"Lose – Tablare geschätzt; ","")))&amp;IF(H250&gt;AV250,"Überbestand "&amp;ROUND(H250-AV250,0)&amp;" Stk / CHF "&amp;ROUND((H250-AV250)*G250,0)&amp;"; ","")&amp;IF(AND(CH250=1,CI250&lt;CJ250),"MAX &lt; MB+LG; ","")&amp;IF(AND(CP250&gt;0,CO250*10&gt;CP250),"zu hoch für Tablar; ","")&amp;IF(AND(BV250=0,OR(CH250=1,AA250&lt;&gt;"",U250&lt;&gt;"",V250&lt;&gt;"",AB250&lt;&gt;"")),"manuell übersteuert; ","")&amp;IF(AND(BZ250=0,R250=0),"Gebinde unbekannt / Stellmass fehlt; ","")&amp;IF(AND(BZ250=0,N(V250)&lt;=0,N(Q250)&lt;=0),"Menge pro Gebinde fehlt (Ist = 1 Gebinde); ","")&amp;BU250)</f>
        <v>Überbestand 182 Stk / CHF 224; </v>
      </c>
      <c r="BN250" s="48"/>
      <c r="BO250" s="48"/>
      <c r="BP250" s="55"/>
      <c r="BQ250" s="50" t="n">
        <v>380</v>
      </c>
      <c r="BR250" s="50" t="n">
        <v>169</v>
      </c>
      <c r="BS250" s="49" t="n">
        <v>495.66</v>
      </c>
      <c r="BT250" s="50" t="n">
        <v>602</v>
      </c>
      <c r="BU250" s="48"/>
      <c r="BV250" s="53" t="n">
        <v>0</v>
      </c>
      <c r="BW250" s="53" t="n">
        <v>250</v>
      </c>
      <c r="BX250" s="48" t="str">
        <f aca="false">IF(U250&lt;&gt;"",UPPER(TRIM(U250)),IF(CA250=1,UPPER(VLOOKUP(T250,Parameter!$I$27:$K$29,2,0)),IF(P250="","LOSE",P250)))</f>
        <v>S51</v>
      </c>
      <c r="BY250" s="50" t="n">
        <f aca="false">IF(BX250="LOSE",1,IF(N(V250)&gt;0,V250,IF(CA250=1,MAX(1,N(VLOOKUP(T250,Parameter!$I$27:$K$29,3,0)),H250,N(N250)),IF(N(Q250)&gt;0,Q250,MAX(1,H250)))))</f>
        <v>559</v>
      </c>
      <c r="BZ250" s="53" t="n">
        <f aca="false">IF(BX250="LOSE",1,0)</f>
        <v>0</v>
      </c>
      <c r="CA250" s="53" t="n">
        <f aca="false">IF(AND(U250="",OR(P250="",P250="LOSE"),T250&lt;&gt;"",N(S250)&lt;=0,ISNUMBER(MATCH(T250,Parameter!$I$27:$I$29,0))),1,0)</f>
        <v>0</v>
      </c>
      <c r="CB250" s="53" t="n">
        <f aca="false">IF(CQ250&gt;0,INDEX(Parameter!$H$5:$H$7,W250)/INDEX(Parameter!$E$5:$E$7,W250),IF(AND(BZ250=0,N(IFERROR(VLOOKUP(BX250,'Gebinde-Kategorie'!$A$5:$N$45,14,0),0))&gt;0),VLOOKUP(BX250,'Gebinde-Kategorie'!$A$5:$N$45,14,0)*10+Parameter!$M$23,Parameter!$M$24))</f>
        <v>155</v>
      </c>
      <c r="CC250" s="48" t="str">
        <f aca="false">IF(AND(Parameter!$B$19="Ja",E250&lt;&gt;"",ISNUMBER(MATCH(E250,Parameter!$I$35:$I$52,0))),VLOOKUP(E250,Parameter!$I$35:$J$52,2,0),IFERROR(VLOOKUP(D250,Parameter!$A$35:$C$64,2,0),"Nein"))</f>
        <v>2+3</v>
      </c>
      <c r="CD250" s="52" t="n">
        <f aca="false">IF(BZ250=0,0,IF(N(S250)&gt;0,S250,IFERROR(VLOOKUP(D250,Parameter!$A$35:$C$64,3,0)+0,0)))</f>
        <v>0</v>
      </c>
      <c r="CE250" s="48" t="n">
        <f aca="false">IF(AA250&lt;&gt;"",AA250,Z250)</f>
        <v>3</v>
      </c>
      <c r="CF250" s="48" t="str">
        <f aca="false">IF(OR(CE250=1,CE250=2,CE250=3),IF(Parameter!$E$27="Ja","LIFT",IF(CE250=1,"L1","L23")),IF(CE250="Aussen","Aussen","-"))</f>
        <v>LIFT</v>
      </c>
      <c r="CG250" s="59" t="n">
        <f aca="false">IF(N(AB250)&gt;0,AB250,0)</f>
        <v>0</v>
      </c>
      <c r="CH250" s="53" t="n">
        <f aca="false">IF(ISNUMBER(AE250),1,0)</f>
        <v>0</v>
      </c>
      <c r="CI250" s="50" t="n">
        <f aca="false">N(AE250)</f>
        <v>0</v>
      </c>
      <c r="CJ250" s="50" t="n">
        <f aca="false">N(M250)+N(N250)</f>
        <v>285</v>
      </c>
      <c r="CK250" s="50" t="n">
        <f aca="false">N(M250)</f>
        <v>35</v>
      </c>
      <c r="CL250" s="50" t="n">
        <f aca="false">N(N250)</f>
        <v>250</v>
      </c>
      <c r="CM250" s="50" t="n">
        <f aca="false">ROUNDUP(H250/BY250,0)</f>
        <v>1</v>
      </c>
      <c r="CN250" s="50" t="n">
        <f aca="false">ROUNDUP(CI250/BY250,0)</f>
        <v>0</v>
      </c>
      <c r="CO250" s="53" t="n">
        <f aca="false">IF(BZ250=1,0,IFERROR(VLOOKUP(BX250,'Gebinde-Kategorie'!$A$5:$N$45,5,0)+0,0))</f>
        <v>11</v>
      </c>
      <c r="CP250" s="53" t="n">
        <f aca="false">IFERROR(IF(OR(CE250=1,CE250=2,CE250=3),N(INDEX(Parameter!$I$5:$I$7,CE250)),0),0)</f>
        <v>0</v>
      </c>
      <c r="CQ250" s="52" t="n">
        <f aca="false">IF(AND(Parameter!$B$21="Ja",ISNUMBER(W250),N(X250)&gt;0),IFERROR(N(INDEX(Parameter!$L$5:$L$7,W250))*INDEX(Parameter!$E$5:$E$7,W250)*X250/SUMIFS($X$7:$X$1843,$W$7:$W$1843,W250),0),0)</f>
        <v>0</v>
      </c>
    </row>
    <row r="251" customFormat="false" ht="15" hidden="false" customHeight="false" outlineLevel="0" collapsed="false">
      <c r="A251" s="48" t="s">
        <v>694</v>
      </c>
      <c r="B251" s="48" t="s">
        <v>695</v>
      </c>
      <c r="C251" s="48" t="s">
        <v>173</v>
      </c>
      <c r="D251" s="48" t="s">
        <v>193</v>
      </c>
      <c r="E251" s="48"/>
      <c r="F251" s="48" t="s">
        <v>227</v>
      </c>
      <c r="G251" s="49" t="n">
        <v>32.98</v>
      </c>
      <c r="H251" s="50" t="n">
        <f aca="false">MAX(0,IF(AND(Parameter!$B$21="Ja",ISNUMBER(Y251)),Y251,IF(Parameter!$B$20="Jahresanfang 2025 + Export",BR251+BQ251,BQ251)))</f>
        <v>15</v>
      </c>
      <c r="I251" s="50" t="n">
        <f aca="false">H251*G251</f>
        <v>494.7</v>
      </c>
      <c r="J251" s="50" t="n">
        <f aca="false">BT251*Parameter!$B$18</f>
        <v>0</v>
      </c>
      <c r="K251" s="51" t="n">
        <v>0</v>
      </c>
      <c r="L251" s="52" t="n">
        <v>0</v>
      </c>
      <c r="M251" s="50" t="n">
        <v>0</v>
      </c>
      <c r="N251" s="50" t="n">
        <v>1</v>
      </c>
      <c r="O251" s="53" t="n">
        <v>9999</v>
      </c>
      <c r="P251" s="48" t="s">
        <v>177</v>
      </c>
      <c r="Q251" s="50"/>
      <c r="R251" s="53" t="n">
        <f aca="false">IF(BZ251=1,0,IFERROR(VLOOKUP(BX251,'Gebinde-Kategorie'!$A$5:$N$45,13,0)+0,0))</f>
        <v>4</v>
      </c>
      <c r="S251" s="54"/>
      <c r="T251" s="55" t="s">
        <v>198</v>
      </c>
      <c r="U251" s="55"/>
      <c r="V251" s="55"/>
      <c r="W251" s="48"/>
      <c r="X251" s="50"/>
      <c r="Y251" s="50"/>
      <c r="Z251" s="48" t="n">
        <f aca="false">IF(A251="","",IF(AND(Parameter!$B$21="Ja",ISNUMBER(W251)),W251,IF(CC251="2+3",IF(ISNUMBER(SEARCH("grosser Artikel",BU251)),2,IFERROR(VLOOKUP(BX251,Parameter!$F$35:$G$64,2,0),2)),IF(OR(CC251="Nein",CC251=""),"-",CC251))))</f>
        <v>2</v>
      </c>
      <c r="AA251" s="55"/>
      <c r="AB251" s="56"/>
      <c r="AC251" s="50" t="n">
        <f aca="false">AV251</f>
        <v>1</v>
      </c>
      <c r="AD251" s="50" t="n">
        <f aca="false">MAX(AV251,H251)</f>
        <v>15</v>
      </c>
      <c r="AE251" s="57"/>
      <c r="AF251" s="50" t="n">
        <f aca="false">IF(LEFT(Cockpit!$C$5,1)="A",H251,IF(Parameter!$E$30="MAX-Bestand",IF(CH251=1,CI251,IF(LEFT(Cockpit!$C$5,1)="B",AL251,MAX(AL251,H251))),ROUNDUP(AJ251,0)))</f>
        <v>15</v>
      </c>
      <c r="AG251" s="50" t="n">
        <f aca="false">IF(BZ251=1,0,ROUNDUP(AF251/BY251,0))</f>
        <v>1</v>
      </c>
      <c r="AH251" s="52" t="n">
        <f aca="false">IF(CQ251&gt;0,CQ251*MAX(1,AF251/X251),IF(BZ251=1,IF(AF251&lt;=0,0,CD251*MAX(1,IF(H251&gt;0,AF251/H251,1))),IF(R251&gt;0,AG251/R251,0))/MAX(0.1,N(Parameter!$M$21)))</f>
        <v>0.25</v>
      </c>
      <c r="AI251" s="50" t="n">
        <f aca="false">AH251*CB251</f>
        <v>58.75</v>
      </c>
      <c r="AJ251" s="51" t="n">
        <f aca="false">IF(LEFT(Cockpit!$C$5,1)="A",H251,IF(CH251=1,(CK251+CI251)/2,IF(LEFT(Cockpit!$C$5,1)="B",(CK251+AL251)/2,MAX((CK251+AL251)/2,H251))))</f>
        <v>15</v>
      </c>
      <c r="AK251" s="50" t="n">
        <f aca="false">AJ251*G251</f>
        <v>494.7</v>
      </c>
      <c r="AL251" s="50" t="n">
        <f aca="false">ROUNDUP(CK251+MAX(CL251,2*(J251/IF(CG251&gt;0,CG251,MAX(0.1,N(Cockpit!$C$6)))-CK251)),0)</f>
        <v>1</v>
      </c>
      <c r="AM251" s="51" t="n">
        <f aca="false">IF(AI251&gt;0,J251/AI251,-1)</f>
        <v>0</v>
      </c>
      <c r="AN251" s="51" t="n">
        <f aca="false">IF(AND(OR(CF251="L1",CF251="L23",CF251="LIFT"),AI251&gt;0),SUMIFS($AI$7:$AI$1843,$CF$7:$CF$1843,CF251,$AM$7:$AM$1843,"&gt;"&amp;AM251)+SUMIFS($AI$7:$AI$1843,$CF$7:$CF$1843,CF251,$AM$7:$AM$1843,AM251,$BW$7:$BW$1843,"&lt;="&amp;BW251),"")</f>
        <v>27739.0171095383</v>
      </c>
      <c r="AO251" s="58" t="n">
        <f aca="false">IF(AN251="",0,MAX(0,MIN(1,(IF(CF251="L1",Parameter!$H$5,IF(CF251="L23",Parameter!$H$6+Parameter!$H$7,Parameter!$H$5+Parameter!$H$6+Parameter!$H$7))-(AN251-AI251))/AI251)))</f>
        <v>1</v>
      </c>
      <c r="AP251" s="50" t="n">
        <f aca="false">IF(LEFT(Cockpit!$I$5,1)="A",H251,IF(Parameter!$E$30="MAX-Bestand",IF(CH251=1,CI251,IF(LEFT(Cockpit!$I$5,1)="B",AV251,MAX(AV251,H251))),ROUNDUP(AT251,0)))</f>
        <v>15</v>
      </c>
      <c r="AQ251" s="50" t="n">
        <f aca="false">IF(BZ251=1,0,ROUNDUP(AP251/BY251,0))</f>
        <v>1</v>
      </c>
      <c r="AR251" s="52" t="n">
        <f aca="false">IF(CQ251&gt;0,CQ251*MAX(1,AP251/X251),IF(BZ251=1,IF(AP251&lt;=0,0,CD251*MAX(1,IF(H251&gt;0,AP251/H251,1))),IF(R251&gt;0,AQ251/R251,0))/MAX(0.1,N(Parameter!$M$21)))</f>
        <v>0.25</v>
      </c>
      <c r="AS251" s="50" t="n">
        <f aca="false">AR251*CB251</f>
        <v>58.75</v>
      </c>
      <c r="AT251" s="51" t="n">
        <f aca="false">IF(LEFT(Cockpit!$I$5,1)="A",H251,IF(CH251=1,(CK251+CI251)/2,IF(LEFT(Cockpit!$I$5,1)="B",(CK251+AV251)/2,MAX((CK251+AV251)/2,H251))))</f>
        <v>15</v>
      </c>
      <c r="AU251" s="50" t="n">
        <f aca="false">AT251*G251</f>
        <v>494.7</v>
      </c>
      <c r="AV251" s="50" t="n">
        <f aca="false">ROUNDUP(CK251+MAX(CL251,2*(J251/IF(CG251&gt;0,CG251,MAX(0.1,N(Cockpit!$I$6)))-CK251)),0)</f>
        <v>1</v>
      </c>
      <c r="AW251" s="51" t="n">
        <f aca="false">IF(AS251&gt;0,J251/AS251,-1)</f>
        <v>0</v>
      </c>
      <c r="AX251" s="51" t="n">
        <f aca="false">IF(AND(OR(CF251="L1",CF251="L23",CF251="LIFT"),AS251&gt;0),SUMIFS($AS$7:$AS$1843,$CF$7:$CF$1843,CF251,$AW$7:$AW$1843,"&gt;"&amp;AW251)+SUMIFS($AS$7:$AS$1843,$CF$7:$CF$1843,CF251,$AW$7:$AW$1843,AW251,$BW$7:$BW$1843,"&lt;="&amp;BW251),"")</f>
        <v>33092.1657509158</v>
      </c>
      <c r="AY251" s="58" t="n">
        <f aca="false">IF(AX251="",0,MAX(0,MIN(1,(IF(CF251="L1",Parameter!$H$5,IF(CF251="L23",Parameter!$H$6+Parameter!$H$7,Parameter!$H$5+Parameter!$H$6+Parameter!$H$7))-(AX251-AS251))/AS251)))</f>
        <v>1</v>
      </c>
      <c r="AZ251" s="50" t="n">
        <f aca="false">IF(LEFT(Cockpit!$O$5,1)="A",H251,IF(Parameter!$E$30="MAX-Bestand",IF(CH251=1,CI251,IF(LEFT(Cockpit!$O$5,1)="B",BF251,MAX(BF251,H251))),ROUNDUP(BD251,0)))</f>
        <v>1</v>
      </c>
      <c r="BA251" s="50" t="n">
        <f aca="false">IF(BZ251=1,0,ROUNDUP(AZ251/BY251,0))</f>
        <v>1</v>
      </c>
      <c r="BB251" s="52" t="n">
        <f aca="false">IF(CQ251&gt;0,CQ251*MAX(1,AZ251/X251),IF(BZ251=1,IF(AZ251&lt;=0,0,CD251*MAX(1,IF(H251&gt;0,AZ251/H251,1))),IF(R251&gt;0,BA251/R251,0))/MAX(0.1,N(Parameter!$M$21)))</f>
        <v>0.25</v>
      </c>
      <c r="BC251" s="50" t="n">
        <f aca="false">BB251*CB251</f>
        <v>58.75</v>
      </c>
      <c r="BD251" s="51" t="n">
        <f aca="false">IF(LEFT(Cockpit!$O$5,1)="A",H251,IF(CH251=1,(CK251+CI251)/2,IF(LEFT(Cockpit!$O$5,1)="B",(CK251+BF251)/2,MAX((CK251+BF251)/2,H251))))</f>
        <v>0.5</v>
      </c>
      <c r="BE251" s="50" t="n">
        <f aca="false">BD251*G251</f>
        <v>16.49</v>
      </c>
      <c r="BF251" s="50" t="n">
        <f aca="false">ROUNDUP(CK251+MAX(CL251,2*(J251/IF(CG251&gt;0,CG251,MAX(0.1,N(Cockpit!$O$6)))-CK251)),0)</f>
        <v>1</v>
      </c>
      <c r="BG251" s="51" t="n">
        <f aca="false">IF(BC251&gt;0,J251/BC251,-1)</f>
        <v>0</v>
      </c>
      <c r="BH251" s="51" t="n">
        <f aca="false">IF(AND(OR(CF251="L1",CF251="L23",CF251="LIFT"),BC251&gt;0),SUMIFS($BC$7:$BC$1843,$CF$7:$CF$1843,CF251,$BG$7:$BG$1843,"&gt;"&amp;BG251)+SUMIFS($BC$7:$BC$1843,$CF$7:$CF$1843,CF251,$BG$7:$BG$1843,BG251,$BW$7:$BW$1843,"&lt;="&amp;BW251),"")</f>
        <v>27246.9847737009</v>
      </c>
      <c r="BI251" s="58" t="n">
        <f aca="false">IF(BH251="",0,MAX(0,MIN(1,(IF(CF251="L1",Parameter!$H$5,IF(CF251="L23",Parameter!$H$6+Parameter!$H$7,Parameter!$H$5+Parameter!$H$6+Parameter!$H$7))-(BH251-BC251))/BC251)))</f>
        <v>1</v>
      </c>
      <c r="BJ251" s="48" t="str">
        <f aca="false">IF(AI251&lt;=0,"",IF(CF251="Aussen","Aussenlager",IF(CF251="-","Nicht im Lift",IF(AO251&gt;=1,"Lift",IF(AO251&lt;=0,"Aussenlager","teilweise")))))</f>
        <v>Lift</v>
      </c>
      <c r="BK251" s="48" t="str">
        <f aca="false">IF(AS251&lt;=0,"",IF(CF251="Aussen","Aussenlager",IF(CF251="-","Nicht im Lift",IF(AY251&gt;=1,"Lift",IF(AY251&lt;=0,"Aussenlager","teilweise")))))</f>
        <v>Lift</v>
      </c>
      <c r="BL251" s="48" t="str">
        <f aca="false">IF(BC251&lt;=0,"",IF(CF251="Aussen","Aussenlager",IF(CF251="-","Nicht im Lift",IF(BI251&gt;=1,"Lift",IF(BI251&lt;=0,"Aussenlager","teilweise")))))</f>
        <v>Lift</v>
      </c>
      <c r="BM251" s="48" t="str">
        <f aca="false">IF(A251="","",IF(BV251=1,"Neu; ","")&amp;IF(AND(BV251=0,BQ251&lt;0),"negativer Bestand (Export "&amp;BQ251&amp;"); ","")&amp;IF(J251&lt;=0,"Kein Verbrauch; ","")&amp;IF(CQ251&gt;0,"Lift "&amp;W251&amp;" lt. Liftbericht (Fach "&amp;X251&amp;" Stk); ",IF(CA251=1,"Gebinde geschätzt ("&amp;T251&amp;"); ",IF(BZ251=1,"Lose – Tablare geschätzt; ","")))&amp;IF(H251&gt;AV251,"Überbestand "&amp;ROUND(H251-AV251,0)&amp;" Stk / CHF "&amp;ROUND((H251-AV251)*G251,0)&amp;"; ","")&amp;IF(AND(CH251=1,CI251&lt;CJ251),"MAX &lt; MB+LG; ","")&amp;IF(AND(CP251&gt;0,CO251*10&gt;CP251),"zu hoch für Tablar; ","")&amp;IF(AND(BV251=0,OR(CH251=1,AA251&lt;&gt;"",U251&lt;&gt;"",V251&lt;&gt;"",AB251&lt;&gt;"")),"manuell übersteuert; ","")&amp;IF(AND(BZ251=0,R251=0),"Gebinde unbekannt / Stellmass fehlt; ","")&amp;IF(AND(BZ251=0,N(V251)&lt;=0,N(Q251)&lt;=0),"Menge pro Gebinde fehlt (Ist = 1 Gebinde); ","")&amp;BU251)</f>
        <v>Kein Verbrauch; Gebinde geschätzt (Gross); Überbestand 14 Stk / CHF 462; Menge pro Gebinde fehlt (Ist = 1 Gebinde); </v>
      </c>
      <c r="BN251" s="48"/>
      <c r="BO251" s="48"/>
      <c r="BP251" s="55"/>
      <c r="BQ251" s="50" t="n">
        <v>15</v>
      </c>
      <c r="BR251" s="50" t="n">
        <v>0</v>
      </c>
      <c r="BS251" s="49" t="n">
        <v>494.7</v>
      </c>
      <c r="BT251" s="50" t="n">
        <v>0</v>
      </c>
      <c r="BU251" s="48"/>
      <c r="BV251" s="53" t="n">
        <v>0</v>
      </c>
      <c r="BW251" s="53" t="n">
        <v>251</v>
      </c>
      <c r="BX251" s="48" t="str">
        <f aca="false">IF(U251&lt;&gt;"",UPPER(TRIM(U251)),IF(CA251=1,UPPER(VLOOKUP(T251,Parameter!$I$27:$K$29,2,0)),IF(P251="","LOSE",P251)))</f>
        <v>S81</v>
      </c>
      <c r="BY251" s="50" t="n">
        <f aca="false">IF(BX251="LOSE",1,IF(N(V251)&gt;0,V251,IF(CA251=1,MAX(1,N(VLOOKUP(T251,Parameter!$I$27:$K$29,3,0)),H251,N(N251)),IF(N(Q251)&gt;0,Q251,MAX(1,H251)))))</f>
        <v>15</v>
      </c>
      <c r="BZ251" s="53" t="n">
        <f aca="false">IF(BX251="LOSE",1,0)</f>
        <v>0</v>
      </c>
      <c r="CA251" s="53" t="n">
        <f aca="false">IF(AND(U251="",OR(P251="",P251="LOSE"),T251&lt;&gt;"",N(S251)&lt;=0,ISNUMBER(MATCH(T251,Parameter!$I$27:$I$29,0))),1,0)</f>
        <v>1</v>
      </c>
      <c r="CB251" s="53" t="n">
        <f aca="false">IF(CQ251&gt;0,INDEX(Parameter!$H$5:$H$7,W251)/INDEX(Parameter!$E$5:$E$7,W251),IF(AND(BZ251=0,N(IFERROR(VLOOKUP(BX251,'Gebinde-Kategorie'!$A$5:$N$45,14,0),0))&gt;0),VLOOKUP(BX251,'Gebinde-Kategorie'!$A$5:$N$45,14,0)*10+Parameter!$M$23,Parameter!$M$24))</f>
        <v>235</v>
      </c>
      <c r="CC251" s="48" t="str">
        <f aca="false">IF(AND(Parameter!$B$19="Ja",E251&lt;&gt;"",ISNUMBER(MATCH(E251,Parameter!$I$35:$I$52,0))),VLOOKUP(E251,Parameter!$I$35:$J$52,2,0),IFERROR(VLOOKUP(D251,Parameter!$A$35:$C$64,2,0),"Nein"))</f>
        <v>2+3</v>
      </c>
      <c r="CD251" s="52" t="n">
        <f aca="false">IF(BZ251=0,0,IF(N(S251)&gt;0,S251,IFERROR(VLOOKUP(D251,Parameter!$A$35:$C$64,3,0)+0,0)))</f>
        <v>0</v>
      </c>
      <c r="CE251" s="48" t="n">
        <f aca="false">IF(AA251&lt;&gt;"",AA251,Z251)</f>
        <v>2</v>
      </c>
      <c r="CF251" s="48" t="str">
        <f aca="false">IF(OR(CE251=1,CE251=2,CE251=3),IF(Parameter!$E$27="Ja","LIFT",IF(CE251=1,"L1","L23")),IF(CE251="Aussen","Aussen","-"))</f>
        <v>LIFT</v>
      </c>
      <c r="CG251" s="59" t="n">
        <f aca="false">IF(N(AB251)&gt;0,AB251,0)</f>
        <v>0</v>
      </c>
      <c r="CH251" s="53" t="n">
        <f aca="false">IF(ISNUMBER(AE251),1,0)</f>
        <v>0</v>
      </c>
      <c r="CI251" s="50" t="n">
        <f aca="false">N(AE251)</f>
        <v>0</v>
      </c>
      <c r="CJ251" s="50" t="n">
        <f aca="false">N(M251)+N(N251)</f>
        <v>1</v>
      </c>
      <c r="CK251" s="50" t="n">
        <f aca="false">N(M251)</f>
        <v>0</v>
      </c>
      <c r="CL251" s="50" t="n">
        <f aca="false">N(N251)</f>
        <v>1</v>
      </c>
      <c r="CM251" s="50" t="n">
        <f aca="false">ROUNDUP(H251/BY251,0)</f>
        <v>1</v>
      </c>
      <c r="CN251" s="50" t="n">
        <f aca="false">ROUNDUP(CI251/BY251,0)</f>
        <v>0</v>
      </c>
      <c r="CO251" s="53" t="n">
        <f aca="false">IF(BZ251=1,0,IFERROR(VLOOKUP(BX251,'Gebinde-Kategorie'!$A$5:$N$45,5,0)+0,0))</f>
        <v>20</v>
      </c>
      <c r="CP251" s="53" t="n">
        <f aca="false">IFERROR(IF(OR(CE251=1,CE251=2,CE251=3),N(INDEX(Parameter!$I$5:$I$7,CE251)),0),0)</f>
        <v>0</v>
      </c>
      <c r="CQ251" s="52" t="n">
        <f aca="false">IF(AND(Parameter!$B$21="Ja",ISNUMBER(W251),N(X251)&gt;0),IFERROR(N(INDEX(Parameter!$L$5:$L$7,W251))*INDEX(Parameter!$E$5:$E$7,W251)*X251/SUMIFS($X$7:$X$1843,$W$7:$W$1843,W251),0),0)</f>
        <v>0</v>
      </c>
    </row>
    <row r="252" customFormat="false" ht="15" hidden="false" customHeight="false" outlineLevel="0" collapsed="false">
      <c r="A252" s="48" t="s">
        <v>696</v>
      </c>
      <c r="B252" s="48" t="s">
        <v>697</v>
      </c>
      <c r="C252" s="48" t="s">
        <v>173</v>
      </c>
      <c r="D252" s="48" t="s">
        <v>193</v>
      </c>
      <c r="E252" s="48" t="s">
        <v>194</v>
      </c>
      <c r="F252" s="48" t="s">
        <v>227</v>
      </c>
      <c r="G252" s="49" t="n">
        <v>11.85</v>
      </c>
      <c r="H252" s="50" t="n">
        <f aca="false">MAX(0,IF(AND(Parameter!$B$21="Ja",ISNUMBER(Y252)),Y252,IF(Parameter!$B$20="Jahresanfang 2025 + Export",BR252+BQ252,BQ252)))</f>
        <v>69</v>
      </c>
      <c r="I252" s="50" t="n">
        <f aca="false">H252*G252</f>
        <v>817.65</v>
      </c>
      <c r="J252" s="50" t="n">
        <f aca="false">BT252*Parameter!$B$18</f>
        <v>72</v>
      </c>
      <c r="K252" s="51" t="n">
        <v>28</v>
      </c>
      <c r="L252" s="52" t="n">
        <v>2.57142857142857</v>
      </c>
      <c r="M252" s="50" t="n">
        <v>5</v>
      </c>
      <c r="N252" s="50" t="n">
        <v>70</v>
      </c>
      <c r="O252" s="53" t="n">
        <v>28</v>
      </c>
      <c r="P252" s="48" t="s">
        <v>311</v>
      </c>
      <c r="Q252" s="50" t="n">
        <v>25</v>
      </c>
      <c r="R252" s="53" t="n">
        <f aca="false">IF(BZ252=1,0,IFERROR(VLOOKUP(BX252,'Gebinde-Kategorie'!$A$5:$N$45,13,0)+0,0))</f>
        <v>26</v>
      </c>
      <c r="S252" s="54"/>
      <c r="T252" s="55"/>
      <c r="U252" s="55"/>
      <c r="V252" s="55"/>
      <c r="W252" s="48"/>
      <c r="X252" s="50"/>
      <c r="Y252" s="50"/>
      <c r="Z252" s="48" t="n">
        <f aca="false">IF(A252="","",IF(AND(Parameter!$B$21="Ja",ISNUMBER(W252)),W252,IF(CC252="2+3",IF(ISNUMBER(SEARCH("grosser Artikel",BU252)),2,IFERROR(VLOOKUP(BX252,Parameter!$F$35:$G$64,2,0),2)),IF(OR(CC252="Nein",CC252=""),"-",CC252))))</f>
        <v>3</v>
      </c>
      <c r="AA252" s="55"/>
      <c r="AB252" s="56"/>
      <c r="AC252" s="50" t="n">
        <f aca="false">AV252</f>
        <v>75</v>
      </c>
      <c r="AD252" s="50" t="n">
        <f aca="false">MAX(AV252,H252)</f>
        <v>75</v>
      </c>
      <c r="AE252" s="57"/>
      <c r="AF252" s="50" t="n">
        <f aca="false">IF(LEFT(Cockpit!$C$5,1)="A",H252,IF(Parameter!$E$30="MAX-Bestand",IF(CH252=1,CI252,IF(LEFT(Cockpit!$C$5,1)="B",AL252,MAX(AL252,H252))),ROUNDUP(AJ252,0)))</f>
        <v>69</v>
      </c>
      <c r="AG252" s="50" t="n">
        <f aca="false">IF(BZ252=1,0,ROUNDUP(AF252/BY252,0))</f>
        <v>3</v>
      </c>
      <c r="AH252" s="52" t="n">
        <f aca="false">IF(CQ252&gt;0,CQ252*MAX(1,AF252/X252),IF(BZ252=1,IF(AF252&lt;=0,0,CD252*MAX(1,IF(H252&gt;0,AF252/H252,1))),IF(R252&gt;0,AG252/R252,0))/MAX(0.1,N(Parameter!$M$21)))</f>
        <v>0.115384615384615</v>
      </c>
      <c r="AI252" s="50" t="n">
        <f aca="false">AH252*CB252</f>
        <v>17.8846153846154</v>
      </c>
      <c r="AJ252" s="51" t="n">
        <f aca="false">IF(LEFT(Cockpit!$C$5,1)="A",H252,IF(CH252=1,(CK252+CI252)/2,IF(LEFT(Cockpit!$C$5,1)="B",(CK252+AL252)/2,MAX((CK252+AL252)/2,H252))))</f>
        <v>69</v>
      </c>
      <c r="AK252" s="50" t="n">
        <f aca="false">AJ252*G252</f>
        <v>817.65</v>
      </c>
      <c r="AL252" s="50" t="n">
        <f aca="false">ROUNDUP(CK252+MAX(CL252,2*(J252/IF(CG252&gt;0,CG252,MAX(0.1,N(Cockpit!$C$6)))-CK252)),0)</f>
        <v>75</v>
      </c>
      <c r="AM252" s="51" t="n">
        <f aca="false">IF(AI252&gt;0,J252/AI252,-1)</f>
        <v>4.0258064516129</v>
      </c>
      <c r="AN252" s="51" t="n">
        <f aca="false">IF(AND(OR(CF252="L1",CF252="L23",CF252="LIFT"),AI252&gt;0),SUMIFS($AI$7:$AI$1843,$CF$7:$CF$1843,CF252,$AM$7:$AM$1843,"&gt;"&amp;AM252)+SUMIFS($AI$7:$AI$1843,$CF$7:$CF$1843,CF252,$AM$7:$AM$1843,AM252,$BW$7:$BW$1843,"&lt;="&amp;BW252),"")</f>
        <v>4334.84294871795</v>
      </c>
      <c r="AO252" s="58" t="n">
        <f aca="false">IF(AN252="",0,MAX(0,MIN(1,(IF(CF252="L1",Parameter!$H$5,IF(CF252="L23",Parameter!$H$6+Parameter!$H$7,Parameter!$H$5+Parameter!$H$6+Parameter!$H$7))-(AN252-AI252))/AI252)))</f>
        <v>1</v>
      </c>
      <c r="AP252" s="50" t="n">
        <f aca="false">IF(LEFT(Cockpit!$I$5,1)="A",H252,IF(Parameter!$E$30="MAX-Bestand",IF(CH252=1,CI252,IF(LEFT(Cockpit!$I$5,1)="B",AV252,MAX(AV252,H252))),ROUNDUP(AT252,0)))</f>
        <v>69</v>
      </c>
      <c r="AQ252" s="50" t="n">
        <f aca="false">IF(BZ252=1,0,ROUNDUP(AP252/BY252,0))</f>
        <v>3</v>
      </c>
      <c r="AR252" s="52" t="n">
        <f aca="false">IF(CQ252&gt;0,CQ252*MAX(1,AP252/X252),IF(BZ252=1,IF(AP252&lt;=0,0,CD252*MAX(1,IF(H252&gt;0,AP252/H252,1))),IF(R252&gt;0,AQ252/R252,0))/MAX(0.1,N(Parameter!$M$21)))</f>
        <v>0.115384615384615</v>
      </c>
      <c r="AS252" s="50" t="n">
        <f aca="false">AR252*CB252</f>
        <v>17.8846153846154</v>
      </c>
      <c r="AT252" s="51" t="n">
        <f aca="false">IF(LEFT(Cockpit!$I$5,1)="A",H252,IF(CH252=1,(CK252+CI252)/2,IF(LEFT(Cockpit!$I$5,1)="B",(CK252+AV252)/2,MAX((CK252+AV252)/2,H252))))</f>
        <v>69</v>
      </c>
      <c r="AU252" s="50" t="n">
        <f aca="false">AT252*G252</f>
        <v>817.65</v>
      </c>
      <c r="AV252" s="50" t="n">
        <f aca="false">ROUNDUP(CK252+MAX(CL252,2*(J252/IF(CG252&gt;0,CG252,MAX(0.1,N(Cockpit!$I$6)))-CK252)),0)</f>
        <v>75</v>
      </c>
      <c r="AW252" s="51" t="n">
        <f aca="false">IF(AS252&gt;0,J252/AS252,-1)</f>
        <v>4.0258064516129</v>
      </c>
      <c r="AX252" s="51" t="n">
        <f aca="false">IF(AND(OR(CF252="L1",CF252="L23",CF252="LIFT"),AS252&gt;0),SUMIFS($AS$7:$AS$1843,$CF$7:$CF$1843,CF252,$AW$7:$AW$1843,"&gt;"&amp;AW252)+SUMIFS($AS$7:$AS$1843,$CF$7:$CF$1843,CF252,$AW$7:$AW$1843,AW252,$BW$7:$BW$1843,"&lt;="&amp;BW252),"")</f>
        <v>4931.91712454213</v>
      </c>
      <c r="AY252" s="58" t="n">
        <f aca="false">IF(AX252="",0,MAX(0,MIN(1,(IF(CF252="L1",Parameter!$H$5,IF(CF252="L23",Parameter!$H$6+Parameter!$H$7,Parameter!$H$5+Parameter!$H$6+Parameter!$H$7))-(AX252-AS252))/AS252)))</f>
        <v>1</v>
      </c>
      <c r="AZ252" s="50" t="n">
        <f aca="false">IF(LEFT(Cockpit!$O$5,1)="A",H252,IF(Parameter!$E$30="MAX-Bestand",IF(CH252=1,CI252,IF(LEFT(Cockpit!$O$5,1)="B",BF252,MAX(BF252,H252))),ROUNDUP(BD252,0)))</f>
        <v>40</v>
      </c>
      <c r="BA252" s="50" t="n">
        <f aca="false">IF(BZ252=1,0,ROUNDUP(AZ252/BY252,0))</f>
        <v>2</v>
      </c>
      <c r="BB252" s="52" t="n">
        <f aca="false">IF(CQ252&gt;0,CQ252*MAX(1,AZ252/X252),IF(BZ252=1,IF(AZ252&lt;=0,0,CD252*MAX(1,IF(H252&gt;0,AZ252/H252,1))),IF(R252&gt;0,BA252/R252,0))/MAX(0.1,N(Parameter!$M$21)))</f>
        <v>0.0769230769230769</v>
      </c>
      <c r="BC252" s="50" t="n">
        <f aca="false">BB252*CB252</f>
        <v>11.9230769230769</v>
      </c>
      <c r="BD252" s="51" t="n">
        <f aca="false">IF(LEFT(Cockpit!$O$5,1)="A",H252,IF(CH252=1,(CK252+CI252)/2,IF(LEFT(Cockpit!$O$5,1)="B",(CK252+BF252)/2,MAX((CK252+BF252)/2,H252))))</f>
        <v>40</v>
      </c>
      <c r="BE252" s="50" t="n">
        <f aca="false">BD252*G252</f>
        <v>474</v>
      </c>
      <c r="BF252" s="50" t="n">
        <f aca="false">ROUNDUP(CK252+MAX(CL252,2*(J252/IF(CG252&gt;0,CG252,MAX(0.1,N(Cockpit!$O$6)))-CK252)),0)</f>
        <v>75</v>
      </c>
      <c r="BG252" s="51" t="n">
        <f aca="false">IF(BC252&gt;0,J252/BC252,-1)</f>
        <v>6.03870967741935</v>
      </c>
      <c r="BH252" s="51" t="n">
        <f aca="false">IF(AND(OR(CF252="L1",CF252="L23",CF252="LIFT"),BC252&gt;0),SUMIFS($BC$7:$BC$1843,$CF$7:$CF$1843,CF252,$BG$7:$BG$1843,"&gt;"&amp;BG252)+SUMIFS($BC$7:$BC$1843,$CF$7:$CF$1843,CF252,$BG$7:$BG$1843,BG252,$BW$7:$BW$1843,"&lt;="&amp;BW252),"")</f>
        <v>3498.75366300366</v>
      </c>
      <c r="BI252" s="58" t="n">
        <f aca="false">IF(BH252="",0,MAX(0,MIN(1,(IF(CF252="L1",Parameter!$H$5,IF(CF252="L23",Parameter!$H$6+Parameter!$H$7,Parameter!$H$5+Parameter!$H$6+Parameter!$H$7))-(BH252-BC252))/BC252)))</f>
        <v>1</v>
      </c>
      <c r="BJ252" s="48" t="str">
        <f aca="false">IF(AI252&lt;=0,"",IF(CF252="Aussen","Aussenlager",IF(CF252="-","Nicht im Lift",IF(AO252&gt;=1,"Lift",IF(AO252&lt;=0,"Aussenlager","teilweise")))))</f>
        <v>Lift</v>
      </c>
      <c r="BK252" s="48" t="str">
        <f aca="false">IF(AS252&lt;=0,"",IF(CF252="Aussen","Aussenlager",IF(CF252="-","Nicht im Lift",IF(AY252&gt;=1,"Lift",IF(AY252&lt;=0,"Aussenlager","teilweise")))))</f>
        <v>Lift</v>
      </c>
      <c r="BL252" s="48" t="str">
        <f aca="false">IF(BC252&lt;=0,"",IF(CF252="Aussen","Aussenlager",IF(CF252="-","Nicht im Lift",IF(BI252&gt;=1,"Lift",IF(BI252&lt;=0,"Aussenlager","teilweise")))))</f>
        <v>Lift</v>
      </c>
      <c r="BM252" s="48" t="str">
        <f aca="false">IF(A252="","",IF(BV252=1,"Neu; ","")&amp;IF(AND(BV252=0,BQ252&lt;0),"negativer Bestand (Export "&amp;BQ252&amp;"); ","")&amp;IF(J252&lt;=0,"Kein Verbrauch; ","")&amp;IF(CQ252&gt;0,"Lift "&amp;W252&amp;" lt. Liftbericht (Fach "&amp;X252&amp;" Stk); ",IF(CA252=1,"Gebinde geschätzt ("&amp;T252&amp;"); ",IF(BZ252=1,"Lose – Tablare geschätzt; ","")))&amp;IF(H252&gt;AV252,"Überbestand "&amp;ROUND(H252-AV252,0)&amp;" Stk / CHF "&amp;ROUND((H252-AV252)*G252,0)&amp;"; ","")&amp;IF(AND(CH252=1,CI252&lt;CJ252),"MAX &lt; MB+LG; ","")&amp;IF(AND(CP252&gt;0,CO252*10&gt;CP252),"zu hoch für Tablar; ","")&amp;IF(AND(BV252=0,OR(CH252=1,AA252&lt;&gt;"",U252&lt;&gt;"",V252&lt;&gt;"",AB252&lt;&gt;"")),"manuell übersteuert; ","")&amp;IF(AND(BZ252=0,R252=0),"Gebinde unbekannt / Stellmass fehlt; ","")&amp;IF(AND(BZ252=0,N(V252)&lt;=0,N(Q252)&lt;=0),"Menge pro Gebinde fehlt (Ist = 1 Gebinde); ","")&amp;BU252)</f>
        <v/>
      </c>
      <c r="BN252" s="48"/>
      <c r="BO252" s="48"/>
      <c r="BP252" s="55"/>
      <c r="BQ252" s="50" t="n">
        <v>45</v>
      </c>
      <c r="BR252" s="50" t="n">
        <v>24</v>
      </c>
      <c r="BS252" s="49" t="n">
        <v>492.929999999998</v>
      </c>
      <c r="BT252" s="50" t="n">
        <v>72</v>
      </c>
      <c r="BU252" s="48"/>
      <c r="BV252" s="53" t="n">
        <v>0</v>
      </c>
      <c r="BW252" s="53" t="n">
        <v>252</v>
      </c>
      <c r="BX252" s="48" t="str">
        <f aca="false">IF(U252&lt;&gt;"",UPPER(TRIM(U252)),IF(CA252=1,UPPER(VLOOKUP(T252,Parameter!$I$27:$K$29,2,0)),IF(P252="","LOSE",P252)))</f>
        <v>S51</v>
      </c>
      <c r="BY252" s="50" t="n">
        <f aca="false">IF(BX252="LOSE",1,IF(N(V252)&gt;0,V252,IF(CA252=1,MAX(1,N(VLOOKUP(T252,Parameter!$I$27:$K$29,3,0)),H252,N(N252)),IF(N(Q252)&gt;0,Q252,MAX(1,H252)))))</f>
        <v>25</v>
      </c>
      <c r="BZ252" s="53" t="n">
        <f aca="false">IF(BX252="LOSE",1,0)</f>
        <v>0</v>
      </c>
      <c r="CA252" s="53" t="n">
        <f aca="false">IF(AND(U252="",OR(P252="",P252="LOSE"),T252&lt;&gt;"",N(S252)&lt;=0,ISNUMBER(MATCH(T252,Parameter!$I$27:$I$29,0))),1,0)</f>
        <v>0</v>
      </c>
      <c r="CB252" s="53" t="n">
        <f aca="false">IF(CQ252&gt;0,INDEX(Parameter!$H$5:$H$7,W252)/INDEX(Parameter!$E$5:$E$7,W252),IF(AND(BZ252=0,N(IFERROR(VLOOKUP(BX252,'Gebinde-Kategorie'!$A$5:$N$45,14,0),0))&gt;0),VLOOKUP(BX252,'Gebinde-Kategorie'!$A$5:$N$45,14,0)*10+Parameter!$M$23,Parameter!$M$24))</f>
        <v>155</v>
      </c>
      <c r="CC252" s="48" t="str">
        <f aca="false">IF(AND(Parameter!$B$19="Ja",E252&lt;&gt;"",ISNUMBER(MATCH(E252,Parameter!$I$35:$I$52,0))),VLOOKUP(E252,Parameter!$I$35:$J$52,2,0),IFERROR(VLOOKUP(D252,Parameter!$A$35:$C$64,2,0),"Nein"))</f>
        <v>2+3</v>
      </c>
      <c r="CD252" s="52" t="n">
        <f aca="false">IF(BZ252=0,0,IF(N(S252)&gt;0,S252,IFERROR(VLOOKUP(D252,Parameter!$A$35:$C$64,3,0)+0,0)))</f>
        <v>0</v>
      </c>
      <c r="CE252" s="48" t="n">
        <f aca="false">IF(AA252&lt;&gt;"",AA252,Z252)</f>
        <v>3</v>
      </c>
      <c r="CF252" s="48" t="str">
        <f aca="false">IF(OR(CE252=1,CE252=2,CE252=3),IF(Parameter!$E$27="Ja","LIFT",IF(CE252=1,"L1","L23")),IF(CE252="Aussen","Aussen","-"))</f>
        <v>LIFT</v>
      </c>
      <c r="CG252" s="59" t="n">
        <f aca="false">IF(N(AB252)&gt;0,AB252,0)</f>
        <v>0</v>
      </c>
      <c r="CH252" s="53" t="n">
        <f aca="false">IF(ISNUMBER(AE252),1,0)</f>
        <v>0</v>
      </c>
      <c r="CI252" s="50" t="n">
        <f aca="false">N(AE252)</f>
        <v>0</v>
      </c>
      <c r="CJ252" s="50" t="n">
        <f aca="false">N(M252)+N(N252)</f>
        <v>75</v>
      </c>
      <c r="CK252" s="50" t="n">
        <f aca="false">N(M252)</f>
        <v>5</v>
      </c>
      <c r="CL252" s="50" t="n">
        <f aca="false">N(N252)</f>
        <v>70</v>
      </c>
      <c r="CM252" s="50" t="n">
        <f aca="false">ROUNDUP(H252/BY252,0)</f>
        <v>3</v>
      </c>
      <c r="CN252" s="50" t="n">
        <f aca="false">ROUNDUP(CI252/BY252,0)</f>
        <v>0</v>
      </c>
      <c r="CO252" s="53" t="n">
        <f aca="false">IF(BZ252=1,0,IFERROR(VLOOKUP(BX252,'Gebinde-Kategorie'!$A$5:$N$45,5,0)+0,0))</f>
        <v>11</v>
      </c>
      <c r="CP252" s="53" t="n">
        <f aca="false">IFERROR(IF(OR(CE252=1,CE252=2,CE252=3),N(INDEX(Parameter!$I$5:$I$7,CE252)),0),0)</f>
        <v>0</v>
      </c>
      <c r="CQ252" s="52" t="n">
        <f aca="false">IF(AND(Parameter!$B$21="Ja",ISNUMBER(W252),N(X252)&gt;0),IFERROR(N(INDEX(Parameter!$L$5:$L$7,W252))*INDEX(Parameter!$E$5:$E$7,W252)*X252/SUMIFS($X$7:$X$1843,$W$7:$W$1843,W252),0),0)</f>
        <v>0</v>
      </c>
    </row>
    <row r="253" customFormat="false" ht="15" hidden="false" customHeight="false" outlineLevel="0" collapsed="false">
      <c r="A253" s="48" t="s">
        <v>698</v>
      </c>
      <c r="B253" s="48" t="s">
        <v>699</v>
      </c>
      <c r="C253" s="48" t="s">
        <v>173</v>
      </c>
      <c r="D253" s="48" t="s">
        <v>182</v>
      </c>
      <c r="E253" s="48"/>
      <c r="F253" s="48" t="s">
        <v>227</v>
      </c>
      <c r="G253" s="49" t="n">
        <v>32.33</v>
      </c>
      <c r="H253" s="50" t="n">
        <f aca="false">MAX(0,IF(AND(Parameter!$B$21="Ja",ISNUMBER(Y253)),Y253,IF(Parameter!$B$20="Jahresanfang 2025 + Export",BR253+BQ253,BQ253)))</f>
        <v>15</v>
      </c>
      <c r="I253" s="50" t="n">
        <f aca="false">H253*G253</f>
        <v>484.95</v>
      </c>
      <c r="J253" s="50" t="n">
        <f aca="false">BT253*Parameter!$B$18</f>
        <v>0</v>
      </c>
      <c r="K253" s="51" t="n">
        <v>0</v>
      </c>
      <c r="L253" s="52" t="n">
        <v>0</v>
      </c>
      <c r="M253" s="50" t="n">
        <v>0</v>
      </c>
      <c r="N253" s="50" t="n">
        <v>1</v>
      </c>
      <c r="O253" s="53" t="n">
        <v>9999</v>
      </c>
      <c r="P253" s="48" t="s">
        <v>177</v>
      </c>
      <c r="Q253" s="50"/>
      <c r="R253" s="53" t="n">
        <f aca="false">IF(BZ253=1,0,IFERROR(VLOOKUP(BX253,'Gebinde-Kategorie'!$A$5:$N$45,13,0)+0,0))</f>
        <v>12</v>
      </c>
      <c r="S253" s="54"/>
      <c r="T253" s="55" t="s">
        <v>188</v>
      </c>
      <c r="U253" s="55"/>
      <c r="V253" s="55"/>
      <c r="W253" s="48"/>
      <c r="X253" s="50"/>
      <c r="Y253" s="50"/>
      <c r="Z253" s="48" t="n">
        <f aca="false">IF(A253="","",IF(AND(Parameter!$B$21="Ja",ISNUMBER(W253)),W253,IF(CC253="2+3",IF(ISNUMBER(SEARCH("grosser Artikel",BU253)),2,IFERROR(VLOOKUP(BX253,Parameter!$F$35:$G$64,2,0),2)),IF(OR(CC253="Nein",CC253=""),"-",CC253))))</f>
        <v>2</v>
      </c>
      <c r="AA253" s="55"/>
      <c r="AB253" s="56"/>
      <c r="AC253" s="50" t="n">
        <f aca="false">AV253</f>
        <v>1</v>
      </c>
      <c r="AD253" s="50" t="n">
        <f aca="false">MAX(AV253,H253)</f>
        <v>15</v>
      </c>
      <c r="AE253" s="57"/>
      <c r="AF253" s="50" t="n">
        <f aca="false">IF(LEFT(Cockpit!$C$5,1)="A",H253,IF(Parameter!$E$30="MAX-Bestand",IF(CH253=1,CI253,IF(LEFT(Cockpit!$C$5,1)="B",AL253,MAX(AL253,H253))),ROUNDUP(AJ253,0)))</f>
        <v>15</v>
      </c>
      <c r="AG253" s="50" t="n">
        <f aca="false">IF(BZ253=1,0,ROUNDUP(AF253/BY253,0))</f>
        <v>1</v>
      </c>
      <c r="AH253" s="52" t="n">
        <f aca="false">IF(CQ253&gt;0,CQ253*MAX(1,AF253/X253),IF(BZ253=1,IF(AF253&lt;=0,0,CD253*MAX(1,IF(H253&gt;0,AF253/H253,1))),IF(R253&gt;0,AG253/R253,0))/MAX(0.1,N(Parameter!$M$21)))</f>
        <v>0.0833333333333333</v>
      </c>
      <c r="AI253" s="50" t="n">
        <f aca="false">AH253*CB253</f>
        <v>12.0833333333333</v>
      </c>
      <c r="AJ253" s="51" t="n">
        <f aca="false">IF(LEFT(Cockpit!$C$5,1)="A",H253,IF(CH253=1,(CK253+CI253)/2,IF(LEFT(Cockpit!$C$5,1)="B",(CK253+AL253)/2,MAX((CK253+AL253)/2,H253))))</f>
        <v>15</v>
      </c>
      <c r="AK253" s="50" t="n">
        <f aca="false">AJ253*G253</f>
        <v>484.95</v>
      </c>
      <c r="AL253" s="50" t="n">
        <f aca="false">ROUNDUP(CK253+MAX(CL253,2*(J253/IF(CG253&gt;0,CG253,MAX(0.1,N(Cockpit!$C$6)))-CK253)),0)</f>
        <v>1</v>
      </c>
      <c r="AM253" s="51" t="n">
        <f aca="false">IF(AI253&gt;0,J253/AI253,-1)</f>
        <v>0</v>
      </c>
      <c r="AN253" s="51" t="n">
        <f aca="false">IF(AND(OR(CF253="L1",CF253="L23",CF253="LIFT"),AI253&gt;0),SUMIFS($AI$7:$AI$1843,$CF$7:$CF$1843,CF253,$AM$7:$AM$1843,"&gt;"&amp;AM253)+SUMIFS($AI$7:$AI$1843,$CF$7:$CF$1843,CF253,$AM$7:$AM$1843,AM253,$BW$7:$BW$1843,"&lt;="&amp;BW253),"")</f>
        <v>27751.1004428716</v>
      </c>
      <c r="AO253" s="58" t="n">
        <f aca="false">IF(AN253="",0,MAX(0,MIN(1,(IF(CF253="L1",Parameter!$H$5,IF(CF253="L23",Parameter!$H$6+Parameter!$H$7,Parameter!$H$5+Parameter!$H$6+Parameter!$H$7))-(AN253-AI253))/AI253)))</f>
        <v>1</v>
      </c>
      <c r="AP253" s="50" t="n">
        <f aca="false">IF(LEFT(Cockpit!$I$5,1)="A",H253,IF(Parameter!$E$30="MAX-Bestand",IF(CH253=1,CI253,IF(LEFT(Cockpit!$I$5,1)="B",AV253,MAX(AV253,H253))),ROUNDUP(AT253,0)))</f>
        <v>15</v>
      </c>
      <c r="AQ253" s="50" t="n">
        <f aca="false">IF(BZ253=1,0,ROUNDUP(AP253/BY253,0))</f>
        <v>1</v>
      </c>
      <c r="AR253" s="52" t="n">
        <f aca="false">IF(CQ253&gt;0,CQ253*MAX(1,AP253/X253),IF(BZ253=1,IF(AP253&lt;=0,0,CD253*MAX(1,IF(H253&gt;0,AP253/H253,1))),IF(R253&gt;0,AQ253/R253,0))/MAX(0.1,N(Parameter!$M$21)))</f>
        <v>0.0833333333333333</v>
      </c>
      <c r="AS253" s="50" t="n">
        <f aca="false">AR253*CB253</f>
        <v>12.0833333333333</v>
      </c>
      <c r="AT253" s="51" t="n">
        <f aca="false">IF(LEFT(Cockpit!$I$5,1)="A",H253,IF(CH253=1,(CK253+CI253)/2,IF(LEFT(Cockpit!$I$5,1)="B",(CK253+AV253)/2,MAX((CK253+AV253)/2,H253))))</f>
        <v>15</v>
      </c>
      <c r="AU253" s="50" t="n">
        <f aca="false">AT253*G253</f>
        <v>484.95</v>
      </c>
      <c r="AV253" s="50" t="n">
        <f aca="false">ROUNDUP(CK253+MAX(CL253,2*(J253/IF(CG253&gt;0,CG253,MAX(0.1,N(Cockpit!$I$6)))-CK253)),0)</f>
        <v>1</v>
      </c>
      <c r="AW253" s="51" t="n">
        <f aca="false">IF(AS253&gt;0,J253/AS253,-1)</f>
        <v>0</v>
      </c>
      <c r="AX253" s="51" t="n">
        <f aca="false">IF(AND(OR(CF253="L1",CF253="L23",CF253="LIFT"),AS253&gt;0),SUMIFS($AS$7:$AS$1843,$CF$7:$CF$1843,CF253,$AW$7:$AW$1843,"&gt;"&amp;AW253)+SUMIFS($AS$7:$AS$1843,$CF$7:$CF$1843,CF253,$AW$7:$AW$1843,AW253,$BW$7:$BW$1843,"&lt;="&amp;BW253),"")</f>
        <v>33104.2490842491</v>
      </c>
      <c r="AY253" s="58" t="n">
        <f aca="false">IF(AX253="",0,MAX(0,MIN(1,(IF(CF253="L1",Parameter!$H$5,IF(CF253="L23",Parameter!$H$6+Parameter!$H$7,Parameter!$H$5+Parameter!$H$6+Parameter!$H$7))-(AX253-AS253))/AS253)))</f>
        <v>1</v>
      </c>
      <c r="AZ253" s="50" t="n">
        <f aca="false">IF(LEFT(Cockpit!$O$5,1)="A",H253,IF(Parameter!$E$30="MAX-Bestand",IF(CH253=1,CI253,IF(LEFT(Cockpit!$O$5,1)="B",BF253,MAX(BF253,H253))),ROUNDUP(BD253,0)))</f>
        <v>1</v>
      </c>
      <c r="BA253" s="50" t="n">
        <f aca="false">IF(BZ253=1,0,ROUNDUP(AZ253/BY253,0))</f>
        <v>1</v>
      </c>
      <c r="BB253" s="52" t="n">
        <f aca="false">IF(CQ253&gt;0,CQ253*MAX(1,AZ253/X253),IF(BZ253=1,IF(AZ253&lt;=0,0,CD253*MAX(1,IF(H253&gt;0,AZ253/H253,1))),IF(R253&gt;0,BA253/R253,0))/MAX(0.1,N(Parameter!$M$21)))</f>
        <v>0.0833333333333333</v>
      </c>
      <c r="BC253" s="50" t="n">
        <f aca="false">BB253*CB253</f>
        <v>12.0833333333333</v>
      </c>
      <c r="BD253" s="51" t="n">
        <f aca="false">IF(LEFT(Cockpit!$O$5,1)="A",H253,IF(CH253=1,(CK253+CI253)/2,IF(LEFT(Cockpit!$O$5,1)="B",(CK253+BF253)/2,MAX((CK253+BF253)/2,H253))))</f>
        <v>0.5</v>
      </c>
      <c r="BE253" s="50" t="n">
        <f aca="false">BD253*G253</f>
        <v>16.165</v>
      </c>
      <c r="BF253" s="50" t="n">
        <f aca="false">ROUNDUP(CK253+MAX(CL253,2*(J253/IF(CG253&gt;0,CG253,MAX(0.1,N(Cockpit!$O$6)))-CK253)),0)</f>
        <v>1</v>
      </c>
      <c r="BG253" s="51" t="n">
        <f aca="false">IF(BC253&gt;0,J253/BC253,-1)</f>
        <v>0</v>
      </c>
      <c r="BH253" s="51" t="n">
        <f aca="false">IF(AND(OR(CF253="L1",CF253="L23",CF253="LIFT"),BC253&gt;0),SUMIFS($BC$7:$BC$1843,$CF$7:$CF$1843,CF253,$BG$7:$BG$1843,"&gt;"&amp;BG253)+SUMIFS($BC$7:$BC$1843,$CF$7:$CF$1843,CF253,$BG$7:$BG$1843,BG253,$BW$7:$BW$1843,"&lt;="&amp;BW253),"")</f>
        <v>27259.0681070342</v>
      </c>
      <c r="BI253" s="58" t="n">
        <f aca="false">IF(BH253="",0,MAX(0,MIN(1,(IF(CF253="L1",Parameter!$H$5,IF(CF253="L23",Parameter!$H$6+Parameter!$H$7,Parameter!$H$5+Parameter!$H$6+Parameter!$H$7))-(BH253-BC253))/BC253)))</f>
        <v>1</v>
      </c>
      <c r="BJ253" s="48" t="str">
        <f aca="false">IF(AI253&lt;=0,"",IF(CF253="Aussen","Aussenlager",IF(CF253="-","Nicht im Lift",IF(AO253&gt;=1,"Lift",IF(AO253&lt;=0,"Aussenlager","teilweise")))))</f>
        <v>Lift</v>
      </c>
      <c r="BK253" s="48" t="str">
        <f aca="false">IF(AS253&lt;=0,"",IF(CF253="Aussen","Aussenlager",IF(CF253="-","Nicht im Lift",IF(AY253&gt;=1,"Lift",IF(AY253&lt;=0,"Aussenlager","teilweise")))))</f>
        <v>Lift</v>
      </c>
      <c r="BL253" s="48" t="str">
        <f aca="false">IF(BC253&lt;=0,"",IF(CF253="Aussen","Aussenlager",IF(CF253="-","Nicht im Lift",IF(BI253&gt;=1,"Lift",IF(BI253&lt;=0,"Aussenlager","teilweise")))))</f>
        <v>Lift</v>
      </c>
      <c r="BM253" s="48" t="str">
        <f aca="false">IF(A253="","",IF(BV253=1,"Neu; ","")&amp;IF(AND(BV253=0,BQ253&lt;0),"negativer Bestand (Export "&amp;BQ253&amp;"); ","")&amp;IF(J253&lt;=0,"Kein Verbrauch; ","")&amp;IF(CQ253&gt;0,"Lift "&amp;W253&amp;" lt. Liftbericht (Fach "&amp;X253&amp;" Stk); ",IF(CA253=1,"Gebinde geschätzt ("&amp;T253&amp;"); ",IF(BZ253=1,"Lose – Tablare geschätzt; ","")))&amp;IF(H253&gt;AV253,"Überbestand "&amp;ROUND(H253-AV253,0)&amp;" Stk / CHF "&amp;ROUND((H253-AV253)*G253,0)&amp;"; ","")&amp;IF(AND(CH253=1,CI253&lt;CJ253),"MAX &lt; MB+LG; ","")&amp;IF(AND(CP253&gt;0,CO253*10&gt;CP253),"zu hoch für Tablar; ","")&amp;IF(AND(BV253=0,OR(CH253=1,AA253&lt;&gt;"",U253&lt;&gt;"",V253&lt;&gt;"",AB253&lt;&gt;"")),"manuell übersteuert; ","")&amp;IF(AND(BZ253=0,R253=0),"Gebinde unbekannt / Stellmass fehlt; ","")&amp;IF(AND(BZ253=0,N(V253)&lt;=0,N(Q253)&lt;=0),"Menge pro Gebinde fehlt (Ist = 1 Gebinde); ","")&amp;BU253)</f>
        <v>Kein Verbrauch; Gebinde geschätzt (Mittel); Überbestand 14 Stk / CHF 453; Menge pro Gebinde fehlt (Ist = 1 Gebinde); </v>
      </c>
      <c r="BN253" s="48"/>
      <c r="BO253" s="48"/>
      <c r="BP253" s="55"/>
      <c r="BQ253" s="50" t="n">
        <v>15</v>
      </c>
      <c r="BR253" s="50" t="n">
        <v>0</v>
      </c>
      <c r="BS253" s="49" t="n">
        <v>484.95</v>
      </c>
      <c r="BT253" s="50" t="n">
        <v>0</v>
      </c>
      <c r="BU253" s="48"/>
      <c r="BV253" s="53" t="n">
        <v>0</v>
      </c>
      <c r="BW253" s="53" t="n">
        <v>253</v>
      </c>
      <c r="BX253" s="48" t="str">
        <f aca="false">IF(U253&lt;&gt;"",UPPER(TRIM(U253)),IF(CA253=1,UPPER(VLOOKUP(T253,Parameter!$I$27:$K$29,2,0)),IF(P253="","LOSE",P253)))</f>
        <v>S61</v>
      </c>
      <c r="BY253" s="50" t="n">
        <f aca="false">IF(BX253="LOSE",1,IF(N(V253)&gt;0,V253,IF(CA253=1,MAX(1,N(VLOOKUP(T253,Parameter!$I$27:$K$29,3,0)),H253,N(N253)),IF(N(Q253)&gt;0,Q253,MAX(1,H253)))))</f>
        <v>15</v>
      </c>
      <c r="BZ253" s="53" t="n">
        <f aca="false">IF(BX253="LOSE",1,0)</f>
        <v>0</v>
      </c>
      <c r="CA253" s="53" t="n">
        <f aca="false">IF(AND(U253="",OR(P253="",P253="LOSE"),T253&lt;&gt;"",N(S253)&lt;=0,ISNUMBER(MATCH(T253,Parameter!$I$27:$I$29,0))),1,0)</f>
        <v>1</v>
      </c>
      <c r="CB253" s="53" t="n">
        <f aca="false">IF(CQ253&gt;0,INDEX(Parameter!$H$5:$H$7,W253)/INDEX(Parameter!$E$5:$E$7,W253),IF(AND(BZ253=0,N(IFERROR(VLOOKUP(BX253,'Gebinde-Kategorie'!$A$5:$N$45,14,0),0))&gt;0),VLOOKUP(BX253,'Gebinde-Kategorie'!$A$5:$N$45,14,0)*10+Parameter!$M$23,Parameter!$M$24))</f>
        <v>145</v>
      </c>
      <c r="CC253" s="48" t="str">
        <f aca="false">IF(AND(Parameter!$B$19="Ja",E253&lt;&gt;"",ISNUMBER(MATCH(E253,Parameter!$I$35:$I$52,0))),VLOOKUP(E253,Parameter!$I$35:$J$52,2,0),IFERROR(VLOOKUP(D253,Parameter!$A$35:$C$64,2,0),"Nein"))</f>
        <v>2+3</v>
      </c>
      <c r="CD253" s="52" t="n">
        <f aca="false">IF(BZ253=0,0,IF(N(S253)&gt;0,S253,IFERROR(VLOOKUP(D253,Parameter!$A$35:$C$64,3,0)+0,0)))</f>
        <v>0</v>
      </c>
      <c r="CE253" s="48" t="n">
        <f aca="false">IF(AA253&lt;&gt;"",AA253,Z253)</f>
        <v>2</v>
      </c>
      <c r="CF253" s="48" t="str">
        <f aca="false">IF(OR(CE253=1,CE253=2,CE253=3),IF(Parameter!$E$27="Ja","LIFT",IF(CE253=1,"L1","L23")),IF(CE253="Aussen","Aussen","-"))</f>
        <v>LIFT</v>
      </c>
      <c r="CG253" s="59" t="n">
        <f aca="false">IF(N(AB253)&gt;0,AB253,0)</f>
        <v>0</v>
      </c>
      <c r="CH253" s="53" t="n">
        <f aca="false">IF(ISNUMBER(AE253),1,0)</f>
        <v>0</v>
      </c>
      <c r="CI253" s="50" t="n">
        <f aca="false">N(AE253)</f>
        <v>0</v>
      </c>
      <c r="CJ253" s="50" t="n">
        <f aca="false">N(M253)+N(N253)</f>
        <v>1</v>
      </c>
      <c r="CK253" s="50" t="n">
        <f aca="false">N(M253)</f>
        <v>0</v>
      </c>
      <c r="CL253" s="50" t="n">
        <f aca="false">N(N253)</f>
        <v>1</v>
      </c>
      <c r="CM253" s="50" t="n">
        <f aca="false">ROUNDUP(H253/BY253,0)</f>
        <v>1</v>
      </c>
      <c r="CN253" s="50" t="n">
        <f aca="false">ROUNDUP(CI253/BY253,0)</f>
        <v>0</v>
      </c>
      <c r="CO253" s="53" t="n">
        <f aca="false">IF(BZ253=1,0,IFERROR(VLOOKUP(BX253,'Gebinde-Kategorie'!$A$5:$N$45,5,0)+0,0))</f>
        <v>11</v>
      </c>
      <c r="CP253" s="53" t="n">
        <f aca="false">IFERROR(IF(OR(CE253=1,CE253=2,CE253=3),N(INDEX(Parameter!$I$5:$I$7,CE253)),0),0)</f>
        <v>0</v>
      </c>
      <c r="CQ253" s="52" t="n">
        <f aca="false">IF(AND(Parameter!$B$21="Ja",ISNUMBER(W253),N(X253)&gt;0),IFERROR(N(INDEX(Parameter!$L$5:$L$7,W253))*INDEX(Parameter!$E$5:$E$7,W253)*X253/SUMIFS($X$7:$X$1843,$W$7:$W$1843,W253),0),0)</f>
        <v>0</v>
      </c>
    </row>
    <row r="254" customFormat="false" ht="15" hidden="false" customHeight="false" outlineLevel="0" collapsed="false">
      <c r="A254" s="48" t="s">
        <v>700</v>
      </c>
      <c r="B254" s="48" t="s">
        <v>701</v>
      </c>
      <c r="C254" s="48" t="s">
        <v>173</v>
      </c>
      <c r="D254" s="48" t="s">
        <v>182</v>
      </c>
      <c r="E254" s="48"/>
      <c r="F254" s="48" t="s">
        <v>227</v>
      </c>
      <c r="G254" s="49" t="n">
        <v>118.62</v>
      </c>
      <c r="H254" s="50" t="n">
        <f aca="false">MAX(0,IF(AND(Parameter!$B$21="Ja",ISNUMBER(Y254)),Y254,IF(Parameter!$B$20="Jahresanfang 2025 + Export",BR254+BQ254,BQ254)))</f>
        <v>4</v>
      </c>
      <c r="I254" s="50" t="n">
        <f aca="false">H254*G254</f>
        <v>474.48</v>
      </c>
      <c r="J254" s="50" t="n">
        <f aca="false">BT254*Parameter!$B$18</f>
        <v>2</v>
      </c>
      <c r="K254" s="51" t="n">
        <v>1.5</v>
      </c>
      <c r="L254" s="52" t="n">
        <v>1.33333333333333</v>
      </c>
      <c r="M254" s="50" t="n">
        <v>0</v>
      </c>
      <c r="N254" s="50" t="n">
        <v>1</v>
      </c>
      <c r="O254" s="53" t="n">
        <v>31</v>
      </c>
      <c r="P254" s="48" t="s">
        <v>177</v>
      </c>
      <c r="Q254" s="50"/>
      <c r="R254" s="53" t="n">
        <f aca="false">IF(BZ254=1,0,IFERROR(VLOOKUP(BX254,'Gebinde-Kategorie'!$A$5:$N$45,13,0)+0,0))</f>
        <v>12</v>
      </c>
      <c r="S254" s="54"/>
      <c r="T254" s="55" t="s">
        <v>188</v>
      </c>
      <c r="U254" s="55"/>
      <c r="V254" s="55"/>
      <c r="W254" s="48"/>
      <c r="X254" s="50"/>
      <c r="Y254" s="50"/>
      <c r="Z254" s="48" t="n">
        <f aca="false">IF(A254="","",IF(AND(Parameter!$B$21="Ja",ISNUMBER(W254)),W254,IF(CC254="2+3",IF(ISNUMBER(SEARCH("grosser Artikel",BU254)),2,IFERROR(VLOOKUP(BX254,Parameter!$F$35:$G$64,2,0),2)),IF(OR(CC254="Nein",CC254=""),"-",CC254))))</f>
        <v>2</v>
      </c>
      <c r="AA254" s="55"/>
      <c r="AB254" s="56"/>
      <c r="AC254" s="50" t="n">
        <f aca="false">AV254</f>
        <v>2</v>
      </c>
      <c r="AD254" s="50" t="n">
        <f aca="false">MAX(AV254,H254)</f>
        <v>4</v>
      </c>
      <c r="AE254" s="57"/>
      <c r="AF254" s="50" t="n">
        <f aca="false">IF(LEFT(Cockpit!$C$5,1)="A",H254,IF(Parameter!$E$30="MAX-Bestand",IF(CH254=1,CI254,IF(LEFT(Cockpit!$C$5,1)="B",AL254,MAX(AL254,H254))),ROUNDUP(AJ254,0)))</f>
        <v>4</v>
      </c>
      <c r="AG254" s="50" t="n">
        <f aca="false">IF(BZ254=1,0,ROUNDUP(AF254/BY254,0))</f>
        <v>1</v>
      </c>
      <c r="AH254" s="52" t="n">
        <f aca="false">IF(CQ254&gt;0,CQ254*MAX(1,AF254/X254),IF(BZ254=1,IF(AF254&lt;=0,0,CD254*MAX(1,IF(H254&gt;0,AF254/H254,1))),IF(R254&gt;0,AG254/R254,0))/MAX(0.1,N(Parameter!$M$21)))</f>
        <v>0.0833333333333333</v>
      </c>
      <c r="AI254" s="50" t="n">
        <f aca="false">AH254*CB254</f>
        <v>12.0833333333333</v>
      </c>
      <c r="AJ254" s="51" t="n">
        <f aca="false">IF(LEFT(Cockpit!$C$5,1)="A",H254,IF(CH254=1,(CK254+CI254)/2,IF(LEFT(Cockpit!$C$5,1)="B",(CK254+AL254)/2,MAX((CK254+AL254)/2,H254))))</f>
        <v>4</v>
      </c>
      <c r="AK254" s="50" t="n">
        <f aca="false">AJ254*G254</f>
        <v>474.48</v>
      </c>
      <c r="AL254" s="50" t="n">
        <f aca="false">ROUNDUP(CK254+MAX(CL254,2*(J254/IF(CG254&gt;0,CG254,MAX(0.1,N(Cockpit!$C$6)))-CK254)),0)</f>
        <v>2</v>
      </c>
      <c r="AM254" s="51" t="n">
        <f aca="false">IF(AI254&gt;0,J254/AI254,-1)</f>
        <v>0.16551724137931</v>
      </c>
      <c r="AN254" s="51" t="n">
        <f aca="false">IF(AND(OR(CF254="L1",CF254="L23",CF254="LIFT"),AI254&gt;0),SUMIFS($AI$7:$AI$1843,$CF$7:$CF$1843,CF254,$AM$7:$AM$1843,"&gt;"&amp;AM254)+SUMIFS($AI$7:$AI$1843,$CF$7:$CF$1843,CF254,$AM$7:$AM$1843,AM254,$BW$7:$BW$1843,"&lt;="&amp;BW254),"")</f>
        <v>12793.3234644358</v>
      </c>
      <c r="AO254" s="58" t="n">
        <f aca="false">IF(AN254="",0,MAX(0,MIN(1,(IF(CF254="L1",Parameter!$H$5,IF(CF254="L23",Parameter!$H$6+Parameter!$H$7,Parameter!$H$5+Parameter!$H$6+Parameter!$H$7))-(AN254-AI254))/AI254)))</f>
        <v>1</v>
      </c>
      <c r="AP254" s="50" t="n">
        <f aca="false">IF(LEFT(Cockpit!$I$5,1)="A",H254,IF(Parameter!$E$30="MAX-Bestand",IF(CH254=1,CI254,IF(LEFT(Cockpit!$I$5,1)="B",AV254,MAX(AV254,H254))),ROUNDUP(AT254,0)))</f>
        <v>4</v>
      </c>
      <c r="AQ254" s="50" t="n">
        <f aca="false">IF(BZ254=1,0,ROUNDUP(AP254/BY254,0))</f>
        <v>1</v>
      </c>
      <c r="AR254" s="52" t="n">
        <f aca="false">IF(CQ254&gt;0,CQ254*MAX(1,AP254/X254),IF(BZ254=1,IF(AP254&lt;=0,0,CD254*MAX(1,IF(H254&gt;0,AP254/H254,1))),IF(R254&gt;0,AQ254/R254,0))/MAX(0.1,N(Parameter!$M$21)))</f>
        <v>0.0833333333333333</v>
      </c>
      <c r="AS254" s="50" t="n">
        <f aca="false">AR254*CB254</f>
        <v>12.0833333333333</v>
      </c>
      <c r="AT254" s="51" t="n">
        <f aca="false">IF(LEFT(Cockpit!$I$5,1)="A",H254,IF(CH254=1,(CK254+CI254)/2,IF(LEFT(Cockpit!$I$5,1)="B",(CK254+AV254)/2,MAX((CK254+AV254)/2,H254))))</f>
        <v>4</v>
      </c>
      <c r="AU254" s="50" t="n">
        <f aca="false">AT254*G254</f>
        <v>474.48</v>
      </c>
      <c r="AV254" s="50" t="n">
        <f aca="false">ROUNDUP(CK254+MAX(CL254,2*(J254/IF(CG254&gt;0,CG254,MAX(0.1,N(Cockpit!$I$6)))-CK254)),0)</f>
        <v>2</v>
      </c>
      <c r="AW254" s="51" t="n">
        <f aca="false">IF(AS254&gt;0,J254/AS254,-1)</f>
        <v>0.16551724137931</v>
      </c>
      <c r="AX254" s="51" t="n">
        <f aca="false">IF(AND(OR(CF254="L1",CF254="L23",CF254="LIFT"),AS254&gt;0),SUMIFS($AS$7:$AS$1843,$CF$7:$CF$1843,CF254,$AW$7:$AW$1843,"&gt;"&amp;AW254)+SUMIFS($AS$7:$AS$1843,$CF$7:$CF$1843,CF254,$AW$7:$AW$1843,AW254,$BW$7:$BW$1843,"&lt;="&amp;BW254),"")</f>
        <v>15722.0041208791</v>
      </c>
      <c r="AY254" s="58" t="n">
        <f aca="false">IF(AX254="",0,MAX(0,MIN(1,(IF(CF254="L1",Parameter!$H$5,IF(CF254="L23",Parameter!$H$6+Parameter!$H$7,Parameter!$H$5+Parameter!$H$6+Parameter!$H$7))-(AX254-AS254))/AS254)))</f>
        <v>1</v>
      </c>
      <c r="AZ254" s="50" t="n">
        <f aca="false">IF(LEFT(Cockpit!$O$5,1)="A",H254,IF(Parameter!$E$30="MAX-Bestand",IF(CH254=1,CI254,IF(LEFT(Cockpit!$O$5,1)="B",BF254,MAX(BF254,H254))),ROUNDUP(BD254,0)))</f>
        <v>1</v>
      </c>
      <c r="BA254" s="50" t="n">
        <f aca="false">IF(BZ254=1,0,ROUNDUP(AZ254/BY254,0))</f>
        <v>1</v>
      </c>
      <c r="BB254" s="52" t="n">
        <f aca="false">IF(CQ254&gt;0,CQ254*MAX(1,AZ254/X254),IF(BZ254=1,IF(AZ254&lt;=0,0,CD254*MAX(1,IF(H254&gt;0,AZ254/H254,1))),IF(R254&gt;0,BA254/R254,0))/MAX(0.1,N(Parameter!$M$21)))</f>
        <v>0.0833333333333333</v>
      </c>
      <c r="BC254" s="50" t="n">
        <f aca="false">BB254*CB254</f>
        <v>12.0833333333333</v>
      </c>
      <c r="BD254" s="51" t="n">
        <f aca="false">IF(LEFT(Cockpit!$O$5,1)="A",H254,IF(CH254=1,(CK254+CI254)/2,IF(LEFT(Cockpit!$O$5,1)="B",(CK254+BF254)/2,MAX((CK254+BF254)/2,H254))))</f>
        <v>0.5</v>
      </c>
      <c r="BE254" s="50" t="n">
        <f aca="false">BD254*G254</f>
        <v>59.31</v>
      </c>
      <c r="BF254" s="50" t="n">
        <f aca="false">ROUNDUP(CK254+MAX(CL254,2*(J254/IF(CG254&gt;0,CG254,MAX(0.1,N(Cockpit!$O$6)))-CK254)),0)</f>
        <v>1</v>
      </c>
      <c r="BG254" s="51" t="n">
        <f aca="false">IF(BC254&gt;0,J254/BC254,-1)</f>
        <v>0.16551724137931</v>
      </c>
      <c r="BH254" s="51" t="n">
        <f aca="false">IF(AND(OR(CF254="L1",CF254="L23",CF254="LIFT"),BC254&gt;0),SUMIFS($BC$7:$BC$1843,$CF$7:$CF$1843,CF254,$BG$7:$BG$1843,"&gt;"&amp;BG254)+SUMIFS($BC$7:$BC$1843,$CF$7:$CF$1843,CF254,$BG$7:$BG$1843,BG254,$BW$7:$BW$1843,"&lt;="&amp;BW254),"")</f>
        <v>13536.3872824445</v>
      </c>
      <c r="BI254" s="58" t="n">
        <f aca="false">IF(BH254="",0,MAX(0,MIN(1,(IF(CF254="L1",Parameter!$H$5,IF(CF254="L23",Parameter!$H$6+Parameter!$H$7,Parameter!$H$5+Parameter!$H$6+Parameter!$H$7))-(BH254-BC254))/BC254)))</f>
        <v>1</v>
      </c>
      <c r="BJ254" s="48" t="str">
        <f aca="false">IF(AI254&lt;=0,"",IF(CF254="Aussen","Aussenlager",IF(CF254="-","Nicht im Lift",IF(AO254&gt;=1,"Lift",IF(AO254&lt;=0,"Aussenlager","teilweise")))))</f>
        <v>Lift</v>
      </c>
      <c r="BK254" s="48" t="str">
        <f aca="false">IF(AS254&lt;=0,"",IF(CF254="Aussen","Aussenlager",IF(CF254="-","Nicht im Lift",IF(AY254&gt;=1,"Lift",IF(AY254&lt;=0,"Aussenlager","teilweise")))))</f>
        <v>Lift</v>
      </c>
      <c r="BL254" s="48" t="str">
        <f aca="false">IF(BC254&lt;=0,"",IF(CF254="Aussen","Aussenlager",IF(CF254="-","Nicht im Lift",IF(BI254&gt;=1,"Lift",IF(BI254&lt;=0,"Aussenlager","teilweise")))))</f>
        <v>Lift</v>
      </c>
      <c r="BM254" s="48" t="str">
        <f aca="false">IF(A254="","",IF(BV254=1,"Neu; ","")&amp;IF(AND(BV254=0,BQ254&lt;0),"negativer Bestand (Export "&amp;BQ254&amp;"); ","")&amp;IF(J254&lt;=0,"Kein Verbrauch; ","")&amp;IF(CQ254&gt;0,"Lift "&amp;W254&amp;" lt. Liftbericht (Fach "&amp;X254&amp;" Stk); ",IF(CA254=1,"Gebinde geschätzt ("&amp;T254&amp;"); ",IF(BZ254=1,"Lose – Tablare geschätzt; ","")))&amp;IF(H254&gt;AV254,"Überbestand "&amp;ROUND(H254-AV254,0)&amp;" Stk / CHF "&amp;ROUND((H254-AV254)*G254,0)&amp;"; ","")&amp;IF(AND(CH254=1,CI254&lt;CJ254),"MAX &lt; MB+LG; ","")&amp;IF(AND(CP254&gt;0,CO254*10&gt;CP254),"zu hoch für Tablar; ","")&amp;IF(AND(BV254=0,OR(CH254=1,AA254&lt;&gt;"",U254&lt;&gt;"",V254&lt;&gt;"",AB254&lt;&gt;"")),"manuell übersteuert; ","")&amp;IF(AND(BZ254=0,R254=0),"Gebinde unbekannt / Stellmass fehlt; ","")&amp;IF(AND(BZ254=0,N(V254)&lt;=0,N(Q254)&lt;=0),"Menge pro Gebinde fehlt (Ist = 1 Gebinde); ","")&amp;BU254)</f>
        <v>Gebinde geschätzt (Mittel); Überbestand 2 Stk / CHF 237; Menge pro Gebinde fehlt (Ist = 1 Gebinde); </v>
      </c>
      <c r="BN254" s="48"/>
      <c r="BO254" s="48"/>
      <c r="BP254" s="55"/>
      <c r="BQ254" s="50" t="n">
        <v>4</v>
      </c>
      <c r="BR254" s="50" t="n">
        <v>0</v>
      </c>
      <c r="BS254" s="49" t="n">
        <v>474.48</v>
      </c>
      <c r="BT254" s="50" t="n">
        <v>2</v>
      </c>
      <c r="BU254" s="48"/>
      <c r="BV254" s="53" t="n">
        <v>0</v>
      </c>
      <c r="BW254" s="53" t="n">
        <v>254</v>
      </c>
      <c r="BX254" s="48" t="str">
        <f aca="false">IF(U254&lt;&gt;"",UPPER(TRIM(U254)),IF(CA254=1,UPPER(VLOOKUP(T254,Parameter!$I$27:$K$29,2,0)),IF(P254="","LOSE",P254)))</f>
        <v>S61</v>
      </c>
      <c r="BY254" s="50" t="n">
        <f aca="false">IF(BX254="LOSE",1,IF(N(V254)&gt;0,V254,IF(CA254=1,MAX(1,N(VLOOKUP(T254,Parameter!$I$27:$K$29,3,0)),H254,N(N254)),IF(N(Q254)&gt;0,Q254,MAX(1,H254)))))</f>
        <v>4</v>
      </c>
      <c r="BZ254" s="53" t="n">
        <f aca="false">IF(BX254="LOSE",1,0)</f>
        <v>0</v>
      </c>
      <c r="CA254" s="53" t="n">
        <f aca="false">IF(AND(U254="",OR(P254="",P254="LOSE"),T254&lt;&gt;"",N(S254)&lt;=0,ISNUMBER(MATCH(T254,Parameter!$I$27:$I$29,0))),1,0)</f>
        <v>1</v>
      </c>
      <c r="CB254" s="53" t="n">
        <f aca="false">IF(CQ254&gt;0,INDEX(Parameter!$H$5:$H$7,W254)/INDEX(Parameter!$E$5:$E$7,W254),IF(AND(BZ254=0,N(IFERROR(VLOOKUP(BX254,'Gebinde-Kategorie'!$A$5:$N$45,14,0),0))&gt;0),VLOOKUP(BX254,'Gebinde-Kategorie'!$A$5:$N$45,14,0)*10+Parameter!$M$23,Parameter!$M$24))</f>
        <v>145</v>
      </c>
      <c r="CC254" s="48" t="str">
        <f aca="false">IF(AND(Parameter!$B$19="Ja",E254&lt;&gt;"",ISNUMBER(MATCH(E254,Parameter!$I$35:$I$52,0))),VLOOKUP(E254,Parameter!$I$35:$J$52,2,0),IFERROR(VLOOKUP(D254,Parameter!$A$35:$C$64,2,0),"Nein"))</f>
        <v>2+3</v>
      </c>
      <c r="CD254" s="52" t="n">
        <f aca="false">IF(BZ254=0,0,IF(N(S254)&gt;0,S254,IFERROR(VLOOKUP(D254,Parameter!$A$35:$C$64,3,0)+0,0)))</f>
        <v>0</v>
      </c>
      <c r="CE254" s="48" t="n">
        <f aca="false">IF(AA254&lt;&gt;"",AA254,Z254)</f>
        <v>2</v>
      </c>
      <c r="CF254" s="48" t="str">
        <f aca="false">IF(OR(CE254=1,CE254=2,CE254=3),IF(Parameter!$E$27="Ja","LIFT",IF(CE254=1,"L1","L23")),IF(CE254="Aussen","Aussen","-"))</f>
        <v>LIFT</v>
      </c>
      <c r="CG254" s="59" t="n">
        <f aca="false">IF(N(AB254)&gt;0,AB254,0)</f>
        <v>0</v>
      </c>
      <c r="CH254" s="53" t="n">
        <f aca="false">IF(ISNUMBER(AE254),1,0)</f>
        <v>0</v>
      </c>
      <c r="CI254" s="50" t="n">
        <f aca="false">N(AE254)</f>
        <v>0</v>
      </c>
      <c r="CJ254" s="50" t="n">
        <f aca="false">N(M254)+N(N254)</f>
        <v>1</v>
      </c>
      <c r="CK254" s="50" t="n">
        <f aca="false">N(M254)</f>
        <v>0</v>
      </c>
      <c r="CL254" s="50" t="n">
        <f aca="false">N(N254)</f>
        <v>1</v>
      </c>
      <c r="CM254" s="50" t="n">
        <f aca="false">ROUNDUP(H254/BY254,0)</f>
        <v>1</v>
      </c>
      <c r="CN254" s="50" t="n">
        <f aca="false">ROUNDUP(CI254/BY254,0)</f>
        <v>0</v>
      </c>
      <c r="CO254" s="53" t="n">
        <f aca="false">IF(BZ254=1,0,IFERROR(VLOOKUP(BX254,'Gebinde-Kategorie'!$A$5:$N$45,5,0)+0,0))</f>
        <v>11</v>
      </c>
      <c r="CP254" s="53" t="n">
        <f aca="false">IFERROR(IF(OR(CE254=1,CE254=2,CE254=3),N(INDEX(Parameter!$I$5:$I$7,CE254)),0),0)</f>
        <v>0</v>
      </c>
      <c r="CQ254" s="52" t="n">
        <f aca="false">IF(AND(Parameter!$B$21="Ja",ISNUMBER(W254),N(X254)&gt;0),IFERROR(N(INDEX(Parameter!$L$5:$L$7,W254))*INDEX(Parameter!$E$5:$E$7,W254)*X254/SUMIFS($X$7:$X$1843,$W$7:$W$1843,W254),0),0)</f>
        <v>0</v>
      </c>
    </row>
    <row r="255" customFormat="false" ht="15" hidden="false" customHeight="false" outlineLevel="0" collapsed="false">
      <c r="A255" s="48" t="s">
        <v>702</v>
      </c>
      <c r="B255" s="48" t="s">
        <v>703</v>
      </c>
      <c r="C255" s="48" t="s">
        <v>173</v>
      </c>
      <c r="D255" s="48" t="s">
        <v>193</v>
      </c>
      <c r="E255" s="48"/>
      <c r="F255" s="48" t="s">
        <v>227</v>
      </c>
      <c r="G255" s="49" t="n">
        <v>5.93</v>
      </c>
      <c r="H255" s="50" t="n">
        <f aca="false">MAX(0,IF(AND(Parameter!$B$21="Ja",ISNUMBER(Y255)),Y255,IF(Parameter!$B$20="Jahresanfang 2025 + Export",BR255+BQ255,BQ255)))</f>
        <v>176</v>
      </c>
      <c r="I255" s="50" t="n">
        <f aca="false">H255*G255</f>
        <v>1043.68</v>
      </c>
      <c r="J255" s="50" t="n">
        <f aca="false">BT255*Parameter!$B$18</f>
        <v>193</v>
      </c>
      <c r="K255" s="51" t="n">
        <v>79</v>
      </c>
      <c r="L255" s="52" t="n">
        <v>2.44303797468354</v>
      </c>
      <c r="M255" s="50" t="n">
        <v>7</v>
      </c>
      <c r="N255" s="50" t="n">
        <v>195</v>
      </c>
      <c r="O255" s="53" t="n">
        <v>14</v>
      </c>
      <c r="P255" s="48" t="s">
        <v>177</v>
      </c>
      <c r="Q255" s="50"/>
      <c r="R255" s="53" t="n">
        <f aca="false">IF(BZ255=1,0,IFERROR(VLOOKUP(BX255,'Gebinde-Kategorie'!$A$5:$N$45,13,0)+0,0))</f>
        <v>26</v>
      </c>
      <c r="S255" s="54"/>
      <c r="T255" s="55" t="s">
        <v>284</v>
      </c>
      <c r="U255" s="55"/>
      <c r="V255" s="55"/>
      <c r="W255" s="48"/>
      <c r="X255" s="50"/>
      <c r="Y255" s="50"/>
      <c r="Z255" s="48" t="n">
        <f aca="false">IF(A255="","",IF(AND(Parameter!$B$21="Ja",ISNUMBER(W255)),W255,IF(CC255="2+3",IF(ISNUMBER(SEARCH("grosser Artikel",BU255)),2,IFERROR(VLOOKUP(BX255,Parameter!$F$35:$G$64,2,0),2)),IF(OR(CC255="Nein",CC255=""),"-",CC255))))</f>
        <v>3</v>
      </c>
      <c r="AA255" s="55"/>
      <c r="AB255" s="56"/>
      <c r="AC255" s="50" t="n">
        <f aca="false">AV255</f>
        <v>202</v>
      </c>
      <c r="AD255" s="50" t="n">
        <f aca="false">MAX(AV255,H255)</f>
        <v>202</v>
      </c>
      <c r="AE255" s="57"/>
      <c r="AF255" s="50" t="n">
        <f aca="false">IF(LEFT(Cockpit!$C$5,1)="A",H255,IF(Parameter!$E$30="MAX-Bestand",IF(CH255=1,CI255,IF(LEFT(Cockpit!$C$5,1)="B",AL255,MAX(AL255,H255))),ROUNDUP(AJ255,0)))</f>
        <v>176</v>
      </c>
      <c r="AG255" s="50" t="n">
        <f aca="false">IF(BZ255=1,0,ROUNDUP(AF255/BY255,0))</f>
        <v>1</v>
      </c>
      <c r="AH255" s="52" t="n">
        <f aca="false">IF(CQ255&gt;0,CQ255*MAX(1,AF255/X255),IF(BZ255=1,IF(AF255&lt;=0,0,CD255*MAX(1,IF(H255&gt;0,AF255/H255,1))),IF(R255&gt;0,AG255/R255,0))/MAX(0.1,N(Parameter!$M$21)))</f>
        <v>0.0384615384615385</v>
      </c>
      <c r="AI255" s="50" t="n">
        <f aca="false">AH255*CB255</f>
        <v>5.96153846153846</v>
      </c>
      <c r="AJ255" s="51" t="n">
        <f aca="false">IF(LEFT(Cockpit!$C$5,1)="A",H255,IF(CH255=1,(CK255+CI255)/2,IF(LEFT(Cockpit!$C$5,1)="B",(CK255+AL255)/2,MAX((CK255+AL255)/2,H255))))</f>
        <v>176</v>
      </c>
      <c r="AK255" s="50" t="n">
        <f aca="false">AJ255*G255</f>
        <v>1043.68</v>
      </c>
      <c r="AL255" s="50" t="n">
        <f aca="false">ROUNDUP(CK255+MAX(CL255,2*(J255/IF(CG255&gt;0,CG255,MAX(0.1,N(Cockpit!$C$6)))-CK255)),0)</f>
        <v>202</v>
      </c>
      <c r="AM255" s="51" t="n">
        <f aca="false">IF(AI255&gt;0,J255/AI255,-1)</f>
        <v>32.3741935483871</v>
      </c>
      <c r="AN255" s="51" t="n">
        <f aca="false">IF(AND(OR(CF255="L1",CF255="L23",CF255="LIFT"),AI255&gt;0),SUMIFS($AI$7:$AI$1843,$CF$7:$CF$1843,CF255,$AM$7:$AM$1843,"&gt;"&amp;AM255)+SUMIFS($AI$7:$AI$1843,$CF$7:$CF$1843,CF255,$AM$7:$AM$1843,AM255,$BW$7:$BW$1843,"&lt;="&amp;BW255),"")</f>
        <v>1352.96428571429</v>
      </c>
      <c r="AO255" s="58" t="n">
        <f aca="false">IF(AN255="",0,MAX(0,MIN(1,(IF(CF255="L1",Parameter!$H$5,IF(CF255="L23",Parameter!$H$6+Parameter!$H$7,Parameter!$H$5+Parameter!$H$6+Parameter!$H$7))-(AN255-AI255))/AI255)))</f>
        <v>1</v>
      </c>
      <c r="AP255" s="50" t="n">
        <f aca="false">IF(LEFT(Cockpit!$I$5,1)="A",H255,IF(Parameter!$E$30="MAX-Bestand",IF(CH255=1,CI255,IF(LEFT(Cockpit!$I$5,1)="B",AV255,MAX(AV255,H255))),ROUNDUP(AT255,0)))</f>
        <v>176</v>
      </c>
      <c r="AQ255" s="50" t="n">
        <f aca="false">IF(BZ255=1,0,ROUNDUP(AP255/BY255,0))</f>
        <v>1</v>
      </c>
      <c r="AR255" s="52" t="n">
        <f aca="false">IF(CQ255&gt;0,CQ255*MAX(1,AP255/X255),IF(BZ255=1,IF(AP255&lt;=0,0,CD255*MAX(1,IF(H255&gt;0,AP255/H255,1))),IF(R255&gt;0,AQ255/R255,0))/MAX(0.1,N(Parameter!$M$21)))</f>
        <v>0.0384615384615385</v>
      </c>
      <c r="AS255" s="50" t="n">
        <f aca="false">AR255*CB255</f>
        <v>5.96153846153846</v>
      </c>
      <c r="AT255" s="51" t="n">
        <f aca="false">IF(LEFT(Cockpit!$I$5,1)="A",H255,IF(CH255=1,(CK255+CI255)/2,IF(LEFT(Cockpit!$I$5,1)="B",(CK255+AV255)/2,MAX((CK255+AV255)/2,H255))))</f>
        <v>176</v>
      </c>
      <c r="AU255" s="50" t="n">
        <f aca="false">AT255*G255</f>
        <v>1043.68</v>
      </c>
      <c r="AV255" s="50" t="n">
        <f aca="false">ROUNDUP(CK255+MAX(CL255,2*(J255/IF(CG255&gt;0,CG255,MAX(0.1,N(Cockpit!$I$6)))-CK255)),0)</f>
        <v>202</v>
      </c>
      <c r="AW255" s="51" t="n">
        <f aca="false">IF(AS255&gt;0,J255/AS255,-1)</f>
        <v>32.3741935483871</v>
      </c>
      <c r="AX255" s="51" t="n">
        <f aca="false">IF(AND(OR(CF255="L1",CF255="L23",CF255="LIFT"),AS255&gt;0),SUMIFS($AS$7:$AS$1843,$CF$7:$CF$1843,CF255,$AW$7:$AW$1843,"&gt;"&amp;AW255)+SUMIFS($AS$7:$AS$1843,$CF$7:$CF$1843,CF255,$AW$7:$AW$1843,AW255,$BW$7:$BW$1843,"&lt;="&amp;BW255),"")</f>
        <v>1746.23031135531</v>
      </c>
      <c r="AY255" s="58" t="n">
        <f aca="false">IF(AX255="",0,MAX(0,MIN(1,(IF(CF255="L1",Parameter!$H$5,IF(CF255="L23",Parameter!$H$6+Parameter!$H$7,Parameter!$H$5+Parameter!$H$6+Parameter!$H$7))-(AX255-AS255))/AS255)))</f>
        <v>1</v>
      </c>
      <c r="AZ255" s="50" t="n">
        <f aca="false">IF(LEFT(Cockpit!$O$5,1)="A",H255,IF(Parameter!$E$30="MAX-Bestand",IF(CH255=1,CI255,IF(LEFT(Cockpit!$O$5,1)="B",BF255,MAX(BF255,H255))),ROUNDUP(BD255,0)))</f>
        <v>105</v>
      </c>
      <c r="BA255" s="50" t="n">
        <f aca="false">IF(BZ255=1,0,ROUNDUP(AZ255/BY255,0))</f>
        <v>1</v>
      </c>
      <c r="BB255" s="52" t="n">
        <f aca="false">IF(CQ255&gt;0,CQ255*MAX(1,AZ255/X255),IF(BZ255=1,IF(AZ255&lt;=0,0,CD255*MAX(1,IF(H255&gt;0,AZ255/H255,1))),IF(R255&gt;0,BA255/R255,0))/MAX(0.1,N(Parameter!$M$21)))</f>
        <v>0.0384615384615385</v>
      </c>
      <c r="BC255" s="50" t="n">
        <f aca="false">BB255*CB255</f>
        <v>5.96153846153846</v>
      </c>
      <c r="BD255" s="51" t="n">
        <f aca="false">IF(LEFT(Cockpit!$O$5,1)="A",H255,IF(CH255=1,(CK255+CI255)/2,IF(LEFT(Cockpit!$O$5,1)="B",(CK255+BF255)/2,MAX((CK255+BF255)/2,H255))))</f>
        <v>104.5</v>
      </c>
      <c r="BE255" s="50" t="n">
        <f aca="false">BD255*G255</f>
        <v>619.685</v>
      </c>
      <c r="BF255" s="50" t="n">
        <f aca="false">ROUNDUP(CK255+MAX(CL255,2*(J255/IF(CG255&gt;0,CG255,MAX(0.1,N(Cockpit!$O$6)))-CK255)),0)</f>
        <v>202</v>
      </c>
      <c r="BG255" s="51" t="n">
        <f aca="false">IF(BC255&gt;0,J255/BC255,-1)</f>
        <v>32.3741935483871</v>
      </c>
      <c r="BH255" s="51" t="n">
        <f aca="false">IF(AND(OR(CF255="L1",CF255="L23",CF255="LIFT"),BC255&gt;0),SUMIFS($BC$7:$BC$1843,$CF$7:$CF$1843,CF255,$BG$7:$BG$1843,"&gt;"&amp;BG255)+SUMIFS($BC$7:$BC$1843,$CF$7:$CF$1843,CF255,$BG$7:$BG$1843,BG255,$BW$7:$BW$1843,"&lt;="&amp;BW255),"")</f>
        <v>1685.90613553114</v>
      </c>
      <c r="BI255" s="58" t="n">
        <f aca="false">IF(BH255="",0,MAX(0,MIN(1,(IF(CF255="L1",Parameter!$H$5,IF(CF255="L23",Parameter!$H$6+Parameter!$H$7,Parameter!$H$5+Parameter!$H$6+Parameter!$H$7))-(BH255-BC255))/BC255)))</f>
        <v>1</v>
      </c>
      <c r="BJ255" s="48" t="str">
        <f aca="false">IF(AI255&lt;=0,"",IF(CF255="Aussen","Aussenlager",IF(CF255="-","Nicht im Lift",IF(AO255&gt;=1,"Lift",IF(AO255&lt;=0,"Aussenlager","teilweise")))))</f>
        <v>Lift</v>
      </c>
      <c r="BK255" s="48" t="str">
        <f aca="false">IF(AS255&lt;=0,"",IF(CF255="Aussen","Aussenlager",IF(CF255="-","Nicht im Lift",IF(AY255&gt;=1,"Lift",IF(AY255&lt;=0,"Aussenlager","teilweise")))))</f>
        <v>Lift</v>
      </c>
      <c r="BL255" s="48" t="str">
        <f aca="false">IF(BC255&lt;=0,"",IF(CF255="Aussen","Aussenlager",IF(CF255="-","Nicht im Lift",IF(BI255&gt;=1,"Lift",IF(BI255&lt;=0,"Aussenlager","teilweise")))))</f>
        <v>Lift</v>
      </c>
      <c r="BM255" s="48" t="str">
        <f aca="false">IF(A255="","",IF(BV255=1,"Neu; ","")&amp;IF(AND(BV255=0,BQ255&lt;0),"negativer Bestand (Export "&amp;BQ255&amp;"); ","")&amp;IF(J255&lt;=0,"Kein Verbrauch; ","")&amp;IF(CQ255&gt;0,"Lift "&amp;W255&amp;" lt. Liftbericht (Fach "&amp;X255&amp;" Stk); ",IF(CA255=1,"Gebinde geschätzt ("&amp;T255&amp;"); ",IF(BZ255=1,"Lose – Tablare geschätzt; ","")))&amp;IF(H255&gt;AV255,"Überbestand "&amp;ROUND(H255-AV255,0)&amp;" Stk / CHF "&amp;ROUND((H255-AV255)*G255,0)&amp;"; ","")&amp;IF(AND(CH255=1,CI255&lt;CJ255),"MAX &lt; MB+LG; ","")&amp;IF(AND(CP255&gt;0,CO255*10&gt;CP255),"zu hoch für Tablar; ","")&amp;IF(AND(BV255=0,OR(CH255=1,AA255&lt;&gt;"",U255&lt;&gt;"",V255&lt;&gt;"",AB255&lt;&gt;"")),"manuell übersteuert; ","")&amp;IF(AND(BZ255=0,R255=0),"Gebinde unbekannt / Stellmass fehlt; ","")&amp;IF(AND(BZ255=0,N(V255)&lt;=0,N(Q255)&lt;=0),"Menge pro Gebinde fehlt (Ist = 1 Gebinde); ","")&amp;BU255)</f>
        <v>Gebinde geschätzt (Klein); Menge pro Gebinde fehlt (Ist = 1 Gebinde); </v>
      </c>
      <c r="BN255" s="48"/>
      <c r="BO255" s="48"/>
      <c r="BP255" s="55"/>
      <c r="BQ255" s="50" t="n">
        <v>83</v>
      </c>
      <c r="BR255" s="50" t="n">
        <v>93</v>
      </c>
      <c r="BS255" s="49" t="n">
        <v>470.8</v>
      </c>
      <c r="BT255" s="50" t="n">
        <v>193</v>
      </c>
      <c r="BU255" s="48"/>
      <c r="BV255" s="53" t="n">
        <v>0</v>
      </c>
      <c r="BW255" s="53" t="n">
        <v>255</v>
      </c>
      <c r="BX255" s="48" t="str">
        <f aca="false">IF(U255&lt;&gt;"",UPPER(TRIM(U255)),IF(CA255=1,UPPER(VLOOKUP(T255,Parameter!$I$27:$K$29,2,0)),IF(P255="","LOSE",P255)))</f>
        <v>S51</v>
      </c>
      <c r="BY255" s="50" t="n">
        <f aca="false">IF(BX255="LOSE",1,IF(N(V255)&gt;0,V255,IF(CA255=1,MAX(1,N(VLOOKUP(T255,Parameter!$I$27:$K$29,3,0)),H255,N(N255)),IF(N(Q255)&gt;0,Q255,MAX(1,H255)))))</f>
        <v>195</v>
      </c>
      <c r="BZ255" s="53" t="n">
        <f aca="false">IF(BX255="LOSE",1,0)</f>
        <v>0</v>
      </c>
      <c r="CA255" s="53" t="n">
        <f aca="false">IF(AND(U255="",OR(P255="",P255="LOSE"),T255&lt;&gt;"",N(S255)&lt;=0,ISNUMBER(MATCH(T255,Parameter!$I$27:$I$29,0))),1,0)</f>
        <v>1</v>
      </c>
      <c r="CB255" s="53" t="n">
        <f aca="false">IF(CQ255&gt;0,INDEX(Parameter!$H$5:$H$7,W255)/INDEX(Parameter!$E$5:$E$7,W255),IF(AND(BZ255=0,N(IFERROR(VLOOKUP(BX255,'Gebinde-Kategorie'!$A$5:$N$45,14,0),0))&gt;0),VLOOKUP(BX255,'Gebinde-Kategorie'!$A$5:$N$45,14,0)*10+Parameter!$M$23,Parameter!$M$24))</f>
        <v>155</v>
      </c>
      <c r="CC255" s="48" t="str">
        <f aca="false">IF(AND(Parameter!$B$19="Ja",E255&lt;&gt;"",ISNUMBER(MATCH(E255,Parameter!$I$35:$I$52,0))),VLOOKUP(E255,Parameter!$I$35:$J$52,2,0),IFERROR(VLOOKUP(D255,Parameter!$A$35:$C$64,2,0),"Nein"))</f>
        <v>2+3</v>
      </c>
      <c r="CD255" s="52" t="n">
        <f aca="false">IF(BZ255=0,0,IF(N(S255)&gt;0,S255,IFERROR(VLOOKUP(D255,Parameter!$A$35:$C$64,3,0)+0,0)))</f>
        <v>0</v>
      </c>
      <c r="CE255" s="48" t="n">
        <f aca="false">IF(AA255&lt;&gt;"",AA255,Z255)</f>
        <v>3</v>
      </c>
      <c r="CF255" s="48" t="str">
        <f aca="false">IF(OR(CE255=1,CE255=2,CE255=3),IF(Parameter!$E$27="Ja","LIFT",IF(CE255=1,"L1","L23")),IF(CE255="Aussen","Aussen","-"))</f>
        <v>LIFT</v>
      </c>
      <c r="CG255" s="59" t="n">
        <f aca="false">IF(N(AB255)&gt;0,AB255,0)</f>
        <v>0</v>
      </c>
      <c r="CH255" s="53" t="n">
        <f aca="false">IF(ISNUMBER(AE255),1,0)</f>
        <v>0</v>
      </c>
      <c r="CI255" s="50" t="n">
        <f aca="false">N(AE255)</f>
        <v>0</v>
      </c>
      <c r="CJ255" s="50" t="n">
        <f aca="false">N(M255)+N(N255)</f>
        <v>202</v>
      </c>
      <c r="CK255" s="50" t="n">
        <f aca="false">N(M255)</f>
        <v>7</v>
      </c>
      <c r="CL255" s="50" t="n">
        <f aca="false">N(N255)</f>
        <v>195</v>
      </c>
      <c r="CM255" s="50" t="n">
        <f aca="false">ROUNDUP(H255/BY255,0)</f>
        <v>1</v>
      </c>
      <c r="CN255" s="50" t="n">
        <f aca="false">ROUNDUP(CI255/BY255,0)</f>
        <v>0</v>
      </c>
      <c r="CO255" s="53" t="n">
        <f aca="false">IF(BZ255=1,0,IFERROR(VLOOKUP(BX255,'Gebinde-Kategorie'!$A$5:$N$45,5,0)+0,0))</f>
        <v>11</v>
      </c>
      <c r="CP255" s="53" t="n">
        <f aca="false">IFERROR(IF(OR(CE255=1,CE255=2,CE255=3),N(INDEX(Parameter!$I$5:$I$7,CE255)),0),0)</f>
        <v>0</v>
      </c>
      <c r="CQ255" s="52" t="n">
        <f aca="false">IF(AND(Parameter!$B$21="Ja",ISNUMBER(W255),N(X255)&gt;0),IFERROR(N(INDEX(Parameter!$L$5:$L$7,W255))*INDEX(Parameter!$E$5:$E$7,W255)*X255/SUMIFS($X$7:$X$1843,$W$7:$W$1843,W255),0),0)</f>
        <v>0</v>
      </c>
    </row>
    <row r="256" customFormat="false" ht="15" hidden="false" customHeight="false" outlineLevel="0" collapsed="false">
      <c r="A256" s="48" t="s">
        <v>704</v>
      </c>
      <c r="B256" s="48" t="s">
        <v>705</v>
      </c>
      <c r="C256" s="48" t="s">
        <v>173</v>
      </c>
      <c r="D256" s="48" t="s">
        <v>193</v>
      </c>
      <c r="E256" s="48" t="s">
        <v>194</v>
      </c>
      <c r="F256" s="48" t="s">
        <v>227</v>
      </c>
      <c r="G256" s="49" t="n">
        <v>116.9</v>
      </c>
      <c r="H256" s="50" t="n">
        <f aca="false">MAX(0,IF(AND(Parameter!$B$21="Ja",ISNUMBER(Y256)),Y256,IF(Parameter!$B$20="Jahresanfang 2025 + Export",BR256+BQ256,BQ256)))</f>
        <v>4</v>
      </c>
      <c r="I256" s="50" t="n">
        <f aca="false">H256*G256</f>
        <v>467.6</v>
      </c>
      <c r="J256" s="50" t="n">
        <f aca="false">BT256*Parameter!$B$18</f>
        <v>0</v>
      </c>
      <c r="K256" s="51" t="n">
        <v>2.5</v>
      </c>
      <c r="L256" s="52" t="n">
        <v>0</v>
      </c>
      <c r="M256" s="50" t="n">
        <v>0</v>
      </c>
      <c r="N256" s="50" t="n">
        <v>1</v>
      </c>
      <c r="O256" s="53" t="n">
        <v>21</v>
      </c>
      <c r="P256" s="48" t="s">
        <v>242</v>
      </c>
      <c r="Q256" s="50" t="n">
        <v>9</v>
      </c>
      <c r="R256" s="53" t="n">
        <f aca="false">IF(BZ256=1,0,IFERROR(VLOOKUP(BX256,'Gebinde-Kategorie'!$A$5:$N$45,13,0)+0,0))</f>
        <v>26</v>
      </c>
      <c r="S256" s="54"/>
      <c r="T256" s="55"/>
      <c r="U256" s="55"/>
      <c r="V256" s="55"/>
      <c r="W256" s="48"/>
      <c r="X256" s="50"/>
      <c r="Y256" s="50"/>
      <c r="Z256" s="48" t="n">
        <f aca="false">IF(A256="","",IF(AND(Parameter!$B$21="Ja",ISNUMBER(W256)),W256,IF(CC256="2+3",IF(ISNUMBER(SEARCH("grosser Artikel",BU256)),2,IFERROR(VLOOKUP(BX256,Parameter!$F$35:$G$64,2,0),2)),IF(OR(CC256="Nein",CC256=""),"-",CC256))))</f>
        <v>3</v>
      </c>
      <c r="AA256" s="55"/>
      <c r="AB256" s="56"/>
      <c r="AC256" s="50" t="n">
        <f aca="false">AV256</f>
        <v>1</v>
      </c>
      <c r="AD256" s="50" t="n">
        <f aca="false">MAX(AV256,H256)</f>
        <v>4</v>
      </c>
      <c r="AE256" s="57"/>
      <c r="AF256" s="50" t="n">
        <f aca="false">IF(LEFT(Cockpit!$C$5,1)="A",H256,IF(Parameter!$E$30="MAX-Bestand",IF(CH256=1,CI256,IF(LEFT(Cockpit!$C$5,1)="B",AL256,MAX(AL256,H256))),ROUNDUP(AJ256,0)))</f>
        <v>4</v>
      </c>
      <c r="AG256" s="50" t="n">
        <f aca="false">IF(BZ256=1,0,ROUNDUP(AF256/BY256,0))</f>
        <v>1</v>
      </c>
      <c r="AH256" s="52" t="n">
        <f aca="false">IF(CQ256&gt;0,CQ256*MAX(1,AF256/X256),IF(BZ256=1,IF(AF256&lt;=0,0,CD256*MAX(1,IF(H256&gt;0,AF256/H256,1))),IF(R256&gt;0,AG256/R256,0))/MAX(0.1,N(Parameter!$M$21)))</f>
        <v>0.0384615384615385</v>
      </c>
      <c r="AI256" s="50" t="n">
        <f aca="false">AH256*CB256</f>
        <v>9.42307692307692</v>
      </c>
      <c r="AJ256" s="51" t="n">
        <f aca="false">IF(LEFT(Cockpit!$C$5,1)="A",H256,IF(CH256=1,(CK256+CI256)/2,IF(LEFT(Cockpit!$C$5,1)="B",(CK256+AL256)/2,MAX((CK256+AL256)/2,H256))))</f>
        <v>4</v>
      </c>
      <c r="AK256" s="50" t="n">
        <f aca="false">AJ256*G256</f>
        <v>467.6</v>
      </c>
      <c r="AL256" s="50" t="n">
        <f aca="false">ROUNDUP(CK256+MAX(CL256,2*(J256/IF(CG256&gt;0,CG256,MAX(0.1,N(Cockpit!$C$6)))-CK256)),0)</f>
        <v>1</v>
      </c>
      <c r="AM256" s="51" t="n">
        <f aca="false">IF(AI256&gt;0,J256/AI256,-1)</f>
        <v>0</v>
      </c>
      <c r="AN256" s="51" t="n">
        <f aca="false">IF(AND(OR(CF256="L1",CF256="L23",CF256="LIFT"),AI256&gt;0),SUMIFS($AI$7:$AI$1843,$CF$7:$CF$1843,CF256,$AM$7:$AM$1843,"&gt;"&amp;AM256)+SUMIFS($AI$7:$AI$1843,$CF$7:$CF$1843,CF256,$AM$7:$AM$1843,AM256,$BW$7:$BW$1843,"&lt;="&amp;BW256),"")</f>
        <v>27760.5235197947</v>
      </c>
      <c r="AO256" s="58" t="n">
        <f aca="false">IF(AN256="",0,MAX(0,MIN(1,(IF(CF256="L1",Parameter!$H$5,IF(CF256="L23",Parameter!$H$6+Parameter!$H$7,Parameter!$H$5+Parameter!$H$6+Parameter!$H$7))-(AN256-AI256))/AI256)))</f>
        <v>1</v>
      </c>
      <c r="AP256" s="50" t="n">
        <f aca="false">IF(LEFT(Cockpit!$I$5,1)="A",H256,IF(Parameter!$E$30="MAX-Bestand",IF(CH256=1,CI256,IF(LEFT(Cockpit!$I$5,1)="B",AV256,MAX(AV256,H256))),ROUNDUP(AT256,0)))</f>
        <v>4</v>
      </c>
      <c r="AQ256" s="50" t="n">
        <f aca="false">IF(BZ256=1,0,ROUNDUP(AP256/BY256,0))</f>
        <v>1</v>
      </c>
      <c r="AR256" s="52" t="n">
        <f aca="false">IF(CQ256&gt;0,CQ256*MAX(1,AP256/X256),IF(BZ256=1,IF(AP256&lt;=0,0,CD256*MAX(1,IF(H256&gt;0,AP256/H256,1))),IF(R256&gt;0,AQ256/R256,0))/MAX(0.1,N(Parameter!$M$21)))</f>
        <v>0.0384615384615385</v>
      </c>
      <c r="AS256" s="50" t="n">
        <f aca="false">AR256*CB256</f>
        <v>9.42307692307692</v>
      </c>
      <c r="AT256" s="51" t="n">
        <f aca="false">IF(LEFT(Cockpit!$I$5,1)="A",H256,IF(CH256=1,(CK256+CI256)/2,IF(LEFT(Cockpit!$I$5,1)="B",(CK256+AV256)/2,MAX((CK256+AV256)/2,H256))))</f>
        <v>4</v>
      </c>
      <c r="AU256" s="50" t="n">
        <f aca="false">AT256*G256</f>
        <v>467.6</v>
      </c>
      <c r="AV256" s="50" t="n">
        <f aca="false">ROUNDUP(CK256+MAX(CL256,2*(J256/IF(CG256&gt;0,CG256,MAX(0.1,N(Cockpit!$I$6)))-CK256)),0)</f>
        <v>1</v>
      </c>
      <c r="AW256" s="51" t="n">
        <f aca="false">IF(AS256&gt;0,J256/AS256,-1)</f>
        <v>0</v>
      </c>
      <c r="AX256" s="51" t="n">
        <f aca="false">IF(AND(OR(CF256="L1",CF256="L23",CF256="LIFT"),AS256&gt;0),SUMIFS($AS$7:$AS$1843,$CF$7:$CF$1843,CF256,$AW$7:$AW$1843,"&gt;"&amp;AW256)+SUMIFS($AS$7:$AS$1843,$CF$7:$CF$1843,CF256,$AW$7:$AW$1843,AW256,$BW$7:$BW$1843,"&lt;="&amp;BW256),"")</f>
        <v>33113.6721611722</v>
      </c>
      <c r="AY256" s="58" t="n">
        <f aca="false">IF(AX256="",0,MAX(0,MIN(1,(IF(CF256="L1",Parameter!$H$5,IF(CF256="L23",Parameter!$H$6+Parameter!$H$7,Parameter!$H$5+Parameter!$H$6+Parameter!$H$7))-(AX256-AS256))/AS256)))</f>
        <v>1</v>
      </c>
      <c r="AZ256" s="50" t="n">
        <f aca="false">IF(LEFT(Cockpit!$O$5,1)="A",H256,IF(Parameter!$E$30="MAX-Bestand",IF(CH256=1,CI256,IF(LEFT(Cockpit!$O$5,1)="B",BF256,MAX(BF256,H256))),ROUNDUP(BD256,0)))</f>
        <v>1</v>
      </c>
      <c r="BA256" s="50" t="n">
        <f aca="false">IF(BZ256=1,0,ROUNDUP(AZ256/BY256,0))</f>
        <v>1</v>
      </c>
      <c r="BB256" s="52" t="n">
        <f aca="false">IF(CQ256&gt;0,CQ256*MAX(1,AZ256/X256),IF(BZ256=1,IF(AZ256&lt;=0,0,CD256*MAX(1,IF(H256&gt;0,AZ256/H256,1))),IF(R256&gt;0,BA256/R256,0))/MAX(0.1,N(Parameter!$M$21)))</f>
        <v>0.0384615384615385</v>
      </c>
      <c r="BC256" s="50" t="n">
        <f aca="false">BB256*CB256</f>
        <v>9.42307692307692</v>
      </c>
      <c r="BD256" s="51" t="n">
        <f aca="false">IF(LEFT(Cockpit!$O$5,1)="A",H256,IF(CH256=1,(CK256+CI256)/2,IF(LEFT(Cockpit!$O$5,1)="B",(CK256+BF256)/2,MAX((CK256+BF256)/2,H256))))</f>
        <v>0.5</v>
      </c>
      <c r="BE256" s="50" t="n">
        <f aca="false">BD256*G256</f>
        <v>58.45</v>
      </c>
      <c r="BF256" s="50" t="n">
        <f aca="false">ROUNDUP(CK256+MAX(CL256,2*(J256/IF(CG256&gt;0,CG256,MAX(0.1,N(Cockpit!$O$6)))-CK256)),0)</f>
        <v>1</v>
      </c>
      <c r="BG256" s="51" t="n">
        <f aca="false">IF(BC256&gt;0,J256/BC256,-1)</f>
        <v>0</v>
      </c>
      <c r="BH256" s="51" t="n">
        <f aca="false">IF(AND(OR(CF256="L1",CF256="L23",CF256="LIFT"),BC256&gt;0),SUMIFS($BC$7:$BC$1843,$CF$7:$CF$1843,CF256,$BG$7:$BG$1843,"&gt;"&amp;BG256)+SUMIFS($BC$7:$BC$1843,$CF$7:$CF$1843,CF256,$BG$7:$BG$1843,BG256,$BW$7:$BW$1843,"&lt;="&amp;BW256),"")</f>
        <v>27268.4911839573</v>
      </c>
      <c r="BI256" s="58" t="n">
        <f aca="false">IF(BH256="",0,MAX(0,MIN(1,(IF(CF256="L1",Parameter!$H$5,IF(CF256="L23",Parameter!$H$6+Parameter!$H$7,Parameter!$H$5+Parameter!$H$6+Parameter!$H$7))-(BH256-BC256))/BC256)))</f>
        <v>1</v>
      </c>
      <c r="BJ256" s="48" t="str">
        <f aca="false">IF(AI256&lt;=0,"",IF(CF256="Aussen","Aussenlager",IF(CF256="-","Nicht im Lift",IF(AO256&gt;=1,"Lift",IF(AO256&lt;=0,"Aussenlager","teilweise")))))</f>
        <v>Lift</v>
      </c>
      <c r="BK256" s="48" t="str">
        <f aca="false">IF(AS256&lt;=0,"",IF(CF256="Aussen","Aussenlager",IF(CF256="-","Nicht im Lift",IF(AY256&gt;=1,"Lift",IF(AY256&lt;=0,"Aussenlager","teilweise")))))</f>
        <v>Lift</v>
      </c>
      <c r="BL256" s="48" t="str">
        <f aca="false">IF(BC256&lt;=0,"",IF(CF256="Aussen","Aussenlager",IF(CF256="-","Nicht im Lift",IF(BI256&gt;=1,"Lift",IF(BI256&lt;=0,"Aussenlager","teilweise")))))</f>
        <v>Lift</v>
      </c>
      <c r="BM256" s="48" t="str">
        <f aca="false">IF(A256="","",IF(BV256=1,"Neu; ","")&amp;IF(AND(BV256=0,BQ256&lt;0),"negativer Bestand (Export "&amp;BQ256&amp;"); ","")&amp;IF(J256&lt;=0,"Kein Verbrauch; ","")&amp;IF(CQ256&gt;0,"Lift "&amp;W256&amp;" lt. Liftbericht (Fach "&amp;X256&amp;" Stk); ",IF(CA256=1,"Gebinde geschätzt ("&amp;T256&amp;"); ",IF(BZ256=1,"Lose – Tablare geschätzt; ","")))&amp;IF(H256&gt;AV256,"Überbestand "&amp;ROUND(H256-AV256,0)&amp;" Stk / CHF "&amp;ROUND((H256-AV256)*G256,0)&amp;"; ","")&amp;IF(AND(CH256=1,CI256&lt;CJ256),"MAX &lt; MB+LG; ","")&amp;IF(AND(CP256&gt;0,CO256*10&gt;CP256),"zu hoch für Tablar; ","")&amp;IF(AND(BV256=0,OR(CH256=1,AA256&lt;&gt;"",U256&lt;&gt;"",V256&lt;&gt;"",AB256&lt;&gt;"")),"manuell übersteuert; ","")&amp;IF(AND(BZ256=0,R256=0),"Gebinde unbekannt / Stellmass fehlt; ","")&amp;IF(AND(BZ256=0,N(V256)&lt;=0,N(Q256)&lt;=0),"Menge pro Gebinde fehlt (Ist = 1 Gebinde); ","")&amp;BU256)</f>
        <v>Kein Verbrauch; Überbestand 3 Stk / CHF 351; </v>
      </c>
      <c r="BN256" s="48"/>
      <c r="BO256" s="48"/>
      <c r="BP256" s="55"/>
      <c r="BQ256" s="50" t="n">
        <v>4</v>
      </c>
      <c r="BR256" s="50" t="n">
        <v>0</v>
      </c>
      <c r="BS256" s="49" t="n">
        <v>467.6</v>
      </c>
      <c r="BT256" s="50" t="n">
        <v>0</v>
      </c>
      <c r="BU256" s="48"/>
      <c r="BV256" s="53" t="n">
        <v>0</v>
      </c>
      <c r="BW256" s="53" t="n">
        <v>256</v>
      </c>
      <c r="BX256" s="48" t="str">
        <f aca="false">IF(U256&lt;&gt;"",UPPER(TRIM(U256)),IF(CA256=1,UPPER(VLOOKUP(T256,Parameter!$I$27:$K$29,2,0)),IF(P256="","LOSE",P256)))</f>
        <v>S52</v>
      </c>
      <c r="BY256" s="50" t="n">
        <f aca="false">IF(BX256="LOSE",1,IF(N(V256)&gt;0,V256,IF(CA256=1,MAX(1,N(VLOOKUP(T256,Parameter!$I$27:$K$29,3,0)),H256,N(N256)),IF(N(Q256)&gt;0,Q256,MAX(1,H256)))))</f>
        <v>9</v>
      </c>
      <c r="BZ256" s="53" t="n">
        <f aca="false">IF(BX256="LOSE",1,0)</f>
        <v>0</v>
      </c>
      <c r="CA256" s="53" t="n">
        <f aca="false">IF(AND(U256="",OR(P256="",P256="LOSE"),T256&lt;&gt;"",N(S256)&lt;=0,ISNUMBER(MATCH(T256,Parameter!$I$27:$I$29,0))),1,0)</f>
        <v>0</v>
      </c>
      <c r="CB256" s="53" t="n">
        <f aca="false">IF(CQ256&gt;0,INDEX(Parameter!$H$5:$H$7,W256)/INDEX(Parameter!$E$5:$E$7,W256),IF(AND(BZ256=0,N(IFERROR(VLOOKUP(BX256,'Gebinde-Kategorie'!$A$5:$N$45,14,0),0))&gt;0),VLOOKUP(BX256,'Gebinde-Kategorie'!$A$5:$N$45,14,0)*10+Parameter!$M$23,Parameter!$M$24))</f>
        <v>245</v>
      </c>
      <c r="CC256" s="48" t="str">
        <f aca="false">IF(AND(Parameter!$B$19="Ja",E256&lt;&gt;"",ISNUMBER(MATCH(E256,Parameter!$I$35:$I$52,0))),VLOOKUP(E256,Parameter!$I$35:$J$52,2,0),IFERROR(VLOOKUP(D256,Parameter!$A$35:$C$64,2,0),"Nein"))</f>
        <v>2+3</v>
      </c>
      <c r="CD256" s="52" t="n">
        <f aca="false">IF(BZ256=0,0,IF(N(S256)&gt;0,S256,IFERROR(VLOOKUP(D256,Parameter!$A$35:$C$64,3,0)+0,0)))</f>
        <v>0</v>
      </c>
      <c r="CE256" s="48" t="n">
        <f aca="false">IF(AA256&lt;&gt;"",AA256,Z256)</f>
        <v>3</v>
      </c>
      <c r="CF256" s="48" t="str">
        <f aca="false">IF(OR(CE256=1,CE256=2,CE256=3),IF(Parameter!$E$27="Ja","LIFT",IF(CE256=1,"L1","L23")),IF(CE256="Aussen","Aussen","-"))</f>
        <v>LIFT</v>
      </c>
      <c r="CG256" s="59" t="n">
        <f aca="false">IF(N(AB256)&gt;0,AB256,0)</f>
        <v>0</v>
      </c>
      <c r="CH256" s="53" t="n">
        <f aca="false">IF(ISNUMBER(AE256),1,0)</f>
        <v>0</v>
      </c>
      <c r="CI256" s="50" t="n">
        <f aca="false">N(AE256)</f>
        <v>0</v>
      </c>
      <c r="CJ256" s="50" t="n">
        <f aca="false">N(M256)+N(N256)</f>
        <v>1</v>
      </c>
      <c r="CK256" s="50" t="n">
        <f aca="false">N(M256)</f>
        <v>0</v>
      </c>
      <c r="CL256" s="50" t="n">
        <f aca="false">N(N256)</f>
        <v>1</v>
      </c>
      <c r="CM256" s="50" t="n">
        <f aca="false">ROUNDUP(H256/BY256,0)</f>
        <v>1</v>
      </c>
      <c r="CN256" s="50" t="n">
        <f aca="false">ROUNDUP(CI256/BY256,0)</f>
        <v>0</v>
      </c>
      <c r="CO256" s="53" t="n">
        <f aca="false">IF(BZ256=1,0,IFERROR(VLOOKUP(BX256,'Gebinde-Kategorie'!$A$5:$N$45,5,0)+0,0))</f>
        <v>21</v>
      </c>
      <c r="CP256" s="53" t="n">
        <f aca="false">IFERROR(IF(OR(CE256=1,CE256=2,CE256=3),N(INDEX(Parameter!$I$5:$I$7,CE256)),0),0)</f>
        <v>0</v>
      </c>
      <c r="CQ256" s="52" t="n">
        <f aca="false">IF(AND(Parameter!$B$21="Ja",ISNUMBER(W256),N(X256)&gt;0),IFERROR(N(INDEX(Parameter!$L$5:$L$7,W256))*INDEX(Parameter!$E$5:$E$7,W256)*X256/SUMIFS($X$7:$X$1843,$W$7:$W$1843,W256),0),0)</f>
        <v>0</v>
      </c>
    </row>
    <row r="257" customFormat="false" ht="15" hidden="false" customHeight="false" outlineLevel="0" collapsed="false">
      <c r="A257" s="48" t="s">
        <v>706</v>
      </c>
      <c r="B257" s="48" t="s">
        <v>707</v>
      </c>
      <c r="C257" s="48" t="s">
        <v>173</v>
      </c>
      <c r="D257" s="48" t="s">
        <v>182</v>
      </c>
      <c r="E257" s="48" t="s">
        <v>182</v>
      </c>
      <c r="F257" s="48" t="s">
        <v>227</v>
      </c>
      <c r="G257" s="49" t="n">
        <v>467.1</v>
      </c>
      <c r="H257" s="50" t="n">
        <f aca="false">MAX(0,IF(AND(Parameter!$B$21="Ja",ISNUMBER(Y257)),Y257,IF(Parameter!$B$20="Jahresanfang 2025 + Export",BR257+BQ257,BQ257)))</f>
        <v>1</v>
      </c>
      <c r="I257" s="50" t="n">
        <f aca="false">H257*G257</f>
        <v>467.1</v>
      </c>
      <c r="J257" s="50" t="n">
        <f aca="false">BT257*Parameter!$B$18</f>
        <v>1</v>
      </c>
      <c r="K257" s="51" t="n">
        <v>0.5</v>
      </c>
      <c r="L257" s="52" t="n">
        <v>2</v>
      </c>
      <c r="M257" s="50" t="n">
        <v>0</v>
      </c>
      <c r="N257" s="50" t="n">
        <v>1</v>
      </c>
      <c r="O257" s="53" t="n">
        <v>28</v>
      </c>
      <c r="P257" s="48" t="s">
        <v>177</v>
      </c>
      <c r="Q257" s="50"/>
      <c r="R257" s="53" t="n">
        <f aca="false">IF(BZ257=1,0,IFERROR(VLOOKUP(BX257,'Gebinde-Kategorie'!$A$5:$N$45,13,0)+0,0))</f>
        <v>12</v>
      </c>
      <c r="S257" s="54"/>
      <c r="T257" s="55" t="s">
        <v>188</v>
      </c>
      <c r="U257" s="55"/>
      <c r="V257" s="55"/>
      <c r="W257" s="48"/>
      <c r="X257" s="50"/>
      <c r="Y257" s="50"/>
      <c r="Z257" s="48" t="str">
        <f aca="false">IF(A257="","",IF(AND(Parameter!$B$21="Ja",ISNUMBER(W257)),W257,IF(CC257="2+3",IF(ISNUMBER(SEARCH("grosser Artikel",BU257)),2,IFERROR(VLOOKUP(BX257,Parameter!$F$35:$G$64,2,0),2)),IF(OR(CC257="Nein",CC257=""),"-",CC257))))</f>
        <v>-</v>
      </c>
      <c r="AA257" s="55"/>
      <c r="AB257" s="56"/>
      <c r="AC257" s="50" t="n">
        <f aca="false">AV257</f>
        <v>1</v>
      </c>
      <c r="AD257" s="50" t="n">
        <f aca="false">MAX(AV257,H257)</f>
        <v>1</v>
      </c>
      <c r="AE257" s="57"/>
      <c r="AF257" s="50" t="n">
        <f aca="false">IF(LEFT(Cockpit!$C$5,1)="A",H257,IF(Parameter!$E$30="MAX-Bestand",IF(CH257=1,CI257,IF(LEFT(Cockpit!$C$5,1)="B",AL257,MAX(AL257,H257))),ROUNDUP(AJ257,0)))</f>
        <v>1</v>
      </c>
      <c r="AG257" s="50" t="n">
        <f aca="false">IF(BZ257=1,0,ROUNDUP(AF257/BY257,0))</f>
        <v>1</v>
      </c>
      <c r="AH257" s="52" t="n">
        <f aca="false">IF(CQ257&gt;0,CQ257*MAX(1,AF257/X257),IF(BZ257=1,IF(AF257&lt;=0,0,CD257*MAX(1,IF(H257&gt;0,AF257/H257,1))),IF(R257&gt;0,AG257/R257,0))/MAX(0.1,N(Parameter!$M$21)))</f>
        <v>0.0833333333333333</v>
      </c>
      <c r="AI257" s="50" t="n">
        <f aca="false">AH257*CB257</f>
        <v>12.0833333333333</v>
      </c>
      <c r="AJ257" s="51" t="n">
        <f aca="false">IF(LEFT(Cockpit!$C$5,1)="A",H257,IF(CH257=1,(CK257+CI257)/2,IF(LEFT(Cockpit!$C$5,1)="B",(CK257+AL257)/2,MAX((CK257+AL257)/2,H257))))</f>
        <v>1</v>
      </c>
      <c r="AK257" s="50" t="n">
        <f aca="false">AJ257*G257</f>
        <v>467.1</v>
      </c>
      <c r="AL257" s="50" t="n">
        <f aca="false">ROUNDUP(CK257+MAX(CL257,2*(J257/IF(CG257&gt;0,CG257,MAX(0.1,N(Cockpit!$C$6)))-CK257)),0)</f>
        <v>1</v>
      </c>
      <c r="AM257" s="51" t="n">
        <f aca="false">IF(AI257&gt;0,J257/AI257,-1)</f>
        <v>0.0827586206896552</v>
      </c>
      <c r="AN257" s="51" t="str">
        <f aca="false">IF(AND(OR(CF257="L1",CF257="L23",CF257="LIFT"),AI257&gt;0),SUMIFS($AI$7:$AI$1843,$CF$7:$CF$1843,CF257,$AM$7:$AM$1843,"&gt;"&amp;AM257)+SUMIFS($AI$7:$AI$1843,$CF$7:$CF$1843,CF257,$AM$7:$AM$1843,AM257,$BW$7:$BW$1843,"&lt;="&amp;BW257),"")</f>
        <v/>
      </c>
      <c r="AO257" s="58" t="n">
        <f aca="false">IF(AN257="",0,MAX(0,MIN(1,(IF(CF257="L1",Parameter!$H$5,IF(CF257="L23",Parameter!$H$6+Parameter!$H$7,Parameter!$H$5+Parameter!$H$6+Parameter!$H$7))-(AN257-AI257))/AI257)))</f>
        <v>0</v>
      </c>
      <c r="AP257" s="50" t="n">
        <f aca="false">IF(LEFT(Cockpit!$I$5,1)="A",H257,IF(Parameter!$E$30="MAX-Bestand",IF(CH257=1,CI257,IF(LEFT(Cockpit!$I$5,1)="B",AV257,MAX(AV257,H257))),ROUNDUP(AT257,0)))</f>
        <v>1</v>
      </c>
      <c r="AQ257" s="50" t="n">
        <f aca="false">IF(BZ257=1,0,ROUNDUP(AP257/BY257,0))</f>
        <v>1</v>
      </c>
      <c r="AR257" s="52" t="n">
        <f aca="false">IF(CQ257&gt;0,CQ257*MAX(1,AP257/X257),IF(BZ257=1,IF(AP257&lt;=0,0,CD257*MAX(1,IF(H257&gt;0,AP257/H257,1))),IF(R257&gt;0,AQ257/R257,0))/MAX(0.1,N(Parameter!$M$21)))</f>
        <v>0.0833333333333333</v>
      </c>
      <c r="AS257" s="50" t="n">
        <f aca="false">AR257*CB257</f>
        <v>12.0833333333333</v>
      </c>
      <c r="AT257" s="51" t="n">
        <f aca="false">IF(LEFT(Cockpit!$I$5,1)="A",H257,IF(CH257=1,(CK257+CI257)/2,IF(LEFT(Cockpit!$I$5,1)="B",(CK257+AV257)/2,MAX((CK257+AV257)/2,H257))))</f>
        <v>1</v>
      </c>
      <c r="AU257" s="50" t="n">
        <f aca="false">AT257*G257</f>
        <v>467.1</v>
      </c>
      <c r="AV257" s="50" t="n">
        <f aca="false">ROUNDUP(CK257+MAX(CL257,2*(J257/IF(CG257&gt;0,CG257,MAX(0.1,N(Cockpit!$I$6)))-CK257)),0)</f>
        <v>1</v>
      </c>
      <c r="AW257" s="51" t="n">
        <f aca="false">IF(AS257&gt;0,J257/AS257,-1)</f>
        <v>0.0827586206896552</v>
      </c>
      <c r="AX257" s="51" t="str">
        <f aca="false">IF(AND(OR(CF257="L1",CF257="L23",CF257="LIFT"),AS257&gt;0),SUMIFS($AS$7:$AS$1843,$CF$7:$CF$1843,CF257,$AW$7:$AW$1843,"&gt;"&amp;AW257)+SUMIFS($AS$7:$AS$1843,$CF$7:$CF$1843,CF257,$AW$7:$AW$1843,AW257,$BW$7:$BW$1843,"&lt;="&amp;BW257),"")</f>
        <v/>
      </c>
      <c r="AY257" s="58" t="n">
        <f aca="false">IF(AX257="",0,MAX(0,MIN(1,(IF(CF257="L1",Parameter!$H$5,IF(CF257="L23",Parameter!$H$6+Parameter!$H$7,Parameter!$H$5+Parameter!$H$6+Parameter!$H$7))-(AX257-AS257))/AS257)))</f>
        <v>0</v>
      </c>
      <c r="AZ257" s="50" t="n">
        <f aca="false">IF(LEFT(Cockpit!$O$5,1)="A",H257,IF(Parameter!$E$30="MAX-Bestand",IF(CH257=1,CI257,IF(LEFT(Cockpit!$O$5,1)="B",BF257,MAX(BF257,H257))),ROUNDUP(BD257,0)))</f>
        <v>1</v>
      </c>
      <c r="BA257" s="50" t="n">
        <f aca="false">IF(BZ257=1,0,ROUNDUP(AZ257/BY257,0))</f>
        <v>1</v>
      </c>
      <c r="BB257" s="52" t="n">
        <f aca="false">IF(CQ257&gt;0,CQ257*MAX(1,AZ257/X257),IF(BZ257=1,IF(AZ257&lt;=0,0,CD257*MAX(1,IF(H257&gt;0,AZ257/H257,1))),IF(R257&gt;0,BA257/R257,0))/MAX(0.1,N(Parameter!$M$21)))</f>
        <v>0.0833333333333333</v>
      </c>
      <c r="BC257" s="50" t="n">
        <f aca="false">BB257*CB257</f>
        <v>12.0833333333333</v>
      </c>
      <c r="BD257" s="51" t="n">
        <f aca="false">IF(LEFT(Cockpit!$O$5,1)="A",H257,IF(CH257=1,(CK257+CI257)/2,IF(LEFT(Cockpit!$O$5,1)="B",(CK257+BF257)/2,MAX((CK257+BF257)/2,H257))))</f>
        <v>0.5</v>
      </c>
      <c r="BE257" s="50" t="n">
        <f aca="false">BD257*G257</f>
        <v>233.55</v>
      </c>
      <c r="BF257" s="50" t="n">
        <f aca="false">ROUNDUP(CK257+MAX(CL257,2*(J257/IF(CG257&gt;0,CG257,MAX(0.1,N(Cockpit!$O$6)))-CK257)),0)</f>
        <v>1</v>
      </c>
      <c r="BG257" s="51" t="n">
        <f aca="false">IF(BC257&gt;0,J257/BC257,-1)</f>
        <v>0.0827586206896552</v>
      </c>
      <c r="BH257" s="51" t="str">
        <f aca="false">IF(AND(OR(CF257="L1",CF257="L23",CF257="LIFT"),BC257&gt;0),SUMIFS($BC$7:$BC$1843,$CF$7:$CF$1843,CF257,$BG$7:$BG$1843,"&gt;"&amp;BG257)+SUMIFS($BC$7:$BC$1843,$CF$7:$CF$1843,CF257,$BG$7:$BG$1843,BG257,$BW$7:$BW$1843,"&lt;="&amp;BW257),"")</f>
        <v/>
      </c>
      <c r="BI257" s="58" t="n">
        <f aca="false">IF(BH257="",0,MAX(0,MIN(1,(IF(CF257="L1",Parameter!$H$5,IF(CF257="L23",Parameter!$H$6+Parameter!$H$7,Parameter!$H$5+Parameter!$H$6+Parameter!$H$7))-(BH257-BC257))/BC257)))</f>
        <v>0</v>
      </c>
      <c r="BJ257" s="48" t="str">
        <f aca="false">IF(AI257&lt;=0,"",IF(CF257="Aussen","Aussenlager",IF(CF257="-","Nicht im Lift",IF(AO257&gt;=1,"Lift",IF(AO257&lt;=0,"Aussenlager","teilweise")))))</f>
        <v>Nicht im Lift</v>
      </c>
      <c r="BK257" s="48" t="str">
        <f aca="false">IF(AS257&lt;=0,"",IF(CF257="Aussen","Aussenlager",IF(CF257="-","Nicht im Lift",IF(AY257&gt;=1,"Lift",IF(AY257&lt;=0,"Aussenlager","teilweise")))))</f>
        <v>Nicht im Lift</v>
      </c>
      <c r="BL257" s="48" t="str">
        <f aca="false">IF(BC257&lt;=0,"",IF(CF257="Aussen","Aussenlager",IF(CF257="-","Nicht im Lift",IF(BI257&gt;=1,"Lift",IF(BI257&lt;=0,"Aussenlager","teilweise")))))</f>
        <v>Nicht im Lift</v>
      </c>
      <c r="BM257" s="48" t="str">
        <f aca="false">IF(A257="","",IF(BV257=1,"Neu; ","")&amp;IF(AND(BV257=0,BQ257&lt;0),"negativer Bestand (Export "&amp;BQ257&amp;"); ","")&amp;IF(J257&lt;=0,"Kein Verbrauch; ","")&amp;IF(CQ257&gt;0,"Lift "&amp;W257&amp;" lt. Liftbericht (Fach "&amp;X257&amp;" Stk); ",IF(CA257=1,"Gebinde geschätzt ("&amp;T257&amp;"); ",IF(BZ257=1,"Lose – Tablare geschätzt; ","")))&amp;IF(H257&gt;AV257,"Überbestand "&amp;ROUND(H257-AV257,0)&amp;" Stk / CHF "&amp;ROUND((H257-AV257)*G257,0)&amp;"; ","")&amp;IF(AND(CH257=1,CI257&lt;CJ257),"MAX &lt; MB+LG; ","")&amp;IF(AND(CP257&gt;0,CO257*10&gt;CP257),"zu hoch für Tablar; ","")&amp;IF(AND(BV257=0,OR(CH257=1,AA257&lt;&gt;"",U257&lt;&gt;"",V257&lt;&gt;"",AB257&lt;&gt;"")),"manuell übersteuert; ","")&amp;IF(AND(BZ257=0,R257=0),"Gebinde unbekannt / Stellmass fehlt; ","")&amp;IF(AND(BZ257=0,N(V257)&lt;=0,N(Q257)&lt;=0),"Menge pro Gebinde fehlt (Ist = 1 Gebinde); ","")&amp;BU257)</f>
        <v>Gebinde geschätzt (Mittel); Menge pro Gebinde fehlt (Ist = 1 Gebinde); </v>
      </c>
      <c r="BN257" s="48"/>
      <c r="BO257" s="48"/>
      <c r="BP257" s="55"/>
      <c r="BQ257" s="50" t="n">
        <v>1</v>
      </c>
      <c r="BR257" s="50" t="n">
        <v>0</v>
      </c>
      <c r="BS257" s="49" t="n">
        <v>467.1</v>
      </c>
      <c r="BT257" s="50" t="n">
        <v>1</v>
      </c>
      <c r="BU257" s="48"/>
      <c r="BV257" s="53" t="n">
        <v>0</v>
      </c>
      <c r="BW257" s="53" t="n">
        <v>257</v>
      </c>
      <c r="BX257" s="48" t="str">
        <f aca="false">IF(U257&lt;&gt;"",UPPER(TRIM(U257)),IF(CA257=1,UPPER(VLOOKUP(T257,Parameter!$I$27:$K$29,2,0)),IF(P257="","LOSE",P257)))</f>
        <v>S61</v>
      </c>
      <c r="BY257" s="50" t="n">
        <f aca="false">IF(BX257="LOSE",1,IF(N(V257)&gt;0,V257,IF(CA257=1,MAX(1,N(VLOOKUP(T257,Parameter!$I$27:$K$29,3,0)),H257,N(N257)),IF(N(Q257)&gt;0,Q257,MAX(1,H257)))))</f>
        <v>4</v>
      </c>
      <c r="BZ257" s="53" t="n">
        <f aca="false">IF(BX257="LOSE",1,0)</f>
        <v>0</v>
      </c>
      <c r="CA257" s="53" t="n">
        <f aca="false">IF(AND(U257="",OR(P257="",P257="LOSE"),T257&lt;&gt;"",N(S257)&lt;=0,ISNUMBER(MATCH(T257,Parameter!$I$27:$I$29,0))),1,0)</f>
        <v>1</v>
      </c>
      <c r="CB257" s="53" t="n">
        <f aca="false">IF(CQ257&gt;0,INDEX(Parameter!$H$5:$H$7,W257)/INDEX(Parameter!$E$5:$E$7,W257),IF(AND(BZ257=0,N(IFERROR(VLOOKUP(BX257,'Gebinde-Kategorie'!$A$5:$N$45,14,0),0))&gt;0),VLOOKUP(BX257,'Gebinde-Kategorie'!$A$5:$N$45,14,0)*10+Parameter!$M$23,Parameter!$M$24))</f>
        <v>145</v>
      </c>
      <c r="CC257" s="48" t="str">
        <f aca="false">IF(AND(Parameter!$B$19="Ja",E257&lt;&gt;"",ISNUMBER(MATCH(E257,Parameter!$I$35:$I$52,0))),VLOOKUP(E257,Parameter!$I$35:$J$52,2,0),IFERROR(VLOOKUP(D257,Parameter!$A$35:$C$64,2,0),"Nein"))</f>
        <v>Nein</v>
      </c>
      <c r="CD257" s="52" t="n">
        <f aca="false">IF(BZ257=0,0,IF(N(S257)&gt;0,S257,IFERROR(VLOOKUP(D257,Parameter!$A$35:$C$64,3,0)+0,0)))</f>
        <v>0</v>
      </c>
      <c r="CE257" s="48" t="str">
        <f aca="false">IF(AA257&lt;&gt;"",AA257,Z257)</f>
        <v>-</v>
      </c>
      <c r="CF257" s="48" t="str">
        <f aca="false">IF(OR(CE257=1,CE257=2,CE257=3),IF(Parameter!$E$27="Ja","LIFT",IF(CE257=1,"L1","L23")),IF(CE257="Aussen","Aussen","-"))</f>
        <v>-</v>
      </c>
      <c r="CG257" s="59" t="n">
        <f aca="false">IF(N(AB257)&gt;0,AB257,0)</f>
        <v>0</v>
      </c>
      <c r="CH257" s="53" t="n">
        <f aca="false">IF(ISNUMBER(AE257),1,0)</f>
        <v>0</v>
      </c>
      <c r="CI257" s="50" t="n">
        <f aca="false">N(AE257)</f>
        <v>0</v>
      </c>
      <c r="CJ257" s="50" t="n">
        <f aca="false">N(M257)+N(N257)</f>
        <v>1</v>
      </c>
      <c r="CK257" s="50" t="n">
        <f aca="false">N(M257)</f>
        <v>0</v>
      </c>
      <c r="CL257" s="50" t="n">
        <f aca="false">N(N257)</f>
        <v>1</v>
      </c>
      <c r="CM257" s="50" t="n">
        <f aca="false">ROUNDUP(H257/BY257,0)</f>
        <v>1</v>
      </c>
      <c r="CN257" s="50" t="n">
        <f aca="false">ROUNDUP(CI257/BY257,0)</f>
        <v>0</v>
      </c>
      <c r="CO257" s="53" t="n">
        <f aca="false">IF(BZ257=1,0,IFERROR(VLOOKUP(BX257,'Gebinde-Kategorie'!$A$5:$N$45,5,0)+0,0))</f>
        <v>11</v>
      </c>
      <c r="CP257" s="53" t="n">
        <f aca="false">IFERROR(IF(OR(CE257=1,CE257=2,CE257=3),N(INDEX(Parameter!$I$5:$I$7,CE257)),0),0)</f>
        <v>0</v>
      </c>
      <c r="CQ257" s="52" t="n">
        <f aca="false">IF(AND(Parameter!$B$21="Ja",ISNUMBER(W257),N(X257)&gt;0),IFERROR(N(INDEX(Parameter!$L$5:$L$7,W257))*INDEX(Parameter!$E$5:$E$7,W257)*X257/SUMIFS($X$7:$X$1843,$W$7:$W$1843,W257),0),0)</f>
        <v>0</v>
      </c>
    </row>
    <row r="258" customFormat="false" ht="15" hidden="false" customHeight="false" outlineLevel="0" collapsed="false">
      <c r="A258" s="48" t="s">
        <v>708</v>
      </c>
      <c r="B258" s="48" t="s">
        <v>709</v>
      </c>
      <c r="C258" s="48" t="s">
        <v>173</v>
      </c>
      <c r="D258" s="48" t="s">
        <v>182</v>
      </c>
      <c r="E258" s="48" t="s">
        <v>194</v>
      </c>
      <c r="F258" s="48" t="s">
        <v>227</v>
      </c>
      <c r="G258" s="49" t="n">
        <v>84.68</v>
      </c>
      <c r="H258" s="50" t="n">
        <f aca="false">MAX(0,IF(AND(Parameter!$B$21="Ja",ISNUMBER(Y258)),Y258,IF(Parameter!$B$20="Jahresanfang 2025 + Export",BR258+BQ258,BQ258)))</f>
        <v>25</v>
      </c>
      <c r="I258" s="50" t="n">
        <f aca="false">H258*G258</f>
        <v>2117</v>
      </c>
      <c r="J258" s="50" t="n">
        <f aca="false">BT258*Parameter!$B$18</f>
        <v>83</v>
      </c>
      <c r="K258" s="51" t="n">
        <v>17</v>
      </c>
      <c r="L258" s="52" t="n">
        <v>4.88235294117647</v>
      </c>
      <c r="M258" s="50" t="n">
        <v>2</v>
      </c>
      <c r="N258" s="50" t="n">
        <v>20</v>
      </c>
      <c r="O258" s="53" t="n">
        <v>7</v>
      </c>
      <c r="P258" s="48" t="s">
        <v>235</v>
      </c>
      <c r="Q258" s="50" t="n">
        <v>45</v>
      </c>
      <c r="R258" s="53" t="n">
        <f aca="false">IF(BZ258=1,0,IFERROR(VLOOKUP(BX258,'Gebinde-Kategorie'!$A$5:$N$45,13,0)+0,0))</f>
        <v>12</v>
      </c>
      <c r="S258" s="54"/>
      <c r="T258" s="55"/>
      <c r="U258" s="55"/>
      <c r="V258" s="55"/>
      <c r="W258" s="48"/>
      <c r="X258" s="50"/>
      <c r="Y258" s="50"/>
      <c r="Z258" s="48" t="n">
        <f aca="false">IF(A258="","",IF(AND(Parameter!$B$21="Ja",ISNUMBER(W258)),W258,IF(CC258="2+3",IF(ISNUMBER(SEARCH("grosser Artikel",BU258)),2,IFERROR(VLOOKUP(BX258,Parameter!$F$35:$G$64,2,0),2)),IF(OR(CC258="Nein",CC258=""),"-",CC258))))</f>
        <v>2</v>
      </c>
      <c r="AA258" s="55"/>
      <c r="AB258" s="56"/>
      <c r="AC258" s="50" t="n">
        <f aca="false">AV258</f>
        <v>54</v>
      </c>
      <c r="AD258" s="50" t="n">
        <f aca="false">MAX(AV258,H258)</f>
        <v>54</v>
      </c>
      <c r="AE258" s="57"/>
      <c r="AF258" s="50" t="n">
        <f aca="false">IF(LEFT(Cockpit!$C$5,1)="A",H258,IF(Parameter!$E$30="MAX-Bestand",IF(CH258=1,CI258,IF(LEFT(Cockpit!$C$5,1)="B",AL258,MAX(AL258,H258))),ROUNDUP(AJ258,0)))</f>
        <v>25</v>
      </c>
      <c r="AG258" s="50" t="n">
        <f aca="false">IF(BZ258=1,0,ROUNDUP(AF258/BY258,0))</f>
        <v>1</v>
      </c>
      <c r="AH258" s="52" t="n">
        <f aca="false">IF(CQ258&gt;0,CQ258*MAX(1,AF258/X258),IF(BZ258=1,IF(AF258&lt;=0,0,CD258*MAX(1,IF(H258&gt;0,AF258/H258,1))),IF(R258&gt;0,AG258/R258,0))/MAX(0.1,N(Parameter!$M$21)))</f>
        <v>0.0833333333333333</v>
      </c>
      <c r="AI258" s="50" t="n">
        <f aca="false">AH258*CB258</f>
        <v>28.75</v>
      </c>
      <c r="AJ258" s="51" t="n">
        <f aca="false">IF(LEFT(Cockpit!$C$5,1)="A",H258,IF(CH258=1,(CK258+CI258)/2,IF(LEFT(Cockpit!$C$5,1)="B",(CK258+AL258)/2,MAX((CK258+AL258)/2,H258))))</f>
        <v>25</v>
      </c>
      <c r="AK258" s="50" t="n">
        <f aca="false">AJ258*G258</f>
        <v>2117</v>
      </c>
      <c r="AL258" s="50" t="n">
        <f aca="false">ROUNDUP(CK258+MAX(CL258,2*(J258/IF(CG258&gt;0,CG258,MAX(0.1,N(Cockpit!$C$6)))-CK258)),0)</f>
        <v>54</v>
      </c>
      <c r="AM258" s="51" t="n">
        <f aca="false">IF(AI258&gt;0,J258/AI258,-1)</f>
        <v>2.88695652173913</v>
      </c>
      <c r="AN258" s="51" t="n">
        <f aca="false">IF(AND(OR(CF258="L1",CF258="L23",CF258="LIFT"),AI258&gt;0),SUMIFS($AI$7:$AI$1843,$CF$7:$CF$1843,CF258,$AM$7:$AM$1843,"&gt;"&amp;AM258)+SUMIFS($AI$7:$AI$1843,$CF$7:$CF$1843,CF258,$AM$7:$AM$1843,AM258,$BW$7:$BW$1843,"&lt;="&amp;BW258),"")</f>
        <v>5168.5206043956</v>
      </c>
      <c r="AO258" s="58" t="n">
        <f aca="false">IF(AN258="",0,MAX(0,MIN(1,(IF(CF258="L1",Parameter!$H$5,IF(CF258="L23",Parameter!$H$6+Parameter!$H$7,Parameter!$H$5+Parameter!$H$6+Parameter!$H$7))-(AN258-AI258))/AI258)))</f>
        <v>1</v>
      </c>
      <c r="AP258" s="50" t="n">
        <f aca="false">IF(LEFT(Cockpit!$I$5,1)="A",H258,IF(Parameter!$E$30="MAX-Bestand",IF(CH258=1,CI258,IF(LEFT(Cockpit!$I$5,1)="B",AV258,MAX(AV258,H258))),ROUNDUP(AT258,0)))</f>
        <v>28</v>
      </c>
      <c r="AQ258" s="50" t="n">
        <f aca="false">IF(BZ258=1,0,ROUNDUP(AP258/BY258,0))</f>
        <v>1</v>
      </c>
      <c r="AR258" s="52" t="n">
        <f aca="false">IF(CQ258&gt;0,CQ258*MAX(1,AP258/X258),IF(BZ258=1,IF(AP258&lt;=0,0,CD258*MAX(1,IF(H258&gt;0,AP258/H258,1))),IF(R258&gt;0,AQ258/R258,0))/MAX(0.1,N(Parameter!$M$21)))</f>
        <v>0.0833333333333333</v>
      </c>
      <c r="AS258" s="50" t="n">
        <f aca="false">AR258*CB258</f>
        <v>28.75</v>
      </c>
      <c r="AT258" s="51" t="n">
        <f aca="false">IF(LEFT(Cockpit!$I$5,1)="A",H258,IF(CH258=1,(CK258+CI258)/2,IF(LEFT(Cockpit!$I$5,1)="B",(CK258+AV258)/2,MAX((CK258+AV258)/2,H258))))</f>
        <v>28</v>
      </c>
      <c r="AU258" s="50" t="n">
        <f aca="false">AT258*G258</f>
        <v>2371.04</v>
      </c>
      <c r="AV258" s="50" t="n">
        <f aca="false">ROUNDUP(CK258+MAX(CL258,2*(J258/IF(CG258&gt;0,CG258,MAX(0.1,N(Cockpit!$I$6)))-CK258)),0)</f>
        <v>54</v>
      </c>
      <c r="AW258" s="51" t="n">
        <f aca="false">IF(AS258&gt;0,J258/AS258,-1)</f>
        <v>2.88695652173913</v>
      </c>
      <c r="AX258" s="51" t="n">
        <f aca="false">IF(AND(OR(CF258="L1",CF258="L23",CF258="LIFT"),AS258&gt;0),SUMIFS($AS$7:$AS$1843,$CF$7:$CF$1843,CF258,$AW$7:$AW$1843,"&gt;"&amp;AW258)+SUMIFS($AS$7:$AS$1843,$CF$7:$CF$1843,CF258,$AW$7:$AW$1843,AW258,$BW$7:$BW$1843,"&lt;="&amp;BW258),"")</f>
        <v>6002.99862637363</v>
      </c>
      <c r="AY258" s="58" t="n">
        <f aca="false">IF(AX258="",0,MAX(0,MIN(1,(IF(CF258="L1",Parameter!$H$5,IF(CF258="L23",Parameter!$H$6+Parameter!$H$7,Parameter!$H$5+Parameter!$H$6+Parameter!$H$7))-(AX258-AS258))/AS258)))</f>
        <v>1</v>
      </c>
      <c r="AZ258" s="50" t="n">
        <f aca="false">IF(LEFT(Cockpit!$O$5,1)="A",H258,IF(Parameter!$E$30="MAX-Bestand",IF(CH258=1,CI258,IF(LEFT(Cockpit!$O$5,1)="B",BF258,MAX(BF258,H258))),ROUNDUP(BD258,0)))</f>
        <v>21</v>
      </c>
      <c r="BA258" s="50" t="n">
        <f aca="false">IF(BZ258=1,0,ROUNDUP(AZ258/BY258,0))</f>
        <v>1</v>
      </c>
      <c r="BB258" s="52" t="n">
        <f aca="false">IF(CQ258&gt;0,CQ258*MAX(1,AZ258/X258),IF(BZ258=1,IF(AZ258&lt;=0,0,CD258*MAX(1,IF(H258&gt;0,AZ258/H258,1))),IF(R258&gt;0,BA258/R258,0))/MAX(0.1,N(Parameter!$M$21)))</f>
        <v>0.0833333333333333</v>
      </c>
      <c r="BC258" s="50" t="n">
        <f aca="false">BB258*CB258</f>
        <v>28.75</v>
      </c>
      <c r="BD258" s="51" t="n">
        <f aca="false">IF(LEFT(Cockpit!$O$5,1)="A",H258,IF(CH258=1,(CK258+CI258)/2,IF(LEFT(Cockpit!$O$5,1)="B",(CK258+BF258)/2,MAX((CK258+BF258)/2,H258))))</f>
        <v>21</v>
      </c>
      <c r="BE258" s="50" t="n">
        <f aca="false">BD258*G258</f>
        <v>1778.28</v>
      </c>
      <c r="BF258" s="50" t="n">
        <f aca="false">ROUNDUP(CK258+MAX(CL258,2*(J258/IF(CG258&gt;0,CG258,MAX(0.1,N(Cockpit!$O$6)))-CK258)),0)</f>
        <v>40</v>
      </c>
      <c r="BG258" s="51" t="n">
        <f aca="false">IF(BC258&gt;0,J258/BC258,-1)</f>
        <v>2.88695652173913</v>
      </c>
      <c r="BH258" s="51" t="n">
        <f aca="false">IF(AND(OR(CF258="L1",CF258="L23",CF258="LIFT"),BC258&gt;0),SUMIFS($BC$7:$BC$1843,$CF$7:$CF$1843,CF258,$BG$7:$BG$1843,"&gt;"&amp;BG258)+SUMIFS($BC$7:$BC$1843,$CF$7:$CF$1843,CF258,$BG$7:$BG$1843,BG258,$BW$7:$BW$1843,"&lt;="&amp;BW258),"")</f>
        <v>4865.74862637363</v>
      </c>
      <c r="BI258" s="58" t="n">
        <f aca="false">IF(BH258="",0,MAX(0,MIN(1,(IF(CF258="L1",Parameter!$H$5,IF(CF258="L23",Parameter!$H$6+Parameter!$H$7,Parameter!$H$5+Parameter!$H$6+Parameter!$H$7))-(BH258-BC258))/BC258)))</f>
        <v>1</v>
      </c>
      <c r="BJ258" s="48" t="str">
        <f aca="false">IF(AI258&lt;=0,"",IF(CF258="Aussen","Aussenlager",IF(CF258="-","Nicht im Lift",IF(AO258&gt;=1,"Lift",IF(AO258&lt;=0,"Aussenlager","teilweise")))))</f>
        <v>Lift</v>
      </c>
      <c r="BK258" s="48" t="str">
        <f aca="false">IF(AS258&lt;=0,"",IF(CF258="Aussen","Aussenlager",IF(CF258="-","Nicht im Lift",IF(AY258&gt;=1,"Lift",IF(AY258&lt;=0,"Aussenlager","teilweise")))))</f>
        <v>Lift</v>
      </c>
      <c r="BL258" s="48" t="str">
        <f aca="false">IF(BC258&lt;=0,"",IF(CF258="Aussen","Aussenlager",IF(CF258="-","Nicht im Lift",IF(BI258&gt;=1,"Lift",IF(BI258&lt;=0,"Aussenlager","teilweise")))))</f>
        <v>Lift</v>
      </c>
      <c r="BM258" s="48" t="str">
        <f aca="false">IF(A258="","",IF(BV258=1,"Neu; ","")&amp;IF(AND(BV258=0,BQ258&lt;0),"negativer Bestand (Export "&amp;BQ258&amp;"); ","")&amp;IF(J258&lt;=0,"Kein Verbrauch; ","")&amp;IF(CQ258&gt;0,"Lift "&amp;W258&amp;" lt. Liftbericht (Fach "&amp;X258&amp;" Stk); ",IF(CA258=1,"Gebinde geschätzt ("&amp;T258&amp;"); ",IF(BZ258=1,"Lose – Tablare geschätzt; ","")))&amp;IF(H258&gt;AV258,"Überbestand "&amp;ROUND(H258-AV258,0)&amp;" Stk / CHF "&amp;ROUND((H258-AV258)*G258,0)&amp;"; ","")&amp;IF(AND(CH258=1,CI258&lt;CJ258),"MAX &lt; MB+LG; ","")&amp;IF(AND(CP258&gt;0,CO258*10&gt;CP258),"zu hoch für Tablar; ","")&amp;IF(AND(BV258=0,OR(CH258=1,AA258&lt;&gt;"",U258&lt;&gt;"",V258&lt;&gt;"",AB258&lt;&gt;"")),"manuell übersteuert; ","")&amp;IF(AND(BZ258=0,R258=0),"Gebinde unbekannt / Stellmass fehlt; ","")&amp;IF(AND(BZ258=0,N(V258)&lt;=0,N(Q258)&lt;=0),"Menge pro Gebinde fehlt (Ist = 1 Gebinde); ","")&amp;BU258)</f>
        <v/>
      </c>
      <c r="BN258" s="48"/>
      <c r="BO258" s="48"/>
      <c r="BP258" s="55"/>
      <c r="BQ258" s="50" t="n">
        <v>5</v>
      </c>
      <c r="BR258" s="50" t="n">
        <v>20</v>
      </c>
      <c r="BS258" s="49" t="n">
        <v>459.799999999999</v>
      </c>
      <c r="BT258" s="50" t="n">
        <v>83</v>
      </c>
      <c r="BU258" s="48"/>
      <c r="BV258" s="53" t="n">
        <v>0</v>
      </c>
      <c r="BW258" s="53" t="n">
        <v>258</v>
      </c>
      <c r="BX258" s="48" t="str">
        <f aca="false">IF(U258&lt;&gt;"",UPPER(TRIM(U258)),IF(CA258=1,UPPER(VLOOKUP(T258,Parameter!$I$27:$K$29,2,0)),IF(P258="","LOSE",P258)))</f>
        <v>S63</v>
      </c>
      <c r="BY258" s="50" t="n">
        <f aca="false">IF(BX258="LOSE",1,IF(N(V258)&gt;0,V258,IF(CA258=1,MAX(1,N(VLOOKUP(T258,Parameter!$I$27:$K$29,3,0)),H258,N(N258)),IF(N(Q258)&gt;0,Q258,MAX(1,H258)))))</f>
        <v>45</v>
      </c>
      <c r="BZ258" s="53" t="n">
        <f aca="false">IF(BX258="LOSE",1,0)</f>
        <v>0</v>
      </c>
      <c r="CA258" s="53" t="n">
        <f aca="false">IF(AND(U258="",OR(P258="",P258="LOSE"),T258&lt;&gt;"",N(S258)&lt;=0,ISNUMBER(MATCH(T258,Parameter!$I$27:$I$29,0))),1,0)</f>
        <v>0</v>
      </c>
      <c r="CB258" s="53" t="n">
        <f aca="false">IF(CQ258&gt;0,INDEX(Parameter!$H$5:$H$7,W258)/INDEX(Parameter!$E$5:$E$7,W258),IF(AND(BZ258=0,N(IFERROR(VLOOKUP(BX258,'Gebinde-Kategorie'!$A$5:$N$45,14,0),0))&gt;0),VLOOKUP(BX258,'Gebinde-Kategorie'!$A$5:$N$45,14,0)*10+Parameter!$M$23,Parameter!$M$24))</f>
        <v>345</v>
      </c>
      <c r="CC258" s="48" t="str">
        <f aca="false">IF(AND(Parameter!$B$19="Ja",E258&lt;&gt;"",ISNUMBER(MATCH(E258,Parameter!$I$35:$I$52,0))),VLOOKUP(E258,Parameter!$I$35:$J$52,2,0),IFERROR(VLOOKUP(D258,Parameter!$A$35:$C$64,2,0),"Nein"))</f>
        <v>2+3</v>
      </c>
      <c r="CD258" s="52" t="n">
        <f aca="false">IF(BZ258=0,0,IF(N(S258)&gt;0,S258,IFERROR(VLOOKUP(D258,Parameter!$A$35:$C$64,3,0)+0,0)))</f>
        <v>0</v>
      </c>
      <c r="CE258" s="48" t="n">
        <f aca="false">IF(AA258&lt;&gt;"",AA258,Z258)</f>
        <v>2</v>
      </c>
      <c r="CF258" s="48" t="str">
        <f aca="false">IF(OR(CE258=1,CE258=2,CE258=3),IF(Parameter!$E$27="Ja","LIFT",IF(CE258=1,"L1","L23")),IF(CE258="Aussen","Aussen","-"))</f>
        <v>LIFT</v>
      </c>
      <c r="CG258" s="59" t="n">
        <f aca="false">IF(N(AB258)&gt;0,AB258,0)</f>
        <v>0</v>
      </c>
      <c r="CH258" s="53" t="n">
        <f aca="false">IF(ISNUMBER(AE258),1,0)</f>
        <v>0</v>
      </c>
      <c r="CI258" s="50" t="n">
        <f aca="false">N(AE258)</f>
        <v>0</v>
      </c>
      <c r="CJ258" s="50" t="n">
        <f aca="false">N(M258)+N(N258)</f>
        <v>22</v>
      </c>
      <c r="CK258" s="50" t="n">
        <f aca="false">N(M258)</f>
        <v>2</v>
      </c>
      <c r="CL258" s="50" t="n">
        <f aca="false">N(N258)</f>
        <v>20</v>
      </c>
      <c r="CM258" s="50" t="n">
        <f aca="false">ROUNDUP(H258/BY258,0)</f>
        <v>1</v>
      </c>
      <c r="CN258" s="50" t="n">
        <f aca="false">ROUNDUP(CI258/BY258,0)</f>
        <v>0</v>
      </c>
      <c r="CO258" s="53" t="n">
        <f aca="false">IF(BZ258=1,0,IFERROR(VLOOKUP(BX258,'Gebinde-Kategorie'!$A$5:$N$45,5,0)+0,0))</f>
        <v>31</v>
      </c>
      <c r="CP258" s="53" t="n">
        <f aca="false">IFERROR(IF(OR(CE258=1,CE258=2,CE258=3),N(INDEX(Parameter!$I$5:$I$7,CE258)),0),0)</f>
        <v>0</v>
      </c>
      <c r="CQ258" s="52" t="n">
        <f aca="false">IF(AND(Parameter!$B$21="Ja",ISNUMBER(W258),N(X258)&gt;0),IFERROR(N(INDEX(Parameter!$L$5:$L$7,W258))*INDEX(Parameter!$E$5:$E$7,W258)*X258/SUMIFS($X$7:$X$1843,$W$7:$W$1843,W258),0),0)</f>
        <v>0</v>
      </c>
    </row>
    <row r="259" customFormat="false" ht="15" hidden="false" customHeight="false" outlineLevel="0" collapsed="false">
      <c r="A259" s="48" t="s">
        <v>710</v>
      </c>
      <c r="B259" s="48" t="s">
        <v>416</v>
      </c>
      <c r="C259" s="48" t="s">
        <v>173</v>
      </c>
      <c r="D259" s="48" t="s">
        <v>193</v>
      </c>
      <c r="E259" s="48" t="s">
        <v>194</v>
      </c>
      <c r="F259" s="48" t="s">
        <v>227</v>
      </c>
      <c r="G259" s="49" t="n">
        <v>0.35</v>
      </c>
      <c r="H259" s="50" t="n">
        <f aca="false">MAX(0,IF(AND(Parameter!$B$21="Ja",ISNUMBER(Y259)),Y259,IF(Parameter!$B$20="Jahresanfang 2025 + Export",BR259+BQ259,BQ259)))</f>
        <v>2447</v>
      </c>
      <c r="I259" s="50" t="n">
        <f aca="false">H259*G259</f>
        <v>856.45</v>
      </c>
      <c r="J259" s="50" t="n">
        <f aca="false">BT259*Parameter!$B$18</f>
        <v>4586</v>
      </c>
      <c r="K259" s="51" t="n">
        <v>1287</v>
      </c>
      <c r="L259" s="52" t="n">
        <v>3.56332556332556</v>
      </c>
      <c r="M259" s="50" t="n">
        <v>267</v>
      </c>
      <c r="N259" s="50" t="n">
        <v>2000</v>
      </c>
      <c r="O259" s="53" t="n">
        <v>21</v>
      </c>
      <c r="P259" s="48" t="s">
        <v>242</v>
      </c>
      <c r="Q259" s="50" t="n">
        <v>1949</v>
      </c>
      <c r="R259" s="53" t="n">
        <f aca="false">IF(BZ259=1,0,IFERROR(VLOOKUP(BX259,'Gebinde-Kategorie'!$A$5:$N$45,13,0)+0,0))</f>
        <v>26</v>
      </c>
      <c r="S259" s="54"/>
      <c r="T259" s="55"/>
      <c r="U259" s="55"/>
      <c r="V259" s="55"/>
      <c r="W259" s="48"/>
      <c r="X259" s="50"/>
      <c r="Y259" s="50"/>
      <c r="Z259" s="48" t="n">
        <f aca="false">IF(A259="","",IF(AND(Parameter!$B$21="Ja",ISNUMBER(W259)),W259,IF(CC259="2+3",IF(ISNUMBER(SEARCH("grosser Artikel",BU259)),2,IFERROR(VLOOKUP(BX259,Parameter!$F$35:$G$64,2,0),2)),IF(OR(CC259="Nein",CC259=""),"-",CC259))))</f>
        <v>3</v>
      </c>
      <c r="AA259" s="55"/>
      <c r="AB259" s="56"/>
      <c r="AC259" s="50" t="n">
        <f aca="false">AV259</f>
        <v>2791</v>
      </c>
      <c r="AD259" s="50" t="n">
        <f aca="false">MAX(AV259,H259)</f>
        <v>2791</v>
      </c>
      <c r="AE259" s="57"/>
      <c r="AF259" s="50" t="n">
        <f aca="false">IF(LEFT(Cockpit!$C$5,1)="A",H259,IF(Parameter!$E$30="MAX-Bestand",IF(CH259=1,CI259,IF(LEFT(Cockpit!$C$5,1)="B",AL259,MAX(AL259,H259))),ROUNDUP(AJ259,0)))</f>
        <v>2447</v>
      </c>
      <c r="AG259" s="50" t="n">
        <f aca="false">IF(BZ259=1,0,ROUNDUP(AF259/BY259,0))</f>
        <v>2</v>
      </c>
      <c r="AH259" s="52" t="n">
        <f aca="false">IF(CQ259&gt;0,CQ259*MAX(1,AF259/X259),IF(BZ259=1,IF(AF259&lt;=0,0,CD259*MAX(1,IF(H259&gt;0,AF259/H259,1))),IF(R259&gt;0,AG259/R259,0))/MAX(0.1,N(Parameter!$M$21)))</f>
        <v>0.0769230769230769</v>
      </c>
      <c r="AI259" s="50" t="n">
        <f aca="false">AH259*CB259</f>
        <v>18.8461538461538</v>
      </c>
      <c r="AJ259" s="51" t="n">
        <f aca="false">IF(LEFT(Cockpit!$C$5,1)="A",H259,IF(CH259=1,(CK259+CI259)/2,IF(LEFT(Cockpit!$C$5,1)="B",(CK259+AL259)/2,MAX((CK259+AL259)/2,H259))))</f>
        <v>2447</v>
      </c>
      <c r="AK259" s="50" t="n">
        <f aca="false">AJ259*G259</f>
        <v>856.45</v>
      </c>
      <c r="AL259" s="50" t="n">
        <f aca="false">ROUNDUP(CK259+MAX(CL259,2*(J259/IF(CG259&gt;0,CG259,MAX(0.1,N(Cockpit!$C$6)))-CK259)),0)</f>
        <v>2791</v>
      </c>
      <c r="AM259" s="51" t="n">
        <f aca="false">IF(AI259&gt;0,J259/AI259,-1)</f>
        <v>243.338775510204</v>
      </c>
      <c r="AN259" s="51" t="n">
        <f aca="false">IF(AND(OR(CF259="L1",CF259="L23",CF259="LIFT"),AI259&gt;0),SUMIFS($AI$7:$AI$1843,$CF$7:$CF$1843,CF259,$AM$7:$AM$1843,"&gt;"&amp;AM259)+SUMIFS($AI$7:$AI$1843,$CF$7:$CF$1843,CF259,$AM$7:$AM$1843,AM259,$BW$7:$BW$1843,"&lt;="&amp;BW259),"")</f>
        <v>304.446886446887</v>
      </c>
      <c r="AO259" s="58" t="n">
        <f aca="false">IF(AN259="",0,MAX(0,MIN(1,(IF(CF259="L1",Parameter!$H$5,IF(CF259="L23",Parameter!$H$6+Parameter!$H$7,Parameter!$H$5+Parameter!$H$6+Parameter!$H$7))-(AN259-AI259))/AI259)))</f>
        <v>1</v>
      </c>
      <c r="AP259" s="50" t="n">
        <f aca="false">IF(LEFT(Cockpit!$I$5,1)="A",H259,IF(Parameter!$E$30="MAX-Bestand",IF(CH259=1,CI259,IF(LEFT(Cockpit!$I$5,1)="B",AV259,MAX(AV259,H259))),ROUNDUP(AT259,0)))</f>
        <v>2447</v>
      </c>
      <c r="AQ259" s="50" t="n">
        <f aca="false">IF(BZ259=1,0,ROUNDUP(AP259/BY259,0))</f>
        <v>2</v>
      </c>
      <c r="AR259" s="52" t="n">
        <f aca="false">IF(CQ259&gt;0,CQ259*MAX(1,AP259/X259),IF(BZ259=1,IF(AP259&lt;=0,0,CD259*MAX(1,IF(H259&gt;0,AP259/H259,1))),IF(R259&gt;0,AQ259/R259,0))/MAX(0.1,N(Parameter!$M$21)))</f>
        <v>0.0769230769230769</v>
      </c>
      <c r="AS259" s="50" t="n">
        <f aca="false">AR259*CB259</f>
        <v>18.8461538461538</v>
      </c>
      <c r="AT259" s="51" t="n">
        <f aca="false">IF(LEFT(Cockpit!$I$5,1)="A",H259,IF(CH259=1,(CK259+CI259)/2,IF(LEFT(Cockpit!$I$5,1)="B",(CK259+AV259)/2,MAX((CK259+AV259)/2,H259))))</f>
        <v>2447</v>
      </c>
      <c r="AU259" s="50" t="n">
        <f aca="false">AT259*G259</f>
        <v>856.45</v>
      </c>
      <c r="AV259" s="50" t="n">
        <f aca="false">ROUNDUP(CK259+MAX(CL259,2*(J259/IF(CG259&gt;0,CG259,MAX(0.1,N(Cockpit!$I$6)))-CK259)),0)</f>
        <v>2791</v>
      </c>
      <c r="AW259" s="51" t="n">
        <f aca="false">IF(AS259&gt;0,J259/AS259,-1)</f>
        <v>243.338775510204</v>
      </c>
      <c r="AX259" s="51" t="n">
        <f aca="false">IF(AND(OR(CF259="L1",CF259="L23",CF259="LIFT"),AS259&gt;0),SUMIFS($AS$7:$AS$1843,$CF$7:$CF$1843,CF259,$AW$7:$AW$1843,"&gt;"&amp;AW259)+SUMIFS($AS$7:$AS$1843,$CF$7:$CF$1843,CF259,$AW$7:$AW$1843,AW259,$BW$7:$BW$1843,"&lt;="&amp;BW259),"")</f>
        <v>257.509157509158</v>
      </c>
      <c r="AY259" s="58" t="n">
        <f aca="false">IF(AX259="",0,MAX(0,MIN(1,(IF(CF259="L1",Parameter!$H$5,IF(CF259="L23",Parameter!$H$6+Parameter!$H$7,Parameter!$H$5+Parameter!$H$6+Parameter!$H$7))-(AX259-AS259))/AS259)))</f>
        <v>1</v>
      </c>
      <c r="AZ259" s="50" t="n">
        <f aca="false">IF(LEFT(Cockpit!$O$5,1)="A",H259,IF(Parameter!$E$30="MAX-Bestand",IF(CH259=1,CI259,IF(LEFT(Cockpit!$O$5,1)="B",BF259,MAX(BF259,H259))),ROUNDUP(BD259,0)))</f>
        <v>1267</v>
      </c>
      <c r="BA259" s="50" t="n">
        <f aca="false">IF(BZ259=1,0,ROUNDUP(AZ259/BY259,0))</f>
        <v>1</v>
      </c>
      <c r="BB259" s="52" t="n">
        <f aca="false">IF(CQ259&gt;0,CQ259*MAX(1,AZ259/X259),IF(BZ259=1,IF(AZ259&lt;=0,0,CD259*MAX(1,IF(H259&gt;0,AZ259/H259,1))),IF(R259&gt;0,BA259/R259,0))/MAX(0.1,N(Parameter!$M$21)))</f>
        <v>0.0384615384615385</v>
      </c>
      <c r="BC259" s="50" t="n">
        <f aca="false">BB259*CB259</f>
        <v>9.42307692307692</v>
      </c>
      <c r="BD259" s="51" t="n">
        <f aca="false">IF(LEFT(Cockpit!$O$5,1)="A",H259,IF(CH259=1,(CK259+CI259)/2,IF(LEFT(Cockpit!$O$5,1)="B",(CK259+BF259)/2,MAX((CK259+BF259)/2,H259))))</f>
        <v>1267</v>
      </c>
      <c r="BE259" s="50" t="n">
        <f aca="false">BD259*G259</f>
        <v>443.45</v>
      </c>
      <c r="BF259" s="50" t="n">
        <f aca="false">ROUNDUP(CK259+MAX(CL259,2*(J259/IF(CG259&gt;0,CG259,MAX(0.1,N(Cockpit!$O$6)))-CK259)),0)</f>
        <v>2267</v>
      </c>
      <c r="BG259" s="51" t="n">
        <f aca="false">IF(BC259&gt;0,J259/BC259,-1)</f>
        <v>486.677551020408</v>
      </c>
      <c r="BH259" s="51" t="n">
        <f aca="false">IF(AND(OR(CF259="L1",CF259="L23",CF259="LIFT"),BC259&gt;0),SUMIFS($BC$7:$BC$1843,$CF$7:$CF$1843,CF259,$BG$7:$BG$1843,"&gt;"&amp;BG259)+SUMIFS($BC$7:$BC$1843,$CF$7:$CF$1843,CF259,$BG$7:$BG$1843,BG259,$BW$7:$BW$1843,"&lt;="&amp;BW259),"")</f>
        <v>116.514652014652</v>
      </c>
      <c r="BI259" s="58" t="n">
        <f aca="false">IF(BH259="",0,MAX(0,MIN(1,(IF(CF259="L1",Parameter!$H$5,IF(CF259="L23",Parameter!$H$6+Parameter!$H$7,Parameter!$H$5+Parameter!$H$6+Parameter!$H$7))-(BH259-BC259))/BC259)))</f>
        <v>1</v>
      </c>
      <c r="BJ259" s="48" t="str">
        <f aca="false">IF(AI259&lt;=0,"",IF(CF259="Aussen","Aussenlager",IF(CF259="-","Nicht im Lift",IF(AO259&gt;=1,"Lift",IF(AO259&lt;=0,"Aussenlager","teilweise")))))</f>
        <v>Lift</v>
      </c>
      <c r="BK259" s="48" t="str">
        <f aca="false">IF(AS259&lt;=0,"",IF(CF259="Aussen","Aussenlager",IF(CF259="-","Nicht im Lift",IF(AY259&gt;=1,"Lift",IF(AY259&lt;=0,"Aussenlager","teilweise")))))</f>
        <v>Lift</v>
      </c>
      <c r="BL259" s="48" t="str">
        <f aca="false">IF(BC259&lt;=0,"",IF(CF259="Aussen","Aussenlager",IF(CF259="-","Nicht im Lift",IF(BI259&gt;=1,"Lift",IF(BI259&lt;=0,"Aussenlager","teilweise")))))</f>
        <v>Lift</v>
      </c>
      <c r="BM259" s="48" t="str">
        <f aca="false">IF(A259="","",IF(BV259=1,"Neu; ","")&amp;IF(AND(BV259=0,BQ259&lt;0),"negativer Bestand (Export "&amp;BQ259&amp;"); ","")&amp;IF(J259&lt;=0,"Kein Verbrauch; ","")&amp;IF(CQ259&gt;0,"Lift "&amp;W259&amp;" lt. Liftbericht (Fach "&amp;X259&amp;" Stk); ",IF(CA259=1,"Gebinde geschätzt ("&amp;T259&amp;"); ",IF(BZ259=1,"Lose – Tablare geschätzt; ","")))&amp;IF(H259&gt;AV259,"Überbestand "&amp;ROUND(H259-AV259,0)&amp;" Stk / CHF "&amp;ROUND((H259-AV259)*G259,0)&amp;"; ","")&amp;IF(AND(CH259=1,CI259&lt;CJ259),"MAX &lt; MB+LG; ","")&amp;IF(AND(CP259&gt;0,CO259*10&gt;CP259),"zu hoch für Tablar; ","")&amp;IF(AND(BV259=0,OR(CH259=1,AA259&lt;&gt;"",U259&lt;&gt;"",V259&lt;&gt;"",AB259&lt;&gt;"")),"manuell übersteuert; ","")&amp;IF(AND(BZ259=0,R259=0),"Gebinde unbekannt / Stellmass fehlt; ","")&amp;IF(AND(BZ259=0,N(V259)&lt;=0,N(Q259)&lt;=0),"Menge pro Gebinde fehlt (Ist = 1 Gebinde); ","")&amp;BU259)</f>
        <v/>
      </c>
      <c r="BN259" s="48"/>
      <c r="BO259" s="48"/>
      <c r="BP259" s="55"/>
      <c r="BQ259" s="50" t="n">
        <v>1293</v>
      </c>
      <c r="BR259" s="50" t="n">
        <v>1154</v>
      </c>
      <c r="BS259" s="49" t="n">
        <v>452.55</v>
      </c>
      <c r="BT259" s="50" t="n">
        <v>4586</v>
      </c>
      <c r="BU259" s="48"/>
      <c r="BV259" s="53" t="n">
        <v>0</v>
      </c>
      <c r="BW259" s="53" t="n">
        <v>259</v>
      </c>
      <c r="BX259" s="48" t="str">
        <f aca="false">IF(U259&lt;&gt;"",UPPER(TRIM(U259)),IF(CA259=1,UPPER(VLOOKUP(T259,Parameter!$I$27:$K$29,2,0)),IF(P259="","LOSE",P259)))</f>
        <v>S52</v>
      </c>
      <c r="BY259" s="50" t="n">
        <f aca="false">IF(BX259="LOSE",1,IF(N(V259)&gt;0,V259,IF(CA259=1,MAX(1,N(VLOOKUP(T259,Parameter!$I$27:$K$29,3,0)),H259,N(N259)),IF(N(Q259)&gt;0,Q259,MAX(1,H259)))))</f>
        <v>1949</v>
      </c>
      <c r="BZ259" s="53" t="n">
        <f aca="false">IF(BX259="LOSE",1,0)</f>
        <v>0</v>
      </c>
      <c r="CA259" s="53" t="n">
        <f aca="false">IF(AND(U259="",OR(P259="",P259="LOSE"),T259&lt;&gt;"",N(S259)&lt;=0,ISNUMBER(MATCH(T259,Parameter!$I$27:$I$29,0))),1,0)</f>
        <v>0</v>
      </c>
      <c r="CB259" s="53" t="n">
        <f aca="false">IF(CQ259&gt;0,INDEX(Parameter!$H$5:$H$7,W259)/INDEX(Parameter!$E$5:$E$7,W259),IF(AND(BZ259=0,N(IFERROR(VLOOKUP(BX259,'Gebinde-Kategorie'!$A$5:$N$45,14,0),0))&gt;0),VLOOKUP(BX259,'Gebinde-Kategorie'!$A$5:$N$45,14,0)*10+Parameter!$M$23,Parameter!$M$24))</f>
        <v>245</v>
      </c>
      <c r="CC259" s="48" t="str">
        <f aca="false">IF(AND(Parameter!$B$19="Ja",E259&lt;&gt;"",ISNUMBER(MATCH(E259,Parameter!$I$35:$I$52,0))),VLOOKUP(E259,Parameter!$I$35:$J$52,2,0),IFERROR(VLOOKUP(D259,Parameter!$A$35:$C$64,2,0),"Nein"))</f>
        <v>2+3</v>
      </c>
      <c r="CD259" s="52" t="n">
        <f aca="false">IF(BZ259=0,0,IF(N(S259)&gt;0,S259,IFERROR(VLOOKUP(D259,Parameter!$A$35:$C$64,3,0)+0,0)))</f>
        <v>0</v>
      </c>
      <c r="CE259" s="48" t="n">
        <f aca="false">IF(AA259&lt;&gt;"",AA259,Z259)</f>
        <v>3</v>
      </c>
      <c r="CF259" s="48" t="str">
        <f aca="false">IF(OR(CE259=1,CE259=2,CE259=3),IF(Parameter!$E$27="Ja","LIFT",IF(CE259=1,"L1","L23")),IF(CE259="Aussen","Aussen","-"))</f>
        <v>LIFT</v>
      </c>
      <c r="CG259" s="59" t="n">
        <f aca="false">IF(N(AB259)&gt;0,AB259,0)</f>
        <v>0</v>
      </c>
      <c r="CH259" s="53" t="n">
        <f aca="false">IF(ISNUMBER(AE259),1,0)</f>
        <v>0</v>
      </c>
      <c r="CI259" s="50" t="n">
        <f aca="false">N(AE259)</f>
        <v>0</v>
      </c>
      <c r="CJ259" s="50" t="n">
        <f aca="false">N(M259)+N(N259)</f>
        <v>2267</v>
      </c>
      <c r="CK259" s="50" t="n">
        <f aca="false">N(M259)</f>
        <v>267</v>
      </c>
      <c r="CL259" s="50" t="n">
        <f aca="false">N(N259)</f>
        <v>2000</v>
      </c>
      <c r="CM259" s="50" t="n">
        <f aca="false">ROUNDUP(H259/BY259,0)</f>
        <v>2</v>
      </c>
      <c r="CN259" s="50" t="n">
        <f aca="false">ROUNDUP(CI259/BY259,0)</f>
        <v>0</v>
      </c>
      <c r="CO259" s="53" t="n">
        <f aca="false">IF(BZ259=1,0,IFERROR(VLOOKUP(BX259,'Gebinde-Kategorie'!$A$5:$N$45,5,0)+0,0))</f>
        <v>21</v>
      </c>
      <c r="CP259" s="53" t="n">
        <f aca="false">IFERROR(IF(OR(CE259=1,CE259=2,CE259=3),N(INDEX(Parameter!$I$5:$I$7,CE259)),0),0)</f>
        <v>0</v>
      </c>
      <c r="CQ259" s="52" t="n">
        <f aca="false">IF(AND(Parameter!$B$21="Ja",ISNUMBER(W259),N(X259)&gt;0),IFERROR(N(INDEX(Parameter!$L$5:$L$7,W259))*INDEX(Parameter!$E$5:$E$7,W259)*X259/SUMIFS($X$7:$X$1843,$W$7:$W$1843,W259),0),0)</f>
        <v>0</v>
      </c>
    </row>
    <row r="260" customFormat="false" ht="15" hidden="false" customHeight="false" outlineLevel="0" collapsed="false">
      <c r="A260" s="48" t="s">
        <v>711</v>
      </c>
      <c r="B260" s="48" t="s">
        <v>712</v>
      </c>
      <c r="C260" s="48" t="s">
        <v>173</v>
      </c>
      <c r="D260" s="48" t="s">
        <v>182</v>
      </c>
      <c r="E260" s="48" t="s">
        <v>175</v>
      </c>
      <c r="F260" s="48" t="s">
        <v>227</v>
      </c>
      <c r="G260" s="49" t="n">
        <v>428.4</v>
      </c>
      <c r="H260" s="50" t="n">
        <f aca="false">MAX(0,IF(AND(Parameter!$B$21="Ja",ISNUMBER(Y260)),Y260,IF(Parameter!$B$20="Jahresanfang 2025 + Export",BR260+BQ260,BQ260)))</f>
        <v>14</v>
      </c>
      <c r="I260" s="50" t="n">
        <f aca="false">H260*G260</f>
        <v>5997.6</v>
      </c>
      <c r="J260" s="50" t="n">
        <f aca="false">BT260*Parameter!$B$18</f>
        <v>58</v>
      </c>
      <c r="K260" s="51" t="n">
        <v>9</v>
      </c>
      <c r="L260" s="52" t="n">
        <v>6.44444444444445</v>
      </c>
      <c r="M260" s="50" t="n">
        <v>5</v>
      </c>
      <c r="N260" s="50" t="n">
        <v>20</v>
      </c>
      <c r="O260" s="53" t="n">
        <v>35</v>
      </c>
      <c r="P260" s="48" t="s">
        <v>268</v>
      </c>
      <c r="Q260" s="50" t="n">
        <v>10</v>
      </c>
      <c r="R260" s="53" t="n">
        <f aca="false">IF(BZ260=1,0,IFERROR(VLOOKUP(BX260,'Gebinde-Kategorie'!$A$5:$N$45,13,0)+0,0))</f>
        <v>6</v>
      </c>
      <c r="S260" s="54"/>
      <c r="T260" s="55"/>
      <c r="U260" s="55"/>
      <c r="V260" s="55"/>
      <c r="W260" s="48"/>
      <c r="X260" s="50"/>
      <c r="Y260" s="50"/>
      <c r="Z260" s="48" t="n">
        <f aca="false">IF(A260="","",IF(AND(Parameter!$B$21="Ja",ISNUMBER(W260)),W260,IF(CC260="2+3",IF(ISNUMBER(SEARCH("grosser Artikel",BU260)),2,IFERROR(VLOOKUP(BX260,Parameter!$F$35:$G$64,2,0),2)),IF(OR(CC260="Nein",CC260=""),"-",CC260))))</f>
        <v>1</v>
      </c>
      <c r="AA260" s="55"/>
      <c r="AB260" s="56"/>
      <c r="AC260" s="50" t="n">
        <f aca="false">AV260</f>
        <v>34</v>
      </c>
      <c r="AD260" s="50" t="n">
        <f aca="false">MAX(AV260,H260)</f>
        <v>34</v>
      </c>
      <c r="AE260" s="57"/>
      <c r="AF260" s="50" t="n">
        <f aca="false">IF(LEFT(Cockpit!$C$5,1)="A",H260,IF(Parameter!$E$30="MAX-Bestand",IF(CH260=1,CI260,IF(LEFT(Cockpit!$C$5,1)="B",AL260,MAX(AL260,H260))),ROUNDUP(AJ260,0)))</f>
        <v>14</v>
      </c>
      <c r="AG260" s="50" t="n">
        <f aca="false">IF(BZ260=1,0,ROUNDUP(AF260/BY260,0))</f>
        <v>2</v>
      </c>
      <c r="AH260" s="52" t="n">
        <f aca="false">IF(CQ260&gt;0,CQ260*MAX(1,AF260/X260),IF(BZ260=1,IF(AF260&lt;=0,0,CD260*MAX(1,IF(H260&gt;0,AF260/H260,1))),IF(R260&gt;0,AG260/R260,0))/MAX(0.1,N(Parameter!$M$21)))</f>
        <v>0.333333333333333</v>
      </c>
      <c r="AI260" s="50" t="n">
        <f aca="false">AH260*CB260</f>
        <v>145</v>
      </c>
      <c r="AJ260" s="51" t="n">
        <f aca="false">IF(LEFT(Cockpit!$C$5,1)="A",H260,IF(CH260=1,(CK260+CI260)/2,IF(LEFT(Cockpit!$C$5,1)="B",(CK260+AL260)/2,MAX((CK260+AL260)/2,H260))))</f>
        <v>14</v>
      </c>
      <c r="AK260" s="50" t="n">
        <f aca="false">AJ260*G260</f>
        <v>5997.6</v>
      </c>
      <c r="AL260" s="50" t="n">
        <f aca="false">ROUNDUP(CK260+MAX(CL260,2*(J260/IF(CG260&gt;0,CG260,MAX(0.1,N(Cockpit!$C$6)))-CK260)),0)</f>
        <v>34</v>
      </c>
      <c r="AM260" s="51" t="n">
        <f aca="false">IF(AI260&gt;0,J260/AI260,-1)</f>
        <v>0.4</v>
      </c>
      <c r="AN260" s="51" t="n">
        <f aca="false">IF(AND(OR(CF260="L1",CF260="L23",CF260="LIFT"),AI260&gt;0),SUMIFS($AI$7:$AI$1843,$CF$7:$CF$1843,CF260,$AM$7:$AM$1843,"&gt;"&amp;AM260)+SUMIFS($AI$7:$AI$1843,$CF$7:$CF$1843,CF260,$AM$7:$AM$1843,AM260,$BW$7:$BW$1843,"&lt;="&amp;BW260),"")</f>
        <v>10302.6666382111</v>
      </c>
      <c r="AO260" s="58" t="n">
        <f aca="false">IF(AN260="",0,MAX(0,MIN(1,(IF(CF260="L1",Parameter!$H$5,IF(CF260="L23",Parameter!$H$6+Parameter!$H$7,Parameter!$H$5+Parameter!$H$6+Parameter!$H$7))-(AN260-AI260))/AI260)))</f>
        <v>1</v>
      </c>
      <c r="AP260" s="50" t="n">
        <f aca="false">IF(LEFT(Cockpit!$I$5,1)="A",H260,IF(Parameter!$E$30="MAX-Bestand",IF(CH260=1,CI260,IF(LEFT(Cockpit!$I$5,1)="B",AV260,MAX(AV260,H260))),ROUNDUP(AT260,0)))</f>
        <v>20</v>
      </c>
      <c r="AQ260" s="50" t="n">
        <f aca="false">IF(BZ260=1,0,ROUNDUP(AP260/BY260,0))</f>
        <v>2</v>
      </c>
      <c r="AR260" s="52" t="n">
        <f aca="false">IF(CQ260&gt;0,CQ260*MAX(1,AP260/X260),IF(BZ260=1,IF(AP260&lt;=0,0,CD260*MAX(1,IF(H260&gt;0,AP260/H260,1))),IF(R260&gt;0,AQ260/R260,0))/MAX(0.1,N(Parameter!$M$21)))</f>
        <v>0.333333333333333</v>
      </c>
      <c r="AS260" s="50" t="n">
        <f aca="false">AR260*CB260</f>
        <v>145</v>
      </c>
      <c r="AT260" s="51" t="n">
        <f aca="false">IF(LEFT(Cockpit!$I$5,1)="A",H260,IF(CH260=1,(CK260+CI260)/2,IF(LEFT(Cockpit!$I$5,1)="B",(CK260+AV260)/2,MAX((CK260+AV260)/2,H260))))</f>
        <v>19.5</v>
      </c>
      <c r="AU260" s="50" t="n">
        <f aca="false">AT260*G260</f>
        <v>8353.8</v>
      </c>
      <c r="AV260" s="50" t="n">
        <f aca="false">ROUNDUP(CK260+MAX(CL260,2*(J260/IF(CG260&gt;0,CG260,MAX(0.1,N(Cockpit!$I$6)))-CK260)),0)</f>
        <v>34</v>
      </c>
      <c r="AW260" s="51" t="n">
        <f aca="false">IF(AS260&gt;0,J260/AS260,-1)</f>
        <v>0.4</v>
      </c>
      <c r="AX260" s="51" t="n">
        <f aca="false">IF(AND(OR(CF260="L1",CF260="L23",CF260="LIFT"),AS260&gt;0),SUMIFS($AS$7:$AS$1843,$CF$7:$CF$1843,CF260,$AW$7:$AW$1843,"&gt;"&amp;AW260)+SUMIFS($AS$7:$AS$1843,$CF$7:$CF$1843,CF260,$AW$7:$AW$1843,AW260,$BW$7:$BW$1843,"&lt;="&amp;BW260),"")</f>
        <v>13034.4198717949</v>
      </c>
      <c r="AY260" s="58" t="n">
        <f aca="false">IF(AX260="",0,MAX(0,MIN(1,(IF(CF260="L1",Parameter!$H$5,IF(CF260="L23",Parameter!$H$6+Parameter!$H$7,Parameter!$H$5+Parameter!$H$6+Parameter!$H$7))-(AX260-AS260))/AS260)))</f>
        <v>1</v>
      </c>
      <c r="AZ260" s="50" t="n">
        <f aca="false">IF(LEFT(Cockpit!$O$5,1)="A",H260,IF(Parameter!$E$30="MAX-Bestand",IF(CH260=1,CI260,IF(LEFT(Cockpit!$O$5,1)="B",BF260,MAX(BF260,H260))),ROUNDUP(BD260,0)))</f>
        <v>15</v>
      </c>
      <c r="BA260" s="50" t="n">
        <f aca="false">IF(BZ260=1,0,ROUNDUP(AZ260/BY260,0))</f>
        <v>2</v>
      </c>
      <c r="BB260" s="52" t="n">
        <f aca="false">IF(CQ260&gt;0,CQ260*MAX(1,AZ260/X260),IF(BZ260=1,IF(AZ260&lt;=0,0,CD260*MAX(1,IF(H260&gt;0,AZ260/H260,1))),IF(R260&gt;0,BA260/R260,0))/MAX(0.1,N(Parameter!$M$21)))</f>
        <v>0.333333333333333</v>
      </c>
      <c r="BC260" s="50" t="n">
        <f aca="false">BB260*CB260</f>
        <v>145</v>
      </c>
      <c r="BD260" s="51" t="n">
        <f aca="false">IF(LEFT(Cockpit!$O$5,1)="A",H260,IF(CH260=1,(CK260+CI260)/2,IF(LEFT(Cockpit!$O$5,1)="B",(CK260+BF260)/2,MAX((CK260+BF260)/2,H260))))</f>
        <v>15</v>
      </c>
      <c r="BE260" s="50" t="n">
        <f aca="false">BD260*G260</f>
        <v>6426</v>
      </c>
      <c r="BF260" s="50" t="n">
        <f aca="false">ROUNDUP(CK260+MAX(CL260,2*(J260/IF(CG260&gt;0,CG260,MAX(0.1,N(Cockpit!$O$6)))-CK260)),0)</f>
        <v>25</v>
      </c>
      <c r="BG260" s="51" t="n">
        <f aca="false">IF(BC260&gt;0,J260/BC260,-1)</f>
        <v>0.4</v>
      </c>
      <c r="BH260" s="51" t="n">
        <f aca="false">IF(AND(OR(CF260="L1",CF260="L23",CF260="LIFT"),BC260&gt;0),SUMIFS($BC$7:$BC$1843,$CF$7:$CF$1843,CF260,$BG$7:$BG$1843,"&gt;"&amp;BG260)+SUMIFS($BC$7:$BC$1843,$CF$7:$CF$1843,CF260,$BG$7:$BG$1843,BG260,$BW$7:$BW$1843,"&lt;="&amp;BW260),"")</f>
        <v>11063.5196886447</v>
      </c>
      <c r="BI260" s="58" t="n">
        <f aca="false">IF(BH260="",0,MAX(0,MIN(1,(IF(CF260="L1",Parameter!$H$5,IF(CF260="L23",Parameter!$H$6+Parameter!$H$7,Parameter!$H$5+Parameter!$H$6+Parameter!$H$7))-(BH260-BC260))/BC260)))</f>
        <v>1</v>
      </c>
      <c r="BJ260" s="48" t="str">
        <f aca="false">IF(AI260&lt;=0,"",IF(CF260="Aussen","Aussenlager",IF(CF260="-","Nicht im Lift",IF(AO260&gt;=1,"Lift",IF(AO260&lt;=0,"Aussenlager","teilweise")))))</f>
        <v>Lift</v>
      </c>
      <c r="BK260" s="48" t="str">
        <f aca="false">IF(AS260&lt;=0,"",IF(CF260="Aussen","Aussenlager",IF(CF260="-","Nicht im Lift",IF(AY260&gt;=1,"Lift",IF(AY260&lt;=0,"Aussenlager","teilweise")))))</f>
        <v>Lift</v>
      </c>
      <c r="BL260" s="48" t="str">
        <f aca="false">IF(BC260&lt;=0,"",IF(CF260="Aussen","Aussenlager",IF(CF260="-","Nicht im Lift",IF(BI260&gt;=1,"Lift",IF(BI260&lt;=0,"Aussenlager","teilweise")))))</f>
        <v>Lift</v>
      </c>
      <c r="BM260" s="48" t="str">
        <f aca="false">IF(A260="","",IF(BV260=1,"Neu; ","")&amp;IF(AND(BV260=0,BQ260&lt;0),"negativer Bestand (Export "&amp;BQ260&amp;"); ","")&amp;IF(J260&lt;=0,"Kein Verbrauch; ","")&amp;IF(CQ260&gt;0,"Lift "&amp;W260&amp;" lt. Liftbericht (Fach "&amp;X260&amp;" Stk); ",IF(CA260=1,"Gebinde geschätzt ("&amp;T260&amp;"); ",IF(BZ260=1,"Lose – Tablare geschätzt; ","")))&amp;IF(H260&gt;AV260,"Überbestand "&amp;ROUND(H260-AV260,0)&amp;" Stk / CHF "&amp;ROUND((H260-AV260)*G260,0)&amp;"; ","")&amp;IF(AND(CH260=1,CI260&lt;CJ260),"MAX &lt; MB+LG; ","")&amp;IF(AND(CP260&gt;0,CO260*10&gt;CP260),"zu hoch für Tablar; ","")&amp;IF(AND(BV260=0,OR(CH260=1,AA260&lt;&gt;"",U260&lt;&gt;"",V260&lt;&gt;"",AB260&lt;&gt;"")),"manuell übersteuert; ","")&amp;IF(AND(BZ260=0,R260=0),"Gebinde unbekannt / Stellmass fehlt; ","")&amp;IF(AND(BZ260=0,N(V260)&lt;=0,N(Q260)&lt;=0),"Menge pro Gebinde fehlt (Ist = 1 Gebinde); ","")&amp;BU260)</f>
        <v/>
      </c>
      <c r="BN260" s="48"/>
      <c r="BO260" s="48"/>
      <c r="BP260" s="55"/>
      <c r="BQ260" s="50" t="n">
        <v>1</v>
      </c>
      <c r="BR260" s="50" t="n">
        <v>13</v>
      </c>
      <c r="BS260" s="49" t="n">
        <v>449.2</v>
      </c>
      <c r="BT260" s="50" t="n">
        <v>58</v>
      </c>
      <c r="BU260" s="48"/>
      <c r="BV260" s="53" t="n">
        <v>0</v>
      </c>
      <c r="BW260" s="53" t="n">
        <v>260</v>
      </c>
      <c r="BX260" s="48" t="str">
        <f aca="false">IF(U260&lt;&gt;"",UPPER(TRIM(U260)),IF(CA260=1,UPPER(VLOOKUP(T260,Parameter!$I$27:$K$29,2,0)),IF(P260="","LOSE",P260)))</f>
        <v>S72</v>
      </c>
      <c r="BY260" s="50" t="n">
        <f aca="false">IF(BX260="LOSE",1,IF(N(V260)&gt;0,V260,IF(CA260=1,MAX(1,N(VLOOKUP(T260,Parameter!$I$27:$K$29,3,0)),H260,N(N260)),IF(N(Q260)&gt;0,Q260,MAX(1,H260)))))</f>
        <v>10</v>
      </c>
      <c r="BZ260" s="53" t="n">
        <f aca="false">IF(BX260="LOSE",1,0)</f>
        <v>0</v>
      </c>
      <c r="CA260" s="53" t="n">
        <f aca="false">IF(AND(U260="",OR(P260="",P260="LOSE"),T260&lt;&gt;"",N(S260)&lt;=0,ISNUMBER(MATCH(T260,Parameter!$I$27:$I$29,0))),1,0)</f>
        <v>0</v>
      </c>
      <c r="CB260" s="53" t="n">
        <f aca="false">IF(CQ260&gt;0,INDEX(Parameter!$H$5:$H$7,W260)/INDEX(Parameter!$E$5:$E$7,W260),IF(AND(BZ260=0,N(IFERROR(VLOOKUP(BX260,'Gebinde-Kategorie'!$A$5:$N$45,14,0),0))&gt;0),VLOOKUP(BX260,'Gebinde-Kategorie'!$A$5:$N$45,14,0)*10+Parameter!$M$23,Parameter!$M$24))</f>
        <v>435</v>
      </c>
      <c r="CC260" s="48" t="n">
        <f aca="false">IF(AND(Parameter!$B$19="Ja",E260&lt;&gt;"",ISNUMBER(MATCH(E260,Parameter!$I$35:$I$52,0))),VLOOKUP(E260,Parameter!$I$35:$J$52,2,0),IFERROR(VLOOKUP(D260,Parameter!$A$35:$C$64,2,0),"Nein"))</f>
        <v>1</v>
      </c>
      <c r="CD260" s="52" t="n">
        <f aca="false">IF(BZ260=0,0,IF(N(S260)&gt;0,S260,IFERROR(VLOOKUP(D260,Parameter!$A$35:$C$64,3,0)+0,0)))</f>
        <v>0</v>
      </c>
      <c r="CE260" s="48" t="n">
        <f aca="false">IF(AA260&lt;&gt;"",AA260,Z260)</f>
        <v>1</v>
      </c>
      <c r="CF260" s="48" t="str">
        <f aca="false">IF(OR(CE260=1,CE260=2,CE260=3),IF(Parameter!$E$27="Ja","LIFT",IF(CE260=1,"L1","L23")),IF(CE260="Aussen","Aussen","-"))</f>
        <v>LIFT</v>
      </c>
      <c r="CG260" s="59" t="n">
        <f aca="false">IF(N(AB260)&gt;0,AB260,0)</f>
        <v>0</v>
      </c>
      <c r="CH260" s="53" t="n">
        <f aca="false">IF(ISNUMBER(AE260),1,0)</f>
        <v>0</v>
      </c>
      <c r="CI260" s="50" t="n">
        <f aca="false">N(AE260)</f>
        <v>0</v>
      </c>
      <c r="CJ260" s="50" t="n">
        <f aca="false">N(M260)+N(N260)</f>
        <v>25</v>
      </c>
      <c r="CK260" s="50" t="n">
        <f aca="false">N(M260)</f>
        <v>5</v>
      </c>
      <c r="CL260" s="50" t="n">
        <f aca="false">N(N260)</f>
        <v>20</v>
      </c>
      <c r="CM260" s="50" t="n">
        <f aca="false">ROUNDUP(H260/BY260,0)</f>
        <v>2</v>
      </c>
      <c r="CN260" s="50" t="n">
        <f aca="false">ROUNDUP(CI260/BY260,0)</f>
        <v>0</v>
      </c>
      <c r="CO260" s="53" t="n">
        <f aca="false">IF(BZ260=1,0,IFERROR(VLOOKUP(BX260,'Gebinde-Kategorie'!$A$5:$N$45,5,0)+0,0))</f>
        <v>40</v>
      </c>
      <c r="CP260" s="53" t="n">
        <f aca="false">IFERROR(IF(OR(CE260=1,CE260=2,CE260=3),N(INDEX(Parameter!$I$5:$I$7,CE260)),0),0)</f>
        <v>0</v>
      </c>
      <c r="CQ260" s="52" t="n">
        <f aca="false">IF(AND(Parameter!$B$21="Ja",ISNUMBER(W260),N(X260)&gt;0),IFERROR(N(INDEX(Parameter!$L$5:$L$7,W260))*INDEX(Parameter!$E$5:$E$7,W260)*X260/SUMIFS($X$7:$X$1843,$W$7:$W$1843,W260),0),0)</f>
        <v>0</v>
      </c>
    </row>
    <row r="261" customFormat="false" ht="15" hidden="false" customHeight="false" outlineLevel="0" collapsed="false">
      <c r="A261" s="48" t="s">
        <v>713</v>
      </c>
      <c r="B261" s="48" t="s">
        <v>714</v>
      </c>
      <c r="C261" s="48" t="s">
        <v>173</v>
      </c>
      <c r="D261" s="48" t="s">
        <v>193</v>
      </c>
      <c r="E261" s="48" t="s">
        <v>194</v>
      </c>
      <c r="F261" s="48" t="s">
        <v>227</v>
      </c>
      <c r="G261" s="49" t="n">
        <v>5.29</v>
      </c>
      <c r="H261" s="50" t="n">
        <f aca="false">MAX(0,IF(AND(Parameter!$B$21="Ja",ISNUMBER(Y261)),Y261,IF(Parameter!$B$20="Jahresanfang 2025 + Export",BR261+BQ261,BQ261)))</f>
        <v>188</v>
      </c>
      <c r="I261" s="50" t="n">
        <f aca="false">H261*G261</f>
        <v>994.52</v>
      </c>
      <c r="J261" s="50" t="n">
        <f aca="false">BT261*Parameter!$B$18</f>
        <v>198</v>
      </c>
      <c r="K261" s="51" t="n">
        <v>110</v>
      </c>
      <c r="L261" s="52" t="n">
        <v>1.8</v>
      </c>
      <c r="M261" s="50" t="n">
        <v>7</v>
      </c>
      <c r="N261" s="50" t="n">
        <v>200</v>
      </c>
      <c r="O261" s="53" t="n">
        <v>14</v>
      </c>
      <c r="P261" s="48" t="s">
        <v>311</v>
      </c>
      <c r="Q261" s="50" t="n">
        <v>150</v>
      </c>
      <c r="R261" s="53" t="n">
        <f aca="false">IF(BZ261=1,0,IFERROR(VLOOKUP(BX261,'Gebinde-Kategorie'!$A$5:$N$45,13,0)+0,0))</f>
        <v>26</v>
      </c>
      <c r="S261" s="54"/>
      <c r="T261" s="55"/>
      <c r="U261" s="55"/>
      <c r="V261" s="55"/>
      <c r="W261" s="48"/>
      <c r="X261" s="50"/>
      <c r="Y261" s="50"/>
      <c r="Z261" s="48" t="n">
        <f aca="false">IF(A261="","",IF(AND(Parameter!$B$21="Ja",ISNUMBER(W261)),W261,IF(CC261="2+3",IF(ISNUMBER(SEARCH("grosser Artikel",BU261)),2,IFERROR(VLOOKUP(BX261,Parameter!$F$35:$G$64,2,0),2)),IF(OR(CC261="Nein",CC261=""),"-",CC261))))</f>
        <v>3</v>
      </c>
      <c r="AA261" s="55"/>
      <c r="AB261" s="56"/>
      <c r="AC261" s="50" t="n">
        <f aca="false">AV261</f>
        <v>207</v>
      </c>
      <c r="AD261" s="50" t="n">
        <f aca="false">MAX(AV261,H261)</f>
        <v>207</v>
      </c>
      <c r="AE261" s="57"/>
      <c r="AF261" s="50" t="n">
        <f aca="false">IF(LEFT(Cockpit!$C$5,1)="A",H261,IF(Parameter!$E$30="MAX-Bestand",IF(CH261=1,CI261,IF(LEFT(Cockpit!$C$5,1)="B",AL261,MAX(AL261,H261))),ROUNDUP(AJ261,0)))</f>
        <v>188</v>
      </c>
      <c r="AG261" s="50" t="n">
        <f aca="false">IF(BZ261=1,0,ROUNDUP(AF261/BY261,0))</f>
        <v>2</v>
      </c>
      <c r="AH261" s="52" t="n">
        <f aca="false">IF(CQ261&gt;0,CQ261*MAX(1,AF261/X261),IF(BZ261=1,IF(AF261&lt;=0,0,CD261*MAX(1,IF(H261&gt;0,AF261/H261,1))),IF(R261&gt;0,AG261/R261,0))/MAX(0.1,N(Parameter!$M$21)))</f>
        <v>0.0769230769230769</v>
      </c>
      <c r="AI261" s="50" t="n">
        <f aca="false">AH261*CB261</f>
        <v>11.9230769230769</v>
      </c>
      <c r="AJ261" s="51" t="n">
        <f aca="false">IF(LEFT(Cockpit!$C$5,1)="A",H261,IF(CH261=1,(CK261+CI261)/2,IF(LEFT(Cockpit!$C$5,1)="B",(CK261+AL261)/2,MAX((CK261+AL261)/2,H261))))</f>
        <v>188</v>
      </c>
      <c r="AK261" s="50" t="n">
        <f aca="false">AJ261*G261</f>
        <v>994.52</v>
      </c>
      <c r="AL261" s="50" t="n">
        <f aca="false">ROUNDUP(CK261+MAX(CL261,2*(J261/IF(CG261&gt;0,CG261,MAX(0.1,N(Cockpit!$C$6)))-CK261)),0)</f>
        <v>207</v>
      </c>
      <c r="AM261" s="51" t="n">
        <f aca="false">IF(AI261&gt;0,J261/AI261,-1)</f>
        <v>16.6064516129032</v>
      </c>
      <c r="AN261" s="51" t="n">
        <f aca="false">IF(AND(OR(CF261="L1",CF261="L23",CF261="LIFT"),AI261&gt;0),SUMIFS($AI$7:$AI$1843,$CF$7:$CF$1843,CF261,$AM$7:$AM$1843,"&gt;"&amp;AM261)+SUMIFS($AI$7:$AI$1843,$CF$7:$CF$1843,CF261,$AM$7:$AM$1843,AM261,$BW$7:$BW$1843,"&lt;="&amp;BW261),"")</f>
        <v>2033.57967032967</v>
      </c>
      <c r="AO261" s="58" t="n">
        <f aca="false">IF(AN261="",0,MAX(0,MIN(1,(IF(CF261="L1",Parameter!$H$5,IF(CF261="L23",Parameter!$H$6+Parameter!$H$7,Parameter!$H$5+Parameter!$H$6+Parameter!$H$7))-(AN261-AI261))/AI261)))</f>
        <v>1</v>
      </c>
      <c r="AP261" s="50" t="n">
        <f aca="false">IF(LEFT(Cockpit!$I$5,1)="A",H261,IF(Parameter!$E$30="MAX-Bestand",IF(CH261=1,CI261,IF(LEFT(Cockpit!$I$5,1)="B",AV261,MAX(AV261,H261))),ROUNDUP(AT261,0)))</f>
        <v>188</v>
      </c>
      <c r="AQ261" s="50" t="n">
        <f aca="false">IF(BZ261=1,0,ROUNDUP(AP261/BY261,0))</f>
        <v>2</v>
      </c>
      <c r="AR261" s="52" t="n">
        <f aca="false">IF(CQ261&gt;0,CQ261*MAX(1,AP261/X261),IF(BZ261=1,IF(AP261&lt;=0,0,CD261*MAX(1,IF(H261&gt;0,AP261/H261,1))),IF(R261&gt;0,AQ261/R261,0))/MAX(0.1,N(Parameter!$M$21)))</f>
        <v>0.0769230769230769</v>
      </c>
      <c r="AS261" s="50" t="n">
        <f aca="false">AR261*CB261</f>
        <v>11.9230769230769</v>
      </c>
      <c r="AT261" s="51" t="n">
        <f aca="false">IF(LEFT(Cockpit!$I$5,1)="A",H261,IF(CH261=1,(CK261+CI261)/2,IF(LEFT(Cockpit!$I$5,1)="B",(CK261+AV261)/2,MAX((CK261+AV261)/2,H261))))</f>
        <v>188</v>
      </c>
      <c r="AU261" s="50" t="n">
        <f aca="false">AT261*G261</f>
        <v>994.52</v>
      </c>
      <c r="AV261" s="50" t="n">
        <f aca="false">ROUNDUP(CK261+MAX(CL261,2*(J261/IF(CG261&gt;0,CG261,MAX(0.1,N(Cockpit!$I$6)))-CK261)),0)</f>
        <v>207</v>
      </c>
      <c r="AW261" s="51" t="n">
        <f aca="false">IF(AS261&gt;0,J261/AS261,-1)</f>
        <v>16.6064516129032</v>
      </c>
      <c r="AX261" s="51" t="n">
        <f aca="false">IF(AND(OR(CF261="L1",CF261="L23",CF261="LIFT"),AS261&gt;0),SUMIFS($AS$7:$AS$1843,$CF$7:$CF$1843,CF261,$AW$7:$AW$1843,"&gt;"&amp;AW261)+SUMIFS($AS$7:$AS$1843,$CF$7:$CF$1843,CF261,$AW$7:$AW$1843,AW261,$BW$7:$BW$1843,"&lt;="&amp;BW261),"")</f>
        <v>2670.70054945055</v>
      </c>
      <c r="AY261" s="58" t="n">
        <f aca="false">IF(AX261="",0,MAX(0,MIN(1,(IF(CF261="L1",Parameter!$H$5,IF(CF261="L23",Parameter!$H$6+Parameter!$H$7,Parameter!$H$5+Parameter!$H$6+Parameter!$H$7))-(AX261-AS261))/AS261)))</f>
        <v>1</v>
      </c>
      <c r="AZ261" s="50" t="n">
        <f aca="false">IF(LEFT(Cockpit!$O$5,1)="A",H261,IF(Parameter!$E$30="MAX-Bestand",IF(CH261=1,CI261,IF(LEFT(Cockpit!$O$5,1)="B",BF261,MAX(BF261,H261))),ROUNDUP(BD261,0)))</f>
        <v>107</v>
      </c>
      <c r="BA261" s="50" t="n">
        <f aca="false">IF(BZ261=1,0,ROUNDUP(AZ261/BY261,0))</f>
        <v>1</v>
      </c>
      <c r="BB261" s="52" t="n">
        <f aca="false">IF(CQ261&gt;0,CQ261*MAX(1,AZ261/X261),IF(BZ261=1,IF(AZ261&lt;=0,0,CD261*MAX(1,IF(H261&gt;0,AZ261/H261,1))),IF(R261&gt;0,BA261/R261,0))/MAX(0.1,N(Parameter!$M$21)))</f>
        <v>0.0384615384615385</v>
      </c>
      <c r="BC261" s="50" t="n">
        <f aca="false">BB261*CB261</f>
        <v>5.96153846153846</v>
      </c>
      <c r="BD261" s="51" t="n">
        <f aca="false">IF(LEFT(Cockpit!$O$5,1)="A",H261,IF(CH261=1,(CK261+CI261)/2,IF(LEFT(Cockpit!$O$5,1)="B",(CK261+BF261)/2,MAX((CK261+BF261)/2,H261))))</f>
        <v>107</v>
      </c>
      <c r="BE261" s="50" t="n">
        <f aca="false">BD261*G261</f>
        <v>566.03</v>
      </c>
      <c r="BF261" s="50" t="n">
        <f aca="false">ROUNDUP(CK261+MAX(CL261,2*(J261/IF(CG261&gt;0,CG261,MAX(0.1,N(Cockpit!$O$6)))-CK261)),0)</f>
        <v>207</v>
      </c>
      <c r="BG261" s="51" t="n">
        <f aca="false">IF(BC261&gt;0,J261/BC261,-1)</f>
        <v>33.2129032258065</v>
      </c>
      <c r="BH261" s="51" t="n">
        <f aca="false">IF(AND(OR(CF261="L1",CF261="L23",CF261="LIFT"),BC261&gt;0),SUMIFS($BC$7:$BC$1843,$CF$7:$CF$1843,CF261,$BG$7:$BG$1843,"&gt;"&amp;BG261)+SUMIFS($BC$7:$BC$1843,$CF$7:$CF$1843,CF261,$BG$7:$BG$1843,BG261,$BW$7:$BW$1843,"&lt;="&amp;BW261),"")</f>
        <v>1655.54487179487</v>
      </c>
      <c r="BI261" s="58" t="n">
        <f aca="false">IF(BH261="",0,MAX(0,MIN(1,(IF(CF261="L1",Parameter!$H$5,IF(CF261="L23",Parameter!$H$6+Parameter!$H$7,Parameter!$H$5+Parameter!$H$6+Parameter!$H$7))-(BH261-BC261))/BC261)))</f>
        <v>1</v>
      </c>
      <c r="BJ261" s="48" t="str">
        <f aca="false">IF(AI261&lt;=0,"",IF(CF261="Aussen","Aussenlager",IF(CF261="-","Nicht im Lift",IF(AO261&gt;=1,"Lift",IF(AO261&lt;=0,"Aussenlager","teilweise")))))</f>
        <v>Lift</v>
      </c>
      <c r="BK261" s="48" t="str">
        <f aca="false">IF(AS261&lt;=0,"",IF(CF261="Aussen","Aussenlager",IF(CF261="-","Nicht im Lift",IF(AY261&gt;=1,"Lift",IF(AY261&lt;=0,"Aussenlager","teilweise")))))</f>
        <v>Lift</v>
      </c>
      <c r="BL261" s="48" t="str">
        <f aca="false">IF(BC261&lt;=0,"",IF(CF261="Aussen","Aussenlager",IF(CF261="-","Nicht im Lift",IF(BI261&gt;=1,"Lift",IF(BI261&lt;=0,"Aussenlager","teilweise")))))</f>
        <v>Lift</v>
      </c>
      <c r="BM261" s="48" t="str">
        <f aca="false">IF(A261="","",IF(BV261=1,"Neu; ","")&amp;IF(AND(BV261=0,BQ261&lt;0),"negativer Bestand (Export "&amp;BQ261&amp;"); ","")&amp;IF(J261&lt;=0,"Kein Verbrauch; ","")&amp;IF(CQ261&gt;0,"Lift "&amp;W261&amp;" lt. Liftbericht (Fach "&amp;X261&amp;" Stk); ",IF(CA261=1,"Gebinde geschätzt ("&amp;T261&amp;"); ",IF(BZ261=1,"Lose – Tablare geschätzt; ","")))&amp;IF(H261&gt;AV261,"Überbestand "&amp;ROUND(H261-AV261,0)&amp;" Stk / CHF "&amp;ROUND((H261-AV261)*G261,0)&amp;"; ","")&amp;IF(AND(CH261=1,CI261&lt;CJ261),"MAX &lt; MB+LG; ","")&amp;IF(AND(CP261&gt;0,CO261*10&gt;CP261),"zu hoch für Tablar; ","")&amp;IF(AND(BV261=0,OR(CH261=1,AA261&lt;&gt;"",U261&lt;&gt;"",V261&lt;&gt;"",AB261&lt;&gt;"")),"manuell übersteuert; ","")&amp;IF(AND(BZ261=0,R261=0),"Gebinde unbekannt / Stellmass fehlt; ","")&amp;IF(AND(BZ261=0,N(V261)&lt;=0,N(Q261)&lt;=0),"Menge pro Gebinde fehlt (Ist = 1 Gebinde); ","")&amp;BU261)</f>
        <v/>
      </c>
      <c r="BN261" s="48"/>
      <c r="BO261" s="48"/>
      <c r="BP261" s="55"/>
      <c r="BQ261" s="50" t="n">
        <v>80</v>
      </c>
      <c r="BR261" s="50" t="n">
        <v>108</v>
      </c>
      <c r="BS261" s="49" t="n">
        <v>448.04</v>
      </c>
      <c r="BT261" s="50" t="n">
        <v>198</v>
      </c>
      <c r="BU261" s="48"/>
      <c r="BV261" s="53" t="n">
        <v>0</v>
      </c>
      <c r="BW261" s="53" t="n">
        <v>261</v>
      </c>
      <c r="BX261" s="48" t="str">
        <f aca="false">IF(U261&lt;&gt;"",UPPER(TRIM(U261)),IF(CA261=1,UPPER(VLOOKUP(T261,Parameter!$I$27:$K$29,2,0)),IF(P261="","LOSE",P261)))</f>
        <v>S51</v>
      </c>
      <c r="BY261" s="50" t="n">
        <f aca="false">IF(BX261="LOSE",1,IF(N(V261)&gt;0,V261,IF(CA261=1,MAX(1,N(VLOOKUP(T261,Parameter!$I$27:$K$29,3,0)),H261,N(N261)),IF(N(Q261)&gt;0,Q261,MAX(1,H261)))))</f>
        <v>150</v>
      </c>
      <c r="BZ261" s="53" t="n">
        <f aca="false">IF(BX261="LOSE",1,0)</f>
        <v>0</v>
      </c>
      <c r="CA261" s="53" t="n">
        <f aca="false">IF(AND(U261="",OR(P261="",P261="LOSE"),T261&lt;&gt;"",N(S261)&lt;=0,ISNUMBER(MATCH(T261,Parameter!$I$27:$I$29,0))),1,0)</f>
        <v>0</v>
      </c>
      <c r="CB261" s="53" t="n">
        <f aca="false">IF(CQ261&gt;0,INDEX(Parameter!$H$5:$H$7,W261)/INDEX(Parameter!$E$5:$E$7,W261),IF(AND(BZ261=0,N(IFERROR(VLOOKUP(BX261,'Gebinde-Kategorie'!$A$5:$N$45,14,0),0))&gt;0),VLOOKUP(BX261,'Gebinde-Kategorie'!$A$5:$N$45,14,0)*10+Parameter!$M$23,Parameter!$M$24))</f>
        <v>155</v>
      </c>
      <c r="CC261" s="48" t="str">
        <f aca="false">IF(AND(Parameter!$B$19="Ja",E261&lt;&gt;"",ISNUMBER(MATCH(E261,Parameter!$I$35:$I$52,0))),VLOOKUP(E261,Parameter!$I$35:$J$52,2,0),IFERROR(VLOOKUP(D261,Parameter!$A$35:$C$64,2,0),"Nein"))</f>
        <v>2+3</v>
      </c>
      <c r="CD261" s="52" t="n">
        <f aca="false">IF(BZ261=0,0,IF(N(S261)&gt;0,S261,IFERROR(VLOOKUP(D261,Parameter!$A$35:$C$64,3,0)+0,0)))</f>
        <v>0</v>
      </c>
      <c r="CE261" s="48" t="n">
        <f aca="false">IF(AA261&lt;&gt;"",AA261,Z261)</f>
        <v>3</v>
      </c>
      <c r="CF261" s="48" t="str">
        <f aca="false">IF(OR(CE261=1,CE261=2,CE261=3),IF(Parameter!$E$27="Ja","LIFT",IF(CE261=1,"L1","L23")),IF(CE261="Aussen","Aussen","-"))</f>
        <v>LIFT</v>
      </c>
      <c r="CG261" s="59" t="n">
        <f aca="false">IF(N(AB261)&gt;0,AB261,0)</f>
        <v>0</v>
      </c>
      <c r="CH261" s="53" t="n">
        <f aca="false">IF(ISNUMBER(AE261),1,0)</f>
        <v>0</v>
      </c>
      <c r="CI261" s="50" t="n">
        <f aca="false">N(AE261)</f>
        <v>0</v>
      </c>
      <c r="CJ261" s="50" t="n">
        <f aca="false">N(M261)+N(N261)</f>
        <v>207</v>
      </c>
      <c r="CK261" s="50" t="n">
        <f aca="false">N(M261)</f>
        <v>7</v>
      </c>
      <c r="CL261" s="50" t="n">
        <f aca="false">N(N261)</f>
        <v>200</v>
      </c>
      <c r="CM261" s="50" t="n">
        <f aca="false">ROUNDUP(H261/BY261,0)</f>
        <v>2</v>
      </c>
      <c r="CN261" s="50" t="n">
        <f aca="false">ROUNDUP(CI261/BY261,0)</f>
        <v>0</v>
      </c>
      <c r="CO261" s="53" t="n">
        <f aca="false">IF(BZ261=1,0,IFERROR(VLOOKUP(BX261,'Gebinde-Kategorie'!$A$5:$N$45,5,0)+0,0))</f>
        <v>11</v>
      </c>
      <c r="CP261" s="53" t="n">
        <f aca="false">IFERROR(IF(OR(CE261=1,CE261=2,CE261=3),N(INDEX(Parameter!$I$5:$I$7,CE261)),0),0)</f>
        <v>0</v>
      </c>
      <c r="CQ261" s="52" t="n">
        <f aca="false">IF(AND(Parameter!$B$21="Ja",ISNUMBER(W261),N(X261)&gt;0),IFERROR(N(INDEX(Parameter!$L$5:$L$7,W261))*INDEX(Parameter!$E$5:$E$7,W261)*X261/SUMIFS($X$7:$X$1843,$W$7:$W$1843,W261),0),0)</f>
        <v>0</v>
      </c>
    </row>
    <row r="262" customFormat="false" ht="15" hidden="false" customHeight="false" outlineLevel="0" collapsed="false">
      <c r="A262" s="48" t="s">
        <v>715</v>
      </c>
      <c r="B262" s="48" t="s">
        <v>238</v>
      </c>
      <c r="C262" s="48" t="s">
        <v>173</v>
      </c>
      <c r="D262" s="48" t="s">
        <v>182</v>
      </c>
      <c r="E262" s="48"/>
      <c r="F262" s="48" t="s">
        <v>227</v>
      </c>
      <c r="G262" s="49" t="n">
        <v>146.96</v>
      </c>
      <c r="H262" s="50" t="n">
        <f aca="false">MAX(0,IF(AND(Parameter!$B$21="Ja",ISNUMBER(Y262)),Y262,IF(Parameter!$B$20="Jahresanfang 2025 + Export",BR262+BQ262,BQ262)))</f>
        <v>3</v>
      </c>
      <c r="I262" s="50" t="n">
        <f aca="false">H262*G262</f>
        <v>440.88</v>
      </c>
      <c r="J262" s="50" t="n">
        <f aca="false">BT262*Parameter!$B$18</f>
        <v>11</v>
      </c>
      <c r="K262" s="51" t="n">
        <v>2.5</v>
      </c>
      <c r="L262" s="52" t="n">
        <v>4.4</v>
      </c>
      <c r="M262" s="50" t="n">
        <v>0</v>
      </c>
      <c r="N262" s="50" t="n">
        <v>10</v>
      </c>
      <c r="O262" s="53" t="n">
        <v>14</v>
      </c>
      <c r="P262" s="48" t="s">
        <v>177</v>
      </c>
      <c r="Q262" s="50"/>
      <c r="R262" s="53" t="n">
        <f aca="false">IF(BZ262=1,0,IFERROR(VLOOKUP(BX262,'Gebinde-Kategorie'!$A$5:$N$45,13,0)+0,0))</f>
        <v>12</v>
      </c>
      <c r="S262" s="54"/>
      <c r="T262" s="55" t="s">
        <v>188</v>
      </c>
      <c r="U262" s="55"/>
      <c r="V262" s="55"/>
      <c r="W262" s="48"/>
      <c r="X262" s="50"/>
      <c r="Y262" s="50"/>
      <c r="Z262" s="48" t="n">
        <f aca="false">IF(A262="","",IF(AND(Parameter!$B$21="Ja",ISNUMBER(W262)),W262,IF(CC262="2+3",IF(ISNUMBER(SEARCH("grosser Artikel",BU262)),2,IFERROR(VLOOKUP(BX262,Parameter!$F$35:$G$64,2,0),2)),IF(OR(CC262="Nein",CC262=""),"-",CC262))))</f>
        <v>2</v>
      </c>
      <c r="AA262" s="55"/>
      <c r="AB262" s="56"/>
      <c r="AC262" s="50" t="n">
        <f aca="false">AV262</f>
        <v>10</v>
      </c>
      <c r="AD262" s="50" t="n">
        <f aca="false">MAX(AV262,H262)</f>
        <v>10</v>
      </c>
      <c r="AE262" s="57"/>
      <c r="AF262" s="50" t="n">
        <f aca="false">IF(LEFT(Cockpit!$C$5,1)="A",H262,IF(Parameter!$E$30="MAX-Bestand",IF(CH262=1,CI262,IF(LEFT(Cockpit!$C$5,1)="B",AL262,MAX(AL262,H262))),ROUNDUP(AJ262,0)))</f>
        <v>3</v>
      </c>
      <c r="AG262" s="50" t="n">
        <f aca="false">IF(BZ262=1,0,ROUNDUP(AF262/BY262,0))</f>
        <v>1</v>
      </c>
      <c r="AH262" s="52" t="n">
        <f aca="false">IF(CQ262&gt;0,CQ262*MAX(1,AF262/X262),IF(BZ262=1,IF(AF262&lt;=0,0,CD262*MAX(1,IF(H262&gt;0,AF262/H262,1))),IF(R262&gt;0,AG262/R262,0))/MAX(0.1,N(Parameter!$M$21)))</f>
        <v>0.0833333333333333</v>
      </c>
      <c r="AI262" s="50" t="n">
        <f aca="false">AH262*CB262</f>
        <v>12.0833333333333</v>
      </c>
      <c r="AJ262" s="51" t="n">
        <f aca="false">IF(LEFT(Cockpit!$C$5,1)="A",H262,IF(CH262=1,(CK262+CI262)/2,IF(LEFT(Cockpit!$C$5,1)="B",(CK262+AL262)/2,MAX((CK262+AL262)/2,H262))))</f>
        <v>3</v>
      </c>
      <c r="AK262" s="50" t="n">
        <f aca="false">AJ262*G262</f>
        <v>440.88</v>
      </c>
      <c r="AL262" s="50" t="n">
        <f aca="false">ROUNDUP(CK262+MAX(CL262,2*(J262/IF(CG262&gt;0,CG262,MAX(0.1,N(Cockpit!$C$6)))-CK262)),0)</f>
        <v>10</v>
      </c>
      <c r="AM262" s="51" t="n">
        <f aca="false">IF(AI262&gt;0,J262/AI262,-1)</f>
        <v>0.910344827586207</v>
      </c>
      <c r="AN262" s="51" t="n">
        <f aca="false">IF(AND(OR(CF262="L1",CF262="L23",CF262="LIFT"),AI262&gt;0),SUMIFS($AI$7:$AI$1843,$CF$7:$CF$1843,CF262,$AM$7:$AM$1843,"&gt;"&amp;AM262)+SUMIFS($AI$7:$AI$1843,$CF$7:$CF$1843,CF262,$AM$7:$AM$1843,AM262,$BW$7:$BW$1843,"&lt;="&amp;BW262),"")</f>
        <v>7430.95558608059</v>
      </c>
      <c r="AO262" s="58" t="n">
        <f aca="false">IF(AN262="",0,MAX(0,MIN(1,(IF(CF262="L1",Parameter!$H$5,IF(CF262="L23",Parameter!$H$6+Parameter!$H$7,Parameter!$H$5+Parameter!$H$6+Parameter!$H$7))-(AN262-AI262))/AI262)))</f>
        <v>1</v>
      </c>
      <c r="AP262" s="50" t="n">
        <f aca="false">IF(LEFT(Cockpit!$I$5,1)="A",H262,IF(Parameter!$E$30="MAX-Bestand",IF(CH262=1,CI262,IF(LEFT(Cockpit!$I$5,1)="B",AV262,MAX(AV262,H262))),ROUNDUP(AT262,0)))</f>
        <v>5</v>
      </c>
      <c r="AQ262" s="50" t="n">
        <f aca="false">IF(BZ262=1,0,ROUNDUP(AP262/BY262,0))</f>
        <v>1</v>
      </c>
      <c r="AR262" s="52" t="n">
        <f aca="false">IF(CQ262&gt;0,CQ262*MAX(1,AP262/X262),IF(BZ262=1,IF(AP262&lt;=0,0,CD262*MAX(1,IF(H262&gt;0,AP262/H262,1))),IF(R262&gt;0,AQ262/R262,0))/MAX(0.1,N(Parameter!$M$21)))</f>
        <v>0.0833333333333333</v>
      </c>
      <c r="AS262" s="50" t="n">
        <f aca="false">AR262*CB262</f>
        <v>12.0833333333333</v>
      </c>
      <c r="AT262" s="51" t="n">
        <f aca="false">IF(LEFT(Cockpit!$I$5,1)="A",H262,IF(CH262=1,(CK262+CI262)/2,IF(LEFT(Cockpit!$I$5,1)="B",(CK262+AV262)/2,MAX((CK262+AV262)/2,H262))))</f>
        <v>5</v>
      </c>
      <c r="AU262" s="50" t="n">
        <f aca="false">AT262*G262</f>
        <v>734.8</v>
      </c>
      <c r="AV262" s="50" t="n">
        <f aca="false">ROUNDUP(CK262+MAX(CL262,2*(J262/IF(CG262&gt;0,CG262,MAX(0.1,N(Cockpit!$I$6)))-CK262)),0)</f>
        <v>10</v>
      </c>
      <c r="AW262" s="51" t="n">
        <f aca="false">IF(AS262&gt;0,J262/AS262,-1)</f>
        <v>0.910344827586207</v>
      </c>
      <c r="AX262" s="51" t="n">
        <f aca="false">IF(AND(OR(CF262="L1",CF262="L23",CF262="LIFT"),AS262&gt;0),SUMIFS($AS$7:$AS$1843,$CF$7:$CF$1843,CF262,$AW$7:$AW$1843,"&gt;"&amp;AW262)+SUMIFS($AS$7:$AS$1843,$CF$7:$CF$1843,CF262,$AW$7:$AW$1843,AW262,$BW$7:$BW$1843,"&lt;="&amp;BW262),"")</f>
        <v>9005.3956043956</v>
      </c>
      <c r="AY262" s="58" t="n">
        <f aca="false">IF(AX262="",0,MAX(0,MIN(1,(IF(CF262="L1",Parameter!$H$5,IF(CF262="L23",Parameter!$H$6+Parameter!$H$7,Parameter!$H$5+Parameter!$H$6+Parameter!$H$7))-(AX262-AS262))/AS262)))</f>
        <v>1</v>
      </c>
      <c r="AZ262" s="50" t="n">
        <f aca="false">IF(LEFT(Cockpit!$O$5,1)="A",H262,IF(Parameter!$E$30="MAX-Bestand",IF(CH262=1,CI262,IF(LEFT(Cockpit!$O$5,1)="B",BF262,MAX(BF262,H262))),ROUNDUP(BD262,0)))</f>
        <v>5</v>
      </c>
      <c r="BA262" s="50" t="n">
        <f aca="false">IF(BZ262=1,0,ROUNDUP(AZ262/BY262,0))</f>
        <v>1</v>
      </c>
      <c r="BB262" s="52" t="n">
        <f aca="false">IF(CQ262&gt;0,CQ262*MAX(1,AZ262/X262),IF(BZ262=1,IF(AZ262&lt;=0,0,CD262*MAX(1,IF(H262&gt;0,AZ262/H262,1))),IF(R262&gt;0,BA262/R262,0))/MAX(0.1,N(Parameter!$M$21)))</f>
        <v>0.0833333333333333</v>
      </c>
      <c r="BC262" s="50" t="n">
        <f aca="false">BB262*CB262</f>
        <v>12.0833333333333</v>
      </c>
      <c r="BD262" s="51" t="n">
        <f aca="false">IF(LEFT(Cockpit!$O$5,1)="A",H262,IF(CH262=1,(CK262+CI262)/2,IF(LEFT(Cockpit!$O$5,1)="B",(CK262+BF262)/2,MAX((CK262+BF262)/2,H262))))</f>
        <v>5</v>
      </c>
      <c r="BE262" s="50" t="n">
        <f aca="false">BD262*G262</f>
        <v>734.8</v>
      </c>
      <c r="BF262" s="50" t="n">
        <f aca="false">ROUNDUP(CK262+MAX(CL262,2*(J262/IF(CG262&gt;0,CG262,MAX(0.1,N(Cockpit!$O$6)))-CK262)),0)</f>
        <v>10</v>
      </c>
      <c r="BG262" s="51" t="n">
        <f aca="false">IF(BC262&gt;0,J262/BC262,-1)</f>
        <v>0.910344827586207</v>
      </c>
      <c r="BH262" s="51" t="n">
        <f aca="false">IF(AND(OR(CF262="L1",CF262="L23",CF262="LIFT"),BC262&gt;0),SUMIFS($BC$7:$BC$1843,$CF$7:$CF$1843,CF262,$BG$7:$BG$1843,"&gt;"&amp;BG262)+SUMIFS($BC$7:$BC$1843,$CF$7:$CF$1843,CF262,$BG$7:$BG$1843,BG262,$BW$7:$BW$1843,"&lt;="&amp;BW262),"")</f>
        <v>8203.82921245421</v>
      </c>
      <c r="BI262" s="58" t="n">
        <f aca="false">IF(BH262="",0,MAX(0,MIN(1,(IF(CF262="L1",Parameter!$H$5,IF(CF262="L23",Parameter!$H$6+Parameter!$H$7,Parameter!$H$5+Parameter!$H$6+Parameter!$H$7))-(BH262-BC262))/BC262)))</f>
        <v>1</v>
      </c>
      <c r="BJ262" s="48" t="str">
        <f aca="false">IF(AI262&lt;=0,"",IF(CF262="Aussen","Aussenlager",IF(CF262="-","Nicht im Lift",IF(AO262&gt;=1,"Lift",IF(AO262&lt;=0,"Aussenlager","teilweise")))))</f>
        <v>Lift</v>
      </c>
      <c r="BK262" s="48" t="str">
        <f aca="false">IF(AS262&lt;=0,"",IF(CF262="Aussen","Aussenlager",IF(CF262="-","Nicht im Lift",IF(AY262&gt;=1,"Lift",IF(AY262&lt;=0,"Aussenlager","teilweise")))))</f>
        <v>Lift</v>
      </c>
      <c r="BL262" s="48" t="str">
        <f aca="false">IF(BC262&lt;=0,"",IF(CF262="Aussen","Aussenlager",IF(CF262="-","Nicht im Lift",IF(BI262&gt;=1,"Lift",IF(BI262&lt;=0,"Aussenlager","teilweise")))))</f>
        <v>Lift</v>
      </c>
      <c r="BM262" s="48" t="str">
        <f aca="false">IF(A262="","",IF(BV262=1,"Neu; ","")&amp;IF(AND(BV262=0,BQ262&lt;0),"negativer Bestand (Export "&amp;BQ262&amp;"); ","")&amp;IF(J262&lt;=0,"Kein Verbrauch; ","")&amp;IF(CQ262&gt;0,"Lift "&amp;W262&amp;" lt. Liftbericht (Fach "&amp;X262&amp;" Stk); ",IF(CA262=1,"Gebinde geschätzt ("&amp;T262&amp;"); ",IF(BZ262=1,"Lose – Tablare geschätzt; ","")))&amp;IF(H262&gt;AV262,"Überbestand "&amp;ROUND(H262-AV262,0)&amp;" Stk / CHF "&amp;ROUND((H262-AV262)*G262,0)&amp;"; ","")&amp;IF(AND(CH262=1,CI262&lt;CJ262),"MAX &lt; MB+LG; ","")&amp;IF(AND(CP262&gt;0,CO262*10&gt;CP262),"zu hoch für Tablar; ","")&amp;IF(AND(BV262=0,OR(CH262=1,AA262&lt;&gt;"",U262&lt;&gt;"",V262&lt;&gt;"",AB262&lt;&gt;"")),"manuell übersteuert; ","")&amp;IF(AND(BZ262=0,R262=0),"Gebinde unbekannt / Stellmass fehlt; ","")&amp;IF(AND(BZ262=0,N(V262)&lt;=0,N(Q262)&lt;=0),"Menge pro Gebinde fehlt (Ist = 1 Gebinde); ","")&amp;BU262)</f>
        <v>Gebinde geschätzt (Mittel); Menge pro Gebinde fehlt (Ist = 1 Gebinde); </v>
      </c>
      <c r="BN262" s="48"/>
      <c r="BO262" s="48"/>
      <c r="BP262" s="55"/>
      <c r="BQ262" s="50" t="n">
        <v>3</v>
      </c>
      <c r="BR262" s="50" t="n">
        <v>0</v>
      </c>
      <c r="BS262" s="49" t="n">
        <v>440.88</v>
      </c>
      <c r="BT262" s="50" t="n">
        <v>11</v>
      </c>
      <c r="BU262" s="48"/>
      <c r="BV262" s="53" t="n">
        <v>0</v>
      </c>
      <c r="BW262" s="53" t="n">
        <v>262</v>
      </c>
      <c r="BX262" s="48" t="str">
        <f aca="false">IF(U262&lt;&gt;"",UPPER(TRIM(U262)),IF(CA262=1,UPPER(VLOOKUP(T262,Parameter!$I$27:$K$29,2,0)),IF(P262="","LOSE",P262)))</f>
        <v>S61</v>
      </c>
      <c r="BY262" s="50" t="n">
        <f aca="false">IF(BX262="LOSE",1,IF(N(V262)&gt;0,V262,IF(CA262=1,MAX(1,N(VLOOKUP(T262,Parameter!$I$27:$K$29,3,0)),H262,N(N262)),IF(N(Q262)&gt;0,Q262,MAX(1,H262)))))</f>
        <v>10</v>
      </c>
      <c r="BZ262" s="53" t="n">
        <f aca="false">IF(BX262="LOSE",1,0)</f>
        <v>0</v>
      </c>
      <c r="CA262" s="53" t="n">
        <f aca="false">IF(AND(U262="",OR(P262="",P262="LOSE"),T262&lt;&gt;"",N(S262)&lt;=0,ISNUMBER(MATCH(T262,Parameter!$I$27:$I$29,0))),1,0)</f>
        <v>1</v>
      </c>
      <c r="CB262" s="53" t="n">
        <f aca="false">IF(CQ262&gt;0,INDEX(Parameter!$H$5:$H$7,W262)/INDEX(Parameter!$E$5:$E$7,W262),IF(AND(BZ262=0,N(IFERROR(VLOOKUP(BX262,'Gebinde-Kategorie'!$A$5:$N$45,14,0),0))&gt;0),VLOOKUP(BX262,'Gebinde-Kategorie'!$A$5:$N$45,14,0)*10+Parameter!$M$23,Parameter!$M$24))</f>
        <v>145</v>
      </c>
      <c r="CC262" s="48" t="str">
        <f aca="false">IF(AND(Parameter!$B$19="Ja",E262&lt;&gt;"",ISNUMBER(MATCH(E262,Parameter!$I$35:$I$52,0))),VLOOKUP(E262,Parameter!$I$35:$J$52,2,0),IFERROR(VLOOKUP(D262,Parameter!$A$35:$C$64,2,0),"Nein"))</f>
        <v>2+3</v>
      </c>
      <c r="CD262" s="52" t="n">
        <f aca="false">IF(BZ262=0,0,IF(N(S262)&gt;0,S262,IFERROR(VLOOKUP(D262,Parameter!$A$35:$C$64,3,0)+0,0)))</f>
        <v>0</v>
      </c>
      <c r="CE262" s="48" t="n">
        <f aca="false">IF(AA262&lt;&gt;"",AA262,Z262)</f>
        <v>2</v>
      </c>
      <c r="CF262" s="48" t="str">
        <f aca="false">IF(OR(CE262=1,CE262=2,CE262=3),IF(Parameter!$E$27="Ja","LIFT",IF(CE262=1,"L1","L23")),IF(CE262="Aussen","Aussen","-"))</f>
        <v>LIFT</v>
      </c>
      <c r="CG262" s="59" t="n">
        <f aca="false">IF(N(AB262)&gt;0,AB262,0)</f>
        <v>0</v>
      </c>
      <c r="CH262" s="53" t="n">
        <f aca="false">IF(ISNUMBER(AE262),1,0)</f>
        <v>0</v>
      </c>
      <c r="CI262" s="50" t="n">
        <f aca="false">N(AE262)</f>
        <v>0</v>
      </c>
      <c r="CJ262" s="50" t="n">
        <f aca="false">N(M262)+N(N262)</f>
        <v>10</v>
      </c>
      <c r="CK262" s="50" t="n">
        <f aca="false">N(M262)</f>
        <v>0</v>
      </c>
      <c r="CL262" s="50" t="n">
        <f aca="false">N(N262)</f>
        <v>10</v>
      </c>
      <c r="CM262" s="50" t="n">
        <f aca="false">ROUNDUP(H262/BY262,0)</f>
        <v>1</v>
      </c>
      <c r="CN262" s="50" t="n">
        <f aca="false">ROUNDUP(CI262/BY262,0)</f>
        <v>0</v>
      </c>
      <c r="CO262" s="53" t="n">
        <f aca="false">IF(BZ262=1,0,IFERROR(VLOOKUP(BX262,'Gebinde-Kategorie'!$A$5:$N$45,5,0)+0,0))</f>
        <v>11</v>
      </c>
      <c r="CP262" s="53" t="n">
        <f aca="false">IFERROR(IF(OR(CE262=1,CE262=2,CE262=3),N(INDEX(Parameter!$I$5:$I$7,CE262)),0),0)</f>
        <v>0</v>
      </c>
      <c r="CQ262" s="52" t="n">
        <f aca="false">IF(AND(Parameter!$B$21="Ja",ISNUMBER(W262),N(X262)&gt;0),IFERROR(N(INDEX(Parameter!$L$5:$L$7,W262))*INDEX(Parameter!$E$5:$E$7,W262)*X262/SUMIFS($X$7:$X$1843,$W$7:$W$1843,W262),0),0)</f>
        <v>0</v>
      </c>
    </row>
    <row r="263" customFormat="false" ht="15" hidden="false" customHeight="false" outlineLevel="0" collapsed="false">
      <c r="A263" s="48" t="s">
        <v>716</v>
      </c>
      <c r="B263" s="48" t="s">
        <v>717</v>
      </c>
      <c r="C263" s="48" t="s">
        <v>173</v>
      </c>
      <c r="D263" s="48" t="s">
        <v>193</v>
      </c>
      <c r="E263" s="48"/>
      <c r="F263" s="48" t="s">
        <v>227</v>
      </c>
      <c r="G263" s="49" t="n">
        <v>17.59</v>
      </c>
      <c r="H263" s="50" t="n">
        <f aca="false">MAX(0,IF(AND(Parameter!$B$21="Ja",ISNUMBER(Y263)),Y263,IF(Parameter!$B$20="Jahresanfang 2025 + Export",BR263+BQ263,BQ263)))</f>
        <v>25</v>
      </c>
      <c r="I263" s="50" t="n">
        <f aca="false">H263*G263</f>
        <v>439.75</v>
      </c>
      <c r="J263" s="50" t="n">
        <f aca="false">BT263*Parameter!$B$18</f>
        <v>0</v>
      </c>
      <c r="K263" s="51" t="n">
        <v>0</v>
      </c>
      <c r="L263" s="52" t="n">
        <v>0</v>
      </c>
      <c r="M263" s="50" t="n">
        <v>0</v>
      </c>
      <c r="N263" s="50" t="n">
        <v>5</v>
      </c>
      <c r="O263" s="53" t="n">
        <v>9999</v>
      </c>
      <c r="P263" s="48" t="s">
        <v>177</v>
      </c>
      <c r="Q263" s="50"/>
      <c r="R263" s="53" t="n">
        <f aca="false">IF(BZ263=1,0,IFERROR(VLOOKUP(BX263,'Gebinde-Kategorie'!$A$5:$N$45,13,0)+0,0))</f>
        <v>26</v>
      </c>
      <c r="S263" s="54"/>
      <c r="T263" s="55" t="s">
        <v>284</v>
      </c>
      <c r="U263" s="55"/>
      <c r="V263" s="55"/>
      <c r="W263" s="48"/>
      <c r="X263" s="50"/>
      <c r="Y263" s="50"/>
      <c r="Z263" s="48" t="n">
        <f aca="false">IF(A263="","",IF(AND(Parameter!$B$21="Ja",ISNUMBER(W263)),W263,IF(CC263="2+3",IF(ISNUMBER(SEARCH("grosser Artikel",BU263)),2,IFERROR(VLOOKUP(BX263,Parameter!$F$35:$G$64,2,0),2)),IF(OR(CC263="Nein",CC263=""),"-",CC263))))</f>
        <v>3</v>
      </c>
      <c r="AA263" s="55"/>
      <c r="AB263" s="56"/>
      <c r="AC263" s="50" t="n">
        <f aca="false">AV263</f>
        <v>5</v>
      </c>
      <c r="AD263" s="50" t="n">
        <f aca="false">MAX(AV263,H263)</f>
        <v>25</v>
      </c>
      <c r="AE263" s="57"/>
      <c r="AF263" s="50" t="n">
        <f aca="false">IF(LEFT(Cockpit!$C$5,1)="A",H263,IF(Parameter!$E$30="MAX-Bestand",IF(CH263=1,CI263,IF(LEFT(Cockpit!$C$5,1)="B",AL263,MAX(AL263,H263))),ROUNDUP(AJ263,0)))</f>
        <v>25</v>
      </c>
      <c r="AG263" s="50" t="n">
        <f aca="false">IF(BZ263=1,0,ROUNDUP(AF263/BY263,0))</f>
        <v>1</v>
      </c>
      <c r="AH263" s="52" t="n">
        <f aca="false">IF(CQ263&gt;0,CQ263*MAX(1,AF263/X263),IF(BZ263=1,IF(AF263&lt;=0,0,CD263*MAX(1,IF(H263&gt;0,AF263/H263,1))),IF(R263&gt;0,AG263/R263,0))/MAX(0.1,N(Parameter!$M$21)))</f>
        <v>0.0384615384615385</v>
      </c>
      <c r="AI263" s="50" t="n">
        <f aca="false">AH263*CB263</f>
        <v>5.96153846153846</v>
      </c>
      <c r="AJ263" s="51" t="n">
        <f aca="false">IF(LEFT(Cockpit!$C$5,1)="A",H263,IF(CH263=1,(CK263+CI263)/2,IF(LEFT(Cockpit!$C$5,1)="B",(CK263+AL263)/2,MAX((CK263+AL263)/2,H263))))</f>
        <v>25</v>
      </c>
      <c r="AK263" s="50" t="n">
        <f aca="false">AJ263*G263</f>
        <v>439.75</v>
      </c>
      <c r="AL263" s="50" t="n">
        <f aca="false">ROUNDUP(CK263+MAX(CL263,2*(J263/IF(CG263&gt;0,CG263,MAX(0.1,N(Cockpit!$C$6)))-CK263)),0)</f>
        <v>5</v>
      </c>
      <c r="AM263" s="51" t="n">
        <f aca="false">IF(AI263&gt;0,J263/AI263,-1)</f>
        <v>0</v>
      </c>
      <c r="AN263" s="51" t="n">
        <f aca="false">IF(AND(OR(CF263="L1",CF263="L23",CF263="LIFT"),AI263&gt;0),SUMIFS($AI$7:$AI$1843,$CF$7:$CF$1843,CF263,$AM$7:$AM$1843,"&gt;"&amp;AM263)+SUMIFS($AI$7:$AI$1843,$CF$7:$CF$1843,CF263,$AM$7:$AM$1843,AM263,$BW$7:$BW$1843,"&lt;="&amp;BW263),"")</f>
        <v>27766.4850582562</v>
      </c>
      <c r="AO263" s="58" t="n">
        <f aca="false">IF(AN263="",0,MAX(0,MIN(1,(IF(CF263="L1",Parameter!$H$5,IF(CF263="L23",Parameter!$H$6+Parameter!$H$7,Parameter!$H$5+Parameter!$H$6+Parameter!$H$7))-(AN263-AI263))/AI263)))</f>
        <v>1</v>
      </c>
      <c r="AP263" s="50" t="n">
        <f aca="false">IF(LEFT(Cockpit!$I$5,1)="A",H263,IF(Parameter!$E$30="MAX-Bestand",IF(CH263=1,CI263,IF(LEFT(Cockpit!$I$5,1)="B",AV263,MAX(AV263,H263))),ROUNDUP(AT263,0)))</f>
        <v>25</v>
      </c>
      <c r="AQ263" s="50" t="n">
        <f aca="false">IF(BZ263=1,0,ROUNDUP(AP263/BY263,0))</f>
        <v>1</v>
      </c>
      <c r="AR263" s="52" t="n">
        <f aca="false">IF(CQ263&gt;0,CQ263*MAX(1,AP263/X263),IF(BZ263=1,IF(AP263&lt;=0,0,CD263*MAX(1,IF(H263&gt;0,AP263/H263,1))),IF(R263&gt;0,AQ263/R263,0))/MAX(0.1,N(Parameter!$M$21)))</f>
        <v>0.0384615384615385</v>
      </c>
      <c r="AS263" s="50" t="n">
        <f aca="false">AR263*CB263</f>
        <v>5.96153846153846</v>
      </c>
      <c r="AT263" s="51" t="n">
        <f aca="false">IF(LEFT(Cockpit!$I$5,1)="A",H263,IF(CH263=1,(CK263+CI263)/2,IF(LEFT(Cockpit!$I$5,1)="B",(CK263+AV263)/2,MAX((CK263+AV263)/2,H263))))</f>
        <v>25</v>
      </c>
      <c r="AU263" s="50" t="n">
        <f aca="false">AT263*G263</f>
        <v>439.75</v>
      </c>
      <c r="AV263" s="50" t="n">
        <f aca="false">ROUNDUP(CK263+MAX(CL263,2*(J263/IF(CG263&gt;0,CG263,MAX(0.1,N(Cockpit!$I$6)))-CK263)),0)</f>
        <v>5</v>
      </c>
      <c r="AW263" s="51" t="n">
        <f aca="false">IF(AS263&gt;0,J263/AS263,-1)</f>
        <v>0</v>
      </c>
      <c r="AX263" s="51" t="n">
        <f aca="false">IF(AND(OR(CF263="L1",CF263="L23",CF263="LIFT"),AS263&gt;0),SUMIFS($AS$7:$AS$1843,$CF$7:$CF$1843,CF263,$AW$7:$AW$1843,"&gt;"&amp;AW263)+SUMIFS($AS$7:$AS$1843,$CF$7:$CF$1843,CF263,$AW$7:$AW$1843,AW263,$BW$7:$BW$1843,"&lt;="&amp;BW263),"")</f>
        <v>33119.6336996337</v>
      </c>
      <c r="AY263" s="58" t="n">
        <f aca="false">IF(AX263="",0,MAX(0,MIN(1,(IF(CF263="L1",Parameter!$H$5,IF(CF263="L23",Parameter!$H$6+Parameter!$H$7,Parameter!$H$5+Parameter!$H$6+Parameter!$H$7))-(AX263-AS263))/AS263)))</f>
        <v>1</v>
      </c>
      <c r="AZ263" s="50" t="n">
        <f aca="false">IF(LEFT(Cockpit!$O$5,1)="A",H263,IF(Parameter!$E$30="MAX-Bestand",IF(CH263=1,CI263,IF(LEFT(Cockpit!$O$5,1)="B",BF263,MAX(BF263,H263))),ROUNDUP(BD263,0)))</f>
        <v>3</v>
      </c>
      <c r="BA263" s="50" t="n">
        <f aca="false">IF(BZ263=1,0,ROUNDUP(AZ263/BY263,0))</f>
        <v>1</v>
      </c>
      <c r="BB263" s="52" t="n">
        <f aca="false">IF(CQ263&gt;0,CQ263*MAX(1,AZ263/X263),IF(BZ263=1,IF(AZ263&lt;=0,0,CD263*MAX(1,IF(H263&gt;0,AZ263/H263,1))),IF(R263&gt;0,BA263/R263,0))/MAX(0.1,N(Parameter!$M$21)))</f>
        <v>0.0384615384615385</v>
      </c>
      <c r="BC263" s="50" t="n">
        <f aca="false">BB263*CB263</f>
        <v>5.96153846153846</v>
      </c>
      <c r="BD263" s="51" t="n">
        <f aca="false">IF(LEFT(Cockpit!$O$5,1)="A",H263,IF(CH263=1,(CK263+CI263)/2,IF(LEFT(Cockpit!$O$5,1)="B",(CK263+BF263)/2,MAX((CK263+BF263)/2,H263))))</f>
        <v>2.5</v>
      </c>
      <c r="BE263" s="50" t="n">
        <f aca="false">BD263*G263</f>
        <v>43.975</v>
      </c>
      <c r="BF263" s="50" t="n">
        <f aca="false">ROUNDUP(CK263+MAX(CL263,2*(J263/IF(CG263&gt;0,CG263,MAX(0.1,N(Cockpit!$O$6)))-CK263)),0)</f>
        <v>5</v>
      </c>
      <c r="BG263" s="51" t="n">
        <f aca="false">IF(BC263&gt;0,J263/BC263,-1)</f>
        <v>0</v>
      </c>
      <c r="BH263" s="51" t="n">
        <f aca="false">IF(AND(OR(CF263="L1",CF263="L23",CF263="LIFT"),BC263&gt;0),SUMIFS($BC$7:$BC$1843,$CF$7:$CF$1843,CF263,$BG$7:$BG$1843,"&gt;"&amp;BG263)+SUMIFS($BC$7:$BC$1843,$CF$7:$CF$1843,CF263,$BG$7:$BG$1843,BG263,$BW$7:$BW$1843,"&lt;="&amp;BW263),"")</f>
        <v>27274.4527224188</v>
      </c>
      <c r="BI263" s="58" t="n">
        <f aca="false">IF(BH263="",0,MAX(0,MIN(1,(IF(CF263="L1",Parameter!$H$5,IF(CF263="L23",Parameter!$H$6+Parameter!$H$7,Parameter!$H$5+Parameter!$H$6+Parameter!$H$7))-(BH263-BC263))/BC263)))</f>
        <v>1</v>
      </c>
      <c r="BJ263" s="48" t="str">
        <f aca="false">IF(AI263&lt;=0,"",IF(CF263="Aussen","Aussenlager",IF(CF263="-","Nicht im Lift",IF(AO263&gt;=1,"Lift",IF(AO263&lt;=0,"Aussenlager","teilweise")))))</f>
        <v>Lift</v>
      </c>
      <c r="BK263" s="48" t="str">
        <f aca="false">IF(AS263&lt;=0,"",IF(CF263="Aussen","Aussenlager",IF(CF263="-","Nicht im Lift",IF(AY263&gt;=1,"Lift",IF(AY263&lt;=0,"Aussenlager","teilweise")))))</f>
        <v>Lift</v>
      </c>
      <c r="BL263" s="48" t="str">
        <f aca="false">IF(BC263&lt;=0,"",IF(CF263="Aussen","Aussenlager",IF(CF263="-","Nicht im Lift",IF(BI263&gt;=1,"Lift",IF(BI263&lt;=0,"Aussenlager","teilweise")))))</f>
        <v>Lift</v>
      </c>
      <c r="BM263" s="48" t="str">
        <f aca="false">IF(A263="","",IF(BV263=1,"Neu; ","")&amp;IF(AND(BV263=0,BQ263&lt;0),"negativer Bestand (Export "&amp;BQ263&amp;"); ","")&amp;IF(J263&lt;=0,"Kein Verbrauch; ","")&amp;IF(CQ263&gt;0,"Lift "&amp;W263&amp;" lt. Liftbericht (Fach "&amp;X263&amp;" Stk); ",IF(CA263=1,"Gebinde geschätzt ("&amp;T263&amp;"); ",IF(BZ263=1,"Lose – Tablare geschätzt; ","")))&amp;IF(H263&gt;AV263,"Überbestand "&amp;ROUND(H263-AV263,0)&amp;" Stk / CHF "&amp;ROUND((H263-AV263)*G263,0)&amp;"; ","")&amp;IF(AND(CH263=1,CI263&lt;CJ263),"MAX &lt; MB+LG; ","")&amp;IF(AND(CP263&gt;0,CO263*10&gt;CP263),"zu hoch für Tablar; ","")&amp;IF(AND(BV263=0,OR(CH263=1,AA263&lt;&gt;"",U263&lt;&gt;"",V263&lt;&gt;"",AB263&lt;&gt;"")),"manuell übersteuert; ","")&amp;IF(AND(BZ263=0,R263=0),"Gebinde unbekannt / Stellmass fehlt; ","")&amp;IF(AND(BZ263=0,N(V263)&lt;=0,N(Q263)&lt;=0),"Menge pro Gebinde fehlt (Ist = 1 Gebinde); ","")&amp;BU263)</f>
        <v>Kein Verbrauch; Gebinde geschätzt (Klein); Überbestand 20 Stk / CHF 352; Menge pro Gebinde fehlt (Ist = 1 Gebinde); </v>
      </c>
      <c r="BN263" s="48"/>
      <c r="BO263" s="48"/>
      <c r="BP263" s="55"/>
      <c r="BQ263" s="50" t="n">
        <v>25</v>
      </c>
      <c r="BR263" s="50" t="n">
        <v>0</v>
      </c>
      <c r="BS263" s="49" t="n">
        <v>439.75</v>
      </c>
      <c r="BT263" s="50" t="n">
        <v>0</v>
      </c>
      <c r="BU263" s="48"/>
      <c r="BV263" s="53" t="n">
        <v>0</v>
      </c>
      <c r="BW263" s="53" t="n">
        <v>263</v>
      </c>
      <c r="BX263" s="48" t="str">
        <f aca="false">IF(U263&lt;&gt;"",UPPER(TRIM(U263)),IF(CA263=1,UPPER(VLOOKUP(T263,Parameter!$I$27:$K$29,2,0)),IF(P263="","LOSE",P263)))</f>
        <v>S51</v>
      </c>
      <c r="BY263" s="50" t="n">
        <f aca="false">IF(BX263="LOSE",1,IF(N(V263)&gt;0,V263,IF(CA263=1,MAX(1,N(VLOOKUP(T263,Parameter!$I$27:$K$29,3,0)),H263,N(N263)),IF(N(Q263)&gt;0,Q263,MAX(1,H263)))))</f>
        <v>25</v>
      </c>
      <c r="BZ263" s="53" t="n">
        <f aca="false">IF(BX263="LOSE",1,0)</f>
        <v>0</v>
      </c>
      <c r="CA263" s="53" t="n">
        <f aca="false">IF(AND(U263="",OR(P263="",P263="LOSE"),T263&lt;&gt;"",N(S263)&lt;=0,ISNUMBER(MATCH(T263,Parameter!$I$27:$I$29,0))),1,0)</f>
        <v>1</v>
      </c>
      <c r="CB263" s="53" t="n">
        <f aca="false">IF(CQ263&gt;0,INDEX(Parameter!$H$5:$H$7,W263)/INDEX(Parameter!$E$5:$E$7,W263),IF(AND(BZ263=0,N(IFERROR(VLOOKUP(BX263,'Gebinde-Kategorie'!$A$5:$N$45,14,0),0))&gt;0),VLOOKUP(BX263,'Gebinde-Kategorie'!$A$5:$N$45,14,0)*10+Parameter!$M$23,Parameter!$M$24))</f>
        <v>155</v>
      </c>
      <c r="CC263" s="48" t="str">
        <f aca="false">IF(AND(Parameter!$B$19="Ja",E263&lt;&gt;"",ISNUMBER(MATCH(E263,Parameter!$I$35:$I$52,0))),VLOOKUP(E263,Parameter!$I$35:$J$52,2,0),IFERROR(VLOOKUP(D263,Parameter!$A$35:$C$64,2,0),"Nein"))</f>
        <v>2+3</v>
      </c>
      <c r="CD263" s="52" t="n">
        <f aca="false">IF(BZ263=0,0,IF(N(S263)&gt;0,S263,IFERROR(VLOOKUP(D263,Parameter!$A$35:$C$64,3,0)+0,0)))</f>
        <v>0</v>
      </c>
      <c r="CE263" s="48" t="n">
        <f aca="false">IF(AA263&lt;&gt;"",AA263,Z263)</f>
        <v>3</v>
      </c>
      <c r="CF263" s="48" t="str">
        <f aca="false">IF(OR(CE263=1,CE263=2,CE263=3),IF(Parameter!$E$27="Ja","LIFT",IF(CE263=1,"L1","L23")),IF(CE263="Aussen","Aussen","-"))</f>
        <v>LIFT</v>
      </c>
      <c r="CG263" s="59" t="n">
        <f aca="false">IF(N(AB263)&gt;0,AB263,0)</f>
        <v>0</v>
      </c>
      <c r="CH263" s="53" t="n">
        <f aca="false">IF(ISNUMBER(AE263),1,0)</f>
        <v>0</v>
      </c>
      <c r="CI263" s="50" t="n">
        <f aca="false">N(AE263)</f>
        <v>0</v>
      </c>
      <c r="CJ263" s="50" t="n">
        <f aca="false">N(M263)+N(N263)</f>
        <v>5</v>
      </c>
      <c r="CK263" s="50" t="n">
        <f aca="false">N(M263)</f>
        <v>0</v>
      </c>
      <c r="CL263" s="50" t="n">
        <f aca="false">N(N263)</f>
        <v>5</v>
      </c>
      <c r="CM263" s="50" t="n">
        <f aca="false">ROUNDUP(H263/BY263,0)</f>
        <v>1</v>
      </c>
      <c r="CN263" s="50" t="n">
        <f aca="false">ROUNDUP(CI263/BY263,0)</f>
        <v>0</v>
      </c>
      <c r="CO263" s="53" t="n">
        <f aca="false">IF(BZ263=1,0,IFERROR(VLOOKUP(BX263,'Gebinde-Kategorie'!$A$5:$N$45,5,0)+0,0))</f>
        <v>11</v>
      </c>
      <c r="CP263" s="53" t="n">
        <f aca="false">IFERROR(IF(OR(CE263=1,CE263=2,CE263=3),N(INDEX(Parameter!$I$5:$I$7,CE263)),0),0)</f>
        <v>0</v>
      </c>
      <c r="CQ263" s="52" t="n">
        <f aca="false">IF(AND(Parameter!$B$21="Ja",ISNUMBER(W263),N(X263)&gt;0),IFERROR(N(INDEX(Parameter!$L$5:$L$7,W263))*INDEX(Parameter!$E$5:$E$7,W263)*X263/SUMIFS($X$7:$X$1843,$W$7:$W$1843,W263),0),0)</f>
        <v>0</v>
      </c>
    </row>
    <row r="264" customFormat="false" ht="15" hidden="false" customHeight="false" outlineLevel="0" collapsed="false">
      <c r="A264" s="48" t="s">
        <v>718</v>
      </c>
      <c r="B264" s="48" t="s">
        <v>477</v>
      </c>
      <c r="C264" s="48" t="s">
        <v>173</v>
      </c>
      <c r="D264" s="48" t="s">
        <v>193</v>
      </c>
      <c r="E264" s="48" t="s">
        <v>194</v>
      </c>
      <c r="F264" s="48" t="s">
        <v>227</v>
      </c>
      <c r="G264" s="49" t="n">
        <v>6.92</v>
      </c>
      <c r="H264" s="50" t="n">
        <f aca="false">MAX(0,IF(AND(Parameter!$B$21="Ja",ISNUMBER(Y264)),Y264,IF(Parameter!$B$20="Jahresanfang 2025 + Export",BR264+BQ264,BQ264)))</f>
        <v>100</v>
      </c>
      <c r="I264" s="50" t="n">
        <f aca="false">H264*G264</f>
        <v>692</v>
      </c>
      <c r="J264" s="50" t="n">
        <f aca="false">BT264*Parameter!$B$18</f>
        <v>150</v>
      </c>
      <c r="K264" s="51" t="n">
        <v>49.5</v>
      </c>
      <c r="L264" s="52" t="n">
        <v>3.03030303030303</v>
      </c>
      <c r="M264" s="50" t="n">
        <v>5</v>
      </c>
      <c r="N264" s="50" t="n">
        <v>150</v>
      </c>
      <c r="O264" s="53" t="n">
        <v>14</v>
      </c>
      <c r="P264" s="48" t="s">
        <v>311</v>
      </c>
      <c r="Q264" s="50" t="n">
        <v>72</v>
      </c>
      <c r="R264" s="53" t="n">
        <f aca="false">IF(BZ264=1,0,IFERROR(VLOOKUP(BX264,'Gebinde-Kategorie'!$A$5:$N$45,13,0)+0,0))</f>
        <v>26</v>
      </c>
      <c r="S264" s="54"/>
      <c r="T264" s="55"/>
      <c r="U264" s="55"/>
      <c r="V264" s="55"/>
      <c r="W264" s="48"/>
      <c r="X264" s="50"/>
      <c r="Y264" s="50"/>
      <c r="Z264" s="48" t="n">
        <f aca="false">IF(A264="","",IF(AND(Parameter!$B$21="Ja",ISNUMBER(W264)),W264,IF(CC264="2+3",IF(ISNUMBER(SEARCH("grosser Artikel",BU264)),2,IFERROR(VLOOKUP(BX264,Parameter!$F$35:$G$64,2,0),2)),IF(OR(CC264="Nein",CC264=""),"-",CC264))))</f>
        <v>3</v>
      </c>
      <c r="AA264" s="55"/>
      <c r="AB264" s="56"/>
      <c r="AC264" s="50" t="n">
        <f aca="false">AV264</f>
        <v>155</v>
      </c>
      <c r="AD264" s="50" t="n">
        <f aca="false">MAX(AV264,H264)</f>
        <v>155</v>
      </c>
      <c r="AE264" s="57"/>
      <c r="AF264" s="50" t="n">
        <f aca="false">IF(LEFT(Cockpit!$C$5,1)="A",H264,IF(Parameter!$E$30="MAX-Bestand",IF(CH264=1,CI264,IF(LEFT(Cockpit!$C$5,1)="B",AL264,MAX(AL264,H264))),ROUNDUP(AJ264,0)))</f>
        <v>100</v>
      </c>
      <c r="AG264" s="50" t="n">
        <f aca="false">IF(BZ264=1,0,ROUNDUP(AF264/BY264,0))</f>
        <v>2</v>
      </c>
      <c r="AH264" s="52" t="n">
        <f aca="false">IF(CQ264&gt;0,CQ264*MAX(1,AF264/X264),IF(BZ264=1,IF(AF264&lt;=0,0,CD264*MAX(1,IF(H264&gt;0,AF264/H264,1))),IF(R264&gt;0,AG264/R264,0))/MAX(0.1,N(Parameter!$M$21)))</f>
        <v>0.0769230769230769</v>
      </c>
      <c r="AI264" s="50" t="n">
        <f aca="false">AH264*CB264</f>
        <v>11.9230769230769</v>
      </c>
      <c r="AJ264" s="51" t="n">
        <f aca="false">IF(LEFT(Cockpit!$C$5,1)="A",H264,IF(CH264=1,(CK264+CI264)/2,IF(LEFT(Cockpit!$C$5,1)="B",(CK264+AL264)/2,MAX((CK264+AL264)/2,H264))))</f>
        <v>100</v>
      </c>
      <c r="AK264" s="50" t="n">
        <f aca="false">AJ264*G264</f>
        <v>692</v>
      </c>
      <c r="AL264" s="50" t="n">
        <f aca="false">ROUNDUP(CK264+MAX(CL264,2*(J264/IF(CG264&gt;0,CG264,MAX(0.1,N(Cockpit!$C$6)))-CK264)),0)</f>
        <v>155</v>
      </c>
      <c r="AM264" s="51" t="n">
        <f aca="false">IF(AI264&gt;0,J264/AI264,-1)</f>
        <v>12.5806451612903</v>
      </c>
      <c r="AN264" s="51" t="n">
        <f aca="false">IF(AND(OR(CF264="L1",CF264="L23",CF264="LIFT"),AI264&gt;0),SUMIFS($AI$7:$AI$1843,$CF$7:$CF$1843,CF264,$AM$7:$AM$1843,"&gt;"&amp;AM264)+SUMIFS($AI$7:$AI$1843,$CF$7:$CF$1843,CF264,$AM$7:$AM$1843,AM264,$BW$7:$BW$1843,"&lt;="&amp;BW264),"")</f>
        <v>2420.33608058608</v>
      </c>
      <c r="AO264" s="58" t="n">
        <f aca="false">IF(AN264="",0,MAX(0,MIN(1,(IF(CF264="L1",Parameter!$H$5,IF(CF264="L23",Parameter!$H$6+Parameter!$H$7,Parameter!$H$5+Parameter!$H$6+Parameter!$H$7))-(AN264-AI264))/AI264)))</f>
        <v>1</v>
      </c>
      <c r="AP264" s="50" t="n">
        <f aca="false">IF(LEFT(Cockpit!$I$5,1)="A",H264,IF(Parameter!$E$30="MAX-Bestand",IF(CH264=1,CI264,IF(LEFT(Cockpit!$I$5,1)="B",AV264,MAX(AV264,H264))),ROUNDUP(AT264,0)))</f>
        <v>100</v>
      </c>
      <c r="AQ264" s="50" t="n">
        <f aca="false">IF(BZ264=1,0,ROUNDUP(AP264/BY264,0))</f>
        <v>2</v>
      </c>
      <c r="AR264" s="52" t="n">
        <f aca="false">IF(CQ264&gt;0,CQ264*MAX(1,AP264/X264),IF(BZ264=1,IF(AP264&lt;=0,0,CD264*MAX(1,IF(H264&gt;0,AP264/H264,1))),IF(R264&gt;0,AQ264/R264,0))/MAX(0.1,N(Parameter!$M$21)))</f>
        <v>0.0769230769230769</v>
      </c>
      <c r="AS264" s="50" t="n">
        <f aca="false">AR264*CB264</f>
        <v>11.9230769230769</v>
      </c>
      <c r="AT264" s="51" t="n">
        <f aca="false">IF(LEFT(Cockpit!$I$5,1)="A",H264,IF(CH264=1,(CK264+CI264)/2,IF(LEFT(Cockpit!$I$5,1)="B",(CK264+AV264)/2,MAX((CK264+AV264)/2,H264))))</f>
        <v>100</v>
      </c>
      <c r="AU264" s="50" t="n">
        <f aca="false">AT264*G264</f>
        <v>692</v>
      </c>
      <c r="AV264" s="50" t="n">
        <f aca="false">ROUNDUP(CK264+MAX(CL264,2*(J264/IF(CG264&gt;0,CG264,MAX(0.1,N(Cockpit!$I$6)))-CK264)),0)</f>
        <v>155</v>
      </c>
      <c r="AW264" s="51" t="n">
        <f aca="false">IF(AS264&gt;0,J264/AS264,-1)</f>
        <v>12.5806451612903</v>
      </c>
      <c r="AX264" s="51" t="n">
        <f aca="false">IF(AND(OR(CF264="L1",CF264="L23",CF264="LIFT"),AS264&gt;0),SUMIFS($AS$7:$AS$1843,$CF$7:$CF$1843,CF264,$AW$7:$AW$1843,"&gt;"&amp;AW264)+SUMIFS($AS$7:$AS$1843,$CF$7:$CF$1843,CF264,$AW$7:$AW$1843,AW264,$BW$7:$BW$1843,"&lt;="&amp;BW264),"")</f>
        <v>3009.7152014652</v>
      </c>
      <c r="AY264" s="58" t="n">
        <f aca="false">IF(AX264="",0,MAX(0,MIN(1,(IF(CF264="L1",Parameter!$H$5,IF(CF264="L23",Parameter!$H$6+Parameter!$H$7,Parameter!$H$5+Parameter!$H$6+Parameter!$H$7))-(AX264-AS264))/AS264)))</f>
        <v>1</v>
      </c>
      <c r="AZ264" s="50" t="n">
        <f aca="false">IF(LEFT(Cockpit!$O$5,1)="A",H264,IF(Parameter!$E$30="MAX-Bestand",IF(CH264=1,CI264,IF(LEFT(Cockpit!$O$5,1)="B",BF264,MAX(BF264,H264))),ROUNDUP(BD264,0)))</f>
        <v>80</v>
      </c>
      <c r="BA264" s="50" t="n">
        <f aca="false">IF(BZ264=1,0,ROUNDUP(AZ264/BY264,0))</f>
        <v>2</v>
      </c>
      <c r="BB264" s="52" t="n">
        <f aca="false">IF(CQ264&gt;0,CQ264*MAX(1,AZ264/X264),IF(BZ264=1,IF(AZ264&lt;=0,0,CD264*MAX(1,IF(H264&gt;0,AZ264/H264,1))),IF(R264&gt;0,BA264/R264,0))/MAX(0.1,N(Parameter!$M$21)))</f>
        <v>0.0769230769230769</v>
      </c>
      <c r="BC264" s="50" t="n">
        <f aca="false">BB264*CB264</f>
        <v>11.9230769230769</v>
      </c>
      <c r="BD264" s="51" t="n">
        <f aca="false">IF(LEFT(Cockpit!$O$5,1)="A",H264,IF(CH264=1,(CK264+CI264)/2,IF(LEFT(Cockpit!$O$5,1)="B",(CK264+BF264)/2,MAX((CK264+BF264)/2,H264))))</f>
        <v>80</v>
      </c>
      <c r="BE264" s="50" t="n">
        <f aca="false">BD264*G264</f>
        <v>553.6</v>
      </c>
      <c r="BF264" s="50" t="n">
        <f aca="false">ROUNDUP(CK264+MAX(CL264,2*(J264/IF(CG264&gt;0,CG264,MAX(0.1,N(Cockpit!$O$6)))-CK264)),0)</f>
        <v>155</v>
      </c>
      <c r="BG264" s="51" t="n">
        <f aca="false">IF(BC264&gt;0,J264/BC264,-1)</f>
        <v>12.5806451612903</v>
      </c>
      <c r="BH264" s="51" t="n">
        <f aca="false">IF(AND(OR(CF264="L1",CF264="L23",CF264="LIFT"),BC264&gt;0),SUMIFS($BC$7:$BC$1843,$CF$7:$CF$1843,CF264,$BG$7:$BG$1843,"&gt;"&amp;BG264)+SUMIFS($BC$7:$BC$1843,$CF$7:$CF$1843,CF264,$BG$7:$BG$1843,BG264,$BW$7:$BW$1843,"&lt;="&amp;BW264),"")</f>
        <v>2526.70054945055</v>
      </c>
      <c r="BI264" s="58" t="n">
        <f aca="false">IF(BH264="",0,MAX(0,MIN(1,(IF(CF264="L1",Parameter!$H$5,IF(CF264="L23",Parameter!$H$6+Parameter!$H$7,Parameter!$H$5+Parameter!$H$6+Parameter!$H$7))-(BH264-BC264))/BC264)))</f>
        <v>1</v>
      </c>
      <c r="BJ264" s="48" t="str">
        <f aca="false">IF(AI264&lt;=0,"",IF(CF264="Aussen","Aussenlager",IF(CF264="-","Nicht im Lift",IF(AO264&gt;=1,"Lift",IF(AO264&lt;=0,"Aussenlager","teilweise")))))</f>
        <v>Lift</v>
      </c>
      <c r="BK264" s="48" t="str">
        <f aca="false">IF(AS264&lt;=0,"",IF(CF264="Aussen","Aussenlager",IF(CF264="-","Nicht im Lift",IF(AY264&gt;=1,"Lift",IF(AY264&lt;=0,"Aussenlager","teilweise")))))</f>
        <v>Lift</v>
      </c>
      <c r="BL264" s="48" t="str">
        <f aca="false">IF(BC264&lt;=0,"",IF(CF264="Aussen","Aussenlager",IF(CF264="-","Nicht im Lift",IF(BI264&gt;=1,"Lift",IF(BI264&lt;=0,"Aussenlager","teilweise")))))</f>
        <v>Lift</v>
      </c>
      <c r="BM264" s="48" t="str">
        <f aca="false">IF(A264="","",IF(BV264=1,"Neu; ","")&amp;IF(AND(BV264=0,BQ264&lt;0),"negativer Bestand (Export "&amp;BQ264&amp;"); ","")&amp;IF(J264&lt;=0,"Kein Verbrauch; ","")&amp;IF(CQ264&gt;0,"Lift "&amp;W264&amp;" lt. Liftbericht (Fach "&amp;X264&amp;" Stk); ",IF(CA264=1,"Gebinde geschätzt ("&amp;T264&amp;"); ",IF(BZ264=1,"Lose – Tablare geschätzt; ","")))&amp;IF(H264&gt;AV264,"Überbestand "&amp;ROUND(H264-AV264,0)&amp;" Stk / CHF "&amp;ROUND((H264-AV264)*G264,0)&amp;"; ","")&amp;IF(AND(CH264=1,CI264&lt;CJ264),"MAX &lt; MB+LG; ","")&amp;IF(AND(CP264&gt;0,CO264*10&gt;CP264),"zu hoch für Tablar; ","")&amp;IF(AND(BV264=0,OR(CH264=1,AA264&lt;&gt;"",U264&lt;&gt;"",V264&lt;&gt;"",AB264&lt;&gt;"")),"manuell übersteuert; ","")&amp;IF(AND(BZ264=0,R264=0),"Gebinde unbekannt / Stellmass fehlt; ","")&amp;IF(AND(BZ264=0,N(V264)&lt;=0,N(Q264)&lt;=0),"Menge pro Gebinde fehlt (Ist = 1 Gebinde); ","")&amp;BU264)</f>
        <v/>
      </c>
      <c r="BN264" s="48"/>
      <c r="BO264" s="48"/>
      <c r="BP264" s="55"/>
      <c r="BQ264" s="50" t="n">
        <v>64</v>
      </c>
      <c r="BR264" s="50" t="n">
        <v>36</v>
      </c>
      <c r="BS264" s="49" t="n">
        <v>439.69</v>
      </c>
      <c r="BT264" s="50" t="n">
        <v>150</v>
      </c>
      <c r="BU264" s="48"/>
      <c r="BV264" s="53" t="n">
        <v>0</v>
      </c>
      <c r="BW264" s="53" t="n">
        <v>264</v>
      </c>
      <c r="BX264" s="48" t="str">
        <f aca="false">IF(U264&lt;&gt;"",UPPER(TRIM(U264)),IF(CA264=1,UPPER(VLOOKUP(T264,Parameter!$I$27:$K$29,2,0)),IF(P264="","LOSE",P264)))</f>
        <v>S51</v>
      </c>
      <c r="BY264" s="50" t="n">
        <f aca="false">IF(BX264="LOSE",1,IF(N(V264)&gt;0,V264,IF(CA264=1,MAX(1,N(VLOOKUP(T264,Parameter!$I$27:$K$29,3,0)),H264,N(N264)),IF(N(Q264)&gt;0,Q264,MAX(1,H264)))))</f>
        <v>72</v>
      </c>
      <c r="BZ264" s="53" t="n">
        <f aca="false">IF(BX264="LOSE",1,0)</f>
        <v>0</v>
      </c>
      <c r="CA264" s="53" t="n">
        <f aca="false">IF(AND(U264="",OR(P264="",P264="LOSE"),T264&lt;&gt;"",N(S264)&lt;=0,ISNUMBER(MATCH(T264,Parameter!$I$27:$I$29,0))),1,0)</f>
        <v>0</v>
      </c>
      <c r="CB264" s="53" t="n">
        <f aca="false">IF(CQ264&gt;0,INDEX(Parameter!$H$5:$H$7,W264)/INDEX(Parameter!$E$5:$E$7,W264),IF(AND(BZ264=0,N(IFERROR(VLOOKUP(BX264,'Gebinde-Kategorie'!$A$5:$N$45,14,0),0))&gt;0),VLOOKUP(BX264,'Gebinde-Kategorie'!$A$5:$N$45,14,0)*10+Parameter!$M$23,Parameter!$M$24))</f>
        <v>155</v>
      </c>
      <c r="CC264" s="48" t="str">
        <f aca="false">IF(AND(Parameter!$B$19="Ja",E264&lt;&gt;"",ISNUMBER(MATCH(E264,Parameter!$I$35:$I$52,0))),VLOOKUP(E264,Parameter!$I$35:$J$52,2,0),IFERROR(VLOOKUP(D264,Parameter!$A$35:$C$64,2,0),"Nein"))</f>
        <v>2+3</v>
      </c>
      <c r="CD264" s="52" t="n">
        <f aca="false">IF(BZ264=0,0,IF(N(S264)&gt;0,S264,IFERROR(VLOOKUP(D264,Parameter!$A$35:$C$64,3,0)+0,0)))</f>
        <v>0</v>
      </c>
      <c r="CE264" s="48" t="n">
        <f aca="false">IF(AA264&lt;&gt;"",AA264,Z264)</f>
        <v>3</v>
      </c>
      <c r="CF264" s="48" t="str">
        <f aca="false">IF(OR(CE264=1,CE264=2,CE264=3),IF(Parameter!$E$27="Ja","LIFT",IF(CE264=1,"L1","L23")),IF(CE264="Aussen","Aussen","-"))</f>
        <v>LIFT</v>
      </c>
      <c r="CG264" s="59" t="n">
        <f aca="false">IF(N(AB264)&gt;0,AB264,0)</f>
        <v>0</v>
      </c>
      <c r="CH264" s="53" t="n">
        <f aca="false">IF(ISNUMBER(AE264),1,0)</f>
        <v>0</v>
      </c>
      <c r="CI264" s="50" t="n">
        <f aca="false">N(AE264)</f>
        <v>0</v>
      </c>
      <c r="CJ264" s="50" t="n">
        <f aca="false">N(M264)+N(N264)</f>
        <v>155</v>
      </c>
      <c r="CK264" s="50" t="n">
        <f aca="false">N(M264)</f>
        <v>5</v>
      </c>
      <c r="CL264" s="50" t="n">
        <f aca="false">N(N264)</f>
        <v>150</v>
      </c>
      <c r="CM264" s="50" t="n">
        <f aca="false">ROUNDUP(H264/BY264,0)</f>
        <v>2</v>
      </c>
      <c r="CN264" s="50" t="n">
        <f aca="false">ROUNDUP(CI264/BY264,0)</f>
        <v>0</v>
      </c>
      <c r="CO264" s="53" t="n">
        <f aca="false">IF(BZ264=1,0,IFERROR(VLOOKUP(BX264,'Gebinde-Kategorie'!$A$5:$N$45,5,0)+0,0))</f>
        <v>11</v>
      </c>
      <c r="CP264" s="53" t="n">
        <f aca="false">IFERROR(IF(OR(CE264=1,CE264=2,CE264=3),N(INDEX(Parameter!$I$5:$I$7,CE264)),0),0)</f>
        <v>0</v>
      </c>
      <c r="CQ264" s="52" t="n">
        <f aca="false">IF(AND(Parameter!$B$21="Ja",ISNUMBER(W264),N(X264)&gt;0),IFERROR(N(INDEX(Parameter!$L$5:$L$7,W264))*INDEX(Parameter!$E$5:$E$7,W264)*X264/SUMIFS($X$7:$X$1843,$W$7:$W$1843,W264),0),0)</f>
        <v>0</v>
      </c>
    </row>
    <row r="265" customFormat="false" ht="15" hidden="false" customHeight="false" outlineLevel="0" collapsed="false">
      <c r="A265" s="48" t="s">
        <v>719</v>
      </c>
      <c r="B265" s="48" t="s">
        <v>580</v>
      </c>
      <c r="C265" s="48" t="s">
        <v>173</v>
      </c>
      <c r="D265" s="48" t="s">
        <v>193</v>
      </c>
      <c r="E265" s="48" t="s">
        <v>194</v>
      </c>
      <c r="F265" s="48" t="s">
        <v>227</v>
      </c>
      <c r="G265" s="49" t="n">
        <v>11.14</v>
      </c>
      <c r="H265" s="50" t="n">
        <f aca="false">MAX(0,IF(AND(Parameter!$B$21="Ja",ISNUMBER(Y265)),Y265,IF(Parameter!$B$20="Jahresanfang 2025 + Export",BR265+BQ265,BQ265)))</f>
        <v>85</v>
      </c>
      <c r="I265" s="50" t="n">
        <f aca="false">H265*G265</f>
        <v>946.9</v>
      </c>
      <c r="J265" s="50" t="n">
        <f aca="false">BT265*Parameter!$B$18</f>
        <v>221</v>
      </c>
      <c r="K265" s="51" t="n">
        <v>57</v>
      </c>
      <c r="L265" s="52" t="n">
        <v>3.87719298245614</v>
      </c>
      <c r="M265" s="50" t="n">
        <v>21</v>
      </c>
      <c r="N265" s="50" t="n">
        <v>100</v>
      </c>
      <c r="O265" s="53" t="n">
        <v>21</v>
      </c>
      <c r="P265" s="48" t="s">
        <v>337</v>
      </c>
      <c r="Q265" s="50" t="n">
        <v>188</v>
      </c>
      <c r="R265" s="53" t="n">
        <f aca="false">IF(BZ265=1,0,IFERROR(VLOOKUP(BX265,'Gebinde-Kategorie'!$A$5:$N$45,13,0)+0,0))</f>
        <v>52</v>
      </c>
      <c r="S265" s="54"/>
      <c r="T265" s="55"/>
      <c r="U265" s="55"/>
      <c r="V265" s="55"/>
      <c r="W265" s="48"/>
      <c r="X265" s="50"/>
      <c r="Y265" s="50"/>
      <c r="Z265" s="48" t="n">
        <f aca="false">IF(A265="","",IF(AND(Parameter!$B$21="Ja",ISNUMBER(W265)),W265,IF(CC265="2+3",IF(ISNUMBER(SEARCH("grosser Artikel",BU265)),2,IFERROR(VLOOKUP(BX265,Parameter!$F$35:$G$64,2,0),2)),IF(OR(CC265="Nein",CC265=""),"-",CC265))))</f>
        <v>3</v>
      </c>
      <c r="AA265" s="55"/>
      <c r="AB265" s="56"/>
      <c r="AC265" s="50" t="n">
        <f aca="false">AV265</f>
        <v>127</v>
      </c>
      <c r="AD265" s="50" t="n">
        <f aca="false">MAX(AV265,H265)</f>
        <v>127</v>
      </c>
      <c r="AE265" s="57"/>
      <c r="AF265" s="50" t="n">
        <f aca="false">IF(LEFT(Cockpit!$C$5,1)="A",H265,IF(Parameter!$E$30="MAX-Bestand",IF(CH265=1,CI265,IF(LEFT(Cockpit!$C$5,1)="B",AL265,MAX(AL265,H265))),ROUNDUP(AJ265,0)))</f>
        <v>85</v>
      </c>
      <c r="AG265" s="50" t="n">
        <f aca="false">IF(BZ265=1,0,ROUNDUP(AF265/BY265,0))</f>
        <v>1</v>
      </c>
      <c r="AH265" s="52" t="n">
        <f aca="false">IF(CQ265&gt;0,CQ265*MAX(1,AF265/X265),IF(BZ265=1,IF(AF265&lt;=0,0,CD265*MAX(1,IF(H265&gt;0,AF265/H265,1))),IF(R265&gt;0,AG265/R265,0))/MAX(0.1,N(Parameter!$M$21)))</f>
        <v>0.0192307692307692</v>
      </c>
      <c r="AI265" s="50" t="n">
        <f aca="false">AH265*CB265</f>
        <v>2.98076923076923</v>
      </c>
      <c r="AJ265" s="51" t="n">
        <f aca="false">IF(LEFT(Cockpit!$C$5,1)="A",H265,IF(CH265=1,(CK265+CI265)/2,IF(LEFT(Cockpit!$C$5,1)="B",(CK265+AL265)/2,MAX((CK265+AL265)/2,H265))))</f>
        <v>85</v>
      </c>
      <c r="AK265" s="50" t="n">
        <f aca="false">AJ265*G265</f>
        <v>946.9</v>
      </c>
      <c r="AL265" s="50" t="n">
        <f aca="false">ROUNDUP(CK265+MAX(CL265,2*(J265/IF(CG265&gt;0,CG265,MAX(0.1,N(Cockpit!$C$6)))-CK265)),0)</f>
        <v>127</v>
      </c>
      <c r="AM265" s="51" t="n">
        <f aca="false">IF(AI265&gt;0,J265/AI265,-1)</f>
        <v>74.141935483871</v>
      </c>
      <c r="AN265" s="51" t="n">
        <f aca="false">IF(AND(OR(CF265="L1",CF265="L23",CF265="LIFT"),AI265&gt;0),SUMIFS($AI$7:$AI$1843,$CF$7:$CF$1843,CF265,$AM$7:$AM$1843,"&gt;"&amp;AM265)+SUMIFS($AI$7:$AI$1843,$CF$7:$CF$1843,CF265,$AM$7:$AM$1843,AM265,$BW$7:$BW$1843,"&lt;="&amp;BW265),"")</f>
        <v>867.409340659341</v>
      </c>
      <c r="AO265" s="58" t="n">
        <f aca="false">IF(AN265="",0,MAX(0,MIN(1,(IF(CF265="L1",Parameter!$H$5,IF(CF265="L23",Parameter!$H$6+Parameter!$H$7,Parameter!$H$5+Parameter!$H$6+Parameter!$H$7))-(AN265-AI265))/AI265)))</f>
        <v>1</v>
      </c>
      <c r="AP265" s="50" t="n">
        <f aca="false">IF(LEFT(Cockpit!$I$5,1)="A",H265,IF(Parameter!$E$30="MAX-Bestand",IF(CH265=1,CI265,IF(LEFT(Cockpit!$I$5,1)="B",AV265,MAX(AV265,H265))),ROUNDUP(AT265,0)))</f>
        <v>85</v>
      </c>
      <c r="AQ265" s="50" t="n">
        <f aca="false">IF(BZ265=1,0,ROUNDUP(AP265/BY265,0))</f>
        <v>1</v>
      </c>
      <c r="AR265" s="52" t="n">
        <f aca="false">IF(CQ265&gt;0,CQ265*MAX(1,AP265/X265),IF(BZ265=1,IF(AP265&lt;=0,0,CD265*MAX(1,IF(H265&gt;0,AP265/H265,1))),IF(R265&gt;0,AQ265/R265,0))/MAX(0.1,N(Parameter!$M$21)))</f>
        <v>0.0192307692307692</v>
      </c>
      <c r="AS265" s="50" t="n">
        <f aca="false">AR265*CB265</f>
        <v>2.98076923076923</v>
      </c>
      <c r="AT265" s="51" t="n">
        <f aca="false">IF(LEFT(Cockpit!$I$5,1)="A",H265,IF(CH265=1,(CK265+CI265)/2,IF(LEFT(Cockpit!$I$5,1)="B",(CK265+AV265)/2,MAX((CK265+AV265)/2,H265))))</f>
        <v>85</v>
      </c>
      <c r="AU265" s="50" t="n">
        <f aca="false">AT265*G265</f>
        <v>946.9</v>
      </c>
      <c r="AV265" s="50" t="n">
        <f aca="false">ROUNDUP(CK265+MAX(CL265,2*(J265/IF(CG265&gt;0,CG265,MAX(0.1,N(Cockpit!$I$6)))-CK265)),0)</f>
        <v>127</v>
      </c>
      <c r="AW265" s="51" t="n">
        <f aca="false">IF(AS265&gt;0,J265/AS265,-1)</f>
        <v>74.141935483871</v>
      </c>
      <c r="AX265" s="51" t="n">
        <f aca="false">IF(AND(OR(CF265="L1",CF265="L23",CF265="LIFT"),AS265&gt;0),SUMIFS($AS$7:$AS$1843,$CF$7:$CF$1843,CF265,$AW$7:$AW$1843,"&gt;"&amp;AW265)+SUMIFS($AS$7:$AS$1843,$CF$7:$CF$1843,CF265,$AW$7:$AW$1843,AW265,$BW$7:$BW$1843,"&lt;="&amp;BW265),"")</f>
        <v>1080.32142857143</v>
      </c>
      <c r="AY265" s="58" t="n">
        <f aca="false">IF(AX265="",0,MAX(0,MIN(1,(IF(CF265="L1",Parameter!$H$5,IF(CF265="L23",Parameter!$H$6+Parameter!$H$7,Parameter!$H$5+Parameter!$H$6+Parameter!$H$7))-(AX265-AS265))/AS265)))</f>
        <v>1</v>
      </c>
      <c r="AZ265" s="50" t="n">
        <f aca="false">IF(LEFT(Cockpit!$O$5,1)="A",H265,IF(Parameter!$E$30="MAX-Bestand",IF(CH265=1,CI265,IF(LEFT(Cockpit!$O$5,1)="B",BF265,MAX(BF265,H265))),ROUNDUP(BD265,0)))</f>
        <v>71</v>
      </c>
      <c r="BA265" s="50" t="n">
        <f aca="false">IF(BZ265=1,0,ROUNDUP(AZ265/BY265,0))</f>
        <v>1</v>
      </c>
      <c r="BB265" s="52" t="n">
        <f aca="false">IF(CQ265&gt;0,CQ265*MAX(1,AZ265/X265),IF(BZ265=1,IF(AZ265&lt;=0,0,CD265*MAX(1,IF(H265&gt;0,AZ265/H265,1))),IF(R265&gt;0,BA265/R265,0))/MAX(0.1,N(Parameter!$M$21)))</f>
        <v>0.0192307692307692</v>
      </c>
      <c r="BC265" s="50" t="n">
        <f aca="false">BB265*CB265</f>
        <v>2.98076923076923</v>
      </c>
      <c r="BD265" s="51" t="n">
        <f aca="false">IF(LEFT(Cockpit!$O$5,1)="A",H265,IF(CH265=1,(CK265+CI265)/2,IF(LEFT(Cockpit!$O$5,1)="B",(CK265+BF265)/2,MAX((CK265+BF265)/2,H265))))</f>
        <v>71</v>
      </c>
      <c r="BE265" s="50" t="n">
        <f aca="false">BD265*G265</f>
        <v>790.94</v>
      </c>
      <c r="BF265" s="50" t="n">
        <f aca="false">ROUNDUP(CK265+MAX(CL265,2*(J265/IF(CG265&gt;0,CG265,MAX(0.1,N(Cockpit!$O$6)))-CK265)),0)</f>
        <v>121</v>
      </c>
      <c r="BG265" s="51" t="n">
        <f aca="false">IF(BC265&gt;0,J265/BC265,-1)</f>
        <v>74.141935483871</v>
      </c>
      <c r="BH265" s="51" t="n">
        <f aca="false">IF(AND(OR(CF265="L1",CF265="L23",CF265="LIFT"),BC265&gt;0),SUMIFS($BC$7:$BC$1843,$CF$7:$CF$1843,CF265,$BG$7:$BG$1843,"&gt;"&amp;BG265)+SUMIFS($BC$7:$BC$1843,$CF$7:$CF$1843,CF265,$BG$7:$BG$1843,BG265,$BW$7:$BW$1843,"&lt;="&amp;BW265),"")</f>
        <v>998.459706959707</v>
      </c>
      <c r="BI265" s="58" t="n">
        <f aca="false">IF(BH265="",0,MAX(0,MIN(1,(IF(CF265="L1",Parameter!$H$5,IF(CF265="L23",Parameter!$H$6+Parameter!$H$7,Parameter!$H$5+Parameter!$H$6+Parameter!$H$7))-(BH265-BC265))/BC265)))</f>
        <v>1</v>
      </c>
      <c r="BJ265" s="48" t="str">
        <f aca="false">IF(AI265&lt;=0,"",IF(CF265="Aussen","Aussenlager",IF(CF265="-","Nicht im Lift",IF(AO265&gt;=1,"Lift",IF(AO265&lt;=0,"Aussenlager","teilweise")))))</f>
        <v>Lift</v>
      </c>
      <c r="BK265" s="48" t="str">
        <f aca="false">IF(AS265&lt;=0,"",IF(CF265="Aussen","Aussenlager",IF(CF265="-","Nicht im Lift",IF(AY265&gt;=1,"Lift",IF(AY265&lt;=0,"Aussenlager","teilweise")))))</f>
        <v>Lift</v>
      </c>
      <c r="BL265" s="48" t="str">
        <f aca="false">IF(BC265&lt;=0,"",IF(CF265="Aussen","Aussenlager",IF(CF265="-","Nicht im Lift",IF(BI265&gt;=1,"Lift",IF(BI265&lt;=0,"Aussenlager","teilweise")))))</f>
        <v>Lift</v>
      </c>
      <c r="BM265" s="48" t="str">
        <f aca="false">IF(A265="","",IF(BV265=1,"Neu; ","")&amp;IF(AND(BV265=0,BQ265&lt;0),"negativer Bestand (Export "&amp;BQ265&amp;"); ","")&amp;IF(J265&lt;=0,"Kein Verbrauch; ","")&amp;IF(CQ265&gt;0,"Lift "&amp;W265&amp;" lt. Liftbericht (Fach "&amp;X265&amp;" Stk); ",IF(CA265=1,"Gebinde geschätzt ("&amp;T265&amp;"); ",IF(BZ265=1,"Lose – Tablare geschätzt; ","")))&amp;IF(H265&gt;AV265,"Überbestand "&amp;ROUND(H265-AV265,0)&amp;" Stk / CHF "&amp;ROUND((H265-AV265)*G265,0)&amp;"; ","")&amp;IF(AND(CH265=1,CI265&lt;CJ265),"MAX &lt; MB+LG; ","")&amp;IF(AND(CP265&gt;0,CO265*10&gt;CP265),"zu hoch für Tablar; ","")&amp;IF(AND(BV265=0,OR(CH265=1,AA265&lt;&gt;"",U265&lt;&gt;"",V265&lt;&gt;"",AB265&lt;&gt;"")),"manuell übersteuert; ","")&amp;IF(AND(BZ265=0,R265=0),"Gebinde unbekannt / Stellmass fehlt; ","")&amp;IF(AND(BZ265=0,N(V265)&lt;=0,N(Q265)&lt;=0),"Menge pro Gebinde fehlt (Ist = 1 Gebinde); ","")&amp;BU265)</f>
        <v/>
      </c>
      <c r="BN265" s="48"/>
      <c r="BO265" s="48"/>
      <c r="BP265" s="55"/>
      <c r="BQ265" s="50" t="n">
        <v>18</v>
      </c>
      <c r="BR265" s="50" t="n">
        <v>67</v>
      </c>
      <c r="BS265" s="49" t="n">
        <v>429.840000000001</v>
      </c>
      <c r="BT265" s="50" t="n">
        <v>221</v>
      </c>
      <c r="BU265" s="48"/>
      <c r="BV265" s="53" t="n">
        <v>0</v>
      </c>
      <c r="BW265" s="53" t="n">
        <v>265</v>
      </c>
      <c r="BX265" s="48" t="str">
        <f aca="false">IF(U265&lt;&gt;"",UPPER(TRIM(U265)),IF(CA265=1,UPPER(VLOOKUP(T265,Parameter!$I$27:$K$29,2,0)),IF(P265="","LOSE",P265)))</f>
        <v>S41</v>
      </c>
      <c r="BY265" s="50" t="n">
        <f aca="false">IF(BX265="LOSE",1,IF(N(V265)&gt;0,V265,IF(CA265=1,MAX(1,N(VLOOKUP(T265,Parameter!$I$27:$K$29,3,0)),H265,N(N265)),IF(N(Q265)&gt;0,Q265,MAX(1,H265)))))</f>
        <v>188</v>
      </c>
      <c r="BZ265" s="53" t="n">
        <f aca="false">IF(BX265="LOSE",1,0)</f>
        <v>0</v>
      </c>
      <c r="CA265" s="53" t="n">
        <f aca="false">IF(AND(U265="",OR(P265="",P265="LOSE"),T265&lt;&gt;"",N(S265)&lt;=0,ISNUMBER(MATCH(T265,Parameter!$I$27:$I$29,0))),1,0)</f>
        <v>0</v>
      </c>
      <c r="CB265" s="53" t="n">
        <f aca="false">IF(CQ265&gt;0,INDEX(Parameter!$H$5:$H$7,W265)/INDEX(Parameter!$E$5:$E$7,W265),IF(AND(BZ265=0,N(IFERROR(VLOOKUP(BX265,'Gebinde-Kategorie'!$A$5:$N$45,14,0),0))&gt;0),VLOOKUP(BX265,'Gebinde-Kategorie'!$A$5:$N$45,14,0)*10+Parameter!$M$23,Parameter!$M$24))</f>
        <v>155</v>
      </c>
      <c r="CC265" s="48" t="str">
        <f aca="false">IF(AND(Parameter!$B$19="Ja",E265&lt;&gt;"",ISNUMBER(MATCH(E265,Parameter!$I$35:$I$52,0))),VLOOKUP(E265,Parameter!$I$35:$J$52,2,0),IFERROR(VLOOKUP(D265,Parameter!$A$35:$C$64,2,0),"Nein"))</f>
        <v>2+3</v>
      </c>
      <c r="CD265" s="52" t="n">
        <f aca="false">IF(BZ265=0,0,IF(N(S265)&gt;0,S265,IFERROR(VLOOKUP(D265,Parameter!$A$35:$C$64,3,0)+0,0)))</f>
        <v>0</v>
      </c>
      <c r="CE265" s="48" t="n">
        <f aca="false">IF(AA265&lt;&gt;"",AA265,Z265)</f>
        <v>3</v>
      </c>
      <c r="CF265" s="48" t="str">
        <f aca="false">IF(OR(CE265=1,CE265=2,CE265=3),IF(Parameter!$E$27="Ja","LIFT",IF(CE265=1,"L1","L23")),IF(CE265="Aussen","Aussen","-"))</f>
        <v>LIFT</v>
      </c>
      <c r="CG265" s="59" t="n">
        <f aca="false">IF(N(AB265)&gt;0,AB265,0)</f>
        <v>0</v>
      </c>
      <c r="CH265" s="53" t="n">
        <f aca="false">IF(ISNUMBER(AE265),1,0)</f>
        <v>0</v>
      </c>
      <c r="CI265" s="50" t="n">
        <f aca="false">N(AE265)</f>
        <v>0</v>
      </c>
      <c r="CJ265" s="50" t="n">
        <f aca="false">N(M265)+N(N265)</f>
        <v>121</v>
      </c>
      <c r="CK265" s="50" t="n">
        <f aca="false">N(M265)</f>
        <v>21</v>
      </c>
      <c r="CL265" s="50" t="n">
        <f aca="false">N(N265)</f>
        <v>100</v>
      </c>
      <c r="CM265" s="50" t="n">
        <f aca="false">ROUNDUP(H265/BY265,0)</f>
        <v>1</v>
      </c>
      <c r="CN265" s="50" t="n">
        <f aca="false">ROUNDUP(CI265/BY265,0)</f>
        <v>0</v>
      </c>
      <c r="CO265" s="53" t="n">
        <f aca="false">IF(BZ265=1,0,IFERROR(VLOOKUP(BX265,'Gebinde-Kategorie'!$A$5:$N$45,5,0)+0,0))</f>
        <v>11</v>
      </c>
      <c r="CP265" s="53" t="n">
        <f aca="false">IFERROR(IF(OR(CE265=1,CE265=2,CE265=3),N(INDEX(Parameter!$I$5:$I$7,CE265)),0),0)</f>
        <v>0</v>
      </c>
      <c r="CQ265" s="52" t="n">
        <f aca="false">IF(AND(Parameter!$B$21="Ja",ISNUMBER(W265),N(X265)&gt;0),IFERROR(N(INDEX(Parameter!$L$5:$L$7,W265))*INDEX(Parameter!$E$5:$E$7,W265)*X265/SUMIFS($X$7:$X$1843,$W$7:$W$1843,W265),0),0)</f>
        <v>0</v>
      </c>
    </row>
    <row r="266" customFormat="false" ht="15" hidden="false" customHeight="false" outlineLevel="0" collapsed="false">
      <c r="A266" s="48" t="s">
        <v>720</v>
      </c>
      <c r="B266" s="48" t="s">
        <v>383</v>
      </c>
      <c r="C266" s="48" t="s">
        <v>173</v>
      </c>
      <c r="D266" s="48" t="s">
        <v>193</v>
      </c>
      <c r="E266" s="48"/>
      <c r="F266" s="48" t="s">
        <v>227</v>
      </c>
      <c r="G266" s="49" t="n">
        <v>2.9</v>
      </c>
      <c r="H266" s="50" t="n">
        <f aca="false">MAX(0,IF(AND(Parameter!$B$21="Ja",ISNUMBER(Y266)),Y266,IF(Parameter!$B$20="Jahresanfang 2025 + Export",BR266+BQ266,BQ266)))</f>
        <v>148</v>
      </c>
      <c r="I266" s="50" t="n">
        <f aca="false">H266*G266</f>
        <v>429.2</v>
      </c>
      <c r="J266" s="50" t="n">
        <f aca="false">BT266*Parameter!$B$18</f>
        <v>40</v>
      </c>
      <c r="K266" s="51" t="n">
        <v>0</v>
      </c>
      <c r="L266" s="52" t="n">
        <v>0</v>
      </c>
      <c r="M266" s="50" t="n">
        <v>1</v>
      </c>
      <c r="N266" s="50" t="n">
        <v>40</v>
      </c>
      <c r="O266" s="53" t="n">
        <v>14</v>
      </c>
      <c r="P266" s="48" t="s">
        <v>430</v>
      </c>
      <c r="Q266" s="50" t="n">
        <v>40</v>
      </c>
      <c r="R266" s="53" t="n">
        <f aca="false">IF(BZ266=1,0,IFERROR(VLOOKUP(BX266,'Gebinde-Kategorie'!$A$5:$N$45,13,0)+0,0))</f>
        <v>104</v>
      </c>
      <c r="S266" s="54"/>
      <c r="T266" s="55"/>
      <c r="U266" s="55"/>
      <c r="V266" s="55"/>
      <c r="W266" s="48"/>
      <c r="X266" s="50"/>
      <c r="Y266" s="50"/>
      <c r="Z266" s="48" t="n">
        <f aca="false">IF(A266="","",IF(AND(Parameter!$B$21="Ja",ISNUMBER(W266)),W266,IF(CC266="2+3",IF(ISNUMBER(SEARCH("grosser Artikel",BU266)),2,IFERROR(VLOOKUP(BX266,Parameter!$F$35:$G$64,2,0),2)),IF(OR(CC266="Nein",CC266=""),"-",CC266))))</f>
        <v>3</v>
      </c>
      <c r="AA266" s="55"/>
      <c r="AB266" s="56"/>
      <c r="AC266" s="50" t="n">
        <f aca="false">AV266</f>
        <v>41</v>
      </c>
      <c r="AD266" s="50" t="n">
        <f aca="false">MAX(AV266,H266)</f>
        <v>148</v>
      </c>
      <c r="AE266" s="57"/>
      <c r="AF266" s="50" t="n">
        <f aca="false">IF(LEFT(Cockpit!$C$5,1)="A",H266,IF(Parameter!$E$30="MAX-Bestand",IF(CH266=1,CI266,IF(LEFT(Cockpit!$C$5,1)="B",AL266,MAX(AL266,H266))),ROUNDUP(AJ266,0)))</f>
        <v>148</v>
      </c>
      <c r="AG266" s="50" t="n">
        <f aca="false">IF(BZ266=1,0,ROUNDUP(AF266/BY266,0))</f>
        <v>4</v>
      </c>
      <c r="AH266" s="52" t="n">
        <f aca="false">IF(CQ266&gt;0,CQ266*MAX(1,AF266/X266),IF(BZ266=1,IF(AF266&lt;=0,0,CD266*MAX(1,IF(H266&gt;0,AF266/H266,1))),IF(R266&gt;0,AG266/R266,0))/MAX(0.1,N(Parameter!$M$21)))</f>
        <v>0.0384615384615385</v>
      </c>
      <c r="AI266" s="50" t="n">
        <f aca="false">AH266*CB266</f>
        <v>5.96153846153846</v>
      </c>
      <c r="AJ266" s="51" t="n">
        <f aca="false">IF(LEFT(Cockpit!$C$5,1)="A",H266,IF(CH266=1,(CK266+CI266)/2,IF(LEFT(Cockpit!$C$5,1)="B",(CK266+AL266)/2,MAX((CK266+AL266)/2,H266))))</f>
        <v>148</v>
      </c>
      <c r="AK266" s="50" t="n">
        <f aca="false">AJ266*G266</f>
        <v>429.2</v>
      </c>
      <c r="AL266" s="50" t="n">
        <f aca="false">ROUNDUP(CK266+MAX(CL266,2*(J266/IF(CG266&gt;0,CG266,MAX(0.1,N(Cockpit!$C$6)))-CK266)),0)</f>
        <v>41</v>
      </c>
      <c r="AM266" s="51" t="n">
        <f aca="false">IF(AI266&gt;0,J266/AI266,-1)</f>
        <v>6.70967741935484</v>
      </c>
      <c r="AN266" s="51" t="n">
        <f aca="false">IF(AND(OR(CF266="L1",CF266="L23",CF266="LIFT"),AI266&gt;0),SUMIFS($AI$7:$AI$1843,$CF$7:$CF$1843,CF266,$AM$7:$AM$1843,"&gt;"&amp;AM266)+SUMIFS($AI$7:$AI$1843,$CF$7:$CF$1843,CF266,$AM$7:$AM$1843,AM266,$BW$7:$BW$1843,"&lt;="&amp;BW266),"")</f>
        <v>3388.18177655678</v>
      </c>
      <c r="AO266" s="58" t="n">
        <f aca="false">IF(AN266="",0,MAX(0,MIN(1,(IF(CF266="L1",Parameter!$H$5,IF(CF266="L23",Parameter!$H$6+Parameter!$H$7,Parameter!$H$5+Parameter!$H$6+Parameter!$H$7))-(AN266-AI266))/AI266)))</f>
        <v>1</v>
      </c>
      <c r="AP266" s="50" t="n">
        <f aca="false">IF(LEFT(Cockpit!$I$5,1)="A",H266,IF(Parameter!$E$30="MAX-Bestand",IF(CH266=1,CI266,IF(LEFT(Cockpit!$I$5,1)="B",AV266,MAX(AV266,H266))),ROUNDUP(AT266,0)))</f>
        <v>148</v>
      </c>
      <c r="AQ266" s="50" t="n">
        <f aca="false">IF(BZ266=1,0,ROUNDUP(AP266/BY266,0))</f>
        <v>4</v>
      </c>
      <c r="AR266" s="52" t="n">
        <f aca="false">IF(CQ266&gt;0,CQ266*MAX(1,AP266/X266),IF(BZ266=1,IF(AP266&lt;=0,0,CD266*MAX(1,IF(H266&gt;0,AP266/H266,1))),IF(R266&gt;0,AQ266/R266,0))/MAX(0.1,N(Parameter!$M$21)))</f>
        <v>0.0384615384615385</v>
      </c>
      <c r="AS266" s="50" t="n">
        <f aca="false">AR266*CB266</f>
        <v>5.96153846153846</v>
      </c>
      <c r="AT266" s="51" t="n">
        <f aca="false">IF(LEFT(Cockpit!$I$5,1)="A",H266,IF(CH266=1,(CK266+CI266)/2,IF(LEFT(Cockpit!$I$5,1)="B",(CK266+AV266)/2,MAX((CK266+AV266)/2,H266))))</f>
        <v>148</v>
      </c>
      <c r="AU266" s="50" t="n">
        <f aca="false">AT266*G266</f>
        <v>429.2</v>
      </c>
      <c r="AV266" s="50" t="n">
        <f aca="false">ROUNDUP(CK266+MAX(CL266,2*(J266/IF(CG266&gt;0,CG266,MAX(0.1,N(Cockpit!$I$6)))-CK266)),0)</f>
        <v>41</v>
      </c>
      <c r="AW266" s="51" t="n">
        <f aca="false">IF(AS266&gt;0,J266/AS266,-1)</f>
        <v>6.70967741935484</v>
      </c>
      <c r="AX266" s="51" t="n">
        <f aca="false">IF(AND(OR(CF266="L1",CF266="L23",CF266="LIFT"),AS266&gt;0),SUMIFS($AS$7:$AS$1843,$CF$7:$CF$1843,CF266,$AW$7:$AW$1843,"&gt;"&amp;AW266)+SUMIFS($AS$7:$AS$1843,$CF$7:$CF$1843,CF266,$AW$7:$AW$1843,AW266,$BW$7:$BW$1843,"&lt;="&amp;BW266),"")</f>
        <v>4105.99313186813</v>
      </c>
      <c r="AY266" s="58" t="n">
        <f aca="false">IF(AX266="",0,MAX(0,MIN(1,(IF(CF266="L1",Parameter!$H$5,IF(CF266="L23",Parameter!$H$6+Parameter!$H$7,Parameter!$H$5+Parameter!$H$6+Parameter!$H$7))-(AX266-AS266))/AS266)))</f>
        <v>1</v>
      </c>
      <c r="AZ266" s="50" t="n">
        <f aca="false">IF(LEFT(Cockpit!$O$5,1)="A",H266,IF(Parameter!$E$30="MAX-Bestand",IF(CH266=1,CI266,IF(LEFT(Cockpit!$O$5,1)="B",BF266,MAX(BF266,H266))),ROUNDUP(BD266,0)))</f>
        <v>21</v>
      </c>
      <c r="BA266" s="50" t="n">
        <f aca="false">IF(BZ266=1,0,ROUNDUP(AZ266/BY266,0))</f>
        <v>1</v>
      </c>
      <c r="BB266" s="52" t="n">
        <f aca="false">IF(CQ266&gt;0,CQ266*MAX(1,AZ266/X266),IF(BZ266=1,IF(AZ266&lt;=0,0,CD266*MAX(1,IF(H266&gt;0,AZ266/H266,1))),IF(R266&gt;0,BA266/R266,0))/MAX(0.1,N(Parameter!$M$21)))</f>
        <v>0.00961538461538462</v>
      </c>
      <c r="BC266" s="50" t="n">
        <f aca="false">BB266*CB266</f>
        <v>1.49038461538462</v>
      </c>
      <c r="BD266" s="51" t="n">
        <f aca="false">IF(LEFT(Cockpit!$O$5,1)="A",H266,IF(CH266=1,(CK266+CI266)/2,IF(LEFT(Cockpit!$O$5,1)="B",(CK266+BF266)/2,MAX((CK266+BF266)/2,H266))))</f>
        <v>21</v>
      </c>
      <c r="BE266" s="50" t="n">
        <f aca="false">BD266*G266</f>
        <v>60.9</v>
      </c>
      <c r="BF266" s="50" t="n">
        <f aca="false">ROUNDUP(CK266+MAX(CL266,2*(J266/IF(CG266&gt;0,CG266,MAX(0.1,N(Cockpit!$O$6)))-CK266)),0)</f>
        <v>41</v>
      </c>
      <c r="BG266" s="51" t="n">
        <f aca="false">IF(BC266&gt;0,J266/BC266,-1)</f>
        <v>26.8387096774194</v>
      </c>
      <c r="BH266" s="51" t="n">
        <f aca="false">IF(AND(OR(CF266="L1",CF266="L23",CF266="LIFT"),BC266&gt;0),SUMIFS($BC$7:$BC$1843,$CF$7:$CF$1843,CF266,$BG$7:$BG$1843,"&gt;"&amp;BG266)+SUMIFS($BC$7:$BC$1843,$CF$7:$CF$1843,CF266,$BG$7:$BG$1843,BG266,$BW$7:$BW$1843,"&lt;="&amp;BW266),"")</f>
        <v>1948.7847985348</v>
      </c>
      <c r="BI266" s="58" t="n">
        <f aca="false">IF(BH266="",0,MAX(0,MIN(1,(IF(CF266="L1",Parameter!$H$5,IF(CF266="L23",Parameter!$H$6+Parameter!$H$7,Parameter!$H$5+Parameter!$H$6+Parameter!$H$7))-(BH266-BC266))/BC266)))</f>
        <v>1</v>
      </c>
      <c r="BJ266" s="48" t="str">
        <f aca="false">IF(AI266&lt;=0,"",IF(CF266="Aussen","Aussenlager",IF(CF266="-","Nicht im Lift",IF(AO266&gt;=1,"Lift",IF(AO266&lt;=0,"Aussenlager","teilweise")))))</f>
        <v>Lift</v>
      </c>
      <c r="BK266" s="48" t="str">
        <f aca="false">IF(AS266&lt;=0,"",IF(CF266="Aussen","Aussenlager",IF(CF266="-","Nicht im Lift",IF(AY266&gt;=1,"Lift",IF(AY266&lt;=0,"Aussenlager","teilweise")))))</f>
        <v>Lift</v>
      </c>
      <c r="BL266" s="48" t="str">
        <f aca="false">IF(BC266&lt;=0,"",IF(CF266="Aussen","Aussenlager",IF(CF266="-","Nicht im Lift",IF(BI266&gt;=1,"Lift",IF(BI266&lt;=0,"Aussenlager","teilweise")))))</f>
        <v>Lift</v>
      </c>
      <c r="BM266" s="48" t="str">
        <f aca="false">IF(A266="","",IF(BV266=1,"Neu; ","")&amp;IF(AND(BV266=0,BQ266&lt;0),"negativer Bestand (Export "&amp;BQ266&amp;"); ","")&amp;IF(J266&lt;=0,"Kein Verbrauch; ","")&amp;IF(CQ266&gt;0,"Lift "&amp;W266&amp;" lt. Liftbericht (Fach "&amp;X266&amp;" Stk); ",IF(CA266=1,"Gebinde geschätzt ("&amp;T266&amp;"); ",IF(BZ266=1,"Lose – Tablare geschätzt; ","")))&amp;IF(H266&gt;AV266,"Überbestand "&amp;ROUND(H266-AV266,0)&amp;" Stk / CHF "&amp;ROUND((H266-AV266)*G266,0)&amp;"; ","")&amp;IF(AND(CH266=1,CI266&lt;CJ266),"MAX &lt; MB+LG; ","")&amp;IF(AND(CP266&gt;0,CO266*10&gt;CP266),"zu hoch für Tablar; ","")&amp;IF(AND(BV266=0,OR(CH266=1,AA266&lt;&gt;"",U266&lt;&gt;"",V266&lt;&gt;"",AB266&lt;&gt;"")),"manuell übersteuert; ","")&amp;IF(AND(BZ266=0,R266=0),"Gebinde unbekannt / Stellmass fehlt; ","")&amp;IF(AND(BZ266=0,N(V266)&lt;=0,N(Q266)&lt;=0),"Menge pro Gebinde fehlt (Ist = 1 Gebinde); ","")&amp;BU266)</f>
        <v>Überbestand 107 Stk / CHF 310; </v>
      </c>
      <c r="BN266" s="48"/>
      <c r="BO266" s="48"/>
      <c r="BP266" s="55"/>
      <c r="BQ266" s="50" t="n">
        <v>148</v>
      </c>
      <c r="BR266" s="50" t="n">
        <v>0</v>
      </c>
      <c r="BS266" s="49" t="n">
        <v>429.2</v>
      </c>
      <c r="BT266" s="50" t="n">
        <v>40</v>
      </c>
      <c r="BU266" s="48"/>
      <c r="BV266" s="53" t="n">
        <v>0</v>
      </c>
      <c r="BW266" s="53" t="n">
        <v>266</v>
      </c>
      <c r="BX266" s="48" t="str">
        <f aca="false">IF(U266&lt;&gt;"",UPPER(TRIM(U266)),IF(CA266=1,UPPER(VLOOKUP(T266,Parameter!$I$27:$K$29,2,0)),IF(P266="","LOSE",P266)))</f>
        <v>S32</v>
      </c>
      <c r="BY266" s="50" t="n">
        <f aca="false">IF(BX266="LOSE",1,IF(N(V266)&gt;0,V266,IF(CA266=1,MAX(1,N(VLOOKUP(T266,Parameter!$I$27:$K$29,3,0)),H266,N(N266)),IF(N(Q266)&gt;0,Q266,MAX(1,H266)))))</f>
        <v>40</v>
      </c>
      <c r="BZ266" s="53" t="n">
        <f aca="false">IF(BX266="LOSE",1,0)</f>
        <v>0</v>
      </c>
      <c r="CA266" s="53" t="n">
        <f aca="false">IF(AND(U266="",OR(P266="",P266="LOSE"),T266&lt;&gt;"",N(S266)&lt;=0,ISNUMBER(MATCH(T266,Parameter!$I$27:$I$29,0))),1,0)</f>
        <v>0</v>
      </c>
      <c r="CB266" s="53" t="n">
        <f aca="false">IF(CQ266&gt;0,INDEX(Parameter!$H$5:$H$7,W266)/INDEX(Parameter!$E$5:$E$7,W266),IF(AND(BZ266=0,N(IFERROR(VLOOKUP(BX266,'Gebinde-Kategorie'!$A$5:$N$45,14,0),0))&gt;0),VLOOKUP(BX266,'Gebinde-Kategorie'!$A$5:$N$45,14,0)*10+Parameter!$M$23,Parameter!$M$24))</f>
        <v>155</v>
      </c>
      <c r="CC266" s="48" t="str">
        <f aca="false">IF(AND(Parameter!$B$19="Ja",E266&lt;&gt;"",ISNUMBER(MATCH(E266,Parameter!$I$35:$I$52,0))),VLOOKUP(E266,Parameter!$I$35:$J$52,2,0),IFERROR(VLOOKUP(D266,Parameter!$A$35:$C$64,2,0),"Nein"))</f>
        <v>2+3</v>
      </c>
      <c r="CD266" s="52" t="n">
        <f aca="false">IF(BZ266=0,0,IF(N(S266)&gt;0,S266,IFERROR(VLOOKUP(D266,Parameter!$A$35:$C$64,3,0)+0,0)))</f>
        <v>0</v>
      </c>
      <c r="CE266" s="48" t="n">
        <f aca="false">IF(AA266&lt;&gt;"",AA266,Z266)</f>
        <v>3</v>
      </c>
      <c r="CF266" s="48" t="str">
        <f aca="false">IF(OR(CE266=1,CE266=2,CE266=3),IF(Parameter!$E$27="Ja","LIFT",IF(CE266=1,"L1","L23")),IF(CE266="Aussen","Aussen","-"))</f>
        <v>LIFT</v>
      </c>
      <c r="CG266" s="59" t="n">
        <f aca="false">IF(N(AB266)&gt;0,AB266,0)</f>
        <v>0</v>
      </c>
      <c r="CH266" s="53" t="n">
        <f aca="false">IF(ISNUMBER(AE266),1,0)</f>
        <v>0</v>
      </c>
      <c r="CI266" s="50" t="n">
        <f aca="false">N(AE266)</f>
        <v>0</v>
      </c>
      <c r="CJ266" s="50" t="n">
        <f aca="false">N(M266)+N(N266)</f>
        <v>41</v>
      </c>
      <c r="CK266" s="50" t="n">
        <f aca="false">N(M266)</f>
        <v>1</v>
      </c>
      <c r="CL266" s="50" t="n">
        <f aca="false">N(N266)</f>
        <v>40</v>
      </c>
      <c r="CM266" s="50" t="n">
        <f aca="false">ROUNDUP(H266/BY266,0)</f>
        <v>4</v>
      </c>
      <c r="CN266" s="50" t="n">
        <f aca="false">ROUNDUP(CI266/BY266,0)</f>
        <v>0</v>
      </c>
      <c r="CO266" s="53" t="n">
        <f aca="false">IF(BZ266=1,0,IFERROR(VLOOKUP(BX266,'Gebinde-Kategorie'!$A$5:$N$45,5,0)+0,0))</f>
        <v>8</v>
      </c>
      <c r="CP266" s="53" t="n">
        <f aca="false">IFERROR(IF(OR(CE266=1,CE266=2,CE266=3),N(INDEX(Parameter!$I$5:$I$7,CE266)),0),0)</f>
        <v>0</v>
      </c>
      <c r="CQ266" s="52" t="n">
        <f aca="false">IF(AND(Parameter!$B$21="Ja",ISNUMBER(W266),N(X266)&gt;0),IFERROR(N(INDEX(Parameter!$L$5:$L$7,W266))*INDEX(Parameter!$E$5:$E$7,W266)*X266/SUMIFS($X$7:$X$1843,$W$7:$W$1843,W266),0),0)</f>
        <v>0</v>
      </c>
    </row>
    <row r="267" customFormat="false" ht="15" hidden="false" customHeight="false" outlineLevel="0" collapsed="false">
      <c r="A267" s="48" t="s">
        <v>721</v>
      </c>
      <c r="B267" s="48" t="s">
        <v>722</v>
      </c>
      <c r="C267" s="48" t="s">
        <v>173</v>
      </c>
      <c r="D267" s="48" t="s">
        <v>193</v>
      </c>
      <c r="E267" s="48" t="s">
        <v>194</v>
      </c>
      <c r="F267" s="48" t="s">
        <v>227</v>
      </c>
      <c r="G267" s="49" t="n">
        <v>1.77</v>
      </c>
      <c r="H267" s="50" t="n">
        <f aca="false">MAX(0,IF(AND(Parameter!$B$21="Ja",ISNUMBER(Y267)),Y267,IF(Parameter!$B$20="Jahresanfang 2025 + Export",BR267+BQ267,BQ267)))</f>
        <v>315</v>
      </c>
      <c r="I267" s="50" t="n">
        <f aca="false">H267*G267</f>
        <v>557.55</v>
      </c>
      <c r="J267" s="50" t="n">
        <f aca="false">BT267*Parameter!$B$18</f>
        <v>258</v>
      </c>
      <c r="K267" s="51" t="n">
        <v>92</v>
      </c>
      <c r="L267" s="52" t="n">
        <v>2.80434782608696</v>
      </c>
      <c r="M267" s="50" t="n">
        <v>15</v>
      </c>
      <c r="N267" s="50" t="n">
        <v>300</v>
      </c>
      <c r="O267" s="53" t="n">
        <v>21</v>
      </c>
      <c r="P267" s="48" t="s">
        <v>430</v>
      </c>
      <c r="Q267" s="50" t="n">
        <v>241</v>
      </c>
      <c r="R267" s="53" t="n">
        <f aca="false">IF(BZ267=1,0,IFERROR(VLOOKUP(BX267,'Gebinde-Kategorie'!$A$5:$N$45,13,0)+0,0))</f>
        <v>104</v>
      </c>
      <c r="S267" s="54"/>
      <c r="T267" s="55"/>
      <c r="U267" s="55"/>
      <c r="V267" s="55"/>
      <c r="W267" s="48"/>
      <c r="X267" s="50"/>
      <c r="Y267" s="50"/>
      <c r="Z267" s="48" t="n">
        <f aca="false">IF(A267="","",IF(AND(Parameter!$B$21="Ja",ISNUMBER(W267)),W267,IF(CC267="2+3",IF(ISNUMBER(SEARCH("grosser Artikel",BU267)),2,IFERROR(VLOOKUP(BX267,Parameter!$F$35:$G$64,2,0),2)),IF(OR(CC267="Nein",CC267=""),"-",CC267))))</f>
        <v>3</v>
      </c>
      <c r="AA267" s="55"/>
      <c r="AB267" s="56"/>
      <c r="AC267" s="50" t="n">
        <f aca="false">AV267</f>
        <v>315</v>
      </c>
      <c r="AD267" s="50" t="n">
        <f aca="false">MAX(AV267,H267)</f>
        <v>315</v>
      </c>
      <c r="AE267" s="57"/>
      <c r="AF267" s="50" t="n">
        <f aca="false">IF(LEFT(Cockpit!$C$5,1)="A",H267,IF(Parameter!$E$30="MAX-Bestand",IF(CH267=1,CI267,IF(LEFT(Cockpit!$C$5,1)="B",AL267,MAX(AL267,H267))),ROUNDUP(AJ267,0)))</f>
        <v>315</v>
      </c>
      <c r="AG267" s="50" t="n">
        <f aca="false">IF(BZ267=1,0,ROUNDUP(AF267/BY267,0))</f>
        <v>2</v>
      </c>
      <c r="AH267" s="52" t="n">
        <f aca="false">IF(CQ267&gt;0,CQ267*MAX(1,AF267/X267),IF(BZ267=1,IF(AF267&lt;=0,0,CD267*MAX(1,IF(H267&gt;0,AF267/H267,1))),IF(R267&gt;0,AG267/R267,0))/MAX(0.1,N(Parameter!$M$21)))</f>
        <v>0.0192307692307692</v>
      </c>
      <c r="AI267" s="50" t="n">
        <f aca="false">AH267*CB267</f>
        <v>2.98076923076923</v>
      </c>
      <c r="AJ267" s="51" t="n">
        <f aca="false">IF(LEFT(Cockpit!$C$5,1)="A",H267,IF(CH267=1,(CK267+CI267)/2,IF(LEFT(Cockpit!$C$5,1)="B",(CK267+AL267)/2,MAX((CK267+AL267)/2,H267))))</f>
        <v>315</v>
      </c>
      <c r="AK267" s="50" t="n">
        <f aca="false">AJ267*G267</f>
        <v>557.55</v>
      </c>
      <c r="AL267" s="50" t="n">
        <f aca="false">ROUNDUP(CK267+MAX(CL267,2*(J267/IF(CG267&gt;0,CG267,MAX(0.1,N(Cockpit!$C$6)))-CK267)),0)</f>
        <v>315</v>
      </c>
      <c r="AM267" s="51" t="n">
        <f aca="false">IF(AI267&gt;0,J267/AI267,-1)</f>
        <v>86.5548387096774</v>
      </c>
      <c r="AN267" s="51" t="n">
        <f aca="false">IF(AND(OR(CF267="L1",CF267="L23",CF267="LIFT"),AI267&gt;0),SUMIFS($AI$7:$AI$1843,$CF$7:$CF$1843,CF267,$AM$7:$AM$1843,"&gt;"&amp;AM267)+SUMIFS($AI$7:$AI$1843,$CF$7:$CF$1843,CF267,$AM$7:$AM$1843,AM267,$BW$7:$BW$1843,"&lt;="&amp;BW267),"")</f>
        <v>833.896978021978</v>
      </c>
      <c r="AO267" s="58" t="n">
        <f aca="false">IF(AN267="",0,MAX(0,MIN(1,(IF(CF267="L1",Parameter!$H$5,IF(CF267="L23",Parameter!$H$6+Parameter!$H$7,Parameter!$H$5+Parameter!$H$6+Parameter!$H$7))-(AN267-AI267))/AI267)))</f>
        <v>1</v>
      </c>
      <c r="AP267" s="50" t="n">
        <f aca="false">IF(LEFT(Cockpit!$I$5,1)="A",H267,IF(Parameter!$E$30="MAX-Bestand",IF(CH267=1,CI267,IF(LEFT(Cockpit!$I$5,1)="B",AV267,MAX(AV267,H267))),ROUNDUP(AT267,0)))</f>
        <v>315</v>
      </c>
      <c r="AQ267" s="50" t="n">
        <f aca="false">IF(BZ267=1,0,ROUNDUP(AP267/BY267,0))</f>
        <v>2</v>
      </c>
      <c r="AR267" s="52" t="n">
        <f aca="false">IF(CQ267&gt;0,CQ267*MAX(1,AP267/X267),IF(BZ267=1,IF(AP267&lt;=0,0,CD267*MAX(1,IF(H267&gt;0,AP267/H267,1))),IF(R267&gt;0,AQ267/R267,0))/MAX(0.1,N(Parameter!$M$21)))</f>
        <v>0.0192307692307692</v>
      </c>
      <c r="AS267" s="50" t="n">
        <f aca="false">AR267*CB267</f>
        <v>2.98076923076923</v>
      </c>
      <c r="AT267" s="51" t="n">
        <f aca="false">IF(LEFT(Cockpit!$I$5,1)="A",H267,IF(CH267=1,(CK267+CI267)/2,IF(LEFT(Cockpit!$I$5,1)="B",(CK267+AV267)/2,MAX((CK267+AV267)/2,H267))))</f>
        <v>315</v>
      </c>
      <c r="AU267" s="50" t="n">
        <f aca="false">AT267*G267</f>
        <v>557.55</v>
      </c>
      <c r="AV267" s="50" t="n">
        <f aca="false">ROUNDUP(CK267+MAX(CL267,2*(J267/IF(CG267&gt;0,CG267,MAX(0.1,N(Cockpit!$I$6)))-CK267)),0)</f>
        <v>315</v>
      </c>
      <c r="AW267" s="51" t="n">
        <f aca="false">IF(AS267&gt;0,J267/AS267,-1)</f>
        <v>86.5548387096774</v>
      </c>
      <c r="AX267" s="51" t="n">
        <f aca="false">IF(AND(OR(CF267="L1",CF267="L23",CF267="LIFT"),AS267&gt;0),SUMIFS($AS$7:$AS$1843,$CF$7:$CF$1843,CF267,$AW$7:$AW$1843,"&gt;"&amp;AW267)+SUMIFS($AS$7:$AS$1843,$CF$7:$CF$1843,CF267,$AW$7:$AW$1843,AW267,$BW$7:$BW$1843,"&lt;="&amp;BW267),"")</f>
        <v>1046.80906593407</v>
      </c>
      <c r="AY267" s="58" t="n">
        <f aca="false">IF(AX267="",0,MAX(0,MIN(1,(IF(CF267="L1",Parameter!$H$5,IF(CF267="L23",Parameter!$H$6+Parameter!$H$7,Parameter!$H$5+Parameter!$H$6+Parameter!$H$7))-(AX267-AS267))/AS267)))</f>
        <v>1</v>
      </c>
      <c r="AZ267" s="50" t="n">
        <f aca="false">IF(LEFT(Cockpit!$O$5,1)="A",H267,IF(Parameter!$E$30="MAX-Bestand",IF(CH267=1,CI267,IF(LEFT(Cockpit!$O$5,1)="B",BF267,MAX(BF267,H267))),ROUNDUP(BD267,0)))</f>
        <v>165</v>
      </c>
      <c r="BA267" s="50" t="n">
        <f aca="false">IF(BZ267=1,0,ROUNDUP(AZ267/BY267,0))</f>
        <v>1</v>
      </c>
      <c r="BB267" s="52" t="n">
        <f aca="false">IF(CQ267&gt;0,CQ267*MAX(1,AZ267/X267),IF(BZ267=1,IF(AZ267&lt;=0,0,CD267*MAX(1,IF(H267&gt;0,AZ267/H267,1))),IF(R267&gt;0,BA267/R267,0))/MAX(0.1,N(Parameter!$M$21)))</f>
        <v>0.00961538461538462</v>
      </c>
      <c r="BC267" s="50" t="n">
        <f aca="false">BB267*CB267</f>
        <v>1.49038461538462</v>
      </c>
      <c r="BD267" s="51" t="n">
        <f aca="false">IF(LEFT(Cockpit!$O$5,1)="A",H267,IF(CH267=1,(CK267+CI267)/2,IF(LEFT(Cockpit!$O$5,1)="B",(CK267+BF267)/2,MAX((CK267+BF267)/2,H267))))</f>
        <v>165</v>
      </c>
      <c r="BE267" s="50" t="n">
        <f aca="false">BD267*G267</f>
        <v>292.05</v>
      </c>
      <c r="BF267" s="50" t="n">
        <f aca="false">ROUNDUP(CK267+MAX(CL267,2*(J267/IF(CG267&gt;0,CG267,MAX(0.1,N(Cockpit!$O$6)))-CK267)),0)</f>
        <v>315</v>
      </c>
      <c r="BG267" s="51" t="n">
        <f aca="false">IF(BC267&gt;0,J267/BC267,-1)</f>
        <v>173.109677419355</v>
      </c>
      <c r="BH267" s="51" t="n">
        <f aca="false">IF(AND(OR(CF267="L1",CF267="L23",CF267="LIFT"),BC267&gt;0),SUMIFS($BC$7:$BC$1843,$CF$7:$CF$1843,CF267,$BG$7:$BG$1843,"&gt;"&amp;BG267)+SUMIFS($BC$7:$BC$1843,$CF$7:$CF$1843,CF267,$BG$7:$BG$1843,BG267,$BW$7:$BW$1843,"&lt;="&amp;BW267),"")</f>
        <v>515.56043956044</v>
      </c>
      <c r="BI267" s="58" t="n">
        <f aca="false">IF(BH267="",0,MAX(0,MIN(1,(IF(CF267="L1",Parameter!$H$5,IF(CF267="L23",Parameter!$H$6+Parameter!$H$7,Parameter!$H$5+Parameter!$H$6+Parameter!$H$7))-(BH267-BC267))/BC267)))</f>
        <v>1</v>
      </c>
      <c r="BJ267" s="48" t="str">
        <f aca="false">IF(AI267&lt;=0,"",IF(CF267="Aussen","Aussenlager",IF(CF267="-","Nicht im Lift",IF(AO267&gt;=1,"Lift",IF(AO267&lt;=0,"Aussenlager","teilweise")))))</f>
        <v>Lift</v>
      </c>
      <c r="BK267" s="48" t="str">
        <f aca="false">IF(AS267&lt;=0,"",IF(CF267="Aussen","Aussenlager",IF(CF267="-","Nicht im Lift",IF(AY267&gt;=1,"Lift",IF(AY267&lt;=0,"Aussenlager","teilweise")))))</f>
        <v>Lift</v>
      </c>
      <c r="BL267" s="48" t="str">
        <f aca="false">IF(BC267&lt;=0,"",IF(CF267="Aussen","Aussenlager",IF(CF267="-","Nicht im Lift",IF(BI267&gt;=1,"Lift",IF(BI267&lt;=0,"Aussenlager","teilweise")))))</f>
        <v>Lift</v>
      </c>
      <c r="BM267" s="48" t="str">
        <f aca="false">IF(A267="","",IF(BV267=1,"Neu; ","")&amp;IF(AND(BV267=0,BQ267&lt;0),"negativer Bestand (Export "&amp;BQ267&amp;"); ","")&amp;IF(J267&lt;=0,"Kein Verbrauch; ","")&amp;IF(CQ267&gt;0,"Lift "&amp;W267&amp;" lt. Liftbericht (Fach "&amp;X267&amp;" Stk); ",IF(CA267=1,"Gebinde geschätzt ("&amp;T267&amp;"); ",IF(BZ267=1,"Lose – Tablare geschätzt; ","")))&amp;IF(H267&gt;AV267,"Überbestand "&amp;ROUND(H267-AV267,0)&amp;" Stk / CHF "&amp;ROUND((H267-AV267)*G267,0)&amp;"; ","")&amp;IF(AND(CH267=1,CI267&lt;CJ267),"MAX &lt; MB+LG; ","")&amp;IF(AND(CP267&gt;0,CO267*10&gt;CP267),"zu hoch für Tablar; ","")&amp;IF(AND(BV267=0,OR(CH267=1,AA267&lt;&gt;"",U267&lt;&gt;"",V267&lt;&gt;"",AB267&lt;&gt;"")),"manuell übersteuert; ","")&amp;IF(AND(BZ267=0,R267=0),"Gebinde unbekannt / Stellmass fehlt; ","")&amp;IF(AND(BZ267=0,N(V267)&lt;=0,N(Q267)&lt;=0),"Menge pro Gebinde fehlt (Ist = 1 Gebinde); ","")&amp;BU267)</f>
        <v/>
      </c>
      <c r="BN267" s="48"/>
      <c r="BO267" s="48"/>
      <c r="BP267" s="55"/>
      <c r="BQ267" s="50" t="n">
        <v>242</v>
      </c>
      <c r="BR267" s="50" t="n">
        <v>73</v>
      </c>
      <c r="BS267" s="49" t="n">
        <v>426.15</v>
      </c>
      <c r="BT267" s="50" t="n">
        <v>258</v>
      </c>
      <c r="BU267" s="48"/>
      <c r="BV267" s="53" t="n">
        <v>0</v>
      </c>
      <c r="BW267" s="53" t="n">
        <v>267</v>
      </c>
      <c r="BX267" s="48" t="str">
        <f aca="false">IF(U267&lt;&gt;"",UPPER(TRIM(U267)),IF(CA267=1,UPPER(VLOOKUP(T267,Parameter!$I$27:$K$29,2,0)),IF(P267="","LOSE",P267)))</f>
        <v>S32</v>
      </c>
      <c r="BY267" s="50" t="n">
        <f aca="false">IF(BX267="LOSE",1,IF(N(V267)&gt;0,V267,IF(CA267=1,MAX(1,N(VLOOKUP(T267,Parameter!$I$27:$K$29,3,0)),H267,N(N267)),IF(N(Q267)&gt;0,Q267,MAX(1,H267)))))</f>
        <v>241</v>
      </c>
      <c r="BZ267" s="53" t="n">
        <f aca="false">IF(BX267="LOSE",1,0)</f>
        <v>0</v>
      </c>
      <c r="CA267" s="53" t="n">
        <f aca="false">IF(AND(U267="",OR(P267="",P267="LOSE"),T267&lt;&gt;"",N(S267)&lt;=0,ISNUMBER(MATCH(T267,Parameter!$I$27:$I$29,0))),1,0)</f>
        <v>0</v>
      </c>
      <c r="CB267" s="53" t="n">
        <f aca="false">IF(CQ267&gt;0,INDEX(Parameter!$H$5:$H$7,W267)/INDEX(Parameter!$E$5:$E$7,W267),IF(AND(BZ267=0,N(IFERROR(VLOOKUP(BX267,'Gebinde-Kategorie'!$A$5:$N$45,14,0),0))&gt;0),VLOOKUP(BX267,'Gebinde-Kategorie'!$A$5:$N$45,14,0)*10+Parameter!$M$23,Parameter!$M$24))</f>
        <v>155</v>
      </c>
      <c r="CC267" s="48" t="str">
        <f aca="false">IF(AND(Parameter!$B$19="Ja",E267&lt;&gt;"",ISNUMBER(MATCH(E267,Parameter!$I$35:$I$52,0))),VLOOKUP(E267,Parameter!$I$35:$J$52,2,0),IFERROR(VLOOKUP(D267,Parameter!$A$35:$C$64,2,0),"Nein"))</f>
        <v>2+3</v>
      </c>
      <c r="CD267" s="52" t="n">
        <f aca="false">IF(BZ267=0,0,IF(N(S267)&gt;0,S267,IFERROR(VLOOKUP(D267,Parameter!$A$35:$C$64,3,0)+0,0)))</f>
        <v>0</v>
      </c>
      <c r="CE267" s="48" t="n">
        <f aca="false">IF(AA267&lt;&gt;"",AA267,Z267)</f>
        <v>3</v>
      </c>
      <c r="CF267" s="48" t="str">
        <f aca="false">IF(OR(CE267=1,CE267=2,CE267=3),IF(Parameter!$E$27="Ja","LIFT",IF(CE267=1,"L1","L23")),IF(CE267="Aussen","Aussen","-"))</f>
        <v>LIFT</v>
      </c>
      <c r="CG267" s="59" t="n">
        <f aca="false">IF(N(AB267)&gt;0,AB267,0)</f>
        <v>0</v>
      </c>
      <c r="CH267" s="53" t="n">
        <f aca="false">IF(ISNUMBER(AE267),1,0)</f>
        <v>0</v>
      </c>
      <c r="CI267" s="50" t="n">
        <f aca="false">N(AE267)</f>
        <v>0</v>
      </c>
      <c r="CJ267" s="50" t="n">
        <f aca="false">N(M267)+N(N267)</f>
        <v>315</v>
      </c>
      <c r="CK267" s="50" t="n">
        <f aca="false">N(M267)</f>
        <v>15</v>
      </c>
      <c r="CL267" s="50" t="n">
        <f aca="false">N(N267)</f>
        <v>300</v>
      </c>
      <c r="CM267" s="50" t="n">
        <f aca="false">ROUNDUP(H267/BY267,0)</f>
        <v>2</v>
      </c>
      <c r="CN267" s="50" t="n">
        <f aca="false">ROUNDUP(CI267/BY267,0)</f>
        <v>0</v>
      </c>
      <c r="CO267" s="53" t="n">
        <f aca="false">IF(BZ267=1,0,IFERROR(VLOOKUP(BX267,'Gebinde-Kategorie'!$A$5:$N$45,5,0)+0,0))</f>
        <v>8</v>
      </c>
      <c r="CP267" s="53" t="n">
        <f aca="false">IFERROR(IF(OR(CE267=1,CE267=2,CE267=3),N(INDEX(Parameter!$I$5:$I$7,CE267)),0),0)</f>
        <v>0</v>
      </c>
      <c r="CQ267" s="52" t="n">
        <f aca="false">IF(AND(Parameter!$B$21="Ja",ISNUMBER(W267),N(X267)&gt;0),IFERROR(N(INDEX(Parameter!$L$5:$L$7,W267))*INDEX(Parameter!$E$5:$E$7,W267)*X267/SUMIFS($X$7:$X$1843,$W$7:$W$1843,W267),0),0)</f>
        <v>0</v>
      </c>
    </row>
    <row r="268" customFormat="false" ht="15" hidden="false" customHeight="false" outlineLevel="0" collapsed="false">
      <c r="A268" s="48" t="s">
        <v>723</v>
      </c>
      <c r="B268" s="48" t="s">
        <v>724</v>
      </c>
      <c r="C268" s="48" t="s">
        <v>173</v>
      </c>
      <c r="D268" s="48" t="s">
        <v>193</v>
      </c>
      <c r="E268" s="48" t="s">
        <v>194</v>
      </c>
      <c r="F268" s="48" t="s">
        <v>227</v>
      </c>
      <c r="G268" s="49" t="n">
        <v>21.54</v>
      </c>
      <c r="H268" s="50" t="n">
        <f aca="false">MAX(0,IF(AND(Parameter!$B$21="Ja",ISNUMBER(Y268)),Y268,IF(Parameter!$B$20="Jahresanfang 2025 + Export",BR268+BQ268,BQ268)))</f>
        <v>67</v>
      </c>
      <c r="I268" s="50" t="n">
        <f aca="false">H268*G268</f>
        <v>1443.18</v>
      </c>
      <c r="J268" s="50" t="n">
        <f aca="false">BT268*Parameter!$B$18</f>
        <v>58</v>
      </c>
      <c r="K268" s="51" t="n">
        <v>42</v>
      </c>
      <c r="L268" s="52" t="n">
        <v>1.38095238095238</v>
      </c>
      <c r="M268" s="50" t="n">
        <v>4</v>
      </c>
      <c r="N268" s="50" t="n">
        <v>60</v>
      </c>
      <c r="O268" s="53" t="n">
        <v>28</v>
      </c>
      <c r="P268" s="48" t="s">
        <v>302</v>
      </c>
      <c r="Q268" s="50" t="n">
        <v>28</v>
      </c>
      <c r="R268" s="53" t="n">
        <f aca="false">IF(BZ268=1,0,IFERROR(VLOOKUP(BX268,'Gebinde-Kategorie'!$A$5:$N$45,13,0)+0,0))</f>
        <v>12</v>
      </c>
      <c r="S268" s="54"/>
      <c r="T268" s="55"/>
      <c r="U268" s="55"/>
      <c r="V268" s="55"/>
      <c r="W268" s="48"/>
      <c r="X268" s="50"/>
      <c r="Y268" s="50"/>
      <c r="Z268" s="48" t="n">
        <f aca="false">IF(A268="","",IF(AND(Parameter!$B$21="Ja",ISNUMBER(W268)),W268,IF(CC268="2+3",IF(ISNUMBER(SEARCH("grosser Artikel",BU268)),2,IFERROR(VLOOKUP(BX268,Parameter!$F$35:$G$64,2,0),2)),IF(OR(CC268="Nein",CC268=""),"-",CC268))))</f>
        <v>2</v>
      </c>
      <c r="AA268" s="55"/>
      <c r="AB268" s="56"/>
      <c r="AC268" s="50" t="n">
        <f aca="false">AV268</f>
        <v>64</v>
      </c>
      <c r="AD268" s="50" t="n">
        <f aca="false">MAX(AV268,H268)</f>
        <v>67</v>
      </c>
      <c r="AE268" s="57"/>
      <c r="AF268" s="50" t="n">
        <f aca="false">IF(LEFT(Cockpit!$C$5,1)="A",H268,IF(Parameter!$E$30="MAX-Bestand",IF(CH268=1,CI268,IF(LEFT(Cockpit!$C$5,1)="B",AL268,MAX(AL268,H268))),ROUNDUP(AJ268,0)))</f>
        <v>67</v>
      </c>
      <c r="AG268" s="50" t="n">
        <f aca="false">IF(BZ268=1,0,ROUNDUP(AF268/BY268,0))</f>
        <v>3</v>
      </c>
      <c r="AH268" s="52" t="n">
        <f aca="false">IF(CQ268&gt;0,CQ268*MAX(1,AF268/X268),IF(BZ268=1,IF(AF268&lt;=0,0,CD268*MAX(1,IF(H268&gt;0,AF268/H268,1))),IF(R268&gt;0,AG268/R268,0))/MAX(0.1,N(Parameter!$M$21)))</f>
        <v>0.25</v>
      </c>
      <c r="AI268" s="50" t="n">
        <f aca="false">AH268*CB268</f>
        <v>61.25</v>
      </c>
      <c r="AJ268" s="51" t="n">
        <f aca="false">IF(LEFT(Cockpit!$C$5,1)="A",H268,IF(CH268=1,(CK268+CI268)/2,IF(LEFT(Cockpit!$C$5,1)="B",(CK268+AL268)/2,MAX((CK268+AL268)/2,H268))))</f>
        <v>67</v>
      </c>
      <c r="AK268" s="50" t="n">
        <f aca="false">AJ268*G268</f>
        <v>1443.18</v>
      </c>
      <c r="AL268" s="50" t="n">
        <f aca="false">ROUNDUP(CK268+MAX(CL268,2*(J268/IF(CG268&gt;0,CG268,MAX(0.1,N(Cockpit!$C$6)))-CK268)),0)</f>
        <v>64</v>
      </c>
      <c r="AM268" s="51" t="n">
        <f aca="false">IF(AI268&gt;0,J268/AI268,-1)</f>
        <v>0.946938775510204</v>
      </c>
      <c r="AN268" s="51" t="n">
        <f aca="false">IF(AND(OR(CF268="L1",CF268="L23",CF268="LIFT"),AI268&gt;0),SUMIFS($AI$7:$AI$1843,$CF$7:$CF$1843,CF268,$AM$7:$AM$1843,"&gt;"&amp;AM268)+SUMIFS($AI$7:$AI$1843,$CF$7:$CF$1843,CF268,$AM$7:$AM$1843,AM268,$BW$7:$BW$1843,"&lt;="&amp;BW268),"")</f>
        <v>7306.37225274725</v>
      </c>
      <c r="AO268" s="58" t="n">
        <f aca="false">IF(AN268="",0,MAX(0,MIN(1,(IF(CF268="L1",Parameter!$H$5,IF(CF268="L23",Parameter!$H$6+Parameter!$H$7,Parameter!$H$5+Parameter!$H$6+Parameter!$H$7))-(AN268-AI268))/AI268)))</f>
        <v>1</v>
      </c>
      <c r="AP268" s="50" t="n">
        <f aca="false">IF(LEFT(Cockpit!$I$5,1)="A",H268,IF(Parameter!$E$30="MAX-Bestand",IF(CH268=1,CI268,IF(LEFT(Cockpit!$I$5,1)="B",AV268,MAX(AV268,H268))),ROUNDUP(AT268,0)))</f>
        <v>67</v>
      </c>
      <c r="AQ268" s="50" t="n">
        <f aca="false">IF(BZ268=1,0,ROUNDUP(AP268/BY268,0))</f>
        <v>3</v>
      </c>
      <c r="AR268" s="52" t="n">
        <f aca="false">IF(CQ268&gt;0,CQ268*MAX(1,AP268/X268),IF(BZ268=1,IF(AP268&lt;=0,0,CD268*MAX(1,IF(H268&gt;0,AP268/H268,1))),IF(R268&gt;0,AQ268/R268,0))/MAX(0.1,N(Parameter!$M$21)))</f>
        <v>0.25</v>
      </c>
      <c r="AS268" s="50" t="n">
        <f aca="false">AR268*CB268</f>
        <v>61.25</v>
      </c>
      <c r="AT268" s="51" t="n">
        <f aca="false">IF(LEFT(Cockpit!$I$5,1)="A",H268,IF(CH268=1,(CK268+CI268)/2,IF(LEFT(Cockpit!$I$5,1)="B",(CK268+AV268)/2,MAX((CK268+AV268)/2,H268))))</f>
        <v>67</v>
      </c>
      <c r="AU268" s="50" t="n">
        <f aca="false">AT268*G268</f>
        <v>1443.18</v>
      </c>
      <c r="AV268" s="50" t="n">
        <f aca="false">ROUNDUP(CK268+MAX(CL268,2*(J268/IF(CG268&gt;0,CG268,MAX(0.1,N(Cockpit!$I$6)))-CK268)),0)</f>
        <v>64</v>
      </c>
      <c r="AW268" s="51" t="n">
        <f aca="false">IF(AS268&gt;0,J268/AS268,-1)</f>
        <v>0.946938775510204</v>
      </c>
      <c r="AX268" s="51" t="n">
        <f aca="false">IF(AND(OR(CF268="L1",CF268="L23",CF268="LIFT"),AS268&gt;0),SUMIFS($AS$7:$AS$1843,$CF$7:$CF$1843,CF268,$AW$7:$AW$1843,"&gt;"&amp;AW268)+SUMIFS($AS$7:$AS$1843,$CF$7:$CF$1843,CF268,$AW$7:$AW$1843,AW268,$BW$7:$BW$1843,"&lt;="&amp;BW268),"")</f>
        <v>8735.81227106227</v>
      </c>
      <c r="AY268" s="58" t="n">
        <f aca="false">IF(AX268="",0,MAX(0,MIN(1,(IF(CF268="L1",Parameter!$H$5,IF(CF268="L23",Parameter!$H$6+Parameter!$H$7,Parameter!$H$5+Parameter!$H$6+Parameter!$H$7))-(AX268-AS268))/AS268)))</f>
        <v>1</v>
      </c>
      <c r="AZ268" s="50" t="n">
        <f aca="false">IF(LEFT(Cockpit!$O$5,1)="A",H268,IF(Parameter!$E$30="MAX-Bestand",IF(CH268=1,CI268,IF(LEFT(Cockpit!$O$5,1)="B",BF268,MAX(BF268,H268))),ROUNDUP(BD268,0)))</f>
        <v>34</v>
      </c>
      <c r="BA268" s="50" t="n">
        <f aca="false">IF(BZ268=1,0,ROUNDUP(AZ268/BY268,0))</f>
        <v>2</v>
      </c>
      <c r="BB268" s="52" t="n">
        <f aca="false">IF(CQ268&gt;0,CQ268*MAX(1,AZ268/X268),IF(BZ268=1,IF(AZ268&lt;=0,0,CD268*MAX(1,IF(H268&gt;0,AZ268/H268,1))),IF(R268&gt;0,BA268/R268,0))/MAX(0.1,N(Parameter!$M$21)))</f>
        <v>0.166666666666667</v>
      </c>
      <c r="BC268" s="50" t="n">
        <f aca="false">BB268*CB268</f>
        <v>40.8333333333333</v>
      </c>
      <c r="BD268" s="51" t="n">
        <f aca="false">IF(LEFT(Cockpit!$O$5,1)="A",H268,IF(CH268=1,(CK268+CI268)/2,IF(LEFT(Cockpit!$O$5,1)="B",(CK268+BF268)/2,MAX((CK268+BF268)/2,H268))))</f>
        <v>34</v>
      </c>
      <c r="BE268" s="50" t="n">
        <f aca="false">BD268*G268</f>
        <v>732.36</v>
      </c>
      <c r="BF268" s="50" t="n">
        <f aca="false">ROUNDUP(CK268+MAX(CL268,2*(J268/IF(CG268&gt;0,CG268,MAX(0.1,N(Cockpit!$O$6)))-CK268)),0)</f>
        <v>64</v>
      </c>
      <c r="BG268" s="51" t="n">
        <f aca="false">IF(BC268&gt;0,J268/BC268,-1)</f>
        <v>1.42040816326531</v>
      </c>
      <c r="BH268" s="51" t="n">
        <f aca="false">IF(AND(OR(CF268="L1",CF268="L23",CF268="LIFT"),BC268&gt;0),SUMIFS($BC$7:$BC$1843,$CF$7:$CF$1843,CF268,$BG$7:$BG$1843,"&gt;"&amp;BG268)+SUMIFS($BC$7:$BC$1843,$CF$7:$CF$1843,CF268,$BG$7:$BG$1843,BG268,$BW$7:$BW$1843,"&lt;="&amp;BW268),"")</f>
        <v>6650.59203296703</v>
      </c>
      <c r="BI268" s="58" t="n">
        <f aca="false">IF(BH268="",0,MAX(0,MIN(1,(IF(CF268="L1",Parameter!$H$5,IF(CF268="L23",Parameter!$H$6+Parameter!$H$7,Parameter!$H$5+Parameter!$H$6+Parameter!$H$7))-(BH268-BC268))/BC268)))</f>
        <v>1</v>
      </c>
      <c r="BJ268" s="48" t="str">
        <f aca="false">IF(AI268&lt;=0,"",IF(CF268="Aussen","Aussenlager",IF(CF268="-","Nicht im Lift",IF(AO268&gt;=1,"Lift",IF(AO268&lt;=0,"Aussenlager","teilweise")))))</f>
        <v>Lift</v>
      </c>
      <c r="BK268" s="48" t="str">
        <f aca="false">IF(AS268&lt;=0,"",IF(CF268="Aussen","Aussenlager",IF(CF268="-","Nicht im Lift",IF(AY268&gt;=1,"Lift",IF(AY268&lt;=0,"Aussenlager","teilweise")))))</f>
        <v>Lift</v>
      </c>
      <c r="BL268" s="48" t="str">
        <f aca="false">IF(BC268&lt;=0,"",IF(CF268="Aussen","Aussenlager",IF(CF268="-","Nicht im Lift",IF(BI268&gt;=1,"Lift",IF(BI268&lt;=0,"Aussenlager","teilweise")))))</f>
        <v>Lift</v>
      </c>
      <c r="BM268" s="48" t="str">
        <f aca="false">IF(A268="","",IF(BV268=1,"Neu; ","")&amp;IF(AND(BV268=0,BQ268&lt;0),"negativer Bestand (Export "&amp;BQ268&amp;"); ","")&amp;IF(J268&lt;=0,"Kein Verbrauch; ","")&amp;IF(CQ268&gt;0,"Lift "&amp;W268&amp;" lt. Liftbericht (Fach "&amp;X268&amp;" Stk); ",IF(CA268=1,"Gebinde geschätzt ("&amp;T268&amp;"); ",IF(BZ268=1,"Lose – Tablare geschätzt; ","")))&amp;IF(H268&gt;AV268,"Überbestand "&amp;ROUND(H268-AV268,0)&amp;" Stk / CHF "&amp;ROUND((H268-AV268)*G268,0)&amp;"; ","")&amp;IF(AND(CH268=1,CI268&lt;CJ268),"MAX &lt; MB+LG; ","")&amp;IF(AND(CP268&gt;0,CO268*10&gt;CP268),"zu hoch für Tablar; ","")&amp;IF(AND(BV268=0,OR(CH268=1,AA268&lt;&gt;"",U268&lt;&gt;"",V268&lt;&gt;"",AB268&lt;&gt;"")),"manuell übersteuert; ","")&amp;IF(AND(BZ268=0,R268=0),"Gebinde unbekannt / Stellmass fehlt; ","")&amp;IF(AND(BZ268=0,N(V268)&lt;=0,N(Q268)&lt;=0),"Menge pro Gebinde fehlt (Ist = 1 Gebinde); ","")&amp;BU268)</f>
        <v>Überbestand 3 Stk / CHF 65; </v>
      </c>
      <c r="BN268" s="48"/>
      <c r="BO268" s="48"/>
      <c r="BP268" s="55"/>
      <c r="BQ268" s="50" t="n">
        <v>18</v>
      </c>
      <c r="BR268" s="50" t="n">
        <v>49</v>
      </c>
      <c r="BS268" s="49" t="n">
        <v>425.15</v>
      </c>
      <c r="BT268" s="50" t="n">
        <v>58</v>
      </c>
      <c r="BU268" s="48"/>
      <c r="BV268" s="53" t="n">
        <v>0</v>
      </c>
      <c r="BW268" s="53" t="n">
        <v>268</v>
      </c>
      <c r="BX268" s="48" t="str">
        <f aca="false">IF(U268&lt;&gt;"",UPPER(TRIM(U268)),IF(CA268=1,UPPER(VLOOKUP(T268,Parameter!$I$27:$K$29,2,0)),IF(P268="","LOSE",P268)))</f>
        <v>S62</v>
      </c>
      <c r="BY268" s="50" t="n">
        <f aca="false">IF(BX268="LOSE",1,IF(N(V268)&gt;0,V268,IF(CA268=1,MAX(1,N(VLOOKUP(T268,Parameter!$I$27:$K$29,3,0)),H268,N(N268)),IF(N(Q268)&gt;0,Q268,MAX(1,H268)))))</f>
        <v>28</v>
      </c>
      <c r="BZ268" s="53" t="n">
        <f aca="false">IF(BX268="LOSE",1,0)</f>
        <v>0</v>
      </c>
      <c r="CA268" s="53" t="n">
        <f aca="false">IF(AND(U268="",OR(P268="",P268="LOSE"),T268&lt;&gt;"",N(S268)&lt;=0,ISNUMBER(MATCH(T268,Parameter!$I$27:$I$29,0))),1,0)</f>
        <v>0</v>
      </c>
      <c r="CB268" s="53" t="n">
        <f aca="false">IF(CQ268&gt;0,INDEX(Parameter!$H$5:$H$7,W268)/INDEX(Parameter!$E$5:$E$7,W268),IF(AND(BZ268=0,N(IFERROR(VLOOKUP(BX268,'Gebinde-Kategorie'!$A$5:$N$45,14,0),0))&gt;0),VLOOKUP(BX268,'Gebinde-Kategorie'!$A$5:$N$45,14,0)*10+Parameter!$M$23,Parameter!$M$24))</f>
        <v>245</v>
      </c>
      <c r="CC268" s="48" t="str">
        <f aca="false">IF(AND(Parameter!$B$19="Ja",E268&lt;&gt;"",ISNUMBER(MATCH(E268,Parameter!$I$35:$I$52,0))),VLOOKUP(E268,Parameter!$I$35:$J$52,2,0),IFERROR(VLOOKUP(D268,Parameter!$A$35:$C$64,2,0),"Nein"))</f>
        <v>2+3</v>
      </c>
      <c r="CD268" s="52" t="n">
        <f aca="false">IF(BZ268=0,0,IF(N(S268)&gt;0,S268,IFERROR(VLOOKUP(D268,Parameter!$A$35:$C$64,3,0)+0,0)))</f>
        <v>0</v>
      </c>
      <c r="CE268" s="48" t="n">
        <f aca="false">IF(AA268&lt;&gt;"",AA268,Z268)</f>
        <v>2</v>
      </c>
      <c r="CF268" s="48" t="str">
        <f aca="false">IF(OR(CE268=1,CE268=2,CE268=3),IF(Parameter!$E$27="Ja","LIFT",IF(CE268=1,"L1","L23")),IF(CE268="Aussen","Aussen","-"))</f>
        <v>LIFT</v>
      </c>
      <c r="CG268" s="59" t="n">
        <f aca="false">IF(N(AB268)&gt;0,AB268,0)</f>
        <v>0</v>
      </c>
      <c r="CH268" s="53" t="n">
        <f aca="false">IF(ISNUMBER(AE268),1,0)</f>
        <v>0</v>
      </c>
      <c r="CI268" s="50" t="n">
        <f aca="false">N(AE268)</f>
        <v>0</v>
      </c>
      <c r="CJ268" s="50" t="n">
        <f aca="false">N(M268)+N(N268)</f>
        <v>64</v>
      </c>
      <c r="CK268" s="50" t="n">
        <f aca="false">N(M268)</f>
        <v>4</v>
      </c>
      <c r="CL268" s="50" t="n">
        <f aca="false">N(N268)</f>
        <v>60</v>
      </c>
      <c r="CM268" s="50" t="n">
        <f aca="false">ROUNDUP(H268/BY268,0)</f>
        <v>3</v>
      </c>
      <c r="CN268" s="50" t="n">
        <f aca="false">ROUNDUP(CI268/BY268,0)</f>
        <v>0</v>
      </c>
      <c r="CO268" s="53" t="n">
        <f aca="false">IF(BZ268=1,0,IFERROR(VLOOKUP(BX268,'Gebinde-Kategorie'!$A$5:$N$45,5,0)+0,0))</f>
        <v>21</v>
      </c>
      <c r="CP268" s="53" t="n">
        <f aca="false">IFERROR(IF(OR(CE268=1,CE268=2,CE268=3),N(INDEX(Parameter!$I$5:$I$7,CE268)),0),0)</f>
        <v>0</v>
      </c>
      <c r="CQ268" s="52" t="n">
        <f aca="false">IF(AND(Parameter!$B$21="Ja",ISNUMBER(W268),N(X268)&gt;0),IFERROR(N(INDEX(Parameter!$L$5:$L$7,W268))*INDEX(Parameter!$E$5:$E$7,W268)*X268/SUMIFS($X$7:$X$1843,$W$7:$W$1843,W268),0),0)</f>
        <v>0</v>
      </c>
    </row>
    <row r="269" customFormat="false" ht="15" hidden="false" customHeight="false" outlineLevel="0" collapsed="false">
      <c r="A269" s="48" t="s">
        <v>725</v>
      </c>
      <c r="B269" s="48" t="s">
        <v>726</v>
      </c>
      <c r="C269" s="48" t="s">
        <v>173</v>
      </c>
      <c r="D269" s="48" t="s">
        <v>182</v>
      </c>
      <c r="E269" s="48" t="s">
        <v>175</v>
      </c>
      <c r="F269" s="48" t="s">
        <v>227</v>
      </c>
      <c r="G269" s="49" t="n">
        <v>97.95</v>
      </c>
      <c r="H269" s="50" t="n">
        <f aca="false">MAX(0,IF(AND(Parameter!$B$21="Ja",ISNUMBER(Y269)),Y269,IF(Parameter!$B$20="Jahresanfang 2025 + Export",BR269+BQ269,BQ269)))</f>
        <v>11</v>
      </c>
      <c r="I269" s="50" t="n">
        <f aca="false">H269*G269</f>
        <v>1077.45</v>
      </c>
      <c r="J269" s="50" t="n">
        <f aca="false">BT269*Parameter!$B$18</f>
        <v>25</v>
      </c>
      <c r="K269" s="51" t="n">
        <v>9.5</v>
      </c>
      <c r="L269" s="52" t="n">
        <v>2.63157894736842</v>
      </c>
      <c r="M269" s="50" t="n">
        <v>2</v>
      </c>
      <c r="N269" s="50" t="n">
        <v>25</v>
      </c>
      <c r="O269" s="53" t="n">
        <v>35</v>
      </c>
      <c r="P269" s="48" t="s">
        <v>195</v>
      </c>
      <c r="Q269" s="50" t="n">
        <v>13</v>
      </c>
      <c r="R269" s="53" t="n">
        <f aca="false">IF(BZ269=1,0,IFERROR(VLOOKUP(BX269,'Gebinde-Kategorie'!$A$5:$N$45,13,0)+0,0))</f>
        <v>12</v>
      </c>
      <c r="S269" s="54"/>
      <c r="T269" s="55"/>
      <c r="U269" s="55"/>
      <c r="V269" s="55"/>
      <c r="W269" s="48"/>
      <c r="X269" s="50"/>
      <c r="Y269" s="50"/>
      <c r="Z269" s="48" t="n">
        <f aca="false">IF(A269="","",IF(AND(Parameter!$B$21="Ja",ISNUMBER(W269)),W269,IF(CC269="2+3",IF(ISNUMBER(SEARCH("grosser Artikel",BU269)),2,IFERROR(VLOOKUP(BX269,Parameter!$F$35:$G$64,2,0),2)),IF(OR(CC269="Nein",CC269=""),"-",CC269))))</f>
        <v>1</v>
      </c>
      <c r="AA269" s="55"/>
      <c r="AB269" s="56"/>
      <c r="AC269" s="50" t="n">
        <f aca="false">AV269</f>
        <v>27</v>
      </c>
      <c r="AD269" s="50" t="n">
        <f aca="false">MAX(AV269,H269)</f>
        <v>27</v>
      </c>
      <c r="AE269" s="57"/>
      <c r="AF269" s="50" t="n">
        <f aca="false">IF(LEFT(Cockpit!$C$5,1)="A",H269,IF(Parameter!$E$30="MAX-Bestand",IF(CH269=1,CI269,IF(LEFT(Cockpit!$C$5,1)="B",AL269,MAX(AL269,H269))),ROUNDUP(AJ269,0)))</f>
        <v>11</v>
      </c>
      <c r="AG269" s="50" t="n">
        <f aca="false">IF(BZ269=1,0,ROUNDUP(AF269/BY269,0))</f>
        <v>1</v>
      </c>
      <c r="AH269" s="52" t="n">
        <f aca="false">IF(CQ269&gt;0,CQ269*MAX(1,AF269/X269),IF(BZ269=1,IF(AF269&lt;=0,0,CD269*MAX(1,IF(H269&gt;0,AF269/H269,1))),IF(R269&gt;0,AG269/R269,0))/MAX(0.1,N(Parameter!$M$21)))</f>
        <v>0.0833333333333333</v>
      </c>
      <c r="AI269" s="50" t="n">
        <f aca="false">AH269*CB269</f>
        <v>12.0833333333333</v>
      </c>
      <c r="AJ269" s="51" t="n">
        <f aca="false">IF(LEFT(Cockpit!$C$5,1)="A",H269,IF(CH269=1,(CK269+CI269)/2,IF(LEFT(Cockpit!$C$5,1)="B",(CK269+AL269)/2,MAX((CK269+AL269)/2,H269))))</f>
        <v>11</v>
      </c>
      <c r="AK269" s="50" t="n">
        <f aca="false">AJ269*G269</f>
        <v>1077.45</v>
      </c>
      <c r="AL269" s="50" t="n">
        <f aca="false">ROUNDUP(CK269+MAX(CL269,2*(J269/IF(CG269&gt;0,CG269,MAX(0.1,N(Cockpit!$C$6)))-CK269)),0)</f>
        <v>27</v>
      </c>
      <c r="AM269" s="51" t="n">
        <f aca="false">IF(AI269&gt;0,J269/AI269,-1)</f>
        <v>2.06896551724138</v>
      </c>
      <c r="AN269" s="51" t="n">
        <f aca="false">IF(AND(OR(CF269="L1",CF269="L23",CF269="LIFT"),AI269&gt;0),SUMIFS($AI$7:$AI$1843,$CF$7:$CF$1843,CF269,$AM$7:$AM$1843,"&gt;"&amp;AM269)+SUMIFS($AI$7:$AI$1843,$CF$7:$CF$1843,CF269,$AM$7:$AM$1843,AM269,$BW$7:$BW$1843,"&lt;="&amp;BW269),"")</f>
        <v>5750.60943223443</v>
      </c>
      <c r="AO269" s="58" t="n">
        <f aca="false">IF(AN269="",0,MAX(0,MIN(1,(IF(CF269="L1",Parameter!$H$5,IF(CF269="L23",Parameter!$H$6+Parameter!$H$7,Parameter!$H$5+Parameter!$H$6+Parameter!$H$7))-(AN269-AI269))/AI269)))</f>
        <v>1</v>
      </c>
      <c r="AP269" s="50" t="n">
        <f aca="false">IF(LEFT(Cockpit!$I$5,1)="A",H269,IF(Parameter!$E$30="MAX-Bestand",IF(CH269=1,CI269,IF(LEFT(Cockpit!$I$5,1)="B",AV269,MAX(AV269,H269))),ROUNDUP(AT269,0)))</f>
        <v>15</v>
      </c>
      <c r="AQ269" s="50" t="n">
        <f aca="false">IF(BZ269=1,0,ROUNDUP(AP269/BY269,0))</f>
        <v>2</v>
      </c>
      <c r="AR269" s="52" t="n">
        <f aca="false">IF(CQ269&gt;0,CQ269*MAX(1,AP269/X269),IF(BZ269=1,IF(AP269&lt;=0,0,CD269*MAX(1,IF(H269&gt;0,AP269/H269,1))),IF(R269&gt;0,AQ269/R269,0))/MAX(0.1,N(Parameter!$M$21)))</f>
        <v>0.166666666666667</v>
      </c>
      <c r="AS269" s="50" t="n">
        <f aca="false">AR269*CB269</f>
        <v>24.1666666666667</v>
      </c>
      <c r="AT269" s="51" t="n">
        <f aca="false">IF(LEFT(Cockpit!$I$5,1)="A",H269,IF(CH269=1,(CK269+CI269)/2,IF(LEFT(Cockpit!$I$5,1)="B",(CK269+AV269)/2,MAX((CK269+AV269)/2,H269))))</f>
        <v>14.5</v>
      </c>
      <c r="AU269" s="50" t="n">
        <f aca="false">AT269*G269</f>
        <v>1420.275</v>
      </c>
      <c r="AV269" s="50" t="n">
        <f aca="false">ROUNDUP(CK269+MAX(CL269,2*(J269/IF(CG269&gt;0,CG269,MAX(0.1,N(Cockpit!$I$6)))-CK269)),0)</f>
        <v>27</v>
      </c>
      <c r="AW269" s="51" t="n">
        <f aca="false">IF(AS269&gt;0,J269/AS269,-1)</f>
        <v>1.03448275862069</v>
      </c>
      <c r="AX269" s="51" t="n">
        <f aca="false">IF(AND(OR(CF269="L1",CF269="L23",CF269="LIFT"),AS269&gt;0),SUMIFS($AS$7:$AS$1843,$CF$7:$CF$1843,CF269,$AW$7:$AW$1843,"&gt;"&amp;AW269)+SUMIFS($AS$7:$AS$1843,$CF$7:$CF$1843,CF269,$AW$7:$AW$1843,AW269,$BW$7:$BW$1843,"&lt;="&amp;BW269),"")</f>
        <v>8334.81868131868</v>
      </c>
      <c r="AY269" s="58" t="n">
        <f aca="false">IF(AX269="",0,MAX(0,MIN(1,(IF(CF269="L1",Parameter!$H$5,IF(CF269="L23",Parameter!$H$6+Parameter!$H$7,Parameter!$H$5+Parameter!$H$6+Parameter!$H$7))-(AX269-AS269))/AS269)))</f>
        <v>1</v>
      </c>
      <c r="AZ269" s="50" t="n">
        <f aca="false">IF(LEFT(Cockpit!$O$5,1)="A",H269,IF(Parameter!$E$30="MAX-Bestand",IF(CH269=1,CI269,IF(LEFT(Cockpit!$O$5,1)="B",BF269,MAX(BF269,H269))),ROUNDUP(BD269,0)))</f>
        <v>15</v>
      </c>
      <c r="BA269" s="50" t="n">
        <f aca="false">IF(BZ269=1,0,ROUNDUP(AZ269/BY269,0))</f>
        <v>2</v>
      </c>
      <c r="BB269" s="52" t="n">
        <f aca="false">IF(CQ269&gt;0,CQ269*MAX(1,AZ269/X269),IF(BZ269=1,IF(AZ269&lt;=0,0,CD269*MAX(1,IF(H269&gt;0,AZ269/H269,1))),IF(R269&gt;0,BA269/R269,0))/MAX(0.1,N(Parameter!$M$21)))</f>
        <v>0.166666666666667</v>
      </c>
      <c r="BC269" s="50" t="n">
        <f aca="false">BB269*CB269</f>
        <v>24.1666666666667</v>
      </c>
      <c r="BD269" s="51" t="n">
        <f aca="false">IF(LEFT(Cockpit!$O$5,1)="A",H269,IF(CH269=1,(CK269+CI269)/2,IF(LEFT(Cockpit!$O$5,1)="B",(CK269+BF269)/2,MAX((CK269+BF269)/2,H269))))</f>
        <v>14.5</v>
      </c>
      <c r="BE269" s="50" t="n">
        <f aca="false">BD269*G269</f>
        <v>1420.275</v>
      </c>
      <c r="BF269" s="50" t="n">
        <f aca="false">ROUNDUP(CK269+MAX(CL269,2*(J269/IF(CG269&gt;0,CG269,MAX(0.1,N(Cockpit!$O$6)))-CK269)),0)</f>
        <v>27</v>
      </c>
      <c r="BG269" s="51" t="n">
        <f aca="false">IF(BC269&gt;0,J269/BC269,-1)</f>
        <v>1.03448275862069</v>
      </c>
      <c r="BH269" s="51" t="n">
        <f aca="false">IF(AND(OR(CF269="L1",CF269="L23",CF269="LIFT"),BC269&gt;0),SUMIFS($BC$7:$BC$1843,$CF$7:$CF$1843,CF269,$BG$7:$BG$1843,"&gt;"&amp;BG269)+SUMIFS($BC$7:$BC$1843,$CF$7:$CF$1843,CF269,$BG$7:$BG$1843,BG269,$BW$7:$BW$1843,"&lt;="&amp;BW269),"")</f>
        <v>7482.22664835165</v>
      </c>
      <c r="BI269" s="58" t="n">
        <f aca="false">IF(BH269="",0,MAX(0,MIN(1,(IF(CF269="L1",Parameter!$H$5,IF(CF269="L23",Parameter!$H$6+Parameter!$H$7,Parameter!$H$5+Parameter!$H$6+Parameter!$H$7))-(BH269-BC269))/BC269)))</f>
        <v>1</v>
      </c>
      <c r="BJ269" s="48" t="str">
        <f aca="false">IF(AI269&lt;=0,"",IF(CF269="Aussen","Aussenlager",IF(CF269="-","Nicht im Lift",IF(AO269&gt;=1,"Lift",IF(AO269&lt;=0,"Aussenlager","teilweise")))))</f>
        <v>Lift</v>
      </c>
      <c r="BK269" s="48" t="str">
        <f aca="false">IF(AS269&lt;=0,"",IF(CF269="Aussen","Aussenlager",IF(CF269="-","Nicht im Lift",IF(AY269&gt;=1,"Lift",IF(AY269&lt;=0,"Aussenlager","teilweise")))))</f>
        <v>Lift</v>
      </c>
      <c r="BL269" s="48" t="str">
        <f aca="false">IF(BC269&lt;=0,"",IF(CF269="Aussen","Aussenlager",IF(CF269="-","Nicht im Lift",IF(BI269&gt;=1,"Lift",IF(BI269&lt;=0,"Aussenlager","teilweise")))))</f>
        <v>Lift</v>
      </c>
      <c r="BM269" s="48" t="str">
        <f aca="false">IF(A269="","",IF(BV269=1,"Neu; ","")&amp;IF(AND(BV269=0,BQ269&lt;0),"negativer Bestand (Export "&amp;BQ269&amp;"); ","")&amp;IF(J269&lt;=0,"Kein Verbrauch; ","")&amp;IF(CQ269&gt;0,"Lift "&amp;W269&amp;" lt. Liftbericht (Fach "&amp;X269&amp;" Stk); ",IF(CA269=1,"Gebinde geschätzt ("&amp;T269&amp;"); ",IF(BZ269=1,"Lose – Tablare geschätzt; ","")))&amp;IF(H269&gt;AV269,"Überbestand "&amp;ROUND(H269-AV269,0)&amp;" Stk / CHF "&amp;ROUND((H269-AV269)*G269,0)&amp;"; ","")&amp;IF(AND(CH269=1,CI269&lt;CJ269),"MAX &lt; MB+LG; ","")&amp;IF(AND(CP269&gt;0,CO269*10&gt;CP269),"zu hoch für Tablar; ","")&amp;IF(AND(BV269=0,OR(CH269=1,AA269&lt;&gt;"",U269&lt;&gt;"",V269&lt;&gt;"",AB269&lt;&gt;"")),"manuell übersteuert; ","")&amp;IF(AND(BZ269=0,R269=0),"Gebinde unbekannt / Stellmass fehlt; ","")&amp;IF(AND(BZ269=0,N(V269)&lt;=0,N(Q269)&lt;=0),"Menge pro Gebinde fehlt (Ist = 1 Gebinde); ","")&amp;BU269)</f>
        <v/>
      </c>
      <c r="BN269" s="48"/>
      <c r="BO269" s="48"/>
      <c r="BP269" s="55"/>
      <c r="BQ269" s="50" t="n">
        <v>4</v>
      </c>
      <c r="BR269" s="50" t="n">
        <v>7</v>
      </c>
      <c r="BS269" s="49" t="n">
        <v>417.56</v>
      </c>
      <c r="BT269" s="50" t="n">
        <v>25</v>
      </c>
      <c r="BU269" s="48"/>
      <c r="BV269" s="53" t="n">
        <v>0</v>
      </c>
      <c r="BW269" s="53" t="n">
        <v>269</v>
      </c>
      <c r="BX269" s="48" t="str">
        <f aca="false">IF(U269&lt;&gt;"",UPPER(TRIM(U269)),IF(CA269=1,UPPER(VLOOKUP(T269,Parameter!$I$27:$K$29,2,0)),IF(P269="","LOSE",P269)))</f>
        <v>S61</v>
      </c>
      <c r="BY269" s="50" t="n">
        <f aca="false">IF(BX269="LOSE",1,IF(N(V269)&gt;0,V269,IF(CA269=1,MAX(1,N(VLOOKUP(T269,Parameter!$I$27:$K$29,3,0)),H269,N(N269)),IF(N(Q269)&gt;0,Q269,MAX(1,H269)))))</f>
        <v>13</v>
      </c>
      <c r="BZ269" s="53" t="n">
        <f aca="false">IF(BX269="LOSE",1,0)</f>
        <v>0</v>
      </c>
      <c r="CA269" s="53" t="n">
        <f aca="false">IF(AND(U269="",OR(P269="",P269="LOSE"),T269&lt;&gt;"",N(S269)&lt;=0,ISNUMBER(MATCH(T269,Parameter!$I$27:$I$29,0))),1,0)</f>
        <v>0</v>
      </c>
      <c r="CB269" s="53" t="n">
        <f aca="false">IF(CQ269&gt;0,INDEX(Parameter!$H$5:$H$7,W269)/INDEX(Parameter!$E$5:$E$7,W269),IF(AND(BZ269=0,N(IFERROR(VLOOKUP(BX269,'Gebinde-Kategorie'!$A$5:$N$45,14,0),0))&gt;0),VLOOKUP(BX269,'Gebinde-Kategorie'!$A$5:$N$45,14,0)*10+Parameter!$M$23,Parameter!$M$24))</f>
        <v>145</v>
      </c>
      <c r="CC269" s="48" t="n">
        <f aca="false">IF(AND(Parameter!$B$19="Ja",E269&lt;&gt;"",ISNUMBER(MATCH(E269,Parameter!$I$35:$I$52,0))),VLOOKUP(E269,Parameter!$I$35:$J$52,2,0),IFERROR(VLOOKUP(D269,Parameter!$A$35:$C$64,2,0),"Nein"))</f>
        <v>1</v>
      </c>
      <c r="CD269" s="52" t="n">
        <f aca="false">IF(BZ269=0,0,IF(N(S269)&gt;0,S269,IFERROR(VLOOKUP(D269,Parameter!$A$35:$C$64,3,0)+0,0)))</f>
        <v>0</v>
      </c>
      <c r="CE269" s="48" t="n">
        <f aca="false">IF(AA269&lt;&gt;"",AA269,Z269)</f>
        <v>1</v>
      </c>
      <c r="CF269" s="48" t="str">
        <f aca="false">IF(OR(CE269=1,CE269=2,CE269=3),IF(Parameter!$E$27="Ja","LIFT",IF(CE269=1,"L1","L23")),IF(CE269="Aussen","Aussen","-"))</f>
        <v>LIFT</v>
      </c>
      <c r="CG269" s="59" t="n">
        <f aca="false">IF(N(AB269)&gt;0,AB269,0)</f>
        <v>0</v>
      </c>
      <c r="CH269" s="53" t="n">
        <f aca="false">IF(ISNUMBER(AE269),1,0)</f>
        <v>0</v>
      </c>
      <c r="CI269" s="50" t="n">
        <f aca="false">N(AE269)</f>
        <v>0</v>
      </c>
      <c r="CJ269" s="50" t="n">
        <f aca="false">N(M269)+N(N269)</f>
        <v>27</v>
      </c>
      <c r="CK269" s="50" t="n">
        <f aca="false">N(M269)</f>
        <v>2</v>
      </c>
      <c r="CL269" s="50" t="n">
        <f aca="false">N(N269)</f>
        <v>25</v>
      </c>
      <c r="CM269" s="50" t="n">
        <f aca="false">ROUNDUP(H269/BY269,0)</f>
        <v>1</v>
      </c>
      <c r="CN269" s="50" t="n">
        <f aca="false">ROUNDUP(CI269/BY269,0)</f>
        <v>0</v>
      </c>
      <c r="CO269" s="53" t="n">
        <f aca="false">IF(BZ269=1,0,IFERROR(VLOOKUP(BX269,'Gebinde-Kategorie'!$A$5:$N$45,5,0)+0,0))</f>
        <v>11</v>
      </c>
      <c r="CP269" s="53" t="n">
        <f aca="false">IFERROR(IF(OR(CE269=1,CE269=2,CE269=3),N(INDEX(Parameter!$I$5:$I$7,CE269)),0),0)</f>
        <v>0</v>
      </c>
      <c r="CQ269" s="52" t="n">
        <f aca="false">IF(AND(Parameter!$B$21="Ja",ISNUMBER(W269),N(X269)&gt;0),IFERROR(N(INDEX(Parameter!$L$5:$L$7,W269))*INDEX(Parameter!$E$5:$E$7,W269)*X269/SUMIFS($X$7:$X$1843,$W$7:$W$1843,W269),0),0)</f>
        <v>0</v>
      </c>
    </row>
    <row r="270" customFormat="false" ht="15" hidden="false" customHeight="false" outlineLevel="0" collapsed="false">
      <c r="A270" s="48" t="s">
        <v>727</v>
      </c>
      <c r="B270" s="48" t="s">
        <v>728</v>
      </c>
      <c r="C270" s="48" t="s">
        <v>173</v>
      </c>
      <c r="D270" s="48" t="s">
        <v>193</v>
      </c>
      <c r="E270" s="48"/>
      <c r="F270" s="48" t="s">
        <v>227</v>
      </c>
      <c r="G270" s="49" t="n">
        <v>16.65</v>
      </c>
      <c r="H270" s="50" t="n">
        <f aca="false">MAX(0,IF(AND(Parameter!$B$21="Ja",ISNUMBER(Y270)),Y270,IF(Parameter!$B$20="Jahresanfang 2025 + Export",BR270+BQ270,BQ270)))</f>
        <v>25</v>
      </c>
      <c r="I270" s="50" t="n">
        <f aca="false">H270*G270</f>
        <v>416.25</v>
      </c>
      <c r="J270" s="50" t="n">
        <f aca="false">BT270*Parameter!$B$18</f>
        <v>0</v>
      </c>
      <c r="K270" s="51" t="n">
        <v>0</v>
      </c>
      <c r="L270" s="52" t="n">
        <v>0</v>
      </c>
      <c r="M270" s="50" t="n">
        <v>0</v>
      </c>
      <c r="N270" s="50" t="n">
        <v>5</v>
      </c>
      <c r="O270" s="53" t="n">
        <v>9999</v>
      </c>
      <c r="P270" s="48" t="s">
        <v>177</v>
      </c>
      <c r="Q270" s="50"/>
      <c r="R270" s="53" t="n">
        <f aca="false">IF(BZ270=1,0,IFERROR(VLOOKUP(BX270,'Gebinde-Kategorie'!$A$5:$N$45,13,0)+0,0))</f>
        <v>26</v>
      </c>
      <c r="S270" s="54"/>
      <c r="T270" s="55" t="s">
        <v>284</v>
      </c>
      <c r="U270" s="55"/>
      <c r="V270" s="55"/>
      <c r="W270" s="48"/>
      <c r="X270" s="50"/>
      <c r="Y270" s="50"/>
      <c r="Z270" s="48" t="n">
        <f aca="false">IF(A270="","",IF(AND(Parameter!$B$21="Ja",ISNUMBER(W270)),W270,IF(CC270="2+3",IF(ISNUMBER(SEARCH("grosser Artikel",BU270)),2,IFERROR(VLOOKUP(BX270,Parameter!$F$35:$G$64,2,0),2)),IF(OR(CC270="Nein",CC270=""),"-",CC270))))</f>
        <v>3</v>
      </c>
      <c r="AA270" s="55"/>
      <c r="AB270" s="56"/>
      <c r="AC270" s="50" t="n">
        <f aca="false">AV270</f>
        <v>5</v>
      </c>
      <c r="AD270" s="50" t="n">
        <f aca="false">MAX(AV270,H270)</f>
        <v>25</v>
      </c>
      <c r="AE270" s="57"/>
      <c r="AF270" s="50" t="n">
        <f aca="false">IF(LEFT(Cockpit!$C$5,1)="A",H270,IF(Parameter!$E$30="MAX-Bestand",IF(CH270=1,CI270,IF(LEFT(Cockpit!$C$5,1)="B",AL270,MAX(AL270,H270))),ROUNDUP(AJ270,0)))</f>
        <v>25</v>
      </c>
      <c r="AG270" s="50" t="n">
        <f aca="false">IF(BZ270=1,0,ROUNDUP(AF270/BY270,0))</f>
        <v>1</v>
      </c>
      <c r="AH270" s="52" t="n">
        <f aca="false">IF(CQ270&gt;0,CQ270*MAX(1,AF270/X270),IF(BZ270=1,IF(AF270&lt;=0,0,CD270*MAX(1,IF(H270&gt;0,AF270/H270,1))),IF(R270&gt;0,AG270/R270,0))/MAX(0.1,N(Parameter!$M$21)))</f>
        <v>0.0384615384615385</v>
      </c>
      <c r="AI270" s="50" t="n">
        <f aca="false">AH270*CB270</f>
        <v>5.96153846153846</v>
      </c>
      <c r="AJ270" s="51" t="n">
        <f aca="false">IF(LEFT(Cockpit!$C$5,1)="A",H270,IF(CH270=1,(CK270+CI270)/2,IF(LEFT(Cockpit!$C$5,1)="B",(CK270+AL270)/2,MAX((CK270+AL270)/2,H270))))</f>
        <v>25</v>
      </c>
      <c r="AK270" s="50" t="n">
        <f aca="false">AJ270*G270</f>
        <v>416.25</v>
      </c>
      <c r="AL270" s="50" t="n">
        <f aca="false">ROUNDUP(CK270+MAX(CL270,2*(J270/IF(CG270&gt;0,CG270,MAX(0.1,N(Cockpit!$C$6)))-CK270)),0)</f>
        <v>5</v>
      </c>
      <c r="AM270" s="51" t="n">
        <f aca="false">IF(AI270&gt;0,J270/AI270,-1)</f>
        <v>0</v>
      </c>
      <c r="AN270" s="51" t="n">
        <f aca="false">IF(AND(OR(CF270="L1",CF270="L23",CF270="LIFT"),AI270&gt;0),SUMIFS($AI$7:$AI$1843,$CF$7:$CF$1843,CF270,$AM$7:$AM$1843,"&gt;"&amp;AM270)+SUMIFS($AI$7:$AI$1843,$CF$7:$CF$1843,CF270,$AM$7:$AM$1843,AM270,$BW$7:$BW$1843,"&lt;="&amp;BW270),"")</f>
        <v>27772.4465967178</v>
      </c>
      <c r="AO270" s="58" t="n">
        <f aca="false">IF(AN270="",0,MAX(0,MIN(1,(IF(CF270="L1",Parameter!$H$5,IF(CF270="L23",Parameter!$H$6+Parameter!$H$7,Parameter!$H$5+Parameter!$H$6+Parameter!$H$7))-(AN270-AI270))/AI270)))</f>
        <v>1</v>
      </c>
      <c r="AP270" s="50" t="n">
        <f aca="false">IF(LEFT(Cockpit!$I$5,1)="A",H270,IF(Parameter!$E$30="MAX-Bestand",IF(CH270=1,CI270,IF(LEFT(Cockpit!$I$5,1)="B",AV270,MAX(AV270,H270))),ROUNDUP(AT270,0)))</f>
        <v>25</v>
      </c>
      <c r="AQ270" s="50" t="n">
        <f aca="false">IF(BZ270=1,0,ROUNDUP(AP270/BY270,0))</f>
        <v>1</v>
      </c>
      <c r="AR270" s="52" t="n">
        <f aca="false">IF(CQ270&gt;0,CQ270*MAX(1,AP270/X270),IF(BZ270=1,IF(AP270&lt;=0,0,CD270*MAX(1,IF(H270&gt;0,AP270/H270,1))),IF(R270&gt;0,AQ270/R270,0))/MAX(0.1,N(Parameter!$M$21)))</f>
        <v>0.0384615384615385</v>
      </c>
      <c r="AS270" s="50" t="n">
        <f aca="false">AR270*CB270</f>
        <v>5.96153846153846</v>
      </c>
      <c r="AT270" s="51" t="n">
        <f aca="false">IF(LEFT(Cockpit!$I$5,1)="A",H270,IF(CH270=1,(CK270+CI270)/2,IF(LEFT(Cockpit!$I$5,1)="B",(CK270+AV270)/2,MAX((CK270+AV270)/2,H270))))</f>
        <v>25</v>
      </c>
      <c r="AU270" s="50" t="n">
        <f aca="false">AT270*G270</f>
        <v>416.25</v>
      </c>
      <c r="AV270" s="50" t="n">
        <f aca="false">ROUNDUP(CK270+MAX(CL270,2*(J270/IF(CG270&gt;0,CG270,MAX(0.1,N(Cockpit!$I$6)))-CK270)),0)</f>
        <v>5</v>
      </c>
      <c r="AW270" s="51" t="n">
        <f aca="false">IF(AS270&gt;0,J270/AS270,-1)</f>
        <v>0</v>
      </c>
      <c r="AX270" s="51" t="n">
        <f aca="false">IF(AND(OR(CF270="L1",CF270="L23",CF270="LIFT"),AS270&gt;0),SUMIFS($AS$7:$AS$1843,$CF$7:$CF$1843,CF270,$AW$7:$AW$1843,"&gt;"&amp;AW270)+SUMIFS($AS$7:$AS$1843,$CF$7:$CF$1843,CF270,$AW$7:$AW$1843,AW270,$BW$7:$BW$1843,"&lt;="&amp;BW270),"")</f>
        <v>33125.5952380952</v>
      </c>
      <c r="AY270" s="58" t="n">
        <f aca="false">IF(AX270="",0,MAX(0,MIN(1,(IF(CF270="L1",Parameter!$H$5,IF(CF270="L23",Parameter!$H$6+Parameter!$H$7,Parameter!$H$5+Parameter!$H$6+Parameter!$H$7))-(AX270-AS270))/AS270)))</f>
        <v>1</v>
      </c>
      <c r="AZ270" s="50" t="n">
        <f aca="false">IF(LEFT(Cockpit!$O$5,1)="A",H270,IF(Parameter!$E$30="MAX-Bestand",IF(CH270=1,CI270,IF(LEFT(Cockpit!$O$5,1)="B",BF270,MAX(BF270,H270))),ROUNDUP(BD270,0)))</f>
        <v>3</v>
      </c>
      <c r="BA270" s="50" t="n">
        <f aca="false">IF(BZ270=1,0,ROUNDUP(AZ270/BY270,0))</f>
        <v>1</v>
      </c>
      <c r="BB270" s="52" t="n">
        <f aca="false">IF(CQ270&gt;0,CQ270*MAX(1,AZ270/X270),IF(BZ270=1,IF(AZ270&lt;=0,0,CD270*MAX(1,IF(H270&gt;0,AZ270/H270,1))),IF(R270&gt;0,BA270/R270,0))/MAX(0.1,N(Parameter!$M$21)))</f>
        <v>0.0384615384615385</v>
      </c>
      <c r="BC270" s="50" t="n">
        <f aca="false">BB270*CB270</f>
        <v>5.96153846153846</v>
      </c>
      <c r="BD270" s="51" t="n">
        <f aca="false">IF(LEFT(Cockpit!$O$5,1)="A",H270,IF(CH270=1,(CK270+CI270)/2,IF(LEFT(Cockpit!$O$5,1)="B",(CK270+BF270)/2,MAX((CK270+BF270)/2,H270))))</f>
        <v>2.5</v>
      </c>
      <c r="BE270" s="50" t="n">
        <f aca="false">BD270*G270</f>
        <v>41.625</v>
      </c>
      <c r="BF270" s="50" t="n">
        <f aca="false">ROUNDUP(CK270+MAX(CL270,2*(J270/IF(CG270&gt;0,CG270,MAX(0.1,N(Cockpit!$O$6)))-CK270)),0)</f>
        <v>5</v>
      </c>
      <c r="BG270" s="51" t="n">
        <f aca="false">IF(BC270&gt;0,J270/BC270,-1)</f>
        <v>0</v>
      </c>
      <c r="BH270" s="51" t="n">
        <f aca="false">IF(AND(OR(CF270="L1",CF270="L23",CF270="LIFT"),BC270&gt;0),SUMIFS($BC$7:$BC$1843,$CF$7:$CF$1843,CF270,$BG$7:$BG$1843,"&gt;"&amp;BG270)+SUMIFS($BC$7:$BC$1843,$CF$7:$CF$1843,CF270,$BG$7:$BG$1843,BG270,$BW$7:$BW$1843,"&lt;="&amp;BW270),"")</f>
        <v>27280.4142608804</v>
      </c>
      <c r="BI270" s="58" t="n">
        <f aca="false">IF(BH270="",0,MAX(0,MIN(1,(IF(CF270="L1",Parameter!$H$5,IF(CF270="L23",Parameter!$H$6+Parameter!$H$7,Parameter!$H$5+Parameter!$H$6+Parameter!$H$7))-(BH270-BC270))/BC270)))</f>
        <v>1</v>
      </c>
      <c r="BJ270" s="48" t="str">
        <f aca="false">IF(AI270&lt;=0,"",IF(CF270="Aussen","Aussenlager",IF(CF270="-","Nicht im Lift",IF(AO270&gt;=1,"Lift",IF(AO270&lt;=0,"Aussenlager","teilweise")))))</f>
        <v>Lift</v>
      </c>
      <c r="BK270" s="48" t="str">
        <f aca="false">IF(AS270&lt;=0,"",IF(CF270="Aussen","Aussenlager",IF(CF270="-","Nicht im Lift",IF(AY270&gt;=1,"Lift",IF(AY270&lt;=0,"Aussenlager","teilweise")))))</f>
        <v>Lift</v>
      </c>
      <c r="BL270" s="48" t="str">
        <f aca="false">IF(BC270&lt;=0,"",IF(CF270="Aussen","Aussenlager",IF(CF270="-","Nicht im Lift",IF(BI270&gt;=1,"Lift",IF(BI270&lt;=0,"Aussenlager","teilweise")))))</f>
        <v>Lift</v>
      </c>
      <c r="BM270" s="48" t="str">
        <f aca="false">IF(A270="","",IF(BV270=1,"Neu; ","")&amp;IF(AND(BV270=0,BQ270&lt;0),"negativer Bestand (Export "&amp;BQ270&amp;"); ","")&amp;IF(J270&lt;=0,"Kein Verbrauch; ","")&amp;IF(CQ270&gt;0,"Lift "&amp;W270&amp;" lt. Liftbericht (Fach "&amp;X270&amp;" Stk); ",IF(CA270=1,"Gebinde geschätzt ("&amp;T270&amp;"); ",IF(BZ270=1,"Lose – Tablare geschätzt; ","")))&amp;IF(H270&gt;AV270,"Überbestand "&amp;ROUND(H270-AV270,0)&amp;" Stk / CHF "&amp;ROUND((H270-AV270)*G270,0)&amp;"; ","")&amp;IF(AND(CH270=1,CI270&lt;CJ270),"MAX &lt; MB+LG; ","")&amp;IF(AND(CP270&gt;0,CO270*10&gt;CP270),"zu hoch für Tablar; ","")&amp;IF(AND(BV270=0,OR(CH270=1,AA270&lt;&gt;"",U270&lt;&gt;"",V270&lt;&gt;"",AB270&lt;&gt;"")),"manuell übersteuert; ","")&amp;IF(AND(BZ270=0,R270=0),"Gebinde unbekannt / Stellmass fehlt; ","")&amp;IF(AND(BZ270=0,N(V270)&lt;=0,N(Q270)&lt;=0),"Menge pro Gebinde fehlt (Ist = 1 Gebinde); ","")&amp;BU270)</f>
        <v>Kein Verbrauch; Gebinde geschätzt (Klein); Überbestand 20 Stk / CHF 333; Menge pro Gebinde fehlt (Ist = 1 Gebinde); </v>
      </c>
      <c r="BN270" s="48"/>
      <c r="BO270" s="48"/>
      <c r="BP270" s="55"/>
      <c r="BQ270" s="50" t="n">
        <v>25</v>
      </c>
      <c r="BR270" s="50" t="n">
        <v>0</v>
      </c>
      <c r="BS270" s="49" t="n">
        <v>416.25</v>
      </c>
      <c r="BT270" s="50" t="n">
        <v>0</v>
      </c>
      <c r="BU270" s="48"/>
      <c r="BV270" s="53" t="n">
        <v>0</v>
      </c>
      <c r="BW270" s="53" t="n">
        <v>270</v>
      </c>
      <c r="BX270" s="48" t="str">
        <f aca="false">IF(U270&lt;&gt;"",UPPER(TRIM(U270)),IF(CA270=1,UPPER(VLOOKUP(T270,Parameter!$I$27:$K$29,2,0)),IF(P270="","LOSE",P270)))</f>
        <v>S51</v>
      </c>
      <c r="BY270" s="50" t="n">
        <f aca="false">IF(BX270="LOSE",1,IF(N(V270)&gt;0,V270,IF(CA270=1,MAX(1,N(VLOOKUP(T270,Parameter!$I$27:$K$29,3,0)),H270,N(N270)),IF(N(Q270)&gt;0,Q270,MAX(1,H270)))))</f>
        <v>25</v>
      </c>
      <c r="BZ270" s="53" t="n">
        <f aca="false">IF(BX270="LOSE",1,0)</f>
        <v>0</v>
      </c>
      <c r="CA270" s="53" t="n">
        <f aca="false">IF(AND(U270="",OR(P270="",P270="LOSE"),T270&lt;&gt;"",N(S270)&lt;=0,ISNUMBER(MATCH(T270,Parameter!$I$27:$I$29,0))),1,0)</f>
        <v>1</v>
      </c>
      <c r="CB270" s="53" t="n">
        <f aca="false">IF(CQ270&gt;0,INDEX(Parameter!$H$5:$H$7,W270)/INDEX(Parameter!$E$5:$E$7,W270),IF(AND(BZ270=0,N(IFERROR(VLOOKUP(BX270,'Gebinde-Kategorie'!$A$5:$N$45,14,0),0))&gt;0),VLOOKUP(BX270,'Gebinde-Kategorie'!$A$5:$N$45,14,0)*10+Parameter!$M$23,Parameter!$M$24))</f>
        <v>155</v>
      </c>
      <c r="CC270" s="48" t="str">
        <f aca="false">IF(AND(Parameter!$B$19="Ja",E270&lt;&gt;"",ISNUMBER(MATCH(E270,Parameter!$I$35:$I$52,0))),VLOOKUP(E270,Parameter!$I$35:$J$52,2,0),IFERROR(VLOOKUP(D270,Parameter!$A$35:$C$64,2,0),"Nein"))</f>
        <v>2+3</v>
      </c>
      <c r="CD270" s="52" t="n">
        <f aca="false">IF(BZ270=0,0,IF(N(S270)&gt;0,S270,IFERROR(VLOOKUP(D270,Parameter!$A$35:$C$64,3,0)+0,0)))</f>
        <v>0</v>
      </c>
      <c r="CE270" s="48" t="n">
        <f aca="false">IF(AA270&lt;&gt;"",AA270,Z270)</f>
        <v>3</v>
      </c>
      <c r="CF270" s="48" t="str">
        <f aca="false">IF(OR(CE270=1,CE270=2,CE270=3),IF(Parameter!$E$27="Ja","LIFT",IF(CE270=1,"L1","L23")),IF(CE270="Aussen","Aussen","-"))</f>
        <v>LIFT</v>
      </c>
      <c r="CG270" s="59" t="n">
        <f aca="false">IF(N(AB270)&gt;0,AB270,0)</f>
        <v>0</v>
      </c>
      <c r="CH270" s="53" t="n">
        <f aca="false">IF(ISNUMBER(AE270),1,0)</f>
        <v>0</v>
      </c>
      <c r="CI270" s="50" t="n">
        <f aca="false">N(AE270)</f>
        <v>0</v>
      </c>
      <c r="CJ270" s="50" t="n">
        <f aca="false">N(M270)+N(N270)</f>
        <v>5</v>
      </c>
      <c r="CK270" s="50" t="n">
        <f aca="false">N(M270)</f>
        <v>0</v>
      </c>
      <c r="CL270" s="50" t="n">
        <f aca="false">N(N270)</f>
        <v>5</v>
      </c>
      <c r="CM270" s="50" t="n">
        <f aca="false">ROUNDUP(H270/BY270,0)</f>
        <v>1</v>
      </c>
      <c r="CN270" s="50" t="n">
        <f aca="false">ROUNDUP(CI270/BY270,0)</f>
        <v>0</v>
      </c>
      <c r="CO270" s="53" t="n">
        <f aca="false">IF(BZ270=1,0,IFERROR(VLOOKUP(BX270,'Gebinde-Kategorie'!$A$5:$N$45,5,0)+0,0))</f>
        <v>11</v>
      </c>
      <c r="CP270" s="53" t="n">
        <f aca="false">IFERROR(IF(OR(CE270=1,CE270=2,CE270=3),N(INDEX(Parameter!$I$5:$I$7,CE270)),0),0)</f>
        <v>0</v>
      </c>
      <c r="CQ270" s="52" t="n">
        <f aca="false">IF(AND(Parameter!$B$21="Ja",ISNUMBER(W270),N(X270)&gt;0),IFERROR(N(INDEX(Parameter!$L$5:$L$7,W270))*INDEX(Parameter!$E$5:$E$7,W270)*X270/SUMIFS($X$7:$X$1843,$W$7:$W$1843,W270),0),0)</f>
        <v>0</v>
      </c>
    </row>
    <row r="271" customFormat="false" ht="15" hidden="false" customHeight="false" outlineLevel="0" collapsed="false">
      <c r="A271" s="48" t="s">
        <v>729</v>
      </c>
      <c r="B271" s="48" t="s">
        <v>492</v>
      </c>
      <c r="C271" s="48" t="s">
        <v>173</v>
      </c>
      <c r="D271" s="48" t="s">
        <v>193</v>
      </c>
      <c r="E271" s="48"/>
      <c r="F271" s="48" t="s">
        <v>227</v>
      </c>
      <c r="G271" s="49" t="n">
        <v>100.35</v>
      </c>
      <c r="H271" s="50" t="n">
        <f aca="false">MAX(0,IF(AND(Parameter!$B$21="Ja",ISNUMBER(Y271)),Y271,IF(Parameter!$B$20="Jahresanfang 2025 + Export",BR271+BQ271,BQ271)))</f>
        <v>4</v>
      </c>
      <c r="I271" s="50" t="n">
        <f aca="false">H271*G271</f>
        <v>401.4</v>
      </c>
      <c r="J271" s="50" t="n">
        <f aca="false">BT271*Parameter!$B$18</f>
        <v>6</v>
      </c>
      <c r="K271" s="51" t="n">
        <v>0</v>
      </c>
      <c r="L271" s="52" t="n">
        <v>0</v>
      </c>
      <c r="M271" s="50" t="n">
        <v>0</v>
      </c>
      <c r="N271" s="50" t="n">
        <v>5</v>
      </c>
      <c r="O271" s="53" t="n">
        <v>14</v>
      </c>
      <c r="P271" s="48" t="s">
        <v>430</v>
      </c>
      <c r="Q271" s="50" t="n">
        <v>4</v>
      </c>
      <c r="R271" s="53" t="n">
        <f aca="false">IF(BZ271=1,0,IFERROR(VLOOKUP(BX271,'Gebinde-Kategorie'!$A$5:$N$45,13,0)+0,0))</f>
        <v>104</v>
      </c>
      <c r="S271" s="54"/>
      <c r="T271" s="55"/>
      <c r="U271" s="55"/>
      <c r="V271" s="55"/>
      <c r="W271" s="48"/>
      <c r="X271" s="50"/>
      <c r="Y271" s="50"/>
      <c r="Z271" s="48" t="n">
        <f aca="false">IF(A271="","",IF(AND(Parameter!$B$21="Ja",ISNUMBER(W271)),W271,IF(CC271="2+3",IF(ISNUMBER(SEARCH("grosser Artikel",BU271)),2,IFERROR(VLOOKUP(BX271,Parameter!$F$35:$G$64,2,0),2)),IF(OR(CC271="Nein",CC271=""),"-",CC271))))</f>
        <v>3</v>
      </c>
      <c r="AA271" s="55"/>
      <c r="AB271" s="56"/>
      <c r="AC271" s="50" t="n">
        <f aca="false">AV271</f>
        <v>5</v>
      </c>
      <c r="AD271" s="50" t="n">
        <f aca="false">MAX(AV271,H271)</f>
        <v>5</v>
      </c>
      <c r="AE271" s="57"/>
      <c r="AF271" s="50" t="n">
        <f aca="false">IF(LEFT(Cockpit!$C$5,1)="A",H271,IF(Parameter!$E$30="MAX-Bestand",IF(CH271=1,CI271,IF(LEFT(Cockpit!$C$5,1)="B",AL271,MAX(AL271,H271))),ROUNDUP(AJ271,0)))</f>
        <v>4</v>
      </c>
      <c r="AG271" s="50" t="n">
        <f aca="false">IF(BZ271=1,0,ROUNDUP(AF271/BY271,0))</f>
        <v>1</v>
      </c>
      <c r="AH271" s="52" t="n">
        <f aca="false">IF(CQ271&gt;0,CQ271*MAX(1,AF271/X271),IF(BZ271=1,IF(AF271&lt;=0,0,CD271*MAX(1,IF(H271&gt;0,AF271/H271,1))),IF(R271&gt;0,AG271/R271,0))/MAX(0.1,N(Parameter!$M$21)))</f>
        <v>0.00961538461538462</v>
      </c>
      <c r="AI271" s="50" t="n">
        <f aca="false">AH271*CB271</f>
        <v>1.49038461538462</v>
      </c>
      <c r="AJ271" s="51" t="n">
        <f aca="false">IF(LEFT(Cockpit!$C$5,1)="A",H271,IF(CH271=1,(CK271+CI271)/2,IF(LEFT(Cockpit!$C$5,1)="B",(CK271+AL271)/2,MAX((CK271+AL271)/2,H271))))</f>
        <v>4</v>
      </c>
      <c r="AK271" s="50" t="n">
        <f aca="false">AJ271*G271</f>
        <v>401.4</v>
      </c>
      <c r="AL271" s="50" t="n">
        <f aca="false">ROUNDUP(CK271+MAX(CL271,2*(J271/IF(CG271&gt;0,CG271,MAX(0.1,N(Cockpit!$C$6)))-CK271)),0)</f>
        <v>5</v>
      </c>
      <c r="AM271" s="51" t="n">
        <f aca="false">IF(AI271&gt;0,J271/AI271,-1)</f>
        <v>4.0258064516129</v>
      </c>
      <c r="AN271" s="51" t="n">
        <f aca="false">IF(AND(OR(CF271="L1",CF271="L23",CF271="LIFT"),AI271&gt;0),SUMIFS($AI$7:$AI$1843,$CF$7:$CF$1843,CF271,$AM$7:$AM$1843,"&gt;"&amp;AM271)+SUMIFS($AI$7:$AI$1843,$CF$7:$CF$1843,CF271,$AM$7:$AM$1843,AM271,$BW$7:$BW$1843,"&lt;="&amp;BW271),"")</f>
        <v>4336.33333333333</v>
      </c>
      <c r="AO271" s="58" t="n">
        <f aca="false">IF(AN271="",0,MAX(0,MIN(1,(IF(CF271="L1",Parameter!$H$5,IF(CF271="L23",Parameter!$H$6+Parameter!$H$7,Parameter!$H$5+Parameter!$H$6+Parameter!$H$7))-(AN271-AI271))/AI271)))</f>
        <v>1</v>
      </c>
      <c r="AP271" s="50" t="n">
        <f aca="false">IF(LEFT(Cockpit!$I$5,1)="A",H271,IF(Parameter!$E$30="MAX-Bestand",IF(CH271=1,CI271,IF(LEFT(Cockpit!$I$5,1)="B",AV271,MAX(AV271,H271))),ROUNDUP(AT271,0)))</f>
        <v>4</v>
      </c>
      <c r="AQ271" s="50" t="n">
        <f aca="false">IF(BZ271=1,0,ROUNDUP(AP271/BY271,0))</f>
        <v>1</v>
      </c>
      <c r="AR271" s="52" t="n">
        <f aca="false">IF(CQ271&gt;0,CQ271*MAX(1,AP271/X271),IF(BZ271=1,IF(AP271&lt;=0,0,CD271*MAX(1,IF(H271&gt;0,AP271/H271,1))),IF(R271&gt;0,AQ271/R271,0))/MAX(0.1,N(Parameter!$M$21)))</f>
        <v>0.00961538461538462</v>
      </c>
      <c r="AS271" s="50" t="n">
        <f aca="false">AR271*CB271</f>
        <v>1.49038461538462</v>
      </c>
      <c r="AT271" s="51" t="n">
        <f aca="false">IF(LEFT(Cockpit!$I$5,1)="A",H271,IF(CH271=1,(CK271+CI271)/2,IF(LEFT(Cockpit!$I$5,1)="B",(CK271+AV271)/2,MAX((CK271+AV271)/2,H271))))</f>
        <v>4</v>
      </c>
      <c r="AU271" s="50" t="n">
        <f aca="false">AT271*G271</f>
        <v>401.4</v>
      </c>
      <c r="AV271" s="50" t="n">
        <f aca="false">ROUNDUP(CK271+MAX(CL271,2*(J271/IF(CG271&gt;0,CG271,MAX(0.1,N(Cockpit!$I$6)))-CK271)),0)</f>
        <v>5</v>
      </c>
      <c r="AW271" s="51" t="n">
        <f aca="false">IF(AS271&gt;0,J271/AS271,-1)</f>
        <v>4.0258064516129</v>
      </c>
      <c r="AX271" s="51" t="n">
        <f aca="false">IF(AND(OR(CF271="L1",CF271="L23",CF271="LIFT"),AS271&gt;0),SUMIFS($AS$7:$AS$1843,$CF$7:$CF$1843,CF271,$AW$7:$AW$1843,"&gt;"&amp;AW271)+SUMIFS($AS$7:$AS$1843,$CF$7:$CF$1843,CF271,$AW$7:$AW$1843,AW271,$BW$7:$BW$1843,"&lt;="&amp;BW271),"")</f>
        <v>4933.40750915751</v>
      </c>
      <c r="AY271" s="58" t="n">
        <f aca="false">IF(AX271="",0,MAX(0,MIN(1,(IF(CF271="L1",Parameter!$H$5,IF(CF271="L23",Parameter!$H$6+Parameter!$H$7,Parameter!$H$5+Parameter!$H$6+Parameter!$H$7))-(AX271-AS271))/AS271)))</f>
        <v>1</v>
      </c>
      <c r="AZ271" s="50" t="n">
        <f aca="false">IF(LEFT(Cockpit!$O$5,1)="A",H271,IF(Parameter!$E$30="MAX-Bestand",IF(CH271=1,CI271,IF(LEFT(Cockpit!$O$5,1)="B",BF271,MAX(BF271,H271))),ROUNDUP(BD271,0)))</f>
        <v>3</v>
      </c>
      <c r="BA271" s="50" t="n">
        <f aca="false">IF(BZ271=1,0,ROUNDUP(AZ271/BY271,0))</f>
        <v>1</v>
      </c>
      <c r="BB271" s="52" t="n">
        <f aca="false">IF(CQ271&gt;0,CQ271*MAX(1,AZ271/X271),IF(BZ271=1,IF(AZ271&lt;=0,0,CD271*MAX(1,IF(H271&gt;0,AZ271/H271,1))),IF(R271&gt;0,BA271/R271,0))/MAX(0.1,N(Parameter!$M$21)))</f>
        <v>0.00961538461538462</v>
      </c>
      <c r="BC271" s="50" t="n">
        <f aca="false">BB271*CB271</f>
        <v>1.49038461538462</v>
      </c>
      <c r="BD271" s="51" t="n">
        <f aca="false">IF(LEFT(Cockpit!$O$5,1)="A",H271,IF(CH271=1,(CK271+CI271)/2,IF(LEFT(Cockpit!$O$5,1)="B",(CK271+BF271)/2,MAX((CK271+BF271)/2,H271))))</f>
        <v>2.5</v>
      </c>
      <c r="BE271" s="50" t="n">
        <f aca="false">BD271*G271</f>
        <v>250.875</v>
      </c>
      <c r="BF271" s="50" t="n">
        <f aca="false">ROUNDUP(CK271+MAX(CL271,2*(J271/IF(CG271&gt;0,CG271,MAX(0.1,N(Cockpit!$O$6)))-CK271)),0)</f>
        <v>5</v>
      </c>
      <c r="BG271" s="51" t="n">
        <f aca="false">IF(BC271&gt;0,J271/BC271,-1)</f>
        <v>4.0258064516129</v>
      </c>
      <c r="BH271" s="51" t="n">
        <f aca="false">IF(AND(OR(CF271="L1",CF271="L23",CF271="LIFT"),BC271&gt;0),SUMIFS($BC$7:$BC$1843,$CF$7:$CF$1843,CF271,$BG$7:$BG$1843,"&gt;"&amp;BG271)+SUMIFS($BC$7:$BC$1843,$CF$7:$CF$1843,CF271,$BG$7:$BG$1843,BG271,$BW$7:$BW$1843,"&lt;="&amp;BW271),"")</f>
        <v>4043.5260989011</v>
      </c>
      <c r="BI271" s="58" t="n">
        <f aca="false">IF(BH271="",0,MAX(0,MIN(1,(IF(CF271="L1",Parameter!$H$5,IF(CF271="L23",Parameter!$H$6+Parameter!$H$7,Parameter!$H$5+Parameter!$H$6+Parameter!$H$7))-(BH271-BC271))/BC271)))</f>
        <v>1</v>
      </c>
      <c r="BJ271" s="48" t="str">
        <f aca="false">IF(AI271&lt;=0,"",IF(CF271="Aussen","Aussenlager",IF(CF271="-","Nicht im Lift",IF(AO271&gt;=1,"Lift",IF(AO271&lt;=0,"Aussenlager","teilweise")))))</f>
        <v>Lift</v>
      </c>
      <c r="BK271" s="48" t="str">
        <f aca="false">IF(AS271&lt;=0,"",IF(CF271="Aussen","Aussenlager",IF(CF271="-","Nicht im Lift",IF(AY271&gt;=1,"Lift",IF(AY271&lt;=0,"Aussenlager","teilweise")))))</f>
        <v>Lift</v>
      </c>
      <c r="BL271" s="48" t="str">
        <f aca="false">IF(BC271&lt;=0,"",IF(CF271="Aussen","Aussenlager",IF(CF271="-","Nicht im Lift",IF(BI271&gt;=1,"Lift",IF(BI271&lt;=0,"Aussenlager","teilweise")))))</f>
        <v>Lift</v>
      </c>
      <c r="BM271" s="48" t="str">
        <f aca="false">IF(A271="","",IF(BV271=1,"Neu; ","")&amp;IF(AND(BV271=0,BQ271&lt;0),"negativer Bestand (Export "&amp;BQ271&amp;"); ","")&amp;IF(J271&lt;=0,"Kein Verbrauch; ","")&amp;IF(CQ271&gt;0,"Lift "&amp;W271&amp;" lt. Liftbericht (Fach "&amp;X271&amp;" Stk); ",IF(CA271=1,"Gebinde geschätzt ("&amp;T271&amp;"); ",IF(BZ271=1,"Lose – Tablare geschätzt; ","")))&amp;IF(H271&gt;AV271,"Überbestand "&amp;ROUND(H271-AV271,0)&amp;" Stk / CHF "&amp;ROUND((H271-AV271)*G271,0)&amp;"; ","")&amp;IF(AND(CH271=1,CI271&lt;CJ271),"MAX &lt; MB+LG; ","")&amp;IF(AND(CP271&gt;0,CO271*10&gt;CP271),"zu hoch für Tablar; ","")&amp;IF(AND(BV271=0,OR(CH271=1,AA271&lt;&gt;"",U271&lt;&gt;"",V271&lt;&gt;"",AB271&lt;&gt;"")),"manuell übersteuert; ","")&amp;IF(AND(BZ271=0,R271=0),"Gebinde unbekannt / Stellmass fehlt; ","")&amp;IF(AND(BZ271=0,N(V271)&lt;=0,N(Q271)&lt;=0),"Menge pro Gebinde fehlt (Ist = 1 Gebinde); ","")&amp;BU271)</f>
        <v/>
      </c>
      <c r="BN271" s="48"/>
      <c r="BO271" s="48"/>
      <c r="BP271" s="55"/>
      <c r="BQ271" s="50" t="n">
        <v>4</v>
      </c>
      <c r="BR271" s="50" t="n">
        <v>0</v>
      </c>
      <c r="BS271" s="49" t="n">
        <v>401.4</v>
      </c>
      <c r="BT271" s="50" t="n">
        <v>6</v>
      </c>
      <c r="BU271" s="48"/>
      <c r="BV271" s="53" t="n">
        <v>0</v>
      </c>
      <c r="BW271" s="53" t="n">
        <v>271</v>
      </c>
      <c r="BX271" s="48" t="str">
        <f aca="false">IF(U271&lt;&gt;"",UPPER(TRIM(U271)),IF(CA271=1,UPPER(VLOOKUP(T271,Parameter!$I$27:$K$29,2,0)),IF(P271="","LOSE",P271)))</f>
        <v>S32</v>
      </c>
      <c r="BY271" s="50" t="n">
        <f aca="false">IF(BX271="LOSE",1,IF(N(V271)&gt;0,V271,IF(CA271=1,MAX(1,N(VLOOKUP(T271,Parameter!$I$27:$K$29,3,0)),H271,N(N271)),IF(N(Q271)&gt;0,Q271,MAX(1,H271)))))</f>
        <v>4</v>
      </c>
      <c r="BZ271" s="53" t="n">
        <f aca="false">IF(BX271="LOSE",1,0)</f>
        <v>0</v>
      </c>
      <c r="CA271" s="53" t="n">
        <f aca="false">IF(AND(U271="",OR(P271="",P271="LOSE"),T271&lt;&gt;"",N(S271)&lt;=0,ISNUMBER(MATCH(T271,Parameter!$I$27:$I$29,0))),1,0)</f>
        <v>0</v>
      </c>
      <c r="CB271" s="53" t="n">
        <f aca="false">IF(CQ271&gt;0,INDEX(Parameter!$H$5:$H$7,W271)/INDEX(Parameter!$E$5:$E$7,W271),IF(AND(BZ271=0,N(IFERROR(VLOOKUP(BX271,'Gebinde-Kategorie'!$A$5:$N$45,14,0),0))&gt;0),VLOOKUP(BX271,'Gebinde-Kategorie'!$A$5:$N$45,14,0)*10+Parameter!$M$23,Parameter!$M$24))</f>
        <v>155</v>
      </c>
      <c r="CC271" s="48" t="str">
        <f aca="false">IF(AND(Parameter!$B$19="Ja",E271&lt;&gt;"",ISNUMBER(MATCH(E271,Parameter!$I$35:$I$52,0))),VLOOKUP(E271,Parameter!$I$35:$J$52,2,0),IFERROR(VLOOKUP(D271,Parameter!$A$35:$C$64,2,0),"Nein"))</f>
        <v>2+3</v>
      </c>
      <c r="CD271" s="52" t="n">
        <f aca="false">IF(BZ271=0,0,IF(N(S271)&gt;0,S271,IFERROR(VLOOKUP(D271,Parameter!$A$35:$C$64,3,0)+0,0)))</f>
        <v>0</v>
      </c>
      <c r="CE271" s="48" t="n">
        <f aca="false">IF(AA271&lt;&gt;"",AA271,Z271)</f>
        <v>3</v>
      </c>
      <c r="CF271" s="48" t="str">
        <f aca="false">IF(OR(CE271=1,CE271=2,CE271=3),IF(Parameter!$E$27="Ja","LIFT",IF(CE271=1,"L1","L23")),IF(CE271="Aussen","Aussen","-"))</f>
        <v>LIFT</v>
      </c>
      <c r="CG271" s="59" t="n">
        <f aca="false">IF(N(AB271)&gt;0,AB271,0)</f>
        <v>0</v>
      </c>
      <c r="CH271" s="53" t="n">
        <f aca="false">IF(ISNUMBER(AE271),1,0)</f>
        <v>0</v>
      </c>
      <c r="CI271" s="50" t="n">
        <f aca="false">N(AE271)</f>
        <v>0</v>
      </c>
      <c r="CJ271" s="50" t="n">
        <f aca="false">N(M271)+N(N271)</f>
        <v>5</v>
      </c>
      <c r="CK271" s="50" t="n">
        <f aca="false">N(M271)</f>
        <v>0</v>
      </c>
      <c r="CL271" s="50" t="n">
        <f aca="false">N(N271)</f>
        <v>5</v>
      </c>
      <c r="CM271" s="50" t="n">
        <f aca="false">ROUNDUP(H271/BY271,0)</f>
        <v>1</v>
      </c>
      <c r="CN271" s="50" t="n">
        <f aca="false">ROUNDUP(CI271/BY271,0)</f>
        <v>0</v>
      </c>
      <c r="CO271" s="53" t="n">
        <f aca="false">IF(BZ271=1,0,IFERROR(VLOOKUP(BX271,'Gebinde-Kategorie'!$A$5:$N$45,5,0)+0,0))</f>
        <v>8</v>
      </c>
      <c r="CP271" s="53" t="n">
        <f aca="false">IFERROR(IF(OR(CE271=1,CE271=2,CE271=3),N(INDEX(Parameter!$I$5:$I$7,CE271)),0),0)</f>
        <v>0</v>
      </c>
      <c r="CQ271" s="52" t="n">
        <f aca="false">IF(AND(Parameter!$B$21="Ja",ISNUMBER(W271),N(X271)&gt;0),IFERROR(N(INDEX(Parameter!$L$5:$L$7,W271))*INDEX(Parameter!$E$5:$E$7,W271)*X271/SUMIFS($X$7:$X$1843,$W$7:$W$1843,W271),0),0)</f>
        <v>0</v>
      </c>
    </row>
    <row r="272" customFormat="false" ht="15" hidden="false" customHeight="false" outlineLevel="0" collapsed="false">
      <c r="A272" s="48" t="s">
        <v>730</v>
      </c>
      <c r="B272" s="48" t="s">
        <v>731</v>
      </c>
      <c r="C272" s="48" t="s">
        <v>173</v>
      </c>
      <c r="D272" s="48" t="s">
        <v>193</v>
      </c>
      <c r="E272" s="48" t="s">
        <v>194</v>
      </c>
      <c r="F272" s="48" t="s">
        <v>227</v>
      </c>
      <c r="G272" s="49" t="n">
        <v>38.7</v>
      </c>
      <c r="H272" s="50" t="n">
        <f aca="false">MAX(0,IF(AND(Parameter!$B$21="Ja",ISNUMBER(Y272)),Y272,IF(Parameter!$B$20="Jahresanfang 2025 + Export",BR272+BQ272,BQ272)))</f>
        <v>21</v>
      </c>
      <c r="I272" s="50" t="n">
        <f aca="false">H272*G272</f>
        <v>812.7</v>
      </c>
      <c r="J272" s="50" t="n">
        <f aca="false">BT272*Parameter!$B$18</f>
        <v>13</v>
      </c>
      <c r="K272" s="51" t="n">
        <v>17</v>
      </c>
      <c r="L272" s="52" t="n">
        <v>0.764705882352941</v>
      </c>
      <c r="M272" s="50" t="n">
        <v>1</v>
      </c>
      <c r="N272" s="50" t="n">
        <v>15</v>
      </c>
      <c r="O272" s="53" t="n">
        <v>28</v>
      </c>
      <c r="P272" s="48" t="s">
        <v>430</v>
      </c>
      <c r="Q272" s="50" t="n">
        <v>31</v>
      </c>
      <c r="R272" s="53" t="n">
        <f aca="false">IF(BZ272=1,0,IFERROR(VLOOKUP(BX272,'Gebinde-Kategorie'!$A$5:$N$45,13,0)+0,0))</f>
        <v>104</v>
      </c>
      <c r="S272" s="54"/>
      <c r="T272" s="55"/>
      <c r="U272" s="55"/>
      <c r="V272" s="55"/>
      <c r="W272" s="48"/>
      <c r="X272" s="50"/>
      <c r="Y272" s="50"/>
      <c r="Z272" s="48" t="n">
        <f aca="false">IF(A272="","",IF(AND(Parameter!$B$21="Ja",ISNUMBER(W272)),W272,IF(CC272="2+3",IF(ISNUMBER(SEARCH("grosser Artikel",BU272)),2,IFERROR(VLOOKUP(BX272,Parameter!$F$35:$G$64,2,0),2)),IF(OR(CC272="Nein",CC272=""),"-",CC272))))</f>
        <v>3</v>
      </c>
      <c r="AA272" s="55"/>
      <c r="AB272" s="56"/>
      <c r="AC272" s="50" t="n">
        <f aca="false">AV272</f>
        <v>16</v>
      </c>
      <c r="AD272" s="50" t="n">
        <f aca="false">MAX(AV272,H272)</f>
        <v>21</v>
      </c>
      <c r="AE272" s="57"/>
      <c r="AF272" s="50" t="n">
        <f aca="false">IF(LEFT(Cockpit!$C$5,1)="A",H272,IF(Parameter!$E$30="MAX-Bestand",IF(CH272=1,CI272,IF(LEFT(Cockpit!$C$5,1)="B",AL272,MAX(AL272,H272))),ROUNDUP(AJ272,0)))</f>
        <v>21</v>
      </c>
      <c r="AG272" s="50" t="n">
        <f aca="false">IF(BZ272=1,0,ROUNDUP(AF272/BY272,0))</f>
        <v>1</v>
      </c>
      <c r="AH272" s="52" t="n">
        <f aca="false">IF(CQ272&gt;0,CQ272*MAX(1,AF272/X272),IF(BZ272=1,IF(AF272&lt;=0,0,CD272*MAX(1,IF(H272&gt;0,AF272/H272,1))),IF(R272&gt;0,AG272/R272,0))/MAX(0.1,N(Parameter!$M$21)))</f>
        <v>0.00961538461538462</v>
      </c>
      <c r="AI272" s="50" t="n">
        <f aca="false">AH272*CB272</f>
        <v>1.49038461538462</v>
      </c>
      <c r="AJ272" s="51" t="n">
        <f aca="false">IF(LEFT(Cockpit!$C$5,1)="A",H272,IF(CH272=1,(CK272+CI272)/2,IF(LEFT(Cockpit!$C$5,1)="B",(CK272+AL272)/2,MAX((CK272+AL272)/2,H272))))</f>
        <v>21</v>
      </c>
      <c r="AK272" s="50" t="n">
        <f aca="false">AJ272*G272</f>
        <v>812.7</v>
      </c>
      <c r="AL272" s="50" t="n">
        <f aca="false">ROUNDUP(CK272+MAX(CL272,2*(J272/IF(CG272&gt;0,CG272,MAX(0.1,N(Cockpit!$C$6)))-CK272)),0)</f>
        <v>16</v>
      </c>
      <c r="AM272" s="51" t="n">
        <f aca="false">IF(AI272&gt;0,J272/AI272,-1)</f>
        <v>8.72258064516129</v>
      </c>
      <c r="AN272" s="51" t="n">
        <f aca="false">IF(AND(OR(CF272="L1",CF272="L23",CF272="LIFT"),AI272&gt;0),SUMIFS($AI$7:$AI$1843,$CF$7:$CF$1843,CF272,$AM$7:$AM$1843,"&gt;"&amp;AM272)+SUMIFS($AI$7:$AI$1843,$CF$7:$CF$1843,CF272,$AM$7:$AM$1843,AM272,$BW$7:$BW$1843,"&lt;="&amp;BW272),"")</f>
        <v>2949.43956043956</v>
      </c>
      <c r="AO272" s="58" t="n">
        <f aca="false">IF(AN272="",0,MAX(0,MIN(1,(IF(CF272="L1",Parameter!$H$5,IF(CF272="L23",Parameter!$H$6+Parameter!$H$7,Parameter!$H$5+Parameter!$H$6+Parameter!$H$7))-(AN272-AI272))/AI272)))</f>
        <v>1</v>
      </c>
      <c r="AP272" s="50" t="n">
        <f aca="false">IF(LEFT(Cockpit!$I$5,1)="A",H272,IF(Parameter!$E$30="MAX-Bestand",IF(CH272=1,CI272,IF(LEFT(Cockpit!$I$5,1)="B",AV272,MAX(AV272,H272))),ROUNDUP(AT272,0)))</f>
        <v>21</v>
      </c>
      <c r="AQ272" s="50" t="n">
        <f aca="false">IF(BZ272=1,0,ROUNDUP(AP272/BY272,0))</f>
        <v>1</v>
      </c>
      <c r="AR272" s="52" t="n">
        <f aca="false">IF(CQ272&gt;0,CQ272*MAX(1,AP272/X272),IF(BZ272=1,IF(AP272&lt;=0,0,CD272*MAX(1,IF(H272&gt;0,AP272/H272,1))),IF(R272&gt;0,AQ272/R272,0))/MAX(0.1,N(Parameter!$M$21)))</f>
        <v>0.00961538461538462</v>
      </c>
      <c r="AS272" s="50" t="n">
        <f aca="false">AR272*CB272</f>
        <v>1.49038461538462</v>
      </c>
      <c r="AT272" s="51" t="n">
        <f aca="false">IF(LEFT(Cockpit!$I$5,1)="A",H272,IF(CH272=1,(CK272+CI272)/2,IF(LEFT(Cockpit!$I$5,1)="B",(CK272+AV272)/2,MAX((CK272+AV272)/2,H272))))</f>
        <v>21</v>
      </c>
      <c r="AU272" s="50" t="n">
        <f aca="false">AT272*G272</f>
        <v>812.7</v>
      </c>
      <c r="AV272" s="50" t="n">
        <f aca="false">ROUNDUP(CK272+MAX(CL272,2*(J272/IF(CG272&gt;0,CG272,MAX(0.1,N(Cockpit!$I$6)))-CK272)),0)</f>
        <v>16</v>
      </c>
      <c r="AW272" s="51" t="n">
        <f aca="false">IF(AS272&gt;0,J272/AS272,-1)</f>
        <v>8.72258064516129</v>
      </c>
      <c r="AX272" s="51" t="n">
        <f aca="false">IF(AND(OR(CF272="L1",CF272="L23",CF272="LIFT"),AS272&gt;0),SUMIFS($AS$7:$AS$1843,$CF$7:$CF$1843,CF272,$AW$7:$AW$1843,"&gt;"&amp;AW272)+SUMIFS($AS$7:$AS$1843,$CF$7:$CF$1843,CF272,$AW$7:$AW$1843,AW272,$BW$7:$BW$1843,"&lt;="&amp;BW272),"")</f>
        <v>3564.42765567766</v>
      </c>
      <c r="AY272" s="58" t="n">
        <f aca="false">IF(AX272="",0,MAX(0,MIN(1,(IF(CF272="L1",Parameter!$H$5,IF(CF272="L23",Parameter!$H$6+Parameter!$H$7,Parameter!$H$5+Parameter!$H$6+Parameter!$H$7))-(AX272-AS272))/AS272)))</f>
        <v>1</v>
      </c>
      <c r="AZ272" s="50" t="n">
        <f aca="false">IF(LEFT(Cockpit!$O$5,1)="A",H272,IF(Parameter!$E$30="MAX-Bestand",IF(CH272=1,CI272,IF(LEFT(Cockpit!$O$5,1)="B",BF272,MAX(BF272,H272))),ROUNDUP(BD272,0)))</f>
        <v>9</v>
      </c>
      <c r="BA272" s="50" t="n">
        <f aca="false">IF(BZ272=1,0,ROUNDUP(AZ272/BY272,0))</f>
        <v>1</v>
      </c>
      <c r="BB272" s="52" t="n">
        <f aca="false">IF(CQ272&gt;0,CQ272*MAX(1,AZ272/X272),IF(BZ272=1,IF(AZ272&lt;=0,0,CD272*MAX(1,IF(H272&gt;0,AZ272/H272,1))),IF(R272&gt;0,BA272/R272,0))/MAX(0.1,N(Parameter!$M$21)))</f>
        <v>0.00961538461538462</v>
      </c>
      <c r="BC272" s="50" t="n">
        <f aca="false">BB272*CB272</f>
        <v>1.49038461538462</v>
      </c>
      <c r="BD272" s="51" t="n">
        <f aca="false">IF(LEFT(Cockpit!$O$5,1)="A",H272,IF(CH272=1,(CK272+CI272)/2,IF(LEFT(Cockpit!$O$5,1)="B",(CK272+BF272)/2,MAX((CK272+BF272)/2,H272))))</f>
        <v>8.5</v>
      </c>
      <c r="BE272" s="50" t="n">
        <f aca="false">BD272*G272</f>
        <v>328.95</v>
      </c>
      <c r="BF272" s="50" t="n">
        <f aca="false">ROUNDUP(CK272+MAX(CL272,2*(J272/IF(CG272&gt;0,CG272,MAX(0.1,N(Cockpit!$O$6)))-CK272)),0)</f>
        <v>16</v>
      </c>
      <c r="BG272" s="51" t="n">
        <f aca="false">IF(BC272&gt;0,J272/BC272,-1)</f>
        <v>8.72258064516129</v>
      </c>
      <c r="BH272" s="51" t="n">
        <f aca="false">IF(AND(OR(CF272="L1",CF272="L23",CF272="LIFT"),BC272&gt;0),SUMIFS($BC$7:$BC$1843,$CF$7:$CF$1843,CF272,$BG$7:$BG$1843,"&gt;"&amp;BG272)+SUMIFS($BC$7:$BC$1843,$CF$7:$CF$1843,CF272,$BG$7:$BG$1843,BG272,$BW$7:$BW$1843,"&lt;="&amp;BW272),"")</f>
        <v>2887.70695970696</v>
      </c>
      <c r="BI272" s="58" t="n">
        <f aca="false">IF(BH272="",0,MAX(0,MIN(1,(IF(CF272="L1",Parameter!$H$5,IF(CF272="L23",Parameter!$H$6+Parameter!$H$7,Parameter!$H$5+Parameter!$H$6+Parameter!$H$7))-(BH272-BC272))/BC272)))</f>
        <v>1</v>
      </c>
      <c r="BJ272" s="48" t="str">
        <f aca="false">IF(AI272&lt;=0,"",IF(CF272="Aussen","Aussenlager",IF(CF272="-","Nicht im Lift",IF(AO272&gt;=1,"Lift",IF(AO272&lt;=0,"Aussenlager","teilweise")))))</f>
        <v>Lift</v>
      </c>
      <c r="BK272" s="48" t="str">
        <f aca="false">IF(AS272&lt;=0,"",IF(CF272="Aussen","Aussenlager",IF(CF272="-","Nicht im Lift",IF(AY272&gt;=1,"Lift",IF(AY272&lt;=0,"Aussenlager","teilweise")))))</f>
        <v>Lift</v>
      </c>
      <c r="BL272" s="48" t="str">
        <f aca="false">IF(BC272&lt;=0,"",IF(CF272="Aussen","Aussenlager",IF(CF272="-","Nicht im Lift",IF(BI272&gt;=1,"Lift",IF(BI272&lt;=0,"Aussenlager","teilweise")))))</f>
        <v>Lift</v>
      </c>
      <c r="BM272" s="48" t="str">
        <f aca="false">IF(A272="","",IF(BV272=1,"Neu; ","")&amp;IF(AND(BV272=0,BQ272&lt;0),"negativer Bestand (Export "&amp;BQ272&amp;"); ","")&amp;IF(J272&lt;=0,"Kein Verbrauch; ","")&amp;IF(CQ272&gt;0,"Lift "&amp;W272&amp;" lt. Liftbericht (Fach "&amp;X272&amp;" Stk); ",IF(CA272=1,"Gebinde geschätzt ("&amp;T272&amp;"); ",IF(BZ272=1,"Lose – Tablare geschätzt; ","")))&amp;IF(H272&gt;AV272,"Überbestand "&amp;ROUND(H272-AV272,0)&amp;" Stk / CHF "&amp;ROUND((H272-AV272)*G272,0)&amp;"; ","")&amp;IF(AND(CH272=1,CI272&lt;CJ272),"MAX &lt; MB+LG; ","")&amp;IF(AND(CP272&gt;0,CO272*10&gt;CP272),"zu hoch für Tablar; ","")&amp;IF(AND(BV272=0,OR(CH272=1,AA272&lt;&gt;"",U272&lt;&gt;"",V272&lt;&gt;"",AB272&lt;&gt;"")),"manuell übersteuert; ","")&amp;IF(AND(BZ272=0,R272=0),"Gebinde unbekannt / Stellmass fehlt; ","")&amp;IF(AND(BZ272=0,N(V272)&lt;=0,N(Q272)&lt;=0),"Menge pro Gebinde fehlt (Ist = 1 Gebinde); ","")&amp;BU272)</f>
        <v>Überbestand 5 Stk / CHF 194; </v>
      </c>
      <c r="BN272" s="48"/>
      <c r="BO272" s="48"/>
      <c r="BP272" s="55"/>
      <c r="BQ272" s="50" t="n">
        <v>10</v>
      </c>
      <c r="BR272" s="50" t="n">
        <v>11</v>
      </c>
      <c r="BS272" s="49" t="n">
        <v>387</v>
      </c>
      <c r="BT272" s="50" t="n">
        <v>13</v>
      </c>
      <c r="BU272" s="48"/>
      <c r="BV272" s="53" t="n">
        <v>0</v>
      </c>
      <c r="BW272" s="53" t="n">
        <v>272</v>
      </c>
      <c r="BX272" s="48" t="str">
        <f aca="false">IF(U272&lt;&gt;"",UPPER(TRIM(U272)),IF(CA272=1,UPPER(VLOOKUP(T272,Parameter!$I$27:$K$29,2,0)),IF(P272="","LOSE",P272)))</f>
        <v>S32</v>
      </c>
      <c r="BY272" s="50" t="n">
        <f aca="false">IF(BX272="LOSE",1,IF(N(V272)&gt;0,V272,IF(CA272=1,MAX(1,N(VLOOKUP(T272,Parameter!$I$27:$K$29,3,0)),H272,N(N272)),IF(N(Q272)&gt;0,Q272,MAX(1,H272)))))</f>
        <v>31</v>
      </c>
      <c r="BZ272" s="53" t="n">
        <f aca="false">IF(BX272="LOSE",1,0)</f>
        <v>0</v>
      </c>
      <c r="CA272" s="53" t="n">
        <f aca="false">IF(AND(U272="",OR(P272="",P272="LOSE"),T272&lt;&gt;"",N(S272)&lt;=0,ISNUMBER(MATCH(T272,Parameter!$I$27:$I$29,0))),1,0)</f>
        <v>0</v>
      </c>
      <c r="CB272" s="53" t="n">
        <f aca="false">IF(CQ272&gt;0,INDEX(Parameter!$H$5:$H$7,W272)/INDEX(Parameter!$E$5:$E$7,W272),IF(AND(BZ272=0,N(IFERROR(VLOOKUP(BX272,'Gebinde-Kategorie'!$A$5:$N$45,14,0),0))&gt;0),VLOOKUP(BX272,'Gebinde-Kategorie'!$A$5:$N$45,14,0)*10+Parameter!$M$23,Parameter!$M$24))</f>
        <v>155</v>
      </c>
      <c r="CC272" s="48" t="str">
        <f aca="false">IF(AND(Parameter!$B$19="Ja",E272&lt;&gt;"",ISNUMBER(MATCH(E272,Parameter!$I$35:$I$52,0))),VLOOKUP(E272,Parameter!$I$35:$J$52,2,0),IFERROR(VLOOKUP(D272,Parameter!$A$35:$C$64,2,0),"Nein"))</f>
        <v>2+3</v>
      </c>
      <c r="CD272" s="52" t="n">
        <f aca="false">IF(BZ272=0,0,IF(N(S272)&gt;0,S272,IFERROR(VLOOKUP(D272,Parameter!$A$35:$C$64,3,0)+0,0)))</f>
        <v>0</v>
      </c>
      <c r="CE272" s="48" t="n">
        <f aca="false">IF(AA272&lt;&gt;"",AA272,Z272)</f>
        <v>3</v>
      </c>
      <c r="CF272" s="48" t="str">
        <f aca="false">IF(OR(CE272=1,CE272=2,CE272=3),IF(Parameter!$E$27="Ja","LIFT",IF(CE272=1,"L1","L23")),IF(CE272="Aussen","Aussen","-"))</f>
        <v>LIFT</v>
      </c>
      <c r="CG272" s="59" t="n">
        <f aca="false">IF(N(AB272)&gt;0,AB272,0)</f>
        <v>0</v>
      </c>
      <c r="CH272" s="53" t="n">
        <f aca="false">IF(ISNUMBER(AE272),1,0)</f>
        <v>0</v>
      </c>
      <c r="CI272" s="50" t="n">
        <f aca="false">N(AE272)</f>
        <v>0</v>
      </c>
      <c r="CJ272" s="50" t="n">
        <f aca="false">N(M272)+N(N272)</f>
        <v>16</v>
      </c>
      <c r="CK272" s="50" t="n">
        <f aca="false">N(M272)</f>
        <v>1</v>
      </c>
      <c r="CL272" s="50" t="n">
        <f aca="false">N(N272)</f>
        <v>15</v>
      </c>
      <c r="CM272" s="50" t="n">
        <f aca="false">ROUNDUP(H272/BY272,0)</f>
        <v>1</v>
      </c>
      <c r="CN272" s="50" t="n">
        <f aca="false">ROUNDUP(CI272/BY272,0)</f>
        <v>0</v>
      </c>
      <c r="CO272" s="53" t="n">
        <f aca="false">IF(BZ272=1,0,IFERROR(VLOOKUP(BX272,'Gebinde-Kategorie'!$A$5:$N$45,5,0)+0,0))</f>
        <v>8</v>
      </c>
      <c r="CP272" s="53" t="n">
        <f aca="false">IFERROR(IF(OR(CE272=1,CE272=2,CE272=3),N(INDEX(Parameter!$I$5:$I$7,CE272)),0),0)</f>
        <v>0</v>
      </c>
      <c r="CQ272" s="52" t="n">
        <f aca="false">IF(AND(Parameter!$B$21="Ja",ISNUMBER(W272),N(X272)&gt;0),IFERROR(N(INDEX(Parameter!$L$5:$L$7,W272))*INDEX(Parameter!$E$5:$E$7,W272)*X272/SUMIFS($X$7:$X$1843,$W$7:$W$1843,W272),0),0)</f>
        <v>0</v>
      </c>
    </row>
    <row r="273" customFormat="false" ht="15" hidden="false" customHeight="false" outlineLevel="0" collapsed="false">
      <c r="A273" s="48" t="s">
        <v>732</v>
      </c>
      <c r="B273" s="48" t="s">
        <v>733</v>
      </c>
      <c r="C273" s="48" t="s">
        <v>173</v>
      </c>
      <c r="D273" s="48" t="s">
        <v>193</v>
      </c>
      <c r="E273" s="48" t="s">
        <v>194</v>
      </c>
      <c r="F273" s="48" t="s">
        <v>227</v>
      </c>
      <c r="G273" s="49" t="n">
        <v>9.25</v>
      </c>
      <c r="H273" s="50" t="n">
        <f aca="false">MAX(0,IF(AND(Parameter!$B$21="Ja",ISNUMBER(Y273)),Y273,IF(Parameter!$B$20="Jahresanfang 2025 + Export",BR273+BQ273,BQ273)))</f>
        <v>53</v>
      </c>
      <c r="I273" s="50" t="n">
        <f aca="false">H273*G273</f>
        <v>490.25</v>
      </c>
      <c r="J273" s="50" t="n">
        <f aca="false">BT273*Parameter!$B$18</f>
        <v>8</v>
      </c>
      <c r="K273" s="51" t="n">
        <v>5.5</v>
      </c>
      <c r="L273" s="52" t="n">
        <v>1.45454545454546</v>
      </c>
      <c r="M273" s="50" t="n">
        <v>0</v>
      </c>
      <c r="N273" s="50" t="n">
        <v>10</v>
      </c>
      <c r="O273" s="53" t="n">
        <v>18</v>
      </c>
      <c r="P273" s="48" t="s">
        <v>435</v>
      </c>
      <c r="Q273" s="50" t="n">
        <v>21</v>
      </c>
      <c r="R273" s="53" t="n">
        <f aca="false">IF(BZ273=1,0,IFERROR(VLOOKUP(BX273,'Gebinde-Kategorie'!$A$5:$N$45,13,0)+0,0))</f>
        <v>140</v>
      </c>
      <c r="S273" s="54"/>
      <c r="T273" s="55"/>
      <c r="U273" s="55"/>
      <c r="V273" s="55"/>
      <c r="W273" s="48"/>
      <c r="X273" s="50"/>
      <c r="Y273" s="50"/>
      <c r="Z273" s="48" t="n">
        <f aca="false">IF(A273="","",IF(AND(Parameter!$B$21="Ja",ISNUMBER(W273)),W273,IF(CC273="2+3",IF(ISNUMBER(SEARCH("grosser Artikel",BU273)),2,IFERROR(VLOOKUP(BX273,Parameter!$F$35:$G$64,2,0),2)),IF(OR(CC273="Nein",CC273=""),"-",CC273))))</f>
        <v>3</v>
      </c>
      <c r="AA273" s="55"/>
      <c r="AB273" s="56"/>
      <c r="AC273" s="50" t="n">
        <f aca="false">AV273</f>
        <v>10</v>
      </c>
      <c r="AD273" s="50" t="n">
        <f aca="false">MAX(AV273,H273)</f>
        <v>53</v>
      </c>
      <c r="AE273" s="57"/>
      <c r="AF273" s="50" t="n">
        <f aca="false">IF(LEFT(Cockpit!$C$5,1)="A",H273,IF(Parameter!$E$30="MAX-Bestand",IF(CH273=1,CI273,IF(LEFT(Cockpit!$C$5,1)="B",AL273,MAX(AL273,H273))),ROUNDUP(AJ273,0)))</f>
        <v>53</v>
      </c>
      <c r="AG273" s="50" t="n">
        <f aca="false">IF(BZ273=1,0,ROUNDUP(AF273/BY273,0))</f>
        <v>3</v>
      </c>
      <c r="AH273" s="52" t="n">
        <f aca="false">IF(CQ273&gt;0,CQ273*MAX(1,AF273/X273),IF(BZ273=1,IF(AF273&lt;=0,0,CD273*MAX(1,IF(H273&gt;0,AF273/H273,1))),IF(R273&gt;0,AG273/R273,0))/MAX(0.1,N(Parameter!$M$21)))</f>
        <v>0.0214285714285714</v>
      </c>
      <c r="AI273" s="50" t="n">
        <f aca="false">AH273*CB273</f>
        <v>3.32142857142857</v>
      </c>
      <c r="AJ273" s="51" t="n">
        <f aca="false">IF(LEFT(Cockpit!$C$5,1)="A",H273,IF(CH273=1,(CK273+CI273)/2,IF(LEFT(Cockpit!$C$5,1)="B",(CK273+AL273)/2,MAX((CK273+AL273)/2,H273))))</f>
        <v>53</v>
      </c>
      <c r="AK273" s="50" t="n">
        <f aca="false">AJ273*G273</f>
        <v>490.25</v>
      </c>
      <c r="AL273" s="50" t="n">
        <f aca="false">ROUNDUP(CK273+MAX(CL273,2*(J273/IF(CG273&gt;0,CG273,MAX(0.1,N(Cockpit!$C$6)))-CK273)),0)</f>
        <v>10</v>
      </c>
      <c r="AM273" s="51" t="n">
        <f aca="false">IF(AI273&gt;0,J273/AI273,-1)</f>
        <v>2.40860215053763</v>
      </c>
      <c r="AN273" s="51" t="n">
        <f aca="false">IF(AND(OR(CF273="L1",CF273="L23",CF273="LIFT"),AI273&gt;0),SUMIFS($AI$7:$AI$1843,$CF$7:$CF$1843,CF273,$AM$7:$AM$1843,"&gt;"&amp;AM273)+SUMIFS($AI$7:$AI$1843,$CF$7:$CF$1843,CF273,$AM$7:$AM$1843,AM273,$BW$7:$BW$1843,"&lt;="&amp;BW273),"")</f>
        <v>5572.50045787546</v>
      </c>
      <c r="AO273" s="58" t="n">
        <f aca="false">IF(AN273="",0,MAX(0,MIN(1,(IF(CF273="L1",Parameter!$H$5,IF(CF273="L23",Parameter!$H$6+Parameter!$H$7,Parameter!$H$5+Parameter!$H$6+Parameter!$H$7))-(AN273-AI273))/AI273)))</f>
        <v>1</v>
      </c>
      <c r="AP273" s="50" t="n">
        <f aca="false">IF(LEFT(Cockpit!$I$5,1)="A",H273,IF(Parameter!$E$30="MAX-Bestand",IF(CH273=1,CI273,IF(LEFT(Cockpit!$I$5,1)="B",AV273,MAX(AV273,H273))),ROUNDUP(AT273,0)))</f>
        <v>53</v>
      </c>
      <c r="AQ273" s="50" t="n">
        <f aca="false">IF(BZ273=1,0,ROUNDUP(AP273/BY273,0))</f>
        <v>3</v>
      </c>
      <c r="AR273" s="52" t="n">
        <f aca="false">IF(CQ273&gt;0,CQ273*MAX(1,AP273/X273),IF(BZ273=1,IF(AP273&lt;=0,0,CD273*MAX(1,IF(H273&gt;0,AP273/H273,1))),IF(R273&gt;0,AQ273/R273,0))/MAX(0.1,N(Parameter!$M$21)))</f>
        <v>0.0214285714285714</v>
      </c>
      <c r="AS273" s="50" t="n">
        <f aca="false">AR273*CB273</f>
        <v>3.32142857142857</v>
      </c>
      <c r="AT273" s="51" t="n">
        <f aca="false">IF(LEFT(Cockpit!$I$5,1)="A",H273,IF(CH273=1,(CK273+CI273)/2,IF(LEFT(Cockpit!$I$5,1)="B",(CK273+AV273)/2,MAX((CK273+AV273)/2,H273))))</f>
        <v>53</v>
      </c>
      <c r="AU273" s="50" t="n">
        <f aca="false">AT273*G273</f>
        <v>490.25</v>
      </c>
      <c r="AV273" s="50" t="n">
        <f aca="false">ROUNDUP(CK273+MAX(CL273,2*(J273/IF(CG273&gt;0,CG273,MAX(0.1,N(Cockpit!$I$6)))-CK273)),0)</f>
        <v>10</v>
      </c>
      <c r="AW273" s="51" t="n">
        <f aca="false">IF(AS273&gt;0,J273/AS273,-1)</f>
        <v>2.40860215053763</v>
      </c>
      <c r="AX273" s="51" t="n">
        <f aca="false">IF(AND(OR(CF273="L1",CF273="L23",CF273="LIFT"),AS273&gt;0),SUMIFS($AS$7:$AS$1843,$CF$7:$CF$1843,CF273,$AW$7:$AW$1843,"&gt;"&amp;AW273)+SUMIFS($AS$7:$AS$1843,$CF$7:$CF$1843,CF273,$AW$7:$AW$1843,AW273,$BW$7:$BW$1843,"&lt;="&amp;BW273),"")</f>
        <v>6406.97847985348</v>
      </c>
      <c r="AY273" s="58" t="n">
        <f aca="false">IF(AX273="",0,MAX(0,MIN(1,(IF(CF273="L1",Parameter!$H$5,IF(CF273="L23",Parameter!$H$6+Parameter!$H$7,Parameter!$H$5+Parameter!$H$6+Parameter!$H$7))-(AX273-AS273))/AS273)))</f>
        <v>1</v>
      </c>
      <c r="AZ273" s="50" t="n">
        <f aca="false">IF(LEFT(Cockpit!$O$5,1)="A",H273,IF(Parameter!$E$30="MAX-Bestand",IF(CH273=1,CI273,IF(LEFT(Cockpit!$O$5,1)="B",BF273,MAX(BF273,H273))),ROUNDUP(BD273,0)))</f>
        <v>5</v>
      </c>
      <c r="BA273" s="50" t="n">
        <f aca="false">IF(BZ273=1,0,ROUNDUP(AZ273/BY273,0))</f>
        <v>1</v>
      </c>
      <c r="BB273" s="52" t="n">
        <f aca="false">IF(CQ273&gt;0,CQ273*MAX(1,AZ273/X273),IF(BZ273=1,IF(AZ273&lt;=0,0,CD273*MAX(1,IF(H273&gt;0,AZ273/H273,1))),IF(R273&gt;0,BA273/R273,0))/MAX(0.1,N(Parameter!$M$21)))</f>
        <v>0.00714285714285714</v>
      </c>
      <c r="BC273" s="50" t="n">
        <f aca="false">BB273*CB273</f>
        <v>1.10714285714286</v>
      </c>
      <c r="BD273" s="51" t="n">
        <f aca="false">IF(LEFT(Cockpit!$O$5,1)="A",H273,IF(CH273=1,(CK273+CI273)/2,IF(LEFT(Cockpit!$O$5,1)="B",(CK273+BF273)/2,MAX((CK273+BF273)/2,H273))))</f>
        <v>5</v>
      </c>
      <c r="BE273" s="50" t="n">
        <f aca="false">BD273*G273</f>
        <v>46.25</v>
      </c>
      <c r="BF273" s="50" t="n">
        <f aca="false">ROUNDUP(CK273+MAX(CL273,2*(J273/IF(CG273&gt;0,CG273,MAX(0.1,N(Cockpit!$O$6)))-CK273)),0)</f>
        <v>10</v>
      </c>
      <c r="BG273" s="51" t="n">
        <f aca="false">IF(BC273&gt;0,J273/BC273,-1)</f>
        <v>7.2258064516129</v>
      </c>
      <c r="BH273" s="51" t="n">
        <f aca="false">IF(AND(OR(CF273="L1",CF273="L23",CF273="LIFT"),BC273&gt;0),SUMIFS($BC$7:$BC$1843,$CF$7:$CF$1843,CF273,$BG$7:$BG$1843,"&gt;"&amp;BG273)+SUMIFS($BC$7:$BC$1843,$CF$7:$CF$1843,CF273,$BG$7:$BG$1843,BG273,$BW$7:$BW$1843,"&lt;="&amp;BW273),"")</f>
        <v>3236.47710622711</v>
      </c>
      <c r="BI273" s="58" t="n">
        <f aca="false">IF(BH273="",0,MAX(0,MIN(1,(IF(CF273="L1",Parameter!$H$5,IF(CF273="L23",Parameter!$H$6+Parameter!$H$7,Parameter!$H$5+Parameter!$H$6+Parameter!$H$7))-(BH273-BC273))/BC273)))</f>
        <v>1</v>
      </c>
      <c r="BJ273" s="48" t="str">
        <f aca="false">IF(AI273&lt;=0,"",IF(CF273="Aussen","Aussenlager",IF(CF273="-","Nicht im Lift",IF(AO273&gt;=1,"Lift",IF(AO273&lt;=0,"Aussenlager","teilweise")))))</f>
        <v>Lift</v>
      </c>
      <c r="BK273" s="48" t="str">
        <f aca="false">IF(AS273&lt;=0,"",IF(CF273="Aussen","Aussenlager",IF(CF273="-","Nicht im Lift",IF(AY273&gt;=1,"Lift",IF(AY273&lt;=0,"Aussenlager","teilweise")))))</f>
        <v>Lift</v>
      </c>
      <c r="BL273" s="48" t="str">
        <f aca="false">IF(BC273&lt;=0,"",IF(CF273="Aussen","Aussenlager",IF(CF273="-","Nicht im Lift",IF(BI273&gt;=1,"Lift",IF(BI273&lt;=0,"Aussenlager","teilweise")))))</f>
        <v>Lift</v>
      </c>
      <c r="BM273" s="48" t="str">
        <f aca="false">IF(A273="","",IF(BV273=1,"Neu; ","")&amp;IF(AND(BV273=0,BQ273&lt;0),"negativer Bestand (Export "&amp;BQ273&amp;"); ","")&amp;IF(J273&lt;=0,"Kein Verbrauch; ","")&amp;IF(CQ273&gt;0,"Lift "&amp;W273&amp;" lt. Liftbericht (Fach "&amp;X273&amp;" Stk); ",IF(CA273=1,"Gebinde geschätzt ("&amp;T273&amp;"); ",IF(BZ273=1,"Lose – Tablare geschätzt; ","")))&amp;IF(H273&gt;AV273,"Überbestand "&amp;ROUND(H273-AV273,0)&amp;" Stk / CHF "&amp;ROUND((H273-AV273)*G273,0)&amp;"; ","")&amp;IF(AND(CH273=1,CI273&lt;CJ273),"MAX &lt; MB+LG; ","")&amp;IF(AND(CP273&gt;0,CO273*10&gt;CP273),"zu hoch für Tablar; ","")&amp;IF(AND(BV273=0,OR(CH273=1,AA273&lt;&gt;"",U273&lt;&gt;"",V273&lt;&gt;"",AB273&lt;&gt;"")),"manuell übersteuert; ","")&amp;IF(AND(BZ273=0,R273=0),"Gebinde unbekannt / Stellmass fehlt; ","")&amp;IF(AND(BZ273=0,N(V273)&lt;=0,N(Q273)&lt;=0),"Menge pro Gebinde fehlt (Ist = 1 Gebinde); ","")&amp;BU273)</f>
        <v>Überbestand 43 Stk / CHF 398; </v>
      </c>
      <c r="BN273" s="48"/>
      <c r="BO273" s="48"/>
      <c r="BP273" s="55"/>
      <c r="BQ273" s="50" t="n">
        <v>44</v>
      </c>
      <c r="BR273" s="50" t="n">
        <v>9</v>
      </c>
      <c r="BS273" s="49" t="n">
        <v>378.38</v>
      </c>
      <c r="BT273" s="50" t="n">
        <v>8</v>
      </c>
      <c r="BU273" s="48"/>
      <c r="BV273" s="53" t="n">
        <v>0</v>
      </c>
      <c r="BW273" s="53" t="n">
        <v>273</v>
      </c>
      <c r="BX273" s="48" t="str">
        <f aca="false">IF(U273&lt;&gt;"",UPPER(TRIM(U273)),IF(CA273=1,UPPER(VLOOKUP(T273,Parameter!$I$27:$K$29,2,0)),IF(P273="","LOSE",P273)))</f>
        <v>S22</v>
      </c>
      <c r="BY273" s="50" t="n">
        <f aca="false">IF(BX273="LOSE",1,IF(N(V273)&gt;0,V273,IF(CA273=1,MAX(1,N(VLOOKUP(T273,Parameter!$I$27:$K$29,3,0)),H273,N(N273)),IF(N(Q273)&gt;0,Q273,MAX(1,H273)))))</f>
        <v>21</v>
      </c>
      <c r="BZ273" s="53" t="n">
        <f aca="false">IF(BX273="LOSE",1,0)</f>
        <v>0</v>
      </c>
      <c r="CA273" s="53" t="n">
        <f aca="false">IF(AND(U273="",OR(P273="",P273="LOSE"),T273&lt;&gt;"",N(S273)&lt;=0,ISNUMBER(MATCH(T273,Parameter!$I$27:$I$29,0))),1,0)</f>
        <v>0</v>
      </c>
      <c r="CB273" s="53" t="n">
        <f aca="false">IF(CQ273&gt;0,INDEX(Parameter!$H$5:$H$7,W273)/INDEX(Parameter!$E$5:$E$7,W273),IF(AND(BZ273=0,N(IFERROR(VLOOKUP(BX273,'Gebinde-Kategorie'!$A$5:$N$45,14,0),0))&gt;0),VLOOKUP(BX273,'Gebinde-Kategorie'!$A$5:$N$45,14,0)*10+Parameter!$M$23,Parameter!$M$24))</f>
        <v>155</v>
      </c>
      <c r="CC273" s="48" t="str">
        <f aca="false">IF(AND(Parameter!$B$19="Ja",E273&lt;&gt;"",ISNUMBER(MATCH(E273,Parameter!$I$35:$I$52,0))),VLOOKUP(E273,Parameter!$I$35:$J$52,2,0),IFERROR(VLOOKUP(D273,Parameter!$A$35:$C$64,2,0),"Nein"))</f>
        <v>2+3</v>
      </c>
      <c r="CD273" s="52" t="n">
        <f aca="false">IF(BZ273=0,0,IF(N(S273)&gt;0,S273,IFERROR(VLOOKUP(D273,Parameter!$A$35:$C$64,3,0)+0,0)))</f>
        <v>0</v>
      </c>
      <c r="CE273" s="48" t="n">
        <f aca="false">IF(AA273&lt;&gt;"",AA273,Z273)</f>
        <v>3</v>
      </c>
      <c r="CF273" s="48" t="str">
        <f aca="false">IF(OR(CE273=1,CE273=2,CE273=3),IF(Parameter!$E$27="Ja","LIFT",IF(CE273=1,"L1","L23")),IF(CE273="Aussen","Aussen","-"))</f>
        <v>LIFT</v>
      </c>
      <c r="CG273" s="59" t="n">
        <f aca="false">IF(N(AB273)&gt;0,AB273,0)</f>
        <v>0</v>
      </c>
      <c r="CH273" s="53" t="n">
        <f aca="false">IF(ISNUMBER(AE273),1,0)</f>
        <v>0</v>
      </c>
      <c r="CI273" s="50" t="n">
        <f aca="false">N(AE273)</f>
        <v>0</v>
      </c>
      <c r="CJ273" s="50" t="n">
        <f aca="false">N(M273)+N(N273)</f>
        <v>10</v>
      </c>
      <c r="CK273" s="50" t="n">
        <f aca="false">N(M273)</f>
        <v>0</v>
      </c>
      <c r="CL273" s="50" t="n">
        <f aca="false">N(N273)</f>
        <v>10</v>
      </c>
      <c r="CM273" s="50" t="n">
        <f aca="false">ROUNDUP(H273/BY273,0)</f>
        <v>3</v>
      </c>
      <c r="CN273" s="50" t="n">
        <f aca="false">ROUNDUP(CI273/BY273,0)</f>
        <v>0</v>
      </c>
      <c r="CO273" s="53" t="n">
        <f aca="false">IF(BZ273=1,0,IFERROR(VLOOKUP(BX273,'Gebinde-Kategorie'!$A$5:$N$45,5,0)+0,0))</f>
        <v>8</v>
      </c>
      <c r="CP273" s="53" t="n">
        <f aca="false">IFERROR(IF(OR(CE273=1,CE273=2,CE273=3),N(INDEX(Parameter!$I$5:$I$7,CE273)),0),0)</f>
        <v>0</v>
      </c>
      <c r="CQ273" s="52" t="n">
        <f aca="false">IF(AND(Parameter!$B$21="Ja",ISNUMBER(W273),N(X273)&gt;0),IFERROR(N(INDEX(Parameter!$L$5:$L$7,W273))*INDEX(Parameter!$E$5:$E$7,W273)*X273/SUMIFS($X$7:$X$1843,$W$7:$W$1843,W273),0),0)</f>
        <v>0</v>
      </c>
    </row>
    <row r="274" customFormat="false" ht="15" hidden="false" customHeight="false" outlineLevel="0" collapsed="false">
      <c r="A274" s="48" t="s">
        <v>734</v>
      </c>
      <c r="B274" s="48" t="s">
        <v>735</v>
      </c>
      <c r="C274" s="48" t="s">
        <v>173</v>
      </c>
      <c r="D274" s="48" t="s">
        <v>193</v>
      </c>
      <c r="E274" s="48" t="s">
        <v>194</v>
      </c>
      <c r="F274" s="48" t="s">
        <v>227</v>
      </c>
      <c r="G274" s="49" t="n">
        <v>15.2</v>
      </c>
      <c r="H274" s="50" t="n">
        <f aca="false">MAX(0,IF(AND(Parameter!$B$21="Ja",ISNUMBER(Y274)),Y274,IF(Parameter!$B$20="Jahresanfang 2025 + Export",BR274+BQ274,BQ274)))</f>
        <v>45</v>
      </c>
      <c r="I274" s="50" t="n">
        <f aca="false">H274*G274</f>
        <v>684</v>
      </c>
      <c r="J274" s="50" t="n">
        <f aca="false">BT274*Parameter!$B$18</f>
        <v>48</v>
      </c>
      <c r="K274" s="51" t="n">
        <v>17.5</v>
      </c>
      <c r="L274" s="52" t="n">
        <v>2.74285714285714</v>
      </c>
      <c r="M274" s="50" t="n">
        <v>1</v>
      </c>
      <c r="N274" s="50" t="n">
        <v>50</v>
      </c>
      <c r="O274" s="53" t="n">
        <v>14</v>
      </c>
      <c r="P274" s="48" t="s">
        <v>337</v>
      </c>
      <c r="Q274" s="50" t="n">
        <v>43</v>
      </c>
      <c r="R274" s="53" t="n">
        <f aca="false">IF(BZ274=1,0,IFERROR(VLOOKUP(BX274,'Gebinde-Kategorie'!$A$5:$N$45,13,0)+0,0))</f>
        <v>52</v>
      </c>
      <c r="S274" s="54"/>
      <c r="T274" s="55"/>
      <c r="U274" s="55"/>
      <c r="V274" s="55"/>
      <c r="W274" s="48"/>
      <c r="X274" s="50"/>
      <c r="Y274" s="50"/>
      <c r="Z274" s="48" t="n">
        <f aca="false">IF(A274="","",IF(AND(Parameter!$B$21="Ja",ISNUMBER(W274)),W274,IF(CC274="2+3",IF(ISNUMBER(SEARCH("grosser Artikel",BU274)),2,IFERROR(VLOOKUP(BX274,Parameter!$F$35:$G$64,2,0),2)),IF(OR(CC274="Nein",CC274=""),"-",CC274))))</f>
        <v>3</v>
      </c>
      <c r="AA274" s="55"/>
      <c r="AB274" s="56"/>
      <c r="AC274" s="50" t="n">
        <f aca="false">AV274</f>
        <v>51</v>
      </c>
      <c r="AD274" s="50" t="n">
        <f aca="false">MAX(AV274,H274)</f>
        <v>51</v>
      </c>
      <c r="AE274" s="57"/>
      <c r="AF274" s="50" t="n">
        <f aca="false">IF(LEFT(Cockpit!$C$5,1)="A",H274,IF(Parameter!$E$30="MAX-Bestand",IF(CH274=1,CI274,IF(LEFT(Cockpit!$C$5,1)="B",AL274,MAX(AL274,H274))),ROUNDUP(AJ274,0)))</f>
        <v>45</v>
      </c>
      <c r="AG274" s="50" t="n">
        <f aca="false">IF(BZ274=1,0,ROUNDUP(AF274/BY274,0))</f>
        <v>2</v>
      </c>
      <c r="AH274" s="52" t="n">
        <f aca="false">IF(CQ274&gt;0,CQ274*MAX(1,AF274/X274),IF(BZ274=1,IF(AF274&lt;=0,0,CD274*MAX(1,IF(H274&gt;0,AF274/H274,1))),IF(R274&gt;0,AG274/R274,0))/MAX(0.1,N(Parameter!$M$21)))</f>
        <v>0.0384615384615385</v>
      </c>
      <c r="AI274" s="50" t="n">
        <f aca="false">AH274*CB274</f>
        <v>5.96153846153846</v>
      </c>
      <c r="AJ274" s="51" t="n">
        <f aca="false">IF(LEFT(Cockpit!$C$5,1)="A",H274,IF(CH274=1,(CK274+CI274)/2,IF(LEFT(Cockpit!$C$5,1)="B",(CK274+AL274)/2,MAX((CK274+AL274)/2,H274))))</f>
        <v>45</v>
      </c>
      <c r="AK274" s="50" t="n">
        <f aca="false">AJ274*G274</f>
        <v>684</v>
      </c>
      <c r="AL274" s="50" t="n">
        <f aca="false">ROUNDUP(CK274+MAX(CL274,2*(J274/IF(CG274&gt;0,CG274,MAX(0.1,N(Cockpit!$C$6)))-CK274)),0)</f>
        <v>51</v>
      </c>
      <c r="AM274" s="51" t="n">
        <f aca="false">IF(AI274&gt;0,J274/AI274,-1)</f>
        <v>8.05161290322581</v>
      </c>
      <c r="AN274" s="51" t="n">
        <f aca="false">IF(AND(OR(CF274="L1",CF274="L23",CF274="LIFT"),AI274&gt;0),SUMIFS($AI$7:$AI$1843,$CF$7:$CF$1843,CF274,$AM$7:$AM$1843,"&gt;"&amp;AM274)+SUMIFS($AI$7:$AI$1843,$CF$7:$CF$1843,CF274,$AM$7:$AM$1843,AM274,$BW$7:$BW$1843,"&lt;="&amp;BW274),"")</f>
        <v>3037.67948717949</v>
      </c>
      <c r="AO274" s="58" t="n">
        <f aca="false">IF(AN274="",0,MAX(0,MIN(1,(IF(CF274="L1",Parameter!$H$5,IF(CF274="L23",Parameter!$H$6+Parameter!$H$7,Parameter!$H$5+Parameter!$H$6+Parameter!$H$7))-(AN274-AI274))/AI274)))</f>
        <v>1</v>
      </c>
      <c r="AP274" s="50" t="n">
        <f aca="false">IF(LEFT(Cockpit!$I$5,1)="A",H274,IF(Parameter!$E$30="MAX-Bestand",IF(CH274=1,CI274,IF(LEFT(Cockpit!$I$5,1)="B",AV274,MAX(AV274,H274))),ROUNDUP(AT274,0)))</f>
        <v>45</v>
      </c>
      <c r="AQ274" s="50" t="n">
        <f aca="false">IF(BZ274=1,0,ROUNDUP(AP274/BY274,0))</f>
        <v>2</v>
      </c>
      <c r="AR274" s="52" t="n">
        <f aca="false">IF(CQ274&gt;0,CQ274*MAX(1,AP274/X274),IF(BZ274=1,IF(AP274&lt;=0,0,CD274*MAX(1,IF(H274&gt;0,AP274/H274,1))),IF(R274&gt;0,AQ274/R274,0))/MAX(0.1,N(Parameter!$M$21)))</f>
        <v>0.0384615384615385</v>
      </c>
      <c r="AS274" s="50" t="n">
        <f aca="false">AR274*CB274</f>
        <v>5.96153846153846</v>
      </c>
      <c r="AT274" s="51" t="n">
        <f aca="false">IF(LEFT(Cockpit!$I$5,1)="A",H274,IF(CH274=1,(CK274+CI274)/2,IF(LEFT(Cockpit!$I$5,1)="B",(CK274+AV274)/2,MAX((CK274+AV274)/2,H274))))</f>
        <v>45</v>
      </c>
      <c r="AU274" s="50" t="n">
        <f aca="false">AT274*G274</f>
        <v>684</v>
      </c>
      <c r="AV274" s="50" t="n">
        <f aca="false">ROUNDUP(CK274+MAX(CL274,2*(J274/IF(CG274&gt;0,CG274,MAX(0.1,N(Cockpit!$I$6)))-CK274)),0)</f>
        <v>51</v>
      </c>
      <c r="AW274" s="51" t="n">
        <f aca="false">IF(AS274&gt;0,J274/AS274,-1)</f>
        <v>8.05161290322581</v>
      </c>
      <c r="AX274" s="51" t="n">
        <f aca="false">IF(AND(OR(CF274="L1",CF274="L23",CF274="LIFT"),AS274&gt;0),SUMIFS($AS$7:$AS$1843,$CF$7:$CF$1843,CF274,$AW$7:$AW$1843,"&gt;"&amp;AW274)+SUMIFS($AS$7:$AS$1843,$CF$7:$CF$1843,CF274,$AW$7:$AW$1843,AW274,$BW$7:$BW$1843,"&lt;="&amp;BW274),"")</f>
        <v>3661.74084249084</v>
      </c>
      <c r="AY274" s="58" t="n">
        <f aca="false">IF(AX274="",0,MAX(0,MIN(1,(IF(CF274="L1",Parameter!$H$5,IF(CF274="L23",Parameter!$H$6+Parameter!$H$7,Parameter!$H$5+Parameter!$H$6+Parameter!$H$7))-(AX274-AS274))/AS274)))</f>
        <v>1</v>
      </c>
      <c r="AZ274" s="50" t="n">
        <f aca="false">IF(LEFT(Cockpit!$O$5,1)="A",H274,IF(Parameter!$E$30="MAX-Bestand",IF(CH274=1,CI274,IF(LEFT(Cockpit!$O$5,1)="B",BF274,MAX(BF274,H274))),ROUNDUP(BD274,0)))</f>
        <v>26</v>
      </c>
      <c r="BA274" s="50" t="n">
        <f aca="false">IF(BZ274=1,0,ROUNDUP(AZ274/BY274,0))</f>
        <v>1</v>
      </c>
      <c r="BB274" s="52" t="n">
        <f aca="false">IF(CQ274&gt;0,CQ274*MAX(1,AZ274/X274),IF(BZ274=1,IF(AZ274&lt;=0,0,CD274*MAX(1,IF(H274&gt;0,AZ274/H274,1))),IF(R274&gt;0,BA274/R274,0))/MAX(0.1,N(Parameter!$M$21)))</f>
        <v>0.0192307692307692</v>
      </c>
      <c r="BC274" s="50" t="n">
        <f aca="false">BB274*CB274</f>
        <v>2.98076923076923</v>
      </c>
      <c r="BD274" s="51" t="n">
        <f aca="false">IF(LEFT(Cockpit!$O$5,1)="A",H274,IF(CH274=1,(CK274+CI274)/2,IF(LEFT(Cockpit!$O$5,1)="B",(CK274+BF274)/2,MAX((CK274+BF274)/2,H274))))</f>
        <v>26</v>
      </c>
      <c r="BE274" s="50" t="n">
        <f aca="false">BD274*G274</f>
        <v>395.2</v>
      </c>
      <c r="BF274" s="50" t="n">
        <f aca="false">ROUNDUP(CK274+MAX(CL274,2*(J274/IF(CG274&gt;0,CG274,MAX(0.1,N(Cockpit!$O$6)))-CK274)),0)</f>
        <v>51</v>
      </c>
      <c r="BG274" s="51" t="n">
        <f aca="false">IF(BC274&gt;0,J274/BC274,-1)</f>
        <v>16.1032258064516</v>
      </c>
      <c r="BH274" s="51" t="n">
        <f aca="false">IF(AND(OR(CF274="L1",CF274="L23",CF274="LIFT"),BC274&gt;0),SUMIFS($BC$7:$BC$1843,$CF$7:$CF$1843,CF274,$BG$7:$BG$1843,"&gt;"&amp;BG274)+SUMIFS($BC$7:$BC$1843,$CF$7:$CF$1843,CF274,$BG$7:$BG$1843,BG274,$BW$7:$BW$1843,"&lt;="&amp;BW274),"")</f>
        <v>2387.7206959707</v>
      </c>
      <c r="BI274" s="58" t="n">
        <f aca="false">IF(BH274="",0,MAX(0,MIN(1,(IF(CF274="L1",Parameter!$H$5,IF(CF274="L23",Parameter!$H$6+Parameter!$H$7,Parameter!$H$5+Parameter!$H$6+Parameter!$H$7))-(BH274-BC274))/BC274)))</f>
        <v>1</v>
      </c>
      <c r="BJ274" s="48" t="str">
        <f aca="false">IF(AI274&lt;=0,"",IF(CF274="Aussen","Aussenlager",IF(CF274="-","Nicht im Lift",IF(AO274&gt;=1,"Lift",IF(AO274&lt;=0,"Aussenlager","teilweise")))))</f>
        <v>Lift</v>
      </c>
      <c r="BK274" s="48" t="str">
        <f aca="false">IF(AS274&lt;=0,"",IF(CF274="Aussen","Aussenlager",IF(CF274="-","Nicht im Lift",IF(AY274&gt;=1,"Lift",IF(AY274&lt;=0,"Aussenlager","teilweise")))))</f>
        <v>Lift</v>
      </c>
      <c r="BL274" s="48" t="str">
        <f aca="false">IF(BC274&lt;=0,"",IF(CF274="Aussen","Aussenlager",IF(CF274="-","Nicht im Lift",IF(BI274&gt;=1,"Lift",IF(BI274&lt;=0,"Aussenlager","teilweise")))))</f>
        <v>Lift</v>
      </c>
      <c r="BM274" s="48" t="str">
        <f aca="false">IF(A274="","",IF(BV274=1,"Neu; ","")&amp;IF(AND(BV274=0,BQ274&lt;0),"negativer Bestand (Export "&amp;BQ274&amp;"); ","")&amp;IF(J274&lt;=0,"Kein Verbrauch; ","")&amp;IF(CQ274&gt;0,"Lift "&amp;W274&amp;" lt. Liftbericht (Fach "&amp;X274&amp;" Stk); ",IF(CA274=1,"Gebinde geschätzt ("&amp;T274&amp;"); ",IF(BZ274=1,"Lose – Tablare geschätzt; ","")))&amp;IF(H274&gt;AV274,"Überbestand "&amp;ROUND(H274-AV274,0)&amp;" Stk / CHF "&amp;ROUND((H274-AV274)*G274,0)&amp;"; ","")&amp;IF(AND(CH274=1,CI274&lt;CJ274),"MAX &lt; MB+LG; ","")&amp;IF(AND(CP274&gt;0,CO274*10&gt;CP274),"zu hoch für Tablar; ","")&amp;IF(AND(BV274=0,OR(CH274=1,AA274&lt;&gt;"",U274&lt;&gt;"",V274&lt;&gt;"",AB274&lt;&gt;"")),"manuell übersteuert; ","")&amp;IF(AND(BZ274=0,R274=0),"Gebinde unbekannt / Stellmass fehlt; ","")&amp;IF(AND(BZ274=0,N(V274)&lt;=0,N(Q274)&lt;=0),"Menge pro Gebinde fehlt (Ist = 1 Gebinde); ","")&amp;BU274)</f>
        <v/>
      </c>
      <c r="BN274" s="48"/>
      <c r="BO274" s="48"/>
      <c r="BP274" s="55"/>
      <c r="BQ274" s="50" t="n">
        <v>26</v>
      </c>
      <c r="BR274" s="50" t="n">
        <v>19</v>
      </c>
      <c r="BS274" s="49" t="n">
        <v>375.06</v>
      </c>
      <c r="BT274" s="50" t="n">
        <v>48</v>
      </c>
      <c r="BU274" s="48"/>
      <c r="BV274" s="53" t="n">
        <v>0</v>
      </c>
      <c r="BW274" s="53" t="n">
        <v>274</v>
      </c>
      <c r="BX274" s="48" t="str">
        <f aca="false">IF(U274&lt;&gt;"",UPPER(TRIM(U274)),IF(CA274=1,UPPER(VLOOKUP(T274,Parameter!$I$27:$K$29,2,0)),IF(P274="","LOSE",P274)))</f>
        <v>S41</v>
      </c>
      <c r="BY274" s="50" t="n">
        <f aca="false">IF(BX274="LOSE",1,IF(N(V274)&gt;0,V274,IF(CA274=1,MAX(1,N(VLOOKUP(T274,Parameter!$I$27:$K$29,3,0)),H274,N(N274)),IF(N(Q274)&gt;0,Q274,MAX(1,H274)))))</f>
        <v>43</v>
      </c>
      <c r="BZ274" s="53" t="n">
        <f aca="false">IF(BX274="LOSE",1,0)</f>
        <v>0</v>
      </c>
      <c r="CA274" s="53" t="n">
        <f aca="false">IF(AND(U274="",OR(P274="",P274="LOSE"),T274&lt;&gt;"",N(S274)&lt;=0,ISNUMBER(MATCH(T274,Parameter!$I$27:$I$29,0))),1,0)</f>
        <v>0</v>
      </c>
      <c r="CB274" s="53" t="n">
        <f aca="false">IF(CQ274&gt;0,INDEX(Parameter!$H$5:$H$7,W274)/INDEX(Parameter!$E$5:$E$7,W274),IF(AND(BZ274=0,N(IFERROR(VLOOKUP(BX274,'Gebinde-Kategorie'!$A$5:$N$45,14,0),0))&gt;0),VLOOKUP(BX274,'Gebinde-Kategorie'!$A$5:$N$45,14,0)*10+Parameter!$M$23,Parameter!$M$24))</f>
        <v>155</v>
      </c>
      <c r="CC274" s="48" t="str">
        <f aca="false">IF(AND(Parameter!$B$19="Ja",E274&lt;&gt;"",ISNUMBER(MATCH(E274,Parameter!$I$35:$I$52,0))),VLOOKUP(E274,Parameter!$I$35:$J$52,2,0),IFERROR(VLOOKUP(D274,Parameter!$A$35:$C$64,2,0),"Nein"))</f>
        <v>2+3</v>
      </c>
      <c r="CD274" s="52" t="n">
        <f aca="false">IF(BZ274=0,0,IF(N(S274)&gt;0,S274,IFERROR(VLOOKUP(D274,Parameter!$A$35:$C$64,3,0)+0,0)))</f>
        <v>0</v>
      </c>
      <c r="CE274" s="48" t="n">
        <f aca="false">IF(AA274&lt;&gt;"",AA274,Z274)</f>
        <v>3</v>
      </c>
      <c r="CF274" s="48" t="str">
        <f aca="false">IF(OR(CE274=1,CE274=2,CE274=3),IF(Parameter!$E$27="Ja","LIFT",IF(CE274=1,"L1","L23")),IF(CE274="Aussen","Aussen","-"))</f>
        <v>LIFT</v>
      </c>
      <c r="CG274" s="59" t="n">
        <f aca="false">IF(N(AB274)&gt;0,AB274,0)</f>
        <v>0</v>
      </c>
      <c r="CH274" s="53" t="n">
        <f aca="false">IF(ISNUMBER(AE274),1,0)</f>
        <v>0</v>
      </c>
      <c r="CI274" s="50" t="n">
        <f aca="false">N(AE274)</f>
        <v>0</v>
      </c>
      <c r="CJ274" s="50" t="n">
        <f aca="false">N(M274)+N(N274)</f>
        <v>51</v>
      </c>
      <c r="CK274" s="50" t="n">
        <f aca="false">N(M274)</f>
        <v>1</v>
      </c>
      <c r="CL274" s="50" t="n">
        <f aca="false">N(N274)</f>
        <v>50</v>
      </c>
      <c r="CM274" s="50" t="n">
        <f aca="false">ROUNDUP(H274/BY274,0)</f>
        <v>2</v>
      </c>
      <c r="CN274" s="50" t="n">
        <f aca="false">ROUNDUP(CI274/BY274,0)</f>
        <v>0</v>
      </c>
      <c r="CO274" s="53" t="n">
        <f aca="false">IF(BZ274=1,0,IFERROR(VLOOKUP(BX274,'Gebinde-Kategorie'!$A$5:$N$45,5,0)+0,0))</f>
        <v>11</v>
      </c>
      <c r="CP274" s="53" t="n">
        <f aca="false">IFERROR(IF(OR(CE274=1,CE274=2,CE274=3),N(INDEX(Parameter!$I$5:$I$7,CE274)),0),0)</f>
        <v>0</v>
      </c>
      <c r="CQ274" s="52" t="n">
        <f aca="false">IF(AND(Parameter!$B$21="Ja",ISNUMBER(W274),N(X274)&gt;0),IFERROR(N(INDEX(Parameter!$L$5:$L$7,W274))*INDEX(Parameter!$E$5:$E$7,W274)*X274/SUMIFS($X$7:$X$1843,$W$7:$W$1843,W274),0),0)</f>
        <v>0</v>
      </c>
    </row>
    <row r="275" customFormat="false" ht="15" hidden="false" customHeight="false" outlineLevel="0" collapsed="false">
      <c r="A275" s="48" t="s">
        <v>736</v>
      </c>
      <c r="B275" s="48" t="s">
        <v>726</v>
      </c>
      <c r="C275" s="48" t="s">
        <v>173</v>
      </c>
      <c r="D275" s="48" t="s">
        <v>182</v>
      </c>
      <c r="E275" s="48"/>
      <c r="F275" s="48" t="s">
        <v>227</v>
      </c>
      <c r="G275" s="49" t="n">
        <v>74.17</v>
      </c>
      <c r="H275" s="50" t="n">
        <f aca="false">MAX(0,IF(AND(Parameter!$B$21="Ja",ISNUMBER(Y275)),Y275,IF(Parameter!$B$20="Jahresanfang 2025 + Export",BR275+BQ275,BQ275)))</f>
        <v>11</v>
      </c>
      <c r="I275" s="50" t="n">
        <f aca="false">H275*G275</f>
        <v>815.87</v>
      </c>
      <c r="J275" s="50" t="n">
        <f aca="false">BT275*Parameter!$B$18</f>
        <v>2</v>
      </c>
      <c r="K275" s="51" t="n">
        <v>8.5</v>
      </c>
      <c r="L275" s="52" t="n">
        <v>0.235294117647059</v>
      </c>
      <c r="M275" s="50" t="n">
        <v>0</v>
      </c>
      <c r="N275" s="50" t="n">
        <v>1</v>
      </c>
      <c r="O275" s="53" t="n">
        <v>28</v>
      </c>
      <c r="P275" s="48" t="s">
        <v>195</v>
      </c>
      <c r="Q275" s="50" t="n">
        <v>12</v>
      </c>
      <c r="R275" s="53" t="n">
        <f aca="false">IF(BZ275=1,0,IFERROR(VLOOKUP(BX275,'Gebinde-Kategorie'!$A$5:$N$45,13,0)+0,0))</f>
        <v>12</v>
      </c>
      <c r="S275" s="54"/>
      <c r="T275" s="55"/>
      <c r="U275" s="55"/>
      <c r="V275" s="55"/>
      <c r="W275" s="48"/>
      <c r="X275" s="50"/>
      <c r="Y275" s="50"/>
      <c r="Z275" s="48" t="n">
        <f aca="false">IF(A275="","",IF(AND(Parameter!$B$21="Ja",ISNUMBER(W275)),W275,IF(CC275="2+3",IF(ISNUMBER(SEARCH("grosser Artikel",BU275)),2,IFERROR(VLOOKUP(BX275,Parameter!$F$35:$G$64,2,0),2)),IF(OR(CC275="Nein",CC275=""),"-",CC275))))</f>
        <v>2</v>
      </c>
      <c r="AA275" s="55"/>
      <c r="AB275" s="56"/>
      <c r="AC275" s="50" t="n">
        <f aca="false">AV275</f>
        <v>2</v>
      </c>
      <c r="AD275" s="50" t="n">
        <f aca="false">MAX(AV275,H275)</f>
        <v>11</v>
      </c>
      <c r="AE275" s="57"/>
      <c r="AF275" s="50" t="n">
        <f aca="false">IF(LEFT(Cockpit!$C$5,1)="A",H275,IF(Parameter!$E$30="MAX-Bestand",IF(CH275=1,CI275,IF(LEFT(Cockpit!$C$5,1)="B",AL275,MAX(AL275,H275))),ROUNDUP(AJ275,0)))</f>
        <v>11</v>
      </c>
      <c r="AG275" s="50" t="n">
        <f aca="false">IF(BZ275=1,0,ROUNDUP(AF275/BY275,0))</f>
        <v>1</v>
      </c>
      <c r="AH275" s="52" t="n">
        <f aca="false">IF(CQ275&gt;0,CQ275*MAX(1,AF275/X275),IF(BZ275=1,IF(AF275&lt;=0,0,CD275*MAX(1,IF(H275&gt;0,AF275/H275,1))),IF(R275&gt;0,AG275/R275,0))/MAX(0.1,N(Parameter!$M$21)))</f>
        <v>0.0833333333333333</v>
      </c>
      <c r="AI275" s="50" t="n">
        <f aca="false">AH275*CB275</f>
        <v>12.0833333333333</v>
      </c>
      <c r="AJ275" s="51" t="n">
        <f aca="false">IF(LEFT(Cockpit!$C$5,1)="A",H275,IF(CH275=1,(CK275+CI275)/2,IF(LEFT(Cockpit!$C$5,1)="B",(CK275+AL275)/2,MAX((CK275+AL275)/2,H275))))</f>
        <v>11</v>
      </c>
      <c r="AK275" s="50" t="n">
        <f aca="false">AJ275*G275</f>
        <v>815.87</v>
      </c>
      <c r="AL275" s="50" t="n">
        <f aca="false">ROUNDUP(CK275+MAX(CL275,2*(J275/IF(CG275&gt;0,CG275,MAX(0.1,N(Cockpit!$C$6)))-CK275)),0)</f>
        <v>2</v>
      </c>
      <c r="AM275" s="51" t="n">
        <f aca="false">IF(AI275&gt;0,J275/AI275,-1)</f>
        <v>0.16551724137931</v>
      </c>
      <c r="AN275" s="51" t="n">
        <f aca="false">IF(AND(OR(CF275="L1",CF275="L23",CF275="LIFT"),AI275&gt;0),SUMIFS($AI$7:$AI$1843,$CF$7:$CF$1843,CF275,$AM$7:$AM$1843,"&gt;"&amp;AM275)+SUMIFS($AI$7:$AI$1843,$CF$7:$CF$1843,CF275,$AM$7:$AM$1843,AM275,$BW$7:$BW$1843,"&lt;="&amp;BW275),"")</f>
        <v>12805.4067977691</v>
      </c>
      <c r="AO275" s="58" t="n">
        <f aca="false">IF(AN275="",0,MAX(0,MIN(1,(IF(CF275="L1",Parameter!$H$5,IF(CF275="L23",Parameter!$H$6+Parameter!$H$7,Parameter!$H$5+Parameter!$H$6+Parameter!$H$7))-(AN275-AI275))/AI275)))</f>
        <v>1</v>
      </c>
      <c r="AP275" s="50" t="n">
        <f aca="false">IF(LEFT(Cockpit!$I$5,1)="A",H275,IF(Parameter!$E$30="MAX-Bestand",IF(CH275=1,CI275,IF(LEFT(Cockpit!$I$5,1)="B",AV275,MAX(AV275,H275))),ROUNDUP(AT275,0)))</f>
        <v>11</v>
      </c>
      <c r="AQ275" s="50" t="n">
        <f aca="false">IF(BZ275=1,0,ROUNDUP(AP275/BY275,0))</f>
        <v>1</v>
      </c>
      <c r="AR275" s="52" t="n">
        <f aca="false">IF(CQ275&gt;0,CQ275*MAX(1,AP275/X275),IF(BZ275=1,IF(AP275&lt;=0,0,CD275*MAX(1,IF(H275&gt;0,AP275/H275,1))),IF(R275&gt;0,AQ275/R275,0))/MAX(0.1,N(Parameter!$M$21)))</f>
        <v>0.0833333333333333</v>
      </c>
      <c r="AS275" s="50" t="n">
        <f aca="false">AR275*CB275</f>
        <v>12.0833333333333</v>
      </c>
      <c r="AT275" s="51" t="n">
        <f aca="false">IF(LEFT(Cockpit!$I$5,1)="A",H275,IF(CH275=1,(CK275+CI275)/2,IF(LEFT(Cockpit!$I$5,1)="B",(CK275+AV275)/2,MAX((CK275+AV275)/2,H275))))</f>
        <v>11</v>
      </c>
      <c r="AU275" s="50" t="n">
        <f aca="false">AT275*G275</f>
        <v>815.87</v>
      </c>
      <c r="AV275" s="50" t="n">
        <f aca="false">ROUNDUP(CK275+MAX(CL275,2*(J275/IF(CG275&gt;0,CG275,MAX(0.1,N(Cockpit!$I$6)))-CK275)),0)</f>
        <v>2</v>
      </c>
      <c r="AW275" s="51" t="n">
        <f aca="false">IF(AS275&gt;0,J275/AS275,-1)</f>
        <v>0.16551724137931</v>
      </c>
      <c r="AX275" s="51" t="n">
        <f aca="false">IF(AND(OR(CF275="L1",CF275="L23",CF275="LIFT"),AS275&gt;0),SUMIFS($AS$7:$AS$1843,$CF$7:$CF$1843,CF275,$AW$7:$AW$1843,"&gt;"&amp;AW275)+SUMIFS($AS$7:$AS$1843,$CF$7:$CF$1843,CF275,$AW$7:$AW$1843,AW275,$BW$7:$BW$1843,"&lt;="&amp;BW275),"")</f>
        <v>15734.0874542125</v>
      </c>
      <c r="AY275" s="58" t="n">
        <f aca="false">IF(AX275="",0,MAX(0,MIN(1,(IF(CF275="L1",Parameter!$H$5,IF(CF275="L23",Parameter!$H$6+Parameter!$H$7,Parameter!$H$5+Parameter!$H$6+Parameter!$H$7))-(AX275-AS275))/AS275)))</f>
        <v>1</v>
      </c>
      <c r="AZ275" s="50" t="n">
        <f aca="false">IF(LEFT(Cockpit!$O$5,1)="A",H275,IF(Parameter!$E$30="MAX-Bestand",IF(CH275=1,CI275,IF(LEFT(Cockpit!$O$5,1)="B",BF275,MAX(BF275,H275))),ROUNDUP(BD275,0)))</f>
        <v>1</v>
      </c>
      <c r="BA275" s="50" t="n">
        <f aca="false">IF(BZ275=1,0,ROUNDUP(AZ275/BY275,0))</f>
        <v>1</v>
      </c>
      <c r="BB275" s="52" t="n">
        <f aca="false">IF(CQ275&gt;0,CQ275*MAX(1,AZ275/X275),IF(BZ275=1,IF(AZ275&lt;=0,0,CD275*MAX(1,IF(H275&gt;0,AZ275/H275,1))),IF(R275&gt;0,BA275/R275,0))/MAX(0.1,N(Parameter!$M$21)))</f>
        <v>0.0833333333333333</v>
      </c>
      <c r="BC275" s="50" t="n">
        <f aca="false">BB275*CB275</f>
        <v>12.0833333333333</v>
      </c>
      <c r="BD275" s="51" t="n">
        <f aca="false">IF(LEFT(Cockpit!$O$5,1)="A",H275,IF(CH275=1,(CK275+CI275)/2,IF(LEFT(Cockpit!$O$5,1)="B",(CK275+BF275)/2,MAX((CK275+BF275)/2,H275))))</f>
        <v>0.5</v>
      </c>
      <c r="BE275" s="50" t="n">
        <f aca="false">BD275*G275</f>
        <v>37.085</v>
      </c>
      <c r="BF275" s="50" t="n">
        <f aca="false">ROUNDUP(CK275+MAX(CL275,2*(J275/IF(CG275&gt;0,CG275,MAX(0.1,N(Cockpit!$O$6)))-CK275)),0)</f>
        <v>1</v>
      </c>
      <c r="BG275" s="51" t="n">
        <f aca="false">IF(BC275&gt;0,J275/BC275,-1)</f>
        <v>0.16551724137931</v>
      </c>
      <c r="BH275" s="51" t="n">
        <f aca="false">IF(AND(OR(CF275="L1",CF275="L23",CF275="LIFT"),BC275&gt;0),SUMIFS($BC$7:$BC$1843,$CF$7:$CF$1843,CF275,$BG$7:$BG$1843,"&gt;"&amp;BG275)+SUMIFS($BC$7:$BC$1843,$CF$7:$CF$1843,CF275,$BG$7:$BG$1843,BG275,$BW$7:$BW$1843,"&lt;="&amp;BW275),"")</f>
        <v>13548.4706157778</v>
      </c>
      <c r="BI275" s="58" t="n">
        <f aca="false">IF(BH275="",0,MAX(0,MIN(1,(IF(CF275="L1",Parameter!$H$5,IF(CF275="L23",Parameter!$H$6+Parameter!$H$7,Parameter!$H$5+Parameter!$H$6+Parameter!$H$7))-(BH275-BC275))/BC275)))</f>
        <v>1</v>
      </c>
      <c r="BJ275" s="48" t="str">
        <f aca="false">IF(AI275&lt;=0,"",IF(CF275="Aussen","Aussenlager",IF(CF275="-","Nicht im Lift",IF(AO275&gt;=1,"Lift",IF(AO275&lt;=0,"Aussenlager","teilweise")))))</f>
        <v>Lift</v>
      </c>
      <c r="BK275" s="48" t="str">
        <f aca="false">IF(AS275&lt;=0,"",IF(CF275="Aussen","Aussenlager",IF(CF275="-","Nicht im Lift",IF(AY275&gt;=1,"Lift",IF(AY275&lt;=0,"Aussenlager","teilweise")))))</f>
        <v>Lift</v>
      </c>
      <c r="BL275" s="48" t="str">
        <f aca="false">IF(BC275&lt;=0,"",IF(CF275="Aussen","Aussenlager",IF(CF275="-","Nicht im Lift",IF(BI275&gt;=1,"Lift",IF(BI275&lt;=0,"Aussenlager","teilweise")))))</f>
        <v>Lift</v>
      </c>
      <c r="BM275" s="48" t="str">
        <f aca="false">IF(A275="","",IF(BV275=1,"Neu; ","")&amp;IF(AND(BV275=0,BQ275&lt;0),"negativer Bestand (Export "&amp;BQ275&amp;"); ","")&amp;IF(J275&lt;=0,"Kein Verbrauch; ","")&amp;IF(CQ275&gt;0,"Lift "&amp;W275&amp;" lt. Liftbericht (Fach "&amp;X275&amp;" Stk); ",IF(CA275=1,"Gebinde geschätzt ("&amp;T275&amp;"); ",IF(BZ275=1,"Lose – Tablare geschätzt; ","")))&amp;IF(H275&gt;AV275,"Überbestand "&amp;ROUND(H275-AV275,0)&amp;" Stk / CHF "&amp;ROUND((H275-AV275)*G275,0)&amp;"; ","")&amp;IF(AND(CH275=1,CI275&lt;CJ275),"MAX &lt; MB+LG; ","")&amp;IF(AND(CP275&gt;0,CO275*10&gt;CP275),"zu hoch für Tablar; ","")&amp;IF(AND(BV275=0,OR(CH275=1,AA275&lt;&gt;"",U275&lt;&gt;"",V275&lt;&gt;"",AB275&lt;&gt;"")),"manuell übersteuert; ","")&amp;IF(AND(BZ275=0,R275=0),"Gebinde unbekannt / Stellmass fehlt; ","")&amp;IF(AND(BZ275=0,N(V275)&lt;=0,N(Q275)&lt;=0),"Menge pro Gebinde fehlt (Ist = 1 Gebinde); ","")&amp;BU275)</f>
        <v>Überbestand 9 Stk / CHF 668; </v>
      </c>
      <c r="BN275" s="48"/>
      <c r="BO275" s="48"/>
      <c r="BP275" s="55"/>
      <c r="BQ275" s="50" t="n">
        <v>5</v>
      </c>
      <c r="BR275" s="50" t="n">
        <v>6</v>
      </c>
      <c r="BS275" s="49" t="n">
        <v>370.85</v>
      </c>
      <c r="BT275" s="50" t="n">
        <v>2</v>
      </c>
      <c r="BU275" s="48"/>
      <c r="BV275" s="53" t="n">
        <v>0</v>
      </c>
      <c r="BW275" s="53" t="n">
        <v>275</v>
      </c>
      <c r="BX275" s="48" t="str">
        <f aca="false">IF(U275&lt;&gt;"",UPPER(TRIM(U275)),IF(CA275=1,UPPER(VLOOKUP(T275,Parameter!$I$27:$K$29,2,0)),IF(P275="","LOSE",P275)))</f>
        <v>S61</v>
      </c>
      <c r="BY275" s="50" t="n">
        <f aca="false">IF(BX275="LOSE",1,IF(N(V275)&gt;0,V275,IF(CA275=1,MAX(1,N(VLOOKUP(T275,Parameter!$I$27:$K$29,3,0)),H275,N(N275)),IF(N(Q275)&gt;0,Q275,MAX(1,H275)))))</f>
        <v>12</v>
      </c>
      <c r="BZ275" s="53" t="n">
        <f aca="false">IF(BX275="LOSE",1,0)</f>
        <v>0</v>
      </c>
      <c r="CA275" s="53" t="n">
        <f aca="false">IF(AND(U275="",OR(P275="",P275="LOSE"),T275&lt;&gt;"",N(S275)&lt;=0,ISNUMBER(MATCH(T275,Parameter!$I$27:$I$29,0))),1,0)</f>
        <v>0</v>
      </c>
      <c r="CB275" s="53" t="n">
        <f aca="false">IF(CQ275&gt;0,INDEX(Parameter!$H$5:$H$7,W275)/INDEX(Parameter!$E$5:$E$7,W275),IF(AND(BZ275=0,N(IFERROR(VLOOKUP(BX275,'Gebinde-Kategorie'!$A$5:$N$45,14,0),0))&gt;0),VLOOKUP(BX275,'Gebinde-Kategorie'!$A$5:$N$45,14,0)*10+Parameter!$M$23,Parameter!$M$24))</f>
        <v>145</v>
      </c>
      <c r="CC275" s="48" t="str">
        <f aca="false">IF(AND(Parameter!$B$19="Ja",E275&lt;&gt;"",ISNUMBER(MATCH(E275,Parameter!$I$35:$I$52,0))),VLOOKUP(E275,Parameter!$I$35:$J$52,2,0),IFERROR(VLOOKUP(D275,Parameter!$A$35:$C$64,2,0),"Nein"))</f>
        <v>2+3</v>
      </c>
      <c r="CD275" s="52" t="n">
        <f aca="false">IF(BZ275=0,0,IF(N(S275)&gt;0,S275,IFERROR(VLOOKUP(D275,Parameter!$A$35:$C$64,3,0)+0,0)))</f>
        <v>0</v>
      </c>
      <c r="CE275" s="48" t="n">
        <f aca="false">IF(AA275&lt;&gt;"",AA275,Z275)</f>
        <v>2</v>
      </c>
      <c r="CF275" s="48" t="str">
        <f aca="false">IF(OR(CE275=1,CE275=2,CE275=3),IF(Parameter!$E$27="Ja","LIFT",IF(CE275=1,"L1","L23")),IF(CE275="Aussen","Aussen","-"))</f>
        <v>LIFT</v>
      </c>
      <c r="CG275" s="59" t="n">
        <f aca="false">IF(N(AB275)&gt;0,AB275,0)</f>
        <v>0</v>
      </c>
      <c r="CH275" s="53" t="n">
        <f aca="false">IF(ISNUMBER(AE275),1,0)</f>
        <v>0</v>
      </c>
      <c r="CI275" s="50" t="n">
        <f aca="false">N(AE275)</f>
        <v>0</v>
      </c>
      <c r="CJ275" s="50" t="n">
        <f aca="false">N(M275)+N(N275)</f>
        <v>1</v>
      </c>
      <c r="CK275" s="50" t="n">
        <f aca="false">N(M275)</f>
        <v>0</v>
      </c>
      <c r="CL275" s="50" t="n">
        <f aca="false">N(N275)</f>
        <v>1</v>
      </c>
      <c r="CM275" s="50" t="n">
        <f aca="false">ROUNDUP(H275/BY275,0)</f>
        <v>1</v>
      </c>
      <c r="CN275" s="50" t="n">
        <f aca="false">ROUNDUP(CI275/BY275,0)</f>
        <v>0</v>
      </c>
      <c r="CO275" s="53" t="n">
        <f aca="false">IF(BZ275=1,0,IFERROR(VLOOKUP(BX275,'Gebinde-Kategorie'!$A$5:$N$45,5,0)+0,0))</f>
        <v>11</v>
      </c>
      <c r="CP275" s="53" t="n">
        <f aca="false">IFERROR(IF(OR(CE275=1,CE275=2,CE275=3),N(INDEX(Parameter!$I$5:$I$7,CE275)),0),0)</f>
        <v>0</v>
      </c>
      <c r="CQ275" s="52" t="n">
        <f aca="false">IF(AND(Parameter!$B$21="Ja",ISNUMBER(W275),N(X275)&gt;0),IFERROR(N(INDEX(Parameter!$L$5:$L$7,W275))*INDEX(Parameter!$E$5:$E$7,W275)*X275/SUMIFS($X$7:$X$1843,$W$7:$W$1843,W275),0),0)</f>
        <v>0</v>
      </c>
    </row>
    <row r="276" customFormat="false" ht="15" hidden="false" customHeight="false" outlineLevel="0" collapsed="false">
      <c r="A276" s="48" t="s">
        <v>737</v>
      </c>
      <c r="B276" s="48" t="s">
        <v>553</v>
      </c>
      <c r="C276" s="48" t="s">
        <v>173</v>
      </c>
      <c r="D276" s="48" t="s">
        <v>193</v>
      </c>
      <c r="E276" s="48"/>
      <c r="F276" s="48" t="s">
        <v>227</v>
      </c>
      <c r="G276" s="49" t="n">
        <v>24.5</v>
      </c>
      <c r="H276" s="50" t="n">
        <f aca="false">MAX(0,IF(AND(Parameter!$B$21="Ja",ISNUMBER(Y276)),Y276,IF(Parameter!$B$20="Jahresanfang 2025 + Export",BR276+BQ276,BQ276)))</f>
        <v>15</v>
      </c>
      <c r="I276" s="50" t="n">
        <f aca="false">H276*G276</f>
        <v>367.5</v>
      </c>
      <c r="J276" s="50" t="n">
        <f aca="false">BT276*Parameter!$B$18</f>
        <v>0</v>
      </c>
      <c r="K276" s="51" t="n">
        <v>0</v>
      </c>
      <c r="L276" s="52" t="n">
        <v>0</v>
      </c>
      <c r="M276" s="50" t="n">
        <v>0</v>
      </c>
      <c r="N276" s="50" t="n">
        <v>15</v>
      </c>
      <c r="O276" s="53" t="n">
        <v>9999</v>
      </c>
      <c r="P276" s="48" t="s">
        <v>177</v>
      </c>
      <c r="Q276" s="50"/>
      <c r="R276" s="53" t="n">
        <f aca="false">IF(BZ276=1,0,IFERROR(VLOOKUP(BX276,'Gebinde-Kategorie'!$A$5:$N$45,13,0)+0,0))</f>
        <v>26</v>
      </c>
      <c r="S276" s="54"/>
      <c r="T276" s="55" t="s">
        <v>284</v>
      </c>
      <c r="U276" s="55"/>
      <c r="V276" s="55"/>
      <c r="W276" s="48"/>
      <c r="X276" s="50"/>
      <c r="Y276" s="50"/>
      <c r="Z276" s="48" t="n">
        <f aca="false">IF(A276="","",IF(AND(Parameter!$B$21="Ja",ISNUMBER(W276)),W276,IF(CC276="2+3",IF(ISNUMBER(SEARCH("grosser Artikel",BU276)),2,IFERROR(VLOOKUP(BX276,Parameter!$F$35:$G$64,2,0),2)),IF(OR(CC276="Nein",CC276=""),"-",CC276))))</f>
        <v>3</v>
      </c>
      <c r="AA276" s="55"/>
      <c r="AB276" s="56"/>
      <c r="AC276" s="50" t="n">
        <f aca="false">AV276</f>
        <v>15</v>
      </c>
      <c r="AD276" s="50" t="n">
        <f aca="false">MAX(AV276,H276)</f>
        <v>15</v>
      </c>
      <c r="AE276" s="57"/>
      <c r="AF276" s="50" t="n">
        <f aca="false">IF(LEFT(Cockpit!$C$5,1)="A",H276,IF(Parameter!$E$30="MAX-Bestand",IF(CH276=1,CI276,IF(LEFT(Cockpit!$C$5,1)="B",AL276,MAX(AL276,H276))),ROUNDUP(AJ276,0)))</f>
        <v>15</v>
      </c>
      <c r="AG276" s="50" t="n">
        <f aca="false">IF(BZ276=1,0,ROUNDUP(AF276/BY276,0))</f>
        <v>1</v>
      </c>
      <c r="AH276" s="52" t="n">
        <f aca="false">IF(CQ276&gt;0,CQ276*MAX(1,AF276/X276),IF(BZ276=1,IF(AF276&lt;=0,0,CD276*MAX(1,IF(H276&gt;0,AF276/H276,1))),IF(R276&gt;0,AG276/R276,0))/MAX(0.1,N(Parameter!$M$21)))</f>
        <v>0.0384615384615385</v>
      </c>
      <c r="AI276" s="50" t="n">
        <f aca="false">AH276*CB276</f>
        <v>5.96153846153846</v>
      </c>
      <c r="AJ276" s="51" t="n">
        <f aca="false">IF(LEFT(Cockpit!$C$5,1)="A",H276,IF(CH276=1,(CK276+CI276)/2,IF(LEFT(Cockpit!$C$5,1)="B",(CK276+AL276)/2,MAX((CK276+AL276)/2,H276))))</f>
        <v>15</v>
      </c>
      <c r="AK276" s="50" t="n">
        <f aca="false">AJ276*G276</f>
        <v>367.5</v>
      </c>
      <c r="AL276" s="50" t="n">
        <f aca="false">ROUNDUP(CK276+MAX(CL276,2*(J276/IF(CG276&gt;0,CG276,MAX(0.1,N(Cockpit!$C$6)))-CK276)),0)</f>
        <v>15</v>
      </c>
      <c r="AM276" s="51" t="n">
        <f aca="false">IF(AI276&gt;0,J276/AI276,-1)</f>
        <v>0</v>
      </c>
      <c r="AN276" s="51" t="n">
        <f aca="false">IF(AND(OR(CF276="L1",CF276="L23",CF276="LIFT"),AI276&gt;0),SUMIFS($AI$7:$AI$1843,$CF$7:$CF$1843,CF276,$AM$7:$AM$1843,"&gt;"&amp;AM276)+SUMIFS($AI$7:$AI$1843,$CF$7:$CF$1843,CF276,$AM$7:$AM$1843,AM276,$BW$7:$BW$1843,"&lt;="&amp;BW276),"")</f>
        <v>27778.4081351793</v>
      </c>
      <c r="AO276" s="58" t="n">
        <f aca="false">IF(AN276="",0,MAX(0,MIN(1,(IF(CF276="L1",Parameter!$H$5,IF(CF276="L23",Parameter!$H$6+Parameter!$H$7,Parameter!$H$5+Parameter!$H$6+Parameter!$H$7))-(AN276-AI276))/AI276)))</f>
        <v>1</v>
      </c>
      <c r="AP276" s="50" t="n">
        <f aca="false">IF(LEFT(Cockpit!$I$5,1)="A",H276,IF(Parameter!$E$30="MAX-Bestand",IF(CH276=1,CI276,IF(LEFT(Cockpit!$I$5,1)="B",AV276,MAX(AV276,H276))),ROUNDUP(AT276,0)))</f>
        <v>15</v>
      </c>
      <c r="AQ276" s="50" t="n">
        <f aca="false">IF(BZ276=1,0,ROUNDUP(AP276/BY276,0))</f>
        <v>1</v>
      </c>
      <c r="AR276" s="52" t="n">
        <f aca="false">IF(CQ276&gt;0,CQ276*MAX(1,AP276/X276),IF(BZ276=1,IF(AP276&lt;=0,0,CD276*MAX(1,IF(H276&gt;0,AP276/H276,1))),IF(R276&gt;0,AQ276/R276,0))/MAX(0.1,N(Parameter!$M$21)))</f>
        <v>0.0384615384615385</v>
      </c>
      <c r="AS276" s="50" t="n">
        <f aca="false">AR276*CB276</f>
        <v>5.96153846153846</v>
      </c>
      <c r="AT276" s="51" t="n">
        <f aca="false">IF(LEFT(Cockpit!$I$5,1)="A",H276,IF(CH276=1,(CK276+CI276)/2,IF(LEFT(Cockpit!$I$5,1)="B",(CK276+AV276)/2,MAX((CK276+AV276)/2,H276))))</f>
        <v>15</v>
      </c>
      <c r="AU276" s="50" t="n">
        <f aca="false">AT276*G276</f>
        <v>367.5</v>
      </c>
      <c r="AV276" s="50" t="n">
        <f aca="false">ROUNDUP(CK276+MAX(CL276,2*(J276/IF(CG276&gt;0,CG276,MAX(0.1,N(Cockpit!$I$6)))-CK276)),0)</f>
        <v>15</v>
      </c>
      <c r="AW276" s="51" t="n">
        <f aca="false">IF(AS276&gt;0,J276/AS276,-1)</f>
        <v>0</v>
      </c>
      <c r="AX276" s="51" t="n">
        <f aca="false">IF(AND(OR(CF276="L1",CF276="L23",CF276="LIFT"),AS276&gt;0),SUMIFS($AS$7:$AS$1843,$CF$7:$CF$1843,CF276,$AW$7:$AW$1843,"&gt;"&amp;AW276)+SUMIFS($AS$7:$AS$1843,$CF$7:$CF$1843,CF276,$AW$7:$AW$1843,AW276,$BW$7:$BW$1843,"&lt;="&amp;BW276),"")</f>
        <v>33131.5567765568</v>
      </c>
      <c r="AY276" s="58" t="n">
        <f aca="false">IF(AX276="",0,MAX(0,MIN(1,(IF(CF276="L1",Parameter!$H$5,IF(CF276="L23",Parameter!$H$6+Parameter!$H$7,Parameter!$H$5+Parameter!$H$6+Parameter!$H$7))-(AX276-AS276))/AS276)))</f>
        <v>1</v>
      </c>
      <c r="AZ276" s="50" t="n">
        <f aca="false">IF(LEFT(Cockpit!$O$5,1)="A",H276,IF(Parameter!$E$30="MAX-Bestand",IF(CH276=1,CI276,IF(LEFT(Cockpit!$O$5,1)="B",BF276,MAX(BF276,H276))),ROUNDUP(BD276,0)))</f>
        <v>8</v>
      </c>
      <c r="BA276" s="50" t="n">
        <f aca="false">IF(BZ276=1,0,ROUNDUP(AZ276/BY276,0))</f>
        <v>1</v>
      </c>
      <c r="BB276" s="52" t="n">
        <f aca="false">IF(CQ276&gt;0,CQ276*MAX(1,AZ276/X276),IF(BZ276=1,IF(AZ276&lt;=0,0,CD276*MAX(1,IF(H276&gt;0,AZ276/H276,1))),IF(R276&gt;0,BA276/R276,0))/MAX(0.1,N(Parameter!$M$21)))</f>
        <v>0.0384615384615385</v>
      </c>
      <c r="BC276" s="50" t="n">
        <f aca="false">BB276*CB276</f>
        <v>5.96153846153846</v>
      </c>
      <c r="BD276" s="51" t="n">
        <f aca="false">IF(LEFT(Cockpit!$O$5,1)="A",H276,IF(CH276=1,(CK276+CI276)/2,IF(LEFT(Cockpit!$O$5,1)="B",(CK276+BF276)/2,MAX((CK276+BF276)/2,H276))))</f>
        <v>7.5</v>
      </c>
      <c r="BE276" s="50" t="n">
        <f aca="false">BD276*G276</f>
        <v>183.75</v>
      </c>
      <c r="BF276" s="50" t="n">
        <f aca="false">ROUNDUP(CK276+MAX(CL276,2*(J276/IF(CG276&gt;0,CG276,MAX(0.1,N(Cockpit!$O$6)))-CK276)),0)</f>
        <v>15</v>
      </c>
      <c r="BG276" s="51" t="n">
        <f aca="false">IF(BC276&gt;0,J276/BC276,-1)</f>
        <v>0</v>
      </c>
      <c r="BH276" s="51" t="n">
        <f aca="false">IF(AND(OR(CF276="L1",CF276="L23",CF276="LIFT"),BC276&gt;0),SUMIFS($BC$7:$BC$1843,$CF$7:$CF$1843,CF276,$BG$7:$BG$1843,"&gt;"&amp;BG276)+SUMIFS($BC$7:$BC$1843,$CF$7:$CF$1843,CF276,$BG$7:$BG$1843,BG276,$BW$7:$BW$1843,"&lt;="&amp;BW276),"")</f>
        <v>27286.3757993419</v>
      </c>
      <c r="BI276" s="58" t="n">
        <f aca="false">IF(BH276="",0,MAX(0,MIN(1,(IF(CF276="L1",Parameter!$H$5,IF(CF276="L23",Parameter!$H$6+Parameter!$H$7,Parameter!$H$5+Parameter!$H$6+Parameter!$H$7))-(BH276-BC276))/BC276)))</f>
        <v>1</v>
      </c>
      <c r="BJ276" s="48" t="str">
        <f aca="false">IF(AI276&lt;=0,"",IF(CF276="Aussen","Aussenlager",IF(CF276="-","Nicht im Lift",IF(AO276&gt;=1,"Lift",IF(AO276&lt;=0,"Aussenlager","teilweise")))))</f>
        <v>Lift</v>
      </c>
      <c r="BK276" s="48" t="str">
        <f aca="false">IF(AS276&lt;=0,"",IF(CF276="Aussen","Aussenlager",IF(CF276="-","Nicht im Lift",IF(AY276&gt;=1,"Lift",IF(AY276&lt;=0,"Aussenlager","teilweise")))))</f>
        <v>Lift</v>
      </c>
      <c r="BL276" s="48" t="str">
        <f aca="false">IF(BC276&lt;=0,"",IF(CF276="Aussen","Aussenlager",IF(CF276="-","Nicht im Lift",IF(BI276&gt;=1,"Lift",IF(BI276&lt;=0,"Aussenlager","teilweise")))))</f>
        <v>Lift</v>
      </c>
      <c r="BM276" s="48" t="str">
        <f aca="false">IF(A276="","",IF(BV276=1,"Neu; ","")&amp;IF(AND(BV276=0,BQ276&lt;0),"negativer Bestand (Export "&amp;BQ276&amp;"); ","")&amp;IF(J276&lt;=0,"Kein Verbrauch; ","")&amp;IF(CQ276&gt;0,"Lift "&amp;W276&amp;" lt. Liftbericht (Fach "&amp;X276&amp;" Stk); ",IF(CA276=1,"Gebinde geschätzt ("&amp;T276&amp;"); ",IF(BZ276=1,"Lose – Tablare geschätzt; ","")))&amp;IF(H276&gt;AV276,"Überbestand "&amp;ROUND(H276-AV276,0)&amp;" Stk / CHF "&amp;ROUND((H276-AV276)*G276,0)&amp;"; ","")&amp;IF(AND(CH276=1,CI276&lt;CJ276),"MAX &lt; MB+LG; ","")&amp;IF(AND(CP276&gt;0,CO276*10&gt;CP276),"zu hoch für Tablar; ","")&amp;IF(AND(BV276=0,OR(CH276=1,AA276&lt;&gt;"",U276&lt;&gt;"",V276&lt;&gt;"",AB276&lt;&gt;"")),"manuell übersteuert; ","")&amp;IF(AND(BZ276=0,R276=0),"Gebinde unbekannt / Stellmass fehlt; ","")&amp;IF(AND(BZ276=0,N(V276)&lt;=0,N(Q276)&lt;=0),"Menge pro Gebinde fehlt (Ist = 1 Gebinde); ","")&amp;BU276)</f>
        <v>Kein Verbrauch; Gebinde geschätzt (Klein); Menge pro Gebinde fehlt (Ist = 1 Gebinde); </v>
      </c>
      <c r="BN276" s="48"/>
      <c r="BO276" s="48"/>
      <c r="BP276" s="55"/>
      <c r="BQ276" s="50" t="n">
        <v>15</v>
      </c>
      <c r="BR276" s="50" t="n">
        <v>0</v>
      </c>
      <c r="BS276" s="49" t="n">
        <v>367.5</v>
      </c>
      <c r="BT276" s="50" t="n">
        <v>0</v>
      </c>
      <c r="BU276" s="48"/>
      <c r="BV276" s="53" t="n">
        <v>0</v>
      </c>
      <c r="BW276" s="53" t="n">
        <v>276</v>
      </c>
      <c r="BX276" s="48" t="str">
        <f aca="false">IF(U276&lt;&gt;"",UPPER(TRIM(U276)),IF(CA276=1,UPPER(VLOOKUP(T276,Parameter!$I$27:$K$29,2,0)),IF(P276="","LOSE",P276)))</f>
        <v>S51</v>
      </c>
      <c r="BY276" s="50" t="n">
        <f aca="false">IF(BX276="LOSE",1,IF(N(V276)&gt;0,V276,IF(CA276=1,MAX(1,N(VLOOKUP(T276,Parameter!$I$27:$K$29,3,0)),H276,N(N276)),IF(N(Q276)&gt;0,Q276,MAX(1,H276)))))</f>
        <v>20</v>
      </c>
      <c r="BZ276" s="53" t="n">
        <f aca="false">IF(BX276="LOSE",1,0)</f>
        <v>0</v>
      </c>
      <c r="CA276" s="53" t="n">
        <f aca="false">IF(AND(U276="",OR(P276="",P276="LOSE"),T276&lt;&gt;"",N(S276)&lt;=0,ISNUMBER(MATCH(T276,Parameter!$I$27:$I$29,0))),1,0)</f>
        <v>1</v>
      </c>
      <c r="CB276" s="53" t="n">
        <f aca="false">IF(CQ276&gt;0,INDEX(Parameter!$H$5:$H$7,W276)/INDEX(Parameter!$E$5:$E$7,W276),IF(AND(BZ276=0,N(IFERROR(VLOOKUP(BX276,'Gebinde-Kategorie'!$A$5:$N$45,14,0),0))&gt;0),VLOOKUP(BX276,'Gebinde-Kategorie'!$A$5:$N$45,14,0)*10+Parameter!$M$23,Parameter!$M$24))</f>
        <v>155</v>
      </c>
      <c r="CC276" s="48" t="str">
        <f aca="false">IF(AND(Parameter!$B$19="Ja",E276&lt;&gt;"",ISNUMBER(MATCH(E276,Parameter!$I$35:$I$52,0))),VLOOKUP(E276,Parameter!$I$35:$J$52,2,0),IFERROR(VLOOKUP(D276,Parameter!$A$35:$C$64,2,0),"Nein"))</f>
        <v>2+3</v>
      </c>
      <c r="CD276" s="52" t="n">
        <f aca="false">IF(BZ276=0,0,IF(N(S276)&gt;0,S276,IFERROR(VLOOKUP(D276,Parameter!$A$35:$C$64,3,0)+0,0)))</f>
        <v>0</v>
      </c>
      <c r="CE276" s="48" t="n">
        <f aca="false">IF(AA276&lt;&gt;"",AA276,Z276)</f>
        <v>3</v>
      </c>
      <c r="CF276" s="48" t="str">
        <f aca="false">IF(OR(CE276=1,CE276=2,CE276=3),IF(Parameter!$E$27="Ja","LIFT",IF(CE276=1,"L1","L23")),IF(CE276="Aussen","Aussen","-"))</f>
        <v>LIFT</v>
      </c>
      <c r="CG276" s="59" t="n">
        <f aca="false">IF(N(AB276)&gt;0,AB276,0)</f>
        <v>0</v>
      </c>
      <c r="CH276" s="53" t="n">
        <f aca="false">IF(ISNUMBER(AE276),1,0)</f>
        <v>0</v>
      </c>
      <c r="CI276" s="50" t="n">
        <f aca="false">N(AE276)</f>
        <v>0</v>
      </c>
      <c r="CJ276" s="50" t="n">
        <f aca="false">N(M276)+N(N276)</f>
        <v>15</v>
      </c>
      <c r="CK276" s="50" t="n">
        <f aca="false">N(M276)</f>
        <v>0</v>
      </c>
      <c r="CL276" s="50" t="n">
        <f aca="false">N(N276)</f>
        <v>15</v>
      </c>
      <c r="CM276" s="50" t="n">
        <f aca="false">ROUNDUP(H276/BY276,0)</f>
        <v>1</v>
      </c>
      <c r="CN276" s="50" t="n">
        <f aca="false">ROUNDUP(CI276/BY276,0)</f>
        <v>0</v>
      </c>
      <c r="CO276" s="53" t="n">
        <f aca="false">IF(BZ276=1,0,IFERROR(VLOOKUP(BX276,'Gebinde-Kategorie'!$A$5:$N$45,5,0)+0,0))</f>
        <v>11</v>
      </c>
      <c r="CP276" s="53" t="n">
        <f aca="false">IFERROR(IF(OR(CE276=1,CE276=2,CE276=3),N(INDEX(Parameter!$I$5:$I$7,CE276)),0),0)</f>
        <v>0</v>
      </c>
      <c r="CQ276" s="52" t="n">
        <f aca="false">IF(AND(Parameter!$B$21="Ja",ISNUMBER(W276),N(X276)&gt;0),IFERROR(N(INDEX(Parameter!$L$5:$L$7,W276))*INDEX(Parameter!$E$5:$E$7,W276)*X276/SUMIFS($X$7:$X$1843,$W$7:$W$1843,W276),0),0)</f>
        <v>0</v>
      </c>
    </row>
    <row r="277" customFormat="false" ht="15" hidden="false" customHeight="false" outlineLevel="0" collapsed="false">
      <c r="A277" s="48" t="s">
        <v>738</v>
      </c>
      <c r="B277" s="48" t="s">
        <v>739</v>
      </c>
      <c r="C277" s="48" t="s">
        <v>173</v>
      </c>
      <c r="D277" s="48" t="s">
        <v>193</v>
      </c>
      <c r="E277" s="48" t="s">
        <v>194</v>
      </c>
      <c r="F277" s="48" t="s">
        <v>227</v>
      </c>
      <c r="G277" s="49" t="n">
        <v>20.67</v>
      </c>
      <c r="H277" s="50" t="n">
        <f aca="false">MAX(0,IF(AND(Parameter!$B$21="Ja",ISNUMBER(Y277)),Y277,IF(Parameter!$B$20="Jahresanfang 2025 + Export",BR277+BQ277,BQ277)))</f>
        <v>22</v>
      </c>
      <c r="I277" s="50" t="n">
        <f aca="false">H277*G277</f>
        <v>454.74</v>
      </c>
      <c r="J277" s="50" t="n">
        <f aca="false">BT277*Parameter!$B$18</f>
        <v>4</v>
      </c>
      <c r="K277" s="51" t="n">
        <v>13</v>
      </c>
      <c r="L277" s="52" t="n">
        <v>0.307692307692308</v>
      </c>
      <c r="M277" s="50" t="n">
        <v>0</v>
      </c>
      <c r="N277" s="50" t="n">
        <v>5</v>
      </c>
      <c r="O277" s="53" t="n">
        <v>21</v>
      </c>
      <c r="P277" s="48" t="s">
        <v>430</v>
      </c>
      <c r="Q277" s="50" t="n">
        <v>13</v>
      </c>
      <c r="R277" s="53" t="n">
        <f aca="false">IF(BZ277=1,0,IFERROR(VLOOKUP(BX277,'Gebinde-Kategorie'!$A$5:$N$45,13,0)+0,0))</f>
        <v>104</v>
      </c>
      <c r="S277" s="54"/>
      <c r="T277" s="55"/>
      <c r="U277" s="55"/>
      <c r="V277" s="55"/>
      <c r="W277" s="48"/>
      <c r="X277" s="50"/>
      <c r="Y277" s="50"/>
      <c r="Z277" s="48" t="n">
        <f aca="false">IF(A277="","",IF(AND(Parameter!$B$21="Ja",ISNUMBER(W277)),W277,IF(CC277="2+3",IF(ISNUMBER(SEARCH("grosser Artikel",BU277)),2,IFERROR(VLOOKUP(BX277,Parameter!$F$35:$G$64,2,0),2)),IF(OR(CC277="Nein",CC277=""),"-",CC277))))</f>
        <v>3</v>
      </c>
      <c r="AA277" s="55"/>
      <c r="AB277" s="56"/>
      <c r="AC277" s="50" t="n">
        <f aca="false">AV277</f>
        <v>5</v>
      </c>
      <c r="AD277" s="50" t="n">
        <f aca="false">MAX(AV277,H277)</f>
        <v>22</v>
      </c>
      <c r="AE277" s="57"/>
      <c r="AF277" s="50" t="n">
        <f aca="false">IF(LEFT(Cockpit!$C$5,1)="A",H277,IF(Parameter!$E$30="MAX-Bestand",IF(CH277=1,CI277,IF(LEFT(Cockpit!$C$5,1)="B",AL277,MAX(AL277,H277))),ROUNDUP(AJ277,0)))</f>
        <v>22</v>
      </c>
      <c r="AG277" s="50" t="n">
        <f aca="false">IF(BZ277=1,0,ROUNDUP(AF277/BY277,0))</f>
        <v>2</v>
      </c>
      <c r="AH277" s="52" t="n">
        <f aca="false">IF(CQ277&gt;0,CQ277*MAX(1,AF277/X277),IF(BZ277=1,IF(AF277&lt;=0,0,CD277*MAX(1,IF(H277&gt;0,AF277/H277,1))),IF(R277&gt;0,AG277/R277,0))/MAX(0.1,N(Parameter!$M$21)))</f>
        <v>0.0192307692307692</v>
      </c>
      <c r="AI277" s="50" t="n">
        <f aca="false">AH277*CB277</f>
        <v>2.98076923076923</v>
      </c>
      <c r="AJ277" s="51" t="n">
        <f aca="false">IF(LEFT(Cockpit!$C$5,1)="A",H277,IF(CH277=1,(CK277+CI277)/2,IF(LEFT(Cockpit!$C$5,1)="B",(CK277+AL277)/2,MAX((CK277+AL277)/2,H277))))</f>
        <v>22</v>
      </c>
      <c r="AK277" s="50" t="n">
        <f aca="false">AJ277*G277</f>
        <v>454.74</v>
      </c>
      <c r="AL277" s="50" t="n">
        <f aca="false">ROUNDUP(CK277+MAX(CL277,2*(J277/IF(CG277&gt;0,CG277,MAX(0.1,N(Cockpit!$C$6)))-CK277)),0)</f>
        <v>5</v>
      </c>
      <c r="AM277" s="51" t="n">
        <f aca="false">IF(AI277&gt;0,J277/AI277,-1)</f>
        <v>1.34193548387097</v>
      </c>
      <c r="AN277" s="51" t="n">
        <f aca="false">IF(AND(OR(CF277="L1",CF277="L23",CF277="LIFT"),AI277&gt;0),SUMIFS($AI$7:$AI$1843,$CF$7:$CF$1843,CF277,$AM$7:$AM$1843,"&gt;"&amp;AM277)+SUMIFS($AI$7:$AI$1843,$CF$7:$CF$1843,CF277,$AM$7:$AM$1843,AM277,$BW$7:$BW$1843,"&lt;="&amp;BW277),"")</f>
        <v>6328.16712454213</v>
      </c>
      <c r="AO277" s="58" t="n">
        <f aca="false">IF(AN277="",0,MAX(0,MIN(1,(IF(CF277="L1",Parameter!$H$5,IF(CF277="L23",Parameter!$H$6+Parameter!$H$7,Parameter!$H$5+Parameter!$H$6+Parameter!$H$7))-(AN277-AI277))/AI277)))</f>
        <v>1</v>
      </c>
      <c r="AP277" s="50" t="n">
        <f aca="false">IF(LEFT(Cockpit!$I$5,1)="A",H277,IF(Parameter!$E$30="MAX-Bestand",IF(CH277=1,CI277,IF(LEFT(Cockpit!$I$5,1)="B",AV277,MAX(AV277,H277))),ROUNDUP(AT277,0)))</f>
        <v>22</v>
      </c>
      <c r="AQ277" s="50" t="n">
        <f aca="false">IF(BZ277=1,0,ROUNDUP(AP277/BY277,0))</f>
        <v>2</v>
      </c>
      <c r="AR277" s="52" t="n">
        <f aca="false">IF(CQ277&gt;0,CQ277*MAX(1,AP277/X277),IF(BZ277=1,IF(AP277&lt;=0,0,CD277*MAX(1,IF(H277&gt;0,AP277/H277,1))),IF(R277&gt;0,AQ277/R277,0))/MAX(0.1,N(Parameter!$M$21)))</f>
        <v>0.0192307692307692</v>
      </c>
      <c r="AS277" s="50" t="n">
        <f aca="false">AR277*CB277</f>
        <v>2.98076923076923</v>
      </c>
      <c r="AT277" s="51" t="n">
        <f aca="false">IF(LEFT(Cockpit!$I$5,1)="A",H277,IF(CH277=1,(CK277+CI277)/2,IF(LEFT(Cockpit!$I$5,1)="B",(CK277+AV277)/2,MAX((CK277+AV277)/2,H277))))</f>
        <v>22</v>
      </c>
      <c r="AU277" s="50" t="n">
        <f aca="false">AT277*G277</f>
        <v>454.74</v>
      </c>
      <c r="AV277" s="50" t="n">
        <f aca="false">ROUNDUP(CK277+MAX(CL277,2*(J277/IF(CG277&gt;0,CG277,MAX(0.1,N(Cockpit!$I$6)))-CK277)),0)</f>
        <v>5</v>
      </c>
      <c r="AW277" s="51" t="n">
        <f aca="false">IF(AS277&gt;0,J277/AS277,-1)</f>
        <v>1.34193548387097</v>
      </c>
      <c r="AX277" s="51" t="n">
        <f aca="false">IF(AND(OR(CF277="L1",CF277="L23",CF277="LIFT"),AS277&gt;0),SUMIFS($AS$7:$AS$1843,$CF$7:$CF$1843,CF277,$AW$7:$AW$1843,"&gt;"&amp;AW277)+SUMIFS($AS$7:$AS$1843,$CF$7:$CF$1843,CF277,$AW$7:$AW$1843,AW277,$BW$7:$BW$1843,"&lt;="&amp;BW277),"")</f>
        <v>7846.38919413919</v>
      </c>
      <c r="AY277" s="58" t="n">
        <f aca="false">IF(AX277="",0,MAX(0,MIN(1,(IF(CF277="L1",Parameter!$H$5,IF(CF277="L23",Parameter!$H$6+Parameter!$H$7,Parameter!$H$5+Parameter!$H$6+Parameter!$H$7))-(AX277-AS277))/AS277)))</f>
        <v>1</v>
      </c>
      <c r="AZ277" s="50" t="n">
        <f aca="false">IF(LEFT(Cockpit!$O$5,1)="A",H277,IF(Parameter!$E$30="MAX-Bestand",IF(CH277=1,CI277,IF(LEFT(Cockpit!$O$5,1)="B",BF277,MAX(BF277,H277))),ROUNDUP(BD277,0)))</f>
        <v>3</v>
      </c>
      <c r="BA277" s="50" t="n">
        <f aca="false">IF(BZ277=1,0,ROUNDUP(AZ277/BY277,0))</f>
        <v>1</v>
      </c>
      <c r="BB277" s="52" t="n">
        <f aca="false">IF(CQ277&gt;0,CQ277*MAX(1,AZ277/X277),IF(BZ277=1,IF(AZ277&lt;=0,0,CD277*MAX(1,IF(H277&gt;0,AZ277/H277,1))),IF(R277&gt;0,BA277/R277,0))/MAX(0.1,N(Parameter!$M$21)))</f>
        <v>0.00961538461538462</v>
      </c>
      <c r="BC277" s="50" t="n">
        <f aca="false">BB277*CB277</f>
        <v>1.49038461538462</v>
      </c>
      <c r="BD277" s="51" t="n">
        <f aca="false">IF(LEFT(Cockpit!$O$5,1)="A",H277,IF(CH277=1,(CK277+CI277)/2,IF(LEFT(Cockpit!$O$5,1)="B",(CK277+BF277)/2,MAX((CK277+BF277)/2,H277))))</f>
        <v>2.5</v>
      </c>
      <c r="BE277" s="50" t="n">
        <f aca="false">BD277*G277</f>
        <v>51.675</v>
      </c>
      <c r="BF277" s="50" t="n">
        <f aca="false">ROUNDUP(CK277+MAX(CL277,2*(J277/IF(CG277&gt;0,CG277,MAX(0.1,N(Cockpit!$O$6)))-CK277)),0)</f>
        <v>5</v>
      </c>
      <c r="BG277" s="51" t="n">
        <f aca="false">IF(BC277&gt;0,J277/BC277,-1)</f>
        <v>2.68387096774194</v>
      </c>
      <c r="BH277" s="51" t="n">
        <f aca="false">IF(AND(OR(CF277="L1",CF277="L23",CF277="LIFT"),BC277&gt;0),SUMIFS($BC$7:$BC$1843,$CF$7:$CF$1843,CF277,$BG$7:$BG$1843,"&gt;"&amp;BG277)+SUMIFS($BC$7:$BC$1843,$CF$7:$CF$1843,CF277,$BG$7:$BG$1843,BG277,$BW$7:$BW$1843,"&lt;="&amp;BW277),"")</f>
        <v>5331.51923076923</v>
      </c>
      <c r="BI277" s="58" t="n">
        <f aca="false">IF(BH277="",0,MAX(0,MIN(1,(IF(CF277="L1",Parameter!$H$5,IF(CF277="L23",Parameter!$H$6+Parameter!$H$7,Parameter!$H$5+Parameter!$H$6+Parameter!$H$7))-(BH277-BC277))/BC277)))</f>
        <v>1</v>
      </c>
      <c r="BJ277" s="48" t="str">
        <f aca="false">IF(AI277&lt;=0,"",IF(CF277="Aussen","Aussenlager",IF(CF277="-","Nicht im Lift",IF(AO277&gt;=1,"Lift",IF(AO277&lt;=0,"Aussenlager","teilweise")))))</f>
        <v>Lift</v>
      </c>
      <c r="BK277" s="48" t="str">
        <f aca="false">IF(AS277&lt;=0,"",IF(CF277="Aussen","Aussenlager",IF(CF277="-","Nicht im Lift",IF(AY277&gt;=1,"Lift",IF(AY277&lt;=0,"Aussenlager","teilweise")))))</f>
        <v>Lift</v>
      </c>
      <c r="BL277" s="48" t="str">
        <f aca="false">IF(BC277&lt;=0,"",IF(CF277="Aussen","Aussenlager",IF(CF277="-","Nicht im Lift",IF(BI277&gt;=1,"Lift",IF(BI277&lt;=0,"Aussenlager","teilweise")))))</f>
        <v>Lift</v>
      </c>
      <c r="BM277" s="48" t="str">
        <f aca="false">IF(A277="","",IF(BV277=1,"Neu; ","")&amp;IF(AND(BV277=0,BQ277&lt;0),"negativer Bestand (Export "&amp;BQ277&amp;"); ","")&amp;IF(J277&lt;=0,"Kein Verbrauch; ","")&amp;IF(CQ277&gt;0,"Lift "&amp;W277&amp;" lt. Liftbericht (Fach "&amp;X277&amp;" Stk); ",IF(CA277=1,"Gebinde geschätzt ("&amp;T277&amp;"); ",IF(BZ277=1,"Lose – Tablare geschätzt; ","")))&amp;IF(H277&gt;AV277,"Überbestand "&amp;ROUND(H277-AV277,0)&amp;" Stk / CHF "&amp;ROUND((H277-AV277)*G277,0)&amp;"; ","")&amp;IF(AND(CH277=1,CI277&lt;CJ277),"MAX &lt; MB+LG; ","")&amp;IF(AND(CP277&gt;0,CO277*10&gt;CP277),"zu hoch für Tablar; ","")&amp;IF(AND(BV277=0,OR(CH277=1,AA277&lt;&gt;"",U277&lt;&gt;"",V277&lt;&gt;"",AB277&lt;&gt;"")),"manuell übersteuert; ","")&amp;IF(AND(BZ277=0,R277=0),"Gebinde unbekannt / Stellmass fehlt; ","")&amp;IF(AND(BZ277=0,N(V277)&lt;=0,N(Q277)&lt;=0),"Menge pro Gebinde fehlt (Ist = 1 Gebinde); ","")&amp;BU277)</f>
        <v>Überbestand 17 Stk / CHF 351; </v>
      </c>
      <c r="BN277" s="48"/>
      <c r="BO277" s="48"/>
      <c r="BP277" s="55"/>
      <c r="BQ277" s="50" t="n">
        <v>17</v>
      </c>
      <c r="BR277" s="50" t="n">
        <v>5</v>
      </c>
      <c r="BS277" s="49" t="n">
        <v>364.74</v>
      </c>
      <c r="BT277" s="50" t="n">
        <v>4</v>
      </c>
      <c r="BU277" s="48"/>
      <c r="BV277" s="53" t="n">
        <v>0</v>
      </c>
      <c r="BW277" s="53" t="n">
        <v>277</v>
      </c>
      <c r="BX277" s="48" t="str">
        <f aca="false">IF(U277&lt;&gt;"",UPPER(TRIM(U277)),IF(CA277=1,UPPER(VLOOKUP(T277,Parameter!$I$27:$K$29,2,0)),IF(P277="","LOSE",P277)))</f>
        <v>S32</v>
      </c>
      <c r="BY277" s="50" t="n">
        <f aca="false">IF(BX277="LOSE",1,IF(N(V277)&gt;0,V277,IF(CA277=1,MAX(1,N(VLOOKUP(T277,Parameter!$I$27:$K$29,3,0)),H277,N(N277)),IF(N(Q277)&gt;0,Q277,MAX(1,H277)))))</f>
        <v>13</v>
      </c>
      <c r="BZ277" s="53" t="n">
        <f aca="false">IF(BX277="LOSE",1,0)</f>
        <v>0</v>
      </c>
      <c r="CA277" s="53" t="n">
        <f aca="false">IF(AND(U277="",OR(P277="",P277="LOSE"),T277&lt;&gt;"",N(S277)&lt;=0,ISNUMBER(MATCH(T277,Parameter!$I$27:$I$29,0))),1,0)</f>
        <v>0</v>
      </c>
      <c r="CB277" s="53" t="n">
        <f aca="false">IF(CQ277&gt;0,INDEX(Parameter!$H$5:$H$7,W277)/INDEX(Parameter!$E$5:$E$7,W277),IF(AND(BZ277=0,N(IFERROR(VLOOKUP(BX277,'Gebinde-Kategorie'!$A$5:$N$45,14,0),0))&gt;0),VLOOKUP(BX277,'Gebinde-Kategorie'!$A$5:$N$45,14,0)*10+Parameter!$M$23,Parameter!$M$24))</f>
        <v>155</v>
      </c>
      <c r="CC277" s="48" t="str">
        <f aca="false">IF(AND(Parameter!$B$19="Ja",E277&lt;&gt;"",ISNUMBER(MATCH(E277,Parameter!$I$35:$I$52,0))),VLOOKUP(E277,Parameter!$I$35:$J$52,2,0),IFERROR(VLOOKUP(D277,Parameter!$A$35:$C$64,2,0),"Nein"))</f>
        <v>2+3</v>
      </c>
      <c r="CD277" s="52" t="n">
        <f aca="false">IF(BZ277=0,0,IF(N(S277)&gt;0,S277,IFERROR(VLOOKUP(D277,Parameter!$A$35:$C$64,3,0)+0,0)))</f>
        <v>0</v>
      </c>
      <c r="CE277" s="48" t="n">
        <f aca="false">IF(AA277&lt;&gt;"",AA277,Z277)</f>
        <v>3</v>
      </c>
      <c r="CF277" s="48" t="str">
        <f aca="false">IF(OR(CE277=1,CE277=2,CE277=3),IF(Parameter!$E$27="Ja","LIFT",IF(CE277=1,"L1","L23")),IF(CE277="Aussen","Aussen","-"))</f>
        <v>LIFT</v>
      </c>
      <c r="CG277" s="59" t="n">
        <f aca="false">IF(N(AB277)&gt;0,AB277,0)</f>
        <v>0</v>
      </c>
      <c r="CH277" s="53" t="n">
        <f aca="false">IF(ISNUMBER(AE277),1,0)</f>
        <v>0</v>
      </c>
      <c r="CI277" s="50" t="n">
        <f aca="false">N(AE277)</f>
        <v>0</v>
      </c>
      <c r="CJ277" s="50" t="n">
        <f aca="false">N(M277)+N(N277)</f>
        <v>5</v>
      </c>
      <c r="CK277" s="50" t="n">
        <f aca="false">N(M277)</f>
        <v>0</v>
      </c>
      <c r="CL277" s="50" t="n">
        <f aca="false">N(N277)</f>
        <v>5</v>
      </c>
      <c r="CM277" s="50" t="n">
        <f aca="false">ROUNDUP(H277/BY277,0)</f>
        <v>2</v>
      </c>
      <c r="CN277" s="50" t="n">
        <f aca="false">ROUNDUP(CI277/BY277,0)</f>
        <v>0</v>
      </c>
      <c r="CO277" s="53" t="n">
        <f aca="false">IF(BZ277=1,0,IFERROR(VLOOKUP(BX277,'Gebinde-Kategorie'!$A$5:$N$45,5,0)+0,0))</f>
        <v>8</v>
      </c>
      <c r="CP277" s="53" t="n">
        <f aca="false">IFERROR(IF(OR(CE277=1,CE277=2,CE277=3),N(INDEX(Parameter!$I$5:$I$7,CE277)),0),0)</f>
        <v>0</v>
      </c>
      <c r="CQ277" s="52" t="n">
        <f aca="false">IF(AND(Parameter!$B$21="Ja",ISNUMBER(W277),N(X277)&gt;0),IFERROR(N(INDEX(Parameter!$L$5:$L$7,W277))*INDEX(Parameter!$E$5:$E$7,W277)*X277/SUMIFS($X$7:$X$1843,$W$7:$W$1843,W277),0),0)</f>
        <v>0</v>
      </c>
    </row>
    <row r="278" customFormat="false" ht="15" hidden="false" customHeight="false" outlineLevel="0" collapsed="false">
      <c r="A278" s="48" t="s">
        <v>740</v>
      </c>
      <c r="B278" s="48" t="s">
        <v>741</v>
      </c>
      <c r="C278" s="48" t="s">
        <v>173</v>
      </c>
      <c r="D278" s="48" t="s">
        <v>193</v>
      </c>
      <c r="E278" s="48"/>
      <c r="F278" s="48" t="s">
        <v>227</v>
      </c>
      <c r="G278" s="49" t="n">
        <v>364</v>
      </c>
      <c r="H278" s="50" t="n">
        <f aca="false">MAX(0,IF(AND(Parameter!$B$21="Ja",ISNUMBER(Y278)),Y278,IF(Parameter!$B$20="Jahresanfang 2025 + Export",BR278+BQ278,BQ278)))</f>
        <v>1</v>
      </c>
      <c r="I278" s="50" t="n">
        <f aca="false">H278*G278</f>
        <v>364</v>
      </c>
      <c r="J278" s="50" t="n">
        <f aca="false">BT278*Parameter!$B$18</f>
        <v>0</v>
      </c>
      <c r="K278" s="51" t="n">
        <v>0.5</v>
      </c>
      <c r="L278" s="52" t="n">
        <v>0</v>
      </c>
      <c r="M278" s="50" t="n">
        <v>0</v>
      </c>
      <c r="N278" s="50" t="n">
        <v>1</v>
      </c>
      <c r="O278" s="53" t="n">
        <v>110</v>
      </c>
      <c r="P278" s="48" t="s">
        <v>435</v>
      </c>
      <c r="Q278" s="50" t="n">
        <v>5</v>
      </c>
      <c r="R278" s="53" t="n">
        <f aca="false">IF(BZ278=1,0,IFERROR(VLOOKUP(BX278,'Gebinde-Kategorie'!$A$5:$N$45,13,0)+0,0))</f>
        <v>140</v>
      </c>
      <c r="S278" s="54"/>
      <c r="T278" s="55"/>
      <c r="U278" s="55"/>
      <c r="V278" s="55"/>
      <c r="W278" s="48"/>
      <c r="X278" s="50"/>
      <c r="Y278" s="50"/>
      <c r="Z278" s="48" t="n">
        <f aca="false">IF(A278="","",IF(AND(Parameter!$B$21="Ja",ISNUMBER(W278)),W278,IF(CC278="2+3",IF(ISNUMBER(SEARCH("grosser Artikel",BU278)),2,IFERROR(VLOOKUP(BX278,Parameter!$F$35:$G$64,2,0),2)),IF(OR(CC278="Nein",CC278=""),"-",CC278))))</f>
        <v>3</v>
      </c>
      <c r="AA278" s="55"/>
      <c r="AB278" s="56"/>
      <c r="AC278" s="50" t="n">
        <f aca="false">AV278</f>
        <v>1</v>
      </c>
      <c r="AD278" s="50" t="n">
        <f aca="false">MAX(AV278,H278)</f>
        <v>1</v>
      </c>
      <c r="AE278" s="57"/>
      <c r="AF278" s="50" t="n">
        <f aca="false">IF(LEFT(Cockpit!$C$5,1)="A",H278,IF(Parameter!$E$30="MAX-Bestand",IF(CH278=1,CI278,IF(LEFT(Cockpit!$C$5,1)="B",AL278,MAX(AL278,H278))),ROUNDUP(AJ278,0)))</f>
        <v>1</v>
      </c>
      <c r="AG278" s="50" t="n">
        <f aca="false">IF(BZ278=1,0,ROUNDUP(AF278/BY278,0))</f>
        <v>1</v>
      </c>
      <c r="AH278" s="52" t="n">
        <f aca="false">IF(CQ278&gt;0,CQ278*MAX(1,AF278/X278),IF(BZ278=1,IF(AF278&lt;=0,0,CD278*MAX(1,IF(H278&gt;0,AF278/H278,1))),IF(R278&gt;0,AG278/R278,0))/MAX(0.1,N(Parameter!$M$21)))</f>
        <v>0.00714285714285714</v>
      </c>
      <c r="AI278" s="50" t="n">
        <f aca="false">AH278*CB278</f>
        <v>1.10714285714286</v>
      </c>
      <c r="AJ278" s="51" t="n">
        <f aca="false">IF(LEFT(Cockpit!$C$5,1)="A",H278,IF(CH278=1,(CK278+CI278)/2,IF(LEFT(Cockpit!$C$5,1)="B",(CK278+AL278)/2,MAX((CK278+AL278)/2,H278))))</f>
        <v>1</v>
      </c>
      <c r="AK278" s="50" t="n">
        <f aca="false">AJ278*G278</f>
        <v>364</v>
      </c>
      <c r="AL278" s="50" t="n">
        <f aca="false">ROUNDUP(CK278+MAX(CL278,2*(J278/IF(CG278&gt;0,CG278,MAX(0.1,N(Cockpit!$C$6)))-CK278)),0)</f>
        <v>1</v>
      </c>
      <c r="AM278" s="51" t="n">
        <f aca="false">IF(AI278&gt;0,J278/AI278,-1)</f>
        <v>0</v>
      </c>
      <c r="AN278" s="51" t="n">
        <f aca="false">IF(AND(OR(CF278="L1",CF278="L23",CF278="LIFT"),AI278&gt;0),SUMIFS($AI$7:$AI$1843,$CF$7:$CF$1843,CF278,$AM$7:$AM$1843,"&gt;"&amp;AM278)+SUMIFS($AI$7:$AI$1843,$CF$7:$CF$1843,CF278,$AM$7:$AM$1843,AM278,$BW$7:$BW$1843,"&lt;="&amp;BW278),"")</f>
        <v>27779.5152780365</v>
      </c>
      <c r="AO278" s="58" t="n">
        <f aca="false">IF(AN278="",0,MAX(0,MIN(1,(IF(CF278="L1",Parameter!$H$5,IF(CF278="L23",Parameter!$H$6+Parameter!$H$7,Parameter!$H$5+Parameter!$H$6+Parameter!$H$7))-(AN278-AI278))/AI278)))</f>
        <v>1</v>
      </c>
      <c r="AP278" s="50" t="n">
        <f aca="false">IF(LEFT(Cockpit!$I$5,1)="A",H278,IF(Parameter!$E$30="MAX-Bestand",IF(CH278=1,CI278,IF(LEFT(Cockpit!$I$5,1)="B",AV278,MAX(AV278,H278))),ROUNDUP(AT278,0)))</f>
        <v>1</v>
      </c>
      <c r="AQ278" s="50" t="n">
        <f aca="false">IF(BZ278=1,0,ROUNDUP(AP278/BY278,0))</f>
        <v>1</v>
      </c>
      <c r="AR278" s="52" t="n">
        <f aca="false">IF(CQ278&gt;0,CQ278*MAX(1,AP278/X278),IF(BZ278=1,IF(AP278&lt;=0,0,CD278*MAX(1,IF(H278&gt;0,AP278/H278,1))),IF(R278&gt;0,AQ278/R278,0))/MAX(0.1,N(Parameter!$M$21)))</f>
        <v>0.00714285714285714</v>
      </c>
      <c r="AS278" s="50" t="n">
        <f aca="false">AR278*CB278</f>
        <v>1.10714285714286</v>
      </c>
      <c r="AT278" s="51" t="n">
        <f aca="false">IF(LEFT(Cockpit!$I$5,1)="A",H278,IF(CH278=1,(CK278+CI278)/2,IF(LEFT(Cockpit!$I$5,1)="B",(CK278+AV278)/2,MAX((CK278+AV278)/2,H278))))</f>
        <v>1</v>
      </c>
      <c r="AU278" s="50" t="n">
        <f aca="false">AT278*G278</f>
        <v>364</v>
      </c>
      <c r="AV278" s="50" t="n">
        <f aca="false">ROUNDUP(CK278+MAX(CL278,2*(J278/IF(CG278&gt;0,CG278,MAX(0.1,N(Cockpit!$I$6)))-CK278)),0)</f>
        <v>1</v>
      </c>
      <c r="AW278" s="51" t="n">
        <f aca="false">IF(AS278&gt;0,J278/AS278,-1)</f>
        <v>0</v>
      </c>
      <c r="AX278" s="51" t="n">
        <f aca="false">IF(AND(OR(CF278="L1",CF278="L23",CF278="LIFT"),AS278&gt;0),SUMIFS($AS$7:$AS$1843,$CF$7:$CF$1843,CF278,$AW$7:$AW$1843,"&gt;"&amp;AW278)+SUMIFS($AS$7:$AS$1843,$CF$7:$CF$1843,CF278,$AW$7:$AW$1843,AW278,$BW$7:$BW$1843,"&lt;="&amp;BW278),"")</f>
        <v>33132.6639194139</v>
      </c>
      <c r="AY278" s="58" t="n">
        <f aca="false">IF(AX278="",0,MAX(0,MIN(1,(IF(CF278="L1",Parameter!$H$5,IF(CF278="L23",Parameter!$H$6+Parameter!$H$7,Parameter!$H$5+Parameter!$H$6+Parameter!$H$7))-(AX278-AS278))/AS278)))</f>
        <v>1</v>
      </c>
      <c r="AZ278" s="50" t="n">
        <f aca="false">IF(LEFT(Cockpit!$O$5,1)="A",H278,IF(Parameter!$E$30="MAX-Bestand",IF(CH278=1,CI278,IF(LEFT(Cockpit!$O$5,1)="B",BF278,MAX(BF278,H278))),ROUNDUP(BD278,0)))</f>
        <v>1</v>
      </c>
      <c r="BA278" s="50" t="n">
        <f aca="false">IF(BZ278=1,0,ROUNDUP(AZ278/BY278,0))</f>
        <v>1</v>
      </c>
      <c r="BB278" s="52" t="n">
        <f aca="false">IF(CQ278&gt;0,CQ278*MAX(1,AZ278/X278),IF(BZ278=1,IF(AZ278&lt;=0,0,CD278*MAX(1,IF(H278&gt;0,AZ278/H278,1))),IF(R278&gt;0,BA278/R278,0))/MAX(0.1,N(Parameter!$M$21)))</f>
        <v>0.00714285714285714</v>
      </c>
      <c r="BC278" s="50" t="n">
        <f aca="false">BB278*CB278</f>
        <v>1.10714285714286</v>
      </c>
      <c r="BD278" s="51" t="n">
        <f aca="false">IF(LEFT(Cockpit!$O$5,1)="A",H278,IF(CH278=1,(CK278+CI278)/2,IF(LEFT(Cockpit!$O$5,1)="B",(CK278+BF278)/2,MAX((CK278+BF278)/2,H278))))</f>
        <v>0.5</v>
      </c>
      <c r="BE278" s="50" t="n">
        <f aca="false">BD278*G278</f>
        <v>182</v>
      </c>
      <c r="BF278" s="50" t="n">
        <f aca="false">ROUNDUP(CK278+MAX(CL278,2*(J278/IF(CG278&gt;0,CG278,MAX(0.1,N(Cockpit!$O$6)))-CK278)),0)</f>
        <v>1</v>
      </c>
      <c r="BG278" s="51" t="n">
        <f aca="false">IF(BC278&gt;0,J278/BC278,-1)</f>
        <v>0</v>
      </c>
      <c r="BH278" s="51" t="n">
        <f aca="false">IF(AND(OR(CF278="L1",CF278="L23",CF278="LIFT"),BC278&gt;0),SUMIFS($BC$7:$BC$1843,$CF$7:$CF$1843,CF278,$BG$7:$BG$1843,"&gt;"&amp;BG278)+SUMIFS($BC$7:$BC$1843,$CF$7:$CF$1843,CF278,$BG$7:$BG$1843,BG278,$BW$7:$BW$1843,"&lt;="&amp;BW278),"")</f>
        <v>27287.482942199</v>
      </c>
      <c r="BI278" s="58" t="n">
        <f aca="false">IF(BH278="",0,MAX(0,MIN(1,(IF(CF278="L1",Parameter!$H$5,IF(CF278="L23",Parameter!$H$6+Parameter!$H$7,Parameter!$H$5+Parameter!$H$6+Parameter!$H$7))-(BH278-BC278))/BC278)))</f>
        <v>1</v>
      </c>
      <c r="BJ278" s="48" t="str">
        <f aca="false">IF(AI278&lt;=0,"",IF(CF278="Aussen","Aussenlager",IF(CF278="-","Nicht im Lift",IF(AO278&gt;=1,"Lift",IF(AO278&lt;=0,"Aussenlager","teilweise")))))</f>
        <v>Lift</v>
      </c>
      <c r="BK278" s="48" t="str">
        <f aca="false">IF(AS278&lt;=0,"",IF(CF278="Aussen","Aussenlager",IF(CF278="-","Nicht im Lift",IF(AY278&gt;=1,"Lift",IF(AY278&lt;=0,"Aussenlager","teilweise")))))</f>
        <v>Lift</v>
      </c>
      <c r="BL278" s="48" t="str">
        <f aca="false">IF(BC278&lt;=0,"",IF(CF278="Aussen","Aussenlager",IF(CF278="-","Nicht im Lift",IF(BI278&gt;=1,"Lift",IF(BI278&lt;=0,"Aussenlager","teilweise")))))</f>
        <v>Lift</v>
      </c>
      <c r="BM278" s="48" t="str">
        <f aca="false">IF(A278="","",IF(BV278=1,"Neu; ","")&amp;IF(AND(BV278=0,BQ278&lt;0),"negativer Bestand (Export "&amp;BQ278&amp;"); ","")&amp;IF(J278&lt;=0,"Kein Verbrauch; ","")&amp;IF(CQ278&gt;0,"Lift "&amp;W278&amp;" lt. Liftbericht (Fach "&amp;X278&amp;" Stk); ",IF(CA278=1,"Gebinde geschätzt ("&amp;T278&amp;"); ",IF(BZ278=1,"Lose – Tablare geschätzt; ","")))&amp;IF(H278&gt;AV278,"Überbestand "&amp;ROUND(H278-AV278,0)&amp;" Stk / CHF "&amp;ROUND((H278-AV278)*G278,0)&amp;"; ","")&amp;IF(AND(CH278=1,CI278&lt;CJ278),"MAX &lt; MB+LG; ","")&amp;IF(AND(CP278&gt;0,CO278*10&gt;CP278),"zu hoch für Tablar; ","")&amp;IF(AND(BV278=0,OR(CH278=1,AA278&lt;&gt;"",U278&lt;&gt;"",V278&lt;&gt;"",AB278&lt;&gt;"")),"manuell übersteuert; ","")&amp;IF(AND(BZ278=0,R278=0),"Gebinde unbekannt / Stellmass fehlt; ","")&amp;IF(AND(BZ278=0,N(V278)&lt;=0,N(Q278)&lt;=0),"Menge pro Gebinde fehlt (Ist = 1 Gebinde); ","")&amp;BU278)</f>
        <v>Kein Verbrauch; </v>
      </c>
      <c r="BN278" s="48"/>
      <c r="BO278" s="48"/>
      <c r="BP278" s="55"/>
      <c r="BQ278" s="50" t="n">
        <v>1</v>
      </c>
      <c r="BR278" s="50" t="n">
        <v>0</v>
      </c>
      <c r="BS278" s="49" t="n">
        <v>364</v>
      </c>
      <c r="BT278" s="50" t="n">
        <v>0</v>
      </c>
      <c r="BU278" s="48"/>
      <c r="BV278" s="53" t="n">
        <v>0</v>
      </c>
      <c r="BW278" s="53" t="n">
        <v>278</v>
      </c>
      <c r="BX278" s="48" t="str">
        <f aca="false">IF(U278&lt;&gt;"",UPPER(TRIM(U278)),IF(CA278=1,UPPER(VLOOKUP(T278,Parameter!$I$27:$K$29,2,0)),IF(P278="","LOSE",P278)))</f>
        <v>S22</v>
      </c>
      <c r="BY278" s="50" t="n">
        <f aca="false">IF(BX278="LOSE",1,IF(N(V278)&gt;0,V278,IF(CA278=1,MAX(1,N(VLOOKUP(T278,Parameter!$I$27:$K$29,3,0)),H278,N(N278)),IF(N(Q278)&gt;0,Q278,MAX(1,H278)))))</f>
        <v>5</v>
      </c>
      <c r="BZ278" s="53" t="n">
        <f aca="false">IF(BX278="LOSE",1,0)</f>
        <v>0</v>
      </c>
      <c r="CA278" s="53" t="n">
        <f aca="false">IF(AND(U278="",OR(P278="",P278="LOSE"),T278&lt;&gt;"",N(S278)&lt;=0,ISNUMBER(MATCH(T278,Parameter!$I$27:$I$29,0))),1,0)</f>
        <v>0</v>
      </c>
      <c r="CB278" s="53" t="n">
        <f aca="false">IF(CQ278&gt;0,INDEX(Parameter!$H$5:$H$7,W278)/INDEX(Parameter!$E$5:$E$7,W278),IF(AND(BZ278=0,N(IFERROR(VLOOKUP(BX278,'Gebinde-Kategorie'!$A$5:$N$45,14,0),0))&gt;0),VLOOKUP(BX278,'Gebinde-Kategorie'!$A$5:$N$45,14,0)*10+Parameter!$M$23,Parameter!$M$24))</f>
        <v>155</v>
      </c>
      <c r="CC278" s="48" t="str">
        <f aca="false">IF(AND(Parameter!$B$19="Ja",E278&lt;&gt;"",ISNUMBER(MATCH(E278,Parameter!$I$35:$I$52,0))),VLOOKUP(E278,Parameter!$I$35:$J$52,2,0),IFERROR(VLOOKUP(D278,Parameter!$A$35:$C$64,2,0),"Nein"))</f>
        <v>2+3</v>
      </c>
      <c r="CD278" s="52" t="n">
        <f aca="false">IF(BZ278=0,0,IF(N(S278)&gt;0,S278,IFERROR(VLOOKUP(D278,Parameter!$A$35:$C$64,3,0)+0,0)))</f>
        <v>0</v>
      </c>
      <c r="CE278" s="48" t="n">
        <f aca="false">IF(AA278&lt;&gt;"",AA278,Z278)</f>
        <v>3</v>
      </c>
      <c r="CF278" s="48" t="str">
        <f aca="false">IF(OR(CE278=1,CE278=2,CE278=3),IF(Parameter!$E$27="Ja","LIFT",IF(CE278=1,"L1","L23")),IF(CE278="Aussen","Aussen","-"))</f>
        <v>LIFT</v>
      </c>
      <c r="CG278" s="59" t="n">
        <f aca="false">IF(N(AB278)&gt;0,AB278,0)</f>
        <v>0</v>
      </c>
      <c r="CH278" s="53" t="n">
        <f aca="false">IF(ISNUMBER(AE278),1,0)</f>
        <v>0</v>
      </c>
      <c r="CI278" s="50" t="n">
        <f aca="false">N(AE278)</f>
        <v>0</v>
      </c>
      <c r="CJ278" s="50" t="n">
        <f aca="false">N(M278)+N(N278)</f>
        <v>1</v>
      </c>
      <c r="CK278" s="50" t="n">
        <f aca="false">N(M278)</f>
        <v>0</v>
      </c>
      <c r="CL278" s="50" t="n">
        <f aca="false">N(N278)</f>
        <v>1</v>
      </c>
      <c r="CM278" s="50" t="n">
        <f aca="false">ROUNDUP(H278/BY278,0)</f>
        <v>1</v>
      </c>
      <c r="CN278" s="50" t="n">
        <f aca="false">ROUNDUP(CI278/BY278,0)</f>
        <v>0</v>
      </c>
      <c r="CO278" s="53" t="n">
        <f aca="false">IF(BZ278=1,0,IFERROR(VLOOKUP(BX278,'Gebinde-Kategorie'!$A$5:$N$45,5,0)+0,0))</f>
        <v>8</v>
      </c>
      <c r="CP278" s="53" t="n">
        <f aca="false">IFERROR(IF(OR(CE278=1,CE278=2,CE278=3),N(INDEX(Parameter!$I$5:$I$7,CE278)),0),0)</f>
        <v>0</v>
      </c>
      <c r="CQ278" s="52" t="n">
        <f aca="false">IF(AND(Parameter!$B$21="Ja",ISNUMBER(W278),N(X278)&gt;0),IFERROR(N(INDEX(Parameter!$L$5:$L$7,W278))*INDEX(Parameter!$E$5:$E$7,W278)*X278/SUMIFS($X$7:$X$1843,$W$7:$W$1843,W278),0),0)</f>
        <v>0</v>
      </c>
    </row>
    <row r="279" customFormat="false" ht="15" hidden="false" customHeight="false" outlineLevel="0" collapsed="false">
      <c r="A279" s="48" t="s">
        <v>742</v>
      </c>
      <c r="B279" s="48" t="s">
        <v>743</v>
      </c>
      <c r="C279" s="48" t="s">
        <v>173</v>
      </c>
      <c r="D279" s="48" t="s">
        <v>193</v>
      </c>
      <c r="E279" s="48" t="s">
        <v>194</v>
      </c>
      <c r="F279" s="48" t="s">
        <v>227</v>
      </c>
      <c r="G279" s="49" t="n">
        <v>18.62</v>
      </c>
      <c r="H279" s="50" t="n">
        <f aca="false">MAX(0,IF(AND(Parameter!$B$21="Ja",ISNUMBER(Y279)),Y279,IF(Parameter!$B$20="Jahresanfang 2025 + Export",BR279+BQ279,BQ279)))</f>
        <v>36</v>
      </c>
      <c r="I279" s="50" t="n">
        <f aca="false">H279*G279</f>
        <v>670.32</v>
      </c>
      <c r="J279" s="50" t="n">
        <f aca="false">BT279*Parameter!$B$18</f>
        <v>23</v>
      </c>
      <c r="K279" s="51" t="n">
        <v>14.5</v>
      </c>
      <c r="L279" s="52" t="n">
        <v>1.58620689655172</v>
      </c>
      <c r="M279" s="50" t="n">
        <v>1</v>
      </c>
      <c r="N279" s="50" t="n">
        <v>25</v>
      </c>
      <c r="O279" s="53" t="n">
        <v>28</v>
      </c>
      <c r="P279" s="48" t="s">
        <v>337</v>
      </c>
      <c r="Q279" s="50" t="n">
        <v>13</v>
      </c>
      <c r="R279" s="53" t="n">
        <f aca="false">IF(BZ279=1,0,IFERROR(VLOOKUP(BX279,'Gebinde-Kategorie'!$A$5:$N$45,13,0)+0,0))</f>
        <v>52</v>
      </c>
      <c r="S279" s="54"/>
      <c r="T279" s="55"/>
      <c r="U279" s="55"/>
      <c r="V279" s="55"/>
      <c r="W279" s="48"/>
      <c r="X279" s="50"/>
      <c r="Y279" s="50"/>
      <c r="Z279" s="48" t="n">
        <f aca="false">IF(A279="","",IF(AND(Parameter!$B$21="Ja",ISNUMBER(W279)),W279,IF(CC279="2+3",IF(ISNUMBER(SEARCH("grosser Artikel",BU279)),2,IFERROR(VLOOKUP(BX279,Parameter!$F$35:$G$64,2,0),2)),IF(OR(CC279="Nein",CC279=""),"-",CC279))))</f>
        <v>3</v>
      </c>
      <c r="AA279" s="55"/>
      <c r="AB279" s="56"/>
      <c r="AC279" s="50" t="n">
        <f aca="false">AV279</f>
        <v>26</v>
      </c>
      <c r="AD279" s="50" t="n">
        <f aca="false">MAX(AV279,H279)</f>
        <v>36</v>
      </c>
      <c r="AE279" s="57"/>
      <c r="AF279" s="50" t="n">
        <f aca="false">IF(LEFT(Cockpit!$C$5,1)="A",H279,IF(Parameter!$E$30="MAX-Bestand",IF(CH279=1,CI279,IF(LEFT(Cockpit!$C$5,1)="B",AL279,MAX(AL279,H279))),ROUNDUP(AJ279,0)))</f>
        <v>36</v>
      </c>
      <c r="AG279" s="50" t="n">
        <f aca="false">IF(BZ279=1,0,ROUNDUP(AF279/BY279,0))</f>
        <v>3</v>
      </c>
      <c r="AH279" s="52" t="n">
        <f aca="false">IF(CQ279&gt;0,CQ279*MAX(1,AF279/X279),IF(BZ279=1,IF(AF279&lt;=0,0,CD279*MAX(1,IF(H279&gt;0,AF279/H279,1))),IF(R279&gt;0,AG279/R279,0))/MAX(0.1,N(Parameter!$M$21)))</f>
        <v>0.0576923076923077</v>
      </c>
      <c r="AI279" s="50" t="n">
        <f aca="false">AH279*CB279</f>
        <v>8.94230769230769</v>
      </c>
      <c r="AJ279" s="51" t="n">
        <f aca="false">IF(LEFT(Cockpit!$C$5,1)="A",H279,IF(CH279=1,(CK279+CI279)/2,IF(LEFT(Cockpit!$C$5,1)="B",(CK279+AL279)/2,MAX((CK279+AL279)/2,H279))))</f>
        <v>36</v>
      </c>
      <c r="AK279" s="50" t="n">
        <f aca="false">AJ279*G279</f>
        <v>670.32</v>
      </c>
      <c r="AL279" s="50" t="n">
        <f aca="false">ROUNDUP(CK279+MAX(CL279,2*(J279/IF(CG279&gt;0,CG279,MAX(0.1,N(Cockpit!$C$6)))-CK279)),0)</f>
        <v>26</v>
      </c>
      <c r="AM279" s="51" t="n">
        <f aca="false">IF(AI279&gt;0,J279/AI279,-1)</f>
        <v>2.57204301075269</v>
      </c>
      <c r="AN279" s="51" t="n">
        <f aca="false">IF(AND(OR(CF279="L1",CF279="L23",CF279="LIFT"),AI279&gt;0),SUMIFS($AI$7:$AI$1843,$CF$7:$CF$1843,CF279,$AM$7:$AM$1843,"&gt;"&amp;AM279)+SUMIFS($AI$7:$AI$1843,$CF$7:$CF$1843,CF279,$AM$7:$AM$1843,AM279,$BW$7:$BW$1843,"&lt;="&amp;BW279),"")</f>
        <v>5428.4097985348</v>
      </c>
      <c r="AO279" s="58" t="n">
        <f aca="false">IF(AN279="",0,MAX(0,MIN(1,(IF(CF279="L1",Parameter!$H$5,IF(CF279="L23",Parameter!$H$6+Parameter!$H$7,Parameter!$H$5+Parameter!$H$6+Parameter!$H$7))-(AN279-AI279))/AI279)))</f>
        <v>1</v>
      </c>
      <c r="AP279" s="50" t="n">
        <f aca="false">IF(LEFT(Cockpit!$I$5,1)="A",H279,IF(Parameter!$E$30="MAX-Bestand",IF(CH279=1,CI279,IF(LEFT(Cockpit!$I$5,1)="B",AV279,MAX(AV279,H279))),ROUNDUP(AT279,0)))</f>
        <v>36</v>
      </c>
      <c r="AQ279" s="50" t="n">
        <f aca="false">IF(BZ279=1,0,ROUNDUP(AP279/BY279,0))</f>
        <v>3</v>
      </c>
      <c r="AR279" s="52" t="n">
        <f aca="false">IF(CQ279&gt;0,CQ279*MAX(1,AP279/X279),IF(BZ279=1,IF(AP279&lt;=0,0,CD279*MAX(1,IF(H279&gt;0,AP279/H279,1))),IF(R279&gt;0,AQ279/R279,0))/MAX(0.1,N(Parameter!$M$21)))</f>
        <v>0.0576923076923077</v>
      </c>
      <c r="AS279" s="50" t="n">
        <f aca="false">AR279*CB279</f>
        <v>8.94230769230769</v>
      </c>
      <c r="AT279" s="51" t="n">
        <f aca="false">IF(LEFT(Cockpit!$I$5,1)="A",H279,IF(CH279=1,(CK279+CI279)/2,IF(LEFT(Cockpit!$I$5,1)="B",(CK279+AV279)/2,MAX((CK279+AV279)/2,H279))))</f>
        <v>36</v>
      </c>
      <c r="AU279" s="50" t="n">
        <f aca="false">AT279*G279</f>
        <v>670.32</v>
      </c>
      <c r="AV279" s="50" t="n">
        <f aca="false">ROUNDUP(CK279+MAX(CL279,2*(J279/IF(CG279&gt;0,CG279,MAX(0.1,N(Cockpit!$I$6)))-CK279)),0)</f>
        <v>26</v>
      </c>
      <c r="AW279" s="51" t="n">
        <f aca="false">IF(AS279&gt;0,J279/AS279,-1)</f>
        <v>2.57204301075269</v>
      </c>
      <c r="AX279" s="51" t="n">
        <f aca="false">IF(AND(OR(CF279="L1",CF279="L23",CF279="LIFT"),AS279&gt;0),SUMIFS($AS$7:$AS$1843,$CF$7:$CF$1843,CF279,$AW$7:$AW$1843,"&gt;"&amp;AW279)+SUMIFS($AS$7:$AS$1843,$CF$7:$CF$1843,CF279,$AW$7:$AW$1843,AW279,$BW$7:$BW$1843,"&lt;="&amp;BW279),"")</f>
        <v>6201.63782051282</v>
      </c>
      <c r="AY279" s="58" t="n">
        <f aca="false">IF(AX279="",0,MAX(0,MIN(1,(IF(CF279="L1",Parameter!$H$5,IF(CF279="L23",Parameter!$H$6+Parameter!$H$7,Parameter!$H$5+Parameter!$H$6+Parameter!$H$7))-(AX279-AS279))/AS279)))</f>
        <v>1</v>
      </c>
      <c r="AZ279" s="50" t="n">
        <f aca="false">IF(LEFT(Cockpit!$O$5,1)="A",H279,IF(Parameter!$E$30="MAX-Bestand",IF(CH279=1,CI279,IF(LEFT(Cockpit!$O$5,1)="B",BF279,MAX(BF279,H279))),ROUNDUP(BD279,0)))</f>
        <v>14</v>
      </c>
      <c r="BA279" s="50" t="n">
        <f aca="false">IF(BZ279=1,0,ROUNDUP(AZ279/BY279,0))</f>
        <v>2</v>
      </c>
      <c r="BB279" s="52" t="n">
        <f aca="false">IF(CQ279&gt;0,CQ279*MAX(1,AZ279/X279),IF(BZ279=1,IF(AZ279&lt;=0,0,CD279*MAX(1,IF(H279&gt;0,AZ279/H279,1))),IF(R279&gt;0,BA279/R279,0))/MAX(0.1,N(Parameter!$M$21)))</f>
        <v>0.0384615384615385</v>
      </c>
      <c r="BC279" s="50" t="n">
        <f aca="false">BB279*CB279</f>
        <v>5.96153846153846</v>
      </c>
      <c r="BD279" s="51" t="n">
        <f aca="false">IF(LEFT(Cockpit!$O$5,1)="A",H279,IF(CH279=1,(CK279+CI279)/2,IF(LEFT(Cockpit!$O$5,1)="B",(CK279+BF279)/2,MAX((CK279+BF279)/2,H279))))</f>
        <v>13.5</v>
      </c>
      <c r="BE279" s="50" t="n">
        <f aca="false">BD279*G279</f>
        <v>251.37</v>
      </c>
      <c r="BF279" s="50" t="n">
        <f aca="false">ROUNDUP(CK279+MAX(CL279,2*(J279/IF(CG279&gt;0,CG279,MAX(0.1,N(Cockpit!$O$6)))-CK279)),0)</f>
        <v>26</v>
      </c>
      <c r="BG279" s="51" t="n">
        <f aca="false">IF(BC279&gt;0,J279/BC279,-1)</f>
        <v>3.85806451612903</v>
      </c>
      <c r="BH279" s="51" t="n">
        <f aca="false">IF(AND(OR(CF279="L1",CF279="L23",CF279="LIFT"),BC279&gt;0),SUMIFS($BC$7:$BC$1843,$CF$7:$CF$1843,CF279,$BG$7:$BG$1843,"&gt;"&amp;BG279)+SUMIFS($BC$7:$BC$1843,$CF$7:$CF$1843,CF279,$BG$7:$BG$1843,BG279,$BW$7:$BW$1843,"&lt;="&amp;BW279),"")</f>
        <v>4270.72161172161</v>
      </c>
      <c r="BI279" s="58" t="n">
        <f aca="false">IF(BH279="",0,MAX(0,MIN(1,(IF(CF279="L1",Parameter!$H$5,IF(CF279="L23",Parameter!$H$6+Parameter!$H$7,Parameter!$H$5+Parameter!$H$6+Parameter!$H$7))-(BH279-BC279))/BC279)))</f>
        <v>1</v>
      </c>
      <c r="BJ279" s="48" t="str">
        <f aca="false">IF(AI279&lt;=0,"",IF(CF279="Aussen","Aussenlager",IF(CF279="-","Nicht im Lift",IF(AO279&gt;=1,"Lift",IF(AO279&lt;=0,"Aussenlager","teilweise")))))</f>
        <v>Lift</v>
      </c>
      <c r="BK279" s="48" t="str">
        <f aca="false">IF(AS279&lt;=0,"",IF(CF279="Aussen","Aussenlager",IF(CF279="-","Nicht im Lift",IF(AY279&gt;=1,"Lift",IF(AY279&lt;=0,"Aussenlager","teilweise")))))</f>
        <v>Lift</v>
      </c>
      <c r="BL279" s="48" t="str">
        <f aca="false">IF(BC279&lt;=0,"",IF(CF279="Aussen","Aussenlager",IF(CF279="-","Nicht im Lift",IF(BI279&gt;=1,"Lift",IF(BI279&lt;=0,"Aussenlager","teilweise")))))</f>
        <v>Lift</v>
      </c>
      <c r="BM279" s="48" t="str">
        <f aca="false">IF(A279="","",IF(BV279=1,"Neu; ","")&amp;IF(AND(BV279=0,BQ279&lt;0),"negativer Bestand (Export "&amp;BQ279&amp;"); ","")&amp;IF(J279&lt;=0,"Kein Verbrauch; ","")&amp;IF(CQ279&gt;0,"Lift "&amp;W279&amp;" lt. Liftbericht (Fach "&amp;X279&amp;" Stk); ",IF(CA279=1,"Gebinde geschätzt ("&amp;T279&amp;"); ",IF(BZ279=1,"Lose – Tablare geschätzt; ","")))&amp;IF(H279&gt;AV279,"Überbestand "&amp;ROUND(H279-AV279,0)&amp;" Stk / CHF "&amp;ROUND((H279-AV279)*G279,0)&amp;"; ","")&amp;IF(AND(CH279=1,CI279&lt;CJ279),"MAX &lt; MB+LG; ","")&amp;IF(AND(CP279&gt;0,CO279*10&gt;CP279),"zu hoch für Tablar; ","")&amp;IF(AND(BV279=0,OR(CH279=1,AA279&lt;&gt;"",U279&lt;&gt;"",V279&lt;&gt;"",AB279&lt;&gt;"")),"manuell übersteuert; ","")&amp;IF(AND(BZ279=0,R279=0),"Gebinde unbekannt / Stellmass fehlt; ","")&amp;IF(AND(BZ279=0,N(V279)&lt;=0,N(Q279)&lt;=0),"Menge pro Gebinde fehlt (Ist = 1 Gebinde); ","")&amp;BU279)</f>
        <v>Überbestand 10 Stk / CHF 186; </v>
      </c>
      <c r="BN279" s="48"/>
      <c r="BO279" s="48"/>
      <c r="BP279" s="55"/>
      <c r="BQ279" s="50" t="n">
        <v>22</v>
      </c>
      <c r="BR279" s="50" t="n">
        <v>14</v>
      </c>
      <c r="BS279" s="49" t="n">
        <v>361.480000000001</v>
      </c>
      <c r="BT279" s="50" t="n">
        <v>23</v>
      </c>
      <c r="BU279" s="48"/>
      <c r="BV279" s="53" t="n">
        <v>0</v>
      </c>
      <c r="BW279" s="53" t="n">
        <v>279</v>
      </c>
      <c r="BX279" s="48" t="str">
        <f aca="false">IF(U279&lt;&gt;"",UPPER(TRIM(U279)),IF(CA279=1,UPPER(VLOOKUP(T279,Parameter!$I$27:$K$29,2,0)),IF(P279="","LOSE",P279)))</f>
        <v>S41</v>
      </c>
      <c r="BY279" s="50" t="n">
        <f aca="false">IF(BX279="LOSE",1,IF(N(V279)&gt;0,V279,IF(CA279=1,MAX(1,N(VLOOKUP(T279,Parameter!$I$27:$K$29,3,0)),H279,N(N279)),IF(N(Q279)&gt;0,Q279,MAX(1,H279)))))</f>
        <v>13</v>
      </c>
      <c r="BZ279" s="53" t="n">
        <f aca="false">IF(BX279="LOSE",1,0)</f>
        <v>0</v>
      </c>
      <c r="CA279" s="53" t="n">
        <f aca="false">IF(AND(U279="",OR(P279="",P279="LOSE"),T279&lt;&gt;"",N(S279)&lt;=0,ISNUMBER(MATCH(T279,Parameter!$I$27:$I$29,0))),1,0)</f>
        <v>0</v>
      </c>
      <c r="CB279" s="53" t="n">
        <f aca="false">IF(CQ279&gt;0,INDEX(Parameter!$H$5:$H$7,W279)/INDEX(Parameter!$E$5:$E$7,W279),IF(AND(BZ279=0,N(IFERROR(VLOOKUP(BX279,'Gebinde-Kategorie'!$A$5:$N$45,14,0),0))&gt;0),VLOOKUP(BX279,'Gebinde-Kategorie'!$A$5:$N$45,14,0)*10+Parameter!$M$23,Parameter!$M$24))</f>
        <v>155</v>
      </c>
      <c r="CC279" s="48" t="str">
        <f aca="false">IF(AND(Parameter!$B$19="Ja",E279&lt;&gt;"",ISNUMBER(MATCH(E279,Parameter!$I$35:$I$52,0))),VLOOKUP(E279,Parameter!$I$35:$J$52,2,0),IFERROR(VLOOKUP(D279,Parameter!$A$35:$C$64,2,0),"Nein"))</f>
        <v>2+3</v>
      </c>
      <c r="CD279" s="52" t="n">
        <f aca="false">IF(BZ279=0,0,IF(N(S279)&gt;0,S279,IFERROR(VLOOKUP(D279,Parameter!$A$35:$C$64,3,0)+0,0)))</f>
        <v>0</v>
      </c>
      <c r="CE279" s="48" t="n">
        <f aca="false">IF(AA279&lt;&gt;"",AA279,Z279)</f>
        <v>3</v>
      </c>
      <c r="CF279" s="48" t="str">
        <f aca="false">IF(OR(CE279=1,CE279=2,CE279=3),IF(Parameter!$E$27="Ja","LIFT",IF(CE279=1,"L1","L23")),IF(CE279="Aussen","Aussen","-"))</f>
        <v>LIFT</v>
      </c>
      <c r="CG279" s="59" t="n">
        <f aca="false">IF(N(AB279)&gt;0,AB279,0)</f>
        <v>0</v>
      </c>
      <c r="CH279" s="53" t="n">
        <f aca="false">IF(ISNUMBER(AE279),1,0)</f>
        <v>0</v>
      </c>
      <c r="CI279" s="50" t="n">
        <f aca="false">N(AE279)</f>
        <v>0</v>
      </c>
      <c r="CJ279" s="50" t="n">
        <f aca="false">N(M279)+N(N279)</f>
        <v>26</v>
      </c>
      <c r="CK279" s="50" t="n">
        <f aca="false">N(M279)</f>
        <v>1</v>
      </c>
      <c r="CL279" s="50" t="n">
        <f aca="false">N(N279)</f>
        <v>25</v>
      </c>
      <c r="CM279" s="50" t="n">
        <f aca="false">ROUNDUP(H279/BY279,0)</f>
        <v>3</v>
      </c>
      <c r="CN279" s="50" t="n">
        <f aca="false">ROUNDUP(CI279/BY279,0)</f>
        <v>0</v>
      </c>
      <c r="CO279" s="53" t="n">
        <f aca="false">IF(BZ279=1,0,IFERROR(VLOOKUP(BX279,'Gebinde-Kategorie'!$A$5:$N$45,5,0)+0,0))</f>
        <v>11</v>
      </c>
      <c r="CP279" s="53" t="n">
        <f aca="false">IFERROR(IF(OR(CE279=1,CE279=2,CE279=3),N(INDEX(Parameter!$I$5:$I$7,CE279)),0),0)</f>
        <v>0</v>
      </c>
      <c r="CQ279" s="52" t="n">
        <f aca="false">IF(AND(Parameter!$B$21="Ja",ISNUMBER(W279),N(X279)&gt;0),IFERROR(N(INDEX(Parameter!$L$5:$L$7,W279))*INDEX(Parameter!$E$5:$E$7,W279)*X279/SUMIFS($X$7:$X$1843,$W$7:$W$1843,W279),0),0)</f>
        <v>0</v>
      </c>
    </row>
    <row r="280" customFormat="false" ht="15" hidden="false" customHeight="false" outlineLevel="0" collapsed="false">
      <c r="A280" s="48" t="s">
        <v>744</v>
      </c>
      <c r="B280" s="48" t="s">
        <v>745</v>
      </c>
      <c r="C280" s="48" t="s">
        <v>173</v>
      </c>
      <c r="D280" s="48" t="s">
        <v>193</v>
      </c>
      <c r="E280" s="48"/>
      <c r="F280" s="48" t="s">
        <v>227</v>
      </c>
      <c r="G280" s="49" t="n">
        <v>13.98</v>
      </c>
      <c r="H280" s="50" t="n">
        <f aca="false">MAX(0,IF(AND(Parameter!$B$21="Ja",ISNUMBER(Y280)),Y280,IF(Parameter!$B$20="Jahresanfang 2025 + Export",BR280+BQ280,BQ280)))</f>
        <v>38</v>
      </c>
      <c r="I280" s="50" t="n">
        <f aca="false">H280*G280</f>
        <v>531.24</v>
      </c>
      <c r="J280" s="50" t="n">
        <f aca="false">BT280*Parameter!$B$18</f>
        <v>56</v>
      </c>
      <c r="K280" s="51" t="n">
        <v>6.5</v>
      </c>
      <c r="L280" s="52" t="n">
        <v>8.61538461538462</v>
      </c>
      <c r="M280" s="50" t="n">
        <v>4</v>
      </c>
      <c r="N280" s="50" t="n">
        <v>55</v>
      </c>
      <c r="O280" s="53" t="n">
        <v>28</v>
      </c>
      <c r="P280" s="48" t="s">
        <v>242</v>
      </c>
      <c r="Q280" s="50" t="n">
        <v>30</v>
      </c>
      <c r="R280" s="53" t="n">
        <f aca="false">IF(BZ280=1,0,IFERROR(VLOOKUP(BX280,'Gebinde-Kategorie'!$A$5:$N$45,13,0)+0,0))</f>
        <v>26</v>
      </c>
      <c r="S280" s="54"/>
      <c r="T280" s="55"/>
      <c r="U280" s="55"/>
      <c r="V280" s="55"/>
      <c r="W280" s="48"/>
      <c r="X280" s="50"/>
      <c r="Y280" s="50"/>
      <c r="Z280" s="48" t="n">
        <f aca="false">IF(A280="","",IF(AND(Parameter!$B$21="Ja",ISNUMBER(W280)),W280,IF(CC280="2+3",IF(ISNUMBER(SEARCH("grosser Artikel",BU280)),2,IFERROR(VLOOKUP(BX280,Parameter!$F$35:$G$64,2,0),2)),IF(OR(CC280="Nein",CC280=""),"-",CC280))))</f>
        <v>3</v>
      </c>
      <c r="AA280" s="55"/>
      <c r="AB280" s="56"/>
      <c r="AC280" s="50" t="n">
        <f aca="false">AV280</f>
        <v>59</v>
      </c>
      <c r="AD280" s="50" t="n">
        <f aca="false">MAX(AV280,H280)</f>
        <v>59</v>
      </c>
      <c r="AE280" s="57"/>
      <c r="AF280" s="50" t="n">
        <f aca="false">IF(LEFT(Cockpit!$C$5,1)="A",H280,IF(Parameter!$E$30="MAX-Bestand",IF(CH280=1,CI280,IF(LEFT(Cockpit!$C$5,1)="B",AL280,MAX(AL280,H280))),ROUNDUP(AJ280,0)))</f>
        <v>38</v>
      </c>
      <c r="AG280" s="50" t="n">
        <f aca="false">IF(BZ280=1,0,ROUNDUP(AF280/BY280,0))</f>
        <v>2</v>
      </c>
      <c r="AH280" s="52" t="n">
        <f aca="false">IF(CQ280&gt;0,CQ280*MAX(1,AF280/X280),IF(BZ280=1,IF(AF280&lt;=0,0,CD280*MAX(1,IF(H280&gt;0,AF280/H280,1))),IF(R280&gt;0,AG280/R280,0))/MAX(0.1,N(Parameter!$M$21)))</f>
        <v>0.0769230769230769</v>
      </c>
      <c r="AI280" s="50" t="n">
        <f aca="false">AH280*CB280</f>
        <v>18.8461538461538</v>
      </c>
      <c r="AJ280" s="51" t="n">
        <f aca="false">IF(LEFT(Cockpit!$C$5,1)="A",H280,IF(CH280=1,(CK280+CI280)/2,IF(LEFT(Cockpit!$C$5,1)="B",(CK280+AL280)/2,MAX((CK280+AL280)/2,H280))))</f>
        <v>38</v>
      </c>
      <c r="AK280" s="50" t="n">
        <f aca="false">AJ280*G280</f>
        <v>531.24</v>
      </c>
      <c r="AL280" s="50" t="n">
        <f aca="false">ROUNDUP(CK280+MAX(CL280,2*(J280/IF(CG280&gt;0,CG280,MAX(0.1,N(Cockpit!$C$6)))-CK280)),0)</f>
        <v>59</v>
      </c>
      <c r="AM280" s="51" t="n">
        <f aca="false">IF(AI280&gt;0,J280/AI280,-1)</f>
        <v>2.97142857142857</v>
      </c>
      <c r="AN280" s="51" t="n">
        <f aca="false">IF(AND(OR(CF280="L1",CF280="L23",CF280="LIFT"),AI280&gt;0),SUMIFS($AI$7:$AI$1843,$CF$7:$CF$1843,CF280,$AM$7:$AM$1843,"&gt;"&amp;AM280)+SUMIFS($AI$7:$AI$1843,$CF$7:$CF$1843,CF280,$AM$7:$AM$1843,AM280,$BW$7:$BW$1843,"&lt;="&amp;BW280),"")</f>
        <v>5139.77060439561</v>
      </c>
      <c r="AO280" s="58" t="n">
        <f aca="false">IF(AN280="",0,MAX(0,MIN(1,(IF(CF280="L1",Parameter!$H$5,IF(CF280="L23",Parameter!$H$6+Parameter!$H$7,Parameter!$H$5+Parameter!$H$6+Parameter!$H$7))-(AN280-AI280))/AI280)))</f>
        <v>1</v>
      </c>
      <c r="AP280" s="50" t="n">
        <f aca="false">IF(LEFT(Cockpit!$I$5,1)="A",H280,IF(Parameter!$E$30="MAX-Bestand",IF(CH280=1,CI280,IF(LEFT(Cockpit!$I$5,1)="B",AV280,MAX(AV280,H280))),ROUNDUP(AT280,0)))</f>
        <v>38</v>
      </c>
      <c r="AQ280" s="50" t="n">
        <f aca="false">IF(BZ280=1,0,ROUNDUP(AP280/BY280,0))</f>
        <v>2</v>
      </c>
      <c r="AR280" s="52" t="n">
        <f aca="false">IF(CQ280&gt;0,CQ280*MAX(1,AP280/X280),IF(BZ280=1,IF(AP280&lt;=0,0,CD280*MAX(1,IF(H280&gt;0,AP280/H280,1))),IF(R280&gt;0,AQ280/R280,0))/MAX(0.1,N(Parameter!$M$21)))</f>
        <v>0.0769230769230769</v>
      </c>
      <c r="AS280" s="50" t="n">
        <f aca="false">AR280*CB280</f>
        <v>18.8461538461538</v>
      </c>
      <c r="AT280" s="51" t="n">
        <f aca="false">IF(LEFT(Cockpit!$I$5,1)="A",H280,IF(CH280=1,(CK280+CI280)/2,IF(LEFT(Cockpit!$I$5,1)="B",(CK280+AV280)/2,MAX((CK280+AV280)/2,H280))))</f>
        <v>38</v>
      </c>
      <c r="AU280" s="50" t="n">
        <f aca="false">AT280*G280</f>
        <v>531.24</v>
      </c>
      <c r="AV280" s="50" t="n">
        <f aca="false">ROUNDUP(CK280+MAX(CL280,2*(J280/IF(CG280&gt;0,CG280,MAX(0.1,N(Cockpit!$I$6)))-CK280)),0)</f>
        <v>59</v>
      </c>
      <c r="AW280" s="51" t="n">
        <f aca="false">IF(AS280&gt;0,J280/AS280,-1)</f>
        <v>2.97142857142857</v>
      </c>
      <c r="AX280" s="51" t="n">
        <f aca="false">IF(AND(OR(CF280="L1",CF280="L23",CF280="LIFT"),AS280&gt;0),SUMIFS($AS$7:$AS$1843,$CF$7:$CF$1843,CF280,$AW$7:$AW$1843,"&gt;"&amp;AW280)+SUMIFS($AS$7:$AS$1843,$CF$7:$CF$1843,CF280,$AW$7:$AW$1843,AW280,$BW$7:$BW$1843,"&lt;="&amp;BW280),"")</f>
        <v>5962.16529304029</v>
      </c>
      <c r="AY280" s="58" t="n">
        <f aca="false">IF(AX280="",0,MAX(0,MIN(1,(IF(CF280="L1",Parameter!$H$5,IF(CF280="L23",Parameter!$H$6+Parameter!$H$7,Parameter!$H$5+Parameter!$H$6+Parameter!$H$7))-(AX280-AS280))/AS280)))</f>
        <v>1</v>
      </c>
      <c r="AZ280" s="50" t="n">
        <f aca="false">IF(LEFT(Cockpit!$O$5,1)="A",H280,IF(Parameter!$E$30="MAX-Bestand",IF(CH280=1,CI280,IF(LEFT(Cockpit!$O$5,1)="B",BF280,MAX(BF280,H280))),ROUNDUP(BD280,0)))</f>
        <v>32</v>
      </c>
      <c r="BA280" s="50" t="n">
        <f aca="false">IF(BZ280=1,0,ROUNDUP(AZ280/BY280,0))</f>
        <v>2</v>
      </c>
      <c r="BB280" s="52" t="n">
        <f aca="false">IF(CQ280&gt;0,CQ280*MAX(1,AZ280/X280),IF(BZ280=1,IF(AZ280&lt;=0,0,CD280*MAX(1,IF(H280&gt;0,AZ280/H280,1))),IF(R280&gt;0,BA280/R280,0))/MAX(0.1,N(Parameter!$M$21)))</f>
        <v>0.0769230769230769</v>
      </c>
      <c r="BC280" s="50" t="n">
        <f aca="false">BB280*CB280</f>
        <v>18.8461538461538</v>
      </c>
      <c r="BD280" s="51" t="n">
        <f aca="false">IF(LEFT(Cockpit!$O$5,1)="A",H280,IF(CH280=1,(CK280+CI280)/2,IF(LEFT(Cockpit!$O$5,1)="B",(CK280+BF280)/2,MAX((CK280+BF280)/2,H280))))</f>
        <v>31.5</v>
      </c>
      <c r="BE280" s="50" t="n">
        <f aca="false">BD280*G280</f>
        <v>440.37</v>
      </c>
      <c r="BF280" s="50" t="n">
        <f aca="false">ROUNDUP(CK280+MAX(CL280,2*(J280/IF(CG280&gt;0,CG280,MAX(0.1,N(Cockpit!$O$6)))-CK280)),0)</f>
        <v>59</v>
      </c>
      <c r="BG280" s="51" t="n">
        <f aca="false">IF(BC280&gt;0,J280/BC280,-1)</f>
        <v>2.97142857142857</v>
      </c>
      <c r="BH280" s="51" t="n">
        <f aca="false">IF(AND(OR(CF280="L1",CF280="L23",CF280="LIFT"),BC280&gt;0),SUMIFS($BC$7:$BC$1843,$CF$7:$CF$1843,CF280,$BG$7:$BG$1843,"&gt;"&amp;BG280)+SUMIFS($BC$7:$BC$1843,$CF$7:$CF$1843,CF280,$BG$7:$BG$1843,BG280,$BW$7:$BW$1843,"&lt;="&amp;BW280),"")</f>
        <v>4824.91529304029</v>
      </c>
      <c r="BI280" s="58" t="n">
        <f aca="false">IF(BH280="",0,MAX(0,MIN(1,(IF(CF280="L1",Parameter!$H$5,IF(CF280="L23",Parameter!$H$6+Parameter!$H$7,Parameter!$H$5+Parameter!$H$6+Parameter!$H$7))-(BH280-BC280))/BC280)))</f>
        <v>1</v>
      </c>
      <c r="BJ280" s="48" t="str">
        <f aca="false">IF(AI280&lt;=0,"",IF(CF280="Aussen","Aussenlager",IF(CF280="-","Nicht im Lift",IF(AO280&gt;=1,"Lift",IF(AO280&lt;=0,"Aussenlager","teilweise")))))</f>
        <v>Lift</v>
      </c>
      <c r="BK280" s="48" t="str">
        <f aca="false">IF(AS280&lt;=0,"",IF(CF280="Aussen","Aussenlager",IF(CF280="-","Nicht im Lift",IF(AY280&gt;=1,"Lift",IF(AY280&lt;=0,"Aussenlager","teilweise")))))</f>
        <v>Lift</v>
      </c>
      <c r="BL280" s="48" t="str">
        <f aca="false">IF(BC280&lt;=0,"",IF(CF280="Aussen","Aussenlager",IF(CF280="-","Nicht im Lift",IF(BI280&gt;=1,"Lift",IF(BI280&lt;=0,"Aussenlager","teilweise")))))</f>
        <v>Lift</v>
      </c>
      <c r="BM280" s="48" t="str">
        <f aca="false">IF(A280="","",IF(BV280=1,"Neu; ","")&amp;IF(AND(BV280=0,BQ280&lt;0),"negativer Bestand (Export "&amp;BQ280&amp;"); ","")&amp;IF(J280&lt;=0,"Kein Verbrauch; ","")&amp;IF(CQ280&gt;0,"Lift "&amp;W280&amp;" lt. Liftbericht (Fach "&amp;X280&amp;" Stk); ",IF(CA280=1,"Gebinde geschätzt ("&amp;T280&amp;"); ",IF(BZ280=1,"Lose – Tablare geschätzt; ","")))&amp;IF(H280&gt;AV280,"Überbestand "&amp;ROUND(H280-AV280,0)&amp;" Stk / CHF "&amp;ROUND((H280-AV280)*G280,0)&amp;"; ","")&amp;IF(AND(CH280=1,CI280&lt;CJ280),"MAX &lt; MB+LG; ","")&amp;IF(AND(CP280&gt;0,CO280*10&gt;CP280),"zu hoch für Tablar; ","")&amp;IF(AND(BV280=0,OR(CH280=1,AA280&lt;&gt;"",U280&lt;&gt;"",V280&lt;&gt;"",AB280&lt;&gt;"")),"manuell übersteuert; ","")&amp;IF(AND(BZ280=0,R280=0),"Gebinde unbekannt / Stellmass fehlt; ","")&amp;IF(AND(BZ280=0,N(V280)&lt;=0,N(Q280)&lt;=0),"Menge pro Gebinde fehlt (Ist = 1 Gebinde); ","")&amp;BU280)</f>
        <v/>
      </c>
      <c r="BN280" s="48"/>
      <c r="BO280" s="48"/>
      <c r="BP280" s="55"/>
      <c r="BQ280" s="50" t="n">
        <v>25</v>
      </c>
      <c r="BR280" s="50" t="n">
        <v>13</v>
      </c>
      <c r="BS280" s="49" t="n">
        <v>351.06</v>
      </c>
      <c r="BT280" s="50" t="n">
        <v>56</v>
      </c>
      <c r="BU280" s="48"/>
      <c r="BV280" s="53" t="n">
        <v>0</v>
      </c>
      <c r="BW280" s="53" t="n">
        <v>280</v>
      </c>
      <c r="BX280" s="48" t="str">
        <f aca="false">IF(U280&lt;&gt;"",UPPER(TRIM(U280)),IF(CA280=1,UPPER(VLOOKUP(T280,Parameter!$I$27:$K$29,2,0)),IF(P280="","LOSE",P280)))</f>
        <v>S52</v>
      </c>
      <c r="BY280" s="50" t="n">
        <f aca="false">IF(BX280="LOSE",1,IF(N(V280)&gt;0,V280,IF(CA280=1,MAX(1,N(VLOOKUP(T280,Parameter!$I$27:$K$29,3,0)),H280,N(N280)),IF(N(Q280)&gt;0,Q280,MAX(1,H280)))))</f>
        <v>30</v>
      </c>
      <c r="BZ280" s="53" t="n">
        <f aca="false">IF(BX280="LOSE",1,0)</f>
        <v>0</v>
      </c>
      <c r="CA280" s="53" t="n">
        <f aca="false">IF(AND(U280="",OR(P280="",P280="LOSE"),T280&lt;&gt;"",N(S280)&lt;=0,ISNUMBER(MATCH(T280,Parameter!$I$27:$I$29,0))),1,0)</f>
        <v>0</v>
      </c>
      <c r="CB280" s="53" t="n">
        <f aca="false">IF(CQ280&gt;0,INDEX(Parameter!$H$5:$H$7,W280)/INDEX(Parameter!$E$5:$E$7,W280),IF(AND(BZ280=0,N(IFERROR(VLOOKUP(BX280,'Gebinde-Kategorie'!$A$5:$N$45,14,0),0))&gt;0),VLOOKUP(BX280,'Gebinde-Kategorie'!$A$5:$N$45,14,0)*10+Parameter!$M$23,Parameter!$M$24))</f>
        <v>245</v>
      </c>
      <c r="CC280" s="48" t="str">
        <f aca="false">IF(AND(Parameter!$B$19="Ja",E280&lt;&gt;"",ISNUMBER(MATCH(E280,Parameter!$I$35:$I$52,0))),VLOOKUP(E280,Parameter!$I$35:$J$52,2,0),IFERROR(VLOOKUP(D280,Parameter!$A$35:$C$64,2,0),"Nein"))</f>
        <v>2+3</v>
      </c>
      <c r="CD280" s="52" t="n">
        <f aca="false">IF(BZ280=0,0,IF(N(S280)&gt;0,S280,IFERROR(VLOOKUP(D280,Parameter!$A$35:$C$64,3,0)+0,0)))</f>
        <v>0</v>
      </c>
      <c r="CE280" s="48" t="n">
        <f aca="false">IF(AA280&lt;&gt;"",AA280,Z280)</f>
        <v>3</v>
      </c>
      <c r="CF280" s="48" t="str">
        <f aca="false">IF(OR(CE280=1,CE280=2,CE280=3),IF(Parameter!$E$27="Ja","LIFT",IF(CE280=1,"L1","L23")),IF(CE280="Aussen","Aussen","-"))</f>
        <v>LIFT</v>
      </c>
      <c r="CG280" s="59" t="n">
        <f aca="false">IF(N(AB280)&gt;0,AB280,0)</f>
        <v>0</v>
      </c>
      <c r="CH280" s="53" t="n">
        <f aca="false">IF(ISNUMBER(AE280),1,0)</f>
        <v>0</v>
      </c>
      <c r="CI280" s="50" t="n">
        <f aca="false">N(AE280)</f>
        <v>0</v>
      </c>
      <c r="CJ280" s="50" t="n">
        <f aca="false">N(M280)+N(N280)</f>
        <v>59</v>
      </c>
      <c r="CK280" s="50" t="n">
        <f aca="false">N(M280)</f>
        <v>4</v>
      </c>
      <c r="CL280" s="50" t="n">
        <f aca="false">N(N280)</f>
        <v>55</v>
      </c>
      <c r="CM280" s="50" t="n">
        <f aca="false">ROUNDUP(H280/BY280,0)</f>
        <v>2</v>
      </c>
      <c r="CN280" s="50" t="n">
        <f aca="false">ROUNDUP(CI280/BY280,0)</f>
        <v>0</v>
      </c>
      <c r="CO280" s="53" t="n">
        <f aca="false">IF(BZ280=1,0,IFERROR(VLOOKUP(BX280,'Gebinde-Kategorie'!$A$5:$N$45,5,0)+0,0))</f>
        <v>21</v>
      </c>
      <c r="CP280" s="53" t="n">
        <f aca="false">IFERROR(IF(OR(CE280=1,CE280=2,CE280=3),N(INDEX(Parameter!$I$5:$I$7,CE280)),0),0)</f>
        <v>0</v>
      </c>
      <c r="CQ280" s="52" t="n">
        <f aca="false">IF(AND(Parameter!$B$21="Ja",ISNUMBER(W280),N(X280)&gt;0),IFERROR(N(INDEX(Parameter!$L$5:$L$7,W280))*INDEX(Parameter!$E$5:$E$7,W280)*X280/SUMIFS($X$7:$X$1843,$W$7:$W$1843,W280),0),0)</f>
        <v>0</v>
      </c>
    </row>
    <row r="281" customFormat="false" ht="15" hidden="false" customHeight="false" outlineLevel="0" collapsed="false">
      <c r="A281" s="48" t="s">
        <v>746</v>
      </c>
      <c r="B281" s="48" t="s">
        <v>541</v>
      </c>
      <c r="C281" s="48" t="s">
        <v>173</v>
      </c>
      <c r="D281" s="48" t="s">
        <v>193</v>
      </c>
      <c r="E281" s="48" t="s">
        <v>194</v>
      </c>
      <c r="F281" s="48" t="s">
        <v>227</v>
      </c>
      <c r="G281" s="49" t="n">
        <v>10</v>
      </c>
      <c r="H281" s="50" t="n">
        <f aca="false">MAX(0,IF(AND(Parameter!$B$21="Ja",ISNUMBER(Y281)),Y281,IF(Parameter!$B$20="Jahresanfang 2025 + Export",BR281+BQ281,BQ281)))</f>
        <v>52</v>
      </c>
      <c r="I281" s="50" t="n">
        <f aca="false">H281*G281</f>
        <v>520</v>
      </c>
      <c r="J281" s="50" t="n">
        <f aca="false">BT281*Parameter!$B$18</f>
        <v>0</v>
      </c>
      <c r="K281" s="51" t="n">
        <v>34.5</v>
      </c>
      <c r="L281" s="52" t="n">
        <v>0</v>
      </c>
      <c r="M281" s="50" t="n">
        <v>0</v>
      </c>
      <c r="N281" s="50" t="n">
        <v>1</v>
      </c>
      <c r="O281" s="53" t="n">
        <v>14</v>
      </c>
      <c r="P281" s="48" t="s">
        <v>311</v>
      </c>
      <c r="Q281" s="50" t="n">
        <v>44</v>
      </c>
      <c r="R281" s="53" t="n">
        <f aca="false">IF(BZ281=1,0,IFERROR(VLOOKUP(BX281,'Gebinde-Kategorie'!$A$5:$N$45,13,0)+0,0))</f>
        <v>26</v>
      </c>
      <c r="S281" s="54"/>
      <c r="T281" s="55"/>
      <c r="U281" s="55"/>
      <c r="V281" s="55"/>
      <c r="W281" s="48"/>
      <c r="X281" s="50"/>
      <c r="Y281" s="50"/>
      <c r="Z281" s="48" t="n">
        <f aca="false">IF(A281="","",IF(AND(Parameter!$B$21="Ja",ISNUMBER(W281)),W281,IF(CC281="2+3",IF(ISNUMBER(SEARCH("grosser Artikel",BU281)),2,IFERROR(VLOOKUP(BX281,Parameter!$F$35:$G$64,2,0),2)),IF(OR(CC281="Nein",CC281=""),"-",CC281))))</f>
        <v>3</v>
      </c>
      <c r="AA281" s="55"/>
      <c r="AB281" s="56"/>
      <c r="AC281" s="50" t="n">
        <f aca="false">AV281</f>
        <v>1</v>
      </c>
      <c r="AD281" s="50" t="n">
        <f aca="false">MAX(AV281,H281)</f>
        <v>52</v>
      </c>
      <c r="AE281" s="57"/>
      <c r="AF281" s="50" t="n">
        <f aca="false">IF(LEFT(Cockpit!$C$5,1)="A",H281,IF(Parameter!$E$30="MAX-Bestand",IF(CH281=1,CI281,IF(LEFT(Cockpit!$C$5,1)="B",AL281,MAX(AL281,H281))),ROUNDUP(AJ281,0)))</f>
        <v>52</v>
      </c>
      <c r="AG281" s="50" t="n">
        <f aca="false">IF(BZ281=1,0,ROUNDUP(AF281/BY281,0))</f>
        <v>2</v>
      </c>
      <c r="AH281" s="52" t="n">
        <f aca="false">IF(CQ281&gt;0,CQ281*MAX(1,AF281/X281),IF(BZ281=1,IF(AF281&lt;=0,0,CD281*MAX(1,IF(H281&gt;0,AF281/H281,1))),IF(R281&gt;0,AG281/R281,0))/MAX(0.1,N(Parameter!$M$21)))</f>
        <v>0.0769230769230769</v>
      </c>
      <c r="AI281" s="50" t="n">
        <f aca="false">AH281*CB281</f>
        <v>11.9230769230769</v>
      </c>
      <c r="AJ281" s="51" t="n">
        <f aca="false">IF(LEFT(Cockpit!$C$5,1)="A",H281,IF(CH281=1,(CK281+CI281)/2,IF(LEFT(Cockpit!$C$5,1)="B",(CK281+AL281)/2,MAX((CK281+AL281)/2,H281))))</f>
        <v>52</v>
      </c>
      <c r="AK281" s="50" t="n">
        <f aca="false">AJ281*G281</f>
        <v>520</v>
      </c>
      <c r="AL281" s="50" t="n">
        <f aca="false">ROUNDUP(CK281+MAX(CL281,2*(J281/IF(CG281&gt;0,CG281,MAX(0.1,N(Cockpit!$C$6)))-CK281)),0)</f>
        <v>1</v>
      </c>
      <c r="AM281" s="51" t="n">
        <f aca="false">IF(AI281&gt;0,J281/AI281,-1)</f>
        <v>0</v>
      </c>
      <c r="AN281" s="51" t="n">
        <f aca="false">IF(AND(OR(CF281="L1",CF281="L23",CF281="LIFT"),AI281&gt;0),SUMIFS($AI$7:$AI$1843,$CF$7:$CF$1843,CF281,$AM$7:$AM$1843,"&gt;"&amp;AM281)+SUMIFS($AI$7:$AI$1843,$CF$7:$CF$1843,CF281,$AM$7:$AM$1843,AM281,$BW$7:$BW$1843,"&lt;="&amp;BW281),"")</f>
        <v>27791.4383549595</v>
      </c>
      <c r="AO281" s="58" t="n">
        <f aca="false">IF(AN281="",0,MAX(0,MIN(1,(IF(CF281="L1",Parameter!$H$5,IF(CF281="L23",Parameter!$H$6+Parameter!$H$7,Parameter!$H$5+Parameter!$H$6+Parameter!$H$7))-(AN281-AI281))/AI281)))</f>
        <v>1</v>
      </c>
      <c r="AP281" s="50" t="n">
        <f aca="false">IF(LEFT(Cockpit!$I$5,1)="A",H281,IF(Parameter!$E$30="MAX-Bestand",IF(CH281=1,CI281,IF(LEFT(Cockpit!$I$5,1)="B",AV281,MAX(AV281,H281))),ROUNDUP(AT281,0)))</f>
        <v>52</v>
      </c>
      <c r="AQ281" s="50" t="n">
        <f aca="false">IF(BZ281=1,0,ROUNDUP(AP281/BY281,0))</f>
        <v>2</v>
      </c>
      <c r="AR281" s="52" t="n">
        <f aca="false">IF(CQ281&gt;0,CQ281*MAX(1,AP281/X281),IF(BZ281=1,IF(AP281&lt;=0,0,CD281*MAX(1,IF(H281&gt;0,AP281/H281,1))),IF(R281&gt;0,AQ281/R281,0))/MAX(0.1,N(Parameter!$M$21)))</f>
        <v>0.0769230769230769</v>
      </c>
      <c r="AS281" s="50" t="n">
        <f aca="false">AR281*CB281</f>
        <v>11.9230769230769</v>
      </c>
      <c r="AT281" s="51" t="n">
        <f aca="false">IF(LEFT(Cockpit!$I$5,1)="A",H281,IF(CH281=1,(CK281+CI281)/2,IF(LEFT(Cockpit!$I$5,1)="B",(CK281+AV281)/2,MAX((CK281+AV281)/2,H281))))</f>
        <v>52</v>
      </c>
      <c r="AU281" s="50" t="n">
        <f aca="false">AT281*G281</f>
        <v>520</v>
      </c>
      <c r="AV281" s="50" t="n">
        <f aca="false">ROUNDUP(CK281+MAX(CL281,2*(J281/IF(CG281&gt;0,CG281,MAX(0.1,N(Cockpit!$I$6)))-CK281)),0)</f>
        <v>1</v>
      </c>
      <c r="AW281" s="51" t="n">
        <f aca="false">IF(AS281&gt;0,J281/AS281,-1)</f>
        <v>0</v>
      </c>
      <c r="AX281" s="51" t="n">
        <f aca="false">IF(AND(OR(CF281="L1",CF281="L23",CF281="LIFT"),AS281&gt;0),SUMIFS($AS$7:$AS$1843,$CF$7:$CF$1843,CF281,$AW$7:$AW$1843,"&gt;"&amp;AW281)+SUMIFS($AS$7:$AS$1843,$CF$7:$CF$1843,CF281,$AW$7:$AW$1843,AW281,$BW$7:$BW$1843,"&lt;="&amp;BW281),"")</f>
        <v>33144.586996337</v>
      </c>
      <c r="AY281" s="58" t="n">
        <f aca="false">IF(AX281="",0,MAX(0,MIN(1,(IF(CF281="L1",Parameter!$H$5,IF(CF281="L23",Parameter!$H$6+Parameter!$H$7,Parameter!$H$5+Parameter!$H$6+Parameter!$H$7))-(AX281-AS281))/AS281)))</f>
        <v>1</v>
      </c>
      <c r="AZ281" s="50" t="n">
        <f aca="false">IF(LEFT(Cockpit!$O$5,1)="A",H281,IF(Parameter!$E$30="MAX-Bestand",IF(CH281=1,CI281,IF(LEFT(Cockpit!$O$5,1)="B",BF281,MAX(BF281,H281))),ROUNDUP(BD281,0)))</f>
        <v>1</v>
      </c>
      <c r="BA281" s="50" t="n">
        <f aca="false">IF(BZ281=1,0,ROUNDUP(AZ281/BY281,0))</f>
        <v>1</v>
      </c>
      <c r="BB281" s="52" t="n">
        <f aca="false">IF(CQ281&gt;0,CQ281*MAX(1,AZ281/X281),IF(BZ281=1,IF(AZ281&lt;=0,0,CD281*MAX(1,IF(H281&gt;0,AZ281/H281,1))),IF(R281&gt;0,BA281/R281,0))/MAX(0.1,N(Parameter!$M$21)))</f>
        <v>0.0384615384615385</v>
      </c>
      <c r="BC281" s="50" t="n">
        <f aca="false">BB281*CB281</f>
        <v>5.96153846153846</v>
      </c>
      <c r="BD281" s="51" t="n">
        <f aca="false">IF(LEFT(Cockpit!$O$5,1)="A",H281,IF(CH281=1,(CK281+CI281)/2,IF(LEFT(Cockpit!$O$5,1)="B",(CK281+BF281)/2,MAX((CK281+BF281)/2,H281))))</f>
        <v>0.5</v>
      </c>
      <c r="BE281" s="50" t="n">
        <f aca="false">BD281*G281</f>
        <v>5</v>
      </c>
      <c r="BF281" s="50" t="n">
        <f aca="false">ROUNDUP(CK281+MAX(CL281,2*(J281/IF(CG281&gt;0,CG281,MAX(0.1,N(Cockpit!$O$6)))-CK281)),0)</f>
        <v>1</v>
      </c>
      <c r="BG281" s="51" t="n">
        <f aca="false">IF(BC281&gt;0,J281/BC281,-1)</f>
        <v>0</v>
      </c>
      <c r="BH281" s="51" t="n">
        <f aca="false">IF(AND(OR(CF281="L1",CF281="L23",CF281="LIFT"),BC281&gt;0),SUMIFS($BC$7:$BC$1843,$CF$7:$CF$1843,CF281,$BG$7:$BG$1843,"&gt;"&amp;BG281)+SUMIFS($BC$7:$BC$1843,$CF$7:$CF$1843,CF281,$BG$7:$BG$1843,BG281,$BW$7:$BW$1843,"&lt;="&amp;BW281),"")</f>
        <v>27293.4444806606</v>
      </c>
      <c r="BI281" s="58" t="n">
        <f aca="false">IF(BH281="",0,MAX(0,MIN(1,(IF(CF281="L1",Parameter!$H$5,IF(CF281="L23",Parameter!$H$6+Parameter!$H$7,Parameter!$H$5+Parameter!$H$6+Parameter!$H$7))-(BH281-BC281))/BC281)))</f>
        <v>1</v>
      </c>
      <c r="BJ281" s="48" t="str">
        <f aca="false">IF(AI281&lt;=0,"",IF(CF281="Aussen","Aussenlager",IF(CF281="-","Nicht im Lift",IF(AO281&gt;=1,"Lift",IF(AO281&lt;=0,"Aussenlager","teilweise")))))</f>
        <v>Lift</v>
      </c>
      <c r="BK281" s="48" t="str">
        <f aca="false">IF(AS281&lt;=0,"",IF(CF281="Aussen","Aussenlager",IF(CF281="-","Nicht im Lift",IF(AY281&gt;=1,"Lift",IF(AY281&lt;=0,"Aussenlager","teilweise")))))</f>
        <v>Lift</v>
      </c>
      <c r="BL281" s="48" t="str">
        <f aca="false">IF(BC281&lt;=0,"",IF(CF281="Aussen","Aussenlager",IF(CF281="-","Nicht im Lift",IF(BI281&gt;=1,"Lift",IF(BI281&lt;=0,"Aussenlager","teilweise")))))</f>
        <v>Lift</v>
      </c>
      <c r="BM281" s="48" t="str">
        <f aca="false">IF(A281="","",IF(BV281=1,"Neu; ","")&amp;IF(AND(BV281=0,BQ281&lt;0),"negativer Bestand (Export "&amp;BQ281&amp;"); ","")&amp;IF(J281&lt;=0,"Kein Verbrauch; ","")&amp;IF(CQ281&gt;0,"Lift "&amp;W281&amp;" lt. Liftbericht (Fach "&amp;X281&amp;" Stk); ",IF(CA281=1,"Gebinde geschätzt ("&amp;T281&amp;"); ",IF(BZ281=1,"Lose – Tablare geschätzt; ","")))&amp;IF(H281&gt;AV281,"Überbestand "&amp;ROUND(H281-AV281,0)&amp;" Stk / CHF "&amp;ROUND((H281-AV281)*G281,0)&amp;"; ","")&amp;IF(AND(CH281=1,CI281&lt;CJ281),"MAX &lt; MB+LG; ","")&amp;IF(AND(CP281&gt;0,CO281*10&gt;CP281),"zu hoch für Tablar; ","")&amp;IF(AND(BV281=0,OR(CH281=1,AA281&lt;&gt;"",U281&lt;&gt;"",V281&lt;&gt;"",AB281&lt;&gt;"")),"manuell übersteuert; ","")&amp;IF(AND(BZ281=0,R281=0),"Gebinde unbekannt / Stellmass fehlt; ","")&amp;IF(AND(BZ281=0,N(V281)&lt;=0,N(Q281)&lt;=0),"Menge pro Gebinde fehlt (Ist = 1 Gebinde); ","")&amp;BU281)</f>
        <v>Kein Verbrauch; Überbestand 51 Stk / CHF 510; </v>
      </c>
      <c r="BN281" s="48"/>
      <c r="BO281" s="48"/>
      <c r="BP281" s="55"/>
      <c r="BQ281" s="50" t="n">
        <v>35</v>
      </c>
      <c r="BR281" s="50" t="n">
        <v>17</v>
      </c>
      <c r="BS281" s="49" t="n">
        <v>350</v>
      </c>
      <c r="BT281" s="50" t="n">
        <v>0</v>
      </c>
      <c r="BU281" s="48"/>
      <c r="BV281" s="53" t="n">
        <v>0</v>
      </c>
      <c r="BW281" s="53" t="n">
        <v>281</v>
      </c>
      <c r="BX281" s="48" t="str">
        <f aca="false">IF(U281&lt;&gt;"",UPPER(TRIM(U281)),IF(CA281=1,UPPER(VLOOKUP(T281,Parameter!$I$27:$K$29,2,0)),IF(P281="","LOSE",P281)))</f>
        <v>S51</v>
      </c>
      <c r="BY281" s="50" t="n">
        <f aca="false">IF(BX281="LOSE",1,IF(N(V281)&gt;0,V281,IF(CA281=1,MAX(1,N(VLOOKUP(T281,Parameter!$I$27:$K$29,3,0)),H281,N(N281)),IF(N(Q281)&gt;0,Q281,MAX(1,H281)))))</f>
        <v>44</v>
      </c>
      <c r="BZ281" s="53" t="n">
        <f aca="false">IF(BX281="LOSE",1,0)</f>
        <v>0</v>
      </c>
      <c r="CA281" s="53" t="n">
        <f aca="false">IF(AND(U281="",OR(P281="",P281="LOSE"),T281&lt;&gt;"",N(S281)&lt;=0,ISNUMBER(MATCH(T281,Parameter!$I$27:$I$29,0))),1,0)</f>
        <v>0</v>
      </c>
      <c r="CB281" s="53" t="n">
        <f aca="false">IF(CQ281&gt;0,INDEX(Parameter!$H$5:$H$7,W281)/INDEX(Parameter!$E$5:$E$7,W281),IF(AND(BZ281=0,N(IFERROR(VLOOKUP(BX281,'Gebinde-Kategorie'!$A$5:$N$45,14,0),0))&gt;0),VLOOKUP(BX281,'Gebinde-Kategorie'!$A$5:$N$45,14,0)*10+Parameter!$M$23,Parameter!$M$24))</f>
        <v>155</v>
      </c>
      <c r="CC281" s="48" t="str">
        <f aca="false">IF(AND(Parameter!$B$19="Ja",E281&lt;&gt;"",ISNUMBER(MATCH(E281,Parameter!$I$35:$I$52,0))),VLOOKUP(E281,Parameter!$I$35:$J$52,2,0),IFERROR(VLOOKUP(D281,Parameter!$A$35:$C$64,2,0),"Nein"))</f>
        <v>2+3</v>
      </c>
      <c r="CD281" s="52" t="n">
        <f aca="false">IF(BZ281=0,0,IF(N(S281)&gt;0,S281,IFERROR(VLOOKUP(D281,Parameter!$A$35:$C$64,3,0)+0,0)))</f>
        <v>0</v>
      </c>
      <c r="CE281" s="48" t="n">
        <f aca="false">IF(AA281&lt;&gt;"",AA281,Z281)</f>
        <v>3</v>
      </c>
      <c r="CF281" s="48" t="str">
        <f aca="false">IF(OR(CE281=1,CE281=2,CE281=3),IF(Parameter!$E$27="Ja","LIFT",IF(CE281=1,"L1","L23")),IF(CE281="Aussen","Aussen","-"))</f>
        <v>LIFT</v>
      </c>
      <c r="CG281" s="59" t="n">
        <f aca="false">IF(N(AB281)&gt;0,AB281,0)</f>
        <v>0</v>
      </c>
      <c r="CH281" s="53" t="n">
        <f aca="false">IF(ISNUMBER(AE281),1,0)</f>
        <v>0</v>
      </c>
      <c r="CI281" s="50" t="n">
        <f aca="false">N(AE281)</f>
        <v>0</v>
      </c>
      <c r="CJ281" s="50" t="n">
        <f aca="false">N(M281)+N(N281)</f>
        <v>1</v>
      </c>
      <c r="CK281" s="50" t="n">
        <f aca="false">N(M281)</f>
        <v>0</v>
      </c>
      <c r="CL281" s="50" t="n">
        <f aca="false">N(N281)</f>
        <v>1</v>
      </c>
      <c r="CM281" s="50" t="n">
        <f aca="false">ROUNDUP(H281/BY281,0)</f>
        <v>2</v>
      </c>
      <c r="CN281" s="50" t="n">
        <f aca="false">ROUNDUP(CI281/BY281,0)</f>
        <v>0</v>
      </c>
      <c r="CO281" s="53" t="n">
        <f aca="false">IF(BZ281=1,0,IFERROR(VLOOKUP(BX281,'Gebinde-Kategorie'!$A$5:$N$45,5,0)+0,0))</f>
        <v>11</v>
      </c>
      <c r="CP281" s="53" t="n">
        <f aca="false">IFERROR(IF(OR(CE281=1,CE281=2,CE281=3),N(INDEX(Parameter!$I$5:$I$7,CE281)),0),0)</f>
        <v>0</v>
      </c>
      <c r="CQ281" s="52" t="n">
        <f aca="false">IF(AND(Parameter!$B$21="Ja",ISNUMBER(W281),N(X281)&gt;0),IFERROR(N(INDEX(Parameter!$L$5:$L$7,W281))*INDEX(Parameter!$E$5:$E$7,W281)*X281/SUMIFS($X$7:$X$1843,$W$7:$W$1843,W281),0),0)</f>
        <v>0</v>
      </c>
    </row>
    <row r="282" customFormat="false" ht="15" hidden="false" customHeight="false" outlineLevel="0" collapsed="false">
      <c r="A282" s="48" t="s">
        <v>747</v>
      </c>
      <c r="B282" s="48" t="s">
        <v>598</v>
      </c>
      <c r="C282" s="48" t="s">
        <v>173</v>
      </c>
      <c r="D282" s="48" t="s">
        <v>193</v>
      </c>
      <c r="E282" s="48" t="s">
        <v>194</v>
      </c>
      <c r="F282" s="48" t="s">
        <v>227</v>
      </c>
      <c r="G282" s="49" t="n">
        <v>1.62</v>
      </c>
      <c r="H282" s="50" t="n">
        <f aca="false">MAX(0,IF(AND(Parameter!$B$21="Ja",ISNUMBER(Y282)),Y282,IF(Parameter!$B$20="Jahresanfang 2025 + Export",BR282+BQ282,BQ282)))</f>
        <v>322</v>
      </c>
      <c r="I282" s="50" t="n">
        <f aca="false">H282*G282</f>
        <v>521.64</v>
      </c>
      <c r="J282" s="50" t="n">
        <f aca="false">BT282*Parameter!$B$18</f>
        <v>309</v>
      </c>
      <c r="K282" s="51" t="n">
        <v>85</v>
      </c>
      <c r="L282" s="52" t="n">
        <v>3.63529411764706</v>
      </c>
      <c r="M282" s="50" t="n">
        <v>18</v>
      </c>
      <c r="N282" s="50" t="n">
        <v>310</v>
      </c>
      <c r="O282" s="53" t="n">
        <v>21</v>
      </c>
      <c r="P282" s="48" t="s">
        <v>410</v>
      </c>
      <c r="Q282" s="50" t="n">
        <v>175</v>
      </c>
      <c r="R282" s="53" t="n">
        <f aca="false">IF(BZ282=1,0,IFERROR(VLOOKUP(BX282,'Gebinde-Kategorie'!$A$5:$N$45,13,0)+0,0))</f>
        <v>280</v>
      </c>
      <c r="S282" s="54"/>
      <c r="T282" s="55"/>
      <c r="U282" s="55"/>
      <c r="V282" s="55"/>
      <c r="W282" s="48"/>
      <c r="X282" s="50"/>
      <c r="Y282" s="50"/>
      <c r="Z282" s="48" t="n">
        <f aca="false">IF(A282="","",IF(AND(Parameter!$B$21="Ja",ISNUMBER(W282)),W282,IF(CC282="2+3",IF(ISNUMBER(SEARCH("grosser Artikel",BU282)),2,IFERROR(VLOOKUP(BX282,Parameter!$F$35:$G$64,2,0),2)),IF(OR(CC282="Nein",CC282=""),"-",CC282))))</f>
        <v>3</v>
      </c>
      <c r="AA282" s="55"/>
      <c r="AB282" s="56"/>
      <c r="AC282" s="50" t="n">
        <f aca="false">AV282</f>
        <v>328</v>
      </c>
      <c r="AD282" s="50" t="n">
        <f aca="false">MAX(AV282,H282)</f>
        <v>328</v>
      </c>
      <c r="AE282" s="57"/>
      <c r="AF282" s="50" t="n">
        <f aca="false">IF(LEFT(Cockpit!$C$5,1)="A",H282,IF(Parameter!$E$30="MAX-Bestand",IF(CH282=1,CI282,IF(LEFT(Cockpit!$C$5,1)="B",AL282,MAX(AL282,H282))),ROUNDUP(AJ282,0)))</f>
        <v>322</v>
      </c>
      <c r="AG282" s="50" t="n">
        <f aca="false">IF(BZ282=1,0,ROUNDUP(AF282/BY282,0))</f>
        <v>2</v>
      </c>
      <c r="AH282" s="52" t="n">
        <f aca="false">IF(CQ282&gt;0,CQ282*MAX(1,AF282/X282),IF(BZ282=1,IF(AF282&lt;=0,0,CD282*MAX(1,IF(H282&gt;0,AF282/H282,1))),IF(R282&gt;0,AG282/R282,0))/MAX(0.1,N(Parameter!$M$21)))</f>
        <v>0.00714285714285714</v>
      </c>
      <c r="AI282" s="50" t="n">
        <f aca="false">AH282*CB282</f>
        <v>1.10714285714286</v>
      </c>
      <c r="AJ282" s="51" t="n">
        <f aca="false">IF(LEFT(Cockpit!$C$5,1)="A",H282,IF(CH282=1,(CK282+CI282)/2,IF(LEFT(Cockpit!$C$5,1)="B",(CK282+AL282)/2,MAX((CK282+AL282)/2,H282))))</f>
        <v>322</v>
      </c>
      <c r="AK282" s="50" t="n">
        <f aca="false">AJ282*G282</f>
        <v>521.64</v>
      </c>
      <c r="AL282" s="50" t="n">
        <f aca="false">ROUNDUP(CK282+MAX(CL282,2*(J282/IF(CG282&gt;0,CG282,MAX(0.1,N(Cockpit!$C$6)))-CK282)),0)</f>
        <v>328</v>
      </c>
      <c r="AM282" s="51" t="n">
        <f aca="false">IF(AI282&gt;0,J282/AI282,-1)</f>
        <v>279.096774193548</v>
      </c>
      <c r="AN282" s="51" t="n">
        <f aca="false">IF(AND(OR(CF282="L1",CF282="L23",CF282="LIFT"),AI282&gt;0),SUMIFS($AI$7:$AI$1843,$CF$7:$CF$1843,CF282,$AM$7:$AM$1843,"&gt;"&amp;AM282)+SUMIFS($AI$7:$AI$1843,$CF$7:$CF$1843,CF282,$AM$7:$AM$1843,AM282,$BW$7:$BW$1843,"&lt;="&amp;BW282),"")</f>
        <v>272.570512820513</v>
      </c>
      <c r="AO282" s="58" t="n">
        <f aca="false">IF(AN282="",0,MAX(0,MIN(1,(IF(CF282="L1",Parameter!$H$5,IF(CF282="L23",Parameter!$H$6+Parameter!$H$7,Parameter!$H$5+Parameter!$H$6+Parameter!$H$7))-(AN282-AI282))/AI282)))</f>
        <v>1</v>
      </c>
      <c r="AP282" s="50" t="n">
        <f aca="false">IF(LEFT(Cockpit!$I$5,1)="A",H282,IF(Parameter!$E$30="MAX-Bestand",IF(CH282=1,CI282,IF(LEFT(Cockpit!$I$5,1)="B",AV282,MAX(AV282,H282))),ROUNDUP(AT282,0)))</f>
        <v>322</v>
      </c>
      <c r="AQ282" s="50" t="n">
        <f aca="false">IF(BZ282=1,0,ROUNDUP(AP282/BY282,0))</f>
        <v>2</v>
      </c>
      <c r="AR282" s="52" t="n">
        <f aca="false">IF(CQ282&gt;0,CQ282*MAX(1,AP282/X282),IF(BZ282=1,IF(AP282&lt;=0,0,CD282*MAX(1,IF(H282&gt;0,AP282/H282,1))),IF(R282&gt;0,AQ282/R282,0))/MAX(0.1,N(Parameter!$M$21)))</f>
        <v>0.00714285714285714</v>
      </c>
      <c r="AS282" s="50" t="n">
        <f aca="false">AR282*CB282</f>
        <v>1.10714285714286</v>
      </c>
      <c r="AT282" s="51" t="n">
        <f aca="false">IF(LEFT(Cockpit!$I$5,1)="A",H282,IF(CH282=1,(CK282+CI282)/2,IF(LEFT(Cockpit!$I$5,1)="B",(CK282+AV282)/2,MAX((CK282+AV282)/2,H282))))</f>
        <v>322</v>
      </c>
      <c r="AU282" s="50" t="n">
        <f aca="false">AT282*G282</f>
        <v>521.64</v>
      </c>
      <c r="AV282" s="50" t="n">
        <f aca="false">ROUNDUP(CK282+MAX(CL282,2*(J282/IF(CG282&gt;0,CG282,MAX(0.1,N(Cockpit!$I$6)))-CK282)),0)</f>
        <v>328</v>
      </c>
      <c r="AW282" s="51" t="n">
        <f aca="false">IF(AS282&gt;0,J282/AS282,-1)</f>
        <v>279.096774193548</v>
      </c>
      <c r="AX282" s="51" t="n">
        <f aca="false">IF(AND(OR(CF282="L1",CF282="L23",CF282="LIFT"),AS282&gt;0),SUMIFS($AS$7:$AS$1843,$CF$7:$CF$1843,CF282,$AW$7:$AW$1843,"&gt;"&amp;AW282)+SUMIFS($AS$7:$AS$1843,$CF$7:$CF$1843,CF282,$AW$7:$AW$1843,AW282,$BW$7:$BW$1843,"&lt;="&amp;BW282),"")</f>
        <v>225.632783882784</v>
      </c>
      <c r="AY282" s="58" t="n">
        <f aca="false">IF(AX282="",0,MAX(0,MIN(1,(IF(CF282="L1",Parameter!$H$5,IF(CF282="L23",Parameter!$H$6+Parameter!$H$7,Parameter!$H$5+Parameter!$H$6+Parameter!$H$7))-(AX282-AS282))/AS282)))</f>
        <v>1</v>
      </c>
      <c r="AZ282" s="50" t="n">
        <f aca="false">IF(LEFT(Cockpit!$O$5,1)="A",H282,IF(Parameter!$E$30="MAX-Bestand",IF(CH282=1,CI282,IF(LEFT(Cockpit!$O$5,1)="B",BF282,MAX(BF282,H282))),ROUNDUP(BD282,0)))</f>
        <v>173</v>
      </c>
      <c r="BA282" s="50" t="n">
        <f aca="false">IF(BZ282=1,0,ROUNDUP(AZ282/BY282,0))</f>
        <v>1</v>
      </c>
      <c r="BB282" s="52" t="n">
        <f aca="false">IF(CQ282&gt;0,CQ282*MAX(1,AZ282/X282),IF(BZ282=1,IF(AZ282&lt;=0,0,CD282*MAX(1,IF(H282&gt;0,AZ282/H282,1))),IF(R282&gt;0,BA282/R282,0))/MAX(0.1,N(Parameter!$M$21)))</f>
        <v>0.00357142857142857</v>
      </c>
      <c r="BC282" s="50" t="n">
        <f aca="false">BB282*CB282</f>
        <v>0.553571428571429</v>
      </c>
      <c r="BD282" s="51" t="n">
        <f aca="false">IF(LEFT(Cockpit!$O$5,1)="A",H282,IF(CH282=1,(CK282+CI282)/2,IF(LEFT(Cockpit!$O$5,1)="B",(CK282+BF282)/2,MAX((CK282+BF282)/2,H282))))</f>
        <v>173</v>
      </c>
      <c r="BE282" s="50" t="n">
        <f aca="false">BD282*G282</f>
        <v>280.26</v>
      </c>
      <c r="BF282" s="50" t="n">
        <f aca="false">ROUNDUP(CK282+MAX(CL282,2*(J282/IF(CG282&gt;0,CG282,MAX(0.1,N(Cockpit!$O$6)))-CK282)),0)</f>
        <v>328</v>
      </c>
      <c r="BG282" s="51" t="n">
        <f aca="false">IF(BC282&gt;0,J282/BC282,-1)</f>
        <v>558.193548387097</v>
      </c>
      <c r="BH282" s="51" t="n">
        <f aca="false">IF(AND(OR(CF282="L1",CF282="L23",CF282="LIFT"),BC282&gt;0),SUMIFS($BC$7:$BC$1843,$CF$7:$CF$1843,CF282,$BG$7:$BG$1843,"&gt;"&amp;BG282)+SUMIFS($BC$7:$BC$1843,$CF$7:$CF$1843,CF282,$BG$7:$BG$1843,BG282,$BW$7:$BW$1843,"&lt;="&amp;BW282),"")</f>
        <v>65.3113553113553</v>
      </c>
      <c r="BI282" s="58" t="n">
        <f aca="false">IF(BH282="",0,MAX(0,MIN(1,(IF(CF282="L1",Parameter!$H$5,IF(CF282="L23",Parameter!$H$6+Parameter!$H$7,Parameter!$H$5+Parameter!$H$6+Parameter!$H$7))-(BH282-BC282))/BC282)))</f>
        <v>1</v>
      </c>
      <c r="BJ282" s="48" t="str">
        <f aca="false">IF(AI282&lt;=0,"",IF(CF282="Aussen","Aussenlager",IF(CF282="-","Nicht im Lift",IF(AO282&gt;=1,"Lift",IF(AO282&lt;=0,"Aussenlager","teilweise")))))</f>
        <v>Lift</v>
      </c>
      <c r="BK282" s="48" t="str">
        <f aca="false">IF(AS282&lt;=0,"",IF(CF282="Aussen","Aussenlager",IF(CF282="-","Nicht im Lift",IF(AY282&gt;=1,"Lift",IF(AY282&lt;=0,"Aussenlager","teilweise")))))</f>
        <v>Lift</v>
      </c>
      <c r="BL282" s="48" t="str">
        <f aca="false">IF(BC282&lt;=0,"",IF(CF282="Aussen","Aussenlager",IF(CF282="-","Nicht im Lift",IF(BI282&gt;=1,"Lift",IF(BI282&lt;=0,"Aussenlager","teilweise")))))</f>
        <v>Lift</v>
      </c>
      <c r="BM282" s="48" t="str">
        <f aca="false">IF(A282="","",IF(BV282=1,"Neu; ","")&amp;IF(AND(BV282=0,BQ282&lt;0),"negativer Bestand (Export "&amp;BQ282&amp;"); ","")&amp;IF(J282&lt;=0,"Kein Verbrauch; ","")&amp;IF(CQ282&gt;0,"Lift "&amp;W282&amp;" lt. Liftbericht (Fach "&amp;X282&amp;" Stk); ",IF(CA282=1,"Gebinde geschätzt ("&amp;T282&amp;"); ",IF(BZ282=1,"Lose – Tablare geschätzt; ","")))&amp;IF(H282&gt;AV282,"Überbestand "&amp;ROUND(H282-AV282,0)&amp;" Stk / CHF "&amp;ROUND((H282-AV282)*G282,0)&amp;"; ","")&amp;IF(AND(CH282=1,CI282&lt;CJ282),"MAX &lt; MB+LG; ","")&amp;IF(AND(CP282&gt;0,CO282*10&gt;CP282),"zu hoch für Tablar; ","")&amp;IF(AND(BV282=0,OR(CH282=1,AA282&lt;&gt;"",U282&lt;&gt;"",V282&lt;&gt;"",AB282&lt;&gt;"")),"manuell übersteuert; ","")&amp;IF(AND(BZ282=0,R282=0),"Gebinde unbekannt / Stellmass fehlt; ","")&amp;IF(AND(BZ282=0,N(V282)&lt;=0,N(Q282)&lt;=0),"Menge pro Gebinde fehlt (Ist = 1 Gebinde); ","")&amp;BU282)</f>
        <v/>
      </c>
      <c r="BN282" s="48"/>
      <c r="BO282" s="48"/>
      <c r="BP282" s="55"/>
      <c r="BQ282" s="50" t="n">
        <v>224</v>
      </c>
      <c r="BR282" s="50" t="n">
        <v>98</v>
      </c>
      <c r="BS282" s="49" t="n">
        <v>345.24</v>
      </c>
      <c r="BT282" s="50" t="n">
        <v>309</v>
      </c>
      <c r="BU282" s="48"/>
      <c r="BV282" s="53" t="n">
        <v>0</v>
      </c>
      <c r="BW282" s="53" t="n">
        <v>282</v>
      </c>
      <c r="BX282" s="48" t="str">
        <f aca="false">IF(U282&lt;&gt;"",UPPER(TRIM(U282)),IF(CA282=1,UPPER(VLOOKUP(T282,Parameter!$I$27:$K$29,2,0)),IF(P282="","LOSE",P282)))</f>
        <v>S21</v>
      </c>
      <c r="BY282" s="50" t="n">
        <f aca="false">IF(BX282="LOSE",1,IF(N(V282)&gt;0,V282,IF(CA282=1,MAX(1,N(VLOOKUP(T282,Parameter!$I$27:$K$29,3,0)),H282,N(N282)),IF(N(Q282)&gt;0,Q282,MAX(1,H282)))))</f>
        <v>175</v>
      </c>
      <c r="BZ282" s="53" t="n">
        <f aca="false">IF(BX282="LOSE",1,0)</f>
        <v>0</v>
      </c>
      <c r="CA282" s="53" t="n">
        <f aca="false">IF(AND(U282="",OR(P282="",P282="LOSE"),T282&lt;&gt;"",N(S282)&lt;=0,ISNUMBER(MATCH(T282,Parameter!$I$27:$I$29,0))),1,0)</f>
        <v>0</v>
      </c>
      <c r="CB282" s="53" t="n">
        <f aca="false">IF(CQ282&gt;0,INDEX(Parameter!$H$5:$H$7,W282)/INDEX(Parameter!$E$5:$E$7,W282),IF(AND(BZ282=0,N(IFERROR(VLOOKUP(BX282,'Gebinde-Kategorie'!$A$5:$N$45,14,0),0))&gt;0),VLOOKUP(BX282,'Gebinde-Kategorie'!$A$5:$N$45,14,0)*10+Parameter!$M$23,Parameter!$M$24))</f>
        <v>155</v>
      </c>
      <c r="CC282" s="48" t="str">
        <f aca="false">IF(AND(Parameter!$B$19="Ja",E282&lt;&gt;"",ISNUMBER(MATCH(E282,Parameter!$I$35:$I$52,0))),VLOOKUP(E282,Parameter!$I$35:$J$52,2,0),IFERROR(VLOOKUP(D282,Parameter!$A$35:$C$64,2,0),"Nein"))</f>
        <v>2+3</v>
      </c>
      <c r="CD282" s="52" t="n">
        <f aca="false">IF(BZ282=0,0,IF(N(S282)&gt;0,S282,IFERROR(VLOOKUP(D282,Parameter!$A$35:$C$64,3,0)+0,0)))</f>
        <v>0</v>
      </c>
      <c r="CE282" s="48" t="n">
        <f aca="false">IF(AA282&lt;&gt;"",AA282,Z282)</f>
        <v>3</v>
      </c>
      <c r="CF282" s="48" t="str">
        <f aca="false">IF(OR(CE282=1,CE282=2,CE282=3),IF(Parameter!$E$27="Ja","LIFT",IF(CE282=1,"L1","L23")),IF(CE282="Aussen","Aussen","-"))</f>
        <v>LIFT</v>
      </c>
      <c r="CG282" s="59" t="n">
        <f aca="false">IF(N(AB282)&gt;0,AB282,0)</f>
        <v>0</v>
      </c>
      <c r="CH282" s="53" t="n">
        <f aca="false">IF(ISNUMBER(AE282),1,0)</f>
        <v>0</v>
      </c>
      <c r="CI282" s="50" t="n">
        <f aca="false">N(AE282)</f>
        <v>0</v>
      </c>
      <c r="CJ282" s="50" t="n">
        <f aca="false">N(M282)+N(N282)</f>
        <v>328</v>
      </c>
      <c r="CK282" s="50" t="n">
        <f aca="false">N(M282)</f>
        <v>18</v>
      </c>
      <c r="CL282" s="50" t="n">
        <f aca="false">N(N282)</f>
        <v>310</v>
      </c>
      <c r="CM282" s="50" t="n">
        <f aca="false">ROUNDUP(H282/BY282,0)</f>
        <v>2</v>
      </c>
      <c r="CN282" s="50" t="n">
        <f aca="false">ROUNDUP(CI282/BY282,0)</f>
        <v>0</v>
      </c>
      <c r="CO282" s="53" t="n">
        <f aca="false">IF(BZ282=1,0,IFERROR(VLOOKUP(BX282,'Gebinde-Kategorie'!$A$5:$N$45,5,0)+0,0))</f>
        <v>8</v>
      </c>
      <c r="CP282" s="53" t="n">
        <f aca="false">IFERROR(IF(OR(CE282=1,CE282=2,CE282=3),N(INDEX(Parameter!$I$5:$I$7,CE282)),0),0)</f>
        <v>0</v>
      </c>
      <c r="CQ282" s="52" t="n">
        <f aca="false">IF(AND(Parameter!$B$21="Ja",ISNUMBER(W282),N(X282)&gt;0),IFERROR(N(INDEX(Parameter!$L$5:$L$7,W282))*INDEX(Parameter!$E$5:$E$7,W282)*X282/SUMIFS($X$7:$X$1843,$W$7:$W$1843,W282),0),0)</f>
        <v>0</v>
      </c>
    </row>
    <row r="283" customFormat="false" ht="15" hidden="false" customHeight="false" outlineLevel="0" collapsed="false">
      <c r="A283" s="48" t="s">
        <v>748</v>
      </c>
      <c r="B283" s="48" t="s">
        <v>749</v>
      </c>
      <c r="C283" s="48" t="s">
        <v>173</v>
      </c>
      <c r="D283" s="48" t="s">
        <v>193</v>
      </c>
      <c r="E283" s="48"/>
      <c r="F283" s="48" t="s">
        <v>227</v>
      </c>
      <c r="G283" s="49" t="n">
        <v>22.11</v>
      </c>
      <c r="H283" s="50" t="n">
        <f aca="false">MAX(0,IF(AND(Parameter!$B$21="Ja",ISNUMBER(Y283)),Y283,IF(Parameter!$B$20="Jahresanfang 2025 + Export",BR283+BQ283,BQ283)))</f>
        <v>57</v>
      </c>
      <c r="I283" s="50" t="n">
        <f aca="false">H283*G283</f>
        <v>1260.27</v>
      </c>
      <c r="J283" s="50" t="n">
        <f aca="false">BT283*Parameter!$B$18</f>
        <v>152</v>
      </c>
      <c r="K283" s="51" t="n">
        <v>57</v>
      </c>
      <c r="L283" s="52" t="n">
        <v>2.66666666666667</v>
      </c>
      <c r="M283" s="50" t="n">
        <v>15</v>
      </c>
      <c r="N283" s="50" t="n">
        <v>24</v>
      </c>
      <c r="O283" s="53" t="n">
        <v>28</v>
      </c>
      <c r="P283" s="48" t="s">
        <v>195</v>
      </c>
      <c r="Q283" s="50" t="n">
        <v>80</v>
      </c>
      <c r="R283" s="53" t="n">
        <f aca="false">IF(BZ283=1,0,IFERROR(VLOOKUP(BX283,'Gebinde-Kategorie'!$A$5:$N$45,13,0)+0,0))</f>
        <v>12</v>
      </c>
      <c r="S283" s="54"/>
      <c r="T283" s="55"/>
      <c r="U283" s="55"/>
      <c r="V283" s="55"/>
      <c r="W283" s="48"/>
      <c r="X283" s="50"/>
      <c r="Y283" s="50"/>
      <c r="Z283" s="48" t="n">
        <f aca="false">IF(A283="","",IF(AND(Parameter!$B$21="Ja",ISNUMBER(W283)),W283,IF(CC283="2+3",IF(ISNUMBER(SEARCH("grosser Artikel",BU283)),2,IFERROR(VLOOKUP(BX283,Parameter!$F$35:$G$64,2,0),2)),IF(OR(CC283="Nein",CC283=""),"-",CC283))))</f>
        <v>2</v>
      </c>
      <c r="AA283" s="55"/>
      <c r="AB283" s="56"/>
      <c r="AC283" s="50" t="n">
        <f aca="false">AV283</f>
        <v>87</v>
      </c>
      <c r="AD283" s="50" t="n">
        <f aca="false">MAX(AV283,H283)</f>
        <v>87</v>
      </c>
      <c r="AE283" s="57"/>
      <c r="AF283" s="50" t="n">
        <f aca="false">IF(LEFT(Cockpit!$C$5,1)="A",H283,IF(Parameter!$E$30="MAX-Bestand",IF(CH283=1,CI283,IF(LEFT(Cockpit!$C$5,1)="B",AL283,MAX(AL283,H283))),ROUNDUP(AJ283,0)))</f>
        <v>57</v>
      </c>
      <c r="AG283" s="50" t="n">
        <f aca="false">IF(BZ283=1,0,ROUNDUP(AF283/BY283,0))</f>
        <v>1</v>
      </c>
      <c r="AH283" s="52" t="n">
        <f aca="false">IF(CQ283&gt;0,CQ283*MAX(1,AF283/X283),IF(BZ283=1,IF(AF283&lt;=0,0,CD283*MAX(1,IF(H283&gt;0,AF283/H283,1))),IF(R283&gt;0,AG283/R283,0))/MAX(0.1,N(Parameter!$M$21)))</f>
        <v>0.0833333333333333</v>
      </c>
      <c r="AI283" s="50" t="n">
        <f aca="false">AH283*CB283</f>
        <v>12.0833333333333</v>
      </c>
      <c r="AJ283" s="51" t="n">
        <f aca="false">IF(LEFT(Cockpit!$C$5,1)="A",H283,IF(CH283=1,(CK283+CI283)/2,IF(LEFT(Cockpit!$C$5,1)="B",(CK283+AL283)/2,MAX((CK283+AL283)/2,H283))))</f>
        <v>57</v>
      </c>
      <c r="AK283" s="50" t="n">
        <f aca="false">AJ283*G283</f>
        <v>1260.27</v>
      </c>
      <c r="AL283" s="50" t="n">
        <f aca="false">ROUNDUP(CK283+MAX(CL283,2*(J283/IF(CG283&gt;0,CG283,MAX(0.1,N(Cockpit!$C$6)))-CK283)),0)</f>
        <v>87</v>
      </c>
      <c r="AM283" s="51" t="n">
        <f aca="false">IF(AI283&gt;0,J283/AI283,-1)</f>
        <v>12.5793103448276</v>
      </c>
      <c r="AN283" s="51" t="n">
        <f aca="false">IF(AND(OR(CF283="L1",CF283="L23",CF283="LIFT"),AI283&gt;0),SUMIFS($AI$7:$AI$1843,$CF$7:$CF$1843,CF283,$AM$7:$AM$1843,"&gt;"&amp;AM283)+SUMIFS($AI$7:$AI$1843,$CF$7:$CF$1843,CF283,$AM$7:$AM$1843,AM283,$BW$7:$BW$1843,"&lt;="&amp;BW283),"")</f>
        <v>2438.38095238095</v>
      </c>
      <c r="AO283" s="58" t="n">
        <f aca="false">IF(AN283="",0,MAX(0,MIN(1,(IF(CF283="L1",Parameter!$H$5,IF(CF283="L23",Parameter!$H$6+Parameter!$H$7,Parameter!$H$5+Parameter!$H$6+Parameter!$H$7))-(AN283-AI283))/AI283)))</f>
        <v>1</v>
      </c>
      <c r="AP283" s="50" t="n">
        <f aca="false">IF(LEFT(Cockpit!$I$5,1)="A",H283,IF(Parameter!$E$30="MAX-Bestand",IF(CH283=1,CI283,IF(LEFT(Cockpit!$I$5,1)="B",AV283,MAX(AV283,H283))),ROUNDUP(AT283,0)))</f>
        <v>57</v>
      </c>
      <c r="AQ283" s="50" t="n">
        <f aca="false">IF(BZ283=1,0,ROUNDUP(AP283/BY283,0))</f>
        <v>1</v>
      </c>
      <c r="AR283" s="52" t="n">
        <f aca="false">IF(CQ283&gt;0,CQ283*MAX(1,AP283/X283),IF(BZ283=1,IF(AP283&lt;=0,0,CD283*MAX(1,IF(H283&gt;0,AP283/H283,1))),IF(R283&gt;0,AQ283/R283,0))/MAX(0.1,N(Parameter!$M$21)))</f>
        <v>0.0833333333333333</v>
      </c>
      <c r="AS283" s="50" t="n">
        <f aca="false">AR283*CB283</f>
        <v>12.0833333333333</v>
      </c>
      <c r="AT283" s="51" t="n">
        <f aca="false">IF(LEFT(Cockpit!$I$5,1)="A",H283,IF(CH283=1,(CK283+CI283)/2,IF(LEFT(Cockpit!$I$5,1)="B",(CK283+AV283)/2,MAX((CK283+AV283)/2,H283))))</f>
        <v>57</v>
      </c>
      <c r="AU283" s="50" t="n">
        <f aca="false">AT283*G283</f>
        <v>1260.27</v>
      </c>
      <c r="AV283" s="50" t="n">
        <f aca="false">ROUNDUP(CK283+MAX(CL283,2*(J283/IF(CG283&gt;0,CG283,MAX(0.1,N(Cockpit!$I$6)))-CK283)),0)</f>
        <v>87</v>
      </c>
      <c r="AW283" s="51" t="n">
        <f aca="false">IF(AS283&gt;0,J283/AS283,-1)</f>
        <v>12.5793103448276</v>
      </c>
      <c r="AX283" s="51" t="n">
        <f aca="false">IF(AND(OR(CF283="L1",CF283="L23",CF283="LIFT"),AS283&gt;0),SUMIFS($AS$7:$AS$1843,$CF$7:$CF$1843,CF283,$AW$7:$AW$1843,"&gt;"&amp;AW283)+SUMIFS($AS$7:$AS$1843,$CF$7:$CF$1843,CF283,$AW$7:$AW$1843,AW283,$BW$7:$BW$1843,"&lt;="&amp;BW283),"")</f>
        <v>3027.76007326007</v>
      </c>
      <c r="AY283" s="58" t="n">
        <f aca="false">IF(AX283="",0,MAX(0,MIN(1,(IF(CF283="L1",Parameter!$H$5,IF(CF283="L23",Parameter!$H$6+Parameter!$H$7,Parameter!$H$5+Parameter!$H$6+Parameter!$H$7))-(AX283-AS283))/AS283)))</f>
        <v>1</v>
      </c>
      <c r="AZ283" s="50" t="n">
        <f aca="false">IF(LEFT(Cockpit!$O$5,1)="A",H283,IF(Parameter!$E$30="MAX-Bestand",IF(CH283=1,CI283,IF(LEFT(Cockpit!$O$5,1)="B",BF283,MAX(BF283,H283))),ROUNDUP(BD283,0)))</f>
        <v>38</v>
      </c>
      <c r="BA283" s="50" t="n">
        <f aca="false">IF(BZ283=1,0,ROUNDUP(AZ283/BY283,0))</f>
        <v>1</v>
      </c>
      <c r="BB283" s="52" t="n">
        <f aca="false">IF(CQ283&gt;0,CQ283*MAX(1,AZ283/X283),IF(BZ283=1,IF(AZ283&lt;=0,0,CD283*MAX(1,IF(H283&gt;0,AZ283/H283,1))),IF(R283&gt;0,BA283/R283,0))/MAX(0.1,N(Parameter!$M$21)))</f>
        <v>0.0833333333333333</v>
      </c>
      <c r="BC283" s="50" t="n">
        <f aca="false">BB283*CB283</f>
        <v>12.0833333333333</v>
      </c>
      <c r="BD283" s="51" t="n">
        <f aca="false">IF(LEFT(Cockpit!$O$5,1)="A",H283,IF(CH283=1,(CK283+CI283)/2,IF(LEFT(Cockpit!$O$5,1)="B",(CK283+BF283)/2,MAX((CK283+BF283)/2,H283))))</f>
        <v>38</v>
      </c>
      <c r="BE283" s="50" t="n">
        <f aca="false">BD283*G283</f>
        <v>840.18</v>
      </c>
      <c r="BF283" s="50" t="n">
        <f aca="false">ROUNDUP(CK283+MAX(CL283,2*(J283/IF(CG283&gt;0,CG283,MAX(0.1,N(Cockpit!$O$6)))-CK283)),0)</f>
        <v>61</v>
      </c>
      <c r="BG283" s="51" t="n">
        <f aca="false">IF(BC283&gt;0,J283/BC283,-1)</f>
        <v>12.5793103448276</v>
      </c>
      <c r="BH283" s="51" t="n">
        <f aca="false">IF(AND(OR(CF283="L1",CF283="L23",CF283="LIFT"),BC283&gt;0),SUMIFS($BC$7:$BC$1843,$CF$7:$CF$1843,CF283,$BG$7:$BG$1843,"&gt;"&amp;BG283)+SUMIFS($BC$7:$BC$1843,$CF$7:$CF$1843,CF283,$BG$7:$BG$1843,BG283,$BW$7:$BW$1843,"&lt;="&amp;BW283),"")</f>
        <v>2544.74542124542</v>
      </c>
      <c r="BI283" s="58" t="n">
        <f aca="false">IF(BH283="",0,MAX(0,MIN(1,(IF(CF283="L1",Parameter!$H$5,IF(CF283="L23",Parameter!$H$6+Parameter!$H$7,Parameter!$H$5+Parameter!$H$6+Parameter!$H$7))-(BH283-BC283))/BC283)))</f>
        <v>1</v>
      </c>
      <c r="BJ283" s="48" t="str">
        <f aca="false">IF(AI283&lt;=0,"",IF(CF283="Aussen","Aussenlager",IF(CF283="-","Nicht im Lift",IF(AO283&gt;=1,"Lift",IF(AO283&lt;=0,"Aussenlager","teilweise")))))</f>
        <v>Lift</v>
      </c>
      <c r="BK283" s="48" t="str">
        <f aca="false">IF(AS283&lt;=0,"",IF(CF283="Aussen","Aussenlager",IF(CF283="-","Nicht im Lift",IF(AY283&gt;=1,"Lift",IF(AY283&lt;=0,"Aussenlager","teilweise")))))</f>
        <v>Lift</v>
      </c>
      <c r="BL283" s="48" t="str">
        <f aca="false">IF(BC283&lt;=0,"",IF(CF283="Aussen","Aussenlager",IF(CF283="-","Nicht im Lift",IF(BI283&gt;=1,"Lift",IF(BI283&lt;=0,"Aussenlager","teilweise")))))</f>
        <v>Lift</v>
      </c>
      <c r="BM283" s="48" t="str">
        <f aca="false">IF(A283="","",IF(BV283=1,"Neu; ","")&amp;IF(AND(BV283=0,BQ283&lt;0),"negativer Bestand (Export "&amp;BQ283&amp;"); ","")&amp;IF(J283&lt;=0,"Kein Verbrauch; ","")&amp;IF(CQ283&gt;0,"Lift "&amp;W283&amp;" lt. Liftbericht (Fach "&amp;X283&amp;" Stk); ",IF(CA283=1,"Gebinde geschätzt ("&amp;T283&amp;"); ",IF(BZ283=1,"Lose – Tablare geschätzt; ","")))&amp;IF(H283&gt;AV283,"Überbestand "&amp;ROUND(H283-AV283,0)&amp;" Stk / CHF "&amp;ROUND((H283-AV283)*G283,0)&amp;"; ","")&amp;IF(AND(CH283=1,CI283&lt;CJ283),"MAX &lt; MB+LG; ","")&amp;IF(AND(CP283&gt;0,CO283*10&gt;CP283),"zu hoch für Tablar; ","")&amp;IF(AND(BV283=0,OR(CH283=1,AA283&lt;&gt;"",U283&lt;&gt;"",V283&lt;&gt;"",AB283&lt;&gt;"")),"manuell übersteuert; ","")&amp;IF(AND(BZ283=0,R283=0),"Gebinde unbekannt / Stellmass fehlt; ","")&amp;IF(AND(BZ283=0,N(V283)&lt;=0,N(Q283)&lt;=0),"Menge pro Gebinde fehlt (Ist = 1 Gebinde); ","")&amp;BU283)</f>
        <v/>
      </c>
      <c r="BN283" s="48"/>
      <c r="BO283" s="48"/>
      <c r="BP283" s="55"/>
      <c r="BQ283" s="50" t="n">
        <v>19</v>
      </c>
      <c r="BR283" s="50" t="n">
        <v>38</v>
      </c>
      <c r="BS283" s="49" t="n">
        <v>339.15</v>
      </c>
      <c r="BT283" s="50" t="n">
        <v>152</v>
      </c>
      <c r="BU283" s="48"/>
      <c r="BV283" s="53" t="n">
        <v>0</v>
      </c>
      <c r="BW283" s="53" t="n">
        <v>283</v>
      </c>
      <c r="BX283" s="48" t="str">
        <f aca="false">IF(U283&lt;&gt;"",UPPER(TRIM(U283)),IF(CA283=1,UPPER(VLOOKUP(T283,Parameter!$I$27:$K$29,2,0)),IF(P283="","LOSE",P283)))</f>
        <v>S61</v>
      </c>
      <c r="BY283" s="50" t="n">
        <f aca="false">IF(BX283="LOSE",1,IF(N(V283)&gt;0,V283,IF(CA283=1,MAX(1,N(VLOOKUP(T283,Parameter!$I$27:$K$29,3,0)),H283,N(N283)),IF(N(Q283)&gt;0,Q283,MAX(1,H283)))))</f>
        <v>80</v>
      </c>
      <c r="BZ283" s="53" t="n">
        <f aca="false">IF(BX283="LOSE",1,0)</f>
        <v>0</v>
      </c>
      <c r="CA283" s="53" t="n">
        <f aca="false">IF(AND(U283="",OR(P283="",P283="LOSE"),T283&lt;&gt;"",N(S283)&lt;=0,ISNUMBER(MATCH(T283,Parameter!$I$27:$I$29,0))),1,0)</f>
        <v>0</v>
      </c>
      <c r="CB283" s="53" t="n">
        <f aca="false">IF(CQ283&gt;0,INDEX(Parameter!$H$5:$H$7,W283)/INDEX(Parameter!$E$5:$E$7,W283),IF(AND(BZ283=0,N(IFERROR(VLOOKUP(BX283,'Gebinde-Kategorie'!$A$5:$N$45,14,0),0))&gt;0),VLOOKUP(BX283,'Gebinde-Kategorie'!$A$5:$N$45,14,0)*10+Parameter!$M$23,Parameter!$M$24))</f>
        <v>145</v>
      </c>
      <c r="CC283" s="48" t="str">
        <f aca="false">IF(AND(Parameter!$B$19="Ja",E283&lt;&gt;"",ISNUMBER(MATCH(E283,Parameter!$I$35:$I$52,0))),VLOOKUP(E283,Parameter!$I$35:$J$52,2,0),IFERROR(VLOOKUP(D283,Parameter!$A$35:$C$64,2,0),"Nein"))</f>
        <v>2+3</v>
      </c>
      <c r="CD283" s="52" t="n">
        <f aca="false">IF(BZ283=0,0,IF(N(S283)&gt;0,S283,IFERROR(VLOOKUP(D283,Parameter!$A$35:$C$64,3,0)+0,0)))</f>
        <v>0</v>
      </c>
      <c r="CE283" s="48" t="n">
        <f aca="false">IF(AA283&lt;&gt;"",AA283,Z283)</f>
        <v>2</v>
      </c>
      <c r="CF283" s="48" t="str">
        <f aca="false">IF(OR(CE283=1,CE283=2,CE283=3),IF(Parameter!$E$27="Ja","LIFT",IF(CE283=1,"L1","L23")),IF(CE283="Aussen","Aussen","-"))</f>
        <v>LIFT</v>
      </c>
      <c r="CG283" s="59" t="n">
        <f aca="false">IF(N(AB283)&gt;0,AB283,0)</f>
        <v>0</v>
      </c>
      <c r="CH283" s="53" t="n">
        <f aca="false">IF(ISNUMBER(AE283),1,0)</f>
        <v>0</v>
      </c>
      <c r="CI283" s="50" t="n">
        <f aca="false">N(AE283)</f>
        <v>0</v>
      </c>
      <c r="CJ283" s="50" t="n">
        <f aca="false">N(M283)+N(N283)</f>
        <v>39</v>
      </c>
      <c r="CK283" s="50" t="n">
        <f aca="false">N(M283)</f>
        <v>15</v>
      </c>
      <c r="CL283" s="50" t="n">
        <f aca="false">N(N283)</f>
        <v>24</v>
      </c>
      <c r="CM283" s="50" t="n">
        <f aca="false">ROUNDUP(H283/BY283,0)</f>
        <v>1</v>
      </c>
      <c r="CN283" s="50" t="n">
        <f aca="false">ROUNDUP(CI283/BY283,0)</f>
        <v>0</v>
      </c>
      <c r="CO283" s="53" t="n">
        <f aca="false">IF(BZ283=1,0,IFERROR(VLOOKUP(BX283,'Gebinde-Kategorie'!$A$5:$N$45,5,0)+0,0))</f>
        <v>11</v>
      </c>
      <c r="CP283" s="53" t="n">
        <f aca="false">IFERROR(IF(OR(CE283=1,CE283=2,CE283=3),N(INDEX(Parameter!$I$5:$I$7,CE283)),0),0)</f>
        <v>0</v>
      </c>
      <c r="CQ283" s="52" t="n">
        <f aca="false">IF(AND(Parameter!$B$21="Ja",ISNUMBER(W283),N(X283)&gt;0),IFERROR(N(INDEX(Parameter!$L$5:$L$7,W283))*INDEX(Parameter!$E$5:$E$7,W283)*X283/SUMIFS($X$7:$X$1843,$W$7:$W$1843,W283),0),0)</f>
        <v>0</v>
      </c>
    </row>
    <row r="284" customFormat="false" ht="15" hidden="false" customHeight="false" outlineLevel="0" collapsed="false">
      <c r="A284" s="48" t="s">
        <v>750</v>
      </c>
      <c r="B284" s="48" t="s">
        <v>477</v>
      </c>
      <c r="C284" s="48" t="s">
        <v>173</v>
      </c>
      <c r="D284" s="48" t="s">
        <v>193</v>
      </c>
      <c r="E284" s="48" t="s">
        <v>194</v>
      </c>
      <c r="F284" s="48" t="s">
        <v>227</v>
      </c>
      <c r="G284" s="49" t="n">
        <v>0.53</v>
      </c>
      <c r="H284" s="50" t="n">
        <f aca="false">MAX(0,IF(AND(Parameter!$B$21="Ja",ISNUMBER(Y284)),Y284,IF(Parameter!$B$20="Jahresanfang 2025 + Export",BR284+BQ284,BQ284)))</f>
        <v>981</v>
      </c>
      <c r="I284" s="50" t="n">
        <f aca="false">H284*G284</f>
        <v>519.93</v>
      </c>
      <c r="J284" s="50" t="n">
        <f aca="false">BT284*Parameter!$B$18</f>
        <v>1116</v>
      </c>
      <c r="K284" s="51" t="n">
        <v>450</v>
      </c>
      <c r="L284" s="52" t="n">
        <v>2.48</v>
      </c>
      <c r="M284" s="50" t="n">
        <v>43</v>
      </c>
      <c r="N284" s="50" t="n">
        <v>1115</v>
      </c>
      <c r="O284" s="53" t="n">
        <v>14</v>
      </c>
      <c r="P284" s="48" t="s">
        <v>337</v>
      </c>
      <c r="Q284" s="50" t="n">
        <v>470</v>
      </c>
      <c r="R284" s="53" t="n">
        <f aca="false">IF(BZ284=1,0,IFERROR(VLOOKUP(BX284,'Gebinde-Kategorie'!$A$5:$N$45,13,0)+0,0))</f>
        <v>52</v>
      </c>
      <c r="S284" s="54"/>
      <c r="T284" s="55"/>
      <c r="U284" s="55"/>
      <c r="V284" s="55"/>
      <c r="W284" s="48"/>
      <c r="X284" s="50"/>
      <c r="Y284" s="50"/>
      <c r="Z284" s="48" t="n">
        <f aca="false">IF(A284="","",IF(AND(Parameter!$B$21="Ja",ISNUMBER(W284)),W284,IF(CC284="2+3",IF(ISNUMBER(SEARCH("grosser Artikel",BU284)),2,IFERROR(VLOOKUP(BX284,Parameter!$F$35:$G$64,2,0),2)),IF(OR(CC284="Nein",CC284=""),"-",CC284))))</f>
        <v>3</v>
      </c>
      <c r="AA284" s="55"/>
      <c r="AB284" s="56"/>
      <c r="AC284" s="50" t="n">
        <f aca="false">AV284</f>
        <v>1158</v>
      </c>
      <c r="AD284" s="50" t="n">
        <f aca="false">MAX(AV284,H284)</f>
        <v>1158</v>
      </c>
      <c r="AE284" s="57"/>
      <c r="AF284" s="50" t="n">
        <f aca="false">IF(LEFT(Cockpit!$C$5,1)="A",H284,IF(Parameter!$E$30="MAX-Bestand",IF(CH284=1,CI284,IF(LEFT(Cockpit!$C$5,1)="B",AL284,MAX(AL284,H284))),ROUNDUP(AJ284,0)))</f>
        <v>981</v>
      </c>
      <c r="AG284" s="50" t="n">
        <f aca="false">IF(BZ284=1,0,ROUNDUP(AF284/BY284,0))</f>
        <v>3</v>
      </c>
      <c r="AH284" s="52" t="n">
        <f aca="false">IF(CQ284&gt;0,CQ284*MAX(1,AF284/X284),IF(BZ284=1,IF(AF284&lt;=0,0,CD284*MAX(1,IF(H284&gt;0,AF284/H284,1))),IF(R284&gt;0,AG284/R284,0))/MAX(0.1,N(Parameter!$M$21)))</f>
        <v>0.0576923076923077</v>
      </c>
      <c r="AI284" s="50" t="n">
        <f aca="false">AH284*CB284</f>
        <v>8.94230769230769</v>
      </c>
      <c r="AJ284" s="51" t="n">
        <f aca="false">IF(LEFT(Cockpit!$C$5,1)="A",H284,IF(CH284=1,(CK284+CI284)/2,IF(LEFT(Cockpit!$C$5,1)="B",(CK284+AL284)/2,MAX((CK284+AL284)/2,H284))))</f>
        <v>981</v>
      </c>
      <c r="AK284" s="50" t="n">
        <f aca="false">AJ284*G284</f>
        <v>519.93</v>
      </c>
      <c r="AL284" s="50" t="n">
        <f aca="false">ROUNDUP(CK284+MAX(CL284,2*(J284/IF(CG284&gt;0,CG284,MAX(0.1,N(Cockpit!$C$6)))-CK284)),0)</f>
        <v>1158</v>
      </c>
      <c r="AM284" s="51" t="n">
        <f aca="false">IF(AI284&gt;0,J284/AI284,-1)</f>
        <v>124.8</v>
      </c>
      <c r="AN284" s="51" t="n">
        <f aca="false">IF(AND(OR(CF284="L1",CF284="L23",CF284="LIFT"),AI284&gt;0),SUMIFS($AI$7:$AI$1843,$CF$7:$CF$1843,CF284,$AM$7:$AM$1843,"&gt;"&amp;AM284)+SUMIFS($AI$7:$AI$1843,$CF$7:$CF$1843,CF284,$AM$7:$AM$1843,AM284,$BW$7:$BW$1843,"&lt;="&amp;BW284),"")</f>
        <v>659.375457875458</v>
      </c>
      <c r="AO284" s="58" t="n">
        <f aca="false">IF(AN284="",0,MAX(0,MIN(1,(IF(CF284="L1",Parameter!$H$5,IF(CF284="L23",Parameter!$H$6+Parameter!$H$7,Parameter!$H$5+Parameter!$H$6+Parameter!$H$7))-(AN284-AI284))/AI284)))</f>
        <v>1</v>
      </c>
      <c r="AP284" s="50" t="n">
        <f aca="false">IF(LEFT(Cockpit!$I$5,1)="A",H284,IF(Parameter!$E$30="MAX-Bestand",IF(CH284=1,CI284,IF(LEFT(Cockpit!$I$5,1)="B",AV284,MAX(AV284,H284))),ROUNDUP(AT284,0)))</f>
        <v>981</v>
      </c>
      <c r="AQ284" s="50" t="n">
        <f aca="false">IF(BZ284=1,0,ROUNDUP(AP284/BY284,0))</f>
        <v>3</v>
      </c>
      <c r="AR284" s="52" t="n">
        <f aca="false">IF(CQ284&gt;0,CQ284*MAX(1,AP284/X284),IF(BZ284=1,IF(AP284&lt;=0,0,CD284*MAX(1,IF(H284&gt;0,AP284/H284,1))),IF(R284&gt;0,AQ284/R284,0))/MAX(0.1,N(Parameter!$M$21)))</f>
        <v>0.0576923076923077</v>
      </c>
      <c r="AS284" s="50" t="n">
        <f aca="false">AR284*CB284</f>
        <v>8.94230769230769</v>
      </c>
      <c r="AT284" s="51" t="n">
        <f aca="false">IF(LEFT(Cockpit!$I$5,1)="A",H284,IF(CH284=1,(CK284+CI284)/2,IF(LEFT(Cockpit!$I$5,1)="B",(CK284+AV284)/2,MAX((CK284+AV284)/2,H284))))</f>
        <v>981</v>
      </c>
      <c r="AU284" s="50" t="n">
        <f aca="false">AT284*G284</f>
        <v>519.93</v>
      </c>
      <c r="AV284" s="50" t="n">
        <f aca="false">ROUNDUP(CK284+MAX(CL284,2*(J284/IF(CG284&gt;0,CG284,MAX(0.1,N(Cockpit!$I$6)))-CK284)),0)</f>
        <v>1158</v>
      </c>
      <c r="AW284" s="51" t="n">
        <f aca="false">IF(AS284&gt;0,J284/AS284,-1)</f>
        <v>124.8</v>
      </c>
      <c r="AX284" s="51" t="n">
        <f aca="false">IF(AND(OR(CF284="L1",CF284="L23",CF284="LIFT"),AS284&gt;0),SUMIFS($AS$7:$AS$1843,$CF$7:$CF$1843,CF284,$AW$7:$AW$1843,"&gt;"&amp;AW284)+SUMIFS($AS$7:$AS$1843,$CF$7:$CF$1843,CF284,$AW$7:$AW$1843,AW284,$BW$7:$BW$1843,"&lt;="&amp;BW284),"")</f>
        <v>772.157967032967</v>
      </c>
      <c r="AY284" s="58" t="n">
        <f aca="false">IF(AX284="",0,MAX(0,MIN(1,(IF(CF284="L1",Parameter!$H$5,IF(CF284="L23",Parameter!$H$6+Parameter!$H$7,Parameter!$H$5+Parameter!$H$6+Parameter!$H$7))-(AX284-AS284))/AS284)))</f>
        <v>1</v>
      </c>
      <c r="AZ284" s="50" t="n">
        <f aca="false">IF(LEFT(Cockpit!$O$5,1)="A",H284,IF(Parameter!$E$30="MAX-Bestand",IF(CH284=1,CI284,IF(LEFT(Cockpit!$O$5,1)="B",BF284,MAX(BF284,H284))),ROUNDUP(BD284,0)))</f>
        <v>601</v>
      </c>
      <c r="BA284" s="50" t="n">
        <f aca="false">IF(BZ284=1,0,ROUNDUP(AZ284/BY284,0))</f>
        <v>2</v>
      </c>
      <c r="BB284" s="52" t="n">
        <f aca="false">IF(CQ284&gt;0,CQ284*MAX(1,AZ284/X284),IF(BZ284=1,IF(AZ284&lt;=0,0,CD284*MAX(1,IF(H284&gt;0,AZ284/H284,1))),IF(R284&gt;0,BA284/R284,0))/MAX(0.1,N(Parameter!$M$21)))</f>
        <v>0.0384615384615385</v>
      </c>
      <c r="BC284" s="50" t="n">
        <f aca="false">BB284*CB284</f>
        <v>5.96153846153846</v>
      </c>
      <c r="BD284" s="51" t="n">
        <f aca="false">IF(LEFT(Cockpit!$O$5,1)="A",H284,IF(CH284=1,(CK284+CI284)/2,IF(LEFT(Cockpit!$O$5,1)="B",(CK284+BF284)/2,MAX((CK284+BF284)/2,H284))))</f>
        <v>600.5</v>
      </c>
      <c r="BE284" s="50" t="n">
        <f aca="false">BD284*G284</f>
        <v>318.265</v>
      </c>
      <c r="BF284" s="50" t="n">
        <f aca="false">ROUNDUP(CK284+MAX(CL284,2*(J284/IF(CG284&gt;0,CG284,MAX(0.1,N(Cockpit!$O$6)))-CK284)),0)</f>
        <v>1158</v>
      </c>
      <c r="BG284" s="51" t="n">
        <f aca="false">IF(BC284&gt;0,J284/BC284,-1)</f>
        <v>187.2</v>
      </c>
      <c r="BH284" s="51" t="n">
        <f aca="false">IF(AND(OR(CF284="L1",CF284="L23",CF284="LIFT"),BC284&gt;0),SUMIFS($BC$7:$BC$1843,$CF$7:$CF$1843,CF284,$BG$7:$BG$1843,"&gt;"&amp;BG284)+SUMIFS($BC$7:$BC$1843,$CF$7:$CF$1843,CF284,$BG$7:$BG$1843,BG284,$BW$7:$BW$1843,"&lt;="&amp;BW284),"")</f>
        <v>486.561813186813</v>
      </c>
      <c r="BI284" s="58" t="n">
        <f aca="false">IF(BH284="",0,MAX(0,MIN(1,(IF(CF284="L1",Parameter!$H$5,IF(CF284="L23",Parameter!$H$6+Parameter!$H$7,Parameter!$H$5+Parameter!$H$6+Parameter!$H$7))-(BH284-BC284))/BC284)))</f>
        <v>1</v>
      </c>
      <c r="BJ284" s="48" t="str">
        <f aca="false">IF(AI284&lt;=0,"",IF(CF284="Aussen","Aussenlager",IF(CF284="-","Nicht im Lift",IF(AO284&gt;=1,"Lift",IF(AO284&lt;=0,"Aussenlager","teilweise")))))</f>
        <v>Lift</v>
      </c>
      <c r="BK284" s="48" t="str">
        <f aca="false">IF(AS284&lt;=0,"",IF(CF284="Aussen","Aussenlager",IF(CF284="-","Nicht im Lift",IF(AY284&gt;=1,"Lift",IF(AY284&lt;=0,"Aussenlager","teilweise")))))</f>
        <v>Lift</v>
      </c>
      <c r="BL284" s="48" t="str">
        <f aca="false">IF(BC284&lt;=0,"",IF(CF284="Aussen","Aussenlager",IF(CF284="-","Nicht im Lift",IF(BI284&gt;=1,"Lift",IF(BI284&lt;=0,"Aussenlager","teilweise")))))</f>
        <v>Lift</v>
      </c>
      <c r="BM284" s="48" t="str">
        <f aca="false">IF(A284="","",IF(BV284=1,"Neu; ","")&amp;IF(AND(BV284=0,BQ284&lt;0),"negativer Bestand (Export "&amp;BQ284&amp;"); ","")&amp;IF(J284&lt;=0,"Kein Verbrauch; ","")&amp;IF(CQ284&gt;0,"Lift "&amp;W284&amp;" lt. Liftbericht (Fach "&amp;X284&amp;" Stk); ",IF(CA284=1,"Gebinde geschätzt ("&amp;T284&amp;"); ",IF(BZ284=1,"Lose – Tablare geschätzt; ","")))&amp;IF(H284&gt;AV284,"Überbestand "&amp;ROUND(H284-AV284,0)&amp;" Stk / CHF "&amp;ROUND((H284-AV284)*G284,0)&amp;"; ","")&amp;IF(AND(CH284=1,CI284&lt;CJ284),"MAX &lt; MB+LG; ","")&amp;IF(AND(CP284&gt;0,CO284*10&gt;CP284),"zu hoch für Tablar; ","")&amp;IF(AND(BV284=0,OR(CH284=1,AA284&lt;&gt;"",U284&lt;&gt;"",V284&lt;&gt;"",AB284&lt;&gt;"")),"manuell übersteuert; ","")&amp;IF(AND(BZ284=0,R284=0),"Gebinde unbekannt / Stellmass fehlt; ","")&amp;IF(AND(BZ284=0,N(V284)&lt;=0,N(Q284)&lt;=0),"Menge pro Gebinde fehlt (Ist = 1 Gebinde); ","")&amp;BU284)</f>
        <v/>
      </c>
      <c r="BN284" s="48"/>
      <c r="BO284" s="48"/>
      <c r="BP284" s="55"/>
      <c r="BQ284" s="50" t="n">
        <v>700</v>
      </c>
      <c r="BR284" s="50" t="n">
        <v>281</v>
      </c>
      <c r="BS284" s="49" t="n">
        <v>335.51</v>
      </c>
      <c r="BT284" s="50" t="n">
        <v>1116</v>
      </c>
      <c r="BU284" s="48"/>
      <c r="BV284" s="53" t="n">
        <v>0</v>
      </c>
      <c r="BW284" s="53" t="n">
        <v>284</v>
      </c>
      <c r="BX284" s="48" t="str">
        <f aca="false">IF(U284&lt;&gt;"",UPPER(TRIM(U284)),IF(CA284=1,UPPER(VLOOKUP(T284,Parameter!$I$27:$K$29,2,0)),IF(P284="","LOSE",P284)))</f>
        <v>S41</v>
      </c>
      <c r="BY284" s="50" t="n">
        <f aca="false">IF(BX284="LOSE",1,IF(N(V284)&gt;0,V284,IF(CA284=1,MAX(1,N(VLOOKUP(T284,Parameter!$I$27:$K$29,3,0)),H284,N(N284)),IF(N(Q284)&gt;0,Q284,MAX(1,H284)))))</f>
        <v>470</v>
      </c>
      <c r="BZ284" s="53" t="n">
        <f aca="false">IF(BX284="LOSE",1,0)</f>
        <v>0</v>
      </c>
      <c r="CA284" s="53" t="n">
        <f aca="false">IF(AND(U284="",OR(P284="",P284="LOSE"),T284&lt;&gt;"",N(S284)&lt;=0,ISNUMBER(MATCH(T284,Parameter!$I$27:$I$29,0))),1,0)</f>
        <v>0</v>
      </c>
      <c r="CB284" s="53" t="n">
        <f aca="false">IF(CQ284&gt;0,INDEX(Parameter!$H$5:$H$7,W284)/INDEX(Parameter!$E$5:$E$7,W284),IF(AND(BZ284=0,N(IFERROR(VLOOKUP(BX284,'Gebinde-Kategorie'!$A$5:$N$45,14,0),0))&gt;0),VLOOKUP(BX284,'Gebinde-Kategorie'!$A$5:$N$45,14,0)*10+Parameter!$M$23,Parameter!$M$24))</f>
        <v>155</v>
      </c>
      <c r="CC284" s="48" t="str">
        <f aca="false">IF(AND(Parameter!$B$19="Ja",E284&lt;&gt;"",ISNUMBER(MATCH(E284,Parameter!$I$35:$I$52,0))),VLOOKUP(E284,Parameter!$I$35:$J$52,2,0),IFERROR(VLOOKUP(D284,Parameter!$A$35:$C$64,2,0),"Nein"))</f>
        <v>2+3</v>
      </c>
      <c r="CD284" s="52" t="n">
        <f aca="false">IF(BZ284=0,0,IF(N(S284)&gt;0,S284,IFERROR(VLOOKUP(D284,Parameter!$A$35:$C$64,3,0)+0,0)))</f>
        <v>0</v>
      </c>
      <c r="CE284" s="48" t="n">
        <f aca="false">IF(AA284&lt;&gt;"",AA284,Z284)</f>
        <v>3</v>
      </c>
      <c r="CF284" s="48" t="str">
        <f aca="false">IF(OR(CE284=1,CE284=2,CE284=3),IF(Parameter!$E$27="Ja","LIFT",IF(CE284=1,"L1","L23")),IF(CE284="Aussen","Aussen","-"))</f>
        <v>LIFT</v>
      </c>
      <c r="CG284" s="59" t="n">
        <f aca="false">IF(N(AB284)&gt;0,AB284,0)</f>
        <v>0</v>
      </c>
      <c r="CH284" s="53" t="n">
        <f aca="false">IF(ISNUMBER(AE284),1,0)</f>
        <v>0</v>
      </c>
      <c r="CI284" s="50" t="n">
        <f aca="false">N(AE284)</f>
        <v>0</v>
      </c>
      <c r="CJ284" s="50" t="n">
        <f aca="false">N(M284)+N(N284)</f>
        <v>1158</v>
      </c>
      <c r="CK284" s="50" t="n">
        <f aca="false">N(M284)</f>
        <v>43</v>
      </c>
      <c r="CL284" s="50" t="n">
        <f aca="false">N(N284)</f>
        <v>1115</v>
      </c>
      <c r="CM284" s="50" t="n">
        <f aca="false">ROUNDUP(H284/BY284,0)</f>
        <v>3</v>
      </c>
      <c r="CN284" s="50" t="n">
        <f aca="false">ROUNDUP(CI284/BY284,0)</f>
        <v>0</v>
      </c>
      <c r="CO284" s="53" t="n">
        <f aca="false">IF(BZ284=1,0,IFERROR(VLOOKUP(BX284,'Gebinde-Kategorie'!$A$5:$N$45,5,0)+0,0))</f>
        <v>11</v>
      </c>
      <c r="CP284" s="53" t="n">
        <f aca="false">IFERROR(IF(OR(CE284=1,CE284=2,CE284=3),N(INDEX(Parameter!$I$5:$I$7,CE284)),0),0)</f>
        <v>0</v>
      </c>
      <c r="CQ284" s="52" t="n">
        <f aca="false">IF(AND(Parameter!$B$21="Ja",ISNUMBER(W284),N(X284)&gt;0),IFERROR(N(INDEX(Parameter!$L$5:$L$7,W284))*INDEX(Parameter!$E$5:$E$7,W284)*X284/SUMIFS($X$7:$X$1843,$W$7:$W$1843,W284),0),0)</f>
        <v>0</v>
      </c>
    </row>
    <row r="285" customFormat="false" ht="15" hidden="false" customHeight="false" outlineLevel="0" collapsed="false">
      <c r="A285" s="48" t="s">
        <v>751</v>
      </c>
      <c r="B285" s="48" t="s">
        <v>752</v>
      </c>
      <c r="C285" s="48" t="s">
        <v>173</v>
      </c>
      <c r="D285" s="48" t="s">
        <v>193</v>
      </c>
      <c r="E285" s="48" t="s">
        <v>194</v>
      </c>
      <c r="F285" s="48" t="s">
        <v>227</v>
      </c>
      <c r="G285" s="49" t="n">
        <v>51.14</v>
      </c>
      <c r="H285" s="50" t="n">
        <f aca="false">MAX(0,IF(AND(Parameter!$B$21="Ja",ISNUMBER(Y285)),Y285,IF(Parameter!$B$20="Jahresanfang 2025 + Export",BR285+BQ285,BQ285)))</f>
        <v>18</v>
      </c>
      <c r="I285" s="50" t="n">
        <f aca="false">H285*G285</f>
        <v>920.52</v>
      </c>
      <c r="J285" s="50" t="n">
        <f aca="false">BT285*Parameter!$B$18</f>
        <v>25</v>
      </c>
      <c r="K285" s="51" t="n">
        <v>13.5</v>
      </c>
      <c r="L285" s="52" t="n">
        <v>1.85185185185185</v>
      </c>
      <c r="M285" s="50" t="n">
        <v>2</v>
      </c>
      <c r="N285" s="50" t="n">
        <v>25</v>
      </c>
      <c r="O285" s="53" t="n">
        <v>35</v>
      </c>
      <c r="P285" s="48" t="s">
        <v>242</v>
      </c>
      <c r="Q285" s="50" t="n">
        <v>33</v>
      </c>
      <c r="R285" s="53" t="n">
        <f aca="false">IF(BZ285=1,0,IFERROR(VLOOKUP(BX285,'Gebinde-Kategorie'!$A$5:$N$45,13,0)+0,0))</f>
        <v>26</v>
      </c>
      <c r="S285" s="54"/>
      <c r="T285" s="55"/>
      <c r="U285" s="55"/>
      <c r="V285" s="55"/>
      <c r="W285" s="48"/>
      <c r="X285" s="50"/>
      <c r="Y285" s="50"/>
      <c r="Z285" s="48" t="n">
        <f aca="false">IF(A285="","",IF(AND(Parameter!$B$21="Ja",ISNUMBER(W285)),W285,IF(CC285="2+3",IF(ISNUMBER(SEARCH("grosser Artikel",BU285)),2,IFERROR(VLOOKUP(BX285,Parameter!$F$35:$G$64,2,0),2)),IF(OR(CC285="Nein",CC285=""),"-",CC285))))</f>
        <v>3</v>
      </c>
      <c r="AA285" s="55"/>
      <c r="AB285" s="56"/>
      <c r="AC285" s="50" t="n">
        <f aca="false">AV285</f>
        <v>27</v>
      </c>
      <c r="AD285" s="50" t="n">
        <f aca="false">MAX(AV285,H285)</f>
        <v>27</v>
      </c>
      <c r="AE285" s="57"/>
      <c r="AF285" s="50" t="n">
        <f aca="false">IF(LEFT(Cockpit!$C$5,1)="A",H285,IF(Parameter!$E$30="MAX-Bestand",IF(CH285=1,CI285,IF(LEFT(Cockpit!$C$5,1)="B",AL285,MAX(AL285,H285))),ROUNDUP(AJ285,0)))</f>
        <v>18</v>
      </c>
      <c r="AG285" s="50" t="n">
        <f aca="false">IF(BZ285=1,0,ROUNDUP(AF285/BY285,0))</f>
        <v>1</v>
      </c>
      <c r="AH285" s="52" t="n">
        <f aca="false">IF(CQ285&gt;0,CQ285*MAX(1,AF285/X285),IF(BZ285=1,IF(AF285&lt;=0,0,CD285*MAX(1,IF(H285&gt;0,AF285/H285,1))),IF(R285&gt;0,AG285/R285,0))/MAX(0.1,N(Parameter!$M$21)))</f>
        <v>0.0384615384615385</v>
      </c>
      <c r="AI285" s="50" t="n">
        <f aca="false">AH285*CB285</f>
        <v>9.42307692307692</v>
      </c>
      <c r="AJ285" s="51" t="n">
        <f aca="false">IF(LEFT(Cockpit!$C$5,1)="A",H285,IF(CH285=1,(CK285+CI285)/2,IF(LEFT(Cockpit!$C$5,1)="B",(CK285+AL285)/2,MAX((CK285+AL285)/2,H285))))</f>
        <v>18</v>
      </c>
      <c r="AK285" s="50" t="n">
        <f aca="false">AJ285*G285</f>
        <v>920.52</v>
      </c>
      <c r="AL285" s="50" t="n">
        <f aca="false">ROUNDUP(CK285+MAX(CL285,2*(J285/IF(CG285&gt;0,CG285,MAX(0.1,N(Cockpit!$C$6)))-CK285)),0)</f>
        <v>27</v>
      </c>
      <c r="AM285" s="51" t="n">
        <f aca="false">IF(AI285&gt;0,J285/AI285,-1)</f>
        <v>2.6530612244898</v>
      </c>
      <c r="AN285" s="51" t="n">
        <f aca="false">IF(AND(OR(CF285="L1",CF285="L23",CF285="LIFT"),AI285&gt;0),SUMIFS($AI$7:$AI$1843,$CF$7:$CF$1843,CF285,$AM$7:$AM$1843,"&gt;"&amp;AM285)+SUMIFS($AI$7:$AI$1843,$CF$7:$CF$1843,CF285,$AM$7:$AM$1843,AM285,$BW$7:$BW$1843,"&lt;="&amp;BW285),"")</f>
        <v>5358.21749084249</v>
      </c>
      <c r="AO285" s="58" t="n">
        <f aca="false">IF(AN285="",0,MAX(0,MIN(1,(IF(CF285="L1",Parameter!$H$5,IF(CF285="L23",Parameter!$H$6+Parameter!$H$7,Parameter!$H$5+Parameter!$H$6+Parameter!$H$7))-(AN285-AI285))/AI285)))</f>
        <v>1</v>
      </c>
      <c r="AP285" s="50" t="n">
        <f aca="false">IF(LEFT(Cockpit!$I$5,1)="A",H285,IF(Parameter!$E$30="MAX-Bestand",IF(CH285=1,CI285,IF(LEFT(Cockpit!$I$5,1)="B",AV285,MAX(AV285,H285))),ROUNDUP(AT285,0)))</f>
        <v>18</v>
      </c>
      <c r="AQ285" s="50" t="n">
        <f aca="false">IF(BZ285=1,0,ROUNDUP(AP285/BY285,0))</f>
        <v>1</v>
      </c>
      <c r="AR285" s="52" t="n">
        <f aca="false">IF(CQ285&gt;0,CQ285*MAX(1,AP285/X285),IF(BZ285=1,IF(AP285&lt;=0,0,CD285*MAX(1,IF(H285&gt;0,AP285/H285,1))),IF(R285&gt;0,AQ285/R285,0))/MAX(0.1,N(Parameter!$M$21)))</f>
        <v>0.0384615384615385</v>
      </c>
      <c r="AS285" s="50" t="n">
        <f aca="false">AR285*CB285</f>
        <v>9.42307692307692</v>
      </c>
      <c r="AT285" s="51" t="n">
        <f aca="false">IF(LEFT(Cockpit!$I$5,1)="A",H285,IF(CH285=1,(CK285+CI285)/2,IF(LEFT(Cockpit!$I$5,1)="B",(CK285+AV285)/2,MAX((CK285+AV285)/2,H285))))</f>
        <v>18</v>
      </c>
      <c r="AU285" s="50" t="n">
        <f aca="false">AT285*G285</f>
        <v>920.52</v>
      </c>
      <c r="AV285" s="50" t="n">
        <f aca="false">ROUNDUP(CK285+MAX(CL285,2*(J285/IF(CG285&gt;0,CG285,MAX(0.1,N(Cockpit!$I$6)))-CK285)),0)</f>
        <v>27</v>
      </c>
      <c r="AW285" s="51" t="n">
        <f aca="false">IF(AS285&gt;0,J285/AS285,-1)</f>
        <v>2.6530612244898</v>
      </c>
      <c r="AX285" s="51" t="n">
        <f aca="false">IF(AND(OR(CF285="L1",CF285="L23",CF285="LIFT"),AS285&gt;0),SUMIFS($AS$7:$AS$1843,$CF$7:$CF$1843,CF285,$AW$7:$AW$1843,"&gt;"&amp;AW285)+SUMIFS($AS$7:$AS$1843,$CF$7:$CF$1843,CF285,$AW$7:$AW$1843,AW285,$BW$7:$BW$1843,"&lt;="&amp;BW285),"")</f>
        <v>6192.69551282051</v>
      </c>
      <c r="AY285" s="58" t="n">
        <f aca="false">IF(AX285="",0,MAX(0,MIN(1,(IF(CF285="L1",Parameter!$H$5,IF(CF285="L23",Parameter!$H$6+Parameter!$H$7,Parameter!$H$5+Parameter!$H$6+Parameter!$H$7))-(AX285-AS285))/AS285)))</f>
        <v>1</v>
      </c>
      <c r="AZ285" s="50" t="n">
        <f aca="false">IF(LEFT(Cockpit!$O$5,1)="A",H285,IF(Parameter!$E$30="MAX-Bestand",IF(CH285=1,CI285,IF(LEFT(Cockpit!$O$5,1)="B",BF285,MAX(BF285,H285))),ROUNDUP(BD285,0)))</f>
        <v>15</v>
      </c>
      <c r="BA285" s="50" t="n">
        <f aca="false">IF(BZ285=1,0,ROUNDUP(AZ285/BY285,0))</f>
        <v>1</v>
      </c>
      <c r="BB285" s="52" t="n">
        <f aca="false">IF(CQ285&gt;0,CQ285*MAX(1,AZ285/X285),IF(BZ285=1,IF(AZ285&lt;=0,0,CD285*MAX(1,IF(H285&gt;0,AZ285/H285,1))),IF(R285&gt;0,BA285/R285,0))/MAX(0.1,N(Parameter!$M$21)))</f>
        <v>0.0384615384615385</v>
      </c>
      <c r="BC285" s="50" t="n">
        <f aca="false">BB285*CB285</f>
        <v>9.42307692307692</v>
      </c>
      <c r="BD285" s="51" t="n">
        <f aca="false">IF(LEFT(Cockpit!$O$5,1)="A",H285,IF(CH285=1,(CK285+CI285)/2,IF(LEFT(Cockpit!$O$5,1)="B",(CK285+BF285)/2,MAX((CK285+BF285)/2,H285))))</f>
        <v>14.5</v>
      </c>
      <c r="BE285" s="50" t="n">
        <f aca="false">BD285*G285</f>
        <v>741.53</v>
      </c>
      <c r="BF285" s="50" t="n">
        <f aca="false">ROUNDUP(CK285+MAX(CL285,2*(J285/IF(CG285&gt;0,CG285,MAX(0.1,N(Cockpit!$O$6)))-CK285)),0)</f>
        <v>27</v>
      </c>
      <c r="BG285" s="51" t="n">
        <f aca="false">IF(BC285&gt;0,J285/BC285,-1)</f>
        <v>2.6530612244898</v>
      </c>
      <c r="BH285" s="51" t="n">
        <f aca="false">IF(AND(OR(CF285="L1",CF285="L23",CF285="LIFT"),BC285&gt;0),SUMIFS($BC$7:$BC$1843,$CF$7:$CF$1843,CF285,$BG$7:$BG$1843,"&gt;"&amp;BG285)+SUMIFS($BC$7:$BC$1843,$CF$7:$CF$1843,CF285,$BG$7:$BG$1843,BG285,$BW$7:$BW$1843,"&lt;="&amp;BW285),"")</f>
        <v>5370.75</v>
      </c>
      <c r="BI285" s="58" t="n">
        <f aca="false">IF(BH285="",0,MAX(0,MIN(1,(IF(CF285="L1",Parameter!$H$5,IF(CF285="L23",Parameter!$H$6+Parameter!$H$7,Parameter!$H$5+Parameter!$H$6+Parameter!$H$7))-(BH285-BC285))/BC285)))</f>
        <v>1</v>
      </c>
      <c r="BJ285" s="48" t="str">
        <f aca="false">IF(AI285&lt;=0,"",IF(CF285="Aussen","Aussenlager",IF(CF285="-","Nicht im Lift",IF(AO285&gt;=1,"Lift",IF(AO285&lt;=0,"Aussenlager","teilweise")))))</f>
        <v>Lift</v>
      </c>
      <c r="BK285" s="48" t="str">
        <f aca="false">IF(AS285&lt;=0,"",IF(CF285="Aussen","Aussenlager",IF(CF285="-","Nicht im Lift",IF(AY285&gt;=1,"Lift",IF(AY285&lt;=0,"Aussenlager","teilweise")))))</f>
        <v>Lift</v>
      </c>
      <c r="BL285" s="48" t="str">
        <f aca="false">IF(BC285&lt;=0,"",IF(CF285="Aussen","Aussenlager",IF(CF285="-","Nicht im Lift",IF(BI285&gt;=1,"Lift",IF(BI285&lt;=0,"Aussenlager","teilweise")))))</f>
        <v>Lift</v>
      </c>
      <c r="BM285" s="48" t="str">
        <f aca="false">IF(A285="","",IF(BV285=1,"Neu; ","")&amp;IF(AND(BV285=0,BQ285&lt;0),"negativer Bestand (Export "&amp;BQ285&amp;"); ","")&amp;IF(J285&lt;=0,"Kein Verbrauch; ","")&amp;IF(CQ285&gt;0,"Lift "&amp;W285&amp;" lt. Liftbericht (Fach "&amp;X285&amp;" Stk); ",IF(CA285=1,"Gebinde geschätzt ("&amp;T285&amp;"); ",IF(BZ285=1,"Lose – Tablare geschätzt; ","")))&amp;IF(H285&gt;AV285,"Überbestand "&amp;ROUND(H285-AV285,0)&amp;" Stk / CHF "&amp;ROUND((H285-AV285)*G285,0)&amp;"; ","")&amp;IF(AND(CH285=1,CI285&lt;CJ285),"MAX &lt; MB+LG; ","")&amp;IF(AND(CP285&gt;0,CO285*10&gt;CP285),"zu hoch für Tablar; ","")&amp;IF(AND(BV285=0,OR(CH285=1,AA285&lt;&gt;"",U285&lt;&gt;"",V285&lt;&gt;"",AB285&lt;&gt;"")),"manuell übersteuert; ","")&amp;IF(AND(BZ285=0,R285=0),"Gebinde unbekannt / Stellmass fehlt; ","")&amp;IF(AND(BZ285=0,N(V285)&lt;=0,N(Q285)&lt;=0),"Menge pro Gebinde fehlt (Ist = 1 Gebinde); ","")&amp;BU285)</f>
        <v/>
      </c>
      <c r="BN285" s="48"/>
      <c r="BO285" s="48"/>
      <c r="BP285" s="55"/>
      <c r="BQ285" s="50" t="n">
        <v>7</v>
      </c>
      <c r="BR285" s="50" t="n">
        <v>11</v>
      </c>
      <c r="BS285" s="49" t="n">
        <v>326.52</v>
      </c>
      <c r="BT285" s="50" t="n">
        <v>25</v>
      </c>
      <c r="BU285" s="48"/>
      <c r="BV285" s="53" t="n">
        <v>0</v>
      </c>
      <c r="BW285" s="53" t="n">
        <v>285</v>
      </c>
      <c r="BX285" s="48" t="str">
        <f aca="false">IF(U285&lt;&gt;"",UPPER(TRIM(U285)),IF(CA285=1,UPPER(VLOOKUP(T285,Parameter!$I$27:$K$29,2,0)),IF(P285="","LOSE",P285)))</f>
        <v>S52</v>
      </c>
      <c r="BY285" s="50" t="n">
        <f aca="false">IF(BX285="LOSE",1,IF(N(V285)&gt;0,V285,IF(CA285=1,MAX(1,N(VLOOKUP(T285,Parameter!$I$27:$K$29,3,0)),H285,N(N285)),IF(N(Q285)&gt;0,Q285,MAX(1,H285)))))</f>
        <v>33</v>
      </c>
      <c r="BZ285" s="53" t="n">
        <f aca="false">IF(BX285="LOSE",1,0)</f>
        <v>0</v>
      </c>
      <c r="CA285" s="53" t="n">
        <f aca="false">IF(AND(U285="",OR(P285="",P285="LOSE"),T285&lt;&gt;"",N(S285)&lt;=0,ISNUMBER(MATCH(T285,Parameter!$I$27:$I$29,0))),1,0)</f>
        <v>0</v>
      </c>
      <c r="CB285" s="53" t="n">
        <f aca="false">IF(CQ285&gt;0,INDEX(Parameter!$H$5:$H$7,W285)/INDEX(Parameter!$E$5:$E$7,W285),IF(AND(BZ285=0,N(IFERROR(VLOOKUP(BX285,'Gebinde-Kategorie'!$A$5:$N$45,14,0),0))&gt;0),VLOOKUP(BX285,'Gebinde-Kategorie'!$A$5:$N$45,14,0)*10+Parameter!$M$23,Parameter!$M$24))</f>
        <v>245</v>
      </c>
      <c r="CC285" s="48" t="str">
        <f aca="false">IF(AND(Parameter!$B$19="Ja",E285&lt;&gt;"",ISNUMBER(MATCH(E285,Parameter!$I$35:$I$52,0))),VLOOKUP(E285,Parameter!$I$35:$J$52,2,0),IFERROR(VLOOKUP(D285,Parameter!$A$35:$C$64,2,0),"Nein"))</f>
        <v>2+3</v>
      </c>
      <c r="CD285" s="52" t="n">
        <f aca="false">IF(BZ285=0,0,IF(N(S285)&gt;0,S285,IFERROR(VLOOKUP(D285,Parameter!$A$35:$C$64,3,0)+0,0)))</f>
        <v>0</v>
      </c>
      <c r="CE285" s="48" t="n">
        <f aca="false">IF(AA285&lt;&gt;"",AA285,Z285)</f>
        <v>3</v>
      </c>
      <c r="CF285" s="48" t="str">
        <f aca="false">IF(OR(CE285=1,CE285=2,CE285=3),IF(Parameter!$E$27="Ja","LIFT",IF(CE285=1,"L1","L23")),IF(CE285="Aussen","Aussen","-"))</f>
        <v>LIFT</v>
      </c>
      <c r="CG285" s="59" t="n">
        <f aca="false">IF(N(AB285)&gt;0,AB285,0)</f>
        <v>0</v>
      </c>
      <c r="CH285" s="53" t="n">
        <f aca="false">IF(ISNUMBER(AE285),1,0)</f>
        <v>0</v>
      </c>
      <c r="CI285" s="50" t="n">
        <f aca="false">N(AE285)</f>
        <v>0</v>
      </c>
      <c r="CJ285" s="50" t="n">
        <f aca="false">N(M285)+N(N285)</f>
        <v>27</v>
      </c>
      <c r="CK285" s="50" t="n">
        <f aca="false">N(M285)</f>
        <v>2</v>
      </c>
      <c r="CL285" s="50" t="n">
        <f aca="false">N(N285)</f>
        <v>25</v>
      </c>
      <c r="CM285" s="50" t="n">
        <f aca="false">ROUNDUP(H285/BY285,0)</f>
        <v>1</v>
      </c>
      <c r="CN285" s="50" t="n">
        <f aca="false">ROUNDUP(CI285/BY285,0)</f>
        <v>0</v>
      </c>
      <c r="CO285" s="53" t="n">
        <f aca="false">IF(BZ285=1,0,IFERROR(VLOOKUP(BX285,'Gebinde-Kategorie'!$A$5:$N$45,5,0)+0,0))</f>
        <v>21</v>
      </c>
      <c r="CP285" s="53" t="n">
        <f aca="false">IFERROR(IF(OR(CE285=1,CE285=2,CE285=3),N(INDEX(Parameter!$I$5:$I$7,CE285)),0),0)</f>
        <v>0</v>
      </c>
      <c r="CQ285" s="52" t="n">
        <f aca="false">IF(AND(Parameter!$B$21="Ja",ISNUMBER(W285),N(X285)&gt;0),IFERROR(N(INDEX(Parameter!$L$5:$L$7,W285))*INDEX(Parameter!$E$5:$E$7,W285)*X285/SUMIFS($X$7:$X$1843,$W$7:$W$1843,W285),0),0)</f>
        <v>0</v>
      </c>
    </row>
    <row r="286" customFormat="false" ht="15" hidden="false" customHeight="false" outlineLevel="0" collapsed="false">
      <c r="A286" s="48" t="s">
        <v>753</v>
      </c>
      <c r="B286" s="48" t="s">
        <v>754</v>
      </c>
      <c r="C286" s="48" t="s">
        <v>173</v>
      </c>
      <c r="D286" s="48" t="s">
        <v>193</v>
      </c>
      <c r="E286" s="48"/>
      <c r="F286" s="48" t="s">
        <v>227</v>
      </c>
      <c r="G286" s="49" t="n">
        <v>147.94</v>
      </c>
      <c r="H286" s="50" t="n">
        <f aca="false">MAX(0,IF(AND(Parameter!$B$21="Ja",ISNUMBER(Y286)),Y286,IF(Parameter!$B$20="Jahresanfang 2025 + Export",BR286+BQ286,BQ286)))</f>
        <v>4</v>
      </c>
      <c r="I286" s="50" t="n">
        <f aca="false">H286*G286</f>
        <v>591.76</v>
      </c>
      <c r="J286" s="50" t="n">
        <f aca="false">BT286*Parameter!$B$18</f>
        <v>0</v>
      </c>
      <c r="K286" s="51" t="n">
        <v>3</v>
      </c>
      <c r="L286" s="52" t="n">
        <v>0</v>
      </c>
      <c r="M286" s="50" t="n">
        <v>0</v>
      </c>
      <c r="N286" s="50" t="n">
        <v>1</v>
      </c>
      <c r="O286" s="53" t="n">
        <v>42</v>
      </c>
      <c r="P286" s="48" t="s">
        <v>302</v>
      </c>
      <c r="Q286" s="50" t="n">
        <v>4</v>
      </c>
      <c r="R286" s="53" t="n">
        <f aca="false">IF(BZ286=1,0,IFERROR(VLOOKUP(BX286,'Gebinde-Kategorie'!$A$5:$N$45,13,0)+0,0))</f>
        <v>12</v>
      </c>
      <c r="S286" s="54"/>
      <c r="T286" s="55"/>
      <c r="U286" s="55"/>
      <c r="V286" s="55"/>
      <c r="W286" s="48"/>
      <c r="X286" s="50"/>
      <c r="Y286" s="50"/>
      <c r="Z286" s="48" t="n">
        <f aca="false">IF(A286="","",IF(AND(Parameter!$B$21="Ja",ISNUMBER(W286)),W286,IF(CC286="2+3",IF(ISNUMBER(SEARCH("grosser Artikel",BU286)),2,IFERROR(VLOOKUP(BX286,Parameter!$F$35:$G$64,2,0),2)),IF(OR(CC286="Nein",CC286=""),"-",CC286))))</f>
        <v>2</v>
      </c>
      <c r="AA286" s="55"/>
      <c r="AB286" s="56"/>
      <c r="AC286" s="50" t="n">
        <f aca="false">AV286</f>
        <v>1</v>
      </c>
      <c r="AD286" s="50" t="n">
        <f aca="false">MAX(AV286,H286)</f>
        <v>4</v>
      </c>
      <c r="AE286" s="57"/>
      <c r="AF286" s="50" t="n">
        <f aca="false">IF(LEFT(Cockpit!$C$5,1)="A",H286,IF(Parameter!$E$30="MAX-Bestand",IF(CH286=1,CI286,IF(LEFT(Cockpit!$C$5,1)="B",AL286,MAX(AL286,H286))),ROUNDUP(AJ286,0)))</f>
        <v>4</v>
      </c>
      <c r="AG286" s="50" t="n">
        <f aca="false">IF(BZ286=1,0,ROUNDUP(AF286/BY286,0))</f>
        <v>1</v>
      </c>
      <c r="AH286" s="52" t="n">
        <f aca="false">IF(CQ286&gt;0,CQ286*MAX(1,AF286/X286),IF(BZ286=1,IF(AF286&lt;=0,0,CD286*MAX(1,IF(H286&gt;0,AF286/H286,1))),IF(R286&gt;0,AG286/R286,0))/MAX(0.1,N(Parameter!$M$21)))</f>
        <v>0.0833333333333333</v>
      </c>
      <c r="AI286" s="50" t="n">
        <f aca="false">AH286*CB286</f>
        <v>20.4166666666667</v>
      </c>
      <c r="AJ286" s="51" t="n">
        <f aca="false">IF(LEFT(Cockpit!$C$5,1)="A",H286,IF(CH286=1,(CK286+CI286)/2,IF(LEFT(Cockpit!$C$5,1)="B",(CK286+AL286)/2,MAX((CK286+AL286)/2,H286))))</f>
        <v>4</v>
      </c>
      <c r="AK286" s="50" t="n">
        <f aca="false">AJ286*G286</f>
        <v>591.76</v>
      </c>
      <c r="AL286" s="50" t="n">
        <f aca="false">ROUNDUP(CK286+MAX(CL286,2*(J286/IF(CG286&gt;0,CG286,MAX(0.1,N(Cockpit!$C$6)))-CK286)),0)</f>
        <v>1</v>
      </c>
      <c r="AM286" s="51" t="n">
        <f aca="false">IF(AI286&gt;0,J286/AI286,-1)</f>
        <v>0</v>
      </c>
      <c r="AN286" s="51" t="n">
        <f aca="false">IF(AND(OR(CF286="L1",CF286="L23",CF286="LIFT"),AI286&gt;0),SUMIFS($AI$7:$AI$1843,$CF$7:$CF$1843,CF286,$AM$7:$AM$1843,"&gt;"&amp;AM286)+SUMIFS($AI$7:$AI$1843,$CF$7:$CF$1843,CF286,$AM$7:$AM$1843,AM286,$BW$7:$BW$1843,"&lt;="&amp;BW286),"")</f>
        <v>27811.8550216262</v>
      </c>
      <c r="AO286" s="58" t="n">
        <f aca="false">IF(AN286="",0,MAX(0,MIN(1,(IF(CF286="L1",Parameter!$H$5,IF(CF286="L23",Parameter!$H$6+Parameter!$H$7,Parameter!$H$5+Parameter!$H$6+Parameter!$H$7))-(AN286-AI286))/AI286)))</f>
        <v>1</v>
      </c>
      <c r="AP286" s="50" t="n">
        <f aca="false">IF(LEFT(Cockpit!$I$5,1)="A",H286,IF(Parameter!$E$30="MAX-Bestand",IF(CH286=1,CI286,IF(LEFT(Cockpit!$I$5,1)="B",AV286,MAX(AV286,H286))),ROUNDUP(AT286,0)))</f>
        <v>4</v>
      </c>
      <c r="AQ286" s="50" t="n">
        <f aca="false">IF(BZ286=1,0,ROUNDUP(AP286/BY286,0))</f>
        <v>1</v>
      </c>
      <c r="AR286" s="52" t="n">
        <f aca="false">IF(CQ286&gt;0,CQ286*MAX(1,AP286/X286),IF(BZ286=1,IF(AP286&lt;=0,0,CD286*MAX(1,IF(H286&gt;0,AP286/H286,1))),IF(R286&gt;0,AQ286/R286,0))/MAX(0.1,N(Parameter!$M$21)))</f>
        <v>0.0833333333333333</v>
      </c>
      <c r="AS286" s="50" t="n">
        <f aca="false">AR286*CB286</f>
        <v>20.4166666666667</v>
      </c>
      <c r="AT286" s="51" t="n">
        <f aca="false">IF(LEFT(Cockpit!$I$5,1)="A",H286,IF(CH286=1,(CK286+CI286)/2,IF(LEFT(Cockpit!$I$5,1)="B",(CK286+AV286)/2,MAX((CK286+AV286)/2,H286))))</f>
        <v>4</v>
      </c>
      <c r="AU286" s="50" t="n">
        <f aca="false">AT286*G286</f>
        <v>591.76</v>
      </c>
      <c r="AV286" s="50" t="n">
        <f aca="false">ROUNDUP(CK286+MAX(CL286,2*(J286/IF(CG286&gt;0,CG286,MAX(0.1,N(Cockpit!$I$6)))-CK286)),0)</f>
        <v>1</v>
      </c>
      <c r="AW286" s="51" t="n">
        <f aca="false">IF(AS286&gt;0,J286/AS286,-1)</f>
        <v>0</v>
      </c>
      <c r="AX286" s="51" t="n">
        <f aca="false">IF(AND(OR(CF286="L1",CF286="L23",CF286="LIFT"),AS286&gt;0),SUMIFS($AS$7:$AS$1843,$CF$7:$CF$1843,CF286,$AW$7:$AW$1843,"&gt;"&amp;AW286)+SUMIFS($AS$7:$AS$1843,$CF$7:$CF$1843,CF286,$AW$7:$AW$1843,AW286,$BW$7:$BW$1843,"&lt;="&amp;BW286),"")</f>
        <v>33165.0036630037</v>
      </c>
      <c r="AY286" s="58" t="n">
        <f aca="false">IF(AX286="",0,MAX(0,MIN(1,(IF(CF286="L1",Parameter!$H$5,IF(CF286="L23",Parameter!$H$6+Parameter!$H$7,Parameter!$H$5+Parameter!$H$6+Parameter!$H$7))-(AX286-AS286))/AS286)))</f>
        <v>1</v>
      </c>
      <c r="AZ286" s="50" t="n">
        <f aca="false">IF(LEFT(Cockpit!$O$5,1)="A",H286,IF(Parameter!$E$30="MAX-Bestand",IF(CH286=1,CI286,IF(LEFT(Cockpit!$O$5,1)="B",BF286,MAX(BF286,H286))),ROUNDUP(BD286,0)))</f>
        <v>1</v>
      </c>
      <c r="BA286" s="50" t="n">
        <f aca="false">IF(BZ286=1,0,ROUNDUP(AZ286/BY286,0))</f>
        <v>1</v>
      </c>
      <c r="BB286" s="52" t="n">
        <f aca="false">IF(CQ286&gt;0,CQ286*MAX(1,AZ286/X286),IF(BZ286=1,IF(AZ286&lt;=0,0,CD286*MAX(1,IF(H286&gt;0,AZ286/H286,1))),IF(R286&gt;0,BA286/R286,0))/MAX(0.1,N(Parameter!$M$21)))</f>
        <v>0.0833333333333333</v>
      </c>
      <c r="BC286" s="50" t="n">
        <f aca="false">BB286*CB286</f>
        <v>20.4166666666667</v>
      </c>
      <c r="BD286" s="51" t="n">
        <f aca="false">IF(LEFT(Cockpit!$O$5,1)="A",H286,IF(CH286=1,(CK286+CI286)/2,IF(LEFT(Cockpit!$O$5,1)="B",(CK286+BF286)/2,MAX((CK286+BF286)/2,H286))))</f>
        <v>0.5</v>
      </c>
      <c r="BE286" s="50" t="n">
        <f aca="false">BD286*G286</f>
        <v>73.97</v>
      </c>
      <c r="BF286" s="50" t="n">
        <f aca="false">ROUNDUP(CK286+MAX(CL286,2*(J286/IF(CG286&gt;0,CG286,MAX(0.1,N(Cockpit!$O$6)))-CK286)),0)</f>
        <v>1</v>
      </c>
      <c r="BG286" s="51" t="n">
        <f aca="false">IF(BC286&gt;0,J286/BC286,-1)</f>
        <v>0</v>
      </c>
      <c r="BH286" s="51" t="n">
        <f aca="false">IF(AND(OR(CF286="L1",CF286="L23",CF286="LIFT"),BC286&gt;0),SUMIFS($BC$7:$BC$1843,$CF$7:$CF$1843,CF286,$BG$7:$BG$1843,"&gt;"&amp;BG286)+SUMIFS($BC$7:$BC$1843,$CF$7:$CF$1843,CF286,$BG$7:$BG$1843,BG286,$BW$7:$BW$1843,"&lt;="&amp;BW286),"")</f>
        <v>27313.8611473273</v>
      </c>
      <c r="BI286" s="58" t="n">
        <f aca="false">IF(BH286="",0,MAX(0,MIN(1,(IF(CF286="L1",Parameter!$H$5,IF(CF286="L23",Parameter!$H$6+Parameter!$H$7,Parameter!$H$5+Parameter!$H$6+Parameter!$H$7))-(BH286-BC286))/BC286)))</f>
        <v>1</v>
      </c>
      <c r="BJ286" s="48" t="str">
        <f aca="false">IF(AI286&lt;=0,"",IF(CF286="Aussen","Aussenlager",IF(CF286="-","Nicht im Lift",IF(AO286&gt;=1,"Lift",IF(AO286&lt;=0,"Aussenlager","teilweise")))))</f>
        <v>Lift</v>
      </c>
      <c r="BK286" s="48" t="str">
        <f aca="false">IF(AS286&lt;=0,"",IF(CF286="Aussen","Aussenlager",IF(CF286="-","Nicht im Lift",IF(AY286&gt;=1,"Lift",IF(AY286&lt;=0,"Aussenlager","teilweise")))))</f>
        <v>Lift</v>
      </c>
      <c r="BL286" s="48" t="str">
        <f aca="false">IF(BC286&lt;=0,"",IF(CF286="Aussen","Aussenlager",IF(CF286="-","Nicht im Lift",IF(BI286&gt;=1,"Lift",IF(BI286&lt;=0,"Aussenlager","teilweise")))))</f>
        <v>Lift</v>
      </c>
      <c r="BM286" s="48" t="str">
        <f aca="false">IF(A286="","",IF(BV286=1,"Neu; ","")&amp;IF(AND(BV286=0,BQ286&lt;0),"negativer Bestand (Export "&amp;BQ286&amp;"); ","")&amp;IF(J286&lt;=0,"Kein Verbrauch; ","")&amp;IF(CQ286&gt;0,"Lift "&amp;W286&amp;" lt. Liftbericht (Fach "&amp;X286&amp;" Stk); ",IF(CA286=1,"Gebinde geschätzt ("&amp;T286&amp;"); ",IF(BZ286=1,"Lose – Tablare geschätzt; ","")))&amp;IF(H286&gt;AV286,"Überbestand "&amp;ROUND(H286-AV286,0)&amp;" Stk / CHF "&amp;ROUND((H286-AV286)*G286,0)&amp;"; ","")&amp;IF(AND(CH286=1,CI286&lt;CJ286),"MAX &lt; MB+LG; ","")&amp;IF(AND(CP286&gt;0,CO286*10&gt;CP286),"zu hoch für Tablar; ","")&amp;IF(AND(BV286=0,OR(CH286=1,AA286&lt;&gt;"",U286&lt;&gt;"",V286&lt;&gt;"",AB286&lt;&gt;"")),"manuell übersteuert; ","")&amp;IF(AND(BZ286=0,R286=0),"Gebinde unbekannt / Stellmass fehlt; ","")&amp;IF(AND(BZ286=0,N(V286)&lt;=0,N(Q286)&lt;=0),"Menge pro Gebinde fehlt (Ist = 1 Gebinde); ","")&amp;BU286)</f>
        <v>Kein Verbrauch; Überbestand 3 Stk / CHF 444; </v>
      </c>
      <c r="BN286" s="48"/>
      <c r="BO286" s="48"/>
      <c r="BP286" s="55"/>
      <c r="BQ286" s="50" t="n">
        <v>1</v>
      </c>
      <c r="BR286" s="50" t="n">
        <v>3</v>
      </c>
      <c r="BS286" s="49" t="n">
        <v>325.81</v>
      </c>
      <c r="BT286" s="50" t="n">
        <v>0</v>
      </c>
      <c r="BU286" s="48"/>
      <c r="BV286" s="53" t="n">
        <v>0</v>
      </c>
      <c r="BW286" s="53" t="n">
        <v>286</v>
      </c>
      <c r="BX286" s="48" t="str">
        <f aca="false">IF(U286&lt;&gt;"",UPPER(TRIM(U286)),IF(CA286=1,UPPER(VLOOKUP(T286,Parameter!$I$27:$K$29,2,0)),IF(P286="","LOSE",P286)))</f>
        <v>S62</v>
      </c>
      <c r="BY286" s="50" t="n">
        <f aca="false">IF(BX286="LOSE",1,IF(N(V286)&gt;0,V286,IF(CA286=1,MAX(1,N(VLOOKUP(T286,Parameter!$I$27:$K$29,3,0)),H286,N(N286)),IF(N(Q286)&gt;0,Q286,MAX(1,H286)))))</f>
        <v>4</v>
      </c>
      <c r="BZ286" s="53" t="n">
        <f aca="false">IF(BX286="LOSE",1,0)</f>
        <v>0</v>
      </c>
      <c r="CA286" s="53" t="n">
        <f aca="false">IF(AND(U286="",OR(P286="",P286="LOSE"),T286&lt;&gt;"",N(S286)&lt;=0,ISNUMBER(MATCH(T286,Parameter!$I$27:$I$29,0))),1,0)</f>
        <v>0</v>
      </c>
      <c r="CB286" s="53" t="n">
        <f aca="false">IF(CQ286&gt;0,INDEX(Parameter!$H$5:$H$7,W286)/INDEX(Parameter!$E$5:$E$7,W286),IF(AND(BZ286=0,N(IFERROR(VLOOKUP(BX286,'Gebinde-Kategorie'!$A$5:$N$45,14,0),0))&gt;0),VLOOKUP(BX286,'Gebinde-Kategorie'!$A$5:$N$45,14,0)*10+Parameter!$M$23,Parameter!$M$24))</f>
        <v>245</v>
      </c>
      <c r="CC286" s="48" t="str">
        <f aca="false">IF(AND(Parameter!$B$19="Ja",E286&lt;&gt;"",ISNUMBER(MATCH(E286,Parameter!$I$35:$I$52,0))),VLOOKUP(E286,Parameter!$I$35:$J$52,2,0),IFERROR(VLOOKUP(D286,Parameter!$A$35:$C$64,2,0),"Nein"))</f>
        <v>2+3</v>
      </c>
      <c r="CD286" s="52" t="n">
        <f aca="false">IF(BZ286=0,0,IF(N(S286)&gt;0,S286,IFERROR(VLOOKUP(D286,Parameter!$A$35:$C$64,3,0)+0,0)))</f>
        <v>0</v>
      </c>
      <c r="CE286" s="48" t="n">
        <f aca="false">IF(AA286&lt;&gt;"",AA286,Z286)</f>
        <v>2</v>
      </c>
      <c r="CF286" s="48" t="str">
        <f aca="false">IF(OR(CE286=1,CE286=2,CE286=3),IF(Parameter!$E$27="Ja","LIFT",IF(CE286=1,"L1","L23")),IF(CE286="Aussen","Aussen","-"))</f>
        <v>LIFT</v>
      </c>
      <c r="CG286" s="59" t="n">
        <f aca="false">IF(N(AB286)&gt;0,AB286,0)</f>
        <v>0</v>
      </c>
      <c r="CH286" s="53" t="n">
        <f aca="false">IF(ISNUMBER(AE286),1,0)</f>
        <v>0</v>
      </c>
      <c r="CI286" s="50" t="n">
        <f aca="false">N(AE286)</f>
        <v>0</v>
      </c>
      <c r="CJ286" s="50" t="n">
        <f aca="false">N(M286)+N(N286)</f>
        <v>1</v>
      </c>
      <c r="CK286" s="50" t="n">
        <f aca="false">N(M286)</f>
        <v>0</v>
      </c>
      <c r="CL286" s="50" t="n">
        <f aca="false">N(N286)</f>
        <v>1</v>
      </c>
      <c r="CM286" s="50" t="n">
        <f aca="false">ROUNDUP(H286/BY286,0)</f>
        <v>1</v>
      </c>
      <c r="CN286" s="50" t="n">
        <f aca="false">ROUNDUP(CI286/BY286,0)</f>
        <v>0</v>
      </c>
      <c r="CO286" s="53" t="n">
        <f aca="false">IF(BZ286=1,0,IFERROR(VLOOKUP(BX286,'Gebinde-Kategorie'!$A$5:$N$45,5,0)+0,0))</f>
        <v>21</v>
      </c>
      <c r="CP286" s="53" t="n">
        <f aca="false">IFERROR(IF(OR(CE286=1,CE286=2,CE286=3),N(INDEX(Parameter!$I$5:$I$7,CE286)),0),0)</f>
        <v>0</v>
      </c>
      <c r="CQ286" s="52" t="n">
        <f aca="false">IF(AND(Parameter!$B$21="Ja",ISNUMBER(W286),N(X286)&gt;0),IFERROR(N(INDEX(Parameter!$L$5:$L$7,W286))*INDEX(Parameter!$E$5:$E$7,W286)*X286/SUMIFS($X$7:$X$1843,$W$7:$W$1843,W286),0),0)</f>
        <v>0</v>
      </c>
    </row>
    <row r="287" customFormat="false" ht="15" hidden="false" customHeight="false" outlineLevel="0" collapsed="false">
      <c r="A287" s="48" t="s">
        <v>755</v>
      </c>
      <c r="B287" s="48" t="s">
        <v>756</v>
      </c>
      <c r="C287" s="48" t="s">
        <v>176</v>
      </c>
      <c r="D287" s="48" t="s">
        <v>193</v>
      </c>
      <c r="E287" s="48"/>
      <c r="F287" s="48" t="s">
        <v>227</v>
      </c>
      <c r="G287" s="49" t="n">
        <v>81</v>
      </c>
      <c r="H287" s="50" t="n">
        <f aca="false">MAX(0,IF(AND(Parameter!$B$21="Ja",ISNUMBER(Y287)),Y287,IF(Parameter!$B$20="Jahresanfang 2025 + Export",BR287+BQ287,BQ287)))</f>
        <v>11</v>
      </c>
      <c r="I287" s="50" t="n">
        <f aca="false">H287*G287</f>
        <v>891</v>
      </c>
      <c r="J287" s="50" t="n">
        <f aca="false">BT287*Parameter!$B$18</f>
        <v>0</v>
      </c>
      <c r="K287" s="51" t="n">
        <v>9</v>
      </c>
      <c r="L287" s="52" t="n">
        <v>0</v>
      </c>
      <c r="M287" s="50" t="n">
        <v>0</v>
      </c>
      <c r="N287" s="50" t="n">
        <v>1</v>
      </c>
      <c r="O287" s="53" t="n">
        <v>28</v>
      </c>
      <c r="P287" s="48" t="s">
        <v>337</v>
      </c>
      <c r="Q287" s="50" t="n">
        <v>6</v>
      </c>
      <c r="R287" s="53" t="n">
        <f aca="false">IF(BZ287=1,0,IFERROR(VLOOKUP(BX287,'Gebinde-Kategorie'!$A$5:$N$45,13,0)+0,0))</f>
        <v>52</v>
      </c>
      <c r="S287" s="54"/>
      <c r="T287" s="55"/>
      <c r="U287" s="55"/>
      <c r="V287" s="55"/>
      <c r="W287" s="48"/>
      <c r="X287" s="50"/>
      <c r="Y287" s="50"/>
      <c r="Z287" s="48" t="n">
        <f aca="false">IF(A287="","",IF(AND(Parameter!$B$21="Ja",ISNUMBER(W287)),W287,IF(CC287="2+3",IF(ISNUMBER(SEARCH("grosser Artikel",BU287)),2,IFERROR(VLOOKUP(BX287,Parameter!$F$35:$G$64,2,0),2)),IF(OR(CC287="Nein",CC287=""),"-",CC287))))</f>
        <v>3</v>
      </c>
      <c r="AA287" s="55"/>
      <c r="AB287" s="56"/>
      <c r="AC287" s="50" t="n">
        <f aca="false">AV287</f>
        <v>1</v>
      </c>
      <c r="AD287" s="50" t="n">
        <f aca="false">MAX(AV287,H287)</f>
        <v>11</v>
      </c>
      <c r="AE287" s="57"/>
      <c r="AF287" s="50" t="n">
        <f aca="false">IF(LEFT(Cockpit!$C$5,1)="A",H287,IF(Parameter!$E$30="MAX-Bestand",IF(CH287=1,CI287,IF(LEFT(Cockpit!$C$5,1)="B",AL287,MAX(AL287,H287))),ROUNDUP(AJ287,0)))</f>
        <v>11</v>
      </c>
      <c r="AG287" s="50" t="n">
        <f aca="false">IF(BZ287=1,0,ROUNDUP(AF287/BY287,0))</f>
        <v>2</v>
      </c>
      <c r="AH287" s="52" t="n">
        <f aca="false">IF(CQ287&gt;0,CQ287*MAX(1,AF287/X287),IF(BZ287=1,IF(AF287&lt;=0,0,CD287*MAX(1,IF(H287&gt;0,AF287/H287,1))),IF(R287&gt;0,AG287/R287,0))/MAX(0.1,N(Parameter!$M$21)))</f>
        <v>0.0384615384615385</v>
      </c>
      <c r="AI287" s="50" t="n">
        <f aca="false">AH287*CB287</f>
        <v>5.96153846153846</v>
      </c>
      <c r="AJ287" s="51" t="n">
        <f aca="false">IF(LEFT(Cockpit!$C$5,1)="A",H287,IF(CH287=1,(CK287+CI287)/2,IF(LEFT(Cockpit!$C$5,1)="B",(CK287+AL287)/2,MAX((CK287+AL287)/2,H287))))</f>
        <v>11</v>
      </c>
      <c r="AK287" s="50" t="n">
        <f aca="false">AJ287*G287</f>
        <v>891</v>
      </c>
      <c r="AL287" s="50" t="n">
        <f aca="false">ROUNDUP(CK287+MAX(CL287,2*(J287/IF(CG287&gt;0,CG287,MAX(0.1,N(Cockpit!$C$6)))-CK287)),0)</f>
        <v>1</v>
      </c>
      <c r="AM287" s="51" t="n">
        <f aca="false">IF(AI287&gt;0,J287/AI287,-1)</f>
        <v>0</v>
      </c>
      <c r="AN287" s="51" t="n">
        <f aca="false">IF(AND(OR(CF287="L1",CF287="L23",CF287="LIFT"),AI287&gt;0),SUMIFS($AI$7:$AI$1843,$CF$7:$CF$1843,CF287,$AM$7:$AM$1843,"&gt;"&amp;AM287)+SUMIFS($AI$7:$AI$1843,$CF$7:$CF$1843,CF287,$AM$7:$AM$1843,AM287,$BW$7:$BW$1843,"&lt;="&amp;BW287),"")</f>
        <v>27817.8165600877</v>
      </c>
      <c r="AO287" s="58" t="n">
        <f aca="false">IF(AN287="",0,MAX(0,MIN(1,(IF(CF287="L1",Parameter!$H$5,IF(CF287="L23",Parameter!$H$6+Parameter!$H$7,Parameter!$H$5+Parameter!$H$6+Parameter!$H$7))-(AN287-AI287))/AI287)))</f>
        <v>1</v>
      </c>
      <c r="AP287" s="50" t="n">
        <f aca="false">IF(LEFT(Cockpit!$I$5,1)="A",H287,IF(Parameter!$E$30="MAX-Bestand",IF(CH287=1,CI287,IF(LEFT(Cockpit!$I$5,1)="B",AV287,MAX(AV287,H287))),ROUNDUP(AT287,0)))</f>
        <v>11</v>
      </c>
      <c r="AQ287" s="50" t="n">
        <f aca="false">IF(BZ287=1,0,ROUNDUP(AP287/BY287,0))</f>
        <v>2</v>
      </c>
      <c r="AR287" s="52" t="n">
        <f aca="false">IF(CQ287&gt;0,CQ287*MAX(1,AP287/X287),IF(BZ287=1,IF(AP287&lt;=0,0,CD287*MAX(1,IF(H287&gt;0,AP287/H287,1))),IF(R287&gt;0,AQ287/R287,0))/MAX(0.1,N(Parameter!$M$21)))</f>
        <v>0.0384615384615385</v>
      </c>
      <c r="AS287" s="50" t="n">
        <f aca="false">AR287*CB287</f>
        <v>5.96153846153846</v>
      </c>
      <c r="AT287" s="51" t="n">
        <f aca="false">IF(LEFT(Cockpit!$I$5,1)="A",H287,IF(CH287=1,(CK287+CI287)/2,IF(LEFT(Cockpit!$I$5,1)="B",(CK287+AV287)/2,MAX((CK287+AV287)/2,H287))))</f>
        <v>11</v>
      </c>
      <c r="AU287" s="50" t="n">
        <f aca="false">AT287*G287</f>
        <v>891</v>
      </c>
      <c r="AV287" s="50" t="n">
        <f aca="false">ROUNDUP(CK287+MAX(CL287,2*(J287/IF(CG287&gt;0,CG287,MAX(0.1,N(Cockpit!$I$6)))-CK287)),0)</f>
        <v>1</v>
      </c>
      <c r="AW287" s="51" t="n">
        <f aca="false">IF(AS287&gt;0,J287/AS287,-1)</f>
        <v>0</v>
      </c>
      <c r="AX287" s="51" t="n">
        <f aca="false">IF(AND(OR(CF287="L1",CF287="L23",CF287="LIFT"),AS287&gt;0),SUMIFS($AS$7:$AS$1843,$CF$7:$CF$1843,CF287,$AW$7:$AW$1843,"&gt;"&amp;AW287)+SUMIFS($AS$7:$AS$1843,$CF$7:$CF$1843,CF287,$AW$7:$AW$1843,AW287,$BW$7:$BW$1843,"&lt;="&amp;BW287),"")</f>
        <v>33170.9652014652</v>
      </c>
      <c r="AY287" s="58" t="n">
        <f aca="false">IF(AX287="",0,MAX(0,MIN(1,(IF(CF287="L1",Parameter!$H$5,IF(CF287="L23",Parameter!$H$6+Parameter!$H$7,Parameter!$H$5+Parameter!$H$6+Parameter!$H$7))-(AX287-AS287))/AS287)))</f>
        <v>1</v>
      </c>
      <c r="AZ287" s="50" t="n">
        <f aca="false">IF(LEFT(Cockpit!$O$5,1)="A",H287,IF(Parameter!$E$30="MAX-Bestand",IF(CH287=1,CI287,IF(LEFT(Cockpit!$O$5,1)="B",BF287,MAX(BF287,H287))),ROUNDUP(BD287,0)))</f>
        <v>1</v>
      </c>
      <c r="BA287" s="50" t="n">
        <f aca="false">IF(BZ287=1,0,ROUNDUP(AZ287/BY287,0))</f>
        <v>1</v>
      </c>
      <c r="BB287" s="52" t="n">
        <f aca="false">IF(CQ287&gt;0,CQ287*MAX(1,AZ287/X287),IF(BZ287=1,IF(AZ287&lt;=0,0,CD287*MAX(1,IF(H287&gt;0,AZ287/H287,1))),IF(R287&gt;0,BA287/R287,0))/MAX(0.1,N(Parameter!$M$21)))</f>
        <v>0.0192307692307692</v>
      </c>
      <c r="BC287" s="50" t="n">
        <f aca="false">BB287*CB287</f>
        <v>2.98076923076923</v>
      </c>
      <c r="BD287" s="51" t="n">
        <f aca="false">IF(LEFT(Cockpit!$O$5,1)="A",H287,IF(CH287=1,(CK287+CI287)/2,IF(LEFT(Cockpit!$O$5,1)="B",(CK287+BF287)/2,MAX((CK287+BF287)/2,H287))))</f>
        <v>0.5</v>
      </c>
      <c r="BE287" s="50" t="n">
        <f aca="false">BD287*G287</f>
        <v>40.5</v>
      </c>
      <c r="BF287" s="50" t="n">
        <f aca="false">ROUNDUP(CK287+MAX(CL287,2*(J287/IF(CG287&gt;0,CG287,MAX(0.1,N(Cockpit!$O$6)))-CK287)),0)</f>
        <v>1</v>
      </c>
      <c r="BG287" s="51" t="n">
        <f aca="false">IF(BC287&gt;0,J287/BC287,-1)</f>
        <v>0</v>
      </c>
      <c r="BH287" s="51" t="n">
        <f aca="false">IF(AND(OR(CF287="L1",CF287="L23",CF287="LIFT"),BC287&gt;0),SUMIFS($BC$7:$BC$1843,$CF$7:$CF$1843,CF287,$BG$7:$BG$1843,"&gt;"&amp;BG287)+SUMIFS($BC$7:$BC$1843,$CF$7:$CF$1843,CF287,$BG$7:$BG$1843,BG287,$BW$7:$BW$1843,"&lt;="&amp;BW287),"")</f>
        <v>27316.841916558</v>
      </c>
      <c r="BI287" s="58" t="n">
        <f aca="false">IF(BH287="",0,MAX(0,MIN(1,(IF(CF287="L1",Parameter!$H$5,IF(CF287="L23",Parameter!$H$6+Parameter!$H$7,Parameter!$H$5+Parameter!$H$6+Parameter!$H$7))-(BH287-BC287))/BC287)))</f>
        <v>1</v>
      </c>
      <c r="BJ287" s="48" t="str">
        <f aca="false">IF(AI287&lt;=0,"",IF(CF287="Aussen","Aussenlager",IF(CF287="-","Nicht im Lift",IF(AO287&gt;=1,"Lift",IF(AO287&lt;=0,"Aussenlager","teilweise")))))</f>
        <v>Lift</v>
      </c>
      <c r="BK287" s="48" t="str">
        <f aca="false">IF(AS287&lt;=0,"",IF(CF287="Aussen","Aussenlager",IF(CF287="-","Nicht im Lift",IF(AY287&gt;=1,"Lift",IF(AY287&lt;=0,"Aussenlager","teilweise")))))</f>
        <v>Lift</v>
      </c>
      <c r="BL287" s="48" t="str">
        <f aca="false">IF(BC287&lt;=0,"",IF(CF287="Aussen","Aussenlager",IF(CF287="-","Nicht im Lift",IF(BI287&gt;=1,"Lift",IF(BI287&lt;=0,"Aussenlager","teilweise")))))</f>
        <v>Lift</v>
      </c>
      <c r="BM287" s="48" t="str">
        <f aca="false">IF(A287="","",IF(BV287=1,"Neu; ","")&amp;IF(AND(BV287=0,BQ287&lt;0),"negativer Bestand (Export "&amp;BQ287&amp;"); ","")&amp;IF(J287&lt;=0,"Kein Verbrauch; ","")&amp;IF(CQ287&gt;0,"Lift "&amp;W287&amp;" lt. Liftbericht (Fach "&amp;X287&amp;" Stk); ",IF(CA287=1,"Gebinde geschätzt ("&amp;T287&amp;"); ",IF(BZ287=1,"Lose – Tablare geschätzt; ","")))&amp;IF(H287&gt;AV287,"Überbestand "&amp;ROUND(H287-AV287,0)&amp;" Stk / CHF "&amp;ROUND((H287-AV287)*G287,0)&amp;"; ","")&amp;IF(AND(CH287=1,CI287&lt;CJ287),"MAX &lt; MB+LG; ","")&amp;IF(AND(CP287&gt;0,CO287*10&gt;CP287),"zu hoch für Tablar; ","")&amp;IF(AND(BV287=0,OR(CH287=1,AA287&lt;&gt;"",U287&lt;&gt;"",V287&lt;&gt;"",AB287&lt;&gt;"")),"manuell übersteuert; ","")&amp;IF(AND(BZ287=0,R287=0),"Gebinde unbekannt / Stellmass fehlt; ","")&amp;IF(AND(BZ287=0,N(V287)&lt;=0,N(Q287)&lt;=0),"Menge pro Gebinde fehlt (Ist = 1 Gebinde); ","")&amp;BU287)</f>
        <v>Kein Verbrauch; Überbestand 10 Stk / CHF 810; </v>
      </c>
      <c r="BN287" s="48"/>
      <c r="BO287" s="48"/>
      <c r="BP287" s="55"/>
      <c r="BQ287" s="50" t="n">
        <v>4</v>
      </c>
      <c r="BR287" s="50" t="n">
        <v>7</v>
      </c>
      <c r="BS287" s="49" t="n">
        <v>324</v>
      </c>
      <c r="BT287" s="50" t="n">
        <v>0</v>
      </c>
      <c r="BU287" s="48"/>
      <c r="BV287" s="53" t="n">
        <v>0</v>
      </c>
      <c r="BW287" s="53" t="n">
        <v>287</v>
      </c>
      <c r="BX287" s="48" t="str">
        <f aca="false">IF(U287&lt;&gt;"",UPPER(TRIM(U287)),IF(CA287=1,UPPER(VLOOKUP(T287,Parameter!$I$27:$K$29,2,0)),IF(P287="","LOSE",P287)))</f>
        <v>S41</v>
      </c>
      <c r="BY287" s="50" t="n">
        <f aca="false">IF(BX287="LOSE",1,IF(N(V287)&gt;0,V287,IF(CA287=1,MAX(1,N(VLOOKUP(T287,Parameter!$I$27:$K$29,3,0)),H287,N(N287)),IF(N(Q287)&gt;0,Q287,MAX(1,H287)))))</f>
        <v>6</v>
      </c>
      <c r="BZ287" s="53" t="n">
        <f aca="false">IF(BX287="LOSE",1,0)</f>
        <v>0</v>
      </c>
      <c r="CA287" s="53" t="n">
        <f aca="false">IF(AND(U287="",OR(P287="",P287="LOSE"),T287&lt;&gt;"",N(S287)&lt;=0,ISNUMBER(MATCH(T287,Parameter!$I$27:$I$29,0))),1,0)</f>
        <v>0</v>
      </c>
      <c r="CB287" s="53" t="n">
        <f aca="false">IF(CQ287&gt;0,INDEX(Parameter!$H$5:$H$7,W287)/INDEX(Parameter!$E$5:$E$7,W287),IF(AND(BZ287=0,N(IFERROR(VLOOKUP(BX287,'Gebinde-Kategorie'!$A$5:$N$45,14,0),0))&gt;0),VLOOKUP(BX287,'Gebinde-Kategorie'!$A$5:$N$45,14,0)*10+Parameter!$M$23,Parameter!$M$24))</f>
        <v>155</v>
      </c>
      <c r="CC287" s="48" t="str">
        <f aca="false">IF(AND(Parameter!$B$19="Ja",E287&lt;&gt;"",ISNUMBER(MATCH(E287,Parameter!$I$35:$I$52,0))),VLOOKUP(E287,Parameter!$I$35:$J$52,2,0),IFERROR(VLOOKUP(D287,Parameter!$A$35:$C$64,2,0),"Nein"))</f>
        <v>2+3</v>
      </c>
      <c r="CD287" s="52" t="n">
        <f aca="false">IF(BZ287=0,0,IF(N(S287)&gt;0,S287,IFERROR(VLOOKUP(D287,Parameter!$A$35:$C$64,3,0)+0,0)))</f>
        <v>0</v>
      </c>
      <c r="CE287" s="48" t="n">
        <f aca="false">IF(AA287&lt;&gt;"",AA287,Z287)</f>
        <v>3</v>
      </c>
      <c r="CF287" s="48" t="str">
        <f aca="false">IF(OR(CE287=1,CE287=2,CE287=3),IF(Parameter!$E$27="Ja","LIFT",IF(CE287=1,"L1","L23")),IF(CE287="Aussen","Aussen","-"))</f>
        <v>LIFT</v>
      </c>
      <c r="CG287" s="59" t="n">
        <f aca="false">IF(N(AB287)&gt;0,AB287,0)</f>
        <v>0</v>
      </c>
      <c r="CH287" s="53" t="n">
        <f aca="false">IF(ISNUMBER(AE287),1,0)</f>
        <v>0</v>
      </c>
      <c r="CI287" s="50" t="n">
        <f aca="false">N(AE287)</f>
        <v>0</v>
      </c>
      <c r="CJ287" s="50" t="n">
        <f aca="false">N(M287)+N(N287)</f>
        <v>1</v>
      </c>
      <c r="CK287" s="50" t="n">
        <f aca="false">N(M287)</f>
        <v>0</v>
      </c>
      <c r="CL287" s="50" t="n">
        <f aca="false">N(N287)</f>
        <v>1</v>
      </c>
      <c r="CM287" s="50" t="n">
        <f aca="false">ROUNDUP(H287/BY287,0)</f>
        <v>2</v>
      </c>
      <c r="CN287" s="50" t="n">
        <f aca="false">ROUNDUP(CI287/BY287,0)</f>
        <v>0</v>
      </c>
      <c r="CO287" s="53" t="n">
        <f aca="false">IF(BZ287=1,0,IFERROR(VLOOKUP(BX287,'Gebinde-Kategorie'!$A$5:$N$45,5,0)+0,0))</f>
        <v>11</v>
      </c>
      <c r="CP287" s="53" t="n">
        <f aca="false">IFERROR(IF(OR(CE287=1,CE287=2,CE287=3),N(INDEX(Parameter!$I$5:$I$7,CE287)),0),0)</f>
        <v>0</v>
      </c>
      <c r="CQ287" s="52" t="n">
        <f aca="false">IF(AND(Parameter!$B$21="Ja",ISNUMBER(W287),N(X287)&gt;0),IFERROR(N(INDEX(Parameter!$L$5:$L$7,W287))*INDEX(Parameter!$E$5:$E$7,W287)*X287/SUMIFS($X$7:$X$1843,$W$7:$W$1843,W287),0),0)</f>
        <v>0</v>
      </c>
    </row>
    <row r="288" customFormat="false" ht="15" hidden="false" customHeight="false" outlineLevel="0" collapsed="false">
      <c r="A288" s="48" t="s">
        <v>757</v>
      </c>
      <c r="B288" s="48" t="s">
        <v>758</v>
      </c>
      <c r="C288" s="48" t="s">
        <v>173</v>
      </c>
      <c r="D288" s="48" t="s">
        <v>193</v>
      </c>
      <c r="E288" s="48"/>
      <c r="F288" s="48" t="s">
        <v>227</v>
      </c>
      <c r="G288" s="49" t="n">
        <v>152.26</v>
      </c>
      <c r="H288" s="50" t="n">
        <f aca="false">MAX(0,IF(AND(Parameter!$B$21="Ja",ISNUMBER(Y288)),Y288,IF(Parameter!$B$20="Jahresanfang 2025 + Export",BR288+BQ288,BQ288)))</f>
        <v>4</v>
      </c>
      <c r="I288" s="50" t="n">
        <f aca="false">H288*G288</f>
        <v>609.04</v>
      </c>
      <c r="J288" s="50" t="n">
        <f aca="false">BT288*Parameter!$B$18</f>
        <v>1</v>
      </c>
      <c r="K288" s="51" t="n">
        <v>3.5</v>
      </c>
      <c r="L288" s="52" t="n">
        <v>0.285714285714286</v>
      </c>
      <c r="M288" s="50" t="n">
        <v>0</v>
      </c>
      <c r="N288" s="50" t="n">
        <v>1</v>
      </c>
      <c r="O288" s="53" t="n">
        <v>28</v>
      </c>
      <c r="P288" s="48" t="s">
        <v>430</v>
      </c>
      <c r="Q288" s="50" t="n">
        <v>4</v>
      </c>
      <c r="R288" s="53" t="n">
        <f aca="false">IF(BZ288=1,0,IFERROR(VLOOKUP(BX288,'Gebinde-Kategorie'!$A$5:$N$45,13,0)+0,0))</f>
        <v>104</v>
      </c>
      <c r="S288" s="54"/>
      <c r="T288" s="55"/>
      <c r="U288" s="55"/>
      <c r="V288" s="55"/>
      <c r="W288" s="48"/>
      <c r="X288" s="50"/>
      <c r="Y288" s="50"/>
      <c r="Z288" s="48" t="n">
        <f aca="false">IF(A288="","",IF(AND(Parameter!$B$21="Ja",ISNUMBER(W288)),W288,IF(CC288="2+3",IF(ISNUMBER(SEARCH("grosser Artikel",BU288)),2,IFERROR(VLOOKUP(BX288,Parameter!$F$35:$G$64,2,0),2)),IF(OR(CC288="Nein",CC288=""),"-",CC288))))</f>
        <v>3</v>
      </c>
      <c r="AA288" s="55"/>
      <c r="AB288" s="56"/>
      <c r="AC288" s="50" t="n">
        <f aca="false">AV288</f>
        <v>1</v>
      </c>
      <c r="AD288" s="50" t="n">
        <f aca="false">MAX(AV288,H288)</f>
        <v>4</v>
      </c>
      <c r="AE288" s="57"/>
      <c r="AF288" s="50" t="n">
        <f aca="false">IF(LEFT(Cockpit!$C$5,1)="A",H288,IF(Parameter!$E$30="MAX-Bestand",IF(CH288=1,CI288,IF(LEFT(Cockpit!$C$5,1)="B",AL288,MAX(AL288,H288))),ROUNDUP(AJ288,0)))</f>
        <v>4</v>
      </c>
      <c r="AG288" s="50" t="n">
        <f aca="false">IF(BZ288=1,0,ROUNDUP(AF288/BY288,0))</f>
        <v>1</v>
      </c>
      <c r="AH288" s="52" t="n">
        <f aca="false">IF(CQ288&gt;0,CQ288*MAX(1,AF288/X288),IF(BZ288=1,IF(AF288&lt;=0,0,CD288*MAX(1,IF(H288&gt;0,AF288/H288,1))),IF(R288&gt;0,AG288/R288,0))/MAX(0.1,N(Parameter!$M$21)))</f>
        <v>0.00961538461538462</v>
      </c>
      <c r="AI288" s="50" t="n">
        <f aca="false">AH288*CB288</f>
        <v>1.49038461538462</v>
      </c>
      <c r="AJ288" s="51" t="n">
        <f aca="false">IF(LEFT(Cockpit!$C$5,1)="A",H288,IF(CH288=1,(CK288+CI288)/2,IF(LEFT(Cockpit!$C$5,1)="B",(CK288+AL288)/2,MAX((CK288+AL288)/2,H288))))</f>
        <v>4</v>
      </c>
      <c r="AK288" s="50" t="n">
        <f aca="false">AJ288*G288</f>
        <v>609.04</v>
      </c>
      <c r="AL288" s="50" t="n">
        <f aca="false">ROUNDUP(CK288+MAX(CL288,2*(J288/IF(CG288&gt;0,CG288,MAX(0.1,N(Cockpit!$C$6)))-CK288)),0)</f>
        <v>1</v>
      </c>
      <c r="AM288" s="51" t="n">
        <f aca="false">IF(AI288&gt;0,J288/AI288,-1)</f>
        <v>0.670967741935484</v>
      </c>
      <c r="AN288" s="51" t="n">
        <f aca="false">IF(AND(OR(CF288="L1",CF288="L23",CF288="LIFT"),AI288&gt;0),SUMIFS($AI$7:$AI$1843,$CF$7:$CF$1843,CF288,$AM$7:$AM$1843,"&gt;"&amp;AM288)+SUMIFS($AI$7:$AI$1843,$CF$7:$CF$1843,CF288,$AM$7:$AM$1843,AM288,$BW$7:$BW$1843,"&lt;="&amp;BW288),"")</f>
        <v>8602.69871794872</v>
      </c>
      <c r="AO288" s="58" t="n">
        <f aca="false">IF(AN288="",0,MAX(0,MIN(1,(IF(CF288="L1",Parameter!$H$5,IF(CF288="L23",Parameter!$H$6+Parameter!$H$7,Parameter!$H$5+Parameter!$H$6+Parameter!$H$7))-(AN288-AI288))/AI288)))</f>
        <v>1</v>
      </c>
      <c r="AP288" s="50" t="n">
        <f aca="false">IF(LEFT(Cockpit!$I$5,1)="A",H288,IF(Parameter!$E$30="MAX-Bestand",IF(CH288=1,CI288,IF(LEFT(Cockpit!$I$5,1)="B",AV288,MAX(AV288,H288))),ROUNDUP(AT288,0)))</f>
        <v>4</v>
      </c>
      <c r="AQ288" s="50" t="n">
        <f aca="false">IF(BZ288=1,0,ROUNDUP(AP288/BY288,0))</f>
        <v>1</v>
      </c>
      <c r="AR288" s="52" t="n">
        <f aca="false">IF(CQ288&gt;0,CQ288*MAX(1,AP288/X288),IF(BZ288=1,IF(AP288&lt;=0,0,CD288*MAX(1,IF(H288&gt;0,AP288/H288,1))),IF(R288&gt;0,AQ288/R288,0))/MAX(0.1,N(Parameter!$M$21)))</f>
        <v>0.00961538461538462</v>
      </c>
      <c r="AS288" s="50" t="n">
        <f aca="false">AR288*CB288</f>
        <v>1.49038461538462</v>
      </c>
      <c r="AT288" s="51" t="n">
        <f aca="false">IF(LEFT(Cockpit!$I$5,1)="A",H288,IF(CH288=1,(CK288+CI288)/2,IF(LEFT(Cockpit!$I$5,1)="B",(CK288+AV288)/2,MAX((CK288+AV288)/2,H288))))</f>
        <v>4</v>
      </c>
      <c r="AU288" s="50" t="n">
        <f aca="false">AT288*G288</f>
        <v>609.04</v>
      </c>
      <c r="AV288" s="50" t="n">
        <f aca="false">ROUNDUP(CK288+MAX(CL288,2*(J288/IF(CG288&gt;0,CG288,MAX(0.1,N(Cockpit!$I$6)))-CK288)),0)</f>
        <v>1</v>
      </c>
      <c r="AW288" s="51" t="n">
        <f aca="false">IF(AS288&gt;0,J288/AS288,-1)</f>
        <v>0.670967741935484</v>
      </c>
      <c r="AX288" s="51" t="n">
        <f aca="false">IF(AND(OR(CF288="L1",CF288="L23",CF288="LIFT"),AS288&gt;0),SUMIFS($AS$7:$AS$1843,$CF$7:$CF$1843,CF288,$AW$7:$AW$1843,"&gt;"&amp;AW288)+SUMIFS($AS$7:$AS$1843,$CF$7:$CF$1843,CF288,$AW$7:$AW$1843,AW288,$BW$7:$BW$1843,"&lt;="&amp;BW288),"")</f>
        <v>10886.4336080586</v>
      </c>
      <c r="AY288" s="58" t="n">
        <f aca="false">IF(AX288="",0,MAX(0,MIN(1,(IF(CF288="L1",Parameter!$H$5,IF(CF288="L23",Parameter!$H$6+Parameter!$H$7,Parameter!$H$5+Parameter!$H$6+Parameter!$H$7))-(AX288-AS288))/AS288)))</f>
        <v>1</v>
      </c>
      <c r="AZ288" s="50" t="n">
        <f aca="false">IF(LEFT(Cockpit!$O$5,1)="A",H288,IF(Parameter!$E$30="MAX-Bestand",IF(CH288=1,CI288,IF(LEFT(Cockpit!$O$5,1)="B",BF288,MAX(BF288,H288))),ROUNDUP(BD288,0)))</f>
        <v>1</v>
      </c>
      <c r="BA288" s="50" t="n">
        <f aca="false">IF(BZ288=1,0,ROUNDUP(AZ288/BY288,0))</f>
        <v>1</v>
      </c>
      <c r="BB288" s="52" t="n">
        <f aca="false">IF(CQ288&gt;0,CQ288*MAX(1,AZ288/X288),IF(BZ288=1,IF(AZ288&lt;=0,0,CD288*MAX(1,IF(H288&gt;0,AZ288/H288,1))),IF(R288&gt;0,BA288/R288,0))/MAX(0.1,N(Parameter!$M$21)))</f>
        <v>0.00961538461538462</v>
      </c>
      <c r="BC288" s="50" t="n">
        <f aca="false">BB288*CB288</f>
        <v>1.49038461538462</v>
      </c>
      <c r="BD288" s="51" t="n">
        <f aca="false">IF(LEFT(Cockpit!$O$5,1)="A",H288,IF(CH288=1,(CK288+CI288)/2,IF(LEFT(Cockpit!$O$5,1)="B",(CK288+BF288)/2,MAX((CK288+BF288)/2,H288))))</f>
        <v>0.5</v>
      </c>
      <c r="BE288" s="50" t="n">
        <f aca="false">BD288*G288</f>
        <v>76.13</v>
      </c>
      <c r="BF288" s="50" t="n">
        <f aca="false">ROUNDUP(CK288+MAX(CL288,2*(J288/IF(CG288&gt;0,CG288,MAX(0.1,N(Cockpit!$O$6)))-CK288)),0)</f>
        <v>1</v>
      </c>
      <c r="BG288" s="51" t="n">
        <f aca="false">IF(BC288&gt;0,J288/BC288,-1)</f>
        <v>0.670967741935484</v>
      </c>
      <c r="BH288" s="51" t="n">
        <f aca="false">IF(AND(OR(CF288="L1",CF288="L23",CF288="LIFT"),BC288&gt;0),SUMIFS($BC$7:$BC$1843,$CF$7:$CF$1843,CF288,$BG$7:$BG$1843,"&gt;"&amp;BG288)+SUMIFS($BC$7:$BC$1843,$CF$7:$CF$1843,CF288,$BG$7:$BG$1843,BG288,$BW$7:$BW$1843,"&lt;="&amp;BW288),"")</f>
        <v>9490.10622710623</v>
      </c>
      <c r="BI288" s="58" t="n">
        <f aca="false">IF(BH288="",0,MAX(0,MIN(1,(IF(CF288="L1",Parameter!$H$5,IF(CF288="L23",Parameter!$H$6+Parameter!$H$7,Parameter!$H$5+Parameter!$H$6+Parameter!$H$7))-(BH288-BC288))/BC288)))</f>
        <v>1</v>
      </c>
      <c r="BJ288" s="48" t="str">
        <f aca="false">IF(AI288&lt;=0,"",IF(CF288="Aussen","Aussenlager",IF(CF288="-","Nicht im Lift",IF(AO288&gt;=1,"Lift",IF(AO288&lt;=0,"Aussenlager","teilweise")))))</f>
        <v>Lift</v>
      </c>
      <c r="BK288" s="48" t="str">
        <f aca="false">IF(AS288&lt;=0,"",IF(CF288="Aussen","Aussenlager",IF(CF288="-","Nicht im Lift",IF(AY288&gt;=1,"Lift",IF(AY288&lt;=0,"Aussenlager","teilweise")))))</f>
        <v>Lift</v>
      </c>
      <c r="BL288" s="48" t="str">
        <f aca="false">IF(BC288&lt;=0,"",IF(CF288="Aussen","Aussenlager",IF(CF288="-","Nicht im Lift",IF(BI288&gt;=1,"Lift",IF(BI288&lt;=0,"Aussenlager","teilweise")))))</f>
        <v>Lift</v>
      </c>
      <c r="BM288" s="48" t="str">
        <f aca="false">IF(A288="","",IF(BV288=1,"Neu; ","")&amp;IF(AND(BV288=0,BQ288&lt;0),"negativer Bestand (Export "&amp;BQ288&amp;"); ","")&amp;IF(J288&lt;=0,"Kein Verbrauch; ","")&amp;IF(CQ288&gt;0,"Lift "&amp;W288&amp;" lt. Liftbericht (Fach "&amp;X288&amp;" Stk); ",IF(CA288=1,"Gebinde geschätzt ("&amp;T288&amp;"); ",IF(BZ288=1,"Lose – Tablare geschätzt; ","")))&amp;IF(H288&gt;AV288,"Überbestand "&amp;ROUND(H288-AV288,0)&amp;" Stk / CHF "&amp;ROUND((H288-AV288)*G288,0)&amp;"; ","")&amp;IF(AND(CH288=1,CI288&lt;CJ288),"MAX &lt; MB+LG; ","")&amp;IF(AND(CP288&gt;0,CO288*10&gt;CP288),"zu hoch für Tablar; ","")&amp;IF(AND(BV288=0,OR(CH288=1,AA288&lt;&gt;"",U288&lt;&gt;"",V288&lt;&gt;"",AB288&lt;&gt;"")),"manuell übersteuert; ","")&amp;IF(AND(BZ288=0,R288=0),"Gebinde unbekannt / Stellmass fehlt; ","")&amp;IF(AND(BZ288=0,N(V288)&lt;=0,N(Q288)&lt;=0),"Menge pro Gebinde fehlt (Ist = 1 Gebinde); ","")&amp;BU288)</f>
        <v>Überbestand 3 Stk / CHF 457; </v>
      </c>
      <c r="BN288" s="48"/>
      <c r="BO288" s="48"/>
      <c r="BP288" s="55"/>
      <c r="BQ288" s="50" t="n">
        <v>2</v>
      </c>
      <c r="BR288" s="50" t="n">
        <v>2</v>
      </c>
      <c r="BS288" s="49" t="n">
        <v>322.92</v>
      </c>
      <c r="BT288" s="50" t="n">
        <v>1</v>
      </c>
      <c r="BU288" s="48"/>
      <c r="BV288" s="53" t="n">
        <v>0</v>
      </c>
      <c r="BW288" s="53" t="n">
        <v>288</v>
      </c>
      <c r="BX288" s="48" t="str">
        <f aca="false">IF(U288&lt;&gt;"",UPPER(TRIM(U288)),IF(CA288=1,UPPER(VLOOKUP(T288,Parameter!$I$27:$K$29,2,0)),IF(P288="","LOSE",P288)))</f>
        <v>S32</v>
      </c>
      <c r="BY288" s="50" t="n">
        <f aca="false">IF(BX288="LOSE",1,IF(N(V288)&gt;0,V288,IF(CA288=1,MAX(1,N(VLOOKUP(T288,Parameter!$I$27:$K$29,3,0)),H288,N(N288)),IF(N(Q288)&gt;0,Q288,MAX(1,H288)))))</f>
        <v>4</v>
      </c>
      <c r="BZ288" s="53" t="n">
        <f aca="false">IF(BX288="LOSE",1,0)</f>
        <v>0</v>
      </c>
      <c r="CA288" s="53" t="n">
        <f aca="false">IF(AND(U288="",OR(P288="",P288="LOSE"),T288&lt;&gt;"",N(S288)&lt;=0,ISNUMBER(MATCH(T288,Parameter!$I$27:$I$29,0))),1,0)</f>
        <v>0</v>
      </c>
      <c r="CB288" s="53" t="n">
        <f aca="false">IF(CQ288&gt;0,INDEX(Parameter!$H$5:$H$7,W288)/INDEX(Parameter!$E$5:$E$7,W288),IF(AND(BZ288=0,N(IFERROR(VLOOKUP(BX288,'Gebinde-Kategorie'!$A$5:$N$45,14,0),0))&gt;0),VLOOKUP(BX288,'Gebinde-Kategorie'!$A$5:$N$45,14,0)*10+Parameter!$M$23,Parameter!$M$24))</f>
        <v>155</v>
      </c>
      <c r="CC288" s="48" t="str">
        <f aca="false">IF(AND(Parameter!$B$19="Ja",E288&lt;&gt;"",ISNUMBER(MATCH(E288,Parameter!$I$35:$I$52,0))),VLOOKUP(E288,Parameter!$I$35:$J$52,2,0),IFERROR(VLOOKUP(D288,Parameter!$A$35:$C$64,2,0),"Nein"))</f>
        <v>2+3</v>
      </c>
      <c r="CD288" s="52" t="n">
        <f aca="false">IF(BZ288=0,0,IF(N(S288)&gt;0,S288,IFERROR(VLOOKUP(D288,Parameter!$A$35:$C$64,3,0)+0,0)))</f>
        <v>0</v>
      </c>
      <c r="CE288" s="48" t="n">
        <f aca="false">IF(AA288&lt;&gt;"",AA288,Z288)</f>
        <v>3</v>
      </c>
      <c r="CF288" s="48" t="str">
        <f aca="false">IF(OR(CE288=1,CE288=2,CE288=3),IF(Parameter!$E$27="Ja","LIFT",IF(CE288=1,"L1","L23")),IF(CE288="Aussen","Aussen","-"))</f>
        <v>LIFT</v>
      </c>
      <c r="CG288" s="59" t="n">
        <f aca="false">IF(N(AB288)&gt;0,AB288,0)</f>
        <v>0</v>
      </c>
      <c r="CH288" s="53" t="n">
        <f aca="false">IF(ISNUMBER(AE288),1,0)</f>
        <v>0</v>
      </c>
      <c r="CI288" s="50" t="n">
        <f aca="false">N(AE288)</f>
        <v>0</v>
      </c>
      <c r="CJ288" s="50" t="n">
        <f aca="false">N(M288)+N(N288)</f>
        <v>1</v>
      </c>
      <c r="CK288" s="50" t="n">
        <f aca="false">N(M288)</f>
        <v>0</v>
      </c>
      <c r="CL288" s="50" t="n">
        <f aca="false">N(N288)</f>
        <v>1</v>
      </c>
      <c r="CM288" s="50" t="n">
        <f aca="false">ROUNDUP(H288/BY288,0)</f>
        <v>1</v>
      </c>
      <c r="CN288" s="50" t="n">
        <f aca="false">ROUNDUP(CI288/BY288,0)</f>
        <v>0</v>
      </c>
      <c r="CO288" s="53" t="n">
        <f aca="false">IF(BZ288=1,0,IFERROR(VLOOKUP(BX288,'Gebinde-Kategorie'!$A$5:$N$45,5,0)+0,0))</f>
        <v>8</v>
      </c>
      <c r="CP288" s="53" t="n">
        <f aca="false">IFERROR(IF(OR(CE288=1,CE288=2,CE288=3),N(INDEX(Parameter!$I$5:$I$7,CE288)),0),0)</f>
        <v>0</v>
      </c>
      <c r="CQ288" s="52" t="n">
        <f aca="false">IF(AND(Parameter!$B$21="Ja",ISNUMBER(W288),N(X288)&gt;0),IFERROR(N(INDEX(Parameter!$L$5:$L$7,W288))*INDEX(Parameter!$E$5:$E$7,W288)*X288/SUMIFS($X$7:$X$1843,$W$7:$W$1843,W288),0),0)</f>
        <v>0</v>
      </c>
    </row>
    <row r="289" customFormat="false" ht="15" hidden="false" customHeight="false" outlineLevel="0" collapsed="false">
      <c r="A289" s="48" t="s">
        <v>759</v>
      </c>
      <c r="B289" s="48" t="s">
        <v>760</v>
      </c>
      <c r="C289" s="48" t="s">
        <v>173</v>
      </c>
      <c r="D289" s="48" t="s">
        <v>193</v>
      </c>
      <c r="E289" s="48" t="s">
        <v>194</v>
      </c>
      <c r="F289" s="48" t="s">
        <v>227</v>
      </c>
      <c r="G289" s="49" t="n">
        <v>11.14</v>
      </c>
      <c r="H289" s="50" t="n">
        <f aca="false">MAX(0,IF(AND(Parameter!$B$21="Ja",ISNUMBER(Y289)),Y289,IF(Parameter!$B$20="Jahresanfang 2025 + Export",BR289+BQ289,BQ289)))</f>
        <v>34</v>
      </c>
      <c r="I289" s="50" t="n">
        <f aca="false">H289*G289</f>
        <v>378.76</v>
      </c>
      <c r="J289" s="50" t="n">
        <f aca="false">BT289*Parameter!$B$18</f>
        <v>5</v>
      </c>
      <c r="K289" s="51" t="n">
        <v>5</v>
      </c>
      <c r="L289" s="52" t="n">
        <v>1</v>
      </c>
      <c r="M289" s="50" t="n">
        <v>0</v>
      </c>
      <c r="N289" s="50" t="n">
        <v>5</v>
      </c>
      <c r="O289" s="53" t="n">
        <v>14</v>
      </c>
      <c r="P289" s="48" t="s">
        <v>430</v>
      </c>
      <c r="Q289" s="50" t="n">
        <v>11</v>
      </c>
      <c r="R289" s="53" t="n">
        <f aca="false">IF(BZ289=1,0,IFERROR(VLOOKUP(BX289,'Gebinde-Kategorie'!$A$5:$N$45,13,0)+0,0))</f>
        <v>104</v>
      </c>
      <c r="S289" s="54"/>
      <c r="T289" s="55"/>
      <c r="U289" s="55"/>
      <c r="V289" s="55"/>
      <c r="W289" s="48"/>
      <c r="X289" s="50"/>
      <c r="Y289" s="50"/>
      <c r="Z289" s="48" t="n">
        <f aca="false">IF(A289="","",IF(AND(Parameter!$B$21="Ja",ISNUMBER(W289)),W289,IF(CC289="2+3",IF(ISNUMBER(SEARCH("grosser Artikel",BU289)),2,IFERROR(VLOOKUP(BX289,Parameter!$F$35:$G$64,2,0),2)),IF(OR(CC289="Nein",CC289=""),"-",CC289))))</f>
        <v>3</v>
      </c>
      <c r="AA289" s="55"/>
      <c r="AB289" s="56"/>
      <c r="AC289" s="50" t="n">
        <f aca="false">AV289</f>
        <v>5</v>
      </c>
      <c r="AD289" s="50" t="n">
        <f aca="false">MAX(AV289,H289)</f>
        <v>34</v>
      </c>
      <c r="AE289" s="57"/>
      <c r="AF289" s="50" t="n">
        <f aca="false">IF(LEFT(Cockpit!$C$5,1)="A",H289,IF(Parameter!$E$30="MAX-Bestand",IF(CH289=1,CI289,IF(LEFT(Cockpit!$C$5,1)="B",AL289,MAX(AL289,H289))),ROUNDUP(AJ289,0)))</f>
        <v>34</v>
      </c>
      <c r="AG289" s="50" t="n">
        <f aca="false">IF(BZ289=1,0,ROUNDUP(AF289/BY289,0))</f>
        <v>4</v>
      </c>
      <c r="AH289" s="52" t="n">
        <f aca="false">IF(CQ289&gt;0,CQ289*MAX(1,AF289/X289),IF(BZ289=1,IF(AF289&lt;=0,0,CD289*MAX(1,IF(H289&gt;0,AF289/H289,1))),IF(R289&gt;0,AG289/R289,0))/MAX(0.1,N(Parameter!$M$21)))</f>
        <v>0.0384615384615385</v>
      </c>
      <c r="AI289" s="50" t="n">
        <f aca="false">AH289*CB289</f>
        <v>5.96153846153846</v>
      </c>
      <c r="AJ289" s="51" t="n">
        <f aca="false">IF(LEFT(Cockpit!$C$5,1)="A",H289,IF(CH289=1,(CK289+CI289)/2,IF(LEFT(Cockpit!$C$5,1)="B",(CK289+AL289)/2,MAX((CK289+AL289)/2,H289))))</f>
        <v>34</v>
      </c>
      <c r="AK289" s="50" t="n">
        <f aca="false">AJ289*G289</f>
        <v>378.76</v>
      </c>
      <c r="AL289" s="50" t="n">
        <f aca="false">ROUNDUP(CK289+MAX(CL289,2*(J289/IF(CG289&gt;0,CG289,MAX(0.1,N(Cockpit!$C$6)))-CK289)),0)</f>
        <v>5</v>
      </c>
      <c r="AM289" s="51" t="n">
        <f aca="false">IF(AI289&gt;0,J289/AI289,-1)</f>
        <v>0.838709677419355</v>
      </c>
      <c r="AN289" s="51" t="n">
        <f aca="false">IF(AND(OR(CF289="L1",CF289="L23",CF289="LIFT"),AI289&gt;0),SUMIFS($AI$7:$AI$1843,$CF$7:$CF$1843,CF289,$AM$7:$AM$1843,"&gt;"&amp;AM289)+SUMIFS($AI$7:$AI$1843,$CF$7:$CF$1843,CF289,$AM$7:$AM$1843,AM289,$BW$7:$BW$1843,"&lt;="&amp;BW289),"")</f>
        <v>7878.74038461538</v>
      </c>
      <c r="AO289" s="58" t="n">
        <f aca="false">IF(AN289="",0,MAX(0,MIN(1,(IF(CF289="L1",Parameter!$H$5,IF(CF289="L23",Parameter!$H$6+Parameter!$H$7,Parameter!$H$5+Parameter!$H$6+Parameter!$H$7))-(AN289-AI289))/AI289)))</f>
        <v>1</v>
      </c>
      <c r="AP289" s="50" t="n">
        <f aca="false">IF(LEFT(Cockpit!$I$5,1)="A",H289,IF(Parameter!$E$30="MAX-Bestand",IF(CH289=1,CI289,IF(LEFT(Cockpit!$I$5,1)="B",AV289,MAX(AV289,H289))),ROUNDUP(AT289,0)))</f>
        <v>34</v>
      </c>
      <c r="AQ289" s="50" t="n">
        <f aca="false">IF(BZ289=1,0,ROUNDUP(AP289/BY289,0))</f>
        <v>4</v>
      </c>
      <c r="AR289" s="52" t="n">
        <f aca="false">IF(CQ289&gt;0,CQ289*MAX(1,AP289/X289),IF(BZ289=1,IF(AP289&lt;=0,0,CD289*MAX(1,IF(H289&gt;0,AP289/H289,1))),IF(R289&gt;0,AQ289/R289,0))/MAX(0.1,N(Parameter!$M$21)))</f>
        <v>0.0384615384615385</v>
      </c>
      <c r="AS289" s="50" t="n">
        <f aca="false">AR289*CB289</f>
        <v>5.96153846153846</v>
      </c>
      <c r="AT289" s="51" t="n">
        <f aca="false">IF(LEFT(Cockpit!$I$5,1)="A",H289,IF(CH289=1,(CK289+CI289)/2,IF(LEFT(Cockpit!$I$5,1)="B",(CK289+AV289)/2,MAX((CK289+AV289)/2,H289))))</f>
        <v>34</v>
      </c>
      <c r="AU289" s="50" t="n">
        <f aca="false">AT289*G289</f>
        <v>378.76</v>
      </c>
      <c r="AV289" s="50" t="n">
        <f aca="false">ROUNDUP(CK289+MAX(CL289,2*(J289/IF(CG289&gt;0,CG289,MAX(0.1,N(Cockpit!$I$6)))-CK289)),0)</f>
        <v>5</v>
      </c>
      <c r="AW289" s="51" t="n">
        <f aca="false">IF(AS289&gt;0,J289/AS289,-1)</f>
        <v>0.838709677419355</v>
      </c>
      <c r="AX289" s="51" t="n">
        <f aca="false">IF(AND(OR(CF289="L1",CF289="L23",CF289="LIFT"),AS289&gt;0),SUMIFS($AS$7:$AS$1843,$CF$7:$CF$1843,CF289,$AW$7:$AW$1843,"&gt;"&amp;AW289)+SUMIFS($AS$7:$AS$1843,$CF$7:$CF$1843,CF289,$AW$7:$AW$1843,AW289,$BW$7:$BW$1843,"&lt;="&amp;BW289),"")</f>
        <v>9628.1804029304</v>
      </c>
      <c r="AY289" s="58" t="n">
        <f aca="false">IF(AX289="",0,MAX(0,MIN(1,(IF(CF289="L1",Parameter!$H$5,IF(CF289="L23",Parameter!$H$6+Parameter!$H$7,Parameter!$H$5+Parameter!$H$6+Parameter!$H$7))-(AX289-AS289))/AS289)))</f>
        <v>1</v>
      </c>
      <c r="AZ289" s="50" t="n">
        <f aca="false">IF(LEFT(Cockpit!$O$5,1)="A",H289,IF(Parameter!$E$30="MAX-Bestand",IF(CH289=1,CI289,IF(LEFT(Cockpit!$O$5,1)="B",BF289,MAX(BF289,H289))),ROUNDUP(BD289,0)))</f>
        <v>3</v>
      </c>
      <c r="BA289" s="50" t="n">
        <f aca="false">IF(BZ289=1,0,ROUNDUP(AZ289/BY289,0))</f>
        <v>1</v>
      </c>
      <c r="BB289" s="52" t="n">
        <f aca="false">IF(CQ289&gt;0,CQ289*MAX(1,AZ289/X289),IF(BZ289=1,IF(AZ289&lt;=0,0,CD289*MAX(1,IF(H289&gt;0,AZ289/H289,1))),IF(R289&gt;0,BA289/R289,0))/MAX(0.1,N(Parameter!$M$21)))</f>
        <v>0.00961538461538462</v>
      </c>
      <c r="BC289" s="50" t="n">
        <f aca="false">BB289*CB289</f>
        <v>1.49038461538462</v>
      </c>
      <c r="BD289" s="51" t="n">
        <f aca="false">IF(LEFT(Cockpit!$O$5,1)="A",H289,IF(CH289=1,(CK289+CI289)/2,IF(LEFT(Cockpit!$O$5,1)="B",(CK289+BF289)/2,MAX((CK289+BF289)/2,H289))))</f>
        <v>2.5</v>
      </c>
      <c r="BE289" s="50" t="n">
        <f aca="false">BD289*G289</f>
        <v>27.85</v>
      </c>
      <c r="BF289" s="50" t="n">
        <f aca="false">ROUNDUP(CK289+MAX(CL289,2*(J289/IF(CG289&gt;0,CG289,MAX(0.1,N(Cockpit!$O$6)))-CK289)),0)</f>
        <v>5</v>
      </c>
      <c r="BG289" s="51" t="n">
        <f aca="false">IF(BC289&gt;0,J289/BC289,-1)</f>
        <v>3.35483870967742</v>
      </c>
      <c r="BH289" s="51" t="n">
        <f aca="false">IF(AND(OR(CF289="L1",CF289="L23",CF289="LIFT"),BC289&gt;0),SUMIFS($BC$7:$BC$1843,$CF$7:$CF$1843,CF289,$BG$7:$BG$1843,"&gt;"&amp;BG289)+SUMIFS($BC$7:$BC$1843,$CF$7:$CF$1843,CF289,$BG$7:$BG$1843,BG289,$BW$7:$BW$1843,"&lt;="&amp;BW289),"")</f>
        <v>4565.36401098901</v>
      </c>
      <c r="BI289" s="58" t="n">
        <f aca="false">IF(BH289="",0,MAX(0,MIN(1,(IF(CF289="L1",Parameter!$H$5,IF(CF289="L23",Parameter!$H$6+Parameter!$H$7,Parameter!$H$5+Parameter!$H$6+Parameter!$H$7))-(BH289-BC289))/BC289)))</f>
        <v>1</v>
      </c>
      <c r="BJ289" s="48" t="str">
        <f aca="false">IF(AI289&lt;=0,"",IF(CF289="Aussen","Aussenlager",IF(CF289="-","Nicht im Lift",IF(AO289&gt;=1,"Lift",IF(AO289&lt;=0,"Aussenlager","teilweise")))))</f>
        <v>Lift</v>
      </c>
      <c r="BK289" s="48" t="str">
        <f aca="false">IF(AS289&lt;=0,"",IF(CF289="Aussen","Aussenlager",IF(CF289="-","Nicht im Lift",IF(AY289&gt;=1,"Lift",IF(AY289&lt;=0,"Aussenlager","teilweise")))))</f>
        <v>Lift</v>
      </c>
      <c r="BL289" s="48" t="str">
        <f aca="false">IF(BC289&lt;=0,"",IF(CF289="Aussen","Aussenlager",IF(CF289="-","Nicht im Lift",IF(BI289&gt;=1,"Lift",IF(BI289&lt;=0,"Aussenlager","teilweise")))))</f>
        <v>Lift</v>
      </c>
      <c r="BM289" s="48" t="str">
        <f aca="false">IF(A289="","",IF(BV289=1,"Neu; ","")&amp;IF(AND(BV289=0,BQ289&lt;0),"negativer Bestand (Export "&amp;BQ289&amp;"); ","")&amp;IF(J289&lt;=0,"Kein Verbrauch; ","")&amp;IF(CQ289&gt;0,"Lift "&amp;W289&amp;" lt. Liftbericht (Fach "&amp;X289&amp;" Stk); ",IF(CA289=1,"Gebinde geschätzt ("&amp;T289&amp;"); ",IF(BZ289=1,"Lose – Tablare geschätzt; ","")))&amp;IF(H289&gt;AV289,"Überbestand "&amp;ROUND(H289-AV289,0)&amp;" Stk / CHF "&amp;ROUND((H289-AV289)*G289,0)&amp;"; ","")&amp;IF(AND(CH289=1,CI289&lt;CJ289),"MAX &lt; MB+LG; ","")&amp;IF(AND(CP289&gt;0,CO289*10&gt;CP289),"zu hoch für Tablar; ","")&amp;IF(AND(BV289=0,OR(CH289=1,AA289&lt;&gt;"",U289&lt;&gt;"",V289&lt;&gt;"",AB289&lt;&gt;"")),"manuell übersteuert; ","")&amp;IF(AND(BZ289=0,R289=0),"Gebinde unbekannt / Stellmass fehlt; ","")&amp;IF(AND(BZ289=0,N(V289)&lt;=0,N(Q289)&lt;=0),"Menge pro Gebinde fehlt (Ist = 1 Gebinde); ","")&amp;BU289)</f>
        <v>Überbestand 29 Stk / CHF 323; </v>
      </c>
      <c r="BN289" s="48"/>
      <c r="BO289" s="48"/>
      <c r="BP289" s="55"/>
      <c r="BQ289" s="50" t="n">
        <v>29</v>
      </c>
      <c r="BR289" s="50" t="n">
        <v>5</v>
      </c>
      <c r="BS289" s="49" t="n">
        <v>310.91</v>
      </c>
      <c r="BT289" s="50" t="n">
        <v>5</v>
      </c>
      <c r="BU289" s="48"/>
      <c r="BV289" s="53" t="n">
        <v>0</v>
      </c>
      <c r="BW289" s="53" t="n">
        <v>289</v>
      </c>
      <c r="BX289" s="48" t="str">
        <f aca="false">IF(U289&lt;&gt;"",UPPER(TRIM(U289)),IF(CA289=1,UPPER(VLOOKUP(T289,Parameter!$I$27:$K$29,2,0)),IF(P289="","LOSE",P289)))</f>
        <v>S32</v>
      </c>
      <c r="BY289" s="50" t="n">
        <f aca="false">IF(BX289="LOSE",1,IF(N(V289)&gt;0,V289,IF(CA289=1,MAX(1,N(VLOOKUP(T289,Parameter!$I$27:$K$29,3,0)),H289,N(N289)),IF(N(Q289)&gt;0,Q289,MAX(1,H289)))))</f>
        <v>11</v>
      </c>
      <c r="BZ289" s="53" t="n">
        <f aca="false">IF(BX289="LOSE",1,0)</f>
        <v>0</v>
      </c>
      <c r="CA289" s="53" t="n">
        <f aca="false">IF(AND(U289="",OR(P289="",P289="LOSE"),T289&lt;&gt;"",N(S289)&lt;=0,ISNUMBER(MATCH(T289,Parameter!$I$27:$I$29,0))),1,0)</f>
        <v>0</v>
      </c>
      <c r="CB289" s="53" t="n">
        <f aca="false">IF(CQ289&gt;0,INDEX(Parameter!$H$5:$H$7,W289)/INDEX(Parameter!$E$5:$E$7,W289),IF(AND(BZ289=0,N(IFERROR(VLOOKUP(BX289,'Gebinde-Kategorie'!$A$5:$N$45,14,0),0))&gt;0),VLOOKUP(BX289,'Gebinde-Kategorie'!$A$5:$N$45,14,0)*10+Parameter!$M$23,Parameter!$M$24))</f>
        <v>155</v>
      </c>
      <c r="CC289" s="48" t="str">
        <f aca="false">IF(AND(Parameter!$B$19="Ja",E289&lt;&gt;"",ISNUMBER(MATCH(E289,Parameter!$I$35:$I$52,0))),VLOOKUP(E289,Parameter!$I$35:$J$52,2,0),IFERROR(VLOOKUP(D289,Parameter!$A$35:$C$64,2,0),"Nein"))</f>
        <v>2+3</v>
      </c>
      <c r="CD289" s="52" t="n">
        <f aca="false">IF(BZ289=0,0,IF(N(S289)&gt;0,S289,IFERROR(VLOOKUP(D289,Parameter!$A$35:$C$64,3,0)+0,0)))</f>
        <v>0</v>
      </c>
      <c r="CE289" s="48" t="n">
        <f aca="false">IF(AA289&lt;&gt;"",AA289,Z289)</f>
        <v>3</v>
      </c>
      <c r="CF289" s="48" t="str">
        <f aca="false">IF(OR(CE289=1,CE289=2,CE289=3),IF(Parameter!$E$27="Ja","LIFT",IF(CE289=1,"L1","L23")),IF(CE289="Aussen","Aussen","-"))</f>
        <v>LIFT</v>
      </c>
      <c r="CG289" s="59" t="n">
        <f aca="false">IF(N(AB289)&gt;0,AB289,0)</f>
        <v>0</v>
      </c>
      <c r="CH289" s="53" t="n">
        <f aca="false">IF(ISNUMBER(AE289),1,0)</f>
        <v>0</v>
      </c>
      <c r="CI289" s="50" t="n">
        <f aca="false">N(AE289)</f>
        <v>0</v>
      </c>
      <c r="CJ289" s="50" t="n">
        <f aca="false">N(M289)+N(N289)</f>
        <v>5</v>
      </c>
      <c r="CK289" s="50" t="n">
        <f aca="false">N(M289)</f>
        <v>0</v>
      </c>
      <c r="CL289" s="50" t="n">
        <f aca="false">N(N289)</f>
        <v>5</v>
      </c>
      <c r="CM289" s="50" t="n">
        <f aca="false">ROUNDUP(H289/BY289,0)</f>
        <v>4</v>
      </c>
      <c r="CN289" s="50" t="n">
        <f aca="false">ROUNDUP(CI289/BY289,0)</f>
        <v>0</v>
      </c>
      <c r="CO289" s="53" t="n">
        <f aca="false">IF(BZ289=1,0,IFERROR(VLOOKUP(BX289,'Gebinde-Kategorie'!$A$5:$N$45,5,0)+0,0))</f>
        <v>8</v>
      </c>
      <c r="CP289" s="53" t="n">
        <f aca="false">IFERROR(IF(OR(CE289=1,CE289=2,CE289=3),N(INDEX(Parameter!$I$5:$I$7,CE289)),0),0)</f>
        <v>0</v>
      </c>
      <c r="CQ289" s="52" t="n">
        <f aca="false">IF(AND(Parameter!$B$21="Ja",ISNUMBER(W289),N(X289)&gt;0),IFERROR(N(INDEX(Parameter!$L$5:$L$7,W289))*INDEX(Parameter!$E$5:$E$7,W289)*X289/SUMIFS($X$7:$X$1843,$W$7:$W$1843,W289),0),0)</f>
        <v>0</v>
      </c>
    </row>
    <row r="290" customFormat="false" ht="15" hidden="false" customHeight="false" outlineLevel="0" collapsed="false">
      <c r="A290" s="48" t="s">
        <v>761</v>
      </c>
      <c r="B290" s="48" t="s">
        <v>762</v>
      </c>
      <c r="C290" s="48" t="s">
        <v>173</v>
      </c>
      <c r="D290" s="48" t="s">
        <v>193</v>
      </c>
      <c r="E290" s="48" t="s">
        <v>194</v>
      </c>
      <c r="F290" s="48" t="s">
        <v>227</v>
      </c>
      <c r="G290" s="49" t="n">
        <v>4.03</v>
      </c>
      <c r="H290" s="50" t="n">
        <f aca="false">MAX(0,IF(AND(Parameter!$B$21="Ja",ISNUMBER(Y290)),Y290,IF(Parameter!$B$20="Jahresanfang 2025 + Export",BR290+BQ290,BQ290)))</f>
        <v>133</v>
      </c>
      <c r="I290" s="50" t="n">
        <f aca="false">H290*G290</f>
        <v>535.99</v>
      </c>
      <c r="J290" s="50" t="n">
        <f aca="false">BT290*Parameter!$B$18</f>
        <v>228</v>
      </c>
      <c r="K290" s="51" t="n">
        <v>92.5</v>
      </c>
      <c r="L290" s="52" t="n">
        <v>2.46486486486487</v>
      </c>
      <c r="M290" s="50" t="n">
        <v>17</v>
      </c>
      <c r="N290" s="50" t="n">
        <v>230</v>
      </c>
      <c r="O290" s="53" t="n">
        <v>28</v>
      </c>
      <c r="P290" s="48" t="s">
        <v>311</v>
      </c>
      <c r="Q290" s="50" t="n">
        <v>76</v>
      </c>
      <c r="R290" s="53" t="n">
        <f aca="false">IF(BZ290=1,0,IFERROR(VLOOKUP(BX290,'Gebinde-Kategorie'!$A$5:$N$45,13,0)+0,0))</f>
        <v>26</v>
      </c>
      <c r="S290" s="54"/>
      <c r="T290" s="55"/>
      <c r="U290" s="55"/>
      <c r="V290" s="55"/>
      <c r="W290" s="48"/>
      <c r="X290" s="50"/>
      <c r="Y290" s="50"/>
      <c r="Z290" s="48" t="n">
        <f aca="false">IF(A290="","",IF(AND(Parameter!$B$21="Ja",ISNUMBER(W290)),W290,IF(CC290="2+3",IF(ISNUMBER(SEARCH("grosser Artikel",BU290)),2,IFERROR(VLOOKUP(BX290,Parameter!$F$35:$G$64,2,0),2)),IF(OR(CC290="Nein",CC290=""),"-",CC290))))</f>
        <v>3</v>
      </c>
      <c r="AA290" s="55"/>
      <c r="AB290" s="56"/>
      <c r="AC290" s="50" t="n">
        <f aca="false">AV290</f>
        <v>247</v>
      </c>
      <c r="AD290" s="50" t="n">
        <f aca="false">MAX(AV290,H290)</f>
        <v>247</v>
      </c>
      <c r="AE290" s="57"/>
      <c r="AF290" s="50" t="n">
        <f aca="false">IF(LEFT(Cockpit!$C$5,1)="A",H290,IF(Parameter!$E$30="MAX-Bestand",IF(CH290=1,CI290,IF(LEFT(Cockpit!$C$5,1)="B",AL290,MAX(AL290,H290))),ROUNDUP(AJ290,0)))</f>
        <v>133</v>
      </c>
      <c r="AG290" s="50" t="n">
        <f aca="false">IF(BZ290=1,0,ROUNDUP(AF290/BY290,0))</f>
        <v>2</v>
      </c>
      <c r="AH290" s="52" t="n">
        <f aca="false">IF(CQ290&gt;0,CQ290*MAX(1,AF290/X290),IF(BZ290=1,IF(AF290&lt;=0,0,CD290*MAX(1,IF(H290&gt;0,AF290/H290,1))),IF(R290&gt;0,AG290/R290,0))/MAX(0.1,N(Parameter!$M$21)))</f>
        <v>0.0769230769230769</v>
      </c>
      <c r="AI290" s="50" t="n">
        <f aca="false">AH290*CB290</f>
        <v>11.9230769230769</v>
      </c>
      <c r="AJ290" s="51" t="n">
        <f aca="false">IF(LEFT(Cockpit!$C$5,1)="A",H290,IF(CH290=1,(CK290+CI290)/2,IF(LEFT(Cockpit!$C$5,1)="B",(CK290+AL290)/2,MAX((CK290+AL290)/2,H290))))</f>
        <v>133</v>
      </c>
      <c r="AK290" s="50" t="n">
        <f aca="false">AJ290*G290</f>
        <v>535.99</v>
      </c>
      <c r="AL290" s="50" t="n">
        <f aca="false">ROUNDUP(CK290+MAX(CL290,2*(J290/IF(CG290&gt;0,CG290,MAX(0.1,N(Cockpit!$C$6)))-CK290)),0)</f>
        <v>247</v>
      </c>
      <c r="AM290" s="51" t="n">
        <f aca="false">IF(AI290&gt;0,J290/AI290,-1)</f>
        <v>19.1225806451613</v>
      </c>
      <c r="AN290" s="51" t="n">
        <f aca="false">IF(AND(OR(CF290="L1",CF290="L23",CF290="LIFT"),AI290&gt;0),SUMIFS($AI$7:$AI$1843,$CF$7:$CF$1843,CF290,$AM$7:$AM$1843,"&gt;"&amp;AM290)+SUMIFS($AI$7:$AI$1843,$CF$7:$CF$1843,CF290,$AM$7:$AM$1843,AM290,$BW$7:$BW$1843,"&lt;="&amp;BW290),"")</f>
        <v>1736.97435897436</v>
      </c>
      <c r="AO290" s="58" t="n">
        <f aca="false">IF(AN290="",0,MAX(0,MIN(1,(IF(CF290="L1",Parameter!$H$5,IF(CF290="L23",Parameter!$H$6+Parameter!$H$7,Parameter!$H$5+Parameter!$H$6+Parameter!$H$7))-(AN290-AI290))/AI290)))</f>
        <v>1</v>
      </c>
      <c r="AP290" s="50" t="n">
        <f aca="false">IF(LEFT(Cockpit!$I$5,1)="A",H290,IF(Parameter!$E$30="MAX-Bestand",IF(CH290=1,CI290,IF(LEFT(Cockpit!$I$5,1)="B",AV290,MAX(AV290,H290))),ROUNDUP(AT290,0)))</f>
        <v>133</v>
      </c>
      <c r="AQ290" s="50" t="n">
        <f aca="false">IF(BZ290=1,0,ROUNDUP(AP290/BY290,0))</f>
        <v>2</v>
      </c>
      <c r="AR290" s="52" t="n">
        <f aca="false">IF(CQ290&gt;0,CQ290*MAX(1,AP290/X290),IF(BZ290=1,IF(AP290&lt;=0,0,CD290*MAX(1,IF(H290&gt;0,AP290/H290,1))),IF(R290&gt;0,AQ290/R290,0))/MAX(0.1,N(Parameter!$M$21)))</f>
        <v>0.0769230769230769</v>
      </c>
      <c r="AS290" s="50" t="n">
        <f aca="false">AR290*CB290</f>
        <v>11.9230769230769</v>
      </c>
      <c r="AT290" s="51" t="n">
        <f aca="false">IF(LEFT(Cockpit!$I$5,1)="A",H290,IF(CH290=1,(CK290+CI290)/2,IF(LEFT(Cockpit!$I$5,1)="B",(CK290+AV290)/2,MAX((CK290+AV290)/2,H290))))</f>
        <v>133</v>
      </c>
      <c r="AU290" s="50" t="n">
        <f aca="false">AT290*G290</f>
        <v>535.99</v>
      </c>
      <c r="AV290" s="50" t="n">
        <f aca="false">ROUNDUP(CK290+MAX(CL290,2*(J290/IF(CG290&gt;0,CG290,MAX(0.1,N(Cockpit!$I$6)))-CK290)),0)</f>
        <v>247</v>
      </c>
      <c r="AW290" s="51" t="n">
        <f aca="false">IF(AS290&gt;0,J290/AS290,-1)</f>
        <v>19.1225806451613</v>
      </c>
      <c r="AX290" s="51" t="n">
        <f aca="false">IF(AND(OR(CF290="L1",CF290="L23",CF290="LIFT"),AS290&gt;0),SUMIFS($AS$7:$AS$1843,$CF$7:$CF$1843,CF290,$AW$7:$AW$1843,"&gt;"&amp;AW290)+SUMIFS($AS$7:$AS$1843,$CF$7:$CF$1843,CF290,$AW$7:$AW$1843,AW290,$BW$7:$BW$1843,"&lt;="&amp;BW290),"")</f>
        <v>2374.09523809524</v>
      </c>
      <c r="AY290" s="58" t="n">
        <f aca="false">IF(AX290="",0,MAX(0,MIN(1,(IF(CF290="L1",Parameter!$H$5,IF(CF290="L23",Parameter!$H$6+Parameter!$H$7,Parameter!$H$5+Parameter!$H$6+Parameter!$H$7))-(AX290-AS290))/AS290)))</f>
        <v>1</v>
      </c>
      <c r="AZ290" s="50" t="n">
        <f aca="false">IF(LEFT(Cockpit!$O$5,1)="A",H290,IF(Parameter!$E$30="MAX-Bestand",IF(CH290=1,CI290,IF(LEFT(Cockpit!$O$5,1)="B",BF290,MAX(BF290,H290))),ROUNDUP(BD290,0)))</f>
        <v>132</v>
      </c>
      <c r="BA290" s="50" t="n">
        <f aca="false">IF(BZ290=1,0,ROUNDUP(AZ290/BY290,0))</f>
        <v>2</v>
      </c>
      <c r="BB290" s="52" t="n">
        <f aca="false">IF(CQ290&gt;0,CQ290*MAX(1,AZ290/X290),IF(BZ290=1,IF(AZ290&lt;=0,0,CD290*MAX(1,IF(H290&gt;0,AZ290/H290,1))),IF(R290&gt;0,BA290/R290,0))/MAX(0.1,N(Parameter!$M$21)))</f>
        <v>0.0769230769230769</v>
      </c>
      <c r="BC290" s="50" t="n">
        <f aca="false">BB290*CB290</f>
        <v>11.9230769230769</v>
      </c>
      <c r="BD290" s="51" t="n">
        <f aca="false">IF(LEFT(Cockpit!$O$5,1)="A",H290,IF(CH290=1,(CK290+CI290)/2,IF(LEFT(Cockpit!$O$5,1)="B",(CK290+BF290)/2,MAX((CK290+BF290)/2,H290))))</f>
        <v>132</v>
      </c>
      <c r="BE290" s="50" t="n">
        <f aca="false">BD290*G290</f>
        <v>531.96</v>
      </c>
      <c r="BF290" s="50" t="n">
        <f aca="false">ROUNDUP(CK290+MAX(CL290,2*(J290/IF(CG290&gt;0,CG290,MAX(0.1,N(Cockpit!$O$6)))-CK290)),0)</f>
        <v>247</v>
      </c>
      <c r="BG290" s="51" t="n">
        <f aca="false">IF(BC290&gt;0,J290/BC290,-1)</f>
        <v>19.1225806451613</v>
      </c>
      <c r="BH290" s="51" t="n">
        <f aca="false">IF(AND(OR(CF290="L1",CF290="L23",CF290="LIFT"),BC290&gt;0),SUMIFS($BC$7:$BC$1843,$CF$7:$CF$1843,CF290,$BG$7:$BG$1843,"&gt;"&amp;BG290)+SUMIFS($BC$7:$BC$1843,$CF$7:$CF$1843,CF290,$BG$7:$BG$1843,BG290,$BW$7:$BW$1843,"&lt;="&amp;BW290),"")</f>
        <v>2263.01236263736</v>
      </c>
      <c r="BI290" s="58" t="n">
        <f aca="false">IF(BH290="",0,MAX(0,MIN(1,(IF(CF290="L1",Parameter!$H$5,IF(CF290="L23",Parameter!$H$6+Parameter!$H$7,Parameter!$H$5+Parameter!$H$6+Parameter!$H$7))-(BH290-BC290))/BC290)))</f>
        <v>1</v>
      </c>
      <c r="BJ290" s="48" t="str">
        <f aca="false">IF(AI290&lt;=0,"",IF(CF290="Aussen","Aussenlager",IF(CF290="-","Nicht im Lift",IF(AO290&gt;=1,"Lift",IF(AO290&lt;=0,"Aussenlager","teilweise")))))</f>
        <v>Lift</v>
      </c>
      <c r="BK290" s="48" t="str">
        <f aca="false">IF(AS290&lt;=0,"",IF(CF290="Aussen","Aussenlager",IF(CF290="-","Nicht im Lift",IF(AY290&gt;=1,"Lift",IF(AY290&lt;=0,"Aussenlager","teilweise")))))</f>
        <v>Lift</v>
      </c>
      <c r="BL290" s="48" t="str">
        <f aca="false">IF(BC290&lt;=0,"",IF(CF290="Aussen","Aussenlager",IF(CF290="-","Nicht im Lift",IF(BI290&gt;=1,"Lift",IF(BI290&lt;=0,"Aussenlager","teilweise")))))</f>
        <v>Lift</v>
      </c>
      <c r="BM290" s="48" t="str">
        <f aca="false">IF(A290="","",IF(BV290=1,"Neu; ","")&amp;IF(AND(BV290=0,BQ290&lt;0),"negativer Bestand (Export "&amp;BQ290&amp;"); ","")&amp;IF(J290&lt;=0,"Kein Verbrauch; ","")&amp;IF(CQ290&gt;0,"Lift "&amp;W290&amp;" lt. Liftbericht (Fach "&amp;X290&amp;" Stk); ",IF(CA290=1,"Gebinde geschätzt ("&amp;T290&amp;"); ",IF(BZ290=1,"Lose – Tablare geschätzt; ","")))&amp;IF(H290&gt;AV290,"Überbestand "&amp;ROUND(H290-AV290,0)&amp;" Stk / CHF "&amp;ROUND((H290-AV290)*G290,0)&amp;"; ","")&amp;IF(AND(CH290=1,CI290&lt;CJ290),"MAX &lt; MB+LG; ","")&amp;IF(AND(CP290&gt;0,CO290*10&gt;CP290),"zu hoch für Tablar; ","")&amp;IF(AND(BV290=0,OR(CH290=1,AA290&lt;&gt;"",U290&lt;&gt;"",V290&lt;&gt;"",AB290&lt;&gt;"")),"manuell übersteuert; ","")&amp;IF(AND(BZ290=0,R290=0),"Gebinde unbekannt / Stellmass fehlt; ","")&amp;IF(AND(BZ290=0,N(V290)&lt;=0,N(Q290)&lt;=0),"Menge pro Gebinde fehlt (Ist = 1 Gebinde); ","")&amp;BU290)</f>
        <v/>
      </c>
      <c r="BN290" s="48"/>
      <c r="BO290" s="48"/>
      <c r="BP290" s="55"/>
      <c r="BQ290" s="50" t="n">
        <v>76</v>
      </c>
      <c r="BR290" s="50" t="n">
        <v>57</v>
      </c>
      <c r="BS290" s="49" t="n">
        <v>307.99</v>
      </c>
      <c r="BT290" s="50" t="n">
        <v>228</v>
      </c>
      <c r="BU290" s="48"/>
      <c r="BV290" s="53" t="n">
        <v>0</v>
      </c>
      <c r="BW290" s="53" t="n">
        <v>290</v>
      </c>
      <c r="BX290" s="48" t="str">
        <f aca="false">IF(U290&lt;&gt;"",UPPER(TRIM(U290)),IF(CA290=1,UPPER(VLOOKUP(T290,Parameter!$I$27:$K$29,2,0)),IF(P290="","LOSE",P290)))</f>
        <v>S51</v>
      </c>
      <c r="BY290" s="50" t="n">
        <f aca="false">IF(BX290="LOSE",1,IF(N(V290)&gt;0,V290,IF(CA290=1,MAX(1,N(VLOOKUP(T290,Parameter!$I$27:$K$29,3,0)),H290,N(N290)),IF(N(Q290)&gt;0,Q290,MAX(1,H290)))))</f>
        <v>76</v>
      </c>
      <c r="BZ290" s="53" t="n">
        <f aca="false">IF(BX290="LOSE",1,0)</f>
        <v>0</v>
      </c>
      <c r="CA290" s="53" t="n">
        <f aca="false">IF(AND(U290="",OR(P290="",P290="LOSE"),T290&lt;&gt;"",N(S290)&lt;=0,ISNUMBER(MATCH(T290,Parameter!$I$27:$I$29,0))),1,0)</f>
        <v>0</v>
      </c>
      <c r="CB290" s="53" t="n">
        <f aca="false">IF(CQ290&gt;0,INDEX(Parameter!$H$5:$H$7,W290)/INDEX(Parameter!$E$5:$E$7,W290),IF(AND(BZ290=0,N(IFERROR(VLOOKUP(BX290,'Gebinde-Kategorie'!$A$5:$N$45,14,0),0))&gt;0),VLOOKUP(BX290,'Gebinde-Kategorie'!$A$5:$N$45,14,0)*10+Parameter!$M$23,Parameter!$M$24))</f>
        <v>155</v>
      </c>
      <c r="CC290" s="48" t="str">
        <f aca="false">IF(AND(Parameter!$B$19="Ja",E290&lt;&gt;"",ISNUMBER(MATCH(E290,Parameter!$I$35:$I$52,0))),VLOOKUP(E290,Parameter!$I$35:$J$52,2,0),IFERROR(VLOOKUP(D290,Parameter!$A$35:$C$64,2,0),"Nein"))</f>
        <v>2+3</v>
      </c>
      <c r="CD290" s="52" t="n">
        <f aca="false">IF(BZ290=0,0,IF(N(S290)&gt;0,S290,IFERROR(VLOOKUP(D290,Parameter!$A$35:$C$64,3,0)+0,0)))</f>
        <v>0</v>
      </c>
      <c r="CE290" s="48" t="n">
        <f aca="false">IF(AA290&lt;&gt;"",AA290,Z290)</f>
        <v>3</v>
      </c>
      <c r="CF290" s="48" t="str">
        <f aca="false">IF(OR(CE290=1,CE290=2,CE290=3),IF(Parameter!$E$27="Ja","LIFT",IF(CE290=1,"L1","L23")),IF(CE290="Aussen","Aussen","-"))</f>
        <v>LIFT</v>
      </c>
      <c r="CG290" s="59" t="n">
        <f aca="false">IF(N(AB290)&gt;0,AB290,0)</f>
        <v>0</v>
      </c>
      <c r="CH290" s="53" t="n">
        <f aca="false">IF(ISNUMBER(AE290),1,0)</f>
        <v>0</v>
      </c>
      <c r="CI290" s="50" t="n">
        <f aca="false">N(AE290)</f>
        <v>0</v>
      </c>
      <c r="CJ290" s="50" t="n">
        <f aca="false">N(M290)+N(N290)</f>
        <v>247</v>
      </c>
      <c r="CK290" s="50" t="n">
        <f aca="false">N(M290)</f>
        <v>17</v>
      </c>
      <c r="CL290" s="50" t="n">
        <f aca="false">N(N290)</f>
        <v>230</v>
      </c>
      <c r="CM290" s="50" t="n">
        <f aca="false">ROUNDUP(H290/BY290,0)</f>
        <v>2</v>
      </c>
      <c r="CN290" s="50" t="n">
        <f aca="false">ROUNDUP(CI290/BY290,0)</f>
        <v>0</v>
      </c>
      <c r="CO290" s="53" t="n">
        <f aca="false">IF(BZ290=1,0,IFERROR(VLOOKUP(BX290,'Gebinde-Kategorie'!$A$5:$N$45,5,0)+0,0))</f>
        <v>11</v>
      </c>
      <c r="CP290" s="53" t="n">
        <f aca="false">IFERROR(IF(OR(CE290=1,CE290=2,CE290=3),N(INDEX(Parameter!$I$5:$I$7,CE290)),0),0)</f>
        <v>0</v>
      </c>
      <c r="CQ290" s="52" t="n">
        <f aca="false">IF(AND(Parameter!$B$21="Ja",ISNUMBER(W290),N(X290)&gt;0),IFERROR(N(INDEX(Parameter!$L$5:$L$7,W290))*INDEX(Parameter!$E$5:$E$7,W290)*X290/SUMIFS($X$7:$X$1843,$W$7:$W$1843,W290),0),0)</f>
        <v>0</v>
      </c>
    </row>
    <row r="291" customFormat="false" ht="15" hidden="false" customHeight="false" outlineLevel="0" collapsed="false">
      <c r="A291" s="48" t="s">
        <v>763</v>
      </c>
      <c r="B291" s="48" t="s">
        <v>764</v>
      </c>
      <c r="C291" s="48" t="s">
        <v>173</v>
      </c>
      <c r="D291" s="48" t="s">
        <v>193</v>
      </c>
      <c r="E291" s="48"/>
      <c r="F291" s="48" t="s">
        <v>227</v>
      </c>
      <c r="G291" s="49" t="n">
        <v>138.11</v>
      </c>
      <c r="H291" s="50" t="n">
        <f aca="false">MAX(0,IF(AND(Parameter!$B$21="Ja",ISNUMBER(Y291)),Y291,IF(Parameter!$B$20="Jahresanfang 2025 + Export",BR291+BQ291,BQ291)))</f>
        <v>7</v>
      </c>
      <c r="I291" s="50" t="n">
        <f aca="false">H291*G291</f>
        <v>966.77</v>
      </c>
      <c r="J291" s="50" t="n">
        <f aca="false">BT291*Parameter!$B$18</f>
        <v>3</v>
      </c>
      <c r="K291" s="51" t="n">
        <v>6.5</v>
      </c>
      <c r="L291" s="52" t="n">
        <v>0.461538461538462</v>
      </c>
      <c r="M291" s="50" t="n">
        <v>0</v>
      </c>
      <c r="N291" s="50" t="n">
        <v>5</v>
      </c>
      <c r="O291" s="53" t="n">
        <v>35</v>
      </c>
      <c r="P291" s="48" t="s">
        <v>430</v>
      </c>
      <c r="Q291" s="50" t="n">
        <v>8</v>
      </c>
      <c r="R291" s="53" t="n">
        <f aca="false">IF(BZ291=1,0,IFERROR(VLOOKUP(BX291,'Gebinde-Kategorie'!$A$5:$N$45,13,0)+0,0))</f>
        <v>104</v>
      </c>
      <c r="S291" s="54"/>
      <c r="T291" s="55"/>
      <c r="U291" s="55"/>
      <c r="V291" s="55"/>
      <c r="W291" s="48"/>
      <c r="X291" s="50"/>
      <c r="Y291" s="50"/>
      <c r="Z291" s="48" t="n">
        <f aca="false">IF(A291="","",IF(AND(Parameter!$B$21="Ja",ISNUMBER(W291)),W291,IF(CC291="2+3",IF(ISNUMBER(SEARCH("grosser Artikel",BU291)),2,IFERROR(VLOOKUP(BX291,Parameter!$F$35:$G$64,2,0),2)),IF(OR(CC291="Nein",CC291=""),"-",CC291))))</f>
        <v>3</v>
      </c>
      <c r="AA291" s="55"/>
      <c r="AB291" s="56"/>
      <c r="AC291" s="50" t="n">
        <f aca="false">AV291</f>
        <v>5</v>
      </c>
      <c r="AD291" s="50" t="n">
        <f aca="false">MAX(AV291,H291)</f>
        <v>7</v>
      </c>
      <c r="AE291" s="57"/>
      <c r="AF291" s="50" t="n">
        <f aca="false">IF(LEFT(Cockpit!$C$5,1)="A",H291,IF(Parameter!$E$30="MAX-Bestand",IF(CH291=1,CI291,IF(LEFT(Cockpit!$C$5,1)="B",AL291,MAX(AL291,H291))),ROUNDUP(AJ291,0)))</f>
        <v>7</v>
      </c>
      <c r="AG291" s="50" t="n">
        <f aca="false">IF(BZ291=1,0,ROUNDUP(AF291/BY291,0))</f>
        <v>1</v>
      </c>
      <c r="AH291" s="52" t="n">
        <f aca="false">IF(CQ291&gt;0,CQ291*MAX(1,AF291/X291),IF(BZ291=1,IF(AF291&lt;=0,0,CD291*MAX(1,IF(H291&gt;0,AF291/H291,1))),IF(R291&gt;0,AG291/R291,0))/MAX(0.1,N(Parameter!$M$21)))</f>
        <v>0.00961538461538462</v>
      </c>
      <c r="AI291" s="50" t="n">
        <f aca="false">AH291*CB291</f>
        <v>1.49038461538462</v>
      </c>
      <c r="AJ291" s="51" t="n">
        <f aca="false">IF(LEFT(Cockpit!$C$5,1)="A",H291,IF(CH291=1,(CK291+CI291)/2,IF(LEFT(Cockpit!$C$5,1)="B",(CK291+AL291)/2,MAX((CK291+AL291)/2,H291))))</f>
        <v>7</v>
      </c>
      <c r="AK291" s="50" t="n">
        <f aca="false">AJ291*G291</f>
        <v>966.77</v>
      </c>
      <c r="AL291" s="50" t="n">
        <f aca="false">ROUNDUP(CK291+MAX(CL291,2*(J291/IF(CG291&gt;0,CG291,MAX(0.1,N(Cockpit!$C$6)))-CK291)),0)</f>
        <v>5</v>
      </c>
      <c r="AM291" s="51" t="n">
        <f aca="false">IF(AI291&gt;0,J291/AI291,-1)</f>
        <v>2.01290322580645</v>
      </c>
      <c r="AN291" s="51" t="n">
        <f aca="false">IF(AND(OR(CF291="L1",CF291="L23",CF291="LIFT"),AI291&gt;0),SUMIFS($AI$7:$AI$1843,$CF$7:$CF$1843,CF291,$AM$7:$AM$1843,"&gt;"&amp;AM291)+SUMIFS($AI$7:$AI$1843,$CF$7:$CF$1843,CF291,$AM$7:$AM$1843,AM291,$BW$7:$BW$1843,"&lt;="&amp;BW291),"")</f>
        <v>5774.45558608059</v>
      </c>
      <c r="AO291" s="58" t="n">
        <f aca="false">IF(AN291="",0,MAX(0,MIN(1,(IF(CF291="L1",Parameter!$H$5,IF(CF291="L23",Parameter!$H$6+Parameter!$H$7,Parameter!$H$5+Parameter!$H$6+Parameter!$H$7))-(AN291-AI291))/AI291)))</f>
        <v>1</v>
      </c>
      <c r="AP291" s="50" t="n">
        <f aca="false">IF(LEFT(Cockpit!$I$5,1)="A",H291,IF(Parameter!$E$30="MAX-Bestand",IF(CH291=1,CI291,IF(LEFT(Cockpit!$I$5,1)="B",AV291,MAX(AV291,H291))),ROUNDUP(AT291,0)))</f>
        <v>7</v>
      </c>
      <c r="AQ291" s="50" t="n">
        <f aca="false">IF(BZ291=1,0,ROUNDUP(AP291/BY291,0))</f>
        <v>1</v>
      </c>
      <c r="AR291" s="52" t="n">
        <f aca="false">IF(CQ291&gt;0,CQ291*MAX(1,AP291/X291),IF(BZ291=1,IF(AP291&lt;=0,0,CD291*MAX(1,IF(H291&gt;0,AP291/H291,1))),IF(R291&gt;0,AQ291/R291,0))/MAX(0.1,N(Parameter!$M$21)))</f>
        <v>0.00961538461538462</v>
      </c>
      <c r="AS291" s="50" t="n">
        <f aca="false">AR291*CB291</f>
        <v>1.49038461538462</v>
      </c>
      <c r="AT291" s="51" t="n">
        <f aca="false">IF(LEFT(Cockpit!$I$5,1)="A",H291,IF(CH291=1,(CK291+CI291)/2,IF(LEFT(Cockpit!$I$5,1)="B",(CK291+AV291)/2,MAX((CK291+AV291)/2,H291))))</f>
        <v>7</v>
      </c>
      <c r="AU291" s="50" t="n">
        <f aca="false">AT291*G291</f>
        <v>966.77</v>
      </c>
      <c r="AV291" s="50" t="n">
        <f aca="false">ROUNDUP(CK291+MAX(CL291,2*(J291/IF(CG291&gt;0,CG291,MAX(0.1,N(Cockpit!$I$6)))-CK291)),0)</f>
        <v>5</v>
      </c>
      <c r="AW291" s="51" t="n">
        <f aca="false">IF(AS291&gt;0,J291/AS291,-1)</f>
        <v>2.01290322580645</v>
      </c>
      <c r="AX291" s="51" t="n">
        <f aca="false">IF(AND(OR(CF291="L1",CF291="L23",CF291="LIFT"),AS291&gt;0),SUMIFS($AS$7:$AS$1843,$CF$7:$CF$1843,CF291,$AW$7:$AW$1843,"&gt;"&amp;AW291)+SUMIFS($AS$7:$AS$1843,$CF$7:$CF$1843,CF291,$AW$7:$AW$1843,AW291,$BW$7:$BW$1843,"&lt;="&amp;BW291),"")</f>
        <v>7142.39514652015</v>
      </c>
      <c r="AY291" s="58" t="n">
        <f aca="false">IF(AX291="",0,MAX(0,MIN(1,(IF(CF291="L1",Parameter!$H$5,IF(CF291="L23",Parameter!$H$6+Parameter!$H$7,Parameter!$H$5+Parameter!$H$6+Parameter!$H$7))-(AX291-AS291))/AS291)))</f>
        <v>1</v>
      </c>
      <c r="AZ291" s="50" t="n">
        <f aca="false">IF(LEFT(Cockpit!$O$5,1)="A",H291,IF(Parameter!$E$30="MAX-Bestand",IF(CH291=1,CI291,IF(LEFT(Cockpit!$O$5,1)="B",BF291,MAX(BF291,H291))),ROUNDUP(BD291,0)))</f>
        <v>3</v>
      </c>
      <c r="BA291" s="50" t="n">
        <f aca="false">IF(BZ291=1,0,ROUNDUP(AZ291/BY291,0))</f>
        <v>1</v>
      </c>
      <c r="BB291" s="52" t="n">
        <f aca="false">IF(CQ291&gt;0,CQ291*MAX(1,AZ291/X291),IF(BZ291=1,IF(AZ291&lt;=0,0,CD291*MAX(1,IF(H291&gt;0,AZ291/H291,1))),IF(R291&gt;0,BA291/R291,0))/MAX(0.1,N(Parameter!$M$21)))</f>
        <v>0.00961538461538462</v>
      </c>
      <c r="BC291" s="50" t="n">
        <f aca="false">BB291*CB291</f>
        <v>1.49038461538462</v>
      </c>
      <c r="BD291" s="51" t="n">
        <f aca="false">IF(LEFT(Cockpit!$O$5,1)="A",H291,IF(CH291=1,(CK291+CI291)/2,IF(LEFT(Cockpit!$O$5,1)="B",(CK291+BF291)/2,MAX((CK291+BF291)/2,H291))))</f>
        <v>2.5</v>
      </c>
      <c r="BE291" s="50" t="n">
        <f aca="false">BD291*G291</f>
        <v>345.275</v>
      </c>
      <c r="BF291" s="50" t="n">
        <f aca="false">ROUNDUP(CK291+MAX(CL291,2*(J291/IF(CG291&gt;0,CG291,MAX(0.1,N(Cockpit!$O$6)))-CK291)),0)</f>
        <v>5</v>
      </c>
      <c r="BG291" s="51" t="n">
        <f aca="false">IF(BC291&gt;0,J291/BC291,-1)</f>
        <v>2.01290322580645</v>
      </c>
      <c r="BH291" s="51" t="n">
        <f aca="false">IF(AND(OR(CF291="L1",CF291="L23",CF291="LIFT"),BC291&gt;0),SUMIFS($BC$7:$BC$1843,$CF$7:$CF$1843,CF291,$BG$7:$BG$1843,"&gt;"&amp;BG291)+SUMIFS($BC$7:$BC$1843,$CF$7:$CF$1843,CF291,$BG$7:$BG$1843,BG291,$BW$7:$BW$1843,"&lt;="&amp;BW291),"")</f>
        <v>5853.16987179487</v>
      </c>
      <c r="BI291" s="58" t="n">
        <f aca="false">IF(BH291="",0,MAX(0,MIN(1,(IF(CF291="L1",Parameter!$H$5,IF(CF291="L23",Parameter!$H$6+Parameter!$H$7,Parameter!$H$5+Parameter!$H$6+Parameter!$H$7))-(BH291-BC291))/BC291)))</f>
        <v>1</v>
      </c>
      <c r="BJ291" s="48" t="str">
        <f aca="false">IF(AI291&lt;=0,"",IF(CF291="Aussen","Aussenlager",IF(CF291="-","Nicht im Lift",IF(AO291&gt;=1,"Lift",IF(AO291&lt;=0,"Aussenlager","teilweise")))))</f>
        <v>Lift</v>
      </c>
      <c r="BK291" s="48" t="str">
        <f aca="false">IF(AS291&lt;=0,"",IF(CF291="Aussen","Aussenlager",IF(CF291="-","Nicht im Lift",IF(AY291&gt;=1,"Lift",IF(AY291&lt;=0,"Aussenlager","teilweise")))))</f>
        <v>Lift</v>
      </c>
      <c r="BL291" s="48" t="str">
        <f aca="false">IF(BC291&lt;=0,"",IF(CF291="Aussen","Aussenlager",IF(CF291="-","Nicht im Lift",IF(BI291&gt;=1,"Lift",IF(BI291&lt;=0,"Aussenlager","teilweise")))))</f>
        <v>Lift</v>
      </c>
      <c r="BM291" s="48" t="str">
        <f aca="false">IF(A291="","",IF(BV291=1,"Neu; ","")&amp;IF(AND(BV291=0,BQ291&lt;0),"negativer Bestand (Export "&amp;BQ291&amp;"); ","")&amp;IF(J291&lt;=0,"Kein Verbrauch; ","")&amp;IF(CQ291&gt;0,"Lift "&amp;W291&amp;" lt. Liftbericht (Fach "&amp;X291&amp;" Stk); ",IF(CA291=1,"Gebinde geschätzt ("&amp;T291&amp;"); ",IF(BZ291=1,"Lose – Tablare geschätzt; ","")))&amp;IF(H291&gt;AV291,"Überbestand "&amp;ROUND(H291-AV291,0)&amp;" Stk / CHF "&amp;ROUND((H291-AV291)*G291,0)&amp;"; ","")&amp;IF(AND(CH291=1,CI291&lt;CJ291),"MAX &lt; MB+LG; ","")&amp;IF(AND(CP291&gt;0,CO291*10&gt;CP291),"zu hoch für Tablar; ","")&amp;IF(AND(BV291=0,OR(CH291=1,AA291&lt;&gt;"",U291&lt;&gt;"",V291&lt;&gt;"",AB291&lt;&gt;"")),"manuell übersteuert; ","")&amp;IF(AND(BZ291=0,R291=0),"Gebinde unbekannt / Stellmass fehlt; ","")&amp;IF(AND(BZ291=0,N(V291)&lt;=0,N(Q291)&lt;=0),"Menge pro Gebinde fehlt (Ist = 1 Gebinde); ","")&amp;BU291)</f>
        <v>Überbestand 2 Stk / CHF 276; </v>
      </c>
      <c r="BN291" s="48"/>
      <c r="BO291" s="48"/>
      <c r="BP291" s="55"/>
      <c r="BQ291" s="50" t="n">
        <v>2</v>
      </c>
      <c r="BR291" s="50" t="n">
        <v>5</v>
      </c>
      <c r="BS291" s="49" t="n">
        <v>303.87</v>
      </c>
      <c r="BT291" s="50" t="n">
        <v>3</v>
      </c>
      <c r="BU291" s="48"/>
      <c r="BV291" s="53" t="n">
        <v>0</v>
      </c>
      <c r="BW291" s="53" t="n">
        <v>291</v>
      </c>
      <c r="BX291" s="48" t="str">
        <f aca="false">IF(U291&lt;&gt;"",UPPER(TRIM(U291)),IF(CA291=1,UPPER(VLOOKUP(T291,Parameter!$I$27:$K$29,2,0)),IF(P291="","LOSE",P291)))</f>
        <v>S32</v>
      </c>
      <c r="BY291" s="50" t="n">
        <f aca="false">IF(BX291="LOSE",1,IF(N(V291)&gt;0,V291,IF(CA291=1,MAX(1,N(VLOOKUP(T291,Parameter!$I$27:$K$29,3,0)),H291,N(N291)),IF(N(Q291)&gt;0,Q291,MAX(1,H291)))))</f>
        <v>8</v>
      </c>
      <c r="BZ291" s="53" t="n">
        <f aca="false">IF(BX291="LOSE",1,0)</f>
        <v>0</v>
      </c>
      <c r="CA291" s="53" t="n">
        <f aca="false">IF(AND(U291="",OR(P291="",P291="LOSE"),T291&lt;&gt;"",N(S291)&lt;=0,ISNUMBER(MATCH(T291,Parameter!$I$27:$I$29,0))),1,0)</f>
        <v>0</v>
      </c>
      <c r="CB291" s="53" t="n">
        <f aca="false">IF(CQ291&gt;0,INDEX(Parameter!$H$5:$H$7,W291)/INDEX(Parameter!$E$5:$E$7,W291),IF(AND(BZ291=0,N(IFERROR(VLOOKUP(BX291,'Gebinde-Kategorie'!$A$5:$N$45,14,0),0))&gt;0),VLOOKUP(BX291,'Gebinde-Kategorie'!$A$5:$N$45,14,0)*10+Parameter!$M$23,Parameter!$M$24))</f>
        <v>155</v>
      </c>
      <c r="CC291" s="48" t="str">
        <f aca="false">IF(AND(Parameter!$B$19="Ja",E291&lt;&gt;"",ISNUMBER(MATCH(E291,Parameter!$I$35:$I$52,0))),VLOOKUP(E291,Parameter!$I$35:$J$52,2,0),IFERROR(VLOOKUP(D291,Parameter!$A$35:$C$64,2,0),"Nein"))</f>
        <v>2+3</v>
      </c>
      <c r="CD291" s="52" t="n">
        <f aca="false">IF(BZ291=0,0,IF(N(S291)&gt;0,S291,IFERROR(VLOOKUP(D291,Parameter!$A$35:$C$64,3,0)+0,0)))</f>
        <v>0</v>
      </c>
      <c r="CE291" s="48" t="n">
        <f aca="false">IF(AA291&lt;&gt;"",AA291,Z291)</f>
        <v>3</v>
      </c>
      <c r="CF291" s="48" t="str">
        <f aca="false">IF(OR(CE291=1,CE291=2,CE291=3),IF(Parameter!$E$27="Ja","LIFT",IF(CE291=1,"L1","L23")),IF(CE291="Aussen","Aussen","-"))</f>
        <v>LIFT</v>
      </c>
      <c r="CG291" s="59" t="n">
        <f aca="false">IF(N(AB291)&gt;0,AB291,0)</f>
        <v>0</v>
      </c>
      <c r="CH291" s="53" t="n">
        <f aca="false">IF(ISNUMBER(AE291),1,0)</f>
        <v>0</v>
      </c>
      <c r="CI291" s="50" t="n">
        <f aca="false">N(AE291)</f>
        <v>0</v>
      </c>
      <c r="CJ291" s="50" t="n">
        <f aca="false">N(M291)+N(N291)</f>
        <v>5</v>
      </c>
      <c r="CK291" s="50" t="n">
        <f aca="false">N(M291)</f>
        <v>0</v>
      </c>
      <c r="CL291" s="50" t="n">
        <f aca="false">N(N291)</f>
        <v>5</v>
      </c>
      <c r="CM291" s="50" t="n">
        <f aca="false">ROUNDUP(H291/BY291,0)</f>
        <v>1</v>
      </c>
      <c r="CN291" s="50" t="n">
        <f aca="false">ROUNDUP(CI291/BY291,0)</f>
        <v>0</v>
      </c>
      <c r="CO291" s="53" t="n">
        <f aca="false">IF(BZ291=1,0,IFERROR(VLOOKUP(BX291,'Gebinde-Kategorie'!$A$5:$N$45,5,0)+0,0))</f>
        <v>8</v>
      </c>
      <c r="CP291" s="53" t="n">
        <f aca="false">IFERROR(IF(OR(CE291=1,CE291=2,CE291=3),N(INDEX(Parameter!$I$5:$I$7,CE291)),0),0)</f>
        <v>0</v>
      </c>
      <c r="CQ291" s="52" t="n">
        <f aca="false">IF(AND(Parameter!$B$21="Ja",ISNUMBER(W291),N(X291)&gt;0),IFERROR(N(INDEX(Parameter!$L$5:$L$7,W291))*INDEX(Parameter!$E$5:$E$7,W291)*X291/SUMIFS($X$7:$X$1843,$W$7:$W$1843,W291),0),0)</f>
        <v>0</v>
      </c>
    </row>
    <row r="292" customFormat="false" ht="15" hidden="false" customHeight="false" outlineLevel="0" collapsed="false">
      <c r="A292" s="48" t="s">
        <v>765</v>
      </c>
      <c r="B292" s="48" t="s">
        <v>766</v>
      </c>
      <c r="C292" s="48" t="s">
        <v>173</v>
      </c>
      <c r="D292" s="48" t="s">
        <v>193</v>
      </c>
      <c r="E292" s="48" t="s">
        <v>194</v>
      </c>
      <c r="F292" s="48" t="s">
        <v>227</v>
      </c>
      <c r="G292" s="49" t="n">
        <v>21.92</v>
      </c>
      <c r="H292" s="50" t="n">
        <f aca="false">MAX(0,IF(AND(Parameter!$B$21="Ja",ISNUMBER(Y292)),Y292,IF(Parameter!$B$20="Jahresanfang 2025 + Export",BR292+BQ292,BQ292)))</f>
        <v>74</v>
      </c>
      <c r="I292" s="50" t="n">
        <f aca="false">H292*G292</f>
        <v>1622.08</v>
      </c>
      <c r="J292" s="50" t="n">
        <f aca="false">BT292*Parameter!$B$18</f>
        <v>92</v>
      </c>
      <c r="K292" s="51" t="n">
        <v>62</v>
      </c>
      <c r="L292" s="52" t="n">
        <v>1.48387096774194</v>
      </c>
      <c r="M292" s="50" t="n">
        <v>21</v>
      </c>
      <c r="N292" s="50" t="n">
        <v>90</v>
      </c>
      <c r="O292" s="53" t="n">
        <v>84</v>
      </c>
      <c r="P292" s="48" t="s">
        <v>311</v>
      </c>
      <c r="Q292" s="50" t="n">
        <v>48</v>
      </c>
      <c r="R292" s="53" t="n">
        <f aca="false">IF(BZ292=1,0,IFERROR(VLOOKUP(BX292,'Gebinde-Kategorie'!$A$5:$N$45,13,0)+0,0))</f>
        <v>26</v>
      </c>
      <c r="S292" s="54"/>
      <c r="T292" s="55"/>
      <c r="U292" s="55"/>
      <c r="V292" s="55"/>
      <c r="W292" s="48"/>
      <c r="X292" s="50"/>
      <c r="Y292" s="50"/>
      <c r="Z292" s="48" t="n">
        <f aca="false">IF(A292="","",IF(AND(Parameter!$B$21="Ja",ISNUMBER(W292)),W292,IF(CC292="2+3",IF(ISNUMBER(SEARCH("grosser Artikel",BU292)),2,IFERROR(VLOOKUP(BX292,Parameter!$F$35:$G$64,2,0),2)),IF(OR(CC292="Nein",CC292=""),"-",CC292))))</f>
        <v>3</v>
      </c>
      <c r="AA292" s="55"/>
      <c r="AB292" s="56"/>
      <c r="AC292" s="50" t="n">
        <f aca="false">AV292</f>
        <v>111</v>
      </c>
      <c r="AD292" s="50" t="n">
        <f aca="false">MAX(AV292,H292)</f>
        <v>111</v>
      </c>
      <c r="AE292" s="57"/>
      <c r="AF292" s="50" t="n">
        <f aca="false">IF(LEFT(Cockpit!$C$5,1)="A",H292,IF(Parameter!$E$30="MAX-Bestand",IF(CH292=1,CI292,IF(LEFT(Cockpit!$C$5,1)="B",AL292,MAX(AL292,H292))),ROUNDUP(AJ292,0)))</f>
        <v>74</v>
      </c>
      <c r="AG292" s="50" t="n">
        <f aca="false">IF(BZ292=1,0,ROUNDUP(AF292/BY292,0))</f>
        <v>2</v>
      </c>
      <c r="AH292" s="52" t="n">
        <f aca="false">IF(CQ292&gt;0,CQ292*MAX(1,AF292/X292),IF(BZ292=1,IF(AF292&lt;=0,0,CD292*MAX(1,IF(H292&gt;0,AF292/H292,1))),IF(R292&gt;0,AG292/R292,0))/MAX(0.1,N(Parameter!$M$21)))</f>
        <v>0.0769230769230769</v>
      </c>
      <c r="AI292" s="50" t="n">
        <f aca="false">AH292*CB292</f>
        <v>11.9230769230769</v>
      </c>
      <c r="AJ292" s="51" t="n">
        <f aca="false">IF(LEFT(Cockpit!$C$5,1)="A",H292,IF(CH292=1,(CK292+CI292)/2,IF(LEFT(Cockpit!$C$5,1)="B",(CK292+AL292)/2,MAX((CK292+AL292)/2,H292))))</f>
        <v>74</v>
      </c>
      <c r="AK292" s="50" t="n">
        <f aca="false">AJ292*G292</f>
        <v>1622.08</v>
      </c>
      <c r="AL292" s="50" t="n">
        <f aca="false">ROUNDUP(CK292+MAX(CL292,2*(J292/IF(CG292&gt;0,CG292,MAX(0.1,N(Cockpit!$C$6)))-CK292)),0)</f>
        <v>111</v>
      </c>
      <c r="AM292" s="51" t="n">
        <f aca="false">IF(AI292&gt;0,J292/AI292,-1)</f>
        <v>7.71612903225806</v>
      </c>
      <c r="AN292" s="51" t="n">
        <f aca="false">IF(AND(OR(CF292="L1",CF292="L23",CF292="LIFT"),AI292&gt;0),SUMIFS($AI$7:$AI$1843,$CF$7:$CF$1843,CF292,$AM$7:$AM$1843,"&gt;"&amp;AM292)+SUMIFS($AI$7:$AI$1843,$CF$7:$CF$1843,CF292,$AM$7:$AM$1843,AM292,$BW$7:$BW$1843,"&lt;="&amp;BW292),"")</f>
        <v>3110.11538461538</v>
      </c>
      <c r="AO292" s="58" t="n">
        <f aca="false">IF(AN292="",0,MAX(0,MIN(1,(IF(CF292="L1",Parameter!$H$5,IF(CF292="L23",Parameter!$H$6+Parameter!$H$7,Parameter!$H$5+Parameter!$H$6+Parameter!$H$7))-(AN292-AI292))/AI292)))</f>
        <v>1</v>
      </c>
      <c r="AP292" s="50" t="n">
        <f aca="false">IF(LEFT(Cockpit!$I$5,1)="A",H292,IF(Parameter!$E$30="MAX-Bestand",IF(CH292=1,CI292,IF(LEFT(Cockpit!$I$5,1)="B",AV292,MAX(AV292,H292))),ROUNDUP(AT292,0)))</f>
        <v>74</v>
      </c>
      <c r="AQ292" s="50" t="n">
        <f aca="false">IF(BZ292=1,0,ROUNDUP(AP292/BY292,0))</f>
        <v>2</v>
      </c>
      <c r="AR292" s="52" t="n">
        <f aca="false">IF(CQ292&gt;0,CQ292*MAX(1,AP292/X292),IF(BZ292=1,IF(AP292&lt;=0,0,CD292*MAX(1,IF(H292&gt;0,AP292/H292,1))),IF(R292&gt;0,AQ292/R292,0))/MAX(0.1,N(Parameter!$M$21)))</f>
        <v>0.0769230769230769</v>
      </c>
      <c r="AS292" s="50" t="n">
        <f aca="false">AR292*CB292</f>
        <v>11.9230769230769</v>
      </c>
      <c r="AT292" s="51" t="n">
        <f aca="false">IF(LEFT(Cockpit!$I$5,1)="A",H292,IF(CH292=1,(CK292+CI292)/2,IF(LEFT(Cockpit!$I$5,1)="B",(CK292+AV292)/2,MAX((CK292+AV292)/2,H292))))</f>
        <v>74</v>
      </c>
      <c r="AU292" s="50" t="n">
        <f aca="false">AT292*G292</f>
        <v>1622.08</v>
      </c>
      <c r="AV292" s="50" t="n">
        <f aca="false">ROUNDUP(CK292+MAX(CL292,2*(J292/IF(CG292&gt;0,CG292,MAX(0.1,N(Cockpit!$I$6)))-CK292)),0)</f>
        <v>111</v>
      </c>
      <c r="AW292" s="51" t="n">
        <f aca="false">IF(AS292&gt;0,J292/AS292,-1)</f>
        <v>7.71612903225806</v>
      </c>
      <c r="AX292" s="51" t="n">
        <f aca="false">IF(AND(OR(CF292="L1",CF292="L23",CF292="LIFT"),AS292&gt;0),SUMIFS($AS$7:$AS$1843,$CF$7:$CF$1843,CF292,$AW$7:$AW$1843,"&gt;"&amp;AW292)+SUMIFS($AS$7:$AS$1843,$CF$7:$CF$1843,CF292,$AW$7:$AW$1843,AW292,$BW$7:$BW$1843,"&lt;="&amp;BW292),"")</f>
        <v>3734.17673992674</v>
      </c>
      <c r="AY292" s="58" t="n">
        <f aca="false">IF(AX292="",0,MAX(0,MIN(1,(IF(CF292="L1",Parameter!$H$5,IF(CF292="L23",Parameter!$H$6+Parameter!$H$7,Parameter!$H$5+Parameter!$H$6+Parameter!$H$7))-(AX292-AS292))/AS292)))</f>
        <v>1</v>
      </c>
      <c r="AZ292" s="50" t="n">
        <f aca="false">IF(LEFT(Cockpit!$O$5,1)="A",H292,IF(Parameter!$E$30="MAX-Bestand",IF(CH292=1,CI292,IF(LEFT(Cockpit!$O$5,1)="B",BF292,MAX(BF292,H292))),ROUNDUP(BD292,0)))</f>
        <v>66</v>
      </c>
      <c r="BA292" s="50" t="n">
        <f aca="false">IF(BZ292=1,0,ROUNDUP(AZ292/BY292,0))</f>
        <v>2</v>
      </c>
      <c r="BB292" s="52" t="n">
        <f aca="false">IF(CQ292&gt;0,CQ292*MAX(1,AZ292/X292),IF(BZ292=1,IF(AZ292&lt;=0,0,CD292*MAX(1,IF(H292&gt;0,AZ292/H292,1))),IF(R292&gt;0,BA292/R292,0))/MAX(0.1,N(Parameter!$M$21)))</f>
        <v>0.0769230769230769</v>
      </c>
      <c r="BC292" s="50" t="n">
        <f aca="false">BB292*CB292</f>
        <v>11.9230769230769</v>
      </c>
      <c r="BD292" s="51" t="n">
        <f aca="false">IF(LEFT(Cockpit!$O$5,1)="A",H292,IF(CH292=1,(CK292+CI292)/2,IF(LEFT(Cockpit!$O$5,1)="B",(CK292+BF292)/2,MAX((CK292+BF292)/2,H292))))</f>
        <v>66</v>
      </c>
      <c r="BE292" s="50" t="n">
        <f aca="false">BD292*G292</f>
        <v>1446.72</v>
      </c>
      <c r="BF292" s="50" t="n">
        <f aca="false">ROUNDUP(CK292+MAX(CL292,2*(J292/IF(CG292&gt;0,CG292,MAX(0.1,N(Cockpit!$O$6)))-CK292)),0)</f>
        <v>111</v>
      </c>
      <c r="BG292" s="51" t="n">
        <f aca="false">IF(BC292&gt;0,J292/BC292,-1)</f>
        <v>7.71612903225806</v>
      </c>
      <c r="BH292" s="51" t="n">
        <f aca="false">IF(AND(OR(CF292="L1",CF292="L23",CF292="LIFT"),BC292&gt;0),SUMIFS($BC$7:$BC$1843,$CF$7:$CF$1843,CF292,$BG$7:$BG$1843,"&gt;"&amp;BG292)+SUMIFS($BC$7:$BC$1843,$CF$7:$CF$1843,CF292,$BG$7:$BG$1843,BG292,$BW$7:$BW$1843,"&lt;="&amp;BW292),"")</f>
        <v>3153.04624542125</v>
      </c>
      <c r="BI292" s="58" t="n">
        <f aca="false">IF(BH292="",0,MAX(0,MIN(1,(IF(CF292="L1",Parameter!$H$5,IF(CF292="L23",Parameter!$H$6+Parameter!$H$7,Parameter!$H$5+Parameter!$H$6+Parameter!$H$7))-(BH292-BC292))/BC292)))</f>
        <v>1</v>
      </c>
      <c r="BJ292" s="48" t="str">
        <f aca="false">IF(AI292&lt;=0,"",IF(CF292="Aussen","Aussenlager",IF(CF292="-","Nicht im Lift",IF(AO292&gt;=1,"Lift",IF(AO292&lt;=0,"Aussenlager","teilweise")))))</f>
        <v>Lift</v>
      </c>
      <c r="BK292" s="48" t="str">
        <f aca="false">IF(AS292&lt;=0,"",IF(CF292="Aussen","Aussenlager",IF(CF292="-","Nicht im Lift",IF(AY292&gt;=1,"Lift",IF(AY292&lt;=0,"Aussenlager","teilweise")))))</f>
        <v>Lift</v>
      </c>
      <c r="BL292" s="48" t="str">
        <f aca="false">IF(BC292&lt;=0,"",IF(CF292="Aussen","Aussenlager",IF(CF292="-","Nicht im Lift",IF(BI292&gt;=1,"Lift",IF(BI292&lt;=0,"Aussenlager","teilweise")))))</f>
        <v>Lift</v>
      </c>
      <c r="BM292" s="48" t="str">
        <f aca="false">IF(A292="","",IF(BV292=1,"Neu; ","")&amp;IF(AND(BV292=0,BQ292&lt;0),"negativer Bestand (Export "&amp;BQ292&amp;"); ","")&amp;IF(J292&lt;=0,"Kein Verbrauch; ","")&amp;IF(CQ292&gt;0,"Lift "&amp;W292&amp;" lt. Liftbericht (Fach "&amp;X292&amp;" Stk); ",IF(CA292=1,"Gebinde geschätzt ("&amp;T292&amp;"); ",IF(BZ292=1,"Lose – Tablare geschätzt; ","")))&amp;IF(H292&gt;AV292,"Überbestand "&amp;ROUND(H292-AV292,0)&amp;" Stk / CHF "&amp;ROUND((H292-AV292)*G292,0)&amp;"; ","")&amp;IF(AND(CH292=1,CI292&lt;CJ292),"MAX &lt; MB+LG; ","")&amp;IF(AND(CP292&gt;0,CO292*10&gt;CP292),"zu hoch für Tablar; ","")&amp;IF(AND(BV292=0,OR(CH292=1,AA292&lt;&gt;"",U292&lt;&gt;"",V292&lt;&gt;"",AB292&lt;&gt;"")),"manuell übersteuert; ","")&amp;IF(AND(BZ292=0,R292=0),"Gebinde unbekannt / Stellmass fehlt; ","")&amp;IF(AND(BZ292=0,N(V292)&lt;=0,N(Q292)&lt;=0),"Menge pro Gebinde fehlt (Ist = 1 Gebinde); ","")&amp;BU292)</f>
        <v/>
      </c>
      <c r="BN292" s="48"/>
      <c r="BO292" s="48"/>
      <c r="BP292" s="55"/>
      <c r="BQ292" s="50" t="n">
        <v>17</v>
      </c>
      <c r="BR292" s="50" t="n">
        <v>57</v>
      </c>
      <c r="BS292" s="49" t="n">
        <v>296.830000000001</v>
      </c>
      <c r="BT292" s="50" t="n">
        <v>92</v>
      </c>
      <c r="BU292" s="48"/>
      <c r="BV292" s="53" t="n">
        <v>0</v>
      </c>
      <c r="BW292" s="53" t="n">
        <v>292</v>
      </c>
      <c r="BX292" s="48" t="str">
        <f aca="false">IF(U292&lt;&gt;"",UPPER(TRIM(U292)),IF(CA292=1,UPPER(VLOOKUP(T292,Parameter!$I$27:$K$29,2,0)),IF(P292="","LOSE",P292)))</f>
        <v>S51</v>
      </c>
      <c r="BY292" s="50" t="n">
        <f aca="false">IF(BX292="LOSE",1,IF(N(V292)&gt;0,V292,IF(CA292=1,MAX(1,N(VLOOKUP(T292,Parameter!$I$27:$K$29,3,0)),H292,N(N292)),IF(N(Q292)&gt;0,Q292,MAX(1,H292)))))</f>
        <v>48</v>
      </c>
      <c r="BZ292" s="53" t="n">
        <f aca="false">IF(BX292="LOSE",1,0)</f>
        <v>0</v>
      </c>
      <c r="CA292" s="53" t="n">
        <f aca="false">IF(AND(U292="",OR(P292="",P292="LOSE"),T292&lt;&gt;"",N(S292)&lt;=0,ISNUMBER(MATCH(T292,Parameter!$I$27:$I$29,0))),1,0)</f>
        <v>0</v>
      </c>
      <c r="CB292" s="53" t="n">
        <f aca="false">IF(CQ292&gt;0,INDEX(Parameter!$H$5:$H$7,W292)/INDEX(Parameter!$E$5:$E$7,W292),IF(AND(BZ292=0,N(IFERROR(VLOOKUP(BX292,'Gebinde-Kategorie'!$A$5:$N$45,14,0),0))&gt;0),VLOOKUP(BX292,'Gebinde-Kategorie'!$A$5:$N$45,14,0)*10+Parameter!$M$23,Parameter!$M$24))</f>
        <v>155</v>
      </c>
      <c r="CC292" s="48" t="str">
        <f aca="false">IF(AND(Parameter!$B$19="Ja",E292&lt;&gt;"",ISNUMBER(MATCH(E292,Parameter!$I$35:$I$52,0))),VLOOKUP(E292,Parameter!$I$35:$J$52,2,0),IFERROR(VLOOKUP(D292,Parameter!$A$35:$C$64,2,0),"Nein"))</f>
        <v>2+3</v>
      </c>
      <c r="CD292" s="52" t="n">
        <f aca="false">IF(BZ292=0,0,IF(N(S292)&gt;0,S292,IFERROR(VLOOKUP(D292,Parameter!$A$35:$C$64,3,0)+0,0)))</f>
        <v>0</v>
      </c>
      <c r="CE292" s="48" t="n">
        <f aca="false">IF(AA292&lt;&gt;"",AA292,Z292)</f>
        <v>3</v>
      </c>
      <c r="CF292" s="48" t="str">
        <f aca="false">IF(OR(CE292=1,CE292=2,CE292=3),IF(Parameter!$E$27="Ja","LIFT",IF(CE292=1,"L1","L23")),IF(CE292="Aussen","Aussen","-"))</f>
        <v>LIFT</v>
      </c>
      <c r="CG292" s="59" t="n">
        <f aca="false">IF(N(AB292)&gt;0,AB292,0)</f>
        <v>0</v>
      </c>
      <c r="CH292" s="53" t="n">
        <f aca="false">IF(ISNUMBER(AE292),1,0)</f>
        <v>0</v>
      </c>
      <c r="CI292" s="50" t="n">
        <f aca="false">N(AE292)</f>
        <v>0</v>
      </c>
      <c r="CJ292" s="50" t="n">
        <f aca="false">N(M292)+N(N292)</f>
        <v>111</v>
      </c>
      <c r="CK292" s="50" t="n">
        <f aca="false">N(M292)</f>
        <v>21</v>
      </c>
      <c r="CL292" s="50" t="n">
        <f aca="false">N(N292)</f>
        <v>90</v>
      </c>
      <c r="CM292" s="50" t="n">
        <f aca="false">ROUNDUP(H292/BY292,0)</f>
        <v>2</v>
      </c>
      <c r="CN292" s="50" t="n">
        <f aca="false">ROUNDUP(CI292/BY292,0)</f>
        <v>0</v>
      </c>
      <c r="CO292" s="53" t="n">
        <f aca="false">IF(BZ292=1,0,IFERROR(VLOOKUP(BX292,'Gebinde-Kategorie'!$A$5:$N$45,5,0)+0,0))</f>
        <v>11</v>
      </c>
      <c r="CP292" s="53" t="n">
        <f aca="false">IFERROR(IF(OR(CE292=1,CE292=2,CE292=3),N(INDEX(Parameter!$I$5:$I$7,CE292)),0),0)</f>
        <v>0</v>
      </c>
      <c r="CQ292" s="52" t="n">
        <f aca="false">IF(AND(Parameter!$B$21="Ja",ISNUMBER(W292),N(X292)&gt;0),IFERROR(N(INDEX(Parameter!$L$5:$L$7,W292))*INDEX(Parameter!$E$5:$E$7,W292)*X292/SUMIFS($X$7:$X$1843,$W$7:$W$1843,W292),0),0)</f>
        <v>0</v>
      </c>
    </row>
    <row r="293" customFormat="false" ht="15" hidden="false" customHeight="false" outlineLevel="0" collapsed="false">
      <c r="A293" s="48" t="s">
        <v>767</v>
      </c>
      <c r="B293" s="48" t="s">
        <v>768</v>
      </c>
      <c r="C293" s="48" t="s">
        <v>173</v>
      </c>
      <c r="D293" s="48" t="s">
        <v>193</v>
      </c>
      <c r="E293" s="48" t="s">
        <v>194</v>
      </c>
      <c r="F293" s="48" t="s">
        <v>227</v>
      </c>
      <c r="G293" s="49" t="n">
        <v>2.8</v>
      </c>
      <c r="H293" s="50" t="n">
        <f aca="false">MAX(0,IF(AND(Parameter!$B$21="Ja",ISNUMBER(Y293)),Y293,IF(Parameter!$B$20="Jahresanfang 2025 + Export",BR293+BQ293,BQ293)))</f>
        <v>123</v>
      </c>
      <c r="I293" s="50" t="n">
        <f aca="false">H293*G293</f>
        <v>344.4</v>
      </c>
      <c r="J293" s="50" t="n">
        <f aca="false">BT293*Parameter!$B$18</f>
        <v>129</v>
      </c>
      <c r="K293" s="51" t="n">
        <v>54.5</v>
      </c>
      <c r="L293" s="52" t="n">
        <v>2.36697247706422</v>
      </c>
      <c r="M293" s="50" t="n">
        <v>10</v>
      </c>
      <c r="N293" s="50" t="n">
        <v>130</v>
      </c>
      <c r="O293" s="53" t="n">
        <v>28</v>
      </c>
      <c r="P293" s="48" t="s">
        <v>430</v>
      </c>
      <c r="Q293" s="50" t="n">
        <v>115</v>
      </c>
      <c r="R293" s="53" t="n">
        <f aca="false">IF(BZ293=1,0,IFERROR(VLOOKUP(BX293,'Gebinde-Kategorie'!$A$5:$N$45,13,0)+0,0))</f>
        <v>104</v>
      </c>
      <c r="S293" s="54"/>
      <c r="T293" s="55"/>
      <c r="U293" s="55"/>
      <c r="V293" s="55"/>
      <c r="W293" s="48"/>
      <c r="X293" s="50"/>
      <c r="Y293" s="50"/>
      <c r="Z293" s="48" t="n">
        <f aca="false">IF(A293="","",IF(AND(Parameter!$B$21="Ja",ISNUMBER(W293)),W293,IF(CC293="2+3",IF(ISNUMBER(SEARCH("grosser Artikel",BU293)),2,IFERROR(VLOOKUP(BX293,Parameter!$F$35:$G$64,2,0),2)),IF(OR(CC293="Nein",CC293=""),"-",CC293))))</f>
        <v>3</v>
      </c>
      <c r="AA293" s="55"/>
      <c r="AB293" s="56"/>
      <c r="AC293" s="50" t="n">
        <f aca="false">AV293</f>
        <v>140</v>
      </c>
      <c r="AD293" s="50" t="n">
        <f aca="false">MAX(AV293,H293)</f>
        <v>140</v>
      </c>
      <c r="AE293" s="57"/>
      <c r="AF293" s="50" t="n">
        <f aca="false">IF(LEFT(Cockpit!$C$5,1)="A",H293,IF(Parameter!$E$30="MAX-Bestand",IF(CH293=1,CI293,IF(LEFT(Cockpit!$C$5,1)="B",AL293,MAX(AL293,H293))),ROUNDUP(AJ293,0)))</f>
        <v>123</v>
      </c>
      <c r="AG293" s="50" t="n">
        <f aca="false">IF(BZ293=1,0,ROUNDUP(AF293/BY293,0))</f>
        <v>2</v>
      </c>
      <c r="AH293" s="52" t="n">
        <f aca="false">IF(CQ293&gt;0,CQ293*MAX(1,AF293/X293),IF(BZ293=1,IF(AF293&lt;=0,0,CD293*MAX(1,IF(H293&gt;0,AF293/H293,1))),IF(R293&gt;0,AG293/R293,0))/MAX(0.1,N(Parameter!$M$21)))</f>
        <v>0.0192307692307692</v>
      </c>
      <c r="AI293" s="50" t="n">
        <f aca="false">AH293*CB293</f>
        <v>2.98076923076923</v>
      </c>
      <c r="AJ293" s="51" t="n">
        <f aca="false">IF(LEFT(Cockpit!$C$5,1)="A",H293,IF(CH293=1,(CK293+CI293)/2,IF(LEFT(Cockpit!$C$5,1)="B",(CK293+AL293)/2,MAX((CK293+AL293)/2,H293))))</f>
        <v>123</v>
      </c>
      <c r="AK293" s="50" t="n">
        <f aca="false">AJ293*G293</f>
        <v>344.4</v>
      </c>
      <c r="AL293" s="50" t="n">
        <f aca="false">ROUNDUP(CK293+MAX(CL293,2*(J293/IF(CG293&gt;0,CG293,MAX(0.1,N(Cockpit!$C$6)))-CK293)),0)</f>
        <v>140</v>
      </c>
      <c r="AM293" s="51" t="n">
        <f aca="false">IF(AI293&gt;0,J293/AI293,-1)</f>
        <v>43.2774193548387</v>
      </c>
      <c r="AN293" s="51" t="n">
        <f aca="false">IF(AND(OR(CF293="L1",CF293="L23",CF293="LIFT"),AI293&gt;0),SUMIFS($AI$7:$AI$1843,$CF$7:$CF$1843,CF293,$AM$7:$AM$1843,"&gt;"&amp;AM293)+SUMIFS($AI$7:$AI$1843,$CF$7:$CF$1843,CF293,$AM$7:$AM$1843,AM293,$BW$7:$BW$1843,"&lt;="&amp;BW293),"")</f>
        <v>1175.55769230769</v>
      </c>
      <c r="AO293" s="58" t="n">
        <f aca="false">IF(AN293="",0,MAX(0,MIN(1,(IF(CF293="L1",Parameter!$H$5,IF(CF293="L23",Parameter!$H$6+Parameter!$H$7,Parameter!$H$5+Parameter!$H$6+Parameter!$H$7))-(AN293-AI293))/AI293)))</f>
        <v>1</v>
      </c>
      <c r="AP293" s="50" t="n">
        <f aca="false">IF(LEFT(Cockpit!$I$5,1)="A",H293,IF(Parameter!$E$30="MAX-Bestand",IF(CH293=1,CI293,IF(LEFT(Cockpit!$I$5,1)="B",AV293,MAX(AV293,H293))),ROUNDUP(AT293,0)))</f>
        <v>123</v>
      </c>
      <c r="AQ293" s="50" t="n">
        <f aca="false">IF(BZ293=1,0,ROUNDUP(AP293/BY293,0))</f>
        <v>2</v>
      </c>
      <c r="AR293" s="52" t="n">
        <f aca="false">IF(CQ293&gt;0,CQ293*MAX(1,AP293/X293),IF(BZ293=1,IF(AP293&lt;=0,0,CD293*MAX(1,IF(H293&gt;0,AP293/H293,1))),IF(R293&gt;0,AQ293/R293,0))/MAX(0.1,N(Parameter!$M$21)))</f>
        <v>0.0192307692307692</v>
      </c>
      <c r="AS293" s="50" t="n">
        <f aca="false">AR293*CB293</f>
        <v>2.98076923076923</v>
      </c>
      <c r="AT293" s="51" t="n">
        <f aca="false">IF(LEFT(Cockpit!$I$5,1)="A",H293,IF(CH293=1,(CK293+CI293)/2,IF(LEFT(Cockpit!$I$5,1)="B",(CK293+AV293)/2,MAX((CK293+AV293)/2,H293))))</f>
        <v>123</v>
      </c>
      <c r="AU293" s="50" t="n">
        <f aca="false">AT293*G293</f>
        <v>344.4</v>
      </c>
      <c r="AV293" s="50" t="n">
        <f aca="false">ROUNDUP(CK293+MAX(CL293,2*(J293/IF(CG293&gt;0,CG293,MAX(0.1,N(Cockpit!$I$6)))-CK293)),0)</f>
        <v>140</v>
      </c>
      <c r="AW293" s="51" t="n">
        <f aca="false">IF(AS293&gt;0,J293/AS293,-1)</f>
        <v>43.2774193548387</v>
      </c>
      <c r="AX293" s="51" t="n">
        <f aca="false">IF(AND(OR(CF293="L1",CF293="L23",CF293="LIFT"),AS293&gt;0),SUMIFS($AS$7:$AS$1843,$CF$7:$CF$1843,CF293,$AW$7:$AW$1843,"&gt;"&amp;AW293)+SUMIFS($AS$7:$AS$1843,$CF$7:$CF$1843,CF293,$AW$7:$AW$1843,AW293,$BW$7:$BW$1843,"&lt;="&amp;BW293),"")</f>
        <v>1461.76968864469</v>
      </c>
      <c r="AY293" s="58" t="n">
        <f aca="false">IF(AX293="",0,MAX(0,MIN(1,(IF(CF293="L1",Parameter!$H$5,IF(CF293="L23",Parameter!$H$6+Parameter!$H$7,Parameter!$H$5+Parameter!$H$6+Parameter!$H$7))-(AX293-AS293))/AS293)))</f>
        <v>1</v>
      </c>
      <c r="AZ293" s="50" t="n">
        <f aca="false">IF(LEFT(Cockpit!$O$5,1)="A",H293,IF(Parameter!$E$30="MAX-Bestand",IF(CH293=1,CI293,IF(LEFT(Cockpit!$O$5,1)="B",BF293,MAX(BF293,H293))),ROUNDUP(BD293,0)))</f>
        <v>75</v>
      </c>
      <c r="BA293" s="50" t="n">
        <f aca="false">IF(BZ293=1,0,ROUNDUP(AZ293/BY293,0))</f>
        <v>1</v>
      </c>
      <c r="BB293" s="52" t="n">
        <f aca="false">IF(CQ293&gt;0,CQ293*MAX(1,AZ293/X293),IF(BZ293=1,IF(AZ293&lt;=0,0,CD293*MAX(1,IF(H293&gt;0,AZ293/H293,1))),IF(R293&gt;0,BA293/R293,0))/MAX(0.1,N(Parameter!$M$21)))</f>
        <v>0.00961538461538462</v>
      </c>
      <c r="BC293" s="50" t="n">
        <f aca="false">BB293*CB293</f>
        <v>1.49038461538462</v>
      </c>
      <c r="BD293" s="51" t="n">
        <f aca="false">IF(LEFT(Cockpit!$O$5,1)="A",H293,IF(CH293=1,(CK293+CI293)/2,IF(LEFT(Cockpit!$O$5,1)="B",(CK293+BF293)/2,MAX((CK293+BF293)/2,H293))))</f>
        <v>75</v>
      </c>
      <c r="BE293" s="50" t="n">
        <f aca="false">BD293*G293</f>
        <v>210</v>
      </c>
      <c r="BF293" s="50" t="n">
        <f aca="false">ROUNDUP(CK293+MAX(CL293,2*(J293/IF(CG293&gt;0,CG293,MAX(0.1,N(Cockpit!$O$6)))-CK293)),0)</f>
        <v>140</v>
      </c>
      <c r="BG293" s="51" t="n">
        <f aca="false">IF(BC293&gt;0,J293/BC293,-1)</f>
        <v>86.5548387096774</v>
      </c>
      <c r="BH293" s="51" t="n">
        <f aca="false">IF(AND(OR(CF293="L1",CF293="L23",CF293="LIFT"),BC293&gt;0),SUMIFS($BC$7:$BC$1843,$CF$7:$CF$1843,CF293,$BG$7:$BG$1843,"&gt;"&amp;BG293)+SUMIFS($BC$7:$BC$1843,$CF$7:$CF$1843,CF293,$BG$7:$BG$1843,BG293,$BW$7:$BW$1843,"&lt;="&amp;BW293),"")</f>
        <v>980.958333333333</v>
      </c>
      <c r="BI293" s="58" t="n">
        <f aca="false">IF(BH293="",0,MAX(0,MIN(1,(IF(CF293="L1",Parameter!$H$5,IF(CF293="L23",Parameter!$H$6+Parameter!$H$7,Parameter!$H$5+Parameter!$H$6+Parameter!$H$7))-(BH293-BC293))/BC293)))</f>
        <v>1</v>
      </c>
      <c r="BJ293" s="48" t="str">
        <f aca="false">IF(AI293&lt;=0,"",IF(CF293="Aussen","Aussenlager",IF(CF293="-","Nicht im Lift",IF(AO293&gt;=1,"Lift",IF(AO293&lt;=0,"Aussenlager","teilweise")))))</f>
        <v>Lift</v>
      </c>
      <c r="BK293" s="48" t="str">
        <f aca="false">IF(AS293&lt;=0,"",IF(CF293="Aussen","Aussenlager",IF(CF293="-","Nicht im Lift",IF(AY293&gt;=1,"Lift",IF(AY293&lt;=0,"Aussenlager","teilweise")))))</f>
        <v>Lift</v>
      </c>
      <c r="BL293" s="48" t="str">
        <f aca="false">IF(BC293&lt;=0,"",IF(CF293="Aussen","Aussenlager",IF(CF293="-","Nicht im Lift",IF(BI293&gt;=1,"Lift",IF(BI293&lt;=0,"Aussenlager","teilweise")))))</f>
        <v>Lift</v>
      </c>
      <c r="BM293" s="48" t="str">
        <f aca="false">IF(A293="","",IF(BV293=1,"Neu; ","")&amp;IF(AND(BV293=0,BQ293&lt;0),"negativer Bestand (Export "&amp;BQ293&amp;"); ","")&amp;IF(J293&lt;=0,"Kein Verbrauch; ","")&amp;IF(CQ293&gt;0,"Lift "&amp;W293&amp;" lt. Liftbericht (Fach "&amp;X293&amp;" Stk); ",IF(CA293=1,"Gebinde geschätzt ("&amp;T293&amp;"); ",IF(BZ293=1,"Lose – Tablare geschätzt; ","")))&amp;IF(H293&gt;AV293,"Überbestand "&amp;ROUND(H293-AV293,0)&amp;" Stk / CHF "&amp;ROUND((H293-AV293)*G293,0)&amp;"; ","")&amp;IF(AND(CH293=1,CI293&lt;CJ293),"MAX &lt; MB+LG; ","")&amp;IF(AND(CP293&gt;0,CO293*10&gt;CP293),"zu hoch für Tablar; ","")&amp;IF(AND(BV293=0,OR(CH293=1,AA293&lt;&gt;"",U293&lt;&gt;"",V293&lt;&gt;"",AB293&lt;&gt;"")),"manuell übersteuert; ","")&amp;IF(AND(BZ293=0,R293=0),"Gebinde unbekannt / Stellmass fehlt; ","")&amp;IF(AND(BZ293=0,N(V293)&lt;=0,N(Q293)&lt;=0),"Menge pro Gebinde fehlt (Ist = 1 Gebinde); ","")&amp;BU293)</f>
        <v/>
      </c>
      <c r="BN293" s="48"/>
      <c r="BO293" s="48"/>
      <c r="BP293" s="55"/>
      <c r="BQ293" s="50" t="n">
        <v>105</v>
      </c>
      <c r="BR293" s="50" t="n">
        <v>18</v>
      </c>
      <c r="BS293" s="49" t="n">
        <v>294.18</v>
      </c>
      <c r="BT293" s="50" t="n">
        <v>129</v>
      </c>
      <c r="BU293" s="48"/>
      <c r="BV293" s="53" t="n">
        <v>0</v>
      </c>
      <c r="BW293" s="53" t="n">
        <v>293</v>
      </c>
      <c r="BX293" s="48" t="str">
        <f aca="false">IF(U293&lt;&gt;"",UPPER(TRIM(U293)),IF(CA293=1,UPPER(VLOOKUP(T293,Parameter!$I$27:$K$29,2,0)),IF(P293="","LOSE",P293)))</f>
        <v>S32</v>
      </c>
      <c r="BY293" s="50" t="n">
        <f aca="false">IF(BX293="LOSE",1,IF(N(V293)&gt;0,V293,IF(CA293=1,MAX(1,N(VLOOKUP(T293,Parameter!$I$27:$K$29,3,0)),H293,N(N293)),IF(N(Q293)&gt;0,Q293,MAX(1,H293)))))</f>
        <v>115</v>
      </c>
      <c r="BZ293" s="53" t="n">
        <f aca="false">IF(BX293="LOSE",1,0)</f>
        <v>0</v>
      </c>
      <c r="CA293" s="53" t="n">
        <f aca="false">IF(AND(U293="",OR(P293="",P293="LOSE"),T293&lt;&gt;"",N(S293)&lt;=0,ISNUMBER(MATCH(T293,Parameter!$I$27:$I$29,0))),1,0)</f>
        <v>0</v>
      </c>
      <c r="CB293" s="53" t="n">
        <f aca="false">IF(CQ293&gt;0,INDEX(Parameter!$H$5:$H$7,W293)/INDEX(Parameter!$E$5:$E$7,W293),IF(AND(BZ293=0,N(IFERROR(VLOOKUP(BX293,'Gebinde-Kategorie'!$A$5:$N$45,14,0),0))&gt;0),VLOOKUP(BX293,'Gebinde-Kategorie'!$A$5:$N$45,14,0)*10+Parameter!$M$23,Parameter!$M$24))</f>
        <v>155</v>
      </c>
      <c r="CC293" s="48" t="str">
        <f aca="false">IF(AND(Parameter!$B$19="Ja",E293&lt;&gt;"",ISNUMBER(MATCH(E293,Parameter!$I$35:$I$52,0))),VLOOKUP(E293,Parameter!$I$35:$J$52,2,0),IFERROR(VLOOKUP(D293,Parameter!$A$35:$C$64,2,0),"Nein"))</f>
        <v>2+3</v>
      </c>
      <c r="CD293" s="52" t="n">
        <f aca="false">IF(BZ293=0,0,IF(N(S293)&gt;0,S293,IFERROR(VLOOKUP(D293,Parameter!$A$35:$C$64,3,0)+0,0)))</f>
        <v>0</v>
      </c>
      <c r="CE293" s="48" t="n">
        <f aca="false">IF(AA293&lt;&gt;"",AA293,Z293)</f>
        <v>3</v>
      </c>
      <c r="CF293" s="48" t="str">
        <f aca="false">IF(OR(CE293=1,CE293=2,CE293=3),IF(Parameter!$E$27="Ja","LIFT",IF(CE293=1,"L1","L23")),IF(CE293="Aussen","Aussen","-"))</f>
        <v>LIFT</v>
      </c>
      <c r="CG293" s="59" t="n">
        <f aca="false">IF(N(AB293)&gt;0,AB293,0)</f>
        <v>0</v>
      </c>
      <c r="CH293" s="53" t="n">
        <f aca="false">IF(ISNUMBER(AE293),1,0)</f>
        <v>0</v>
      </c>
      <c r="CI293" s="50" t="n">
        <f aca="false">N(AE293)</f>
        <v>0</v>
      </c>
      <c r="CJ293" s="50" t="n">
        <f aca="false">N(M293)+N(N293)</f>
        <v>140</v>
      </c>
      <c r="CK293" s="50" t="n">
        <f aca="false">N(M293)</f>
        <v>10</v>
      </c>
      <c r="CL293" s="50" t="n">
        <f aca="false">N(N293)</f>
        <v>130</v>
      </c>
      <c r="CM293" s="50" t="n">
        <f aca="false">ROUNDUP(H293/BY293,0)</f>
        <v>2</v>
      </c>
      <c r="CN293" s="50" t="n">
        <f aca="false">ROUNDUP(CI293/BY293,0)</f>
        <v>0</v>
      </c>
      <c r="CO293" s="53" t="n">
        <f aca="false">IF(BZ293=1,0,IFERROR(VLOOKUP(BX293,'Gebinde-Kategorie'!$A$5:$N$45,5,0)+0,0))</f>
        <v>8</v>
      </c>
      <c r="CP293" s="53" t="n">
        <f aca="false">IFERROR(IF(OR(CE293=1,CE293=2,CE293=3),N(INDEX(Parameter!$I$5:$I$7,CE293)),0),0)</f>
        <v>0</v>
      </c>
      <c r="CQ293" s="52" t="n">
        <f aca="false">IF(AND(Parameter!$B$21="Ja",ISNUMBER(W293),N(X293)&gt;0),IFERROR(N(INDEX(Parameter!$L$5:$L$7,W293))*INDEX(Parameter!$E$5:$E$7,W293)*X293/SUMIFS($X$7:$X$1843,$W$7:$W$1843,W293),0),0)</f>
        <v>0</v>
      </c>
    </row>
    <row r="294" customFormat="false" ht="15" hidden="false" customHeight="false" outlineLevel="0" collapsed="false">
      <c r="A294" s="48" t="s">
        <v>769</v>
      </c>
      <c r="B294" s="48" t="s">
        <v>770</v>
      </c>
      <c r="C294" s="48" t="s">
        <v>173</v>
      </c>
      <c r="D294" s="48" t="s">
        <v>193</v>
      </c>
      <c r="E294" s="48" t="s">
        <v>194</v>
      </c>
      <c r="F294" s="48" t="s">
        <v>227</v>
      </c>
      <c r="G294" s="49" t="n">
        <v>30.7</v>
      </c>
      <c r="H294" s="50" t="n">
        <f aca="false">MAX(0,IF(AND(Parameter!$B$21="Ja",ISNUMBER(Y294)),Y294,IF(Parameter!$B$20="Jahresanfang 2025 + Export",BR294+BQ294,BQ294)))</f>
        <v>18</v>
      </c>
      <c r="I294" s="50" t="n">
        <f aca="false">H294*G294</f>
        <v>552.6</v>
      </c>
      <c r="J294" s="50" t="n">
        <f aca="false">BT294*Parameter!$B$18</f>
        <v>2</v>
      </c>
      <c r="K294" s="51" t="n">
        <v>14</v>
      </c>
      <c r="L294" s="52" t="n">
        <v>0.142857142857143</v>
      </c>
      <c r="M294" s="50" t="n">
        <v>0</v>
      </c>
      <c r="N294" s="50" t="n">
        <v>1</v>
      </c>
      <c r="O294" s="53" t="n">
        <v>21</v>
      </c>
      <c r="P294" s="48" t="s">
        <v>410</v>
      </c>
      <c r="Q294" s="50" t="n">
        <v>10</v>
      </c>
      <c r="R294" s="53" t="n">
        <f aca="false">IF(BZ294=1,0,IFERROR(VLOOKUP(BX294,'Gebinde-Kategorie'!$A$5:$N$45,13,0)+0,0))</f>
        <v>280</v>
      </c>
      <c r="S294" s="54"/>
      <c r="T294" s="55"/>
      <c r="U294" s="55"/>
      <c r="V294" s="55"/>
      <c r="W294" s="48"/>
      <c r="X294" s="50"/>
      <c r="Y294" s="50"/>
      <c r="Z294" s="48" t="n">
        <f aca="false">IF(A294="","",IF(AND(Parameter!$B$21="Ja",ISNUMBER(W294)),W294,IF(CC294="2+3",IF(ISNUMBER(SEARCH("grosser Artikel",BU294)),2,IFERROR(VLOOKUP(BX294,Parameter!$F$35:$G$64,2,0),2)),IF(OR(CC294="Nein",CC294=""),"-",CC294))))</f>
        <v>3</v>
      </c>
      <c r="AA294" s="55"/>
      <c r="AB294" s="56"/>
      <c r="AC294" s="50" t="n">
        <f aca="false">AV294</f>
        <v>2</v>
      </c>
      <c r="AD294" s="50" t="n">
        <f aca="false">MAX(AV294,H294)</f>
        <v>18</v>
      </c>
      <c r="AE294" s="57"/>
      <c r="AF294" s="50" t="n">
        <f aca="false">IF(LEFT(Cockpit!$C$5,1)="A",H294,IF(Parameter!$E$30="MAX-Bestand",IF(CH294=1,CI294,IF(LEFT(Cockpit!$C$5,1)="B",AL294,MAX(AL294,H294))),ROUNDUP(AJ294,0)))</f>
        <v>18</v>
      </c>
      <c r="AG294" s="50" t="n">
        <f aca="false">IF(BZ294=1,0,ROUNDUP(AF294/BY294,0))</f>
        <v>2</v>
      </c>
      <c r="AH294" s="52" t="n">
        <f aca="false">IF(CQ294&gt;0,CQ294*MAX(1,AF294/X294),IF(BZ294=1,IF(AF294&lt;=0,0,CD294*MAX(1,IF(H294&gt;0,AF294/H294,1))),IF(R294&gt;0,AG294/R294,0))/MAX(0.1,N(Parameter!$M$21)))</f>
        <v>0.00714285714285714</v>
      </c>
      <c r="AI294" s="50" t="n">
        <f aca="false">AH294*CB294</f>
        <v>1.10714285714286</v>
      </c>
      <c r="AJ294" s="51" t="n">
        <f aca="false">IF(LEFT(Cockpit!$C$5,1)="A",H294,IF(CH294=1,(CK294+CI294)/2,IF(LEFT(Cockpit!$C$5,1)="B",(CK294+AL294)/2,MAX((CK294+AL294)/2,H294))))</f>
        <v>18</v>
      </c>
      <c r="AK294" s="50" t="n">
        <f aca="false">AJ294*G294</f>
        <v>552.6</v>
      </c>
      <c r="AL294" s="50" t="n">
        <f aca="false">ROUNDUP(CK294+MAX(CL294,2*(J294/IF(CG294&gt;0,CG294,MAX(0.1,N(Cockpit!$C$6)))-CK294)),0)</f>
        <v>2</v>
      </c>
      <c r="AM294" s="51" t="n">
        <f aca="false">IF(AI294&gt;0,J294/AI294,-1)</f>
        <v>1.80645161290323</v>
      </c>
      <c r="AN294" s="51" t="n">
        <f aca="false">IF(AND(OR(CF294="L1",CF294="L23",CF294="LIFT"),AI294&gt;0),SUMIFS($AI$7:$AI$1843,$CF$7:$CF$1843,CF294,$AM$7:$AM$1843,"&gt;"&amp;AM294)+SUMIFS($AI$7:$AI$1843,$CF$7:$CF$1843,CF294,$AM$7:$AM$1843,AM294,$BW$7:$BW$1843,"&lt;="&amp;BW294),"")</f>
        <v>5960.91529304029</v>
      </c>
      <c r="AO294" s="58" t="n">
        <f aca="false">IF(AN294="",0,MAX(0,MIN(1,(IF(CF294="L1",Parameter!$H$5,IF(CF294="L23",Parameter!$H$6+Parameter!$H$7,Parameter!$H$5+Parameter!$H$6+Parameter!$H$7))-(AN294-AI294))/AI294)))</f>
        <v>1</v>
      </c>
      <c r="AP294" s="50" t="n">
        <f aca="false">IF(LEFT(Cockpit!$I$5,1)="A",H294,IF(Parameter!$E$30="MAX-Bestand",IF(CH294=1,CI294,IF(LEFT(Cockpit!$I$5,1)="B",AV294,MAX(AV294,H294))),ROUNDUP(AT294,0)))</f>
        <v>18</v>
      </c>
      <c r="AQ294" s="50" t="n">
        <f aca="false">IF(BZ294=1,0,ROUNDUP(AP294/BY294,0))</f>
        <v>2</v>
      </c>
      <c r="AR294" s="52" t="n">
        <f aca="false">IF(CQ294&gt;0,CQ294*MAX(1,AP294/X294),IF(BZ294=1,IF(AP294&lt;=0,0,CD294*MAX(1,IF(H294&gt;0,AP294/H294,1))),IF(R294&gt;0,AQ294/R294,0))/MAX(0.1,N(Parameter!$M$21)))</f>
        <v>0.00714285714285714</v>
      </c>
      <c r="AS294" s="50" t="n">
        <f aca="false">AR294*CB294</f>
        <v>1.10714285714286</v>
      </c>
      <c r="AT294" s="51" t="n">
        <f aca="false">IF(LEFT(Cockpit!$I$5,1)="A",H294,IF(CH294=1,(CK294+CI294)/2,IF(LEFT(Cockpit!$I$5,1)="B",(CK294+AV294)/2,MAX((CK294+AV294)/2,H294))))</f>
        <v>18</v>
      </c>
      <c r="AU294" s="50" t="n">
        <f aca="false">AT294*G294</f>
        <v>552.6</v>
      </c>
      <c r="AV294" s="50" t="n">
        <f aca="false">ROUNDUP(CK294+MAX(CL294,2*(J294/IF(CG294&gt;0,CG294,MAX(0.1,N(Cockpit!$I$6)))-CK294)),0)</f>
        <v>2</v>
      </c>
      <c r="AW294" s="51" t="n">
        <f aca="false">IF(AS294&gt;0,J294/AS294,-1)</f>
        <v>1.80645161290323</v>
      </c>
      <c r="AX294" s="51" t="n">
        <f aca="false">IF(AND(OR(CF294="L1",CF294="L23",CF294="LIFT"),AS294&gt;0),SUMIFS($AS$7:$AS$1843,$CF$7:$CF$1843,CF294,$AW$7:$AW$1843,"&gt;"&amp;AW294)+SUMIFS($AS$7:$AS$1843,$CF$7:$CF$1843,CF294,$AW$7:$AW$1843,AW294,$BW$7:$BW$1843,"&lt;="&amp;BW294),"")</f>
        <v>7398.43818681319</v>
      </c>
      <c r="AY294" s="58" t="n">
        <f aca="false">IF(AX294="",0,MAX(0,MIN(1,(IF(CF294="L1",Parameter!$H$5,IF(CF294="L23",Parameter!$H$6+Parameter!$H$7,Parameter!$H$5+Parameter!$H$6+Parameter!$H$7))-(AX294-AS294))/AS294)))</f>
        <v>1</v>
      </c>
      <c r="AZ294" s="50" t="n">
        <f aca="false">IF(LEFT(Cockpit!$O$5,1)="A",H294,IF(Parameter!$E$30="MAX-Bestand",IF(CH294=1,CI294,IF(LEFT(Cockpit!$O$5,1)="B",BF294,MAX(BF294,H294))),ROUNDUP(BD294,0)))</f>
        <v>1</v>
      </c>
      <c r="BA294" s="50" t="n">
        <f aca="false">IF(BZ294=1,0,ROUNDUP(AZ294/BY294,0))</f>
        <v>1</v>
      </c>
      <c r="BB294" s="52" t="n">
        <f aca="false">IF(CQ294&gt;0,CQ294*MAX(1,AZ294/X294),IF(BZ294=1,IF(AZ294&lt;=0,0,CD294*MAX(1,IF(H294&gt;0,AZ294/H294,1))),IF(R294&gt;0,BA294/R294,0))/MAX(0.1,N(Parameter!$M$21)))</f>
        <v>0.00357142857142857</v>
      </c>
      <c r="BC294" s="50" t="n">
        <f aca="false">BB294*CB294</f>
        <v>0.553571428571429</v>
      </c>
      <c r="BD294" s="51" t="n">
        <f aca="false">IF(LEFT(Cockpit!$O$5,1)="A",H294,IF(CH294=1,(CK294+CI294)/2,IF(LEFT(Cockpit!$O$5,1)="B",(CK294+BF294)/2,MAX((CK294+BF294)/2,H294))))</f>
        <v>0.5</v>
      </c>
      <c r="BE294" s="50" t="n">
        <f aca="false">BD294*G294</f>
        <v>15.35</v>
      </c>
      <c r="BF294" s="50" t="n">
        <f aca="false">ROUNDUP(CK294+MAX(CL294,2*(J294/IF(CG294&gt;0,CG294,MAX(0.1,N(Cockpit!$O$6)))-CK294)),0)</f>
        <v>1</v>
      </c>
      <c r="BG294" s="51" t="n">
        <f aca="false">IF(BC294&gt;0,J294/BC294,-1)</f>
        <v>3.61290322580645</v>
      </c>
      <c r="BH294" s="51" t="n">
        <f aca="false">IF(AND(OR(CF294="L1",CF294="L23",CF294="LIFT"),BC294&gt;0),SUMIFS($BC$7:$BC$1843,$CF$7:$CF$1843,CF294,$BG$7:$BG$1843,"&gt;"&amp;BG294)+SUMIFS($BC$7:$BC$1843,$CF$7:$CF$1843,CF294,$BG$7:$BG$1843,BG294,$BW$7:$BW$1843,"&lt;="&amp;BW294),"")</f>
        <v>4416.08287545788</v>
      </c>
      <c r="BI294" s="58" t="n">
        <f aca="false">IF(BH294="",0,MAX(0,MIN(1,(IF(CF294="L1",Parameter!$H$5,IF(CF294="L23",Parameter!$H$6+Parameter!$H$7,Parameter!$H$5+Parameter!$H$6+Parameter!$H$7))-(BH294-BC294))/BC294)))</f>
        <v>1</v>
      </c>
      <c r="BJ294" s="48" t="str">
        <f aca="false">IF(AI294&lt;=0,"",IF(CF294="Aussen","Aussenlager",IF(CF294="-","Nicht im Lift",IF(AO294&gt;=1,"Lift",IF(AO294&lt;=0,"Aussenlager","teilweise")))))</f>
        <v>Lift</v>
      </c>
      <c r="BK294" s="48" t="str">
        <f aca="false">IF(AS294&lt;=0,"",IF(CF294="Aussen","Aussenlager",IF(CF294="-","Nicht im Lift",IF(AY294&gt;=1,"Lift",IF(AY294&lt;=0,"Aussenlager","teilweise")))))</f>
        <v>Lift</v>
      </c>
      <c r="BL294" s="48" t="str">
        <f aca="false">IF(BC294&lt;=0,"",IF(CF294="Aussen","Aussenlager",IF(CF294="-","Nicht im Lift",IF(BI294&gt;=1,"Lift",IF(BI294&lt;=0,"Aussenlager","teilweise")))))</f>
        <v>Lift</v>
      </c>
      <c r="BM294" s="48" t="str">
        <f aca="false">IF(A294="","",IF(BV294=1,"Neu; ","")&amp;IF(AND(BV294=0,BQ294&lt;0),"negativer Bestand (Export "&amp;BQ294&amp;"); ","")&amp;IF(J294&lt;=0,"Kein Verbrauch; ","")&amp;IF(CQ294&gt;0,"Lift "&amp;W294&amp;" lt. Liftbericht (Fach "&amp;X294&amp;" Stk); ",IF(CA294=1,"Gebinde geschätzt ("&amp;T294&amp;"); ",IF(BZ294=1,"Lose – Tablare geschätzt; ","")))&amp;IF(H294&gt;AV294,"Überbestand "&amp;ROUND(H294-AV294,0)&amp;" Stk / CHF "&amp;ROUND((H294-AV294)*G294,0)&amp;"; ","")&amp;IF(AND(CH294=1,CI294&lt;CJ294),"MAX &lt; MB+LG; ","")&amp;IF(AND(CP294&gt;0,CO294*10&gt;CP294),"zu hoch für Tablar; ","")&amp;IF(AND(BV294=0,OR(CH294=1,AA294&lt;&gt;"",U294&lt;&gt;"",V294&lt;&gt;"",AB294&lt;&gt;"")),"manuell übersteuert; ","")&amp;IF(AND(BZ294=0,R294=0),"Gebinde unbekannt / Stellmass fehlt; ","")&amp;IF(AND(BZ294=0,N(V294)&lt;=0,N(Q294)&lt;=0),"Menge pro Gebinde fehlt (Ist = 1 Gebinde); ","")&amp;BU294)</f>
        <v>Überbestand 16 Stk / CHF 491; </v>
      </c>
      <c r="BN294" s="48"/>
      <c r="BO294" s="48"/>
      <c r="BP294" s="55"/>
      <c r="BQ294" s="50" t="n">
        <v>8</v>
      </c>
      <c r="BR294" s="50" t="n">
        <v>10</v>
      </c>
      <c r="BS294" s="49" t="n">
        <v>286.9</v>
      </c>
      <c r="BT294" s="50" t="n">
        <v>2</v>
      </c>
      <c r="BU294" s="48"/>
      <c r="BV294" s="53" t="n">
        <v>0</v>
      </c>
      <c r="BW294" s="53" t="n">
        <v>294</v>
      </c>
      <c r="BX294" s="48" t="str">
        <f aca="false">IF(U294&lt;&gt;"",UPPER(TRIM(U294)),IF(CA294=1,UPPER(VLOOKUP(T294,Parameter!$I$27:$K$29,2,0)),IF(P294="","LOSE",P294)))</f>
        <v>S21</v>
      </c>
      <c r="BY294" s="50" t="n">
        <f aca="false">IF(BX294="LOSE",1,IF(N(V294)&gt;0,V294,IF(CA294=1,MAX(1,N(VLOOKUP(T294,Parameter!$I$27:$K$29,3,0)),H294,N(N294)),IF(N(Q294)&gt;0,Q294,MAX(1,H294)))))</f>
        <v>10</v>
      </c>
      <c r="BZ294" s="53" t="n">
        <f aca="false">IF(BX294="LOSE",1,0)</f>
        <v>0</v>
      </c>
      <c r="CA294" s="53" t="n">
        <f aca="false">IF(AND(U294="",OR(P294="",P294="LOSE"),T294&lt;&gt;"",N(S294)&lt;=0,ISNUMBER(MATCH(T294,Parameter!$I$27:$I$29,0))),1,0)</f>
        <v>0</v>
      </c>
      <c r="CB294" s="53" t="n">
        <f aca="false">IF(CQ294&gt;0,INDEX(Parameter!$H$5:$H$7,W294)/INDEX(Parameter!$E$5:$E$7,W294),IF(AND(BZ294=0,N(IFERROR(VLOOKUP(BX294,'Gebinde-Kategorie'!$A$5:$N$45,14,0),0))&gt;0),VLOOKUP(BX294,'Gebinde-Kategorie'!$A$5:$N$45,14,0)*10+Parameter!$M$23,Parameter!$M$24))</f>
        <v>155</v>
      </c>
      <c r="CC294" s="48" t="str">
        <f aca="false">IF(AND(Parameter!$B$19="Ja",E294&lt;&gt;"",ISNUMBER(MATCH(E294,Parameter!$I$35:$I$52,0))),VLOOKUP(E294,Parameter!$I$35:$J$52,2,0),IFERROR(VLOOKUP(D294,Parameter!$A$35:$C$64,2,0),"Nein"))</f>
        <v>2+3</v>
      </c>
      <c r="CD294" s="52" t="n">
        <f aca="false">IF(BZ294=0,0,IF(N(S294)&gt;0,S294,IFERROR(VLOOKUP(D294,Parameter!$A$35:$C$64,3,0)+0,0)))</f>
        <v>0</v>
      </c>
      <c r="CE294" s="48" t="n">
        <f aca="false">IF(AA294&lt;&gt;"",AA294,Z294)</f>
        <v>3</v>
      </c>
      <c r="CF294" s="48" t="str">
        <f aca="false">IF(OR(CE294=1,CE294=2,CE294=3),IF(Parameter!$E$27="Ja","LIFT",IF(CE294=1,"L1","L23")),IF(CE294="Aussen","Aussen","-"))</f>
        <v>LIFT</v>
      </c>
      <c r="CG294" s="59" t="n">
        <f aca="false">IF(N(AB294)&gt;0,AB294,0)</f>
        <v>0</v>
      </c>
      <c r="CH294" s="53" t="n">
        <f aca="false">IF(ISNUMBER(AE294),1,0)</f>
        <v>0</v>
      </c>
      <c r="CI294" s="50" t="n">
        <f aca="false">N(AE294)</f>
        <v>0</v>
      </c>
      <c r="CJ294" s="50" t="n">
        <f aca="false">N(M294)+N(N294)</f>
        <v>1</v>
      </c>
      <c r="CK294" s="50" t="n">
        <f aca="false">N(M294)</f>
        <v>0</v>
      </c>
      <c r="CL294" s="50" t="n">
        <f aca="false">N(N294)</f>
        <v>1</v>
      </c>
      <c r="CM294" s="50" t="n">
        <f aca="false">ROUNDUP(H294/BY294,0)</f>
        <v>2</v>
      </c>
      <c r="CN294" s="50" t="n">
        <f aca="false">ROUNDUP(CI294/BY294,0)</f>
        <v>0</v>
      </c>
      <c r="CO294" s="53" t="n">
        <f aca="false">IF(BZ294=1,0,IFERROR(VLOOKUP(BX294,'Gebinde-Kategorie'!$A$5:$N$45,5,0)+0,0))</f>
        <v>8</v>
      </c>
      <c r="CP294" s="53" t="n">
        <f aca="false">IFERROR(IF(OR(CE294=1,CE294=2,CE294=3),N(INDEX(Parameter!$I$5:$I$7,CE294)),0),0)</f>
        <v>0</v>
      </c>
      <c r="CQ294" s="52" t="n">
        <f aca="false">IF(AND(Parameter!$B$21="Ja",ISNUMBER(W294),N(X294)&gt;0),IFERROR(N(INDEX(Parameter!$L$5:$L$7,W294))*INDEX(Parameter!$E$5:$E$7,W294)*X294/SUMIFS($X$7:$X$1843,$W$7:$W$1843,W294),0),0)</f>
        <v>0</v>
      </c>
    </row>
    <row r="295" customFormat="false" ht="15" hidden="false" customHeight="false" outlineLevel="0" collapsed="false">
      <c r="A295" s="48" t="s">
        <v>771</v>
      </c>
      <c r="B295" s="48" t="s">
        <v>772</v>
      </c>
      <c r="C295" s="48" t="s">
        <v>173</v>
      </c>
      <c r="D295" s="48" t="s">
        <v>193</v>
      </c>
      <c r="E295" s="48"/>
      <c r="F295" s="48" t="s">
        <v>227</v>
      </c>
      <c r="G295" s="49" t="n">
        <v>5.72</v>
      </c>
      <c r="H295" s="50" t="n">
        <f aca="false">MAX(0,IF(AND(Parameter!$B$21="Ja",ISNUMBER(Y295)),Y295,IF(Parameter!$B$20="Jahresanfang 2025 + Export",BR295+BQ295,BQ295)))</f>
        <v>50</v>
      </c>
      <c r="I295" s="50" t="n">
        <f aca="false">H295*G295</f>
        <v>286</v>
      </c>
      <c r="J295" s="50" t="n">
        <f aca="false">BT295*Parameter!$B$18</f>
        <v>0</v>
      </c>
      <c r="K295" s="51" t="n">
        <v>0</v>
      </c>
      <c r="L295" s="52" t="n">
        <v>0</v>
      </c>
      <c r="M295" s="50" t="n">
        <v>0</v>
      </c>
      <c r="N295" s="50" t="n">
        <v>1</v>
      </c>
      <c r="O295" s="53" t="n">
        <v>9999</v>
      </c>
      <c r="P295" s="48" t="s">
        <v>177</v>
      </c>
      <c r="Q295" s="50"/>
      <c r="R295" s="53" t="n">
        <f aca="false">IF(BZ295=1,0,IFERROR(VLOOKUP(BX295,'Gebinde-Kategorie'!$A$5:$N$45,13,0)+0,0))</f>
        <v>26</v>
      </c>
      <c r="S295" s="54"/>
      <c r="T295" s="55" t="s">
        <v>284</v>
      </c>
      <c r="U295" s="55"/>
      <c r="V295" s="55"/>
      <c r="W295" s="48"/>
      <c r="X295" s="50"/>
      <c r="Y295" s="50"/>
      <c r="Z295" s="48" t="n">
        <f aca="false">IF(A295="","",IF(AND(Parameter!$B$21="Ja",ISNUMBER(W295)),W295,IF(CC295="2+3",IF(ISNUMBER(SEARCH("grosser Artikel",BU295)),2,IFERROR(VLOOKUP(BX295,Parameter!$F$35:$G$64,2,0),2)),IF(OR(CC295="Nein",CC295=""),"-",CC295))))</f>
        <v>3</v>
      </c>
      <c r="AA295" s="55"/>
      <c r="AB295" s="56"/>
      <c r="AC295" s="50" t="n">
        <f aca="false">AV295</f>
        <v>1</v>
      </c>
      <c r="AD295" s="50" t="n">
        <f aca="false">MAX(AV295,H295)</f>
        <v>50</v>
      </c>
      <c r="AE295" s="57"/>
      <c r="AF295" s="50" t="n">
        <f aca="false">IF(LEFT(Cockpit!$C$5,1)="A",H295,IF(Parameter!$E$30="MAX-Bestand",IF(CH295=1,CI295,IF(LEFT(Cockpit!$C$5,1)="B",AL295,MAX(AL295,H295))),ROUNDUP(AJ295,0)))</f>
        <v>50</v>
      </c>
      <c r="AG295" s="50" t="n">
        <f aca="false">IF(BZ295=1,0,ROUNDUP(AF295/BY295,0))</f>
        <v>1</v>
      </c>
      <c r="AH295" s="52" t="n">
        <f aca="false">IF(CQ295&gt;0,CQ295*MAX(1,AF295/X295),IF(BZ295=1,IF(AF295&lt;=0,0,CD295*MAX(1,IF(H295&gt;0,AF295/H295,1))),IF(R295&gt;0,AG295/R295,0))/MAX(0.1,N(Parameter!$M$21)))</f>
        <v>0.0384615384615385</v>
      </c>
      <c r="AI295" s="50" t="n">
        <f aca="false">AH295*CB295</f>
        <v>5.96153846153846</v>
      </c>
      <c r="AJ295" s="51" t="n">
        <f aca="false">IF(LEFT(Cockpit!$C$5,1)="A",H295,IF(CH295=1,(CK295+CI295)/2,IF(LEFT(Cockpit!$C$5,1)="B",(CK295+AL295)/2,MAX((CK295+AL295)/2,H295))))</f>
        <v>50</v>
      </c>
      <c r="AK295" s="50" t="n">
        <f aca="false">AJ295*G295</f>
        <v>286</v>
      </c>
      <c r="AL295" s="50" t="n">
        <f aca="false">ROUNDUP(CK295+MAX(CL295,2*(J295/IF(CG295&gt;0,CG295,MAX(0.1,N(Cockpit!$C$6)))-CK295)),0)</f>
        <v>1</v>
      </c>
      <c r="AM295" s="51" t="n">
        <f aca="false">IF(AI295&gt;0,J295/AI295,-1)</f>
        <v>0</v>
      </c>
      <c r="AN295" s="51" t="n">
        <f aca="false">IF(AND(OR(CF295="L1",CF295="L23",CF295="LIFT"),AI295&gt;0),SUMIFS($AI$7:$AI$1843,$CF$7:$CF$1843,CF295,$AM$7:$AM$1843,"&gt;"&amp;AM295)+SUMIFS($AI$7:$AI$1843,$CF$7:$CF$1843,CF295,$AM$7:$AM$1843,AM295,$BW$7:$BW$1843,"&lt;="&amp;BW295),"")</f>
        <v>27823.7780985493</v>
      </c>
      <c r="AO295" s="58" t="n">
        <f aca="false">IF(AN295="",0,MAX(0,MIN(1,(IF(CF295="L1",Parameter!$H$5,IF(CF295="L23",Parameter!$H$6+Parameter!$H$7,Parameter!$H$5+Parameter!$H$6+Parameter!$H$7))-(AN295-AI295))/AI295)))</f>
        <v>1</v>
      </c>
      <c r="AP295" s="50" t="n">
        <f aca="false">IF(LEFT(Cockpit!$I$5,1)="A",H295,IF(Parameter!$E$30="MAX-Bestand",IF(CH295=1,CI295,IF(LEFT(Cockpit!$I$5,1)="B",AV295,MAX(AV295,H295))),ROUNDUP(AT295,0)))</f>
        <v>50</v>
      </c>
      <c r="AQ295" s="50" t="n">
        <f aca="false">IF(BZ295=1,0,ROUNDUP(AP295/BY295,0))</f>
        <v>1</v>
      </c>
      <c r="AR295" s="52" t="n">
        <f aca="false">IF(CQ295&gt;0,CQ295*MAX(1,AP295/X295),IF(BZ295=1,IF(AP295&lt;=0,0,CD295*MAX(1,IF(H295&gt;0,AP295/H295,1))),IF(R295&gt;0,AQ295/R295,0))/MAX(0.1,N(Parameter!$M$21)))</f>
        <v>0.0384615384615385</v>
      </c>
      <c r="AS295" s="50" t="n">
        <f aca="false">AR295*CB295</f>
        <v>5.96153846153846</v>
      </c>
      <c r="AT295" s="51" t="n">
        <f aca="false">IF(LEFT(Cockpit!$I$5,1)="A",H295,IF(CH295=1,(CK295+CI295)/2,IF(LEFT(Cockpit!$I$5,1)="B",(CK295+AV295)/2,MAX((CK295+AV295)/2,H295))))</f>
        <v>50</v>
      </c>
      <c r="AU295" s="50" t="n">
        <f aca="false">AT295*G295</f>
        <v>286</v>
      </c>
      <c r="AV295" s="50" t="n">
        <f aca="false">ROUNDUP(CK295+MAX(CL295,2*(J295/IF(CG295&gt;0,CG295,MAX(0.1,N(Cockpit!$I$6)))-CK295)),0)</f>
        <v>1</v>
      </c>
      <c r="AW295" s="51" t="n">
        <f aca="false">IF(AS295&gt;0,J295/AS295,-1)</f>
        <v>0</v>
      </c>
      <c r="AX295" s="51" t="n">
        <f aca="false">IF(AND(OR(CF295="L1",CF295="L23",CF295="LIFT"),AS295&gt;0),SUMIFS($AS$7:$AS$1843,$CF$7:$CF$1843,CF295,$AW$7:$AW$1843,"&gt;"&amp;AW295)+SUMIFS($AS$7:$AS$1843,$CF$7:$CF$1843,CF295,$AW$7:$AW$1843,AW295,$BW$7:$BW$1843,"&lt;="&amp;BW295),"")</f>
        <v>33176.9267399267</v>
      </c>
      <c r="AY295" s="58" t="n">
        <f aca="false">IF(AX295="",0,MAX(0,MIN(1,(IF(CF295="L1",Parameter!$H$5,IF(CF295="L23",Parameter!$H$6+Parameter!$H$7,Parameter!$H$5+Parameter!$H$6+Parameter!$H$7))-(AX295-AS295))/AS295)))</f>
        <v>1</v>
      </c>
      <c r="AZ295" s="50" t="n">
        <f aca="false">IF(LEFT(Cockpit!$O$5,1)="A",H295,IF(Parameter!$E$30="MAX-Bestand",IF(CH295=1,CI295,IF(LEFT(Cockpit!$O$5,1)="B",BF295,MAX(BF295,H295))),ROUNDUP(BD295,0)))</f>
        <v>1</v>
      </c>
      <c r="BA295" s="50" t="n">
        <f aca="false">IF(BZ295=1,0,ROUNDUP(AZ295/BY295,0))</f>
        <v>1</v>
      </c>
      <c r="BB295" s="52" t="n">
        <f aca="false">IF(CQ295&gt;0,CQ295*MAX(1,AZ295/X295),IF(BZ295=1,IF(AZ295&lt;=0,0,CD295*MAX(1,IF(H295&gt;0,AZ295/H295,1))),IF(R295&gt;0,BA295/R295,0))/MAX(0.1,N(Parameter!$M$21)))</f>
        <v>0.0384615384615385</v>
      </c>
      <c r="BC295" s="50" t="n">
        <f aca="false">BB295*CB295</f>
        <v>5.96153846153846</v>
      </c>
      <c r="BD295" s="51" t="n">
        <f aca="false">IF(LEFT(Cockpit!$O$5,1)="A",H295,IF(CH295=1,(CK295+CI295)/2,IF(LEFT(Cockpit!$O$5,1)="B",(CK295+BF295)/2,MAX((CK295+BF295)/2,H295))))</f>
        <v>0.5</v>
      </c>
      <c r="BE295" s="50" t="n">
        <f aca="false">BD295*G295</f>
        <v>2.86</v>
      </c>
      <c r="BF295" s="50" t="n">
        <f aca="false">ROUNDUP(CK295+MAX(CL295,2*(J295/IF(CG295&gt;0,CG295,MAX(0.1,N(Cockpit!$O$6)))-CK295)),0)</f>
        <v>1</v>
      </c>
      <c r="BG295" s="51" t="n">
        <f aca="false">IF(BC295&gt;0,J295/BC295,-1)</f>
        <v>0</v>
      </c>
      <c r="BH295" s="51" t="n">
        <f aca="false">IF(AND(OR(CF295="L1",CF295="L23",CF295="LIFT"),BC295&gt;0),SUMIFS($BC$7:$BC$1843,$CF$7:$CF$1843,CF295,$BG$7:$BG$1843,"&gt;"&amp;BG295)+SUMIFS($BC$7:$BC$1843,$CF$7:$CF$1843,CF295,$BG$7:$BG$1843,BG295,$BW$7:$BW$1843,"&lt;="&amp;BW295),"")</f>
        <v>27322.8034550196</v>
      </c>
      <c r="BI295" s="58" t="n">
        <f aca="false">IF(BH295="",0,MAX(0,MIN(1,(IF(CF295="L1",Parameter!$H$5,IF(CF295="L23",Parameter!$H$6+Parameter!$H$7,Parameter!$H$5+Parameter!$H$6+Parameter!$H$7))-(BH295-BC295))/BC295)))</f>
        <v>1</v>
      </c>
      <c r="BJ295" s="48" t="str">
        <f aca="false">IF(AI295&lt;=0,"",IF(CF295="Aussen","Aussenlager",IF(CF295="-","Nicht im Lift",IF(AO295&gt;=1,"Lift",IF(AO295&lt;=0,"Aussenlager","teilweise")))))</f>
        <v>Lift</v>
      </c>
      <c r="BK295" s="48" t="str">
        <f aca="false">IF(AS295&lt;=0,"",IF(CF295="Aussen","Aussenlager",IF(CF295="-","Nicht im Lift",IF(AY295&gt;=1,"Lift",IF(AY295&lt;=0,"Aussenlager","teilweise")))))</f>
        <v>Lift</v>
      </c>
      <c r="BL295" s="48" t="str">
        <f aca="false">IF(BC295&lt;=0,"",IF(CF295="Aussen","Aussenlager",IF(CF295="-","Nicht im Lift",IF(BI295&gt;=1,"Lift",IF(BI295&lt;=0,"Aussenlager","teilweise")))))</f>
        <v>Lift</v>
      </c>
      <c r="BM295" s="48" t="str">
        <f aca="false">IF(A295="","",IF(BV295=1,"Neu; ","")&amp;IF(AND(BV295=0,BQ295&lt;0),"negativer Bestand (Export "&amp;BQ295&amp;"); ","")&amp;IF(J295&lt;=0,"Kein Verbrauch; ","")&amp;IF(CQ295&gt;0,"Lift "&amp;W295&amp;" lt. Liftbericht (Fach "&amp;X295&amp;" Stk); ",IF(CA295=1,"Gebinde geschätzt ("&amp;T295&amp;"); ",IF(BZ295=1,"Lose – Tablare geschätzt; ","")))&amp;IF(H295&gt;AV295,"Überbestand "&amp;ROUND(H295-AV295,0)&amp;" Stk / CHF "&amp;ROUND((H295-AV295)*G295,0)&amp;"; ","")&amp;IF(AND(CH295=1,CI295&lt;CJ295),"MAX &lt; MB+LG; ","")&amp;IF(AND(CP295&gt;0,CO295*10&gt;CP295),"zu hoch für Tablar; ","")&amp;IF(AND(BV295=0,OR(CH295=1,AA295&lt;&gt;"",U295&lt;&gt;"",V295&lt;&gt;"",AB295&lt;&gt;"")),"manuell übersteuert; ","")&amp;IF(AND(BZ295=0,R295=0),"Gebinde unbekannt / Stellmass fehlt; ","")&amp;IF(AND(BZ295=0,N(V295)&lt;=0,N(Q295)&lt;=0),"Menge pro Gebinde fehlt (Ist = 1 Gebinde); ","")&amp;BU295)</f>
        <v>Kein Verbrauch; Gebinde geschätzt (Klein); Überbestand 49 Stk / CHF 280; Menge pro Gebinde fehlt (Ist = 1 Gebinde); </v>
      </c>
      <c r="BN295" s="48"/>
      <c r="BO295" s="48"/>
      <c r="BP295" s="55"/>
      <c r="BQ295" s="50" t="n">
        <v>50</v>
      </c>
      <c r="BR295" s="50" t="n">
        <v>0</v>
      </c>
      <c r="BS295" s="49" t="n">
        <v>286</v>
      </c>
      <c r="BT295" s="50" t="n">
        <v>0</v>
      </c>
      <c r="BU295" s="48"/>
      <c r="BV295" s="53" t="n">
        <v>0</v>
      </c>
      <c r="BW295" s="53" t="n">
        <v>295</v>
      </c>
      <c r="BX295" s="48" t="str">
        <f aca="false">IF(U295&lt;&gt;"",UPPER(TRIM(U295)),IF(CA295=1,UPPER(VLOOKUP(T295,Parameter!$I$27:$K$29,2,0)),IF(P295="","LOSE",P295)))</f>
        <v>S51</v>
      </c>
      <c r="BY295" s="50" t="n">
        <f aca="false">IF(BX295="LOSE",1,IF(N(V295)&gt;0,V295,IF(CA295=1,MAX(1,N(VLOOKUP(T295,Parameter!$I$27:$K$29,3,0)),H295,N(N295)),IF(N(Q295)&gt;0,Q295,MAX(1,H295)))))</f>
        <v>50</v>
      </c>
      <c r="BZ295" s="53" t="n">
        <f aca="false">IF(BX295="LOSE",1,0)</f>
        <v>0</v>
      </c>
      <c r="CA295" s="53" t="n">
        <f aca="false">IF(AND(U295="",OR(P295="",P295="LOSE"),T295&lt;&gt;"",N(S295)&lt;=0,ISNUMBER(MATCH(T295,Parameter!$I$27:$I$29,0))),1,0)</f>
        <v>1</v>
      </c>
      <c r="CB295" s="53" t="n">
        <f aca="false">IF(CQ295&gt;0,INDEX(Parameter!$H$5:$H$7,W295)/INDEX(Parameter!$E$5:$E$7,W295),IF(AND(BZ295=0,N(IFERROR(VLOOKUP(BX295,'Gebinde-Kategorie'!$A$5:$N$45,14,0),0))&gt;0),VLOOKUP(BX295,'Gebinde-Kategorie'!$A$5:$N$45,14,0)*10+Parameter!$M$23,Parameter!$M$24))</f>
        <v>155</v>
      </c>
      <c r="CC295" s="48" t="str">
        <f aca="false">IF(AND(Parameter!$B$19="Ja",E295&lt;&gt;"",ISNUMBER(MATCH(E295,Parameter!$I$35:$I$52,0))),VLOOKUP(E295,Parameter!$I$35:$J$52,2,0),IFERROR(VLOOKUP(D295,Parameter!$A$35:$C$64,2,0),"Nein"))</f>
        <v>2+3</v>
      </c>
      <c r="CD295" s="52" t="n">
        <f aca="false">IF(BZ295=0,0,IF(N(S295)&gt;0,S295,IFERROR(VLOOKUP(D295,Parameter!$A$35:$C$64,3,0)+0,0)))</f>
        <v>0</v>
      </c>
      <c r="CE295" s="48" t="n">
        <f aca="false">IF(AA295&lt;&gt;"",AA295,Z295)</f>
        <v>3</v>
      </c>
      <c r="CF295" s="48" t="str">
        <f aca="false">IF(OR(CE295=1,CE295=2,CE295=3),IF(Parameter!$E$27="Ja","LIFT",IF(CE295=1,"L1","L23")),IF(CE295="Aussen","Aussen","-"))</f>
        <v>LIFT</v>
      </c>
      <c r="CG295" s="59" t="n">
        <f aca="false">IF(N(AB295)&gt;0,AB295,0)</f>
        <v>0</v>
      </c>
      <c r="CH295" s="53" t="n">
        <f aca="false">IF(ISNUMBER(AE295),1,0)</f>
        <v>0</v>
      </c>
      <c r="CI295" s="50" t="n">
        <f aca="false">N(AE295)</f>
        <v>0</v>
      </c>
      <c r="CJ295" s="50" t="n">
        <f aca="false">N(M295)+N(N295)</f>
        <v>1</v>
      </c>
      <c r="CK295" s="50" t="n">
        <f aca="false">N(M295)</f>
        <v>0</v>
      </c>
      <c r="CL295" s="50" t="n">
        <f aca="false">N(N295)</f>
        <v>1</v>
      </c>
      <c r="CM295" s="50" t="n">
        <f aca="false">ROUNDUP(H295/BY295,0)</f>
        <v>1</v>
      </c>
      <c r="CN295" s="50" t="n">
        <f aca="false">ROUNDUP(CI295/BY295,0)</f>
        <v>0</v>
      </c>
      <c r="CO295" s="53" t="n">
        <f aca="false">IF(BZ295=1,0,IFERROR(VLOOKUP(BX295,'Gebinde-Kategorie'!$A$5:$N$45,5,0)+0,0))</f>
        <v>11</v>
      </c>
      <c r="CP295" s="53" t="n">
        <f aca="false">IFERROR(IF(OR(CE295=1,CE295=2,CE295=3),N(INDEX(Parameter!$I$5:$I$7,CE295)),0),0)</f>
        <v>0</v>
      </c>
      <c r="CQ295" s="52" t="n">
        <f aca="false">IF(AND(Parameter!$B$21="Ja",ISNUMBER(W295),N(X295)&gt;0),IFERROR(N(INDEX(Parameter!$L$5:$L$7,W295))*INDEX(Parameter!$E$5:$E$7,W295)*X295/SUMIFS($X$7:$X$1843,$W$7:$W$1843,W295),0),0)</f>
        <v>0</v>
      </c>
    </row>
    <row r="296" customFormat="false" ht="15" hidden="false" customHeight="false" outlineLevel="0" collapsed="false">
      <c r="A296" s="48" t="s">
        <v>773</v>
      </c>
      <c r="B296" s="48" t="s">
        <v>585</v>
      </c>
      <c r="C296" s="48" t="s">
        <v>173</v>
      </c>
      <c r="D296" s="48" t="s">
        <v>193</v>
      </c>
      <c r="E296" s="48"/>
      <c r="F296" s="48" t="s">
        <v>227</v>
      </c>
      <c r="G296" s="49" t="n">
        <v>738.65</v>
      </c>
      <c r="H296" s="50" t="n">
        <f aca="false">MAX(0,IF(AND(Parameter!$B$21="Ja",ISNUMBER(Y296)),Y296,IF(Parameter!$B$20="Jahresanfang 2025 + Export",BR296+BQ296,BQ296)))</f>
        <v>4</v>
      </c>
      <c r="I296" s="50" t="n">
        <f aca="false">H296*G296</f>
        <v>2954.6</v>
      </c>
      <c r="J296" s="50" t="n">
        <f aca="false">BT296*Parameter!$B$18</f>
        <v>14</v>
      </c>
      <c r="K296" s="51" t="n">
        <v>4.5</v>
      </c>
      <c r="L296" s="52" t="n">
        <v>3.11111111111111</v>
      </c>
      <c r="M296" s="50" t="n">
        <v>10</v>
      </c>
      <c r="N296" s="50" t="n">
        <v>5</v>
      </c>
      <c r="O296" s="53" t="n">
        <v>28</v>
      </c>
      <c r="P296" s="48" t="s">
        <v>177</v>
      </c>
      <c r="Q296" s="50"/>
      <c r="R296" s="53" t="n">
        <f aca="false">IF(BZ296=1,0,IFERROR(VLOOKUP(BX296,'Gebinde-Kategorie'!$A$5:$N$45,13,0)+0,0))</f>
        <v>26</v>
      </c>
      <c r="S296" s="54"/>
      <c r="T296" s="55" t="s">
        <v>284</v>
      </c>
      <c r="U296" s="55"/>
      <c r="V296" s="55"/>
      <c r="W296" s="48"/>
      <c r="X296" s="50"/>
      <c r="Y296" s="50"/>
      <c r="Z296" s="48" t="n">
        <f aca="false">IF(A296="","",IF(AND(Parameter!$B$21="Ja",ISNUMBER(W296)),W296,IF(CC296="2+3",IF(ISNUMBER(SEARCH("grosser Artikel",BU296)),2,IFERROR(VLOOKUP(BX296,Parameter!$F$35:$G$64,2,0),2)),IF(OR(CC296="Nein",CC296=""),"-",CC296))))</f>
        <v>3</v>
      </c>
      <c r="AA296" s="55"/>
      <c r="AB296" s="56"/>
      <c r="AC296" s="50" t="n">
        <f aca="false">AV296</f>
        <v>15</v>
      </c>
      <c r="AD296" s="50" t="n">
        <f aca="false">MAX(AV296,H296)</f>
        <v>15</v>
      </c>
      <c r="AE296" s="57"/>
      <c r="AF296" s="50" t="n">
        <f aca="false">IF(LEFT(Cockpit!$C$5,1)="A",H296,IF(Parameter!$E$30="MAX-Bestand",IF(CH296=1,CI296,IF(LEFT(Cockpit!$C$5,1)="B",AL296,MAX(AL296,H296))),ROUNDUP(AJ296,0)))</f>
        <v>4</v>
      </c>
      <c r="AG296" s="50" t="n">
        <f aca="false">IF(BZ296=1,0,ROUNDUP(AF296/BY296,0))</f>
        <v>1</v>
      </c>
      <c r="AH296" s="52" t="n">
        <f aca="false">IF(CQ296&gt;0,CQ296*MAX(1,AF296/X296),IF(BZ296=1,IF(AF296&lt;=0,0,CD296*MAX(1,IF(H296&gt;0,AF296/H296,1))),IF(R296&gt;0,AG296/R296,0))/MAX(0.1,N(Parameter!$M$21)))</f>
        <v>0.0384615384615385</v>
      </c>
      <c r="AI296" s="50" t="n">
        <f aca="false">AH296*CB296</f>
        <v>5.96153846153846</v>
      </c>
      <c r="AJ296" s="51" t="n">
        <f aca="false">IF(LEFT(Cockpit!$C$5,1)="A",H296,IF(CH296=1,(CK296+CI296)/2,IF(LEFT(Cockpit!$C$5,1)="B",(CK296+AL296)/2,MAX((CK296+AL296)/2,H296))))</f>
        <v>4</v>
      </c>
      <c r="AK296" s="50" t="n">
        <f aca="false">AJ296*G296</f>
        <v>2954.6</v>
      </c>
      <c r="AL296" s="50" t="n">
        <f aca="false">ROUNDUP(CK296+MAX(CL296,2*(J296/IF(CG296&gt;0,CG296,MAX(0.1,N(Cockpit!$C$6)))-CK296)),0)</f>
        <v>15</v>
      </c>
      <c r="AM296" s="51" t="n">
        <f aca="false">IF(AI296&gt;0,J296/AI296,-1)</f>
        <v>2.34838709677419</v>
      </c>
      <c r="AN296" s="51" t="n">
        <f aca="false">IF(AND(OR(CF296="L1",CF296="L23",CF296="LIFT"),AI296&gt;0),SUMIFS($AI$7:$AI$1843,$CF$7:$CF$1843,CF296,$AM$7:$AM$1843,"&gt;"&amp;AM296)+SUMIFS($AI$7:$AI$1843,$CF$7:$CF$1843,CF296,$AM$7:$AM$1843,AM296,$BW$7:$BW$1843,"&lt;="&amp;BW296),"")</f>
        <v>5619.29532967033</v>
      </c>
      <c r="AO296" s="58" t="n">
        <f aca="false">IF(AN296="",0,MAX(0,MIN(1,(IF(CF296="L1",Parameter!$H$5,IF(CF296="L23",Parameter!$H$6+Parameter!$H$7,Parameter!$H$5+Parameter!$H$6+Parameter!$H$7))-(AN296-AI296))/AI296)))</f>
        <v>1</v>
      </c>
      <c r="AP296" s="50" t="n">
        <f aca="false">IF(LEFT(Cockpit!$I$5,1)="A",H296,IF(Parameter!$E$30="MAX-Bestand",IF(CH296=1,CI296,IF(LEFT(Cockpit!$I$5,1)="B",AV296,MAX(AV296,H296))),ROUNDUP(AT296,0)))</f>
        <v>13</v>
      </c>
      <c r="AQ296" s="50" t="n">
        <f aca="false">IF(BZ296=1,0,ROUNDUP(AP296/BY296,0))</f>
        <v>1</v>
      </c>
      <c r="AR296" s="52" t="n">
        <f aca="false">IF(CQ296&gt;0,CQ296*MAX(1,AP296/X296),IF(BZ296=1,IF(AP296&lt;=0,0,CD296*MAX(1,IF(H296&gt;0,AP296/H296,1))),IF(R296&gt;0,AQ296/R296,0))/MAX(0.1,N(Parameter!$M$21)))</f>
        <v>0.0384615384615385</v>
      </c>
      <c r="AS296" s="50" t="n">
        <f aca="false">AR296*CB296</f>
        <v>5.96153846153846</v>
      </c>
      <c r="AT296" s="51" t="n">
        <f aca="false">IF(LEFT(Cockpit!$I$5,1)="A",H296,IF(CH296=1,(CK296+CI296)/2,IF(LEFT(Cockpit!$I$5,1)="B",(CK296+AV296)/2,MAX((CK296+AV296)/2,H296))))</f>
        <v>12.5</v>
      </c>
      <c r="AU296" s="50" t="n">
        <f aca="false">AT296*G296</f>
        <v>9233.125</v>
      </c>
      <c r="AV296" s="50" t="n">
        <f aca="false">ROUNDUP(CK296+MAX(CL296,2*(J296/IF(CG296&gt;0,CG296,MAX(0.1,N(Cockpit!$I$6)))-CK296)),0)</f>
        <v>15</v>
      </c>
      <c r="AW296" s="51" t="n">
        <f aca="false">IF(AS296&gt;0,J296/AS296,-1)</f>
        <v>2.34838709677419</v>
      </c>
      <c r="AX296" s="51" t="n">
        <f aca="false">IF(AND(OR(CF296="L1",CF296="L23",CF296="LIFT"),AS296&gt;0),SUMIFS($AS$7:$AS$1843,$CF$7:$CF$1843,CF296,$AW$7:$AW$1843,"&gt;"&amp;AW296)+SUMIFS($AS$7:$AS$1843,$CF$7:$CF$1843,CF296,$AW$7:$AW$1843,AW296,$BW$7:$BW$1843,"&lt;="&amp;BW296),"")</f>
        <v>6441.69001831502</v>
      </c>
      <c r="AY296" s="58" t="n">
        <f aca="false">IF(AX296="",0,MAX(0,MIN(1,(IF(CF296="L1",Parameter!$H$5,IF(CF296="L23",Parameter!$H$6+Parameter!$H$7,Parameter!$H$5+Parameter!$H$6+Parameter!$H$7))-(AX296-AS296))/AS296)))</f>
        <v>1</v>
      </c>
      <c r="AZ296" s="50" t="n">
        <f aca="false">IF(LEFT(Cockpit!$O$5,1)="A",H296,IF(Parameter!$E$30="MAX-Bestand",IF(CH296=1,CI296,IF(LEFT(Cockpit!$O$5,1)="B",BF296,MAX(BF296,H296))),ROUNDUP(BD296,0)))</f>
        <v>13</v>
      </c>
      <c r="BA296" s="50" t="n">
        <f aca="false">IF(BZ296=1,0,ROUNDUP(AZ296/BY296,0))</f>
        <v>1</v>
      </c>
      <c r="BB296" s="52" t="n">
        <f aca="false">IF(CQ296&gt;0,CQ296*MAX(1,AZ296/X296),IF(BZ296=1,IF(AZ296&lt;=0,0,CD296*MAX(1,IF(H296&gt;0,AZ296/H296,1))),IF(R296&gt;0,BA296/R296,0))/MAX(0.1,N(Parameter!$M$21)))</f>
        <v>0.0384615384615385</v>
      </c>
      <c r="BC296" s="50" t="n">
        <f aca="false">BB296*CB296</f>
        <v>5.96153846153846</v>
      </c>
      <c r="BD296" s="51" t="n">
        <f aca="false">IF(LEFT(Cockpit!$O$5,1)="A",H296,IF(CH296=1,(CK296+CI296)/2,IF(LEFT(Cockpit!$O$5,1)="B",(CK296+BF296)/2,MAX((CK296+BF296)/2,H296))))</f>
        <v>12.5</v>
      </c>
      <c r="BE296" s="50" t="n">
        <f aca="false">BD296*G296</f>
        <v>9233.125</v>
      </c>
      <c r="BF296" s="50" t="n">
        <f aca="false">ROUNDUP(CK296+MAX(CL296,2*(J296/IF(CG296&gt;0,CG296,MAX(0.1,N(Cockpit!$O$6)))-CK296)),0)</f>
        <v>15</v>
      </c>
      <c r="BG296" s="51" t="n">
        <f aca="false">IF(BC296&gt;0,J296/BC296,-1)</f>
        <v>2.34838709677419</v>
      </c>
      <c r="BH296" s="51" t="n">
        <f aca="false">IF(AND(OR(CF296="L1",CF296="L23",CF296="LIFT"),BC296&gt;0),SUMIFS($BC$7:$BC$1843,$CF$7:$CF$1843,CF296,$BG$7:$BG$1843,"&gt;"&amp;BG296)+SUMIFS($BC$7:$BC$1843,$CF$7:$CF$1843,CF296,$BG$7:$BG$1843,BG296,$BW$7:$BW$1843,"&lt;="&amp;BW296),"")</f>
        <v>5595.55769230769</v>
      </c>
      <c r="BI296" s="58" t="n">
        <f aca="false">IF(BH296="",0,MAX(0,MIN(1,(IF(CF296="L1",Parameter!$H$5,IF(CF296="L23",Parameter!$H$6+Parameter!$H$7,Parameter!$H$5+Parameter!$H$6+Parameter!$H$7))-(BH296-BC296))/BC296)))</f>
        <v>1</v>
      </c>
      <c r="BJ296" s="48" t="str">
        <f aca="false">IF(AI296&lt;=0,"",IF(CF296="Aussen","Aussenlager",IF(CF296="-","Nicht im Lift",IF(AO296&gt;=1,"Lift",IF(AO296&lt;=0,"Aussenlager","teilweise")))))</f>
        <v>Lift</v>
      </c>
      <c r="BK296" s="48" t="str">
        <f aca="false">IF(AS296&lt;=0,"",IF(CF296="Aussen","Aussenlager",IF(CF296="-","Nicht im Lift",IF(AY296&gt;=1,"Lift",IF(AY296&lt;=0,"Aussenlager","teilweise")))))</f>
        <v>Lift</v>
      </c>
      <c r="BL296" s="48" t="str">
        <f aca="false">IF(BC296&lt;=0,"",IF(CF296="Aussen","Aussenlager",IF(CF296="-","Nicht im Lift",IF(BI296&gt;=1,"Lift",IF(BI296&lt;=0,"Aussenlager","teilweise")))))</f>
        <v>Lift</v>
      </c>
      <c r="BM296" s="48" t="str">
        <f aca="false">IF(A296="","",IF(BV296=1,"Neu; ","")&amp;IF(AND(BV296=0,BQ296&lt;0),"negativer Bestand (Export "&amp;BQ296&amp;"); ","")&amp;IF(J296&lt;=0,"Kein Verbrauch; ","")&amp;IF(CQ296&gt;0,"Lift "&amp;W296&amp;" lt. Liftbericht (Fach "&amp;X296&amp;" Stk); ",IF(CA296=1,"Gebinde geschätzt ("&amp;T296&amp;"); ",IF(BZ296=1,"Lose – Tablare geschätzt; ","")))&amp;IF(H296&gt;AV296,"Überbestand "&amp;ROUND(H296-AV296,0)&amp;" Stk / CHF "&amp;ROUND((H296-AV296)*G296,0)&amp;"; ","")&amp;IF(AND(CH296=1,CI296&lt;CJ296),"MAX &lt; MB+LG; ","")&amp;IF(AND(CP296&gt;0,CO296*10&gt;CP296),"zu hoch für Tablar; ","")&amp;IF(AND(BV296=0,OR(CH296=1,AA296&lt;&gt;"",U296&lt;&gt;"",V296&lt;&gt;"",AB296&lt;&gt;"")),"manuell übersteuert; ","")&amp;IF(AND(BZ296=0,R296=0),"Gebinde unbekannt / Stellmass fehlt; ","")&amp;IF(AND(BZ296=0,N(V296)&lt;=0,N(Q296)&lt;=0),"Menge pro Gebinde fehlt (Ist = 1 Gebinde); ","")&amp;BU296)</f>
        <v>Gebinde geschätzt (Klein); Menge pro Gebinde fehlt (Ist = 1 Gebinde); </v>
      </c>
      <c r="BN296" s="48"/>
      <c r="BO296" s="48"/>
      <c r="BP296" s="55"/>
      <c r="BQ296" s="50" t="n">
        <v>0</v>
      </c>
      <c r="BR296" s="50" t="n">
        <v>4</v>
      </c>
      <c r="BS296" s="49" t="n">
        <v>279.720000000003</v>
      </c>
      <c r="BT296" s="50" t="n">
        <v>14</v>
      </c>
      <c r="BU296" s="48"/>
      <c r="BV296" s="53" t="n">
        <v>0</v>
      </c>
      <c r="BW296" s="53" t="n">
        <v>296</v>
      </c>
      <c r="BX296" s="48" t="str">
        <f aca="false">IF(U296&lt;&gt;"",UPPER(TRIM(U296)),IF(CA296=1,UPPER(VLOOKUP(T296,Parameter!$I$27:$K$29,2,0)),IF(P296="","LOSE",P296)))</f>
        <v>S51</v>
      </c>
      <c r="BY296" s="50" t="n">
        <f aca="false">IF(BX296="LOSE",1,IF(N(V296)&gt;0,V296,IF(CA296=1,MAX(1,N(VLOOKUP(T296,Parameter!$I$27:$K$29,3,0)),H296,N(N296)),IF(N(Q296)&gt;0,Q296,MAX(1,H296)))))</f>
        <v>20</v>
      </c>
      <c r="BZ296" s="53" t="n">
        <f aca="false">IF(BX296="LOSE",1,0)</f>
        <v>0</v>
      </c>
      <c r="CA296" s="53" t="n">
        <f aca="false">IF(AND(U296="",OR(P296="",P296="LOSE"),T296&lt;&gt;"",N(S296)&lt;=0,ISNUMBER(MATCH(T296,Parameter!$I$27:$I$29,0))),1,0)</f>
        <v>1</v>
      </c>
      <c r="CB296" s="53" t="n">
        <f aca="false">IF(CQ296&gt;0,INDEX(Parameter!$H$5:$H$7,W296)/INDEX(Parameter!$E$5:$E$7,W296),IF(AND(BZ296=0,N(IFERROR(VLOOKUP(BX296,'Gebinde-Kategorie'!$A$5:$N$45,14,0),0))&gt;0),VLOOKUP(BX296,'Gebinde-Kategorie'!$A$5:$N$45,14,0)*10+Parameter!$M$23,Parameter!$M$24))</f>
        <v>155</v>
      </c>
      <c r="CC296" s="48" t="str">
        <f aca="false">IF(AND(Parameter!$B$19="Ja",E296&lt;&gt;"",ISNUMBER(MATCH(E296,Parameter!$I$35:$I$52,0))),VLOOKUP(E296,Parameter!$I$35:$J$52,2,0),IFERROR(VLOOKUP(D296,Parameter!$A$35:$C$64,2,0),"Nein"))</f>
        <v>2+3</v>
      </c>
      <c r="CD296" s="52" t="n">
        <f aca="false">IF(BZ296=0,0,IF(N(S296)&gt;0,S296,IFERROR(VLOOKUP(D296,Parameter!$A$35:$C$64,3,0)+0,0)))</f>
        <v>0</v>
      </c>
      <c r="CE296" s="48" t="n">
        <f aca="false">IF(AA296&lt;&gt;"",AA296,Z296)</f>
        <v>3</v>
      </c>
      <c r="CF296" s="48" t="str">
        <f aca="false">IF(OR(CE296=1,CE296=2,CE296=3),IF(Parameter!$E$27="Ja","LIFT",IF(CE296=1,"L1","L23")),IF(CE296="Aussen","Aussen","-"))</f>
        <v>LIFT</v>
      </c>
      <c r="CG296" s="59" t="n">
        <f aca="false">IF(N(AB296)&gt;0,AB296,0)</f>
        <v>0</v>
      </c>
      <c r="CH296" s="53" t="n">
        <f aca="false">IF(ISNUMBER(AE296),1,0)</f>
        <v>0</v>
      </c>
      <c r="CI296" s="50" t="n">
        <f aca="false">N(AE296)</f>
        <v>0</v>
      </c>
      <c r="CJ296" s="50" t="n">
        <f aca="false">N(M296)+N(N296)</f>
        <v>15</v>
      </c>
      <c r="CK296" s="50" t="n">
        <f aca="false">N(M296)</f>
        <v>10</v>
      </c>
      <c r="CL296" s="50" t="n">
        <f aca="false">N(N296)</f>
        <v>5</v>
      </c>
      <c r="CM296" s="50" t="n">
        <f aca="false">ROUNDUP(H296/BY296,0)</f>
        <v>1</v>
      </c>
      <c r="CN296" s="50" t="n">
        <f aca="false">ROUNDUP(CI296/BY296,0)</f>
        <v>0</v>
      </c>
      <c r="CO296" s="53" t="n">
        <f aca="false">IF(BZ296=1,0,IFERROR(VLOOKUP(BX296,'Gebinde-Kategorie'!$A$5:$N$45,5,0)+0,0))</f>
        <v>11</v>
      </c>
      <c r="CP296" s="53" t="n">
        <f aca="false">IFERROR(IF(OR(CE296=1,CE296=2,CE296=3),N(INDEX(Parameter!$I$5:$I$7,CE296)),0),0)</f>
        <v>0</v>
      </c>
      <c r="CQ296" s="52" t="n">
        <f aca="false">IF(AND(Parameter!$B$21="Ja",ISNUMBER(W296),N(X296)&gt;0),IFERROR(N(INDEX(Parameter!$L$5:$L$7,W296))*INDEX(Parameter!$E$5:$E$7,W296)*X296/SUMIFS($X$7:$X$1843,$W$7:$W$1843,W296),0),0)</f>
        <v>0</v>
      </c>
    </row>
    <row r="297" customFormat="false" ht="15" hidden="false" customHeight="false" outlineLevel="0" collapsed="false">
      <c r="A297" s="48" t="s">
        <v>774</v>
      </c>
      <c r="B297" s="48" t="s">
        <v>775</v>
      </c>
      <c r="C297" s="48" t="s">
        <v>173</v>
      </c>
      <c r="D297" s="48" t="s">
        <v>193</v>
      </c>
      <c r="E297" s="48" t="s">
        <v>194</v>
      </c>
      <c r="F297" s="48" t="s">
        <v>227</v>
      </c>
      <c r="G297" s="49" t="n">
        <v>29.89</v>
      </c>
      <c r="H297" s="50" t="n">
        <f aca="false">MAX(0,IF(AND(Parameter!$B$21="Ja",ISNUMBER(Y297)),Y297,IF(Parameter!$B$20="Jahresanfang 2025 + Export",BR297+BQ297,BQ297)))</f>
        <v>14</v>
      </c>
      <c r="I297" s="50" t="n">
        <f aca="false">H297*G297</f>
        <v>418.46</v>
      </c>
      <c r="J297" s="50" t="n">
        <f aca="false">BT297*Parameter!$B$18</f>
        <v>2</v>
      </c>
      <c r="K297" s="51" t="n">
        <v>9</v>
      </c>
      <c r="L297" s="52" t="n">
        <v>0.222222222222222</v>
      </c>
      <c r="M297" s="50" t="n">
        <v>0</v>
      </c>
      <c r="N297" s="50" t="n">
        <v>1</v>
      </c>
      <c r="O297" s="53" t="n">
        <v>28</v>
      </c>
      <c r="P297" s="48" t="s">
        <v>485</v>
      </c>
      <c r="Q297" s="50" t="n">
        <v>12</v>
      </c>
      <c r="R297" s="53" t="n">
        <f aca="false">IF(BZ297=1,0,IFERROR(VLOOKUP(BX297,'Gebinde-Kategorie'!$A$5:$N$45,13,0)+0,0))</f>
        <v>52</v>
      </c>
      <c r="S297" s="54"/>
      <c r="T297" s="55"/>
      <c r="U297" s="55"/>
      <c r="V297" s="55"/>
      <c r="W297" s="48"/>
      <c r="X297" s="50"/>
      <c r="Y297" s="50"/>
      <c r="Z297" s="48" t="n">
        <f aca="false">IF(A297="","",IF(AND(Parameter!$B$21="Ja",ISNUMBER(W297)),W297,IF(CC297="2+3",IF(ISNUMBER(SEARCH("grosser Artikel",BU297)),2,IFERROR(VLOOKUP(BX297,Parameter!$F$35:$G$64,2,0),2)),IF(OR(CC297="Nein",CC297=""),"-",CC297))))</f>
        <v>3</v>
      </c>
      <c r="AA297" s="55"/>
      <c r="AB297" s="56"/>
      <c r="AC297" s="50" t="n">
        <f aca="false">AV297</f>
        <v>2</v>
      </c>
      <c r="AD297" s="50" t="n">
        <f aca="false">MAX(AV297,H297)</f>
        <v>14</v>
      </c>
      <c r="AE297" s="57"/>
      <c r="AF297" s="50" t="n">
        <f aca="false">IF(LEFT(Cockpit!$C$5,1)="A",H297,IF(Parameter!$E$30="MAX-Bestand",IF(CH297=1,CI297,IF(LEFT(Cockpit!$C$5,1)="B",AL297,MAX(AL297,H297))),ROUNDUP(AJ297,0)))</f>
        <v>14</v>
      </c>
      <c r="AG297" s="50" t="n">
        <f aca="false">IF(BZ297=1,0,ROUNDUP(AF297/BY297,0))</f>
        <v>2</v>
      </c>
      <c r="AH297" s="52" t="n">
        <f aca="false">IF(CQ297&gt;0,CQ297*MAX(1,AF297/X297),IF(BZ297=1,IF(AF297&lt;=0,0,CD297*MAX(1,IF(H297&gt;0,AF297/H297,1))),IF(R297&gt;0,AG297/R297,0))/MAX(0.1,N(Parameter!$M$21)))</f>
        <v>0.0384615384615385</v>
      </c>
      <c r="AI297" s="50" t="n">
        <f aca="false">AH297*CB297</f>
        <v>5.96153846153846</v>
      </c>
      <c r="AJ297" s="51" t="n">
        <f aca="false">IF(LEFT(Cockpit!$C$5,1)="A",H297,IF(CH297=1,(CK297+CI297)/2,IF(LEFT(Cockpit!$C$5,1)="B",(CK297+AL297)/2,MAX((CK297+AL297)/2,H297))))</f>
        <v>14</v>
      </c>
      <c r="AK297" s="50" t="n">
        <f aca="false">AJ297*G297</f>
        <v>418.46</v>
      </c>
      <c r="AL297" s="50" t="n">
        <f aca="false">ROUNDUP(CK297+MAX(CL297,2*(J297/IF(CG297&gt;0,CG297,MAX(0.1,N(Cockpit!$C$6)))-CK297)),0)</f>
        <v>2</v>
      </c>
      <c r="AM297" s="51" t="n">
        <f aca="false">IF(AI297&gt;0,J297/AI297,-1)</f>
        <v>0.335483870967742</v>
      </c>
      <c r="AN297" s="51" t="n">
        <f aca="false">IF(AND(OR(CF297="L1",CF297="L23",CF297="LIFT"),AI297&gt;0),SUMIFS($AI$7:$AI$1843,$CF$7:$CF$1843,CF297,$AM$7:$AM$1843,"&gt;"&amp;AM297)+SUMIFS($AI$7:$AI$1843,$CF$7:$CF$1843,CF297,$AM$7:$AM$1843,AM297,$BW$7:$BW$1843,"&lt;="&amp;BW297),"")</f>
        <v>11174.0962702552</v>
      </c>
      <c r="AO297" s="58" t="n">
        <f aca="false">IF(AN297="",0,MAX(0,MIN(1,(IF(CF297="L1",Parameter!$H$5,IF(CF297="L23",Parameter!$H$6+Parameter!$H$7,Parameter!$H$5+Parameter!$H$6+Parameter!$H$7))-(AN297-AI297))/AI297)))</f>
        <v>1</v>
      </c>
      <c r="AP297" s="50" t="n">
        <f aca="false">IF(LEFT(Cockpit!$I$5,1)="A",H297,IF(Parameter!$E$30="MAX-Bestand",IF(CH297=1,CI297,IF(LEFT(Cockpit!$I$5,1)="B",AV297,MAX(AV297,H297))),ROUNDUP(AT297,0)))</f>
        <v>14</v>
      </c>
      <c r="AQ297" s="50" t="n">
        <f aca="false">IF(BZ297=1,0,ROUNDUP(AP297/BY297,0))</f>
        <v>2</v>
      </c>
      <c r="AR297" s="52" t="n">
        <f aca="false">IF(CQ297&gt;0,CQ297*MAX(1,AP297/X297),IF(BZ297=1,IF(AP297&lt;=0,0,CD297*MAX(1,IF(H297&gt;0,AP297/H297,1))),IF(R297&gt;0,AQ297/R297,0))/MAX(0.1,N(Parameter!$M$21)))</f>
        <v>0.0384615384615385</v>
      </c>
      <c r="AS297" s="50" t="n">
        <f aca="false">AR297*CB297</f>
        <v>5.96153846153846</v>
      </c>
      <c r="AT297" s="51" t="n">
        <f aca="false">IF(LEFT(Cockpit!$I$5,1)="A",H297,IF(CH297=1,(CK297+CI297)/2,IF(LEFT(Cockpit!$I$5,1)="B",(CK297+AV297)/2,MAX((CK297+AV297)/2,H297))))</f>
        <v>14</v>
      </c>
      <c r="AU297" s="50" t="n">
        <f aca="false">AT297*G297</f>
        <v>418.46</v>
      </c>
      <c r="AV297" s="50" t="n">
        <f aca="false">ROUNDUP(CK297+MAX(CL297,2*(J297/IF(CG297&gt;0,CG297,MAX(0.1,N(Cockpit!$I$6)))-CK297)),0)</f>
        <v>2</v>
      </c>
      <c r="AW297" s="51" t="n">
        <f aca="false">IF(AS297&gt;0,J297/AS297,-1)</f>
        <v>0.335483870967742</v>
      </c>
      <c r="AX297" s="51" t="n">
        <f aca="false">IF(AND(OR(CF297="L1",CF297="L23",CF297="LIFT"),AS297&gt;0),SUMIFS($AS$7:$AS$1843,$CF$7:$CF$1843,CF297,$AW$7:$AW$1843,"&gt;"&amp;AW297)+SUMIFS($AS$7:$AS$1843,$CF$7:$CF$1843,CF297,$AW$7:$AW$1843,AW297,$BW$7:$BW$1843,"&lt;="&amp;BW297),"")</f>
        <v>13696.3108974359</v>
      </c>
      <c r="AY297" s="58" t="n">
        <f aca="false">IF(AX297="",0,MAX(0,MIN(1,(IF(CF297="L1",Parameter!$H$5,IF(CF297="L23",Parameter!$H$6+Parameter!$H$7,Parameter!$H$5+Parameter!$H$6+Parameter!$H$7))-(AX297-AS297))/AS297)))</f>
        <v>1</v>
      </c>
      <c r="AZ297" s="50" t="n">
        <f aca="false">IF(LEFT(Cockpit!$O$5,1)="A",H297,IF(Parameter!$E$30="MAX-Bestand",IF(CH297=1,CI297,IF(LEFT(Cockpit!$O$5,1)="B",BF297,MAX(BF297,H297))),ROUNDUP(BD297,0)))</f>
        <v>1</v>
      </c>
      <c r="BA297" s="50" t="n">
        <f aca="false">IF(BZ297=1,0,ROUNDUP(AZ297/BY297,0))</f>
        <v>1</v>
      </c>
      <c r="BB297" s="52" t="n">
        <f aca="false">IF(CQ297&gt;0,CQ297*MAX(1,AZ297/X297),IF(BZ297=1,IF(AZ297&lt;=0,0,CD297*MAX(1,IF(H297&gt;0,AZ297/H297,1))),IF(R297&gt;0,BA297/R297,0))/MAX(0.1,N(Parameter!$M$21)))</f>
        <v>0.0192307692307692</v>
      </c>
      <c r="BC297" s="50" t="n">
        <f aca="false">BB297*CB297</f>
        <v>2.98076923076923</v>
      </c>
      <c r="BD297" s="51" t="n">
        <f aca="false">IF(LEFT(Cockpit!$O$5,1)="A",H297,IF(CH297=1,(CK297+CI297)/2,IF(LEFT(Cockpit!$O$5,1)="B",(CK297+BF297)/2,MAX((CK297+BF297)/2,H297))))</f>
        <v>0.5</v>
      </c>
      <c r="BE297" s="50" t="n">
        <f aca="false">BD297*G297</f>
        <v>14.945</v>
      </c>
      <c r="BF297" s="50" t="n">
        <f aca="false">ROUNDUP(CK297+MAX(CL297,2*(J297/IF(CG297&gt;0,CG297,MAX(0.1,N(Cockpit!$O$6)))-CK297)),0)</f>
        <v>1</v>
      </c>
      <c r="BG297" s="51" t="n">
        <f aca="false">IF(BC297&gt;0,J297/BC297,-1)</f>
        <v>0.670967741935484</v>
      </c>
      <c r="BH297" s="51" t="n">
        <f aca="false">IF(AND(OR(CF297="L1",CF297="L23",CF297="LIFT"),BC297&gt;0),SUMIFS($BC$7:$BC$1843,$CF$7:$CF$1843,CF297,$BG$7:$BG$1843,"&gt;"&amp;BG297)+SUMIFS($BC$7:$BC$1843,$CF$7:$CF$1843,CF297,$BG$7:$BG$1843,BG297,$BW$7:$BW$1843,"&lt;="&amp;BW297),"")</f>
        <v>9493.086996337</v>
      </c>
      <c r="BI297" s="58" t="n">
        <f aca="false">IF(BH297="",0,MAX(0,MIN(1,(IF(CF297="L1",Parameter!$H$5,IF(CF297="L23",Parameter!$H$6+Parameter!$H$7,Parameter!$H$5+Parameter!$H$6+Parameter!$H$7))-(BH297-BC297))/BC297)))</f>
        <v>1</v>
      </c>
      <c r="BJ297" s="48" t="str">
        <f aca="false">IF(AI297&lt;=0,"",IF(CF297="Aussen","Aussenlager",IF(CF297="-","Nicht im Lift",IF(AO297&gt;=1,"Lift",IF(AO297&lt;=0,"Aussenlager","teilweise")))))</f>
        <v>Lift</v>
      </c>
      <c r="BK297" s="48" t="str">
        <f aca="false">IF(AS297&lt;=0,"",IF(CF297="Aussen","Aussenlager",IF(CF297="-","Nicht im Lift",IF(AY297&gt;=1,"Lift",IF(AY297&lt;=0,"Aussenlager","teilweise")))))</f>
        <v>Lift</v>
      </c>
      <c r="BL297" s="48" t="str">
        <f aca="false">IF(BC297&lt;=0,"",IF(CF297="Aussen","Aussenlager",IF(CF297="-","Nicht im Lift",IF(BI297&gt;=1,"Lift",IF(BI297&lt;=0,"Aussenlager","teilweise")))))</f>
        <v>Lift</v>
      </c>
      <c r="BM297" s="48" t="str">
        <f aca="false">IF(A297="","",IF(BV297=1,"Neu; ","")&amp;IF(AND(BV297=0,BQ297&lt;0),"negativer Bestand (Export "&amp;BQ297&amp;"); ","")&amp;IF(J297&lt;=0,"Kein Verbrauch; ","")&amp;IF(CQ297&gt;0,"Lift "&amp;W297&amp;" lt. Liftbericht (Fach "&amp;X297&amp;" Stk); ",IF(CA297=1,"Gebinde geschätzt ("&amp;T297&amp;"); ",IF(BZ297=1,"Lose – Tablare geschätzt; ","")))&amp;IF(H297&gt;AV297,"Überbestand "&amp;ROUND(H297-AV297,0)&amp;" Stk / CHF "&amp;ROUND((H297-AV297)*G297,0)&amp;"; ","")&amp;IF(AND(CH297=1,CI297&lt;CJ297),"MAX &lt; MB+LG; ","")&amp;IF(AND(CP297&gt;0,CO297*10&gt;CP297),"zu hoch für Tablar; ","")&amp;IF(AND(BV297=0,OR(CH297=1,AA297&lt;&gt;"",U297&lt;&gt;"",V297&lt;&gt;"",AB297&lt;&gt;"")),"manuell übersteuert; ","")&amp;IF(AND(BZ297=0,R297=0),"Gebinde unbekannt / Stellmass fehlt; ","")&amp;IF(AND(BZ297=0,N(V297)&lt;=0,N(Q297)&lt;=0),"Menge pro Gebinde fehlt (Ist = 1 Gebinde); ","")&amp;BU297)</f>
        <v>Überbestand 12 Stk / CHF 359; </v>
      </c>
      <c r="BN297" s="48"/>
      <c r="BO297" s="48"/>
      <c r="BP297" s="55"/>
      <c r="BQ297" s="50" t="n">
        <v>9</v>
      </c>
      <c r="BR297" s="50" t="n">
        <v>5</v>
      </c>
      <c r="BS297" s="49" t="n">
        <v>276.66</v>
      </c>
      <c r="BT297" s="50" t="n">
        <v>2</v>
      </c>
      <c r="BU297" s="48"/>
      <c r="BV297" s="53" t="n">
        <v>0</v>
      </c>
      <c r="BW297" s="53" t="n">
        <v>297</v>
      </c>
      <c r="BX297" s="48" t="str">
        <f aca="false">IF(U297&lt;&gt;"",UPPER(TRIM(U297)),IF(CA297=1,UPPER(VLOOKUP(T297,Parameter!$I$27:$K$29,2,0)),IF(P297="","LOSE",P297)))</f>
        <v>S33</v>
      </c>
      <c r="BY297" s="50" t="n">
        <f aca="false">IF(BX297="LOSE",1,IF(N(V297)&gt;0,V297,IF(CA297=1,MAX(1,N(VLOOKUP(T297,Parameter!$I$27:$K$29,3,0)),H297,N(N297)),IF(N(Q297)&gt;0,Q297,MAX(1,H297)))))</f>
        <v>12</v>
      </c>
      <c r="BZ297" s="53" t="n">
        <f aca="false">IF(BX297="LOSE",1,0)</f>
        <v>0</v>
      </c>
      <c r="CA297" s="53" t="n">
        <f aca="false">IF(AND(U297="",OR(P297="",P297="LOSE"),T297&lt;&gt;"",N(S297)&lt;=0,ISNUMBER(MATCH(T297,Parameter!$I$27:$I$29,0))),1,0)</f>
        <v>0</v>
      </c>
      <c r="CB297" s="53" t="n">
        <f aca="false">IF(CQ297&gt;0,INDEX(Parameter!$H$5:$H$7,W297)/INDEX(Parameter!$E$5:$E$7,W297),IF(AND(BZ297=0,N(IFERROR(VLOOKUP(BX297,'Gebinde-Kategorie'!$A$5:$N$45,14,0),0))&gt;0),VLOOKUP(BX297,'Gebinde-Kategorie'!$A$5:$N$45,14,0)*10+Parameter!$M$23,Parameter!$M$24))</f>
        <v>155</v>
      </c>
      <c r="CC297" s="48" t="str">
        <f aca="false">IF(AND(Parameter!$B$19="Ja",E297&lt;&gt;"",ISNUMBER(MATCH(E297,Parameter!$I$35:$I$52,0))),VLOOKUP(E297,Parameter!$I$35:$J$52,2,0),IFERROR(VLOOKUP(D297,Parameter!$A$35:$C$64,2,0),"Nein"))</f>
        <v>2+3</v>
      </c>
      <c r="CD297" s="52" t="n">
        <f aca="false">IF(BZ297=0,0,IF(N(S297)&gt;0,S297,IFERROR(VLOOKUP(D297,Parameter!$A$35:$C$64,3,0)+0,0)))</f>
        <v>0</v>
      </c>
      <c r="CE297" s="48" t="n">
        <f aca="false">IF(AA297&lt;&gt;"",AA297,Z297)</f>
        <v>3</v>
      </c>
      <c r="CF297" s="48" t="str">
        <f aca="false">IF(OR(CE297=1,CE297=2,CE297=3),IF(Parameter!$E$27="Ja","LIFT",IF(CE297=1,"L1","L23")),IF(CE297="Aussen","Aussen","-"))</f>
        <v>LIFT</v>
      </c>
      <c r="CG297" s="59" t="n">
        <f aca="false">IF(N(AB297)&gt;0,AB297,0)</f>
        <v>0</v>
      </c>
      <c r="CH297" s="53" t="n">
        <f aca="false">IF(ISNUMBER(AE297),1,0)</f>
        <v>0</v>
      </c>
      <c r="CI297" s="50" t="n">
        <f aca="false">N(AE297)</f>
        <v>0</v>
      </c>
      <c r="CJ297" s="50" t="n">
        <f aca="false">N(M297)+N(N297)</f>
        <v>1</v>
      </c>
      <c r="CK297" s="50" t="n">
        <f aca="false">N(M297)</f>
        <v>0</v>
      </c>
      <c r="CL297" s="50" t="n">
        <f aca="false">N(N297)</f>
        <v>1</v>
      </c>
      <c r="CM297" s="50" t="n">
        <f aca="false">ROUNDUP(H297/BY297,0)</f>
        <v>2</v>
      </c>
      <c r="CN297" s="50" t="n">
        <f aca="false">ROUNDUP(CI297/BY297,0)</f>
        <v>0</v>
      </c>
      <c r="CO297" s="53" t="n">
        <f aca="false">IF(BZ297=1,0,IFERROR(VLOOKUP(BX297,'Gebinde-Kategorie'!$A$5:$N$45,5,0)+0,0))</f>
        <v>8</v>
      </c>
      <c r="CP297" s="53" t="n">
        <f aca="false">IFERROR(IF(OR(CE297=1,CE297=2,CE297=3),N(INDEX(Parameter!$I$5:$I$7,CE297)),0),0)</f>
        <v>0</v>
      </c>
      <c r="CQ297" s="52" t="n">
        <f aca="false">IF(AND(Parameter!$B$21="Ja",ISNUMBER(W297),N(X297)&gt;0),IFERROR(N(INDEX(Parameter!$L$5:$L$7,W297))*INDEX(Parameter!$E$5:$E$7,W297)*X297/SUMIFS($X$7:$X$1843,$W$7:$W$1843,W297),0),0)</f>
        <v>0</v>
      </c>
    </row>
    <row r="298" customFormat="false" ht="15" hidden="false" customHeight="false" outlineLevel="0" collapsed="false">
      <c r="A298" s="48" t="s">
        <v>776</v>
      </c>
      <c r="B298" s="48" t="s">
        <v>777</v>
      </c>
      <c r="C298" s="48" t="s">
        <v>173</v>
      </c>
      <c r="D298" s="48" t="s">
        <v>193</v>
      </c>
      <c r="E298" s="48" t="s">
        <v>194</v>
      </c>
      <c r="F298" s="48" t="s">
        <v>227</v>
      </c>
      <c r="G298" s="49" t="n">
        <v>21.27</v>
      </c>
      <c r="H298" s="50" t="n">
        <f aca="false">MAX(0,IF(AND(Parameter!$B$21="Ja",ISNUMBER(Y298)),Y298,IF(Parameter!$B$20="Jahresanfang 2025 + Export",BR298+BQ298,BQ298)))</f>
        <v>43</v>
      </c>
      <c r="I298" s="50" t="n">
        <f aca="false">H298*G298</f>
        <v>914.61</v>
      </c>
      <c r="J298" s="50" t="n">
        <f aca="false">BT298*Parameter!$B$18</f>
        <v>0</v>
      </c>
      <c r="K298" s="51" t="n">
        <v>36.5</v>
      </c>
      <c r="L298" s="52" t="n">
        <v>0</v>
      </c>
      <c r="M298" s="50" t="n">
        <v>0</v>
      </c>
      <c r="N298" s="50" t="n">
        <v>1</v>
      </c>
      <c r="O298" s="53" t="n">
        <v>28</v>
      </c>
      <c r="P298" s="48" t="s">
        <v>302</v>
      </c>
      <c r="Q298" s="50" t="n">
        <v>32</v>
      </c>
      <c r="R298" s="53" t="n">
        <f aca="false">IF(BZ298=1,0,IFERROR(VLOOKUP(BX298,'Gebinde-Kategorie'!$A$5:$N$45,13,0)+0,0))</f>
        <v>12</v>
      </c>
      <c r="S298" s="54"/>
      <c r="T298" s="55"/>
      <c r="U298" s="55"/>
      <c r="V298" s="55"/>
      <c r="W298" s="48"/>
      <c r="X298" s="50"/>
      <c r="Y298" s="50"/>
      <c r="Z298" s="48" t="n">
        <f aca="false">IF(A298="","",IF(AND(Parameter!$B$21="Ja",ISNUMBER(W298)),W298,IF(CC298="2+3",IF(ISNUMBER(SEARCH("grosser Artikel",BU298)),2,IFERROR(VLOOKUP(BX298,Parameter!$F$35:$G$64,2,0),2)),IF(OR(CC298="Nein",CC298=""),"-",CC298))))</f>
        <v>2</v>
      </c>
      <c r="AA298" s="55"/>
      <c r="AB298" s="56"/>
      <c r="AC298" s="50" t="n">
        <f aca="false">AV298</f>
        <v>1</v>
      </c>
      <c r="AD298" s="50" t="n">
        <f aca="false">MAX(AV298,H298)</f>
        <v>43</v>
      </c>
      <c r="AE298" s="57"/>
      <c r="AF298" s="50" t="n">
        <f aca="false">IF(LEFT(Cockpit!$C$5,1)="A",H298,IF(Parameter!$E$30="MAX-Bestand",IF(CH298=1,CI298,IF(LEFT(Cockpit!$C$5,1)="B",AL298,MAX(AL298,H298))),ROUNDUP(AJ298,0)))</f>
        <v>43</v>
      </c>
      <c r="AG298" s="50" t="n">
        <f aca="false">IF(BZ298=1,0,ROUNDUP(AF298/BY298,0))</f>
        <v>2</v>
      </c>
      <c r="AH298" s="52" t="n">
        <f aca="false">IF(CQ298&gt;0,CQ298*MAX(1,AF298/X298),IF(BZ298=1,IF(AF298&lt;=0,0,CD298*MAX(1,IF(H298&gt;0,AF298/H298,1))),IF(R298&gt;0,AG298/R298,0))/MAX(0.1,N(Parameter!$M$21)))</f>
        <v>0.166666666666667</v>
      </c>
      <c r="AI298" s="50" t="n">
        <f aca="false">AH298*CB298</f>
        <v>40.8333333333333</v>
      </c>
      <c r="AJ298" s="51" t="n">
        <f aca="false">IF(LEFT(Cockpit!$C$5,1)="A",H298,IF(CH298=1,(CK298+CI298)/2,IF(LEFT(Cockpit!$C$5,1)="B",(CK298+AL298)/2,MAX((CK298+AL298)/2,H298))))</f>
        <v>43</v>
      </c>
      <c r="AK298" s="50" t="n">
        <f aca="false">AJ298*G298</f>
        <v>914.61</v>
      </c>
      <c r="AL298" s="50" t="n">
        <f aca="false">ROUNDUP(CK298+MAX(CL298,2*(J298/IF(CG298&gt;0,CG298,MAX(0.1,N(Cockpit!$C$6)))-CK298)),0)</f>
        <v>1</v>
      </c>
      <c r="AM298" s="51" t="n">
        <f aca="false">IF(AI298&gt;0,J298/AI298,-1)</f>
        <v>0</v>
      </c>
      <c r="AN298" s="51" t="n">
        <f aca="false">IF(AND(OR(CF298="L1",CF298="L23",CF298="LIFT"),AI298&gt;0),SUMIFS($AI$7:$AI$1843,$CF$7:$CF$1843,CF298,$AM$7:$AM$1843,"&gt;"&amp;AM298)+SUMIFS($AI$7:$AI$1843,$CF$7:$CF$1843,CF298,$AM$7:$AM$1843,AM298,$BW$7:$BW$1843,"&lt;="&amp;BW298),"")</f>
        <v>27864.6114318826</v>
      </c>
      <c r="AO298" s="58" t="n">
        <f aca="false">IF(AN298="",0,MAX(0,MIN(1,(IF(CF298="L1",Parameter!$H$5,IF(CF298="L23",Parameter!$H$6+Parameter!$H$7,Parameter!$H$5+Parameter!$H$6+Parameter!$H$7))-(AN298-AI298))/AI298)))</f>
        <v>1</v>
      </c>
      <c r="AP298" s="50" t="n">
        <f aca="false">IF(LEFT(Cockpit!$I$5,1)="A",H298,IF(Parameter!$E$30="MAX-Bestand",IF(CH298=1,CI298,IF(LEFT(Cockpit!$I$5,1)="B",AV298,MAX(AV298,H298))),ROUNDUP(AT298,0)))</f>
        <v>43</v>
      </c>
      <c r="AQ298" s="50" t="n">
        <f aca="false">IF(BZ298=1,0,ROUNDUP(AP298/BY298,0))</f>
        <v>2</v>
      </c>
      <c r="AR298" s="52" t="n">
        <f aca="false">IF(CQ298&gt;0,CQ298*MAX(1,AP298/X298),IF(BZ298=1,IF(AP298&lt;=0,0,CD298*MAX(1,IF(H298&gt;0,AP298/H298,1))),IF(R298&gt;0,AQ298/R298,0))/MAX(0.1,N(Parameter!$M$21)))</f>
        <v>0.166666666666667</v>
      </c>
      <c r="AS298" s="50" t="n">
        <f aca="false">AR298*CB298</f>
        <v>40.8333333333333</v>
      </c>
      <c r="AT298" s="51" t="n">
        <f aca="false">IF(LEFT(Cockpit!$I$5,1)="A",H298,IF(CH298=1,(CK298+CI298)/2,IF(LEFT(Cockpit!$I$5,1)="B",(CK298+AV298)/2,MAX((CK298+AV298)/2,H298))))</f>
        <v>43</v>
      </c>
      <c r="AU298" s="50" t="n">
        <f aca="false">AT298*G298</f>
        <v>914.61</v>
      </c>
      <c r="AV298" s="50" t="n">
        <f aca="false">ROUNDUP(CK298+MAX(CL298,2*(J298/IF(CG298&gt;0,CG298,MAX(0.1,N(Cockpit!$I$6)))-CK298)),0)</f>
        <v>1</v>
      </c>
      <c r="AW298" s="51" t="n">
        <f aca="false">IF(AS298&gt;0,J298/AS298,-1)</f>
        <v>0</v>
      </c>
      <c r="AX298" s="51" t="n">
        <f aca="false">IF(AND(OR(CF298="L1",CF298="L23",CF298="LIFT"),AS298&gt;0),SUMIFS($AS$7:$AS$1843,$CF$7:$CF$1843,CF298,$AW$7:$AW$1843,"&gt;"&amp;AW298)+SUMIFS($AS$7:$AS$1843,$CF$7:$CF$1843,CF298,$AW$7:$AW$1843,AW298,$BW$7:$BW$1843,"&lt;="&amp;BW298),"")</f>
        <v>33217.7600732601</v>
      </c>
      <c r="AY298" s="58" t="n">
        <f aca="false">IF(AX298="",0,MAX(0,MIN(1,(IF(CF298="L1",Parameter!$H$5,IF(CF298="L23",Parameter!$H$6+Parameter!$H$7,Parameter!$H$5+Parameter!$H$6+Parameter!$H$7))-(AX298-AS298))/AS298)))</f>
        <v>1</v>
      </c>
      <c r="AZ298" s="50" t="n">
        <f aca="false">IF(LEFT(Cockpit!$O$5,1)="A",H298,IF(Parameter!$E$30="MAX-Bestand",IF(CH298=1,CI298,IF(LEFT(Cockpit!$O$5,1)="B",BF298,MAX(BF298,H298))),ROUNDUP(BD298,0)))</f>
        <v>1</v>
      </c>
      <c r="BA298" s="50" t="n">
        <f aca="false">IF(BZ298=1,0,ROUNDUP(AZ298/BY298,0))</f>
        <v>1</v>
      </c>
      <c r="BB298" s="52" t="n">
        <f aca="false">IF(CQ298&gt;0,CQ298*MAX(1,AZ298/X298),IF(BZ298=1,IF(AZ298&lt;=0,0,CD298*MAX(1,IF(H298&gt;0,AZ298/H298,1))),IF(R298&gt;0,BA298/R298,0))/MAX(0.1,N(Parameter!$M$21)))</f>
        <v>0.0833333333333333</v>
      </c>
      <c r="BC298" s="50" t="n">
        <f aca="false">BB298*CB298</f>
        <v>20.4166666666667</v>
      </c>
      <c r="BD298" s="51" t="n">
        <f aca="false">IF(LEFT(Cockpit!$O$5,1)="A",H298,IF(CH298=1,(CK298+CI298)/2,IF(LEFT(Cockpit!$O$5,1)="B",(CK298+BF298)/2,MAX((CK298+BF298)/2,H298))))</f>
        <v>0.5</v>
      </c>
      <c r="BE298" s="50" t="n">
        <f aca="false">BD298*G298</f>
        <v>10.635</v>
      </c>
      <c r="BF298" s="50" t="n">
        <f aca="false">ROUNDUP(CK298+MAX(CL298,2*(J298/IF(CG298&gt;0,CG298,MAX(0.1,N(Cockpit!$O$6)))-CK298)),0)</f>
        <v>1</v>
      </c>
      <c r="BG298" s="51" t="n">
        <f aca="false">IF(BC298&gt;0,J298/BC298,-1)</f>
        <v>0</v>
      </c>
      <c r="BH298" s="51" t="n">
        <f aca="false">IF(AND(OR(CF298="L1",CF298="L23",CF298="LIFT"),BC298&gt;0),SUMIFS($BC$7:$BC$1843,$CF$7:$CF$1843,CF298,$BG$7:$BG$1843,"&gt;"&amp;BG298)+SUMIFS($BC$7:$BC$1843,$CF$7:$CF$1843,CF298,$BG$7:$BG$1843,BG298,$BW$7:$BW$1843,"&lt;="&amp;BW298),"")</f>
        <v>27343.2201216862</v>
      </c>
      <c r="BI298" s="58" t="n">
        <f aca="false">IF(BH298="",0,MAX(0,MIN(1,(IF(CF298="L1",Parameter!$H$5,IF(CF298="L23",Parameter!$H$6+Parameter!$H$7,Parameter!$H$5+Parameter!$H$6+Parameter!$H$7))-(BH298-BC298))/BC298)))</f>
        <v>1</v>
      </c>
      <c r="BJ298" s="48" t="str">
        <f aca="false">IF(AI298&lt;=0,"",IF(CF298="Aussen","Aussenlager",IF(CF298="-","Nicht im Lift",IF(AO298&gt;=1,"Lift",IF(AO298&lt;=0,"Aussenlager","teilweise")))))</f>
        <v>Lift</v>
      </c>
      <c r="BK298" s="48" t="str">
        <f aca="false">IF(AS298&lt;=0,"",IF(CF298="Aussen","Aussenlager",IF(CF298="-","Nicht im Lift",IF(AY298&gt;=1,"Lift",IF(AY298&lt;=0,"Aussenlager","teilweise")))))</f>
        <v>Lift</v>
      </c>
      <c r="BL298" s="48" t="str">
        <f aca="false">IF(BC298&lt;=0,"",IF(CF298="Aussen","Aussenlager",IF(CF298="-","Nicht im Lift",IF(BI298&gt;=1,"Lift",IF(BI298&lt;=0,"Aussenlager","teilweise")))))</f>
        <v>Lift</v>
      </c>
      <c r="BM298" s="48" t="str">
        <f aca="false">IF(A298="","",IF(BV298=1,"Neu; ","")&amp;IF(AND(BV298=0,BQ298&lt;0),"negativer Bestand (Export "&amp;BQ298&amp;"); ","")&amp;IF(J298&lt;=0,"Kein Verbrauch; ","")&amp;IF(CQ298&gt;0,"Lift "&amp;W298&amp;" lt. Liftbericht (Fach "&amp;X298&amp;" Stk); ",IF(CA298=1,"Gebinde geschätzt ("&amp;T298&amp;"); ",IF(BZ298=1,"Lose – Tablare geschätzt; ","")))&amp;IF(H298&gt;AV298,"Überbestand "&amp;ROUND(H298-AV298,0)&amp;" Stk / CHF "&amp;ROUND((H298-AV298)*G298,0)&amp;"; ","")&amp;IF(AND(CH298=1,CI298&lt;CJ298),"MAX &lt; MB+LG; ","")&amp;IF(AND(CP298&gt;0,CO298*10&gt;CP298),"zu hoch für Tablar; ","")&amp;IF(AND(BV298=0,OR(CH298=1,AA298&lt;&gt;"",U298&lt;&gt;"",V298&lt;&gt;"",AB298&lt;&gt;"")),"manuell übersteuert; ","")&amp;IF(AND(BZ298=0,R298=0),"Gebinde unbekannt / Stellmass fehlt; ","")&amp;IF(AND(BZ298=0,N(V298)&lt;=0,N(Q298)&lt;=0),"Menge pro Gebinde fehlt (Ist = 1 Gebinde); ","")&amp;BU298)</f>
        <v>Kein Verbrauch; Überbestand 42 Stk / CHF 893; </v>
      </c>
      <c r="BN298" s="48"/>
      <c r="BO298" s="48"/>
      <c r="BP298" s="55"/>
      <c r="BQ298" s="50" t="n">
        <v>13</v>
      </c>
      <c r="BR298" s="50" t="n">
        <v>30</v>
      </c>
      <c r="BS298" s="49" t="n">
        <v>276.51</v>
      </c>
      <c r="BT298" s="50" t="n">
        <v>0</v>
      </c>
      <c r="BU298" s="48"/>
      <c r="BV298" s="53" t="n">
        <v>0</v>
      </c>
      <c r="BW298" s="53" t="n">
        <v>298</v>
      </c>
      <c r="BX298" s="48" t="str">
        <f aca="false">IF(U298&lt;&gt;"",UPPER(TRIM(U298)),IF(CA298=1,UPPER(VLOOKUP(T298,Parameter!$I$27:$K$29,2,0)),IF(P298="","LOSE",P298)))</f>
        <v>S62</v>
      </c>
      <c r="BY298" s="50" t="n">
        <f aca="false">IF(BX298="LOSE",1,IF(N(V298)&gt;0,V298,IF(CA298=1,MAX(1,N(VLOOKUP(T298,Parameter!$I$27:$K$29,3,0)),H298,N(N298)),IF(N(Q298)&gt;0,Q298,MAX(1,H298)))))</f>
        <v>32</v>
      </c>
      <c r="BZ298" s="53" t="n">
        <f aca="false">IF(BX298="LOSE",1,0)</f>
        <v>0</v>
      </c>
      <c r="CA298" s="53" t="n">
        <f aca="false">IF(AND(U298="",OR(P298="",P298="LOSE"),T298&lt;&gt;"",N(S298)&lt;=0,ISNUMBER(MATCH(T298,Parameter!$I$27:$I$29,0))),1,0)</f>
        <v>0</v>
      </c>
      <c r="CB298" s="53" t="n">
        <f aca="false">IF(CQ298&gt;0,INDEX(Parameter!$H$5:$H$7,W298)/INDEX(Parameter!$E$5:$E$7,W298),IF(AND(BZ298=0,N(IFERROR(VLOOKUP(BX298,'Gebinde-Kategorie'!$A$5:$N$45,14,0),0))&gt;0),VLOOKUP(BX298,'Gebinde-Kategorie'!$A$5:$N$45,14,0)*10+Parameter!$M$23,Parameter!$M$24))</f>
        <v>245</v>
      </c>
      <c r="CC298" s="48" t="str">
        <f aca="false">IF(AND(Parameter!$B$19="Ja",E298&lt;&gt;"",ISNUMBER(MATCH(E298,Parameter!$I$35:$I$52,0))),VLOOKUP(E298,Parameter!$I$35:$J$52,2,0),IFERROR(VLOOKUP(D298,Parameter!$A$35:$C$64,2,0),"Nein"))</f>
        <v>2+3</v>
      </c>
      <c r="CD298" s="52" t="n">
        <f aca="false">IF(BZ298=0,0,IF(N(S298)&gt;0,S298,IFERROR(VLOOKUP(D298,Parameter!$A$35:$C$64,3,0)+0,0)))</f>
        <v>0</v>
      </c>
      <c r="CE298" s="48" t="n">
        <f aca="false">IF(AA298&lt;&gt;"",AA298,Z298)</f>
        <v>2</v>
      </c>
      <c r="CF298" s="48" t="str">
        <f aca="false">IF(OR(CE298=1,CE298=2,CE298=3),IF(Parameter!$E$27="Ja","LIFT",IF(CE298=1,"L1","L23")),IF(CE298="Aussen","Aussen","-"))</f>
        <v>LIFT</v>
      </c>
      <c r="CG298" s="59" t="n">
        <f aca="false">IF(N(AB298)&gt;0,AB298,0)</f>
        <v>0</v>
      </c>
      <c r="CH298" s="53" t="n">
        <f aca="false">IF(ISNUMBER(AE298),1,0)</f>
        <v>0</v>
      </c>
      <c r="CI298" s="50" t="n">
        <f aca="false">N(AE298)</f>
        <v>0</v>
      </c>
      <c r="CJ298" s="50" t="n">
        <f aca="false">N(M298)+N(N298)</f>
        <v>1</v>
      </c>
      <c r="CK298" s="50" t="n">
        <f aca="false">N(M298)</f>
        <v>0</v>
      </c>
      <c r="CL298" s="50" t="n">
        <f aca="false">N(N298)</f>
        <v>1</v>
      </c>
      <c r="CM298" s="50" t="n">
        <f aca="false">ROUNDUP(H298/BY298,0)</f>
        <v>2</v>
      </c>
      <c r="CN298" s="50" t="n">
        <f aca="false">ROUNDUP(CI298/BY298,0)</f>
        <v>0</v>
      </c>
      <c r="CO298" s="53" t="n">
        <f aca="false">IF(BZ298=1,0,IFERROR(VLOOKUP(BX298,'Gebinde-Kategorie'!$A$5:$N$45,5,0)+0,0))</f>
        <v>21</v>
      </c>
      <c r="CP298" s="53" t="n">
        <f aca="false">IFERROR(IF(OR(CE298=1,CE298=2,CE298=3),N(INDEX(Parameter!$I$5:$I$7,CE298)),0),0)</f>
        <v>0</v>
      </c>
      <c r="CQ298" s="52" t="n">
        <f aca="false">IF(AND(Parameter!$B$21="Ja",ISNUMBER(W298),N(X298)&gt;0),IFERROR(N(INDEX(Parameter!$L$5:$L$7,W298))*INDEX(Parameter!$E$5:$E$7,W298)*X298/SUMIFS($X$7:$X$1843,$W$7:$W$1843,W298),0),0)</f>
        <v>0</v>
      </c>
    </row>
    <row r="299" customFormat="false" ht="15" hidden="false" customHeight="false" outlineLevel="0" collapsed="false">
      <c r="A299" s="48" t="s">
        <v>778</v>
      </c>
      <c r="B299" s="48" t="s">
        <v>582</v>
      </c>
      <c r="C299" s="48" t="s">
        <v>173</v>
      </c>
      <c r="D299" s="48" t="s">
        <v>182</v>
      </c>
      <c r="E299" s="48" t="s">
        <v>194</v>
      </c>
      <c r="F299" s="48" t="s">
        <v>227</v>
      </c>
      <c r="G299" s="49" t="n">
        <v>86.22</v>
      </c>
      <c r="H299" s="50" t="n">
        <f aca="false">MAX(0,IF(AND(Parameter!$B$21="Ja",ISNUMBER(Y299)),Y299,IF(Parameter!$B$20="Jahresanfang 2025 + Export",BR299+BQ299,BQ299)))</f>
        <v>22</v>
      </c>
      <c r="I299" s="50" t="n">
        <f aca="false">H299*G299</f>
        <v>1896.84</v>
      </c>
      <c r="J299" s="50" t="n">
        <f aca="false">BT299*Parameter!$B$18</f>
        <v>69</v>
      </c>
      <c r="K299" s="51" t="n">
        <v>13</v>
      </c>
      <c r="L299" s="52" t="n">
        <v>5.30769230769231</v>
      </c>
      <c r="M299" s="50" t="n">
        <v>4</v>
      </c>
      <c r="N299" s="50" t="n">
        <v>20</v>
      </c>
      <c r="O299" s="53" t="n">
        <v>21</v>
      </c>
      <c r="P299" s="48" t="s">
        <v>235</v>
      </c>
      <c r="Q299" s="50" t="n">
        <v>33</v>
      </c>
      <c r="R299" s="53" t="n">
        <f aca="false">IF(BZ299=1,0,IFERROR(VLOOKUP(BX299,'Gebinde-Kategorie'!$A$5:$N$45,13,0)+0,0))</f>
        <v>12</v>
      </c>
      <c r="S299" s="54"/>
      <c r="T299" s="55"/>
      <c r="U299" s="55"/>
      <c r="V299" s="55"/>
      <c r="W299" s="48"/>
      <c r="X299" s="50"/>
      <c r="Y299" s="50"/>
      <c r="Z299" s="48" t="n">
        <f aca="false">IF(A299="","",IF(AND(Parameter!$B$21="Ja",ISNUMBER(W299)),W299,IF(CC299="2+3",IF(ISNUMBER(SEARCH("grosser Artikel",BU299)),2,IFERROR(VLOOKUP(BX299,Parameter!$F$35:$G$64,2,0),2)),IF(OR(CC299="Nein",CC299=""),"-",CC299))))</f>
        <v>2</v>
      </c>
      <c r="AA299" s="55"/>
      <c r="AB299" s="56"/>
      <c r="AC299" s="50" t="n">
        <f aca="false">AV299</f>
        <v>42</v>
      </c>
      <c r="AD299" s="50" t="n">
        <f aca="false">MAX(AV299,H299)</f>
        <v>42</v>
      </c>
      <c r="AE299" s="57"/>
      <c r="AF299" s="50" t="n">
        <f aca="false">IF(LEFT(Cockpit!$C$5,1)="A",H299,IF(Parameter!$E$30="MAX-Bestand",IF(CH299=1,CI299,IF(LEFT(Cockpit!$C$5,1)="B",AL299,MAX(AL299,H299))),ROUNDUP(AJ299,0)))</f>
        <v>22</v>
      </c>
      <c r="AG299" s="50" t="n">
        <f aca="false">IF(BZ299=1,0,ROUNDUP(AF299/BY299,0))</f>
        <v>1</v>
      </c>
      <c r="AH299" s="52" t="n">
        <f aca="false">IF(CQ299&gt;0,CQ299*MAX(1,AF299/X299),IF(BZ299=1,IF(AF299&lt;=0,0,CD299*MAX(1,IF(H299&gt;0,AF299/H299,1))),IF(R299&gt;0,AG299/R299,0))/MAX(0.1,N(Parameter!$M$21)))</f>
        <v>0.0833333333333333</v>
      </c>
      <c r="AI299" s="50" t="n">
        <f aca="false">AH299*CB299</f>
        <v>28.75</v>
      </c>
      <c r="AJ299" s="51" t="n">
        <f aca="false">IF(LEFT(Cockpit!$C$5,1)="A",H299,IF(CH299=1,(CK299+CI299)/2,IF(LEFT(Cockpit!$C$5,1)="B",(CK299+AL299)/2,MAX((CK299+AL299)/2,H299))))</f>
        <v>22</v>
      </c>
      <c r="AK299" s="50" t="n">
        <f aca="false">AJ299*G299</f>
        <v>1896.84</v>
      </c>
      <c r="AL299" s="50" t="n">
        <f aca="false">ROUNDUP(CK299+MAX(CL299,2*(J299/IF(CG299&gt;0,CG299,MAX(0.1,N(Cockpit!$C$6)))-CK299)),0)</f>
        <v>42</v>
      </c>
      <c r="AM299" s="51" t="n">
        <f aca="false">IF(AI299&gt;0,J299/AI299,-1)</f>
        <v>2.4</v>
      </c>
      <c r="AN299" s="51" t="n">
        <f aca="false">IF(AND(OR(CF299="L1",CF299="L23",CF299="LIFT"),AI299&gt;0),SUMIFS($AI$7:$AI$1843,$CF$7:$CF$1843,CF299,$AM$7:$AM$1843,"&gt;"&amp;AM299)+SUMIFS($AI$7:$AI$1843,$CF$7:$CF$1843,CF299,$AM$7:$AM$1843,AM299,$BW$7:$BW$1843,"&lt;="&amp;BW299),"")</f>
        <v>5601.25045787546</v>
      </c>
      <c r="AO299" s="58" t="n">
        <f aca="false">IF(AN299="",0,MAX(0,MIN(1,(IF(CF299="L1",Parameter!$H$5,IF(CF299="L23",Parameter!$H$6+Parameter!$H$7,Parameter!$H$5+Parameter!$H$6+Parameter!$H$7))-(AN299-AI299))/AI299)))</f>
        <v>1</v>
      </c>
      <c r="AP299" s="50" t="n">
        <f aca="false">IF(LEFT(Cockpit!$I$5,1)="A",H299,IF(Parameter!$E$30="MAX-Bestand",IF(CH299=1,CI299,IF(LEFT(Cockpit!$I$5,1)="B",AV299,MAX(AV299,H299))),ROUNDUP(AT299,0)))</f>
        <v>23</v>
      </c>
      <c r="AQ299" s="50" t="n">
        <f aca="false">IF(BZ299=1,0,ROUNDUP(AP299/BY299,0))</f>
        <v>1</v>
      </c>
      <c r="AR299" s="52" t="n">
        <f aca="false">IF(CQ299&gt;0,CQ299*MAX(1,AP299/X299),IF(BZ299=1,IF(AP299&lt;=0,0,CD299*MAX(1,IF(H299&gt;0,AP299/H299,1))),IF(R299&gt;0,AQ299/R299,0))/MAX(0.1,N(Parameter!$M$21)))</f>
        <v>0.0833333333333333</v>
      </c>
      <c r="AS299" s="50" t="n">
        <f aca="false">AR299*CB299</f>
        <v>28.75</v>
      </c>
      <c r="AT299" s="51" t="n">
        <f aca="false">IF(LEFT(Cockpit!$I$5,1)="A",H299,IF(CH299=1,(CK299+CI299)/2,IF(LEFT(Cockpit!$I$5,1)="B",(CK299+AV299)/2,MAX((CK299+AV299)/2,H299))))</f>
        <v>23</v>
      </c>
      <c r="AU299" s="50" t="n">
        <f aca="false">AT299*G299</f>
        <v>1983.06</v>
      </c>
      <c r="AV299" s="50" t="n">
        <f aca="false">ROUNDUP(CK299+MAX(CL299,2*(J299/IF(CG299&gt;0,CG299,MAX(0.1,N(Cockpit!$I$6)))-CK299)),0)</f>
        <v>42</v>
      </c>
      <c r="AW299" s="51" t="n">
        <f aca="false">IF(AS299&gt;0,J299/AS299,-1)</f>
        <v>2.4</v>
      </c>
      <c r="AX299" s="51" t="n">
        <f aca="false">IF(AND(OR(CF299="L1",CF299="L23",CF299="LIFT"),AS299&gt;0),SUMIFS($AS$7:$AS$1843,$CF$7:$CF$1843,CF299,$AW$7:$AW$1843,"&gt;"&amp;AW299)+SUMIFS($AS$7:$AS$1843,$CF$7:$CF$1843,CF299,$AW$7:$AW$1843,AW299,$BW$7:$BW$1843,"&lt;="&amp;BW299),"")</f>
        <v>6435.72847985348</v>
      </c>
      <c r="AY299" s="58" t="n">
        <f aca="false">IF(AX299="",0,MAX(0,MIN(1,(IF(CF299="L1",Parameter!$H$5,IF(CF299="L23",Parameter!$H$6+Parameter!$H$7,Parameter!$H$5+Parameter!$H$6+Parameter!$H$7))-(AX299-AS299))/AS299)))</f>
        <v>1</v>
      </c>
      <c r="AZ299" s="50" t="n">
        <f aca="false">IF(LEFT(Cockpit!$O$5,1)="A",H299,IF(Parameter!$E$30="MAX-Bestand",IF(CH299=1,CI299,IF(LEFT(Cockpit!$O$5,1)="B",BF299,MAX(BF299,H299))),ROUNDUP(BD299,0)))</f>
        <v>18</v>
      </c>
      <c r="BA299" s="50" t="n">
        <f aca="false">IF(BZ299=1,0,ROUNDUP(AZ299/BY299,0))</f>
        <v>1</v>
      </c>
      <c r="BB299" s="52" t="n">
        <f aca="false">IF(CQ299&gt;0,CQ299*MAX(1,AZ299/X299),IF(BZ299=1,IF(AZ299&lt;=0,0,CD299*MAX(1,IF(H299&gt;0,AZ299/H299,1))),IF(R299&gt;0,BA299/R299,0))/MAX(0.1,N(Parameter!$M$21)))</f>
        <v>0.0833333333333333</v>
      </c>
      <c r="BC299" s="50" t="n">
        <f aca="false">BB299*CB299</f>
        <v>28.75</v>
      </c>
      <c r="BD299" s="51" t="n">
        <f aca="false">IF(LEFT(Cockpit!$O$5,1)="A",H299,IF(CH299=1,(CK299+CI299)/2,IF(LEFT(Cockpit!$O$5,1)="B",(CK299+BF299)/2,MAX((CK299+BF299)/2,H299))))</f>
        <v>17.5</v>
      </c>
      <c r="BE299" s="50" t="n">
        <f aca="false">BD299*G299</f>
        <v>1508.85</v>
      </c>
      <c r="BF299" s="50" t="n">
        <f aca="false">ROUNDUP(CK299+MAX(CL299,2*(J299/IF(CG299&gt;0,CG299,MAX(0.1,N(Cockpit!$O$6)))-CK299)),0)</f>
        <v>31</v>
      </c>
      <c r="BG299" s="51" t="n">
        <f aca="false">IF(BC299&gt;0,J299/BC299,-1)</f>
        <v>2.4</v>
      </c>
      <c r="BH299" s="51" t="n">
        <f aca="false">IF(AND(OR(CF299="L1",CF299="L23",CF299="LIFT"),BC299&gt;0),SUMIFS($BC$7:$BC$1843,$CF$7:$CF$1843,CF299,$BG$7:$BG$1843,"&gt;"&amp;BG299)+SUMIFS($BC$7:$BC$1843,$CF$7:$CF$1843,CF299,$BG$7:$BG$1843,BG299,$BW$7:$BW$1843,"&lt;="&amp;BW299),"")</f>
        <v>5589.59615384615</v>
      </c>
      <c r="BI299" s="58" t="n">
        <f aca="false">IF(BH299="",0,MAX(0,MIN(1,(IF(CF299="L1",Parameter!$H$5,IF(CF299="L23",Parameter!$H$6+Parameter!$H$7,Parameter!$H$5+Parameter!$H$6+Parameter!$H$7))-(BH299-BC299))/BC299)))</f>
        <v>1</v>
      </c>
      <c r="BJ299" s="48" t="str">
        <f aca="false">IF(AI299&lt;=0,"",IF(CF299="Aussen","Aussenlager",IF(CF299="-","Nicht im Lift",IF(AO299&gt;=1,"Lift",IF(AO299&lt;=0,"Aussenlager","teilweise")))))</f>
        <v>Lift</v>
      </c>
      <c r="BK299" s="48" t="str">
        <f aca="false">IF(AS299&lt;=0,"",IF(CF299="Aussen","Aussenlager",IF(CF299="-","Nicht im Lift",IF(AY299&gt;=1,"Lift",IF(AY299&lt;=0,"Aussenlager","teilweise")))))</f>
        <v>Lift</v>
      </c>
      <c r="BL299" s="48" t="str">
        <f aca="false">IF(BC299&lt;=0,"",IF(CF299="Aussen","Aussenlager",IF(CF299="-","Nicht im Lift",IF(BI299&gt;=1,"Lift",IF(BI299&lt;=0,"Aussenlager","teilweise")))))</f>
        <v>Lift</v>
      </c>
      <c r="BM299" s="48" t="str">
        <f aca="false">IF(A299="","",IF(BV299=1,"Neu; ","")&amp;IF(AND(BV299=0,BQ299&lt;0),"negativer Bestand (Export "&amp;BQ299&amp;"); ","")&amp;IF(J299&lt;=0,"Kein Verbrauch; ","")&amp;IF(CQ299&gt;0,"Lift "&amp;W299&amp;" lt. Liftbericht (Fach "&amp;X299&amp;" Stk); ",IF(CA299=1,"Gebinde geschätzt ("&amp;T299&amp;"); ",IF(BZ299=1,"Lose – Tablare geschätzt; ","")))&amp;IF(H299&gt;AV299,"Überbestand "&amp;ROUND(H299-AV299,0)&amp;" Stk / CHF "&amp;ROUND((H299-AV299)*G299,0)&amp;"; ","")&amp;IF(AND(CH299=1,CI299&lt;CJ299),"MAX &lt; MB+LG; ","")&amp;IF(AND(CP299&gt;0,CO299*10&gt;CP299),"zu hoch für Tablar; ","")&amp;IF(AND(BV299=0,OR(CH299=1,AA299&lt;&gt;"",U299&lt;&gt;"",V299&lt;&gt;"",AB299&lt;&gt;"")),"manuell übersteuert; ","")&amp;IF(AND(BZ299=0,R299=0),"Gebinde unbekannt / Stellmass fehlt; ","")&amp;IF(AND(BZ299=0,N(V299)&lt;=0,N(Q299)&lt;=0),"Menge pro Gebinde fehlt (Ist = 1 Gebinde); ","")&amp;BU299)</f>
        <v/>
      </c>
      <c r="BN299" s="48"/>
      <c r="BO299" s="48"/>
      <c r="BP299" s="55"/>
      <c r="BQ299" s="50" t="n">
        <v>8</v>
      </c>
      <c r="BR299" s="50" t="n">
        <v>14</v>
      </c>
      <c r="BS299" s="49" t="n">
        <v>275.919999999997</v>
      </c>
      <c r="BT299" s="50" t="n">
        <v>69</v>
      </c>
      <c r="BU299" s="48"/>
      <c r="BV299" s="53" t="n">
        <v>0</v>
      </c>
      <c r="BW299" s="53" t="n">
        <v>299</v>
      </c>
      <c r="BX299" s="48" t="str">
        <f aca="false">IF(U299&lt;&gt;"",UPPER(TRIM(U299)),IF(CA299=1,UPPER(VLOOKUP(T299,Parameter!$I$27:$K$29,2,0)),IF(P299="","LOSE",P299)))</f>
        <v>S63</v>
      </c>
      <c r="BY299" s="50" t="n">
        <f aca="false">IF(BX299="LOSE",1,IF(N(V299)&gt;0,V299,IF(CA299=1,MAX(1,N(VLOOKUP(T299,Parameter!$I$27:$K$29,3,0)),H299,N(N299)),IF(N(Q299)&gt;0,Q299,MAX(1,H299)))))</f>
        <v>33</v>
      </c>
      <c r="BZ299" s="53" t="n">
        <f aca="false">IF(BX299="LOSE",1,0)</f>
        <v>0</v>
      </c>
      <c r="CA299" s="53" t="n">
        <f aca="false">IF(AND(U299="",OR(P299="",P299="LOSE"),T299&lt;&gt;"",N(S299)&lt;=0,ISNUMBER(MATCH(T299,Parameter!$I$27:$I$29,0))),1,0)</f>
        <v>0</v>
      </c>
      <c r="CB299" s="53" t="n">
        <f aca="false">IF(CQ299&gt;0,INDEX(Parameter!$H$5:$H$7,W299)/INDEX(Parameter!$E$5:$E$7,W299),IF(AND(BZ299=0,N(IFERROR(VLOOKUP(BX299,'Gebinde-Kategorie'!$A$5:$N$45,14,0),0))&gt;0),VLOOKUP(BX299,'Gebinde-Kategorie'!$A$5:$N$45,14,0)*10+Parameter!$M$23,Parameter!$M$24))</f>
        <v>345</v>
      </c>
      <c r="CC299" s="48" t="str">
        <f aca="false">IF(AND(Parameter!$B$19="Ja",E299&lt;&gt;"",ISNUMBER(MATCH(E299,Parameter!$I$35:$I$52,0))),VLOOKUP(E299,Parameter!$I$35:$J$52,2,0),IFERROR(VLOOKUP(D299,Parameter!$A$35:$C$64,2,0),"Nein"))</f>
        <v>2+3</v>
      </c>
      <c r="CD299" s="52" t="n">
        <f aca="false">IF(BZ299=0,0,IF(N(S299)&gt;0,S299,IFERROR(VLOOKUP(D299,Parameter!$A$35:$C$64,3,0)+0,0)))</f>
        <v>0</v>
      </c>
      <c r="CE299" s="48" t="n">
        <f aca="false">IF(AA299&lt;&gt;"",AA299,Z299)</f>
        <v>2</v>
      </c>
      <c r="CF299" s="48" t="str">
        <f aca="false">IF(OR(CE299=1,CE299=2,CE299=3),IF(Parameter!$E$27="Ja","LIFT",IF(CE299=1,"L1","L23")),IF(CE299="Aussen","Aussen","-"))</f>
        <v>LIFT</v>
      </c>
      <c r="CG299" s="59" t="n">
        <f aca="false">IF(N(AB299)&gt;0,AB299,0)</f>
        <v>0</v>
      </c>
      <c r="CH299" s="53" t="n">
        <f aca="false">IF(ISNUMBER(AE299),1,0)</f>
        <v>0</v>
      </c>
      <c r="CI299" s="50" t="n">
        <f aca="false">N(AE299)</f>
        <v>0</v>
      </c>
      <c r="CJ299" s="50" t="n">
        <f aca="false">N(M299)+N(N299)</f>
        <v>24</v>
      </c>
      <c r="CK299" s="50" t="n">
        <f aca="false">N(M299)</f>
        <v>4</v>
      </c>
      <c r="CL299" s="50" t="n">
        <f aca="false">N(N299)</f>
        <v>20</v>
      </c>
      <c r="CM299" s="50" t="n">
        <f aca="false">ROUNDUP(H299/BY299,0)</f>
        <v>1</v>
      </c>
      <c r="CN299" s="50" t="n">
        <f aca="false">ROUNDUP(CI299/BY299,0)</f>
        <v>0</v>
      </c>
      <c r="CO299" s="53" t="n">
        <f aca="false">IF(BZ299=1,0,IFERROR(VLOOKUP(BX299,'Gebinde-Kategorie'!$A$5:$N$45,5,0)+0,0))</f>
        <v>31</v>
      </c>
      <c r="CP299" s="53" t="n">
        <f aca="false">IFERROR(IF(OR(CE299=1,CE299=2,CE299=3),N(INDEX(Parameter!$I$5:$I$7,CE299)),0),0)</f>
        <v>0</v>
      </c>
      <c r="CQ299" s="52" t="n">
        <f aca="false">IF(AND(Parameter!$B$21="Ja",ISNUMBER(W299),N(X299)&gt;0),IFERROR(N(INDEX(Parameter!$L$5:$L$7,W299))*INDEX(Parameter!$E$5:$E$7,W299)*X299/SUMIFS($X$7:$X$1843,$W$7:$W$1843,W299),0),0)</f>
        <v>0</v>
      </c>
    </row>
    <row r="300" customFormat="false" ht="15" hidden="false" customHeight="false" outlineLevel="0" collapsed="false">
      <c r="A300" s="48" t="s">
        <v>779</v>
      </c>
      <c r="B300" s="48" t="s">
        <v>780</v>
      </c>
      <c r="C300" s="48" t="s">
        <v>173</v>
      </c>
      <c r="D300" s="48" t="s">
        <v>193</v>
      </c>
      <c r="E300" s="48"/>
      <c r="F300" s="48" t="s">
        <v>227</v>
      </c>
      <c r="G300" s="49" t="n">
        <v>22.95</v>
      </c>
      <c r="H300" s="50" t="n">
        <f aca="false">MAX(0,IF(AND(Parameter!$B$21="Ja",ISNUMBER(Y300)),Y300,IF(Parameter!$B$20="Jahresanfang 2025 + Export",BR300+BQ300,BQ300)))</f>
        <v>12</v>
      </c>
      <c r="I300" s="50" t="n">
        <f aca="false">H300*G300</f>
        <v>275.4</v>
      </c>
      <c r="J300" s="50" t="n">
        <f aca="false">BT300*Parameter!$B$18</f>
        <v>5</v>
      </c>
      <c r="K300" s="51" t="n">
        <v>6</v>
      </c>
      <c r="L300" s="52" t="n">
        <v>0.833333333333333</v>
      </c>
      <c r="M300" s="50" t="n">
        <v>0</v>
      </c>
      <c r="N300" s="50" t="n">
        <v>15</v>
      </c>
      <c r="O300" s="53" t="n">
        <v>14</v>
      </c>
      <c r="P300" s="48" t="s">
        <v>410</v>
      </c>
      <c r="Q300" s="50" t="n">
        <v>15</v>
      </c>
      <c r="R300" s="53" t="n">
        <f aca="false">IF(BZ300=1,0,IFERROR(VLOOKUP(BX300,'Gebinde-Kategorie'!$A$5:$N$45,13,0)+0,0))</f>
        <v>280</v>
      </c>
      <c r="S300" s="54"/>
      <c r="T300" s="55"/>
      <c r="U300" s="55"/>
      <c r="V300" s="55"/>
      <c r="W300" s="48"/>
      <c r="X300" s="50"/>
      <c r="Y300" s="50"/>
      <c r="Z300" s="48" t="n">
        <f aca="false">IF(A300="","",IF(AND(Parameter!$B$21="Ja",ISNUMBER(W300)),W300,IF(CC300="2+3",IF(ISNUMBER(SEARCH("grosser Artikel",BU300)),2,IFERROR(VLOOKUP(BX300,Parameter!$F$35:$G$64,2,0),2)),IF(OR(CC300="Nein",CC300=""),"-",CC300))))</f>
        <v>3</v>
      </c>
      <c r="AA300" s="55"/>
      <c r="AB300" s="56"/>
      <c r="AC300" s="50" t="n">
        <f aca="false">AV300</f>
        <v>15</v>
      </c>
      <c r="AD300" s="50" t="n">
        <f aca="false">MAX(AV300,H300)</f>
        <v>15</v>
      </c>
      <c r="AE300" s="57"/>
      <c r="AF300" s="50" t="n">
        <f aca="false">IF(LEFT(Cockpit!$C$5,1)="A",H300,IF(Parameter!$E$30="MAX-Bestand",IF(CH300=1,CI300,IF(LEFT(Cockpit!$C$5,1)="B",AL300,MAX(AL300,H300))),ROUNDUP(AJ300,0)))</f>
        <v>12</v>
      </c>
      <c r="AG300" s="50" t="n">
        <f aca="false">IF(BZ300=1,0,ROUNDUP(AF300/BY300,0))</f>
        <v>1</v>
      </c>
      <c r="AH300" s="52" t="n">
        <f aca="false">IF(CQ300&gt;0,CQ300*MAX(1,AF300/X300),IF(BZ300=1,IF(AF300&lt;=0,0,CD300*MAX(1,IF(H300&gt;0,AF300/H300,1))),IF(R300&gt;0,AG300/R300,0))/MAX(0.1,N(Parameter!$M$21)))</f>
        <v>0.00357142857142857</v>
      </c>
      <c r="AI300" s="50" t="n">
        <f aca="false">AH300*CB300</f>
        <v>0.553571428571429</v>
      </c>
      <c r="AJ300" s="51" t="n">
        <f aca="false">IF(LEFT(Cockpit!$C$5,1)="A",H300,IF(CH300=1,(CK300+CI300)/2,IF(LEFT(Cockpit!$C$5,1)="B",(CK300+AL300)/2,MAX((CK300+AL300)/2,H300))))</f>
        <v>12</v>
      </c>
      <c r="AK300" s="50" t="n">
        <f aca="false">AJ300*G300</f>
        <v>275.4</v>
      </c>
      <c r="AL300" s="50" t="n">
        <f aca="false">ROUNDUP(CK300+MAX(CL300,2*(J300/IF(CG300&gt;0,CG300,MAX(0.1,N(Cockpit!$C$6)))-CK300)),0)</f>
        <v>15</v>
      </c>
      <c r="AM300" s="51" t="n">
        <f aca="false">IF(AI300&gt;0,J300/AI300,-1)</f>
        <v>9.03225806451613</v>
      </c>
      <c r="AN300" s="51" t="n">
        <f aca="false">IF(AND(OR(CF300="L1",CF300="L23",CF300="LIFT"),AI300&gt;0),SUMIFS($AI$7:$AI$1843,$CF$7:$CF$1843,CF300,$AM$7:$AM$1843,"&gt;"&amp;AM300)+SUMIFS($AI$7:$AI$1843,$CF$7:$CF$1843,CF300,$AM$7:$AM$1843,AM300,$BW$7:$BW$1843,"&lt;="&amp;BW300),"")</f>
        <v>2919.67445054945</v>
      </c>
      <c r="AO300" s="58" t="n">
        <f aca="false">IF(AN300="",0,MAX(0,MIN(1,(IF(CF300="L1",Parameter!$H$5,IF(CF300="L23",Parameter!$H$6+Parameter!$H$7,Parameter!$H$5+Parameter!$H$6+Parameter!$H$7))-(AN300-AI300))/AI300)))</f>
        <v>1</v>
      </c>
      <c r="AP300" s="50" t="n">
        <f aca="false">IF(LEFT(Cockpit!$I$5,1)="A",H300,IF(Parameter!$E$30="MAX-Bestand",IF(CH300=1,CI300,IF(LEFT(Cockpit!$I$5,1)="B",AV300,MAX(AV300,H300))),ROUNDUP(AT300,0)))</f>
        <v>12</v>
      </c>
      <c r="AQ300" s="50" t="n">
        <f aca="false">IF(BZ300=1,0,ROUNDUP(AP300/BY300,0))</f>
        <v>1</v>
      </c>
      <c r="AR300" s="52" t="n">
        <f aca="false">IF(CQ300&gt;0,CQ300*MAX(1,AP300/X300),IF(BZ300=1,IF(AP300&lt;=0,0,CD300*MAX(1,IF(H300&gt;0,AP300/H300,1))),IF(R300&gt;0,AQ300/R300,0))/MAX(0.1,N(Parameter!$M$21)))</f>
        <v>0.00357142857142857</v>
      </c>
      <c r="AS300" s="50" t="n">
        <f aca="false">AR300*CB300</f>
        <v>0.553571428571429</v>
      </c>
      <c r="AT300" s="51" t="n">
        <f aca="false">IF(LEFT(Cockpit!$I$5,1)="A",H300,IF(CH300=1,(CK300+CI300)/2,IF(LEFT(Cockpit!$I$5,1)="B",(CK300+AV300)/2,MAX((CK300+AV300)/2,H300))))</f>
        <v>12</v>
      </c>
      <c r="AU300" s="50" t="n">
        <f aca="false">AT300*G300</f>
        <v>275.4</v>
      </c>
      <c r="AV300" s="50" t="n">
        <f aca="false">ROUNDUP(CK300+MAX(CL300,2*(J300/IF(CG300&gt;0,CG300,MAX(0.1,N(Cockpit!$I$6)))-CK300)),0)</f>
        <v>15</v>
      </c>
      <c r="AW300" s="51" t="n">
        <f aca="false">IF(AS300&gt;0,J300/AS300,-1)</f>
        <v>9.03225806451613</v>
      </c>
      <c r="AX300" s="51" t="n">
        <f aca="false">IF(AND(OR(CF300="L1",CF300="L23",CF300="LIFT"),AS300&gt;0),SUMIFS($AS$7:$AS$1843,$CF$7:$CF$1843,CF300,$AW$7:$AW$1843,"&gt;"&amp;AW300)+SUMIFS($AS$7:$AS$1843,$CF$7:$CF$1843,CF300,$AW$7:$AW$1843,AW300,$BW$7:$BW$1843,"&lt;="&amp;BW300),"")</f>
        <v>3534.66254578755</v>
      </c>
      <c r="AY300" s="58" t="n">
        <f aca="false">IF(AX300="",0,MAX(0,MIN(1,(IF(CF300="L1",Parameter!$H$5,IF(CF300="L23",Parameter!$H$6+Parameter!$H$7,Parameter!$H$5+Parameter!$H$6+Parameter!$H$7))-(AX300-AS300))/AS300)))</f>
        <v>1</v>
      </c>
      <c r="AZ300" s="50" t="n">
        <f aca="false">IF(LEFT(Cockpit!$O$5,1)="A",H300,IF(Parameter!$E$30="MAX-Bestand",IF(CH300=1,CI300,IF(LEFT(Cockpit!$O$5,1)="B",BF300,MAX(BF300,H300))),ROUNDUP(BD300,0)))</f>
        <v>8</v>
      </c>
      <c r="BA300" s="50" t="n">
        <f aca="false">IF(BZ300=1,0,ROUNDUP(AZ300/BY300,0))</f>
        <v>1</v>
      </c>
      <c r="BB300" s="52" t="n">
        <f aca="false">IF(CQ300&gt;0,CQ300*MAX(1,AZ300/X300),IF(BZ300=1,IF(AZ300&lt;=0,0,CD300*MAX(1,IF(H300&gt;0,AZ300/H300,1))),IF(R300&gt;0,BA300/R300,0))/MAX(0.1,N(Parameter!$M$21)))</f>
        <v>0.00357142857142857</v>
      </c>
      <c r="BC300" s="50" t="n">
        <f aca="false">BB300*CB300</f>
        <v>0.553571428571429</v>
      </c>
      <c r="BD300" s="51" t="n">
        <f aca="false">IF(LEFT(Cockpit!$O$5,1)="A",H300,IF(CH300=1,(CK300+CI300)/2,IF(LEFT(Cockpit!$O$5,1)="B",(CK300+BF300)/2,MAX((CK300+BF300)/2,H300))))</f>
        <v>7.5</v>
      </c>
      <c r="BE300" s="50" t="n">
        <f aca="false">BD300*G300</f>
        <v>172.125</v>
      </c>
      <c r="BF300" s="50" t="n">
        <f aca="false">ROUNDUP(CK300+MAX(CL300,2*(J300/IF(CG300&gt;0,CG300,MAX(0.1,N(Cockpit!$O$6)))-CK300)),0)</f>
        <v>15</v>
      </c>
      <c r="BG300" s="51" t="n">
        <f aca="false">IF(BC300&gt;0,J300/BC300,-1)</f>
        <v>9.03225806451613</v>
      </c>
      <c r="BH300" s="51" t="n">
        <f aca="false">IF(AND(OR(CF300="L1",CF300="L23",CF300="LIFT"),BC300&gt;0),SUMIFS($BC$7:$BC$1843,$CF$7:$CF$1843,CF300,$BG$7:$BG$1843,"&gt;"&amp;BG300)+SUMIFS($BC$7:$BC$1843,$CF$7:$CF$1843,CF300,$BG$7:$BG$1843,BG300,$BW$7:$BW$1843,"&lt;="&amp;BW300),"")</f>
        <v>2878.04075091575</v>
      </c>
      <c r="BI300" s="58" t="n">
        <f aca="false">IF(BH300="",0,MAX(0,MIN(1,(IF(CF300="L1",Parameter!$H$5,IF(CF300="L23",Parameter!$H$6+Parameter!$H$7,Parameter!$H$5+Parameter!$H$6+Parameter!$H$7))-(BH300-BC300))/BC300)))</f>
        <v>1</v>
      </c>
      <c r="BJ300" s="48" t="str">
        <f aca="false">IF(AI300&lt;=0,"",IF(CF300="Aussen","Aussenlager",IF(CF300="-","Nicht im Lift",IF(AO300&gt;=1,"Lift",IF(AO300&lt;=0,"Aussenlager","teilweise")))))</f>
        <v>Lift</v>
      </c>
      <c r="BK300" s="48" t="str">
        <f aca="false">IF(AS300&lt;=0,"",IF(CF300="Aussen","Aussenlager",IF(CF300="-","Nicht im Lift",IF(AY300&gt;=1,"Lift",IF(AY300&lt;=0,"Aussenlager","teilweise")))))</f>
        <v>Lift</v>
      </c>
      <c r="BL300" s="48" t="str">
        <f aca="false">IF(BC300&lt;=0,"",IF(CF300="Aussen","Aussenlager",IF(CF300="-","Nicht im Lift",IF(BI300&gt;=1,"Lift",IF(BI300&lt;=0,"Aussenlager","teilweise")))))</f>
        <v>Lift</v>
      </c>
      <c r="BM300" s="48" t="str">
        <f aca="false">IF(A300="","",IF(BV300=1,"Neu; ","")&amp;IF(AND(BV300=0,BQ300&lt;0),"negativer Bestand (Export "&amp;BQ300&amp;"); ","")&amp;IF(J300&lt;=0,"Kein Verbrauch; ","")&amp;IF(CQ300&gt;0,"Lift "&amp;W300&amp;" lt. Liftbericht (Fach "&amp;X300&amp;" Stk); ",IF(CA300=1,"Gebinde geschätzt ("&amp;T300&amp;"); ",IF(BZ300=1,"Lose – Tablare geschätzt; ","")))&amp;IF(H300&gt;AV300,"Überbestand "&amp;ROUND(H300-AV300,0)&amp;" Stk / CHF "&amp;ROUND((H300-AV300)*G300,0)&amp;"; ","")&amp;IF(AND(CH300=1,CI300&lt;CJ300),"MAX &lt; MB+LG; ","")&amp;IF(AND(CP300&gt;0,CO300*10&gt;CP300),"zu hoch für Tablar; ","")&amp;IF(AND(BV300=0,OR(CH300=1,AA300&lt;&gt;"",U300&lt;&gt;"",V300&lt;&gt;"",AB300&lt;&gt;"")),"manuell übersteuert; ","")&amp;IF(AND(BZ300=0,R300=0),"Gebinde unbekannt / Stellmass fehlt; ","")&amp;IF(AND(BZ300=0,N(V300)&lt;=0,N(Q300)&lt;=0),"Menge pro Gebinde fehlt (Ist = 1 Gebinde); ","")&amp;BU300)</f>
        <v/>
      </c>
      <c r="BN300" s="48"/>
      <c r="BO300" s="48"/>
      <c r="BP300" s="55"/>
      <c r="BQ300" s="50" t="n">
        <v>12</v>
      </c>
      <c r="BR300" s="50" t="n">
        <v>0</v>
      </c>
      <c r="BS300" s="49" t="n">
        <v>275.4</v>
      </c>
      <c r="BT300" s="50" t="n">
        <v>5</v>
      </c>
      <c r="BU300" s="48"/>
      <c r="BV300" s="53" t="n">
        <v>0</v>
      </c>
      <c r="BW300" s="53" t="n">
        <v>300</v>
      </c>
      <c r="BX300" s="48" t="str">
        <f aca="false">IF(U300&lt;&gt;"",UPPER(TRIM(U300)),IF(CA300=1,UPPER(VLOOKUP(T300,Parameter!$I$27:$K$29,2,0)),IF(P300="","LOSE",P300)))</f>
        <v>S21</v>
      </c>
      <c r="BY300" s="50" t="n">
        <f aca="false">IF(BX300="LOSE",1,IF(N(V300)&gt;0,V300,IF(CA300=1,MAX(1,N(VLOOKUP(T300,Parameter!$I$27:$K$29,3,0)),H300,N(N300)),IF(N(Q300)&gt;0,Q300,MAX(1,H300)))))</f>
        <v>15</v>
      </c>
      <c r="BZ300" s="53" t="n">
        <f aca="false">IF(BX300="LOSE",1,0)</f>
        <v>0</v>
      </c>
      <c r="CA300" s="53" t="n">
        <f aca="false">IF(AND(U300="",OR(P300="",P300="LOSE"),T300&lt;&gt;"",N(S300)&lt;=0,ISNUMBER(MATCH(T300,Parameter!$I$27:$I$29,0))),1,0)</f>
        <v>0</v>
      </c>
      <c r="CB300" s="53" t="n">
        <f aca="false">IF(CQ300&gt;0,INDEX(Parameter!$H$5:$H$7,W300)/INDEX(Parameter!$E$5:$E$7,W300),IF(AND(BZ300=0,N(IFERROR(VLOOKUP(BX300,'Gebinde-Kategorie'!$A$5:$N$45,14,0),0))&gt;0),VLOOKUP(BX300,'Gebinde-Kategorie'!$A$5:$N$45,14,0)*10+Parameter!$M$23,Parameter!$M$24))</f>
        <v>155</v>
      </c>
      <c r="CC300" s="48" t="str">
        <f aca="false">IF(AND(Parameter!$B$19="Ja",E300&lt;&gt;"",ISNUMBER(MATCH(E300,Parameter!$I$35:$I$52,0))),VLOOKUP(E300,Parameter!$I$35:$J$52,2,0),IFERROR(VLOOKUP(D300,Parameter!$A$35:$C$64,2,0),"Nein"))</f>
        <v>2+3</v>
      </c>
      <c r="CD300" s="52" t="n">
        <f aca="false">IF(BZ300=0,0,IF(N(S300)&gt;0,S300,IFERROR(VLOOKUP(D300,Parameter!$A$35:$C$64,3,0)+0,0)))</f>
        <v>0</v>
      </c>
      <c r="CE300" s="48" t="n">
        <f aca="false">IF(AA300&lt;&gt;"",AA300,Z300)</f>
        <v>3</v>
      </c>
      <c r="CF300" s="48" t="str">
        <f aca="false">IF(OR(CE300=1,CE300=2,CE300=3),IF(Parameter!$E$27="Ja","LIFT",IF(CE300=1,"L1","L23")),IF(CE300="Aussen","Aussen","-"))</f>
        <v>LIFT</v>
      </c>
      <c r="CG300" s="59" t="n">
        <f aca="false">IF(N(AB300)&gt;0,AB300,0)</f>
        <v>0</v>
      </c>
      <c r="CH300" s="53" t="n">
        <f aca="false">IF(ISNUMBER(AE300),1,0)</f>
        <v>0</v>
      </c>
      <c r="CI300" s="50" t="n">
        <f aca="false">N(AE300)</f>
        <v>0</v>
      </c>
      <c r="CJ300" s="50" t="n">
        <f aca="false">N(M300)+N(N300)</f>
        <v>15</v>
      </c>
      <c r="CK300" s="50" t="n">
        <f aca="false">N(M300)</f>
        <v>0</v>
      </c>
      <c r="CL300" s="50" t="n">
        <f aca="false">N(N300)</f>
        <v>15</v>
      </c>
      <c r="CM300" s="50" t="n">
        <f aca="false">ROUNDUP(H300/BY300,0)</f>
        <v>1</v>
      </c>
      <c r="CN300" s="50" t="n">
        <f aca="false">ROUNDUP(CI300/BY300,0)</f>
        <v>0</v>
      </c>
      <c r="CO300" s="53" t="n">
        <f aca="false">IF(BZ300=1,0,IFERROR(VLOOKUP(BX300,'Gebinde-Kategorie'!$A$5:$N$45,5,0)+0,0))</f>
        <v>8</v>
      </c>
      <c r="CP300" s="53" t="n">
        <f aca="false">IFERROR(IF(OR(CE300=1,CE300=2,CE300=3),N(INDEX(Parameter!$I$5:$I$7,CE300)),0),0)</f>
        <v>0</v>
      </c>
      <c r="CQ300" s="52" t="n">
        <f aca="false">IF(AND(Parameter!$B$21="Ja",ISNUMBER(W300),N(X300)&gt;0),IFERROR(N(INDEX(Parameter!$L$5:$L$7,W300))*INDEX(Parameter!$E$5:$E$7,W300)*X300/SUMIFS($X$7:$X$1843,$W$7:$W$1843,W300),0),0)</f>
        <v>0</v>
      </c>
    </row>
    <row r="301" customFormat="false" ht="15" hidden="false" customHeight="false" outlineLevel="0" collapsed="false">
      <c r="A301" s="48" t="s">
        <v>781</v>
      </c>
      <c r="B301" s="48" t="s">
        <v>782</v>
      </c>
      <c r="C301" s="48" t="s">
        <v>173</v>
      </c>
      <c r="D301" s="48" t="s">
        <v>193</v>
      </c>
      <c r="E301" s="48" t="s">
        <v>194</v>
      </c>
      <c r="F301" s="48" t="s">
        <v>227</v>
      </c>
      <c r="G301" s="49" t="n">
        <v>40.32</v>
      </c>
      <c r="H301" s="50" t="n">
        <f aca="false">MAX(0,IF(AND(Parameter!$B$21="Ja",ISNUMBER(Y301)),Y301,IF(Parameter!$B$20="Jahresanfang 2025 + Export",BR301+BQ301,BQ301)))</f>
        <v>16</v>
      </c>
      <c r="I301" s="50" t="n">
        <f aca="false">H301*G301</f>
        <v>645.12</v>
      </c>
      <c r="J301" s="50" t="n">
        <f aca="false">BT301*Parameter!$B$18</f>
        <v>40</v>
      </c>
      <c r="K301" s="51" t="n">
        <v>9</v>
      </c>
      <c r="L301" s="52" t="n">
        <v>4.44444444444445</v>
      </c>
      <c r="M301" s="50" t="n">
        <v>3</v>
      </c>
      <c r="N301" s="50" t="n">
        <v>10</v>
      </c>
      <c r="O301" s="53" t="n">
        <v>35</v>
      </c>
      <c r="P301" s="48" t="s">
        <v>302</v>
      </c>
      <c r="Q301" s="50" t="n">
        <v>48</v>
      </c>
      <c r="R301" s="53" t="n">
        <f aca="false">IF(BZ301=1,0,IFERROR(VLOOKUP(BX301,'Gebinde-Kategorie'!$A$5:$N$45,13,0)+0,0))</f>
        <v>12</v>
      </c>
      <c r="S301" s="54"/>
      <c r="T301" s="55"/>
      <c r="U301" s="55"/>
      <c r="V301" s="55"/>
      <c r="W301" s="48"/>
      <c r="X301" s="50"/>
      <c r="Y301" s="50"/>
      <c r="Z301" s="48" t="n">
        <f aca="false">IF(A301="","",IF(AND(Parameter!$B$21="Ja",ISNUMBER(W301)),W301,IF(CC301="2+3",IF(ISNUMBER(SEARCH("grosser Artikel",BU301)),2,IFERROR(VLOOKUP(BX301,Parameter!$F$35:$G$64,2,0),2)),IF(OR(CC301="Nein",CC301=""),"-",CC301))))</f>
        <v>2</v>
      </c>
      <c r="AA301" s="55"/>
      <c r="AB301" s="56"/>
      <c r="AC301" s="50" t="n">
        <f aca="false">AV301</f>
        <v>24</v>
      </c>
      <c r="AD301" s="50" t="n">
        <f aca="false">MAX(AV301,H301)</f>
        <v>24</v>
      </c>
      <c r="AE301" s="57"/>
      <c r="AF301" s="50" t="n">
        <f aca="false">IF(LEFT(Cockpit!$C$5,1)="A",H301,IF(Parameter!$E$30="MAX-Bestand",IF(CH301=1,CI301,IF(LEFT(Cockpit!$C$5,1)="B",AL301,MAX(AL301,H301))),ROUNDUP(AJ301,0)))</f>
        <v>16</v>
      </c>
      <c r="AG301" s="50" t="n">
        <f aca="false">IF(BZ301=1,0,ROUNDUP(AF301/BY301,0))</f>
        <v>1</v>
      </c>
      <c r="AH301" s="52" t="n">
        <f aca="false">IF(CQ301&gt;0,CQ301*MAX(1,AF301/X301),IF(BZ301=1,IF(AF301&lt;=0,0,CD301*MAX(1,IF(H301&gt;0,AF301/H301,1))),IF(R301&gt;0,AG301/R301,0))/MAX(0.1,N(Parameter!$M$21)))</f>
        <v>0.0833333333333333</v>
      </c>
      <c r="AI301" s="50" t="n">
        <f aca="false">AH301*CB301</f>
        <v>20.4166666666667</v>
      </c>
      <c r="AJ301" s="51" t="n">
        <f aca="false">IF(LEFT(Cockpit!$C$5,1)="A",H301,IF(CH301=1,(CK301+CI301)/2,IF(LEFT(Cockpit!$C$5,1)="B",(CK301+AL301)/2,MAX((CK301+AL301)/2,H301))))</f>
        <v>16</v>
      </c>
      <c r="AK301" s="50" t="n">
        <f aca="false">AJ301*G301</f>
        <v>645.12</v>
      </c>
      <c r="AL301" s="50" t="n">
        <f aca="false">ROUNDUP(CK301+MAX(CL301,2*(J301/IF(CG301&gt;0,CG301,MAX(0.1,N(Cockpit!$C$6)))-CK301)),0)</f>
        <v>24</v>
      </c>
      <c r="AM301" s="51" t="n">
        <f aca="false">IF(AI301&gt;0,J301/AI301,-1)</f>
        <v>1.95918367346939</v>
      </c>
      <c r="AN301" s="51" t="n">
        <f aca="false">IF(AND(OR(CF301="L1",CF301="L23",CF301="LIFT"),AI301&gt;0),SUMIFS($AI$7:$AI$1843,$CF$7:$CF$1843,CF301,$AM$7:$AM$1843,"&gt;"&amp;AM301)+SUMIFS($AI$7:$AI$1843,$CF$7:$CF$1843,CF301,$AM$7:$AM$1843,AM301,$BW$7:$BW$1843,"&lt;="&amp;BW301),"")</f>
        <v>5851.50686813187</v>
      </c>
      <c r="AO301" s="58" t="n">
        <f aca="false">IF(AN301="",0,MAX(0,MIN(1,(IF(CF301="L1",Parameter!$H$5,IF(CF301="L23",Parameter!$H$6+Parameter!$H$7,Parameter!$H$5+Parameter!$H$6+Parameter!$H$7))-(AN301-AI301))/AI301)))</f>
        <v>1</v>
      </c>
      <c r="AP301" s="50" t="n">
        <f aca="false">IF(LEFT(Cockpit!$I$5,1)="A",H301,IF(Parameter!$E$30="MAX-Bestand",IF(CH301=1,CI301,IF(LEFT(Cockpit!$I$5,1)="B",AV301,MAX(AV301,H301))),ROUNDUP(AT301,0)))</f>
        <v>16</v>
      </c>
      <c r="AQ301" s="50" t="n">
        <f aca="false">IF(BZ301=1,0,ROUNDUP(AP301/BY301,0))</f>
        <v>1</v>
      </c>
      <c r="AR301" s="52" t="n">
        <f aca="false">IF(CQ301&gt;0,CQ301*MAX(1,AP301/X301),IF(BZ301=1,IF(AP301&lt;=0,0,CD301*MAX(1,IF(H301&gt;0,AP301/H301,1))),IF(R301&gt;0,AQ301/R301,0))/MAX(0.1,N(Parameter!$M$21)))</f>
        <v>0.0833333333333333</v>
      </c>
      <c r="AS301" s="50" t="n">
        <f aca="false">AR301*CB301</f>
        <v>20.4166666666667</v>
      </c>
      <c r="AT301" s="51" t="n">
        <f aca="false">IF(LEFT(Cockpit!$I$5,1)="A",H301,IF(CH301=1,(CK301+CI301)/2,IF(LEFT(Cockpit!$I$5,1)="B",(CK301+AV301)/2,MAX((CK301+AV301)/2,H301))))</f>
        <v>16</v>
      </c>
      <c r="AU301" s="50" t="n">
        <f aca="false">AT301*G301</f>
        <v>645.12</v>
      </c>
      <c r="AV301" s="50" t="n">
        <f aca="false">ROUNDUP(CK301+MAX(CL301,2*(J301/IF(CG301&gt;0,CG301,MAX(0.1,N(Cockpit!$I$6)))-CK301)),0)</f>
        <v>24</v>
      </c>
      <c r="AW301" s="51" t="n">
        <f aca="false">IF(AS301&gt;0,J301/AS301,-1)</f>
        <v>1.95918367346939</v>
      </c>
      <c r="AX301" s="51" t="n">
        <f aca="false">IF(AND(OR(CF301="L1",CF301="L23",CF301="LIFT"),AS301&gt;0),SUMIFS($AS$7:$AS$1843,$CF$7:$CF$1843,CF301,$AW$7:$AW$1843,"&gt;"&amp;AW301)+SUMIFS($AS$7:$AS$1843,$CF$7:$CF$1843,CF301,$AW$7:$AW$1843,AW301,$BW$7:$BW$1843,"&lt;="&amp;BW301),"")</f>
        <v>7219.44642857143</v>
      </c>
      <c r="AY301" s="58" t="n">
        <f aca="false">IF(AX301="",0,MAX(0,MIN(1,(IF(CF301="L1",Parameter!$H$5,IF(CF301="L23",Parameter!$H$6+Parameter!$H$7,Parameter!$H$5+Parameter!$H$6+Parameter!$H$7))-(AX301-AS301))/AS301)))</f>
        <v>1</v>
      </c>
      <c r="AZ301" s="50" t="n">
        <f aca="false">IF(LEFT(Cockpit!$O$5,1)="A",H301,IF(Parameter!$E$30="MAX-Bestand",IF(CH301=1,CI301,IF(LEFT(Cockpit!$O$5,1)="B",BF301,MAX(BF301,H301))),ROUNDUP(BD301,0)))</f>
        <v>10</v>
      </c>
      <c r="BA301" s="50" t="n">
        <f aca="false">IF(BZ301=1,0,ROUNDUP(AZ301/BY301,0))</f>
        <v>1</v>
      </c>
      <c r="BB301" s="52" t="n">
        <f aca="false">IF(CQ301&gt;0,CQ301*MAX(1,AZ301/X301),IF(BZ301=1,IF(AZ301&lt;=0,0,CD301*MAX(1,IF(H301&gt;0,AZ301/H301,1))),IF(R301&gt;0,BA301/R301,0))/MAX(0.1,N(Parameter!$M$21)))</f>
        <v>0.0833333333333333</v>
      </c>
      <c r="BC301" s="50" t="n">
        <f aca="false">BB301*CB301</f>
        <v>20.4166666666667</v>
      </c>
      <c r="BD301" s="51" t="n">
        <f aca="false">IF(LEFT(Cockpit!$O$5,1)="A",H301,IF(CH301=1,(CK301+CI301)/2,IF(LEFT(Cockpit!$O$5,1)="B",(CK301+BF301)/2,MAX((CK301+BF301)/2,H301))))</f>
        <v>10</v>
      </c>
      <c r="BE301" s="50" t="n">
        <f aca="false">BD301*G301</f>
        <v>403.2</v>
      </c>
      <c r="BF301" s="50" t="n">
        <f aca="false">ROUNDUP(CK301+MAX(CL301,2*(J301/IF(CG301&gt;0,CG301,MAX(0.1,N(Cockpit!$O$6)))-CK301)),0)</f>
        <v>17</v>
      </c>
      <c r="BG301" s="51" t="n">
        <f aca="false">IF(BC301&gt;0,J301/BC301,-1)</f>
        <v>1.95918367346939</v>
      </c>
      <c r="BH301" s="51" t="n">
        <f aca="false">IF(AND(OR(CF301="L1",CF301="L23",CF301="LIFT"),BC301&gt;0),SUMIFS($BC$7:$BC$1843,$CF$7:$CF$1843,CF301,$BG$7:$BG$1843,"&gt;"&amp;BG301)+SUMIFS($BC$7:$BC$1843,$CF$7:$CF$1843,CF301,$BG$7:$BG$1843,BG301,$BW$7:$BW$1843,"&lt;="&amp;BW301),"")</f>
        <v>5916.80769230769</v>
      </c>
      <c r="BI301" s="58" t="n">
        <f aca="false">IF(BH301="",0,MAX(0,MIN(1,(IF(CF301="L1",Parameter!$H$5,IF(CF301="L23",Parameter!$H$6+Parameter!$H$7,Parameter!$H$5+Parameter!$H$6+Parameter!$H$7))-(BH301-BC301))/BC301)))</f>
        <v>1</v>
      </c>
      <c r="BJ301" s="48" t="str">
        <f aca="false">IF(AI301&lt;=0,"",IF(CF301="Aussen","Aussenlager",IF(CF301="-","Nicht im Lift",IF(AO301&gt;=1,"Lift",IF(AO301&lt;=0,"Aussenlager","teilweise")))))</f>
        <v>Lift</v>
      </c>
      <c r="BK301" s="48" t="str">
        <f aca="false">IF(AS301&lt;=0,"",IF(CF301="Aussen","Aussenlager",IF(CF301="-","Nicht im Lift",IF(AY301&gt;=1,"Lift",IF(AY301&lt;=0,"Aussenlager","teilweise")))))</f>
        <v>Lift</v>
      </c>
      <c r="BL301" s="48" t="str">
        <f aca="false">IF(BC301&lt;=0,"",IF(CF301="Aussen","Aussenlager",IF(CF301="-","Nicht im Lift",IF(BI301&gt;=1,"Lift",IF(BI301&lt;=0,"Aussenlager","teilweise")))))</f>
        <v>Lift</v>
      </c>
      <c r="BM301" s="48" t="str">
        <f aca="false">IF(A301="","",IF(BV301=1,"Neu; ","")&amp;IF(AND(BV301=0,BQ301&lt;0),"negativer Bestand (Export "&amp;BQ301&amp;"); ","")&amp;IF(J301&lt;=0,"Kein Verbrauch; ","")&amp;IF(CQ301&gt;0,"Lift "&amp;W301&amp;" lt. Liftbericht (Fach "&amp;X301&amp;" Stk); ",IF(CA301=1,"Gebinde geschätzt ("&amp;T301&amp;"); ",IF(BZ301=1,"Lose – Tablare geschätzt; ","")))&amp;IF(H301&gt;AV301,"Überbestand "&amp;ROUND(H301-AV301,0)&amp;" Stk / CHF "&amp;ROUND((H301-AV301)*G301,0)&amp;"; ","")&amp;IF(AND(CH301=1,CI301&lt;CJ301),"MAX &lt; MB+LG; ","")&amp;IF(AND(CP301&gt;0,CO301*10&gt;CP301),"zu hoch für Tablar; ","")&amp;IF(AND(BV301=0,OR(CH301=1,AA301&lt;&gt;"",U301&lt;&gt;"",V301&lt;&gt;"",AB301&lt;&gt;"")),"manuell übersteuert; ","")&amp;IF(AND(BZ301=0,R301=0),"Gebinde unbekannt / Stellmass fehlt; ","")&amp;IF(AND(BZ301=0,N(V301)&lt;=0,N(Q301)&lt;=0),"Menge pro Gebinde fehlt (Ist = 1 Gebinde); ","")&amp;BU301)</f>
        <v/>
      </c>
      <c r="BN301" s="48"/>
      <c r="BO301" s="48"/>
      <c r="BP301" s="55"/>
      <c r="BQ301" s="50" t="n">
        <v>6</v>
      </c>
      <c r="BR301" s="50" t="n">
        <v>10</v>
      </c>
      <c r="BS301" s="49" t="n">
        <v>270.560000000001</v>
      </c>
      <c r="BT301" s="50" t="n">
        <v>40</v>
      </c>
      <c r="BU301" s="48"/>
      <c r="BV301" s="53" t="n">
        <v>0</v>
      </c>
      <c r="BW301" s="53" t="n">
        <v>301</v>
      </c>
      <c r="BX301" s="48" t="str">
        <f aca="false">IF(U301&lt;&gt;"",UPPER(TRIM(U301)),IF(CA301=1,UPPER(VLOOKUP(T301,Parameter!$I$27:$K$29,2,0)),IF(P301="","LOSE",P301)))</f>
        <v>S62</v>
      </c>
      <c r="BY301" s="50" t="n">
        <f aca="false">IF(BX301="LOSE",1,IF(N(V301)&gt;0,V301,IF(CA301=1,MAX(1,N(VLOOKUP(T301,Parameter!$I$27:$K$29,3,0)),H301,N(N301)),IF(N(Q301)&gt;0,Q301,MAX(1,H301)))))</f>
        <v>48</v>
      </c>
      <c r="BZ301" s="53" t="n">
        <f aca="false">IF(BX301="LOSE",1,0)</f>
        <v>0</v>
      </c>
      <c r="CA301" s="53" t="n">
        <f aca="false">IF(AND(U301="",OR(P301="",P301="LOSE"),T301&lt;&gt;"",N(S301)&lt;=0,ISNUMBER(MATCH(T301,Parameter!$I$27:$I$29,0))),1,0)</f>
        <v>0</v>
      </c>
      <c r="CB301" s="53" t="n">
        <f aca="false">IF(CQ301&gt;0,INDEX(Parameter!$H$5:$H$7,W301)/INDEX(Parameter!$E$5:$E$7,W301),IF(AND(BZ301=0,N(IFERROR(VLOOKUP(BX301,'Gebinde-Kategorie'!$A$5:$N$45,14,0),0))&gt;0),VLOOKUP(BX301,'Gebinde-Kategorie'!$A$5:$N$45,14,0)*10+Parameter!$M$23,Parameter!$M$24))</f>
        <v>245</v>
      </c>
      <c r="CC301" s="48" t="str">
        <f aca="false">IF(AND(Parameter!$B$19="Ja",E301&lt;&gt;"",ISNUMBER(MATCH(E301,Parameter!$I$35:$I$52,0))),VLOOKUP(E301,Parameter!$I$35:$J$52,2,0),IFERROR(VLOOKUP(D301,Parameter!$A$35:$C$64,2,0),"Nein"))</f>
        <v>2+3</v>
      </c>
      <c r="CD301" s="52" t="n">
        <f aca="false">IF(BZ301=0,0,IF(N(S301)&gt;0,S301,IFERROR(VLOOKUP(D301,Parameter!$A$35:$C$64,3,0)+0,0)))</f>
        <v>0</v>
      </c>
      <c r="CE301" s="48" t="n">
        <f aca="false">IF(AA301&lt;&gt;"",AA301,Z301)</f>
        <v>2</v>
      </c>
      <c r="CF301" s="48" t="str">
        <f aca="false">IF(OR(CE301=1,CE301=2,CE301=3),IF(Parameter!$E$27="Ja","LIFT",IF(CE301=1,"L1","L23")),IF(CE301="Aussen","Aussen","-"))</f>
        <v>LIFT</v>
      </c>
      <c r="CG301" s="59" t="n">
        <f aca="false">IF(N(AB301)&gt;0,AB301,0)</f>
        <v>0</v>
      </c>
      <c r="CH301" s="53" t="n">
        <f aca="false">IF(ISNUMBER(AE301),1,0)</f>
        <v>0</v>
      </c>
      <c r="CI301" s="50" t="n">
        <f aca="false">N(AE301)</f>
        <v>0</v>
      </c>
      <c r="CJ301" s="50" t="n">
        <f aca="false">N(M301)+N(N301)</f>
        <v>13</v>
      </c>
      <c r="CK301" s="50" t="n">
        <f aca="false">N(M301)</f>
        <v>3</v>
      </c>
      <c r="CL301" s="50" t="n">
        <f aca="false">N(N301)</f>
        <v>10</v>
      </c>
      <c r="CM301" s="50" t="n">
        <f aca="false">ROUNDUP(H301/BY301,0)</f>
        <v>1</v>
      </c>
      <c r="CN301" s="50" t="n">
        <f aca="false">ROUNDUP(CI301/BY301,0)</f>
        <v>0</v>
      </c>
      <c r="CO301" s="53" t="n">
        <f aca="false">IF(BZ301=1,0,IFERROR(VLOOKUP(BX301,'Gebinde-Kategorie'!$A$5:$N$45,5,0)+0,0))</f>
        <v>21</v>
      </c>
      <c r="CP301" s="53" t="n">
        <f aca="false">IFERROR(IF(OR(CE301=1,CE301=2,CE301=3),N(INDEX(Parameter!$I$5:$I$7,CE301)),0),0)</f>
        <v>0</v>
      </c>
      <c r="CQ301" s="52" t="n">
        <f aca="false">IF(AND(Parameter!$B$21="Ja",ISNUMBER(W301),N(X301)&gt;0),IFERROR(N(INDEX(Parameter!$L$5:$L$7,W301))*INDEX(Parameter!$E$5:$E$7,W301)*X301/SUMIFS($X$7:$X$1843,$W$7:$W$1843,W301),0),0)</f>
        <v>0</v>
      </c>
    </row>
    <row r="302" customFormat="false" ht="15" hidden="false" customHeight="false" outlineLevel="0" collapsed="false">
      <c r="A302" s="48" t="s">
        <v>783</v>
      </c>
      <c r="B302" s="48" t="s">
        <v>663</v>
      </c>
      <c r="C302" s="48" t="s">
        <v>173</v>
      </c>
      <c r="D302" s="48" t="s">
        <v>193</v>
      </c>
      <c r="E302" s="48" t="s">
        <v>194</v>
      </c>
      <c r="F302" s="48" t="s">
        <v>227</v>
      </c>
      <c r="G302" s="49" t="n">
        <v>2.7</v>
      </c>
      <c r="H302" s="50" t="n">
        <f aca="false">MAX(0,IF(AND(Parameter!$B$21="Ja",ISNUMBER(Y302)),Y302,IF(Parameter!$B$20="Jahresanfang 2025 + Export",BR302+BQ302,BQ302)))</f>
        <v>317</v>
      </c>
      <c r="I302" s="50" t="n">
        <f aca="false">H302*G302</f>
        <v>855.9</v>
      </c>
      <c r="J302" s="50" t="n">
        <f aca="false">BT302*Parameter!$B$18</f>
        <v>20</v>
      </c>
      <c r="K302" s="51" t="n">
        <v>268.5</v>
      </c>
      <c r="L302" s="52" t="n">
        <v>0.074487895716946</v>
      </c>
      <c r="M302" s="50" t="n">
        <v>0</v>
      </c>
      <c r="N302" s="50" t="n">
        <v>20</v>
      </c>
      <c r="O302" s="53" t="n">
        <v>14</v>
      </c>
      <c r="P302" s="48" t="s">
        <v>435</v>
      </c>
      <c r="Q302" s="50" t="n">
        <v>235</v>
      </c>
      <c r="R302" s="53" t="n">
        <f aca="false">IF(BZ302=1,0,IFERROR(VLOOKUP(BX302,'Gebinde-Kategorie'!$A$5:$N$45,13,0)+0,0))</f>
        <v>140</v>
      </c>
      <c r="S302" s="54"/>
      <c r="T302" s="55"/>
      <c r="U302" s="55"/>
      <c r="V302" s="55"/>
      <c r="W302" s="48"/>
      <c r="X302" s="50"/>
      <c r="Y302" s="50"/>
      <c r="Z302" s="48" t="n">
        <f aca="false">IF(A302="","",IF(AND(Parameter!$B$21="Ja",ISNUMBER(W302)),W302,IF(CC302="2+3",IF(ISNUMBER(SEARCH("grosser Artikel",BU302)),2,IFERROR(VLOOKUP(BX302,Parameter!$F$35:$G$64,2,0),2)),IF(OR(CC302="Nein",CC302=""),"-",CC302))))</f>
        <v>3</v>
      </c>
      <c r="AA302" s="55"/>
      <c r="AB302" s="56"/>
      <c r="AC302" s="50" t="n">
        <f aca="false">AV302</f>
        <v>20</v>
      </c>
      <c r="AD302" s="50" t="n">
        <f aca="false">MAX(AV302,H302)</f>
        <v>317</v>
      </c>
      <c r="AE302" s="57"/>
      <c r="AF302" s="50" t="n">
        <f aca="false">IF(LEFT(Cockpit!$C$5,1)="A",H302,IF(Parameter!$E$30="MAX-Bestand",IF(CH302=1,CI302,IF(LEFT(Cockpit!$C$5,1)="B",AL302,MAX(AL302,H302))),ROUNDUP(AJ302,0)))</f>
        <v>317</v>
      </c>
      <c r="AG302" s="50" t="n">
        <f aca="false">IF(BZ302=1,0,ROUNDUP(AF302/BY302,0))</f>
        <v>2</v>
      </c>
      <c r="AH302" s="52" t="n">
        <f aca="false">IF(CQ302&gt;0,CQ302*MAX(1,AF302/X302),IF(BZ302=1,IF(AF302&lt;=0,0,CD302*MAX(1,IF(H302&gt;0,AF302/H302,1))),IF(R302&gt;0,AG302/R302,0))/MAX(0.1,N(Parameter!$M$21)))</f>
        <v>0.0142857142857143</v>
      </c>
      <c r="AI302" s="50" t="n">
        <f aca="false">AH302*CB302</f>
        <v>2.21428571428571</v>
      </c>
      <c r="AJ302" s="51" t="n">
        <f aca="false">IF(LEFT(Cockpit!$C$5,1)="A",H302,IF(CH302=1,(CK302+CI302)/2,IF(LEFT(Cockpit!$C$5,1)="B",(CK302+AL302)/2,MAX((CK302+AL302)/2,H302))))</f>
        <v>317</v>
      </c>
      <c r="AK302" s="50" t="n">
        <f aca="false">AJ302*G302</f>
        <v>855.9</v>
      </c>
      <c r="AL302" s="50" t="n">
        <f aca="false">ROUNDUP(CK302+MAX(CL302,2*(J302/IF(CG302&gt;0,CG302,MAX(0.1,N(Cockpit!$C$6)))-CK302)),0)</f>
        <v>20</v>
      </c>
      <c r="AM302" s="51" t="n">
        <f aca="false">IF(AI302&gt;0,J302/AI302,-1)</f>
        <v>9.03225806451613</v>
      </c>
      <c r="AN302" s="51" t="n">
        <f aca="false">IF(AND(OR(CF302="L1",CF302="L23",CF302="LIFT"),AI302&gt;0),SUMIFS($AI$7:$AI$1843,$CF$7:$CF$1843,CF302,$AM$7:$AM$1843,"&gt;"&amp;AM302)+SUMIFS($AI$7:$AI$1843,$CF$7:$CF$1843,CF302,$AM$7:$AM$1843,AM302,$BW$7:$BW$1843,"&lt;="&amp;BW302),"")</f>
        <v>2921.88873626374</v>
      </c>
      <c r="AO302" s="58" t="n">
        <f aca="false">IF(AN302="",0,MAX(0,MIN(1,(IF(CF302="L1",Parameter!$H$5,IF(CF302="L23",Parameter!$H$6+Parameter!$H$7,Parameter!$H$5+Parameter!$H$6+Parameter!$H$7))-(AN302-AI302))/AI302)))</f>
        <v>1</v>
      </c>
      <c r="AP302" s="50" t="n">
        <f aca="false">IF(LEFT(Cockpit!$I$5,1)="A",H302,IF(Parameter!$E$30="MAX-Bestand",IF(CH302=1,CI302,IF(LEFT(Cockpit!$I$5,1)="B",AV302,MAX(AV302,H302))),ROUNDUP(AT302,0)))</f>
        <v>317</v>
      </c>
      <c r="AQ302" s="50" t="n">
        <f aca="false">IF(BZ302=1,0,ROUNDUP(AP302/BY302,0))</f>
        <v>2</v>
      </c>
      <c r="AR302" s="52" t="n">
        <f aca="false">IF(CQ302&gt;0,CQ302*MAX(1,AP302/X302),IF(BZ302=1,IF(AP302&lt;=0,0,CD302*MAX(1,IF(H302&gt;0,AP302/H302,1))),IF(R302&gt;0,AQ302/R302,0))/MAX(0.1,N(Parameter!$M$21)))</f>
        <v>0.0142857142857143</v>
      </c>
      <c r="AS302" s="50" t="n">
        <f aca="false">AR302*CB302</f>
        <v>2.21428571428571</v>
      </c>
      <c r="AT302" s="51" t="n">
        <f aca="false">IF(LEFT(Cockpit!$I$5,1)="A",H302,IF(CH302=1,(CK302+CI302)/2,IF(LEFT(Cockpit!$I$5,1)="B",(CK302+AV302)/2,MAX((CK302+AV302)/2,H302))))</f>
        <v>317</v>
      </c>
      <c r="AU302" s="50" t="n">
        <f aca="false">AT302*G302</f>
        <v>855.9</v>
      </c>
      <c r="AV302" s="50" t="n">
        <f aca="false">ROUNDUP(CK302+MAX(CL302,2*(J302/IF(CG302&gt;0,CG302,MAX(0.1,N(Cockpit!$I$6)))-CK302)),0)</f>
        <v>20</v>
      </c>
      <c r="AW302" s="51" t="n">
        <f aca="false">IF(AS302&gt;0,J302/AS302,-1)</f>
        <v>9.03225806451613</v>
      </c>
      <c r="AX302" s="51" t="n">
        <f aca="false">IF(AND(OR(CF302="L1",CF302="L23",CF302="LIFT"),AS302&gt;0),SUMIFS($AS$7:$AS$1843,$CF$7:$CF$1843,CF302,$AW$7:$AW$1843,"&gt;"&amp;AW302)+SUMIFS($AS$7:$AS$1843,$CF$7:$CF$1843,CF302,$AW$7:$AW$1843,AW302,$BW$7:$BW$1843,"&lt;="&amp;BW302),"")</f>
        <v>3536.87683150183</v>
      </c>
      <c r="AY302" s="58" t="n">
        <f aca="false">IF(AX302="",0,MAX(0,MIN(1,(IF(CF302="L1",Parameter!$H$5,IF(CF302="L23",Parameter!$H$6+Parameter!$H$7,Parameter!$H$5+Parameter!$H$6+Parameter!$H$7))-(AX302-AS302))/AS302)))</f>
        <v>1</v>
      </c>
      <c r="AZ302" s="50" t="n">
        <f aca="false">IF(LEFT(Cockpit!$O$5,1)="A",H302,IF(Parameter!$E$30="MAX-Bestand",IF(CH302=1,CI302,IF(LEFT(Cockpit!$O$5,1)="B",BF302,MAX(BF302,H302))),ROUNDUP(BD302,0)))</f>
        <v>10</v>
      </c>
      <c r="BA302" s="50" t="n">
        <f aca="false">IF(BZ302=1,0,ROUNDUP(AZ302/BY302,0))</f>
        <v>1</v>
      </c>
      <c r="BB302" s="52" t="n">
        <f aca="false">IF(CQ302&gt;0,CQ302*MAX(1,AZ302/X302),IF(BZ302=1,IF(AZ302&lt;=0,0,CD302*MAX(1,IF(H302&gt;0,AZ302/H302,1))),IF(R302&gt;0,BA302/R302,0))/MAX(0.1,N(Parameter!$M$21)))</f>
        <v>0.00714285714285714</v>
      </c>
      <c r="BC302" s="50" t="n">
        <f aca="false">BB302*CB302</f>
        <v>1.10714285714286</v>
      </c>
      <c r="BD302" s="51" t="n">
        <f aca="false">IF(LEFT(Cockpit!$O$5,1)="A",H302,IF(CH302=1,(CK302+CI302)/2,IF(LEFT(Cockpit!$O$5,1)="B",(CK302+BF302)/2,MAX((CK302+BF302)/2,H302))))</f>
        <v>10</v>
      </c>
      <c r="BE302" s="50" t="n">
        <f aca="false">BD302*G302</f>
        <v>27</v>
      </c>
      <c r="BF302" s="50" t="n">
        <f aca="false">ROUNDUP(CK302+MAX(CL302,2*(J302/IF(CG302&gt;0,CG302,MAX(0.1,N(Cockpit!$O$6)))-CK302)),0)</f>
        <v>20</v>
      </c>
      <c r="BG302" s="51" t="n">
        <f aca="false">IF(BC302&gt;0,J302/BC302,-1)</f>
        <v>18.0645161290323</v>
      </c>
      <c r="BH302" s="51" t="n">
        <f aca="false">IF(AND(OR(CF302="L1",CF302="L23",CF302="LIFT"),BC302&gt;0),SUMIFS($BC$7:$BC$1843,$CF$7:$CF$1843,CF302,$BG$7:$BG$1843,"&gt;"&amp;BG302)+SUMIFS($BC$7:$BC$1843,$CF$7:$CF$1843,CF302,$BG$7:$BG$1843,BG302,$BW$7:$BW$1843,"&lt;="&amp;BW302),"")</f>
        <v>2289.93681318681</v>
      </c>
      <c r="BI302" s="58" t="n">
        <f aca="false">IF(BH302="",0,MAX(0,MIN(1,(IF(CF302="L1",Parameter!$H$5,IF(CF302="L23",Parameter!$H$6+Parameter!$H$7,Parameter!$H$5+Parameter!$H$6+Parameter!$H$7))-(BH302-BC302))/BC302)))</f>
        <v>1</v>
      </c>
      <c r="BJ302" s="48" t="str">
        <f aca="false">IF(AI302&lt;=0,"",IF(CF302="Aussen","Aussenlager",IF(CF302="-","Nicht im Lift",IF(AO302&gt;=1,"Lift",IF(AO302&lt;=0,"Aussenlager","teilweise")))))</f>
        <v>Lift</v>
      </c>
      <c r="BK302" s="48" t="str">
        <f aca="false">IF(AS302&lt;=0,"",IF(CF302="Aussen","Aussenlager",IF(CF302="-","Nicht im Lift",IF(AY302&gt;=1,"Lift",IF(AY302&lt;=0,"Aussenlager","teilweise")))))</f>
        <v>Lift</v>
      </c>
      <c r="BL302" s="48" t="str">
        <f aca="false">IF(BC302&lt;=0,"",IF(CF302="Aussen","Aussenlager",IF(CF302="-","Nicht im Lift",IF(BI302&gt;=1,"Lift",IF(BI302&lt;=0,"Aussenlager","teilweise")))))</f>
        <v>Lift</v>
      </c>
      <c r="BM302" s="48" t="str">
        <f aca="false">IF(A302="","",IF(BV302=1,"Neu; ","")&amp;IF(AND(BV302=0,BQ302&lt;0),"negativer Bestand (Export "&amp;BQ302&amp;"); ","")&amp;IF(J302&lt;=0,"Kein Verbrauch; ","")&amp;IF(CQ302&gt;0,"Lift "&amp;W302&amp;" lt. Liftbericht (Fach "&amp;X302&amp;" Stk); ",IF(CA302=1,"Gebinde geschätzt ("&amp;T302&amp;"); ",IF(BZ302=1,"Lose – Tablare geschätzt; ","")))&amp;IF(H302&gt;AV302,"Überbestand "&amp;ROUND(H302-AV302,0)&amp;" Stk / CHF "&amp;ROUND((H302-AV302)*G302,0)&amp;"; ","")&amp;IF(AND(CH302=1,CI302&lt;CJ302),"MAX &lt; MB+LG; ","")&amp;IF(AND(CP302&gt;0,CO302*10&gt;CP302),"zu hoch für Tablar; ","")&amp;IF(AND(BV302=0,OR(CH302=1,AA302&lt;&gt;"",U302&lt;&gt;"",V302&lt;&gt;"",AB302&lt;&gt;"")),"manuell übersteuert; ","")&amp;IF(AND(BZ302=0,R302=0),"Gebinde unbekannt / Stellmass fehlt; ","")&amp;IF(AND(BZ302=0,N(V302)&lt;=0,N(Q302)&lt;=0),"Menge pro Gebinde fehlt (Ist = 1 Gebinde); ","")&amp;BU302)</f>
        <v>Überbestand 297 Stk / CHF 802; </v>
      </c>
      <c r="BN302" s="48"/>
      <c r="BO302" s="48"/>
      <c r="BP302" s="55"/>
      <c r="BQ302" s="50" t="n">
        <v>100</v>
      </c>
      <c r="BR302" s="50" t="n">
        <v>217</v>
      </c>
      <c r="BS302" s="49" t="n">
        <v>270</v>
      </c>
      <c r="BT302" s="50" t="n">
        <v>20</v>
      </c>
      <c r="BU302" s="48"/>
      <c r="BV302" s="53" t="n">
        <v>0</v>
      </c>
      <c r="BW302" s="53" t="n">
        <v>302</v>
      </c>
      <c r="BX302" s="48" t="str">
        <f aca="false">IF(U302&lt;&gt;"",UPPER(TRIM(U302)),IF(CA302=1,UPPER(VLOOKUP(T302,Parameter!$I$27:$K$29,2,0)),IF(P302="","LOSE",P302)))</f>
        <v>S22</v>
      </c>
      <c r="BY302" s="50" t="n">
        <f aca="false">IF(BX302="LOSE",1,IF(N(V302)&gt;0,V302,IF(CA302=1,MAX(1,N(VLOOKUP(T302,Parameter!$I$27:$K$29,3,0)),H302,N(N302)),IF(N(Q302)&gt;0,Q302,MAX(1,H302)))))</f>
        <v>235</v>
      </c>
      <c r="BZ302" s="53" t="n">
        <f aca="false">IF(BX302="LOSE",1,0)</f>
        <v>0</v>
      </c>
      <c r="CA302" s="53" t="n">
        <f aca="false">IF(AND(U302="",OR(P302="",P302="LOSE"),T302&lt;&gt;"",N(S302)&lt;=0,ISNUMBER(MATCH(T302,Parameter!$I$27:$I$29,0))),1,0)</f>
        <v>0</v>
      </c>
      <c r="CB302" s="53" t="n">
        <f aca="false">IF(CQ302&gt;0,INDEX(Parameter!$H$5:$H$7,W302)/INDEX(Parameter!$E$5:$E$7,W302),IF(AND(BZ302=0,N(IFERROR(VLOOKUP(BX302,'Gebinde-Kategorie'!$A$5:$N$45,14,0),0))&gt;0),VLOOKUP(BX302,'Gebinde-Kategorie'!$A$5:$N$45,14,0)*10+Parameter!$M$23,Parameter!$M$24))</f>
        <v>155</v>
      </c>
      <c r="CC302" s="48" t="str">
        <f aca="false">IF(AND(Parameter!$B$19="Ja",E302&lt;&gt;"",ISNUMBER(MATCH(E302,Parameter!$I$35:$I$52,0))),VLOOKUP(E302,Parameter!$I$35:$J$52,2,0),IFERROR(VLOOKUP(D302,Parameter!$A$35:$C$64,2,0),"Nein"))</f>
        <v>2+3</v>
      </c>
      <c r="CD302" s="52" t="n">
        <f aca="false">IF(BZ302=0,0,IF(N(S302)&gt;0,S302,IFERROR(VLOOKUP(D302,Parameter!$A$35:$C$64,3,0)+0,0)))</f>
        <v>0</v>
      </c>
      <c r="CE302" s="48" t="n">
        <f aca="false">IF(AA302&lt;&gt;"",AA302,Z302)</f>
        <v>3</v>
      </c>
      <c r="CF302" s="48" t="str">
        <f aca="false">IF(OR(CE302=1,CE302=2,CE302=3),IF(Parameter!$E$27="Ja","LIFT",IF(CE302=1,"L1","L23")),IF(CE302="Aussen","Aussen","-"))</f>
        <v>LIFT</v>
      </c>
      <c r="CG302" s="59" t="n">
        <f aca="false">IF(N(AB302)&gt;0,AB302,0)</f>
        <v>0</v>
      </c>
      <c r="CH302" s="53" t="n">
        <f aca="false">IF(ISNUMBER(AE302),1,0)</f>
        <v>0</v>
      </c>
      <c r="CI302" s="50" t="n">
        <f aca="false">N(AE302)</f>
        <v>0</v>
      </c>
      <c r="CJ302" s="50" t="n">
        <f aca="false">N(M302)+N(N302)</f>
        <v>20</v>
      </c>
      <c r="CK302" s="50" t="n">
        <f aca="false">N(M302)</f>
        <v>0</v>
      </c>
      <c r="CL302" s="50" t="n">
        <f aca="false">N(N302)</f>
        <v>20</v>
      </c>
      <c r="CM302" s="50" t="n">
        <f aca="false">ROUNDUP(H302/BY302,0)</f>
        <v>2</v>
      </c>
      <c r="CN302" s="50" t="n">
        <f aca="false">ROUNDUP(CI302/BY302,0)</f>
        <v>0</v>
      </c>
      <c r="CO302" s="53" t="n">
        <f aca="false">IF(BZ302=1,0,IFERROR(VLOOKUP(BX302,'Gebinde-Kategorie'!$A$5:$N$45,5,0)+0,0))</f>
        <v>8</v>
      </c>
      <c r="CP302" s="53" t="n">
        <f aca="false">IFERROR(IF(OR(CE302=1,CE302=2,CE302=3),N(INDEX(Parameter!$I$5:$I$7,CE302)),0),0)</f>
        <v>0</v>
      </c>
      <c r="CQ302" s="52" t="n">
        <f aca="false">IF(AND(Parameter!$B$21="Ja",ISNUMBER(W302),N(X302)&gt;0),IFERROR(N(INDEX(Parameter!$L$5:$L$7,W302))*INDEX(Parameter!$E$5:$E$7,W302)*X302/SUMIFS($X$7:$X$1843,$W$7:$W$1843,W302),0),0)</f>
        <v>0</v>
      </c>
    </row>
    <row r="303" customFormat="false" ht="15" hidden="false" customHeight="false" outlineLevel="0" collapsed="false">
      <c r="A303" s="48" t="s">
        <v>784</v>
      </c>
      <c r="B303" s="48" t="s">
        <v>785</v>
      </c>
      <c r="C303" s="48" t="s">
        <v>173</v>
      </c>
      <c r="D303" s="48" t="s">
        <v>193</v>
      </c>
      <c r="E303" s="48" t="s">
        <v>194</v>
      </c>
      <c r="F303" s="48" t="s">
        <v>227</v>
      </c>
      <c r="G303" s="49" t="n">
        <v>0.79</v>
      </c>
      <c r="H303" s="50" t="n">
        <f aca="false">MAX(0,IF(AND(Parameter!$B$21="Ja",ISNUMBER(Y303)),Y303,IF(Parameter!$B$20="Jahresanfang 2025 + Export",BR303+BQ303,BQ303)))</f>
        <v>371</v>
      </c>
      <c r="I303" s="50" t="n">
        <f aca="false">H303*G303</f>
        <v>293.09</v>
      </c>
      <c r="J303" s="50" t="n">
        <f aca="false">BT303*Parameter!$B$18</f>
        <v>59</v>
      </c>
      <c r="K303" s="51" t="n">
        <v>115</v>
      </c>
      <c r="L303" s="52" t="n">
        <v>0.51304347826087</v>
      </c>
      <c r="M303" s="50" t="n">
        <v>2</v>
      </c>
      <c r="N303" s="50" t="n">
        <v>60</v>
      </c>
      <c r="O303" s="53" t="n">
        <v>14</v>
      </c>
      <c r="P303" s="48" t="s">
        <v>430</v>
      </c>
      <c r="Q303" s="50" t="n">
        <v>39</v>
      </c>
      <c r="R303" s="53" t="n">
        <f aca="false">IF(BZ303=1,0,IFERROR(VLOOKUP(BX303,'Gebinde-Kategorie'!$A$5:$N$45,13,0)+0,0))</f>
        <v>104</v>
      </c>
      <c r="S303" s="54"/>
      <c r="T303" s="55"/>
      <c r="U303" s="55"/>
      <c r="V303" s="55"/>
      <c r="W303" s="48"/>
      <c r="X303" s="50"/>
      <c r="Y303" s="50"/>
      <c r="Z303" s="48" t="n">
        <f aca="false">IF(A303="","",IF(AND(Parameter!$B$21="Ja",ISNUMBER(W303)),W303,IF(CC303="2+3",IF(ISNUMBER(SEARCH("grosser Artikel",BU303)),2,IFERROR(VLOOKUP(BX303,Parameter!$F$35:$G$64,2,0),2)),IF(OR(CC303="Nein",CC303=""),"-",CC303))))</f>
        <v>3</v>
      </c>
      <c r="AA303" s="55"/>
      <c r="AB303" s="56"/>
      <c r="AC303" s="50" t="n">
        <f aca="false">AV303</f>
        <v>62</v>
      </c>
      <c r="AD303" s="50" t="n">
        <f aca="false">MAX(AV303,H303)</f>
        <v>371</v>
      </c>
      <c r="AE303" s="57"/>
      <c r="AF303" s="50" t="n">
        <f aca="false">IF(LEFT(Cockpit!$C$5,1)="A",H303,IF(Parameter!$E$30="MAX-Bestand",IF(CH303=1,CI303,IF(LEFT(Cockpit!$C$5,1)="B",AL303,MAX(AL303,H303))),ROUNDUP(AJ303,0)))</f>
        <v>371</v>
      </c>
      <c r="AG303" s="50" t="n">
        <f aca="false">IF(BZ303=1,0,ROUNDUP(AF303/BY303,0))</f>
        <v>10</v>
      </c>
      <c r="AH303" s="52" t="n">
        <f aca="false">IF(CQ303&gt;0,CQ303*MAX(1,AF303/X303),IF(BZ303=1,IF(AF303&lt;=0,0,CD303*MAX(1,IF(H303&gt;0,AF303/H303,1))),IF(R303&gt;0,AG303/R303,0))/MAX(0.1,N(Parameter!$M$21)))</f>
        <v>0.0961538461538462</v>
      </c>
      <c r="AI303" s="50" t="n">
        <f aca="false">AH303*CB303</f>
        <v>14.9038461538462</v>
      </c>
      <c r="AJ303" s="51" t="n">
        <f aca="false">IF(LEFT(Cockpit!$C$5,1)="A",H303,IF(CH303=1,(CK303+CI303)/2,IF(LEFT(Cockpit!$C$5,1)="B",(CK303+AL303)/2,MAX((CK303+AL303)/2,H303))))</f>
        <v>371</v>
      </c>
      <c r="AK303" s="50" t="n">
        <f aca="false">AJ303*G303</f>
        <v>293.09</v>
      </c>
      <c r="AL303" s="50" t="n">
        <f aca="false">ROUNDUP(CK303+MAX(CL303,2*(J303/IF(CG303&gt;0,CG303,MAX(0.1,N(Cockpit!$C$6)))-CK303)),0)</f>
        <v>62</v>
      </c>
      <c r="AM303" s="51" t="n">
        <f aca="false">IF(AI303&gt;0,J303/AI303,-1)</f>
        <v>3.95870967741935</v>
      </c>
      <c r="AN303" s="51" t="n">
        <f aca="false">IF(AND(OR(CF303="L1",CF303="L23",CF303="LIFT"),AI303&gt;0),SUMIFS($AI$7:$AI$1843,$CF$7:$CF$1843,CF303,$AM$7:$AM$1843,"&gt;"&amp;AM303)+SUMIFS($AI$7:$AI$1843,$CF$7:$CF$1843,CF303,$AM$7:$AM$1843,AM303,$BW$7:$BW$1843,"&lt;="&amp;BW303),"")</f>
        <v>4444.05769230769</v>
      </c>
      <c r="AO303" s="58" t="n">
        <f aca="false">IF(AN303="",0,MAX(0,MIN(1,(IF(CF303="L1",Parameter!$H$5,IF(CF303="L23",Parameter!$H$6+Parameter!$H$7,Parameter!$H$5+Parameter!$H$6+Parameter!$H$7))-(AN303-AI303))/AI303)))</f>
        <v>1</v>
      </c>
      <c r="AP303" s="50" t="n">
        <f aca="false">IF(LEFT(Cockpit!$I$5,1)="A",H303,IF(Parameter!$E$30="MAX-Bestand",IF(CH303=1,CI303,IF(LEFT(Cockpit!$I$5,1)="B",AV303,MAX(AV303,H303))),ROUNDUP(AT303,0)))</f>
        <v>371</v>
      </c>
      <c r="AQ303" s="50" t="n">
        <f aca="false">IF(BZ303=1,0,ROUNDUP(AP303/BY303,0))</f>
        <v>10</v>
      </c>
      <c r="AR303" s="52" t="n">
        <f aca="false">IF(CQ303&gt;0,CQ303*MAX(1,AP303/X303),IF(BZ303=1,IF(AP303&lt;=0,0,CD303*MAX(1,IF(H303&gt;0,AP303/H303,1))),IF(R303&gt;0,AQ303/R303,0))/MAX(0.1,N(Parameter!$M$21)))</f>
        <v>0.0961538461538462</v>
      </c>
      <c r="AS303" s="50" t="n">
        <f aca="false">AR303*CB303</f>
        <v>14.9038461538462</v>
      </c>
      <c r="AT303" s="51" t="n">
        <f aca="false">IF(LEFT(Cockpit!$I$5,1)="A",H303,IF(CH303=1,(CK303+CI303)/2,IF(LEFT(Cockpit!$I$5,1)="B",(CK303+AV303)/2,MAX((CK303+AV303)/2,H303))))</f>
        <v>371</v>
      </c>
      <c r="AU303" s="50" t="n">
        <f aca="false">AT303*G303</f>
        <v>293.09</v>
      </c>
      <c r="AV303" s="50" t="n">
        <f aca="false">ROUNDUP(CK303+MAX(CL303,2*(J303/IF(CG303&gt;0,CG303,MAX(0.1,N(Cockpit!$I$6)))-CK303)),0)</f>
        <v>62</v>
      </c>
      <c r="AW303" s="51" t="n">
        <f aca="false">IF(AS303&gt;0,J303/AS303,-1)</f>
        <v>3.95870967741935</v>
      </c>
      <c r="AX303" s="51" t="n">
        <f aca="false">IF(AND(OR(CF303="L1",CF303="L23",CF303="LIFT"),AS303&gt;0),SUMIFS($AS$7:$AS$1843,$CF$7:$CF$1843,CF303,$AW$7:$AW$1843,"&gt;"&amp;AW303)+SUMIFS($AS$7:$AS$1843,$CF$7:$CF$1843,CF303,$AW$7:$AW$1843,AW303,$BW$7:$BW$1843,"&lt;="&amp;BW303),"")</f>
        <v>5035.17032967033</v>
      </c>
      <c r="AY303" s="58" t="n">
        <f aca="false">IF(AX303="",0,MAX(0,MIN(1,(IF(CF303="L1",Parameter!$H$5,IF(CF303="L23",Parameter!$H$6+Parameter!$H$7,Parameter!$H$5+Parameter!$H$6+Parameter!$H$7))-(AX303-AS303))/AS303)))</f>
        <v>1</v>
      </c>
      <c r="AZ303" s="50" t="n">
        <f aca="false">IF(LEFT(Cockpit!$O$5,1)="A",H303,IF(Parameter!$E$30="MAX-Bestand",IF(CH303=1,CI303,IF(LEFT(Cockpit!$O$5,1)="B",BF303,MAX(BF303,H303))),ROUNDUP(BD303,0)))</f>
        <v>32</v>
      </c>
      <c r="BA303" s="50" t="n">
        <f aca="false">IF(BZ303=1,0,ROUNDUP(AZ303/BY303,0))</f>
        <v>1</v>
      </c>
      <c r="BB303" s="52" t="n">
        <f aca="false">IF(CQ303&gt;0,CQ303*MAX(1,AZ303/X303),IF(BZ303=1,IF(AZ303&lt;=0,0,CD303*MAX(1,IF(H303&gt;0,AZ303/H303,1))),IF(R303&gt;0,BA303/R303,0))/MAX(0.1,N(Parameter!$M$21)))</f>
        <v>0.00961538461538462</v>
      </c>
      <c r="BC303" s="50" t="n">
        <f aca="false">BB303*CB303</f>
        <v>1.49038461538462</v>
      </c>
      <c r="BD303" s="51" t="n">
        <f aca="false">IF(LEFT(Cockpit!$O$5,1)="A",H303,IF(CH303=1,(CK303+CI303)/2,IF(LEFT(Cockpit!$O$5,1)="B",(CK303+BF303)/2,MAX((CK303+BF303)/2,H303))))</f>
        <v>32</v>
      </c>
      <c r="BE303" s="50" t="n">
        <f aca="false">BD303*G303</f>
        <v>25.28</v>
      </c>
      <c r="BF303" s="50" t="n">
        <f aca="false">ROUNDUP(CK303+MAX(CL303,2*(J303/IF(CG303&gt;0,CG303,MAX(0.1,N(Cockpit!$O$6)))-CK303)),0)</f>
        <v>62</v>
      </c>
      <c r="BG303" s="51" t="n">
        <f aca="false">IF(BC303&gt;0,J303/BC303,-1)</f>
        <v>39.5870967741936</v>
      </c>
      <c r="BH303" s="51" t="n">
        <f aca="false">IF(AND(OR(CF303="L1",CF303="L23",CF303="LIFT"),BC303&gt;0),SUMIFS($BC$7:$BC$1843,$CF$7:$CF$1843,CF303,$BG$7:$BG$1843,"&gt;"&amp;BG303)+SUMIFS($BC$7:$BC$1843,$CF$7:$CF$1843,CF303,$BG$7:$BG$1843,BG303,$BW$7:$BW$1843,"&lt;="&amp;BW303),"")</f>
        <v>1262.42765567766</v>
      </c>
      <c r="BI303" s="58" t="n">
        <f aca="false">IF(BH303="",0,MAX(0,MIN(1,(IF(CF303="L1",Parameter!$H$5,IF(CF303="L23",Parameter!$H$6+Parameter!$H$7,Parameter!$H$5+Parameter!$H$6+Parameter!$H$7))-(BH303-BC303))/BC303)))</f>
        <v>1</v>
      </c>
      <c r="BJ303" s="48" t="str">
        <f aca="false">IF(AI303&lt;=0,"",IF(CF303="Aussen","Aussenlager",IF(CF303="-","Nicht im Lift",IF(AO303&gt;=1,"Lift",IF(AO303&lt;=0,"Aussenlager","teilweise")))))</f>
        <v>Lift</v>
      </c>
      <c r="BK303" s="48" t="str">
        <f aca="false">IF(AS303&lt;=0,"",IF(CF303="Aussen","Aussenlager",IF(CF303="-","Nicht im Lift",IF(AY303&gt;=1,"Lift",IF(AY303&lt;=0,"Aussenlager","teilweise")))))</f>
        <v>Lift</v>
      </c>
      <c r="BL303" s="48" t="str">
        <f aca="false">IF(BC303&lt;=0,"",IF(CF303="Aussen","Aussenlager",IF(CF303="-","Nicht im Lift",IF(BI303&gt;=1,"Lift",IF(BI303&lt;=0,"Aussenlager","teilweise")))))</f>
        <v>Lift</v>
      </c>
      <c r="BM303" s="48" t="str">
        <f aca="false">IF(A303="","",IF(BV303=1,"Neu; ","")&amp;IF(AND(BV303=0,BQ303&lt;0),"negativer Bestand (Export "&amp;BQ303&amp;"); ","")&amp;IF(J303&lt;=0,"Kein Verbrauch; ","")&amp;IF(CQ303&gt;0,"Lift "&amp;W303&amp;" lt. Liftbericht (Fach "&amp;X303&amp;" Stk); ",IF(CA303=1,"Gebinde geschätzt ("&amp;T303&amp;"); ",IF(BZ303=1,"Lose – Tablare geschätzt; ","")))&amp;IF(H303&gt;AV303,"Überbestand "&amp;ROUND(H303-AV303,0)&amp;" Stk / CHF "&amp;ROUND((H303-AV303)*G303,0)&amp;"; ","")&amp;IF(AND(CH303=1,CI303&lt;CJ303),"MAX &lt; MB+LG; ","")&amp;IF(AND(CP303&gt;0,CO303*10&gt;CP303),"zu hoch für Tablar; ","")&amp;IF(AND(BV303=0,OR(CH303=1,AA303&lt;&gt;"",U303&lt;&gt;"",V303&lt;&gt;"",AB303&lt;&gt;"")),"manuell übersteuert; ","")&amp;IF(AND(BZ303=0,R303=0),"Gebinde unbekannt / Stellmass fehlt; ","")&amp;IF(AND(BZ303=0,N(V303)&lt;=0,N(Q303)&lt;=0),"Menge pro Gebinde fehlt (Ist = 1 Gebinde); ","")&amp;BU303)</f>
        <v>Überbestand 309 Stk / CHF 244; </v>
      </c>
      <c r="BN303" s="48"/>
      <c r="BO303" s="48"/>
      <c r="BP303" s="55"/>
      <c r="BQ303" s="50" t="n">
        <v>339</v>
      </c>
      <c r="BR303" s="50" t="n">
        <v>32</v>
      </c>
      <c r="BS303" s="49" t="n">
        <v>267.81</v>
      </c>
      <c r="BT303" s="50" t="n">
        <v>59</v>
      </c>
      <c r="BU303" s="48"/>
      <c r="BV303" s="53" t="n">
        <v>0</v>
      </c>
      <c r="BW303" s="53" t="n">
        <v>303</v>
      </c>
      <c r="BX303" s="48" t="str">
        <f aca="false">IF(U303&lt;&gt;"",UPPER(TRIM(U303)),IF(CA303=1,UPPER(VLOOKUP(T303,Parameter!$I$27:$K$29,2,0)),IF(P303="","LOSE",P303)))</f>
        <v>S32</v>
      </c>
      <c r="BY303" s="50" t="n">
        <f aca="false">IF(BX303="LOSE",1,IF(N(V303)&gt;0,V303,IF(CA303=1,MAX(1,N(VLOOKUP(T303,Parameter!$I$27:$K$29,3,0)),H303,N(N303)),IF(N(Q303)&gt;0,Q303,MAX(1,H303)))))</f>
        <v>39</v>
      </c>
      <c r="BZ303" s="53" t="n">
        <f aca="false">IF(BX303="LOSE",1,0)</f>
        <v>0</v>
      </c>
      <c r="CA303" s="53" t="n">
        <f aca="false">IF(AND(U303="",OR(P303="",P303="LOSE"),T303&lt;&gt;"",N(S303)&lt;=0,ISNUMBER(MATCH(T303,Parameter!$I$27:$I$29,0))),1,0)</f>
        <v>0</v>
      </c>
      <c r="CB303" s="53" t="n">
        <f aca="false">IF(CQ303&gt;0,INDEX(Parameter!$H$5:$H$7,W303)/INDEX(Parameter!$E$5:$E$7,W303),IF(AND(BZ303=0,N(IFERROR(VLOOKUP(BX303,'Gebinde-Kategorie'!$A$5:$N$45,14,0),0))&gt;0),VLOOKUP(BX303,'Gebinde-Kategorie'!$A$5:$N$45,14,0)*10+Parameter!$M$23,Parameter!$M$24))</f>
        <v>155</v>
      </c>
      <c r="CC303" s="48" t="str">
        <f aca="false">IF(AND(Parameter!$B$19="Ja",E303&lt;&gt;"",ISNUMBER(MATCH(E303,Parameter!$I$35:$I$52,0))),VLOOKUP(E303,Parameter!$I$35:$J$52,2,0),IFERROR(VLOOKUP(D303,Parameter!$A$35:$C$64,2,0),"Nein"))</f>
        <v>2+3</v>
      </c>
      <c r="CD303" s="52" t="n">
        <f aca="false">IF(BZ303=0,0,IF(N(S303)&gt;0,S303,IFERROR(VLOOKUP(D303,Parameter!$A$35:$C$64,3,0)+0,0)))</f>
        <v>0</v>
      </c>
      <c r="CE303" s="48" t="n">
        <f aca="false">IF(AA303&lt;&gt;"",AA303,Z303)</f>
        <v>3</v>
      </c>
      <c r="CF303" s="48" t="str">
        <f aca="false">IF(OR(CE303=1,CE303=2,CE303=3),IF(Parameter!$E$27="Ja","LIFT",IF(CE303=1,"L1","L23")),IF(CE303="Aussen","Aussen","-"))</f>
        <v>LIFT</v>
      </c>
      <c r="CG303" s="59" t="n">
        <f aca="false">IF(N(AB303)&gt;0,AB303,0)</f>
        <v>0</v>
      </c>
      <c r="CH303" s="53" t="n">
        <f aca="false">IF(ISNUMBER(AE303),1,0)</f>
        <v>0</v>
      </c>
      <c r="CI303" s="50" t="n">
        <f aca="false">N(AE303)</f>
        <v>0</v>
      </c>
      <c r="CJ303" s="50" t="n">
        <f aca="false">N(M303)+N(N303)</f>
        <v>62</v>
      </c>
      <c r="CK303" s="50" t="n">
        <f aca="false">N(M303)</f>
        <v>2</v>
      </c>
      <c r="CL303" s="50" t="n">
        <f aca="false">N(N303)</f>
        <v>60</v>
      </c>
      <c r="CM303" s="50" t="n">
        <f aca="false">ROUNDUP(H303/BY303,0)</f>
        <v>10</v>
      </c>
      <c r="CN303" s="50" t="n">
        <f aca="false">ROUNDUP(CI303/BY303,0)</f>
        <v>0</v>
      </c>
      <c r="CO303" s="53" t="n">
        <f aca="false">IF(BZ303=1,0,IFERROR(VLOOKUP(BX303,'Gebinde-Kategorie'!$A$5:$N$45,5,0)+0,0))</f>
        <v>8</v>
      </c>
      <c r="CP303" s="53" t="n">
        <f aca="false">IFERROR(IF(OR(CE303=1,CE303=2,CE303=3),N(INDEX(Parameter!$I$5:$I$7,CE303)),0),0)</f>
        <v>0</v>
      </c>
      <c r="CQ303" s="52" t="n">
        <f aca="false">IF(AND(Parameter!$B$21="Ja",ISNUMBER(W303),N(X303)&gt;0),IFERROR(N(INDEX(Parameter!$L$5:$L$7,W303))*INDEX(Parameter!$E$5:$E$7,W303)*X303/SUMIFS($X$7:$X$1843,$W$7:$W$1843,W303),0),0)</f>
        <v>0</v>
      </c>
    </row>
    <row r="304" customFormat="false" ht="15" hidden="false" customHeight="false" outlineLevel="0" collapsed="false">
      <c r="A304" s="48" t="s">
        <v>786</v>
      </c>
      <c r="B304" s="48" t="s">
        <v>498</v>
      </c>
      <c r="C304" s="48" t="s">
        <v>173</v>
      </c>
      <c r="D304" s="48" t="s">
        <v>193</v>
      </c>
      <c r="E304" s="48" t="s">
        <v>194</v>
      </c>
      <c r="F304" s="48" t="s">
        <v>227</v>
      </c>
      <c r="G304" s="49" t="n">
        <v>2.01</v>
      </c>
      <c r="H304" s="50" t="n">
        <f aca="false">MAX(0,IF(AND(Parameter!$B$21="Ja",ISNUMBER(Y304)),Y304,IF(Parameter!$B$20="Jahresanfang 2025 + Export",BR304+BQ304,BQ304)))</f>
        <v>193</v>
      </c>
      <c r="I304" s="50" t="n">
        <f aca="false">H304*G304</f>
        <v>387.93</v>
      </c>
      <c r="J304" s="50" t="n">
        <f aca="false">BT304*Parameter!$B$18</f>
        <v>172</v>
      </c>
      <c r="K304" s="51" t="n">
        <v>69</v>
      </c>
      <c r="L304" s="52" t="n">
        <v>2.49275362318841</v>
      </c>
      <c r="M304" s="50" t="n">
        <v>6</v>
      </c>
      <c r="N304" s="50" t="n">
        <v>200</v>
      </c>
      <c r="O304" s="53" t="n">
        <v>14</v>
      </c>
      <c r="P304" s="48" t="s">
        <v>485</v>
      </c>
      <c r="Q304" s="50" t="n">
        <v>342</v>
      </c>
      <c r="R304" s="53" t="n">
        <f aca="false">IF(BZ304=1,0,IFERROR(VLOOKUP(BX304,'Gebinde-Kategorie'!$A$5:$N$45,13,0)+0,0))</f>
        <v>52</v>
      </c>
      <c r="S304" s="54"/>
      <c r="T304" s="55"/>
      <c r="U304" s="55"/>
      <c r="V304" s="55"/>
      <c r="W304" s="48"/>
      <c r="X304" s="50"/>
      <c r="Y304" s="50"/>
      <c r="Z304" s="48" t="n">
        <f aca="false">IF(A304="","",IF(AND(Parameter!$B$21="Ja",ISNUMBER(W304)),W304,IF(CC304="2+3",IF(ISNUMBER(SEARCH("grosser Artikel",BU304)),2,IFERROR(VLOOKUP(BX304,Parameter!$F$35:$G$64,2,0),2)),IF(OR(CC304="Nein",CC304=""),"-",CC304))))</f>
        <v>3</v>
      </c>
      <c r="AA304" s="55"/>
      <c r="AB304" s="56"/>
      <c r="AC304" s="50" t="n">
        <f aca="false">AV304</f>
        <v>206</v>
      </c>
      <c r="AD304" s="50" t="n">
        <f aca="false">MAX(AV304,H304)</f>
        <v>206</v>
      </c>
      <c r="AE304" s="57"/>
      <c r="AF304" s="50" t="n">
        <f aca="false">IF(LEFT(Cockpit!$C$5,1)="A",H304,IF(Parameter!$E$30="MAX-Bestand",IF(CH304=1,CI304,IF(LEFT(Cockpit!$C$5,1)="B",AL304,MAX(AL304,H304))),ROUNDUP(AJ304,0)))</f>
        <v>193</v>
      </c>
      <c r="AG304" s="50" t="n">
        <f aca="false">IF(BZ304=1,0,ROUNDUP(AF304/BY304,0))</f>
        <v>1</v>
      </c>
      <c r="AH304" s="52" t="n">
        <f aca="false">IF(CQ304&gt;0,CQ304*MAX(1,AF304/X304),IF(BZ304=1,IF(AF304&lt;=0,0,CD304*MAX(1,IF(H304&gt;0,AF304/H304,1))),IF(R304&gt;0,AG304/R304,0))/MAX(0.1,N(Parameter!$M$21)))</f>
        <v>0.0192307692307692</v>
      </c>
      <c r="AI304" s="50" t="n">
        <f aca="false">AH304*CB304</f>
        <v>2.98076923076923</v>
      </c>
      <c r="AJ304" s="51" t="n">
        <f aca="false">IF(LEFT(Cockpit!$C$5,1)="A",H304,IF(CH304=1,(CK304+CI304)/2,IF(LEFT(Cockpit!$C$5,1)="B",(CK304+AL304)/2,MAX((CK304+AL304)/2,H304))))</f>
        <v>193</v>
      </c>
      <c r="AK304" s="50" t="n">
        <f aca="false">AJ304*G304</f>
        <v>387.93</v>
      </c>
      <c r="AL304" s="50" t="n">
        <f aca="false">ROUNDUP(CK304+MAX(CL304,2*(J304/IF(CG304&gt;0,CG304,MAX(0.1,N(Cockpit!$C$6)))-CK304)),0)</f>
        <v>206</v>
      </c>
      <c r="AM304" s="51" t="n">
        <f aca="false">IF(AI304&gt;0,J304/AI304,-1)</f>
        <v>57.7032258064516</v>
      </c>
      <c r="AN304" s="51" t="n">
        <f aca="false">IF(AND(OR(CF304="L1",CF304="L23",CF304="LIFT"),AI304&gt;0),SUMIFS($AI$7:$AI$1843,$CF$7:$CF$1843,CF304,$AM$7:$AM$1843,"&gt;"&amp;AM304)+SUMIFS($AI$7:$AI$1843,$CF$7:$CF$1843,CF304,$AM$7:$AM$1843,AM304,$BW$7:$BW$1843,"&lt;="&amp;BW304),"")</f>
        <v>995.479395604396</v>
      </c>
      <c r="AO304" s="58" t="n">
        <f aca="false">IF(AN304="",0,MAX(0,MIN(1,(IF(CF304="L1",Parameter!$H$5,IF(CF304="L23",Parameter!$H$6+Parameter!$H$7,Parameter!$H$5+Parameter!$H$6+Parameter!$H$7))-(AN304-AI304))/AI304)))</f>
        <v>1</v>
      </c>
      <c r="AP304" s="50" t="n">
        <f aca="false">IF(LEFT(Cockpit!$I$5,1)="A",H304,IF(Parameter!$E$30="MAX-Bestand",IF(CH304=1,CI304,IF(LEFT(Cockpit!$I$5,1)="B",AV304,MAX(AV304,H304))),ROUNDUP(AT304,0)))</f>
        <v>193</v>
      </c>
      <c r="AQ304" s="50" t="n">
        <f aca="false">IF(BZ304=1,0,ROUNDUP(AP304/BY304,0))</f>
        <v>1</v>
      </c>
      <c r="AR304" s="52" t="n">
        <f aca="false">IF(CQ304&gt;0,CQ304*MAX(1,AP304/X304),IF(BZ304=1,IF(AP304&lt;=0,0,CD304*MAX(1,IF(H304&gt;0,AP304/H304,1))),IF(R304&gt;0,AQ304/R304,0))/MAX(0.1,N(Parameter!$M$21)))</f>
        <v>0.0192307692307692</v>
      </c>
      <c r="AS304" s="50" t="n">
        <f aca="false">AR304*CB304</f>
        <v>2.98076923076923</v>
      </c>
      <c r="AT304" s="51" t="n">
        <f aca="false">IF(LEFT(Cockpit!$I$5,1)="A",H304,IF(CH304=1,(CK304+CI304)/2,IF(LEFT(Cockpit!$I$5,1)="B",(CK304+AV304)/2,MAX((CK304+AV304)/2,H304))))</f>
        <v>193</v>
      </c>
      <c r="AU304" s="50" t="n">
        <f aca="false">AT304*G304</f>
        <v>387.93</v>
      </c>
      <c r="AV304" s="50" t="n">
        <f aca="false">ROUNDUP(CK304+MAX(CL304,2*(J304/IF(CG304&gt;0,CG304,MAX(0.1,N(Cockpit!$I$6)))-CK304)),0)</f>
        <v>206</v>
      </c>
      <c r="AW304" s="51" t="n">
        <f aca="false">IF(AS304&gt;0,J304/AS304,-1)</f>
        <v>57.7032258064516</v>
      </c>
      <c r="AX304" s="51" t="n">
        <f aca="false">IF(AND(OR(CF304="L1",CF304="L23",CF304="LIFT"),AS304&gt;0),SUMIFS($AS$7:$AS$1843,$CF$7:$CF$1843,CF304,$AW$7:$AW$1843,"&gt;"&amp;AW304)+SUMIFS($AS$7:$AS$1843,$CF$7:$CF$1843,CF304,$AW$7:$AW$1843,AW304,$BW$7:$BW$1843,"&lt;="&amp;BW304),"")</f>
        <v>1197.86126373626</v>
      </c>
      <c r="AY304" s="58" t="n">
        <f aca="false">IF(AX304="",0,MAX(0,MIN(1,(IF(CF304="L1",Parameter!$H$5,IF(CF304="L23",Parameter!$H$6+Parameter!$H$7,Parameter!$H$5+Parameter!$H$6+Parameter!$H$7))-(AX304-AS304))/AS304)))</f>
        <v>1</v>
      </c>
      <c r="AZ304" s="50" t="n">
        <f aca="false">IF(LEFT(Cockpit!$O$5,1)="A",H304,IF(Parameter!$E$30="MAX-Bestand",IF(CH304=1,CI304,IF(LEFT(Cockpit!$O$5,1)="B",BF304,MAX(BF304,H304))),ROUNDUP(BD304,0)))</f>
        <v>106</v>
      </c>
      <c r="BA304" s="50" t="n">
        <f aca="false">IF(BZ304=1,0,ROUNDUP(AZ304/BY304,0))</f>
        <v>1</v>
      </c>
      <c r="BB304" s="52" t="n">
        <f aca="false">IF(CQ304&gt;0,CQ304*MAX(1,AZ304/X304),IF(BZ304=1,IF(AZ304&lt;=0,0,CD304*MAX(1,IF(H304&gt;0,AZ304/H304,1))),IF(R304&gt;0,BA304/R304,0))/MAX(0.1,N(Parameter!$M$21)))</f>
        <v>0.0192307692307692</v>
      </c>
      <c r="BC304" s="50" t="n">
        <f aca="false">BB304*CB304</f>
        <v>2.98076923076923</v>
      </c>
      <c r="BD304" s="51" t="n">
        <f aca="false">IF(LEFT(Cockpit!$O$5,1)="A",H304,IF(CH304=1,(CK304+CI304)/2,IF(LEFT(Cockpit!$O$5,1)="B",(CK304+BF304)/2,MAX((CK304+BF304)/2,H304))))</f>
        <v>106</v>
      </c>
      <c r="BE304" s="50" t="n">
        <f aca="false">BD304*G304</f>
        <v>213.06</v>
      </c>
      <c r="BF304" s="50" t="n">
        <f aca="false">ROUNDUP(CK304+MAX(CL304,2*(J304/IF(CG304&gt;0,CG304,MAX(0.1,N(Cockpit!$O$6)))-CK304)),0)</f>
        <v>206</v>
      </c>
      <c r="BG304" s="51" t="n">
        <f aca="false">IF(BC304&gt;0,J304/BC304,-1)</f>
        <v>57.7032258064516</v>
      </c>
      <c r="BH304" s="51" t="n">
        <f aca="false">IF(AND(OR(CF304="L1",CF304="L23",CF304="LIFT"),BC304&gt;0),SUMIFS($BC$7:$BC$1843,$CF$7:$CF$1843,CF304,$BG$7:$BG$1843,"&gt;"&amp;BG304)+SUMIFS($BC$7:$BC$1843,$CF$7:$CF$1843,CF304,$BG$7:$BG$1843,BG304,$BW$7:$BW$1843,"&lt;="&amp;BW304),"")</f>
        <v>1121.06135531136</v>
      </c>
      <c r="BI304" s="58" t="n">
        <f aca="false">IF(BH304="",0,MAX(0,MIN(1,(IF(CF304="L1",Parameter!$H$5,IF(CF304="L23",Parameter!$H$6+Parameter!$H$7,Parameter!$H$5+Parameter!$H$6+Parameter!$H$7))-(BH304-BC304))/BC304)))</f>
        <v>1</v>
      </c>
      <c r="BJ304" s="48" t="str">
        <f aca="false">IF(AI304&lt;=0,"",IF(CF304="Aussen","Aussenlager",IF(CF304="-","Nicht im Lift",IF(AO304&gt;=1,"Lift",IF(AO304&lt;=0,"Aussenlager","teilweise")))))</f>
        <v>Lift</v>
      </c>
      <c r="BK304" s="48" t="str">
        <f aca="false">IF(AS304&lt;=0,"",IF(CF304="Aussen","Aussenlager",IF(CF304="-","Nicht im Lift",IF(AY304&gt;=1,"Lift",IF(AY304&lt;=0,"Aussenlager","teilweise")))))</f>
        <v>Lift</v>
      </c>
      <c r="BL304" s="48" t="str">
        <f aca="false">IF(BC304&lt;=0,"",IF(CF304="Aussen","Aussenlager",IF(CF304="-","Nicht im Lift",IF(BI304&gt;=1,"Lift",IF(BI304&lt;=0,"Aussenlager","teilweise")))))</f>
        <v>Lift</v>
      </c>
      <c r="BM304" s="48" t="str">
        <f aca="false">IF(A304="","",IF(BV304=1,"Neu; ","")&amp;IF(AND(BV304=0,BQ304&lt;0),"negativer Bestand (Export "&amp;BQ304&amp;"); ","")&amp;IF(J304&lt;=0,"Kein Verbrauch; ","")&amp;IF(CQ304&gt;0,"Lift "&amp;W304&amp;" lt. Liftbericht (Fach "&amp;X304&amp;" Stk); ",IF(CA304=1,"Gebinde geschätzt ("&amp;T304&amp;"); ",IF(BZ304=1,"Lose – Tablare geschätzt; ","")))&amp;IF(H304&gt;AV304,"Überbestand "&amp;ROUND(H304-AV304,0)&amp;" Stk / CHF "&amp;ROUND((H304-AV304)*G304,0)&amp;"; ","")&amp;IF(AND(CH304=1,CI304&lt;CJ304),"MAX &lt; MB+LG; ","")&amp;IF(AND(CP304&gt;0,CO304*10&gt;CP304),"zu hoch für Tablar; ","")&amp;IF(AND(BV304=0,OR(CH304=1,AA304&lt;&gt;"",U304&lt;&gt;"",V304&lt;&gt;"",AB304&lt;&gt;"")),"manuell übersteuert; ","")&amp;IF(AND(BZ304=0,R304=0),"Gebinde unbekannt / Stellmass fehlt; ","")&amp;IF(AND(BZ304=0,N(V304)&lt;=0,N(Q304)&lt;=0),"Menge pro Gebinde fehlt (Ist = 1 Gebinde); ","")&amp;BU304)</f>
        <v/>
      </c>
      <c r="BN304" s="48"/>
      <c r="BO304" s="48"/>
      <c r="BP304" s="55"/>
      <c r="BQ304" s="50" t="n">
        <v>136</v>
      </c>
      <c r="BR304" s="50" t="n">
        <v>57</v>
      </c>
      <c r="BS304" s="49" t="n">
        <v>267.48</v>
      </c>
      <c r="BT304" s="50" t="n">
        <v>172</v>
      </c>
      <c r="BU304" s="48"/>
      <c r="BV304" s="53" t="n">
        <v>0</v>
      </c>
      <c r="BW304" s="53" t="n">
        <v>304</v>
      </c>
      <c r="BX304" s="48" t="str">
        <f aca="false">IF(U304&lt;&gt;"",UPPER(TRIM(U304)),IF(CA304=1,UPPER(VLOOKUP(T304,Parameter!$I$27:$K$29,2,0)),IF(P304="","LOSE",P304)))</f>
        <v>S33</v>
      </c>
      <c r="BY304" s="50" t="n">
        <f aca="false">IF(BX304="LOSE",1,IF(N(V304)&gt;0,V304,IF(CA304=1,MAX(1,N(VLOOKUP(T304,Parameter!$I$27:$K$29,3,0)),H304,N(N304)),IF(N(Q304)&gt;0,Q304,MAX(1,H304)))))</f>
        <v>342</v>
      </c>
      <c r="BZ304" s="53" t="n">
        <f aca="false">IF(BX304="LOSE",1,0)</f>
        <v>0</v>
      </c>
      <c r="CA304" s="53" t="n">
        <f aca="false">IF(AND(U304="",OR(P304="",P304="LOSE"),T304&lt;&gt;"",N(S304)&lt;=0,ISNUMBER(MATCH(T304,Parameter!$I$27:$I$29,0))),1,0)</f>
        <v>0</v>
      </c>
      <c r="CB304" s="53" t="n">
        <f aca="false">IF(CQ304&gt;0,INDEX(Parameter!$H$5:$H$7,W304)/INDEX(Parameter!$E$5:$E$7,W304),IF(AND(BZ304=0,N(IFERROR(VLOOKUP(BX304,'Gebinde-Kategorie'!$A$5:$N$45,14,0),0))&gt;0),VLOOKUP(BX304,'Gebinde-Kategorie'!$A$5:$N$45,14,0)*10+Parameter!$M$23,Parameter!$M$24))</f>
        <v>155</v>
      </c>
      <c r="CC304" s="48" t="str">
        <f aca="false">IF(AND(Parameter!$B$19="Ja",E304&lt;&gt;"",ISNUMBER(MATCH(E304,Parameter!$I$35:$I$52,0))),VLOOKUP(E304,Parameter!$I$35:$J$52,2,0),IFERROR(VLOOKUP(D304,Parameter!$A$35:$C$64,2,0),"Nein"))</f>
        <v>2+3</v>
      </c>
      <c r="CD304" s="52" t="n">
        <f aca="false">IF(BZ304=0,0,IF(N(S304)&gt;0,S304,IFERROR(VLOOKUP(D304,Parameter!$A$35:$C$64,3,0)+0,0)))</f>
        <v>0</v>
      </c>
      <c r="CE304" s="48" t="n">
        <f aca="false">IF(AA304&lt;&gt;"",AA304,Z304)</f>
        <v>3</v>
      </c>
      <c r="CF304" s="48" t="str">
        <f aca="false">IF(OR(CE304=1,CE304=2,CE304=3),IF(Parameter!$E$27="Ja","LIFT",IF(CE304=1,"L1","L23")),IF(CE304="Aussen","Aussen","-"))</f>
        <v>LIFT</v>
      </c>
      <c r="CG304" s="59" t="n">
        <f aca="false">IF(N(AB304)&gt;0,AB304,0)</f>
        <v>0</v>
      </c>
      <c r="CH304" s="53" t="n">
        <f aca="false">IF(ISNUMBER(AE304),1,0)</f>
        <v>0</v>
      </c>
      <c r="CI304" s="50" t="n">
        <f aca="false">N(AE304)</f>
        <v>0</v>
      </c>
      <c r="CJ304" s="50" t="n">
        <f aca="false">N(M304)+N(N304)</f>
        <v>206</v>
      </c>
      <c r="CK304" s="50" t="n">
        <f aca="false">N(M304)</f>
        <v>6</v>
      </c>
      <c r="CL304" s="50" t="n">
        <f aca="false">N(N304)</f>
        <v>200</v>
      </c>
      <c r="CM304" s="50" t="n">
        <f aca="false">ROUNDUP(H304/BY304,0)</f>
        <v>1</v>
      </c>
      <c r="CN304" s="50" t="n">
        <f aca="false">ROUNDUP(CI304/BY304,0)</f>
        <v>0</v>
      </c>
      <c r="CO304" s="53" t="n">
        <f aca="false">IF(BZ304=1,0,IFERROR(VLOOKUP(BX304,'Gebinde-Kategorie'!$A$5:$N$45,5,0)+0,0))</f>
        <v>8</v>
      </c>
      <c r="CP304" s="53" t="n">
        <f aca="false">IFERROR(IF(OR(CE304=1,CE304=2,CE304=3),N(INDEX(Parameter!$I$5:$I$7,CE304)),0),0)</f>
        <v>0</v>
      </c>
      <c r="CQ304" s="52" t="n">
        <f aca="false">IF(AND(Parameter!$B$21="Ja",ISNUMBER(W304),N(X304)&gt;0),IFERROR(N(INDEX(Parameter!$L$5:$L$7,W304))*INDEX(Parameter!$E$5:$E$7,W304)*X304/SUMIFS($X$7:$X$1843,$W$7:$W$1843,W304),0),0)</f>
        <v>0</v>
      </c>
    </row>
    <row r="305" customFormat="false" ht="15" hidden="false" customHeight="false" outlineLevel="0" collapsed="false">
      <c r="A305" s="48" t="s">
        <v>787</v>
      </c>
      <c r="B305" s="48" t="s">
        <v>788</v>
      </c>
      <c r="C305" s="48" t="s">
        <v>173</v>
      </c>
      <c r="D305" s="48" t="s">
        <v>193</v>
      </c>
      <c r="E305" s="48"/>
      <c r="F305" s="48" t="s">
        <v>227</v>
      </c>
      <c r="G305" s="49" t="n">
        <v>17.67</v>
      </c>
      <c r="H305" s="50" t="n">
        <f aca="false">MAX(0,IF(AND(Parameter!$B$21="Ja",ISNUMBER(Y305)),Y305,IF(Parameter!$B$20="Jahresanfang 2025 + Export",BR305+BQ305,BQ305)))</f>
        <v>15</v>
      </c>
      <c r="I305" s="50" t="n">
        <f aca="false">H305*G305</f>
        <v>265.05</v>
      </c>
      <c r="J305" s="50" t="n">
        <f aca="false">BT305*Parameter!$B$18</f>
        <v>0</v>
      </c>
      <c r="K305" s="51" t="n">
        <v>0</v>
      </c>
      <c r="L305" s="52" t="n">
        <v>0</v>
      </c>
      <c r="M305" s="50" t="n">
        <v>0</v>
      </c>
      <c r="N305" s="50" t="n">
        <v>1</v>
      </c>
      <c r="O305" s="53" t="n">
        <v>9999</v>
      </c>
      <c r="P305" s="48" t="s">
        <v>177</v>
      </c>
      <c r="Q305" s="50"/>
      <c r="R305" s="53" t="n">
        <f aca="false">IF(BZ305=1,0,IFERROR(VLOOKUP(BX305,'Gebinde-Kategorie'!$A$5:$N$45,13,0)+0,0))</f>
        <v>12</v>
      </c>
      <c r="S305" s="54"/>
      <c r="T305" s="55" t="s">
        <v>188</v>
      </c>
      <c r="U305" s="55"/>
      <c r="V305" s="55"/>
      <c r="W305" s="48"/>
      <c r="X305" s="50"/>
      <c r="Y305" s="50"/>
      <c r="Z305" s="48" t="n">
        <f aca="false">IF(A305="","",IF(AND(Parameter!$B$21="Ja",ISNUMBER(W305)),W305,IF(CC305="2+3",IF(ISNUMBER(SEARCH("grosser Artikel",BU305)),2,IFERROR(VLOOKUP(BX305,Parameter!$F$35:$G$64,2,0),2)),IF(OR(CC305="Nein",CC305=""),"-",CC305))))</f>
        <v>2</v>
      </c>
      <c r="AA305" s="55"/>
      <c r="AB305" s="56"/>
      <c r="AC305" s="50" t="n">
        <f aca="false">AV305</f>
        <v>1</v>
      </c>
      <c r="AD305" s="50" t="n">
        <f aca="false">MAX(AV305,H305)</f>
        <v>15</v>
      </c>
      <c r="AE305" s="57"/>
      <c r="AF305" s="50" t="n">
        <f aca="false">IF(LEFT(Cockpit!$C$5,1)="A",H305,IF(Parameter!$E$30="MAX-Bestand",IF(CH305=1,CI305,IF(LEFT(Cockpit!$C$5,1)="B",AL305,MAX(AL305,H305))),ROUNDUP(AJ305,0)))</f>
        <v>15</v>
      </c>
      <c r="AG305" s="50" t="n">
        <f aca="false">IF(BZ305=1,0,ROUNDUP(AF305/BY305,0))</f>
        <v>1</v>
      </c>
      <c r="AH305" s="52" t="n">
        <f aca="false">IF(CQ305&gt;0,CQ305*MAX(1,AF305/X305),IF(BZ305=1,IF(AF305&lt;=0,0,CD305*MAX(1,IF(H305&gt;0,AF305/H305,1))),IF(R305&gt;0,AG305/R305,0))/MAX(0.1,N(Parameter!$M$21)))</f>
        <v>0.0833333333333333</v>
      </c>
      <c r="AI305" s="50" t="n">
        <f aca="false">AH305*CB305</f>
        <v>12.0833333333333</v>
      </c>
      <c r="AJ305" s="51" t="n">
        <f aca="false">IF(LEFT(Cockpit!$C$5,1)="A",H305,IF(CH305=1,(CK305+CI305)/2,IF(LEFT(Cockpit!$C$5,1)="B",(CK305+AL305)/2,MAX((CK305+AL305)/2,H305))))</f>
        <v>15</v>
      </c>
      <c r="AK305" s="50" t="n">
        <f aca="false">AJ305*G305</f>
        <v>265.05</v>
      </c>
      <c r="AL305" s="50" t="n">
        <f aca="false">ROUNDUP(CK305+MAX(CL305,2*(J305/IF(CG305&gt;0,CG305,MAX(0.1,N(Cockpit!$C$6)))-CK305)),0)</f>
        <v>1</v>
      </c>
      <c r="AM305" s="51" t="n">
        <f aca="false">IF(AI305&gt;0,J305/AI305,-1)</f>
        <v>0</v>
      </c>
      <c r="AN305" s="51" t="n">
        <f aca="false">IF(AND(OR(CF305="L1",CF305="L23",CF305="LIFT"),AI305&gt;0),SUMIFS($AI$7:$AI$1843,$CF$7:$CF$1843,CF305,$AM$7:$AM$1843,"&gt;"&amp;AM305)+SUMIFS($AI$7:$AI$1843,$CF$7:$CF$1843,CF305,$AM$7:$AM$1843,AM305,$BW$7:$BW$1843,"&lt;="&amp;BW305),"")</f>
        <v>27876.694765216</v>
      </c>
      <c r="AO305" s="58" t="n">
        <f aca="false">IF(AN305="",0,MAX(0,MIN(1,(IF(CF305="L1",Parameter!$H$5,IF(CF305="L23",Parameter!$H$6+Parameter!$H$7,Parameter!$H$5+Parameter!$H$6+Parameter!$H$7))-(AN305-AI305))/AI305)))</f>
        <v>1</v>
      </c>
      <c r="AP305" s="50" t="n">
        <f aca="false">IF(LEFT(Cockpit!$I$5,1)="A",H305,IF(Parameter!$E$30="MAX-Bestand",IF(CH305=1,CI305,IF(LEFT(Cockpit!$I$5,1)="B",AV305,MAX(AV305,H305))),ROUNDUP(AT305,0)))</f>
        <v>15</v>
      </c>
      <c r="AQ305" s="50" t="n">
        <f aca="false">IF(BZ305=1,0,ROUNDUP(AP305/BY305,0))</f>
        <v>1</v>
      </c>
      <c r="AR305" s="52" t="n">
        <f aca="false">IF(CQ305&gt;0,CQ305*MAX(1,AP305/X305),IF(BZ305=1,IF(AP305&lt;=0,0,CD305*MAX(1,IF(H305&gt;0,AP305/H305,1))),IF(R305&gt;0,AQ305/R305,0))/MAX(0.1,N(Parameter!$M$21)))</f>
        <v>0.0833333333333333</v>
      </c>
      <c r="AS305" s="50" t="n">
        <f aca="false">AR305*CB305</f>
        <v>12.0833333333333</v>
      </c>
      <c r="AT305" s="51" t="n">
        <f aca="false">IF(LEFT(Cockpit!$I$5,1)="A",H305,IF(CH305=1,(CK305+CI305)/2,IF(LEFT(Cockpit!$I$5,1)="B",(CK305+AV305)/2,MAX((CK305+AV305)/2,H305))))</f>
        <v>15</v>
      </c>
      <c r="AU305" s="50" t="n">
        <f aca="false">AT305*G305</f>
        <v>265.05</v>
      </c>
      <c r="AV305" s="50" t="n">
        <f aca="false">ROUNDUP(CK305+MAX(CL305,2*(J305/IF(CG305&gt;0,CG305,MAX(0.1,N(Cockpit!$I$6)))-CK305)),0)</f>
        <v>1</v>
      </c>
      <c r="AW305" s="51" t="n">
        <f aca="false">IF(AS305&gt;0,J305/AS305,-1)</f>
        <v>0</v>
      </c>
      <c r="AX305" s="51" t="n">
        <f aca="false">IF(AND(OR(CF305="L1",CF305="L23",CF305="LIFT"),AS305&gt;0),SUMIFS($AS$7:$AS$1843,$CF$7:$CF$1843,CF305,$AW$7:$AW$1843,"&gt;"&amp;AW305)+SUMIFS($AS$7:$AS$1843,$CF$7:$CF$1843,CF305,$AW$7:$AW$1843,AW305,$BW$7:$BW$1843,"&lt;="&amp;BW305),"")</f>
        <v>33229.8434065934</v>
      </c>
      <c r="AY305" s="58" t="n">
        <f aca="false">IF(AX305="",0,MAX(0,MIN(1,(IF(CF305="L1",Parameter!$H$5,IF(CF305="L23",Parameter!$H$6+Parameter!$H$7,Parameter!$H$5+Parameter!$H$6+Parameter!$H$7))-(AX305-AS305))/AS305)))</f>
        <v>1</v>
      </c>
      <c r="AZ305" s="50" t="n">
        <f aca="false">IF(LEFT(Cockpit!$O$5,1)="A",H305,IF(Parameter!$E$30="MAX-Bestand",IF(CH305=1,CI305,IF(LEFT(Cockpit!$O$5,1)="B",BF305,MAX(BF305,H305))),ROUNDUP(BD305,0)))</f>
        <v>1</v>
      </c>
      <c r="BA305" s="50" t="n">
        <f aca="false">IF(BZ305=1,0,ROUNDUP(AZ305/BY305,0))</f>
        <v>1</v>
      </c>
      <c r="BB305" s="52" t="n">
        <f aca="false">IF(CQ305&gt;0,CQ305*MAX(1,AZ305/X305),IF(BZ305=1,IF(AZ305&lt;=0,0,CD305*MAX(1,IF(H305&gt;0,AZ305/H305,1))),IF(R305&gt;0,BA305/R305,0))/MAX(0.1,N(Parameter!$M$21)))</f>
        <v>0.0833333333333333</v>
      </c>
      <c r="BC305" s="50" t="n">
        <f aca="false">BB305*CB305</f>
        <v>12.0833333333333</v>
      </c>
      <c r="BD305" s="51" t="n">
        <f aca="false">IF(LEFT(Cockpit!$O$5,1)="A",H305,IF(CH305=1,(CK305+CI305)/2,IF(LEFT(Cockpit!$O$5,1)="B",(CK305+BF305)/2,MAX((CK305+BF305)/2,H305))))</f>
        <v>0.5</v>
      </c>
      <c r="BE305" s="50" t="n">
        <f aca="false">BD305*G305</f>
        <v>8.835</v>
      </c>
      <c r="BF305" s="50" t="n">
        <f aca="false">ROUNDUP(CK305+MAX(CL305,2*(J305/IF(CG305&gt;0,CG305,MAX(0.1,N(Cockpit!$O$6)))-CK305)),0)</f>
        <v>1</v>
      </c>
      <c r="BG305" s="51" t="n">
        <f aca="false">IF(BC305&gt;0,J305/BC305,-1)</f>
        <v>0</v>
      </c>
      <c r="BH305" s="51" t="n">
        <f aca="false">IF(AND(OR(CF305="L1",CF305="L23",CF305="LIFT"),BC305&gt;0),SUMIFS($BC$7:$BC$1843,$CF$7:$CF$1843,CF305,$BG$7:$BG$1843,"&gt;"&amp;BG305)+SUMIFS($BC$7:$BC$1843,$CF$7:$CF$1843,CF305,$BG$7:$BG$1843,BG305,$BW$7:$BW$1843,"&lt;="&amp;BW305),"")</f>
        <v>27355.3034550196</v>
      </c>
      <c r="BI305" s="58" t="n">
        <f aca="false">IF(BH305="",0,MAX(0,MIN(1,(IF(CF305="L1",Parameter!$H$5,IF(CF305="L23",Parameter!$H$6+Parameter!$H$7,Parameter!$H$5+Parameter!$H$6+Parameter!$H$7))-(BH305-BC305))/BC305)))</f>
        <v>1</v>
      </c>
      <c r="BJ305" s="48" t="str">
        <f aca="false">IF(AI305&lt;=0,"",IF(CF305="Aussen","Aussenlager",IF(CF305="-","Nicht im Lift",IF(AO305&gt;=1,"Lift",IF(AO305&lt;=0,"Aussenlager","teilweise")))))</f>
        <v>Lift</v>
      </c>
      <c r="BK305" s="48" t="str">
        <f aca="false">IF(AS305&lt;=0,"",IF(CF305="Aussen","Aussenlager",IF(CF305="-","Nicht im Lift",IF(AY305&gt;=1,"Lift",IF(AY305&lt;=0,"Aussenlager","teilweise")))))</f>
        <v>Lift</v>
      </c>
      <c r="BL305" s="48" t="str">
        <f aca="false">IF(BC305&lt;=0,"",IF(CF305="Aussen","Aussenlager",IF(CF305="-","Nicht im Lift",IF(BI305&gt;=1,"Lift",IF(BI305&lt;=0,"Aussenlager","teilweise")))))</f>
        <v>Lift</v>
      </c>
      <c r="BM305" s="48" t="str">
        <f aca="false">IF(A305="","",IF(BV305=1,"Neu; ","")&amp;IF(AND(BV305=0,BQ305&lt;0),"negativer Bestand (Export "&amp;BQ305&amp;"); ","")&amp;IF(J305&lt;=0,"Kein Verbrauch; ","")&amp;IF(CQ305&gt;0,"Lift "&amp;W305&amp;" lt. Liftbericht (Fach "&amp;X305&amp;" Stk); ",IF(CA305=1,"Gebinde geschätzt ("&amp;T305&amp;"); ",IF(BZ305=1,"Lose – Tablare geschätzt; ","")))&amp;IF(H305&gt;AV305,"Überbestand "&amp;ROUND(H305-AV305,0)&amp;" Stk / CHF "&amp;ROUND((H305-AV305)*G305,0)&amp;"; ","")&amp;IF(AND(CH305=1,CI305&lt;CJ305),"MAX &lt; MB+LG; ","")&amp;IF(AND(CP305&gt;0,CO305*10&gt;CP305),"zu hoch für Tablar; ","")&amp;IF(AND(BV305=0,OR(CH305=1,AA305&lt;&gt;"",U305&lt;&gt;"",V305&lt;&gt;"",AB305&lt;&gt;"")),"manuell übersteuert; ","")&amp;IF(AND(BZ305=0,R305=0),"Gebinde unbekannt / Stellmass fehlt; ","")&amp;IF(AND(BZ305=0,N(V305)&lt;=0,N(Q305)&lt;=0),"Menge pro Gebinde fehlt (Ist = 1 Gebinde); ","")&amp;BU305)</f>
        <v>Kein Verbrauch; Gebinde geschätzt (Mittel); Überbestand 14 Stk / CHF 247; Menge pro Gebinde fehlt (Ist = 1 Gebinde); </v>
      </c>
      <c r="BN305" s="48"/>
      <c r="BO305" s="48"/>
      <c r="BP305" s="55"/>
      <c r="BQ305" s="50" t="n">
        <v>15</v>
      </c>
      <c r="BR305" s="50" t="n">
        <v>0</v>
      </c>
      <c r="BS305" s="49" t="n">
        <v>265.05</v>
      </c>
      <c r="BT305" s="50" t="n">
        <v>0</v>
      </c>
      <c r="BU305" s="48"/>
      <c r="BV305" s="53" t="n">
        <v>0</v>
      </c>
      <c r="BW305" s="53" t="n">
        <v>305</v>
      </c>
      <c r="BX305" s="48" t="str">
        <f aca="false">IF(U305&lt;&gt;"",UPPER(TRIM(U305)),IF(CA305=1,UPPER(VLOOKUP(T305,Parameter!$I$27:$K$29,2,0)),IF(P305="","LOSE",P305)))</f>
        <v>S61</v>
      </c>
      <c r="BY305" s="50" t="n">
        <f aca="false">IF(BX305="LOSE",1,IF(N(V305)&gt;0,V305,IF(CA305=1,MAX(1,N(VLOOKUP(T305,Parameter!$I$27:$K$29,3,0)),H305,N(N305)),IF(N(Q305)&gt;0,Q305,MAX(1,H305)))))</f>
        <v>15</v>
      </c>
      <c r="BZ305" s="53" t="n">
        <f aca="false">IF(BX305="LOSE",1,0)</f>
        <v>0</v>
      </c>
      <c r="CA305" s="53" t="n">
        <f aca="false">IF(AND(U305="",OR(P305="",P305="LOSE"),T305&lt;&gt;"",N(S305)&lt;=0,ISNUMBER(MATCH(T305,Parameter!$I$27:$I$29,0))),1,0)</f>
        <v>1</v>
      </c>
      <c r="CB305" s="53" t="n">
        <f aca="false">IF(CQ305&gt;0,INDEX(Parameter!$H$5:$H$7,W305)/INDEX(Parameter!$E$5:$E$7,W305),IF(AND(BZ305=0,N(IFERROR(VLOOKUP(BX305,'Gebinde-Kategorie'!$A$5:$N$45,14,0),0))&gt;0),VLOOKUP(BX305,'Gebinde-Kategorie'!$A$5:$N$45,14,0)*10+Parameter!$M$23,Parameter!$M$24))</f>
        <v>145</v>
      </c>
      <c r="CC305" s="48" t="str">
        <f aca="false">IF(AND(Parameter!$B$19="Ja",E305&lt;&gt;"",ISNUMBER(MATCH(E305,Parameter!$I$35:$I$52,0))),VLOOKUP(E305,Parameter!$I$35:$J$52,2,0),IFERROR(VLOOKUP(D305,Parameter!$A$35:$C$64,2,0),"Nein"))</f>
        <v>2+3</v>
      </c>
      <c r="CD305" s="52" t="n">
        <f aca="false">IF(BZ305=0,0,IF(N(S305)&gt;0,S305,IFERROR(VLOOKUP(D305,Parameter!$A$35:$C$64,3,0)+0,0)))</f>
        <v>0</v>
      </c>
      <c r="CE305" s="48" t="n">
        <f aca="false">IF(AA305&lt;&gt;"",AA305,Z305)</f>
        <v>2</v>
      </c>
      <c r="CF305" s="48" t="str">
        <f aca="false">IF(OR(CE305=1,CE305=2,CE305=3),IF(Parameter!$E$27="Ja","LIFT",IF(CE305=1,"L1","L23")),IF(CE305="Aussen","Aussen","-"))</f>
        <v>LIFT</v>
      </c>
      <c r="CG305" s="59" t="n">
        <f aca="false">IF(N(AB305)&gt;0,AB305,0)</f>
        <v>0</v>
      </c>
      <c r="CH305" s="53" t="n">
        <f aca="false">IF(ISNUMBER(AE305),1,0)</f>
        <v>0</v>
      </c>
      <c r="CI305" s="50" t="n">
        <f aca="false">N(AE305)</f>
        <v>0</v>
      </c>
      <c r="CJ305" s="50" t="n">
        <f aca="false">N(M305)+N(N305)</f>
        <v>1</v>
      </c>
      <c r="CK305" s="50" t="n">
        <f aca="false">N(M305)</f>
        <v>0</v>
      </c>
      <c r="CL305" s="50" t="n">
        <f aca="false">N(N305)</f>
        <v>1</v>
      </c>
      <c r="CM305" s="50" t="n">
        <f aca="false">ROUNDUP(H305/BY305,0)</f>
        <v>1</v>
      </c>
      <c r="CN305" s="50" t="n">
        <f aca="false">ROUNDUP(CI305/BY305,0)</f>
        <v>0</v>
      </c>
      <c r="CO305" s="53" t="n">
        <f aca="false">IF(BZ305=1,0,IFERROR(VLOOKUP(BX305,'Gebinde-Kategorie'!$A$5:$N$45,5,0)+0,0))</f>
        <v>11</v>
      </c>
      <c r="CP305" s="53" t="n">
        <f aca="false">IFERROR(IF(OR(CE305=1,CE305=2,CE305=3),N(INDEX(Parameter!$I$5:$I$7,CE305)),0),0)</f>
        <v>0</v>
      </c>
      <c r="CQ305" s="52" t="n">
        <f aca="false">IF(AND(Parameter!$B$21="Ja",ISNUMBER(W305),N(X305)&gt;0),IFERROR(N(INDEX(Parameter!$L$5:$L$7,W305))*INDEX(Parameter!$E$5:$E$7,W305)*X305/SUMIFS($X$7:$X$1843,$W$7:$W$1843,W305),0),0)</f>
        <v>0</v>
      </c>
    </row>
    <row r="306" customFormat="false" ht="15" hidden="false" customHeight="false" outlineLevel="0" collapsed="false">
      <c r="A306" s="48" t="s">
        <v>789</v>
      </c>
      <c r="B306" s="48" t="s">
        <v>477</v>
      </c>
      <c r="C306" s="48" t="s">
        <v>173</v>
      </c>
      <c r="D306" s="48" t="s">
        <v>193</v>
      </c>
      <c r="E306" s="48" t="s">
        <v>194</v>
      </c>
      <c r="F306" s="48" t="s">
        <v>227</v>
      </c>
      <c r="G306" s="49" t="n">
        <v>0.64</v>
      </c>
      <c r="H306" s="50" t="n">
        <f aca="false">MAX(0,IF(AND(Parameter!$B$21="Ja",ISNUMBER(Y306)),Y306,IF(Parameter!$B$20="Jahresanfang 2025 + Export",BR306+BQ306,BQ306)))</f>
        <v>2817</v>
      </c>
      <c r="I306" s="50" t="n">
        <f aca="false">H306*G306</f>
        <v>1802.88</v>
      </c>
      <c r="J306" s="50" t="n">
        <f aca="false">BT306*Parameter!$B$18</f>
        <v>2222</v>
      </c>
      <c r="K306" s="51" t="n">
        <v>2692</v>
      </c>
      <c r="L306" s="52" t="n">
        <v>0.825408618127786</v>
      </c>
      <c r="M306" s="50" t="n">
        <v>518</v>
      </c>
      <c r="N306" s="50" t="n">
        <v>2500</v>
      </c>
      <c r="O306" s="53" t="n">
        <v>84</v>
      </c>
      <c r="P306" s="48" t="s">
        <v>235</v>
      </c>
      <c r="Q306" s="50" t="n">
        <v>1500</v>
      </c>
      <c r="R306" s="53" t="n">
        <f aca="false">IF(BZ306=1,0,IFERROR(VLOOKUP(BX306,'Gebinde-Kategorie'!$A$5:$N$45,13,0)+0,0))</f>
        <v>12</v>
      </c>
      <c r="S306" s="54"/>
      <c r="T306" s="55"/>
      <c r="U306" s="55"/>
      <c r="V306" s="55"/>
      <c r="W306" s="48"/>
      <c r="X306" s="50"/>
      <c r="Y306" s="50"/>
      <c r="Z306" s="48" t="n">
        <f aca="false">IF(A306="","",IF(AND(Parameter!$B$21="Ja",ISNUMBER(W306)),W306,IF(CC306="2+3",IF(ISNUMBER(SEARCH("grosser Artikel",BU306)),2,IFERROR(VLOOKUP(BX306,Parameter!$F$35:$G$64,2,0),2)),IF(OR(CC306="Nein",CC306=""),"-",CC306))))</f>
        <v>2</v>
      </c>
      <c r="AA306" s="55"/>
      <c r="AB306" s="56"/>
      <c r="AC306" s="50" t="n">
        <f aca="false">AV306</f>
        <v>3018</v>
      </c>
      <c r="AD306" s="50" t="n">
        <f aca="false">MAX(AV306,H306)</f>
        <v>3018</v>
      </c>
      <c r="AE306" s="57"/>
      <c r="AF306" s="50" t="n">
        <f aca="false">IF(LEFT(Cockpit!$C$5,1)="A",H306,IF(Parameter!$E$30="MAX-Bestand",IF(CH306=1,CI306,IF(LEFT(Cockpit!$C$5,1)="B",AL306,MAX(AL306,H306))),ROUNDUP(AJ306,0)))</f>
        <v>2817</v>
      </c>
      <c r="AG306" s="50" t="n">
        <f aca="false">IF(BZ306=1,0,ROUNDUP(AF306/BY306,0))</f>
        <v>2</v>
      </c>
      <c r="AH306" s="52" t="n">
        <f aca="false">IF(CQ306&gt;0,CQ306*MAX(1,AF306/X306),IF(BZ306=1,IF(AF306&lt;=0,0,CD306*MAX(1,IF(H306&gt;0,AF306/H306,1))),IF(R306&gt;0,AG306/R306,0))/MAX(0.1,N(Parameter!$M$21)))</f>
        <v>0.166666666666667</v>
      </c>
      <c r="AI306" s="50" t="n">
        <f aca="false">AH306*CB306</f>
        <v>57.5</v>
      </c>
      <c r="AJ306" s="51" t="n">
        <f aca="false">IF(LEFT(Cockpit!$C$5,1)="A",H306,IF(CH306=1,(CK306+CI306)/2,IF(LEFT(Cockpit!$C$5,1)="B",(CK306+AL306)/2,MAX((CK306+AL306)/2,H306))))</f>
        <v>2817</v>
      </c>
      <c r="AK306" s="50" t="n">
        <f aca="false">AJ306*G306</f>
        <v>1802.88</v>
      </c>
      <c r="AL306" s="50" t="n">
        <f aca="false">ROUNDUP(CK306+MAX(CL306,2*(J306/IF(CG306&gt;0,CG306,MAX(0.1,N(Cockpit!$C$6)))-CK306)),0)</f>
        <v>3018</v>
      </c>
      <c r="AM306" s="51" t="n">
        <f aca="false">IF(AI306&gt;0,J306/AI306,-1)</f>
        <v>38.6434782608696</v>
      </c>
      <c r="AN306" s="51" t="n">
        <f aca="false">IF(AND(OR(CF306="L1",CF306="L23",CF306="LIFT"),AI306&gt;0),SUMIFS($AI$7:$AI$1843,$CF$7:$CF$1843,CF306,$AM$7:$AM$1843,"&gt;"&amp;AM306)+SUMIFS($AI$7:$AI$1843,$CF$7:$CF$1843,CF306,$AM$7:$AM$1843,AM306,$BW$7:$BW$1843,"&lt;="&amp;BW306),"")</f>
        <v>1257.38461538462</v>
      </c>
      <c r="AO306" s="58" t="n">
        <f aca="false">IF(AN306="",0,MAX(0,MIN(1,(IF(CF306="L1",Parameter!$H$5,IF(CF306="L23",Parameter!$H$6+Parameter!$H$7,Parameter!$H$5+Parameter!$H$6+Parameter!$H$7))-(AN306-AI306))/AI306)))</f>
        <v>1</v>
      </c>
      <c r="AP306" s="50" t="n">
        <f aca="false">IF(LEFT(Cockpit!$I$5,1)="A",H306,IF(Parameter!$E$30="MAX-Bestand",IF(CH306=1,CI306,IF(LEFT(Cockpit!$I$5,1)="B",AV306,MAX(AV306,H306))),ROUNDUP(AT306,0)))</f>
        <v>2817</v>
      </c>
      <c r="AQ306" s="50" t="n">
        <f aca="false">IF(BZ306=1,0,ROUNDUP(AP306/BY306,0))</f>
        <v>2</v>
      </c>
      <c r="AR306" s="52" t="n">
        <f aca="false">IF(CQ306&gt;0,CQ306*MAX(1,AP306/X306),IF(BZ306=1,IF(AP306&lt;=0,0,CD306*MAX(1,IF(H306&gt;0,AP306/H306,1))),IF(R306&gt;0,AQ306/R306,0))/MAX(0.1,N(Parameter!$M$21)))</f>
        <v>0.166666666666667</v>
      </c>
      <c r="AS306" s="50" t="n">
        <f aca="false">AR306*CB306</f>
        <v>57.5</v>
      </c>
      <c r="AT306" s="51" t="n">
        <f aca="false">IF(LEFT(Cockpit!$I$5,1)="A",H306,IF(CH306=1,(CK306+CI306)/2,IF(LEFT(Cockpit!$I$5,1)="B",(CK306+AV306)/2,MAX((CK306+AV306)/2,H306))))</f>
        <v>2817</v>
      </c>
      <c r="AU306" s="50" t="n">
        <f aca="false">AT306*G306</f>
        <v>1802.88</v>
      </c>
      <c r="AV306" s="50" t="n">
        <f aca="false">ROUNDUP(CK306+MAX(CL306,2*(J306/IF(CG306&gt;0,CG306,MAX(0.1,N(Cockpit!$I$6)))-CK306)),0)</f>
        <v>3018</v>
      </c>
      <c r="AW306" s="51" t="n">
        <f aca="false">IF(AS306&gt;0,J306/AS306,-1)</f>
        <v>38.6434782608696</v>
      </c>
      <c r="AX306" s="51" t="n">
        <f aca="false">IF(AND(OR(CF306="L1",CF306="L23",CF306="LIFT"),AS306&gt;0),SUMIFS($AS$7:$AS$1843,$CF$7:$CF$1843,CF306,$AW$7:$AW$1843,"&gt;"&amp;AW306)+SUMIFS($AS$7:$AS$1843,$CF$7:$CF$1843,CF306,$AW$7:$AW$1843,AW306,$BW$7:$BW$1843,"&lt;="&amp;BW306),"")</f>
        <v>1575.93635531136</v>
      </c>
      <c r="AY306" s="58" t="n">
        <f aca="false">IF(AX306="",0,MAX(0,MIN(1,(IF(CF306="L1",Parameter!$H$5,IF(CF306="L23",Parameter!$H$6+Parameter!$H$7,Parameter!$H$5+Parameter!$H$6+Parameter!$H$7))-(AX306-AS306))/AS306)))</f>
        <v>1</v>
      </c>
      <c r="AZ306" s="50" t="n">
        <f aca="false">IF(LEFT(Cockpit!$O$5,1)="A",H306,IF(Parameter!$E$30="MAX-Bestand",IF(CH306=1,CI306,IF(LEFT(Cockpit!$O$5,1)="B",BF306,MAX(BF306,H306))),ROUNDUP(BD306,0)))</f>
        <v>1768</v>
      </c>
      <c r="BA306" s="50" t="n">
        <f aca="false">IF(BZ306=1,0,ROUNDUP(AZ306/BY306,0))</f>
        <v>2</v>
      </c>
      <c r="BB306" s="52" t="n">
        <f aca="false">IF(CQ306&gt;0,CQ306*MAX(1,AZ306/X306),IF(BZ306=1,IF(AZ306&lt;=0,0,CD306*MAX(1,IF(H306&gt;0,AZ306/H306,1))),IF(R306&gt;0,BA306/R306,0))/MAX(0.1,N(Parameter!$M$21)))</f>
        <v>0.166666666666667</v>
      </c>
      <c r="BC306" s="50" t="n">
        <f aca="false">BB306*CB306</f>
        <v>57.5</v>
      </c>
      <c r="BD306" s="51" t="n">
        <f aca="false">IF(LEFT(Cockpit!$O$5,1)="A",H306,IF(CH306=1,(CK306+CI306)/2,IF(LEFT(Cockpit!$O$5,1)="B",(CK306+BF306)/2,MAX((CK306+BF306)/2,H306))))</f>
        <v>1768</v>
      </c>
      <c r="BE306" s="50" t="n">
        <f aca="false">BD306*G306</f>
        <v>1131.52</v>
      </c>
      <c r="BF306" s="50" t="n">
        <f aca="false">ROUNDUP(CK306+MAX(CL306,2*(J306/IF(CG306&gt;0,CG306,MAX(0.1,N(Cockpit!$O$6)))-CK306)),0)</f>
        <v>3018</v>
      </c>
      <c r="BG306" s="51" t="n">
        <f aca="false">IF(BC306&gt;0,J306/BC306,-1)</f>
        <v>38.6434782608696</v>
      </c>
      <c r="BH306" s="51" t="n">
        <f aca="false">IF(AND(OR(CF306="L1",CF306="L23",CF306="LIFT"),BC306&gt;0),SUMIFS($BC$7:$BC$1843,$CF$7:$CF$1843,CF306,$BG$7:$BG$1843,"&gt;"&amp;BG306)+SUMIFS($BC$7:$BC$1843,$CF$7:$CF$1843,CF306,$BG$7:$BG$1843,BG306,$BW$7:$BW$1843,"&lt;="&amp;BW306),"")</f>
        <v>1329.35073260073</v>
      </c>
      <c r="BI306" s="58" t="n">
        <f aca="false">IF(BH306="",0,MAX(0,MIN(1,(IF(CF306="L1",Parameter!$H$5,IF(CF306="L23",Parameter!$H$6+Parameter!$H$7,Parameter!$H$5+Parameter!$H$6+Parameter!$H$7))-(BH306-BC306))/BC306)))</f>
        <v>1</v>
      </c>
      <c r="BJ306" s="48" t="str">
        <f aca="false">IF(AI306&lt;=0,"",IF(CF306="Aussen","Aussenlager",IF(CF306="-","Nicht im Lift",IF(AO306&gt;=1,"Lift",IF(AO306&lt;=0,"Aussenlager","teilweise")))))</f>
        <v>Lift</v>
      </c>
      <c r="BK306" s="48" t="str">
        <f aca="false">IF(AS306&lt;=0,"",IF(CF306="Aussen","Aussenlager",IF(CF306="-","Nicht im Lift",IF(AY306&gt;=1,"Lift",IF(AY306&lt;=0,"Aussenlager","teilweise")))))</f>
        <v>Lift</v>
      </c>
      <c r="BL306" s="48" t="str">
        <f aca="false">IF(BC306&lt;=0,"",IF(CF306="Aussen","Aussenlager",IF(CF306="-","Nicht im Lift",IF(BI306&gt;=1,"Lift",IF(BI306&lt;=0,"Aussenlager","teilweise")))))</f>
        <v>Lift</v>
      </c>
      <c r="BM306" s="48" t="str">
        <f aca="false">IF(A306="","",IF(BV306=1,"Neu; ","")&amp;IF(AND(BV306=0,BQ306&lt;0),"negativer Bestand (Export "&amp;BQ306&amp;"); ","")&amp;IF(J306&lt;=0,"Kein Verbrauch; ","")&amp;IF(CQ306&gt;0,"Lift "&amp;W306&amp;" lt. Liftbericht (Fach "&amp;X306&amp;" Stk); ",IF(CA306=1,"Gebinde geschätzt ("&amp;T306&amp;"); ",IF(BZ306=1,"Lose – Tablare geschätzt; ","")))&amp;IF(H306&gt;AV306,"Überbestand "&amp;ROUND(H306-AV306,0)&amp;" Stk / CHF "&amp;ROUND((H306-AV306)*G306,0)&amp;"; ","")&amp;IF(AND(CH306=1,CI306&lt;CJ306),"MAX &lt; MB+LG; ","")&amp;IF(AND(CP306&gt;0,CO306*10&gt;CP306),"zu hoch für Tablar; ","")&amp;IF(AND(BV306=0,OR(CH306=1,AA306&lt;&gt;"",U306&lt;&gt;"",V306&lt;&gt;"",AB306&lt;&gt;"")),"manuell übersteuert; ","")&amp;IF(AND(BZ306=0,R306=0),"Gebinde unbekannt / Stellmass fehlt; ","")&amp;IF(AND(BZ306=0,N(V306)&lt;=0,N(Q306)&lt;=0),"Menge pro Gebinde fehlt (Ist = 1 Gebinde); ","")&amp;BU306)</f>
        <v>negativer Bestand (Export -928); </v>
      </c>
      <c r="BN306" s="48"/>
      <c r="BO306" s="48"/>
      <c r="BP306" s="55"/>
      <c r="BQ306" s="50" t="n">
        <v>-928</v>
      </c>
      <c r="BR306" s="50" t="n">
        <v>3745</v>
      </c>
      <c r="BS306" s="49" t="n">
        <v>264.439999999999</v>
      </c>
      <c r="BT306" s="50" t="n">
        <v>2222</v>
      </c>
      <c r="BU306" s="48"/>
      <c r="BV306" s="53" t="n">
        <v>0</v>
      </c>
      <c r="BW306" s="53" t="n">
        <v>306</v>
      </c>
      <c r="BX306" s="48" t="str">
        <f aca="false">IF(U306&lt;&gt;"",UPPER(TRIM(U306)),IF(CA306=1,UPPER(VLOOKUP(T306,Parameter!$I$27:$K$29,2,0)),IF(P306="","LOSE",P306)))</f>
        <v>S63</v>
      </c>
      <c r="BY306" s="50" t="n">
        <f aca="false">IF(BX306="LOSE",1,IF(N(V306)&gt;0,V306,IF(CA306=1,MAX(1,N(VLOOKUP(T306,Parameter!$I$27:$K$29,3,0)),H306,N(N306)),IF(N(Q306)&gt;0,Q306,MAX(1,H306)))))</f>
        <v>1500</v>
      </c>
      <c r="BZ306" s="53" t="n">
        <f aca="false">IF(BX306="LOSE",1,0)</f>
        <v>0</v>
      </c>
      <c r="CA306" s="53" t="n">
        <f aca="false">IF(AND(U306="",OR(P306="",P306="LOSE"),T306&lt;&gt;"",N(S306)&lt;=0,ISNUMBER(MATCH(T306,Parameter!$I$27:$I$29,0))),1,0)</f>
        <v>0</v>
      </c>
      <c r="CB306" s="53" t="n">
        <f aca="false">IF(CQ306&gt;0,INDEX(Parameter!$H$5:$H$7,W306)/INDEX(Parameter!$E$5:$E$7,W306),IF(AND(BZ306=0,N(IFERROR(VLOOKUP(BX306,'Gebinde-Kategorie'!$A$5:$N$45,14,0),0))&gt;0),VLOOKUP(BX306,'Gebinde-Kategorie'!$A$5:$N$45,14,0)*10+Parameter!$M$23,Parameter!$M$24))</f>
        <v>345</v>
      </c>
      <c r="CC306" s="48" t="str">
        <f aca="false">IF(AND(Parameter!$B$19="Ja",E306&lt;&gt;"",ISNUMBER(MATCH(E306,Parameter!$I$35:$I$52,0))),VLOOKUP(E306,Parameter!$I$35:$J$52,2,0),IFERROR(VLOOKUP(D306,Parameter!$A$35:$C$64,2,0),"Nein"))</f>
        <v>2+3</v>
      </c>
      <c r="CD306" s="52" t="n">
        <f aca="false">IF(BZ306=0,0,IF(N(S306)&gt;0,S306,IFERROR(VLOOKUP(D306,Parameter!$A$35:$C$64,3,0)+0,0)))</f>
        <v>0</v>
      </c>
      <c r="CE306" s="48" t="n">
        <f aca="false">IF(AA306&lt;&gt;"",AA306,Z306)</f>
        <v>2</v>
      </c>
      <c r="CF306" s="48" t="str">
        <f aca="false">IF(OR(CE306=1,CE306=2,CE306=3),IF(Parameter!$E$27="Ja","LIFT",IF(CE306=1,"L1","L23")),IF(CE306="Aussen","Aussen","-"))</f>
        <v>LIFT</v>
      </c>
      <c r="CG306" s="59" t="n">
        <f aca="false">IF(N(AB306)&gt;0,AB306,0)</f>
        <v>0</v>
      </c>
      <c r="CH306" s="53" t="n">
        <f aca="false">IF(ISNUMBER(AE306),1,0)</f>
        <v>0</v>
      </c>
      <c r="CI306" s="50" t="n">
        <f aca="false">N(AE306)</f>
        <v>0</v>
      </c>
      <c r="CJ306" s="50" t="n">
        <f aca="false">N(M306)+N(N306)</f>
        <v>3018</v>
      </c>
      <c r="CK306" s="50" t="n">
        <f aca="false">N(M306)</f>
        <v>518</v>
      </c>
      <c r="CL306" s="50" t="n">
        <f aca="false">N(N306)</f>
        <v>2500</v>
      </c>
      <c r="CM306" s="50" t="n">
        <f aca="false">ROUNDUP(H306/BY306,0)</f>
        <v>2</v>
      </c>
      <c r="CN306" s="50" t="n">
        <f aca="false">ROUNDUP(CI306/BY306,0)</f>
        <v>0</v>
      </c>
      <c r="CO306" s="53" t="n">
        <f aca="false">IF(BZ306=1,0,IFERROR(VLOOKUP(BX306,'Gebinde-Kategorie'!$A$5:$N$45,5,0)+0,0))</f>
        <v>31</v>
      </c>
      <c r="CP306" s="53" t="n">
        <f aca="false">IFERROR(IF(OR(CE306=1,CE306=2,CE306=3),N(INDEX(Parameter!$I$5:$I$7,CE306)),0),0)</f>
        <v>0</v>
      </c>
      <c r="CQ306" s="52" t="n">
        <f aca="false">IF(AND(Parameter!$B$21="Ja",ISNUMBER(W306),N(X306)&gt;0),IFERROR(N(INDEX(Parameter!$L$5:$L$7,W306))*INDEX(Parameter!$E$5:$E$7,W306)*X306/SUMIFS($X$7:$X$1843,$W$7:$W$1843,W306),0),0)</f>
        <v>0</v>
      </c>
    </row>
    <row r="307" customFormat="false" ht="15" hidden="false" customHeight="false" outlineLevel="0" collapsed="false">
      <c r="A307" s="48" t="s">
        <v>790</v>
      </c>
      <c r="B307" s="48" t="s">
        <v>791</v>
      </c>
      <c r="C307" s="48" t="s">
        <v>173</v>
      </c>
      <c r="D307" s="48" t="s">
        <v>182</v>
      </c>
      <c r="E307" s="48" t="s">
        <v>194</v>
      </c>
      <c r="F307" s="48" t="s">
        <v>227</v>
      </c>
      <c r="G307" s="49" t="n">
        <v>21.55</v>
      </c>
      <c r="H307" s="50" t="n">
        <f aca="false">MAX(0,IF(AND(Parameter!$B$21="Ja",ISNUMBER(Y307)),Y307,IF(Parameter!$B$20="Jahresanfang 2025 + Export",BR307+BQ307,BQ307)))</f>
        <v>20</v>
      </c>
      <c r="I307" s="50" t="n">
        <f aca="false">H307*G307</f>
        <v>431</v>
      </c>
      <c r="J307" s="50" t="n">
        <f aca="false">BT307*Parameter!$B$18</f>
        <v>12</v>
      </c>
      <c r="K307" s="51" t="n">
        <v>12</v>
      </c>
      <c r="L307" s="52" t="n">
        <v>1</v>
      </c>
      <c r="M307" s="50" t="n">
        <v>0</v>
      </c>
      <c r="N307" s="50" t="n">
        <v>10</v>
      </c>
      <c r="O307" s="53" t="n">
        <v>21</v>
      </c>
      <c r="P307" s="48" t="s">
        <v>302</v>
      </c>
      <c r="Q307" s="50" t="n">
        <v>8</v>
      </c>
      <c r="R307" s="53" t="n">
        <f aca="false">IF(BZ307=1,0,IFERROR(VLOOKUP(BX307,'Gebinde-Kategorie'!$A$5:$N$45,13,0)+0,0))</f>
        <v>12</v>
      </c>
      <c r="S307" s="54"/>
      <c r="T307" s="55"/>
      <c r="U307" s="55"/>
      <c r="V307" s="55"/>
      <c r="W307" s="48"/>
      <c r="X307" s="50"/>
      <c r="Y307" s="50"/>
      <c r="Z307" s="48" t="n">
        <f aca="false">IF(A307="","",IF(AND(Parameter!$B$21="Ja",ISNUMBER(W307)),W307,IF(CC307="2+3",IF(ISNUMBER(SEARCH("grosser Artikel",BU307)),2,IFERROR(VLOOKUP(BX307,Parameter!$F$35:$G$64,2,0),2)),IF(OR(CC307="Nein",CC307=""),"-",CC307))))</f>
        <v>2</v>
      </c>
      <c r="AA307" s="55"/>
      <c r="AB307" s="56"/>
      <c r="AC307" s="50" t="n">
        <f aca="false">AV307</f>
        <v>10</v>
      </c>
      <c r="AD307" s="50" t="n">
        <f aca="false">MAX(AV307,H307)</f>
        <v>20</v>
      </c>
      <c r="AE307" s="57"/>
      <c r="AF307" s="50" t="n">
        <f aca="false">IF(LEFT(Cockpit!$C$5,1)="A",H307,IF(Parameter!$E$30="MAX-Bestand",IF(CH307=1,CI307,IF(LEFT(Cockpit!$C$5,1)="B",AL307,MAX(AL307,H307))),ROUNDUP(AJ307,0)))</f>
        <v>20</v>
      </c>
      <c r="AG307" s="50" t="n">
        <f aca="false">IF(BZ307=1,0,ROUNDUP(AF307/BY307,0))</f>
        <v>3</v>
      </c>
      <c r="AH307" s="52" t="n">
        <f aca="false">IF(CQ307&gt;0,CQ307*MAX(1,AF307/X307),IF(BZ307=1,IF(AF307&lt;=0,0,CD307*MAX(1,IF(H307&gt;0,AF307/H307,1))),IF(R307&gt;0,AG307/R307,0))/MAX(0.1,N(Parameter!$M$21)))</f>
        <v>0.25</v>
      </c>
      <c r="AI307" s="50" t="n">
        <f aca="false">AH307*CB307</f>
        <v>61.25</v>
      </c>
      <c r="AJ307" s="51" t="n">
        <f aca="false">IF(LEFT(Cockpit!$C$5,1)="A",H307,IF(CH307=1,(CK307+CI307)/2,IF(LEFT(Cockpit!$C$5,1)="B",(CK307+AL307)/2,MAX((CK307+AL307)/2,H307))))</f>
        <v>20</v>
      </c>
      <c r="AK307" s="50" t="n">
        <f aca="false">AJ307*G307</f>
        <v>431</v>
      </c>
      <c r="AL307" s="50" t="n">
        <f aca="false">ROUNDUP(CK307+MAX(CL307,2*(J307/IF(CG307&gt;0,CG307,MAX(0.1,N(Cockpit!$C$6)))-CK307)),0)</f>
        <v>10</v>
      </c>
      <c r="AM307" s="51" t="n">
        <f aca="false">IF(AI307&gt;0,J307/AI307,-1)</f>
        <v>0.195918367346939</v>
      </c>
      <c r="AN307" s="51" t="n">
        <f aca="false">IF(AND(OR(CF307="L1",CF307="L23",CF307="LIFT"),AI307&gt;0),SUMIFS($AI$7:$AI$1843,$CF$7:$CF$1843,CF307,$AM$7:$AM$1843,"&gt;"&amp;AM307)+SUMIFS($AI$7:$AI$1843,$CF$7:$CF$1843,CF307,$AM$7:$AM$1843,AM307,$BW$7:$BW$1843,"&lt;="&amp;BW307),"")</f>
        <v>12560.983720846</v>
      </c>
      <c r="AO307" s="58" t="n">
        <f aca="false">IF(AN307="",0,MAX(0,MIN(1,(IF(CF307="L1",Parameter!$H$5,IF(CF307="L23",Parameter!$H$6+Parameter!$H$7,Parameter!$H$5+Parameter!$H$6+Parameter!$H$7))-(AN307-AI307))/AI307)))</f>
        <v>1</v>
      </c>
      <c r="AP307" s="50" t="n">
        <f aca="false">IF(LEFT(Cockpit!$I$5,1)="A",H307,IF(Parameter!$E$30="MAX-Bestand",IF(CH307=1,CI307,IF(LEFT(Cockpit!$I$5,1)="B",AV307,MAX(AV307,H307))),ROUNDUP(AT307,0)))</f>
        <v>20</v>
      </c>
      <c r="AQ307" s="50" t="n">
        <f aca="false">IF(BZ307=1,0,ROUNDUP(AP307/BY307,0))</f>
        <v>3</v>
      </c>
      <c r="AR307" s="52" t="n">
        <f aca="false">IF(CQ307&gt;0,CQ307*MAX(1,AP307/X307),IF(BZ307=1,IF(AP307&lt;=0,0,CD307*MAX(1,IF(H307&gt;0,AP307/H307,1))),IF(R307&gt;0,AQ307/R307,0))/MAX(0.1,N(Parameter!$M$21)))</f>
        <v>0.25</v>
      </c>
      <c r="AS307" s="50" t="n">
        <f aca="false">AR307*CB307</f>
        <v>61.25</v>
      </c>
      <c r="AT307" s="51" t="n">
        <f aca="false">IF(LEFT(Cockpit!$I$5,1)="A",H307,IF(CH307=1,(CK307+CI307)/2,IF(LEFT(Cockpit!$I$5,1)="B",(CK307+AV307)/2,MAX((CK307+AV307)/2,H307))))</f>
        <v>20</v>
      </c>
      <c r="AU307" s="50" t="n">
        <f aca="false">AT307*G307</f>
        <v>431</v>
      </c>
      <c r="AV307" s="50" t="n">
        <f aca="false">ROUNDUP(CK307+MAX(CL307,2*(J307/IF(CG307&gt;0,CG307,MAX(0.1,N(Cockpit!$I$6)))-CK307)),0)</f>
        <v>10</v>
      </c>
      <c r="AW307" s="51" t="n">
        <f aca="false">IF(AS307&gt;0,J307/AS307,-1)</f>
        <v>0.195918367346939</v>
      </c>
      <c r="AX307" s="51" t="n">
        <f aca="false">IF(AND(OR(CF307="L1",CF307="L23",CF307="LIFT"),AS307&gt;0),SUMIFS($AS$7:$AS$1843,$CF$7:$CF$1843,CF307,$AW$7:$AW$1843,"&gt;"&amp;AW307)+SUMIFS($AS$7:$AS$1843,$CF$7:$CF$1843,CF307,$AW$7:$AW$1843,AW307,$BW$7:$BW$1843,"&lt;="&amp;BW307),"")</f>
        <v>15390.2413003663</v>
      </c>
      <c r="AY307" s="58" t="n">
        <f aca="false">IF(AX307="",0,MAX(0,MIN(1,(IF(CF307="L1",Parameter!$H$5,IF(CF307="L23",Parameter!$H$6+Parameter!$H$7,Parameter!$H$5+Parameter!$H$6+Parameter!$H$7))-(AX307-AS307))/AS307)))</f>
        <v>1</v>
      </c>
      <c r="AZ307" s="50" t="n">
        <f aca="false">IF(LEFT(Cockpit!$O$5,1)="A",H307,IF(Parameter!$E$30="MAX-Bestand",IF(CH307=1,CI307,IF(LEFT(Cockpit!$O$5,1)="B",BF307,MAX(BF307,H307))),ROUNDUP(BD307,0)))</f>
        <v>5</v>
      </c>
      <c r="BA307" s="50" t="n">
        <f aca="false">IF(BZ307=1,0,ROUNDUP(AZ307/BY307,0))</f>
        <v>1</v>
      </c>
      <c r="BB307" s="52" t="n">
        <f aca="false">IF(CQ307&gt;0,CQ307*MAX(1,AZ307/X307),IF(BZ307=1,IF(AZ307&lt;=0,0,CD307*MAX(1,IF(H307&gt;0,AZ307/H307,1))),IF(R307&gt;0,BA307/R307,0))/MAX(0.1,N(Parameter!$M$21)))</f>
        <v>0.0833333333333333</v>
      </c>
      <c r="BC307" s="50" t="n">
        <f aca="false">BB307*CB307</f>
        <v>20.4166666666667</v>
      </c>
      <c r="BD307" s="51" t="n">
        <f aca="false">IF(LEFT(Cockpit!$O$5,1)="A",H307,IF(CH307=1,(CK307+CI307)/2,IF(LEFT(Cockpit!$O$5,1)="B",(CK307+BF307)/2,MAX((CK307+BF307)/2,H307))))</f>
        <v>5</v>
      </c>
      <c r="BE307" s="50" t="n">
        <f aca="false">BD307*G307</f>
        <v>107.75</v>
      </c>
      <c r="BF307" s="50" t="n">
        <f aca="false">ROUNDUP(CK307+MAX(CL307,2*(J307/IF(CG307&gt;0,CG307,MAX(0.1,N(Cockpit!$O$6)))-CK307)),0)</f>
        <v>10</v>
      </c>
      <c r="BG307" s="51" t="n">
        <f aca="false">IF(BC307&gt;0,J307/BC307,-1)</f>
        <v>0.587755102040816</v>
      </c>
      <c r="BH307" s="51" t="n">
        <f aca="false">IF(AND(OR(CF307="L1",CF307="L23",CF307="LIFT"),BC307&gt;0),SUMIFS($BC$7:$BC$1843,$CF$7:$CF$1843,CF307,$BG$7:$BG$1843,"&gt;"&amp;BG307)+SUMIFS($BC$7:$BC$1843,$CF$7:$CF$1843,CF307,$BG$7:$BG$1843,BG307,$BW$7:$BW$1843,"&lt;="&amp;BW307),"")</f>
        <v>9978.87225274725</v>
      </c>
      <c r="BI307" s="58" t="n">
        <f aca="false">IF(BH307="",0,MAX(0,MIN(1,(IF(CF307="L1",Parameter!$H$5,IF(CF307="L23",Parameter!$H$6+Parameter!$H$7,Parameter!$H$5+Parameter!$H$6+Parameter!$H$7))-(BH307-BC307))/BC307)))</f>
        <v>1</v>
      </c>
      <c r="BJ307" s="48" t="str">
        <f aca="false">IF(AI307&lt;=0,"",IF(CF307="Aussen","Aussenlager",IF(CF307="-","Nicht im Lift",IF(AO307&gt;=1,"Lift",IF(AO307&lt;=0,"Aussenlager","teilweise")))))</f>
        <v>Lift</v>
      </c>
      <c r="BK307" s="48" t="str">
        <f aca="false">IF(AS307&lt;=0,"",IF(CF307="Aussen","Aussenlager",IF(CF307="-","Nicht im Lift",IF(AY307&gt;=1,"Lift",IF(AY307&lt;=0,"Aussenlager","teilweise")))))</f>
        <v>Lift</v>
      </c>
      <c r="BL307" s="48" t="str">
        <f aca="false">IF(BC307&lt;=0,"",IF(CF307="Aussen","Aussenlager",IF(CF307="-","Nicht im Lift",IF(BI307&gt;=1,"Lift",IF(BI307&lt;=0,"Aussenlager","teilweise")))))</f>
        <v>Lift</v>
      </c>
      <c r="BM307" s="48" t="str">
        <f aca="false">IF(A307="","",IF(BV307=1,"Neu; ","")&amp;IF(AND(BV307=0,BQ307&lt;0),"negativer Bestand (Export "&amp;BQ307&amp;"); ","")&amp;IF(J307&lt;=0,"Kein Verbrauch; ","")&amp;IF(CQ307&gt;0,"Lift "&amp;W307&amp;" lt. Liftbericht (Fach "&amp;X307&amp;" Stk); ",IF(CA307=1,"Gebinde geschätzt ("&amp;T307&amp;"); ",IF(BZ307=1,"Lose – Tablare geschätzt; ","")))&amp;IF(H307&gt;AV307,"Überbestand "&amp;ROUND(H307-AV307,0)&amp;" Stk / CHF "&amp;ROUND((H307-AV307)*G307,0)&amp;"; ","")&amp;IF(AND(CH307=1,CI307&lt;CJ307),"MAX &lt; MB+LG; ","")&amp;IF(AND(CP307&gt;0,CO307*10&gt;CP307),"zu hoch für Tablar; ","")&amp;IF(AND(BV307=0,OR(CH307=1,AA307&lt;&gt;"",U307&lt;&gt;"",V307&lt;&gt;"",AB307&lt;&gt;"")),"manuell übersteuert; ","")&amp;IF(AND(BZ307=0,R307=0),"Gebinde unbekannt / Stellmass fehlt; ","")&amp;IF(AND(BZ307=0,N(V307)&lt;=0,N(Q307)&lt;=0),"Menge pro Gebinde fehlt (Ist = 1 Gebinde); ","")&amp;BU307)</f>
        <v>Überbestand 10 Stk / CHF 216; grosser Artikel &amp; nicht im KTL</v>
      </c>
      <c r="BN307" s="48"/>
      <c r="BO307" s="48"/>
      <c r="BP307" s="55"/>
      <c r="BQ307" s="50" t="n">
        <v>12</v>
      </c>
      <c r="BR307" s="50" t="n">
        <v>8</v>
      </c>
      <c r="BS307" s="49" t="n">
        <v>262.04</v>
      </c>
      <c r="BT307" s="50" t="n">
        <v>12</v>
      </c>
      <c r="BU307" s="48" t="s">
        <v>270</v>
      </c>
      <c r="BV307" s="53" t="n">
        <v>0</v>
      </c>
      <c r="BW307" s="53" t="n">
        <v>307</v>
      </c>
      <c r="BX307" s="48" t="str">
        <f aca="false">IF(U307&lt;&gt;"",UPPER(TRIM(U307)),IF(CA307=1,UPPER(VLOOKUP(T307,Parameter!$I$27:$K$29,2,0)),IF(P307="","LOSE",P307)))</f>
        <v>S62</v>
      </c>
      <c r="BY307" s="50" t="n">
        <f aca="false">IF(BX307="LOSE",1,IF(N(V307)&gt;0,V307,IF(CA307=1,MAX(1,N(VLOOKUP(T307,Parameter!$I$27:$K$29,3,0)),H307,N(N307)),IF(N(Q307)&gt;0,Q307,MAX(1,H307)))))</f>
        <v>8</v>
      </c>
      <c r="BZ307" s="53" t="n">
        <f aca="false">IF(BX307="LOSE",1,0)</f>
        <v>0</v>
      </c>
      <c r="CA307" s="53" t="n">
        <f aca="false">IF(AND(U307="",OR(P307="",P307="LOSE"),T307&lt;&gt;"",N(S307)&lt;=0,ISNUMBER(MATCH(T307,Parameter!$I$27:$I$29,0))),1,0)</f>
        <v>0</v>
      </c>
      <c r="CB307" s="53" t="n">
        <f aca="false">IF(CQ307&gt;0,INDEX(Parameter!$H$5:$H$7,W307)/INDEX(Parameter!$E$5:$E$7,W307),IF(AND(BZ307=0,N(IFERROR(VLOOKUP(BX307,'Gebinde-Kategorie'!$A$5:$N$45,14,0),0))&gt;0),VLOOKUP(BX307,'Gebinde-Kategorie'!$A$5:$N$45,14,0)*10+Parameter!$M$23,Parameter!$M$24))</f>
        <v>245</v>
      </c>
      <c r="CC307" s="48" t="str">
        <f aca="false">IF(AND(Parameter!$B$19="Ja",E307&lt;&gt;"",ISNUMBER(MATCH(E307,Parameter!$I$35:$I$52,0))),VLOOKUP(E307,Parameter!$I$35:$J$52,2,0),IFERROR(VLOOKUP(D307,Parameter!$A$35:$C$64,2,0),"Nein"))</f>
        <v>2+3</v>
      </c>
      <c r="CD307" s="52" t="n">
        <f aca="false">IF(BZ307=0,0,IF(N(S307)&gt;0,S307,IFERROR(VLOOKUP(D307,Parameter!$A$35:$C$64,3,0)+0,0)))</f>
        <v>0</v>
      </c>
      <c r="CE307" s="48" t="n">
        <f aca="false">IF(AA307&lt;&gt;"",AA307,Z307)</f>
        <v>2</v>
      </c>
      <c r="CF307" s="48" t="str">
        <f aca="false">IF(OR(CE307=1,CE307=2,CE307=3),IF(Parameter!$E$27="Ja","LIFT",IF(CE307=1,"L1","L23")),IF(CE307="Aussen","Aussen","-"))</f>
        <v>LIFT</v>
      </c>
      <c r="CG307" s="59" t="n">
        <f aca="false">IF(N(AB307)&gt;0,AB307,0)</f>
        <v>0</v>
      </c>
      <c r="CH307" s="53" t="n">
        <f aca="false">IF(ISNUMBER(AE307),1,0)</f>
        <v>0</v>
      </c>
      <c r="CI307" s="50" t="n">
        <f aca="false">N(AE307)</f>
        <v>0</v>
      </c>
      <c r="CJ307" s="50" t="n">
        <f aca="false">N(M307)+N(N307)</f>
        <v>10</v>
      </c>
      <c r="CK307" s="50" t="n">
        <f aca="false">N(M307)</f>
        <v>0</v>
      </c>
      <c r="CL307" s="50" t="n">
        <f aca="false">N(N307)</f>
        <v>10</v>
      </c>
      <c r="CM307" s="50" t="n">
        <f aca="false">ROUNDUP(H307/BY307,0)</f>
        <v>3</v>
      </c>
      <c r="CN307" s="50" t="n">
        <f aca="false">ROUNDUP(CI307/BY307,0)</f>
        <v>0</v>
      </c>
      <c r="CO307" s="53" t="n">
        <f aca="false">IF(BZ307=1,0,IFERROR(VLOOKUP(BX307,'Gebinde-Kategorie'!$A$5:$N$45,5,0)+0,0))</f>
        <v>21</v>
      </c>
      <c r="CP307" s="53" t="n">
        <f aca="false">IFERROR(IF(OR(CE307=1,CE307=2,CE307=3),N(INDEX(Parameter!$I$5:$I$7,CE307)),0),0)</f>
        <v>0</v>
      </c>
      <c r="CQ307" s="52" t="n">
        <f aca="false">IF(AND(Parameter!$B$21="Ja",ISNUMBER(W307),N(X307)&gt;0),IFERROR(N(INDEX(Parameter!$L$5:$L$7,W307))*INDEX(Parameter!$E$5:$E$7,W307)*X307/SUMIFS($X$7:$X$1843,$W$7:$W$1843,W307),0),0)</f>
        <v>0</v>
      </c>
    </row>
    <row r="308" customFormat="false" ht="15" hidden="false" customHeight="false" outlineLevel="0" collapsed="false">
      <c r="A308" s="48" t="s">
        <v>792</v>
      </c>
      <c r="B308" s="48" t="s">
        <v>793</v>
      </c>
      <c r="C308" s="48" t="s">
        <v>173</v>
      </c>
      <c r="D308" s="48" t="s">
        <v>182</v>
      </c>
      <c r="E308" s="48" t="s">
        <v>175</v>
      </c>
      <c r="F308" s="48" t="s">
        <v>227</v>
      </c>
      <c r="G308" s="49" t="n">
        <v>452.4</v>
      </c>
      <c r="H308" s="50" t="n">
        <f aca="false">MAX(0,IF(AND(Parameter!$B$21="Ja",ISNUMBER(Y308)),Y308,IF(Parameter!$B$20="Jahresanfang 2025 + Export",BR308+BQ308,BQ308)))</f>
        <v>18</v>
      </c>
      <c r="I308" s="50" t="n">
        <f aca="false">H308*G308</f>
        <v>8143.2</v>
      </c>
      <c r="J308" s="50" t="n">
        <f aca="false">BT308*Parameter!$B$18</f>
        <v>118</v>
      </c>
      <c r="K308" s="51" t="n">
        <v>17</v>
      </c>
      <c r="L308" s="52" t="n">
        <v>6.94117647058824</v>
      </c>
      <c r="M308" s="50" t="n">
        <v>10</v>
      </c>
      <c r="N308" s="50" t="n">
        <v>25</v>
      </c>
      <c r="O308" s="53" t="n">
        <v>84</v>
      </c>
      <c r="P308" s="48" t="s">
        <v>183</v>
      </c>
      <c r="Q308" s="50" t="n">
        <v>20</v>
      </c>
      <c r="R308" s="53" t="n">
        <f aca="false">IF(BZ308=1,0,IFERROR(VLOOKUP(BX308,'Gebinde-Kategorie'!$A$5:$N$45,13,0)+0,0))</f>
        <v>6</v>
      </c>
      <c r="S308" s="54"/>
      <c r="T308" s="55"/>
      <c r="U308" s="55"/>
      <c r="V308" s="55"/>
      <c r="W308" s="48"/>
      <c r="X308" s="50"/>
      <c r="Y308" s="50"/>
      <c r="Z308" s="48" t="n">
        <f aca="false">IF(A308="","",IF(AND(Parameter!$B$21="Ja",ISNUMBER(W308)),W308,IF(CC308="2+3",IF(ISNUMBER(SEARCH("grosser Artikel",BU308)),2,IFERROR(VLOOKUP(BX308,Parameter!$F$35:$G$64,2,0),2)),IF(OR(CC308="Nein",CC308=""),"-",CC308))))</f>
        <v>1</v>
      </c>
      <c r="AA308" s="55"/>
      <c r="AB308" s="56"/>
      <c r="AC308" s="50" t="n">
        <f aca="false">AV308</f>
        <v>69</v>
      </c>
      <c r="AD308" s="50" t="n">
        <f aca="false">MAX(AV308,H308)</f>
        <v>69</v>
      </c>
      <c r="AE308" s="57"/>
      <c r="AF308" s="50" t="n">
        <f aca="false">IF(LEFT(Cockpit!$C$5,1)="A",H308,IF(Parameter!$E$30="MAX-Bestand",IF(CH308=1,CI308,IF(LEFT(Cockpit!$C$5,1)="B",AL308,MAX(AL308,H308))),ROUNDUP(AJ308,0)))</f>
        <v>18</v>
      </c>
      <c r="AG308" s="50" t="n">
        <f aca="false">IF(BZ308=1,0,ROUNDUP(AF308/BY308,0))</f>
        <v>1</v>
      </c>
      <c r="AH308" s="52" t="n">
        <f aca="false">IF(CQ308&gt;0,CQ308*MAX(1,AF308/X308),IF(BZ308=1,IF(AF308&lt;=0,0,CD308*MAX(1,IF(H308&gt;0,AF308/H308,1))),IF(R308&gt;0,AG308/R308,0))/MAX(0.1,N(Parameter!$M$21)))</f>
        <v>0.166666666666667</v>
      </c>
      <c r="AI308" s="50" t="n">
        <f aca="false">AH308*CB308</f>
        <v>39.1666666666667</v>
      </c>
      <c r="AJ308" s="51" t="n">
        <f aca="false">IF(LEFT(Cockpit!$C$5,1)="A",H308,IF(CH308=1,(CK308+CI308)/2,IF(LEFT(Cockpit!$C$5,1)="B",(CK308+AL308)/2,MAX((CK308+AL308)/2,H308))))</f>
        <v>18</v>
      </c>
      <c r="AK308" s="50" t="n">
        <f aca="false">AJ308*G308</f>
        <v>8143.2</v>
      </c>
      <c r="AL308" s="50" t="n">
        <f aca="false">ROUNDUP(CK308+MAX(CL308,2*(J308/IF(CG308&gt;0,CG308,MAX(0.1,N(Cockpit!$C$6)))-CK308)),0)</f>
        <v>69</v>
      </c>
      <c r="AM308" s="51" t="n">
        <f aca="false">IF(AI308&gt;0,J308/AI308,-1)</f>
        <v>3.01276595744681</v>
      </c>
      <c r="AN308" s="51" t="n">
        <f aca="false">IF(AND(OR(CF308="L1",CF308="L23",CF308="LIFT"),AI308&gt;0),SUMIFS($AI$7:$AI$1843,$CF$7:$CF$1843,CF308,$AM$7:$AM$1843,"&gt;"&amp;AM308)+SUMIFS($AI$7:$AI$1843,$CF$7:$CF$1843,CF308,$AM$7:$AM$1843,AM308,$BW$7:$BW$1843,"&lt;="&amp;BW308),"")</f>
        <v>5120.92445054945</v>
      </c>
      <c r="AO308" s="58" t="n">
        <f aca="false">IF(AN308="",0,MAX(0,MIN(1,(IF(CF308="L1",Parameter!$H$5,IF(CF308="L23",Parameter!$H$6+Parameter!$H$7,Parameter!$H$5+Parameter!$H$6+Parameter!$H$7))-(AN308-AI308))/AI308)))</f>
        <v>1</v>
      </c>
      <c r="AP308" s="50" t="n">
        <f aca="false">IF(LEFT(Cockpit!$I$5,1)="A",H308,IF(Parameter!$E$30="MAX-Bestand",IF(CH308=1,CI308,IF(LEFT(Cockpit!$I$5,1)="B",AV308,MAX(AV308,H308))),ROUNDUP(AT308,0)))</f>
        <v>40</v>
      </c>
      <c r="AQ308" s="50" t="n">
        <f aca="false">IF(BZ308=1,0,ROUNDUP(AP308/BY308,0))</f>
        <v>2</v>
      </c>
      <c r="AR308" s="52" t="n">
        <f aca="false">IF(CQ308&gt;0,CQ308*MAX(1,AP308/X308),IF(BZ308=1,IF(AP308&lt;=0,0,CD308*MAX(1,IF(H308&gt;0,AP308/H308,1))),IF(R308&gt;0,AQ308/R308,0))/MAX(0.1,N(Parameter!$M$21)))</f>
        <v>0.333333333333333</v>
      </c>
      <c r="AS308" s="50" t="n">
        <f aca="false">AR308*CB308</f>
        <v>78.3333333333333</v>
      </c>
      <c r="AT308" s="51" t="n">
        <f aca="false">IF(LEFT(Cockpit!$I$5,1)="A",H308,IF(CH308=1,(CK308+CI308)/2,IF(LEFT(Cockpit!$I$5,1)="B",(CK308+AV308)/2,MAX((CK308+AV308)/2,H308))))</f>
        <v>39.5</v>
      </c>
      <c r="AU308" s="50" t="n">
        <f aca="false">AT308*G308</f>
        <v>17869.8</v>
      </c>
      <c r="AV308" s="50" t="n">
        <f aca="false">ROUNDUP(CK308+MAX(CL308,2*(J308/IF(CG308&gt;0,CG308,MAX(0.1,N(Cockpit!$I$6)))-CK308)),0)</f>
        <v>69</v>
      </c>
      <c r="AW308" s="51" t="n">
        <f aca="false">IF(AS308&gt;0,J308/AS308,-1)</f>
        <v>1.5063829787234</v>
      </c>
      <c r="AX308" s="51" t="n">
        <f aca="false">IF(AND(OR(CF308="L1",CF308="L23",CF308="LIFT"),AS308&gt;0),SUMIFS($AS$7:$AS$1843,$CF$7:$CF$1843,CF308,$AW$7:$AW$1843,"&gt;"&amp;AW308)+SUMIFS($AS$7:$AS$1843,$CF$7:$CF$1843,CF308,$AW$7:$AW$1843,AW308,$BW$7:$BW$1843,"&lt;="&amp;BW308),"")</f>
        <v>7740.07509157509</v>
      </c>
      <c r="AY308" s="58" t="n">
        <f aca="false">IF(AX308="",0,MAX(0,MIN(1,(IF(CF308="L1",Parameter!$H$5,IF(CF308="L23",Parameter!$H$6+Parameter!$H$7,Parameter!$H$5+Parameter!$H$6+Parameter!$H$7))-(AX308-AS308))/AS308)))</f>
        <v>1</v>
      </c>
      <c r="AZ308" s="50" t="n">
        <f aca="false">IF(LEFT(Cockpit!$O$5,1)="A",H308,IF(Parameter!$E$30="MAX-Bestand",IF(CH308=1,CI308,IF(LEFT(Cockpit!$O$5,1)="B",BF308,MAX(BF308,H308))),ROUNDUP(BD308,0)))</f>
        <v>30</v>
      </c>
      <c r="BA308" s="50" t="n">
        <f aca="false">IF(BZ308=1,0,ROUNDUP(AZ308/BY308,0))</f>
        <v>2</v>
      </c>
      <c r="BB308" s="52" t="n">
        <f aca="false">IF(CQ308&gt;0,CQ308*MAX(1,AZ308/X308),IF(BZ308=1,IF(AZ308&lt;=0,0,CD308*MAX(1,IF(H308&gt;0,AZ308/H308,1))),IF(R308&gt;0,BA308/R308,0))/MAX(0.1,N(Parameter!$M$21)))</f>
        <v>0.333333333333333</v>
      </c>
      <c r="BC308" s="50" t="n">
        <f aca="false">BB308*CB308</f>
        <v>78.3333333333333</v>
      </c>
      <c r="BD308" s="51" t="n">
        <f aca="false">IF(LEFT(Cockpit!$O$5,1)="A",H308,IF(CH308=1,(CK308+CI308)/2,IF(LEFT(Cockpit!$O$5,1)="B",(CK308+BF308)/2,MAX((CK308+BF308)/2,H308))))</f>
        <v>29.5</v>
      </c>
      <c r="BE308" s="50" t="n">
        <f aca="false">BD308*G308</f>
        <v>13345.8</v>
      </c>
      <c r="BF308" s="50" t="n">
        <f aca="false">ROUNDUP(CK308+MAX(CL308,2*(J308/IF(CG308&gt;0,CG308,MAX(0.1,N(Cockpit!$O$6)))-CK308)),0)</f>
        <v>49</v>
      </c>
      <c r="BG308" s="51" t="n">
        <f aca="false">IF(BC308&gt;0,J308/BC308,-1)</f>
        <v>1.5063829787234</v>
      </c>
      <c r="BH308" s="51" t="n">
        <f aca="false">IF(AND(OR(CF308="L1",CF308="L23",CF308="LIFT"),BC308&gt;0),SUMIFS($BC$7:$BC$1843,$CF$7:$CF$1843,CF308,$BG$7:$BG$1843,"&gt;"&amp;BG308)+SUMIFS($BC$7:$BC$1843,$CF$7:$CF$1843,CF308,$BG$7:$BG$1843,BG308,$BW$7:$BW$1843,"&lt;="&amp;BW308),"")</f>
        <v>6552.73946886447</v>
      </c>
      <c r="BI308" s="58" t="n">
        <f aca="false">IF(BH308="",0,MAX(0,MIN(1,(IF(CF308="L1",Parameter!$H$5,IF(CF308="L23",Parameter!$H$6+Parameter!$H$7,Parameter!$H$5+Parameter!$H$6+Parameter!$H$7))-(BH308-BC308))/BC308)))</f>
        <v>1</v>
      </c>
      <c r="BJ308" s="48" t="str">
        <f aca="false">IF(AI308&lt;=0,"",IF(CF308="Aussen","Aussenlager",IF(CF308="-","Nicht im Lift",IF(AO308&gt;=1,"Lift",IF(AO308&lt;=0,"Aussenlager","teilweise")))))</f>
        <v>Lift</v>
      </c>
      <c r="BK308" s="48" t="str">
        <f aca="false">IF(AS308&lt;=0,"",IF(CF308="Aussen","Aussenlager",IF(CF308="-","Nicht im Lift",IF(AY308&gt;=1,"Lift",IF(AY308&lt;=0,"Aussenlager","teilweise")))))</f>
        <v>Lift</v>
      </c>
      <c r="BL308" s="48" t="str">
        <f aca="false">IF(BC308&lt;=0,"",IF(CF308="Aussen","Aussenlager",IF(CF308="-","Nicht im Lift",IF(BI308&gt;=1,"Lift",IF(BI308&lt;=0,"Aussenlager","teilweise")))))</f>
        <v>Lift</v>
      </c>
      <c r="BM308" s="48" t="str">
        <f aca="false">IF(A308="","",IF(BV308=1,"Neu; ","")&amp;IF(AND(BV308=0,BQ308&lt;0),"negativer Bestand (Export "&amp;BQ308&amp;"); ","")&amp;IF(J308&lt;=0,"Kein Verbrauch; ","")&amp;IF(CQ308&gt;0,"Lift "&amp;W308&amp;" lt. Liftbericht (Fach "&amp;X308&amp;" Stk); ",IF(CA308=1,"Gebinde geschätzt ("&amp;T308&amp;"); ",IF(BZ308=1,"Lose – Tablare geschätzt; ","")))&amp;IF(H308&gt;AV308,"Überbestand "&amp;ROUND(H308-AV308,0)&amp;" Stk / CHF "&amp;ROUND((H308-AV308)*G308,0)&amp;"; ","")&amp;IF(AND(CH308=1,CI308&lt;CJ308),"MAX &lt; MB+LG; ","")&amp;IF(AND(CP308&gt;0,CO308*10&gt;CP308),"zu hoch für Tablar; ","")&amp;IF(AND(BV308=0,OR(CH308=1,AA308&lt;&gt;"",U308&lt;&gt;"",V308&lt;&gt;"",AB308&lt;&gt;"")),"manuell übersteuert; ","")&amp;IF(AND(BZ308=0,R308=0),"Gebinde unbekannt / Stellmass fehlt; ","")&amp;IF(AND(BZ308=0,N(V308)&lt;=0,N(Q308)&lt;=0),"Menge pro Gebinde fehlt (Ist = 1 Gebinde); ","")&amp;BU308)</f>
        <v/>
      </c>
      <c r="BN308" s="48"/>
      <c r="BO308" s="48"/>
      <c r="BP308" s="55"/>
      <c r="BQ308" s="50" t="n">
        <v>1</v>
      </c>
      <c r="BR308" s="50" t="n">
        <v>17</v>
      </c>
      <c r="BS308" s="49" t="n">
        <v>258.500000000026</v>
      </c>
      <c r="BT308" s="50" t="n">
        <v>118</v>
      </c>
      <c r="BU308" s="48"/>
      <c r="BV308" s="53" t="n">
        <v>0</v>
      </c>
      <c r="BW308" s="53" t="n">
        <v>308</v>
      </c>
      <c r="BX308" s="48" t="str">
        <f aca="false">IF(U308&lt;&gt;"",UPPER(TRIM(U308)),IF(CA308=1,UPPER(VLOOKUP(T308,Parameter!$I$27:$K$29,2,0)),IF(P308="","LOSE",P308)))</f>
        <v>S71</v>
      </c>
      <c r="BY308" s="50" t="n">
        <f aca="false">IF(BX308="LOSE",1,IF(N(V308)&gt;0,V308,IF(CA308=1,MAX(1,N(VLOOKUP(T308,Parameter!$I$27:$K$29,3,0)),H308,N(N308)),IF(N(Q308)&gt;0,Q308,MAX(1,H308)))))</f>
        <v>20</v>
      </c>
      <c r="BZ308" s="53" t="n">
        <f aca="false">IF(BX308="LOSE",1,0)</f>
        <v>0</v>
      </c>
      <c r="CA308" s="53" t="n">
        <f aca="false">IF(AND(U308="",OR(P308="",P308="LOSE"),T308&lt;&gt;"",N(S308)&lt;=0,ISNUMBER(MATCH(T308,Parameter!$I$27:$I$29,0))),1,0)</f>
        <v>0</v>
      </c>
      <c r="CB308" s="53" t="n">
        <f aca="false">IF(CQ308&gt;0,INDEX(Parameter!$H$5:$H$7,W308)/INDEX(Parameter!$E$5:$E$7,W308),IF(AND(BZ308=0,N(IFERROR(VLOOKUP(BX308,'Gebinde-Kategorie'!$A$5:$N$45,14,0),0))&gt;0),VLOOKUP(BX308,'Gebinde-Kategorie'!$A$5:$N$45,14,0)*10+Parameter!$M$23,Parameter!$M$24))</f>
        <v>235</v>
      </c>
      <c r="CC308" s="48" t="n">
        <f aca="false">IF(AND(Parameter!$B$19="Ja",E308&lt;&gt;"",ISNUMBER(MATCH(E308,Parameter!$I$35:$I$52,0))),VLOOKUP(E308,Parameter!$I$35:$J$52,2,0),IFERROR(VLOOKUP(D308,Parameter!$A$35:$C$64,2,0),"Nein"))</f>
        <v>1</v>
      </c>
      <c r="CD308" s="52" t="n">
        <f aca="false">IF(BZ308=0,0,IF(N(S308)&gt;0,S308,IFERROR(VLOOKUP(D308,Parameter!$A$35:$C$64,3,0)+0,0)))</f>
        <v>0</v>
      </c>
      <c r="CE308" s="48" t="n">
        <f aca="false">IF(AA308&lt;&gt;"",AA308,Z308)</f>
        <v>1</v>
      </c>
      <c r="CF308" s="48" t="str">
        <f aca="false">IF(OR(CE308=1,CE308=2,CE308=3),IF(Parameter!$E$27="Ja","LIFT",IF(CE308=1,"L1","L23")),IF(CE308="Aussen","Aussen","-"))</f>
        <v>LIFT</v>
      </c>
      <c r="CG308" s="59" t="n">
        <f aca="false">IF(N(AB308)&gt;0,AB308,0)</f>
        <v>0</v>
      </c>
      <c r="CH308" s="53" t="n">
        <f aca="false">IF(ISNUMBER(AE308),1,0)</f>
        <v>0</v>
      </c>
      <c r="CI308" s="50" t="n">
        <f aca="false">N(AE308)</f>
        <v>0</v>
      </c>
      <c r="CJ308" s="50" t="n">
        <f aca="false">N(M308)+N(N308)</f>
        <v>35</v>
      </c>
      <c r="CK308" s="50" t="n">
        <f aca="false">N(M308)</f>
        <v>10</v>
      </c>
      <c r="CL308" s="50" t="n">
        <f aca="false">N(N308)</f>
        <v>25</v>
      </c>
      <c r="CM308" s="50" t="n">
        <f aca="false">ROUNDUP(H308/BY308,0)</f>
        <v>1</v>
      </c>
      <c r="CN308" s="50" t="n">
        <f aca="false">ROUNDUP(CI308/BY308,0)</f>
        <v>0</v>
      </c>
      <c r="CO308" s="53" t="n">
        <f aca="false">IF(BZ308=1,0,IFERROR(VLOOKUP(BX308,'Gebinde-Kategorie'!$A$5:$N$45,5,0)+0,0))</f>
        <v>20</v>
      </c>
      <c r="CP308" s="53" t="n">
        <f aca="false">IFERROR(IF(OR(CE308=1,CE308=2,CE308=3),N(INDEX(Parameter!$I$5:$I$7,CE308)),0),0)</f>
        <v>0</v>
      </c>
      <c r="CQ308" s="52" t="n">
        <f aca="false">IF(AND(Parameter!$B$21="Ja",ISNUMBER(W308),N(X308)&gt;0),IFERROR(N(INDEX(Parameter!$L$5:$L$7,W308))*INDEX(Parameter!$E$5:$E$7,W308)*X308/SUMIFS($X$7:$X$1843,$W$7:$W$1843,W308),0),0)</f>
        <v>0</v>
      </c>
    </row>
    <row r="309" customFormat="false" ht="15" hidden="false" customHeight="false" outlineLevel="0" collapsed="false">
      <c r="A309" s="48" t="s">
        <v>794</v>
      </c>
      <c r="B309" s="48" t="s">
        <v>795</v>
      </c>
      <c r="C309" s="48" t="s">
        <v>173</v>
      </c>
      <c r="D309" s="48" t="s">
        <v>182</v>
      </c>
      <c r="E309" s="48"/>
      <c r="F309" s="48" t="s">
        <v>227</v>
      </c>
      <c r="G309" s="49" t="n">
        <v>258.1</v>
      </c>
      <c r="H309" s="50" t="n">
        <f aca="false">MAX(0,IF(AND(Parameter!$B$21="Ja",ISNUMBER(Y309)),Y309,IF(Parameter!$B$20="Jahresanfang 2025 + Export",BR309+BQ309,BQ309)))</f>
        <v>8</v>
      </c>
      <c r="I309" s="50" t="n">
        <f aca="false">H309*G309</f>
        <v>2064.8</v>
      </c>
      <c r="J309" s="50" t="n">
        <f aca="false">BT309*Parameter!$B$18</f>
        <v>0</v>
      </c>
      <c r="K309" s="51" t="n">
        <v>7.5</v>
      </c>
      <c r="L309" s="52" t="n">
        <v>0</v>
      </c>
      <c r="M309" s="50" t="n">
        <v>0</v>
      </c>
      <c r="N309" s="50" t="n">
        <v>1</v>
      </c>
      <c r="O309" s="53" t="n">
        <v>28</v>
      </c>
      <c r="P309" s="48" t="s">
        <v>177</v>
      </c>
      <c r="Q309" s="50"/>
      <c r="R309" s="53" t="n">
        <f aca="false">IF(BZ309=1,0,IFERROR(VLOOKUP(BX309,'Gebinde-Kategorie'!$A$5:$N$45,13,0)+0,0))</f>
        <v>12</v>
      </c>
      <c r="S309" s="54"/>
      <c r="T309" s="55" t="s">
        <v>188</v>
      </c>
      <c r="U309" s="55"/>
      <c r="V309" s="55"/>
      <c r="W309" s="48"/>
      <c r="X309" s="50"/>
      <c r="Y309" s="50"/>
      <c r="Z309" s="48" t="n">
        <f aca="false">IF(A309="","",IF(AND(Parameter!$B$21="Ja",ISNUMBER(W309)),W309,IF(CC309="2+3",IF(ISNUMBER(SEARCH("grosser Artikel",BU309)),2,IFERROR(VLOOKUP(BX309,Parameter!$F$35:$G$64,2,0),2)),IF(OR(CC309="Nein",CC309=""),"-",CC309))))</f>
        <v>2</v>
      </c>
      <c r="AA309" s="55"/>
      <c r="AB309" s="56"/>
      <c r="AC309" s="50" t="n">
        <f aca="false">AV309</f>
        <v>1</v>
      </c>
      <c r="AD309" s="50" t="n">
        <f aca="false">MAX(AV309,H309)</f>
        <v>8</v>
      </c>
      <c r="AE309" s="57"/>
      <c r="AF309" s="50" t="n">
        <f aca="false">IF(LEFT(Cockpit!$C$5,1)="A",H309,IF(Parameter!$E$30="MAX-Bestand",IF(CH309=1,CI309,IF(LEFT(Cockpit!$C$5,1)="B",AL309,MAX(AL309,H309))),ROUNDUP(AJ309,0)))</f>
        <v>8</v>
      </c>
      <c r="AG309" s="50" t="n">
        <f aca="false">IF(BZ309=1,0,ROUNDUP(AF309/BY309,0))</f>
        <v>1</v>
      </c>
      <c r="AH309" s="52" t="n">
        <f aca="false">IF(CQ309&gt;0,CQ309*MAX(1,AF309/X309),IF(BZ309=1,IF(AF309&lt;=0,0,CD309*MAX(1,IF(H309&gt;0,AF309/H309,1))),IF(R309&gt;0,AG309/R309,0))/MAX(0.1,N(Parameter!$M$21)))</f>
        <v>0.0833333333333333</v>
      </c>
      <c r="AI309" s="50" t="n">
        <f aca="false">AH309*CB309</f>
        <v>12.0833333333333</v>
      </c>
      <c r="AJ309" s="51" t="n">
        <f aca="false">IF(LEFT(Cockpit!$C$5,1)="A",H309,IF(CH309=1,(CK309+CI309)/2,IF(LEFT(Cockpit!$C$5,1)="B",(CK309+AL309)/2,MAX((CK309+AL309)/2,H309))))</f>
        <v>8</v>
      </c>
      <c r="AK309" s="50" t="n">
        <f aca="false">AJ309*G309</f>
        <v>2064.8</v>
      </c>
      <c r="AL309" s="50" t="n">
        <f aca="false">ROUNDUP(CK309+MAX(CL309,2*(J309/IF(CG309&gt;0,CG309,MAX(0.1,N(Cockpit!$C$6)))-CK309)),0)</f>
        <v>1</v>
      </c>
      <c r="AM309" s="51" t="n">
        <f aca="false">IF(AI309&gt;0,J309/AI309,-1)</f>
        <v>0</v>
      </c>
      <c r="AN309" s="51" t="n">
        <f aca="false">IF(AND(OR(CF309="L1",CF309="L23",CF309="LIFT"),AI309&gt;0),SUMIFS($AI$7:$AI$1843,$CF$7:$CF$1843,CF309,$AM$7:$AM$1843,"&gt;"&amp;AM309)+SUMIFS($AI$7:$AI$1843,$CF$7:$CF$1843,CF309,$AM$7:$AM$1843,AM309,$BW$7:$BW$1843,"&lt;="&amp;BW309),"")</f>
        <v>27888.7780985493</v>
      </c>
      <c r="AO309" s="58" t="n">
        <f aca="false">IF(AN309="",0,MAX(0,MIN(1,(IF(CF309="L1",Parameter!$H$5,IF(CF309="L23",Parameter!$H$6+Parameter!$H$7,Parameter!$H$5+Parameter!$H$6+Parameter!$H$7))-(AN309-AI309))/AI309)))</f>
        <v>1</v>
      </c>
      <c r="AP309" s="50" t="n">
        <f aca="false">IF(LEFT(Cockpit!$I$5,1)="A",H309,IF(Parameter!$E$30="MAX-Bestand",IF(CH309=1,CI309,IF(LEFT(Cockpit!$I$5,1)="B",AV309,MAX(AV309,H309))),ROUNDUP(AT309,0)))</f>
        <v>8</v>
      </c>
      <c r="AQ309" s="50" t="n">
        <f aca="false">IF(BZ309=1,0,ROUNDUP(AP309/BY309,0))</f>
        <v>1</v>
      </c>
      <c r="AR309" s="52" t="n">
        <f aca="false">IF(CQ309&gt;0,CQ309*MAX(1,AP309/X309),IF(BZ309=1,IF(AP309&lt;=0,0,CD309*MAX(1,IF(H309&gt;0,AP309/H309,1))),IF(R309&gt;0,AQ309/R309,0))/MAX(0.1,N(Parameter!$M$21)))</f>
        <v>0.0833333333333333</v>
      </c>
      <c r="AS309" s="50" t="n">
        <f aca="false">AR309*CB309</f>
        <v>12.0833333333333</v>
      </c>
      <c r="AT309" s="51" t="n">
        <f aca="false">IF(LEFT(Cockpit!$I$5,1)="A",H309,IF(CH309=1,(CK309+CI309)/2,IF(LEFT(Cockpit!$I$5,1)="B",(CK309+AV309)/2,MAX((CK309+AV309)/2,H309))))</f>
        <v>8</v>
      </c>
      <c r="AU309" s="50" t="n">
        <f aca="false">AT309*G309</f>
        <v>2064.8</v>
      </c>
      <c r="AV309" s="50" t="n">
        <f aca="false">ROUNDUP(CK309+MAX(CL309,2*(J309/IF(CG309&gt;0,CG309,MAX(0.1,N(Cockpit!$I$6)))-CK309)),0)</f>
        <v>1</v>
      </c>
      <c r="AW309" s="51" t="n">
        <f aca="false">IF(AS309&gt;0,J309/AS309,-1)</f>
        <v>0</v>
      </c>
      <c r="AX309" s="51" t="n">
        <f aca="false">IF(AND(OR(CF309="L1",CF309="L23",CF309="LIFT"),AS309&gt;0),SUMIFS($AS$7:$AS$1843,$CF$7:$CF$1843,CF309,$AW$7:$AW$1843,"&gt;"&amp;AW309)+SUMIFS($AS$7:$AS$1843,$CF$7:$CF$1843,CF309,$AW$7:$AW$1843,AW309,$BW$7:$BW$1843,"&lt;="&amp;BW309),"")</f>
        <v>33241.9267399267</v>
      </c>
      <c r="AY309" s="58" t="n">
        <f aca="false">IF(AX309="",0,MAX(0,MIN(1,(IF(CF309="L1",Parameter!$H$5,IF(CF309="L23",Parameter!$H$6+Parameter!$H$7,Parameter!$H$5+Parameter!$H$6+Parameter!$H$7))-(AX309-AS309))/AS309)))</f>
        <v>1</v>
      </c>
      <c r="AZ309" s="50" t="n">
        <f aca="false">IF(LEFT(Cockpit!$O$5,1)="A",H309,IF(Parameter!$E$30="MAX-Bestand",IF(CH309=1,CI309,IF(LEFT(Cockpit!$O$5,1)="B",BF309,MAX(BF309,H309))),ROUNDUP(BD309,0)))</f>
        <v>1</v>
      </c>
      <c r="BA309" s="50" t="n">
        <f aca="false">IF(BZ309=1,0,ROUNDUP(AZ309/BY309,0))</f>
        <v>1</v>
      </c>
      <c r="BB309" s="52" t="n">
        <f aca="false">IF(CQ309&gt;0,CQ309*MAX(1,AZ309/X309),IF(BZ309=1,IF(AZ309&lt;=0,0,CD309*MAX(1,IF(H309&gt;0,AZ309/H309,1))),IF(R309&gt;0,BA309/R309,0))/MAX(0.1,N(Parameter!$M$21)))</f>
        <v>0.0833333333333333</v>
      </c>
      <c r="BC309" s="50" t="n">
        <f aca="false">BB309*CB309</f>
        <v>12.0833333333333</v>
      </c>
      <c r="BD309" s="51" t="n">
        <f aca="false">IF(LEFT(Cockpit!$O$5,1)="A",H309,IF(CH309=1,(CK309+CI309)/2,IF(LEFT(Cockpit!$O$5,1)="B",(CK309+BF309)/2,MAX((CK309+BF309)/2,H309))))</f>
        <v>0.5</v>
      </c>
      <c r="BE309" s="50" t="n">
        <f aca="false">BD309*G309</f>
        <v>129.05</v>
      </c>
      <c r="BF309" s="50" t="n">
        <f aca="false">ROUNDUP(CK309+MAX(CL309,2*(J309/IF(CG309&gt;0,CG309,MAX(0.1,N(Cockpit!$O$6)))-CK309)),0)</f>
        <v>1</v>
      </c>
      <c r="BG309" s="51" t="n">
        <f aca="false">IF(BC309&gt;0,J309/BC309,-1)</f>
        <v>0</v>
      </c>
      <c r="BH309" s="51" t="n">
        <f aca="false">IF(AND(OR(CF309="L1",CF309="L23",CF309="LIFT"),BC309&gt;0),SUMIFS($BC$7:$BC$1843,$CF$7:$CF$1843,CF309,$BG$7:$BG$1843,"&gt;"&amp;BG309)+SUMIFS($BC$7:$BC$1843,$CF$7:$CF$1843,CF309,$BG$7:$BG$1843,BG309,$BW$7:$BW$1843,"&lt;="&amp;BW309),"")</f>
        <v>27367.3867883529</v>
      </c>
      <c r="BI309" s="58" t="n">
        <f aca="false">IF(BH309="",0,MAX(0,MIN(1,(IF(CF309="L1",Parameter!$H$5,IF(CF309="L23",Parameter!$H$6+Parameter!$H$7,Parameter!$H$5+Parameter!$H$6+Parameter!$H$7))-(BH309-BC309))/BC309)))</f>
        <v>1</v>
      </c>
      <c r="BJ309" s="48" t="str">
        <f aca="false">IF(AI309&lt;=0,"",IF(CF309="Aussen","Aussenlager",IF(CF309="-","Nicht im Lift",IF(AO309&gt;=1,"Lift",IF(AO309&lt;=0,"Aussenlager","teilweise")))))</f>
        <v>Lift</v>
      </c>
      <c r="BK309" s="48" t="str">
        <f aca="false">IF(AS309&lt;=0,"",IF(CF309="Aussen","Aussenlager",IF(CF309="-","Nicht im Lift",IF(AY309&gt;=1,"Lift",IF(AY309&lt;=0,"Aussenlager","teilweise")))))</f>
        <v>Lift</v>
      </c>
      <c r="BL309" s="48" t="str">
        <f aca="false">IF(BC309&lt;=0,"",IF(CF309="Aussen","Aussenlager",IF(CF309="-","Nicht im Lift",IF(BI309&gt;=1,"Lift",IF(BI309&lt;=0,"Aussenlager","teilweise")))))</f>
        <v>Lift</v>
      </c>
      <c r="BM309" s="48" t="str">
        <f aca="false">IF(A309="","",IF(BV309=1,"Neu; ","")&amp;IF(AND(BV309=0,BQ309&lt;0),"negativer Bestand (Export "&amp;BQ309&amp;"); ","")&amp;IF(J309&lt;=0,"Kein Verbrauch; ","")&amp;IF(CQ309&gt;0,"Lift "&amp;W309&amp;" lt. Liftbericht (Fach "&amp;X309&amp;" Stk); ",IF(CA309=1,"Gebinde geschätzt ("&amp;T309&amp;"); ",IF(BZ309=1,"Lose – Tablare geschätzt; ","")))&amp;IF(H309&gt;AV309,"Überbestand "&amp;ROUND(H309-AV309,0)&amp;" Stk / CHF "&amp;ROUND((H309-AV309)*G309,0)&amp;"; ","")&amp;IF(AND(CH309=1,CI309&lt;CJ309),"MAX &lt; MB+LG; ","")&amp;IF(AND(CP309&gt;0,CO309*10&gt;CP309),"zu hoch für Tablar; ","")&amp;IF(AND(BV309=0,OR(CH309=1,AA309&lt;&gt;"",U309&lt;&gt;"",V309&lt;&gt;"",AB309&lt;&gt;"")),"manuell übersteuert; ","")&amp;IF(AND(BZ309=0,R309=0),"Gebinde unbekannt / Stellmass fehlt; ","")&amp;IF(AND(BZ309=0,N(V309)&lt;=0,N(Q309)&lt;=0),"Menge pro Gebinde fehlt (Ist = 1 Gebinde); ","")&amp;BU309)</f>
        <v>Kein Verbrauch; Gebinde geschätzt (Mittel); Überbestand 7 Stk / CHF 1807; Menge pro Gebinde fehlt (Ist = 1 Gebinde); </v>
      </c>
      <c r="BN309" s="48"/>
      <c r="BO309" s="48"/>
      <c r="BP309" s="55"/>
      <c r="BQ309" s="50" t="n">
        <v>1</v>
      </c>
      <c r="BR309" s="50" t="n">
        <v>7</v>
      </c>
      <c r="BS309" s="49" t="n">
        <v>258.1</v>
      </c>
      <c r="BT309" s="50" t="n">
        <v>0</v>
      </c>
      <c r="BU309" s="48"/>
      <c r="BV309" s="53" t="n">
        <v>0</v>
      </c>
      <c r="BW309" s="53" t="n">
        <v>309</v>
      </c>
      <c r="BX309" s="48" t="str">
        <f aca="false">IF(U309&lt;&gt;"",UPPER(TRIM(U309)),IF(CA309=1,UPPER(VLOOKUP(T309,Parameter!$I$27:$K$29,2,0)),IF(P309="","LOSE",P309)))</f>
        <v>S61</v>
      </c>
      <c r="BY309" s="50" t="n">
        <f aca="false">IF(BX309="LOSE",1,IF(N(V309)&gt;0,V309,IF(CA309=1,MAX(1,N(VLOOKUP(T309,Parameter!$I$27:$K$29,3,0)),H309,N(N309)),IF(N(Q309)&gt;0,Q309,MAX(1,H309)))))</f>
        <v>8</v>
      </c>
      <c r="BZ309" s="53" t="n">
        <f aca="false">IF(BX309="LOSE",1,0)</f>
        <v>0</v>
      </c>
      <c r="CA309" s="53" t="n">
        <f aca="false">IF(AND(U309="",OR(P309="",P309="LOSE"),T309&lt;&gt;"",N(S309)&lt;=0,ISNUMBER(MATCH(T309,Parameter!$I$27:$I$29,0))),1,0)</f>
        <v>1</v>
      </c>
      <c r="CB309" s="53" t="n">
        <f aca="false">IF(CQ309&gt;0,INDEX(Parameter!$H$5:$H$7,W309)/INDEX(Parameter!$E$5:$E$7,W309),IF(AND(BZ309=0,N(IFERROR(VLOOKUP(BX309,'Gebinde-Kategorie'!$A$5:$N$45,14,0),0))&gt;0),VLOOKUP(BX309,'Gebinde-Kategorie'!$A$5:$N$45,14,0)*10+Parameter!$M$23,Parameter!$M$24))</f>
        <v>145</v>
      </c>
      <c r="CC309" s="48" t="str">
        <f aca="false">IF(AND(Parameter!$B$19="Ja",E309&lt;&gt;"",ISNUMBER(MATCH(E309,Parameter!$I$35:$I$52,0))),VLOOKUP(E309,Parameter!$I$35:$J$52,2,0),IFERROR(VLOOKUP(D309,Parameter!$A$35:$C$64,2,0),"Nein"))</f>
        <v>2+3</v>
      </c>
      <c r="CD309" s="52" t="n">
        <f aca="false">IF(BZ309=0,0,IF(N(S309)&gt;0,S309,IFERROR(VLOOKUP(D309,Parameter!$A$35:$C$64,3,0)+0,0)))</f>
        <v>0</v>
      </c>
      <c r="CE309" s="48" t="n">
        <f aca="false">IF(AA309&lt;&gt;"",AA309,Z309)</f>
        <v>2</v>
      </c>
      <c r="CF309" s="48" t="str">
        <f aca="false">IF(OR(CE309=1,CE309=2,CE309=3),IF(Parameter!$E$27="Ja","LIFT",IF(CE309=1,"L1","L23")),IF(CE309="Aussen","Aussen","-"))</f>
        <v>LIFT</v>
      </c>
      <c r="CG309" s="59" t="n">
        <f aca="false">IF(N(AB309)&gt;0,AB309,0)</f>
        <v>0</v>
      </c>
      <c r="CH309" s="53" t="n">
        <f aca="false">IF(ISNUMBER(AE309),1,0)</f>
        <v>0</v>
      </c>
      <c r="CI309" s="50" t="n">
        <f aca="false">N(AE309)</f>
        <v>0</v>
      </c>
      <c r="CJ309" s="50" t="n">
        <f aca="false">N(M309)+N(N309)</f>
        <v>1</v>
      </c>
      <c r="CK309" s="50" t="n">
        <f aca="false">N(M309)</f>
        <v>0</v>
      </c>
      <c r="CL309" s="50" t="n">
        <f aca="false">N(N309)</f>
        <v>1</v>
      </c>
      <c r="CM309" s="50" t="n">
        <f aca="false">ROUNDUP(H309/BY309,0)</f>
        <v>1</v>
      </c>
      <c r="CN309" s="50" t="n">
        <f aca="false">ROUNDUP(CI309/BY309,0)</f>
        <v>0</v>
      </c>
      <c r="CO309" s="53" t="n">
        <f aca="false">IF(BZ309=1,0,IFERROR(VLOOKUP(BX309,'Gebinde-Kategorie'!$A$5:$N$45,5,0)+0,0))</f>
        <v>11</v>
      </c>
      <c r="CP309" s="53" t="n">
        <f aca="false">IFERROR(IF(OR(CE309=1,CE309=2,CE309=3),N(INDEX(Parameter!$I$5:$I$7,CE309)),0),0)</f>
        <v>0</v>
      </c>
      <c r="CQ309" s="52" t="n">
        <f aca="false">IF(AND(Parameter!$B$21="Ja",ISNUMBER(W309),N(X309)&gt;0),IFERROR(N(INDEX(Parameter!$L$5:$L$7,W309))*INDEX(Parameter!$E$5:$E$7,W309)*X309/SUMIFS($X$7:$X$1843,$W$7:$W$1843,W309),0),0)</f>
        <v>0</v>
      </c>
    </row>
    <row r="310" customFormat="false" ht="15" hidden="false" customHeight="false" outlineLevel="0" collapsed="false">
      <c r="A310" s="48" t="s">
        <v>796</v>
      </c>
      <c r="B310" s="48" t="s">
        <v>797</v>
      </c>
      <c r="C310" s="48" t="s">
        <v>173</v>
      </c>
      <c r="D310" s="48" t="s">
        <v>182</v>
      </c>
      <c r="E310" s="48"/>
      <c r="F310" s="48" t="s">
        <v>227</v>
      </c>
      <c r="G310" s="49" t="n">
        <v>32.17</v>
      </c>
      <c r="H310" s="50" t="n">
        <f aca="false">MAX(0,IF(AND(Parameter!$B$21="Ja",ISNUMBER(Y310)),Y310,IF(Parameter!$B$20="Jahresanfang 2025 + Export",BR310+BQ310,BQ310)))</f>
        <v>19</v>
      </c>
      <c r="I310" s="50" t="n">
        <f aca="false">H310*G310</f>
        <v>611.23</v>
      </c>
      <c r="J310" s="50" t="n">
        <f aca="false">BT310*Parameter!$B$18</f>
        <v>22</v>
      </c>
      <c r="K310" s="51" t="n">
        <v>4.5</v>
      </c>
      <c r="L310" s="52" t="n">
        <v>4.88888888888889</v>
      </c>
      <c r="M310" s="50" t="n">
        <v>5</v>
      </c>
      <c r="N310" s="50" t="n">
        <v>30</v>
      </c>
      <c r="O310" s="53" t="n">
        <v>90</v>
      </c>
      <c r="P310" s="48" t="s">
        <v>195</v>
      </c>
      <c r="Q310" s="50" t="n">
        <v>15</v>
      </c>
      <c r="R310" s="53" t="n">
        <f aca="false">IF(BZ310=1,0,IFERROR(VLOOKUP(BX310,'Gebinde-Kategorie'!$A$5:$N$45,13,0)+0,0))</f>
        <v>12</v>
      </c>
      <c r="S310" s="54"/>
      <c r="T310" s="55"/>
      <c r="U310" s="55"/>
      <c r="V310" s="55"/>
      <c r="W310" s="48"/>
      <c r="X310" s="50"/>
      <c r="Y310" s="50"/>
      <c r="Z310" s="48" t="n">
        <f aca="false">IF(A310="","",IF(AND(Parameter!$B$21="Ja",ISNUMBER(W310)),W310,IF(CC310="2+3",IF(ISNUMBER(SEARCH("grosser Artikel",BU310)),2,IFERROR(VLOOKUP(BX310,Parameter!$F$35:$G$64,2,0),2)),IF(OR(CC310="Nein",CC310=""),"-",CC310))))</f>
        <v>2</v>
      </c>
      <c r="AA310" s="55"/>
      <c r="AB310" s="56"/>
      <c r="AC310" s="50" t="n">
        <f aca="false">AV310</f>
        <v>35</v>
      </c>
      <c r="AD310" s="50" t="n">
        <f aca="false">MAX(AV310,H310)</f>
        <v>35</v>
      </c>
      <c r="AE310" s="57"/>
      <c r="AF310" s="50" t="n">
        <f aca="false">IF(LEFT(Cockpit!$C$5,1)="A",H310,IF(Parameter!$E$30="MAX-Bestand",IF(CH310=1,CI310,IF(LEFT(Cockpit!$C$5,1)="B",AL310,MAX(AL310,H310))),ROUNDUP(AJ310,0)))</f>
        <v>19</v>
      </c>
      <c r="AG310" s="50" t="n">
        <f aca="false">IF(BZ310=1,0,ROUNDUP(AF310/BY310,0))</f>
        <v>2</v>
      </c>
      <c r="AH310" s="52" t="n">
        <f aca="false">IF(CQ310&gt;0,CQ310*MAX(1,AF310/X310),IF(BZ310=1,IF(AF310&lt;=0,0,CD310*MAX(1,IF(H310&gt;0,AF310/H310,1))),IF(R310&gt;0,AG310/R310,0))/MAX(0.1,N(Parameter!$M$21)))</f>
        <v>0.166666666666667</v>
      </c>
      <c r="AI310" s="50" t="n">
        <f aca="false">AH310*CB310</f>
        <v>24.1666666666667</v>
      </c>
      <c r="AJ310" s="51" t="n">
        <f aca="false">IF(LEFT(Cockpit!$C$5,1)="A",H310,IF(CH310=1,(CK310+CI310)/2,IF(LEFT(Cockpit!$C$5,1)="B",(CK310+AL310)/2,MAX((CK310+AL310)/2,H310))))</f>
        <v>19</v>
      </c>
      <c r="AK310" s="50" t="n">
        <f aca="false">AJ310*G310</f>
        <v>611.23</v>
      </c>
      <c r="AL310" s="50" t="n">
        <f aca="false">ROUNDUP(CK310+MAX(CL310,2*(J310/IF(CG310&gt;0,CG310,MAX(0.1,N(Cockpit!$C$6)))-CK310)),0)</f>
        <v>35</v>
      </c>
      <c r="AM310" s="51" t="n">
        <f aca="false">IF(AI310&gt;0,J310/AI310,-1)</f>
        <v>0.910344827586207</v>
      </c>
      <c r="AN310" s="51" t="n">
        <f aca="false">IF(AND(OR(CF310="L1",CF310="L23",CF310="LIFT"),AI310&gt;0),SUMIFS($AI$7:$AI$1843,$CF$7:$CF$1843,CF310,$AM$7:$AM$1843,"&gt;"&amp;AM310)+SUMIFS($AI$7:$AI$1843,$CF$7:$CF$1843,CF310,$AM$7:$AM$1843,AM310,$BW$7:$BW$1843,"&lt;="&amp;BW310),"")</f>
        <v>7455.12225274725</v>
      </c>
      <c r="AO310" s="58" t="n">
        <f aca="false">IF(AN310="",0,MAX(0,MIN(1,(IF(CF310="L1",Parameter!$H$5,IF(CF310="L23",Parameter!$H$6+Parameter!$H$7,Parameter!$H$5+Parameter!$H$6+Parameter!$H$7))-(AN310-AI310))/AI310)))</f>
        <v>1</v>
      </c>
      <c r="AP310" s="50" t="n">
        <f aca="false">IF(LEFT(Cockpit!$I$5,1)="A",H310,IF(Parameter!$E$30="MAX-Bestand",IF(CH310=1,CI310,IF(LEFT(Cockpit!$I$5,1)="B",AV310,MAX(AV310,H310))),ROUNDUP(AT310,0)))</f>
        <v>20</v>
      </c>
      <c r="AQ310" s="50" t="n">
        <f aca="false">IF(BZ310=1,0,ROUNDUP(AP310/BY310,0))</f>
        <v>2</v>
      </c>
      <c r="AR310" s="52" t="n">
        <f aca="false">IF(CQ310&gt;0,CQ310*MAX(1,AP310/X310),IF(BZ310=1,IF(AP310&lt;=0,0,CD310*MAX(1,IF(H310&gt;0,AP310/H310,1))),IF(R310&gt;0,AQ310/R310,0))/MAX(0.1,N(Parameter!$M$21)))</f>
        <v>0.166666666666667</v>
      </c>
      <c r="AS310" s="50" t="n">
        <f aca="false">AR310*CB310</f>
        <v>24.1666666666667</v>
      </c>
      <c r="AT310" s="51" t="n">
        <f aca="false">IF(LEFT(Cockpit!$I$5,1)="A",H310,IF(CH310=1,(CK310+CI310)/2,IF(LEFT(Cockpit!$I$5,1)="B",(CK310+AV310)/2,MAX((CK310+AV310)/2,H310))))</f>
        <v>20</v>
      </c>
      <c r="AU310" s="50" t="n">
        <f aca="false">AT310*G310</f>
        <v>643.4</v>
      </c>
      <c r="AV310" s="50" t="n">
        <f aca="false">ROUNDUP(CK310+MAX(CL310,2*(J310/IF(CG310&gt;0,CG310,MAX(0.1,N(Cockpit!$I$6)))-CK310)),0)</f>
        <v>35</v>
      </c>
      <c r="AW310" s="51" t="n">
        <f aca="false">IF(AS310&gt;0,J310/AS310,-1)</f>
        <v>0.910344827586207</v>
      </c>
      <c r="AX310" s="51" t="n">
        <f aca="false">IF(AND(OR(CF310="L1",CF310="L23",CF310="LIFT"),AS310&gt;0),SUMIFS($AS$7:$AS$1843,$CF$7:$CF$1843,CF310,$AW$7:$AW$1843,"&gt;"&amp;AW310)+SUMIFS($AS$7:$AS$1843,$CF$7:$CF$1843,CF310,$AW$7:$AW$1843,AW310,$BW$7:$BW$1843,"&lt;="&amp;BW310),"")</f>
        <v>9029.56227106227</v>
      </c>
      <c r="AY310" s="58" t="n">
        <f aca="false">IF(AX310="",0,MAX(0,MIN(1,(IF(CF310="L1",Parameter!$H$5,IF(CF310="L23",Parameter!$H$6+Parameter!$H$7,Parameter!$H$5+Parameter!$H$6+Parameter!$H$7))-(AX310-AS310))/AS310)))</f>
        <v>1</v>
      </c>
      <c r="AZ310" s="50" t="n">
        <f aca="false">IF(LEFT(Cockpit!$O$5,1)="A",H310,IF(Parameter!$E$30="MAX-Bestand",IF(CH310=1,CI310,IF(LEFT(Cockpit!$O$5,1)="B",BF310,MAX(BF310,H310))),ROUNDUP(BD310,0)))</f>
        <v>20</v>
      </c>
      <c r="BA310" s="50" t="n">
        <f aca="false">IF(BZ310=1,0,ROUNDUP(AZ310/BY310,0))</f>
        <v>2</v>
      </c>
      <c r="BB310" s="52" t="n">
        <f aca="false">IF(CQ310&gt;0,CQ310*MAX(1,AZ310/X310),IF(BZ310=1,IF(AZ310&lt;=0,0,CD310*MAX(1,IF(H310&gt;0,AZ310/H310,1))),IF(R310&gt;0,BA310/R310,0))/MAX(0.1,N(Parameter!$M$21)))</f>
        <v>0.166666666666667</v>
      </c>
      <c r="BC310" s="50" t="n">
        <f aca="false">BB310*CB310</f>
        <v>24.1666666666667</v>
      </c>
      <c r="BD310" s="51" t="n">
        <f aca="false">IF(LEFT(Cockpit!$O$5,1)="A",H310,IF(CH310=1,(CK310+CI310)/2,IF(LEFT(Cockpit!$O$5,1)="B",(CK310+BF310)/2,MAX((CK310+BF310)/2,H310))))</f>
        <v>20</v>
      </c>
      <c r="BE310" s="50" t="n">
        <f aca="false">BD310*G310</f>
        <v>643.4</v>
      </c>
      <c r="BF310" s="50" t="n">
        <f aca="false">ROUNDUP(CK310+MAX(CL310,2*(J310/IF(CG310&gt;0,CG310,MAX(0.1,N(Cockpit!$O$6)))-CK310)),0)</f>
        <v>35</v>
      </c>
      <c r="BG310" s="51" t="n">
        <f aca="false">IF(BC310&gt;0,J310/BC310,-1)</f>
        <v>0.910344827586207</v>
      </c>
      <c r="BH310" s="51" t="n">
        <f aca="false">IF(AND(OR(CF310="L1",CF310="L23",CF310="LIFT"),BC310&gt;0),SUMIFS($BC$7:$BC$1843,$CF$7:$CF$1843,CF310,$BG$7:$BG$1843,"&gt;"&amp;BG310)+SUMIFS($BC$7:$BC$1843,$CF$7:$CF$1843,CF310,$BG$7:$BG$1843,BG310,$BW$7:$BW$1843,"&lt;="&amp;BW310),"")</f>
        <v>8227.99587912088</v>
      </c>
      <c r="BI310" s="58" t="n">
        <f aca="false">IF(BH310="",0,MAX(0,MIN(1,(IF(CF310="L1",Parameter!$H$5,IF(CF310="L23",Parameter!$H$6+Parameter!$H$7,Parameter!$H$5+Parameter!$H$6+Parameter!$H$7))-(BH310-BC310))/BC310)))</f>
        <v>1</v>
      </c>
      <c r="BJ310" s="48" t="str">
        <f aca="false">IF(AI310&lt;=0,"",IF(CF310="Aussen","Aussenlager",IF(CF310="-","Nicht im Lift",IF(AO310&gt;=1,"Lift",IF(AO310&lt;=0,"Aussenlager","teilweise")))))</f>
        <v>Lift</v>
      </c>
      <c r="BK310" s="48" t="str">
        <f aca="false">IF(AS310&lt;=0,"",IF(CF310="Aussen","Aussenlager",IF(CF310="-","Nicht im Lift",IF(AY310&gt;=1,"Lift",IF(AY310&lt;=0,"Aussenlager","teilweise")))))</f>
        <v>Lift</v>
      </c>
      <c r="BL310" s="48" t="str">
        <f aca="false">IF(BC310&lt;=0,"",IF(CF310="Aussen","Aussenlager",IF(CF310="-","Nicht im Lift",IF(BI310&gt;=1,"Lift",IF(BI310&lt;=0,"Aussenlager","teilweise")))))</f>
        <v>Lift</v>
      </c>
      <c r="BM310" s="48" t="str">
        <f aca="false">IF(A310="","",IF(BV310=1,"Neu; ","")&amp;IF(AND(BV310=0,BQ310&lt;0),"negativer Bestand (Export "&amp;BQ310&amp;"); ","")&amp;IF(J310&lt;=0,"Kein Verbrauch; ","")&amp;IF(CQ310&gt;0,"Lift "&amp;W310&amp;" lt. Liftbericht (Fach "&amp;X310&amp;" Stk); ",IF(CA310=1,"Gebinde geschätzt ("&amp;T310&amp;"); ",IF(BZ310=1,"Lose – Tablare geschätzt; ","")))&amp;IF(H310&gt;AV310,"Überbestand "&amp;ROUND(H310-AV310,0)&amp;" Stk / CHF "&amp;ROUND((H310-AV310)*G310,0)&amp;"; ","")&amp;IF(AND(CH310=1,CI310&lt;CJ310),"MAX &lt; MB+LG; ","")&amp;IF(AND(CP310&gt;0,CO310*10&gt;CP310),"zu hoch für Tablar; ","")&amp;IF(AND(BV310=0,OR(CH310=1,AA310&lt;&gt;"",U310&lt;&gt;"",V310&lt;&gt;"",AB310&lt;&gt;"")),"manuell übersteuert; ","")&amp;IF(AND(BZ310=0,R310=0),"Gebinde unbekannt / Stellmass fehlt; ","")&amp;IF(AND(BZ310=0,N(V310)&lt;=0,N(Q310)&lt;=0),"Menge pro Gebinde fehlt (Ist = 1 Gebinde); ","")&amp;BU310)</f>
        <v/>
      </c>
      <c r="BN310" s="48"/>
      <c r="BO310" s="48"/>
      <c r="BP310" s="55"/>
      <c r="BQ310" s="50" t="n">
        <v>13</v>
      </c>
      <c r="BR310" s="50" t="n">
        <v>6</v>
      </c>
      <c r="BS310" s="49" t="n">
        <v>255.25</v>
      </c>
      <c r="BT310" s="50" t="n">
        <v>22</v>
      </c>
      <c r="BU310" s="48"/>
      <c r="BV310" s="53" t="n">
        <v>0</v>
      </c>
      <c r="BW310" s="53" t="n">
        <v>310</v>
      </c>
      <c r="BX310" s="48" t="str">
        <f aca="false">IF(U310&lt;&gt;"",UPPER(TRIM(U310)),IF(CA310=1,UPPER(VLOOKUP(T310,Parameter!$I$27:$K$29,2,0)),IF(P310="","LOSE",P310)))</f>
        <v>S61</v>
      </c>
      <c r="BY310" s="50" t="n">
        <f aca="false">IF(BX310="LOSE",1,IF(N(V310)&gt;0,V310,IF(CA310=1,MAX(1,N(VLOOKUP(T310,Parameter!$I$27:$K$29,3,0)),H310,N(N310)),IF(N(Q310)&gt;0,Q310,MAX(1,H310)))))</f>
        <v>15</v>
      </c>
      <c r="BZ310" s="53" t="n">
        <f aca="false">IF(BX310="LOSE",1,0)</f>
        <v>0</v>
      </c>
      <c r="CA310" s="53" t="n">
        <f aca="false">IF(AND(U310="",OR(P310="",P310="LOSE"),T310&lt;&gt;"",N(S310)&lt;=0,ISNUMBER(MATCH(T310,Parameter!$I$27:$I$29,0))),1,0)</f>
        <v>0</v>
      </c>
      <c r="CB310" s="53" t="n">
        <f aca="false">IF(CQ310&gt;0,INDEX(Parameter!$H$5:$H$7,W310)/INDEX(Parameter!$E$5:$E$7,W310),IF(AND(BZ310=0,N(IFERROR(VLOOKUP(BX310,'Gebinde-Kategorie'!$A$5:$N$45,14,0),0))&gt;0),VLOOKUP(BX310,'Gebinde-Kategorie'!$A$5:$N$45,14,0)*10+Parameter!$M$23,Parameter!$M$24))</f>
        <v>145</v>
      </c>
      <c r="CC310" s="48" t="str">
        <f aca="false">IF(AND(Parameter!$B$19="Ja",E310&lt;&gt;"",ISNUMBER(MATCH(E310,Parameter!$I$35:$I$52,0))),VLOOKUP(E310,Parameter!$I$35:$J$52,2,0),IFERROR(VLOOKUP(D310,Parameter!$A$35:$C$64,2,0),"Nein"))</f>
        <v>2+3</v>
      </c>
      <c r="CD310" s="52" t="n">
        <f aca="false">IF(BZ310=0,0,IF(N(S310)&gt;0,S310,IFERROR(VLOOKUP(D310,Parameter!$A$35:$C$64,3,0)+0,0)))</f>
        <v>0</v>
      </c>
      <c r="CE310" s="48" t="n">
        <f aca="false">IF(AA310&lt;&gt;"",AA310,Z310)</f>
        <v>2</v>
      </c>
      <c r="CF310" s="48" t="str">
        <f aca="false">IF(OR(CE310=1,CE310=2,CE310=3),IF(Parameter!$E$27="Ja","LIFT",IF(CE310=1,"L1","L23")),IF(CE310="Aussen","Aussen","-"))</f>
        <v>LIFT</v>
      </c>
      <c r="CG310" s="59" t="n">
        <f aca="false">IF(N(AB310)&gt;0,AB310,0)</f>
        <v>0</v>
      </c>
      <c r="CH310" s="53" t="n">
        <f aca="false">IF(ISNUMBER(AE310),1,0)</f>
        <v>0</v>
      </c>
      <c r="CI310" s="50" t="n">
        <f aca="false">N(AE310)</f>
        <v>0</v>
      </c>
      <c r="CJ310" s="50" t="n">
        <f aca="false">N(M310)+N(N310)</f>
        <v>35</v>
      </c>
      <c r="CK310" s="50" t="n">
        <f aca="false">N(M310)</f>
        <v>5</v>
      </c>
      <c r="CL310" s="50" t="n">
        <f aca="false">N(N310)</f>
        <v>30</v>
      </c>
      <c r="CM310" s="50" t="n">
        <f aca="false">ROUNDUP(H310/BY310,0)</f>
        <v>2</v>
      </c>
      <c r="CN310" s="50" t="n">
        <f aca="false">ROUNDUP(CI310/BY310,0)</f>
        <v>0</v>
      </c>
      <c r="CO310" s="53" t="n">
        <f aca="false">IF(BZ310=1,0,IFERROR(VLOOKUP(BX310,'Gebinde-Kategorie'!$A$5:$N$45,5,0)+0,0))</f>
        <v>11</v>
      </c>
      <c r="CP310" s="53" t="n">
        <f aca="false">IFERROR(IF(OR(CE310=1,CE310=2,CE310=3),N(INDEX(Parameter!$I$5:$I$7,CE310)),0),0)</f>
        <v>0</v>
      </c>
      <c r="CQ310" s="52" t="n">
        <f aca="false">IF(AND(Parameter!$B$21="Ja",ISNUMBER(W310),N(X310)&gt;0),IFERROR(N(INDEX(Parameter!$L$5:$L$7,W310))*INDEX(Parameter!$E$5:$E$7,W310)*X310/SUMIFS($X$7:$X$1843,$W$7:$W$1843,W310),0),0)</f>
        <v>0</v>
      </c>
    </row>
    <row r="311" customFormat="false" ht="15" hidden="false" customHeight="false" outlineLevel="0" collapsed="false">
      <c r="A311" s="48" t="s">
        <v>798</v>
      </c>
      <c r="B311" s="48" t="s">
        <v>799</v>
      </c>
      <c r="C311" s="48" t="s">
        <v>173</v>
      </c>
      <c r="D311" s="48" t="s">
        <v>193</v>
      </c>
      <c r="E311" s="48"/>
      <c r="F311" s="48" t="s">
        <v>227</v>
      </c>
      <c r="G311" s="49" t="n">
        <v>24.55</v>
      </c>
      <c r="H311" s="50" t="n">
        <f aca="false">MAX(0,IF(AND(Parameter!$B$21="Ja",ISNUMBER(Y311)),Y311,IF(Parameter!$B$20="Jahresanfang 2025 + Export",BR311+BQ311,BQ311)))</f>
        <v>12</v>
      </c>
      <c r="I311" s="50" t="n">
        <f aca="false">H311*G311</f>
        <v>294.6</v>
      </c>
      <c r="J311" s="50" t="n">
        <f aca="false">BT311*Parameter!$B$18</f>
        <v>0</v>
      </c>
      <c r="K311" s="51" t="n">
        <v>2</v>
      </c>
      <c r="L311" s="52" t="n">
        <v>0</v>
      </c>
      <c r="M311" s="50" t="n">
        <v>0</v>
      </c>
      <c r="N311" s="50" t="n">
        <v>1</v>
      </c>
      <c r="O311" s="53" t="n">
        <v>14</v>
      </c>
      <c r="P311" s="48" t="s">
        <v>337</v>
      </c>
      <c r="Q311" s="50" t="n">
        <v>30</v>
      </c>
      <c r="R311" s="53" t="n">
        <f aca="false">IF(BZ311=1,0,IFERROR(VLOOKUP(BX311,'Gebinde-Kategorie'!$A$5:$N$45,13,0)+0,0))</f>
        <v>52</v>
      </c>
      <c r="S311" s="54"/>
      <c r="T311" s="55"/>
      <c r="U311" s="55"/>
      <c r="V311" s="55"/>
      <c r="W311" s="48"/>
      <c r="X311" s="50"/>
      <c r="Y311" s="50"/>
      <c r="Z311" s="48" t="n">
        <f aca="false">IF(A311="","",IF(AND(Parameter!$B$21="Ja",ISNUMBER(W311)),W311,IF(CC311="2+3",IF(ISNUMBER(SEARCH("grosser Artikel",BU311)),2,IFERROR(VLOOKUP(BX311,Parameter!$F$35:$G$64,2,0),2)),IF(OR(CC311="Nein",CC311=""),"-",CC311))))</f>
        <v>3</v>
      </c>
      <c r="AA311" s="55"/>
      <c r="AB311" s="56"/>
      <c r="AC311" s="50" t="n">
        <f aca="false">AV311</f>
        <v>1</v>
      </c>
      <c r="AD311" s="50" t="n">
        <f aca="false">MAX(AV311,H311)</f>
        <v>12</v>
      </c>
      <c r="AE311" s="57"/>
      <c r="AF311" s="50" t="n">
        <f aca="false">IF(LEFT(Cockpit!$C$5,1)="A",H311,IF(Parameter!$E$30="MAX-Bestand",IF(CH311=1,CI311,IF(LEFT(Cockpit!$C$5,1)="B",AL311,MAX(AL311,H311))),ROUNDUP(AJ311,0)))</f>
        <v>12</v>
      </c>
      <c r="AG311" s="50" t="n">
        <f aca="false">IF(BZ311=1,0,ROUNDUP(AF311/BY311,0))</f>
        <v>1</v>
      </c>
      <c r="AH311" s="52" t="n">
        <f aca="false">IF(CQ311&gt;0,CQ311*MAX(1,AF311/X311),IF(BZ311=1,IF(AF311&lt;=0,0,CD311*MAX(1,IF(H311&gt;0,AF311/H311,1))),IF(R311&gt;0,AG311/R311,0))/MAX(0.1,N(Parameter!$M$21)))</f>
        <v>0.0192307692307692</v>
      </c>
      <c r="AI311" s="50" t="n">
        <f aca="false">AH311*CB311</f>
        <v>2.98076923076923</v>
      </c>
      <c r="AJ311" s="51" t="n">
        <f aca="false">IF(LEFT(Cockpit!$C$5,1)="A",H311,IF(CH311=1,(CK311+CI311)/2,IF(LEFT(Cockpit!$C$5,1)="B",(CK311+AL311)/2,MAX((CK311+AL311)/2,H311))))</f>
        <v>12</v>
      </c>
      <c r="AK311" s="50" t="n">
        <f aca="false">AJ311*G311</f>
        <v>294.6</v>
      </c>
      <c r="AL311" s="50" t="n">
        <f aca="false">ROUNDUP(CK311+MAX(CL311,2*(J311/IF(CG311&gt;0,CG311,MAX(0.1,N(Cockpit!$C$6)))-CK311)),0)</f>
        <v>1</v>
      </c>
      <c r="AM311" s="51" t="n">
        <f aca="false">IF(AI311&gt;0,J311/AI311,-1)</f>
        <v>0</v>
      </c>
      <c r="AN311" s="51" t="n">
        <f aca="false">IF(AND(OR(CF311="L1",CF311="L23",CF311="LIFT"),AI311&gt;0),SUMIFS($AI$7:$AI$1843,$CF$7:$CF$1843,CF311,$AM$7:$AM$1843,"&gt;"&amp;AM311)+SUMIFS($AI$7:$AI$1843,$CF$7:$CF$1843,CF311,$AM$7:$AM$1843,AM311,$BW$7:$BW$1843,"&lt;="&amp;BW311),"")</f>
        <v>27891.7588677801</v>
      </c>
      <c r="AO311" s="58" t="n">
        <f aca="false">IF(AN311="",0,MAX(0,MIN(1,(IF(CF311="L1",Parameter!$H$5,IF(CF311="L23",Parameter!$H$6+Parameter!$H$7,Parameter!$H$5+Parameter!$H$6+Parameter!$H$7))-(AN311-AI311))/AI311)))</f>
        <v>1</v>
      </c>
      <c r="AP311" s="50" t="n">
        <f aca="false">IF(LEFT(Cockpit!$I$5,1)="A",H311,IF(Parameter!$E$30="MAX-Bestand",IF(CH311=1,CI311,IF(LEFT(Cockpit!$I$5,1)="B",AV311,MAX(AV311,H311))),ROUNDUP(AT311,0)))</f>
        <v>12</v>
      </c>
      <c r="AQ311" s="50" t="n">
        <f aca="false">IF(BZ311=1,0,ROUNDUP(AP311/BY311,0))</f>
        <v>1</v>
      </c>
      <c r="AR311" s="52" t="n">
        <f aca="false">IF(CQ311&gt;0,CQ311*MAX(1,AP311/X311),IF(BZ311=1,IF(AP311&lt;=0,0,CD311*MAX(1,IF(H311&gt;0,AP311/H311,1))),IF(R311&gt;0,AQ311/R311,0))/MAX(0.1,N(Parameter!$M$21)))</f>
        <v>0.0192307692307692</v>
      </c>
      <c r="AS311" s="50" t="n">
        <f aca="false">AR311*CB311</f>
        <v>2.98076923076923</v>
      </c>
      <c r="AT311" s="51" t="n">
        <f aca="false">IF(LEFT(Cockpit!$I$5,1)="A",H311,IF(CH311=1,(CK311+CI311)/2,IF(LEFT(Cockpit!$I$5,1)="B",(CK311+AV311)/2,MAX((CK311+AV311)/2,H311))))</f>
        <v>12</v>
      </c>
      <c r="AU311" s="50" t="n">
        <f aca="false">AT311*G311</f>
        <v>294.6</v>
      </c>
      <c r="AV311" s="50" t="n">
        <f aca="false">ROUNDUP(CK311+MAX(CL311,2*(J311/IF(CG311&gt;0,CG311,MAX(0.1,N(Cockpit!$I$6)))-CK311)),0)</f>
        <v>1</v>
      </c>
      <c r="AW311" s="51" t="n">
        <f aca="false">IF(AS311&gt;0,J311/AS311,-1)</f>
        <v>0</v>
      </c>
      <c r="AX311" s="51" t="n">
        <f aca="false">IF(AND(OR(CF311="L1",CF311="L23",CF311="LIFT"),AS311&gt;0),SUMIFS($AS$7:$AS$1843,$CF$7:$CF$1843,CF311,$AW$7:$AW$1843,"&gt;"&amp;AW311)+SUMIFS($AS$7:$AS$1843,$CF$7:$CF$1843,CF311,$AW$7:$AW$1843,AW311,$BW$7:$BW$1843,"&lt;="&amp;BW311),"")</f>
        <v>33244.9075091575</v>
      </c>
      <c r="AY311" s="58" t="n">
        <f aca="false">IF(AX311="",0,MAX(0,MIN(1,(IF(CF311="L1",Parameter!$H$5,IF(CF311="L23",Parameter!$H$6+Parameter!$H$7,Parameter!$H$5+Parameter!$H$6+Parameter!$H$7))-(AX311-AS311))/AS311)))</f>
        <v>1</v>
      </c>
      <c r="AZ311" s="50" t="n">
        <f aca="false">IF(LEFT(Cockpit!$O$5,1)="A",H311,IF(Parameter!$E$30="MAX-Bestand",IF(CH311=1,CI311,IF(LEFT(Cockpit!$O$5,1)="B",BF311,MAX(BF311,H311))),ROUNDUP(BD311,0)))</f>
        <v>1</v>
      </c>
      <c r="BA311" s="50" t="n">
        <f aca="false">IF(BZ311=1,0,ROUNDUP(AZ311/BY311,0))</f>
        <v>1</v>
      </c>
      <c r="BB311" s="52" t="n">
        <f aca="false">IF(CQ311&gt;0,CQ311*MAX(1,AZ311/X311),IF(BZ311=1,IF(AZ311&lt;=0,0,CD311*MAX(1,IF(H311&gt;0,AZ311/H311,1))),IF(R311&gt;0,BA311/R311,0))/MAX(0.1,N(Parameter!$M$21)))</f>
        <v>0.0192307692307692</v>
      </c>
      <c r="BC311" s="50" t="n">
        <f aca="false">BB311*CB311</f>
        <v>2.98076923076923</v>
      </c>
      <c r="BD311" s="51" t="n">
        <f aca="false">IF(LEFT(Cockpit!$O$5,1)="A",H311,IF(CH311=1,(CK311+CI311)/2,IF(LEFT(Cockpit!$O$5,1)="B",(CK311+BF311)/2,MAX((CK311+BF311)/2,H311))))</f>
        <v>0.5</v>
      </c>
      <c r="BE311" s="50" t="n">
        <f aca="false">BD311*G311</f>
        <v>12.275</v>
      </c>
      <c r="BF311" s="50" t="n">
        <f aca="false">ROUNDUP(CK311+MAX(CL311,2*(J311/IF(CG311&gt;0,CG311,MAX(0.1,N(Cockpit!$O$6)))-CK311)),0)</f>
        <v>1</v>
      </c>
      <c r="BG311" s="51" t="n">
        <f aca="false">IF(BC311&gt;0,J311/BC311,-1)</f>
        <v>0</v>
      </c>
      <c r="BH311" s="51" t="n">
        <f aca="false">IF(AND(OR(CF311="L1",CF311="L23",CF311="LIFT"),BC311&gt;0),SUMIFS($BC$7:$BC$1843,$CF$7:$CF$1843,CF311,$BG$7:$BG$1843,"&gt;"&amp;BG311)+SUMIFS($BC$7:$BC$1843,$CF$7:$CF$1843,CF311,$BG$7:$BG$1843,BG311,$BW$7:$BW$1843,"&lt;="&amp;BW311),"")</f>
        <v>27370.3675575837</v>
      </c>
      <c r="BI311" s="58" t="n">
        <f aca="false">IF(BH311="",0,MAX(0,MIN(1,(IF(CF311="L1",Parameter!$H$5,IF(CF311="L23",Parameter!$H$6+Parameter!$H$7,Parameter!$H$5+Parameter!$H$6+Parameter!$H$7))-(BH311-BC311))/BC311)))</f>
        <v>1</v>
      </c>
      <c r="BJ311" s="48" t="str">
        <f aca="false">IF(AI311&lt;=0,"",IF(CF311="Aussen","Aussenlager",IF(CF311="-","Nicht im Lift",IF(AO311&gt;=1,"Lift",IF(AO311&lt;=0,"Aussenlager","teilweise")))))</f>
        <v>Lift</v>
      </c>
      <c r="BK311" s="48" t="str">
        <f aca="false">IF(AS311&lt;=0,"",IF(CF311="Aussen","Aussenlager",IF(CF311="-","Nicht im Lift",IF(AY311&gt;=1,"Lift",IF(AY311&lt;=0,"Aussenlager","teilweise")))))</f>
        <v>Lift</v>
      </c>
      <c r="BL311" s="48" t="str">
        <f aca="false">IF(BC311&lt;=0,"",IF(CF311="Aussen","Aussenlager",IF(CF311="-","Nicht im Lift",IF(BI311&gt;=1,"Lift",IF(BI311&lt;=0,"Aussenlager","teilweise")))))</f>
        <v>Lift</v>
      </c>
      <c r="BM311" s="48" t="str">
        <f aca="false">IF(A311="","",IF(BV311=1,"Neu; ","")&amp;IF(AND(BV311=0,BQ311&lt;0),"negativer Bestand (Export "&amp;BQ311&amp;"); ","")&amp;IF(J311&lt;=0,"Kein Verbrauch; ","")&amp;IF(CQ311&gt;0,"Lift "&amp;W311&amp;" lt. Liftbericht (Fach "&amp;X311&amp;" Stk); ",IF(CA311=1,"Gebinde geschätzt ("&amp;T311&amp;"); ",IF(BZ311=1,"Lose – Tablare geschätzt; ","")))&amp;IF(H311&gt;AV311,"Überbestand "&amp;ROUND(H311-AV311,0)&amp;" Stk / CHF "&amp;ROUND((H311-AV311)*G311,0)&amp;"; ","")&amp;IF(AND(CH311=1,CI311&lt;CJ311),"MAX &lt; MB+LG; ","")&amp;IF(AND(CP311&gt;0,CO311*10&gt;CP311),"zu hoch für Tablar; ","")&amp;IF(AND(BV311=0,OR(CH311=1,AA311&lt;&gt;"",U311&lt;&gt;"",V311&lt;&gt;"",AB311&lt;&gt;"")),"manuell übersteuert; ","")&amp;IF(AND(BZ311=0,R311=0),"Gebinde unbekannt / Stellmass fehlt; ","")&amp;IF(AND(BZ311=0,N(V311)&lt;=0,N(Q311)&lt;=0),"Menge pro Gebinde fehlt (Ist = 1 Gebinde); ","")&amp;BU311)</f>
        <v>Kein Verbrauch; Überbestand 11 Stk / CHF 270; </v>
      </c>
      <c r="BN311" s="48"/>
      <c r="BO311" s="48"/>
      <c r="BP311" s="55"/>
      <c r="BQ311" s="50" t="n">
        <v>10</v>
      </c>
      <c r="BR311" s="50" t="n">
        <v>2</v>
      </c>
      <c r="BS311" s="49" t="n">
        <v>254.58</v>
      </c>
      <c r="BT311" s="50" t="n">
        <v>0</v>
      </c>
      <c r="BU311" s="48"/>
      <c r="BV311" s="53" t="n">
        <v>0</v>
      </c>
      <c r="BW311" s="53" t="n">
        <v>311</v>
      </c>
      <c r="BX311" s="48" t="str">
        <f aca="false">IF(U311&lt;&gt;"",UPPER(TRIM(U311)),IF(CA311=1,UPPER(VLOOKUP(T311,Parameter!$I$27:$K$29,2,0)),IF(P311="","LOSE",P311)))</f>
        <v>S41</v>
      </c>
      <c r="BY311" s="50" t="n">
        <f aca="false">IF(BX311="LOSE",1,IF(N(V311)&gt;0,V311,IF(CA311=1,MAX(1,N(VLOOKUP(T311,Parameter!$I$27:$K$29,3,0)),H311,N(N311)),IF(N(Q311)&gt;0,Q311,MAX(1,H311)))))</f>
        <v>30</v>
      </c>
      <c r="BZ311" s="53" t="n">
        <f aca="false">IF(BX311="LOSE",1,0)</f>
        <v>0</v>
      </c>
      <c r="CA311" s="53" t="n">
        <f aca="false">IF(AND(U311="",OR(P311="",P311="LOSE"),T311&lt;&gt;"",N(S311)&lt;=0,ISNUMBER(MATCH(T311,Parameter!$I$27:$I$29,0))),1,0)</f>
        <v>0</v>
      </c>
      <c r="CB311" s="53" t="n">
        <f aca="false">IF(CQ311&gt;0,INDEX(Parameter!$H$5:$H$7,W311)/INDEX(Parameter!$E$5:$E$7,W311),IF(AND(BZ311=0,N(IFERROR(VLOOKUP(BX311,'Gebinde-Kategorie'!$A$5:$N$45,14,0),0))&gt;0),VLOOKUP(BX311,'Gebinde-Kategorie'!$A$5:$N$45,14,0)*10+Parameter!$M$23,Parameter!$M$24))</f>
        <v>155</v>
      </c>
      <c r="CC311" s="48" t="str">
        <f aca="false">IF(AND(Parameter!$B$19="Ja",E311&lt;&gt;"",ISNUMBER(MATCH(E311,Parameter!$I$35:$I$52,0))),VLOOKUP(E311,Parameter!$I$35:$J$52,2,0),IFERROR(VLOOKUP(D311,Parameter!$A$35:$C$64,2,0),"Nein"))</f>
        <v>2+3</v>
      </c>
      <c r="CD311" s="52" t="n">
        <f aca="false">IF(BZ311=0,0,IF(N(S311)&gt;0,S311,IFERROR(VLOOKUP(D311,Parameter!$A$35:$C$64,3,0)+0,0)))</f>
        <v>0</v>
      </c>
      <c r="CE311" s="48" t="n">
        <f aca="false">IF(AA311&lt;&gt;"",AA311,Z311)</f>
        <v>3</v>
      </c>
      <c r="CF311" s="48" t="str">
        <f aca="false">IF(OR(CE311=1,CE311=2,CE311=3),IF(Parameter!$E$27="Ja","LIFT",IF(CE311=1,"L1","L23")),IF(CE311="Aussen","Aussen","-"))</f>
        <v>LIFT</v>
      </c>
      <c r="CG311" s="59" t="n">
        <f aca="false">IF(N(AB311)&gt;0,AB311,0)</f>
        <v>0</v>
      </c>
      <c r="CH311" s="53" t="n">
        <f aca="false">IF(ISNUMBER(AE311),1,0)</f>
        <v>0</v>
      </c>
      <c r="CI311" s="50" t="n">
        <f aca="false">N(AE311)</f>
        <v>0</v>
      </c>
      <c r="CJ311" s="50" t="n">
        <f aca="false">N(M311)+N(N311)</f>
        <v>1</v>
      </c>
      <c r="CK311" s="50" t="n">
        <f aca="false">N(M311)</f>
        <v>0</v>
      </c>
      <c r="CL311" s="50" t="n">
        <f aca="false">N(N311)</f>
        <v>1</v>
      </c>
      <c r="CM311" s="50" t="n">
        <f aca="false">ROUNDUP(H311/BY311,0)</f>
        <v>1</v>
      </c>
      <c r="CN311" s="50" t="n">
        <f aca="false">ROUNDUP(CI311/BY311,0)</f>
        <v>0</v>
      </c>
      <c r="CO311" s="53" t="n">
        <f aca="false">IF(BZ311=1,0,IFERROR(VLOOKUP(BX311,'Gebinde-Kategorie'!$A$5:$N$45,5,0)+0,0))</f>
        <v>11</v>
      </c>
      <c r="CP311" s="53" t="n">
        <f aca="false">IFERROR(IF(OR(CE311=1,CE311=2,CE311=3),N(INDEX(Parameter!$I$5:$I$7,CE311)),0),0)</f>
        <v>0</v>
      </c>
      <c r="CQ311" s="52" t="n">
        <f aca="false">IF(AND(Parameter!$B$21="Ja",ISNUMBER(W311),N(X311)&gt;0),IFERROR(N(INDEX(Parameter!$L$5:$L$7,W311))*INDEX(Parameter!$E$5:$E$7,W311)*X311/SUMIFS($X$7:$X$1843,$W$7:$W$1843,W311),0),0)</f>
        <v>0</v>
      </c>
    </row>
    <row r="312" customFormat="false" ht="15" hidden="false" customHeight="false" outlineLevel="0" collapsed="false">
      <c r="A312" s="48" t="s">
        <v>800</v>
      </c>
      <c r="B312" s="48" t="s">
        <v>801</v>
      </c>
      <c r="C312" s="48" t="s">
        <v>173</v>
      </c>
      <c r="D312" s="48" t="s">
        <v>193</v>
      </c>
      <c r="E312" s="48"/>
      <c r="F312" s="48" t="s">
        <v>227</v>
      </c>
      <c r="G312" s="49" t="n">
        <v>10.09</v>
      </c>
      <c r="H312" s="50" t="n">
        <f aca="false">MAX(0,IF(AND(Parameter!$B$21="Ja",ISNUMBER(Y312)),Y312,IF(Parameter!$B$20="Jahresanfang 2025 + Export",BR312+BQ312,BQ312)))</f>
        <v>25</v>
      </c>
      <c r="I312" s="50" t="n">
        <f aca="false">H312*G312</f>
        <v>252.25</v>
      </c>
      <c r="J312" s="50" t="n">
        <f aca="false">BT312*Parameter!$B$18</f>
        <v>0</v>
      </c>
      <c r="K312" s="51" t="n">
        <v>0</v>
      </c>
      <c r="L312" s="52" t="n">
        <v>0</v>
      </c>
      <c r="M312" s="50" t="n">
        <v>0</v>
      </c>
      <c r="N312" s="50" t="n">
        <v>1</v>
      </c>
      <c r="O312" s="53" t="n">
        <v>9999</v>
      </c>
      <c r="P312" s="48" t="s">
        <v>177</v>
      </c>
      <c r="Q312" s="50"/>
      <c r="R312" s="53" t="n">
        <f aca="false">IF(BZ312=1,0,IFERROR(VLOOKUP(BX312,'Gebinde-Kategorie'!$A$5:$N$45,13,0)+0,0))</f>
        <v>26</v>
      </c>
      <c r="S312" s="54"/>
      <c r="T312" s="55" t="s">
        <v>284</v>
      </c>
      <c r="U312" s="55"/>
      <c r="V312" s="55"/>
      <c r="W312" s="48"/>
      <c r="X312" s="50"/>
      <c r="Y312" s="50"/>
      <c r="Z312" s="48" t="n">
        <f aca="false">IF(A312="","",IF(AND(Parameter!$B$21="Ja",ISNUMBER(W312)),W312,IF(CC312="2+3",IF(ISNUMBER(SEARCH("grosser Artikel",BU312)),2,IFERROR(VLOOKUP(BX312,Parameter!$F$35:$G$64,2,0),2)),IF(OR(CC312="Nein",CC312=""),"-",CC312))))</f>
        <v>3</v>
      </c>
      <c r="AA312" s="55"/>
      <c r="AB312" s="56"/>
      <c r="AC312" s="50" t="n">
        <f aca="false">AV312</f>
        <v>1</v>
      </c>
      <c r="AD312" s="50" t="n">
        <f aca="false">MAX(AV312,H312)</f>
        <v>25</v>
      </c>
      <c r="AE312" s="57"/>
      <c r="AF312" s="50" t="n">
        <f aca="false">IF(LEFT(Cockpit!$C$5,1)="A",H312,IF(Parameter!$E$30="MAX-Bestand",IF(CH312=1,CI312,IF(LEFT(Cockpit!$C$5,1)="B",AL312,MAX(AL312,H312))),ROUNDUP(AJ312,0)))</f>
        <v>25</v>
      </c>
      <c r="AG312" s="50" t="n">
        <f aca="false">IF(BZ312=1,0,ROUNDUP(AF312/BY312,0))</f>
        <v>1</v>
      </c>
      <c r="AH312" s="52" t="n">
        <f aca="false">IF(CQ312&gt;0,CQ312*MAX(1,AF312/X312),IF(BZ312=1,IF(AF312&lt;=0,0,CD312*MAX(1,IF(H312&gt;0,AF312/H312,1))),IF(R312&gt;0,AG312/R312,0))/MAX(0.1,N(Parameter!$M$21)))</f>
        <v>0.0384615384615385</v>
      </c>
      <c r="AI312" s="50" t="n">
        <f aca="false">AH312*CB312</f>
        <v>5.96153846153846</v>
      </c>
      <c r="AJ312" s="51" t="n">
        <f aca="false">IF(LEFT(Cockpit!$C$5,1)="A",H312,IF(CH312=1,(CK312+CI312)/2,IF(LEFT(Cockpit!$C$5,1)="B",(CK312+AL312)/2,MAX((CK312+AL312)/2,H312))))</f>
        <v>25</v>
      </c>
      <c r="AK312" s="50" t="n">
        <f aca="false">AJ312*G312</f>
        <v>252.25</v>
      </c>
      <c r="AL312" s="50" t="n">
        <f aca="false">ROUNDUP(CK312+MAX(CL312,2*(J312/IF(CG312&gt;0,CG312,MAX(0.1,N(Cockpit!$C$6)))-CK312)),0)</f>
        <v>1</v>
      </c>
      <c r="AM312" s="51" t="n">
        <f aca="false">IF(AI312&gt;0,J312/AI312,-1)</f>
        <v>0</v>
      </c>
      <c r="AN312" s="51" t="n">
        <f aca="false">IF(AND(OR(CF312="L1",CF312="L23",CF312="LIFT"),AI312&gt;0),SUMIFS($AI$7:$AI$1843,$CF$7:$CF$1843,CF312,$AM$7:$AM$1843,"&gt;"&amp;AM312)+SUMIFS($AI$7:$AI$1843,$CF$7:$CF$1843,CF312,$AM$7:$AM$1843,AM312,$BW$7:$BW$1843,"&lt;="&amp;BW312),"")</f>
        <v>27897.7204062416</v>
      </c>
      <c r="AO312" s="58" t="n">
        <f aca="false">IF(AN312="",0,MAX(0,MIN(1,(IF(CF312="L1",Parameter!$H$5,IF(CF312="L23",Parameter!$H$6+Parameter!$H$7,Parameter!$H$5+Parameter!$H$6+Parameter!$H$7))-(AN312-AI312))/AI312)))</f>
        <v>1</v>
      </c>
      <c r="AP312" s="50" t="n">
        <f aca="false">IF(LEFT(Cockpit!$I$5,1)="A",H312,IF(Parameter!$E$30="MAX-Bestand",IF(CH312=1,CI312,IF(LEFT(Cockpit!$I$5,1)="B",AV312,MAX(AV312,H312))),ROUNDUP(AT312,0)))</f>
        <v>25</v>
      </c>
      <c r="AQ312" s="50" t="n">
        <f aca="false">IF(BZ312=1,0,ROUNDUP(AP312/BY312,0))</f>
        <v>1</v>
      </c>
      <c r="AR312" s="52" t="n">
        <f aca="false">IF(CQ312&gt;0,CQ312*MAX(1,AP312/X312),IF(BZ312=1,IF(AP312&lt;=0,0,CD312*MAX(1,IF(H312&gt;0,AP312/H312,1))),IF(R312&gt;0,AQ312/R312,0))/MAX(0.1,N(Parameter!$M$21)))</f>
        <v>0.0384615384615385</v>
      </c>
      <c r="AS312" s="50" t="n">
        <f aca="false">AR312*CB312</f>
        <v>5.96153846153846</v>
      </c>
      <c r="AT312" s="51" t="n">
        <f aca="false">IF(LEFT(Cockpit!$I$5,1)="A",H312,IF(CH312=1,(CK312+CI312)/2,IF(LEFT(Cockpit!$I$5,1)="B",(CK312+AV312)/2,MAX((CK312+AV312)/2,H312))))</f>
        <v>25</v>
      </c>
      <c r="AU312" s="50" t="n">
        <f aca="false">AT312*G312</f>
        <v>252.25</v>
      </c>
      <c r="AV312" s="50" t="n">
        <f aca="false">ROUNDUP(CK312+MAX(CL312,2*(J312/IF(CG312&gt;0,CG312,MAX(0.1,N(Cockpit!$I$6)))-CK312)),0)</f>
        <v>1</v>
      </c>
      <c r="AW312" s="51" t="n">
        <f aca="false">IF(AS312&gt;0,J312/AS312,-1)</f>
        <v>0</v>
      </c>
      <c r="AX312" s="51" t="n">
        <f aca="false">IF(AND(OR(CF312="L1",CF312="L23",CF312="LIFT"),AS312&gt;0),SUMIFS($AS$7:$AS$1843,$CF$7:$CF$1843,CF312,$AW$7:$AW$1843,"&gt;"&amp;AW312)+SUMIFS($AS$7:$AS$1843,$CF$7:$CF$1843,CF312,$AW$7:$AW$1843,AW312,$BW$7:$BW$1843,"&lt;="&amp;BW312),"")</f>
        <v>33250.869047619</v>
      </c>
      <c r="AY312" s="58" t="n">
        <f aca="false">IF(AX312="",0,MAX(0,MIN(1,(IF(CF312="L1",Parameter!$H$5,IF(CF312="L23",Parameter!$H$6+Parameter!$H$7,Parameter!$H$5+Parameter!$H$6+Parameter!$H$7))-(AX312-AS312))/AS312)))</f>
        <v>1</v>
      </c>
      <c r="AZ312" s="50" t="n">
        <f aca="false">IF(LEFT(Cockpit!$O$5,1)="A",H312,IF(Parameter!$E$30="MAX-Bestand",IF(CH312=1,CI312,IF(LEFT(Cockpit!$O$5,1)="B",BF312,MAX(BF312,H312))),ROUNDUP(BD312,0)))</f>
        <v>1</v>
      </c>
      <c r="BA312" s="50" t="n">
        <f aca="false">IF(BZ312=1,0,ROUNDUP(AZ312/BY312,0))</f>
        <v>1</v>
      </c>
      <c r="BB312" s="52" t="n">
        <f aca="false">IF(CQ312&gt;0,CQ312*MAX(1,AZ312/X312),IF(BZ312=1,IF(AZ312&lt;=0,0,CD312*MAX(1,IF(H312&gt;0,AZ312/H312,1))),IF(R312&gt;0,BA312/R312,0))/MAX(0.1,N(Parameter!$M$21)))</f>
        <v>0.0384615384615385</v>
      </c>
      <c r="BC312" s="50" t="n">
        <f aca="false">BB312*CB312</f>
        <v>5.96153846153846</v>
      </c>
      <c r="BD312" s="51" t="n">
        <f aca="false">IF(LEFT(Cockpit!$O$5,1)="A",H312,IF(CH312=1,(CK312+CI312)/2,IF(LEFT(Cockpit!$O$5,1)="B",(CK312+BF312)/2,MAX((CK312+BF312)/2,H312))))</f>
        <v>0.5</v>
      </c>
      <c r="BE312" s="50" t="n">
        <f aca="false">BD312*G312</f>
        <v>5.045</v>
      </c>
      <c r="BF312" s="50" t="n">
        <f aca="false">ROUNDUP(CK312+MAX(CL312,2*(J312/IF(CG312&gt;0,CG312,MAX(0.1,N(Cockpit!$O$6)))-CK312)),0)</f>
        <v>1</v>
      </c>
      <c r="BG312" s="51" t="n">
        <f aca="false">IF(BC312&gt;0,J312/BC312,-1)</f>
        <v>0</v>
      </c>
      <c r="BH312" s="51" t="n">
        <f aca="false">IF(AND(OR(CF312="L1",CF312="L23",CF312="LIFT"),BC312&gt;0),SUMIFS($BC$7:$BC$1843,$CF$7:$CF$1843,CF312,$BG$7:$BG$1843,"&gt;"&amp;BG312)+SUMIFS($BC$7:$BC$1843,$CF$7:$CF$1843,CF312,$BG$7:$BG$1843,BG312,$BW$7:$BW$1843,"&lt;="&amp;BW312),"")</f>
        <v>27376.3290960452</v>
      </c>
      <c r="BI312" s="58" t="n">
        <f aca="false">IF(BH312="",0,MAX(0,MIN(1,(IF(CF312="L1",Parameter!$H$5,IF(CF312="L23",Parameter!$H$6+Parameter!$H$7,Parameter!$H$5+Parameter!$H$6+Parameter!$H$7))-(BH312-BC312))/BC312)))</f>
        <v>1</v>
      </c>
      <c r="BJ312" s="48" t="str">
        <f aca="false">IF(AI312&lt;=0,"",IF(CF312="Aussen","Aussenlager",IF(CF312="-","Nicht im Lift",IF(AO312&gt;=1,"Lift",IF(AO312&lt;=0,"Aussenlager","teilweise")))))</f>
        <v>Lift</v>
      </c>
      <c r="BK312" s="48" t="str">
        <f aca="false">IF(AS312&lt;=0,"",IF(CF312="Aussen","Aussenlager",IF(CF312="-","Nicht im Lift",IF(AY312&gt;=1,"Lift",IF(AY312&lt;=0,"Aussenlager","teilweise")))))</f>
        <v>Lift</v>
      </c>
      <c r="BL312" s="48" t="str">
        <f aca="false">IF(BC312&lt;=0,"",IF(CF312="Aussen","Aussenlager",IF(CF312="-","Nicht im Lift",IF(BI312&gt;=1,"Lift",IF(BI312&lt;=0,"Aussenlager","teilweise")))))</f>
        <v>Lift</v>
      </c>
      <c r="BM312" s="48" t="str">
        <f aca="false">IF(A312="","",IF(BV312=1,"Neu; ","")&amp;IF(AND(BV312=0,BQ312&lt;0),"negativer Bestand (Export "&amp;BQ312&amp;"); ","")&amp;IF(J312&lt;=0,"Kein Verbrauch; ","")&amp;IF(CQ312&gt;0,"Lift "&amp;W312&amp;" lt. Liftbericht (Fach "&amp;X312&amp;" Stk); ",IF(CA312=1,"Gebinde geschätzt ("&amp;T312&amp;"); ",IF(BZ312=1,"Lose – Tablare geschätzt; ","")))&amp;IF(H312&gt;AV312,"Überbestand "&amp;ROUND(H312-AV312,0)&amp;" Stk / CHF "&amp;ROUND((H312-AV312)*G312,0)&amp;"; ","")&amp;IF(AND(CH312=1,CI312&lt;CJ312),"MAX &lt; MB+LG; ","")&amp;IF(AND(CP312&gt;0,CO312*10&gt;CP312),"zu hoch für Tablar; ","")&amp;IF(AND(BV312=0,OR(CH312=1,AA312&lt;&gt;"",U312&lt;&gt;"",V312&lt;&gt;"",AB312&lt;&gt;"")),"manuell übersteuert; ","")&amp;IF(AND(BZ312=0,R312=0),"Gebinde unbekannt / Stellmass fehlt; ","")&amp;IF(AND(BZ312=0,N(V312)&lt;=0,N(Q312)&lt;=0),"Menge pro Gebinde fehlt (Ist = 1 Gebinde); ","")&amp;BU312)</f>
        <v>Kein Verbrauch; Gebinde geschätzt (Klein); Überbestand 24 Stk / CHF 242; Menge pro Gebinde fehlt (Ist = 1 Gebinde); </v>
      </c>
      <c r="BN312" s="48"/>
      <c r="BO312" s="48"/>
      <c r="BP312" s="55"/>
      <c r="BQ312" s="50" t="n">
        <v>25</v>
      </c>
      <c r="BR312" s="50" t="n">
        <v>0</v>
      </c>
      <c r="BS312" s="49" t="n">
        <v>252.25</v>
      </c>
      <c r="BT312" s="50" t="n">
        <v>0</v>
      </c>
      <c r="BU312" s="48"/>
      <c r="BV312" s="53" t="n">
        <v>0</v>
      </c>
      <c r="BW312" s="53" t="n">
        <v>312</v>
      </c>
      <c r="BX312" s="48" t="str">
        <f aca="false">IF(U312&lt;&gt;"",UPPER(TRIM(U312)),IF(CA312=1,UPPER(VLOOKUP(T312,Parameter!$I$27:$K$29,2,0)),IF(P312="","LOSE",P312)))</f>
        <v>S51</v>
      </c>
      <c r="BY312" s="50" t="n">
        <f aca="false">IF(BX312="LOSE",1,IF(N(V312)&gt;0,V312,IF(CA312=1,MAX(1,N(VLOOKUP(T312,Parameter!$I$27:$K$29,3,0)),H312,N(N312)),IF(N(Q312)&gt;0,Q312,MAX(1,H312)))))</f>
        <v>25</v>
      </c>
      <c r="BZ312" s="53" t="n">
        <f aca="false">IF(BX312="LOSE",1,0)</f>
        <v>0</v>
      </c>
      <c r="CA312" s="53" t="n">
        <f aca="false">IF(AND(U312="",OR(P312="",P312="LOSE"),T312&lt;&gt;"",N(S312)&lt;=0,ISNUMBER(MATCH(T312,Parameter!$I$27:$I$29,0))),1,0)</f>
        <v>1</v>
      </c>
      <c r="CB312" s="53" t="n">
        <f aca="false">IF(CQ312&gt;0,INDEX(Parameter!$H$5:$H$7,W312)/INDEX(Parameter!$E$5:$E$7,W312),IF(AND(BZ312=0,N(IFERROR(VLOOKUP(BX312,'Gebinde-Kategorie'!$A$5:$N$45,14,0),0))&gt;0),VLOOKUP(BX312,'Gebinde-Kategorie'!$A$5:$N$45,14,0)*10+Parameter!$M$23,Parameter!$M$24))</f>
        <v>155</v>
      </c>
      <c r="CC312" s="48" t="str">
        <f aca="false">IF(AND(Parameter!$B$19="Ja",E312&lt;&gt;"",ISNUMBER(MATCH(E312,Parameter!$I$35:$I$52,0))),VLOOKUP(E312,Parameter!$I$35:$J$52,2,0),IFERROR(VLOOKUP(D312,Parameter!$A$35:$C$64,2,0),"Nein"))</f>
        <v>2+3</v>
      </c>
      <c r="CD312" s="52" t="n">
        <f aca="false">IF(BZ312=0,0,IF(N(S312)&gt;0,S312,IFERROR(VLOOKUP(D312,Parameter!$A$35:$C$64,3,0)+0,0)))</f>
        <v>0</v>
      </c>
      <c r="CE312" s="48" t="n">
        <f aca="false">IF(AA312&lt;&gt;"",AA312,Z312)</f>
        <v>3</v>
      </c>
      <c r="CF312" s="48" t="str">
        <f aca="false">IF(OR(CE312=1,CE312=2,CE312=3),IF(Parameter!$E$27="Ja","LIFT",IF(CE312=1,"L1","L23")),IF(CE312="Aussen","Aussen","-"))</f>
        <v>LIFT</v>
      </c>
      <c r="CG312" s="59" t="n">
        <f aca="false">IF(N(AB312)&gt;0,AB312,0)</f>
        <v>0</v>
      </c>
      <c r="CH312" s="53" t="n">
        <f aca="false">IF(ISNUMBER(AE312),1,0)</f>
        <v>0</v>
      </c>
      <c r="CI312" s="50" t="n">
        <f aca="false">N(AE312)</f>
        <v>0</v>
      </c>
      <c r="CJ312" s="50" t="n">
        <f aca="false">N(M312)+N(N312)</f>
        <v>1</v>
      </c>
      <c r="CK312" s="50" t="n">
        <f aca="false">N(M312)</f>
        <v>0</v>
      </c>
      <c r="CL312" s="50" t="n">
        <f aca="false">N(N312)</f>
        <v>1</v>
      </c>
      <c r="CM312" s="50" t="n">
        <f aca="false">ROUNDUP(H312/BY312,0)</f>
        <v>1</v>
      </c>
      <c r="CN312" s="50" t="n">
        <f aca="false">ROUNDUP(CI312/BY312,0)</f>
        <v>0</v>
      </c>
      <c r="CO312" s="53" t="n">
        <f aca="false">IF(BZ312=1,0,IFERROR(VLOOKUP(BX312,'Gebinde-Kategorie'!$A$5:$N$45,5,0)+0,0))</f>
        <v>11</v>
      </c>
      <c r="CP312" s="53" t="n">
        <f aca="false">IFERROR(IF(OR(CE312=1,CE312=2,CE312=3),N(INDEX(Parameter!$I$5:$I$7,CE312)),0),0)</f>
        <v>0</v>
      </c>
      <c r="CQ312" s="52" t="n">
        <f aca="false">IF(AND(Parameter!$B$21="Ja",ISNUMBER(W312),N(X312)&gt;0),IFERROR(N(INDEX(Parameter!$L$5:$L$7,W312))*INDEX(Parameter!$E$5:$E$7,W312)*X312/SUMIFS($X$7:$X$1843,$W$7:$W$1843,W312),0),0)</f>
        <v>0</v>
      </c>
    </row>
    <row r="313" customFormat="false" ht="15" hidden="false" customHeight="false" outlineLevel="0" collapsed="false">
      <c r="A313" s="48" t="s">
        <v>802</v>
      </c>
      <c r="B313" s="48" t="s">
        <v>803</v>
      </c>
      <c r="C313" s="48" t="s">
        <v>173</v>
      </c>
      <c r="D313" s="48" t="s">
        <v>193</v>
      </c>
      <c r="E313" s="48" t="s">
        <v>194</v>
      </c>
      <c r="F313" s="48" t="s">
        <v>227</v>
      </c>
      <c r="G313" s="49" t="n">
        <v>27.18</v>
      </c>
      <c r="H313" s="50" t="n">
        <f aca="false">MAX(0,IF(AND(Parameter!$B$21="Ja",ISNUMBER(Y313)),Y313,IF(Parameter!$B$20="Jahresanfang 2025 + Export",BR313+BQ313,BQ313)))</f>
        <v>28</v>
      </c>
      <c r="I313" s="50" t="n">
        <f aca="false">H313*G313</f>
        <v>761.04</v>
      </c>
      <c r="J313" s="50" t="n">
        <f aca="false">BT313*Parameter!$B$18</f>
        <v>24</v>
      </c>
      <c r="K313" s="51" t="n">
        <v>19.5</v>
      </c>
      <c r="L313" s="52" t="n">
        <v>1.23076923076923</v>
      </c>
      <c r="M313" s="50" t="n">
        <v>1</v>
      </c>
      <c r="N313" s="50" t="n">
        <v>25</v>
      </c>
      <c r="O313" s="53" t="n">
        <v>21</v>
      </c>
      <c r="P313" s="48" t="s">
        <v>242</v>
      </c>
      <c r="Q313" s="50" t="n">
        <v>8</v>
      </c>
      <c r="R313" s="53" t="n">
        <f aca="false">IF(BZ313=1,0,IFERROR(VLOOKUP(BX313,'Gebinde-Kategorie'!$A$5:$N$45,13,0)+0,0))</f>
        <v>26</v>
      </c>
      <c r="S313" s="54"/>
      <c r="T313" s="55"/>
      <c r="U313" s="55"/>
      <c r="V313" s="55"/>
      <c r="W313" s="48"/>
      <c r="X313" s="50"/>
      <c r="Y313" s="50"/>
      <c r="Z313" s="48" t="n">
        <f aca="false">IF(A313="","",IF(AND(Parameter!$B$21="Ja",ISNUMBER(W313)),W313,IF(CC313="2+3",IF(ISNUMBER(SEARCH("grosser Artikel",BU313)),2,IFERROR(VLOOKUP(BX313,Parameter!$F$35:$G$64,2,0),2)),IF(OR(CC313="Nein",CC313=""),"-",CC313))))</f>
        <v>3</v>
      </c>
      <c r="AA313" s="55"/>
      <c r="AB313" s="56"/>
      <c r="AC313" s="50" t="n">
        <f aca="false">AV313</f>
        <v>26</v>
      </c>
      <c r="AD313" s="50" t="n">
        <f aca="false">MAX(AV313,H313)</f>
        <v>28</v>
      </c>
      <c r="AE313" s="57"/>
      <c r="AF313" s="50" t="n">
        <f aca="false">IF(LEFT(Cockpit!$C$5,1)="A",H313,IF(Parameter!$E$30="MAX-Bestand",IF(CH313=1,CI313,IF(LEFT(Cockpit!$C$5,1)="B",AL313,MAX(AL313,H313))),ROUNDUP(AJ313,0)))</f>
        <v>28</v>
      </c>
      <c r="AG313" s="50" t="n">
        <f aca="false">IF(BZ313=1,0,ROUNDUP(AF313/BY313,0))</f>
        <v>4</v>
      </c>
      <c r="AH313" s="52" t="n">
        <f aca="false">IF(CQ313&gt;0,CQ313*MAX(1,AF313/X313),IF(BZ313=1,IF(AF313&lt;=0,0,CD313*MAX(1,IF(H313&gt;0,AF313/H313,1))),IF(R313&gt;0,AG313/R313,0))/MAX(0.1,N(Parameter!$M$21)))</f>
        <v>0.153846153846154</v>
      </c>
      <c r="AI313" s="50" t="n">
        <f aca="false">AH313*CB313</f>
        <v>37.6923076923077</v>
      </c>
      <c r="AJ313" s="51" t="n">
        <f aca="false">IF(LEFT(Cockpit!$C$5,1)="A",H313,IF(CH313=1,(CK313+CI313)/2,IF(LEFT(Cockpit!$C$5,1)="B",(CK313+AL313)/2,MAX((CK313+AL313)/2,H313))))</f>
        <v>28</v>
      </c>
      <c r="AK313" s="50" t="n">
        <f aca="false">AJ313*G313</f>
        <v>761.04</v>
      </c>
      <c r="AL313" s="50" t="n">
        <f aca="false">ROUNDUP(CK313+MAX(CL313,2*(J313/IF(CG313&gt;0,CG313,MAX(0.1,N(Cockpit!$C$6)))-CK313)),0)</f>
        <v>26</v>
      </c>
      <c r="AM313" s="51" t="n">
        <f aca="false">IF(AI313&gt;0,J313/AI313,-1)</f>
        <v>0.636734693877551</v>
      </c>
      <c r="AN313" s="51" t="n">
        <f aca="false">IF(AND(OR(CF313="L1",CF313="L23",CF313="LIFT"),AI313&gt;0),SUMIFS($AI$7:$AI$1843,$CF$7:$CF$1843,CF313,$AM$7:$AM$1843,"&gt;"&amp;AM313)+SUMIFS($AI$7:$AI$1843,$CF$7:$CF$1843,CF313,$AM$7:$AM$1843,AM313,$BW$7:$BW$1843,"&lt;="&amp;BW313),"")</f>
        <v>8849.39743589744</v>
      </c>
      <c r="AO313" s="58" t="n">
        <f aca="false">IF(AN313="",0,MAX(0,MIN(1,(IF(CF313="L1",Parameter!$H$5,IF(CF313="L23",Parameter!$H$6+Parameter!$H$7,Parameter!$H$5+Parameter!$H$6+Parameter!$H$7))-(AN313-AI313))/AI313)))</f>
        <v>1</v>
      </c>
      <c r="AP313" s="50" t="n">
        <f aca="false">IF(LEFT(Cockpit!$I$5,1)="A",H313,IF(Parameter!$E$30="MAX-Bestand",IF(CH313=1,CI313,IF(LEFT(Cockpit!$I$5,1)="B",AV313,MAX(AV313,H313))),ROUNDUP(AT313,0)))</f>
        <v>28</v>
      </c>
      <c r="AQ313" s="50" t="n">
        <f aca="false">IF(BZ313=1,0,ROUNDUP(AP313/BY313,0))</f>
        <v>4</v>
      </c>
      <c r="AR313" s="52" t="n">
        <f aca="false">IF(CQ313&gt;0,CQ313*MAX(1,AP313/X313),IF(BZ313=1,IF(AP313&lt;=0,0,CD313*MAX(1,IF(H313&gt;0,AP313/H313,1))),IF(R313&gt;0,AQ313/R313,0))/MAX(0.1,N(Parameter!$M$21)))</f>
        <v>0.153846153846154</v>
      </c>
      <c r="AS313" s="50" t="n">
        <f aca="false">AR313*CB313</f>
        <v>37.6923076923077</v>
      </c>
      <c r="AT313" s="51" t="n">
        <f aca="false">IF(LEFT(Cockpit!$I$5,1)="A",H313,IF(CH313=1,(CK313+CI313)/2,IF(LEFT(Cockpit!$I$5,1)="B",(CK313+AV313)/2,MAX((CK313+AV313)/2,H313))))</f>
        <v>28</v>
      </c>
      <c r="AU313" s="50" t="n">
        <f aca="false">AT313*G313</f>
        <v>761.04</v>
      </c>
      <c r="AV313" s="50" t="n">
        <f aca="false">ROUNDUP(CK313+MAX(CL313,2*(J313/IF(CG313&gt;0,CG313,MAX(0.1,N(Cockpit!$I$6)))-CK313)),0)</f>
        <v>26</v>
      </c>
      <c r="AW313" s="51" t="n">
        <f aca="false">IF(AS313&gt;0,J313/AS313,-1)</f>
        <v>0.636734693877551</v>
      </c>
      <c r="AX313" s="51" t="n">
        <f aca="false">IF(AND(OR(CF313="L1",CF313="L23",CF313="LIFT"),AS313&gt;0),SUMIFS($AS$7:$AS$1843,$CF$7:$CF$1843,CF313,$AW$7:$AW$1843,"&gt;"&amp;AW313)+SUMIFS($AS$7:$AS$1843,$CF$7:$CF$1843,CF313,$AW$7:$AW$1843,AW313,$BW$7:$BW$1843,"&lt;="&amp;BW313),"")</f>
        <v>11149.5265567766</v>
      </c>
      <c r="AY313" s="58" t="n">
        <f aca="false">IF(AX313="",0,MAX(0,MIN(1,(IF(CF313="L1",Parameter!$H$5,IF(CF313="L23",Parameter!$H$6+Parameter!$H$7,Parameter!$H$5+Parameter!$H$6+Parameter!$H$7))-(AX313-AS313))/AS313)))</f>
        <v>1</v>
      </c>
      <c r="AZ313" s="50" t="n">
        <f aca="false">IF(LEFT(Cockpit!$O$5,1)="A",H313,IF(Parameter!$E$30="MAX-Bestand",IF(CH313=1,CI313,IF(LEFT(Cockpit!$O$5,1)="B",BF313,MAX(BF313,H313))),ROUNDUP(BD313,0)))</f>
        <v>14</v>
      </c>
      <c r="BA313" s="50" t="n">
        <f aca="false">IF(BZ313=1,0,ROUNDUP(AZ313/BY313,0))</f>
        <v>2</v>
      </c>
      <c r="BB313" s="52" t="n">
        <f aca="false">IF(CQ313&gt;0,CQ313*MAX(1,AZ313/X313),IF(BZ313=1,IF(AZ313&lt;=0,0,CD313*MAX(1,IF(H313&gt;0,AZ313/H313,1))),IF(R313&gt;0,BA313/R313,0))/MAX(0.1,N(Parameter!$M$21)))</f>
        <v>0.0769230769230769</v>
      </c>
      <c r="BC313" s="50" t="n">
        <f aca="false">BB313*CB313</f>
        <v>18.8461538461538</v>
      </c>
      <c r="BD313" s="51" t="n">
        <f aca="false">IF(LEFT(Cockpit!$O$5,1)="A",H313,IF(CH313=1,(CK313+CI313)/2,IF(LEFT(Cockpit!$O$5,1)="B",(CK313+BF313)/2,MAX((CK313+BF313)/2,H313))))</f>
        <v>13.5</v>
      </c>
      <c r="BE313" s="50" t="n">
        <f aca="false">BD313*G313</f>
        <v>366.93</v>
      </c>
      <c r="BF313" s="50" t="n">
        <f aca="false">ROUNDUP(CK313+MAX(CL313,2*(J313/IF(CG313&gt;0,CG313,MAX(0.1,N(Cockpit!$O$6)))-CK313)),0)</f>
        <v>26</v>
      </c>
      <c r="BG313" s="51" t="n">
        <f aca="false">IF(BC313&gt;0,J313/BC313,-1)</f>
        <v>1.2734693877551</v>
      </c>
      <c r="BH313" s="51" t="n">
        <f aca="false">IF(AND(OR(CF313="L1",CF313="L23",CF313="LIFT"),BC313&gt;0),SUMIFS($BC$7:$BC$1843,$CF$7:$CF$1843,CF313,$BG$7:$BG$1843,"&gt;"&amp;BG313)+SUMIFS($BC$7:$BC$1843,$CF$7:$CF$1843,CF313,$BG$7:$BG$1843,BG313,$BW$7:$BW$1843,"&lt;="&amp;BW313),"")</f>
        <v>6871.32921245421</v>
      </c>
      <c r="BI313" s="58" t="n">
        <f aca="false">IF(BH313="",0,MAX(0,MIN(1,(IF(CF313="L1",Parameter!$H$5,IF(CF313="L23",Parameter!$H$6+Parameter!$H$7,Parameter!$H$5+Parameter!$H$6+Parameter!$H$7))-(BH313-BC313))/BC313)))</f>
        <v>1</v>
      </c>
      <c r="BJ313" s="48" t="str">
        <f aca="false">IF(AI313&lt;=0,"",IF(CF313="Aussen","Aussenlager",IF(CF313="-","Nicht im Lift",IF(AO313&gt;=1,"Lift",IF(AO313&lt;=0,"Aussenlager","teilweise")))))</f>
        <v>Lift</v>
      </c>
      <c r="BK313" s="48" t="str">
        <f aca="false">IF(AS313&lt;=0,"",IF(CF313="Aussen","Aussenlager",IF(CF313="-","Nicht im Lift",IF(AY313&gt;=1,"Lift",IF(AY313&lt;=0,"Aussenlager","teilweise")))))</f>
        <v>Lift</v>
      </c>
      <c r="BL313" s="48" t="str">
        <f aca="false">IF(BC313&lt;=0,"",IF(CF313="Aussen","Aussenlager",IF(CF313="-","Nicht im Lift",IF(BI313&gt;=1,"Lift",IF(BI313&lt;=0,"Aussenlager","teilweise")))))</f>
        <v>Lift</v>
      </c>
      <c r="BM313" s="48" t="str">
        <f aca="false">IF(A313="","",IF(BV313=1,"Neu; ","")&amp;IF(AND(BV313=0,BQ313&lt;0),"negativer Bestand (Export "&amp;BQ313&amp;"); ","")&amp;IF(J313&lt;=0,"Kein Verbrauch; ","")&amp;IF(CQ313&gt;0,"Lift "&amp;W313&amp;" lt. Liftbericht (Fach "&amp;X313&amp;" Stk); ",IF(CA313=1,"Gebinde geschätzt ("&amp;T313&amp;"); ",IF(BZ313=1,"Lose – Tablare geschätzt; ","")))&amp;IF(H313&gt;AV313,"Überbestand "&amp;ROUND(H313-AV313,0)&amp;" Stk / CHF "&amp;ROUND((H313-AV313)*G313,0)&amp;"; ","")&amp;IF(AND(CH313=1,CI313&lt;CJ313),"MAX &lt; MB+LG; ","")&amp;IF(AND(CP313&gt;0,CO313*10&gt;CP313),"zu hoch für Tablar; ","")&amp;IF(AND(BV313=0,OR(CH313=1,AA313&lt;&gt;"",U313&lt;&gt;"",V313&lt;&gt;"",AB313&lt;&gt;"")),"manuell übersteuert; ","")&amp;IF(AND(BZ313=0,R313=0),"Gebinde unbekannt / Stellmass fehlt; ","")&amp;IF(AND(BZ313=0,N(V313)&lt;=0,N(Q313)&lt;=0),"Menge pro Gebinde fehlt (Ist = 1 Gebinde); ","")&amp;BU313)</f>
        <v>Überbestand 2 Stk / CHF 54; </v>
      </c>
      <c r="BN313" s="48"/>
      <c r="BO313" s="48"/>
      <c r="BP313" s="55"/>
      <c r="BQ313" s="50" t="n">
        <v>9</v>
      </c>
      <c r="BR313" s="50" t="n">
        <v>19</v>
      </c>
      <c r="BS313" s="49" t="n">
        <v>249.88</v>
      </c>
      <c r="BT313" s="50" t="n">
        <v>24</v>
      </c>
      <c r="BU313" s="48"/>
      <c r="BV313" s="53" t="n">
        <v>0</v>
      </c>
      <c r="BW313" s="53" t="n">
        <v>313</v>
      </c>
      <c r="BX313" s="48" t="str">
        <f aca="false">IF(U313&lt;&gt;"",UPPER(TRIM(U313)),IF(CA313=1,UPPER(VLOOKUP(T313,Parameter!$I$27:$K$29,2,0)),IF(P313="","LOSE",P313)))</f>
        <v>S52</v>
      </c>
      <c r="BY313" s="50" t="n">
        <f aca="false">IF(BX313="LOSE",1,IF(N(V313)&gt;0,V313,IF(CA313=1,MAX(1,N(VLOOKUP(T313,Parameter!$I$27:$K$29,3,0)),H313,N(N313)),IF(N(Q313)&gt;0,Q313,MAX(1,H313)))))</f>
        <v>8</v>
      </c>
      <c r="BZ313" s="53" t="n">
        <f aca="false">IF(BX313="LOSE",1,0)</f>
        <v>0</v>
      </c>
      <c r="CA313" s="53" t="n">
        <f aca="false">IF(AND(U313="",OR(P313="",P313="LOSE"),T313&lt;&gt;"",N(S313)&lt;=0,ISNUMBER(MATCH(T313,Parameter!$I$27:$I$29,0))),1,0)</f>
        <v>0</v>
      </c>
      <c r="CB313" s="53" t="n">
        <f aca="false">IF(CQ313&gt;0,INDEX(Parameter!$H$5:$H$7,W313)/INDEX(Parameter!$E$5:$E$7,W313),IF(AND(BZ313=0,N(IFERROR(VLOOKUP(BX313,'Gebinde-Kategorie'!$A$5:$N$45,14,0),0))&gt;0),VLOOKUP(BX313,'Gebinde-Kategorie'!$A$5:$N$45,14,0)*10+Parameter!$M$23,Parameter!$M$24))</f>
        <v>245</v>
      </c>
      <c r="CC313" s="48" t="str">
        <f aca="false">IF(AND(Parameter!$B$19="Ja",E313&lt;&gt;"",ISNUMBER(MATCH(E313,Parameter!$I$35:$I$52,0))),VLOOKUP(E313,Parameter!$I$35:$J$52,2,0),IFERROR(VLOOKUP(D313,Parameter!$A$35:$C$64,2,0),"Nein"))</f>
        <v>2+3</v>
      </c>
      <c r="CD313" s="52" t="n">
        <f aca="false">IF(BZ313=0,0,IF(N(S313)&gt;0,S313,IFERROR(VLOOKUP(D313,Parameter!$A$35:$C$64,3,0)+0,0)))</f>
        <v>0</v>
      </c>
      <c r="CE313" s="48" t="n">
        <f aca="false">IF(AA313&lt;&gt;"",AA313,Z313)</f>
        <v>3</v>
      </c>
      <c r="CF313" s="48" t="str">
        <f aca="false">IF(OR(CE313=1,CE313=2,CE313=3),IF(Parameter!$E$27="Ja","LIFT",IF(CE313=1,"L1","L23")),IF(CE313="Aussen","Aussen","-"))</f>
        <v>LIFT</v>
      </c>
      <c r="CG313" s="59" t="n">
        <f aca="false">IF(N(AB313)&gt;0,AB313,0)</f>
        <v>0</v>
      </c>
      <c r="CH313" s="53" t="n">
        <f aca="false">IF(ISNUMBER(AE313),1,0)</f>
        <v>0</v>
      </c>
      <c r="CI313" s="50" t="n">
        <f aca="false">N(AE313)</f>
        <v>0</v>
      </c>
      <c r="CJ313" s="50" t="n">
        <f aca="false">N(M313)+N(N313)</f>
        <v>26</v>
      </c>
      <c r="CK313" s="50" t="n">
        <f aca="false">N(M313)</f>
        <v>1</v>
      </c>
      <c r="CL313" s="50" t="n">
        <f aca="false">N(N313)</f>
        <v>25</v>
      </c>
      <c r="CM313" s="50" t="n">
        <f aca="false">ROUNDUP(H313/BY313,0)</f>
        <v>4</v>
      </c>
      <c r="CN313" s="50" t="n">
        <f aca="false">ROUNDUP(CI313/BY313,0)</f>
        <v>0</v>
      </c>
      <c r="CO313" s="53" t="n">
        <f aca="false">IF(BZ313=1,0,IFERROR(VLOOKUP(BX313,'Gebinde-Kategorie'!$A$5:$N$45,5,0)+0,0))</f>
        <v>21</v>
      </c>
      <c r="CP313" s="53" t="n">
        <f aca="false">IFERROR(IF(OR(CE313=1,CE313=2,CE313=3),N(INDEX(Parameter!$I$5:$I$7,CE313)),0),0)</f>
        <v>0</v>
      </c>
      <c r="CQ313" s="52" t="n">
        <f aca="false">IF(AND(Parameter!$B$21="Ja",ISNUMBER(W313),N(X313)&gt;0),IFERROR(N(INDEX(Parameter!$L$5:$L$7,W313))*INDEX(Parameter!$E$5:$E$7,W313)*X313/SUMIFS($X$7:$X$1843,$W$7:$W$1843,W313),0),0)</f>
        <v>0</v>
      </c>
    </row>
    <row r="314" customFormat="false" ht="15" hidden="false" customHeight="false" outlineLevel="0" collapsed="false">
      <c r="A314" s="48" t="s">
        <v>804</v>
      </c>
      <c r="B314" s="48" t="s">
        <v>805</v>
      </c>
      <c r="C314" s="48" t="s">
        <v>173</v>
      </c>
      <c r="D314" s="48" t="s">
        <v>193</v>
      </c>
      <c r="E314" s="48" t="s">
        <v>194</v>
      </c>
      <c r="F314" s="48" t="s">
        <v>227</v>
      </c>
      <c r="G314" s="49" t="n">
        <v>21.25</v>
      </c>
      <c r="H314" s="50" t="n">
        <f aca="false">MAX(0,IF(AND(Parameter!$B$21="Ja",ISNUMBER(Y314)),Y314,IF(Parameter!$B$20="Jahresanfang 2025 + Export",BR314+BQ314,BQ314)))</f>
        <v>17</v>
      </c>
      <c r="I314" s="50" t="n">
        <f aca="false">H314*G314</f>
        <v>361.25</v>
      </c>
      <c r="J314" s="50" t="n">
        <f aca="false">BT314*Parameter!$B$18</f>
        <v>16</v>
      </c>
      <c r="K314" s="51" t="n">
        <v>5.5</v>
      </c>
      <c r="L314" s="52" t="n">
        <v>2.90909090909091</v>
      </c>
      <c r="M314" s="50" t="n">
        <v>0</v>
      </c>
      <c r="N314" s="50" t="n">
        <v>15</v>
      </c>
      <c r="O314" s="53" t="n">
        <v>21</v>
      </c>
      <c r="P314" s="48" t="s">
        <v>430</v>
      </c>
      <c r="Q314" s="50" t="n">
        <v>9</v>
      </c>
      <c r="R314" s="53" t="n">
        <f aca="false">IF(BZ314=1,0,IFERROR(VLOOKUP(BX314,'Gebinde-Kategorie'!$A$5:$N$45,13,0)+0,0))</f>
        <v>104</v>
      </c>
      <c r="S314" s="54"/>
      <c r="T314" s="55"/>
      <c r="U314" s="55"/>
      <c r="V314" s="55"/>
      <c r="W314" s="48"/>
      <c r="X314" s="50"/>
      <c r="Y314" s="50"/>
      <c r="Z314" s="48" t="n">
        <f aca="false">IF(A314="","",IF(AND(Parameter!$B$21="Ja",ISNUMBER(W314)),W314,IF(CC314="2+3",IF(ISNUMBER(SEARCH("grosser Artikel",BU314)),2,IFERROR(VLOOKUP(BX314,Parameter!$F$35:$G$64,2,0),2)),IF(OR(CC314="Nein",CC314=""),"-",CC314))))</f>
        <v>3</v>
      </c>
      <c r="AA314" s="55"/>
      <c r="AB314" s="56"/>
      <c r="AC314" s="50" t="n">
        <f aca="false">AV314</f>
        <v>15</v>
      </c>
      <c r="AD314" s="50" t="n">
        <f aca="false">MAX(AV314,H314)</f>
        <v>17</v>
      </c>
      <c r="AE314" s="57"/>
      <c r="AF314" s="50" t="n">
        <f aca="false">IF(LEFT(Cockpit!$C$5,1)="A",H314,IF(Parameter!$E$30="MAX-Bestand",IF(CH314=1,CI314,IF(LEFT(Cockpit!$C$5,1)="B",AL314,MAX(AL314,H314))),ROUNDUP(AJ314,0)))</f>
        <v>17</v>
      </c>
      <c r="AG314" s="50" t="n">
        <f aca="false">IF(BZ314=1,0,ROUNDUP(AF314/BY314,0))</f>
        <v>2</v>
      </c>
      <c r="AH314" s="52" t="n">
        <f aca="false">IF(CQ314&gt;0,CQ314*MAX(1,AF314/X314),IF(BZ314=1,IF(AF314&lt;=0,0,CD314*MAX(1,IF(H314&gt;0,AF314/H314,1))),IF(R314&gt;0,AG314/R314,0))/MAX(0.1,N(Parameter!$M$21)))</f>
        <v>0.0192307692307692</v>
      </c>
      <c r="AI314" s="50" t="n">
        <f aca="false">AH314*CB314</f>
        <v>2.98076923076923</v>
      </c>
      <c r="AJ314" s="51" t="n">
        <f aca="false">IF(LEFT(Cockpit!$C$5,1)="A",H314,IF(CH314=1,(CK314+CI314)/2,IF(LEFT(Cockpit!$C$5,1)="B",(CK314+AL314)/2,MAX((CK314+AL314)/2,H314))))</f>
        <v>17</v>
      </c>
      <c r="AK314" s="50" t="n">
        <f aca="false">AJ314*G314</f>
        <v>361.25</v>
      </c>
      <c r="AL314" s="50" t="n">
        <f aca="false">ROUNDUP(CK314+MAX(CL314,2*(J314/IF(CG314&gt;0,CG314,MAX(0.1,N(Cockpit!$C$6)))-CK314)),0)</f>
        <v>15</v>
      </c>
      <c r="AM314" s="51" t="n">
        <f aca="false">IF(AI314&gt;0,J314/AI314,-1)</f>
        <v>5.36774193548387</v>
      </c>
      <c r="AN314" s="51" t="n">
        <f aca="false">IF(AND(OR(CF314="L1",CF314="L23",CF314="LIFT"),AI314&gt;0),SUMIFS($AI$7:$AI$1843,$CF$7:$CF$1843,CF314,$AM$7:$AM$1843,"&gt;"&amp;AM314)+SUMIFS($AI$7:$AI$1843,$CF$7:$CF$1843,CF314,$AM$7:$AM$1843,AM314,$BW$7:$BW$1843,"&lt;="&amp;BW314),"")</f>
        <v>3720.22985347985</v>
      </c>
      <c r="AO314" s="58" t="n">
        <f aca="false">IF(AN314="",0,MAX(0,MIN(1,(IF(CF314="L1",Parameter!$H$5,IF(CF314="L23",Parameter!$H$6+Parameter!$H$7,Parameter!$H$5+Parameter!$H$6+Parameter!$H$7))-(AN314-AI314))/AI314)))</f>
        <v>1</v>
      </c>
      <c r="AP314" s="50" t="n">
        <f aca="false">IF(LEFT(Cockpit!$I$5,1)="A",H314,IF(Parameter!$E$30="MAX-Bestand",IF(CH314=1,CI314,IF(LEFT(Cockpit!$I$5,1)="B",AV314,MAX(AV314,H314))),ROUNDUP(AT314,0)))</f>
        <v>17</v>
      </c>
      <c r="AQ314" s="50" t="n">
        <f aca="false">IF(BZ314=1,0,ROUNDUP(AP314/BY314,0))</f>
        <v>2</v>
      </c>
      <c r="AR314" s="52" t="n">
        <f aca="false">IF(CQ314&gt;0,CQ314*MAX(1,AP314/X314),IF(BZ314=1,IF(AP314&lt;=0,0,CD314*MAX(1,IF(H314&gt;0,AP314/H314,1))),IF(R314&gt;0,AQ314/R314,0))/MAX(0.1,N(Parameter!$M$21)))</f>
        <v>0.0192307692307692</v>
      </c>
      <c r="AS314" s="50" t="n">
        <f aca="false">AR314*CB314</f>
        <v>2.98076923076923</v>
      </c>
      <c r="AT314" s="51" t="n">
        <f aca="false">IF(LEFT(Cockpit!$I$5,1)="A",H314,IF(CH314=1,(CK314+CI314)/2,IF(LEFT(Cockpit!$I$5,1)="B",(CK314+AV314)/2,MAX((CK314+AV314)/2,H314))))</f>
        <v>17</v>
      </c>
      <c r="AU314" s="50" t="n">
        <f aca="false">AT314*G314</f>
        <v>361.25</v>
      </c>
      <c r="AV314" s="50" t="n">
        <f aca="false">ROUNDUP(CK314+MAX(CL314,2*(J314/IF(CG314&gt;0,CG314,MAX(0.1,N(Cockpit!$I$6)))-CK314)),0)</f>
        <v>15</v>
      </c>
      <c r="AW314" s="51" t="n">
        <f aca="false">IF(AS314&gt;0,J314/AS314,-1)</f>
        <v>5.36774193548387</v>
      </c>
      <c r="AX314" s="51" t="n">
        <f aca="false">IF(AND(OR(CF314="L1",CF314="L23",CF314="LIFT"),AS314&gt;0),SUMIFS($AS$7:$AS$1843,$CF$7:$CF$1843,CF314,$AW$7:$AW$1843,"&gt;"&amp;AW314)+SUMIFS($AS$7:$AS$1843,$CF$7:$CF$1843,CF314,$AW$7:$AW$1843,AW314,$BW$7:$BW$1843,"&lt;="&amp;BW314),"")</f>
        <v>4373.9706959707</v>
      </c>
      <c r="AY314" s="58" t="n">
        <f aca="false">IF(AX314="",0,MAX(0,MIN(1,(IF(CF314="L1",Parameter!$H$5,IF(CF314="L23",Parameter!$H$6+Parameter!$H$7,Parameter!$H$5+Parameter!$H$6+Parameter!$H$7))-(AX314-AS314))/AS314)))</f>
        <v>1</v>
      </c>
      <c r="AZ314" s="50" t="n">
        <f aca="false">IF(LEFT(Cockpit!$O$5,1)="A",H314,IF(Parameter!$E$30="MAX-Bestand",IF(CH314=1,CI314,IF(LEFT(Cockpit!$O$5,1)="B",BF314,MAX(BF314,H314))),ROUNDUP(BD314,0)))</f>
        <v>8</v>
      </c>
      <c r="BA314" s="50" t="n">
        <f aca="false">IF(BZ314=1,0,ROUNDUP(AZ314/BY314,0))</f>
        <v>1</v>
      </c>
      <c r="BB314" s="52" t="n">
        <f aca="false">IF(CQ314&gt;0,CQ314*MAX(1,AZ314/X314),IF(BZ314=1,IF(AZ314&lt;=0,0,CD314*MAX(1,IF(H314&gt;0,AZ314/H314,1))),IF(R314&gt;0,BA314/R314,0))/MAX(0.1,N(Parameter!$M$21)))</f>
        <v>0.00961538461538462</v>
      </c>
      <c r="BC314" s="50" t="n">
        <f aca="false">BB314*CB314</f>
        <v>1.49038461538462</v>
      </c>
      <c r="BD314" s="51" t="n">
        <f aca="false">IF(LEFT(Cockpit!$O$5,1)="A",H314,IF(CH314=1,(CK314+CI314)/2,IF(LEFT(Cockpit!$O$5,1)="B",(CK314+BF314)/2,MAX((CK314+BF314)/2,H314))))</f>
        <v>7.5</v>
      </c>
      <c r="BE314" s="50" t="n">
        <f aca="false">BD314*G314</f>
        <v>159.375</v>
      </c>
      <c r="BF314" s="50" t="n">
        <f aca="false">ROUNDUP(CK314+MAX(CL314,2*(J314/IF(CG314&gt;0,CG314,MAX(0.1,N(Cockpit!$O$6)))-CK314)),0)</f>
        <v>15</v>
      </c>
      <c r="BG314" s="51" t="n">
        <f aca="false">IF(BC314&gt;0,J314/BC314,-1)</f>
        <v>10.7354838709677</v>
      </c>
      <c r="BH314" s="51" t="n">
        <f aca="false">IF(AND(OR(CF314="L1",CF314="L23",CF314="LIFT"),BC314&gt;0),SUMIFS($BC$7:$BC$1843,$CF$7:$CF$1843,CF314,$BG$7:$BG$1843,"&gt;"&amp;BG314)+SUMIFS($BC$7:$BC$1843,$CF$7:$CF$1843,CF314,$BG$7:$BG$1843,BG314,$BW$7:$BW$1843,"&lt;="&amp;BW314),"")</f>
        <v>2668.4793956044</v>
      </c>
      <c r="BI314" s="58" t="n">
        <f aca="false">IF(BH314="",0,MAX(0,MIN(1,(IF(CF314="L1",Parameter!$H$5,IF(CF314="L23",Parameter!$H$6+Parameter!$H$7,Parameter!$H$5+Parameter!$H$6+Parameter!$H$7))-(BH314-BC314))/BC314)))</f>
        <v>1</v>
      </c>
      <c r="BJ314" s="48" t="str">
        <f aca="false">IF(AI314&lt;=0,"",IF(CF314="Aussen","Aussenlager",IF(CF314="-","Nicht im Lift",IF(AO314&gt;=1,"Lift",IF(AO314&lt;=0,"Aussenlager","teilweise")))))</f>
        <v>Lift</v>
      </c>
      <c r="BK314" s="48" t="str">
        <f aca="false">IF(AS314&lt;=0,"",IF(CF314="Aussen","Aussenlager",IF(CF314="-","Nicht im Lift",IF(AY314&gt;=1,"Lift",IF(AY314&lt;=0,"Aussenlager","teilweise")))))</f>
        <v>Lift</v>
      </c>
      <c r="BL314" s="48" t="str">
        <f aca="false">IF(BC314&lt;=0,"",IF(CF314="Aussen","Aussenlager",IF(CF314="-","Nicht im Lift",IF(BI314&gt;=1,"Lift",IF(BI314&lt;=0,"Aussenlager","teilweise")))))</f>
        <v>Lift</v>
      </c>
      <c r="BM314" s="48" t="str">
        <f aca="false">IF(A314="","",IF(BV314=1,"Neu; ","")&amp;IF(AND(BV314=0,BQ314&lt;0),"negativer Bestand (Export "&amp;BQ314&amp;"); ","")&amp;IF(J314&lt;=0,"Kein Verbrauch; ","")&amp;IF(CQ314&gt;0,"Lift "&amp;W314&amp;" lt. Liftbericht (Fach "&amp;X314&amp;" Stk); ",IF(CA314=1,"Gebinde geschätzt ("&amp;T314&amp;"); ",IF(BZ314=1,"Lose – Tablare geschätzt; ","")))&amp;IF(H314&gt;AV314,"Überbestand "&amp;ROUND(H314-AV314,0)&amp;" Stk / CHF "&amp;ROUND((H314-AV314)*G314,0)&amp;"; ","")&amp;IF(AND(CH314=1,CI314&lt;CJ314),"MAX &lt; MB+LG; ","")&amp;IF(AND(CP314&gt;0,CO314*10&gt;CP314),"zu hoch für Tablar; ","")&amp;IF(AND(BV314=0,OR(CH314=1,AA314&lt;&gt;"",U314&lt;&gt;"",V314&lt;&gt;"",AB314&lt;&gt;"")),"manuell übersteuert; ","")&amp;IF(AND(BZ314=0,R314=0),"Gebinde unbekannt / Stellmass fehlt; ","")&amp;IF(AND(BZ314=0,N(V314)&lt;=0,N(Q314)&lt;=0),"Menge pro Gebinde fehlt (Ist = 1 Gebinde); ","")&amp;BU314)</f>
        <v>Überbestand 2 Stk / CHF 43; </v>
      </c>
      <c r="BN314" s="48"/>
      <c r="BO314" s="48"/>
      <c r="BP314" s="55"/>
      <c r="BQ314" s="50" t="n">
        <v>11</v>
      </c>
      <c r="BR314" s="50" t="n">
        <v>6</v>
      </c>
      <c r="BS314" s="49" t="n">
        <v>249.53</v>
      </c>
      <c r="BT314" s="50" t="n">
        <v>16</v>
      </c>
      <c r="BU314" s="48"/>
      <c r="BV314" s="53" t="n">
        <v>0</v>
      </c>
      <c r="BW314" s="53" t="n">
        <v>314</v>
      </c>
      <c r="BX314" s="48" t="str">
        <f aca="false">IF(U314&lt;&gt;"",UPPER(TRIM(U314)),IF(CA314=1,UPPER(VLOOKUP(T314,Parameter!$I$27:$K$29,2,0)),IF(P314="","LOSE",P314)))</f>
        <v>S32</v>
      </c>
      <c r="BY314" s="50" t="n">
        <f aca="false">IF(BX314="LOSE",1,IF(N(V314)&gt;0,V314,IF(CA314=1,MAX(1,N(VLOOKUP(T314,Parameter!$I$27:$K$29,3,0)),H314,N(N314)),IF(N(Q314)&gt;0,Q314,MAX(1,H314)))))</f>
        <v>9</v>
      </c>
      <c r="BZ314" s="53" t="n">
        <f aca="false">IF(BX314="LOSE",1,0)</f>
        <v>0</v>
      </c>
      <c r="CA314" s="53" t="n">
        <f aca="false">IF(AND(U314="",OR(P314="",P314="LOSE"),T314&lt;&gt;"",N(S314)&lt;=0,ISNUMBER(MATCH(T314,Parameter!$I$27:$I$29,0))),1,0)</f>
        <v>0</v>
      </c>
      <c r="CB314" s="53" t="n">
        <f aca="false">IF(CQ314&gt;0,INDEX(Parameter!$H$5:$H$7,W314)/INDEX(Parameter!$E$5:$E$7,W314),IF(AND(BZ314=0,N(IFERROR(VLOOKUP(BX314,'Gebinde-Kategorie'!$A$5:$N$45,14,0),0))&gt;0),VLOOKUP(BX314,'Gebinde-Kategorie'!$A$5:$N$45,14,0)*10+Parameter!$M$23,Parameter!$M$24))</f>
        <v>155</v>
      </c>
      <c r="CC314" s="48" t="str">
        <f aca="false">IF(AND(Parameter!$B$19="Ja",E314&lt;&gt;"",ISNUMBER(MATCH(E314,Parameter!$I$35:$I$52,0))),VLOOKUP(E314,Parameter!$I$35:$J$52,2,0),IFERROR(VLOOKUP(D314,Parameter!$A$35:$C$64,2,0),"Nein"))</f>
        <v>2+3</v>
      </c>
      <c r="CD314" s="52" t="n">
        <f aca="false">IF(BZ314=0,0,IF(N(S314)&gt;0,S314,IFERROR(VLOOKUP(D314,Parameter!$A$35:$C$64,3,0)+0,0)))</f>
        <v>0</v>
      </c>
      <c r="CE314" s="48" t="n">
        <f aca="false">IF(AA314&lt;&gt;"",AA314,Z314)</f>
        <v>3</v>
      </c>
      <c r="CF314" s="48" t="str">
        <f aca="false">IF(OR(CE314=1,CE314=2,CE314=3),IF(Parameter!$E$27="Ja","LIFT",IF(CE314=1,"L1","L23")),IF(CE314="Aussen","Aussen","-"))</f>
        <v>LIFT</v>
      </c>
      <c r="CG314" s="59" t="n">
        <f aca="false">IF(N(AB314)&gt;0,AB314,0)</f>
        <v>0</v>
      </c>
      <c r="CH314" s="53" t="n">
        <f aca="false">IF(ISNUMBER(AE314),1,0)</f>
        <v>0</v>
      </c>
      <c r="CI314" s="50" t="n">
        <f aca="false">N(AE314)</f>
        <v>0</v>
      </c>
      <c r="CJ314" s="50" t="n">
        <f aca="false">N(M314)+N(N314)</f>
        <v>15</v>
      </c>
      <c r="CK314" s="50" t="n">
        <f aca="false">N(M314)</f>
        <v>0</v>
      </c>
      <c r="CL314" s="50" t="n">
        <f aca="false">N(N314)</f>
        <v>15</v>
      </c>
      <c r="CM314" s="50" t="n">
        <f aca="false">ROUNDUP(H314/BY314,0)</f>
        <v>2</v>
      </c>
      <c r="CN314" s="50" t="n">
        <f aca="false">ROUNDUP(CI314/BY314,0)</f>
        <v>0</v>
      </c>
      <c r="CO314" s="53" t="n">
        <f aca="false">IF(BZ314=1,0,IFERROR(VLOOKUP(BX314,'Gebinde-Kategorie'!$A$5:$N$45,5,0)+0,0))</f>
        <v>8</v>
      </c>
      <c r="CP314" s="53" t="n">
        <f aca="false">IFERROR(IF(OR(CE314=1,CE314=2,CE314=3),N(INDEX(Parameter!$I$5:$I$7,CE314)),0),0)</f>
        <v>0</v>
      </c>
      <c r="CQ314" s="52" t="n">
        <f aca="false">IF(AND(Parameter!$B$21="Ja",ISNUMBER(W314),N(X314)&gt;0),IFERROR(N(INDEX(Parameter!$L$5:$L$7,W314))*INDEX(Parameter!$E$5:$E$7,W314)*X314/SUMIFS($X$7:$X$1843,$W$7:$W$1843,W314),0),0)</f>
        <v>0</v>
      </c>
    </row>
    <row r="315" customFormat="false" ht="15" hidden="false" customHeight="false" outlineLevel="0" collapsed="false">
      <c r="A315" s="48" t="s">
        <v>806</v>
      </c>
      <c r="B315" s="48" t="s">
        <v>600</v>
      </c>
      <c r="C315" s="48" t="s">
        <v>173</v>
      </c>
      <c r="D315" s="48" t="s">
        <v>193</v>
      </c>
      <c r="E315" s="48" t="s">
        <v>194</v>
      </c>
      <c r="F315" s="48" t="s">
        <v>227</v>
      </c>
      <c r="G315" s="49" t="n">
        <v>7.02</v>
      </c>
      <c r="H315" s="50" t="n">
        <f aca="false">MAX(0,IF(AND(Parameter!$B$21="Ja",ISNUMBER(Y315)),Y315,IF(Parameter!$B$20="Jahresanfang 2025 + Export",BR315+BQ315,BQ315)))</f>
        <v>61</v>
      </c>
      <c r="I315" s="50" t="n">
        <f aca="false">H315*G315</f>
        <v>428.22</v>
      </c>
      <c r="J315" s="50" t="n">
        <f aca="false">BT315*Parameter!$B$18</f>
        <v>63</v>
      </c>
      <c r="K315" s="51" t="n">
        <v>42</v>
      </c>
      <c r="L315" s="52" t="n">
        <v>1.5</v>
      </c>
      <c r="M315" s="50" t="n">
        <v>2</v>
      </c>
      <c r="N315" s="50" t="n">
        <v>60</v>
      </c>
      <c r="O315" s="53" t="n">
        <v>21</v>
      </c>
      <c r="P315" s="48" t="s">
        <v>485</v>
      </c>
      <c r="Q315" s="50" t="n">
        <v>58</v>
      </c>
      <c r="R315" s="53" t="n">
        <f aca="false">IF(BZ315=1,0,IFERROR(VLOOKUP(BX315,'Gebinde-Kategorie'!$A$5:$N$45,13,0)+0,0))</f>
        <v>52</v>
      </c>
      <c r="S315" s="54"/>
      <c r="T315" s="55"/>
      <c r="U315" s="55"/>
      <c r="V315" s="55"/>
      <c r="W315" s="48"/>
      <c r="X315" s="50"/>
      <c r="Y315" s="50"/>
      <c r="Z315" s="48" t="n">
        <f aca="false">IF(A315="","",IF(AND(Parameter!$B$21="Ja",ISNUMBER(W315)),W315,IF(CC315="2+3",IF(ISNUMBER(SEARCH("grosser Artikel",BU315)),2,IFERROR(VLOOKUP(BX315,Parameter!$F$35:$G$64,2,0),2)),IF(OR(CC315="Nein",CC315=""),"-",CC315))))</f>
        <v>3</v>
      </c>
      <c r="AA315" s="55"/>
      <c r="AB315" s="56"/>
      <c r="AC315" s="50" t="n">
        <f aca="false">AV315</f>
        <v>62</v>
      </c>
      <c r="AD315" s="50" t="n">
        <f aca="false">MAX(AV315,H315)</f>
        <v>62</v>
      </c>
      <c r="AE315" s="57"/>
      <c r="AF315" s="50" t="n">
        <f aca="false">IF(LEFT(Cockpit!$C$5,1)="A",H315,IF(Parameter!$E$30="MAX-Bestand",IF(CH315=1,CI315,IF(LEFT(Cockpit!$C$5,1)="B",AL315,MAX(AL315,H315))),ROUNDUP(AJ315,0)))</f>
        <v>61</v>
      </c>
      <c r="AG315" s="50" t="n">
        <f aca="false">IF(BZ315=1,0,ROUNDUP(AF315/BY315,0))</f>
        <v>2</v>
      </c>
      <c r="AH315" s="52" t="n">
        <f aca="false">IF(CQ315&gt;0,CQ315*MAX(1,AF315/X315),IF(BZ315=1,IF(AF315&lt;=0,0,CD315*MAX(1,IF(H315&gt;0,AF315/H315,1))),IF(R315&gt;0,AG315/R315,0))/MAX(0.1,N(Parameter!$M$21)))</f>
        <v>0.0384615384615385</v>
      </c>
      <c r="AI315" s="50" t="n">
        <f aca="false">AH315*CB315</f>
        <v>5.96153846153846</v>
      </c>
      <c r="AJ315" s="51" t="n">
        <f aca="false">IF(LEFT(Cockpit!$C$5,1)="A",H315,IF(CH315=1,(CK315+CI315)/2,IF(LEFT(Cockpit!$C$5,1)="B",(CK315+AL315)/2,MAX((CK315+AL315)/2,H315))))</f>
        <v>61</v>
      </c>
      <c r="AK315" s="50" t="n">
        <f aca="false">AJ315*G315</f>
        <v>428.22</v>
      </c>
      <c r="AL315" s="50" t="n">
        <f aca="false">ROUNDUP(CK315+MAX(CL315,2*(J315/IF(CG315&gt;0,CG315,MAX(0.1,N(Cockpit!$C$6)))-CK315)),0)</f>
        <v>62</v>
      </c>
      <c r="AM315" s="51" t="n">
        <f aca="false">IF(AI315&gt;0,J315/AI315,-1)</f>
        <v>10.5677419354839</v>
      </c>
      <c r="AN315" s="51" t="n">
        <f aca="false">IF(AND(OR(CF315="L1",CF315="L23",CF315="LIFT"),AI315&gt;0),SUMIFS($AI$7:$AI$1843,$CF$7:$CF$1843,CF315,$AM$7:$AM$1843,"&gt;"&amp;AM315)+SUMIFS($AI$7:$AI$1843,$CF$7:$CF$1843,CF315,$AM$7:$AM$1843,AM315,$BW$7:$BW$1843,"&lt;="&amp;BW315),"")</f>
        <v>2582.75732600733</v>
      </c>
      <c r="AO315" s="58" t="n">
        <f aca="false">IF(AN315="",0,MAX(0,MIN(1,(IF(CF315="L1",Parameter!$H$5,IF(CF315="L23",Parameter!$H$6+Parameter!$H$7,Parameter!$H$5+Parameter!$H$6+Parameter!$H$7))-(AN315-AI315))/AI315)))</f>
        <v>1</v>
      </c>
      <c r="AP315" s="50" t="n">
        <f aca="false">IF(LEFT(Cockpit!$I$5,1)="A",H315,IF(Parameter!$E$30="MAX-Bestand",IF(CH315=1,CI315,IF(LEFT(Cockpit!$I$5,1)="B",AV315,MAX(AV315,H315))),ROUNDUP(AT315,0)))</f>
        <v>61</v>
      </c>
      <c r="AQ315" s="50" t="n">
        <f aca="false">IF(BZ315=1,0,ROUNDUP(AP315/BY315,0))</f>
        <v>2</v>
      </c>
      <c r="AR315" s="52" t="n">
        <f aca="false">IF(CQ315&gt;0,CQ315*MAX(1,AP315/X315),IF(BZ315=1,IF(AP315&lt;=0,0,CD315*MAX(1,IF(H315&gt;0,AP315/H315,1))),IF(R315&gt;0,AQ315/R315,0))/MAX(0.1,N(Parameter!$M$21)))</f>
        <v>0.0384615384615385</v>
      </c>
      <c r="AS315" s="50" t="n">
        <f aca="false">AR315*CB315</f>
        <v>5.96153846153846</v>
      </c>
      <c r="AT315" s="51" t="n">
        <f aca="false">IF(LEFT(Cockpit!$I$5,1)="A",H315,IF(CH315=1,(CK315+CI315)/2,IF(LEFT(Cockpit!$I$5,1)="B",(CK315+AV315)/2,MAX((CK315+AV315)/2,H315))))</f>
        <v>61</v>
      </c>
      <c r="AU315" s="50" t="n">
        <f aca="false">AT315*G315</f>
        <v>428.22</v>
      </c>
      <c r="AV315" s="50" t="n">
        <f aca="false">ROUNDUP(CK315+MAX(CL315,2*(J315/IF(CG315&gt;0,CG315,MAX(0.1,N(Cockpit!$I$6)))-CK315)),0)</f>
        <v>62</v>
      </c>
      <c r="AW315" s="51" t="n">
        <f aca="false">IF(AS315&gt;0,J315/AS315,-1)</f>
        <v>10.5677419354839</v>
      </c>
      <c r="AX315" s="51" t="n">
        <f aca="false">IF(AND(OR(CF315="L1",CF315="L23",CF315="LIFT"),AS315&gt;0),SUMIFS($AS$7:$AS$1843,$CF$7:$CF$1843,CF315,$AW$7:$AW$1843,"&gt;"&amp;AW315)+SUMIFS($AS$7:$AS$1843,$CF$7:$CF$1843,CF315,$AW$7:$AW$1843,AW315,$BW$7:$BW$1843,"&lt;="&amp;BW315),"")</f>
        <v>3178.89926739927</v>
      </c>
      <c r="AY315" s="58" t="n">
        <f aca="false">IF(AX315="",0,MAX(0,MIN(1,(IF(CF315="L1",Parameter!$H$5,IF(CF315="L23",Parameter!$H$6+Parameter!$H$7,Parameter!$H$5+Parameter!$H$6+Parameter!$H$7))-(AX315-AS315))/AS315)))</f>
        <v>1</v>
      </c>
      <c r="AZ315" s="50" t="n">
        <f aca="false">IF(LEFT(Cockpit!$O$5,1)="A",H315,IF(Parameter!$E$30="MAX-Bestand",IF(CH315=1,CI315,IF(LEFT(Cockpit!$O$5,1)="B",BF315,MAX(BF315,H315))),ROUNDUP(BD315,0)))</f>
        <v>32</v>
      </c>
      <c r="BA315" s="50" t="n">
        <f aca="false">IF(BZ315=1,0,ROUNDUP(AZ315/BY315,0))</f>
        <v>1</v>
      </c>
      <c r="BB315" s="52" t="n">
        <f aca="false">IF(CQ315&gt;0,CQ315*MAX(1,AZ315/X315),IF(BZ315=1,IF(AZ315&lt;=0,0,CD315*MAX(1,IF(H315&gt;0,AZ315/H315,1))),IF(R315&gt;0,BA315/R315,0))/MAX(0.1,N(Parameter!$M$21)))</f>
        <v>0.0192307692307692</v>
      </c>
      <c r="BC315" s="50" t="n">
        <f aca="false">BB315*CB315</f>
        <v>2.98076923076923</v>
      </c>
      <c r="BD315" s="51" t="n">
        <f aca="false">IF(LEFT(Cockpit!$O$5,1)="A",H315,IF(CH315=1,(CK315+CI315)/2,IF(LEFT(Cockpit!$O$5,1)="B",(CK315+BF315)/2,MAX((CK315+BF315)/2,H315))))</f>
        <v>32</v>
      </c>
      <c r="BE315" s="50" t="n">
        <f aca="false">BD315*G315</f>
        <v>224.64</v>
      </c>
      <c r="BF315" s="50" t="n">
        <f aca="false">ROUNDUP(CK315+MAX(CL315,2*(J315/IF(CG315&gt;0,CG315,MAX(0.1,N(Cockpit!$O$6)))-CK315)),0)</f>
        <v>62</v>
      </c>
      <c r="BG315" s="51" t="n">
        <f aca="false">IF(BC315&gt;0,J315/BC315,-1)</f>
        <v>21.1354838709677</v>
      </c>
      <c r="BH315" s="51" t="n">
        <f aca="false">IF(AND(OR(CF315="L1",CF315="L23",CF315="LIFT"),BC315&gt;0),SUMIFS($BC$7:$BC$1843,$CF$7:$CF$1843,CF315,$BG$7:$BG$1843,"&gt;"&amp;BG315)+SUMIFS($BC$7:$BC$1843,$CF$7:$CF$1843,CF315,$BG$7:$BG$1843,BG315,$BW$7:$BW$1843,"&lt;="&amp;BW315),"")</f>
        <v>2190.77335164835</v>
      </c>
      <c r="BI315" s="58" t="n">
        <f aca="false">IF(BH315="",0,MAX(0,MIN(1,(IF(CF315="L1",Parameter!$H$5,IF(CF315="L23",Parameter!$H$6+Parameter!$H$7,Parameter!$H$5+Parameter!$H$6+Parameter!$H$7))-(BH315-BC315))/BC315)))</f>
        <v>1</v>
      </c>
      <c r="BJ315" s="48" t="str">
        <f aca="false">IF(AI315&lt;=0,"",IF(CF315="Aussen","Aussenlager",IF(CF315="-","Nicht im Lift",IF(AO315&gt;=1,"Lift",IF(AO315&lt;=0,"Aussenlager","teilweise")))))</f>
        <v>Lift</v>
      </c>
      <c r="BK315" s="48" t="str">
        <f aca="false">IF(AS315&lt;=0,"",IF(CF315="Aussen","Aussenlager",IF(CF315="-","Nicht im Lift",IF(AY315&gt;=1,"Lift",IF(AY315&lt;=0,"Aussenlager","teilweise")))))</f>
        <v>Lift</v>
      </c>
      <c r="BL315" s="48" t="str">
        <f aca="false">IF(BC315&lt;=0,"",IF(CF315="Aussen","Aussenlager",IF(CF315="-","Nicht im Lift",IF(BI315&gt;=1,"Lift",IF(BI315&lt;=0,"Aussenlager","teilweise")))))</f>
        <v>Lift</v>
      </c>
      <c r="BM315" s="48" t="str">
        <f aca="false">IF(A315="","",IF(BV315=1,"Neu; ","")&amp;IF(AND(BV315=0,BQ315&lt;0),"negativer Bestand (Export "&amp;BQ315&amp;"); ","")&amp;IF(J315&lt;=0,"Kein Verbrauch; ","")&amp;IF(CQ315&gt;0,"Lift "&amp;W315&amp;" lt. Liftbericht (Fach "&amp;X315&amp;" Stk); ",IF(CA315=1,"Gebinde geschätzt ("&amp;T315&amp;"); ",IF(BZ315=1,"Lose – Tablare geschätzt; ","")))&amp;IF(H315&gt;AV315,"Überbestand "&amp;ROUND(H315-AV315,0)&amp;" Stk / CHF "&amp;ROUND((H315-AV315)*G315,0)&amp;"; ","")&amp;IF(AND(CH315=1,CI315&lt;CJ315),"MAX &lt; MB+LG; ","")&amp;IF(AND(CP315&gt;0,CO315*10&gt;CP315),"zu hoch für Tablar; ","")&amp;IF(AND(BV315=0,OR(CH315=1,AA315&lt;&gt;"",U315&lt;&gt;"",V315&lt;&gt;"",AB315&lt;&gt;"")),"manuell übersteuert; ","")&amp;IF(AND(BZ315=0,R315=0),"Gebinde unbekannt / Stellmass fehlt; ","")&amp;IF(AND(BZ315=0,N(V315)&lt;=0,N(Q315)&lt;=0),"Menge pro Gebinde fehlt (Ist = 1 Gebinde); ","")&amp;BU315)</f>
        <v/>
      </c>
      <c r="BN315" s="48"/>
      <c r="BO315" s="48"/>
      <c r="BP315" s="55"/>
      <c r="BQ315" s="50" t="n">
        <v>38</v>
      </c>
      <c r="BR315" s="50" t="n">
        <v>23</v>
      </c>
      <c r="BS315" s="49" t="n">
        <v>248.82</v>
      </c>
      <c r="BT315" s="50" t="n">
        <v>63</v>
      </c>
      <c r="BU315" s="48"/>
      <c r="BV315" s="53" t="n">
        <v>0</v>
      </c>
      <c r="BW315" s="53" t="n">
        <v>315</v>
      </c>
      <c r="BX315" s="48" t="str">
        <f aca="false">IF(U315&lt;&gt;"",UPPER(TRIM(U315)),IF(CA315=1,UPPER(VLOOKUP(T315,Parameter!$I$27:$K$29,2,0)),IF(P315="","LOSE",P315)))</f>
        <v>S33</v>
      </c>
      <c r="BY315" s="50" t="n">
        <f aca="false">IF(BX315="LOSE",1,IF(N(V315)&gt;0,V315,IF(CA315=1,MAX(1,N(VLOOKUP(T315,Parameter!$I$27:$K$29,3,0)),H315,N(N315)),IF(N(Q315)&gt;0,Q315,MAX(1,H315)))))</f>
        <v>58</v>
      </c>
      <c r="BZ315" s="53" t="n">
        <f aca="false">IF(BX315="LOSE",1,0)</f>
        <v>0</v>
      </c>
      <c r="CA315" s="53" t="n">
        <f aca="false">IF(AND(U315="",OR(P315="",P315="LOSE"),T315&lt;&gt;"",N(S315)&lt;=0,ISNUMBER(MATCH(T315,Parameter!$I$27:$I$29,0))),1,0)</f>
        <v>0</v>
      </c>
      <c r="CB315" s="53" t="n">
        <f aca="false">IF(CQ315&gt;0,INDEX(Parameter!$H$5:$H$7,W315)/INDEX(Parameter!$E$5:$E$7,W315),IF(AND(BZ315=0,N(IFERROR(VLOOKUP(BX315,'Gebinde-Kategorie'!$A$5:$N$45,14,0),0))&gt;0),VLOOKUP(BX315,'Gebinde-Kategorie'!$A$5:$N$45,14,0)*10+Parameter!$M$23,Parameter!$M$24))</f>
        <v>155</v>
      </c>
      <c r="CC315" s="48" t="str">
        <f aca="false">IF(AND(Parameter!$B$19="Ja",E315&lt;&gt;"",ISNUMBER(MATCH(E315,Parameter!$I$35:$I$52,0))),VLOOKUP(E315,Parameter!$I$35:$J$52,2,0),IFERROR(VLOOKUP(D315,Parameter!$A$35:$C$64,2,0),"Nein"))</f>
        <v>2+3</v>
      </c>
      <c r="CD315" s="52" t="n">
        <f aca="false">IF(BZ315=0,0,IF(N(S315)&gt;0,S315,IFERROR(VLOOKUP(D315,Parameter!$A$35:$C$64,3,0)+0,0)))</f>
        <v>0</v>
      </c>
      <c r="CE315" s="48" t="n">
        <f aca="false">IF(AA315&lt;&gt;"",AA315,Z315)</f>
        <v>3</v>
      </c>
      <c r="CF315" s="48" t="str">
        <f aca="false">IF(OR(CE315=1,CE315=2,CE315=3),IF(Parameter!$E$27="Ja","LIFT",IF(CE315=1,"L1","L23")),IF(CE315="Aussen","Aussen","-"))</f>
        <v>LIFT</v>
      </c>
      <c r="CG315" s="59" t="n">
        <f aca="false">IF(N(AB315)&gt;0,AB315,0)</f>
        <v>0</v>
      </c>
      <c r="CH315" s="53" t="n">
        <f aca="false">IF(ISNUMBER(AE315),1,0)</f>
        <v>0</v>
      </c>
      <c r="CI315" s="50" t="n">
        <f aca="false">N(AE315)</f>
        <v>0</v>
      </c>
      <c r="CJ315" s="50" t="n">
        <f aca="false">N(M315)+N(N315)</f>
        <v>62</v>
      </c>
      <c r="CK315" s="50" t="n">
        <f aca="false">N(M315)</f>
        <v>2</v>
      </c>
      <c r="CL315" s="50" t="n">
        <f aca="false">N(N315)</f>
        <v>60</v>
      </c>
      <c r="CM315" s="50" t="n">
        <f aca="false">ROUNDUP(H315/BY315,0)</f>
        <v>2</v>
      </c>
      <c r="CN315" s="50" t="n">
        <f aca="false">ROUNDUP(CI315/BY315,0)</f>
        <v>0</v>
      </c>
      <c r="CO315" s="53" t="n">
        <f aca="false">IF(BZ315=1,0,IFERROR(VLOOKUP(BX315,'Gebinde-Kategorie'!$A$5:$N$45,5,0)+0,0))</f>
        <v>8</v>
      </c>
      <c r="CP315" s="53" t="n">
        <f aca="false">IFERROR(IF(OR(CE315=1,CE315=2,CE315=3),N(INDEX(Parameter!$I$5:$I$7,CE315)),0),0)</f>
        <v>0</v>
      </c>
      <c r="CQ315" s="52" t="n">
        <f aca="false">IF(AND(Parameter!$B$21="Ja",ISNUMBER(W315),N(X315)&gt;0),IFERROR(N(INDEX(Parameter!$L$5:$L$7,W315))*INDEX(Parameter!$E$5:$E$7,W315)*X315/SUMIFS($X$7:$X$1843,$W$7:$W$1843,W315),0),0)</f>
        <v>0</v>
      </c>
    </row>
    <row r="316" customFormat="false" ht="15" hidden="false" customHeight="false" outlineLevel="0" collapsed="false">
      <c r="A316" s="48" t="s">
        <v>807</v>
      </c>
      <c r="B316" s="48" t="s">
        <v>801</v>
      </c>
      <c r="C316" s="48" t="s">
        <v>173</v>
      </c>
      <c r="D316" s="48" t="s">
        <v>193</v>
      </c>
      <c r="E316" s="48"/>
      <c r="F316" s="48" t="s">
        <v>227</v>
      </c>
      <c r="G316" s="49" t="n">
        <v>9.86</v>
      </c>
      <c r="H316" s="50" t="n">
        <f aca="false">MAX(0,IF(AND(Parameter!$B$21="Ja",ISNUMBER(Y316)),Y316,IF(Parameter!$B$20="Jahresanfang 2025 + Export",BR316+BQ316,BQ316)))</f>
        <v>25</v>
      </c>
      <c r="I316" s="50" t="n">
        <f aca="false">H316*G316</f>
        <v>246.5</v>
      </c>
      <c r="J316" s="50" t="n">
        <f aca="false">BT316*Parameter!$B$18</f>
        <v>0</v>
      </c>
      <c r="K316" s="51" t="n">
        <v>0</v>
      </c>
      <c r="L316" s="52" t="n">
        <v>0</v>
      </c>
      <c r="M316" s="50" t="n">
        <v>0</v>
      </c>
      <c r="N316" s="50" t="n">
        <v>1</v>
      </c>
      <c r="O316" s="53" t="n">
        <v>9999</v>
      </c>
      <c r="P316" s="48" t="s">
        <v>177</v>
      </c>
      <c r="Q316" s="50"/>
      <c r="R316" s="53" t="n">
        <f aca="false">IF(BZ316=1,0,IFERROR(VLOOKUP(BX316,'Gebinde-Kategorie'!$A$5:$N$45,13,0)+0,0))</f>
        <v>26</v>
      </c>
      <c r="S316" s="54"/>
      <c r="T316" s="55" t="s">
        <v>284</v>
      </c>
      <c r="U316" s="55"/>
      <c r="V316" s="55"/>
      <c r="W316" s="48"/>
      <c r="X316" s="50"/>
      <c r="Y316" s="50"/>
      <c r="Z316" s="48" t="n">
        <f aca="false">IF(A316="","",IF(AND(Parameter!$B$21="Ja",ISNUMBER(W316)),W316,IF(CC316="2+3",IF(ISNUMBER(SEARCH("grosser Artikel",BU316)),2,IFERROR(VLOOKUP(BX316,Parameter!$F$35:$G$64,2,0),2)),IF(OR(CC316="Nein",CC316=""),"-",CC316))))</f>
        <v>3</v>
      </c>
      <c r="AA316" s="55"/>
      <c r="AB316" s="56"/>
      <c r="AC316" s="50" t="n">
        <f aca="false">AV316</f>
        <v>1</v>
      </c>
      <c r="AD316" s="50" t="n">
        <f aca="false">MAX(AV316,H316)</f>
        <v>25</v>
      </c>
      <c r="AE316" s="57"/>
      <c r="AF316" s="50" t="n">
        <f aca="false">IF(LEFT(Cockpit!$C$5,1)="A",H316,IF(Parameter!$E$30="MAX-Bestand",IF(CH316=1,CI316,IF(LEFT(Cockpit!$C$5,1)="B",AL316,MAX(AL316,H316))),ROUNDUP(AJ316,0)))</f>
        <v>25</v>
      </c>
      <c r="AG316" s="50" t="n">
        <f aca="false">IF(BZ316=1,0,ROUNDUP(AF316/BY316,0))</f>
        <v>1</v>
      </c>
      <c r="AH316" s="52" t="n">
        <f aca="false">IF(CQ316&gt;0,CQ316*MAX(1,AF316/X316),IF(BZ316=1,IF(AF316&lt;=0,0,CD316*MAX(1,IF(H316&gt;0,AF316/H316,1))),IF(R316&gt;0,AG316/R316,0))/MAX(0.1,N(Parameter!$M$21)))</f>
        <v>0.0384615384615385</v>
      </c>
      <c r="AI316" s="50" t="n">
        <f aca="false">AH316*CB316</f>
        <v>5.96153846153846</v>
      </c>
      <c r="AJ316" s="51" t="n">
        <f aca="false">IF(LEFT(Cockpit!$C$5,1)="A",H316,IF(CH316=1,(CK316+CI316)/2,IF(LEFT(Cockpit!$C$5,1)="B",(CK316+AL316)/2,MAX((CK316+AL316)/2,H316))))</f>
        <v>25</v>
      </c>
      <c r="AK316" s="50" t="n">
        <f aca="false">AJ316*G316</f>
        <v>246.5</v>
      </c>
      <c r="AL316" s="50" t="n">
        <f aca="false">ROUNDUP(CK316+MAX(CL316,2*(J316/IF(CG316&gt;0,CG316,MAX(0.1,N(Cockpit!$C$6)))-CK316)),0)</f>
        <v>1</v>
      </c>
      <c r="AM316" s="51" t="n">
        <f aca="false">IF(AI316&gt;0,J316/AI316,-1)</f>
        <v>0</v>
      </c>
      <c r="AN316" s="51" t="n">
        <f aca="false">IF(AND(OR(CF316="L1",CF316="L23",CF316="LIFT"),AI316&gt;0),SUMIFS($AI$7:$AI$1843,$CF$7:$CF$1843,CF316,$AM$7:$AM$1843,"&gt;"&amp;AM316)+SUMIFS($AI$7:$AI$1843,$CF$7:$CF$1843,CF316,$AM$7:$AM$1843,AM316,$BW$7:$BW$1843,"&lt;="&amp;BW316),"")</f>
        <v>27903.6819447031</v>
      </c>
      <c r="AO316" s="58" t="n">
        <f aca="false">IF(AN316="",0,MAX(0,MIN(1,(IF(CF316="L1",Parameter!$H$5,IF(CF316="L23",Parameter!$H$6+Parameter!$H$7,Parameter!$H$5+Parameter!$H$6+Parameter!$H$7))-(AN316-AI316))/AI316)))</f>
        <v>1</v>
      </c>
      <c r="AP316" s="50" t="n">
        <f aca="false">IF(LEFT(Cockpit!$I$5,1)="A",H316,IF(Parameter!$E$30="MAX-Bestand",IF(CH316=1,CI316,IF(LEFT(Cockpit!$I$5,1)="B",AV316,MAX(AV316,H316))),ROUNDUP(AT316,0)))</f>
        <v>25</v>
      </c>
      <c r="AQ316" s="50" t="n">
        <f aca="false">IF(BZ316=1,0,ROUNDUP(AP316/BY316,0))</f>
        <v>1</v>
      </c>
      <c r="AR316" s="52" t="n">
        <f aca="false">IF(CQ316&gt;0,CQ316*MAX(1,AP316/X316),IF(BZ316=1,IF(AP316&lt;=0,0,CD316*MAX(1,IF(H316&gt;0,AP316/H316,1))),IF(R316&gt;0,AQ316/R316,0))/MAX(0.1,N(Parameter!$M$21)))</f>
        <v>0.0384615384615385</v>
      </c>
      <c r="AS316" s="50" t="n">
        <f aca="false">AR316*CB316</f>
        <v>5.96153846153846</v>
      </c>
      <c r="AT316" s="51" t="n">
        <f aca="false">IF(LEFT(Cockpit!$I$5,1)="A",H316,IF(CH316=1,(CK316+CI316)/2,IF(LEFT(Cockpit!$I$5,1)="B",(CK316+AV316)/2,MAX((CK316+AV316)/2,H316))))</f>
        <v>25</v>
      </c>
      <c r="AU316" s="50" t="n">
        <f aca="false">AT316*G316</f>
        <v>246.5</v>
      </c>
      <c r="AV316" s="50" t="n">
        <f aca="false">ROUNDUP(CK316+MAX(CL316,2*(J316/IF(CG316&gt;0,CG316,MAX(0.1,N(Cockpit!$I$6)))-CK316)),0)</f>
        <v>1</v>
      </c>
      <c r="AW316" s="51" t="n">
        <f aca="false">IF(AS316&gt;0,J316/AS316,-1)</f>
        <v>0</v>
      </c>
      <c r="AX316" s="51" t="n">
        <f aca="false">IF(AND(OR(CF316="L1",CF316="L23",CF316="LIFT"),AS316&gt;0),SUMIFS($AS$7:$AS$1843,$CF$7:$CF$1843,CF316,$AW$7:$AW$1843,"&gt;"&amp;AW316)+SUMIFS($AS$7:$AS$1843,$CF$7:$CF$1843,CF316,$AW$7:$AW$1843,AW316,$BW$7:$BW$1843,"&lt;="&amp;BW316),"")</f>
        <v>33256.8305860806</v>
      </c>
      <c r="AY316" s="58" t="n">
        <f aca="false">IF(AX316="",0,MAX(0,MIN(1,(IF(CF316="L1",Parameter!$H$5,IF(CF316="L23",Parameter!$H$6+Parameter!$H$7,Parameter!$H$5+Parameter!$H$6+Parameter!$H$7))-(AX316-AS316))/AS316)))</f>
        <v>1</v>
      </c>
      <c r="AZ316" s="50" t="n">
        <f aca="false">IF(LEFT(Cockpit!$O$5,1)="A",H316,IF(Parameter!$E$30="MAX-Bestand",IF(CH316=1,CI316,IF(LEFT(Cockpit!$O$5,1)="B",BF316,MAX(BF316,H316))),ROUNDUP(BD316,0)))</f>
        <v>1</v>
      </c>
      <c r="BA316" s="50" t="n">
        <f aca="false">IF(BZ316=1,0,ROUNDUP(AZ316/BY316,0))</f>
        <v>1</v>
      </c>
      <c r="BB316" s="52" t="n">
        <f aca="false">IF(CQ316&gt;0,CQ316*MAX(1,AZ316/X316),IF(BZ316=1,IF(AZ316&lt;=0,0,CD316*MAX(1,IF(H316&gt;0,AZ316/H316,1))),IF(R316&gt;0,BA316/R316,0))/MAX(0.1,N(Parameter!$M$21)))</f>
        <v>0.0384615384615385</v>
      </c>
      <c r="BC316" s="50" t="n">
        <f aca="false">BB316*CB316</f>
        <v>5.96153846153846</v>
      </c>
      <c r="BD316" s="51" t="n">
        <f aca="false">IF(LEFT(Cockpit!$O$5,1)="A",H316,IF(CH316=1,(CK316+CI316)/2,IF(LEFT(Cockpit!$O$5,1)="B",(CK316+BF316)/2,MAX((CK316+BF316)/2,H316))))</f>
        <v>0.5</v>
      </c>
      <c r="BE316" s="50" t="n">
        <f aca="false">BD316*G316</f>
        <v>4.93</v>
      </c>
      <c r="BF316" s="50" t="n">
        <f aca="false">ROUNDUP(CK316+MAX(CL316,2*(J316/IF(CG316&gt;0,CG316,MAX(0.1,N(Cockpit!$O$6)))-CK316)),0)</f>
        <v>1</v>
      </c>
      <c r="BG316" s="51" t="n">
        <f aca="false">IF(BC316&gt;0,J316/BC316,-1)</f>
        <v>0</v>
      </c>
      <c r="BH316" s="51" t="n">
        <f aca="false">IF(AND(OR(CF316="L1",CF316="L23",CF316="LIFT"),BC316&gt;0),SUMIFS($BC$7:$BC$1843,$CF$7:$CF$1843,CF316,$BG$7:$BG$1843,"&gt;"&amp;BG316)+SUMIFS($BC$7:$BC$1843,$CF$7:$CF$1843,CF316,$BG$7:$BG$1843,BG316,$BW$7:$BW$1843,"&lt;="&amp;BW316),"")</f>
        <v>27382.2906345067</v>
      </c>
      <c r="BI316" s="58" t="n">
        <f aca="false">IF(BH316="",0,MAX(0,MIN(1,(IF(CF316="L1",Parameter!$H$5,IF(CF316="L23",Parameter!$H$6+Parameter!$H$7,Parameter!$H$5+Parameter!$H$6+Parameter!$H$7))-(BH316-BC316))/BC316)))</f>
        <v>1</v>
      </c>
      <c r="BJ316" s="48" t="str">
        <f aca="false">IF(AI316&lt;=0,"",IF(CF316="Aussen","Aussenlager",IF(CF316="-","Nicht im Lift",IF(AO316&gt;=1,"Lift",IF(AO316&lt;=0,"Aussenlager","teilweise")))))</f>
        <v>Lift</v>
      </c>
      <c r="BK316" s="48" t="str">
        <f aca="false">IF(AS316&lt;=0,"",IF(CF316="Aussen","Aussenlager",IF(CF316="-","Nicht im Lift",IF(AY316&gt;=1,"Lift",IF(AY316&lt;=0,"Aussenlager","teilweise")))))</f>
        <v>Lift</v>
      </c>
      <c r="BL316" s="48" t="str">
        <f aca="false">IF(BC316&lt;=0,"",IF(CF316="Aussen","Aussenlager",IF(CF316="-","Nicht im Lift",IF(BI316&gt;=1,"Lift",IF(BI316&lt;=0,"Aussenlager","teilweise")))))</f>
        <v>Lift</v>
      </c>
      <c r="BM316" s="48" t="str">
        <f aca="false">IF(A316="","",IF(BV316=1,"Neu; ","")&amp;IF(AND(BV316=0,BQ316&lt;0),"negativer Bestand (Export "&amp;BQ316&amp;"); ","")&amp;IF(J316&lt;=0,"Kein Verbrauch; ","")&amp;IF(CQ316&gt;0,"Lift "&amp;W316&amp;" lt. Liftbericht (Fach "&amp;X316&amp;" Stk); ",IF(CA316=1,"Gebinde geschätzt ("&amp;T316&amp;"); ",IF(BZ316=1,"Lose – Tablare geschätzt; ","")))&amp;IF(H316&gt;AV316,"Überbestand "&amp;ROUND(H316-AV316,0)&amp;" Stk / CHF "&amp;ROUND((H316-AV316)*G316,0)&amp;"; ","")&amp;IF(AND(CH316=1,CI316&lt;CJ316),"MAX &lt; MB+LG; ","")&amp;IF(AND(CP316&gt;0,CO316*10&gt;CP316),"zu hoch für Tablar; ","")&amp;IF(AND(BV316=0,OR(CH316=1,AA316&lt;&gt;"",U316&lt;&gt;"",V316&lt;&gt;"",AB316&lt;&gt;"")),"manuell übersteuert; ","")&amp;IF(AND(BZ316=0,R316=0),"Gebinde unbekannt / Stellmass fehlt; ","")&amp;IF(AND(BZ316=0,N(V316)&lt;=0,N(Q316)&lt;=0),"Menge pro Gebinde fehlt (Ist = 1 Gebinde); ","")&amp;BU316)</f>
        <v>Kein Verbrauch; Gebinde geschätzt (Klein); Überbestand 24 Stk / CHF 237; Menge pro Gebinde fehlt (Ist = 1 Gebinde); </v>
      </c>
      <c r="BN316" s="48"/>
      <c r="BO316" s="48"/>
      <c r="BP316" s="55"/>
      <c r="BQ316" s="50" t="n">
        <v>25</v>
      </c>
      <c r="BR316" s="50" t="n">
        <v>0</v>
      </c>
      <c r="BS316" s="49" t="n">
        <v>246.5</v>
      </c>
      <c r="BT316" s="50" t="n">
        <v>0</v>
      </c>
      <c r="BU316" s="48"/>
      <c r="BV316" s="53" t="n">
        <v>0</v>
      </c>
      <c r="BW316" s="53" t="n">
        <v>316</v>
      </c>
      <c r="BX316" s="48" t="str">
        <f aca="false">IF(U316&lt;&gt;"",UPPER(TRIM(U316)),IF(CA316=1,UPPER(VLOOKUP(T316,Parameter!$I$27:$K$29,2,0)),IF(P316="","LOSE",P316)))</f>
        <v>S51</v>
      </c>
      <c r="BY316" s="50" t="n">
        <f aca="false">IF(BX316="LOSE",1,IF(N(V316)&gt;0,V316,IF(CA316=1,MAX(1,N(VLOOKUP(T316,Parameter!$I$27:$K$29,3,0)),H316,N(N316)),IF(N(Q316)&gt;0,Q316,MAX(1,H316)))))</f>
        <v>25</v>
      </c>
      <c r="BZ316" s="53" t="n">
        <f aca="false">IF(BX316="LOSE",1,0)</f>
        <v>0</v>
      </c>
      <c r="CA316" s="53" t="n">
        <f aca="false">IF(AND(U316="",OR(P316="",P316="LOSE"),T316&lt;&gt;"",N(S316)&lt;=0,ISNUMBER(MATCH(T316,Parameter!$I$27:$I$29,0))),1,0)</f>
        <v>1</v>
      </c>
      <c r="CB316" s="53" t="n">
        <f aca="false">IF(CQ316&gt;0,INDEX(Parameter!$H$5:$H$7,W316)/INDEX(Parameter!$E$5:$E$7,W316),IF(AND(BZ316=0,N(IFERROR(VLOOKUP(BX316,'Gebinde-Kategorie'!$A$5:$N$45,14,0),0))&gt;0),VLOOKUP(BX316,'Gebinde-Kategorie'!$A$5:$N$45,14,0)*10+Parameter!$M$23,Parameter!$M$24))</f>
        <v>155</v>
      </c>
      <c r="CC316" s="48" t="str">
        <f aca="false">IF(AND(Parameter!$B$19="Ja",E316&lt;&gt;"",ISNUMBER(MATCH(E316,Parameter!$I$35:$I$52,0))),VLOOKUP(E316,Parameter!$I$35:$J$52,2,0),IFERROR(VLOOKUP(D316,Parameter!$A$35:$C$64,2,0),"Nein"))</f>
        <v>2+3</v>
      </c>
      <c r="CD316" s="52" t="n">
        <f aca="false">IF(BZ316=0,0,IF(N(S316)&gt;0,S316,IFERROR(VLOOKUP(D316,Parameter!$A$35:$C$64,3,0)+0,0)))</f>
        <v>0</v>
      </c>
      <c r="CE316" s="48" t="n">
        <f aca="false">IF(AA316&lt;&gt;"",AA316,Z316)</f>
        <v>3</v>
      </c>
      <c r="CF316" s="48" t="str">
        <f aca="false">IF(OR(CE316=1,CE316=2,CE316=3),IF(Parameter!$E$27="Ja","LIFT",IF(CE316=1,"L1","L23")),IF(CE316="Aussen","Aussen","-"))</f>
        <v>LIFT</v>
      </c>
      <c r="CG316" s="59" t="n">
        <f aca="false">IF(N(AB316)&gt;0,AB316,0)</f>
        <v>0</v>
      </c>
      <c r="CH316" s="53" t="n">
        <f aca="false">IF(ISNUMBER(AE316),1,0)</f>
        <v>0</v>
      </c>
      <c r="CI316" s="50" t="n">
        <f aca="false">N(AE316)</f>
        <v>0</v>
      </c>
      <c r="CJ316" s="50" t="n">
        <f aca="false">N(M316)+N(N316)</f>
        <v>1</v>
      </c>
      <c r="CK316" s="50" t="n">
        <f aca="false">N(M316)</f>
        <v>0</v>
      </c>
      <c r="CL316" s="50" t="n">
        <f aca="false">N(N316)</f>
        <v>1</v>
      </c>
      <c r="CM316" s="50" t="n">
        <f aca="false">ROUNDUP(H316/BY316,0)</f>
        <v>1</v>
      </c>
      <c r="CN316" s="50" t="n">
        <f aca="false">ROUNDUP(CI316/BY316,0)</f>
        <v>0</v>
      </c>
      <c r="CO316" s="53" t="n">
        <f aca="false">IF(BZ316=1,0,IFERROR(VLOOKUP(BX316,'Gebinde-Kategorie'!$A$5:$N$45,5,0)+0,0))</f>
        <v>11</v>
      </c>
      <c r="CP316" s="53" t="n">
        <f aca="false">IFERROR(IF(OR(CE316=1,CE316=2,CE316=3),N(INDEX(Parameter!$I$5:$I$7,CE316)),0),0)</f>
        <v>0</v>
      </c>
      <c r="CQ316" s="52" t="n">
        <f aca="false">IF(AND(Parameter!$B$21="Ja",ISNUMBER(W316),N(X316)&gt;0),IFERROR(N(INDEX(Parameter!$L$5:$L$7,W316))*INDEX(Parameter!$E$5:$E$7,W316)*X316/SUMIFS($X$7:$X$1843,$W$7:$W$1843,W316),0),0)</f>
        <v>0</v>
      </c>
    </row>
    <row r="317" customFormat="false" ht="15" hidden="false" customHeight="false" outlineLevel="0" collapsed="false">
      <c r="A317" s="48" t="s">
        <v>808</v>
      </c>
      <c r="B317" s="48" t="s">
        <v>809</v>
      </c>
      <c r="C317" s="48" t="s">
        <v>173</v>
      </c>
      <c r="D317" s="48" t="s">
        <v>193</v>
      </c>
      <c r="E317" s="48"/>
      <c r="F317" s="48" t="s">
        <v>227</v>
      </c>
      <c r="G317" s="49" t="n">
        <v>81.98</v>
      </c>
      <c r="H317" s="50" t="n">
        <f aca="false">MAX(0,IF(AND(Parameter!$B$21="Ja",ISNUMBER(Y317)),Y317,IF(Parameter!$B$20="Jahresanfang 2025 + Export",BR317+BQ317,BQ317)))</f>
        <v>3</v>
      </c>
      <c r="I317" s="50" t="n">
        <f aca="false">H317*G317</f>
        <v>245.94</v>
      </c>
      <c r="J317" s="50" t="n">
        <f aca="false">BT317*Parameter!$B$18</f>
        <v>4</v>
      </c>
      <c r="K317" s="51" t="n">
        <v>3</v>
      </c>
      <c r="L317" s="52" t="n">
        <v>1.33333333333333</v>
      </c>
      <c r="M317" s="50" t="n">
        <v>0</v>
      </c>
      <c r="N317" s="50" t="n">
        <v>5</v>
      </c>
      <c r="O317" s="53" t="n">
        <v>14</v>
      </c>
      <c r="P317" s="48" t="s">
        <v>311</v>
      </c>
      <c r="Q317" s="50" t="n">
        <v>3</v>
      </c>
      <c r="R317" s="53" t="n">
        <f aca="false">IF(BZ317=1,0,IFERROR(VLOOKUP(BX317,'Gebinde-Kategorie'!$A$5:$N$45,13,0)+0,0))</f>
        <v>26</v>
      </c>
      <c r="S317" s="54"/>
      <c r="T317" s="55"/>
      <c r="U317" s="55"/>
      <c r="V317" s="55"/>
      <c r="W317" s="48"/>
      <c r="X317" s="50"/>
      <c r="Y317" s="50"/>
      <c r="Z317" s="48" t="n">
        <f aca="false">IF(A317="","",IF(AND(Parameter!$B$21="Ja",ISNUMBER(W317)),W317,IF(CC317="2+3",IF(ISNUMBER(SEARCH("grosser Artikel",BU317)),2,IFERROR(VLOOKUP(BX317,Parameter!$F$35:$G$64,2,0),2)),IF(OR(CC317="Nein",CC317=""),"-",CC317))))</f>
        <v>3</v>
      </c>
      <c r="AA317" s="55"/>
      <c r="AB317" s="56"/>
      <c r="AC317" s="50" t="n">
        <f aca="false">AV317</f>
        <v>5</v>
      </c>
      <c r="AD317" s="50" t="n">
        <f aca="false">MAX(AV317,H317)</f>
        <v>5</v>
      </c>
      <c r="AE317" s="57"/>
      <c r="AF317" s="50" t="n">
        <f aca="false">IF(LEFT(Cockpit!$C$5,1)="A",H317,IF(Parameter!$E$30="MAX-Bestand",IF(CH317=1,CI317,IF(LEFT(Cockpit!$C$5,1)="B",AL317,MAX(AL317,H317))),ROUNDUP(AJ317,0)))</f>
        <v>3</v>
      </c>
      <c r="AG317" s="50" t="n">
        <f aca="false">IF(BZ317=1,0,ROUNDUP(AF317/BY317,0))</f>
        <v>1</v>
      </c>
      <c r="AH317" s="52" t="n">
        <f aca="false">IF(CQ317&gt;0,CQ317*MAX(1,AF317/X317),IF(BZ317=1,IF(AF317&lt;=0,0,CD317*MAX(1,IF(H317&gt;0,AF317/H317,1))),IF(R317&gt;0,AG317/R317,0))/MAX(0.1,N(Parameter!$M$21)))</f>
        <v>0.0384615384615385</v>
      </c>
      <c r="AI317" s="50" t="n">
        <f aca="false">AH317*CB317</f>
        <v>5.96153846153846</v>
      </c>
      <c r="AJ317" s="51" t="n">
        <f aca="false">IF(LEFT(Cockpit!$C$5,1)="A",H317,IF(CH317=1,(CK317+CI317)/2,IF(LEFT(Cockpit!$C$5,1)="B",(CK317+AL317)/2,MAX((CK317+AL317)/2,H317))))</f>
        <v>3</v>
      </c>
      <c r="AK317" s="50" t="n">
        <f aca="false">AJ317*G317</f>
        <v>245.94</v>
      </c>
      <c r="AL317" s="50" t="n">
        <f aca="false">ROUNDUP(CK317+MAX(CL317,2*(J317/IF(CG317&gt;0,CG317,MAX(0.1,N(Cockpit!$C$6)))-CK317)),0)</f>
        <v>5</v>
      </c>
      <c r="AM317" s="51" t="n">
        <f aca="false">IF(AI317&gt;0,J317/AI317,-1)</f>
        <v>0.670967741935484</v>
      </c>
      <c r="AN317" s="51" t="n">
        <f aca="false">IF(AND(OR(CF317="L1",CF317="L23",CF317="LIFT"),AI317&gt;0),SUMIFS($AI$7:$AI$1843,$CF$7:$CF$1843,CF317,$AM$7:$AM$1843,"&gt;"&amp;AM317)+SUMIFS($AI$7:$AI$1843,$CF$7:$CF$1843,CF317,$AM$7:$AM$1843,AM317,$BW$7:$BW$1843,"&lt;="&amp;BW317),"")</f>
        <v>8608.66025641026</v>
      </c>
      <c r="AO317" s="58" t="n">
        <f aca="false">IF(AN317="",0,MAX(0,MIN(1,(IF(CF317="L1",Parameter!$H$5,IF(CF317="L23",Parameter!$H$6+Parameter!$H$7,Parameter!$H$5+Parameter!$H$6+Parameter!$H$7))-(AN317-AI317))/AI317)))</f>
        <v>1</v>
      </c>
      <c r="AP317" s="50" t="n">
        <f aca="false">IF(LEFT(Cockpit!$I$5,1)="A",H317,IF(Parameter!$E$30="MAX-Bestand",IF(CH317=1,CI317,IF(LEFT(Cockpit!$I$5,1)="B",AV317,MAX(AV317,H317))),ROUNDUP(AT317,0)))</f>
        <v>3</v>
      </c>
      <c r="AQ317" s="50" t="n">
        <f aca="false">IF(BZ317=1,0,ROUNDUP(AP317/BY317,0))</f>
        <v>1</v>
      </c>
      <c r="AR317" s="52" t="n">
        <f aca="false">IF(CQ317&gt;0,CQ317*MAX(1,AP317/X317),IF(BZ317=1,IF(AP317&lt;=0,0,CD317*MAX(1,IF(H317&gt;0,AP317/H317,1))),IF(R317&gt;0,AQ317/R317,0))/MAX(0.1,N(Parameter!$M$21)))</f>
        <v>0.0384615384615385</v>
      </c>
      <c r="AS317" s="50" t="n">
        <f aca="false">AR317*CB317</f>
        <v>5.96153846153846</v>
      </c>
      <c r="AT317" s="51" t="n">
        <f aca="false">IF(LEFT(Cockpit!$I$5,1)="A",H317,IF(CH317=1,(CK317+CI317)/2,IF(LEFT(Cockpit!$I$5,1)="B",(CK317+AV317)/2,MAX((CK317+AV317)/2,H317))))</f>
        <v>3</v>
      </c>
      <c r="AU317" s="50" t="n">
        <f aca="false">AT317*G317</f>
        <v>245.94</v>
      </c>
      <c r="AV317" s="50" t="n">
        <f aca="false">ROUNDUP(CK317+MAX(CL317,2*(J317/IF(CG317&gt;0,CG317,MAX(0.1,N(Cockpit!$I$6)))-CK317)),0)</f>
        <v>5</v>
      </c>
      <c r="AW317" s="51" t="n">
        <f aca="false">IF(AS317&gt;0,J317/AS317,-1)</f>
        <v>0.670967741935484</v>
      </c>
      <c r="AX317" s="51" t="n">
        <f aca="false">IF(AND(OR(CF317="L1",CF317="L23",CF317="LIFT"),AS317&gt;0),SUMIFS($AS$7:$AS$1843,$CF$7:$CF$1843,CF317,$AW$7:$AW$1843,"&gt;"&amp;AW317)+SUMIFS($AS$7:$AS$1843,$CF$7:$CF$1843,CF317,$AW$7:$AW$1843,AW317,$BW$7:$BW$1843,"&lt;="&amp;BW317),"")</f>
        <v>10892.3951465201</v>
      </c>
      <c r="AY317" s="58" t="n">
        <f aca="false">IF(AX317="",0,MAX(0,MIN(1,(IF(CF317="L1",Parameter!$H$5,IF(CF317="L23",Parameter!$H$6+Parameter!$H$7,Parameter!$H$5+Parameter!$H$6+Parameter!$H$7))-(AX317-AS317))/AS317)))</f>
        <v>1</v>
      </c>
      <c r="AZ317" s="50" t="n">
        <f aca="false">IF(LEFT(Cockpit!$O$5,1)="A",H317,IF(Parameter!$E$30="MAX-Bestand",IF(CH317=1,CI317,IF(LEFT(Cockpit!$O$5,1)="B",BF317,MAX(BF317,H317))),ROUNDUP(BD317,0)))</f>
        <v>3</v>
      </c>
      <c r="BA317" s="50" t="n">
        <f aca="false">IF(BZ317=1,0,ROUNDUP(AZ317/BY317,0))</f>
        <v>1</v>
      </c>
      <c r="BB317" s="52" t="n">
        <f aca="false">IF(CQ317&gt;0,CQ317*MAX(1,AZ317/X317),IF(BZ317=1,IF(AZ317&lt;=0,0,CD317*MAX(1,IF(H317&gt;0,AZ317/H317,1))),IF(R317&gt;0,BA317/R317,0))/MAX(0.1,N(Parameter!$M$21)))</f>
        <v>0.0384615384615385</v>
      </c>
      <c r="BC317" s="50" t="n">
        <f aca="false">BB317*CB317</f>
        <v>5.96153846153846</v>
      </c>
      <c r="BD317" s="51" t="n">
        <f aca="false">IF(LEFT(Cockpit!$O$5,1)="A",H317,IF(CH317=1,(CK317+CI317)/2,IF(LEFT(Cockpit!$O$5,1)="B",(CK317+BF317)/2,MAX((CK317+BF317)/2,H317))))</f>
        <v>2.5</v>
      </c>
      <c r="BE317" s="50" t="n">
        <f aca="false">BD317*G317</f>
        <v>204.95</v>
      </c>
      <c r="BF317" s="50" t="n">
        <f aca="false">ROUNDUP(CK317+MAX(CL317,2*(J317/IF(CG317&gt;0,CG317,MAX(0.1,N(Cockpit!$O$6)))-CK317)),0)</f>
        <v>5</v>
      </c>
      <c r="BG317" s="51" t="n">
        <f aca="false">IF(BC317&gt;0,J317/BC317,-1)</f>
        <v>0.670967741935484</v>
      </c>
      <c r="BH317" s="51" t="n">
        <f aca="false">IF(AND(OR(CF317="L1",CF317="L23",CF317="LIFT"),BC317&gt;0),SUMIFS($BC$7:$BC$1843,$CF$7:$CF$1843,CF317,$BG$7:$BG$1843,"&gt;"&amp;BG317)+SUMIFS($BC$7:$BC$1843,$CF$7:$CF$1843,CF317,$BG$7:$BG$1843,BG317,$BW$7:$BW$1843,"&lt;="&amp;BW317),"")</f>
        <v>9499.04853479853</v>
      </c>
      <c r="BI317" s="58" t="n">
        <f aca="false">IF(BH317="",0,MAX(0,MIN(1,(IF(CF317="L1",Parameter!$H$5,IF(CF317="L23",Parameter!$H$6+Parameter!$H$7,Parameter!$H$5+Parameter!$H$6+Parameter!$H$7))-(BH317-BC317))/BC317)))</f>
        <v>1</v>
      </c>
      <c r="BJ317" s="48" t="str">
        <f aca="false">IF(AI317&lt;=0,"",IF(CF317="Aussen","Aussenlager",IF(CF317="-","Nicht im Lift",IF(AO317&gt;=1,"Lift",IF(AO317&lt;=0,"Aussenlager","teilweise")))))</f>
        <v>Lift</v>
      </c>
      <c r="BK317" s="48" t="str">
        <f aca="false">IF(AS317&lt;=0,"",IF(CF317="Aussen","Aussenlager",IF(CF317="-","Nicht im Lift",IF(AY317&gt;=1,"Lift",IF(AY317&lt;=0,"Aussenlager","teilweise")))))</f>
        <v>Lift</v>
      </c>
      <c r="BL317" s="48" t="str">
        <f aca="false">IF(BC317&lt;=0,"",IF(CF317="Aussen","Aussenlager",IF(CF317="-","Nicht im Lift",IF(BI317&gt;=1,"Lift",IF(BI317&lt;=0,"Aussenlager","teilweise")))))</f>
        <v>Lift</v>
      </c>
      <c r="BM317" s="48" t="str">
        <f aca="false">IF(A317="","",IF(BV317=1,"Neu; ","")&amp;IF(AND(BV317=0,BQ317&lt;0),"negativer Bestand (Export "&amp;BQ317&amp;"); ","")&amp;IF(J317&lt;=0,"Kein Verbrauch; ","")&amp;IF(CQ317&gt;0,"Lift "&amp;W317&amp;" lt. Liftbericht (Fach "&amp;X317&amp;" Stk); ",IF(CA317=1,"Gebinde geschätzt ("&amp;T317&amp;"); ",IF(BZ317=1,"Lose – Tablare geschätzt; ","")))&amp;IF(H317&gt;AV317,"Überbestand "&amp;ROUND(H317-AV317,0)&amp;" Stk / CHF "&amp;ROUND((H317-AV317)*G317,0)&amp;"; ","")&amp;IF(AND(CH317=1,CI317&lt;CJ317),"MAX &lt; MB+LG; ","")&amp;IF(AND(CP317&gt;0,CO317*10&gt;CP317),"zu hoch für Tablar; ","")&amp;IF(AND(BV317=0,OR(CH317=1,AA317&lt;&gt;"",U317&lt;&gt;"",V317&lt;&gt;"",AB317&lt;&gt;"")),"manuell übersteuert; ","")&amp;IF(AND(BZ317=0,R317=0),"Gebinde unbekannt / Stellmass fehlt; ","")&amp;IF(AND(BZ317=0,N(V317)&lt;=0,N(Q317)&lt;=0),"Menge pro Gebinde fehlt (Ist = 1 Gebinde); ","")&amp;BU317)</f>
        <v/>
      </c>
      <c r="BN317" s="48"/>
      <c r="BO317" s="48"/>
      <c r="BP317" s="55"/>
      <c r="BQ317" s="50" t="n">
        <v>3</v>
      </c>
      <c r="BR317" s="50" t="n">
        <v>0</v>
      </c>
      <c r="BS317" s="49" t="n">
        <v>245.94</v>
      </c>
      <c r="BT317" s="50" t="n">
        <v>4</v>
      </c>
      <c r="BU317" s="48"/>
      <c r="BV317" s="53" t="n">
        <v>0</v>
      </c>
      <c r="BW317" s="53" t="n">
        <v>317</v>
      </c>
      <c r="BX317" s="48" t="str">
        <f aca="false">IF(U317&lt;&gt;"",UPPER(TRIM(U317)),IF(CA317=1,UPPER(VLOOKUP(T317,Parameter!$I$27:$K$29,2,0)),IF(P317="","LOSE",P317)))</f>
        <v>S51</v>
      </c>
      <c r="BY317" s="50" t="n">
        <f aca="false">IF(BX317="LOSE",1,IF(N(V317)&gt;0,V317,IF(CA317=1,MAX(1,N(VLOOKUP(T317,Parameter!$I$27:$K$29,3,0)),H317,N(N317)),IF(N(Q317)&gt;0,Q317,MAX(1,H317)))))</f>
        <v>3</v>
      </c>
      <c r="BZ317" s="53" t="n">
        <f aca="false">IF(BX317="LOSE",1,0)</f>
        <v>0</v>
      </c>
      <c r="CA317" s="53" t="n">
        <f aca="false">IF(AND(U317="",OR(P317="",P317="LOSE"),T317&lt;&gt;"",N(S317)&lt;=0,ISNUMBER(MATCH(T317,Parameter!$I$27:$I$29,0))),1,0)</f>
        <v>0</v>
      </c>
      <c r="CB317" s="53" t="n">
        <f aca="false">IF(CQ317&gt;0,INDEX(Parameter!$H$5:$H$7,W317)/INDEX(Parameter!$E$5:$E$7,W317),IF(AND(BZ317=0,N(IFERROR(VLOOKUP(BX317,'Gebinde-Kategorie'!$A$5:$N$45,14,0),0))&gt;0),VLOOKUP(BX317,'Gebinde-Kategorie'!$A$5:$N$45,14,0)*10+Parameter!$M$23,Parameter!$M$24))</f>
        <v>155</v>
      </c>
      <c r="CC317" s="48" t="str">
        <f aca="false">IF(AND(Parameter!$B$19="Ja",E317&lt;&gt;"",ISNUMBER(MATCH(E317,Parameter!$I$35:$I$52,0))),VLOOKUP(E317,Parameter!$I$35:$J$52,2,0),IFERROR(VLOOKUP(D317,Parameter!$A$35:$C$64,2,0),"Nein"))</f>
        <v>2+3</v>
      </c>
      <c r="CD317" s="52" t="n">
        <f aca="false">IF(BZ317=0,0,IF(N(S317)&gt;0,S317,IFERROR(VLOOKUP(D317,Parameter!$A$35:$C$64,3,0)+0,0)))</f>
        <v>0</v>
      </c>
      <c r="CE317" s="48" t="n">
        <f aca="false">IF(AA317&lt;&gt;"",AA317,Z317)</f>
        <v>3</v>
      </c>
      <c r="CF317" s="48" t="str">
        <f aca="false">IF(OR(CE317=1,CE317=2,CE317=3),IF(Parameter!$E$27="Ja","LIFT",IF(CE317=1,"L1","L23")),IF(CE317="Aussen","Aussen","-"))</f>
        <v>LIFT</v>
      </c>
      <c r="CG317" s="59" t="n">
        <f aca="false">IF(N(AB317)&gt;0,AB317,0)</f>
        <v>0</v>
      </c>
      <c r="CH317" s="53" t="n">
        <f aca="false">IF(ISNUMBER(AE317),1,0)</f>
        <v>0</v>
      </c>
      <c r="CI317" s="50" t="n">
        <f aca="false">N(AE317)</f>
        <v>0</v>
      </c>
      <c r="CJ317" s="50" t="n">
        <f aca="false">N(M317)+N(N317)</f>
        <v>5</v>
      </c>
      <c r="CK317" s="50" t="n">
        <f aca="false">N(M317)</f>
        <v>0</v>
      </c>
      <c r="CL317" s="50" t="n">
        <f aca="false">N(N317)</f>
        <v>5</v>
      </c>
      <c r="CM317" s="50" t="n">
        <f aca="false">ROUNDUP(H317/BY317,0)</f>
        <v>1</v>
      </c>
      <c r="CN317" s="50" t="n">
        <f aca="false">ROUNDUP(CI317/BY317,0)</f>
        <v>0</v>
      </c>
      <c r="CO317" s="53" t="n">
        <f aca="false">IF(BZ317=1,0,IFERROR(VLOOKUP(BX317,'Gebinde-Kategorie'!$A$5:$N$45,5,0)+0,0))</f>
        <v>11</v>
      </c>
      <c r="CP317" s="53" t="n">
        <f aca="false">IFERROR(IF(OR(CE317=1,CE317=2,CE317=3),N(INDEX(Parameter!$I$5:$I$7,CE317)),0),0)</f>
        <v>0</v>
      </c>
      <c r="CQ317" s="52" t="n">
        <f aca="false">IF(AND(Parameter!$B$21="Ja",ISNUMBER(W317),N(X317)&gt;0),IFERROR(N(INDEX(Parameter!$L$5:$L$7,W317))*INDEX(Parameter!$E$5:$E$7,W317)*X317/SUMIFS($X$7:$X$1843,$W$7:$W$1843,W317),0),0)</f>
        <v>0</v>
      </c>
    </row>
    <row r="318" customFormat="false" ht="15" hidden="false" customHeight="false" outlineLevel="0" collapsed="false">
      <c r="A318" s="48" t="s">
        <v>810</v>
      </c>
      <c r="B318" s="48" t="s">
        <v>811</v>
      </c>
      <c r="C318" s="48" t="s">
        <v>173</v>
      </c>
      <c r="D318" s="48" t="s">
        <v>193</v>
      </c>
      <c r="E318" s="48"/>
      <c r="F318" s="48" t="s">
        <v>227</v>
      </c>
      <c r="G318" s="49" t="n">
        <v>40.39</v>
      </c>
      <c r="H318" s="50" t="n">
        <f aca="false">MAX(0,IF(AND(Parameter!$B$21="Ja",ISNUMBER(Y318)),Y318,IF(Parameter!$B$20="Jahresanfang 2025 + Export",BR318+BQ318,BQ318)))</f>
        <v>6</v>
      </c>
      <c r="I318" s="50" t="n">
        <f aca="false">H318*G318</f>
        <v>242.34</v>
      </c>
      <c r="J318" s="50" t="n">
        <f aca="false">BT318*Parameter!$B$18</f>
        <v>0</v>
      </c>
      <c r="K318" s="51" t="n">
        <v>0</v>
      </c>
      <c r="L318" s="52" t="n">
        <v>0</v>
      </c>
      <c r="M318" s="50" t="n">
        <v>0</v>
      </c>
      <c r="N318" s="50" t="n">
        <v>5</v>
      </c>
      <c r="O318" s="53" t="n">
        <v>21</v>
      </c>
      <c r="P318" s="48" t="s">
        <v>430</v>
      </c>
      <c r="Q318" s="50" t="n">
        <v>8</v>
      </c>
      <c r="R318" s="53" t="n">
        <f aca="false">IF(BZ318=1,0,IFERROR(VLOOKUP(BX318,'Gebinde-Kategorie'!$A$5:$N$45,13,0)+0,0))</f>
        <v>104</v>
      </c>
      <c r="S318" s="54"/>
      <c r="T318" s="55"/>
      <c r="U318" s="55"/>
      <c r="V318" s="55"/>
      <c r="W318" s="48"/>
      <c r="X318" s="50"/>
      <c r="Y318" s="50"/>
      <c r="Z318" s="48" t="n">
        <f aca="false">IF(A318="","",IF(AND(Parameter!$B$21="Ja",ISNUMBER(W318)),W318,IF(CC318="2+3",IF(ISNUMBER(SEARCH("grosser Artikel",BU318)),2,IFERROR(VLOOKUP(BX318,Parameter!$F$35:$G$64,2,0),2)),IF(OR(CC318="Nein",CC318=""),"-",CC318))))</f>
        <v>3</v>
      </c>
      <c r="AA318" s="55"/>
      <c r="AB318" s="56"/>
      <c r="AC318" s="50" t="n">
        <f aca="false">AV318</f>
        <v>5</v>
      </c>
      <c r="AD318" s="50" t="n">
        <f aca="false">MAX(AV318,H318)</f>
        <v>6</v>
      </c>
      <c r="AE318" s="57"/>
      <c r="AF318" s="50" t="n">
        <f aca="false">IF(LEFT(Cockpit!$C$5,1)="A",H318,IF(Parameter!$E$30="MAX-Bestand",IF(CH318=1,CI318,IF(LEFT(Cockpit!$C$5,1)="B",AL318,MAX(AL318,H318))),ROUNDUP(AJ318,0)))</f>
        <v>6</v>
      </c>
      <c r="AG318" s="50" t="n">
        <f aca="false">IF(BZ318=1,0,ROUNDUP(AF318/BY318,0))</f>
        <v>1</v>
      </c>
      <c r="AH318" s="52" t="n">
        <f aca="false">IF(CQ318&gt;0,CQ318*MAX(1,AF318/X318),IF(BZ318=1,IF(AF318&lt;=0,0,CD318*MAX(1,IF(H318&gt;0,AF318/H318,1))),IF(R318&gt;0,AG318/R318,0))/MAX(0.1,N(Parameter!$M$21)))</f>
        <v>0.00961538461538462</v>
      </c>
      <c r="AI318" s="50" t="n">
        <f aca="false">AH318*CB318</f>
        <v>1.49038461538462</v>
      </c>
      <c r="AJ318" s="51" t="n">
        <f aca="false">IF(LEFT(Cockpit!$C$5,1)="A",H318,IF(CH318=1,(CK318+CI318)/2,IF(LEFT(Cockpit!$C$5,1)="B",(CK318+AL318)/2,MAX((CK318+AL318)/2,H318))))</f>
        <v>6</v>
      </c>
      <c r="AK318" s="50" t="n">
        <f aca="false">AJ318*G318</f>
        <v>242.34</v>
      </c>
      <c r="AL318" s="50" t="n">
        <f aca="false">ROUNDUP(CK318+MAX(CL318,2*(J318/IF(CG318&gt;0,CG318,MAX(0.1,N(Cockpit!$C$6)))-CK318)),0)</f>
        <v>5</v>
      </c>
      <c r="AM318" s="51" t="n">
        <f aca="false">IF(AI318&gt;0,J318/AI318,-1)</f>
        <v>0</v>
      </c>
      <c r="AN318" s="51" t="n">
        <f aca="false">IF(AND(OR(CF318="L1",CF318="L23",CF318="LIFT"),AI318&gt;0),SUMIFS($AI$7:$AI$1843,$CF$7:$CF$1843,CF318,$AM$7:$AM$1843,"&gt;"&amp;AM318)+SUMIFS($AI$7:$AI$1843,$CF$7:$CF$1843,CF318,$AM$7:$AM$1843,AM318,$BW$7:$BW$1843,"&lt;="&amp;BW318),"")</f>
        <v>27905.1723293185</v>
      </c>
      <c r="AO318" s="58" t="n">
        <f aca="false">IF(AN318="",0,MAX(0,MIN(1,(IF(CF318="L1",Parameter!$H$5,IF(CF318="L23",Parameter!$H$6+Parameter!$H$7,Parameter!$H$5+Parameter!$H$6+Parameter!$H$7))-(AN318-AI318))/AI318)))</f>
        <v>1</v>
      </c>
      <c r="AP318" s="50" t="n">
        <f aca="false">IF(LEFT(Cockpit!$I$5,1)="A",H318,IF(Parameter!$E$30="MAX-Bestand",IF(CH318=1,CI318,IF(LEFT(Cockpit!$I$5,1)="B",AV318,MAX(AV318,H318))),ROUNDUP(AT318,0)))</f>
        <v>6</v>
      </c>
      <c r="AQ318" s="50" t="n">
        <f aca="false">IF(BZ318=1,0,ROUNDUP(AP318/BY318,0))</f>
        <v>1</v>
      </c>
      <c r="AR318" s="52" t="n">
        <f aca="false">IF(CQ318&gt;0,CQ318*MAX(1,AP318/X318),IF(BZ318=1,IF(AP318&lt;=0,0,CD318*MAX(1,IF(H318&gt;0,AP318/H318,1))),IF(R318&gt;0,AQ318/R318,0))/MAX(0.1,N(Parameter!$M$21)))</f>
        <v>0.00961538461538462</v>
      </c>
      <c r="AS318" s="50" t="n">
        <f aca="false">AR318*CB318</f>
        <v>1.49038461538462</v>
      </c>
      <c r="AT318" s="51" t="n">
        <f aca="false">IF(LEFT(Cockpit!$I$5,1)="A",H318,IF(CH318=1,(CK318+CI318)/2,IF(LEFT(Cockpit!$I$5,1)="B",(CK318+AV318)/2,MAX((CK318+AV318)/2,H318))))</f>
        <v>6</v>
      </c>
      <c r="AU318" s="50" t="n">
        <f aca="false">AT318*G318</f>
        <v>242.34</v>
      </c>
      <c r="AV318" s="50" t="n">
        <f aca="false">ROUNDUP(CK318+MAX(CL318,2*(J318/IF(CG318&gt;0,CG318,MAX(0.1,N(Cockpit!$I$6)))-CK318)),0)</f>
        <v>5</v>
      </c>
      <c r="AW318" s="51" t="n">
        <f aca="false">IF(AS318&gt;0,J318/AS318,-1)</f>
        <v>0</v>
      </c>
      <c r="AX318" s="51" t="n">
        <f aca="false">IF(AND(OR(CF318="L1",CF318="L23",CF318="LIFT"),AS318&gt;0),SUMIFS($AS$7:$AS$1843,$CF$7:$CF$1843,CF318,$AW$7:$AW$1843,"&gt;"&amp;AW318)+SUMIFS($AS$7:$AS$1843,$CF$7:$CF$1843,CF318,$AW$7:$AW$1843,AW318,$BW$7:$BW$1843,"&lt;="&amp;BW318),"")</f>
        <v>33258.320970696</v>
      </c>
      <c r="AY318" s="58" t="n">
        <f aca="false">IF(AX318="",0,MAX(0,MIN(1,(IF(CF318="L1",Parameter!$H$5,IF(CF318="L23",Parameter!$H$6+Parameter!$H$7,Parameter!$H$5+Parameter!$H$6+Parameter!$H$7))-(AX318-AS318))/AS318)))</f>
        <v>1</v>
      </c>
      <c r="AZ318" s="50" t="n">
        <f aca="false">IF(LEFT(Cockpit!$O$5,1)="A",H318,IF(Parameter!$E$30="MAX-Bestand",IF(CH318=1,CI318,IF(LEFT(Cockpit!$O$5,1)="B",BF318,MAX(BF318,H318))),ROUNDUP(BD318,0)))</f>
        <v>3</v>
      </c>
      <c r="BA318" s="50" t="n">
        <f aca="false">IF(BZ318=1,0,ROUNDUP(AZ318/BY318,0))</f>
        <v>1</v>
      </c>
      <c r="BB318" s="52" t="n">
        <f aca="false">IF(CQ318&gt;0,CQ318*MAX(1,AZ318/X318),IF(BZ318=1,IF(AZ318&lt;=0,0,CD318*MAX(1,IF(H318&gt;0,AZ318/H318,1))),IF(R318&gt;0,BA318/R318,0))/MAX(0.1,N(Parameter!$M$21)))</f>
        <v>0.00961538461538462</v>
      </c>
      <c r="BC318" s="50" t="n">
        <f aca="false">BB318*CB318</f>
        <v>1.49038461538462</v>
      </c>
      <c r="BD318" s="51" t="n">
        <f aca="false">IF(LEFT(Cockpit!$O$5,1)="A",H318,IF(CH318=1,(CK318+CI318)/2,IF(LEFT(Cockpit!$O$5,1)="B",(CK318+BF318)/2,MAX((CK318+BF318)/2,H318))))</f>
        <v>2.5</v>
      </c>
      <c r="BE318" s="50" t="n">
        <f aca="false">BD318*G318</f>
        <v>100.975</v>
      </c>
      <c r="BF318" s="50" t="n">
        <f aca="false">ROUNDUP(CK318+MAX(CL318,2*(J318/IF(CG318&gt;0,CG318,MAX(0.1,N(Cockpit!$O$6)))-CK318)),0)</f>
        <v>5</v>
      </c>
      <c r="BG318" s="51" t="n">
        <f aca="false">IF(BC318&gt;0,J318/BC318,-1)</f>
        <v>0</v>
      </c>
      <c r="BH318" s="51" t="n">
        <f aca="false">IF(AND(OR(CF318="L1",CF318="L23",CF318="LIFT"),BC318&gt;0),SUMIFS($BC$7:$BC$1843,$CF$7:$CF$1843,CF318,$BG$7:$BG$1843,"&gt;"&amp;BG318)+SUMIFS($BC$7:$BC$1843,$CF$7:$CF$1843,CF318,$BG$7:$BG$1843,BG318,$BW$7:$BW$1843,"&lt;="&amp;BW318),"")</f>
        <v>27383.7810191221</v>
      </c>
      <c r="BI318" s="58" t="n">
        <f aca="false">IF(BH318="",0,MAX(0,MIN(1,(IF(CF318="L1",Parameter!$H$5,IF(CF318="L23",Parameter!$H$6+Parameter!$H$7,Parameter!$H$5+Parameter!$H$6+Parameter!$H$7))-(BH318-BC318))/BC318)))</f>
        <v>1</v>
      </c>
      <c r="BJ318" s="48" t="str">
        <f aca="false">IF(AI318&lt;=0,"",IF(CF318="Aussen","Aussenlager",IF(CF318="-","Nicht im Lift",IF(AO318&gt;=1,"Lift",IF(AO318&lt;=0,"Aussenlager","teilweise")))))</f>
        <v>Lift</v>
      </c>
      <c r="BK318" s="48" t="str">
        <f aca="false">IF(AS318&lt;=0,"",IF(CF318="Aussen","Aussenlager",IF(CF318="-","Nicht im Lift",IF(AY318&gt;=1,"Lift",IF(AY318&lt;=0,"Aussenlager","teilweise")))))</f>
        <v>Lift</v>
      </c>
      <c r="BL318" s="48" t="str">
        <f aca="false">IF(BC318&lt;=0,"",IF(CF318="Aussen","Aussenlager",IF(CF318="-","Nicht im Lift",IF(BI318&gt;=1,"Lift",IF(BI318&lt;=0,"Aussenlager","teilweise")))))</f>
        <v>Lift</v>
      </c>
      <c r="BM318" s="48" t="str">
        <f aca="false">IF(A318="","",IF(BV318=1,"Neu; ","")&amp;IF(AND(BV318=0,BQ318&lt;0),"negativer Bestand (Export "&amp;BQ318&amp;"); ","")&amp;IF(J318&lt;=0,"Kein Verbrauch; ","")&amp;IF(CQ318&gt;0,"Lift "&amp;W318&amp;" lt. Liftbericht (Fach "&amp;X318&amp;" Stk); ",IF(CA318=1,"Gebinde geschätzt ("&amp;T318&amp;"); ",IF(BZ318=1,"Lose – Tablare geschätzt; ","")))&amp;IF(H318&gt;AV318,"Überbestand "&amp;ROUND(H318-AV318,0)&amp;" Stk / CHF "&amp;ROUND((H318-AV318)*G318,0)&amp;"; ","")&amp;IF(AND(CH318=1,CI318&lt;CJ318),"MAX &lt; MB+LG; ","")&amp;IF(AND(CP318&gt;0,CO318*10&gt;CP318),"zu hoch für Tablar; ","")&amp;IF(AND(BV318=0,OR(CH318=1,AA318&lt;&gt;"",U318&lt;&gt;"",V318&lt;&gt;"",AB318&lt;&gt;"")),"manuell übersteuert; ","")&amp;IF(AND(BZ318=0,R318=0),"Gebinde unbekannt / Stellmass fehlt; ","")&amp;IF(AND(BZ318=0,N(V318)&lt;=0,N(Q318)&lt;=0),"Menge pro Gebinde fehlt (Ist = 1 Gebinde); ","")&amp;BU318)</f>
        <v>Kein Verbrauch; Überbestand 1 Stk / CHF 40; </v>
      </c>
      <c r="BN318" s="48"/>
      <c r="BO318" s="48"/>
      <c r="BP318" s="55"/>
      <c r="BQ318" s="50" t="n">
        <v>6</v>
      </c>
      <c r="BR318" s="50" t="n">
        <v>0</v>
      </c>
      <c r="BS318" s="49" t="n">
        <v>242.34</v>
      </c>
      <c r="BT318" s="50" t="n">
        <v>0</v>
      </c>
      <c r="BU318" s="48"/>
      <c r="BV318" s="53" t="n">
        <v>0</v>
      </c>
      <c r="BW318" s="53" t="n">
        <v>318</v>
      </c>
      <c r="BX318" s="48" t="str">
        <f aca="false">IF(U318&lt;&gt;"",UPPER(TRIM(U318)),IF(CA318=1,UPPER(VLOOKUP(T318,Parameter!$I$27:$K$29,2,0)),IF(P318="","LOSE",P318)))</f>
        <v>S32</v>
      </c>
      <c r="BY318" s="50" t="n">
        <f aca="false">IF(BX318="LOSE",1,IF(N(V318)&gt;0,V318,IF(CA318=1,MAX(1,N(VLOOKUP(T318,Parameter!$I$27:$K$29,3,0)),H318,N(N318)),IF(N(Q318)&gt;0,Q318,MAX(1,H318)))))</f>
        <v>8</v>
      </c>
      <c r="BZ318" s="53" t="n">
        <f aca="false">IF(BX318="LOSE",1,0)</f>
        <v>0</v>
      </c>
      <c r="CA318" s="53" t="n">
        <f aca="false">IF(AND(U318="",OR(P318="",P318="LOSE"),T318&lt;&gt;"",N(S318)&lt;=0,ISNUMBER(MATCH(T318,Parameter!$I$27:$I$29,0))),1,0)</f>
        <v>0</v>
      </c>
      <c r="CB318" s="53" t="n">
        <f aca="false">IF(CQ318&gt;0,INDEX(Parameter!$H$5:$H$7,W318)/INDEX(Parameter!$E$5:$E$7,W318),IF(AND(BZ318=0,N(IFERROR(VLOOKUP(BX318,'Gebinde-Kategorie'!$A$5:$N$45,14,0),0))&gt;0),VLOOKUP(BX318,'Gebinde-Kategorie'!$A$5:$N$45,14,0)*10+Parameter!$M$23,Parameter!$M$24))</f>
        <v>155</v>
      </c>
      <c r="CC318" s="48" t="str">
        <f aca="false">IF(AND(Parameter!$B$19="Ja",E318&lt;&gt;"",ISNUMBER(MATCH(E318,Parameter!$I$35:$I$52,0))),VLOOKUP(E318,Parameter!$I$35:$J$52,2,0),IFERROR(VLOOKUP(D318,Parameter!$A$35:$C$64,2,0),"Nein"))</f>
        <v>2+3</v>
      </c>
      <c r="CD318" s="52" t="n">
        <f aca="false">IF(BZ318=0,0,IF(N(S318)&gt;0,S318,IFERROR(VLOOKUP(D318,Parameter!$A$35:$C$64,3,0)+0,0)))</f>
        <v>0</v>
      </c>
      <c r="CE318" s="48" t="n">
        <f aca="false">IF(AA318&lt;&gt;"",AA318,Z318)</f>
        <v>3</v>
      </c>
      <c r="CF318" s="48" t="str">
        <f aca="false">IF(OR(CE318=1,CE318=2,CE318=3),IF(Parameter!$E$27="Ja","LIFT",IF(CE318=1,"L1","L23")),IF(CE318="Aussen","Aussen","-"))</f>
        <v>LIFT</v>
      </c>
      <c r="CG318" s="59" t="n">
        <f aca="false">IF(N(AB318)&gt;0,AB318,0)</f>
        <v>0</v>
      </c>
      <c r="CH318" s="53" t="n">
        <f aca="false">IF(ISNUMBER(AE318),1,0)</f>
        <v>0</v>
      </c>
      <c r="CI318" s="50" t="n">
        <f aca="false">N(AE318)</f>
        <v>0</v>
      </c>
      <c r="CJ318" s="50" t="n">
        <f aca="false">N(M318)+N(N318)</f>
        <v>5</v>
      </c>
      <c r="CK318" s="50" t="n">
        <f aca="false">N(M318)</f>
        <v>0</v>
      </c>
      <c r="CL318" s="50" t="n">
        <f aca="false">N(N318)</f>
        <v>5</v>
      </c>
      <c r="CM318" s="50" t="n">
        <f aca="false">ROUNDUP(H318/BY318,0)</f>
        <v>1</v>
      </c>
      <c r="CN318" s="50" t="n">
        <f aca="false">ROUNDUP(CI318/BY318,0)</f>
        <v>0</v>
      </c>
      <c r="CO318" s="53" t="n">
        <f aca="false">IF(BZ318=1,0,IFERROR(VLOOKUP(BX318,'Gebinde-Kategorie'!$A$5:$N$45,5,0)+0,0))</f>
        <v>8</v>
      </c>
      <c r="CP318" s="53" t="n">
        <f aca="false">IFERROR(IF(OR(CE318=1,CE318=2,CE318=3),N(INDEX(Parameter!$I$5:$I$7,CE318)),0),0)</f>
        <v>0</v>
      </c>
      <c r="CQ318" s="52" t="n">
        <f aca="false">IF(AND(Parameter!$B$21="Ja",ISNUMBER(W318),N(X318)&gt;0),IFERROR(N(INDEX(Parameter!$L$5:$L$7,W318))*INDEX(Parameter!$E$5:$E$7,W318)*X318/SUMIFS($X$7:$X$1843,$W$7:$W$1843,W318),0),0)</f>
        <v>0</v>
      </c>
    </row>
    <row r="319" customFormat="false" ht="15" hidden="false" customHeight="false" outlineLevel="0" collapsed="false">
      <c r="A319" s="48" t="s">
        <v>812</v>
      </c>
      <c r="B319" s="48" t="s">
        <v>813</v>
      </c>
      <c r="C319" s="48" t="s">
        <v>173</v>
      </c>
      <c r="D319" s="48" t="s">
        <v>193</v>
      </c>
      <c r="E319" s="48"/>
      <c r="F319" s="48" t="s">
        <v>227</v>
      </c>
      <c r="G319" s="49" t="n">
        <v>34.48</v>
      </c>
      <c r="H319" s="50" t="n">
        <f aca="false">MAX(0,IF(AND(Parameter!$B$21="Ja",ISNUMBER(Y319)),Y319,IF(Parameter!$B$20="Jahresanfang 2025 + Export",BR319+BQ319,BQ319)))</f>
        <v>52</v>
      </c>
      <c r="I319" s="50" t="n">
        <f aca="false">H319*G319</f>
        <v>1792.96</v>
      </c>
      <c r="J319" s="50" t="n">
        <f aca="false">BT319*Parameter!$B$18</f>
        <v>4</v>
      </c>
      <c r="K319" s="51" t="n">
        <v>48.5</v>
      </c>
      <c r="L319" s="52" t="n">
        <v>0.0824742268041237</v>
      </c>
      <c r="M319" s="50" t="n">
        <v>0</v>
      </c>
      <c r="N319" s="50" t="n">
        <v>5</v>
      </c>
      <c r="O319" s="53" t="n">
        <v>49</v>
      </c>
      <c r="P319" s="48" t="s">
        <v>311</v>
      </c>
      <c r="Q319" s="50" t="n">
        <v>55</v>
      </c>
      <c r="R319" s="53" t="n">
        <f aca="false">IF(BZ319=1,0,IFERROR(VLOOKUP(BX319,'Gebinde-Kategorie'!$A$5:$N$45,13,0)+0,0))</f>
        <v>26</v>
      </c>
      <c r="S319" s="54"/>
      <c r="T319" s="55"/>
      <c r="U319" s="55"/>
      <c r="V319" s="55"/>
      <c r="W319" s="48"/>
      <c r="X319" s="50"/>
      <c r="Y319" s="50"/>
      <c r="Z319" s="48" t="n">
        <f aca="false">IF(A319="","",IF(AND(Parameter!$B$21="Ja",ISNUMBER(W319)),W319,IF(CC319="2+3",IF(ISNUMBER(SEARCH("grosser Artikel",BU319)),2,IFERROR(VLOOKUP(BX319,Parameter!$F$35:$G$64,2,0),2)),IF(OR(CC319="Nein",CC319=""),"-",CC319))))</f>
        <v>3</v>
      </c>
      <c r="AA319" s="55"/>
      <c r="AB319" s="56"/>
      <c r="AC319" s="50" t="n">
        <f aca="false">AV319</f>
        <v>5</v>
      </c>
      <c r="AD319" s="50" t="n">
        <f aca="false">MAX(AV319,H319)</f>
        <v>52</v>
      </c>
      <c r="AE319" s="57"/>
      <c r="AF319" s="50" t="n">
        <f aca="false">IF(LEFT(Cockpit!$C$5,1)="A",H319,IF(Parameter!$E$30="MAX-Bestand",IF(CH319=1,CI319,IF(LEFT(Cockpit!$C$5,1)="B",AL319,MAX(AL319,H319))),ROUNDUP(AJ319,0)))</f>
        <v>52</v>
      </c>
      <c r="AG319" s="50" t="n">
        <f aca="false">IF(BZ319=1,0,ROUNDUP(AF319/BY319,0))</f>
        <v>1</v>
      </c>
      <c r="AH319" s="52" t="n">
        <f aca="false">IF(CQ319&gt;0,CQ319*MAX(1,AF319/X319),IF(BZ319=1,IF(AF319&lt;=0,0,CD319*MAX(1,IF(H319&gt;0,AF319/H319,1))),IF(R319&gt;0,AG319/R319,0))/MAX(0.1,N(Parameter!$M$21)))</f>
        <v>0.0384615384615385</v>
      </c>
      <c r="AI319" s="50" t="n">
        <f aca="false">AH319*CB319</f>
        <v>5.96153846153846</v>
      </c>
      <c r="AJ319" s="51" t="n">
        <f aca="false">IF(LEFT(Cockpit!$C$5,1)="A",H319,IF(CH319=1,(CK319+CI319)/2,IF(LEFT(Cockpit!$C$5,1)="B",(CK319+AL319)/2,MAX((CK319+AL319)/2,H319))))</f>
        <v>52</v>
      </c>
      <c r="AK319" s="50" t="n">
        <f aca="false">AJ319*G319</f>
        <v>1792.96</v>
      </c>
      <c r="AL319" s="50" t="n">
        <f aca="false">ROUNDUP(CK319+MAX(CL319,2*(J319/IF(CG319&gt;0,CG319,MAX(0.1,N(Cockpit!$C$6)))-CK319)),0)</f>
        <v>5</v>
      </c>
      <c r="AM319" s="51" t="n">
        <f aca="false">IF(AI319&gt;0,J319/AI319,-1)</f>
        <v>0.670967741935484</v>
      </c>
      <c r="AN319" s="51" t="n">
        <f aca="false">IF(AND(OR(CF319="L1",CF319="L23",CF319="LIFT"),AI319&gt;0),SUMIFS($AI$7:$AI$1843,$CF$7:$CF$1843,CF319,$AM$7:$AM$1843,"&gt;"&amp;AM319)+SUMIFS($AI$7:$AI$1843,$CF$7:$CF$1843,CF319,$AM$7:$AM$1843,AM319,$BW$7:$BW$1843,"&lt;="&amp;BW319),"")</f>
        <v>8614.6217948718</v>
      </c>
      <c r="AO319" s="58" t="n">
        <f aca="false">IF(AN319="",0,MAX(0,MIN(1,(IF(CF319="L1",Parameter!$H$5,IF(CF319="L23",Parameter!$H$6+Parameter!$H$7,Parameter!$H$5+Parameter!$H$6+Parameter!$H$7))-(AN319-AI319))/AI319)))</f>
        <v>1</v>
      </c>
      <c r="AP319" s="50" t="n">
        <f aca="false">IF(LEFT(Cockpit!$I$5,1)="A",H319,IF(Parameter!$E$30="MAX-Bestand",IF(CH319=1,CI319,IF(LEFT(Cockpit!$I$5,1)="B",AV319,MAX(AV319,H319))),ROUNDUP(AT319,0)))</f>
        <v>52</v>
      </c>
      <c r="AQ319" s="50" t="n">
        <f aca="false">IF(BZ319=1,0,ROUNDUP(AP319/BY319,0))</f>
        <v>1</v>
      </c>
      <c r="AR319" s="52" t="n">
        <f aca="false">IF(CQ319&gt;0,CQ319*MAX(1,AP319/X319),IF(BZ319=1,IF(AP319&lt;=0,0,CD319*MAX(1,IF(H319&gt;0,AP319/H319,1))),IF(R319&gt;0,AQ319/R319,0))/MAX(0.1,N(Parameter!$M$21)))</f>
        <v>0.0384615384615385</v>
      </c>
      <c r="AS319" s="50" t="n">
        <f aca="false">AR319*CB319</f>
        <v>5.96153846153846</v>
      </c>
      <c r="AT319" s="51" t="n">
        <f aca="false">IF(LEFT(Cockpit!$I$5,1)="A",H319,IF(CH319=1,(CK319+CI319)/2,IF(LEFT(Cockpit!$I$5,1)="B",(CK319+AV319)/2,MAX((CK319+AV319)/2,H319))))</f>
        <v>52</v>
      </c>
      <c r="AU319" s="50" t="n">
        <f aca="false">AT319*G319</f>
        <v>1792.96</v>
      </c>
      <c r="AV319" s="50" t="n">
        <f aca="false">ROUNDUP(CK319+MAX(CL319,2*(J319/IF(CG319&gt;0,CG319,MAX(0.1,N(Cockpit!$I$6)))-CK319)),0)</f>
        <v>5</v>
      </c>
      <c r="AW319" s="51" t="n">
        <f aca="false">IF(AS319&gt;0,J319/AS319,-1)</f>
        <v>0.670967741935484</v>
      </c>
      <c r="AX319" s="51" t="n">
        <f aca="false">IF(AND(OR(CF319="L1",CF319="L23",CF319="LIFT"),AS319&gt;0),SUMIFS($AS$7:$AS$1843,$CF$7:$CF$1843,CF319,$AW$7:$AW$1843,"&gt;"&amp;AW319)+SUMIFS($AS$7:$AS$1843,$CF$7:$CF$1843,CF319,$AW$7:$AW$1843,AW319,$BW$7:$BW$1843,"&lt;="&amp;BW319),"")</f>
        <v>10898.3566849817</v>
      </c>
      <c r="AY319" s="58" t="n">
        <f aca="false">IF(AX319="",0,MAX(0,MIN(1,(IF(CF319="L1",Parameter!$H$5,IF(CF319="L23",Parameter!$H$6+Parameter!$H$7,Parameter!$H$5+Parameter!$H$6+Parameter!$H$7))-(AX319-AS319))/AS319)))</f>
        <v>1</v>
      </c>
      <c r="AZ319" s="50" t="n">
        <f aca="false">IF(LEFT(Cockpit!$O$5,1)="A",H319,IF(Parameter!$E$30="MAX-Bestand",IF(CH319=1,CI319,IF(LEFT(Cockpit!$O$5,1)="B",BF319,MAX(BF319,H319))),ROUNDUP(BD319,0)))</f>
        <v>3</v>
      </c>
      <c r="BA319" s="50" t="n">
        <f aca="false">IF(BZ319=1,0,ROUNDUP(AZ319/BY319,0))</f>
        <v>1</v>
      </c>
      <c r="BB319" s="52" t="n">
        <f aca="false">IF(CQ319&gt;0,CQ319*MAX(1,AZ319/X319),IF(BZ319=1,IF(AZ319&lt;=0,0,CD319*MAX(1,IF(H319&gt;0,AZ319/H319,1))),IF(R319&gt;0,BA319/R319,0))/MAX(0.1,N(Parameter!$M$21)))</f>
        <v>0.0384615384615385</v>
      </c>
      <c r="BC319" s="50" t="n">
        <f aca="false">BB319*CB319</f>
        <v>5.96153846153846</v>
      </c>
      <c r="BD319" s="51" t="n">
        <f aca="false">IF(LEFT(Cockpit!$O$5,1)="A",H319,IF(CH319=1,(CK319+CI319)/2,IF(LEFT(Cockpit!$O$5,1)="B",(CK319+BF319)/2,MAX((CK319+BF319)/2,H319))))</f>
        <v>2.5</v>
      </c>
      <c r="BE319" s="50" t="n">
        <f aca="false">BD319*G319</f>
        <v>86.2</v>
      </c>
      <c r="BF319" s="50" t="n">
        <f aca="false">ROUNDUP(CK319+MAX(CL319,2*(J319/IF(CG319&gt;0,CG319,MAX(0.1,N(Cockpit!$O$6)))-CK319)),0)</f>
        <v>5</v>
      </c>
      <c r="BG319" s="51" t="n">
        <f aca="false">IF(BC319&gt;0,J319/BC319,-1)</f>
        <v>0.670967741935484</v>
      </c>
      <c r="BH319" s="51" t="n">
        <f aca="false">IF(AND(OR(CF319="L1",CF319="L23",CF319="LIFT"),BC319&gt;0),SUMIFS($BC$7:$BC$1843,$CF$7:$CF$1843,CF319,$BG$7:$BG$1843,"&gt;"&amp;BG319)+SUMIFS($BC$7:$BC$1843,$CF$7:$CF$1843,CF319,$BG$7:$BG$1843,BG319,$BW$7:$BW$1843,"&lt;="&amp;BW319),"")</f>
        <v>9505.01007326007</v>
      </c>
      <c r="BI319" s="58" t="n">
        <f aca="false">IF(BH319="",0,MAX(0,MIN(1,(IF(CF319="L1",Parameter!$H$5,IF(CF319="L23",Parameter!$H$6+Parameter!$H$7,Parameter!$H$5+Parameter!$H$6+Parameter!$H$7))-(BH319-BC319))/BC319)))</f>
        <v>1</v>
      </c>
      <c r="BJ319" s="48" t="str">
        <f aca="false">IF(AI319&lt;=0,"",IF(CF319="Aussen","Aussenlager",IF(CF319="-","Nicht im Lift",IF(AO319&gt;=1,"Lift",IF(AO319&lt;=0,"Aussenlager","teilweise")))))</f>
        <v>Lift</v>
      </c>
      <c r="BK319" s="48" t="str">
        <f aca="false">IF(AS319&lt;=0,"",IF(CF319="Aussen","Aussenlager",IF(CF319="-","Nicht im Lift",IF(AY319&gt;=1,"Lift",IF(AY319&lt;=0,"Aussenlager","teilweise")))))</f>
        <v>Lift</v>
      </c>
      <c r="BL319" s="48" t="str">
        <f aca="false">IF(BC319&lt;=0,"",IF(CF319="Aussen","Aussenlager",IF(CF319="-","Nicht im Lift",IF(BI319&gt;=1,"Lift",IF(BI319&lt;=0,"Aussenlager","teilweise")))))</f>
        <v>Lift</v>
      </c>
      <c r="BM319" s="48" t="str">
        <f aca="false">IF(A319="","",IF(BV319=1,"Neu; ","")&amp;IF(AND(BV319=0,BQ319&lt;0),"negativer Bestand (Export "&amp;BQ319&amp;"); ","")&amp;IF(J319&lt;=0,"Kein Verbrauch; ","")&amp;IF(CQ319&gt;0,"Lift "&amp;W319&amp;" lt. Liftbericht (Fach "&amp;X319&amp;" Stk); ",IF(CA319=1,"Gebinde geschätzt ("&amp;T319&amp;"); ",IF(BZ319=1,"Lose – Tablare geschätzt; ","")))&amp;IF(H319&gt;AV319,"Überbestand "&amp;ROUND(H319-AV319,0)&amp;" Stk / CHF "&amp;ROUND((H319-AV319)*G319,0)&amp;"; ","")&amp;IF(AND(CH319=1,CI319&lt;CJ319),"MAX &lt; MB+LG; ","")&amp;IF(AND(CP319&gt;0,CO319*10&gt;CP319),"zu hoch für Tablar; ","")&amp;IF(AND(BV319=0,OR(CH319=1,AA319&lt;&gt;"",U319&lt;&gt;"",V319&lt;&gt;"",AB319&lt;&gt;"")),"manuell übersteuert; ","")&amp;IF(AND(BZ319=0,R319=0),"Gebinde unbekannt / Stellmass fehlt; ","")&amp;IF(AND(BZ319=0,N(V319)&lt;=0,N(Q319)&lt;=0),"Menge pro Gebinde fehlt (Ist = 1 Gebinde); ","")&amp;BU319)</f>
        <v>Überbestand 47 Stk / CHF 1621; i.o</v>
      </c>
      <c r="BN319" s="48"/>
      <c r="BO319" s="48"/>
      <c r="BP319" s="55"/>
      <c r="BQ319" s="50" t="n">
        <v>7</v>
      </c>
      <c r="BR319" s="50" t="n">
        <v>45</v>
      </c>
      <c r="BS319" s="49" t="n">
        <v>241.36</v>
      </c>
      <c r="BT319" s="50" t="n">
        <v>4</v>
      </c>
      <c r="BU319" s="48" t="s">
        <v>545</v>
      </c>
      <c r="BV319" s="53" t="n">
        <v>0</v>
      </c>
      <c r="BW319" s="53" t="n">
        <v>319</v>
      </c>
      <c r="BX319" s="48" t="str">
        <f aca="false">IF(U319&lt;&gt;"",UPPER(TRIM(U319)),IF(CA319=1,UPPER(VLOOKUP(T319,Parameter!$I$27:$K$29,2,0)),IF(P319="","LOSE",P319)))</f>
        <v>S51</v>
      </c>
      <c r="BY319" s="50" t="n">
        <f aca="false">IF(BX319="LOSE",1,IF(N(V319)&gt;0,V319,IF(CA319=1,MAX(1,N(VLOOKUP(T319,Parameter!$I$27:$K$29,3,0)),H319,N(N319)),IF(N(Q319)&gt;0,Q319,MAX(1,H319)))))</f>
        <v>55</v>
      </c>
      <c r="BZ319" s="53" t="n">
        <f aca="false">IF(BX319="LOSE",1,0)</f>
        <v>0</v>
      </c>
      <c r="CA319" s="53" t="n">
        <f aca="false">IF(AND(U319="",OR(P319="",P319="LOSE"),T319&lt;&gt;"",N(S319)&lt;=0,ISNUMBER(MATCH(T319,Parameter!$I$27:$I$29,0))),1,0)</f>
        <v>0</v>
      </c>
      <c r="CB319" s="53" t="n">
        <f aca="false">IF(CQ319&gt;0,INDEX(Parameter!$H$5:$H$7,W319)/INDEX(Parameter!$E$5:$E$7,W319),IF(AND(BZ319=0,N(IFERROR(VLOOKUP(BX319,'Gebinde-Kategorie'!$A$5:$N$45,14,0),0))&gt;0),VLOOKUP(BX319,'Gebinde-Kategorie'!$A$5:$N$45,14,0)*10+Parameter!$M$23,Parameter!$M$24))</f>
        <v>155</v>
      </c>
      <c r="CC319" s="48" t="str">
        <f aca="false">IF(AND(Parameter!$B$19="Ja",E319&lt;&gt;"",ISNUMBER(MATCH(E319,Parameter!$I$35:$I$52,0))),VLOOKUP(E319,Parameter!$I$35:$J$52,2,0),IFERROR(VLOOKUP(D319,Parameter!$A$35:$C$64,2,0),"Nein"))</f>
        <v>2+3</v>
      </c>
      <c r="CD319" s="52" t="n">
        <f aca="false">IF(BZ319=0,0,IF(N(S319)&gt;0,S319,IFERROR(VLOOKUP(D319,Parameter!$A$35:$C$64,3,0)+0,0)))</f>
        <v>0</v>
      </c>
      <c r="CE319" s="48" t="n">
        <f aca="false">IF(AA319&lt;&gt;"",AA319,Z319)</f>
        <v>3</v>
      </c>
      <c r="CF319" s="48" t="str">
        <f aca="false">IF(OR(CE319=1,CE319=2,CE319=3),IF(Parameter!$E$27="Ja","LIFT",IF(CE319=1,"L1","L23")),IF(CE319="Aussen","Aussen","-"))</f>
        <v>LIFT</v>
      </c>
      <c r="CG319" s="59" t="n">
        <f aca="false">IF(N(AB319)&gt;0,AB319,0)</f>
        <v>0</v>
      </c>
      <c r="CH319" s="53" t="n">
        <f aca="false">IF(ISNUMBER(AE319),1,0)</f>
        <v>0</v>
      </c>
      <c r="CI319" s="50" t="n">
        <f aca="false">N(AE319)</f>
        <v>0</v>
      </c>
      <c r="CJ319" s="50" t="n">
        <f aca="false">N(M319)+N(N319)</f>
        <v>5</v>
      </c>
      <c r="CK319" s="50" t="n">
        <f aca="false">N(M319)</f>
        <v>0</v>
      </c>
      <c r="CL319" s="50" t="n">
        <f aca="false">N(N319)</f>
        <v>5</v>
      </c>
      <c r="CM319" s="50" t="n">
        <f aca="false">ROUNDUP(H319/BY319,0)</f>
        <v>1</v>
      </c>
      <c r="CN319" s="50" t="n">
        <f aca="false">ROUNDUP(CI319/BY319,0)</f>
        <v>0</v>
      </c>
      <c r="CO319" s="53" t="n">
        <f aca="false">IF(BZ319=1,0,IFERROR(VLOOKUP(BX319,'Gebinde-Kategorie'!$A$5:$N$45,5,0)+0,0))</f>
        <v>11</v>
      </c>
      <c r="CP319" s="53" t="n">
        <f aca="false">IFERROR(IF(OR(CE319=1,CE319=2,CE319=3),N(INDEX(Parameter!$I$5:$I$7,CE319)),0),0)</f>
        <v>0</v>
      </c>
      <c r="CQ319" s="52" t="n">
        <f aca="false">IF(AND(Parameter!$B$21="Ja",ISNUMBER(W319),N(X319)&gt;0),IFERROR(N(INDEX(Parameter!$L$5:$L$7,W319))*INDEX(Parameter!$E$5:$E$7,W319)*X319/SUMIFS($X$7:$X$1843,$W$7:$W$1843,W319),0),0)</f>
        <v>0</v>
      </c>
    </row>
    <row r="320" customFormat="false" ht="15" hidden="false" customHeight="false" outlineLevel="0" collapsed="false">
      <c r="A320" s="48" t="s">
        <v>814</v>
      </c>
      <c r="B320" s="48" t="s">
        <v>815</v>
      </c>
      <c r="C320" s="48" t="s">
        <v>173</v>
      </c>
      <c r="D320" s="48" t="s">
        <v>193</v>
      </c>
      <c r="E320" s="48" t="s">
        <v>194</v>
      </c>
      <c r="F320" s="48" t="s">
        <v>227</v>
      </c>
      <c r="G320" s="49" t="n">
        <v>32.38</v>
      </c>
      <c r="H320" s="50" t="n">
        <f aca="false">MAX(0,IF(AND(Parameter!$B$21="Ja",ISNUMBER(Y320)),Y320,IF(Parameter!$B$20="Jahresanfang 2025 + Export",BR320+BQ320,BQ320)))</f>
        <v>12</v>
      </c>
      <c r="I320" s="50" t="n">
        <f aca="false">H320*G320</f>
        <v>388.56</v>
      </c>
      <c r="J320" s="50" t="n">
        <f aca="false">BT320*Parameter!$B$18</f>
        <v>10</v>
      </c>
      <c r="K320" s="51" t="n">
        <v>10</v>
      </c>
      <c r="L320" s="52" t="n">
        <v>1</v>
      </c>
      <c r="M320" s="50" t="n">
        <v>0</v>
      </c>
      <c r="N320" s="50" t="n">
        <v>10</v>
      </c>
      <c r="O320" s="53" t="n">
        <v>28</v>
      </c>
      <c r="P320" s="48" t="s">
        <v>430</v>
      </c>
      <c r="Q320" s="50" t="n">
        <v>9</v>
      </c>
      <c r="R320" s="53" t="n">
        <f aca="false">IF(BZ320=1,0,IFERROR(VLOOKUP(BX320,'Gebinde-Kategorie'!$A$5:$N$45,13,0)+0,0))</f>
        <v>104</v>
      </c>
      <c r="S320" s="54"/>
      <c r="T320" s="55"/>
      <c r="U320" s="55"/>
      <c r="V320" s="55"/>
      <c r="W320" s="48"/>
      <c r="X320" s="50"/>
      <c r="Y320" s="50"/>
      <c r="Z320" s="48" t="n">
        <f aca="false">IF(A320="","",IF(AND(Parameter!$B$21="Ja",ISNUMBER(W320)),W320,IF(CC320="2+3",IF(ISNUMBER(SEARCH("grosser Artikel",BU320)),2,IFERROR(VLOOKUP(BX320,Parameter!$F$35:$G$64,2,0),2)),IF(OR(CC320="Nein",CC320=""),"-",CC320))))</f>
        <v>3</v>
      </c>
      <c r="AA320" s="55"/>
      <c r="AB320" s="56"/>
      <c r="AC320" s="50" t="n">
        <f aca="false">AV320</f>
        <v>10</v>
      </c>
      <c r="AD320" s="50" t="n">
        <f aca="false">MAX(AV320,H320)</f>
        <v>12</v>
      </c>
      <c r="AE320" s="57"/>
      <c r="AF320" s="50" t="n">
        <f aca="false">IF(LEFT(Cockpit!$C$5,1)="A",H320,IF(Parameter!$E$30="MAX-Bestand",IF(CH320=1,CI320,IF(LEFT(Cockpit!$C$5,1)="B",AL320,MAX(AL320,H320))),ROUNDUP(AJ320,0)))</f>
        <v>12</v>
      </c>
      <c r="AG320" s="50" t="n">
        <f aca="false">IF(BZ320=1,0,ROUNDUP(AF320/BY320,0))</f>
        <v>2</v>
      </c>
      <c r="AH320" s="52" t="n">
        <f aca="false">IF(CQ320&gt;0,CQ320*MAX(1,AF320/X320),IF(BZ320=1,IF(AF320&lt;=0,0,CD320*MAX(1,IF(H320&gt;0,AF320/H320,1))),IF(R320&gt;0,AG320/R320,0))/MAX(0.1,N(Parameter!$M$21)))</f>
        <v>0.0192307692307692</v>
      </c>
      <c r="AI320" s="50" t="n">
        <f aca="false">AH320*CB320</f>
        <v>2.98076923076923</v>
      </c>
      <c r="AJ320" s="51" t="n">
        <f aca="false">IF(LEFT(Cockpit!$C$5,1)="A",H320,IF(CH320=1,(CK320+CI320)/2,IF(LEFT(Cockpit!$C$5,1)="B",(CK320+AL320)/2,MAX((CK320+AL320)/2,H320))))</f>
        <v>12</v>
      </c>
      <c r="AK320" s="50" t="n">
        <f aca="false">AJ320*G320</f>
        <v>388.56</v>
      </c>
      <c r="AL320" s="50" t="n">
        <f aca="false">ROUNDUP(CK320+MAX(CL320,2*(J320/IF(CG320&gt;0,CG320,MAX(0.1,N(Cockpit!$C$6)))-CK320)),0)</f>
        <v>10</v>
      </c>
      <c r="AM320" s="51" t="n">
        <f aca="false">IF(AI320&gt;0,J320/AI320,-1)</f>
        <v>3.35483870967742</v>
      </c>
      <c r="AN320" s="51" t="n">
        <f aca="false">IF(AND(OR(CF320="L1",CF320="L23",CF320="LIFT"),AI320&gt;0),SUMIFS($AI$7:$AI$1843,$CF$7:$CF$1843,CF320,$AM$7:$AM$1843,"&gt;"&amp;AM320)+SUMIFS($AI$7:$AI$1843,$CF$7:$CF$1843,CF320,$AM$7:$AM$1843,AM320,$BW$7:$BW$1843,"&lt;="&amp;BW320),"")</f>
        <v>4906.40521978022</v>
      </c>
      <c r="AO320" s="58" t="n">
        <f aca="false">IF(AN320="",0,MAX(0,MIN(1,(IF(CF320="L1",Parameter!$H$5,IF(CF320="L23",Parameter!$H$6+Parameter!$H$7,Parameter!$H$5+Parameter!$H$6+Parameter!$H$7))-(AN320-AI320))/AI320)))</f>
        <v>1</v>
      </c>
      <c r="AP320" s="50" t="n">
        <f aca="false">IF(LEFT(Cockpit!$I$5,1)="A",H320,IF(Parameter!$E$30="MAX-Bestand",IF(CH320=1,CI320,IF(LEFT(Cockpit!$I$5,1)="B",AV320,MAX(AV320,H320))),ROUNDUP(AT320,0)))</f>
        <v>12</v>
      </c>
      <c r="AQ320" s="50" t="n">
        <f aca="false">IF(BZ320=1,0,ROUNDUP(AP320/BY320,0))</f>
        <v>2</v>
      </c>
      <c r="AR320" s="52" t="n">
        <f aca="false">IF(CQ320&gt;0,CQ320*MAX(1,AP320/X320),IF(BZ320=1,IF(AP320&lt;=0,0,CD320*MAX(1,IF(H320&gt;0,AP320/H320,1))),IF(R320&gt;0,AQ320/R320,0))/MAX(0.1,N(Parameter!$M$21)))</f>
        <v>0.0192307692307692</v>
      </c>
      <c r="AS320" s="50" t="n">
        <f aca="false">AR320*CB320</f>
        <v>2.98076923076923</v>
      </c>
      <c r="AT320" s="51" t="n">
        <f aca="false">IF(LEFT(Cockpit!$I$5,1)="A",H320,IF(CH320=1,(CK320+CI320)/2,IF(LEFT(Cockpit!$I$5,1)="B",(CK320+AV320)/2,MAX((CK320+AV320)/2,H320))))</f>
        <v>12</v>
      </c>
      <c r="AU320" s="50" t="n">
        <f aca="false">AT320*G320</f>
        <v>388.56</v>
      </c>
      <c r="AV320" s="50" t="n">
        <f aca="false">ROUNDUP(CK320+MAX(CL320,2*(J320/IF(CG320&gt;0,CG320,MAX(0.1,N(Cockpit!$I$6)))-CK320)),0)</f>
        <v>10</v>
      </c>
      <c r="AW320" s="51" t="n">
        <f aca="false">IF(AS320&gt;0,J320/AS320,-1)</f>
        <v>3.35483870967742</v>
      </c>
      <c r="AX320" s="51" t="n">
        <f aca="false">IF(AND(OR(CF320="L1",CF320="L23",CF320="LIFT"),AS320&gt;0),SUMIFS($AS$7:$AS$1843,$CF$7:$CF$1843,CF320,$AW$7:$AW$1843,"&gt;"&amp;AW320)+SUMIFS($AS$7:$AS$1843,$CF$7:$CF$1843,CF320,$AW$7:$AW$1843,AW320,$BW$7:$BW$1843,"&lt;="&amp;BW320),"")</f>
        <v>5570.24221611722</v>
      </c>
      <c r="AY320" s="58" t="n">
        <f aca="false">IF(AX320="",0,MAX(0,MIN(1,(IF(CF320="L1",Parameter!$H$5,IF(CF320="L23",Parameter!$H$6+Parameter!$H$7,Parameter!$H$5+Parameter!$H$6+Parameter!$H$7))-(AX320-AS320))/AS320)))</f>
        <v>1</v>
      </c>
      <c r="AZ320" s="50" t="n">
        <f aca="false">IF(LEFT(Cockpit!$O$5,1)="A",H320,IF(Parameter!$E$30="MAX-Bestand",IF(CH320=1,CI320,IF(LEFT(Cockpit!$O$5,1)="B",BF320,MAX(BF320,H320))),ROUNDUP(BD320,0)))</f>
        <v>5</v>
      </c>
      <c r="BA320" s="50" t="n">
        <f aca="false">IF(BZ320=1,0,ROUNDUP(AZ320/BY320,0))</f>
        <v>1</v>
      </c>
      <c r="BB320" s="52" t="n">
        <f aca="false">IF(CQ320&gt;0,CQ320*MAX(1,AZ320/X320),IF(BZ320=1,IF(AZ320&lt;=0,0,CD320*MAX(1,IF(H320&gt;0,AZ320/H320,1))),IF(R320&gt;0,BA320/R320,0))/MAX(0.1,N(Parameter!$M$21)))</f>
        <v>0.00961538461538462</v>
      </c>
      <c r="BC320" s="50" t="n">
        <f aca="false">BB320*CB320</f>
        <v>1.49038461538462</v>
      </c>
      <c r="BD320" s="51" t="n">
        <f aca="false">IF(LEFT(Cockpit!$O$5,1)="A",H320,IF(CH320=1,(CK320+CI320)/2,IF(LEFT(Cockpit!$O$5,1)="B",(CK320+BF320)/2,MAX((CK320+BF320)/2,H320))))</f>
        <v>5</v>
      </c>
      <c r="BE320" s="50" t="n">
        <f aca="false">BD320*G320</f>
        <v>161.9</v>
      </c>
      <c r="BF320" s="50" t="n">
        <f aca="false">ROUNDUP(CK320+MAX(CL320,2*(J320/IF(CG320&gt;0,CG320,MAX(0.1,N(Cockpit!$O$6)))-CK320)),0)</f>
        <v>10</v>
      </c>
      <c r="BG320" s="51" t="n">
        <f aca="false">IF(BC320&gt;0,J320/BC320,-1)</f>
        <v>6.70967741935484</v>
      </c>
      <c r="BH320" s="51" t="n">
        <f aca="false">IF(AND(OR(CF320="L1",CF320="L23",CF320="LIFT"),BC320&gt;0),SUMIFS($BC$7:$BC$1843,$CF$7:$CF$1843,CF320,$BG$7:$BG$1843,"&gt;"&amp;BG320)+SUMIFS($BC$7:$BC$1843,$CF$7:$CF$1843,CF320,$BG$7:$BG$1843,BG320,$BW$7:$BW$1843,"&lt;="&amp;BW320),"")</f>
        <v>3373.07921245421</v>
      </c>
      <c r="BI320" s="58" t="n">
        <f aca="false">IF(BH320="",0,MAX(0,MIN(1,(IF(CF320="L1",Parameter!$H$5,IF(CF320="L23",Parameter!$H$6+Parameter!$H$7,Parameter!$H$5+Parameter!$H$6+Parameter!$H$7))-(BH320-BC320))/BC320)))</f>
        <v>1</v>
      </c>
      <c r="BJ320" s="48" t="str">
        <f aca="false">IF(AI320&lt;=0,"",IF(CF320="Aussen","Aussenlager",IF(CF320="-","Nicht im Lift",IF(AO320&gt;=1,"Lift",IF(AO320&lt;=0,"Aussenlager","teilweise")))))</f>
        <v>Lift</v>
      </c>
      <c r="BK320" s="48" t="str">
        <f aca="false">IF(AS320&lt;=0,"",IF(CF320="Aussen","Aussenlager",IF(CF320="-","Nicht im Lift",IF(AY320&gt;=1,"Lift",IF(AY320&lt;=0,"Aussenlager","teilweise")))))</f>
        <v>Lift</v>
      </c>
      <c r="BL320" s="48" t="str">
        <f aca="false">IF(BC320&lt;=0,"",IF(CF320="Aussen","Aussenlager",IF(CF320="-","Nicht im Lift",IF(BI320&gt;=1,"Lift",IF(BI320&lt;=0,"Aussenlager","teilweise")))))</f>
        <v>Lift</v>
      </c>
      <c r="BM320" s="48" t="str">
        <f aca="false">IF(A320="","",IF(BV320=1,"Neu; ","")&amp;IF(AND(BV320=0,BQ320&lt;0),"negativer Bestand (Export "&amp;BQ320&amp;"); ","")&amp;IF(J320&lt;=0,"Kein Verbrauch; ","")&amp;IF(CQ320&gt;0,"Lift "&amp;W320&amp;" lt. Liftbericht (Fach "&amp;X320&amp;" Stk); ",IF(CA320=1,"Gebinde geschätzt ("&amp;T320&amp;"); ",IF(BZ320=1,"Lose – Tablare geschätzt; ","")))&amp;IF(H320&gt;AV320,"Überbestand "&amp;ROUND(H320-AV320,0)&amp;" Stk / CHF "&amp;ROUND((H320-AV320)*G320,0)&amp;"; ","")&amp;IF(AND(CH320=1,CI320&lt;CJ320),"MAX &lt; MB+LG; ","")&amp;IF(AND(CP320&gt;0,CO320*10&gt;CP320),"zu hoch für Tablar; ","")&amp;IF(AND(BV320=0,OR(CH320=1,AA320&lt;&gt;"",U320&lt;&gt;"",V320&lt;&gt;"",AB320&lt;&gt;"")),"manuell übersteuert; ","")&amp;IF(AND(BZ320=0,R320=0),"Gebinde unbekannt / Stellmass fehlt; ","")&amp;IF(AND(BZ320=0,N(V320)&lt;=0,N(Q320)&lt;=0),"Menge pro Gebinde fehlt (Ist = 1 Gebinde); ","")&amp;BU320)</f>
        <v>Überbestand 2 Stk / CHF 65; </v>
      </c>
      <c r="BN320" s="48"/>
      <c r="BO320" s="48"/>
      <c r="BP320" s="55"/>
      <c r="BQ320" s="50" t="n">
        <v>7</v>
      </c>
      <c r="BR320" s="50" t="n">
        <v>5</v>
      </c>
      <c r="BS320" s="49" t="n">
        <v>238.56</v>
      </c>
      <c r="BT320" s="50" t="n">
        <v>10</v>
      </c>
      <c r="BU320" s="48"/>
      <c r="BV320" s="53" t="n">
        <v>0</v>
      </c>
      <c r="BW320" s="53" t="n">
        <v>320</v>
      </c>
      <c r="BX320" s="48" t="str">
        <f aca="false">IF(U320&lt;&gt;"",UPPER(TRIM(U320)),IF(CA320=1,UPPER(VLOOKUP(T320,Parameter!$I$27:$K$29,2,0)),IF(P320="","LOSE",P320)))</f>
        <v>S32</v>
      </c>
      <c r="BY320" s="50" t="n">
        <f aca="false">IF(BX320="LOSE",1,IF(N(V320)&gt;0,V320,IF(CA320=1,MAX(1,N(VLOOKUP(T320,Parameter!$I$27:$K$29,3,0)),H320,N(N320)),IF(N(Q320)&gt;0,Q320,MAX(1,H320)))))</f>
        <v>9</v>
      </c>
      <c r="BZ320" s="53" t="n">
        <f aca="false">IF(BX320="LOSE",1,0)</f>
        <v>0</v>
      </c>
      <c r="CA320" s="53" t="n">
        <f aca="false">IF(AND(U320="",OR(P320="",P320="LOSE"),T320&lt;&gt;"",N(S320)&lt;=0,ISNUMBER(MATCH(T320,Parameter!$I$27:$I$29,0))),1,0)</f>
        <v>0</v>
      </c>
      <c r="CB320" s="53" t="n">
        <f aca="false">IF(CQ320&gt;0,INDEX(Parameter!$H$5:$H$7,W320)/INDEX(Parameter!$E$5:$E$7,W320),IF(AND(BZ320=0,N(IFERROR(VLOOKUP(BX320,'Gebinde-Kategorie'!$A$5:$N$45,14,0),0))&gt;0),VLOOKUP(BX320,'Gebinde-Kategorie'!$A$5:$N$45,14,0)*10+Parameter!$M$23,Parameter!$M$24))</f>
        <v>155</v>
      </c>
      <c r="CC320" s="48" t="str">
        <f aca="false">IF(AND(Parameter!$B$19="Ja",E320&lt;&gt;"",ISNUMBER(MATCH(E320,Parameter!$I$35:$I$52,0))),VLOOKUP(E320,Parameter!$I$35:$J$52,2,0),IFERROR(VLOOKUP(D320,Parameter!$A$35:$C$64,2,0),"Nein"))</f>
        <v>2+3</v>
      </c>
      <c r="CD320" s="52" t="n">
        <f aca="false">IF(BZ320=0,0,IF(N(S320)&gt;0,S320,IFERROR(VLOOKUP(D320,Parameter!$A$35:$C$64,3,0)+0,0)))</f>
        <v>0</v>
      </c>
      <c r="CE320" s="48" t="n">
        <f aca="false">IF(AA320&lt;&gt;"",AA320,Z320)</f>
        <v>3</v>
      </c>
      <c r="CF320" s="48" t="str">
        <f aca="false">IF(OR(CE320=1,CE320=2,CE320=3),IF(Parameter!$E$27="Ja","LIFT",IF(CE320=1,"L1","L23")),IF(CE320="Aussen","Aussen","-"))</f>
        <v>LIFT</v>
      </c>
      <c r="CG320" s="59" t="n">
        <f aca="false">IF(N(AB320)&gt;0,AB320,0)</f>
        <v>0</v>
      </c>
      <c r="CH320" s="53" t="n">
        <f aca="false">IF(ISNUMBER(AE320),1,0)</f>
        <v>0</v>
      </c>
      <c r="CI320" s="50" t="n">
        <f aca="false">N(AE320)</f>
        <v>0</v>
      </c>
      <c r="CJ320" s="50" t="n">
        <f aca="false">N(M320)+N(N320)</f>
        <v>10</v>
      </c>
      <c r="CK320" s="50" t="n">
        <f aca="false">N(M320)</f>
        <v>0</v>
      </c>
      <c r="CL320" s="50" t="n">
        <f aca="false">N(N320)</f>
        <v>10</v>
      </c>
      <c r="CM320" s="50" t="n">
        <f aca="false">ROUNDUP(H320/BY320,0)</f>
        <v>2</v>
      </c>
      <c r="CN320" s="50" t="n">
        <f aca="false">ROUNDUP(CI320/BY320,0)</f>
        <v>0</v>
      </c>
      <c r="CO320" s="53" t="n">
        <f aca="false">IF(BZ320=1,0,IFERROR(VLOOKUP(BX320,'Gebinde-Kategorie'!$A$5:$N$45,5,0)+0,0))</f>
        <v>8</v>
      </c>
      <c r="CP320" s="53" t="n">
        <f aca="false">IFERROR(IF(OR(CE320=1,CE320=2,CE320=3),N(INDEX(Parameter!$I$5:$I$7,CE320)),0),0)</f>
        <v>0</v>
      </c>
      <c r="CQ320" s="52" t="n">
        <f aca="false">IF(AND(Parameter!$B$21="Ja",ISNUMBER(W320),N(X320)&gt;0),IFERROR(N(INDEX(Parameter!$L$5:$L$7,W320))*INDEX(Parameter!$E$5:$E$7,W320)*X320/SUMIFS($X$7:$X$1843,$W$7:$W$1843,W320),0),0)</f>
        <v>0</v>
      </c>
    </row>
    <row r="321" customFormat="false" ht="15" hidden="false" customHeight="false" outlineLevel="0" collapsed="false">
      <c r="A321" s="48" t="s">
        <v>816</v>
      </c>
      <c r="B321" s="48" t="s">
        <v>817</v>
      </c>
      <c r="C321" s="48" t="s">
        <v>173</v>
      </c>
      <c r="D321" s="48" t="s">
        <v>193</v>
      </c>
      <c r="E321" s="48" t="s">
        <v>194</v>
      </c>
      <c r="F321" s="48" t="s">
        <v>227</v>
      </c>
      <c r="G321" s="49" t="n">
        <v>3.64</v>
      </c>
      <c r="H321" s="50" t="n">
        <f aca="false">MAX(0,IF(AND(Parameter!$B$21="Ja",ISNUMBER(Y321)),Y321,IF(Parameter!$B$20="Jahresanfang 2025 + Export",BR321+BQ321,BQ321)))</f>
        <v>182</v>
      </c>
      <c r="I321" s="50" t="n">
        <f aca="false">H321*G321</f>
        <v>662.48</v>
      </c>
      <c r="J321" s="50" t="n">
        <f aca="false">BT321*Parameter!$B$18</f>
        <v>198</v>
      </c>
      <c r="K321" s="51" t="n">
        <v>76</v>
      </c>
      <c r="L321" s="52" t="n">
        <v>2.60526315789474</v>
      </c>
      <c r="M321" s="50" t="n">
        <v>49</v>
      </c>
      <c r="N321" s="50" t="n">
        <v>200</v>
      </c>
      <c r="O321" s="53" t="n">
        <v>60</v>
      </c>
      <c r="P321" s="48" t="s">
        <v>337</v>
      </c>
      <c r="Q321" s="50" t="n">
        <v>280</v>
      </c>
      <c r="R321" s="53" t="n">
        <f aca="false">IF(BZ321=1,0,IFERROR(VLOOKUP(BX321,'Gebinde-Kategorie'!$A$5:$N$45,13,0)+0,0))</f>
        <v>52</v>
      </c>
      <c r="S321" s="54"/>
      <c r="T321" s="55"/>
      <c r="U321" s="55"/>
      <c r="V321" s="55"/>
      <c r="W321" s="48"/>
      <c r="X321" s="50"/>
      <c r="Y321" s="50"/>
      <c r="Z321" s="48" t="n">
        <f aca="false">IF(A321="","",IF(AND(Parameter!$B$21="Ja",ISNUMBER(W321)),W321,IF(CC321="2+3",IF(ISNUMBER(SEARCH("grosser Artikel",BU321)),2,IFERROR(VLOOKUP(BX321,Parameter!$F$35:$G$64,2,0),2)),IF(OR(CC321="Nein",CC321=""),"-",CC321))))</f>
        <v>3</v>
      </c>
      <c r="AA321" s="55"/>
      <c r="AB321" s="56"/>
      <c r="AC321" s="50" t="n">
        <f aca="false">AV321</f>
        <v>249</v>
      </c>
      <c r="AD321" s="50" t="n">
        <f aca="false">MAX(AV321,H321)</f>
        <v>249</v>
      </c>
      <c r="AE321" s="57"/>
      <c r="AF321" s="50" t="n">
        <f aca="false">IF(LEFT(Cockpit!$C$5,1)="A",H321,IF(Parameter!$E$30="MAX-Bestand",IF(CH321=1,CI321,IF(LEFT(Cockpit!$C$5,1)="B",AL321,MAX(AL321,H321))),ROUNDUP(AJ321,0)))</f>
        <v>182</v>
      </c>
      <c r="AG321" s="50" t="n">
        <f aca="false">IF(BZ321=1,0,ROUNDUP(AF321/BY321,0))</f>
        <v>1</v>
      </c>
      <c r="AH321" s="52" t="n">
        <f aca="false">IF(CQ321&gt;0,CQ321*MAX(1,AF321/X321),IF(BZ321=1,IF(AF321&lt;=0,0,CD321*MAX(1,IF(H321&gt;0,AF321/H321,1))),IF(R321&gt;0,AG321/R321,0))/MAX(0.1,N(Parameter!$M$21)))</f>
        <v>0.0192307692307692</v>
      </c>
      <c r="AI321" s="50" t="n">
        <f aca="false">AH321*CB321</f>
        <v>2.98076923076923</v>
      </c>
      <c r="AJ321" s="51" t="n">
        <f aca="false">IF(LEFT(Cockpit!$C$5,1)="A",H321,IF(CH321=1,(CK321+CI321)/2,IF(LEFT(Cockpit!$C$5,1)="B",(CK321+AL321)/2,MAX((CK321+AL321)/2,H321))))</f>
        <v>182</v>
      </c>
      <c r="AK321" s="50" t="n">
        <f aca="false">AJ321*G321</f>
        <v>662.48</v>
      </c>
      <c r="AL321" s="50" t="n">
        <f aca="false">ROUNDUP(CK321+MAX(CL321,2*(J321/IF(CG321&gt;0,CG321,MAX(0.1,N(Cockpit!$C$6)))-CK321)),0)</f>
        <v>249</v>
      </c>
      <c r="AM321" s="51" t="n">
        <f aca="false">IF(AI321&gt;0,J321/AI321,-1)</f>
        <v>66.4258064516129</v>
      </c>
      <c r="AN321" s="51" t="n">
        <f aca="false">IF(AND(OR(CF321="L1",CF321="L23",CF321="LIFT"),AI321&gt;0),SUMIFS($AI$7:$AI$1843,$CF$7:$CF$1843,CF321,$AM$7:$AM$1843,"&gt;"&amp;AM321)+SUMIFS($AI$7:$AI$1843,$CF$7:$CF$1843,CF321,$AM$7:$AM$1843,AM321,$BW$7:$BW$1843,"&lt;="&amp;BW321),"")</f>
        <v>918.307692307692</v>
      </c>
      <c r="AO321" s="58" t="n">
        <f aca="false">IF(AN321="",0,MAX(0,MIN(1,(IF(CF321="L1",Parameter!$H$5,IF(CF321="L23",Parameter!$H$6+Parameter!$H$7,Parameter!$H$5+Parameter!$H$6+Parameter!$H$7))-(AN321-AI321))/AI321)))</f>
        <v>1</v>
      </c>
      <c r="AP321" s="50" t="n">
        <f aca="false">IF(LEFT(Cockpit!$I$5,1)="A",H321,IF(Parameter!$E$30="MAX-Bestand",IF(CH321=1,CI321,IF(LEFT(Cockpit!$I$5,1)="B",AV321,MAX(AV321,H321))),ROUNDUP(AT321,0)))</f>
        <v>182</v>
      </c>
      <c r="AQ321" s="50" t="n">
        <f aca="false">IF(BZ321=1,0,ROUNDUP(AP321/BY321,0))</f>
        <v>1</v>
      </c>
      <c r="AR321" s="52" t="n">
        <f aca="false">IF(CQ321&gt;0,CQ321*MAX(1,AP321/X321),IF(BZ321=1,IF(AP321&lt;=0,0,CD321*MAX(1,IF(H321&gt;0,AP321/H321,1))),IF(R321&gt;0,AQ321/R321,0))/MAX(0.1,N(Parameter!$M$21)))</f>
        <v>0.0192307692307692</v>
      </c>
      <c r="AS321" s="50" t="n">
        <f aca="false">AR321*CB321</f>
        <v>2.98076923076923</v>
      </c>
      <c r="AT321" s="51" t="n">
        <f aca="false">IF(LEFT(Cockpit!$I$5,1)="A",H321,IF(CH321=1,(CK321+CI321)/2,IF(LEFT(Cockpit!$I$5,1)="B",(CK321+AV321)/2,MAX((CK321+AV321)/2,H321))))</f>
        <v>182</v>
      </c>
      <c r="AU321" s="50" t="n">
        <f aca="false">AT321*G321</f>
        <v>662.48</v>
      </c>
      <c r="AV321" s="50" t="n">
        <f aca="false">ROUNDUP(CK321+MAX(CL321,2*(J321/IF(CG321&gt;0,CG321,MAX(0.1,N(Cockpit!$I$6)))-CK321)),0)</f>
        <v>249</v>
      </c>
      <c r="AW321" s="51" t="n">
        <f aca="false">IF(AS321&gt;0,J321/AS321,-1)</f>
        <v>66.4258064516129</v>
      </c>
      <c r="AX321" s="51" t="n">
        <f aca="false">IF(AND(OR(CF321="L1",CF321="L23",CF321="LIFT"),AS321&gt;0),SUMIFS($AS$7:$AS$1843,$CF$7:$CF$1843,CF321,$AW$7:$AW$1843,"&gt;"&amp;AW321)+SUMIFS($AS$7:$AS$1843,$CF$7:$CF$1843,CF321,$AW$7:$AW$1843,AW321,$BW$7:$BW$1843,"&lt;="&amp;BW321),"")</f>
        <v>1130.11263736264</v>
      </c>
      <c r="AY321" s="58" t="n">
        <f aca="false">IF(AX321="",0,MAX(0,MIN(1,(IF(CF321="L1",Parameter!$H$5,IF(CF321="L23",Parameter!$H$6+Parameter!$H$7,Parameter!$H$5+Parameter!$H$6+Parameter!$H$7))-(AX321-AS321))/AS321)))</f>
        <v>1</v>
      </c>
      <c r="AZ321" s="50" t="n">
        <f aca="false">IF(LEFT(Cockpit!$O$5,1)="A",H321,IF(Parameter!$E$30="MAX-Bestand",IF(CH321=1,CI321,IF(LEFT(Cockpit!$O$5,1)="B",BF321,MAX(BF321,H321))),ROUNDUP(BD321,0)))</f>
        <v>149</v>
      </c>
      <c r="BA321" s="50" t="n">
        <f aca="false">IF(BZ321=1,0,ROUNDUP(AZ321/BY321,0))</f>
        <v>1</v>
      </c>
      <c r="BB321" s="52" t="n">
        <f aca="false">IF(CQ321&gt;0,CQ321*MAX(1,AZ321/X321),IF(BZ321=1,IF(AZ321&lt;=0,0,CD321*MAX(1,IF(H321&gt;0,AZ321/H321,1))),IF(R321&gt;0,BA321/R321,0))/MAX(0.1,N(Parameter!$M$21)))</f>
        <v>0.0192307692307692</v>
      </c>
      <c r="BC321" s="50" t="n">
        <f aca="false">BB321*CB321</f>
        <v>2.98076923076923</v>
      </c>
      <c r="BD321" s="51" t="n">
        <f aca="false">IF(LEFT(Cockpit!$O$5,1)="A",H321,IF(CH321=1,(CK321+CI321)/2,IF(LEFT(Cockpit!$O$5,1)="B",(CK321+BF321)/2,MAX((CK321+BF321)/2,H321))))</f>
        <v>149</v>
      </c>
      <c r="BE321" s="50" t="n">
        <f aca="false">BD321*G321</f>
        <v>542.36</v>
      </c>
      <c r="BF321" s="50" t="n">
        <f aca="false">ROUNDUP(CK321+MAX(CL321,2*(J321/IF(CG321&gt;0,CG321,MAX(0.1,N(Cockpit!$O$6)))-CK321)),0)</f>
        <v>249</v>
      </c>
      <c r="BG321" s="51" t="n">
        <f aca="false">IF(BC321&gt;0,J321/BC321,-1)</f>
        <v>66.4258064516129</v>
      </c>
      <c r="BH321" s="51" t="n">
        <f aca="false">IF(AND(OR(CF321="L1",CF321="L23",CF321="LIFT"),BC321&gt;0),SUMIFS($BC$7:$BC$1843,$CF$7:$CF$1843,CF321,$BG$7:$BG$1843,"&gt;"&amp;BG321)+SUMIFS($BC$7:$BC$1843,$CF$7:$CF$1843,CF321,$BG$7:$BG$1843,BG321,$BW$7:$BW$1843,"&lt;="&amp;BW321),"")</f>
        <v>1033.94322344322</v>
      </c>
      <c r="BI321" s="58" t="n">
        <f aca="false">IF(BH321="",0,MAX(0,MIN(1,(IF(CF321="L1",Parameter!$H$5,IF(CF321="L23",Parameter!$H$6+Parameter!$H$7,Parameter!$H$5+Parameter!$H$6+Parameter!$H$7))-(BH321-BC321))/BC321)))</f>
        <v>1</v>
      </c>
      <c r="BJ321" s="48" t="str">
        <f aca="false">IF(AI321&lt;=0,"",IF(CF321="Aussen","Aussenlager",IF(CF321="-","Nicht im Lift",IF(AO321&gt;=1,"Lift",IF(AO321&lt;=0,"Aussenlager","teilweise")))))</f>
        <v>Lift</v>
      </c>
      <c r="BK321" s="48" t="str">
        <f aca="false">IF(AS321&lt;=0,"",IF(CF321="Aussen","Aussenlager",IF(CF321="-","Nicht im Lift",IF(AY321&gt;=1,"Lift",IF(AY321&lt;=0,"Aussenlager","teilweise")))))</f>
        <v>Lift</v>
      </c>
      <c r="BL321" s="48" t="str">
        <f aca="false">IF(BC321&lt;=0,"",IF(CF321="Aussen","Aussenlager",IF(CF321="-","Nicht im Lift",IF(BI321&gt;=1,"Lift",IF(BI321&lt;=0,"Aussenlager","teilweise")))))</f>
        <v>Lift</v>
      </c>
      <c r="BM321" s="48" t="str">
        <f aca="false">IF(A321="","",IF(BV321=1,"Neu; ","")&amp;IF(AND(BV321=0,BQ321&lt;0),"negativer Bestand (Export "&amp;BQ321&amp;"); ","")&amp;IF(J321&lt;=0,"Kein Verbrauch; ","")&amp;IF(CQ321&gt;0,"Lift "&amp;W321&amp;" lt. Liftbericht (Fach "&amp;X321&amp;" Stk); ",IF(CA321=1,"Gebinde geschätzt ("&amp;T321&amp;"); ",IF(BZ321=1,"Lose – Tablare geschätzt; ","")))&amp;IF(H321&gt;AV321,"Überbestand "&amp;ROUND(H321-AV321,0)&amp;" Stk / CHF "&amp;ROUND((H321-AV321)*G321,0)&amp;"; ","")&amp;IF(AND(CH321=1,CI321&lt;CJ321),"MAX &lt; MB+LG; ","")&amp;IF(AND(CP321&gt;0,CO321*10&gt;CP321),"zu hoch für Tablar; ","")&amp;IF(AND(BV321=0,OR(CH321=1,AA321&lt;&gt;"",U321&lt;&gt;"",V321&lt;&gt;"",AB321&lt;&gt;"")),"manuell übersteuert; ","")&amp;IF(AND(BZ321=0,R321=0),"Gebinde unbekannt / Stellmass fehlt; ","")&amp;IF(AND(BZ321=0,N(V321)&lt;=0,N(Q321)&lt;=0),"Menge pro Gebinde fehlt (Ist = 1 Gebinde); ","")&amp;BU321)</f>
        <v/>
      </c>
      <c r="BN321" s="48"/>
      <c r="BO321" s="48"/>
      <c r="BP321" s="55"/>
      <c r="BQ321" s="50" t="n">
        <v>137</v>
      </c>
      <c r="BR321" s="50" t="n">
        <v>45</v>
      </c>
      <c r="BS321" s="49" t="n">
        <v>237.88</v>
      </c>
      <c r="BT321" s="50" t="n">
        <v>198</v>
      </c>
      <c r="BU321" s="48"/>
      <c r="BV321" s="53" t="n">
        <v>0</v>
      </c>
      <c r="BW321" s="53" t="n">
        <v>321</v>
      </c>
      <c r="BX321" s="48" t="str">
        <f aca="false">IF(U321&lt;&gt;"",UPPER(TRIM(U321)),IF(CA321=1,UPPER(VLOOKUP(T321,Parameter!$I$27:$K$29,2,0)),IF(P321="","LOSE",P321)))</f>
        <v>S41</v>
      </c>
      <c r="BY321" s="50" t="n">
        <f aca="false">IF(BX321="LOSE",1,IF(N(V321)&gt;0,V321,IF(CA321=1,MAX(1,N(VLOOKUP(T321,Parameter!$I$27:$K$29,3,0)),H321,N(N321)),IF(N(Q321)&gt;0,Q321,MAX(1,H321)))))</f>
        <v>280</v>
      </c>
      <c r="BZ321" s="53" t="n">
        <f aca="false">IF(BX321="LOSE",1,0)</f>
        <v>0</v>
      </c>
      <c r="CA321" s="53" t="n">
        <f aca="false">IF(AND(U321="",OR(P321="",P321="LOSE"),T321&lt;&gt;"",N(S321)&lt;=0,ISNUMBER(MATCH(T321,Parameter!$I$27:$I$29,0))),1,0)</f>
        <v>0</v>
      </c>
      <c r="CB321" s="53" t="n">
        <f aca="false">IF(CQ321&gt;0,INDEX(Parameter!$H$5:$H$7,W321)/INDEX(Parameter!$E$5:$E$7,W321),IF(AND(BZ321=0,N(IFERROR(VLOOKUP(BX321,'Gebinde-Kategorie'!$A$5:$N$45,14,0),0))&gt;0),VLOOKUP(BX321,'Gebinde-Kategorie'!$A$5:$N$45,14,0)*10+Parameter!$M$23,Parameter!$M$24))</f>
        <v>155</v>
      </c>
      <c r="CC321" s="48" t="str">
        <f aca="false">IF(AND(Parameter!$B$19="Ja",E321&lt;&gt;"",ISNUMBER(MATCH(E321,Parameter!$I$35:$I$52,0))),VLOOKUP(E321,Parameter!$I$35:$J$52,2,0),IFERROR(VLOOKUP(D321,Parameter!$A$35:$C$64,2,0),"Nein"))</f>
        <v>2+3</v>
      </c>
      <c r="CD321" s="52" t="n">
        <f aca="false">IF(BZ321=0,0,IF(N(S321)&gt;0,S321,IFERROR(VLOOKUP(D321,Parameter!$A$35:$C$64,3,0)+0,0)))</f>
        <v>0</v>
      </c>
      <c r="CE321" s="48" t="n">
        <f aca="false">IF(AA321&lt;&gt;"",AA321,Z321)</f>
        <v>3</v>
      </c>
      <c r="CF321" s="48" t="str">
        <f aca="false">IF(OR(CE321=1,CE321=2,CE321=3),IF(Parameter!$E$27="Ja","LIFT",IF(CE321=1,"L1","L23")),IF(CE321="Aussen","Aussen","-"))</f>
        <v>LIFT</v>
      </c>
      <c r="CG321" s="59" t="n">
        <f aca="false">IF(N(AB321)&gt;0,AB321,0)</f>
        <v>0</v>
      </c>
      <c r="CH321" s="53" t="n">
        <f aca="false">IF(ISNUMBER(AE321),1,0)</f>
        <v>0</v>
      </c>
      <c r="CI321" s="50" t="n">
        <f aca="false">N(AE321)</f>
        <v>0</v>
      </c>
      <c r="CJ321" s="50" t="n">
        <f aca="false">N(M321)+N(N321)</f>
        <v>249</v>
      </c>
      <c r="CK321" s="50" t="n">
        <f aca="false">N(M321)</f>
        <v>49</v>
      </c>
      <c r="CL321" s="50" t="n">
        <f aca="false">N(N321)</f>
        <v>200</v>
      </c>
      <c r="CM321" s="50" t="n">
        <f aca="false">ROUNDUP(H321/BY321,0)</f>
        <v>1</v>
      </c>
      <c r="CN321" s="50" t="n">
        <f aca="false">ROUNDUP(CI321/BY321,0)</f>
        <v>0</v>
      </c>
      <c r="CO321" s="53" t="n">
        <f aca="false">IF(BZ321=1,0,IFERROR(VLOOKUP(BX321,'Gebinde-Kategorie'!$A$5:$N$45,5,0)+0,0))</f>
        <v>11</v>
      </c>
      <c r="CP321" s="53" t="n">
        <f aca="false">IFERROR(IF(OR(CE321=1,CE321=2,CE321=3),N(INDEX(Parameter!$I$5:$I$7,CE321)),0),0)</f>
        <v>0</v>
      </c>
      <c r="CQ321" s="52" t="n">
        <f aca="false">IF(AND(Parameter!$B$21="Ja",ISNUMBER(W321),N(X321)&gt;0),IFERROR(N(INDEX(Parameter!$L$5:$L$7,W321))*INDEX(Parameter!$E$5:$E$7,W321)*X321/SUMIFS($X$7:$X$1843,$W$7:$W$1843,W321),0),0)</f>
        <v>0</v>
      </c>
    </row>
    <row r="322" customFormat="false" ht="15" hidden="false" customHeight="false" outlineLevel="0" collapsed="false">
      <c r="A322" s="48" t="s">
        <v>818</v>
      </c>
      <c r="B322" s="48" t="s">
        <v>772</v>
      </c>
      <c r="C322" s="48" t="s">
        <v>173</v>
      </c>
      <c r="D322" s="48" t="s">
        <v>193</v>
      </c>
      <c r="E322" s="48"/>
      <c r="F322" s="48" t="s">
        <v>227</v>
      </c>
      <c r="G322" s="49" t="n">
        <v>9.47</v>
      </c>
      <c r="H322" s="50" t="n">
        <f aca="false">MAX(0,IF(AND(Parameter!$B$21="Ja",ISNUMBER(Y322)),Y322,IF(Parameter!$B$20="Jahresanfang 2025 + Export",BR322+BQ322,BQ322)))</f>
        <v>25</v>
      </c>
      <c r="I322" s="50" t="n">
        <f aca="false">H322*G322</f>
        <v>236.75</v>
      </c>
      <c r="J322" s="50" t="n">
        <f aca="false">BT322*Parameter!$B$18</f>
        <v>0</v>
      </c>
      <c r="K322" s="51" t="n">
        <v>0</v>
      </c>
      <c r="L322" s="52" t="n">
        <v>0</v>
      </c>
      <c r="M322" s="50" t="n">
        <v>0</v>
      </c>
      <c r="N322" s="50" t="n">
        <v>1</v>
      </c>
      <c r="O322" s="53" t="n">
        <v>9999</v>
      </c>
      <c r="P322" s="48" t="s">
        <v>177</v>
      </c>
      <c r="Q322" s="50"/>
      <c r="R322" s="53" t="n">
        <f aca="false">IF(BZ322=1,0,IFERROR(VLOOKUP(BX322,'Gebinde-Kategorie'!$A$5:$N$45,13,0)+0,0))</f>
        <v>26</v>
      </c>
      <c r="S322" s="54"/>
      <c r="T322" s="55" t="s">
        <v>284</v>
      </c>
      <c r="U322" s="55"/>
      <c r="V322" s="55"/>
      <c r="W322" s="48"/>
      <c r="X322" s="50"/>
      <c r="Y322" s="50"/>
      <c r="Z322" s="48" t="n">
        <f aca="false">IF(A322="","",IF(AND(Parameter!$B$21="Ja",ISNUMBER(W322)),W322,IF(CC322="2+3",IF(ISNUMBER(SEARCH("grosser Artikel",BU322)),2,IFERROR(VLOOKUP(BX322,Parameter!$F$35:$G$64,2,0),2)),IF(OR(CC322="Nein",CC322=""),"-",CC322))))</f>
        <v>3</v>
      </c>
      <c r="AA322" s="55"/>
      <c r="AB322" s="56"/>
      <c r="AC322" s="50" t="n">
        <f aca="false">AV322</f>
        <v>1</v>
      </c>
      <c r="AD322" s="50" t="n">
        <f aca="false">MAX(AV322,H322)</f>
        <v>25</v>
      </c>
      <c r="AE322" s="57"/>
      <c r="AF322" s="50" t="n">
        <f aca="false">IF(LEFT(Cockpit!$C$5,1)="A",H322,IF(Parameter!$E$30="MAX-Bestand",IF(CH322=1,CI322,IF(LEFT(Cockpit!$C$5,1)="B",AL322,MAX(AL322,H322))),ROUNDUP(AJ322,0)))</f>
        <v>25</v>
      </c>
      <c r="AG322" s="50" t="n">
        <f aca="false">IF(BZ322=1,0,ROUNDUP(AF322/BY322,0))</f>
        <v>1</v>
      </c>
      <c r="AH322" s="52" t="n">
        <f aca="false">IF(CQ322&gt;0,CQ322*MAX(1,AF322/X322),IF(BZ322=1,IF(AF322&lt;=0,0,CD322*MAX(1,IF(H322&gt;0,AF322/H322,1))),IF(R322&gt;0,AG322/R322,0))/MAX(0.1,N(Parameter!$M$21)))</f>
        <v>0.0384615384615385</v>
      </c>
      <c r="AI322" s="50" t="n">
        <f aca="false">AH322*CB322</f>
        <v>5.96153846153846</v>
      </c>
      <c r="AJ322" s="51" t="n">
        <f aca="false">IF(LEFT(Cockpit!$C$5,1)="A",H322,IF(CH322=1,(CK322+CI322)/2,IF(LEFT(Cockpit!$C$5,1)="B",(CK322+AL322)/2,MAX((CK322+AL322)/2,H322))))</f>
        <v>25</v>
      </c>
      <c r="AK322" s="50" t="n">
        <f aca="false">AJ322*G322</f>
        <v>236.75</v>
      </c>
      <c r="AL322" s="50" t="n">
        <f aca="false">ROUNDUP(CK322+MAX(CL322,2*(J322/IF(CG322&gt;0,CG322,MAX(0.1,N(Cockpit!$C$6)))-CK322)),0)</f>
        <v>1</v>
      </c>
      <c r="AM322" s="51" t="n">
        <f aca="false">IF(AI322&gt;0,J322/AI322,-1)</f>
        <v>0</v>
      </c>
      <c r="AN322" s="51" t="n">
        <f aca="false">IF(AND(OR(CF322="L1",CF322="L23",CF322="LIFT"),AI322&gt;0),SUMIFS($AI$7:$AI$1843,$CF$7:$CF$1843,CF322,$AM$7:$AM$1843,"&gt;"&amp;AM322)+SUMIFS($AI$7:$AI$1843,$CF$7:$CF$1843,CF322,$AM$7:$AM$1843,AM322,$BW$7:$BW$1843,"&lt;="&amp;BW322),"")</f>
        <v>27911.1338677801</v>
      </c>
      <c r="AO322" s="58" t="n">
        <f aca="false">IF(AN322="",0,MAX(0,MIN(1,(IF(CF322="L1",Parameter!$H$5,IF(CF322="L23",Parameter!$H$6+Parameter!$H$7,Parameter!$H$5+Parameter!$H$6+Parameter!$H$7))-(AN322-AI322))/AI322)))</f>
        <v>1</v>
      </c>
      <c r="AP322" s="50" t="n">
        <f aca="false">IF(LEFT(Cockpit!$I$5,1)="A",H322,IF(Parameter!$E$30="MAX-Bestand",IF(CH322=1,CI322,IF(LEFT(Cockpit!$I$5,1)="B",AV322,MAX(AV322,H322))),ROUNDUP(AT322,0)))</f>
        <v>25</v>
      </c>
      <c r="AQ322" s="50" t="n">
        <f aca="false">IF(BZ322=1,0,ROUNDUP(AP322/BY322,0))</f>
        <v>1</v>
      </c>
      <c r="AR322" s="52" t="n">
        <f aca="false">IF(CQ322&gt;0,CQ322*MAX(1,AP322/X322),IF(BZ322=1,IF(AP322&lt;=0,0,CD322*MAX(1,IF(H322&gt;0,AP322/H322,1))),IF(R322&gt;0,AQ322/R322,0))/MAX(0.1,N(Parameter!$M$21)))</f>
        <v>0.0384615384615385</v>
      </c>
      <c r="AS322" s="50" t="n">
        <f aca="false">AR322*CB322</f>
        <v>5.96153846153846</v>
      </c>
      <c r="AT322" s="51" t="n">
        <f aca="false">IF(LEFT(Cockpit!$I$5,1)="A",H322,IF(CH322=1,(CK322+CI322)/2,IF(LEFT(Cockpit!$I$5,1)="B",(CK322+AV322)/2,MAX((CK322+AV322)/2,H322))))</f>
        <v>25</v>
      </c>
      <c r="AU322" s="50" t="n">
        <f aca="false">AT322*G322</f>
        <v>236.75</v>
      </c>
      <c r="AV322" s="50" t="n">
        <f aca="false">ROUNDUP(CK322+MAX(CL322,2*(J322/IF(CG322&gt;0,CG322,MAX(0.1,N(Cockpit!$I$6)))-CK322)),0)</f>
        <v>1</v>
      </c>
      <c r="AW322" s="51" t="n">
        <f aca="false">IF(AS322&gt;0,J322/AS322,-1)</f>
        <v>0</v>
      </c>
      <c r="AX322" s="51" t="n">
        <f aca="false">IF(AND(OR(CF322="L1",CF322="L23",CF322="LIFT"),AS322&gt;0),SUMIFS($AS$7:$AS$1843,$CF$7:$CF$1843,CF322,$AW$7:$AW$1843,"&gt;"&amp;AW322)+SUMIFS($AS$7:$AS$1843,$CF$7:$CF$1843,CF322,$AW$7:$AW$1843,AW322,$BW$7:$BW$1843,"&lt;="&amp;BW322),"")</f>
        <v>33264.2825091575</v>
      </c>
      <c r="AY322" s="58" t="n">
        <f aca="false">IF(AX322="",0,MAX(0,MIN(1,(IF(CF322="L1",Parameter!$H$5,IF(CF322="L23",Parameter!$H$6+Parameter!$H$7,Parameter!$H$5+Parameter!$H$6+Parameter!$H$7))-(AX322-AS322))/AS322)))</f>
        <v>1</v>
      </c>
      <c r="AZ322" s="50" t="n">
        <f aca="false">IF(LEFT(Cockpit!$O$5,1)="A",H322,IF(Parameter!$E$30="MAX-Bestand",IF(CH322=1,CI322,IF(LEFT(Cockpit!$O$5,1)="B",BF322,MAX(BF322,H322))),ROUNDUP(BD322,0)))</f>
        <v>1</v>
      </c>
      <c r="BA322" s="50" t="n">
        <f aca="false">IF(BZ322=1,0,ROUNDUP(AZ322/BY322,0))</f>
        <v>1</v>
      </c>
      <c r="BB322" s="52" t="n">
        <f aca="false">IF(CQ322&gt;0,CQ322*MAX(1,AZ322/X322),IF(BZ322=1,IF(AZ322&lt;=0,0,CD322*MAX(1,IF(H322&gt;0,AZ322/H322,1))),IF(R322&gt;0,BA322/R322,0))/MAX(0.1,N(Parameter!$M$21)))</f>
        <v>0.0384615384615385</v>
      </c>
      <c r="BC322" s="50" t="n">
        <f aca="false">BB322*CB322</f>
        <v>5.96153846153846</v>
      </c>
      <c r="BD322" s="51" t="n">
        <f aca="false">IF(LEFT(Cockpit!$O$5,1)="A",H322,IF(CH322=1,(CK322+CI322)/2,IF(LEFT(Cockpit!$O$5,1)="B",(CK322+BF322)/2,MAX((CK322+BF322)/2,H322))))</f>
        <v>0.5</v>
      </c>
      <c r="BE322" s="50" t="n">
        <f aca="false">BD322*G322</f>
        <v>4.735</v>
      </c>
      <c r="BF322" s="50" t="n">
        <f aca="false">ROUNDUP(CK322+MAX(CL322,2*(J322/IF(CG322&gt;0,CG322,MAX(0.1,N(Cockpit!$O$6)))-CK322)),0)</f>
        <v>1</v>
      </c>
      <c r="BG322" s="51" t="n">
        <f aca="false">IF(BC322&gt;0,J322/BC322,-1)</f>
        <v>0</v>
      </c>
      <c r="BH322" s="51" t="n">
        <f aca="false">IF(AND(OR(CF322="L1",CF322="L23",CF322="LIFT"),BC322&gt;0),SUMIFS($BC$7:$BC$1843,$CF$7:$CF$1843,CF322,$BG$7:$BG$1843,"&gt;"&amp;BG322)+SUMIFS($BC$7:$BC$1843,$CF$7:$CF$1843,CF322,$BG$7:$BG$1843,BG322,$BW$7:$BW$1843,"&lt;="&amp;BW322),"")</f>
        <v>27389.7425575837</v>
      </c>
      <c r="BI322" s="58" t="n">
        <f aca="false">IF(BH322="",0,MAX(0,MIN(1,(IF(CF322="L1",Parameter!$H$5,IF(CF322="L23",Parameter!$H$6+Parameter!$H$7,Parameter!$H$5+Parameter!$H$6+Parameter!$H$7))-(BH322-BC322))/BC322)))</f>
        <v>1</v>
      </c>
      <c r="BJ322" s="48" t="str">
        <f aca="false">IF(AI322&lt;=0,"",IF(CF322="Aussen","Aussenlager",IF(CF322="-","Nicht im Lift",IF(AO322&gt;=1,"Lift",IF(AO322&lt;=0,"Aussenlager","teilweise")))))</f>
        <v>Lift</v>
      </c>
      <c r="BK322" s="48" t="str">
        <f aca="false">IF(AS322&lt;=0,"",IF(CF322="Aussen","Aussenlager",IF(CF322="-","Nicht im Lift",IF(AY322&gt;=1,"Lift",IF(AY322&lt;=0,"Aussenlager","teilweise")))))</f>
        <v>Lift</v>
      </c>
      <c r="BL322" s="48" t="str">
        <f aca="false">IF(BC322&lt;=0,"",IF(CF322="Aussen","Aussenlager",IF(CF322="-","Nicht im Lift",IF(BI322&gt;=1,"Lift",IF(BI322&lt;=0,"Aussenlager","teilweise")))))</f>
        <v>Lift</v>
      </c>
      <c r="BM322" s="48" t="str">
        <f aca="false">IF(A322="","",IF(BV322=1,"Neu; ","")&amp;IF(AND(BV322=0,BQ322&lt;0),"negativer Bestand (Export "&amp;BQ322&amp;"); ","")&amp;IF(J322&lt;=0,"Kein Verbrauch; ","")&amp;IF(CQ322&gt;0,"Lift "&amp;W322&amp;" lt. Liftbericht (Fach "&amp;X322&amp;" Stk); ",IF(CA322=1,"Gebinde geschätzt ("&amp;T322&amp;"); ",IF(BZ322=1,"Lose – Tablare geschätzt; ","")))&amp;IF(H322&gt;AV322,"Überbestand "&amp;ROUND(H322-AV322,0)&amp;" Stk / CHF "&amp;ROUND((H322-AV322)*G322,0)&amp;"; ","")&amp;IF(AND(CH322=1,CI322&lt;CJ322),"MAX &lt; MB+LG; ","")&amp;IF(AND(CP322&gt;0,CO322*10&gt;CP322),"zu hoch für Tablar; ","")&amp;IF(AND(BV322=0,OR(CH322=1,AA322&lt;&gt;"",U322&lt;&gt;"",V322&lt;&gt;"",AB322&lt;&gt;"")),"manuell übersteuert; ","")&amp;IF(AND(BZ322=0,R322=0),"Gebinde unbekannt / Stellmass fehlt; ","")&amp;IF(AND(BZ322=0,N(V322)&lt;=0,N(Q322)&lt;=0),"Menge pro Gebinde fehlt (Ist = 1 Gebinde); ","")&amp;BU322)</f>
        <v>Kein Verbrauch; Gebinde geschätzt (Klein); Überbestand 24 Stk / CHF 227; Menge pro Gebinde fehlt (Ist = 1 Gebinde); </v>
      </c>
      <c r="BN322" s="48"/>
      <c r="BO322" s="48"/>
      <c r="BP322" s="55"/>
      <c r="BQ322" s="50" t="n">
        <v>25</v>
      </c>
      <c r="BR322" s="50" t="n">
        <v>0</v>
      </c>
      <c r="BS322" s="49" t="n">
        <v>236.75</v>
      </c>
      <c r="BT322" s="50" t="n">
        <v>0</v>
      </c>
      <c r="BU322" s="48"/>
      <c r="BV322" s="53" t="n">
        <v>0</v>
      </c>
      <c r="BW322" s="53" t="n">
        <v>322</v>
      </c>
      <c r="BX322" s="48" t="str">
        <f aca="false">IF(U322&lt;&gt;"",UPPER(TRIM(U322)),IF(CA322=1,UPPER(VLOOKUP(T322,Parameter!$I$27:$K$29,2,0)),IF(P322="","LOSE",P322)))</f>
        <v>S51</v>
      </c>
      <c r="BY322" s="50" t="n">
        <f aca="false">IF(BX322="LOSE",1,IF(N(V322)&gt;0,V322,IF(CA322=1,MAX(1,N(VLOOKUP(T322,Parameter!$I$27:$K$29,3,0)),H322,N(N322)),IF(N(Q322)&gt;0,Q322,MAX(1,H322)))))</f>
        <v>25</v>
      </c>
      <c r="BZ322" s="53" t="n">
        <f aca="false">IF(BX322="LOSE",1,0)</f>
        <v>0</v>
      </c>
      <c r="CA322" s="53" t="n">
        <f aca="false">IF(AND(U322="",OR(P322="",P322="LOSE"),T322&lt;&gt;"",N(S322)&lt;=0,ISNUMBER(MATCH(T322,Parameter!$I$27:$I$29,0))),1,0)</f>
        <v>1</v>
      </c>
      <c r="CB322" s="53" t="n">
        <f aca="false">IF(CQ322&gt;0,INDEX(Parameter!$H$5:$H$7,W322)/INDEX(Parameter!$E$5:$E$7,W322),IF(AND(BZ322=0,N(IFERROR(VLOOKUP(BX322,'Gebinde-Kategorie'!$A$5:$N$45,14,0),0))&gt;0),VLOOKUP(BX322,'Gebinde-Kategorie'!$A$5:$N$45,14,0)*10+Parameter!$M$23,Parameter!$M$24))</f>
        <v>155</v>
      </c>
      <c r="CC322" s="48" t="str">
        <f aca="false">IF(AND(Parameter!$B$19="Ja",E322&lt;&gt;"",ISNUMBER(MATCH(E322,Parameter!$I$35:$I$52,0))),VLOOKUP(E322,Parameter!$I$35:$J$52,2,0),IFERROR(VLOOKUP(D322,Parameter!$A$35:$C$64,2,0),"Nein"))</f>
        <v>2+3</v>
      </c>
      <c r="CD322" s="52" t="n">
        <f aca="false">IF(BZ322=0,0,IF(N(S322)&gt;0,S322,IFERROR(VLOOKUP(D322,Parameter!$A$35:$C$64,3,0)+0,0)))</f>
        <v>0</v>
      </c>
      <c r="CE322" s="48" t="n">
        <f aca="false">IF(AA322&lt;&gt;"",AA322,Z322)</f>
        <v>3</v>
      </c>
      <c r="CF322" s="48" t="str">
        <f aca="false">IF(OR(CE322=1,CE322=2,CE322=3),IF(Parameter!$E$27="Ja","LIFT",IF(CE322=1,"L1","L23")),IF(CE322="Aussen","Aussen","-"))</f>
        <v>LIFT</v>
      </c>
      <c r="CG322" s="59" t="n">
        <f aca="false">IF(N(AB322)&gt;0,AB322,0)</f>
        <v>0</v>
      </c>
      <c r="CH322" s="53" t="n">
        <f aca="false">IF(ISNUMBER(AE322),1,0)</f>
        <v>0</v>
      </c>
      <c r="CI322" s="50" t="n">
        <f aca="false">N(AE322)</f>
        <v>0</v>
      </c>
      <c r="CJ322" s="50" t="n">
        <f aca="false">N(M322)+N(N322)</f>
        <v>1</v>
      </c>
      <c r="CK322" s="50" t="n">
        <f aca="false">N(M322)</f>
        <v>0</v>
      </c>
      <c r="CL322" s="50" t="n">
        <f aca="false">N(N322)</f>
        <v>1</v>
      </c>
      <c r="CM322" s="50" t="n">
        <f aca="false">ROUNDUP(H322/BY322,0)</f>
        <v>1</v>
      </c>
      <c r="CN322" s="50" t="n">
        <f aca="false">ROUNDUP(CI322/BY322,0)</f>
        <v>0</v>
      </c>
      <c r="CO322" s="53" t="n">
        <f aca="false">IF(BZ322=1,0,IFERROR(VLOOKUP(BX322,'Gebinde-Kategorie'!$A$5:$N$45,5,0)+0,0))</f>
        <v>11</v>
      </c>
      <c r="CP322" s="53" t="n">
        <f aca="false">IFERROR(IF(OR(CE322=1,CE322=2,CE322=3),N(INDEX(Parameter!$I$5:$I$7,CE322)),0),0)</f>
        <v>0</v>
      </c>
      <c r="CQ322" s="52" t="n">
        <f aca="false">IF(AND(Parameter!$B$21="Ja",ISNUMBER(W322),N(X322)&gt;0),IFERROR(N(INDEX(Parameter!$L$5:$L$7,W322))*INDEX(Parameter!$E$5:$E$7,W322)*X322/SUMIFS($X$7:$X$1843,$W$7:$W$1843,W322),0),0)</f>
        <v>0</v>
      </c>
    </row>
    <row r="323" customFormat="false" ht="15" hidden="false" customHeight="false" outlineLevel="0" collapsed="false">
      <c r="A323" s="48" t="s">
        <v>819</v>
      </c>
      <c r="B323" s="48" t="s">
        <v>712</v>
      </c>
      <c r="C323" s="48" t="s">
        <v>173</v>
      </c>
      <c r="D323" s="48" t="s">
        <v>182</v>
      </c>
      <c r="E323" s="48" t="s">
        <v>175</v>
      </c>
      <c r="F323" s="48" t="s">
        <v>227</v>
      </c>
      <c r="G323" s="49" t="n">
        <v>445</v>
      </c>
      <c r="H323" s="50" t="n">
        <f aca="false">MAX(0,IF(AND(Parameter!$B$21="Ja",ISNUMBER(Y323)),Y323,IF(Parameter!$B$20="Jahresanfang 2025 + Export",BR323+BQ323,BQ323)))</f>
        <v>2</v>
      </c>
      <c r="I323" s="50" t="n">
        <f aca="false">H323*G323</f>
        <v>890</v>
      </c>
      <c r="J323" s="50" t="n">
        <f aca="false">BT323*Parameter!$B$18</f>
        <v>8</v>
      </c>
      <c r="K323" s="51" t="n">
        <v>2</v>
      </c>
      <c r="L323" s="52" t="n">
        <v>4</v>
      </c>
      <c r="M323" s="50" t="n">
        <v>0</v>
      </c>
      <c r="N323" s="50" t="n">
        <v>5</v>
      </c>
      <c r="O323" s="53" t="n">
        <v>35</v>
      </c>
      <c r="P323" s="48" t="s">
        <v>268</v>
      </c>
      <c r="Q323" s="50" t="n">
        <v>4</v>
      </c>
      <c r="R323" s="53" t="n">
        <f aca="false">IF(BZ323=1,0,IFERROR(VLOOKUP(BX323,'Gebinde-Kategorie'!$A$5:$N$45,13,0)+0,0))</f>
        <v>6</v>
      </c>
      <c r="S323" s="54"/>
      <c r="T323" s="55"/>
      <c r="U323" s="55"/>
      <c r="V323" s="55"/>
      <c r="W323" s="48"/>
      <c r="X323" s="50"/>
      <c r="Y323" s="50"/>
      <c r="Z323" s="48" t="n">
        <f aca="false">IF(A323="","",IF(AND(Parameter!$B$21="Ja",ISNUMBER(W323)),W323,IF(CC323="2+3",IF(ISNUMBER(SEARCH("grosser Artikel",BU323)),2,IFERROR(VLOOKUP(BX323,Parameter!$F$35:$G$64,2,0),2)),IF(OR(CC323="Nein",CC323=""),"-",CC323))))</f>
        <v>1</v>
      </c>
      <c r="AA323" s="55"/>
      <c r="AB323" s="56"/>
      <c r="AC323" s="50" t="n">
        <f aca="false">AV323</f>
        <v>6</v>
      </c>
      <c r="AD323" s="50" t="n">
        <f aca="false">MAX(AV323,H323)</f>
        <v>6</v>
      </c>
      <c r="AE323" s="57"/>
      <c r="AF323" s="50" t="n">
        <f aca="false">IF(LEFT(Cockpit!$C$5,1)="A",H323,IF(Parameter!$E$30="MAX-Bestand",IF(CH323=1,CI323,IF(LEFT(Cockpit!$C$5,1)="B",AL323,MAX(AL323,H323))),ROUNDUP(AJ323,0)))</f>
        <v>2</v>
      </c>
      <c r="AG323" s="50" t="n">
        <f aca="false">IF(BZ323=1,0,ROUNDUP(AF323/BY323,0))</f>
        <v>1</v>
      </c>
      <c r="AH323" s="52" t="n">
        <f aca="false">IF(CQ323&gt;0,CQ323*MAX(1,AF323/X323),IF(BZ323=1,IF(AF323&lt;=0,0,CD323*MAX(1,IF(H323&gt;0,AF323/H323,1))),IF(R323&gt;0,AG323/R323,0))/MAX(0.1,N(Parameter!$M$21)))</f>
        <v>0.166666666666667</v>
      </c>
      <c r="AI323" s="50" t="n">
        <f aca="false">AH323*CB323</f>
        <v>72.5</v>
      </c>
      <c r="AJ323" s="51" t="n">
        <f aca="false">IF(LEFT(Cockpit!$C$5,1)="A",H323,IF(CH323=1,(CK323+CI323)/2,IF(LEFT(Cockpit!$C$5,1)="B",(CK323+AL323)/2,MAX((CK323+AL323)/2,H323))))</f>
        <v>2</v>
      </c>
      <c r="AK323" s="50" t="n">
        <f aca="false">AJ323*G323</f>
        <v>890</v>
      </c>
      <c r="AL323" s="50" t="n">
        <f aca="false">ROUNDUP(CK323+MAX(CL323,2*(J323/IF(CG323&gt;0,CG323,MAX(0.1,N(Cockpit!$C$6)))-CK323)),0)</f>
        <v>6</v>
      </c>
      <c r="AM323" s="51" t="n">
        <f aca="false">IF(AI323&gt;0,J323/AI323,-1)</f>
        <v>0.110344827586207</v>
      </c>
      <c r="AN323" s="51" t="n">
        <f aca="false">IF(AND(OR(CF323="L1",CF323="L23",CF323="LIFT"),AI323&gt;0),SUMIFS($AI$7:$AI$1843,$CF$7:$CF$1843,CF323,$AM$7:$AM$1843,"&gt;"&amp;AM323)+SUMIFS($AI$7:$AI$1843,$CF$7:$CF$1843,CF323,$AM$7:$AM$1843,AM323,$BW$7:$BW$1843,"&lt;="&amp;BW323),"")</f>
        <v>14838.0545596118</v>
      </c>
      <c r="AO323" s="58" t="n">
        <f aca="false">IF(AN323="",0,MAX(0,MIN(1,(IF(CF323="L1",Parameter!$H$5,IF(CF323="L23",Parameter!$H$6+Parameter!$H$7,Parameter!$H$5+Parameter!$H$6+Parameter!$H$7))-(AN323-AI323))/AI323)))</f>
        <v>1</v>
      </c>
      <c r="AP323" s="50" t="n">
        <f aca="false">IF(LEFT(Cockpit!$I$5,1)="A",H323,IF(Parameter!$E$30="MAX-Bestand",IF(CH323=1,CI323,IF(LEFT(Cockpit!$I$5,1)="B",AV323,MAX(AV323,H323))),ROUNDUP(AT323,0)))</f>
        <v>3</v>
      </c>
      <c r="AQ323" s="50" t="n">
        <f aca="false">IF(BZ323=1,0,ROUNDUP(AP323/BY323,0))</f>
        <v>1</v>
      </c>
      <c r="AR323" s="52" t="n">
        <f aca="false">IF(CQ323&gt;0,CQ323*MAX(1,AP323/X323),IF(BZ323=1,IF(AP323&lt;=0,0,CD323*MAX(1,IF(H323&gt;0,AP323/H323,1))),IF(R323&gt;0,AQ323/R323,0))/MAX(0.1,N(Parameter!$M$21)))</f>
        <v>0.166666666666667</v>
      </c>
      <c r="AS323" s="50" t="n">
        <f aca="false">AR323*CB323</f>
        <v>72.5</v>
      </c>
      <c r="AT323" s="51" t="n">
        <f aca="false">IF(LEFT(Cockpit!$I$5,1)="A",H323,IF(CH323=1,(CK323+CI323)/2,IF(LEFT(Cockpit!$I$5,1)="B",(CK323+AV323)/2,MAX((CK323+AV323)/2,H323))))</f>
        <v>3</v>
      </c>
      <c r="AU323" s="50" t="n">
        <f aca="false">AT323*G323</f>
        <v>1335</v>
      </c>
      <c r="AV323" s="50" t="n">
        <f aca="false">ROUNDUP(CK323+MAX(CL323,2*(J323/IF(CG323&gt;0,CG323,MAX(0.1,N(Cockpit!$I$6)))-CK323)),0)</f>
        <v>6</v>
      </c>
      <c r="AW323" s="51" t="n">
        <f aca="false">IF(AS323&gt;0,J323/AS323,-1)</f>
        <v>0.110344827586207</v>
      </c>
      <c r="AX323" s="51" t="n">
        <f aca="false">IF(AND(OR(CF323="L1",CF323="L23",CF323="LIFT"),AS323&gt;0),SUMIFS($AS$7:$AS$1843,$CF$7:$CF$1843,CF323,$AW$7:$AW$1843,"&gt;"&amp;AW323)+SUMIFS($AS$7:$AS$1843,$CF$7:$CF$1843,CF323,$AW$7:$AW$1843,AW323,$BW$7:$BW$1843,"&lt;="&amp;BW323),"")</f>
        <v>18862.4532009892</v>
      </c>
      <c r="AY323" s="58" t="n">
        <f aca="false">IF(AX323="",0,MAX(0,MIN(1,(IF(CF323="L1",Parameter!$H$5,IF(CF323="L23",Parameter!$H$6+Parameter!$H$7,Parameter!$H$5+Parameter!$H$6+Parameter!$H$7))-(AX323-AS323))/AS323)))</f>
        <v>1</v>
      </c>
      <c r="AZ323" s="50" t="n">
        <f aca="false">IF(LEFT(Cockpit!$O$5,1)="A",H323,IF(Parameter!$E$30="MAX-Bestand",IF(CH323=1,CI323,IF(LEFT(Cockpit!$O$5,1)="B",BF323,MAX(BF323,H323))),ROUNDUP(BD323,0)))</f>
        <v>3</v>
      </c>
      <c r="BA323" s="50" t="n">
        <f aca="false">IF(BZ323=1,0,ROUNDUP(AZ323/BY323,0))</f>
        <v>1</v>
      </c>
      <c r="BB323" s="52" t="n">
        <f aca="false">IF(CQ323&gt;0,CQ323*MAX(1,AZ323/X323),IF(BZ323=1,IF(AZ323&lt;=0,0,CD323*MAX(1,IF(H323&gt;0,AZ323/H323,1))),IF(R323&gt;0,BA323/R323,0))/MAX(0.1,N(Parameter!$M$21)))</f>
        <v>0.166666666666667</v>
      </c>
      <c r="BC323" s="50" t="n">
        <f aca="false">BB323*CB323</f>
        <v>72.5</v>
      </c>
      <c r="BD323" s="51" t="n">
        <f aca="false">IF(LEFT(Cockpit!$O$5,1)="A",H323,IF(CH323=1,(CK323+CI323)/2,IF(LEFT(Cockpit!$O$5,1)="B",(CK323+BF323)/2,MAX((CK323+BF323)/2,H323))))</f>
        <v>2.5</v>
      </c>
      <c r="BE323" s="50" t="n">
        <f aca="false">BD323*G323</f>
        <v>1112.5</v>
      </c>
      <c r="BF323" s="50" t="n">
        <f aca="false">ROUNDUP(CK323+MAX(CL323,2*(J323/IF(CG323&gt;0,CG323,MAX(0.1,N(Cockpit!$O$6)))-CK323)),0)</f>
        <v>5</v>
      </c>
      <c r="BG323" s="51" t="n">
        <f aca="false">IF(BC323&gt;0,J323/BC323,-1)</f>
        <v>0.110344827586207</v>
      </c>
      <c r="BH323" s="51" t="n">
        <f aca="false">IF(AND(OR(CF323="L1",CF323="L23",CF323="LIFT"),BC323&gt;0),SUMIFS($BC$7:$BC$1843,$CF$7:$CF$1843,CF323,$BG$7:$BG$1843,"&gt;"&amp;BG323)+SUMIFS($BC$7:$BC$1843,$CF$7:$CF$1843,CF323,$BG$7:$BG$1843,BG323,$BW$7:$BW$1843,"&lt;="&amp;BW323),"")</f>
        <v>16463.2658135179</v>
      </c>
      <c r="BI323" s="58" t="n">
        <f aca="false">IF(BH323="",0,MAX(0,MIN(1,(IF(CF323="L1",Parameter!$H$5,IF(CF323="L23",Parameter!$H$6+Parameter!$H$7,Parameter!$H$5+Parameter!$H$6+Parameter!$H$7))-(BH323-BC323))/BC323)))</f>
        <v>1</v>
      </c>
      <c r="BJ323" s="48" t="str">
        <f aca="false">IF(AI323&lt;=0,"",IF(CF323="Aussen","Aussenlager",IF(CF323="-","Nicht im Lift",IF(AO323&gt;=1,"Lift",IF(AO323&lt;=0,"Aussenlager","teilweise")))))</f>
        <v>Lift</v>
      </c>
      <c r="BK323" s="48" t="str">
        <f aca="false">IF(AS323&lt;=0,"",IF(CF323="Aussen","Aussenlager",IF(CF323="-","Nicht im Lift",IF(AY323&gt;=1,"Lift",IF(AY323&lt;=0,"Aussenlager","teilweise")))))</f>
        <v>Lift</v>
      </c>
      <c r="BL323" s="48" t="str">
        <f aca="false">IF(BC323&lt;=0,"",IF(CF323="Aussen","Aussenlager",IF(CF323="-","Nicht im Lift",IF(BI323&gt;=1,"Lift",IF(BI323&lt;=0,"Aussenlager","teilweise")))))</f>
        <v>Lift</v>
      </c>
      <c r="BM323" s="48" t="str">
        <f aca="false">IF(A323="","",IF(BV323=1,"Neu; ","")&amp;IF(AND(BV323=0,BQ323&lt;0),"negativer Bestand (Export "&amp;BQ323&amp;"); ","")&amp;IF(J323&lt;=0,"Kein Verbrauch; ","")&amp;IF(CQ323&gt;0,"Lift "&amp;W323&amp;" lt. Liftbericht (Fach "&amp;X323&amp;" Stk); ",IF(CA323=1,"Gebinde geschätzt ("&amp;T323&amp;"); ",IF(BZ323=1,"Lose – Tablare geschätzt; ","")))&amp;IF(H323&gt;AV323,"Überbestand "&amp;ROUND(H323-AV323,0)&amp;" Stk / CHF "&amp;ROUND((H323-AV323)*G323,0)&amp;"; ","")&amp;IF(AND(CH323=1,CI323&lt;CJ323),"MAX &lt; MB+LG; ","")&amp;IF(AND(CP323&gt;0,CO323*10&gt;CP323),"zu hoch für Tablar; ","")&amp;IF(AND(BV323=0,OR(CH323=1,AA323&lt;&gt;"",U323&lt;&gt;"",V323&lt;&gt;"",AB323&lt;&gt;"")),"manuell übersteuert; ","")&amp;IF(AND(BZ323=0,R323=0),"Gebinde unbekannt / Stellmass fehlt; ","")&amp;IF(AND(BZ323=0,N(V323)&lt;=0,N(Q323)&lt;=0),"Menge pro Gebinde fehlt (Ist = 1 Gebinde); ","")&amp;BU323)</f>
        <v/>
      </c>
      <c r="BN323" s="48"/>
      <c r="BO323" s="48"/>
      <c r="BP323" s="55"/>
      <c r="BQ323" s="50" t="n">
        <v>0</v>
      </c>
      <c r="BR323" s="50" t="n">
        <v>2</v>
      </c>
      <c r="BS323" s="49" t="n">
        <v>236</v>
      </c>
      <c r="BT323" s="50" t="n">
        <v>8</v>
      </c>
      <c r="BU323" s="48"/>
      <c r="BV323" s="53" t="n">
        <v>0</v>
      </c>
      <c r="BW323" s="53" t="n">
        <v>323</v>
      </c>
      <c r="BX323" s="48" t="str">
        <f aca="false">IF(U323&lt;&gt;"",UPPER(TRIM(U323)),IF(CA323=1,UPPER(VLOOKUP(T323,Parameter!$I$27:$K$29,2,0)),IF(P323="","LOSE",P323)))</f>
        <v>S72</v>
      </c>
      <c r="BY323" s="50" t="n">
        <f aca="false">IF(BX323="LOSE",1,IF(N(V323)&gt;0,V323,IF(CA323=1,MAX(1,N(VLOOKUP(T323,Parameter!$I$27:$K$29,3,0)),H323,N(N323)),IF(N(Q323)&gt;0,Q323,MAX(1,H323)))))</f>
        <v>4</v>
      </c>
      <c r="BZ323" s="53" t="n">
        <f aca="false">IF(BX323="LOSE",1,0)</f>
        <v>0</v>
      </c>
      <c r="CA323" s="53" t="n">
        <f aca="false">IF(AND(U323="",OR(P323="",P323="LOSE"),T323&lt;&gt;"",N(S323)&lt;=0,ISNUMBER(MATCH(T323,Parameter!$I$27:$I$29,0))),1,0)</f>
        <v>0</v>
      </c>
      <c r="CB323" s="53" t="n">
        <f aca="false">IF(CQ323&gt;0,INDEX(Parameter!$H$5:$H$7,W323)/INDEX(Parameter!$E$5:$E$7,W323),IF(AND(BZ323=0,N(IFERROR(VLOOKUP(BX323,'Gebinde-Kategorie'!$A$5:$N$45,14,0),0))&gt;0),VLOOKUP(BX323,'Gebinde-Kategorie'!$A$5:$N$45,14,0)*10+Parameter!$M$23,Parameter!$M$24))</f>
        <v>435</v>
      </c>
      <c r="CC323" s="48" t="n">
        <f aca="false">IF(AND(Parameter!$B$19="Ja",E323&lt;&gt;"",ISNUMBER(MATCH(E323,Parameter!$I$35:$I$52,0))),VLOOKUP(E323,Parameter!$I$35:$J$52,2,0),IFERROR(VLOOKUP(D323,Parameter!$A$35:$C$64,2,0),"Nein"))</f>
        <v>1</v>
      </c>
      <c r="CD323" s="52" t="n">
        <f aca="false">IF(BZ323=0,0,IF(N(S323)&gt;0,S323,IFERROR(VLOOKUP(D323,Parameter!$A$35:$C$64,3,0)+0,0)))</f>
        <v>0</v>
      </c>
      <c r="CE323" s="48" t="n">
        <f aca="false">IF(AA323&lt;&gt;"",AA323,Z323)</f>
        <v>1</v>
      </c>
      <c r="CF323" s="48" t="str">
        <f aca="false">IF(OR(CE323=1,CE323=2,CE323=3),IF(Parameter!$E$27="Ja","LIFT",IF(CE323=1,"L1","L23")),IF(CE323="Aussen","Aussen","-"))</f>
        <v>LIFT</v>
      </c>
      <c r="CG323" s="59" t="n">
        <f aca="false">IF(N(AB323)&gt;0,AB323,0)</f>
        <v>0</v>
      </c>
      <c r="CH323" s="53" t="n">
        <f aca="false">IF(ISNUMBER(AE323),1,0)</f>
        <v>0</v>
      </c>
      <c r="CI323" s="50" t="n">
        <f aca="false">N(AE323)</f>
        <v>0</v>
      </c>
      <c r="CJ323" s="50" t="n">
        <f aca="false">N(M323)+N(N323)</f>
        <v>5</v>
      </c>
      <c r="CK323" s="50" t="n">
        <f aca="false">N(M323)</f>
        <v>0</v>
      </c>
      <c r="CL323" s="50" t="n">
        <f aca="false">N(N323)</f>
        <v>5</v>
      </c>
      <c r="CM323" s="50" t="n">
        <f aca="false">ROUNDUP(H323/BY323,0)</f>
        <v>1</v>
      </c>
      <c r="CN323" s="50" t="n">
        <f aca="false">ROUNDUP(CI323/BY323,0)</f>
        <v>0</v>
      </c>
      <c r="CO323" s="53" t="n">
        <f aca="false">IF(BZ323=1,0,IFERROR(VLOOKUP(BX323,'Gebinde-Kategorie'!$A$5:$N$45,5,0)+0,0))</f>
        <v>40</v>
      </c>
      <c r="CP323" s="53" t="n">
        <f aca="false">IFERROR(IF(OR(CE323=1,CE323=2,CE323=3),N(INDEX(Parameter!$I$5:$I$7,CE323)),0),0)</f>
        <v>0</v>
      </c>
      <c r="CQ323" s="52" t="n">
        <f aca="false">IF(AND(Parameter!$B$21="Ja",ISNUMBER(W323),N(X323)&gt;0),IFERROR(N(INDEX(Parameter!$L$5:$L$7,W323))*INDEX(Parameter!$E$5:$E$7,W323)*X323/SUMIFS($X$7:$X$1843,$W$7:$W$1843,W323),0),0)</f>
        <v>0</v>
      </c>
    </row>
    <row r="324" customFormat="false" ht="15" hidden="false" customHeight="false" outlineLevel="0" collapsed="false">
      <c r="A324" s="48" t="s">
        <v>820</v>
      </c>
      <c r="B324" s="48" t="s">
        <v>821</v>
      </c>
      <c r="C324" s="48" t="s">
        <v>173</v>
      </c>
      <c r="D324" s="48" t="s">
        <v>193</v>
      </c>
      <c r="E324" s="48"/>
      <c r="F324" s="48" t="s">
        <v>227</v>
      </c>
      <c r="G324" s="49" t="n">
        <v>13</v>
      </c>
      <c r="H324" s="50" t="n">
        <f aca="false">MAX(0,IF(AND(Parameter!$B$21="Ja",ISNUMBER(Y324)),Y324,IF(Parameter!$B$20="Jahresanfang 2025 + Export",BR324+BQ324,BQ324)))</f>
        <v>23</v>
      </c>
      <c r="I324" s="50" t="n">
        <f aca="false">H324*G324</f>
        <v>299</v>
      </c>
      <c r="J324" s="50" t="n">
        <f aca="false">BT324*Parameter!$B$18</f>
        <v>0</v>
      </c>
      <c r="K324" s="51" t="n">
        <v>11.5</v>
      </c>
      <c r="L324" s="52" t="n">
        <v>0</v>
      </c>
      <c r="M324" s="50" t="n">
        <v>0</v>
      </c>
      <c r="N324" s="50" t="n">
        <v>1</v>
      </c>
      <c r="O324" s="53" t="n">
        <v>21</v>
      </c>
      <c r="P324" s="48" t="s">
        <v>177</v>
      </c>
      <c r="Q324" s="50"/>
      <c r="R324" s="53" t="n">
        <f aca="false">IF(BZ324=1,0,IFERROR(VLOOKUP(BX324,'Gebinde-Kategorie'!$A$5:$N$45,13,0)+0,0))</f>
        <v>26</v>
      </c>
      <c r="S324" s="54"/>
      <c r="T324" s="55" t="s">
        <v>284</v>
      </c>
      <c r="U324" s="55"/>
      <c r="V324" s="55"/>
      <c r="W324" s="48"/>
      <c r="X324" s="50"/>
      <c r="Y324" s="50"/>
      <c r="Z324" s="48" t="n">
        <f aca="false">IF(A324="","",IF(AND(Parameter!$B$21="Ja",ISNUMBER(W324)),W324,IF(CC324="2+3",IF(ISNUMBER(SEARCH("grosser Artikel",BU324)),2,IFERROR(VLOOKUP(BX324,Parameter!$F$35:$G$64,2,0),2)),IF(OR(CC324="Nein",CC324=""),"-",CC324))))</f>
        <v>3</v>
      </c>
      <c r="AA324" s="55"/>
      <c r="AB324" s="56"/>
      <c r="AC324" s="50" t="n">
        <f aca="false">AV324</f>
        <v>1</v>
      </c>
      <c r="AD324" s="50" t="n">
        <f aca="false">MAX(AV324,H324)</f>
        <v>23</v>
      </c>
      <c r="AE324" s="57"/>
      <c r="AF324" s="50" t="n">
        <f aca="false">IF(LEFT(Cockpit!$C$5,1)="A",H324,IF(Parameter!$E$30="MAX-Bestand",IF(CH324=1,CI324,IF(LEFT(Cockpit!$C$5,1)="B",AL324,MAX(AL324,H324))),ROUNDUP(AJ324,0)))</f>
        <v>23</v>
      </c>
      <c r="AG324" s="50" t="n">
        <f aca="false">IF(BZ324=1,0,ROUNDUP(AF324/BY324,0))</f>
        <v>1</v>
      </c>
      <c r="AH324" s="52" t="n">
        <f aca="false">IF(CQ324&gt;0,CQ324*MAX(1,AF324/X324),IF(BZ324=1,IF(AF324&lt;=0,0,CD324*MAX(1,IF(H324&gt;0,AF324/H324,1))),IF(R324&gt;0,AG324/R324,0))/MAX(0.1,N(Parameter!$M$21)))</f>
        <v>0.0384615384615385</v>
      </c>
      <c r="AI324" s="50" t="n">
        <f aca="false">AH324*CB324</f>
        <v>5.96153846153846</v>
      </c>
      <c r="AJ324" s="51" t="n">
        <f aca="false">IF(LEFT(Cockpit!$C$5,1)="A",H324,IF(CH324=1,(CK324+CI324)/2,IF(LEFT(Cockpit!$C$5,1)="B",(CK324+AL324)/2,MAX((CK324+AL324)/2,H324))))</f>
        <v>23</v>
      </c>
      <c r="AK324" s="50" t="n">
        <f aca="false">AJ324*G324</f>
        <v>299</v>
      </c>
      <c r="AL324" s="50" t="n">
        <f aca="false">ROUNDUP(CK324+MAX(CL324,2*(J324/IF(CG324&gt;0,CG324,MAX(0.1,N(Cockpit!$C$6)))-CK324)),0)</f>
        <v>1</v>
      </c>
      <c r="AM324" s="51" t="n">
        <f aca="false">IF(AI324&gt;0,J324/AI324,-1)</f>
        <v>0</v>
      </c>
      <c r="AN324" s="51" t="n">
        <f aca="false">IF(AND(OR(CF324="L1",CF324="L23",CF324="LIFT"),AI324&gt;0),SUMIFS($AI$7:$AI$1843,$CF$7:$CF$1843,CF324,$AM$7:$AM$1843,"&gt;"&amp;AM324)+SUMIFS($AI$7:$AI$1843,$CF$7:$CF$1843,CF324,$AM$7:$AM$1843,AM324,$BW$7:$BW$1843,"&lt;="&amp;BW324),"")</f>
        <v>27917.0954062416</v>
      </c>
      <c r="AO324" s="58" t="n">
        <f aca="false">IF(AN324="",0,MAX(0,MIN(1,(IF(CF324="L1",Parameter!$H$5,IF(CF324="L23",Parameter!$H$6+Parameter!$H$7,Parameter!$H$5+Parameter!$H$6+Parameter!$H$7))-(AN324-AI324))/AI324)))</f>
        <v>1</v>
      </c>
      <c r="AP324" s="50" t="n">
        <f aca="false">IF(LEFT(Cockpit!$I$5,1)="A",H324,IF(Parameter!$E$30="MAX-Bestand",IF(CH324=1,CI324,IF(LEFT(Cockpit!$I$5,1)="B",AV324,MAX(AV324,H324))),ROUNDUP(AT324,0)))</f>
        <v>23</v>
      </c>
      <c r="AQ324" s="50" t="n">
        <f aca="false">IF(BZ324=1,0,ROUNDUP(AP324/BY324,0))</f>
        <v>1</v>
      </c>
      <c r="AR324" s="52" t="n">
        <f aca="false">IF(CQ324&gt;0,CQ324*MAX(1,AP324/X324),IF(BZ324=1,IF(AP324&lt;=0,0,CD324*MAX(1,IF(H324&gt;0,AP324/H324,1))),IF(R324&gt;0,AQ324/R324,0))/MAX(0.1,N(Parameter!$M$21)))</f>
        <v>0.0384615384615385</v>
      </c>
      <c r="AS324" s="50" t="n">
        <f aca="false">AR324*CB324</f>
        <v>5.96153846153846</v>
      </c>
      <c r="AT324" s="51" t="n">
        <f aca="false">IF(LEFT(Cockpit!$I$5,1)="A",H324,IF(CH324=1,(CK324+CI324)/2,IF(LEFT(Cockpit!$I$5,1)="B",(CK324+AV324)/2,MAX((CK324+AV324)/2,H324))))</f>
        <v>23</v>
      </c>
      <c r="AU324" s="50" t="n">
        <f aca="false">AT324*G324</f>
        <v>299</v>
      </c>
      <c r="AV324" s="50" t="n">
        <f aca="false">ROUNDUP(CK324+MAX(CL324,2*(J324/IF(CG324&gt;0,CG324,MAX(0.1,N(Cockpit!$I$6)))-CK324)),0)</f>
        <v>1</v>
      </c>
      <c r="AW324" s="51" t="n">
        <f aca="false">IF(AS324&gt;0,J324/AS324,-1)</f>
        <v>0</v>
      </c>
      <c r="AX324" s="51" t="n">
        <f aca="false">IF(AND(OR(CF324="L1",CF324="L23",CF324="LIFT"),AS324&gt;0),SUMIFS($AS$7:$AS$1843,$CF$7:$CF$1843,CF324,$AW$7:$AW$1843,"&gt;"&amp;AW324)+SUMIFS($AS$7:$AS$1843,$CF$7:$CF$1843,CF324,$AW$7:$AW$1843,AW324,$BW$7:$BW$1843,"&lt;="&amp;BW324),"")</f>
        <v>33270.244047619</v>
      </c>
      <c r="AY324" s="58" t="n">
        <f aca="false">IF(AX324="",0,MAX(0,MIN(1,(IF(CF324="L1",Parameter!$H$5,IF(CF324="L23",Parameter!$H$6+Parameter!$H$7,Parameter!$H$5+Parameter!$H$6+Parameter!$H$7))-(AX324-AS324))/AS324)))</f>
        <v>1</v>
      </c>
      <c r="AZ324" s="50" t="n">
        <f aca="false">IF(LEFT(Cockpit!$O$5,1)="A",H324,IF(Parameter!$E$30="MAX-Bestand",IF(CH324=1,CI324,IF(LEFT(Cockpit!$O$5,1)="B",BF324,MAX(BF324,H324))),ROUNDUP(BD324,0)))</f>
        <v>1</v>
      </c>
      <c r="BA324" s="50" t="n">
        <f aca="false">IF(BZ324=1,0,ROUNDUP(AZ324/BY324,0))</f>
        <v>1</v>
      </c>
      <c r="BB324" s="52" t="n">
        <f aca="false">IF(CQ324&gt;0,CQ324*MAX(1,AZ324/X324),IF(BZ324=1,IF(AZ324&lt;=0,0,CD324*MAX(1,IF(H324&gt;0,AZ324/H324,1))),IF(R324&gt;0,BA324/R324,0))/MAX(0.1,N(Parameter!$M$21)))</f>
        <v>0.0384615384615385</v>
      </c>
      <c r="BC324" s="50" t="n">
        <f aca="false">BB324*CB324</f>
        <v>5.96153846153846</v>
      </c>
      <c r="BD324" s="51" t="n">
        <f aca="false">IF(LEFT(Cockpit!$O$5,1)="A",H324,IF(CH324=1,(CK324+CI324)/2,IF(LEFT(Cockpit!$O$5,1)="B",(CK324+BF324)/2,MAX((CK324+BF324)/2,H324))))</f>
        <v>0.5</v>
      </c>
      <c r="BE324" s="50" t="n">
        <f aca="false">BD324*G324</f>
        <v>6.5</v>
      </c>
      <c r="BF324" s="50" t="n">
        <f aca="false">ROUNDUP(CK324+MAX(CL324,2*(J324/IF(CG324&gt;0,CG324,MAX(0.1,N(Cockpit!$O$6)))-CK324)),0)</f>
        <v>1</v>
      </c>
      <c r="BG324" s="51" t="n">
        <f aca="false">IF(BC324&gt;0,J324/BC324,-1)</f>
        <v>0</v>
      </c>
      <c r="BH324" s="51" t="n">
        <f aca="false">IF(AND(OR(CF324="L1",CF324="L23",CF324="LIFT"),BC324&gt;0),SUMIFS($BC$7:$BC$1843,$CF$7:$CF$1843,CF324,$BG$7:$BG$1843,"&gt;"&amp;BG324)+SUMIFS($BC$7:$BC$1843,$CF$7:$CF$1843,CF324,$BG$7:$BG$1843,BG324,$BW$7:$BW$1843,"&lt;="&amp;BW324),"")</f>
        <v>27395.7040960452</v>
      </c>
      <c r="BI324" s="58" t="n">
        <f aca="false">IF(BH324="",0,MAX(0,MIN(1,(IF(CF324="L1",Parameter!$H$5,IF(CF324="L23",Parameter!$H$6+Parameter!$H$7,Parameter!$H$5+Parameter!$H$6+Parameter!$H$7))-(BH324-BC324))/BC324)))</f>
        <v>1</v>
      </c>
      <c r="BJ324" s="48" t="str">
        <f aca="false">IF(AI324&lt;=0,"",IF(CF324="Aussen","Aussenlager",IF(CF324="-","Nicht im Lift",IF(AO324&gt;=1,"Lift",IF(AO324&lt;=0,"Aussenlager","teilweise")))))</f>
        <v>Lift</v>
      </c>
      <c r="BK324" s="48" t="str">
        <f aca="false">IF(AS324&lt;=0,"",IF(CF324="Aussen","Aussenlager",IF(CF324="-","Nicht im Lift",IF(AY324&gt;=1,"Lift",IF(AY324&lt;=0,"Aussenlager","teilweise")))))</f>
        <v>Lift</v>
      </c>
      <c r="BL324" s="48" t="str">
        <f aca="false">IF(BC324&lt;=0,"",IF(CF324="Aussen","Aussenlager",IF(CF324="-","Nicht im Lift",IF(BI324&gt;=1,"Lift",IF(BI324&lt;=0,"Aussenlager","teilweise")))))</f>
        <v>Lift</v>
      </c>
      <c r="BM324" s="48" t="str">
        <f aca="false">IF(A324="","",IF(BV324=1,"Neu; ","")&amp;IF(AND(BV324=0,BQ324&lt;0),"negativer Bestand (Export "&amp;BQ324&amp;"); ","")&amp;IF(J324&lt;=0,"Kein Verbrauch; ","")&amp;IF(CQ324&gt;0,"Lift "&amp;W324&amp;" lt. Liftbericht (Fach "&amp;X324&amp;" Stk); ",IF(CA324=1,"Gebinde geschätzt ("&amp;T324&amp;"); ",IF(BZ324=1,"Lose – Tablare geschätzt; ","")))&amp;IF(H324&gt;AV324,"Überbestand "&amp;ROUND(H324-AV324,0)&amp;" Stk / CHF "&amp;ROUND((H324-AV324)*G324,0)&amp;"; ","")&amp;IF(AND(CH324=1,CI324&lt;CJ324),"MAX &lt; MB+LG; ","")&amp;IF(AND(CP324&gt;0,CO324*10&gt;CP324),"zu hoch für Tablar; ","")&amp;IF(AND(BV324=0,OR(CH324=1,AA324&lt;&gt;"",U324&lt;&gt;"",V324&lt;&gt;"",AB324&lt;&gt;"")),"manuell übersteuert; ","")&amp;IF(AND(BZ324=0,R324=0),"Gebinde unbekannt / Stellmass fehlt; ","")&amp;IF(AND(BZ324=0,N(V324)&lt;=0,N(Q324)&lt;=0),"Menge pro Gebinde fehlt (Ist = 1 Gebinde); ","")&amp;BU324)</f>
        <v>Kein Verbrauch; Gebinde geschätzt (Klein); Überbestand 22 Stk / CHF 286; Menge pro Gebinde fehlt (Ist = 1 Gebinde); </v>
      </c>
      <c r="BN324" s="48"/>
      <c r="BO324" s="48"/>
      <c r="BP324" s="55"/>
      <c r="BQ324" s="50" t="n">
        <v>18</v>
      </c>
      <c r="BR324" s="50" t="n">
        <v>5</v>
      </c>
      <c r="BS324" s="49" t="n">
        <v>234</v>
      </c>
      <c r="BT324" s="50" t="n">
        <v>0</v>
      </c>
      <c r="BU324" s="48"/>
      <c r="BV324" s="53" t="n">
        <v>0</v>
      </c>
      <c r="BW324" s="53" t="n">
        <v>324</v>
      </c>
      <c r="BX324" s="48" t="str">
        <f aca="false">IF(U324&lt;&gt;"",UPPER(TRIM(U324)),IF(CA324=1,UPPER(VLOOKUP(T324,Parameter!$I$27:$K$29,2,0)),IF(P324="","LOSE",P324)))</f>
        <v>S51</v>
      </c>
      <c r="BY324" s="50" t="n">
        <f aca="false">IF(BX324="LOSE",1,IF(N(V324)&gt;0,V324,IF(CA324=1,MAX(1,N(VLOOKUP(T324,Parameter!$I$27:$K$29,3,0)),H324,N(N324)),IF(N(Q324)&gt;0,Q324,MAX(1,H324)))))</f>
        <v>23</v>
      </c>
      <c r="BZ324" s="53" t="n">
        <f aca="false">IF(BX324="LOSE",1,0)</f>
        <v>0</v>
      </c>
      <c r="CA324" s="53" t="n">
        <f aca="false">IF(AND(U324="",OR(P324="",P324="LOSE"),T324&lt;&gt;"",N(S324)&lt;=0,ISNUMBER(MATCH(T324,Parameter!$I$27:$I$29,0))),1,0)</f>
        <v>1</v>
      </c>
      <c r="CB324" s="53" t="n">
        <f aca="false">IF(CQ324&gt;0,INDEX(Parameter!$H$5:$H$7,W324)/INDEX(Parameter!$E$5:$E$7,W324),IF(AND(BZ324=0,N(IFERROR(VLOOKUP(BX324,'Gebinde-Kategorie'!$A$5:$N$45,14,0),0))&gt;0),VLOOKUP(BX324,'Gebinde-Kategorie'!$A$5:$N$45,14,0)*10+Parameter!$M$23,Parameter!$M$24))</f>
        <v>155</v>
      </c>
      <c r="CC324" s="48" t="str">
        <f aca="false">IF(AND(Parameter!$B$19="Ja",E324&lt;&gt;"",ISNUMBER(MATCH(E324,Parameter!$I$35:$I$52,0))),VLOOKUP(E324,Parameter!$I$35:$J$52,2,0),IFERROR(VLOOKUP(D324,Parameter!$A$35:$C$64,2,0),"Nein"))</f>
        <v>2+3</v>
      </c>
      <c r="CD324" s="52" t="n">
        <f aca="false">IF(BZ324=0,0,IF(N(S324)&gt;0,S324,IFERROR(VLOOKUP(D324,Parameter!$A$35:$C$64,3,0)+0,0)))</f>
        <v>0</v>
      </c>
      <c r="CE324" s="48" t="n">
        <f aca="false">IF(AA324&lt;&gt;"",AA324,Z324)</f>
        <v>3</v>
      </c>
      <c r="CF324" s="48" t="str">
        <f aca="false">IF(OR(CE324=1,CE324=2,CE324=3),IF(Parameter!$E$27="Ja","LIFT",IF(CE324=1,"L1","L23")),IF(CE324="Aussen","Aussen","-"))</f>
        <v>LIFT</v>
      </c>
      <c r="CG324" s="59" t="n">
        <f aca="false">IF(N(AB324)&gt;0,AB324,0)</f>
        <v>0</v>
      </c>
      <c r="CH324" s="53" t="n">
        <f aca="false">IF(ISNUMBER(AE324),1,0)</f>
        <v>0</v>
      </c>
      <c r="CI324" s="50" t="n">
        <f aca="false">N(AE324)</f>
        <v>0</v>
      </c>
      <c r="CJ324" s="50" t="n">
        <f aca="false">N(M324)+N(N324)</f>
        <v>1</v>
      </c>
      <c r="CK324" s="50" t="n">
        <f aca="false">N(M324)</f>
        <v>0</v>
      </c>
      <c r="CL324" s="50" t="n">
        <f aca="false">N(N324)</f>
        <v>1</v>
      </c>
      <c r="CM324" s="50" t="n">
        <f aca="false">ROUNDUP(H324/BY324,0)</f>
        <v>1</v>
      </c>
      <c r="CN324" s="50" t="n">
        <f aca="false">ROUNDUP(CI324/BY324,0)</f>
        <v>0</v>
      </c>
      <c r="CO324" s="53" t="n">
        <f aca="false">IF(BZ324=1,0,IFERROR(VLOOKUP(BX324,'Gebinde-Kategorie'!$A$5:$N$45,5,0)+0,0))</f>
        <v>11</v>
      </c>
      <c r="CP324" s="53" t="n">
        <f aca="false">IFERROR(IF(OR(CE324=1,CE324=2,CE324=3),N(INDEX(Parameter!$I$5:$I$7,CE324)),0),0)</f>
        <v>0</v>
      </c>
      <c r="CQ324" s="52" t="n">
        <f aca="false">IF(AND(Parameter!$B$21="Ja",ISNUMBER(W324),N(X324)&gt;0),IFERROR(N(INDEX(Parameter!$L$5:$L$7,W324))*INDEX(Parameter!$E$5:$E$7,W324)*X324/SUMIFS($X$7:$X$1843,$W$7:$W$1843,W324),0),0)</f>
        <v>0</v>
      </c>
    </row>
    <row r="325" customFormat="false" ht="15" hidden="false" customHeight="false" outlineLevel="0" collapsed="false">
      <c r="A325" s="48" t="s">
        <v>822</v>
      </c>
      <c r="B325" s="48" t="s">
        <v>823</v>
      </c>
      <c r="C325" s="48" t="s">
        <v>173</v>
      </c>
      <c r="D325" s="48" t="s">
        <v>193</v>
      </c>
      <c r="E325" s="48" t="s">
        <v>194</v>
      </c>
      <c r="F325" s="48" t="s">
        <v>227</v>
      </c>
      <c r="G325" s="49" t="n">
        <v>74</v>
      </c>
      <c r="H325" s="50" t="n">
        <f aca="false">MAX(0,IF(AND(Parameter!$B$21="Ja",ISNUMBER(Y325)),Y325,IF(Parameter!$B$20="Jahresanfang 2025 + Export",BR325+BQ325,BQ325)))</f>
        <v>29</v>
      </c>
      <c r="I325" s="50" t="n">
        <f aca="false">H325*G325</f>
        <v>2146</v>
      </c>
      <c r="J325" s="50" t="n">
        <f aca="false">BT325*Parameter!$B$18</f>
        <v>13</v>
      </c>
      <c r="K325" s="51" t="n">
        <v>25</v>
      </c>
      <c r="L325" s="52" t="n">
        <v>0.52</v>
      </c>
      <c r="M325" s="50" t="n">
        <v>4</v>
      </c>
      <c r="N325" s="50" t="n">
        <v>50</v>
      </c>
      <c r="O325" s="53" t="n">
        <v>126</v>
      </c>
      <c r="P325" s="48" t="s">
        <v>430</v>
      </c>
      <c r="Q325" s="50" t="n">
        <v>37</v>
      </c>
      <c r="R325" s="53" t="n">
        <f aca="false">IF(BZ325=1,0,IFERROR(VLOOKUP(BX325,'Gebinde-Kategorie'!$A$5:$N$45,13,0)+0,0))</f>
        <v>104</v>
      </c>
      <c r="S325" s="54"/>
      <c r="T325" s="55"/>
      <c r="U325" s="55"/>
      <c r="V325" s="55"/>
      <c r="W325" s="48"/>
      <c r="X325" s="50"/>
      <c r="Y325" s="50"/>
      <c r="Z325" s="48" t="n">
        <f aca="false">IF(A325="","",IF(AND(Parameter!$B$21="Ja",ISNUMBER(W325)),W325,IF(CC325="2+3",IF(ISNUMBER(SEARCH("grosser Artikel",BU325)),2,IFERROR(VLOOKUP(BX325,Parameter!$F$35:$G$64,2,0),2)),IF(OR(CC325="Nein",CC325=""),"-",CC325))))</f>
        <v>3</v>
      </c>
      <c r="AA325" s="55"/>
      <c r="AB325" s="56"/>
      <c r="AC325" s="50" t="n">
        <f aca="false">AV325</f>
        <v>54</v>
      </c>
      <c r="AD325" s="50" t="n">
        <f aca="false">MAX(AV325,H325)</f>
        <v>54</v>
      </c>
      <c r="AE325" s="57"/>
      <c r="AF325" s="50" t="n">
        <f aca="false">IF(LEFT(Cockpit!$C$5,1)="A",H325,IF(Parameter!$E$30="MAX-Bestand",IF(CH325=1,CI325,IF(LEFT(Cockpit!$C$5,1)="B",AL325,MAX(AL325,H325))),ROUNDUP(AJ325,0)))</f>
        <v>29</v>
      </c>
      <c r="AG325" s="50" t="n">
        <f aca="false">IF(BZ325=1,0,ROUNDUP(AF325/BY325,0))</f>
        <v>1</v>
      </c>
      <c r="AH325" s="52" t="n">
        <f aca="false">IF(CQ325&gt;0,CQ325*MAX(1,AF325/X325),IF(BZ325=1,IF(AF325&lt;=0,0,CD325*MAX(1,IF(H325&gt;0,AF325/H325,1))),IF(R325&gt;0,AG325/R325,0))/MAX(0.1,N(Parameter!$M$21)))</f>
        <v>0.00961538461538462</v>
      </c>
      <c r="AI325" s="50" t="n">
        <f aca="false">AH325*CB325</f>
        <v>1.49038461538462</v>
      </c>
      <c r="AJ325" s="51" t="n">
        <f aca="false">IF(LEFT(Cockpit!$C$5,1)="A",H325,IF(CH325=1,(CK325+CI325)/2,IF(LEFT(Cockpit!$C$5,1)="B",(CK325+AL325)/2,MAX((CK325+AL325)/2,H325))))</f>
        <v>29</v>
      </c>
      <c r="AK325" s="50" t="n">
        <f aca="false">AJ325*G325</f>
        <v>2146</v>
      </c>
      <c r="AL325" s="50" t="n">
        <f aca="false">ROUNDUP(CK325+MAX(CL325,2*(J325/IF(CG325&gt;0,CG325,MAX(0.1,N(Cockpit!$C$6)))-CK325)),0)</f>
        <v>54</v>
      </c>
      <c r="AM325" s="51" t="n">
        <f aca="false">IF(AI325&gt;0,J325/AI325,-1)</f>
        <v>8.72258064516129</v>
      </c>
      <c r="AN325" s="51" t="n">
        <f aca="false">IF(AND(OR(CF325="L1",CF325="L23",CF325="LIFT"),AI325&gt;0),SUMIFS($AI$7:$AI$1843,$CF$7:$CF$1843,CF325,$AM$7:$AM$1843,"&gt;"&amp;AM325)+SUMIFS($AI$7:$AI$1843,$CF$7:$CF$1843,CF325,$AM$7:$AM$1843,AM325,$BW$7:$BW$1843,"&lt;="&amp;BW325),"")</f>
        <v>2950.92994505495</v>
      </c>
      <c r="AO325" s="58" t="n">
        <f aca="false">IF(AN325="",0,MAX(0,MIN(1,(IF(CF325="L1",Parameter!$H$5,IF(CF325="L23",Parameter!$H$6+Parameter!$H$7,Parameter!$H$5+Parameter!$H$6+Parameter!$H$7))-(AN325-AI325))/AI325)))</f>
        <v>1</v>
      </c>
      <c r="AP325" s="50" t="n">
        <f aca="false">IF(LEFT(Cockpit!$I$5,1)="A",H325,IF(Parameter!$E$30="MAX-Bestand",IF(CH325=1,CI325,IF(LEFT(Cockpit!$I$5,1)="B",AV325,MAX(AV325,H325))),ROUNDUP(AT325,0)))</f>
        <v>29</v>
      </c>
      <c r="AQ325" s="50" t="n">
        <f aca="false">IF(BZ325=1,0,ROUNDUP(AP325/BY325,0))</f>
        <v>1</v>
      </c>
      <c r="AR325" s="52" t="n">
        <f aca="false">IF(CQ325&gt;0,CQ325*MAX(1,AP325/X325),IF(BZ325=1,IF(AP325&lt;=0,0,CD325*MAX(1,IF(H325&gt;0,AP325/H325,1))),IF(R325&gt;0,AQ325/R325,0))/MAX(0.1,N(Parameter!$M$21)))</f>
        <v>0.00961538461538462</v>
      </c>
      <c r="AS325" s="50" t="n">
        <f aca="false">AR325*CB325</f>
        <v>1.49038461538462</v>
      </c>
      <c r="AT325" s="51" t="n">
        <f aca="false">IF(LEFT(Cockpit!$I$5,1)="A",H325,IF(CH325=1,(CK325+CI325)/2,IF(LEFT(Cockpit!$I$5,1)="B",(CK325+AV325)/2,MAX((CK325+AV325)/2,H325))))</f>
        <v>29</v>
      </c>
      <c r="AU325" s="50" t="n">
        <f aca="false">AT325*G325</f>
        <v>2146</v>
      </c>
      <c r="AV325" s="50" t="n">
        <f aca="false">ROUNDUP(CK325+MAX(CL325,2*(J325/IF(CG325&gt;0,CG325,MAX(0.1,N(Cockpit!$I$6)))-CK325)),0)</f>
        <v>54</v>
      </c>
      <c r="AW325" s="51" t="n">
        <f aca="false">IF(AS325&gt;0,J325/AS325,-1)</f>
        <v>8.72258064516129</v>
      </c>
      <c r="AX325" s="51" t="n">
        <f aca="false">IF(AND(OR(CF325="L1",CF325="L23",CF325="LIFT"),AS325&gt;0),SUMIFS($AS$7:$AS$1843,$CF$7:$CF$1843,CF325,$AW$7:$AW$1843,"&gt;"&amp;AW325)+SUMIFS($AS$7:$AS$1843,$CF$7:$CF$1843,CF325,$AW$7:$AW$1843,AW325,$BW$7:$BW$1843,"&lt;="&amp;BW325),"")</f>
        <v>3565.91804029304</v>
      </c>
      <c r="AY325" s="58" t="n">
        <f aca="false">IF(AX325="",0,MAX(0,MIN(1,(IF(CF325="L1",Parameter!$H$5,IF(CF325="L23",Parameter!$H$6+Parameter!$H$7,Parameter!$H$5+Parameter!$H$6+Parameter!$H$7))-(AX325-AS325))/AS325)))</f>
        <v>1</v>
      </c>
      <c r="AZ325" s="50" t="n">
        <f aca="false">IF(LEFT(Cockpit!$O$5,1)="A",H325,IF(Parameter!$E$30="MAX-Bestand",IF(CH325=1,CI325,IF(LEFT(Cockpit!$O$5,1)="B",BF325,MAX(BF325,H325))),ROUNDUP(BD325,0)))</f>
        <v>29</v>
      </c>
      <c r="BA325" s="50" t="n">
        <f aca="false">IF(BZ325=1,0,ROUNDUP(AZ325/BY325,0))</f>
        <v>1</v>
      </c>
      <c r="BB325" s="52" t="n">
        <f aca="false">IF(CQ325&gt;0,CQ325*MAX(1,AZ325/X325),IF(BZ325=1,IF(AZ325&lt;=0,0,CD325*MAX(1,IF(H325&gt;0,AZ325/H325,1))),IF(R325&gt;0,BA325/R325,0))/MAX(0.1,N(Parameter!$M$21)))</f>
        <v>0.00961538461538462</v>
      </c>
      <c r="BC325" s="50" t="n">
        <f aca="false">BB325*CB325</f>
        <v>1.49038461538462</v>
      </c>
      <c r="BD325" s="51" t="n">
        <f aca="false">IF(LEFT(Cockpit!$O$5,1)="A",H325,IF(CH325=1,(CK325+CI325)/2,IF(LEFT(Cockpit!$O$5,1)="B",(CK325+BF325)/2,MAX((CK325+BF325)/2,H325))))</f>
        <v>29</v>
      </c>
      <c r="BE325" s="50" t="n">
        <f aca="false">BD325*G325</f>
        <v>2146</v>
      </c>
      <c r="BF325" s="50" t="n">
        <f aca="false">ROUNDUP(CK325+MAX(CL325,2*(J325/IF(CG325&gt;0,CG325,MAX(0.1,N(Cockpit!$O$6)))-CK325)),0)</f>
        <v>54</v>
      </c>
      <c r="BG325" s="51" t="n">
        <f aca="false">IF(BC325&gt;0,J325/BC325,-1)</f>
        <v>8.72258064516129</v>
      </c>
      <c r="BH325" s="51" t="n">
        <f aca="false">IF(AND(OR(CF325="L1",CF325="L23",CF325="LIFT"),BC325&gt;0),SUMIFS($BC$7:$BC$1843,$CF$7:$CF$1843,CF325,$BG$7:$BG$1843,"&gt;"&amp;BG325)+SUMIFS($BC$7:$BC$1843,$CF$7:$CF$1843,CF325,$BG$7:$BG$1843,BG325,$BW$7:$BW$1843,"&lt;="&amp;BW325),"")</f>
        <v>2889.19734432234</v>
      </c>
      <c r="BI325" s="58" t="n">
        <f aca="false">IF(BH325="",0,MAX(0,MIN(1,(IF(CF325="L1",Parameter!$H$5,IF(CF325="L23",Parameter!$H$6+Parameter!$H$7,Parameter!$H$5+Parameter!$H$6+Parameter!$H$7))-(BH325-BC325))/BC325)))</f>
        <v>1</v>
      </c>
      <c r="BJ325" s="48" t="str">
        <f aca="false">IF(AI325&lt;=0,"",IF(CF325="Aussen","Aussenlager",IF(CF325="-","Nicht im Lift",IF(AO325&gt;=1,"Lift",IF(AO325&lt;=0,"Aussenlager","teilweise")))))</f>
        <v>Lift</v>
      </c>
      <c r="BK325" s="48" t="str">
        <f aca="false">IF(AS325&lt;=0,"",IF(CF325="Aussen","Aussenlager",IF(CF325="-","Nicht im Lift",IF(AY325&gt;=1,"Lift",IF(AY325&lt;=0,"Aussenlager","teilweise")))))</f>
        <v>Lift</v>
      </c>
      <c r="BL325" s="48" t="str">
        <f aca="false">IF(BC325&lt;=0,"",IF(CF325="Aussen","Aussenlager",IF(CF325="-","Nicht im Lift",IF(BI325&gt;=1,"Lift",IF(BI325&lt;=0,"Aussenlager","teilweise")))))</f>
        <v>Lift</v>
      </c>
      <c r="BM325" s="48" t="str">
        <f aca="false">IF(A325="","",IF(BV325=1,"Neu; ","")&amp;IF(AND(BV325=0,BQ325&lt;0),"negativer Bestand (Export "&amp;BQ325&amp;"); ","")&amp;IF(J325&lt;=0,"Kein Verbrauch; ","")&amp;IF(CQ325&gt;0,"Lift "&amp;W325&amp;" lt. Liftbericht (Fach "&amp;X325&amp;" Stk); ",IF(CA325=1,"Gebinde geschätzt ("&amp;T325&amp;"); ",IF(BZ325=1,"Lose – Tablare geschätzt; ","")))&amp;IF(H325&gt;AV325,"Überbestand "&amp;ROUND(H325-AV325,0)&amp;" Stk / CHF "&amp;ROUND((H325-AV325)*G325,0)&amp;"; ","")&amp;IF(AND(CH325=1,CI325&lt;CJ325),"MAX &lt; MB+LG; ","")&amp;IF(AND(CP325&gt;0,CO325*10&gt;CP325),"zu hoch für Tablar; ","")&amp;IF(AND(BV325=0,OR(CH325=1,AA325&lt;&gt;"",U325&lt;&gt;"",V325&lt;&gt;"",AB325&lt;&gt;"")),"manuell übersteuert; ","")&amp;IF(AND(BZ325=0,R325=0),"Gebinde unbekannt / Stellmass fehlt; ","")&amp;IF(AND(BZ325=0,N(V325)&lt;=0,N(Q325)&lt;=0),"Menge pro Gebinde fehlt (Ist = 1 Gebinde); ","")&amp;BU325)</f>
        <v/>
      </c>
      <c r="BN325" s="48"/>
      <c r="BO325" s="48"/>
      <c r="BP325" s="55"/>
      <c r="BQ325" s="50" t="n">
        <v>8</v>
      </c>
      <c r="BR325" s="50" t="n">
        <v>21</v>
      </c>
      <c r="BS325" s="49" t="n">
        <v>228.28</v>
      </c>
      <c r="BT325" s="50" t="n">
        <v>13</v>
      </c>
      <c r="BU325" s="48"/>
      <c r="BV325" s="53" t="n">
        <v>0</v>
      </c>
      <c r="BW325" s="53" t="n">
        <v>325</v>
      </c>
      <c r="BX325" s="48" t="str">
        <f aca="false">IF(U325&lt;&gt;"",UPPER(TRIM(U325)),IF(CA325=1,UPPER(VLOOKUP(T325,Parameter!$I$27:$K$29,2,0)),IF(P325="","LOSE",P325)))</f>
        <v>S32</v>
      </c>
      <c r="BY325" s="50" t="n">
        <f aca="false">IF(BX325="LOSE",1,IF(N(V325)&gt;0,V325,IF(CA325=1,MAX(1,N(VLOOKUP(T325,Parameter!$I$27:$K$29,3,0)),H325,N(N325)),IF(N(Q325)&gt;0,Q325,MAX(1,H325)))))</f>
        <v>37</v>
      </c>
      <c r="BZ325" s="53" t="n">
        <f aca="false">IF(BX325="LOSE",1,0)</f>
        <v>0</v>
      </c>
      <c r="CA325" s="53" t="n">
        <f aca="false">IF(AND(U325="",OR(P325="",P325="LOSE"),T325&lt;&gt;"",N(S325)&lt;=0,ISNUMBER(MATCH(T325,Parameter!$I$27:$I$29,0))),1,0)</f>
        <v>0</v>
      </c>
      <c r="CB325" s="53" t="n">
        <f aca="false">IF(CQ325&gt;0,INDEX(Parameter!$H$5:$H$7,W325)/INDEX(Parameter!$E$5:$E$7,W325),IF(AND(BZ325=0,N(IFERROR(VLOOKUP(BX325,'Gebinde-Kategorie'!$A$5:$N$45,14,0),0))&gt;0),VLOOKUP(BX325,'Gebinde-Kategorie'!$A$5:$N$45,14,0)*10+Parameter!$M$23,Parameter!$M$24))</f>
        <v>155</v>
      </c>
      <c r="CC325" s="48" t="str">
        <f aca="false">IF(AND(Parameter!$B$19="Ja",E325&lt;&gt;"",ISNUMBER(MATCH(E325,Parameter!$I$35:$I$52,0))),VLOOKUP(E325,Parameter!$I$35:$J$52,2,0),IFERROR(VLOOKUP(D325,Parameter!$A$35:$C$64,2,0),"Nein"))</f>
        <v>2+3</v>
      </c>
      <c r="CD325" s="52" t="n">
        <f aca="false">IF(BZ325=0,0,IF(N(S325)&gt;0,S325,IFERROR(VLOOKUP(D325,Parameter!$A$35:$C$64,3,0)+0,0)))</f>
        <v>0</v>
      </c>
      <c r="CE325" s="48" t="n">
        <f aca="false">IF(AA325&lt;&gt;"",AA325,Z325)</f>
        <v>3</v>
      </c>
      <c r="CF325" s="48" t="str">
        <f aca="false">IF(OR(CE325=1,CE325=2,CE325=3),IF(Parameter!$E$27="Ja","LIFT",IF(CE325=1,"L1","L23")),IF(CE325="Aussen","Aussen","-"))</f>
        <v>LIFT</v>
      </c>
      <c r="CG325" s="59" t="n">
        <f aca="false">IF(N(AB325)&gt;0,AB325,0)</f>
        <v>0</v>
      </c>
      <c r="CH325" s="53" t="n">
        <f aca="false">IF(ISNUMBER(AE325),1,0)</f>
        <v>0</v>
      </c>
      <c r="CI325" s="50" t="n">
        <f aca="false">N(AE325)</f>
        <v>0</v>
      </c>
      <c r="CJ325" s="50" t="n">
        <f aca="false">N(M325)+N(N325)</f>
        <v>54</v>
      </c>
      <c r="CK325" s="50" t="n">
        <f aca="false">N(M325)</f>
        <v>4</v>
      </c>
      <c r="CL325" s="50" t="n">
        <f aca="false">N(N325)</f>
        <v>50</v>
      </c>
      <c r="CM325" s="50" t="n">
        <f aca="false">ROUNDUP(H325/BY325,0)</f>
        <v>1</v>
      </c>
      <c r="CN325" s="50" t="n">
        <f aca="false">ROUNDUP(CI325/BY325,0)</f>
        <v>0</v>
      </c>
      <c r="CO325" s="53" t="n">
        <f aca="false">IF(BZ325=1,0,IFERROR(VLOOKUP(BX325,'Gebinde-Kategorie'!$A$5:$N$45,5,0)+0,0))</f>
        <v>8</v>
      </c>
      <c r="CP325" s="53" t="n">
        <f aca="false">IFERROR(IF(OR(CE325=1,CE325=2,CE325=3),N(INDEX(Parameter!$I$5:$I$7,CE325)),0),0)</f>
        <v>0</v>
      </c>
      <c r="CQ325" s="52" t="n">
        <f aca="false">IF(AND(Parameter!$B$21="Ja",ISNUMBER(W325),N(X325)&gt;0),IFERROR(N(INDEX(Parameter!$L$5:$L$7,W325))*INDEX(Parameter!$E$5:$E$7,W325)*X325/SUMIFS($X$7:$X$1843,$W$7:$W$1843,W325),0),0)</f>
        <v>0</v>
      </c>
    </row>
    <row r="326" customFormat="false" ht="15" hidden="false" customHeight="false" outlineLevel="0" collapsed="false">
      <c r="A326" s="48" t="s">
        <v>824</v>
      </c>
      <c r="B326" s="48" t="s">
        <v>825</v>
      </c>
      <c r="C326" s="48" t="s">
        <v>173</v>
      </c>
      <c r="D326" s="48" t="s">
        <v>193</v>
      </c>
      <c r="E326" s="48" t="s">
        <v>194</v>
      </c>
      <c r="F326" s="48" t="s">
        <v>227</v>
      </c>
      <c r="G326" s="49" t="n">
        <v>34.66</v>
      </c>
      <c r="H326" s="50" t="n">
        <f aca="false">MAX(0,IF(AND(Parameter!$B$21="Ja",ISNUMBER(Y326)),Y326,IF(Parameter!$B$20="Jahresanfang 2025 + Export",BR326+BQ326,BQ326)))</f>
        <v>33</v>
      </c>
      <c r="I326" s="50" t="n">
        <f aca="false">H326*G326</f>
        <v>1143.78</v>
      </c>
      <c r="J326" s="50" t="n">
        <f aca="false">BT326*Parameter!$B$18</f>
        <v>37</v>
      </c>
      <c r="K326" s="51" t="n">
        <v>23.5</v>
      </c>
      <c r="L326" s="52" t="n">
        <v>1.57446808510638</v>
      </c>
      <c r="M326" s="50" t="n">
        <v>4</v>
      </c>
      <c r="N326" s="50" t="n">
        <v>35</v>
      </c>
      <c r="O326" s="53" t="n">
        <v>42</v>
      </c>
      <c r="P326" s="48" t="s">
        <v>430</v>
      </c>
      <c r="Q326" s="50" t="n">
        <v>46</v>
      </c>
      <c r="R326" s="53" t="n">
        <f aca="false">IF(BZ326=1,0,IFERROR(VLOOKUP(BX326,'Gebinde-Kategorie'!$A$5:$N$45,13,0)+0,0))</f>
        <v>104</v>
      </c>
      <c r="S326" s="54"/>
      <c r="T326" s="55"/>
      <c r="U326" s="55"/>
      <c r="V326" s="55"/>
      <c r="W326" s="48"/>
      <c r="X326" s="50"/>
      <c r="Y326" s="50"/>
      <c r="Z326" s="48" t="n">
        <f aca="false">IF(A326="","",IF(AND(Parameter!$B$21="Ja",ISNUMBER(W326)),W326,IF(CC326="2+3",IF(ISNUMBER(SEARCH("grosser Artikel",BU326)),2,IFERROR(VLOOKUP(BX326,Parameter!$F$35:$G$64,2,0),2)),IF(OR(CC326="Nein",CC326=""),"-",CC326))))</f>
        <v>3</v>
      </c>
      <c r="AA326" s="55"/>
      <c r="AB326" s="56"/>
      <c r="AC326" s="50" t="n">
        <f aca="false">AV326</f>
        <v>39</v>
      </c>
      <c r="AD326" s="50" t="n">
        <f aca="false">MAX(AV326,H326)</f>
        <v>39</v>
      </c>
      <c r="AE326" s="57"/>
      <c r="AF326" s="50" t="n">
        <f aca="false">IF(LEFT(Cockpit!$C$5,1)="A",H326,IF(Parameter!$E$30="MAX-Bestand",IF(CH326=1,CI326,IF(LEFT(Cockpit!$C$5,1)="B",AL326,MAX(AL326,H326))),ROUNDUP(AJ326,0)))</f>
        <v>33</v>
      </c>
      <c r="AG326" s="50" t="n">
        <f aca="false">IF(BZ326=1,0,ROUNDUP(AF326/BY326,0))</f>
        <v>1</v>
      </c>
      <c r="AH326" s="52" t="n">
        <f aca="false">IF(CQ326&gt;0,CQ326*MAX(1,AF326/X326),IF(BZ326=1,IF(AF326&lt;=0,0,CD326*MAX(1,IF(H326&gt;0,AF326/H326,1))),IF(R326&gt;0,AG326/R326,0))/MAX(0.1,N(Parameter!$M$21)))</f>
        <v>0.00961538461538462</v>
      </c>
      <c r="AI326" s="50" t="n">
        <f aca="false">AH326*CB326</f>
        <v>1.49038461538462</v>
      </c>
      <c r="AJ326" s="51" t="n">
        <f aca="false">IF(LEFT(Cockpit!$C$5,1)="A",H326,IF(CH326=1,(CK326+CI326)/2,IF(LEFT(Cockpit!$C$5,1)="B",(CK326+AL326)/2,MAX((CK326+AL326)/2,H326))))</f>
        <v>33</v>
      </c>
      <c r="AK326" s="50" t="n">
        <f aca="false">AJ326*G326</f>
        <v>1143.78</v>
      </c>
      <c r="AL326" s="50" t="n">
        <f aca="false">ROUNDUP(CK326+MAX(CL326,2*(J326/IF(CG326&gt;0,CG326,MAX(0.1,N(Cockpit!$C$6)))-CK326)),0)</f>
        <v>39</v>
      </c>
      <c r="AM326" s="51" t="n">
        <f aca="false">IF(AI326&gt;0,J326/AI326,-1)</f>
        <v>24.8258064516129</v>
      </c>
      <c r="AN326" s="51" t="n">
        <f aca="false">IF(AND(OR(CF326="L1",CF326="L23",CF326="LIFT"),AI326&gt;0),SUMIFS($AI$7:$AI$1843,$CF$7:$CF$1843,CF326,$AM$7:$AM$1843,"&gt;"&amp;AM326)+SUMIFS($AI$7:$AI$1843,$CF$7:$CF$1843,CF326,$AM$7:$AM$1843,AM326,$BW$7:$BW$1843,"&lt;="&amp;BW326),"")</f>
        <v>1544.11767399267</v>
      </c>
      <c r="AO326" s="58" t="n">
        <f aca="false">IF(AN326="",0,MAX(0,MIN(1,(IF(CF326="L1",Parameter!$H$5,IF(CF326="L23",Parameter!$H$6+Parameter!$H$7,Parameter!$H$5+Parameter!$H$6+Parameter!$H$7))-(AN326-AI326))/AI326)))</f>
        <v>1</v>
      </c>
      <c r="AP326" s="50" t="n">
        <f aca="false">IF(LEFT(Cockpit!$I$5,1)="A",H326,IF(Parameter!$E$30="MAX-Bestand",IF(CH326=1,CI326,IF(LEFT(Cockpit!$I$5,1)="B",AV326,MAX(AV326,H326))),ROUNDUP(AT326,0)))</f>
        <v>33</v>
      </c>
      <c r="AQ326" s="50" t="n">
        <f aca="false">IF(BZ326=1,0,ROUNDUP(AP326/BY326,0))</f>
        <v>1</v>
      </c>
      <c r="AR326" s="52" t="n">
        <f aca="false">IF(CQ326&gt;0,CQ326*MAX(1,AP326/X326),IF(BZ326=1,IF(AP326&lt;=0,0,CD326*MAX(1,IF(H326&gt;0,AP326/H326,1))),IF(R326&gt;0,AQ326/R326,0))/MAX(0.1,N(Parameter!$M$21)))</f>
        <v>0.00961538461538462</v>
      </c>
      <c r="AS326" s="50" t="n">
        <f aca="false">AR326*CB326</f>
        <v>1.49038461538462</v>
      </c>
      <c r="AT326" s="51" t="n">
        <f aca="false">IF(LEFT(Cockpit!$I$5,1)="A",H326,IF(CH326=1,(CK326+CI326)/2,IF(LEFT(Cockpit!$I$5,1)="B",(CK326+AV326)/2,MAX((CK326+AV326)/2,H326))))</f>
        <v>33</v>
      </c>
      <c r="AU326" s="50" t="n">
        <f aca="false">AT326*G326</f>
        <v>1143.78</v>
      </c>
      <c r="AV326" s="50" t="n">
        <f aca="false">ROUNDUP(CK326+MAX(CL326,2*(J326/IF(CG326&gt;0,CG326,MAX(0.1,N(Cockpit!$I$6)))-CK326)),0)</f>
        <v>39</v>
      </c>
      <c r="AW326" s="51" t="n">
        <f aca="false">IF(AS326&gt;0,J326/AS326,-1)</f>
        <v>24.8258064516129</v>
      </c>
      <c r="AX326" s="51" t="n">
        <f aca="false">IF(AND(OR(CF326="L1",CF326="L23",CF326="LIFT"),AS326&gt;0),SUMIFS($AS$7:$AS$1843,$CF$7:$CF$1843,CF326,$AW$7:$AW$1843,"&gt;"&amp;AW326)+SUMIFS($AS$7:$AS$1843,$CF$7:$CF$1843,CF326,$AW$7:$AW$1843,AW326,$BW$7:$BW$1843,"&lt;="&amp;BW326),"")</f>
        <v>2169.9565018315</v>
      </c>
      <c r="AY326" s="58" t="n">
        <f aca="false">IF(AX326="",0,MAX(0,MIN(1,(IF(CF326="L1",Parameter!$H$5,IF(CF326="L23",Parameter!$H$6+Parameter!$H$7,Parameter!$H$5+Parameter!$H$6+Parameter!$H$7))-(AX326-AS326))/AS326)))</f>
        <v>1</v>
      </c>
      <c r="AZ326" s="50" t="n">
        <f aca="false">IF(LEFT(Cockpit!$O$5,1)="A",H326,IF(Parameter!$E$30="MAX-Bestand",IF(CH326=1,CI326,IF(LEFT(Cockpit!$O$5,1)="B",BF326,MAX(BF326,H326))),ROUNDUP(BD326,0)))</f>
        <v>22</v>
      </c>
      <c r="BA326" s="50" t="n">
        <f aca="false">IF(BZ326=1,0,ROUNDUP(AZ326/BY326,0))</f>
        <v>1</v>
      </c>
      <c r="BB326" s="52" t="n">
        <f aca="false">IF(CQ326&gt;0,CQ326*MAX(1,AZ326/X326),IF(BZ326=1,IF(AZ326&lt;=0,0,CD326*MAX(1,IF(H326&gt;0,AZ326/H326,1))),IF(R326&gt;0,BA326/R326,0))/MAX(0.1,N(Parameter!$M$21)))</f>
        <v>0.00961538461538462</v>
      </c>
      <c r="BC326" s="50" t="n">
        <f aca="false">BB326*CB326</f>
        <v>1.49038461538462</v>
      </c>
      <c r="BD326" s="51" t="n">
        <f aca="false">IF(LEFT(Cockpit!$O$5,1)="A",H326,IF(CH326=1,(CK326+CI326)/2,IF(LEFT(Cockpit!$O$5,1)="B",(CK326+BF326)/2,MAX((CK326+BF326)/2,H326))))</f>
        <v>21.5</v>
      </c>
      <c r="BE326" s="50" t="n">
        <f aca="false">BD326*G326</f>
        <v>745.19</v>
      </c>
      <c r="BF326" s="50" t="n">
        <f aca="false">ROUNDUP(CK326+MAX(CL326,2*(J326/IF(CG326&gt;0,CG326,MAX(0.1,N(Cockpit!$O$6)))-CK326)),0)</f>
        <v>39</v>
      </c>
      <c r="BG326" s="51" t="n">
        <f aca="false">IF(BC326&gt;0,J326/BC326,-1)</f>
        <v>24.8258064516129</v>
      </c>
      <c r="BH326" s="51" t="n">
        <f aca="false">IF(AND(OR(CF326="L1",CF326="L23",CF326="LIFT"),BC326&gt;0),SUMIFS($BC$7:$BC$1843,$CF$7:$CF$1843,CF326,$BG$7:$BG$1843,"&gt;"&amp;BG326)+SUMIFS($BC$7:$BC$1843,$CF$7:$CF$1843,CF326,$BG$7:$BG$1843,BG326,$BW$7:$BW$1843,"&lt;="&amp;BW326),"")</f>
        <v>2086.4217032967</v>
      </c>
      <c r="BI326" s="58" t="n">
        <f aca="false">IF(BH326="",0,MAX(0,MIN(1,(IF(CF326="L1",Parameter!$H$5,IF(CF326="L23",Parameter!$H$6+Parameter!$H$7,Parameter!$H$5+Parameter!$H$6+Parameter!$H$7))-(BH326-BC326))/BC326)))</f>
        <v>1</v>
      </c>
      <c r="BJ326" s="48" t="str">
        <f aca="false">IF(AI326&lt;=0,"",IF(CF326="Aussen","Aussenlager",IF(CF326="-","Nicht im Lift",IF(AO326&gt;=1,"Lift",IF(AO326&lt;=0,"Aussenlager","teilweise")))))</f>
        <v>Lift</v>
      </c>
      <c r="BK326" s="48" t="str">
        <f aca="false">IF(AS326&lt;=0,"",IF(CF326="Aussen","Aussenlager",IF(CF326="-","Nicht im Lift",IF(AY326&gt;=1,"Lift",IF(AY326&lt;=0,"Aussenlager","teilweise")))))</f>
        <v>Lift</v>
      </c>
      <c r="BL326" s="48" t="str">
        <f aca="false">IF(BC326&lt;=0,"",IF(CF326="Aussen","Aussenlager",IF(CF326="-","Nicht im Lift",IF(BI326&gt;=1,"Lift",IF(BI326&lt;=0,"Aussenlager","teilweise")))))</f>
        <v>Lift</v>
      </c>
      <c r="BM326" s="48" t="str">
        <f aca="false">IF(A326="","",IF(BV326=1,"Neu; ","")&amp;IF(AND(BV326=0,BQ326&lt;0),"negativer Bestand (Export "&amp;BQ326&amp;"); ","")&amp;IF(J326&lt;=0,"Kein Verbrauch; ","")&amp;IF(CQ326&gt;0,"Lift "&amp;W326&amp;" lt. Liftbericht (Fach "&amp;X326&amp;" Stk); ",IF(CA326=1,"Gebinde geschätzt ("&amp;T326&amp;"); ",IF(BZ326=1,"Lose – Tablare geschätzt; ","")))&amp;IF(H326&gt;AV326,"Überbestand "&amp;ROUND(H326-AV326,0)&amp;" Stk / CHF "&amp;ROUND((H326-AV326)*G326,0)&amp;"; ","")&amp;IF(AND(CH326=1,CI326&lt;CJ326),"MAX &lt; MB+LG; ","")&amp;IF(AND(CP326&gt;0,CO326*10&gt;CP326),"zu hoch für Tablar; ","")&amp;IF(AND(BV326=0,OR(CH326=1,AA326&lt;&gt;"",U326&lt;&gt;"",V326&lt;&gt;"",AB326&lt;&gt;"")),"manuell übersteuert; ","")&amp;IF(AND(BZ326=0,R326=0),"Gebinde unbekannt / Stellmass fehlt; ","")&amp;IF(AND(BZ326=0,N(V326)&lt;=0,N(Q326)&lt;=0),"Menge pro Gebinde fehlt (Ist = 1 Gebinde); ","")&amp;BU326)</f>
        <v/>
      </c>
      <c r="BN326" s="48"/>
      <c r="BO326" s="48"/>
      <c r="BP326" s="55"/>
      <c r="BQ326" s="50" t="n">
        <v>11</v>
      </c>
      <c r="BR326" s="50" t="n">
        <v>22</v>
      </c>
      <c r="BS326" s="49" t="n">
        <v>227.04</v>
      </c>
      <c r="BT326" s="50" t="n">
        <v>37</v>
      </c>
      <c r="BU326" s="48"/>
      <c r="BV326" s="53" t="n">
        <v>0</v>
      </c>
      <c r="BW326" s="53" t="n">
        <v>326</v>
      </c>
      <c r="BX326" s="48" t="str">
        <f aca="false">IF(U326&lt;&gt;"",UPPER(TRIM(U326)),IF(CA326=1,UPPER(VLOOKUP(T326,Parameter!$I$27:$K$29,2,0)),IF(P326="","LOSE",P326)))</f>
        <v>S32</v>
      </c>
      <c r="BY326" s="50" t="n">
        <f aca="false">IF(BX326="LOSE",1,IF(N(V326)&gt;0,V326,IF(CA326=1,MAX(1,N(VLOOKUP(T326,Parameter!$I$27:$K$29,3,0)),H326,N(N326)),IF(N(Q326)&gt;0,Q326,MAX(1,H326)))))</f>
        <v>46</v>
      </c>
      <c r="BZ326" s="53" t="n">
        <f aca="false">IF(BX326="LOSE",1,0)</f>
        <v>0</v>
      </c>
      <c r="CA326" s="53" t="n">
        <f aca="false">IF(AND(U326="",OR(P326="",P326="LOSE"),T326&lt;&gt;"",N(S326)&lt;=0,ISNUMBER(MATCH(T326,Parameter!$I$27:$I$29,0))),1,0)</f>
        <v>0</v>
      </c>
      <c r="CB326" s="53" t="n">
        <f aca="false">IF(CQ326&gt;0,INDEX(Parameter!$H$5:$H$7,W326)/INDEX(Parameter!$E$5:$E$7,W326),IF(AND(BZ326=0,N(IFERROR(VLOOKUP(BX326,'Gebinde-Kategorie'!$A$5:$N$45,14,0),0))&gt;0),VLOOKUP(BX326,'Gebinde-Kategorie'!$A$5:$N$45,14,0)*10+Parameter!$M$23,Parameter!$M$24))</f>
        <v>155</v>
      </c>
      <c r="CC326" s="48" t="str">
        <f aca="false">IF(AND(Parameter!$B$19="Ja",E326&lt;&gt;"",ISNUMBER(MATCH(E326,Parameter!$I$35:$I$52,0))),VLOOKUP(E326,Parameter!$I$35:$J$52,2,0),IFERROR(VLOOKUP(D326,Parameter!$A$35:$C$64,2,0),"Nein"))</f>
        <v>2+3</v>
      </c>
      <c r="CD326" s="52" t="n">
        <f aca="false">IF(BZ326=0,0,IF(N(S326)&gt;0,S326,IFERROR(VLOOKUP(D326,Parameter!$A$35:$C$64,3,0)+0,0)))</f>
        <v>0</v>
      </c>
      <c r="CE326" s="48" t="n">
        <f aca="false">IF(AA326&lt;&gt;"",AA326,Z326)</f>
        <v>3</v>
      </c>
      <c r="CF326" s="48" t="str">
        <f aca="false">IF(OR(CE326=1,CE326=2,CE326=3),IF(Parameter!$E$27="Ja","LIFT",IF(CE326=1,"L1","L23")),IF(CE326="Aussen","Aussen","-"))</f>
        <v>LIFT</v>
      </c>
      <c r="CG326" s="59" t="n">
        <f aca="false">IF(N(AB326)&gt;0,AB326,0)</f>
        <v>0</v>
      </c>
      <c r="CH326" s="53" t="n">
        <f aca="false">IF(ISNUMBER(AE326),1,0)</f>
        <v>0</v>
      </c>
      <c r="CI326" s="50" t="n">
        <f aca="false">N(AE326)</f>
        <v>0</v>
      </c>
      <c r="CJ326" s="50" t="n">
        <f aca="false">N(M326)+N(N326)</f>
        <v>39</v>
      </c>
      <c r="CK326" s="50" t="n">
        <f aca="false">N(M326)</f>
        <v>4</v>
      </c>
      <c r="CL326" s="50" t="n">
        <f aca="false">N(N326)</f>
        <v>35</v>
      </c>
      <c r="CM326" s="50" t="n">
        <f aca="false">ROUNDUP(H326/BY326,0)</f>
        <v>1</v>
      </c>
      <c r="CN326" s="50" t="n">
        <f aca="false">ROUNDUP(CI326/BY326,0)</f>
        <v>0</v>
      </c>
      <c r="CO326" s="53" t="n">
        <f aca="false">IF(BZ326=1,0,IFERROR(VLOOKUP(BX326,'Gebinde-Kategorie'!$A$5:$N$45,5,0)+0,0))</f>
        <v>8</v>
      </c>
      <c r="CP326" s="53" t="n">
        <f aca="false">IFERROR(IF(OR(CE326=1,CE326=2,CE326=3),N(INDEX(Parameter!$I$5:$I$7,CE326)),0),0)</f>
        <v>0</v>
      </c>
      <c r="CQ326" s="52" t="n">
        <f aca="false">IF(AND(Parameter!$B$21="Ja",ISNUMBER(W326),N(X326)&gt;0),IFERROR(N(INDEX(Parameter!$L$5:$L$7,W326))*INDEX(Parameter!$E$5:$E$7,W326)*X326/SUMIFS($X$7:$X$1843,$W$7:$W$1843,W326),0),0)</f>
        <v>0</v>
      </c>
    </row>
    <row r="327" customFormat="false" ht="15" hidden="false" customHeight="false" outlineLevel="0" collapsed="false">
      <c r="A327" s="48" t="s">
        <v>826</v>
      </c>
      <c r="B327" s="48" t="s">
        <v>827</v>
      </c>
      <c r="C327" s="48" t="s">
        <v>173</v>
      </c>
      <c r="D327" s="48" t="s">
        <v>193</v>
      </c>
      <c r="E327" s="48" t="s">
        <v>194</v>
      </c>
      <c r="F327" s="48" t="s">
        <v>227</v>
      </c>
      <c r="G327" s="49" t="n">
        <v>1.04</v>
      </c>
      <c r="H327" s="50" t="n">
        <f aca="false">MAX(0,IF(AND(Parameter!$B$21="Ja",ISNUMBER(Y327)),Y327,IF(Parameter!$B$20="Jahresanfang 2025 + Export",BR327+BQ327,BQ327)))</f>
        <v>219</v>
      </c>
      <c r="I327" s="50" t="n">
        <f aca="false">H327*G327</f>
        <v>227.76</v>
      </c>
      <c r="J327" s="50" t="n">
        <f aca="false">BT327*Parameter!$B$18</f>
        <v>100</v>
      </c>
      <c r="K327" s="51" t="n">
        <v>41.5</v>
      </c>
      <c r="L327" s="52" t="n">
        <v>2.40963855421687</v>
      </c>
      <c r="M327" s="50" t="n">
        <v>25</v>
      </c>
      <c r="N327" s="50" t="n">
        <v>200</v>
      </c>
      <c r="O327" s="53" t="n">
        <v>35</v>
      </c>
      <c r="P327" s="48" t="s">
        <v>435</v>
      </c>
      <c r="Q327" s="50" t="n">
        <v>200</v>
      </c>
      <c r="R327" s="53" t="n">
        <f aca="false">IF(BZ327=1,0,IFERROR(VLOOKUP(BX327,'Gebinde-Kategorie'!$A$5:$N$45,13,0)+0,0))</f>
        <v>140</v>
      </c>
      <c r="S327" s="54"/>
      <c r="T327" s="55"/>
      <c r="U327" s="55"/>
      <c r="V327" s="55"/>
      <c r="W327" s="48"/>
      <c r="X327" s="50"/>
      <c r="Y327" s="50"/>
      <c r="Z327" s="48" t="n">
        <f aca="false">IF(A327="","",IF(AND(Parameter!$B$21="Ja",ISNUMBER(W327)),W327,IF(CC327="2+3",IF(ISNUMBER(SEARCH("grosser Artikel",BU327)),2,IFERROR(VLOOKUP(BX327,Parameter!$F$35:$G$64,2,0),2)),IF(OR(CC327="Nein",CC327=""),"-",CC327))))</f>
        <v>3</v>
      </c>
      <c r="AA327" s="55"/>
      <c r="AB327" s="56"/>
      <c r="AC327" s="50" t="n">
        <f aca="false">AV327</f>
        <v>225</v>
      </c>
      <c r="AD327" s="50" t="n">
        <f aca="false">MAX(AV327,H327)</f>
        <v>225</v>
      </c>
      <c r="AE327" s="57"/>
      <c r="AF327" s="50" t="n">
        <f aca="false">IF(LEFT(Cockpit!$C$5,1)="A",H327,IF(Parameter!$E$30="MAX-Bestand",IF(CH327=1,CI327,IF(LEFT(Cockpit!$C$5,1)="B",AL327,MAX(AL327,H327))),ROUNDUP(AJ327,0)))</f>
        <v>219</v>
      </c>
      <c r="AG327" s="50" t="n">
        <f aca="false">IF(BZ327=1,0,ROUNDUP(AF327/BY327,0))</f>
        <v>2</v>
      </c>
      <c r="AH327" s="52" t="n">
        <f aca="false">IF(CQ327&gt;0,CQ327*MAX(1,AF327/X327),IF(BZ327=1,IF(AF327&lt;=0,0,CD327*MAX(1,IF(H327&gt;0,AF327/H327,1))),IF(R327&gt;0,AG327/R327,0))/MAX(0.1,N(Parameter!$M$21)))</f>
        <v>0.0142857142857143</v>
      </c>
      <c r="AI327" s="50" t="n">
        <f aca="false">AH327*CB327</f>
        <v>2.21428571428571</v>
      </c>
      <c r="AJ327" s="51" t="n">
        <f aca="false">IF(LEFT(Cockpit!$C$5,1)="A",H327,IF(CH327=1,(CK327+CI327)/2,IF(LEFT(Cockpit!$C$5,1)="B",(CK327+AL327)/2,MAX((CK327+AL327)/2,H327))))</f>
        <v>219</v>
      </c>
      <c r="AK327" s="50" t="n">
        <f aca="false">AJ327*G327</f>
        <v>227.76</v>
      </c>
      <c r="AL327" s="50" t="n">
        <f aca="false">ROUNDUP(CK327+MAX(CL327,2*(J327/IF(CG327&gt;0,CG327,MAX(0.1,N(Cockpit!$C$6)))-CK327)),0)</f>
        <v>225</v>
      </c>
      <c r="AM327" s="51" t="n">
        <f aca="false">IF(AI327&gt;0,J327/AI327,-1)</f>
        <v>45.1612903225806</v>
      </c>
      <c r="AN327" s="51" t="n">
        <f aca="false">IF(AND(OR(CF327="L1",CF327="L23",CF327="LIFT"),AI327&gt;0),SUMIFS($AI$7:$AI$1843,$CF$7:$CF$1843,CF327,$AM$7:$AM$1843,"&gt;"&amp;AM327)+SUMIFS($AI$7:$AI$1843,$CF$7:$CF$1843,CF327,$AM$7:$AM$1843,AM327,$BW$7:$BW$1843,"&lt;="&amp;BW327),"")</f>
        <v>1166.06181318681</v>
      </c>
      <c r="AO327" s="58" t="n">
        <f aca="false">IF(AN327="",0,MAX(0,MIN(1,(IF(CF327="L1",Parameter!$H$5,IF(CF327="L23",Parameter!$H$6+Parameter!$H$7,Parameter!$H$5+Parameter!$H$6+Parameter!$H$7))-(AN327-AI327))/AI327)))</f>
        <v>1</v>
      </c>
      <c r="AP327" s="50" t="n">
        <f aca="false">IF(LEFT(Cockpit!$I$5,1)="A",H327,IF(Parameter!$E$30="MAX-Bestand",IF(CH327=1,CI327,IF(LEFT(Cockpit!$I$5,1)="B",AV327,MAX(AV327,H327))),ROUNDUP(AT327,0)))</f>
        <v>219</v>
      </c>
      <c r="AQ327" s="50" t="n">
        <f aca="false">IF(BZ327=1,0,ROUNDUP(AP327/BY327,0))</f>
        <v>2</v>
      </c>
      <c r="AR327" s="52" t="n">
        <f aca="false">IF(CQ327&gt;0,CQ327*MAX(1,AP327/X327),IF(BZ327=1,IF(AP327&lt;=0,0,CD327*MAX(1,IF(H327&gt;0,AP327/H327,1))),IF(R327&gt;0,AQ327/R327,0))/MAX(0.1,N(Parameter!$M$21)))</f>
        <v>0.0142857142857143</v>
      </c>
      <c r="AS327" s="50" t="n">
        <f aca="false">AR327*CB327</f>
        <v>2.21428571428571</v>
      </c>
      <c r="AT327" s="51" t="n">
        <f aca="false">IF(LEFT(Cockpit!$I$5,1)="A",H327,IF(CH327=1,(CK327+CI327)/2,IF(LEFT(Cockpit!$I$5,1)="B",(CK327+AV327)/2,MAX((CK327+AV327)/2,H327))))</f>
        <v>219</v>
      </c>
      <c r="AU327" s="50" t="n">
        <f aca="false">AT327*G327</f>
        <v>227.76</v>
      </c>
      <c r="AV327" s="50" t="n">
        <f aca="false">ROUNDUP(CK327+MAX(CL327,2*(J327/IF(CG327&gt;0,CG327,MAX(0.1,N(Cockpit!$I$6)))-CK327)),0)</f>
        <v>225</v>
      </c>
      <c r="AW327" s="51" t="n">
        <f aca="false">IF(AS327&gt;0,J327/AS327,-1)</f>
        <v>45.1612903225806</v>
      </c>
      <c r="AX327" s="51" t="n">
        <f aca="false">IF(AND(OR(CF327="L1",CF327="L23",CF327="LIFT"),AS327&gt;0),SUMIFS($AS$7:$AS$1843,$CF$7:$CF$1843,CF327,$AW$7:$AW$1843,"&gt;"&amp;AW327)+SUMIFS($AS$7:$AS$1843,$CF$7:$CF$1843,CF327,$AW$7:$AW$1843,AW327,$BW$7:$BW$1843,"&lt;="&amp;BW327),"")</f>
        <v>1452.27380952381</v>
      </c>
      <c r="AY327" s="58" t="n">
        <f aca="false">IF(AX327="",0,MAX(0,MIN(1,(IF(CF327="L1",Parameter!$H$5,IF(CF327="L23",Parameter!$H$6+Parameter!$H$7,Parameter!$H$5+Parameter!$H$6+Parameter!$H$7))-(AX327-AS327))/AS327)))</f>
        <v>1</v>
      </c>
      <c r="AZ327" s="50" t="n">
        <f aca="false">IF(LEFT(Cockpit!$O$5,1)="A",H327,IF(Parameter!$E$30="MAX-Bestand",IF(CH327=1,CI327,IF(LEFT(Cockpit!$O$5,1)="B",BF327,MAX(BF327,H327))),ROUNDUP(BD327,0)))</f>
        <v>125</v>
      </c>
      <c r="BA327" s="50" t="n">
        <f aca="false">IF(BZ327=1,0,ROUNDUP(AZ327/BY327,0))</f>
        <v>1</v>
      </c>
      <c r="BB327" s="52" t="n">
        <f aca="false">IF(CQ327&gt;0,CQ327*MAX(1,AZ327/X327),IF(BZ327=1,IF(AZ327&lt;=0,0,CD327*MAX(1,IF(H327&gt;0,AZ327/H327,1))),IF(R327&gt;0,BA327/R327,0))/MAX(0.1,N(Parameter!$M$21)))</f>
        <v>0.00714285714285714</v>
      </c>
      <c r="BC327" s="50" t="n">
        <f aca="false">BB327*CB327</f>
        <v>1.10714285714286</v>
      </c>
      <c r="BD327" s="51" t="n">
        <f aca="false">IF(LEFT(Cockpit!$O$5,1)="A",H327,IF(CH327=1,(CK327+CI327)/2,IF(LEFT(Cockpit!$O$5,1)="B",(CK327+BF327)/2,MAX((CK327+BF327)/2,H327))))</f>
        <v>125</v>
      </c>
      <c r="BE327" s="50" t="n">
        <f aca="false">BD327*G327</f>
        <v>130</v>
      </c>
      <c r="BF327" s="50" t="n">
        <f aca="false">ROUNDUP(CK327+MAX(CL327,2*(J327/IF(CG327&gt;0,CG327,MAX(0.1,N(Cockpit!$O$6)))-CK327)),0)</f>
        <v>225</v>
      </c>
      <c r="BG327" s="51" t="n">
        <f aca="false">IF(BC327&gt;0,J327/BC327,-1)</f>
        <v>90.3225806451613</v>
      </c>
      <c r="BH327" s="51" t="n">
        <f aca="false">IF(AND(OR(CF327="L1",CF327="L23",CF327="LIFT"),BC327&gt;0),SUMIFS($BC$7:$BC$1843,$CF$7:$CF$1843,CF327,$BG$7:$BG$1843,"&gt;"&amp;BG327)+SUMIFS($BC$7:$BC$1843,$CF$7:$CF$1843,CF327,$BG$7:$BG$1843,BG327,$BW$7:$BW$1843,"&lt;="&amp;BW327),"")</f>
        <v>969.035256410257</v>
      </c>
      <c r="BI327" s="58" t="n">
        <f aca="false">IF(BH327="",0,MAX(0,MIN(1,(IF(CF327="L1",Parameter!$H$5,IF(CF327="L23",Parameter!$H$6+Parameter!$H$7,Parameter!$H$5+Parameter!$H$6+Parameter!$H$7))-(BH327-BC327))/BC327)))</f>
        <v>1</v>
      </c>
      <c r="BJ327" s="48" t="str">
        <f aca="false">IF(AI327&lt;=0,"",IF(CF327="Aussen","Aussenlager",IF(CF327="-","Nicht im Lift",IF(AO327&gt;=1,"Lift",IF(AO327&lt;=0,"Aussenlager","teilweise")))))</f>
        <v>Lift</v>
      </c>
      <c r="BK327" s="48" t="str">
        <f aca="false">IF(AS327&lt;=0,"",IF(CF327="Aussen","Aussenlager",IF(CF327="-","Nicht im Lift",IF(AY327&gt;=1,"Lift",IF(AY327&lt;=0,"Aussenlager","teilweise")))))</f>
        <v>Lift</v>
      </c>
      <c r="BL327" s="48" t="str">
        <f aca="false">IF(BC327&lt;=0,"",IF(CF327="Aussen","Aussenlager",IF(CF327="-","Nicht im Lift",IF(BI327&gt;=1,"Lift",IF(BI327&lt;=0,"Aussenlager","teilweise")))))</f>
        <v>Lift</v>
      </c>
      <c r="BM327" s="48" t="str">
        <f aca="false">IF(A327="","",IF(BV327=1,"Neu; ","")&amp;IF(AND(BV327=0,BQ327&lt;0),"negativer Bestand (Export "&amp;BQ327&amp;"); ","")&amp;IF(J327&lt;=0,"Kein Verbrauch; ","")&amp;IF(CQ327&gt;0,"Lift "&amp;W327&amp;" lt. Liftbericht (Fach "&amp;X327&amp;" Stk); ",IF(CA327=1,"Gebinde geschätzt ("&amp;T327&amp;"); ",IF(BZ327=1,"Lose – Tablare geschätzt; ","")))&amp;IF(H327&gt;AV327,"Überbestand "&amp;ROUND(H327-AV327,0)&amp;" Stk / CHF "&amp;ROUND((H327-AV327)*G327,0)&amp;"; ","")&amp;IF(AND(CH327=1,CI327&lt;CJ327),"MAX &lt; MB+LG; ","")&amp;IF(AND(CP327&gt;0,CO327*10&gt;CP327),"zu hoch für Tablar; ","")&amp;IF(AND(BV327=0,OR(CH327=1,AA327&lt;&gt;"",U327&lt;&gt;"",V327&lt;&gt;"",AB327&lt;&gt;"")),"manuell übersteuert; ","")&amp;IF(AND(BZ327=0,R327=0),"Gebinde unbekannt / Stellmass fehlt; ","")&amp;IF(AND(BZ327=0,N(V327)&lt;=0,N(Q327)&lt;=0),"Menge pro Gebinde fehlt (Ist = 1 Gebinde); ","")&amp;BU327)</f>
        <v/>
      </c>
      <c r="BN327" s="48"/>
      <c r="BO327" s="48"/>
      <c r="BP327" s="55"/>
      <c r="BQ327" s="50" t="n">
        <v>215</v>
      </c>
      <c r="BR327" s="50" t="n">
        <v>4</v>
      </c>
      <c r="BS327" s="49" t="n">
        <v>223.6</v>
      </c>
      <c r="BT327" s="50" t="n">
        <v>100</v>
      </c>
      <c r="BU327" s="48"/>
      <c r="BV327" s="53" t="n">
        <v>0</v>
      </c>
      <c r="BW327" s="53" t="n">
        <v>327</v>
      </c>
      <c r="BX327" s="48" t="str">
        <f aca="false">IF(U327&lt;&gt;"",UPPER(TRIM(U327)),IF(CA327=1,UPPER(VLOOKUP(T327,Parameter!$I$27:$K$29,2,0)),IF(P327="","LOSE",P327)))</f>
        <v>S22</v>
      </c>
      <c r="BY327" s="50" t="n">
        <f aca="false">IF(BX327="LOSE",1,IF(N(V327)&gt;0,V327,IF(CA327=1,MAX(1,N(VLOOKUP(T327,Parameter!$I$27:$K$29,3,0)),H327,N(N327)),IF(N(Q327)&gt;0,Q327,MAX(1,H327)))))</f>
        <v>200</v>
      </c>
      <c r="BZ327" s="53" t="n">
        <f aca="false">IF(BX327="LOSE",1,0)</f>
        <v>0</v>
      </c>
      <c r="CA327" s="53" t="n">
        <f aca="false">IF(AND(U327="",OR(P327="",P327="LOSE"),T327&lt;&gt;"",N(S327)&lt;=0,ISNUMBER(MATCH(T327,Parameter!$I$27:$I$29,0))),1,0)</f>
        <v>0</v>
      </c>
      <c r="CB327" s="53" t="n">
        <f aca="false">IF(CQ327&gt;0,INDEX(Parameter!$H$5:$H$7,W327)/INDEX(Parameter!$E$5:$E$7,W327),IF(AND(BZ327=0,N(IFERROR(VLOOKUP(BX327,'Gebinde-Kategorie'!$A$5:$N$45,14,0),0))&gt;0),VLOOKUP(BX327,'Gebinde-Kategorie'!$A$5:$N$45,14,0)*10+Parameter!$M$23,Parameter!$M$24))</f>
        <v>155</v>
      </c>
      <c r="CC327" s="48" t="str">
        <f aca="false">IF(AND(Parameter!$B$19="Ja",E327&lt;&gt;"",ISNUMBER(MATCH(E327,Parameter!$I$35:$I$52,0))),VLOOKUP(E327,Parameter!$I$35:$J$52,2,0),IFERROR(VLOOKUP(D327,Parameter!$A$35:$C$64,2,0),"Nein"))</f>
        <v>2+3</v>
      </c>
      <c r="CD327" s="52" t="n">
        <f aca="false">IF(BZ327=0,0,IF(N(S327)&gt;0,S327,IFERROR(VLOOKUP(D327,Parameter!$A$35:$C$64,3,0)+0,0)))</f>
        <v>0</v>
      </c>
      <c r="CE327" s="48" t="n">
        <f aca="false">IF(AA327&lt;&gt;"",AA327,Z327)</f>
        <v>3</v>
      </c>
      <c r="CF327" s="48" t="str">
        <f aca="false">IF(OR(CE327=1,CE327=2,CE327=3),IF(Parameter!$E$27="Ja","LIFT",IF(CE327=1,"L1","L23")),IF(CE327="Aussen","Aussen","-"))</f>
        <v>LIFT</v>
      </c>
      <c r="CG327" s="59" t="n">
        <f aca="false">IF(N(AB327)&gt;0,AB327,0)</f>
        <v>0</v>
      </c>
      <c r="CH327" s="53" t="n">
        <f aca="false">IF(ISNUMBER(AE327),1,0)</f>
        <v>0</v>
      </c>
      <c r="CI327" s="50" t="n">
        <f aca="false">N(AE327)</f>
        <v>0</v>
      </c>
      <c r="CJ327" s="50" t="n">
        <f aca="false">N(M327)+N(N327)</f>
        <v>225</v>
      </c>
      <c r="CK327" s="50" t="n">
        <f aca="false">N(M327)</f>
        <v>25</v>
      </c>
      <c r="CL327" s="50" t="n">
        <f aca="false">N(N327)</f>
        <v>200</v>
      </c>
      <c r="CM327" s="50" t="n">
        <f aca="false">ROUNDUP(H327/BY327,0)</f>
        <v>2</v>
      </c>
      <c r="CN327" s="50" t="n">
        <f aca="false">ROUNDUP(CI327/BY327,0)</f>
        <v>0</v>
      </c>
      <c r="CO327" s="53" t="n">
        <f aca="false">IF(BZ327=1,0,IFERROR(VLOOKUP(BX327,'Gebinde-Kategorie'!$A$5:$N$45,5,0)+0,0))</f>
        <v>8</v>
      </c>
      <c r="CP327" s="53" t="n">
        <f aca="false">IFERROR(IF(OR(CE327=1,CE327=2,CE327=3),N(INDEX(Parameter!$I$5:$I$7,CE327)),0),0)</f>
        <v>0</v>
      </c>
      <c r="CQ327" s="52" t="n">
        <f aca="false">IF(AND(Parameter!$B$21="Ja",ISNUMBER(W327),N(X327)&gt;0),IFERROR(N(INDEX(Parameter!$L$5:$L$7,W327))*INDEX(Parameter!$E$5:$E$7,W327)*X327/SUMIFS($X$7:$X$1843,$W$7:$W$1843,W327),0),0)</f>
        <v>0</v>
      </c>
    </row>
    <row r="328" customFormat="false" ht="15" hidden="false" customHeight="false" outlineLevel="0" collapsed="false">
      <c r="A328" s="48" t="s">
        <v>828</v>
      </c>
      <c r="B328" s="48" t="s">
        <v>598</v>
      </c>
      <c r="C328" s="48" t="s">
        <v>173</v>
      </c>
      <c r="D328" s="48" t="s">
        <v>193</v>
      </c>
      <c r="E328" s="48" t="s">
        <v>194</v>
      </c>
      <c r="F328" s="48" t="s">
        <v>227</v>
      </c>
      <c r="G328" s="49" t="n">
        <v>1.5</v>
      </c>
      <c r="H328" s="50" t="n">
        <f aca="false">MAX(0,IF(AND(Parameter!$B$21="Ja",ISNUMBER(Y328)),Y328,IF(Parameter!$B$20="Jahresanfang 2025 + Export",BR328+BQ328,BQ328)))</f>
        <v>283</v>
      </c>
      <c r="I328" s="50" t="n">
        <f aca="false">H328*G328</f>
        <v>424.5</v>
      </c>
      <c r="J328" s="50" t="n">
        <f aca="false">BT328*Parameter!$B$18</f>
        <v>362</v>
      </c>
      <c r="K328" s="51" t="n">
        <v>154.5</v>
      </c>
      <c r="L328" s="52" t="n">
        <v>2.34304207119741</v>
      </c>
      <c r="M328" s="50" t="n">
        <v>21</v>
      </c>
      <c r="N328" s="50" t="n">
        <v>360</v>
      </c>
      <c r="O328" s="53" t="n">
        <v>21</v>
      </c>
      <c r="P328" s="48" t="s">
        <v>435</v>
      </c>
      <c r="Q328" s="50" t="n">
        <v>121</v>
      </c>
      <c r="R328" s="53" t="n">
        <f aca="false">IF(BZ328=1,0,IFERROR(VLOOKUP(BX328,'Gebinde-Kategorie'!$A$5:$N$45,13,0)+0,0))</f>
        <v>140</v>
      </c>
      <c r="S328" s="54"/>
      <c r="T328" s="55"/>
      <c r="U328" s="55"/>
      <c r="V328" s="55"/>
      <c r="W328" s="48"/>
      <c r="X328" s="50"/>
      <c r="Y328" s="50"/>
      <c r="Z328" s="48" t="n">
        <f aca="false">IF(A328="","",IF(AND(Parameter!$B$21="Ja",ISNUMBER(W328)),W328,IF(CC328="2+3",IF(ISNUMBER(SEARCH("grosser Artikel",BU328)),2,IFERROR(VLOOKUP(BX328,Parameter!$F$35:$G$64,2,0),2)),IF(OR(CC328="Nein",CC328=""),"-",CC328))))</f>
        <v>3</v>
      </c>
      <c r="AA328" s="55"/>
      <c r="AB328" s="56"/>
      <c r="AC328" s="50" t="n">
        <f aca="false">AV328</f>
        <v>381</v>
      </c>
      <c r="AD328" s="50" t="n">
        <f aca="false">MAX(AV328,H328)</f>
        <v>381</v>
      </c>
      <c r="AE328" s="57"/>
      <c r="AF328" s="50" t="n">
        <f aca="false">IF(LEFT(Cockpit!$C$5,1)="A",H328,IF(Parameter!$E$30="MAX-Bestand",IF(CH328=1,CI328,IF(LEFT(Cockpit!$C$5,1)="B",AL328,MAX(AL328,H328))),ROUNDUP(AJ328,0)))</f>
        <v>283</v>
      </c>
      <c r="AG328" s="50" t="n">
        <f aca="false">IF(BZ328=1,0,ROUNDUP(AF328/BY328,0))</f>
        <v>3</v>
      </c>
      <c r="AH328" s="52" t="n">
        <f aca="false">IF(CQ328&gt;0,CQ328*MAX(1,AF328/X328),IF(BZ328=1,IF(AF328&lt;=0,0,CD328*MAX(1,IF(H328&gt;0,AF328/H328,1))),IF(R328&gt;0,AG328/R328,0))/MAX(0.1,N(Parameter!$M$21)))</f>
        <v>0.0214285714285714</v>
      </c>
      <c r="AI328" s="50" t="n">
        <f aca="false">AH328*CB328</f>
        <v>3.32142857142857</v>
      </c>
      <c r="AJ328" s="51" t="n">
        <f aca="false">IF(LEFT(Cockpit!$C$5,1)="A",H328,IF(CH328=1,(CK328+CI328)/2,IF(LEFT(Cockpit!$C$5,1)="B",(CK328+AL328)/2,MAX((CK328+AL328)/2,H328))))</f>
        <v>283</v>
      </c>
      <c r="AK328" s="50" t="n">
        <f aca="false">AJ328*G328</f>
        <v>424.5</v>
      </c>
      <c r="AL328" s="50" t="n">
        <f aca="false">ROUNDUP(CK328+MAX(CL328,2*(J328/IF(CG328&gt;0,CG328,MAX(0.1,N(Cockpit!$C$6)))-CK328)),0)</f>
        <v>381</v>
      </c>
      <c r="AM328" s="51" t="n">
        <f aca="false">IF(AI328&gt;0,J328/AI328,-1)</f>
        <v>108.989247311828</v>
      </c>
      <c r="AN328" s="51" t="n">
        <f aca="false">IF(AND(OR(CF328="L1",CF328="L23",CF328="LIFT"),AI328&gt;0),SUMIFS($AI$7:$AI$1843,$CF$7:$CF$1843,CF328,$AM$7:$AM$1843,"&gt;"&amp;AM328)+SUMIFS($AI$7:$AI$1843,$CF$7:$CF$1843,CF328,$AM$7:$AM$1843,AM328,$BW$7:$BW$1843,"&lt;="&amp;BW328),"")</f>
        <v>752.902014652015</v>
      </c>
      <c r="AO328" s="58" t="n">
        <f aca="false">IF(AN328="",0,MAX(0,MIN(1,(IF(CF328="L1",Parameter!$H$5,IF(CF328="L23",Parameter!$H$6+Parameter!$H$7,Parameter!$H$5+Parameter!$H$6+Parameter!$H$7))-(AN328-AI328))/AI328)))</f>
        <v>1</v>
      </c>
      <c r="AP328" s="50" t="n">
        <f aca="false">IF(LEFT(Cockpit!$I$5,1)="A",H328,IF(Parameter!$E$30="MAX-Bestand",IF(CH328=1,CI328,IF(LEFT(Cockpit!$I$5,1)="B",AV328,MAX(AV328,H328))),ROUNDUP(AT328,0)))</f>
        <v>283</v>
      </c>
      <c r="AQ328" s="50" t="n">
        <f aca="false">IF(BZ328=1,0,ROUNDUP(AP328/BY328,0))</f>
        <v>3</v>
      </c>
      <c r="AR328" s="52" t="n">
        <f aca="false">IF(CQ328&gt;0,CQ328*MAX(1,AP328/X328),IF(BZ328=1,IF(AP328&lt;=0,0,CD328*MAX(1,IF(H328&gt;0,AP328/H328,1))),IF(R328&gt;0,AQ328/R328,0))/MAX(0.1,N(Parameter!$M$21)))</f>
        <v>0.0214285714285714</v>
      </c>
      <c r="AS328" s="50" t="n">
        <f aca="false">AR328*CB328</f>
        <v>3.32142857142857</v>
      </c>
      <c r="AT328" s="51" t="n">
        <f aca="false">IF(LEFT(Cockpit!$I$5,1)="A",H328,IF(CH328=1,(CK328+CI328)/2,IF(LEFT(Cockpit!$I$5,1)="B",(CK328+AV328)/2,MAX((CK328+AV328)/2,H328))))</f>
        <v>283</v>
      </c>
      <c r="AU328" s="50" t="n">
        <f aca="false">AT328*G328</f>
        <v>424.5</v>
      </c>
      <c r="AV328" s="50" t="n">
        <f aca="false">ROUNDUP(CK328+MAX(CL328,2*(J328/IF(CG328&gt;0,CG328,MAX(0.1,N(Cockpit!$I$6)))-CK328)),0)</f>
        <v>381</v>
      </c>
      <c r="AW328" s="51" t="n">
        <f aca="false">IF(AS328&gt;0,J328/AS328,-1)</f>
        <v>108.989247311828</v>
      </c>
      <c r="AX328" s="51" t="n">
        <f aca="false">IF(AND(OR(CF328="L1",CF328="L23",CF328="LIFT"),AS328&gt;0),SUMIFS($AS$7:$AS$1843,$CF$7:$CF$1843,CF328,$AW$7:$AW$1843,"&gt;"&amp;AW328)+SUMIFS($AS$7:$AS$1843,$CF$7:$CF$1843,CF328,$AW$7:$AW$1843,AW328,$BW$7:$BW$1843,"&lt;="&amp;BW328),"")</f>
        <v>827.625</v>
      </c>
      <c r="AY328" s="58" t="n">
        <f aca="false">IF(AX328="",0,MAX(0,MIN(1,(IF(CF328="L1",Parameter!$H$5,IF(CF328="L23",Parameter!$H$6+Parameter!$H$7,Parameter!$H$5+Parameter!$H$6+Parameter!$H$7))-(AX328-AS328))/AS328)))</f>
        <v>1</v>
      </c>
      <c r="AZ328" s="50" t="n">
        <f aca="false">IF(LEFT(Cockpit!$O$5,1)="A",H328,IF(Parameter!$E$30="MAX-Bestand",IF(CH328=1,CI328,IF(LEFT(Cockpit!$O$5,1)="B",BF328,MAX(BF328,H328))),ROUNDUP(BD328,0)))</f>
        <v>201</v>
      </c>
      <c r="BA328" s="50" t="n">
        <f aca="false">IF(BZ328=1,0,ROUNDUP(AZ328/BY328,0))</f>
        <v>2</v>
      </c>
      <c r="BB328" s="52" t="n">
        <f aca="false">IF(CQ328&gt;0,CQ328*MAX(1,AZ328/X328),IF(BZ328=1,IF(AZ328&lt;=0,0,CD328*MAX(1,IF(H328&gt;0,AZ328/H328,1))),IF(R328&gt;0,BA328/R328,0))/MAX(0.1,N(Parameter!$M$21)))</f>
        <v>0.0142857142857143</v>
      </c>
      <c r="BC328" s="50" t="n">
        <f aca="false">BB328*CB328</f>
        <v>2.21428571428571</v>
      </c>
      <c r="BD328" s="51" t="n">
        <f aca="false">IF(LEFT(Cockpit!$O$5,1)="A",H328,IF(CH328=1,(CK328+CI328)/2,IF(LEFT(Cockpit!$O$5,1)="B",(CK328+BF328)/2,MAX((CK328+BF328)/2,H328))))</f>
        <v>201</v>
      </c>
      <c r="BE328" s="50" t="n">
        <f aca="false">BD328*G328</f>
        <v>301.5</v>
      </c>
      <c r="BF328" s="50" t="n">
        <f aca="false">ROUNDUP(CK328+MAX(CL328,2*(J328/IF(CG328&gt;0,CG328,MAX(0.1,N(Cockpit!$O$6)))-CK328)),0)</f>
        <v>381</v>
      </c>
      <c r="BG328" s="51" t="n">
        <f aca="false">IF(BC328&gt;0,J328/BC328,-1)</f>
        <v>163.483870967742</v>
      </c>
      <c r="BH328" s="51" t="n">
        <f aca="false">IF(AND(OR(CF328="L1",CF328="L23",CF328="LIFT"),BC328&gt;0),SUMIFS($BC$7:$BC$1843,$CF$7:$CF$1843,CF328,$BG$7:$BG$1843,"&gt;"&amp;BG328)+SUMIFS($BC$7:$BC$1843,$CF$7:$CF$1843,CF328,$BG$7:$BG$1843,BG328,$BW$7:$BW$1843,"&lt;="&amp;BW328),"")</f>
        <v>528.377747252747</v>
      </c>
      <c r="BI328" s="58" t="n">
        <f aca="false">IF(BH328="",0,MAX(0,MIN(1,(IF(CF328="L1",Parameter!$H$5,IF(CF328="L23",Parameter!$H$6+Parameter!$H$7,Parameter!$H$5+Parameter!$H$6+Parameter!$H$7))-(BH328-BC328))/BC328)))</f>
        <v>1</v>
      </c>
      <c r="BJ328" s="48" t="str">
        <f aca="false">IF(AI328&lt;=0,"",IF(CF328="Aussen","Aussenlager",IF(CF328="-","Nicht im Lift",IF(AO328&gt;=1,"Lift",IF(AO328&lt;=0,"Aussenlager","teilweise")))))</f>
        <v>Lift</v>
      </c>
      <c r="BK328" s="48" t="str">
        <f aca="false">IF(AS328&lt;=0,"",IF(CF328="Aussen","Aussenlager",IF(CF328="-","Nicht im Lift",IF(AY328&gt;=1,"Lift",IF(AY328&lt;=0,"Aussenlager","teilweise")))))</f>
        <v>Lift</v>
      </c>
      <c r="BL328" s="48" t="str">
        <f aca="false">IF(BC328&lt;=0,"",IF(CF328="Aussen","Aussenlager",IF(CF328="-","Nicht im Lift",IF(BI328&gt;=1,"Lift",IF(BI328&lt;=0,"Aussenlager","teilweise")))))</f>
        <v>Lift</v>
      </c>
      <c r="BM328" s="48" t="str">
        <f aca="false">IF(A328="","",IF(BV328=1,"Neu; ","")&amp;IF(AND(BV328=0,BQ328&lt;0),"negativer Bestand (Export "&amp;BQ328&amp;"); ","")&amp;IF(J328&lt;=0,"Kein Verbrauch; ","")&amp;IF(CQ328&gt;0,"Lift "&amp;W328&amp;" lt. Liftbericht (Fach "&amp;X328&amp;" Stk); ",IF(CA328=1,"Gebinde geschätzt ("&amp;T328&amp;"); ",IF(BZ328=1,"Lose – Tablare geschätzt; ","")))&amp;IF(H328&gt;AV328,"Überbestand "&amp;ROUND(H328-AV328,0)&amp;" Stk / CHF "&amp;ROUND((H328-AV328)*G328,0)&amp;"; ","")&amp;IF(AND(CH328=1,CI328&lt;CJ328),"MAX &lt; MB+LG; ","")&amp;IF(AND(CP328&gt;0,CO328*10&gt;CP328),"zu hoch für Tablar; ","")&amp;IF(AND(BV328=0,OR(CH328=1,AA328&lt;&gt;"",U328&lt;&gt;"",V328&lt;&gt;"",AB328&lt;&gt;"")),"manuell übersteuert; ","")&amp;IF(AND(BZ328=0,R328=0),"Gebinde unbekannt / Stellmass fehlt; ","")&amp;IF(AND(BZ328=0,N(V328)&lt;=0,N(Q328)&lt;=0),"Menge pro Gebinde fehlt (Ist = 1 Gebinde); ","")&amp;BU328)</f>
        <v/>
      </c>
      <c r="BN328" s="48"/>
      <c r="BO328" s="48"/>
      <c r="BP328" s="55"/>
      <c r="BQ328" s="50" t="n">
        <v>148</v>
      </c>
      <c r="BR328" s="50" t="n">
        <v>135</v>
      </c>
      <c r="BS328" s="49" t="n">
        <v>222</v>
      </c>
      <c r="BT328" s="50" t="n">
        <v>362</v>
      </c>
      <c r="BU328" s="48"/>
      <c r="BV328" s="53" t="n">
        <v>0</v>
      </c>
      <c r="BW328" s="53" t="n">
        <v>328</v>
      </c>
      <c r="BX328" s="48" t="str">
        <f aca="false">IF(U328&lt;&gt;"",UPPER(TRIM(U328)),IF(CA328=1,UPPER(VLOOKUP(T328,Parameter!$I$27:$K$29,2,0)),IF(P328="","LOSE",P328)))</f>
        <v>S22</v>
      </c>
      <c r="BY328" s="50" t="n">
        <f aca="false">IF(BX328="LOSE",1,IF(N(V328)&gt;0,V328,IF(CA328=1,MAX(1,N(VLOOKUP(T328,Parameter!$I$27:$K$29,3,0)),H328,N(N328)),IF(N(Q328)&gt;0,Q328,MAX(1,H328)))))</f>
        <v>121</v>
      </c>
      <c r="BZ328" s="53" t="n">
        <f aca="false">IF(BX328="LOSE",1,0)</f>
        <v>0</v>
      </c>
      <c r="CA328" s="53" t="n">
        <f aca="false">IF(AND(U328="",OR(P328="",P328="LOSE"),T328&lt;&gt;"",N(S328)&lt;=0,ISNUMBER(MATCH(T328,Parameter!$I$27:$I$29,0))),1,0)</f>
        <v>0</v>
      </c>
      <c r="CB328" s="53" t="n">
        <f aca="false">IF(CQ328&gt;0,INDEX(Parameter!$H$5:$H$7,W328)/INDEX(Parameter!$E$5:$E$7,W328),IF(AND(BZ328=0,N(IFERROR(VLOOKUP(BX328,'Gebinde-Kategorie'!$A$5:$N$45,14,0),0))&gt;0),VLOOKUP(BX328,'Gebinde-Kategorie'!$A$5:$N$45,14,0)*10+Parameter!$M$23,Parameter!$M$24))</f>
        <v>155</v>
      </c>
      <c r="CC328" s="48" t="str">
        <f aca="false">IF(AND(Parameter!$B$19="Ja",E328&lt;&gt;"",ISNUMBER(MATCH(E328,Parameter!$I$35:$I$52,0))),VLOOKUP(E328,Parameter!$I$35:$J$52,2,0),IFERROR(VLOOKUP(D328,Parameter!$A$35:$C$64,2,0),"Nein"))</f>
        <v>2+3</v>
      </c>
      <c r="CD328" s="52" t="n">
        <f aca="false">IF(BZ328=0,0,IF(N(S328)&gt;0,S328,IFERROR(VLOOKUP(D328,Parameter!$A$35:$C$64,3,0)+0,0)))</f>
        <v>0</v>
      </c>
      <c r="CE328" s="48" t="n">
        <f aca="false">IF(AA328&lt;&gt;"",AA328,Z328)</f>
        <v>3</v>
      </c>
      <c r="CF328" s="48" t="str">
        <f aca="false">IF(OR(CE328=1,CE328=2,CE328=3),IF(Parameter!$E$27="Ja","LIFT",IF(CE328=1,"L1","L23")),IF(CE328="Aussen","Aussen","-"))</f>
        <v>LIFT</v>
      </c>
      <c r="CG328" s="59" t="n">
        <f aca="false">IF(N(AB328)&gt;0,AB328,0)</f>
        <v>0</v>
      </c>
      <c r="CH328" s="53" t="n">
        <f aca="false">IF(ISNUMBER(AE328),1,0)</f>
        <v>0</v>
      </c>
      <c r="CI328" s="50" t="n">
        <f aca="false">N(AE328)</f>
        <v>0</v>
      </c>
      <c r="CJ328" s="50" t="n">
        <f aca="false">N(M328)+N(N328)</f>
        <v>381</v>
      </c>
      <c r="CK328" s="50" t="n">
        <f aca="false">N(M328)</f>
        <v>21</v>
      </c>
      <c r="CL328" s="50" t="n">
        <f aca="false">N(N328)</f>
        <v>360</v>
      </c>
      <c r="CM328" s="50" t="n">
        <f aca="false">ROUNDUP(H328/BY328,0)</f>
        <v>3</v>
      </c>
      <c r="CN328" s="50" t="n">
        <f aca="false">ROUNDUP(CI328/BY328,0)</f>
        <v>0</v>
      </c>
      <c r="CO328" s="53" t="n">
        <f aca="false">IF(BZ328=1,0,IFERROR(VLOOKUP(BX328,'Gebinde-Kategorie'!$A$5:$N$45,5,0)+0,0))</f>
        <v>8</v>
      </c>
      <c r="CP328" s="53" t="n">
        <f aca="false">IFERROR(IF(OR(CE328=1,CE328=2,CE328=3),N(INDEX(Parameter!$I$5:$I$7,CE328)),0),0)</f>
        <v>0</v>
      </c>
      <c r="CQ328" s="52" t="n">
        <f aca="false">IF(AND(Parameter!$B$21="Ja",ISNUMBER(W328),N(X328)&gt;0),IFERROR(N(INDEX(Parameter!$L$5:$L$7,W328))*INDEX(Parameter!$E$5:$E$7,W328)*X328/SUMIFS($X$7:$X$1843,$W$7:$W$1843,W328),0),0)</f>
        <v>0</v>
      </c>
    </row>
    <row r="329" customFormat="false" ht="15" hidden="false" customHeight="false" outlineLevel="0" collapsed="false">
      <c r="A329" s="48" t="s">
        <v>829</v>
      </c>
      <c r="B329" s="48" t="s">
        <v>376</v>
      </c>
      <c r="C329" s="48" t="s">
        <v>173</v>
      </c>
      <c r="D329" s="48" t="s">
        <v>193</v>
      </c>
      <c r="E329" s="48"/>
      <c r="F329" s="48" t="s">
        <v>227</v>
      </c>
      <c r="G329" s="49" t="n">
        <v>14.67</v>
      </c>
      <c r="H329" s="50" t="n">
        <f aca="false">MAX(0,IF(AND(Parameter!$B$21="Ja",ISNUMBER(Y329)),Y329,IF(Parameter!$B$20="Jahresanfang 2025 + Export",BR329+BQ329,BQ329)))</f>
        <v>15</v>
      </c>
      <c r="I329" s="50" t="n">
        <f aca="false">H329*G329</f>
        <v>220.05</v>
      </c>
      <c r="J329" s="50" t="n">
        <f aca="false">BT329*Parameter!$B$18</f>
        <v>0</v>
      </c>
      <c r="K329" s="51" t="n">
        <v>0</v>
      </c>
      <c r="L329" s="52" t="n">
        <v>0</v>
      </c>
      <c r="M329" s="50" t="n">
        <v>0</v>
      </c>
      <c r="N329" s="50" t="n">
        <v>1</v>
      </c>
      <c r="O329" s="53" t="n">
        <v>9999</v>
      </c>
      <c r="P329" s="48" t="s">
        <v>177</v>
      </c>
      <c r="Q329" s="50"/>
      <c r="R329" s="53" t="n">
        <f aca="false">IF(BZ329=1,0,IFERROR(VLOOKUP(BX329,'Gebinde-Kategorie'!$A$5:$N$45,13,0)+0,0))</f>
        <v>4</v>
      </c>
      <c r="S329" s="54"/>
      <c r="T329" s="55" t="s">
        <v>198</v>
      </c>
      <c r="U329" s="55"/>
      <c r="V329" s="55"/>
      <c r="W329" s="48"/>
      <c r="X329" s="50"/>
      <c r="Y329" s="50"/>
      <c r="Z329" s="48" t="n">
        <f aca="false">IF(A329="","",IF(AND(Parameter!$B$21="Ja",ISNUMBER(W329)),W329,IF(CC329="2+3",IF(ISNUMBER(SEARCH("grosser Artikel",BU329)),2,IFERROR(VLOOKUP(BX329,Parameter!$F$35:$G$64,2,0),2)),IF(OR(CC329="Nein",CC329=""),"-",CC329))))</f>
        <v>2</v>
      </c>
      <c r="AA329" s="55"/>
      <c r="AB329" s="56"/>
      <c r="AC329" s="50" t="n">
        <f aca="false">AV329</f>
        <v>1</v>
      </c>
      <c r="AD329" s="50" t="n">
        <f aca="false">MAX(AV329,H329)</f>
        <v>15</v>
      </c>
      <c r="AE329" s="57"/>
      <c r="AF329" s="50" t="n">
        <f aca="false">IF(LEFT(Cockpit!$C$5,1)="A",H329,IF(Parameter!$E$30="MAX-Bestand",IF(CH329=1,CI329,IF(LEFT(Cockpit!$C$5,1)="B",AL329,MAX(AL329,H329))),ROUNDUP(AJ329,0)))</f>
        <v>15</v>
      </c>
      <c r="AG329" s="50" t="n">
        <f aca="false">IF(BZ329=1,0,ROUNDUP(AF329/BY329,0))</f>
        <v>1</v>
      </c>
      <c r="AH329" s="52" t="n">
        <f aca="false">IF(CQ329&gt;0,CQ329*MAX(1,AF329/X329),IF(BZ329=1,IF(AF329&lt;=0,0,CD329*MAX(1,IF(H329&gt;0,AF329/H329,1))),IF(R329&gt;0,AG329/R329,0))/MAX(0.1,N(Parameter!$M$21)))</f>
        <v>0.25</v>
      </c>
      <c r="AI329" s="50" t="n">
        <f aca="false">AH329*CB329</f>
        <v>58.75</v>
      </c>
      <c r="AJ329" s="51" t="n">
        <f aca="false">IF(LEFT(Cockpit!$C$5,1)="A",H329,IF(CH329=1,(CK329+CI329)/2,IF(LEFT(Cockpit!$C$5,1)="B",(CK329+AL329)/2,MAX((CK329+AL329)/2,H329))))</f>
        <v>15</v>
      </c>
      <c r="AK329" s="50" t="n">
        <f aca="false">AJ329*G329</f>
        <v>220.05</v>
      </c>
      <c r="AL329" s="50" t="n">
        <f aca="false">ROUNDUP(CK329+MAX(CL329,2*(J329/IF(CG329&gt;0,CG329,MAX(0.1,N(Cockpit!$C$6)))-CK329)),0)</f>
        <v>1</v>
      </c>
      <c r="AM329" s="51" t="n">
        <f aca="false">IF(AI329&gt;0,J329/AI329,-1)</f>
        <v>0</v>
      </c>
      <c r="AN329" s="51" t="n">
        <f aca="false">IF(AND(OR(CF329="L1",CF329="L23",CF329="LIFT"),AI329&gt;0),SUMIFS($AI$7:$AI$1843,$CF$7:$CF$1843,CF329,$AM$7:$AM$1843,"&gt;"&amp;AM329)+SUMIFS($AI$7:$AI$1843,$CF$7:$CF$1843,CF329,$AM$7:$AM$1843,AM329,$BW$7:$BW$1843,"&lt;="&amp;BW329),"")</f>
        <v>27975.8454062416</v>
      </c>
      <c r="AO329" s="58" t="n">
        <f aca="false">IF(AN329="",0,MAX(0,MIN(1,(IF(CF329="L1",Parameter!$H$5,IF(CF329="L23",Parameter!$H$6+Parameter!$H$7,Parameter!$H$5+Parameter!$H$6+Parameter!$H$7))-(AN329-AI329))/AI329)))</f>
        <v>1</v>
      </c>
      <c r="AP329" s="50" t="n">
        <f aca="false">IF(LEFT(Cockpit!$I$5,1)="A",H329,IF(Parameter!$E$30="MAX-Bestand",IF(CH329=1,CI329,IF(LEFT(Cockpit!$I$5,1)="B",AV329,MAX(AV329,H329))),ROUNDUP(AT329,0)))</f>
        <v>15</v>
      </c>
      <c r="AQ329" s="50" t="n">
        <f aca="false">IF(BZ329=1,0,ROUNDUP(AP329/BY329,0))</f>
        <v>1</v>
      </c>
      <c r="AR329" s="52" t="n">
        <f aca="false">IF(CQ329&gt;0,CQ329*MAX(1,AP329/X329),IF(BZ329=1,IF(AP329&lt;=0,0,CD329*MAX(1,IF(H329&gt;0,AP329/H329,1))),IF(R329&gt;0,AQ329/R329,0))/MAX(0.1,N(Parameter!$M$21)))</f>
        <v>0.25</v>
      </c>
      <c r="AS329" s="50" t="n">
        <f aca="false">AR329*CB329</f>
        <v>58.75</v>
      </c>
      <c r="AT329" s="51" t="n">
        <f aca="false">IF(LEFT(Cockpit!$I$5,1)="A",H329,IF(CH329=1,(CK329+CI329)/2,IF(LEFT(Cockpit!$I$5,1)="B",(CK329+AV329)/2,MAX((CK329+AV329)/2,H329))))</f>
        <v>15</v>
      </c>
      <c r="AU329" s="50" t="n">
        <f aca="false">AT329*G329</f>
        <v>220.05</v>
      </c>
      <c r="AV329" s="50" t="n">
        <f aca="false">ROUNDUP(CK329+MAX(CL329,2*(J329/IF(CG329&gt;0,CG329,MAX(0.1,N(Cockpit!$I$6)))-CK329)),0)</f>
        <v>1</v>
      </c>
      <c r="AW329" s="51" t="n">
        <f aca="false">IF(AS329&gt;0,J329/AS329,-1)</f>
        <v>0</v>
      </c>
      <c r="AX329" s="51" t="n">
        <f aca="false">IF(AND(OR(CF329="L1",CF329="L23",CF329="LIFT"),AS329&gt;0),SUMIFS($AS$7:$AS$1843,$CF$7:$CF$1843,CF329,$AW$7:$AW$1843,"&gt;"&amp;AW329)+SUMIFS($AS$7:$AS$1843,$CF$7:$CF$1843,CF329,$AW$7:$AW$1843,AW329,$BW$7:$BW$1843,"&lt;="&amp;BW329),"")</f>
        <v>33328.994047619</v>
      </c>
      <c r="AY329" s="58" t="n">
        <f aca="false">IF(AX329="",0,MAX(0,MIN(1,(IF(CF329="L1",Parameter!$H$5,IF(CF329="L23",Parameter!$H$6+Parameter!$H$7,Parameter!$H$5+Parameter!$H$6+Parameter!$H$7))-(AX329-AS329))/AS329)))</f>
        <v>1</v>
      </c>
      <c r="AZ329" s="50" t="n">
        <f aca="false">IF(LEFT(Cockpit!$O$5,1)="A",H329,IF(Parameter!$E$30="MAX-Bestand",IF(CH329=1,CI329,IF(LEFT(Cockpit!$O$5,1)="B",BF329,MAX(BF329,H329))),ROUNDUP(BD329,0)))</f>
        <v>1</v>
      </c>
      <c r="BA329" s="50" t="n">
        <f aca="false">IF(BZ329=1,0,ROUNDUP(AZ329/BY329,0))</f>
        <v>1</v>
      </c>
      <c r="BB329" s="52" t="n">
        <f aca="false">IF(CQ329&gt;0,CQ329*MAX(1,AZ329/X329),IF(BZ329=1,IF(AZ329&lt;=0,0,CD329*MAX(1,IF(H329&gt;0,AZ329/H329,1))),IF(R329&gt;0,BA329/R329,0))/MAX(0.1,N(Parameter!$M$21)))</f>
        <v>0.25</v>
      </c>
      <c r="BC329" s="50" t="n">
        <f aca="false">BB329*CB329</f>
        <v>58.75</v>
      </c>
      <c r="BD329" s="51" t="n">
        <f aca="false">IF(LEFT(Cockpit!$O$5,1)="A",H329,IF(CH329=1,(CK329+CI329)/2,IF(LEFT(Cockpit!$O$5,1)="B",(CK329+BF329)/2,MAX((CK329+BF329)/2,H329))))</f>
        <v>0.5</v>
      </c>
      <c r="BE329" s="50" t="n">
        <f aca="false">BD329*G329</f>
        <v>7.335</v>
      </c>
      <c r="BF329" s="50" t="n">
        <f aca="false">ROUNDUP(CK329+MAX(CL329,2*(J329/IF(CG329&gt;0,CG329,MAX(0.1,N(Cockpit!$O$6)))-CK329)),0)</f>
        <v>1</v>
      </c>
      <c r="BG329" s="51" t="n">
        <f aca="false">IF(BC329&gt;0,J329/BC329,-1)</f>
        <v>0</v>
      </c>
      <c r="BH329" s="51" t="n">
        <f aca="false">IF(AND(OR(CF329="L1",CF329="L23",CF329="LIFT"),BC329&gt;0),SUMIFS($BC$7:$BC$1843,$CF$7:$CF$1843,CF329,$BG$7:$BG$1843,"&gt;"&amp;BG329)+SUMIFS($BC$7:$BC$1843,$CF$7:$CF$1843,CF329,$BG$7:$BG$1843,BG329,$BW$7:$BW$1843,"&lt;="&amp;BW329),"")</f>
        <v>27454.4540960452</v>
      </c>
      <c r="BI329" s="58" t="n">
        <f aca="false">IF(BH329="",0,MAX(0,MIN(1,(IF(CF329="L1",Parameter!$H$5,IF(CF329="L23",Parameter!$H$6+Parameter!$H$7,Parameter!$H$5+Parameter!$H$6+Parameter!$H$7))-(BH329-BC329))/BC329)))</f>
        <v>1</v>
      </c>
      <c r="BJ329" s="48" t="str">
        <f aca="false">IF(AI329&lt;=0,"",IF(CF329="Aussen","Aussenlager",IF(CF329="-","Nicht im Lift",IF(AO329&gt;=1,"Lift",IF(AO329&lt;=0,"Aussenlager","teilweise")))))</f>
        <v>Lift</v>
      </c>
      <c r="BK329" s="48" t="str">
        <f aca="false">IF(AS329&lt;=0,"",IF(CF329="Aussen","Aussenlager",IF(CF329="-","Nicht im Lift",IF(AY329&gt;=1,"Lift",IF(AY329&lt;=0,"Aussenlager","teilweise")))))</f>
        <v>Lift</v>
      </c>
      <c r="BL329" s="48" t="str">
        <f aca="false">IF(BC329&lt;=0,"",IF(CF329="Aussen","Aussenlager",IF(CF329="-","Nicht im Lift",IF(BI329&gt;=1,"Lift",IF(BI329&lt;=0,"Aussenlager","teilweise")))))</f>
        <v>Lift</v>
      </c>
      <c r="BM329" s="48" t="str">
        <f aca="false">IF(A329="","",IF(BV329=1,"Neu; ","")&amp;IF(AND(BV329=0,BQ329&lt;0),"negativer Bestand (Export "&amp;BQ329&amp;"); ","")&amp;IF(J329&lt;=0,"Kein Verbrauch; ","")&amp;IF(CQ329&gt;0,"Lift "&amp;W329&amp;" lt. Liftbericht (Fach "&amp;X329&amp;" Stk); ",IF(CA329=1,"Gebinde geschätzt ("&amp;T329&amp;"); ",IF(BZ329=1,"Lose – Tablare geschätzt; ","")))&amp;IF(H329&gt;AV329,"Überbestand "&amp;ROUND(H329-AV329,0)&amp;" Stk / CHF "&amp;ROUND((H329-AV329)*G329,0)&amp;"; ","")&amp;IF(AND(CH329=1,CI329&lt;CJ329),"MAX &lt; MB+LG; ","")&amp;IF(AND(CP329&gt;0,CO329*10&gt;CP329),"zu hoch für Tablar; ","")&amp;IF(AND(BV329=0,OR(CH329=1,AA329&lt;&gt;"",U329&lt;&gt;"",V329&lt;&gt;"",AB329&lt;&gt;"")),"manuell übersteuert; ","")&amp;IF(AND(BZ329=0,R329=0),"Gebinde unbekannt / Stellmass fehlt; ","")&amp;IF(AND(BZ329=0,N(V329)&lt;=0,N(Q329)&lt;=0),"Menge pro Gebinde fehlt (Ist = 1 Gebinde); ","")&amp;BU329)</f>
        <v>Kein Verbrauch; Gebinde geschätzt (Gross); Überbestand 14 Stk / CHF 205; Menge pro Gebinde fehlt (Ist = 1 Gebinde); </v>
      </c>
      <c r="BN329" s="48"/>
      <c r="BO329" s="48"/>
      <c r="BP329" s="55"/>
      <c r="BQ329" s="50" t="n">
        <v>15</v>
      </c>
      <c r="BR329" s="50" t="n">
        <v>0</v>
      </c>
      <c r="BS329" s="49" t="n">
        <v>220.05</v>
      </c>
      <c r="BT329" s="50" t="n">
        <v>0</v>
      </c>
      <c r="BU329" s="48"/>
      <c r="BV329" s="53" t="n">
        <v>0</v>
      </c>
      <c r="BW329" s="53" t="n">
        <v>329</v>
      </c>
      <c r="BX329" s="48" t="str">
        <f aca="false">IF(U329&lt;&gt;"",UPPER(TRIM(U329)),IF(CA329=1,UPPER(VLOOKUP(T329,Parameter!$I$27:$K$29,2,0)),IF(P329="","LOSE",P329)))</f>
        <v>S81</v>
      </c>
      <c r="BY329" s="50" t="n">
        <f aca="false">IF(BX329="LOSE",1,IF(N(V329)&gt;0,V329,IF(CA329=1,MAX(1,N(VLOOKUP(T329,Parameter!$I$27:$K$29,3,0)),H329,N(N329)),IF(N(Q329)&gt;0,Q329,MAX(1,H329)))))</f>
        <v>15</v>
      </c>
      <c r="BZ329" s="53" t="n">
        <f aca="false">IF(BX329="LOSE",1,0)</f>
        <v>0</v>
      </c>
      <c r="CA329" s="53" t="n">
        <f aca="false">IF(AND(U329="",OR(P329="",P329="LOSE"),T329&lt;&gt;"",N(S329)&lt;=0,ISNUMBER(MATCH(T329,Parameter!$I$27:$I$29,0))),1,0)</f>
        <v>1</v>
      </c>
      <c r="CB329" s="53" t="n">
        <f aca="false">IF(CQ329&gt;0,INDEX(Parameter!$H$5:$H$7,W329)/INDEX(Parameter!$E$5:$E$7,W329),IF(AND(BZ329=0,N(IFERROR(VLOOKUP(BX329,'Gebinde-Kategorie'!$A$5:$N$45,14,0),0))&gt;0),VLOOKUP(BX329,'Gebinde-Kategorie'!$A$5:$N$45,14,0)*10+Parameter!$M$23,Parameter!$M$24))</f>
        <v>235</v>
      </c>
      <c r="CC329" s="48" t="str">
        <f aca="false">IF(AND(Parameter!$B$19="Ja",E329&lt;&gt;"",ISNUMBER(MATCH(E329,Parameter!$I$35:$I$52,0))),VLOOKUP(E329,Parameter!$I$35:$J$52,2,0),IFERROR(VLOOKUP(D329,Parameter!$A$35:$C$64,2,0),"Nein"))</f>
        <v>2+3</v>
      </c>
      <c r="CD329" s="52" t="n">
        <f aca="false">IF(BZ329=0,0,IF(N(S329)&gt;0,S329,IFERROR(VLOOKUP(D329,Parameter!$A$35:$C$64,3,0)+0,0)))</f>
        <v>0</v>
      </c>
      <c r="CE329" s="48" t="n">
        <f aca="false">IF(AA329&lt;&gt;"",AA329,Z329)</f>
        <v>2</v>
      </c>
      <c r="CF329" s="48" t="str">
        <f aca="false">IF(OR(CE329=1,CE329=2,CE329=3),IF(Parameter!$E$27="Ja","LIFT",IF(CE329=1,"L1","L23")),IF(CE329="Aussen","Aussen","-"))</f>
        <v>LIFT</v>
      </c>
      <c r="CG329" s="59" t="n">
        <f aca="false">IF(N(AB329)&gt;0,AB329,0)</f>
        <v>0</v>
      </c>
      <c r="CH329" s="53" t="n">
        <f aca="false">IF(ISNUMBER(AE329),1,0)</f>
        <v>0</v>
      </c>
      <c r="CI329" s="50" t="n">
        <f aca="false">N(AE329)</f>
        <v>0</v>
      </c>
      <c r="CJ329" s="50" t="n">
        <f aca="false">N(M329)+N(N329)</f>
        <v>1</v>
      </c>
      <c r="CK329" s="50" t="n">
        <f aca="false">N(M329)</f>
        <v>0</v>
      </c>
      <c r="CL329" s="50" t="n">
        <f aca="false">N(N329)</f>
        <v>1</v>
      </c>
      <c r="CM329" s="50" t="n">
        <f aca="false">ROUNDUP(H329/BY329,0)</f>
        <v>1</v>
      </c>
      <c r="CN329" s="50" t="n">
        <f aca="false">ROUNDUP(CI329/BY329,0)</f>
        <v>0</v>
      </c>
      <c r="CO329" s="53" t="n">
        <f aca="false">IF(BZ329=1,0,IFERROR(VLOOKUP(BX329,'Gebinde-Kategorie'!$A$5:$N$45,5,0)+0,0))</f>
        <v>20</v>
      </c>
      <c r="CP329" s="53" t="n">
        <f aca="false">IFERROR(IF(OR(CE329=1,CE329=2,CE329=3),N(INDEX(Parameter!$I$5:$I$7,CE329)),0),0)</f>
        <v>0</v>
      </c>
      <c r="CQ329" s="52" t="n">
        <f aca="false">IF(AND(Parameter!$B$21="Ja",ISNUMBER(W329),N(X329)&gt;0),IFERROR(N(INDEX(Parameter!$L$5:$L$7,W329))*INDEX(Parameter!$E$5:$E$7,W329)*X329/SUMIFS($X$7:$X$1843,$W$7:$W$1843,W329),0),0)</f>
        <v>0</v>
      </c>
    </row>
    <row r="330" customFormat="false" ht="15" hidden="false" customHeight="false" outlineLevel="0" collapsed="false">
      <c r="A330" s="48" t="s">
        <v>830</v>
      </c>
      <c r="B330" s="48" t="s">
        <v>831</v>
      </c>
      <c r="C330" s="48" t="s">
        <v>173</v>
      </c>
      <c r="D330" s="48" t="s">
        <v>182</v>
      </c>
      <c r="E330" s="48" t="s">
        <v>194</v>
      </c>
      <c r="F330" s="48" t="s">
        <v>227</v>
      </c>
      <c r="G330" s="49" t="n">
        <v>9.51</v>
      </c>
      <c r="H330" s="50" t="n">
        <f aca="false">MAX(0,IF(AND(Parameter!$B$21="Ja",ISNUMBER(Y330)),Y330,IF(Parameter!$B$20="Jahresanfang 2025 + Export",BR330+BQ330,BQ330)))</f>
        <v>52</v>
      </c>
      <c r="I330" s="50" t="n">
        <f aca="false">H330*G330</f>
        <v>494.52</v>
      </c>
      <c r="J330" s="50" t="n">
        <f aca="false">BT330*Parameter!$B$18</f>
        <v>142</v>
      </c>
      <c r="K330" s="51" t="n">
        <v>36</v>
      </c>
      <c r="L330" s="52" t="n">
        <v>3.94444444444445</v>
      </c>
      <c r="M330" s="50" t="n">
        <v>5</v>
      </c>
      <c r="N330" s="50" t="n">
        <v>30</v>
      </c>
      <c r="O330" s="53" t="n">
        <v>14</v>
      </c>
      <c r="P330" s="48" t="s">
        <v>235</v>
      </c>
      <c r="Q330" s="50" t="n">
        <v>171</v>
      </c>
      <c r="R330" s="53" t="n">
        <f aca="false">IF(BZ330=1,0,IFERROR(VLOOKUP(BX330,'Gebinde-Kategorie'!$A$5:$N$45,13,0)+0,0))</f>
        <v>12</v>
      </c>
      <c r="S330" s="54"/>
      <c r="T330" s="55"/>
      <c r="U330" s="55"/>
      <c r="V330" s="55"/>
      <c r="W330" s="48"/>
      <c r="X330" s="50"/>
      <c r="Y330" s="50"/>
      <c r="Z330" s="48" t="n">
        <f aca="false">IF(A330="","",IF(AND(Parameter!$B$21="Ja",ISNUMBER(W330)),W330,IF(CC330="2+3",IF(ISNUMBER(SEARCH("grosser Artikel",BU330)),2,IFERROR(VLOOKUP(BX330,Parameter!$F$35:$G$64,2,0),2)),IF(OR(CC330="Nein",CC330=""),"-",CC330))))</f>
        <v>2</v>
      </c>
      <c r="AA330" s="55"/>
      <c r="AB330" s="56"/>
      <c r="AC330" s="50" t="n">
        <f aca="false">AV330</f>
        <v>90</v>
      </c>
      <c r="AD330" s="50" t="n">
        <f aca="false">MAX(AV330,H330)</f>
        <v>90</v>
      </c>
      <c r="AE330" s="57"/>
      <c r="AF330" s="50" t="n">
        <f aca="false">IF(LEFT(Cockpit!$C$5,1)="A",H330,IF(Parameter!$E$30="MAX-Bestand",IF(CH330=1,CI330,IF(LEFT(Cockpit!$C$5,1)="B",AL330,MAX(AL330,H330))),ROUNDUP(AJ330,0)))</f>
        <v>52</v>
      </c>
      <c r="AG330" s="50" t="n">
        <f aca="false">IF(BZ330=1,0,ROUNDUP(AF330/BY330,0))</f>
        <v>1</v>
      </c>
      <c r="AH330" s="52" t="n">
        <f aca="false">IF(CQ330&gt;0,CQ330*MAX(1,AF330/X330),IF(BZ330=1,IF(AF330&lt;=0,0,CD330*MAX(1,IF(H330&gt;0,AF330/H330,1))),IF(R330&gt;0,AG330/R330,0))/MAX(0.1,N(Parameter!$M$21)))</f>
        <v>0.0833333333333333</v>
      </c>
      <c r="AI330" s="50" t="n">
        <f aca="false">AH330*CB330</f>
        <v>28.75</v>
      </c>
      <c r="AJ330" s="51" t="n">
        <f aca="false">IF(LEFT(Cockpit!$C$5,1)="A",H330,IF(CH330=1,(CK330+CI330)/2,IF(LEFT(Cockpit!$C$5,1)="B",(CK330+AL330)/2,MAX((CK330+AL330)/2,H330))))</f>
        <v>52</v>
      </c>
      <c r="AK330" s="50" t="n">
        <f aca="false">AJ330*G330</f>
        <v>494.52</v>
      </c>
      <c r="AL330" s="50" t="n">
        <f aca="false">ROUNDUP(CK330+MAX(CL330,2*(J330/IF(CG330&gt;0,CG330,MAX(0.1,N(Cockpit!$C$6)))-CK330)),0)</f>
        <v>90</v>
      </c>
      <c r="AM330" s="51" t="n">
        <f aca="false">IF(AI330&gt;0,J330/AI330,-1)</f>
        <v>4.93913043478261</v>
      </c>
      <c r="AN330" s="51" t="n">
        <f aca="false">IF(AND(OR(CF330="L1",CF330="L23",CF330="LIFT"),AI330&gt;0),SUMIFS($AI$7:$AI$1843,$CF$7:$CF$1843,CF330,$AM$7:$AM$1843,"&gt;"&amp;AM330)+SUMIFS($AI$7:$AI$1843,$CF$7:$CF$1843,CF330,$AM$7:$AM$1843,AM330,$BW$7:$BW$1843,"&lt;="&amp;BW330),"")</f>
        <v>3992.96657509158</v>
      </c>
      <c r="AO330" s="58" t="n">
        <f aca="false">IF(AN330="",0,MAX(0,MIN(1,(IF(CF330="L1",Parameter!$H$5,IF(CF330="L23",Parameter!$H$6+Parameter!$H$7,Parameter!$H$5+Parameter!$H$6+Parameter!$H$7))-(AN330-AI330))/AI330)))</f>
        <v>1</v>
      </c>
      <c r="AP330" s="50" t="n">
        <f aca="false">IF(LEFT(Cockpit!$I$5,1)="A",H330,IF(Parameter!$E$30="MAX-Bestand",IF(CH330=1,CI330,IF(LEFT(Cockpit!$I$5,1)="B",AV330,MAX(AV330,H330))),ROUNDUP(AT330,0)))</f>
        <v>52</v>
      </c>
      <c r="AQ330" s="50" t="n">
        <f aca="false">IF(BZ330=1,0,ROUNDUP(AP330/BY330,0))</f>
        <v>1</v>
      </c>
      <c r="AR330" s="52" t="n">
        <f aca="false">IF(CQ330&gt;0,CQ330*MAX(1,AP330/X330),IF(BZ330=1,IF(AP330&lt;=0,0,CD330*MAX(1,IF(H330&gt;0,AP330/H330,1))),IF(R330&gt;0,AQ330/R330,0))/MAX(0.1,N(Parameter!$M$21)))</f>
        <v>0.0833333333333333</v>
      </c>
      <c r="AS330" s="50" t="n">
        <f aca="false">AR330*CB330</f>
        <v>28.75</v>
      </c>
      <c r="AT330" s="51" t="n">
        <f aca="false">IF(LEFT(Cockpit!$I$5,1)="A",H330,IF(CH330=1,(CK330+CI330)/2,IF(LEFT(Cockpit!$I$5,1)="B",(CK330+AV330)/2,MAX((CK330+AV330)/2,H330))))</f>
        <v>52</v>
      </c>
      <c r="AU330" s="50" t="n">
        <f aca="false">AT330*G330</f>
        <v>494.52</v>
      </c>
      <c r="AV330" s="50" t="n">
        <f aca="false">ROUNDUP(CK330+MAX(CL330,2*(J330/IF(CG330&gt;0,CG330,MAX(0.1,N(Cockpit!$I$6)))-CK330)),0)</f>
        <v>90</v>
      </c>
      <c r="AW330" s="51" t="n">
        <f aca="false">IF(AS330&gt;0,J330/AS330,-1)</f>
        <v>4.93913043478261</v>
      </c>
      <c r="AX330" s="51" t="n">
        <f aca="false">IF(AND(OR(CF330="L1",CF330="L23",CF330="LIFT"),AS330&gt;0),SUMIFS($AS$7:$AS$1843,$CF$7:$CF$1843,CF330,$AW$7:$AW$1843,"&gt;"&amp;AW330)+SUMIFS($AS$7:$AS$1843,$CF$7:$CF$1843,CF330,$AW$7:$AW$1843,AW330,$BW$7:$BW$1843,"&lt;="&amp;BW330),"")</f>
        <v>4589.20741758242</v>
      </c>
      <c r="AY330" s="58" t="n">
        <f aca="false">IF(AX330="",0,MAX(0,MIN(1,(IF(CF330="L1",Parameter!$H$5,IF(CF330="L23",Parameter!$H$6+Parameter!$H$7,Parameter!$H$5+Parameter!$H$6+Parameter!$H$7))-(AX330-AS330))/AS330)))</f>
        <v>1</v>
      </c>
      <c r="AZ330" s="50" t="n">
        <f aca="false">IF(LEFT(Cockpit!$O$5,1)="A",H330,IF(Parameter!$E$30="MAX-Bestand",IF(CH330=1,CI330,IF(LEFT(Cockpit!$O$5,1)="B",BF330,MAX(BF330,H330))),ROUNDUP(BD330,0)))</f>
        <v>36</v>
      </c>
      <c r="BA330" s="50" t="n">
        <f aca="false">IF(BZ330=1,0,ROUNDUP(AZ330/BY330,0))</f>
        <v>1</v>
      </c>
      <c r="BB330" s="52" t="n">
        <f aca="false">IF(CQ330&gt;0,CQ330*MAX(1,AZ330/X330),IF(BZ330=1,IF(AZ330&lt;=0,0,CD330*MAX(1,IF(H330&gt;0,AZ330/H330,1))),IF(R330&gt;0,BA330/R330,0))/MAX(0.1,N(Parameter!$M$21)))</f>
        <v>0.0833333333333333</v>
      </c>
      <c r="BC330" s="50" t="n">
        <f aca="false">BB330*CB330</f>
        <v>28.75</v>
      </c>
      <c r="BD330" s="51" t="n">
        <f aca="false">IF(LEFT(Cockpit!$O$5,1)="A",H330,IF(CH330=1,(CK330+CI330)/2,IF(LEFT(Cockpit!$O$5,1)="B",(CK330+BF330)/2,MAX((CK330+BF330)/2,H330))))</f>
        <v>35.5</v>
      </c>
      <c r="BE330" s="50" t="n">
        <f aca="false">BD330*G330</f>
        <v>337.605</v>
      </c>
      <c r="BF330" s="50" t="n">
        <f aca="false">ROUNDUP(CK330+MAX(CL330,2*(J330/IF(CG330&gt;0,CG330,MAX(0.1,N(Cockpit!$O$6)))-CK330)),0)</f>
        <v>66</v>
      </c>
      <c r="BG330" s="51" t="n">
        <f aca="false">IF(BC330&gt;0,J330/BC330,-1)</f>
        <v>4.93913043478261</v>
      </c>
      <c r="BH330" s="51" t="n">
        <f aca="false">IF(AND(OR(CF330="L1",CF330="L23",CF330="LIFT"),BC330&gt;0),SUMIFS($BC$7:$BC$1843,$CF$7:$CF$1843,CF330,$BG$7:$BG$1843,"&gt;"&amp;BG330)+SUMIFS($BC$7:$BC$1843,$CF$7:$CF$1843,CF330,$BG$7:$BG$1843,BG330,$BW$7:$BW$1843,"&lt;="&amp;BW330),"")</f>
        <v>3809.00549450549</v>
      </c>
      <c r="BI330" s="58" t="n">
        <f aca="false">IF(BH330="",0,MAX(0,MIN(1,(IF(CF330="L1",Parameter!$H$5,IF(CF330="L23",Parameter!$H$6+Parameter!$H$7,Parameter!$H$5+Parameter!$H$6+Parameter!$H$7))-(BH330-BC330))/BC330)))</f>
        <v>1</v>
      </c>
      <c r="BJ330" s="48" t="str">
        <f aca="false">IF(AI330&lt;=0,"",IF(CF330="Aussen","Aussenlager",IF(CF330="-","Nicht im Lift",IF(AO330&gt;=1,"Lift",IF(AO330&lt;=0,"Aussenlager","teilweise")))))</f>
        <v>Lift</v>
      </c>
      <c r="BK330" s="48" t="str">
        <f aca="false">IF(AS330&lt;=0,"",IF(CF330="Aussen","Aussenlager",IF(CF330="-","Nicht im Lift",IF(AY330&gt;=1,"Lift",IF(AY330&lt;=0,"Aussenlager","teilweise")))))</f>
        <v>Lift</v>
      </c>
      <c r="BL330" s="48" t="str">
        <f aca="false">IF(BC330&lt;=0,"",IF(CF330="Aussen","Aussenlager",IF(CF330="-","Nicht im Lift",IF(BI330&gt;=1,"Lift",IF(BI330&lt;=0,"Aussenlager","teilweise")))))</f>
        <v>Lift</v>
      </c>
      <c r="BM330" s="48" t="str">
        <f aca="false">IF(A330="","",IF(BV330=1,"Neu; ","")&amp;IF(AND(BV330=0,BQ330&lt;0),"negativer Bestand (Export "&amp;BQ330&amp;"); ","")&amp;IF(J330&lt;=0,"Kein Verbrauch; ","")&amp;IF(CQ330&gt;0,"Lift "&amp;W330&amp;" lt. Liftbericht (Fach "&amp;X330&amp;" Stk); ",IF(CA330=1,"Gebinde geschätzt ("&amp;T330&amp;"); ",IF(BZ330=1,"Lose – Tablare geschätzt; ","")))&amp;IF(H330&gt;AV330,"Überbestand "&amp;ROUND(H330-AV330,0)&amp;" Stk / CHF "&amp;ROUND((H330-AV330)*G330,0)&amp;"; ","")&amp;IF(AND(CH330=1,CI330&lt;CJ330),"MAX &lt; MB+LG; ","")&amp;IF(AND(CP330&gt;0,CO330*10&gt;CP330),"zu hoch für Tablar; ","")&amp;IF(AND(BV330=0,OR(CH330=1,AA330&lt;&gt;"",U330&lt;&gt;"",V330&lt;&gt;"",AB330&lt;&gt;"")),"manuell übersteuert; ","")&amp;IF(AND(BZ330=0,R330=0),"Gebinde unbekannt / Stellmass fehlt; ","")&amp;IF(AND(BZ330=0,N(V330)&lt;=0,N(Q330)&lt;=0),"Menge pro Gebinde fehlt (Ist = 1 Gebinde); ","")&amp;BU330)</f>
        <v/>
      </c>
      <c r="BN330" s="48"/>
      <c r="BO330" s="48"/>
      <c r="BP330" s="55"/>
      <c r="BQ330" s="50" t="n">
        <v>22</v>
      </c>
      <c r="BR330" s="50" t="n">
        <v>30</v>
      </c>
      <c r="BS330" s="49" t="n">
        <v>217.62</v>
      </c>
      <c r="BT330" s="50" t="n">
        <v>142</v>
      </c>
      <c r="BU330" s="48"/>
      <c r="BV330" s="53" t="n">
        <v>0</v>
      </c>
      <c r="BW330" s="53" t="n">
        <v>330</v>
      </c>
      <c r="BX330" s="48" t="str">
        <f aca="false">IF(U330&lt;&gt;"",UPPER(TRIM(U330)),IF(CA330=1,UPPER(VLOOKUP(T330,Parameter!$I$27:$K$29,2,0)),IF(P330="","LOSE",P330)))</f>
        <v>S63</v>
      </c>
      <c r="BY330" s="50" t="n">
        <f aca="false">IF(BX330="LOSE",1,IF(N(V330)&gt;0,V330,IF(CA330=1,MAX(1,N(VLOOKUP(T330,Parameter!$I$27:$K$29,3,0)),H330,N(N330)),IF(N(Q330)&gt;0,Q330,MAX(1,H330)))))</f>
        <v>171</v>
      </c>
      <c r="BZ330" s="53" t="n">
        <f aca="false">IF(BX330="LOSE",1,0)</f>
        <v>0</v>
      </c>
      <c r="CA330" s="53" t="n">
        <f aca="false">IF(AND(U330="",OR(P330="",P330="LOSE"),T330&lt;&gt;"",N(S330)&lt;=0,ISNUMBER(MATCH(T330,Parameter!$I$27:$I$29,0))),1,0)</f>
        <v>0</v>
      </c>
      <c r="CB330" s="53" t="n">
        <f aca="false">IF(CQ330&gt;0,INDEX(Parameter!$H$5:$H$7,W330)/INDEX(Parameter!$E$5:$E$7,W330),IF(AND(BZ330=0,N(IFERROR(VLOOKUP(BX330,'Gebinde-Kategorie'!$A$5:$N$45,14,0),0))&gt;0),VLOOKUP(BX330,'Gebinde-Kategorie'!$A$5:$N$45,14,0)*10+Parameter!$M$23,Parameter!$M$24))</f>
        <v>345</v>
      </c>
      <c r="CC330" s="48" t="str">
        <f aca="false">IF(AND(Parameter!$B$19="Ja",E330&lt;&gt;"",ISNUMBER(MATCH(E330,Parameter!$I$35:$I$52,0))),VLOOKUP(E330,Parameter!$I$35:$J$52,2,0),IFERROR(VLOOKUP(D330,Parameter!$A$35:$C$64,2,0),"Nein"))</f>
        <v>2+3</v>
      </c>
      <c r="CD330" s="52" t="n">
        <f aca="false">IF(BZ330=0,0,IF(N(S330)&gt;0,S330,IFERROR(VLOOKUP(D330,Parameter!$A$35:$C$64,3,0)+0,0)))</f>
        <v>0</v>
      </c>
      <c r="CE330" s="48" t="n">
        <f aca="false">IF(AA330&lt;&gt;"",AA330,Z330)</f>
        <v>2</v>
      </c>
      <c r="CF330" s="48" t="str">
        <f aca="false">IF(OR(CE330=1,CE330=2,CE330=3),IF(Parameter!$E$27="Ja","LIFT",IF(CE330=1,"L1","L23")),IF(CE330="Aussen","Aussen","-"))</f>
        <v>LIFT</v>
      </c>
      <c r="CG330" s="59" t="n">
        <f aca="false">IF(N(AB330)&gt;0,AB330,0)</f>
        <v>0</v>
      </c>
      <c r="CH330" s="53" t="n">
        <f aca="false">IF(ISNUMBER(AE330),1,0)</f>
        <v>0</v>
      </c>
      <c r="CI330" s="50" t="n">
        <f aca="false">N(AE330)</f>
        <v>0</v>
      </c>
      <c r="CJ330" s="50" t="n">
        <f aca="false">N(M330)+N(N330)</f>
        <v>35</v>
      </c>
      <c r="CK330" s="50" t="n">
        <f aca="false">N(M330)</f>
        <v>5</v>
      </c>
      <c r="CL330" s="50" t="n">
        <f aca="false">N(N330)</f>
        <v>30</v>
      </c>
      <c r="CM330" s="50" t="n">
        <f aca="false">ROUNDUP(H330/BY330,0)</f>
        <v>1</v>
      </c>
      <c r="CN330" s="50" t="n">
        <f aca="false">ROUNDUP(CI330/BY330,0)</f>
        <v>0</v>
      </c>
      <c r="CO330" s="53" t="n">
        <f aca="false">IF(BZ330=1,0,IFERROR(VLOOKUP(BX330,'Gebinde-Kategorie'!$A$5:$N$45,5,0)+0,0))</f>
        <v>31</v>
      </c>
      <c r="CP330" s="53" t="n">
        <f aca="false">IFERROR(IF(OR(CE330=1,CE330=2,CE330=3),N(INDEX(Parameter!$I$5:$I$7,CE330)),0),0)</f>
        <v>0</v>
      </c>
      <c r="CQ330" s="52" t="n">
        <f aca="false">IF(AND(Parameter!$B$21="Ja",ISNUMBER(W330),N(X330)&gt;0),IFERROR(N(INDEX(Parameter!$L$5:$L$7,W330))*INDEX(Parameter!$E$5:$E$7,W330)*X330/SUMIFS($X$7:$X$1843,$W$7:$W$1843,W330),0),0)</f>
        <v>0</v>
      </c>
    </row>
    <row r="331" customFormat="false" ht="15" hidden="false" customHeight="false" outlineLevel="0" collapsed="false">
      <c r="A331" s="48" t="s">
        <v>832</v>
      </c>
      <c r="B331" s="48" t="s">
        <v>833</v>
      </c>
      <c r="C331" s="48" t="s">
        <v>173</v>
      </c>
      <c r="D331" s="48" t="s">
        <v>193</v>
      </c>
      <c r="E331" s="48"/>
      <c r="F331" s="48" t="s">
        <v>227</v>
      </c>
      <c r="G331" s="49" t="n">
        <v>0.5</v>
      </c>
      <c r="H331" s="50" t="n">
        <f aca="false">MAX(0,IF(AND(Parameter!$B$21="Ja",ISNUMBER(Y331)),Y331,IF(Parameter!$B$20="Jahresanfang 2025 + Export",BR331+BQ331,BQ331)))</f>
        <v>497</v>
      </c>
      <c r="I331" s="50" t="n">
        <f aca="false">H331*G331</f>
        <v>248.5</v>
      </c>
      <c r="J331" s="50" t="n">
        <f aca="false">BT331*Parameter!$B$18</f>
        <v>0</v>
      </c>
      <c r="K331" s="51" t="n">
        <v>345.5</v>
      </c>
      <c r="L331" s="52" t="n">
        <v>0</v>
      </c>
      <c r="M331" s="50" t="n">
        <v>9</v>
      </c>
      <c r="N331" s="50" t="n">
        <v>250</v>
      </c>
      <c r="O331" s="53" t="n">
        <v>14</v>
      </c>
      <c r="P331" s="48" t="s">
        <v>430</v>
      </c>
      <c r="Q331" s="50" t="n">
        <v>600</v>
      </c>
      <c r="R331" s="53" t="n">
        <f aca="false">IF(BZ331=1,0,IFERROR(VLOOKUP(BX331,'Gebinde-Kategorie'!$A$5:$N$45,13,0)+0,0))</f>
        <v>104</v>
      </c>
      <c r="S331" s="54"/>
      <c r="T331" s="55"/>
      <c r="U331" s="55"/>
      <c r="V331" s="55"/>
      <c r="W331" s="48"/>
      <c r="X331" s="50"/>
      <c r="Y331" s="50"/>
      <c r="Z331" s="48" t="n">
        <f aca="false">IF(A331="","",IF(AND(Parameter!$B$21="Ja",ISNUMBER(W331)),W331,IF(CC331="2+3",IF(ISNUMBER(SEARCH("grosser Artikel",BU331)),2,IFERROR(VLOOKUP(BX331,Parameter!$F$35:$G$64,2,0),2)),IF(OR(CC331="Nein",CC331=""),"-",CC331))))</f>
        <v>3</v>
      </c>
      <c r="AA331" s="55"/>
      <c r="AB331" s="56"/>
      <c r="AC331" s="50" t="n">
        <f aca="false">AV331</f>
        <v>259</v>
      </c>
      <c r="AD331" s="50" t="n">
        <f aca="false">MAX(AV331,H331)</f>
        <v>497</v>
      </c>
      <c r="AE331" s="57"/>
      <c r="AF331" s="50" t="n">
        <f aca="false">IF(LEFT(Cockpit!$C$5,1)="A",H331,IF(Parameter!$E$30="MAX-Bestand",IF(CH331=1,CI331,IF(LEFT(Cockpit!$C$5,1)="B",AL331,MAX(AL331,H331))),ROUNDUP(AJ331,0)))</f>
        <v>497</v>
      </c>
      <c r="AG331" s="50" t="n">
        <f aca="false">IF(BZ331=1,0,ROUNDUP(AF331/BY331,0))</f>
        <v>1</v>
      </c>
      <c r="AH331" s="52" t="n">
        <f aca="false">IF(CQ331&gt;0,CQ331*MAX(1,AF331/X331),IF(BZ331=1,IF(AF331&lt;=0,0,CD331*MAX(1,IF(H331&gt;0,AF331/H331,1))),IF(R331&gt;0,AG331/R331,0))/MAX(0.1,N(Parameter!$M$21)))</f>
        <v>0.00961538461538462</v>
      </c>
      <c r="AI331" s="50" t="n">
        <f aca="false">AH331*CB331</f>
        <v>1.49038461538462</v>
      </c>
      <c r="AJ331" s="51" t="n">
        <f aca="false">IF(LEFT(Cockpit!$C$5,1)="A",H331,IF(CH331=1,(CK331+CI331)/2,IF(LEFT(Cockpit!$C$5,1)="B",(CK331+AL331)/2,MAX((CK331+AL331)/2,H331))))</f>
        <v>497</v>
      </c>
      <c r="AK331" s="50" t="n">
        <f aca="false">AJ331*G331</f>
        <v>248.5</v>
      </c>
      <c r="AL331" s="50" t="n">
        <f aca="false">ROUNDUP(CK331+MAX(CL331,2*(J331/IF(CG331&gt;0,CG331,MAX(0.1,N(Cockpit!$C$6)))-CK331)),0)</f>
        <v>259</v>
      </c>
      <c r="AM331" s="51" t="n">
        <f aca="false">IF(AI331&gt;0,J331/AI331,-1)</f>
        <v>0</v>
      </c>
      <c r="AN331" s="51" t="n">
        <f aca="false">IF(AND(OR(CF331="L1",CF331="L23",CF331="LIFT"),AI331&gt;0),SUMIFS($AI$7:$AI$1843,$CF$7:$CF$1843,CF331,$AM$7:$AM$1843,"&gt;"&amp;AM331)+SUMIFS($AI$7:$AI$1843,$CF$7:$CF$1843,CF331,$AM$7:$AM$1843,AM331,$BW$7:$BW$1843,"&lt;="&amp;BW331),"")</f>
        <v>27977.335790857</v>
      </c>
      <c r="AO331" s="58" t="n">
        <f aca="false">IF(AN331="",0,MAX(0,MIN(1,(IF(CF331="L1",Parameter!$H$5,IF(CF331="L23",Parameter!$H$6+Parameter!$H$7,Parameter!$H$5+Parameter!$H$6+Parameter!$H$7))-(AN331-AI331))/AI331)))</f>
        <v>1</v>
      </c>
      <c r="AP331" s="50" t="n">
        <f aca="false">IF(LEFT(Cockpit!$I$5,1)="A",H331,IF(Parameter!$E$30="MAX-Bestand",IF(CH331=1,CI331,IF(LEFT(Cockpit!$I$5,1)="B",AV331,MAX(AV331,H331))),ROUNDUP(AT331,0)))</f>
        <v>497</v>
      </c>
      <c r="AQ331" s="50" t="n">
        <f aca="false">IF(BZ331=1,0,ROUNDUP(AP331/BY331,0))</f>
        <v>1</v>
      </c>
      <c r="AR331" s="52" t="n">
        <f aca="false">IF(CQ331&gt;0,CQ331*MAX(1,AP331/X331),IF(BZ331=1,IF(AP331&lt;=0,0,CD331*MAX(1,IF(H331&gt;0,AP331/H331,1))),IF(R331&gt;0,AQ331/R331,0))/MAX(0.1,N(Parameter!$M$21)))</f>
        <v>0.00961538461538462</v>
      </c>
      <c r="AS331" s="50" t="n">
        <f aca="false">AR331*CB331</f>
        <v>1.49038461538462</v>
      </c>
      <c r="AT331" s="51" t="n">
        <f aca="false">IF(LEFT(Cockpit!$I$5,1)="A",H331,IF(CH331=1,(CK331+CI331)/2,IF(LEFT(Cockpit!$I$5,1)="B",(CK331+AV331)/2,MAX((CK331+AV331)/2,H331))))</f>
        <v>497</v>
      </c>
      <c r="AU331" s="50" t="n">
        <f aca="false">AT331*G331</f>
        <v>248.5</v>
      </c>
      <c r="AV331" s="50" t="n">
        <f aca="false">ROUNDUP(CK331+MAX(CL331,2*(J331/IF(CG331&gt;0,CG331,MAX(0.1,N(Cockpit!$I$6)))-CK331)),0)</f>
        <v>259</v>
      </c>
      <c r="AW331" s="51" t="n">
        <f aca="false">IF(AS331&gt;0,J331/AS331,-1)</f>
        <v>0</v>
      </c>
      <c r="AX331" s="51" t="n">
        <f aca="false">IF(AND(OR(CF331="L1",CF331="L23",CF331="LIFT"),AS331&gt;0),SUMIFS($AS$7:$AS$1843,$CF$7:$CF$1843,CF331,$AW$7:$AW$1843,"&gt;"&amp;AW331)+SUMIFS($AS$7:$AS$1843,$CF$7:$CF$1843,CF331,$AW$7:$AW$1843,AW331,$BW$7:$BW$1843,"&lt;="&amp;BW331),"")</f>
        <v>33330.4844322344</v>
      </c>
      <c r="AY331" s="58" t="n">
        <f aca="false">IF(AX331="",0,MAX(0,MIN(1,(IF(CF331="L1",Parameter!$H$5,IF(CF331="L23",Parameter!$H$6+Parameter!$H$7,Parameter!$H$5+Parameter!$H$6+Parameter!$H$7))-(AX331-AS331))/AS331)))</f>
        <v>1</v>
      </c>
      <c r="AZ331" s="50" t="n">
        <f aca="false">IF(LEFT(Cockpit!$O$5,1)="A",H331,IF(Parameter!$E$30="MAX-Bestand",IF(CH331=1,CI331,IF(LEFT(Cockpit!$O$5,1)="B",BF331,MAX(BF331,H331))),ROUNDUP(BD331,0)))</f>
        <v>134</v>
      </c>
      <c r="BA331" s="50" t="n">
        <f aca="false">IF(BZ331=1,0,ROUNDUP(AZ331/BY331,0))</f>
        <v>1</v>
      </c>
      <c r="BB331" s="52" t="n">
        <f aca="false">IF(CQ331&gt;0,CQ331*MAX(1,AZ331/X331),IF(BZ331=1,IF(AZ331&lt;=0,0,CD331*MAX(1,IF(H331&gt;0,AZ331/H331,1))),IF(R331&gt;0,BA331/R331,0))/MAX(0.1,N(Parameter!$M$21)))</f>
        <v>0.00961538461538462</v>
      </c>
      <c r="BC331" s="50" t="n">
        <f aca="false">BB331*CB331</f>
        <v>1.49038461538462</v>
      </c>
      <c r="BD331" s="51" t="n">
        <f aca="false">IF(LEFT(Cockpit!$O$5,1)="A",H331,IF(CH331=1,(CK331+CI331)/2,IF(LEFT(Cockpit!$O$5,1)="B",(CK331+BF331)/2,MAX((CK331+BF331)/2,H331))))</f>
        <v>134</v>
      </c>
      <c r="BE331" s="50" t="n">
        <f aca="false">BD331*G331</f>
        <v>67</v>
      </c>
      <c r="BF331" s="50" t="n">
        <f aca="false">ROUNDUP(CK331+MAX(CL331,2*(J331/IF(CG331&gt;0,CG331,MAX(0.1,N(Cockpit!$O$6)))-CK331)),0)</f>
        <v>259</v>
      </c>
      <c r="BG331" s="51" t="n">
        <f aca="false">IF(BC331&gt;0,J331/BC331,-1)</f>
        <v>0</v>
      </c>
      <c r="BH331" s="51" t="n">
        <f aca="false">IF(AND(OR(CF331="L1",CF331="L23",CF331="LIFT"),BC331&gt;0),SUMIFS($BC$7:$BC$1843,$CF$7:$CF$1843,CF331,$BG$7:$BG$1843,"&gt;"&amp;BG331)+SUMIFS($BC$7:$BC$1843,$CF$7:$CF$1843,CF331,$BG$7:$BG$1843,BG331,$BW$7:$BW$1843,"&lt;="&amp;BW331),"")</f>
        <v>27455.9444806606</v>
      </c>
      <c r="BI331" s="58" t="n">
        <f aca="false">IF(BH331="",0,MAX(0,MIN(1,(IF(CF331="L1",Parameter!$H$5,IF(CF331="L23",Parameter!$H$6+Parameter!$H$7,Parameter!$H$5+Parameter!$H$6+Parameter!$H$7))-(BH331-BC331))/BC331)))</f>
        <v>1</v>
      </c>
      <c r="BJ331" s="48" t="str">
        <f aca="false">IF(AI331&lt;=0,"",IF(CF331="Aussen","Aussenlager",IF(CF331="-","Nicht im Lift",IF(AO331&gt;=1,"Lift",IF(AO331&lt;=0,"Aussenlager","teilweise")))))</f>
        <v>Lift</v>
      </c>
      <c r="BK331" s="48" t="str">
        <f aca="false">IF(AS331&lt;=0,"",IF(CF331="Aussen","Aussenlager",IF(CF331="-","Nicht im Lift",IF(AY331&gt;=1,"Lift",IF(AY331&lt;=0,"Aussenlager","teilweise")))))</f>
        <v>Lift</v>
      </c>
      <c r="BL331" s="48" t="str">
        <f aca="false">IF(BC331&lt;=0,"",IF(CF331="Aussen","Aussenlager",IF(CF331="-","Nicht im Lift",IF(BI331&gt;=1,"Lift",IF(BI331&lt;=0,"Aussenlager","teilweise")))))</f>
        <v>Lift</v>
      </c>
      <c r="BM331" s="48" t="str">
        <f aca="false">IF(A331="","",IF(BV331=1,"Neu; ","")&amp;IF(AND(BV331=0,BQ331&lt;0),"negativer Bestand (Export "&amp;BQ331&amp;"); ","")&amp;IF(J331&lt;=0,"Kein Verbrauch; ","")&amp;IF(CQ331&gt;0,"Lift "&amp;W331&amp;" lt. Liftbericht (Fach "&amp;X331&amp;" Stk); ",IF(CA331=1,"Gebinde geschätzt ("&amp;T331&amp;"); ",IF(BZ331=1,"Lose – Tablare geschätzt; ","")))&amp;IF(H331&gt;AV331,"Überbestand "&amp;ROUND(H331-AV331,0)&amp;" Stk / CHF "&amp;ROUND((H331-AV331)*G331,0)&amp;"; ","")&amp;IF(AND(CH331=1,CI331&lt;CJ331),"MAX &lt; MB+LG; ","")&amp;IF(AND(CP331&gt;0,CO331*10&gt;CP331),"zu hoch für Tablar; ","")&amp;IF(AND(BV331=0,OR(CH331=1,AA331&lt;&gt;"",U331&lt;&gt;"",V331&lt;&gt;"",AB331&lt;&gt;"")),"manuell übersteuert; ","")&amp;IF(AND(BZ331=0,R331=0),"Gebinde unbekannt / Stellmass fehlt; ","")&amp;IF(AND(BZ331=0,N(V331)&lt;=0,N(Q331)&lt;=0),"Menge pro Gebinde fehlt (Ist = 1 Gebinde); ","")&amp;BU331)</f>
        <v>Kein Verbrauch; Überbestand 238 Stk / CHF 119; </v>
      </c>
      <c r="BN331" s="48"/>
      <c r="BO331" s="48"/>
      <c r="BP331" s="55"/>
      <c r="BQ331" s="50" t="n">
        <v>434</v>
      </c>
      <c r="BR331" s="50" t="n">
        <v>63</v>
      </c>
      <c r="BS331" s="49" t="n">
        <v>217</v>
      </c>
      <c r="BT331" s="50" t="n">
        <v>0</v>
      </c>
      <c r="BU331" s="48"/>
      <c r="BV331" s="53" t="n">
        <v>0</v>
      </c>
      <c r="BW331" s="53" t="n">
        <v>331</v>
      </c>
      <c r="BX331" s="48" t="str">
        <f aca="false">IF(U331&lt;&gt;"",UPPER(TRIM(U331)),IF(CA331=1,UPPER(VLOOKUP(T331,Parameter!$I$27:$K$29,2,0)),IF(P331="","LOSE",P331)))</f>
        <v>S32</v>
      </c>
      <c r="BY331" s="50" t="n">
        <f aca="false">IF(BX331="LOSE",1,IF(N(V331)&gt;0,V331,IF(CA331=1,MAX(1,N(VLOOKUP(T331,Parameter!$I$27:$K$29,3,0)),H331,N(N331)),IF(N(Q331)&gt;0,Q331,MAX(1,H331)))))</f>
        <v>600</v>
      </c>
      <c r="BZ331" s="53" t="n">
        <f aca="false">IF(BX331="LOSE",1,0)</f>
        <v>0</v>
      </c>
      <c r="CA331" s="53" t="n">
        <f aca="false">IF(AND(U331="",OR(P331="",P331="LOSE"),T331&lt;&gt;"",N(S331)&lt;=0,ISNUMBER(MATCH(T331,Parameter!$I$27:$I$29,0))),1,0)</f>
        <v>0</v>
      </c>
      <c r="CB331" s="53" t="n">
        <f aca="false">IF(CQ331&gt;0,INDEX(Parameter!$H$5:$H$7,W331)/INDEX(Parameter!$E$5:$E$7,W331),IF(AND(BZ331=0,N(IFERROR(VLOOKUP(BX331,'Gebinde-Kategorie'!$A$5:$N$45,14,0),0))&gt;0),VLOOKUP(BX331,'Gebinde-Kategorie'!$A$5:$N$45,14,0)*10+Parameter!$M$23,Parameter!$M$24))</f>
        <v>155</v>
      </c>
      <c r="CC331" s="48" t="str">
        <f aca="false">IF(AND(Parameter!$B$19="Ja",E331&lt;&gt;"",ISNUMBER(MATCH(E331,Parameter!$I$35:$I$52,0))),VLOOKUP(E331,Parameter!$I$35:$J$52,2,0),IFERROR(VLOOKUP(D331,Parameter!$A$35:$C$64,2,0),"Nein"))</f>
        <v>2+3</v>
      </c>
      <c r="CD331" s="52" t="n">
        <f aca="false">IF(BZ331=0,0,IF(N(S331)&gt;0,S331,IFERROR(VLOOKUP(D331,Parameter!$A$35:$C$64,3,0)+0,0)))</f>
        <v>0</v>
      </c>
      <c r="CE331" s="48" t="n">
        <f aca="false">IF(AA331&lt;&gt;"",AA331,Z331)</f>
        <v>3</v>
      </c>
      <c r="CF331" s="48" t="str">
        <f aca="false">IF(OR(CE331=1,CE331=2,CE331=3),IF(Parameter!$E$27="Ja","LIFT",IF(CE331=1,"L1","L23")),IF(CE331="Aussen","Aussen","-"))</f>
        <v>LIFT</v>
      </c>
      <c r="CG331" s="59" t="n">
        <f aca="false">IF(N(AB331)&gt;0,AB331,0)</f>
        <v>0</v>
      </c>
      <c r="CH331" s="53" t="n">
        <f aca="false">IF(ISNUMBER(AE331),1,0)</f>
        <v>0</v>
      </c>
      <c r="CI331" s="50" t="n">
        <f aca="false">N(AE331)</f>
        <v>0</v>
      </c>
      <c r="CJ331" s="50" t="n">
        <f aca="false">N(M331)+N(N331)</f>
        <v>259</v>
      </c>
      <c r="CK331" s="50" t="n">
        <f aca="false">N(M331)</f>
        <v>9</v>
      </c>
      <c r="CL331" s="50" t="n">
        <f aca="false">N(N331)</f>
        <v>250</v>
      </c>
      <c r="CM331" s="50" t="n">
        <f aca="false">ROUNDUP(H331/BY331,0)</f>
        <v>1</v>
      </c>
      <c r="CN331" s="50" t="n">
        <f aca="false">ROUNDUP(CI331/BY331,0)</f>
        <v>0</v>
      </c>
      <c r="CO331" s="53" t="n">
        <f aca="false">IF(BZ331=1,0,IFERROR(VLOOKUP(BX331,'Gebinde-Kategorie'!$A$5:$N$45,5,0)+0,0))</f>
        <v>8</v>
      </c>
      <c r="CP331" s="53" t="n">
        <f aca="false">IFERROR(IF(OR(CE331=1,CE331=2,CE331=3),N(INDEX(Parameter!$I$5:$I$7,CE331)),0),0)</f>
        <v>0</v>
      </c>
      <c r="CQ331" s="52" t="n">
        <f aca="false">IF(AND(Parameter!$B$21="Ja",ISNUMBER(W331),N(X331)&gt;0),IFERROR(N(INDEX(Parameter!$L$5:$L$7,W331))*INDEX(Parameter!$E$5:$E$7,W331)*X331/SUMIFS($X$7:$X$1843,$W$7:$W$1843,W331),0),0)</f>
        <v>0</v>
      </c>
    </row>
    <row r="332" customFormat="false" ht="15" hidden="false" customHeight="false" outlineLevel="0" collapsed="false">
      <c r="A332" s="48" t="s">
        <v>834</v>
      </c>
      <c r="B332" s="48" t="s">
        <v>835</v>
      </c>
      <c r="C332" s="48" t="s">
        <v>173</v>
      </c>
      <c r="D332" s="48" t="s">
        <v>193</v>
      </c>
      <c r="E332" s="48" t="s">
        <v>194</v>
      </c>
      <c r="F332" s="48" t="s">
        <v>227</v>
      </c>
      <c r="G332" s="49" t="n">
        <v>16.63</v>
      </c>
      <c r="H332" s="50" t="n">
        <f aca="false">MAX(0,IF(AND(Parameter!$B$21="Ja",ISNUMBER(Y332)),Y332,IF(Parameter!$B$20="Jahresanfang 2025 + Export",BR332+BQ332,BQ332)))</f>
        <v>16</v>
      </c>
      <c r="I332" s="50" t="n">
        <f aca="false">H332*G332</f>
        <v>266.08</v>
      </c>
      <c r="J332" s="50" t="n">
        <f aca="false">BT332*Parameter!$B$18</f>
        <v>8</v>
      </c>
      <c r="K332" s="51" t="n">
        <v>15</v>
      </c>
      <c r="L332" s="52" t="n">
        <v>0.533333333333333</v>
      </c>
      <c r="M332" s="50" t="n">
        <v>0</v>
      </c>
      <c r="N332" s="50" t="n">
        <v>10</v>
      </c>
      <c r="O332" s="53" t="n">
        <v>14</v>
      </c>
      <c r="P332" s="48" t="s">
        <v>410</v>
      </c>
      <c r="Q332" s="50" t="n">
        <v>9</v>
      </c>
      <c r="R332" s="53" t="n">
        <f aca="false">IF(BZ332=1,0,IFERROR(VLOOKUP(BX332,'Gebinde-Kategorie'!$A$5:$N$45,13,0)+0,0))</f>
        <v>280</v>
      </c>
      <c r="S332" s="54"/>
      <c r="T332" s="55"/>
      <c r="U332" s="55"/>
      <c r="V332" s="55"/>
      <c r="W332" s="48"/>
      <c r="X332" s="50"/>
      <c r="Y332" s="50"/>
      <c r="Z332" s="48" t="n">
        <f aca="false">IF(A332="","",IF(AND(Parameter!$B$21="Ja",ISNUMBER(W332)),W332,IF(CC332="2+3",IF(ISNUMBER(SEARCH("grosser Artikel",BU332)),2,IFERROR(VLOOKUP(BX332,Parameter!$F$35:$G$64,2,0),2)),IF(OR(CC332="Nein",CC332=""),"-",CC332))))</f>
        <v>3</v>
      </c>
      <c r="AA332" s="55"/>
      <c r="AB332" s="56"/>
      <c r="AC332" s="50" t="n">
        <f aca="false">AV332</f>
        <v>10</v>
      </c>
      <c r="AD332" s="50" t="n">
        <f aca="false">MAX(AV332,H332)</f>
        <v>16</v>
      </c>
      <c r="AE332" s="57"/>
      <c r="AF332" s="50" t="n">
        <f aca="false">IF(LEFT(Cockpit!$C$5,1)="A",H332,IF(Parameter!$E$30="MAX-Bestand",IF(CH332=1,CI332,IF(LEFT(Cockpit!$C$5,1)="B",AL332,MAX(AL332,H332))),ROUNDUP(AJ332,0)))</f>
        <v>16</v>
      </c>
      <c r="AG332" s="50" t="n">
        <f aca="false">IF(BZ332=1,0,ROUNDUP(AF332/BY332,0))</f>
        <v>2</v>
      </c>
      <c r="AH332" s="52" t="n">
        <f aca="false">IF(CQ332&gt;0,CQ332*MAX(1,AF332/X332),IF(BZ332=1,IF(AF332&lt;=0,0,CD332*MAX(1,IF(H332&gt;0,AF332/H332,1))),IF(R332&gt;0,AG332/R332,0))/MAX(0.1,N(Parameter!$M$21)))</f>
        <v>0.00714285714285714</v>
      </c>
      <c r="AI332" s="50" t="n">
        <f aca="false">AH332*CB332</f>
        <v>1.10714285714286</v>
      </c>
      <c r="AJ332" s="51" t="n">
        <f aca="false">IF(LEFT(Cockpit!$C$5,1)="A",H332,IF(CH332=1,(CK332+CI332)/2,IF(LEFT(Cockpit!$C$5,1)="B",(CK332+AL332)/2,MAX((CK332+AL332)/2,H332))))</f>
        <v>16</v>
      </c>
      <c r="AK332" s="50" t="n">
        <f aca="false">AJ332*G332</f>
        <v>266.08</v>
      </c>
      <c r="AL332" s="50" t="n">
        <f aca="false">ROUNDUP(CK332+MAX(CL332,2*(J332/IF(CG332&gt;0,CG332,MAX(0.1,N(Cockpit!$C$6)))-CK332)),0)</f>
        <v>10</v>
      </c>
      <c r="AM332" s="51" t="n">
        <f aca="false">IF(AI332&gt;0,J332/AI332,-1)</f>
        <v>7.2258064516129</v>
      </c>
      <c r="AN332" s="51" t="n">
        <f aca="false">IF(AND(OR(CF332="L1",CF332="L23",CF332="LIFT"),AI332&gt;0),SUMIFS($AI$7:$AI$1843,$CF$7:$CF$1843,CF332,$AM$7:$AM$1843,"&gt;"&amp;AM332)+SUMIFS($AI$7:$AI$1843,$CF$7:$CF$1843,CF332,$AM$7:$AM$1843,AM332,$BW$7:$BW$1843,"&lt;="&amp;BW332),"")</f>
        <v>3154.47573260073</v>
      </c>
      <c r="AO332" s="58" t="n">
        <f aca="false">IF(AN332="",0,MAX(0,MIN(1,(IF(CF332="L1",Parameter!$H$5,IF(CF332="L23",Parameter!$H$6+Parameter!$H$7,Parameter!$H$5+Parameter!$H$6+Parameter!$H$7))-(AN332-AI332))/AI332)))</f>
        <v>1</v>
      </c>
      <c r="AP332" s="50" t="n">
        <f aca="false">IF(LEFT(Cockpit!$I$5,1)="A",H332,IF(Parameter!$E$30="MAX-Bestand",IF(CH332=1,CI332,IF(LEFT(Cockpit!$I$5,1)="B",AV332,MAX(AV332,H332))),ROUNDUP(AT332,0)))</f>
        <v>16</v>
      </c>
      <c r="AQ332" s="50" t="n">
        <f aca="false">IF(BZ332=1,0,ROUNDUP(AP332/BY332,0))</f>
        <v>2</v>
      </c>
      <c r="AR332" s="52" t="n">
        <f aca="false">IF(CQ332&gt;0,CQ332*MAX(1,AP332/X332),IF(BZ332=1,IF(AP332&lt;=0,0,CD332*MAX(1,IF(H332&gt;0,AP332/H332,1))),IF(R332&gt;0,AQ332/R332,0))/MAX(0.1,N(Parameter!$M$21)))</f>
        <v>0.00714285714285714</v>
      </c>
      <c r="AS332" s="50" t="n">
        <f aca="false">AR332*CB332</f>
        <v>1.10714285714286</v>
      </c>
      <c r="AT332" s="51" t="n">
        <f aca="false">IF(LEFT(Cockpit!$I$5,1)="A",H332,IF(CH332=1,(CK332+CI332)/2,IF(LEFT(Cockpit!$I$5,1)="B",(CK332+AV332)/2,MAX((CK332+AV332)/2,H332))))</f>
        <v>16</v>
      </c>
      <c r="AU332" s="50" t="n">
        <f aca="false">AT332*G332</f>
        <v>266.08</v>
      </c>
      <c r="AV332" s="50" t="n">
        <f aca="false">ROUNDUP(CK332+MAX(CL332,2*(J332/IF(CG332&gt;0,CG332,MAX(0.1,N(Cockpit!$I$6)))-CK332)),0)</f>
        <v>10</v>
      </c>
      <c r="AW332" s="51" t="n">
        <f aca="false">IF(AS332&gt;0,J332/AS332,-1)</f>
        <v>7.2258064516129</v>
      </c>
      <c r="AX332" s="51" t="n">
        <f aca="false">IF(AND(OR(CF332="L1",CF332="L23",CF332="LIFT"),AS332&gt;0),SUMIFS($AS$7:$AS$1843,$CF$7:$CF$1843,CF332,$AW$7:$AW$1843,"&gt;"&amp;AW332)+SUMIFS($AS$7:$AS$1843,$CF$7:$CF$1843,CF332,$AW$7:$AW$1843,AW332,$BW$7:$BW$1843,"&lt;="&amp;BW332),"")</f>
        <v>3814.78708791209</v>
      </c>
      <c r="AY332" s="58" t="n">
        <f aca="false">IF(AX332="",0,MAX(0,MIN(1,(IF(CF332="L1",Parameter!$H$5,IF(CF332="L23",Parameter!$H$6+Parameter!$H$7,Parameter!$H$5+Parameter!$H$6+Parameter!$H$7))-(AX332-AS332))/AS332)))</f>
        <v>1</v>
      </c>
      <c r="AZ332" s="50" t="n">
        <f aca="false">IF(LEFT(Cockpit!$O$5,1)="A",H332,IF(Parameter!$E$30="MAX-Bestand",IF(CH332=1,CI332,IF(LEFT(Cockpit!$O$5,1)="B",BF332,MAX(BF332,H332))),ROUNDUP(BD332,0)))</f>
        <v>5</v>
      </c>
      <c r="BA332" s="50" t="n">
        <f aca="false">IF(BZ332=1,0,ROUNDUP(AZ332/BY332,0))</f>
        <v>1</v>
      </c>
      <c r="BB332" s="52" t="n">
        <f aca="false">IF(CQ332&gt;0,CQ332*MAX(1,AZ332/X332),IF(BZ332=1,IF(AZ332&lt;=0,0,CD332*MAX(1,IF(H332&gt;0,AZ332/H332,1))),IF(R332&gt;0,BA332/R332,0))/MAX(0.1,N(Parameter!$M$21)))</f>
        <v>0.00357142857142857</v>
      </c>
      <c r="BC332" s="50" t="n">
        <f aca="false">BB332*CB332</f>
        <v>0.553571428571429</v>
      </c>
      <c r="BD332" s="51" t="n">
        <f aca="false">IF(LEFT(Cockpit!$O$5,1)="A",H332,IF(CH332=1,(CK332+CI332)/2,IF(LEFT(Cockpit!$O$5,1)="B",(CK332+BF332)/2,MAX((CK332+BF332)/2,H332))))</f>
        <v>5</v>
      </c>
      <c r="BE332" s="50" t="n">
        <f aca="false">BD332*G332</f>
        <v>83.15</v>
      </c>
      <c r="BF332" s="50" t="n">
        <f aca="false">ROUNDUP(CK332+MAX(CL332,2*(J332/IF(CG332&gt;0,CG332,MAX(0.1,N(Cockpit!$O$6)))-CK332)),0)</f>
        <v>10</v>
      </c>
      <c r="BG332" s="51" t="n">
        <f aca="false">IF(BC332&gt;0,J332/BC332,-1)</f>
        <v>14.4516129032258</v>
      </c>
      <c r="BH332" s="51" t="n">
        <f aca="false">IF(AND(OR(CF332="L1",CF332="L23",CF332="LIFT"),BC332&gt;0),SUMIFS($BC$7:$BC$1843,$CF$7:$CF$1843,CF332,$BG$7:$BG$1843,"&gt;"&amp;BG332)+SUMIFS($BC$7:$BC$1843,$CF$7:$CF$1843,CF332,$BG$7:$BG$1843,BG332,$BW$7:$BW$1843,"&lt;="&amp;BW332),"")</f>
        <v>2429.55631868132</v>
      </c>
      <c r="BI332" s="58" t="n">
        <f aca="false">IF(BH332="",0,MAX(0,MIN(1,(IF(CF332="L1",Parameter!$H$5,IF(CF332="L23",Parameter!$H$6+Parameter!$H$7,Parameter!$H$5+Parameter!$H$6+Parameter!$H$7))-(BH332-BC332))/BC332)))</f>
        <v>1</v>
      </c>
      <c r="BJ332" s="48" t="str">
        <f aca="false">IF(AI332&lt;=0,"",IF(CF332="Aussen","Aussenlager",IF(CF332="-","Nicht im Lift",IF(AO332&gt;=1,"Lift",IF(AO332&lt;=0,"Aussenlager","teilweise")))))</f>
        <v>Lift</v>
      </c>
      <c r="BK332" s="48" t="str">
        <f aca="false">IF(AS332&lt;=0,"",IF(CF332="Aussen","Aussenlager",IF(CF332="-","Nicht im Lift",IF(AY332&gt;=1,"Lift",IF(AY332&lt;=0,"Aussenlager","teilweise")))))</f>
        <v>Lift</v>
      </c>
      <c r="BL332" s="48" t="str">
        <f aca="false">IF(BC332&lt;=0,"",IF(CF332="Aussen","Aussenlager",IF(CF332="-","Nicht im Lift",IF(BI332&gt;=1,"Lift",IF(BI332&lt;=0,"Aussenlager","teilweise")))))</f>
        <v>Lift</v>
      </c>
      <c r="BM332" s="48" t="str">
        <f aca="false">IF(A332="","",IF(BV332=1,"Neu; ","")&amp;IF(AND(BV332=0,BQ332&lt;0),"negativer Bestand (Export "&amp;BQ332&amp;"); ","")&amp;IF(J332&lt;=0,"Kein Verbrauch; ","")&amp;IF(CQ332&gt;0,"Lift "&amp;W332&amp;" lt. Liftbericht (Fach "&amp;X332&amp;" Stk); ",IF(CA332=1,"Gebinde geschätzt ("&amp;T332&amp;"); ",IF(BZ332=1,"Lose – Tablare geschätzt; ","")))&amp;IF(H332&gt;AV332,"Überbestand "&amp;ROUND(H332-AV332,0)&amp;" Stk / CHF "&amp;ROUND((H332-AV332)*G332,0)&amp;"; ","")&amp;IF(AND(CH332=1,CI332&lt;CJ332),"MAX &lt; MB+LG; ","")&amp;IF(AND(CP332&gt;0,CO332*10&gt;CP332),"zu hoch für Tablar; ","")&amp;IF(AND(BV332=0,OR(CH332=1,AA332&lt;&gt;"",U332&lt;&gt;"",V332&lt;&gt;"",AB332&lt;&gt;"")),"manuell übersteuert; ","")&amp;IF(AND(BZ332=0,R332=0),"Gebinde unbekannt / Stellmass fehlt; ","")&amp;IF(AND(BZ332=0,N(V332)&lt;=0,N(Q332)&lt;=0),"Menge pro Gebinde fehlt (Ist = 1 Gebinde); ","")&amp;BU332)</f>
        <v>Überbestand 6 Stk / CHF 100; </v>
      </c>
      <c r="BN332" s="48"/>
      <c r="BO332" s="48"/>
      <c r="BP332" s="55"/>
      <c r="BQ332" s="50" t="n">
        <v>13</v>
      </c>
      <c r="BR332" s="50" t="n">
        <v>3</v>
      </c>
      <c r="BS332" s="49" t="n">
        <v>216.19</v>
      </c>
      <c r="BT332" s="50" t="n">
        <v>8</v>
      </c>
      <c r="BU332" s="48"/>
      <c r="BV332" s="53" t="n">
        <v>0</v>
      </c>
      <c r="BW332" s="53" t="n">
        <v>332</v>
      </c>
      <c r="BX332" s="48" t="str">
        <f aca="false">IF(U332&lt;&gt;"",UPPER(TRIM(U332)),IF(CA332=1,UPPER(VLOOKUP(T332,Parameter!$I$27:$K$29,2,0)),IF(P332="","LOSE",P332)))</f>
        <v>S21</v>
      </c>
      <c r="BY332" s="50" t="n">
        <f aca="false">IF(BX332="LOSE",1,IF(N(V332)&gt;0,V332,IF(CA332=1,MAX(1,N(VLOOKUP(T332,Parameter!$I$27:$K$29,3,0)),H332,N(N332)),IF(N(Q332)&gt;0,Q332,MAX(1,H332)))))</f>
        <v>9</v>
      </c>
      <c r="BZ332" s="53" t="n">
        <f aca="false">IF(BX332="LOSE",1,0)</f>
        <v>0</v>
      </c>
      <c r="CA332" s="53" t="n">
        <f aca="false">IF(AND(U332="",OR(P332="",P332="LOSE"),T332&lt;&gt;"",N(S332)&lt;=0,ISNUMBER(MATCH(T332,Parameter!$I$27:$I$29,0))),1,0)</f>
        <v>0</v>
      </c>
      <c r="CB332" s="53" t="n">
        <f aca="false">IF(CQ332&gt;0,INDEX(Parameter!$H$5:$H$7,W332)/INDEX(Parameter!$E$5:$E$7,W332),IF(AND(BZ332=0,N(IFERROR(VLOOKUP(BX332,'Gebinde-Kategorie'!$A$5:$N$45,14,0),0))&gt;0),VLOOKUP(BX332,'Gebinde-Kategorie'!$A$5:$N$45,14,0)*10+Parameter!$M$23,Parameter!$M$24))</f>
        <v>155</v>
      </c>
      <c r="CC332" s="48" t="str">
        <f aca="false">IF(AND(Parameter!$B$19="Ja",E332&lt;&gt;"",ISNUMBER(MATCH(E332,Parameter!$I$35:$I$52,0))),VLOOKUP(E332,Parameter!$I$35:$J$52,2,0),IFERROR(VLOOKUP(D332,Parameter!$A$35:$C$64,2,0),"Nein"))</f>
        <v>2+3</v>
      </c>
      <c r="CD332" s="52" t="n">
        <f aca="false">IF(BZ332=0,0,IF(N(S332)&gt;0,S332,IFERROR(VLOOKUP(D332,Parameter!$A$35:$C$64,3,0)+0,0)))</f>
        <v>0</v>
      </c>
      <c r="CE332" s="48" t="n">
        <f aca="false">IF(AA332&lt;&gt;"",AA332,Z332)</f>
        <v>3</v>
      </c>
      <c r="CF332" s="48" t="str">
        <f aca="false">IF(OR(CE332=1,CE332=2,CE332=3),IF(Parameter!$E$27="Ja","LIFT",IF(CE332=1,"L1","L23")),IF(CE332="Aussen","Aussen","-"))</f>
        <v>LIFT</v>
      </c>
      <c r="CG332" s="59" t="n">
        <f aca="false">IF(N(AB332)&gt;0,AB332,0)</f>
        <v>0</v>
      </c>
      <c r="CH332" s="53" t="n">
        <f aca="false">IF(ISNUMBER(AE332),1,0)</f>
        <v>0</v>
      </c>
      <c r="CI332" s="50" t="n">
        <f aca="false">N(AE332)</f>
        <v>0</v>
      </c>
      <c r="CJ332" s="50" t="n">
        <f aca="false">N(M332)+N(N332)</f>
        <v>10</v>
      </c>
      <c r="CK332" s="50" t="n">
        <f aca="false">N(M332)</f>
        <v>0</v>
      </c>
      <c r="CL332" s="50" t="n">
        <f aca="false">N(N332)</f>
        <v>10</v>
      </c>
      <c r="CM332" s="50" t="n">
        <f aca="false">ROUNDUP(H332/BY332,0)</f>
        <v>2</v>
      </c>
      <c r="CN332" s="50" t="n">
        <f aca="false">ROUNDUP(CI332/BY332,0)</f>
        <v>0</v>
      </c>
      <c r="CO332" s="53" t="n">
        <f aca="false">IF(BZ332=1,0,IFERROR(VLOOKUP(BX332,'Gebinde-Kategorie'!$A$5:$N$45,5,0)+0,0))</f>
        <v>8</v>
      </c>
      <c r="CP332" s="53" t="n">
        <f aca="false">IFERROR(IF(OR(CE332=1,CE332=2,CE332=3),N(INDEX(Parameter!$I$5:$I$7,CE332)),0),0)</f>
        <v>0</v>
      </c>
      <c r="CQ332" s="52" t="n">
        <f aca="false">IF(AND(Parameter!$B$21="Ja",ISNUMBER(W332),N(X332)&gt;0),IFERROR(N(INDEX(Parameter!$L$5:$L$7,W332))*INDEX(Parameter!$E$5:$E$7,W332)*X332/SUMIFS($X$7:$X$1843,$W$7:$W$1843,W332),0),0)</f>
        <v>0</v>
      </c>
    </row>
    <row r="333" customFormat="false" ht="15" hidden="false" customHeight="false" outlineLevel="0" collapsed="false">
      <c r="A333" s="48" t="s">
        <v>836</v>
      </c>
      <c r="B333" s="48" t="s">
        <v>837</v>
      </c>
      <c r="C333" s="48" t="s">
        <v>173</v>
      </c>
      <c r="D333" s="48" t="s">
        <v>182</v>
      </c>
      <c r="E333" s="48" t="s">
        <v>194</v>
      </c>
      <c r="F333" s="48" t="s">
        <v>227</v>
      </c>
      <c r="G333" s="49" t="n">
        <v>12.37</v>
      </c>
      <c r="H333" s="50" t="n">
        <f aca="false">MAX(0,IF(AND(Parameter!$B$21="Ja",ISNUMBER(Y333)),Y333,IF(Parameter!$B$20="Jahresanfang 2025 + Export",BR333+BQ333,BQ333)))</f>
        <v>154</v>
      </c>
      <c r="I333" s="50" t="n">
        <f aca="false">H333*G333</f>
        <v>1904.98</v>
      </c>
      <c r="J333" s="50" t="n">
        <f aca="false">BT333*Parameter!$B$18</f>
        <v>234</v>
      </c>
      <c r="K333" s="51" t="n">
        <v>120</v>
      </c>
      <c r="L333" s="52" t="n">
        <v>1.95</v>
      </c>
      <c r="M333" s="50" t="n">
        <v>30</v>
      </c>
      <c r="N333" s="50" t="n">
        <v>215</v>
      </c>
      <c r="O333" s="53" t="n">
        <v>42</v>
      </c>
      <c r="P333" s="48" t="s">
        <v>302</v>
      </c>
      <c r="Q333" s="50" t="n">
        <v>45</v>
      </c>
      <c r="R333" s="53" t="n">
        <f aca="false">IF(BZ333=1,0,IFERROR(VLOOKUP(BX333,'Gebinde-Kategorie'!$A$5:$N$45,13,0)+0,0))</f>
        <v>12</v>
      </c>
      <c r="S333" s="54"/>
      <c r="T333" s="55"/>
      <c r="U333" s="55"/>
      <c r="V333" s="55"/>
      <c r="W333" s="48"/>
      <c r="X333" s="50"/>
      <c r="Y333" s="50"/>
      <c r="Z333" s="48" t="n">
        <f aca="false">IF(A333="","",IF(AND(Parameter!$B$21="Ja",ISNUMBER(W333)),W333,IF(CC333="2+3",IF(ISNUMBER(SEARCH("grosser Artikel",BU333)),2,IFERROR(VLOOKUP(BX333,Parameter!$F$35:$G$64,2,0),2)),IF(OR(CC333="Nein",CC333=""),"-",CC333))))</f>
        <v>2</v>
      </c>
      <c r="AA333" s="55"/>
      <c r="AB333" s="56"/>
      <c r="AC333" s="50" t="n">
        <f aca="false">AV333</f>
        <v>245</v>
      </c>
      <c r="AD333" s="50" t="n">
        <f aca="false">MAX(AV333,H333)</f>
        <v>245</v>
      </c>
      <c r="AE333" s="57"/>
      <c r="AF333" s="50" t="n">
        <f aca="false">IF(LEFT(Cockpit!$C$5,1)="A",H333,IF(Parameter!$E$30="MAX-Bestand",IF(CH333=1,CI333,IF(LEFT(Cockpit!$C$5,1)="B",AL333,MAX(AL333,H333))),ROUNDUP(AJ333,0)))</f>
        <v>154</v>
      </c>
      <c r="AG333" s="50" t="n">
        <f aca="false">IF(BZ333=1,0,ROUNDUP(AF333/BY333,0))</f>
        <v>4</v>
      </c>
      <c r="AH333" s="52" t="n">
        <f aca="false">IF(CQ333&gt;0,CQ333*MAX(1,AF333/X333),IF(BZ333=1,IF(AF333&lt;=0,0,CD333*MAX(1,IF(H333&gt;0,AF333/H333,1))),IF(R333&gt;0,AG333/R333,0))/MAX(0.1,N(Parameter!$M$21)))</f>
        <v>0.333333333333333</v>
      </c>
      <c r="AI333" s="50" t="n">
        <f aca="false">AH333*CB333</f>
        <v>81.6666666666667</v>
      </c>
      <c r="AJ333" s="51" t="n">
        <f aca="false">IF(LEFT(Cockpit!$C$5,1)="A",H333,IF(CH333=1,(CK333+CI333)/2,IF(LEFT(Cockpit!$C$5,1)="B",(CK333+AL333)/2,MAX((CK333+AL333)/2,H333))))</f>
        <v>154</v>
      </c>
      <c r="AK333" s="50" t="n">
        <f aca="false">AJ333*G333</f>
        <v>1904.98</v>
      </c>
      <c r="AL333" s="50" t="n">
        <f aca="false">ROUNDUP(CK333+MAX(CL333,2*(J333/IF(CG333&gt;0,CG333,MAX(0.1,N(Cockpit!$C$6)))-CK333)),0)</f>
        <v>245</v>
      </c>
      <c r="AM333" s="51" t="n">
        <f aca="false">IF(AI333&gt;0,J333/AI333,-1)</f>
        <v>2.86530612244898</v>
      </c>
      <c r="AN333" s="51" t="n">
        <f aca="false">IF(AND(OR(CF333="L1",CF333="L23",CF333="LIFT"),AI333&gt;0),SUMIFS($AI$7:$AI$1843,$CF$7:$CF$1843,CF333,$AM$7:$AM$1843,"&gt;"&amp;AM333)+SUMIFS($AI$7:$AI$1843,$CF$7:$CF$1843,CF333,$AM$7:$AM$1843,AM333,$BW$7:$BW$1843,"&lt;="&amp;BW333),"")</f>
        <v>5250.18727106227</v>
      </c>
      <c r="AO333" s="58" t="n">
        <f aca="false">IF(AN333="",0,MAX(0,MIN(1,(IF(CF333="L1",Parameter!$H$5,IF(CF333="L23",Parameter!$H$6+Parameter!$H$7,Parameter!$H$5+Parameter!$H$6+Parameter!$H$7))-(AN333-AI333))/AI333)))</f>
        <v>1</v>
      </c>
      <c r="AP333" s="50" t="n">
        <f aca="false">IF(LEFT(Cockpit!$I$5,1)="A",H333,IF(Parameter!$E$30="MAX-Bestand",IF(CH333=1,CI333,IF(LEFT(Cockpit!$I$5,1)="B",AV333,MAX(AV333,H333))),ROUNDUP(AT333,0)))</f>
        <v>154</v>
      </c>
      <c r="AQ333" s="50" t="n">
        <f aca="false">IF(BZ333=1,0,ROUNDUP(AP333/BY333,0))</f>
        <v>4</v>
      </c>
      <c r="AR333" s="52" t="n">
        <f aca="false">IF(CQ333&gt;0,CQ333*MAX(1,AP333/X333),IF(BZ333=1,IF(AP333&lt;=0,0,CD333*MAX(1,IF(H333&gt;0,AP333/H333,1))),IF(R333&gt;0,AQ333/R333,0))/MAX(0.1,N(Parameter!$M$21)))</f>
        <v>0.333333333333333</v>
      </c>
      <c r="AS333" s="50" t="n">
        <f aca="false">AR333*CB333</f>
        <v>81.6666666666667</v>
      </c>
      <c r="AT333" s="51" t="n">
        <f aca="false">IF(LEFT(Cockpit!$I$5,1)="A",H333,IF(CH333=1,(CK333+CI333)/2,IF(LEFT(Cockpit!$I$5,1)="B",(CK333+AV333)/2,MAX((CK333+AV333)/2,H333))))</f>
        <v>154</v>
      </c>
      <c r="AU333" s="50" t="n">
        <f aca="false">AT333*G333</f>
        <v>1904.98</v>
      </c>
      <c r="AV333" s="50" t="n">
        <f aca="false">ROUNDUP(CK333+MAX(CL333,2*(J333/IF(CG333&gt;0,CG333,MAX(0.1,N(Cockpit!$I$6)))-CK333)),0)</f>
        <v>245</v>
      </c>
      <c r="AW333" s="51" t="n">
        <f aca="false">IF(AS333&gt;0,J333/AS333,-1)</f>
        <v>2.86530612244898</v>
      </c>
      <c r="AX333" s="51" t="n">
        <f aca="false">IF(AND(OR(CF333="L1",CF333="L23",CF333="LIFT"),AS333&gt;0),SUMIFS($AS$7:$AS$1843,$CF$7:$CF$1843,CF333,$AW$7:$AW$1843,"&gt;"&amp;AW333)+SUMIFS($AS$7:$AS$1843,$CF$7:$CF$1843,CF333,$AW$7:$AW$1843,AW333,$BW$7:$BW$1843,"&lt;="&amp;BW333),"")</f>
        <v>6084.66529304029</v>
      </c>
      <c r="AY333" s="58" t="n">
        <f aca="false">IF(AX333="",0,MAX(0,MIN(1,(IF(CF333="L1",Parameter!$H$5,IF(CF333="L23",Parameter!$H$6+Parameter!$H$7,Parameter!$H$5+Parameter!$H$6+Parameter!$H$7))-(AX333-AS333))/AS333)))</f>
        <v>1</v>
      </c>
      <c r="AZ333" s="50" t="n">
        <f aca="false">IF(LEFT(Cockpit!$O$5,1)="A",H333,IF(Parameter!$E$30="MAX-Bestand",IF(CH333=1,CI333,IF(LEFT(Cockpit!$O$5,1)="B",BF333,MAX(BF333,H333))),ROUNDUP(BD333,0)))</f>
        <v>138</v>
      </c>
      <c r="BA333" s="50" t="n">
        <f aca="false">IF(BZ333=1,0,ROUNDUP(AZ333/BY333,0))</f>
        <v>4</v>
      </c>
      <c r="BB333" s="52" t="n">
        <f aca="false">IF(CQ333&gt;0,CQ333*MAX(1,AZ333/X333),IF(BZ333=1,IF(AZ333&lt;=0,0,CD333*MAX(1,IF(H333&gt;0,AZ333/H333,1))),IF(R333&gt;0,BA333/R333,0))/MAX(0.1,N(Parameter!$M$21)))</f>
        <v>0.333333333333333</v>
      </c>
      <c r="BC333" s="50" t="n">
        <f aca="false">BB333*CB333</f>
        <v>81.6666666666667</v>
      </c>
      <c r="BD333" s="51" t="n">
        <f aca="false">IF(LEFT(Cockpit!$O$5,1)="A",H333,IF(CH333=1,(CK333+CI333)/2,IF(LEFT(Cockpit!$O$5,1)="B",(CK333+BF333)/2,MAX((CK333+BF333)/2,H333))))</f>
        <v>137.5</v>
      </c>
      <c r="BE333" s="50" t="n">
        <f aca="false">BD333*G333</f>
        <v>1700.875</v>
      </c>
      <c r="BF333" s="50" t="n">
        <f aca="false">ROUNDUP(CK333+MAX(CL333,2*(J333/IF(CG333&gt;0,CG333,MAX(0.1,N(Cockpit!$O$6)))-CK333)),0)</f>
        <v>245</v>
      </c>
      <c r="BG333" s="51" t="n">
        <f aca="false">IF(BC333&gt;0,J333/BC333,-1)</f>
        <v>2.86530612244898</v>
      </c>
      <c r="BH333" s="51" t="n">
        <f aca="false">IF(AND(OR(CF333="L1",CF333="L23",CF333="LIFT"),BC333&gt;0),SUMIFS($BC$7:$BC$1843,$CF$7:$CF$1843,CF333,$BG$7:$BG$1843,"&gt;"&amp;BG333)+SUMIFS($BC$7:$BC$1843,$CF$7:$CF$1843,CF333,$BG$7:$BG$1843,BG333,$BW$7:$BW$1843,"&lt;="&amp;BW333),"")</f>
        <v>4947.41529304029</v>
      </c>
      <c r="BI333" s="58" t="n">
        <f aca="false">IF(BH333="",0,MAX(0,MIN(1,(IF(CF333="L1",Parameter!$H$5,IF(CF333="L23",Parameter!$H$6+Parameter!$H$7,Parameter!$H$5+Parameter!$H$6+Parameter!$H$7))-(BH333-BC333))/BC333)))</f>
        <v>1</v>
      </c>
      <c r="BJ333" s="48" t="str">
        <f aca="false">IF(AI333&lt;=0,"",IF(CF333="Aussen","Aussenlager",IF(CF333="-","Nicht im Lift",IF(AO333&gt;=1,"Lift",IF(AO333&lt;=0,"Aussenlager","teilweise")))))</f>
        <v>Lift</v>
      </c>
      <c r="BK333" s="48" t="str">
        <f aca="false">IF(AS333&lt;=0,"",IF(CF333="Aussen","Aussenlager",IF(CF333="-","Nicht im Lift",IF(AY333&gt;=1,"Lift",IF(AY333&lt;=0,"Aussenlager","teilweise")))))</f>
        <v>Lift</v>
      </c>
      <c r="BL333" s="48" t="str">
        <f aca="false">IF(BC333&lt;=0,"",IF(CF333="Aussen","Aussenlager",IF(CF333="-","Nicht im Lift",IF(BI333&gt;=1,"Lift",IF(BI333&lt;=0,"Aussenlager","teilweise")))))</f>
        <v>Lift</v>
      </c>
      <c r="BM333" s="48" t="str">
        <f aca="false">IF(A333="","",IF(BV333=1,"Neu; ","")&amp;IF(AND(BV333=0,BQ333&lt;0),"negativer Bestand (Export "&amp;BQ333&amp;"); ","")&amp;IF(J333&lt;=0,"Kein Verbrauch; ","")&amp;IF(CQ333&gt;0,"Lift "&amp;W333&amp;" lt. Liftbericht (Fach "&amp;X333&amp;" Stk); ",IF(CA333=1,"Gebinde geschätzt ("&amp;T333&amp;"); ",IF(BZ333=1,"Lose – Tablare geschätzt; ","")))&amp;IF(H333&gt;AV333,"Überbestand "&amp;ROUND(H333-AV333,0)&amp;" Stk / CHF "&amp;ROUND((H333-AV333)*G333,0)&amp;"; ","")&amp;IF(AND(CH333=1,CI333&lt;CJ333),"MAX &lt; MB+LG; ","")&amp;IF(AND(CP333&gt;0,CO333*10&gt;CP333),"zu hoch für Tablar; ","")&amp;IF(AND(BV333=0,OR(CH333=1,AA333&lt;&gt;"",U333&lt;&gt;"",V333&lt;&gt;"",AB333&lt;&gt;"")),"manuell übersteuert; ","")&amp;IF(AND(BZ333=0,R333=0),"Gebinde unbekannt / Stellmass fehlt; ","")&amp;IF(AND(BZ333=0,N(V333)&lt;=0,N(Q333)&lt;=0),"Menge pro Gebinde fehlt (Ist = 1 Gebinde); ","")&amp;BU333)</f>
        <v>grosser Artikel &amp; nicht im KTL</v>
      </c>
      <c r="BN333" s="48"/>
      <c r="BO333" s="48"/>
      <c r="BP333" s="55"/>
      <c r="BQ333" s="50" t="n">
        <v>22</v>
      </c>
      <c r="BR333" s="50" t="n">
        <v>132</v>
      </c>
      <c r="BS333" s="49" t="n">
        <v>214.059999999999</v>
      </c>
      <c r="BT333" s="50" t="n">
        <v>234</v>
      </c>
      <c r="BU333" s="48" t="s">
        <v>270</v>
      </c>
      <c r="BV333" s="53" t="n">
        <v>0</v>
      </c>
      <c r="BW333" s="53" t="n">
        <v>333</v>
      </c>
      <c r="BX333" s="48" t="str">
        <f aca="false">IF(U333&lt;&gt;"",UPPER(TRIM(U333)),IF(CA333=1,UPPER(VLOOKUP(T333,Parameter!$I$27:$K$29,2,0)),IF(P333="","LOSE",P333)))</f>
        <v>S62</v>
      </c>
      <c r="BY333" s="50" t="n">
        <f aca="false">IF(BX333="LOSE",1,IF(N(V333)&gt;0,V333,IF(CA333=1,MAX(1,N(VLOOKUP(T333,Parameter!$I$27:$K$29,3,0)),H333,N(N333)),IF(N(Q333)&gt;0,Q333,MAX(1,H333)))))</f>
        <v>45</v>
      </c>
      <c r="BZ333" s="53" t="n">
        <f aca="false">IF(BX333="LOSE",1,0)</f>
        <v>0</v>
      </c>
      <c r="CA333" s="53" t="n">
        <f aca="false">IF(AND(U333="",OR(P333="",P333="LOSE"),T333&lt;&gt;"",N(S333)&lt;=0,ISNUMBER(MATCH(T333,Parameter!$I$27:$I$29,0))),1,0)</f>
        <v>0</v>
      </c>
      <c r="CB333" s="53" t="n">
        <f aca="false">IF(CQ333&gt;0,INDEX(Parameter!$H$5:$H$7,W333)/INDEX(Parameter!$E$5:$E$7,W333),IF(AND(BZ333=0,N(IFERROR(VLOOKUP(BX333,'Gebinde-Kategorie'!$A$5:$N$45,14,0),0))&gt;0),VLOOKUP(BX333,'Gebinde-Kategorie'!$A$5:$N$45,14,0)*10+Parameter!$M$23,Parameter!$M$24))</f>
        <v>245</v>
      </c>
      <c r="CC333" s="48" t="str">
        <f aca="false">IF(AND(Parameter!$B$19="Ja",E333&lt;&gt;"",ISNUMBER(MATCH(E333,Parameter!$I$35:$I$52,0))),VLOOKUP(E333,Parameter!$I$35:$J$52,2,0),IFERROR(VLOOKUP(D333,Parameter!$A$35:$C$64,2,0),"Nein"))</f>
        <v>2+3</v>
      </c>
      <c r="CD333" s="52" t="n">
        <f aca="false">IF(BZ333=0,0,IF(N(S333)&gt;0,S333,IFERROR(VLOOKUP(D333,Parameter!$A$35:$C$64,3,0)+0,0)))</f>
        <v>0</v>
      </c>
      <c r="CE333" s="48" t="n">
        <f aca="false">IF(AA333&lt;&gt;"",AA333,Z333)</f>
        <v>2</v>
      </c>
      <c r="CF333" s="48" t="str">
        <f aca="false">IF(OR(CE333=1,CE333=2,CE333=3),IF(Parameter!$E$27="Ja","LIFT",IF(CE333=1,"L1","L23")),IF(CE333="Aussen","Aussen","-"))</f>
        <v>LIFT</v>
      </c>
      <c r="CG333" s="59" t="n">
        <f aca="false">IF(N(AB333)&gt;0,AB333,0)</f>
        <v>0</v>
      </c>
      <c r="CH333" s="53" t="n">
        <f aca="false">IF(ISNUMBER(AE333),1,0)</f>
        <v>0</v>
      </c>
      <c r="CI333" s="50" t="n">
        <f aca="false">N(AE333)</f>
        <v>0</v>
      </c>
      <c r="CJ333" s="50" t="n">
        <f aca="false">N(M333)+N(N333)</f>
        <v>245</v>
      </c>
      <c r="CK333" s="50" t="n">
        <f aca="false">N(M333)</f>
        <v>30</v>
      </c>
      <c r="CL333" s="50" t="n">
        <f aca="false">N(N333)</f>
        <v>215</v>
      </c>
      <c r="CM333" s="50" t="n">
        <f aca="false">ROUNDUP(H333/BY333,0)</f>
        <v>4</v>
      </c>
      <c r="CN333" s="50" t="n">
        <f aca="false">ROUNDUP(CI333/BY333,0)</f>
        <v>0</v>
      </c>
      <c r="CO333" s="53" t="n">
        <f aca="false">IF(BZ333=1,0,IFERROR(VLOOKUP(BX333,'Gebinde-Kategorie'!$A$5:$N$45,5,0)+0,0))</f>
        <v>21</v>
      </c>
      <c r="CP333" s="53" t="n">
        <f aca="false">IFERROR(IF(OR(CE333=1,CE333=2,CE333=3),N(INDEX(Parameter!$I$5:$I$7,CE333)),0),0)</f>
        <v>0</v>
      </c>
      <c r="CQ333" s="52" t="n">
        <f aca="false">IF(AND(Parameter!$B$21="Ja",ISNUMBER(W333),N(X333)&gt;0),IFERROR(N(INDEX(Parameter!$L$5:$L$7,W333))*INDEX(Parameter!$E$5:$E$7,W333)*X333/SUMIFS($X$7:$X$1843,$W$7:$W$1843,W333),0),0)</f>
        <v>0</v>
      </c>
    </row>
    <row r="334" customFormat="false" ht="15" hidden="false" customHeight="false" outlineLevel="0" collapsed="false">
      <c r="A334" s="48" t="s">
        <v>838</v>
      </c>
      <c r="B334" s="48" t="s">
        <v>449</v>
      </c>
      <c r="C334" s="48" t="s">
        <v>173</v>
      </c>
      <c r="D334" s="48" t="s">
        <v>193</v>
      </c>
      <c r="E334" s="48" t="s">
        <v>194</v>
      </c>
      <c r="F334" s="48" t="s">
        <v>227</v>
      </c>
      <c r="G334" s="49" t="n">
        <v>107</v>
      </c>
      <c r="H334" s="50" t="n">
        <f aca="false">MAX(0,IF(AND(Parameter!$B$21="Ja",ISNUMBER(Y334)),Y334,IF(Parameter!$B$20="Jahresanfang 2025 + Export",BR334+BQ334,BQ334)))</f>
        <v>21</v>
      </c>
      <c r="I334" s="50" t="n">
        <f aca="false">H334*G334</f>
        <v>2247</v>
      </c>
      <c r="J334" s="50" t="n">
        <f aca="false">BT334*Parameter!$B$18</f>
        <v>6</v>
      </c>
      <c r="K334" s="51" t="n">
        <v>16</v>
      </c>
      <c r="L334" s="52" t="n">
        <v>0.375</v>
      </c>
      <c r="M334" s="50" t="n">
        <v>1</v>
      </c>
      <c r="N334" s="50" t="n">
        <v>5</v>
      </c>
      <c r="O334" s="53" t="n">
        <v>84</v>
      </c>
      <c r="P334" s="48" t="s">
        <v>242</v>
      </c>
      <c r="Q334" s="50" t="n">
        <v>23</v>
      </c>
      <c r="R334" s="53" t="n">
        <f aca="false">IF(BZ334=1,0,IFERROR(VLOOKUP(BX334,'Gebinde-Kategorie'!$A$5:$N$45,13,0)+0,0))</f>
        <v>26</v>
      </c>
      <c r="S334" s="54"/>
      <c r="T334" s="55"/>
      <c r="U334" s="55"/>
      <c r="V334" s="55"/>
      <c r="W334" s="48"/>
      <c r="X334" s="50"/>
      <c r="Y334" s="50"/>
      <c r="Z334" s="48" t="n">
        <f aca="false">IF(A334="","",IF(AND(Parameter!$B$21="Ja",ISNUMBER(W334)),W334,IF(CC334="2+3",IF(ISNUMBER(SEARCH("grosser Artikel",BU334)),2,IFERROR(VLOOKUP(BX334,Parameter!$F$35:$G$64,2,0),2)),IF(OR(CC334="Nein",CC334=""),"-",CC334))))</f>
        <v>3</v>
      </c>
      <c r="AA334" s="55"/>
      <c r="AB334" s="56"/>
      <c r="AC334" s="50" t="n">
        <f aca="false">AV334</f>
        <v>6</v>
      </c>
      <c r="AD334" s="50" t="n">
        <f aca="false">MAX(AV334,H334)</f>
        <v>21</v>
      </c>
      <c r="AE334" s="57"/>
      <c r="AF334" s="50" t="n">
        <f aca="false">IF(LEFT(Cockpit!$C$5,1)="A",H334,IF(Parameter!$E$30="MAX-Bestand",IF(CH334=1,CI334,IF(LEFT(Cockpit!$C$5,1)="B",AL334,MAX(AL334,H334))),ROUNDUP(AJ334,0)))</f>
        <v>21</v>
      </c>
      <c r="AG334" s="50" t="n">
        <f aca="false">IF(BZ334=1,0,ROUNDUP(AF334/BY334,0))</f>
        <v>1</v>
      </c>
      <c r="AH334" s="52" t="n">
        <f aca="false">IF(CQ334&gt;0,CQ334*MAX(1,AF334/X334),IF(BZ334=1,IF(AF334&lt;=0,0,CD334*MAX(1,IF(H334&gt;0,AF334/H334,1))),IF(R334&gt;0,AG334/R334,0))/MAX(0.1,N(Parameter!$M$21)))</f>
        <v>0.0384615384615385</v>
      </c>
      <c r="AI334" s="50" t="n">
        <f aca="false">AH334*CB334</f>
        <v>9.42307692307692</v>
      </c>
      <c r="AJ334" s="51" t="n">
        <f aca="false">IF(LEFT(Cockpit!$C$5,1)="A",H334,IF(CH334=1,(CK334+CI334)/2,IF(LEFT(Cockpit!$C$5,1)="B",(CK334+AL334)/2,MAX((CK334+AL334)/2,H334))))</f>
        <v>21</v>
      </c>
      <c r="AK334" s="50" t="n">
        <f aca="false">AJ334*G334</f>
        <v>2247</v>
      </c>
      <c r="AL334" s="50" t="n">
        <f aca="false">ROUNDUP(CK334+MAX(CL334,2*(J334/IF(CG334&gt;0,CG334,MAX(0.1,N(Cockpit!$C$6)))-CK334)),0)</f>
        <v>6</v>
      </c>
      <c r="AM334" s="51" t="n">
        <f aca="false">IF(AI334&gt;0,J334/AI334,-1)</f>
        <v>0.636734693877551</v>
      </c>
      <c r="AN334" s="51" t="n">
        <f aca="false">IF(AND(OR(CF334="L1",CF334="L23",CF334="LIFT"),AI334&gt;0),SUMIFS($AI$7:$AI$1843,$CF$7:$CF$1843,CF334,$AM$7:$AM$1843,"&gt;"&amp;AM334)+SUMIFS($AI$7:$AI$1843,$CF$7:$CF$1843,CF334,$AM$7:$AM$1843,AM334,$BW$7:$BW$1843,"&lt;="&amp;BW334),"")</f>
        <v>8858.82051282051</v>
      </c>
      <c r="AO334" s="58" t="n">
        <f aca="false">IF(AN334="",0,MAX(0,MIN(1,(IF(CF334="L1",Parameter!$H$5,IF(CF334="L23",Parameter!$H$6+Parameter!$H$7,Parameter!$H$5+Parameter!$H$6+Parameter!$H$7))-(AN334-AI334))/AI334)))</f>
        <v>1</v>
      </c>
      <c r="AP334" s="50" t="n">
        <f aca="false">IF(LEFT(Cockpit!$I$5,1)="A",H334,IF(Parameter!$E$30="MAX-Bestand",IF(CH334=1,CI334,IF(LEFT(Cockpit!$I$5,1)="B",AV334,MAX(AV334,H334))),ROUNDUP(AT334,0)))</f>
        <v>21</v>
      </c>
      <c r="AQ334" s="50" t="n">
        <f aca="false">IF(BZ334=1,0,ROUNDUP(AP334/BY334,0))</f>
        <v>1</v>
      </c>
      <c r="AR334" s="52" t="n">
        <f aca="false">IF(CQ334&gt;0,CQ334*MAX(1,AP334/X334),IF(BZ334=1,IF(AP334&lt;=0,0,CD334*MAX(1,IF(H334&gt;0,AP334/H334,1))),IF(R334&gt;0,AQ334/R334,0))/MAX(0.1,N(Parameter!$M$21)))</f>
        <v>0.0384615384615385</v>
      </c>
      <c r="AS334" s="50" t="n">
        <f aca="false">AR334*CB334</f>
        <v>9.42307692307692</v>
      </c>
      <c r="AT334" s="51" t="n">
        <f aca="false">IF(LEFT(Cockpit!$I$5,1)="A",H334,IF(CH334=1,(CK334+CI334)/2,IF(LEFT(Cockpit!$I$5,1)="B",(CK334+AV334)/2,MAX((CK334+AV334)/2,H334))))</f>
        <v>21</v>
      </c>
      <c r="AU334" s="50" t="n">
        <f aca="false">AT334*G334</f>
        <v>2247</v>
      </c>
      <c r="AV334" s="50" t="n">
        <f aca="false">ROUNDUP(CK334+MAX(CL334,2*(J334/IF(CG334&gt;0,CG334,MAX(0.1,N(Cockpit!$I$6)))-CK334)),0)</f>
        <v>6</v>
      </c>
      <c r="AW334" s="51" t="n">
        <f aca="false">IF(AS334&gt;0,J334/AS334,-1)</f>
        <v>0.636734693877551</v>
      </c>
      <c r="AX334" s="51" t="n">
        <f aca="false">IF(AND(OR(CF334="L1",CF334="L23",CF334="LIFT"),AS334&gt;0),SUMIFS($AS$7:$AS$1843,$CF$7:$CF$1843,CF334,$AW$7:$AW$1843,"&gt;"&amp;AW334)+SUMIFS($AS$7:$AS$1843,$CF$7:$CF$1843,CF334,$AW$7:$AW$1843,AW334,$BW$7:$BW$1843,"&lt;="&amp;BW334),"")</f>
        <v>11158.9496336996</v>
      </c>
      <c r="AY334" s="58" t="n">
        <f aca="false">IF(AX334="",0,MAX(0,MIN(1,(IF(CF334="L1",Parameter!$H$5,IF(CF334="L23",Parameter!$H$6+Parameter!$H$7,Parameter!$H$5+Parameter!$H$6+Parameter!$H$7))-(AX334-AS334))/AS334)))</f>
        <v>1</v>
      </c>
      <c r="AZ334" s="50" t="n">
        <f aca="false">IF(LEFT(Cockpit!$O$5,1)="A",H334,IF(Parameter!$E$30="MAX-Bestand",IF(CH334=1,CI334,IF(LEFT(Cockpit!$O$5,1)="B",BF334,MAX(BF334,H334))),ROUNDUP(BD334,0)))</f>
        <v>4</v>
      </c>
      <c r="BA334" s="50" t="n">
        <f aca="false">IF(BZ334=1,0,ROUNDUP(AZ334/BY334,0))</f>
        <v>1</v>
      </c>
      <c r="BB334" s="52" t="n">
        <f aca="false">IF(CQ334&gt;0,CQ334*MAX(1,AZ334/X334),IF(BZ334=1,IF(AZ334&lt;=0,0,CD334*MAX(1,IF(H334&gt;0,AZ334/H334,1))),IF(R334&gt;0,BA334/R334,0))/MAX(0.1,N(Parameter!$M$21)))</f>
        <v>0.0384615384615385</v>
      </c>
      <c r="BC334" s="50" t="n">
        <f aca="false">BB334*CB334</f>
        <v>9.42307692307692</v>
      </c>
      <c r="BD334" s="51" t="n">
        <f aca="false">IF(LEFT(Cockpit!$O$5,1)="A",H334,IF(CH334=1,(CK334+CI334)/2,IF(LEFT(Cockpit!$O$5,1)="B",(CK334+BF334)/2,MAX((CK334+BF334)/2,H334))))</f>
        <v>3.5</v>
      </c>
      <c r="BE334" s="50" t="n">
        <f aca="false">BD334*G334</f>
        <v>374.5</v>
      </c>
      <c r="BF334" s="50" t="n">
        <f aca="false">ROUNDUP(CK334+MAX(CL334,2*(J334/IF(CG334&gt;0,CG334,MAX(0.1,N(Cockpit!$O$6)))-CK334)),0)</f>
        <v>6</v>
      </c>
      <c r="BG334" s="51" t="n">
        <f aca="false">IF(BC334&gt;0,J334/BC334,-1)</f>
        <v>0.636734693877551</v>
      </c>
      <c r="BH334" s="51" t="n">
        <f aca="false">IF(AND(OR(CF334="L1",CF334="L23",CF334="LIFT"),BC334&gt;0),SUMIFS($BC$7:$BC$1843,$CF$7:$CF$1843,CF334,$BG$7:$BG$1843,"&gt;"&amp;BG334)+SUMIFS($BC$7:$BC$1843,$CF$7:$CF$1843,CF334,$BG$7:$BG$1843,BG334,$BW$7:$BW$1843,"&lt;="&amp;BW334),"")</f>
        <v>9733.87225274725</v>
      </c>
      <c r="BI334" s="58" t="n">
        <f aca="false">IF(BH334="",0,MAX(0,MIN(1,(IF(CF334="L1",Parameter!$H$5,IF(CF334="L23",Parameter!$H$6+Parameter!$H$7,Parameter!$H$5+Parameter!$H$6+Parameter!$H$7))-(BH334-BC334))/BC334)))</f>
        <v>1</v>
      </c>
      <c r="BJ334" s="48" t="str">
        <f aca="false">IF(AI334&lt;=0,"",IF(CF334="Aussen","Aussenlager",IF(CF334="-","Nicht im Lift",IF(AO334&gt;=1,"Lift",IF(AO334&lt;=0,"Aussenlager","teilweise")))))</f>
        <v>Lift</v>
      </c>
      <c r="BK334" s="48" t="str">
        <f aca="false">IF(AS334&lt;=0,"",IF(CF334="Aussen","Aussenlager",IF(CF334="-","Nicht im Lift",IF(AY334&gt;=1,"Lift",IF(AY334&lt;=0,"Aussenlager","teilweise")))))</f>
        <v>Lift</v>
      </c>
      <c r="BL334" s="48" t="str">
        <f aca="false">IF(BC334&lt;=0,"",IF(CF334="Aussen","Aussenlager",IF(CF334="-","Nicht im Lift",IF(BI334&gt;=1,"Lift",IF(BI334&lt;=0,"Aussenlager","teilweise")))))</f>
        <v>Lift</v>
      </c>
      <c r="BM334" s="48" t="str">
        <f aca="false">IF(A334="","",IF(BV334=1,"Neu; ","")&amp;IF(AND(BV334=0,BQ334&lt;0),"negativer Bestand (Export "&amp;BQ334&amp;"); ","")&amp;IF(J334&lt;=0,"Kein Verbrauch; ","")&amp;IF(CQ334&gt;0,"Lift "&amp;W334&amp;" lt. Liftbericht (Fach "&amp;X334&amp;" Stk); ",IF(CA334=1,"Gebinde geschätzt ("&amp;T334&amp;"); ",IF(BZ334=1,"Lose – Tablare geschätzt; ","")))&amp;IF(H334&gt;AV334,"Überbestand "&amp;ROUND(H334-AV334,0)&amp;" Stk / CHF "&amp;ROUND((H334-AV334)*G334,0)&amp;"; ","")&amp;IF(AND(CH334=1,CI334&lt;CJ334),"MAX &lt; MB+LG; ","")&amp;IF(AND(CP334&gt;0,CO334*10&gt;CP334),"zu hoch für Tablar; ","")&amp;IF(AND(BV334=0,OR(CH334=1,AA334&lt;&gt;"",U334&lt;&gt;"",V334&lt;&gt;"",AB334&lt;&gt;"")),"manuell übersteuert; ","")&amp;IF(AND(BZ334=0,R334=0),"Gebinde unbekannt / Stellmass fehlt; ","")&amp;IF(AND(BZ334=0,N(V334)&lt;=0,N(Q334)&lt;=0),"Menge pro Gebinde fehlt (Ist = 1 Gebinde); ","")&amp;BU334)</f>
        <v>Überbestand 15 Stk / CHF 1605; </v>
      </c>
      <c r="BN334" s="48"/>
      <c r="BO334" s="48"/>
      <c r="BP334" s="55"/>
      <c r="BQ334" s="50" t="n">
        <v>2</v>
      </c>
      <c r="BR334" s="50" t="n">
        <v>19</v>
      </c>
      <c r="BS334" s="49" t="n">
        <v>214</v>
      </c>
      <c r="BT334" s="50" t="n">
        <v>6</v>
      </c>
      <c r="BU334" s="48"/>
      <c r="BV334" s="53" t="n">
        <v>0</v>
      </c>
      <c r="BW334" s="53" t="n">
        <v>334</v>
      </c>
      <c r="BX334" s="48" t="str">
        <f aca="false">IF(U334&lt;&gt;"",UPPER(TRIM(U334)),IF(CA334=1,UPPER(VLOOKUP(T334,Parameter!$I$27:$K$29,2,0)),IF(P334="","LOSE",P334)))</f>
        <v>S52</v>
      </c>
      <c r="BY334" s="50" t="n">
        <f aca="false">IF(BX334="LOSE",1,IF(N(V334)&gt;0,V334,IF(CA334=1,MAX(1,N(VLOOKUP(T334,Parameter!$I$27:$K$29,3,0)),H334,N(N334)),IF(N(Q334)&gt;0,Q334,MAX(1,H334)))))</f>
        <v>23</v>
      </c>
      <c r="BZ334" s="53" t="n">
        <f aca="false">IF(BX334="LOSE",1,0)</f>
        <v>0</v>
      </c>
      <c r="CA334" s="53" t="n">
        <f aca="false">IF(AND(U334="",OR(P334="",P334="LOSE"),T334&lt;&gt;"",N(S334)&lt;=0,ISNUMBER(MATCH(T334,Parameter!$I$27:$I$29,0))),1,0)</f>
        <v>0</v>
      </c>
      <c r="CB334" s="53" t="n">
        <f aca="false">IF(CQ334&gt;0,INDEX(Parameter!$H$5:$H$7,W334)/INDEX(Parameter!$E$5:$E$7,W334),IF(AND(BZ334=0,N(IFERROR(VLOOKUP(BX334,'Gebinde-Kategorie'!$A$5:$N$45,14,0),0))&gt;0),VLOOKUP(BX334,'Gebinde-Kategorie'!$A$5:$N$45,14,0)*10+Parameter!$M$23,Parameter!$M$24))</f>
        <v>245</v>
      </c>
      <c r="CC334" s="48" t="str">
        <f aca="false">IF(AND(Parameter!$B$19="Ja",E334&lt;&gt;"",ISNUMBER(MATCH(E334,Parameter!$I$35:$I$52,0))),VLOOKUP(E334,Parameter!$I$35:$J$52,2,0),IFERROR(VLOOKUP(D334,Parameter!$A$35:$C$64,2,0),"Nein"))</f>
        <v>2+3</v>
      </c>
      <c r="CD334" s="52" t="n">
        <f aca="false">IF(BZ334=0,0,IF(N(S334)&gt;0,S334,IFERROR(VLOOKUP(D334,Parameter!$A$35:$C$64,3,0)+0,0)))</f>
        <v>0</v>
      </c>
      <c r="CE334" s="48" t="n">
        <f aca="false">IF(AA334&lt;&gt;"",AA334,Z334)</f>
        <v>3</v>
      </c>
      <c r="CF334" s="48" t="str">
        <f aca="false">IF(OR(CE334=1,CE334=2,CE334=3),IF(Parameter!$E$27="Ja","LIFT",IF(CE334=1,"L1","L23")),IF(CE334="Aussen","Aussen","-"))</f>
        <v>LIFT</v>
      </c>
      <c r="CG334" s="59" t="n">
        <f aca="false">IF(N(AB334)&gt;0,AB334,0)</f>
        <v>0</v>
      </c>
      <c r="CH334" s="53" t="n">
        <f aca="false">IF(ISNUMBER(AE334),1,0)</f>
        <v>0</v>
      </c>
      <c r="CI334" s="50" t="n">
        <f aca="false">N(AE334)</f>
        <v>0</v>
      </c>
      <c r="CJ334" s="50" t="n">
        <f aca="false">N(M334)+N(N334)</f>
        <v>6</v>
      </c>
      <c r="CK334" s="50" t="n">
        <f aca="false">N(M334)</f>
        <v>1</v>
      </c>
      <c r="CL334" s="50" t="n">
        <f aca="false">N(N334)</f>
        <v>5</v>
      </c>
      <c r="CM334" s="50" t="n">
        <f aca="false">ROUNDUP(H334/BY334,0)</f>
        <v>1</v>
      </c>
      <c r="CN334" s="50" t="n">
        <f aca="false">ROUNDUP(CI334/BY334,0)</f>
        <v>0</v>
      </c>
      <c r="CO334" s="53" t="n">
        <f aca="false">IF(BZ334=1,0,IFERROR(VLOOKUP(BX334,'Gebinde-Kategorie'!$A$5:$N$45,5,0)+0,0))</f>
        <v>21</v>
      </c>
      <c r="CP334" s="53" t="n">
        <f aca="false">IFERROR(IF(OR(CE334=1,CE334=2,CE334=3),N(INDEX(Parameter!$I$5:$I$7,CE334)),0),0)</f>
        <v>0</v>
      </c>
      <c r="CQ334" s="52" t="n">
        <f aca="false">IF(AND(Parameter!$B$21="Ja",ISNUMBER(W334),N(X334)&gt;0),IFERROR(N(INDEX(Parameter!$L$5:$L$7,W334))*INDEX(Parameter!$E$5:$E$7,W334)*X334/SUMIFS($X$7:$X$1843,$W$7:$W$1843,W334),0),0)</f>
        <v>0</v>
      </c>
    </row>
    <row r="335" customFormat="false" ht="15" hidden="false" customHeight="false" outlineLevel="0" collapsed="false">
      <c r="A335" s="48" t="s">
        <v>839</v>
      </c>
      <c r="B335" s="48" t="s">
        <v>840</v>
      </c>
      <c r="C335" s="48" t="s">
        <v>173</v>
      </c>
      <c r="D335" s="48" t="s">
        <v>193</v>
      </c>
      <c r="E335" s="48" t="s">
        <v>194</v>
      </c>
      <c r="F335" s="48" t="s">
        <v>227</v>
      </c>
      <c r="G335" s="49" t="n">
        <v>43.47</v>
      </c>
      <c r="H335" s="50" t="n">
        <f aca="false">MAX(0,IF(AND(Parameter!$B$21="Ja",ISNUMBER(Y335)),Y335,IF(Parameter!$B$20="Jahresanfang 2025 + Export",BR335+BQ335,BQ335)))</f>
        <v>15</v>
      </c>
      <c r="I335" s="50" t="n">
        <f aca="false">H335*G335</f>
        <v>652.05</v>
      </c>
      <c r="J335" s="50" t="n">
        <f aca="false">BT335*Parameter!$B$18</f>
        <v>6</v>
      </c>
      <c r="K335" s="51" t="n">
        <v>10</v>
      </c>
      <c r="L335" s="52" t="n">
        <v>0.6</v>
      </c>
      <c r="M335" s="50" t="n">
        <v>0</v>
      </c>
      <c r="N335" s="50" t="n">
        <v>5</v>
      </c>
      <c r="O335" s="53" t="n">
        <v>35</v>
      </c>
      <c r="P335" s="48" t="s">
        <v>485</v>
      </c>
      <c r="Q335" s="50" t="n">
        <v>18</v>
      </c>
      <c r="R335" s="53" t="n">
        <f aca="false">IF(BZ335=1,0,IFERROR(VLOOKUP(BX335,'Gebinde-Kategorie'!$A$5:$N$45,13,0)+0,0))</f>
        <v>52</v>
      </c>
      <c r="S335" s="54"/>
      <c r="T335" s="55"/>
      <c r="U335" s="55"/>
      <c r="V335" s="55"/>
      <c r="W335" s="48"/>
      <c r="X335" s="50"/>
      <c r="Y335" s="50"/>
      <c r="Z335" s="48" t="n">
        <f aca="false">IF(A335="","",IF(AND(Parameter!$B$21="Ja",ISNUMBER(W335)),W335,IF(CC335="2+3",IF(ISNUMBER(SEARCH("grosser Artikel",BU335)),2,IFERROR(VLOOKUP(BX335,Parameter!$F$35:$G$64,2,0),2)),IF(OR(CC335="Nein",CC335=""),"-",CC335))))</f>
        <v>3</v>
      </c>
      <c r="AA335" s="55"/>
      <c r="AB335" s="56"/>
      <c r="AC335" s="50" t="n">
        <f aca="false">AV335</f>
        <v>5</v>
      </c>
      <c r="AD335" s="50" t="n">
        <f aca="false">MAX(AV335,H335)</f>
        <v>15</v>
      </c>
      <c r="AE335" s="57"/>
      <c r="AF335" s="50" t="n">
        <f aca="false">IF(LEFT(Cockpit!$C$5,1)="A",H335,IF(Parameter!$E$30="MAX-Bestand",IF(CH335=1,CI335,IF(LEFT(Cockpit!$C$5,1)="B",AL335,MAX(AL335,H335))),ROUNDUP(AJ335,0)))</f>
        <v>15</v>
      </c>
      <c r="AG335" s="50" t="n">
        <f aca="false">IF(BZ335=1,0,ROUNDUP(AF335/BY335,0))</f>
        <v>1</v>
      </c>
      <c r="AH335" s="52" t="n">
        <f aca="false">IF(CQ335&gt;0,CQ335*MAX(1,AF335/X335),IF(BZ335=1,IF(AF335&lt;=0,0,CD335*MAX(1,IF(H335&gt;0,AF335/H335,1))),IF(R335&gt;0,AG335/R335,0))/MAX(0.1,N(Parameter!$M$21)))</f>
        <v>0.0192307692307692</v>
      </c>
      <c r="AI335" s="50" t="n">
        <f aca="false">AH335*CB335</f>
        <v>2.98076923076923</v>
      </c>
      <c r="AJ335" s="51" t="n">
        <f aca="false">IF(LEFT(Cockpit!$C$5,1)="A",H335,IF(CH335=1,(CK335+CI335)/2,IF(LEFT(Cockpit!$C$5,1)="B",(CK335+AL335)/2,MAX((CK335+AL335)/2,H335))))</f>
        <v>15</v>
      </c>
      <c r="AK335" s="50" t="n">
        <f aca="false">AJ335*G335</f>
        <v>652.05</v>
      </c>
      <c r="AL335" s="50" t="n">
        <f aca="false">ROUNDUP(CK335+MAX(CL335,2*(J335/IF(CG335&gt;0,CG335,MAX(0.1,N(Cockpit!$C$6)))-CK335)),0)</f>
        <v>5</v>
      </c>
      <c r="AM335" s="51" t="n">
        <f aca="false">IF(AI335&gt;0,J335/AI335,-1)</f>
        <v>2.01290322580645</v>
      </c>
      <c r="AN335" s="51" t="n">
        <f aca="false">IF(AND(OR(CF335="L1",CF335="L23",CF335="LIFT"),AI335&gt;0),SUMIFS($AI$7:$AI$1843,$CF$7:$CF$1843,CF335,$AM$7:$AM$1843,"&gt;"&amp;AM335)+SUMIFS($AI$7:$AI$1843,$CF$7:$CF$1843,CF335,$AM$7:$AM$1843,AM335,$BW$7:$BW$1843,"&lt;="&amp;BW335),"")</f>
        <v>5777.43635531136</v>
      </c>
      <c r="AO335" s="58" t="n">
        <f aca="false">IF(AN335="",0,MAX(0,MIN(1,(IF(CF335="L1",Parameter!$H$5,IF(CF335="L23",Parameter!$H$6+Parameter!$H$7,Parameter!$H$5+Parameter!$H$6+Parameter!$H$7))-(AN335-AI335))/AI335)))</f>
        <v>1</v>
      </c>
      <c r="AP335" s="50" t="n">
        <f aca="false">IF(LEFT(Cockpit!$I$5,1)="A",H335,IF(Parameter!$E$30="MAX-Bestand",IF(CH335=1,CI335,IF(LEFT(Cockpit!$I$5,1)="B",AV335,MAX(AV335,H335))),ROUNDUP(AT335,0)))</f>
        <v>15</v>
      </c>
      <c r="AQ335" s="50" t="n">
        <f aca="false">IF(BZ335=1,0,ROUNDUP(AP335/BY335,0))</f>
        <v>1</v>
      </c>
      <c r="AR335" s="52" t="n">
        <f aca="false">IF(CQ335&gt;0,CQ335*MAX(1,AP335/X335),IF(BZ335=1,IF(AP335&lt;=0,0,CD335*MAX(1,IF(H335&gt;0,AP335/H335,1))),IF(R335&gt;0,AQ335/R335,0))/MAX(0.1,N(Parameter!$M$21)))</f>
        <v>0.0192307692307692</v>
      </c>
      <c r="AS335" s="50" t="n">
        <f aca="false">AR335*CB335</f>
        <v>2.98076923076923</v>
      </c>
      <c r="AT335" s="51" t="n">
        <f aca="false">IF(LEFT(Cockpit!$I$5,1)="A",H335,IF(CH335=1,(CK335+CI335)/2,IF(LEFT(Cockpit!$I$5,1)="B",(CK335+AV335)/2,MAX((CK335+AV335)/2,H335))))</f>
        <v>15</v>
      </c>
      <c r="AU335" s="50" t="n">
        <f aca="false">AT335*G335</f>
        <v>652.05</v>
      </c>
      <c r="AV335" s="50" t="n">
        <f aca="false">ROUNDUP(CK335+MAX(CL335,2*(J335/IF(CG335&gt;0,CG335,MAX(0.1,N(Cockpit!$I$6)))-CK335)),0)</f>
        <v>5</v>
      </c>
      <c r="AW335" s="51" t="n">
        <f aca="false">IF(AS335&gt;0,J335/AS335,-1)</f>
        <v>2.01290322580645</v>
      </c>
      <c r="AX335" s="51" t="n">
        <f aca="false">IF(AND(OR(CF335="L1",CF335="L23",CF335="LIFT"),AS335&gt;0),SUMIFS($AS$7:$AS$1843,$CF$7:$CF$1843,CF335,$AW$7:$AW$1843,"&gt;"&amp;AW335)+SUMIFS($AS$7:$AS$1843,$CF$7:$CF$1843,CF335,$AW$7:$AW$1843,AW335,$BW$7:$BW$1843,"&lt;="&amp;BW335),"")</f>
        <v>7145.37591575092</v>
      </c>
      <c r="AY335" s="58" t="n">
        <f aca="false">IF(AX335="",0,MAX(0,MIN(1,(IF(CF335="L1",Parameter!$H$5,IF(CF335="L23",Parameter!$H$6+Parameter!$H$7,Parameter!$H$5+Parameter!$H$6+Parameter!$H$7))-(AX335-AS335))/AS335)))</f>
        <v>1</v>
      </c>
      <c r="AZ335" s="50" t="n">
        <f aca="false">IF(LEFT(Cockpit!$O$5,1)="A",H335,IF(Parameter!$E$30="MAX-Bestand",IF(CH335=1,CI335,IF(LEFT(Cockpit!$O$5,1)="B",BF335,MAX(BF335,H335))),ROUNDUP(BD335,0)))</f>
        <v>3</v>
      </c>
      <c r="BA335" s="50" t="n">
        <f aca="false">IF(BZ335=1,0,ROUNDUP(AZ335/BY335,0))</f>
        <v>1</v>
      </c>
      <c r="BB335" s="52" t="n">
        <f aca="false">IF(CQ335&gt;0,CQ335*MAX(1,AZ335/X335),IF(BZ335=1,IF(AZ335&lt;=0,0,CD335*MAX(1,IF(H335&gt;0,AZ335/H335,1))),IF(R335&gt;0,BA335/R335,0))/MAX(0.1,N(Parameter!$M$21)))</f>
        <v>0.0192307692307692</v>
      </c>
      <c r="BC335" s="50" t="n">
        <f aca="false">BB335*CB335</f>
        <v>2.98076923076923</v>
      </c>
      <c r="BD335" s="51" t="n">
        <f aca="false">IF(LEFT(Cockpit!$O$5,1)="A",H335,IF(CH335=1,(CK335+CI335)/2,IF(LEFT(Cockpit!$O$5,1)="B",(CK335+BF335)/2,MAX((CK335+BF335)/2,H335))))</f>
        <v>2.5</v>
      </c>
      <c r="BE335" s="50" t="n">
        <f aca="false">BD335*G335</f>
        <v>108.675</v>
      </c>
      <c r="BF335" s="50" t="n">
        <f aca="false">ROUNDUP(CK335+MAX(CL335,2*(J335/IF(CG335&gt;0,CG335,MAX(0.1,N(Cockpit!$O$6)))-CK335)),0)</f>
        <v>5</v>
      </c>
      <c r="BG335" s="51" t="n">
        <f aca="false">IF(BC335&gt;0,J335/BC335,-1)</f>
        <v>2.01290322580645</v>
      </c>
      <c r="BH335" s="51" t="n">
        <f aca="false">IF(AND(OR(CF335="L1",CF335="L23",CF335="LIFT"),BC335&gt;0),SUMIFS($BC$7:$BC$1843,$CF$7:$CF$1843,CF335,$BG$7:$BG$1843,"&gt;"&amp;BG335)+SUMIFS($BC$7:$BC$1843,$CF$7:$CF$1843,CF335,$BG$7:$BG$1843,BG335,$BW$7:$BW$1843,"&lt;="&amp;BW335),"")</f>
        <v>5856.15064102564</v>
      </c>
      <c r="BI335" s="58" t="n">
        <f aca="false">IF(BH335="",0,MAX(0,MIN(1,(IF(CF335="L1",Parameter!$H$5,IF(CF335="L23",Parameter!$H$6+Parameter!$H$7,Parameter!$H$5+Parameter!$H$6+Parameter!$H$7))-(BH335-BC335))/BC335)))</f>
        <v>1</v>
      </c>
      <c r="BJ335" s="48" t="str">
        <f aca="false">IF(AI335&lt;=0,"",IF(CF335="Aussen","Aussenlager",IF(CF335="-","Nicht im Lift",IF(AO335&gt;=1,"Lift",IF(AO335&lt;=0,"Aussenlager","teilweise")))))</f>
        <v>Lift</v>
      </c>
      <c r="BK335" s="48" t="str">
        <f aca="false">IF(AS335&lt;=0,"",IF(CF335="Aussen","Aussenlager",IF(CF335="-","Nicht im Lift",IF(AY335&gt;=1,"Lift",IF(AY335&lt;=0,"Aussenlager","teilweise")))))</f>
        <v>Lift</v>
      </c>
      <c r="BL335" s="48" t="str">
        <f aca="false">IF(BC335&lt;=0,"",IF(CF335="Aussen","Aussenlager",IF(CF335="-","Nicht im Lift",IF(BI335&gt;=1,"Lift",IF(BI335&lt;=0,"Aussenlager","teilweise")))))</f>
        <v>Lift</v>
      </c>
      <c r="BM335" s="48" t="str">
        <f aca="false">IF(A335="","",IF(BV335=1,"Neu; ","")&amp;IF(AND(BV335=0,BQ335&lt;0),"negativer Bestand (Export "&amp;BQ335&amp;"); ","")&amp;IF(J335&lt;=0,"Kein Verbrauch; ","")&amp;IF(CQ335&gt;0,"Lift "&amp;W335&amp;" lt. Liftbericht (Fach "&amp;X335&amp;" Stk); ",IF(CA335=1,"Gebinde geschätzt ("&amp;T335&amp;"); ",IF(BZ335=1,"Lose – Tablare geschätzt; ","")))&amp;IF(H335&gt;AV335,"Überbestand "&amp;ROUND(H335-AV335,0)&amp;" Stk / CHF "&amp;ROUND((H335-AV335)*G335,0)&amp;"; ","")&amp;IF(AND(CH335=1,CI335&lt;CJ335),"MAX &lt; MB+LG; ","")&amp;IF(AND(CP335&gt;0,CO335*10&gt;CP335),"zu hoch für Tablar; ","")&amp;IF(AND(BV335=0,OR(CH335=1,AA335&lt;&gt;"",U335&lt;&gt;"",V335&lt;&gt;"",AB335&lt;&gt;"")),"manuell übersteuert; ","")&amp;IF(AND(BZ335=0,R335=0),"Gebinde unbekannt / Stellmass fehlt; ","")&amp;IF(AND(BZ335=0,N(V335)&lt;=0,N(Q335)&lt;=0),"Menge pro Gebinde fehlt (Ist = 1 Gebinde); ","")&amp;BU335)</f>
        <v>Überbestand 10 Stk / CHF 435; </v>
      </c>
      <c r="BN335" s="48"/>
      <c r="BO335" s="48"/>
      <c r="BP335" s="55"/>
      <c r="BQ335" s="50" t="n">
        <v>4</v>
      </c>
      <c r="BR335" s="50" t="n">
        <v>11</v>
      </c>
      <c r="BS335" s="49" t="n">
        <v>213.81</v>
      </c>
      <c r="BT335" s="50" t="n">
        <v>6</v>
      </c>
      <c r="BU335" s="48"/>
      <c r="BV335" s="53" t="n">
        <v>0</v>
      </c>
      <c r="BW335" s="53" t="n">
        <v>335</v>
      </c>
      <c r="BX335" s="48" t="str">
        <f aca="false">IF(U335&lt;&gt;"",UPPER(TRIM(U335)),IF(CA335=1,UPPER(VLOOKUP(T335,Parameter!$I$27:$K$29,2,0)),IF(P335="","LOSE",P335)))</f>
        <v>S33</v>
      </c>
      <c r="BY335" s="50" t="n">
        <f aca="false">IF(BX335="LOSE",1,IF(N(V335)&gt;0,V335,IF(CA335=1,MAX(1,N(VLOOKUP(T335,Parameter!$I$27:$K$29,3,0)),H335,N(N335)),IF(N(Q335)&gt;0,Q335,MAX(1,H335)))))</f>
        <v>18</v>
      </c>
      <c r="BZ335" s="53" t="n">
        <f aca="false">IF(BX335="LOSE",1,0)</f>
        <v>0</v>
      </c>
      <c r="CA335" s="53" t="n">
        <f aca="false">IF(AND(U335="",OR(P335="",P335="LOSE"),T335&lt;&gt;"",N(S335)&lt;=0,ISNUMBER(MATCH(T335,Parameter!$I$27:$I$29,0))),1,0)</f>
        <v>0</v>
      </c>
      <c r="CB335" s="53" t="n">
        <f aca="false">IF(CQ335&gt;0,INDEX(Parameter!$H$5:$H$7,W335)/INDEX(Parameter!$E$5:$E$7,W335),IF(AND(BZ335=0,N(IFERROR(VLOOKUP(BX335,'Gebinde-Kategorie'!$A$5:$N$45,14,0),0))&gt;0),VLOOKUP(BX335,'Gebinde-Kategorie'!$A$5:$N$45,14,0)*10+Parameter!$M$23,Parameter!$M$24))</f>
        <v>155</v>
      </c>
      <c r="CC335" s="48" t="str">
        <f aca="false">IF(AND(Parameter!$B$19="Ja",E335&lt;&gt;"",ISNUMBER(MATCH(E335,Parameter!$I$35:$I$52,0))),VLOOKUP(E335,Parameter!$I$35:$J$52,2,0),IFERROR(VLOOKUP(D335,Parameter!$A$35:$C$64,2,0),"Nein"))</f>
        <v>2+3</v>
      </c>
      <c r="CD335" s="52" t="n">
        <f aca="false">IF(BZ335=0,0,IF(N(S335)&gt;0,S335,IFERROR(VLOOKUP(D335,Parameter!$A$35:$C$64,3,0)+0,0)))</f>
        <v>0</v>
      </c>
      <c r="CE335" s="48" t="n">
        <f aca="false">IF(AA335&lt;&gt;"",AA335,Z335)</f>
        <v>3</v>
      </c>
      <c r="CF335" s="48" t="str">
        <f aca="false">IF(OR(CE335=1,CE335=2,CE335=3),IF(Parameter!$E$27="Ja","LIFT",IF(CE335=1,"L1","L23")),IF(CE335="Aussen","Aussen","-"))</f>
        <v>LIFT</v>
      </c>
      <c r="CG335" s="59" t="n">
        <f aca="false">IF(N(AB335)&gt;0,AB335,0)</f>
        <v>0</v>
      </c>
      <c r="CH335" s="53" t="n">
        <f aca="false">IF(ISNUMBER(AE335),1,0)</f>
        <v>0</v>
      </c>
      <c r="CI335" s="50" t="n">
        <f aca="false">N(AE335)</f>
        <v>0</v>
      </c>
      <c r="CJ335" s="50" t="n">
        <f aca="false">N(M335)+N(N335)</f>
        <v>5</v>
      </c>
      <c r="CK335" s="50" t="n">
        <f aca="false">N(M335)</f>
        <v>0</v>
      </c>
      <c r="CL335" s="50" t="n">
        <f aca="false">N(N335)</f>
        <v>5</v>
      </c>
      <c r="CM335" s="50" t="n">
        <f aca="false">ROUNDUP(H335/BY335,0)</f>
        <v>1</v>
      </c>
      <c r="CN335" s="50" t="n">
        <f aca="false">ROUNDUP(CI335/BY335,0)</f>
        <v>0</v>
      </c>
      <c r="CO335" s="53" t="n">
        <f aca="false">IF(BZ335=1,0,IFERROR(VLOOKUP(BX335,'Gebinde-Kategorie'!$A$5:$N$45,5,0)+0,0))</f>
        <v>8</v>
      </c>
      <c r="CP335" s="53" t="n">
        <f aca="false">IFERROR(IF(OR(CE335=1,CE335=2,CE335=3),N(INDEX(Parameter!$I$5:$I$7,CE335)),0),0)</f>
        <v>0</v>
      </c>
      <c r="CQ335" s="52" t="n">
        <f aca="false">IF(AND(Parameter!$B$21="Ja",ISNUMBER(W335),N(X335)&gt;0),IFERROR(N(INDEX(Parameter!$L$5:$L$7,W335))*INDEX(Parameter!$E$5:$E$7,W335)*X335/SUMIFS($X$7:$X$1843,$W$7:$W$1843,W335),0),0)</f>
        <v>0</v>
      </c>
    </row>
    <row r="336" customFormat="false" ht="15" hidden="false" customHeight="false" outlineLevel="0" collapsed="false">
      <c r="A336" s="48" t="s">
        <v>841</v>
      </c>
      <c r="B336" s="48" t="s">
        <v>516</v>
      </c>
      <c r="C336" s="48" t="s">
        <v>173</v>
      </c>
      <c r="D336" s="48" t="s">
        <v>193</v>
      </c>
      <c r="E336" s="48" t="s">
        <v>194</v>
      </c>
      <c r="F336" s="48" t="s">
        <v>227</v>
      </c>
      <c r="G336" s="49" t="n">
        <v>4.65</v>
      </c>
      <c r="H336" s="50" t="n">
        <f aca="false">MAX(0,IF(AND(Parameter!$B$21="Ja",ISNUMBER(Y336)),Y336,IF(Parameter!$B$20="Jahresanfang 2025 + Export",BR336+BQ336,BQ336)))</f>
        <v>109</v>
      </c>
      <c r="I336" s="50" t="n">
        <f aca="false">H336*G336</f>
        <v>506.85</v>
      </c>
      <c r="J336" s="50" t="n">
        <f aca="false">BT336*Parameter!$B$18</f>
        <v>127</v>
      </c>
      <c r="K336" s="51" t="n">
        <v>60</v>
      </c>
      <c r="L336" s="52" t="n">
        <v>2.11666666666667</v>
      </c>
      <c r="M336" s="50" t="n">
        <v>7</v>
      </c>
      <c r="N336" s="50" t="n">
        <v>125</v>
      </c>
      <c r="O336" s="53" t="n">
        <v>21</v>
      </c>
      <c r="P336" s="48" t="s">
        <v>485</v>
      </c>
      <c r="Q336" s="50" t="n">
        <v>61</v>
      </c>
      <c r="R336" s="53" t="n">
        <f aca="false">IF(BZ336=1,0,IFERROR(VLOOKUP(BX336,'Gebinde-Kategorie'!$A$5:$N$45,13,0)+0,0))</f>
        <v>52</v>
      </c>
      <c r="S336" s="54"/>
      <c r="T336" s="55"/>
      <c r="U336" s="55"/>
      <c r="V336" s="55"/>
      <c r="W336" s="48"/>
      <c r="X336" s="50"/>
      <c r="Y336" s="50"/>
      <c r="Z336" s="48" t="n">
        <f aca="false">IF(A336="","",IF(AND(Parameter!$B$21="Ja",ISNUMBER(W336)),W336,IF(CC336="2+3",IF(ISNUMBER(SEARCH("grosser Artikel",BU336)),2,IFERROR(VLOOKUP(BX336,Parameter!$F$35:$G$64,2,0),2)),IF(OR(CC336="Nein",CC336=""),"-",CC336))))</f>
        <v>3</v>
      </c>
      <c r="AA336" s="55"/>
      <c r="AB336" s="56"/>
      <c r="AC336" s="50" t="n">
        <f aca="false">AV336</f>
        <v>132</v>
      </c>
      <c r="AD336" s="50" t="n">
        <f aca="false">MAX(AV336,H336)</f>
        <v>132</v>
      </c>
      <c r="AE336" s="57"/>
      <c r="AF336" s="50" t="n">
        <f aca="false">IF(LEFT(Cockpit!$C$5,1)="A",H336,IF(Parameter!$E$30="MAX-Bestand",IF(CH336=1,CI336,IF(LEFT(Cockpit!$C$5,1)="B",AL336,MAX(AL336,H336))),ROUNDUP(AJ336,0)))</f>
        <v>109</v>
      </c>
      <c r="AG336" s="50" t="n">
        <f aca="false">IF(BZ336=1,0,ROUNDUP(AF336/BY336,0))</f>
        <v>2</v>
      </c>
      <c r="AH336" s="52" t="n">
        <f aca="false">IF(CQ336&gt;0,CQ336*MAX(1,AF336/X336),IF(BZ336=1,IF(AF336&lt;=0,0,CD336*MAX(1,IF(H336&gt;0,AF336/H336,1))),IF(R336&gt;0,AG336/R336,0))/MAX(0.1,N(Parameter!$M$21)))</f>
        <v>0.0384615384615385</v>
      </c>
      <c r="AI336" s="50" t="n">
        <f aca="false">AH336*CB336</f>
        <v>5.96153846153846</v>
      </c>
      <c r="AJ336" s="51" t="n">
        <f aca="false">IF(LEFT(Cockpit!$C$5,1)="A",H336,IF(CH336=1,(CK336+CI336)/2,IF(LEFT(Cockpit!$C$5,1)="B",(CK336+AL336)/2,MAX((CK336+AL336)/2,H336))))</f>
        <v>109</v>
      </c>
      <c r="AK336" s="50" t="n">
        <f aca="false">AJ336*G336</f>
        <v>506.85</v>
      </c>
      <c r="AL336" s="50" t="n">
        <f aca="false">ROUNDUP(CK336+MAX(CL336,2*(J336/IF(CG336&gt;0,CG336,MAX(0.1,N(Cockpit!$C$6)))-CK336)),0)</f>
        <v>132</v>
      </c>
      <c r="AM336" s="51" t="n">
        <f aca="false">IF(AI336&gt;0,J336/AI336,-1)</f>
        <v>21.3032258064516</v>
      </c>
      <c r="AN336" s="51" t="n">
        <f aca="false">IF(AND(OR(CF336="L1",CF336="L23",CF336="LIFT"),AI336&gt;0),SUMIFS($AI$7:$AI$1843,$CF$7:$CF$1843,CF336,$AM$7:$AM$1843,"&gt;"&amp;AM336)+SUMIFS($AI$7:$AI$1843,$CF$7:$CF$1843,CF336,$AM$7:$AM$1843,AM336,$BW$7:$BW$1843,"&lt;="&amp;BW336),"")</f>
        <v>1625.336996337</v>
      </c>
      <c r="AO336" s="58" t="n">
        <f aca="false">IF(AN336="",0,MAX(0,MIN(1,(IF(CF336="L1",Parameter!$H$5,IF(CF336="L23",Parameter!$H$6+Parameter!$H$7,Parameter!$H$5+Parameter!$H$6+Parameter!$H$7))-(AN336-AI336))/AI336)))</f>
        <v>1</v>
      </c>
      <c r="AP336" s="50" t="n">
        <f aca="false">IF(LEFT(Cockpit!$I$5,1)="A",H336,IF(Parameter!$E$30="MAX-Bestand",IF(CH336=1,CI336,IF(LEFT(Cockpit!$I$5,1)="B",AV336,MAX(AV336,H336))),ROUNDUP(AT336,0)))</f>
        <v>109</v>
      </c>
      <c r="AQ336" s="50" t="n">
        <f aca="false">IF(BZ336=1,0,ROUNDUP(AP336/BY336,0))</f>
        <v>2</v>
      </c>
      <c r="AR336" s="52" t="n">
        <f aca="false">IF(CQ336&gt;0,CQ336*MAX(1,AP336/X336),IF(BZ336=1,IF(AP336&lt;=0,0,CD336*MAX(1,IF(H336&gt;0,AP336/H336,1))),IF(R336&gt;0,AQ336/R336,0))/MAX(0.1,N(Parameter!$M$21)))</f>
        <v>0.0384615384615385</v>
      </c>
      <c r="AS336" s="50" t="n">
        <f aca="false">AR336*CB336</f>
        <v>5.96153846153846</v>
      </c>
      <c r="AT336" s="51" t="n">
        <f aca="false">IF(LEFT(Cockpit!$I$5,1)="A",H336,IF(CH336=1,(CK336+CI336)/2,IF(LEFT(Cockpit!$I$5,1)="B",(CK336+AV336)/2,MAX((CK336+AV336)/2,H336))))</f>
        <v>109</v>
      </c>
      <c r="AU336" s="50" t="n">
        <f aca="false">AT336*G336</f>
        <v>506.85</v>
      </c>
      <c r="AV336" s="50" t="n">
        <f aca="false">ROUNDUP(CK336+MAX(CL336,2*(J336/IF(CG336&gt;0,CG336,MAX(0.1,N(Cockpit!$I$6)))-CK336)),0)</f>
        <v>132</v>
      </c>
      <c r="AW336" s="51" t="n">
        <f aca="false">IF(AS336&gt;0,J336/AS336,-1)</f>
        <v>21.3032258064516</v>
      </c>
      <c r="AX336" s="51" t="n">
        <f aca="false">IF(AND(OR(CF336="L1",CF336="L23",CF336="LIFT"),AS336&gt;0),SUMIFS($AS$7:$AS$1843,$CF$7:$CF$1843,CF336,$AW$7:$AW$1843,"&gt;"&amp;AW336)+SUMIFS($AS$7:$AS$1843,$CF$7:$CF$1843,CF336,$AW$7:$AW$1843,AW336,$BW$7:$BW$1843,"&lt;="&amp;BW336),"")</f>
        <v>2250.5347985348</v>
      </c>
      <c r="AY336" s="58" t="n">
        <f aca="false">IF(AX336="",0,MAX(0,MIN(1,(IF(CF336="L1",Parameter!$H$5,IF(CF336="L23",Parameter!$H$6+Parameter!$H$7,Parameter!$H$5+Parameter!$H$6+Parameter!$H$7))-(AX336-AS336))/AS336)))</f>
        <v>1</v>
      </c>
      <c r="AZ336" s="50" t="n">
        <f aca="false">IF(LEFT(Cockpit!$O$5,1)="A",H336,IF(Parameter!$E$30="MAX-Bestand",IF(CH336=1,CI336,IF(LEFT(Cockpit!$O$5,1)="B",BF336,MAX(BF336,H336))),ROUNDUP(BD336,0)))</f>
        <v>70</v>
      </c>
      <c r="BA336" s="50" t="n">
        <f aca="false">IF(BZ336=1,0,ROUNDUP(AZ336/BY336,0))</f>
        <v>2</v>
      </c>
      <c r="BB336" s="52" t="n">
        <f aca="false">IF(CQ336&gt;0,CQ336*MAX(1,AZ336/X336),IF(BZ336=1,IF(AZ336&lt;=0,0,CD336*MAX(1,IF(H336&gt;0,AZ336/H336,1))),IF(R336&gt;0,BA336/R336,0))/MAX(0.1,N(Parameter!$M$21)))</f>
        <v>0.0384615384615385</v>
      </c>
      <c r="BC336" s="50" t="n">
        <f aca="false">BB336*CB336</f>
        <v>5.96153846153846</v>
      </c>
      <c r="BD336" s="51" t="n">
        <f aca="false">IF(LEFT(Cockpit!$O$5,1)="A",H336,IF(CH336=1,(CK336+CI336)/2,IF(LEFT(Cockpit!$O$5,1)="B",(CK336+BF336)/2,MAX((CK336+BF336)/2,H336))))</f>
        <v>69.5</v>
      </c>
      <c r="BE336" s="50" t="n">
        <f aca="false">BD336*G336</f>
        <v>323.175</v>
      </c>
      <c r="BF336" s="50" t="n">
        <f aca="false">ROUNDUP(CK336+MAX(CL336,2*(J336/IF(CG336&gt;0,CG336,MAX(0.1,N(Cockpit!$O$6)))-CK336)),0)</f>
        <v>132</v>
      </c>
      <c r="BG336" s="51" t="n">
        <f aca="false">IF(BC336&gt;0,J336/BC336,-1)</f>
        <v>21.3032258064516</v>
      </c>
      <c r="BH336" s="51" t="n">
        <f aca="false">IF(AND(OR(CF336="L1",CF336="L23",CF336="LIFT"),BC336&gt;0),SUMIFS($BC$7:$BC$1843,$CF$7:$CF$1843,CF336,$BG$7:$BG$1843,"&gt;"&amp;BG336)+SUMIFS($BC$7:$BC$1843,$CF$7:$CF$1843,CF336,$BG$7:$BG$1843,BG336,$BW$7:$BW$1843,"&lt;="&amp;BW336),"")</f>
        <v>2163.94642857143</v>
      </c>
      <c r="BI336" s="58" t="n">
        <f aca="false">IF(BH336="",0,MAX(0,MIN(1,(IF(CF336="L1",Parameter!$H$5,IF(CF336="L23",Parameter!$H$6+Parameter!$H$7,Parameter!$H$5+Parameter!$H$6+Parameter!$H$7))-(BH336-BC336))/BC336)))</f>
        <v>1</v>
      </c>
      <c r="BJ336" s="48" t="str">
        <f aca="false">IF(AI336&lt;=0,"",IF(CF336="Aussen","Aussenlager",IF(CF336="-","Nicht im Lift",IF(AO336&gt;=1,"Lift",IF(AO336&lt;=0,"Aussenlager","teilweise")))))</f>
        <v>Lift</v>
      </c>
      <c r="BK336" s="48" t="str">
        <f aca="false">IF(AS336&lt;=0,"",IF(CF336="Aussen","Aussenlager",IF(CF336="-","Nicht im Lift",IF(AY336&gt;=1,"Lift",IF(AY336&lt;=0,"Aussenlager","teilweise")))))</f>
        <v>Lift</v>
      </c>
      <c r="BL336" s="48" t="str">
        <f aca="false">IF(BC336&lt;=0,"",IF(CF336="Aussen","Aussenlager",IF(CF336="-","Nicht im Lift",IF(BI336&gt;=1,"Lift",IF(BI336&lt;=0,"Aussenlager","teilweise")))))</f>
        <v>Lift</v>
      </c>
      <c r="BM336" s="48" t="str">
        <f aca="false">IF(A336="","",IF(BV336=1,"Neu; ","")&amp;IF(AND(BV336=0,BQ336&lt;0),"negativer Bestand (Export "&amp;BQ336&amp;"); ","")&amp;IF(J336&lt;=0,"Kein Verbrauch; ","")&amp;IF(CQ336&gt;0,"Lift "&amp;W336&amp;" lt. Liftbericht (Fach "&amp;X336&amp;" Stk); ",IF(CA336=1,"Gebinde geschätzt ("&amp;T336&amp;"); ",IF(BZ336=1,"Lose – Tablare geschätzt; ","")))&amp;IF(H336&gt;AV336,"Überbestand "&amp;ROUND(H336-AV336,0)&amp;" Stk / CHF "&amp;ROUND((H336-AV336)*G336,0)&amp;"; ","")&amp;IF(AND(CH336=1,CI336&lt;CJ336),"MAX &lt; MB+LG; ","")&amp;IF(AND(CP336&gt;0,CO336*10&gt;CP336),"zu hoch für Tablar; ","")&amp;IF(AND(BV336=0,OR(CH336=1,AA336&lt;&gt;"",U336&lt;&gt;"",V336&lt;&gt;"",AB336&lt;&gt;"")),"manuell übersteuert; ","")&amp;IF(AND(BZ336=0,R336=0),"Gebinde unbekannt / Stellmass fehlt; ","")&amp;IF(AND(BZ336=0,N(V336)&lt;=0,N(Q336)&lt;=0),"Menge pro Gebinde fehlt (Ist = 1 Gebinde); ","")&amp;BU336)</f>
        <v/>
      </c>
      <c r="BN336" s="48"/>
      <c r="BO336" s="48"/>
      <c r="BP336" s="55"/>
      <c r="BQ336" s="50" t="n">
        <v>46</v>
      </c>
      <c r="BR336" s="50" t="n">
        <v>63</v>
      </c>
      <c r="BS336" s="49" t="n">
        <v>212.640000000001</v>
      </c>
      <c r="BT336" s="50" t="n">
        <v>127</v>
      </c>
      <c r="BU336" s="48"/>
      <c r="BV336" s="53" t="n">
        <v>0</v>
      </c>
      <c r="BW336" s="53" t="n">
        <v>336</v>
      </c>
      <c r="BX336" s="48" t="str">
        <f aca="false">IF(U336&lt;&gt;"",UPPER(TRIM(U336)),IF(CA336=1,UPPER(VLOOKUP(T336,Parameter!$I$27:$K$29,2,0)),IF(P336="","LOSE",P336)))</f>
        <v>S33</v>
      </c>
      <c r="BY336" s="50" t="n">
        <f aca="false">IF(BX336="LOSE",1,IF(N(V336)&gt;0,V336,IF(CA336=1,MAX(1,N(VLOOKUP(T336,Parameter!$I$27:$K$29,3,0)),H336,N(N336)),IF(N(Q336)&gt;0,Q336,MAX(1,H336)))))</f>
        <v>61</v>
      </c>
      <c r="BZ336" s="53" t="n">
        <f aca="false">IF(BX336="LOSE",1,0)</f>
        <v>0</v>
      </c>
      <c r="CA336" s="53" t="n">
        <f aca="false">IF(AND(U336="",OR(P336="",P336="LOSE"),T336&lt;&gt;"",N(S336)&lt;=0,ISNUMBER(MATCH(T336,Parameter!$I$27:$I$29,0))),1,0)</f>
        <v>0</v>
      </c>
      <c r="CB336" s="53" t="n">
        <f aca="false">IF(CQ336&gt;0,INDEX(Parameter!$H$5:$H$7,W336)/INDEX(Parameter!$E$5:$E$7,W336),IF(AND(BZ336=0,N(IFERROR(VLOOKUP(BX336,'Gebinde-Kategorie'!$A$5:$N$45,14,0),0))&gt;0),VLOOKUP(BX336,'Gebinde-Kategorie'!$A$5:$N$45,14,0)*10+Parameter!$M$23,Parameter!$M$24))</f>
        <v>155</v>
      </c>
      <c r="CC336" s="48" t="str">
        <f aca="false">IF(AND(Parameter!$B$19="Ja",E336&lt;&gt;"",ISNUMBER(MATCH(E336,Parameter!$I$35:$I$52,0))),VLOOKUP(E336,Parameter!$I$35:$J$52,2,0),IFERROR(VLOOKUP(D336,Parameter!$A$35:$C$64,2,0),"Nein"))</f>
        <v>2+3</v>
      </c>
      <c r="CD336" s="52" t="n">
        <f aca="false">IF(BZ336=0,0,IF(N(S336)&gt;0,S336,IFERROR(VLOOKUP(D336,Parameter!$A$35:$C$64,3,0)+0,0)))</f>
        <v>0</v>
      </c>
      <c r="CE336" s="48" t="n">
        <f aca="false">IF(AA336&lt;&gt;"",AA336,Z336)</f>
        <v>3</v>
      </c>
      <c r="CF336" s="48" t="str">
        <f aca="false">IF(OR(CE336=1,CE336=2,CE336=3),IF(Parameter!$E$27="Ja","LIFT",IF(CE336=1,"L1","L23")),IF(CE336="Aussen","Aussen","-"))</f>
        <v>LIFT</v>
      </c>
      <c r="CG336" s="59" t="n">
        <f aca="false">IF(N(AB336)&gt;0,AB336,0)</f>
        <v>0</v>
      </c>
      <c r="CH336" s="53" t="n">
        <f aca="false">IF(ISNUMBER(AE336),1,0)</f>
        <v>0</v>
      </c>
      <c r="CI336" s="50" t="n">
        <f aca="false">N(AE336)</f>
        <v>0</v>
      </c>
      <c r="CJ336" s="50" t="n">
        <f aca="false">N(M336)+N(N336)</f>
        <v>132</v>
      </c>
      <c r="CK336" s="50" t="n">
        <f aca="false">N(M336)</f>
        <v>7</v>
      </c>
      <c r="CL336" s="50" t="n">
        <f aca="false">N(N336)</f>
        <v>125</v>
      </c>
      <c r="CM336" s="50" t="n">
        <f aca="false">ROUNDUP(H336/BY336,0)</f>
        <v>2</v>
      </c>
      <c r="CN336" s="50" t="n">
        <f aca="false">ROUNDUP(CI336/BY336,0)</f>
        <v>0</v>
      </c>
      <c r="CO336" s="53" t="n">
        <f aca="false">IF(BZ336=1,0,IFERROR(VLOOKUP(BX336,'Gebinde-Kategorie'!$A$5:$N$45,5,0)+0,0))</f>
        <v>8</v>
      </c>
      <c r="CP336" s="53" t="n">
        <f aca="false">IFERROR(IF(OR(CE336=1,CE336=2,CE336=3),N(INDEX(Parameter!$I$5:$I$7,CE336)),0),0)</f>
        <v>0</v>
      </c>
      <c r="CQ336" s="52" t="n">
        <f aca="false">IF(AND(Parameter!$B$21="Ja",ISNUMBER(W336),N(X336)&gt;0),IFERROR(N(INDEX(Parameter!$L$5:$L$7,W336))*INDEX(Parameter!$E$5:$E$7,W336)*X336/SUMIFS($X$7:$X$1843,$W$7:$W$1843,W336),0),0)</f>
        <v>0</v>
      </c>
    </row>
    <row r="337" customFormat="false" ht="15" hidden="false" customHeight="false" outlineLevel="0" collapsed="false">
      <c r="A337" s="48" t="s">
        <v>842</v>
      </c>
      <c r="B337" s="48" t="s">
        <v>772</v>
      </c>
      <c r="C337" s="48" t="s">
        <v>173</v>
      </c>
      <c r="D337" s="48" t="s">
        <v>193</v>
      </c>
      <c r="E337" s="48"/>
      <c r="F337" s="48" t="s">
        <v>227</v>
      </c>
      <c r="G337" s="49" t="n">
        <v>8.48</v>
      </c>
      <c r="H337" s="50" t="n">
        <f aca="false">MAX(0,IF(AND(Parameter!$B$21="Ja",ISNUMBER(Y337)),Y337,IF(Parameter!$B$20="Jahresanfang 2025 + Export",BR337+BQ337,BQ337)))</f>
        <v>25</v>
      </c>
      <c r="I337" s="50" t="n">
        <f aca="false">H337*G337</f>
        <v>212</v>
      </c>
      <c r="J337" s="50" t="n">
        <f aca="false">BT337*Parameter!$B$18</f>
        <v>0</v>
      </c>
      <c r="K337" s="51" t="n">
        <v>0</v>
      </c>
      <c r="L337" s="52" t="n">
        <v>0</v>
      </c>
      <c r="M337" s="50" t="n">
        <v>0</v>
      </c>
      <c r="N337" s="50" t="n">
        <v>1</v>
      </c>
      <c r="O337" s="53" t="n">
        <v>9999</v>
      </c>
      <c r="P337" s="48" t="s">
        <v>177</v>
      </c>
      <c r="Q337" s="50"/>
      <c r="R337" s="53" t="n">
        <f aca="false">IF(BZ337=1,0,IFERROR(VLOOKUP(BX337,'Gebinde-Kategorie'!$A$5:$N$45,13,0)+0,0))</f>
        <v>26</v>
      </c>
      <c r="S337" s="54"/>
      <c r="T337" s="55" t="s">
        <v>284</v>
      </c>
      <c r="U337" s="55"/>
      <c r="V337" s="55"/>
      <c r="W337" s="48"/>
      <c r="X337" s="50"/>
      <c r="Y337" s="50"/>
      <c r="Z337" s="48" t="n">
        <f aca="false">IF(A337="","",IF(AND(Parameter!$B$21="Ja",ISNUMBER(W337)),W337,IF(CC337="2+3",IF(ISNUMBER(SEARCH("grosser Artikel",BU337)),2,IFERROR(VLOOKUP(BX337,Parameter!$F$35:$G$64,2,0),2)),IF(OR(CC337="Nein",CC337=""),"-",CC337))))</f>
        <v>3</v>
      </c>
      <c r="AA337" s="55"/>
      <c r="AB337" s="56"/>
      <c r="AC337" s="50" t="n">
        <f aca="false">AV337</f>
        <v>1</v>
      </c>
      <c r="AD337" s="50" t="n">
        <f aca="false">MAX(AV337,H337)</f>
        <v>25</v>
      </c>
      <c r="AE337" s="57"/>
      <c r="AF337" s="50" t="n">
        <f aca="false">IF(LEFT(Cockpit!$C$5,1)="A",H337,IF(Parameter!$E$30="MAX-Bestand",IF(CH337=1,CI337,IF(LEFT(Cockpit!$C$5,1)="B",AL337,MAX(AL337,H337))),ROUNDUP(AJ337,0)))</f>
        <v>25</v>
      </c>
      <c r="AG337" s="50" t="n">
        <f aca="false">IF(BZ337=1,0,ROUNDUP(AF337/BY337,0))</f>
        <v>1</v>
      </c>
      <c r="AH337" s="52" t="n">
        <f aca="false">IF(CQ337&gt;0,CQ337*MAX(1,AF337/X337),IF(BZ337=1,IF(AF337&lt;=0,0,CD337*MAX(1,IF(H337&gt;0,AF337/H337,1))),IF(R337&gt;0,AG337/R337,0))/MAX(0.1,N(Parameter!$M$21)))</f>
        <v>0.0384615384615385</v>
      </c>
      <c r="AI337" s="50" t="n">
        <f aca="false">AH337*CB337</f>
        <v>5.96153846153846</v>
      </c>
      <c r="AJ337" s="51" t="n">
        <f aca="false">IF(LEFT(Cockpit!$C$5,1)="A",H337,IF(CH337=1,(CK337+CI337)/2,IF(LEFT(Cockpit!$C$5,1)="B",(CK337+AL337)/2,MAX((CK337+AL337)/2,H337))))</f>
        <v>25</v>
      </c>
      <c r="AK337" s="50" t="n">
        <f aca="false">AJ337*G337</f>
        <v>212</v>
      </c>
      <c r="AL337" s="50" t="n">
        <f aca="false">ROUNDUP(CK337+MAX(CL337,2*(J337/IF(CG337&gt;0,CG337,MAX(0.1,N(Cockpit!$C$6)))-CK337)),0)</f>
        <v>1</v>
      </c>
      <c r="AM337" s="51" t="n">
        <f aca="false">IF(AI337&gt;0,J337/AI337,-1)</f>
        <v>0</v>
      </c>
      <c r="AN337" s="51" t="n">
        <f aca="false">IF(AND(OR(CF337="L1",CF337="L23",CF337="LIFT"),AI337&gt;0),SUMIFS($AI$7:$AI$1843,$CF$7:$CF$1843,CF337,$AM$7:$AM$1843,"&gt;"&amp;AM337)+SUMIFS($AI$7:$AI$1843,$CF$7:$CF$1843,CF337,$AM$7:$AM$1843,AM337,$BW$7:$BW$1843,"&lt;="&amp;BW337),"")</f>
        <v>27983.2973293185</v>
      </c>
      <c r="AO337" s="58" t="n">
        <f aca="false">IF(AN337="",0,MAX(0,MIN(1,(IF(CF337="L1",Parameter!$H$5,IF(CF337="L23",Parameter!$H$6+Parameter!$H$7,Parameter!$H$5+Parameter!$H$6+Parameter!$H$7))-(AN337-AI337))/AI337)))</f>
        <v>1</v>
      </c>
      <c r="AP337" s="50" t="n">
        <f aca="false">IF(LEFT(Cockpit!$I$5,1)="A",H337,IF(Parameter!$E$30="MAX-Bestand",IF(CH337=1,CI337,IF(LEFT(Cockpit!$I$5,1)="B",AV337,MAX(AV337,H337))),ROUNDUP(AT337,0)))</f>
        <v>25</v>
      </c>
      <c r="AQ337" s="50" t="n">
        <f aca="false">IF(BZ337=1,0,ROUNDUP(AP337/BY337,0))</f>
        <v>1</v>
      </c>
      <c r="AR337" s="52" t="n">
        <f aca="false">IF(CQ337&gt;0,CQ337*MAX(1,AP337/X337),IF(BZ337=1,IF(AP337&lt;=0,0,CD337*MAX(1,IF(H337&gt;0,AP337/H337,1))),IF(R337&gt;0,AQ337/R337,0))/MAX(0.1,N(Parameter!$M$21)))</f>
        <v>0.0384615384615385</v>
      </c>
      <c r="AS337" s="50" t="n">
        <f aca="false">AR337*CB337</f>
        <v>5.96153846153846</v>
      </c>
      <c r="AT337" s="51" t="n">
        <f aca="false">IF(LEFT(Cockpit!$I$5,1)="A",H337,IF(CH337=1,(CK337+CI337)/2,IF(LEFT(Cockpit!$I$5,1)="B",(CK337+AV337)/2,MAX((CK337+AV337)/2,H337))))</f>
        <v>25</v>
      </c>
      <c r="AU337" s="50" t="n">
        <f aca="false">AT337*G337</f>
        <v>212</v>
      </c>
      <c r="AV337" s="50" t="n">
        <f aca="false">ROUNDUP(CK337+MAX(CL337,2*(J337/IF(CG337&gt;0,CG337,MAX(0.1,N(Cockpit!$I$6)))-CK337)),0)</f>
        <v>1</v>
      </c>
      <c r="AW337" s="51" t="n">
        <f aca="false">IF(AS337&gt;0,J337/AS337,-1)</f>
        <v>0</v>
      </c>
      <c r="AX337" s="51" t="n">
        <f aca="false">IF(AND(OR(CF337="L1",CF337="L23",CF337="LIFT"),AS337&gt;0),SUMIFS($AS$7:$AS$1843,$CF$7:$CF$1843,CF337,$AW$7:$AW$1843,"&gt;"&amp;AW337)+SUMIFS($AS$7:$AS$1843,$CF$7:$CF$1843,CF337,$AW$7:$AW$1843,AW337,$BW$7:$BW$1843,"&lt;="&amp;BW337),"")</f>
        <v>33336.445970696</v>
      </c>
      <c r="AY337" s="58" t="n">
        <f aca="false">IF(AX337="",0,MAX(0,MIN(1,(IF(CF337="L1",Parameter!$H$5,IF(CF337="L23",Parameter!$H$6+Parameter!$H$7,Parameter!$H$5+Parameter!$H$6+Parameter!$H$7))-(AX337-AS337))/AS337)))</f>
        <v>1</v>
      </c>
      <c r="AZ337" s="50" t="n">
        <f aca="false">IF(LEFT(Cockpit!$O$5,1)="A",H337,IF(Parameter!$E$30="MAX-Bestand",IF(CH337=1,CI337,IF(LEFT(Cockpit!$O$5,1)="B",BF337,MAX(BF337,H337))),ROUNDUP(BD337,0)))</f>
        <v>1</v>
      </c>
      <c r="BA337" s="50" t="n">
        <f aca="false">IF(BZ337=1,0,ROUNDUP(AZ337/BY337,0))</f>
        <v>1</v>
      </c>
      <c r="BB337" s="52" t="n">
        <f aca="false">IF(CQ337&gt;0,CQ337*MAX(1,AZ337/X337),IF(BZ337=1,IF(AZ337&lt;=0,0,CD337*MAX(1,IF(H337&gt;0,AZ337/H337,1))),IF(R337&gt;0,BA337/R337,0))/MAX(0.1,N(Parameter!$M$21)))</f>
        <v>0.0384615384615385</v>
      </c>
      <c r="BC337" s="50" t="n">
        <f aca="false">BB337*CB337</f>
        <v>5.96153846153846</v>
      </c>
      <c r="BD337" s="51" t="n">
        <f aca="false">IF(LEFT(Cockpit!$O$5,1)="A",H337,IF(CH337=1,(CK337+CI337)/2,IF(LEFT(Cockpit!$O$5,1)="B",(CK337+BF337)/2,MAX((CK337+BF337)/2,H337))))</f>
        <v>0.5</v>
      </c>
      <c r="BE337" s="50" t="n">
        <f aca="false">BD337*G337</f>
        <v>4.24</v>
      </c>
      <c r="BF337" s="50" t="n">
        <f aca="false">ROUNDUP(CK337+MAX(CL337,2*(J337/IF(CG337&gt;0,CG337,MAX(0.1,N(Cockpit!$O$6)))-CK337)),0)</f>
        <v>1</v>
      </c>
      <c r="BG337" s="51" t="n">
        <f aca="false">IF(BC337&gt;0,J337/BC337,-1)</f>
        <v>0</v>
      </c>
      <c r="BH337" s="51" t="n">
        <f aca="false">IF(AND(OR(CF337="L1",CF337="L23",CF337="LIFT"),BC337&gt;0),SUMIFS($BC$7:$BC$1843,$CF$7:$CF$1843,CF337,$BG$7:$BG$1843,"&gt;"&amp;BG337)+SUMIFS($BC$7:$BC$1843,$CF$7:$CF$1843,CF337,$BG$7:$BG$1843,BG337,$BW$7:$BW$1843,"&lt;="&amp;BW337),"")</f>
        <v>27461.9060191221</v>
      </c>
      <c r="BI337" s="58" t="n">
        <f aca="false">IF(BH337="",0,MAX(0,MIN(1,(IF(CF337="L1",Parameter!$H$5,IF(CF337="L23",Parameter!$H$6+Parameter!$H$7,Parameter!$H$5+Parameter!$H$6+Parameter!$H$7))-(BH337-BC337))/BC337)))</f>
        <v>1</v>
      </c>
      <c r="BJ337" s="48" t="str">
        <f aca="false">IF(AI337&lt;=0,"",IF(CF337="Aussen","Aussenlager",IF(CF337="-","Nicht im Lift",IF(AO337&gt;=1,"Lift",IF(AO337&lt;=0,"Aussenlager","teilweise")))))</f>
        <v>Lift</v>
      </c>
      <c r="BK337" s="48" t="str">
        <f aca="false">IF(AS337&lt;=0,"",IF(CF337="Aussen","Aussenlager",IF(CF337="-","Nicht im Lift",IF(AY337&gt;=1,"Lift",IF(AY337&lt;=0,"Aussenlager","teilweise")))))</f>
        <v>Lift</v>
      </c>
      <c r="BL337" s="48" t="str">
        <f aca="false">IF(BC337&lt;=0,"",IF(CF337="Aussen","Aussenlager",IF(CF337="-","Nicht im Lift",IF(BI337&gt;=1,"Lift",IF(BI337&lt;=0,"Aussenlager","teilweise")))))</f>
        <v>Lift</v>
      </c>
      <c r="BM337" s="48" t="str">
        <f aca="false">IF(A337="","",IF(BV337=1,"Neu; ","")&amp;IF(AND(BV337=0,BQ337&lt;0),"negativer Bestand (Export "&amp;BQ337&amp;"); ","")&amp;IF(J337&lt;=0,"Kein Verbrauch; ","")&amp;IF(CQ337&gt;0,"Lift "&amp;W337&amp;" lt. Liftbericht (Fach "&amp;X337&amp;" Stk); ",IF(CA337=1,"Gebinde geschätzt ("&amp;T337&amp;"); ",IF(BZ337=1,"Lose – Tablare geschätzt; ","")))&amp;IF(H337&gt;AV337,"Überbestand "&amp;ROUND(H337-AV337,0)&amp;" Stk / CHF "&amp;ROUND((H337-AV337)*G337,0)&amp;"; ","")&amp;IF(AND(CH337=1,CI337&lt;CJ337),"MAX &lt; MB+LG; ","")&amp;IF(AND(CP337&gt;0,CO337*10&gt;CP337),"zu hoch für Tablar; ","")&amp;IF(AND(BV337=0,OR(CH337=1,AA337&lt;&gt;"",U337&lt;&gt;"",V337&lt;&gt;"",AB337&lt;&gt;"")),"manuell übersteuert; ","")&amp;IF(AND(BZ337=0,R337=0),"Gebinde unbekannt / Stellmass fehlt; ","")&amp;IF(AND(BZ337=0,N(V337)&lt;=0,N(Q337)&lt;=0),"Menge pro Gebinde fehlt (Ist = 1 Gebinde); ","")&amp;BU337)</f>
        <v>Kein Verbrauch; Gebinde geschätzt (Klein); Überbestand 24 Stk / CHF 204; Menge pro Gebinde fehlt (Ist = 1 Gebinde); </v>
      </c>
      <c r="BN337" s="48"/>
      <c r="BO337" s="48"/>
      <c r="BP337" s="55"/>
      <c r="BQ337" s="50" t="n">
        <v>25</v>
      </c>
      <c r="BR337" s="50" t="n">
        <v>0</v>
      </c>
      <c r="BS337" s="49" t="n">
        <v>212</v>
      </c>
      <c r="BT337" s="50" t="n">
        <v>0</v>
      </c>
      <c r="BU337" s="48"/>
      <c r="BV337" s="53" t="n">
        <v>0</v>
      </c>
      <c r="BW337" s="53" t="n">
        <v>337</v>
      </c>
      <c r="BX337" s="48" t="str">
        <f aca="false">IF(U337&lt;&gt;"",UPPER(TRIM(U337)),IF(CA337=1,UPPER(VLOOKUP(T337,Parameter!$I$27:$K$29,2,0)),IF(P337="","LOSE",P337)))</f>
        <v>S51</v>
      </c>
      <c r="BY337" s="50" t="n">
        <f aca="false">IF(BX337="LOSE",1,IF(N(V337)&gt;0,V337,IF(CA337=1,MAX(1,N(VLOOKUP(T337,Parameter!$I$27:$K$29,3,0)),H337,N(N337)),IF(N(Q337)&gt;0,Q337,MAX(1,H337)))))</f>
        <v>25</v>
      </c>
      <c r="BZ337" s="53" t="n">
        <f aca="false">IF(BX337="LOSE",1,0)</f>
        <v>0</v>
      </c>
      <c r="CA337" s="53" t="n">
        <f aca="false">IF(AND(U337="",OR(P337="",P337="LOSE"),T337&lt;&gt;"",N(S337)&lt;=0,ISNUMBER(MATCH(T337,Parameter!$I$27:$I$29,0))),1,0)</f>
        <v>1</v>
      </c>
      <c r="CB337" s="53" t="n">
        <f aca="false">IF(CQ337&gt;0,INDEX(Parameter!$H$5:$H$7,W337)/INDEX(Parameter!$E$5:$E$7,W337),IF(AND(BZ337=0,N(IFERROR(VLOOKUP(BX337,'Gebinde-Kategorie'!$A$5:$N$45,14,0),0))&gt;0),VLOOKUP(BX337,'Gebinde-Kategorie'!$A$5:$N$45,14,0)*10+Parameter!$M$23,Parameter!$M$24))</f>
        <v>155</v>
      </c>
      <c r="CC337" s="48" t="str">
        <f aca="false">IF(AND(Parameter!$B$19="Ja",E337&lt;&gt;"",ISNUMBER(MATCH(E337,Parameter!$I$35:$I$52,0))),VLOOKUP(E337,Parameter!$I$35:$J$52,2,0),IFERROR(VLOOKUP(D337,Parameter!$A$35:$C$64,2,0),"Nein"))</f>
        <v>2+3</v>
      </c>
      <c r="CD337" s="52" t="n">
        <f aca="false">IF(BZ337=0,0,IF(N(S337)&gt;0,S337,IFERROR(VLOOKUP(D337,Parameter!$A$35:$C$64,3,0)+0,0)))</f>
        <v>0</v>
      </c>
      <c r="CE337" s="48" t="n">
        <f aca="false">IF(AA337&lt;&gt;"",AA337,Z337)</f>
        <v>3</v>
      </c>
      <c r="CF337" s="48" t="str">
        <f aca="false">IF(OR(CE337=1,CE337=2,CE337=3),IF(Parameter!$E$27="Ja","LIFT",IF(CE337=1,"L1","L23")),IF(CE337="Aussen","Aussen","-"))</f>
        <v>LIFT</v>
      </c>
      <c r="CG337" s="59" t="n">
        <f aca="false">IF(N(AB337)&gt;0,AB337,0)</f>
        <v>0</v>
      </c>
      <c r="CH337" s="53" t="n">
        <f aca="false">IF(ISNUMBER(AE337),1,0)</f>
        <v>0</v>
      </c>
      <c r="CI337" s="50" t="n">
        <f aca="false">N(AE337)</f>
        <v>0</v>
      </c>
      <c r="CJ337" s="50" t="n">
        <f aca="false">N(M337)+N(N337)</f>
        <v>1</v>
      </c>
      <c r="CK337" s="50" t="n">
        <f aca="false">N(M337)</f>
        <v>0</v>
      </c>
      <c r="CL337" s="50" t="n">
        <f aca="false">N(N337)</f>
        <v>1</v>
      </c>
      <c r="CM337" s="50" t="n">
        <f aca="false">ROUNDUP(H337/BY337,0)</f>
        <v>1</v>
      </c>
      <c r="CN337" s="50" t="n">
        <f aca="false">ROUNDUP(CI337/BY337,0)</f>
        <v>0</v>
      </c>
      <c r="CO337" s="53" t="n">
        <f aca="false">IF(BZ337=1,0,IFERROR(VLOOKUP(BX337,'Gebinde-Kategorie'!$A$5:$N$45,5,0)+0,0))</f>
        <v>11</v>
      </c>
      <c r="CP337" s="53" t="n">
        <f aca="false">IFERROR(IF(OR(CE337=1,CE337=2,CE337=3),N(INDEX(Parameter!$I$5:$I$7,CE337)),0),0)</f>
        <v>0</v>
      </c>
      <c r="CQ337" s="52" t="n">
        <f aca="false">IF(AND(Parameter!$B$21="Ja",ISNUMBER(W337),N(X337)&gt;0),IFERROR(N(INDEX(Parameter!$L$5:$L$7,W337))*INDEX(Parameter!$E$5:$E$7,W337)*X337/SUMIFS($X$7:$X$1843,$W$7:$W$1843,W337),0),0)</f>
        <v>0</v>
      </c>
    </row>
    <row r="338" customFormat="false" ht="15" hidden="false" customHeight="false" outlineLevel="0" collapsed="false">
      <c r="A338" s="48" t="s">
        <v>843</v>
      </c>
      <c r="B338" s="48" t="s">
        <v>844</v>
      </c>
      <c r="C338" s="48" t="s">
        <v>173</v>
      </c>
      <c r="D338" s="48" t="s">
        <v>193</v>
      </c>
      <c r="E338" s="48" t="s">
        <v>194</v>
      </c>
      <c r="F338" s="48" t="s">
        <v>227</v>
      </c>
      <c r="G338" s="49" t="n">
        <v>6.13</v>
      </c>
      <c r="H338" s="50" t="n">
        <f aca="false">MAX(0,IF(AND(Parameter!$B$21="Ja",ISNUMBER(Y338)),Y338,IF(Parameter!$B$20="Jahresanfang 2025 + Export",BR338+BQ338,BQ338)))</f>
        <v>44</v>
      </c>
      <c r="I338" s="50" t="n">
        <f aca="false">H338*G338</f>
        <v>269.72</v>
      </c>
      <c r="J338" s="50" t="n">
        <f aca="false">BT338*Parameter!$B$18</f>
        <v>0</v>
      </c>
      <c r="K338" s="51" t="n">
        <v>5.5</v>
      </c>
      <c r="L338" s="52" t="n">
        <v>0</v>
      </c>
      <c r="M338" s="50" t="n">
        <v>0</v>
      </c>
      <c r="N338" s="50" t="n">
        <v>1</v>
      </c>
      <c r="O338" s="53" t="n">
        <v>14</v>
      </c>
      <c r="P338" s="48" t="s">
        <v>311</v>
      </c>
      <c r="Q338" s="50" t="n">
        <v>15</v>
      </c>
      <c r="R338" s="53" t="n">
        <f aca="false">IF(BZ338=1,0,IFERROR(VLOOKUP(BX338,'Gebinde-Kategorie'!$A$5:$N$45,13,0)+0,0))</f>
        <v>26</v>
      </c>
      <c r="S338" s="54"/>
      <c r="T338" s="55"/>
      <c r="U338" s="55"/>
      <c r="V338" s="55"/>
      <c r="W338" s="48"/>
      <c r="X338" s="50"/>
      <c r="Y338" s="50"/>
      <c r="Z338" s="48" t="n">
        <f aca="false">IF(A338="","",IF(AND(Parameter!$B$21="Ja",ISNUMBER(W338)),W338,IF(CC338="2+3",IF(ISNUMBER(SEARCH("grosser Artikel",BU338)),2,IFERROR(VLOOKUP(BX338,Parameter!$F$35:$G$64,2,0),2)),IF(OR(CC338="Nein",CC338=""),"-",CC338))))</f>
        <v>3</v>
      </c>
      <c r="AA338" s="55"/>
      <c r="AB338" s="56"/>
      <c r="AC338" s="50" t="n">
        <f aca="false">AV338</f>
        <v>1</v>
      </c>
      <c r="AD338" s="50" t="n">
        <f aca="false">MAX(AV338,H338)</f>
        <v>44</v>
      </c>
      <c r="AE338" s="57"/>
      <c r="AF338" s="50" t="n">
        <f aca="false">IF(LEFT(Cockpit!$C$5,1)="A",H338,IF(Parameter!$E$30="MAX-Bestand",IF(CH338=1,CI338,IF(LEFT(Cockpit!$C$5,1)="B",AL338,MAX(AL338,H338))),ROUNDUP(AJ338,0)))</f>
        <v>44</v>
      </c>
      <c r="AG338" s="50" t="n">
        <f aca="false">IF(BZ338=1,0,ROUNDUP(AF338/BY338,0))</f>
        <v>3</v>
      </c>
      <c r="AH338" s="52" t="n">
        <f aca="false">IF(CQ338&gt;0,CQ338*MAX(1,AF338/X338),IF(BZ338=1,IF(AF338&lt;=0,0,CD338*MAX(1,IF(H338&gt;0,AF338/H338,1))),IF(R338&gt;0,AG338/R338,0))/MAX(0.1,N(Parameter!$M$21)))</f>
        <v>0.115384615384615</v>
      </c>
      <c r="AI338" s="50" t="n">
        <f aca="false">AH338*CB338</f>
        <v>17.8846153846154</v>
      </c>
      <c r="AJ338" s="51" t="n">
        <f aca="false">IF(LEFT(Cockpit!$C$5,1)="A",H338,IF(CH338=1,(CK338+CI338)/2,IF(LEFT(Cockpit!$C$5,1)="B",(CK338+AL338)/2,MAX((CK338+AL338)/2,H338))))</f>
        <v>44</v>
      </c>
      <c r="AK338" s="50" t="n">
        <f aca="false">AJ338*G338</f>
        <v>269.72</v>
      </c>
      <c r="AL338" s="50" t="n">
        <f aca="false">ROUNDUP(CK338+MAX(CL338,2*(J338/IF(CG338&gt;0,CG338,MAX(0.1,N(Cockpit!$C$6)))-CK338)),0)</f>
        <v>1</v>
      </c>
      <c r="AM338" s="51" t="n">
        <f aca="false">IF(AI338&gt;0,J338/AI338,-1)</f>
        <v>0</v>
      </c>
      <c r="AN338" s="51" t="n">
        <f aca="false">IF(AND(OR(CF338="L1",CF338="L23",CF338="LIFT"),AI338&gt;0),SUMIFS($AI$7:$AI$1843,$CF$7:$CF$1843,CF338,$AM$7:$AM$1843,"&gt;"&amp;AM338)+SUMIFS($AI$7:$AI$1843,$CF$7:$CF$1843,CF338,$AM$7:$AM$1843,AM338,$BW$7:$BW$1843,"&lt;="&amp;BW338),"")</f>
        <v>28001.1819447031</v>
      </c>
      <c r="AO338" s="58" t="n">
        <f aca="false">IF(AN338="",0,MAX(0,MIN(1,(IF(CF338="L1",Parameter!$H$5,IF(CF338="L23",Parameter!$H$6+Parameter!$H$7,Parameter!$H$5+Parameter!$H$6+Parameter!$H$7))-(AN338-AI338))/AI338)))</f>
        <v>1</v>
      </c>
      <c r="AP338" s="50" t="n">
        <f aca="false">IF(LEFT(Cockpit!$I$5,1)="A",H338,IF(Parameter!$E$30="MAX-Bestand",IF(CH338=1,CI338,IF(LEFT(Cockpit!$I$5,1)="B",AV338,MAX(AV338,H338))),ROUNDUP(AT338,0)))</f>
        <v>44</v>
      </c>
      <c r="AQ338" s="50" t="n">
        <f aca="false">IF(BZ338=1,0,ROUNDUP(AP338/BY338,0))</f>
        <v>3</v>
      </c>
      <c r="AR338" s="52" t="n">
        <f aca="false">IF(CQ338&gt;0,CQ338*MAX(1,AP338/X338),IF(BZ338=1,IF(AP338&lt;=0,0,CD338*MAX(1,IF(H338&gt;0,AP338/H338,1))),IF(R338&gt;0,AQ338/R338,0))/MAX(0.1,N(Parameter!$M$21)))</f>
        <v>0.115384615384615</v>
      </c>
      <c r="AS338" s="50" t="n">
        <f aca="false">AR338*CB338</f>
        <v>17.8846153846154</v>
      </c>
      <c r="AT338" s="51" t="n">
        <f aca="false">IF(LEFT(Cockpit!$I$5,1)="A",H338,IF(CH338=1,(CK338+CI338)/2,IF(LEFT(Cockpit!$I$5,1)="B",(CK338+AV338)/2,MAX((CK338+AV338)/2,H338))))</f>
        <v>44</v>
      </c>
      <c r="AU338" s="50" t="n">
        <f aca="false">AT338*G338</f>
        <v>269.72</v>
      </c>
      <c r="AV338" s="50" t="n">
        <f aca="false">ROUNDUP(CK338+MAX(CL338,2*(J338/IF(CG338&gt;0,CG338,MAX(0.1,N(Cockpit!$I$6)))-CK338)),0)</f>
        <v>1</v>
      </c>
      <c r="AW338" s="51" t="n">
        <f aca="false">IF(AS338&gt;0,J338/AS338,-1)</f>
        <v>0</v>
      </c>
      <c r="AX338" s="51" t="n">
        <f aca="false">IF(AND(OR(CF338="L1",CF338="L23",CF338="LIFT"),AS338&gt;0),SUMIFS($AS$7:$AS$1843,$CF$7:$CF$1843,CF338,$AW$7:$AW$1843,"&gt;"&amp;AW338)+SUMIFS($AS$7:$AS$1843,$CF$7:$CF$1843,CF338,$AW$7:$AW$1843,AW338,$BW$7:$BW$1843,"&lt;="&amp;BW338),"")</f>
        <v>33354.3305860806</v>
      </c>
      <c r="AY338" s="58" t="n">
        <f aca="false">IF(AX338="",0,MAX(0,MIN(1,(IF(CF338="L1",Parameter!$H$5,IF(CF338="L23",Parameter!$H$6+Parameter!$H$7,Parameter!$H$5+Parameter!$H$6+Parameter!$H$7))-(AX338-AS338))/AS338)))</f>
        <v>1</v>
      </c>
      <c r="AZ338" s="50" t="n">
        <f aca="false">IF(LEFT(Cockpit!$O$5,1)="A",H338,IF(Parameter!$E$30="MAX-Bestand",IF(CH338=1,CI338,IF(LEFT(Cockpit!$O$5,1)="B",BF338,MAX(BF338,H338))),ROUNDUP(BD338,0)))</f>
        <v>1</v>
      </c>
      <c r="BA338" s="50" t="n">
        <f aca="false">IF(BZ338=1,0,ROUNDUP(AZ338/BY338,0))</f>
        <v>1</v>
      </c>
      <c r="BB338" s="52" t="n">
        <f aca="false">IF(CQ338&gt;0,CQ338*MAX(1,AZ338/X338),IF(BZ338=1,IF(AZ338&lt;=0,0,CD338*MAX(1,IF(H338&gt;0,AZ338/H338,1))),IF(R338&gt;0,BA338/R338,0))/MAX(0.1,N(Parameter!$M$21)))</f>
        <v>0.0384615384615385</v>
      </c>
      <c r="BC338" s="50" t="n">
        <f aca="false">BB338*CB338</f>
        <v>5.96153846153846</v>
      </c>
      <c r="BD338" s="51" t="n">
        <f aca="false">IF(LEFT(Cockpit!$O$5,1)="A",H338,IF(CH338=1,(CK338+CI338)/2,IF(LEFT(Cockpit!$O$5,1)="B",(CK338+BF338)/2,MAX((CK338+BF338)/2,H338))))</f>
        <v>0.5</v>
      </c>
      <c r="BE338" s="50" t="n">
        <f aca="false">BD338*G338</f>
        <v>3.065</v>
      </c>
      <c r="BF338" s="50" t="n">
        <f aca="false">ROUNDUP(CK338+MAX(CL338,2*(J338/IF(CG338&gt;0,CG338,MAX(0.1,N(Cockpit!$O$6)))-CK338)),0)</f>
        <v>1</v>
      </c>
      <c r="BG338" s="51" t="n">
        <f aca="false">IF(BC338&gt;0,J338/BC338,-1)</f>
        <v>0</v>
      </c>
      <c r="BH338" s="51" t="n">
        <f aca="false">IF(AND(OR(CF338="L1",CF338="L23",CF338="LIFT"),BC338&gt;0),SUMIFS($BC$7:$BC$1843,$CF$7:$CF$1843,CF338,$BG$7:$BG$1843,"&gt;"&amp;BG338)+SUMIFS($BC$7:$BC$1843,$CF$7:$CF$1843,CF338,$BG$7:$BG$1843,BG338,$BW$7:$BW$1843,"&lt;="&amp;BW338),"")</f>
        <v>27467.8675575837</v>
      </c>
      <c r="BI338" s="58" t="n">
        <f aca="false">IF(BH338="",0,MAX(0,MIN(1,(IF(CF338="L1",Parameter!$H$5,IF(CF338="L23",Parameter!$H$6+Parameter!$H$7,Parameter!$H$5+Parameter!$H$6+Parameter!$H$7))-(BH338-BC338))/BC338)))</f>
        <v>1</v>
      </c>
      <c r="BJ338" s="48" t="str">
        <f aca="false">IF(AI338&lt;=0,"",IF(CF338="Aussen","Aussenlager",IF(CF338="-","Nicht im Lift",IF(AO338&gt;=1,"Lift",IF(AO338&lt;=0,"Aussenlager","teilweise")))))</f>
        <v>Lift</v>
      </c>
      <c r="BK338" s="48" t="str">
        <f aca="false">IF(AS338&lt;=0,"",IF(CF338="Aussen","Aussenlager",IF(CF338="-","Nicht im Lift",IF(AY338&gt;=1,"Lift",IF(AY338&lt;=0,"Aussenlager","teilweise")))))</f>
        <v>Lift</v>
      </c>
      <c r="BL338" s="48" t="str">
        <f aca="false">IF(BC338&lt;=0,"",IF(CF338="Aussen","Aussenlager",IF(CF338="-","Nicht im Lift",IF(BI338&gt;=1,"Lift",IF(BI338&lt;=0,"Aussenlager","teilweise")))))</f>
        <v>Lift</v>
      </c>
      <c r="BM338" s="48" t="str">
        <f aca="false">IF(A338="","",IF(BV338=1,"Neu; ","")&amp;IF(AND(BV338=0,BQ338&lt;0),"negativer Bestand (Export "&amp;BQ338&amp;"); ","")&amp;IF(J338&lt;=0,"Kein Verbrauch; ","")&amp;IF(CQ338&gt;0,"Lift "&amp;W338&amp;" lt. Liftbericht (Fach "&amp;X338&amp;" Stk); ",IF(CA338=1,"Gebinde geschätzt ("&amp;T338&amp;"); ",IF(BZ338=1,"Lose – Tablare geschätzt; ","")))&amp;IF(H338&gt;AV338,"Überbestand "&amp;ROUND(H338-AV338,0)&amp;" Stk / CHF "&amp;ROUND((H338-AV338)*G338,0)&amp;"; ","")&amp;IF(AND(CH338=1,CI338&lt;CJ338),"MAX &lt; MB+LG; ","")&amp;IF(AND(CP338&gt;0,CO338*10&gt;CP338),"zu hoch für Tablar; ","")&amp;IF(AND(BV338=0,OR(CH338=1,AA338&lt;&gt;"",U338&lt;&gt;"",V338&lt;&gt;"",AB338&lt;&gt;"")),"manuell übersteuert; ","")&amp;IF(AND(BZ338=0,R338=0),"Gebinde unbekannt / Stellmass fehlt; ","")&amp;IF(AND(BZ338=0,N(V338)&lt;=0,N(Q338)&lt;=0),"Menge pro Gebinde fehlt (Ist = 1 Gebinde); ","")&amp;BU338)</f>
        <v>Kein Verbrauch; Überbestand 43 Stk / CHF 264; </v>
      </c>
      <c r="BN338" s="48"/>
      <c r="BO338" s="48"/>
      <c r="BP338" s="55"/>
      <c r="BQ338" s="50" t="n">
        <v>35</v>
      </c>
      <c r="BR338" s="50" t="n">
        <v>9</v>
      </c>
      <c r="BS338" s="49" t="n">
        <v>204.92</v>
      </c>
      <c r="BT338" s="50" t="n">
        <v>0</v>
      </c>
      <c r="BU338" s="48"/>
      <c r="BV338" s="53" t="n">
        <v>0</v>
      </c>
      <c r="BW338" s="53" t="n">
        <v>338</v>
      </c>
      <c r="BX338" s="48" t="str">
        <f aca="false">IF(U338&lt;&gt;"",UPPER(TRIM(U338)),IF(CA338=1,UPPER(VLOOKUP(T338,Parameter!$I$27:$K$29,2,0)),IF(P338="","LOSE",P338)))</f>
        <v>S51</v>
      </c>
      <c r="BY338" s="50" t="n">
        <f aca="false">IF(BX338="LOSE",1,IF(N(V338)&gt;0,V338,IF(CA338=1,MAX(1,N(VLOOKUP(T338,Parameter!$I$27:$K$29,3,0)),H338,N(N338)),IF(N(Q338)&gt;0,Q338,MAX(1,H338)))))</f>
        <v>15</v>
      </c>
      <c r="BZ338" s="53" t="n">
        <f aca="false">IF(BX338="LOSE",1,0)</f>
        <v>0</v>
      </c>
      <c r="CA338" s="53" t="n">
        <f aca="false">IF(AND(U338="",OR(P338="",P338="LOSE"),T338&lt;&gt;"",N(S338)&lt;=0,ISNUMBER(MATCH(T338,Parameter!$I$27:$I$29,0))),1,0)</f>
        <v>0</v>
      </c>
      <c r="CB338" s="53" t="n">
        <f aca="false">IF(CQ338&gt;0,INDEX(Parameter!$H$5:$H$7,W338)/INDEX(Parameter!$E$5:$E$7,W338),IF(AND(BZ338=0,N(IFERROR(VLOOKUP(BX338,'Gebinde-Kategorie'!$A$5:$N$45,14,0),0))&gt;0),VLOOKUP(BX338,'Gebinde-Kategorie'!$A$5:$N$45,14,0)*10+Parameter!$M$23,Parameter!$M$24))</f>
        <v>155</v>
      </c>
      <c r="CC338" s="48" t="str">
        <f aca="false">IF(AND(Parameter!$B$19="Ja",E338&lt;&gt;"",ISNUMBER(MATCH(E338,Parameter!$I$35:$I$52,0))),VLOOKUP(E338,Parameter!$I$35:$J$52,2,0),IFERROR(VLOOKUP(D338,Parameter!$A$35:$C$64,2,0),"Nein"))</f>
        <v>2+3</v>
      </c>
      <c r="CD338" s="52" t="n">
        <f aca="false">IF(BZ338=0,0,IF(N(S338)&gt;0,S338,IFERROR(VLOOKUP(D338,Parameter!$A$35:$C$64,3,0)+0,0)))</f>
        <v>0</v>
      </c>
      <c r="CE338" s="48" t="n">
        <f aca="false">IF(AA338&lt;&gt;"",AA338,Z338)</f>
        <v>3</v>
      </c>
      <c r="CF338" s="48" t="str">
        <f aca="false">IF(OR(CE338=1,CE338=2,CE338=3),IF(Parameter!$E$27="Ja","LIFT",IF(CE338=1,"L1","L23")),IF(CE338="Aussen","Aussen","-"))</f>
        <v>LIFT</v>
      </c>
      <c r="CG338" s="59" t="n">
        <f aca="false">IF(N(AB338)&gt;0,AB338,0)</f>
        <v>0</v>
      </c>
      <c r="CH338" s="53" t="n">
        <f aca="false">IF(ISNUMBER(AE338),1,0)</f>
        <v>0</v>
      </c>
      <c r="CI338" s="50" t="n">
        <f aca="false">N(AE338)</f>
        <v>0</v>
      </c>
      <c r="CJ338" s="50" t="n">
        <f aca="false">N(M338)+N(N338)</f>
        <v>1</v>
      </c>
      <c r="CK338" s="50" t="n">
        <f aca="false">N(M338)</f>
        <v>0</v>
      </c>
      <c r="CL338" s="50" t="n">
        <f aca="false">N(N338)</f>
        <v>1</v>
      </c>
      <c r="CM338" s="50" t="n">
        <f aca="false">ROUNDUP(H338/BY338,0)</f>
        <v>3</v>
      </c>
      <c r="CN338" s="50" t="n">
        <f aca="false">ROUNDUP(CI338/BY338,0)</f>
        <v>0</v>
      </c>
      <c r="CO338" s="53" t="n">
        <f aca="false">IF(BZ338=1,0,IFERROR(VLOOKUP(BX338,'Gebinde-Kategorie'!$A$5:$N$45,5,0)+0,0))</f>
        <v>11</v>
      </c>
      <c r="CP338" s="53" t="n">
        <f aca="false">IFERROR(IF(OR(CE338=1,CE338=2,CE338=3),N(INDEX(Parameter!$I$5:$I$7,CE338)),0),0)</f>
        <v>0</v>
      </c>
      <c r="CQ338" s="52" t="n">
        <f aca="false">IF(AND(Parameter!$B$21="Ja",ISNUMBER(W338),N(X338)&gt;0),IFERROR(N(INDEX(Parameter!$L$5:$L$7,W338))*INDEX(Parameter!$E$5:$E$7,W338)*X338/SUMIFS($X$7:$X$1843,$W$7:$W$1843,W338),0),0)</f>
        <v>0</v>
      </c>
    </row>
    <row r="339" customFormat="false" ht="15" hidden="false" customHeight="false" outlineLevel="0" collapsed="false">
      <c r="A339" s="48" t="s">
        <v>845</v>
      </c>
      <c r="B339" s="48" t="s">
        <v>697</v>
      </c>
      <c r="C339" s="48" t="s">
        <v>173</v>
      </c>
      <c r="D339" s="48" t="s">
        <v>193</v>
      </c>
      <c r="E339" s="48" t="s">
        <v>194</v>
      </c>
      <c r="F339" s="48" t="s">
        <v>227</v>
      </c>
      <c r="G339" s="49" t="n">
        <v>21.28</v>
      </c>
      <c r="H339" s="50" t="n">
        <f aca="false">MAX(0,IF(AND(Parameter!$B$21="Ja",ISNUMBER(Y339)),Y339,IF(Parameter!$B$20="Jahresanfang 2025 + Export",BR339+BQ339,BQ339)))</f>
        <v>22</v>
      </c>
      <c r="I339" s="50" t="n">
        <f aca="false">H339*G339</f>
        <v>468.16</v>
      </c>
      <c r="J339" s="50" t="n">
        <f aca="false">BT339*Parameter!$B$18</f>
        <v>26</v>
      </c>
      <c r="K339" s="51" t="n">
        <v>13</v>
      </c>
      <c r="L339" s="52" t="n">
        <v>2</v>
      </c>
      <c r="M339" s="50" t="n">
        <v>2</v>
      </c>
      <c r="N339" s="50" t="n">
        <v>25</v>
      </c>
      <c r="O339" s="53" t="n">
        <v>35</v>
      </c>
      <c r="P339" s="48" t="s">
        <v>242</v>
      </c>
      <c r="Q339" s="50" t="n">
        <v>17</v>
      </c>
      <c r="R339" s="53" t="n">
        <f aca="false">IF(BZ339=1,0,IFERROR(VLOOKUP(BX339,'Gebinde-Kategorie'!$A$5:$N$45,13,0)+0,0))</f>
        <v>26</v>
      </c>
      <c r="S339" s="54"/>
      <c r="T339" s="55"/>
      <c r="U339" s="55"/>
      <c r="V339" s="55"/>
      <c r="W339" s="48"/>
      <c r="X339" s="50"/>
      <c r="Y339" s="50"/>
      <c r="Z339" s="48" t="n">
        <f aca="false">IF(A339="","",IF(AND(Parameter!$B$21="Ja",ISNUMBER(W339)),W339,IF(CC339="2+3",IF(ISNUMBER(SEARCH("grosser Artikel",BU339)),2,IFERROR(VLOOKUP(BX339,Parameter!$F$35:$G$64,2,0),2)),IF(OR(CC339="Nein",CC339=""),"-",CC339))))</f>
        <v>3</v>
      </c>
      <c r="AA339" s="55"/>
      <c r="AB339" s="56"/>
      <c r="AC339" s="50" t="n">
        <f aca="false">AV339</f>
        <v>27</v>
      </c>
      <c r="AD339" s="50" t="n">
        <f aca="false">MAX(AV339,H339)</f>
        <v>27</v>
      </c>
      <c r="AE339" s="57"/>
      <c r="AF339" s="50" t="n">
        <f aca="false">IF(LEFT(Cockpit!$C$5,1)="A",H339,IF(Parameter!$E$30="MAX-Bestand",IF(CH339=1,CI339,IF(LEFT(Cockpit!$C$5,1)="B",AL339,MAX(AL339,H339))),ROUNDUP(AJ339,0)))</f>
        <v>22</v>
      </c>
      <c r="AG339" s="50" t="n">
        <f aca="false">IF(BZ339=1,0,ROUNDUP(AF339/BY339,0))</f>
        <v>2</v>
      </c>
      <c r="AH339" s="52" t="n">
        <f aca="false">IF(CQ339&gt;0,CQ339*MAX(1,AF339/X339),IF(BZ339=1,IF(AF339&lt;=0,0,CD339*MAX(1,IF(H339&gt;0,AF339/H339,1))),IF(R339&gt;0,AG339/R339,0))/MAX(0.1,N(Parameter!$M$21)))</f>
        <v>0.0769230769230769</v>
      </c>
      <c r="AI339" s="50" t="n">
        <f aca="false">AH339*CB339</f>
        <v>18.8461538461538</v>
      </c>
      <c r="AJ339" s="51" t="n">
        <f aca="false">IF(LEFT(Cockpit!$C$5,1)="A",H339,IF(CH339=1,(CK339+CI339)/2,IF(LEFT(Cockpit!$C$5,1)="B",(CK339+AL339)/2,MAX((CK339+AL339)/2,H339))))</f>
        <v>22</v>
      </c>
      <c r="AK339" s="50" t="n">
        <f aca="false">AJ339*G339</f>
        <v>468.16</v>
      </c>
      <c r="AL339" s="50" t="n">
        <f aca="false">ROUNDUP(CK339+MAX(CL339,2*(J339/IF(CG339&gt;0,CG339,MAX(0.1,N(Cockpit!$C$6)))-CK339)),0)</f>
        <v>27</v>
      </c>
      <c r="AM339" s="51" t="n">
        <f aca="false">IF(AI339&gt;0,J339/AI339,-1)</f>
        <v>1.37959183673469</v>
      </c>
      <c r="AN339" s="51" t="n">
        <f aca="false">IF(AND(OR(CF339="L1",CF339="L23",CF339="LIFT"),AI339&gt;0),SUMIFS($AI$7:$AI$1843,$CF$7:$CF$1843,CF339,$AM$7:$AM$1843,"&gt;"&amp;AM339)+SUMIFS($AI$7:$AI$1843,$CF$7:$CF$1843,CF339,$AM$7:$AM$1843,AM339,$BW$7:$BW$1843,"&lt;="&amp;BW339),"")</f>
        <v>6309.80173992674</v>
      </c>
      <c r="AO339" s="58" t="n">
        <f aca="false">IF(AN339="",0,MAX(0,MIN(1,(IF(CF339="L1",Parameter!$H$5,IF(CF339="L23",Parameter!$H$6+Parameter!$H$7,Parameter!$H$5+Parameter!$H$6+Parameter!$H$7))-(AN339-AI339))/AI339)))</f>
        <v>1</v>
      </c>
      <c r="AP339" s="50" t="n">
        <f aca="false">IF(LEFT(Cockpit!$I$5,1)="A",H339,IF(Parameter!$E$30="MAX-Bestand",IF(CH339=1,CI339,IF(LEFT(Cockpit!$I$5,1)="B",AV339,MAX(AV339,H339))),ROUNDUP(AT339,0)))</f>
        <v>22</v>
      </c>
      <c r="AQ339" s="50" t="n">
        <f aca="false">IF(BZ339=1,0,ROUNDUP(AP339/BY339,0))</f>
        <v>2</v>
      </c>
      <c r="AR339" s="52" t="n">
        <f aca="false">IF(CQ339&gt;0,CQ339*MAX(1,AP339/X339),IF(BZ339=1,IF(AP339&lt;=0,0,CD339*MAX(1,IF(H339&gt;0,AP339/H339,1))),IF(R339&gt;0,AQ339/R339,0))/MAX(0.1,N(Parameter!$M$21)))</f>
        <v>0.0769230769230769</v>
      </c>
      <c r="AS339" s="50" t="n">
        <f aca="false">AR339*CB339</f>
        <v>18.8461538461538</v>
      </c>
      <c r="AT339" s="51" t="n">
        <f aca="false">IF(LEFT(Cockpit!$I$5,1)="A",H339,IF(CH339=1,(CK339+CI339)/2,IF(LEFT(Cockpit!$I$5,1)="B",(CK339+AV339)/2,MAX((CK339+AV339)/2,H339))))</f>
        <v>22</v>
      </c>
      <c r="AU339" s="50" t="n">
        <f aca="false">AT339*G339</f>
        <v>468.16</v>
      </c>
      <c r="AV339" s="50" t="n">
        <f aca="false">ROUNDUP(CK339+MAX(CL339,2*(J339/IF(CG339&gt;0,CG339,MAX(0.1,N(Cockpit!$I$6)))-CK339)),0)</f>
        <v>27</v>
      </c>
      <c r="AW339" s="51" t="n">
        <f aca="false">IF(AS339&gt;0,J339/AS339,-1)</f>
        <v>1.37959183673469</v>
      </c>
      <c r="AX339" s="51" t="n">
        <f aca="false">IF(AND(OR(CF339="L1",CF339="L23",CF339="LIFT"),AS339&gt;0),SUMIFS($AS$7:$AS$1843,$CF$7:$CF$1843,CF339,$AW$7:$AW$1843,"&gt;"&amp;AW339)+SUMIFS($AS$7:$AS$1843,$CF$7:$CF$1843,CF339,$AW$7:$AW$1843,AW339,$BW$7:$BW$1843,"&lt;="&amp;BW339),"")</f>
        <v>7828.02380952381</v>
      </c>
      <c r="AY339" s="58" t="n">
        <f aca="false">IF(AX339="",0,MAX(0,MIN(1,(IF(CF339="L1",Parameter!$H$5,IF(CF339="L23",Parameter!$H$6+Parameter!$H$7,Parameter!$H$5+Parameter!$H$6+Parameter!$H$7))-(AX339-AS339))/AS339)))</f>
        <v>1</v>
      </c>
      <c r="AZ339" s="50" t="n">
        <f aca="false">IF(LEFT(Cockpit!$O$5,1)="A",H339,IF(Parameter!$E$30="MAX-Bestand",IF(CH339=1,CI339,IF(LEFT(Cockpit!$O$5,1)="B",BF339,MAX(BF339,H339))),ROUNDUP(BD339,0)))</f>
        <v>15</v>
      </c>
      <c r="BA339" s="50" t="n">
        <f aca="false">IF(BZ339=1,0,ROUNDUP(AZ339/BY339,0))</f>
        <v>1</v>
      </c>
      <c r="BB339" s="52" t="n">
        <f aca="false">IF(CQ339&gt;0,CQ339*MAX(1,AZ339/X339),IF(BZ339=1,IF(AZ339&lt;=0,0,CD339*MAX(1,IF(H339&gt;0,AZ339/H339,1))),IF(R339&gt;0,BA339/R339,0))/MAX(0.1,N(Parameter!$M$21)))</f>
        <v>0.0384615384615385</v>
      </c>
      <c r="BC339" s="50" t="n">
        <f aca="false">BB339*CB339</f>
        <v>9.42307692307692</v>
      </c>
      <c r="BD339" s="51" t="n">
        <f aca="false">IF(LEFT(Cockpit!$O$5,1)="A",H339,IF(CH339=1,(CK339+CI339)/2,IF(LEFT(Cockpit!$O$5,1)="B",(CK339+BF339)/2,MAX((CK339+BF339)/2,H339))))</f>
        <v>14.5</v>
      </c>
      <c r="BE339" s="50" t="n">
        <f aca="false">BD339*G339</f>
        <v>308.56</v>
      </c>
      <c r="BF339" s="50" t="n">
        <f aca="false">ROUNDUP(CK339+MAX(CL339,2*(J339/IF(CG339&gt;0,CG339,MAX(0.1,N(Cockpit!$O$6)))-CK339)),0)</f>
        <v>27</v>
      </c>
      <c r="BG339" s="51" t="n">
        <f aca="false">IF(BC339&gt;0,J339/BC339,-1)</f>
        <v>2.75918367346939</v>
      </c>
      <c r="BH339" s="51" t="n">
        <f aca="false">IF(AND(OR(CF339="L1",CF339="L23",CF339="LIFT"),BC339&gt;0),SUMIFS($BC$7:$BC$1843,$CF$7:$CF$1843,CF339,$BG$7:$BG$1843,"&gt;"&amp;BG339)+SUMIFS($BC$7:$BC$1843,$CF$7:$CF$1843,CF339,$BG$7:$BG$1843,BG339,$BW$7:$BW$1843,"&lt;="&amp;BW339),"")</f>
        <v>4956.83836996337</v>
      </c>
      <c r="BI339" s="58" t="n">
        <f aca="false">IF(BH339="",0,MAX(0,MIN(1,(IF(CF339="L1",Parameter!$H$5,IF(CF339="L23",Parameter!$H$6+Parameter!$H$7,Parameter!$H$5+Parameter!$H$6+Parameter!$H$7))-(BH339-BC339))/BC339)))</f>
        <v>1</v>
      </c>
      <c r="BJ339" s="48" t="str">
        <f aca="false">IF(AI339&lt;=0,"",IF(CF339="Aussen","Aussenlager",IF(CF339="-","Nicht im Lift",IF(AO339&gt;=1,"Lift",IF(AO339&lt;=0,"Aussenlager","teilweise")))))</f>
        <v>Lift</v>
      </c>
      <c r="BK339" s="48" t="str">
        <f aca="false">IF(AS339&lt;=0,"",IF(CF339="Aussen","Aussenlager",IF(CF339="-","Nicht im Lift",IF(AY339&gt;=1,"Lift",IF(AY339&lt;=0,"Aussenlager","teilweise")))))</f>
        <v>Lift</v>
      </c>
      <c r="BL339" s="48" t="str">
        <f aca="false">IF(BC339&lt;=0,"",IF(CF339="Aussen","Aussenlager",IF(CF339="-","Nicht im Lift",IF(BI339&gt;=1,"Lift",IF(BI339&lt;=0,"Aussenlager","teilweise")))))</f>
        <v>Lift</v>
      </c>
      <c r="BM339" s="48" t="str">
        <f aca="false">IF(A339="","",IF(BV339=1,"Neu; ","")&amp;IF(AND(BV339=0,BQ339&lt;0),"negativer Bestand (Export "&amp;BQ339&amp;"); ","")&amp;IF(J339&lt;=0,"Kein Verbrauch; ","")&amp;IF(CQ339&gt;0,"Lift "&amp;W339&amp;" lt. Liftbericht (Fach "&amp;X339&amp;" Stk); ",IF(CA339=1,"Gebinde geschätzt ("&amp;T339&amp;"); ",IF(BZ339=1,"Lose – Tablare geschätzt; ","")))&amp;IF(H339&gt;AV339,"Überbestand "&amp;ROUND(H339-AV339,0)&amp;" Stk / CHF "&amp;ROUND((H339-AV339)*G339,0)&amp;"; ","")&amp;IF(AND(CH339=1,CI339&lt;CJ339),"MAX &lt; MB+LG; ","")&amp;IF(AND(CP339&gt;0,CO339*10&gt;CP339),"zu hoch für Tablar; ","")&amp;IF(AND(BV339=0,OR(CH339=1,AA339&lt;&gt;"",U339&lt;&gt;"",V339&lt;&gt;"",AB339&lt;&gt;"")),"manuell übersteuert; ","")&amp;IF(AND(BZ339=0,R339=0),"Gebinde unbekannt / Stellmass fehlt; ","")&amp;IF(AND(BZ339=0,N(V339)&lt;=0,N(Q339)&lt;=0),"Menge pro Gebinde fehlt (Ist = 1 Gebinde); ","")&amp;BU339)</f>
        <v/>
      </c>
      <c r="BN339" s="48"/>
      <c r="BO339" s="48"/>
      <c r="BP339" s="55"/>
      <c r="BQ339" s="50" t="n">
        <v>11</v>
      </c>
      <c r="BR339" s="50" t="n">
        <v>11</v>
      </c>
      <c r="BS339" s="49" t="n">
        <v>202.73</v>
      </c>
      <c r="BT339" s="50" t="n">
        <v>26</v>
      </c>
      <c r="BU339" s="48"/>
      <c r="BV339" s="53" t="n">
        <v>0</v>
      </c>
      <c r="BW339" s="53" t="n">
        <v>339</v>
      </c>
      <c r="BX339" s="48" t="str">
        <f aca="false">IF(U339&lt;&gt;"",UPPER(TRIM(U339)),IF(CA339=1,UPPER(VLOOKUP(T339,Parameter!$I$27:$K$29,2,0)),IF(P339="","LOSE",P339)))</f>
        <v>S52</v>
      </c>
      <c r="BY339" s="50" t="n">
        <f aca="false">IF(BX339="LOSE",1,IF(N(V339)&gt;0,V339,IF(CA339=1,MAX(1,N(VLOOKUP(T339,Parameter!$I$27:$K$29,3,0)),H339,N(N339)),IF(N(Q339)&gt;0,Q339,MAX(1,H339)))))</f>
        <v>17</v>
      </c>
      <c r="BZ339" s="53" t="n">
        <f aca="false">IF(BX339="LOSE",1,0)</f>
        <v>0</v>
      </c>
      <c r="CA339" s="53" t="n">
        <f aca="false">IF(AND(U339="",OR(P339="",P339="LOSE"),T339&lt;&gt;"",N(S339)&lt;=0,ISNUMBER(MATCH(T339,Parameter!$I$27:$I$29,0))),1,0)</f>
        <v>0</v>
      </c>
      <c r="CB339" s="53" t="n">
        <f aca="false">IF(CQ339&gt;0,INDEX(Parameter!$H$5:$H$7,W339)/INDEX(Parameter!$E$5:$E$7,W339),IF(AND(BZ339=0,N(IFERROR(VLOOKUP(BX339,'Gebinde-Kategorie'!$A$5:$N$45,14,0),0))&gt;0),VLOOKUP(BX339,'Gebinde-Kategorie'!$A$5:$N$45,14,0)*10+Parameter!$M$23,Parameter!$M$24))</f>
        <v>245</v>
      </c>
      <c r="CC339" s="48" t="str">
        <f aca="false">IF(AND(Parameter!$B$19="Ja",E339&lt;&gt;"",ISNUMBER(MATCH(E339,Parameter!$I$35:$I$52,0))),VLOOKUP(E339,Parameter!$I$35:$J$52,2,0),IFERROR(VLOOKUP(D339,Parameter!$A$35:$C$64,2,0),"Nein"))</f>
        <v>2+3</v>
      </c>
      <c r="CD339" s="52" t="n">
        <f aca="false">IF(BZ339=0,0,IF(N(S339)&gt;0,S339,IFERROR(VLOOKUP(D339,Parameter!$A$35:$C$64,3,0)+0,0)))</f>
        <v>0</v>
      </c>
      <c r="CE339" s="48" t="n">
        <f aca="false">IF(AA339&lt;&gt;"",AA339,Z339)</f>
        <v>3</v>
      </c>
      <c r="CF339" s="48" t="str">
        <f aca="false">IF(OR(CE339=1,CE339=2,CE339=3),IF(Parameter!$E$27="Ja","LIFT",IF(CE339=1,"L1","L23")),IF(CE339="Aussen","Aussen","-"))</f>
        <v>LIFT</v>
      </c>
      <c r="CG339" s="59" t="n">
        <f aca="false">IF(N(AB339)&gt;0,AB339,0)</f>
        <v>0</v>
      </c>
      <c r="CH339" s="53" t="n">
        <f aca="false">IF(ISNUMBER(AE339),1,0)</f>
        <v>0</v>
      </c>
      <c r="CI339" s="50" t="n">
        <f aca="false">N(AE339)</f>
        <v>0</v>
      </c>
      <c r="CJ339" s="50" t="n">
        <f aca="false">N(M339)+N(N339)</f>
        <v>27</v>
      </c>
      <c r="CK339" s="50" t="n">
        <f aca="false">N(M339)</f>
        <v>2</v>
      </c>
      <c r="CL339" s="50" t="n">
        <f aca="false">N(N339)</f>
        <v>25</v>
      </c>
      <c r="CM339" s="50" t="n">
        <f aca="false">ROUNDUP(H339/BY339,0)</f>
        <v>2</v>
      </c>
      <c r="CN339" s="50" t="n">
        <f aca="false">ROUNDUP(CI339/BY339,0)</f>
        <v>0</v>
      </c>
      <c r="CO339" s="53" t="n">
        <f aca="false">IF(BZ339=1,0,IFERROR(VLOOKUP(BX339,'Gebinde-Kategorie'!$A$5:$N$45,5,0)+0,0))</f>
        <v>21</v>
      </c>
      <c r="CP339" s="53" t="n">
        <f aca="false">IFERROR(IF(OR(CE339=1,CE339=2,CE339=3),N(INDEX(Parameter!$I$5:$I$7,CE339)),0),0)</f>
        <v>0</v>
      </c>
      <c r="CQ339" s="52" t="n">
        <f aca="false">IF(AND(Parameter!$B$21="Ja",ISNUMBER(W339),N(X339)&gt;0),IFERROR(N(INDEX(Parameter!$L$5:$L$7,W339))*INDEX(Parameter!$E$5:$E$7,W339)*X339/SUMIFS($X$7:$X$1843,$W$7:$W$1843,W339),0),0)</f>
        <v>0</v>
      </c>
    </row>
    <row r="340" customFormat="false" ht="15" hidden="false" customHeight="false" outlineLevel="0" collapsed="false">
      <c r="A340" s="48" t="s">
        <v>846</v>
      </c>
      <c r="B340" s="48" t="s">
        <v>477</v>
      </c>
      <c r="C340" s="48" t="s">
        <v>173</v>
      </c>
      <c r="D340" s="48" t="s">
        <v>193</v>
      </c>
      <c r="E340" s="48" t="s">
        <v>194</v>
      </c>
      <c r="F340" s="48" t="s">
        <v>227</v>
      </c>
      <c r="G340" s="49" t="n">
        <v>1.22</v>
      </c>
      <c r="H340" s="50" t="n">
        <f aca="false">MAX(0,IF(AND(Parameter!$B$21="Ja",ISNUMBER(Y340)),Y340,IF(Parameter!$B$20="Jahresanfang 2025 + Export",BR340+BQ340,BQ340)))</f>
        <v>282</v>
      </c>
      <c r="I340" s="50" t="n">
        <f aca="false">H340*G340</f>
        <v>344.04</v>
      </c>
      <c r="J340" s="50" t="n">
        <f aca="false">BT340*Parameter!$B$18</f>
        <v>142</v>
      </c>
      <c r="K340" s="51" t="n">
        <v>92</v>
      </c>
      <c r="L340" s="52" t="n">
        <v>1.54347826086957</v>
      </c>
      <c r="M340" s="50" t="n">
        <v>5</v>
      </c>
      <c r="N340" s="50" t="n">
        <v>140</v>
      </c>
      <c r="O340" s="53" t="n">
        <v>14</v>
      </c>
      <c r="P340" s="48" t="s">
        <v>311</v>
      </c>
      <c r="Q340" s="50" t="n">
        <v>264</v>
      </c>
      <c r="R340" s="53" t="n">
        <f aca="false">IF(BZ340=1,0,IFERROR(VLOOKUP(BX340,'Gebinde-Kategorie'!$A$5:$N$45,13,0)+0,0))</f>
        <v>26</v>
      </c>
      <c r="S340" s="54"/>
      <c r="T340" s="55"/>
      <c r="U340" s="55"/>
      <c r="V340" s="55"/>
      <c r="W340" s="48"/>
      <c r="X340" s="50"/>
      <c r="Y340" s="50"/>
      <c r="Z340" s="48" t="n">
        <f aca="false">IF(A340="","",IF(AND(Parameter!$B$21="Ja",ISNUMBER(W340)),W340,IF(CC340="2+3",IF(ISNUMBER(SEARCH("grosser Artikel",BU340)),2,IFERROR(VLOOKUP(BX340,Parameter!$F$35:$G$64,2,0),2)),IF(OR(CC340="Nein",CC340=""),"-",CC340))))</f>
        <v>3</v>
      </c>
      <c r="AA340" s="55"/>
      <c r="AB340" s="56"/>
      <c r="AC340" s="50" t="n">
        <f aca="false">AV340</f>
        <v>145</v>
      </c>
      <c r="AD340" s="50" t="n">
        <f aca="false">MAX(AV340,H340)</f>
        <v>282</v>
      </c>
      <c r="AE340" s="57"/>
      <c r="AF340" s="50" t="n">
        <f aca="false">IF(LEFT(Cockpit!$C$5,1)="A",H340,IF(Parameter!$E$30="MAX-Bestand",IF(CH340=1,CI340,IF(LEFT(Cockpit!$C$5,1)="B",AL340,MAX(AL340,H340))),ROUNDUP(AJ340,0)))</f>
        <v>282</v>
      </c>
      <c r="AG340" s="50" t="n">
        <f aca="false">IF(BZ340=1,0,ROUNDUP(AF340/BY340,0))</f>
        <v>2</v>
      </c>
      <c r="AH340" s="52" t="n">
        <f aca="false">IF(CQ340&gt;0,CQ340*MAX(1,AF340/X340),IF(BZ340=1,IF(AF340&lt;=0,0,CD340*MAX(1,IF(H340&gt;0,AF340/H340,1))),IF(R340&gt;0,AG340/R340,0))/MAX(0.1,N(Parameter!$M$21)))</f>
        <v>0.0769230769230769</v>
      </c>
      <c r="AI340" s="50" t="n">
        <f aca="false">AH340*CB340</f>
        <v>11.9230769230769</v>
      </c>
      <c r="AJ340" s="51" t="n">
        <f aca="false">IF(LEFT(Cockpit!$C$5,1)="A",H340,IF(CH340=1,(CK340+CI340)/2,IF(LEFT(Cockpit!$C$5,1)="B",(CK340+AL340)/2,MAX((CK340+AL340)/2,H340))))</f>
        <v>282</v>
      </c>
      <c r="AK340" s="50" t="n">
        <f aca="false">AJ340*G340</f>
        <v>344.04</v>
      </c>
      <c r="AL340" s="50" t="n">
        <f aca="false">ROUNDUP(CK340+MAX(CL340,2*(J340/IF(CG340&gt;0,CG340,MAX(0.1,N(Cockpit!$C$6)))-CK340)),0)</f>
        <v>145</v>
      </c>
      <c r="AM340" s="51" t="n">
        <f aca="false">IF(AI340&gt;0,J340/AI340,-1)</f>
        <v>11.9096774193548</v>
      </c>
      <c r="AN340" s="51" t="n">
        <f aca="false">IF(AND(OR(CF340="L1",CF340="L23",CF340="LIFT"),AI340&gt;0),SUMIFS($AI$7:$AI$1843,$CF$7:$CF$1843,CF340,$AM$7:$AM$1843,"&gt;"&amp;AM340)+SUMIFS($AI$7:$AI$1843,$CF$7:$CF$1843,CF340,$AM$7:$AM$1843,AM340,$BW$7:$BW$1843,"&lt;="&amp;BW340),"")</f>
        <v>2525.46428571429</v>
      </c>
      <c r="AO340" s="58" t="n">
        <f aca="false">IF(AN340="",0,MAX(0,MIN(1,(IF(CF340="L1",Parameter!$H$5,IF(CF340="L23",Parameter!$H$6+Parameter!$H$7,Parameter!$H$5+Parameter!$H$6+Parameter!$H$7))-(AN340-AI340))/AI340)))</f>
        <v>1</v>
      </c>
      <c r="AP340" s="50" t="n">
        <f aca="false">IF(LEFT(Cockpit!$I$5,1)="A",H340,IF(Parameter!$E$30="MAX-Bestand",IF(CH340=1,CI340,IF(LEFT(Cockpit!$I$5,1)="B",AV340,MAX(AV340,H340))),ROUNDUP(AT340,0)))</f>
        <v>282</v>
      </c>
      <c r="AQ340" s="50" t="n">
        <f aca="false">IF(BZ340=1,0,ROUNDUP(AP340/BY340,0))</f>
        <v>2</v>
      </c>
      <c r="AR340" s="52" t="n">
        <f aca="false">IF(CQ340&gt;0,CQ340*MAX(1,AP340/X340),IF(BZ340=1,IF(AP340&lt;=0,0,CD340*MAX(1,IF(H340&gt;0,AP340/H340,1))),IF(R340&gt;0,AQ340/R340,0))/MAX(0.1,N(Parameter!$M$21)))</f>
        <v>0.0769230769230769</v>
      </c>
      <c r="AS340" s="50" t="n">
        <f aca="false">AR340*CB340</f>
        <v>11.9230769230769</v>
      </c>
      <c r="AT340" s="51" t="n">
        <f aca="false">IF(LEFT(Cockpit!$I$5,1)="A",H340,IF(CH340=1,(CK340+CI340)/2,IF(LEFT(Cockpit!$I$5,1)="B",(CK340+AV340)/2,MAX((CK340+AV340)/2,H340))))</f>
        <v>282</v>
      </c>
      <c r="AU340" s="50" t="n">
        <f aca="false">AT340*G340</f>
        <v>344.04</v>
      </c>
      <c r="AV340" s="50" t="n">
        <f aca="false">ROUNDUP(CK340+MAX(CL340,2*(J340/IF(CG340&gt;0,CG340,MAX(0.1,N(Cockpit!$I$6)))-CK340)),0)</f>
        <v>145</v>
      </c>
      <c r="AW340" s="51" t="n">
        <f aca="false">IF(AS340&gt;0,J340/AS340,-1)</f>
        <v>11.9096774193548</v>
      </c>
      <c r="AX340" s="51" t="n">
        <f aca="false">IF(AND(OR(CF340="L1",CF340="L23",CF340="LIFT"),AS340&gt;0),SUMIFS($AS$7:$AS$1843,$CF$7:$CF$1843,CF340,$AW$7:$AW$1843,"&gt;"&amp;AW340)+SUMIFS($AS$7:$AS$1843,$CF$7:$CF$1843,CF340,$AW$7:$AW$1843,AW340,$BW$7:$BW$1843,"&lt;="&amp;BW340),"")</f>
        <v>3102.76007326007</v>
      </c>
      <c r="AY340" s="58" t="n">
        <f aca="false">IF(AX340="",0,MAX(0,MIN(1,(IF(CF340="L1",Parameter!$H$5,IF(CF340="L23",Parameter!$H$6+Parameter!$H$7,Parameter!$H$5+Parameter!$H$6+Parameter!$H$7))-(AX340-AS340))/AS340)))</f>
        <v>1</v>
      </c>
      <c r="AZ340" s="50" t="n">
        <f aca="false">IF(LEFT(Cockpit!$O$5,1)="A",H340,IF(Parameter!$E$30="MAX-Bestand",IF(CH340=1,CI340,IF(LEFT(Cockpit!$O$5,1)="B",BF340,MAX(BF340,H340))),ROUNDUP(BD340,0)))</f>
        <v>75</v>
      </c>
      <c r="BA340" s="50" t="n">
        <f aca="false">IF(BZ340=1,0,ROUNDUP(AZ340/BY340,0))</f>
        <v>1</v>
      </c>
      <c r="BB340" s="52" t="n">
        <f aca="false">IF(CQ340&gt;0,CQ340*MAX(1,AZ340/X340),IF(BZ340=1,IF(AZ340&lt;=0,0,CD340*MAX(1,IF(H340&gt;0,AZ340/H340,1))),IF(R340&gt;0,BA340/R340,0))/MAX(0.1,N(Parameter!$M$21)))</f>
        <v>0.0384615384615385</v>
      </c>
      <c r="BC340" s="50" t="n">
        <f aca="false">BB340*CB340</f>
        <v>5.96153846153846</v>
      </c>
      <c r="BD340" s="51" t="n">
        <f aca="false">IF(LEFT(Cockpit!$O$5,1)="A",H340,IF(CH340=1,(CK340+CI340)/2,IF(LEFT(Cockpit!$O$5,1)="B",(CK340+BF340)/2,MAX((CK340+BF340)/2,H340))))</f>
        <v>75</v>
      </c>
      <c r="BE340" s="50" t="n">
        <f aca="false">BD340*G340</f>
        <v>91.5</v>
      </c>
      <c r="BF340" s="50" t="n">
        <f aca="false">ROUNDUP(CK340+MAX(CL340,2*(J340/IF(CG340&gt;0,CG340,MAX(0.1,N(Cockpit!$O$6)))-CK340)),0)</f>
        <v>145</v>
      </c>
      <c r="BG340" s="51" t="n">
        <f aca="false">IF(BC340&gt;0,J340/BC340,-1)</f>
        <v>23.8193548387097</v>
      </c>
      <c r="BH340" s="51" t="n">
        <f aca="false">IF(AND(OR(CF340="L1",CF340="L23",CF340="LIFT"),BC340&gt;0),SUMIFS($BC$7:$BC$1843,$CF$7:$CF$1843,CF340,$BG$7:$BG$1843,"&gt;"&amp;BG340)+SUMIFS($BC$7:$BC$1843,$CF$7:$CF$1843,CF340,$BG$7:$BG$1843,BG340,$BW$7:$BW$1843,"&lt;="&amp;BW340),"")</f>
        <v>2109.25824175824</v>
      </c>
      <c r="BI340" s="58" t="n">
        <f aca="false">IF(BH340="",0,MAX(0,MIN(1,(IF(CF340="L1",Parameter!$H$5,IF(CF340="L23",Parameter!$H$6+Parameter!$H$7,Parameter!$H$5+Parameter!$H$6+Parameter!$H$7))-(BH340-BC340))/BC340)))</f>
        <v>1</v>
      </c>
      <c r="BJ340" s="48" t="str">
        <f aca="false">IF(AI340&lt;=0,"",IF(CF340="Aussen","Aussenlager",IF(CF340="-","Nicht im Lift",IF(AO340&gt;=1,"Lift",IF(AO340&lt;=0,"Aussenlager","teilweise")))))</f>
        <v>Lift</v>
      </c>
      <c r="BK340" s="48" t="str">
        <f aca="false">IF(AS340&lt;=0,"",IF(CF340="Aussen","Aussenlager",IF(CF340="-","Nicht im Lift",IF(AY340&gt;=1,"Lift",IF(AY340&lt;=0,"Aussenlager","teilweise")))))</f>
        <v>Lift</v>
      </c>
      <c r="BL340" s="48" t="str">
        <f aca="false">IF(BC340&lt;=0,"",IF(CF340="Aussen","Aussenlager",IF(CF340="-","Nicht im Lift",IF(BI340&gt;=1,"Lift",IF(BI340&lt;=0,"Aussenlager","teilweise")))))</f>
        <v>Lift</v>
      </c>
      <c r="BM340" s="48" t="str">
        <f aca="false">IF(A340="","",IF(BV340=1,"Neu; ","")&amp;IF(AND(BV340=0,BQ340&lt;0),"negativer Bestand (Export "&amp;BQ340&amp;"); ","")&amp;IF(J340&lt;=0,"Kein Verbrauch; ","")&amp;IF(CQ340&gt;0,"Lift "&amp;W340&amp;" lt. Liftbericht (Fach "&amp;X340&amp;" Stk); ",IF(CA340=1,"Gebinde geschätzt ("&amp;T340&amp;"); ",IF(BZ340=1,"Lose – Tablare geschätzt; ","")))&amp;IF(H340&gt;AV340,"Überbestand "&amp;ROUND(H340-AV340,0)&amp;" Stk / CHF "&amp;ROUND((H340-AV340)*G340,0)&amp;"; ","")&amp;IF(AND(CH340=1,CI340&lt;CJ340),"MAX &lt; MB+LG; ","")&amp;IF(AND(CP340&gt;0,CO340*10&gt;CP340),"zu hoch für Tablar; ","")&amp;IF(AND(BV340=0,OR(CH340=1,AA340&lt;&gt;"",U340&lt;&gt;"",V340&lt;&gt;"",AB340&lt;&gt;"")),"manuell übersteuert; ","")&amp;IF(AND(BZ340=0,R340=0),"Gebinde unbekannt / Stellmass fehlt; ","")&amp;IF(AND(BZ340=0,N(V340)&lt;=0,N(Q340)&lt;=0),"Menge pro Gebinde fehlt (Ist = 1 Gebinde); ","")&amp;BU340)</f>
        <v>Überbestand 137 Stk / CHF 167; Überbestand</v>
      </c>
      <c r="BN340" s="48"/>
      <c r="BO340" s="48"/>
      <c r="BP340" s="55"/>
      <c r="BQ340" s="50" t="n">
        <v>174</v>
      </c>
      <c r="BR340" s="50" t="n">
        <v>108</v>
      </c>
      <c r="BS340" s="49" t="n">
        <v>201.17</v>
      </c>
      <c r="BT340" s="50" t="n">
        <v>142</v>
      </c>
      <c r="BU340" s="48" t="s">
        <v>401</v>
      </c>
      <c r="BV340" s="53" t="n">
        <v>0</v>
      </c>
      <c r="BW340" s="53" t="n">
        <v>340</v>
      </c>
      <c r="BX340" s="48" t="str">
        <f aca="false">IF(U340&lt;&gt;"",UPPER(TRIM(U340)),IF(CA340=1,UPPER(VLOOKUP(T340,Parameter!$I$27:$K$29,2,0)),IF(P340="","LOSE",P340)))</f>
        <v>S51</v>
      </c>
      <c r="BY340" s="50" t="n">
        <f aca="false">IF(BX340="LOSE",1,IF(N(V340)&gt;0,V340,IF(CA340=1,MAX(1,N(VLOOKUP(T340,Parameter!$I$27:$K$29,3,0)),H340,N(N340)),IF(N(Q340)&gt;0,Q340,MAX(1,H340)))))</f>
        <v>264</v>
      </c>
      <c r="BZ340" s="53" t="n">
        <f aca="false">IF(BX340="LOSE",1,0)</f>
        <v>0</v>
      </c>
      <c r="CA340" s="53" t="n">
        <f aca="false">IF(AND(U340="",OR(P340="",P340="LOSE"),T340&lt;&gt;"",N(S340)&lt;=0,ISNUMBER(MATCH(T340,Parameter!$I$27:$I$29,0))),1,0)</f>
        <v>0</v>
      </c>
      <c r="CB340" s="53" t="n">
        <f aca="false">IF(CQ340&gt;0,INDEX(Parameter!$H$5:$H$7,W340)/INDEX(Parameter!$E$5:$E$7,W340),IF(AND(BZ340=0,N(IFERROR(VLOOKUP(BX340,'Gebinde-Kategorie'!$A$5:$N$45,14,0),0))&gt;0),VLOOKUP(BX340,'Gebinde-Kategorie'!$A$5:$N$45,14,0)*10+Parameter!$M$23,Parameter!$M$24))</f>
        <v>155</v>
      </c>
      <c r="CC340" s="48" t="str">
        <f aca="false">IF(AND(Parameter!$B$19="Ja",E340&lt;&gt;"",ISNUMBER(MATCH(E340,Parameter!$I$35:$I$52,0))),VLOOKUP(E340,Parameter!$I$35:$J$52,2,0),IFERROR(VLOOKUP(D340,Parameter!$A$35:$C$64,2,0),"Nein"))</f>
        <v>2+3</v>
      </c>
      <c r="CD340" s="52" t="n">
        <f aca="false">IF(BZ340=0,0,IF(N(S340)&gt;0,S340,IFERROR(VLOOKUP(D340,Parameter!$A$35:$C$64,3,0)+0,0)))</f>
        <v>0</v>
      </c>
      <c r="CE340" s="48" t="n">
        <f aca="false">IF(AA340&lt;&gt;"",AA340,Z340)</f>
        <v>3</v>
      </c>
      <c r="CF340" s="48" t="str">
        <f aca="false">IF(OR(CE340=1,CE340=2,CE340=3),IF(Parameter!$E$27="Ja","LIFT",IF(CE340=1,"L1","L23")),IF(CE340="Aussen","Aussen","-"))</f>
        <v>LIFT</v>
      </c>
      <c r="CG340" s="59" t="n">
        <f aca="false">IF(N(AB340)&gt;0,AB340,0)</f>
        <v>0</v>
      </c>
      <c r="CH340" s="53" t="n">
        <f aca="false">IF(ISNUMBER(AE340),1,0)</f>
        <v>0</v>
      </c>
      <c r="CI340" s="50" t="n">
        <f aca="false">N(AE340)</f>
        <v>0</v>
      </c>
      <c r="CJ340" s="50" t="n">
        <f aca="false">N(M340)+N(N340)</f>
        <v>145</v>
      </c>
      <c r="CK340" s="50" t="n">
        <f aca="false">N(M340)</f>
        <v>5</v>
      </c>
      <c r="CL340" s="50" t="n">
        <f aca="false">N(N340)</f>
        <v>140</v>
      </c>
      <c r="CM340" s="50" t="n">
        <f aca="false">ROUNDUP(H340/BY340,0)</f>
        <v>2</v>
      </c>
      <c r="CN340" s="50" t="n">
        <f aca="false">ROUNDUP(CI340/BY340,0)</f>
        <v>0</v>
      </c>
      <c r="CO340" s="53" t="n">
        <f aca="false">IF(BZ340=1,0,IFERROR(VLOOKUP(BX340,'Gebinde-Kategorie'!$A$5:$N$45,5,0)+0,0))</f>
        <v>11</v>
      </c>
      <c r="CP340" s="53" t="n">
        <f aca="false">IFERROR(IF(OR(CE340=1,CE340=2,CE340=3),N(INDEX(Parameter!$I$5:$I$7,CE340)),0),0)</f>
        <v>0</v>
      </c>
      <c r="CQ340" s="52" t="n">
        <f aca="false">IF(AND(Parameter!$B$21="Ja",ISNUMBER(W340),N(X340)&gt;0),IFERROR(N(INDEX(Parameter!$L$5:$L$7,W340))*INDEX(Parameter!$E$5:$E$7,W340)*X340/SUMIFS($X$7:$X$1843,$W$7:$W$1843,W340),0),0)</f>
        <v>0</v>
      </c>
    </row>
    <row r="341" customFormat="false" ht="15" hidden="false" customHeight="false" outlineLevel="0" collapsed="false">
      <c r="A341" s="48" t="s">
        <v>847</v>
      </c>
      <c r="B341" s="48" t="s">
        <v>848</v>
      </c>
      <c r="C341" s="48" t="s">
        <v>173</v>
      </c>
      <c r="D341" s="48" t="s">
        <v>193</v>
      </c>
      <c r="E341" s="48" t="s">
        <v>194</v>
      </c>
      <c r="F341" s="48" t="s">
        <v>227</v>
      </c>
      <c r="G341" s="49" t="n">
        <v>33.5</v>
      </c>
      <c r="H341" s="50" t="n">
        <f aca="false">MAX(0,IF(AND(Parameter!$B$21="Ja",ISNUMBER(Y341)),Y341,IF(Parameter!$B$20="Jahresanfang 2025 + Export",BR341+BQ341,BQ341)))</f>
        <v>9</v>
      </c>
      <c r="I341" s="50" t="n">
        <f aca="false">H341*G341</f>
        <v>301.5</v>
      </c>
      <c r="J341" s="50" t="n">
        <f aca="false">BT341*Parameter!$B$18</f>
        <v>7</v>
      </c>
      <c r="K341" s="51" t="n">
        <v>2.5</v>
      </c>
      <c r="L341" s="52" t="n">
        <v>2.8</v>
      </c>
      <c r="M341" s="50" t="n">
        <v>0</v>
      </c>
      <c r="N341" s="50" t="n">
        <v>5</v>
      </c>
      <c r="O341" s="53" t="n">
        <v>14</v>
      </c>
      <c r="P341" s="48" t="s">
        <v>485</v>
      </c>
      <c r="Q341" s="50" t="n">
        <v>5</v>
      </c>
      <c r="R341" s="53" t="n">
        <f aca="false">IF(BZ341=1,0,IFERROR(VLOOKUP(BX341,'Gebinde-Kategorie'!$A$5:$N$45,13,0)+0,0))</f>
        <v>52</v>
      </c>
      <c r="S341" s="54"/>
      <c r="T341" s="55"/>
      <c r="U341" s="55"/>
      <c r="V341" s="55"/>
      <c r="W341" s="48"/>
      <c r="X341" s="50"/>
      <c r="Y341" s="50"/>
      <c r="Z341" s="48" t="n">
        <f aca="false">IF(A341="","",IF(AND(Parameter!$B$21="Ja",ISNUMBER(W341)),W341,IF(CC341="2+3",IF(ISNUMBER(SEARCH("grosser Artikel",BU341)),2,IFERROR(VLOOKUP(BX341,Parameter!$F$35:$G$64,2,0),2)),IF(OR(CC341="Nein",CC341=""),"-",CC341))))</f>
        <v>3</v>
      </c>
      <c r="AA341" s="55"/>
      <c r="AB341" s="56"/>
      <c r="AC341" s="50" t="n">
        <f aca="false">AV341</f>
        <v>5</v>
      </c>
      <c r="AD341" s="50" t="n">
        <f aca="false">MAX(AV341,H341)</f>
        <v>9</v>
      </c>
      <c r="AE341" s="57"/>
      <c r="AF341" s="50" t="n">
        <f aca="false">IF(LEFT(Cockpit!$C$5,1)="A",H341,IF(Parameter!$E$30="MAX-Bestand",IF(CH341=1,CI341,IF(LEFT(Cockpit!$C$5,1)="B",AL341,MAX(AL341,H341))),ROUNDUP(AJ341,0)))</f>
        <v>9</v>
      </c>
      <c r="AG341" s="50" t="n">
        <f aca="false">IF(BZ341=1,0,ROUNDUP(AF341/BY341,0))</f>
        <v>2</v>
      </c>
      <c r="AH341" s="52" t="n">
        <f aca="false">IF(CQ341&gt;0,CQ341*MAX(1,AF341/X341),IF(BZ341=1,IF(AF341&lt;=0,0,CD341*MAX(1,IF(H341&gt;0,AF341/H341,1))),IF(R341&gt;0,AG341/R341,0))/MAX(0.1,N(Parameter!$M$21)))</f>
        <v>0.0384615384615385</v>
      </c>
      <c r="AI341" s="50" t="n">
        <f aca="false">AH341*CB341</f>
        <v>5.96153846153846</v>
      </c>
      <c r="AJ341" s="51" t="n">
        <f aca="false">IF(LEFT(Cockpit!$C$5,1)="A",H341,IF(CH341=1,(CK341+CI341)/2,IF(LEFT(Cockpit!$C$5,1)="B",(CK341+AL341)/2,MAX((CK341+AL341)/2,H341))))</f>
        <v>9</v>
      </c>
      <c r="AK341" s="50" t="n">
        <f aca="false">AJ341*G341</f>
        <v>301.5</v>
      </c>
      <c r="AL341" s="50" t="n">
        <f aca="false">ROUNDUP(CK341+MAX(CL341,2*(J341/IF(CG341&gt;0,CG341,MAX(0.1,N(Cockpit!$C$6)))-CK341)),0)</f>
        <v>5</v>
      </c>
      <c r="AM341" s="51" t="n">
        <f aca="false">IF(AI341&gt;0,J341/AI341,-1)</f>
        <v>1.1741935483871</v>
      </c>
      <c r="AN341" s="51" t="n">
        <f aca="false">IF(AND(OR(CF341="L1",CF341="L23",CF341="LIFT"),AI341&gt;0),SUMIFS($AI$7:$AI$1843,$CF$7:$CF$1843,CF341,$AM$7:$AM$1843,"&gt;"&amp;AM341)+SUMIFS($AI$7:$AI$1843,$CF$7:$CF$1843,CF341,$AM$7:$AM$1843,AM341,$BW$7:$BW$1843,"&lt;="&amp;BW341),"")</f>
        <v>6691.59661172161</v>
      </c>
      <c r="AO341" s="58" t="n">
        <f aca="false">IF(AN341="",0,MAX(0,MIN(1,(IF(CF341="L1",Parameter!$H$5,IF(CF341="L23",Parameter!$H$6+Parameter!$H$7,Parameter!$H$5+Parameter!$H$6+Parameter!$H$7))-(AN341-AI341))/AI341)))</f>
        <v>1</v>
      </c>
      <c r="AP341" s="50" t="n">
        <f aca="false">IF(LEFT(Cockpit!$I$5,1)="A",H341,IF(Parameter!$E$30="MAX-Bestand",IF(CH341=1,CI341,IF(LEFT(Cockpit!$I$5,1)="B",AV341,MAX(AV341,H341))),ROUNDUP(AT341,0)))</f>
        <v>9</v>
      </c>
      <c r="AQ341" s="50" t="n">
        <f aca="false">IF(BZ341=1,0,ROUNDUP(AP341/BY341,0))</f>
        <v>2</v>
      </c>
      <c r="AR341" s="52" t="n">
        <f aca="false">IF(CQ341&gt;0,CQ341*MAX(1,AP341/X341),IF(BZ341=1,IF(AP341&lt;=0,0,CD341*MAX(1,IF(H341&gt;0,AP341/H341,1))),IF(R341&gt;0,AQ341/R341,0))/MAX(0.1,N(Parameter!$M$21)))</f>
        <v>0.0384615384615385</v>
      </c>
      <c r="AS341" s="50" t="n">
        <f aca="false">AR341*CB341</f>
        <v>5.96153846153846</v>
      </c>
      <c r="AT341" s="51" t="n">
        <f aca="false">IF(LEFT(Cockpit!$I$5,1)="A",H341,IF(CH341=1,(CK341+CI341)/2,IF(LEFT(Cockpit!$I$5,1)="B",(CK341+AV341)/2,MAX((CK341+AV341)/2,H341))))</f>
        <v>9</v>
      </c>
      <c r="AU341" s="50" t="n">
        <f aca="false">AT341*G341</f>
        <v>301.5</v>
      </c>
      <c r="AV341" s="50" t="n">
        <f aca="false">ROUNDUP(CK341+MAX(CL341,2*(J341/IF(CG341&gt;0,CG341,MAX(0.1,N(Cockpit!$I$6)))-CK341)),0)</f>
        <v>5</v>
      </c>
      <c r="AW341" s="51" t="n">
        <f aca="false">IF(AS341&gt;0,J341/AS341,-1)</f>
        <v>1.1741935483871</v>
      </c>
      <c r="AX341" s="51" t="n">
        <f aca="false">IF(AND(OR(CF341="L1",CF341="L23",CF341="LIFT"),AS341&gt;0),SUMIFS($AS$7:$AS$1843,$CF$7:$CF$1843,CF341,$AW$7:$AW$1843,"&gt;"&amp;AW341)+SUMIFS($AS$7:$AS$1843,$CF$7:$CF$1843,CF341,$AW$7:$AW$1843,AW341,$BW$7:$BW$1843,"&lt;="&amp;BW341),"")</f>
        <v>8137.09432234432</v>
      </c>
      <c r="AY341" s="58" t="n">
        <f aca="false">IF(AX341="",0,MAX(0,MIN(1,(IF(CF341="L1",Parameter!$H$5,IF(CF341="L23",Parameter!$H$6+Parameter!$H$7,Parameter!$H$5+Parameter!$H$6+Parameter!$H$7))-(AX341-AS341))/AS341)))</f>
        <v>1</v>
      </c>
      <c r="AZ341" s="50" t="n">
        <f aca="false">IF(LEFT(Cockpit!$O$5,1)="A",H341,IF(Parameter!$E$30="MAX-Bestand",IF(CH341=1,CI341,IF(LEFT(Cockpit!$O$5,1)="B",BF341,MAX(BF341,H341))),ROUNDUP(BD341,0)))</f>
        <v>3</v>
      </c>
      <c r="BA341" s="50" t="n">
        <f aca="false">IF(BZ341=1,0,ROUNDUP(AZ341/BY341,0))</f>
        <v>1</v>
      </c>
      <c r="BB341" s="52" t="n">
        <f aca="false">IF(CQ341&gt;0,CQ341*MAX(1,AZ341/X341),IF(BZ341=1,IF(AZ341&lt;=0,0,CD341*MAX(1,IF(H341&gt;0,AZ341/H341,1))),IF(R341&gt;0,BA341/R341,0))/MAX(0.1,N(Parameter!$M$21)))</f>
        <v>0.0192307692307692</v>
      </c>
      <c r="BC341" s="50" t="n">
        <f aca="false">BB341*CB341</f>
        <v>2.98076923076923</v>
      </c>
      <c r="BD341" s="51" t="n">
        <f aca="false">IF(LEFT(Cockpit!$O$5,1)="A",H341,IF(CH341=1,(CK341+CI341)/2,IF(LEFT(Cockpit!$O$5,1)="B",(CK341+BF341)/2,MAX((CK341+BF341)/2,H341))))</f>
        <v>2.5</v>
      </c>
      <c r="BE341" s="50" t="n">
        <f aca="false">BD341*G341</f>
        <v>83.75</v>
      </c>
      <c r="BF341" s="50" t="n">
        <f aca="false">ROUNDUP(CK341+MAX(CL341,2*(J341/IF(CG341&gt;0,CG341,MAX(0.1,N(Cockpit!$O$6)))-CK341)),0)</f>
        <v>5</v>
      </c>
      <c r="BG341" s="51" t="n">
        <f aca="false">IF(BC341&gt;0,J341/BC341,-1)</f>
        <v>2.34838709677419</v>
      </c>
      <c r="BH341" s="51" t="n">
        <f aca="false">IF(AND(OR(CF341="L1",CF341="L23",CF341="LIFT"),BC341&gt;0),SUMIFS($BC$7:$BC$1843,$CF$7:$CF$1843,CF341,$BG$7:$BG$1843,"&gt;"&amp;BG341)+SUMIFS($BC$7:$BC$1843,$CF$7:$CF$1843,CF341,$BG$7:$BG$1843,BG341,$BW$7:$BW$1843,"&lt;="&amp;BW341),"")</f>
        <v>5598.53846153846</v>
      </c>
      <c r="BI341" s="58" t="n">
        <f aca="false">IF(BH341="",0,MAX(0,MIN(1,(IF(CF341="L1",Parameter!$H$5,IF(CF341="L23",Parameter!$H$6+Parameter!$H$7,Parameter!$H$5+Parameter!$H$6+Parameter!$H$7))-(BH341-BC341))/BC341)))</f>
        <v>1</v>
      </c>
      <c r="BJ341" s="48" t="str">
        <f aca="false">IF(AI341&lt;=0,"",IF(CF341="Aussen","Aussenlager",IF(CF341="-","Nicht im Lift",IF(AO341&gt;=1,"Lift",IF(AO341&lt;=0,"Aussenlager","teilweise")))))</f>
        <v>Lift</v>
      </c>
      <c r="BK341" s="48" t="str">
        <f aca="false">IF(AS341&lt;=0,"",IF(CF341="Aussen","Aussenlager",IF(CF341="-","Nicht im Lift",IF(AY341&gt;=1,"Lift",IF(AY341&lt;=0,"Aussenlager","teilweise")))))</f>
        <v>Lift</v>
      </c>
      <c r="BL341" s="48" t="str">
        <f aca="false">IF(BC341&lt;=0,"",IF(CF341="Aussen","Aussenlager",IF(CF341="-","Nicht im Lift",IF(BI341&gt;=1,"Lift",IF(BI341&lt;=0,"Aussenlager","teilweise")))))</f>
        <v>Lift</v>
      </c>
      <c r="BM341" s="48" t="str">
        <f aca="false">IF(A341="","",IF(BV341=1,"Neu; ","")&amp;IF(AND(BV341=0,BQ341&lt;0),"negativer Bestand (Export "&amp;BQ341&amp;"); ","")&amp;IF(J341&lt;=0,"Kein Verbrauch; ","")&amp;IF(CQ341&gt;0,"Lift "&amp;W341&amp;" lt. Liftbericht (Fach "&amp;X341&amp;" Stk); ",IF(CA341=1,"Gebinde geschätzt ("&amp;T341&amp;"); ",IF(BZ341=1,"Lose – Tablare geschätzt; ","")))&amp;IF(H341&gt;AV341,"Überbestand "&amp;ROUND(H341-AV341,0)&amp;" Stk / CHF "&amp;ROUND((H341-AV341)*G341,0)&amp;"; ","")&amp;IF(AND(CH341=1,CI341&lt;CJ341),"MAX &lt; MB+LG; ","")&amp;IF(AND(CP341&gt;0,CO341*10&gt;CP341),"zu hoch für Tablar; ","")&amp;IF(AND(BV341=0,OR(CH341=1,AA341&lt;&gt;"",U341&lt;&gt;"",V341&lt;&gt;"",AB341&lt;&gt;"")),"manuell übersteuert; ","")&amp;IF(AND(BZ341=0,R341=0),"Gebinde unbekannt / Stellmass fehlt; ","")&amp;IF(AND(BZ341=0,N(V341)&lt;=0,N(Q341)&lt;=0),"Menge pro Gebinde fehlt (Ist = 1 Gebinde); ","")&amp;BU341)</f>
        <v>Überbestand 4 Stk / CHF 134; </v>
      </c>
      <c r="BN341" s="48"/>
      <c r="BO341" s="48"/>
      <c r="BP341" s="55"/>
      <c r="BQ341" s="50" t="n">
        <v>6</v>
      </c>
      <c r="BR341" s="50" t="n">
        <v>3</v>
      </c>
      <c r="BS341" s="49" t="n">
        <v>201</v>
      </c>
      <c r="BT341" s="50" t="n">
        <v>7</v>
      </c>
      <c r="BU341" s="48"/>
      <c r="BV341" s="53" t="n">
        <v>0</v>
      </c>
      <c r="BW341" s="53" t="n">
        <v>341</v>
      </c>
      <c r="BX341" s="48" t="str">
        <f aca="false">IF(U341&lt;&gt;"",UPPER(TRIM(U341)),IF(CA341=1,UPPER(VLOOKUP(T341,Parameter!$I$27:$K$29,2,0)),IF(P341="","LOSE",P341)))</f>
        <v>S33</v>
      </c>
      <c r="BY341" s="50" t="n">
        <f aca="false">IF(BX341="LOSE",1,IF(N(V341)&gt;0,V341,IF(CA341=1,MAX(1,N(VLOOKUP(T341,Parameter!$I$27:$K$29,3,0)),H341,N(N341)),IF(N(Q341)&gt;0,Q341,MAX(1,H341)))))</f>
        <v>5</v>
      </c>
      <c r="BZ341" s="53" t="n">
        <f aca="false">IF(BX341="LOSE",1,0)</f>
        <v>0</v>
      </c>
      <c r="CA341" s="53" t="n">
        <f aca="false">IF(AND(U341="",OR(P341="",P341="LOSE"),T341&lt;&gt;"",N(S341)&lt;=0,ISNUMBER(MATCH(T341,Parameter!$I$27:$I$29,0))),1,0)</f>
        <v>0</v>
      </c>
      <c r="CB341" s="53" t="n">
        <f aca="false">IF(CQ341&gt;0,INDEX(Parameter!$H$5:$H$7,W341)/INDEX(Parameter!$E$5:$E$7,W341),IF(AND(BZ341=0,N(IFERROR(VLOOKUP(BX341,'Gebinde-Kategorie'!$A$5:$N$45,14,0),0))&gt;0),VLOOKUP(BX341,'Gebinde-Kategorie'!$A$5:$N$45,14,0)*10+Parameter!$M$23,Parameter!$M$24))</f>
        <v>155</v>
      </c>
      <c r="CC341" s="48" t="str">
        <f aca="false">IF(AND(Parameter!$B$19="Ja",E341&lt;&gt;"",ISNUMBER(MATCH(E341,Parameter!$I$35:$I$52,0))),VLOOKUP(E341,Parameter!$I$35:$J$52,2,0),IFERROR(VLOOKUP(D341,Parameter!$A$35:$C$64,2,0),"Nein"))</f>
        <v>2+3</v>
      </c>
      <c r="CD341" s="52" t="n">
        <f aca="false">IF(BZ341=0,0,IF(N(S341)&gt;0,S341,IFERROR(VLOOKUP(D341,Parameter!$A$35:$C$64,3,0)+0,0)))</f>
        <v>0</v>
      </c>
      <c r="CE341" s="48" t="n">
        <f aca="false">IF(AA341&lt;&gt;"",AA341,Z341)</f>
        <v>3</v>
      </c>
      <c r="CF341" s="48" t="str">
        <f aca="false">IF(OR(CE341=1,CE341=2,CE341=3),IF(Parameter!$E$27="Ja","LIFT",IF(CE341=1,"L1","L23")),IF(CE341="Aussen","Aussen","-"))</f>
        <v>LIFT</v>
      </c>
      <c r="CG341" s="59" t="n">
        <f aca="false">IF(N(AB341)&gt;0,AB341,0)</f>
        <v>0</v>
      </c>
      <c r="CH341" s="53" t="n">
        <f aca="false">IF(ISNUMBER(AE341),1,0)</f>
        <v>0</v>
      </c>
      <c r="CI341" s="50" t="n">
        <f aca="false">N(AE341)</f>
        <v>0</v>
      </c>
      <c r="CJ341" s="50" t="n">
        <f aca="false">N(M341)+N(N341)</f>
        <v>5</v>
      </c>
      <c r="CK341" s="50" t="n">
        <f aca="false">N(M341)</f>
        <v>0</v>
      </c>
      <c r="CL341" s="50" t="n">
        <f aca="false">N(N341)</f>
        <v>5</v>
      </c>
      <c r="CM341" s="50" t="n">
        <f aca="false">ROUNDUP(H341/BY341,0)</f>
        <v>2</v>
      </c>
      <c r="CN341" s="50" t="n">
        <f aca="false">ROUNDUP(CI341/BY341,0)</f>
        <v>0</v>
      </c>
      <c r="CO341" s="53" t="n">
        <f aca="false">IF(BZ341=1,0,IFERROR(VLOOKUP(BX341,'Gebinde-Kategorie'!$A$5:$N$45,5,0)+0,0))</f>
        <v>8</v>
      </c>
      <c r="CP341" s="53" t="n">
        <f aca="false">IFERROR(IF(OR(CE341=1,CE341=2,CE341=3),N(INDEX(Parameter!$I$5:$I$7,CE341)),0),0)</f>
        <v>0</v>
      </c>
      <c r="CQ341" s="52" t="n">
        <f aca="false">IF(AND(Parameter!$B$21="Ja",ISNUMBER(W341),N(X341)&gt;0),IFERROR(N(INDEX(Parameter!$L$5:$L$7,W341))*INDEX(Parameter!$E$5:$E$7,W341)*X341/SUMIFS($X$7:$X$1843,$W$7:$W$1843,W341),0),0)</f>
        <v>0</v>
      </c>
    </row>
    <row r="342" customFormat="false" ht="15" hidden="false" customHeight="false" outlineLevel="0" collapsed="false">
      <c r="A342" s="48" t="s">
        <v>849</v>
      </c>
      <c r="B342" s="48" t="s">
        <v>850</v>
      </c>
      <c r="C342" s="48" t="s">
        <v>173</v>
      </c>
      <c r="D342" s="48" t="s">
        <v>193</v>
      </c>
      <c r="E342" s="48"/>
      <c r="F342" s="48" t="s">
        <v>227</v>
      </c>
      <c r="G342" s="49" t="n">
        <v>0.23</v>
      </c>
      <c r="H342" s="50" t="n">
        <f aca="false">MAX(0,IF(AND(Parameter!$B$21="Ja",ISNUMBER(Y342)),Y342,IF(Parameter!$B$20="Jahresanfang 2025 + Export",BR342+BQ342,BQ342)))</f>
        <v>1280</v>
      </c>
      <c r="I342" s="50" t="n">
        <f aca="false">H342*G342</f>
        <v>294.4</v>
      </c>
      <c r="J342" s="50" t="n">
        <f aca="false">BT342*Parameter!$B$18</f>
        <v>515</v>
      </c>
      <c r="K342" s="51" t="n">
        <v>467.5</v>
      </c>
      <c r="L342" s="52" t="n">
        <v>1.10160427807487</v>
      </c>
      <c r="M342" s="50" t="n">
        <v>30</v>
      </c>
      <c r="N342" s="50" t="n">
        <v>515</v>
      </c>
      <c r="O342" s="53" t="n">
        <v>21</v>
      </c>
      <c r="P342" s="48" t="s">
        <v>242</v>
      </c>
      <c r="Q342" s="50" t="n">
        <v>400</v>
      </c>
      <c r="R342" s="53" t="n">
        <f aca="false">IF(BZ342=1,0,IFERROR(VLOOKUP(BX342,'Gebinde-Kategorie'!$A$5:$N$45,13,0)+0,0))</f>
        <v>26</v>
      </c>
      <c r="S342" s="54"/>
      <c r="T342" s="55"/>
      <c r="U342" s="55"/>
      <c r="V342" s="55"/>
      <c r="W342" s="48"/>
      <c r="X342" s="50"/>
      <c r="Y342" s="50"/>
      <c r="Z342" s="48" t="n">
        <f aca="false">IF(A342="","",IF(AND(Parameter!$B$21="Ja",ISNUMBER(W342)),W342,IF(CC342="2+3",IF(ISNUMBER(SEARCH("grosser Artikel",BU342)),2,IFERROR(VLOOKUP(BX342,Parameter!$F$35:$G$64,2,0),2)),IF(OR(CC342="Nein",CC342=""),"-",CC342))))</f>
        <v>3</v>
      </c>
      <c r="AA342" s="55"/>
      <c r="AB342" s="56"/>
      <c r="AC342" s="50" t="n">
        <f aca="false">AV342</f>
        <v>545</v>
      </c>
      <c r="AD342" s="50" t="n">
        <f aca="false">MAX(AV342,H342)</f>
        <v>1280</v>
      </c>
      <c r="AE342" s="57"/>
      <c r="AF342" s="50" t="n">
        <f aca="false">IF(LEFT(Cockpit!$C$5,1)="A",H342,IF(Parameter!$E$30="MAX-Bestand",IF(CH342=1,CI342,IF(LEFT(Cockpit!$C$5,1)="B",AL342,MAX(AL342,H342))),ROUNDUP(AJ342,0)))</f>
        <v>1280</v>
      </c>
      <c r="AG342" s="50" t="n">
        <f aca="false">IF(BZ342=1,0,ROUNDUP(AF342/BY342,0))</f>
        <v>4</v>
      </c>
      <c r="AH342" s="52" t="n">
        <f aca="false">IF(CQ342&gt;0,CQ342*MAX(1,AF342/X342),IF(BZ342=1,IF(AF342&lt;=0,0,CD342*MAX(1,IF(H342&gt;0,AF342/H342,1))),IF(R342&gt;0,AG342/R342,0))/MAX(0.1,N(Parameter!$M$21)))</f>
        <v>0.153846153846154</v>
      </c>
      <c r="AI342" s="50" t="n">
        <f aca="false">AH342*CB342</f>
        <v>37.6923076923077</v>
      </c>
      <c r="AJ342" s="51" t="n">
        <f aca="false">IF(LEFT(Cockpit!$C$5,1)="A",H342,IF(CH342=1,(CK342+CI342)/2,IF(LEFT(Cockpit!$C$5,1)="B",(CK342+AL342)/2,MAX((CK342+AL342)/2,H342))))</f>
        <v>1280</v>
      </c>
      <c r="AK342" s="50" t="n">
        <f aca="false">AJ342*G342</f>
        <v>294.4</v>
      </c>
      <c r="AL342" s="50" t="n">
        <f aca="false">ROUNDUP(CK342+MAX(CL342,2*(J342/IF(CG342&gt;0,CG342,MAX(0.1,N(Cockpit!$C$6)))-CK342)),0)</f>
        <v>545</v>
      </c>
      <c r="AM342" s="51" t="n">
        <f aca="false">IF(AI342&gt;0,J342/AI342,-1)</f>
        <v>13.6632653061225</v>
      </c>
      <c r="AN342" s="51" t="n">
        <f aca="false">IF(AND(OR(CF342="L1",CF342="L23",CF342="LIFT"),AI342&gt;0),SUMIFS($AI$7:$AI$1843,$CF$7:$CF$1843,CF342,$AM$7:$AM$1843,"&gt;"&amp;AM342)+SUMIFS($AI$7:$AI$1843,$CF$7:$CF$1843,CF342,$AM$7:$AM$1843,AM342,$BW$7:$BW$1843,"&lt;="&amp;BW342),"")</f>
        <v>2310.13827838828</v>
      </c>
      <c r="AO342" s="58" t="n">
        <f aca="false">IF(AN342="",0,MAX(0,MIN(1,(IF(CF342="L1",Parameter!$H$5,IF(CF342="L23",Parameter!$H$6+Parameter!$H$7,Parameter!$H$5+Parameter!$H$6+Parameter!$H$7))-(AN342-AI342))/AI342)))</f>
        <v>1</v>
      </c>
      <c r="AP342" s="50" t="n">
        <f aca="false">IF(LEFT(Cockpit!$I$5,1)="A",H342,IF(Parameter!$E$30="MAX-Bestand",IF(CH342=1,CI342,IF(LEFT(Cockpit!$I$5,1)="B",AV342,MAX(AV342,H342))),ROUNDUP(AT342,0)))</f>
        <v>1280</v>
      </c>
      <c r="AQ342" s="50" t="n">
        <f aca="false">IF(BZ342=1,0,ROUNDUP(AP342/BY342,0))</f>
        <v>4</v>
      </c>
      <c r="AR342" s="52" t="n">
        <f aca="false">IF(CQ342&gt;0,CQ342*MAX(1,AP342/X342),IF(BZ342=1,IF(AP342&lt;=0,0,CD342*MAX(1,IF(H342&gt;0,AP342/H342,1))),IF(R342&gt;0,AQ342/R342,0))/MAX(0.1,N(Parameter!$M$21)))</f>
        <v>0.153846153846154</v>
      </c>
      <c r="AS342" s="50" t="n">
        <f aca="false">AR342*CB342</f>
        <v>37.6923076923077</v>
      </c>
      <c r="AT342" s="51" t="n">
        <f aca="false">IF(LEFT(Cockpit!$I$5,1)="A",H342,IF(CH342=1,(CK342+CI342)/2,IF(LEFT(Cockpit!$I$5,1)="B",(CK342+AV342)/2,MAX((CK342+AV342)/2,H342))))</f>
        <v>1280</v>
      </c>
      <c r="AU342" s="50" t="n">
        <f aca="false">AT342*G342</f>
        <v>294.4</v>
      </c>
      <c r="AV342" s="50" t="n">
        <f aca="false">ROUNDUP(CK342+MAX(CL342,2*(J342/IF(CG342&gt;0,CG342,MAX(0.1,N(Cockpit!$I$6)))-CK342)),0)</f>
        <v>545</v>
      </c>
      <c r="AW342" s="51" t="n">
        <f aca="false">IF(AS342&gt;0,J342/AS342,-1)</f>
        <v>13.6632653061225</v>
      </c>
      <c r="AX342" s="51" t="n">
        <f aca="false">IF(AND(OR(CF342="L1",CF342="L23",CF342="LIFT"),AS342&gt;0),SUMIFS($AS$7:$AS$1843,$CF$7:$CF$1843,CF342,$AW$7:$AW$1843,"&gt;"&amp;AW342)+SUMIFS($AS$7:$AS$1843,$CF$7:$CF$1843,CF342,$AW$7:$AW$1843,AW342,$BW$7:$BW$1843,"&lt;="&amp;BW342),"")</f>
        <v>2929.32509157509</v>
      </c>
      <c r="AY342" s="58" t="n">
        <f aca="false">IF(AX342="",0,MAX(0,MIN(1,(IF(CF342="L1",Parameter!$H$5,IF(CF342="L23",Parameter!$H$6+Parameter!$H$7,Parameter!$H$5+Parameter!$H$6+Parameter!$H$7))-(AX342-AS342))/AS342)))</f>
        <v>1</v>
      </c>
      <c r="AZ342" s="50" t="n">
        <f aca="false">IF(LEFT(Cockpit!$O$5,1)="A",H342,IF(Parameter!$E$30="MAX-Bestand",IF(CH342=1,CI342,IF(LEFT(Cockpit!$O$5,1)="B",BF342,MAX(BF342,H342))),ROUNDUP(BD342,0)))</f>
        <v>288</v>
      </c>
      <c r="BA342" s="50" t="n">
        <f aca="false">IF(BZ342=1,0,ROUNDUP(AZ342/BY342,0))</f>
        <v>1</v>
      </c>
      <c r="BB342" s="52" t="n">
        <f aca="false">IF(CQ342&gt;0,CQ342*MAX(1,AZ342/X342),IF(BZ342=1,IF(AZ342&lt;=0,0,CD342*MAX(1,IF(H342&gt;0,AZ342/H342,1))),IF(R342&gt;0,BA342/R342,0))/MAX(0.1,N(Parameter!$M$21)))</f>
        <v>0.0384615384615385</v>
      </c>
      <c r="BC342" s="50" t="n">
        <f aca="false">BB342*CB342</f>
        <v>9.42307692307692</v>
      </c>
      <c r="BD342" s="51" t="n">
        <f aca="false">IF(LEFT(Cockpit!$O$5,1)="A",H342,IF(CH342=1,(CK342+CI342)/2,IF(LEFT(Cockpit!$O$5,1)="B",(CK342+BF342)/2,MAX((CK342+BF342)/2,H342))))</f>
        <v>287.5</v>
      </c>
      <c r="BE342" s="50" t="n">
        <f aca="false">BD342*G342</f>
        <v>66.125</v>
      </c>
      <c r="BF342" s="50" t="n">
        <f aca="false">ROUNDUP(CK342+MAX(CL342,2*(J342/IF(CG342&gt;0,CG342,MAX(0.1,N(Cockpit!$O$6)))-CK342)),0)</f>
        <v>545</v>
      </c>
      <c r="BG342" s="51" t="n">
        <f aca="false">IF(BC342&gt;0,J342/BC342,-1)</f>
        <v>54.6530612244898</v>
      </c>
      <c r="BH342" s="51" t="n">
        <f aca="false">IF(AND(OR(CF342="L1",CF342="L23",CF342="LIFT"),BC342&gt;0),SUMIFS($BC$7:$BC$1843,$CF$7:$CF$1843,CF342,$BG$7:$BG$1843,"&gt;"&amp;BG342)+SUMIFS($BC$7:$BC$1843,$CF$7:$CF$1843,CF342,$BG$7:$BG$1843,BG342,$BW$7:$BW$1843,"&lt;="&amp;BW342),"")</f>
        <v>1136.44597069597</v>
      </c>
      <c r="BI342" s="58" t="n">
        <f aca="false">IF(BH342="",0,MAX(0,MIN(1,(IF(CF342="L1",Parameter!$H$5,IF(CF342="L23",Parameter!$H$6+Parameter!$H$7,Parameter!$H$5+Parameter!$H$6+Parameter!$H$7))-(BH342-BC342))/BC342)))</f>
        <v>1</v>
      </c>
      <c r="BJ342" s="48" t="str">
        <f aca="false">IF(AI342&lt;=0,"",IF(CF342="Aussen","Aussenlager",IF(CF342="-","Nicht im Lift",IF(AO342&gt;=1,"Lift",IF(AO342&lt;=0,"Aussenlager","teilweise")))))</f>
        <v>Lift</v>
      </c>
      <c r="BK342" s="48" t="str">
        <f aca="false">IF(AS342&lt;=0,"",IF(CF342="Aussen","Aussenlager",IF(CF342="-","Nicht im Lift",IF(AY342&gt;=1,"Lift",IF(AY342&lt;=0,"Aussenlager","teilweise")))))</f>
        <v>Lift</v>
      </c>
      <c r="BL342" s="48" t="str">
        <f aca="false">IF(BC342&lt;=0,"",IF(CF342="Aussen","Aussenlager",IF(CF342="-","Nicht im Lift",IF(BI342&gt;=1,"Lift",IF(BI342&lt;=0,"Aussenlager","teilweise")))))</f>
        <v>Lift</v>
      </c>
      <c r="BM342" s="48" t="str">
        <f aca="false">IF(A342="","",IF(BV342=1,"Neu; ","")&amp;IF(AND(BV342=0,BQ342&lt;0),"negativer Bestand (Export "&amp;BQ342&amp;"); ","")&amp;IF(J342&lt;=0,"Kein Verbrauch; ","")&amp;IF(CQ342&gt;0,"Lift "&amp;W342&amp;" lt. Liftbericht (Fach "&amp;X342&amp;" Stk); ",IF(CA342=1,"Gebinde geschätzt ("&amp;T342&amp;"); ",IF(BZ342=1,"Lose – Tablare geschätzt; ","")))&amp;IF(H342&gt;AV342,"Überbestand "&amp;ROUND(H342-AV342,0)&amp;" Stk / CHF "&amp;ROUND((H342-AV342)*G342,0)&amp;"; ","")&amp;IF(AND(CH342=1,CI342&lt;CJ342),"MAX &lt; MB+LG; ","")&amp;IF(AND(CP342&gt;0,CO342*10&gt;CP342),"zu hoch für Tablar; ","")&amp;IF(AND(BV342=0,OR(CH342=1,AA342&lt;&gt;"",U342&lt;&gt;"",V342&lt;&gt;"",AB342&lt;&gt;"")),"manuell übersteuert; ","")&amp;IF(AND(BZ342=0,R342=0),"Gebinde unbekannt / Stellmass fehlt; ","")&amp;IF(AND(BZ342=0,N(V342)&lt;=0,N(Q342)&lt;=0),"Menge pro Gebinde fehlt (Ist = 1 Gebinde); ","")&amp;BU342)</f>
        <v>Überbestand 735 Stk / CHF 169; </v>
      </c>
      <c r="BN342" s="48"/>
      <c r="BO342" s="48"/>
      <c r="BP342" s="55"/>
      <c r="BQ342" s="50" t="n">
        <v>818</v>
      </c>
      <c r="BR342" s="50" t="n">
        <v>462</v>
      </c>
      <c r="BS342" s="49" t="n">
        <v>197.38</v>
      </c>
      <c r="BT342" s="50" t="n">
        <v>515</v>
      </c>
      <c r="BU342" s="48"/>
      <c r="BV342" s="53" t="n">
        <v>0</v>
      </c>
      <c r="BW342" s="53" t="n">
        <v>342</v>
      </c>
      <c r="BX342" s="48" t="str">
        <f aca="false">IF(U342&lt;&gt;"",UPPER(TRIM(U342)),IF(CA342=1,UPPER(VLOOKUP(T342,Parameter!$I$27:$K$29,2,0)),IF(P342="","LOSE",P342)))</f>
        <v>S52</v>
      </c>
      <c r="BY342" s="50" t="n">
        <f aca="false">IF(BX342="LOSE",1,IF(N(V342)&gt;0,V342,IF(CA342=1,MAX(1,N(VLOOKUP(T342,Parameter!$I$27:$K$29,3,0)),H342,N(N342)),IF(N(Q342)&gt;0,Q342,MAX(1,H342)))))</f>
        <v>400</v>
      </c>
      <c r="BZ342" s="53" t="n">
        <f aca="false">IF(BX342="LOSE",1,0)</f>
        <v>0</v>
      </c>
      <c r="CA342" s="53" t="n">
        <f aca="false">IF(AND(U342="",OR(P342="",P342="LOSE"),T342&lt;&gt;"",N(S342)&lt;=0,ISNUMBER(MATCH(T342,Parameter!$I$27:$I$29,0))),1,0)</f>
        <v>0</v>
      </c>
      <c r="CB342" s="53" t="n">
        <f aca="false">IF(CQ342&gt;0,INDEX(Parameter!$H$5:$H$7,W342)/INDEX(Parameter!$E$5:$E$7,W342),IF(AND(BZ342=0,N(IFERROR(VLOOKUP(BX342,'Gebinde-Kategorie'!$A$5:$N$45,14,0),0))&gt;0),VLOOKUP(BX342,'Gebinde-Kategorie'!$A$5:$N$45,14,0)*10+Parameter!$M$23,Parameter!$M$24))</f>
        <v>245</v>
      </c>
      <c r="CC342" s="48" t="str">
        <f aca="false">IF(AND(Parameter!$B$19="Ja",E342&lt;&gt;"",ISNUMBER(MATCH(E342,Parameter!$I$35:$I$52,0))),VLOOKUP(E342,Parameter!$I$35:$J$52,2,0),IFERROR(VLOOKUP(D342,Parameter!$A$35:$C$64,2,0),"Nein"))</f>
        <v>2+3</v>
      </c>
      <c r="CD342" s="52" t="n">
        <f aca="false">IF(BZ342=0,0,IF(N(S342)&gt;0,S342,IFERROR(VLOOKUP(D342,Parameter!$A$35:$C$64,3,0)+0,0)))</f>
        <v>0</v>
      </c>
      <c r="CE342" s="48" t="n">
        <f aca="false">IF(AA342&lt;&gt;"",AA342,Z342)</f>
        <v>3</v>
      </c>
      <c r="CF342" s="48" t="str">
        <f aca="false">IF(OR(CE342=1,CE342=2,CE342=3),IF(Parameter!$E$27="Ja","LIFT",IF(CE342=1,"L1","L23")),IF(CE342="Aussen","Aussen","-"))</f>
        <v>LIFT</v>
      </c>
      <c r="CG342" s="59" t="n">
        <f aca="false">IF(N(AB342)&gt;0,AB342,0)</f>
        <v>0</v>
      </c>
      <c r="CH342" s="53" t="n">
        <f aca="false">IF(ISNUMBER(AE342),1,0)</f>
        <v>0</v>
      </c>
      <c r="CI342" s="50" t="n">
        <f aca="false">N(AE342)</f>
        <v>0</v>
      </c>
      <c r="CJ342" s="50" t="n">
        <f aca="false">N(M342)+N(N342)</f>
        <v>545</v>
      </c>
      <c r="CK342" s="50" t="n">
        <f aca="false">N(M342)</f>
        <v>30</v>
      </c>
      <c r="CL342" s="50" t="n">
        <f aca="false">N(N342)</f>
        <v>515</v>
      </c>
      <c r="CM342" s="50" t="n">
        <f aca="false">ROUNDUP(H342/BY342,0)</f>
        <v>4</v>
      </c>
      <c r="CN342" s="50" t="n">
        <f aca="false">ROUNDUP(CI342/BY342,0)</f>
        <v>0</v>
      </c>
      <c r="CO342" s="53" t="n">
        <f aca="false">IF(BZ342=1,0,IFERROR(VLOOKUP(BX342,'Gebinde-Kategorie'!$A$5:$N$45,5,0)+0,0))</f>
        <v>21</v>
      </c>
      <c r="CP342" s="53" t="n">
        <f aca="false">IFERROR(IF(OR(CE342=1,CE342=2,CE342=3),N(INDEX(Parameter!$I$5:$I$7,CE342)),0),0)</f>
        <v>0</v>
      </c>
      <c r="CQ342" s="52" t="n">
        <f aca="false">IF(AND(Parameter!$B$21="Ja",ISNUMBER(W342),N(X342)&gt;0),IFERROR(N(INDEX(Parameter!$L$5:$L$7,W342))*INDEX(Parameter!$E$5:$E$7,W342)*X342/SUMIFS($X$7:$X$1843,$W$7:$W$1843,W342),0),0)</f>
        <v>0</v>
      </c>
    </row>
    <row r="343" customFormat="false" ht="15" hidden="false" customHeight="false" outlineLevel="0" collapsed="false">
      <c r="A343" s="48" t="s">
        <v>851</v>
      </c>
      <c r="B343" s="48" t="s">
        <v>852</v>
      </c>
      <c r="C343" s="48" t="s">
        <v>173</v>
      </c>
      <c r="D343" s="48" t="s">
        <v>193</v>
      </c>
      <c r="E343" s="48"/>
      <c r="F343" s="48" t="s">
        <v>227</v>
      </c>
      <c r="G343" s="49" t="n">
        <v>47.25</v>
      </c>
      <c r="H343" s="50" t="n">
        <f aca="false">MAX(0,IF(AND(Parameter!$B$21="Ja",ISNUMBER(Y343)),Y343,IF(Parameter!$B$20="Jahresanfang 2025 + Export",BR343+BQ343,BQ343)))</f>
        <v>6</v>
      </c>
      <c r="I343" s="50" t="n">
        <f aca="false">H343*G343</f>
        <v>283.5</v>
      </c>
      <c r="J343" s="50" t="n">
        <f aca="false">BT343*Parameter!$B$18</f>
        <v>7</v>
      </c>
      <c r="K343" s="51" t="n">
        <v>1.5</v>
      </c>
      <c r="L343" s="52" t="n">
        <v>4.66666666666667</v>
      </c>
      <c r="M343" s="50" t="n">
        <v>0</v>
      </c>
      <c r="N343" s="50" t="n">
        <v>5</v>
      </c>
      <c r="O343" s="53" t="n">
        <v>35</v>
      </c>
      <c r="P343" s="48" t="s">
        <v>337</v>
      </c>
      <c r="Q343" s="50" t="n">
        <v>6</v>
      </c>
      <c r="R343" s="53" t="n">
        <f aca="false">IF(BZ343=1,0,IFERROR(VLOOKUP(BX343,'Gebinde-Kategorie'!$A$5:$N$45,13,0)+0,0))</f>
        <v>52</v>
      </c>
      <c r="S343" s="54"/>
      <c r="T343" s="55"/>
      <c r="U343" s="55"/>
      <c r="V343" s="55"/>
      <c r="W343" s="48"/>
      <c r="X343" s="50"/>
      <c r="Y343" s="50"/>
      <c r="Z343" s="48" t="n">
        <f aca="false">IF(A343="","",IF(AND(Parameter!$B$21="Ja",ISNUMBER(W343)),W343,IF(CC343="2+3",IF(ISNUMBER(SEARCH("grosser Artikel",BU343)),2,IFERROR(VLOOKUP(BX343,Parameter!$F$35:$G$64,2,0),2)),IF(OR(CC343="Nein",CC343=""),"-",CC343))))</f>
        <v>3</v>
      </c>
      <c r="AA343" s="55"/>
      <c r="AB343" s="56"/>
      <c r="AC343" s="50" t="n">
        <f aca="false">AV343</f>
        <v>5</v>
      </c>
      <c r="AD343" s="50" t="n">
        <f aca="false">MAX(AV343,H343)</f>
        <v>6</v>
      </c>
      <c r="AE343" s="57"/>
      <c r="AF343" s="50" t="n">
        <f aca="false">IF(LEFT(Cockpit!$C$5,1)="A",H343,IF(Parameter!$E$30="MAX-Bestand",IF(CH343=1,CI343,IF(LEFT(Cockpit!$C$5,1)="B",AL343,MAX(AL343,H343))),ROUNDUP(AJ343,0)))</f>
        <v>6</v>
      </c>
      <c r="AG343" s="50" t="n">
        <f aca="false">IF(BZ343=1,0,ROUNDUP(AF343/BY343,0))</f>
        <v>1</v>
      </c>
      <c r="AH343" s="52" t="n">
        <f aca="false">IF(CQ343&gt;0,CQ343*MAX(1,AF343/X343),IF(BZ343=1,IF(AF343&lt;=0,0,CD343*MAX(1,IF(H343&gt;0,AF343/H343,1))),IF(R343&gt;0,AG343/R343,0))/MAX(0.1,N(Parameter!$M$21)))</f>
        <v>0.0192307692307692</v>
      </c>
      <c r="AI343" s="50" t="n">
        <f aca="false">AH343*CB343</f>
        <v>2.98076923076923</v>
      </c>
      <c r="AJ343" s="51" t="n">
        <f aca="false">IF(LEFT(Cockpit!$C$5,1)="A",H343,IF(CH343=1,(CK343+CI343)/2,IF(LEFT(Cockpit!$C$5,1)="B",(CK343+AL343)/2,MAX((CK343+AL343)/2,H343))))</f>
        <v>6</v>
      </c>
      <c r="AK343" s="50" t="n">
        <f aca="false">AJ343*G343</f>
        <v>283.5</v>
      </c>
      <c r="AL343" s="50" t="n">
        <f aca="false">ROUNDUP(CK343+MAX(CL343,2*(J343/IF(CG343&gt;0,CG343,MAX(0.1,N(Cockpit!$C$6)))-CK343)),0)</f>
        <v>5</v>
      </c>
      <c r="AM343" s="51" t="n">
        <f aca="false">IF(AI343&gt;0,J343/AI343,-1)</f>
        <v>2.34838709677419</v>
      </c>
      <c r="AN343" s="51" t="n">
        <f aca="false">IF(AND(OR(CF343="L1",CF343="L23",CF343="LIFT"),AI343&gt;0),SUMIFS($AI$7:$AI$1843,$CF$7:$CF$1843,CF343,$AM$7:$AM$1843,"&gt;"&amp;AM343)+SUMIFS($AI$7:$AI$1843,$CF$7:$CF$1843,CF343,$AM$7:$AM$1843,AM343,$BW$7:$BW$1843,"&lt;="&amp;BW343),"")</f>
        <v>5622.2760989011</v>
      </c>
      <c r="AO343" s="58" t="n">
        <f aca="false">IF(AN343="",0,MAX(0,MIN(1,(IF(CF343="L1",Parameter!$H$5,IF(CF343="L23",Parameter!$H$6+Parameter!$H$7,Parameter!$H$5+Parameter!$H$6+Parameter!$H$7))-(AN343-AI343))/AI343)))</f>
        <v>1</v>
      </c>
      <c r="AP343" s="50" t="n">
        <f aca="false">IF(LEFT(Cockpit!$I$5,1)="A",H343,IF(Parameter!$E$30="MAX-Bestand",IF(CH343=1,CI343,IF(LEFT(Cockpit!$I$5,1)="B",AV343,MAX(AV343,H343))),ROUNDUP(AT343,0)))</f>
        <v>6</v>
      </c>
      <c r="AQ343" s="50" t="n">
        <f aca="false">IF(BZ343=1,0,ROUNDUP(AP343/BY343,0))</f>
        <v>1</v>
      </c>
      <c r="AR343" s="52" t="n">
        <f aca="false">IF(CQ343&gt;0,CQ343*MAX(1,AP343/X343),IF(BZ343=1,IF(AP343&lt;=0,0,CD343*MAX(1,IF(H343&gt;0,AP343/H343,1))),IF(R343&gt;0,AQ343/R343,0))/MAX(0.1,N(Parameter!$M$21)))</f>
        <v>0.0192307692307692</v>
      </c>
      <c r="AS343" s="50" t="n">
        <f aca="false">AR343*CB343</f>
        <v>2.98076923076923</v>
      </c>
      <c r="AT343" s="51" t="n">
        <f aca="false">IF(LEFT(Cockpit!$I$5,1)="A",H343,IF(CH343=1,(CK343+CI343)/2,IF(LEFT(Cockpit!$I$5,1)="B",(CK343+AV343)/2,MAX((CK343+AV343)/2,H343))))</f>
        <v>6</v>
      </c>
      <c r="AU343" s="50" t="n">
        <f aca="false">AT343*G343</f>
        <v>283.5</v>
      </c>
      <c r="AV343" s="50" t="n">
        <f aca="false">ROUNDUP(CK343+MAX(CL343,2*(J343/IF(CG343&gt;0,CG343,MAX(0.1,N(Cockpit!$I$6)))-CK343)),0)</f>
        <v>5</v>
      </c>
      <c r="AW343" s="51" t="n">
        <f aca="false">IF(AS343&gt;0,J343/AS343,-1)</f>
        <v>2.34838709677419</v>
      </c>
      <c r="AX343" s="51" t="n">
        <f aca="false">IF(AND(OR(CF343="L1",CF343="L23",CF343="LIFT"),AS343&gt;0),SUMIFS($AS$7:$AS$1843,$CF$7:$CF$1843,CF343,$AW$7:$AW$1843,"&gt;"&amp;AW343)+SUMIFS($AS$7:$AS$1843,$CF$7:$CF$1843,CF343,$AW$7:$AW$1843,AW343,$BW$7:$BW$1843,"&lt;="&amp;BW343),"")</f>
        <v>6444.67078754579</v>
      </c>
      <c r="AY343" s="58" t="n">
        <f aca="false">IF(AX343="",0,MAX(0,MIN(1,(IF(CF343="L1",Parameter!$H$5,IF(CF343="L23",Parameter!$H$6+Parameter!$H$7,Parameter!$H$5+Parameter!$H$6+Parameter!$H$7))-(AX343-AS343))/AS343)))</f>
        <v>1</v>
      </c>
      <c r="AZ343" s="50" t="n">
        <f aca="false">IF(LEFT(Cockpit!$O$5,1)="A",H343,IF(Parameter!$E$30="MAX-Bestand",IF(CH343=1,CI343,IF(LEFT(Cockpit!$O$5,1)="B",BF343,MAX(BF343,H343))),ROUNDUP(BD343,0)))</f>
        <v>3</v>
      </c>
      <c r="BA343" s="50" t="n">
        <f aca="false">IF(BZ343=1,0,ROUNDUP(AZ343/BY343,0))</f>
        <v>1</v>
      </c>
      <c r="BB343" s="52" t="n">
        <f aca="false">IF(CQ343&gt;0,CQ343*MAX(1,AZ343/X343),IF(BZ343=1,IF(AZ343&lt;=0,0,CD343*MAX(1,IF(H343&gt;0,AZ343/H343,1))),IF(R343&gt;0,BA343/R343,0))/MAX(0.1,N(Parameter!$M$21)))</f>
        <v>0.0192307692307692</v>
      </c>
      <c r="BC343" s="50" t="n">
        <f aca="false">BB343*CB343</f>
        <v>2.98076923076923</v>
      </c>
      <c r="BD343" s="51" t="n">
        <f aca="false">IF(LEFT(Cockpit!$O$5,1)="A",H343,IF(CH343=1,(CK343+CI343)/2,IF(LEFT(Cockpit!$O$5,1)="B",(CK343+BF343)/2,MAX((CK343+BF343)/2,H343))))</f>
        <v>2.5</v>
      </c>
      <c r="BE343" s="50" t="n">
        <f aca="false">BD343*G343</f>
        <v>118.125</v>
      </c>
      <c r="BF343" s="50" t="n">
        <f aca="false">ROUNDUP(CK343+MAX(CL343,2*(J343/IF(CG343&gt;0,CG343,MAX(0.1,N(Cockpit!$O$6)))-CK343)),0)</f>
        <v>5</v>
      </c>
      <c r="BG343" s="51" t="n">
        <f aca="false">IF(BC343&gt;0,J343/BC343,-1)</f>
        <v>2.34838709677419</v>
      </c>
      <c r="BH343" s="51" t="n">
        <f aca="false">IF(AND(OR(CF343="L1",CF343="L23",CF343="LIFT"),BC343&gt;0),SUMIFS($BC$7:$BC$1843,$CF$7:$CF$1843,CF343,$BG$7:$BG$1843,"&gt;"&amp;BG343)+SUMIFS($BC$7:$BC$1843,$CF$7:$CF$1843,CF343,$BG$7:$BG$1843,BG343,$BW$7:$BW$1843,"&lt;="&amp;BW343),"")</f>
        <v>5601.51923076923</v>
      </c>
      <c r="BI343" s="58" t="n">
        <f aca="false">IF(BH343="",0,MAX(0,MIN(1,(IF(CF343="L1",Parameter!$H$5,IF(CF343="L23",Parameter!$H$6+Parameter!$H$7,Parameter!$H$5+Parameter!$H$6+Parameter!$H$7))-(BH343-BC343))/BC343)))</f>
        <v>1</v>
      </c>
      <c r="BJ343" s="48" t="str">
        <f aca="false">IF(AI343&lt;=0,"",IF(CF343="Aussen","Aussenlager",IF(CF343="-","Nicht im Lift",IF(AO343&gt;=1,"Lift",IF(AO343&lt;=0,"Aussenlager","teilweise")))))</f>
        <v>Lift</v>
      </c>
      <c r="BK343" s="48" t="str">
        <f aca="false">IF(AS343&lt;=0,"",IF(CF343="Aussen","Aussenlager",IF(CF343="-","Nicht im Lift",IF(AY343&gt;=1,"Lift",IF(AY343&lt;=0,"Aussenlager","teilweise")))))</f>
        <v>Lift</v>
      </c>
      <c r="BL343" s="48" t="str">
        <f aca="false">IF(BC343&lt;=0,"",IF(CF343="Aussen","Aussenlager",IF(CF343="-","Nicht im Lift",IF(BI343&gt;=1,"Lift",IF(BI343&lt;=0,"Aussenlager","teilweise")))))</f>
        <v>Lift</v>
      </c>
      <c r="BM343" s="48" t="str">
        <f aca="false">IF(A343="","",IF(BV343=1,"Neu; ","")&amp;IF(AND(BV343=0,BQ343&lt;0),"negativer Bestand (Export "&amp;BQ343&amp;"); ","")&amp;IF(J343&lt;=0,"Kein Verbrauch; ","")&amp;IF(CQ343&gt;0,"Lift "&amp;W343&amp;" lt. Liftbericht (Fach "&amp;X343&amp;" Stk); ",IF(CA343=1,"Gebinde geschätzt ("&amp;T343&amp;"); ",IF(BZ343=1,"Lose – Tablare geschätzt; ","")))&amp;IF(H343&gt;AV343,"Überbestand "&amp;ROUND(H343-AV343,0)&amp;" Stk / CHF "&amp;ROUND((H343-AV343)*G343,0)&amp;"; ","")&amp;IF(AND(CH343=1,CI343&lt;CJ343),"MAX &lt; MB+LG; ","")&amp;IF(AND(CP343&gt;0,CO343*10&gt;CP343),"zu hoch für Tablar; ","")&amp;IF(AND(BV343=0,OR(CH343=1,AA343&lt;&gt;"",U343&lt;&gt;"",V343&lt;&gt;"",AB343&lt;&gt;"")),"manuell übersteuert; ","")&amp;IF(AND(BZ343=0,R343=0),"Gebinde unbekannt / Stellmass fehlt; ","")&amp;IF(AND(BZ343=0,N(V343)&lt;=0,N(Q343)&lt;=0),"Menge pro Gebinde fehlt (Ist = 1 Gebinde); ","")&amp;BU343)</f>
        <v>Überbestand 1 Stk / CHF 47; </v>
      </c>
      <c r="BN343" s="48"/>
      <c r="BO343" s="48"/>
      <c r="BP343" s="55"/>
      <c r="BQ343" s="50" t="n">
        <v>4</v>
      </c>
      <c r="BR343" s="50" t="n">
        <v>2</v>
      </c>
      <c r="BS343" s="49" t="n">
        <v>197.18</v>
      </c>
      <c r="BT343" s="50" t="n">
        <v>7</v>
      </c>
      <c r="BU343" s="48"/>
      <c r="BV343" s="53" t="n">
        <v>0</v>
      </c>
      <c r="BW343" s="53" t="n">
        <v>343</v>
      </c>
      <c r="BX343" s="48" t="str">
        <f aca="false">IF(U343&lt;&gt;"",UPPER(TRIM(U343)),IF(CA343=1,UPPER(VLOOKUP(T343,Parameter!$I$27:$K$29,2,0)),IF(P343="","LOSE",P343)))</f>
        <v>S41</v>
      </c>
      <c r="BY343" s="50" t="n">
        <f aca="false">IF(BX343="LOSE",1,IF(N(V343)&gt;0,V343,IF(CA343=1,MAX(1,N(VLOOKUP(T343,Parameter!$I$27:$K$29,3,0)),H343,N(N343)),IF(N(Q343)&gt;0,Q343,MAX(1,H343)))))</f>
        <v>6</v>
      </c>
      <c r="BZ343" s="53" t="n">
        <f aca="false">IF(BX343="LOSE",1,0)</f>
        <v>0</v>
      </c>
      <c r="CA343" s="53" t="n">
        <f aca="false">IF(AND(U343="",OR(P343="",P343="LOSE"),T343&lt;&gt;"",N(S343)&lt;=0,ISNUMBER(MATCH(T343,Parameter!$I$27:$I$29,0))),1,0)</f>
        <v>0</v>
      </c>
      <c r="CB343" s="53" t="n">
        <f aca="false">IF(CQ343&gt;0,INDEX(Parameter!$H$5:$H$7,W343)/INDEX(Parameter!$E$5:$E$7,W343),IF(AND(BZ343=0,N(IFERROR(VLOOKUP(BX343,'Gebinde-Kategorie'!$A$5:$N$45,14,0),0))&gt;0),VLOOKUP(BX343,'Gebinde-Kategorie'!$A$5:$N$45,14,0)*10+Parameter!$M$23,Parameter!$M$24))</f>
        <v>155</v>
      </c>
      <c r="CC343" s="48" t="str">
        <f aca="false">IF(AND(Parameter!$B$19="Ja",E343&lt;&gt;"",ISNUMBER(MATCH(E343,Parameter!$I$35:$I$52,0))),VLOOKUP(E343,Parameter!$I$35:$J$52,2,0),IFERROR(VLOOKUP(D343,Parameter!$A$35:$C$64,2,0),"Nein"))</f>
        <v>2+3</v>
      </c>
      <c r="CD343" s="52" t="n">
        <f aca="false">IF(BZ343=0,0,IF(N(S343)&gt;0,S343,IFERROR(VLOOKUP(D343,Parameter!$A$35:$C$64,3,0)+0,0)))</f>
        <v>0</v>
      </c>
      <c r="CE343" s="48" t="n">
        <f aca="false">IF(AA343&lt;&gt;"",AA343,Z343)</f>
        <v>3</v>
      </c>
      <c r="CF343" s="48" t="str">
        <f aca="false">IF(OR(CE343=1,CE343=2,CE343=3),IF(Parameter!$E$27="Ja","LIFT",IF(CE343=1,"L1","L23")),IF(CE343="Aussen","Aussen","-"))</f>
        <v>LIFT</v>
      </c>
      <c r="CG343" s="59" t="n">
        <f aca="false">IF(N(AB343)&gt;0,AB343,0)</f>
        <v>0</v>
      </c>
      <c r="CH343" s="53" t="n">
        <f aca="false">IF(ISNUMBER(AE343),1,0)</f>
        <v>0</v>
      </c>
      <c r="CI343" s="50" t="n">
        <f aca="false">N(AE343)</f>
        <v>0</v>
      </c>
      <c r="CJ343" s="50" t="n">
        <f aca="false">N(M343)+N(N343)</f>
        <v>5</v>
      </c>
      <c r="CK343" s="50" t="n">
        <f aca="false">N(M343)</f>
        <v>0</v>
      </c>
      <c r="CL343" s="50" t="n">
        <f aca="false">N(N343)</f>
        <v>5</v>
      </c>
      <c r="CM343" s="50" t="n">
        <f aca="false">ROUNDUP(H343/BY343,0)</f>
        <v>1</v>
      </c>
      <c r="CN343" s="50" t="n">
        <f aca="false">ROUNDUP(CI343/BY343,0)</f>
        <v>0</v>
      </c>
      <c r="CO343" s="53" t="n">
        <f aca="false">IF(BZ343=1,0,IFERROR(VLOOKUP(BX343,'Gebinde-Kategorie'!$A$5:$N$45,5,0)+0,0))</f>
        <v>11</v>
      </c>
      <c r="CP343" s="53" t="n">
        <f aca="false">IFERROR(IF(OR(CE343=1,CE343=2,CE343=3),N(INDEX(Parameter!$I$5:$I$7,CE343)),0),0)</f>
        <v>0</v>
      </c>
      <c r="CQ343" s="52" t="n">
        <f aca="false">IF(AND(Parameter!$B$21="Ja",ISNUMBER(W343),N(X343)&gt;0),IFERROR(N(INDEX(Parameter!$L$5:$L$7,W343))*INDEX(Parameter!$E$5:$E$7,W343)*X343/SUMIFS($X$7:$X$1843,$W$7:$W$1843,W343),0),0)</f>
        <v>0</v>
      </c>
    </row>
    <row r="344" customFormat="false" ht="15" hidden="false" customHeight="false" outlineLevel="0" collapsed="false">
      <c r="A344" s="48" t="s">
        <v>853</v>
      </c>
      <c r="B344" s="48" t="s">
        <v>854</v>
      </c>
      <c r="C344" s="48" t="s">
        <v>173</v>
      </c>
      <c r="D344" s="48" t="s">
        <v>193</v>
      </c>
      <c r="E344" s="48"/>
      <c r="F344" s="48" t="s">
        <v>227</v>
      </c>
      <c r="G344" s="49" t="n">
        <v>7.87</v>
      </c>
      <c r="H344" s="50" t="n">
        <f aca="false">MAX(0,IF(AND(Parameter!$B$21="Ja",ISNUMBER(Y344)),Y344,IF(Parameter!$B$20="Jahresanfang 2025 + Export",BR344+BQ344,BQ344)))</f>
        <v>25</v>
      </c>
      <c r="I344" s="50" t="n">
        <f aca="false">H344*G344</f>
        <v>196.75</v>
      </c>
      <c r="J344" s="50" t="n">
        <f aca="false">BT344*Parameter!$B$18</f>
        <v>0</v>
      </c>
      <c r="K344" s="51" t="n">
        <v>0</v>
      </c>
      <c r="L344" s="52" t="n">
        <v>0</v>
      </c>
      <c r="M344" s="50" t="n">
        <v>0</v>
      </c>
      <c r="N344" s="50" t="n">
        <v>5</v>
      </c>
      <c r="O344" s="53" t="n">
        <v>9999</v>
      </c>
      <c r="P344" s="48" t="s">
        <v>177</v>
      </c>
      <c r="Q344" s="50"/>
      <c r="R344" s="53" t="n">
        <f aca="false">IF(BZ344=1,0,IFERROR(VLOOKUP(BX344,'Gebinde-Kategorie'!$A$5:$N$45,13,0)+0,0))</f>
        <v>26</v>
      </c>
      <c r="S344" s="54"/>
      <c r="T344" s="55" t="s">
        <v>284</v>
      </c>
      <c r="U344" s="55"/>
      <c r="V344" s="55"/>
      <c r="W344" s="48"/>
      <c r="X344" s="50"/>
      <c r="Y344" s="50"/>
      <c r="Z344" s="48" t="n">
        <f aca="false">IF(A344="","",IF(AND(Parameter!$B$21="Ja",ISNUMBER(W344)),W344,IF(CC344="2+3",IF(ISNUMBER(SEARCH("grosser Artikel",BU344)),2,IFERROR(VLOOKUP(BX344,Parameter!$F$35:$G$64,2,0),2)),IF(OR(CC344="Nein",CC344=""),"-",CC344))))</f>
        <v>3</v>
      </c>
      <c r="AA344" s="55"/>
      <c r="AB344" s="56"/>
      <c r="AC344" s="50" t="n">
        <f aca="false">AV344</f>
        <v>5</v>
      </c>
      <c r="AD344" s="50" t="n">
        <f aca="false">MAX(AV344,H344)</f>
        <v>25</v>
      </c>
      <c r="AE344" s="57"/>
      <c r="AF344" s="50" t="n">
        <f aca="false">IF(LEFT(Cockpit!$C$5,1)="A",H344,IF(Parameter!$E$30="MAX-Bestand",IF(CH344=1,CI344,IF(LEFT(Cockpit!$C$5,1)="B",AL344,MAX(AL344,H344))),ROUNDUP(AJ344,0)))</f>
        <v>25</v>
      </c>
      <c r="AG344" s="50" t="n">
        <f aca="false">IF(BZ344=1,0,ROUNDUP(AF344/BY344,0))</f>
        <v>1</v>
      </c>
      <c r="AH344" s="52" t="n">
        <f aca="false">IF(CQ344&gt;0,CQ344*MAX(1,AF344/X344),IF(BZ344=1,IF(AF344&lt;=0,0,CD344*MAX(1,IF(H344&gt;0,AF344/H344,1))),IF(R344&gt;0,AG344/R344,0))/MAX(0.1,N(Parameter!$M$21)))</f>
        <v>0.0384615384615385</v>
      </c>
      <c r="AI344" s="50" t="n">
        <f aca="false">AH344*CB344</f>
        <v>5.96153846153846</v>
      </c>
      <c r="AJ344" s="51" t="n">
        <f aca="false">IF(LEFT(Cockpit!$C$5,1)="A",H344,IF(CH344=1,(CK344+CI344)/2,IF(LEFT(Cockpit!$C$5,1)="B",(CK344+AL344)/2,MAX((CK344+AL344)/2,H344))))</f>
        <v>25</v>
      </c>
      <c r="AK344" s="50" t="n">
        <f aca="false">AJ344*G344</f>
        <v>196.75</v>
      </c>
      <c r="AL344" s="50" t="n">
        <f aca="false">ROUNDUP(CK344+MAX(CL344,2*(J344/IF(CG344&gt;0,CG344,MAX(0.1,N(Cockpit!$C$6)))-CK344)),0)</f>
        <v>5</v>
      </c>
      <c r="AM344" s="51" t="n">
        <f aca="false">IF(AI344&gt;0,J344/AI344,-1)</f>
        <v>0</v>
      </c>
      <c r="AN344" s="51" t="n">
        <f aca="false">IF(AND(OR(CF344="L1",CF344="L23",CF344="LIFT"),AI344&gt;0),SUMIFS($AI$7:$AI$1843,$CF$7:$CF$1843,CF344,$AM$7:$AM$1843,"&gt;"&amp;AM344)+SUMIFS($AI$7:$AI$1843,$CF$7:$CF$1843,CF344,$AM$7:$AM$1843,AM344,$BW$7:$BW$1843,"&lt;="&amp;BW344),"")</f>
        <v>28007.1434831647</v>
      </c>
      <c r="AO344" s="58" t="n">
        <f aca="false">IF(AN344="",0,MAX(0,MIN(1,(IF(CF344="L1",Parameter!$H$5,IF(CF344="L23",Parameter!$H$6+Parameter!$H$7,Parameter!$H$5+Parameter!$H$6+Parameter!$H$7))-(AN344-AI344))/AI344)))</f>
        <v>1</v>
      </c>
      <c r="AP344" s="50" t="n">
        <f aca="false">IF(LEFT(Cockpit!$I$5,1)="A",H344,IF(Parameter!$E$30="MAX-Bestand",IF(CH344=1,CI344,IF(LEFT(Cockpit!$I$5,1)="B",AV344,MAX(AV344,H344))),ROUNDUP(AT344,0)))</f>
        <v>25</v>
      </c>
      <c r="AQ344" s="50" t="n">
        <f aca="false">IF(BZ344=1,0,ROUNDUP(AP344/BY344,0))</f>
        <v>1</v>
      </c>
      <c r="AR344" s="52" t="n">
        <f aca="false">IF(CQ344&gt;0,CQ344*MAX(1,AP344/X344),IF(BZ344=1,IF(AP344&lt;=0,0,CD344*MAX(1,IF(H344&gt;0,AP344/H344,1))),IF(R344&gt;0,AQ344/R344,0))/MAX(0.1,N(Parameter!$M$21)))</f>
        <v>0.0384615384615385</v>
      </c>
      <c r="AS344" s="50" t="n">
        <f aca="false">AR344*CB344</f>
        <v>5.96153846153846</v>
      </c>
      <c r="AT344" s="51" t="n">
        <f aca="false">IF(LEFT(Cockpit!$I$5,1)="A",H344,IF(CH344=1,(CK344+CI344)/2,IF(LEFT(Cockpit!$I$5,1)="B",(CK344+AV344)/2,MAX((CK344+AV344)/2,H344))))</f>
        <v>25</v>
      </c>
      <c r="AU344" s="50" t="n">
        <f aca="false">AT344*G344</f>
        <v>196.75</v>
      </c>
      <c r="AV344" s="50" t="n">
        <f aca="false">ROUNDUP(CK344+MAX(CL344,2*(J344/IF(CG344&gt;0,CG344,MAX(0.1,N(Cockpit!$I$6)))-CK344)),0)</f>
        <v>5</v>
      </c>
      <c r="AW344" s="51" t="n">
        <f aca="false">IF(AS344&gt;0,J344/AS344,-1)</f>
        <v>0</v>
      </c>
      <c r="AX344" s="51" t="n">
        <f aca="false">IF(AND(OR(CF344="L1",CF344="L23",CF344="LIFT"),AS344&gt;0),SUMIFS($AS$7:$AS$1843,$CF$7:$CF$1843,CF344,$AW$7:$AW$1843,"&gt;"&amp;AW344)+SUMIFS($AS$7:$AS$1843,$CF$7:$CF$1843,CF344,$AW$7:$AW$1843,AW344,$BW$7:$BW$1843,"&lt;="&amp;BW344),"")</f>
        <v>33360.2921245421</v>
      </c>
      <c r="AY344" s="58" t="n">
        <f aca="false">IF(AX344="",0,MAX(0,MIN(1,(IF(CF344="L1",Parameter!$H$5,IF(CF344="L23",Parameter!$H$6+Parameter!$H$7,Parameter!$H$5+Parameter!$H$6+Parameter!$H$7))-(AX344-AS344))/AS344)))</f>
        <v>1</v>
      </c>
      <c r="AZ344" s="50" t="n">
        <f aca="false">IF(LEFT(Cockpit!$O$5,1)="A",H344,IF(Parameter!$E$30="MAX-Bestand",IF(CH344=1,CI344,IF(LEFT(Cockpit!$O$5,1)="B",BF344,MAX(BF344,H344))),ROUNDUP(BD344,0)))</f>
        <v>3</v>
      </c>
      <c r="BA344" s="50" t="n">
        <f aca="false">IF(BZ344=1,0,ROUNDUP(AZ344/BY344,0))</f>
        <v>1</v>
      </c>
      <c r="BB344" s="52" t="n">
        <f aca="false">IF(CQ344&gt;0,CQ344*MAX(1,AZ344/X344),IF(BZ344=1,IF(AZ344&lt;=0,0,CD344*MAX(1,IF(H344&gt;0,AZ344/H344,1))),IF(R344&gt;0,BA344/R344,0))/MAX(0.1,N(Parameter!$M$21)))</f>
        <v>0.0384615384615385</v>
      </c>
      <c r="BC344" s="50" t="n">
        <f aca="false">BB344*CB344</f>
        <v>5.96153846153846</v>
      </c>
      <c r="BD344" s="51" t="n">
        <f aca="false">IF(LEFT(Cockpit!$O$5,1)="A",H344,IF(CH344=1,(CK344+CI344)/2,IF(LEFT(Cockpit!$O$5,1)="B",(CK344+BF344)/2,MAX((CK344+BF344)/2,H344))))</f>
        <v>2.5</v>
      </c>
      <c r="BE344" s="50" t="n">
        <f aca="false">BD344*G344</f>
        <v>19.675</v>
      </c>
      <c r="BF344" s="50" t="n">
        <f aca="false">ROUNDUP(CK344+MAX(CL344,2*(J344/IF(CG344&gt;0,CG344,MAX(0.1,N(Cockpit!$O$6)))-CK344)),0)</f>
        <v>5</v>
      </c>
      <c r="BG344" s="51" t="n">
        <f aca="false">IF(BC344&gt;0,J344/BC344,-1)</f>
        <v>0</v>
      </c>
      <c r="BH344" s="51" t="n">
        <f aca="false">IF(AND(OR(CF344="L1",CF344="L23",CF344="LIFT"),BC344&gt;0),SUMIFS($BC$7:$BC$1843,$CF$7:$CF$1843,CF344,$BG$7:$BG$1843,"&gt;"&amp;BG344)+SUMIFS($BC$7:$BC$1843,$CF$7:$CF$1843,CF344,$BG$7:$BG$1843,BG344,$BW$7:$BW$1843,"&lt;="&amp;BW344),"")</f>
        <v>27473.8290960452</v>
      </c>
      <c r="BI344" s="58" t="n">
        <f aca="false">IF(BH344="",0,MAX(0,MIN(1,(IF(CF344="L1",Parameter!$H$5,IF(CF344="L23",Parameter!$H$6+Parameter!$H$7,Parameter!$H$5+Parameter!$H$6+Parameter!$H$7))-(BH344-BC344))/BC344)))</f>
        <v>1</v>
      </c>
      <c r="BJ344" s="48" t="str">
        <f aca="false">IF(AI344&lt;=0,"",IF(CF344="Aussen","Aussenlager",IF(CF344="-","Nicht im Lift",IF(AO344&gt;=1,"Lift",IF(AO344&lt;=0,"Aussenlager","teilweise")))))</f>
        <v>Lift</v>
      </c>
      <c r="BK344" s="48" t="str">
        <f aca="false">IF(AS344&lt;=0,"",IF(CF344="Aussen","Aussenlager",IF(CF344="-","Nicht im Lift",IF(AY344&gt;=1,"Lift",IF(AY344&lt;=0,"Aussenlager","teilweise")))))</f>
        <v>Lift</v>
      </c>
      <c r="BL344" s="48" t="str">
        <f aca="false">IF(BC344&lt;=0,"",IF(CF344="Aussen","Aussenlager",IF(CF344="-","Nicht im Lift",IF(BI344&gt;=1,"Lift",IF(BI344&lt;=0,"Aussenlager","teilweise")))))</f>
        <v>Lift</v>
      </c>
      <c r="BM344" s="48" t="str">
        <f aca="false">IF(A344="","",IF(BV344=1,"Neu; ","")&amp;IF(AND(BV344=0,BQ344&lt;0),"negativer Bestand (Export "&amp;BQ344&amp;"); ","")&amp;IF(J344&lt;=0,"Kein Verbrauch; ","")&amp;IF(CQ344&gt;0,"Lift "&amp;W344&amp;" lt. Liftbericht (Fach "&amp;X344&amp;" Stk); ",IF(CA344=1,"Gebinde geschätzt ("&amp;T344&amp;"); ",IF(BZ344=1,"Lose – Tablare geschätzt; ","")))&amp;IF(H344&gt;AV344,"Überbestand "&amp;ROUND(H344-AV344,0)&amp;" Stk / CHF "&amp;ROUND((H344-AV344)*G344,0)&amp;"; ","")&amp;IF(AND(CH344=1,CI344&lt;CJ344),"MAX &lt; MB+LG; ","")&amp;IF(AND(CP344&gt;0,CO344*10&gt;CP344),"zu hoch für Tablar; ","")&amp;IF(AND(BV344=0,OR(CH344=1,AA344&lt;&gt;"",U344&lt;&gt;"",V344&lt;&gt;"",AB344&lt;&gt;"")),"manuell übersteuert; ","")&amp;IF(AND(BZ344=0,R344=0),"Gebinde unbekannt / Stellmass fehlt; ","")&amp;IF(AND(BZ344=0,N(V344)&lt;=0,N(Q344)&lt;=0),"Menge pro Gebinde fehlt (Ist = 1 Gebinde); ","")&amp;BU344)</f>
        <v>Kein Verbrauch; Gebinde geschätzt (Klein); Überbestand 20 Stk / CHF 157; Menge pro Gebinde fehlt (Ist = 1 Gebinde); </v>
      </c>
      <c r="BN344" s="48"/>
      <c r="BO344" s="48"/>
      <c r="BP344" s="55"/>
      <c r="BQ344" s="50" t="n">
        <v>25</v>
      </c>
      <c r="BR344" s="50" t="n">
        <v>0</v>
      </c>
      <c r="BS344" s="49" t="n">
        <v>196.75</v>
      </c>
      <c r="BT344" s="50" t="n">
        <v>0</v>
      </c>
      <c r="BU344" s="48"/>
      <c r="BV344" s="53" t="n">
        <v>0</v>
      </c>
      <c r="BW344" s="53" t="n">
        <v>344</v>
      </c>
      <c r="BX344" s="48" t="str">
        <f aca="false">IF(U344&lt;&gt;"",UPPER(TRIM(U344)),IF(CA344=1,UPPER(VLOOKUP(T344,Parameter!$I$27:$K$29,2,0)),IF(P344="","LOSE",P344)))</f>
        <v>S51</v>
      </c>
      <c r="BY344" s="50" t="n">
        <f aca="false">IF(BX344="LOSE",1,IF(N(V344)&gt;0,V344,IF(CA344=1,MAX(1,N(VLOOKUP(T344,Parameter!$I$27:$K$29,3,0)),H344,N(N344)),IF(N(Q344)&gt;0,Q344,MAX(1,H344)))))</f>
        <v>25</v>
      </c>
      <c r="BZ344" s="53" t="n">
        <f aca="false">IF(BX344="LOSE",1,0)</f>
        <v>0</v>
      </c>
      <c r="CA344" s="53" t="n">
        <f aca="false">IF(AND(U344="",OR(P344="",P344="LOSE"),T344&lt;&gt;"",N(S344)&lt;=0,ISNUMBER(MATCH(T344,Parameter!$I$27:$I$29,0))),1,0)</f>
        <v>1</v>
      </c>
      <c r="CB344" s="53" t="n">
        <f aca="false">IF(CQ344&gt;0,INDEX(Parameter!$H$5:$H$7,W344)/INDEX(Parameter!$E$5:$E$7,W344),IF(AND(BZ344=0,N(IFERROR(VLOOKUP(BX344,'Gebinde-Kategorie'!$A$5:$N$45,14,0),0))&gt;0),VLOOKUP(BX344,'Gebinde-Kategorie'!$A$5:$N$45,14,0)*10+Parameter!$M$23,Parameter!$M$24))</f>
        <v>155</v>
      </c>
      <c r="CC344" s="48" t="str">
        <f aca="false">IF(AND(Parameter!$B$19="Ja",E344&lt;&gt;"",ISNUMBER(MATCH(E344,Parameter!$I$35:$I$52,0))),VLOOKUP(E344,Parameter!$I$35:$J$52,2,0),IFERROR(VLOOKUP(D344,Parameter!$A$35:$C$64,2,0),"Nein"))</f>
        <v>2+3</v>
      </c>
      <c r="CD344" s="52" t="n">
        <f aca="false">IF(BZ344=0,0,IF(N(S344)&gt;0,S344,IFERROR(VLOOKUP(D344,Parameter!$A$35:$C$64,3,0)+0,0)))</f>
        <v>0</v>
      </c>
      <c r="CE344" s="48" t="n">
        <f aca="false">IF(AA344&lt;&gt;"",AA344,Z344)</f>
        <v>3</v>
      </c>
      <c r="CF344" s="48" t="str">
        <f aca="false">IF(OR(CE344=1,CE344=2,CE344=3),IF(Parameter!$E$27="Ja","LIFT",IF(CE344=1,"L1","L23")),IF(CE344="Aussen","Aussen","-"))</f>
        <v>LIFT</v>
      </c>
      <c r="CG344" s="59" t="n">
        <f aca="false">IF(N(AB344)&gt;0,AB344,0)</f>
        <v>0</v>
      </c>
      <c r="CH344" s="53" t="n">
        <f aca="false">IF(ISNUMBER(AE344),1,0)</f>
        <v>0</v>
      </c>
      <c r="CI344" s="50" t="n">
        <f aca="false">N(AE344)</f>
        <v>0</v>
      </c>
      <c r="CJ344" s="50" t="n">
        <f aca="false">N(M344)+N(N344)</f>
        <v>5</v>
      </c>
      <c r="CK344" s="50" t="n">
        <f aca="false">N(M344)</f>
        <v>0</v>
      </c>
      <c r="CL344" s="50" t="n">
        <f aca="false">N(N344)</f>
        <v>5</v>
      </c>
      <c r="CM344" s="50" t="n">
        <f aca="false">ROUNDUP(H344/BY344,0)</f>
        <v>1</v>
      </c>
      <c r="CN344" s="50" t="n">
        <f aca="false">ROUNDUP(CI344/BY344,0)</f>
        <v>0</v>
      </c>
      <c r="CO344" s="53" t="n">
        <f aca="false">IF(BZ344=1,0,IFERROR(VLOOKUP(BX344,'Gebinde-Kategorie'!$A$5:$N$45,5,0)+0,0))</f>
        <v>11</v>
      </c>
      <c r="CP344" s="53" t="n">
        <f aca="false">IFERROR(IF(OR(CE344=1,CE344=2,CE344=3),N(INDEX(Parameter!$I$5:$I$7,CE344)),0),0)</f>
        <v>0</v>
      </c>
      <c r="CQ344" s="52" t="n">
        <f aca="false">IF(AND(Parameter!$B$21="Ja",ISNUMBER(W344),N(X344)&gt;0),IFERROR(N(INDEX(Parameter!$L$5:$L$7,W344))*INDEX(Parameter!$E$5:$E$7,W344)*X344/SUMIFS($X$7:$X$1843,$W$7:$W$1843,W344),0),0)</f>
        <v>0</v>
      </c>
    </row>
    <row r="345" customFormat="false" ht="15" hidden="false" customHeight="false" outlineLevel="0" collapsed="false">
      <c r="A345" s="48" t="s">
        <v>855</v>
      </c>
      <c r="B345" s="48" t="s">
        <v>856</v>
      </c>
      <c r="C345" s="48" t="s">
        <v>173</v>
      </c>
      <c r="D345" s="48" t="s">
        <v>193</v>
      </c>
      <c r="E345" s="48" t="s">
        <v>194</v>
      </c>
      <c r="F345" s="48" t="s">
        <v>227</v>
      </c>
      <c r="G345" s="49" t="n">
        <v>32.53</v>
      </c>
      <c r="H345" s="50" t="n">
        <f aca="false">MAX(0,IF(AND(Parameter!$B$21="Ja",ISNUMBER(Y345)),Y345,IF(Parameter!$B$20="Jahresanfang 2025 + Export",BR345+BQ345,BQ345)))</f>
        <v>16</v>
      </c>
      <c r="I345" s="50" t="n">
        <f aca="false">H345*G345</f>
        <v>520.48</v>
      </c>
      <c r="J345" s="50" t="n">
        <f aca="false">BT345*Parameter!$B$18</f>
        <v>20</v>
      </c>
      <c r="K345" s="51" t="n">
        <v>10</v>
      </c>
      <c r="L345" s="52" t="n">
        <v>2</v>
      </c>
      <c r="M345" s="50" t="n">
        <v>0</v>
      </c>
      <c r="N345" s="50" t="n">
        <v>20</v>
      </c>
      <c r="O345" s="53" t="n">
        <v>14</v>
      </c>
      <c r="P345" s="48" t="s">
        <v>311</v>
      </c>
      <c r="Q345" s="50" t="n">
        <v>37</v>
      </c>
      <c r="R345" s="53" t="n">
        <f aca="false">IF(BZ345=1,0,IFERROR(VLOOKUP(BX345,'Gebinde-Kategorie'!$A$5:$N$45,13,0)+0,0))</f>
        <v>26</v>
      </c>
      <c r="S345" s="54"/>
      <c r="T345" s="55"/>
      <c r="U345" s="55"/>
      <c r="V345" s="55"/>
      <c r="W345" s="48"/>
      <c r="X345" s="50"/>
      <c r="Y345" s="50"/>
      <c r="Z345" s="48" t="n">
        <f aca="false">IF(A345="","",IF(AND(Parameter!$B$21="Ja",ISNUMBER(W345)),W345,IF(CC345="2+3",IF(ISNUMBER(SEARCH("grosser Artikel",BU345)),2,IFERROR(VLOOKUP(BX345,Parameter!$F$35:$G$64,2,0),2)),IF(OR(CC345="Nein",CC345=""),"-",CC345))))</f>
        <v>3</v>
      </c>
      <c r="AA345" s="55"/>
      <c r="AB345" s="56"/>
      <c r="AC345" s="50" t="n">
        <f aca="false">AV345</f>
        <v>20</v>
      </c>
      <c r="AD345" s="50" t="n">
        <f aca="false">MAX(AV345,H345)</f>
        <v>20</v>
      </c>
      <c r="AE345" s="57"/>
      <c r="AF345" s="50" t="n">
        <f aca="false">IF(LEFT(Cockpit!$C$5,1)="A",H345,IF(Parameter!$E$30="MAX-Bestand",IF(CH345=1,CI345,IF(LEFT(Cockpit!$C$5,1)="B",AL345,MAX(AL345,H345))),ROUNDUP(AJ345,0)))</f>
        <v>16</v>
      </c>
      <c r="AG345" s="50" t="n">
        <f aca="false">IF(BZ345=1,0,ROUNDUP(AF345/BY345,0))</f>
        <v>1</v>
      </c>
      <c r="AH345" s="52" t="n">
        <f aca="false">IF(CQ345&gt;0,CQ345*MAX(1,AF345/X345),IF(BZ345=1,IF(AF345&lt;=0,0,CD345*MAX(1,IF(H345&gt;0,AF345/H345,1))),IF(R345&gt;0,AG345/R345,0))/MAX(0.1,N(Parameter!$M$21)))</f>
        <v>0.0384615384615385</v>
      </c>
      <c r="AI345" s="50" t="n">
        <f aca="false">AH345*CB345</f>
        <v>5.96153846153846</v>
      </c>
      <c r="AJ345" s="51" t="n">
        <f aca="false">IF(LEFT(Cockpit!$C$5,1)="A",H345,IF(CH345=1,(CK345+CI345)/2,IF(LEFT(Cockpit!$C$5,1)="B",(CK345+AL345)/2,MAX((CK345+AL345)/2,H345))))</f>
        <v>16</v>
      </c>
      <c r="AK345" s="50" t="n">
        <f aca="false">AJ345*G345</f>
        <v>520.48</v>
      </c>
      <c r="AL345" s="50" t="n">
        <f aca="false">ROUNDUP(CK345+MAX(CL345,2*(J345/IF(CG345&gt;0,CG345,MAX(0.1,N(Cockpit!$C$6)))-CK345)),0)</f>
        <v>20</v>
      </c>
      <c r="AM345" s="51" t="n">
        <f aca="false">IF(AI345&gt;0,J345/AI345,-1)</f>
        <v>3.35483870967742</v>
      </c>
      <c r="AN345" s="51" t="n">
        <f aca="false">IF(AND(OR(CF345="L1",CF345="L23",CF345="LIFT"),AI345&gt;0),SUMIFS($AI$7:$AI$1843,$CF$7:$CF$1843,CF345,$AM$7:$AM$1843,"&gt;"&amp;AM345)+SUMIFS($AI$7:$AI$1843,$CF$7:$CF$1843,CF345,$AM$7:$AM$1843,AM345,$BW$7:$BW$1843,"&lt;="&amp;BW345),"")</f>
        <v>4912.36675824176</v>
      </c>
      <c r="AO345" s="58" t="n">
        <f aca="false">IF(AN345="",0,MAX(0,MIN(1,(IF(CF345="L1",Parameter!$H$5,IF(CF345="L23",Parameter!$H$6+Parameter!$H$7,Parameter!$H$5+Parameter!$H$6+Parameter!$H$7))-(AN345-AI345))/AI345)))</f>
        <v>1</v>
      </c>
      <c r="AP345" s="50" t="n">
        <f aca="false">IF(LEFT(Cockpit!$I$5,1)="A",H345,IF(Parameter!$E$30="MAX-Bestand",IF(CH345=1,CI345,IF(LEFT(Cockpit!$I$5,1)="B",AV345,MAX(AV345,H345))),ROUNDUP(AT345,0)))</f>
        <v>16</v>
      </c>
      <c r="AQ345" s="50" t="n">
        <f aca="false">IF(BZ345=1,0,ROUNDUP(AP345/BY345,0))</f>
        <v>1</v>
      </c>
      <c r="AR345" s="52" t="n">
        <f aca="false">IF(CQ345&gt;0,CQ345*MAX(1,AP345/X345),IF(BZ345=1,IF(AP345&lt;=0,0,CD345*MAX(1,IF(H345&gt;0,AP345/H345,1))),IF(R345&gt;0,AQ345/R345,0))/MAX(0.1,N(Parameter!$M$21)))</f>
        <v>0.0384615384615385</v>
      </c>
      <c r="AS345" s="50" t="n">
        <f aca="false">AR345*CB345</f>
        <v>5.96153846153846</v>
      </c>
      <c r="AT345" s="51" t="n">
        <f aca="false">IF(LEFT(Cockpit!$I$5,1)="A",H345,IF(CH345=1,(CK345+CI345)/2,IF(LEFT(Cockpit!$I$5,1)="B",(CK345+AV345)/2,MAX((CK345+AV345)/2,H345))))</f>
        <v>16</v>
      </c>
      <c r="AU345" s="50" t="n">
        <f aca="false">AT345*G345</f>
        <v>520.48</v>
      </c>
      <c r="AV345" s="50" t="n">
        <f aca="false">ROUNDUP(CK345+MAX(CL345,2*(J345/IF(CG345&gt;0,CG345,MAX(0.1,N(Cockpit!$I$6)))-CK345)),0)</f>
        <v>20</v>
      </c>
      <c r="AW345" s="51" t="n">
        <f aca="false">IF(AS345&gt;0,J345/AS345,-1)</f>
        <v>3.35483870967742</v>
      </c>
      <c r="AX345" s="51" t="n">
        <f aca="false">IF(AND(OR(CF345="L1",CF345="L23",CF345="LIFT"),AS345&gt;0),SUMIFS($AS$7:$AS$1843,$CF$7:$CF$1843,CF345,$AW$7:$AW$1843,"&gt;"&amp;AW345)+SUMIFS($AS$7:$AS$1843,$CF$7:$CF$1843,CF345,$AW$7:$AW$1843,AW345,$BW$7:$BW$1843,"&lt;="&amp;BW345),"")</f>
        <v>5576.20375457875</v>
      </c>
      <c r="AY345" s="58" t="n">
        <f aca="false">IF(AX345="",0,MAX(0,MIN(1,(IF(CF345="L1",Parameter!$H$5,IF(CF345="L23",Parameter!$H$6+Parameter!$H$7,Parameter!$H$5+Parameter!$H$6+Parameter!$H$7))-(AX345-AS345))/AS345)))</f>
        <v>1</v>
      </c>
      <c r="AZ345" s="50" t="n">
        <f aca="false">IF(LEFT(Cockpit!$O$5,1)="A",H345,IF(Parameter!$E$30="MAX-Bestand",IF(CH345=1,CI345,IF(LEFT(Cockpit!$O$5,1)="B",BF345,MAX(BF345,H345))),ROUNDUP(BD345,0)))</f>
        <v>10</v>
      </c>
      <c r="BA345" s="50" t="n">
        <f aca="false">IF(BZ345=1,0,ROUNDUP(AZ345/BY345,0))</f>
        <v>1</v>
      </c>
      <c r="BB345" s="52" t="n">
        <f aca="false">IF(CQ345&gt;0,CQ345*MAX(1,AZ345/X345),IF(BZ345=1,IF(AZ345&lt;=0,0,CD345*MAX(1,IF(H345&gt;0,AZ345/H345,1))),IF(R345&gt;0,BA345/R345,0))/MAX(0.1,N(Parameter!$M$21)))</f>
        <v>0.0384615384615385</v>
      </c>
      <c r="BC345" s="50" t="n">
        <f aca="false">BB345*CB345</f>
        <v>5.96153846153846</v>
      </c>
      <c r="BD345" s="51" t="n">
        <f aca="false">IF(LEFT(Cockpit!$O$5,1)="A",H345,IF(CH345=1,(CK345+CI345)/2,IF(LEFT(Cockpit!$O$5,1)="B",(CK345+BF345)/2,MAX((CK345+BF345)/2,H345))))</f>
        <v>10</v>
      </c>
      <c r="BE345" s="50" t="n">
        <f aca="false">BD345*G345</f>
        <v>325.3</v>
      </c>
      <c r="BF345" s="50" t="n">
        <f aca="false">ROUNDUP(CK345+MAX(CL345,2*(J345/IF(CG345&gt;0,CG345,MAX(0.1,N(Cockpit!$O$6)))-CK345)),0)</f>
        <v>20</v>
      </c>
      <c r="BG345" s="51" t="n">
        <f aca="false">IF(BC345&gt;0,J345/BC345,-1)</f>
        <v>3.35483870967742</v>
      </c>
      <c r="BH345" s="51" t="n">
        <f aca="false">IF(AND(OR(CF345="L1",CF345="L23",CF345="LIFT"),BC345&gt;0),SUMIFS($BC$7:$BC$1843,$CF$7:$CF$1843,CF345,$BG$7:$BG$1843,"&gt;"&amp;BG345)+SUMIFS($BC$7:$BC$1843,$CF$7:$CF$1843,CF345,$BG$7:$BG$1843,BG345,$BW$7:$BW$1843,"&lt;="&amp;BW345),"")</f>
        <v>4571.32554945055</v>
      </c>
      <c r="BI345" s="58" t="n">
        <f aca="false">IF(BH345="",0,MAX(0,MIN(1,(IF(CF345="L1",Parameter!$H$5,IF(CF345="L23",Parameter!$H$6+Parameter!$H$7,Parameter!$H$5+Parameter!$H$6+Parameter!$H$7))-(BH345-BC345))/BC345)))</f>
        <v>1</v>
      </c>
      <c r="BJ345" s="48" t="str">
        <f aca="false">IF(AI345&lt;=0,"",IF(CF345="Aussen","Aussenlager",IF(CF345="-","Nicht im Lift",IF(AO345&gt;=1,"Lift",IF(AO345&lt;=0,"Aussenlager","teilweise")))))</f>
        <v>Lift</v>
      </c>
      <c r="BK345" s="48" t="str">
        <f aca="false">IF(AS345&lt;=0,"",IF(CF345="Aussen","Aussenlager",IF(CF345="-","Nicht im Lift",IF(AY345&gt;=1,"Lift",IF(AY345&lt;=0,"Aussenlager","teilweise")))))</f>
        <v>Lift</v>
      </c>
      <c r="BL345" s="48" t="str">
        <f aca="false">IF(BC345&lt;=0,"",IF(CF345="Aussen","Aussenlager",IF(CF345="-","Nicht im Lift",IF(BI345&gt;=1,"Lift",IF(BI345&lt;=0,"Aussenlager","teilweise")))))</f>
        <v>Lift</v>
      </c>
      <c r="BM345" s="48" t="str">
        <f aca="false">IF(A345="","",IF(BV345=1,"Neu; ","")&amp;IF(AND(BV345=0,BQ345&lt;0),"negativer Bestand (Export "&amp;BQ345&amp;"); ","")&amp;IF(J345&lt;=0,"Kein Verbrauch; ","")&amp;IF(CQ345&gt;0,"Lift "&amp;W345&amp;" lt. Liftbericht (Fach "&amp;X345&amp;" Stk); ",IF(CA345=1,"Gebinde geschätzt ("&amp;T345&amp;"); ",IF(BZ345=1,"Lose – Tablare geschätzt; ","")))&amp;IF(H345&gt;AV345,"Überbestand "&amp;ROUND(H345-AV345,0)&amp;" Stk / CHF "&amp;ROUND((H345-AV345)*G345,0)&amp;"; ","")&amp;IF(AND(CH345=1,CI345&lt;CJ345),"MAX &lt; MB+LG; ","")&amp;IF(AND(CP345&gt;0,CO345*10&gt;CP345),"zu hoch für Tablar; ","")&amp;IF(AND(BV345=0,OR(CH345=1,AA345&lt;&gt;"",U345&lt;&gt;"",V345&lt;&gt;"",AB345&lt;&gt;"")),"manuell übersteuert; ","")&amp;IF(AND(BZ345=0,R345=0),"Gebinde unbekannt / Stellmass fehlt; ","")&amp;IF(AND(BZ345=0,N(V345)&lt;=0,N(Q345)&lt;=0),"Menge pro Gebinde fehlt (Ist = 1 Gebinde); ","")&amp;BU345)</f>
        <v/>
      </c>
      <c r="BN345" s="48"/>
      <c r="BO345" s="48"/>
      <c r="BP345" s="55"/>
      <c r="BQ345" s="50" t="n">
        <v>6</v>
      </c>
      <c r="BR345" s="50" t="n">
        <v>10</v>
      </c>
      <c r="BS345" s="49" t="n">
        <v>195.58</v>
      </c>
      <c r="BT345" s="50" t="n">
        <v>20</v>
      </c>
      <c r="BU345" s="48"/>
      <c r="BV345" s="53" t="n">
        <v>0</v>
      </c>
      <c r="BW345" s="53" t="n">
        <v>345</v>
      </c>
      <c r="BX345" s="48" t="str">
        <f aca="false">IF(U345&lt;&gt;"",UPPER(TRIM(U345)),IF(CA345=1,UPPER(VLOOKUP(T345,Parameter!$I$27:$K$29,2,0)),IF(P345="","LOSE",P345)))</f>
        <v>S51</v>
      </c>
      <c r="BY345" s="50" t="n">
        <f aca="false">IF(BX345="LOSE",1,IF(N(V345)&gt;0,V345,IF(CA345=1,MAX(1,N(VLOOKUP(T345,Parameter!$I$27:$K$29,3,0)),H345,N(N345)),IF(N(Q345)&gt;0,Q345,MAX(1,H345)))))</f>
        <v>37</v>
      </c>
      <c r="BZ345" s="53" t="n">
        <f aca="false">IF(BX345="LOSE",1,0)</f>
        <v>0</v>
      </c>
      <c r="CA345" s="53" t="n">
        <f aca="false">IF(AND(U345="",OR(P345="",P345="LOSE"),T345&lt;&gt;"",N(S345)&lt;=0,ISNUMBER(MATCH(T345,Parameter!$I$27:$I$29,0))),1,0)</f>
        <v>0</v>
      </c>
      <c r="CB345" s="53" t="n">
        <f aca="false">IF(CQ345&gt;0,INDEX(Parameter!$H$5:$H$7,W345)/INDEX(Parameter!$E$5:$E$7,W345),IF(AND(BZ345=0,N(IFERROR(VLOOKUP(BX345,'Gebinde-Kategorie'!$A$5:$N$45,14,0),0))&gt;0),VLOOKUP(BX345,'Gebinde-Kategorie'!$A$5:$N$45,14,0)*10+Parameter!$M$23,Parameter!$M$24))</f>
        <v>155</v>
      </c>
      <c r="CC345" s="48" t="str">
        <f aca="false">IF(AND(Parameter!$B$19="Ja",E345&lt;&gt;"",ISNUMBER(MATCH(E345,Parameter!$I$35:$I$52,0))),VLOOKUP(E345,Parameter!$I$35:$J$52,2,0),IFERROR(VLOOKUP(D345,Parameter!$A$35:$C$64,2,0),"Nein"))</f>
        <v>2+3</v>
      </c>
      <c r="CD345" s="52" t="n">
        <f aca="false">IF(BZ345=0,0,IF(N(S345)&gt;0,S345,IFERROR(VLOOKUP(D345,Parameter!$A$35:$C$64,3,0)+0,0)))</f>
        <v>0</v>
      </c>
      <c r="CE345" s="48" t="n">
        <f aca="false">IF(AA345&lt;&gt;"",AA345,Z345)</f>
        <v>3</v>
      </c>
      <c r="CF345" s="48" t="str">
        <f aca="false">IF(OR(CE345=1,CE345=2,CE345=3),IF(Parameter!$E$27="Ja","LIFT",IF(CE345=1,"L1","L23")),IF(CE345="Aussen","Aussen","-"))</f>
        <v>LIFT</v>
      </c>
      <c r="CG345" s="59" t="n">
        <f aca="false">IF(N(AB345)&gt;0,AB345,0)</f>
        <v>0</v>
      </c>
      <c r="CH345" s="53" t="n">
        <f aca="false">IF(ISNUMBER(AE345),1,0)</f>
        <v>0</v>
      </c>
      <c r="CI345" s="50" t="n">
        <f aca="false">N(AE345)</f>
        <v>0</v>
      </c>
      <c r="CJ345" s="50" t="n">
        <f aca="false">N(M345)+N(N345)</f>
        <v>20</v>
      </c>
      <c r="CK345" s="50" t="n">
        <f aca="false">N(M345)</f>
        <v>0</v>
      </c>
      <c r="CL345" s="50" t="n">
        <f aca="false">N(N345)</f>
        <v>20</v>
      </c>
      <c r="CM345" s="50" t="n">
        <f aca="false">ROUNDUP(H345/BY345,0)</f>
        <v>1</v>
      </c>
      <c r="CN345" s="50" t="n">
        <f aca="false">ROUNDUP(CI345/BY345,0)</f>
        <v>0</v>
      </c>
      <c r="CO345" s="53" t="n">
        <f aca="false">IF(BZ345=1,0,IFERROR(VLOOKUP(BX345,'Gebinde-Kategorie'!$A$5:$N$45,5,0)+0,0))</f>
        <v>11</v>
      </c>
      <c r="CP345" s="53" t="n">
        <f aca="false">IFERROR(IF(OR(CE345=1,CE345=2,CE345=3),N(INDEX(Parameter!$I$5:$I$7,CE345)),0),0)</f>
        <v>0</v>
      </c>
      <c r="CQ345" s="52" t="n">
        <f aca="false">IF(AND(Parameter!$B$21="Ja",ISNUMBER(W345),N(X345)&gt;0),IFERROR(N(INDEX(Parameter!$L$5:$L$7,W345))*INDEX(Parameter!$E$5:$E$7,W345)*X345/SUMIFS($X$7:$X$1843,$W$7:$W$1843,W345),0),0)</f>
        <v>0</v>
      </c>
    </row>
    <row r="346" customFormat="false" ht="15" hidden="false" customHeight="false" outlineLevel="0" collapsed="false">
      <c r="A346" s="48" t="s">
        <v>857</v>
      </c>
      <c r="B346" s="48" t="s">
        <v>858</v>
      </c>
      <c r="C346" s="48" t="s">
        <v>173</v>
      </c>
      <c r="D346" s="48" t="s">
        <v>859</v>
      </c>
      <c r="E346" s="48"/>
      <c r="F346" s="48" t="s">
        <v>227</v>
      </c>
      <c r="G346" s="49" t="n">
        <v>32.1</v>
      </c>
      <c r="H346" s="50" t="n">
        <f aca="false">MAX(0,IF(AND(Parameter!$B$21="Ja",ISNUMBER(Y346)),Y346,IF(Parameter!$B$20="Jahresanfang 2025 + Export",BR346+BQ346,BQ346)))</f>
        <v>6</v>
      </c>
      <c r="I346" s="50" t="n">
        <f aca="false">H346*G346</f>
        <v>192.6</v>
      </c>
      <c r="J346" s="50" t="n">
        <f aca="false">BT346*Parameter!$B$18</f>
        <v>6</v>
      </c>
      <c r="K346" s="51" t="n">
        <v>0</v>
      </c>
      <c r="L346" s="52" t="n">
        <v>0</v>
      </c>
      <c r="M346" s="50" t="n">
        <v>0</v>
      </c>
      <c r="N346" s="50" t="n">
        <v>6</v>
      </c>
      <c r="O346" s="53" t="n">
        <v>14</v>
      </c>
      <c r="P346" s="48" t="s">
        <v>177</v>
      </c>
      <c r="Q346" s="50"/>
      <c r="R346" s="53" t="n">
        <f aca="false">IF(BZ346=1,0,IFERROR(VLOOKUP(BX346,'Gebinde-Kategorie'!$A$5:$N$45,13,0)+0,0))</f>
        <v>0</v>
      </c>
      <c r="S346" s="54"/>
      <c r="T346" s="55"/>
      <c r="U346" s="55"/>
      <c r="V346" s="55"/>
      <c r="W346" s="48"/>
      <c r="X346" s="50"/>
      <c r="Y346" s="50"/>
      <c r="Z346" s="48" t="str">
        <f aca="false">IF(A346="","",IF(AND(Parameter!$B$21="Ja",ISNUMBER(W346)),W346,IF(CC346="2+3",IF(ISNUMBER(SEARCH("grosser Artikel",BU346)),2,IFERROR(VLOOKUP(BX346,Parameter!$F$35:$G$64,2,0),2)),IF(OR(CC346="Nein",CC346=""),"-",CC346))))</f>
        <v>-</v>
      </c>
      <c r="AA346" s="55"/>
      <c r="AB346" s="56"/>
      <c r="AC346" s="50" t="n">
        <f aca="false">AV346</f>
        <v>6</v>
      </c>
      <c r="AD346" s="50" t="n">
        <f aca="false">MAX(AV346,H346)</f>
        <v>6</v>
      </c>
      <c r="AE346" s="57"/>
      <c r="AF346" s="50" t="n">
        <f aca="false">IF(LEFT(Cockpit!$C$5,1)="A",H346,IF(Parameter!$E$30="MAX-Bestand",IF(CH346=1,CI346,IF(LEFT(Cockpit!$C$5,1)="B",AL346,MAX(AL346,H346))),ROUNDUP(AJ346,0)))</f>
        <v>6</v>
      </c>
      <c r="AG346" s="50" t="n">
        <f aca="false">IF(BZ346=1,0,ROUNDUP(AF346/BY346,0))</f>
        <v>0</v>
      </c>
      <c r="AH346" s="52" t="n">
        <f aca="false">IF(CQ346&gt;0,CQ346*MAX(1,AF346/X346),IF(BZ346=1,IF(AF346&lt;=0,0,CD346*MAX(1,IF(H346&gt;0,AF346/H346,1))),IF(R346&gt;0,AG346/R346,0))/MAX(0.1,N(Parameter!$M$21)))</f>
        <v>0.15</v>
      </c>
      <c r="AI346" s="50" t="n">
        <f aca="false">AH346*CB346</f>
        <v>35.25</v>
      </c>
      <c r="AJ346" s="51" t="n">
        <f aca="false">IF(LEFT(Cockpit!$C$5,1)="A",H346,IF(CH346=1,(CK346+CI346)/2,IF(LEFT(Cockpit!$C$5,1)="B",(CK346+AL346)/2,MAX((CK346+AL346)/2,H346))))</f>
        <v>6</v>
      </c>
      <c r="AK346" s="50" t="n">
        <f aca="false">AJ346*G346</f>
        <v>192.6</v>
      </c>
      <c r="AL346" s="50" t="n">
        <f aca="false">ROUNDUP(CK346+MAX(CL346,2*(J346/IF(CG346&gt;0,CG346,MAX(0.1,N(Cockpit!$C$6)))-CK346)),0)</f>
        <v>6</v>
      </c>
      <c r="AM346" s="51" t="n">
        <f aca="false">IF(AI346&gt;0,J346/AI346,-1)</f>
        <v>0.170212765957447</v>
      </c>
      <c r="AN346" s="51" t="str">
        <f aca="false">IF(AND(OR(CF346="L1",CF346="L23",CF346="LIFT"),AI346&gt;0),SUMIFS($AI$7:$AI$1843,$CF$7:$CF$1843,CF346,$AM$7:$AM$1843,"&gt;"&amp;AM346)+SUMIFS($AI$7:$AI$1843,$CF$7:$CF$1843,CF346,$AM$7:$AM$1843,AM346,$BW$7:$BW$1843,"&lt;="&amp;BW346),"")</f>
        <v/>
      </c>
      <c r="AO346" s="58" t="n">
        <f aca="false">IF(AN346="",0,MAX(0,MIN(1,(IF(CF346="L1",Parameter!$H$5,IF(CF346="L23",Parameter!$H$6+Parameter!$H$7,Parameter!$H$5+Parameter!$H$6+Parameter!$H$7))-(AN346-AI346))/AI346)))</f>
        <v>0</v>
      </c>
      <c r="AP346" s="50" t="n">
        <f aca="false">IF(LEFT(Cockpit!$I$5,1)="A",H346,IF(Parameter!$E$30="MAX-Bestand",IF(CH346=1,CI346,IF(LEFT(Cockpit!$I$5,1)="B",AV346,MAX(AV346,H346))),ROUNDUP(AT346,0)))</f>
        <v>6</v>
      </c>
      <c r="AQ346" s="50" t="n">
        <f aca="false">IF(BZ346=1,0,ROUNDUP(AP346/BY346,0))</f>
        <v>0</v>
      </c>
      <c r="AR346" s="52" t="n">
        <f aca="false">IF(CQ346&gt;0,CQ346*MAX(1,AP346/X346),IF(BZ346=1,IF(AP346&lt;=0,0,CD346*MAX(1,IF(H346&gt;0,AP346/H346,1))),IF(R346&gt;0,AQ346/R346,0))/MAX(0.1,N(Parameter!$M$21)))</f>
        <v>0.15</v>
      </c>
      <c r="AS346" s="50" t="n">
        <f aca="false">AR346*CB346</f>
        <v>35.25</v>
      </c>
      <c r="AT346" s="51" t="n">
        <f aca="false">IF(LEFT(Cockpit!$I$5,1)="A",H346,IF(CH346=1,(CK346+CI346)/2,IF(LEFT(Cockpit!$I$5,1)="B",(CK346+AV346)/2,MAX((CK346+AV346)/2,H346))))</f>
        <v>6</v>
      </c>
      <c r="AU346" s="50" t="n">
        <f aca="false">AT346*G346</f>
        <v>192.6</v>
      </c>
      <c r="AV346" s="50" t="n">
        <f aca="false">ROUNDUP(CK346+MAX(CL346,2*(J346/IF(CG346&gt;0,CG346,MAX(0.1,N(Cockpit!$I$6)))-CK346)),0)</f>
        <v>6</v>
      </c>
      <c r="AW346" s="51" t="n">
        <f aca="false">IF(AS346&gt;0,J346/AS346,-1)</f>
        <v>0.170212765957447</v>
      </c>
      <c r="AX346" s="51" t="str">
        <f aca="false">IF(AND(OR(CF346="L1",CF346="L23",CF346="LIFT"),AS346&gt;0),SUMIFS($AS$7:$AS$1843,$CF$7:$CF$1843,CF346,$AW$7:$AW$1843,"&gt;"&amp;AW346)+SUMIFS($AS$7:$AS$1843,$CF$7:$CF$1843,CF346,$AW$7:$AW$1843,AW346,$BW$7:$BW$1843,"&lt;="&amp;BW346),"")</f>
        <v/>
      </c>
      <c r="AY346" s="58" t="n">
        <f aca="false">IF(AX346="",0,MAX(0,MIN(1,(IF(CF346="L1",Parameter!$H$5,IF(CF346="L23",Parameter!$H$6+Parameter!$H$7,Parameter!$H$5+Parameter!$H$6+Parameter!$H$7))-(AX346-AS346))/AS346)))</f>
        <v>0</v>
      </c>
      <c r="AZ346" s="50" t="n">
        <f aca="false">IF(LEFT(Cockpit!$O$5,1)="A",H346,IF(Parameter!$E$30="MAX-Bestand",IF(CH346=1,CI346,IF(LEFT(Cockpit!$O$5,1)="B",BF346,MAX(BF346,H346))),ROUNDUP(BD346,0)))</f>
        <v>3</v>
      </c>
      <c r="BA346" s="50" t="n">
        <f aca="false">IF(BZ346=1,0,ROUNDUP(AZ346/BY346,0))</f>
        <v>0</v>
      </c>
      <c r="BB346" s="52" t="n">
        <f aca="false">IF(CQ346&gt;0,CQ346*MAX(1,AZ346/X346),IF(BZ346=1,IF(AZ346&lt;=0,0,CD346*MAX(1,IF(H346&gt;0,AZ346/H346,1))),IF(R346&gt;0,BA346/R346,0))/MAX(0.1,N(Parameter!$M$21)))</f>
        <v>0.15</v>
      </c>
      <c r="BC346" s="50" t="n">
        <f aca="false">BB346*CB346</f>
        <v>35.25</v>
      </c>
      <c r="BD346" s="51" t="n">
        <f aca="false">IF(LEFT(Cockpit!$O$5,1)="A",H346,IF(CH346=1,(CK346+CI346)/2,IF(LEFT(Cockpit!$O$5,1)="B",(CK346+BF346)/2,MAX((CK346+BF346)/2,H346))))</f>
        <v>3</v>
      </c>
      <c r="BE346" s="50" t="n">
        <f aca="false">BD346*G346</f>
        <v>96.3</v>
      </c>
      <c r="BF346" s="50" t="n">
        <f aca="false">ROUNDUP(CK346+MAX(CL346,2*(J346/IF(CG346&gt;0,CG346,MAX(0.1,N(Cockpit!$O$6)))-CK346)),0)</f>
        <v>6</v>
      </c>
      <c r="BG346" s="51" t="n">
        <f aca="false">IF(BC346&gt;0,J346/BC346,-1)</f>
        <v>0.170212765957447</v>
      </c>
      <c r="BH346" s="51" t="str">
        <f aca="false">IF(AND(OR(CF346="L1",CF346="L23",CF346="LIFT"),BC346&gt;0),SUMIFS($BC$7:$BC$1843,$CF$7:$CF$1843,CF346,$BG$7:$BG$1843,"&gt;"&amp;BG346)+SUMIFS($BC$7:$BC$1843,$CF$7:$CF$1843,CF346,$BG$7:$BG$1843,BG346,$BW$7:$BW$1843,"&lt;="&amp;BW346),"")</f>
        <v/>
      </c>
      <c r="BI346" s="58" t="n">
        <f aca="false">IF(BH346="",0,MAX(0,MIN(1,(IF(CF346="L1",Parameter!$H$5,IF(CF346="L23",Parameter!$H$6+Parameter!$H$7,Parameter!$H$5+Parameter!$H$6+Parameter!$H$7))-(BH346-BC346))/BC346)))</f>
        <v>0</v>
      </c>
      <c r="BJ346" s="48" t="str">
        <f aca="false">IF(AI346&lt;=0,"",IF(CF346="Aussen","Aussenlager",IF(CF346="-","Nicht im Lift",IF(AO346&gt;=1,"Lift",IF(AO346&lt;=0,"Aussenlager","teilweise")))))</f>
        <v>Nicht im Lift</v>
      </c>
      <c r="BK346" s="48" t="str">
        <f aca="false">IF(AS346&lt;=0,"",IF(CF346="Aussen","Aussenlager",IF(CF346="-","Nicht im Lift",IF(AY346&gt;=1,"Lift",IF(AY346&lt;=0,"Aussenlager","teilweise")))))</f>
        <v>Nicht im Lift</v>
      </c>
      <c r="BL346" s="48" t="str">
        <f aca="false">IF(BC346&lt;=0,"",IF(CF346="Aussen","Aussenlager",IF(CF346="-","Nicht im Lift",IF(BI346&gt;=1,"Lift",IF(BI346&lt;=0,"Aussenlager","teilweise")))))</f>
        <v>Nicht im Lift</v>
      </c>
      <c r="BM346" s="48" t="str">
        <f aca="false">IF(A346="","",IF(BV346=1,"Neu; ","")&amp;IF(AND(BV346=0,BQ346&lt;0),"negativer Bestand (Export "&amp;BQ346&amp;"); ","")&amp;IF(J346&lt;=0,"Kein Verbrauch; ","")&amp;IF(CQ346&gt;0,"Lift "&amp;W346&amp;" lt. Liftbericht (Fach "&amp;X346&amp;" Stk); ",IF(CA346=1,"Gebinde geschätzt ("&amp;T346&amp;"); ",IF(BZ346=1,"Lose – Tablare geschätzt; ","")))&amp;IF(H346&gt;AV346,"Überbestand "&amp;ROUND(H346-AV346,0)&amp;" Stk / CHF "&amp;ROUND((H346-AV346)*G346,0)&amp;"; ","")&amp;IF(AND(CH346=1,CI346&lt;CJ346),"MAX &lt; MB+LG; ","")&amp;IF(AND(CP346&gt;0,CO346*10&gt;CP346),"zu hoch für Tablar; ","")&amp;IF(AND(BV346=0,OR(CH346=1,AA346&lt;&gt;"",U346&lt;&gt;"",V346&lt;&gt;"",AB346&lt;&gt;"")),"manuell übersteuert; ","")&amp;IF(AND(BZ346=0,R346=0),"Gebinde unbekannt / Stellmass fehlt; ","")&amp;IF(AND(BZ346=0,N(V346)&lt;=0,N(Q346)&lt;=0),"Menge pro Gebinde fehlt (Ist = 1 Gebinde); ","")&amp;BU346)</f>
        <v>Lose – Tablare geschätzt; </v>
      </c>
      <c r="BN346" s="48"/>
      <c r="BO346" s="48"/>
      <c r="BP346" s="55"/>
      <c r="BQ346" s="50" t="n">
        <v>6</v>
      </c>
      <c r="BR346" s="50" t="n">
        <v>0</v>
      </c>
      <c r="BS346" s="49" t="n">
        <v>192.6</v>
      </c>
      <c r="BT346" s="50" t="n">
        <v>6</v>
      </c>
      <c r="BU346" s="48"/>
      <c r="BV346" s="53" t="n">
        <v>0</v>
      </c>
      <c r="BW346" s="53" t="n">
        <v>346</v>
      </c>
      <c r="BX346" s="48" t="str">
        <f aca="false">IF(U346&lt;&gt;"",UPPER(TRIM(U346)),IF(CA346=1,UPPER(VLOOKUP(T346,Parameter!$I$27:$K$29,2,0)),IF(P346="","LOSE",P346)))</f>
        <v>LOSE</v>
      </c>
      <c r="BY346" s="50" t="n">
        <f aca="false">IF(BX346="LOSE",1,IF(N(V346)&gt;0,V346,IF(CA346=1,MAX(1,N(VLOOKUP(T346,Parameter!$I$27:$K$29,3,0)),H346,N(N346)),IF(N(Q346)&gt;0,Q346,MAX(1,H346)))))</f>
        <v>1</v>
      </c>
      <c r="BZ346" s="53" t="n">
        <f aca="false">IF(BX346="LOSE",1,0)</f>
        <v>1</v>
      </c>
      <c r="CA346" s="53" t="n">
        <f aca="false">IF(AND(U346="",OR(P346="",P346="LOSE"),T346&lt;&gt;"",N(S346)&lt;=0,ISNUMBER(MATCH(T346,Parameter!$I$27:$I$29,0))),1,0)</f>
        <v>0</v>
      </c>
      <c r="CB346" s="53" t="n">
        <f aca="false">IF(CQ346&gt;0,INDEX(Parameter!$H$5:$H$7,W346)/INDEX(Parameter!$E$5:$E$7,W346),IF(AND(BZ346=0,N(IFERROR(VLOOKUP(BX346,'Gebinde-Kategorie'!$A$5:$N$45,14,0),0))&gt;0),VLOOKUP(BX346,'Gebinde-Kategorie'!$A$5:$N$45,14,0)*10+Parameter!$M$23,Parameter!$M$24))</f>
        <v>235</v>
      </c>
      <c r="CC346" s="48" t="str">
        <f aca="false">IF(AND(Parameter!$B$19="Ja",E346&lt;&gt;"",ISNUMBER(MATCH(E346,Parameter!$I$35:$I$52,0))),VLOOKUP(E346,Parameter!$I$35:$J$52,2,0),IFERROR(VLOOKUP(D346,Parameter!$A$35:$C$64,2,0),"Nein"))</f>
        <v>Nein</v>
      </c>
      <c r="CD346" s="52" t="n">
        <f aca="false">IF(BZ346=0,0,IF(N(S346)&gt;0,S346,IFERROR(VLOOKUP(D346,Parameter!$A$35:$C$64,3,0)+0,0)))</f>
        <v>0.15</v>
      </c>
      <c r="CE346" s="48" t="str">
        <f aca="false">IF(AA346&lt;&gt;"",AA346,Z346)</f>
        <v>-</v>
      </c>
      <c r="CF346" s="48" t="str">
        <f aca="false">IF(OR(CE346=1,CE346=2,CE346=3),IF(Parameter!$E$27="Ja","LIFT",IF(CE346=1,"L1","L23")),IF(CE346="Aussen","Aussen","-"))</f>
        <v>-</v>
      </c>
      <c r="CG346" s="59" t="n">
        <f aca="false">IF(N(AB346)&gt;0,AB346,0)</f>
        <v>0</v>
      </c>
      <c r="CH346" s="53" t="n">
        <f aca="false">IF(ISNUMBER(AE346),1,0)</f>
        <v>0</v>
      </c>
      <c r="CI346" s="50" t="n">
        <f aca="false">N(AE346)</f>
        <v>0</v>
      </c>
      <c r="CJ346" s="50" t="n">
        <f aca="false">N(M346)+N(N346)</f>
        <v>6</v>
      </c>
      <c r="CK346" s="50" t="n">
        <f aca="false">N(M346)</f>
        <v>0</v>
      </c>
      <c r="CL346" s="50" t="n">
        <f aca="false">N(N346)</f>
        <v>6</v>
      </c>
      <c r="CM346" s="50" t="n">
        <f aca="false">ROUNDUP(H346/BY346,0)</f>
        <v>6</v>
      </c>
      <c r="CN346" s="50" t="n">
        <f aca="false">ROUNDUP(CI346/BY346,0)</f>
        <v>0</v>
      </c>
      <c r="CO346" s="53" t="n">
        <f aca="false">IF(BZ346=1,0,IFERROR(VLOOKUP(BX346,'Gebinde-Kategorie'!$A$5:$N$45,5,0)+0,0))</f>
        <v>0</v>
      </c>
      <c r="CP346" s="53" t="n">
        <f aca="false">IFERROR(IF(OR(CE346=1,CE346=2,CE346=3),N(INDEX(Parameter!$I$5:$I$7,CE346)),0),0)</f>
        <v>0</v>
      </c>
      <c r="CQ346" s="52" t="n">
        <f aca="false">IF(AND(Parameter!$B$21="Ja",ISNUMBER(W346),N(X346)&gt;0),IFERROR(N(INDEX(Parameter!$L$5:$L$7,W346))*INDEX(Parameter!$E$5:$E$7,W346)*X346/SUMIFS($X$7:$X$1843,$W$7:$W$1843,W346),0),0)</f>
        <v>0</v>
      </c>
    </row>
    <row r="347" customFormat="false" ht="15" hidden="false" customHeight="false" outlineLevel="0" collapsed="false">
      <c r="A347" s="48" t="s">
        <v>860</v>
      </c>
      <c r="B347" s="48" t="s">
        <v>861</v>
      </c>
      <c r="C347" s="48" t="s">
        <v>173</v>
      </c>
      <c r="D347" s="48" t="s">
        <v>193</v>
      </c>
      <c r="E347" s="48" t="s">
        <v>194</v>
      </c>
      <c r="F347" s="48" t="s">
        <v>227</v>
      </c>
      <c r="G347" s="49" t="n">
        <v>5.4</v>
      </c>
      <c r="H347" s="50" t="n">
        <f aca="false">MAX(0,IF(AND(Parameter!$B$21="Ja",ISNUMBER(Y347)),Y347,IF(Parameter!$B$20="Jahresanfang 2025 + Export",BR347+BQ347,BQ347)))</f>
        <v>47</v>
      </c>
      <c r="I347" s="50" t="n">
        <f aca="false">H347*G347</f>
        <v>253.8</v>
      </c>
      <c r="J347" s="50" t="n">
        <f aca="false">BT347*Parameter!$B$18</f>
        <v>50</v>
      </c>
      <c r="K347" s="51" t="n">
        <v>11</v>
      </c>
      <c r="L347" s="52" t="n">
        <v>4.54545454545455</v>
      </c>
      <c r="M347" s="50" t="n">
        <v>1</v>
      </c>
      <c r="N347" s="50" t="n">
        <v>50</v>
      </c>
      <c r="O347" s="53" t="n">
        <v>14</v>
      </c>
      <c r="P347" s="48" t="s">
        <v>311</v>
      </c>
      <c r="Q347" s="50" t="n">
        <v>30</v>
      </c>
      <c r="R347" s="53" t="n">
        <f aca="false">IF(BZ347=1,0,IFERROR(VLOOKUP(BX347,'Gebinde-Kategorie'!$A$5:$N$45,13,0)+0,0))</f>
        <v>26</v>
      </c>
      <c r="S347" s="54"/>
      <c r="T347" s="55"/>
      <c r="U347" s="55"/>
      <c r="V347" s="55"/>
      <c r="W347" s="48"/>
      <c r="X347" s="50"/>
      <c r="Y347" s="50"/>
      <c r="Z347" s="48" t="n">
        <f aca="false">IF(A347="","",IF(AND(Parameter!$B$21="Ja",ISNUMBER(W347)),W347,IF(CC347="2+3",IF(ISNUMBER(SEARCH("grosser Artikel",BU347)),2,IFERROR(VLOOKUP(BX347,Parameter!$F$35:$G$64,2,0),2)),IF(OR(CC347="Nein",CC347=""),"-",CC347))))</f>
        <v>3</v>
      </c>
      <c r="AA347" s="55"/>
      <c r="AB347" s="56"/>
      <c r="AC347" s="50" t="n">
        <f aca="false">AV347</f>
        <v>51</v>
      </c>
      <c r="AD347" s="50" t="n">
        <f aca="false">MAX(AV347,H347)</f>
        <v>51</v>
      </c>
      <c r="AE347" s="57"/>
      <c r="AF347" s="50" t="n">
        <f aca="false">IF(LEFT(Cockpit!$C$5,1)="A",H347,IF(Parameter!$E$30="MAX-Bestand",IF(CH347=1,CI347,IF(LEFT(Cockpit!$C$5,1)="B",AL347,MAX(AL347,H347))),ROUNDUP(AJ347,0)))</f>
        <v>47</v>
      </c>
      <c r="AG347" s="50" t="n">
        <f aca="false">IF(BZ347=1,0,ROUNDUP(AF347/BY347,0))</f>
        <v>2</v>
      </c>
      <c r="AH347" s="52" t="n">
        <f aca="false">IF(CQ347&gt;0,CQ347*MAX(1,AF347/X347),IF(BZ347=1,IF(AF347&lt;=0,0,CD347*MAX(1,IF(H347&gt;0,AF347/H347,1))),IF(R347&gt;0,AG347/R347,0))/MAX(0.1,N(Parameter!$M$21)))</f>
        <v>0.0769230769230769</v>
      </c>
      <c r="AI347" s="50" t="n">
        <f aca="false">AH347*CB347</f>
        <v>11.9230769230769</v>
      </c>
      <c r="AJ347" s="51" t="n">
        <f aca="false">IF(LEFT(Cockpit!$C$5,1)="A",H347,IF(CH347=1,(CK347+CI347)/2,IF(LEFT(Cockpit!$C$5,1)="B",(CK347+AL347)/2,MAX((CK347+AL347)/2,H347))))</f>
        <v>47</v>
      </c>
      <c r="AK347" s="50" t="n">
        <f aca="false">AJ347*G347</f>
        <v>253.8</v>
      </c>
      <c r="AL347" s="50" t="n">
        <f aca="false">ROUNDUP(CK347+MAX(CL347,2*(J347/IF(CG347&gt;0,CG347,MAX(0.1,N(Cockpit!$C$6)))-CK347)),0)</f>
        <v>51</v>
      </c>
      <c r="AM347" s="51" t="n">
        <f aca="false">IF(AI347&gt;0,J347/AI347,-1)</f>
        <v>4.19354838709677</v>
      </c>
      <c r="AN347" s="51" t="n">
        <f aca="false">IF(AND(OR(CF347="L1",CF347="L23",CF347="LIFT"),AI347&gt;0),SUMIFS($AI$7:$AI$1843,$CF$7:$CF$1843,CF347,$AM$7:$AM$1843,"&gt;"&amp;AM347)+SUMIFS($AI$7:$AI$1843,$CF$7:$CF$1843,CF347,$AM$7:$AM$1843,AM347,$BW$7:$BW$1843,"&lt;="&amp;BW347),"")</f>
        <v>4198.4967948718</v>
      </c>
      <c r="AO347" s="58" t="n">
        <f aca="false">IF(AN347="",0,MAX(0,MIN(1,(IF(CF347="L1",Parameter!$H$5,IF(CF347="L23",Parameter!$H$6+Parameter!$H$7,Parameter!$H$5+Parameter!$H$6+Parameter!$H$7))-(AN347-AI347))/AI347)))</f>
        <v>1</v>
      </c>
      <c r="AP347" s="50" t="n">
        <f aca="false">IF(LEFT(Cockpit!$I$5,1)="A",H347,IF(Parameter!$E$30="MAX-Bestand",IF(CH347=1,CI347,IF(LEFT(Cockpit!$I$5,1)="B",AV347,MAX(AV347,H347))),ROUNDUP(AT347,0)))</f>
        <v>47</v>
      </c>
      <c r="AQ347" s="50" t="n">
        <f aca="false">IF(BZ347=1,0,ROUNDUP(AP347/BY347,0))</f>
        <v>2</v>
      </c>
      <c r="AR347" s="52" t="n">
        <f aca="false">IF(CQ347&gt;0,CQ347*MAX(1,AP347/X347),IF(BZ347=1,IF(AP347&lt;=0,0,CD347*MAX(1,IF(H347&gt;0,AP347/H347,1))),IF(R347&gt;0,AQ347/R347,0))/MAX(0.1,N(Parameter!$M$21)))</f>
        <v>0.0769230769230769</v>
      </c>
      <c r="AS347" s="50" t="n">
        <f aca="false">AR347*CB347</f>
        <v>11.9230769230769</v>
      </c>
      <c r="AT347" s="51" t="n">
        <f aca="false">IF(LEFT(Cockpit!$I$5,1)="A",H347,IF(CH347=1,(CK347+CI347)/2,IF(LEFT(Cockpit!$I$5,1)="B",(CK347+AV347)/2,MAX((CK347+AV347)/2,H347))))</f>
        <v>47</v>
      </c>
      <c r="AU347" s="50" t="n">
        <f aca="false">AT347*G347</f>
        <v>253.8</v>
      </c>
      <c r="AV347" s="50" t="n">
        <f aca="false">ROUNDUP(CK347+MAX(CL347,2*(J347/IF(CG347&gt;0,CG347,MAX(0.1,N(Cockpit!$I$6)))-CK347)),0)</f>
        <v>51</v>
      </c>
      <c r="AW347" s="51" t="n">
        <f aca="false">IF(AS347&gt;0,J347/AS347,-1)</f>
        <v>4.19354838709677</v>
      </c>
      <c r="AX347" s="51" t="n">
        <f aca="false">IF(AND(OR(CF347="L1",CF347="L23",CF347="LIFT"),AS347&gt;0),SUMIFS($AS$7:$AS$1843,$CF$7:$CF$1843,CF347,$AW$7:$AW$1843,"&gt;"&amp;AW347)+SUMIFS($AS$7:$AS$1843,$CF$7:$CF$1843,CF347,$AW$7:$AW$1843,AW347,$BW$7:$BW$1843,"&lt;="&amp;BW347),"")</f>
        <v>4823.48763736264</v>
      </c>
      <c r="AY347" s="58" t="n">
        <f aca="false">IF(AX347="",0,MAX(0,MIN(1,(IF(CF347="L1",Parameter!$H$5,IF(CF347="L23",Parameter!$H$6+Parameter!$H$7,Parameter!$H$5+Parameter!$H$6+Parameter!$H$7))-(AX347-AS347))/AS347)))</f>
        <v>1</v>
      </c>
      <c r="AZ347" s="50" t="n">
        <f aca="false">IF(LEFT(Cockpit!$O$5,1)="A",H347,IF(Parameter!$E$30="MAX-Bestand",IF(CH347=1,CI347,IF(LEFT(Cockpit!$O$5,1)="B",BF347,MAX(BF347,H347))),ROUNDUP(BD347,0)))</f>
        <v>26</v>
      </c>
      <c r="BA347" s="50" t="n">
        <f aca="false">IF(BZ347=1,0,ROUNDUP(AZ347/BY347,0))</f>
        <v>1</v>
      </c>
      <c r="BB347" s="52" t="n">
        <f aca="false">IF(CQ347&gt;0,CQ347*MAX(1,AZ347/X347),IF(BZ347=1,IF(AZ347&lt;=0,0,CD347*MAX(1,IF(H347&gt;0,AZ347/H347,1))),IF(R347&gt;0,BA347/R347,0))/MAX(0.1,N(Parameter!$M$21)))</f>
        <v>0.0384615384615385</v>
      </c>
      <c r="BC347" s="50" t="n">
        <f aca="false">BB347*CB347</f>
        <v>5.96153846153846</v>
      </c>
      <c r="BD347" s="51" t="n">
        <f aca="false">IF(LEFT(Cockpit!$O$5,1)="A",H347,IF(CH347=1,(CK347+CI347)/2,IF(LEFT(Cockpit!$O$5,1)="B",(CK347+BF347)/2,MAX((CK347+BF347)/2,H347))))</f>
        <v>26</v>
      </c>
      <c r="BE347" s="50" t="n">
        <f aca="false">BD347*G347</f>
        <v>140.4</v>
      </c>
      <c r="BF347" s="50" t="n">
        <f aca="false">ROUNDUP(CK347+MAX(CL347,2*(J347/IF(CG347&gt;0,CG347,MAX(0.1,N(Cockpit!$O$6)))-CK347)),0)</f>
        <v>51</v>
      </c>
      <c r="BG347" s="51" t="n">
        <f aca="false">IF(BC347&gt;0,J347/BC347,-1)</f>
        <v>8.38709677419355</v>
      </c>
      <c r="BH347" s="51" t="n">
        <f aca="false">IF(AND(OR(CF347="L1",CF347="L23",CF347="LIFT"),BC347&gt;0),SUMIFS($BC$7:$BC$1843,$CF$7:$CF$1843,CF347,$BG$7:$BG$1843,"&gt;"&amp;BG347)+SUMIFS($BC$7:$BC$1843,$CF$7:$CF$1843,CF347,$BG$7:$BG$1843,BG347,$BW$7:$BW$1843,"&lt;="&amp;BW347),"")</f>
        <v>2957.65888278388</v>
      </c>
      <c r="BI347" s="58" t="n">
        <f aca="false">IF(BH347="",0,MAX(0,MIN(1,(IF(CF347="L1",Parameter!$H$5,IF(CF347="L23",Parameter!$H$6+Parameter!$H$7,Parameter!$H$5+Parameter!$H$6+Parameter!$H$7))-(BH347-BC347))/BC347)))</f>
        <v>1</v>
      </c>
      <c r="BJ347" s="48" t="str">
        <f aca="false">IF(AI347&lt;=0,"",IF(CF347="Aussen","Aussenlager",IF(CF347="-","Nicht im Lift",IF(AO347&gt;=1,"Lift",IF(AO347&lt;=0,"Aussenlager","teilweise")))))</f>
        <v>Lift</v>
      </c>
      <c r="BK347" s="48" t="str">
        <f aca="false">IF(AS347&lt;=0,"",IF(CF347="Aussen","Aussenlager",IF(CF347="-","Nicht im Lift",IF(AY347&gt;=1,"Lift",IF(AY347&lt;=0,"Aussenlager","teilweise")))))</f>
        <v>Lift</v>
      </c>
      <c r="BL347" s="48" t="str">
        <f aca="false">IF(BC347&lt;=0,"",IF(CF347="Aussen","Aussenlager",IF(CF347="-","Nicht im Lift",IF(BI347&gt;=1,"Lift",IF(BI347&lt;=0,"Aussenlager","teilweise")))))</f>
        <v>Lift</v>
      </c>
      <c r="BM347" s="48" t="str">
        <f aca="false">IF(A347="","",IF(BV347=1,"Neu; ","")&amp;IF(AND(BV347=0,BQ347&lt;0),"negativer Bestand (Export "&amp;BQ347&amp;"); ","")&amp;IF(J347&lt;=0,"Kein Verbrauch; ","")&amp;IF(CQ347&gt;0,"Lift "&amp;W347&amp;" lt. Liftbericht (Fach "&amp;X347&amp;" Stk); ",IF(CA347=1,"Gebinde geschätzt ("&amp;T347&amp;"); ",IF(BZ347=1,"Lose – Tablare geschätzt; ","")))&amp;IF(H347&gt;AV347,"Überbestand "&amp;ROUND(H347-AV347,0)&amp;" Stk / CHF "&amp;ROUND((H347-AV347)*G347,0)&amp;"; ","")&amp;IF(AND(CH347=1,CI347&lt;CJ347),"MAX &lt; MB+LG; ","")&amp;IF(AND(CP347&gt;0,CO347*10&gt;CP347),"zu hoch für Tablar; ","")&amp;IF(AND(BV347=0,OR(CH347=1,AA347&lt;&gt;"",U347&lt;&gt;"",V347&lt;&gt;"",AB347&lt;&gt;"")),"manuell übersteuert; ","")&amp;IF(AND(BZ347=0,R347=0),"Gebinde unbekannt / Stellmass fehlt; ","")&amp;IF(AND(BZ347=0,N(V347)&lt;=0,N(Q347)&lt;=0),"Menge pro Gebinde fehlt (Ist = 1 Gebinde); ","")&amp;BU347)</f>
        <v/>
      </c>
      <c r="BN347" s="48"/>
      <c r="BO347" s="48"/>
      <c r="BP347" s="55"/>
      <c r="BQ347" s="50" t="n">
        <v>35</v>
      </c>
      <c r="BR347" s="50" t="n">
        <v>12</v>
      </c>
      <c r="BS347" s="49" t="n">
        <v>185.4</v>
      </c>
      <c r="BT347" s="50" t="n">
        <v>50</v>
      </c>
      <c r="BU347" s="48"/>
      <c r="BV347" s="53" t="n">
        <v>0</v>
      </c>
      <c r="BW347" s="53" t="n">
        <v>347</v>
      </c>
      <c r="BX347" s="48" t="str">
        <f aca="false">IF(U347&lt;&gt;"",UPPER(TRIM(U347)),IF(CA347=1,UPPER(VLOOKUP(T347,Parameter!$I$27:$K$29,2,0)),IF(P347="","LOSE",P347)))</f>
        <v>S51</v>
      </c>
      <c r="BY347" s="50" t="n">
        <f aca="false">IF(BX347="LOSE",1,IF(N(V347)&gt;0,V347,IF(CA347=1,MAX(1,N(VLOOKUP(T347,Parameter!$I$27:$K$29,3,0)),H347,N(N347)),IF(N(Q347)&gt;0,Q347,MAX(1,H347)))))</f>
        <v>30</v>
      </c>
      <c r="BZ347" s="53" t="n">
        <f aca="false">IF(BX347="LOSE",1,0)</f>
        <v>0</v>
      </c>
      <c r="CA347" s="53" t="n">
        <f aca="false">IF(AND(U347="",OR(P347="",P347="LOSE"),T347&lt;&gt;"",N(S347)&lt;=0,ISNUMBER(MATCH(T347,Parameter!$I$27:$I$29,0))),1,0)</f>
        <v>0</v>
      </c>
      <c r="CB347" s="53" t="n">
        <f aca="false">IF(CQ347&gt;0,INDEX(Parameter!$H$5:$H$7,W347)/INDEX(Parameter!$E$5:$E$7,W347),IF(AND(BZ347=0,N(IFERROR(VLOOKUP(BX347,'Gebinde-Kategorie'!$A$5:$N$45,14,0),0))&gt;0),VLOOKUP(BX347,'Gebinde-Kategorie'!$A$5:$N$45,14,0)*10+Parameter!$M$23,Parameter!$M$24))</f>
        <v>155</v>
      </c>
      <c r="CC347" s="48" t="str">
        <f aca="false">IF(AND(Parameter!$B$19="Ja",E347&lt;&gt;"",ISNUMBER(MATCH(E347,Parameter!$I$35:$I$52,0))),VLOOKUP(E347,Parameter!$I$35:$J$52,2,0),IFERROR(VLOOKUP(D347,Parameter!$A$35:$C$64,2,0),"Nein"))</f>
        <v>2+3</v>
      </c>
      <c r="CD347" s="52" t="n">
        <f aca="false">IF(BZ347=0,0,IF(N(S347)&gt;0,S347,IFERROR(VLOOKUP(D347,Parameter!$A$35:$C$64,3,0)+0,0)))</f>
        <v>0</v>
      </c>
      <c r="CE347" s="48" t="n">
        <f aca="false">IF(AA347&lt;&gt;"",AA347,Z347)</f>
        <v>3</v>
      </c>
      <c r="CF347" s="48" t="str">
        <f aca="false">IF(OR(CE347=1,CE347=2,CE347=3),IF(Parameter!$E$27="Ja","LIFT",IF(CE347=1,"L1","L23")),IF(CE347="Aussen","Aussen","-"))</f>
        <v>LIFT</v>
      </c>
      <c r="CG347" s="59" t="n">
        <f aca="false">IF(N(AB347)&gt;0,AB347,0)</f>
        <v>0</v>
      </c>
      <c r="CH347" s="53" t="n">
        <f aca="false">IF(ISNUMBER(AE347),1,0)</f>
        <v>0</v>
      </c>
      <c r="CI347" s="50" t="n">
        <f aca="false">N(AE347)</f>
        <v>0</v>
      </c>
      <c r="CJ347" s="50" t="n">
        <f aca="false">N(M347)+N(N347)</f>
        <v>51</v>
      </c>
      <c r="CK347" s="50" t="n">
        <f aca="false">N(M347)</f>
        <v>1</v>
      </c>
      <c r="CL347" s="50" t="n">
        <f aca="false">N(N347)</f>
        <v>50</v>
      </c>
      <c r="CM347" s="50" t="n">
        <f aca="false">ROUNDUP(H347/BY347,0)</f>
        <v>2</v>
      </c>
      <c r="CN347" s="50" t="n">
        <f aca="false">ROUNDUP(CI347/BY347,0)</f>
        <v>0</v>
      </c>
      <c r="CO347" s="53" t="n">
        <f aca="false">IF(BZ347=1,0,IFERROR(VLOOKUP(BX347,'Gebinde-Kategorie'!$A$5:$N$45,5,0)+0,0))</f>
        <v>11</v>
      </c>
      <c r="CP347" s="53" t="n">
        <f aca="false">IFERROR(IF(OR(CE347=1,CE347=2,CE347=3),N(INDEX(Parameter!$I$5:$I$7,CE347)),0),0)</f>
        <v>0</v>
      </c>
      <c r="CQ347" s="52" t="n">
        <f aca="false">IF(AND(Parameter!$B$21="Ja",ISNUMBER(W347),N(X347)&gt;0),IFERROR(N(INDEX(Parameter!$L$5:$L$7,W347))*INDEX(Parameter!$E$5:$E$7,W347)*X347/SUMIFS($X$7:$X$1843,$W$7:$W$1843,W347),0),0)</f>
        <v>0</v>
      </c>
    </row>
    <row r="348" customFormat="false" ht="15" hidden="false" customHeight="false" outlineLevel="0" collapsed="false">
      <c r="A348" s="48" t="s">
        <v>862</v>
      </c>
      <c r="B348" s="48" t="s">
        <v>772</v>
      </c>
      <c r="C348" s="48" t="s">
        <v>173</v>
      </c>
      <c r="D348" s="48" t="s">
        <v>193</v>
      </c>
      <c r="E348" s="48"/>
      <c r="F348" s="48" t="s">
        <v>227</v>
      </c>
      <c r="G348" s="49" t="n">
        <v>7.4</v>
      </c>
      <c r="H348" s="50" t="n">
        <f aca="false">MAX(0,IF(AND(Parameter!$B$21="Ja",ISNUMBER(Y348)),Y348,IF(Parameter!$B$20="Jahresanfang 2025 + Export",BR348+BQ348,BQ348)))</f>
        <v>25</v>
      </c>
      <c r="I348" s="50" t="n">
        <f aca="false">H348*G348</f>
        <v>185</v>
      </c>
      <c r="J348" s="50" t="n">
        <f aca="false">BT348*Parameter!$B$18</f>
        <v>0</v>
      </c>
      <c r="K348" s="51" t="n">
        <v>0</v>
      </c>
      <c r="L348" s="52" t="n">
        <v>0</v>
      </c>
      <c r="M348" s="50" t="n">
        <v>0</v>
      </c>
      <c r="N348" s="50" t="n">
        <v>1</v>
      </c>
      <c r="O348" s="53" t="n">
        <v>9999</v>
      </c>
      <c r="P348" s="48" t="s">
        <v>177</v>
      </c>
      <c r="Q348" s="50"/>
      <c r="R348" s="53" t="n">
        <f aca="false">IF(BZ348=1,0,IFERROR(VLOOKUP(BX348,'Gebinde-Kategorie'!$A$5:$N$45,13,0)+0,0))</f>
        <v>26</v>
      </c>
      <c r="S348" s="54"/>
      <c r="T348" s="55" t="s">
        <v>284</v>
      </c>
      <c r="U348" s="55"/>
      <c r="V348" s="55"/>
      <c r="W348" s="48"/>
      <c r="X348" s="50"/>
      <c r="Y348" s="50"/>
      <c r="Z348" s="48" t="n">
        <f aca="false">IF(A348="","",IF(AND(Parameter!$B$21="Ja",ISNUMBER(W348)),W348,IF(CC348="2+3",IF(ISNUMBER(SEARCH("grosser Artikel",BU348)),2,IFERROR(VLOOKUP(BX348,Parameter!$F$35:$G$64,2,0),2)),IF(OR(CC348="Nein",CC348=""),"-",CC348))))</f>
        <v>3</v>
      </c>
      <c r="AA348" s="55"/>
      <c r="AB348" s="56"/>
      <c r="AC348" s="50" t="n">
        <f aca="false">AV348</f>
        <v>1</v>
      </c>
      <c r="AD348" s="50" t="n">
        <f aca="false">MAX(AV348,H348)</f>
        <v>25</v>
      </c>
      <c r="AE348" s="57"/>
      <c r="AF348" s="50" t="n">
        <f aca="false">IF(LEFT(Cockpit!$C$5,1)="A",H348,IF(Parameter!$E$30="MAX-Bestand",IF(CH348=1,CI348,IF(LEFT(Cockpit!$C$5,1)="B",AL348,MAX(AL348,H348))),ROUNDUP(AJ348,0)))</f>
        <v>25</v>
      </c>
      <c r="AG348" s="50" t="n">
        <f aca="false">IF(BZ348=1,0,ROUNDUP(AF348/BY348,0))</f>
        <v>1</v>
      </c>
      <c r="AH348" s="52" t="n">
        <f aca="false">IF(CQ348&gt;0,CQ348*MAX(1,AF348/X348),IF(BZ348=1,IF(AF348&lt;=0,0,CD348*MAX(1,IF(H348&gt;0,AF348/H348,1))),IF(R348&gt;0,AG348/R348,0))/MAX(0.1,N(Parameter!$M$21)))</f>
        <v>0.0384615384615385</v>
      </c>
      <c r="AI348" s="50" t="n">
        <f aca="false">AH348*CB348</f>
        <v>5.96153846153846</v>
      </c>
      <c r="AJ348" s="51" t="n">
        <f aca="false">IF(LEFT(Cockpit!$C$5,1)="A",H348,IF(CH348=1,(CK348+CI348)/2,IF(LEFT(Cockpit!$C$5,1)="B",(CK348+AL348)/2,MAX((CK348+AL348)/2,H348))))</f>
        <v>25</v>
      </c>
      <c r="AK348" s="50" t="n">
        <f aca="false">AJ348*G348</f>
        <v>185</v>
      </c>
      <c r="AL348" s="50" t="n">
        <f aca="false">ROUNDUP(CK348+MAX(CL348,2*(J348/IF(CG348&gt;0,CG348,MAX(0.1,N(Cockpit!$C$6)))-CK348)),0)</f>
        <v>1</v>
      </c>
      <c r="AM348" s="51" t="n">
        <f aca="false">IF(AI348&gt;0,J348/AI348,-1)</f>
        <v>0</v>
      </c>
      <c r="AN348" s="51" t="n">
        <f aca="false">IF(AND(OR(CF348="L1",CF348="L23",CF348="LIFT"),AI348&gt;0),SUMIFS($AI$7:$AI$1843,$CF$7:$CF$1843,CF348,$AM$7:$AM$1843,"&gt;"&amp;AM348)+SUMIFS($AI$7:$AI$1843,$CF$7:$CF$1843,CF348,$AM$7:$AM$1843,AM348,$BW$7:$BW$1843,"&lt;="&amp;BW348),"")</f>
        <v>28013.1050216262</v>
      </c>
      <c r="AO348" s="58" t="n">
        <f aca="false">IF(AN348="",0,MAX(0,MIN(1,(IF(CF348="L1",Parameter!$H$5,IF(CF348="L23",Parameter!$H$6+Parameter!$H$7,Parameter!$H$5+Parameter!$H$6+Parameter!$H$7))-(AN348-AI348))/AI348)))</f>
        <v>1</v>
      </c>
      <c r="AP348" s="50" t="n">
        <f aca="false">IF(LEFT(Cockpit!$I$5,1)="A",H348,IF(Parameter!$E$30="MAX-Bestand",IF(CH348=1,CI348,IF(LEFT(Cockpit!$I$5,1)="B",AV348,MAX(AV348,H348))),ROUNDUP(AT348,0)))</f>
        <v>25</v>
      </c>
      <c r="AQ348" s="50" t="n">
        <f aca="false">IF(BZ348=1,0,ROUNDUP(AP348/BY348,0))</f>
        <v>1</v>
      </c>
      <c r="AR348" s="52" t="n">
        <f aca="false">IF(CQ348&gt;0,CQ348*MAX(1,AP348/X348),IF(BZ348=1,IF(AP348&lt;=0,0,CD348*MAX(1,IF(H348&gt;0,AP348/H348,1))),IF(R348&gt;0,AQ348/R348,0))/MAX(0.1,N(Parameter!$M$21)))</f>
        <v>0.0384615384615385</v>
      </c>
      <c r="AS348" s="50" t="n">
        <f aca="false">AR348*CB348</f>
        <v>5.96153846153846</v>
      </c>
      <c r="AT348" s="51" t="n">
        <f aca="false">IF(LEFT(Cockpit!$I$5,1)="A",H348,IF(CH348=1,(CK348+CI348)/2,IF(LEFT(Cockpit!$I$5,1)="B",(CK348+AV348)/2,MAX((CK348+AV348)/2,H348))))</f>
        <v>25</v>
      </c>
      <c r="AU348" s="50" t="n">
        <f aca="false">AT348*G348</f>
        <v>185</v>
      </c>
      <c r="AV348" s="50" t="n">
        <f aca="false">ROUNDUP(CK348+MAX(CL348,2*(J348/IF(CG348&gt;0,CG348,MAX(0.1,N(Cockpit!$I$6)))-CK348)),0)</f>
        <v>1</v>
      </c>
      <c r="AW348" s="51" t="n">
        <f aca="false">IF(AS348&gt;0,J348/AS348,-1)</f>
        <v>0</v>
      </c>
      <c r="AX348" s="51" t="n">
        <f aca="false">IF(AND(OR(CF348="L1",CF348="L23",CF348="LIFT"),AS348&gt;0),SUMIFS($AS$7:$AS$1843,$CF$7:$CF$1843,CF348,$AW$7:$AW$1843,"&gt;"&amp;AW348)+SUMIFS($AS$7:$AS$1843,$CF$7:$CF$1843,CF348,$AW$7:$AW$1843,AW348,$BW$7:$BW$1843,"&lt;="&amp;BW348),"")</f>
        <v>33366.2536630037</v>
      </c>
      <c r="AY348" s="58" t="n">
        <f aca="false">IF(AX348="",0,MAX(0,MIN(1,(IF(CF348="L1",Parameter!$H$5,IF(CF348="L23",Parameter!$H$6+Parameter!$H$7,Parameter!$H$5+Parameter!$H$6+Parameter!$H$7))-(AX348-AS348))/AS348)))</f>
        <v>1</v>
      </c>
      <c r="AZ348" s="50" t="n">
        <f aca="false">IF(LEFT(Cockpit!$O$5,1)="A",H348,IF(Parameter!$E$30="MAX-Bestand",IF(CH348=1,CI348,IF(LEFT(Cockpit!$O$5,1)="B",BF348,MAX(BF348,H348))),ROUNDUP(BD348,0)))</f>
        <v>1</v>
      </c>
      <c r="BA348" s="50" t="n">
        <f aca="false">IF(BZ348=1,0,ROUNDUP(AZ348/BY348,0))</f>
        <v>1</v>
      </c>
      <c r="BB348" s="52" t="n">
        <f aca="false">IF(CQ348&gt;0,CQ348*MAX(1,AZ348/X348),IF(BZ348=1,IF(AZ348&lt;=0,0,CD348*MAX(1,IF(H348&gt;0,AZ348/H348,1))),IF(R348&gt;0,BA348/R348,0))/MAX(0.1,N(Parameter!$M$21)))</f>
        <v>0.0384615384615385</v>
      </c>
      <c r="BC348" s="50" t="n">
        <f aca="false">BB348*CB348</f>
        <v>5.96153846153846</v>
      </c>
      <c r="BD348" s="51" t="n">
        <f aca="false">IF(LEFT(Cockpit!$O$5,1)="A",H348,IF(CH348=1,(CK348+CI348)/2,IF(LEFT(Cockpit!$O$5,1)="B",(CK348+BF348)/2,MAX((CK348+BF348)/2,H348))))</f>
        <v>0.5</v>
      </c>
      <c r="BE348" s="50" t="n">
        <f aca="false">BD348*G348</f>
        <v>3.7</v>
      </c>
      <c r="BF348" s="50" t="n">
        <f aca="false">ROUNDUP(CK348+MAX(CL348,2*(J348/IF(CG348&gt;0,CG348,MAX(0.1,N(Cockpit!$O$6)))-CK348)),0)</f>
        <v>1</v>
      </c>
      <c r="BG348" s="51" t="n">
        <f aca="false">IF(BC348&gt;0,J348/BC348,-1)</f>
        <v>0</v>
      </c>
      <c r="BH348" s="51" t="n">
        <f aca="false">IF(AND(OR(CF348="L1",CF348="L23",CF348="LIFT"),BC348&gt;0),SUMIFS($BC$7:$BC$1843,$CF$7:$CF$1843,CF348,$BG$7:$BG$1843,"&gt;"&amp;BG348)+SUMIFS($BC$7:$BC$1843,$CF$7:$CF$1843,CF348,$BG$7:$BG$1843,BG348,$BW$7:$BW$1843,"&lt;="&amp;BW348),"")</f>
        <v>27479.7906345067</v>
      </c>
      <c r="BI348" s="58" t="n">
        <f aca="false">IF(BH348="",0,MAX(0,MIN(1,(IF(CF348="L1",Parameter!$H$5,IF(CF348="L23",Parameter!$H$6+Parameter!$H$7,Parameter!$H$5+Parameter!$H$6+Parameter!$H$7))-(BH348-BC348))/BC348)))</f>
        <v>1</v>
      </c>
      <c r="BJ348" s="48" t="str">
        <f aca="false">IF(AI348&lt;=0,"",IF(CF348="Aussen","Aussenlager",IF(CF348="-","Nicht im Lift",IF(AO348&gt;=1,"Lift",IF(AO348&lt;=0,"Aussenlager","teilweise")))))</f>
        <v>Lift</v>
      </c>
      <c r="BK348" s="48" t="str">
        <f aca="false">IF(AS348&lt;=0,"",IF(CF348="Aussen","Aussenlager",IF(CF348="-","Nicht im Lift",IF(AY348&gt;=1,"Lift",IF(AY348&lt;=0,"Aussenlager","teilweise")))))</f>
        <v>Lift</v>
      </c>
      <c r="BL348" s="48" t="str">
        <f aca="false">IF(BC348&lt;=0,"",IF(CF348="Aussen","Aussenlager",IF(CF348="-","Nicht im Lift",IF(BI348&gt;=1,"Lift",IF(BI348&lt;=0,"Aussenlager","teilweise")))))</f>
        <v>Lift</v>
      </c>
      <c r="BM348" s="48" t="str">
        <f aca="false">IF(A348="","",IF(BV348=1,"Neu; ","")&amp;IF(AND(BV348=0,BQ348&lt;0),"negativer Bestand (Export "&amp;BQ348&amp;"); ","")&amp;IF(J348&lt;=0,"Kein Verbrauch; ","")&amp;IF(CQ348&gt;0,"Lift "&amp;W348&amp;" lt. Liftbericht (Fach "&amp;X348&amp;" Stk); ",IF(CA348=1,"Gebinde geschätzt ("&amp;T348&amp;"); ",IF(BZ348=1,"Lose – Tablare geschätzt; ","")))&amp;IF(H348&gt;AV348,"Überbestand "&amp;ROUND(H348-AV348,0)&amp;" Stk / CHF "&amp;ROUND((H348-AV348)*G348,0)&amp;"; ","")&amp;IF(AND(CH348=1,CI348&lt;CJ348),"MAX &lt; MB+LG; ","")&amp;IF(AND(CP348&gt;0,CO348*10&gt;CP348),"zu hoch für Tablar; ","")&amp;IF(AND(BV348=0,OR(CH348=1,AA348&lt;&gt;"",U348&lt;&gt;"",V348&lt;&gt;"",AB348&lt;&gt;"")),"manuell übersteuert; ","")&amp;IF(AND(BZ348=0,R348=0),"Gebinde unbekannt / Stellmass fehlt; ","")&amp;IF(AND(BZ348=0,N(V348)&lt;=0,N(Q348)&lt;=0),"Menge pro Gebinde fehlt (Ist = 1 Gebinde); ","")&amp;BU348)</f>
        <v>Kein Verbrauch; Gebinde geschätzt (Klein); Überbestand 24 Stk / CHF 178; Menge pro Gebinde fehlt (Ist = 1 Gebinde); </v>
      </c>
      <c r="BN348" s="48"/>
      <c r="BO348" s="48"/>
      <c r="BP348" s="55"/>
      <c r="BQ348" s="50" t="n">
        <v>25</v>
      </c>
      <c r="BR348" s="50" t="n">
        <v>0</v>
      </c>
      <c r="BS348" s="49" t="n">
        <v>185</v>
      </c>
      <c r="BT348" s="50" t="n">
        <v>0</v>
      </c>
      <c r="BU348" s="48"/>
      <c r="BV348" s="53" t="n">
        <v>0</v>
      </c>
      <c r="BW348" s="53" t="n">
        <v>348</v>
      </c>
      <c r="BX348" s="48" t="str">
        <f aca="false">IF(U348&lt;&gt;"",UPPER(TRIM(U348)),IF(CA348=1,UPPER(VLOOKUP(T348,Parameter!$I$27:$K$29,2,0)),IF(P348="","LOSE",P348)))</f>
        <v>S51</v>
      </c>
      <c r="BY348" s="50" t="n">
        <f aca="false">IF(BX348="LOSE",1,IF(N(V348)&gt;0,V348,IF(CA348=1,MAX(1,N(VLOOKUP(T348,Parameter!$I$27:$K$29,3,0)),H348,N(N348)),IF(N(Q348)&gt;0,Q348,MAX(1,H348)))))</f>
        <v>25</v>
      </c>
      <c r="BZ348" s="53" t="n">
        <f aca="false">IF(BX348="LOSE",1,0)</f>
        <v>0</v>
      </c>
      <c r="CA348" s="53" t="n">
        <f aca="false">IF(AND(U348="",OR(P348="",P348="LOSE"),T348&lt;&gt;"",N(S348)&lt;=0,ISNUMBER(MATCH(T348,Parameter!$I$27:$I$29,0))),1,0)</f>
        <v>1</v>
      </c>
      <c r="CB348" s="53" t="n">
        <f aca="false">IF(CQ348&gt;0,INDEX(Parameter!$H$5:$H$7,W348)/INDEX(Parameter!$E$5:$E$7,W348),IF(AND(BZ348=0,N(IFERROR(VLOOKUP(BX348,'Gebinde-Kategorie'!$A$5:$N$45,14,0),0))&gt;0),VLOOKUP(BX348,'Gebinde-Kategorie'!$A$5:$N$45,14,0)*10+Parameter!$M$23,Parameter!$M$24))</f>
        <v>155</v>
      </c>
      <c r="CC348" s="48" t="str">
        <f aca="false">IF(AND(Parameter!$B$19="Ja",E348&lt;&gt;"",ISNUMBER(MATCH(E348,Parameter!$I$35:$I$52,0))),VLOOKUP(E348,Parameter!$I$35:$J$52,2,0),IFERROR(VLOOKUP(D348,Parameter!$A$35:$C$64,2,0),"Nein"))</f>
        <v>2+3</v>
      </c>
      <c r="CD348" s="52" t="n">
        <f aca="false">IF(BZ348=0,0,IF(N(S348)&gt;0,S348,IFERROR(VLOOKUP(D348,Parameter!$A$35:$C$64,3,0)+0,0)))</f>
        <v>0</v>
      </c>
      <c r="CE348" s="48" t="n">
        <f aca="false">IF(AA348&lt;&gt;"",AA348,Z348)</f>
        <v>3</v>
      </c>
      <c r="CF348" s="48" t="str">
        <f aca="false">IF(OR(CE348=1,CE348=2,CE348=3),IF(Parameter!$E$27="Ja","LIFT",IF(CE348=1,"L1","L23")),IF(CE348="Aussen","Aussen","-"))</f>
        <v>LIFT</v>
      </c>
      <c r="CG348" s="59" t="n">
        <f aca="false">IF(N(AB348)&gt;0,AB348,0)</f>
        <v>0</v>
      </c>
      <c r="CH348" s="53" t="n">
        <f aca="false">IF(ISNUMBER(AE348),1,0)</f>
        <v>0</v>
      </c>
      <c r="CI348" s="50" t="n">
        <f aca="false">N(AE348)</f>
        <v>0</v>
      </c>
      <c r="CJ348" s="50" t="n">
        <f aca="false">N(M348)+N(N348)</f>
        <v>1</v>
      </c>
      <c r="CK348" s="50" t="n">
        <f aca="false">N(M348)</f>
        <v>0</v>
      </c>
      <c r="CL348" s="50" t="n">
        <f aca="false">N(N348)</f>
        <v>1</v>
      </c>
      <c r="CM348" s="50" t="n">
        <f aca="false">ROUNDUP(H348/BY348,0)</f>
        <v>1</v>
      </c>
      <c r="CN348" s="50" t="n">
        <f aca="false">ROUNDUP(CI348/BY348,0)</f>
        <v>0</v>
      </c>
      <c r="CO348" s="53" t="n">
        <f aca="false">IF(BZ348=1,0,IFERROR(VLOOKUP(BX348,'Gebinde-Kategorie'!$A$5:$N$45,5,0)+0,0))</f>
        <v>11</v>
      </c>
      <c r="CP348" s="53" t="n">
        <f aca="false">IFERROR(IF(OR(CE348=1,CE348=2,CE348=3),N(INDEX(Parameter!$I$5:$I$7,CE348)),0),0)</f>
        <v>0</v>
      </c>
      <c r="CQ348" s="52" t="n">
        <f aca="false">IF(AND(Parameter!$B$21="Ja",ISNUMBER(W348),N(X348)&gt;0),IFERROR(N(INDEX(Parameter!$L$5:$L$7,W348))*INDEX(Parameter!$E$5:$E$7,W348)*X348/SUMIFS($X$7:$X$1843,$W$7:$W$1843,W348),0),0)</f>
        <v>0</v>
      </c>
    </row>
    <row r="349" customFormat="false" ht="15" hidden="false" customHeight="false" outlineLevel="0" collapsed="false">
      <c r="A349" s="48" t="s">
        <v>863</v>
      </c>
      <c r="B349" s="48" t="s">
        <v>864</v>
      </c>
      <c r="C349" s="48" t="s">
        <v>173</v>
      </c>
      <c r="D349" s="48" t="s">
        <v>193</v>
      </c>
      <c r="E349" s="48" t="s">
        <v>194</v>
      </c>
      <c r="F349" s="48" t="s">
        <v>227</v>
      </c>
      <c r="G349" s="49" t="n">
        <v>0.05</v>
      </c>
      <c r="H349" s="50" t="n">
        <f aca="false">MAX(0,IF(AND(Parameter!$B$21="Ja",ISNUMBER(Y349)),Y349,IF(Parameter!$B$20="Jahresanfang 2025 + Export",BR349+BQ349,BQ349)))</f>
        <v>4500</v>
      </c>
      <c r="I349" s="50" t="n">
        <f aca="false">H349*G349</f>
        <v>225</v>
      </c>
      <c r="J349" s="50" t="n">
        <f aca="false">BT349*Parameter!$B$18</f>
        <v>7399</v>
      </c>
      <c r="K349" s="51" t="n">
        <v>1074.5</v>
      </c>
      <c r="L349" s="52" t="n">
        <v>6.88599348534202</v>
      </c>
      <c r="M349" s="50" t="n">
        <v>750</v>
      </c>
      <c r="N349" s="50" t="n">
        <v>2500</v>
      </c>
      <c r="O349" s="53" t="n">
        <v>14</v>
      </c>
      <c r="P349" s="48" t="s">
        <v>195</v>
      </c>
      <c r="Q349" s="50" t="n">
        <v>3500</v>
      </c>
      <c r="R349" s="53" t="n">
        <f aca="false">IF(BZ349=1,0,IFERROR(VLOOKUP(BX349,'Gebinde-Kategorie'!$A$5:$N$45,13,0)+0,0))</f>
        <v>12</v>
      </c>
      <c r="S349" s="54"/>
      <c r="T349" s="55"/>
      <c r="U349" s="55"/>
      <c r="V349" s="55"/>
      <c r="W349" s="48"/>
      <c r="X349" s="50"/>
      <c r="Y349" s="50"/>
      <c r="Z349" s="48" t="n">
        <f aca="false">IF(A349="","",IF(AND(Parameter!$B$21="Ja",ISNUMBER(W349)),W349,IF(CC349="2+3",IF(ISNUMBER(SEARCH("grosser Artikel",BU349)),2,IFERROR(VLOOKUP(BX349,Parameter!$F$35:$G$64,2,0),2)),IF(OR(CC349="Nein",CC349=""),"-",CC349))))</f>
        <v>2</v>
      </c>
      <c r="AA349" s="55"/>
      <c r="AB349" s="56"/>
      <c r="AC349" s="50" t="n">
        <f aca="false">AV349</f>
        <v>4183</v>
      </c>
      <c r="AD349" s="50" t="n">
        <f aca="false">MAX(AV349,H349)</f>
        <v>4500</v>
      </c>
      <c r="AE349" s="57"/>
      <c r="AF349" s="50" t="n">
        <f aca="false">IF(LEFT(Cockpit!$C$5,1)="A",H349,IF(Parameter!$E$30="MAX-Bestand",IF(CH349=1,CI349,IF(LEFT(Cockpit!$C$5,1)="B",AL349,MAX(AL349,H349))),ROUNDUP(AJ349,0)))</f>
        <v>4500</v>
      </c>
      <c r="AG349" s="50" t="n">
        <f aca="false">IF(BZ349=1,0,ROUNDUP(AF349/BY349,0))</f>
        <v>2</v>
      </c>
      <c r="AH349" s="52" t="n">
        <f aca="false">IF(CQ349&gt;0,CQ349*MAX(1,AF349/X349),IF(BZ349=1,IF(AF349&lt;=0,0,CD349*MAX(1,IF(H349&gt;0,AF349/H349,1))),IF(R349&gt;0,AG349/R349,0))/MAX(0.1,N(Parameter!$M$21)))</f>
        <v>0.166666666666667</v>
      </c>
      <c r="AI349" s="50" t="n">
        <f aca="false">AH349*CB349</f>
        <v>24.1666666666667</v>
      </c>
      <c r="AJ349" s="51" t="n">
        <f aca="false">IF(LEFT(Cockpit!$C$5,1)="A",H349,IF(CH349=1,(CK349+CI349)/2,IF(LEFT(Cockpit!$C$5,1)="B",(CK349+AL349)/2,MAX((CK349+AL349)/2,H349))))</f>
        <v>4500</v>
      </c>
      <c r="AK349" s="50" t="n">
        <f aca="false">AJ349*G349</f>
        <v>225</v>
      </c>
      <c r="AL349" s="50" t="n">
        <f aca="false">ROUNDUP(CK349+MAX(CL349,2*(J349/IF(CG349&gt;0,CG349,MAX(0.1,N(Cockpit!$C$6)))-CK349)),0)</f>
        <v>4183</v>
      </c>
      <c r="AM349" s="51" t="n">
        <f aca="false">IF(AI349&gt;0,J349/AI349,-1)</f>
        <v>306.165517241379</v>
      </c>
      <c r="AN349" s="51" t="n">
        <f aca="false">IF(AND(OR(CF349="L1",CF349="L23",CF349="LIFT"),AI349&gt;0),SUMIFS($AI$7:$AI$1843,$CF$7:$CF$1843,CF349,$AM$7:$AM$1843,"&gt;"&amp;AM349)+SUMIFS($AI$7:$AI$1843,$CF$7:$CF$1843,CF349,$AM$7:$AM$1843,AM349,$BW$7:$BW$1843,"&lt;="&amp;BW349),"")</f>
        <v>264.394688644689</v>
      </c>
      <c r="AO349" s="58" t="n">
        <f aca="false">IF(AN349="",0,MAX(0,MIN(1,(IF(CF349="L1",Parameter!$H$5,IF(CF349="L23",Parameter!$H$6+Parameter!$H$7,Parameter!$H$5+Parameter!$H$6+Parameter!$H$7))-(AN349-AI349))/AI349)))</f>
        <v>1</v>
      </c>
      <c r="AP349" s="50" t="n">
        <f aca="false">IF(LEFT(Cockpit!$I$5,1)="A",H349,IF(Parameter!$E$30="MAX-Bestand",IF(CH349=1,CI349,IF(LEFT(Cockpit!$I$5,1)="B",AV349,MAX(AV349,H349))),ROUNDUP(AT349,0)))</f>
        <v>4500</v>
      </c>
      <c r="AQ349" s="50" t="n">
        <f aca="false">IF(BZ349=1,0,ROUNDUP(AP349/BY349,0))</f>
        <v>2</v>
      </c>
      <c r="AR349" s="52" t="n">
        <f aca="false">IF(CQ349&gt;0,CQ349*MAX(1,AP349/X349),IF(BZ349=1,IF(AP349&lt;=0,0,CD349*MAX(1,IF(H349&gt;0,AP349/H349,1))),IF(R349&gt;0,AQ349/R349,0))/MAX(0.1,N(Parameter!$M$21)))</f>
        <v>0.166666666666667</v>
      </c>
      <c r="AS349" s="50" t="n">
        <f aca="false">AR349*CB349</f>
        <v>24.1666666666667</v>
      </c>
      <c r="AT349" s="51" t="n">
        <f aca="false">IF(LEFT(Cockpit!$I$5,1)="A",H349,IF(CH349=1,(CK349+CI349)/2,IF(LEFT(Cockpit!$I$5,1)="B",(CK349+AV349)/2,MAX((CK349+AV349)/2,H349))))</f>
        <v>4500</v>
      </c>
      <c r="AU349" s="50" t="n">
        <f aca="false">AT349*G349</f>
        <v>225</v>
      </c>
      <c r="AV349" s="50" t="n">
        <f aca="false">ROUNDUP(CK349+MAX(CL349,2*(J349/IF(CG349&gt;0,CG349,MAX(0.1,N(Cockpit!$I$6)))-CK349)),0)</f>
        <v>4183</v>
      </c>
      <c r="AW349" s="51" t="n">
        <f aca="false">IF(AS349&gt;0,J349/AS349,-1)</f>
        <v>306.165517241379</v>
      </c>
      <c r="AX349" s="51" t="n">
        <f aca="false">IF(AND(OR(CF349="L1",CF349="L23",CF349="LIFT"),AS349&gt;0),SUMIFS($AS$7:$AS$1843,$CF$7:$CF$1843,CF349,$AW$7:$AW$1843,"&gt;"&amp;AW349)+SUMIFS($AS$7:$AS$1843,$CF$7:$CF$1843,CF349,$AW$7:$AW$1843,AW349,$BW$7:$BW$1843,"&lt;="&amp;BW349),"")</f>
        <v>217.45695970696</v>
      </c>
      <c r="AY349" s="58" t="n">
        <f aca="false">IF(AX349="",0,MAX(0,MIN(1,(IF(CF349="L1",Parameter!$H$5,IF(CF349="L23",Parameter!$H$6+Parameter!$H$7,Parameter!$H$5+Parameter!$H$6+Parameter!$H$7))-(AX349-AS349))/AS349)))</f>
        <v>1</v>
      </c>
      <c r="AZ349" s="50" t="n">
        <f aca="false">IF(LEFT(Cockpit!$O$5,1)="A",H349,IF(Parameter!$E$30="MAX-Bestand",IF(CH349=1,CI349,IF(LEFT(Cockpit!$O$5,1)="B",BF349,MAX(BF349,H349))),ROUNDUP(BD349,0)))</f>
        <v>2000</v>
      </c>
      <c r="BA349" s="50" t="n">
        <f aca="false">IF(BZ349=1,0,ROUNDUP(AZ349/BY349,0))</f>
        <v>1</v>
      </c>
      <c r="BB349" s="52" t="n">
        <f aca="false">IF(CQ349&gt;0,CQ349*MAX(1,AZ349/X349),IF(BZ349=1,IF(AZ349&lt;=0,0,CD349*MAX(1,IF(H349&gt;0,AZ349/H349,1))),IF(R349&gt;0,BA349/R349,0))/MAX(0.1,N(Parameter!$M$21)))</f>
        <v>0.0833333333333333</v>
      </c>
      <c r="BC349" s="50" t="n">
        <f aca="false">BB349*CB349</f>
        <v>12.0833333333333</v>
      </c>
      <c r="BD349" s="51" t="n">
        <f aca="false">IF(LEFT(Cockpit!$O$5,1)="A",H349,IF(CH349=1,(CK349+CI349)/2,IF(LEFT(Cockpit!$O$5,1)="B",(CK349+BF349)/2,MAX((CK349+BF349)/2,H349))))</f>
        <v>2000</v>
      </c>
      <c r="BE349" s="50" t="n">
        <f aca="false">BD349*G349</f>
        <v>100</v>
      </c>
      <c r="BF349" s="50" t="n">
        <f aca="false">ROUNDUP(CK349+MAX(CL349,2*(J349/IF(CG349&gt;0,CG349,MAX(0.1,N(Cockpit!$O$6)))-CK349)),0)</f>
        <v>3250</v>
      </c>
      <c r="BG349" s="51" t="n">
        <f aca="false">IF(BC349&gt;0,J349/BC349,-1)</f>
        <v>612.331034482759</v>
      </c>
      <c r="BH349" s="51" t="n">
        <f aca="false">IF(AND(OR(CF349="L1",CF349="L23",CF349="LIFT"),BC349&gt;0),SUMIFS($BC$7:$BC$1843,$CF$7:$CF$1843,CF349,$BG$7:$BG$1843,"&gt;"&amp;BG349)+SUMIFS($BC$7:$BC$1843,$CF$7:$CF$1843,CF349,$BG$7:$BG$1843,BG349,$BW$7:$BW$1843,"&lt;="&amp;BW349),"")</f>
        <v>50.0668498168498</v>
      </c>
      <c r="BI349" s="58" t="n">
        <f aca="false">IF(BH349="",0,MAX(0,MIN(1,(IF(CF349="L1",Parameter!$H$5,IF(CF349="L23",Parameter!$H$6+Parameter!$H$7,Parameter!$H$5+Parameter!$H$6+Parameter!$H$7))-(BH349-BC349))/BC349)))</f>
        <v>1</v>
      </c>
      <c r="BJ349" s="48" t="str">
        <f aca="false">IF(AI349&lt;=0,"",IF(CF349="Aussen","Aussenlager",IF(CF349="-","Nicht im Lift",IF(AO349&gt;=1,"Lift",IF(AO349&lt;=0,"Aussenlager","teilweise")))))</f>
        <v>Lift</v>
      </c>
      <c r="BK349" s="48" t="str">
        <f aca="false">IF(AS349&lt;=0,"",IF(CF349="Aussen","Aussenlager",IF(CF349="-","Nicht im Lift",IF(AY349&gt;=1,"Lift",IF(AY349&lt;=0,"Aussenlager","teilweise")))))</f>
        <v>Lift</v>
      </c>
      <c r="BL349" s="48" t="str">
        <f aca="false">IF(BC349&lt;=0,"",IF(CF349="Aussen","Aussenlager",IF(CF349="-","Nicht im Lift",IF(BI349&gt;=1,"Lift",IF(BI349&lt;=0,"Aussenlager","teilweise")))))</f>
        <v>Lift</v>
      </c>
      <c r="BM349" s="48" t="str">
        <f aca="false">IF(A349="","",IF(BV349=1,"Neu; ","")&amp;IF(AND(BV349=0,BQ349&lt;0),"negativer Bestand (Export "&amp;BQ349&amp;"); ","")&amp;IF(J349&lt;=0,"Kein Verbrauch; ","")&amp;IF(CQ349&gt;0,"Lift "&amp;W349&amp;" lt. Liftbericht (Fach "&amp;X349&amp;" Stk); ",IF(CA349=1,"Gebinde geschätzt ("&amp;T349&amp;"); ",IF(BZ349=1,"Lose – Tablare geschätzt; ","")))&amp;IF(H349&gt;AV349,"Überbestand "&amp;ROUND(H349-AV349,0)&amp;" Stk / CHF "&amp;ROUND((H349-AV349)*G349,0)&amp;"; ","")&amp;IF(AND(CH349=1,CI349&lt;CJ349),"MAX &lt; MB+LG; ","")&amp;IF(AND(CP349&gt;0,CO349*10&gt;CP349),"zu hoch für Tablar; ","")&amp;IF(AND(BV349=0,OR(CH349=1,AA349&lt;&gt;"",U349&lt;&gt;"",V349&lt;&gt;"",AB349&lt;&gt;"")),"manuell übersteuert; ","")&amp;IF(AND(BZ349=0,R349=0),"Gebinde unbekannt / Stellmass fehlt; ","")&amp;IF(AND(BZ349=0,N(V349)&lt;=0,N(Q349)&lt;=0),"Menge pro Gebinde fehlt (Ist = 1 Gebinde); ","")&amp;BU349)</f>
        <v>Überbestand 317 Stk / CHF 16; </v>
      </c>
      <c r="BN349" s="48"/>
      <c r="BO349" s="48"/>
      <c r="BP349" s="55"/>
      <c r="BQ349" s="50" t="n">
        <v>3601</v>
      </c>
      <c r="BR349" s="50" t="n">
        <v>899</v>
      </c>
      <c r="BS349" s="49" t="n">
        <v>184.04</v>
      </c>
      <c r="BT349" s="50" t="n">
        <v>7399</v>
      </c>
      <c r="BU349" s="48"/>
      <c r="BV349" s="53" t="n">
        <v>0</v>
      </c>
      <c r="BW349" s="53" t="n">
        <v>349</v>
      </c>
      <c r="BX349" s="48" t="str">
        <f aca="false">IF(U349&lt;&gt;"",UPPER(TRIM(U349)),IF(CA349=1,UPPER(VLOOKUP(T349,Parameter!$I$27:$K$29,2,0)),IF(P349="","LOSE",P349)))</f>
        <v>S61</v>
      </c>
      <c r="BY349" s="50" t="n">
        <f aca="false">IF(BX349="LOSE",1,IF(N(V349)&gt;0,V349,IF(CA349=1,MAX(1,N(VLOOKUP(T349,Parameter!$I$27:$K$29,3,0)),H349,N(N349)),IF(N(Q349)&gt;0,Q349,MAX(1,H349)))))</f>
        <v>3500</v>
      </c>
      <c r="BZ349" s="53" t="n">
        <f aca="false">IF(BX349="LOSE",1,0)</f>
        <v>0</v>
      </c>
      <c r="CA349" s="53" t="n">
        <f aca="false">IF(AND(U349="",OR(P349="",P349="LOSE"),T349&lt;&gt;"",N(S349)&lt;=0,ISNUMBER(MATCH(T349,Parameter!$I$27:$I$29,0))),1,0)</f>
        <v>0</v>
      </c>
      <c r="CB349" s="53" t="n">
        <f aca="false">IF(CQ349&gt;0,INDEX(Parameter!$H$5:$H$7,W349)/INDEX(Parameter!$E$5:$E$7,W349),IF(AND(BZ349=0,N(IFERROR(VLOOKUP(BX349,'Gebinde-Kategorie'!$A$5:$N$45,14,0),0))&gt;0),VLOOKUP(BX349,'Gebinde-Kategorie'!$A$5:$N$45,14,0)*10+Parameter!$M$23,Parameter!$M$24))</f>
        <v>145</v>
      </c>
      <c r="CC349" s="48" t="str">
        <f aca="false">IF(AND(Parameter!$B$19="Ja",E349&lt;&gt;"",ISNUMBER(MATCH(E349,Parameter!$I$35:$I$52,0))),VLOOKUP(E349,Parameter!$I$35:$J$52,2,0),IFERROR(VLOOKUP(D349,Parameter!$A$35:$C$64,2,0),"Nein"))</f>
        <v>2+3</v>
      </c>
      <c r="CD349" s="52" t="n">
        <f aca="false">IF(BZ349=0,0,IF(N(S349)&gt;0,S349,IFERROR(VLOOKUP(D349,Parameter!$A$35:$C$64,3,0)+0,0)))</f>
        <v>0</v>
      </c>
      <c r="CE349" s="48" t="n">
        <f aca="false">IF(AA349&lt;&gt;"",AA349,Z349)</f>
        <v>2</v>
      </c>
      <c r="CF349" s="48" t="str">
        <f aca="false">IF(OR(CE349=1,CE349=2,CE349=3),IF(Parameter!$E$27="Ja","LIFT",IF(CE349=1,"L1","L23")),IF(CE349="Aussen","Aussen","-"))</f>
        <v>LIFT</v>
      </c>
      <c r="CG349" s="59" t="n">
        <f aca="false">IF(N(AB349)&gt;0,AB349,0)</f>
        <v>0</v>
      </c>
      <c r="CH349" s="53" t="n">
        <f aca="false">IF(ISNUMBER(AE349),1,0)</f>
        <v>0</v>
      </c>
      <c r="CI349" s="50" t="n">
        <f aca="false">N(AE349)</f>
        <v>0</v>
      </c>
      <c r="CJ349" s="50" t="n">
        <f aca="false">N(M349)+N(N349)</f>
        <v>3250</v>
      </c>
      <c r="CK349" s="50" t="n">
        <f aca="false">N(M349)</f>
        <v>750</v>
      </c>
      <c r="CL349" s="50" t="n">
        <f aca="false">N(N349)</f>
        <v>2500</v>
      </c>
      <c r="CM349" s="50" t="n">
        <f aca="false">ROUNDUP(H349/BY349,0)</f>
        <v>2</v>
      </c>
      <c r="CN349" s="50" t="n">
        <f aca="false">ROUNDUP(CI349/BY349,0)</f>
        <v>0</v>
      </c>
      <c r="CO349" s="53" t="n">
        <f aca="false">IF(BZ349=1,0,IFERROR(VLOOKUP(BX349,'Gebinde-Kategorie'!$A$5:$N$45,5,0)+0,0))</f>
        <v>11</v>
      </c>
      <c r="CP349" s="53" t="n">
        <f aca="false">IFERROR(IF(OR(CE349=1,CE349=2,CE349=3),N(INDEX(Parameter!$I$5:$I$7,CE349)),0),0)</f>
        <v>0</v>
      </c>
      <c r="CQ349" s="52" t="n">
        <f aca="false">IF(AND(Parameter!$B$21="Ja",ISNUMBER(W349),N(X349)&gt;0),IFERROR(N(INDEX(Parameter!$L$5:$L$7,W349))*INDEX(Parameter!$E$5:$E$7,W349)*X349/SUMIFS($X$7:$X$1843,$W$7:$W$1843,W349),0),0)</f>
        <v>0</v>
      </c>
    </row>
    <row r="350" customFormat="false" ht="15" hidden="false" customHeight="false" outlineLevel="0" collapsed="false">
      <c r="A350" s="48" t="s">
        <v>865</v>
      </c>
      <c r="B350" s="48" t="s">
        <v>866</v>
      </c>
      <c r="C350" s="48" t="s">
        <v>173</v>
      </c>
      <c r="D350" s="48" t="s">
        <v>193</v>
      </c>
      <c r="E350" s="48"/>
      <c r="F350" s="48" t="s">
        <v>227</v>
      </c>
      <c r="G350" s="49" t="n">
        <v>42.95</v>
      </c>
      <c r="H350" s="50" t="n">
        <f aca="false">MAX(0,IF(AND(Parameter!$B$21="Ja",ISNUMBER(Y350)),Y350,IF(Parameter!$B$20="Jahresanfang 2025 + Export",BR350+BQ350,BQ350)))</f>
        <v>15</v>
      </c>
      <c r="I350" s="50" t="n">
        <f aca="false">H350*G350</f>
        <v>644.25</v>
      </c>
      <c r="J350" s="50" t="n">
        <f aca="false">BT350*Parameter!$B$18</f>
        <v>10</v>
      </c>
      <c r="K350" s="51" t="n">
        <v>15.5</v>
      </c>
      <c r="L350" s="52" t="n">
        <v>0.645161290322581</v>
      </c>
      <c r="M350" s="50" t="n">
        <v>0</v>
      </c>
      <c r="N350" s="50" t="n">
        <v>10</v>
      </c>
      <c r="O350" s="53" t="n">
        <v>35</v>
      </c>
      <c r="P350" s="48" t="s">
        <v>430</v>
      </c>
      <c r="Q350" s="50" t="n">
        <v>18</v>
      </c>
      <c r="R350" s="53" t="n">
        <f aca="false">IF(BZ350=1,0,IFERROR(VLOOKUP(BX350,'Gebinde-Kategorie'!$A$5:$N$45,13,0)+0,0))</f>
        <v>104</v>
      </c>
      <c r="S350" s="54"/>
      <c r="T350" s="55"/>
      <c r="U350" s="55"/>
      <c r="V350" s="55"/>
      <c r="W350" s="48"/>
      <c r="X350" s="50"/>
      <c r="Y350" s="50"/>
      <c r="Z350" s="48" t="n">
        <f aca="false">IF(A350="","",IF(AND(Parameter!$B$21="Ja",ISNUMBER(W350)),W350,IF(CC350="2+3",IF(ISNUMBER(SEARCH("grosser Artikel",BU350)),2,IFERROR(VLOOKUP(BX350,Parameter!$F$35:$G$64,2,0),2)),IF(OR(CC350="Nein",CC350=""),"-",CC350))))</f>
        <v>3</v>
      </c>
      <c r="AA350" s="55"/>
      <c r="AB350" s="56"/>
      <c r="AC350" s="50" t="n">
        <f aca="false">AV350</f>
        <v>10</v>
      </c>
      <c r="AD350" s="50" t="n">
        <f aca="false">MAX(AV350,H350)</f>
        <v>15</v>
      </c>
      <c r="AE350" s="57"/>
      <c r="AF350" s="50" t="n">
        <f aca="false">IF(LEFT(Cockpit!$C$5,1)="A",H350,IF(Parameter!$E$30="MAX-Bestand",IF(CH350=1,CI350,IF(LEFT(Cockpit!$C$5,1)="B",AL350,MAX(AL350,H350))),ROUNDUP(AJ350,0)))</f>
        <v>15</v>
      </c>
      <c r="AG350" s="50" t="n">
        <f aca="false">IF(BZ350=1,0,ROUNDUP(AF350/BY350,0))</f>
        <v>1</v>
      </c>
      <c r="AH350" s="52" t="n">
        <f aca="false">IF(CQ350&gt;0,CQ350*MAX(1,AF350/X350),IF(BZ350=1,IF(AF350&lt;=0,0,CD350*MAX(1,IF(H350&gt;0,AF350/H350,1))),IF(R350&gt;0,AG350/R350,0))/MAX(0.1,N(Parameter!$M$21)))</f>
        <v>0.00961538461538462</v>
      </c>
      <c r="AI350" s="50" t="n">
        <f aca="false">AH350*CB350</f>
        <v>1.49038461538462</v>
      </c>
      <c r="AJ350" s="51" t="n">
        <f aca="false">IF(LEFT(Cockpit!$C$5,1)="A",H350,IF(CH350=1,(CK350+CI350)/2,IF(LEFT(Cockpit!$C$5,1)="B",(CK350+AL350)/2,MAX((CK350+AL350)/2,H350))))</f>
        <v>15</v>
      </c>
      <c r="AK350" s="50" t="n">
        <f aca="false">AJ350*G350</f>
        <v>644.25</v>
      </c>
      <c r="AL350" s="50" t="n">
        <f aca="false">ROUNDUP(CK350+MAX(CL350,2*(J350/IF(CG350&gt;0,CG350,MAX(0.1,N(Cockpit!$C$6)))-CK350)),0)</f>
        <v>10</v>
      </c>
      <c r="AM350" s="51" t="n">
        <f aca="false">IF(AI350&gt;0,J350/AI350,-1)</f>
        <v>6.70967741935484</v>
      </c>
      <c r="AN350" s="51" t="n">
        <f aca="false">IF(AND(OR(CF350="L1",CF350="L23",CF350="LIFT"),AI350&gt;0),SUMIFS($AI$7:$AI$1843,$CF$7:$CF$1843,CF350,$AM$7:$AM$1843,"&gt;"&amp;AM350)+SUMIFS($AI$7:$AI$1843,$CF$7:$CF$1843,CF350,$AM$7:$AM$1843,AM350,$BW$7:$BW$1843,"&lt;="&amp;BW350),"")</f>
        <v>3389.67216117216</v>
      </c>
      <c r="AO350" s="58" t="n">
        <f aca="false">IF(AN350="",0,MAX(0,MIN(1,(IF(CF350="L1",Parameter!$H$5,IF(CF350="L23",Parameter!$H$6+Parameter!$H$7,Parameter!$H$5+Parameter!$H$6+Parameter!$H$7))-(AN350-AI350))/AI350)))</f>
        <v>1</v>
      </c>
      <c r="AP350" s="50" t="n">
        <f aca="false">IF(LEFT(Cockpit!$I$5,1)="A",H350,IF(Parameter!$E$30="MAX-Bestand",IF(CH350=1,CI350,IF(LEFT(Cockpit!$I$5,1)="B",AV350,MAX(AV350,H350))),ROUNDUP(AT350,0)))</f>
        <v>15</v>
      </c>
      <c r="AQ350" s="50" t="n">
        <f aca="false">IF(BZ350=1,0,ROUNDUP(AP350/BY350,0))</f>
        <v>1</v>
      </c>
      <c r="AR350" s="52" t="n">
        <f aca="false">IF(CQ350&gt;0,CQ350*MAX(1,AP350/X350),IF(BZ350=1,IF(AP350&lt;=0,0,CD350*MAX(1,IF(H350&gt;0,AP350/H350,1))),IF(R350&gt;0,AQ350/R350,0))/MAX(0.1,N(Parameter!$M$21)))</f>
        <v>0.00961538461538462</v>
      </c>
      <c r="AS350" s="50" t="n">
        <f aca="false">AR350*CB350</f>
        <v>1.49038461538462</v>
      </c>
      <c r="AT350" s="51" t="n">
        <f aca="false">IF(LEFT(Cockpit!$I$5,1)="A",H350,IF(CH350=1,(CK350+CI350)/2,IF(LEFT(Cockpit!$I$5,1)="B",(CK350+AV350)/2,MAX((CK350+AV350)/2,H350))))</f>
        <v>15</v>
      </c>
      <c r="AU350" s="50" t="n">
        <f aca="false">AT350*G350</f>
        <v>644.25</v>
      </c>
      <c r="AV350" s="50" t="n">
        <f aca="false">ROUNDUP(CK350+MAX(CL350,2*(J350/IF(CG350&gt;0,CG350,MAX(0.1,N(Cockpit!$I$6)))-CK350)),0)</f>
        <v>10</v>
      </c>
      <c r="AW350" s="51" t="n">
        <f aca="false">IF(AS350&gt;0,J350/AS350,-1)</f>
        <v>6.70967741935484</v>
      </c>
      <c r="AX350" s="51" t="n">
        <f aca="false">IF(AND(OR(CF350="L1",CF350="L23",CF350="LIFT"),AS350&gt;0),SUMIFS($AS$7:$AS$1843,$CF$7:$CF$1843,CF350,$AW$7:$AW$1843,"&gt;"&amp;AW350)+SUMIFS($AS$7:$AS$1843,$CF$7:$CF$1843,CF350,$AW$7:$AW$1843,AW350,$BW$7:$BW$1843,"&lt;="&amp;BW350),"")</f>
        <v>4107.48351648352</v>
      </c>
      <c r="AY350" s="58" t="n">
        <f aca="false">IF(AX350="",0,MAX(0,MIN(1,(IF(CF350="L1",Parameter!$H$5,IF(CF350="L23",Parameter!$H$6+Parameter!$H$7,Parameter!$H$5+Parameter!$H$6+Parameter!$H$7))-(AX350-AS350))/AS350)))</f>
        <v>1</v>
      </c>
      <c r="AZ350" s="50" t="n">
        <f aca="false">IF(LEFT(Cockpit!$O$5,1)="A",H350,IF(Parameter!$E$30="MAX-Bestand",IF(CH350=1,CI350,IF(LEFT(Cockpit!$O$5,1)="B",BF350,MAX(BF350,H350))),ROUNDUP(BD350,0)))</f>
        <v>5</v>
      </c>
      <c r="BA350" s="50" t="n">
        <f aca="false">IF(BZ350=1,0,ROUNDUP(AZ350/BY350,0))</f>
        <v>1</v>
      </c>
      <c r="BB350" s="52" t="n">
        <f aca="false">IF(CQ350&gt;0,CQ350*MAX(1,AZ350/X350),IF(BZ350=1,IF(AZ350&lt;=0,0,CD350*MAX(1,IF(H350&gt;0,AZ350/H350,1))),IF(R350&gt;0,BA350/R350,0))/MAX(0.1,N(Parameter!$M$21)))</f>
        <v>0.00961538461538462</v>
      </c>
      <c r="BC350" s="50" t="n">
        <f aca="false">BB350*CB350</f>
        <v>1.49038461538462</v>
      </c>
      <c r="BD350" s="51" t="n">
        <f aca="false">IF(LEFT(Cockpit!$O$5,1)="A",H350,IF(CH350=1,(CK350+CI350)/2,IF(LEFT(Cockpit!$O$5,1)="B",(CK350+BF350)/2,MAX((CK350+BF350)/2,H350))))</f>
        <v>5</v>
      </c>
      <c r="BE350" s="50" t="n">
        <f aca="false">BD350*G350</f>
        <v>214.75</v>
      </c>
      <c r="BF350" s="50" t="n">
        <f aca="false">ROUNDUP(CK350+MAX(CL350,2*(J350/IF(CG350&gt;0,CG350,MAX(0.1,N(Cockpit!$O$6)))-CK350)),0)</f>
        <v>10</v>
      </c>
      <c r="BG350" s="51" t="n">
        <f aca="false">IF(BC350&gt;0,J350/BC350,-1)</f>
        <v>6.70967741935484</v>
      </c>
      <c r="BH350" s="51" t="n">
        <f aca="false">IF(AND(OR(CF350="L1",CF350="L23",CF350="LIFT"),BC350&gt;0),SUMIFS($BC$7:$BC$1843,$CF$7:$CF$1843,CF350,$BG$7:$BG$1843,"&gt;"&amp;BG350)+SUMIFS($BC$7:$BC$1843,$CF$7:$CF$1843,CF350,$BG$7:$BG$1843,BG350,$BW$7:$BW$1843,"&lt;="&amp;BW350),"")</f>
        <v>3374.5695970696</v>
      </c>
      <c r="BI350" s="58" t="n">
        <f aca="false">IF(BH350="",0,MAX(0,MIN(1,(IF(CF350="L1",Parameter!$H$5,IF(CF350="L23",Parameter!$H$6+Parameter!$H$7,Parameter!$H$5+Parameter!$H$6+Parameter!$H$7))-(BH350-BC350))/BC350)))</f>
        <v>1</v>
      </c>
      <c r="BJ350" s="48" t="str">
        <f aca="false">IF(AI350&lt;=0,"",IF(CF350="Aussen","Aussenlager",IF(CF350="-","Nicht im Lift",IF(AO350&gt;=1,"Lift",IF(AO350&lt;=0,"Aussenlager","teilweise")))))</f>
        <v>Lift</v>
      </c>
      <c r="BK350" s="48" t="str">
        <f aca="false">IF(AS350&lt;=0,"",IF(CF350="Aussen","Aussenlager",IF(CF350="-","Nicht im Lift",IF(AY350&gt;=1,"Lift",IF(AY350&lt;=0,"Aussenlager","teilweise")))))</f>
        <v>Lift</v>
      </c>
      <c r="BL350" s="48" t="str">
        <f aca="false">IF(BC350&lt;=0,"",IF(CF350="Aussen","Aussenlager",IF(CF350="-","Nicht im Lift",IF(BI350&gt;=1,"Lift",IF(BI350&lt;=0,"Aussenlager","teilweise")))))</f>
        <v>Lift</v>
      </c>
      <c r="BM350" s="48" t="str">
        <f aca="false">IF(A350="","",IF(BV350=1,"Neu; ","")&amp;IF(AND(BV350=0,BQ350&lt;0),"negativer Bestand (Export "&amp;BQ350&amp;"); ","")&amp;IF(J350&lt;=0,"Kein Verbrauch; ","")&amp;IF(CQ350&gt;0,"Lift "&amp;W350&amp;" lt. Liftbericht (Fach "&amp;X350&amp;" Stk); ",IF(CA350=1,"Gebinde geschätzt ("&amp;T350&amp;"); ",IF(BZ350=1,"Lose – Tablare geschätzt; ","")))&amp;IF(H350&gt;AV350,"Überbestand "&amp;ROUND(H350-AV350,0)&amp;" Stk / CHF "&amp;ROUND((H350-AV350)*G350,0)&amp;"; ","")&amp;IF(AND(CH350=1,CI350&lt;CJ350),"MAX &lt; MB+LG; ","")&amp;IF(AND(CP350&gt;0,CO350*10&gt;CP350),"zu hoch für Tablar; ","")&amp;IF(AND(BV350=0,OR(CH350=1,AA350&lt;&gt;"",U350&lt;&gt;"",V350&lt;&gt;"",AB350&lt;&gt;"")),"manuell übersteuert; ","")&amp;IF(AND(BZ350=0,R350=0),"Gebinde unbekannt / Stellmass fehlt; ","")&amp;IF(AND(BZ350=0,N(V350)&lt;=0,N(Q350)&lt;=0),"Menge pro Gebinde fehlt (Ist = 1 Gebinde); ","")&amp;BU350)</f>
        <v>Überbestand 5 Stk / CHF 215; </v>
      </c>
      <c r="BN350" s="48"/>
      <c r="BO350" s="48"/>
      <c r="BP350" s="55"/>
      <c r="BQ350" s="50" t="n">
        <v>4</v>
      </c>
      <c r="BR350" s="50" t="n">
        <v>11</v>
      </c>
      <c r="BS350" s="49" t="n">
        <v>178.84</v>
      </c>
      <c r="BT350" s="50" t="n">
        <v>10</v>
      </c>
      <c r="BU350" s="48"/>
      <c r="BV350" s="53" t="n">
        <v>0</v>
      </c>
      <c r="BW350" s="53" t="n">
        <v>350</v>
      </c>
      <c r="BX350" s="48" t="str">
        <f aca="false">IF(U350&lt;&gt;"",UPPER(TRIM(U350)),IF(CA350=1,UPPER(VLOOKUP(T350,Parameter!$I$27:$K$29,2,0)),IF(P350="","LOSE",P350)))</f>
        <v>S32</v>
      </c>
      <c r="BY350" s="50" t="n">
        <f aca="false">IF(BX350="LOSE",1,IF(N(V350)&gt;0,V350,IF(CA350=1,MAX(1,N(VLOOKUP(T350,Parameter!$I$27:$K$29,3,0)),H350,N(N350)),IF(N(Q350)&gt;0,Q350,MAX(1,H350)))))</f>
        <v>18</v>
      </c>
      <c r="BZ350" s="53" t="n">
        <f aca="false">IF(BX350="LOSE",1,0)</f>
        <v>0</v>
      </c>
      <c r="CA350" s="53" t="n">
        <f aca="false">IF(AND(U350="",OR(P350="",P350="LOSE"),T350&lt;&gt;"",N(S350)&lt;=0,ISNUMBER(MATCH(T350,Parameter!$I$27:$I$29,0))),1,0)</f>
        <v>0</v>
      </c>
      <c r="CB350" s="53" t="n">
        <f aca="false">IF(CQ350&gt;0,INDEX(Parameter!$H$5:$H$7,W350)/INDEX(Parameter!$E$5:$E$7,W350),IF(AND(BZ350=0,N(IFERROR(VLOOKUP(BX350,'Gebinde-Kategorie'!$A$5:$N$45,14,0),0))&gt;0),VLOOKUP(BX350,'Gebinde-Kategorie'!$A$5:$N$45,14,0)*10+Parameter!$M$23,Parameter!$M$24))</f>
        <v>155</v>
      </c>
      <c r="CC350" s="48" t="str">
        <f aca="false">IF(AND(Parameter!$B$19="Ja",E350&lt;&gt;"",ISNUMBER(MATCH(E350,Parameter!$I$35:$I$52,0))),VLOOKUP(E350,Parameter!$I$35:$J$52,2,0),IFERROR(VLOOKUP(D350,Parameter!$A$35:$C$64,2,0),"Nein"))</f>
        <v>2+3</v>
      </c>
      <c r="CD350" s="52" t="n">
        <f aca="false">IF(BZ350=0,0,IF(N(S350)&gt;0,S350,IFERROR(VLOOKUP(D350,Parameter!$A$35:$C$64,3,0)+0,0)))</f>
        <v>0</v>
      </c>
      <c r="CE350" s="48" t="n">
        <f aca="false">IF(AA350&lt;&gt;"",AA350,Z350)</f>
        <v>3</v>
      </c>
      <c r="CF350" s="48" t="str">
        <f aca="false">IF(OR(CE350=1,CE350=2,CE350=3),IF(Parameter!$E$27="Ja","LIFT",IF(CE350=1,"L1","L23")),IF(CE350="Aussen","Aussen","-"))</f>
        <v>LIFT</v>
      </c>
      <c r="CG350" s="59" t="n">
        <f aca="false">IF(N(AB350)&gt;0,AB350,0)</f>
        <v>0</v>
      </c>
      <c r="CH350" s="53" t="n">
        <f aca="false">IF(ISNUMBER(AE350),1,0)</f>
        <v>0</v>
      </c>
      <c r="CI350" s="50" t="n">
        <f aca="false">N(AE350)</f>
        <v>0</v>
      </c>
      <c r="CJ350" s="50" t="n">
        <f aca="false">N(M350)+N(N350)</f>
        <v>10</v>
      </c>
      <c r="CK350" s="50" t="n">
        <f aca="false">N(M350)</f>
        <v>0</v>
      </c>
      <c r="CL350" s="50" t="n">
        <f aca="false">N(N350)</f>
        <v>10</v>
      </c>
      <c r="CM350" s="50" t="n">
        <f aca="false">ROUNDUP(H350/BY350,0)</f>
        <v>1</v>
      </c>
      <c r="CN350" s="50" t="n">
        <f aca="false">ROUNDUP(CI350/BY350,0)</f>
        <v>0</v>
      </c>
      <c r="CO350" s="53" t="n">
        <f aca="false">IF(BZ350=1,0,IFERROR(VLOOKUP(BX350,'Gebinde-Kategorie'!$A$5:$N$45,5,0)+0,0))</f>
        <v>8</v>
      </c>
      <c r="CP350" s="53" t="n">
        <f aca="false">IFERROR(IF(OR(CE350=1,CE350=2,CE350=3),N(INDEX(Parameter!$I$5:$I$7,CE350)),0),0)</f>
        <v>0</v>
      </c>
      <c r="CQ350" s="52" t="n">
        <f aca="false">IF(AND(Parameter!$B$21="Ja",ISNUMBER(W350),N(X350)&gt;0),IFERROR(N(INDEX(Parameter!$L$5:$L$7,W350))*INDEX(Parameter!$E$5:$E$7,W350)*X350/SUMIFS($X$7:$X$1843,$W$7:$W$1843,W350),0),0)</f>
        <v>0</v>
      </c>
    </row>
    <row r="351" customFormat="false" ht="15" hidden="false" customHeight="false" outlineLevel="0" collapsed="false">
      <c r="A351" s="48" t="s">
        <v>867</v>
      </c>
      <c r="B351" s="48" t="s">
        <v>868</v>
      </c>
      <c r="C351" s="48" t="s">
        <v>173</v>
      </c>
      <c r="D351" s="48" t="s">
        <v>193</v>
      </c>
      <c r="E351" s="48"/>
      <c r="F351" s="48" t="s">
        <v>227</v>
      </c>
      <c r="G351" s="49" t="n">
        <v>6.12</v>
      </c>
      <c r="H351" s="50" t="n">
        <f aca="false">MAX(0,IF(AND(Parameter!$B$21="Ja",ISNUMBER(Y351)),Y351,IF(Parameter!$B$20="Jahresanfang 2025 + Export",BR351+BQ351,BQ351)))</f>
        <v>155</v>
      </c>
      <c r="I351" s="50" t="n">
        <f aca="false">H351*G351</f>
        <v>948.6</v>
      </c>
      <c r="J351" s="50" t="n">
        <f aca="false">BT351*Parameter!$B$18</f>
        <v>11</v>
      </c>
      <c r="K351" s="51" t="n">
        <v>142</v>
      </c>
      <c r="L351" s="52" t="n">
        <v>0.0774647887323944</v>
      </c>
      <c r="M351" s="50" t="n">
        <v>1</v>
      </c>
      <c r="N351" s="50" t="n">
        <v>10</v>
      </c>
      <c r="O351" s="53" t="n">
        <v>56</v>
      </c>
      <c r="P351" s="48" t="s">
        <v>195</v>
      </c>
      <c r="Q351" s="50" t="n">
        <v>155</v>
      </c>
      <c r="R351" s="53" t="n">
        <f aca="false">IF(BZ351=1,0,IFERROR(VLOOKUP(BX351,'Gebinde-Kategorie'!$A$5:$N$45,13,0)+0,0))</f>
        <v>12</v>
      </c>
      <c r="S351" s="54"/>
      <c r="T351" s="55"/>
      <c r="U351" s="55"/>
      <c r="V351" s="55"/>
      <c r="W351" s="48"/>
      <c r="X351" s="50"/>
      <c r="Y351" s="50"/>
      <c r="Z351" s="48" t="n">
        <f aca="false">IF(A351="","",IF(AND(Parameter!$B$21="Ja",ISNUMBER(W351)),W351,IF(CC351="2+3",IF(ISNUMBER(SEARCH("grosser Artikel",BU351)),2,IFERROR(VLOOKUP(BX351,Parameter!$F$35:$G$64,2,0),2)),IF(OR(CC351="Nein",CC351=""),"-",CC351))))</f>
        <v>2</v>
      </c>
      <c r="AA351" s="55"/>
      <c r="AB351" s="56"/>
      <c r="AC351" s="50" t="n">
        <f aca="false">AV351</f>
        <v>11</v>
      </c>
      <c r="AD351" s="50" t="n">
        <f aca="false">MAX(AV351,H351)</f>
        <v>155</v>
      </c>
      <c r="AE351" s="57"/>
      <c r="AF351" s="50" t="n">
        <f aca="false">IF(LEFT(Cockpit!$C$5,1)="A",H351,IF(Parameter!$E$30="MAX-Bestand",IF(CH351=1,CI351,IF(LEFT(Cockpit!$C$5,1)="B",AL351,MAX(AL351,H351))),ROUNDUP(AJ351,0)))</f>
        <v>155</v>
      </c>
      <c r="AG351" s="50" t="n">
        <f aca="false">IF(BZ351=1,0,ROUNDUP(AF351/BY351,0))</f>
        <v>1</v>
      </c>
      <c r="AH351" s="52" t="n">
        <f aca="false">IF(CQ351&gt;0,CQ351*MAX(1,AF351/X351),IF(BZ351=1,IF(AF351&lt;=0,0,CD351*MAX(1,IF(H351&gt;0,AF351/H351,1))),IF(R351&gt;0,AG351/R351,0))/MAX(0.1,N(Parameter!$M$21)))</f>
        <v>0.0833333333333333</v>
      </c>
      <c r="AI351" s="50" t="n">
        <f aca="false">AH351*CB351</f>
        <v>12.0833333333333</v>
      </c>
      <c r="AJ351" s="51" t="n">
        <f aca="false">IF(LEFT(Cockpit!$C$5,1)="A",H351,IF(CH351=1,(CK351+CI351)/2,IF(LEFT(Cockpit!$C$5,1)="B",(CK351+AL351)/2,MAX((CK351+AL351)/2,H351))))</f>
        <v>155</v>
      </c>
      <c r="AK351" s="50" t="n">
        <f aca="false">AJ351*G351</f>
        <v>948.6</v>
      </c>
      <c r="AL351" s="50" t="n">
        <f aca="false">ROUNDUP(CK351+MAX(CL351,2*(J351/IF(CG351&gt;0,CG351,MAX(0.1,N(Cockpit!$C$6)))-CK351)),0)</f>
        <v>11</v>
      </c>
      <c r="AM351" s="51" t="n">
        <f aca="false">IF(AI351&gt;0,J351/AI351,-1)</f>
        <v>0.910344827586207</v>
      </c>
      <c r="AN351" s="51" t="n">
        <f aca="false">IF(AND(OR(CF351="L1",CF351="L23",CF351="LIFT"),AI351&gt;0),SUMIFS($AI$7:$AI$1843,$CF$7:$CF$1843,CF351,$AM$7:$AM$1843,"&gt;"&amp;AM351)+SUMIFS($AI$7:$AI$1843,$CF$7:$CF$1843,CF351,$AM$7:$AM$1843,AM351,$BW$7:$BW$1843,"&lt;="&amp;BW351),"")</f>
        <v>7467.20558608059</v>
      </c>
      <c r="AO351" s="58" t="n">
        <f aca="false">IF(AN351="",0,MAX(0,MIN(1,(IF(CF351="L1",Parameter!$H$5,IF(CF351="L23",Parameter!$H$6+Parameter!$H$7,Parameter!$H$5+Parameter!$H$6+Parameter!$H$7))-(AN351-AI351))/AI351)))</f>
        <v>1</v>
      </c>
      <c r="AP351" s="50" t="n">
        <f aca="false">IF(LEFT(Cockpit!$I$5,1)="A",H351,IF(Parameter!$E$30="MAX-Bestand",IF(CH351=1,CI351,IF(LEFT(Cockpit!$I$5,1)="B",AV351,MAX(AV351,H351))),ROUNDUP(AT351,0)))</f>
        <v>155</v>
      </c>
      <c r="AQ351" s="50" t="n">
        <f aca="false">IF(BZ351=1,0,ROUNDUP(AP351/BY351,0))</f>
        <v>1</v>
      </c>
      <c r="AR351" s="52" t="n">
        <f aca="false">IF(CQ351&gt;0,CQ351*MAX(1,AP351/X351),IF(BZ351=1,IF(AP351&lt;=0,0,CD351*MAX(1,IF(H351&gt;0,AP351/H351,1))),IF(R351&gt;0,AQ351/R351,0))/MAX(0.1,N(Parameter!$M$21)))</f>
        <v>0.0833333333333333</v>
      </c>
      <c r="AS351" s="50" t="n">
        <f aca="false">AR351*CB351</f>
        <v>12.0833333333333</v>
      </c>
      <c r="AT351" s="51" t="n">
        <f aca="false">IF(LEFT(Cockpit!$I$5,1)="A",H351,IF(CH351=1,(CK351+CI351)/2,IF(LEFT(Cockpit!$I$5,1)="B",(CK351+AV351)/2,MAX((CK351+AV351)/2,H351))))</f>
        <v>155</v>
      </c>
      <c r="AU351" s="50" t="n">
        <f aca="false">AT351*G351</f>
        <v>948.6</v>
      </c>
      <c r="AV351" s="50" t="n">
        <f aca="false">ROUNDUP(CK351+MAX(CL351,2*(J351/IF(CG351&gt;0,CG351,MAX(0.1,N(Cockpit!$I$6)))-CK351)),0)</f>
        <v>11</v>
      </c>
      <c r="AW351" s="51" t="n">
        <f aca="false">IF(AS351&gt;0,J351/AS351,-1)</f>
        <v>0.910344827586207</v>
      </c>
      <c r="AX351" s="51" t="n">
        <f aca="false">IF(AND(OR(CF351="L1",CF351="L23",CF351="LIFT"),AS351&gt;0),SUMIFS($AS$7:$AS$1843,$CF$7:$CF$1843,CF351,$AW$7:$AW$1843,"&gt;"&amp;AW351)+SUMIFS($AS$7:$AS$1843,$CF$7:$CF$1843,CF351,$AW$7:$AW$1843,AW351,$BW$7:$BW$1843,"&lt;="&amp;BW351),"")</f>
        <v>9041.6456043956</v>
      </c>
      <c r="AY351" s="58" t="n">
        <f aca="false">IF(AX351="",0,MAX(0,MIN(1,(IF(CF351="L1",Parameter!$H$5,IF(CF351="L23",Parameter!$H$6+Parameter!$H$7,Parameter!$H$5+Parameter!$H$6+Parameter!$H$7))-(AX351-AS351))/AS351)))</f>
        <v>1</v>
      </c>
      <c r="AZ351" s="50" t="n">
        <f aca="false">IF(LEFT(Cockpit!$O$5,1)="A",H351,IF(Parameter!$E$30="MAX-Bestand",IF(CH351=1,CI351,IF(LEFT(Cockpit!$O$5,1)="B",BF351,MAX(BF351,H351))),ROUNDUP(BD351,0)))</f>
        <v>6</v>
      </c>
      <c r="BA351" s="50" t="n">
        <f aca="false">IF(BZ351=1,0,ROUNDUP(AZ351/BY351,0))</f>
        <v>1</v>
      </c>
      <c r="BB351" s="52" t="n">
        <f aca="false">IF(CQ351&gt;0,CQ351*MAX(1,AZ351/X351),IF(BZ351=1,IF(AZ351&lt;=0,0,CD351*MAX(1,IF(H351&gt;0,AZ351/H351,1))),IF(R351&gt;0,BA351/R351,0))/MAX(0.1,N(Parameter!$M$21)))</f>
        <v>0.0833333333333333</v>
      </c>
      <c r="BC351" s="50" t="n">
        <f aca="false">BB351*CB351</f>
        <v>12.0833333333333</v>
      </c>
      <c r="BD351" s="51" t="n">
        <f aca="false">IF(LEFT(Cockpit!$O$5,1)="A",H351,IF(CH351=1,(CK351+CI351)/2,IF(LEFT(Cockpit!$O$5,1)="B",(CK351+BF351)/2,MAX((CK351+BF351)/2,H351))))</f>
        <v>6</v>
      </c>
      <c r="BE351" s="50" t="n">
        <f aca="false">BD351*G351</f>
        <v>36.72</v>
      </c>
      <c r="BF351" s="50" t="n">
        <f aca="false">ROUNDUP(CK351+MAX(CL351,2*(J351/IF(CG351&gt;0,CG351,MAX(0.1,N(Cockpit!$O$6)))-CK351)),0)</f>
        <v>11</v>
      </c>
      <c r="BG351" s="51" t="n">
        <f aca="false">IF(BC351&gt;0,J351/BC351,-1)</f>
        <v>0.910344827586207</v>
      </c>
      <c r="BH351" s="51" t="n">
        <f aca="false">IF(AND(OR(CF351="L1",CF351="L23",CF351="LIFT"),BC351&gt;0),SUMIFS($BC$7:$BC$1843,$CF$7:$CF$1843,CF351,$BG$7:$BG$1843,"&gt;"&amp;BG351)+SUMIFS($BC$7:$BC$1843,$CF$7:$CF$1843,CF351,$BG$7:$BG$1843,BG351,$BW$7:$BW$1843,"&lt;="&amp;BW351),"")</f>
        <v>8240.07921245421</v>
      </c>
      <c r="BI351" s="58" t="n">
        <f aca="false">IF(BH351="",0,MAX(0,MIN(1,(IF(CF351="L1",Parameter!$H$5,IF(CF351="L23",Parameter!$H$6+Parameter!$H$7,Parameter!$H$5+Parameter!$H$6+Parameter!$H$7))-(BH351-BC351))/BC351)))</f>
        <v>1</v>
      </c>
      <c r="BJ351" s="48" t="str">
        <f aca="false">IF(AI351&lt;=0,"",IF(CF351="Aussen","Aussenlager",IF(CF351="-","Nicht im Lift",IF(AO351&gt;=1,"Lift",IF(AO351&lt;=0,"Aussenlager","teilweise")))))</f>
        <v>Lift</v>
      </c>
      <c r="BK351" s="48" t="str">
        <f aca="false">IF(AS351&lt;=0,"",IF(CF351="Aussen","Aussenlager",IF(CF351="-","Nicht im Lift",IF(AY351&gt;=1,"Lift",IF(AY351&lt;=0,"Aussenlager","teilweise")))))</f>
        <v>Lift</v>
      </c>
      <c r="BL351" s="48" t="str">
        <f aca="false">IF(BC351&lt;=0,"",IF(CF351="Aussen","Aussenlager",IF(CF351="-","Nicht im Lift",IF(BI351&gt;=1,"Lift",IF(BI351&lt;=0,"Aussenlager","teilweise")))))</f>
        <v>Lift</v>
      </c>
      <c r="BM351" s="48" t="str">
        <f aca="false">IF(A351="","",IF(BV351=1,"Neu; ","")&amp;IF(AND(BV351=0,BQ351&lt;0),"negativer Bestand (Export "&amp;BQ351&amp;"); ","")&amp;IF(J351&lt;=0,"Kein Verbrauch; ","")&amp;IF(CQ351&gt;0,"Lift "&amp;W351&amp;" lt. Liftbericht (Fach "&amp;X351&amp;" Stk); ",IF(CA351=1,"Gebinde geschätzt ("&amp;T351&amp;"); ",IF(BZ351=1,"Lose – Tablare geschätzt; ","")))&amp;IF(H351&gt;AV351,"Überbestand "&amp;ROUND(H351-AV351,0)&amp;" Stk / CHF "&amp;ROUND((H351-AV351)*G351,0)&amp;"; ","")&amp;IF(AND(CH351=1,CI351&lt;CJ351),"MAX &lt; MB+LG; ","")&amp;IF(AND(CP351&gt;0,CO351*10&gt;CP351),"zu hoch für Tablar; ","")&amp;IF(AND(BV351=0,OR(CH351=1,AA351&lt;&gt;"",U351&lt;&gt;"",V351&lt;&gt;"",AB351&lt;&gt;"")),"manuell übersteuert; ","")&amp;IF(AND(BZ351=0,R351=0),"Gebinde unbekannt / Stellmass fehlt; ","")&amp;IF(AND(BZ351=0,N(V351)&lt;=0,N(Q351)&lt;=0),"Menge pro Gebinde fehlt (Ist = 1 Gebinde); ","")&amp;BU351)</f>
        <v>Überbestand 144 Stk / CHF 881; Neuer Art.</v>
      </c>
      <c r="BN351" s="48"/>
      <c r="BO351" s="48"/>
      <c r="BP351" s="55"/>
      <c r="BQ351" s="50" t="n">
        <v>29</v>
      </c>
      <c r="BR351" s="50" t="n">
        <v>126</v>
      </c>
      <c r="BS351" s="49" t="n">
        <v>177.48</v>
      </c>
      <c r="BT351" s="50" t="n">
        <v>11</v>
      </c>
      <c r="BU351" s="48" t="s">
        <v>521</v>
      </c>
      <c r="BV351" s="53" t="n">
        <v>0</v>
      </c>
      <c r="BW351" s="53" t="n">
        <v>351</v>
      </c>
      <c r="BX351" s="48" t="str">
        <f aca="false">IF(U351&lt;&gt;"",UPPER(TRIM(U351)),IF(CA351=1,UPPER(VLOOKUP(T351,Parameter!$I$27:$K$29,2,0)),IF(P351="","LOSE",P351)))</f>
        <v>S61</v>
      </c>
      <c r="BY351" s="50" t="n">
        <f aca="false">IF(BX351="LOSE",1,IF(N(V351)&gt;0,V351,IF(CA351=1,MAX(1,N(VLOOKUP(T351,Parameter!$I$27:$K$29,3,0)),H351,N(N351)),IF(N(Q351)&gt;0,Q351,MAX(1,H351)))))</f>
        <v>155</v>
      </c>
      <c r="BZ351" s="53" t="n">
        <f aca="false">IF(BX351="LOSE",1,0)</f>
        <v>0</v>
      </c>
      <c r="CA351" s="53" t="n">
        <f aca="false">IF(AND(U351="",OR(P351="",P351="LOSE"),T351&lt;&gt;"",N(S351)&lt;=0,ISNUMBER(MATCH(T351,Parameter!$I$27:$I$29,0))),1,0)</f>
        <v>0</v>
      </c>
      <c r="CB351" s="53" t="n">
        <f aca="false">IF(CQ351&gt;0,INDEX(Parameter!$H$5:$H$7,W351)/INDEX(Parameter!$E$5:$E$7,W351),IF(AND(BZ351=0,N(IFERROR(VLOOKUP(BX351,'Gebinde-Kategorie'!$A$5:$N$45,14,0),0))&gt;0),VLOOKUP(BX351,'Gebinde-Kategorie'!$A$5:$N$45,14,0)*10+Parameter!$M$23,Parameter!$M$24))</f>
        <v>145</v>
      </c>
      <c r="CC351" s="48" t="str">
        <f aca="false">IF(AND(Parameter!$B$19="Ja",E351&lt;&gt;"",ISNUMBER(MATCH(E351,Parameter!$I$35:$I$52,0))),VLOOKUP(E351,Parameter!$I$35:$J$52,2,0),IFERROR(VLOOKUP(D351,Parameter!$A$35:$C$64,2,0),"Nein"))</f>
        <v>2+3</v>
      </c>
      <c r="CD351" s="52" t="n">
        <f aca="false">IF(BZ351=0,0,IF(N(S351)&gt;0,S351,IFERROR(VLOOKUP(D351,Parameter!$A$35:$C$64,3,0)+0,0)))</f>
        <v>0</v>
      </c>
      <c r="CE351" s="48" t="n">
        <f aca="false">IF(AA351&lt;&gt;"",AA351,Z351)</f>
        <v>2</v>
      </c>
      <c r="CF351" s="48" t="str">
        <f aca="false">IF(OR(CE351=1,CE351=2,CE351=3),IF(Parameter!$E$27="Ja","LIFT",IF(CE351=1,"L1","L23")),IF(CE351="Aussen","Aussen","-"))</f>
        <v>LIFT</v>
      </c>
      <c r="CG351" s="59" t="n">
        <f aca="false">IF(N(AB351)&gt;0,AB351,0)</f>
        <v>0</v>
      </c>
      <c r="CH351" s="53" t="n">
        <f aca="false">IF(ISNUMBER(AE351),1,0)</f>
        <v>0</v>
      </c>
      <c r="CI351" s="50" t="n">
        <f aca="false">N(AE351)</f>
        <v>0</v>
      </c>
      <c r="CJ351" s="50" t="n">
        <f aca="false">N(M351)+N(N351)</f>
        <v>11</v>
      </c>
      <c r="CK351" s="50" t="n">
        <f aca="false">N(M351)</f>
        <v>1</v>
      </c>
      <c r="CL351" s="50" t="n">
        <f aca="false">N(N351)</f>
        <v>10</v>
      </c>
      <c r="CM351" s="50" t="n">
        <f aca="false">ROUNDUP(H351/BY351,0)</f>
        <v>1</v>
      </c>
      <c r="CN351" s="50" t="n">
        <f aca="false">ROUNDUP(CI351/BY351,0)</f>
        <v>0</v>
      </c>
      <c r="CO351" s="53" t="n">
        <f aca="false">IF(BZ351=1,0,IFERROR(VLOOKUP(BX351,'Gebinde-Kategorie'!$A$5:$N$45,5,0)+0,0))</f>
        <v>11</v>
      </c>
      <c r="CP351" s="53" t="n">
        <f aca="false">IFERROR(IF(OR(CE351=1,CE351=2,CE351=3),N(INDEX(Parameter!$I$5:$I$7,CE351)),0),0)</f>
        <v>0</v>
      </c>
      <c r="CQ351" s="52" t="n">
        <f aca="false">IF(AND(Parameter!$B$21="Ja",ISNUMBER(W351),N(X351)&gt;0),IFERROR(N(INDEX(Parameter!$L$5:$L$7,W351))*INDEX(Parameter!$E$5:$E$7,W351)*X351/SUMIFS($X$7:$X$1843,$W$7:$W$1843,W351),0),0)</f>
        <v>0</v>
      </c>
    </row>
    <row r="352" customFormat="false" ht="15" hidden="false" customHeight="false" outlineLevel="0" collapsed="false">
      <c r="A352" s="48" t="s">
        <v>869</v>
      </c>
      <c r="B352" s="48" t="s">
        <v>870</v>
      </c>
      <c r="C352" s="48" t="s">
        <v>173</v>
      </c>
      <c r="D352" s="48" t="s">
        <v>193</v>
      </c>
      <c r="E352" s="48"/>
      <c r="F352" s="48" t="s">
        <v>227</v>
      </c>
      <c r="G352" s="49" t="n">
        <v>6.79</v>
      </c>
      <c r="H352" s="50" t="n">
        <f aca="false">MAX(0,IF(AND(Parameter!$B$21="Ja",ISNUMBER(Y352)),Y352,IF(Parameter!$B$20="Jahresanfang 2025 + Export",BR352+BQ352,BQ352)))</f>
        <v>43</v>
      </c>
      <c r="I352" s="50" t="n">
        <f aca="false">H352*G352</f>
        <v>291.97</v>
      </c>
      <c r="J352" s="50" t="n">
        <f aca="false">BT352*Parameter!$B$18</f>
        <v>9</v>
      </c>
      <c r="K352" s="51" t="n">
        <v>22</v>
      </c>
      <c r="L352" s="52" t="n">
        <v>0.409090909090909</v>
      </c>
      <c r="M352" s="50" t="n">
        <v>0</v>
      </c>
      <c r="N352" s="50" t="n">
        <v>10</v>
      </c>
      <c r="O352" s="53" t="n">
        <v>21</v>
      </c>
      <c r="P352" s="48" t="s">
        <v>430</v>
      </c>
      <c r="Q352" s="50" t="n">
        <v>60</v>
      </c>
      <c r="R352" s="53" t="n">
        <f aca="false">IF(BZ352=1,0,IFERROR(VLOOKUP(BX352,'Gebinde-Kategorie'!$A$5:$N$45,13,0)+0,0))</f>
        <v>104</v>
      </c>
      <c r="S352" s="54"/>
      <c r="T352" s="55"/>
      <c r="U352" s="55"/>
      <c r="V352" s="55"/>
      <c r="W352" s="48"/>
      <c r="X352" s="50"/>
      <c r="Y352" s="50"/>
      <c r="Z352" s="48" t="n">
        <f aca="false">IF(A352="","",IF(AND(Parameter!$B$21="Ja",ISNUMBER(W352)),W352,IF(CC352="2+3",IF(ISNUMBER(SEARCH("grosser Artikel",BU352)),2,IFERROR(VLOOKUP(BX352,Parameter!$F$35:$G$64,2,0),2)),IF(OR(CC352="Nein",CC352=""),"-",CC352))))</f>
        <v>3</v>
      </c>
      <c r="AA352" s="55"/>
      <c r="AB352" s="56"/>
      <c r="AC352" s="50" t="n">
        <f aca="false">AV352</f>
        <v>10</v>
      </c>
      <c r="AD352" s="50" t="n">
        <f aca="false">MAX(AV352,H352)</f>
        <v>43</v>
      </c>
      <c r="AE352" s="57"/>
      <c r="AF352" s="50" t="n">
        <f aca="false">IF(LEFT(Cockpit!$C$5,1)="A",H352,IF(Parameter!$E$30="MAX-Bestand",IF(CH352=1,CI352,IF(LEFT(Cockpit!$C$5,1)="B",AL352,MAX(AL352,H352))),ROUNDUP(AJ352,0)))</f>
        <v>43</v>
      </c>
      <c r="AG352" s="50" t="n">
        <f aca="false">IF(BZ352=1,0,ROUNDUP(AF352/BY352,0))</f>
        <v>1</v>
      </c>
      <c r="AH352" s="52" t="n">
        <f aca="false">IF(CQ352&gt;0,CQ352*MAX(1,AF352/X352),IF(BZ352=1,IF(AF352&lt;=0,0,CD352*MAX(1,IF(H352&gt;0,AF352/H352,1))),IF(R352&gt;0,AG352/R352,0))/MAX(0.1,N(Parameter!$M$21)))</f>
        <v>0.00961538461538462</v>
      </c>
      <c r="AI352" s="50" t="n">
        <f aca="false">AH352*CB352</f>
        <v>1.49038461538462</v>
      </c>
      <c r="AJ352" s="51" t="n">
        <f aca="false">IF(LEFT(Cockpit!$C$5,1)="A",H352,IF(CH352=1,(CK352+CI352)/2,IF(LEFT(Cockpit!$C$5,1)="B",(CK352+AL352)/2,MAX((CK352+AL352)/2,H352))))</f>
        <v>43</v>
      </c>
      <c r="AK352" s="50" t="n">
        <f aca="false">AJ352*G352</f>
        <v>291.97</v>
      </c>
      <c r="AL352" s="50" t="n">
        <f aca="false">ROUNDUP(CK352+MAX(CL352,2*(J352/IF(CG352&gt;0,CG352,MAX(0.1,N(Cockpit!$C$6)))-CK352)),0)</f>
        <v>10</v>
      </c>
      <c r="AM352" s="51" t="n">
        <f aca="false">IF(AI352&gt;0,J352/AI352,-1)</f>
        <v>6.03870967741935</v>
      </c>
      <c r="AN352" s="51" t="n">
        <f aca="false">IF(AND(OR(CF352="L1",CF352="L23",CF352="LIFT"),AI352&gt;0),SUMIFS($AI$7:$AI$1843,$CF$7:$CF$1843,CF352,$AM$7:$AM$1843,"&gt;"&amp;AM352)+SUMIFS($AI$7:$AI$1843,$CF$7:$CF$1843,CF352,$AM$7:$AM$1843,AM352,$BW$7:$BW$1843,"&lt;="&amp;BW352),"")</f>
        <v>3511.99725274725</v>
      </c>
      <c r="AO352" s="58" t="n">
        <f aca="false">IF(AN352="",0,MAX(0,MIN(1,(IF(CF352="L1",Parameter!$H$5,IF(CF352="L23",Parameter!$H$6+Parameter!$H$7,Parameter!$H$5+Parameter!$H$6+Parameter!$H$7))-(AN352-AI352))/AI352)))</f>
        <v>1</v>
      </c>
      <c r="AP352" s="50" t="n">
        <f aca="false">IF(LEFT(Cockpit!$I$5,1)="A",H352,IF(Parameter!$E$30="MAX-Bestand",IF(CH352=1,CI352,IF(LEFT(Cockpit!$I$5,1)="B",AV352,MAX(AV352,H352))),ROUNDUP(AT352,0)))</f>
        <v>43</v>
      </c>
      <c r="AQ352" s="50" t="n">
        <f aca="false">IF(BZ352=1,0,ROUNDUP(AP352/BY352,0))</f>
        <v>1</v>
      </c>
      <c r="AR352" s="52" t="n">
        <f aca="false">IF(CQ352&gt;0,CQ352*MAX(1,AP352/X352),IF(BZ352=1,IF(AP352&lt;=0,0,CD352*MAX(1,IF(H352&gt;0,AP352/H352,1))),IF(R352&gt;0,AQ352/R352,0))/MAX(0.1,N(Parameter!$M$21)))</f>
        <v>0.00961538461538462</v>
      </c>
      <c r="AS352" s="50" t="n">
        <f aca="false">AR352*CB352</f>
        <v>1.49038461538462</v>
      </c>
      <c r="AT352" s="51" t="n">
        <f aca="false">IF(LEFT(Cockpit!$I$5,1)="A",H352,IF(CH352=1,(CK352+CI352)/2,IF(LEFT(Cockpit!$I$5,1)="B",(CK352+AV352)/2,MAX((CK352+AV352)/2,H352))))</f>
        <v>43</v>
      </c>
      <c r="AU352" s="50" t="n">
        <f aca="false">AT352*G352</f>
        <v>291.97</v>
      </c>
      <c r="AV352" s="50" t="n">
        <f aca="false">ROUNDUP(CK352+MAX(CL352,2*(J352/IF(CG352&gt;0,CG352,MAX(0.1,N(Cockpit!$I$6)))-CK352)),0)</f>
        <v>10</v>
      </c>
      <c r="AW352" s="51" t="n">
        <f aca="false">IF(AS352&gt;0,J352/AS352,-1)</f>
        <v>6.03870967741935</v>
      </c>
      <c r="AX352" s="51" t="n">
        <f aca="false">IF(AND(OR(CF352="L1",CF352="L23",CF352="LIFT"),AS352&gt;0),SUMIFS($AS$7:$AS$1843,$CF$7:$CF$1843,CF352,$AW$7:$AW$1843,"&gt;"&amp;AW352)+SUMIFS($AS$7:$AS$1843,$CF$7:$CF$1843,CF352,$AW$7:$AW$1843,AW352,$BW$7:$BW$1843,"&lt;="&amp;BW352),"")</f>
        <v>4177.66117216117</v>
      </c>
      <c r="AY352" s="58" t="n">
        <f aca="false">IF(AX352="",0,MAX(0,MIN(1,(IF(CF352="L1",Parameter!$H$5,IF(CF352="L23",Parameter!$H$6+Parameter!$H$7,Parameter!$H$5+Parameter!$H$6+Parameter!$H$7))-(AX352-AS352))/AS352)))</f>
        <v>1</v>
      </c>
      <c r="AZ352" s="50" t="n">
        <f aca="false">IF(LEFT(Cockpit!$O$5,1)="A",H352,IF(Parameter!$E$30="MAX-Bestand",IF(CH352=1,CI352,IF(LEFT(Cockpit!$O$5,1)="B",BF352,MAX(BF352,H352))),ROUNDUP(BD352,0)))</f>
        <v>5</v>
      </c>
      <c r="BA352" s="50" t="n">
        <f aca="false">IF(BZ352=1,0,ROUNDUP(AZ352/BY352,0))</f>
        <v>1</v>
      </c>
      <c r="BB352" s="52" t="n">
        <f aca="false">IF(CQ352&gt;0,CQ352*MAX(1,AZ352/X352),IF(BZ352=1,IF(AZ352&lt;=0,0,CD352*MAX(1,IF(H352&gt;0,AZ352/H352,1))),IF(R352&gt;0,BA352/R352,0))/MAX(0.1,N(Parameter!$M$21)))</f>
        <v>0.00961538461538462</v>
      </c>
      <c r="BC352" s="50" t="n">
        <f aca="false">BB352*CB352</f>
        <v>1.49038461538462</v>
      </c>
      <c r="BD352" s="51" t="n">
        <f aca="false">IF(LEFT(Cockpit!$O$5,1)="A",H352,IF(CH352=1,(CK352+CI352)/2,IF(LEFT(Cockpit!$O$5,1)="B",(CK352+BF352)/2,MAX((CK352+BF352)/2,H352))))</f>
        <v>5</v>
      </c>
      <c r="BE352" s="50" t="n">
        <f aca="false">BD352*G352</f>
        <v>33.95</v>
      </c>
      <c r="BF352" s="50" t="n">
        <f aca="false">ROUNDUP(CK352+MAX(CL352,2*(J352/IF(CG352&gt;0,CG352,MAX(0.1,N(Cockpit!$O$6)))-CK352)),0)</f>
        <v>10</v>
      </c>
      <c r="BG352" s="51" t="n">
        <f aca="false">IF(BC352&gt;0,J352/BC352,-1)</f>
        <v>6.03870967741935</v>
      </c>
      <c r="BH352" s="51" t="n">
        <f aca="false">IF(AND(OR(CF352="L1",CF352="L23",CF352="LIFT"),BC352&gt;0),SUMIFS($BC$7:$BC$1843,$CF$7:$CF$1843,CF352,$BG$7:$BG$1843,"&gt;"&amp;BG352)+SUMIFS($BC$7:$BC$1843,$CF$7:$CF$1843,CF352,$BG$7:$BG$1843,BG352,$BW$7:$BW$1843,"&lt;="&amp;BW352),"")</f>
        <v>3500.24404761905</v>
      </c>
      <c r="BI352" s="58" t="n">
        <f aca="false">IF(BH352="",0,MAX(0,MIN(1,(IF(CF352="L1",Parameter!$H$5,IF(CF352="L23",Parameter!$H$6+Parameter!$H$7,Parameter!$H$5+Parameter!$H$6+Parameter!$H$7))-(BH352-BC352))/BC352)))</f>
        <v>1</v>
      </c>
      <c r="BJ352" s="48" t="str">
        <f aca="false">IF(AI352&lt;=0,"",IF(CF352="Aussen","Aussenlager",IF(CF352="-","Nicht im Lift",IF(AO352&gt;=1,"Lift",IF(AO352&lt;=0,"Aussenlager","teilweise")))))</f>
        <v>Lift</v>
      </c>
      <c r="BK352" s="48" t="str">
        <f aca="false">IF(AS352&lt;=0,"",IF(CF352="Aussen","Aussenlager",IF(CF352="-","Nicht im Lift",IF(AY352&gt;=1,"Lift",IF(AY352&lt;=0,"Aussenlager","teilweise")))))</f>
        <v>Lift</v>
      </c>
      <c r="BL352" s="48" t="str">
        <f aca="false">IF(BC352&lt;=0,"",IF(CF352="Aussen","Aussenlager",IF(CF352="-","Nicht im Lift",IF(BI352&gt;=1,"Lift",IF(BI352&lt;=0,"Aussenlager","teilweise")))))</f>
        <v>Lift</v>
      </c>
      <c r="BM352" s="48" t="str">
        <f aca="false">IF(A352="","",IF(BV352=1,"Neu; ","")&amp;IF(AND(BV352=0,BQ352&lt;0),"negativer Bestand (Export "&amp;BQ352&amp;"); ","")&amp;IF(J352&lt;=0,"Kein Verbrauch; ","")&amp;IF(CQ352&gt;0,"Lift "&amp;W352&amp;" lt. Liftbericht (Fach "&amp;X352&amp;" Stk); ",IF(CA352=1,"Gebinde geschätzt ("&amp;T352&amp;"); ",IF(BZ352=1,"Lose – Tablare geschätzt; ","")))&amp;IF(H352&gt;AV352,"Überbestand "&amp;ROUND(H352-AV352,0)&amp;" Stk / CHF "&amp;ROUND((H352-AV352)*G352,0)&amp;"; ","")&amp;IF(AND(CH352=1,CI352&lt;CJ352),"MAX &lt; MB+LG; ","")&amp;IF(AND(CP352&gt;0,CO352*10&gt;CP352),"zu hoch für Tablar; ","")&amp;IF(AND(BV352=0,OR(CH352=1,AA352&lt;&gt;"",U352&lt;&gt;"",V352&lt;&gt;"",AB352&lt;&gt;"")),"manuell übersteuert; ","")&amp;IF(AND(BZ352=0,R352=0),"Gebinde unbekannt / Stellmass fehlt; ","")&amp;IF(AND(BZ352=0,N(V352)&lt;=0,N(Q352)&lt;=0),"Menge pro Gebinde fehlt (Ist = 1 Gebinde); ","")&amp;BU352)</f>
        <v>Überbestand 33 Stk / CHF 224; </v>
      </c>
      <c r="BN352" s="48"/>
      <c r="BO352" s="48"/>
      <c r="BP352" s="55"/>
      <c r="BQ352" s="50" t="n">
        <v>26</v>
      </c>
      <c r="BR352" s="50" t="n">
        <v>17</v>
      </c>
      <c r="BS352" s="49" t="n">
        <v>176.54</v>
      </c>
      <c r="BT352" s="50" t="n">
        <v>9</v>
      </c>
      <c r="BU352" s="48"/>
      <c r="BV352" s="53" t="n">
        <v>0</v>
      </c>
      <c r="BW352" s="53" t="n">
        <v>352</v>
      </c>
      <c r="BX352" s="48" t="str">
        <f aca="false">IF(U352&lt;&gt;"",UPPER(TRIM(U352)),IF(CA352=1,UPPER(VLOOKUP(T352,Parameter!$I$27:$K$29,2,0)),IF(P352="","LOSE",P352)))</f>
        <v>S32</v>
      </c>
      <c r="BY352" s="50" t="n">
        <f aca="false">IF(BX352="LOSE",1,IF(N(V352)&gt;0,V352,IF(CA352=1,MAX(1,N(VLOOKUP(T352,Parameter!$I$27:$K$29,3,0)),H352,N(N352)),IF(N(Q352)&gt;0,Q352,MAX(1,H352)))))</f>
        <v>60</v>
      </c>
      <c r="BZ352" s="53" t="n">
        <f aca="false">IF(BX352="LOSE",1,0)</f>
        <v>0</v>
      </c>
      <c r="CA352" s="53" t="n">
        <f aca="false">IF(AND(U352="",OR(P352="",P352="LOSE"),T352&lt;&gt;"",N(S352)&lt;=0,ISNUMBER(MATCH(T352,Parameter!$I$27:$I$29,0))),1,0)</f>
        <v>0</v>
      </c>
      <c r="CB352" s="53" t="n">
        <f aca="false">IF(CQ352&gt;0,INDEX(Parameter!$H$5:$H$7,W352)/INDEX(Parameter!$E$5:$E$7,W352),IF(AND(BZ352=0,N(IFERROR(VLOOKUP(BX352,'Gebinde-Kategorie'!$A$5:$N$45,14,0),0))&gt;0),VLOOKUP(BX352,'Gebinde-Kategorie'!$A$5:$N$45,14,0)*10+Parameter!$M$23,Parameter!$M$24))</f>
        <v>155</v>
      </c>
      <c r="CC352" s="48" t="str">
        <f aca="false">IF(AND(Parameter!$B$19="Ja",E352&lt;&gt;"",ISNUMBER(MATCH(E352,Parameter!$I$35:$I$52,0))),VLOOKUP(E352,Parameter!$I$35:$J$52,2,0),IFERROR(VLOOKUP(D352,Parameter!$A$35:$C$64,2,0),"Nein"))</f>
        <v>2+3</v>
      </c>
      <c r="CD352" s="52" t="n">
        <f aca="false">IF(BZ352=0,0,IF(N(S352)&gt;0,S352,IFERROR(VLOOKUP(D352,Parameter!$A$35:$C$64,3,0)+0,0)))</f>
        <v>0</v>
      </c>
      <c r="CE352" s="48" t="n">
        <f aca="false">IF(AA352&lt;&gt;"",AA352,Z352)</f>
        <v>3</v>
      </c>
      <c r="CF352" s="48" t="str">
        <f aca="false">IF(OR(CE352=1,CE352=2,CE352=3),IF(Parameter!$E$27="Ja","LIFT",IF(CE352=1,"L1","L23")),IF(CE352="Aussen","Aussen","-"))</f>
        <v>LIFT</v>
      </c>
      <c r="CG352" s="59" t="n">
        <f aca="false">IF(N(AB352)&gt;0,AB352,0)</f>
        <v>0</v>
      </c>
      <c r="CH352" s="53" t="n">
        <f aca="false">IF(ISNUMBER(AE352),1,0)</f>
        <v>0</v>
      </c>
      <c r="CI352" s="50" t="n">
        <f aca="false">N(AE352)</f>
        <v>0</v>
      </c>
      <c r="CJ352" s="50" t="n">
        <f aca="false">N(M352)+N(N352)</f>
        <v>10</v>
      </c>
      <c r="CK352" s="50" t="n">
        <f aca="false">N(M352)</f>
        <v>0</v>
      </c>
      <c r="CL352" s="50" t="n">
        <f aca="false">N(N352)</f>
        <v>10</v>
      </c>
      <c r="CM352" s="50" t="n">
        <f aca="false">ROUNDUP(H352/BY352,0)</f>
        <v>1</v>
      </c>
      <c r="CN352" s="50" t="n">
        <f aca="false">ROUNDUP(CI352/BY352,0)</f>
        <v>0</v>
      </c>
      <c r="CO352" s="53" t="n">
        <f aca="false">IF(BZ352=1,0,IFERROR(VLOOKUP(BX352,'Gebinde-Kategorie'!$A$5:$N$45,5,0)+0,0))</f>
        <v>8</v>
      </c>
      <c r="CP352" s="53" t="n">
        <f aca="false">IFERROR(IF(OR(CE352=1,CE352=2,CE352=3),N(INDEX(Parameter!$I$5:$I$7,CE352)),0),0)</f>
        <v>0</v>
      </c>
      <c r="CQ352" s="52" t="n">
        <f aca="false">IF(AND(Parameter!$B$21="Ja",ISNUMBER(W352),N(X352)&gt;0),IFERROR(N(INDEX(Parameter!$L$5:$L$7,W352))*INDEX(Parameter!$E$5:$E$7,W352)*X352/SUMIFS($X$7:$X$1843,$W$7:$W$1843,W352),0),0)</f>
        <v>0</v>
      </c>
    </row>
    <row r="353" customFormat="false" ht="15" hidden="false" customHeight="false" outlineLevel="0" collapsed="false">
      <c r="A353" s="48" t="s">
        <v>871</v>
      </c>
      <c r="B353" s="48" t="s">
        <v>376</v>
      </c>
      <c r="C353" s="48" t="s">
        <v>173</v>
      </c>
      <c r="D353" s="48" t="s">
        <v>193</v>
      </c>
      <c r="E353" s="48"/>
      <c r="F353" s="48" t="s">
        <v>227</v>
      </c>
      <c r="G353" s="49" t="n">
        <v>10.47</v>
      </c>
      <c r="H353" s="50" t="n">
        <f aca="false">MAX(0,IF(AND(Parameter!$B$21="Ja",ISNUMBER(Y353)),Y353,IF(Parameter!$B$20="Jahresanfang 2025 + Export",BR353+BQ353,BQ353)))</f>
        <v>26</v>
      </c>
      <c r="I353" s="50" t="n">
        <f aca="false">H353*G353</f>
        <v>272.22</v>
      </c>
      <c r="J353" s="50" t="n">
        <f aca="false">BT353*Parameter!$B$18</f>
        <v>0</v>
      </c>
      <c r="K353" s="51" t="n">
        <v>18.5</v>
      </c>
      <c r="L353" s="52" t="n">
        <v>0</v>
      </c>
      <c r="M353" s="50" t="n">
        <v>0</v>
      </c>
      <c r="N353" s="50" t="n">
        <v>10</v>
      </c>
      <c r="O353" s="53" t="n">
        <v>21</v>
      </c>
      <c r="P353" s="48" t="s">
        <v>337</v>
      </c>
      <c r="Q353" s="50" t="n">
        <v>50</v>
      </c>
      <c r="R353" s="53" t="n">
        <f aca="false">IF(BZ353=1,0,IFERROR(VLOOKUP(BX353,'Gebinde-Kategorie'!$A$5:$N$45,13,0)+0,0))</f>
        <v>52</v>
      </c>
      <c r="S353" s="54"/>
      <c r="T353" s="55"/>
      <c r="U353" s="55"/>
      <c r="V353" s="55"/>
      <c r="W353" s="48"/>
      <c r="X353" s="50"/>
      <c r="Y353" s="50"/>
      <c r="Z353" s="48" t="n">
        <f aca="false">IF(A353="","",IF(AND(Parameter!$B$21="Ja",ISNUMBER(W353)),W353,IF(CC353="2+3",IF(ISNUMBER(SEARCH("grosser Artikel",BU353)),2,IFERROR(VLOOKUP(BX353,Parameter!$F$35:$G$64,2,0),2)),IF(OR(CC353="Nein",CC353=""),"-",CC353))))</f>
        <v>3</v>
      </c>
      <c r="AA353" s="55"/>
      <c r="AB353" s="56"/>
      <c r="AC353" s="50" t="n">
        <f aca="false">AV353</f>
        <v>10</v>
      </c>
      <c r="AD353" s="50" t="n">
        <f aca="false">MAX(AV353,H353)</f>
        <v>26</v>
      </c>
      <c r="AE353" s="57"/>
      <c r="AF353" s="50" t="n">
        <f aca="false">IF(LEFT(Cockpit!$C$5,1)="A",H353,IF(Parameter!$E$30="MAX-Bestand",IF(CH353=1,CI353,IF(LEFT(Cockpit!$C$5,1)="B",AL353,MAX(AL353,H353))),ROUNDUP(AJ353,0)))</f>
        <v>26</v>
      </c>
      <c r="AG353" s="50" t="n">
        <f aca="false">IF(BZ353=1,0,ROUNDUP(AF353/BY353,0))</f>
        <v>1</v>
      </c>
      <c r="AH353" s="52" t="n">
        <f aca="false">IF(CQ353&gt;0,CQ353*MAX(1,AF353/X353),IF(BZ353=1,IF(AF353&lt;=0,0,CD353*MAX(1,IF(H353&gt;0,AF353/H353,1))),IF(R353&gt;0,AG353/R353,0))/MAX(0.1,N(Parameter!$M$21)))</f>
        <v>0.0192307692307692</v>
      </c>
      <c r="AI353" s="50" t="n">
        <f aca="false">AH353*CB353</f>
        <v>2.98076923076923</v>
      </c>
      <c r="AJ353" s="51" t="n">
        <f aca="false">IF(LEFT(Cockpit!$C$5,1)="A",H353,IF(CH353=1,(CK353+CI353)/2,IF(LEFT(Cockpit!$C$5,1)="B",(CK353+AL353)/2,MAX((CK353+AL353)/2,H353))))</f>
        <v>26</v>
      </c>
      <c r="AK353" s="50" t="n">
        <f aca="false">AJ353*G353</f>
        <v>272.22</v>
      </c>
      <c r="AL353" s="50" t="n">
        <f aca="false">ROUNDUP(CK353+MAX(CL353,2*(J353/IF(CG353&gt;0,CG353,MAX(0.1,N(Cockpit!$C$6)))-CK353)),0)</f>
        <v>10</v>
      </c>
      <c r="AM353" s="51" t="n">
        <f aca="false">IF(AI353&gt;0,J353/AI353,-1)</f>
        <v>0</v>
      </c>
      <c r="AN353" s="51" t="n">
        <f aca="false">IF(AND(OR(CF353="L1",CF353="L23",CF353="LIFT"),AI353&gt;0),SUMIFS($AI$7:$AI$1843,$CF$7:$CF$1843,CF353,$AM$7:$AM$1843,"&gt;"&amp;AM353)+SUMIFS($AI$7:$AI$1843,$CF$7:$CF$1843,CF353,$AM$7:$AM$1843,AM353,$BW$7:$BW$1843,"&lt;="&amp;BW353),"")</f>
        <v>28016.085790857</v>
      </c>
      <c r="AO353" s="58" t="n">
        <f aca="false">IF(AN353="",0,MAX(0,MIN(1,(IF(CF353="L1",Parameter!$H$5,IF(CF353="L23",Parameter!$H$6+Parameter!$H$7,Parameter!$H$5+Parameter!$H$6+Parameter!$H$7))-(AN353-AI353))/AI353)))</f>
        <v>1</v>
      </c>
      <c r="AP353" s="50" t="n">
        <f aca="false">IF(LEFT(Cockpit!$I$5,1)="A",H353,IF(Parameter!$E$30="MAX-Bestand",IF(CH353=1,CI353,IF(LEFT(Cockpit!$I$5,1)="B",AV353,MAX(AV353,H353))),ROUNDUP(AT353,0)))</f>
        <v>26</v>
      </c>
      <c r="AQ353" s="50" t="n">
        <f aca="false">IF(BZ353=1,0,ROUNDUP(AP353/BY353,0))</f>
        <v>1</v>
      </c>
      <c r="AR353" s="52" t="n">
        <f aca="false">IF(CQ353&gt;0,CQ353*MAX(1,AP353/X353),IF(BZ353=1,IF(AP353&lt;=0,0,CD353*MAX(1,IF(H353&gt;0,AP353/H353,1))),IF(R353&gt;0,AQ353/R353,0))/MAX(0.1,N(Parameter!$M$21)))</f>
        <v>0.0192307692307692</v>
      </c>
      <c r="AS353" s="50" t="n">
        <f aca="false">AR353*CB353</f>
        <v>2.98076923076923</v>
      </c>
      <c r="AT353" s="51" t="n">
        <f aca="false">IF(LEFT(Cockpit!$I$5,1)="A",H353,IF(CH353=1,(CK353+CI353)/2,IF(LEFT(Cockpit!$I$5,1)="B",(CK353+AV353)/2,MAX((CK353+AV353)/2,H353))))</f>
        <v>26</v>
      </c>
      <c r="AU353" s="50" t="n">
        <f aca="false">AT353*G353</f>
        <v>272.22</v>
      </c>
      <c r="AV353" s="50" t="n">
        <f aca="false">ROUNDUP(CK353+MAX(CL353,2*(J353/IF(CG353&gt;0,CG353,MAX(0.1,N(Cockpit!$I$6)))-CK353)),0)</f>
        <v>10</v>
      </c>
      <c r="AW353" s="51" t="n">
        <f aca="false">IF(AS353&gt;0,J353/AS353,-1)</f>
        <v>0</v>
      </c>
      <c r="AX353" s="51" t="n">
        <f aca="false">IF(AND(OR(CF353="L1",CF353="L23",CF353="LIFT"),AS353&gt;0),SUMIFS($AS$7:$AS$1843,$CF$7:$CF$1843,CF353,$AW$7:$AW$1843,"&gt;"&amp;AW353)+SUMIFS($AS$7:$AS$1843,$CF$7:$CF$1843,CF353,$AW$7:$AW$1843,AW353,$BW$7:$BW$1843,"&lt;="&amp;BW353),"")</f>
        <v>33369.2344322344</v>
      </c>
      <c r="AY353" s="58" t="n">
        <f aca="false">IF(AX353="",0,MAX(0,MIN(1,(IF(CF353="L1",Parameter!$H$5,IF(CF353="L23",Parameter!$H$6+Parameter!$H$7,Parameter!$H$5+Parameter!$H$6+Parameter!$H$7))-(AX353-AS353))/AS353)))</f>
        <v>1</v>
      </c>
      <c r="AZ353" s="50" t="n">
        <f aca="false">IF(LEFT(Cockpit!$O$5,1)="A",H353,IF(Parameter!$E$30="MAX-Bestand",IF(CH353=1,CI353,IF(LEFT(Cockpit!$O$5,1)="B",BF353,MAX(BF353,H353))),ROUNDUP(BD353,0)))</f>
        <v>5</v>
      </c>
      <c r="BA353" s="50" t="n">
        <f aca="false">IF(BZ353=1,0,ROUNDUP(AZ353/BY353,0))</f>
        <v>1</v>
      </c>
      <c r="BB353" s="52" t="n">
        <f aca="false">IF(CQ353&gt;0,CQ353*MAX(1,AZ353/X353),IF(BZ353=1,IF(AZ353&lt;=0,0,CD353*MAX(1,IF(H353&gt;0,AZ353/H353,1))),IF(R353&gt;0,BA353/R353,0))/MAX(0.1,N(Parameter!$M$21)))</f>
        <v>0.0192307692307692</v>
      </c>
      <c r="BC353" s="50" t="n">
        <f aca="false">BB353*CB353</f>
        <v>2.98076923076923</v>
      </c>
      <c r="BD353" s="51" t="n">
        <f aca="false">IF(LEFT(Cockpit!$O$5,1)="A",H353,IF(CH353=1,(CK353+CI353)/2,IF(LEFT(Cockpit!$O$5,1)="B",(CK353+BF353)/2,MAX((CK353+BF353)/2,H353))))</f>
        <v>5</v>
      </c>
      <c r="BE353" s="50" t="n">
        <f aca="false">BD353*G353</f>
        <v>52.35</v>
      </c>
      <c r="BF353" s="50" t="n">
        <f aca="false">ROUNDUP(CK353+MAX(CL353,2*(J353/IF(CG353&gt;0,CG353,MAX(0.1,N(Cockpit!$O$6)))-CK353)),0)</f>
        <v>10</v>
      </c>
      <c r="BG353" s="51" t="n">
        <f aca="false">IF(BC353&gt;0,J353/BC353,-1)</f>
        <v>0</v>
      </c>
      <c r="BH353" s="51" t="n">
        <f aca="false">IF(AND(OR(CF353="L1",CF353="L23",CF353="LIFT"),BC353&gt;0),SUMIFS($BC$7:$BC$1843,$CF$7:$CF$1843,CF353,$BG$7:$BG$1843,"&gt;"&amp;BG353)+SUMIFS($BC$7:$BC$1843,$CF$7:$CF$1843,CF353,$BG$7:$BG$1843,BG353,$BW$7:$BW$1843,"&lt;="&amp;BW353),"")</f>
        <v>27482.7714037375</v>
      </c>
      <c r="BI353" s="58" t="n">
        <f aca="false">IF(BH353="",0,MAX(0,MIN(1,(IF(CF353="L1",Parameter!$H$5,IF(CF353="L23",Parameter!$H$6+Parameter!$H$7,Parameter!$H$5+Parameter!$H$6+Parameter!$H$7))-(BH353-BC353))/BC353)))</f>
        <v>1</v>
      </c>
      <c r="BJ353" s="48" t="str">
        <f aca="false">IF(AI353&lt;=0,"",IF(CF353="Aussen","Aussenlager",IF(CF353="-","Nicht im Lift",IF(AO353&gt;=1,"Lift",IF(AO353&lt;=0,"Aussenlager","teilweise")))))</f>
        <v>Lift</v>
      </c>
      <c r="BK353" s="48" t="str">
        <f aca="false">IF(AS353&lt;=0,"",IF(CF353="Aussen","Aussenlager",IF(CF353="-","Nicht im Lift",IF(AY353&gt;=1,"Lift",IF(AY353&lt;=0,"Aussenlager","teilweise")))))</f>
        <v>Lift</v>
      </c>
      <c r="BL353" s="48" t="str">
        <f aca="false">IF(BC353&lt;=0,"",IF(CF353="Aussen","Aussenlager",IF(CF353="-","Nicht im Lift",IF(BI353&gt;=1,"Lift",IF(BI353&lt;=0,"Aussenlager","teilweise")))))</f>
        <v>Lift</v>
      </c>
      <c r="BM353" s="48" t="str">
        <f aca="false">IF(A353="","",IF(BV353=1,"Neu; ","")&amp;IF(AND(BV353=0,BQ353&lt;0),"negativer Bestand (Export "&amp;BQ353&amp;"); ","")&amp;IF(J353&lt;=0,"Kein Verbrauch; ","")&amp;IF(CQ353&gt;0,"Lift "&amp;W353&amp;" lt. Liftbericht (Fach "&amp;X353&amp;" Stk); ",IF(CA353=1,"Gebinde geschätzt ("&amp;T353&amp;"); ",IF(BZ353=1,"Lose – Tablare geschätzt; ","")))&amp;IF(H353&gt;AV353,"Überbestand "&amp;ROUND(H353-AV353,0)&amp;" Stk / CHF "&amp;ROUND((H353-AV353)*G353,0)&amp;"; ","")&amp;IF(AND(CH353=1,CI353&lt;CJ353),"MAX &lt; MB+LG; ","")&amp;IF(AND(CP353&gt;0,CO353*10&gt;CP353),"zu hoch für Tablar; ","")&amp;IF(AND(BV353=0,OR(CH353=1,AA353&lt;&gt;"",U353&lt;&gt;"",V353&lt;&gt;"",AB353&lt;&gt;"")),"manuell übersteuert; ","")&amp;IF(AND(BZ353=0,R353=0),"Gebinde unbekannt / Stellmass fehlt; ","")&amp;IF(AND(BZ353=0,N(V353)&lt;=0,N(Q353)&lt;=0),"Menge pro Gebinde fehlt (Ist = 1 Gebinde); ","")&amp;BU353)</f>
        <v>Kein Verbrauch; Überbestand 16 Stk / CHF 168; </v>
      </c>
      <c r="BN353" s="48"/>
      <c r="BO353" s="48"/>
      <c r="BP353" s="55"/>
      <c r="BQ353" s="50" t="n">
        <v>15</v>
      </c>
      <c r="BR353" s="50" t="n">
        <v>11</v>
      </c>
      <c r="BS353" s="49" t="n">
        <v>175.2</v>
      </c>
      <c r="BT353" s="50" t="n">
        <v>0</v>
      </c>
      <c r="BU353" s="48"/>
      <c r="BV353" s="53" t="n">
        <v>0</v>
      </c>
      <c r="BW353" s="53" t="n">
        <v>353</v>
      </c>
      <c r="BX353" s="48" t="str">
        <f aca="false">IF(U353&lt;&gt;"",UPPER(TRIM(U353)),IF(CA353=1,UPPER(VLOOKUP(T353,Parameter!$I$27:$K$29,2,0)),IF(P353="","LOSE",P353)))</f>
        <v>S41</v>
      </c>
      <c r="BY353" s="50" t="n">
        <f aca="false">IF(BX353="LOSE",1,IF(N(V353)&gt;0,V353,IF(CA353=1,MAX(1,N(VLOOKUP(T353,Parameter!$I$27:$K$29,3,0)),H353,N(N353)),IF(N(Q353)&gt;0,Q353,MAX(1,H353)))))</f>
        <v>50</v>
      </c>
      <c r="BZ353" s="53" t="n">
        <f aca="false">IF(BX353="LOSE",1,0)</f>
        <v>0</v>
      </c>
      <c r="CA353" s="53" t="n">
        <f aca="false">IF(AND(U353="",OR(P353="",P353="LOSE"),T353&lt;&gt;"",N(S353)&lt;=0,ISNUMBER(MATCH(T353,Parameter!$I$27:$I$29,0))),1,0)</f>
        <v>0</v>
      </c>
      <c r="CB353" s="53" t="n">
        <f aca="false">IF(CQ353&gt;0,INDEX(Parameter!$H$5:$H$7,W353)/INDEX(Parameter!$E$5:$E$7,W353),IF(AND(BZ353=0,N(IFERROR(VLOOKUP(BX353,'Gebinde-Kategorie'!$A$5:$N$45,14,0),0))&gt;0),VLOOKUP(BX353,'Gebinde-Kategorie'!$A$5:$N$45,14,0)*10+Parameter!$M$23,Parameter!$M$24))</f>
        <v>155</v>
      </c>
      <c r="CC353" s="48" t="str">
        <f aca="false">IF(AND(Parameter!$B$19="Ja",E353&lt;&gt;"",ISNUMBER(MATCH(E353,Parameter!$I$35:$I$52,0))),VLOOKUP(E353,Parameter!$I$35:$J$52,2,0),IFERROR(VLOOKUP(D353,Parameter!$A$35:$C$64,2,0),"Nein"))</f>
        <v>2+3</v>
      </c>
      <c r="CD353" s="52" t="n">
        <f aca="false">IF(BZ353=0,0,IF(N(S353)&gt;0,S353,IFERROR(VLOOKUP(D353,Parameter!$A$35:$C$64,3,0)+0,0)))</f>
        <v>0</v>
      </c>
      <c r="CE353" s="48" t="n">
        <f aca="false">IF(AA353&lt;&gt;"",AA353,Z353)</f>
        <v>3</v>
      </c>
      <c r="CF353" s="48" t="str">
        <f aca="false">IF(OR(CE353=1,CE353=2,CE353=3),IF(Parameter!$E$27="Ja","LIFT",IF(CE353=1,"L1","L23")),IF(CE353="Aussen","Aussen","-"))</f>
        <v>LIFT</v>
      </c>
      <c r="CG353" s="59" t="n">
        <f aca="false">IF(N(AB353)&gt;0,AB353,0)</f>
        <v>0</v>
      </c>
      <c r="CH353" s="53" t="n">
        <f aca="false">IF(ISNUMBER(AE353),1,0)</f>
        <v>0</v>
      </c>
      <c r="CI353" s="50" t="n">
        <f aca="false">N(AE353)</f>
        <v>0</v>
      </c>
      <c r="CJ353" s="50" t="n">
        <f aca="false">N(M353)+N(N353)</f>
        <v>10</v>
      </c>
      <c r="CK353" s="50" t="n">
        <f aca="false">N(M353)</f>
        <v>0</v>
      </c>
      <c r="CL353" s="50" t="n">
        <f aca="false">N(N353)</f>
        <v>10</v>
      </c>
      <c r="CM353" s="50" t="n">
        <f aca="false">ROUNDUP(H353/BY353,0)</f>
        <v>1</v>
      </c>
      <c r="CN353" s="50" t="n">
        <f aca="false">ROUNDUP(CI353/BY353,0)</f>
        <v>0</v>
      </c>
      <c r="CO353" s="53" t="n">
        <f aca="false">IF(BZ353=1,0,IFERROR(VLOOKUP(BX353,'Gebinde-Kategorie'!$A$5:$N$45,5,0)+0,0))</f>
        <v>11</v>
      </c>
      <c r="CP353" s="53" t="n">
        <f aca="false">IFERROR(IF(OR(CE353=1,CE353=2,CE353=3),N(INDEX(Parameter!$I$5:$I$7,CE353)),0),0)</f>
        <v>0</v>
      </c>
      <c r="CQ353" s="52" t="n">
        <f aca="false">IF(AND(Parameter!$B$21="Ja",ISNUMBER(W353),N(X353)&gt;0),IFERROR(N(INDEX(Parameter!$L$5:$L$7,W353))*INDEX(Parameter!$E$5:$E$7,W353)*X353/SUMIFS($X$7:$X$1843,$W$7:$W$1843,W353),0),0)</f>
        <v>0</v>
      </c>
    </row>
    <row r="354" customFormat="false" ht="15" hidden="false" customHeight="false" outlineLevel="0" collapsed="false">
      <c r="A354" s="48" t="s">
        <v>872</v>
      </c>
      <c r="B354" s="48" t="s">
        <v>873</v>
      </c>
      <c r="C354" s="48" t="s">
        <v>173</v>
      </c>
      <c r="D354" s="48" t="s">
        <v>193</v>
      </c>
      <c r="E354" s="48"/>
      <c r="F354" s="48" t="s">
        <v>227</v>
      </c>
      <c r="G354" s="49" t="n">
        <v>35</v>
      </c>
      <c r="H354" s="50" t="n">
        <f aca="false">MAX(0,IF(AND(Parameter!$B$21="Ja",ISNUMBER(Y354)),Y354,IF(Parameter!$B$20="Jahresanfang 2025 + Export",BR354+BQ354,BQ354)))</f>
        <v>5</v>
      </c>
      <c r="I354" s="50" t="n">
        <f aca="false">H354*G354</f>
        <v>175</v>
      </c>
      <c r="J354" s="50" t="n">
        <f aca="false">BT354*Parameter!$B$18</f>
        <v>0</v>
      </c>
      <c r="K354" s="51" t="n">
        <v>2.5</v>
      </c>
      <c r="L354" s="52" t="n">
        <v>0</v>
      </c>
      <c r="M354" s="50" t="n">
        <v>0</v>
      </c>
      <c r="N354" s="50" t="n">
        <v>1</v>
      </c>
      <c r="O354" s="53" t="n">
        <v>28</v>
      </c>
      <c r="P354" s="48" t="s">
        <v>337</v>
      </c>
      <c r="Q354" s="50" t="n">
        <v>10</v>
      </c>
      <c r="R354" s="53" t="n">
        <f aca="false">IF(BZ354=1,0,IFERROR(VLOOKUP(BX354,'Gebinde-Kategorie'!$A$5:$N$45,13,0)+0,0))</f>
        <v>52</v>
      </c>
      <c r="S354" s="54"/>
      <c r="T354" s="55"/>
      <c r="U354" s="55"/>
      <c r="V354" s="55"/>
      <c r="W354" s="48"/>
      <c r="X354" s="50"/>
      <c r="Y354" s="50"/>
      <c r="Z354" s="48" t="n">
        <f aca="false">IF(A354="","",IF(AND(Parameter!$B$21="Ja",ISNUMBER(W354)),W354,IF(CC354="2+3",IF(ISNUMBER(SEARCH("grosser Artikel",BU354)),2,IFERROR(VLOOKUP(BX354,Parameter!$F$35:$G$64,2,0),2)),IF(OR(CC354="Nein",CC354=""),"-",CC354))))</f>
        <v>3</v>
      </c>
      <c r="AA354" s="55"/>
      <c r="AB354" s="56"/>
      <c r="AC354" s="50" t="n">
        <f aca="false">AV354</f>
        <v>1</v>
      </c>
      <c r="AD354" s="50" t="n">
        <f aca="false">MAX(AV354,H354)</f>
        <v>5</v>
      </c>
      <c r="AE354" s="57"/>
      <c r="AF354" s="50" t="n">
        <f aca="false">IF(LEFT(Cockpit!$C$5,1)="A",H354,IF(Parameter!$E$30="MAX-Bestand",IF(CH354=1,CI354,IF(LEFT(Cockpit!$C$5,1)="B",AL354,MAX(AL354,H354))),ROUNDUP(AJ354,0)))</f>
        <v>5</v>
      </c>
      <c r="AG354" s="50" t="n">
        <f aca="false">IF(BZ354=1,0,ROUNDUP(AF354/BY354,0))</f>
        <v>1</v>
      </c>
      <c r="AH354" s="52" t="n">
        <f aca="false">IF(CQ354&gt;0,CQ354*MAX(1,AF354/X354),IF(BZ354=1,IF(AF354&lt;=0,0,CD354*MAX(1,IF(H354&gt;0,AF354/H354,1))),IF(R354&gt;0,AG354/R354,0))/MAX(0.1,N(Parameter!$M$21)))</f>
        <v>0.0192307692307692</v>
      </c>
      <c r="AI354" s="50" t="n">
        <f aca="false">AH354*CB354</f>
        <v>2.98076923076923</v>
      </c>
      <c r="AJ354" s="51" t="n">
        <f aca="false">IF(LEFT(Cockpit!$C$5,1)="A",H354,IF(CH354=1,(CK354+CI354)/2,IF(LEFT(Cockpit!$C$5,1)="B",(CK354+AL354)/2,MAX((CK354+AL354)/2,H354))))</f>
        <v>5</v>
      </c>
      <c r="AK354" s="50" t="n">
        <f aca="false">AJ354*G354</f>
        <v>175</v>
      </c>
      <c r="AL354" s="50" t="n">
        <f aca="false">ROUNDUP(CK354+MAX(CL354,2*(J354/IF(CG354&gt;0,CG354,MAX(0.1,N(Cockpit!$C$6)))-CK354)),0)</f>
        <v>1</v>
      </c>
      <c r="AM354" s="51" t="n">
        <f aca="false">IF(AI354&gt;0,J354/AI354,-1)</f>
        <v>0</v>
      </c>
      <c r="AN354" s="51" t="n">
        <f aca="false">IF(AND(OR(CF354="L1",CF354="L23",CF354="LIFT"),AI354&gt;0),SUMIFS($AI$7:$AI$1843,$CF$7:$CF$1843,CF354,$AM$7:$AM$1843,"&gt;"&amp;AM354)+SUMIFS($AI$7:$AI$1843,$CF$7:$CF$1843,CF354,$AM$7:$AM$1843,AM354,$BW$7:$BW$1843,"&lt;="&amp;BW354),"")</f>
        <v>28019.0665600877</v>
      </c>
      <c r="AO354" s="58" t="n">
        <f aca="false">IF(AN354="",0,MAX(0,MIN(1,(IF(CF354="L1",Parameter!$H$5,IF(CF354="L23",Parameter!$H$6+Parameter!$H$7,Parameter!$H$5+Parameter!$H$6+Parameter!$H$7))-(AN354-AI354))/AI354)))</f>
        <v>1</v>
      </c>
      <c r="AP354" s="50" t="n">
        <f aca="false">IF(LEFT(Cockpit!$I$5,1)="A",H354,IF(Parameter!$E$30="MAX-Bestand",IF(CH354=1,CI354,IF(LEFT(Cockpit!$I$5,1)="B",AV354,MAX(AV354,H354))),ROUNDUP(AT354,0)))</f>
        <v>5</v>
      </c>
      <c r="AQ354" s="50" t="n">
        <f aca="false">IF(BZ354=1,0,ROUNDUP(AP354/BY354,0))</f>
        <v>1</v>
      </c>
      <c r="AR354" s="52" t="n">
        <f aca="false">IF(CQ354&gt;0,CQ354*MAX(1,AP354/X354),IF(BZ354=1,IF(AP354&lt;=0,0,CD354*MAX(1,IF(H354&gt;0,AP354/H354,1))),IF(R354&gt;0,AQ354/R354,0))/MAX(0.1,N(Parameter!$M$21)))</f>
        <v>0.0192307692307692</v>
      </c>
      <c r="AS354" s="50" t="n">
        <f aca="false">AR354*CB354</f>
        <v>2.98076923076923</v>
      </c>
      <c r="AT354" s="51" t="n">
        <f aca="false">IF(LEFT(Cockpit!$I$5,1)="A",H354,IF(CH354=1,(CK354+CI354)/2,IF(LEFT(Cockpit!$I$5,1)="B",(CK354+AV354)/2,MAX((CK354+AV354)/2,H354))))</f>
        <v>5</v>
      </c>
      <c r="AU354" s="50" t="n">
        <f aca="false">AT354*G354</f>
        <v>175</v>
      </c>
      <c r="AV354" s="50" t="n">
        <f aca="false">ROUNDUP(CK354+MAX(CL354,2*(J354/IF(CG354&gt;0,CG354,MAX(0.1,N(Cockpit!$I$6)))-CK354)),0)</f>
        <v>1</v>
      </c>
      <c r="AW354" s="51" t="n">
        <f aca="false">IF(AS354&gt;0,J354/AS354,-1)</f>
        <v>0</v>
      </c>
      <c r="AX354" s="51" t="n">
        <f aca="false">IF(AND(OR(CF354="L1",CF354="L23",CF354="LIFT"),AS354&gt;0),SUMIFS($AS$7:$AS$1843,$CF$7:$CF$1843,CF354,$AW$7:$AW$1843,"&gt;"&amp;AW354)+SUMIFS($AS$7:$AS$1843,$CF$7:$CF$1843,CF354,$AW$7:$AW$1843,AW354,$BW$7:$BW$1843,"&lt;="&amp;BW354),"")</f>
        <v>33372.2152014652</v>
      </c>
      <c r="AY354" s="58" t="n">
        <f aca="false">IF(AX354="",0,MAX(0,MIN(1,(IF(CF354="L1",Parameter!$H$5,IF(CF354="L23",Parameter!$H$6+Parameter!$H$7,Parameter!$H$5+Parameter!$H$6+Parameter!$H$7))-(AX354-AS354))/AS354)))</f>
        <v>1</v>
      </c>
      <c r="AZ354" s="50" t="n">
        <f aca="false">IF(LEFT(Cockpit!$O$5,1)="A",H354,IF(Parameter!$E$30="MAX-Bestand",IF(CH354=1,CI354,IF(LEFT(Cockpit!$O$5,1)="B",BF354,MAX(BF354,H354))),ROUNDUP(BD354,0)))</f>
        <v>1</v>
      </c>
      <c r="BA354" s="50" t="n">
        <f aca="false">IF(BZ354=1,0,ROUNDUP(AZ354/BY354,0))</f>
        <v>1</v>
      </c>
      <c r="BB354" s="52" t="n">
        <f aca="false">IF(CQ354&gt;0,CQ354*MAX(1,AZ354/X354),IF(BZ354=1,IF(AZ354&lt;=0,0,CD354*MAX(1,IF(H354&gt;0,AZ354/H354,1))),IF(R354&gt;0,BA354/R354,0))/MAX(0.1,N(Parameter!$M$21)))</f>
        <v>0.0192307692307692</v>
      </c>
      <c r="BC354" s="50" t="n">
        <f aca="false">BB354*CB354</f>
        <v>2.98076923076923</v>
      </c>
      <c r="BD354" s="51" t="n">
        <f aca="false">IF(LEFT(Cockpit!$O$5,1)="A",H354,IF(CH354=1,(CK354+CI354)/2,IF(LEFT(Cockpit!$O$5,1)="B",(CK354+BF354)/2,MAX((CK354+BF354)/2,H354))))</f>
        <v>0.5</v>
      </c>
      <c r="BE354" s="50" t="n">
        <f aca="false">BD354*G354</f>
        <v>17.5</v>
      </c>
      <c r="BF354" s="50" t="n">
        <f aca="false">ROUNDUP(CK354+MAX(CL354,2*(J354/IF(CG354&gt;0,CG354,MAX(0.1,N(Cockpit!$O$6)))-CK354)),0)</f>
        <v>1</v>
      </c>
      <c r="BG354" s="51" t="n">
        <f aca="false">IF(BC354&gt;0,J354/BC354,-1)</f>
        <v>0</v>
      </c>
      <c r="BH354" s="51" t="n">
        <f aca="false">IF(AND(OR(CF354="L1",CF354="L23",CF354="LIFT"),BC354&gt;0),SUMIFS($BC$7:$BC$1843,$CF$7:$CF$1843,CF354,$BG$7:$BG$1843,"&gt;"&amp;BG354)+SUMIFS($BC$7:$BC$1843,$CF$7:$CF$1843,CF354,$BG$7:$BG$1843,BG354,$BW$7:$BW$1843,"&lt;="&amp;BW354),"")</f>
        <v>27485.7521729683</v>
      </c>
      <c r="BI354" s="58" t="n">
        <f aca="false">IF(BH354="",0,MAX(0,MIN(1,(IF(CF354="L1",Parameter!$H$5,IF(CF354="L23",Parameter!$H$6+Parameter!$H$7,Parameter!$H$5+Parameter!$H$6+Parameter!$H$7))-(BH354-BC354))/BC354)))</f>
        <v>1</v>
      </c>
      <c r="BJ354" s="48" t="str">
        <f aca="false">IF(AI354&lt;=0,"",IF(CF354="Aussen","Aussenlager",IF(CF354="-","Nicht im Lift",IF(AO354&gt;=1,"Lift",IF(AO354&lt;=0,"Aussenlager","teilweise")))))</f>
        <v>Lift</v>
      </c>
      <c r="BK354" s="48" t="str">
        <f aca="false">IF(AS354&lt;=0,"",IF(CF354="Aussen","Aussenlager",IF(CF354="-","Nicht im Lift",IF(AY354&gt;=1,"Lift",IF(AY354&lt;=0,"Aussenlager","teilweise")))))</f>
        <v>Lift</v>
      </c>
      <c r="BL354" s="48" t="str">
        <f aca="false">IF(BC354&lt;=0,"",IF(CF354="Aussen","Aussenlager",IF(CF354="-","Nicht im Lift",IF(BI354&gt;=1,"Lift",IF(BI354&lt;=0,"Aussenlager","teilweise")))))</f>
        <v>Lift</v>
      </c>
      <c r="BM354" s="48" t="str">
        <f aca="false">IF(A354="","",IF(BV354=1,"Neu; ","")&amp;IF(AND(BV354=0,BQ354&lt;0),"negativer Bestand (Export "&amp;BQ354&amp;"); ","")&amp;IF(J354&lt;=0,"Kein Verbrauch; ","")&amp;IF(CQ354&gt;0,"Lift "&amp;W354&amp;" lt. Liftbericht (Fach "&amp;X354&amp;" Stk); ",IF(CA354=1,"Gebinde geschätzt ("&amp;T354&amp;"); ",IF(BZ354=1,"Lose – Tablare geschätzt; ","")))&amp;IF(H354&gt;AV354,"Überbestand "&amp;ROUND(H354-AV354,0)&amp;" Stk / CHF "&amp;ROUND((H354-AV354)*G354,0)&amp;"; ","")&amp;IF(AND(CH354=1,CI354&lt;CJ354),"MAX &lt; MB+LG; ","")&amp;IF(AND(CP354&gt;0,CO354*10&gt;CP354),"zu hoch für Tablar; ","")&amp;IF(AND(BV354=0,OR(CH354=1,AA354&lt;&gt;"",U354&lt;&gt;"",V354&lt;&gt;"",AB354&lt;&gt;"")),"manuell übersteuert; ","")&amp;IF(AND(BZ354=0,R354=0),"Gebinde unbekannt / Stellmass fehlt; ","")&amp;IF(AND(BZ354=0,N(V354)&lt;=0,N(Q354)&lt;=0),"Menge pro Gebinde fehlt (Ist = 1 Gebinde); ","")&amp;BU354)</f>
        <v>Kein Verbrauch; Überbestand 4 Stk / CHF 140; </v>
      </c>
      <c r="BN354" s="48"/>
      <c r="BO354" s="48"/>
      <c r="BP354" s="55"/>
      <c r="BQ354" s="50" t="n">
        <v>5</v>
      </c>
      <c r="BR354" s="50" t="n">
        <v>0</v>
      </c>
      <c r="BS354" s="49" t="n">
        <v>175</v>
      </c>
      <c r="BT354" s="50" t="n">
        <v>0</v>
      </c>
      <c r="BU354" s="48"/>
      <c r="BV354" s="53" t="n">
        <v>0</v>
      </c>
      <c r="BW354" s="53" t="n">
        <v>354</v>
      </c>
      <c r="BX354" s="48" t="str">
        <f aca="false">IF(U354&lt;&gt;"",UPPER(TRIM(U354)),IF(CA354=1,UPPER(VLOOKUP(T354,Parameter!$I$27:$K$29,2,0)),IF(P354="","LOSE",P354)))</f>
        <v>S41</v>
      </c>
      <c r="BY354" s="50" t="n">
        <f aca="false">IF(BX354="LOSE",1,IF(N(V354)&gt;0,V354,IF(CA354=1,MAX(1,N(VLOOKUP(T354,Parameter!$I$27:$K$29,3,0)),H354,N(N354)),IF(N(Q354)&gt;0,Q354,MAX(1,H354)))))</f>
        <v>10</v>
      </c>
      <c r="BZ354" s="53" t="n">
        <f aca="false">IF(BX354="LOSE",1,0)</f>
        <v>0</v>
      </c>
      <c r="CA354" s="53" t="n">
        <f aca="false">IF(AND(U354="",OR(P354="",P354="LOSE"),T354&lt;&gt;"",N(S354)&lt;=0,ISNUMBER(MATCH(T354,Parameter!$I$27:$I$29,0))),1,0)</f>
        <v>0</v>
      </c>
      <c r="CB354" s="53" t="n">
        <f aca="false">IF(CQ354&gt;0,INDEX(Parameter!$H$5:$H$7,W354)/INDEX(Parameter!$E$5:$E$7,W354),IF(AND(BZ354=0,N(IFERROR(VLOOKUP(BX354,'Gebinde-Kategorie'!$A$5:$N$45,14,0),0))&gt;0),VLOOKUP(BX354,'Gebinde-Kategorie'!$A$5:$N$45,14,0)*10+Parameter!$M$23,Parameter!$M$24))</f>
        <v>155</v>
      </c>
      <c r="CC354" s="48" t="str">
        <f aca="false">IF(AND(Parameter!$B$19="Ja",E354&lt;&gt;"",ISNUMBER(MATCH(E354,Parameter!$I$35:$I$52,0))),VLOOKUP(E354,Parameter!$I$35:$J$52,2,0),IFERROR(VLOOKUP(D354,Parameter!$A$35:$C$64,2,0),"Nein"))</f>
        <v>2+3</v>
      </c>
      <c r="CD354" s="52" t="n">
        <f aca="false">IF(BZ354=0,0,IF(N(S354)&gt;0,S354,IFERROR(VLOOKUP(D354,Parameter!$A$35:$C$64,3,0)+0,0)))</f>
        <v>0</v>
      </c>
      <c r="CE354" s="48" t="n">
        <f aca="false">IF(AA354&lt;&gt;"",AA354,Z354)</f>
        <v>3</v>
      </c>
      <c r="CF354" s="48" t="str">
        <f aca="false">IF(OR(CE354=1,CE354=2,CE354=3),IF(Parameter!$E$27="Ja","LIFT",IF(CE354=1,"L1","L23")),IF(CE354="Aussen","Aussen","-"))</f>
        <v>LIFT</v>
      </c>
      <c r="CG354" s="59" t="n">
        <f aca="false">IF(N(AB354)&gt;0,AB354,0)</f>
        <v>0</v>
      </c>
      <c r="CH354" s="53" t="n">
        <f aca="false">IF(ISNUMBER(AE354),1,0)</f>
        <v>0</v>
      </c>
      <c r="CI354" s="50" t="n">
        <f aca="false">N(AE354)</f>
        <v>0</v>
      </c>
      <c r="CJ354" s="50" t="n">
        <f aca="false">N(M354)+N(N354)</f>
        <v>1</v>
      </c>
      <c r="CK354" s="50" t="n">
        <f aca="false">N(M354)</f>
        <v>0</v>
      </c>
      <c r="CL354" s="50" t="n">
        <f aca="false">N(N354)</f>
        <v>1</v>
      </c>
      <c r="CM354" s="50" t="n">
        <f aca="false">ROUNDUP(H354/BY354,0)</f>
        <v>1</v>
      </c>
      <c r="CN354" s="50" t="n">
        <f aca="false">ROUNDUP(CI354/BY354,0)</f>
        <v>0</v>
      </c>
      <c r="CO354" s="53" t="n">
        <f aca="false">IF(BZ354=1,0,IFERROR(VLOOKUP(BX354,'Gebinde-Kategorie'!$A$5:$N$45,5,0)+0,0))</f>
        <v>11</v>
      </c>
      <c r="CP354" s="53" t="n">
        <f aca="false">IFERROR(IF(OR(CE354=1,CE354=2,CE354=3),N(INDEX(Parameter!$I$5:$I$7,CE354)),0),0)</f>
        <v>0</v>
      </c>
      <c r="CQ354" s="52" t="n">
        <f aca="false">IF(AND(Parameter!$B$21="Ja",ISNUMBER(W354),N(X354)&gt;0),IFERROR(N(INDEX(Parameter!$L$5:$L$7,W354))*INDEX(Parameter!$E$5:$E$7,W354)*X354/SUMIFS($X$7:$X$1843,$W$7:$W$1843,W354),0),0)</f>
        <v>0</v>
      </c>
    </row>
    <row r="355" customFormat="false" ht="15" hidden="false" customHeight="false" outlineLevel="0" collapsed="false">
      <c r="A355" s="48" t="s">
        <v>874</v>
      </c>
      <c r="B355" s="48" t="s">
        <v>598</v>
      </c>
      <c r="C355" s="48" t="s">
        <v>173</v>
      </c>
      <c r="D355" s="48" t="s">
        <v>193</v>
      </c>
      <c r="E355" s="48" t="s">
        <v>194</v>
      </c>
      <c r="F355" s="48" t="s">
        <v>227</v>
      </c>
      <c r="G355" s="49" t="n">
        <v>17.2</v>
      </c>
      <c r="H355" s="50" t="n">
        <f aca="false">MAX(0,IF(AND(Parameter!$B$21="Ja",ISNUMBER(Y355)),Y355,IF(Parameter!$B$20="Jahresanfang 2025 + Export",BR355+BQ355,BQ355)))</f>
        <v>78</v>
      </c>
      <c r="I355" s="50" t="n">
        <f aca="false">H355*G355</f>
        <v>1341.6</v>
      </c>
      <c r="J355" s="50" t="n">
        <f aca="false">BT355*Parameter!$B$18</f>
        <v>0</v>
      </c>
      <c r="K355" s="51" t="n">
        <v>73</v>
      </c>
      <c r="L355" s="52" t="n">
        <v>0</v>
      </c>
      <c r="M355" s="50" t="n">
        <v>0</v>
      </c>
      <c r="N355" s="50" t="n">
        <v>1</v>
      </c>
      <c r="O355" s="53" t="n">
        <v>35</v>
      </c>
      <c r="P355" s="48" t="s">
        <v>435</v>
      </c>
      <c r="Q355" s="50" t="n">
        <v>114</v>
      </c>
      <c r="R355" s="53" t="n">
        <f aca="false">IF(BZ355=1,0,IFERROR(VLOOKUP(BX355,'Gebinde-Kategorie'!$A$5:$N$45,13,0)+0,0))</f>
        <v>140</v>
      </c>
      <c r="S355" s="54"/>
      <c r="T355" s="55"/>
      <c r="U355" s="55"/>
      <c r="V355" s="55"/>
      <c r="W355" s="48"/>
      <c r="X355" s="50"/>
      <c r="Y355" s="50"/>
      <c r="Z355" s="48" t="n">
        <f aca="false">IF(A355="","",IF(AND(Parameter!$B$21="Ja",ISNUMBER(W355)),W355,IF(CC355="2+3",IF(ISNUMBER(SEARCH("grosser Artikel",BU355)),2,IFERROR(VLOOKUP(BX355,Parameter!$F$35:$G$64,2,0),2)),IF(OR(CC355="Nein",CC355=""),"-",CC355))))</f>
        <v>3</v>
      </c>
      <c r="AA355" s="55"/>
      <c r="AB355" s="56"/>
      <c r="AC355" s="50" t="n">
        <f aca="false">AV355</f>
        <v>1</v>
      </c>
      <c r="AD355" s="50" t="n">
        <f aca="false">MAX(AV355,H355)</f>
        <v>78</v>
      </c>
      <c r="AE355" s="57"/>
      <c r="AF355" s="50" t="n">
        <f aca="false">IF(LEFT(Cockpit!$C$5,1)="A",H355,IF(Parameter!$E$30="MAX-Bestand",IF(CH355=1,CI355,IF(LEFT(Cockpit!$C$5,1)="B",AL355,MAX(AL355,H355))),ROUNDUP(AJ355,0)))</f>
        <v>78</v>
      </c>
      <c r="AG355" s="50" t="n">
        <f aca="false">IF(BZ355=1,0,ROUNDUP(AF355/BY355,0))</f>
        <v>1</v>
      </c>
      <c r="AH355" s="52" t="n">
        <f aca="false">IF(CQ355&gt;0,CQ355*MAX(1,AF355/X355),IF(BZ355=1,IF(AF355&lt;=0,0,CD355*MAX(1,IF(H355&gt;0,AF355/H355,1))),IF(R355&gt;0,AG355/R355,0))/MAX(0.1,N(Parameter!$M$21)))</f>
        <v>0.00714285714285714</v>
      </c>
      <c r="AI355" s="50" t="n">
        <f aca="false">AH355*CB355</f>
        <v>1.10714285714286</v>
      </c>
      <c r="AJ355" s="51" t="n">
        <f aca="false">IF(LEFT(Cockpit!$C$5,1)="A",H355,IF(CH355=1,(CK355+CI355)/2,IF(LEFT(Cockpit!$C$5,1)="B",(CK355+AL355)/2,MAX((CK355+AL355)/2,H355))))</f>
        <v>78</v>
      </c>
      <c r="AK355" s="50" t="n">
        <f aca="false">AJ355*G355</f>
        <v>1341.6</v>
      </c>
      <c r="AL355" s="50" t="n">
        <f aca="false">ROUNDUP(CK355+MAX(CL355,2*(J355/IF(CG355&gt;0,CG355,MAX(0.1,N(Cockpit!$C$6)))-CK355)),0)</f>
        <v>1</v>
      </c>
      <c r="AM355" s="51" t="n">
        <f aca="false">IF(AI355&gt;0,J355/AI355,-1)</f>
        <v>0</v>
      </c>
      <c r="AN355" s="51" t="n">
        <f aca="false">IF(AND(OR(CF355="L1",CF355="L23",CF355="LIFT"),AI355&gt;0),SUMIFS($AI$7:$AI$1843,$CF$7:$CF$1843,CF355,$AM$7:$AM$1843,"&gt;"&amp;AM355)+SUMIFS($AI$7:$AI$1843,$CF$7:$CF$1843,CF355,$AM$7:$AM$1843,AM355,$BW$7:$BW$1843,"&lt;="&amp;BW355),"")</f>
        <v>28020.1737029449</v>
      </c>
      <c r="AO355" s="58" t="n">
        <f aca="false">IF(AN355="",0,MAX(0,MIN(1,(IF(CF355="L1",Parameter!$H$5,IF(CF355="L23",Parameter!$H$6+Parameter!$H$7,Parameter!$H$5+Parameter!$H$6+Parameter!$H$7))-(AN355-AI355))/AI355)))</f>
        <v>1</v>
      </c>
      <c r="AP355" s="50" t="n">
        <f aca="false">IF(LEFT(Cockpit!$I$5,1)="A",H355,IF(Parameter!$E$30="MAX-Bestand",IF(CH355=1,CI355,IF(LEFT(Cockpit!$I$5,1)="B",AV355,MAX(AV355,H355))),ROUNDUP(AT355,0)))</f>
        <v>78</v>
      </c>
      <c r="AQ355" s="50" t="n">
        <f aca="false">IF(BZ355=1,0,ROUNDUP(AP355/BY355,0))</f>
        <v>1</v>
      </c>
      <c r="AR355" s="52" t="n">
        <f aca="false">IF(CQ355&gt;0,CQ355*MAX(1,AP355/X355),IF(BZ355=1,IF(AP355&lt;=0,0,CD355*MAX(1,IF(H355&gt;0,AP355/H355,1))),IF(R355&gt;0,AQ355/R355,0))/MAX(0.1,N(Parameter!$M$21)))</f>
        <v>0.00714285714285714</v>
      </c>
      <c r="AS355" s="50" t="n">
        <f aca="false">AR355*CB355</f>
        <v>1.10714285714286</v>
      </c>
      <c r="AT355" s="51" t="n">
        <f aca="false">IF(LEFT(Cockpit!$I$5,1)="A",H355,IF(CH355=1,(CK355+CI355)/2,IF(LEFT(Cockpit!$I$5,1)="B",(CK355+AV355)/2,MAX((CK355+AV355)/2,H355))))</f>
        <v>78</v>
      </c>
      <c r="AU355" s="50" t="n">
        <f aca="false">AT355*G355</f>
        <v>1341.6</v>
      </c>
      <c r="AV355" s="50" t="n">
        <f aca="false">ROUNDUP(CK355+MAX(CL355,2*(J355/IF(CG355&gt;0,CG355,MAX(0.1,N(Cockpit!$I$6)))-CK355)),0)</f>
        <v>1</v>
      </c>
      <c r="AW355" s="51" t="n">
        <f aca="false">IF(AS355&gt;0,J355/AS355,-1)</f>
        <v>0</v>
      </c>
      <c r="AX355" s="51" t="n">
        <f aca="false">IF(AND(OR(CF355="L1",CF355="L23",CF355="LIFT"),AS355&gt;0),SUMIFS($AS$7:$AS$1843,$CF$7:$CF$1843,CF355,$AW$7:$AW$1843,"&gt;"&amp;AW355)+SUMIFS($AS$7:$AS$1843,$CF$7:$CF$1843,CF355,$AW$7:$AW$1843,AW355,$BW$7:$BW$1843,"&lt;="&amp;BW355),"")</f>
        <v>33373.3223443223</v>
      </c>
      <c r="AY355" s="58" t="n">
        <f aca="false">IF(AX355="",0,MAX(0,MIN(1,(IF(CF355="L1",Parameter!$H$5,IF(CF355="L23",Parameter!$H$6+Parameter!$H$7,Parameter!$H$5+Parameter!$H$6+Parameter!$H$7))-(AX355-AS355))/AS355)))</f>
        <v>1</v>
      </c>
      <c r="AZ355" s="50" t="n">
        <f aca="false">IF(LEFT(Cockpit!$O$5,1)="A",H355,IF(Parameter!$E$30="MAX-Bestand",IF(CH355=1,CI355,IF(LEFT(Cockpit!$O$5,1)="B",BF355,MAX(BF355,H355))),ROUNDUP(BD355,0)))</f>
        <v>1</v>
      </c>
      <c r="BA355" s="50" t="n">
        <f aca="false">IF(BZ355=1,0,ROUNDUP(AZ355/BY355,0))</f>
        <v>1</v>
      </c>
      <c r="BB355" s="52" t="n">
        <f aca="false">IF(CQ355&gt;0,CQ355*MAX(1,AZ355/X355),IF(BZ355=1,IF(AZ355&lt;=0,0,CD355*MAX(1,IF(H355&gt;0,AZ355/H355,1))),IF(R355&gt;0,BA355/R355,0))/MAX(0.1,N(Parameter!$M$21)))</f>
        <v>0.00714285714285714</v>
      </c>
      <c r="BC355" s="50" t="n">
        <f aca="false">BB355*CB355</f>
        <v>1.10714285714286</v>
      </c>
      <c r="BD355" s="51" t="n">
        <f aca="false">IF(LEFT(Cockpit!$O$5,1)="A",H355,IF(CH355=1,(CK355+CI355)/2,IF(LEFT(Cockpit!$O$5,1)="B",(CK355+BF355)/2,MAX((CK355+BF355)/2,H355))))</f>
        <v>0.5</v>
      </c>
      <c r="BE355" s="50" t="n">
        <f aca="false">BD355*G355</f>
        <v>8.6</v>
      </c>
      <c r="BF355" s="50" t="n">
        <f aca="false">ROUNDUP(CK355+MAX(CL355,2*(J355/IF(CG355&gt;0,CG355,MAX(0.1,N(Cockpit!$O$6)))-CK355)),0)</f>
        <v>1</v>
      </c>
      <c r="BG355" s="51" t="n">
        <f aca="false">IF(BC355&gt;0,J355/BC355,-1)</f>
        <v>0</v>
      </c>
      <c r="BH355" s="51" t="n">
        <f aca="false">IF(AND(OR(CF355="L1",CF355="L23",CF355="LIFT"),BC355&gt;0),SUMIFS($BC$7:$BC$1843,$CF$7:$CF$1843,CF355,$BG$7:$BG$1843,"&gt;"&amp;BG355)+SUMIFS($BC$7:$BC$1843,$CF$7:$CF$1843,CF355,$BG$7:$BG$1843,BG355,$BW$7:$BW$1843,"&lt;="&amp;BW355),"")</f>
        <v>27486.8593158254</v>
      </c>
      <c r="BI355" s="58" t="n">
        <f aca="false">IF(BH355="",0,MAX(0,MIN(1,(IF(CF355="L1",Parameter!$H$5,IF(CF355="L23",Parameter!$H$6+Parameter!$H$7,Parameter!$H$5+Parameter!$H$6+Parameter!$H$7))-(BH355-BC355))/BC355)))</f>
        <v>1</v>
      </c>
      <c r="BJ355" s="48" t="str">
        <f aca="false">IF(AI355&lt;=0,"",IF(CF355="Aussen","Aussenlager",IF(CF355="-","Nicht im Lift",IF(AO355&gt;=1,"Lift",IF(AO355&lt;=0,"Aussenlager","teilweise")))))</f>
        <v>Lift</v>
      </c>
      <c r="BK355" s="48" t="str">
        <f aca="false">IF(AS355&lt;=0,"",IF(CF355="Aussen","Aussenlager",IF(CF355="-","Nicht im Lift",IF(AY355&gt;=1,"Lift",IF(AY355&lt;=0,"Aussenlager","teilweise")))))</f>
        <v>Lift</v>
      </c>
      <c r="BL355" s="48" t="str">
        <f aca="false">IF(BC355&lt;=0,"",IF(CF355="Aussen","Aussenlager",IF(CF355="-","Nicht im Lift",IF(BI355&gt;=1,"Lift",IF(BI355&lt;=0,"Aussenlager","teilweise")))))</f>
        <v>Lift</v>
      </c>
      <c r="BM355" s="48" t="str">
        <f aca="false">IF(A355="","",IF(BV355=1,"Neu; ","")&amp;IF(AND(BV355=0,BQ355&lt;0),"negativer Bestand (Export "&amp;BQ355&amp;"); ","")&amp;IF(J355&lt;=0,"Kein Verbrauch; ","")&amp;IF(CQ355&gt;0,"Lift "&amp;W355&amp;" lt. Liftbericht (Fach "&amp;X355&amp;" Stk); ",IF(CA355=1,"Gebinde geschätzt ("&amp;T355&amp;"); ",IF(BZ355=1,"Lose – Tablare geschätzt; ","")))&amp;IF(H355&gt;AV355,"Überbestand "&amp;ROUND(H355-AV355,0)&amp;" Stk / CHF "&amp;ROUND((H355-AV355)*G355,0)&amp;"; ","")&amp;IF(AND(CH355=1,CI355&lt;CJ355),"MAX &lt; MB+LG; ","")&amp;IF(AND(CP355&gt;0,CO355*10&gt;CP355),"zu hoch für Tablar; ","")&amp;IF(AND(BV355=0,OR(CH355=1,AA355&lt;&gt;"",U355&lt;&gt;"",V355&lt;&gt;"",AB355&lt;&gt;"")),"manuell übersteuert; ","")&amp;IF(AND(BZ355=0,R355=0),"Gebinde unbekannt / Stellmass fehlt; ","")&amp;IF(AND(BZ355=0,N(V355)&lt;=0,N(Q355)&lt;=0),"Menge pro Gebinde fehlt (Ist = 1 Gebinde); ","")&amp;BU355)</f>
        <v>Kein Verbrauch; Überbestand 77 Stk / CHF 1324; Überbestand</v>
      </c>
      <c r="BN355" s="48"/>
      <c r="BO355" s="48"/>
      <c r="BP355" s="55"/>
      <c r="BQ355" s="50" t="n">
        <v>10</v>
      </c>
      <c r="BR355" s="50" t="n">
        <v>68</v>
      </c>
      <c r="BS355" s="49" t="n">
        <v>172</v>
      </c>
      <c r="BT355" s="50" t="n">
        <v>0</v>
      </c>
      <c r="BU355" s="48" t="s">
        <v>401</v>
      </c>
      <c r="BV355" s="53" t="n">
        <v>0</v>
      </c>
      <c r="BW355" s="53" t="n">
        <v>355</v>
      </c>
      <c r="BX355" s="48" t="str">
        <f aca="false">IF(U355&lt;&gt;"",UPPER(TRIM(U355)),IF(CA355=1,UPPER(VLOOKUP(T355,Parameter!$I$27:$K$29,2,0)),IF(P355="","LOSE",P355)))</f>
        <v>S22</v>
      </c>
      <c r="BY355" s="50" t="n">
        <f aca="false">IF(BX355="LOSE",1,IF(N(V355)&gt;0,V355,IF(CA355=1,MAX(1,N(VLOOKUP(T355,Parameter!$I$27:$K$29,3,0)),H355,N(N355)),IF(N(Q355)&gt;0,Q355,MAX(1,H355)))))</f>
        <v>114</v>
      </c>
      <c r="BZ355" s="53" t="n">
        <f aca="false">IF(BX355="LOSE",1,0)</f>
        <v>0</v>
      </c>
      <c r="CA355" s="53" t="n">
        <f aca="false">IF(AND(U355="",OR(P355="",P355="LOSE"),T355&lt;&gt;"",N(S355)&lt;=0,ISNUMBER(MATCH(T355,Parameter!$I$27:$I$29,0))),1,0)</f>
        <v>0</v>
      </c>
      <c r="CB355" s="53" t="n">
        <f aca="false">IF(CQ355&gt;0,INDEX(Parameter!$H$5:$H$7,W355)/INDEX(Parameter!$E$5:$E$7,W355),IF(AND(BZ355=0,N(IFERROR(VLOOKUP(BX355,'Gebinde-Kategorie'!$A$5:$N$45,14,0),0))&gt;0),VLOOKUP(BX355,'Gebinde-Kategorie'!$A$5:$N$45,14,0)*10+Parameter!$M$23,Parameter!$M$24))</f>
        <v>155</v>
      </c>
      <c r="CC355" s="48" t="str">
        <f aca="false">IF(AND(Parameter!$B$19="Ja",E355&lt;&gt;"",ISNUMBER(MATCH(E355,Parameter!$I$35:$I$52,0))),VLOOKUP(E355,Parameter!$I$35:$J$52,2,0),IFERROR(VLOOKUP(D355,Parameter!$A$35:$C$64,2,0),"Nein"))</f>
        <v>2+3</v>
      </c>
      <c r="CD355" s="52" t="n">
        <f aca="false">IF(BZ355=0,0,IF(N(S355)&gt;0,S355,IFERROR(VLOOKUP(D355,Parameter!$A$35:$C$64,3,0)+0,0)))</f>
        <v>0</v>
      </c>
      <c r="CE355" s="48" t="n">
        <f aca="false">IF(AA355&lt;&gt;"",AA355,Z355)</f>
        <v>3</v>
      </c>
      <c r="CF355" s="48" t="str">
        <f aca="false">IF(OR(CE355=1,CE355=2,CE355=3),IF(Parameter!$E$27="Ja","LIFT",IF(CE355=1,"L1","L23")),IF(CE355="Aussen","Aussen","-"))</f>
        <v>LIFT</v>
      </c>
      <c r="CG355" s="59" t="n">
        <f aca="false">IF(N(AB355)&gt;0,AB355,0)</f>
        <v>0</v>
      </c>
      <c r="CH355" s="53" t="n">
        <f aca="false">IF(ISNUMBER(AE355),1,0)</f>
        <v>0</v>
      </c>
      <c r="CI355" s="50" t="n">
        <f aca="false">N(AE355)</f>
        <v>0</v>
      </c>
      <c r="CJ355" s="50" t="n">
        <f aca="false">N(M355)+N(N355)</f>
        <v>1</v>
      </c>
      <c r="CK355" s="50" t="n">
        <f aca="false">N(M355)</f>
        <v>0</v>
      </c>
      <c r="CL355" s="50" t="n">
        <f aca="false">N(N355)</f>
        <v>1</v>
      </c>
      <c r="CM355" s="50" t="n">
        <f aca="false">ROUNDUP(H355/BY355,0)</f>
        <v>1</v>
      </c>
      <c r="CN355" s="50" t="n">
        <f aca="false">ROUNDUP(CI355/BY355,0)</f>
        <v>0</v>
      </c>
      <c r="CO355" s="53" t="n">
        <f aca="false">IF(BZ355=1,0,IFERROR(VLOOKUP(BX355,'Gebinde-Kategorie'!$A$5:$N$45,5,0)+0,0))</f>
        <v>8</v>
      </c>
      <c r="CP355" s="53" t="n">
        <f aca="false">IFERROR(IF(OR(CE355=1,CE355=2,CE355=3),N(INDEX(Parameter!$I$5:$I$7,CE355)),0),0)</f>
        <v>0</v>
      </c>
      <c r="CQ355" s="52" t="n">
        <f aca="false">IF(AND(Parameter!$B$21="Ja",ISNUMBER(W355),N(X355)&gt;0),IFERROR(N(INDEX(Parameter!$L$5:$L$7,W355))*INDEX(Parameter!$E$5:$E$7,W355)*X355/SUMIFS($X$7:$X$1843,$W$7:$W$1843,W355),0),0)</f>
        <v>0</v>
      </c>
    </row>
    <row r="356" customFormat="false" ht="15" hidden="false" customHeight="false" outlineLevel="0" collapsed="false">
      <c r="A356" s="48" t="s">
        <v>875</v>
      </c>
      <c r="B356" s="48" t="s">
        <v>876</v>
      </c>
      <c r="C356" s="48" t="s">
        <v>173</v>
      </c>
      <c r="D356" s="48" t="s">
        <v>193</v>
      </c>
      <c r="E356" s="48" t="s">
        <v>194</v>
      </c>
      <c r="F356" s="48" t="s">
        <v>227</v>
      </c>
      <c r="G356" s="49" t="n">
        <v>19.05</v>
      </c>
      <c r="H356" s="50" t="n">
        <f aca="false">MAX(0,IF(AND(Parameter!$B$21="Ja",ISNUMBER(Y356)),Y356,IF(Parameter!$B$20="Jahresanfang 2025 + Export",BR356+BQ356,BQ356)))</f>
        <v>9</v>
      </c>
      <c r="I356" s="50" t="n">
        <f aca="false">H356*G356</f>
        <v>171.45</v>
      </c>
      <c r="J356" s="50" t="n">
        <f aca="false">BT356*Parameter!$B$18</f>
        <v>6</v>
      </c>
      <c r="K356" s="51" t="n">
        <v>4.5</v>
      </c>
      <c r="L356" s="52" t="n">
        <v>1.33333333333333</v>
      </c>
      <c r="M356" s="50" t="n">
        <v>0</v>
      </c>
      <c r="N356" s="50" t="n">
        <v>5</v>
      </c>
      <c r="O356" s="53" t="n">
        <v>14</v>
      </c>
      <c r="P356" s="48" t="s">
        <v>177</v>
      </c>
      <c r="Q356" s="50"/>
      <c r="R356" s="53" t="n">
        <f aca="false">IF(BZ356=1,0,IFERROR(VLOOKUP(BX356,'Gebinde-Kategorie'!$A$5:$N$45,13,0)+0,0))</f>
        <v>26</v>
      </c>
      <c r="S356" s="54"/>
      <c r="T356" s="55" t="s">
        <v>284</v>
      </c>
      <c r="U356" s="55"/>
      <c r="V356" s="55"/>
      <c r="W356" s="48"/>
      <c r="X356" s="50"/>
      <c r="Y356" s="50"/>
      <c r="Z356" s="48" t="n">
        <f aca="false">IF(A356="","",IF(AND(Parameter!$B$21="Ja",ISNUMBER(W356)),W356,IF(CC356="2+3",IF(ISNUMBER(SEARCH("grosser Artikel",BU356)),2,IFERROR(VLOOKUP(BX356,Parameter!$F$35:$G$64,2,0),2)),IF(OR(CC356="Nein",CC356=""),"-",CC356))))</f>
        <v>3</v>
      </c>
      <c r="AA356" s="55"/>
      <c r="AB356" s="56"/>
      <c r="AC356" s="50" t="n">
        <f aca="false">AV356</f>
        <v>5</v>
      </c>
      <c r="AD356" s="50" t="n">
        <f aca="false">MAX(AV356,H356)</f>
        <v>9</v>
      </c>
      <c r="AE356" s="57"/>
      <c r="AF356" s="50" t="n">
        <f aca="false">IF(LEFT(Cockpit!$C$5,1)="A",H356,IF(Parameter!$E$30="MAX-Bestand",IF(CH356=1,CI356,IF(LEFT(Cockpit!$C$5,1)="B",AL356,MAX(AL356,H356))),ROUNDUP(AJ356,0)))</f>
        <v>9</v>
      </c>
      <c r="AG356" s="50" t="n">
        <f aca="false">IF(BZ356=1,0,ROUNDUP(AF356/BY356,0))</f>
        <v>1</v>
      </c>
      <c r="AH356" s="52" t="n">
        <f aca="false">IF(CQ356&gt;0,CQ356*MAX(1,AF356/X356),IF(BZ356=1,IF(AF356&lt;=0,0,CD356*MAX(1,IF(H356&gt;0,AF356/H356,1))),IF(R356&gt;0,AG356/R356,0))/MAX(0.1,N(Parameter!$M$21)))</f>
        <v>0.0384615384615385</v>
      </c>
      <c r="AI356" s="50" t="n">
        <f aca="false">AH356*CB356</f>
        <v>5.96153846153846</v>
      </c>
      <c r="AJ356" s="51" t="n">
        <f aca="false">IF(LEFT(Cockpit!$C$5,1)="A",H356,IF(CH356=1,(CK356+CI356)/2,IF(LEFT(Cockpit!$C$5,1)="B",(CK356+AL356)/2,MAX((CK356+AL356)/2,H356))))</f>
        <v>9</v>
      </c>
      <c r="AK356" s="50" t="n">
        <f aca="false">AJ356*G356</f>
        <v>171.45</v>
      </c>
      <c r="AL356" s="50" t="n">
        <f aca="false">ROUNDUP(CK356+MAX(CL356,2*(J356/IF(CG356&gt;0,CG356,MAX(0.1,N(Cockpit!$C$6)))-CK356)),0)</f>
        <v>5</v>
      </c>
      <c r="AM356" s="51" t="n">
        <f aca="false">IF(AI356&gt;0,J356/AI356,-1)</f>
        <v>1.00645161290323</v>
      </c>
      <c r="AN356" s="51" t="n">
        <f aca="false">IF(AND(OR(CF356="L1",CF356="L23",CF356="LIFT"),AI356&gt;0),SUMIFS($AI$7:$AI$1843,$CF$7:$CF$1843,CF356,$AM$7:$AM$1843,"&gt;"&amp;AM356)+SUMIFS($AI$7:$AI$1843,$CF$7:$CF$1843,CF356,$AM$7:$AM$1843,AM356,$BW$7:$BW$1843,"&lt;="&amp;BW356),"")</f>
        <v>7023.61584249084</v>
      </c>
      <c r="AO356" s="58" t="n">
        <f aca="false">IF(AN356="",0,MAX(0,MIN(1,(IF(CF356="L1",Parameter!$H$5,IF(CF356="L23",Parameter!$H$6+Parameter!$H$7,Parameter!$H$5+Parameter!$H$6+Parameter!$H$7))-(AN356-AI356))/AI356)))</f>
        <v>1</v>
      </c>
      <c r="AP356" s="50" t="n">
        <f aca="false">IF(LEFT(Cockpit!$I$5,1)="A",H356,IF(Parameter!$E$30="MAX-Bestand",IF(CH356=1,CI356,IF(LEFT(Cockpit!$I$5,1)="B",AV356,MAX(AV356,H356))),ROUNDUP(AT356,0)))</f>
        <v>9</v>
      </c>
      <c r="AQ356" s="50" t="n">
        <f aca="false">IF(BZ356=1,0,ROUNDUP(AP356/BY356,0))</f>
        <v>1</v>
      </c>
      <c r="AR356" s="52" t="n">
        <f aca="false">IF(CQ356&gt;0,CQ356*MAX(1,AP356/X356),IF(BZ356=1,IF(AP356&lt;=0,0,CD356*MAX(1,IF(H356&gt;0,AP356/H356,1))),IF(R356&gt;0,AQ356/R356,0))/MAX(0.1,N(Parameter!$M$21)))</f>
        <v>0.0384615384615385</v>
      </c>
      <c r="AS356" s="50" t="n">
        <f aca="false">AR356*CB356</f>
        <v>5.96153846153846</v>
      </c>
      <c r="AT356" s="51" t="n">
        <f aca="false">IF(LEFT(Cockpit!$I$5,1)="A",H356,IF(CH356=1,(CK356+CI356)/2,IF(LEFT(Cockpit!$I$5,1)="B",(CK356+AV356)/2,MAX((CK356+AV356)/2,H356))))</f>
        <v>9</v>
      </c>
      <c r="AU356" s="50" t="n">
        <f aca="false">AT356*G356</f>
        <v>171.45</v>
      </c>
      <c r="AV356" s="50" t="n">
        <f aca="false">ROUNDUP(CK356+MAX(CL356,2*(J356/IF(CG356&gt;0,CG356,MAX(0.1,N(Cockpit!$I$6)))-CK356)),0)</f>
        <v>5</v>
      </c>
      <c r="AW356" s="51" t="n">
        <f aca="false">IF(AS356&gt;0,J356/AS356,-1)</f>
        <v>1.00645161290323</v>
      </c>
      <c r="AX356" s="51" t="n">
        <f aca="false">IF(AND(OR(CF356="L1",CF356="L23",CF356="LIFT"),AS356&gt;0),SUMIFS($AS$7:$AS$1843,$CF$7:$CF$1843,CF356,$AW$7:$AW$1843,"&gt;"&amp;AW356)+SUMIFS($AS$7:$AS$1843,$CF$7:$CF$1843,CF356,$AW$7:$AW$1843,AW356,$BW$7:$BW$1843,"&lt;="&amp;BW356),"")</f>
        <v>8398.28021978022</v>
      </c>
      <c r="AY356" s="58" t="n">
        <f aca="false">IF(AX356="",0,MAX(0,MIN(1,(IF(CF356="L1",Parameter!$H$5,IF(CF356="L23",Parameter!$H$6+Parameter!$H$7,Parameter!$H$5+Parameter!$H$6+Parameter!$H$7))-(AX356-AS356))/AS356)))</f>
        <v>1</v>
      </c>
      <c r="AZ356" s="50" t="n">
        <f aca="false">IF(LEFT(Cockpit!$O$5,1)="A",H356,IF(Parameter!$E$30="MAX-Bestand",IF(CH356=1,CI356,IF(LEFT(Cockpit!$O$5,1)="B",BF356,MAX(BF356,H356))),ROUNDUP(BD356,0)))</f>
        <v>3</v>
      </c>
      <c r="BA356" s="50" t="n">
        <f aca="false">IF(BZ356=1,0,ROUNDUP(AZ356/BY356,0))</f>
        <v>1</v>
      </c>
      <c r="BB356" s="52" t="n">
        <f aca="false">IF(CQ356&gt;0,CQ356*MAX(1,AZ356/X356),IF(BZ356=1,IF(AZ356&lt;=0,0,CD356*MAX(1,IF(H356&gt;0,AZ356/H356,1))),IF(R356&gt;0,BA356/R356,0))/MAX(0.1,N(Parameter!$M$21)))</f>
        <v>0.0384615384615385</v>
      </c>
      <c r="BC356" s="50" t="n">
        <f aca="false">BB356*CB356</f>
        <v>5.96153846153846</v>
      </c>
      <c r="BD356" s="51" t="n">
        <f aca="false">IF(LEFT(Cockpit!$O$5,1)="A",H356,IF(CH356=1,(CK356+CI356)/2,IF(LEFT(Cockpit!$O$5,1)="B",(CK356+BF356)/2,MAX((CK356+BF356)/2,H356))))</f>
        <v>2.5</v>
      </c>
      <c r="BE356" s="50" t="n">
        <f aca="false">BD356*G356</f>
        <v>47.625</v>
      </c>
      <c r="BF356" s="50" t="n">
        <f aca="false">ROUNDUP(CK356+MAX(CL356,2*(J356/IF(CG356&gt;0,CG356,MAX(0.1,N(Cockpit!$O$6)))-CK356)),0)</f>
        <v>5</v>
      </c>
      <c r="BG356" s="51" t="n">
        <f aca="false">IF(BC356&gt;0,J356/BC356,-1)</f>
        <v>1.00645161290323</v>
      </c>
      <c r="BH356" s="51" t="n">
        <f aca="false">IF(AND(OR(CF356="L1",CF356="L23",CF356="LIFT"),BC356&gt;0),SUMIFS($BC$7:$BC$1843,$CF$7:$CF$1843,CF356,$BG$7:$BG$1843,"&gt;"&amp;BG356)+SUMIFS($BC$7:$BC$1843,$CF$7:$CF$1843,CF356,$BG$7:$BG$1843,BG356,$BW$7:$BW$1843,"&lt;="&amp;BW356),"")</f>
        <v>7648.31639194139</v>
      </c>
      <c r="BI356" s="58" t="n">
        <f aca="false">IF(BH356="",0,MAX(0,MIN(1,(IF(CF356="L1",Parameter!$H$5,IF(CF356="L23",Parameter!$H$6+Parameter!$H$7,Parameter!$H$5+Parameter!$H$6+Parameter!$H$7))-(BH356-BC356))/BC356)))</f>
        <v>1</v>
      </c>
      <c r="BJ356" s="48" t="str">
        <f aca="false">IF(AI356&lt;=0,"",IF(CF356="Aussen","Aussenlager",IF(CF356="-","Nicht im Lift",IF(AO356&gt;=1,"Lift",IF(AO356&lt;=0,"Aussenlager","teilweise")))))</f>
        <v>Lift</v>
      </c>
      <c r="BK356" s="48" t="str">
        <f aca="false">IF(AS356&lt;=0,"",IF(CF356="Aussen","Aussenlager",IF(CF356="-","Nicht im Lift",IF(AY356&gt;=1,"Lift",IF(AY356&lt;=0,"Aussenlager","teilweise")))))</f>
        <v>Lift</v>
      </c>
      <c r="BL356" s="48" t="str">
        <f aca="false">IF(BC356&lt;=0,"",IF(CF356="Aussen","Aussenlager",IF(CF356="-","Nicht im Lift",IF(BI356&gt;=1,"Lift",IF(BI356&lt;=0,"Aussenlager","teilweise")))))</f>
        <v>Lift</v>
      </c>
      <c r="BM356" s="48" t="str">
        <f aca="false">IF(A356="","",IF(BV356=1,"Neu; ","")&amp;IF(AND(BV356=0,BQ356&lt;0),"negativer Bestand (Export "&amp;BQ356&amp;"); ","")&amp;IF(J356&lt;=0,"Kein Verbrauch; ","")&amp;IF(CQ356&gt;0,"Lift "&amp;W356&amp;" lt. Liftbericht (Fach "&amp;X356&amp;" Stk); ",IF(CA356=1,"Gebinde geschätzt ("&amp;T356&amp;"); ",IF(BZ356=1,"Lose – Tablare geschätzt; ","")))&amp;IF(H356&gt;AV356,"Überbestand "&amp;ROUND(H356-AV356,0)&amp;" Stk / CHF "&amp;ROUND((H356-AV356)*G356,0)&amp;"; ","")&amp;IF(AND(CH356=1,CI356&lt;CJ356),"MAX &lt; MB+LG; ","")&amp;IF(AND(CP356&gt;0,CO356*10&gt;CP356),"zu hoch für Tablar; ","")&amp;IF(AND(BV356=0,OR(CH356=1,AA356&lt;&gt;"",U356&lt;&gt;"",V356&lt;&gt;"",AB356&lt;&gt;"")),"manuell übersteuert; ","")&amp;IF(AND(BZ356=0,R356=0),"Gebinde unbekannt / Stellmass fehlt; ","")&amp;IF(AND(BZ356=0,N(V356)&lt;=0,N(Q356)&lt;=0),"Menge pro Gebinde fehlt (Ist = 1 Gebinde); ","")&amp;BU356)</f>
        <v>Gebinde geschätzt (Klein); Überbestand 4 Stk / CHF 76; Menge pro Gebinde fehlt (Ist = 1 Gebinde); nicht im KTL vorhanden</v>
      </c>
      <c r="BN356" s="48"/>
      <c r="BO356" s="48"/>
      <c r="BP356" s="55"/>
      <c r="BQ356" s="50" t="n">
        <v>9</v>
      </c>
      <c r="BR356" s="50" t="n">
        <v>0</v>
      </c>
      <c r="BS356" s="49" t="n">
        <v>171.45</v>
      </c>
      <c r="BT356" s="50" t="n">
        <v>6</v>
      </c>
      <c r="BU356" s="48" t="s">
        <v>239</v>
      </c>
      <c r="BV356" s="53" t="n">
        <v>0</v>
      </c>
      <c r="BW356" s="53" t="n">
        <v>356</v>
      </c>
      <c r="BX356" s="48" t="str">
        <f aca="false">IF(U356&lt;&gt;"",UPPER(TRIM(U356)),IF(CA356=1,UPPER(VLOOKUP(T356,Parameter!$I$27:$K$29,2,0)),IF(P356="","LOSE",P356)))</f>
        <v>S51</v>
      </c>
      <c r="BY356" s="50" t="n">
        <f aca="false">IF(BX356="LOSE",1,IF(N(V356)&gt;0,V356,IF(CA356=1,MAX(1,N(VLOOKUP(T356,Parameter!$I$27:$K$29,3,0)),H356,N(N356)),IF(N(Q356)&gt;0,Q356,MAX(1,H356)))))</f>
        <v>20</v>
      </c>
      <c r="BZ356" s="53" t="n">
        <f aca="false">IF(BX356="LOSE",1,0)</f>
        <v>0</v>
      </c>
      <c r="CA356" s="53" t="n">
        <f aca="false">IF(AND(U356="",OR(P356="",P356="LOSE"),T356&lt;&gt;"",N(S356)&lt;=0,ISNUMBER(MATCH(T356,Parameter!$I$27:$I$29,0))),1,0)</f>
        <v>1</v>
      </c>
      <c r="CB356" s="53" t="n">
        <f aca="false">IF(CQ356&gt;0,INDEX(Parameter!$H$5:$H$7,W356)/INDEX(Parameter!$E$5:$E$7,W356),IF(AND(BZ356=0,N(IFERROR(VLOOKUP(BX356,'Gebinde-Kategorie'!$A$5:$N$45,14,0),0))&gt;0),VLOOKUP(BX356,'Gebinde-Kategorie'!$A$5:$N$45,14,0)*10+Parameter!$M$23,Parameter!$M$24))</f>
        <v>155</v>
      </c>
      <c r="CC356" s="48" t="str">
        <f aca="false">IF(AND(Parameter!$B$19="Ja",E356&lt;&gt;"",ISNUMBER(MATCH(E356,Parameter!$I$35:$I$52,0))),VLOOKUP(E356,Parameter!$I$35:$J$52,2,0),IFERROR(VLOOKUP(D356,Parameter!$A$35:$C$64,2,0),"Nein"))</f>
        <v>2+3</v>
      </c>
      <c r="CD356" s="52" t="n">
        <f aca="false">IF(BZ356=0,0,IF(N(S356)&gt;0,S356,IFERROR(VLOOKUP(D356,Parameter!$A$35:$C$64,3,0)+0,0)))</f>
        <v>0</v>
      </c>
      <c r="CE356" s="48" t="n">
        <f aca="false">IF(AA356&lt;&gt;"",AA356,Z356)</f>
        <v>3</v>
      </c>
      <c r="CF356" s="48" t="str">
        <f aca="false">IF(OR(CE356=1,CE356=2,CE356=3),IF(Parameter!$E$27="Ja","LIFT",IF(CE356=1,"L1","L23")),IF(CE356="Aussen","Aussen","-"))</f>
        <v>LIFT</v>
      </c>
      <c r="CG356" s="59" t="n">
        <f aca="false">IF(N(AB356)&gt;0,AB356,0)</f>
        <v>0</v>
      </c>
      <c r="CH356" s="53" t="n">
        <f aca="false">IF(ISNUMBER(AE356),1,0)</f>
        <v>0</v>
      </c>
      <c r="CI356" s="50" t="n">
        <f aca="false">N(AE356)</f>
        <v>0</v>
      </c>
      <c r="CJ356" s="50" t="n">
        <f aca="false">N(M356)+N(N356)</f>
        <v>5</v>
      </c>
      <c r="CK356" s="50" t="n">
        <f aca="false">N(M356)</f>
        <v>0</v>
      </c>
      <c r="CL356" s="50" t="n">
        <f aca="false">N(N356)</f>
        <v>5</v>
      </c>
      <c r="CM356" s="50" t="n">
        <f aca="false">ROUNDUP(H356/BY356,0)</f>
        <v>1</v>
      </c>
      <c r="CN356" s="50" t="n">
        <f aca="false">ROUNDUP(CI356/BY356,0)</f>
        <v>0</v>
      </c>
      <c r="CO356" s="53" t="n">
        <f aca="false">IF(BZ356=1,0,IFERROR(VLOOKUP(BX356,'Gebinde-Kategorie'!$A$5:$N$45,5,0)+0,0))</f>
        <v>11</v>
      </c>
      <c r="CP356" s="53" t="n">
        <f aca="false">IFERROR(IF(OR(CE356=1,CE356=2,CE356=3),N(INDEX(Parameter!$I$5:$I$7,CE356)),0),0)</f>
        <v>0</v>
      </c>
      <c r="CQ356" s="52" t="n">
        <f aca="false">IF(AND(Parameter!$B$21="Ja",ISNUMBER(W356),N(X356)&gt;0),IFERROR(N(INDEX(Parameter!$L$5:$L$7,W356))*INDEX(Parameter!$E$5:$E$7,W356)*X356/SUMIFS($X$7:$X$1843,$W$7:$W$1843,W356),0),0)</f>
        <v>0</v>
      </c>
    </row>
    <row r="357" customFormat="false" ht="15" hidden="false" customHeight="false" outlineLevel="0" collapsed="false">
      <c r="A357" s="48" t="s">
        <v>877</v>
      </c>
      <c r="B357" s="48" t="s">
        <v>580</v>
      </c>
      <c r="C357" s="48" t="s">
        <v>173</v>
      </c>
      <c r="D357" s="48" t="s">
        <v>193</v>
      </c>
      <c r="E357" s="48" t="s">
        <v>194</v>
      </c>
      <c r="F357" s="48" t="s">
        <v>227</v>
      </c>
      <c r="G357" s="49" t="n">
        <v>8.04</v>
      </c>
      <c r="H357" s="50" t="n">
        <f aca="false">MAX(0,IF(AND(Parameter!$B$21="Ja",ISNUMBER(Y357)),Y357,IF(Parameter!$B$20="Jahresanfang 2025 + Export",BR357+BQ357,BQ357)))</f>
        <v>117</v>
      </c>
      <c r="I357" s="50" t="n">
        <f aca="false">H357*G357</f>
        <v>940.68</v>
      </c>
      <c r="J357" s="50" t="n">
        <f aca="false">BT357*Parameter!$B$18</f>
        <v>672</v>
      </c>
      <c r="K357" s="51" t="n">
        <v>128</v>
      </c>
      <c r="L357" s="52" t="n">
        <v>5.25</v>
      </c>
      <c r="M357" s="50" t="n">
        <v>39</v>
      </c>
      <c r="N357" s="50" t="n">
        <v>150</v>
      </c>
      <c r="O357" s="53" t="n">
        <v>21</v>
      </c>
      <c r="P357" s="48" t="s">
        <v>311</v>
      </c>
      <c r="Q357" s="50" t="n">
        <v>266</v>
      </c>
      <c r="R357" s="53" t="n">
        <f aca="false">IF(BZ357=1,0,IFERROR(VLOOKUP(BX357,'Gebinde-Kategorie'!$A$5:$N$45,13,0)+0,0))</f>
        <v>26</v>
      </c>
      <c r="S357" s="54"/>
      <c r="T357" s="55"/>
      <c r="U357" s="55"/>
      <c r="V357" s="55"/>
      <c r="W357" s="48"/>
      <c r="X357" s="50"/>
      <c r="Y357" s="50"/>
      <c r="Z357" s="48" t="n">
        <f aca="false">IF(A357="","",IF(AND(Parameter!$B$21="Ja",ISNUMBER(W357)),W357,IF(CC357="2+3",IF(ISNUMBER(SEARCH("grosser Artikel",BU357)),2,IFERROR(VLOOKUP(BX357,Parameter!$F$35:$G$64,2,0),2)),IF(OR(CC357="Nein",CC357=""),"-",CC357))))</f>
        <v>3</v>
      </c>
      <c r="AA357" s="55"/>
      <c r="AB357" s="56"/>
      <c r="AC357" s="50" t="n">
        <f aca="false">AV357</f>
        <v>409</v>
      </c>
      <c r="AD357" s="50" t="n">
        <f aca="false">MAX(AV357,H357)</f>
        <v>409</v>
      </c>
      <c r="AE357" s="57"/>
      <c r="AF357" s="50" t="n">
        <f aca="false">IF(LEFT(Cockpit!$C$5,1)="A",H357,IF(Parameter!$E$30="MAX-Bestand",IF(CH357=1,CI357,IF(LEFT(Cockpit!$C$5,1)="B",AL357,MAX(AL357,H357))),ROUNDUP(AJ357,0)))</f>
        <v>117</v>
      </c>
      <c r="AG357" s="50" t="n">
        <f aca="false">IF(BZ357=1,0,ROUNDUP(AF357/BY357,0))</f>
        <v>1</v>
      </c>
      <c r="AH357" s="52" t="n">
        <f aca="false">IF(CQ357&gt;0,CQ357*MAX(1,AF357/X357),IF(BZ357=1,IF(AF357&lt;=0,0,CD357*MAX(1,IF(H357&gt;0,AF357/H357,1))),IF(R357&gt;0,AG357/R357,0))/MAX(0.1,N(Parameter!$M$21)))</f>
        <v>0.0384615384615385</v>
      </c>
      <c r="AI357" s="50" t="n">
        <f aca="false">AH357*CB357</f>
        <v>5.96153846153846</v>
      </c>
      <c r="AJ357" s="51" t="n">
        <f aca="false">IF(LEFT(Cockpit!$C$5,1)="A",H357,IF(CH357=1,(CK357+CI357)/2,IF(LEFT(Cockpit!$C$5,1)="B",(CK357+AL357)/2,MAX((CK357+AL357)/2,H357))))</f>
        <v>117</v>
      </c>
      <c r="AK357" s="50" t="n">
        <f aca="false">AJ357*G357</f>
        <v>940.68</v>
      </c>
      <c r="AL357" s="50" t="n">
        <f aca="false">ROUNDUP(CK357+MAX(CL357,2*(J357/IF(CG357&gt;0,CG357,MAX(0.1,N(Cockpit!$C$6)))-CK357)),0)</f>
        <v>409</v>
      </c>
      <c r="AM357" s="51" t="n">
        <f aca="false">IF(AI357&gt;0,J357/AI357,-1)</f>
        <v>112.722580645161</v>
      </c>
      <c r="AN357" s="51" t="n">
        <f aca="false">IF(AND(OR(CF357="L1",CF357="L23",CF357="LIFT"),AI357&gt;0),SUMIFS($AI$7:$AI$1843,$CF$7:$CF$1843,CF357,$AM$7:$AM$1843,"&gt;"&amp;AM357)+SUMIFS($AI$7:$AI$1843,$CF$7:$CF$1843,CF357,$AM$7:$AM$1843,AM357,$BW$7:$BW$1843,"&lt;="&amp;BW357),"")</f>
        <v>745.705586080586</v>
      </c>
      <c r="AO357" s="58" t="n">
        <f aca="false">IF(AN357="",0,MAX(0,MIN(1,(IF(CF357="L1",Parameter!$H$5,IF(CF357="L23",Parameter!$H$6+Parameter!$H$7,Parameter!$H$5+Parameter!$H$6+Parameter!$H$7))-(AN357-AI357))/AI357)))</f>
        <v>1</v>
      </c>
      <c r="AP357" s="50" t="n">
        <f aca="false">IF(LEFT(Cockpit!$I$5,1)="A",H357,IF(Parameter!$E$30="MAX-Bestand",IF(CH357=1,CI357,IF(LEFT(Cockpit!$I$5,1)="B",AV357,MAX(AV357,H357))),ROUNDUP(AT357,0)))</f>
        <v>224</v>
      </c>
      <c r="AQ357" s="50" t="n">
        <f aca="false">IF(BZ357=1,0,ROUNDUP(AP357/BY357,0))</f>
        <v>1</v>
      </c>
      <c r="AR357" s="52" t="n">
        <f aca="false">IF(CQ357&gt;0,CQ357*MAX(1,AP357/X357),IF(BZ357=1,IF(AP357&lt;=0,0,CD357*MAX(1,IF(H357&gt;0,AP357/H357,1))),IF(R357&gt;0,AQ357/R357,0))/MAX(0.1,N(Parameter!$M$21)))</f>
        <v>0.0384615384615385</v>
      </c>
      <c r="AS357" s="50" t="n">
        <f aca="false">AR357*CB357</f>
        <v>5.96153846153846</v>
      </c>
      <c r="AT357" s="51" t="n">
        <f aca="false">IF(LEFT(Cockpit!$I$5,1)="A",H357,IF(CH357=1,(CK357+CI357)/2,IF(LEFT(Cockpit!$I$5,1)="B",(CK357+AV357)/2,MAX((CK357+AV357)/2,H357))))</f>
        <v>224</v>
      </c>
      <c r="AU357" s="50" t="n">
        <f aca="false">AT357*G357</f>
        <v>1800.96</v>
      </c>
      <c r="AV357" s="50" t="n">
        <f aca="false">ROUNDUP(CK357+MAX(CL357,2*(J357/IF(CG357&gt;0,CG357,MAX(0.1,N(Cockpit!$I$6)))-CK357)),0)</f>
        <v>409</v>
      </c>
      <c r="AW357" s="51" t="n">
        <f aca="false">IF(AS357&gt;0,J357/AS357,-1)</f>
        <v>112.722580645161</v>
      </c>
      <c r="AX357" s="51" t="n">
        <f aca="false">IF(AND(OR(CF357="L1",CF357="L23",CF357="LIFT"),AS357&gt;0),SUMIFS($AS$7:$AS$1843,$CF$7:$CF$1843,CF357,$AW$7:$AW$1843,"&gt;"&amp;AW357)+SUMIFS($AS$7:$AS$1843,$CF$7:$CF$1843,CF357,$AW$7:$AW$1843,AW357,$BW$7:$BW$1843,"&lt;="&amp;BW357),"")</f>
        <v>820.428571428571</v>
      </c>
      <c r="AY357" s="58" t="n">
        <f aca="false">IF(AX357="",0,MAX(0,MIN(1,(IF(CF357="L1",Parameter!$H$5,IF(CF357="L23",Parameter!$H$6+Parameter!$H$7,Parameter!$H$5+Parameter!$H$6+Parameter!$H$7))-(AX357-AS357))/AS357)))</f>
        <v>1</v>
      </c>
      <c r="AZ357" s="50" t="n">
        <f aca="false">IF(LEFT(Cockpit!$O$5,1)="A",H357,IF(Parameter!$E$30="MAX-Bestand",IF(CH357=1,CI357,IF(LEFT(Cockpit!$O$5,1)="B",BF357,MAX(BF357,H357))),ROUNDUP(BD357,0)))</f>
        <v>168</v>
      </c>
      <c r="BA357" s="50" t="n">
        <f aca="false">IF(BZ357=1,0,ROUNDUP(AZ357/BY357,0))</f>
        <v>1</v>
      </c>
      <c r="BB357" s="52" t="n">
        <f aca="false">IF(CQ357&gt;0,CQ357*MAX(1,AZ357/X357),IF(BZ357=1,IF(AZ357&lt;=0,0,CD357*MAX(1,IF(H357&gt;0,AZ357/H357,1))),IF(R357&gt;0,BA357/R357,0))/MAX(0.1,N(Parameter!$M$21)))</f>
        <v>0.0384615384615385</v>
      </c>
      <c r="BC357" s="50" t="n">
        <f aca="false">BB357*CB357</f>
        <v>5.96153846153846</v>
      </c>
      <c r="BD357" s="51" t="n">
        <f aca="false">IF(LEFT(Cockpit!$O$5,1)="A",H357,IF(CH357=1,(CK357+CI357)/2,IF(LEFT(Cockpit!$O$5,1)="B",(CK357+BF357)/2,MAX((CK357+BF357)/2,H357))))</f>
        <v>168</v>
      </c>
      <c r="BE357" s="50" t="n">
        <f aca="false">BD357*G357</f>
        <v>1350.72</v>
      </c>
      <c r="BF357" s="50" t="n">
        <f aca="false">ROUNDUP(CK357+MAX(CL357,2*(J357/IF(CG357&gt;0,CG357,MAX(0.1,N(Cockpit!$O$6)))-CK357)),0)</f>
        <v>297</v>
      </c>
      <c r="BG357" s="51" t="n">
        <f aca="false">IF(BC357&gt;0,J357/BC357,-1)</f>
        <v>112.722580645161</v>
      </c>
      <c r="BH357" s="51" t="n">
        <f aca="false">IF(AND(OR(CF357="L1",CF357="L23",CF357="LIFT"),BC357&gt;0),SUMIFS($BC$7:$BC$1843,$CF$7:$CF$1843,CF357,$BG$7:$BG$1843,"&gt;"&amp;BG357)+SUMIFS($BC$7:$BC$1843,$CF$7:$CF$1843,CF357,$BG$7:$BG$1843,BG357,$BW$7:$BW$1843,"&lt;="&amp;BW357),"")</f>
        <v>876.54304029304</v>
      </c>
      <c r="BI357" s="58" t="n">
        <f aca="false">IF(BH357="",0,MAX(0,MIN(1,(IF(CF357="L1",Parameter!$H$5,IF(CF357="L23",Parameter!$H$6+Parameter!$H$7,Parameter!$H$5+Parameter!$H$6+Parameter!$H$7))-(BH357-BC357))/BC357)))</f>
        <v>1</v>
      </c>
      <c r="BJ357" s="48" t="str">
        <f aca="false">IF(AI357&lt;=0,"",IF(CF357="Aussen","Aussenlager",IF(CF357="-","Nicht im Lift",IF(AO357&gt;=1,"Lift",IF(AO357&lt;=0,"Aussenlager","teilweise")))))</f>
        <v>Lift</v>
      </c>
      <c r="BK357" s="48" t="str">
        <f aca="false">IF(AS357&lt;=0,"",IF(CF357="Aussen","Aussenlager",IF(CF357="-","Nicht im Lift",IF(AY357&gt;=1,"Lift",IF(AY357&lt;=0,"Aussenlager","teilweise")))))</f>
        <v>Lift</v>
      </c>
      <c r="BL357" s="48" t="str">
        <f aca="false">IF(BC357&lt;=0,"",IF(CF357="Aussen","Aussenlager",IF(CF357="-","Nicht im Lift",IF(BI357&gt;=1,"Lift",IF(BI357&lt;=0,"Aussenlager","teilweise")))))</f>
        <v>Lift</v>
      </c>
      <c r="BM357" s="48" t="str">
        <f aca="false">IF(A357="","",IF(BV357=1,"Neu; ","")&amp;IF(AND(BV357=0,BQ357&lt;0),"negativer Bestand (Export "&amp;BQ357&amp;"); ","")&amp;IF(J357&lt;=0,"Kein Verbrauch; ","")&amp;IF(CQ357&gt;0,"Lift "&amp;W357&amp;" lt. Liftbericht (Fach "&amp;X357&amp;" Stk); ",IF(CA357=1,"Gebinde geschätzt ("&amp;T357&amp;"); ",IF(BZ357=1,"Lose – Tablare geschätzt; ","")))&amp;IF(H357&gt;AV357,"Überbestand "&amp;ROUND(H357-AV357,0)&amp;" Stk / CHF "&amp;ROUND((H357-AV357)*G357,0)&amp;"; ","")&amp;IF(AND(CH357=1,CI357&lt;CJ357),"MAX &lt; MB+LG; ","")&amp;IF(AND(CP357&gt;0,CO357*10&gt;CP357),"zu hoch für Tablar; ","")&amp;IF(AND(BV357=0,OR(CH357=1,AA357&lt;&gt;"",U357&lt;&gt;"",V357&lt;&gt;"",AB357&lt;&gt;"")),"manuell übersteuert; ","")&amp;IF(AND(BZ357=0,R357=0),"Gebinde unbekannt / Stellmass fehlt; ","")&amp;IF(AND(BZ357=0,N(V357)&lt;=0,N(Q357)&lt;=0),"Menge pro Gebinde fehlt (Ist = 1 Gebinde); ","")&amp;BU357)</f>
        <v/>
      </c>
      <c r="BN357" s="48"/>
      <c r="BO357" s="48"/>
      <c r="BP357" s="55"/>
      <c r="BQ357" s="50" t="n">
        <v>25</v>
      </c>
      <c r="BR357" s="50" t="n">
        <v>92</v>
      </c>
      <c r="BS357" s="49" t="n">
        <v>170.599999999999</v>
      </c>
      <c r="BT357" s="50" t="n">
        <v>672</v>
      </c>
      <c r="BU357" s="48"/>
      <c r="BV357" s="53" t="n">
        <v>0</v>
      </c>
      <c r="BW357" s="53" t="n">
        <v>357</v>
      </c>
      <c r="BX357" s="48" t="str">
        <f aca="false">IF(U357&lt;&gt;"",UPPER(TRIM(U357)),IF(CA357=1,UPPER(VLOOKUP(T357,Parameter!$I$27:$K$29,2,0)),IF(P357="","LOSE",P357)))</f>
        <v>S51</v>
      </c>
      <c r="BY357" s="50" t="n">
        <f aca="false">IF(BX357="LOSE",1,IF(N(V357)&gt;0,V357,IF(CA357=1,MAX(1,N(VLOOKUP(T357,Parameter!$I$27:$K$29,3,0)),H357,N(N357)),IF(N(Q357)&gt;0,Q357,MAX(1,H357)))))</f>
        <v>266</v>
      </c>
      <c r="BZ357" s="53" t="n">
        <f aca="false">IF(BX357="LOSE",1,0)</f>
        <v>0</v>
      </c>
      <c r="CA357" s="53" t="n">
        <f aca="false">IF(AND(U357="",OR(P357="",P357="LOSE"),T357&lt;&gt;"",N(S357)&lt;=0,ISNUMBER(MATCH(T357,Parameter!$I$27:$I$29,0))),1,0)</f>
        <v>0</v>
      </c>
      <c r="CB357" s="53" t="n">
        <f aca="false">IF(CQ357&gt;0,INDEX(Parameter!$H$5:$H$7,W357)/INDEX(Parameter!$E$5:$E$7,W357),IF(AND(BZ357=0,N(IFERROR(VLOOKUP(BX357,'Gebinde-Kategorie'!$A$5:$N$45,14,0),0))&gt;0),VLOOKUP(BX357,'Gebinde-Kategorie'!$A$5:$N$45,14,0)*10+Parameter!$M$23,Parameter!$M$24))</f>
        <v>155</v>
      </c>
      <c r="CC357" s="48" t="str">
        <f aca="false">IF(AND(Parameter!$B$19="Ja",E357&lt;&gt;"",ISNUMBER(MATCH(E357,Parameter!$I$35:$I$52,0))),VLOOKUP(E357,Parameter!$I$35:$J$52,2,0),IFERROR(VLOOKUP(D357,Parameter!$A$35:$C$64,2,0),"Nein"))</f>
        <v>2+3</v>
      </c>
      <c r="CD357" s="52" t="n">
        <f aca="false">IF(BZ357=0,0,IF(N(S357)&gt;0,S357,IFERROR(VLOOKUP(D357,Parameter!$A$35:$C$64,3,0)+0,0)))</f>
        <v>0</v>
      </c>
      <c r="CE357" s="48" t="n">
        <f aca="false">IF(AA357&lt;&gt;"",AA357,Z357)</f>
        <v>3</v>
      </c>
      <c r="CF357" s="48" t="str">
        <f aca="false">IF(OR(CE357=1,CE357=2,CE357=3),IF(Parameter!$E$27="Ja","LIFT",IF(CE357=1,"L1","L23")),IF(CE357="Aussen","Aussen","-"))</f>
        <v>LIFT</v>
      </c>
      <c r="CG357" s="59" t="n">
        <f aca="false">IF(N(AB357)&gt;0,AB357,0)</f>
        <v>0</v>
      </c>
      <c r="CH357" s="53" t="n">
        <f aca="false">IF(ISNUMBER(AE357),1,0)</f>
        <v>0</v>
      </c>
      <c r="CI357" s="50" t="n">
        <f aca="false">N(AE357)</f>
        <v>0</v>
      </c>
      <c r="CJ357" s="50" t="n">
        <f aca="false">N(M357)+N(N357)</f>
        <v>189</v>
      </c>
      <c r="CK357" s="50" t="n">
        <f aca="false">N(M357)</f>
        <v>39</v>
      </c>
      <c r="CL357" s="50" t="n">
        <f aca="false">N(N357)</f>
        <v>150</v>
      </c>
      <c r="CM357" s="50" t="n">
        <f aca="false">ROUNDUP(H357/BY357,0)</f>
        <v>1</v>
      </c>
      <c r="CN357" s="50" t="n">
        <f aca="false">ROUNDUP(CI357/BY357,0)</f>
        <v>0</v>
      </c>
      <c r="CO357" s="53" t="n">
        <f aca="false">IF(BZ357=1,0,IFERROR(VLOOKUP(BX357,'Gebinde-Kategorie'!$A$5:$N$45,5,0)+0,0))</f>
        <v>11</v>
      </c>
      <c r="CP357" s="53" t="n">
        <f aca="false">IFERROR(IF(OR(CE357=1,CE357=2,CE357=3),N(INDEX(Parameter!$I$5:$I$7,CE357)),0),0)</f>
        <v>0</v>
      </c>
      <c r="CQ357" s="52" t="n">
        <f aca="false">IF(AND(Parameter!$B$21="Ja",ISNUMBER(W357),N(X357)&gt;0),IFERROR(N(INDEX(Parameter!$L$5:$L$7,W357))*INDEX(Parameter!$E$5:$E$7,W357)*X357/SUMIFS($X$7:$X$1843,$W$7:$W$1843,W357),0),0)</f>
        <v>0</v>
      </c>
    </row>
    <row r="358" customFormat="false" ht="15" hidden="false" customHeight="false" outlineLevel="0" collapsed="false">
      <c r="A358" s="48" t="s">
        <v>878</v>
      </c>
      <c r="B358" s="48" t="s">
        <v>646</v>
      </c>
      <c r="C358" s="48" t="s">
        <v>173</v>
      </c>
      <c r="D358" s="48" t="s">
        <v>193</v>
      </c>
      <c r="E358" s="48" t="s">
        <v>194</v>
      </c>
      <c r="F358" s="48" t="s">
        <v>227</v>
      </c>
      <c r="G358" s="49" t="n">
        <v>5.65</v>
      </c>
      <c r="H358" s="50" t="n">
        <f aca="false">MAX(0,IF(AND(Parameter!$B$21="Ja",ISNUMBER(Y358)),Y358,IF(Parameter!$B$20="Jahresanfang 2025 + Export",BR358+BQ358,BQ358)))</f>
        <v>133</v>
      </c>
      <c r="I358" s="50" t="n">
        <f aca="false">H358*G358</f>
        <v>751.45</v>
      </c>
      <c r="J358" s="50" t="n">
        <f aca="false">BT358*Parameter!$B$18</f>
        <v>18</v>
      </c>
      <c r="K358" s="51" t="n">
        <v>122.5</v>
      </c>
      <c r="L358" s="52" t="n">
        <v>0.146938775510204</v>
      </c>
      <c r="M358" s="50" t="n">
        <v>3</v>
      </c>
      <c r="N358" s="50" t="n">
        <v>20</v>
      </c>
      <c r="O358" s="53" t="n">
        <v>63</v>
      </c>
      <c r="P358" s="48" t="s">
        <v>242</v>
      </c>
      <c r="Q358" s="50" t="n">
        <v>110</v>
      </c>
      <c r="R358" s="53" t="n">
        <f aca="false">IF(BZ358=1,0,IFERROR(VLOOKUP(BX358,'Gebinde-Kategorie'!$A$5:$N$45,13,0)+0,0))</f>
        <v>26</v>
      </c>
      <c r="S358" s="54"/>
      <c r="T358" s="55"/>
      <c r="U358" s="55"/>
      <c r="V358" s="55"/>
      <c r="W358" s="48"/>
      <c r="X358" s="50"/>
      <c r="Y358" s="50"/>
      <c r="Z358" s="48" t="n">
        <f aca="false">IF(A358="","",IF(AND(Parameter!$B$21="Ja",ISNUMBER(W358)),W358,IF(CC358="2+3",IF(ISNUMBER(SEARCH("grosser Artikel",BU358)),2,IFERROR(VLOOKUP(BX358,Parameter!$F$35:$G$64,2,0),2)),IF(OR(CC358="Nein",CC358=""),"-",CC358))))</f>
        <v>3</v>
      </c>
      <c r="AA358" s="55"/>
      <c r="AB358" s="56"/>
      <c r="AC358" s="50" t="n">
        <f aca="false">AV358</f>
        <v>23</v>
      </c>
      <c r="AD358" s="50" t="n">
        <f aca="false">MAX(AV358,H358)</f>
        <v>133</v>
      </c>
      <c r="AE358" s="57"/>
      <c r="AF358" s="50" t="n">
        <f aca="false">IF(LEFT(Cockpit!$C$5,1)="A",H358,IF(Parameter!$E$30="MAX-Bestand",IF(CH358=1,CI358,IF(LEFT(Cockpit!$C$5,1)="B",AL358,MAX(AL358,H358))),ROUNDUP(AJ358,0)))</f>
        <v>133</v>
      </c>
      <c r="AG358" s="50" t="n">
        <f aca="false">IF(BZ358=1,0,ROUNDUP(AF358/BY358,0))</f>
        <v>2</v>
      </c>
      <c r="AH358" s="52" t="n">
        <f aca="false">IF(CQ358&gt;0,CQ358*MAX(1,AF358/X358),IF(BZ358=1,IF(AF358&lt;=0,0,CD358*MAX(1,IF(H358&gt;0,AF358/H358,1))),IF(R358&gt;0,AG358/R358,0))/MAX(0.1,N(Parameter!$M$21)))</f>
        <v>0.0769230769230769</v>
      </c>
      <c r="AI358" s="50" t="n">
        <f aca="false">AH358*CB358</f>
        <v>18.8461538461538</v>
      </c>
      <c r="AJ358" s="51" t="n">
        <f aca="false">IF(LEFT(Cockpit!$C$5,1)="A",H358,IF(CH358=1,(CK358+CI358)/2,IF(LEFT(Cockpit!$C$5,1)="B",(CK358+AL358)/2,MAX((CK358+AL358)/2,H358))))</f>
        <v>133</v>
      </c>
      <c r="AK358" s="50" t="n">
        <f aca="false">AJ358*G358</f>
        <v>751.45</v>
      </c>
      <c r="AL358" s="50" t="n">
        <f aca="false">ROUNDUP(CK358+MAX(CL358,2*(J358/IF(CG358&gt;0,CG358,MAX(0.1,N(Cockpit!$C$6)))-CK358)),0)</f>
        <v>23</v>
      </c>
      <c r="AM358" s="51" t="n">
        <f aca="false">IF(AI358&gt;0,J358/AI358,-1)</f>
        <v>0.955102040816327</v>
      </c>
      <c r="AN358" s="51" t="n">
        <f aca="false">IF(AND(OR(CF358="L1",CF358="L23",CF358="LIFT"),AI358&gt;0),SUMIFS($AI$7:$AI$1843,$CF$7:$CF$1843,CF358,$AM$7:$AM$1843,"&gt;"&amp;AM358)+SUMIFS($AI$7:$AI$1843,$CF$7:$CF$1843,CF358,$AM$7:$AM$1843,AM358,$BW$7:$BW$1843,"&lt;="&amp;BW358),"")</f>
        <v>7245.12225274725</v>
      </c>
      <c r="AO358" s="58" t="n">
        <f aca="false">IF(AN358="",0,MAX(0,MIN(1,(IF(CF358="L1",Parameter!$H$5,IF(CF358="L23",Parameter!$H$6+Parameter!$H$7,Parameter!$H$5+Parameter!$H$6+Parameter!$H$7))-(AN358-AI358))/AI358)))</f>
        <v>1</v>
      </c>
      <c r="AP358" s="50" t="n">
        <f aca="false">IF(LEFT(Cockpit!$I$5,1)="A",H358,IF(Parameter!$E$30="MAX-Bestand",IF(CH358=1,CI358,IF(LEFT(Cockpit!$I$5,1)="B",AV358,MAX(AV358,H358))),ROUNDUP(AT358,0)))</f>
        <v>133</v>
      </c>
      <c r="AQ358" s="50" t="n">
        <f aca="false">IF(BZ358=1,0,ROUNDUP(AP358/BY358,0))</f>
        <v>2</v>
      </c>
      <c r="AR358" s="52" t="n">
        <f aca="false">IF(CQ358&gt;0,CQ358*MAX(1,AP358/X358),IF(BZ358=1,IF(AP358&lt;=0,0,CD358*MAX(1,IF(H358&gt;0,AP358/H358,1))),IF(R358&gt;0,AQ358/R358,0))/MAX(0.1,N(Parameter!$M$21)))</f>
        <v>0.0769230769230769</v>
      </c>
      <c r="AS358" s="50" t="n">
        <f aca="false">AR358*CB358</f>
        <v>18.8461538461538</v>
      </c>
      <c r="AT358" s="51" t="n">
        <f aca="false">IF(LEFT(Cockpit!$I$5,1)="A",H358,IF(CH358=1,(CK358+CI358)/2,IF(LEFT(Cockpit!$I$5,1)="B",(CK358+AV358)/2,MAX((CK358+AV358)/2,H358))))</f>
        <v>133</v>
      </c>
      <c r="AU358" s="50" t="n">
        <f aca="false">AT358*G358</f>
        <v>751.45</v>
      </c>
      <c r="AV358" s="50" t="n">
        <f aca="false">ROUNDUP(CK358+MAX(CL358,2*(J358/IF(CG358&gt;0,CG358,MAX(0.1,N(Cockpit!$I$6)))-CK358)),0)</f>
        <v>23</v>
      </c>
      <c r="AW358" s="51" t="n">
        <f aca="false">IF(AS358&gt;0,J358/AS358,-1)</f>
        <v>0.955102040816327</v>
      </c>
      <c r="AX358" s="51" t="n">
        <f aca="false">IF(AND(OR(CF358="L1",CF358="L23",CF358="LIFT"),AS358&gt;0),SUMIFS($AS$7:$AS$1843,$CF$7:$CF$1843,CF358,$AW$7:$AW$1843,"&gt;"&amp;AW358)+SUMIFS($AS$7:$AS$1843,$CF$7:$CF$1843,CF358,$AW$7:$AW$1843,AW358,$BW$7:$BW$1843,"&lt;="&amp;BW358),"")</f>
        <v>8616.80586080586</v>
      </c>
      <c r="AY358" s="58" t="n">
        <f aca="false">IF(AX358="",0,MAX(0,MIN(1,(IF(CF358="L1",Parameter!$H$5,IF(CF358="L23",Parameter!$H$6+Parameter!$H$7,Parameter!$H$5+Parameter!$H$6+Parameter!$H$7))-(AX358-AS358))/AS358)))</f>
        <v>1</v>
      </c>
      <c r="AZ358" s="50" t="n">
        <f aca="false">IF(LEFT(Cockpit!$O$5,1)="A",H358,IF(Parameter!$E$30="MAX-Bestand",IF(CH358=1,CI358,IF(LEFT(Cockpit!$O$5,1)="B",BF358,MAX(BF358,H358))),ROUNDUP(BD358,0)))</f>
        <v>13</v>
      </c>
      <c r="BA358" s="50" t="n">
        <f aca="false">IF(BZ358=1,0,ROUNDUP(AZ358/BY358,0))</f>
        <v>1</v>
      </c>
      <c r="BB358" s="52" t="n">
        <f aca="false">IF(CQ358&gt;0,CQ358*MAX(1,AZ358/X358),IF(BZ358=1,IF(AZ358&lt;=0,0,CD358*MAX(1,IF(H358&gt;0,AZ358/H358,1))),IF(R358&gt;0,BA358/R358,0))/MAX(0.1,N(Parameter!$M$21)))</f>
        <v>0.0384615384615385</v>
      </c>
      <c r="BC358" s="50" t="n">
        <f aca="false">BB358*CB358</f>
        <v>9.42307692307692</v>
      </c>
      <c r="BD358" s="51" t="n">
        <f aca="false">IF(LEFT(Cockpit!$O$5,1)="A",H358,IF(CH358=1,(CK358+CI358)/2,IF(LEFT(Cockpit!$O$5,1)="B",(CK358+BF358)/2,MAX((CK358+BF358)/2,H358))))</f>
        <v>13</v>
      </c>
      <c r="BE358" s="50" t="n">
        <f aca="false">BD358*G358</f>
        <v>73.45</v>
      </c>
      <c r="BF358" s="50" t="n">
        <f aca="false">ROUNDUP(CK358+MAX(CL358,2*(J358/IF(CG358&gt;0,CG358,MAX(0.1,N(Cockpit!$O$6)))-CK358)),0)</f>
        <v>23</v>
      </c>
      <c r="BG358" s="51" t="n">
        <f aca="false">IF(BC358&gt;0,J358/BC358,-1)</f>
        <v>1.91020408163265</v>
      </c>
      <c r="BH358" s="51" t="n">
        <f aca="false">IF(AND(OR(CF358="L1",CF358="L23",CF358="LIFT"),BC358&gt;0),SUMIFS($BC$7:$BC$1843,$CF$7:$CF$1843,CF358,$BG$7:$BG$1843,"&gt;"&amp;BG358)+SUMIFS($BC$7:$BC$1843,$CF$7:$CF$1843,CF358,$BG$7:$BG$1843,BG358,$BW$7:$BW$1843,"&lt;="&amp;BW358),"")</f>
        <v>6007.89743589744</v>
      </c>
      <c r="BI358" s="58" t="n">
        <f aca="false">IF(BH358="",0,MAX(0,MIN(1,(IF(CF358="L1",Parameter!$H$5,IF(CF358="L23",Parameter!$H$6+Parameter!$H$7,Parameter!$H$5+Parameter!$H$6+Parameter!$H$7))-(BH358-BC358))/BC358)))</f>
        <v>1</v>
      </c>
      <c r="BJ358" s="48" t="str">
        <f aca="false">IF(AI358&lt;=0,"",IF(CF358="Aussen","Aussenlager",IF(CF358="-","Nicht im Lift",IF(AO358&gt;=1,"Lift",IF(AO358&lt;=0,"Aussenlager","teilweise")))))</f>
        <v>Lift</v>
      </c>
      <c r="BK358" s="48" t="str">
        <f aca="false">IF(AS358&lt;=0,"",IF(CF358="Aussen","Aussenlager",IF(CF358="-","Nicht im Lift",IF(AY358&gt;=1,"Lift",IF(AY358&lt;=0,"Aussenlager","teilweise")))))</f>
        <v>Lift</v>
      </c>
      <c r="BL358" s="48" t="str">
        <f aca="false">IF(BC358&lt;=0,"",IF(CF358="Aussen","Aussenlager",IF(CF358="-","Nicht im Lift",IF(BI358&gt;=1,"Lift",IF(BI358&lt;=0,"Aussenlager","teilweise")))))</f>
        <v>Lift</v>
      </c>
      <c r="BM358" s="48" t="str">
        <f aca="false">IF(A358="","",IF(BV358=1,"Neu; ","")&amp;IF(AND(BV358=0,BQ358&lt;0),"negativer Bestand (Export "&amp;BQ358&amp;"); ","")&amp;IF(J358&lt;=0,"Kein Verbrauch; ","")&amp;IF(CQ358&gt;0,"Lift "&amp;W358&amp;" lt. Liftbericht (Fach "&amp;X358&amp;" Stk); ",IF(CA358=1,"Gebinde geschätzt ("&amp;T358&amp;"); ",IF(BZ358=1,"Lose – Tablare geschätzt; ","")))&amp;IF(H358&gt;AV358,"Überbestand "&amp;ROUND(H358-AV358,0)&amp;" Stk / CHF "&amp;ROUND((H358-AV358)*G358,0)&amp;"; ","")&amp;IF(AND(CH358=1,CI358&lt;CJ358),"MAX &lt; MB+LG; ","")&amp;IF(AND(CP358&gt;0,CO358*10&gt;CP358),"zu hoch für Tablar; ","")&amp;IF(AND(BV358=0,OR(CH358=1,AA358&lt;&gt;"",U358&lt;&gt;"",V358&lt;&gt;"",AB358&lt;&gt;"")),"manuell übersteuert; ","")&amp;IF(AND(BZ358=0,R358=0),"Gebinde unbekannt / Stellmass fehlt; ","")&amp;IF(AND(BZ358=0,N(V358)&lt;=0,N(Q358)&lt;=0),"Menge pro Gebinde fehlt (Ist = 1 Gebinde); ","")&amp;BU358)</f>
        <v>Überbestand 110 Stk / CHF 622; </v>
      </c>
      <c r="BN358" s="48"/>
      <c r="BO358" s="48"/>
      <c r="BP358" s="55"/>
      <c r="BQ358" s="50" t="n">
        <v>30</v>
      </c>
      <c r="BR358" s="50" t="n">
        <v>103</v>
      </c>
      <c r="BS358" s="49" t="n">
        <v>169.5</v>
      </c>
      <c r="BT358" s="50" t="n">
        <v>18</v>
      </c>
      <c r="BU358" s="48"/>
      <c r="BV358" s="53" t="n">
        <v>0</v>
      </c>
      <c r="BW358" s="53" t="n">
        <v>358</v>
      </c>
      <c r="BX358" s="48" t="str">
        <f aca="false">IF(U358&lt;&gt;"",UPPER(TRIM(U358)),IF(CA358=1,UPPER(VLOOKUP(T358,Parameter!$I$27:$K$29,2,0)),IF(P358="","LOSE",P358)))</f>
        <v>S52</v>
      </c>
      <c r="BY358" s="50" t="n">
        <f aca="false">IF(BX358="LOSE",1,IF(N(V358)&gt;0,V358,IF(CA358=1,MAX(1,N(VLOOKUP(T358,Parameter!$I$27:$K$29,3,0)),H358,N(N358)),IF(N(Q358)&gt;0,Q358,MAX(1,H358)))))</f>
        <v>110</v>
      </c>
      <c r="BZ358" s="53" t="n">
        <f aca="false">IF(BX358="LOSE",1,0)</f>
        <v>0</v>
      </c>
      <c r="CA358" s="53" t="n">
        <f aca="false">IF(AND(U358="",OR(P358="",P358="LOSE"),T358&lt;&gt;"",N(S358)&lt;=0,ISNUMBER(MATCH(T358,Parameter!$I$27:$I$29,0))),1,0)</f>
        <v>0</v>
      </c>
      <c r="CB358" s="53" t="n">
        <f aca="false">IF(CQ358&gt;0,INDEX(Parameter!$H$5:$H$7,W358)/INDEX(Parameter!$E$5:$E$7,W358),IF(AND(BZ358=0,N(IFERROR(VLOOKUP(BX358,'Gebinde-Kategorie'!$A$5:$N$45,14,0),0))&gt;0),VLOOKUP(BX358,'Gebinde-Kategorie'!$A$5:$N$45,14,0)*10+Parameter!$M$23,Parameter!$M$24))</f>
        <v>245</v>
      </c>
      <c r="CC358" s="48" t="str">
        <f aca="false">IF(AND(Parameter!$B$19="Ja",E358&lt;&gt;"",ISNUMBER(MATCH(E358,Parameter!$I$35:$I$52,0))),VLOOKUP(E358,Parameter!$I$35:$J$52,2,0),IFERROR(VLOOKUP(D358,Parameter!$A$35:$C$64,2,0),"Nein"))</f>
        <v>2+3</v>
      </c>
      <c r="CD358" s="52" t="n">
        <f aca="false">IF(BZ358=0,0,IF(N(S358)&gt;0,S358,IFERROR(VLOOKUP(D358,Parameter!$A$35:$C$64,3,0)+0,0)))</f>
        <v>0</v>
      </c>
      <c r="CE358" s="48" t="n">
        <f aca="false">IF(AA358&lt;&gt;"",AA358,Z358)</f>
        <v>3</v>
      </c>
      <c r="CF358" s="48" t="str">
        <f aca="false">IF(OR(CE358=1,CE358=2,CE358=3),IF(Parameter!$E$27="Ja","LIFT",IF(CE358=1,"L1","L23")),IF(CE358="Aussen","Aussen","-"))</f>
        <v>LIFT</v>
      </c>
      <c r="CG358" s="59" t="n">
        <f aca="false">IF(N(AB358)&gt;0,AB358,0)</f>
        <v>0</v>
      </c>
      <c r="CH358" s="53" t="n">
        <f aca="false">IF(ISNUMBER(AE358),1,0)</f>
        <v>0</v>
      </c>
      <c r="CI358" s="50" t="n">
        <f aca="false">N(AE358)</f>
        <v>0</v>
      </c>
      <c r="CJ358" s="50" t="n">
        <f aca="false">N(M358)+N(N358)</f>
        <v>23</v>
      </c>
      <c r="CK358" s="50" t="n">
        <f aca="false">N(M358)</f>
        <v>3</v>
      </c>
      <c r="CL358" s="50" t="n">
        <f aca="false">N(N358)</f>
        <v>20</v>
      </c>
      <c r="CM358" s="50" t="n">
        <f aca="false">ROUNDUP(H358/BY358,0)</f>
        <v>2</v>
      </c>
      <c r="CN358" s="50" t="n">
        <f aca="false">ROUNDUP(CI358/BY358,0)</f>
        <v>0</v>
      </c>
      <c r="CO358" s="53" t="n">
        <f aca="false">IF(BZ358=1,0,IFERROR(VLOOKUP(BX358,'Gebinde-Kategorie'!$A$5:$N$45,5,0)+0,0))</f>
        <v>21</v>
      </c>
      <c r="CP358" s="53" t="n">
        <f aca="false">IFERROR(IF(OR(CE358=1,CE358=2,CE358=3),N(INDEX(Parameter!$I$5:$I$7,CE358)),0),0)</f>
        <v>0</v>
      </c>
      <c r="CQ358" s="52" t="n">
        <f aca="false">IF(AND(Parameter!$B$21="Ja",ISNUMBER(W358),N(X358)&gt;0),IFERROR(N(INDEX(Parameter!$L$5:$L$7,W358))*INDEX(Parameter!$E$5:$E$7,W358)*X358/SUMIFS($X$7:$X$1843,$W$7:$W$1843,W358),0),0)</f>
        <v>0</v>
      </c>
    </row>
    <row r="359" customFormat="false" ht="15" hidden="false" customHeight="false" outlineLevel="0" collapsed="false">
      <c r="A359" s="48" t="s">
        <v>879</v>
      </c>
      <c r="B359" s="48" t="s">
        <v>880</v>
      </c>
      <c r="C359" s="48" t="s">
        <v>173</v>
      </c>
      <c r="D359" s="48" t="s">
        <v>193</v>
      </c>
      <c r="E359" s="48" t="s">
        <v>194</v>
      </c>
      <c r="F359" s="48" t="s">
        <v>227</v>
      </c>
      <c r="G359" s="49" t="n">
        <v>11.4</v>
      </c>
      <c r="H359" s="50" t="n">
        <f aca="false">MAX(0,IF(AND(Parameter!$B$21="Ja",ISNUMBER(Y359)),Y359,IF(Parameter!$B$20="Jahresanfang 2025 + Export",BR359+BQ359,BQ359)))</f>
        <v>49</v>
      </c>
      <c r="I359" s="50" t="n">
        <f aca="false">H359*G359</f>
        <v>558.6</v>
      </c>
      <c r="J359" s="50" t="n">
        <f aca="false">BT359*Parameter!$B$18</f>
        <v>57</v>
      </c>
      <c r="K359" s="51" t="n">
        <v>48</v>
      </c>
      <c r="L359" s="52" t="n">
        <v>1.1875</v>
      </c>
      <c r="M359" s="50" t="n">
        <v>4</v>
      </c>
      <c r="N359" s="50" t="n">
        <v>55</v>
      </c>
      <c r="O359" s="53" t="n">
        <v>28</v>
      </c>
      <c r="P359" s="48" t="s">
        <v>302</v>
      </c>
      <c r="Q359" s="50" t="n">
        <v>26</v>
      </c>
      <c r="R359" s="53" t="n">
        <f aca="false">IF(BZ359=1,0,IFERROR(VLOOKUP(BX359,'Gebinde-Kategorie'!$A$5:$N$45,13,0)+0,0))</f>
        <v>12</v>
      </c>
      <c r="S359" s="54"/>
      <c r="T359" s="55"/>
      <c r="U359" s="55"/>
      <c r="V359" s="55"/>
      <c r="W359" s="48"/>
      <c r="X359" s="50"/>
      <c r="Y359" s="50"/>
      <c r="Z359" s="48" t="n">
        <f aca="false">IF(A359="","",IF(AND(Parameter!$B$21="Ja",ISNUMBER(W359)),W359,IF(CC359="2+3",IF(ISNUMBER(SEARCH("grosser Artikel",BU359)),2,IFERROR(VLOOKUP(BX359,Parameter!$F$35:$G$64,2,0),2)),IF(OR(CC359="Nein",CC359=""),"-",CC359))))</f>
        <v>2</v>
      </c>
      <c r="AA359" s="55"/>
      <c r="AB359" s="56"/>
      <c r="AC359" s="50" t="n">
        <f aca="false">AV359</f>
        <v>59</v>
      </c>
      <c r="AD359" s="50" t="n">
        <f aca="false">MAX(AV359,H359)</f>
        <v>59</v>
      </c>
      <c r="AE359" s="57"/>
      <c r="AF359" s="50" t="n">
        <f aca="false">IF(LEFT(Cockpit!$C$5,1)="A",H359,IF(Parameter!$E$30="MAX-Bestand",IF(CH359=1,CI359,IF(LEFT(Cockpit!$C$5,1)="B",AL359,MAX(AL359,H359))),ROUNDUP(AJ359,0)))</f>
        <v>49</v>
      </c>
      <c r="AG359" s="50" t="n">
        <f aca="false">IF(BZ359=1,0,ROUNDUP(AF359/BY359,0))</f>
        <v>2</v>
      </c>
      <c r="AH359" s="52" t="n">
        <f aca="false">IF(CQ359&gt;0,CQ359*MAX(1,AF359/X359),IF(BZ359=1,IF(AF359&lt;=0,0,CD359*MAX(1,IF(H359&gt;0,AF359/H359,1))),IF(R359&gt;0,AG359/R359,0))/MAX(0.1,N(Parameter!$M$21)))</f>
        <v>0.166666666666667</v>
      </c>
      <c r="AI359" s="50" t="n">
        <f aca="false">AH359*CB359</f>
        <v>40.8333333333333</v>
      </c>
      <c r="AJ359" s="51" t="n">
        <f aca="false">IF(LEFT(Cockpit!$C$5,1)="A",H359,IF(CH359=1,(CK359+CI359)/2,IF(LEFT(Cockpit!$C$5,1)="B",(CK359+AL359)/2,MAX((CK359+AL359)/2,H359))))</f>
        <v>49</v>
      </c>
      <c r="AK359" s="50" t="n">
        <f aca="false">AJ359*G359</f>
        <v>558.6</v>
      </c>
      <c r="AL359" s="50" t="n">
        <f aca="false">ROUNDUP(CK359+MAX(CL359,2*(J359/IF(CG359&gt;0,CG359,MAX(0.1,N(Cockpit!$C$6)))-CK359)),0)</f>
        <v>59</v>
      </c>
      <c r="AM359" s="51" t="n">
        <f aca="false">IF(AI359&gt;0,J359/AI359,-1)</f>
        <v>1.39591836734694</v>
      </c>
      <c r="AN359" s="51" t="n">
        <f aca="false">IF(AND(OR(CF359="L1",CF359="L23",CF359="LIFT"),AI359&gt;0),SUMIFS($AI$7:$AI$1843,$CF$7:$CF$1843,CF359,$AM$7:$AM$1843,"&gt;"&amp;AM359)+SUMIFS($AI$7:$AI$1843,$CF$7:$CF$1843,CF359,$AM$7:$AM$1843,AM359,$BW$7:$BW$1843,"&lt;="&amp;BW359),"")</f>
        <v>6290.95558608059</v>
      </c>
      <c r="AO359" s="58" t="n">
        <f aca="false">IF(AN359="",0,MAX(0,MIN(1,(IF(CF359="L1",Parameter!$H$5,IF(CF359="L23",Parameter!$H$6+Parameter!$H$7,Parameter!$H$5+Parameter!$H$6+Parameter!$H$7))-(AN359-AI359))/AI359)))</f>
        <v>1</v>
      </c>
      <c r="AP359" s="50" t="n">
        <f aca="false">IF(LEFT(Cockpit!$I$5,1)="A",H359,IF(Parameter!$E$30="MAX-Bestand",IF(CH359=1,CI359,IF(LEFT(Cockpit!$I$5,1)="B",AV359,MAX(AV359,H359))),ROUNDUP(AT359,0)))</f>
        <v>49</v>
      </c>
      <c r="AQ359" s="50" t="n">
        <f aca="false">IF(BZ359=1,0,ROUNDUP(AP359/BY359,0))</f>
        <v>2</v>
      </c>
      <c r="AR359" s="52" t="n">
        <f aca="false">IF(CQ359&gt;0,CQ359*MAX(1,AP359/X359),IF(BZ359=1,IF(AP359&lt;=0,0,CD359*MAX(1,IF(H359&gt;0,AP359/H359,1))),IF(R359&gt;0,AQ359/R359,0))/MAX(0.1,N(Parameter!$M$21)))</f>
        <v>0.166666666666667</v>
      </c>
      <c r="AS359" s="50" t="n">
        <f aca="false">AR359*CB359</f>
        <v>40.8333333333333</v>
      </c>
      <c r="AT359" s="51" t="n">
        <f aca="false">IF(LEFT(Cockpit!$I$5,1)="A",H359,IF(CH359=1,(CK359+CI359)/2,IF(LEFT(Cockpit!$I$5,1)="B",(CK359+AV359)/2,MAX((CK359+AV359)/2,H359))))</f>
        <v>49</v>
      </c>
      <c r="AU359" s="50" t="n">
        <f aca="false">AT359*G359</f>
        <v>558.6</v>
      </c>
      <c r="AV359" s="50" t="n">
        <f aca="false">ROUNDUP(CK359+MAX(CL359,2*(J359/IF(CG359&gt;0,CG359,MAX(0.1,N(Cockpit!$I$6)))-CK359)),0)</f>
        <v>59</v>
      </c>
      <c r="AW359" s="51" t="n">
        <f aca="false">IF(AS359&gt;0,J359/AS359,-1)</f>
        <v>1.39591836734694</v>
      </c>
      <c r="AX359" s="51" t="n">
        <f aca="false">IF(AND(OR(CF359="L1",CF359="L23",CF359="LIFT"),AS359&gt;0),SUMIFS($AS$7:$AS$1843,$CF$7:$CF$1843,CF359,$AW$7:$AW$1843,"&gt;"&amp;AW359)+SUMIFS($AS$7:$AS$1843,$CF$7:$CF$1843,CF359,$AW$7:$AW$1843,AW359,$BW$7:$BW$1843,"&lt;="&amp;BW359),"")</f>
        <v>7809.17765567766</v>
      </c>
      <c r="AY359" s="58" t="n">
        <f aca="false">IF(AX359="",0,MAX(0,MIN(1,(IF(CF359="L1",Parameter!$H$5,IF(CF359="L23",Parameter!$H$6+Parameter!$H$7,Parameter!$H$5+Parameter!$H$6+Parameter!$H$7))-(AX359-AS359))/AS359)))</f>
        <v>1</v>
      </c>
      <c r="AZ359" s="50" t="n">
        <f aca="false">IF(LEFT(Cockpit!$O$5,1)="A",H359,IF(Parameter!$E$30="MAX-Bestand",IF(CH359=1,CI359,IF(LEFT(Cockpit!$O$5,1)="B",BF359,MAX(BF359,H359))),ROUNDUP(BD359,0)))</f>
        <v>32</v>
      </c>
      <c r="BA359" s="50" t="n">
        <f aca="false">IF(BZ359=1,0,ROUNDUP(AZ359/BY359,0))</f>
        <v>2</v>
      </c>
      <c r="BB359" s="52" t="n">
        <f aca="false">IF(CQ359&gt;0,CQ359*MAX(1,AZ359/X359),IF(BZ359=1,IF(AZ359&lt;=0,0,CD359*MAX(1,IF(H359&gt;0,AZ359/H359,1))),IF(R359&gt;0,BA359/R359,0))/MAX(0.1,N(Parameter!$M$21)))</f>
        <v>0.166666666666667</v>
      </c>
      <c r="BC359" s="50" t="n">
        <f aca="false">BB359*CB359</f>
        <v>40.8333333333333</v>
      </c>
      <c r="BD359" s="51" t="n">
        <f aca="false">IF(LEFT(Cockpit!$O$5,1)="A",H359,IF(CH359=1,(CK359+CI359)/2,IF(LEFT(Cockpit!$O$5,1)="B",(CK359+BF359)/2,MAX((CK359+BF359)/2,H359))))</f>
        <v>31.5</v>
      </c>
      <c r="BE359" s="50" t="n">
        <f aca="false">BD359*G359</f>
        <v>359.1</v>
      </c>
      <c r="BF359" s="50" t="n">
        <f aca="false">ROUNDUP(CK359+MAX(CL359,2*(J359/IF(CG359&gt;0,CG359,MAX(0.1,N(Cockpit!$O$6)))-CK359)),0)</f>
        <v>59</v>
      </c>
      <c r="BG359" s="51" t="n">
        <f aca="false">IF(BC359&gt;0,J359/BC359,-1)</f>
        <v>1.39591836734694</v>
      </c>
      <c r="BH359" s="51" t="n">
        <f aca="false">IF(AND(OR(CF359="L1",CF359="L23",CF359="LIFT"),BC359&gt;0),SUMIFS($BC$7:$BC$1843,$CF$7:$CF$1843,CF359,$BG$7:$BG$1843,"&gt;"&amp;BG359)+SUMIFS($BC$7:$BC$1843,$CF$7:$CF$1843,CF359,$BG$7:$BG$1843,BG359,$BW$7:$BW$1843,"&lt;="&amp;BW359),"")</f>
        <v>6703.5086996337</v>
      </c>
      <c r="BI359" s="58" t="n">
        <f aca="false">IF(BH359="",0,MAX(0,MIN(1,(IF(CF359="L1",Parameter!$H$5,IF(CF359="L23",Parameter!$H$6+Parameter!$H$7,Parameter!$H$5+Parameter!$H$6+Parameter!$H$7))-(BH359-BC359))/BC359)))</f>
        <v>1</v>
      </c>
      <c r="BJ359" s="48" t="str">
        <f aca="false">IF(AI359&lt;=0,"",IF(CF359="Aussen","Aussenlager",IF(CF359="-","Nicht im Lift",IF(AO359&gt;=1,"Lift",IF(AO359&lt;=0,"Aussenlager","teilweise")))))</f>
        <v>Lift</v>
      </c>
      <c r="BK359" s="48" t="str">
        <f aca="false">IF(AS359&lt;=0,"",IF(CF359="Aussen","Aussenlager",IF(CF359="-","Nicht im Lift",IF(AY359&gt;=1,"Lift",IF(AY359&lt;=0,"Aussenlager","teilweise")))))</f>
        <v>Lift</v>
      </c>
      <c r="BL359" s="48" t="str">
        <f aca="false">IF(BC359&lt;=0,"",IF(CF359="Aussen","Aussenlager",IF(CF359="-","Nicht im Lift",IF(BI359&gt;=1,"Lift",IF(BI359&lt;=0,"Aussenlager","teilweise")))))</f>
        <v>Lift</v>
      </c>
      <c r="BM359" s="48" t="str">
        <f aca="false">IF(A359="","",IF(BV359=1,"Neu; ","")&amp;IF(AND(BV359=0,BQ359&lt;0),"negativer Bestand (Export "&amp;BQ359&amp;"); ","")&amp;IF(J359&lt;=0,"Kein Verbrauch; ","")&amp;IF(CQ359&gt;0,"Lift "&amp;W359&amp;" lt. Liftbericht (Fach "&amp;X359&amp;" Stk); ",IF(CA359=1,"Gebinde geschätzt ("&amp;T359&amp;"); ",IF(BZ359=1,"Lose – Tablare geschätzt; ","")))&amp;IF(H359&gt;AV359,"Überbestand "&amp;ROUND(H359-AV359,0)&amp;" Stk / CHF "&amp;ROUND((H359-AV359)*G359,0)&amp;"; ","")&amp;IF(AND(CH359=1,CI359&lt;CJ359),"MAX &lt; MB+LG; ","")&amp;IF(AND(CP359&gt;0,CO359*10&gt;CP359),"zu hoch für Tablar; ","")&amp;IF(AND(BV359=0,OR(CH359=1,AA359&lt;&gt;"",U359&lt;&gt;"",V359&lt;&gt;"",AB359&lt;&gt;"")),"manuell übersteuert; ","")&amp;IF(AND(BZ359=0,R359=0),"Gebinde unbekannt / Stellmass fehlt; ","")&amp;IF(AND(BZ359=0,N(V359)&lt;=0,N(Q359)&lt;=0),"Menge pro Gebinde fehlt (Ist = 1 Gebinde); ","")&amp;BU359)</f>
        <v/>
      </c>
      <c r="BN359" s="48"/>
      <c r="BO359" s="48"/>
      <c r="BP359" s="55"/>
      <c r="BQ359" s="50" t="n">
        <v>14</v>
      </c>
      <c r="BR359" s="50" t="n">
        <v>35</v>
      </c>
      <c r="BS359" s="49" t="n">
        <v>168.35</v>
      </c>
      <c r="BT359" s="50" t="n">
        <v>57</v>
      </c>
      <c r="BU359" s="48"/>
      <c r="BV359" s="53" t="n">
        <v>0</v>
      </c>
      <c r="BW359" s="53" t="n">
        <v>359</v>
      </c>
      <c r="BX359" s="48" t="str">
        <f aca="false">IF(U359&lt;&gt;"",UPPER(TRIM(U359)),IF(CA359=1,UPPER(VLOOKUP(T359,Parameter!$I$27:$K$29,2,0)),IF(P359="","LOSE",P359)))</f>
        <v>S62</v>
      </c>
      <c r="BY359" s="50" t="n">
        <f aca="false">IF(BX359="LOSE",1,IF(N(V359)&gt;0,V359,IF(CA359=1,MAX(1,N(VLOOKUP(T359,Parameter!$I$27:$K$29,3,0)),H359,N(N359)),IF(N(Q359)&gt;0,Q359,MAX(1,H359)))))</f>
        <v>26</v>
      </c>
      <c r="BZ359" s="53" t="n">
        <f aca="false">IF(BX359="LOSE",1,0)</f>
        <v>0</v>
      </c>
      <c r="CA359" s="53" t="n">
        <f aca="false">IF(AND(U359="",OR(P359="",P359="LOSE"),T359&lt;&gt;"",N(S359)&lt;=0,ISNUMBER(MATCH(T359,Parameter!$I$27:$I$29,0))),1,0)</f>
        <v>0</v>
      </c>
      <c r="CB359" s="53" t="n">
        <f aca="false">IF(CQ359&gt;0,INDEX(Parameter!$H$5:$H$7,W359)/INDEX(Parameter!$E$5:$E$7,W359),IF(AND(BZ359=0,N(IFERROR(VLOOKUP(BX359,'Gebinde-Kategorie'!$A$5:$N$45,14,0),0))&gt;0),VLOOKUP(BX359,'Gebinde-Kategorie'!$A$5:$N$45,14,0)*10+Parameter!$M$23,Parameter!$M$24))</f>
        <v>245</v>
      </c>
      <c r="CC359" s="48" t="str">
        <f aca="false">IF(AND(Parameter!$B$19="Ja",E359&lt;&gt;"",ISNUMBER(MATCH(E359,Parameter!$I$35:$I$52,0))),VLOOKUP(E359,Parameter!$I$35:$J$52,2,0),IFERROR(VLOOKUP(D359,Parameter!$A$35:$C$64,2,0),"Nein"))</f>
        <v>2+3</v>
      </c>
      <c r="CD359" s="52" t="n">
        <f aca="false">IF(BZ359=0,0,IF(N(S359)&gt;0,S359,IFERROR(VLOOKUP(D359,Parameter!$A$35:$C$64,3,0)+0,0)))</f>
        <v>0</v>
      </c>
      <c r="CE359" s="48" t="n">
        <f aca="false">IF(AA359&lt;&gt;"",AA359,Z359)</f>
        <v>2</v>
      </c>
      <c r="CF359" s="48" t="str">
        <f aca="false">IF(OR(CE359=1,CE359=2,CE359=3),IF(Parameter!$E$27="Ja","LIFT",IF(CE359=1,"L1","L23")),IF(CE359="Aussen","Aussen","-"))</f>
        <v>LIFT</v>
      </c>
      <c r="CG359" s="59" t="n">
        <f aca="false">IF(N(AB359)&gt;0,AB359,0)</f>
        <v>0</v>
      </c>
      <c r="CH359" s="53" t="n">
        <f aca="false">IF(ISNUMBER(AE359),1,0)</f>
        <v>0</v>
      </c>
      <c r="CI359" s="50" t="n">
        <f aca="false">N(AE359)</f>
        <v>0</v>
      </c>
      <c r="CJ359" s="50" t="n">
        <f aca="false">N(M359)+N(N359)</f>
        <v>59</v>
      </c>
      <c r="CK359" s="50" t="n">
        <f aca="false">N(M359)</f>
        <v>4</v>
      </c>
      <c r="CL359" s="50" t="n">
        <f aca="false">N(N359)</f>
        <v>55</v>
      </c>
      <c r="CM359" s="50" t="n">
        <f aca="false">ROUNDUP(H359/BY359,0)</f>
        <v>2</v>
      </c>
      <c r="CN359" s="50" t="n">
        <f aca="false">ROUNDUP(CI359/BY359,0)</f>
        <v>0</v>
      </c>
      <c r="CO359" s="53" t="n">
        <f aca="false">IF(BZ359=1,0,IFERROR(VLOOKUP(BX359,'Gebinde-Kategorie'!$A$5:$N$45,5,0)+0,0))</f>
        <v>21</v>
      </c>
      <c r="CP359" s="53" t="n">
        <f aca="false">IFERROR(IF(OR(CE359=1,CE359=2,CE359=3),N(INDEX(Parameter!$I$5:$I$7,CE359)),0),0)</f>
        <v>0</v>
      </c>
      <c r="CQ359" s="52" t="n">
        <f aca="false">IF(AND(Parameter!$B$21="Ja",ISNUMBER(W359),N(X359)&gt;0),IFERROR(N(INDEX(Parameter!$L$5:$L$7,W359))*INDEX(Parameter!$E$5:$E$7,W359)*X359/SUMIFS($X$7:$X$1843,$W$7:$W$1843,W359),0),0)</f>
        <v>0</v>
      </c>
    </row>
    <row r="360" customFormat="false" ht="15" hidden="false" customHeight="false" outlineLevel="0" collapsed="false">
      <c r="A360" s="48" t="s">
        <v>881</v>
      </c>
      <c r="B360" s="48" t="s">
        <v>477</v>
      </c>
      <c r="C360" s="48" t="s">
        <v>173</v>
      </c>
      <c r="D360" s="48" t="s">
        <v>193</v>
      </c>
      <c r="E360" s="48" t="s">
        <v>194</v>
      </c>
      <c r="F360" s="48" t="s">
        <v>227</v>
      </c>
      <c r="G360" s="49" t="n">
        <v>0.28</v>
      </c>
      <c r="H360" s="50" t="n">
        <f aca="false">MAX(0,IF(AND(Parameter!$B$21="Ja",ISNUMBER(Y360)),Y360,IF(Parameter!$B$20="Jahresanfang 2025 + Export",BR360+BQ360,BQ360)))</f>
        <v>1117</v>
      </c>
      <c r="I360" s="50" t="n">
        <f aca="false">H360*G360</f>
        <v>312.76</v>
      </c>
      <c r="J360" s="50" t="n">
        <f aca="false">BT360*Parameter!$B$18</f>
        <v>1232</v>
      </c>
      <c r="K360" s="51" t="n">
        <v>530</v>
      </c>
      <c r="L360" s="52" t="n">
        <v>2.32452830188679</v>
      </c>
      <c r="M360" s="50" t="n">
        <v>47</v>
      </c>
      <c r="N360" s="50" t="n">
        <v>1235</v>
      </c>
      <c r="O360" s="53" t="n">
        <v>14</v>
      </c>
      <c r="P360" s="48" t="s">
        <v>337</v>
      </c>
      <c r="Q360" s="50" t="n">
        <v>534</v>
      </c>
      <c r="R360" s="53" t="n">
        <f aca="false">IF(BZ360=1,0,IFERROR(VLOOKUP(BX360,'Gebinde-Kategorie'!$A$5:$N$45,13,0)+0,0))</f>
        <v>52</v>
      </c>
      <c r="S360" s="54"/>
      <c r="T360" s="55"/>
      <c r="U360" s="55"/>
      <c r="V360" s="55"/>
      <c r="W360" s="48"/>
      <c r="X360" s="50"/>
      <c r="Y360" s="50"/>
      <c r="Z360" s="48" t="n">
        <f aca="false">IF(A360="","",IF(AND(Parameter!$B$21="Ja",ISNUMBER(W360)),W360,IF(CC360="2+3",IF(ISNUMBER(SEARCH("grosser Artikel",BU360)),2,IFERROR(VLOOKUP(BX360,Parameter!$F$35:$G$64,2,0),2)),IF(OR(CC360="Nein",CC360=""),"-",CC360))))</f>
        <v>3</v>
      </c>
      <c r="AA360" s="55"/>
      <c r="AB360" s="56"/>
      <c r="AC360" s="50" t="n">
        <f aca="false">AV360</f>
        <v>1282</v>
      </c>
      <c r="AD360" s="50" t="n">
        <f aca="false">MAX(AV360,H360)</f>
        <v>1282</v>
      </c>
      <c r="AE360" s="57"/>
      <c r="AF360" s="50" t="n">
        <f aca="false">IF(LEFT(Cockpit!$C$5,1)="A",H360,IF(Parameter!$E$30="MAX-Bestand",IF(CH360=1,CI360,IF(LEFT(Cockpit!$C$5,1)="B",AL360,MAX(AL360,H360))),ROUNDUP(AJ360,0)))</f>
        <v>1117</v>
      </c>
      <c r="AG360" s="50" t="n">
        <f aca="false">IF(BZ360=1,0,ROUNDUP(AF360/BY360,0))</f>
        <v>3</v>
      </c>
      <c r="AH360" s="52" t="n">
        <f aca="false">IF(CQ360&gt;0,CQ360*MAX(1,AF360/X360),IF(BZ360=1,IF(AF360&lt;=0,0,CD360*MAX(1,IF(H360&gt;0,AF360/H360,1))),IF(R360&gt;0,AG360/R360,0))/MAX(0.1,N(Parameter!$M$21)))</f>
        <v>0.0576923076923077</v>
      </c>
      <c r="AI360" s="50" t="n">
        <f aca="false">AH360*CB360</f>
        <v>8.94230769230769</v>
      </c>
      <c r="AJ360" s="51" t="n">
        <f aca="false">IF(LEFT(Cockpit!$C$5,1)="A",H360,IF(CH360=1,(CK360+CI360)/2,IF(LEFT(Cockpit!$C$5,1)="B",(CK360+AL360)/2,MAX((CK360+AL360)/2,H360))))</f>
        <v>1117</v>
      </c>
      <c r="AK360" s="50" t="n">
        <f aca="false">AJ360*G360</f>
        <v>312.76</v>
      </c>
      <c r="AL360" s="50" t="n">
        <f aca="false">ROUNDUP(CK360+MAX(CL360,2*(J360/IF(CG360&gt;0,CG360,MAX(0.1,N(Cockpit!$C$6)))-CK360)),0)</f>
        <v>1282</v>
      </c>
      <c r="AM360" s="51" t="n">
        <f aca="false">IF(AI360&gt;0,J360/AI360,-1)</f>
        <v>137.772043010753</v>
      </c>
      <c r="AN360" s="51" t="n">
        <f aca="false">IF(AND(OR(CF360="L1",CF360="L23",CF360="LIFT"),AI360&gt;0),SUMIFS($AI$7:$AI$1843,$CF$7:$CF$1843,CF360,$AM$7:$AM$1843,"&gt;"&amp;AM360)+SUMIFS($AI$7:$AI$1843,$CF$7:$CF$1843,CF360,$AM$7:$AM$1843,AM360,$BW$7:$BW$1843,"&lt;="&amp;BW360),"")</f>
        <v>521.247710622711</v>
      </c>
      <c r="AO360" s="58" t="n">
        <f aca="false">IF(AN360="",0,MAX(0,MIN(1,(IF(CF360="L1",Parameter!$H$5,IF(CF360="L23",Parameter!$H$6+Parameter!$H$7,Parameter!$H$5+Parameter!$H$6+Parameter!$H$7))-(AN360-AI360))/AI360)))</f>
        <v>1</v>
      </c>
      <c r="AP360" s="50" t="n">
        <f aca="false">IF(LEFT(Cockpit!$I$5,1)="A",H360,IF(Parameter!$E$30="MAX-Bestand",IF(CH360=1,CI360,IF(LEFT(Cockpit!$I$5,1)="B",AV360,MAX(AV360,H360))),ROUNDUP(AT360,0)))</f>
        <v>1117</v>
      </c>
      <c r="AQ360" s="50" t="n">
        <f aca="false">IF(BZ360=1,0,ROUNDUP(AP360/BY360,0))</f>
        <v>3</v>
      </c>
      <c r="AR360" s="52" t="n">
        <f aca="false">IF(CQ360&gt;0,CQ360*MAX(1,AP360/X360),IF(BZ360=1,IF(AP360&lt;=0,0,CD360*MAX(1,IF(H360&gt;0,AP360/H360,1))),IF(R360&gt;0,AQ360/R360,0))/MAX(0.1,N(Parameter!$M$21)))</f>
        <v>0.0576923076923077</v>
      </c>
      <c r="AS360" s="50" t="n">
        <f aca="false">AR360*CB360</f>
        <v>8.94230769230769</v>
      </c>
      <c r="AT360" s="51" t="n">
        <f aca="false">IF(LEFT(Cockpit!$I$5,1)="A",H360,IF(CH360=1,(CK360+CI360)/2,IF(LEFT(Cockpit!$I$5,1)="B",(CK360+AV360)/2,MAX((CK360+AV360)/2,H360))))</f>
        <v>1117</v>
      </c>
      <c r="AU360" s="50" t="n">
        <f aca="false">AT360*G360</f>
        <v>312.76</v>
      </c>
      <c r="AV360" s="50" t="n">
        <f aca="false">ROUNDUP(CK360+MAX(CL360,2*(J360/IF(CG360&gt;0,CG360,MAX(0.1,N(Cockpit!$I$6)))-CK360)),0)</f>
        <v>1282</v>
      </c>
      <c r="AW360" s="51" t="n">
        <f aca="false">IF(AS360&gt;0,J360/AS360,-1)</f>
        <v>137.772043010753</v>
      </c>
      <c r="AX360" s="51" t="n">
        <f aca="false">IF(AND(OR(CF360="L1",CF360="L23",CF360="LIFT"),AS360&gt;0),SUMIFS($AS$7:$AS$1843,$CF$7:$CF$1843,CF360,$AW$7:$AW$1843,"&gt;"&amp;AW360)+SUMIFS($AS$7:$AS$1843,$CF$7:$CF$1843,CF360,$AW$7:$AW$1843,AW360,$BW$7:$BW$1843,"&lt;="&amp;BW360),"")</f>
        <v>638.884615384616</v>
      </c>
      <c r="AY360" s="58" t="n">
        <f aca="false">IF(AX360="",0,MAX(0,MIN(1,(IF(CF360="L1",Parameter!$H$5,IF(CF360="L23",Parameter!$H$6+Parameter!$H$7,Parameter!$H$5+Parameter!$H$6+Parameter!$H$7))-(AX360-AS360))/AS360)))</f>
        <v>1</v>
      </c>
      <c r="AZ360" s="50" t="n">
        <f aca="false">IF(LEFT(Cockpit!$O$5,1)="A",H360,IF(Parameter!$E$30="MAX-Bestand",IF(CH360=1,CI360,IF(LEFT(Cockpit!$O$5,1)="B",BF360,MAX(BF360,H360))),ROUNDUP(BD360,0)))</f>
        <v>665</v>
      </c>
      <c r="BA360" s="50" t="n">
        <f aca="false">IF(BZ360=1,0,ROUNDUP(AZ360/BY360,0))</f>
        <v>2</v>
      </c>
      <c r="BB360" s="52" t="n">
        <f aca="false">IF(CQ360&gt;0,CQ360*MAX(1,AZ360/X360),IF(BZ360=1,IF(AZ360&lt;=0,0,CD360*MAX(1,IF(H360&gt;0,AZ360/H360,1))),IF(R360&gt;0,BA360/R360,0))/MAX(0.1,N(Parameter!$M$21)))</f>
        <v>0.0384615384615385</v>
      </c>
      <c r="BC360" s="50" t="n">
        <f aca="false">BB360*CB360</f>
        <v>5.96153846153846</v>
      </c>
      <c r="BD360" s="51" t="n">
        <f aca="false">IF(LEFT(Cockpit!$O$5,1)="A",H360,IF(CH360=1,(CK360+CI360)/2,IF(LEFT(Cockpit!$O$5,1)="B",(CK360+BF360)/2,MAX((CK360+BF360)/2,H360))))</f>
        <v>664.5</v>
      </c>
      <c r="BE360" s="50" t="n">
        <f aca="false">BD360*G360</f>
        <v>186.06</v>
      </c>
      <c r="BF360" s="50" t="n">
        <f aca="false">ROUNDUP(CK360+MAX(CL360,2*(J360/IF(CG360&gt;0,CG360,MAX(0.1,N(Cockpit!$O$6)))-CK360)),0)</f>
        <v>1282</v>
      </c>
      <c r="BG360" s="51" t="n">
        <f aca="false">IF(BC360&gt;0,J360/BC360,-1)</f>
        <v>206.658064516129</v>
      </c>
      <c r="BH360" s="51" t="n">
        <f aca="false">IF(AND(OR(CF360="L1",CF360="L23",CF360="LIFT"),BC360&gt;0),SUMIFS($BC$7:$BC$1843,$CF$7:$CF$1843,CF360,$BG$7:$BG$1843,"&gt;"&amp;BG360)+SUMIFS($BC$7:$BC$1843,$CF$7:$CF$1843,CF360,$BG$7:$BG$1843,BG360,$BW$7:$BW$1843,"&lt;="&amp;BW360),"")</f>
        <v>447.331043956044</v>
      </c>
      <c r="BI360" s="58" t="n">
        <f aca="false">IF(BH360="",0,MAX(0,MIN(1,(IF(CF360="L1",Parameter!$H$5,IF(CF360="L23",Parameter!$H$6+Parameter!$H$7,Parameter!$H$5+Parameter!$H$6+Parameter!$H$7))-(BH360-BC360))/BC360)))</f>
        <v>1</v>
      </c>
      <c r="BJ360" s="48" t="str">
        <f aca="false">IF(AI360&lt;=0,"",IF(CF360="Aussen","Aussenlager",IF(CF360="-","Nicht im Lift",IF(AO360&gt;=1,"Lift",IF(AO360&lt;=0,"Aussenlager","teilweise")))))</f>
        <v>Lift</v>
      </c>
      <c r="BK360" s="48" t="str">
        <f aca="false">IF(AS360&lt;=0,"",IF(CF360="Aussen","Aussenlager",IF(CF360="-","Nicht im Lift",IF(AY360&gt;=1,"Lift",IF(AY360&lt;=0,"Aussenlager","teilweise")))))</f>
        <v>Lift</v>
      </c>
      <c r="BL360" s="48" t="str">
        <f aca="false">IF(BC360&lt;=0,"",IF(CF360="Aussen","Aussenlager",IF(CF360="-","Nicht im Lift",IF(BI360&gt;=1,"Lift",IF(BI360&lt;=0,"Aussenlager","teilweise")))))</f>
        <v>Lift</v>
      </c>
      <c r="BM360" s="48" t="str">
        <f aca="false">IF(A360="","",IF(BV360=1,"Neu; ","")&amp;IF(AND(BV360=0,BQ360&lt;0),"negativer Bestand (Export "&amp;BQ360&amp;"); ","")&amp;IF(J360&lt;=0,"Kein Verbrauch; ","")&amp;IF(CQ360&gt;0,"Lift "&amp;W360&amp;" lt. Liftbericht (Fach "&amp;X360&amp;" Stk); ",IF(CA360=1,"Gebinde geschätzt ("&amp;T360&amp;"); ",IF(BZ360=1,"Lose – Tablare geschätzt; ","")))&amp;IF(H360&gt;AV360,"Überbestand "&amp;ROUND(H360-AV360,0)&amp;" Stk / CHF "&amp;ROUND((H360-AV360)*G360,0)&amp;"; ","")&amp;IF(AND(CH360=1,CI360&lt;CJ360),"MAX &lt; MB+LG; ","")&amp;IF(AND(CP360&gt;0,CO360*10&gt;CP360),"zu hoch für Tablar; ","")&amp;IF(AND(BV360=0,OR(CH360=1,AA360&lt;&gt;"",U360&lt;&gt;"",V360&lt;&gt;"",AB360&lt;&gt;"")),"manuell übersteuert; ","")&amp;IF(AND(BZ360=0,R360=0),"Gebinde unbekannt / Stellmass fehlt; ","")&amp;IF(AND(BZ360=0,N(V360)&lt;=0,N(Q360)&lt;=0),"Menge pro Gebinde fehlt (Ist = 1 Gebinde); ","")&amp;BU360)</f>
        <v/>
      </c>
      <c r="BN360" s="48"/>
      <c r="BO360" s="48"/>
      <c r="BP360" s="55"/>
      <c r="BQ360" s="50" t="n">
        <v>688</v>
      </c>
      <c r="BR360" s="50" t="n">
        <v>429</v>
      </c>
      <c r="BS360" s="49" t="n">
        <v>167.5</v>
      </c>
      <c r="BT360" s="50" t="n">
        <v>1232</v>
      </c>
      <c r="BU360" s="48"/>
      <c r="BV360" s="53" t="n">
        <v>0</v>
      </c>
      <c r="BW360" s="53" t="n">
        <v>360</v>
      </c>
      <c r="BX360" s="48" t="str">
        <f aca="false">IF(U360&lt;&gt;"",UPPER(TRIM(U360)),IF(CA360=1,UPPER(VLOOKUP(T360,Parameter!$I$27:$K$29,2,0)),IF(P360="","LOSE",P360)))</f>
        <v>S41</v>
      </c>
      <c r="BY360" s="50" t="n">
        <f aca="false">IF(BX360="LOSE",1,IF(N(V360)&gt;0,V360,IF(CA360=1,MAX(1,N(VLOOKUP(T360,Parameter!$I$27:$K$29,3,0)),H360,N(N360)),IF(N(Q360)&gt;0,Q360,MAX(1,H360)))))</f>
        <v>534</v>
      </c>
      <c r="BZ360" s="53" t="n">
        <f aca="false">IF(BX360="LOSE",1,0)</f>
        <v>0</v>
      </c>
      <c r="CA360" s="53" t="n">
        <f aca="false">IF(AND(U360="",OR(P360="",P360="LOSE"),T360&lt;&gt;"",N(S360)&lt;=0,ISNUMBER(MATCH(T360,Parameter!$I$27:$I$29,0))),1,0)</f>
        <v>0</v>
      </c>
      <c r="CB360" s="53" t="n">
        <f aca="false">IF(CQ360&gt;0,INDEX(Parameter!$H$5:$H$7,W360)/INDEX(Parameter!$E$5:$E$7,W360),IF(AND(BZ360=0,N(IFERROR(VLOOKUP(BX360,'Gebinde-Kategorie'!$A$5:$N$45,14,0),0))&gt;0),VLOOKUP(BX360,'Gebinde-Kategorie'!$A$5:$N$45,14,0)*10+Parameter!$M$23,Parameter!$M$24))</f>
        <v>155</v>
      </c>
      <c r="CC360" s="48" t="str">
        <f aca="false">IF(AND(Parameter!$B$19="Ja",E360&lt;&gt;"",ISNUMBER(MATCH(E360,Parameter!$I$35:$I$52,0))),VLOOKUP(E360,Parameter!$I$35:$J$52,2,0),IFERROR(VLOOKUP(D360,Parameter!$A$35:$C$64,2,0),"Nein"))</f>
        <v>2+3</v>
      </c>
      <c r="CD360" s="52" t="n">
        <f aca="false">IF(BZ360=0,0,IF(N(S360)&gt;0,S360,IFERROR(VLOOKUP(D360,Parameter!$A$35:$C$64,3,0)+0,0)))</f>
        <v>0</v>
      </c>
      <c r="CE360" s="48" t="n">
        <f aca="false">IF(AA360&lt;&gt;"",AA360,Z360)</f>
        <v>3</v>
      </c>
      <c r="CF360" s="48" t="str">
        <f aca="false">IF(OR(CE360=1,CE360=2,CE360=3),IF(Parameter!$E$27="Ja","LIFT",IF(CE360=1,"L1","L23")),IF(CE360="Aussen","Aussen","-"))</f>
        <v>LIFT</v>
      </c>
      <c r="CG360" s="59" t="n">
        <f aca="false">IF(N(AB360)&gt;0,AB360,0)</f>
        <v>0</v>
      </c>
      <c r="CH360" s="53" t="n">
        <f aca="false">IF(ISNUMBER(AE360),1,0)</f>
        <v>0</v>
      </c>
      <c r="CI360" s="50" t="n">
        <f aca="false">N(AE360)</f>
        <v>0</v>
      </c>
      <c r="CJ360" s="50" t="n">
        <f aca="false">N(M360)+N(N360)</f>
        <v>1282</v>
      </c>
      <c r="CK360" s="50" t="n">
        <f aca="false">N(M360)</f>
        <v>47</v>
      </c>
      <c r="CL360" s="50" t="n">
        <f aca="false">N(N360)</f>
        <v>1235</v>
      </c>
      <c r="CM360" s="50" t="n">
        <f aca="false">ROUNDUP(H360/BY360,0)</f>
        <v>3</v>
      </c>
      <c r="CN360" s="50" t="n">
        <f aca="false">ROUNDUP(CI360/BY360,0)</f>
        <v>0</v>
      </c>
      <c r="CO360" s="53" t="n">
        <f aca="false">IF(BZ360=1,0,IFERROR(VLOOKUP(BX360,'Gebinde-Kategorie'!$A$5:$N$45,5,0)+0,0))</f>
        <v>11</v>
      </c>
      <c r="CP360" s="53" t="n">
        <f aca="false">IFERROR(IF(OR(CE360=1,CE360=2,CE360=3),N(INDEX(Parameter!$I$5:$I$7,CE360)),0),0)</f>
        <v>0</v>
      </c>
      <c r="CQ360" s="52" t="n">
        <f aca="false">IF(AND(Parameter!$B$21="Ja",ISNUMBER(W360),N(X360)&gt;0),IFERROR(N(INDEX(Parameter!$L$5:$L$7,W360))*INDEX(Parameter!$E$5:$E$7,W360)*X360/SUMIFS($X$7:$X$1843,$W$7:$W$1843,W360),0),0)</f>
        <v>0</v>
      </c>
    </row>
    <row r="361" customFormat="false" ht="15" hidden="false" customHeight="false" outlineLevel="0" collapsed="false">
      <c r="A361" s="48" t="s">
        <v>882</v>
      </c>
      <c r="B361" s="48" t="s">
        <v>854</v>
      </c>
      <c r="C361" s="48" t="s">
        <v>173</v>
      </c>
      <c r="D361" s="48" t="s">
        <v>193</v>
      </c>
      <c r="E361" s="48"/>
      <c r="F361" s="48" t="s">
        <v>227</v>
      </c>
      <c r="G361" s="49" t="n">
        <v>6.7</v>
      </c>
      <c r="H361" s="50" t="n">
        <f aca="false">MAX(0,IF(AND(Parameter!$B$21="Ja",ISNUMBER(Y361)),Y361,IF(Parameter!$B$20="Jahresanfang 2025 + Export",BR361+BQ361,BQ361)))</f>
        <v>25</v>
      </c>
      <c r="I361" s="50" t="n">
        <f aca="false">H361*G361</f>
        <v>167.5</v>
      </c>
      <c r="J361" s="50" t="n">
        <f aca="false">BT361*Parameter!$B$18</f>
        <v>0</v>
      </c>
      <c r="K361" s="51" t="n">
        <v>0</v>
      </c>
      <c r="L361" s="52" t="n">
        <v>0</v>
      </c>
      <c r="M361" s="50" t="n">
        <v>0</v>
      </c>
      <c r="N361" s="50" t="n">
        <v>5</v>
      </c>
      <c r="O361" s="53" t="n">
        <v>9999</v>
      </c>
      <c r="P361" s="48" t="s">
        <v>177</v>
      </c>
      <c r="Q361" s="50"/>
      <c r="R361" s="53" t="n">
        <f aca="false">IF(BZ361=1,0,IFERROR(VLOOKUP(BX361,'Gebinde-Kategorie'!$A$5:$N$45,13,0)+0,0))</f>
        <v>26</v>
      </c>
      <c r="S361" s="54"/>
      <c r="T361" s="55" t="s">
        <v>284</v>
      </c>
      <c r="U361" s="55"/>
      <c r="V361" s="55"/>
      <c r="W361" s="48"/>
      <c r="X361" s="50"/>
      <c r="Y361" s="50"/>
      <c r="Z361" s="48" t="n">
        <f aca="false">IF(A361="","",IF(AND(Parameter!$B$21="Ja",ISNUMBER(W361)),W361,IF(CC361="2+3",IF(ISNUMBER(SEARCH("grosser Artikel",BU361)),2,IFERROR(VLOOKUP(BX361,Parameter!$F$35:$G$64,2,0),2)),IF(OR(CC361="Nein",CC361=""),"-",CC361))))</f>
        <v>3</v>
      </c>
      <c r="AA361" s="55"/>
      <c r="AB361" s="56"/>
      <c r="AC361" s="50" t="n">
        <f aca="false">AV361</f>
        <v>5</v>
      </c>
      <c r="AD361" s="50" t="n">
        <f aca="false">MAX(AV361,H361)</f>
        <v>25</v>
      </c>
      <c r="AE361" s="57"/>
      <c r="AF361" s="50" t="n">
        <f aca="false">IF(LEFT(Cockpit!$C$5,1)="A",H361,IF(Parameter!$E$30="MAX-Bestand",IF(CH361=1,CI361,IF(LEFT(Cockpit!$C$5,1)="B",AL361,MAX(AL361,H361))),ROUNDUP(AJ361,0)))</f>
        <v>25</v>
      </c>
      <c r="AG361" s="50" t="n">
        <f aca="false">IF(BZ361=1,0,ROUNDUP(AF361/BY361,0))</f>
        <v>1</v>
      </c>
      <c r="AH361" s="52" t="n">
        <f aca="false">IF(CQ361&gt;0,CQ361*MAX(1,AF361/X361),IF(BZ361=1,IF(AF361&lt;=0,0,CD361*MAX(1,IF(H361&gt;0,AF361/H361,1))),IF(R361&gt;0,AG361/R361,0))/MAX(0.1,N(Parameter!$M$21)))</f>
        <v>0.0384615384615385</v>
      </c>
      <c r="AI361" s="50" t="n">
        <f aca="false">AH361*CB361</f>
        <v>5.96153846153846</v>
      </c>
      <c r="AJ361" s="51" t="n">
        <f aca="false">IF(LEFT(Cockpit!$C$5,1)="A",H361,IF(CH361=1,(CK361+CI361)/2,IF(LEFT(Cockpit!$C$5,1)="B",(CK361+AL361)/2,MAX((CK361+AL361)/2,H361))))</f>
        <v>25</v>
      </c>
      <c r="AK361" s="50" t="n">
        <f aca="false">AJ361*G361</f>
        <v>167.5</v>
      </c>
      <c r="AL361" s="50" t="n">
        <f aca="false">ROUNDUP(CK361+MAX(CL361,2*(J361/IF(CG361&gt;0,CG361,MAX(0.1,N(Cockpit!$C$6)))-CK361)),0)</f>
        <v>5</v>
      </c>
      <c r="AM361" s="51" t="n">
        <f aca="false">IF(AI361&gt;0,J361/AI361,-1)</f>
        <v>0</v>
      </c>
      <c r="AN361" s="51" t="n">
        <f aca="false">IF(AND(OR(CF361="L1",CF361="L23",CF361="LIFT"),AI361&gt;0),SUMIFS($AI$7:$AI$1843,$CF$7:$CF$1843,CF361,$AM$7:$AM$1843,"&gt;"&amp;AM361)+SUMIFS($AI$7:$AI$1843,$CF$7:$CF$1843,CF361,$AM$7:$AM$1843,AM361,$BW$7:$BW$1843,"&lt;="&amp;BW361),"")</f>
        <v>28026.1352414064</v>
      </c>
      <c r="AO361" s="58" t="n">
        <f aca="false">IF(AN361="",0,MAX(0,MIN(1,(IF(CF361="L1",Parameter!$H$5,IF(CF361="L23",Parameter!$H$6+Parameter!$H$7,Parameter!$H$5+Parameter!$H$6+Parameter!$H$7))-(AN361-AI361))/AI361)))</f>
        <v>1</v>
      </c>
      <c r="AP361" s="50" t="n">
        <f aca="false">IF(LEFT(Cockpit!$I$5,1)="A",H361,IF(Parameter!$E$30="MAX-Bestand",IF(CH361=1,CI361,IF(LEFT(Cockpit!$I$5,1)="B",AV361,MAX(AV361,H361))),ROUNDUP(AT361,0)))</f>
        <v>25</v>
      </c>
      <c r="AQ361" s="50" t="n">
        <f aca="false">IF(BZ361=1,0,ROUNDUP(AP361/BY361,0))</f>
        <v>1</v>
      </c>
      <c r="AR361" s="52" t="n">
        <f aca="false">IF(CQ361&gt;0,CQ361*MAX(1,AP361/X361),IF(BZ361=1,IF(AP361&lt;=0,0,CD361*MAX(1,IF(H361&gt;0,AP361/H361,1))),IF(R361&gt;0,AQ361/R361,0))/MAX(0.1,N(Parameter!$M$21)))</f>
        <v>0.0384615384615385</v>
      </c>
      <c r="AS361" s="50" t="n">
        <f aca="false">AR361*CB361</f>
        <v>5.96153846153846</v>
      </c>
      <c r="AT361" s="51" t="n">
        <f aca="false">IF(LEFT(Cockpit!$I$5,1)="A",H361,IF(CH361=1,(CK361+CI361)/2,IF(LEFT(Cockpit!$I$5,1)="B",(CK361+AV361)/2,MAX((CK361+AV361)/2,H361))))</f>
        <v>25</v>
      </c>
      <c r="AU361" s="50" t="n">
        <f aca="false">AT361*G361</f>
        <v>167.5</v>
      </c>
      <c r="AV361" s="50" t="n">
        <f aca="false">ROUNDUP(CK361+MAX(CL361,2*(J361/IF(CG361&gt;0,CG361,MAX(0.1,N(Cockpit!$I$6)))-CK361)),0)</f>
        <v>5</v>
      </c>
      <c r="AW361" s="51" t="n">
        <f aca="false">IF(AS361&gt;0,J361/AS361,-1)</f>
        <v>0</v>
      </c>
      <c r="AX361" s="51" t="n">
        <f aca="false">IF(AND(OR(CF361="L1",CF361="L23",CF361="LIFT"),AS361&gt;0),SUMIFS($AS$7:$AS$1843,$CF$7:$CF$1843,CF361,$AW$7:$AW$1843,"&gt;"&amp;AW361)+SUMIFS($AS$7:$AS$1843,$CF$7:$CF$1843,CF361,$AW$7:$AW$1843,AW361,$BW$7:$BW$1843,"&lt;="&amp;BW361),"")</f>
        <v>33379.2838827839</v>
      </c>
      <c r="AY361" s="58" t="n">
        <f aca="false">IF(AX361="",0,MAX(0,MIN(1,(IF(CF361="L1",Parameter!$H$5,IF(CF361="L23",Parameter!$H$6+Parameter!$H$7,Parameter!$H$5+Parameter!$H$6+Parameter!$H$7))-(AX361-AS361))/AS361)))</f>
        <v>1</v>
      </c>
      <c r="AZ361" s="50" t="n">
        <f aca="false">IF(LEFT(Cockpit!$O$5,1)="A",H361,IF(Parameter!$E$30="MAX-Bestand",IF(CH361=1,CI361,IF(LEFT(Cockpit!$O$5,1)="B",BF361,MAX(BF361,H361))),ROUNDUP(BD361,0)))</f>
        <v>3</v>
      </c>
      <c r="BA361" s="50" t="n">
        <f aca="false">IF(BZ361=1,0,ROUNDUP(AZ361/BY361,0))</f>
        <v>1</v>
      </c>
      <c r="BB361" s="52" t="n">
        <f aca="false">IF(CQ361&gt;0,CQ361*MAX(1,AZ361/X361),IF(BZ361=1,IF(AZ361&lt;=0,0,CD361*MAX(1,IF(H361&gt;0,AZ361/H361,1))),IF(R361&gt;0,BA361/R361,0))/MAX(0.1,N(Parameter!$M$21)))</f>
        <v>0.0384615384615385</v>
      </c>
      <c r="BC361" s="50" t="n">
        <f aca="false">BB361*CB361</f>
        <v>5.96153846153846</v>
      </c>
      <c r="BD361" s="51" t="n">
        <f aca="false">IF(LEFT(Cockpit!$O$5,1)="A",H361,IF(CH361=1,(CK361+CI361)/2,IF(LEFT(Cockpit!$O$5,1)="B",(CK361+BF361)/2,MAX((CK361+BF361)/2,H361))))</f>
        <v>2.5</v>
      </c>
      <c r="BE361" s="50" t="n">
        <f aca="false">BD361*G361</f>
        <v>16.75</v>
      </c>
      <c r="BF361" s="50" t="n">
        <f aca="false">ROUNDUP(CK361+MAX(CL361,2*(J361/IF(CG361&gt;0,CG361,MAX(0.1,N(Cockpit!$O$6)))-CK361)),0)</f>
        <v>5</v>
      </c>
      <c r="BG361" s="51" t="n">
        <f aca="false">IF(BC361&gt;0,J361/BC361,-1)</f>
        <v>0</v>
      </c>
      <c r="BH361" s="51" t="n">
        <f aca="false">IF(AND(OR(CF361="L1",CF361="L23",CF361="LIFT"),BC361&gt;0),SUMIFS($BC$7:$BC$1843,$CF$7:$CF$1843,CF361,$BG$7:$BG$1843,"&gt;"&amp;BG361)+SUMIFS($BC$7:$BC$1843,$CF$7:$CF$1843,CF361,$BG$7:$BG$1843,BG361,$BW$7:$BW$1843,"&lt;="&amp;BW361),"")</f>
        <v>27492.820854287</v>
      </c>
      <c r="BI361" s="58" t="n">
        <f aca="false">IF(BH361="",0,MAX(0,MIN(1,(IF(CF361="L1",Parameter!$H$5,IF(CF361="L23",Parameter!$H$6+Parameter!$H$7,Parameter!$H$5+Parameter!$H$6+Parameter!$H$7))-(BH361-BC361))/BC361)))</f>
        <v>1</v>
      </c>
      <c r="BJ361" s="48" t="str">
        <f aca="false">IF(AI361&lt;=0,"",IF(CF361="Aussen","Aussenlager",IF(CF361="-","Nicht im Lift",IF(AO361&gt;=1,"Lift",IF(AO361&lt;=0,"Aussenlager","teilweise")))))</f>
        <v>Lift</v>
      </c>
      <c r="BK361" s="48" t="str">
        <f aca="false">IF(AS361&lt;=0,"",IF(CF361="Aussen","Aussenlager",IF(CF361="-","Nicht im Lift",IF(AY361&gt;=1,"Lift",IF(AY361&lt;=0,"Aussenlager","teilweise")))))</f>
        <v>Lift</v>
      </c>
      <c r="BL361" s="48" t="str">
        <f aca="false">IF(BC361&lt;=0,"",IF(CF361="Aussen","Aussenlager",IF(CF361="-","Nicht im Lift",IF(BI361&gt;=1,"Lift",IF(BI361&lt;=0,"Aussenlager","teilweise")))))</f>
        <v>Lift</v>
      </c>
      <c r="BM361" s="48" t="str">
        <f aca="false">IF(A361="","",IF(BV361=1,"Neu; ","")&amp;IF(AND(BV361=0,BQ361&lt;0),"negativer Bestand (Export "&amp;BQ361&amp;"); ","")&amp;IF(J361&lt;=0,"Kein Verbrauch; ","")&amp;IF(CQ361&gt;0,"Lift "&amp;W361&amp;" lt. Liftbericht (Fach "&amp;X361&amp;" Stk); ",IF(CA361=1,"Gebinde geschätzt ("&amp;T361&amp;"); ",IF(BZ361=1,"Lose – Tablare geschätzt; ","")))&amp;IF(H361&gt;AV361,"Überbestand "&amp;ROUND(H361-AV361,0)&amp;" Stk / CHF "&amp;ROUND((H361-AV361)*G361,0)&amp;"; ","")&amp;IF(AND(CH361=1,CI361&lt;CJ361),"MAX &lt; MB+LG; ","")&amp;IF(AND(CP361&gt;0,CO361*10&gt;CP361),"zu hoch für Tablar; ","")&amp;IF(AND(BV361=0,OR(CH361=1,AA361&lt;&gt;"",U361&lt;&gt;"",V361&lt;&gt;"",AB361&lt;&gt;"")),"manuell übersteuert; ","")&amp;IF(AND(BZ361=0,R361=0),"Gebinde unbekannt / Stellmass fehlt; ","")&amp;IF(AND(BZ361=0,N(V361)&lt;=0,N(Q361)&lt;=0),"Menge pro Gebinde fehlt (Ist = 1 Gebinde); ","")&amp;BU361)</f>
        <v>Kein Verbrauch; Gebinde geschätzt (Klein); Überbestand 20 Stk / CHF 134; Menge pro Gebinde fehlt (Ist = 1 Gebinde); </v>
      </c>
      <c r="BN361" s="48"/>
      <c r="BO361" s="48"/>
      <c r="BP361" s="55"/>
      <c r="BQ361" s="50" t="n">
        <v>25</v>
      </c>
      <c r="BR361" s="50" t="n">
        <v>0</v>
      </c>
      <c r="BS361" s="49" t="n">
        <v>167.5</v>
      </c>
      <c r="BT361" s="50" t="n">
        <v>0</v>
      </c>
      <c r="BU361" s="48"/>
      <c r="BV361" s="53" t="n">
        <v>0</v>
      </c>
      <c r="BW361" s="53" t="n">
        <v>361</v>
      </c>
      <c r="BX361" s="48" t="str">
        <f aca="false">IF(U361&lt;&gt;"",UPPER(TRIM(U361)),IF(CA361=1,UPPER(VLOOKUP(T361,Parameter!$I$27:$K$29,2,0)),IF(P361="","LOSE",P361)))</f>
        <v>S51</v>
      </c>
      <c r="BY361" s="50" t="n">
        <f aca="false">IF(BX361="LOSE",1,IF(N(V361)&gt;0,V361,IF(CA361=1,MAX(1,N(VLOOKUP(T361,Parameter!$I$27:$K$29,3,0)),H361,N(N361)),IF(N(Q361)&gt;0,Q361,MAX(1,H361)))))</f>
        <v>25</v>
      </c>
      <c r="BZ361" s="53" t="n">
        <f aca="false">IF(BX361="LOSE",1,0)</f>
        <v>0</v>
      </c>
      <c r="CA361" s="53" t="n">
        <f aca="false">IF(AND(U361="",OR(P361="",P361="LOSE"),T361&lt;&gt;"",N(S361)&lt;=0,ISNUMBER(MATCH(T361,Parameter!$I$27:$I$29,0))),1,0)</f>
        <v>1</v>
      </c>
      <c r="CB361" s="53" t="n">
        <f aca="false">IF(CQ361&gt;0,INDEX(Parameter!$H$5:$H$7,W361)/INDEX(Parameter!$E$5:$E$7,W361),IF(AND(BZ361=0,N(IFERROR(VLOOKUP(BX361,'Gebinde-Kategorie'!$A$5:$N$45,14,0),0))&gt;0),VLOOKUP(BX361,'Gebinde-Kategorie'!$A$5:$N$45,14,0)*10+Parameter!$M$23,Parameter!$M$24))</f>
        <v>155</v>
      </c>
      <c r="CC361" s="48" t="str">
        <f aca="false">IF(AND(Parameter!$B$19="Ja",E361&lt;&gt;"",ISNUMBER(MATCH(E361,Parameter!$I$35:$I$52,0))),VLOOKUP(E361,Parameter!$I$35:$J$52,2,0),IFERROR(VLOOKUP(D361,Parameter!$A$35:$C$64,2,0),"Nein"))</f>
        <v>2+3</v>
      </c>
      <c r="CD361" s="52" t="n">
        <f aca="false">IF(BZ361=0,0,IF(N(S361)&gt;0,S361,IFERROR(VLOOKUP(D361,Parameter!$A$35:$C$64,3,0)+0,0)))</f>
        <v>0</v>
      </c>
      <c r="CE361" s="48" t="n">
        <f aca="false">IF(AA361&lt;&gt;"",AA361,Z361)</f>
        <v>3</v>
      </c>
      <c r="CF361" s="48" t="str">
        <f aca="false">IF(OR(CE361=1,CE361=2,CE361=3),IF(Parameter!$E$27="Ja","LIFT",IF(CE361=1,"L1","L23")),IF(CE361="Aussen","Aussen","-"))</f>
        <v>LIFT</v>
      </c>
      <c r="CG361" s="59" t="n">
        <f aca="false">IF(N(AB361)&gt;0,AB361,0)</f>
        <v>0</v>
      </c>
      <c r="CH361" s="53" t="n">
        <f aca="false">IF(ISNUMBER(AE361),1,0)</f>
        <v>0</v>
      </c>
      <c r="CI361" s="50" t="n">
        <f aca="false">N(AE361)</f>
        <v>0</v>
      </c>
      <c r="CJ361" s="50" t="n">
        <f aca="false">N(M361)+N(N361)</f>
        <v>5</v>
      </c>
      <c r="CK361" s="50" t="n">
        <f aca="false">N(M361)</f>
        <v>0</v>
      </c>
      <c r="CL361" s="50" t="n">
        <f aca="false">N(N361)</f>
        <v>5</v>
      </c>
      <c r="CM361" s="50" t="n">
        <f aca="false">ROUNDUP(H361/BY361,0)</f>
        <v>1</v>
      </c>
      <c r="CN361" s="50" t="n">
        <f aca="false">ROUNDUP(CI361/BY361,0)</f>
        <v>0</v>
      </c>
      <c r="CO361" s="53" t="n">
        <f aca="false">IF(BZ361=1,0,IFERROR(VLOOKUP(BX361,'Gebinde-Kategorie'!$A$5:$N$45,5,0)+0,0))</f>
        <v>11</v>
      </c>
      <c r="CP361" s="53" t="n">
        <f aca="false">IFERROR(IF(OR(CE361=1,CE361=2,CE361=3),N(INDEX(Parameter!$I$5:$I$7,CE361)),0),0)</f>
        <v>0</v>
      </c>
      <c r="CQ361" s="52" t="n">
        <f aca="false">IF(AND(Parameter!$B$21="Ja",ISNUMBER(W361),N(X361)&gt;0),IFERROR(N(INDEX(Parameter!$L$5:$L$7,W361))*INDEX(Parameter!$E$5:$E$7,W361)*X361/SUMIFS($X$7:$X$1843,$W$7:$W$1843,W361),0),0)</f>
        <v>0</v>
      </c>
    </row>
    <row r="362" customFormat="false" ht="15" hidden="false" customHeight="false" outlineLevel="0" collapsed="false">
      <c r="A362" s="48" t="s">
        <v>883</v>
      </c>
      <c r="B362" s="48" t="s">
        <v>884</v>
      </c>
      <c r="C362" s="48" t="s">
        <v>173</v>
      </c>
      <c r="D362" s="48" t="s">
        <v>182</v>
      </c>
      <c r="E362" s="48"/>
      <c r="F362" s="48" t="s">
        <v>227</v>
      </c>
      <c r="G362" s="49" t="n">
        <v>33.5</v>
      </c>
      <c r="H362" s="50" t="n">
        <f aca="false">MAX(0,IF(AND(Parameter!$B$21="Ja",ISNUMBER(Y362)),Y362,IF(Parameter!$B$20="Jahresanfang 2025 + Export",BR362+BQ362,BQ362)))</f>
        <v>14</v>
      </c>
      <c r="I362" s="50" t="n">
        <f aca="false">H362*G362</f>
        <v>469</v>
      </c>
      <c r="J362" s="50" t="n">
        <f aca="false">BT362*Parameter!$B$18</f>
        <v>21</v>
      </c>
      <c r="K362" s="51" t="n">
        <v>9.5</v>
      </c>
      <c r="L362" s="52" t="n">
        <v>2.21052631578947</v>
      </c>
      <c r="M362" s="50" t="n">
        <v>3</v>
      </c>
      <c r="N362" s="50" t="n">
        <v>20</v>
      </c>
      <c r="O362" s="53" t="n">
        <v>56</v>
      </c>
      <c r="P362" s="48" t="s">
        <v>232</v>
      </c>
      <c r="Q362" s="50" t="n">
        <v>24</v>
      </c>
      <c r="R362" s="53" t="n">
        <f aca="false">IF(BZ362=1,0,IFERROR(VLOOKUP(BX362,'Gebinde-Kategorie'!$A$5:$N$45,13,0)+0,0))</f>
        <v>4</v>
      </c>
      <c r="S362" s="54"/>
      <c r="T362" s="55"/>
      <c r="U362" s="55"/>
      <c r="V362" s="55"/>
      <c r="W362" s="48"/>
      <c r="X362" s="50"/>
      <c r="Y362" s="50"/>
      <c r="Z362" s="48" t="n">
        <f aca="false">IF(A362="","",IF(AND(Parameter!$B$21="Ja",ISNUMBER(W362)),W362,IF(CC362="2+3",IF(ISNUMBER(SEARCH("grosser Artikel",BU362)),2,IFERROR(VLOOKUP(BX362,Parameter!$F$35:$G$64,2,0),2)),IF(OR(CC362="Nein",CC362=""),"-",CC362))))</f>
        <v>2</v>
      </c>
      <c r="AA362" s="55"/>
      <c r="AB362" s="56"/>
      <c r="AC362" s="50" t="n">
        <f aca="false">AV362</f>
        <v>23</v>
      </c>
      <c r="AD362" s="50" t="n">
        <f aca="false">MAX(AV362,H362)</f>
        <v>23</v>
      </c>
      <c r="AE362" s="57"/>
      <c r="AF362" s="50" t="n">
        <f aca="false">IF(LEFT(Cockpit!$C$5,1)="A",H362,IF(Parameter!$E$30="MAX-Bestand",IF(CH362=1,CI362,IF(LEFT(Cockpit!$C$5,1)="B",AL362,MAX(AL362,H362))),ROUNDUP(AJ362,0)))</f>
        <v>14</v>
      </c>
      <c r="AG362" s="50" t="n">
        <f aca="false">IF(BZ362=1,0,ROUNDUP(AF362/BY362,0))</f>
        <v>1</v>
      </c>
      <c r="AH362" s="52" t="n">
        <f aca="false">IF(CQ362&gt;0,CQ362*MAX(1,AF362/X362),IF(BZ362=1,IF(AF362&lt;=0,0,CD362*MAX(1,IF(H362&gt;0,AF362/H362,1))),IF(R362&gt;0,AG362/R362,0))/MAX(0.1,N(Parameter!$M$21)))</f>
        <v>0.25</v>
      </c>
      <c r="AI362" s="50" t="n">
        <f aca="false">AH362*CB362</f>
        <v>58.75</v>
      </c>
      <c r="AJ362" s="51" t="n">
        <f aca="false">IF(LEFT(Cockpit!$C$5,1)="A",H362,IF(CH362=1,(CK362+CI362)/2,IF(LEFT(Cockpit!$C$5,1)="B",(CK362+AL362)/2,MAX((CK362+AL362)/2,H362))))</f>
        <v>14</v>
      </c>
      <c r="AK362" s="50" t="n">
        <f aca="false">AJ362*G362</f>
        <v>469</v>
      </c>
      <c r="AL362" s="50" t="n">
        <f aca="false">ROUNDUP(CK362+MAX(CL362,2*(J362/IF(CG362&gt;0,CG362,MAX(0.1,N(Cockpit!$C$6)))-CK362)),0)</f>
        <v>23</v>
      </c>
      <c r="AM362" s="51" t="n">
        <f aca="false">IF(AI362&gt;0,J362/AI362,-1)</f>
        <v>0.357446808510638</v>
      </c>
      <c r="AN362" s="51" t="n">
        <f aca="false">IF(AND(OR(CF362="L1",CF362="L23",CF362="LIFT"),AI362&gt;0),SUMIFS($AI$7:$AI$1843,$CF$7:$CF$1843,CF362,$AM$7:$AM$1843,"&gt;"&amp;AM362)+SUMIFS($AI$7:$AI$1843,$CF$7:$CF$1843,CF362,$AM$7:$AM$1843,AM362,$BW$7:$BW$1843,"&lt;="&amp;BW362),"")</f>
        <v>10678.0833048778</v>
      </c>
      <c r="AO362" s="58" t="n">
        <f aca="false">IF(AN362="",0,MAX(0,MIN(1,(IF(CF362="L1",Parameter!$H$5,IF(CF362="L23",Parameter!$H$6+Parameter!$H$7,Parameter!$H$5+Parameter!$H$6+Parameter!$H$7))-(AN362-AI362))/AI362)))</f>
        <v>1</v>
      </c>
      <c r="AP362" s="50" t="n">
        <f aca="false">IF(LEFT(Cockpit!$I$5,1)="A",H362,IF(Parameter!$E$30="MAX-Bestand",IF(CH362=1,CI362,IF(LEFT(Cockpit!$I$5,1)="B",AV362,MAX(AV362,H362))),ROUNDUP(AT362,0)))</f>
        <v>14</v>
      </c>
      <c r="AQ362" s="50" t="n">
        <f aca="false">IF(BZ362=1,0,ROUNDUP(AP362/BY362,0))</f>
        <v>1</v>
      </c>
      <c r="AR362" s="52" t="n">
        <f aca="false">IF(CQ362&gt;0,CQ362*MAX(1,AP362/X362),IF(BZ362=1,IF(AP362&lt;=0,0,CD362*MAX(1,IF(H362&gt;0,AP362/H362,1))),IF(R362&gt;0,AQ362/R362,0))/MAX(0.1,N(Parameter!$M$21)))</f>
        <v>0.25</v>
      </c>
      <c r="AS362" s="50" t="n">
        <f aca="false">AR362*CB362</f>
        <v>58.75</v>
      </c>
      <c r="AT362" s="51" t="n">
        <f aca="false">IF(LEFT(Cockpit!$I$5,1)="A",H362,IF(CH362=1,(CK362+CI362)/2,IF(LEFT(Cockpit!$I$5,1)="B",(CK362+AV362)/2,MAX((CK362+AV362)/2,H362))))</f>
        <v>14</v>
      </c>
      <c r="AU362" s="50" t="n">
        <f aca="false">AT362*G362</f>
        <v>469</v>
      </c>
      <c r="AV362" s="50" t="n">
        <f aca="false">ROUNDUP(CK362+MAX(CL362,2*(J362/IF(CG362&gt;0,CG362,MAX(0.1,N(Cockpit!$I$6)))-CK362)),0)</f>
        <v>23</v>
      </c>
      <c r="AW362" s="51" t="n">
        <f aca="false">IF(AS362&gt;0,J362/AS362,-1)</f>
        <v>0.357446808510638</v>
      </c>
      <c r="AX362" s="51" t="n">
        <f aca="false">IF(AND(OR(CF362="L1",CF362="L23",CF362="LIFT"),AS362&gt;0),SUMIFS($AS$7:$AS$1843,$CF$7:$CF$1843,CF362,$AW$7:$AW$1843,"&gt;"&amp;AW362)+SUMIFS($AS$7:$AS$1843,$CF$7:$CF$1843,CF362,$AW$7:$AW$1843,AW362,$BW$7:$BW$1843,"&lt;="&amp;BW362),"")</f>
        <v>13409.8365384615</v>
      </c>
      <c r="AY362" s="58" t="n">
        <f aca="false">IF(AX362="",0,MAX(0,MIN(1,(IF(CF362="L1",Parameter!$H$5,IF(CF362="L23",Parameter!$H$6+Parameter!$H$7,Parameter!$H$5+Parameter!$H$6+Parameter!$H$7))-(AX362-AS362))/AS362)))</f>
        <v>1</v>
      </c>
      <c r="AZ362" s="50" t="n">
        <f aca="false">IF(LEFT(Cockpit!$O$5,1)="A",H362,IF(Parameter!$E$30="MAX-Bestand",IF(CH362=1,CI362,IF(LEFT(Cockpit!$O$5,1)="B",BF362,MAX(BF362,H362))),ROUNDUP(BD362,0)))</f>
        <v>13</v>
      </c>
      <c r="BA362" s="50" t="n">
        <f aca="false">IF(BZ362=1,0,ROUNDUP(AZ362/BY362,0))</f>
        <v>1</v>
      </c>
      <c r="BB362" s="52" t="n">
        <f aca="false">IF(CQ362&gt;0,CQ362*MAX(1,AZ362/X362),IF(BZ362=1,IF(AZ362&lt;=0,0,CD362*MAX(1,IF(H362&gt;0,AZ362/H362,1))),IF(R362&gt;0,BA362/R362,0))/MAX(0.1,N(Parameter!$M$21)))</f>
        <v>0.25</v>
      </c>
      <c r="BC362" s="50" t="n">
        <f aca="false">BB362*CB362</f>
        <v>58.75</v>
      </c>
      <c r="BD362" s="51" t="n">
        <f aca="false">IF(LEFT(Cockpit!$O$5,1)="A",H362,IF(CH362=1,(CK362+CI362)/2,IF(LEFT(Cockpit!$O$5,1)="B",(CK362+BF362)/2,MAX((CK362+BF362)/2,H362))))</f>
        <v>13</v>
      </c>
      <c r="BE362" s="50" t="n">
        <f aca="false">BD362*G362</f>
        <v>435.5</v>
      </c>
      <c r="BF362" s="50" t="n">
        <f aca="false">ROUNDUP(CK362+MAX(CL362,2*(J362/IF(CG362&gt;0,CG362,MAX(0.1,N(Cockpit!$O$6)))-CK362)),0)</f>
        <v>23</v>
      </c>
      <c r="BG362" s="51" t="n">
        <f aca="false">IF(BC362&gt;0,J362/BC362,-1)</f>
        <v>0.357446808510638</v>
      </c>
      <c r="BH362" s="51" t="n">
        <f aca="false">IF(AND(OR(CF362="L1",CF362="L23",CF362="LIFT"),BC362&gt;0),SUMIFS($BC$7:$BC$1843,$CF$7:$CF$1843,CF362,$BG$7:$BG$1843,"&gt;"&amp;BG362)+SUMIFS($BC$7:$BC$1843,$CF$7:$CF$1843,CF362,$BG$7:$BG$1843,BG362,$BW$7:$BW$1843,"&lt;="&amp;BW362),"")</f>
        <v>11435.603021978</v>
      </c>
      <c r="BI362" s="58" t="n">
        <f aca="false">IF(BH362="",0,MAX(0,MIN(1,(IF(CF362="L1",Parameter!$H$5,IF(CF362="L23",Parameter!$H$6+Parameter!$H$7,Parameter!$H$5+Parameter!$H$6+Parameter!$H$7))-(BH362-BC362))/BC362)))</f>
        <v>1</v>
      </c>
      <c r="BJ362" s="48" t="str">
        <f aca="false">IF(AI362&lt;=0,"",IF(CF362="Aussen","Aussenlager",IF(CF362="-","Nicht im Lift",IF(AO362&gt;=1,"Lift",IF(AO362&lt;=0,"Aussenlager","teilweise")))))</f>
        <v>Lift</v>
      </c>
      <c r="BK362" s="48" t="str">
        <f aca="false">IF(AS362&lt;=0,"",IF(CF362="Aussen","Aussenlager",IF(CF362="-","Nicht im Lift",IF(AY362&gt;=1,"Lift",IF(AY362&lt;=0,"Aussenlager","teilweise")))))</f>
        <v>Lift</v>
      </c>
      <c r="BL362" s="48" t="str">
        <f aca="false">IF(BC362&lt;=0,"",IF(CF362="Aussen","Aussenlager",IF(CF362="-","Nicht im Lift",IF(BI362&gt;=1,"Lift",IF(BI362&lt;=0,"Aussenlager","teilweise")))))</f>
        <v>Lift</v>
      </c>
      <c r="BM362" s="48" t="str">
        <f aca="false">IF(A362="","",IF(BV362=1,"Neu; ","")&amp;IF(AND(BV362=0,BQ362&lt;0),"negativer Bestand (Export "&amp;BQ362&amp;"); ","")&amp;IF(J362&lt;=0,"Kein Verbrauch; ","")&amp;IF(CQ362&gt;0,"Lift "&amp;W362&amp;" lt. Liftbericht (Fach "&amp;X362&amp;" Stk); ",IF(CA362=1,"Gebinde geschätzt ("&amp;T362&amp;"); ",IF(BZ362=1,"Lose – Tablare geschätzt; ","")))&amp;IF(H362&gt;AV362,"Überbestand "&amp;ROUND(H362-AV362,0)&amp;" Stk / CHF "&amp;ROUND((H362-AV362)*G362,0)&amp;"; ","")&amp;IF(AND(CH362=1,CI362&lt;CJ362),"MAX &lt; MB+LG; ","")&amp;IF(AND(CP362&gt;0,CO362*10&gt;CP362),"zu hoch für Tablar; ","")&amp;IF(AND(BV362=0,OR(CH362=1,AA362&lt;&gt;"",U362&lt;&gt;"",V362&lt;&gt;"",AB362&lt;&gt;"")),"manuell übersteuert; ","")&amp;IF(AND(BZ362=0,R362=0),"Gebinde unbekannt / Stellmass fehlt; ","")&amp;IF(AND(BZ362=0,N(V362)&lt;=0,N(Q362)&lt;=0),"Menge pro Gebinde fehlt (Ist = 1 Gebinde); ","")&amp;BU362)</f>
        <v/>
      </c>
      <c r="BN362" s="48"/>
      <c r="BO362" s="48"/>
      <c r="BP362" s="55"/>
      <c r="BQ362" s="50" t="n">
        <v>5</v>
      </c>
      <c r="BR362" s="50" t="n">
        <v>9</v>
      </c>
      <c r="BS362" s="49" t="n">
        <v>167.5</v>
      </c>
      <c r="BT362" s="50" t="n">
        <v>21</v>
      </c>
      <c r="BU362" s="48"/>
      <c r="BV362" s="53" t="n">
        <v>0</v>
      </c>
      <c r="BW362" s="53" t="n">
        <v>362</v>
      </c>
      <c r="BX362" s="48" t="str">
        <f aca="false">IF(U362&lt;&gt;"",UPPER(TRIM(U362)),IF(CA362=1,UPPER(VLOOKUP(T362,Parameter!$I$27:$K$29,2,0)),IF(P362="","LOSE",P362)))</f>
        <v>S81</v>
      </c>
      <c r="BY362" s="50" t="n">
        <f aca="false">IF(BX362="LOSE",1,IF(N(V362)&gt;0,V362,IF(CA362=1,MAX(1,N(VLOOKUP(T362,Parameter!$I$27:$K$29,3,0)),H362,N(N362)),IF(N(Q362)&gt;0,Q362,MAX(1,H362)))))</f>
        <v>24</v>
      </c>
      <c r="BZ362" s="53" t="n">
        <f aca="false">IF(BX362="LOSE",1,0)</f>
        <v>0</v>
      </c>
      <c r="CA362" s="53" t="n">
        <f aca="false">IF(AND(U362="",OR(P362="",P362="LOSE"),T362&lt;&gt;"",N(S362)&lt;=0,ISNUMBER(MATCH(T362,Parameter!$I$27:$I$29,0))),1,0)</f>
        <v>0</v>
      </c>
      <c r="CB362" s="53" t="n">
        <f aca="false">IF(CQ362&gt;0,INDEX(Parameter!$H$5:$H$7,W362)/INDEX(Parameter!$E$5:$E$7,W362),IF(AND(BZ362=0,N(IFERROR(VLOOKUP(BX362,'Gebinde-Kategorie'!$A$5:$N$45,14,0),0))&gt;0),VLOOKUP(BX362,'Gebinde-Kategorie'!$A$5:$N$45,14,0)*10+Parameter!$M$23,Parameter!$M$24))</f>
        <v>235</v>
      </c>
      <c r="CC362" s="48" t="str">
        <f aca="false">IF(AND(Parameter!$B$19="Ja",E362&lt;&gt;"",ISNUMBER(MATCH(E362,Parameter!$I$35:$I$52,0))),VLOOKUP(E362,Parameter!$I$35:$J$52,2,0),IFERROR(VLOOKUP(D362,Parameter!$A$35:$C$64,2,0),"Nein"))</f>
        <v>2+3</v>
      </c>
      <c r="CD362" s="52" t="n">
        <f aca="false">IF(BZ362=0,0,IF(N(S362)&gt;0,S362,IFERROR(VLOOKUP(D362,Parameter!$A$35:$C$64,3,0)+0,0)))</f>
        <v>0</v>
      </c>
      <c r="CE362" s="48" t="n">
        <f aca="false">IF(AA362&lt;&gt;"",AA362,Z362)</f>
        <v>2</v>
      </c>
      <c r="CF362" s="48" t="str">
        <f aca="false">IF(OR(CE362=1,CE362=2,CE362=3),IF(Parameter!$E$27="Ja","LIFT",IF(CE362=1,"L1","L23")),IF(CE362="Aussen","Aussen","-"))</f>
        <v>LIFT</v>
      </c>
      <c r="CG362" s="59" t="n">
        <f aca="false">IF(N(AB362)&gt;0,AB362,0)</f>
        <v>0</v>
      </c>
      <c r="CH362" s="53" t="n">
        <f aca="false">IF(ISNUMBER(AE362),1,0)</f>
        <v>0</v>
      </c>
      <c r="CI362" s="50" t="n">
        <f aca="false">N(AE362)</f>
        <v>0</v>
      </c>
      <c r="CJ362" s="50" t="n">
        <f aca="false">N(M362)+N(N362)</f>
        <v>23</v>
      </c>
      <c r="CK362" s="50" t="n">
        <f aca="false">N(M362)</f>
        <v>3</v>
      </c>
      <c r="CL362" s="50" t="n">
        <f aca="false">N(N362)</f>
        <v>20</v>
      </c>
      <c r="CM362" s="50" t="n">
        <f aca="false">ROUNDUP(H362/BY362,0)</f>
        <v>1</v>
      </c>
      <c r="CN362" s="50" t="n">
        <f aca="false">ROUNDUP(CI362/BY362,0)</f>
        <v>0</v>
      </c>
      <c r="CO362" s="53" t="n">
        <f aca="false">IF(BZ362=1,0,IFERROR(VLOOKUP(BX362,'Gebinde-Kategorie'!$A$5:$N$45,5,0)+0,0))</f>
        <v>20</v>
      </c>
      <c r="CP362" s="53" t="n">
        <f aca="false">IFERROR(IF(OR(CE362=1,CE362=2,CE362=3),N(INDEX(Parameter!$I$5:$I$7,CE362)),0),0)</f>
        <v>0</v>
      </c>
      <c r="CQ362" s="52" t="n">
        <f aca="false">IF(AND(Parameter!$B$21="Ja",ISNUMBER(W362),N(X362)&gt;0),IFERROR(N(INDEX(Parameter!$L$5:$L$7,W362))*INDEX(Parameter!$E$5:$E$7,W362)*X362/SUMIFS($X$7:$X$1843,$W$7:$W$1843,W362),0),0)</f>
        <v>0</v>
      </c>
    </row>
    <row r="363" customFormat="false" ht="15" hidden="false" customHeight="false" outlineLevel="0" collapsed="false">
      <c r="A363" s="48" t="s">
        <v>885</v>
      </c>
      <c r="B363" s="48" t="s">
        <v>866</v>
      </c>
      <c r="C363" s="48" t="s">
        <v>173</v>
      </c>
      <c r="D363" s="48" t="s">
        <v>193</v>
      </c>
      <c r="E363" s="48"/>
      <c r="F363" s="48" t="s">
        <v>227</v>
      </c>
      <c r="G363" s="49" t="n">
        <v>138.25</v>
      </c>
      <c r="H363" s="50" t="n">
        <f aca="false">MAX(0,IF(AND(Parameter!$B$21="Ja",ISNUMBER(Y363)),Y363,IF(Parameter!$B$20="Jahresanfang 2025 + Export",BR363+BQ363,BQ363)))</f>
        <v>5</v>
      </c>
      <c r="I363" s="50" t="n">
        <f aca="false">H363*G363</f>
        <v>691.25</v>
      </c>
      <c r="J363" s="50" t="n">
        <f aca="false">BT363*Parameter!$B$18</f>
        <v>2</v>
      </c>
      <c r="K363" s="51" t="n">
        <v>5</v>
      </c>
      <c r="L363" s="52" t="n">
        <v>0.4</v>
      </c>
      <c r="M363" s="50" t="n">
        <v>0</v>
      </c>
      <c r="N363" s="50" t="n">
        <v>1</v>
      </c>
      <c r="O363" s="53" t="n">
        <v>35</v>
      </c>
      <c r="P363" s="48" t="s">
        <v>435</v>
      </c>
      <c r="Q363" s="50" t="n">
        <v>5</v>
      </c>
      <c r="R363" s="53" t="n">
        <f aca="false">IF(BZ363=1,0,IFERROR(VLOOKUP(BX363,'Gebinde-Kategorie'!$A$5:$N$45,13,0)+0,0))</f>
        <v>140</v>
      </c>
      <c r="S363" s="54"/>
      <c r="T363" s="55"/>
      <c r="U363" s="55"/>
      <c r="V363" s="55"/>
      <c r="W363" s="48"/>
      <c r="X363" s="50"/>
      <c r="Y363" s="50"/>
      <c r="Z363" s="48" t="n">
        <f aca="false">IF(A363="","",IF(AND(Parameter!$B$21="Ja",ISNUMBER(W363)),W363,IF(CC363="2+3",IF(ISNUMBER(SEARCH("grosser Artikel",BU363)),2,IFERROR(VLOOKUP(BX363,Parameter!$F$35:$G$64,2,0),2)),IF(OR(CC363="Nein",CC363=""),"-",CC363))))</f>
        <v>3</v>
      </c>
      <c r="AA363" s="55"/>
      <c r="AB363" s="56"/>
      <c r="AC363" s="50" t="n">
        <f aca="false">AV363</f>
        <v>2</v>
      </c>
      <c r="AD363" s="50" t="n">
        <f aca="false">MAX(AV363,H363)</f>
        <v>5</v>
      </c>
      <c r="AE363" s="57"/>
      <c r="AF363" s="50" t="n">
        <f aca="false">IF(LEFT(Cockpit!$C$5,1)="A",H363,IF(Parameter!$E$30="MAX-Bestand",IF(CH363=1,CI363,IF(LEFT(Cockpit!$C$5,1)="B",AL363,MAX(AL363,H363))),ROUNDUP(AJ363,0)))</f>
        <v>5</v>
      </c>
      <c r="AG363" s="50" t="n">
        <f aca="false">IF(BZ363=1,0,ROUNDUP(AF363/BY363,0))</f>
        <v>1</v>
      </c>
      <c r="AH363" s="52" t="n">
        <f aca="false">IF(CQ363&gt;0,CQ363*MAX(1,AF363/X363),IF(BZ363=1,IF(AF363&lt;=0,0,CD363*MAX(1,IF(H363&gt;0,AF363/H363,1))),IF(R363&gt;0,AG363/R363,0))/MAX(0.1,N(Parameter!$M$21)))</f>
        <v>0.00714285714285714</v>
      </c>
      <c r="AI363" s="50" t="n">
        <f aca="false">AH363*CB363</f>
        <v>1.10714285714286</v>
      </c>
      <c r="AJ363" s="51" t="n">
        <f aca="false">IF(LEFT(Cockpit!$C$5,1)="A",H363,IF(CH363=1,(CK363+CI363)/2,IF(LEFT(Cockpit!$C$5,1)="B",(CK363+AL363)/2,MAX((CK363+AL363)/2,H363))))</f>
        <v>5</v>
      </c>
      <c r="AK363" s="50" t="n">
        <f aca="false">AJ363*G363</f>
        <v>691.25</v>
      </c>
      <c r="AL363" s="50" t="n">
        <f aca="false">ROUNDUP(CK363+MAX(CL363,2*(J363/IF(CG363&gt;0,CG363,MAX(0.1,N(Cockpit!$C$6)))-CK363)),0)</f>
        <v>2</v>
      </c>
      <c r="AM363" s="51" t="n">
        <f aca="false">IF(AI363&gt;0,J363/AI363,-1)</f>
        <v>1.80645161290323</v>
      </c>
      <c r="AN363" s="51" t="n">
        <f aca="false">IF(AND(OR(CF363="L1",CF363="L23",CF363="LIFT"),AI363&gt;0),SUMIFS($AI$7:$AI$1843,$CF$7:$CF$1843,CF363,$AM$7:$AM$1843,"&gt;"&amp;AM363)+SUMIFS($AI$7:$AI$1843,$CF$7:$CF$1843,CF363,$AM$7:$AM$1843,AM363,$BW$7:$BW$1843,"&lt;="&amp;BW363),"")</f>
        <v>5962.02243589744</v>
      </c>
      <c r="AO363" s="58" t="n">
        <f aca="false">IF(AN363="",0,MAX(0,MIN(1,(IF(CF363="L1",Parameter!$H$5,IF(CF363="L23",Parameter!$H$6+Parameter!$H$7,Parameter!$H$5+Parameter!$H$6+Parameter!$H$7))-(AN363-AI363))/AI363)))</f>
        <v>1</v>
      </c>
      <c r="AP363" s="50" t="n">
        <f aca="false">IF(LEFT(Cockpit!$I$5,1)="A",H363,IF(Parameter!$E$30="MAX-Bestand",IF(CH363=1,CI363,IF(LEFT(Cockpit!$I$5,1)="B",AV363,MAX(AV363,H363))),ROUNDUP(AT363,0)))</f>
        <v>5</v>
      </c>
      <c r="AQ363" s="50" t="n">
        <f aca="false">IF(BZ363=1,0,ROUNDUP(AP363/BY363,0))</f>
        <v>1</v>
      </c>
      <c r="AR363" s="52" t="n">
        <f aca="false">IF(CQ363&gt;0,CQ363*MAX(1,AP363/X363),IF(BZ363=1,IF(AP363&lt;=0,0,CD363*MAX(1,IF(H363&gt;0,AP363/H363,1))),IF(R363&gt;0,AQ363/R363,0))/MAX(0.1,N(Parameter!$M$21)))</f>
        <v>0.00714285714285714</v>
      </c>
      <c r="AS363" s="50" t="n">
        <f aca="false">AR363*CB363</f>
        <v>1.10714285714286</v>
      </c>
      <c r="AT363" s="51" t="n">
        <f aca="false">IF(LEFT(Cockpit!$I$5,1)="A",H363,IF(CH363=1,(CK363+CI363)/2,IF(LEFT(Cockpit!$I$5,1)="B",(CK363+AV363)/2,MAX((CK363+AV363)/2,H363))))</f>
        <v>5</v>
      </c>
      <c r="AU363" s="50" t="n">
        <f aca="false">AT363*G363</f>
        <v>691.25</v>
      </c>
      <c r="AV363" s="50" t="n">
        <f aca="false">ROUNDUP(CK363+MAX(CL363,2*(J363/IF(CG363&gt;0,CG363,MAX(0.1,N(Cockpit!$I$6)))-CK363)),0)</f>
        <v>2</v>
      </c>
      <c r="AW363" s="51" t="n">
        <f aca="false">IF(AS363&gt;0,J363/AS363,-1)</f>
        <v>1.80645161290323</v>
      </c>
      <c r="AX363" s="51" t="n">
        <f aca="false">IF(AND(OR(CF363="L1",CF363="L23",CF363="LIFT"),AS363&gt;0),SUMIFS($AS$7:$AS$1843,$CF$7:$CF$1843,CF363,$AW$7:$AW$1843,"&gt;"&amp;AW363)+SUMIFS($AS$7:$AS$1843,$CF$7:$CF$1843,CF363,$AW$7:$AW$1843,AW363,$BW$7:$BW$1843,"&lt;="&amp;BW363),"")</f>
        <v>7399.54532967033</v>
      </c>
      <c r="AY363" s="58" t="n">
        <f aca="false">IF(AX363="",0,MAX(0,MIN(1,(IF(CF363="L1",Parameter!$H$5,IF(CF363="L23",Parameter!$H$6+Parameter!$H$7,Parameter!$H$5+Parameter!$H$6+Parameter!$H$7))-(AX363-AS363))/AS363)))</f>
        <v>1</v>
      </c>
      <c r="AZ363" s="50" t="n">
        <f aca="false">IF(LEFT(Cockpit!$O$5,1)="A",H363,IF(Parameter!$E$30="MAX-Bestand",IF(CH363=1,CI363,IF(LEFT(Cockpit!$O$5,1)="B",BF363,MAX(BF363,H363))),ROUNDUP(BD363,0)))</f>
        <v>1</v>
      </c>
      <c r="BA363" s="50" t="n">
        <f aca="false">IF(BZ363=1,0,ROUNDUP(AZ363/BY363,0))</f>
        <v>1</v>
      </c>
      <c r="BB363" s="52" t="n">
        <f aca="false">IF(CQ363&gt;0,CQ363*MAX(1,AZ363/X363),IF(BZ363=1,IF(AZ363&lt;=0,0,CD363*MAX(1,IF(H363&gt;0,AZ363/H363,1))),IF(R363&gt;0,BA363/R363,0))/MAX(0.1,N(Parameter!$M$21)))</f>
        <v>0.00714285714285714</v>
      </c>
      <c r="BC363" s="50" t="n">
        <f aca="false">BB363*CB363</f>
        <v>1.10714285714286</v>
      </c>
      <c r="BD363" s="51" t="n">
        <f aca="false">IF(LEFT(Cockpit!$O$5,1)="A",H363,IF(CH363=1,(CK363+CI363)/2,IF(LEFT(Cockpit!$O$5,1)="B",(CK363+BF363)/2,MAX((CK363+BF363)/2,H363))))</f>
        <v>0.5</v>
      </c>
      <c r="BE363" s="50" t="n">
        <f aca="false">BD363*G363</f>
        <v>69.125</v>
      </c>
      <c r="BF363" s="50" t="n">
        <f aca="false">ROUNDUP(CK363+MAX(CL363,2*(J363/IF(CG363&gt;0,CG363,MAX(0.1,N(Cockpit!$O$6)))-CK363)),0)</f>
        <v>1</v>
      </c>
      <c r="BG363" s="51" t="n">
        <f aca="false">IF(BC363&gt;0,J363/BC363,-1)</f>
        <v>1.80645161290323</v>
      </c>
      <c r="BH363" s="51" t="n">
        <f aca="false">IF(AND(OR(CF363="L1",CF363="L23",CF363="LIFT"),BC363&gt;0),SUMIFS($BC$7:$BC$1843,$CF$7:$CF$1843,CF363,$BG$7:$BG$1843,"&gt;"&amp;BG363)+SUMIFS($BC$7:$BC$1843,$CF$7:$CF$1843,CF363,$BG$7:$BG$1843,BG363,$BW$7:$BW$1843,"&lt;="&amp;BW363),"")</f>
        <v>6087.46611721612</v>
      </c>
      <c r="BI363" s="58" t="n">
        <f aca="false">IF(BH363="",0,MAX(0,MIN(1,(IF(CF363="L1",Parameter!$H$5,IF(CF363="L23",Parameter!$H$6+Parameter!$H$7,Parameter!$H$5+Parameter!$H$6+Parameter!$H$7))-(BH363-BC363))/BC363)))</f>
        <v>1</v>
      </c>
      <c r="BJ363" s="48" t="str">
        <f aca="false">IF(AI363&lt;=0,"",IF(CF363="Aussen","Aussenlager",IF(CF363="-","Nicht im Lift",IF(AO363&gt;=1,"Lift",IF(AO363&lt;=0,"Aussenlager","teilweise")))))</f>
        <v>Lift</v>
      </c>
      <c r="BK363" s="48" t="str">
        <f aca="false">IF(AS363&lt;=0,"",IF(CF363="Aussen","Aussenlager",IF(CF363="-","Nicht im Lift",IF(AY363&gt;=1,"Lift",IF(AY363&lt;=0,"Aussenlager","teilweise")))))</f>
        <v>Lift</v>
      </c>
      <c r="BL363" s="48" t="str">
        <f aca="false">IF(BC363&lt;=0,"",IF(CF363="Aussen","Aussenlager",IF(CF363="-","Nicht im Lift",IF(BI363&gt;=1,"Lift",IF(BI363&lt;=0,"Aussenlager","teilweise")))))</f>
        <v>Lift</v>
      </c>
      <c r="BM363" s="48" t="str">
        <f aca="false">IF(A363="","",IF(BV363=1,"Neu; ","")&amp;IF(AND(BV363=0,BQ363&lt;0),"negativer Bestand (Export "&amp;BQ363&amp;"); ","")&amp;IF(J363&lt;=0,"Kein Verbrauch; ","")&amp;IF(CQ363&gt;0,"Lift "&amp;W363&amp;" lt. Liftbericht (Fach "&amp;X363&amp;" Stk); ",IF(CA363=1,"Gebinde geschätzt ("&amp;T363&amp;"); ",IF(BZ363=1,"Lose – Tablare geschätzt; ","")))&amp;IF(H363&gt;AV363,"Überbestand "&amp;ROUND(H363-AV363,0)&amp;" Stk / CHF "&amp;ROUND((H363-AV363)*G363,0)&amp;"; ","")&amp;IF(AND(CH363=1,CI363&lt;CJ363),"MAX &lt; MB+LG; ","")&amp;IF(AND(CP363&gt;0,CO363*10&gt;CP363),"zu hoch für Tablar; ","")&amp;IF(AND(BV363=0,OR(CH363=1,AA363&lt;&gt;"",U363&lt;&gt;"",V363&lt;&gt;"",AB363&lt;&gt;"")),"manuell übersteuert; ","")&amp;IF(AND(BZ363=0,R363=0),"Gebinde unbekannt / Stellmass fehlt; ","")&amp;IF(AND(BZ363=0,N(V363)&lt;=0,N(Q363)&lt;=0),"Menge pro Gebinde fehlt (Ist = 1 Gebinde); ","")&amp;BU363)</f>
        <v>Überbestand 3 Stk / CHF 415; </v>
      </c>
      <c r="BN363" s="48"/>
      <c r="BO363" s="48"/>
      <c r="BP363" s="55"/>
      <c r="BQ363" s="50" t="n">
        <v>1</v>
      </c>
      <c r="BR363" s="50" t="n">
        <v>4</v>
      </c>
      <c r="BS363" s="49" t="n">
        <v>160.93</v>
      </c>
      <c r="BT363" s="50" t="n">
        <v>2</v>
      </c>
      <c r="BU363" s="48"/>
      <c r="BV363" s="53" t="n">
        <v>0</v>
      </c>
      <c r="BW363" s="53" t="n">
        <v>363</v>
      </c>
      <c r="BX363" s="48" t="str">
        <f aca="false">IF(U363&lt;&gt;"",UPPER(TRIM(U363)),IF(CA363=1,UPPER(VLOOKUP(T363,Parameter!$I$27:$K$29,2,0)),IF(P363="","LOSE",P363)))</f>
        <v>S22</v>
      </c>
      <c r="BY363" s="50" t="n">
        <f aca="false">IF(BX363="LOSE",1,IF(N(V363)&gt;0,V363,IF(CA363=1,MAX(1,N(VLOOKUP(T363,Parameter!$I$27:$K$29,3,0)),H363,N(N363)),IF(N(Q363)&gt;0,Q363,MAX(1,H363)))))</f>
        <v>5</v>
      </c>
      <c r="BZ363" s="53" t="n">
        <f aca="false">IF(BX363="LOSE",1,0)</f>
        <v>0</v>
      </c>
      <c r="CA363" s="53" t="n">
        <f aca="false">IF(AND(U363="",OR(P363="",P363="LOSE"),T363&lt;&gt;"",N(S363)&lt;=0,ISNUMBER(MATCH(T363,Parameter!$I$27:$I$29,0))),1,0)</f>
        <v>0</v>
      </c>
      <c r="CB363" s="53" t="n">
        <f aca="false">IF(CQ363&gt;0,INDEX(Parameter!$H$5:$H$7,W363)/INDEX(Parameter!$E$5:$E$7,W363),IF(AND(BZ363=0,N(IFERROR(VLOOKUP(BX363,'Gebinde-Kategorie'!$A$5:$N$45,14,0),0))&gt;0),VLOOKUP(BX363,'Gebinde-Kategorie'!$A$5:$N$45,14,0)*10+Parameter!$M$23,Parameter!$M$24))</f>
        <v>155</v>
      </c>
      <c r="CC363" s="48" t="str">
        <f aca="false">IF(AND(Parameter!$B$19="Ja",E363&lt;&gt;"",ISNUMBER(MATCH(E363,Parameter!$I$35:$I$52,0))),VLOOKUP(E363,Parameter!$I$35:$J$52,2,0),IFERROR(VLOOKUP(D363,Parameter!$A$35:$C$64,2,0),"Nein"))</f>
        <v>2+3</v>
      </c>
      <c r="CD363" s="52" t="n">
        <f aca="false">IF(BZ363=0,0,IF(N(S363)&gt;0,S363,IFERROR(VLOOKUP(D363,Parameter!$A$35:$C$64,3,0)+0,0)))</f>
        <v>0</v>
      </c>
      <c r="CE363" s="48" t="n">
        <f aca="false">IF(AA363&lt;&gt;"",AA363,Z363)</f>
        <v>3</v>
      </c>
      <c r="CF363" s="48" t="str">
        <f aca="false">IF(OR(CE363=1,CE363=2,CE363=3),IF(Parameter!$E$27="Ja","LIFT",IF(CE363=1,"L1","L23")),IF(CE363="Aussen","Aussen","-"))</f>
        <v>LIFT</v>
      </c>
      <c r="CG363" s="59" t="n">
        <f aca="false">IF(N(AB363)&gt;0,AB363,0)</f>
        <v>0</v>
      </c>
      <c r="CH363" s="53" t="n">
        <f aca="false">IF(ISNUMBER(AE363),1,0)</f>
        <v>0</v>
      </c>
      <c r="CI363" s="50" t="n">
        <f aca="false">N(AE363)</f>
        <v>0</v>
      </c>
      <c r="CJ363" s="50" t="n">
        <f aca="false">N(M363)+N(N363)</f>
        <v>1</v>
      </c>
      <c r="CK363" s="50" t="n">
        <f aca="false">N(M363)</f>
        <v>0</v>
      </c>
      <c r="CL363" s="50" t="n">
        <f aca="false">N(N363)</f>
        <v>1</v>
      </c>
      <c r="CM363" s="50" t="n">
        <f aca="false">ROUNDUP(H363/BY363,0)</f>
        <v>1</v>
      </c>
      <c r="CN363" s="50" t="n">
        <f aca="false">ROUNDUP(CI363/BY363,0)</f>
        <v>0</v>
      </c>
      <c r="CO363" s="53" t="n">
        <f aca="false">IF(BZ363=1,0,IFERROR(VLOOKUP(BX363,'Gebinde-Kategorie'!$A$5:$N$45,5,0)+0,0))</f>
        <v>8</v>
      </c>
      <c r="CP363" s="53" t="n">
        <f aca="false">IFERROR(IF(OR(CE363=1,CE363=2,CE363=3),N(INDEX(Parameter!$I$5:$I$7,CE363)),0),0)</f>
        <v>0</v>
      </c>
      <c r="CQ363" s="52" t="n">
        <f aca="false">IF(AND(Parameter!$B$21="Ja",ISNUMBER(W363),N(X363)&gt;0),IFERROR(N(INDEX(Parameter!$L$5:$L$7,W363))*INDEX(Parameter!$E$5:$E$7,W363)*X363/SUMIFS($X$7:$X$1843,$W$7:$W$1843,W363),0),0)</f>
        <v>0</v>
      </c>
    </row>
    <row r="364" customFormat="false" ht="15" hidden="false" customHeight="false" outlineLevel="0" collapsed="false">
      <c r="A364" s="48" t="s">
        <v>886</v>
      </c>
      <c r="B364" s="48" t="s">
        <v>772</v>
      </c>
      <c r="C364" s="48" t="s">
        <v>173</v>
      </c>
      <c r="D364" s="48" t="s">
        <v>193</v>
      </c>
      <c r="E364" s="48"/>
      <c r="F364" s="48" t="s">
        <v>227</v>
      </c>
      <c r="G364" s="49" t="n">
        <v>6.23</v>
      </c>
      <c r="H364" s="50" t="n">
        <f aca="false">MAX(0,IF(AND(Parameter!$B$21="Ja",ISNUMBER(Y364)),Y364,IF(Parameter!$B$20="Jahresanfang 2025 + Export",BR364+BQ364,BQ364)))</f>
        <v>25</v>
      </c>
      <c r="I364" s="50" t="n">
        <f aca="false">H364*G364</f>
        <v>155.75</v>
      </c>
      <c r="J364" s="50" t="n">
        <f aca="false">BT364*Parameter!$B$18</f>
        <v>0</v>
      </c>
      <c r="K364" s="51" t="n">
        <v>0</v>
      </c>
      <c r="L364" s="52" t="n">
        <v>0</v>
      </c>
      <c r="M364" s="50" t="n">
        <v>0</v>
      </c>
      <c r="N364" s="50" t="n">
        <v>1</v>
      </c>
      <c r="O364" s="53" t="n">
        <v>9999</v>
      </c>
      <c r="P364" s="48" t="s">
        <v>177</v>
      </c>
      <c r="Q364" s="50"/>
      <c r="R364" s="53" t="n">
        <f aca="false">IF(BZ364=1,0,IFERROR(VLOOKUP(BX364,'Gebinde-Kategorie'!$A$5:$N$45,13,0)+0,0))</f>
        <v>26</v>
      </c>
      <c r="S364" s="54"/>
      <c r="T364" s="55" t="s">
        <v>284</v>
      </c>
      <c r="U364" s="55"/>
      <c r="V364" s="55"/>
      <c r="W364" s="48"/>
      <c r="X364" s="50"/>
      <c r="Y364" s="50"/>
      <c r="Z364" s="48" t="n">
        <f aca="false">IF(A364="","",IF(AND(Parameter!$B$21="Ja",ISNUMBER(W364)),W364,IF(CC364="2+3",IF(ISNUMBER(SEARCH("grosser Artikel",BU364)),2,IFERROR(VLOOKUP(BX364,Parameter!$F$35:$G$64,2,0),2)),IF(OR(CC364="Nein",CC364=""),"-",CC364))))</f>
        <v>3</v>
      </c>
      <c r="AA364" s="55"/>
      <c r="AB364" s="56"/>
      <c r="AC364" s="50" t="n">
        <f aca="false">AV364</f>
        <v>1</v>
      </c>
      <c r="AD364" s="50" t="n">
        <f aca="false">MAX(AV364,H364)</f>
        <v>25</v>
      </c>
      <c r="AE364" s="57"/>
      <c r="AF364" s="50" t="n">
        <f aca="false">IF(LEFT(Cockpit!$C$5,1)="A",H364,IF(Parameter!$E$30="MAX-Bestand",IF(CH364=1,CI364,IF(LEFT(Cockpit!$C$5,1)="B",AL364,MAX(AL364,H364))),ROUNDUP(AJ364,0)))</f>
        <v>25</v>
      </c>
      <c r="AG364" s="50" t="n">
        <f aca="false">IF(BZ364=1,0,ROUNDUP(AF364/BY364,0))</f>
        <v>1</v>
      </c>
      <c r="AH364" s="52" t="n">
        <f aca="false">IF(CQ364&gt;0,CQ364*MAX(1,AF364/X364),IF(BZ364=1,IF(AF364&lt;=0,0,CD364*MAX(1,IF(H364&gt;0,AF364/H364,1))),IF(R364&gt;0,AG364/R364,0))/MAX(0.1,N(Parameter!$M$21)))</f>
        <v>0.0384615384615385</v>
      </c>
      <c r="AI364" s="50" t="n">
        <f aca="false">AH364*CB364</f>
        <v>5.96153846153846</v>
      </c>
      <c r="AJ364" s="51" t="n">
        <f aca="false">IF(LEFT(Cockpit!$C$5,1)="A",H364,IF(CH364=1,(CK364+CI364)/2,IF(LEFT(Cockpit!$C$5,1)="B",(CK364+AL364)/2,MAX((CK364+AL364)/2,H364))))</f>
        <v>25</v>
      </c>
      <c r="AK364" s="50" t="n">
        <f aca="false">AJ364*G364</f>
        <v>155.75</v>
      </c>
      <c r="AL364" s="50" t="n">
        <f aca="false">ROUNDUP(CK364+MAX(CL364,2*(J364/IF(CG364&gt;0,CG364,MAX(0.1,N(Cockpit!$C$6)))-CK364)),0)</f>
        <v>1</v>
      </c>
      <c r="AM364" s="51" t="n">
        <f aca="false">IF(AI364&gt;0,J364/AI364,-1)</f>
        <v>0</v>
      </c>
      <c r="AN364" s="51" t="n">
        <f aca="false">IF(AND(OR(CF364="L1",CF364="L23",CF364="LIFT"),AI364&gt;0),SUMIFS($AI$7:$AI$1843,$CF$7:$CF$1843,CF364,$AM$7:$AM$1843,"&gt;"&amp;AM364)+SUMIFS($AI$7:$AI$1843,$CF$7:$CF$1843,CF364,$AM$7:$AM$1843,AM364,$BW$7:$BW$1843,"&lt;="&amp;BW364),"")</f>
        <v>28032.096779868</v>
      </c>
      <c r="AO364" s="58" t="n">
        <f aca="false">IF(AN364="",0,MAX(0,MIN(1,(IF(CF364="L1",Parameter!$H$5,IF(CF364="L23",Parameter!$H$6+Parameter!$H$7,Parameter!$H$5+Parameter!$H$6+Parameter!$H$7))-(AN364-AI364))/AI364)))</f>
        <v>1</v>
      </c>
      <c r="AP364" s="50" t="n">
        <f aca="false">IF(LEFT(Cockpit!$I$5,1)="A",H364,IF(Parameter!$E$30="MAX-Bestand",IF(CH364=1,CI364,IF(LEFT(Cockpit!$I$5,1)="B",AV364,MAX(AV364,H364))),ROUNDUP(AT364,0)))</f>
        <v>25</v>
      </c>
      <c r="AQ364" s="50" t="n">
        <f aca="false">IF(BZ364=1,0,ROUNDUP(AP364/BY364,0))</f>
        <v>1</v>
      </c>
      <c r="AR364" s="52" t="n">
        <f aca="false">IF(CQ364&gt;0,CQ364*MAX(1,AP364/X364),IF(BZ364=1,IF(AP364&lt;=0,0,CD364*MAX(1,IF(H364&gt;0,AP364/H364,1))),IF(R364&gt;0,AQ364/R364,0))/MAX(0.1,N(Parameter!$M$21)))</f>
        <v>0.0384615384615385</v>
      </c>
      <c r="AS364" s="50" t="n">
        <f aca="false">AR364*CB364</f>
        <v>5.96153846153846</v>
      </c>
      <c r="AT364" s="51" t="n">
        <f aca="false">IF(LEFT(Cockpit!$I$5,1)="A",H364,IF(CH364=1,(CK364+CI364)/2,IF(LEFT(Cockpit!$I$5,1)="B",(CK364+AV364)/2,MAX((CK364+AV364)/2,H364))))</f>
        <v>25</v>
      </c>
      <c r="AU364" s="50" t="n">
        <f aca="false">AT364*G364</f>
        <v>155.75</v>
      </c>
      <c r="AV364" s="50" t="n">
        <f aca="false">ROUNDUP(CK364+MAX(CL364,2*(J364/IF(CG364&gt;0,CG364,MAX(0.1,N(Cockpit!$I$6)))-CK364)),0)</f>
        <v>1</v>
      </c>
      <c r="AW364" s="51" t="n">
        <f aca="false">IF(AS364&gt;0,J364/AS364,-1)</f>
        <v>0</v>
      </c>
      <c r="AX364" s="51" t="n">
        <f aca="false">IF(AND(OR(CF364="L1",CF364="L23",CF364="LIFT"),AS364&gt;0),SUMIFS($AS$7:$AS$1843,$CF$7:$CF$1843,CF364,$AW$7:$AW$1843,"&gt;"&amp;AW364)+SUMIFS($AS$7:$AS$1843,$CF$7:$CF$1843,CF364,$AW$7:$AW$1843,AW364,$BW$7:$BW$1843,"&lt;="&amp;BW364),"")</f>
        <v>33385.2454212454</v>
      </c>
      <c r="AY364" s="58" t="n">
        <f aca="false">IF(AX364="",0,MAX(0,MIN(1,(IF(CF364="L1",Parameter!$H$5,IF(CF364="L23",Parameter!$H$6+Parameter!$H$7,Parameter!$H$5+Parameter!$H$6+Parameter!$H$7))-(AX364-AS364))/AS364)))</f>
        <v>1</v>
      </c>
      <c r="AZ364" s="50" t="n">
        <f aca="false">IF(LEFT(Cockpit!$O$5,1)="A",H364,IF(Parameter!$E$30="MAX-Bestand",IF(CH364=1,CI364,IF(LEFT(Cockpit!$O$5,1)="B",BF364,MAX(BF364,H364))),ROUNDUP(BD364,0)))</f>
        <v>1</v>
      </c>
      <c r="BA364" s="50" t="n">
        <f aca="false">IF(BZ364=1,0,ROUNDUP(AZ364/BY364,0))</f>
        <v>1</v>
      </c>
      <c r="BB364" s="52" t="n">
        <f aca="false">IF(CQ364&gt;0,CQ364*MAX(1,AZ364/X364),IF(BZ364=1,IF(AZ364&lt;=0,0,CD364*MAX(1,IF(H364&gt;0,AZ364/H364,1))),IF(R364&gt;0,BA364/R364,0))/MAX(0.1,N(Parameter!$M$21)))</f>
        <v>0.0384615384615385</v>
      </c>
      <c r="BC364" s="50" t="n">
        <f aca="false">BB364*CB364</f>
        <v>5.96153846153846</v>
      </c>
      <c r="BD364" s="51" t="n">
        <f aca="false">IF(LEFT(Cockpit!$O$5,1)="A",H364,IF(CH364=1,(CK364+CI364)/2,IF(LEFT(Cockpit!$O$5,1)="B",(CK364+BF364)/2,MAX((CK364+BF364)/2,H364))))</f>
        <v>0.5</v>
      </c>
      <c r="BE364" s="50" t="n">
        <f aca="false">BD364*G364</f>
        <v>3.115</v>
      </c>
      <c r="BF364" s="50" t="n">
        <f aca="false">ROUNDUP(CK364+MAX(CL364,2*(J364/IF(CG364&gt;0,CG364,MAX(0.1,N(Cockpit!$O$6)))-CK364)),0)</f>
        <v>1</v>
      </c>
      <c r="BG364" s="51" t="n">
        <f aca="false">IF(BC364&gt;0,J364/BC364,-1)</f>
        <v>0</v>
      </c>
      <c r="BH364" s="51" t="n">
        <f aca="false">IF(AND(OR(CF364="L1",CF364="L23",CF364="LIFT"),BC364&gt;0),SUMIFS($BC$7:$BC$1843,$CF$7:$CF$1843,CF364,$BG$7:$BG$1843,"&gt;"&amp;BG364)+SUMIFS($BC$7:$BC$1843,$CF$7:$CF$1843,CF364,$BG$7:$BG$1843,BG364,$BW$7:$BW$1843,"&lt;="&amp;BW364),"")</f>
        <v>27498.7823927485</v>
      </c>
      <c r="BI364" s="58" t="n">
        <f aca="false">IF(BH364="",0,MAX(0,MIN(1,(IF(CF364="L1",Parameter!$H$5,IF(CF364="L23",Parameter!$H$6+Parameter!$H$7,Parameter!$H$5+Parameter!$H$6+Parameter!$H$7))-(BH364-BC364))/BC364)))</f>
        <v>1</v>
      </c>
      <c r="BJ364" s="48" t="str">
        <f aca="false">IF(AI364&lt;=0,"",IF(CF364="Aussen","Aussenlager",IF(CF364="-","Nicht im Lift",IF(AO364&gt;=1,"Lift",IF(AO364&lt;=0,"Aussenlager","teilweise")))))</f>
        <v>Lift</v>
      </c>
      <c r="BK364" s="48" t="str">
        <f aca="false">IF(AS364&lt;=0,"",IF(CF364="Aussen","Aussenlager",IF(CF364="-","Nicht im Lift",IF(AY364&gt;=1,"Lift",IF(AY364&lt;=0,"Aussenlager","teilweise")))))</f>
        <v>Lift</v>
      </c>
      <c r="BL364" s="48" t="str">
        <f aca="false">IF(BC364&lt;=0,"",IF(CF364="Aussen","Aussenlager",IF(CF364="-","Nicht im Lift",IF(BI364&gt;=1,"Lift",IF(BI364&lt;=0,"Aussenlager","teilweise")))))</f>
        <v>Lift</v>
      </c>
      <c r="BM364" s="48" t="str">
        <f aca="false">IF(A364="","",IF(BV364=1,"Neu; ","")&amp;IF(AND(BV364=0,BQ364&lt;0),"negativer Bestand (Export "&amp;BQ364&amp;"); ","")&amp;IF(J364&lt;=0,"Kein Verbrauch; ","")&amp;IF(CQ364&gt;0,"Lift "&amp;W364&amp;" lt. Liftbericht (Fach "&amp;X364&amp;" Stk); ",IF(CA364=1,"Gebinde geschätzt ("&amp;T364&amp;"); ",IF(BZ364=1,"Lose – Tablare geschätzt; ","")))&amp;IF(H364&gt;AV364,"Überbestand "&amp;ROUND(H364-AV364,0)&amp;" Stk / CHF "&amp;ROUND((H364-AV364)*G364,0)&amp;"; ","")&amp;IF(AND(CH364=1,CI364&lt;CJ364),"MAX &lt; MB+LG; ","")&amp;IF(AND(CP364&gt;0,CO364*10&gt;CP364),"zu hoch für Tablar; ","")&amp;IF(AND(BV364=0,OR(CH364=1,AA364&lt;&gt;"",U364&lt;&gt;"",V364&lt;&gt;"",AB364&lt;&gt;"")),"manuell übersteuert; ","")&amp;IF(AND(BZ364=0,R364=0),"Gebinde unbekannt / Stellmass fehlt; ","")&amp;IF(AND(BZ364=0,N(V364)&lt;=0,N(Q364)&lt;=0),"Menge pro Gebinde fehlt (Ist = 1 Gebinde); ","")&amp;BU364)</f>
        <v>Kein Verbrauch; Gebinde geschätzt (Klein); Überbestand 24 Stk / CHF 150; Menge pro Gebinde fehlt (Ist = 1 Gebinde); </v>
      </c>
      <c r="BN364" s="48"/>
      <c r="BO364" s="48"/>
      <c r="BP364" s="55"/>
      <c r="BQ364" s="50" t="n">
        <v>25</v>
      </c>
      <c r="BR364" s="50" t="n">
        <v>0</v>
      </c>
      <c r="BS364" s="49" t="n">
        <v>155.75</v>
      </c>
      <c r="BT364" s="50" t="n">
        <v>0</v>
      </c>
      <c r="BU364" s="48"/>
      <c r="BV364" s="53" t="n">
        <v>0</v>
      </c>
      <c r="BW364" s="53" t="n">
        <v>364</v>
      </c>
      <c r="BX364" s="48" t="str">
        <f aca="false">IF(U364&lt;&gt;"",UPPER(TRIM(U364)),IF(CA364=1,UPPER(VLOOKUP(T364,Parameter!$I$27:$K$29,2,0)),IF(P364="","LOSE",P364)))</f>
        <v>S51</v>
      </c>
      <c r="BY364" s="50" t="n">
        <f aca="false">IF(BX364="LOSE",1,IF(N(V364)&gt;0,V364,IF(CA364=1,MAX(1,N(VLOOKUP(T364,Parameter!$I$27:$K$29,3,0)),H364,N(N364)),IF(N(Q364)&gt;0,Q364,MAX(1,H364)))))</f>
        <v>25</v>
      </c>
      <c r="BZ364" s="53" t="n">
        <f aca="false">IF(BX364="LOSE",1,0)</f>
        <v>0</v>
      </c>
      <c r="CA364" s="53" t="n">
        <f aca="false">IF(AND(U364="",OR(P364="",P364="LOSE"),T364&lt;&gt;"",N(S364)&lt;=0,ISNUMBER(MATCH(T364,Parameter!$I$27:$I$29,0))),1,0)</f>
        <v>1</v>
      </c>
      <c r="CB364" s="53" t="n">
        <f aca="false">IF(CQ364&gt;0,INDEX(Parameter!$H$5:$H$7,W364)/INDEX(Parameter!$E$5:$E$7,W364),IF(AND(BZ364=0,N(IFERROR(VLOOKUP(BX364,'Gebinde-Kategorie'!$A$5:$N$45,14,0),0))&gt;0),VLOOKUP(BX364,'Gebinde-Kategorie'!$A$5:$N$45,14,0)*10+Parameter!$M$23,Parameter!$M$24))</f>
        <v>155</v>
      </c>
      <c r="CC364" s="48" t="str">
        <f aca="false">IF(AND(Parameter!$B$19="Ja",E364&lt;&gt;"",ISNUMBER(MATCH(E364,Parameter!$I$35:$I$52,0))),VLOOKUP(E364,Parameter!$I$35:$J$52,2,0),IFERROR(VLOOKUP(D364,Parameter!$A$35:$C$64,2,0),"Nein"))</f>
        <v>2+3</v>
      </c>
      <c r="CD364" s="52" t="n">
        <f aca="false">IF(BZ364=0,0,IF(N(S364)&gt;0,S364,IFERROR(VLOOKUP(D364,Parameter!$A$35:$C$64,3,0)+0,0)))</f>
        <v>0</v>
      </c>
      <c r="CE364" s="48" t="n">
        <f aca="false">IF(AA364&lt;&gt;"",AA364,Z364)</f>
        <v>3</v>
      </c>
      <c r="CF364" s="48" t="str">
        <f aca="false">IF(OR(CE364=1,CE364=2,CE364=3),IF(Parameter!$E$27="Ja","LIFT",IF(CE364=1,"L1","L23")),IF(CE364="Aussen","Aussen","-"))</f>
        <v>LIFT</v>
      </c>
      <c r="CG364" s="59" t="n">
        <f aca="false">IF(N(AB364)&gt;0,AB364,0)</f>
        <v>0</v>
      </c>
      <c r="CH364" s="53" t="n">
        <f aca="false">IF(ISNUMBER(AE364),1,0)</f>
        <v>0</v>
      </c>
      <c r="CI364" s="50" t="n">
        <f aca="false">N(AE364)</f>
        <v>0</v>
      </c>
      <c r="CJ364" s="50" t="n">
        <f aca="false">N(M364)+N(N364)</f>
        <v>1</v>
      </c>
      <c r="CK364" s="50" t="n">
        <f aca="false">N(M364)</f>
        <v>0</v>
      </c>
      <c r="CL364" s="50" t="n">
        <f aca="false">N(N364)</f>
        <v>1</v>
      </c>
      <c r="CM364" s="50" t="n">
        <f aca="false">ROUNDUP(H364/BY364,0)</f>
        <v>1</v>
      </c>
      <c r="CN364" s="50" t="n">
        <f aca="false">ROUNDUP(CI364/BY364,0)</f>
        <v>0</v>
      </c>
      <c r="CO364" s="53" t="n">
        <f aca="false">IF(BZ364=1,0,IFERROR(VLOOKUP(BX364,'Gebinde-Kategorie'!$A$5:$N$45,5,0)+0,0))</f>
        <v>11</v>
      </c>
      <c r="CP364" s="53" t="n">
        <f aca="false">IFERROR(IF(OR(CE364=1,CE364=2,CE364=3),N(INDEX(Parameter!$I$5:$I$7,CE364)),0),0)</f>
        <v>0</v>
      </c>
      <c r="CQ364" s="52" t="n">
        <f aca="false">IF(AND(Parameter!$B$21="Ja",ISNUMBER(W364),N(X364)&gt;0),IFERROR(N(INDEX(Parameter!$L$5:$L$7,W364))*INDEX(Parameter!$E$5:$E$7,W364)*X364/SUMIFS($X$7:$X$1843,$W$7:$W$1843,W364),0),0)</f>
        <v>0</v>
      </c>
    </row>
    <row r="365" customFormat="false" ht="15" hidden="false" customHeight="false" outlineLevel="0" collapsed="false">
      <c r="A365" s="48" t="s">
        <v>887</v>
      </c>
      <c r="B365" s="48" t="s">
        <v>888</v>
      </c>
      <c r="C365" s="48" t="s">
        <v>173</v>
      </c>
      <c r="D365" s="48" t="s">
        <v>193</v>
      </c>
      <c r="E365" s="48" t="s">
        <v>194</v>
      </c>
      <c r="F365" s="48" t="s">
        <v>227</v>
      </c>
      <c r="G365" s="49" t="n">
        <v>15.5</v>
      </c>
      <c r="H365" s="50" t="n">
        <f aca="false">MAX(0,IF(AND(Parameter!$B$21="Ja",ISNUMBER(Y365)),Y365,IF(Parameter!$B$20="Jahresanfang 2025 + Export",BR365+BQ365,BQ365)))</f>
        <v>20</v>
      </c>
      <c r="I365" s="50" t="n">
        <f aca="false">H365*G365</f>
        <v>310</v>
      </c>
      <c r="J365" s="50" t="n">
        <f aca="false">BT365*Parameter!$B$18</f>
        <v>9</v>
      </c>
      <c r="K365" s="51" t="n">
        <v>15.5</v>
      </c>
      <c r="L365" s="52" t="n">
        <v>0.580645161290323</v>
      </c>
      <c r="M365" s="50" t="n">
        <v>0</v>
      </c>
      <c r="N365" s="50" t="n">
        <v>10</v>
      </c>
      <c r="O365" s="53" t="n">
        <v>28</v>
      </c>
      <c r="P365" s="48" t="s">
        <v>337</v>
      </c>
      <c r="Q365" s="50" t="n">
        <v>24</v>
      </c>
      <c r="R365" s="53" t="n">
        <f aca="false">IF(BZ365=1,0,IFERROR(VLOOKUP(BX365,'Gebinde-Kategorie'!$A$5:$N$45,13,0)+0,0))</f>
        <v>52</v>
      </c>
      <c r="S365" s="54"/>
      <c r="T365" s="55"/>
      <c r="U365" s="55"/>
      <c r="V365" s="55"/>
      <c r="W365" s="48"/>
      <c r="X365" s="50"/>
      <c r="Y365" s="50"/>
      <c r="Z365" s="48" t="n">
        <f aca="false">IF(A365="","",IF(AND(Parameter!$B$21="Ja",ISNUMBER(W365)),W365,IF(CC365="2+3",IF(ISNUMBER(SEARCH("grosser Artikel",BU365)),2,IFERROR(VLOOKUP(BX365,Parameter!$F$35:$G$64,2,0),2)),IF(OR(CC365="Nein",CC365=""),"-",CC365))))</f>
        <v>3</v>
      </c>
      <c r="AA365" s="55"/>
      <c r="AB365" s="56"/>
      <c r="AC365" s="50" t="n">
        <f aca="false">AV365</f>
        <v>10</v>
      </c>
      <c r="AD365" s="50" t="n">
        <f aca="false">MAX(AV365,H365)</f>
        <v>20</v>
      </c>
      <c r="AE365" s="57"/>
      <c r="AF365" s="50" t="n">
        <f aca="false">IF(LEFT(Cockpit!$C$5,1)="A",H365,IF(Parameter!$E$30="MAX-Bestand",IF(CH365=1,CI365,IF(LEFT(Cockpit!$C$5,1)="B",AL365,MAX(AL365,H365))),ROUNDUP(AJ365,0)))</f>
        <v>20</v>
      </c>
      <c r="AG365" s="50" t="n">
        <f aca="false">IF(BZ365=1,0,ROUNDUP(AF365/BY365,0))</f>
        <v>1</v>
      </c>
      <c r="AH365" s="52" t="n">
        <f aca="false">IF(CQ365&gt;0,CQ365*MAX(1,AF365/X365),IF(BZ365=1,IF(AF365&lt;=0,0,CD365*MAX(1,IF(H365&gt;0,AF365/H365,1))),IF(R365&gt;0,AG365/R365,0))/MAX(0.1,N(Parameter!$M$21)))</f>
        <v>0.0192307692307692</v>
      </c>
      <c r="AI365" s="50" t="n">
        <f aca="false">AH365*CB365</f>
        <v>2.98076923076923</v>
      </c>
      <c r="AJ365" s="51" t="n">
        <f aca="false">IF(LEFT(Cockpit!$C$5,1)="A",H365,IF(CH365=1,(CK365+CI365)/2,IF(LEFT(Cockpit!$C$5,1)="B",(CK365+AL365)/2,MAX((CK365+AL365)/2,H365))))</f>
        <v>20</v>
      </c>
      <c r="AK365" s="50" t="n">
        <f aca="false">AJ365*G365</f>
        <v>310</v>
      </c>
      <c r="AL365" s="50" t="n">
        <f aca="false">ROUNDUP(CK365+MAX(CL365,2*(J365/IF(CG365&gt;0,CG365,MAX(0.1,N(Cockpit!$C$6)))-CK365)),0)</f>
        <v>10</v>
      </c>
      <c r="AM365" s="51" t="n">
        <f aca="false">IF(AI365&gt;0,J365/AI365,-1)</f>
        <v>3.01935483870968</v>
      </c>
      <c r="AN365" s="51" t="n">
        <f aca="false">IF(AND(OR(CF365="L1",CF365="L23",CF365="LIFT"),AI365&gt;0),SUMIFS($AI$7:$AI$1843,$CF$7:$CF$1843,CF365,$AM$7:$AM$1843,"&gt;"&amp;AM365)+SUMIFS($AI$7:$AI$1843,$CF$7:$CF$1843,CF365,$AM$7:$AM$1843,AM365,$BW$7:$BW$1843,"&lt;="&amp;BW365),"")</f>
        <v>5072.81547619048</v>
      </c>
      <c r="AO365" s="58" t="n">
        <f aca="false">IF(AN365="",0,MAX(0,MIN(1,(IF(CF365="L1",Parameter!$H$5,IF(CF365="L23",Parameter!$H$6+Parameter!$H$7,Parameter!$H$5+Parameter!$H$6+Parameter!$H$7))-(AN365-AI365))/AI365)))</f>
        <v>1</v>
      </c>
      <c r="AP365" s="50" t="n">
        <f aca="false">IF(LEFT(Cockpit!$I$5,1)="A",H365,IF(Parameter!$E$30="MAX-Bestand",IF(CH365=1,CI365,IF(LEFT(Cockpit!$I$5,1)="B",AV365,MAX(AV365,H365))),ROUNDUP(AT365,0)))</f>
        <v>20</v>
      </c>
      <c r="AQ365" s="50" t="n">
        <f aca="false">IF(BZ365=1,0,ROUNDUP(AP365/BY365,0))</f>
        <v>1</v>
      </c>
      <c r="AR365" s="52" t="n">
        <f aca="false">IF(CQ365&gt;0,CQ365*MAX(1,AP365/X365),IF(BZ365=1,IF(AP365&lt;=0,0,CD365*MAX(1,IF(H365&gt;0,AP365/H365,1))),IF(R365&gt;0,AQ365/R365,0))/MAX(0.1,N(Parameter!$M$21)))</f>
        <v>0.0192307692307692</v>
      </c>
      <c r="AS365" s="50" t="n">
        <f aca="false">AR365*CB365</f>
        <v>2.98076923076923</v>
      </c>
      <c r="AT365" s="51" t="n">
        <f aca="false">IF(LEFT(Cockpit!$I$5,1)="A",H365,IF(CH365=1,(CK365+CI365)/2,IF(LEFT(Cockpit!$I$5,1)="B",(CK365+AV365)/2,MAX((CK365+AV365)/2,H365))))</f>
        <v>20</v>
      </c>
      <c r="AU365" s="50" t="n">
        <f aca="false">AT365*G365</f>
        <v>310</v>
      </c>
      <c r="AV365" s="50" t="n">
        <f aca="false">ROUNDUP(CK365+MAX(CL365,2*(J365/IF(CG365&gt;0,CG365,MAX(0.1,N(Cockpit!$I$6)))-CK365)),0)</f>
        <v>10</v>
      </c>
      <c r="AW365" s="51" t="n">
        <f aca="false">IF(AS365&gt;0,J365/AS365,-1)</f>
        <v>3.01935483870968</v>
      </c>
      <c r="AX365" s="51" t="n">
        <f aca="false">IF(AND(OR(CF365="L1",CF365="L23",CF365="LIFT"),AS365&gt;0),SUMIFS($AS$7:$AS$1843,$CF$7:$CF$1843,CF365,$AW$7:$AW$1843,"&gt;"&amp;AW365)+SUMIFS($AS$7:$AS$1843,$CF$7:$CF$1843,CF365,$AW$7:$AW$1843,AW365,$BW$7:$BW$1843,"&lt;="&amp;BW365),"")</f>
        <v>5910.53067765568</v>
      </c>
      <c r="AY365" s="58" t="n">
        <f aca="false">IF(AX365="",0,MAX(0,MIN(1,(IF(CF365="L1",Parameter!$H$5,IF(CF365="L23",Parameter!$H$6+Parameter!$H$7,Parameter!$H$5+Parameter!$H$6+Parameter!$H$7))-(AX365-AS365))/AS365)))</f>
        <v>1</v>
      </c>
      <c r="AZ365" s="50" t="n">
        <f aca="false">IF(LEFT(Cockpit!$O$5,1)="A",H365,IF(Parameter!$E$30="MAX-Bestand",IF(CH365=1,CI365,IF(LEFT(Cockpit!$O$5,1)="B",BF365,MAX(BF365,H365))),ROUNDUP(BD365,0)))</f>
        <v>5</v>
      </c>
      <c r="BA365" s="50" t="n">
        <f aca="false">IF(BZ365=1,0,ROUNDUP(AZ365/BY365,0))</f>
        <v>1</v>
      </c>
      <c r="BB365" s="52" t="n">
        <f aca="false">IF(CQ365&gt;0,CQ365*MAX(1,AZ365/X365),IF(BZ365=1,IF(AZ365&lt;=0,0,CD365*MAX(1,IF(H365&gt;0,AZ365/H365,1))),IF(R365&gt;0,BA365/R365,0))/MAX(0.1,N(Parameter!$M$21)))</f>
        <v>0.0192307692307692</v>
      </c>
      <c r="BC365" s="50" t="n">
        <f aca="false">BB365*CB365</f>
        <v>2.98076923076923</v>
      </c>
      <c r="BD365" s="51" t="n">
        <f aca="false">IF(LEFT(Cockpit!$O$5,1)="A",H365,IF(CH365=1,(CK365+CI365)/2,IF(LEFT(Cockpit!$O$5,1)="B",(CK365+BF365)/2,MAX((CK365+BF365)/2,H365))))</f>
        <v>5</v>
      </c>
      <c r="BE365" s="50" t="n">
        <f aca="false">BD365*G365</f>
        <v>77.5</v>
      </c>
      <c r="BF365" s="50" t="n">
        <f aca="false">ROUNDUP(CK365+MAX(CL365,2*(J365/IF(CG365&gt;0,CG365,MAX(0.1,N(Cockpit!$O$6)))-CK365)),0)</f>
        <v>10</v>
      </c>
      <c r="BG365" s="51" t="n">
        <f aca="false">IF(BC365&gt;0,J365/BC365,-1)</f>
        <v>3.01935483870968</v>
      </c>
      <c r="BH365" s="51" t="n">
        <f aca="false">IF(AND(OR(CF365="L1",CF365="L23",CF365="LIFT"),BC365&gt;0),SUMIFS($BC$7:$BC$1843,$CF$7:$CF$1843,CF365,$BG$7:$BG$1843,"&gt;"&amp;BG365)+SUMIFS($BC$7:$BC$1843,$CF$7:$CF$1843,CF365,$BG$7:$BG$1843,BG365,$BW$7:$BW$1843,"&lt;="&amp;BW365),"")</f>
        <v>4773.28067765568</v>
      </c>
      <c r="BI365" s="58" t="n">
        <f aca="false">IF(BH365="",0,MAX(0,MIN(1,(IF(CF365="L1",Parameter!$H$5,IF(CF365="L23",Parameter!$H$6+Parameter!$H$7,Parameter!$H$5+Parameter!$H$6+Parameter!$H$7))-(BH365-BC365))/BC365)))</f>
        <v>1</v>
      </c>
      <c r="BJ365" s="48" t="str">
        <f aca="false">IF(AI365&lt;=0,"",IF(CF365="Aussen","Aussenlager",IF(CF365="-","Nicht im Lift",IF(AO365&gt;=1,"Lift",IF(AO365&lt;=0,"Aussenlager","teilweise")))))</f>
        <v>Lift</v>
      </c>
      <c r="BK365" s="48" t="str">
        <f aca="false">IF(AS365&lt;=0,"",IF(CF365="Aussen","Aussenlager",IF(CF365="-","Nicht im Lift",IF(AY365&gt;=1,"Lift",IF(AY365&lt;=0,"Aussenlager","teilweise")))))</f>
        <v>Lift</v>
      </c>
      <c r="BL365" s="48" t="str">
        <f aca="false">IF(BC365&lt;=0,"",IF(CF365="Aussen","Aussenlager",IF(CF365="-","Nicht im Lift",IF(BI365&gt;=1,"Lift",IF(BI365&lt;=0,"Aussenlager","teilweise")))))</f>
        <v>Lift</v>
      </c>
      <c r="BM365" s="48" t="str">
        <f aca="false">IF(A365="","",IF(BV365=1,"Neu; ","")&amp;IF(AND(BV365=0,BQ365&lt;0),"negativer Bestand (Export "&amp;BQ365&amp;"); ","")&amp;IF(J365&lt;=0,"Kein Verbrauch; ","")&amp;IF(CQ365&gt;0,"Lift "&amp;W365&amp;" lt. Liftbericht (Fach "&amp;X365&amp;" Stk); ",IF(CA365=1,"Gebinde geschätzt ("&amp;T365&amp;"); ",IF(BZ365=1,"Lose – Tablare geschätzt; ","")))&amp;IF(H365&gt;AV365,"Überbestand "&amp;ROUND(H365-AV365,0)&amp;" Stk / CHF "&amp;ROUND((H365-AV365)*G365,0)&amp;"; ","")&amp;IF(AND(CH365=1,CI365&lt;CJ365),"MAX &lt; MB+LG; ","")&amp;IF(AND(CP365&gt;0,CO365*10&gt;CP365),"zu hoch für Tablar; ","")&amp;IF(AND(BV365=0,OR(CH365=1,AA365&lt;&gt;"",U365&lt;&gt;"",V365&lt;&gt;"",AB365&lt;&gt;"")),"manuell übersteuert; ","")&amp;IF(AND(BZ365=0,R365=0),"Gebinde unbekannt / Stellmass fehlt; ","")&amp;IF(AND(BZ365=0,N(V365)&lt;=0,N(Q365)&lt;=0),"Menge pro Gebinde fehlt (Ist = 1 Gebinde); ","")&amp;BU365)</f>
        <v>Überbestand 10 Stk / CHF 155; </v>
      </c>
      <c r="BN365" s="48"/>
      <c r="BO365" s="48"/>
      <c r="BP365" s="55"/>
      <c r="BQ365" s="50" t="n">
        <v>10</v>
      </c>
      <c r="BR365" s="50" t="n">
        <v>10</v>
      </c>
      <c r="BS365" s="49" t="n">
        <v>155</v>
      </c>
      <c r="BT365" s="50" t="n">
        <v>9</v>
      </c>
      <c r="BU365" s="48"/>
      <c r="BV365" s="53" t="n">
        <v>0</v>
      </c>
      <c r="BW365" s="53" t="n">
        <v>365</v>
      </c>
      <c r="BX365" s="48" t="str">
        <f aca="false">IF(U365&lt;&gt;"",UPPER(TRIM(U365)),IF(CA365=1,UPPER(VLOOKUP(T365,Parameter!$I$27:$K$29,2,0)),IF(P365="","LOSE",P365)))</f>
        <v>S41</v>
      </c>
      <c r="BY365" s="50" t="n">
        <f aca="false">IF(BX365="LOSE",1,IF(N(V365)&gt;0,V365,IF(CA365=1,MAX(1,N(VLOOKUP(T365,Parameter!$I$27:$K$29,3,0)),H365,N(N365)),IF(N(Q365)&gt;0,Q365,MAX(1,H365)))))</f>
        <v>24</v>
      </c>
      <c r="BZ365" s="53" t="n">
        <f aca="false">IF(BX365="LOSE",1,0)</f>
        <v>0</v>
      </c>
      <c r="CA365" s="53" t="n">
        <f aca="false">IF(AND(U365="",OR(P365="",P365="LOSE"),T365&lt;&gt;"",N(S365)&lt;=0,ISNUMBER(MATCH(T365,Parameter!$I$27:$I$29,0))),1,0)</f>
        <v>0</v>
      </c>
      <c r="CB365" s="53" t="n">
        <f aca="false">IF(CQ365&gt;0,INDEX(Parameter!$H$5:$H$7,W365)/INDEX(Parameter!$E$5:$E$7,W365),IF(AND(BZ365=0,N(IFERROR(VLOOKUP(BX365,'Gebinde-Kategorie'!$A$5:$N$45,14,0),0))&gt;0),VLOOKUP(BX365,'Gebinde-Kategorie'!$A$5:$N$45,14,0)*10+Parameter!$M$23,Parameter!$M$24))</f>
        <v>155</v>
      </c>
      <c r="CC365" s="48" t="str">
        <f aca="false">IF(AND(Parameter!$B$19="Ja",E365&lt;&gt;"",ISNUMBER(MATCH(E365,Parameter!$I$35:$I$52,0))),VLOOKUP(E365,Parameter!$I$35:$J$52,2,0),IFERROR(VLOOKUP(D365,Parameter!$A$35:$C$64,2,0),"Nein"))</f>
        <v>2+3</v>
      </c>
      <c r="CD365" s="52" t="n">
        <f aca="false">IF(BZ365=0,0,IF(N(S365)&gt;0,S365,IFERROR(VLOOKUP(D365,Parameter!$A$35:$C$64,3,0)+0,0)))</f>
        <v>0</v>
      </c>
      <c r="CE365" s="48" t="n">
        <f aca="false">IF(AA365&lt;&gt;"",AA365,Z365)</f>
        <v>3</v>
      </c>
      <c r="CF365" s="48" t="str">
        <f aca="false">IF(OR(CE365=1,CE365=2,CE365=3),IF(Parameter!$E$27="Ja","LIFT",IF(CE365=1,"L1","L23")),IF(CE365="Aussen","Aussen","-"))</f>
        <v>LIFT</v>
      </c>
      <c r="CG365" s="59" t="n">
        <f aca="false">IF(N(AB365)&gt;0,AB365,0)</f>
        <v>0</v>
      </c>
      <c r="CH365" s="53" t="n">
        <f aca="false">IF(ISNUMBER(AE365),1,0)</f>
        <v>0</v>
      </c>
      <c r="CI365" s="50" t="n">
        <f aca="false">N(AE365)</f>
        <v>0</v>
      </c>
      <c r="CJ365" s="50" t="n">
        <f aca="false">N(M365)+N(N365)</f>
        <v>10</v>
      </c>
      <c r="CK365" s="50" t="n">
        <f aca="false">N(M365)</f>
        <v>0</v>
      </c>
      <c r="CL365" s="50" t="n">
        <f aca="false">N(N365)</f>
        <v>10</v>
      </c>
      <c r="CM365" s="50" t="n">
        <f aca="false">ROUNDUP(H365/BY365,0)</f>
        <v>1</v>
      </c>
      <c r="CN365" s="50" t="n">
        <f aca="false">ROUNDUP(CI365/BY365,0)</f>
        <v>0</v>
      </c>
      <c r="CO365" s="53" t="n">
        <f aca="false">IF(BZ365=1,0,IFERROR(VLOOKUP(BX365,'Gebinde-Kategorie'!$A$5:$N$45,5,0)+0,0))</f>
        <v>11</v>
      </c>
      <c r="CP365" s="53" t="n">
        <f aca="false">IFERROR(IF(OR(CE365=1,CE365=2,CE365=3),N(INDEX(Parameter!$I$5:$I$7,CE365)),0),0)</f>
        <v>0</v>
      </c>
      <c r="CQ365" s="52" t="n">
        <f aca="false">IF(AND(Parameter!$B$21="Ja",ISNUMBER(W365),N(X365)&gt;0),IFERROR(N(INDEX(Parameter!$L$5:$L$7,W365))*INDEX(Parameter!$E$5:$E$7,W365)*X365/SUMIFS($X$7:$X$1843,$W$7:$W$1843,W365),0),0)</f>
        <v>0</v>
      </c>
    </row>
    <row r="366" customFormat="false" ht="15" hidden="false" customHeight="false" outlineLevel="0" collapsed="false">
      <c r="A366" s="48" t="s">
        <v>889</v>
      </c>
      <c r="B366" s="48" t="s">
        <v>890</v>
      </c>
      <c r="C366" s="48" t="s">
        <v>173</v>
      </c>
      <c r="D366" s="48" t="s">
        <v>193</v>
      </c>
      <c r="E366" s="48"/>
      <c r="F366" s="48" t="s">
        <v>227</v>
      </c>
      <c r="G366" s="49" t="n">
        <v>38</v>
      </c>
      <c r="H366" s="50" t="n">
        <f aca="false">MAX(0,IF(AND(Parameter!$B$21="Ja",ISNUMBER(Y366)),Y366,IF(Parameter!$B$20="Jahresanfang 2025 + Export",BR366+BQ366,BQ366)))</f>
        <v>4</v>
      </c>
      <c r="I366" s="50" t="n">
        <f aca="false">H366*G366</f>
        <v>152</v>
      </c>
      <c r="J366" s="50" t="n">
        <f aca="false">BT366*Parameter!$B$18</f>
        <v>2</v>
      </c>
      <c r="K366" s="51" t="n">
        <v>3</v>
      </c>
      <c r="L366" s="52" t="n">
        <v>0.666666666666667</v>
      </c>
      <c r="M366" s="50" t="n">
        <v>0</v>
      </c>
      <c r="N366" s="50" t="n">
        <v>1</v>
      </c>
      <c r="O366" s="53" t="n">
        <v>31</v>
      </c>
      <c r="P366" s="48" t="s">
        <v>410</v>
      </c>
      <c r="Q366" s="50" t="n">
        <v>4</v>
      </c>
      <c r="R366" s="53" t="n">
        <f aca="false">IF(BZ366=1,0,IFERROR(VLOOKUP(BX366,'Gebinde-Kategorie'!$A$5:$N$45,13,0)+0,0))</f>
        <v>280</v>
      </c>
      <c r="S366" s="54"/>
      <c r="T366" s="55"/>
      <c r="U366" s="55"/>
      <c r="V366" s="55"/>
      <c r="W366" s="48"/>
      <c r="X366" s="50"/>
      <c r="Y366" s="50"/>
      <c r="Z366" s="48" t="n">
        <f aca="false">IF(A366="","",IF(AND(Parameter!$B$21="Ja",ISNUMBER(W366)),W366,IF(CC366="2+3",IF(ISNUMBER(SEARCH("grosser Artikel",BU366)),2,IFERROR(VLOOKUP(BX366,Parameter!$F$35:$G$64,2,0),2)),IF(OR(CC366="Nein",CC366=""),"-",CC366))))</f>
        <v>3</v>
      </c>
      <c r="AA366" s="55"/>
      <c r="AB366" s="56"/>
      <c r="AC366" s="50" t="n">
        <f aca="false">AV366</f>
        <v>2</v>
      </c>
      <c r="AD366" s="50" t="n">
        <f aca="false">MAX(AV366,H366)</f>
        <v>4</v>
      </c>
      <c r="AE366" s="57"/>
      <c r="AF366" s="50" t="n">
        <f aca="false">IF(LEFT(Cockpit!$C$5,1)="A",H366,IF(Parameter!$E$30="MAX-Bestand",IF(CH366=1,CI366,IF(LEFT(Cockpit!$C$5,1)="B",AL366,MAX(AL366,H366))),ROUNDUP(AJ366,0)))</f>
        <v>4</v>
      </c>
      <c r="AG366" s="50" t="n">
        <f aca="false">IF(BZ366=1,0,ROUNDUP(AF366/BY366,0))</f>
        <v>1</v>
      </c>
      <c r="AH366" s="52" t="n">
        <f aca="false">IF(CQ366&gt;0,CQ366*MAX(1,AF366/X366),IF(BZ366=1,IF(AF366&lt;=0,0,CD366*MAX(1,IF(H366&gt;0,AF366/H366,1))),IF(R366&gt;0,AG366/R366,0))/MAX(0.1,N(Parameter!$M$21)))</f>
        <v>0.00357142857142857</v>
      </c>
      <c r="AI366" s="50" t="n">
        <f aca="false">AH366*CB366</f>
        <v>0.553571428571429</v>
      </c>
      <c r="AJ366" s="51" t="n">
        <f aca="false">IF(LEFT(Cockpit!$C$5,1)="A",H366,IF(CH366=1,(CK366+CI366)/2,IF(LEFT(Cockpit!$C$5,1)="B",(CK366+AL366)/2,MAX((CK366+AL366)/2,H366))))</f>
        <v>4</v>
      </c>
      <c r="AK366" s="50" t="n">
        <f aca="false">AJ366*G366</f>
        <v>152</v>
      </c>
      <c r="AL366" s="50" t="n">
        <f aca="false">ROUNDUP(CK366+MAX(CL366,2*(J366/IF(CG366&gt;0,CG366,MAX(0.1,N(Cockpit!$C$6)))-CK366)),0)</f>
        <v>2</v>
      </c>
      <c r="AM366" s="51" t="n">
        <f aca="false">IF(AI366&gt;0,J366/AI366,-1)</f>
        <v>3.61290322580645</v>
      </c>
      <c r="AN366" s="51" t="n">
        <f aca="false">IF(AND(OR(CF366="L1",CF366="L23",CF366="LIFT"),AI366&gt;0),SUMIFS($AI$7:$AI$1843,$CF$7:$CF$1843,CF366,$AM$7:$AM$1843,"&gt;"&amp;AM366)+SUMIFS($AI$7:$AI$1843,$CF$7:$CF$1843,CF366,$AM$7:$AM$1843,AM366,$BW$7:$BW$1843,"&lt;="&amp;BW366),"")</f>
        <v>4820.12408424908</v>
      </c>
      <c r="AO366" s="58" t="n">
        <f aca="false">IF(AN366="",0,MAX(0,MIN(1,(IF(CF366="L1",Parameter!$H$5,IF(CF366="L23",Parameter!$H$6+Parameter!$H$7,Parameter!$H$5+Parameter!$H$6+Parameter!$H$7))-(AN366-AI366))/AI366)))</f>
        <v>1</v>
      </c>
      <c r="AP366" s="50" t="n">
        <f aca="false">IF(LEFT(Cockpit!$I$5,1)="A",H366,IF(Parameter!$E$30="MAX-Bestand",IF(CH366=1,CI366,IF(LEFT(Cockpit!$I$5,1)="B",AV366,MAX(AV366,H366))),ROUNDUP(AT366,0)))</f>
        <v>4</v>
      </c>
      <c r="AQ366" s="50" t="n">
        <f aca="false">IF(BZ366=1,0,ROUNDUP(AP366/BY366,0))</f>
        <v>1</v>
      </c>
      <c r="AR366" s="52" t="n">
        <f aca="false">IF(CQ366&gt;0,CQ366*MAX(1,AP366/X366),IF(BZ366=1,IF(AP366&lt;=0,0,CD366*MAX(1,IF(H366&gt;0,AP366/H366,1))),IF(R366&gt;0,AQ366/R366,0))/MAX(0.1,N(Parameter!$M$21)))</f>
        <v>0.00357142857142857</v>
      </c>
      <c r="AS366" s="50" t="n">
        <f aca="false">AR366*CB366</f>
        <v>0.553571428571429</v>
      </c>
      <c r="AT366" s="51" t="n">
        <f aca="false">IF(LEFT(Cockpit!$I$5,1)="A",H366,IF(CH366=1,(CK366+CI366)/2,IF(LEFT(Cockpit!$I$5,1)="B",(CK366+AV366)/2,MAX((CK366+AV366)/2,H366))))</f>
        <v>4</v>
      </c>
      <c r="AU366" s="50" t="n">
        <f aca="false">AT366*G366</f>
        <v>152</v>
      </c>
      <c r="AV366" s="50" t="n">
        <f aca="false">ROUNDUP(CK366+MAX(CL366,2*(J366/IF(CG366&gt;0,CG366,MAX(0.1,N(Cockpit!$I$6)))-CK366)),0)</f>
        <v>2</v>
      </c>
      <c r="AW366" s="51" t="n">
        <f aca="false">IF(AS366&gt;0,J366/AS366,-1)</f>
        <v>3.61290322580645</v>
      </c>
      <c r="AX366" s="51" t="n">
        <f aca="false">IF(AND(OR(CF366="L1",CF366="L23",CF366="LIFT"),AS366&gt;0),SUMIFS($AS$7:$AS$1843,$CF$7:$CF$1843,CF366,$AW$7:$AW$1843,"&gt;"&amp;AW366)+SUMIFS($AS$7:$AS$1843,$CF$7:$CF$1843,CF366,$AW$7:$AW$1843,AW366,$BW$7:$BW$1843,"&lt;="&amp;BW366),"")</f>
        <v>5397.71108058608</v>
      </c>
      <c r="AY366" s="58" t="n">
        <f aca="false">IF(AX366="",0,MAX(0,MIN(1,(IF(CF366="L1",Parameter!$H$5,IF(CF366="L23",Parameter!$H$6+Parameter!$H$7,Parameter!$H$5+Parameter!$H$6+Parameter!$H$7))-(AX366-AS366))/AS366)))</f>
        <v>1</v>
      </c>
      <c r="AZ366" s="50" t="n">
        <f aca="false">IF(LEFT(Cockpit!$O$5,1)="A",H366,IF(Parameter!$E$30="MAX-Bestand",IF(CH366=1,CI366,IF(LEFT(Cockpit!$O$5,1)="B",BF366,MAX(BF366,H366))),ROUNDUP(BD366,0)))</f>
        <v>1</v>
      </c>
      <c r="BA366" s="50" t="n">
        <f aca="false">IF(BZ366=1,0,ROUNDUP(AZ366/BY366,0))</f>
        <v>1</v>
      </c>
      <c r="BB366" s="52" t="n">
        <f aca="false">IF(CQ366&gt;0,CQ366*MAX(1,AZ366/X366),IF(BZ366=1,IF(AZ366&lt;=0,0,CD366*MAX(1,IF(H366&gt;0,AZ366/H366,1))),IF(R366&gt;0,BA366/R366,0))/MAX(0.1,N(Parameter!$M$21)))</f>
        <v>0.00357142857142857</v>
      </c>
      <c r="BC366" s="50" t="n">
        <f aca="false">BB366*CB366</f>
        <v>0.553571428571429</v>
      </c>
      <c r="BD366" s="51" t="n">
        <f aca="false">IF(LEFT(Cockpit!$O$5,1)="A",H366,IF(CH366=1,(CK366+CI366)/2,IF(LEFT(Cockpit!$O$5,1)="B",(CK366+BF366)/2,MAX((CK366+BF366)/2,H366))))</f>
        <v>0.5</v>
      </c>
      <c r="BE366" s="50" t="n">
        <f aca="false">BD366*G366</f>
        <v>19</v>
      </c>
      <c r="BF366" s="50" t="n">
        <f aca="false">ROUNDUP(CK366+MAX(CL366,2*(J366/IF(CG366&gt;0,CG366,MAX(0.1,N(Cockpit!$O$6)))-CK366)),0)</f>
        <v>1</v>
      </c>
      <c r="BG366" s="51" t="n">
        <f aca="false">IF(BC366&gt;0,J366/BC366,-1)</f>
        <v>3.61290322580645</v>
      </c>
      <c r="BH366" s="51" t="n">
        <f aca="false">IF(AND(OR(CF366="L1",CF366="L23",CF366="LIFT"),BC366&gt;0),SUMIFS($BC$7:$BC$1843,$CF$7:$CF$1843,CF366,$BG$7:$BG$1843,"&gt;"&amp;BG366)+SUMIFS($BC$7:$BC$1843,$CF$7:$CF$1843,CF366,$BG$7:$BG$1843,BG366,$BW$7:$BW$1843,"&lt;="&amp;BW366),"")</f>
        <v>4416.63644688645</v>
      </c>
      <c r="BI366" s="58" t="n">
        <f aca="false">IF(BH366="",0,MAX(0,MIN(1,(IF(CF366="L1",Parameter!$H$5,IF(CF366="L23",Parameter!$H$6+Parameter!$H$7,Parameter!$H$5+Parameter!$H$6+Parameter!$H$7))-(BH366-BC366))/BC366)))</f>
        <v>1</v>
      </c>
      <c r="BJ366" s="48" t="str">
        <f aca="false">IF(AI366&lt;=0,"",IF(CF366="Aussen","Aussenlager",IF(CF366="-","Nicht im Lift",IF(AO366&gt;=1,"Lift",IF(AO366&lt;=0,"Aussenlager","teilweise")))))</f>
        <v>Lift</v>
      </c>
      <c r="BK366" s="48" t="str">
        <f aca="false">IF(AS366&lt;=0,"",IF(CF366="Aussen","Aussenlager",IF(CF366="-","Nicht im Lift",IF(AY366&gt;=1,"Lift",IF(AY366&lt;=0,"Aussenlager","teilweise")))))</f>
        <v>Lift</v>
      </c>
      <c r="BL366" s="48" t="str">
        <f aca="false">IF(BC366&lt;=0,"",IF(CF366="Aussen","Aussenlager",IF(CF366="-","Nicht im Lift",IF(BI366&gt;=1,"Lift",IF(BI366&lt;=0,"Aussenlager","teilweise")))))</f>
        <v>Lift</v>
      </c>
      <c r="BM366" s="48" t="str">
        <f aca="false">IF(A366="","",IF(BV366=1,"Neu; ","")&amp;IF(AND(BV366=0,BQ366&lt;0),"negativer Bestand (Export "&amp;BQ366&amp;"); ","")&amp;IF(J366&lt;=0,"Kein Verbrauch; ","")&amp;IF(CQ366&gt;0,"Lift "&amp;W366&amp;" lt. Liftbericht (Fach "&amp;X366&amp;" Stk); ",IF(CA366=1,"Gebinde geschätzt ("&amp;T366&amp;"); ",IF(BZ366=1,"Lose – Tablare geschätzt; ","")))&amp;IF(H366&gt;AV366,"Überbestand "&amp;ROUND(H366-AV366,0)&amp;" Stk / CHF "&amp;ROUND((H366-AV366)*G366,0)&amp;"; ","")&amp;IF(AND(CH366=1,CI366&lt;CJ366),"MAX &lt; MB+LG; ","")&amp;IF(AND(CP366&gt;0,CO366*10&gt;CP366),"zu hoch für Tablar; ","")&amp;IF(AND(BV366=0,OR(CH366=1,AA366&lt;&gt;"",U366&lt;&gt;"",V366&lt;&gt;"",AB366&lt;&gt;"")),"manuell übersteuert; ","")&amp;IF(AND(BZ366=0,R366=0),"Gebinde unbekannt / Stellmass fehlt; ","")&amp;IF(AND(BZ366=0,N(V366)&lt;=0,N(Q366)&lt;=0),"Menge pro Gebinde fehlt (Ist = 1 Gebinde); ","")&amp;BU366)</f>
        <v>Überbestand 2 Stk / CHF 76; </v>
      </c>
      <c r="BN366" s="48"/>
      <c r="BO366" s="48"/>
      <c r="BP366" s="55"/>
      <c r="BQ366" s="50" t="n">
        <v>4</v>
      </c>
      <c r="BR366" s="50" t="n">
        <v>0</v>
      </c>
      <c r="BS366" s="49" t="n">
        <v>152</v>
      </c>
      <c r="BT366" s="50" t="n">
        <v>2</v>
      </c>
      <c r="BU366" s="48"/>
      <c r="BV366" s="53" t="n">
        <v>0</v>
      </c>
      <c r="BW366" s="53" t="n">
        <v>366</v>
      </c>
      <c r="BX366" s="48" t="str">
        <f aca="false">IF(U366&lt;&gt;"",UPPER(TRIM(U366)),IF(CA366=1,UPPER(VLOOKUP(T366,Parameter!$I$27:$K$29,2,0)),IF(P366="","LOSE",P366)))</f>
        <v>S21</v>
      </c>
      <c r="BY366" s="50" t="n">
        <f aca="false">IF(BX366="LOSE",1,IF(N(V366)&gt;0,V366,IF(CA366=1,MAX(1,N(VLOOKUP(T366,Parameter!$I$27:$K$29,3,0)),H366,N(N366)),IF(N(Q366)&gt;0,Q366,MAX(1,H366)))))</f>
        <v>4</v>
      </c>
      <c r="BZ366" s="53" t="n">
        <f aca="false">IF(BX366="LOSE",1,0)</f>
        <v>0</v>
      </c>
      <c r="CA366" s="53" t="n">
        <f aca="false">IF(AND(U366="",OR(P366="",P366="LOSE"),T366&lt;&gt;"",N(S366)&lt;=0,ISNUMBER(MATCH(T366,Parameter!$I$27:$I$29,0))),1,0)</f>
        <v>0</v>
      </c>
      <c r="CB366" s="53" t="n">
        <f aca="false">IF(CQ366&gt;0,INDEX(Parameter!$H$5:$H$7,W366)/INDEX(Parameter!$E$5:$E$7,W366),IF(AND(BZ366=0,N(IFERROR(VLOOKUP(BX366,'Gebinde-Kategorie'!$A$5:$N$45,14,0),0))&gt;0),VLOOKUP(BX366,'Gebinde-Kategorie'!$A$5:$N$45,14,0)*10+Parameter!$M$23,Parameter!$M$24))</f>
        <v>155</v>
      </c>
      <c r="CC366" s="48" t="str">
        <f aca="false">IF(AND(Parameter!$B$19="Ja",E366&lt;&gt;"",ISNUMBER(MATCH(E366,Parameter!$I$35:$I$52,0))),VLOOKUP(E366,Parameter!$I$35:$J$52,2,0),IFERROR(VLOOKUP(D366,Parameter!$A$35:$C$64,2,0),"Nein"))</f>
        <v>2+3</v>
      </c>
      <c r="CD366" s="52" t="n">
        <f aca="false">IF(BZ366=0,0,IF(N(S366)&gt;0,S366,IFERROR(VLOOKUP(D366,Parameter!$A$35:$C$64,3,0)+0,0)))</f>
        <v>0</v>
      </c>
      <c r="CE366" s="48" t="n">
        <f aca="false">IF(AA366&lt;&gt;"",AA366,Z366)</f>
        <v>3</v>
      </c>
      <c r="CF366" s="48" t="str">
        <f aca="false">IF(OR(CE366=1,CE366=2,CE366=3),IF(Parameter!$E$27="Ja","LIFT",IF(CE366=1,"L1","L23")),IF(CE366="Aussen","Aussen","-"))</f>
        <v>LIFT</v>
      </c>
      <c r="CG366" s="59" t="n">
        <f aca="false">IF(N(AB366)&gt;0,AB366,0)</f>
        <v>0</v>
      </c>
      <c r="CH366" s="53" t="n">
        <f aca="false">IF(ISNUMBER(AE366),1,0)</f>
        <v>0</v>
      </c>
      <c r="CI366" s="50" t="n">
        <f aca="false">N(AE366)</f>
        <v>0</v>
      </c>
      <c r="CJ366" s="50" t="n">
        <f aca="false">N(M366)+N(N366)</f>
        <v>1</v>
      </c>
      <c r="CK366" s="50" t="n">
        <f aca="false">N(M366)</f>
        <v>0</v>
      </c>
      <c r="CL366" s="50" t="n">
        <f aca="false">N(N366)</f>
        <v>1</v>
      </c>
      <c r="CM366" s="50" t="n">
        <f aca="false">ROUNDUP(H366/BY366,0)</f>
        <v>1</v>
      </c>
      <c r="CN366" s="50" t="n">
        <f aca="false">ROUNDUP(CI366/BY366,0)</f>
        <v>0</v>
      </c>
      <c r="CO366" s="53" t="n">
        <f aca="false">IF(BZ366=1,0,IFERROR(VLOOKUP(BX366,'Gebinde-Kategorie'!$A$5:$N$45,5,0)+0,0))</f>
        <v>8</v>
      </c>
      <c r="CP366" s="53" t="n">
        <f aca="false">IFERROR(IF(OR(CE366=1,CE366=2,CE366=3),N(INDEX(Parameter!$I$5:$I$7,CE366)),0),0)</f>
        <v>0</v>
      </c>
      <c r="CQ366" s="52" t="n">
        <f aca="false">IF(AND(Parameter!$B$21="Ja",ISNUMBER(W366),N(X366)&gt;0),IFERROR(N(INDEX(Parameter!$L$5:$L$7,W366))*INDEX(Parameter!$E$5:$E$7,W366)*X366/SUMIFS($X$7:$X$1843,$W$7:$W$1843,W366),0),0)</f>
        <v>0</v>
      </c>
    </row>
    <row r="367" customFormat="false" ht="15" hidden="false" customHeight="false" outlineLevel="0" collapsed="false">
      <c r="A367" s="48" t="s">
        <v>891</v>
      </c>
      <c r="B367" s="48" t="s">
        <v>892</v>
      </c>
      <c r="C367" s="48" t="s">
        <v>173</v>
      </c>
      <c r="D367" s="48" t="s">
        <v>193</v>
      </c>
      <c r="E367" s="48" t="s">
        <v>194</v>
      </c>
      <c r="F367" s="48" t="s">
        <v>227</v>
      </c>
      <c r="G367" s="49" t="n">
        <v>49.23</v>
      </c>
      <c r="H367" s="50" t="n">
        <f aca="false">MAX(0,IF(AND(Parameter!$B$21="Ja",ISNUMBER(Y367)),Y367,IF(Parameter!$B$20="Jahresanfang 2025 + Export",BR367+BQ367,BQ367)))</f>
        <v>7</v>
      </c>
      <c r="I367" s="50" t="n">
        <f aca="false">H367*G367</f>
        <v>344.61</v>
      </c>
      <c r="J367" s="50" t="n">
        <f aca="false">BT367*Parameter!$B$18</f>
        <v>1</v>
      </c>
      <c r="K367" s="51" t="n">
        <v>5</v>
      </c>
      <c r="L367" s="52" t="n">
        <v>0.2</v>
      </c>
      <c r="M367" s="50" t="n">
        <v>0</v>
      </c>
      <c r="N367" s="50" t="n">
        <v>1</v>
      </c>
      <c r="O367" s="53" t="n">
        <v>14</v>
      </c>
      <c r="P367" s="48" t="s">
        <v>242</v>
      </c>
      <c r="Q367" s="50" t="n">
        <v>10</v>
      </c>
      <c r="R367" s="53" t="n">
        <f aca="false">IF(BZ367=1,0,IFERROR(VLOOKUP(BX367,'Gebinde-Kategorie'!$A$5:$N$45,13,0)+0,0))</f>
        <v>26</v>
      </c>
      <c r="S367" s="54"/>
      <c r="T367" s="55"/>
      <c r="U367" s="55"/>
      <c r="V367" s="55"/>
      <c r="W367" s="48"/>
      <c r="X367" s="50"/>
      <c r="Y367" s="50"/>
      <c r="Z367" s="48" t="n">
        <f aca="false">IF(A367="","",IF(AND(Parameter!$B$21="Ja",ISNUMBER(W367)),W367,IF(CC367="2+3",IF(ISNUMBER(SEARCH("grosser Artikel",BU367)),2,IFERROR(VLOOKUP(BX367,Parameter!$F$35:$G$64,2,0),2)),IF(OR(CC367="Nein",CC367=""),"-",CC367))))</f>
        <v>3</v>
      </c>
      <c r="AA367" s="55"/>
      <c r="AB367" s="56"/>
      <c r="AC367" s="50" t="n">
        <f aca="false">AV367</f>
        <v>1</v>
      </c>
      <c r="AD367" s="50" t="n">
        <f aca="false">MAX(AV367,H367)</f>
        <v>7</v>
      </c>
      <c r="AE367" s="57"/>
      <c r="AF367" s="50" t="n">
        <f aca="false">IF(LEFT(Cockpit!$C$5,1)="A",H367,IF(Parameter!$E$30="MAX-Bestand",IF(CH367=1,CI367,IF(LEFT(Cockpit!$C$5,1)="B",AL367,MAX(AL367,H367))),ROUNDUP(AJ367,0)))</f>
        <v>7</v>
      </c>
      <c r="AG367" s="50" t="n">
        <f aca="false">IF(BZ367=1,0,ROUNDUP(AF367/BY367,0))</f>
        <v>1</v>
      </c>
      <c r="AH367" s="52" t="n">
        <f aca="false">IF(CQ367&gt;0,CQ367*MAX(1,AF367/X367),IF(BZ367=1,IF(AF367&lt;=0,0,CD367*MAX(1,IF(H367&gt;0,AF367/H367,1))),IF(R367&gt;0,AG367/R367,0))/MAX(0.1,N(Parameter!$M$21)))</f>
        <v>0.0384615384615385</v>
      </c>
      <c r="AI367" s="50" t="n">
        <f aca="false">AH367*CB367</f>
        <v>9.42307692307692</v>
      </c>
      <c r="AJ367" s="51" t="n">
        <f aca="false">IF(LEFT(Cockpit!$C$5,1)="A",H367,IF(CH367=1,(CK367+CI367)/2,IF(LEFT(Cockpit!$C$5,1)="B",(CK367+AL367)/2,MAX((CK367+AL367)/2,H367))))</f>
        <v>7</v>
      </c>
      <c r="AK367" s="50" t="n">
        <f aca="false">AJ367*G367</f>
        <v>344.61</v>
      </c>
      <c r="AL367" s="50" t="n">
        <f aca="false">ROUNDUP(CK367+MAX(CL367,2*(J367/IF(CG367&gt;0,CG367,MAX(0.1,N(Cockpit!$C$6)))-CK367)),0)</f>
        <v>1</v>
      </c>
      <c r="AM367" s="51" t="n">
        <f aca="false">IF(AI367&gt;0,J367/AI367,-1)</f>
        <v>0.106122448979592</v>
      </c>
      <c r="AN367" s="51" t="n">
        <f aca="false">IF(AND(OR(CF367="L1",CF367="L23",CF367="LIFT"),AI367&gt;0),SUMIFS($AI$7:$AI$1843,$CF$7:$CF$1843,CF367,$AM$7:$AM$1843,"&gt;"&amp;AM367)+SUMIFS($AI$7:$AI$1843,$CF$7:$CF$1843,CF367,$AM$7:$AM$1843,AM367,$BW$7:$BW$1843,"&lt;="&amp;BW367),"")</f>
        <v>15304.6527777778</v>
      </c>
      <c r="AO367" s="58" t="n">
        <f aca="false">IF(AN367="",0,MAX(0,MIN(1,(IF(CF367="L1",Parameter!$H$5,IF(CF367="L23",Parameter!$H$6+Parameter!$H$7,Parameter!$H$5+Parameter!$H$6+Parameter!$H$7))-(AN367-AI367))/AI367)))</f>
        <v>1</v>
      </c>
      <c r="AP367" s="50" t="n">
        <f aca="false">IF(LEFT(Cockpit!$I$5,1)="A",H367,IF(Parameter!$E$30="MAX-Bestand",IF(CH367=1,CI367,IF(LEFT(Cockpit!$I$5,1)="B",AV367,MAX(AV367,H367))),ROUNDUP(AT367,0)))</f>
        <v>7</v>
      </c>
      <c r="AQ367" s="50" t="n">
        <f aca="false">IF(BZ367=1,0,ROUNDUP(AP367/BY367,0))</f>
        <v>1</v>
      </c>
      <c r="AR367" s="52" t="n">
        <f aca="false">IF(CQ367&gt;0,CQ367*MAX(1,AP367/X367),IF(BZ367=1,IF(AP367&lt;=0,0,CD367*MAX(1,IF(H367&gt;0,AP367/H367,1))),IF(R367&gt;0,AQ367/R367,0))/MAX(0.1,N(Parameter!$M$21)))</f>
        <v>0.0384615384615385</v>
      </c>
      <c r="AS367" s="50" t="n">
        <f aca="false">AR367*CB367</f>
        <v>9.42307692307692</v>
      </c>
      <c r="AT367" s="51" t="n">
        <f aca="false">IF(LEFT(Cockpit!$I$5,1)="A",H367,IF(CH367=1,(CK367+CI367)/2,IF(LEFT(Cockpit!$I$5,1)="B",(CK367+AV367)/2,MAX((CK367+AV367)/2,H367))))</f>
        <v>7</v>
      </c>
      <c r="AU367" s="50" t="n">
        <f aca="false">AT367*G367</f>
        <v>344.61</v>
      </c>
      <c r="AV367" s="50" t="n">
        <f aca="false">ROUNDUP(CK367+MAX(CL367,2*(J367/IF(CG367&gt;0,CG367,MAX(0.1,N(Cockpit!$I$6)))-CK367)),0)</f>
        <v>1</v>
      </c>
      <c r="AW367" s="51" t="n">
        <f aca="false">IF(AS367&gt;0,J367/AS367,-1)</f>
        <v>0.106122448979592</v>
      </c>
      <c r="AX367" s="51" t="n">
        <f aca="false">IF(AND(OR(CF367="L1",CF367="L23",CF367="LIFT"),AS367&gt;0),SUMIFS($AS$7:$AS$1843,$CF$7:$CF$1843,CF367,$AW$7:$AW$1843,"&gt;"&amp;AW367)+SUMIFS($AS$7:$AS$1843,$CF$7:$CF$1843,CF367,$AW$7:$AW$1843,AW367,$BW$7:$BW$1843,"&lt;="&amp;BW367),"")</f>
        <v>19329.0514191552</v>
      </c>
      <c r="AY367" s="58" t="n">
        <f aca="false">IF(AX367="",0,MAX(0,MIN(1,(IF(CF367="L1",Parameter!$H$5,IF(CF367="L23",Parameter!$H$6+Parameter!$H$7,Parameter!$H$5+Parameter!$H$6+Parameter!$H$7))-(AX367-AS367))/AS367)))</f>
        <v>1</v>
      </c>
      <c r="AZ367" s="50" t="n">
        <f aca="false">IF(LEFT(Cockpit!$O$5,1)="A",H367,IF(Parameter!$E$30="MAX-Bestand",IF(CH367=1,CI367,IF(LEFT(Cockpit!$O$5,1)="B",BF367,MAX(BF367,H367))),ROUNDUP(BD367,0)))</f>
        <v>1</v>
      </c>
      <c r="BA367" s="50" t="n">
        <f aca="false">IF(BZ367=1,0,ROUNDUP(AZ367/BY367,0))</f>
        <v>1</v>
      </c>
      <c r="BB367" s="52" t="n">
        <f aca="false">IF(CQ367&gt;0,CQ367*MAX(1,AZ367/X367),IF(BZ367=1,IF(AZ367&lt;=0,0,CD367*MAX(1,IF(H367&gt;0,AZ367/H367,1))),IF(R367&gt;0,BA367/R367,0))/MAX(0.1,N(Parameter!$M$21)))</f>
        <v>0.0384615384615385</v>
      </c>
      <c r="BC367" s="50" t="n">
        <f aca="false">BB367*CB367</f>
        <v>9.42307692307692</v>
      </c>
      <c r="BD367" s="51" t="n">
        <f aca="false">IF(LEFT(Cockpit!$O$5,1)="A",H367,IF(CH367=1,(CK367+CI367)/2,IF(LEFT(Cockpit!$O$5,1)="B",(CK367+BF367)/2,MAX((CK367+BF367)/2,H367))))</f>
        <v>0.5</v>
      </c>
      <c r="BE367" s="50" t="n">
        <f aca="false">BD367*G367</f>
        <v>24.615</v>
      </c>
      <c r="BF367" s="50" t="n">
        <f aca="false">ROUNDUP(CK367+MAX(CL367,2*(J367/IF(CG367&gt;0,CG367,MAX(0.1,N(Cockpit!$O$6)))-CK367)),0)</f>
        <v>1</v>
      </c>
      <c r="BG367" s="51" t="n">
        <f aca="false">IF(BC367&gt;0,J367/BC367,-1)</f>
        <v>0.106122448979592</v>
      </c>
      <c r="BH367" s="51" t="n">
        <f aca="false">IF(AND(OR(CF367="L1",CF367="L23",CF367="LIFT"),BC367&gt;0),SUMIFS($BC$7:$BC$1843,$CF$7:$CF$1843,CF367,$BG$7:$BG$1843,"&gt;"&amp;BG367)+SUMIFS($BC$7:$BC$1843,$CF$7:$CF$1843,CF367,$BG$7:$BG$1843,BG367,$BW$7:$BW$1843,"&lt;="&amp;BW367),"")</f>
        <v>16929.864031684</v>
      </c>
      <c r="BI367" s="58" t="n">
        <f aca="false">IF(BH367="",0,MAX(0,MIN(1,(IF(CF367="L1",Parameter!$H$5,IF(CF367="L23",Parameter!$H$6+Parameter!$H$7,Parameter!$H$5+Parameter!$H$6+Parameter!$H$7))-(BH367-BC367))/BC367)))</f>
        <v>1</v>
      </c>
      <c r="BJ367" s="48" t="str">
        <f aca="false">IF(AI367&lt;=0,"",IF(CF367="Aussen","Aussenlager",IF(CF367="-","Nicht im Lift",IF(AO367&gt;=1,"Lift",IF(AO367&lt;=0,"Aussenlager","teilweise")))))</f>
        <v>Lift</v>
      </c>
      <c r="BK367" s="48" t="str">
        <f aca="false">IF(AS367&lt;=0,"",IF(CF367="Aussen","Aussenlager",IF(CF367="-","Nicht im Lift",IF(AY367&gt;=1,"Lift",IF(AY367&lt;=0,"Aussenlager","teilweise")))))</f>
        <v>Lift</v>
      </c>
      <c r="BL367" s="48" t="str">
        <f aca="false">IF(BC367&lt;=0,"",IF(CF367="Aussen","Aussenlager",IF(CF367="-","Nicht im Lift",IF(BI367&gt;=1,"Lift",IF(BI367&lt;=0,"Aussenlager","teilweise")))))</f>
        <v>Lift</v>
      </c>
      <c r="BM367" s="48" t="str">
        <f aca="false">IF(A367="","",IF(BV367=1,"Neu; ","")&amp;IF(AND(BV367=0,BQ367&lt;0),"negativer Bestand (Export "&amp;BQ367&amp;"); ","")&amp;IF(J367&lt;=0,"Kein Verbrauch; ","")&amp;IF(CQ367&gt;0,"Lift "&amp;W367&amp;" lt. Liftbericht (Fach "&amp;X367&amp;" Stk); ",IF(CA367=1,"Gebinde geschätzt ("&amp;T367&amp;"); ",IF(BZ367=1,"Lose – Tablare geschätzt; ","")))&amp;IF(H367&gt;AV367,"Überbestand "&amp;ROUND(H367-AV367,0)&amp;" Stk / CHF "&amp;ROUND((H367-AV367)*G367,0)&amp;"; ","")&amp;IF(AND(CH367=1,CI367&lt;CJ367),"MAX &lt; MB+LG; ","")&amp;IF(AND(CP367&gt;0,CO367*10&gt;CP367),"zu hoch für Tablar; ","")&amp;IF(AND(BV367=0,OR(CH367=1,AA367&lt;&gt;"",U367&lt;&gt;"",V367&lt;&gt;"",AB367&lt;&gt;"")),"manuell übersteuert; ","")&amp;IF(AND(BZ367=0,R367=0),"Gebinde unbekannt / Stellmass fehlt; ","")&amp;IF(AND(BZ367=0,N(V367)&lt;=0,N(Q367)&lt;=0),"Menge pro Gebinde fehlt (Ist = 1 Gebinde); ","")&amp;BU367)</f>
        <v>Überbestand 6 Stk / CHF 295; </v>
      </c>
      <c r="BN367" s="48"/>
      <c r="BO367" s="48"/>
      <c r="BP367" s="55"/>
      <c r="BQ367" s="50" t="n">
        <v>3</v>
      </c>
      <c r="BR367" s="50" t="n">
        <v>4</v>
      </c>
      <c r="BS367" s="49" t="n">
        <v>151.81</v>
      </c>
      <c r="BT367" s="50" t="n">
        <v>1</v>
      </c>
      <c r="BU367" s="48"/>
      <c r="BV367" s="53" t="n">
        <v>0</v>
      </c>
      <c r="BW367" s="53" t="n">
        <v>367</v>
      </c>
      <c r="BX367" s="48" t="str">
        <f aca="false">IF(U367&lt;&gt;"",UPPER(TRIM(U367)),IF(CA367=1,UPPER(VLOOKUP(T367,Parameter!$I$27:$K$29,2,0)),IF(P367="","LOSE",P367)))</f>
        <v>S52</v>
      </c>
      <c r="BY367" s="50" t="n">
        <f aca="false">IF(BX367="LOSE",1,IF(N(V367)&gt;0,V367,IF(CA367=1,MAX(1,N(VLOOKUP(T367,Parameter!$I$27:$K$29,3,0)),H367,N(N367)),IF(N(Q367)&gt;0,Q367,MAX(1,H367)))))</f>
        <v>10</v>
      </c>
      <c r="BZ367" s="53" t="n">
        <f aca="false">IF(BX367="LOSE",1,0)</f>
        <v>0</v>
      </c>
      <c r="CA367" s="53" t="n">
        <f aca="false">IF(AND(U367="",OR(P367="",P367="LOSE"),T367&lt;&gt;"",N(S367)&lt;=0,ISNUMBER(MATCH(T367,Parameter!$I$27:$I$29,0))),1,0)</f>
        <v>0</v>
      </c>
      <c r="CB367" s="53" t="n">
        <f aca="false">IF(CQ367&gt;0,INDEX(Parameter!$H$5:$H$7,W367)/INDEX(Parameter!$E$5:$E$7,W367),IF(AND(BZ367=0,N(IFERROR(VLOOKUP(BX367,'Gebinde-Kategorie'!$A$5:$N$45,14,0),0))&gt;0),VLOOKUP(BX367,'Gebinde-Kategorie'!$A$5:$N$45,14,0)*10+Parameter!$M$23,Parameter!$M$24))</f>
        <v>245</v>
      </c>
      <c r="CC367" s="48" t="str">
        <f aca="false">IF(AND(Parameter!$B$19="Ja",E367&lt;&gt;"",ISNUMBER(MATCH(E367,Parameter!$I$35:$I$52,0))),VLOOKUP(E367,Parameter!$I$35:$J$52,2,0),IFERROR(VLOOKUP(D367,Parameter!$A$35:$C$64,2,0),"Nein"))</f>
        <v>2+3</v>
      </c>
      <c r="CD367" s="52" t="n">
        <f aca="false">IF(BZ367=0,0,IF(N(S367)&gt;0,S367,IFERROR(VLOOKUP(D367,Parameter!$A$35:$C$64,3,0)+0,0)))</f>
        <v>0</v>
      </c>
      <c r="CE367" s="48" t="n">
        <f aca="false">IF(AA367&lt;&gt;"",AA367,Z367)</f>
        <v>3</v>
      </c>
      <c r="CF367" s="48" t="str">
        <f aca="false">IF(OR(CE367=1,CE367=2,CE367=3),IF(Parameter!$E$27="Ja","LIFT",IF(CE367=1,"L1","L23")),IF(CE367="Aussen","Aussen","-"))</f>
        <v>LIFT</v>
      </c>
      <c r="CG367" s="59" t="n">
        <f aca="false">IF(N(AB367)&gt;0,AB367,0)</f>
        <v>0</v>
      </c>
      <c r="CH367" s="53" t="n">
        <f aca="false">IF(ISNUMBER(AE367),1,0)</f>
        <v>0</v>
      </c>
      <c r="CI367" s="50" t="n">
        <f aca="false">N(AE367)</f>
        <v>0</v>
      </c>
      <c r="CJ367" s="50" t="n">
        <f aca="false">N(M367)+N(N367)</f>
        <v>1</v>
      </c>
      <c r="CK367" s="50" t="n">
        <f aca="false">N(M367)</f>
        <v>0</v>
      </c>
      <c r="CL367" s="50" t="n">
        <f aca="false">N(N367)</f>
        <v>1</v>
      </c>
      <c r="CM367" s="50" t="n">
        <f aca="false">ROUNDUP(H367/BY367,0)</f>
        <v>1</v>
      </c>
      <c r="CN367" s="50" t="n">
        <f aca="false">ROUNDUP(CI367/BY367,0)</f>
        <v>0</v>
      </c>
      <c r="CO367" s="53" t="n">
        <f aca="false">IF(BZ367=1,0,IFERROR(VLOOKUP(BX367,'Gebinde-Kategorie'!$A$5:$N$45,5,0)+0,0))</f>
        <v>21</v>
      </c>
      <c r="CP367" s="53" t="n">
        <f aca="false">IFERROR(IF(OR(CE367=1,CE367=2,CE367=3),N(INDEX(Parameter!$I$5:$I$7,CE367)),0),0)</f>
        <v>0</v>
      </c>
      <c r="CQ367" s="52" t="n">
        <f aca="false">IF(AND(Parameter!$B$21="Ja",ISNUMBER(W367),N(X367)&gt;0),IFERROR(N(INDEX(Parameter!$L$5:$L$7,W367))*INDEX(Parameter!$E$5:$E$7,W367)*X367/SUMIFS($X$7:$X$1843,$W$7:$W$1843,W367),0),0)</f>
        <v>0</v>
      </c>
    </row>
    <row r="368" customFormat="false" ht="15" hidden="false" customHeight="false" outlineLevel="0" collapsed="false">
      <c r="A368" s="48" t="s">
        <v>893</v>
      </c>
      <c r="B368" s="48" t="s">
        <v>623</v>
      </c>
      <c r="C368" s="48" t="s">
        <v>173</v>
      </c>
      <c r="D368" s="48" t="s">
        <v>193</v>
      </c>
      <c r="E368" s="48" t="s">
        <v>194</v>
      </c>
      <c r="F368" s="48" t="s">
        <v>227</v>
      </c>
      <c r="G368" s="49" t="n">
        <v>3.89</v>
      </c>
      <c r="H368" s="50" t="n">
        <f aca="false">MAX(0,IF(AND(Parameter!$B$21="Ja",ISNUMBER(Y368)),Y368,IF(Parameter!$B$20="Jahresanfang 2025 + Export",BR368+BQ368,BQ368)))</f>
        <v>75</v>
      </c>
      <c r="I368" s="50" t="n">
        <f aca="false">H368*G368</f>
        <v>291.75</v>
      </c>
      <c r="J368" s="50" t="n">
        <f aca="false">BT368*Parameter!$B$18</f>
        <v>21</v>
      </c>
      <c r="K368" s="51" t="n">
        <v>70.5</v>
      </c>
      <c r="L368" s="52" t="n">
        <v>0.297872340425532</v>
      </c>
      <c r="M368" s="50" t="n">
        <v>3</v>
      </c>
      <c r="N368" s="50" t="n">
        <v>20</v>
      </c>
      <c r="O368" s="53" t="n">
        <v>56</v>
      </c>
      <c r="P368" s="48" t="s">
        <v>410</v>
      </c>
      <c r="Q368" s="50" t="n">
        <v>69</v>
      </c>
      <c r="R368" s="53" t="n">
        <f aca="false">IF(BZ368=1,0,IFERROR(VLOOKUP(BX368,'Gebinde-Kategorie'!$A$5:$N$45,13,0)+0,0))</f>
        <v>280</v>
      </c>
      <c r="S368" s="54"/>
      <c r="T368" s="55"/>
      <c r="U368" s="55"/>
      <c r="V368" s="55"/>
      <c r="W368" s="48"/>
      <c r="X368" s="50"/>
      <c r="Y368" s="50"/>
      <c r="Z368" s="48" t="n">
        <f aca="false">IF(A368="","",IF(AND(Parameter!$B$21="Ja",ISNUMBER(W368)),W368,IF(CC368="2+3",IF(ISNUMBER(SEARCH("grosser Artikel",BU368)),2,IFERROR(VLOOKUP(BX368,Parameter!$F$35:$G$64,2,0),2)),IF(OR(CC368="Nein",CC368=""),"-",CC368))))</f>
        <v>3</v>
      </c>
      <c r="AA368" s="55"/>
      <c r="AB368" s="56"/>
      <c r="AC368" s="50" t="n">
        <f aca="false">AV368</f>
        <v>23</v>
      </c>
      <c r="AD368" s="50" t="n">
        <f aca="false">MAX(AV368,H368)</f>
        <v>75</v>
      </c>
      <c r="AE368" s="57"/>
      <c r="AF368" s="50" t="n">
        <f aca="false">IF(LEFT(Cockpit!$C$5,1)="A",H368,IF(Parameter!$E$30="MAX-Bestand",IF(CH368=1,CI368,IF(LEFT(Cockpit!$C$5,1)="B",AL368,MAX(AL368,H368))),ROUNDUP(AJ368,0)))</f>
        <v>75</v>
      </c>
      <c r="AG368" s="50" t="n">
        <f aca="false">IF(BZ368=1,0,ROUNDUP(AF368/BY368,0))</f>
        <v>2</v>
      </c>
      <c r="AH368" s="52" t="n">
        <f aca="false">IF(CQ368&gt;0,CQ368*MAX(1,AF368/X368),IF(BZ368=1,IF(AF368&lt;=0,0,CD368*MAX(1,IF(H368&gt;0,AF368/H368,1))),IF(R368&gt;0,AG368/R368,0))/MAX(0.1,N(Parameter!$M$21)))</f>
        <v>0.00714285714285714</v>
      </c>
      <c r="AI368" s="50" t="n">
        <f aca="false">AH368*CB368</f>
        <v>1.10714285714286</v>
      </c>
      <c r="AJ368" s="51" t="n">
        <f aca="false">IF(LEFT(Cockpit!$C$5,1)="A",H368,IF(CH368=1,(CK368+CI368)/2,IF(LEFT(Cockpit!$C$5,1)="B",(CK368+AL368)/2,MAX((CK368+AL368)/2,H368))))</f>
        <v>75</v>
      </c>
      <c r="AK368" s="50" t="n">
        <f aca="false">AJ368*G368</f>
        <v>291.75</v>
      </c>
      <c r="AL368" s="50" t="n">
        <f aca="false">ROUNDUP(CK368+MAX(CL368,2*(J368/IF(CG368&gt;0,CG368,MAX(0.1,N(Cockpit!$C$6)))-CK368)),0)</f>
        <v>23</v>
      </c>
      <c r="AM368" s="51" t="n">
        <f aca="false">IF(AI368&gt;0,J368/AI368,-1)</f>
        <v>18.9677419354839</v>
      </c>
      <c r="AN368" s="51" t="n">
        <f aca="false">IF(AND(OR(CF368="L1",CF368="L23",CF368="LIFT"),AI368&gt;0),SUMIFS($AI$7:$AI$1843,$CF$7:$CF$1843,CF368,$AM$7:$AM$1843,"&gt;"&amp;AM368)+SUMIFS($AI$7:$AI$1843,$CF$7:$CF$1843,CF368,$AM$7:$AM$1843,AM368,$BW$7:$BW$1843,"&lt;="&amp;BW368),"")</f>
        <v>1747.50457875458</v>
      </c>
      <c r="AO368" s="58" t="n">
        <f aca="false">IF(AN368="",0,MAX(0,MIN(1,(IF(CF368="L1",Parameter!$H$5,IF(CF368="L23",Parameter!$H$6+Parameter!$H$7,Parameter!$H$5+Parameter!$H$6+Parameter!$H$7))-(AN368-AI368))/AI368)))</f>
        <v>1</v>
      </c>
      <c r="AP368" s="50" t="n">
        <f aca="false">IF(LEFT(Cockpit!$I$5,1)="A",H368,IF(Parameter!$E$30="MAX-Bestand",IF(CH368=1,CI368,IF(LEFT(Cockpit!$I$5,1)="B",AV368,MAX(AV368,H368))),ROUNDUP(AT368,0)))</f>
        <v>75</v>
      </c>
      <c r="AQ368" s="50" t="n">
        <f aca="false">IF(BZ368=1,0,ROUNDUP(AP368/BY368,0))</f>
        <v>2</v>
      </c>
      <c r="AR368" s="52" t="n">
        <f aca="false">IF(CQ368&gt;0,CQ368*MAX(1,AP368/X368),IF(BZ368=1,IF(AP368&lt;=0,0,CD368*MAX(1,IF(H368&gt;0,AP368/H368,1))),IF(R368&gt;0,AQ368/R368,0))/MAX(0.1,N(Parameter!$M$21)))</f>
        <v>0.00714285714285714</v>
      </c>
      <c r="AS368" s="50" t="n">
        <f aca="false">AR368*CB368</f>
        <v>1.10714285714286</v>
      </c>
      <c r="AT368" s="51" t="n">
        <f aca="false">IF(LEFT(Cockpit!$I$5,1)="A",H368,IF(CH368=1,(CK368+CI368)/2,IF(LEFT(Cockpit!$I$5,1)="B",(CK368+AV368)/2,MAX((CK368+AV368)/2,H368))))</f>
        <v>75</v>
      </c>
      <c r="AU368" s="50" t="n">
        <f aca="false">AT368*G368</f>
        <v>291.75</v>
      </c>
      <c r="AV368" s="50" t="n">
        <f aca="false">ROUNDUP(CK368+MAX(CL368,2*(J368/IF(CG368&gt;0,CG368,MAX(0.1,N(Cockpit!$I$6)))-CK368)),0)</f>
        <v>23</v>
      </c>
      <c r="AW368" s="51" t="n">
        <f aca="false">IF(AS368&gt;0,J368/AS368,-1)</f>
        <v>18.9677419354839</v>
      </c>
      <c r="AX368" s="51" t="n">
        <f aca="false">IF(AND(OR(CF368="L1",CF368="L23",CF368="LIFT"),AS368&gt;0),SUMIFS($AS$7:$AS$1843,$CF$7:$CF$1843,CF368,$AW$7:$AW$1843,"&gt;"&amp;AW368)+SUMIFS($AS$7:$AS$1843,$CF$7:$CF$1843,CF368,$AW$7:$AW$1843,AW368,$BW$7:$BW$1843,"&lt;="&amp;BW368),"")</f>
        <v>2384.62545787546</v>
      </c>
      <c r="AY368" s="58" t="n">
        <f aca="false">IF(AX368="",0,MAX(0,MIN(1,(IF(CF368="L1",Parameter!$H$5,IF(CF368="L23",Parameter!$H$6+Parameter!$H$7,Parameter!$H$5+Parameter!$H$6+Parameter!$H$7))-(AX368-AS368))/AS368)))</f>
        <v>1</v>
      </c>
      <c r="AZ368" s="50" t="n">
        <f aca="false">IF(LEFT(Cockpit!$O$5,1)="A",H368,IF(Parameter!$E$30="MAX-Bestand",IF(CH368=1,CI368,IF(LEFT(Cockpit!$O$5,1)="B",BF368,MAX(BF368,H368))),ROUNDUP(BD368,0)))</f>
        <v>13</v>
      </c>
      <c r="BA368" s="50" t="n">
        <f aca="false">IF(BZ368=1,0,ROUNDUP(AZ368/BY368,0))</f>
        <v>1</v>
      </c>
      <c r="BB368" s="52" t="n">
        <f aca="false">IF(CQ368&gt;0,CQ368*MAX(1,AZ368/X368),IF(BZ368=1,IF(AZ368&lt;=0,0,CD368*MAX(1,IF(H368&gt;0,AZ368/H368,1))),IF(R368&gt;0,BA368/R368,0))/MAX(0.1,N(Parameter!$M$21)))</f>
        <v>0.00357142857142857</v>
      </c>
      <c r="BC368" s="50" t="n">
        <f aca="false">BB368*CB368</f>
        <v>0.553571428571429</v>
      </c>
      <c r="BD368" s="51" t="n">
        <f aca="false">IF(LEFT(Cockpit!$O$5,1)="A",H368,IF(CH368=1,(CK368+CI368)/2,IF(LEFT(Cockpit!$O$5,1)="B",(CK368+BF368)/2,MAX((CK368+BF368)/2,H368))))</f>
        <v>13</v>
      </c>
      <c r="BE368" s="50" t="n">
        <f aca="false">BD368*G368</f>
        <v>50.57</v>
      </c>
      <c r="BF368" s="50" t="n">
        <f aca="false">ROUNDUP(CK368+MAX(CL368,2*(J368/IF(CG368&gt;0,CG368,MAX(0.1,N(Cockpit!$O$6)))-CK368)),0)</f>
        <v>23</v>
      </c>
      <c r="BG368" s="51" t="n">
        <f aca="false">IF(BC368&gt;0,J368/BC368,-1)</f>
        <v>37.9354838709677</v>
      </c>
      <c r="BH368" s="51" t="n">
        <f aca="false">IF(AND(OR(CF368="L1",CF368="L23",CF368="LIFT"),BC368&gt;0),SUMIFS($BC$7:$BC$1843,$CF$7:$CF$1843,CF368,$BG$7:$BG$1843,"&gt;"&amp;BG368)+SUMIFS($BC$7:$BC$1843,$CF$7:$CF$1843,CF368,$BG$7:$BG$1843,BG368,$BW$7:$BW$1843,"&lt;="&amp;BW368),"")</f>
        <v>1473.6543040293</v>
      </c>
      <c r="BI368" s="58" t="n">
        <f aca="false">IF(BH368="",0,MAX(0,MIN(1,(IF(CF368="L1",Parameter!$H$5,IF(CF368="L23",Parameter!$H$6+Parameter!$H$7,Parameter!$H$5+Parameter!$H$6+Parameter!$H$7))-(BH368-BC368))/BC368)))</f>
        <v>1</v>
      </c>
      <c r="BJ368" s="48" t="str">
        <f aca="false">IF(AI368&lt;=0,"",IF(CF368="Aussen","Aussenlager",IF(CF368="-","Nicht im Lift",IF(AO368&gt;=1,"Lift",IF(AO368&lt;=0,"Aussenlager","teilweise")))))</f>
        <v>Lift</v>
      </c>
      <c r="BK368" s="48" t="str">
        <f aca="false">IF(AS368&lt;=0,"",IF(CF368="Aussen","Aussenlager",IF(CF368="-","Nicht im Lift",IF(AY368&gt;=1,"Lift",IF(AY368&lt;=0,"Aussenlager","teilweise")))))</f>
        <v>Lift</v>
      </c>
      <c r="BL368" s="48" t="str">
        <f aca="false">IF(BC368&lt;=0,"",IF(CF368="Aussen","Aussenlager",IF(CF368="-","Nicht im Lift",IF(BI368&gt;=1,"Lift",IF(BI368&lt;=0,"Aussenlager","teilweise")))))</f>
        <v>Lift</v>
      </c>
      <c r="BM368" s="48" t="str">
        <f aca="false">IF(A368="","",IF(BV368=1,"Neu; ","")&amp;IF(AND(BV368=0,BQ368&lt;0),"negativer Bestand (Export "&amp;BQ368&amp;"); ","")&amp;IF(J368&lt;=0,"Kein Verbrauch; ","")&amp;IF(CQ368&gt;0,"Lift "&amp;W368&amp;" lt. Liftbericht (Fach "&amp;X368&amp;" Stk); ",IF(CA368=1,"Gebinde geschätzt ("&amp;T368&amp;"); ",IF(BZ368=1,"Lose – Tablare geschätzt; ","")))&amp;IF(H368&gt;AV368,"Überbestand "&amp;ROUND(H368-AV368,0)&amp;" Stk / CHF "&amp;ROUND((H368-AV368)*G368,0)&amp;"; ","")&amp;IF(AND(CH368=1,CI368&lt;CJ368),"MAX &lt; MB+LG; ","")&amp;IF(AND(CP368&gt;0,CO368*10&gt;CP368),"zu hoch für Tablar; ","")&amp;IF(AND(BV368=0,OR(CH368=1,AA368&lt;&gt;"",U368&lt;&gt;"",V368&lt;&gt;"",AB368&lt;&gt;"")),"manuell übersteuert; ","")&amp;IF(AND(BZ368=0,R368=0),"Gebinde unbekannt / Stellmass fehlt; ","")&amp;IF(AND(BZ368=0,N(V368)&lt;=0,N(Q368)&lt;=0),"Menge pro Gebinde fehlt (Ist = 1 Gebinde); ","")&amp;BU368)</f>
        <v>Überbestand 52 Stk / CHF 202; </v>
      </c>
      <c r="BN368" s="48"/>
      <c r="BO368" s="48"/>
      <c r="BP368" s="55"/>
      <c r="BQ368" s="50" t="n">
        <v>37</v>
      </c>
      <c r="BR368" s="50" t="n">
        <v>38</v>
      </c>
      <c r="BS368" s="49" t="n">
        <v>151.28</v>
      </c>
      <c r="BT368" s="50" t="n">
        <v>21</v>
      </c>
      <c r="BU368" s="48"/>
      <c r="BV368" s="53" t="n">
        <v>0</v>
      </c>
      <c r="BW368" s="53" t="n">
        <v>368</v>
      </c>
      <c r="BX368" s="48" t="str">
        <f aca="false">IF(U368&lt;&gt;"",UPPER(TRIM(U368)),IF(CA368=1,UPPER(VLOOKUP(T368,Parameter!$I$27:$K$29,2,0)),IF(P368="","LOSE",P368)))</f>
        <v>S21</v>
      </c>
      <c r="BY368" s="50" t="n">
        <f aca="false">IF(BX368="LOSE",1,IF(N(V368)&gt;0,V368,IF(CA368=1,MAX(1,N(VLOOKUP(T368,Parameter!$I$27:$K$29,3,0)),H368,N(N368)),IF(N(Q368)&gt;0,Q368,MAX(1,H368)))))</f>
        <v>69</v>
      </c>
      <c r="BZ368" s="53" t="n">
        <f aca="false">IF(BX368="LOSE",1,0)</f>
        <v>0</v>
      </c>
      <c r="CA368" s="53" t="n">
        <f aca="false">IF(AND(U368="",OR(P368="",P368="LOSE"),T368&lt;&gt;"",N(S368)&lt;=0,ISNUMBER(MATCH(T368,Parameter!$I$27:$I$29,0))),1,0)</f>
        <v>0</v>
      </c>
      <c r="CB368" s="53" t="n">
        <f aca="false">IF(CQ368&gt;0,INDEX(Parameter!$H$5:$H$7,W368)/INDEX(Parameter!$E$5:$E$7,W368),IF(AND(BZ368=0,N(IFERROR(VLOOKUP(BX368,'Gebinde-Kategorie'!$A$5:$N$45,14,0),0))&gt;0),VLOOKUP(BX368,'Gebinde-Kategorie'!$A$5:$N$45,14,0)*10+Parameter!$M$23,Parameter!$M$24))</f>
        <v>155</v>
      </c>
      <c r="CC368" s="48" t="str">
        <f aca="false">IF(AND(Parameter!$B$19="Ja",E368&lt;&gt;"",ISNUMBER(MATCH(E368,Parameter!$I$35:$I$52,0))),VLOOKUP(E368,Parameter!$I$35:$J$52,2,0),IFERROR(VLOOKUP(D368,Parameter!$A$35:$C$64,2,0),"Nein"))</f>
        <v>2+3</v>
      </c>
      <c r="CD368" s="52" t="n">
        <f aca="false">IF(BZ368=0,0,IF(N(S368)&gt;0,S368,IFERROR(VLOOKUP(D368,Parameter!$A$35:$C$64,3,0)+0,0)))</f>
        <v>0</v>
      </c>
      <c r="CE368" s="48" t="n">
        <f aca="false">IF(AA368&lt;&gt;"",AA368,Z368)</f>
        <v>3</v>
      </c>
      <c r="CF368" s="48" t="str">
        <f aca="false">IF(OR(CE368=1,CE368=2,CE368=3),IF(Parameter!$E$27="Ja","LIFT",IF(CE368=1,"L1","L23")),IF(CE368="Aussen","Aussen","-"))</f>
        <v>LIFT</v>
      </c>
      <c r="CG368" s="59" t="n">
        <f aca="false">IF(N(AB368)&gt;0,AB368,0)</f>
        <v>0</v>
      </c>
      <c r="CH368" s="53" t="n">
        <f aca="false">IF(ISNUMBER(AE368),1,0)</f>
        <v>0</v>
      </c>
      <c r="CI368" s="50" t="n">
        <f aca="false">N(AE368)</f>
        <v>0</v>
      </c>
      <c r="CJ368" s="50" t="n">
        <f aca="false">N(M368)+N(N368)</f>
        <v>23</v>
      </c>
      <c r="CK368" s="50" t="n">
        <f aca="false">N(M368)</f>
        <v>3</v>
      </c>
      <c r="CL368" s="50" t="n">
        <f aca="false">N(N368)</f>
        <v>20</v>
      </c>
      <c r="CM368" s="50" t="n">
        <f aca="false">ROUNDUP(H368/BY368,0)</f>
        <v>2</v>
      </c>
      <c r="CN368" s="50" t="n">
        <f aca="false">ROUNDUP(CI368/BY368,0)</f>
        <v>0</v>
      </c>
      <c r="CO368" s="53" t="n">
        <f aca="false">IF(BZ368=1,0,IFERROR(VLOOKUP(BX368,'Gebinde-Kategorie'!$A$5:$N$45,5,0)+0,0))</f>
        <v>8</v>
      </c>
      <c r="CP368" s="53" t="n">
        <f aca="false">IFERROR(IF(OR(CE368=1,CE368=2,CE368=3),N(INDEX(Parameter!$I$5:$I$7,CE368)),0),0)</f>
        <v>0</v>
      </c>
      <c r="CQ368" s="52" t="n">
        <f aca="false">IF(AND(Parameter!$B$21="Ja",ISNUMBER(W368),N(X368)&gt;0),IFERROR(N(INDEX(Parameter!$L$5:$L$7,W368))*INDEX(Parameter!$E$5:$E$7,W368)*X368/SUMIFS($X$7:$X$1843,$W$7:$W$1843,W368),0),0)</f>
        <v>0</v>
      </c>
    </row>
    <row r="369" customFormat="false" ht="15" hidden="false" customHeight="false" outlineLevel="0" collapsed="false">
      <c r="A369" s="48" t="s">
        <v>894</v>
      </c>
      <c r="B369" s="48" t="s">
        <v>895</v>
      </c>
      <c r="C369" s="48" t="s">
        <v>173</v>
      </c>
      <c r="D369" s="48" t="s">
        <v>193</v>
      </c>
      <c r="E369" s="48" t="s">
        <v>194</v>
      </c>
      <c r="F369" s="48" t="s">
        <v>227</v>
      </c>
      <c r="G369" s="49" t="n">
        <v>12.66</v>
      </c>
      <c r="H369" s="50" t="n">
        <f aca="false">MAX(0,IF(AND(Parameter!$B$21="Ja",ISNUMBER(Y369)),Y369,IF(Parameter!$B$20="Jahresanfang 2025 + Export",BR369+BQ369,BQ369)))</f>
        <v>14</v>
      </c>
      <c r="I369" s="50" t="n">
        <f aca="false">H369*G369</f>
        <v>177.24</v>
      </c>
      <c r="J369" s="50" t="n">
        <f aca="false">BT369*Parameter!$B$18</f>
        <v>7</v>
      </c>
      <c r="K369" s="51" t="n">
        <v>3.5</v>
      </c>
      <c r="L369" s="52" t="n">
        <v>2</v>
      </c>
      <c r="M369" s="50" t="n">
        <v>0</v>
      </c>
      <c r="N369" s="50" t="n">
        <v>5</v>
      </c>
      <c r="O369" s="53" t="n">
        <v>18</v>
      </c>
      <c r="P369" s="48" t="s">
        <v>430</v>
      </c>
      <c r="Q369" s="50" t="n">
        <v>10</v>
      </c>
      <c r="R369" s="53" t="n">
        <f aca="false">IF(BZ369=1,0,IFERROR(VLOOKUP(BX369,'Gebinde-Kategorie'!$A$5:$N$45,13,0)+0,0))</f>
        <v>104</v>
      </c>
      <c r="S369" s="54"/>
      <c r="T369" s="55"/>
      <c r="U369" s="55"/>
      <c r="V369" s="55"/>
      <c r="W369" s="48"/>
      <c r="X369" s="50"/>
      <c r="Y369" s="50"/>
      <c r="Z369" s="48" t="n">
        <f aca="false">IF(A369="","",IF(AND(Parameter!$B$21="Ja",ISNUMBER(W369)),W369,IF(CC369="2+3",IF(ISNUMBER(SEARCH("grosser Artikel",BU369)),2,IFERROR(VLOOKUP(BX369,Parameter!$F$35:$G$64,2,0),2)),IF(OR(CC369="Nein",CC369=""),"-",CC369))))</f>
        <v>3</v>
      </c>
      <c r="AA369" s="55"/>
      <c r="AB369" s="56"/>
      <c r="AC369" s="50" t="n">
        <f aca="false">AV369</f>
        <v>5</v>
      </c>
      <c r="AD369" s="50" t="n">
        <f aca="false">MAX(AV369,H369)</f>
        <v>14</v>
      </c>
      <c r="AE369" s="57"/>
      <c r="AF369" s="50" t="n">
        <f aca="false">IF(LEFT(Cockpit!$C$5,1)="A",H369,IF(Parameter!$E$30="MAX-Bestand",IF(CH369=1,CI369,IF(LEFT(Cockpit!$C$5,1)="B",AL369,MAX(AL369,H369))),ROUNDUP(AJ369,0)))</f>
        <v>14</v>
      </c>
      <c r="AG369" s="50" t="n">
        <f aca="false">IF(BZ369=1,0,ROUNDUP(AF369/BY369,0))</f>
        <v>2</v>
      </c>
      <c r="AH369" s="52" t="n">
        <f aca="false">IF(CQ369&gt;0,CQ369*MAX(1,AF369/X369),IF(BZ369=1,IF(AF369&lt;=0,0,CD369*MAX(1,IF(H369&gt;0,AF369/H369,1))),IF(R369&gt;0,AG369/R369,0))/MAX(0.1,N(Parameter!$M$21)))</f>
        <v>0.0192307692307692</v>
      </c>
      <c r="AI369" s="50" t="n">
        <f aca="false">AH369*CB369</f>
        <v>2.98076923076923</v>
      </c>
      <c r="AJ369" s="51" t="n">
        <f aca="false">IF(LEFT(Cockpit!$C$5,1)="A",H369,IF(CH369=1,(CK369+CI369)/2,IF(LEFT(Cockpit!$C$5,1)="B",(CK369+AL369)/2,MAX((CK369+AL369)/2,H369))))</f>
        <v>14</v>
      </c>
      <c r="AK369" s="50" t="n">
        <f aca="false">AJ369*G369</f>
        <v>177.24</v>
      </c>
      <c r="AL369" s="50" t="n">
        <f aca="false">ROUNDUP(CK369+MAX(CL369,2*(J369/IF(CG369&gt;0,CG369,MAX(0.1,N(Cockpit!$C$6)))-CK369)),0)</f>
        <v>5</v>
      </c>
      <c r="AM369" s="51" t="n">
        <f aca="false">IF(AI369&gt;0,J369/AI369,-1)</f>
        <v>2.34838709677419</v>
      </c>
      <c r="AN369" s="51" t="n">
        <f aca="false">IF(AND(OR(CF369="L1",CF369="L23",CF369="LIFT"),AI369&gt;0),SUMIFS($AI$7:$AI$1843,$CF$7:$CF$1843,CF369,$AM$7:$AM$1843,"&gt;"&amp;AM369)+SUMIFS($AI$7:$AI$1843,$CF$7:$CF$1843,CF369,$AM$7:$AM$1843,AM369,$BW$7:$BW$1843,"&lt;="&amp;BW369),"")</f>
        <v>5625.25686813187</v>
      </c>
      <c r="AO369" s="58" t="n">
        <f aca="false">IF(AN369="",0,MAX(0,MIN(1,(IF(CF369="L1",Parameter!$H$5,IF(CF369="L23",Parameter!$H$6+Parameter!$H$7,Parameter!$H$5+Parameter!$H$6+Parameter!$H$7))-(AN369-AI369))/AI369)))</f>
        <v>1</v>
      </c>
      <c r="AP369" s="50" t="n">
        <f aca="false">IF(LEFT(Cockpit!$I$5,1)="A",H369,IF(Parameter!$E$30="MAX-Bestand",IF(CH369=1,CI369,IF(LEFT(Cockpit!$I$5,1)="B",AV369,MAX(AV369,H369))),ROUNDUP(AT369,0)))</f>
        <v>14</v>
      </c>
      <c r="AQ369" s="50" t="n">
        <f aca="false">IF(BZ369=1,0,ROUNDUP(AP369/BY369,0))</f>
        <v>2</v>
      </c>
      <c r="AR369" s="52" t="n">
        <f aca="false">IF(CQ369&gt;0,CQ369*MAX(1,AP369/X369),IF(BZ369=1,IF(AP369&lt;=0,0,CD369*MAX(1,IF(H369&gt;0,AP369/H369,1))),IF(R369&gt;0,AQ369/R369,0))/MAX(0.1,N(Parameter!$M$21)))</f>
        <v>0.0192307692307692</v>
      </c>
      <c r="AS369" s="50" t="n">
        <f aca="false">AR369*CB369</f>
        <v>2.98076923076923</v>
      </c>
      <c r="AT369" s="51" t="n">
        <f aca="false">IF(LEFT(Cockpit!$I$5,1)="A",H369,IF(CH369=1,(CK369+CI369)/2,IF(LEFT(Cockpit!$I$5,1)="B",(CK369+AV369)/2,MAX((CK369+AV369)/2,H369))))</f>
        <v>14</v>
      </c>
      <c r="AU369" s="50" t="n">
        <f aca="false">AT369*G369</f>
        <v>177.24</v>
      </c>
      <c r="AV369" s="50" t="n">
        <f aca="false">ROUNDUP(CK369+MAX(CL369,2*(J369/IF(CG369&gt;0,CG369,MAX(0.1,N(Cockpit!$I$6)))-CK369)),0)</f>
        <v>5</v>
      </c>
      <c r="AW369" s="51" t="n">
        <f aca="false">IF(AS369&gt;0,J369/AS369,-1)</f>
        <v>2.34838709677419</v>
      </c>
      <c r="AX369" s="51" t="n">
        <f aca="false">IF(AND(OR(CF369="L1",CF369="L23",CF369="LIFT"),AS369&gt;0),SUMIFS($AS$7:$AS$1843,$CF$7:$CF$1843,CF369,$AW$7:$AW$1843,"&gt;"&amp;AW369)+SUMIFS($AS$7:$AS$1843,$CF$7:$CF$1843,CF369,$AW$7:$AW$1843,AW369,$BW$7:$BW$1843,"&lt;="&amp;BW369),"")</f>
        <v>6447.65155677656</v>
      </c>
      <c r="AY369" s="58" t="n">
        <f aca="false">IF(AX369="",0,MAX(0,MIN(1,(IF(CF369="L1",Parameter!$H$5,IF(CF369="L23",Parameter!$H$6+Parameter!$H$7,Parameter!$H$5+Parameter!$H$6+Parameter!$H$7))-(AX369-AS369))/AS369)))</f>
        <v>1</v>
      </c>
      <c r="AZ369" s="50" t="n">
        <f aca="false">IF(LEFT(Cockpit!$O$5,1)="A",H369,IF(Parameter!$E$30="MAX-Bestand",IF(CH369=1,CI369,IF(LEFT(Cockpit!$O$5,1)="B",BF369,MAX(BF369,H369))),ROUNDUP(BD369,0)))</f>
        <v>3</v>
      </c>
      <c r="BA369" s="50" t="n">
        <f aca="false">IF(BZ369=1,0,ROUNDUP(AZ369/BY369,0))</f>
        <v>1</v>
      </c>
      <c r="BB369" s="52" t="n">
        <f aca="false">IF(CQ369&gt;0,CQ369*MAX(1,AZ369/X369),IF(BZ369=1,IF(AZ369&lt;=0,0,CD369*MAX(1,IF(H369&gt;0,AZ369/H369,1))),IF(R369&gt;0,BA369/R369,0))/MAX(0.1,N(Parameter!$M$21)))</f>
        <v>0.00961538461538462</v>
      </c>
      <c r="BC369" s="50" t="n">
        <f aca="false">BB369*CB369</f>
        <v>1.49038461538462</v>
      </c>
      <c r="BD369" s="51" t="n">
        <f aca="false">IF(LEFT(Cockpit!$O$5,1)="A",H369,IF(CH369=1,(CK369+CI369)/2,IF(LEFT(Cockpit!$O$5,1)="B",(CK369+BF369)/2,MAX((CK369+BF369)/2,H369))))</f>
        <v>2.5</v>
      </c>
      <c r="BE369" s="50" t="n">
        <f aca="false">BD369*G369</f>
        <v>31.65</v>
      </c>
      <c r="BF369" s="50" t="n">
        <f aca="false">ROUNDUP(CK369+MAX(CL369,2*(J369/IF(CG369&gt;0,CG369,MAX(0.1,N(Cockpit!$O$6)))-CK369)),0)</f>
        <v>5</v>
      </c>
      <c r="BG369" s="51" t="n">
        <f aca="false">IF(BC369&gt;0,J369/BC369,-1)</f>
        <v>4.69677419354839</v>
      </c>
      <c r="BH369" s="51" t="n">
        <f aca="false">IF(AND(OR(CF369="L1",CF369="L23",CF369="LIFT"),BC369&gt;0),SUMIFS($BC$7:$BC$1843,$CF$7:$CF$1843,CF369,$BG$7:$BG$1843,"&gt;"&amp;BG369)+SUMIFS($BC$7:$BC$1843,$CF$7:$CF$1843,CF369,$BG$7:$BG$1843,BG369,$BW$7:$BW$1843,"&lt;="&amp;BW369),"")</f>
        <v>3873.95741758242</v>
      </c>
      <c r="BI369" s="58" t="n">
        <f aca="false">IF(BH369="",0,MAX(0,MIN(1,(IF(CF369="L1",Parameter!$H$5,IF(CF369="L23",Parameter!$H$6+Parameter!$H$7,Parameter!$H$5+Parameter!$H$6+Parameter!$H$7))-(BH369-BC369))/BC369)))</f>
        <v>1</v>
      </c>
      <c r="BJ369" s="48" t="str">
        <f aca="false">IF(AI369&lt;=0,"",IF(CF369="Aussen","Aussenlager",IF(CF369="-","Nicht im Lift",IF(AO369&gt;=1,"Lift",IF(AO369&lt;=0,"Aussenlager","teilweise")))))</f>
        <v>Lift</v>
      </c>
      <c r="BK369" s="48" t="str">
        <f aca="false">IF(AS369&lt;=0,"",IF(CF369="Aussen","Aussenlager",IF(CF369="-","Nicht im Lift",IF(AY369&gt;=1,"Lift",IF(AY369&lt;=0,"Aussenlager","teilweise")))))</f>
        <v>Lift</v>
      </c>
      <c r="BL369" s="48" t="str">
        <f aca="false">IF(BC369&lt;=0,"",IF(CF369="Aussen","Aussenlager",IF(CF369="-","Nicht im Lift",IF(BI369&gt;=1,"Lift",IF(BI369&lt;=0,"Aussenlager","teilweise")))))</f>
        <v>Lift</v>
      </c>
      <c r="BM369" s="48" t="str">
        <f aca="false">IF(A369="","",IF(BV369=1,"Neu; ","")&amp;IF(AND(BV369=0,BQ369&lt;0),"negativer Bestand (Export "&amp;BQ369&amp;"); ","")&amp;IF(J369&lt;=0,"Kein Verbrauch; ","")&amp;IF(CQ369&gt;0,"Lift "&amp;W369&amp;" lt. Liftbericht (Fach "&amp;X369&amp;" Stk); ",IF(CA369=1,"Gebinde geschätzt ("&amp;T369&amp;"); ",IF(BZ369=1,"Lose – Tablare geschätzt; ","")))&amp;IF(H369&gt;AV369,"Überbestand "&amp;ROUND(H369-AV369,0)&amp;" Stk / CHF "&amp;ROUND((H369-AV369)*G369,0)&amp;"; ","")&amp;IF(AND(CH369=1,CI369&lt;CJ369),"MAX &lt; MB+LG; ","")&amp;IF(AND(CP369&gt;0,CO369*10&gt;CP369),"zu hoch für Tablar; ","")&amp;IF(AND(BV369=0,OR(CH369=1,AA369&lt;&gt;"",U369&lt;&gt;"",V369&lt;&gt;"",AB369&lt;&gt;"")),"manuell übersteuert; ","")&amp;IF(AND(BZ369=0,R369=0),"Gebinde unbekannt / Stellmass fehlt; ","")&amp;IF(AND(BZ369=0,N(V369)&lt;=0,N(Q369)&lt;=0),"Menge pro Gebinde fehlt (Ist = 1 Gebinde); ","")&amp;BU369)</f>
        <v>Überbestand 9 Stk / CHF 114; </v>
      </c>
      <c r="BN369" s="48"/>
      <c r="BO369" s="48"/>
      <c r="BP369" s="55"/>
      <c r="BQ369" s="50" t="n">
        <v>12</v>
      </c>
      <c r="BR369" s="50" t="n">
        <v>2</v>
      </c>
      <c r="BS369" s="49" t="n">
        <v>151.28</v>
      </c>
      <c r="BT369" s="50" t="n">
        <v>7</v>
      </c>
      <c r="BU369" s="48"/>
      <c r="BV369" s="53" t="n">
        <v>0</v>
      </c>
      <c r="BW369" s="53" t="n">
        <v>369</v>
      </c>
      <c r="BX369" s="48" t="str">
        <f aca="false">IF(U369&lt;&gt;"",UPPER(TRIM(U369)),IF(CA369=1,UPPER(VLOOKUP(T369,Parameter!$I$27:$K$29,2,0)),IF(P369="","LOSE",P369)))</f>
        <v>S32</v>
      </c>
      <c r="BY369" s="50" t="n">
        <f aca="false">IF(BX369="LOSE",1,IF(N(V369)&gt;0,V369,IF(CA369=1,MAX(1,N(VLOOKUP(T369,Parameter!$I$27:$K$29,3,0)),H369,N(N369)),IF(N(Q369)&gt;0,Q369,MAX(1,H369)))))</f>
        <v>10</v>
      </c>
      <c r="BZ369" s="53" t="n">
        <f aca="false">IF(BX369="LOSE",1,0)</f>
        <v>0</v>
      </c>
      <c r="CA369" s="53" t="n">
        <f aca="false">IF(AND(U369="",OR(P369="",P369="LOSE"),T369&lt;&gt;"",N(S369)&lt;=0,ISNUMBER(MATCH(T369,Parameter!$I$27:$I$29,0))),1,0)</f>
        <v>0</v>
      </c>
      <c r="CB369" s="53" t="n">
        <f aca="false">IF(CQ369&gt;0,INDEX(Parameter!$H$5:$H$7,W369)/INDEX(Parameter!$E$5:$E$7,W369),IF(AND(BZ369=0,N(IFERROR(VLOOKUP(BX369,'Gebinde-Kategorie'!$A$5:$N$45,14,0),0))&gt;0),VLOOKUP(BX369,'Gebinde-Kategorie'!$A$5:$N$45,14,0)*10+Parameter!$M$23,Parameter!$M$24))</f>
        <v>155</v>
      </c>
      <c r="CC369" s="48" t="str">
        <f aca="false">IF(AND(Parameter!$B$19="Ja",E369&lt;&gt;"",ISNUMBER(MATCH(E369,Parameter!$I$35:$I$52,0))),VLOOKUP(E369,Parameter!$I$35:$J$52,2,0),IFERROR(VLOOKUP(D369,Parameter!$A$35:$C$64,2,0),"Nein"))</f>
        <v>2+3</v>
      </c>
      <c r="CD369" s="52" t="n">
        <f aca="false">IF(BZ369=0,0,IF(N(S369)&gt;0,S369,IFERROR(VLOOKUP(D369,Parameter!$A$35:$C$64,3,0)+0,0)))</f>
        <v>0</v>
      </c>
      <c r="CE369" s="48" t="n">
        <f aca="false">IF(AA369&lt;&gt;"",AA369,Z369)</f>
        <v>3</v>
      </c>
      <c r="CF369" s="48" t="str">
        <f aca="false">IF(OR(CE369=1,CE369=2,CE369=3),IF(Parameter!$E$27="Ja","LIFT",IF(CE369=1,"L1","L23")),IF(CE369="Aussen","Aussen","-"))</f>
        <v>LIFT</v>
      </c>
      <c r="CG369" s="59" t="n">
        <f aca="false">IF(N(AB369)&gt;0,AB369,0)</f>
        <v>0</v>
      </c>
      <c r="CH369" s="53" t="n">
        <f aca="false">IF(ISNUMBER(AE369),1,0)</f>
        <v>0</v>
      </c>
      <c r="CI369" s="50" t="n">
        <f aca="false">N(AE369)</f>
        <v>0</v>
      </c>
      <c r="CJ369" s="50" t="n">
        <f aca="false">N(M369)+N(N369)</f>
        <v>5</v>
      </c>
      <c r="CK369" s="50" t="n">
        <f aca="false">N(M369)</f>
        <v>0</v>
      </c>
      <c r="CL369" s="50" t="n">
        <f aca="false">N(N369)</f>
        <v>5</v>
      </c>
      <c r="CM369" s="50" t="n">
        <f aca="false">ROUNDUP(H369/BY369,0)</f>
        <v>2</v>
      </c>
      <c r="CN369" s="50" t="n">
        <f aca="false">ROUNDUP(CI369/BY369,0)</f>
        <v>0</v>
      </c>
      <c r="CO369" s="53" t="n">
        <f aca="false">IF(BZ369=1,0,IFERROR(VLOOKUP(BX369,'Gebinde-Kategorie'!$A$5:$N$45,5,0)+0,0))</f>
        <v>8</v>
      </c>
      <c r="CP369" s="53" t="n">
        <f aca="false">IFERROR(IF(OR(CE369=1,CE369=2,CE369=3),N(INDEX(Parameter!$I$5:$I$7,CE369)),0),0)</f>
        <v>0</v>
      </c>
      <c r="CQ369" s="52" t="n">
        <f aca="false">IF(AND(Parameter!$B$21="Ja",ISNUMBER(W369),N(X369)&gt;0),IFERROR(N(INDEX(Parameter!$L$5:$L$7,W369))*INDEX(Parameter!$E$5:$E$7,W369)*X369/SUMIFS($X$7:$X$1843,$W$7:$W$1843,W369),0),0)</f>
        <v>0</v>
      </c>
    </row>
    <row r="370" customFormat="false" ht="15" hidden="false" customHeight="false" outlineLevel="0" collapsed="false">
      <c r="A370" s="48" t="s">
        <v>896</v>
      </c>
      <c r="B370" s="48" t="s">
        <v>897</v>
      </c>
      <c r="C370" s="48" t="s">
        <v>173</v>
      </c>
      <c r="D370" s="48" t="s">
        <v>193</v>
      </c>
      <c r="E370" s="48"/>
      <c r="F370" s="48" t="s">
        <v>227</v>
      </c>
      <c r="G370" s="49" t="n">
        <v>7.44</v>
      </c>
      <c r="H370" s="50" t="n">
        <f aca="false">MAX(0,IF(AND(Parameter!$B$21="Ja",ISNUMBER(Y370)),Y370,IF(Parameter!$B$20="Jahresanfang 2025 + Export",BR370+BQ370,BQ370)))</f>
        <v>32</v>
      </c>
      <c r="I370" s="50" t="n">
        <f aca="false">H370*G370</f>
        <v>238.08</v>
      </c>
      <c r="J370" s="50" t="n">
        <f aca="false">BT370*Parameter!$B$18</f>
        <v>0</v>
      </c>
      <c r="K370" s="51" t="n">
        <v>12</v>
      </c>
      <c r="L370" s="52" t="n">
        <v>0</v>
      </c>
      <c r="M370" s="50" t="n">
        <v>0</v>
      </c>
      <c r="N370" s="50" t="n">
        <v>1</v>
      </c>
      <c r="O370" s="53" t="n">
        <v>28</v>
      </c>
      <c r="P370" s="48" t="s">
        <v>177</v>
      </c>
      <c r="Q370" s="50"/>
      <c r="R370" s="53" t="n">
        <f aca="false">IF(BZ370=1,0,IFERROR(VLOOKUP(BX370,'Gebinde-Kategorie'!$A$5:$N$45,13,0)+0,0))</f>
        <v>26</v>
      </c>
      <c r="S370" s="54"/>
      <c r="T370" s="55" t="s">
        <v>284</v>
      </c>
      <c r="U370" s="55"/>
      <c r="V370" s="55"/>
      <c r="W370" s="48"/>
      <c r="X370" s="50"/>
      <c r="Y370" s="50"/>
      <c r="Z370" s="48" t="n">
        <f aca="false">IF(A370="","",IF(AND(Parameter!$B$21="Ja",ISNUMBER(W370)),W370,IF(CC370="2+3",IF(ISNUMBER(SEARCH("grosser Artikel",BU370)),2,IFERROR(VLOOKUP(BX370,Parameter!$F$35:$G$64,2,0),2)),IF(OR(CC370="Nein",CC370=""),"-",CC370))))</f>
        <v>3</v>
      </c>
      <c r="AA370" s="55"/>
      <c r="AB370" s="56"/>
      <c r="AC370" s="50" t="n">
        <f aca="false">AV370</f>
        <v>1</v>
      </c>
      <c r="AD370" s="50" t="n">
        <f aca="false">MAX(AV370,H370)</f>
        <v>32</v>
      </c>
      <c r="AE370" s="57"/>
      <c r="AF370" s="50" t="n">
        <f aca="false">IF(LEFT(Cockpit!$C$5,1)="A",H370,IF(Parameter!$E$30="MAX-Bestand",IF(CH370=1,CI370,IF(LEFT(Cockpit!$C$5,1)="B",AL370,MAX(AL370,H370))),ROUNDUP(AJ370,0)))</f>
        <v>32</v>
      </c>
      <c r="AG370" s="50" t="n">
        <f aca="false">IF(BZ370=1,0,ROUNDUP(AF370/BY370,0))</f>
        <v>1</v>
      </c>
      <c r="AH370" s="52" t="n">
        <f aca="false">IF(CQ370&gt;0,CQ370*MAX(1,AF370/X370),IF(BZ370=1,IF(AF370&lt;=0,0,CD370*MAX(1,IF(H370&gt;0,AF370/H370,1))),IF(R370&gt;0,AG370/R370,0))/MAX(0.1,N(Parameter!$M$21)))</f>
        <v>0.0384615384615385</v>
      </c>
      <c r="AI370" s="50" t="n">
        <f aca="false">AH370*CB370</f>
        <v>5.96153846153846</v>
      </c>
      <c r="AJ370" s="51" t="n">
        <f aca="false">IF(LEFT(Cockpit!$C$5,1)="A",H370,IF(CH370=1,(CK370+CI370)/2,IF(LEFT(Cockpit!$C$5,1)="B",(CK370+AL370)/2,MAX((CK370+AL370)/2,H370))))</f>
        <v>32</v>
      </c>
      <c r="AK370" s="50" t="n">
        <f aca="false">AJ370*G370</f>
        <v>238.08</v>
      </c>
      <c r="AL370" s="50" t="n">
        <f aca="false">ROUNDUP(CK370+MAX(CL370,2*(J370/IF(CG370&gt;0,CG370,MAX(0.1,N(Cockpit!$C$6)))-CK370)),0)</f>
        <v>1</v>
      </c>
      <c r="AM370" s="51" t="n">
        <f aca="false">IF(AI370&gt;0,J370/AI370,-1)</f>
        <v>0</v>
      </c>
      <c r="AN370" s="51" t="n">
        <f aca="false">IF(AND(OR(CF370="L1",CF370="L23",CF370="LIFT"),AI370&gt;0),SUMIFS($AI$7:$AI$1843,$CF$7:$CF$1843,CF370,$AM$7:$AM$1843,"&gt;"&amp;AM370)+SUMIFS($AI$7:$AI$1843,$CF$7:$CF$1843,CF370,$AM$7:$AM$1843,AM370,$BW$7:$BW$1843,"&lt;="&amp;BW370),"")</f>
        <v>28038.0583183295</v>
      </c>
      <c r="AO370" s="58" t="n">
        <f aca="false">IF(AN370="",0,MAX(0,MIN(1,(IF(CF370="L1",Parameter!$H$5,IF(CF370="L23",Parameter!$H$6+Parameter!$H$7,Parameter!$H$5+Parameter!$H$6+Parameter!$H$7))-(AN370-AI370))/AI370)))</f>
        <v>1</v>
      </c>
      <c r="AP370" s="50" t="n">
        <f aca="false">IF(LEFT(Cockpit!$I$5,1)="A",H370,IF(Parameter!$E$30="MAX-Bestand",IF(CH370=1,CI370,IF(LEFT(Cockpit!$I$5,1)="B",AV370,MAX(AV370,H370))),ROUNDUP(AT370,0)))</f>
        <v>32</v>
      </c>
      <c r="AQ370" s="50" t="n">
        <f aca="false">IF(BZ370=1,0,ROUNDUP(AP370/BY370,0))</f>
        <v>1</v>
      </c>
      <c r="AR370" s="52" t="n">
        <f aca="false">IF(CQ370&gt;0,CQ370*MAX(1,AP370/X370),IF(BZ370=1,IF(AP370&lt;=0,0,CD370*MAX(1,IF(H370&gt;0,AP370/H370,1))),IF(R370&gt;0,AQ370/R370,0))/MAX(0.1,N(Parameter!$M$21)))</f>
        <v>0.0384615384615385</v>
      </c>
      <c r="AS370" s="50" t="n">
        <f aca="false">AR370*CB370</f>
        <v>5.96153846153846</v>
      </c>
      <c r="AT370" s="51" t="n">
        <f aca="false">IF(LEFT(Cockpit!$I$5,1)="A",H370,IF(CH370=1,(CK370+CI370)/2,IF(LEFT(Cockpit!$I$5,1)="B",(CK370+AV370)/2,MAX((CK370+AV370)/2,H370))))</f>
        <v>32</v>
      </c>
      <c r="AU370" s="50" t="n">
        <f aca="false">AT370*G370</f>
        <v>238.08</v>
      </c>
      <c r="AV370" s="50" t="n">
        <f aca="false">ROUNDUP(CK370+MAX(CL370,2*(J370/IF(CG370&gt;0,CG370,MAX(0.1,N(Cockpit!$I$6)))-CK370)),0)</f>
        <v>1</v>
      </c>
      <c r="AW370" s="51" t="n">
        <f aca="false">IF(AS370&gt;0,J370/AS370,-1)</f>
        <v>0</v>
      </c>
      <c r="AX370" s="51" t="n">
        <f aca="false">IF(AND(OR(CF370="L1",CF370="L23",CF370="LIFT"),AS370&gt;0),SUMIFS($AS$7:$AS$1843,$CF$7:$CF$1843,CF370,$AW$7:$AW$1843,"&gt;"&amp;AW370)+SUMIFS($AS$7:$AS$1843,$CF$7:$CF$1843,CF370,$AW$7:$AW$1843,AW370,$BW$7:$BW$1843,"&lt;="&amp;BW370),"")</f>
        <v>33391.206959707</v>
      </c>
      <c r="AY370" s="58" t="n">
        <f aca="false">IF(AX370="",0,MAX(0,MIN(1,(IF(CF370="L1",Parameter!$H$5,IF(CF370="L23",Parameter!$H$6+Parameter!$H$7,Parameter!$H$5+Parameter!$H$6+Parameter!$H$7))-(AX370-AS370))/AS370)))</f>
        <v>1</v>
      </c>
      <c r="AZ370" s="50" t="n">
        <f aca="false">IF(LEFT(Cockpit!$O$5,1)="A",H370,IF(Parameter!$E$30="MAX-Bestand",IF(CH370=1,CI370,IF(LEFT(Cockpit!$O$5,1)="B",BF370,MAX(BF370,H370))),ROUNDUP(BD370,0)))</f>
        <v>1</v>
      </c>
      <c r="BA370" s="50" t="n">
        <f aca="false">IF(BZ370=1,0,ROUNDUP(AZ370/BY370,0))</f>
        <v>1</v>
      </c>
      <c r="BB370" s="52" t="n">
        <f aca="false">IF(CQ370&gt;0,CQ370*MAX(1,AZ370/X370),IF(BZ370=1,IF(AZ370&lt;=0,0,CD370*MAX(1,IF(H370&gt;0,AZ370/H370,1))),IF(R370&gt;0,BA370/R370,0))/MAX(0.1,N(Parameter!$M$21)))</f>
        <v>0.0384615384615385</v>
      </c>
      <c r="BC370" s="50" t="n">
        <f aca="false">BB370*CB370</f>
        <v>5.96153846153846</v>
      </c>
      <c r="BD370" s="51" t="n">
        <f aca="false">IF(LEFT(Cockpit!$O$5,1)="A",H370,IF(CH370=1,(CK370+CI370)/2,IF(LEFT(Cockpit!$O$5,1)="B",(CK370+BF370)/2,MAX((CK370+BF370)/2,H370))))</f>
        <v>0.5</v>
      </c>
      <c r="BE370" s="50" t="n">
        <f aca="false">BD370*G370</f>
        <v>3.72</v>
      </c>
      <c r="BF370" s="50" t="n">
        <f aca="false">ROUNDUP(CK370+MAX(CL370,2*(J370/IF(CG370&gt;0,CG370,MAX(0.1,N(Cockpit!$O$6)))-CK370)),0)</f>
        <v>1</v>
      </c>
      <c r="BG370" s="51" t="n">
        <f aca="false">IF(BC370&gt;0,J370/BC370,-1)</f>
        <v>0</v>
      </c>
      <c r="BH370" s="51" t="n">
        <f aca="false">IF(AND(OR(CF370="L1",CF370="L23",CF370="LIFT"),BC370&gt;0),SUMIFS($BC$7:$BC$1843,$CF$7:$CF$1843,CF370,$BG$7:$BG$1843,"&gt;"&amp;BG370)+SUMIFS($BC$7:$BC$1843,$CF$7:$CF$1843,CF370,$BG$7:$BG$1843,BG370,$BW$7:$BW$1843,"&lt;="&amp;BW370),"")</f>
        <v>27504.74393121</v>
      </c>
      <c r="BI370" s="58" t="n">
        <f aca="false">IF(BH370="",0,MAX(0,MIN(1,(IF(CF370="L1",Parameter!$H$5,IF(CF370="L23",Parameter!$H$6+Parameter!$H$7,Parameter!$H$5+Parameter!$H$6+Parameter!$H$7))-(BH370-BC370))/BC370)))</f>
        <v>1</v>
      </c>
      <c r="BJ370" s="48" t="str">
        <f aca="false">IF(AI370&lt;=0,"",IF(CF370="Aussen","Aussenlager",IF(CF370="-","Nicht im Lift",IF(AO370&gt;=1,"Lift",IF(AO370&lt;=0,"Aussenlager","teilweise")))))</f>
        <v>Lift</v>
      </c>
      <c r="BK370" s="48" t="str">
        <f aca="false">IF(AS370&lt;=0,"",IF(CF370="Aussen","Aussenlager",IF(CF370="-","Nicht im Lift",IF(AY370&gt;=1,"Lift",IF(AY370&lt;=0,"Aussenlager","teilweise")))))</f>
        <v>Lift</v>
      </c>
      <c r="BL370" s="48" t="str">
        <f aca="false">IF(BC370&lt;=0,"",IF(CF370="Aussen","Aussenlager",IF(CF370="-","Nicht im Lift",IF(BI370&gt;=1,"Lift",IF(BI370&lt;=0,"Aussenlager","teilweise")))))</f>
        <v>Lift</v>
      </c>
      <c r="BM370" s="48" t="str">
        <f aca="false">IF(A370="","",IF(BV370=1,"Neu; ","")&amp;IF(AND(BV370=0,BQ370&lt;0),"negativer Bestand (Export "&amp;BQ370&amp;"); ","")&amp;IF(J370&lt;=0,"Kein Verbrauch; ","")&amp;IF(CQ370&gt;0,"Lift "&amp;W370&amp;" lt. Liftbericht (Fach "&amp;X370&amp;" Stk); ",IF(CA370=1,"Gebinde geschätzt ("&amp;T370&amp;"); ",IF(BZ370=1,"Lose – Tablare geschätzt; ","")))&amp;IF(H370&gt;AV370,"Überbestand "&amp;ROUND(H370-AV370,0)&amp;" Stk / CHF "&amp;ROUND((H370-AV370)*G370,0)&amp;"; ","")&amp;IF(AND(CH370=1,CI370&lt;CJ370),"MAX &lt; MB+LG; ","")&amp;IF(AND(CP370&gt;0,CO370*10&gt;CP370),"zu hoch für Tablar; ","")&amp;IF(AND(BV370=0,OR(CH370=1,AA370&lt;&gt;"",U370&lt;&gt;"",V370&lt;&gt;"",AB370&lt;&gt;"")),"manuell übersteuert; ","")&amp;IF(AND(BZ370=0,R370=0),"Gebinde unbekannt / Stellmass fehlt; ","")&amp;IF(AND(BZ370=0,N(V370)&lt;=0,N(Q370)&lt;=0),"Menge pro Gebinde fehlt (Ist = 1 Gebinde); ","")&amp;BU370)</f>
        <v>Kein Verbrauch; Gebinde geschätzt (Klein); Überbestand 31 Stk / CHF 231; Menge pro Gebinde fehlt (Ist = 1 Gebinde); </v>
      </c>
      <c r="BN370" s="48"/>
      <c r="BO370" s="48"/>
      <c r="BP370" s="55"/>
      <c r="BQ370" s="50" t="n">
        <v>20</v>
      </c>
      <c r="BR370" s="50" t="n">
        <v>12</v>
      </c>
      <c r="BS370" s="49" t="n">
        <v>148.8</v>
      </c>
      <c r="BT370" s="50" t="n">
        <v>0</v>
      </c>
      <c r="BU370" s="48"/>
      <c r="BV370" s="53" t="n">
        <v>0</v>
      </c>
      <c r="BW370" s="53" t="n">
        <v>370</v>
      </c>
      <c r="BX370" s="48" t="str">
        <f aca="false">IF(U370&lt;&gt;"",UPPER(TRIM(U370)),IF(CA370=1,UPPER(VLOOKUP(T370,Parameter!$I$27:$K$29,2,0)),IF(P370="","LOSE",P370)))</f>
        <v>S51</v>
      </c>
      <c r="BY370" s="50" t="n">
        <f aca="false">IF(BX370="LOSE",1,IF(N(V370)&gt;0,V370,IF(CA370=1,MAX(1,N(VLOOKUP(T370,Parameter!$I$27:$K$29,3,0)),H370,N(N370)),IF(N(Q370)&gt;0,Q370,MAX(1,H370)))))</f>
        <v>32</v>
      </c>
      <c r="BZ370" s="53" t="n">
        <f aca="false">IF(BX370="LOSE",1,0)</f>
        <v>0</v>
      </c>
      <c r="CA370" s="53" t="n">
        <f aca="false">IF(AND(U370="",OR(P370="",P370="LOSE"),T370&lt;&gt;"",N(S370)&lt;=0,ISNUMBER(MATCH(T370,Parameter!$I$27:$I$29,0))),1,0)</f>
        <v>1</v>
      </c>
      <c r="CB370" s="53" t="n">
        <f aca="false">IF(CQ370&gt;0,INDEX(Parameter!$H$5:$H$7,W370)/INDEX(Parameter!$E$5:$E$7,W370),IF(AND(BZ370=0,N(IFERROR(VLOOKUP(BX370,'Gebinde-Kategorie'!$A$5:$N$45,14,0),0))&gt;0),VLOOKUP(BX370,'Gebinde-Kategorie'!$A$5:$N$45,14,0)*10+Parameter!$M$23,Parameter!$M$24))</f>
        <v>155</v>
      </c>
      <c r="CC370" s="48" t="str">
        <f aca="false">IF(AND(Parameter!$B$19="Ja",E370&lt;&gt;"",ISNUMBER(MATCH(E370,Parameter!$I$35:$I$52,0))),VLOOKUP(E370,Parameter!$I$35:$J$52,2,0),IFERROR(VLOOKUP(D370,Parameter!$A$35:$C$64,2,0),"Nein"))</f>
        <v>2+3</v>
      </c>
      <c r="CD370" s="52" t="n">
        <f aca="false">IF(BZ370=0,0,IF(N(S370)&gt;0,S370,IFERROR(VLOOKUP(D370,Parameter!$A$35:$C$64,3,0)+0,0)))</f>
        <v>0</v>
      </c>
      <c r="CE370" s="48" t="n">
        <f aca="false">IF(AA370&lt;&gt;"",AA370,Z370)</f>
        <v>3</v>
      </c>
      <c r="CF370" s="48" t="str">
        <f aca="false">IF(OR(CE370=1,CE370=2,CE370=3),IF(Parameter!$E$27="Ja","LIFT",IF(CE370=1,"L1","L23")),IF(CE370="Aussen","Aussen","-"))</f>
        <v>LIFT</v>
      </c>
      <c r="CG370" s="59" t="n">
        <f aca="false">IF(N(AB370)&gt;0,AB370,0)</f>
        <v>0</v>
      </c>
      <c r="CH370" s="53" t="n">
        <f aca="false">IF(ISNUMBER(AE370),1,0)</f>
        <v>0</v>
      </c>
      <c r="CI370" s="50" t="n">
        <f aca="false">N(AE370)</f>
        <v>0</v>
      </c>
      <c r="CJ370" s="50" t="n">
        <f aca="false">N(M370)+N(N370)</f>
        <v>1</v>
      </c>
      <c r="CK370" s="50" t="n">
        <f aca="false">N(M370)</f>
        <v>0</v>
      </c>
      <c r="CL370" s="50" t="n">
        <f aca="false">N(N370)</f>
        <v>1</v>
      </c>
      <c r="CM370" s="50" t="n">
        <f aca="false">ROUNDUP(H370/BY370,0)</f>
        <v>1</v>
      </c>
      <c r="CN370" s="50" t="n">
        <f aca="false">ROUNDUP(CI370/BY370,0)</f>
        <v>0</v>
      </c>
      <c r="CO370" s="53" t="n">
        <f aca="false">IF(BZ370=1,0,IFERROR(VLOOKUP(BX370,'Gebinde-Kategorie'!$A$5:$N$45,5,0)+0,0))</f>
        <v>11</v>
      </c>
      <c r="CP370" s="53" t="n">
        <f aca="false">IFERROR(IF(OR(CE370=1,CE370=2,CE370=3),N(INDEX(Parameter!$I$5:$I$7,CE370)),0),0)</f>
        <v>0</v>
      </c>
      <c r="CQ370" s="52" t="n">
        <f aca="false">IF(AND(Parameter!$B$21="Ja",ISNUMBER(W370),N(X370)&gt;0),IFERROR(N(INDEX(Parameter!$L$5:$L$7,W370))*INDEX(Parameter!$E$5:$E$7,W370)*X370/SUMIFS($X$7:$X$1843,$W$7:$W$1843,W370),0),0)</f>
        <v>0</v>
      </c>
    </row>
    <row r="371" customFormat="false" ht="15" hidden="false" customHeight="false" outlineLevel="0" collapsed="false">
      <c r="A371" s="48" t="s">
        <v>898</v>
      </c>
      <c r="B371" s="48" t="s">
        <v>591</v>
      </c>
      <c r="C371" s="48" t="s">
        <v>173</v>
      </c>
      <c r="D371" s="48" t="s">
        <v>193</v>
      </c>
      <c r="E371" s="48" t="s">
        <v>194</v>
      </c>
      <c r="F371" s="48" t="s">
        <v>227</v>
      </c>
      <c r="G371" s="49" t="n">
        <v>28.04</v>
      </c>
      <c r="H371" s="50" t="n">
        <f aca="false">MAX(0,IF(AND(Parameter!$B$21="Ja",ISNUMBER(Y371)),Y371,IF(Parameter!$B$20="Jahresanfang 2025 + Export",BR371+BQ371,BQ371)))</f>
        <v>159</v>
      </c>
      <c r="I371" s="50" t="n">
        <f aca="false">H371*G371</f>
        <v>4458.36</v>
      </c>
      <c r="J371" s="50" t="n">
        <f aca="false">BT371*Parameter!$B$18</f>
        <v>218</v>
      </c>
      <c r="K371" s="51" t="n">
        <v>130.5</v>
      </c>
      <c r="L371" s="52" t="n">
        <v>1.67049808429119</v>
      </c>
      <c r="M371" s="50" t="n">
        <v>55</v>
      </c>
      <c r="N371" s="50" t="n">
        <v>130</v>
      </c>
      <c r="O371" s="53" t="n">
        <v>84</v>
      </c>
      <c r="P371" s="48" t="s">
        <v>430</v>
      </c>
      <c r="Q371" s="50" t="n">
        <v>189</v>
      </c>
      <c r="R371" s="53" t="n">
        <f aca="false">IF(BZ371=1,0,IFERROR(VLOOKUP(BX371,'Gebinde-Kategorie'!$A$5:$N$45,13,0)+0,0))</f>
        <v>104</v>
      </c>
      <c r="S371" s="54"/>
      <c r="T371" s="55"/>
      <c r="U371" s="55"/>
      <c r="V371" s="55"/>
      <c r="W371" s="48"/>
      <c r="X371" s="50"/>
      <c r="Y371" s="50"/>
      <c r="Z371" s="48" t="n">
        <f aca="false">IF(A371="","",IF(AND(Parameter!$B$21="Ja",ISNUMBER(W371)),W371,IF(CC371="2+3",IF(ISNUMBER(SEARCH("grosser Artikel",BU371)),2,IFERROR(VLOOKUP(BX371,Parameter!$F$35:$G$64,2,0),2)),IF(OR(CC371="Nein",CC371=""),"-",CC371))))</f>
        <v>3</v>
      </c>
      <c r="AA371" s="55"/>
      <c r="AB371" s="56"/>
      <c r="AC371" s="50" t="n">
        <f aca="false">AV371</f>
        <v>185</v>
      </c>
      <c r="AD371" s="50" t="n">
        <f aca="false">MAX(AV371,H371)</f>
        <v>185</v>
      </c>
      <c r="AE371" s="57"/>
      <c r="AF371" s="50" t="n">
        <f aca="false">IF(LEFT(Cockpit!$C$5,1)="A",H371,IF(Parameter!$E$30="MAX-Bestand",IF(CH371=1,CI371,IF(LEFT(Cockpit!$C$5,1)="B",AL371,MAX(AL371,H371))),ROUNDUP(AJ371,0)))</f>
        <v>159</v>
      </c>
      <c r="AG371" s="50" t="n">
        <f aca="false">IF(BZ371=1,0,ROUNDUP(AF371/BY371,0))</f>
        <v>1</v>
      </c>
      <c r="AH371" s="52" t="n">
        <f aca="false">IF(CQ371&gt;0,CQ371*MAX(1,AF371/X371),IF(BZ371=1,IF(AF371&lt;=0,0,CD371*MAX(1,IF(H371&gt;0,AF371/H371,1))),IF(R371&gt;0,AG371/R371,0))/MAX(0.1,N(Parameter!$M$21)))</f>
        <v>0.00961538461538462</v>
      </c>
      <c r="AI371" s="50" t="n">
        <f aca="false">AH371*CB371</f>
        <v>1.49038461538462</v>
      </c>
      <c r="AJ371" s="51" t="n">
        <f aca="false">IF(LEFT(Cockpit!$C$5,1)="A",H371,IF(CH371=1,(CK371+CI371)/2,IF(LEFT(Cockpit!$C$5,1)="B",(CK371+AL371)/2,MAX((CK371+AL371)/2,H371))))</f>
        <v>159</v>
      </c>
      <c r="AK371" s="50" t="n">
        <f aca="false">AJ371*G371</f>
        <v>4458.36</v>
      </c>
      <c r="AL371" s="50" t="n">
        <f aca="false">ROUNDUP(CK371+MAX(CL371,2*(J371/IF(CG371&gt;0,CG371,MAX(0.1,N(Cockpit!$C$6)))-CK371)),0)</f>
        <v>185</v>
      </c>
      <c r="AM371" s="51" t="n">
        <f aca="false">IF(AI371&gt;0,J371/AI371,-1)</f>
        <v>146.270967741936</v>
      </c>
      <c r="AN371" s="51" t="n">
        <f aca="false">IF(AND(OR(CF371="L1",CF371="L23",CF371="LIFT"),AI371&gt;0),SUMIFS($AI$7:$AI$1843,$CF$7:$CF$1843,CF371,$AM$7:$AM$1843,"&gt;"&amp;AM371)+SUMIFS($AI$7:$AI$1843,$CF$7:$CF$1843,CF371,$AM$7:$AM$1843,AM371,$BW$7:$BW$1843,"&lt;="&amp;BW371),"")</f>
        <v>496.367216117216</v>
      </c>
      <c r="AO371" s="58" t="n">
        <f aca="false">IF(AN371="",0,MAX(0,MIN(1,(IF(CF371="L1",Parameter!$H$5,IF(CF371="L23",Parameter!$H$6+Parameter!$H$7,Parameter!$H$5+Parameter!$H$6+Parameter!$H$7))-(AN371-AI371))/AI371)))</f>
        <v>1</v>
      </c>
      <c r="AP371" s="50" t="n">
        <f aca="false">IF(LEFT(Cockpit!$I$5,1)="A",H371,IF(Parameter!$E$30="MAX-Bestand",IF(CH371=1,CI371,IF(LEFT(Cockpit!$I$5,1)="B",AV371,MAX(AV371,H371))),ROUNDUP(AT371,0)))</f>
        <v>159</v>
      </c>
      <c r="AQ371" s="50" t="n">
        <f aca="false">IF(BZ371=1,0,ROUNDUP(AP371/BY371,0))</f>
        <v>1</v>
      </c>
      <c r="AR371" s="52" t="n">
        <f aca="false">IF(CQ371&gt;0,CQ371*MAX(1,AP371/X371),IF(BZ371=1,IF(AP371&lt;=0,0,CD371*MAX(1,IF(H371&gt;0,AP371/H371,1))),IF(R371&gt;0,AQ371/R371,0))/MAX(0.1,N(Parameter!$M$21)))</f>
        <v>0.00961538461538462</v>
      </c>
      <c r="AS371" s="50" t="n">
        <f aca="false">AR371*CB371</f>
        <v>1.49038461538462</v>
      </c>
      <c r="AT371" s="51" t="n">
        <f aca="false">IF(LEFT(Cockpit!$I$5,1)="A",H371,IF(CH371=1,(CK371+CI371)/2,IF(LEFT(Cockpit!$I$5,1)="B",(CK371+AV371)/2,MAX((CK371+AV371)/2,H371))))</f>
        <v>159</v>
      </c>
      <c r="AU371" s="50" t="n">
        <f aca="false">AT371*G371</f>
        <v>4458.36</v>
      </c>
      <c r="AV371" s="50" t="n">
        <f aca="false">ROUNDUP(CK371+MAX(CL371,2*(J371/IF(CG371&gt;0,CG371,MAX(0.1,N(Cockpit!$I$6)))-CK371)),0)</f>
        <v>185</v>
      </c>
      <c r="AW371" s="51" t="n">
        <f aca="false">IF(AS371&gt;0,J371/AS371,-1)</f>
        <v>146.270967741936</v>
      </c>
      <c r="AX371" s="51" t="n">
        <f aca="false">IF(AND(OR(CF371="L1",CF371="L23",CF371="LIFT"),AS371&gt;0),SUMIFS($AS$7:$AS$1843,$CF$7:$CF$1843,CF371,$AW$7:$AW$1843,"&gt;"&amp;AW371)+SUMIFS($AS$7:$AS$1843,$CF$7:$CF$1843,CF371,$AW$7:$AW$1843,AW371,$BW$7:$BW$1843,"&lt;="&amp;BW371),"")</f>
        <v>614.004120879121</v>
      </c>
      <c r="AY371" s="58" t="n">
        <f aca="false">IF(AX371="",0,MAX(0,MIN(1,(IF(CF371="L1",Parameter!$H$5,IF(CF371="L23",Parameter!$H$6+Parameter!$H$7,Parameter!$H$5+Parameter!$H$6+Parameter!$H$7))-(AX371-AS371))/AS371)))</f>
        <v>1</v>
      </c>
      <c r="AZ371" s="50" t="n">
        <f aca="false">IF(LEFT(Cockpit!$O$5,1)="A",H371,IF(Parameter!$E$30="MAX-Bestand",IF(CH371=1,CI371,IF(LEFT(Cockpit!$O$5,1)="B",BF371,MAX(BF371,H371))),ROUNDUP(BD371,0)))</f>
        <v>120</v>
      </c>
      <c r="BA371" s="50" t="n">
        <f aca="false">IF(BZ371=1,0,ROUNDUP(AZ371/BY371,0))</f>
        <v>1</v>
      </c>
      <c r="BB371" s="52" t="n">
        <f aca="false">IF(CQ371&gt;0,CQ371*MAX(1,AZ371/X371),IF(BZ371=1,IF(AZ371&lt;=0,0,CD371*MAX(1,IF(H371&gt;0,AZ371/H371,1))),IF(R371&gt;0,BA371/R371,0))/MAX(0.1,N(Parameter!$M$21)))</f>
        <v>0.00961538461538462</v>
      </c>
      <c r="BC371" s="50" t="n">
        <f aca="false">BB371*CB371</f>
        <v>1.49038461538462</v>
      </c>
      <c r="BD371" s="51" t="n">
        <f aca="false">IF(LEFT(Cockpit!$O$5,1)="A",H371,IF(CH371=1,(CK371+CI371)/2,IF(LEFT(Cockpit!$O$5,1)="B",(CK371+BF371)/2,MAX((CK371+BF371)/2,H371))))</f>
        <v>120</v>
      </c>
      <c r="BE371" s="50" t="n">
        <f aca="false">BD371*G371</f>
        <v>3364.8</v>
      </c>
      <c r="BF371" s="50" t="n">
        <f aca="false">ROUNDUP(CK371+MAX(CL371,2*(J371/IF(CG371&gt;0,CG371,MAX(0.1,N(Cockpit!$O$6)))-CK371)),0)</f>
        <v>185</v>
      </c>
      <c r="BG371" s="51" t="n">
        <f aca="false">IF(BC371&gt;0,J371/BC371,-1)</f>
        <v>146.270967741936</v>
      </c>
      <c r="BH371" s="51" t="n">
        <f aca="false">IF(AND(OR(CF371="L1",CF371="L23",CF371="LIFT"),BC371&gt;0),SUMIFS($BC$7:$BC$1843,$CF$7:$CF$1843,CF371,$BG$7:$BG$1843,"&gt;"&amp;BG371)+SUMIFS($BC$7:$BC$1843,$CF$7:$CF$1843,CF371,$BG$7:$BG$1843,BG371,$BW$7:$BW$1843,"&lt;="&amp;BW371),"")</f>
        <v>578.163461538462</v>
      </c>
      <c r="BI371" s="58" t="n">
        <f aca="false">IF(BH371="",0,MAX(0,MIN(1,(IF(CF371="L1",Parameter!$H$5,IF(CF371="L23",Parameter!$H$6+Parameter!$H$7,Parameter!$H$5+Parameter!$H$6+Parameter!$H$7))-(BH371-BC371))/BC371)))</f>
        <v>1</v>
      </c>
      <c r="BJ371" s="48" t="str">
        <f aca="false">IF(AI371&lt;=0,"",IF(CF371="Aussen","Aussenlager",IF(CF371="-","Nicht im Lift",IF(AO371&gt;=1,"Lift",IF(AO371&lt;=0,"Aussenlager","teilweise")))))</f>
        <v>Lift</v>
      </c>
      <c r="BK371" s="48" t="str">
        <f aca="false">IF(AS371&lt;=0,"",IF(CF371="Aussen","Aussenlager",IF(CF371="-","Nicht im Lift",IF(AY371&gt;=1,"Lift",IF(AY371&lt;=0,"Aussenlager","teilweise")))))</f>
        <v>Lift</v>
      </c>
      <c r="BL371" s="48" t="str">
        <f aca="false">IF(BC371&lt;=0,"",IF(CF371="Aussen","Aussenlager",IF(CF371="-","Nicht im Lift",IF(BI371&gt;=1,"Lift",IF(BI371&lt;=0,"Aussenlager","teilweise")))))</f>
        <v>Lift</v>
      </c>
      <c r="BM371" s="48" t="str">
        <f aca="false">IF(A371="","",IF(BV371=1,"Neu; ","")&amp;IF(AND(BV371=0,BQ371&lt;0),"negativer Bestand (Export "&amp;BQ371&amp;"); ","")&amp;IF(J371&lt;=0,"Kein Verbrauch; ","")&amp;IF(CQ371&gt;0,"Lift "&amp;W371&amp;" lt. Liftbericht (Fach "&amp;X371&amp;" Stk); ",IF(CA371=1,"Gebinde geschätzt ("&amp;T371&amp;"); ",IF(BZ371=1,"Lose – Tablare geschätzt; ","")))&amp;IF(H371&gt;AV371,"Überbestand "&amp;ROUND(H371-AV371,0)&amp;" Stk / CHF "&amp;ROUND((H371-AV371)*G371,0)&amp;"; ","")&amp;IF(AND(CH371=1,CI371&lt;CJ371),"MAX &lt; MB+LG; ","")&amp;IF(AND(CP371&gt;0,CO371*10&gt;CP371),"zu hoch für Tablar; ","")&amp;IF(AND(BV371=0,OR(CH371=1,AA371&lt;&gt;"",U371&lt;&gt;"",V371&lt;&gt;"",AB371&lt;&gt;"")),"manuell übersteuert; ","")&amp;IF(AND(BZ371=0,R371=0),"Gebinde unbekannt / Stellmass fehlt; ","")&amp;IF(AND(BZ371=0,N(V371)&lt;=0,N(Q371)&lt;=0),"Menge pro Gebinde fehlt (Ist = 1 Gebinde); ","")&amp;BU371)</f>
        <v>negativer Bestand (Export -20); </v>
      </c>
      <c r="BN371" s="48"/>
      <c r="BO371" s="48"/>
      <c r="BP371" s="55"/>
      <c r="BQ371" s="50" t="n">
        <v>-20</v>
      </c>
      <c r="BR371" s="50" t="n">
        <v>179</v>
      </c>
      <c r="BS371" s="49" t="n">
        <v>148.479999999999</v>
      </c>
      <c r="BT371" s="50" t="n">
        <v>218</v>
      </c>
      <c r="BU371" s="48"/>
      <c r="BV371" s="53" t="n">
        <v>0</v>
      </c>
      <c r="BW371" s="53" t="n">
        <v>371</v>
      </c>
      <c r="BX371" s="48" t="str">
        <f aca="false">IF(U371&lt;&gt;"",UPPER(TRIM(U371)),IF(CA371=1,UPPER(VLOOKUP(T371,Parameter!$I$27:$K$29,2,0)),IF(P371="","LOSE",P371)))</f>
        <v>S32</v>
      </c>
      <c r="BY371" s="50" t="n">
        <f aca="false">IF(BX371="LOSE",1,IF(N(V371)&gt;0,V371,IF(CA371=1,MAX(1,N(VLOOKUP(T371,Parameter!$I$27:$K$29,3,0)),H371,N(N371)),IF(N(Q371)&gt;0,Q371,MAX(1,H371)))))</f>
        <v>189</v>
      </c>
      <c r="BZ371" s="53" t="n">
        <f aca="false">IF(BX371="LOSE",1,0)</f>
        <v>0</v>
      </c>
      <c r="CA371" s="53" t="n">
        <f aca="false">IF(AND(U371="",OR(P371="",P371="LOSE"),T371&lt;&gt;"",N(S371)&lt;=0,ISNUMBER(MATCH(T371,Parameter!$I$27:$I$29,0))),1,0)</f>
        <v>0</v>
      </c>
      <c r="CB371" s="53" t="n">
        <f aca="false">IF(CQ371&gt;0,INDEX(Parameter!$H$5:$H$7,W371)/INDEX(Parameter!$E$5:$E$7,W371),IF(AND(BZ371=0,N(IFERROR(VLOOKUP(BX371,'Gebinde-Kategorie'!$A$5:$N$45,14,0),0))&gt;0),VLOOKUP(BX371,'Gebinde-Kategorie'!$A$5:$N$45,14,0)*10+Parameter!$M$23,Parameter!$M$24))</f>
        <v>155</v>
      </c>
      <c r="CC371" s="48" t="str">
        <f aca="false">IF(AND(Parameter!$B$19="Ja",E371&lt;&gt;"",ISNUMBER(MATCH(E371,Parameter!$I$35:$I$52,0))),VLOOKUP(E371,Parameter!$I$35:$J$52,2,0),IFERROR(VLOOKUP(D371,Parameter!$A$35:$C$64,2,0),"Nein"))</f>
        <v>2+3</v>
      </c>
      <c r="CD371" s="52" t="n">
        <f aca="false">IF(BZ371=0,0,IF(N(S371)&gt;0,S371,IFERROR(VLOOKUP(D371,Parameter!$A$35:$C$64,3,0)+0,0)))</f>
        <v>0</v>
      </c>
      <c r="CE371" s="48" t="n">
        <f aca="false">IF(AA371&lt;&gt;"",AA371,Z371)</f>
        <v>3</v>
      </c>
      <c r="CF371" s="48" t="str">
        <f aca="false">IF(OR(CE371=1,CE371=2,CE371=3),IF(Parameter!$E$27="Ja","LIFT",IF(CE371=1,"L1","L23")),IF(CE371="Aussen","Aussen","-"))</f>
        <v>LIFT</v>
      </c>
      <c r="CG371" s="59" t="n">
        <f aca="false">IF(N(AB371)&gt;0,AB371,0)</f>
        <v>0</v>
      </c>
      <c r="CH371" s="53" t="n">
        <f aca="false">IF(ISNUMBER(AE371),1,0)</f>
        <v>0</v>
      </c>
      <c r="CI371" s="50" t="n">
        <f aca="false">N(AE371)</f>
        <v>0</v>
      </c>
      <c r="CJ371" s="50" t="n">
        <f aca="false">N(M371)+N(N371)</f>
        <v>185</v>
      </c>
      <c r="CK371" s="50" t="n">
        <f aca="false">N(M371)</f>
        <v>55</v>
      </c>
      <c r="CL371" s="50" t="n">
        <f aca="false">N(N371)</f>
        <v>130</v>
      </c>
      <c r="CM371" s="50" t="n">
        <f aca="false">ROUNDUP(H371/BY371,0)</f>
        <v>1</v>
      </c>
      <c r="CN371" s="50" t="n">
        <f aca="false">ROUNDUP(CI371/BY371,0)</f>
        <v>0</v>
      </c>
      <c r="CO371" s="53" t="n">
        <f aca="false">IF(BZ371=1,0,IFERROR(VLOOKUP(BX371,'Gebinde-Kategorie'!$A$5:$N$45,5,0)+0,0))</f>
        <v>8</v>
      </c>
      <c r="CP371" s="53" t="n">
        <f aca="false">IFERROR(IF(OR(CE371=1,CE371=2,CE371=3),N(INDEX(Parameter!$I$5:$I$7,CE371)),0),0)</f>
        <v>0</v>
      </c>
      <c r="CQ371" s="52" t="n">
        <f aca="false">IF(AND(Parameter!$B$21="Ja",ISNUMBER(W371),N(X371)&gt;0),IFERROR(N(INDEX(Parameter!$L$5:$L$7,W371))*INDEX(Parameter!$E$5:$E$7,W371)*X371/SUMIFS($X$7:$X$1843,$W$7:$W$1843,W371),0),0)</f>
        <v>0</v>
      </c>
    </row>
    <row r="372" customFormat="false" ht="15" hidden="false" customHeight="false" outlineLevel="0" collapsed="false">
      <c r="A372" s="48" t="s">
        <v>899</v>
      </c>
      <c r="B372" s="48" t="s">
        <v>414</v>
      </c>
      <c r="C372" s="48" t="s">
        <v>173</v>
      </c>
      <c r="D372" s="48" t="s">
        <v>193</v>
      </c>
      <c r="E372" s="48" t="s">
        <v>194</v>
      </c>
      <c r="F372" s="48" t="s">
        <v>227</v>
      </c>
      <c r="G372" s="49" t="n">
        <v>0.22</v>
      </c>
      <c r="H372" s="50" t="n">
        <f aca="false">MAX(0,IF(AND(Parameter!$B$21="Ja",ISNUMBER(Y372)),Y372,IF(Parameter!$B$20="Jahresanfang 2025 + Export",BR372+BQ372,BQ372)))</f>
        <v>1149</v>
      </c>
      <c r="I372" s="50" t="n">
        <f aca="false">H372*G372</f>
        <v>252.78</v>
      </c>
      <c r="J372" s="50" t="n">
        <f aca="false">BT372*Parameter!$B$18</f>
        <v>1248</v>
      </c>
      <c r="K372" s="51" t="n">
        <v>405</v>
      </c>
      <c r="L372" s="52" t="n">
        <v>3.08148148148148</v>
      </c>
      <c r="M372" s="50" t="n">
        <v>72</v>
      </c>
      <c r="N372" s="50" t="n">
        <v>1300</v>
      </c>
      <c r="O372" s="53" t="n">
        <v>21</v>
      </c>
      <c r="P372" s="48" t="s">
        <v>311</v>
      </c>
      <c r="Q372" s="50" t="n">
        <v>496</v>
      </c>
      <c r="R372" s="53" t="n">
        <f aca="false">IF(BZ372=1,0,IFERROR(VLOOKUP(BX372,'Gebinde-Kategorie'!$A$5:$N$45,13,0)+0,0))</f>
        <v>26</v>
      </c>
      <c r="S372" s="54"/>
      <c r="T372" s="55"/>
      <c r="U372" s="55"/>
      <c r="V372" s="55"/>
      <c r="W372" s="48"/>
      <c r="X372" s="50"/>
      <c r="Y372" s="50"/>
      <c r="Z372" s="48" t="n">
        <f aca="false">IF(A372="","",IF(AND(Parameter!$B$21="Ja",ISNUMBER(W372)),W372,IF(CC372="2+3",IF(ISNUMBER(SEARCH("grosser Artikel",BU372)),2,IFERROR(VLOOKUP(BX372,Parameter!$F$35:$G$64,2,0),2)),IF(OR(CC372="Nein",CC372=""),"-",CC372))))</f>
        <v>3</v>
      </c>
      <c r="AA372" s="55"/>
      <c r="AB372" s="56"/>
      <c r="AC372" s="50" t="n">
        <f aca="false">AV372</f>
        <v>1372</v>
      </c>
      <c r="AD372" s="50" t="n">
        <f aca="false">MAX(AV372,H372)</f>
        <v>1372</v>
      </c>
      <c r="AE372" s="57"/>
      <c r="AF372" s="50" t="n">
        <f aca="false">IF(LEFT(Cockpit!$C$5,1)="A",H372,IF(Parameter!$E$30="MAX-Bestand",IF(CH372=1,CI372,IF(LEFT(Cockpit!$C$5,1)="B",AL372,MAX(AL372,H372))),ROUNDUP(AJ372,0)))</f>
        <v>1149</v>
      </c>
      <c r="AG372" s="50" t="n">
        <f aca="false">IF(BZ372=1,0,ROUNDUP(AF372/BY372,0))</f>
        <v>3</v>
      </c>
      <c r="AH372" s="52" t="n">
        <f aca="false">IF(CQ372&gt;0,CQ372*MAX(1,AF372/X372),IF(BZ372=1,IF(AF372&lt;=0,0,CD372*MAX(1,IF(H372&gt;0,AF372/H372,1))),IF(R372&gt;0,AG372/R372,0))/MAX(0.1,N(Parameter!$M$21)))</f>
        <v>0.115384615384615</v>
      </c>
      <c r="AI372" s="50" t="n">
        <f aca="false">AH372*CB372</f>
        <v>17.8846153846154</v>
      </c>
      <c r="AJ372" s="51" t="n">
        <f aca="false">IF(LEFT(Cockpit!$C$5,1)="A",H372,IF(CH372=1,(CK372+CI372)/2,IF(LEFT(Cockpit!$C$5,1)="B",(CK372+AL372)/2,MAX((CK372+AL372)/2,H372))))</f>
        <v>1149</v>
      </c>
      <c r="AK372" s="50" t="n">
        <f aca="false">AJ372*G372</f>
        <v>252.78</v>
      </c>
      <c r="AL372" s="50" t="n">
        <f aca="false">ROUNDUP(CK372+MAX(CL372,2*(J372/IF(CG372&gt;0,CG372,MAX(0.1,N(Cockpit!$C$6)))-CK372)),0)</f>
        <v>1372</v>
      </c>
      <c r="AM372" s="51" t="n">
        <f aca="false">IF(AI372&gt;0,J372/AI372,-1)</f>
        <v>69.7806451612903</v>
      </c>
      <c r="AN372" s="51" t="n">
        <f aca="false">IF(AND(OR(CF372="L1",CF372="L23",CF372="LIFT"),AI372&gt;0),SUMIFS($AI$7:$AI$1843,$CF$7:$CF$1843,CF372,$AM$7:$AM$1843,"&gt;"&amp;AM372)+SUMIFS($AI$7:$AI$1843,$CF$7:$CF$1843,CF372,$AM$7:$AM$1843,AM372,$BW$7:$BW$1843,"&lt;="&amp;BW372),"")</f>
        <v>910.34478021978</v>
      </c>
      <c r="AO372" s="58" t="n">
        <f aca="false">IF(AN372="",0,MAX(0,MIN(1,(IF(CF372="L1",Parameter!$H$5,IF(CF372="L23",Parameter!$H$6+Parameter!$H$7,Parameter!$H$5+Parameter!$H$6+Parameter!$H$7))-(AN372-AI372))/AI372)))</f>
        <v>1</v>
      </c>
      <c r="AP372" s="50" t="n">
        <f aca="false">IF(LEFT(Cockpit!$I$5,1)="A",H372,IF(Parameter!$E$30="MAX-Bestand",IF(CH372=1,CI372,IF(LEFT(Cockpit!$I$5,1)="B",AV372,MAX(AV372,H372))),ROUNDUP(AT372,0)))</f>
        <v>1149</v>
      </c>
      <c r="AQ372" s="50" t="n">
        <f aca="false">IF(BZ372=1,0,ROUNDUP(AP372/BY372,0))</f>
        <v>3</v>
      </c>
      <c r="AR372" s="52" t="n">
        <f aca="false">IF(CQ372&gt;0,CQ372*MAX(1,AP372/X372),IF(BZ372=1,IF(AP372&lt;=0,0,CD372*MAX(1,IF(H372&gt;0,AP372/H372,1))),IF(R372&gt;0,AQ372/R372,0))/MAX(0.1,N(Parameter!$M$21)))</f>
        <v>0.115384615384615</v>
      </c>
      <c r="AS372" s="50" t="n">
        <f aca="false">AR372*CB372</f>
        <v>17.8846153846154</v>
      </c>
      <c r="AT372" s="51" t="n">
        <f aca="false">IF(LEFT(Cockpit!$I$5,1)="A",H372,IF(CH372=1,(CK372+CI372)/2,IF(LEFT(Cockpit!$I$5,1)="B",(CK372+AV372)/2,MAX((CK372+AV372)/2,H372))))</f>
        <v>1149</v>
      </c>
      <c r="AU372" s="50" t="n">
        <f aca="false">AT372*G372</f>
        <v>252.78</v>
      </c>
      <c r="AV372" s="50" t="n">
        <f aca="false">ROUNDUP(CK372+MAX(CL372,2*(J372/IF(CG372&gt;0,CG372,MAX(0.1,N(Cockpit!$I$6)))-CK372)),0)</f>
        <v>1372</v>
      </c>
      <c r="AW372" s="51" t="n">
        <f aca="false">IF(AS372&gt;0,J372/AS372,-1)</f>
        <v>69.7806451612903</v>
      </c>
      <c r="AX372" s="51" t="n">
        <f aca="false">IF(AND(OR(CF372="L1",CF372="L23",CF372="LIFT"),AS372&gt;0),SUMIFS($AS$7:$AS$1843,$CF$7:$CF$1843,CF372,$AW$7:$AW$1843,"&gt;"&amp;AW372)+SUMIFS($AS$7:$AS$1843,$CF$7:$CF$1843,CF372,$AW$7:$AW$1843,AW372,$BW$7:$BW$1843,"&lt;="&amp;BW372),"")</f>
        <v>1122.14972527473</v>
      </c>
      <c r="AY372" s="58" t="n">
        <f aca="false">IF(AX372="",0,MAX(0,MIN(1,(IF(CF372="L1",Parameter!$H$5,IF(CF372="L23",Parameter!$H$6+Parameter!$H$7,Parameter!$H$5+Parameter!$H$6+Parameter!$H$7))-(AX372-AS372))/AS372)))</f>
        <v>1</v>
      </c>
      <c r="AZ372" s="50" t="n">
        <f aca="false">IF(LEFT(Cockpit!$O$5,1)="A",H372,IF(Parameter!$E$30="MAX-Bestand",IF(CH372=1,CI372,IF(LEFT(Cockpit!$O$5,1)="B",BF372,MAX(BF372,H372))),ROUNDUP(BD372,0)))</f>
        <v>722</v>
      </c>
      <c r="BA372" s="50" t="n">
        <f aca="false">IF(BZ372=1,0,ROUNDUP(AZ372/BY372,0))</f>
        <v>2</v>
      </c>
      <c r="BB372" s="52" t="n">
        <f aca="false">IF(CQ372&gt;0,CQ372*MAX(1,AZ372/X372),IF(BZ372=1,IF(AZ372&lt;=0,0,CD372*MAX(1,IF(H372&gt;0,AZ372/H372,1))),IF(R372&gt;0,BA372/R372,0))/MAX(0.1,N(Parameter!$M$21)))</f>
        <v>0.0769230769230769</v>
      </c>
      <c r="BC372" s="50" t="n">
        <f aca="false">BB372*CB372</f>
        <v>11.9230769230769</v>
      </c>
      <c r="BD372" s="51" t="n">
        <f aca="false">IF(LEFT(Cockpit!$O$5,1)="A",H372,IF(CH372=1,(CK372+CI372)/2,IF(LEFT(Cockpit!$O$5,1)="B",(CK372+BF372)/2,MAX((CK372+BF372)/2,H372))))</f>
        <v>722</v>
      </c>
      <c r="BE372" s="50" t="n">
        <f aca="false">BD372*G372</f>
        <v>158.84</v>
      </c>
      <c r="BF372" s="50" t="n">
        <f aca="false">ROUNDUP(CK372+MAX(CL372,2*(J372/IF(CG372&gt;0,CG372,MAX(0.1,N(Cockpit!$O$6)))-CK372)),0)</f>
        <v>1372</v>
      </c>
      <c r="BG372" s="51" t="n">
        <f aca="false">IF(BC372&gt;0,J372/BC372,-1)</f>
        <v>104.670967741935</v>
      </c>
      <c r="BH372" s="51" t="n">
        <f aca="false">IF(AND(OR(CF372="L1",CF372="L23",CF372="LIFT"),BC372&gt;0),SUMIFS($BC$7:$BC$1843,$CF$7:$CF$1843,CF372,$BG$7:$BG$1843,"&gt;"&amp;BG372)+SUMIFS($BC$7:$BC$1843,$CF$7:$CF$1843,CF372,$BG$7:$BG$1843,BG372,$BW$7:$BW$1843,"&lt;="&amp;BW372),"")</f>
        <v>909.288919413919</v>
      </c>
      <c r="BI372" s="58" t="n">
        <f aca="false">IF(BH372="",0,MAX(0,MIN(1,(IF(CF372="L1",Parameter!$H$5,IF(CF372="L23",Parameter!$H$6+Parameter!$H$7,Parameter!$H$5+Parameter!$H$6+Parameter!$H$7))-(BH372-BC372))/BC372)))</f>
        <v>1</v>
      </c>
      <c r="BJ372" s="48" t="str">
        <f aca="false">IF(AI372&lt;=0,"",IF(CF372="Aussen","Aussenlager",IF(CF372="-","Nicht im Lift",IF(AO372&gt;=1,"Lift",IF(AO372&lt;=0,"Aussenlager","teilweise")))))</f>
        <v>Lift</v>
      </c>
      <c r="BK372" s="48" t="str">
        <f aca="false">IF(AS372&lt;=0,"",IF(CF372="Aussen","Aussenlager",IF(CF372="-","Nicht im Lift",IF(AY372&gt;=1,"Lift",IF(AY372&lt;=0,"Aussenlager","teilweise")))))</f>
        <v>Lift</v>
      </c>
      <c r="BL372" s="48" t="str">
        <f aca="false">IF(BC372&lt;=0,"",IF(CF372="Aussen","Aussenlager",IF(CF372="-","Nicht im Lift",IF(BI372&gt;=1,"Lift",IF(BI372&lt;=0,"Aussenlager","teilweise")))))</f>
        <v>Lift</v>
      </c>
      <c r="BM372" s="48" t="str">
        <f aca="false">IF(A372="","",IF(BV372=1,"Neu; ","")&amp;IF(AND(BV372=0,BQ372&lt;0),"negativer Bestand (Export "&amp;BQ372&amp;"); ","")&amp;IF(J372&lt;=0,"Kein Verbrauch; ","")&amp;IF(CQ372&gt;0,"Lift "&amp;W372&amp;" lt. Liftbericht (Fach "&amp;X372&amp;" Stk); ",IF(CA372=1,"Gebinde geschätzt ("&amp;T372&amp;"); ",IF(BZ372=1,"Lose – Tablare geschätzt; ","")))&amp;IF(H372&gt;AV372,"Überbestand "&amp;ROUND(H372-AV372,0)&amp;" Stk / CHF "&amp;ROUND((H372-AV372)*G372,0)&amp;"; ","")&amp;IF(AND(CH372=1,CI372&lt;CJ372),"MAX &lt; MB+LG; ","")&amp;IF(AND(CP372&gt;0,CO372*10&gt;CP372),"zu hoch für Tablar; ","")&amp;IF(AND(BV372=0,OR(CH372=1,AA372&lt;&gt;"",U372&lt;&gt;"",V372&lt;&gt;"",AB372&lt;&gt;"")),"manuell übersteuert; ","")&amp;IF(AND(BZ372=0,R372=0),"Gebinde unbekannt / Stellmass fehlt; ","")&amp;IF(AND(BZ372=0,N(V372)&lt;=0,N(Q372)&lt;=0),"Menge pro Gebinde fehlt (Ist = 1 Gebinde); ","")&amp;BU372)</f>
        <v/>
      </c>
      <c r="BN372" s="48"/>
      <c r="BO372" s="48"/>
      <c r="BP372" s="55"/>
      <c r="BQ372" s="50" t="n">
        <v>671</v>
      </c>
      <c r="BR372" s="50" t="n">
        <v>478</v>
      </c>
      <c r="BS372" s="49" t="n">
        <v>147.62</v>
      </c>
      <c r="BT372" s="50" t="n">
        <v>1248</v>
      </c>
      <c r="BU372" s="48"/>
      <c r="BV372" s="53" t="n">
        <v>0</v>
      </c>
      <c r="BW372" s="53" t="n">
        <v>372</v>
      </c>
      <c r="BX372" s="48" t="str">
        <f aca="false">IF(U372&lt;&gt;"",UPPER(TRIM(U372)),IF(CA372=1,UPPER(VLOOKUP(T372,Parameter!$I$27:$K$29,2,0)),IF(P372="","LOSE",P372)))</f>
        <v>S51</v>
      </c>
      <c r="BY372" s="50" t="n">
        <f aca="false">IF(BX372="LOSE",1,IF(N(V372)&gt;0,V372,IF(CA372=1,MAX(1,N(VLOOKUP(T372,Parameter!$I$27:$K$29,3,0)),H372,N(N372)),IF(N(Q372)&gt;0,Q372,MAX(1,H372)))))</f>
        <v>496</v>
      </c>
      <c r="BZ372" s="53" t="n">
        <f aca="false">IF(BX372="LOSE",1,0)</f>
        <v>0</v>
      </c>
      <c r="CA372" s="53" t="n">
        <f aca="false">IF(AND(U372="",OR(P372="",P372="LOSE"),T372&lt;&gt;"",N(S372)&lt;=0,ISNUMBER(MATCH(T372,Parameter!$I$27:$I$29,0))),1,0)</f>
        <v>0</v>
      </c>
      <c r="CB372" s="53" t="n">
        <f aca="false">IF(CQ372&gt;0,INDEX(Parameter!$H$5:$H$7,W372)/INDEX(Parameter!$E$5:$E$7,W372),IF(AND(BZ372=0,N(IFERROR(VLOOKUP(BX372,'Gebinde-Kategorie'!$A$5:$N$45,14,0),0))&gt;0),VLOOKUP(BX372,'Gebinde-Kategorie'!$A$5:$N$45,14,0)*10+Parameter!$M$23,Parameter!$M$24))</f>
        <v>155</v>
      </c>
      <c r="CC372" s="48" t="str">
        <f aca="false">IF(AND(Parameter!$B$19="Ja",E372&lt;&gt;"",ISNUMBER(MATCH(E372,Parameter!$I$35:$I$52,0))),VLOOKUP(E372,Parameter!$I$35:$J$52,2,0),IFERROR(VLOOKUP(D372,Parameter!$A$35:$C$64,2,0),"Nein"))</f>
        <v>2+3</v>
      </c>
      <c r="CD372" s="52" t="n">
        <f aca="false">IF(BZ372=0,0,IF(N(S372)&gt;0,S372,IFERROR(VLOOKUP(D372,Parameter!$A$35:$C$64,3,0)+0,0)))</f>
        <v>0</v>
      </c>
      <c r="CE372" s="48" t="n">
        <f aca="false">IF(AA372&lt;&gt;"",AA372,Z372)</f>
        <v>3</v>
      </c>
      <c r="CF372" s="48" t="str">
        <f aca="false">IF(OR(CE372=1,CE372=2,CE372=3),IF(Parameter!$E$27="Ja","LIFT",IF(CE372=1,"L1","L23")),IF(CE372="Aussen","Aussen","-"))</f>
        <v>LIFT</v>
      </c>
      <c r="CG372" s="59" t="n">
        <f aca="false">IF(N(AB372)&gt;0,AB372,0)</f>
        <v>0</v>
      </c>
      <c r="CH372" s="53" t="n">
        <f aca="false">IF(ISNUMBER(AE372),1,0)</f>
        <v>0</v>
      </c>
      <c r="CI372" s="50" t="n">
        <f aca="false">N(AE372)</f>
        <v>0</v>
      </c>
      <c r="CJ372" s="50" t="n">
        <f aca="false">N(M372)+N(N372)</f>
        <v>1372</v>
      </c>
      <c r="CK372" s="50" t="n">
        <f aca="false">N(M372)</f>
        <v>72</v>
      </c>
      <c r="CL372" s="50" t="n">
        <f aca="false">N(N372)</f>
        <v>1300</v>
      </c>
      <c r="CM372" s="50" t="n">
        <f aca="false">ROUNDUP(H372/BY372,0)</f>
        <v>3</v>
      </c>
      <c r="CN372" s="50" t="n">
        <f aca="false">ROUNDUP(CI372/BY372,0)</f>
        <v>0</v>
      </c>
      <c r="CO372" s="53" t="n">
        <f aca="false">IF(BZ372=1,0,IFERROR(VLOOKUP(BX372,'Gebinde-Kategorie'!$A$5:$N$45,5,0)+0,0))</f>
        <v>11</v>
      </c>
      <c r="CP372" s="53" t="n">
        <f aca="false">IFERROR(IF(OR(CE372=1,CE372=2,CE372=3),N(INDEX(Parameter!$I$5:$I$7,CE372)),0),0)</f>
        <v>0</v>
      </c>
      <c r="CQ372" s="52" t="n">
        <f aca="false">IF(AND(Parameter!$B$21="Ja",ISNUMBER(W372),N(X372)&gt;0),IFERROR(N(INDEX(Parameter!$L$5:$L$7,W372))*INDEX(Parameter!$E$5:$E$7,W372)*X372/SUMIFS($X$7:$X$1843,$W$7:$W$1843,W372),0),0)</f>
        <v>0</v>
      </c>
    </row>
    <row r="373" customFormat="false" ht="15" hidden="false" customHeight="false" outlineLevel="0" collapsed="false">
      <c r="A373" s="48" t="s">
        <v>900</v>
      </c>
      <c r="B373" s="48" t="s">
        <v>901</v>
      </c>
      <c r="C373" s="48" t="s">
        <v>173</v>
      </c>
      <c r="D373" s="48" t="s">
        <v>193</v>
      </c>
      <c r="E373" s="48" t="s">
        <v>194</v>
      </c>
      <c r="F373" s="48" t="s">
        <v>227</v>
      </c>
      <c r="G373" s="49" t="n">
        <v>16.45</v>
      </c>
      <c r="H373" s="50" t="n">
        <f aca="false">MAX(0,IF(AND(Parameter!$B$21="Ja",ISNUMBER(Y373)),Y373,IF(Parameter!$B$20="Jahresanfang 2025 + Export",BR373+BQ373,BQ373)))</f>
        <v>15</v>
      </c>
      <c r="I373" s="50" t="n">
        <f aca="false">H373*G373</f>
        <v>246.75</v>
      </c>
      <c r="J373" s="50" t="n">
        <f aca="false">BT373*Parameter!$B$18</f>
        <v>20</v>
      </c>
      <c r="K373" s="51" t="n">
        <v>8.5</v>
      </c>
      <c r="L373" s="52" t="n">
        <v>2.35294117647059</v>
      </c>
      <c r="M373" s="50" t="n">
        <v>0</v>
      </c>
      <c r="N373" s="50" t="n">
        <v>20</v>
      </c>
      <c r="O373" s="53" t="n">
        <v>14</v>
      </c>
      <c r="P373" s="48" t="s">
        <v>337</v>
      </c>
      <c r="Q373" s="50" t="n">
        <v>16</v>
      </c>
      <c r="R373" s="53" t="n">
        <f aca="false">IF(BZ373=1,0,IFERROR(VLOOKUP(BX373,'Gebinde-Kategorie'!$A$5:$N$45,13,0)+0,0))</f>
        <v>52</v>
      </c>
      <c r="S373" s="54"/>
      <c r="T373" s="55"/>
      <c r="U373" s="55"/>
      <c r="V373" s="55"/>
      <c r="W373" s="48"/>
      <c r="X373" s="50"/>
      <c r="Y373" s="50"/>
      <c r="Z373" s="48" t="n">
        <f aca="false">IF(A373="","",IF(AND(Parameter!$B$21="Ja",ISNUMBER(W373)),W373,IF(CC373="2+3",IF(ISNUMBER(SEARCH("grosser Artikel",BU373)),2,IFERROR(VLOOKUP(BX373,Parameter!$F$35:$G$64,2,0),2)),IF(OR(CC373="Nein",CC373=""),"-",CC373))))</f>
        <v>3</v>
      </c>
      <c r="AA373" s="55"/>
      <c r="AB373" s="56"/>
      <c r="AC373" s="50" t="n">
        <f aca="false">AV373</f>
        <v>20</v>
      </c>
      <c r="AD373" s="50" t="n">
        <f aca="false">MAX(AV373,H373)</f>
        <v>20</v>
      </c>
      <c r="AE373" s="57"/>
      <c r="AF373" s="50" t="n">
        <f aca="false">IF(LEFT(Cockpit!$C$5,1)="A",H373,IF(Parameter!$E$30="MAX-Bestand",IF(CH373=1,CI373,IF(LEFT(Cockpit!$C$5,1)="B",AL373,MAX(AL373,H373))),ROUNDUP(AJ373,0)))</f>
        <v>15</v>
      </c>
      <c r="AG373" s="50" t="n">
        <f aca="false">IF(BZ373=1,0,ROUNDUP(AF373/BY373,0))</f>
        <v>1</v>
      </c>
      <c r="AH373" s="52" t="n">
        <f aca="false">IF(CQ373&gt;0,CQ373*MAX(1,AF373/X373),IF(BZ373=1,IF(AF373&lt;=0,0,CD373*MAX(1,IF(H373&gt;0,AF373/H373,1))),IF(R373&gt;0,AG373/R373,0))/MAX(0.1,N(Parameter!$M$21)))</f>
        <v>0.0192307692307692</v>
      </c>
      <c r="AI373" s="50" t="n">
        <f aca="false">AH373*CB373</f>
        <v>2.98076923076923</v>
      </c>
      <c r="AJ373" s="51" t="n">
        <f aca="false">IF(LEFT(Cockpit!$C$5,1)="A",H373,IF(CH373=1,(CK373+CI373)/2,IF(LEFT(Cockpit!$C$5,1)="B",(CK373+AL373)/2,MAX((CK373+AL373)/2,H373))))</f>
        <v>15</v>
      </c>
      <c r="AK373" s="50" t="n">
        <f aca="false">AJ373*G373</f>
        <v>246.75</v>
      </c>
      <c r="AL373" s="50" t="n">
        <f aca="false">ROUNDUP(CK373+MAX(CL373,2*(J373/IF(CG373&gt;0,CG373,MAX(0.1,N(Cockpit!$C$6)))-CK373)),0)</f>
        <v>20</v>
      </c>
      <c r="AM373" s="51" t="n">
        <f aca="false">IF(AI373&gt;0,J373/AI373,-1)</f>
        <v>6.70967741935484</v>
      </c>
      <c r="AN373" s="51" t="n">
        <f aca="false">IF(AND(OR(CF373="L1",CF373="L23",CF373="LIFT"),AI373&gt;0),SUMIFS($AI$7:$AI$1843,$CF$7:$CF$1843,CF373,$AM$7:$AM$1843,"&gt;"&amp;AM373)+SUMIFS($AI$7:$AI$1843,$CF$7:$CF$1843,CF373,$AM$7:$AM$1843,AM373,$BW$7:$BW$1843,"&lt;="&amp;BW373),"")</f>
        <v>3392.65293040293</v>
      </c>
      <c r="AO373" s="58" t="n">
        <f aca="false">IF(AN373="",0,MAX(0,MIN(1,(IF(CF373="L1",Parameter!$H$5,IF(CF373="L23",Parameter!$H$6+Parameter!$H$7,Parameter!$H$5+Parameter!$H$6+Parameter!$H$7))-(AN373-AI373))/AI373)))</f>
        <v>1</v>
      </c>
      <c r="AP373" s="50" t="n">
        <f aca="false">IF(LEFT(Cockpit!$I$5,1)="A",H373,IF(Parameter!$E$30="MAX-Bestand",IF(CH373=1,CI373,IF(LEFT(Cockpit!$I$5,1)="B",AV373,MAX(AV373,H373))),ROUNDUP(AT373,0)))</f>
        <v>15</v>
      </c>
      <c r="AQ373" s="50" t="n">
        <f aca="false">IF(BZ373=1,0,ROUNDUP(AP373/BY373,0))</f>
        <v>1</v>
      </c>
      <c r="AR373" s="52" t="n">
        <f aca="false">IF(CQ373&gt;0,CQ373*MAX(1,AP373/X373),IF(BZ373=1,IF(AP373&lt;=0,0,CD373*MAX(1,IF(H373&gt;0,AP373/H373,1))),IF(R373&gt;0,AQ373/R373,0))/MAX(0.1,N(Parameter!$M$21)))</f>
        <v>0.0192307692307692</v>
      </c>
      <c r="AS373" s="50" t="n">
        <f aca="false">AR373*CB373</f>
        <v>2.98076923076923</v>
      </c>
      <c r="AT373" s="51" t="n">
        <f aca="false">IF(LEFT(Cockpit!$I$5,1)="A",H373,IF(CH373=1,(CK373+CI373)/2,IF(LEFT(Cockpit!$I$5,1)="B",(CK373+AV373)/2,MAX((CK373+AV373)/2,H373))))</f>
        <v>15</v>
      </c>
      <c r="AU373" s="50" t="n">
        <f aca="false">AT373*G373</f>
        <v>246.75</v>
      </c>
      <c r="AV373" s="50" t="n">
        <f aca="false">ROUNDUP(CK373+MAX(CL373,2*(J373/IF(CG373&gt;0,CG373,MAX(0.1,N(Cockpit!$I$6)))-CK373)),0)</f>
        <v>20</v>
      </c>
      <c r="AW373" s="51" t="n">
        <f aca="false">IF(AS373&gt;0,J373/AS373,-1)</f>
        <v>6.70967741935484</v>
      </c>
      <c r="AX373" s="51" t="n">
        <f aca="false">IF(AND(OR(CF373="L1",CF373="L23",CF373="LIFT"),AS373&gt;0),SUMIFS($AS$7:$AS$1843,$CF$7:$CF$1843,CF373,$AW$7:$AW$1843,"&gt;"&amp;AW373)+SUMIFS($AS$7:$AS$1843,$CF$7:$CF$1843,CF373,$AW$7:$AW$1843,AW373,$BW$7:$BW$1843,"&lt;="&amp;BW373),"")</f>
        <v>4110.46428571429</v>
      </c>
      <c r="AY373" s="58" t="n">
        <f aca="false">IF(AX373="",0,MAX(0,MIN(1,(IF(CF373="L1",Parameter!$H$5,IF(CF373="L23",Parameter!$H$6+Parameter!$H$7,Parameter!$H$5+Parameter!$H$6+Parameter!$H$7))-(AX373-AS373))/AS373)))</f>
        <v>1</v>
      </c>
      <c r="AZ373" s="50" t="n">
        <f aca="false">IF(LEFT(Cockpit!$O$5,1)="A",H373,IF(Parameter!$E$30="MAX-Bestand",IF(CH373=1,CI373,IF(LEFT(Cockpit!$O$5,1)="B",BF373,MAX(BF373,H373))),ROUNDUP(BD373,0)))</f>
        <v>10</v>
      </c>
      <c r="BA373" s="50" t="n">
        <f aca="false">IF(BZ373=1,0,ROUNDUP(AZ373/BY373,0))</f>
        <v>1</v>
      </c>
      <c r="BB373" s="52" t="n">
        <f aca="false">IF(CQ373&gt;0,CQ373*MAX(1,AZ373/X373),IF(BZ373=1,IF(AZ373&lt;=0,0,CD373*MAX(1,IF(H373&gt;0,AZ373/H373,1))),IF(R373&gt;0,BA373/R373,0))/MAX(0.1,N(Parameter!$M$21)))</f>
        <v>0.0192307692307692</v>
      </c>
      <c r="BC373" s="50" t="n">
        <f aca="false">BB373*CB373</f>
        <v>2.98076923076923</v>
      </c>
      <c r="BD373" s="51" t="n">
        <f aca="false">IF(LEFT(Cockpit!$O$5,1)="A",H373,IF(CH373=1,(CK373+CI373)/2,IF(LEFT(Cockpit!$O$5,1)="B",(CK373+BF373)/2,MAX((CK373+BF373)/2,H373))))</f>
        <v>10</v>
      </c>
      <c r="BE373" s="50" t="n">
        <f aca="false">BD373*G373</f>
        <v>164.5</v>
      </c>
      <c r="BF373" s="50" t="n">
        <f aca="false">ROUNDUP(CK373+MAX(CL373,2*(J373/IF(CG373&gt;0,CG373,MAX(0.1,N(Cockpit!$O$6)))-CK373)),0)</f>
        <v>20</v>
      </c>
      <c r="BG373" s="51" t="n">
        <f aca="false">IF(BC373&gt;0,J373/BC373,-1)</f>
        <v>6.70967741935484</v>
      </c>
      <c r="BH373" s="51" t="n">
        <f aca="false">IF(AND(OR(CF373="L1",CF373="L23",CF373="LIFT"),BC373&gt;0),SUMIFS($BC$7:$BC$1843,$CF$7:$CF$1843,CF373,$BG$7:$BG$1843,"&gt;"&amp;BG373)+SUMIFS($BC$7:$BC$1843,$CF$7:$CF$1843,CF373,$BG$7:$BG$1843,BG373,$BW$7:$BW$1843,"&lt;="&amp;BW373),"")</f>
        <v>3377.55036630037</v>
      </c>
      <c r="BI373" s="58" t="n">
        <f aca="false">IF(BH373="",0,MAX(0,MIN(1,(IF(CF373="L1",Parameter!$H$5,IF(CF373="L23",Parameter!$H$6+Parameter!$H$7,Parameter!$H$5+Parameter!$H$6+Parameter!$H$7))-(BH373-BC373))/BC373)))</f>
        <v>1</v>
      </c>
      <c r="BJ373" s="48" t="str">
        <f aca="false">IF(AI373&lt;=0,"",IF(CF373="Aussen","Aussenlager",IF(CF373="-","Nicht im Lift",IF(AO373&gt;=1,"Lift",IF(AO373&lt;=0,"Aussenlager","teilweise")))))</f>
        <v>Lift</v>
      </c>
      <c r="BK373" s="48" t="str">
        <f aca="false">IF(AS373&lt;=0,"",IF(CF373="Aussen","Aussenlager",IF(CF373="-","Nicht im Lift",IF(AY373&gt;=1,"Lift",IF(AY373&lt;=0,"Aussenlager","teilweise")))))</f>
        <v>Lift</v>
      </c>
      <c r="BL373" s="48" t="str">
        <f aca="false">IF(BC373&lt;=0,"",IF(CF373="Aussen","Aussenlager",IF(CF373="-","Nicht im Lift",IF(BI373&gt;=1,"Lift",IF(BI373&lt;=0,"Aussenlager","teilweise")))))</f>
        <v>Lift</v>
      </c>
      <c r="BM373" s="48" t="str">
        <f aca="false">IF(A373="","",IF(BV373=1,"Neu; ","")&amp;IF(AND(BV373=0,BQ373&lt;0),"negativer Bestand (Export "&amp;BQ373&amp;"); ","")&amp;IF(J373&lt;=0,"Kein Verbrauch; ","")&amp;IF(CQ373&gt;0,"Lift "&amp;W373&amp;" lt. Liftbericht (Fach "&amp;X373&amp;" Stk); ",IF(CA373=1,"Gebinde geschätzt ("&amp;T373&amp;"); ",IF(BZ373=1,"Lose – Tablare geschätzt; ","")))&amp;IF(H373&gt;AV373,"Überbestand "&amp;ROUND(H373-AV373,0)&amp;" Stk / CHF "&amp;ROUND((H373-AV373)*G373,0)&amp;"; ","")&amp;IF(AND(CH373=1,CI373&lt;CJ373),"MAX &lt; MB+LG; ","")&amp;IF(AND(CP373&gt;0,CO373*10&gt;CP373),"zu hoch für Tablar; ","")&amp;IF(AND(BV373=0,OR(CH373=1,AA373&lt;&gt;"",U373&lt;&gt;"",V373&lt;&gt;"",AB373&lt;&gt;"")),"manuell übersteuert; ","")&amp;IF(AND(BZ373=0,R373=0),"Gebinde unbekannt / Stellmass fehlt; ","")&amp;IF(AND(BZ373=0,N(V373)&lt;=0,N(Q373)&lt;=0),"Menge pro Gebinde fehlt (Ist = 1 Gebinde); ","")&amp;BU373)</f>
        <v/>
      </c>
      <c r="BN373" s="48"/>
      <c r="BO373" s="48"/>
      <c r="BP373" s="55"/>
      <c r="BQ373" s="50" t="n">
        <v>9</v>
      </c>
      <c r="BR373" s="50" t="n">
        <v>6</v>
      </c>
      <c r="BS373" s="49" t="n">
        <v>146.07</v>
      </c>
      <c r="BT373" s="50" t="n">
        <v>20</v>
      </c>
      <c r="BU373" s="48"/>
      <c r="BV373" s="53" t="n">
        <v>0</v>
      </c>
      <c r="BW373" s="53" t="n">
        <v>373</v>
      </c>
      <c r="BX373" s="48" t="str">
        <f aca="false">IF(U373&lt;&gt;"",UPPER(TRIM(U373)),IF(CA373=1,UPPER(VLOOKUP(T373,Parameter!$I$27:$K$29,2,0)),IF(P373="","LOSE",P373)))</f>
        <v>S41</v>
      </c>
      <c r="BY373" s="50" t="n">
        <f aca="false">IF(BX373="LOSE",1,IF(N(V373)&gt;0,V373,IF(CA373=1,MAX(1,N(VLOOKUP(T373,Parameter!$I$27:$K$29,3,0)),H373,N(N373)),IF(N(Q373)&gt;0,Q373,MAX(1,H373)))))</f>
        <v>16</v>
      </c>
      <c r="BZ373" s="53" t="n">
        <f aca="false">IF(BX373="LOSE",1,0)</f>
        <v>0</v>
      </c>
      <c r="CA373" s="53" t="n">
        <f aca="false">IF(AND(U373="",OR(P373="",P373="LOSE"),T373&lt;&gt;"",N(S373)&lt;=0,ISNUMBER(MATCH(T373,Parameter!$I$27:$I$29,0))),1,0)</f>
        <v>0</v>
      </c>
      <c r="CB373" s="53" t="n">
        <f aca="false">IF(CQ373&gt;0,INDEX(Parameter!$H$5:$H$7,W373)/INDEX(Parameter!$E$5:$E$7,W373),IF(AND(BZ373=0,N(IFERROR(VLOOKUP(BX373,'Gebinde-Kategorie'!$A$5:$N$45,14,0),0))&gt;0),VLOOKUP(BX373,'Gebinde-Kategorie'!$A$5:$N$45,14,0)*10+Parameter!$M$23,Parameter!$M$24))</f>
        <v>155</v>
      </c>
      <c r="CC373" s="48" t="str">
        <f aca="false">IF(AND(Parameter!$B$19="Ja",E373&lt;&gt;"",ISNUMBER(MATCH(E373,Parameter!$I$35:$I$52,0))),VLOOKUP(E373,Parameter!$I$35:$J$52,2,0),IFERROR(VLOOKUP(D373,Parameter!$A$35:$C$64,2,0),"Nein"))</f>
        <v>2+3</v>
      </c>
      <c r="CD373" s="52" t="n">
        <f aca="false">IF(BZ373=0,0,IF(N(S373)&gt;0,S373,IFERROR(VLOOKUP(D373,Parameter!$A$35:$C$64,3,0)+0,0)))</f>
        <v>0</v>
      </c>
      <c r="CE373" s="48" t="n">
        <f aca="false">IF(AA373&lt;&gt;"",AA373,Z373)</f>
        <v>3</v>
      </c>
      <c r="CF373" s="48" t="str">
        <f aca="false">IF(OR(CE373=1,CE373=2,CE373=3),IF(Parameter!$E$27="Ja","LIFT",IF(CE373=1,"L1","L23")),IF(CE373="Aussen","Aussen","-"))</f>
        <v>LIFT</v>
      </c>
      <c r="CG373" s="59" t="n">
        <f aca="false">IF(N(AB373)&gt;0,AB373,0)</f>
        <v>0</v>
      </c>
      <c r="CH373" s="53" t="n">
        <f aca="false">IF(ISNUMBER(AE373),1,0)</f>
        <v>0</v>
      </c>
      <c r="CI373" s="50" t="n">
        <f aca="false">N(AE373)</f>
        <v>0</v>
      </c>
      <c r="CJ373" s="50" t="n">
        <f aca="false">N(M373)+N(N373)</f>
        <v>20</v>
      </c>
      <c r="CK373" s="50" t="n">
        <f aca="false">N(M373)</f>
        <v>0</v>
      </c>
      <c r="CL373" s="50" t="n">
        <f aca="false">N(N373)</f>
        <v>20</v>
      </c>
      <c r="CM373" s="50" t="n">
        <f aca="false">ROUNDUP(H373/BY373,0)</f>
        <v>1</v>
      </c>
      <c r="CN373" s="50" t="n">
        <f aca="false">ROUNDUP(CI373/BY373,0)</f>
        <v>0</v>
      </c>
      <c r="CO373" s="53" t="n">
        <f aca="false">IF(BZ373=1,0,IFERROR(VLOOKUP(BX373,'Gebinde-Kategorie'!$A$5:$N$45,5,0)+0,0))</f>
        <v>11</v>
      </c>
      <c r="CP373" s="53" t="n">
        <f aca="false">IFERROR(IF(OR(CE373=1,CE373=2,CE373=3),N(INDEX(Parameter!$I$5:$I$7,CE373)),0),0)</f>
        <v>0</v>
      </c>
      <c r="CQ373" s="52" t="n">
        <f aca="false">IF(AND(Parameter!$B$21="Ja",ISNUMBER(W373),N(X373)&gt;0),IFERROR(N(INDEX(Parameter!$L$5:$L$7,W373))*INDEX(Parameter!$E$5:$E$7,W373)*X373/SUMIFS($X$7:$X$1843,$W$7:$W$1843,W373),0),0)</f>
        <v>0</v>
      </c>
    </row>
    <row r="374" customFormat="false" ht="15" hidden="false" customHeight="false" outlineLevel="0" collapsed="false">
      <c r="A374" s="48" t="s">
        <v>902</v>
      </c>
      <c r="B374" s="48" t="s">
        <v>903</v>
      </c>
      <c r="C374" s="48" t="s">
        <v>173</v>
      </c>
      <c r="D374" s="48" t="s">
        <v>193</v>
      </c>
      <c r="E374" s="48" t="s">
        <v>194</v>
      </c>
      <c r="F374" s="48" t="s">
        <v>227</v>
      </c>
      <c r="G374" s="49" t="n">
        <v>1.38</v>
      </c>
      <c r="H374" s="50" t="n">
        <f aca="false">MAX(0,IF(AND(Parameter!$B$21="Ja",ISNUMBER(Y374)),Y374,IF(Parameter!$B$20="Jahresanfang 2025 + Export",BR374+BQ374,BQ374)))</f>
        <v>366</v>
      </c>
      <c r="I374" s="50" t="n">
        <f aca="false">H374*G374</f>
        <v>505.08</v>
      </c>
      <c r="J374" s="50" t="n">
        <f aca="false">BT374*Parameter!$B$18</f>
        <v>2</v>
      </c>
      <c r="K374" s="51" t="n">
        <v>296.5</v>
      </c>
      <c r="L374" s="52" t="n">
        <v>0.00674536256323777</v>
      </c>
      <c r="M374" s="50" t="n">
        <v>0</v>
      </c>
      <c r="N374" s="50" t="n">
        <v>1</v>
      </c>
      <c r="O374" s="53" t="n">
        <v>21</v>
      </c>
      <c r="P374" s="48" t="s">
        <v>430</v>
      </c>
      <c r="Q374" s="50" t="n">
        <v>169</v>
      </c>
      <c r="R374" s="53" t="n">
        <f aca="false">IF(BZ374=1,0,IFERROR(VLOOKUP(BX374,'Gebinde-Kategorie'!$A$5:$N$45,13,0)+0,0))</f>
        <v>104</v>
      </c>
      <c r="S374" s="54"/>
      <c r="T374" s="55"/>
      <c r="U374" s="55"/>
      <c r="V374" s="55"/>
      <c r="W374" s="48"/>
      <c r="X374" s="50"/>
      <c r="Y374" s="50"/>
      <c r="Z374" s="48" t="n">
        <f aca="false">IF(A374="","",IF(AND(Parameter!$B$21="Ja",ISNUMBER(W374)),W374,IF(CC374="2+3",IF(ISNUMBER(SEARCH("grosser Artikel",BU374)),2,IFERROR(VLOOKUP(BX374,Parameter!$F$35:$G$64,2,0),2)),IF(OR(CC374="Nein",CC374=""),"-",CC374))))</f>
        <v>3</v>
      </c>
      <c r="AA374" s="55"/>
      <c r="AB374" s="56"/>
      <c r="AC374" s="50" t="n">
        <f aca="false">AV374</f>
        <v>2</v>
      </c>
      <c r="AD374" s="50" t="n">
        <f aca="false">MAX(AV374,H374)</f>
        <v>366</v>
      </c>
      <c r="AE374" s="57"/>
      <c r="AF374" s="50" t="n">
        <f aca="false">IF(LEFT(Cockpit!$C$5,1)="A",H374,IF(Parameter!$E$30="MAX-Bestand",IF(CH374=1,CI374,IF(LEFT(Cockpit!$C$5,1)="B",AL374,MAX(AL374,H374))),ROUNDUP(AJ374,0)))</f>
        <v>366</v>
      </c>
      <c r="AG374" s="50" t="n">
        <f aca="false">IF(BZ374=1,0,ROUNDUP(AF374/BY374,0))</f>
        <v>3</v>
      </c>
      <c r="AH374" s="52" t="n">
        <f aca="false">IF(CQ374&gt;0,CQ374*MAX(1,AF374/X374),IF(BZ374=1,IF(AF374&lt;=0,0,CD374*MAX(1,IF(H374&gt;0,AF374/H374,1))),IF(R374&gt;0,AG374/R374,0))/MAX(0.1,N(Parameter!$M$21)))</f>
        <v>0.0288461538461538</v>
      </c>
      <c r="AI374" s="50" t="n">
        <f aca="false">AH374*CB374</f>
        <v>4.47115384615385</v>
      </c>
      <c r="AJ374" s="51" t="n">
        <f aca="false">IF(LEFT(Cockpit!$C$5,1)="A",H374,IF(CH374=1,(CK374+CI374)/2,IF(LEFT(Cockpit!$C$5,1)="B",(CK374+AL374)/2,MAX((CK374+AL374)/2,H374))))</f>
        <v>366</v>
      </c>
      <c r="AK374" s="50" t="n">
        <f aca="false">AJ374*G374</f>
        <v>505.08</v>
      </c>
      <c r="AL374" s="50" t="n">
        <f aca="false">ROUNDUP(CK374+MAX(CL374,2*(J374/IF(CG374&gt;0,CG374,MAX(0.1,N(Cockpit!$C$6)))-CK374)),0)</f>
        <v>2</v>
      </c>
      <c r="AM374" s="51" t="n">
        <f aca="false">IF(AI374&gt;0,J374/AI374,-1)</f>
        <v>0.447311827956989</v>
      </c>
      <c r="AN374" s="51" t="n">
        <f aca="false">IF(AND(OR(CF374="L1",CF374="L23",CF374="LIFT"),AI374&gt;0),SUMIFS($AI$7:$AI$1843,$CF$7:$CF$1843,CF374,$AM$7:$AM$1843,"&gt;"&amp;AM374)+SUMIFS($AI$7:$AI$1843,$CF$7:$CF$1843,CF374,$AM$7:$AM$1843,AM374,$BW$7:$BW$1843,"&lt;="&amp;BW374),"")</f>
        <v>9865.74356128805</v>
      </c>
      <c r="AO374" s="58" t="n">
        <f aca="false">IF(AN374="",0,MAX(0,MIN(1,(IF(CF374="L1",Parameter!$H$5,IF(CF374="L23",Parameter!$H$6+Parameter!$H$7,Parameter!$H$5+Parameter!$H$6+Parameter!$H$7))-(AN374-AI374))/AI374)))</f>
        <v>1</v>
      </c>
      <c r="AP374" s="50" t="n">
        <f aca="false">IF(LEFT(Cockpit!$I$5,1)="A",H374,IF(Parameter!$E$30="MAX-Bestand",IF(CH374=1,CI374,IF(LEFT(Cockpit!$I$5,1)="B",AV374,MAX(AV374,H374))),ROUNDUP(AT374,0)))</f>
        <v>366</v>
      </c>
      <c r="AQ374" s="50" t="n">
        <f aca="false">IF(BZ374=1,0,ROUNDUP(AP374/BY374,0))</f>
        <v>3</v>
      </c>
      <c r="AR374" s="52" t="n">
        <f aca="false">IF(CQ374&gt;0,CQ374*MAX(1,AP374/X374),IF(BZ374=1,IF(AP374&lt;=0,0,CD374*MAX(1,IF(H374&gt;0,AP374/H374,1))),IF(R374&gt;0,AQ374/R374,0))/MAX(0.1,N(Parameter!$M$21)))</f>
        <v>0.0288461538461538</v>
      </c>
      <c r="AS374" s="50" t="n">
        <f aca="false">AR374*CB374</f>
        <v>4.47115384615385</v>
      </c>
      <c r="AT374" s="51" t="n">
        <f aca="false">IF(LEFT(Cockpit!$I$5,1)="A",H374,IF(CH374=1,(CK374+CI374)/2,IF(LEFT(Cockpit!$I$5,1)="B",(CK374+AV374)/2,MAX((CK374+AV374)/2,H374))))</f>
        <v>366</v>
      </c>
      <c r="AU374" s="50" t="n">
        <f aca="false">AT374*G374</f>
        <v>505.08</v>
      </c>
      <c r="AV374" s="50" t="n">
        <f aca="false">ROUNDUP(CK374+MAX(CL374,2*(J374/IF(CG374&gt;0,CG374,MAX(0.1,N(Cockpit!$I$6)))-CK374)),0)</f>
        <v>2</v>
      </c>
      <c r="AW374" s="51" t="n">
        <f aca="false">IF(AS374&gt;0,J374/AS374,-1)</f>
        <v>0.447311827956989</v>
      </c>
      <c r="AX374" s="51" t="n">
        <f aca="false">IF(AND(OR(CF374="L1",CF374="L23",CF374="LIFT"),AS374&gt;0),SUMIFS($AS$7:$AS$1843,$CF$7:$CF$1843,CF374,$AW$7:$AW$1843,"&gt;"&amp;AW374)+SUMIFS($AS$7:$AS$1843,$CF$7:$CF$1843,CF374,$AW$7:$AW$1843,AW374,$BW$7:$BW$1843,"&lt;="&amp;BW374),"")</f>
        <v>12279.5801282051</v>
      </c>
      <c r="AY374" s="58" t="n">
        <f aca="false">IF(AX374="",0,MAX(0,MIN(1,(IF(CF374="L1",Parameter!$H$5,IF(CF374="L23",Parameter!$H$6+Parameter!$H$7,Parameter!$H$5+Parameter!$H$6+Parameter!$H$7))-(AX374-AS374))/AS374)))</f>
        <v>1</v>
      </c>
      <c r="AZ374" s="50" t="n">
        <f aca="false">IF(LEFT(Cockpit!$O$5,1)="A",H374,IF(Parameter!$E$30="MAX-Bestand",IF(CH374=1,CI374,IF(LEFT(Cockpit!$O$5,1)="B",BF374,MAX(BF374,H374))),ROUNDUP(BD374,0)))</f>
        <v>1</v>
      </c>
      <c r="BA374" s="50" t="n">
        <f aca="false">IF(BZ374=1,0,ROUNDUP(AZ374/BY374,0))</f>
        <v>1</v>
      </c>
      <c r="BB374" s="52" t="n">
        <f aca="false">IF(CQ374&gt;0,CQ374*MAX(1,AZ374/X374),IF(BZ374=1,IF(AZ374&lt;=0,0,CD374*MAX(1,IF(H374&gt;0,AZ374/H374,1))),IF(R374&gt;0,BA374/R374,0))/MAX(0.1,N(Parameter!$M$21)))</f>
        <v>0.00961538461538462</v>
      </c>
      <c r="BC374" s="50" t="n">
        <f aca="false">BB374*CB374</f>
        <v>1.49038461538462</v>
      </c>
      <c r="BD374" s="51" t="n">
        <f aca="false">IF(LEFT(Cockpit!$O$5,1)="A",H374,IF(CH374=1,(CK374+CI374)/2,IF(LEFT(Cockpit!$O$5,1)="B",(CK374+BF374)/2,MAX((CK374+BF374)/2,H374))))</f>
        <v>0.5</v>
      </c>
      <c r="BE374" s="50" t="n">
        <f aca="false">BD374*G374</f>
        <v>0.69</v>
      </c>
      <c r="BF374" s="50" t="n">
        <f aca="false">ROUNDUP(CK374+MAX(CL374,2*(J374/IF(CG374&gt;0,CG374,MAX(0.1,N(Cockpit!$O$6)))-CK374)),0)</f>
        <v>1</v>
      </c>
      <c r="BG374" s="51" t="n">
        <f aca="false">IF(BC374&gt;0,J374/BC374,-1)</f>
        <v>1.34193548387097</v>
      </c>
      <c r="BH374" s="51" t="n">
        <f aca="false">IF(AND(OR(CF374="L1",CF374="L23",CF374="LIFT"),BC374&gt;0),SUMIFS($BC$7:$BC$1843,$CF$7:$CF$1843,CF374,$BG$7:$BG$1843,"&gt;"&amp;BG374)+SUMIFS($BC$7:$BC$1843,$CF$7:$CF$1843,CF374,$BG$7:$BG$1843,BG374,$BW$7:$BW$1843,"&lt;="&amp;BW374),"")</f>
        <v>6782.11446886447</v>
      </c>
      <c r="BI374" s="58" t="n">
        <f aca="false">IF(BH374="",0,MAX(0,MIN(1,(IF(CF374="L1",Parameter!$H$5,IF(CF374="L23",Parameter!$H$6+Parameter!$H$7,Parameter!$H$5+Parameter!$H$6+Parameter!$H$7))-(BH374-BC374))/BC374)))</f>
        <v>1</v>
      </c>
      <c r="BJ374" s="48" t="str">
        <f aca="false">IF(AI374&lt;=0,"",IF(CF374="Aussen","Aussenlager",IF(CF374="-","Nicht im Lift",IF(AO374&gt;=1,"Lift",IF(AO374&lt;=0,"Aussenlager","teilweise")))))</f>
        <v>Lift</v>
      </c>
      <c r="BK374" s="48" t="str">
        <f aca="false">IF(AS374&lt;=0,"",IF(CF374="Aussen","Aussenlager",IF(CF374="-","Nicht im Lift",IF(AY374&gt;=1,"Lift",IF(AY374&lt;=0,"Aussenlager","teilweise")))))</f>
        <v>Lift</v>
      </c>
      <c r="BL374" s="48" t="str">
        <f aca="false">IF(BC374&lt;=0,"",IF(CF374="Aussen","Aussenlager",IF(CF374="-","Nicht im Lift",IF(BI374&gt;=1,"Lift",IF(BI374&lt;=0,"Aussenlager","teilweise")))))</f>
        <v>Lift</v>
      </c>
      <c r="BM374" s="48" t="str">
        <f aca="false">IF(A374="","",IF(BV374=1,"Neu; ","")&amp;IF(AND(BV374=0,BQ374&lt;0),"negativer Bestand (Export "&amp;BQ374&amp;"); ","")&amp;IF(J374&lt;=0,"Kein Verbrauch; ","")&amp;IF(CQ374&gt;0,"Lift "&amp;W374&amp;" lt. Liftbericht (Fach "&amp;X374&amp;" Stk); ",IF(CA374=1,"Gebinde geschätzt ("&amp;T374&amp;"); ",IF(BZ374=1,"Lose – Tablare geschätzt; ","")))&amp;IF(H374&gt;AV374,"Überbestand "&amp;ROUND(H374-AV374,0)&amp;" Stk / CHF "&amp;ROUND((H374-AV374)*G374,0)&amp;"; ","")&amp;IF(AND(CH374=1,CI374&lt;CJ374),"MAX &lt; MB+LG; ","")&amp;IF(AND(CP374&gt;0,CO374*10&gt;CP374),"zu hoch für Tablar; ","")&amp;IF(AND(BV374=0,OR(CH374=1,AA374&lt;&gt;"",U374&lt;&gt;"",V374&lt;&gt;"",AB374&lt;&gt;"")),"manuell übersteuert; ","")&amp;IF(AND(BZ374=0,R374=0),"Gebinde unbekannt / Stellmass fehlt; ","")&amp;IF(AND(BZ374=0,N(V374)&lt;=0,N(Q374)&lt;=0),"Menge pro Gebinde fehlt (Ist = 1 Gebinde); ","")&amp;BU374)</f>
        <v>Überbestand 364 Stk / CHF 502; Handlager</v>
      </c>
      <c r="BN374" s="48"/>
      <c r="BO374" s="48"/>
      <c r="BP374" s="55"/>
      <c r="BQ374" s="50" t="n">
        <v>102</v>
      </c>
      <c r="BR374" s="50" t="n">
        <v>264</v>
      </c>
      <c r="BS374" s="49" t="n">
        <v>140.76</v>
      </c>
      <c r="BT374" s="50" t="n">
        <v>2</v>
      </c>
      <c r="BU374" s="48" t="s">
        <v>904</v>
      </c>
      <c r="BV374" s="53" t="n">
        <v>0</v>
      </c>
      <c r="BW374" s="53" t="n">
        <v>374</v>
      </c>
      <c r="BX374" s="48" t="str">
        <f aca="false">IF(U374&lt;&gt;"",UPPER(TRIM(U374)),IF(CA374=1,UPPER(VLOOKUP(T374,Parameter!$I$27:$K$29,2,0)),IF(P374="","LOSE",P374)))</f>
        <v>S32</v>
      </c>
      <c r="BY374" s="50" t="n">
        <f aca="false">IF(BX374="LOSE",1,IF(N(V374)&gt;0,V374,IF(CA374=1,MAX(1,N(VLOOKUP(T374,Parameter!$I$27:$K$29,3,0)),H374,N(N374)),IF(N(Q374)&gt;0,Q374,MAX(1,H374)))))</f>
        <v>169</v>
      </c>
      <c r="BZ374" s="53" t="n">
        <f aca="false">IF(BX374="LOSE",1,0)</f>
        <v>0</v>
      </c>
      <c r="CA374" s="53" t="n">
        <f aca="false">IF(AND(U374="",OR(P374="",P374="LOSE"),T374&lt;&gt;"",N(S374)&lt;=0,ISNUMBER(MATCH(T374,Parameter!$I$27:$I$29,0))),1,0)</f>
        <v>0</v>
      </c>
      <c r="CB374" s="53" t="n">
        <f aca="false">IF(CQ374&gt;0,INDEX(Parameter!$H$5:$H$7,W374)/INDEX(Parameter!$E$5:$E$7,W374),IF(AND(BZ374=0,N(IFERROR(VLOOKUP(BX374,'Gebinde-Kategorie'!$A$5:$N$45,14,0),0))&gt;0),VLOOKUP(BX374,'Gebinde-Kategorie'!$A$5:$N$45,14,0)*10+Parameter!$M$23,Parameter!$M$24))</f>
        <v>155</v>
      </c>
      <c r="CC374" s="48" t="str">
        <f aca="false">IF(AND(Parameter!$B$19="Ja",E374&lt;&gt;"",ISNUMBER(MATCH(E374,Parameter!$I$35:$I$52,0))),VLOOKUP(E374,Parameter!$I$35:$J$52,2,0),IFERROR(VLOOKUP(D374,Parameter!$A$35:$C$64,2,0),"Nein"))</f>
        <v>2+3</v>
      </c>
      <c r="CD374" s="52" t="n">
        <f aca="false">IF(BZ374=0,0,IF(N(S374)&gt;0,S374,IFERROR(VLOOKUP(D374,Parameter!$A$35:$C$64,3,0)+0,0)))</f>
        <v>0</v>
      </c>
      <c r="CE374" s="48" t="n">
        <f aca="false">IF(AA374&lt;&gt;"",AA374,Z374)</f>
        <v>3</v>
      </c>
      <c r="CF374" s="48" t="str">
        <f aca="false">IF(OR(CE374=1,CE374=2,CE374=3),IF(Parameter!$E$27="Ja","LIFT",IF(CE374=1,"L1","L23")),IF(CE374="Aussen","Aussen","-"))</f>
        <v>LIFT</v>
      </c>
      <c r="CG374" s="59" t="n">
        <f aca="false">IF(N(AB374)&gt;0,AB374,0)</f>
        <v>0</v>
      </c>
      <c r="CH374" s="53" t="n">
        <f aca="false">IF(ISNUMBER(AE374),1,0)</f>
        <v>0</v>
      </c>
      <c r="CI374" s="50" t="n">
        <f aca="false">N(AE374)</f>
        <v>0</v>
      </c>
      <c r="CJ374" s="50" t="n">
        <f aca="false">N(M374)+N(N374)</f>
        <v>1</v>
      </c>
      <c r="CK374" s="50" t="n">
        <f aca="false">N(M374)</f>
        <v>0</v>
      </c>
      <c r="CL374" s="50" t="n">
        <f aca="false">N(N374)</f>
        <v>1</v>
      </c>
      <c r="CM374" s="50" t="n">
        <f aca="false">ROUNDUP(H374/BY374,0)</f>
        <v>3</v>
      </c>
      <c r="CN374" s="50" t="n">
        <f aca="false">ROUNDUP(CI374/BY374,0)</f>
        <v>0</v>
      </c>
      <c r="CO374" s="53" t="n">
        <f aca="false">IF(BZ374=1,0,IFERROR(VLOOKUP(BX374,'Gebinde-Kategorie'!$A$5:$N$45,5,0)+0,0))</f>
        <v>8</v>
      </c>
      <c r="CP374" s="53" t="n">
        <f aca="false">IFERROR(IF(OR(CE374=1,CE374=2,CE374=3),N(INDEX(Parameter!$I$5:$I$7,CE374)),0),0)</f>
        <v>0</v>
      </c>
      <c r="CQ374" s="52" t="n">
        <f aca="false">IF(AND(Parameter!$B$21="Ja",ISNUMBER(W374),N(X374)&gt;0),IFERROR(N(INDEX(Parameter!$L$5:$L$7,W374))*INDEX(Parameter!$E$5:$E$7,W374)*X374/SUMIFS($X$7:$X$1843,$W$7:$W$1843,W374),0),0)</f>
        <v>0</v>
      </c>
    </row>
    <row r="375" customFormat="false" ht="15" hidden="false" customHeight="false" outlineLevel="0" collapsed="false">
      <c r="A375" s="48" t="s">
        <v>905</v>
      </c>
      <c r="B375" s="48" t="s">
        <v>412</v>
      </c>
      <c r="C375" s="48" t="s">
        <v>173</v>
      </c>
      <c r="D375" s="48" t="s">
        <v>193</v>
      </c>
      <c r="E375" s="48" t="s">
        <v>194</v>
      </c>
      <c r="F375" s="48" t="s">
        <v>227</v>
      </c>
      <c r="G375" s="49" t="n">
        <v>0.6</v>
      </c>
      <c r="H375" s="50" t="n">
        <f aca="false">MAX(0,IF(AND(Parameter!$B$21="Ja",ISNUMBER(Y375)),Y375,IF(Parameter!$B$20="Jahresanfang 2025 + Export",BR375+BQ375,BQ375)))</f>
        <v>450</v>
      </c>
      <c r="I375" s="50" t="n">
        <f aca="false">H375*G375</f>
        <v>270</v>
      </c>
      <c r="J375" s="50" t="n">
        <f aca="false">BT375*Parameter!$B$18</f>
        <v>561</v>
      </c>
      <c r="K375" s="51" t="n">
        <v>360</v>
      </c>
      <c r="L375" s="52" t="n">
        <v>1.55833333333333</v>
      </c>
      <c r="M375" s="50" t="n">
        <v>33</v>
      </c>
      <c r="N375" s="50" t="n">
        <v>600</v>
      </c>
      <c r="O375" s="53" t="n">
        <v>21</v>
      </c>
      <c r="P375" s="48" t="s">
        <v>302</v>
      </c>
      <c r="Q375" s="50" t="n">
        <v>449</v>
      </c>
      <c r="R375" s="53" t="n">
        <f aca="false">IF(BZ375=1,0,IFERROR(VLOOKUP(BX375,'Gebinde-Kategorie'!$A$5:$N$45,13,0)+0,0))</f>
        <v>12</v>
      </c>
      <c r="S375" s="54"/>
      <c r="T375" s="55"/>
      <c r="U375" s="55"/>
      <c r="V375" s="55"/>
      <c r="W375" s="48"/>
      <c r="X375" s="50"/>
      <c r="Y375" s="50"/>
      <c r="Z375" s="48" t="n">
        <f aca="false">IF(A375="","",IF(AND(Parameter!$B$21="Ja",ISNUMBER(W375)),W375,IF(CC375="2+3",IF(ISNUMBER(SEARCH("grosser Artikel",BU375)),2,IFERROR(VLOOKUP(BX375,Parameter!$F$35:$G$64,2,0),2)),IF(OR(CC375="Nein",CC375=""),"-",CC375))))</f>
        <v>2</v>
      </c>
      <c r="AA375" s="55"/>
      <c r="AB375" s="56"/>
      <c r="AC375" s="50" t="n">
        <f aca="false">AV375</f>
        <v>633</v>
      </c>
      <c r="AD375" s="50" t="n">
        <f aca="false">MAX(AV375,H375)</f>
        <v>633</v>
      </c>
      <c r="AE375" s="57"/>
      <c r="AF375" s="50" t="n">
        <f aca="false">IF(LEFT(Cockpit!$C$5,1)="A",H375,IF(Parameter!$E$30="MAX-Bestand",IF(CH375=1,CI375,IF(LEFT(Cockpit!$C$5,1)="B",AL375,MAX(AL375,H375))),ROUNDUP(AJ375,0)))</f>
        <v>450</v>
      </c>
      <c r="AG375" s="50" t="n">
        <f aca="false">IF(BZ375=1,0,ROUNDUP(AF375/BY375,0))</f>
        <v>2</v>
      </c>
      <c r="AH375" s="52" t="n">
        <f aca="false">IF(CQ375&gt;0,CQ375*MAX(1,AF375/X375),IF(BZ375=1,IF(AF375&lt;=0,0,CD375*MAX(1,IF(H375&gt;0,AF375/H375,1))),IF(R375&gt;0,AG375/R375,0))/MAX(0.1,N(Parameter!$M$21)))</f>
        <v>0.166666666666667</v>
      </c>
      <c r="AI375" s="50" t="n">
        <f aca="false">AH375*CB375</f>
        <v>40.8333333333333</v>
      </c>
      <c r="AJ375" s="51" t="n">
        <f aca="false">IF(LEFT(Cockpit!$C$5,1)="A",H375,IF(CH375=1,(CK375+CI375)/2,IF(LEFT(Cockpit!$C$5,1)="B",(CK375+AL375)/2,MAX((CK375+AL375)/2,H375))))</f>
        <v>450</v>
      </c>
      <c r="AK375" s="50" t="n">
        <f aca="false">AJ375*G375</f>
        <v>270</v>
      </c>
      <c r="AL375" s="50" t="n">
        <f aca="false">ROUNDUP(CK375+MAX(CL375,2*(J375/IF(CG375&gt;0,CG375,MAX(0.1,N(Cockpit!$C$6)))-CK375)),0)</f>
        <v>633</v>
      </c>
      <c r="AM375" s="51" t="n">
        <f aca="false">IF(AI375&gt;0,J375/AI375,-1)</f>
        <v>13.7387755102041</v>
      </c>
      <c r="AN375" s="51" t="n">
        <f aca="false">IF(AND(OR(CF375="L1",CF375="L23",CF375="LIFT"),AI375&gt;0),SUMIFS($AI$7:$AI$1843,$CF$7:$CF$1843,CF375,$AM$7:$AM$1843,"&gt;"&amp;AM375)+SUMIFS($AI$7:$AI$1843,$CF$7:$CF$1843,CF375,$AM$7:$AM$1843,AM375,$BW$7:$BW$1843,"&lt;="&amp;BW375),"")</f>
        <v>2272.44597069597</v>
      </c>
      <c r="AO375" s="58" t="n">
        <f aca="false">IF(AN375="",0,MAX(0,MIN(1,(IF(CF375="L1",Parameter!$H$5,IF(CF375="L23",Parameter!$H$6+Parameter!$H$7,Parameter!$H$5+Parameter!$H$6+Parameter!$H$7))-(AN375-AI375))/AI375)))</f>
        <v>1</v>
      </c>
      <c r="AP375" s="50" t="n">
        <f aca="false">IF(LEFT(Cockpit!$I$5,1)="A",H375,IF(Parameter!$E$30="MAX-Bestand",IF(CH375=1,CI375,IF(LEFT(Cockpit!$I$5,1)="B",AV375,MAX(AV375,H375))),ROUNDUP(AT375,0)))</f>
        <v>450</v>
      </c>
      <c r="AQ375" s="50" t="n">
        <f aca="false">IF(BZ375=1,0,ROUNDUP(AP375/BY375,0))</f>
        <v>2</v>
      </c>
      <c r="AR375" s="52" t="n">
        <f aca="false">IF(CQ375&gt;0,CQ375*MAX(1,AP375/X375),IF(BZ375=1,IF(AP375&lt;=0,0,CD375*MAX(1,IF(H375&gt;0,AP375/H375,1))),IF(R375&gt;0,AQ375/R375,0))/MAX(0.1,N(Parameter!$M$21)))</f>
        <v>0.166666666666667</v>
      </c>
      <c r="AS375" s="50" t="n">
        <f aca="false">AR375*CB375</f>
        <v>40.8333333333333</v>
      </c>
      <c r="AT375" s="51" t="n">
        <f aca="false">IF(LEFT(Cockpit!$I$5,1)="A",H375,IF(CH375=1,(CK375+CI375)/2,IF(LEFT(Cockpit!$I$5,1)="B",(CK375+AV375)/2,MAX((CK375+AV375)/2,H375))))</f>
        <v>450</v>
      </c>
      <c r="AU375" s="50" t="n">
        <f aca="false">AT375*G375</f>
        <v>270</v>
      </c>
      <c r="AV375" s="50" t="n">
        <f aca="false">ROUNDUP(CK375+MAX(CL375,2*(J375/IF(CG375&gt;0,CG375,MAX(0.1,N(Cockpit!$I$6)))-CK375)),0)</f>
        <v>633</v>
      </c>
      <c r="AW375" s="51" t="n">
        <f aca="false">IF(AS375&gt;0,J375/AS375,-1)</f>
        <v>13.7387755102041</v>
      </c>
      <c r="AX375" s="51" t="n">
        <f aca="false">IF(AND(OR(CF375="L1",CF375="L23",CF375="LIFT"),AS375&gt;0),SUMIFS($AS$7:$AS$1843,$CF$7:$CF$1843,CF375,$AW$7:$AW$1843,"&gt;"&amp;AW375)+SUMIFS($AS$7:$AS$1843,$CF$7:$CF$1843,CF375,$AW$7:$AW$1843,AW375,$BW$7:$BW$1843,"&lt;="&amp;BW375),"")</f>
        <v>2891.63278388278</v>
      </c>
      <c r="AY375" s="58" t="n">
        <f aca="false">IF(AX375="",0,MAX(0,MIN(1,(IF(CF375="L1",Parameter!$H$5,IF(CF375="L23",Parameter!$H$6+Parameter!$H$7,Parameter!$H$5+Parameter!$H$6+Parameter!$H$7))-(AX375-AS375))/AS375)))</f>
        <v>1</v>
      </c>
      <c r="AZ375" s="50" t="n">
        <f aca="false">IF(LEFT(Cockpit!$O$5,1)="A",H375,IF(Parameter!$E$30="MAX-Bestand",IF(CH375=1,CI375,IF(LEFT(Cockpit!$O$5,1)="B",BF375,MAX(BF375,H375))),ROUNDUP(BD375,0)))</f>
        <v>333</v>
      </c>
      <c r="BA375" s="50" t="n">
        <f aca="false">IF(BZ375=1,0,ROUNDUP(AZ375/BY375,0))</f>
        <v>1</v>
      </c>
      <c r="BB375" s="52" t="n">
        <f aca="false">IF(CQ375&gt;0,CQ375*MAX(1,AZ375/X375),IF(BZ375=1,IF(AZ375&lt;=0,0,CD375*MAX(1,IF(H375&gt;0,AZ375/H375,1))),IF(R375&gt;0,BA375/R375,0))/MAX(0.1,N(Parameter!$M$21)))</f>
        <v>0.0833333333333333</v>
      </c>
      <c r="BC375" s="50" t="n">
        <f aca="false">BB375*CB375</f>
        <v>20.4166666666667</v>
      </c>
      <c r="BD375" s="51" t="n">
        <f aca="false">IF(LEFT(Cockpit!$O$5,1)="A",H375,IF(CH375=1,(CK375+CI375)/2,IF(LEFT(Cockpit!$O$5,1)="B",(CK375+BF375)/2,MAX((CK375+BF375)/2,H375))))</f>
        <v>333</v>
      </c>
      <c r="BE375" s="50" t="n">
        <f aca="false">BD375*G375</f>
        <v>199.8</v>
      </c>
      <c r="BF375" s="50" t="n">
        <f aca="false">ROUNDUP(CK375+MAX(CL375,2*(J375/IF(CG375&gt;0,CG375,MAX(0.1,N(Cockpit!$O$6)))-CK375)),0)</f>
        <v>633</v>
      </c>
      <c r="BG375" s="51" t="n">
        <f aca="false">IF(BC375&gt;0,J375/BC375,-1)</f>
        <v>27.4775510204082</v>
      </c>
      <c r="BH375" s="51" t="n">
        <f aca="false">IF(AND(OR(CF375="L1",CF375="L23",CF375="LIFT"),BC375&gt;0),SUMIFS($BC$7:$BC$1843,$CF$7:$CF$1843,CF375,$BG$7:$BG$1843,"&gt;"&amp;BG375)+SUMIFS($BC$7:$BC$1843,$CF$7:$CF$1843,CF375,$BG$7:$BG$1843,BG375,$BW$7:$BW$1843,"&lt;="&amp;BW375),"")</f>
        <v>1938.73534798535</v>
      </c>
      <c r="BI375" s="58" t="n">
        <f aca="false">IF(BH375="",0,MAX(0,MIN(1,(IF(CF375="L1",Parameter!$H$5,IF(CF375="L23",Parameter!$H$6+Parameter!$H$7,Parameter!$H$5+Parameter!$H$6+Parameter!$H$7))-(BH375-BC375))/BC375)))</f>
        <v>1</v>
      </c>
      <c r="BJ375" s="48" t="str">
        <f aca="false">IF(AI375&lt;=0,"",IF(CF375="Aussen","Aussenlager",IF(CF375="-","Nicht im Lift",IF(AO375&gt;=1,"Lift",IF(AO375&lt;=0,"Aussenlager","teilweise")))))</f>
        <v>Lift</v>
      </c>
      <c r="BK375" s="48" t="str">
        <f aca="false">IF(AS375&lt;=0,"",IF(CF375="Aussen","Aussenlager",IF(CF375="-","Nicht im Lift",IF(AY375&gt;=1,"Lift",IF(AY375&lt;=0,"Aussenlager","teilweise")))))</f>
        <v>Lift</v>
      </c>
      <c r="BL375" s="48" t="str">
        <f aca="false">IF(BC375&lt;=0,"",IF(CF375="Aussen","Aussenlager",IF(CF375="-","Nicht im Lift",IF(BI375&gt;=1,"Lift",IF(BI375&lt;=0,"Aussenlager","teilweise")))))</f>
        <v>Lift</v>
      </c>
      <c r="BM375" s="48" t="str">
        <f aca="false">IF(A375="","",IF(BV375=1,"Neu; ","")&amp;IF(AND(BV375=0,BQ375&lt;0),"negativer Bestand (Export "&amp;BQ375&amp;"); ","")&amp;IF(J375&lt;=0,"Kein Verbrauch; ","")&amp;IF(CQ375&gt;0,"Lift "&amp;W375&amp;" lt. Liftbericht (Fach "&amp;X375&amp;" Stk); ",IF(CA375=1,"Gebinde geschätzt ("&amp;T375&amp;"); ",IF(BZ375=1,"Lose – Tablare geschätzt; ","")))&amp;IF(H375&gt;AV375,"Überbestand "&amp;ROUND(H375-AV375,0)&amp;" Stk / CHF "&amp;ROUND((H375-AV375)*G375,0)&amp;"; ","")&amp;IF(AND(CH375=1,CI375&lt;CJ375),"MAX &lt; MB+LG; ","")&amp;IF(AND(CP375&gt;0,CO375*10&gt;CP375),"zu hoch für Tablar; ","")&amp;IF(AND(BV375=0,OR(CH375=1,AA375&lt;&gt;"",U375&lt;&gt;"",V375&lt;&gt;"",AB375&lt;&gt;"")),"manuell übersteuert; ","")&amp;IF(AND(BZ375=0,R375=0),"Gebinde unbekannt / Stellmass fehlt; ","")&amp;IF(AND(BZ375=0,N(V375)&lt;=0,N(Q375)&lt;=0),"Menge pro Gebinde fehlt (Ist = 1 Gebinde); ","")&amp;BU375)</f>
        <v/>
      </c>
      <c r="BN375" s="48"/>
      <c r="BO375" s="48"/>
      <c r="BP375" s="55"/>
      <c r="BQ375" s="50" t="n">
        <v>229</v>
      </c>
      <c r="BR375" s="50" t="n">
        <v>221</v>
      </c>
      <c r="BS375" s="49" t="n">
        <v>139.61</v>
      </c>
      <c r="BT375" s="50" t="n">
        <v>561</v>
      </c>
      <c r="BU375" s="48"/>
      <c r="BV375" s="53" t="n">
        <v>0</v>
      </c>
      <c r="BW375" s="53" t="n">
        <v>375</v>
      </c>
      <c r="BX375" s="48" t="str">
        <f aca="false">IF(U375&lt;&gt;"",UPPER(TRIM(U375)),IF(CA375=1,UPPER(VLOOKUP(T375,Parameter!$I$27:$K$29,2,0)),IF(P375="","LOSE",P375)))</f>
        <v>S62</v>
      </c>
      <c r="BY375" s="50" t="n">
        <f aca="false">IF(BX375="LOSE",1,IF(N(V375)&gt;0,V375,IF(CA375=1,MAX(1,N(VLOOKUP(T375,Parameter!$I$27:$K$29,3,0)),H375,N(N375)),IF(N(Q375)&gt;0,Q375,MAX(1,H375)))))</f>
        <v>449</v>
      </c>
      <c r="BZ375" s="53" t="n">
        <f aca="false">IF(BX375="LOSE",1,0)</f>
        <v>0</v>
      </c>
      <c r="CA375" s="53" t="n">
        <f aca="false">IF(AND(U375="",OR(P375="",P375="LOSE"),T375&lt;&gt;"",N(S375)&lt;=0,ISNUMBER(MATCH(T375,Parameter!$I$27:$I$29,0))),1,0)</f>
        <v>0</v>
      </c>
      <c r="CB375" s="53" t="n">
        <f aca="false">IF(CQ375&gt;0,INDEX(Parameter!$H$5:$H$7,W375)/INDEX(Parameter!$E$5:$E$7,W375),IF(AND(BZ375=0,N(IFERROR(VLOOKUP(BX375,'Gebinde-Kategorie'!$A$5:$N$45,14,0),0))&gt;0),VLOOKUP(BX375,'Gebinde-Kategorie'!$A$5:$N$45,14,0)*10+Parameter!$M$23,Parameter!$M$24))</f>
        <v>245</v>
      </c>
      <c r="CC375" s="48" t="str">
        <f aca="false">IF(AND(Parameter!$B$19="Ja",E375&lt;&gt;"",ISNUMBER(MATCH(E375,Parameter!$I$35:$I$52,0))),VLOOKUP(E375,Parameter!$I$35:$J$52,2,0),IFERROR(VLOOKUP(D375,Parameter!$A$35:$C$64,2,0),"Nein"))</f>
        <v>2+3</v>
      </c>
      <c r="CD375" s="52" t="n">
        <f aca="false">IF(BZ375=0,0,IF(N(S375)&gt;0,S375,IFERROR(VLOOKUP(D375,Parameter!$A$35:$C$64,3,0)+0,0)))</f>
        <v>0</v>
      </c>
      <c r="CE375" s="48" t="n">
        <f aca="false">IF(AA375&lt;&gt;"",AA375,Z375)</f>
        <v>2</v>
      </c>
      <c r="CF375" s="48" t="str">
        <f aca="false">IF(OR(CE375=1,CE375=2,CE375=3),IF(Parameter!$E$27="Ja","LIFT",IF(CE375=1,"L1","L23")),IF(CE375="Aussen","Aussen","-"))</f>
        <v>LIFT</v>
      </c>
      <c r="CG375" s="59" t="n">
        <f aca="false">IF(N(AB375)&gt;0,AB375,0)</f>
        <v>0</v>
      </c>
      <c r="CH375" s="53" t="n">
        <f aca="false">IF(ISNUMBER(AE375),1,0)</f>
        <v>0</v>
      </c>
      <c r="CI375" s="50" t="n">
        <f aca="false">N(AE375)</f>
        <v>0</v>
      </c>
      <c r="CJ375" s="50" t="n">
        <f aca="false">N(M375)+N(N375)</f>
        <v>633</v>
      </c>
      <c r="CK375" s="50" t="n">
        <f aca="false">N(M375)</f>
        <v>33</v>
      </c>
      <c r="CL375" s="50" t="n">
        <f aca="false">N(N375)</f>
        <v>600</v>
      </c>
      <c r="CM375" s="50" t="n">
        <f aca="false">ROUNDUP(H375/BY375,0)</f>
        <v>2</v>
      </c>
      <c r="CN375" s="50" t="n">
        <f aca="false">ROUNDUP(CI375/BY375,0)</f>
        <v>0</v>
      </c>
      <c r="CO375" s="53" t="n">
        <f aca="false">IF(BZ375=1,0,IFERROR(VLOOKUP(BX375,'Gebinde-Kategorie'!$A$5:$N$45,5,0)+0,0))</f>
        <v>21</v>
      </c>
      <c r="CP375" s="53" t="n">
        <f aca="false">IFERROR(IF(OR(CE375=1,CE375=2,CE375=3),N(INDEX(Parameter!$I$5:$I$7,CE375)),0),0)</f>
        <v>0</v>
      </c>
      <c r="CQ375" s="52" t="n">
        <f aca="false">IF(AND(Parameter!$B$21="Ja",ISNUMBER(W375),N(X375)&gt;0),IFERROR(N(INDEX(Parameter!$L$5:$L$7,W375))*INDEX(Parameter!$E$5:$E$7,W375)*X375/SUMIFS($X$7:$X$1843,$W$7:$W$1843,W375),0),0)</f>
        <v>0</v>
      </c>
    </row>
    <row r="376" customFormat="false" ht="15" hidden="false" customHeight="false" outlineLevel="0" collapsed="false">
      <c r="A376" s="48" t="s">
        <v>906</v>
      </c>
      <c r="B376" s="48" t="s">
        <v>907</v>
      </c>
      <c r="C376" s="48" t="s">
        <v>173</v>
      </c>
      <c r="D376" s="48" t="s">
        <v>193</v>
      </c>
      <c r="E376" s="48" t="s">
        <v>194</v>
      </c>
      <c r="F376" s="48" t="s">
        <v>227</v>
      </c>
      <c r="G376" s="49" t="n">
        <v>2.5</v>
      </c>
      <c r="H376" s="50" t="n">
        <f aca="false">MAX(0,IF(AND(Parameter!$B$21="Ja",ISNUMBER(Y376)),Y376,IF(Parameter!$B$20="Jahresanfang 2025 + Export",BR376+BQ376,BQ376)))</f>
        <v>98</v>
      </c>
      <c r="I376" s="50" t="n">
        <f aca="false">H376*G376</f>
        <v>245</v>
      </c>
      <c r="J376" s="50" t="n">
        <f aca="false">BT376*Parameter!$B$18</f>
        <v>69</v>
      </c>
      <c r="K376" s="51" t="n">
        <v>61.5</v>
      </c>
      <c r="L376" s="52" t="n">
        <v>1.1219512195122</v>
      </c>
      <c r="M376" s="50" t="n">
        <v>4</v>
      </c>
      <c r="N376" s="50" t="n">
        <v>100</v>
      </c>
      <c r="O376" s="53" t="n">
        <v>21</v>
      </c>
      <c r="P376" s="48" t="s">
        <v>430</v>
      </c>
      <c r="Q376" s="50" t="n">
        <v>102</v>
      </c>
      <c r="R376" s="53" t="n">
        <f aca="false">IF(BZ376=1,0,IFERROR(VLOOKUP(BX376,'Gebinde-Kategorie'!$A$5:$N$45,13,0)+0,0))</f>
        <v>104</v>
      </c>
      <c r="S376" s="54"/>
      <c r="T376" s="55"/>
      <c r="U376" s="55"/>
      <c r="V376" s="55"/>
      <c r="W376" s="48"/>
      <c r="X376" s="50"/>
      <c r="Y376" s="50"/>
      <c r="Z376" s="48" t="n">
        <f aca="false">IF(A376="","",IF(AND(Parameter!$B$21="Ja",ISNUMBER(W376)),W376,IF(CC376="2+3",IF(ISNUMBER(SEARCH("grosser Artikel",BU376)),2,IFERROR(VLOOKUP(BX376,Parameter!$F$35:$G$64,2,0),2)),IF(OR(CC376="Nein",CC376=""),"-",CC376))))</f>
        <v>3</v>
      </c>
      <c r="AA376" s="55"/>
      <c r="AB376" s="56"/>
      <c r="AC376" s="50" t="n">
        <f aca="false">AV376</f>
        <v>104</v>
      </c>
      <c r="AD376" s="50" t="n">
        <f aca="false">MAX(AV376,H376)</f>
        <v>104</v>
      </c>
      <c r="AE376" s="57"/>
      <c r="AF376" s="50" t="n">
        <f aca="false">IF(LEFT(Cockpit!$C$5,1)="A",H376,IF(Parameter!$E$30="MAX-Bestand",IF(CH376=1,CI376,IF(LEFT(Cockpit!$C$5,1)="B",AL376,MAX(AL376,H376))),ROUNDUP(AJ376,0)))</f>
        <v>98</v>
      </c>
      <c r="AG376" s="50" t="n">
        <f aca="false">IF(BZ376=1,0,ROUNDUP(AF376/BY376,0))</f>
        <v>1</v>
      </c>
      <c r="AH376" s="52" t="n">
        <f aca="false">IF(CQ376&gt;0,CQ376*MAX(1,AF376/X376),IF(BZ376=1,IF(AF376&lt;=0,0,CD376*MAX(1,IF(H376&gt;0,AF376/H376,1))),IF(R376&gt;0,AG376/R376,0))/MAX(0.1,N(Parameter!$M$21)))</f>
        <v>0.00961538461538462</v>
      </c>
      <c r="AI376" s="50" t="n">
        <f aca="false">AH376*CB376</f>
        <v>1.49038461538462</v>
      </c>
      <c r="AJ376" s="51" t="n">
        <f aca="false">IF(LEFT(Cockpit!$C$5,1)="A",H376,IF(CH376=1,(CK376+CI376)/2,IF(LEFT(Cockpit!$C$5,1)="B",(CK376+AL376)/2,MAX((CK376+AL376)/2,H376))))</f>
        <v>98</v>
      </c>
      <c r="AK376" s="50" t="n">
        <f aca="false">AJ376*G376</f>
        <v>245</v>
      </c>
      <c r="AL376" s="50" t="n">
        <f aca="false">ROUNDUP(CK376+MAX(CL376,2*(J376/IF(CG376&gt;0,CG376,MAX(0.1,N(Cockpit!$C$6)))-CK376)),0)</f>
        <v>104</v>
      </c>
      <c r="AM376" s="51" t="n">
        <f aca="false">IF(AI376&gt;0,J376/AI376,-1)</f>
        <v>46.2967741935484</v>
      </c>
      <c r="AN376" s="51" t="n">
        <f aca="false">IF(AND(OR(CF376="L1",CF376="L23",CF376="LIFT"),AI376&gt;0),SUMIFS($AI$7:$AI$1843,$CF$7:$CF$1843,CF376,$AM$7:$AM$1843,"&gt;"&amp;AM376)+SUMIFS($AI$7:$AI$1843,$CF$7:$CF$1843,CF376,$AM$7:$AM$1843,AM376,$BW$7:$BW$1843,"&lt;="&amp;BW376),"")</f>
        <v>1159.37637362637</v>
      </c>
      <c r="AO376" s="58" t="n">
        <f aca="false">IF(AN376="",0,MAX(0,MIN(1,(IF(CF376="L1",Parameter!$H$5,IF(CF376="L23",Parameter!$H$6+Parameter!$H$7,Parameter!$H$5+Parameter!$H$6+Parameter!$H$7))-(AN376-AI376))/AI376)))</f>
        <v>1</v>
      </c>
      <c r="AP376" s="50" t="n">
        <f aca="false">IF(LEFT(Cockpit!$I$5,1)="A",H376,IF(Parameter!$E$30="MAX-Bestand",IF(CH376=1,CI376,IF(LEFT(Cockpit!$I$5,1)="B",AV376,MAX(AV376,H376))),ROUNDUP(AT376,0)))</f>
        <v>98</v>
      </c>
      <c r="AQ376" s="50" t="n">
        <f aca="false">IF(BZ376=1,0,ROUNDUP(AP376/BY376,0))</f>
        <v>1</v>
      </c>
      <c r="AR376" s="52" t="n">
        <f aca="false">IF(CQ376&gt;0,CQ376*MAX(1,AP376/X376),IF(BZ376=1,IF(AP376&lt;=0,0,CD376*MAX(1,IF(H376&gt;0,AP376/H376,1))),IF(R376&gt;0,AQ376/R376,0))/MAX(0.1,N(Parameter!$M$21)))</f>
        <v>0.00961538461538462</v>
      </c>
      <c r="AS376" s="50" t="n">
        <f aca="false">AR376*CB376</f>
        <v>1.49038461538462</v>
      </c>
      <c r="AT376" s="51" t="n">
        <f aca="false">IF(LEFT(Cockpit!$I$5,1)="A",H376,IF(CH376=1,(CK376+CI376)/2,IF(LEFT(Cockpit!$I$5,1)="B",(CK376+AV376)/2,MAX((CK376+AV376)/2,H376))))</f>
        <v>98</v>
      </c>
      <c r="AU376" s="50" t="n">
        <f aca="false">AT376*G376</f>
        <v>245</v>
      </c>
      <c r="AV376" s="50" t="n">
        <f aca="false">ROUNDUP(CK376+MAX(CL376,2*(J376/IF(CG376&gt;0,CG376,MAX(0.1,N(Cockpit!$I$6)))-CK376)),0)</f>
        <v>104</v>
      </c>
      <c r="AW376" s="51" t="n">
        <f aca="false">IF(AS376&gt;0,J376/AS376,-1)</f>
        <v>46.2967741935484</v>
      </c>
      <c r="AX376" s="51" t="n">
        <f aca="false">IF(AND(OR(CF376="L1",CF376="L23",CF376="LIFT"),AS376&gt;0),SUMIFS($AS$7:$AS$1843,$CF$7:$CF$1843,CF376,$AW$7:$AW$1843,"&gt;"&amp;AW376)+SUMIFS($AS$7:$AS$1843,$CF$7:$CF$1843,CF376,$AW$7:$AW$1843,AW376,$BW$7:$BW$1843,"&lt;="&amp;BW376),"")</f>
        <v>1444.09798534799</v>
      </c>
      <c r="AY376" s="58" t="n">
        <f aca="false">IF(AX376="",0,MAX(0,MIN(1,(IF(CF376="L1",Parameter!$H$5,IF(CF376="L23",Parameter!$H$6+Parameter!$H$7,Parameter!$H$5+Parameter!$H$6+Parameter!$H$7))-(AX376-AS376))/AS376)))</f>
        <v>1</v>
      </c>
      <c r="AZ376" s="50" t="n">
        <f aca="false">IF(LEFT(Cockpit!$O$5,1)="A",H376,IF(Parameter!$E$30="MAX-Bestand",IF(CH376=1,CI376,IF(LEFT(Cockpit!$O$5,1)="B",BF376,MAX(BF376,H376))),ROUNDUP(BD376,0)))</f>
        <v>54</v>
      </c>
      <c r="BA376" s="50" t="n">
        <f aca="false">IF(BZ376=1,0,ROUNDUP(AZ376/BY376,0))</f>
        <v>1</v>
      </c>
      <c r="BB376" s="52" t="n">
        <f aca="false">IF(CQ376&gt;0,CQ376*MAX(1,AZ376/X376),IF(BZ376=1,IF(AZ376&lt;=0,0,CD376*MAX(1,IF(H376&gt;0,AZ376/H376,1))),IF(R376&gt;0,BA376/R376,0))/MAX(0.1,N(Parameter!$M$21)))</f>
        <v>0.00961538461538462</v>
      </c>
      <c r="BC376" s="50" t="n">
        <f aca="false">BB376*CB376</f>
        <v>1.49038461538462</v>
      </c>
      <c r="BD376" s="51" t="n">
        <f aca="false">IF(LEFT(Cockpit!$O$5,1)="A",H376,IF(CH376=1,(CK376+CI376)/2,IF(LEFT(Cockpit!$O$5,1)="B",(CK376+BF376)/2,MAX((CK376+BF376)/2,H376))))</f>
        <v>54</v>
      </c>
      <c r="BE376" s="50" t="n">
        <f aca="false">BD376*G376</f>
        <v>135</v>
      </c>
      <c r="BF376" s="50" t="n">
        <f aca="false">ROUNDUP(CK376+MAX(CL376,2*(J376/IF(CG376&gt;0,CG376,MAX(0.1,N(Cockpit!$O$6)))-CK376)),0)</f>
        <v>104</v>
      </c>
      <c r="BG376" s="51" t="n">
        <f aca="false">IF(BC376&gt;0,J376/BC376,-1)</f>
        <v>46.2967741935484</v>
      </c>
      <c r="BH376" s="51" t="n">
        <f aca="false">IF(AND(OR(CF376="L1",CF376="L23",CF376="LIFT"),BC376&gt;0),SUMIFS($BC$7:$BC$1843,$CF$7:$CF$1843,CF376,$BG$7:$BG$1843,"&gt;"&amp;BG376)+SUMIFS($BC$7:$BC$1843,$CF$7:$CF$1843,CF376,$BG$7:$BG$1843,BG376,$BW$7:$BW$1843,"&lt;="&amp;BW376),"")</f>
        <v>1222.08241758242</v>
      </c>
      <c r="BI376" s="58" t="n">
        <f aca="false">IF(BH376="",0,MAX(0,MIN(1,(IF(CF376="L1",Parameter!$H$5,IF(CF376="L23",Parameter!$H$6+Parameter!$H$7,Parameter!$H$5+Parameter!$H$6+Parameter!$H$7))-(BH376-BC376))/BC376)))</f>
        <v>1</v>
      </c>
      <c r="BJ376" s="48" t="str">
        <f aca="false">IF(AI376&lt;=0,"",IF(CF376="Aussen","Aussenlager",IF(CF376="-","Nicht im Lift",IF(AO376&gt;=1,"Lift",IF(AO376&lt;=0,"Aussenlager","teilweise")))))</f>
        <v>Lift</v>
      </c>
      <c r="BK376" s="48" t="str">
        <f aca="false">IF(AS376&lt;=0,"",IF(CF376="Aussen","Aussenlager",IF(CF376="-","Nicht im Lift",IF(AY376&gt;=1,"Lift",IF(AY376&lt;=0,"Aussenlager","teilweise")))))</f>
        <v>Lift</v>
      </c>
      <c r="BL376" s="48" t="str">
        <f aca="false">IF(BC376&lt;=0,"",IF(CF376="Aussen","Aussenlager",IF(CF376="-","Nicht im Lift",IF(BI376&gt;=1,"Lift",IF(BI376&lt;=0,"Aussenlager","teilweise")))))</f>
        <v>Lift</v>
      </c>
      <c r="BM376" s="48" t="str">
        <f aca="false">IF(A376="","",IF(BV376=1,"Neu; ","")&amp;IF(AND(BV376=0,BQ376&lt;0),"negativer Bestand (Export "&amp;BQ376&amp;"); ","")&amp;IF(J376&lt;=0,"Kein Verbrauch; ","")&amp;IF(CQ376&gt;0,"Lift "&amp;W376&amp;" lt. Liftbericht (Fach "&amp;X376&amp;" Stk); ",IF(CA376=1,"Gebinde geschätzt ("&amp;T376&amp;"); ",IF(BZ376=1,"Lose – Tablare geschätzt; ","")))&amp;IF(H376&gt;AV376,"Überbestand "&amp;ROUND(H376-AV376,0)&amp;" Stk / CHF "&amp;ROUND((H376-AV376)*G376,0)&amp;"; ","")&amp;IF(AND(CH376=1,CI376&lt;CJ376),"MAX &lt; MB+LG; ","")&amp;IF(AND(CP376&gt;0,CO376*10&gt;CP376),"zu hoch für Tablar; ","")&amp;IF(AND(BV376=0,OR(CH376=1,AA376&lt;&gt;"",U376&lt;&gt;"",V376&lt;&gt;"",AB376&lt;&gt;"")),"manuell übersteuert; ","")&amp;IF(AND(BZ376=0,R376=0),"Gebinde unbekannt / Stellmass fehlt; ","")&amp;IF(AND(BZ376=0,N(V376)&lt;=0,N(Q376)&lt;=0),"Menge pro Gebinde fehlt (Ist = 1 Gebinde); ","")&amp;BU376)</f>
        <v>Neu</v>
      </c>
      <c r="BN376" s="48"/>
      <c r="BO376" s="48"/>
      <c r="BP376" s="55"/>
      <c r="BQ376" s="50" t="n">
        <v>56</v>
      </c>
      <c r="BR376" s="50" t="n">
        <v>42</v>
      </c>
      <c r="BS376" s="49" t="n">
        <v>137.9</v>
      </c>
      <c r="BT376" s="50" t="n">
        <v>69</v>
      </c>
      <c r="BU376" s="48" t="s">
        <v>635</v>
      </c>
      <c r="BV376" s="53" t="n">
        <v>0</v>
      </c>
      <c r="BW376" s="53" t="n">
        <v>376</v>
      </c>
      <c r="BX376" s="48" t="str">
        <f aca="false">IF(U376&lt;&gt;"",UPPER(TRIM(U376)),IF(CA376=1,UPPER(VLOOKUP(T376,Parameter!$I$27:$K$29,2,0)),IF(P376="","LOSE",P376)))</f>
        <v>S32</v>
      </c>
      <c r="BY376" s="50" t="n">
        <f aca="false">IF(BX376="LOSE",1,IF(N(V376)&gt;0,V376,IF(CA376=1,MAX(1,N(VLOOKUP(T376,Parameter!$I$27:$K$29,3,0)),H376,N(N376)),IF(N(Q376)&gt;0,Q376,MAX(1,H376)))))</f>
        <v>102</v>
      </c>
      <c r="BZ376" s="53" t="n">
        <f aca="false">IF(BX376="LOSE",1,0)</f>
        <v>0</v>
      </c>
      <c r="CA376" s="53" t="n">
        <f aca="false">IF(AND(U376="",OR(P376="",P376="LOSE"),T376&lt;&gt;"",N(S376)&lt;=0,ISNUMBER(MATCH(T376,Parameter!$I$27:$I$29,0))),1,0)</f>
        <v>0</v>
      </c>
      <c r="CB376" s="53" t="n">
        <f aca="false">IF(CQ376&gt;0,INDEX(Parameter!$H$5:$H$7,W376)/INDEX(Parameter!$E$5:$E$7,W376),IF(AND(BZ376=0,N(IFERROR(VLOOKUP(BX376,'Gebinde-Kategorie'!$A$5:$N$45,14,0),0))&gt;0),VLOOKUP(BX376,'Gebinde-Kategorie'!$A$5:$N$45,14,0)*10+Parameter!$M$23,Parameter!$M$24))</f>
        <v>155</v>
      </c>
      <c r="CC376" s="48" t="str">
        <f aca="false">IF(AND(Parameter!$B$19="Ja",E376&lt;&gt;"",ISNUMBER(MATCH(E376,Parameter!$I$35:$I$52,0))),VLOOKUP(E376,Parameter!$I$35:$J$52,2,0),IFERROR(VLOOKUP(D376,Parameter!$A$35:$C$64,2,0),"Nein"))</f>
        <v>2+3</v>
      </c>
      <c r="CD376" s="52" t="n">
        <f aca="false">IF(BZ376=0,0,IF(N(S376)&gt;0,S376,IFERROR(VLOOKUP(D376,Parameter!$A$35:$C$64,3,0)+0,0)))</f>
        <v>0</v>
      </c>
      <c r="CE376" s="48" t="n">
        <f aca="false">IF(AA376&lt;&gt;"",AA376,Z376)</f>
        <v>3</v>
      </c>
      <c r="CF376" s="48" t="str">
        <f aca="false">IF(OR(CE376=1,CE376=2,CE376=3),IF(Parameter!$E$27="Ja","LIFT",IF(CE376=1,"L1","L23")),IF(CE376="Aussen","Aussen","-"))</f>
        <v>LIFT</v>
      </c>
      <c r="CG376" s="59" t="n">
        <f aca="false">IF(N(AB376)&gt;0,AB376,0)</f>
        <v>0</v>
      </c>
      <c r="CH376" s="53" t="n">
        <f aca="false">IF(ISNUMBER(AE376),1,0)</f>
        <v>0</v>
      </c>
      <c r="CI376" s="50" t="n">
        <f aca="false">N(AE376)</f>
        <v>0</v>
      </c>
      <c r="CJ376" s="50" t="n">
        <f aca="false">N(M376)+N(N376)</f>
        <v>104</v>
      </c>
      <c r="CK376" s="50" t="n">
        <f aca="false">N(M376)</f>
        <v>4</v>
      </c>
      <c r="CL376" s="50" t="n">
        <f aca="false">N(N376)</f>
        <v>100</v>
      </c>
      <c r="CM376" s="50" t="n">
        <f aca="false">ROUNDUP(H376/BY376,0)</f>
        <v>1</v>
      </c>
      <c r="CN376" s="50" t="n">
        <f aca="false">ROUNDUP(CI376/BY376,0)</f>
        <v>0</v>
      </c>
      <c r="CO376" s="53" t="n">
        <f aca="false">IF(BZ376=1,0,IFERROR(VLOOKUP(BX376,'Gebinde-Kategorie'!$A$5:$N$45,5,0)+0,0))</f>
        <v>8</v>
      </c>
      <c r="CP376" s="53" t="n">
        <f aca="false">IFERROR(IF(OR(CE376=1,CE376=2,CE376=3),N(INDEX(Parameter!$I$5:$I$7,CE376)),0),0)</f>
        <v>0</v>
      </c>
      <c r="CQ376" s="52" t="n">
        <f aca="false">IF(AND(Parameter!$B$21="Ja",ISNUMBER(W376),N(X376)&gt;0),IFERROR(N(INDEX(Parameter!$L$5:$L$7,W376))*INDEX(Parameter!$E$5:$E$7,W376)*X376/SUMIFS($X$7:$X$1843,$W$7:$W$1843,W376),0),0)</f>
        <v>0</v>
      </c>
    </row>
    <row r="377" customFormat="false" ht="15" hidden="false" customHeight="false" outlineLevel="0" collapsed="false">
      <c r="A377" s="48" t="s">
        <v>908</v>
      </c>
      <c r="B377" s="48" t="s">
        <v>909</v>
      </c>
      <c r="C377" s="48" t="s">
        <v>173</v>
      </c>
      <c r="D377" s="48" t="s">
        <v>193</v>
      </c>
      <c r="E377" s="48" t="s">
        <v>194</v>
      </c>
      <c r="F377" s="48" t="s">
        <v>227</v>
      </c>
      <c r="G377" s="49" t="n">
        <v>56.62</v>
      </c>
      <c r="H377" s="50" t="n">
        <f aca="false">MAX(0,IF(AND(Parameter!$B$21="Ja",ISNUMBER(Y377)),Y377,IF(Parameter!$B$20="Jahresanfang 2025 + Export",BR377+BQ377,BQ377)))</f>
        <v>5</v>
      </c>
      <c r="I377" s="50" t="n">
        <f aca="false">H377*G377</f>
        <v>283.1</v>
      </c>
      <c r="J377" s="50" t="n">
        <f aca="false">BT377*Parameter!$B$18</f>
        <v>5</v>
      </c>
      <c r="K377" s="51" t="n">
        <v>4.5</v>
      </c>
      <c r="L377" s="52" t="n">
        <v>1.11111111111111</v>
      </c>
      <c r="M377" s="50" t="n">
        <v>0</v>
      </c>
      <c r="N377" s="50" t="n">
        <v>5</v>
      </c>
      <c r="O377" s="53" t="n">
        <v>21</v>
      </c>
      <c r="P377" s="48" t="s">
        <v>430</v>
      </c>
      <c r="Q377" s="50" t="n">
        <v>9</v>
      </c>
      <c r="R377" s="53" t="n">
        <f aca="false">IF(BZ377=1,0,IFERROR(VLOOKUP(BX377,'Gebinde-Kategorie'!$A$5:$N$45,13,0)+0,0))</f>
        <v>104</v>
      </c>
      <c r="S377" s="54"/>
      <c r="T377" s="55"/>
      <c r="U377" s="55"/>
      <c r="V377" s="55"/>
      <c r="W377" s="48"/>
      <c r="X377" s="50"/>
      <c r="Y377" s="50"/>
      <c r="Z377" s="48" t="n">
        <f aca="false">IF(A377="","",IF(AND(Parameter!$B$21="Ja",ISNUMBER(W377)),W377,IF(CC377="2+3",IF(ISNUMBER(SEARCH("grosser Artikel",BU377)),2,IFERROR(VLOOKUP(BX377,Parameter!$F$35:$G$64,2,0),2)),IF(OR(CC377="Nein",CC377=""),"-",CC377))))</f>
        <v>3</v>
      </c>
      <c r="AA377" s="55"/>
      <c r="AB377" s="56"/>
      <c r="AC377" s="50" t="n">
        <f aca="false">AV377</f>
        <v>5</v>
      </c>
      <c r="AD377" s="50" t="n">
        <f aca="false">MAX(AV377,H377)</f>
        <v>5</v>
      </c>
      <c r="AE377" s="57"/>
      <c r="AF377" s="50" t="n">
        <f aca="false">IF(LEFT(Cockpit!$C$5,1)="A",H377,IF(Parameter!$E$30="MAX-Bestand",IF(CH377=1,CI377,IF(LEFT(Cockpit!$C$5,1)="B",AL377,MAX(AL377,H377))),ROUNDUP(AJ377,0)))</f>
        <v>5</v>
      </c>
      <c r="AG377" s="50" t="n">
        <f aca="false">IF(BZ377=1,0,ROUNDUP(AF377/BY377,0))</f>
        <v>1</v>
      </c>
      <c r="AH377" s="52" t="n">
        <f aca="false">IF(CQ377&gt;0,CQ377*MAX(1,AF377/X377),IF(BZ377=1,IF(AF377&lt;=0,0,CD377*MAX(1,IF(H377&gt;0,AF377/H377,1))),IF(R377&gt;0,AG377/R377,0))/MAX(0.1,N(Parameter!$M$21)))</f>
        <v>0.00961538461538462</v>
      </c>
      <c r="AI377" s="50" t="n">
        <f aca="false">AH377*CB377</f>
        <v>1.49038461538462</v>
      </c>
      <c r="AJ377" s="51" t="n">
        <f aca="false">IF(LEFT(Cockpit!$C$5,1)="A",H377,IF(CH377=1,(CK377+CI377)/2,IF(LEFT(Cockpit!$C$5,1)="B",(CK377+AL377)/2,MAX((CK377+AL377)/2,H377))))</f>
        <v>5</v>
      </c>
      <c r="AK377" s="50" t="n">
        <f aca="false">AJ377*G377</f>
        <v>283.1</v>
      </c>
      <c r="AL377" s="50" t="n">
        <f aca="false">ROUNDUP(CK377+MAX(CL377,2*(J377/IF(CG377&gt;0,CG377,MAX(0.1,N(Cockpit!$C$6)))-CK377)),0)</f>
        <v>5</v>
      </c>
      <c r="AM377" s="51" t="n">
        <f aca="false">IF(AI377&gt;0,J377/AI377,-1)</f>
        <v>3.35483870967742</v>
      </c>
      <c r="AN377" s="51" t="n">
        <f aca="false">IF(AND(OR(CF377="L1",CF377="L23",CF377="LIFT"),AI377&gt;0),SUMIFS($AI$7:$AI$1843,$CF$7:$CF$1843,CF377,$AM$7:$AM$1843,"&gt;"&amp;AM377)+SUMIFS($AI$7:$AI$1843,$CF$7:$CF$1843,CF377,$AM$7:$AM$1843,AM377,$BW$7:$BW$1843,"&lt;="&amp;BW377),"")</f>
        <v>4913.85714285714</v>
      </c>
      <c r="AO377" s="58" t="n">
        <f aca="false">IF(AN377="",0,MAX(0,MIN(1,(IF(CF377="L1",Parameter!$H$5,IF(CF377="L23",Parameter!$H$6+Parameter!$H$7,Parameter!$H$5+Parameter!$H$6+Parameter!$H$7))-(AN377-AI377))/AI377)))</f>
        <v>1</v>
      </c>
      <c r="AP377" s="50" t="n">
        <f aca="false">IF(LEFT(Cockpit!$I$5,1)="A",H377,IF(Parameter!$E$30="MAX-Bestand",IF(CH377=1,CI377,IF(LEFT(Cockpit!$I$5,1)="B",AV377,MAX(AV377,H377))),ROUNDUP(AT377,0)))</f>
        <v>5</v>
      </c>
      <c r="AQ377" s="50" t="n">
        <f aca="false">IF(BZ377=1,0,ROUNDUP(AP377/BY377,0))</f>
        <v>1</v>
      </c>
      <c r="AR377" s="52" t="n">
        <f aca="false">IF(CQ377&gt;0,CQ377*MAX(1,AP377/X377),IF(BZ377=1,IF(AP377&lt;=0,0,CD377*MAX(1,IF(H377&gt;0,AP377/H377,1))),IF(R377&gt;0,AQ377/R377,0))/MAX(0.1,N(Parameter!$M$21)))</f>
        <v>0.00961538461538462</v>
      </c>
      <c r="AS377" s="50" t="n">
        <f aca="false">AR377*CB377</f>
        <v>1.49038461538462</v>
      </c>
      <c r="AT377" s="51" t="n">
        <f aca="false">IF(LEFT(Cockpit!$I$5,1)="A",H377,IF(CH377=1,(CK377+CI377)/2,IF(LEFT(Cockpit!$I$5,1)="B",(CK377+AV377)/2,MAX((CK377+AV377)/2,H377))))</f>
        <v>5</v>
      </c>
      <c r="AU377" s="50" t="n">
        <f aca="false">AT377*G377</f>
        <v>283.1</v>
      </c>
      <c r="AV377" s="50" t="n">
        <f aca="false">ROUNDUP(CK377+MAX(CL377,2*(J377/IF(CG377&gt;0,CG377,MAX(0.1,N(Cockpit!$I$6)))-CK377)),0)</f>
        <v>5</v>
      </c>
      <c r="AW377" s="51" t="n">
        <f aca="false">IF(AS377&gt;0,J377/AS377,-1)</f>
        <v>3.35483870967742</v>
      </c>
      <c r="AX377" s="51" t="n">
        <f aca="false">IF(AND(OR(CF377="L1",CF377="L23",CF377="LIFT"),AS377&gt;0),SUMIFS($AS$7:$AS$1843,$CF$7:$CF$1843,CF377,$AW$7:$AW$1843,"&gt;"&amp;AW377)+SUMIFS($AS$7:$AS$1843,$CF$7:$CF$1843,CF377,$AW$7:$AW$1843,AW377,$BW$7:$BW$1843,"&lt;="&amp;BW377),"")</f>
        <v>5577.69413919414</v>
      </c>
      <c r="AY377" s="58" t="n">
        <f aca="false">IF(AX377="",0,MAX(0,MIN(1,(IF(CF377="L1",Parameter!$H$5,IF(CF377="L23",Parameter!$H$6+Parameter!$H$7,Parameter!$H$5+Parameter!$H$6+Parameter!$H$7))-(AX377-AS377))/AS377)))</f>
        <v>1</v>
      </c>
      <c r="AZ377" s="50" t="n">
        <f aca="false">IF(LEFT(Cockpit!$O$5,1)="A",H377,IF(Parameter!$E$30="MAX-Bestand",IF(CH377=1,CI377,IF(LEFT(Cockpit!$O$5,1)="B",BF377,MAX(BF377,H377))),ROUNDUP(BD377,0)))</f>
        <v>3</v>
      </c>
      <c r="BA377" s="50" t="n">
        <f aca="false">IF(BZ377=1,0,ROUNDUP(AZ377/BY377,0))</f>
        <v>1</v>
      </c>
      <c r="BB377" s="52" t="n">
        <f aca="false">IF(CQ377&gt;0,CQ377*MAX(1,AZ377/X377),IF(BZ377=1,IF(AZ377&lt;=0,0,CD377*MAX(1,IF(H377&gt;0,AZ377/H377,1))),IF(R377&gt;0,BA377/R377,0))/MAX(0.1,N(Parameter!$M$21)))</f>
        <v>0.00961538461538462</v>
      </c>
      <c r="BC377" s="50" t="n">
        <f aca="false">BB377*CB377</f>
        <v>1.49038461538462</v>
      </c>
      <c r="BD377" s="51" t="n">
        <f aca="false">IF(LEFT(Cockpit!$O$5,1)="A",H377,IF(CH377=1,(CK377+CI377)/2,IF(LEFT(Cockpit!$O$5,1)="B",(CK377+BF377)/2,MAX((CK377+BF377)/2,H377))))</f>
        <v>2.5</v>
      </c>
      <c r="BE377" s="50" t="n">
        <f aca="false">BD377*G377</f>
        <v>141.55</v>
      </c>
      <c r="BF377" s="50" t="n">
        <f aca="false">ROUNDUP(CK377+MAX(CL377,2*(J377/IF(CG377&gt;0,CG377,MAX(0.1,N(Cockpit!$O$6)))-CK377)),0)</f>
        <v>5</v>
      </c>
      <c r="BG377" s="51" t="n">
        <f aca="false">IF(BC377&gt;0,J377/BC377,-1)</f>
        <v>3.35483870967742</v>
      </c>
      <c r="BH377" s="51" t="n">
        <f aca="false">IF(AND(OR(CF377="L1",CF377="L23",CF377="LIFT"),BC377&gt;0),SUMIFS($BC$7:$BC$1843,$CF$7:$CF$1843,CF377,$BG$7:$BG$1843,"&gt;"&amp;BG377)+SUMIFS($BC$7:$BC$1843,$CF$7:$CF$1843,CF377,$BG$7:$BG$1843,BG377,$BW$7:$BW$1843,"&lt;="&amp;BW377),"")</f>
        <v>4572.81593406593</v>
      </c>
      <c r="BI377" s="58" t="n">
        <f aca="false">IF(BH377="",0,MAX(0,MIN(1,(IF(CF377="L1",Parameter!$H$5,IF(CF377="L23",Parameter!$H$6+Parameter!$H$7,Parameter!$H$5+Parameter!$H$6+Parameter!$H$7))-(BH377-BC377))/BC377)))</f>
        <v>1</v>
      </c>
      <c r="BJ377" s="48" t="str">
        <f aca="false">IF(AI377&lt;=0,"",IF(CF377="Aussen","Aussenlager",IF(CF377="-","Nicht im Lift",IF(AO377&gt;=1,"Lift",IF(AO377&lt;=0,"Aussenlager","teilweise")))))</f>
        <v>Lift</v>
      </c>
      <c r="BK377" s="48" t="str">
        <f aca="false">IF(AS377&lt;=0,"",IF(CF377="Aussen","Aussenlager",IF(CF377="-","Nicht im Lift",IF(AY377&gt;=1,"Lift",IF(AY377&lt;=0,"Aussenlager","teilweise")))))</f>
        <v>Lift</v>
      </c>
      <c r="BL377" s="48" t="str">
        <f aca="false">IF(BC377&lt;=0,"",IF(CF377="Aussen","Aussenlager",IF(CF377="-","Nicht im Lift",IF(BI377&gt;=1,"Lift",IF(BI377&lt;=0,"Aussenlager","teilweise")))))</f>
        <v>Lift</v>
      </c>
      <c r="BM377" s="48" t="str">
        <f aca="false">IF(A377="","",IF(BV377=1,"Neu; ","")&amp;IF(AND(BV377=0,BQ377&lt;0),"negativer Bestand (Export "&amp;BQ377&amp;"); ","")&amp;IF(J377&lt;=0,"Kein Verbrauch; ","")&amp;IF(CQ377&gt;0,"Lift "&amp;W377&amp;" lt. Liftbericht (Fach "&amp;X377&amp;" Stk); ",IF(CA377=1,"Gebinde geschätzt ("&amp;T377&amp;"); ",IF(BZ377=1,"Lose – Tablare geschätzt; ","")))&amp;IF(H377&gt;AV377,"Überbestand "&amp;ROUND(H377-AV377,0)&amp;" Stk / CHF "&amp;ROUND((H377-AV377)*G377,0)&amp;"; ","")&amp;IF(AND(CH377=1,CI377&lt;CJ377),"MAX &lt; MB+LG; ","")&amp;IF(AND(CP377&gt;0,CO377*10&gt;CP377),"zu hoch für Tablar; ","")&amp;IF(AND(BV377=0,OR(CH377=1,AA377&lt;&gt;"",U377&lt;&gt;"",V377&lt;&gt;"",AB377&lt;&gt;"")),"manuell übersteuert; ","")&amp;IF(AND(BZ377=0,R377=0),"Gebinde unbekannt / Stellmass fehlt; ","")&amp;IF(AND(BZ377=0,N(V377)&lt;=0,N(Q377)&lt;=0),"Menge pro Gebinde fehlt (Ist = 1 Gebinde); ","")&amp;BU377)</f>
        <v/>
      </c>
      <c r="BN377" s="48"/>
      <c r="BO377" s="48"/>
      <c r="BP377" s="55"/>
      <c r="BQ377" s="50" t="n">
        <v>2</v>
      </c>
      <c r="BR377" s="50" t="n">
        <v>3</v>
      </c>
      <c r="BS377" s="49" t="n">
        <v>136.34</v>
      </c>
      <c r="BT377" s="50" t="n">
        <v>5</v>
      </c>
      <c r="BU377" s="48"/>
      <c r="BV377" s="53" t="n">
        <v>0</v>
      </c>
      <c r="BW377" s="53" t="n">
        <v>377</v>
      </c>
      <c r="BX377" s="48" t="str">
        <f aca="false">IF(U377&lt;&gt;"",UPPER(TRIM(U377)),IF(CA377=1,UPPER(VLOOKUP(T377,Parameter!$I$27:$K$29,2,0)),IF(P377="","LOSE",P377)))</f>
        <v>S32</v>
      </c>
      <c r="BY377" s="50" t="n">
        <f aca="false">IF(BX377="LOSE",1,IF(N(V377)&gt;0,V377,IF(CA377=1,MAX(1,N(VLOOKUP(T377,Parameter!$I$27:$K$29,3,0)),H377,N(N377)),IF(N(Q377)&gt;0,Q377,MAX(1,H377)))))</f>
        <v>9</v>
      </c>
      <c r="BZ377" s="53" t="n">
        <f aca="false">IF(BX377="LOSE",1,0)</f>
        <v>0</v>
      </c>
      <c r="CA377" s="53" t="n">
        <f aca="false">IF(AND(U377="",OR(P377="",P377="LOSE"),T377&lt;&gt;"",N(S377)&lt;=0,ISNUMBER(MATCH(T377,Parameter!$I$27:$I$29,0))),1,0)</f>
        <v>0</v>
      </c>
      <c r="CB377" s="53" t="n">
        <f aca="false">IF(CQ377&gt;0,INDEX(Parameter!$H$5:$H$7,W377)/INDEX(Parameter!$E$5:$E$7,W377),IF(AND(BZ377=0,N(IFERROR(VLOOKUP(BX377,'Gebinde-Kategorie'!$A$5:$N$45,14,0),0))&gt;0),VLOOKUP(BX377,'Gebinde-Kategorie'!$A$5:$N$45,14,0)*10+Parameter!$M$23,Parameter!$M$24))</f>
        <v>155</v>
      </c>
      <c r="CC377" s="48" t="str">
        <f aca="false">IF(AND(Parameter!$B$19="Ja",E377&lt;&gt;"",ISNUMBER(MATCH(E377,Parameter!$I$35:$I$52,0))),VLOOKUP(E377,Parameter!$I$35:$J$52,2,0),IFERROR(VLOOKUP(D377,Parameter!$A$35:$C$64,2,0),"Nein"))</f>
        <v>2+3</v>
      </c>
      <c r="CD377" s="52" t="n">
        <f aca="false">IF(BZ377=0,0,IF(N(S377)&gt;0,S377,IFERROR(VLOOKUP(D377,Parameter!$A$35:$C$64,3,0)+0,0)))</f>
        <v>0</v>
      </c>
      <c r="CE377" s="48" t="n">
        <f aca="false">IF(AA377&lt;&gt;"",AA377,Z377)</f>
        <v>3</v>
      </c>
      <c r="CF377" s="48" t="str">
        <f aca="false">IF(OR(CE377=1,CE377=2,CE377=3),IF(Parameter!$E$27="Ja","LIFT",IF(CE377=1,"L1","L23")),IF(CE377="Aussen","Aussen","-"))</f>
        <v>LIFT</v>
      </c>
      <c r="CG377" s="59" t="n">
        <f aca="false">IF(N(AB377)&gt;0,AB377,0)</f>
        <v>0</v>
      </c>
      <c r="CH377" s="53" t="n">
        <f aca="false">IF(ISNUMBER(AE377),1,0)</f>
        <v>0</v>
      </c>
      <c r="CI377" s="50" t="n">
        <f aca="false">N(AE377)</f>
        <v>0</v>
      </c>
      <c r="CJ377" s="50" t="n">
        <f aca="false">N(M377)+N(N377)</f>
        <v>5</v>
      </c>
      <c r="CK377" s="50" t="n">
        <f aca="false">N(M377)</f>
        <v>0</v>
      </c>
      <c r="CL377" s="50" t="n">
        <f aca="false">N(N377)</f>
        <v>5</v>
      </c>
      <c r="CM377" s="50" t="n">
        <f aca="false">ROUNDUP(H377/BY377,0)</f>
        <v>1</v>
      </c>
      <c r="CN377" s="50" t="n">
        <f aca="false">ROUNDUP(CI377/BY377,0)</f>
        <v>0</v>
      </c>
      <c r="CO377" s="53" t="n">
        <f aca="false">IF(BZ377=1,0,IFERROR(VLOOKUP(BX377,'Gebinde-Kategorie'!$A$5:$N$45,5,0)+0,0))</f>
        <v>8</v>
      </c>
      <c r="CP377" s="53" t="n">
        <f aca="false">IFERROR(IF(OR(CE377=1,CE377=2,CE377=3),N(INDEX(Parameter!$I$5:$I$7,CE377)),0),0)</f>
        <v>0</v>
      </c>
      <c r="CQ377" s="52" t="n">
        <f aca="false">IF(AND(Parameter!$B$21="Ja",ISNUMBER(W377),N(X377)&gt;0),IFERROR(N(INDEX(Parameter!$L$5:$L$7,W377))*INDEX(Parameter!$E$5:$E$7,W377)*X377/SUMIFS($X$7:$X$1843,$W$7:$W$1843,W377),0),0)</f>
        <v>0</v>
      </c>
    </row>
    <row r="378" customFormat="false" ht="15" hidden="false" customHeight="false" outlineLevel="0" collapsed="false">
      <c r="A378" s="48" t="s">
        <v>910</v>
      </c>
      <c r="B378" s="48" t="s">
        <v>911</v>
      </c>
      <c r="C378" s="48" t="s">
        <v>173</v>
      </c>
      <c r="D378" s="48" t="s">
        <v>182</v>
      </c>
      <c r="E378" s="48"/>
      <c r="F378" s="48" t="s">
        <v>227</v>
      </c>
      <c r="G378" s="49" t="n">
        <v>136</v>
      </c>
      <c r="H378" s="50" t="n">
        <f aca="false">MAX(0,IF(AND(Parameter!$B$21="Ja",ISNUMBER(Y378)),Y378,IF(Parameter!$B$20="Jahresanfang 2025 + Export",BR378+BQ378,BQ378)))</f>
        <v>1</v>
      </c>
      <c r="I378" s="50" t="n">
        <f aca="false">H378*G378</f>
        <v>136</v>
      </c>
      <c r="J378" s="50" t="n">
        <f aca="false">BT378*Parameter!$B$18</f>
        <v>0</v>
      </c>
      <c r="K378" s="51" t="n">
        <v>0</v>
      </c>
      <c r="L378" s="52" t="n">
        <v>0</v>
      </c>
      <c r="M378" s="50" t="n">
        <v>0</v>
      </c>
      <c r="N378" s="50" t="n">
        <v>1</v>
      </c>
      <c r="O378" s="53" t="n">
        <v>28</v>
      </c>
      <c r="P378" s="48" t="s">
        <v>177</v>
      </c>
      <c r="Q378" s="50"/>
      <c r="R378" s="53" t="n">
        <f aca="false">IF(BZ378=1,0,IFERROR(VLOOKUP(BX378,'Gebinde-Kategorie'!$A$5:$N$45,13,0)+0,0))</f>
        <v>12</v>
      </c>
      <c r="S378" s="54"/>
      <c r="T378" s="55" t="s">
        <v>188</v>
      </c>
      <c r="U378" s="55"/>
      <c r="V378" s="55"/>
      <c r="W378" s="48"/>
      <c r="X378" s="50"/>
      <c r="Y378" s="50"/>
      <c r="Z378" s="48" t="n">
        <f aca="false">IF(A378="","",IF(AND(Parameter!$B$21="Ja",ISNUMBER(W378)),W378,IF(CC378="2+3",IF(ISNUMBER(SEARCH("grosser Artikel",BU378)),2,IFERROR(VLOOKUP(BX378,Parameter!$F$35:$G$64,2,0),2)),IF(OR(CC378="Nein",CC378=""),"-",CC378))))</f>
        <v>2</v>
      </c>
      <c r="AA378" s="55"/>
      <c r="AB378" s="56"/>
      <c r="AC378" s="50" t="n">
        <f aca="false">AV378</f>
        <v>1</v>
      </c>
      <c r="AD378" s="50" t="n">
        <f aca="false">MAX(AV378,H378)</f>
        <v>1</v>
      </c>
      <c r="AE378" s="57"/>
      <c r="AF378" s="50" t="n">
        <f aca="false">IF(LEFT(Cockpit!$C$5,1)="A",H378,IF(Parameter!$E$30="MAX-Bestand",IF(CH378=1,CI378,IF(LEFT(Cockpit!$C$5,1)="B",AL378,MAX(AL378,H378))),ROUNDUP(AJ378,0)))</f>
        <v>1</v>
      </c>
      <c r="AG378" s="50" t="n">
        <f aca="false">IF(BZ378=1,0,ROUNDUP(AF378/BY378,0))</f>
        <v>1</v>
      </c>
      <c r="AH378" s="52" t="n">
        <f aca="false">IF(CQ378&gt;0,CQ378*MAX(1,AF378/X378),IF(BZ378=1,IF(AF378&lt;=0,0,CD378*MAX(1,IF(H378&gt;0,AF378/H378,1))),IF(R378&gt;0,AG378/R378,0))/MAX(0.1,N(Parameter!$M$21)))</f>
        <v>0.0833333333333333</v>
      </c>
      <c r="AI378" s="50" t="n">
        <f aca="false">AH378*CB378</f>
        <v>12.0833333333333</v>
      </c>
      <c r="AJ378" s="51" t="n">
        <f aca="false">IF(LEFT(Cockpit!$C$5,1)="A",H378,IF(CH378=1,(CK378+CI378)/2,IF(LEFT(Cockpit!$C$5,1)="B",(CK378+AL378)/2,MAX((CK378+AL378)/2,H378))))</f>
        <v>1</v>
      </c>
      <c r="AK378" s="50" t="n">
        <f aca="false">AJ378*G378</f>
        <v>136</v>
      </c>
      <c r="AL378" s="50" t="n">
        <f aca="false">ROUNDUP(CK378+MAX(CL378,2*(J378/IF(CG378&gt;0,CG378,MAX(0.1,N(Cockpit!$C$6)))-CK378)),0)</f>
        <v>1</v>
      </c>
      <c r="AM378" s="51" t="n">
        <f aca="false">IF(AI378&gt;0,J378/AI378,-1)</f>
        <v>0</v>
      </c>
      <c r="AN378" s="51" t="n">
        <f aca="false">IF(AND(OR(CF378="L1",CF378="L23",CF378="LIFT"),AI378&gt;0),SUMIFS($AI$7:$AI$1843,$CF$7:$CF$1843,CF378,$AM$7:$AM$1843,"&gt;"&amp;AM378)+SUMIFS($AI$7:$AI$1843,$CF$7:$CF$1843,CF378,$AM$7:$AM$1843,AM378,$BW$7:$BW$1843,"&lt;="&amp;BW378),"")</f>
        <v>28050.1416516628</v>
      </c>
      <c r="AO378" s="58" t="n">
        <f aca="false">IF(AN378="",0,MAX(0,MIN(1,(IF(CF378="L1",Parameter!$H$5,IF(CF378="L23",Parameter!$H$6+Parameter!$H$7,Parameter!$H$5+Parameter!$H$6+Parameter!$H$7))-(AN378-AI378))/AI378)))</f>
        <v>1</v>
      </c>
      <c r="AP378" s="50" t="n">
        <f aca="false">IF(LEFT(Cockpit!$I$5,1)="A",H378,IF(Parameter!$E$30="MAX-Bestand",IF(CH378=1,CI378,IF(LEFT(Cockpit!$I$5,1)="B",AV378,MAX(AV378,H378))),ROUNDUP(AT378,0)))</f>
        <v>1</v>
      </c>
      <c r="AQ378" s="50" t="n">
        <f aca="false">IF(BZ378=1,0,ROUNDUP(AP378/BY378,0))</f>
        <v>1</v>
      </c>
      <c r="AR378" s="52" t="n">
        <f aca="false">IF(CQ378&gt;0,CQ378*MAX(1,AP378/X378),IF(BZ378=1,IF(AP378&lt;=0,0,CD378*MAX(1,IF(H378&gt;0,AP378/H378,1))),IF(R378&gt;0,AQ378/R378,0))/MAX(0.1,N(Parameter!$M$21)))</f>
        <v>0.0833333333333333</v>
      </c>
      <c r="AS378" s="50" t="n">
        <f aca="false">AR378*CB378</f>
        <v>12.0833333333333</v>
      </c>
      <c r="AT378" s="51" t="n">
        <f aca="false">IF(LEFT(Cockpit!$I$5,1)="A",H378,IF(CH378=1,(CK378+CI378)/2,IF(LEFT(Cockpit!$I$5,1)="B",(CK378+AV378)/2,MAX((CK378+AV378)/2,H378))))</f>
        <v>1</v>
      </c>
      <c r="AU378" s="50" t="n">
        <f aca="false">AT378*G378</f>
        <v>136</v>
      </c>
      <c r="AV378" s="50" t="n">
        <f aca="false">ROUNDUP(CK378+MAX(CL378,2*(J378/IF(CG378&gt;0,CG378,MAX(0.1,N(Cockpit!$I$6)))-CK378)),0)</f>
        <v>1</v>
      </c>
      <c r="AW378" s="51" t="n">
        <f aca="false">IF(AS378&gt;0,J378/AS378,-1)</f>
        <v>0</v>
      </c>
      <c r="AX378" s="51" t="n">
        <f aca="false">IF(AND(OR(CF378="L1",CF378="L23",CF378="LIFT"),AS378&gt;0),SUMIFS($AS$7:$AS$1843,$CF$7:$CF$1843,CF378,$AW$7:$AW$1843,"&gt;"&amp;AW378)+SUMIFS($AS$7:$AS$1843,$CF$7:$CF$1843,CF378,$AW$7:$AW$1843,AW378,$BW$7:$BW$1843,"&lt;="&amp;BW378),"")</f>
        <v>33403.2902930403</v>
      </c>
      <c r="AY378" s="58" t="n">
        <f aca="false">IF(AX378="",0,MAX(0,MIN(1,(IF(CF378="L1",Parameter!$H$5,IF(CF378="L23",Parameter!$H$6+Parameter!$H$7,Parameter!$H$5+Parameter!$H$6+Parameter!$H$7))-(AX378-AS378))/AS378)))</f>
        <v>1</v>
      </c>
      <c r="AZ378" s="50" t="n">
        <f aca="false">IF(LEFT(Cockpit!$O$5,1)="A",H378,IF(Parameter!$E$30="MAX-Bestand",IF(CH378=1,CI378,IF(LEFT(Cockpit!$O$5,1)="B",BF378,MAX(BF378,H378))),ROUNDUP(BD378,0)))</f>
        <v>1</v>
      </c>
      <c r="BA378" s="50" t="n">
        <f aca="false">IF(BZ378=1,0,ROUNDUP(AZ378/BY378,0))</f>
        <v>1</v>
      </c>
      <c r="BB378" s="52" t="n">
        <f aca="false">IF(CQ378&gt;0,CQ378*MAX(1,AZ378/X378),IF(BZ378=1,IF(AZ378&lt;=0,0,CD378*MAX(1,IF(H378&gt;0,AZ378/H378,1))),IF(R378&gt;0,BA378/R378,0))/MAX(0.1,N(Parameter!$M$21)))</f>
        <v>0.0833333333333333</v>
      </c>
      <c r="BC378" s="50" t="n">
        <f aca="false">BB378*CB378</f>
        <v>12.0833333333333</v>
      </c>
      <c r="BD378" s="51" t="n">
        <f aca="false">IF(LEFT(Cockpit!$O$5,1)="A",H378,IF(CH378=1,(CK378+CI378)/2,IF(LEFT(Cockpit!$O$5,1)="B",(CK378+BF378)/2,MAX((CK378+BF378)/2,H378))))</f>
        <v>0.5</v>
      </c>
      <c r="BE378" s="50" t="n">
        <f aca="false">BD378*G378</f>
        <v>68</v>
      </c>
      <c r="BF378" s="50" t="n">
        <f aca="false">ROUNDUP(CK378+MAX(CL378,2*(J378/IF(CG378&gt;0,CG378,MAX(0.1,N(Cockpit!$O$6)))-CK378)),0)</f>
        <v>1</v>
      </c>
      <c r="BG378" s="51" t="n">
        <f aca="false">IF(BC378&gt;0,J378/BC378,-1)</f>
        <v>0</v>
      </c>
      <c r="BH378" s="51" t="n">
        <f aca="false">IF(AND(OR(CF378="L1",CF378="L23",CF378="LIFT"),BC378&gt;0),SUMIFS($BC$7:$BC$1843,$CF$7:$CF$1843,CF378,$BG$7:$BG$1843,"&gt;"&amp;BG378)+SUMIFS($BC$7:$BC$1843,$CF$7:$CF$1843,CF378,$BG$7:$BG$1843,BG378,$BW$7:$BW$1843,"&lt;="&amp;BW378),"")</f>
        <v>27516.8272645434</v>
      </c>
      <c r="BI378" s="58" t="n">
        <f aca="false">IF(BH378="",0,MAX(0,MIN(1,(IF(CF378="L1",Parameter!$H$5,IF(CF378="L23",Parameter!$H$6+Parameter!$H$7,Parameter!$H$5+Parameter!$H$6+Parameter!$H$7))-(BH378-BC378))/BC378)))</f>
        <v>1</v>
      </c>
      <c r="BJ378" s="48" t="str">
        <f aca="false">IF(AI378&lt;=0,"",IF(CF378="Aussen","Aussenlager",IF(CF378="-","Nicht im Lift",IF(AO378&gt;=1,"Lift",IF(AO378&lt;=0,"Aussenlager","teilweise")))))</f>
        <v>Lift</v>
      </c>
      <c r="BK378" s="48" t="str">
        <f aca="false">IF(AS378&lt;=0,"",IF(CF378="Aussen","Aussenlager",IF(CF378="-","Nicht im Lift",IF(AY378&gt;=1,"Lift",IF(AY378&lt;=0,"Aussenlager","teilweise")))))</f>
        <v>Lift</v>
      </c>
      <c r="BL378" s="48" t="str">
        <f aca="false">IF(BC378&lt;=0,"",IF(CF378="Aussen","Aussenlager",IF(CF378="-","Nicht im Lift",IF(BI378&gt;=1,"Lift",IF(BI378&lt;=0,"Aussenlager","teilweise")))))</f>
        <v>Lift</v>
      </c>
      <c r="BM378" s="48" t="str">
        <f aca="false">IF(A378="","",IF(BV378=1,"Neu; ","")&amp;IF(AND(BV378=0,BQ378&lt;0),"negativer Bestand (Export "&amp;BQ378&amp;"); ","")&amp;IF(J378&lt;=0,"Kein Verbrauch; ","")&amp;IF(CQ378&gt;0,"Lift "&amp;W378&amp;" lt. Liftbericht (Fach "&amp;X378&amp;" Stk); ",IF(CA378=1,"Gebinde geschätzt ("&amp;T378&amp;"); ",IF(BZ378=1,"Lose – Tablare geschätzt; ","")))&amp;IF(H378&gt;AV378,"Überbestand "&amp;ROUND(H378-AV378,0)&amp;" Stk / CHF "&amp;ROUND((H378-AV378)*G378,0)&amp;"; ","")&amp;IF(AND(CH378=1,CI378&lt;CJ378),"MAX &lt; MB+LG; ","")&amp;IF(AND(CP378&gt;0,CO378*10&gt;CP378),"zu hoch für Tablar; ","")&amp;IF(AND(BV378=0,OR(CH378=1,AA378&lt;&gt;"",U378&lt;&gt;"",V378&lt;&gt;"",AB378&lt;&gt;"")),"manuell übersteuert; ","")&amp;IF(AND(BZ378=0,R378=0),"Gebinde unbekannt / Stellmass fehlt; ","")&amp;IF(AND(BZ378=0,N(V378)&lt;=0,N(Q378)&lt;=0),"Menge pro Gebinde fehlt (Ist = 1 Gebinde); ","")&amp;BU378)</f>
        <v>Kein Verbrauch; Gebinde geschätzt (Mittel); Menge pro Gebinde fehlt (Ist = 1 Gebinde); </v>
      </c>
      <c r="BN378" s="48"/>
      <c r="BO378" s="48"/>
      <c r="BP378" s="55"/>
      <c r="BQ378" s="50" t="n">
        <v>1</v>
      </c>
      <c r="BR378" s="50" t="n">
        <v>0</v>
      </c>
      <c r="BS378" s="49" t="n">
        <v>136</v>
      </c>
      <c r="BT378" s="50" t="n">
        <v>0</v>
      </c>
      <c r="BU378" s="48"/>
      <c r="BV378" s="53" t="n">
        <v>0</v>
      </c>
      <c r="BW378" s="53" t="n">
        <v>378</v>
      </c>
      <c r="BX378" s="48" t="str">
        <f aca="false">IF(U378&lt;&gt;"",UPPER(TRIM(U378)),IF(CA378=1,UPPER(VLOOKUP(T378,Parameter!$I$27:$K$29,2,0)),IF(P378="","LOSE",P378)))</f>
        <v>S61</v>
      </c>
      <c r="BY378" s="50" t="n">
        <f aca="false">IF(BX378="LOSE",1,IF(N(V378)&gt;0,V378,IF(CA378=1,MAX(1,N(VLOOKUP(T378,Parameter!$I$27:$K$29,3,0)),H378,N(N378)),IF(N(Q378)&gt;0,Q378,MAX(1,H378)))))</f>
        <v>4</v>
      </c>
      <c r="BZ378" s="53" t="n">
        <f aca="false">IF(BX378="LOSE",1,0)</f>
        <v>0</v>
      </c>
      <c r="CA378" s="53" t="n">
        <f aca="false">IF(AND(U378="",OR(P378="",P378="LOSE"),T378&lt;&gt;"",N(S378)&lt;=0,ISNUMBER(MATCH(T378,Parameter!$I$27:$I$29,0))),1,0)</f>
        <v>1</v>
      </c>
      <c r="CB378" s="53" t="n">
        <f aca="false">IF(CQ378&gt;0,INDEX(Parameter!$H$5:$H$7,W378)/INDEX(Parameter!$E$5:$E$7,W378),IF(AND(BZ378=0,N(IFERROR(VLOOKUP(BX378,'Gebinde-Kategorie'!$A$5:$N$45,14,0),0))&gt;0),VLOOKUP(BX378,'Gebinde-Kategorie'!$A$5:$N$45,14,0)*10+Parameter!$M$23,Parameter!$M$24))</f>
        <v>145</v>
      </c>
      <c r="CC378" s="48" t="str">
        <f aca="false">IF(AND(Parameter!$B$19="Ja",E378&lt;&gt;"",ISNUMBER(MATCH(E378,Parameter!$I$35:$I$52,0))),VLOOKUP(E378,Parameter!$I$35:$J$52,2,0),IFERROR(VLOOKUP(D378,Parameter!$A$35:$C$64,2,0),"Nein"))</f>
        <v>2+3</v>
      </c>
      <c r="CD378" s="52" t="n">
        <f aca="false">IF(BZ378=0,0,IF(N(S378)&gt;0,S378,IFERROR(VLOOKUP(D378,Parameter!$A$35:$C$64,3,0)+0,0)))</f>
        <v>0</v>
      </c>
      <c r="CE378" s="48" t="n">
        <f aca="false">IF(AA378&lt;&gt;"",AA378,Z378)</f>
        <v>2</v>
      </c>
      <c r="CF378" s="48" t="str">
        <f aca="false">IF(OR(CE378=1,CE378=2,CE378=3),IF(Parameter!$E$27="Ja","LIFT",IF(CE378=1,"L1","L23")),IF(CE378="Aussen","Aussen","-"))</f>
        <v>LIFT</v>
      </c>
      <c r="CG378" s="59" t="n">
        <f aca="false">IF(N(AB378)&gt;0,AB378,0)</f>
        <v>0</v>
      </c>
      <c r="CH378" s="53" t="n">
        <f aca="false">IF(ISNUMBER(AE378),1,0)</f>
        <v>0</v>
      </c>
      <c r="CI378" s="50" t="n">
        <f aca="false">N(AE378)</f>
        <v>0</v>
      </c>
      <c r="CJ378" s="50" t="n">
        <f aca="false">N(M378)+N(N378)</f>
        <v>1</v>
      </c>
      <c r="CK378" s="50" t="n">
        <f aca="false">N(M378)</f>
        <v>0</v>
      </c>
      <c r="CL378" s="50" t="n">
        <f aca="false">N(N378)</f>
        <v>1</v>
      </c>
      <c r="CM378" s="50" t="n">
        <f aca="false">ROUNDUP(H378/BY378,0)</f>
        <v>1</v>
      </c>
      <c r="CN378" s="50" t="n">
        <f aca="false">ROUNDUP(CI378/BY378,0)</f>
        <v>0</v>
      </c>
      <c r="CO378" s="53" t="n">
        <f aca="false">IF(BZ378=1,0,IFERROR(VLOOKUP(BX378,'Gebinde-Kategorie'!$A$5:$N$45,5,0)+0,0))</f>
        <v>11</v>
      </c>
      <c r="CP378" s="53" t="n">
        <f aca="false">IFERROR(IF(OR(CE378=1,CE378=2,CE378=3),N(INDEX(Parameter!$I$5:$I$7,CE378)),0),0)</f>
        <v>0</v>
      </c>
      <c r="CQ378" s="52" t="n">
        <f aca="false">IF(AND(Parameter!$B$21="Ja",ISNUMBER(W378),N(X378)&gt;0),IFERROR(N(INDEX(Parameter!$L$5:$L$7,W378))*INDEX(Parameter!$E$5:$E$7,W378)*X378/SUMIFS($X$7:$X$1843,$W$7:$W$1843,W378),0),0)</f>
        <v>0</v>
      </c>
    </row>
    <row r="379" customFormat="false" ht="15" hidden="false" customHeight="false" outlineLevel="0" collapsed="false">
      <c r="A379" s="48" t="s">
        <v>912</v>
      </c>
      <c r="B379" s="48" t="s">
        <v>598</v>
      </c>
      <c r="C379" s="48" t="s">
        <v>173</v>
      </c>
      <c r="D379" s="48" t="s">
        <v>193</v>
      </c>
      <c r="E379" s="48" t="s">
        <v>194</v>
      </c>
      <c r="F379" s="48" t="s">
        <v>227</v>
      </c>
      <c r="G379" s="49" t="n">
        <v>21.9</v>
      </c>
      <c r="H379" s="50" t="n">
        <f aca="false">MAX(0,IF(AND(Parameter!$B$21="Ja",ISNUMBER(Y379)),Y379,IF(Parameter!$B$20="Jahresanfang 2025 + Export",BR379+BQ379,BQ379)))</f>
        <v>34</v>
      </c>
      <c r="I379" s="50" t="n">
        <f aca="false">H379*G379</f>
        <v>744.6</v>
      </c>
      <c r="J379" s="50" t="n">
        <f aca="false">BT379*Parameter!$B$18</f>
        <v>25</v>
      </c>
      <c r="K379" s="51" t="n">
        <v>48</v>
      </c>
      <c r="L379" s="52" t="n">
        <v>0.520833333333333</v>
      </c>
      <c r="M379" s="50" t="n">
        <v>3</v>
      </c>
      <c r="N379" s="50" t="n">
        <v>25</v>
      </c>
      <c r="O379" s="53" t="n">
        <v>56</v>
      </c>
      <c r="P379" s="48" t="s">
        <v>410</v>
      </c>
      <c r="Q379" s="50" t="n">
        <v>65</v>
      </c>
      <c r="R379" s="53" t="n">
        <f aca="false">IF(BZ379=1,0,IFERROR(VLOOKUP(BX379,'Gebinde-Kategorie'!$A$5:$N$45,13,0)+0,0))</f>
        <v>280</v>
      </c>
      <c r="S379" s="54"/>
      <c r="T379" s="55"/>
      <c r="U379" s="55"/>
      <c r="V379" s="55"/>
      <c r="W379" s="48"/>
      <c r="X379" s="50"/>
      <c r="Y379" s="50"/>
      <c r="Z379" s="48" t="n">
        <f aca="false">IF(A379="","",IF(AND(Parameter!$B$21="Ja",ISNUMBER(W379)),W379,IF(CC379="2+3",IF(ISNUMBER(SEARCH("grosser Artikel",BU379)),2,IFERROR(VLOOKUP(BX379,Parameter!$F$35:$G$64,2,0),2)),IF(OR(CC379="Nein",CC379=""),"-",CC379))))</f>
        <v>3</v>
      </c>
      <c r="AA379" s="55"/>
      <c r="AB379" s="56"/>
      <c r="AC379" s="50" t="n">
        <f aca="false">AV379</f>
        <v>28</v>
      </c>
      <c r="AD379" s="50" t="n">
        <f aca="false">MAX(AV379,H379)</f>
        <v>34</v>
      </c>
      <c r="AE379" s="57"/>
      <c r="AF379" s="50" t="n">
        <f aca="false">IF(LEFT(Cockpit!$C$5,1)="A",H379,IF(Parameter!$E$30="MAX-Bestand",IF(CH379=1,CI379,IF(LEFT(Cockpit!$C$5,1)="B",AL379,MAX(AL379,H379))),ROUNDUP(AJ379,0)))</f>
        <v>34</v>
      </c>
      <c r="AG379" s="50" t="n">
        <f aca="false">IF(BZ379=1,0,ROUNDUP(AF379/BY379,0))</f>
        <v>1</v>
      </c>
      <c r="AH379" s="52" t="n">
        <f aca="false">IF(CQ379&gt;0,CQ379*MAX(1,AF379/X379),IF(BZ379=1,IF(AF379&lt;=0,0,CD379*MAX(1,IF(H379&gt;0,AF379/H379,1))),IF(R379&gt;0,AG379/R379,0))/MAX(0.1,N(Parameter!$M$21)))</f>
        <v>0.00357142857142857</v>
      </c>
      <c r="AI379" s="50" t="n">
        <f aca="false">AH379*CB379</f>
        <v>0.553571428571429</v>
      </c>
      <c r="AJ379" s="51" t="n">
        <f aca="false">IF(LEFT(Cockpit!$C$5,1)="A",H379,IF(CH379=1,(CK379+CI379)/2,IF(LEFT(Cockpit!$C$5,1)="B",(CK379+AL379)/2,MAX((CK379+AL379)/2,H379))))</f>
        <v>34</v>
      </c>
      <c r="AK379" s="50" t="n">
        <f aca="false">AJ379*G379</f>
        <v>744.6</v>
      </c>
      <c r="AL379" s="50" t="n">
        <f aca="false">ROUNDUP(CK379+MAX(CL379,2*(J379/IF(CG379&gt;0,CG379,MAX(0.1,N(Cockpit!$C$6)))-CK379)),0)</f>
        <v>28</v>
      </c>
      <c r="AM379" s="51" t="n">
        <f aca="false">IF(AI379&gt;0,J379/AI379,-1)</f>
        <v>45.1612903225806</v>
      </c>
      <c r="AN379" s="51" t="n">
        <f aca="false">IF(AND(OR(CF379="L1",CF379="L23",CF379="LIFT"),AI379&gt;0),SUMIFS($AI$7:$AI$1843,$CF$7:$CF$1843,CF379,$AM$7:$AM$1843,"&gt;"&amp;AM379)+SUMIFS($AI$7:$AI$1843,$CF$7:$CF$1843,CF379,$AM$7:$AM$1843,AM379,$BW$7:$BW$1843,"&lt;="&amp;BW379),"")</f>
        <v>1166.61538461538</v>
      </c>
      <c r="AO379" s="58" t="n">
        <f aca="false">IF(AN379="",0,MAX(0,MIN(1,(IF(CF379="L1",Parameter!$H$5,IF(CF379="L23",Parameter!$H$6+Parameter!$H$7,Parameter!$H$5+Parameter!$H$6+Parameter!$H$7))-(AN379-AI379))/AI379)))</f>
        <v>1</v>
      </c>
      <c r="AP379" s="50" t="n">
        <f aca="false">IF(LEFT(Cockpit!$I$5,1)="A",H379,IF(Parameter!$E$30="MAX-Bestand",IF(CH379=1,CI379,IF(LEFT(Cockpit!$I$5,1)="B",AV379,MAX(AV379,H379))),ROUNDUP(AT379,0)))</f>
        <v>34</v>
      </c>
      <c r="AQ379" s="50" t="n">
        <f aca="false">IF(BZ379=1,0,ROUNDUP(AP379/BY379,0))</f>
        <v>1</v>
      </c>
      <c r="AR379" s="52" t="n">
        <f aca="false">IF(CQ379&gt;0,CQ379*MAX(1,AP379/X379),IF(BZ379=1,IF(AP379&lt;=0,0,CD379*MAX(1,IF(H379&gt;0,AP379/H379,1))),IF(R379&gt;0,AQ379/R379,0))/MAX(0.1,N(Parameter!$M$21)))</f>
        <v>0.00357142857142857</v>
      </c>
      <c r="AS379" s="50" t="n">
        <f aca="false">AR379*CB379</f>
        <v>0.553571428571429</v>
      </c>
      <c r="AT379" s="51" t="n">
        <f aca="false">IF(LEFT(Cockpit!$I$5,1)="A",H379,IF(CH379=1,(CK379+CI379)/2,IF(LEFT(Cockpit!$I$5,1)="B",(CK379+AV379)/2,MAX((CK379+AV379)/2,H379))))</f>
        <v>34</v>
      </c>
      <c r="AU379" s="50" t="n">
        <f aca="false">AT379*G379</f>
        <v>744.6</v>
      </c>
      <c r="AV379" s="50" t="n">
        <f aca="false">ROUNDUP(CK379+MAX(CL379,2*(J379/IF(CG379&gt;0,CG379,MAX(0.1,N(Cockpit!$I$6)))-CK379)),0)</f>
        <v>28</v>
      </c>
      <c r="AW379" s="51" t="n">
        <f aca="false">IF(AS379&gt;0,J379/AS379,-1)</f>
        <v>45.1612903225806</v>
      </c>
      <c r="AX379" s="51" t="n">
        <f aca="false">IF(AND(OR(CF379="L1",CF379="L23",CF379="LIFT"),AS379&gt;0),SUMIFS($AS$7:$AS$1843,$CF$7:$CF$1843,CF379,$AW$7:$AW$1843,"&gt;"&amp;AW379)+SUMIFS($AS$7:$AS$1843,$CF$7:$CF$1843,CF379,$AW$7:$AW$1843,AW379,$BW$7:$BW$1843,"&lt;="&amp;BW379),"")</f>
        <v>1452.82738095238</v>
      </c>
      <c r="AY379" s="58" t="n">
        <f aca="false">IF(AX379="",0,MAX(0,MIN(1,(IF(CF379="L1",Parameter!$H$5,IF(CF379="L23",Parameter!$H$6+Parameter!$H$7,Parameter!$H$5+Parameter!$H$6+Parameter!$H$7))-(AX379-AS379))/AS379)))</f>
        <v>1</v>
      </c>
      <c r="AZ379" s="50" t="n">
        <f aca="false">IF(LEFT(Cockpit!$O$5,1)="A",H379,IF(Parameter!$E$30="MAX-Bestand",IF(CH379=1,CI379,IF(LEFT(Cockpit!$O$5,1)="B",BF379,MAX(BF379,H379))),ROUNDUP(BD379,0)))</f>
        <v>16</v>
      </c>
      <c r="BA379" s="50" t="n">
        <f aca="false">IF(BZ379=1,0,ROUNDUP(AZ379/BY379,0))</f>
        <v>1</v>
      </c>
      <c r="BB379" s="52" t="n">
        <f aca="false">IF(CQ379&gt;0,CQ379*MAX(1,AZ379/X379),IF(BZ379=1,IF(AZ379&lt;=0,0,CD379*MAX(1,IF(H379&gt;0,AZ379/H379,1))),IF(R379&gt;0,BA379/R379,0))/MAX(0.1,N(Parameter!$M$21)))</f>
        <v>0.00357142857142857</v>
      </c>
      <c r="BC379" s="50" t="n">
        <f aca="false">BB379*CB379</f>
        <v>0.553571428571429</v>
      </c>
      <c r="BD379" s="51" t="n">
        <f aca="false">IF(LEFT(Cockpit!$O$5,1)="A",H379,IF(CH379=1,(CK379+CI379)/2,IF(LEFT(Cockpit!$O$5,1)="B",(CK379+BF379)/2,MAX((CK379+BF379)/2,H379))))</f>
        <v>15.5</v>
      </c>
      <c r="BE379" s="50" t="n">
        <f aca="false">BD379*G379</f>
        <v>339.45</v>
      </c>
      <c r="BF379" s="50" t="n">
        <f aca="false">ROUNDUP(CK379+MAX(CL379,2*(J379/IF(CG379&gt;0,CG379,MAX(0.1,N(Cockpit!$O$6)))-CK379)),0)</f>
        <v>28</v>
      </c>
      <c r="BG379" s="51" t="n">
        <f aca="false">IF(BC379&gt;0,J379/BC379,-1)</f>
        <v>45.1612903225806</v>
      </c>
      <c r="BH379" s="51" t="n">
        <f aca="false">IF(AND(OR(CF379="L1",CF379="L23",CF379="LIFT"),BC379&gt;0),SUMIFS($BC$7:$BC$1843,$CF$7:$CF$1843,CF379,$BG$7:$BG$1843,"&gt;"&amp;BG379)+SUMIFS($BC$7:$BC$1843,$CF$7:$CF$1843,CF379,$BG$7:$BG$1843,BG379,$BW$7:$BW$1843,"&lt;="&amp;BW379),"")</f>
        <v>1228.59752747253</v>
      </c>
      <c r="BI379" s="58" t="n">
        <f aca="false">IF(BH379="",0,MAX(0,MIN(1,(IF(CF379="L1",Parameter!$H$5,IF(CF379="L23",Parameter!$H$6+Parameter!$H$7,Parameter!$H$5+Parameter!$H$6+Parameter!$H$7))-(BH379-BC379))/BC379)))</f>
        <v>1</v>
      </c>
      <c r="BJ379" s="48" t="str">
        <f aca="false">IF(AI379&lt;=0,"",IF(CF379="Aussen","Aussenlager",IF(CF379="-","Nicht im Lift",IF(AO379&gt;=1,"Lift",IF(AO379&lt;=0,"Aussenlager","teilweise")))))</f>
        <v>Lift</v>
      </c>
      <c r="BK379" s="48" t="str">
        <f aca="false">IF(AS379&lt;=0,"",IF(CF379="Aussen","Aussenlager",IF(CF379="-","Nicht im Lift",IF(AY379&gt;=1,"Lift",IF(AY379&lt;=0,"Aussenlager","teilweise")))))</f>
        <v>Lift</v>
      </c>
      <c r="BL379" s="48" t="str">
        <f aca="false">IF(BC379&lt;=0,"",IF(CF379="Aussen","Aussenlager",IF(CF379="-","Nicht im Lift",IF(BI379&gt;=1,"Lift",IF(BI379&lt;=0,"Aussenlager","teilweise")))))</f>
        <v>Lift</v>
      </c>
      <c r="BM379" s="48" t="str">
        <f aca="false">IF(A379="","",IF(BV379=1,"Neu; ","")&amp;IF(AND(BV379=0,BQ379&lt;0),"negativer Bestand (Export "&amp;BQ379&amp;"); ","")&amp;IF(J379&lt;=0,"Kein Verbrauch; ","")&amp;IF(CQ379&gt;0,"Lift "&amp;W379&amp;" lt. Liftbericht (Fach "&amp;X379&amp;" Stk); ",IF(CA379=1,"Gebinde geschätzt ("&amp;T379&amp;"); ",IF(BZ379=1,"Lose – Tablare geschätzt; ","")))&amp;IF(H379&gt;AV379,"Überbestand "&amp;ROUND(H379-AV379,0)&amp;" Stk / CHF "&amp;ROUND((H379-AV379)*G379,0)&amp;"; ","")&amp;IF(AND(CH379=1,CI379&lt;CJ379),"MAX &lt; MB+LG; ","")&amp;IF(AND(CP379&gt;0,CO379*10&gt;CP379),"zu hoch für Tablar; ","")&amp;IF(AND(BV379=0,OR(CH379=1,AA379&lt;&gt;"",U379&lt;&gt;"",V379&lt;&gt;"",AB379&lt;&gt;"")),"manuell übersteuert; ","")&amp;IF(AND(BZ379=0,R379=0),"Gebinde unbekannt / Stellmass fehlt; ","")&amp;IF(AND(BZ379=0,N(V379)&lt;=0,N(Q379)&lt;=0),"Menge pro Gebinde fehlt (Ist = 1 Gebinde); ","")&amp;BU379)</f>
        <v>Überbestand 6 Stk / CHF 131; </v>
      </c>
      <c r="BN379" s="48"/>
      <c r="BO379" s="48"/>
      <c r="BP379" s="55"/>
      <c r="BQ379" s="50" t="n">
        <v>1</v>
      </c>
      <c r="BR379" s="50" t="n">
        <v>33</v>
      </c>
      <c r="BS379" s="49" t="n">
        <v>135.75</v>
      </c>
      <c r="BT379" s="50" t="n">
        <v>25</v>
      </c>
      <c r="BU379" s="48"/>
      <c r="BV379" s="53" t="n">
        <v>0</v>
      </c>
      <c r="BW379" s="53" t="n">
        <v>379</v>
      </c>
      <c r="BX379" s="48" t="str">
        <f aca="false">IF(U379&lt;&gt;"",UPPER(TRIM(U379)),IF(CA379=1,UPPER(VLOOKUP(T379,Parameter!$I$27:$K$29,2,0)),IF(P379="","LOSE",P379)))</f>
        <v>S21</v>
      </c>
      <c r="BY379" s="50" t="n">
        <f aca="false">IF(BX379="LOSE",1,IF(N(V379)&gt;0,V379,IF(CA379=1,MAX(1,N(VLOOKUP(T379,Parameter!$I$27:$K$29,3,0)),H379,N(N379)),IF(N(Q379)&gt;0,Q379,MAX(1,H379)))))</f>
        <v>65</v>
      </c>
      <c r="BZ379" s="53" t="n">
        <f aca="false">IF(BX379="LOSE",1,0)</f>
        <v>0</v>
      </c>
      <c r="CA379" s="53" t="n">
        <f aca="false">IF(AND(U379="",OR(P379="",P379="LOSE"),T379&lt;&gt;"",N(S379)&lt;=0,ISNUMBER(MATCH(T379,Parameter!$I$27:$I$29,0))),1,0)</f>
        <v>0</v>
      </c>
      <c r="CB379" s="53" t="n">
        <f aca="false">IF(CQ379&gt;0,INDEX(Parameter!$H$5:$H$7,W379)/INDEX(Parameter!$E$5:$E$7,W379),IF(AND(BZ379=0,N(IFERROR(VLOOKUP(BX379,'Gebinde-Kategorie'!$A$5:$N$45,14,0),0))&gt;0),VLOOKUP(BX379,'Gebinde-Kategorie'!$A$5:$N$45,14,0)*10+Parameter!$M$23,Parameter!$M$24))</f>
        <v>155</v>
      </c>
      <c r="CC379" s="48" t="str">
        <f aca="false">IF(AND(Parameter!$B$19="Ja",E379&lt;&gt;"",ISNUMBER(MATCH(E379,Parameter!$I$35:$I$52,0))),VLOOKUP(E379,Parameter!$I$35:$J$52,2,0),IFERROR(VLOOKUP(D379,Parameter!$A$35:$C$64,2,0),"Nein"))</f>
        <v>2+3</v>
      </c>
      <c r="CD379" s="52" t="n">
        <f aca="false">IF(BZ379=0,0,IF(N(S379)&gt;0,S379,IFERROR(VLOOKUP(D379,Parameter!$A$35:$C$64,3,0)+0,0)))</f>
        <v>0</v>
      </c>
      <c r="CE379" s="48" t="n">
        <f aca="false">IF(AA379&lt;&gt;"",AA379,Z379)</f>
        <v>3</v>
      </c>
      <c r="CF379" s="48" t="str">
        <f aca="false">IF(OR(CE379=1,CE379=2,CE379=3),IF(Parameter!$E$27="Ja","LIFT",IF(CE379=1,"L1","L23")),IF(CE379="Aussen","Aussen","-"))</f>
        <v>LIFT</v>
      </c>
      <c r="CG379" s="59" t="n">
        <f aca="false">IF(N(AB379)&gt;0,AB379,0)</f>
        <v>0</v>
      </c>
      <c r="CH379" s="53" t="n">
        <f aca="false">IF(ISNUMBER(AE379),1,0)</f>
        <v>0</v>
      </c>
      <c r="CI379" s="50" t="n">
        <f aca="false">N(AE379)</f>
        <v>0</v>
      </c>
      <c r="CJ379" s="50" t="n">
        <f aca="false">N(M379)+N(N379)</f>
        <v>28</v>
      </c>
      <c r="CK379" s="50" t="n">
        <f aca="false">N(M379)</f>
        <v>3</v>
      </c>
      <c r="CL379" s="50" t="n">
        <f aca="false">N(N379)</f>
        <v>25</v>
      </c>
      <c r="CM379" s="50" t="n">
        <f aca="false">ROUNDUP(H379/BY379,0)</f>
        <v>1</v>
      </c>
      <c r="CN379" s="50" t="n">
        <f aca="false">ROUNDUP(CI379/BY379,0)</f>
        <v>0</v>
      </c>
      <c r="CO379" s="53" t="n">
        <f aca="false">IF(BZ379=1,0,IFERROR(VLOOKUP(BX379,'Gebinde-Kategorie'!$A$5:$N$45,5,0)+0,0))</f>
        <v>8</v>
      </c>
      <c r="CP379" s="53" t="n">
        <f aca="false">IFERROR(IF(OR(CE379=1,CE379=2,CE379=3),N(INDEX(Parameter!$I$5:$I$7,CE379)),0),0)</f>
        <v>0</v>
      </c>
      <c r="CQ379" s="52" t="n">
        <f aca="false">IF(AND(Parameter!$B$21="Ja",ISNUMBER(W379),N(X379)&gt;0),IFERROR(N(INDEX(Parameter!$L$5:$L$7,W379))*INDEX(Parameter!$E$5:$E$7,W379)*X379/SUMIFS($X$7:$X$1843,$W$7:$W$1843,W379),0),0)</f>
        <v>0</v>
      </c>
    </row>
    <row r="380" customFormat="false" ht="15" hidden="false" customHeight="false" outlineLevel="0" collapsed="false">
      <c r="A380" s="48" t="s">
        <v>913</v>
      </c>
      <c r="B380" s="48" t="s">
        <v>914</v>
      </c>
      <c r="C380" s="48" t="s">
        <v>173</v>
      </c>
      <c r="D380" s="48" t="s">
        <v>193</v>
      </c>
      <c r="E380" s="48"/>
      <c r="F380" s="48" t="s">
        <v>227</v>
      </c>
      <c r="G380" s="49" t="n">
        <v>5.43</v>
      </c>
      <c r="H380" s="50" t="n">
        <f aca="false">MAX(0,IF(AND(Parameter!$B$21="Ja",ISNUMBER(Y380)),Y380,IF(Parameter!$B$20="Jahresanfang 2025 + Export",BR380+BQ380,BQ380)))</f>
        <v>25</v>
      </c>
      <c r="I380" s="50" t="n">
        <f aca="false">H380*G380</f>
        <v>135.75</v>
      </c>
      <c r="J380" s="50" t="n">
        <f aca="false">BT380*Parameter!$B$18</f>
        <v>0</v>
      </c>
      <c r="K380" s="51" t="n">
        <v>0</v>
      </c>
      <c r="L380" s="52" t="n">
        <v>0</v>
      </c>
      <c r="M380" s="50" t="n">
        <v>0</v>
      </c>
      <c r="N380" s="50" t="n">
        <v>1</v>
      </c>
      <c r="O380" s="53" t="n">
        <v>9999</v>
      </c>
      <c r="P380" s="48" t="s">
        <v>177</v>
      </c>
      <c r="Q380" s="50"/>
      <c r="R380" s="53" t="n">
        <f aca="false">IF(BZ380=1,0,IFERROR(VLOOKUP(BX380,'Gebinde-Kategorie'!$A$5:$N$45,13,0)+0,0))</f>
        <v>12</v>
      </c>
      <c r="S380" s="54"/>
      <c r="T380" s="55" t="s">
        <v>188</v>
      </c>
      <c r="U380" s="55"/>
      <c r="V380" s="55"/>
      <c r="W380" s="48"/>
      <c r="X380" s="50"/>
      <c r="Y380" s="50"/>
      <c r="Z380" s="48" t="n">
        <f aca="false">IF(A380="","",IF(AND(Parameter!$B$21="Ja",ISNUMBER(W380)),W380,IF(CC380="2+3",IF(ISNUMBER(SEARCH("grosser Artikel",BU380)),2,IFERROR(VLOOKUP(BX380,Parameter!$F$35:$G$64,2,0),2)),IF(OR(CC380="Nein",CC380=""),"-",CC380))))</f>
        <v>2</v>
      </c>
      <c r="AA380" s="55"/>
      <c r="AB380" s="56"/>
      <c r="AC380" s="50" t="n">
        <f aca="false">AV380</f>
        <v>1</v>
      </c>
      <c r="AD380" s="50" t="n">
        <f aca="false">MAX(AV380,H380)</f>
        <v>25</v>
      </c>
      <c r="AE380" s="57"/>
      <c r="AF380" s="50" t="n">
        <f aca="false">IF(LEFT(Cockpit!$C$5,1)="A",H380,IF(Parameter!$E$30="MAX-Bestand",IF(CH380=1,CI380,IF(LEFT(Cockpit!$C$5,1)="B",AL380,MAX(AL380,H380))),ROUNDUP(AJ380,0)))</f>
        <v>25</v>
      </c>
      <c r="AG380" s="50" t="n">
        <f aca="false">IF(BZ380=1,0,ROUNDUP(AF380/BY380,0))</f>
        <v>1</v>
      </c>
      <c r="AH380" s="52" t="n">
        <f aca="false">IF(CQ380&gt;0,CQ380*MAX(1,AF380/X380),IF(BZ380=1,IF(AF380&lt;=0,0,CD380*MAX(1,IF(H380&gt;0,AF380/H380,1))),IF(R380&gt;0,AG380/R380,0))/MAX(0.1,N(Parameter!$M$21)))</f>
        <v>0.0833333333333333</v>
      </c>
      <c r="AI380" s="50" t="n">
        <f aca="false">AH380*CB380</f>
        <v>12.0833333333333</v>
      </c>
      <c r="AJ380" s="51" t="n">
        <f aca="false">IF(LEFT(Cockpit!$C$5,1)="A",H380,IF(CH380=1,(CK380+CI380)/2,IF(LEFT(Cockpit!$C$5,1)="B",(CK380+AL380)/2,MAX((CK380+AL380)/2,H380))))</f>
        <v>25</v>
      </c>
      <c r="AK380" s="50" t="n">
        <f aca="false">AJ380*G380</f>
        <v>135.75</v>
      </c>
      <c r="AL380" s="50" t="n">
        <f aca="false">ROUNDUP(CK380+MAX(CL380,2*(J380/IF(CG380&gt;0,CG380,MAX(0.1,N(Cockpit!$C$6)))-CK380)),0)</f>
        <v>1</v>
      </c>
      <c r="AM380" s="51" t="n">
        <f aca="false">IF(AI380&gt;0,J380/AI380,-1)</f>
        <v>0</v>
      </c>
      <c r="AN380" s="51" t="n">
        <f aca="false">IF(AND(OR(CF380="L1",CF380="L23",CF380="LIFT"),AI380&gt;0),SUMIFS($AI$7:$AI$1843,$CF$7:$CF$1843,CF380,$AM$7:$AM$1843,"&gt;"&amp;AM380)+SUMIFS($AI$7:$AI$1843,$CF$7:$CF$1843,CF380,$AM$7:$AM$1843,AM380,$BW$7:$BW$1843,"&lt;="&amp;BW380),"")</f>
        <v>28062.2249849962</v>
      </c>
      <c r="AO380" s="58" t="n">
        <f aca="false">IF(AN380="",0,MAX(0,MIN(1,(IF(CF380="L1",Parameter!$H$5,IF(CF380="L23",Parameter!$H$6+Parameter!$H$7,Parameter!$H$5+Parameter!$H$6+Parameter!$H$7))-(AN380-AI380))/AI380)))</f>
        <v>1</v>
      </c>
      <c r="AP380" s="50" t="n">
        <f aca="false">IF(LEFT(Cockpit!$I$5,1)="A",H380,IF(Parameter!$E$30="MAX-Bestand",IF(CH380=1,CI380,IF(LEFT(Cockpit!$I$5,1)="B",AV380,MAX(AV380,H380))),ROUNDUP(AT380,0)))</f>
        <v>25</v>
      </c>
      <c r="AQ380" s="50" t="n">
        <f aca="false">IF(BZ380=1,0,ROUNDUP(AP380/BY380,0))</f>
        <v>1</v>
      </c>
      <c r="AR380" s="52" t="n">
        <f aca="false">IF(CQ380&gt;0,CQ380*MAX(1,AP380/X380),IF(BZ380=1,IF(AP380&lt;=0,0,CD380*MAX(1,IF(H380&gt;0,AP380/H380,1))),IF(R380&gt;0,AQ380/R380,0))/MAX(0.1,N(Parameter!$M$21)))</f>
        <v>0.0833333333333333</v>
      </c>
      <c r="AS380" s="50" t="n">
        <f aca="false">AR380*CB380</f>
        <v>12.0833333333333</v>
      </c>
      <c r="AT380" s="51" t="n">
        <f aca="false">IF(LEFT(Cockpit!$I$5,1)="A",H380,IF(CH380=1,(CK380+CI380)/2,IF(LEFT(Cockpit!$I$5,1)="B",(CK380+AV380)/2,MAX((CK380+AV380)/2,H380))))</f>
        <v>25</v>
      </c>
      <c r="AU380" s="50" t="n">
        <f aca="false">AT380*G380</f>
        <v>135.75</v>
      </c>
      <c r="AV380" s="50" t="n">
        <f aca="false">ROUNDUP(CK380+MAX(CL380,2*(J380/IF(CG380&gt;0,CG380,MAX(0.1,N(Cockpit!$I$6)))-CK380)),0)</f>
        <v>1</v>
      </c>
      <c r="AW380" s="51" t="n">
        <f aca="false">IF(AS380&gt;0,J380/AS380,-1)</f>
        <v>0</v>
      </c>
      <c r="AX380" s="51" t="n">
        <f aca="false">IF(AND(OR(CF380="L1",CF380="L23",CF380="LIFT"),AS380&gt;0),SUMIFS($AS$7:$AS$1843,$CF$7:$CF$1843,CF380,$AW$7:$AW$1843,"&gt;"&amp;AW380)+SUMIFS($AS$7:$AS$1843,$CF$7:$CF$1843,CF380,$AW$7:$AW$1843,AW380,$BW$7:$BW$1843,"&lt;="&amp;BW380),"")</f>
        <v>33415.3736263736</v>
      </c>
      <c r="AY380" s="58" t="n">
        <f aca="false">IF(AX380="",0,MAX(0,MIN(1,(IF(CF380="L1",Parameter!$H$5,IF(CF380="L23",Parameter!$H$6+Parameter!$H$7,Parameter!$H$5+Parameter!$H$6+Parameter!$H$7))-(AX380-AS380))/AS380)))</f>
        <v>1</v>
      </c>
      <c r="AZ380" s="50" t="n">
        <f aca="false">IF(LEFT(Cockpit!$O$5,1)="A",H380,IF(Parameter!$E$30="MAX-Bestand",IF(CH380=1,CI380,IF(LEFT(Cockpit!$O$5,1)="B",BF380,MAX(BF380,H380))),ROUNDUP(BD380,0)))</f>
        <v>1</v>
      </c>
      <c r="BA380" s="50" t="n">
        <f aca="false">IF(BZ380=1,0,ROUNDUP(AZ380/BY380,0))</f>
        <v>1</v>
      </c>
      <c r="BB380" s="52" t="n">
        <f aca="false">IF(CQ380&gt;0,CQ380*MAX(1,AZ380/X380),IF(BZ380=1,IF(AZ380&lt;=0,0,CD380*MAX(1,IF(H380&gt;0,AZ380/H380,1))),IF(R380&gt;0,BA380/R380,0))/MAX(0.1,N(Parameter!$M$21)))</f>
        <v>0.0833333333333333</v>
      </c>
      <c r="BC380" s="50" t="n">
        <f aca="false">BB380*CB380</f>
        <v>12.0833333333333</v>
      </c>
      <c r="BD380" s="51" t="n">
        <f aca="false">IF(LEFT(Cockpit!$O$5,1)="A",H380,IF(CH380=1,(CK380+CI380)/2,IF(LEFT(Cockpit!$O$5,1)="B",(CK380+BF380)/2,MAX((CK380+BF380)/2,H380))))</f>
        <v>0.5</v>
      </c>
      <c r="BE380" s="50" t="n">
        <f aca="false">BD380*G380</f>
        <v>2.715</v>
      </c>
      <c r="BF380" s="50" t="n">
        <f aca="false">ROUNDUP(CK380+MAX(CL380,2*(J380/IF(CG380&gt;0,CG380,MAX(0.1,N(Cockpit!$O$6)))-CK380)),0)</f>
        <v>1</v>
      </c>
      <c r="BG380" s="51" t="n">
        <f aca="false">IF(BC380&gt;0,J380/BC380,-1)</f>
        <v>0</v>
      </c>
      <c r="BH380" s="51" t="n">
        <f aca="false">IF(AND(OR(CF380="L1",CF380="L23",CF380="LIFT"),BC380&gt;0),SUMIFS($BC$7:$BC$1843,$CF$7:$CF$1843,CF380,$BG$7:$BG$1843,"&gt;"&amp;BG380)+SUMIFS($BC$7:$BC$1843,$CF$7:$CF$1843,CF380,$BG$7:$BG$1843,BG380,$BW$7:$BW$1843,"&lt;="&amp;BW380),"")</f>
        <v>27528.9105978767</v>
      </c>
      <c r="BI380" s="58" t="n">
        <f aca="false">IF(BH380="",0,MAX(0,MIN(1,(IF(CF380="L1",Parameter!$H$5,IF(CF380="L23",Parameter!$H$6+Parameter!$H$7,Parameter!$H$5+Parameter!$H$6+Parameter!$H$7))-(BH380-BC380))/BC380)))</f>
        <v>1</v>
      </c>
      <c r="BJ380" s="48" t="str">
        <f aca="false">IF(AI380&lt;=0,"",IF(CF380="Aussen","Aussenlager",IF(CF380="-","Nicht im Lift",IF(AO380&gt;=1,"Lift",IF(AO380&lt;=0,"Aussenlager","teilweise")))))</f>
        <v>Lift</v>
      </c>
      <c r="BK380" s="48" t="str">
        <f aca="false">IF(AS380&lt;=0,"",IF(CF380="Aussen","Aussenlager",IF(CF380="-","Nicht im Lift",IF(AY380&gt;=1,"Lift",IF(AY380&lt;=0,"Aussenlager","teilweise")))))</f>
        <v>Lift</v>
      </c>
      <c r="BL380" s="48" t="str">
        <f aca="false">IF(BC380&lt;=0,"",IF(CF380="Aussen","Aussenlager",IF(CF380="-","Nicht im Lift",IF(BI380&gt;=1,"Lift",IF(BI380&lt;=0,"Aussenlager","teilweise")))))</f>
        <v>Lift</v>
      </c>
      <c r="BM380" s="48" t="str">
        <f aca="false">IF(A380="","",IF(BV380=1,"Neu; ","")&amp;IF(AND(BV380=0,BQ380&lt;0),"negativer Bestand (Export "&amp;BQ380&amp;"); ","")&amp;IF(J380&lt;=0,"Kein Verbrauch; ","")&amp;IF(CQ380&gt;0,"Lift "&amp;W380&amp;" lt. Liftbericht (Fach "&amp;X380&amp;" Stk); ",IF(CA380=1,"Gebinde geschätzt ("&amp;T380&amp;"); ",IF(BZ380=1,"Lose – Tablare geschätzt; ","")))&amp;IF(H380&gt;AV380,"Überbestand "&amp;ROUND(H380-AV380,0)&amp;" Stk / CHF "&amp;ROUND((H380-AV380)*G380,0)&amp;"; ","")&amp;IF(AND(CH380=1,CI380&lt;CJ380),"MAX &lt; MB+LG; ","")&amp;IF(AND(CP380&gt;0,CO380*10&gt;CP380),"zu hoch für Tablar; ","")&amp;IF(AND(BV380=0,OR(CH380=1,AA380&lt;&gt;"",U380&lt;&gt;"",V380&lt;&gt;"",AB380&lt;&gt;"")),"manuell übersteuert; ","")&amp;IF(AND(BZ380=0,R380=0),"Gebinde unbekannt / Stellmass fehlt; ","")&amp;IF(AND(BZ380=0,N(V380)&lt;=0,N(Q380)&lt;=0),"Menge pro Gebinde fehlt (Ist = 1 Gebinde); ","")&amp;BU380)</f>
        <v>Kein Verbrauch; Gebinde geschätzt (Mittel); Überbestand 24 Stk / CHF 130; Menge pro Gebinde fehlt (Ist = 1 Gebinde); </v>
      </c>
      <c r="BN380" s="48"/>
      <c r="BO380" s="48"/>
      <c r="BP380" s="55"/>
      <c r="BQ380" s="50" t="n">
        <v>25</v>
      </c>
      <c r="BR380" s="50" t="n">
        <v>0</v>
      </c>
      <c r="BS380" s="49" t="n">
        <v>135.75</v>
      </c>
      <c r="BT380" s="50" t="n">
        <v>0</v>
      </c>
      <c r="BU380" s="48"/>
      <c r="BV380" s="53" t="n">
        <v>0</v>
      </c>
      <c r="BW380" s="53" t="n">
        <v>380</v>
      </c>
      <c r="BX380" s="48" t="str">
        <f aca="false">IF(U380&lt;&gt;"",UPPER(TRIM(U380)),IF(CA380=1,UPPER(VLOOKUP(T380,Parameter!$I$27:$K$29,2,0)),IF(P380="","LOSE",P380)))</f>
        <v>S61</v>
      </c>
      <c r="BY380" s="50" t="n">
        <f aca="false">IF(BX380="LOSE",1,IF(N(V380)&gt;0,V380,IF(CA380=1,MAX(1,N(VLOOKUP(T380,Parameter!$I$27:$K$29,3,0)),H380,N(N380)),IF(N(Q380)&gt;0,Q380,MAX(1,H380)))))</f>
        <v>25</v>
      </c>
      <c r="BZ380" s="53" t="n">
        <f aca="false">IF(BX380="LOSE",1,0)</f>
        <v>0</v>
      </c>
      <c r="CA380" s="53" t="n">
        <f aca="false">IF(AND(U380="",OR(P380="",P380="LOSE"),T380&lt;&gt;"",N(S380)&lt;=0,ISNUMBER(MATCH(T380,Parameter!$I$27:$I$29,0))),1,0)</f>
        <v>1</v>
      </c>
      <c r="CB380" s="53" t="n">
        <f aca="false">IF(CQ380&gt;0,INDEX(Parameter!$H$5:$H$7,W380)/INDEX(Parameter!$E$5:$E$7,W380),IF(AND(BZ380=0,N(IFERROR(VLOOKUP(BX380,'Gebinde-Kategorie'!$A$5:$N$45,14,0),0))&gt;0),VLOOKUP(BX380,'Gebinde-Kategorie'!$A$5:$N$45,14,0)*10+Parameter!$M$23,Parameter!$M$24))</f>
        <v>145</v>
      </c>
      <c r="CC380" s="48" t="str">
        <f aca="false">IF(AND(Parameter!$B$19="Ja",E380&lt;&gt;"",ISNUMBER(MATCH(E380,Parameter!$I$35:$I$52,0))),VLOOKUP(E380,Parameter!$I$35:$J$52,2,0),IFERROR(VLOOKUP(D380,Parameter!$A$35:$C$64,2,0),"Nein"))</f>
        <v>2+3</v>
      </c>
      <c r="CD380" s="52" t="n">
        <f aca="false">IF(BZ380=0,0,IF(N(S380)&gt;0,S380,IFERROR(VLOOKUP(D380,Parameter!$A$35:$C$64,3,0)+0,0)))</f>
        <v>0</v>
      </c>
      <c r="CE380" s="48" t="n">
        <f aca="false">IF(AA380&lt;&gt;"",AA380,Z380)</f>
        <v>2</v>
      </c>
      <c r="CF380" s="48" t="str">
        <f aca="false">IF(OR(CE380=1,CE380=2,CE380=3),IF(Parameter!$E$27="Ja","LIFT",IF(CE380=1,"L1","L23")),IF(CE380="Aussen","Aussen","-"))</f>
        <v>LIFT</v>
      </c>
      <c r="CG380" s="59" t="n">
        <f aca="false">IF(N(AB380)&gt;0,AB380,0)</f>
        <v>0</v>
      </c>
      <c r="CH380" s="53" t="n">
        <f aca="false">IF(ISNUMBER(AE380),1,0)</f>
        <v>0</v>
      </c>
      <c r="CI380" s="50" t="n">
        <f aca="false">N(AE380)</f>
        <v>0</v>
      </c>
      <c r="CJ380" s="50" t="n">
        <f aca="false">N(M380)+N(N380)</f>
        <v>1</v>
      </c>
      <c r="CK380" s="50" t="n">
        <f aca="false">N(M380)</f>
        <v>0</v>
      </c>
      <c r="CL380" s="50" t="n">
        <f aca="false">N(N380)</f>
        <v>1</v>
      </c>
      <c r="CM380" s="50" t="n">
        <f aca="false">ROUNDUP(H380/BY380,0)</f>
        <v>1</v>
      </c>
      <c r="CN380" s="50" t="n">
        <f aca="false">ROUNDUP(CI380/BY380,0)</f>
        <v>0</v>
      </c>
      <c r="CO380" s="53" t="n">
        <f aca="false">IF(BZ380=1,0,IFERROR(VLOOKUP(BX380,'Gebinde-Kategorie'!$A$5:$N$45,5,0)+0,0))</f>
        <v>11</v>
      </c>
      <c r="CP380" s="53" t="n">
        <f aca="false">IFERROR(IF(OR(CE380=1,CE380=2,CE380=3),N(INDEX(Parameter!$I$5:$I$7,CE380)),0),0)</f>
        <v>0</v>
      </c>
      <c r="CQ380" s="52" t="n">
        <f aca="false">IF(AND(Parameter!$B$21="Ja",ISNUMBER(W380),N(X380)&gt;0),IFERROR(N(INDEX(Parameter!$L$5:$L$7,W380))*INDEX(Parameter!$E$5:$E$7,W380)*X380/SUMIFS($X$7:$X$1843,$W$7:$W$1843,W380),0),0)</f>
        <v>0</v>
      </c>
    </row>
    <row r="381" customFormat="false" ht="15" hidden="false" customHeight="false" outlineLevel="0" collapsed="false">
      <c r="A381" s="48" t="s">
        <v>915</v>
      </c>
      <c r="B381" s="48" t="s">
        <v>916</v>
      </c>
      <c r="C381" s="48" t="s">
        <v>173</v>
      </c>
      <c r="D381" s="48" t="s">
        <v>193</v>
      </c>
      <c r="E381" s="48"/>
      <c r="F381" s="48" t="s">
        <v>227</v>
      </c>
      <c r="G381" s="49" t="n">
        <v>0.8</v>
      </c>
      <c r="H381" s="50" t="n">
        <f aca="false">MAX(0,IF(AND(Parameter!$B$21="Ja",ISNUMBER(Y381)),Y381,IF(Parameter!$B$20="Jahresanfang 2025 + Export",BR381+BQ381,BQ381)))</f>
        <v>449</v>
      </c>
      <c r="I381" s="50" t="n">
        <f aca="false">H381*G381</f>
        <v>359.2</v>
      </c>
      <c r="J381" s="50" t="n">
        <f aca="false">BT381*Parameter!$B$18</f>
        <v>206</v>
      </c>
      <c r="K381" s="51" t="n">
        <v>264.5</v>
      </c>
      <c r="L381" s="52" t="n">
        <v>0.77882797731569</v>
      </c>
      <c r="M381" s="50" t="n">
        <v>12</v>
      </c>
      <c r="N381" s="50" t="n">
        <v>250</v>
      </c>
      <c r="O381" s="53" t="n">
        <v>21</v>
      </c>
      <c r="P381" s="48" t="s">
        <v>177</v>
      </c>
      <c r="Q381" s="50"/>
      <c r="R381" s="53" t="n">
        <f aca="false">IF(BZ381=1,0,IFERROR(VLOOKUP(BX381,'Gebinde-Kategorie'!$A$5:$N$45,13,0)+0,0))</f>
        <v>26</v>
      </c>
      <c r="S381" s="54"/>
      <c r="T381" s="55" t="s">
        <v>284</v>
      </c>
      <c r="U381" s="55"/>
      <c r="V381" s="55"/>
      <c r="W381" s="48"/>
      <c r="X381" s="50"/>
      <c r="Y381" s="50"/>
      <c r="Z381" s="48" t="n">
        <f aca="false">IF(A381="","",IF(AND(Parameter!$B$21="Ja",ISNUMBER(W381)),W381,IF(CC381="2+3",IF(ISNUMBER(SEARCH("grosser Artikel",BU381)),2,IFERROR(VLOOKUP(BX381,Parameter!$F$35:$G$64,2,0),2)),IF(OR(CC381="Nein",CC381=""),"-",CC381))))</f>
        <v>3</v>
      </c>
      <c r="AA381" s="55"/>
      <c r="AB381" s="56"/>
      <c r="AC381" s="50" t="n">
        <f aca="false">AV381</f>
        <v>262</v>
      </c>
      <c r="AD381" s="50" t="n">
        <f aca="false">MAX(AV381,H381)</f>
        <v>449</v>
      </c>
      <c r="AE381" s="57"/>
      <c r="AF381" s="50" t="n">
        <f aca="false">IF(LEFT(Cockpit!$C$5,1)="A",H381,IF(Parameter!$E$30="MAX-Bestand",IF(CH381=1,CI381,IF(LEFT(Cockpit!$C$5,1)="B",AL381,MAX(AL381,H381))),ROUNDUP(AJ381,0)))</f>
        <v>449</v>
      </c>
      <c r="AG381" s="50" t="n">
        <f aca="false">IF(BZ381=1,0,ROUNDUP(AF381/BY381,0))</f>
        <v>1</v>
      </c>
      <c r="AH381" s="52" t="n">
        <f aca="false">IF(CQ381&gt;0,CQ381*MAX(1,AF381/X381),IF(BZ381=1,IF(AF381&lt;=0,0,CD381*MAX(1,IF(H381&gt;0,AF381/H381,1))),IF(R381&gt;0,AG381/R381,0))/MAX(0.1,N(Parameter!$M$21)))</f>
        <v>0.0384615384615385</v>
      </c>
      <c r="AI381" s="50" t="n">
        <f aca="false">AH381*CB381</f>
        <v>5.96153846153846</v>
      </c>
      <c r="AJ381" s="51" t="n">
        <f aca="false">IF(LEFT(Cockpit!$C$5,1)="A",H381,IF(CH381=1,(CK381+CI381)/2,IF(LEFT(Cockpit!$C$5,1)="B",(CK381+AL381)/2,MAX((CK381+AL381)/2,H381))))</f>
        <v>449</v>
      </c>
      <c r="AK381" s="50" t="n">
        <f aca="false">AJ381*G381</f>
        <v>359.2</v>
      </c>
      <c r="AL381" s="50" t="n">
        <f aca="false">ROUNDUP(CK381+MAX(CL381,2*(J381/IF(CG381&gt;0,CG381,MAX(0.1,N(Cockpit!$C$6)))-CK381)),0)</f>
        <v>262</v>
      </c>
      <c r="AM381" s="51" t="n">
        <f aca="false">IF(AI381&gt;0,J381/AI381,-1)</f>
        <v>34.5548387096774</v>
      </c>
      <c r="AN381" s="51" t="n">
        <f aca="false">IF(AND(OR(CF381="L1",CF381="L23",CF381="LIFT"),AI381&gt;0),SUMIFS($AI$7:$AI$1843,$CF$7:$CF$1843,CF381,$AM$7:$AM$1843,"&gt;"&amp;AM381)+SUMIFS($AI$7:$AI$1843,$CF$7:$CF$1843,CF381,$AM$7:$AM$1843,AM381,$BW$7:$BW$1843,"&lt;="&amp;BW381),"")</f>
        <v>1298.75686813187</v>
      </c>
      <c r="AO381" s="58" t="n">
        <f aca="false">IF(AN381="",0,MAX(0,MIN(1,(IF(CF381="L1",Parameter!$H$5,IF(CF381="L23",Parameter!$H$6+Parameter!$H$7,Parameter!$H$5+Parameter!$H$6+Parameter!$H$7))-(AN381-AI381))/AI381)))</f>
        <v>1</v>
      </c>
      <c r="AP381" s="50" t="n">
        <f aca="false">IF(LEFT(Cockpit!$I$5,1)="A",H381,IF(Parameter!$E$30="MAX-Bestand",IF(CH381=1,CI381,IF(LEFT(Cockpit!$I$5,1)="B",AV381,MAX(AV381,H381))),ROUNDUP(AT381,0)))</f>
        <v>449</v>
      </c>
      <c r="AQ381" s="50" t="n">
        <f aca="false">IF(BZ381=1,0,ROUNDUP(AP381/BY381,0))</f>
        <v>1</v>
      </c>
      <c r="AR381" s="52" t="n">
        <f aca="false">IF(CQ381&gt;0,CQ381*MAX(1,AP381/X381),IF(BZ381=1,IF(AP381&lt;=0,0,CD381*MAX(1,IF(H381&gt;0,AP381/H381,1))),IF(R381&gt;0,AQ381/R381,0))/MAX(0.1,N(Parameter!$M$21)))</f>
        <v>0.0384615384615385</v>
      </c>
      <c r="AS381" s="50" t="n">
        <f aca="false">AR381*CB381</f>
        <v>5.96153846153846</v>
      </c>
      <c r="AT381" s="51" t="n">
        <f aca="false">IF(LEFT(Cockpit!$I$5,1)="A",H381,IF(CH381=1,(CK381+CI381)/2,IF(LEFT(Cockpit!$I$5,1)="B",(CK381+AV381)/2,MAX((CK381+AV381)/2,H381))))</f>
        <v>449</v>
      </c>
      <c r="AU381" s="50" t="n">
        <f aca="false">AT381*G381</f>
        <v>359.2</v>
      </c>
      <c r="AV381" s="50" t="n">
        <f aca="false">ROUNDUP(CK381+MAX(CL381,2*(J381/IF(CG381&gt;0,CG381,MAX(0.1,N(Cockpit!$I$6)))-CK381)),0)</f>
        <v>262</v>
      </c>
      <c r="AW381" s="51" t="n">
        <f aca="false">IF(AS381&gt;0,J381/AS381,-1)</f>
        <v>34.5548387096774</v>
      </c>
      <c r="AX381" s="51" t="n">
        <f aca="false">IF(AND(OR(CF381="L1",CF381="L23",CF381="LIFT"),AS381&gt;0),SUMIFS($AS$7:$AS$1843,$CF$7:$CF$1843,CF381,$AW$7:$AW$1843,"&gt;"&amp;AW381)+SUMIFS($AS$7:$AS$1843,$CF$7:$CF$1843,CF381,$AW$7:$AW$1843,AW381,$BW$7:$BW$1843,"&lt;="&amp;BW381),"")</f>
        <v>1619.52289377289</v>
      </c>
      <c r="AY381" s="58" t="n">
        <f aca="false">IF(AX381="",0,MAX(0,MIN(1,(IF(CF381="L1",Parameter!$H$5,IF(CF381="L23",Parameter!$H$6+Parameter!$H$7,Parameter!$H$5+Parameter!$H$6+Parameter!$H$7))-(AX381-AS381))/AS381)))</f>
        <v>1</v>
      </c>
      <c r="AZ381" s="50" t="n">
        <f aca="false">IF(LEFT(Cockpit!$O$5,1)="A",H381,IF(Parameter!$E$30="MAX-Bestand",IF(CH381=1,CI381,IF(LEFT(Cockpit!$O$5,1)="B",BF381,MAX(BF381,H381))),ROUNDUP(BD381,0)))</f>
        <v>137</v>
      </c>
      <c r="BA381" s="50" t="n">
        <f aca="false">IF(BZ381=1,0,ROUNDUP(AZ381/BY381,0))</f>
        <v>1</v>
      </c>
      <c r="BB381" s="52" t="n">
        <f aca="false">IF(CQ381&gt;0,CQ381*MAX(1,AZ381/X381),IF(BZ381=1,IF(AZ381&lt;=0,0,CD381*MAX(1,IF(H381&gt;0,AZ381/H381,1))),IF(R381&gt;0,BA381/R381,0))/MAX(0.1,N(Parameter!$M$21)))</f>
        <v>0.0384615384615385</v>
      </c>
      <c r="BC381" s="50" t="n">
        <f aca="false">BB381*CB381</f>
        <v>5.96153846153846</v>
      </c>
      <c r="BD381" s="51" t="n">
        <f aca="false">IF(LEFT(Cockpit!$O$5,1)="A",H381,IF(CH381=1,(CK381+CI381)/2,IF(LEFT(Cockpit!$O$5,1)="B",(CK381+BF381)/2,MAX((CK381+BF381)/2,H381))))</f>
        <v>137</v>
      </c>
      <c r="BE381" s="50" t="n">
        <f aca="false">BD381*G381</f>
        <v>109.6</v>
      </c>
      <c r="BF381" s="50" t="n">
        <f aca="false">ROUNDUP(CK381+MAX(CL381,2*(J381/IF(CG381&gt;0,CG381,MAX(0.1,N(Cockpit!$O$6)))-CK381)),0)</f>
        <v>262</v>
      </c>
      <c r="BG381" s="51" t="n">
        <f aca="false">IF(BC381&gt;0,J381/BC381,-1)</f>
        <v>34.5548387096774</v>
      </c>
      <c r="BH381" s="51" t="n">
        <f aca="false">IF(AND(OR(CF381="L1",CF381="L23",CF381="LIFT"),BC381&gt;0),SUMIFS($BC$7:$BC$1843,$CF$7:$CF$1843,CF381,$BG$7:$BG$1843,"&gt;"&amp;BG381)+SUMIFS($BC$7:$BC$1843,$CF$7:$CF$1843,CF381,$BG$7:$BG$1843,BG381,$BW$7:$BW$1843,"&lt;="&amp;BW381),"")</f>
        <v>1541.76282051282</v>
      </c>
      <c r="BI381" s="58" t="n">
        <f aca="false">IF(BH381="",0,MAX(0,MIN(1,(IF(CF381="L1",Parameter!$H$5,IF(CF381="L23",Parameter!$H$6+Parameter!$H$7,Parameter!$H$5+Parameter!$H$6+Parameter!$H$7))-(BH381-BC381))/BC381)))</f>
        <v>1</v>
      </c>
      <c r="BJ381" s="48" t="str">
        <f aca="false">IF(AI381&lt;=0,"",IF(CF381="Aussen","Aussenlager",IF(CF381="-","Nicht im Lift",IF(AO381&gt;=1,"Lift",IF(AO381&lt;=0,"Aussenlager","teilweise")))))</f>
        <v>Lift</v>
      </c>
      <c r="BK381" s="48" t="str">
        <f aca="false">IF(AS381&lt;=0,"",IF(CF381="Aussen","Aussenlager",IF(CF381="-","Nicht im Lift",IF(AY381&gt;=1,"Lift",IF(AY381&lt;=0,"Aussenlager","teilweise")))))</f>
        <v>Lift</v>
      </c>
      <c r="BL381" s="48" t="str">
        <f aca="false">IF(BC381&lt;=0,"",IF(CF381="Aussen","Aussenlager",IF(CF381="-","Nicht im Lift",IF(BI381&gt;=1,"Lift",IF(BI381&lt;=0,"Aussenlager","teilweise")))))</f>
        <v>Lift</v>
      </c>
      <c r="BM381" s="48" t="str">
        <f aca="false">IF(A381="","",IF(BV381=1,"Neu; ","")&amp;IF(AND(BV381=0,BQ381&lt;0),"negativer Bestand (Export "&amp;BQ381&amp;"); ","")&amp;IF(J381&lt;=0,"Kein Verbrauch; ","")&amp;IF(CQ381&gt;0,"Lift "&amp;W381&amp;" lt. Liftbericht (Fach "&amp;X381&amp;" Stk); ",IF(CA381=1,"Gebinde geschätzt ("&amp;T381&amp;"); ",IF(BZ381=1,"Lose – Tablare geschätzt; ","")))&amp;IF(H381&gt;AV381,"Überbestand "&amp;ROUND(H381-AV381,0)&amp;" Stk / CHF "&amp;ROUND((H381-AV381)*G381,0)&amp;"; ","")&amp;IF(AND(CH381=1,CI381&lt;CJ381),"MAX &lt; MB+LG; ","")&amp;IF(AND(CP381&gt;0,CO381*10&gt;CP381),"zu hoch für Tablar; ","")&amp;IF(AND(BV381=0,OR(CH381=1,AA381&lt;&gt;"",U381&lt;&gt;"",V381&lt;&gt;"",AB381&lt;&gt;"")),"manuell übersteuert; ","")&amp;IF(AND(BZ381=0,R381=0),"Gebinde unbekannt / Stellmass fehlt; ","")&amp;IF(AND(BZ381=0,N(V381)&lt;=0,N(Q381)&lt;=0),"Menge pro Gebinde fehlt (Ist = 1 Gebinde); ","")&amp;BU381)</f>
        <v>Gebinde geschätzt (Klein); Überbestand 187 Stk / CHF 150; Menge pro Gebinde fehlt (Ist = 1 Gebinde); </v>
      </c>
      <c r="BN381" s="48"/>
      <c r="BO381" s="48"/>
      <c r="BP381" s="55"/>
      <c r="BQ381" s="50" t="n">
        <v>216</v>
      </c>
      <c r="BR381" s="50" t="n">
        <v>233</v>
      </c>
      <c r="BS381" s="49" t="n">
        <v>133.19</v>
      </c>
      <c r="BT381" s="50" t="n">
        <v>206</v>
      </c>
      <c r="BU381" s="48"/>
      <c r="BV381" s="53" t="n">
        <v>0</v>
      </c>
      <c r="BW381" s="53" t="n">
        <v>381</v>
      </c>
      <c r="BX381" s="48" t="str">
        <f aca="false">IF(U381&lt;&gt;"",UPPER(TRIM(U381)),IF(CA381=1,UPPER(VLOOKUP(T381,Parameter!$I$27:$K$29,2,0)),IF(P381="","LOSE",P381)))</f>
        <v>S51</v>
      </c>
      <c r="BY381" s="50" t="n">
        <f aca="false">IF(BX381="LOSE",1,IF(N(V381)&gt;0,V381,IF(CA381=1,MAX(1,N(VLOOKUP(T381,Parameter!$I$27:$K$29,3,0)),H381,N(N381)),IF(N(Q381)&gt;0,Q381,MAX(1,H381)))))</f>
        <v>449</v>
      </c>
      <c r="BZ381" s="53" t="n">
        <f aca="false">IF(BX381="LOSE",1,0)</f>
        <v>0</v>
      </c>
      <c r="CA381" s="53" t="n">
        <f aca="false">IF(AND(U381="",OR(P381="",P381="LOSE"),T381&lt;&gt;"",N(S381)&lt;=0,ISNUMBER(MATCH(T381,Parameter!$I$27:$I$29,0))),1,0)</f>
        <v>1</v>
      </c>
      <c r="CB381" s="53" t="n">
        <f aca="false">IF(CQ381&gt;0,INDEX(Parameter!$H$5:$H$7,W381)/INDEX(Parameter!$E$5:$E$7,W381),IF(AND(BZ381=0,N(IFERROR(VLOOKUP(BX381,'Gebinde-Kategorie'!$A$5:$N$45,14,0),0))&gt;0),VLOOKUP(BX381,'Gebinde-Kategorie'!$A$5:$N$45,14,0)*10+Parameter!$M$23,Parameter!$M$24))</f>
        <v>155</v>
      </c>
      <c r="CC381" s="48" t="str">
        <f aca="false">IF(AND(Parameter!$B$19="Ja",E381&lt;&gt;"",ISNUMBER(MATCH(E381,Parameter!$I$35:$I$52,0))),VLOOKUP(E381,Parameter!$I$35:$J$52,2,0),IFERROR(VLOOKUP(D381,Parameter!$A$35:$C$64,2,0),"Nein"))</f>
        <v>2+3</v>
      </c>
      <c r="CD381" s="52" t="n">
        <f aca="false">IF(BZ381=0,0,IF(N(S381)&gt;0,S381,IFERROR(VLOOKUP(D381,Parameter!$A$35:$C$64,3,0)+0,0)))</f>
        <v>0</v>
      </c>
      <c r="CE381" s="48" t="n">
        <f aca="false">IF(AA381&lt;&gt;"",AA381,Z381)</f>
        <v>3</v>
      </c>
      <c r="CF381" s="48" t="str">
        <f aca="false">IF(OR(CE381=1,CE381=2,CE381=3),IF(Parameter!$E$27="Ja","LIFT",IF(CE381=1,"L1","L23")),IF(CE381="Aussen","Aussen","-"))</f>
        <v>LIFT</v>
      </c>
      <c r="CG381" s="59" t="n">
        <f aca="false">IF(N(AB381)&gt;0,AB381,0)</f>
        <v>0</v>
      </c>
      <c r="CH381" s="53" t="n">
        <f aca="false">IF(ISNUMBER(AE381),1,0)</f>
        <v>0</v>
      </c>
      <c r="CI381" s="50" t="n">
        <f aca="false">N(AE381)</f>
        <v>0</v>
      </c>
      <c r="CJ381" s="50" t="n">
        <f aca="false">N(M381)+N(N381)</f>
        <v>262</v>
      </c>
      <c r="CK381" s="50" t="n">
        <f aca="false">N(M381)</f>
        <v>12</v>
      </c>
      <c r="CL381" s="50" t="n">
        <f aca="false">N(N381)</f>
        <v>250</v>
      </c>
      <c r="CM381" s="50" t="n">
        <f aca="false">ROUNDUP(H381/BY381,0)</f>
        <v>1</v>
      </c>
      <c r="CN381" s="50" t="n">
        <f aca="false">ROUNDUP(CI381/BY381,0)</f>
        <v>0</v>
      </c>
      <c r="CO381" s="53" t="n">
        <f aca="false">IF(BZ381=1,0,IFERROR(VLOOKUP(BX381,'Gebinde-Kategorie'!$A$5:$N$45,5,0)+0,0))</f>
        <v>11</v>
      </c>
      <c r="CP381" s="53" t="n">
        <f aca="false">IFERROR(IF(OR(CE381=1,CE381=2,CE381=3),N(INDEX(Parameter!$I$5:$I$7,CE381)),0),0)</f>
        <v>0</v>
      </c>
      <c r="CQ381" s="52" t="n">
        <f aca="false">IF(AND(Parameter!$B$21="Ja",ISNUMBER(W381),N(X381)&gt;0),IFERROR(N(INDEX(Parameter!$L$5:$L$7,W381))*INDEX(Parameter!$E$5:$E$7,W381)*X381/SUMIFS($X$7:$X$1843,$W$7:$W$1843,W381),0),0)</f>
        <v>0</v>
      </c>
    </row>
    <row r="382" customFormat="false" ht="15" hidden="false" customHeight="false" outlineLevel="0" collapsed="false">
      <c r="A382" s="48" t="s">
        <v>917</v>
      </c>
      <c r="B382" s="48" t="s">
        <v>918</v>
      </c>
      <c r="C382" s="48" t="s">
        <v>173</v>
      </c>
      <c r="D382" s="48" t="s">
        <v>193</v>
      </c>
      <c r="E382" s="48" t="s">
        <v>194</v>
      </c>
      <c r="F382" s="48" t="s">
        <v>227</v>
      </c>
      <c r="G382" s="49" t="n">
        <v>0.99</v>
      </c>
      <c r="H382" s="50" t="n">
        <f aca="false">MAX(0,IF(AND(Parameter!$B$21="Ja",ISNUMBER(Y382)),Y382,IF(Parameter!$B$20="Jahresanfang 2025 + Export",BR382+BQ382,BQ382)))</f>
        <v>223</v>
      </c>
      <c r="I382" s="50" t="n">
        <f aca="false">H382*G382</f>
        <v>220.77</v>
      </c>
      <c r="J382" s="50" t="n">
        <f aca="false">BT382*Parameter!$B$18</f>
        <v>302</v>
      </c>
      <c r="K382" s="51" t="n">
        <v>86</v>
      </c>
      <c r="L382" s="52" t="n">
        <v>3.51162790697674</v>
      </c>
      <c r="M382" s="50" t="n">
        <v>23</v>
      </c>
      <c r="N382" s="50" t="n">
        <v>300</v>
      </c>
      <c r="O382" s="53" t="n">
        <v>28</v>
      </c>
      <c r="P382" s="48" t="s">
        <v>485</v>
      </c>
      <c r="Q382" s="50" t="n">
        <v>176</v>
      </c>
      <c r="R382" s="53" t="n">
        <f aca="false">IF(BZ382=1,0,IFERROR(VLOOKUP(BX382,'Gebinde-Kategorie'!$A$5:$N$45,13,0)+0,0))</f>
        <v>52</v>
      </c>
      <c r="S382" s="54"/>
      <c r="T382" s="55"/>
      <c r="U382" s="55"/>
      <c r="V382" s="55"/>
      <c r="W382" s="48"/>
      <c r="X382" s="50"/>
      <c r="Y382" s="50"/>
      <c r="Z382" s="48" t="n">
        <f aca="false">IF(A382="","",IF(AND(Parameter!$B$21="Ja",ISNUMBER(W382)),W382,IF(CC382="2+3",IF(ISNUMBER(SEARCH("grosser Artikel",BU382)),2,IFERROR(VLOOKUP(BX382,Parameter!$F$35:$G$64,2,0),2)),IF(OR(CC382="Nein",CC382=""),"-",CC382))))</f>
        <v>3</v>
      </c>
      <c r="AA382" s="55"/>
      <c r="AB382" s="56"/>
      <c r="AC382" s="50" t="n">
        <f aca="false">AV382</f>
        <v>323</v>
      </c>
      <c r="AD382" s="50" t="n">
        <f aca="false">MAX(AV382,H382)</f>
        <v>323</v>
      </c>
      <c r="AE382" s="57"/>
      <c r="AF382" s="50" t="n">
        <f aca="false">IF(LEFT(Cockpit!$C$5,1)="A",H382,IF(Parameter!$E$30="MAX-Bestand",IF(CH382=1,CI382,IF(LEFT(Cockpit!$C$5,1)="B",AL382,MAX(AL382,H382))),ROUNDUP(AJ382,0)))</f>
        <v>223</v>
      </c>
      <c r="AG382" s="50" t="n">
        <f aca="false">IF(BZ382=1,0,ROUNDUP(AF382/BY382,0))</f>
        <v>2</v>
      </c>
      <c r="AH382" s="52" t="n">
        <f aca="false">IF(CQ382&gt;0,CQ382*MAX(1,AF382/X382),IF(BZ382=1,IF(AF382&lt;=0,0,CD382*MAX(1,IF(H382&gt;0,AF382/H382,1))),IF(R382&gt;0,AG382/R382,0))/MAX(0.1,N(Parameter!$M$21)))</f>
        <v>0.0384615384615385</v>
      </c>
      <c r="AI382" s="50" t="n">
        <f aca="false">AH382*CB382</f>
        <v>5.96153846153846</v>
      </c>
      <c r="AJ382" s="51" t="n">
        <f aca="false">IF(LEFT(Cockpit!$C$5,1)="A",H382,IF(CH382=1,(CK382+CI382)/2,IF(LEFT(Cockpit!$C$5,1)="B",(CK382+AL382)/2,MAX((CK382+AL382)/2,H382))))</f>
        <v>223</v>
      </c>
      <c r="AK382" s="50" t="n">
        <f aca="false">AJ382*G382</f>
        <v>220.77</v>
      </c>
      <c r="AL382" s="50" t="n">
        <f aca="false">ROUNDUP(CK382+MAX(CL382,2*(J382/IF(CG382&gt;0,CG382,MAX(0.1,N(Cockpit!$C$6)))-CK382)),0)</f>
        <v>323</v>
      </c>
      <c r="AM382" s="51" t="n">
        <f aca="false">IF(AI382&gt;0,J382/AI382,-1)</f>
        <v>50.658064516129</v>
      </c>
      <c r="AN382" s="51" t="n">
        <f aca="false">IF(AND(OR(CF382="L1",CF382="L23",CF382="LIFT"),AI382&gt;0),SUMIFS($AI$7:$AI$1843,$CF$7:$CF$1843,CF382,$AM$7:$AM$1843,"&gt;"&amp;AM382)+SUMIFS($AI$7:$AI$1843,$CF$7:$CF$1843,CF382,$AM$7:$AM$1843,AM382,$BW$7:$BW$1843,"&lt;="&amp;BW382),"")</f>
        <v>1026.875</v>
      </c>
      <c r="AO382" s="58" t="n">
        <f aca="false">IF(AN382="",0,MAX(0,MIN(1,(IF(CF382="L1",Parameter!$H$5,IF(CF382="L23",Parameter!$H$6+Parameter!$H$7,Parameter!$H$5+Parameter!$H$6+Parameter!$H$7))-(AN382-AI382))/AI382)))</f>
        <v>1</v>
      </c>
      <c r="AP382" s="50" t="n">
        <f aca="false">IF(LEFT(Cockpit!$I$5,1)="A",H382,IF(Parameter!$E$30="MAX-Bestand",IF(CH382=1,CI382,IF(LEFT(Cockpit!$I$5,1)="B",AV382,MAX(AV382,H382))),ROUNDUP(AT382,0)))</f>
        <v>223</v>
      </c>
      <c r="AQ382" s="50" t="n">
        <f aca="false">IF(BZ382=1,0,ROUNDUP(AP382/BY382,0))</f>
        <v>2</v>
      </c>
      <c r="AR382" s="52" t="n">
        <f aca="false">IF(CQ382&gt;0,CQ382*MAX(1,AP382/X382),IF(BZ382=1,IF(AP382&lt;=0,0,CD382*MAX(1,IF(H382&gt;0,AP382/H382,1))),IF(R382&gt;0,AQ382/R382,0))/MAX(0.1,N(Parameter!$M$21)))</f>
        <v>0.0384615384615385</v>
      </c>
      <c r="AS382" s="50" t="n">
        <f aca="false">AR382*CB382</f>
        <v>5.96153846153846</v>
      </c>
      <c r="AT382" s="51" t="n">
        <f aca="false">IF(LEFT(Cockpit!$I$5,1)="A",H382,IF(CH382=1,(CK382+CI382)/2,IF(LEFT(Cockpit!$I$5,1)="B",(CK382+AV382)/2,MAX((CK382+AV382)/2,H382))))</f>
        <v>223</v>
      </c>
      <c r="AU382" s="50" t="n">
        <f aca="false">AT382*G382</f>
        <v>220.77</v>
      </c>
      <c r="AV382" s="50" t="n">
        <f aca="false">ROUNDUP(CK382+MAX(CL382,2*(J382/IF(CG382&gt;0,CG382,MAX(0.1,N(Cockpit!$I$6)))-CK382)),0)</f>
        <v>323</v>
      </c>
      <c r="AW382" s="51" t="n">
        <f aca="false">IF(AS382&gt;0,J382/AS382,-1)</f>
        <v>50.658064516129</v>
      </c>
      <c r="AX382" s="51" t="n">
        <f aca="false">IF(AND(OR(CF382="L1",CF382="L23",CF382="LIFT"),AS382&gt;0),SUMIFS($AS$7:$AS$1843,$CF$7:$CF$1843,CF382,$AW$7:$AW$1843,"&gt;"&amp;AW382)+SUMIFS($AS$7:$AS$1843,$CF$7:$CF$1843,CF382,$AW$7:$AW$1843,AW382,$BW$7:$BW$1843,"&lt;="&amp;BW382),"")</f>
        <v>1310.57097069597</v>
      </c>
      <c r="AY382" s="58" t="n">
        <f aca="false">IF(AX382="",0,MAX(0,MIN(1,(IF(CF382="L1",Parameter!$H$5,IF(CF382="L23",Parameter!$H$6+Parameter!$H$7,Parameter!$H$5+Parameter!$H$6+Parameter!$H$7))-(AX382-AS382))/AS382)))</f>
        <v>1</v>
      </c>
      <c r="AZ382" s="50" t="n">
        <f aca="false">IF(LEFT(Cockpit!$O$5,1)="A",H382,IF(Parameter!$E$30="MAX-Bestand",IF(CH382=1,CI382,IF(LEFT(Cockpit!$O$5,1)="B",BF382,MAX(BF382,H382))),ROUNDUP(BD382,0)))</f>
        <v>173</v>
      </c>
      <c r="BA382" s="50" t="n">
        <f aca="false">IF(BZ382=1,0,ROUNDUP(AZ382/BY382,0))</f>
        <v>1</v>
      </c>
      <c r="BB382" s="52" t="n">
        <f aca="false">IF(CQ382&gt;0,CQ382*MAX(1,AZ382/X382),IF(BZ382=1,IF(AZ382&lt;=0,0,CD382*MAX(1,IF(H382&gt;0,AZ382/H382,1))),IF(R382&gt;0,BA382/R382,0))/MAX(0.1,N(Parameter!$M$21)))</f>
        <v>0.0192307692307692</v>
      </c>
      <c r="BC382" s="50" t="n">
        <f aca="false">BB382*CB382</f>
        <v>2.98076923076923</v>
      </c>
      <c r="BD382" s="51" t="n">
        <f aca="false">IF(LEFT(Cockpit!$O$5,1)="A",H382,IF(CH382=1,(CK382+CI382)/2,IF(LEFT(Cockpit!$O$5,1)="B",(CK382+BF382)/2,MAX((CK382+BF382)/2,H382))))</f>
        <v>173</v>
      </c>
      <c r="BE382" s="50" t="n">
        <f aca="false">BD382*G382</f>
        <v>171.27</v>
      </c>
      <c r="BF382" s="50" t="n">
        <f aca="false">ROUNDUP(CK382+MAX(CL382,2*(J382/IF(CG382&gt;0,CG382,MAX(0.1,N(Cockpit!$O$6)))-CK382)),0)</f>
        <v>323</v>
      </c>
      <c r="BG382" s="51" t="n">
        <f aca="false">IF(BC382&gt;0,J382/BC382,-1)</f>
        <v>101.316129032258</v>
      </c>
      <c r="BH382" s="51" t="n">
        <f aca="false">IF(AND(OR(CF382="L1",CF382="L23",CF382="LIFT"),BC382&gt;0),SUMIFS($BC$7:$BC$1843,$CF$7:$CF$1843,CF382,$BG$7:$BG$1843,"&gt;"&amp;BG382)+SUMIFS($BC$7:$BC$1843,$CF$7:$CF$1843,CF382,$BG$7:$BG$1843,BG382,$BW$7:$BW$1843,"&lt;="&amp;BW382),"")</f>
        <v>900.346611721612</v>
      </c>
      <c r="BI382" s="58" t="n">
        <f aca="false">IF(BH382="",0,MAX(0,MIN(1,(IF(CF382="L1",Parameter!$H$5,IF(CF382="L23",Parameter!$H$6+Parameter!$H$7,Parameter!$H$5+Parameter!$H$6+Parameter!$H$7))-(BH382-BC382))/BC382)))</f>
        <v>1</v>
      </c>
      <c r="BJ382" s="48" t="str">
        <f aca="false">IF(AI382&lt;=0,"",IF(CF382="Aussen","Aussenlager",IF(CF382="-","Nicht im Lift",IF(AO382&gt;=1,"Lift",IF(AO382&lt;=0,"Aussenlager","teilweise")))))</f>
        <v>Lift</v>
      </c>
      <c r="BK382" s="48" t="str">
        <f aca="false">IF(AS382&lt;=0,"",IF(CF382="Aussen","Aussenlager",IF(CF382="-","Nicht im Lift",IF(AY382&gt;=1,"Lift",IF(AY382&lt;=0,"Aussenlager","teilweise")))))</f>
        <v>Lift</v>
      </c>
      <c r="BL382" s="48" t="str">
        <f aca="false">IF(BC382&lt;=0,"",IF(CF382="Aussen","Aussenlager",IF(CF382="-","Nicht im Lift",IF(BI382&gt;=1,"Lift",IF(BI382&lt;=0,"Aussenlager","teilweise")))))</f>
        <v>Lift</v>
      </c>
      <c r="BM382" s="48" t="str">
        <f aca="false">IF(A382="","",IF(BV382=1,"Neu; ","")&amp;IF(AND(BV382=0,BQ382&lt;0),"negativer Bestand (Export "&amp;BQ382&amp;"); ","")&amp;IF(J382&lt;=0,"Kein Verbrauch; ","")&amp;IF(CQ382&gt;0,"Lift "&amp;W382&amp;" lt. Liftbericht (Fach "&amp;X382&amp;" Stk); ",IF(CA382=1,"Gebinde geschätzt ("&amp;T382&amp;"); ",IF(BZ382=1,"Lose – Tablare geschätzt; ","")))&amp;IF(H382&gt;AV382,"Überbestand "&amp;ROUND(H382-AV382,0)&amp;" Stk / CHF "&amp;ROUND((H382-AV382)*G382,0)&amp;"; ","")&amp;IF(AND(CH382=1,CI382&lt;CJ382),"MAX &lt; MB+LG; ","")&amp;IF(AND(CP382&gt;0,CO382*10&gt;CP382),"zu hoch für Tablar; ","")&amp;IF(AND(BV382=0,OR(CH382=1,AA382&lt;&gt;"",U382&lt;&gt;"",V382&lt;&gt;"",AB382&lt;&gt;"")),"manuell übersteuert; ","")&amp;IF(AND(BZ382=0,R382=0),"Gebinde unbekannt / Stellmass fehlt; ","")&amp;IF(AND(BZ382=0,N(V382)&lt;=0,N(Q382)&lt;=0),"Menge pro Gebinde fehlt (Ist = 1 Gebinde); ","")&amp;BU382)</f>
        <v/>
      </c>
      <c r="BN382" s="48"/>
      <c r="BO382" s="48"/>
      <c r="BP382" s="55"/>
      <c r="BQ382" s="50" t="n">
        <v>134</v>
      </c>
      <c r="BR382" s="50" t="n">
        <v>89</v>
      </c>
      <c r="BS382" s="49" t="n">
        <v>132.66</v>
      </c>
      <c r="BT382" s="50" t="n">
        <v>302</v>
      </c>
      <c r="BU382" s="48"/>
      <c r="BV382" s="53" t="n">
        <v>0</v>
      </c>
      <c r="BW382" s="53" t="n">
        <v>382</v>
      </c>
      <c r="BX382" s="48" t="str">
        <f aca="false">IF(U382&lt;&gt;"",UPPER(TRIM(U382)),IF(CA382=1,UPPER(VLOOKUP(T382,Parameter!$I$27:$K$29,2,0)),IF(P382="","LOSE",P382)))</f>
        <v>S33</v>
      </c>
      <c r="BY382" s="50" t="n">
        <f aca="false">IF(BX382="LOSE",1,IF(N(V382)&gt;0,V382,IF(CA382=1,MAX(1,N(VLOOKUP(T382,Parameter!$I$27:$K$29,3,0)),H382,N(N382)),IF(N(Q382)&gt;0,Q382,MAX(1,H382)))))</f>
        <v>176</v>
      </c>
      <c r="BZ382" s="53" t="n">
        <f aca="false">IF(BX382="LOSE",1,0)</f>
        <v>0</v>
      </c>
      <c r="CA382" s="53" t="n">
        <f aca="false">IF(AND(U382="",OR(P382="",P382="LOSE"),T382&lt;&gt;"",N(S382)&lt;=0,ISNUMBER(MATCH(T382,Parameter!$I$27:$I$29,0))),1,0)</f>
        <v>0</v>
      </c>
      <c r="CB382" s="53" t="n">
        <f aca="false">IF(CQ382&gt;0,INDEX(Parameter!$H$5:$H$7,W382)/INDEX(Parameter!$E$5:$E$7,W382),IF(AND(BZ382=0,N(IFERROR(VLOOKUP(BX382,'Gebinde-Kategorie'!$A$5:$N$45,14,0),0))&gt;0),VLOOKUP(BX382,'Gebinde-Kategorie'!$A$5:$N$45,14,0)*10+Parameter!$M$23,Parameter!$M$24))</f>
        <v>155</v>
      </c>
      <c r="CC382" s="48" t="str">
        <f aca="false">IF(AND(Parameter!$B$19="Ja",E382&lt;&gt;"",ISNUMBER(MATCH(E382,Parameter!$I$35:$I$52,0))),VLOOKUP(E382,Parameter!$I$35:$J$52,2,0),IFERROR(VLOOKUP(D382,Parameter!$A$35:$C$64,2,0),"Nein"))</f>
        <v>2+3</v>
      </c>
      <c r="CD382" s="52" t="n">
        <f aca="false">IF(BZ382=0,0,IF(N(S382)&gt;0,S382,IFERROR(VLOOKUP(D382,Parameter!$A$35:$C$64,3,0)+0,0)))</f>
        <v>0</v>
      </c>
      <c r="CE382" s="48" t="n">
        <f aca="false">IF(AA382&lt;&gt;"",AA382,Z382)</f>
        <v>3</v>
      </c>
      <c r="CF382" s="48" t="str">
        <f aca="false">IF(OR(CE382=1,CE382=2,CE382=3),IF(Parameter!$E$27="Ja","LIFT",IF(CE382=1,"L1","L23")),IF(CE382="Aussen","Aussen","-"))</f>
        <v>LIFT</v>
      </c>
      <c r="CG382" s="59" t="n">
        <f aca="false">IF(N(AB382)&gt;0,AB382,0)</f>
        <v>0</v>
      </c>
      <c r="CH382" s="53" t="n">
        <f aca="false">IF(ISNUMBER(AE382),1,0)</f>
        <v>0</v>
      </c>
      <c r="CI382" s="50" t="n">
        <f aca="false">N(AE382)</f>
        <v>0</v>
      </c>
      <c r="CJ382" s="50" t="n">
        <f aca="false">N(M382)+N(N382)</f>
        <v>323</v>
      </c>
      <c r="CK382" s="50" t="n">
        <f aca="false">N(M382)</f>
        <v>23</v>
      </c>
      <c r="CL382" s="50" t="n">
        <f aca="false">N(N382)</f>
        <v>300</v>
      </c>
      <c r="CM382" s="50" t="n">
        <f aca="false">ROUNDUP(H382/BY382,0)</f>
        <v>2</v>
      </c>
      <c r="CN382" s="50" t="n">
        <f aca="false">ROUNDUP(CI382/BY382,0)</f>
        <v>0</v>
      </c>
      <c r="CO382" s="53" t="n">
        <f aca="false">IF(BZ382=1,0,IFERROR(VLOOKUP(BX382,'Gebinde-Kategorie'!$A$5:$N$45,5,0)+0,0))</f>
        <v>8</v>
      </c>
      <c r="CP382" s="53" t="n">
        <f aca="false">IFERROR(IF(OR(CE382=1,CE382=2,CE382=3),N(INDEX(Parameter!$I$5:$I$7,CE382)),0),0)</f>
        <v>0</v>
      </c>
      <c r="CQ382" s="52" t="n">
        <f aca="false">IF(AND(Parameter!$B$21="Ja",ISNUMBER(W382),N(X382)&gt;0),IFERROR(N(INDEX(Parameter!$L$5:$L$7,W382))*INDEX(Parameter!$E$5:$E$7,W382)*X382/SUMIFS($X$7:$X$1843,$W$7:$W$1843,W382),0),0)</f>
        <v>0</v>
      </c>
    </row>
    <row r="383" customFormat="false" ht="15" hidden="false" customHeight="false" outlineLevel="0" collapsed="false">
      <c r="A383" s="48" t="s">
        <v>919</v>
      </c>
      <c r="B383" s="48" t="s">
        <v>920</v>
      </c>
      <c r="C383" s="48" t="s">
        <v>173</v>
      </c>
      <c r="D383" s="48" t="s">
        <v>193</v>
      </c>
      <c r="E383" s="48" t="s">
        <v>194</v>
      </c>
      <c r="F383" s="48" t="s">
        <v>227</v>
      </c>
      <c r="G383" s="49" t="n">
        <v>64.76</v>
      </c>
      <c r="H383" s="50" t="n">
        <f aca="false">MAX(0,IF(AND(Parameter!$B$21="Ja",ISNUMBER(Y383)),Y383,IF(Parameter!$B$20="Jahresanfang 2025 + Export",BR383+BQ383,BQ383)))</f>
        <v>9</v>
      </c>
      <c r="I383" s="50" t="n">
        <f aca="false">H383*G383</f>
        <v>582.84</v>
      </c>
      <c r="J383" s="50" t="n">
        <f aca="false">BT383*Parameter!$B$18</f>
        <v>22</v>
      </c>
      <c r="K383" s="51" t="n">
        <v>11.5</v>
      </c>
      <c r="L383" s="52" t="n">
        <v>1.91304347826087</v>
      </c>
      <c r="M383" s="50" t="n">
        <v>1</v>
      </c>
      <c r="N383" s="50" t="n">
        <v>20</v>
      </c>
      <c r="O383" s="53" t="n">
        <v>28</v>
      </c>
      <c r="P383" s="48" t="s">
        <v>337</v>
      </c>
      <c r="Q383" s="50" t="n">
        <v>27</v>
      </c>
      <c r="R383" s="53" t="n">
        <f aca="false">IF(BZ383=1,0,IFERROR(VLOOKUP(BX383,'Gebinde-Kategorie'!$A$5:$N$45,13,0)+0,0))</f>
        <v>52</v>
      </c>
      <c r="S383" s="54"/>
      <c r="T383" s="55"/>
      <c r="U383" s="55"/>
      <c r="V383" s="55"/>
      <c r="W383" s="48"/>
      <c r="X383" s="50"/>
      <c r="Y383" s="50"/>
      <c r="Z383" s="48" t="n">
        <f aca="false">IF(A383="","",IF(AND(Parameter!$B$21="Ja",ISNUMBER(W383)),W383,IF(CC383="2+3",IF(ISNUMBER(SEARCH("grosser Artikel",BU383)),2,IFERROR(VLOOKUP(BX383,Parameter!$F$35:$G$64,2,0),2)),IF(OR(CC383="Nein",CC383=""),"-",CC383))))</f>
        <v>3</v>
      </c>
      <c r="AA383" s="55"/>
      <c r="AB383" s="56"/>
      <c r="AC383" s="50" t="n">
        <f aca="false">AV383</f>
        <v>21</v>
      </c>
      <c r="AD383" s="50" t="n">
        <f aca="false">MAX(AV383,H383)</f>
        <v>21</v>
      </c>
      <c r="AE383" s="57"/>
      <c r="AF383" s="50" t="n">
        <f aca="false">IF(LEFT(Cockpit!$C$5,1)="A",H383,IF(Parameter!$E$30="MAX-Bestand",IF(CH383=1,CI383,IF(LEFT(Cockpit!$C$5,1)="B",AL383,MAX(AL383,H383))),ROUNDUP(AJ383,0)))</f>
        <v>9</v>
      </c>
      <c r="AG383" s="50" t="n">
        <f aca="false">IF(BZ383=1,0,ROUNDUP(AF383/BY383,0))</f>
        <v>1</v>
      </c>
      <c r="AH383" s="52" t="n">
        <f aca="false">IF(CQ383&gt;0,CQ383*MAX(1,AF383/X383),IF(BZ383=1,IF(AF383&lt;=0,0,CD383*MAX(1,IF(H383&gt;0,AF383/H383,1))),IF(R383&gt;0,AG383/R383,0))/MAX(0.1,N(Parameter!$M$21)))</f>
        <v>0.0192307692307692</v>
      </c>
      <c r="AI383" s="50" t="n">
        <f aca="false">AH383*CB383</f>
        <v>2.98076923076923</v>
      </c>
      <c r="AJ383" s="51" t="n">
        <f aca="false">IF(LEFT(Cockpit!$C$5,1)="A",H383,IF(CH383=1,(CK383+CI383)/2,IF(LEFT(Cockpit!$C$5,1)="B",(CK383+AL383)/2,MAX((CK383+AL383)/2,H383))))</f>
        <v>9</v>
      </c>
      <c r="AK383" s="50" t="n">
        <f aca="false">AJ383*G383</f>
        <v>582.84</v>
      </c>
      <c r="AL383" s="50" t="n">
        <f aca="false">ROUNDUP(CK383+MAX(CL383,2*(J383/IF(CG383&gt;0,CG383,MAX(0.1,N(Cockpit!$C$6)))-CK383)),0)</f>
        <v>21</v>
      </c>
      <c r="AM383" s="51" t="n">
        <f aca="false">IF(AI383&gt;0,J383/AI383,-1)</f>
        <v>7.38064516129032</v>
      </c>
      <c r="AN383" s="51" t="n">
        <f aca="false">IF(AND(OR(CF383="L1",CF383="L23",CF383="LIFT"),AI383&gt;0),SUMIFS($AI$7:$AI$1843,$CF$7:$CF$1843,CF383,$AM$7:$AM$1843,"&gt;"&amp;AM383)+SUMIFS($AI$7:$AI$1843,$CF$7:$CF$1843,CF383,$AM$7:$AM$1843,AM383,$BW$7:$BW$1843,"&lt;="&amp;BW383),"")</f>
        <v>3151.87820512821</v>
      </c>
      <c r="AO383" s="58" t="n">
        <f aca="false">IF(AN383="",0,MAX(0,MIN(1,(IF(CF383="L1",Parameter!$H$5,IF(CF383="L23",Parameter!$H$6+Parameter!$H$7,Parameter!$H$5+Parameter!$H$6+Parameter!$H$7))-(AN383-AI383))/AI383)))</f>
        <v>1</v>
      </c>
      <c r="AP383" s="50" t="n">
        <f aca="false">IF(LEFT(Cockpit!$I$5,1)="A",H383,IF(Parameter!$E$30="MAX-Bestand",IF(CH383=1,CI383,IF(LEFT(Cockpit!$I$5,1)="B",AV383,MAX(AV383,H383))),ROUNDUP(AT383,0)))</f>
        <v>11</v>
      </c>
      <c r="AQ383" s="50" t="n">
        <f aca="false">IF(BZ383=1,0,ROUNDUP(AP383/BY383,0))</f>
        <v>1</v>
      </c>
      <c r="AR383" s="52" t="n">
        <f aca="false">IF(CQ383&gt;0,CQ383*MAX(1,AP383/X383),IF(BZ383=1,IF(AP383&lt;=0,0,CD383*MAX(1,IF(H383&gt;0,AP383/H383,1))),IF(R383&gt;0,AQ383/R383,0))/MAX(0.1,N(Parameter!$M$21)))</f>
        <v>0.0192307692307692</v>
      </c>
      <c r="AS383" s="50" t="n">
        <f aca="false">AR383*CB383</f>
        <v>2.98076923076923</v>
      </c>
      <c r="AT383" s="51" t="n">
        <f aca="false">IF(LEFT(Cockpit!$I$5,1)="A",H383,IF(CH383=1,(CK383+CI383)/2,IF(LEFT(Cockpit!$I$5,1)="B",(CK383+AV383)/2,MAX((CK383+AV383)/2,H383))))</f>
        <v>11</v>
      </c>
      <c r="AU383" s="50" t="n">
        <f aca="false">AT383*G383</f>
        <v>712.36</v>
      </c>
      <c r="AV383" s="50" t="n">
        <f aca="false">ROUNDUP(CK383+MAX(CL383,2*(J383/IF(CG383&gt;0,CG383,MAX(0.1,N(Cockpit!$I$6)))-CK383)),0)</f>
        <v>21</v>
      </c>
      <c r="AW383" s="51" t="n">
        <f aca="false">IF(AS383&gt;0,J383/AS383,-1)</f>
        <v>7.38064516129032</v>
      </c>
      <c r="AX383" s="51" t="n">
        <f aca="false">IF(AND(OR(CF383="L1",CF383="L23",CF383="LIFT"),AS383&gt;0),SUMIFS($AS$7:$AS$1843,$CF$7:$CF$1843,CF383,$AW$7:$AW$1843,"&gt;"&amp;AW383)+SUMIFS($AS$7:$AS$1843,$CF$7:$CF$1843,CF383,$AW$7:$AW$1843,AW383,$BW$7:$BW$1843,"&lt;="&amp;BW383),"")</f>
        <v>3812.18956043956</v>
      </c>
      <c r="AY383" s="58" t="n">
        <f aca="false">IF(AX383="",0,MAX(0,MIN(1,(IF(CF383="L1",Parameter!$H$5,IF(CF383="L23",Parameter!$H$6+Parameter!$H$7,Parameter!$H$5+Parameter!$H$6+Parameter!$H$7))-(AX383-AS383))/AS383)))</f>
        <v>1</v>
      </c>
      <c r="AZ383" s="50" t="n">
        <f aca="false">IF(LEFT(Cockpit!$O$5,1)="A",H383,IF(Parameter!$E$30="MAX-Bestand",IF(CH383=1,CI383,IF(LEFT(Cockpit!$O$5,1)="B",BF383,MAX(BF383,H383))),ROUNDUP(BD383,0)))</f>
        <v>11</v>
      </c>
      <c r="BA383" s="50" t="n">
        <f aca="false">IF(BZ383=1,0,ROUNDUP(AZ383/BY383,0))</f>
        <v>1</v>
      </c>
      <c r="BB383" s="52" t="n">
        <f aca="false">IF(CQ383&gt;0,CQ383*MAX(1,AZ383/X383),IF(BZ383=1,IF(AZ383&lt;=0,0,CD383*MAX(1,IF(H383&gt;0,AZ383/H383,1))),IF(R383&gt;0,BA383/R383,0))/MAX(0.1,N(Parameter!$M$21)))</f>
        <v>0.0192307692307692</v>
      </c>
      <c r="BC383" s="50" t="n">
        <f aca="false">BB383*CB383</f>
        <v>2.98076923076923</v>
      </c>
      <c r="BD383" s="51" t="n">
        <f aca="false">IF(LEFT(Cockpit!$O$5,1)="A",H383,IF(CH383=1,(CK383+CI383)/2,IF(LEFT(Cockpit!$O$5,1)="B",(CK383+BF383)/2,MAX((CK383+BF383)/2,H383))))</f>
        <v>11</v>
      </c>
      <c r="BE383" s="50" t="n">
        <f aca="false">BD383*G383</f>
        <v>712.36</v>
      </c>
      <c r="BF383" s="50" t="n">
        <f aca="false">ROUNDUP(CK383+MAX(CL383,2*(J383/IF(CG383&gt;0,CG383,MAX(0.1,N(Cockpit!$O$6)))-CK383)),0)</f>
        <v>21</v>
      </c>
      <c r="BG383" s="51" t="n">
        <f aca="false">IF(BC383&gt;0,J383/BC383,-1)</f>
        <v>7.38064516129032</v>
      </c>
      <c r="BH383" s="51" t="n">
        <f aca="false">IF(AND(OR(CF383="L1",CF383="L23",CF383="LIFT"),BC383&gt;0),SUMIFS($BC$7:$BC$1843,$CF$7:$CF$1843,CF383,$BG$7:$BG$1843,"&gt;"&amp;BG383)+SUMIFS($BC$7:$BC$1843,$CF$7:$CF$1843,CF383,$BG$7:$BG$1843,BG383,$BW$7:$BW$1843,"&lt;="&amp;BW383),"")</f>
        <v>3209.71291208791</v>
      </c>
      <c r="BI383" s="58" t="n">
        <f aca="false">IF(BH383="",0,MAX(0,MIN(1,(IF(CF383="L1",Parameter!$H$5,IF(CF383="L23",Parameter!$H$6+Parameter!$H$7,Parameter!$H$5+Parameter!$H$6+Parameter!$H$7))-(BH383-BC383))/BC383)))</f>
        <v>1</v>
      </c>
      <c r="BJ383" s="48" t="str">
        <f aca="false">IF(AI383&lt;=0,"",IF(CF383="Aussen","Aussenlager",IF(CF383="-","Nicht im Lift",IF(AO383&gt;=1,"Lift",IF(AO383&lt;=0,"Aussenlager","teilweise")))))</f>
        <v>Lift</v>
      </c>
      <c r="BK383" s="48" t="str">
        <f aca="false">IF(AS383&lt;=0,"",IF(CF383="Aussen","Aussenlager",IF(CF383="-","Nicht im Lift",IF(AY383&gt;=1,"Lift",IF(AY383&lt;=0,"Aussenlager","teilweise")))))</f>
        <v>Lift</v>
      </c>
      <c r="BL383" s="48" t="str">
        <f aca="false">IF(BC383&lt;=0,"",IF(CF383="Aussen","Aussenlager",IF(CF383="-","Nicht im Lift",IF(BI383&gt;=1,"Lift",IF(BI383&lt;=0,"Aussenlager","teilweise")))))</f>
        <v>Lift</v>
      </c>
      <c r="BM383" s="48" t="str">
        <f aca="false">IF(A383="","",IF(BV383=1,"Neu; ","")&amp;IF(AND(BV383=0,BQ383&lt;0),"negativer Bestand (Export "&amp;BQ383&amp;"); ","")&amp;IF(J383&lt;=0,"Kein Verbrauch; ","")&amp;IF(CQ383&gt;0,"Lift "&amp;W383&amp;" lt. Liftbericht (Fach "&amp;X383&amp;" Stk); ",IF(CA383=1,"Gebinde geschätzt ("&amp;T383&amp;"); ",IF(BZ383=1,"Lose – Tablare geschätzt; ","")))&amp;IF(H383&gt;AV383,"Überbestand "&amp;ROUND(H383-AV383,0)&amp;" Stk / CHF "&amp;ROUND((H383-AV383)*G383,0)&amp;"; ","")&amp;IF(AND(CH383=1,CI383&lt;CJ383),"MAX &lt; MB+LG; ","")&amp;IF(AND(CP383&gt;0,CO383*10&gt;CP383),"zu hoch für Tablar; ","")&amp;IF(AND(BV383=0,OR(CH383=1,AA383&lt;&gt;"",U383&lt;&gt;"",V383&lt;&gt;"",AB383&lt;&gt;"")),"manuell übersteuert; ","")&amp;IF(AND(BZ383=0,R383=0),"Gebinde unbekannt / Stellmass fehlt; ","")&amp;IF(AND(BZ383=0,N(V383)&lt;=0,N(Q383)&lt;=0),"Menge pro Gebinde fehlt (Ist = 1 Gebinde); ","")&amp;BU383)</f>
        <v/>
      </c>
      <c r="BN383" s="48"/>
      <c r="BO383" s="48"/>
      <c r="BP383" s="55"/>
      <c r="BQ383" s="50" t="n">
        <v>1</v>
      </c>
      <c r="BR383" s="50" t="n">
        <v>8</v>
      </c>
      <c r="BS383" s="49" t="n">
        <v>132.6</v>
      </c>
      <c r="BT383" s="50" t="n">
        <v>22</v>
      </c>
      <c r="BU383" s="48"/>
      <c r="BV383" s="53" t="n">
        <v>0</v>
      </c>
      <c r="BW383" s="53" t="n">
        <v>383</v>
      </c>
      <c r="BX383" s="48" t="str">
        <f aca="false">IF(U383&lt;&gt;"",UPPER(TRIM(U383)),IF(CA383=1,UPPER(VLOOKUP(T383,Parameter!$I$27:$K$29,2,0)),IF(P383="","LOSE",P383)))</f>
        <v>S41</v>
      </c>
      <c r="BY383" s="50" t="n">
        <f aca="false">IF(BX383="LOSE",1,IF(N(V383)&gt;0,V383,IF(CA383=1,MAX(1,N(VLOOKUP(T383,Parameter!$I$27:$K$29,3,0)),H383,N(N383)),IF(N(Q383)&gt;0,Q383,MAX(1,H383)))))</f>
        <v>27</v>
      </c>
      <c r="BZ383" s="53" t="n">
        <f aca="false">IF(BX383="LOSE",1,0)</f>
        <v>0</v>
      </c>
      <c r="CA383" s="53" t="n">
        <f aca="false">IF(AND(U383="",OR(P383="",P383="LOSE"),T383&lt;&gt;"",N(S383)&lt;=0,ISNUMBER(MATCH(T383,Parameter!$I$27:$I$29,0))),1,0)</f>
        <v>0</v>
      </c>
      <c r="CB383" s="53" t="n">
        <f aca="false">IF(CQ383&gt;0,INDEX(Parameter!$H$5:$H$7,W383)/INDEX(Parameter!$E$5:$E$7,W383),IF(AND(BZ383=0,N(IFERROR(VLOOKUP(BX383,'Gebinde-Kategorie'!$A$5:$N$45,14,0),0))&gt;0),VLOOKUP(BX383,'Gebinde-Kategorie'!$A$5:$N$45,14,0)*10+Parameter!$M$23,Parameter!$M$24))</f>
        <v>155</v>
      </c>
      <c r="CC383" s="48" t="str">
        <f aca="false">IF(AND(Parameter!$B$19="Ja",E383&lt;&gt;"",ISNUMBER(MATCH(E383,Parameter!$I$35:$I$52,0))),VLOOKUP(E383,Parameter!$I$35:$J$52,2,0),IFERROR(VLOOKUP(D383,Parameter!$A$35:$C$64,2,0),"Nein"))</f>
        <v>2+3</v>
      </c>
      <c r="CD383" s="52" t="n">
        <f aca="false">IF(BZ383=0,0,IF(N(S383)&gt;0,S383,IFERROR(VLOOKUP(D383,Parameter!$A$35:$C$64,3,0)+0,0)))</f>
        <v>0</v>
      </c>
      <c r="CE383" s="48" t="n">
        <f aca="false">IF(AA383&lt;&gt;"",AA383,Z383)</f>
        <v>3</v>
      </c>
      <c r="CF383" s="48" t="str">
        <f aca="false">IF(OR(CE383=1,CE383=2,CE383=3),IF(Parameter!$E$27="Ja","LIFT",IF(CE383=1,"L1","L23")),IF(CE383="Aussen","Aussen","-"))</f>
        <v>LIFT</v>
      </c>
      <c r="CG383" s="59" t="n">
        <f aca="false">IF(N(AB383)&gt;0,AB383,0)</f>
        <v>0</v>
      </c>
      <c r="CH383" s="53" t="n">
        <f aca="false">IF(ISNUMBER(AE383),1,0)</f>
        <v>0</v>
      </c>
      <c r="CI383" s="50" t="n">
        <f aca="false">N(AE383)</f>
        <v>0</v>
      </c>
      <c r="CJ383" s="50" t="n">
        <f aca="false">N(M383)+N(N383)</f>
        <v>21</v>
      </c>
      <c r="CK383" s="50" t="n">
        <f aca="false">N(M383)</f>
        <v>1</v>
      </c>
      <c r="CL383" s="50" t="n">
        <f aca="false">N(N383)</f>
        <v>20</v>
      </c>
      <c r="CM383" s="50" t="n">
        <f aca="false">ROUNDUP(H383/BY383,0)</f>
        <v>1</v>
      </c>
      <c r="CN383" s="50" t="n">
        <f aca="false">ROUNDUP(CI383/BY383,0)</f>
        <v>0</v>
      </c>
      <c r="CO383" s="53" t="n">
        <f aca="false">IF(BZ383=1,0,IFERROR(VLOOKUP(BX383,'Gebinde-Kategorie'!$A$5:$N$45,5,0)+0,0))</f>
        <v>11</v>
      </c>
      <c r="CP383" s="53" t="n">
        <f aca="false">IFERROR(IF(OR(CE383=1,CE383=2,CE383=3),N(INDEX(Parameter!$I$5:$I$7,CE383)),0),0)</f>
        <v>0</v>
      </c>
      <c r="CQ383" s="52" t="n">
        <f aca="false">IF(AND(Parameter!$B$21="Ja",ISNUMBER(W383),N(X383)&gt;0),IFERROR(N(INDEX(Parameter!$L$5:$L$7,W383))*INDEX(Parameter!$E$5:$E$7,W383)*X383/SUMIFS($X$7:$X$1843,$W$7:$W$1843,W383),0),0)</f>
        <v>0</v>
      </c>
    </row>
    <row r="384" customFormat="false" ht="15" hidden="false" customHeight="false" outlineLevel="0" collapsed="false">
      <c r="A384" s="48" t="s">
        <v>921</v>
      </c>
      <c r="B384" s="48" t="s">
        <v>922</v>
      </c>
      <c r="C384" s="48" t="s">
        <v>173</v>
      </c>
      <c r="D384" s="48" t="s">
        <v>193</v>
      </c>
      <c r="E384" s="48" t="s">
        <v>194</v>
      </c>
      <c r="F384" s="48" t="s">
        <v>227</v>
      </c>
      <c r="G384" s="49" t="n">
        <v>22.61</v>
      </c>
      <c r="H384" s="50" t="n">
        <f aca="false">MAX(0,IF(AND(Parameter!$B$21="Ja",ISNUMBER(Y384)),Y384,IF(Parameter!$B$20="Jahresanfang 2025 + Export",BR384+BQ384,BQ384)))</f>
        <v>9</v>
      </c>
      <c r="I384" s="50" t="n">
        <f aca="false">H384*G384</f>
        <v>203.49</v>
      </c>
      <c r="J384" s="50" t="n">
        <f aca="false">BT384*Parameter!$B$18</f>
        <v>6</v>
      </c>
      <c r="K384" s="51" t="n">
        <v>3.5</v>
      </c>
      <c r="L384" s="52" t="n">
        <v>1.71428571428571</v>
      </c>
      <c r="M384" s="50" t="n">
        <v>0</v>
      </c>
      <c r="N384" s="50" t="n">
        <v>5</v>
      </c>
      <c r="O384" s="53" t="n">
        <v>21</v>
      </c>
      <c r="P384" s="48" t="s">
        <v>485</v>
      </c>
      <c r="Q384" s="50" t="n">
        <v>10</v>
      </c>
      <c r="R384" s="53" t="n">
        <f aca="false">IF(BZ384=1,0,IFERROR(VLOOKUP(BX384,'Gebinde-Kategorie'!$A$5:$N$45,13,0)+0,0))</f>
        <v>52</v>
      </c>
      <c r="S384" s="54"/>
      <c r="T384" s="55"/>
      <c r="U384" s="55"/>
      <c r="V384" s="55"/>
      <c r="W384" s="48"/>
      <c r="X384" s="50"/>
      <c r="Y384" s="50"/>
      <c r="Z384" s="48" t="n">
        <f aca="false">IF(A384="","",IF(AND(Parameter!$B$21="Ja",ISNUMBER(W384)),W384,IF(CC384="2+3",IF(ISNUMBER(SEARCH("grosser Artikel",BU384)),2,IFERROR(VLOOKUP(BX384,Parameter!$F$35:$G$64,2,0),2)),IF(OR(CC384="Nein",CC384=""),"-",CC384))))</f>
        <v>3</v>
      </c>
      <c r="AA384" s="55"/>
      <c r="AB384" s="56"/>
      <c r="AC384" s="50" t="n">
        <f aca="false">AV384</f>
        <v>5</v>
      </c>
      <c r="AD384" s="50" t="n">
        <f aca="false">MAX(AV384,H384)</f>
        <v>9</v>
      </c>
      <c r="AE384" s="57"/>
      <c r="AF384" s="50" t="n">
        <f aca="false">IF(LEFT(Cockpit!$C$5,1)="A",H384,IF(Parameter!$E$30="MAX-Bestand",IF(CH384=1,CI384,IF(LEFT(Cockpit!$C$5,1)="B",AL384,MAX(AL384,H384))),ROUNDUP(AJ384,0)))</f>
        <v>9</v>
      </c>
      <c r="AG384" s="50" t="n">
        <f aca="false">IF(BZ384=1,0,ROUNDUP(AF384/BY384,0))</f>
        <v>1</v>
      </c>
      <c r="AH384" s="52" t="n">
        <f aca="false">IF(CQ384&gt;0,CQ384*MAX(1,AF384/X384),IF(BZ384=1,IF(AF384&lt;=0,0,CD384*MAX(1,IF(H384&gt;0,AF384/H384,1))),IF(R384&gt;0,AG384/R384,0))/MAX(0.1,N(Parameter!$M$21)))</f>
        <v>0.0192307692307692</v>
      </c>
      <c r="AI384" s="50" t="n">
        <f aca="false">AH384*CB384</f>
        <v>2.98076923076923</v>
      </c>
      <c r="AJ384" s="51" t="n">
        <f aca="false">IF(LEFT(Cockpit!$C$5,1)="A",H384,IF(CH384=1,(CK384+CI384)/2,IF(LEFT(Cockpit!$C$5,1)="B",(CK384+AL384)/2,MAX((CK384+AL384)/2,H384))))</f>
        <v>9</v>
      </c>
      <c r="AK384" s="50" t="n">
        <f aca="false">AJ384*G384</f>
        <v>203.49</v>
      </c>
      <c r="AL384" s="50" t="n">
        <f aca="false">ROUNDUP(CK384+MAX(CL384,2*(J384/IF(CG384&gt;0,CG384,MAX(0.1,N(Cockpit!$C$6)))-CK384)),0)</f>
        <v>5</v>
      </c>
      <c r="AM384" s="51" t="n">
        <f aca="false">IF(AI384&gt;0,J384/AI384,-1)</f>
        <v>2.01290322580645</v>
      </c>
      <c r="AN384" s="51" t="n">
        <f aca="false">IF(AND(OR(CF384="L1",CF384="L23",CF384="LIFT"),AI384&gt;0),SUMIFS($AI$7:$AI$1843,$CF$7:$CF$1843,CF384,$AM$7:$AM$1843,"&gt;"&amp;AM384)+SUMIFS($AI$7:$AI$1843,$CF$7:$CF$1843,CF384,$AM$7:$AM$1843,AM384,$BW$7:$BW$1843,"&lt;="&amp;BW384),"")</f>
        <v>5780.41712454213</v>
      </c>
      <c r="AO384" s="58" t="n">
        <f aca="false">IF(AN384="",0,MAX(0,MIN(1,(IF(CF384="L1",Parameter!$H$5,IF(CF384="L23",Parameter!$H$6+Parameter!$H$7,Parameter!$H$5+Parameter!$H$6+Parameter!$H$7))-(AN384-AI384))/AI384)))</f>
        <v>1</v>
      </c>
      <c r="AP384" s="50" t="n">
        <f aca="false">IF(LEFT(Cockpit!$I$5,1)="A",H384,IF(Parameter!$E$30="MAX-Bestand",IF(CH384=1,CI384,IF(LEFT(Cockpit!$I$5,1)="B",AV384,MAX(AV384,H384))),ROUNDUP(AT384,0)))</f>
        <v>9</v>
      </c>
      <c r="AQ384" s="50" t="n">
        <f aca="false">IF(BZ384=1,0,ROUNDUP(AP384/BY384,0))</f>
        <v>1</v>
      </c>
      <c r="AR384" s="52" t="n">
        <f aca="false">IF(CQ384&gt;0,CQ384*MAX(1,AP384/X384),IF(BZ384=1,IF(AP384&lt;=0,0,CD384*MAX(1,IF(H384&gt;0,AP384/H384,1))),IF(R384&gt;0,AQ384/R384,0))/MAX(0.1,N(Parameter!$M$21)))</f>
        <v>0.0192307692307692</v>
      </c>
      <c r="AS384" s="50" t="n">
        <f aca="false">AR384*CB384</f>
        <v>2.98076923076923</v>
      </c>
      <c r="AT384" s="51" t="n">
        <f aca="false">IF(LEFT(Cockpit!$I$5,1)="A",H384,IF(CH384=1,(CK384+CI384)/2,IF(LEFT(Cockpit!$I$5,1)="B",(CK384+AV384)/2,MAX((CK384+AV384)/2,H384))))</f>
        <v>9</v>
      </c>
      <c r="AU384" s="50" t="n">
        <f aca="false">AT384*G384</f>
        <v>203.49</v>
      </c>
      <c r="AV384" s="50" t="n">
        <f aca="false">ROUNDUP(CK384+MAX(CL384,2*(J384/IF(CG384&gt;0,CG384,MAX(0.1,N(Cockpit!$I$6)))-CK384)),0)</f>
        <v>5</v>
      </c>
      <c r="AW384" s="51" t="n">
        <f aca="false">IF(AS384&gt;0,J384/AS384,-1)</f>
        <v>2.01290322580645</v>
      </c>
      <c r="AX384" s="51" t="n">
        <f aca="false">IF(AND(OR(CF384="L1",CF384="L23",CF384="LIFT"),AS384&gt;0),SUMIFS($AS$7:$AS$1843,$CF$7:$CF$1843,CF384,$AW$7:$AW$1843,"&gt;"&amp;AW384)+SUMIFS($AS$7:$AS$1843,$CF$7:$CF$1843,CF384,$AW$7:$AW$1843,AW384,$BW$7:$BW$1843,"&lt;="&amp;BW384),"")</f>
        <v>7148.35668498169</v>
      </c>
      <c r="AY384" s="58" t="n">
        <f aca="false">IF(AX384="",0,MAX(0,MIN(1,(IF(CF384="L1",Parameter!$H$5,IF(CF384="L23",Parameter!$H$6+Parameter!$H$7,Parameter!$H$5+Parameter!$H$6+Parameter!$H$7))-(AX384-AS384))/AS384)))</f>
        <v>1</v>
      </c>
      <c r="AZ384" s="50" t="n">
        <f aca="false">IF(LEFT(Cockpit!$O$5,1)="A",H384,IF(Parameter!$E$30="MAX-Bestand",IF(CH384=1,CI384,IF(LEFT(Cockpit!$O$5,1)="B",BF384,MAX(BF384,H384))),ROUNDUP(BD384,0)))</f>
        <v>3</v>
      </c>
      <c r="BA384" s="50" t="n">
        <f aca="false">IF(BZ384=1,0,ROUNDUP(AZ384/BY384,0))</f>
        <v>1</v>
      </c>
      <c r="BB384" s="52" t="n">
        <f aca="false">IF(CQ384&gt;0,CQ384*MAX(1,AZ384/X384),IF(BZ384=1,IF(AZ384&lt;=0,0,CD384*MAX(1,IF(H384&gt;0,AZ384/H384,1))),IF(R384&gt;0,BA384/R384,0))/MAX(0.1,N(Parameter!$M$21)))</f>
        <v>0.0192307692307692</v>
      </c>
      <c r="BC384" s="50" t="n">
        <f aca="false">BB384*CB384</f>
        <v>2.98076923076923</v>
      </c>
      <c r="BD384" s="51" t="n">
        <f aca="false">IF(LEFT(Cockpit!$O$5,1)="A",H384,IF(CH384=1,(CK384+CI384)/2,IF(LEFT(Cockpit!$O$5,1)="B",(CK384+BF384)/2,MAX((CK384+BF384)/2,H384))))</f>
        <v>2.5</v>
      </c>
      <c r="BE384" s="50" t="n">
        <f aca="false">BD384*G384</f>
        <v>56.525</v>
      </c>
      <c r="BF384" s="50" t="n">
        <f aca="false">ROUNDUP(CK384+MAX(CL384,2*(J384/IF(CG384&gt;0,CG384,MAX(0.1,N(Cockpit!$O$6)))-CK384)),0)</f>
        <v>5</v>
      </c>
      <c r="BG384" s="51" t="n">
        <f aca="false">IF(BC384&gt;0,J384/BC384,-1)</f>
        <v>2.01290322580645</v>
      </c>
      <c r="BH384" s="51" t="n">
        <f aca="false">IF(AND(OR(CF384="L1",CF384="L23",CF384="LIFT"),BC384&gt;0),SUMIFS($BC$7:$BC$1843,$CF$7:$CF$1843,CF384,$BG$7:$BG$1843,"&gt;"&amp;BG384)+SUMIFS($BC$7:$BC$1843,$CF$7:$CF$1843,CF384,$BG$7:$BG$1843,BG384,$BW$7:$BW$1843,"&lt;="&amp;BW384),"")</f>
        <v>5859.13141025641</v>
      </c>
      <c r="BI384" s="58" t="n">
        <f aca="false">IF(BH384="",0,MAX(0,MIN(1,(IF(CF384="L1",Parameter!$H$5,IF(CF384="L23",Parameter!$H$6+Parameter!$H$7,Parameter!$H$5+Parameter!$H$6+Parameter!$H$7))-(BH384-BC384))/BC384)))</f>
        <v>1</v>
      </c>
      <c r="BJ384" s="48" t="str">
        <f aca="false">IF(AI384&lt;=0,"",IF(CF384="Aussen","Aussenlager",IF(CF384="-","Nicht im Lift",IF(AO384&gt;=1,"Lift",IF(AO384&lt;=0,"Aussenlager","teilweise")))))</f>
        <v>Lift</v>
      </c>
      <c r="BK384" s="48" t="str">
        <f aca="false">IF(AS384&lt;=0,"",IF(CF384="Aussen","Aussenlager",IF(CF384="-","Nicht im Lift",IF(AY384&gt;=1,"Lift",IF(AY384&lt;=0,"Aussenlager","teilweise")))))</f>
        <v>Lift</v>
      </c>
      <c r="BL384" s="48" t="str">
        <f aca="false">IF(BC384&lt;=0,"",IF(CF384="Aussen","Aussenlager",IF(CF384="-","Nicht im Lift",IF(BI384&gt;=1,"Lift",IF(BI384&lt;=0,"Aussenlager","teilweise")))))</f>
        <v>Lift</v>
      </c>
      <c r="BM384" s="48" t="str">
        <f aca="false">IF(A384="","",IF(BV384=1,"Neu; ","")&amp;IF(AND(BV384=0,BQ384&lt;0),"negativer Bestand (Export "&amp;BQ384&amp;"); ","")&amp;IF(J384&lt;=0,"Kein Verbrauch; ","")&amp;IF(CQ384&gt;0,"Lift "&amp;W384&amp;" lt. Liftbericht (Fach "&amp;X384&amp;" Stk); ",IF(CA384=1,"Gebinde geschätzt ("&amp;T384&amp;"); ",IF(BZ384=1,"Lose – Tablare geschätzt; ","")))&amp;IF(H384&gt;AV384,"Überbestand "&amp;ROUND(H384-AV384,0)&amp;" Stk / CHF "&amp;ROUND((H384-AV384)*G384,0)&amp;"; ","")&amp;IF(AND(CH384=1,CI384&lt;CJ384),"MAX &lt; MB+LG; ","")&amp;IF(AND(CP384&gt;0,CO384*10&gt;CP384),"zu hoch für Tablar; ","")&amp;IF(AND(BV384=0,OR(CH384=1,AA384&lt;&gt;"",U384&lt;&gt;"",V384&lt;&gt;"",AB384&lt;&gt;"")),"manuell übersteuert; ","")&amp;IF(AND(BZ384=0,R384=0),"Gebinde unbekannt / Stellmass fehlt; ","")&amp;IF(AND(BZ384=0,N(V384)&lt;=0,N(Q384)&lt;=0),"Menge pro Gebinde fehlt (Ist = 1 Gebinde); ","")&amp;BU384)</f>
        <v>Überbestand 4 Stk / CHF 90; </v>
      </c>
      <c r="BN384" s="48"/>
      <c r="BO384" s="48"/>
      <c r="BP384" s="55"/>
      <c r="BQ384" s="50" t="n">
        <v>5</v>
      </c>
      <c r="BR384" s="50" t="n">
        <v>4</v>
      </c>
      <c r="BS384" s="49" t="n">
        <v>130.89</v>
      </c>
      <c r="BT384" s="50" t="n">
        <v>6</v>
      </c>
      <c r="BU384" s="48"/>
      <c r="BV384" s="53" t="n">
        <v>0</v>
      </c>
      <c r="BW384" s="53" t="n">
        <v>384</v>
      </c>
      <c r="BX384" s="48" t="str">
        <f aca="false">IF(U384&lt;&gt;"",UPPER(TRIM(U384)),IF(CA384=1,UPPER(VLOOKUP(T384,Parameter!$I$27:$K$29,2,0)),IF(P384="","LOSE",P384)))</f>
        <v>S33</v>
      </c>
      <c r="BY384" s="50" t="n">
        <f aca="false">IF(BX384="LOSE",1,IF(N(V384)&gt;0,V384,IF(CA384=1,MAX(1,N(VLOOKUP(T384,Parameter!$I$27:$K$29,3,0)),H384,N(N384)),IF(N(Q384)&gt;0,Q384,MAX(1,H384)))))</f>
        <v>10</v>
      </c>
      <c r="BZ384" s="53" t="n">
        <f aca="false">IF(BX384="LOSE",1,0)</f>
        <v>0</v>
      </c>
      <c r="CA384" s="53" t="n">
        <f aca="false">IF(AND(U384="",OR(P384="",P384="LOSE"),T384&lt;&gt;"",N(S384)&lt;=0,ISNUMBER(MATCH(T384,Parameter!$I$27:$I$29,0))),1,0)</f>
        <v>0</v>
      </c>
      <c r="CB384" s="53" t="n">
        <f aca="false">IF(CQ384&gt;0,INDEX(Parameter!$H$5:$H$7,W384)/INDEX(Parameter!$E$5:$E$7,W384),IF(AND(BZ384=0,N(IFERROR(VLOOKUP(BX384,'Gebinde-Kategorie'!$A$5:$N$45,14,0),0))&gt;0),VLOOKUP(BX384,'Gebinde-Kategorie'!$A$5:$N$45,14,0)*10+Parameter!$M$23,Parameter!$M$24))</f>
        <v>155</v>
      </c>
      <c r="CC384" s="48" t="str">
        <f aca="false">IF(AND(Parameter!$B$19="Ja",E384&lt;&gt;"",ISNUMBER(MATCH(E384,Parameter!$I$35:$I$52,0))),VLOOKUP(E384,Parameter!$I$35:$J$52,2,0),IFERROR(VLOOKUP(D384,Parameter!$A$35:$C$64,2,0),"Nein"))</f>
        <v>2+3</v>
      </c>
      <c r="CD384" s="52" t="n">
        <f aca="false">IF(BZ384=0,0,IF(N(S384)&gt;0,S384,IFERROR(VLOOKUP(D384,Parameter!$A$35:$C$64,3,0)+0,0)))</f>
        <v>0</v>
      </c>
      <c r="CE384" s="48" t="n">
        <f aca="false">IF(AA384&lt;&gt;"",AA384,Z384)</f>
        <v>3</v>
      </c>
      <c r="CF384" s="48" t="str">
        <f aca="false">IF(OR(CE384=1,CE384=2,CE384=3),IF(Parameter!$E$27="Ja","LIFT",IF(CE384=1,"L1","L23")),IF(CE384="Aussen","Aussen","-"))</f>
        <v>LIFT</v>
      </c>
      <c r="CG384" s="59" t="n">
        <f aca="false">IF(N(AB384)&gt;0,AB384,0)</f>
        <v>0</v>
      </c>
      <c r="CH384" s="53" t="n">
        <f aca="false">IF(ISNUMBER(AE384),1,0)</f>
        <v>0</v>
      </c>
      <c r="CI384" s="50" t="n">
        <f aca="false">N(AE384)</f>
        <v>0</v>
      </c>
      <c r="CJ384" s="50" t="n">
        <f aca="false">N(M384)+N(N384)</f>
        <v>5</v>
      </c>
      <c r="CK384" s="50" t="n">
        <f aca="false">N(M384)</f>
        <v>0</v>
      </c>
      <c r="CL384" s="50" t="n">
        <f aca="false">N(N384)</f>
        <v>5</v>
      </c>
      <c r="CM384" s="50" t="n">
        <f aca="false">ROUNDUP(H384/BY384,0)</f>
        <v>1</v>
      </c>
      <c r="CN384" s="50" t="n">
        <f aca="false">ROUNDUP(CI384/BY384,0)</f>
        <v>0</v>
      </c>
      <c r="CO384" s="53" t="n">
        <f aca="false">IF(BZ384=1,0,IFERROR(VLOOKUP(BX384,'Gebinde-Kategorie'!$A$5:$N$45,5,0)+0,0))</f>
        <v>8</v>
      </c>
      <c r="CP384" s="53" t="n">
        <f aca="false">IFERROR(IF(OR(CE384=1,CE384=2,CE384=3),N(INDEX(Parameter!$I$5:$I$7,CE384)),0),0)</f>
        <v>0</v>
      </c>
      <c r="CQ384" s="52" t="n">
        <f aca="false">IF(AND(Parameter!$B$21="Ja",ISNUMBER(W384),N(X384)&gt;0),IFERROR(N(INDEX(Parameter!$L$5:$L$7,W384))*INDEX(Parameter!$E$5:$E$7,W384)*X384/SUMIFS($X$7:$X$1843,$W$7:$W$1843,W384),0),0)</f>
        <v>0</v>
      </c>
    </row>
    <row r="385" customFormat="false" ht="15" hidden="false" customHeight="false" outlineLevel="0" collapsed="false">
      <c r="A385" s="48" t="s">
        <v>923</v>
      </c>
      <c r="B385" s="48" t="s">
        <v>416</v>
      </c>
      <c r="C385" s="48" t="s">
        <v>173</v>
      </c>
      <c r="D385" s="48" t="s">
        <v>193</v>
      </c>
      <c r="E385" s="48" t="s">
        <v>194</v>
      </c>
      <c r="F385" s="48" t="s">
        <v>227</v>
      </c>
      <c r="G385" s="49" t="n">
        <v>0.51</v>
      </c>
      <c r="H385" s="50" t="n">
        <f aca="false">MAX(0,IF(AND(Parameter!$B$21="Ja",ISNUMBER(Y385)),Y385,IF(Parameter!$B$20="Jahresanfang 2025 + Export",BR385+BQ385,BQ385)))</f>
        <v>407</v>
      </c>
      <c r="I385" s="50" t="n">
        <f aca="false">H385*G385</f>
        <v>207.57</v>
      </c>
      <c r="J385" s="50" t="n">
        <f aca="false">BT385*Parameter!$B$18</f>
        <v>309</v>
      </c>
      <c r="K385" s="51" t="n">
        <v>146</v>
      </c>
      <c r="L385" s="52" t="n">
        <v>2.11643835616438</v>
      </c>
      <c r="M385" s="50" t="n">
        <v>18</v>
      </c>
      <c r="N385" s="50" t="n">
        <v>400</v>
      </c>
      <c r="O385" s="53" t="n">
        <v>21</v>
      </c>
      <c r="P385" s="48" t="s">
        <v>435</v>
      </c>
      <c r="Q385" s="50" t="n">
        <v>118</v>
      </c>
      <c r="R385" s="53" t="n">
        <f aca="false">IF(BZ385=1,0,IFERROR(VLOOKUP(BX385,'Gebinde-Kategorie'!$A$5:$N$45,13,0)+0,0))</f>
        <v>140</v>
      </c>
      <c r="S385" s="54"/>
      <c r="T385" s="55"/>
      <c r="U385" s="55"/>
      <c r="V385" s="55"/>
      <c r="W385" s="48"/>
      <c r="X385" s="50"/>
      <c r="Y385" s="50"/>
      <c r="Z385" s="48" t="n">
        <f aca="false">IF(A385="","",IF(AND(Parameter!$B$21="Ja",ISNUMBER(W385)),W385,IF(CC385="2+3",IF(ISNUMBER(SEARCH("grosser Artikel",BU385)),2,IFERROR(VLOOKUP(BX385,Parameter!$F$35:$G$64,2,0),2)),IF(OR(CC385="Nein",CC385=""),"-",CC385))))</f>
        <v>3</v>
      </c>
      <c r="AA385" s="55"/>
      <c r="AB385" s="56"/>
      <c r="AC385" s="50" t="n">
        <f aca="false">AV385</f>
        <v>418</v>
      </c>
      <c r="AD385" s="50" t="n">
        <f aca="false">MAX(AV385,H385)</f>
        <v>418</v>
      </c>
      <c r="AE385" s="57"/>
      <c r="AF385" s="50" t="n">
        <f aca="false">IF(LEFT(Cockpit!$C$5,1)="A",H385,IF(Parameter!$E$30="MAX-Bestand",IF(CH385=1,CI385,IF(LEFT(Cockpit!$C$5,1)="B",AL385,MAX(AL385,H385))),ROUNDUP(AJ385,0)))</f>
        <v>407</v>
      </c>
      <c r="AG385" s="50" t="n">
        <f aca="false">IF(BZ385=1,0,ROUNDUP(AF385/BY385,0))</f>
        <v>4</v>
      </c>
      <c r="AH385" s="52" t="n">
        <f aca="false">IF(CQ385&gt;0,CQ385*MAX(1,AF385/X385),IF(BZ385=1,IF(AF385&lt;=0,0,CD385*MAX(1,IF(H385&gt;0,AF385/H385,1))),IF(R385&gt;0,AG385/R385,0))/MAX(0.1,N(Parameter!$M$21)))</f>
        <v>0.0285714285714286</v>
      </c>
      <c r="AI385" s="50" t="n">
        <f aca="false">AH385*CB385</f>
        <v>4.42857142857143</v>
      </c>
      <c r="AJ385" s="51" t="n">
        <f aca="false">IF(LEFT(Cockpit!$C$5,1)="A",H385,IF(CH385=1,(CK385+CI385)/2,IF(LEFT(Cockpit!$C$5,1)="B",(CK385+AL385)/2,MAX((CK385+AL385)/2,H385))))</f>
        <v>407</v>
      </c>
      <c r="AK385" s="50" t="n">
        <f aca="false">AJ385*G385</f>
        <v>207.57</v>
      </c>
      <c r="AL385" s="50" t="n">
        <f aca="false">ROUNDUP(CK385+MAX(CL385,2*(J385/IF(CG385&gt;0,CG385,MAX(0.1,N(Cockpit!$C$6)))-CK385)),0)</f>
        <v>418</v>
      </c>
      <c r="AM385" s="51" t="n">
        <f aca="false">IF(AI385&gt;0,J385/AI385,-1)</f>
        <v>69.7741935483871</v>
      </c>
      <c r="AN385" s="51" t="n">
        <f aca="false">IF(AND(OR(CF385="L1",CF385="L23",CF385="LIFT"),AI385&gt;0),SUMIFS($AI$7:$AI$1843,$CF$7:$CF$1843,CF385,$AM$7:$AM$1843,"&gt;"&amp;AM385)+SUMIFS($AI$7:$AI$1843,$CF$7:$CF$1843,CF385,$AM$7:$AM$1843,AM385,$BW$7:$BW$1843,"&lt;="&amp;BW385),"")</f>
        <v>914.773351648352</v>
      </c>
      <c r="AO385" s="58" t="n">
        <f aca="false">IF(AN385="",0,MAX(0,MIN(1,(IF(CF385="L1",Parameter!$H$5,IF(CF385="L23",Parameter!$H$6+Parameter!$H$7,Parameter!$H$5+Parameter!$H$6+Parameter!$H$7))-(AN385-AI385))/AI385)))</f>
        <v>1</v>
      </c>
      <c r="AP385" s="50" t="n">
        <f aca="false">IF(LEFT(Cockpit!$I$5,1)="A",H385,IF(Parameter!$E$30="MAX-Bestand",IF(CH385=1,CI385,IF(LEFT(Cockpit!$I$5,1)="B",AV385,MAX(AV385,H385))),ROUNDUP(AT385,0)))</f>
        <v>407</v>
      </c>
      <c r="AQ385" s="50" t="n">
        <f aca="false">IF(BZ385=1,0,ROUNDUP(AP385/BY385,0))</f>
        <v>4</v>
      </c>
      <c r="AR385" s="52" t="n">
        <f aca="false">IF(CQ385&gt;0,CQ385*MAX(1,AP385/X385),IF(BZ385=1,IF(AP385&lt;=0,0,CD385*MAX(1,IF(H385&gt;0,AP385/H385,1))),IF(R385&gt;0,AQ385/R385,0))/MAX(0.1,N(Parameter!$M$21)))</f>
        <v>0.0285714285714286</v>
      </c>
      <c r="AS385" s="50" t="n">
        <f aca="false">AR385*CB385</f>
        <v>4.42857142857143</v>
      </c>
      <c r="AT385" s="51" t="n">
        <f aca="false">IF(LEFT(Cockpit!$I$5,1)="A",H385,IF(CH385=1,(CK385+CI385)/2,IF(LEFT(Cockpit!$I$5,1)="B",(CK385+AV385)/2,MAX((CK385+AV385)/2,H385))))</f>
        <v>407</v>
      </c>
      <c r="AU385" s="50" t="n">
        <f aca="false">AT385*G385</f>
        <v>207.57</v>
      </c>
      <c r="AV385" s="50" t="n">
        <f aca="false">ROUNDUP(CK385+MAX(CL385,2*(J385/IF(CG385&gt;0,CG385,MAX(0.1,N(Cockpit!$I$6)))-CK385)),0)</f>
        <v>418</v>
      </c>
      <c r="AW385" s="51" t="n">
        <f aca="false">IF(AS385&gt;0,J385/AS385,-1)</f>
        <v>69.7741935483871</v>
      </c>
      <c r="AX385" s="51" t="n">
        <f aca="false">IF(AND(OR(CF385="L1",CF385="L23",CF385="LIFT"),AS385&gt;0),SUMIFS($AS$7:$AS$1843,$CF$7:$CF$1843,CF385,$AW$7:$AW$1843,"&gt;"&amp;AW385)+SUMIFS($AS$7:$AS$1843,$CF$7:$CF$1843,CF385,$AW$7:$AW$1843,AW385,$BW$7:$BW$1843,"&lt;="&amp;BW385),"")</f>
        <v>1126.5782967033</v>
      </c>
      <c r="AY385" s="58" t="n">
        <f aca="false">IF(AX385="",0,MAX(0,MIN(1,(IF(CF385="L1",Parameter!$H$5,IF(CF385="L23",Parameter!$H$6+Parameter!$H$7,Parameter!$H$5+Parameter!$H$6+Parameter!$H$7))-(AX385-AS385))/AS385)))</f>
        <v>1</v>
      </c>
      <c r="AZ385" s="50" t="n">
        <f aca="false">IF(LEFT(Cockpit!$O$5,1)="A",H385,IF(Parameter!$E$30="MAX-Bestand",IF(CH385=1,CI385,IF(LEFT(Cockpit!$O$5,1)="B",BF385,MAX(BF385,H385))),ROUNDUP(BD385,0)))</f>
        <v>218</v>
      </c>
      <c r="BA385" s="50" t="n">
        <f aca="false">IF(BZ385=1,0,ROUNDUP(AZ385/BY385,0))</f>
        <v>2</v>
      </c>
      <c r="BB385" s="52" t="n">
        <f aca="false">IF(CQ385&gt;0,CQ385*MAX(1,AZ385/X385),IF(BZ385=1,IF(AZ385&lt;=0,0,CD385*MAX(1,IF(H385&gt;0,AZ385/H385,1))),IF(R385&gt;0,BA385/R385,0))/MAX(0.1,N(Parameter!$M$21)))</f>
        <v>0.0142857142857143</v>
      </c>
      <c r="BC385" s="50" t="n">
        <f aca="false">BB385*CB385</f>
        <v>2.21428571428571</v>
      </c>
      <c r="BD385" s="51" t="n">
        <f aca="false">IF(LEFT(Cockpit!$O$5,1)="A",H385,IF(CH385=1,(CK385+CI385)/2,IF(LEFT(Cockpit!$O$5,1)="B",(CK385+BF385)/2,MAX((CK385+BF385)/2,H385))))</f>
        <v>218</v>
      </c>
      <c r="BE385" s="50" t="n">
        <f aca="false">BD385*G385</f>
        <v>111.18</v>
      </c>
      <c r="BF385" s="50" t="n">
        <f aca="false">ROUNDUP(CK385+MAX(CL385,2*(J385/IF(CG385&gt;0,CG385,MAX(0.1,N(Cockpit!$O$6)))-CK385)),0)</f>
        <v>418</v>
      </c>
      <c r="BG385" s="51" t="n">
        <f aca="false">IF(BC385&gt;0,J385/BC385,-1)</f>
        <v>139.548387096774</v>
      </c>
      <c r="BH385" s="51" t="n">
        <f aca="false">IF(AND(OR(CF385="L1",CF385="L23",CF385="LIFT"),BC385&gt;0),SUMIFS($BC$7:$BC$1843,$CF$7:$CF$1843,CF385,$BG$7:$BG$1843,"&gt;"&amp;BG385)+SUMIFS($BC$7:$BC$1843,$CF$7:$CF$1843,CF385,$BG$7:$BG$1843,BG385,$BW$7:$BW$1843,"&lt;="&amp;BW385),"")</f>
        <v>596.315934065934</v>
      </c>
      <c r="BI385" s="58" t="n">
        <f aca="false">IF(BH385="",0,MAX(0,MIN(1,(IF(CF385="L1",Parameter!$H$5,IF(CF385="L23",Parameter!$H$6+Parameter!$H$7,Parameter!$H$5+Parameter!$H$6+Parameter!$H$7))-(BH385-BC385))/BC385)))</f>
        <v>1</v>
      </c>
      <c r="BJ385" s="48" t="str">
        <f aca="false">IF(AI385&lt;=0,"",IF(CF385="Aussen","Aussenlager",IF(CF385="-","Nicht im Lift",IF(AO385&gt;=1,"Lift",IF(AO385&lt;=0,"Aussenlager","teilweise")))))</f>
        <v>Lift</v>
      </c>
      <c r="BK385" s="48" t="str">
        <f aca="false">IF(AS385&lt;=0,"",IF(CF385="Aussen","Aussenlager",IF(CF385="-","Nicht im Lift",IF(AY385&gt;=1,"Lift",IF(AY385&lt;=0,"Aussenlager","teilweise")))))</f>
        <v>Lift</v>
      </c>
      <c r="BL385" s="48" t="str">
        <f aca="false">IF(BC385&lt;=0,"",IF(CF385="Aussen","Aussenlager",IF(CF385="-","Nicht im Lift",IF(BI385&gt;=1,"Lift",IF(BI385&lt;=0,"Aussenlager","teilweise")))))</f>
        <v>Lift</v>
      </c>
      <c r="BM385" s="48" t="str">
        <f aca="false">IF(A385="","",IF(BV385=1,"Neu; ","")&amp;IF(AND(BV385=0,BQ385&lt;0),"negativer Bestand (Export "&amp;BQ385&amp;"); ","")&amp;IF(J385&lt;=0,"Kein Verbrauch; ","")&amp;IF(CQ385&gt;0,"Lift "&amp;W385&amp;" lt. Liftbericht (Fach "&amp;X385&amp;" Stk); ",IF(CA385=1,"Gebinde geschätzt ("&amp;T385&amp;"); ",IF(BZ385=1,"Lose – Tablare geschätzt; ","")))&amp;IF(H385&gt;AV385,"Überbestand "&amp;ROUND(H385-AV385,0)&amp;" Stk / CHF "&amp;ROUND((H385-AV385)*G385,0)&amp;"; ","")&amp;IF(AND(CH385=1,CI385&lt;CJ385),"MAX &lt; MB+LG; ","")&amp;IF(AND(CP385&gt;0,CO385*10&gt;CP385),"zu hoch für Tablar; ","")&amp;IF(AND(BV385=0,OR(CH385=1,AA385&lt;&gt;"",U385&lt;&gt;"",V385&lt;&gt;"",AB385&lt;&gt;"")),"manuell übersteuert; ","")&amp;IF(AND(BZ385=0,R385=0),"Gebinde unbekannt / Stellmass fehlt; ","")&amp;IF(AND(BZ385=0,N(V385)&lt;=0,N(Q385)&lt;=0),"Menge pro Gebinde fehlt (Ist = 1 Gebinde); ","")&amp;BU385)</f>
        <v/>
      </c>
      <c r="BN385" s="48"/>
      <c r="BO385" s="48"/>
      <c r="BP385" s="55"/>
      <c r="BQ385" s="50" t="n">
        <v>257</v>
      </c>
      <c r="BR385" s="50" t="n">
        <v>150</v>
      </c>
      <c r="BS385" s="49" t="n">
        <v>129.57</v>
      </c>
      <c r="BT385" s="50" t="n">
        <v>309</v>
      </c>
      <c r="BU385" s="48"/>
      <c r="BV385" s="53" t="n">
        <v>0</v>
      </c>
      <c r="BW385" s="53" t="n">
        <v>385</v>
      </c>
      <c r="BX385" s="48" t="str">
        <f aca="false">IF(U385&lt;&gt;"",UPPER(TRIM(U385)),IF(CA385=1,UPPER(VLOOKUP(T385,Parameter!$I$27:$K$29,2,0)),IF(P385="","LOSE",P385)))</f>
        <v>S22</v>
      </c>
      <c r="BY385" s="50" t="n">
        <f aca="false">IF(BX385="LOSE",1,IF(N(V385)&gt;0,V385,IF(CA385=1,MAX(1,N(VLOOKUP(T385,Parameter!$I$27:$K$29,3,0)),H385,N(N385)),IF(N(Q385)&gt;0,Q385,MAX(1,H385)))))</f>
        <v>118</v>
      </c>
      <c r="BZ385" s="53" t="n">
        <f aca="false">IF(BX385="LOSE",1,0)</f>
        <v>0</v>
      </c>
      <c r="CA385" s="53" t="n">
        <f aca="false">IF(AND(U385="",OR(P385="",P385="LOSE"),T385&lt;&gt;"",N(S385)&lt;=0,ISNUMBER(MATCH(T385,Parameter!$I$27:$I$29,0))),1,0)</f>
        <v>0</v>
      </c>
      <c r="CB385" s="53" t="n">
        <f aca="false">IF(CQ385&gt;0,INDEX(Parameter!$H$5:$H$7,W385)/INDEX(Parameter!$E$5:$E$7,W385),IF(AND(BZ385=0,N(IFERROR(VLOOKUP(BX385,'Gebinde-Kategorie'!$A$5:$N$45,14,0),0))&gt;0),VLOOKUP(BX385,'Gebinde-Kategorie'!$A$5:$N$45,14,0)*10+Parameter!$M$23,Parameter!$M$24))</f>
        <v>155</v>
      </c>
      <c r="CC385" s="48" t="str">
        <f aca="false">IF(AND(Parameter!$B$19="Ja",E385&lt;&gt;"",ISNUMBER(MATCH(E385,Parameter!$I$35:$I$52,0))),VLOOKUP(E385,Parameter!$I$35:$J$52,2,0),IFERROR(VLOOKUP(D385,Parameter!$A$35:$C$64,2,0),"Nein"))</f>
        <v>2+3</v>
      </c>
      <c r="CD385" s="52" t="n">
        <f aca="false">IF(BZ385=0,0,IF(N(S385)&gt;0,S385,IFERROR(VLOOKUP(D385,Parameter!$A$35:$C$64,3,0)+0,0)))</f>
        <v>0</v>
      </c>
      <c r="CE385" s="48" t="n">
        <f aca="false">IF(AA385&lt;&gt;"",AA385,Z385)</f>
        <v>3</v>
      </c>
      <c r="CF385" s="48" t="str">
        <f aca="false">IF(OR(CE385=1,CE385=2,CE385=3),IF(Parameter!$E$27="Ja","LIFT",IF(CE385=1,"L1","L23")),IF(CE385="Aussen","Aussen","-"))</f>
        <v>LIFT</v>
      </c>
      <c r="CG385" s="59" t="n">
        <f aca="false">IF(N(AB385)&gt;0,AB385,0)</f>
        <v>0</v>
      </c>
      <c r="CH385" s="53" t="n">
        <f aca="false">IF(ISNUMBER(AE385),1,0)</f>
        <v>0</v>
      </c>
      <c r="CI385" s="50" t="n">
        <f aca="false">N(AE385)</f>
        <v>0</v>
      </c>
      <c r="CJ385" s="50" t="n">
        <f aca="false">N(M385)+N(N385)</f>
        <v>418</v>
      </c>
      <c r="CK385" s="50" t="n">
        <f aca="false">N(M385)</f>
        <v>18</v>
      </c>
      <c r="CL385" s="50" t="n">
        <f aca="false">N(N385)</f>
        <v>400</v>
      </c>
      <c r="CM385" s="50" t="n">
        <f aca="false">ROUNDUP(H385/BY385,0)</f>
        <v>4</v>
      </c>
      <c r="CN385" s="50" t="n">
        <f aca="false">ROUNDUP(CI385/BY385,0)</f>
        <v>0</v>
      </c>
      <c r="CO385" s="53" t="n">
        <f aca="false">IF(BZ385=1,0,IFERROR(VLOOKUP(BX385,'Gebinde-Kategorie'!$A$5:$N$45,5,0)+0,0))</f>
        <v>8</v>
      </c>
      <c r="CP385" s="53" t="n">
        <f aca="false">IFERROR(IF(OR(CE385=1,CE385=2,CE385=3),N(INDEX(Parameter!$I$5:$I$7,CE385)),0),0)</f>
        <v>0</v>
      </c>
      <c r="CQ385" s="52" t="n">
        <f aca="false">IF(AND(Parameter!$B$21="Ja",ISNUMBER(W385),N(X385)&gt;0),IFERROR(N(INDEX(Parameter!$L$5:$L$7,W385))*INDEX(Parameter!$E$5:$E$7,W385)*X385/SUMIFS($X$7:$X$1843,$W$7:$W$1843,W385),0),0)</f>
        <v>0</v>
      </c>
    </row>
    <row r="386" customFormat="false" ht="15" hidden="false" customHeight="false" outlineLevel="0" collapsed="false">
      <c r="A386" s="48" t="s">
        <v>924</v>
      </c>
      <c r="B386" s="48" t="s">
        <v>310</v>
      </c>
      <c r="C386" s="48" t="s">
        <v>173</v>
      </c>
      <c r="D386" s="48" t="s">
        <v>193</v>
      </c>
      <c r="E386" s="48"/>
      <c r="F386" s="48" t="s">
        <v>227</v>
      </c>
      <c r="G386" s="49" t="n">
        <v>512.66</v>
      </c>
      <c r="H386" s="50" t="n">
        <f aca="false">MAX(0,IF(AND(Parameter!$B$21="Ja",ISNUMBER(Y386)),Y386,IF(Parameter!$B$20="Jahresanfang 2025 + Export",BR386+BQ386,BQ386)))</f>
        <v>4</v>
      </c>
      <c r="I386" s="50" t="n">
        <f aca="false">H386*G386</f>
        <v>2050.64</v>
      </c>
      <c r="J386" s="50" t="n">
        <f aca="false">BT386*Parameter!$B$18</f>
        <v>9</v>
      </c>
      <c r="K386" s="51" t="n">
        <v>4.5</v>
      </c>
      <c r="L386" s="52" t="n">
        <v>2</v>
      </c>
      <c r="M386" s="50" t="n">
        <v>0</v>
      </c>
      <c r="N386" s="50" t="n">
        <v>5</v>
      </c>
      <c r="O386" s="53" t="n">
        <v>35</v>
      </c>
      <c r="P386" s="48" t="s">
        <v>177</v>
      </c>
      <c r="Q386" s="50"/>
      <c r="R386" s="53" t="n">
        <f aca="false">IF(BZ386=1,0,IFERROR(VLOOKUP(BX386,'Gebinde-Kategorie'!$A$5:$N$45,13,0)+0,0))</f>
        <v>26</v>
      </c>
      <c r="S386" s="54"/>
      <c r="T386" s="55" t="s">
        <v>284</v>
      </c>
      <c r="U386" s="55"/>
      <c r="V386" s="55"/>
      <c r="W386" s="48"/>
      <c r="X386" s="50"/>
      <c r="Y386" s="50"/>
      <c r="Z386" s="48" t="n">
        <f aca="false">IF(A386="","",IF(AND(Parameter!$B$21="Ja",ISNUMBER(W386)),W386,IF(CC386="2+3",IF(ISNUMBER(SEARCH("grosser Artikel",BU386)),2,IFERROR(VLOOKUP(BX386,Parameter!$F$35:$G$64,2,0),2)),IF(OR(CC386="Nein",CC386=""),"-",CC386))))</f>
        <v>3</v>
      </c>
      <c r="AA386" s="55"/>
      <c r="AB386" s="56"/>
      <c r="AC386" s="50" t="n">
        <f aca="false">AV386</f>
        <v>6</v>
      </c>
      <c r="AD386" s="50" t="n">
        <f aca="false">MAX(AV386,H386)</f>
        <v>6</v>
      </c>
      <c r="AE386" s="57"/>
      <c r="AF386" s="50" t="n">
        <f aca="false">IF(LEFT(Cockpit!$C$5,1)="A",H386,IF(Parameter!$E$30="MAX-Bestand",IF(CH386=1,CI386,IF(LEFT(Cockpit!$C$5,1)="B",AL386,MAX(AL386,H386))),ROUNDUP(AJ386,0)))</f>
        <v>4</v>
      </c>
      <c r="AG386" s="50" t="n">
        <f aca="false">IF(BZ386=1,0,ROUNDUP(AF386/BY386,0))</f>
        <v>1</v>
      </c>
      <c r="AH386" s="52" t="n">
        <f aca="false">IF(CQ386&gt;0,CQ386*MAX(1,AF386/X386),IF(BZ386=1,IF(AF386&lt;=0,0,CD386*MAX(1,IF(H386&gt;0,AF386/H386,1))),IF(R386&gt;0,AG386/R386,0))/MAX(0.1,N(Parameter!$M$21)))</f>
        <v>0.0384615384615385</v>
      </c>
      <c r="AI386" s="50" t="n">
        <f aca="false">AH386*CB386</f>
        <v>5.96153846153846</v>
      </c>
      <c r="AJ386" s="51" t="n">
        <f aca="false">IF(LEFT(Cockpit!$C$5,1)="A",H386,IF(CH386=1,(CK386+CI386)/2,IF(LEFT(Cockpit!$C$5,1)="B",(CK386+AL386)/2,MAX((CK386+AL386)/2,H386))))</f>
        <v>4</v>
      </c>
      <c r="AK386" s="50" t="n">
        <f aca="false">AJ386*G386</f>
        <v>2050.64</v>
      </c>
      <c r="AL386" s="50" t="n">
        <f aca="false">ROUNDUP(CK386+MAX(CL386,2*(J386/IF(CG386&gt;0,CG386,MAX(0.1,N(Cockpit!$C$6)))-CK386)),0)</f>
        <v>6</v>
      </c>
      <c r="AM386" s="51" t="n">
        <f aca="false">IF(AI386&gt;0,J386/AI386,-1)</f>
        <v>1.50967741935484</v>
      </c>
      <c r="AN386" s="51" t="n">
        <f aca="false">IF(AND(OR(CF386="L1",CF386="L23",CF386="LIFT"),AI386&gt;0),SUMIFS($AI$7:$AI$1843,$CF$7:$CF$1843,CF386,$AM$7:$AM$1843,"&gt;"&amp;AM386)+SUMIFS($AI$7:$AI$1843,$CF$7:$CF$1843,CF386,$AM$7:$AM$1843,AM386,$BW$7:$BW$1843,"&lt;="&amp;BW386),"")</f>
        <v>6203.96840659341</v>
      </c>
      <c r="AO386" s="58" t="n">
        <f aca="false">IF(AN386="",0,MAX(0,MIN(1,(IF(CF386="L1",Parameter!$H$5,IF(CF386="L23",Parameter!$H$6+Parameter!$H$7,Parameter!$H$5+Parameter!$H$6+Parameter!$H$7))-(AN386-AI386))/AI386)))</f>
        <v>1</v>
      </c>
      <c r="AP386" s="50" t="n">
        <f aca="false">IF(LEFT(Cockpit!$I$5,1)="A",H386,IF(Parameter!$E$30="MAX-Bestand",IF(CH386=1,CI386,IF(LEFT(Cockpit!$I$5,1)="B",AV386,MAX(AV386,H386))),ROUNDUP(AT386,0)))</f>
        <v>4</v>
      </c>
      <c r="AQ386" s="50" t="n">
        <f aca="false">IF(BZ386=1,0,ROUNDUP(AP386/BY386,0))</f>
        <v>1</v>
      </c>
      <c r="AR386" s="52" t="n">
        <f aca="false">IF(CQ386&gt;0,CQ386*MAX(1,AP386/X386),IF(BZ386=1,IF(AP386&lt;=0,0,CD386*MAX(1,IF(H386&gt;0,AP386/H386,1))),IF(R386&gt;0,AQ386/R386,0))/MAX(0.1,N(Parameter!$M$21)))</f>
        <v>0.0384615384615385</v>
      </c>
      <c r="AS386" s="50" t="n">
        <f aca="false">AR386*CB386</f>
        <v>5.96153846153846</v>
      </c>
      <c r="AT386" s="51" t="n">
        <f aca="false">IF(LEFT(Cockpit!$I$5,1)="A",H386,IF(CH386=1,(CK386+CI386)/2,IF(LEFT(Cockpit!$I$5,1)="B",(CK386+AV386)/2,MAX((CK386+AV386)/2,H386))))</f>
        <v>4</v>
      </c>
      <c r="AU386" s="50" t="n">
        <f aca="false">AT386*G386</f>
        <v>2050.64</v>
      </c>
      <c r="AV386" s="50" t="n">
        <f aca="false">ROUNDUP(CK386+MAX(CL386,2*(J386/IF(CG386&gt;0,CG386,MAX(0.1,N(Cockpit!$I$6)))-CK386)),0)</f>
        <v>6</v>
      </c>
      <c r="AW386" s="51" t="n">
        <f aca="false">IF(AS386&gt;0,J386/AS386,-1)</f>
        <v>1.50967741935484</v>
      </c>
      <c r="AX386" s="51" t="n">
        <f aca="false">IF(AND(OR(CF386="L1",CF386="L23",CF386="LIFT"),AS386&gt;0),SUMIFS($AS$7:$AS$1843,$CF$7:$CF$1843,CF386,$AW$7:$AW$1843,"&gt;"&amp;AW386)+SUMIFS($AS$7:$AS$1843,$CF$7:$CF$1843,CF386,$AW$7:$AW$1843,AW386,$BW$7:$BW$1843,"&lt;="&amp;BW386),"")</f>
        <v>7643.85714285714</v>
      </c>
      <c r="AY386" s="58" t="n">
        <f aca="false">IF(AX386="",0,MAX(0,MIN(1,(IF(CF386="L1",Parameter!$H$5,IF(CF386="L23",Parameter!$H$6+Parameter!$H$7,Parameter!$H$5+Parameter!$H$6+Parameter!$H$7))-(AX386-AS386))/AS386)))</f>
        <v>1</v>
      </c>
      <c r="AZ386" s="50" t="n">
        <f aca="false">IF(LEFT(Cockpit!$O$5,1)="A",H386,IF(Parameter!$E$30="MAX-Bestand",IF(CH386=1,CI386,IF(LEFT(Cockpit!$O$5,1)="B",BF386,MAX(BF386,H386))),ROUNDUP(BD386,0)))</f>
        <v>3</v>
      </c>
      <c r="BA386" s="50" t="n">
        <f aca="false">IF(BZ386=1,0,ROUNDUP(AZ386/BY386,0))</f>
        <v>1</v>
      </c>
      <c r="BB386" s="52" t="n">
        <f aca="false">IF(CQ386&gt;0,CQ386*MAX(1,AZ386/X386),IF(BZ386=1,IF(AZ386&lt;=0,0,CD386*MAX(1,IF(H386&gt;0,AZ386/H386,1))),IF(R386&gt;0,BA386/R386,0))/MAX(0.1,N(Parameter!$M$21)))</f>
        <v>0.0384615384615385</v>
      </c>
      <c r="BC386" s="50" t="n">
        <f aca="false">BB386*CB386</f>
        <v>5.96153846153846</v>
      </c>
      <c r="BD386" s="51" t="n">
        <f aca="false">IF(LEFT(Cockpit!$O$5,1)="A",H386,IF(CH386=1,(CK386+CI386)/2,IF(LEFT(Cockpit!$O$5,1)="B",(CK386+BF386)/2,MAX((CK386+BF386)/2,H386))))</f>
        <v>2.5</v>
      </c>
      <c r="BE386" s="50" t="n">
        <f aca="false">BD386*G386</f>
        <v>1281.65</v>
      </c>
      <c r="BF386" s="50" t="n">
        <f aca="false">ROUNDUP(CK386+MAX(CL386,2*(J386/IF(CG386&gt;0,CG386,MAX(0.1,N(Cockpit!$O$6)))-CK386)),0)</f>
        <v>5</v>
      </c>
      <c r="BG386" s="51" t="n">
        <f aca="false">IF(BC386&gt;0,J386/BC386,-1)</f>
        <v>1.50967741935484</v>
      </c>
      <c r="BH386" s="51" t="n">
        <f aca="false">IF(AND(OR(CF386="L1",CF386="L23",CF386="LIFT"),BC386&gt;0),SUMIFS($BC$7:$BC$1843,$CF$7:$CF$1843,CF386,$BG$7:$BG$1843,"&gt;"&amp;BG386)+SUMIFS($BC$7:$BC$1843,$CF$7:$CF$1843,CF386,$BG$7:$BG$1843,BG386,$BW$7:$BW$1843,"&lt;="&amp;BW386),"")</f>
        <v>6456.52152014652</v>
      </c>
      <c r="BI386" s="58" t="n">
        <f aca="false">IF(BH386="",0,MAX(0,MIN(1,(IF(CF386="L1",Parameter!$H$5,IF(CF386="L23",Parameter!$H$6+Parameter!$H$7,Parameter!$H$5+Parameter!$H$6+Parameter!$H$7))-(BH386-BC386))/BC386)))</f>
        <v>1</v>
      </c>
      <c r="BJ386" s="48" t="str">
        <f aca="false">IF(AI386&lt;=0,"",IF(CF386="Aussen","Aussenlager",IF(CF386="-","Nicht im Lift",IF(AO386&gt;=1,"Lift",IF(AO386&lt;=0,"Aussenlager","teilweise")))))</f>
        <v>Lift</v>
      </c>
      <c r="BK386" s="48" t="str">
        <f aca="false">IF(AS386&lt;=0,"",IF(CF386="Aussen","Aussenlager",IF(CF386="-","Nicht im Lift",IF(AY386&gt;=1,"Lift",IF(AY386&lt;=0,"Aussenlager","teilweise")))))</f>
        <v>Lift</v>
      </c>
      <c r="BL386" s="48" t="str">
        <f aca="false">IF(BC386&lt;=0,"",IF(CF386="Aussen","Aussenlager",IF(CF386="-","Nicht im Lift",IF(BI386&gt;=1,"Lift",IF(BI386&lt;=0,"Aussenlager","teilweise")))))</f>
        <v>Lift</v>
      </c>
      <c r="BM386" s="48" t="str">
        <f aca="false">IF(A386="","",IF(BV386=1,"Neu; ","")&amp;IF(AND(BV386=0,BQ386&lt;0),"negativer Bestand (Export "&amp;BQ386&amp;"); ","")&amp;IF(J386&lt;=0,"Kein Verbrauch; ","")&amp;IF(CQ386&gt;0,"Lift "&amp;W386&amp;" lt. Liftbericht (Fach "&amp;X386&amp;" Stk); ",IF(CA386=1,"Gebinde geschätzt ("&amp;T386&amp;"); ",IF(BZ386=1,"Lose – Tablare geschätzt; ","")))&amp;IF(H386&gt;AV386,"Überbestand "&amp;ROUND(H386-AV386,0)&amp;" Stk / CHF "&amp;ROUND((H386-AV386)*G386,0)&amp;"; ","")&amp;IF(AND(CH386=1,CI386&lt;CJ386),"MAX &lt; MB+LG; ","")&amp;IF(AND(CP386&gt;0,CO386*10&gt;CP386),"zu hoch für Tablar; ","")&amp;IF(AND(BV386=0,OR(CH386=1,AA386&lt;&gt;"",U386&lt;&gt;"",V386&lt;&gt;"",AB386&lt;&gt;"")),"manuell übersteuert; ","")&amp;IF(AND(BZ386=0,R386=0),"Gebinde unbekannt / Stellmass fehlt; ","")&amp;IF(AND(BZ386=0,N(V386)&lt;=0,N(Q386)&lt;=0),"Menge pro Gebinde fehlt (Ist = 1 Gebinde); ","")&amp;BU386)</f>
        <v>Gebinde geschätzt (Klein); Menge pro Gebinde fehlt (Ist = 1 Gebinde); </v>
      </c>
      <c r="BN386" s="48"/>
      <c r="BO386" s="48"/>
      <c r="BP386" s="55"/>
      <c r="BQ386" s="50" t="n">
        <v>0</v>
      </c>
      <c r="BR386" s="50" t="n">
        <v>4</v>
      </c>
      <c r="BS386" s="49" t="n">
        <v>129.360000000001</v>
      </c>
      <c r="BT386" s="50" t="n">
        <v>9</v>
      </c>
      <c r="BU386" s="48"/>
      <c r="BV386" s="53" t="n">
        <v>0</v>
      </c>
      <c r="BW386" s="53" t="n">
        <v>386</v>
      </c>
      <c r="BX386" s="48" t="str">
        <f aca="false">IF(U386&lt;&gt;"",UPPER(TRIM(U386)),IF(CA386=1,UPPER(VLOOKUP(T386,Parameter!$I$27:$K$29,2,0)),IF(P386="","LOSE",P386)))</f>
        <v>S51</v>
      </c>
      <c r="BY386" s="50" t="n">
        <f aca="false">IF(BX386="LOSE",1,IF(N(V386)&gt;0,V386,IF(CA386=1,MAX(1,N(VLOOKUP(T386,Parameter!$I$27:$K$29,3,0)),H386,N(N386)),IF(N(Q386)&gt;0,Q386,MAX(1,H386)))))</f>
        <v>20</v>
      </c>
      <c r="BZ386" s="53" t="n">
        <f aca="false">IF(BX386="LOSE",1,0)</f>
        <v>0</v>
      </c>
      <c r="CA386" s="53" t="n">
        <f aca="false">IF(AND(U386="",OR(P386="",P386="LOSE"),T386&lt;&gt;"",N(S386)&lt;=0,ISNUMBER(MATCH(T386,Parameter!$I$27:$I$29,0))),1,0)</f>
        <v>1</v>
      </c>
      <c r="CB386" s="53" t="n">
        <f aca="false">IF(CQ386&gt;0,INDEX(Parameter!$H$5:$H$7,W386)/INDEX(Parameter!$E$5:$E$7,W386),IF(AND(BZ386=0,N(IFERROR(VLOOKUP(BX386,'Gebinde-Kategorie'!$A$5:$N$45,14,0),0))&gt;0),VLOOKUP(BX386,'Gebinde-Kategorie'!$A$5:$N$45,14,0)*10+Parameter!$M$23,Parameter!$M$24))</f>
        <v>155</v>
      </c>
      <c r="CC386" s="48" t="str">
        <f aca="false">IF(AND(Parameter!$B$19="Ja",E386&lt;&gt;"",ISNUMBER(MATCH(E386,Parameter!$I$35:$I$52,0))),VLOOKUP(E386,Parameter!$I$35:$J$52,2,0),IFERROR(VLOOKUP(D386,Parameter!$A$35:$C$64,2,0),"Nein"))</f>
        <v>2+3</v>
      </c>
      <c r="CD386" s="52" t="n">
        <f aca="false">IF(BZ386=0,0,IF(N(S386)&gt;0,S386,IFERROR(VLOOKUP(D386,Parameter!$A$35:$C$64,3,0)+0,0)))</f>
        <v>0</v>
      </c>
      <c r="CE386" s="48" t="n">
        <f aca="false">IF(AA386&lt;&gt;"",AA386,Z386)</f>
        <v>3</v>
      </c>
      <c r="CF386" s="48" t="str">
        <f aca="false">IF(OR(CE386=1,CE386=2,CE386=3),IF(Parameter!$E$27="Ja","LIFT",IF(CE386=1,"L1","L23")),IF(CE386="Aussen","Aussen","-"))</f>
        <v>LIFT</v>
      </c>
      <c r="CG386" s="59" t="n">
        <f aca="false">IF(N(AB386)&gt;0,AB386,0)</f>
        <v>0</v>
      </c>
      <c r="CH386" s="53" t="n">
        <f aca="false">IF(ISNUMBER(AE386),1,0)</f>
        <v>0</v>
      </c>
      <c r="CI386" s="50" t="n">
        <f aca="false">N(AE386)</f>
        <v>0</v>
      </c>
      <c r="CJ386" s="50" t="n">
        <f aca="false">N(M386)+N(N386)</f>
        <v>5</v>
      </c>
      <c r="CK386" s="50" t="n">
        <f aca="false">N(M386)</f>
        <v>0</v>
      </c>
      <c r="CL386" s="50" t="n">
        <f aca="false">N(N386)</f>
        <v>5</v>
      </c>
      <c r="CM386" s="50" t="n">
        <f aca="false">ROUNDUP(H386/BY386,0)</f>
        <v>1</v>
      </c>
      <c r="CN386" s="50" t="n">
        <f aca="false">ROUNDUP(CI386/BY386,0)</f>
        <v>0</v>
      </c>
      <c r="CO386" s="53" t="n">
        <f aca="false">IF(BZ386=1,0,IFERROR(VLOOKUP(BX386,'Gebinde-Kategorie'!$A$5:$N$45,5,0)+0,0))</f>
        <v>11</v>
      </c>
      <c r="CP386" s="53" t="n">
        <f aca="false">IFERROR(IF(OR(CE386=1,CE386=2,CE386=3),N(INDEX(Parameter!$I$5:$I$7,CE386)),0),0)</f>
        <v>0</v>
      </c>
      <c r="CQ386" s="52" t="n">
        <f aca="false">IF(AND(Parameter!$B$21="Ja",ISNUMBER(W386),N(X386)&gt;0),IFERROR(N(INDEX(Parameter!$L$5:$L$7,W386))*INDEX(Parameter!$E$5:$E$7,W386)*X386/SUMIFS($X$7:$X$1843,$W$7:$W$1843,W386),0),0)</f>
        <v>0</v>
      </c>
    </row>
    <row r="387" customFormat="false" ht="15" hidden="false" customHeight="false" outlineLevel="0" collapsed="false">
      <c r="A387" s="48" t="s">
        <v>925</v>
      </c>
      <c r="B387" s="48" t="s">
        <v>926</v>
      </c>
      <c r="C387" s="48" t="s">
        <v>173</v>
      </c>
      <c r="D387" s="48" t="s">
        <v>193</v>
      </c>
      <c r="E387" s="48" t="s">
        <v>194</v>
      </c>
      <c r="F387" s="48" t="s">
        <v>227</v>
      </c>
      <c r="G387" s="49" t="n">
        <v>1.54</v>
      </c>
      <c r="H387" s="50" t="n">
        <f aca="false">MAX(0,IF(AND(Parameter!$B$21="Ja",ISNUMBER(Y387)),Y387,IF(Parameter!$B$20="Jahresanfang 2025 + Export",BR387+BQ387,BQ387)))</f>
        <v>130</v>
      </c>
      <c r="I387" s="50" t="n">
        <f aca="false">H387*G387</f>
        <v>200.2</v>
      </c>
      <c r="J387" s="50" t="n">
        <f aca="false">BT387*Parameter!$B$18</f>
        <v>129</v>
      </c>
      <c r="K387" s="51" t="n">
        <v>42</v>
      </c>
      <c r="L387" s="52" t="n">
        <v>3.07142857142857</v>
      </c>
      <c r="M387" s="50" t="n">
        <v>7</v>
      </c>
      <c r="N387" s="50" t="n">
        <v>130</v>
      </c>
      <c r="O387" s="53" t="n">
        <v>21</v>
      </c>
      <c r="P387" s="48" t="s">
        <v>430</v>
      </c>
      <c r="Q387" s="50" t="n">
        <v>131</v>
      </c>
      <c r="R387" s="53" t="n">
        <f aca="false">IF(BZ387=1,0,IFERROR(VLOOKUP(BX387,'Gebinde-Kategorie'!$A$5:$N$45,13,0)+0,0))</f>
        <v>104</v>
      </c>
      <c r="S387" s="54"/>
      <c r="T387" s="55"/>
      <c r="U387" s="55"/>
      <c r="V387" s="55"/>
      <c r="W387" s="48"/>
      <c r="X387" s="50"/>
      <c r="Y387" s="50"/>
      <c r="Z387" s="48" t="n">
        <f aca="false">IF(A387="","",IF(AND(Parameter!$B$21="Ja",ISNUMBER(W387)),W387,IF(CC387="2+3",IF(ISNUMBER(SEARCH("grosser Artikel",BU387)),2,IFERROR(VLOOKUP(BX387,Parameter!$F$35:$G$64,2,0),2)),IF(OR(CC387="Nein",CC387=""),"-",CC387))))</f>
        <v>3</v>
      </c>
      <c r="AA387" s="55"/>
      <c r="AB387" s="56"/>
      <c r="AC387" s="50" t="n">
        <f aca="false">AV387</f>
        <v>137</v>
      </c>
      <c r="AD387" s="50" t="n">
        <f aca="false">MAX(AV387,H387)</f>
        <v>137</v>
      </c>
      <c r="AE387" s="57"/>
      <c r="AF387" s="50" t="n">
        <f aca="false">IF(LEFT(Cockpit!$C$5,1)="A",H387,IF(Parameter!$E$30="MAX-Bestand",IF(CH387=1,CI387,IF(LEFT(Cockpit!$C$5,1)="B",AL387,MAX(AL387,H387))),ROUNDUP(AJ387,0)))</f>
        <v>130</v>
      </c>
      <c r="AG387" s="50" t="n">
        <f aca="false">IF(BZ387=1,0,ROUNDUP(AF387/BY387,0))</f>
        <v>1</v>
      </c>
      <c r="AH387" s="52" t="n">
        <f aca="false">IF(CQ387&gt;0,CQ387*MAX(1,AF387/X387),IF(BZ387=1,IF(AF387&lt;=0,0,CD387*MAX(1,IF(H387&gt;0,AF387/H387,1))),IF(R387&gt;0,AG387/R387,0))/MAX(0.1,N(Parameter!$M$21)))</f>
        <v>0.00961538461538462</v>
      </c>
      <c r="AI387" s="50" t="n">
        <f aca="false">AH387*CB387</f>
        <v>1.49038461538462</v>
      </c>
      <c r="AJ387" s="51" t="n">
        <f aca="false">IF(LEFT(Cockpit!$C$5,1)="A",H387,IF(CH387=1,(CK387+CI387)/2,IF(LEFT(Cockpit!$C$5,1)="B",(CK387+AL387)/2,MAX((CK387+AL387)/2,H387))))</f>
        <v>130</v>
      </c>
      <c r="AK387" s="50" t="n">
        <f aca="false">AJ387*G387</f>
        <v>200.2</v>
      </c>
      <c r="AL387" s="50" t="n">
        <f aca="false">ROUNDUP(CK387+MAX(CL387,2*(J387/IF(CG387&gt;0,CG387,MAX(0.1,N(Cockpit!$C$6)))-CK387)),0)</f>
        <v>137</v>
      </c>
      <c r="AM387" s="51" t="n">
        <f aca="false">IF(AI387&gt;0,J387/AI387,-1)</f>
        <v>86.5548387096774</v>
      </c>
      <c r="AN387" s="51" t="n">
        <f aca="false">IF(AND(OR(CF387="L1",CF387="L23",CF387="LIFT"),AI387&gt;0),SUMIFS($AI$7:$AI$1843,$CF$7:$CF$1843,CF387,$AM$7:$AM$1843,"&gt;"&amp;AM387)+SUMIFS($AI$7:$AI$1843,$CF$7:$CF$1843,CF387,$AM$7:$AM$1843,AM387,$BW$7:$BW$1843,"&lt;="&amp;BW387),"")</f>
        <v>835.387362637363</v>
      </c>
      <c r="AO387" s="58" t="n">
        <f aca="false">IF(AN387="",0,MAX(0,MIN(1,(IF(CF387="L1",Parameter!$H$5,IF(CF387="L23",Parameter!$H$6+Parameter!$H$7,Parameter!$H$5+Parameter!$H$6+Parameter!$H$7))-(AN387-AI387))/AI387)))</f>
        <v>1</v>
      </c>
      <c r="AP387" s="50" t="n">
        <f aca="false">IF(LEFT(Cockpit!$I$5,1)="A",H387,IF(Parameter!$E$30="MAX-Bestand",IF(CH387=1,CI387,IF(LEFT(Cockpit!$I$5,1)="B",AV387,MAX(AV387,H387))),ROUNDUP(AT387,0)))</f>
        <v>130</v>
      </c>
      <c r="AQ387" s="50" t="n">
        <f aca="false">IF(BZ387=1,0,ROUNDUP(AP387/BY387,0))</f>
        <v>1</v>
      </c>
      <c r="AR387" s="52" t="n">
        <f aca="false">IF(CQ387&gt;0,CQ387*MAX(1,AP387/X387),IF(BZ387=1,IF(AP387&lt;=0,0,CD387*MAX(1,IF(H387&gt;0,AP387/H387,1))),IF(R387&gt;0,AQ387/R387,0))/MAX(0.1,N(Parameter!$M$21)))</f>
        <v>0.00961538461538462</v>
      </c>
      <c r="AS387" s="50" t="n">
        <f aca="false">AR387*CB387</f>
        <v>1.49038461538462</v>
      </c>
      <c r="AT387" s="51" t="n">
        <f aca="false">IF(LEFT(Cockpit!$I$5,1)="A",H387,IF(CH387=1,(CK387+CI387)/2,IF(LEFT(Cockpit!$I$5,1)="B",(CK387+AV387)/2,MAX((CK387+AV387)/2,H387))))</f>
        <v>130</v>
      </c>
      <c r="AU387" s="50" t="n">
        <f aca="false">AT387*G387</f>
        <v>200.2</v>
      </c>
      <c r="AV387" s="50" t="n">
        <f aca="false">ROUNDUP(CK387+MAX(CL387,2*(J387/IF(CG387&gt;0,CG387,MAX(0.1,N(Cockpit!$I$6)))-CK387)),0)</f>
        <v>137</v>
      </c>
      <c r="AW387" s="51" t="n">
        <f aca="false">IF(AS387&gt;0,J387/AS387,-1)</f>
        <v>86.5548387096774</v>
      </c>
      <c r="AX387" s="51" t="n">
        <f aca="false">IF(AND(OR(CF387="L1",CF387="L23",CF387="LIFT"),AS387&gt;0),SUMIFS($AS$7:$AS$1843,$CF$7:$CF$1843,CF387,$AW$7:$AW$1843,"&gt;"&amp;AW387)+SUMIFS($AS$7:$AS$1843,$CF$7:$CF$1843,CF387,$AW$7:$AW$1843,AW387,$BW$7:$BW$1843,"&lt;="&amp;BW387),"")</f>
        <v>1048.29945054945</v>
      </c>
      <c r="AY387" s="58" t="n">
        <f aca="false">IF(AX387="",0,MAX(0,MIN(1,(IF(CF387="L1",Parameter!$H$5,IF(CF387="L23",Parameter!$H$6+Parameter!$H$7,Parameter!$H$5+Parameter!$H$6+Parameter!$H$7))-(AX387-AS387))/AS387)))</f>
        <v>1</v>
      </c>
      <c r="AZ387" s="50" t="n">
        <f aca="false">IF(LEFT(Cockpit!$O$5,1)="A",H387,IF(Parameter!$E$30="MAX-Bestand",IF(CH387=1,CI387,IF(LEFT(Cockpit!$O$5,1)="B",BF387,MAX(BF387,H387))),ROUNDUP(BD387,0)))</f>
        <v>72</v>
      </c>
      <c r="BA387" s="50" t="n">
        <f aca="false">IF(BZ387=1,0,ROUNDUP(AZ387/BY387,0))</f>
        <v>1</v>
      </c>
      <c r="BB387" s="52" t="n">
        <f aca="false">IF(CQ387&gt;0,CQ387*MAX(1,AZ387/X387),IF(BZ387=1,IF(AZ387&lt;=0,0,CD387*MAX(1,IF(H387&gt;0,AZ387/H387,1))),IF(R387&gt;0,BA387/R387,0))/MAX(0.1,N(Parameter!$M$21)))</f>
        <v>0.00961538461538462</v>
      </c>
      <c r="BC387" s="50" t="n">
        <f aca="false">BB387*CB387</f>
        <v>1.49038461538462</v>
      </c>
      <c r="BD387" s="51" t="n">
        <f aca="false">IF(LEFT(Cockpit!$O$5,1)="A",H387,IF(CH387=1,(CK387+CI387)/2,IF(LEFT(Cockpit!$O$5,1)="B",(CK387+BF387)/2,MAX((CK387+BF387)/2,H387))))</f>
        <v>72</v>
      </c>
      <c r="BE387" s="50" t="n">
        <f aca="false">BD387*G387</f>
        <v>110.88</v>
      </c>
      <c r="BF387" s="50" t="n">
        <f aca="false">ROUNDUP(CK387+MAX(CL387,2*(J387/IF(CG387&gt;0,CG387,MAX(0.1,N(Cockpit!$O$6)))-CK387)),0)</f>
        <v>137</v>
      </c>
      <c r="BG387" s="51" t="n">
        <f aca="false">IF(BC387&gt;0,J387/BC387,-1)</f>
        <v>86.5548387096774</v>
      </c>
      <c r="BH387" s="51" t="n">
        <f aca="false">IF(AND(OR(CF387="L1",CF387="L23",CF387="LIFT"),BC387&gt;0),SUMIFS($BC$7:$BC$1843,$CF$7:$CF$1843,CF387,$BG$7:$BG$1843,"&gt;"&amp;BG387)+SUMIFS($BC$7:$BC$1843,$CF$7:$CF$1843,CF387,$BG$7:$BG$1843,BG387,$BW$7:$BW$1843,"&lt;="&amp;BW387),"")</f>
        <v>982.448717948718</v>
      </c>
      <c r="BI387" s="58" t="n">
        <f aca="false">IF(BH387="",0,MAX(0,MIN(1,(IF(CF387="L1",Parameter!$H$5,IF(CF387="L23",Parameter!$H$6+Parameter!$H$7,Parameter!$H$5+Parameter!$H$6+Parameter!$H$7))-(BH387-BC387))/BC387)))</f>
        <v>1</v>
      </c>
      <c r="BJ387" s="48" t="str">
        <f aca="false">IF(AI387&lt;=0,"",IF(CF387="Aussen","Aussenlager",IF(CF387="-","Nicht im Lift",IF(AO387&gt;=1,"Lift",IF(AO387&lt;=0,"Aussenlager","teilweise")))))</f>
        <v>Lift</v>
      </c>
      <c r="BK387" s="48" t="str">
        <f aca="false">IF(AS387&lt;=0,"",IF(CF387="Aussen","Aussenlager",IF(CF387="-","Nicht im Lift",IF(AY387&gt;=1,"Lift",IF(AY387&lt;=0,"Aussenlager","teilweise")))))</f>
        <v>Lift</v>
      </c>
      <c r="BL387" s="48" t="str">
        <f aca="false">IF(BC387&lt;=0,"",IF(CF387="Aussen","Aussenlager",IF(CF387="-","Nicht im Lift",IF(BI387&gt;=1,"Lift",IF(BI387&lt;=0,"Aussenlager","teilweise")))))</f>
        <v>Lift</v>
      </c>
      <c r="BM387" s="48" t="str">
        <f aca="false">IF(A387="","",IF(BV387=1,"Neu; ","")&amp;IF(AND(BV387=0,BQ387&lt;0),"negativer Bestand (Export "&amp;BQ387&amp;"); ","")&amp;IF(J387&lt;=0,"Kein Verbrauch; ","")&amp;IF(CQ387&gt;0,"Lift "&amp;W387&amp;" lt. Liftbericht (Fach "&amp;X387&amp;" Stk); ",IF(CA387=1,"Gebinde geschätzt ("&amp;T387&amp;"); ",IF(BZ387=1,"Lose – Tablare geschätzt; ","")))&amp;IF(H387&gt;AV387,"Überbestand "&amp;ROUND(H387-AV387,0)&amp;" Stk / CHF "&amp;ROUND((H387-AV387)*G387,0)&amp;"; ","")&amp;IF(AND(CH387=1,CI387&lt;CJ387),"MAX &lt; MB+LG; ","")&amp;IF(AND(CP387&gt;0,CO387*10&gt;CP387),"zu hoch für Tablar; ","")&amp;IF(AND(BV387=0,OR(CH387=1,AA387&lt;&gt;"",U387&lt;&gt;"",V387&lt;&gt;"",AB387&lt;&gt;"")),"manuell übersteuert; ","")&amp;IF(AND(BZ387=0,R387=0),"Gebinde unbekannt / Stellmass fehlt; ","")&amp;IF(AND(BZ387=0,N(V387)&lt;=0,N(Q387)&lt;=0),"Menge pro Gebinde fehlt (Ist = 1 Gebinde); ","")&amp;BU387)</f>
        <v/>
      </c>
      <c r="BN387" s="48"/>
      <c r="BO387" s="48"/>
      <c r="BP387" s="55"/>
      <c r="BQ387" s="50" t="n">
        <v>84</v>
      </c>
      <c r="BR387" s="50" t="n">
        <v>46</v>
      </c>
      <c r="BS387" s="49" t="n">
        <v>129.36</v>
      </c>
      <c r="BT387" s="50" t="n">
        <v>129</v>
      </c>
      <c r="BU387" s="48"/>
      <c r="BV387" s="53" t="n">
        <v>0</v>
      </c>
      <c r="BW387" s="53" t="n">
        <v>387</v>
      </c>
      <c r="BX387" s="48" t="str">
        <f aca="false">IF(U387&lt;&gt;"",UPPER(TRIM(U387)),IF(CA387=1,UPPER(VLOOKUP(T387,Parameter!$I$27:$K$29,2,0)),IF(P387="","LOSE",P387)))</f>
        <v>S32</v>
      </c>
      <c r="BY387" s="50" t="n">
        <f aca="false">IF(BX387="LOSE",1,IF(N(V387)&gt;0,V387,IF(CA387=1,MAX(1,N(VLOOKUP(T387,Parameter!$I$27:$K$29,3,0)),H387,N(N387)),IF(N(Q387)&gt;0,Q387,MAX(1,H387)))))</f>
        <v>131</v>
      </c>
      <c r="BZ387" s="53" t="n">
        <f aca="false">IF(BX387="LOSE",1,0)</f>
        <v>0</v>
      </c>
      <c r="CA387" s="53" t="n">
        <f aca="false">IF(AND(U387="",OR(P387="",P387="LOSE"),T387&lt;&gt;"",N(S387)&lt;=0,ISNUMBER(MATCH(T387,Parameter!$I$27:$I$29,0))),1,0)</f>
        <v>0</v>
      </c>
      <c r="CB387" s="53" t="n">
        <f aca="false">IF(CQ387&gt;0,INDEX(Parameter!$H$5:$H$7,W387)/INDEX(Parameter!$E$5:$E$7,W387),IF(AND(BZ387=0,N(IFERROR(VLOOKUP(BX387,'Gebinde-Kategorie'!$A$5:$N$45,14,0),0))&gt;0),VLOOKUP(BX387,'Gebinde-Kategorie'!$A$5:$N$45,14,0)*10+Parameter!$M$23,Parameter!$M$24))</f>
        <v>155</v>
      </c>
      <c r="CC387" s="48" t="str">
        <f aca="false">IF(AND(Parameter!$B$19="Ja",E387&lt;&gt;"",ISNUMBER(MATCH(E387,Parameter!$I$35:$I$52,0))),VLOOKUP(E387,Parameter!$I$35:$J$52,2,0),IFERROR(VLOOKUP(D387,Parameter!$A$35:$C$64,2,0),"Nein"))</f>
        <v>2+3</v>
      </c>
      <c r="CD387" s="52" t="n">
        <f aca="false">IF(BZ387=0,0,IF(N(S387)&gt;0,S387,IFERROR(VLOOKUP(D387,Parameter!$A$35:$C$64,3,0)+0,0)))</f>
        <v>0</v>
      </c>
      <c r="CE387" s="48" t="n">
        <f aca="false">IF(AA387&lt;&gt;"",AA387,Z387)</f>
        <v>3</v>
      </c>
      <c r="CF387" s="48" t="str">
        <f aca="false">IF(OR(CE387=1,CE387=2,CE387=3),IF(Parameter!$E$27="Ja","LIFT",IF(CE387=1,"L1","L23")),IF(CE387="Aussen","Aussen","-"))</f>
        <v>LIFT</v>
      </c>
      <c r="CG387" s="59" t="n">
        <f aca="false">IF(N(AB387)&gt;0,AB387,0)</f>
        <v>0</v>
      </c>
      <c r="CH387" s="53" t="n">
        <f aca="false">IF(ISNUMBER(AE387),1,0)</f>
        <v>0</v>
      </c>
      <c r="CI387" s="50" t="n">
        <f aca="false">N(AE387)</f>
        <v>0</v>
      </c>
      <c r="CJ387" s="50" t="n">
        <f aca="false">N(M387)+N(N387)</f>
        <v>137</v>
      </c>
      <c r="CK387" s="50" t="n">
        <f aca="false">N(M387)</f>
        <v>7</v>
      </c>
      <c r="CL387" s="50" t="n">
        <f aca="false">N(N387)</f>
        <v>130</v>
      </c>
      <c r="CM387" s="50" t="n">
        <f aca="false">ROUNDUP(H387/BY387,0)</f>
        <v>1</v>
      </c>
      <c r="CN387" s="50" t="n">
        <f aca="false">ROUNDUP(CI387/BY387,0)</f>
        <v>0</v>
      </c>
      <c r="CO387" s="53" t="n">
        <f aca="false">IF(BZ387=1,0,IFERROR(VLOOKUP(BX387,'Gebinde-Kategorie'!$A$5:$N$45,5,0)+0,0))</f>
        <v>8</v>
      </c>
      <c r="CP387" s="53" t="n">
        <f aca="false">IFERROR(IF(OR(CE387=1,CE387=2,CE387=3),N(INDEX(Parameter!$I$5:$I$7,CE387)),0),0)</f>
        <v>0</v>
      </c>
      <c r="CQ387" s="52" t="n">
        <f aca="false">IF(AND(Parameter!$B$21="Ja",ISNUMBER(W387),N(X387)&gt;0),IFERROR(N(INDEX(Parameter!$L$5:$L$7,W387))*INDEX(Parameter!$E$5:$E$7,W387)*X387/SUMIFS($X$7:$X$1843,$W$7:$W$1843,W387),0),0)</f>
        <v>0</v>
      </c>
    </row>
    <row r="388" customFormat="false" ht="15" hidden="false" customHeight="false" outlineLevel="0" collapsed="false">
      <c r="A388" s="48" t="s">
        <v>927</v>
      </c>
      <c r="B388" s="48" t="s">
        <v>414</v>
      </c>
      <c r="C388" s="48" t="s">
        <v>173</v>
      </c>
      <c r="D388" s="48" t="s">
        <v>193</v>
      </c>
      <c r="E388" s="48"/>
      <c r="F388" s="48" t="s">
        <v>227</v>
      </c>
      <c r="G388" s="49" t="n">
        <v>0.6</v>
      </c>
      <c r="H388" s="50" t="n">
        <f aca="false">MAX(0,IF(AND(Parameter!$B$21="Ja",ISNUMBER(Y388)),Y388,IF(Parameter!$B$20="Jahresanfang 2025 + Export",BR388+BQ388,BQ388)))</f>
        <v>414</v>
      </c>
      <c r="I388" s="50" t="n">
        <f aca="false">H388*G388</f>
        <v>248.4</v>
      </c>
      <c r="J388" s="50" t="n">
        <f aca="false">BT388*Parameter!$B$18</f>
        <v>605</v>
      </c>
      <c r="K388" s="51" t="n">
        <v>279</v>
      </c>
      <c r="L388" s="52" t="n">
        <v>2.16845878136201</v>
      </c>
      <c r="M388" s="50" t="n">
        <v>35</v>
      </c>
      <c r="N388" s="50" t="n">
        <v>500</v>
      </c>
      <c r="O388" s="53" t="n">
        <v>21</v>
      </c>
      <c r="P388" s="48" t="s">
        <v>337</v>
      </c>
      <c r="Q388" s="50" t="n">
        <v>620</v>
      </c>
      <c r="R388" s="53" t="n">
        <f aca="false">IF(BZ388=1,0,IFERROR(VLOOKUP(BX388,'Gebinde-Kategorie'!$A$5:$N$45,13,0)+0,0))</f>
        <v>52</v>
      </c>
      <c r="S388" s="54"/>
      <c r="T388" s="55"/>
      <c r="U388" s="55"/>
      <c r="V388" s="55"/>
      <c r="W388" s="48"/>
      <c r="X388" s="50"/>
      <c r="Y388" s="50"/>
      <c r="Z388" s="48" t="n">
        <f aca="false">IF(A388="","",IF(AND(Parameter!$B$21="Ja",ISNUMBER(W388)),W388,IF(CC388="2+3",IF(ISNUMBER(SEARCH("grosser Artikel",BU388)),2,IFERROR(VLOOKUP(BX388,Parameter!$F$35:$G$64,2,0),2)),IF(OR(CC388="Nein",CC388=""),"-",CC388))))</f>
        <v>3</v>
      </c>
      <c r="AA388" s="55"/>
      <c r="AB388" s="56"/>
      <c r="AC388" s="50" t="n">
        <f aca="false">AV388</f>
        <v>535</v>
      </c>
      <c r="AD388" s="50" t="n">
        <f aca="false">MAX(AV388,H388)</f>
        <v>535</v>
      </c>
      <c r="AE388" s="57"/>
      <c r="AF388" s="50" t="n">
        <f aca="false">IF(LEFT(Cockpit!$C$5,1)="A",H388,IF(Parameter!$E$30="MAX-Bestand",IF(CH388=1,CI388,IF(LEFT(Cockpit!$C$5,1)="B",AL388,MAX(AL388,H388))),ROUNDUP(AJ388,0)))</f>
        <v>414</v>
      </c>
      <c r="AG388" s="50" t="n">
        <f aca="false">IF(BZ388=1,0,ROUNDUP(AF388/BY388,0))</f>
        <v>1</v>
      </c>
      <c r="AH388" s="52" t="n">
        <f aca="false">IF(CQ388&gt;0,CQ388*MAX(1,AF388/X388),IF(BZ388=1,IF(AF388&lt;=0,0,CD388*MAX(1,IF(H388&gt;0,AF388/H388,1))),IF(R388&gt;0,AG388/R388,0))/MAX(0.1,N(Parameter!$M$21)))</f>
        <v>0.0192307692307692</v>
      </c>
      <c r="AI388" s="50" t="n">
        <f aca="false">AH388*CB388</f>
        <v>2.98076923076923</v>
      </c>
      <c r="AJ388" s="51" t="n">
        <f aca="false">IF(LEFT(Cockpit!$C$5,1)="A",H388,IF(CH388=1,(CK388+CI388)/2,IF(LEFT(Cockpit!$C$5,1)="B",(CK388+AL388)/2,MAX((CK388+AL388)/2,H388))))</f>
        <v>414</v>
      </c>
      <c r="AK388" s="50" t="n">
        <f aca="false">AJ388*G388</f>
        <v>248.4</v>
      </c>
      <c r="AL388" s="50" t="n">
        <f aca="false">ROUNDUP(CK388+MAX(CL388,2*(J388/IF(CG388&gt;0,CG388,MAX(0.1,N(Cockpit!$C$6)))-CK388)),0)</f>
        <v>535</v>
      </c>
      <c r="AM388" s="51" t="n">
        <f aca="false">IF(AI388&gt;0,J388/AI388,-1)</f>
        <v>202.967741935484</v>
      </c>
      <c r="AN388" s="51" t="n">
        <f aca="false">IF(AND(OR(CF388="L1",CF388="L23",CF388="LIFT"),AI388&gt;0),SUMIFS($AI$7:$AI$1843,$CF$7:$CF$1843,CF388,$AM$7:$AM$1843,"&gt;"&amp;AM388)+SUMIFS($AI$7:$AI$1843,$CF$7:$CF$1843,CF388,$AM$7:$AM$1843,AM388,$BW$7:$BW$1843,"&lt;="&amp;BW388),"")</f>
        <v>341.378205128205</v>
      </c>
      <c r="AO388" s="58" t="n">
        <f aca="false">IF(AN388="",0,MAX(0,MIN(1,(IF(CF388="L1",Parameter!$H$5,IF(CF388="L23",Parameter!$H$6+Parameter!$H$7,Parameter!$H$5+Parameter!$H$6+Parameter!$H$7))-(AN388-AI388))/AI388)))</f>
        <v>1</v>
      </c>
      <c r="AP388" s="50" t="n">
        <f aca="false">IF(LEFT(Cockpit!$I$5,1)="A",H388,IF(Parameter!$E$30="MAX-Bestand",IF(CH388=1,CI388,IF(LEFT(Cockpit!$I$5,1)="B",AV388,MAX(AV388,H388))),ROUNDUP(AT388,0)))</f>
        <v>414</v>
      </c>
      <c r="AQ388" s="50" t="n">
        <f aca="false">IF(BZ388=1,0,ROUNDUP(AP388/BY388,0))</f>
        <v>1</v>
      </c>
      <c r="AR388" s="52" t="n">
        <f aca="false">IF(CQ388&gt;0,CQ388*MAX(1,AP388/X388),IF(BZ388=1,IF(AP388&lt;=0,0,CD388*MAX(1,IF(H388&gt;0,AP388/H388,1))),IF(R388&gt;0,AQ388/R388,0))/MAX(0.1,N(Parameter!$M$21)))</f>
        <v>0.0192307692307692</v>
      </c>
      <c r="AS388" s="50" t="n">
        <f aca="false">AR388*CB388</f>
        <v>2.98076923076923</v>
      </c>
      <c r="AT388" s="51" t="n">
        <f aca="false">IF(LEFT(Cockpit!$I$5,1)="A",H388,IF(CH388=1,(CK388+CI388)/2,IF(LEFT(Cockpit!$I$5,1)="B",(CK388+AV388)/2,MAX((CK388+AV388)/2,H388))))</f>
        <v>414</v>
      </c>
      <c r="AU388" s="50" t="n">
        <f aca="false">AT388*G388</f>
        <v>248.4</v>
      </c>
      <c r="AV388" s="50" t="n">
        <f aca="false">ROUNDUP(CK388+MAX(CL388,2*(J388/IF(CG388&gt;0,CG388,MAX(0.1,N(Cockpit!$I$6)))-CK388)),0)</f>
        <v>535</v>
      </c>
      <c r="AW388" s="51" t="n">
        <f aca="false">IF(AS388&gt;0,J388/AS388,-1)</f>
        <v>202.967741935484</v>
      </c>
      <c r="AX388" s="51" t="n">
        <f aca="false">IF(AND(OR(CF388="L1",CF388="L23",CF388="LIFT"),AS388&gt;0),SUMIFS($AS$7:$AS$1843,$CF$7:$CF$1843,CF388,$AW$7:$AW$1843,"&gt;"&amp;AW388)+SUMIFS($AS$7:$AS$1843,$CF$7:$CF$1843,CF388,$AW$7:$AW$1843,AW388,$BW$7:$BW$1843,"&lt;="&amp;BW388),"")</f>
        <v>450.553571428571</v>
      </c>
      <c r="AY388" s="58" t="n">
        <f aca="false">IF(AX388="",0,MAX(0,MIN(1,(IF(CF388="L1",Parameter!$H$5,IF(CF388="L23",Parameter!$H$6+Parameter!$H$7,Parameter!$H$5+Parameter!$H$6+Parameter!$H$7))-(AX388-AS388))/AS388)))</f>
        <v>1</v>
      </c>
      <c r="AZ388" s="50" t="n">
        <f aca="false">IF(LEFT(Cockpit!$O$5,1)="A",H388,IF(Parameter!$E$30="MAX-Bestand",IF(CH388=1,CI388,IF(LEFT(Cockpit!$O$5,1)="B",BF388,MAX(BF388,H388))),ROUNDUP(BD388,0)))</f>
        <v>285</v>
      </c>
      <c r="BA388" s="50" t="n">
        <f aca="false">IF(BZ388=1,0,ROUNDUP(AZ388/BY388,0))</f>
        <v>1</v>
      </c>
      <c r="BB388" s="52" t="n">
        <f aca="false">IF(CQ388&gt;0,CQ388*MAX(1,AZ388/X388),IF(BZ388=1,IF(AZ388&lt;=0,0,CD388*MAX(1,IF(H388&gt;0,AZ388/H388,1))),IF(R388&gt;0,BA388/R388,0))/MAX(0.1,N(Parameter!$M$21)))</f>
        <v>0.0192307692307692</v>
      </c>
      <c r="BC388" s="50" t="n">
        <f aca="false">BB388*CB388</f>
        <v>2.98076923076923</v>
      </c>
      <c r="BD388" s="51" t="n">
        <f aca="false">IF(LEFT(Cockpit!$O$5,1)="A",H388,IF(CH388=1,(CK388+CI388)/2,IF(LEFT(Cockpit!$O$5,1)="B",(CK388+BF388)/2,MAX((CK388+BF388)/2,H388))))</f>
        <v>285</v>
      </c>
      <c r="BE388" s="50" t="n">
        <f aca="false">BD388*G388</f>
        <v>171</v>
      </c>
      <c r="BF388" s="50" t="n">
        <f aca="false">ROUNDUP(CK388+MAX(CL388,2*(J388/IF(CG388&gt;0,CG388,MAX(0.1,N(Cockpit!$O$6)))-CK388)),0)</f>
        <v>535</v>
      </c>
      <c r="BG388" s="51" t="n">
        <f aca="false">IF(BC388&gt;0,J388/BC388,-1)</f>
        <v>202.967741935484</v>
      </c>
      <c r="BH388" s="51" t="n">
        <f aca="false">IF(AND(OR(CF388="L1",CF388="L23",CF388="LIFT"),BC388&gt;0),SUMIFS($BC$7:$BC$1843,$CF$7:$CF$1843,CF388,$BG$7:$BG$1843,"&gt;"&amp;BG388)+SUMIFS($BC$7:$BC$1843,$CF$7:$CF$1843,CF388,$BG$7:$BG$1843,BG388,$BW$7:$BW$1843,"&lt;="&amp;BW388),"")</f>
        <v>450.311813186813</v>
      </c>
      <c r="BI388" s="58" t="n">
        <f aca="false">IF(BH388="",0,MAX(0,MIN(1,(IF(CF388="L1",Parameter!$H$5,IF(CF388="L23",Parameter!$H$6+Parameter!$H$7,Parameter!$H$5+Parameter!$H$6+Parameter!$H$7))-(BH388-BC388))/BC388)))</f>
        <v>1</v>
      </c>
      <c r="BJ388" s="48" t="str">
        <f aca="false">IF(AI388&lt;=0,"",IF(CF388="Aussen","Aussenlager",IF(CF388="-","Nicht im Lift",IF(AO388&gt;=1,"Lift",IF(AO388&lt;=0,"Aussenlager","teilweise")))))</f>
        <v>Lift</v>
      </c>
      <c r="BK388" s="48" t="str">
        <f aca="false">IF(AS388&lt;=0,"",IF(CF388="Aussen","Aussenlager",IF(CF388="-","Nicht im Lift",IF(AY388&gt;=1,"Lift",IF(AY388&lt;=0,"Aussenlager","teilweise")))))</f>
        <v>Lift</v>
      </c>
      <c r="BL388" s="48" t="str">
        <f aca="false">IF(BC388&lt;=0,"",IF(CF388="Aussen","Aussenlager",IF(CF388="-","Nicht im Lift",IF(BI388&gt;=1,"Lift",IF(BI388&lt;=0,"Aussenlager","teilweise")))))</f>
        <v>Lift</v>
      </c>
      <c r="BM388" s="48" t="str">
        <f aca="false">IF(A388="","",IF(BV388=1,"Neu; ","")&amp;IF(AND(BV388=0,BQ388&lt;0),"negativer Bestand (Export "&amp;BQ388&amp;"); ","")&amp;IF(J388&lt;=0,"Kein Verbrauch; ","")&amp;IF(CQ388&gt;0,"Lift "&amp;W388&amp;" lt. Liftbericht (Fach "&amp;X388&amp;" Stk); ",IF(CA388=1,"Gebinde geschätzt ("&amp;T388&amp;"); ",IF(BZ388=1,"Lose – Tablare geschätzt; ","")))&amp;IF(H388&gt;AV388,"Überbestand "&amp;ROUND(H388-AV388,0)&amp;" Stk / CHF "&amp;ROUND((H388-AV388)*G388,0)&amp;"; ","")&amp;IF(AND(CH388=1,CI388&lt;CJ388),"MAX &lt; MB+LG; ","")&amp;IF(AND(CP388&gt;0,CO388*10&gt;CP388),"zu hoch für Tablar; ","")&amp;IF(AND(BV388=0,OR(CH388=1,AA388&lt;&gt;"",U388&lt;&gt;"",V388&lt;&gt;"",AB388&lt;&gt;"")),"manuell übersteuert; ","")&amp;IF(AND(BZ388=0,R388=0),"Gebinde unbekannt / Stellmass fehlt; ","")&amp;IF(AND(BZ388=0,N(V388)&lt;=0,N(Q388)&lt;=0),"Menge pro Gebinde fehlt (Ist = 1 Gebinde); ","")&amp;BU388)</f>
        <v/>
      </c>
      <c r="BN388" s="48"/>
      <c r="BO388" s="48"/>
      <c r="BP388" s="55"/>
      <c r="BQ388" s="50" t="n">
        <v>210</v>
      </c>
      <c r="BR388" s="50" t="n">
        <v>204</v>
      </c>
      <c r="BS388" s="49" t="n">
        <v>128.04</v>
      </c>
      <c r="BT388" s="50" t="n">
        <v>605</v>
      </c>
      <c r="BU388" s="48"/>
      <c r="BV388" s="53" t="n">
        <v>0</v>
      </c>
      <c r="BW388" s="53" t="n">
        <v>388</v>
      </c>
      <c r="BX388" s="48" t="str">
        <f aca="false">IF(U388&lt;&gt;"",UPPER(TRIM(U388)),IF(CA388=1,UPPER(VLOOKUP(T388,Parameter!$I$27:$K$29,2,0)),IF(P388="","LOSE",P388)))</f>
        <v>S41</v>
      </c>
      <c r="BY388" s="50" t="n">
        <f aca="false">IF(BX388="LOSE",1,IF(N(V388)&gt;0,V388,IF(CA388=1,MAX(1,N(VLOOKUP(T388,Parameter!$I$27:$K$29,3,0)),H388,N(N388)),IF(N(Q388)&gt;0,Q388,MAX(1,H388)))))</f>
        <v>620</v>
      </c>
      <c r="BZ388" s="53" t="n">
        <f aca="false">IF(BX388="LOSE",1,0)</f>
        <v>0</v>
      </c>
      <c r="CA388" s="53" t="n">
        <f aca="false">IF(AND(U388="",OR(P388="",P388="LOSE"),T388&lt;&gt;"",N(S388)&lt;=0,ISNUMBER(MATCH(T388,Parameter!$I$27:$I$29,0))),1,0)</f>
        <v>0</v>
      </c>
      <c r="CB388" s="53" t="n">
        <f aca="false">IF(CQ388&gt;0,INDEX(Parameter!$H$5:$H$7,W388)/INDEX(Parameter!$E$5:$E$7,W388),IF(AND(BZ388=0,N(IFERROR(VLOOKUP(BX388,'Gebinde-Kategorie'!$A$5:$N$45,14,0),0))&gt;0),VLOOKUP(BX388,'Gebinde-Kategorie'!$A$5:$N$45,14,0)*10+Parameter!$M$23,Parameter!$M$24))</f>
        <v>155</v>
      </c>
      <c r="CC388" s="48" t="str">
        <f aca="false">IF(AND(Parameter!$B$19="Ja",E388&lt;&gt;"",ISNUMBER(MATCH(E388,Parameter!$I$35:$I$52,0))),VLOOKUP(E388,Parameter!$I$35:$J$52,2,0),IFERROR(VLOOKUP(D388,Parameter!$A$35:$C$64,2,0),"Nein"))</f>
        <v>2+3</v>
      </c>
      <c r="CD388" s="52" t="n">
        <f aca="false">IF(BZ388=0,0,IF(N(S388)&gt;0,S388,IFERROR(VLOOKUP(D388,Parameter!$A$35:$C$64,3,0)+0,0)))</f>
        <v>0</v>
      </c>
      <c r="CE388" s="48" t="n">
        <f aca="false">IF(AA388&lt;&gt;"",AA388,Z388)</f>
        <v>3</v>
      </c>
      <c r="CF388" s="48" t="str">
        <f aca="false">IF(OR(CE388=1,CE388=2,CE388=3),IF(Parameter!$E$27="Ja","LIFT",IF(CE388=1,"L1","L23")),IF(CE388="Aussen","Aussen","-"))</f>
        <v>LIFT</v>
      </c>
      <c r="CG388" s="59" t="n">
        <f aca="false">IF(N(AB388)&gt;0,AB388,0)</f>
        <v>0</v>
      </c>
      <c r="CH388" s="53" t="n">
        <f aca="false">IF(ISNUMBER(AE388),1,0)</f>
        <v>0</v>
      </c>
      <c r="CI388" s="50" t="n">
        <f aca="false">N(AE388)</f>
        <v>0</v>
      </c>
      <c r="CJ388" s="50" t="n">
        <f aca="false">N(M388)+N(N388)</f>
        <v>535</v>
      </c>
      <c r="CK388" s="50" t="n">
        <f aca="false">N(M388)</f>
        <v>35</v>
      </c>
      <c r="CL388" s="50" t="n">
        <f aca="false">N(N388)</f>
        <v>500</v>
      </c>
      <c r="CM388" s="50" t="n">
        <f aca="false">ROUNDUP(H388/BY388,0)</f>
        <v>1</v>
      </c>
      <c r="CN388" s="50" t="n">
        <f aca="false">ROUNDUP(CI388/BY388,0)</f>
        <v>0</v>
      </c>
      <c r="CO388" s="53" t="n">
        <f aca="false">IF(BZ388=1,0,IFERROR(VLOOKUP(BX388,'Gebinde-Kategorie'!$A$5:$N$45,5,0)+0,0))</f>
        <v>11</v>
      </c>
      <c r="CP388" s="53" t="n">
        <f aca="false">IFERROR(IF(OR(CE388=1,CE388=2,CE388=3),N(INDEX(Parameter!$I$5:$I$7,CE388)),0),0)</f>
        <v>0</v>
      </c>
      <c r="CQ388" s="52" t="n">
        <f aca="false">IF(AND(Parameter!$B$21="Ja",ISNUMBER(W388),N(X388)&gt;0),IFERROR(N(INDEX(Parameter!$L$5:$L$7,W388))*INDEX(Parameter!$E$5:$E$7,W388)*X388/SUMIFS($X$7:$X$1843,$W$7:$W$1843,W388),0),0)</f>
        <v>0</v>
      </c>
    </row>
    <row r="389" customFormat="false" ht="15" hidden="false" customHeight="false" outlineLevel="0" collapsed="false">
      <c r="A389" s="48" t="s">
        <v>928</v>
      </c>
      <c r="B389" s="48" t="s">
        <v>510</v>
      </c>
      <c r="C389" s="48" t="s">
        <v>173</v>
      </c>
      <c r="D389" s="48" t="s">
        <v>193</v>
      </c>
      <c r="E389" s="48" t="s">
        <v>194</v>
      </c>
      <c r="F389" s="48" t="s">
        <v>227</v>
      </c>
      <c r="G389" s="49" t="n">
        <v>8.3</v>
      </c>
      <c r="H389" s="50" t="n">
        <f aca="false">MAX(0,IF(AND(Parameter!$B$21="Ja",ISNUMBER(Y389)),Y389,IF(Parameter!$B$20="Jahresanfang 2025 + Export",BR389+BQ389,BQ389)))</f>
        <v>34</v>
      </c>
      <c r="I389" s="50" t="n">
        <f aca="false">H389*G389</f>
        <v>282.2</v>
      </c>
      <c r="J389" s="50" t="n">
        <f aca="false">BT389*Parameter!$B$18</f>
        <v>46</v>
      </c>
      <c r="K389" s="51" t="n">
        <v>14</v>
      </c>
      <c r="L389" s="52" t="n">
        <v>3.28571428571429</v>
      </c>
      <c r="M389" s="50" t="n">
        <v>3</v>
      </c>
      <c r="N389" s="50" t="n">
        <v>50</v>
      </c>
      <c r="O389" s="53" t="n">
        <v>28</v>
      </c>
      <c r="P389" s="48" t="s">
        <v>337</v>
      </c>
      <c r="Q389" s="50" t="n">
        <v>27</v>
      </c>
      <c r="R389" s="53" t="n">
        <f aca="false">IF(BZ389=1,0,IFERROR(VLOOKUP(BX389,'Gebinde-Kategorie'!$A$5:$N$45,13,0)+0,0))</f>
        <v>52</v>
      </c>
      <c r="S389" s="54"/>
      <c r="T389" s="55"/>
      <c r="U389" s="55"/>
      <c r="V389" s="55"/>
      <c r="W389" s="48"/>
      <c r="X389" s="50"/>
      <c r="Y389" s="50"/>
      <c r="Z389" s="48" t="n">
        <f aca="false">IF(A389="","",IF(AND(Parameter!$B$21="Ja",ISNUMBER(W389)),W389,IF(CC389="2+3",IF(ISNUMBER(SEARCH("grosser Artikel",BU389)),2,IFERROR(VLOOKUP(BX389,Parameter!$F$35:$G$64,2,0),2)),IF(OR(CC389="Nein",CC389=""),"-",CC389))))</f>
        <v>3</v>
      </c>
      <c r="AA389" s="55"/>
      <c r="AB389" s="56"/>
      <c r="AC389" s="50" t="n">
        <f aca="false">AV389</f>
        <v>53</v>
      </c>
      <c r="AD389" s="50" t="n">
        <f aca="false">MAX(AV389,H389)</f>
        <v>53</v>
      </c>
      <c r="AE389" s="57"/>
      <c r="AF389" s="50" t="n">
        <f aca="false">IF(LEFT(Cockpit!$C$5,1)="A",H389,IF(Parameter!$E$30="MAX-Bestand",IF(CH389=1,CI389,IF(LEFT(Cockpit!$C$5,1)="B",AL389,MAX(AL389,H389))),ROUNDUP(AJ389,0)))</f>
        <v>34</v>
      </c>
      <c r="AG389" s="50" t="n">
        <f aca="false">IF(BZ389=1,0,ROUNDUP(AF389/BY389,0))</f>
        <v>2</v>
      </c>
      <c r="AH389" s="52" t="n">
        <f aca="false">IF(CQ389&gt;0,CQ389*MAX(1,AF389/X389),IF(BZ389=1,IF(AF389&lt;=0,0,CD389*MAX(1,IF(H389&gt;0,AF389/H389,1))),IF(R389&gt;0,AG389/R389,0))/MAX(0.1,N(Parameter!$M$21)))</f>
        <v>0.0384615384615385</v>
      </c>
      <c r="AI389" s="50" t="n">
        <f aca="false">AH389*CB389</f>
        <v>5.96153846153846</v>
      </c>
      <c r="AJ389" s="51" t="n">
        <f aca="false">IF(LEFT(Cockpit!$C$5,1)="A",H389,IF(CH389=1,(CK389+CI389)/2,IF(LEFT(Cockpit!$C$5,1)="B",(CK389+AL389)/2,MAX((CK389+AL389)/2,H389))))</f>
        <v>34</v>
      </c>
      <c r="AK389" s="50" t="n">
        <f aca="false">AJ389*G389</f>
        <v>282.2</v>
      </c>
      <c r="AL389" s="50" t="n">
        <f aca="false">ROUNDUP(CK389+MAX(CL389,2*(J389/IF(CG389&gt;0,CG389,MAX(0.1,N(Cockpit!$C$6)))-CK389)),0)</f>
        <v>53</v>
      </c>
      <c r="AM389" s="51" t="n">
        <f aca="false">IF(AI389&gt;0,J389/AI389,-1)</f>
        <v>7.71612903225806</v>
      </c>
      <c r="AN389" s="51" t="n">
        <f aca="false">IF(AND(OR(CF389="L1",CF389="L23",CF389="LIFT"),AI389&gt;0),SUMIFS($AI$7:$AI$1843,$CF$7:$CF$1843,CF389,$AM$7:$AM$1843,"&gt;"&amp;AM389)+SUMIFS($AI$7:$AI$1843,$CF$7:$CF$1843,CF389,$AM$7:$AM$1843,AM389,$BW$7:$BW$1843,"&lt;="&amp;BW389),"")</f>
        <v>3116.07692307692</v>
      </c>
      <c r="AO389" s="58" t="n">
        <f aca="false">IF(AN389="",0,MAX(0,MIN(1,(IF(CF389="L1",Parameter!$H$5,IF(CF389="L23",Parameter!$H$6+Parameter!$H$7,Parameter!$H$5+Parameter!$H$6+Parameter!$H$7))-(AN389-AI389))/AI389)))</f>
        <v>1</v>
      </c>
      <c r="AP389" s="50" t="n">
        <f aca="false">IF(LEFT(Cockpit!$I$5,1)="A",H389,IF(Parameter!$E$30="MAX-Bestand",IF(CH389=1,CI389,IF(LEFT(Cockpit!$I$5,1)="B",AV389,MAX(AV389,H389))),ROUNDUP(AT389,0)))</f>
        <v>34</v>
      </c>
      <c r="AQ389" s="50" t="n">
        <f aca="false">IF(BZ389=1,0,ROUNDUP(AP389/BY389,0))</f>
        <v>2</v>
      </c>
      <c r="AR389" s="52" t="n">
        <f aca="false">IF(CQ389&gt;0,CQ389*MAX(1,AP389/X389),IF(BZ389=1,IF(AP389&lt;=0,0,CD389*MAX(1,IF(H389&gt;0,AP389/H389,1))),IF(R389&gt;0,AQ389/R389,0))/MAX(0.1,N(Parameter!$M$21)))</f>
        <v>0.0384615384615385</v>
      </c>
      <c r="AS389" s="50" t="n">
        <f aca="false">AR389*CB389</f>
        <v>5.96153846153846</v>
      </c>
      <c r="AT389" s="51" t="n">
        <f aca="false">IF(LEFT(Cockpit!$I$5,1)="A",H389,IF(CH389=1,(CK389+CI389)/2,IF(LEFT(Cockpit!$I$5,1)="B",(CK389+AV389)/2,MAX((CK389+AV389)/2,H389))))</f>
        <v>34</v>
      </c>
      <c r="AU389" s="50" t="n">
        <f aca="false">AT389*G389</f>
        <v>282.2</v>
      </c>
      <c r="AV389" s="50" t="n">
        <f aca="false">ROUNDUP(CK389+MAX(CL389,2*(J389/IF(CG389&gt;0,CG389,MAX(0.1,N(Cockpit!$I$6)))-CK389)),0)</f>
        <v>53</v>
      </c>
      <c r="AW389" s="51" t="n">
        <f aca="false">IF(AS389&gt;0,J389/AS389,-1)</f>
        <v>7.71612903225806</v>
      </c>
      <c r="AX389" s="51" t="n">
        <f aca="false">IF(AND(OR(CF389="L1",CF389="L23",CF389="LIFT"),AS389&gt;0),SUMIFS($AS$7:$AS$1843,$CF$7:$CF$1843,CF389,$AW$7:$AW$1843,"&gt;"&amp;AW389)+SUMIFS($AS$7:$AS$1843,$CF$7:$CF$1843,CF389,$AW$7:$AW$1843,AW389,$BW$7:$BW$1843,"&lt;="&amp;BW389),"")</f>
        <v>3740.13827838828</v>
      </c>
      <c r="AY389" s="58" t="n">
        <f aca="false">IF(AX389="",0,MAX(0,MIN(1,(IF(CF389="L1",Parameter!$H$5,IF(CF389="L23",Parameter!$H$6+Parameter!$H$7,Parameter!$H$5+Parameter!$H$6+Parameter!$H$7))-(AX389-AS389))/AS389)))</f>
        <v>1</v>
      </c>
      <c r="AZ389" s="50" t="n">
        <f aca="false">IF(LEFT(Cockpit!$O$5,1)="A",H389,IF(Parameter!$E$30="MAX-Bestand",IF(CH389=1,CI389,IF(LEFT(Cockpit!$O$5,1)="B",BF389,MAX(BF389,H389))),ROUNDUP(BD389,0)))</f>
        <v>28</v>
      </c>
      <c r="BA389" s="50" t="n">
        <f aca="false">IF(BZ389=1,0,ROUNDUP(AZ389/BY389,0))</f>
        <v>2</v>
      </c>
      <c r="BB389" s="52" t="n">
        <f aca="false">IF(CQ389&gt;0,CQ389*MAX(1,AZ389/X389),IF(BZ389=1,IF(AZ389&lt;=0,0,CD389*MAX(1,IF(H389&gt;0,AZ389/H389,1))),IF(R389&gt;0,BA389/R389,0))/MAX(0.1,N(Parameter!$M$21)))</f>
        <v>0.0384615384615385</v>
      </c>
      <c r="BC389" s="50" t="n">
        <f aca="false">BB389*CB389</f>
        <v>5.96153846153846</v>
      </c>
      <c r="BD389" s="51" t="n">
        <f aca="false">IF(LEFT(Cockpit!$O$5,1)="A",H389,IF(CH389=1,(CK389+CI389)/2,IF(LEFT(Cockpit!$O$5,1)="B",(CK389+BF389)/2,MAX((CK389+BF389)/2,H389))))</f>
        <v>28</v>
      </c>
      <c r="BE389" s="50" t="n">
        <f aca="false">BD389*G389</f>
        <v>232.4</v>
      </c>
      <c r="BF389" s="50" t="n">
        <f aca="false">ROUNDUP(CK389+MAX(CL389,2*(J389/IF(CG389&gt;0,CG389,MAX(0.1,N(Cockpit!$O$6)))-CK389)),0)</f>
        <v>53</v>
      </c>
      <c r="BG389" s="51" t="n">
        <f aca="false">IF(BC389&gt;0,J389/BC389,-1)</f>
        <v>7.71612903225806</v>
      </c>
      <c r="BH389" s="51" t="n">
        <f aca="false">IF(AND(OR(CF389="L1",CF389="L23",CF389="LIFT"),BC389&gt;0),SUMIFS($BC$7:$BC$1843,$CF$7:$CF$1843,CF389,$BG$7:$BG$1843,"&gt;"&amp;BG389)+SUMIFS($BC$7:$BC$1843,$CF$7:$CF$1843,CF389,$BG$7:$BG$1843,BG389,$BW$7:$BW$1843,"&lt;="&amp;BW389),"")</f>
        <v>3159.00778388278</v>
      </c>
      <c r="BI389" s="58" t="n">
        <f aca="false">IF(BH389="",0,MAX(0,MIN(1,(IF(CF389="L1",Parameter!$H$5,IF(CF389="L23",Parameter!$H$6+Parameter!$H$7,Parameter!$H$5+Parameter!$H$6+Parameter!$H$7))-(BH389-BC389))/BC389)))</f>
        <v>1</v>
      </c>
      <c r="BJ389" s="48" t="str">
        <f aca="false">IF(AI389&lt;=0,"",IF(CF389="Aussen","Aussenlager",IF(CF389="-","Nicht im Lift",IF(AO389&gt;=1,"Lift",IF(AO389&lt;=0,"Aussenlager","teilweise")))))</f>
        <v>Lift</v>
      </c>
      <c r="BK389" s="48" t="str">
        <f aca="false">IF(AS389&lt;=0,"",IF(CF389="Aussen","Aussenlager",IF(CF389="-","Nicht im Lift",IF(AY389&gt;=1,"Lift",IF(AY389&lt;=0,"Aussenlager","teilweise")))))</f>
        <v>Lift</v>
      </c>
      <c r="BL389" s="48" t="str">
        <f aca="false">IF(BC389&lt;=0,"",IF(CF389="Aussen","Aussenlager",IF(CF389="-","Nicht im Lift",IF(BI389&gt;=1,"Lift",IF(BI389&lt;=0,"Aussenlager","teilweise")))))</f>
        <v>Lift</v>
      </c>
      <c r="BM389" s="48" t="str">
        <f aca="false">IF(A389="","",IF(BV389=1,"Neu; ","")&amp;IF(AND(BV389=0,BQ389&lt;0),"negativer Bestand (Export "&amp;BQ389&amp;"); ","")&amp;IF(J389&lt;=0,"Kein Verbrauch; ","")&amp;IF(CQ389&gt;0,"Lift "&amp;W389&amp;" lt. Liftbericht (Fach "&amp;X389&amp;" Stk); ",IF(CA389=1,"Gebinde geschätzt ("&amp;T389&amp;"); ",IF(BZ389=1,"Lose – Tablare geschätzt; ","")))&amp;IF(H389&gt;AV389,"Überbestand "&amp;ROUND(H389-AV389,0)&amp;" Stk / CHF "&amp;ROUND((H389-AV389)*G389,0)&amp;"; ","")&amp;IF(AND(CH389=1,CI389&lt;CJ389),"MAX &lt; MB+LG; ","")&amp;IF(AND(CP389&gt;0,CO389*10&gt;CP389),"zu hoch für Tablar; ","")&amp;IF(AND(BV389=0,OR(CH389=1,AA389&lt;&gt;"",U389&lt;&gt;"",V389&lt;&gt;"",AB389&lt;&gt;"")),"manuell übersteuert; ","")&amp;IF(AND(BZ389=0,R389=0),"Gebinde unbekannt / Stellmass fehlt; ","")&amp;IF(AND(BZ389=0,N(V389)&lt;=0,N(Q389)&lt;=0),"Menge pro Gebinde fehlt (Ist = 1 Gebinde); ","")&amp;BU389)</f>
        <v/>
      </c>
      <c r="BN389" s="48"/>
      <c r="BO389" s="48"/>
      <c r="BP389" s="55"/>
      <c r="BQ389" s="50" t="n">
        <v>22</v>
      </c>
      <c r="BR389" s="50" t="n">
        <v>12</v>
      </c>
      <c r="BS389" s="49" t="n">
        <v>127.28</v>
      </c>
      <c r="BT389" s="50" t="n">
        <v>46</v>
      </c>
      <c r="BU389" s="48"/>
      <c r="BV389" s="53" t="n">
        <v>0</v>
      </c>
      <c r="BW389" s="53" t="n">
        <v>389</v>
      </c>
      <c r="BX389" s="48" t="str">
        <f aca="false">IF(U389&lt;&gt;"",UPPER(TRIM(U389)),IF(CA389=1,UPPER(VLOOKUP(T389,Parameter!$I$27:$K$29,2,0)),IF(P389="","LOSE",P389)))</f>
        <v>S41</v>
      </c>
      <c r="BY389" s="50" t="n">
        <f aca="false">IF(BX389="LOSE",1,IF(N(V389)&gt;0,V389,IF(CA389=1,MAX(1,N(VLOOKUP(T389,Parameter!$I$27:$K$29,3,0)),H389,N(N389)),IF(N(Q389)&gt;0,Q389,MAX(1,H389)))))</f>
        <v>27</v>
      </c>
      <c r="BZ389" s="53" t="n">
        <f aca="false">IF(BX389="LOSE",1,0)</f>
        <v>0</v>
      </c>
      <c r="CA389" s="53" t="n">
        <f aca="false">IF(AND(U389="",OR(P389="",P389="LOSE"),T389&lt;&gt;"",N(S389)&lt;=0,ISNUMBER(MATCH(T389,Parameter!$I$27:$I$29,0))),1,0)</f>
        <v>0</v>
      </c>
      <c r="CB389" s="53" t="n">
        <f aca="false">IF(CQ389&gt;0,INDEX(Parameter!$H$5:$H$7,W389)/INDEX(Parameter!$E$5:$E$7,W389),IF(AND(BZ389=0,N(IFERROR(VLOOKUP(BX389,'Gebinde-Kategorie'!$A$5:$N$45,14,0),0))&gt;0),VLOOKUP(BX389,'Gebinde-Kategorie'!$A$5:$N$45,14,0)*10+Parameter!$M$23,Parameter!$M$24))</f>
        <v>155</v>
      </c>
      <c r="CC389" s="48" t="str">
        <f aca="false">IF(AND(Parameter!$B$19="Ja",E389&lt;&gt;"",ISNUMBER(MATCH(E389,Parameter!$I$35:$I$52,0))),VLOOKUP(E389,Parameter!$I$35:$J$52,2,0),IFERROR(VLOOKUP(D389,Parameter!$A$35:$C$64,2,0),"Nein"))</f>
        <v>2+3</v>
      </c>
      <c r="CD389" s="52" t="n">
        <f aca="false">IF(BZ389=0,0,IF(N(S389)&gt;0,S389,IFERROR(VLOOKUP(D389,Parameter!$A$35:$C$64,3,0)+0,0)))</f>
        <v>0</v>
      </c>
      <c r="CE389" s="48" t="n">
        <f aca="false">IF(AA389&lt;&gt;"",AA389,Z389)</f>
        <v>3</v>
      </c>
      <c r="CF389" s="48" t="str">
        <f aca="false">IF(OR(CE389=1,CE389=2,CE389=3),IF(Parameter!$E$27="Ja","LIFT",IF(CE389=1,"L1","L23")),IF(CE389="Aussen","Aussen","-"))</f>
        <v>LIFT</v>
      </c>
      <c r="CG389" s="59" t="n">
        <f aca="false">IF(N(AB389)&gt;0,AB389,0)</f>
        <v>0</v>
      </c>
      <c r="CH389" s="53" t="n">
        <f aca="false">IF(ISNUMBER(AE389),1,0)</f>
        <v>0</v>
      </c>
      <c r="CI389" s="50" t="n">
        <f aca="false">N(AE389)</f>
        <v>0</v>
      </c>
      <c r="CJ389" s="50" t="n">
        <f aca="false">N(M389)+N(N389)</f>
        <v>53</v>
      </c>
      <c r="CK389" s="50" t="n">
        <f aca="false">N(M389)</f>
        <v>3</v>
      </c>
      <c r="CL389" s="50" t="n">
        <f aca="false">N(N389)</f>
        <v>50</v>
      </c>
      <c r="CM389" s="50" t="n">
        <f aca="false">ROUNDUP(H389/BY389,0)</f>
        <v>2</v>
      </c>
      <c r="CN389" s="50" t="n">
        <f aca="false">ROUNDUP(CI389/BY389,0)</f>
        <v>0</v>
      </c>
      <c r="CO389" s="53" t="n">
        <f aca="false">IF(BZ389=1,0,IFERROR(VLOOKUP(BX389,'Gebinde-Kategorie'!$A$5:$N$45,5,0)+0,0))</f>
        <v>11</v>
      </c>
      <c r="CP389" s="53" t="n">
        <f aca="false">IFERROR(IF(OR(CE389=1,CE389=2,CE389=3),N(INDEX(Parameter!$I$5:$I$7,CE389)),0),0)</f>
        <v>0</v>
      </c>
      <c r="CQ389" s="52" t="n">
        <f aca="false">IF(AND(Parameter!$B$21="Ja",ISNUMBER(W389),N(X389)&gt;0),IFERROR(N(INDEX(Parameter!$L$5:$L$7,W389))*INDEX(Parameter!$E$5:$E$7,W389)*X389/SUMIFS($X$7:$X$1843,$W$7:$W$1843,W389),0),0)</f>
        <v>0</v>
      </c>
    </row>
    <row r="390" customFormat="false" ht="15" hidden="false" customHeight="false" outlineLevel="0" collapsed="false">
      <c r="A390" s="48" t="s">
        <v>929</v>
      </c>
      <c r="B390" s="48" t="s">
        <v>930</v>
      </c>
      <c r="C390" s="48" t="s">
        <v>173</v>
      </c>
      <c r="D390" s="48" t="s">
        <v>193</v>
      </c>
      <c r="E390" s="48" t="s">
        <v>194</v>
      </c>
      <c r="F390" s="48" t="s">
        <v>227</v>
      </c>
      <c r="G390" s="49" t="n">
        <v>3.81</v>
      </c>
      <c r="H390" s="50" t="n">
        <f aca="false">MAX(0,IF(AND(Parameter!$B$21="Ja",ISNUMBER(Y390)),Y390,IF(Parameter!$B$20="Jahresanfang 2025 + Export",BR390+BQ390,BQ390)))</f>
        <v>66</v>
      </c>
      <c r="I390" s="50" t="n">
        <f aca="false">H390*G390</f>
        <v>251.46</v>
      </c>
      <c r="J390" s="50" t="n">
        <f aca="false">BT390*Parameter!$B$18</f>
        <v>29</v>
      </c>
      <c r="K390" s="51" t="n">
        <v>74.5</v>
      </c>
      <c r="L390" s="52" t="n">
        <v>0.389261744966443</v>
      </c>
      <c r="M390" s="50" t="n">
        <v>2</v>
      </c>
      <c r="N390" s="50" t="n">
        <v>100</v>
      </c>
      <c r="O390" s="53" t="n">
        <v>28</v>
      </c>
      <c r="P390" s="48" t="s">
        <v>337</v>
      </c>
      <c r="Q390" s="50" t="n">
        <v>128</v>
      </c>
      <c r="R390" s="53" t="n">
        <f aca="false">IF(BZ390=1,0,IFERROR(VLOOKUP(BX390,'Gebinde-Kategorie'!$A$5:$N$45,13,0)+0,0))</f>
        <v>52</v>
      </c>
      <c r="S390" s="54"/>
      <c r="T390" s="55"/>
      <c r="U390" s="55"/>
      <c r="V390" s="55"/>
      <c r="W390" s="48"/>
      <c r="X390" s="50"/>
      <c r="Y390" s="50"/>
      <c r="Z390" s="48" t="n">
        <f aca="false">IF(A390="","",IF(AND(Parameter!$B$21="Ja",ISNUMBER(W390)),W390,IF(CC390="2+3",IF(ISNUMBER(SEARCH("grosser Artikel",BU390)),2,IFERROR(VLOOKUP(BX390,Parameter!$F$35:$G$64,2,0),2)),IF(OR(CC390="Nein",CC390=""),"-",CC390))))</f>
        <v>3</v>
      </c>
      <c r="AA390" s="55"/>
      <c r="AB390" s="56"/>
      <c r="AC390" s="50" t="n">
        <f aca="false">AV390</f>
        <v>102</v>
      </c>
      <c r="AD390" s="50" t="n">
        <f aca="false">MAX(AV390,H390)</f>
        <v>102</v>
      </c>
      <c r="AE390" s="57"/>
      <c r="AF390" s="50" t="n">
        <f aca="false">IF(LEFT(Cockpit!$C$5,1)="A",H390,IF(Parameter!$E$30="MAX-Bestand",IF(CH390=1,CI390,IF(LEFT(Cockpit!$C$5,1)="B",AL390,MAX(AL390,H390))),ROUNDUP(AJ390,0)))</f>
        <v>66</v>
      </c>
      <c r="AG390" s="50" t="n">
        <f aca="false">IF(BZ390=1,0,ROUNDUP(AF390/BY390,0))</f>
        <v>1</v>
      </c>
      <c r="AH390" s="52" t="n">
        <f aca="false">IF(CQ390&gt;0,CQ390*MAX(1,AF390/X390),IF(BZ390=1,IF(AF390&lt;=0,0,CD390*MAX(1,IF(H390&gt;0,AF390/H390,1))),IF(R390&gt;0,AG390/R390,0))/MAX(0.1,N(Parameter!$M$21)))</f>
        <v>0.0192307692307692</v>
      </c>
      <c r="AI390" s="50" t="n">
        <f aca="false">AH390*CB390</f>
        <v>2.98076923076923</v>
      </c>
      <c r="AJ390" s="51" t="n">
        <f aca="false">IF(LEFT(Cockpit!$C$5,1)="A",H390,IF(CH390=1,(CK390+CI390)/2,IF(LEFT(Cockpit!$C$5,1)="B",(CK390+AL390)/2,MAX((CK390+AL390)/2,H390))))</f>
        <v>66</v>
      </c>
      <c r="AK390" s="50" t="n">
        <f aca="false">AJ390*G390</f>
        <v>251.46</v>
      </c>
      <c r="AL390" s="50" t="n">
        <f aca="false">ROUNDUP(CK390+MAX(CL390,2*(J390/IF(CG390&gt;0,CG390,MAX(0.1,N(Cockpit!$C$6)))-CK390)),0)</f>
        <v>102</v>
      </c>
      <c r="AM390" s="51" t="n">
        <f aca="false">IF(AI390&gt;0,J390/AI390,-1)</f>
        <v>9.72903225806452</v>
      </c>
      <c r="AN390" s="51" t="n">
        <f aca="false">IF(AND(OR(CF390="L1",CF390="L23",CF390="LIFT"),AI390&gt;0),SUMIFS($AI$7:$AI$1843,$CF$7:$CF$1843,CF390,$AM$7:$AM$1843,"&gt;"&amp;AM390)+SUMIFS($AI$7:$AI$1843,$CF$7:$CF$1843,CF390,$AM$7:$AM$1843,AM390,$BW$7:$BW$1843,"&lt;="&amp;BW390),"")</f>
        <v>2894.23305860806</v>
      </c>
      <c r="AO390" s="58" t="n">
        <f aca="false">IF(AN390="",0,MAX(0,MIN(1,(IF(CF390="L1",Parameter!$H$5,IF(CF390="L23",Parameter!$H$6+Parameter!$H$7,Parameter!$H$5+Parameter!$H$6+Parameter!$H$7))-(AN390-AI390))/AI390)))</f>
        <v>1</v>
      </c>
      <c r="AP390" s="50" t="n">
        <f aca="false">IF(LEFT(Cockpit!$I$5,1)="A",H390,IF(Parameter!$E$30="MAX-Bestand",IF(CH390=1,CI390,IF(LEFT(Cockpit!$I$5,1)="B",AV390,MAX(AV390,H390))),ROUNDUP(AT390,0)))</f>
        <v>66</v>
      </c>
      <c r="AQ390" s="50" t="n">
        <f aca="false">IF(BZ390=1,0,ROUNDUP(AP390/BY390,0))</f>
        <v>1</v>
      </c>
      <c r="AR390" s="52" t="n">
        <f aca="false">IF(CQ390&gt;0,CQ390*MAX(1,AP390/X390),IF(BZ390=1,IF(AP390&lt;=0,0,CD390*MAX(1,IF(H390&gt;0,AP390/H390,1))),IF(R390&gt;0,AQ390/R390,0))/MAX(0.1,N(Parameter!$M$21)))</f>
        <v>0.0192307692307692</v>
      </c>
      <c r="AS390" s="50" t="n">
        <f aca="false">AR390*CB390</f>
        <v>2.98076923076923</v>
      </c>
      <c r="AT390" s="51" t="n">
        <f aca="false">IF(LEFT(Cockpit!$I$5,1)="A",H390,IF(CH390=1,(CK390+CI390)/2,IF(LEFT(Cockpit!$I$5,1)="B",(CK390+AV390)/2,MAX((CK390+AV390)/2,H390))))</f>
        <v>66</v>
      </c>
      <c r="AU390" s="50" t="n">
        <f aca="false">AT390*G390</f>
        <v>251.46</v>
      </c>
      <c r="AV390" s="50" t="n">
        <f aca="false">ROUNDUP(CK390+MAX(CL390,2*(J390/IF(CG390&gt;0,CG390,MAX(0.1,N(Cockpit!$I$6)))-CK390)),0)</f>
        <v>102</v>
      </c>
      <c r="AW390" s="51" t="n">
        <f aca="false">IF(AS390&gt;0,J390/AS390,-1)</f>
        <v>9.72903225806452</v>
      </c>
      <c r="AX390" s="51" t="n">
        <f aca="false">IF(AND(OR(CF390="L1",CF390="L23",CF390="LIFT"),AS390&gt;0),SUMIFS($AS$7:$AS$1843,$CF$7:$CF$1843,CF390,$AW$7:$AW$1843,"&gt;"&amp;AW390)+SUMIFS($AS$7:$AS$1843,$CF$7:$CF$1843,CF390,$AW$7:$AW$1843,AW390,$BW$7:$BW$1843,"&lt;="&amp;BW390),"")</f>
        <v>3509.22115384615</v>
      </c>
      <c r="AY390" s="58" t="n">
        <f aca="false">IF(AX390="",0,MAX(0,MIN(1,(IF(CF390="L1",Parameter!$H$5,IF(CF390="L23",Parameter!$H$6+Parameter!$H$7,Parameter!$H$5+Parameter!$H$6+Parameter!$H$7))-(AX390-AS390))/AS390)))</f>
        <v>1</v>
      </c>
      <c r="AZ390" s="50" t="n">
        <f aca="false">IF(LEFT(Cockpit!$O$5,1)="A",H390,IF(Parameter!$E$30="MAX-Bestand",IF(CH390=1,CI390,IF(LEFT(Cockpit!$O$5,1)="B",BF390,MAX(BF390,H390))),ROUNDUP(BD390,0)))</f>
        <v>52</v>
      </c>
      <c r="BA390" s="50" t="n">
        <f aca="false">IF(BZ390=1,0,ROUNDUP(AZ390/BY390,0))</f>
        <v>1</v>
      </c>
      <c r="BB390" s="52" t="n">
        <f aca="false">IF(CQ390&gt;0,CQ390*MAX(1,AZ390/X390),IF(BZ390=1,IF(AZ390&lt;=0,0,CD390*MAX(1,IF(H390&gt;0,AZ390/H390,1))),IF(R390&gt;0,BA390/R390,0))/MAX(0.1,N(Parameter!$M$21)))</f>
        <v>0.0192307692307692</v>
      </c>
      <c r="BC390" s="50" t="n">
        <f aca="false">BB390*CB390</f>
        <v>2.98076923076923</v>
      </c>
      <c r="BD390" s="51" t="n">
        <f aca="false">IF(LEFT(Cockpit!$O$5,1)="A",H390,IF(CH390=1,(CK390+CI390)/2,IF(LEFT(Cockpit!$O$5,1)="B",(CK390+BF390)/2,MAX((CK390+BF390)/2,H390))))</f>
        <v>52</v>
      </c>
      <c r="BE390" s="50" t="n">
        <f aca="false">BD390*G390</f>
        <v>198.12</v>
      </c>
      <c r="BF390" s="50" t="n">
        <f aca="false">ROUNDUP(CK390+MAX(CL390,2*(J390/IF(CG390&gt;0,CG390,MAX(0.1,N(Cockpit!$O$6)))-CK390)),0)</f>
        <v>102</v>
      </c>
      <c r="BG390" s="51" t="n">
        <f aca="false">IF(BC390&gt;0,J390/BC390,-1)</f>
        <v>9.72903225806452</v>
      </c>
      <c r="BH390" s="51" t="n">
        <f aca="false">IF(AND(OR(CF390="L1",CF390="L23",CF390="LIFT"),BC390&gt;0),SUMIFS($BC$7:$BC$1843,$CF$7:$CF$1843,CF390,$BG$7:$BG$1843,"&gt;"&amp;BG390)+SUMIFS($BC$7:$BC$1843,$CF$7:$CF$1843,CF390,$BG$7:$BG$1843,BG390,$BW$7:$BW$1843,"&lt;="&amp;BW390),"")</f>
        <v>2714.71474358974</v>
      </c>
      <c r="BI390" s="58" t="n">
        <f aca="false">IF(BH390="",0,MAX(0,MIN(1,(IF(CF390="L1",Parameter!$H$5,IF(CF390="L23",Parameter!$H$6+Parameter!$H$7,Parameter!$H$5+Parameter!$H$6+Parameter!$H$7))-(BH390-BC390))/BC390)))</f>
        <v>1</v>
      </c>
      <c r="BJ390" s="48" t="str">
        <f aca="false">IF(AI390&lt;=0,"",IF(CF390="Aussen","Aussenlager",IF(CF390="-","Nicht im Lift",IF(AO390&gt;=1,"Lift",IF(AO390&lt;=0,"Aussenlager","teilweise")))))</f>
        <v>Lift</v>
      </c>
      <c r="BK390" s="48" t="str">
        <f aca="false">IF(AS390&lt;=0,"",IF(CF390="Aussen","Aussenlager",IF(CF390="-","Nicht im Lift",IF(AY390&gt;=1,"Lift",IF(AY390&lt;=0,"Aussenlager","teilweise")))))</f>
        <v>Lift</v>
      </c>
      <c r="BL390" s="48" t="str">
        <f aca="false">IF(BC390&lt;=0,"",IF(CF390="Aussen","Aussenlager",IF(CF390="-","Nicht im Lift",IF(BI390&gt;=1,"Lift",IF(BI390&lt;=0,"Aussenlager","teilweise")))))</f>
        <v>Lift</v>
      </c>
      <c r="BM390" s="48" t="str">
        <f aca="false">IF(A390="","",IF(BV390=1,"Neu; ","")&amp;IF(AND(BV390=0,BQ390&lt;0),"negativer Bestand (Export "&amp;BQ390&amp;"); ","")&amp;IF(J390&lt;=0,"Kein Verbrauch; ","")&amp;IF(CQ390&gt;0,"Lift "&amp;W390&amp;" lt. Liftbericht (Fach "&amp;X390&amp;" Stk); ",IF(CA390=1,"Gebinde geschätzt ("&amp;T390&amp;"); ",IF(BZ390=1,"Lose – Tablare geschätzt; ","")))&amp;IF(H390&gt;AV390,"Überbestand "&amp;ROUND(H390-AV390,0)&amp;" Stk / CHF "&amp;ROUND((H390-AV390)*G390,0)&amp;"; ","")&amp;IF(AND(CH390=1,CI390&lt;CJ390),"MAX &lt; MB+LG; ","")&amp;IF(AND(CP390&gt;0,CO390*10&gt;CP390),"zu hoch für Tablar; ","")&amp;IF(AND(BV390=0,OR(CH390=1,AA390&lt;&gt;"",U390&lt;&gt;"",V390&lt;&gt;"",AB390&lt;&gt;"")),"manuell übersteuert; ","")&amp;IF(AND(BZ390=0,R390=0),"Gebinde unbekannt / Stellmass fehlt; ","")&amp;IF(AND(BZ390=0,N(V390)&lt;=0,N(Q390)&lt;=0),"Menge pro Gebinde fehlt (Ist = 1 Gebinde); ","")&amp;BU390)</f>
        <v/>
      </c>
      <c r="BN390" s="48"/>
      <c r="BO390" s="48"/>
      <c r="BP390" s="55"/>
      <c r="BQ390" s="50" t="n">
        <v>32</v>
      </c>
      <c r="BR390" s="50" t="n">
        <v>34</v>
      </c>
      <c r="BS390" s="49" t="n">
        <v>122.94</v>
      </c>
      <c r="BT390" s="50" t="n">
        <v>29</v>
      </c>
      <c r="BU390" s="48"/>
      <c r="BV390" s="53" t="n">
        <v>0</v>
      </c>
      <c r="BW390" s="53" t="n">
        <v>390</v>
      </c>
      <c r="BX390" s="48" t="str">
        <f aca="false">IF(U390&lt;&gt;"",UPPER(TRIM(U390)),IF(CA390=1,UPPER(VLOOKUP(T390,Parameter!$I$27:$K$29,2,0)),IF(P390="","LOSE",P390)))</f>
        <v>S41</v>
      </c>
      <c r="BY390" s="50" t="n">
        <f aca="false">IF(BX390="LOSE",1,IF(N(V390)&gt;0,V390,IF(CA390=1,MAX(1,N(VLOOKUP(T390,Parameter!$I$27:$K$29,3,0)),H390,N(N390)),IF(N(Q390)&gt;0,Q390,MAX(1,H390)))))</f>
        <v>128</v>
      </c>
      <c r="BZ390" s="53" t="n">
        <f aca="false">IF(BX390="LOSE",1,0)</f>
        <v>0</v>
      </c>
      <c r="CA390" s="53" t="n">
        <f aca="false">IF(AND(U390="",OR(P390="",P390="LOSE"),T390&lt;&gt;"",N(S390)&lt;=0,ISNUMBER(MATCH(T390,Parameter!$I$27:$I$29,0))),1,0)</f>
        <v>0</v>
      </c>
      <c r="CB390" s="53" t="n">
        <f aca="false">IF(CQ390&gt;0,INDEX(Parameter!$H$5:$H$7,W390)/INDEX(Parameter!$E$5:$E$7,W390),IF(AND(BZ390=0,N(IFERROR(VLOOKUP(BX390,'Gebinde-Kategorie'!$A$5:$N$45,14,0),0))&gt;0),VLOOKUP(BX390,'Gebinde-Kategorie'!$A$5:$N$45,14,0)*10+Parameter!$M$23,Parameter!$M$24))</f>
        <v>155</v>
      </c>
      <c r="CC390" s="48" t="str">
        <f aca="false">IF(AND(Parameter!$B$19="Ja",E390&lt;&gt;"",ISNUMBER(MATCH(E390,Parameter!$I$35:$I$52,0))),VLOOKUP(E390,Parameter!$I$35:$J$52,2,0),IFERROR(VLOOKUP(D390,Parameter!$A$35:$C$64,2,0),"Nein"))</f>
        <v>2+3</v>
      </c>
      <c r="CD390" s="52" t="n">
        <f aca="false">IF(BZ390=0,0,IF(N(S390)&gt;0,S390,IFERROR(VLOOKUP(D390,Parameter!$A$35:$C$64,3,0)+0,0)))</f>
        <v>0</v>
      </c>
      <c r="CE390" s="48" t="n">
        <f aca="false">IF(AA390&lt;&gt;"",AA390,Z390)</f>
        <v>3</v>
      </c>
      <c r="CF390" s="48" t="str">
        <f aca="false">IF(OR(CE390=1,CE390=2,CE390=3),IF(Parameter!$E$27="Ja","LIFT",IF(CE390=1,"L1","L23")),IF(CE390="Aussen","Aussen","-"))</f>
        <v>LIFT</v>
      </c>
      <c r="CG390" s="59" t="n">
        <f aca="false">IF(N(AB390)&gt;0,AB390,0)</f>
        <v>0</v>
      </c>
      <c r="CH390" s="53" t="n">
        <f aca="false">IF(ISNUMBER(AE390),1,0)</f>
        <v>0</v>
      </c>
      <c r="CI390" s="50" t="n">
        <f aca="false">N(AE390)</f>
        <v>0</v>
      </c>
      <c r="CJ390" s="50" t="n">
        <f aca="false">N(M390)+N(N390)</f>
        <v>102</v>
      </c>
      <c r="CK390" s="50" t="n">
        <f aca="false">N(M390)</f>
        <v>2</v>
      </c>
      <c r="CL390" s="50" t="n">
        <f aca="false">N(N390)</f>
        <v>100</v>
      </c>
      <c r="CM390" s="50" t="n">
        <f aca="false">ROUNDUP(H390/BY390,0)</f>
        <v>1</v>
      </c>
      <c r="CN390" s="50" t="n">
        <f aca="false">ROUNDUP(CI390/BY390,0)</f>
        <v>0</v>
      </c>
      <c r="CO390" s="53" t="n">
        <f aca="false">IF(BZ390=1,0,IFERROR(VLOOKUP(BX390,'Gebinde-Kategorie'!$A$5:$N$45,5,0)+0,0))</f>
        <v>11</v>
      </c>
      <c r="CP390" s="53" t="n">
        <f aca="false">IFERROR(IF(OR(CE390=1,CE390=2,CE390=3),N(INDEX(Parameter!$I$5:$I$7,CE390)),0),0)</f>
        <v>0</v>
      </c>
      <c r="CQ390" s="52" t="n">
        <f aca="false">IF(AND(Parameter!$B$21="Ja",ISNUMBER(W390),N(X390)&gt;0),IFERROR(N(INDEX(Parameter!$L$5:$L$7,W390))*INDEX(Parameter!$E$5:$E$7,W390)*X390/SUMIFS($X$7:$X$1843,$W$7:$W$1843,W390),0),0)</f>
        <v>0</v>
      </c>
    </row>
    <row r="391" customFormat="false" ht="15" hidden="false" customHeight="false" outlineLevel="0" collapsed="false">
      <c r="A391" s="48" t="s">
        <v>931</v>
      </c>
      <c r="B391" s="48" t="s">
        <v>932</v>
      </c>
      <c r="C391" s="48" t="s">
        <v>173</v>
      </c>
      <c r="D391" s="48" t="s">
        <v>193</v>
      </c>
      <c r="E391" s="48" t="s">
        <v>194</v>
      </c>
      <c r="F391" s="48" t="s">
        <v>227</v>
      </c>
      <c r="G391" s="49" t="n">
        <v>203.54</v>
      </c>
      <c r="H391" s="50" t="n">
        <f aca="false">MAX(0,IF(AND(Parameter!$B$21="Ja",ISNUMBER(Y391)),Y391,IF(Parameter!$B$20="Jahresanfang 2025 + Export",BR391+BQ391,BQ391)))</f>
        <v>8</v>
      </c>
      <c r="I391" s="50" t="n">
        <f aca="false">H391*G391</f>
        <v>1628.32</v>
      </c>
      <c r="J391" s="50" t="n">
        <f aca="false">BT391*Parameter!$B$18</f>
        <v>2</v>
      </c>
      <c r="K391" s="51" t="n">
        <v>8</v>
      </c>
      <c r="L391" s="52" t="n">
        <v>0.25</v>
      </c>
      <c r="M391" s="50" t="n">
        <v>0</v>
      </c>
      <c r="N391" s="50" t="n">
        <v>1</v>
      </c>
      <c r="O391" s="53" t="n">
        <v>14</v>
      </c>
      <c r="P391" s="48" t="s">
        <v>242</v>
      </c>
      <c r="Q391" s="50" t="n">
        <v>14</v>
      </c>
      <c r="R391" s="53" t="n">
        <f aca="false">IF(BZ391=1,0,IFERROR(VLOOKUP(BX391,'Gebinde-Kategorie'!$A$5:$N$45,13,0)+0,0))</f>
        <v>26</v>
      </c>
      <c r="S391" s="54"/>
      <c r="T391" s="55"/>
      <c r="U391" s="55"/>
      <c r="V391" s="55"/>
      <c r="W391" s="48"/>
      <c r="X391" s="50"/>
      <c r="Y391" s="50"/>
      <c r="Z391" s="48" t="n">
        <f aca="false">IF(A391="","",IF(AND(Parameter!$B$21="Ja",ISNUMBER(W391)),W391,IF(CC391="2+3",IF(ISNUMBER(SEARCH("grosser Artikel",BU391)),2,IFERROR(VLOOKUP(BX391,Parameter!$F$35:$G$64,2,0),2)),IF(OR(CC391="Nein",CC391=""),"-",CC391))))</f>
        <v>3</v>
      </c>
      <c r="AA391" s="55"/>
      <c r="AB391" s="56"/>
      <c r="AC391" s="50" t="n">
        <f aca="false">AV391</f>
        <v>2</v>
      </c>
      <c r="AD391" s="50" t="n">
        <f aca="false">MAX(AV391,H391)</f>
        <v>8</v>
      </c>
      <c r="AE391" s="57"/>
      <c r="AF391" s="50" t="n">
        <f aca="false">IF(LEFT(Cockpit!$C$5,1)="A",H391,IF(Parameter!$E$30="MAX-Bestand",IF(CH391=1,CI391,IF(LEFT(Cockpit!$C$5,1)="B",AL391,MAX(AL391,H391))),ROUNDUP(AJ391,0)))</f>
        <v>8</v>
      </c>
      <c r="AG391" s="50" t="n">
        <f aca="false">IF(BZ391=1,0,ROUNDUP(AF391/BY391,0))</f>
        <v>1</v>
      </c>
      <c r="AH391" s="52" t="n">
        <f aca="false">IF(CQ391&gt;0,CQ391*MAX(1,AF391/X391),IF(BZ391=1,IF(AF391&lt;=0,0,CD391*MAX(1,IF(H391&gt;0,AF391/H391,1))),IF(R391&gt;0,AG391/R391,0))/MAX(0.1,N(Parameter!$M$21)))</f>
        <v>0.0384615384615385</v>
      </c>
      <c r="AI391" s="50" t="n">
        <f aca="false">AH391*CB391</f>
        <v>9.42307692307692</v>
      </c>
      <c r="AJ391" s="51" t="n">
        <f aca="false">IF(LEFT(Cockpit!$C$5,1)="A",H391,IF(CH391=1,(CK391+CI391)/2,IF(LEFT(Cockpit!$C$5,1)="B",(CK391+AL391)/2,MAX((CK391+AL391)/2,H391))))</f>
        <v>8</v>
      </c>
      <c r="AK391" s="50" t="n">
        <f aca="false">AJ391*G391</f>
        <v>1628.32</v>
      </c>
      <c r="AL391" s="50" t="n">
        <f aca="false">ROUNDUP(CK391+MAX(CL391,2*(J391/IF(CG391&gt;0,CG391,MAX(0.1,N(Cockpit!$C$6)))-CK391)),0)</f>
        <v>2</v>
      </c>
      <c r="AM391" s="51" t="n">
        <f aca="false">IF(AI391&gt;0,J391/AI391,-1)</f>
        <v>0.212244897959184</v>
      </c>
      <c r="AN391" s="51" t="n">
        <f aca="false">IF(AND(OR(CF391="L1",CF391="L23",CF391="LIFT"),AI391&gt;0),SUMIFS($AI$7:$AI$1843,$CF$7:$CF$1843,CF391,$AM$7:$AM$1843,"&gt;"&amp;AM391)+SUMIFS($AI$7:$AI$1843,$CF$7:$CF$1843,CF391,$AM$7:$AM$1843,AM391,$BW$7:$BW$1843,"&lt;="&amp;BW391),"")</f>
        <v>12364.124746487</v>
      </c>
      <c r="AO391" s="58" t="n">
        <f aca="false">IF(AN391="",0,MAX(0,MIN(1,(IF(CF391="L1",Parameter!$H$5,IF(CF391="L23",Parameter!$H$6+Parameter!$H$7,Parameter!$H$5+Parameter!$H$6+Parameter!$H$7))-(AN391-AI391))/AI391)))</f>
        <v>1</v>
      </c>
      <c r="AP391" s="50" t="n">
        <f aca="false">IF(LEFT(Cockpit!$I$5,1)="A",H391,IF(Parameter!$E$30="MAX-Bestand",IF(CH391=1,CI391,IF(LEFT(Cockpit!$I$5,1)="B",AV391,MAX(AV391,H391))),ROUNDUP(AT391,0)))</f>
        <v>8</v>
      </c>
      <c r="AQ391" s="50" t="n">
        <f aca="false">IF(BZ391=1,0,ROUNDUP(AP391/BY391,0))</f>
        <v>1</v>
      </c>
      <c r="AR391" s="52" t="n">
        <f aca="false">IF(CQ391&gt;0,CQ391*MAX(1,AP391/X391),IF(BZ391=1,IF(AP391&lt;=0,0,CD391*MAX(1,IF(H391&gt;0,AP391/H391,1))),IF(R391&gt;0,AQ391/R391,0))/MAX(0.1,N(Parameter!$M$21)))</f>
        <v>0.0384615384615385</v>
      </c>
      <c r="AS391" s="50" t="n">
        <f aca="false">AR391*CB391</f>
        <v>9.42307692307692</v>
      </c>
      <c r="AT391" s="51" t="n">
        <f aca="false">IF(LEFT(Cockpit!$I$5,1)="A",H391,IF(CH391=1,(CK391+CI391)/2,IF(LEFT(Cockpit!$I$5,1)="B",(CK391+AV391)/2,MAX((CK391+AV391)/2,H391))))</f>
        <v>8</v>
      </c>
      <c r="AU391" s="50" t="n">
        <f aca="false">AT391*G391</f>
        <v>1628.32</v>
      </c>
      <c r="AV391" s="50" t="n">
        <f aca="false">ROUNDUP(CK391+MAX(CL391,2*(J391/IF(CG391&gt;0,CG391,MAX(0.1,N(Cockpit!$I$6)))-CK391)),0)</f>
        <v>2</v>
      </c>
      <c r="AW391" s="51" t="n">
        <f aca="false">IF(AS391&gt;0,J391/AS391,-1)</f>
        <v>0.212244897959184</v>
      </c>
      <c r="AX391" s="51" t="n">
        <f aca="false">IF(AND(OR(CF391="L1",CF391="L23",CF391="LIFT"),AS391&gt;0),SUMIFS($AS$7:$AS$1843,$CF$7:$CF$1843,CF391,$AW$7:$AW$1843,"&gt;"&amp;AW391)+SUMIFS($AS$7:$AS$1843,$CF$7:$CF$1843,CF391,$AW$7:$AW$1843,AW391,$BW$7:$BW$1843,"&lt;="&amp;BW391),"")</f>
        <v>15193.3823260073</v>
      </c>
      <c r="AY391" s="58" t="n">
        <f aca="false">IF(AX391="",0,MAX(0,MIN(1,(IF(CF391="L1",Parameter!$H$5,IF(CF391="L23",Parameter!$H$6+Parameter!$H$7,Parameter!$H$5+Parameter!$H$6+Parameter!$H$7))-(AX391-AS391))/AS391)))</f>
        <v>1</v>
      </c>
      <c r="AZ391" s="50" t="n">
        <f aca="false">IF(LEFT(Cockpit!$O$5,1)="A",H391,IF(Parameter!$E$30="MAX-Bestand",IF(CH391=1,CI391,IF(LEFT(Cockpit!$O$5,1)="B",BF391,MAX(BF391,H391))),ROUNDUP(BD391,0)))</f>
        <v>1</v>
      </c>
      <c r="BA391" s="50" t="n">
        <f aca="false">IF(BZ391=1,0,ROUNDUP(AZ391/BY391,0))</f>
        <v>1</v>
      </c>
      <c r="BB391" s="52" t="n">
        <f aca="false">IF(CQ391&gt;0,CQ391*MAX(1,AZ391/X391),IF(BZ391=1,IF(AZ391&lt;=0,0,CD391*MAX(1,IF(H391&gt;0,AZ391/H391,1))),IF(R391&gt;0,BA391/R391,0))/MAX(0.1,N(Parameter!$M$21)))</f>
        <v>0.0384615384615385</v>
      </c>
      <c r="BC391" s="50" t="n">
        <f aca="false">BB391*CB391</f>
        <v>9.42307692307692</v>
      </c>
      <c r="BD391" s="51" t="n">
        <f aca="false">IF(LEFT(Cockpit!$O$5,1)="A",H391,IF(CH391=1,(CK391+CI391)/2,IF(LEFT(Cockpit!$O$5,1)="B",(CK391+BF391)/2,MAX((CK391+BF391)/2,H391))))</f>
        <v>0.5</v>
      </c>
      <c r="BE391" s="50" t="n">
        <f aca="false">BD391*G391</f>
        <v>101.77</v>
      </c>
      <c r="BF391" s="50" t="n">
        <f aca="false">ROUNDUP(CK391+MAX(CL391,2*(J391/IF(CG391&gt;0,CG391,MAX(0.1,N(Cockpit!$O$6)))-CK391)),0)</f>
        <v>1</v>
      </c>
      <c r="BG391" s="51" t="n">
        <f aca="false">IF(BC391&gt;0,J391/BC391,-1)</f>
        <v>0.212244897959184</v>
      </c>
      <c r="BH391" s="51" t="n">
        <f aca="false">IF(AND(OR(CF391="L1",CF391="L23",CF391="LIFT"),BC391&gt;0),SUMIFS($BC$7:$BC$1843,$CF$7:$CF$1843,CF391,$BG$7:$BG$1843,"&gt;"&amp;BG391)+SUMIFS($BC$7:$BC$1843,$CF$7:$CF$1843,CF391,$BG$7:$BG$1843,BG391,$BW$7:$BW$1843,"&lt;="&amp;BW391),"")</f>
        <v>12335.6671245421</v>
      </c>
      <c r="BI391" s="58" t="n">
        <f aca="false">IF(BH391="",0,MAX(0,MIN(1,(IF(CF391="L1",Parameter!$H$5,IF(CF391="L23",Parameter!$H$6+Parameter!$H$7,Parameter!$H$5+Parameter!$H$6+Parameter!$H$7))-(BH391-BC391))/BC391)))</f>
        <v>1</v>
      </c>
      <c r="BJ391" s="48" t="str">
        <f aca="false">IF(AI391&lt;=0,"",IF(CF391="Aussen","Aussenlager",IF(CF391="-","Nicht im Lift",IF(AO391&gt;=1,"Lift",IF(AO391&lt;=0,"Aussenlager","teilweise")))))</f>
        <v>Lift</v>
      </c>
      <c r="BK391" s="48" t="str">
        <f aca="false">IF(AS391&lt;=0,"",IF(CF391="Aussen","Aussenlager",IF(CF391="-","Nicht im Lift",IF(AY391&gt;=1,"Lift",IF(AY391&lt;=0,"Aussenlager","teilweise")))))</f>
        <v>Lift</v>
      </c>
      <c r="BL391" s="48" t="str">
        <f aca="false">IF(BC391&lt;=0,"",IF(CF391="Aussen","Aussenlager",IF(CF391="-","Nicht im Lift",IF(BI391&gt;=1,"Lift",IF(BI391&lt;=0,"Aussenlager","teilweise")))))</f>
        <v>Lift</v>
      </c>
      <c r="BM391" s="48" t="str">
        <f aca="false">IF(A391="","",IF(BV391=1,"Neu; ","")&amp;IF(AND(BV391=0,BQ391&lt;0),"negativer Bestand (Export "&amp;BQ391&amp;"); ","")&amp;IF(J391&lt;=0,"Kein Verbrauch; ","")&amp;IF(CQ391&gt;0,"Lift "&amp;W391&amp;" lt. Liftbericht (Fach "&amp;X391&amp;" Stk); ",IF(CA391=1,"Gebinde geschätzt ("&amp;T391&amp;"); ",IF(BZ391=1,"Lose – Tablare geschätzt; ","")))&amp;IF(H391&gt;AV391,"Überbestand "&amp;ROUND(H391-AV391,0)&amp;" Stk / CHF "&amp;ROUND((H391-AV391)*G391,0)&amp;"; ","")&amp;IF(AND(CH391=1,CI391&lt;CJ391),"MAX &lt; MB+LG; ","")&amp;IF(AND(CP391&gt;0,CO391*10&gt;CP391),"zu hoch für Tablar; ","")&amp;IF(AND(BV391=0,OR(CH391=1,AA391&lt;&gt;"",U391&lt;&gt;"",V391&lt;&gt;"",AB391&lt;&gt;"")),"manuell übersteuert; ","")&amp;IF(AND(BZ391=0,R391=0),"Gebinde unbekannt / Stellmass fehlt; ","")&amp;IF(AND(BZ391=0,N(V391)&lt;=0,N(Q391)&lt;=0),"Menge pro Gebinde fehlt (Ist = 1 Gebinde); ","")&amp;BU391)</f>
        <v>Überbestand 6 Stk / CHF 1221; </v>
      </c>
      <c r="BN391" s="48"/>
      <c r="BO391" s="48"/>
      <c r="BP391" s="55"/>
      <c r="BQ391" s="50" t="n">
        <v>0</v>
      </c>
      <c r="BR391" s="50" t="n">
        <v>8</v>
      </c>
      <c r="BS391" s="49" t="n">
        <v>122.72</v>
      </c>
      <c r="BT391" s="50" t="n">
        <v>2</v>
      </c>
      <c r="BU391" s="48"/>
      <c r="BV391" s="53" t="n">
        <v>0</v>
      </c>
      <c r="BW391" s="53" t="n">
        <v>391</v>
      </c>
      <c r="BX391" s="48" t="str">
        <f aca="false">IF(U391&lt;&gt;"",UPPER(TRIM(U391)),IF(CA391=1,UPPER(VLOOKUP(T391,Parameter!$I$27:$K$29,2,0)),IF(P391="","LOSE",P391)))</f>
        <v>S52</v>
      </c>
      <c r="BY391" s="50" t="n">
        <f aca="false">IF(BX391="LOSE",1,IF(N(V391)&gt;0,V391,IF(CA391=1,MAX(1,N(VLOOKUP(T391,Parameter!$I$27:$K$29,3,0)),H391,N(N391)),IF(N(Q391)&gt;0,Q391,MAX(1,H391)))))</f>
        <v>14</v>
      </c>
      <c r="BZ391" s="53" t="n">
        <f aca="false">IF(BX391="LOSE",1,0)</f>
        <v>0</v>
      </c>
      <c r="CA391" s="53" t="n">
        <f aca="false">IF(AND(U391="",OR(P391="",P391="LOSE"),T391&lt;&gt;"",N(S391)&lt;=0,ISNUMBER(MATCH(T391,Parameter!$I$27:$I$29,0))),1,0)</f>
        <v>0</v>
      </c>
      <c r="CB391" s="53" t="n">
        <f aca="false">IF(CQ391&gt;0,INDEX(Parameter!$H$5:$H$7,W391)/INDEX(Parameter!$E$5:$E$7,W391),IF(AND(BZ391=0,N(IFERROR(VLOOKUP(BX391,'Gebinde-Kategorie'!$A$5:$N$45,14,0),0))&gt;0),VLOOKUP(BX391,'Gebinde-Kategorie'!$A$5:$N$45,14,0)*10+Parameter!$M$23,Parameter!$M$24))</f>
        <v>245</v>
      </c>
      <c r="CC391" s="48" t="str">
        <f aca="false">IF(AND(Parameter!$B$19="Ja",E391&lt;&gt;"",ISNUMBER(MATCH(E391,Parameter!$I$35:$I$52,0))),VLOOKUP(E391,Parameter!$I$35:$J$52,2,0),IFERROR(VLOOKUP(D391,Parameter!$A$35:$C$64,2,0),"Nein"))</f>
        <v>2+3</v>
      </c>
      <c r="CD391" s="52" t="n">
        <f aca="false">IF(BZ391=0,0,IF(N(S391)&gt;0,S391,IFERROR(VLOOKUP(D391,Parameter!$A$35:$C$64,3,0)+0,0)))</f>
        <v>0</v>
      </c>
      <c r="CE391" s="48" t="n">
        <f aca="false">IF(AA391&lt;&gt;"",AA391,Z391)</f>
        <v>3</v>
      </c>
      <c r="CF391" s="48" t="str">
        <f aca="false">IF(OR(CE391=1,CE391=2,CE391=3),IF(Parameter!$E$27="Ja","LIFT",IF(CE391=1,"L1","L23")),IF(CE391="Aussen","Aussen","-"))</f>
        <v>LIFT</v>
      </c>
      <c r="CG391" s="59" t="n">
        <f aca="false">IF(N(AB391)&gt;0,AB391,0)</f>
        <v>0</v>
      </c>
      <c r="CH391" s="53" t="n">
        <f aca="false">IF(ISNUMBER(AE391),1,0)</f>
        <v>0</v>
      </c>
      <c r="CI391" s="50" t="n">
        <f aca="false">N(AE391)</f>
        <v>0</v>
      </c>
      <c r="CJ391" s="50" t="n">
        <f aca="false">N(M391)+N(N391)</f>
        <v>1</v>
      </c>
      <c r="CK391" s="50" t="n">
        <f aca="false">N(M391)</f>
        <v>0</v>
      </c>
      <c r="CL391" s="50" t="n">
        <f aca="false">N(N391)</f>
        <v>1</v>
      </c>
      <c r="CM391" s="50" t="n">
        <f aca="false">ROUNDUP(H391/BY391,0)</f>
        <v>1</v>
      </c>
      <c r="CN391" s="50" t="n">
        <f aca="false">ROUNDUP(CI391/BY391,0)</f>
        <v>0</v>
      </c>
      <c r="CO391" s="53" t="n">
        <f aca="false">IF(BZ391=1,0,IFERROR(VLOOKUP(BX391,'Gebinde-Kategorie'!$A$5:$N$45,5,0)+0,0))</f>
        <v>21</v>
      </c>
      <c r="CP391" s="53" t="n">
        <f aca="false">IFERROR(IF(OR(CE391=1,CE391=2,CE391=3),N(INDEX(Parameter!$I$5:$I$7,CE391)),0),0)</f>
        <v>0</v>
      </c>
      <c r="CQ391" s="52" t="n">
        <f aca="false">IF(AND(Parameter!$B$21="Ja",ISNUMBER(W391),N(X391)&gt;0),IFERROR(N(INDEX(Parameter!$L$5:$L$7,W391))*INDEX(Parameter!$E$5:$E$7,W391)*X391/SUMIFS($X$7:$X$1843,$W$7:$W$1843,W391),0),0)</f>
        <v>0</v>
      </c>
    </row>
    <row r="392" customFormat="false" ht="15" hidden="false" customHeight="false" outlineLevel="0" collapsed="false">
      <c r="A392" s="48" t="s">
        <v>933</v>
      </c>
      <c r="B392" s="48" t="s">
        <v>670</v>
      </c>
      <c r="C392" s="48" t="s">
        <v>173</v>
      </c>
      <c r="D392" s="48" t="s">
        <v>193</v>
      </c>
      <c r="E392" s="48" t="s">
        <v>194</v>
      </c>
      <c r="F392" s="48" t="s">
        <v>227</v>
      </c>
      <c r="G392" s="49" t="n">
        <v>5.28</v>
      </c>
      <c r="H392" s="50" t="n">
        <f aca="false">MAX(0,IF(AND(Parameter!$B$21="Ja",ISNUMBER(Y392)),Y392,IF(Parameter!$B$20="Jahresanfang 2025 + Export",BR392+BQ392,BQ392)))</f>
        <v>150</v>
      </c>
      <c r="I392" s="50" t="n">
        <f aca="false">H392*G392</f>
        <v>792</v>
      </c>
      <c r="J392" s="50" t="n">
        <f aca="false">BT392*Parameter!$B$18</f>
        <v>585</v>
      </c>
      <c r="K392" s="51" t="n">
        <v>130.5</v>
      </c>
      <c r="L392" s="52" t="n">
        <v>4.48275862068966</v>
      </c>
      <c r="M392" s="50" t="n">
        <v>15</v>
      </c>
      <c r="N392" s="50" t="n">
        <v>200</v>
      </c>
      <c r="O392" s="53" t="n">
        <v>7</v>
      </c>
      <c r="P392" s="48" t="s">
        <v>430</v>
      </c>
      <c r="Q392" s="50" t="n">
        <v>231</v>
      </c>
      <c r="R392" s="53" t="n">
        <f aca="false">IF(BZ392=1,0,IFERROR(VLOOKUP(BX392,'Gebinde-Kategorie'!$A$5:$N$45,13,0)+0,0))</f>
        <v>104</v>
      </c>
      <c r="S392" s="54"/>
      <c r="T392" s="55"/>
      <c r="U392" s="55"/>
      <c r="V392" s="55"/>
      <c r="W392" s="48"/>
      <c r="X392" s="50"/>
      <c r="Y392" s="50"/>
      <c r="Z392" s="48" t="n">
        <f aca="false">IF(A392="","",IF(AND(Parameter!$B$21="Ja",ISNUMBER(W392)),W392,IF(CC392="2+3",IF(ISNUMBER(SEARCH("grosser Artikel",BU392)),2,IFERROR(VLOOKUP(BX392,Parameter!$F$35:$G$64,2,0),2)),IF(OR(CC392="Nein",CC392=""),"-",CC392))))</f>
        <v>3</v>
      </c>
      <c r="AA392" s="55"/>
      <c r="AB392" s="56"/>
      <c r="AC392" s="50" t="n">
        <f aca="false">AV392</f>
        <v>375</v>
      </c>
      <c r="AD392" s="50" t="n">
        <f aca="false">MAX(AV392,H392)</f>
        <v>375</v>
      </c>
      <c r="AE392" s="57"/>
      <c r="AF392" s="50" t="n">
        <f aca="false">IF(LEFT(Cockpit!$C$5,1)="A",H392,IF(Parameter!$E$30="MAX-Bestand",IF(CH392=1,CI392,IF(LEFT(Cockpit!$C$5,1)="B",AL392,MAX(AL392,H392))),ROUNDUP(AJ392,0)))</f>
        <v>150</v>
      </c>
      <c r="AG392" s="50" t="n">
        <f aca="false">IF(BZ392=1,0,ROUNDUP(AF392/BY392,0))</f>
        <v>1</v>
      </c>
      <c r="AH392" s="52" t="n">
        <f aca="false">IF(CQ392&gt;0,CQ392*MAX(1,AF392/X392),IF(BZ392=1,IF(AF392&lt;=0,0,CD392*MAX(1,IF(H392&gt;0,AF392/H392,1))),IF(R392&gt;0,AG392/R392,0))/MAX(0.1,N(Parameter!$M$21)))</f>
        <v>0.00961538461538462</v>
      </c>
      <c r="AI392" s="50" t="n">
        <f aca="false">AH392*CB392</f>
        <v>1.49038461538462</v>
      </c>
      <c r="AJ392" s="51" t="n">
        <f aca="false">IF(LEFT(Cockpit!$C$5,1)="A",H392,IF(CH392=1,(CK392+CI392)/2,IF(LEFT(Cockpit!$C$5,1)="B",(CK392+AL392)/2,MAX((CK392+AL392)/2,H392))))</f>
        <v>150</v>
      </c>
      <c r="AK392" s="50" t="n">
        <f aca="false">AJ392*G392</f>
        <v>792</v>
      </c>
      <c r="AL392" s="50" t="n">
        <f aca="false">ROUNDUP(CK392+MAX(CL392,2*(J392/IF(CG392&gt;0,CG392,MAX(0.1,N(Cockpit!$C$6)))-CK392)),0)</f>
        <v>375</v>
      </c>
      <c r="AM392" s="51" t="n">
        <f aca="false">IF(AI392&gt;0,J392/AI392,-1)</f>
        <v>392.516129032258</v>
      </c>
      <c r="AN392" s="51" t="n">
        <f aca="false">IF(AND(OR(CF392="L1",CF392="L23",CF392="LIFT"),AI392&gt;0),SUMIFS($AI$7:$AI$1843,$CF$7:$CF$1843,CF392,$AM$7:$AM$1843,"&gt;"&amp;AM392)+SUMIFS($AI$7:$AI$1843,$CF$7:$CF$1843,CF392,$AM$7:$AM$1843,AM392,$BW$7:$BW$1843,"&lt;="&amp;BW392),"")</f>
        <v>179.570970695971</v>
      </c>
      <c r="AO392" s="58" t="n">
        <f aca="false">IF(AN392="",0,MAX(0,MIN(1,(IF(CF392="L1",Parameter!$H$5,IF(CF392="L23",Parameter!$H$6+Parameter!$H$7,Parameter!$H$5+Parameter!$H$6+Parameter!$H$7))-(AN392-AI392))/AI392)))</f>
        <v>1</v>
      </c>
      <c r="AP392" s="50" t="n">
        <f aca="false">IF(LEFT(Cockpit!$I$5,1)="A",H392,IF(Parameter!$E$30="MAX-Bestand",IF(CH392=1,CI392,IF(LEFT(Cockpit!$I$5,1)="B",AV392,MAX(AV392,H392))),ROUNDUP(AT392,0)))</f>
        <v>195</v>
      </c>
      <c r="AQ392" s="50" t="n">
        <f aca="false">IF(BZ392=1,0,ROUNDUP(AP392/BY392,0))</f>
        <v>1</v>
      </c>
      <c r="AR392" s="52" t="n">
        <f aca="false">IF(CQ392&gt;0,CQ392*MAX(1,AP392/X392),IF(BZ392=1,IF(AP392&lt;=0,0,CD392*MAX(1,IF(H392&gt;0,AP392/H392,1))),IF(R392&gt;0,AQ392/R392,0))/MAX(0.1,N(Parameter!$M$21)))</f>
        <v>0.00961538461538462</v>
      </c>
      <c r="AS392" s="50" t="n">
        <f aca="false">AR392*CB392</f>
        <v>1.49038461538462</v>
      </c>
      <c r="AT392" s="51" t="n">
        <f aca="false">IF(LEFT(Cockpit!$I$5,1)="A",H392,IF(CH392=1,(CK392+CI392)/2,IF(LEFT(Cockpit!$I$5,1)="B",(CK392+AV392)/2,MAX((CK392+AV392)/2,H392))))</f>
        <v>195</v>
      </c>
      <c r="AU392" s="50" t="n">
        <f aca="false">AT392*G392</f>
        <v>1029.6</v>
      </c>
      <c r="AV392" s="50" t="n">
        <f aca="false">ROUNDUP(CK392+MAX(CL392,2*(J392/IF(CG392&gt;0,CG392,MAX(0.1,N(Cockpit!$I$6)))-CK392)),0)</f>
        <v>375</v>
      </c>
      <c r="AW392" s="51" t="n">
        <f aca="false">IF(AS392&gt;0,J392/AS392,-1)</f>
        <v>392.516129032258</v>
      </c>
      <c r="AX392" s="51" t="n">
        <f aca="false">IF(AND(OR(CF392="L1",CF392="L23",CF392="LIFT"),AS392&gt;0),SUMIFS($AS$7:$AS$1843,$CF$7:$CF$1843,CF392,$AW$7:$AW$1843,"&gt;"&amp;AW392)+SUMIFS($AS$7:$AS$1843,$CF$7:$CF$1843,CF392,$AW$7:$AW$1843,AW392,$BW$7:$BW$1843,"&lt;="&amp;BW392),"")</f>
        <v>113.787087912088</v>
      </c>
      <c r="AY392" s="58" t="n">
        <f aca="false">IF(AX392="",0,MAX(0,MIN(1,(IF(CF392="L1",Parameter!$H$5,IF(CF392="L23",Parameter!$H$6+Parameter!$H$7,Parameter!$H$5+Parameter!$H$6+Parameter!$H$7))-(AX392-AS392))/AS392)))</f>
        <v>1</v>
      </c>
      <c r="AZ392" s="50" t="n">
        <f aca="false">IF(LEFT(Cockpit!$O$5,1)="A",H392,IF(Parameter!$E$30="MAX-Bestand",IF(CH392=1,CI392,IF(LEFT(Cockpit!$O$5,1)="B",BF392,MAX(BF392,H392))),ROUNDUP(BD392,0)))</f>
        <v>147</v>
      </c>
      <c r="BA392" s="50" t="n">
        <f aca="false">IF(BZ392=1,0,ROUNDUP(AZ392/BY392,0))</f>
        <v>1</v>
      </c>
      <c r="BB392" s="52" t="n">
        <f aca="false">IF(CQ392&gt;0,CQ392*MAX(1,AZ392/X392),IF(BZ392=1,IF(AZ392&lt;=0,0,CD392*MAX(1,IF(H392&gt;0,AZ392/H392,1))),IF(R392&gt;0,BA392/R392,0))/MAX(0.1,N(Parameter!$M$21)))</f>
        <v>0.00961538461538462</v>
      </c>
      <c r="BC392" s="50" t="n">
        <f aca="false">BB392*CB392</f>
        <v>1.49038461538462</v>
      </c>
      <c r="BD392" s="51" t="n">
        <f aca="false">IF(LEFT(Cockpit!$O$5,1)="A",H392,IF(CH392=1,(CK392+CI392)/2,IF(LEFT(Cockpit!$O$5,1)="B",(CK392+BF392)/2,MAX((CK392+BF392)/2,H392))))</f>
        <v>146.5</v>
      </c>
      <c r="BE392" s="50" t="n">
        <f aca="false">BD392*G392</f>
        <v>773.52</v>
      </c>
      <c r="BF392" s="50" t="n">
        <f aca="false">ROUNDUP(CK392+MAX(CL392,2*(J392/IF(CG392&gt;0,CG392,MAX(0.1,N(Cockpit!$O$6)))-CK392)),0)</f>
        <v>278</v>
      </c>
      <c r="BG392" s="51" t="n">
        <f aca="false">IF(BC392&gt;0,J392/BC392,-1)</f>
        <v>392.516129032258</v>
      </c>
      <c r="BH392" s="51" t="n">
        <f aca="false">IF(AND(OR(CF392="L1",CF392="L23",CF392="LIFT"),BC392&gt;0),SUMIFS($BC$7:$BC$1843,$CF$7:$CF$1843,CF392,$BG$7:$BG$1843,"&gt;"&amp;BG392)+SUMIFS($BC$7:$BC$1843,$CF$7:$CF$1843,CF392,$BG$7:$BG$1843,BG392,$BW$7:$BW$1843,"&lt;="&amp;BW392),"")</f>
        <v>183.019230769231</v>
      </c>
      <c r="BI392" s="58" t="n">
        <f aca="false">IF(BH392="",0,MAX(0,MIN(1,(IF(CF392="L1",Parameter!$H$5,IF(CF392="L23",Parameter!$H$6+Parameter!$H$7,Parameter!$H$5+Parameter!$H$6+Parameter!$H$7))-(BH392-BC392))/BC392)))</f>
        <v>1</v>
      </c>
      <c r="BJ392" s="48" t="str">
        <f aca="false">IF(AI392&lt;=0,"",IF(CF392="Aussen","Aussenlager",IF(CF392="-","Nicht im Lift",IF(AO392&gt;=1,"Lift",IF(AO392&lt;=0,"Aussenlager","teilweise")))))</f>
        <v>Lift</v>
      </c>
      <c r="BK392" s="48" t="str">
        <f aca="false">IF(AS392&lt;=0,"",IF(CF392="Aussen","Aussenlager",IF(CF392="-","Nicht im Lift",IF(AY392&gt;=1,"Lift",IF(AY392&lt;=0,"Aussenlager","teilweise")))))</f>
        <v>Lift</v>
      </c>
      <c r="BL392" s="48" t="str">
        <f aca="false">IF(BC392&lt;=0,"",IF(CF392="Aussen","Aussenlager",IF(CF392="-","Nicht im Lift",IF(BI392&gt;=1,"Lift",IF(BI392&lt;=0,"Aussenlager","teilweise")))))</f>
        <v>Lift</v>
      </c>
      <c r="BM392" s="48" t="str">
        <f aca="false">IF(A392="","",IF(BV392=1,"Neu; ","")&amp;IF(AND(BV392=0,BQ392&lt;0),"negativer Bestand (Export "&amp;BQ392&amp;"); ","")&amp;IF(J392&lt;=0,"Kein Verbrauch; ","")&amp;IF(CQ392&gt;0,"Lift "&amp;W392&amp;" lt. Liftbericht (Fach "&amp;X392&amp;" Stk); ",IF(CA392=1,"Gebinde geschätzt ("&amp;T392&amp;"); ",IF(BZ392=1,"Lose – Tablare geschätzt; ","")))&amp;IF(H392&gt;AV392,"Überbestand "&amp;ROUND(H392-AV392,0)&amp;" Stk / CHF "&amp;ROUND((H392-AV392)*G392,0)&amp;"; ","")&amp;IF(AND(CH392=1,CI392&lt;CJ392),"MAX &lt; MB+LG; ","")&amp;IF(AND(CP392&gt;0,CO392*10&gt;CP392),"zu hoch für Tablar; ","")&amp;IF(AND(BV392=0,OR(CH392=1,AA392&lt;&gt;"",U392&lt;&gt;"",V392&lt;&gt;"",AB392&lt;&gt;"")),"manuell übersteuert; ","")&amp;IF(AND(BZ392=0,R392=0),"Gebinde unbekannt / Stellmass fehlt; ","")&amp;IF(AND(BZ392=0,N(V392)&lt;=0,N(Q392)&lt;=0),"Menge pro Gebinde fehlt (Ist = 1 Gebinde); ","")&amp;BU392)</f>
        <v/>
      </c>
      <c r="BN392" s="48"/>
      <c r="BO392" s="48"/>
      <c r="BP392" s="55"/>
      <c r="BQ392" s="50" t="n">
        <v>23</v>
      </c>
      <c r="BR392" s="50" t="n">
        <v>127</v>
      </c>
      <c r="BS392" s="49" t="n">
        <v>120.28</v>
      </c>
      <c r="BT392" s="50" t="n">
        <v>585</v>
      </c>
      <c r="BU392" s="48"/>
      <c r="BV392" s="53" t="n">
        <v>0</v>
      </c>
      <c r="BW392" s="53" t="n">
        <v>392</v>
      </c>
      <c r="BX392" s="48" t="str">
        <f aca="false">IF(U392&lt;&gt;"",UPPER(TRIM(U392)),IF(CA392=1,UPPER(VLOOKUP(T392,Parameter!$I$27:$K$29,2,0)),IF(P392="","LOSE",P392)))</f>
        <v>S32</v>
      </c>
      <c r="BY392" s="50" t="n">
        <f aca="false">IF(BX392="LOSE",1,IF(N(V392)&gt;0,V392,IF(CA392=1,MAX(1,N(VLOOKUP(T392,Parameter!$I$27:$K$29,3,0)),H392,N(N392)),IF(N(Q392)&gt;0,Q392,MAX(1,H392)))))</f>
        <v>231</v>
      </c>
      <c r="BZ392" s="53" t="n">
        <f aca="false">IF(BX392="LOSE",1,0)</f>
        <v>0</v>
      </c>
      <c r="CA392" s="53" t="n">
        <f aca="false">IF(AND(U392="",OR(P392="",P392="LOSE"),T392&lt;&gt;"",N(S392)&lt;=0,ISNUMBER(MATCH(T392,Parameter!$I$27:$I$29,0))),1,0)</f>
        <v>0</v>
      </c>
      <c r="CB392" s="53" t="n">
        <f aca="false">IF(CQ392&gt;0,INDEX(Parameter!$H$5:$H$7,W392)/INDEX(Parameter!$E$5:$E$7,W392),IF(AND(BZ392=0,N(IFERROR(VLOOKUP(BX392,'Gebinde-Kategorie'!$A$5:$N$45,14,0),0))&gt;0),VLOOKUP(BX392,'Gebinde-Kategorie'!$A$5:$N$45,14,0)*10+Parameter!$M$23,Parameter!$M$24))</f>
        <v>155</v>
      </c>
      <c r="CC392" s="48" t="str">
        <f aca="false">IF(AND(Parameter!$B$19="Ja",E392&lt;&gt;"",ISNUMBER(MATCH(E392,Parameter!$I$35:$I$52,0))),VLOOKUP(E392,Parameter!$I$35:$J$52,2,0),IFERROR(VLOOKUP(D392,Parameter!$A$35:$C$64,2,0),"Nein"))</f>
        <v>2+3</v>
      </c>
      <c r="CD392" s="52" t="n">
        <f aca="false">IF(BZ392=0,0,IF(N(S392)&gt;0,S392,IFERROR(VLOOKUP(D392,Parameter!$A$35:$C$64,3,0)+0,0)))</f>
        <v>0</v>
      </c>
      <c r="CE392" s="48" t="n">
        <f aca="false">IF(AA392&lt;&gt;"",AA392,Z392)</f>
        <v>3</v>
      </c>
      <c r="CF392" s="48" t="str">
        <f aca="false">IF(OR(CE392=1,CE392=2,CE392=3),IF(Parameter!$E$27="Ja","LIFT",IF(CE392=1,"L1","L23")),IF(CE392="Aussen","Aussen","-"))</f>
        <v>LIFT</v>
      </c>
      <c r="CG392" s="59" t="n">
        <f aca="false">IF(N(AB392)&gt;0,AB392,0)</f>
        <v>0</v>
      </c>
      <c r="CH392" s="53" t="n">
        <f aca="false">IF(ISNUMBER(AE392),1,0)</f>
        <v>0</v>
      </c>
      <c r="CI392" s="50" t="n">
        <f aca="false">N(AE392)</f>
        <v>0</v>
      </c>
      <c r="CJ392" s="50" t="n">
        <f aca="false">N(M392)+N(N392)</f>
        <v>215</v>
      </c>
      <c r="CK392" s="50" t="n">
        <f aca="false">N(M392)</f>
        <v>15</v>
      </c>
      <c r="CL392" s="50" t="n">
        <f aca="false">N(N392)</f>
        <v>200</v>
      </c>
      <c r="CM392" s="50" t="n">
        <f aca="false">ROUNDUP(H392/BY392,0)</f>
        <v>1</v>
      </c>
      <c r="CN392" s="50" t="n">
        <f aca="false">ROUNDUP(CI392/BY392,0)</f>
        <v>0</v>
      </c>
      <c r="CO392" s="53" t="n">
        <f aca="false">IF(BZ392=1,0,IFERROR(VLOOKUP(BX392,'Gebinde-Kategorie'!$A$5:$N$45,5,0)+0,0))</f>
        <v>8</v>
      </c>
      <c r="CP392" s="53" t="n">
        <f aca="false">IFERROR(IF(OR(CE392=1,CE392=2,CE392=3),N(INDEX(Parameter!$I$5:$I$7,CE392)),0),0)</f>
        <v>0</v>
      </c>
      <c r="CQ392" s="52" t="n">
        <f aca="false">IF(AND(Parameter!$B$21="Ja",ISNUMBER(W392),N(X392)&gt;0),IFERROR(N(INDEX(Parameter!$L$5:$L$7,W392))*INDEX(Parameter!$E$5:$E$7,W392)*X392/SUMIFS($X$7:$X$1843,$W$7:$W$1843,W392),0),0)</f>
        <v>0</v>
      </c>
    </row>
    <row r="393" customFormat="false" ht="15" hidden="false" customHeight="false" outlineLevel="0" collapsed="false">
      <c r="A393" s="48" t="s">
        <v>934</v>
      </c>
      <c r="B393" s="48" t="s">
        <v>935</v>
      </c>
      <c r="C393" s="48" t="s">
        <v>173</v>
      </c>
      <c r="D393" s="48" t="s">
        <v>193</v>
      </c>
      <c r="E393" s="48" t="s">
        <v>194</v>
      </c>
      <c r="F393" s="48" t="s">
        <v>227</v>
      </c>
      <c r="G393" s="49" t="n">
        <v>3.4</v>
      </c>
      <c r="H393" s="50" t="n">
        <f aca="false">MAX(0,IF(AND(Parameter!$B$21="Ja",ISNUMBER(Y393)),Y393,IF(Parameter!$B$20="Jahresanfang 2025 + Export",BR393+BQ393,BQ393)))</f>
        <v>40</v>
      </c>
      <c r="I393" s="50" t="n">
        <f aca="false">H393*G393</f>
        <v>136</v>
      </c>
      <c r="J393" s="50" t="n">
        <f aca="false">BT393*Parameter!$B$18</f>
        <v>44</v>
      </c>
      <c r="K393" s="51" t="n">
        <v>11</v>
      </c>
      <c r="L393" s="52" t="n">
        <v>4</v>
      </c>
      <c r="M393" s="50" t="n">
        <v>2</v>
      </c>
      <c r="N393" s="50" t="n">
        <v>45</v>
      </c>
      <c r="O393" s="53" t="n">
        <v>20</v>
      </c>
      <c r="P393" s="48" t="s">
        <v>337</v>
      </c>
      <c r="Q393" s="50" t="n">
        <v>42</v>
      </c>
      <c r="R393" s="53" t="n">
        <f aca="false">IF(BZ393=1,0,IFERROR(VLOOKUP(BX393,'Gebinde-Kategorie'!$A$5:$N$45,13,0)+0,0))</f>
        <v>52</v>
      </c>
      <c r="S393" s="54"/>
      <c r="T393" s="55"/>
      <c r="U393" s="55"/>
      <c r="V393" s="55"/>
      <c r="W393" s="48"/>
      <c r="X393" s="50"/>
      <c r="Y393" s="50"/>
      <c r="Z393" s="48" t="n">
        <f aca="false">IF(A393="","",IF(AND(Parameter!$B$21="Ja",ISNUMBER(W393)),W393,IF(CC393="2+3",IF(ISNUMBER(SEARCH("grosser Artikel",BU393)),2,IFERROR(VLOOKUP(BX393,Parameter!$F$35:$G$64,2,0),2)),IF(OR(CC393="Nein",CC393=""),"-",CC393))))</f>
        <v>3</v>
      </c>
      <c r="AA393" s="55"/>
      <c r="AB393" s="56"/>
      <c r="AC393" s="50" t="n">
        <f aca="false">AV393</f>
        <v>47</v>
      </c>
      <c r="AD393" s="50" t="n">
        <f aca="false">MAX(AV393,H393)</f>
        <v>47</v>
      </c>
      <c r="AE393" s="57"/>
      <c r="AF393" s="50" t="n">
        <f aca="false">IF(LEFT(Cockpit!$C$5,1)="A",H393,IF(Parameter!$E$30="MAX-Bestand",IF(CH393=1,CI393,IF(LEFT(Cockpit!$C$5,1)="B",AL393,MAX(AL393,H393))),ROUNDUP(AJ393,0)))</f>
        <v>40</v>
      </c>
      <c r="AG393" s="50" t="n">
        <f aca="false">IF(BZ393=1,0,ROUNDUP(AF393/BY393,0))</f>
        <v>1</v>
      </c>
      <c r="AH393" s="52" t="n">
        <f aca="false">IF(CQ393&gt;0,CQ393*MAX(1,AF393/X393),IF(BZ393=1,IF(AF393&lt;=0,0,CD393*MAX(1,IF(H393&gt;0,AF393/H393,1))),IF(R393&gt;0,AG393/R393,0))/MAX(0.1,N(Parameter!$M$21)))</f>
        <v>0.0192307692307692</v>
      </c>
      <c r="AI393" s="50" t="n">
        <f aca="false">AH393*CB393</f>
        <v>2.98076923076923</v>
      </c>
      <c r="AJ393" s="51" t="n">
        <f aca="false">IF(LEFT(Cockpit!$C$5,1)="A",H393,IF(CH393=1,(CK393+CI393)/2,IF(LEFT(Cockpit!$C$5,1)="B",(CK393+AL393)/2,MAX((CK393+AL393)/2,H393))))</f>
        <v>40</v>
      </c>
      <c r="AK393" s="50" t="n">
        <f aca="false">AJ393*G393</f>
        <v>136</v>
      </c>
      <c r="AL393" s="50" t="n">
        <f aca="false">ROUNDUP(CK393+MAX(CL393,2*(J393/IF(CG393&gt;0,CG393,MAX(0.1,N(Cockpit!$C$6)))-CK393)),0)</f>
        <v>47</v>
      </c>
      <c r="AM393" s="51" t="n">
        <f aca="false">IF(AI393&gt;0,J393/AI393,-1)</f>
        <v>14.7612903225806</v>
      </c>
      <c r="AN393" s="51" t="n">
        <f aca="false">IF(AND(OR(CF393="L1",CF393="L23",CF393="LIFT"),AI393&gt;0),SUMIFS($AI$7:$AI$1843,$CF$7:$CF$1843,CF393,$AM$7:$AM$1843,"&gt;"&amp;AM393)+SUMIFS($AI$7:$AI$1843,$CF$7:$CF$1843,CF393,$AM$7:$AM$1843,AM393,$BW$7:$BW$1843,"&lt;="&amp;BW393),"")</f>
        <v>2096.53846153846</v>
      </c>
      <c r="AO393" s="58" t="n">
        <f aca="false">IF(AN393="",0,MAX(0,MIN(1,(IF(CF393="L1",Parameter!$H$5,IF(CF393="L23",Parameter!$H$6+Parameter!$H$7,Parameter!$H$5+Parameter!$H$6+Parameter!$H$7))-(AN393-AI393))/AI393)))</f>
        <v>1</v>
      </c>
      <c r="AP393" s="50" t="n">
        <f aca="false">IF(LEFT(Cockpit!$I$5,1)="A",H393,IF(Parameter!$E$30="MAX-Bestand",IF(CH393=1,CI393,IF(LEFT(Cockpit!$I$5,1)="B",AV393,MAX(AV393,H393))),ROUNDUP(AT393,0)))</f>
        <v>40</v>
      </c>
      <c r="AQ393" s="50" t="n">
        <f aca="false">IF(BZ393=1,0,ROUNDUP(AP393/BY393,0))</f>
        <v>1</v>
      </c>
      <c r="AR393" s="52" t="n">
        <f aca="false">IF(CQ393&gt;0,CQ393*MAX(1,AP393/X393),IF(BZ393=1,IF(AP393&lt;=0,0,CD393*MAX(1,IF(H393&gt;0,AP393/H393,1))),IF(R393&gt;0,AQ393/R393,0))/MAX(0.1,N(Parameter!$M$21)))</f>
        <v>0.0192307692307692</v>
      </c>
      <c r="AS393" s="50" t="n">
        <f aca="false">AR393*CB393</f>
        <v>2.98076923076923</v>
      </c>
      <c r="AT393" s="51" t="n">
        <f aca="false">IF(LEFT(Cockpit!$I$5,1)="A",H393,IF(CH393=1,(CK393+CI393)/2,IF(LEFT(Cockpit!$I$5,1)="B",(CK393+AV393)/2,MAX((CK393+AV393)/2,H393))))</f>
        <v>40</v>
      </c>
      <c r="AU393" s="50" t="n">
        <f aca="false">AT393*G393</f>
        <v>136</v>
      </c>
      <c r="AV393" s="50" t="n">
        <f aca="false">ROUNDUP(CK393+MAX(CL393,2*(J393/IF(CG393&gt;0,CG393,MAX(0.1,N(Cockpit!$I$6)))-CK393)),0)</f>
        <v>47</v>
      </c>
      <c r="AW393" s="51" t="n">
        <f aca="false">IF(AS393&gt;0,J393/AS393,-1)</f>
        <v>14.7612903225806</v>
      </c>
      <c r="AX393" s="51" t="n">
        <f aca="false">IF(AND(OR(CF393="L1",CF393="L23",CF393="LIFT"),AS393&gt;0),SUMIFS($AS$7:$AS$1843,$CF$7:$CF$1843,CF393,$AW$7:$AW$1843,"&gt;"&amp;AW393)+SUMIFS($AS$7:$AS$1843,$CF$7:$CF$1843,CF393,$AW$7:$AW$1843,AW393,$BW$7:$BW$1843,"&lt;="&amp;BW393),"")</f>
        <v>2744.47527472527</v>
      </c>
      <c r="AY393" s="58" t="n">
        <f aca="false">IF(AX393="",0,MAX(0,MIN(1,(IF(CF393="L1",Parameter!$H$5,IF(CF393="L23",Parameter!$H$6+Parameter!$H$7,Parameter!$H$5+Parameter!$H$6+Parameter!$H$7))-(AX393-AS393))/AS393)))</f>
        <v>1</v>
      </c>
      <c r="AZ393" s="50" t="n">
        <f aca="false">IF(LEFT(Cockpit!$O$5,1)="A",H393,IF(Parameter!$E$30="MAX-Bestand",IF(CH393=1,CI393,IF(LEFT(Cockpit!$O$5,1)="B",BF393,MAX(BF393,H393))),ROUNDUP(BD393,0)))</f>
        <v>25</v>
      </c>
      <c r="BA393" s="50" t="n">
        <f aca="false">IF(BZ393=1,0,ROUNDUP(AZ393/BY393,0))</f>
        <v>1</v>
      </c>
      <c r="BB393" s="52" t="n">
        <f aca="false">IF(CQ393&gt;0,CQ393*MAX(1,AZ393/X393),IF(BZ393=1,IF(AZ393&lt;=0,0,CD393*MAX(1,IF(H393&gt;0,AZ393/H393,1))),IF(R393&gt;0,BA393/R393,0))/MAX(0.1,N(Parameter!$M$21)))</f>
        <v>0.0192307692307692</v>
      </c>
      <c r="BC393" s="50" t="n">
        <f aca="false">BB393*CB393</f>
        <v>2.98076923076923</v>
      </c>
      <c r="BD393" s="51" t="n">
        <f aca="false">IF(LEFT(Cockpit!$O$5,1)="A",H393,IF(CH393=1,(CK393+CI393)/2,IF(LEFT(Cockpit!$O$5,1)="B",(CK393+BF393)/2,MAX((CK393+BF393)/2,H393))))</f>
        <v>24.5</v>
      </c>
      <c r="BE393" s="50" t="n">
        <f aca="false">BD393*G393</f>
        <v>83.3</v>
      </c>
      <c r="BF393" s="50" t="n">
        <f aca="false">ROUNDUP(CK393+MAX(CL393,2*(J393/IF(CG393&gt;0,CG393,MAX(0.1,N(Cockpit!$O$6)))-CK393)),0)</f>
        <v>47</v>
      </c>
      <c r="BG393" s="51" t="n">
        <f aca="false">IF(BC393&gt;0,J393/BC393,-1)</f>
        <v>14.7612903225806</v>
      </c>
      <c r="BH393" s="51" t="n">
        <f aca="false">IF(AND(OR(CF393="L1",CF393="L23",CF393="LIFT"),BC393&gt;0),SUMIFS($BC$7:$BC$1843,$CF$7:$CF$1843,CF393,$BG$7:$BG$1843,"&gt;"&amp;BG393)+SUMIFS($BC$7:$BC$1843,$CF$7:$CF$1843,CF393,$BG$7:$BG$1843,BG393,$BW$7:$BW$1843,"&lt;="&amp;BW393),"")</f>
        <v>2427.51236263736</v>
      </c>
      <c r="BI393" s="58" t="n">
        <f aca="false">IF(BH393="",0,MAX(0,MIN(1,(IF(CF393="L1",Parameter!$H$5,IF(CF393="L23",Parameter!$H$6+Parameter!$H$7,Parameter!$H$5+Parameter!$H$6+Parameter!$H$7))-(BH393-BC393))/BC393)))</f>
        <v>1</v>
      </c>
      <c r="BJ393" s="48" t="str">
        <f aca="false">IF(AI393&lt;=0,"",IF(CF393="Aussen","Aussenlager",IF(CF393="-","Nicht im Lift",IF(AO393&gt;=1,"Lift",IF(AO393&lt;=0,"Aussenlager","teilweise")))))</f>
        <v>Lift</v>
      </c>
      <c r="BK393" s="48" t="str">
        <f aca="false">IF(AS393&lt;=0,"",IF(CF393="Aussen","Aussenlager",IF(CF393="-","Nicht im Lift",IF(AY393&gt;=1,"Lift",IF(AY393&lt;=0,"Aussenlager","teilweise")))))</f>
        <v>Lift</v>
      </c>
      <c r="BL393" s="48" t="str">
        <f aca="false">IF(BC393&lt;=0,"",IF(CF393="Aussen","Aussenlager",IF(CF393="-","Nicht im Lift",IF(BI393&gt;=1,"Lift",IF(BI393&lt;=0,"Aussenlager","teilweise")))))</f>
        <v>Lift</v>
      </c>
      <c r="BM393" s="48" t="str">
        <f aca="false">IF(A393="","",IF(BV393=1,"Neu; ","")&amp;IF(AND(BV393=0,BQ393&lt;0),"negativer Bestand (Export "&amp;BQ393&amp;"); ","")&amp;IF(J393&lt;=0,"Kein Verbrauch; ","")&amp;IF(CQ393&gt;0,"Lift "&amp;W393&amp;" lt. Liftbericht (Fach "&amp;X393&amp;" Stk); ",IF(CA393=1,"Gebinde geschätzt ("&amp;T393&amp;"); ",IF(BZ393=1,"Lose – Tablare geschätzt; ","")))&amp;IF(H393&gt;AV393,"Überbestand "&amp;ROUND(H393-AV393,0)&amp;" Stk / CHF "&amp;ROUND((H393-AV393)*G393,0)&amp;"; ","")&amp;IF(AND(CH393=1,CI393&lt;CJ393),"MAX &lt; MB+LG; ","")&amp;IF(AND(CP393&gt;0,CO393*10&gt;CP393),"zu hoch für Tablar; ","")&amp;IF(AND(BV393=0,OR(CH393=1,AA393&lt;&gt;"",U393&lt;&gt;"",V393&lt;&gt;"",AB393&lt;&gt;"")),"manuell übersteuert; ","")&amp;IF(AND(BZ393=0,R393=0),"Gebinde unbekannt / Stellmass fehlt; ","")&amp;IF(AND(BZ393=0,N(V393)&lt;=0,N(Q393)&lt;=0),"Menge pro Gebinde fehlt (Ist = 1 Gebinde); ","")&amp;BU393)</f>
        <v/>
      </c>
      <c r="BN393" s="48"/>
      <c r="BO393" s="48"/>
      <c r="BP393" s="55"/>
      <c r="BQ393" s="50" t="n">
        <v>34</v>
      </c>
      <c r="BR393" s="50" t="n">
        <v>6</v>
      </c>
      <c r="BS393" s="49" t="n">
        <v>116.32</v>
      </c>
      <c r="BT393" s="50" t="n">
        <v>44</v>
      </c>
      <c r="BU393" s="48"/>
      <c r="BV393" s="53" t="n">
        <v>0</v>
      </c>
      <c r="BW393" s="53" t="n">
        <v>393</v>
      </c>
      <c r="BX393" s="48" t="str">
        <f aca="false">IF(U393&lt;&gt;"",UPPER(TRIM(U393)),IF(CA393=1,UPPER(VLOOKUP(T393,Parameter!$I$27:$K$29,2,0)),IF(P393="","LOSE",P393)))</f>
        <v>S41</v>
      </c>
      <c r="BY393" s="50" t="n">
        <f aca="false">IF(BX393="LOSE",1,IF(N(V393)&gt;0,V393,IF(CA393=1,MAX(1,N(VLOOKUP(T393,Parameter!$I$27:$K$29,3,0)),H393,N(N393)),IF(N(Q393)&gt;0,Q393,MAX(1,H393)))))</f>
        <v>42</v>
      </c>
      <c r="BZ393" s="53" t="n">
        <f aca="false">IF(BX393="LOSE",1,0)</f>
        <v>0</v>
      </c>
      <c r="CA393" s="53" t="n">
        <f aca="false">IF(AND(U393="",OR(P393="",P393="LOSE"),T393&lt;&gt;"",N(S393)&lt;=0,ISNUMBER(MATCH(T393,Parameter!$I$27:$I$29,0))),1,0)</f>
        <v>0</v>
      </c>
      <c r="CB393" s="53" t="n">
        <f aca="false">IF(CQ393&gt;0,INDEX(Parameter!$H$5:$H$7,W393)/INDEX(Parameter!$E$5:$E$7,W393),IF(AND(BZ393=0,N(IFERROR(VLOOKUP(BX393,'Gebinde-Kategorie'!$A$5:$N$45,14,0),0))&gt;0),VLOOKUP(BX393,'Gebinde-Kategorie'!$A$5:$N$45,14,0)*10+Parameter!$M$23,Parameter!$M$24))</f>
        <v>155</v>
      </c>
      <c r="CC393" s="48" t="str">
        <f aca="false">IF(AND(Parameter!$B$19="Ja",E393&lt;&gt;"",ISNUMBER(MATCH(E393,Parameter!$I$35:$I$52,0))),VLOOKUP(E393,Parameter!$I$35:$J$52,2,0),IFERROR(VLOOKUP(D393,Parameter!$A$35:$C$64,2,0),"Nein"))</f>
        <v>2+3</v>
      </c>
      <c r="CD393" s="52" t="n">
        <f aca="false">IF(BZ393=0,0,IF(N(S393)&gt;0,S393,IFERROR(VLOOKUP(D393,Parameter!$A$35:$C$64,3,0)+0,0)))</f>
        <v>0</v>
      </c>
      <c r="CE393" s="48" t="n">
        <f aca="false">IF(AA393&lt;&gt;"",AA393,Z393)</f>
        <v>3</v>
      </c>
      <c r="CF393" s="48" t="str">
        <f aca="false">IF(OR(CE393=1,CE393=2,CE393=3),IF(Parameter!$E$27="Ja","LIFT",IF(CE393=1,"L1","L23")),IF(CE393="Aussen","Aussen","-"))</f>
        <v>LIFT</v>
      </c>
      <c r="CG393" s="59" t="n">
        <f aca="false">IF(N(AB393)&gt;0,AB393,0)</f>
        <v>0</v>
      </c>
      <c r="CH393" s="53" t="n">
        <f aca="false">IF(ISNUMBER(AE393),1,0)</f>
        <v>0</v>
      </c>
      <c r="CI393" s="50" t="n">
        <f aca="false">N(AE393)</f>
        <v>0</v>
      </c>
      <c r="CJ393" s="50" t="n">
        <f aca="false">N(M393)+N(N393)</f>
        <v>47</v>
      </c>
      <c r="CK393" s="50" t="n">
        <f aca="false">N(M393)</f>
        <v>2</v>
      </c>
      <c r="CL393" s="50" t="n">
        <f aca="false">N(N393)</f>
        <v>45</v>
      </c>
      <c r="CM393" s="50" t="n">
        <f aca="false">ROUNDUP(H393/BY393,0)</f>
        <v>1</v>
      </c>
      <c r="CN393" s="50" t="n">
        <f aca="false">ROUNDUP(CI393/BY393,0)</f>
        <v>0</v>
      </c>
      <c r="CO393" s="53" t="n">
        <f aca="false">IF(BZ393=1,0,IFERROR(VLOOKUP(BX393,'Gebinde-Kategorie'!$A$5:$N$45,5,0)+0,0))</f>
        <v>11</v>
      </c>
      <c r="CP393" s="53" t="n">
        <f aca="false">IFERROR(IF(OR(CE393=1,CE393=2,CE393=3),N(INDEX(Parameter!$I$5:$I$7,CE393)),0),0)</f>
        <v>0</v>
      </c>
      <c r="CQ393" s="52" t="n">
        <f aca="false">IF(AND(Parameter!$B$21="Ja",ISNUMBER(W393),N(X393)&gt;0),IFERROR(N(INDEX(Parameter!$L$5:$L$7,W393))*INDEX(Parameter!$E$5:$E$7,W393)*X393/SUMIFS($X$7:$X$1843,$W$7:$W$1843,W393),0),0)</f>
        <v>0</v>
      </c>
    </row>
    <row r="394" customFormat="false" ht="15" hidden="false" customHeight="false" outlineLevel="0" collapsed="false">
      <c r="A394" s="48" t="s">
        <v>936</v>
      </c>
      <c r="B394" s="48" t="s">
        <v>937</v>
      </c>
      <c r="C394" s="48" t="s">
        <v>173</v>
      </c>
      <c r="D394" s="48" t="s">
        <v>193</v>
      </c>
      <c r="E394" s="48" t="s">
        <v>194</v>
      </c>
      <c r="F394" s="48" t="s">
        <v>227</v>
      </c>
      <c r="G394" s="49" t="n">
        <v>2.18</v>
      </c>
      <c r="H394" s="50" t="n">
        <f aca="false">MAX(0,IF(AND(Parameter!$B$21="Ja",ISNUMBER(Y394)),Y394,IF(Parameter!$B$20="Jahresanfang 2025 + Export",BR394+BQ394,BQ394)))</f>
        <v>111</v>
      </c>
      <c r="I394" s="50" t="n">
        <f aca="false">H394*G394</f>
        <v>241.98</v>
      </c>
      <c r="J394" s="50" t="n">
        <f aca="false">BT394*Parameter!$B$18</f>
        <v>126</v>
      </c>
      <c r="K394" s="51" t="n">
        <v>41.5</v>
      </c>
      <c r="L394" s="52" t="n">
        <v>3.03614457831325</v>
      </c>
      <c r="M394" s="50" t="n">
        <v>4</v>
      </c>
      <c r="N394" s="50" t="n">
        <v>125</v>
      </c>
      <c r="O394" s="53" t="n">
        <v>14</v>
      </c>
      <c r="P394" s="48" t="s">
        <v>485</v>
      </c>
      <c r="Q394" s="50" t="n">
        <v>79</v>
      </c>
      <c r="R394" s="53" t="n">
        <f aca="false">IF(BZ394=1,0,IFERROR(VLOOKUP(BX394,'Gebinde-Kategorie'!$A$5:$N$45,13,0)+0,0))</f>
        <v>52</v>
      </c>
      <c r="S394" s="54"/>
      <c r="T394" s="55"/>
      <c r="U394" s="55"/>
      <c r="V394" s="55"/>
      <c r="W394" s="48"/>
      <c r="X394" s="50"/>
      <c r="Y394" s="50"/>
      <c r="Z394" s="48" t="n">
        <f aca="false">IF(A394="","",IF(AND(Parameter!$B$21="Ja",ISNUMBER(W394)),W394,IF(CC394="2+3",IF(ISNUMBER(SEARCH("grosser Artikel",BU394)),2,IFERROR(VLOOKUP(BX394,Parameter!$F$35:$G$64,2,0),2)),IF(OR(CC394="Nein",CC394=""),"-",CC394))))</f>
        <v>3</v>
      </c>
      <c r="AA394" s="55"/>
      <c r="AB394" s="56"/>
      <c r="AC394" s="50" t="n">
        <f aca="false">AV394</f>
        <v>129</v>
      </c>
      <c r="AD394" s="50" t="n">
        <f aca="false">MAX(AV394,H394)</f>
        <v>129</v>
      </c>
      <c r="AE394" s="57"/>
      <c r="AF394" s="50" t="n">
        <f aca="false">IF(LEFT(Cockpit!$C$5,1)="A",H394,IF(Parameter!$E$30="MAX-Bestand",IF(CH394=1,CI394,IF(LEFT(Cockpit!$C$5,1)="B",AL394,MAX(AL394,H394))),ROUNDUP(AJ394,0)))</f>
        <v>111</v>
      </c>
      <c r="AG394" s="50" t="n">
        <f aca="false">IF(BZ394=1,0,ROUNDUP(AF394/BY394,0))</f>
        <v>2</v>
      </c>
      <c r="AH394" s="52" t="n">
        <f aca="false">IF(CQ394&gt;0,CQ394*MAX(1,AF394/X394),IF(BZ394=1,IF(AF394&lt;=0,0,CD394*MAX(1,IF(H394&gt;0,AF394/H394,1))),IF(R394&gt;0,AG394/R394,0))/MAX(0.1,N(Parameter!$M$21)))</f>
        <v>0.0384615384615385</v>
      </c>
      <c r="AI394" s="50" t="n">
        <f aca="false">AH394*CB394</f>
        <v>5.96153846153846</v>
      </c>
      <c r="AJ394" s="51" t="n">
        <f aca="false">IF(LEFT(Cockpit!$C$5,1)="A",H394,IF(CH394=1,(CK394+CI394)/2,IF(LEFT(Cockpit!$C$5,1)="B",(CK394+AL394)/2,MAX((CK394+AL394)/2,H394))))</f>
        <v>111</v>
      </c>
      <c r="AK394" s="50" t="n">
        <f aca="false">AJ394*G394</f>
        <v>241.98</v>
      </c>
      <c r="AL394" s="50" t="n">
        <f aca="false">ROUNDUP(CK394+MAX(CL394,2*(J394/IF(CG394&gt;0,CG394,MAX(0.1,N(Cockpit!$C$6)))-CK394)),0)</f>
        <v>129</v>
      </c>
      <c r="AM394" s="51" t="n">
        <f aca="false">IF(AI394&gt;0,J394/AI394,-1)</f>
        <v>21.1354838709677</v>
      </c>
      <c r="AN394" s="51" t="n">
        <f aca="false">IF(AND(OR(CF394="L1",CF394="L23",CF394="LIFT"),AI394&gt;0),SUMIFS($AI$7:$AI$1843,$CF$7:$CF$1843,CF394,$AM$7:$AM$1843,"&gt;"&amp;AM394)+SUMIFS($AI$7:$AI$1843,$CF$7:$CF$1843,CF394,$AM$7:$AM$1843,AM394,$BW$7:$BW$1843,"&lt;="&amp;BW394),"")</f>
        <v>1643.22161172161</v>
      </c>
      <c r="AO394" s="58" t="n">
        <f aca="false">IF(AN394="",0,MAX(0,MIN(1,(IF(CF394="L1",Parameter!$H$5,IF(CF394="L23",Parameter!$H$6+Parameter!$H$7,Parameter!$H$5+Parameter!$H$6+Parameter!$H$7))-(AN394-AI394))/AI394)))</f>
        <v>1</v>
      </c>
      <c r="AP394" s="50" t="n">
        <f aca="false">IF(LEFT(Cockpit!$I$5,1)="A",H394,IF(Parameter!$E$30="MAX-Bestand",IF(CH394=1,CI394,IF(LEFT(Cockpit!$I$5,1)="B",AV394,MAX(AV394,H394))),ROUNDUP(AT394,0)))</f>
        <v>111</v>
      </c>
      <c r="AQ394" s="50" t="n">
        <f aca="false">IF(BZ394=1,0,ROUNDUP(AP394/BY394,0))</f>
        <v>2</v>
      </c>
      <c r="AR394" s="52" t="n">
        <f aca="false">IF(CQ394&gt;0,CQ394*MAX(1,AP394/X394),IF(BZ394=1,IF(AP394&lt;=0,0,CD394*MAX(1,IF(H394&gt;0,AP394/H394,1))),IF(R394&gt;0,AQ394/R394,0))/MAX(0.1,N(Parameter!$M$21)))</f>
        <v>0.0384615384615385</v>
      </c>
      <c r="AS394" s="50" t="n">
        <f aca="false">AR394*CB394</f>
        <v>5.96153846153846</v>
      </c>
      <c r="AT394" s="51" t="n">
        <f aca="false">IF(LEFT(Cockpit!$I$5,1)="A",H394,IF(CH394=1,(CK394+CI394)/2,IF(LEFT(Cockpit!$I$5,1)="B",(CK394+AV394)/2,MAX((CK394+AV394)/2,H394))))</f>
        <v>111</v>
      </c>
      <c r="AU394" s="50" t="n">
        <f aca="false">AT394*G394</f>
        <v>241.98</v>
      </c>
      <c r="AV394" s="50" t="n">
        <f aca="false">ROUNDUP(CK394+MAX(CL394,2*(J394/IF(CG394&gt;0,CG394,MAX(0.1,N(Cockpit!$I$6)))-CK394)),0)</f>
        <v>129</v>
      </c>
      <c r="AW394" s="51" t="n">
        <f aca="false">IF(AS394&gt;0,J394/AS394,-1)</f>
        <v>21.1354838709677</v>
      </c>
      <c r="AX394" s="51" t="n">
        <f aca="false">IF(AND(OR(CF394="L1",CF394="L23",CF394="LIFT"),AS394&gt;0),SUMIFS($AS$7:$AS$1843,$CF$7:$CF$1843,CF394,$AW$7:$AW$1843,"&gt;"&amp;AW394)+SUMIFS($AS$7:$AS$1843,$CF$7:$CF$1843,CF394,$AW$7:$AW$1843,AW394,$BW$7:$BW$1843,"&lt;="&amp;BW394),"")</f>
        <v>2280.34249084249</v>
      </c>
      <c r="AY394" s="58" t="n">
        <f aca="false">IF(AX394="",0,MAX(0,MIN(1,(IF(CF394="L1",Parameter!$H$5,IF(CF394="L23",Parameter!$H$6+Parameter!$H$7,Parameter!$H$5+Parameter!$H$6+Parameter!$H$7))-(AX394-AS394))/AS394)))</f>
        <v>1</v>
      </c>
      <c r="AZ394" s="50" t="n">
        <f aca="false">IF(LEFT(Cockpit!$O$5,1)="A",H394,IF(Parameter!$E$30="MAX-Bestand",IF(CH394=1,CI394,IF(LEFT(Cockpit!$O$5,1)="B",BF394,MAX(BF394,H394))),ROUNDUP(BD394,0)))</f>
        <v>67</v>
      </c>
      <c r="BA394" s="50" t="n">
        <f aca="false">IF(BZ394=1,0,ROUNDUP(AZ394/BY394,0))</f>
        <v>1</v>
      </c>
      <c r="BB394" s="52" t="n">
        <f aca="false">IF(CQ394&gt;0,CQ394*MAX(1,AZ394/X394),IF(BZ394=1,IF(AZ394&lt;=0,0,CD394*MAX(1,IF(H394&gt;0,AZ394/H394,1))),IF(R394&gt;0,BA394/R394,0))/MAX(0.1,N(Parameter!$M$21)))</f>
        <v>0.0192307692307692</v>
      </c>
      <c r="BC394" s="50" t="n">
        <f aca="false">BB394*CB394</f>
        <v>2.98076923076923</v>
      </c>
      <c r="BD394" s="51" t="n">
        <f aca="false">IF(LEFT(Cockpit!$O$5,1)="A",H394,IF(CH394=1,(CK394+CI394)/2,IF(LEFT(Cockpit!$O$5,1)="B",(CK394+BF394)/2,MAX((CK394+BF394)/2,H394))))</f>
        <v>66.5</v>
      </c>
      <c r="BE394" s="50" t="n">
        <f aca="false">BD394*G394</f>
        <v>144.97</v>
      </c>
      <c r="BF394" s="50" t="n">
        <f aca="false">ROUNDUP(CK394+MAX(CL394,2*(J394/IF(CG394&gt;0,CG394,MAX(0.1,N(Cockpit!$O$6)))-CK394)),0)</f>
        <v>129</v>
      </c>
      <c r="BG394" s="51" t="n">
        <f aca="false">IF(BC394&gt;0,J394/BC394,-1)</f>
        <v>42.2709677419355</v>
      </c>
      <c r="BH394" s="51" t="n">
        <f aca="false">IF(AND(OR(CF394="L1",CF394="L23",CF394="LIFT"),BC394&gt;0),SUMIFS($BC$7:$BC$1843,$CF$7:$CF$1843,CF394,$BG$7:$BG$1843,"&gt;"&amp;BG394)+SUMIFS($BC$7:$BC$1843,$CF$7:$CF$1843,CF394,$BG$7:$BG$1843,BG394,$BW$7:$BW$1843,"&lt;="&amp;BW394),"")</f>
        <v>1237.53983516484</v>
      </c>
      <c r="BI394" s="58" t="n">
        <f aca="false">IF(BH394="",0,MAX(0,MIN(1,(IF(CF394="L1",Parameter!$H$5,IF(CF394="L23",Parameter!$H$6+Parameter!$H$7,Parameter!$H$5+Parameter!$H$6+Parameter!$H$7))-(BH394-BC394))/BC394)))</f>
        <v>1</v>
      </c>
      <c r="BJ394" s="48" t="str">
        <f aca="false">IF(AI394&lt;=0,"",IF(CF394="Aussen","Aussenlager",IF(CF394="-","Nicht im Lift",IF(AO394&gt;=1,"Lift",IF(AO394&lt;=0,"Aussenlager","teilweise")))))</f>
        <v>Lift</v>
      </c>
      <c r="BK394" s="48" t="str">
        <f aca="false">IF(AS394&lt;=0,"",IF(CF394="Aussen","Aussenlager",IF(CF394="-","Nicht im Lift",IF(AY394&gt;=1,"Lift",IF(AY394&lt;=0,"Aussenlager","teilweise")))))</f>
        <v>Lift</v>
      </c>
      <c r="BL394" s="48" t="str">
        <f aca="false">IF(BC394&lt;=0,"",IF(CF394="Aussen","Aussenlager",IF(CF394="-","Nicht im Lift",IF(BI394&gt;=1,"Lift",IF(BI394&lt;=0,"Aussenlager","teilweise")))))</f>
        <v>Lift</v>
      </c>
      <c r="BM394" s="48" t="str">
        <f aca="false">IF(A394="","",IF(BV394=1,"Neu; ","")&amp;IF(AND(BV394=0,BQ394&lt;0),"negativer Bestand (Export "&amp;BQ394&amp;"); ","")&amp;IF(J394&lt;=0,"Kein Verbrauch; ","")&amp;IF(CQ394&gt;0,"Lift "&amp;W394&amp;" lt. Liftbericht (Fach "&amp;X394&amp;" Stk); ",IF(CA394=1,"Gebinde geschätzt ("&amp;T394&amp;"); ",IF(BZ394=1,"Lose – Tablare geschätzt; ","")))&amp;IF(H394&gt;AV394,"Überbestand "&amp;ROUND(H394-AV394,0)&amp;" Stk / CHF "&amp;ROUND((H394-AV394)*G394,0)&amp;"; ","")&amp;IF(AND(CH394=1,CI394&lt;CJ394),"MAX &lt; MB+LG; ","")&amp;IF(AND(CP394&gt;0,CO394*10&gt;CP394),"zu hoch für Tablar; ","")&amp;IF(AND(BV394=0,OR(CH394=1,AA394&lt;&gt;"",U394&lt;&gt;"",V394&lt;&gt;"",AB394&lt;&gt;"")),"manuell übersteuert; ","")&amp;IF(AND(BZ394=0,R394=0),"Gebinde unbekannt / Stellmass fehlt; ","")&amp;IF(AND(BZ394=0,N(V394)&lt;=0,N(Q394)&lt;=0),"Menge pro Gebinde fehlt (Ist = 1 Gebinde); ","")&amp;BU394)</f>
        <v/>
      </c>
      <c r="BN394" s="48"/>
      <c r="BO394" s="48"/>
      <c r="BP394" s="55"/>
      <c r="BQ394" s="50" t="n">
        <v>54</v>
      </c>
      <c r="BR394" s="50" t="n">
        <v>57</v>
      </c>
      <c r="BS394" s="49" t="n">
        <v>115.44</v>
      </c>
      <c r="BT394" s="50" t="n">
        <v>126</v>
      </c>
      <c r="BU394" s="48"/>
      <c r="BV394" s="53" t="n">
        <v>0</v>
      </c>
      <c r="BW394" s="53" t="n">
        <v>394</v>
      </c>
      <c r="BX394" s="48" t="str">
        <f aca="false">IF(U394&lt;&gt;"",UPPER(TRIM(U394)),IF(CA394=1,UPPER(VLOOKUP(T394,Parameter!$I$27:$K$29,2,0)),IF(P394="","LOSE",P394)))</f>
        <v>S33</v>
      </c>
      <c r="BY394" s="50" t="n">
        <f aca="false">IF(BX394="LOSE",1,IF(N(V394)&gt;0,V394,IF(CA394=1,MAX(1,N(VLOOKUP(T394,Parameter!$I$27:$K$29,3,0)),H394,N(N394)),IF(N(Q394)&gt;0,Q394,MAX(1,H394)))))</f>
        <v>79</v>
      </c>
      <c r="BZ394" s="53" t="n">
        <f aca="false">IF(BX394="LOSE",1,0)</f>
        <v>0</v>
      </c>
      <c r="CA394" s="53" t="n">
        <f aca="false">IF(AND(U394="",OR(P394="",P394="LOSE"),T394&lt;&gt;"",N(S394)&lt;=0,ISNUMBER(MATCH(T394,Parameter!$I$27:$I$29,0))),1,0)</f>
        <v>0</v>
      </c>
      <c r="CB394" s="53" t="n">
        <f aca="false">IF(CQ394&gt;0,INDEX(Parameter!$H$5:$H$7,W394)/INDEX(Parameter!$E$5:$E$7,W394),IF(AND(BZ394=0,N(IFERROR(VLOOKUP(BX394,'Gebinde-Kategorie'!$A$5:$N$45,14,0),0))&gt;0),VLOOKUP(BX394,'Gebinde-Kategorie'!$A$5:$N$45,14,0)*10+Parameter!$M$23,Parameter!$M$24))</f>
        <v>155</v>
      </c>
      <c r="CC394" s="48" t="str">
        <f aca="false">IF(AND(Parameter!$B$19="Ja",E394&lt;&gt;"",ISNUMBER(MATCH(E394,Parameter!$I$35:$I$52,0))),VLOOKUP(E394,Parameter!$I$35:$J$52,2,0),IFERROR(VLOOKUP(D394,Parameter!$A$35:$C$64,2,0),"Nein"))</f>
        <v>2+3</v>
      </c>
      <c r="CD394" s="52" t="n">
        <f aca="false">IF(BZ394=0,0,IF(N(S394)&gt;0,S394,IFERROR(VLOOKUP(D394,Parameter!$A$35:$C$64,3,0)+0,0)))</f>
        <v>0</v>
      </c>
      <c r="CE394" s="48" t="n">
        <f aca="false">IF(AA394&lt;&gt;"",AA394,Z394)</f>
        <v>3</v>
      </c>
      <c r="CF394" s="48" t="str">
        <f aca="false">IF(OR(CE394=1,CE394=2,CE394=3),IF(Parameter!$E$27="Ja","LIFT",IF(CE394=1,"L1","L23")),IF(CE394="Aussen","Aussen","-"))</f>
        <v>LIFT</v>
      </c>
      <c r="CG394" s="59" t="n">
        <f aca="false">IF(N(AB394)&gt;0,AB394,0)</f>
        <v>0</v>
      </c>
      <c r="CH394" s="53" t="n">
        <f aca="false">IF(ISNUMBER(AE394),1,0)</f>
        <v>0</v>
      </c>
      <c r="CI394" s="50" t="n">
        <f aca="false">N(AE394)</f>
        <v>0</v>
      </c>
      <c r="CJ394" s="50" t="n">
        <f aca="false">N(M394)+N(N394)</f>
        <v>129</v>
      </c>
      <c r="CK394" s="50" t="n">
        <f aca="false">N(M394)</f>
        <v>4</v>
      </c>
      <c r="CL394" s="50" t="n">
        <f aca="false">N(N394)</f>
        <v>125</v>
      </c>
      <c r="CM394" s="50" t="n">
        <f aca="false">ROUNDUP(H394/BY394,0)</f>
        <v>2</v>
      </c>
      <c r="CN394" s="50" t="n">
        <f aca="false">ROUNDUP(CI394/BY394,0)</f>
        <v>0</v>
      </c>
      <c r="CO394" s="53" t="n">
        <f aca="false">IF(BZ394=1,0,IFERROR(VLOOKUP(BX394,'Gebinde-Kategorie'!$A$5:$N$45,5,0)+0,0))</f>
        <v>8</v>
      </c>
      <c r="CP394" s="53" t="n">
        <f aca="false">IFERROR(IF(OR(CE394=1,CE394=2,CE394=3),N(INDEX(Parameter!$I$5:$I$7,CE394)),0),0)</f>
        <v>0</v>
      </c>
      <c r="CQ394" s="52" t="n">
        <f aca="false">IF(AND(Parameter!$B$21="Ja",ISNUMBER(W394),N(X394)&gt;0),IFERROR(N(INDEX(Parameter!$L$5:$L$7,W394))*INDEX(Parameter!$E$5:$E$7,W394)*X394/SUMIFS($X$7:$X$1843,$W$7:$W$1843,W394),0),0)</f>
        <v>0</v>
      </c>
    </row>
    <row r="395" customFormat="false" ht="15" hidden="false" customHeight="false" outlineLevel="0" collapsed="false">
      <c r="A395" s="48" t="s">
        <v>938</v>
      </c>
      <c r="B395" s="48" t="s">
        <v>870</v>
      </c>
      <c r="C395" s="48" t="s">
        <v>173</v>
      </c>
      <c r="D395" s="48" t="s">
        <v>182</v>
      </c>
      <c r="E395" s="48"/>
      <c r="F395" s="48" t="s">
        <v>227</v>
      </c>
      <c r="G395" s="49" t="n">
        <v>12.74</v>
      </c>
      <c r="H395" s="50" t="n">
        <f aca="false">MAX(0,IF(AND(Parameter!$B$21="Ja",ISNUMBER(Y395)),Y395,IF(Parameter!$B$20="Jahresanfang 2025 + Export",BR395+BQ395,BQ395)))</f>
        <v>9</v>
      </c>
      <c r="I395" s="50" t="n">
        <f aca="false">H395*G395</f>
        <v>114.66</v>
      </c>
      <c r="J395" s="50" t="n">
        <f aca="false">BT395*Parameter!$B$18</f>
        <v>10</v>
      </c>
      <c r="K395" s="51" t="n">
        <v>0</v>
      </c>
      <c r="L395" s="52" t="n">
        <v>0</v>
      </c>
      <c r="M395" s="50" t="n">
        <v>0</v>
      </c>
      <c r="N395" s="50" t="n">
        <v>10</v>
      </c>
      <c r="O395" s="53" t="n">
        <v>14</v>
      </c>
      <c r="P395" s="48" t="s">
        <v>177</v>
      </c>
      <c r="Q395" s="50"/>
      <c r="R395" s="53" t="n">
        <f aca="false">IF(BZ395=1,0,IFERROR(VLOOKUP(BX395,'Gebinde-Kategorie'!$A$5:$N$45,13,0)+0,0))</f>
        <v>12</v>
      </c>
      <c r="S395" s="54"/>
      <c r="T395" s="55" t="s">
        <v>188</v>
      </c>
      <c r="U395" s="55"/>
      <c r="V395" s="55"/>
      <c r="W395" s="48"/>
      <c r="X395" s="50"/>
      <c r="Y395" s="50"/>
      <c r="Z395" s="48" t="n">
        <f aca="false">IF(A395="","",IF(AND(Parameter!$B$21="Ja",ISNUMBER(W395)),W395,IF(CC395="2+3",IF(ISNUMBER(SEARCH("grosser Artikel",BU395)),2,IFERROR(VLOOKUP(BX395,Parameter!$F$35:$G$64,2,0),2)),IF(OR(CC395="Nein",CC395=""),"-",CC395))))</f>
        <v>2</v>
      </c>
      <c r="AA395" s="55"/>
      <c r="AB395" s="56"/>
      <c r="AC395" s="50" t="n">
        <f aca="false">AV395</f>
        <v>10</v>
      </c>
      <c r="AD395" s="50" t="n">
        <f aca="false">MAX(AV395,H395)</f>
        <v>10</v>
      </c>
      <c r="AE395" s="57"/>
      <c r="AF395" s="50" t="n">
        <f aca="false">IF(LEFT(Cockpit!$C$5,1)="A",H395,IF(Parameter!$E$30="MAX-Bestand",IF(CH395=1,CI395,IF(LEFT(Cockpit!$C$5,1)="B",AL395,MAX(AL395,H395))),ROUNDUP(AJ395,0)))</f>
        <v>9</v>
      </c>
      <c r="AG395" s="50" t="n">
        <f aca="false">IF(BZ395=1,0,ROUNDUP(AF395/BY395,0))</f>
        <v>1</v>
      </c>
      <c r="AH395" s="52" t="n">
        <f aca="false">IF(CQ395&gt;0,CQ395*MAX(1,AF395/X395),IF(BZ395=1,IF(AF395&lt;=0,0,CD395*MAX(1,IF(H395&gt;0,AF395/H395,1))),IF(R395&gt;0,AG395/R395,0))/MAX(0.1,N(Parameter!$M$21)))</f>
        <v>0.0833333333333333</v>
      </c>
      <c r="AI395" s="50" t="n">
        <f aca="false">AH395*CB395</f>
        <v>12.0833333333333</v>
      </c>
      <c r="AJ395" s="51" t="n">
        <f aca="false">IF(LEFT(Cockpit!$C$5,1)="A",H395,IF(CH395=1,(CK395+CI395)/2,IF(LEFT(Cockpit!$C$5,1)="B",(CK395+AL395)/2,MAX((CK395+AL395)/2,H395))))</f>
        <v>9</v>
      </c>
      <c r="AK395" s="50" t="n">
        <f aca="false">AJ395*G395</f>
        <v>114.66</v>
      </c>
      <c r="AL395" s="50" t="n">
        <f aca="false">ROUNDUP(CK395+MAX(CL395,2*(J395/IF(CG395&gt;0,CG395,MAX(0.1,N(Cockpit!$C$6)))-CK395)),0)</f>
        <v>10</v>
      </c>
      <c r="AM395" s="51" t="n">
        <f aca="false">IF(AI395&gt;0,J395/AI395,-1)</f>
        <v>0.827586206896552</v>
      </c>
      <c r="AN395" s="51" t="n">
        <f aca="false">IF(AND(OR(CF395="L1",CF395="L23",CF395="LIFT"),AI395&gt;0),SUMIFS($AI$7:$AI$1843,$CF$7:$CF$1843,CF395,$AM$7:$AM$1843,"&gt;"&amp;AM395)+SUMIFS($AI$7:$AI$1843,$CF$7:$CF$1843,CF395,$AM$7:$AM$1843,AM395,$BW$7:$BW$1843,"&lt;="&amp;BW395),"")</f>
        <v>7966.20833333333</v>
      </c>
      <c r="AO395" s="58" t="n">
        <f aca="false">IF(AN395="",0,MAX(0,MIN(1,(IF(CF395="L1",Parameter!$H$5,IF(CF395="L23",Parameter!$H$6+Parameter!$H$7,Parameter!$H$5+Parameter!$H$6+Parameter!$H$7))-(AN395-AI395))/AI395)))</f>
        <v>1</v>
      </c>
      <c r="AP395" s="50" t="n">
        <f aca="false">IF(LEFT(Cockpit!$I$5,1)="A",H395,IF(Parameter!$E$30="MAX-Bestand",IF(CH395=1,CI395,IF(LEFT(Cockpit!$I$5,1)="B",AV395,MAX(AV395,H395))),ROUNDUP(AT395,0)))</f>
        <v>9</v>
      </c>
      <c r="AQ395" s="50" t="n">
        <f aca="false">IF(BZ395=1,0,ROUNDUP(AP395/BY395,0))</f>
        <v>1</v>
      </c>
      <c r="AR395" s="52" t="n">
        <f aca="false">IF(CQ395&gt;0,CQ395*MAX(1,AP395/X395),IF(BZ395=1,IF(AP395&lt;=0,0,CD395*MAX(1,IF(H395&gt;0,AP395/H395,1))),IF(R395&gt;0,AQ395/R395,0))/MAX(0.1,N(Parameter!$M$21)))</f>
        <v>0.0833333333333333</v>
      </c>
      <c r="AS395" s="50" t="n">
        <f aca="false">AR395*CB395</f>
        <v>12.0833333333333</v>
      </c>
      <c r="AT395" s="51" t="n">
        <f aca="false">IF(LEFT(Cockpit!$I$5,1)="A",H395,IF(CH395=1,(CK395+CI395)/2,IF(LEFT(Cockpit!$I$5,1)="B",(CK395+AV395)/2,MAX((CK395+AV395)/2,H395))))</f>
        <v>9</v>
      </c>
      <c r="AU395" s="50" t="n">
        <f aca="false">AT395*G395</f>
        <v>114.66</v>
      </c>
      <c r="AV395" s="50" t="n">
        <f aca="false">ROUNDUP(CK395+MAX(CL395,2*(J395/IF(CG395&gt;0,CG395,MAX(0.1,N(Cockpit!$I$6)))-CK395)),0)</f>
        <v>10</v>
      </c>
      <c r="AW395" s="51" t="n">
        <f aca="false">IF(AS395&gt;0,J395/AS395,-1)</f>
        <v>0.827586206896552</v>
      </c>
      <c r="AX395" s="51" t="n">
        <f aca="false">IF(AND(OR(CF395="L1",CF395="L23",CF395="LIFT"),AS395&gt;0),SUMIFS($AS$7:$AS$1843,$CF$7:$CF$1843,CF395,$AW$7:$AW$1843,"&gt;"&amp;AW395)+SUMIFS($AS$7:$AS$1843,$CF$7:$CF$1843,CF395,$AW$7:$AW$1843,AW395,$BW$7:$BW$1843,"&lt;="&amp;BW395),"")</f>
        <v>9769.94322344322</v>
      </c>
      <c r="AY395" s="58" t="n">
        <f aca="false">IF(AX395="",0,MAX(0,MIN(1,(IF(CF395="L1",Parameter!$H$5,IF(CF395="L23",Parameter!$H$6+Parameter!$H$7,Parameter!$H$5+Parameter!$H$6+Parameter!$H$7))-(AX395-AS395))/AS395)))</f>
        <v>1</v>
      </c>
      <c r="AZ395" s="50" t="n">
        <f aca="false">IF(LEFT(Cockpit!$O$5,1)="A",H395,IF(Parameter!$E$30="MAX-Bestand",IF(CH395=1,CI395,IF(LEFT(Cockpit!$O$5,1)="B",BF395,MAX(BF395,H395))),ROUNDUP(BD395,0)))</f>
        <v>5</v>
      </c>
      <c r="BA395" s="50" t="n">
        <f aca="false">IF(BZ395=1,0,ROUNDUP(AZ395/BY395,0))</f>
        <v>1</v>
      </c>
      <c r="BB395" s="52" t="n">
        <f aca="false">IF(CQ395&gt;0,CQ395*MAX(1,AZ395/X395),IF(BZ395=1,IF(AZ395&lt;=0,0,CD395*MAX(1,IF(H395&gt;0,AZ395/H395,1))),IF(R395&gt;0,BA395/R395,0))/MAX(0.1,N(Parameter!$M$21)))</f>
        <v>0.0833333333333333</v>
      </c>
      <c r="BC395" s="50" t="n">
        <f aca="false">BB395*CB395</f>
        <v>12.0833333333333</v>
      </c>
      <c r="BD395" s="51" t="n">
        <f aca="false">IF(LEFT(Cockpit!$O$5,1)="A",H395,IF(CH395=1,(CK395+CI395)/2,IF(LEFT(Cockpit!$O$5,1)="B",(CK395+BF395)/2,MAX((CK395+BF395)/2,H395))))</f>
        <v>5</v>
      </c>
      <c r="BE395" s="50" t="n">
        <f aca="false">BD395*G395</f>
        <v>63.7</v>
      </c>
      <c r="BF395" s="50" t="n">
        <f aca="false">ROUNDUP(CK395+MAX(CL395,2*(J395/IF(CG395&gt;0,CG395,MAX(0.1,N(Cockpit!$O$6)))-CK395)),0)</f>
        <v>10</v>
      </c>
      <c r="BG395" s="51" t="n">
        <f aca="false">IF(BC395&gt;0,J395/BC395,-1)</f>
        <v>0.827586206896552</v>
      </c>
      <c r="BH395" s="51" t="n">
        <f aca="false">IF(AND(OR(CF395="L1",CF395="L23",CF395="LIFT"),BC395&gt;0),SUMIFS($BC$7:$BC$1843,$CF$7:$CF$1843,CF395,$BG$7:$BG$1843,"&gt;"&amp;BG395)+SUMIFS($BC$7:$BC$1843,$CF$7:$CF$1843,CF395,$BG$7:$BG$1843,BG395,$BW$7:$BW$1843,"&lt;="&amp;BW395),"")</f>
        <v>8625.18635531136</v>
      </c>
      <c r="BI395" s="58" t="n">
        <f aca="false">IF(BH395="",0,MAX(0,MIN(1,(IF(CF395="L1",Parameter!$H$5,IF(CF395="L23",Parameter!$H$6+Parameter!$H$7,Parameter!$H$5+Parameter!$H$6+Parameter!$H$7))-(BH395-BC395))/BC395)))</f>
        <v>1</v>
      </c>
      <c r="BJ395" s="48" t="str">
        <f aca="false">IF(AI395&lt;=0,"",IF(CF395="Aussen","Aussenlager",IF(CF395="-","Nicht im Lift",IF(AO395&gt;=1,"Lift",IF(AO395&lt;=0,"Aussenlager","teilweise")))))</f>
        <v>Lift</v>
      </c>
      <c r="BK395" s="48" t="str">
        <f aca="false">IF(AS395&lt;=0,"",IF(CF395="Aussen","Aussenlager",IF(CF395="-","Nicht im Lift",IF(AY395&gt;=1,"Lift",IF(AY395&lt;=0,"Aussenlager","teilweise")))))</f>
        <v>Lift</v>
      </c>
      <c r="BL395" s="48" t="str">
        <f aca="false">IF(BC395&lt;=0,"",IF(CF395="Aussen","Aussenlager",IF(CF395="-","Nicht im Lift",IF(BI395&gt;=1,"Lift",IF(BI395&lt;=0,"Aussenlager","teilweise")))))</f>
        <v>Lift</v>
      </c>
      <c r="BM395" s="48" t="str">
        <f aca="false">IF(A395="","",IF(BV395=1,"Neu; ","")&amp;IF(AND(BV395=0,BQ395&lt;0),"negativer Bestand (Export "&amp;BQ395&amp;"); ","")&amp;IF(J395&lt;=0,"Kein Verbrauch; ","")&amp;IF(CQ395&gt;0,"Lift "&amp;W395&amp;" lt. Liftbericht (Fach "&amp;X395&amp;" Stk); ",IF(CA395=1,"Gebinde geschätzt ("&amp;T395&amp;"); ",IF(BZ395=1,"Lose – Tablare geschätzt; ","")))&amp;IF(H395&gt;AV395,"Überbestand "&amp;ROUND(H395-AV395,0)&amp;" Stk / CHF "&amp;ROUND((H395-AV395)*G395,0)&amp;"; ","")&amp;IF(AND(CH395=1,CI395&lt;CJ395),"MAX &lt; MB+LG; ","")&amp;IF(AND(CP395&gt;0,CO395*10&gt;CP395),"zu hoch für Tablar; ","")&amp;IF(AND(BV395=0,OR(CH395=1,AA395&lt;&gt;"",U395&lt;&gt;"",V395&lt;&gt;"",AB395&lt;&gt;"")),"manuell übersteuert; ","")&amp;IF(AND(BZ395=0,R395=0),"Gebinde unbekannt / Stellmass fehlt; ","")&amp;IF(AND(BZ395=0,N(V395)&lt;=0,N(Q395)&lt;=0),"Menge pro Gebinde fehlt (Ist = 1 Gebinde); ","")&amp;BU395)</f>
        <v>Gebinde geschätzt (Mittel); Menge pro Gebinde fehlt (Ist = 1 Gebinde); </v>
      </c>
      <c r="BN395" s="48"/>
      <c r="BO395" s="48"/>
      <c r="BP395" s="55"/>
      <c r="BQ395" s="50" t="n">
        <v>9</v>
      </c>
      <c r="BR395" s="50" t="n">
        <v>0</v>
      </c>
      <c r="BS395" s="49" t="n">
        <v>114.66</v>
      </c>
      <c r="BT395" s="50" t="n">
        <v>10</v>
      </c>
      <c r="BU395" s="48"/>
      <c r="BV395" s="53" t="n">
        <v>0</v>
      </c>
      <c r="BW395" s="53" t="n">
        <v>395</v>
      </c>
      <c r="BX395" s="48" t="str">
        <f aca="false">IF(U395&lt;&gt;"",UPPER(TRIM(U395)),IF(CA395=1,UPPER(VLOOKUP(T395,Parameter!$I$27:$K$29,2,0)),IF(P395="","LOSE",P395)))</f>
        <v>S61</v>
      </c>
      <c r="BY395" s="50" t="n">
        <f aca="false">IF(BX395="LOSE",1,IF(N(V395)&gt;0,V395,IF(CA395=1,MAX(1,N(VLOOKUP(T395,Parameter!$I$27:$K$29,3,0)),H395,N(N395)),IF(N(Q395)&gt;0,Q395,MAX(1,H395)))))</f>
        <v>10</v>
      </c>
      <c r="BZ395" s="53" t="n">
        <f aca="false">IF(BX395="LOSE",1,0)</f>
        <v>0</v>
      </c>
      <c r="CA395" s="53" t="n">
        <f aca="false">IF(AND(U395="",OR(P395="",P395="LOSE"),T395&lt;&gt;"",N(S395)&lt;=0,ISNUMBER(MATCH(T395,Parameter!$I$27:$I$29,0))),1,0)</f>
        <v>1</v>
      </c>
      <c r="CB395" s="53" t="n">
        <f aca="false">IF(CQ395&gt;0,INDEX(Parameter!$H$5:$H$7,W395)/INDEX(Parameter!$E$5:$E$7,W395),IF(AND(BZ395=0,N(IFERROR(VLOOKUP(BX395,'Gebinde-Kategorie'!$A$5:$N$45,14,0),0))&gt;0),VLOOKUP(BX395,'Gebinde-Kategorie'!$A$5:$N$45,14,0)*10+Parameter!$M$23,Parameter!$M$24))</f>
        <v>145</v>
      </c>
      <c r="CC395" s="48" t="str">
        <f aca="false">IF(AND(Parameter!$B$19="Ja",E395&lt;&gt;"",ISNUMBER(MATCH(E395,Parameter!$I$35:$I$52,0))),VLOOKUP(E395,Parameter!$I$35:$J$52,2,0),IFERROR(VLOOKUP(D395,Parameter!$A$35:$C$64,2,0),"Nein"))</f>
        <v>2+3</v>
      </c>
      <c r="CD395" s="52" t="n">
        <f aca="false">IF(BZ395=0,0,IF(N(S395)&gt;0,S395,IFERROR(VLOOKUP(D395,Parameter!$A$35:$C$64,3,0)+0,0)))</f>
        <v>0</v>
      </c>
      <c r="CE395" s="48" t="n">
        <f aca="false">IF(AA395&lt;&gt;"",AA395,Z395)</f>
        <v>2</v>
      </c>
      <c r="CF395" s="48" t="str">
        <f aca="false">IF(OR(CE395=1,CE395=2,CE395=3),IF(Parameter!$E$27="Ja","LIFT",IF(CE395=1,"L1","L23")),IF(CE395="Aussen","Aussen","-"))</f>
        <v>LIFT</v>
      </c>
      <c r="CG395" s="59" t="n">
        <f aca="false">IF(N(AB395)&gt;0,AB395,0)</f>
        <v>0</v>
      </c>
      <c r="CH395" s="53" t="n">
        <f aca="false">IF(ISNUMBER(AE395),1,0)</f>
        <v>0</v>
      </c>
      <c r="CI395" s="50" t="n">
        <f aca="false">N(AE395)</f>
        <v>0</v>
      </c>
      <c r="CJ395" s="50" t="n">
        <f aca="false">N(M395)+N(N395)</f>
        <v>10</v>
      </c>
      <c r="CK395" s="50" t="n">
        <f aca="false">N(M395)</f>
        <v>0</v>
      </c>
      <c r="CL395" s="50" t="n">
        <f aca="false">N(N395)</f>
        <v>10</v>
      </c>
      <c r="CM395" s="50" t="n">
        <f aca="false">ROUNDUP(H395/BY395,0)</f>
        <v>1</v>
      </c>
      <c r="CN395" s="50" t="n">
        <f aca="false">ROUNDUP(CI395/BY395,0)</f>
        <v>0</v>
      </c>
      <c r="CO395" s="53" t="n">
        <f aca="false">IF(BZ395=1,0,IFERROR(VLOOKUP(BX395,'Gebinde-Kategorie'!$A$5:$N$45,5,0)+0,0))</f>
        <v>11</v>
      </c>
      <c r="CP395" s="53" t="n">
        <f aca="false">IFERROR(IF(OR(CE395=1,CE395=2,CE395=3),N(INDEX(Parameter!$I$5:$I$7,CE395)),0),0)</f>
        <v>0</v>
      </c>
      <c r="CQ395" s="52" t="n">
        <f aca="false">IF(AND(Parameter!$B$21="Ja",ISNUMBER(W395),N(X395)&gt;0),IFERROR(N(INDEX(Parameter!$L$5:$L$7,W395))*INDEX(Parameter!$E$5:$E$7,W395)*X395/SUMIFS($X$7:$X$1843,$W$7:$W$1843,W395),0),0)</f>
        <v>0</v>
      </c>
    </row>
    <row r="396" customFormat="false" ht="15" hidden="false" customHeight="false" outlineLevel="0" collapsed="false">
      <c r="A396" s="48" t="s">
        <v>939</v>
      </c>
      <c r="B396" s="48" t="s">
        <v>598</v>
      </c>
      <c r="C396" s="48" t="s">
        <v>173</v>
      </c>
      <c r="D396" s="48" t="s">
        <v>193</v>
      </c>
      <c r="E396" s="48" t="s">
        <v>194</v>
      </c>
      <c r="F396" s="48" t="s">
        <v>227</v>
      </c>
      <c r="G396" s="49" t="n">
        <v>18.24</v>
      </c>
      <c r="H396" s="50" t="n">
        <f aca="false">MAX(0,IF(AND(Parameter!$B$21="Ja",ISNUMBER(Y396)),Y396,IF(Parameter!$B$20="Jahresanfang 2025 + Export",BR396+BQ396,BQ396)))</f>
        <v>56</v>
      </c>
      <c r="I396" s="50" t="n">
        <f aca="false">H396*G396</f>
        <v>1021.44</v>
      </c>
      <c r="J396" s="50" t="n">
        <f aca="false">BT396*Parameter!$B$18</f>
        <v>40</v>
      </c>
      <c r="K396" s="51" t="n">
        <v>39</v>
      </c>
      <c r="L396" s="52" t="n">
        <v>1.02564102564103</v>
      </c>
      <c r="M396" s="50" t="n">
        <v>3</v>
      </c>
      <c r="N396" s="50" t="n">
        <v>40</v>
      </c>
      <c r="O396" s="53" t="n">
        <v>35</v>
      </c>
      <c r="P396" s="48" t="s">
        <v>410</v>
      </c>
      <c r="Q396" s="50" t="n">
        <v>52</v>
      </c>
      <c r="R396" s="53" t="n">
        <f aca="false">IF(BZ396=1,0,IFERROR(VLOOKUP(BX396,'Gebinde-Kategorie'!$A$5:$N$45,13,0)+0,0))</f>
        <v>280</v>
      </c>
      <c r="S396" s="54"/>
      <c r="T396" s="55"/>
      <c r="U396" s="55"/>
      <c r="V396" s="55"/>
      <c r="W396" s="48"/>
      <c r="X396" s="50"/>
      <c r="Y396" s="50"/>
      <c r="Z396" s="48" t="n">
        <f aca="false">IF(A396="","",IF(AND(Parameter!$B$21="Ja",ISNUMBER(W396)),W396,IF(CC396="2+3",IF(ISNUMBER(SEARCH("grosser Artikel",BU396)),2,IFERROR(VLOOKUP(BX396,Parameter!$F$35:$G$64,2,0),2)),IF(OR(CC396="Nein",CC396=""),"-",CC396))))</f>
        <v>3</v>
      </c>
      <c r="AA396" s="55"/>
      <c r="AB396" s="56"/>
      <c r="AC396" s="50" t="n">
        <f aca="false">AV396</f>
        <v>43</v>
      </c>
      <c r="AD396" s="50" t="n">
        <f aca="false">MAX(AV396,H396)</f>
        <v>56</v>
      </c>
      <c r="AE396" s="57"/>
      <c r="AF396" s="50" t="n">
        <f aca="false">IF(LEFT(Cockpit!$C$5,1)="A",H396,IF(Parameter!$E$30="MAX-Bestand",IF(CH396=1,CI396,IF(LEFT(Cockpit!$C$5,1)="B",AL396,MAX(AL396,H396))),ROUNDUP(AJ396,0)))</f>
        <v>56</v>
      </c>
      <c r="AG396" s="50" t="n">
        <f aca="false">IF(BZ396=1,0,ROUNDUP(AF396/BY396,0))</f>
        <v>2</v>
      </c>
      <c r="AH396" s="52" t="n">
        <f aca="false">IF(CQ396&gt;0,CQ396*MAX(1,AF396/X396),IF(BZ396=1,IF(AF396&lt;=0,0,CD396*MAX(1,IF(H396&gt;0,AF396/H396,1))),IF(R396&gt;0,AG396/R396,0))/MAX(0.1,N(Parameter!$M$21)))</f>
        <v>0.00714285714285714</v>
      </c>
      <c r="AI396" s="50" t="n">
        <f aca="false">AH396*CB396</f>
        <v>1.10714285714286</v>
      </c>
      <c r="AJ396" s="51" t="n">
        <f aca="false">IF(LEFT(Cockpit!$C$5,1)="A",H396,IF(CH396=1,(CK396+CI396)/2,IF(LEFT(Cockpit!$C$5,1)="B",(CK396+AL396)/2,MAX((CK396+AL396)/2,H396))))</f>
        <v>56</v>
      </c>
      <c r="AK396" s="50" t="n">
        <f aca="false">AJ396*G396</f>
        <v>1021.44</v>
      </c>
      <c r="AL396" s="50" t="n">
        <f aca="false">ROUNDUP(CK396+MAX(CL396,2*(J396/IF(CG396&gt;0,CG396,MAX(0.1,N(Cockpit!$C$6)))-CK396)),0)</f>
        <v>43</v>
      </c>
      <c r="AM396" s="51" t="n">
        <f aca="false">IF(AI396&gt;0,J396/AI396,-1)</f>
        <v>36.1290322580645</v>
      </c>
      <c r="AN396" s="51" t="n">
        <f aca="false">IF(AND(OR(CF396="L1",CF396="L23",CF396="LIFT"),AI396&gt;0),SUMIFS($AI$7:$AI$1843,$CF$7:$CF$1843,CF396,$AM$7:$AM$1843,"&gt;"&amp;AM396)+SUMIFS($AI$7:$AI$1843,$CF$7:$CF$1843,CF396,$AM$7:$AM$1843,AM396,$BW$7:$BW$1843,"&lt;="&amp;BW396),"")</f>
        <v>1283.29945054945</v>
      </c>
      <c r="AO396" s="58" t="n">
        <f aca="false">IF(AN396="",0,MAX(0,MIN(1,(IF(CF396="L1",Parameter!$H$5,IF(CF396="L23",Parameter!$H$6+Parameter!$H$7,Parameter!$H$5+Parameter!$H$6+Parameter!$H$7))-(AN396-AI396))/AI396)))</f>
        <v>1</v>
      </c>
      <c r="AP396" s="50" t="n">
        <f aca="false">IF(LEFT(Cockpit!$I$5,1)="A",H396,IF(Parameter!$E$30="MAX-Bestand",IF(CH396=1,CI396,IF(LEFT(Cockpit!$I$5,1)="B",AV396,MAX(AV396,H396))),ROUNDUP(AT396,0)))</f>
        <v>56</v>
      </c>
      <c r="AQ396" s="50" t="n">
        <f aca="false">IF(BZ396=1,0,ROUNDUP(AP396/BY396,0))</f>
        <v>2</v>
      </c>
      <c r="AR396" s="52" t="n">
        <f aca="false">IF(CQ396&gt;0,CQ396*MAX(1,AP396/X396),IF(BZ396=1,IF(AP396&lt;=0,0,CD396*MAX(1,IF(H396&gt;0,AP396/H396,1))),IF(R396&gt;0,AQ396/R396,0))/MAX(0.1,N(Parameter!$M$21)))</f>
        <v>0.00714285714285714</v>
      </c>
      <c r="AS396" s="50" t="n">
        <f aca="false">AR396*CB396</f>
        <v>1.10714285714286</v>
      </c>
      <c r="AT396" s="51" t="n">
        <f aca="false">IF(LEFT(Cockpit!$I$5,1)="A",H396,IF(CH396=1,(CK396+CI396)/2,IF(LEFT(Cockpit!$I$5,1)="B",(CK396+AV396)/2,MAX((CK396+AV396)/2,H396))))</f>
        <v>56</v>
      </c>
      <c r="AU396" s="50" t="n">
        <f aca="false">AT396*G396</f>
        <v>1021.44</v>
      </c>
      <c r="AV396" s="50" t="n">
        <f aca="false">ROUNDUP(CK396+MAX(CL396,2*(J396/IF(CG396&gt;0,CG396,MAX(0.1,N(Cockpit!$I$6)))-CK396)),0)</f>
        <v>43</v>
      </c>
      <c r="AW396" s="51" t="n">
        <f aca="false">IF(AS396&gt;0,J396/AS396,-1)</f>
        <v>36.1290322580645</v>
      </c>
      <c r="AX396" s="51" t="n">
        <f aca="false">IF(AND(OR(CF396="L1",CF396="L23",CF396="LIFT"),AS396&gt;0),SUMIFS($AS$7:$AS$1843,$CF$7:$CF$1843,CF396,$AW$7:$AW$1843,"&gt;"&amp;AW396)+SUMIFS($AS$7:$AS$1843,$CF$7:$CF$1843,CF396,$AW$7:$AW$1843,AW396,$BW$7:$BW$1843,"&lt;="&amp;BW396),"")</f>
        <v>1601.85119047619</v>
      </c>
      <c r="AY396" s="58" t="n">
        <f aca="false">IF(AX396="",0,MAX(0,MIN(1,(IF(CF396="L1",Parameter!$H$5,IF(CF396="L23",Parameter!$H$6+Parameter!$H$7,Parameter!$H$5+Parameter!$H$6+Parameter!$H$7))-(AX396-AS396))/AS396)))</f>
        <v>1</v>
      </c>
      <c r="AZ396" s="50" t="n">
        <f aca="false">IF(LEFT(Cockpit!$O$5,1)="A",H396,IF(Parameter!$E$30="MAX-Bestand",IF(CH396=1,CI396,IF(LEFT(Cockpit!$O$5,1)="B",BF396,MAX(BF396,H396))),ROUNDUP(BD396,0)))</f>
        <v>23</v>
      </c>
      <c r="BA396" s="50" t="n">
        <f aca="false">IF(BZ396=1,0,ROUNDUP(AZ396/BY396,0))</f>
        <v>1</v>
      </c>
      <c r="BB396" s="52" t="n">
        <f aca="false">IF(CQ396&gt;0,CQ396*MAX(1,AZ396/X396),IF(BZ396=1,IF(AZ396&lt;=0,0,CD396*MAX(1,IF(H396&gt;0,AZ396/H396,1))),IF(R396&gt;0,BA396/R396,0))/MAX(0.1,N(Parameter!$M$21)))</f>
        <v>0.00357142857142857</v>
      </c>
      <c r="BC396" s="50" t="n">
        <f aca="false">BB396*CB396</f>
        <v>0.553571428571429</v>
      </c>
      <c r="BD396" s="51" t="n">
        <f aca="false">IF(LEFT(Cockpit!$O$5,1)="A",H396,IF(CH396=1,(CK396+CI396)/2,IF(LEFT(Cockpit!$O$5,1)="B",(CK396+BF396)/2,MAX((CK396+BF396)/2,H396))))</f>
        <v>23</v>
      </c>
      <c r="BE396" s="50" t="n">
        <f aca="false">BD396*G396</f>
        <v>419.52</v>
      </c>
      <c r="BF396" s="50" t="n">
        <f aca="false">ROUNDUP(CK396+MAX(CL396,2*(J396/IF(CG396&gt;0,CG396,MAX(0.1,N(Cockpit!$O$6)))-CK396)),0)</f>
        <v>43</v>
      </c>
      <c r="BG396" s="51" t="n">
        <f aca="false">IF(BC396&gt;0,J396/BC396,-1)</f>
        <v>72.258064516129</v>
      </c>
      <c r="BH396" s="51" t="n">
        <f aca="false">IF(AND(OR(CF396="L1",CF396="L23",CF396="LIFT"),BC396&gt;0),SUMIFS($BC$7:$BC$1843,$CF$7:$CF$1843,CF396,$BG$7:$BG$1843,"&gt;"&amp;BG396)+SUMIFS($BC$7:$BC$1843,$CF$7:$CF$1843,CF396,$BG$7:$BG$1843,BG396,$BW$7:$BW$1843,"&lt;="&amp;BW396),"")</f>
        <v>1009.92673992674</v>
      </c>
      <c r="BI396" s="58" t="n">
        <f aca="false">IF(BH396="",0,MAX(0,MIN(1,(IF(CF396="L1",Parameter!$H$5,IF(CF396="L23",Parameter!$H$6+Parameter!$H$7,Parameter!$H$5+Parameter!$H$6+Parameter!$H$7))-(BH396-BC396))/BC396)))</f>
        <v>1</v>
      </c>
      <c r="BJ396" s="48" t="str">
        <f aca="false">IF(AI396&lt;=0,"",IF(CF396="Aussen","Aussenlager",IF(CF396="-","Nicht im Lift",IF(AO396&gt;=1,"Lift",IF(AO396&lt;=0,"Aussenlager","teilweise")))))</f>
        <v>Lift</v>
      </c>
      <c r="BK396" s="48" t="str">
        <f aca="false">IF(AS396&lt;=0,"",IF(CF396="Aussen","Aussenlager",IF(CF396="-","Nicht im Lift",IF(AY396&gt;=1,"Lift",IF(AY396&lt;=0,"Aussenlager","teilweise")))))</f>
        <v>Lift</v>
      </c>
      <c r="BL396" s="48" t="str">
        <f aca="false">IF(BC396&lt;=0,"",IF(CF396="Aussen","Aussenlager",IF(CF396="-","Nicht im Lift",IF(BI396&gt;=1,"Lift",IF(BI396&lt;=0,"Aussenlager","teilweise")))))</f>
        <v>Lift</v>
      </c>
      <c r="BM396" s="48" t="str">
        <f aca="false">IF(A396="","",IF(BV396=1,"Neu; ","")&amp;IF(AND(BV396=0,BQ396&lt;0),"negativer Bestand (Export "&amp;BQ396&amp;"); ","")&amp;IF(J396&lt;=0,"Kein Verbrauch; ","")&amp;IF(CQ396&gt;0,"Lift "&amp;W396&amp;" lt. Liftbericht (Fach "&amp;X396&amp;" Stk); ",IF(CA396=1,"Gebinde geschätzt ("&amp;T396&amp;"); ",IF(BZ396=1,"Lose – Tablare geschätzt; ","")))&amp;IF(H396&gt;AV396,"Überbestand "&amp;ROUND(H396-AV396,0)&amp;" Stk / CHF "&amp;ROUND((H396-AV396)*G396,0)&amp;"; ","")&amp;IF(AND(CH396=1,CI396&lt;CJ396),"MAX &lt; MB+LG; ","")&amp;IF(AND(CP396&gt;0,CO396*10&gt;CP396),"zu hoch für Tablar; ","")&amp;IF(AND(BV396=0,OR(CH396=1,AA396&lt;&gt;"",U396&lt;&gt;"",V396&lt;&gt;"",AB396&lt;&gt;"")),"manuell übersteuert; ","")&amp;IF(AND(BZ396=0,R396=0),"Gebinde unbekannt / Stellmass fehlt; ","")&amp;IF(AND(BZ396=0,N(V396)&lt;=0,N(Q396)&lt;=0),"Menge pro Gebinde fehlt (Ist = 1 Gebinde); ","")&amp;BU396)</f>
        <v>Überbestand 13 Stk / CHF 237; </v>
      </c>
      <c r="BN396" s="48"/>
      <c r="BO396" s="48"/>
      <c r="BP396" s="55"/>
      <c r="BQ396" s="50" t="n">
        <v>4</v>
      </c>
      <c r="BR396" s="50" t="n">
        <v>52</v>
      </c>
      <c r="BS396" s="49" t="n">
        <v>114.04</v>
      </c>
      <c r="BT396" s="50" t="n">
        <v>40</v>
      </c>
      <c r="BU396" s="48"/>
      <c r="BV396" s="53" t="n">
        <v>0</v>
      </c>
      <c r="BW396" s="53" t="n">
        <v>396</v>
      </c>
      <c r="BX396" s="48" t="str">
        <f aca="false">IF(U396&lt;&gt;"",UPPER(TRIM(U396)),IF(CA396=1,UPPER(VLOOKUP(T396,Parameter!$I$27:$K$29,2,0)),IF(P396="","LOSE",P396)))</f>
        <v>S21</v>
      </c>
      <c r="BY396" s="50" t="n">
        <f aca="false">IF(BX396="LOSE",1,IF(N(V396)&gt;0,V396,IF(CA396=1,MAX(1,N(VLOOKUP(T396,Parameter!$I$27:$K$29,3,0)),H396,N(N396)),IF(N(Q396)&gt;0,Q396,MAX(1,H396)))))</f>
        <v>52</v>
      </c>
      <c r="BZ396" s="53" t="n">
        <f aca="false">IF(BX396="LOSE",1,0)</f>
        <v>0</v>
      </c>
      <c r="CA396" s="53" t="n">
        <f aca="false">IF(AND(U396="",OR(P396="",P396="LOSE"),T396&lt;&gt;"",N(S396)&lt;=0,ISNUMBER(MATCH(T396,Parameter!$I$27:$I$29,0))),1,0)</f>
        <v>0</v>
      </c>
      <c r="CB396" s="53" t="n">
        <f aca="false">IF(CQ396&gt;0,INDEX(Parameter!$H$5:$H$7,W396)/INDEX(Parameter!$E$5:$E$7,W396),IF(AND(BZ396=0,N(IFERROR(VLOOKUP(BX396,'Gebinde-Kategorie'!$A$5:$N$45,14,0),0))&gt;0),VLOOKUP(BX396,'Gebinde-Kategorie'!$A$5:$N$45,14,0)*10+Parameter!$M$23,Parameter!$M$24))</f>
        <v>155</v>
      </c>
      <c r="CC396" s="48" t="str">
        <f aca="false">IF(AND(Parameter!$B$19="Ja",E396&lt;&gt;"",ISNUMBER(MATCH(E396,Parameter!$I$35:$I$52,0))),VLOOKUP(E396,Parameter!$I$35:$J$52,2,0),IFERROR(VLOOKUP(D396,Parameter!$A$35:$C$64,2,0),"Nein"))</f>
        <v>2+3</v>
      </c>
      <c r="CD396" s="52" t="n">
        <f aca="false">IF(BZ396=0,0,IF(N(S396)&gt;0,S396,IFERROR(VLOOKUP(D396,Parameter!$A$35:$C$64,3,0)+0,0)))</f>
        <v>0</v>
      </c>
      <c r="CE396" s="48" t="n">
        <f aca="false">IF(AA396&lt;&gt;"",AA396,Z396)</f>
        <v>3</v>
      </c>
      <c r="CF396" s="48" t="str">
        <f aca="false">IF(OR(CE396=1,CE396=2,CE396=3),IF(Parameter!$E$27="Ja","LIFT",IF(CE396=1,"L1","L23")),IF(CE396="Aussen","Aussen","-"))</f>
        <v>LIFT</v>
      </c>
      <c r="CG396" s="59" t="n">
        <f aca="false">IF(N(AB396)&gt;0,AB396,0)</f>
        <v>0</v>
      </c>
      <c r="CH396" s="53" t="n">
        <f aca="false">IF(ISNUMBER(AE396),1,0)</f>
        <v>0</v>
      </c>
      <c r="CI396" s="50" t="n">
        <f aca="false">N(AE396)</f>
        <v>0</v>
      </c>
      <c r="CJ396" s="50" t="n">
        <f aca="false">N(M396)+N(N396)</f>
        <v>43</v>
      </c>
      <c r="CK396" s="50" t="n">
        <f aca="false">N(M396)</f>
        <v>3</v>
      </c>
      <c r="CL396" s="50" t="n">
        <f aca="false">N(N396)</f>
        <v>40</v>
      </c>
      <c r="CM396" s="50" t="n">
        <f aca="false">ROUNDUP(H396/BY396,0)</f>
        <v>2</v>
      </c>
      <c r="CN396" s="50" t="n">
        <f aca="false">ROUNDUP(CI396/BY396,0)</f>
        <v>0</v>
      </c>
      <c r="CO396" s="53" t="n">
        <f aca="false">IF(BZ396=1,0,IFERROR(VLOOKUP(BX396,'Gebinde-Kategorie'!$A$5:$N$45,5,0)+0,0))</f>
        <v>8</v>
      </c>
      <c r="CP396" s="53" t="n">
        <f aca="false">IFERROR(IF(OR(CE396=1,CE396=2,CE396=3),N(INDEX(Parameter!$I$5:$I$7,CE396)),0),0)</f>
        <v>0</v>
      </c>
      <c r="CQ396" s="52" t="n">
        <f aca="false">IF(AND(Parameter!$B$21="Ja",ISNUMBER(W396),N(X396)&gt;0),IFERROR(N(INDEX(Parameter!$L$5:$L$7,W396))*INDEX(Parameter!$E$5:$E$7,W396)*X396/SUMIFS($X$7:$X$1843,$W$7:$W$1843,W396),0),0)</f>
        <v>0</v>
      </c>
    </row>
    <row r="397" customFormat="false" ht="15" hidden="false" customHeight="false" outlineLevel="0" collapsed="false">
      <c r="A397" s="48" t="s">
        <v>940</v>
      </c>
      <c r="B397" s="48" t="s">
        <v>416</v>
      </c>
      <c r="C397" s="48" t="s">
        <v>173</v>
      </c>
      <c r="D397" s="48" t="s">
        <v>193</v>
      </c>
      <c r="E397" s="48" t="s">
        <v>194</v>
      </c>
      <c r="F397" s="48" t="s">
        <v>227</v>
      </c>
      <c r="G397" s="49" t="n">
        <v>0.15</v>
      </c>
      <c r="H397" s="50" t="n">
        <f aca="false">MAX(0,IF(AND(Parameter!$B$21="Ja",ISNUMBER(Y397)),Y397,IF(Parameter!$B$20="Jahresanfang 2025 + Export",BR397+BQ397,BQ397)))</f>
        <v>1403</v>
      </c>
      <c r="I397" s="50" t="n">
        <f aca="false">H397*G397</f>
        <v>210.45</v>
      </c>
      <c r="J397" s="50" t="n">
        <f aca="false">BT397*Parameter!$B$18</f>
        <v>2706</v>
      </c>
      <c r="K397" s="51" t="n">
        <v>656</v>
      </c>
      <c r="L397" s="52" t="n">
        <v>4.125</v>
      </c>
      <c r="M397" s="50" t="n">
        <v>157</v>
      </c>
      <c r="N397" s="50" t="n">
        <v>1000</v>
      </c>
      <c r="O397" s="53" t="n">
        <v>21</v>
      </c>
      <c r="P397" s="48" t="s">
        <v>430</v>
      </c>
      <c r="Q397" s="50" t="n">
        <v>783</v>
      </c>
      <c r="R397" s="53" t="n">
        <f aca="false">IF(BZ397=1,0,IFERROR(VLOOKUP(BX397,'Gebinde-Kategorie'!$A$5:$N$45,13,0)+0,0))</f>
        <v>104</v>
      </c>
      <c r="S397" s="54"/>
      <c r="T397" s="55"/>
      <c r="U397" s="55"/>
      <c r="V397" s="55"/>
      <c r="W397" s="48"/>
      <c r="X397" s="50"/>
      <c r="Y397" s="50"/>
      <c r="Z397" s="48" t="n">
        <f aca="false">IF(A397="","",IF(AND(Parameter!$B$21="Ja",ISNUMBER(W397)),W397,IF(CC397="2+3",IF(ISNUMBER(SEARCH("grosser Artikel",BU397)),2,IFERROR(VLOOKUP(BX397,Parameter!$F$35:$G$64,2,0),2)),IF(OR(CC397="Nein",CC397=""),"-",CC397))))</f>
        <v>3</v>
      </c>
      <c r="AA397" s="55"/>
      <c r="AB397" s="56"/>
      <c r="AC397" s="50" t="n">
        <f aca="false">AV397</f>
        <v>1647</v>
      </c>
      <c r="AD397" s="50" t="n">
        <f aca="false">MAX(AV397,H397)</f>
        <v>1647</v>
      </c>
      <c r="AE397" s="57"/>
      <c r="AF397" s="50" t="n">
        <f aca="false">IF(LEFT(Cockpit!$C$5,1)="A",H397,IF(Parameter!$E$30="MAX-Bestand",IF(CH397=1,CI397,IF(LEFT(Cockpit!$C$5,1)="B",AL397,MAX(AL397,H397))),ROUNDUP(AJ397,0)))</f>
        <v>1403</v>
      </c>
      <c r="AG397" s="50" t="n">
        <f aca="false">IF(BZ397=1,0,ROUNDUP(AF397/BY397,0))</f>
        <v>2</v>
      </c>
      <c r="AH397" s="52" t="n">
        <f aca="false">IF(CQ397&gt;0,CQ397*MAX(1,AF397/X397),IF(BZ397=1,IF(AF397&lt;=0,0,CD397*MAX(1,IF(H397&gt;0,AF397/H397,1))),IF(R397&gt;0,AG397/R397,0))/MAX(0.1,N(Parameter!$M$21)))</f>
        <v>0.0192307692307692</v>
      </c>
      <c r="AI397" s="50" t="n">
        <f aca="false">AH397*CB397</f>
        <v>2.98076923076923</v>
      </c>
      <c r="AJ397" s="51" t="n">
        <f aca="false">IF(LEFT(Cockpit!$C$5,1)="A",H397,IF(CH397=1,(CK397+CI397)/2,IF(LEFT(Cockpit!$C$5,1)="B",(CK397+AL397)/2,MAX((CK397+AL397)/2,H397))))</f>
        <v>1403</v>
      </c>
      <c r="AK397" s="50" t="n">
        <f aca="false">AJ397*G397</f>
        <v>210.45</v>
      </c>
      <c r="AL397" s="50" t="n">
        <f aca="false">ROUNDUP(CK397+MAX(CL397,2*(J397/IF(CG397&gt;0,CG397,MAX(0.1,N(Cockpit!$C$6)))-CK397)),0)</f>
        <v>1647</v>
      </c>
      <c r="AM397" s="51" t="n">
        <f aca="false">IF(AI397&gt;0,J397/AI397,-1)</f>
        <v>907.81935483871</v>
      </c>
      <c r="AN397" s="51" t="n">
        <f aca="false">IF(AND(OR(CF397="L1",CF397="L23",CF397="LIFT"),AI397&gt;0),SUMIFS($AI$7:$AI$1843,$CF$7:$CF$1843,CF397,$AM$7:$AM$1843,"&gt;"&amp;AM397)+SUMIFS($AI$7:$AI$1843,$CF$7:$CF$1843,CF397,$AM$7:$AM$1843,AM397,$BW$7:$BW$1843,"&lt;="&amp;BW397),"")</f>
        <v>18.9917582417582</v>
      </c>
      <c r="AO397" s="58" t="n">
        <f aca="false">IF(AN397="",0,MAX(0,MIN(1,(IF(CF397="L1",Parameter!$H$5,IF(CF397="L23",Parameter!$H$6+Parameter!$H$7,Parameter!$H$5+Parameter!$H$6+Parameter!$H$7))-(AN397-AI397))/AI397)))</f>
        <v>1</v>
      </c>
      <c r="AP397" s="50" t="n">
        <f aca="false">IF(LEFT(Cockpit!$I$5,1)="A",H397,IF(Parameter!$E$30="MAX-Bestand",IF(CH397=1,CI397,IF(LEFT(Cockpit!$I$5,1)="B",AV397,MAX(AV397,H397))),ROUNDUP(AT397,0)))</f>
        <v>1403</v>
      </c>
      <c r="AQ397" s="50" t="n">
        <f aca="false">IF(BZ397=1,0,ROUNDUP(AP397/BY397,0))</f>
        <v>2</v>
      </c>
      <c r="AR397" s="52" t="n">
        <f aca="false">IF(CQ397&gt;0,CQ397*MAX(1,AP397/X397),IF(BZ397=1,IF(AP397&lt;=0,0,CD397*MAX(1,IF(H397&gt;0,AP397/H397,1))),IF(R397&gt;0,AQ397/R397,0))/MAX(0.1,N(Parameter!$M$21)))</f>
        <v>0.0192307692307692</v>
      </c>
      <c r="AS397" s="50" t="n">
        <f aca="false">AR397*CB397</f>
        <v>2.98076923076923</v>
      </c>
      <c r="AT397" s="51" t="n">
        <f aca="false">IF(LEFT(Cockpit!$I$5,1)="A",H397,IF(CH397=1,(CK397+CI397)/2,IF(LEFT(Cockpit!$I$5,1)="B",(CK397+AV397)/2,MAX((CK397+AV397)/2,H397))))</f>
        <v>1403</v>
      </c>
      <c r="AU397" s="50" t="n">
        <f aca="false">AT397*G397</f>
        <v>210.45</v>
      </c>
      <c r="AV397" s="50" t="n">
        <f aca="false">ROUNDUP(CK397+MAX(CL397,2*(J397/IF(CG397&gt;0,CG397,MAX(0.1,N(Cockpit!$I$6)))-CK397)),0)</f>
        <v>1647</v>
      </c>
      <c r="AW397" s="51" t="n">
        <f aca="false">IF(AS397&gt;0,J397/AS397,-1)</f>
        <v>907.81935483871</v>
      </c>
      <c r="AX397" s="51" t="n">
        <f aca="false">IF(AND(OR(CF397="L1",CF397="L23",CF397="LIFT"),AS397&gt;0),SUMIFS($AS$7:$AS$1843,$CF$7:$CF$1843,CF397,$AW$7:$AW$1843,"&gt;"&amp;AW397)+SUMIFS($AS$7:$AS$1843,$CF$7:$CF$1843,CF397,$AW$7:$AW$1843,AW397,$BW$7:$BW$1843,"&lt;="&amp;BW397),"")</f>
        <v>9.49587912087912</v>
      </c>
      <c r="AY397" s="58" t="n">
        <f aca="false">IF(AX397="",0,MAX(0,MIN(1,(IF(CF397="L1",Parameter!$H$5,IF(CF397="L23",Parameter!$H$6+Parameter!$H$7,Parameter!$H$5+Parameter!$H$6+Parameter!$H$7))-(AX397-AS397))/AS397)))</f>
        <v>1</v>
      </c>
      <c r="AZ397" s="50" t="n">
        <f aca="false">IF(LEFT(Cockpit!$O$5,1)="A",H397,IF(Parameter!$E$30="MAX-Bestand",IF(CH397=1,CI397,IF(LEFT(Cockpit!$O$5,1)="B",BF397,MAX(BF397,H397))),ROUNDUP(BD397,0)))</f>
        <v>677</v>
      </c>
      <c r="BA397" s="50" t="n">
        <f aca="false">IF(BZ397=1,0,ROUNDUP(AZ397/BY397,0))</f>
        <v>1</v>
      </c>
      <c r="BB397" s="52" t="n">
        <f aca="false">IF(CQ397&gt;0,CQ397*MAX(1,AZ397/X397),IF(BZ397=1,IF(AZ397&lt;=0,0,CD397*MAX(1,IF(H397&gt;0,AZ397/H397,1))),IF(R397&gt;0,BA397/R397,0))/MAX(0.1,N(Parameter!$M$21)))</f>
        <v>0.00961538461538462</v>
      </c>
      <c r="BC397" s="50" t="n">
        <f aca="false">BB397*CB397</f>
        <v>1.49038461538462</v>
      </c>
      <c r="BD397" s="51" t="n">
        <f aca="false">IF(LEFT(Cockpit!$O$5,1)="A",H397,IF(CH397=1,(CK397+CI397)/2,IF(LEFT(Cockpit!$O$5,1)="B",(CK397+BF397)/2,MAX((CK397+BF397)/2,H397))))</f>
        <v>676.5</v>
      </c>
      <c r="BE397" s="50" t="n">
        <f aca="false">BD397*G397</f>
        <v>101.475</v>
      </c>
      <c r="BF397" s="50" t="n">
        <f aca="false">ROUNDUP(CK397+MAX(CL397,2*(J397/IF(CG397&gt;0,CG397,MAX(0.1,N(Cockpit!$O$6)))-CK397)),0)</f>
        <v>1196</v>
      </c>
      <c r="BG397" s="51" t="n">
        <f aca="false">IF(BC397&gt;0,J397/BC397,-1)</f>
        <v>1815.63870967742</v>
      </c>
      <c r="BH397" s="51" t="n">
        <f aca="false">IF(AND(OR(CF397="L1",CF397="L23",CF397="LIFT"),BC397&gt;0),SUMIFS($BC$7:$BC$1843,$CF$7:$CF$1843,CF397,$BG$7:$BG$1843,"&gt;"&amp;BG397)+SUMIFS($BC$7:$BC$1843,$CF$7:$CF$1843,CF397,$BG$7:$BG$1843,BG397,$BW$7:$BW$1843,"&lt;="&amp;BW397),"")</f>
        <v>7.45192307692308</v>
      </c>
      <c r="BI397" s="58" t="n">
        <f aca="false">IF(BH397="",0,MAX(0,MIN(1,(IF(CF397="L1",Parameter!$H$5,IF(CF397="L23",Parameter!$H$6+Parameter!$H$7,Parameter!$H$5+Parameter!$H$6+Parameter!$H$7))-(BH397-BC397))/BC397)))</f>
        <v>1</v>
      </c>
      <c r="BJ397" s="48" t="str">
        <f aca="false">IF(AI397&lt;=0,"",IF(CF397="Aussen","Aussenlager",IF(CF397="-","Nicht im Lift",IF(AO397&gt;=1,"Lift",IF(AO397&lt;=0,"Aussenlager","teilweise")))))</f>
        <v>Lift</v>
      </c>
      <c r="BK397" s="48" t="str">
        <f aca="false">IF(AS397&lt;=0,"",IF(CF397="Aussen","Aussenlager",IF(CF397="-","Nicht im Lift",IF(AY397&gt;=1,"Lift",IF(AY397&lt;=0,"Aussenlager","teilweise")))))</f>
        <v>Lift</v>
      </c>
      <c r="BL397" s="48" t="str">
        <f aca="false">IF(BC397&lt;=0,"",IF(CF397="Aussen","Aussenlager",IF(CF397="-","Nicht im Lift",IF(BI397&gt;=1,"Lift",IF(BI397&lt;=0,"Aussenlager","teilweise")))))</f>
        <v>Lift</v>
      </c>
      <c r="BM397" s="48" t="str">
        <f aca="false">IF(A397="","",IF(BV397=1,"Neu; ","")&amp;IF(AND(BV397=0,BQ397&lt;0),"negativer Bestand (Export "&amp;BQ397&amp;"); ","")&amp;IF(J397&lt;=0,"Kein Verbrauch; ","")&amp;IF(CQ397&gt;0,"Lift "&amp;W397&amp;" lt. Liftbericht (Fach "&amp;X397&amp;" Stk); ",IF(CA397=1,"Gebinde geschätzt ("&amp;T397&amp;"); ",IF(BZ397=1,"Lose – Tablare geschätzt; ","")))&amp;IF(H397&gt;AV397,"Überbestand "&amp;ROUND(H397-AV397,0)&amp;" Stk / CHF "&amp;ROUND((H397-AV397)*G397,0)&amp;"; ","")&amp;IF(AND(CH397=1,CI397&lt;CJ397),"MAX &lt; MB+LG; ","")&amp;IF(AND(CP397&gt;0,CO397*10&gt;CP397),"zu hoch für Tablar; ","")&amp;IF(AND(BV397=0,OR(CH397=1,AA397&lt;&gt;"",U397&lt;&gt;"",V397&lt;&gt;"",AB397&lt;&gt;"")),"manuell übersteuert; ","")&amp;IF(AND(BZ397=0,R397=0),"Gebinde unbekannt / Stellmass fehlt; ","")&amp;IF(AND(BZ397=0,N(V397)&lt;=0,N(Q397)&lt;=0),"Menge pro Gebinde fehlt (Ist = 1 Gebinde); ","")&amp;BU397)</f>
        <v/>
      </c>
      <c r="BN397" s="48"/>
      <c r="BO397" s="48"/>
      <c r="BP397" s="55"/>
      <c r="BQ397" s="50" t="n">
        <v>708</v>
      </c>
      <c r="BR397" s="50" t="n">
        <v>695</v>
      </c>
      <c r="BS397" s="49" t="n">
        <v>113.07</v>
      </c>
      <c r="BT397" s="50" t="n">
        <v>2706</v>
      </c>
      <c r="BU397" s="48"/>
      <c r="BV397" s="53" t="n">
        <v>0</v>
      </c>
      <c r="BW397" s="53" t="n">
        <v>397</v>
      </c>
      <c r="BX397" s="48" t="str">
        <f aca="false">IF(U397&lt;&gt;"",UPPER(TRIM(U397)),IF(CA397=1,UPPER(VLOOKUP(T397,Parameter!$I$27:$K$29,2,0)),IF(P397="","LOSE",P397)))</f>
        <v>S32</v>
      </c>
      <c r="BY397" s="50" t="n">
        <f aca="false">IF(BX397="LOSE",1,IF(N(V397)&gt;0,V397,IF(CA397=1,MAX(1,N(VLOOKUP(T397,Parameter!$I$27:$K$29,3,0)),H397,N(N397)),IF(N(Q397)&gt;0,Q397,MAX(1,H397)))))</f>
        <v>783</v>
      </c>
      <c r="BZ397" s="53" t="n">
        <f aca="false">IF(BX397="LOSE",1,0)</f>
        <v>0</v>
      </c>
      <c r="CA397" s="53" t="n">
        <f aca="false">IF(AND(U397="",OR(P397="",P397="LOSE"),T397&lt;&gt;"",N(S397)&lt;=0,ISNUMBER(MATCH(T397,Parameter!$I$27:$I$29,0))),1,0)</f>
        <v>0</v>
      </c>
      <c r="CB397" s="53" t="n">
        <f aca="false">IF(CQ397&gt;0,INDEX(Parameter!$H$5:$H$7,W397)/INDEX(Parameter!$E$5:$E$7,W397),IF(AND(BZ397=0,N(IFERROR(VLOOKUP(BX397,'Gebinde-Kategorie'!$A$5:$N$45,14,0),0))&gt;0),VLOOKUP(BX397,'Gebinde-Kategorie'!$A$5:$N$45,14,0)*10+Parameter!$M$23,Parameter!$M$24))</f>
        <v>155</v>
      </c>
      <c r="CC397" s="48" t="str">
        <f aca="false">IF(AND(Parameter!$B$19="Ja",E397&lt;&gt;"",ISNUMBER(MATCH(E397,Parameter!$I$35:$I$52,0))),VLOOKUP(E397,Parameter!$I$35:$J$52,2,0),IFERROR(VLOOKUP(D397,Parameter!$A$35:$C$64,2,0),"Nein"))</f>
        <v>2+3</v>
      </c>
      <c r="CD397" s="52" t="n">
        <f aca="false">IF(BZ397=0,0,IF(N(S397)&gt;0,S397,IFERROR(VLOOKUP(D397,Parameter!$A$35:$C$64,3,0)+0,0)))</f>
        <v>0</v>
      </c>
      <c r="CE397" s="48" t="n">
        <f aca="false">IF(AA397&lt;&gt;"",AA397,Z397)</f>
        <v>3</v>
      </c>
      <c r="CF397" s="48" t="str">
        <f aca="false">IF(OR(CE397=1,CE397=2,CE397=3),IF(Parameter!$E$27="Ja","LIFT",IF(CE397=1,"L1","L23")),IF(CE397="Aussen","Aussen","-"))</f>
        <v>LIFT</v>
      </c>
      <c r="CG397" s="59" t="n">
        <f aca="false">IF(N(AB397)&gt;0,AB397,0)</f>
        <v>0</v>
      </c>
      <c r="CH397" s="53" t="n">
        <f aca="false">IF(ISNUMBER(AE397),1,0)</f>
        <v>0</v>
      </c>
      <c r="CI397" s="50" t="n">
        <f aca="false">N(AE397)</f>
        <v>0</v>
      </c>
      <c r="CJ397" s="50" t="n">
        <f aca="false">N(M397)+N(N397)</f>
        <v>1157</v>
      </c>
      <c r="CK397" s="50" t="n">
        <f aca="false">N(M397)</f>
        <v>157</v>
      </c>
      <c r="CL397" s="50" t="n">
        <f aca="false">N(N397)</f>
        <v>1000</v>
      </c>
      <c r="CM397" s="50" t="n">
        <f aca="false">ROUNDUP(H397/BY397,0)</f>
        <v>2</v>
      </c>
      <c r="CN397" s="50" t="n">
        <f aca="false">ROUNDUP(CI397/BY397,0)</f>
        <v>0</v>
      </c>
      <c r="CO397" s="53" t="n">
        <f aca="false">IF(BZ397=1,0,IFERROR(VLOOKUP(BX397,'Gebinde-Kategorie'!$A$5:$N$45,5,0)+0,0))</f>
        <v>8</v>
      </c>
      <c r="CP397" s="53" t="n">
        <f aca="false">IFERROR(IF(OR(CE397=1,CE397=2,CE397=3),N(INDEX(Parameter!$I$5:$I$7,CE397)),0),0)</f>
        <v>0</v>
      </c>
      <c r="CQ397" s="52" t="n">
        <f aca="false">IF(AND(Parameter!$B$21="Ja",ISNUMBER(W397),N(X397)&gt;0),IFERROR(N(INDEX(Parameter!$L$5:$L$7,W397))*INDEX(Parameter!$E$5:$E$7,W397)*X397/SUMIFS($X$7:$X$1843,$W$7:$W$1843,W397),0),0)</f>
        <v>0</v>
      </c>
    </row>
    <row r="398" customFormat="false" ht="15" hidden="false" customHeight="false" outlineLevel="0" collapsed="false">
      <c r="A398" s="48" t="s">
        <v>941</v>
      </c>
      <c r="B398" s="48" t="s">
        <v>942</v>
      </c>
      <c r="C398" s="48" t="s">
        <v>173</v>
      </c>
      <c r="D398" s="48" t="s">
        <v>193</v>
      </c>
      <c r="E398" s="48"/>
      <c r="F398" s="48" t="s">
        <v>227</v>
      </c>
      <c r="G398" s="49" t="n">
        <v>28.08</v>
      </c>
      <c r="H398" s="50" t="n">
        <f aca="false">MAX(0,IF(AND(Parameter!$B$21="Ja",ISNUMBER(Y398)),Y398,IF(Parameter!$B$20="Jahresanfang 2025 + Export",BR398+BQ398,BQ398)))</f>
        <v>4</v>
      </c>
      <c r="I398" s="50" t="n">
        <f aca="false">H398*G398</f>
        <v>112.32</v>
      </c>
      <c r="J398" s="50" t="n">
        <f aca="false">BT398*Parameter!$B$18</f>
        <v>0</v>
      </c>
      <c r="K398" s="51" t="n">
        <v>2</v>
      </c>
      <c r="L398" s="52" t="n">
        <v>0</v>
      </c>
      <c r="M398" s="50" t="n">
        <v>1</v>
      </c>
      <c r="N398" s="50" t="n">
        <v>4</v>
      </c>
      <c r="O398" s="53" t="n">
        <v>14</v>
      </c>
      <c r="P398" s="48" t="s">
        <v>177</v>
      </c>
      <c r="Q398" s="50"/>
      <c r="R398" s="53" t="n">
        <f aca="false">IF(BZ398=1,0,IFERROR(VLOOKUP(BX398,'Gebinde-Kategorie'!$A$5:$N$45,13,0)+0,0))</f>
        <v>26</v>
      </c>
      <c r="S398" s="54"/>
      <c r="T398" s="55" t="s">
        <v>284</v>
      </c>
      <c r="U398" s="55"/>
      <c r="V398" s="55"/>
      <c r="W398" s="48"/>
      <c r="X398" s="50"/>
      <c r="Y398" s="50"/>
      <c r="Z398" s="48" t="n">
        <f aca="false">IF(A398="","",IF(AND(Parameter!$B$21="Ja",ISNUMBER(W398)),W398,IF(CC398="2+3",IF(ISNUMBER(SEARCH("grosser Artikel",BU398)),2,IFERROR(VLOOKUP(BX398,Parameter!$F$35:$G$64,2,0),2)),IF(OR(CC398="Nein",CC398=""),"-",CC398))))</f>
        <v>3</v>
      </c>
      <c r="AA398" s="55"/>
      <c r="AB398" s="56"/>
      <c r="AC398" s="50" t="n">
        <f aca="false">AV398</f>
        <v>5</v>
      </c>
      <c r="AD398" s="50" t="n">
        <f aca="false">MAX(AV398,H398)</f>
        <v>5</v>
      </c>
      <c r="AE398" s="57"/>
      <c r="AF398" s="50" t="n">
        <f aca="false">IF(LEFT(Cockpit!$C$5,1)="A",H398,IF(Parameter!$E$30="MAX-Bestand",IF(CH398=1,CI398,IF(LEFT(Cockpit!$C$5,1)="B",AL398,MAX(AL398,H398))),ROUNDUP(AJ398,0)))</f>
        <v>4</v>
      </c>
      <c r="AG398" s="50" t="n">
        <f aca="false">IF(BZ398=1,0,ROUNDUP(AF398/BY398,0))</f>
        <v>1</v>
      </c>
      <c r="AH398" s="52" t="n">
        <f aca="false">IF(CQ398&gt;0,CQ398*MAX(1,AF398/X398),IF(BZ398=1,IF(AF398&lt;=0,0,CD398*MAX(1,IF(H398&gt;0,AF398/H398,1))),IF(R398&gt;0,AG398/R398,0))/MAX(0.1,N(Parameter!$M$21)))</f>
        <v>0.0384615384615385</v>
      </c>
      <c r="AI398" s="50" t="n">
        <f aca="false">AH398*CB398</f>
        <v>5.96153846153846</v>
      </c>
      <c r="AJ398" s="51" t="n">
        <f aca="false">IF(LEFT(Cockpit!$C$5,1)="A",H398,IF(CH398=1,(CK398+CI398)/2,IF(LEFT(Cockpit!$C$5,1)="B",(CK398+AL398)/2,MAX((CK398+AL398)/2,H398))))</f>
        <v>4</v>
      </c>
      <c r="AK398" s="50" t="n">
        <f aca="false">AJ398*G398</f>
        <v>112.32</v>
      </c>
      <c r="AL398" s="50" t="n">
        <f aca="false">ROUNDUP(CK398+MAX(CL398,2*(J398/IF(CG398&gt;0,CG398,MAX(0.1,N(Cockpit!$C$6)))-CK398)),0)</f>
        <v>5</v>
      </c>
      <c r="AM398" s="51" t="n">
        <f aca="false">IF(AI398&gt;0,J398/AI398,-1)</f>
        <v>0</v>
      </c>
      <c r="AN398" s="51" t="n">
        <f aca="false">IF(AND(OR(CF398="L1",CF398="L23",CF398="LIFT"),AI398&gt;0),SUMIFS($AI$7:$AI$1843,$CF$7:$CF$1843,CF398,$AM$7:$AM$1843,"&gt;"&amp;AM398)+SUMIFS($AI$7:$AI$1843,$CF$7:$CF$1843,CF398,$AM$7:$AM$1843,AM398,$BW$7:$BW$1843,"&lt;="&amp;BW398),"")</f>
        <v>28068.1865234577</v>
      </c>
      <c r="AO398" s="58" t="n">
        <f aca="false">IF(AN398="",0,MAX(0,MIN(1,(IF(CF398="L1",Parameter!$H$5,IF(CF398="L23",Parameter!$H$6+Parameter!$H$7,Parameter!$H$5+Parameter!$H$6+Parameter!$H$7))-(AN398-AI398))/AI398)))</f>
        <v>1</v>
      </c>
      <c r="AP398" s="50" t="n">
        <f aca="false">IF(LEFT(Cockpit!$I$5,1)="A",H398,IF(Parameter!$E$30="MAX-Bestand",IF(CH398=1,CI398,IF(LEFT(Cockpit!$I$5,1)="B",AV398,MAX(AV398,H398))),ROUNDUP(AT398,0)))</f>
        <v>4</v>
      </c>
      <c r="AQ398" s="50" t="n">
        <f aca="false">IF(BZ398=1,0,ROUNDUP(AP398/BY398,0))</f>
        <v>1</v>
      </c>
      <c r="AR398" s="52" t="n">
        <f aca="false">IF(CQ398&gt;0,CQ398*MAX(1,AP398/X398),IF(BZ398=1,IF(AP398&lt;=0,0,CD398*MAX(1,IF(H398&gt;0,AP398/H398,1))),IF(R398&gt;0,AQ398/R398,0))/MAX(0.1,N(Parameter!$M$21)))</f>
        <v>0.0384615384615385</v>
      </c>
      <c r="AS398" s="50" t="n">
        <f aca="false">AR398*CB398</f>
        <v>5.96153846153846</v>
      </c>
      <c r="AT398" s="51" t="n">
        <f aca="false">IF(LEFT(Cockpit!$I$5,1)="A",H398,IF(CH398=1,(CK398+CI398)/2,IF(LEFT(Cockpit!$I$5,1)="B",(CK398+AV398)/2,MAX((CK398+AV398)/2,H398))))</f>
        <v>4</v>
      </c>
      <c r="AU398" s="50" t="n">
        <f aca="false">AT398*G398</f>
        <v>112.32</v>
      </c>
      <c r="AV398" s="50" t="n">
        <f aca="false">ROUNDUP(CK398+MAX(CL398,2*(J398/IF(CG398&gt;0,CG398,MAX(0.1,N(Cockpit!$I$6)))-CK398)),0)</f>
        <v>5</v>
      </c>
      <c r="AW398" s="51" t="n">
        <f aca="false">IF(AS398&gt;0,J398/AS398,-1)</f>
        <v>0</v>
      </c>
      <c r="AX398" s="51" t="n">
        <f aca="false">IF(AND(OR(CF398="L1",CF398="L23",CF398="LIFT"),AS398&gt;0),SUMIFS($AS$7:$AS$1843,$CF$7:$CF$1843,CF398,$AW$7:$AW$1843,"&gt;"&amp;AW398)+SUMIFS($AS$7:$AS$1843,$CF$7:$CF$1843,CF398,$AW$7:$AW$1843,AW398,$BW$7:$BW$1843,"&lt;="&amp;BW398),"")</f>
        <v>33421.3351648352</v>
      </c>
      <c r="AY398" s="58" t="n">
        <f aca="false">IF(AX398="",0,MAX(0,MIN(1,(IF(CF398="L1",Parameter!$H$5,IF(CF398="L23",Parameter!$H$6+Parameter!$H$7,Parameter!$H$5+Parameter!$H$6+Parameter!$H$7))-(AX398-AS398))/AS398)))</f>
        <v>1</v>
      </c>
      <c r="AZ398" s="50" t="n">
        <f aca="false">IF(LEFT(Cockpit!$O$5,1)="A",H398,IF(Parameter!$E$30="MAX-Bestand",IF(CH398=1,CI398,IF(LEFT(Cockpit!$O$5,1)="B",BF398,MAX(BF398,H398))),ROUNDUP(BD398,0)))</f>
        <v>3</v>
      </c>
      <c r="BA398" s="50" t="n">
        <f aca="false">IF(BZ398=1,0,ROUNDUP(AZ398/BY398,0))</f>
        <v>1</v>
      </c>
      <c r="BB398" s="52" t="n">
        <f aca="false">IF(CQ398&gt;0,CQ398*MAX(1,AZ398/X398),IF(BZ398=1,IF(AZ398&lt;=0,0,CD398*MAX(1,IF(H398&gt;0,AZ398/H398,1))),IF(R398&gt;0,BA398/R398,0))/MAX(0.1,N(Parameter!$M$21)))</f>
        <v>0.0384615384615385</v>
      </c>
      <c r="BC398" s="50" t="n">
        <f aca="false">BB398*CB398</f>
        <v>5.96153846153846</v>
      </c>
      <c r="BD398" s="51" t="n">
        <f aca="false">IF(LEFT(Cockpit!$O$5,1)="A",H398,IF(CH398=1,(CK398+CI398)/2,IF(LEFT(Cockpit!$O$5,1)="B",(CK398+BF398)/2,MAX((CK398+BF398)/2,H398))))</f>
        <v>3</v>
      </c>
      <c r="BE398" s="50" t="n">
        <f aca="false">BD398*G398</f>
        <v>84.24</v>
      </c>
      <c r="BF398" s="50" t="n">
        <f aca="false">ROUNDUP(CK398+MAX(CL398,2*(J398/IF(CG398&gt;0,CG398,MAX(0.1,N(Cockpit!$O$6)))-CK398)),0)</f>
        <v>5</v>
      </c>
      <c r="BG398" s="51" t="n">
        <f aca="false">IF(BC398&gt;0,J398/BC398,-1)</f>
        <v>0</v>
      </c>
      <c r="BH398" s="51" t="n">
        <f aca="false">IF(AND(OR(CF398="L1",CF398="L23",CF398="LIFT"),BC398&gt;0),SUMIFS($BC$7:$BC$1843,$CF$7:$CF$1843,CF398,$BG$7:$BG$1843,"&gt;"&amp;BG398)+SUMIFS($BC$7:$BC$1843,$CF$7:$CF$1843,CF398,$BG$7:$BG$1843,BG398,$BW$7:$BW$1843,"&lt;="&amp;BW398),"")</f>
        <v>27534.8721363382</v>
      </c>
      <c r="BI398" s="58" t="n">
        <f aca="false">IF(BH398="",0,MAX(0,MIN(1,(IF(CF398="L1",Parameter!$H$5,IF(CF398="L23",Parameter!$H$6+Parameter!$H$7,Parameter!$H$5+Parameter!$H$6+Parameter!$H$7))-(BH398-BC398))/BC398)))</f>
        <v>1</v>
      </c>
      <c r="BJ398" s="48" t="str">
        <f aca="false">IF(AI398&lt;=0,"",IF(CF398="Aussen","Aussenlager",IF(CF398="-","Nicht im Lift",IF(AO398&gt;=1,"Lift",IF(AO398&lt;=0,"Aussenlager","teilweise")))))</f>
        <v>Lift</v>
      </c>
      <c r="BK398" s="48" t="str">
        <f aca="false">IF(AS398&lt;=0,"",IF(CF398="Aussen","Aussenlager",IF(CF398="-","Nicht im Lift",IF(AY398&gt;=1,"Lift",IF(AY398&lt;=0,"Aussenlager","teilweise")))))</f>
        <v>Lift</v>
      </c>
      <c r="BL398" s="48" t="str">
        <f aca="false">IF(BC398&lt;=0,"",IF(CF398="Aussen","Aussenlager",IF(CF398="-","Nicht im Lift",IF(BI398&gt;=1,"Lift",IF(BI398&lt;=0,"Aussenlager","teilweise")))))</f>
        <v>Lift</v>
      </c>
      <c r="BM398" s="48" t="str">
        <f aca="false">IF(A398="","",IF(BV398=1,"Neu; ","")&amp;IF(AND(BV398=0,BQ398&lt;0),"negativer Bestand (Export "&amp;BQ398&amp;"); ","")&amp;IF(J398&lt;=0,"Kein Verbrauch; ","")&amp;IF(CQ398&gt;0,"Lift "&amp;W398&amp;" lt. Liftbericht (Fach "&amp;X398&amp;" Stk); ",IF(CA398=1,"Gebinde geschätzt ("&amp;T398&amp;"); ",IF(BZ398=1,"Lose – Tablare geschätzt; ","")))&amp;IF(H398&gt;AV398,"Überbestand "&amp;ROUND(H398-AV398,0)&amp;" Stk / CHF "&amp;ROUND((H398-AV398)*G398,0)&amp;"; ","")&amp;IF(AND(CH398=1,CI398&lt;CJ398),"MAX &lt; MB+LG; ","")&amp;IF(AND(CP398&gt;0,CO398*10&gt;CP398),"zu hoch für Tablar; ","")&amp;IF(AND(BV398=0,OR(CH398=1,AA398&lt;&gt;"",U398&lt;&gt;"",V398&lt;&gt;"",AB398&lt;&gt;"")),"manuell übersteuert; ","")&amp;IF(AND(BZ398=0,R398=0),"Gebinde unbekannt / Stellmass fehlt; ","")&amp;IF(AND(BZ398=0,N(V398)&lt;=0,N(Q398)&lt;=0),"Menge pro Gebinde fehlt (Ist = 1 Gebinde); ","")&amp;BU398)</f>
        <v>Kein Verbrauch; Gebinde geschätzt (Klein); Menge pro Gebinde fehlt (Ist = 1 Gebinde); </v>
      </c>
      <c r="BN398" s="48"/>
      <c r="BO398" s="48"/>
      <c r="BP398" s="55"/>
      <c r="BQ398" s="50" t="n">
        <v>4</v>
      </c>
      <c r="BR398" s="50" t="n">
        <v>0</v>
      </c>
      <c r="BS398" s="49" t="n">
        <v>112.32</v>
      </c>
      <c r="BT398" s="50" t="n">
        <v>0</v>
      </c>
      <c r="BU398" s="48"/>
      <c r="BV398" s="53" t="n">
        <v>0</v>
      </c>
      <c r="BW398" s="53" t="n">
        <v>398</v>
      </c>
      <c r="BX398" s="48" t="str">
        <f aca="false">IF(U398&lt;&gt;"",UPPER(TRIM(U398)),IF(CA398=1,UPPER(VLOOKUP(T398,Parameter!$I$27:$K$29,2,0)),IF(P398="","LOSE",P398)))</f>
        <v>S51</v>
      </c>
      <c r="BY398" s="50" t="n">
        <f aca="false">IF(BX398="LOSE",1,IF(N(V398)&gt;0,V398,IF(CA398=1,MAX(1,N(VLOOKUP(T398,Parameter!$I$27:$K$29,3,0)),H398,N(N398)),IF(N(Q398)&gt;0,Q398,MAX(1,H398)))))</f>
        <v>20</v>
      </c>
      <c r="BZ398" s="53" t="n">
        <f aca="false">IF(BX398="LOSE",1,0)</f>
        <v>0</v>
      </c>
      <c r="CA398" s="53" t="n">
        <f aca="false">IF(AND(U398="",OR(P398="",P398="LOSE"),T398&lt;&gt;"",N(S398)&lt;=0,ISNUMBER(MATCH(T398,Parameter!$I$27:$I$29,0))),1,0)</f>
        <v>1</v>
      </c>
      <c r="CB398" s="53" t="n">
        <f aca="false">IF(CQ398&gt;0,INDEX(Parameter!$H$5:$H$7,W398)/INDEX(Parameter!$E$5:$E$7,W398),IF(AND(BZ398=0,N(IFERROR(VLOOKUP(BX398,'Gebinde-Kategorie'!$A$5:$N$45,14,0),0))&gt;0),VLOOKUP(BX398,'Gebinde-Kategorie'!$A$5:$N$45,14,0)*10+Parameter!$M$23,Parameter!$M$24))</f>
        <v>155</v>
      </c>
      <c r="CC398" s="48" t="str">
        <f aca="false">IF(AND(Parameter!$B$19="Ja",E398&lt;&gt;"",ISNUMBER(MATCH(E398,Parameter!$I$35:$I$52,0))),VLOOKUP(E398,Parameter!$I$35:$J$52,2,0),IFERROR(VLOOKUP(D398,Parameter!$A$35:$C$64,2,0),"Nein"))</f>
        <v>2+3</v>
      </c>
      <c r="CD398" s="52" t="n">
        <f aca="false">IF(BZ398=0,0,IF(N(S398)&gt;0,S398,IFERROR(VLOOKUP(D398,Parameter!$A$35:$C$64,3,0)+0,0)))</f>
        <v>0</v>
      </c>
      <c r="CE398" s="48" t="n">
        <f aca="false">IF(AA398&lt;&gt;"",AA398,Z398)</f>
        <v>3</v>
      </c>
      <c r="CF398" s="48" t="str">
        <f aca="false">IF(OR(CE398=1,CE398=2,CE398=3),IF(Parameter!$E$27="Ja","LIFT",IF(CE398=1,"L1","L23")),IF(CE398="Aussen","Aussen","-"))</f>
        <v>LIFT</v>
      </c>
      <c r="CG398" s="59" t="n">
        <f aca="false">IF(N(AB398)&gt;0,AB398,0)</f>
        <v>0</v>
      </c>
      <c r="CH398" s="53" t="n">
        <f aca="false">IF(ISNUMBER(AE398),1,0)</f>
        <v>0</v>
      </c>
      <c r="CI398" s="50" t="n">
        <f aca="false">N(AE398)</f>
        <v>0</v>
      </c>
      <c r="CJ398" s="50" t="n">
        <f aca="false">N(M398)+N(N398)</f>
        <v>5</v>
      </c>
      <c r="CK398" s="50" t="n">
        <f aca="false">N(M398)</f>
        <v>1</v>
      </c>
      <c r="CL398" s="50" t="n">
        <f aca="false">N(N398)</f>
        <v>4</v>
      </c>
      <c r="CM398" s="50" t="n">
        <f aca="false">ROUNDUP(H398/BY398,0)</f>
        <v>1</v>
      </c>
      <c r="CN398" s="50" t="n">
        <f aca="false">ROUNDUP(CI398/BY398,0)</f>
        <v>0</v>
      </c>
      <c r="CO398" s="53" t="n">
        <f aca="false">IF(BZ398=1,0,IFERROR(VLOOKUP(BX398,'Gebinde-Kategorie'!$A$5:$N$45,5,0)+0,0))</f>
        <v>11</v>
      </c>
      <c r="CP398" s="53" t="n">
        <f aca="false">IFERROR(IF(OR(CE398=1,CE398=2,CE398=3),N(INDEX(Parameter!$I$5:$I$7,CE398)),0),0)</f>
        <v>0</v>
      </c>
      <c r="CQ398" s="52" t="n">
        <f aca="false">IF(AND(Parameter!$B$21="Ja",ISNUMBER(W398),N(X398)&gt;0),IFERROR(N(INDEX(Parameter!$L$5:$L$7,W398))*INDEX(Parameter!$E$5:$E$7,W398)*X398/SUMIFS($X$7:$X$1843,$W$7:$W$1843,W398),0),0)</f>
        <v>0</v>
      </c>
    </row>
    <row r="399" customFormat="false" ht="15" hidden="false" customHeight="false" outlineLevel="0" collapsed="false">
      <c r="A399" s="48" t="s">
        <v>943</v>
      </c>
      <c r="B399" s="48" t="s">
        <v>745</v>
      </c>
      <c r="C399" s="48" t="s">
        <v>173</v>
      </c>
      <c r="D399" s="48" t="s">
        <v>182</v>
      </c>
      <c r="E399" s="48"/>
      <c r="F399" s="48" t="s">
        <v>227</v>
      </c>
      <c r="G399" s="49" t="n">
        <v>37.2</v>
      </c>
      <c r="H399" s="50" t="n">
        <f aca="false">MAX(0,IF(AND(Parameter!$B$21="Ja",ISNUMBER(Y399)),Y399,IF(Parameter!$B$20="Jahresanfang 2025 + Export",BR399+BQ399,BQ399)))</f>
        <v>7</v>
      </c>
      <c r="I399" s="50" t="n">
        <f aca="false">H399*G399</f>
        <v>260.4</v>
      </c>
      <c r="J399" s="50" t="n">
        <f aca="false">BT399*Parameter!$B$18</f>
        <v>0</v>
      </c>
      <c r="K399" s="51" t="n">
        <v>5.5</v>
      </c>
      <c r="L399" s="52" t="n">
        <v>0</v>
      </c>
      <c r="M399" s="50" t="n">
        <v>4</v>
      </c>
      <c r="N399" s="50" t="n">
        <v>1</v>
      </c>
      <c r="O399" s="53" t="n">
        <v>35</v>
      </c>
      <c r="P399" s="48" t="s">
        <v>177</v>
      </c>
      <c r="Q399" s="50"/>
      <c r="R399" s="53" t="n">
        <f aca="false">IF(BZ399=1,0,IFERROR(VLOOKUP(BX399,'Gebinde-Kategorie'!$A$5:$N$45,13,0)+0,0))</f>
        <v>12</v>
      </c>
      <c r="S399" s="54"/>
      <c r="T399" s="55" t="s">
        <v>188</v>
      </c>
      <c r="U399" s="55"/>
      <c r="V399" s="55"/>
      <c r="W399" s="48"/>
      <c r="X399" s="50"/>
      <c r="Y399" s="50"/>
      <c r="Z399" s="48" t="n">
        <f aca="false">IF(A399="","",IF(AND(Parameter!$B$21="Ja",ISNUMBER(W399)),W399,IF(CC399="2+3",IF(ISNUMBER(SEARCH("grosser Artikel",BU399)),2,IFERROR(VLOOKUP(BX399,Parameter!$F$35:$G$64,2,0),2)),IF(OR(CC399="Nein",CC399=""),"-",CC399))))</f>
        <v>2</v>
      </c>
      <c r="AA399" s="55"/>
      <c r="AB399" s="56"/>
      <c r="AC399" s="50" t="n">
        <f aca="false">AV399</f>
        <v>5</v>
      </c>
      <c r="AD399" s="50" t="n">
        <f aca="false">MAX(AV399,H399)</f>
        <v>7</v>
      </c>
      <c r="AE399" s="57"/>
      <c r="AF399" s="50" t="n">
        <f aca="false">IF(LEFT(Cockpit!$C$5,1)="A",H399,IF(Parameter!$E$30="MAX-Bestand",IF(CH399=1,CI399,IF(LEFT(Cockpit!$C$5,1)="B",AL399,MAX(AL399,H399))),ROUNDUP(AJ399,0)))</f>
        <v>7</v>
      </c>
      <c r="AG399" s="50" t="n">
        <f aca="false">IF(BZ399=1,0,ROUNDUP(AF399/BY399,0))</f>
        <v>1</v>
      </c>
      <c r="AH399" s="52" t="n">
        <f aca="false">IF(CQ399&gt;0,CQ399*MAX(1,AF399/X399),IF(BZ399=1,IF(AF399&lt;=0,0,CD399*MAX(1,IF(H399&gt;0,AF399/H399,1))),IF(R399&gt;0,AG399/R399,0))/MAX(0.1,N(Parameter!$M$21)))</f>
        <v>0.0833333333333333</v>
      </c>
      <c r="AI399" s="50" t="n">
        <f aca="false">AH399*CB399</f>
        <v>12.0833333333333</v>
      </c>
      <c r="AJ399" s="51" t="n">
        <f aca="false">IF(LEFT(Cockpit!$C$5,1)="A",H399,IF(CH399=1,(CK399+CI399)/2,IF(LEFT(Cockpit!$C$5,1)="B",(CK399+AL399)/2,MAX((CK399+AL399)/2,H399))))</f>
        <v>7</v>
      </c>
      <c r="AK399" s="50" t="n">
        <f aca="false">AJ399*G399</f>
        <v>260.4</v>
      </c>
      <c r="AL399" s="50" t="n">
        <f aca="false">ROUNDUP(CK399+MAX(CL399,2*(J399/IF(CG399&gt;0,CG399,MAX(0.1,N(Cockpit!$C$6)))-CK399)),0)</f>
        <v>5</v>
      </c>
      <c r="AM399" s="51" t="n">
        <f aca="false">IF(AI399&gt;0,J399/AI399,-1)</f>
        <v>0</v>
      </c>
      <c r="AN399" s="51" t="n">
        <f aca="false">IF(AND(OR(CF399="L1",CF399="L23",CF399="LIFT"),AI399&gt;0),SUMIFS($AI$7:$AI$1843,$CF$7:$CF$1843,CF399,$AM$7:$AM$1843,"&gt;"&amp;AM399)+SUMIFS($AI$7:$AI$1843,$CF$7:$CF$1843,CF399,$AM$7:$AM$1843,AM399,$BW$7:$BW$1843,"&lt;="&amp;BW399),"")</f>
        <v>28080.269856791</v>
      </c>
      <c r="AO399" s="58" t="n">
        <f aca="false">IF(AN399="",0,MAX(0,MIN(1,(IF(CF399="L1",Parameter!$H$5,IF(CF399="L23",Parameter!$H$6+Parameter!$H$7,Parameter!$H$5+Parameter!$H$6+Parameter!$H$7))-(AN399-AI399))/AI399)))</f>
        <v>1</v>
      </c>
      <c r="AP399" s="50" t="n">
        <f aca="false">IF(LEFT(Cockpit!$I$5,1)="A",H399,IF(Parameter!$E$30="MAX-Bestand",IF(CH399=1,CI399,IF(LEFT(Cockpit!$I$5,1)="B",AV399,MAX(AV399,H399))),ROUNDUP(AT399,0)))</f>
        <v>7</v>
      </c>
      <c r="AQ399" s="50" t="n">
        <f aca="false">IF(BZ399=1,0,ROUNDUP(AP399/BY399,0))</f>
        <v>1</v>
      </c>
      <c r="AR399" s="52" t="n">
        <f aca="false">IF(CQ399&gt;0,CQ399*MAX(1,AP399/X399),IF(BZ399=1,IF(AP399&lt;=0,0,CD399*MAX(1,IF(H399&gt;0,AP399/H399,1))),IF(R399&gt;0,AQ399/R399,0))/MAX(0.1,N(Parameter!$M$21)))</f>
        <v>0.0833333333333333</v>
      </c>
      <c r="AS399" s="50" t="n">
        <f aca="false">AR399*CB399</f>
        <v>12.0833333333333</v>
      </c>
      <c r="AT399" s="51" t="n">
        <f aca="false">IF(LEFT(Cockpit!$I$5,1)="A",H399,IF(CH399=1,(CK399+CI399)/2,IF(LEFT(Cockpit!$I$5,1)="B",(CK399+AV399)/2,MAX((CK399+AV399)/2,H399))))</f>
        <v>7</v>
      </c>
      <c r="AU399" s="50" t="n">
        <f aca="false">AT399*G399</f>
        <v>260.4</v>
      </c>
      <c r="AV399" s="50" t="n">
        <f aca="false">ROUNDUP(CK399+MAX(CL399,2*(J399/IF(CG399&gt;0,CG399,MAX(0.1,N(Cockpit!$I$6)))-CK399)),0)</f>
        <v>5</v>
      </c>
      <c r="AW399" s="51" t="n">
        <f aca="false">IF(AS399&gt;0,J399/AS399,-1)</f>
        <v>0</v>
      </c>
      <c r="AX399" s="51" t="n">
        <f aca="false">IF(AND(OR(CF399="L1",CF399="L23",CF399="LIFT"),AS399&gt;0),SUMIFS($AS$7:$AS$1843,$CF$7:$CF$1843,CF399,$AW$7:$AW$1843,"&gt;"&amp;AW399)+SUMIFS($AS$7:$AS$1843,$CF$7:$CF$1843,CF399,$AW$7:$AW$1843,AW399,$BW$7:$BW$1843,"&lt;="&amp;BW399),"")</f>
        <v>33433.4184981685</v>
      </c>
      <c r="AY399" s="58" t="n">
        <f aca="false">IF(AX399="",0,MAX(0,MIN(1,(IF(CF399="L1",Parameter!$H$5,IF(CF399="L23",Parameter!$H$6+Parameter!$H$7,Parameter!$H$5+Parameter!$H$6+Parameter!$H$7))-(AX399-AS399))/AS399)))</f>
        <v>1</v>
      </c>
      <c r="AZ399" s="50" t="n">
        <f aca="false">IF(LEFT(Cockpit!$O$5,1)="A",H399,IF(Parameter!$E$30="MAX-Bestand",IF(CH399=1,CI399,IF(LEFT(Cockpit!$O$5,1)="B",BF399,MAX(BF399,H399))),ROUNDUP(BD399,0)))</f>
        <v>5</v>
      </c>
      <c r="BA399" s="50" t="n">
        <f aca="false">IF(BZ399=1,0,ROUNDUP(AZ399/BY399,0))</f>
        <v>1</v>
      </c>
      <c r="BB399" s="52" t="n">
        <f aca="false">IF(CQ399&gt;0,CQ399*MAX(1,AZ399/X399),IF(BZ399=1,IF(AZ399&lt;=0,0,CD399*MAX(1,IF(H399&gt;0,AZ399/H399,1))),IF(R399&gt;0,BA399/R399,0))/MAX(0.1,N(Parameter!$M$21)))</f>
        <v>0.0833333333333333</v>
      </c>
      <c r="BC399" s="50" t="n">
        <f aca="false">BB399*CB399</f>
        <v>12.0833333333333</v>
      </c>
      <c r="BD399" s="51" t="n">
        <f aca="false">IF(LEFT(Cockpit!$O$5,1)="A",H399,IF(CH399=1,(CK399+CI399)/2,IF(LEFT(Cockpit!$O$5,1)="B",(CK399+BF399)/2,MAX((CK399+BF399)/2,H399))))</f>
        <v>4.5</v>
      </c>
      <c r="BE399" s="50" t="n">
        <f aca="false">BD399*G399</f>
        <v>167.4</v>
      </c>
      <c r="BF399" s="50" t="n">
        <f aca="false">ROUNDUP(CK399+MAX(CL399,2*(J399/IF(CG399&gt;0,CG399,MAX(0.1,N(Cockpit!$O$6)))-CK399)),0)</f>
        <v>5</v>
      </c>
      <c r="BG399" s="51" t="n">
        <f aca="false">IF(BC399&gt;0,J399/BC399,-1)</f>
        <v>0</v>
      </c>
      <c r="BH399" s="51" t="n">
        <f aca="false">IF(AND(OR(CF399="L1",CF399="L23",CF399="LIFT"),BC399&gt;0),SUMIFS($BC$7:$BC$1843,$CF$7:$CF$1843,CF399,$BG$7:$BG$1843,"&gt;"&amp;BG399)+SUMIFS($BC$7:$BC$1843,$CF$7:$CF$1843,CF399,$BG$7:$BG$1843,BG399,$BW$7:$BW$1843,"&lt;="&amp;BW399),"")</f>
        <v>27546.9554696716</v>
      </c>
      <c r="BI399" s="58" t="n">
        <f aca="false">IF(BH399="",0,MAX(0,MIN(1,(IF(CF399="L1",Parameter!$H$5,IF(CF399="L23",Parameter!$H$6+Parameter!$H$7,Parameter!$H$5+Parameter!$H$6+Parameter!$H$7))-(BH399-BC399))/BC399)))</f>
        <v>1</v>
      </c>
      <c r="BJ399" s="48" t="str">
        <f aca="false">IF(AI399&lt;=0,"",IF(CF399="Aussen","Aussenlager",IF(CF399="-","Nicht im Lift",IF(AO399&gt;=1,"Lift",IF(AO399&lt;=0,"Aussenlager","teilweise")))))</f>
        <v>Lift</v>
      </c>
      <c r="BK399" s="48" t="str">
        <f aca="false">IF(AS399&lt;=0,"",IF(CF399="Aussen","Aussenlager",IF(CF399="-","Nicht im Lift",IF(AY399&gt;=1,"Lift",IF(AY399&lt;=0,"Aussenlager","teilweise")))))</f>
        <v>Lift</v>
      </c>
      <c r="BL399" s="48" t="str">
        <f aca="false">IF(BC399&lt;=0,"",IF(CF399="Aussen","Aussenlager",IF(CF399="-","Nicht im Lift",IF(BI399&gt;=1,"Lift",IF(BI399&lt;=0,"Aussenlager","teilweise")))))</f>
        <v>Lift</v>
      </c>
      <c r="BM399" s="48" t="str">
        <f aca="false">IF(A399="","",IF(BV399=1,"Neu; ","")&amp;IF(AND(BV399=0,BQ399&lt;0),"negativer Bestand (Export "&amp;BQ399&amp;"); ","")&amp;IF(J399&lt;=0,"Kein Verbrauch; ","")&amp;IF(CQ399&gt;0,"Lift "&amp;W399&amp;" lt. Liftbericht (Fach "&amp;X399&amp;" Stk); ",IF(CA399=1,"Gebinde geschätzt ("&amp;T399&amp;"); ",IF(BZ399=1,"Lose – Tablare geschätzt; ","")))&amp;IF(H399&gt;AV399,"Überbestand "&amp;ROUND(H399-AV399,0)&amp;" Stk / CHF "&amp;ROUND((H399-AV399)*G399,0)&amp;"; ","")&amp;IF(AND(CH399=1,CI399&lt;CJ399),"MAX &lt; MB+LG; ","")&amp;IF(AND(CP399&gt;0,CO399*10&gt;CP399),"zu hoch für Tablar; ","")&amp;IF(AND(BV399=0,OR(CH399=1,AA399&lt;&gt;"",U399&lt;&gt;"",V399&lt;&gt;"",AB399&lt;&gt;"")),"manuell übersteuert; ","")&amp;IF(AND(BZ399=0,R399=0),"Gebinde unbekannt / Stellmass fehlt; ","")&amp;IF(AND(BZ399=0,N(V399)&lt;=0,N(Q399)&lt;=0),"Menge pro Gebinde fehlt (Ist = 1 Gebinde); ","")&amp;BU399)</f>
        <v>Kein Verbrauch; Gebinde geschätzt (Mittel); Überbestand 2 Stk / CHF 74; Menge pro Gebinde fehlt (Ist = 1 Gebinde); </v>
      </c>
      <c r="BN399" s="48"/>
      <c r="BO399" s="48"/>
      <c r="BP399" s="55"/>
      <c r="BQ399" s="50" t="n">
        <v>3</v>
      </c>
      <c r="BR399" s="50" t="n">
        <v>4</v>
      </c>
      <c r="BS399" s="49" t="n">
        <v>111.6</v>
      </c>
      <c r="BT399" s="50" t="n">
        <v>0</v>
      </c>
      <c r="BU399" s="48"/>
      <c r="BV399" s="53" t="n">
        <v>0</v>
      </c>
      <c r="BW399" s="53" t="n">
        <v>399</v>
      </c>
      <c r="BX399" s="48" t="str">
        <f aca="false">IF(U399&lt;&gt;"",UPPER(TRIM(U399)),IF(CA399=1,UPPER(VLOOKUP(T399,Parameter!$I$27:$K$29,2,0)),IF(P399="","LOSE",P399)))</f>
        <v>S61</v>
      </c>
      <c r="BY399" s="50" t="n">
        <f aca="false">IF(BX399="LOSE",1,IF(N(V399)&gt;0,V399,IF(CA399=1,MAX(1,N(VLOOKUP(T399,Parameter!$I$27:$K$29,3,0)),H399,N(N399)),IF(N(Q399)&gt;0,Q399,MAX(1,H399)))))</f>
        <v>7</v>
      </c>
      <c r="BZ399" s="53" t="n">
        <f aca="false">IF(BX399="LOSE",1,0)</f>
        <v>0</v>
      </c>
      <c r="CA399" s="53" t="n">
        <f aca="false">IF(AND(U399="",OR(P399="",P399="LOSE"),T399&lt;&gt;"",N(S399)&lt;=0,ISNUMBER(MATCH(T399,Parameter!$I$27:$I$29,0))),1,0)</f>
        <v>1</v>
      </c>
      <c r="CB399" s="53" t="n">
        <f aca="false">IF(CQ399&gt;0,INDEX(Parameter!$H$5:$H$7,W399)/INDEX(Parameter!$E$5:$E$7,W399),IF(AND(BZ399=0,N(IFERROR(VLOOKUP(BX399,'Gebinde-Kategorie'!$A$5:$N$45,14,0),0))&gt;0),VLOOKUP(BX399,'Gebinde-Kategorie'!$A$5:$N$45,14,0)*10+Parameter!$M$23,Parameter!$M$24))</f>
        <v>145</v>
      </c>
      <c r="CC399" s="48" t="str">
        <f aca="false">IF(AND(Parameter!$B$19="Ja",E399&lt;&gt;"",ISNUMBER(MATCH(E399,Parameter!$I$35:$I$52,0))),VLOOKUP(E399,Parameter!$I$35:$J$52,2,0),IFERROR(VLOOKUP(D399,Parameter!$A$35:$C$64,2,0),"Nein"))</f>
        <v>2+3</v>
      </c>
      <c r="CD399" s="52" t="n">
        <f aca="false">IF(BZ399=0,0,IF(N(S399)&gt;0,S399,IFERROR(VLOOKUP(D399,Parameter!$A$35:$C$64,3,0)+0,0)))</f>
        <v>0</v>
      </c>
      <c r="CE399" s="48" t="n">
        <f aca="false">IF(AA399&lt;&gt;"",AA399,Z399)</f>
        <v>2</v>
      </c>
      <c r="CF399" s="48" t="str">
        <f aca="false">IF(OR(CE399=1,CE399=2,CE399=3),IF(Parameter!$E$27="Ja","LIFT",IF(CE399=1,"L1","L23")),IF(CE399="Aussen","Aussen","-"))</f>
        <v>LIFT</v>
      </c>
      <c r="CG399" s="59" t="n">
        <f aca="false">IF(N(AB399)&gt;0,AB399,0)</f>
        <v>0</v>
      </c>
      <c r="CH399" s="53" t="n">
        <f aca="false">IF(ISNUMBER(AE399),1,0)</f>
        <v>0</v>
      </c>
      <c r="CI399" s="50" t="n">
        <f aca="false">N(AE399)</f>
        <v>0</v>
      </c>
      <c r="CJ399" s="50" t="n">
        <f aca="false">N(M399)+N(N399)</f>
        <v>5</v>
      </c>
      <c r="CK399" s="50" t="n">
        <f aca="false">N(M399)</f>
        <v>4</v>
      </c>
      <c r="CL399" s="50" t="n">
        <f aca="false">N(N399)</f>
        <v>1</v>
      </c>
      <c r="CM399" s="50" t="n">
        <f aca="false">ROUNDUP(H399/BY399,0)</f>
        <v>1</v>
      </c>
      <c r="CN399" s="50" t="n">
        <f aca="false">ROUNDUP(CI399/BY399,0)</f>
        <v>0</v>
      </c>
      <c r="CO399" s="53" t="n">
        <f aca="false">IF(BZ399=1,0,IFERROR(VLOOKUP(BX399,'Gebinde-Kategorie'!$A$5:$N$45,5,0)+0,0))</f>
        <v>11</v>
      </c>
      <c r="CP399" s="53" t="n">
        <f aca="false">IFERROR(IF(OR(CE399=1,CE399=2,CE399=3),N(INDEX(Parameter!$I$5:$I$7,CE399)),0),0)</f>
        <v>0</v>
      </c>
      <c r="CQ399" s="52" t="n">
        <f aca="false">IF(AND(Parameter!$B$21="Ja",ISNUMBER(W399),N(X399)&gt;0),IFERROR(N(INDEX(Parameter!$L$5:$L$7,W399))*INDEX(Parameter!$E$5:$E$7,W399)*X399/SUMIFS($X$7:$X$1843,$W$7:$W$1843,W399),0),0)</f>
        <v>0</v>
      </c>
    </row>
    <row r="400" customFormat="false" ht="15" hidden="false" customHeight="false" outlineLevel="0" collapsed="false">
      <c r="A400" s="48" t="s">
        <v>944</v>
      </c>
      <c r="B400" s="48" t="s">
        <v>733</v>
      </c>
      <c r="C400" s="48" t="s">
        <v>173</v>
      </c>
      <c r="D400" s="48" t="s">
        <v>193</v>
      </c>
      <c r="E400" s="48" t="s">
        <v>194</v>
      </c>
      <c r="F400" s="48" t="s">
        <v>227</v>
      </c>
      <c r="G400" s="49" t="n">
        <v>10.97</v>
      </c>
      <c r="H400" s="50" t="n">
        <f aca="false">MAX(0,IF(AND(Parameter!$B$21="Ja",ISNUMBER(Y400)),Y400,IF(Parameter!$B$20="Jahresanfang 2025 + Export",BR400+BQ400,BQ400)))</f>
        <v>13</v>
      </c>
      <c r="I400" s="50" t="n">
        <f aca="false">H400*G400</f>
        <v>142.61</v>
      </c>
      <c r="J400" s="50" t="n">
        <f aca="false">BT400*Parameter!$B$18</f>
        <v>8</v>
      </c>
      <c r="K400" s="51" t="n">
        <v>2.5</v>
      </c>
      <c r="L400" s="52" t="n">
        <v>3.2</v>
      </c>
      <c r="M400" s="50" t="n">
        <v>0</v>
      </c>
      <c r="N400" s="50" t="n">
        <v>10</v>
      </c>
      <c r="O400" s="53" t="n">
        <v>14</v>
      </c>
      <c r="P400" s="48" t="s">
        <v>435</v>
      </c>
      <c r="Q400" s="50" t="n">
        <v>12</v>
      </c>
      <c r="R400" s="53" t="n">
        <f aca="false">IF(BZ400=1,0,IFERROR(VLOOKUP(BX400,'Gebinde-Kategorie'!$A$5:$N$45,13,0)+0,0))</f>
        <v>140</v>
      </c>
      <c r="S400" s="54"/>
      <c r="T400" s="55"/>
      <c r="U400" s="55"/>
      <c r="V400" s="55"/>
      <c r="W400" s="48"/>
      <c r="X400" s="50"/>
      <c r="Y400" s="50"/>
      <c r="Z400" s="48" t="n">
        <f aca="false">IF(A400="","",IF(AND(Parameter!$B$21="Ja",ISNUMBER(W400)),W400,IF(CC400="2+3",IF(ISNUMBER(SEARCH("grosser Artikel",BU400)),2,IFERROR(VLOOKUP(BX400,Parameter!$F$35:$G$64,2,0),2)),IF(OR(CC400="Nein",CC400=""),"-",CC400))))</f>
        <v>3</v>
      </c>
      <c r="AA400" s="55"/>
      <c r="AB400" s="56"/>
      <c r="AC400" s="50" t="n">
        <f aca="false">AV400</f>
        <v>10</v>
      </c>
      <c r="AD400" s="50" t="n">
        <f aca="false">MAX(AV400,H400)</f>
        <v>13</v>
      </c>
      <c r="AE400" s="57"/>
      <c r="AF400" s="50" t="n">
        <f aca="false">IF(LEFT(Cockpit!$C$5,1)="A",H400,IF(Parameter!$E$30="MAX-Bestand",IF(CH400=1,CI400,IF(LEFT(Cockpit!$C$5,1)="B",AL400,MAX(AL400,H400))),ROUNDUP(AJ400,0)))</f>
        <v>13</v>
      </c>
      <c r="AG400" s="50" t="n">
        <f aca="false">IF(BZ400=1,0,ROUNDUP(AF400/BY400,0))</f>
        <v>2</v>
      </c>
      <c r="AH400" s="52" t="n">
        <f aca="false">IF(CQ400&gt;0,CQ400*MAX(1,AF400/X400),IF(BZ400=1,IF(AF400&lt;=0,0,CD400*MAX(1,IF(H400&gt;0,AF400/H400,1))),IF(R400&gt;0,AG400/R400,0))/MAX(0.1,N(Parameter!$M$21)))</f>
        <v>0.0142857142857143</v>
      </c>
      <c r="AI400" s="50" t="n">
        <f aca="false">AH400*CB400</f>
        <v>2.21428571428571</v>
      </c>
      <c r="AJ400" s="51" t="n">
        <f aca="false">IF(LEFT(Cockpit!$C$5,1)="A",H400,IF(CH400=1,(CK400+CI400)/2,IF(LEFT(Cockpit!$C$5,1)="B",(CK400+AL400)/2,MAX((CK400+AL400)/2,H400))))</f>
        <v>13</v>
      </c>
      <c r="AK400" s="50" t="n">
        <f aca="false">AJ400*G400</f>
        <v>142.61</v>
      </c>
      <c r="AL400" s="50" t="n">
        <f aca="false">ROUNDUP(CK400+MAX(CL400,2*(J400/IF(CG400&gt;0,CG400,MAX(0.1,N(Cockpit!$C$6)))-CK400)),0)</f>
        <v>10</v>
      </c>
      <c r="AM400" s="51" t="n">
        <f aca="false">IF(AI400&gt;0,J400/AI400,-1)</f>
        <v>3.61290322580645</v>
      </c>
      <c r="AN400" s="51" t="n">
        <f aca="false">IF(AND(OR(CF400="L1",CF400="L23",CF400="LIFT"),AI400&gt;0),SUMIFS($AI$7:$AI$1843,$CF$7:$CF$1843,CF400,$AM$7:$AM$1843,"&gt;"&amp;AM400)+SUMIFS($AI$7:$AI$1843,$CF$7:$CF$1843,CF400,$AM$7:$AM$1843,AM400,$BW$7:$BW$1843,"&lt;="&amp;BW400),"")</f>
        <v>4822.33836996337</v>
      </c>
      <c r="AO400" s="58" t="n">
        <f aca="false">IF(AN400="",0,MAX(0,MIN(1,(IF(CF400="L1",Parameter!$H$5,IF(CF400="L23",Parameter!$H$6+Parameter!$H$7,Parameter!$H$5+Parameter!$H$6+Parameter!$H$7))-(AN400-AI400))/AI400)))</f>
        <v>1</v>
      </c>
      <c r="AP400" s="50" t="n">
        <f aca="false">IF(LEFT(Cockpit!$I$5,1)="A",H400,IF(Parameter!$E$30="MAX-Bestand",IF(CH400=1,CI400,IF(LEFT(Cockpit!$I$5,1)="B",AV400,MAX(AV400,H400))),ROUNDUP(AT400,0)))</f>
        <v>13</v>
      </c>
      <c r="AQ400" s="50" t="n">
        <f aca="false">IF(BZ400=1,0,ROUNDUP(AP400/BY400,0))</f>
        <v>2</v>
      </c>
      <c r="AR400" s="52" t="n">
        <f aca="false">IF(CQ400&gt;0,CQ400*MAX(1,AP400/X400),IF(BZ400=1,IF(AP400&lt;=0,0,CD400*MAX(1,IF(H400&gt;0,AP400/H400,1))),IF(R400&gt;0,AQ400/R400,0))/MAX(0.1,N(Parameter!$M$21)))</f>
        <v>0.0142857142857143</v>
      </c>
      <c r="AS400" s="50" t="n">
        <f aca="false">AR400*CB400</f>
        <v>2.21428571428571</v>
      </c>
      <c r="AT400" s="51" t="n">
        <f aca="false">IF(LEFT(Cockpit!$I$5,1)="A",H400,IF(CH400=1,(CK400+CI400)/2,IF(LEFT(Cockpit!$I$5,1)="B",(CK400+AV400)/2,MAX((CK400+AV400)/2,H400))))</f>
        <v>13</v>
      </c>
      <c r="AU400" s="50" t="n">
        <f aca="false">AT400*G400</f>
        <v>142.61</v>
      </c>
      <c r="AV400" s="50" t="n">
        <f aca="false">ROUNDUP(CK400+MAX(CL400,2*(J400/IF(CG400&gt;0,CG400,MAX(0.1,N(Cockpit!$I$6)))-CK400)),0)</f>
        <v>10</v>
      </c>
      <c r="AW400" s="51" t="n">
        <f aca="false">IF(AS400&gt;0,J400/AS400,-1)</f>
        <v>3.61290322580645</v>
      </c>
      <c r="AX400" s="51" t="n">
        <f aca="false">IF(AND(OR(CF400="L1",CF400="L23",CF400="LIFT"),AS400&gt;0),SUMIFS($AS$7:$AS$1843,$CF$7:$CF$1843,CF400,$AW$7:$AW$1843,"&gt;"&amp;AW400)+SUMIFS($AS$7:$AS$1843,$CF$7:$CF$1843,CF400,$AW$7:$AW$1843,AW400,$BW$7:$BW$1843,"&lt;="&amp;BW400),"")</f>
        <v>5399.92536630037</v>
      </c>
      <c r="AY400" s="58" t="n">
        <f aca="false">IF(AX400="",0,MAX(0,MIN(1,(IF(CF400="L1",Parameter!$H$5,IF(CF400="L23",Parameter!$H$6+Parameter!$H$7,Parameter!$H$5+Parameter!$H$6+Parameter!$H$7))-(AX400-AS400))/AS400)))</f>
        <v>1</v>
      </c>
      <c r="AZ400" s="50" t="n">
        <f aca="false">IF(LEFT(Cockpit!$O$5,1)="A",H400,IF(Parameter!$E$30="MAX-Bestand",IF(CH400=1,CI400,IF(LEFT(Cockpit!$O$5,1)="B",BF400,MAX(BF400,H400))),ROUNDUP(BD400,0)))</f>
        <v>5</v>
      </c>
      <c r="BA400" s="50" t="n">
        <f aca="false">IF(BZ400=1,0,ROUNDUP(AZ400/BY400,0))</f>
        <v>1</v>
      </c>
      <c r="BB400" s="52" t="n">
        <f aca="false">IF(CQ400&gt;0,CQ400*MAX(1,AZ400/X400),IF(BZ400=1,IF(AZ400&lt;=0,0,CD400*MAX(1,IF(H400&gt;0,AZ400/H400,1))),IF(R400&gt;0,BA400/R400,0))/MAX(0.1,N(Parameter!$M$21)))</f>
        <v>0.00714285714285714</v>
      </c>
      <c r="BC400" s="50" t="n">
        <f aca="false">BB400*CB400</f>
        <v>1.10714285714286</v>
      </c>
      <c r="BD400" s="51" t="n">
        <f aca="false">IF(LEFT(Cockpit!$O$5,1)="A",H400,IF(CH400=1,(CK400+CI400)/2,IF(LEFT(Cockpit!$O$5,1)="B",(CK400+BF400)/2,MAX((CK400+BF400)/2,H400))))</f>
        <v>5</v>
      </c>
      <c r="BE400" s="50" t="n">
        <f aca="false">BD400*G400</f>
        <v>54.85</v>
      </c>
      <c r="BF400" s="50" t="n">
        <f aca="false">ROUNDUP(CK400+MAX(CL400,2*(J400/IF(CG400&gt;0,CG400,MAX(0.1,N(Cockpit!$O$6)))-CK400)),0)</f>
        <v>10</v>
      </c>
      <c r="BG400" s="51" t="n">
        <f aca="false">IF(BC400&gt;0,J400/BC400,-1)</f>
        <v>7.2258064516129</v>
      </c>
      <c r="BH400" s="51" t="n">
        <f aca="false">IF(AND(OR(CF400="L1",CF400="L23",CF400="LIFT"),BC400&gt;0),SUMIFS($BC$7:$BC$1843,$CF$7:$CF$1843,CF400,$BG$7:$BG$1843,"&gt;"&amp;BG400)+SUMIFS($BC$7:$BC$1843,$CF$7:$CF$1843,CF400,$BG$7:$BG$1843,BG400,$BW$7:$BW$1843,"&lt;="&amp;BW400),"")</f>
        <v>3237.58424908425</v>
      </c>
      <c r="BI400" s="58" t="n">
        <f aca="false">IF(BH400="",0,MAX(0,MIN(1,(IF(CF400="L1",Parameter!$H$5,IF(CF400="L23",Parameter!$H$6+Parameter!$H$7,Parameter!$H$5+Parameter!$H$6+Parameter!$H$7))-(BH400-BC400))/BC400)))</f>
        <v>1</v>
      </c>
      <c r="BJ400" s="48" t="str">
        <f aca="false">IF(AI400&lt;=0,"",IF(CF400="Aussen","Aussenlager",IF(CF400="-","Nicht im Lift",IF(AO400&gt;=1,"Lift",IF(AO400&lt;=0,"Aussenlager","teilweise")))))</f>
        <v>Lift</v>
      </c>
      <c r="BK400" s="48" t="str">
        <f aca="false">IF(AS400&lt;=0,"",IF(CF400="Aussen","Aussenlager",IF(CF400="-","Nicht im Lift",IF(AY400&gt;=1,"Lift",IF(AY400&lt;=0,"Aussenlager","teilweise")))))</f>
        <v>Lift</v>
      </c>
      <c r="BL400" s="48" t="str">
        <f aca="false">IF(BC400&lt;=0,"",IF(CF400="Aussen","Aussenlager",IF(CF400="-","Nicht im Lift",IF(BI400&gt;=1,"Lift",IF(BI400&lt;=0,"Aussenlager","teilweise")))))</f>
        <v>Lift</v>
      </c>
      <c r="BM400" s="48" t="str">
        <f aca="false">IF(A400="","",IF(BV400=1,"Neu; ","")&amp;IF(AND(BV400=0,BQ400&lt;0),"negativer Bestand (Export "&amp;BQ400&amp;"); ","")&amp;IF(J400&lt;=0,"Kein Verbrauch; ","")&amp;IF(CQ400&gt;0,"Lift "&amp;W400&amp;" lt. Liftbericht (Fach "&amp;X400&amp;" Stk); ",IF(CA400=1,"Gebinde geschätzt ("&amp;T400&amp;"); ",IF(BZ400=1,"Lose – Tablare geschätzt; ","")))&amp;IF(H400&gt;AV400,"Überbestand "&amp;ROUND(H400-AV400,0)&amp;" Stk / CHF "&amp;ROUND((H400-AV400)*G400,0)&amp;"; ","")&amp;IF(AND(CH400=1,CI400&lt;CJ400),"MAX &lt; MB+LG; ","")&amp;IF(AND(CP400&gt;0,CO400*10&gt;CP400),"zu hoch für Tablar; ","")&amp;IF(AND(BV400=0,OR(CH400=1,AA400&lt;&gt;"",U400&lt;&gt;"",V400&lt;&gt;"",AB400&lt;&gt;"")),"manuell übersteuert; ","")&amp;IF(AND(BZ400=0,R400=0),"Gebinde unbekannt / Stellmass fehlt; ","")&amp;IF(AND(BZ400=0,N(V400)&lt;=0,N(Q400)&lt;=0),"Menge pro Gebinde fehlt (Ist = 1 Gebinde); ","")&amp;BU400)</f>
        <v>Überbestand 3 Stk / CHF 33; </v>
      </c>
      <c r="BN400" s="48"/>
      <c r="BO400" s="48"/>
      <c r="BP400" s="55"/>
      <c r="BQ400" s="50" t="n">
        <v>10</v>
      </c>
      <c r="BR400" s="50" t="n">
        <v>3</v>
      </c>
      <c r="BS400" s="49" t="n">
        <v>110.9</v>
      </c>
      <c r="BT400" s="50" t="n">
        <v>8</v>
      </c>
      <c r="BU400" s="48"/>
      <c r="BV400" s="53" t="n">
        <v>0</v>
      </c>
      <c r="BW400" s="53" t="n">
        <v>400</v>
      </c>
      <c r="BX400" s="48" t="str">
        <f aca="false">IF(U400&lt;&gt;"",UPPER(TRIM(U400)),IF(CA400=1,UPPER(VLOOKUP(T400,Parameter!$I$27:$K$29,2,0)),IF(P400="","LOSE",P400)))</f>
        <v>S22</v>
      </c>
      <c r="BY400" s="50" t="n">
        <f aca="false">IF(BX400="LOSE",1,IF(N(V400)&gt;0,V400,IF(CA400=1,MAX(1,N(VLOOKUP(T400,Parameter!$I$27:$K$29,3,0)),H400,N(N400)),IF(N(Q400)&gt;0,Q400,MAX(1,H400)))))</f>
        <v>12</v>
      </c>
      <c r="BZ400" s="53" t="n">
        <f aca="false">IF(BX400="LOSE",1,0)</f>
        <v>0</v>
      </c>
      <c r="CA400" s="53" t="n">
        <f aca="false">IF(AND(U400="",OR(P400="",P400="LOSE"),T400&lt;&gt;"",N(S400)&lt;=0,ISNUMBER(MATCH(T400,Parameter!$I$27:$I$29,0))),1,0)</f>
        <v>0</v>
      </c>
      <c r="CB400" s="53" t="n">
        <f aca="false">IF(CQ400&gt;0,INDEX(Parameter!$H$5:$H$7,W400)/INDEX(Parameter!$E$5:$E$7,W400),IF(AND(BZ400=0,N(IFERROR(VLOOKUP(BX400,'Gebinde-Kategorie'!$A$5:$N$45,14,0),0))&gt;0),VLOOKUP(BX400,'Gebinde-Kategorie'!$A$5:$N$45,14,0)*10+Parameter!$M$23,Parameter!$M$24))</f>
        <v>155</v>
      </c>
      <c r="CC400" s="48" t="str">
        <f aca="false">IF(AND(Parameter!$B$19="Ja",E400&lt;&gt;"",ISNUMBER(MATCH(E400,Parameter!$I$35:$I$52,0))),VLOOKUP(E400,Parameter!$I$35:$J$52,2,0),IFERROR(VLOOKUP(D400,Parameter!$A$35:$C$64,2,0),"Nein"))</f>
        <v>2+3</v>
      </c>
      <c r="CD400" s="52" t="n">
        <f aca="false">IF(BZ400=0,0,IF(N(S400)&gt;0,S400,IFERROR(VLOOKUP(D400,Parameter!$A$35:$C$64,3,0)+0,0)))</f>
        <v>0</v>
      </c>
      <c r="CE400" s="48" t="n">
        <f aca="false">IF(AA400&lt;&gt;"",AA400,Z400)</f>
        <v>3</v>
      </c>
      <c r="CF400" s="48" t="str">
        <f aca="false">IF(OR(CE400=1,CE400=2,CE400=3),IF(Parameter!$E$27="Ja","LIFT",IF(CE400=1,"L1","L23")),IF(CE400="Aussen","Aussen","-"))</f>
        <v>LIFT</v>
      </c>
      <c r="CG400" s="59" t="n">
        <f aca="false">IF(N(AB400)&gt;0,AB400,0)</f>
        <v>0</v>
      </c>
      <c r="CH400" s="53" t="n">
        <f aca="false">IF(ISNUMBER(AE400),1,0)</f>
        <v>0</v>
      </c>
      <c r="CI400" s="50" t="n">
        <f aca="false">N(AE400)</f>
        <v>0</v>
      </c>
      <c r="CJ400" s="50" t="n">
        <f aca="false">N(M400)+N(N400)</f>
        <v>10</v>
      </c>
      <c r="CK400" s="50" t="n">
        <f aca="false">N(M400)</f>
        <v>0</v>
      </c>
      <c r="CL400" s="50" t="n">
        <f aca="false">N(N400)</f>
        <v>10</v>
      </c>
      <c r="CM400" s="50" t="n">
        <f aca="false">ROUNDUP(H400/BY400,0)</f>
        <v>2</v>
      </c>
      <c r="CN400" s="50" t="n">
        <f aca="false">ROUNDUP(CI400/BY400,0)</f>
        <v>0</v>
      </c>
      <c r="CO400" s="53" t="n">
        <f aca="false">IF(BZ400=1,0,IFERROR(VLOOKUP(BX400,'Gebinde-Kategorie'!$A$5:$N$45,5,0)+0,0))</f>
        <v>8</v>
      </c>
      <c r="CP400" s="53" t="n">
        <f aca="false">IFERROR(IF(OR(CE400=1,CE400=2,CE400=3),N(INDEX(Parameter!$I$5:$I$7,CE400)),0),0)</f>
        <v>0</v>
      </c>
      <c r="CQ400" s="52" t="n">
        <f aca="false">IF(AND(Parameter!$B$21="Ja",ISNUMBER(W400),N(X400)&gt;0),IFERROR(N(INDEX(Parameter!$L$5:$L$7,W400))*INDEX(Parameter!$E$5:$E$7,W400)*X400/SUMIFS($X$7:$X$1843,$W$7:$W$1843,W400),0),0)</f>
        <v>0</v>
      </c>
    </row>
    <row r="401" customFormat="false" ht="15" hidden="false" customHeight="false" outlineLevel="0" collapsed="false">
      <c r="A401" s="48" t="s">
        <v>945</v>
      </c>
      <c r="B401" s="48" t="s">
        <v>946</v>
      </c>
      <c r="C401" s="48" t="s">
        <v>173</v>
      </c>
      <c r="D401" s="48" t="s">
        <v>193</v>
      </c>
      <c r="E401" s="48" t="s">
        <v>194</v>
      </c>
      <c r="F401" s="48" t="s">
        <v>227</v>
      </c>
      <c r="G401" s="49" t="n">
        <v>0.08</v>
      </c>
      <c r="H401" s="50" t="n">
        <f aca="false">MAX(0,IF(AND(Parameter!$B$21="Ja",ISNUMBER(Y401)),Y401,IF(Parameter!$B$20="Jahresanfang 2025 + Export",BR401+BQ401,BQ401)))</f>
        <v>1784</v>
      </c>
      <c r="I401" s="50" t="n">
        <f aca="false">H401*G401</f>
        <v>142.72</v>
      </c>
      <c r="J401" s="50" t="n">
        <f aca="false">BT401*Parameter!$B$18</f>
        <v>2732</v>
      </c>
      <c r="K401" s="51" t="n">
        <v>1000</v>
      </c>
      <c r="L401" s="52" t="n">
        <v>2.732</v>
      </c>
      <c r="M401" s="50" t="n">
        <v>159</v>
      </c>
      <c r="N401" s="50" t="n">
        <v>3000</v>
      </c>
      <c r="O401" s="53" t="n">
        <v>21</v>
      </c>
      <c r="P401" s="48" t="s">
        <v>311</v>
      </c>
      <c r="Q401" s="50" t="n">
        <v>2000</v>
      </c>
      <c r="R401" s="53" t="n">
        <f aca="false">IF(BZ401=1,0,IFERROR(VLOOKUP(BX401,'Gebinde-Kategorie'!$A$5:$N$45,13,0)+0,0))</f>
        <v>26</v>
      </c>
      <c r="S401" s="54"/>
      <c r="T401" s="55"/>
      <c r="U401" s="55"/>
      <c r="V401" s="55"/>
      <c r="W401" s="48"/>
      <c r="X401" s="50"/>
      <c r="Y401" s="50"/>
      <c r="Z401" s="48" t="n">
        <f aca="false">IF(A401="","",IF(AND(Parameter!$B$21="Ja",ISNUMBER(W401)),W401,IF(CC401="2+3",IF(ISNUMBER(SEARCH("grosser Artikel",BU401)),2,IFERROR(VLOOKUP(BX401,Parameter!$F$35:$G$64,2,0),2)),IF(OR(CC401="Nein",CC401=""),"-",CC401))))</f>
        <v>3</v>
      </c>
      <c r="AA401" s="55"/>
      <c r="AB401" s="56"/>
      <c r="AC401" s="50" t="n">
        <f aca="false">AV401</f>
        <v>3159</v>
      </c>
      <c r="AD401" s="50" t="n">
        <f aca="false">MAX(AV401,H401)</f>
        <v>3159</v>
      </c>
      <c r="AE401" s="57"/>
      <c r="AF401" s="50" t="n">
        <f aca="false">IF(LEFT(Cockpit!$C$5,1)="A",H401,IF(Parameter!$E$30="MAX-Bestand",IF(CH401=1,CI401,IF(LEFT(Cockpit!$C$5,1)="B",AL401,MAX(AL401,H401))),ROUNDUP(AJ401,0)))</f>
        <v>1784</v>
      </c>
      <c r="AG401" s="50" t="n">
        <f aca="false">IF(BZ401=1,0,ROUNDUP(AF401/BY401,0))</f>
        <v>1</v>
      </c>
      <c r="AH401" s="52" t="n">
        <f aca="false">IF(CQ401&gt;0,CQ401*MAX(1,AF401/X401),IF(BZ401=1,IF(AF401&lt;=0,0,CD401*MAX(1,IF(H401&gt;0,AF401/H401,1))),IF(R401&gt;0,AG401/R401,0))/MAX(0.1,N(Parameter!$M$21)))</f>
        <v>0.0384615384615385</v>
      </c>
      <c r="AI401" s="50" t="n">
        <f aca="false">AH401*CB401</f>
        <v>5.96153846153846</v>
      </c>
      <c r="AJ401" s="51" t="n">
        <f aca="false">IF(LEFT(Cockpit!$C$5,1)="A",H401,IF(CH401=1,(CK401+CI401)/2,IF(LEFT(Cockpit!$C$5,1)="B",(CK401+AL401)/2,MAX((CK401+AL401)/2,H401))))</f>
        <v>1784</v>
      </c>
      <c r="AK401" s="50" t="n">
        <f aca="false">AJ401*G401</f>
        <v>142.72</v>
      </c>
      <c r="AL401" s="50" t="n">
        <f aca="false">ROUNDUP(CK401+MAX(CL401,2*(J401/IF(CG401&gt;0,CG401,MAX(0.1,N(Cockpit!$C$6)))-CK401)),0)</f>
        <v>3159</v>
      </c>
      <c r="AM401" s="51" t="n">
        <f aca="false">IF(AI401&gt;0,J401/AI401,-1)</f>
        <v>458.270967741935</v>
      </c>
      <c r="AN401" s="51" t="n">
        <f aca="false">IF(AND(OR(CF401="L1",CF401="L23",CF401="LIFT"),AI401&gt;0),SUMIFS($AI$7:$AI$1843,$CF$7:$CF$1843,CF401,$AM$7:$AM$1843,"&gt;"&amp;AM401)+SUMIFS($AI$7:$AI$1843,$CF$7:$CF$1843,CF401,$AM$7:$AM$1843,AM401,$BW$7:$BW$1843,"&lt;="&amp;BW401),"")</f>
        <v>90.6346153846154</v>
      </c>
      <c r="AO401" s="58" t="n">
        <f aca="false">IF(AN401="",0,MAX(0,MIN(1,(IF(CF401="L1",Parameter!$H$5,IF(CF401="L23",Parameter!$H$6+Parameter!$H$7,Parameter!$H$5+Parameter!$H$6+Parameter!$H$7))-(AN401-AI401))/AI401)))</f>
        <v>1</v>
      </c>
      <c r="AP401" s="50" t="n">
        <f aca="false">IF(LEFT(Cockpit!$I$5,1)="A",H401,IF(Parameter!$E$30="MAX-Bestand",IF(CH401=1,CI401,IF(LEFT(Cockpit!$I$5,1)="B",AV401,MAX(AV401,H401))),ROUNDUP(AT401,0)))</f>
        <v>1784</v>
      </c>
      <c r="AQ401" s="50" t="n">
        <f aca="false">IF(BZ401=1,0,ROUNDUP(AP401/BY401,0))</f>
        <v>1</v>
      </c>
      <c r="AR401" s="52" t="n">
        <f aca="false">IF(CQ401&gt;0,CQ401*MAX(1,AP401/X401),IF(BZ401=1,IF(AP401&lt;=0,0,CD401*MAX(1,IF(H401&gt;0,AP401/H401,1))),IF(R401&gt;0,AQ401/R401,0))/MAX(0.1,N(Parameter!$M$21)))</f>
        <v>0.0384615384615385</v>
      </c>
      <c r="AS401" s="50" t="n">
        <f aca="false">AR401*CB401</f>
        <v>5.96153846153846</v>
      </c>
      <c r="AT401" s="51" t="n">
        <f aca="false">IF(LEFT(Cockpit!$I$5,1)="A",H401,IF(CH401=1,(CK401+CI401)/2,IF(LEFT(Cockpit!$I$5,1)="B",(CK401+AV401)/2,MAX((CK401+AV401)/2,H401))))</f>
        <v>1784</v>
      </c>
      <c r="AU401" s="50" t="n">
        <f aca="false">AT401*G401</f>
        <v>142.72</v>
      </c>
      <c r="AV401" s="50" t="n">
        <f aca="false">ROUNDUP(CK401+MAX(CL401,2*(J401/IF(CG401&gt;0,CG401,MAX(0.1,N(Cockpit!$I$6)))-CK401)),0)</f>
        <v>3159</v>
      </c>
      <c r="AW401" s="51" t="n">
        <f aca="false">IF(AS401&gt;0,J401/AS401,-1)</f>
        <v>458.270967741935</v>
      </c>
      <c r="AX401" s="51" t="n">
        <f aca="false">IF(AND(OR(CF401="L1",CF401="L23",CF401="LIFT"),AS401&gt;0),SUMIFS($AS$7:$AS$1843,$CF$7:$CF$1843,CF401,$AW$7:$AW$1843,"&gt;"&amp;AW401)+SUMIFS($AS$7:$AS$1843,$CF$7:$CF$1843,CF401,$AW$7:$AW$1843,AW401,$BW$7:$BW$1843,"&lt;="&amp;BW401),"")</f>
        <v>101.523351648352</v>
      </c>
      <c r="AY401" s="58" t="n">
        <f aca="false">IF(AX401="",0,MAX(0,MIN(1,(IF(CF401="L1",Parameter!$H$5,IF(CF401="L23",Parameter!$H$6+Parameter!$H$7,Parameter!$H$5+Parameter!$H$6+Parameter!$H$7))-(AX401-AS401))/AS401)))</f>
        <v>1</v>
      </c>
      <c r="AZ401" s="50" t="n">
        <f aca="false">IF(LEFT(Cockpit!$O$5,1)="A",H401,IF(Parameter!$E$30="MAX-Bestand",IF(CH401=1,CI401,IF(LEFT(Cockpit!$O$5,1)="B",BF401,MAX(BF401,H401))),ROUNDUP(BD401,0)))</f>
        <v>1659</v>
      </c>
      <c r="BA401" s="50" t="n">
        <f aca="false">IF(BZ401=1,0,ROUNDUP(AZ401/BY401,0))</f>
        <v>1</v>
      </c>
      <c r="BB401" s="52" t="n">
        <f aca="false">IF(CQ401&gt;0,CQ401*MAX(1,AZ401/X401),IF(BZ401=1,IF(AZ401&lt;=0,0,CD401*MAX(1,IF(H401&gt;0,AZ401/H401,1))),IF(R401&gt;0,BA401/R401,0))/MAX(0.1,N(Parameter!$M$21)))</f>
        <v>0.0384615384615385</v>
      </c>
      <c r="BC401" s="50" t="n">
        <f aca="false">BB401*CB401</f>
        <v>5.96153846153846</v>
      </c>
      <c r="BD401" s="51" t="n">
        <f aca="false">IF(LEFT(Cockpit!$O$5,1)="A",H401,IF(CH401=1,(CK401+CI401)/2,IF(LEFT(Cockpit!$O$5,1)="B",(CK401+BF401)/2,MAX((CK401+BF401)/2,H401))))</f>
        <v>1659</v>
      </c>
      <c r="BE401" s="50" t="n">
        <f aca="false">BD401*G401</f>
        <v>132.72</v>
      </c>
      <c r="BF401" s="50" t="n">
        <f aca="false">ROUNDUP(CK401+MAX(CL401,2*(J401/IF(CG401&gt;0,CG401,MAX(0.1,N(Cockpit!$O$6)))-CK401)),0)</f>
        <v>3159</v>
      </c>
      <c r="BG401" s="51" t="n">
        <f aca="false">IF(BC401&gt;0,J401/BC401,-1)</f>
        <v>458.270967741935</v>
      </c>
      <c r="BH401" s="51" t="n">
        <f aca="false">IF(AND(OR(CF401="L1",CF401="L23",CF401="LIFT"),BC401&gt;0),SUMIFS($BC$7:$BC$1843,$CF$7:$CF$1843,CF401,$BG$7:$BG$1843,"&gt;"&amp;BG401)+SUMIFS($BC$7:$BC$1843,$CF$7:$CF$1843,CF401,$BG$7:$BG$1843,BG401,$BW$7:$BW$1843,"&lt;="&amp;BW401),"")</f>
        <v>129.928113553114</v>
      </c>
      <c r="BI401" s="58" t="n">
        <f aca="false">IF(BH401="",0,MAX(0,MIN(1,(IF(CF401="L1",Parameter!$H$5,IF(CF401="L23",Parameter!$H$6+Parameter!$H$7,Parameter!$H$5+Parameter!$H$6+Parameter!$H$7))-(BH401-BC401))/BC401)))</f>
        <v>1</v>
      </c>
      <c r="BJ401" s="48" t="str">
        <f aca="false">IF(AI401&lt;=0,"",IF(CF401="Aussen","Aussenlager",IF(CF401="-","Nicht im Lift",IF(AO401&gt;=1,"Lift",IF(AO401&lt;=0,"Aussenlager","teilweise")))))</f>
        <v>Lift</v>
      </c>
      <c r="BK401" s="48" t="str">
        <f aca="false">IF(AS401&lt;=0,"",IF(CF401="Aussen","Aussenlager",IF(CF401="-","Nicht im Lift",IF(AY401&gt;=1,"Lift",IF(AY401&lt;=0,"Aussenlager","teilweise")))))</f>
        <v>Lift</v>
      </c>
      <c r="BL401" s="48" t="str">
        <f aca="false">IF(BC401&lt;=0,"",IF(CF401="Aussen","Aussenlager",IF(CF401="-","Nicht im Lift",IF(BI401&gt;=1,"Lift",IF(BI401&lt;=0,"Aussenlager","teilweise")))))</f>
        <v>Lift</v>
      </c>
      <c r="BM401" s="48" t="str">
        <f aca="false">IF(A401="","",IF(BV401=1,"Neu; ","")&amp;IF(AND(BV401=0,BQ401&lt;0),"negativer Bestand (Export "&amp;BQ401&amp;"); ","")&amp;IF(J401&lt;=0,"Kein Verbrauch; ","")&amp;IF(CQ401&gt;0,"Lift "&amp;W401&amp;" lt. Liftbericht (Fach "&amp;X401&amp;" Stk); ",IF(CA401=1,"Gebinde geschätzt ("&amp;T401&amp;"); ",IF(BZ401=1,"Lose – Tablare geschätzt; ","")))&amp;IF(H401&gt;AV401,"Überbestand "&amp;ROUND(H401-AV401,0)&amp;" Stk / CHF "&amp;ROUND((H401-AV401)*G401,0)&amp;"; ","")&amp;IF(AND(CH401=1,CI401&lt;CJ401),"MAX &lt; MB+LG; ","")&amp;IF(AND(CP401&gt;0,CO401*10&gt;CP401),"zu hoch für Tablar; ","")&amp;IF(AND(BV401=0,OR(CH401=1,AA401&lt;&gt;"",U401&lt;&gt;"",V401&lt;&gt;"",AB401&lt;&gt;"")),"manuell übersteuert; ","")&amp;IF(AND(BZ401=0,R401=0),"Gebinde unbekannt / Stellmass fehlt; ","")&amp;IF(AND(BZ401=0,N(V401)&lt;=0,N(Q401)&lt;=0),"Menge pro Gebinde fehlt (Ist = 1 Gebinde); ","")&amp;BU401)</f>
        <v/>
      </c>
      <c r="BN401" s="48"/>
      <c r="BO401" s="48"/>
      <c r="BP401" s="55"/>
      <c r="BQ401" s="50" t="n">
        <v>1384</v>
      </c>
      <c r="BR401" s="50" t="n">
        <v>400</v>
      </c>
      <c r="BS401" s="49" t="n">
        <v>110.72</v>
      </c>
      <c r="BT401" s="50" t="n">
        <v>2732</v>
      </c>
      <c r="BU401" s="48"/>
      <c r="BV401" s="53" t="n">
        <v>0</v>
      </c>
      <c r="BW401" s="53" t="n">
        <v>401</v>
      </c>
      <c r="BX401" s="48" t="str">
        <f aca="false">IF(U401&lt;&gt;"",UPPER(TRIM(U401)),IF(CA401=1,UPPER(VLOOKUP(T401,Parameter!$I$27:$K$29,2,0)),IF(P401="","LOSE",P401)))</f>
        <v>S51</v>
      </c>
      <c r="BY401" s="50" t="n">
        <f aca="false">IF(BX401="LOSE",1,IF(N(V401)&gt;0,V401,IF(CA401=1,MAX(1,N(VLOOKUP(T401,Parameter!$I$27:$K$29,3,0)),H401,N(N401)),IF(N(Q401)&gt;0,Q401,MAX(1,H401)))))</f>
        <v>2000</v>
      </c>
      <c r="BZ401" s="53" t="n">
        <f aca="false">IF(BX401="LOSE",1,0)</f>
        <v>0</v>
      </c>
      <c r="CA401" s="53" t="n">
        <f aca="false">IF(AND(U401="",OR(P401="",P401="LOSE"),T401&lt;&gt;"",N(S401)&lt;=0,ISNUMBER(MATCH(T401,Parameter!$I$27:$I$29,0))),1,0)</f>
        <v>0</v>
      </c>
      <c r="CB401" s="53" t="n">
        <f aca="false">IF(CQ401&gt;0,INDEX(Parameter!$H$5:$H$7,W401)/INDEX(Parameter!$E$5:$E$7,W401),IF(AND(BZ401=0,N(IFERROR(VLOOKUP(BX401,'Gebinde-Kategorie'!$A$5:$N$45,14,0),0))&gt;0),VLOOKUP(BX401,'Gebinde-Kategorie'!$A$5:$N$45,14,0)*10+Parameter!$M$23,Parameter!$M$24))</f>
        <v>155</v>
      </c>
      <c r="CC401" s="48" t="str">
        <f aca="false">IF(AND(Parameter!$B$19="Ja",E401&lt;&gt;"",ISNUMBER(MATCH(E401,Parameter!$I$35:$I$52,0))),VLOOKUP(E401,Parameter!$I$35:$J$52,2,0),IFERROR(VLOOKUP(D401,Parameter!$A$35:$C$64,2,0),"Nein"))</f>
        <v>2+3</v>
      </c>
      <c r="CD401" s="52" t="n">
        <f aca="false">IF(BZ401=0,0,IF(N(S401)&gt;0,S401,IFERROR(VLOOKUP(D401,Parameter!$A$35:$C$64,3,0)+0,0)))</f>
        <v>0</v>
      </c>
      <c r="CE401" s="48" t="n">
        <f aca="false">IF(AA401&lt;&gt;"",AA401,Z401)</f>
        <v>3</v>
      </c>
      <c r="CF401" s="48" t="str">
        <f aca="false">IF(OR(CE401=1,CE401=2,CE401=3),IF(Parameter!$E$27="Ja","LIFT",IF(CE401=1,"L1","L23")),IF(CE401="Aussen","Aussen","-"))</f>
        <v>LIFT</v>
      </c>
      <c r="CG401" s="59" t="n">
        <f aca="false">IF(N(AB401)&gt;0,AB401,0)</f>
        <v>0</v>
      </c>
      <c r="CH401" s="53" t="n">
        <f aca="false">IF(ISNUMBER(AE401),1,0)</f>
        <v>0</v>
      </c>
      <c r="CI401" s="50" t="n">
        <f aca="false">N(AE401)</f>
        <v>0</v>
      </c>
      <c r="CJ401" s="50" t="n">
        <f aca="false">N(M401)+N(N401)</f>
        <v>3159</v>
      </c>
      <c r="CK401" s="50" t="n">
        <f aca="false">N(M401)</f>
        <v>159</v>
      </c>
      <c r="CL401" s="50" t="n">
        <f aca="false">N(N401)</f>
        <v>3000</v>
      </c>
      <c r="CM401" s="50" t="n">
        <f aca="false">ROUNDUP(H401/BY401,0)</f>
        <v>1</v>
      </c>
      <c r="CN401" s="50" t="n">
        <f aca="false">ROUNDUP(CI401/BY401,0)</f>
        <v>0</v>
      </c>
      <c r="CO401" s="53" t="n">
        <f aca="false">IF(BZ401=1,0,IFERROR(VLOOKUP(BX401,'Gebinde-Kategorie'!$A$5:$N$45,5,0)+0,0))</f>
        <v>11</v>
      </c>
      <c r="CP401" s="53" t="n">
        <f aca="false">IFERROR(IF(OR(CE401=1,CE401=2,CE401=3),N(INDEX(Parameter!$I$5:$I$7,CE401)),0),0)</f>
        <v>0</v>
      </c>
      <c r="CQ401" s="52" t="n">
        <f aca="false">IF(AND(Parameter!$B$21="Ja",ISNUMBER(W401),N(X401)&gt;0),IFERROR(N(INDEX(Parameter!$L$5:$L$7,W401))*INDEX(Parameter!$E$5:$E$7,W401)*X401/SUMIFS($X$7:$X$1843,$W$7:$W$1843,W401),0),0)</f>
        <v>0</v>
      </c>
    </row>
    <row r="402" customFormat="false" ht="15" hidden="false" customHeight="false" outlineLevel="0" collapsed="false">
      <c r="A402" s="48" t="s">
        <v>947</v>
      </c>
      <c r="B402" s="48" t="s">
        <v>948</v>
      </c>
      <c r="C402" s="48" t="s">
        <v>173</v>
      </c>
      <c r="D402" s="48" t="s">
        <v>182</v>
      </c>
      <c r="E402" s="48"/>
      <c r="F402" s="48" t="s">
        <v>227</v>
      </c>
      <c r="G402" s="49" t="n">
        <v>43</v>
      </c>
      <c r="H402" s="50" t="n">
        <f aca="false">MAX(0,IF(AND(Parameter!$B$21="Ja",ISNUMBER(Y402)),Y402,IF(Parameter!$B$20="Jahresanfang 2025 + Export",BR402+BQ402,BQ402)))</f>
        <v>10</v>
      </c>
      <c r="I402" s="50" t="n">
        <f aca="false">H402*G402</f>
        <v>430</v>
      </c>
      <c r="J402" s="50" t="n">
        <f aca="false">BT402*Parameter!$B$18</f>
        <v>12</v>
      </c>
      <c r="K402" s="51" t="n">
        <v>2</v>
      </c>
      <c r="L402" s="52" t="n">
        <v>6</v>
      </c>
      <c r="M402" s="50" t="n">
        <v>1</v>
      </c>
      <c r="N402" s="50" t="n">
        <v>10</v>
      </c>
      <c r="O402" s="53" t="n">
        <v>42</v>
      </c>
      <c r="P402" s="48" t="s">
        <v>177</v>
      </c>
      <c r="Q402" s="50"/>
      <c r="R402" s="53" t="n">
        <f aca="false">IF(BZ402=1,0,IFERROR(VLOOKUP(BX402,'Gebinde-Kategorie'!$A$5:$N$45,13,0)+0,0))</f>
        <v>12</v>
      </c>
      <c r="S402" s="54"/>
      <c r="T402" s="55" t="s">
        <v>188</v>
      </c>
      <c r="U402" s="55"/>
      <c r="V402" s="55"/>
      <c r="W402" s="48"/>
      <c r="X402" s="50"/>
      <c r="Y402" s="50"/>
      <c r="Z402" s="48" t="n">
        <f aca="false">IF(A402="","",IF(AND(Parameter!$B$21="Ja",ISNUMBER(W402)),W402,IF(CC402="2+3",IF(ISNUMBER(SEARCH("grosser Artikel",BU402)),2,IFERROR(VLOOKUP(BX402,Parameter!$F$35:$G$64,2,0),2)),IF(OR(CC402="Nein",CC402=""),"-",CC402))))</f>
        <v>2</v>
      </c>
      <c r="AA402" s="55"/>
      <c r="AB402" s="56"/>
      <c r="AC402" s="50" t="n">
        <f aca="false">AV402</f>
        <v>11</v>
      </c>
      <c r="AD402" s="50" t="n">
        <f aca="false">MAX(AV402,H402)</f>
        <v>11</v>
      </c>
      <c r="AE402" s="57"/>
      <c r="AF402" s="50" t="n">
        <f aca="false">IF(LEFT(Cockpit!$C$5,1)="A",H402,IF(Parameter!$E$30="MAX-Bestand",IF(CH402=1,CI402,IF(LEFT(Cockpit!$C$5,1)="B",AL402,MAX(AL402,H402))),ROUNDUP(AJ402,0)))</f>
        <v>10</v>
      </c>
      <c r="AG402" s="50" t="n">
        <f aca="false">IF(BZ402=1,0,ROUNDUP(AF402/BY402,0))</f>
        <v>1</v>
      </c>
      <c r="AH402" s="52" t="n">
        <f aca="false">IF(CQ402&gt;0,CQ402*MAX(1,AF402/X402),IF(BZ402=1,IF(AF402&lt;=0,0,CD402*MAX(1,IF(H402&gt;0,AF402/H402,1))),IF(R402&gt;0,AG402/R402,0))/MAX(0.1,N(Parameter!$M$21)))</f>
        <v>0.0833333333333333</v>
      </c>
      <c r="AI402" s="50" t="n">
        <f aca="false">AH402*CB402</f>
        <v>12.0833333333333</v>
      </c>
      <c r="AJ402" s="51" t="n">
        <f aca="false">IF(LEFT(Cockpit!$C$5,1)="A",H402,IF(CH402=1,(CK402+CI402)/2,IF(LEFT(Cockpit!$C$5,1)="B",(CK402+AL402)/2,MAX((CK402+AL402)/2,H402))))</f>
        <v>10</v>
      </c>
      <c r="AK402" s="50" t="n">
        <f aca="false">AJ402*G402</f>
        <v>430</v>
      </c>
      <c r="AL402" s="50" t="n">
        <f aca="false">ROUNDUP(CK402+MAX(CL402,2*(J402/IF(CG402&gt;0,CG402,MAX(0.1,N(Cockpit!$C$6)))-CK402)),0)</f>
        <v>11</v>
      </c>
      <c r="AM402" s="51" t="n">
        <f aca="false">IF(AI402&gt;0,J402/AI402,-1)</f>
        <v>0.993103448275862</v>
      </c>
      <c r="AN402" s="51" t="n">
        <f aca="false">IF(AND(OR(CF402="L1",CF402="L23",CF402="LIFT"),AI402&gt;0),SUMIFS($AI$7:$AI$1843,$CF$7:$CF$1843,CF402,$AM$7:$AM$1843,"&gt;"&amp;AM402)+SUMIFS($AI$7:$AI$1843,$CF$7:$CF$1843,CF402,$AM$7:$AM$1843,AM402,$BW$7:$BW$1843,"&lt;="&amp;BW402),"")</f>
        <v>7062.5260989011</v>
      </c>
      <c r="AO402" s="58" t="n">
        <f aca="false">IF(AN402="",0,MAX(0,MIN(1,(IF(CF402="L1",Parameter!$H$5,IF(CF402="L23",Parameter!$H$6+Parameter!$H$7,Parameter!$H$5+Parameter!$H$6+Parameter!$H$7))-(AN402-AI402))/AI402)))</f>
        <v>1</v>
      </c>
      <c r="AP402" s="50" t="n">
        <f aca="false">IF(LEFT(Cockpit!$I$5,1)="A",H402,IF(Parameter!$E$30="MAX-Bestand",IF(CH402=1,CI402,IF(LEFT(Cockpit!$I$5,1)="B",AV402,MAX(AV402,H402))),ROUNDUP(AT402,0)))</f>
        <v>10</v>
      </c>
      <c r="AQ402" s="50" t="n">
        <f aca="false">IF(BZ402=1,0,ROUNDUP(AP402/BY402,0))</f>
        <v>1</v>
      </c>
      <c r="AR402" s="52" t="n">
        <f aca="false">IF(CQ402&gt;0,CQ402*MAX(1,AP402/X402),IF(BZ402=1,IF(AP402&lt;=0,0,CD402*MAX(1,IF(H402&gt;0,AP402/H402,1))),IF(R402&gt;0,AQ402/R402,0))/MAX(0.1,N(Parameter!$M$21)))</f>
        <v>0.0833333333333333</v>
      </c>
      <c r="AS402" s="50" t="n">
        <f aca="false">AR402*CB402</f>
        <v>12.0833333333333</v>
      </c>
      <c r="AT402" s="51" t="n">
        <f aca="false">IF(LEFT(Cockpit!$I$5,1)="A",H402,IF(CH402=1,(CK402+CI402)/2,IF(LEFT(Cockpit!$I$5,1)="B",(CK402+AV402)/2,MAX((CK402+AV402)/2,H402))))</f>
        <v>10</v>
      </c>
      <c r="AU402" s="50" t="n">
        <f aca="false">AT402*G402</f>
        <v>430</v>
      </c>
      <c r="AV402" s="50" t="n">
        <f aca="false">ROUNDUP(CK402+MAX(CL402,2*(J402/IF(CG402&gt;0,CG402,MAX(0.1,N(Cockpit!$I$6)))-CK402)),0)</f>
        <v>11</v>
      </c>
      <c r="AW402" s="51" t="n">
        <f aca="false">IF(AS402&gt;0,J402/AS402,-1)</f>
        <v>0.993103448275862</v>
      </c>
      <c r="AX402" s="51" t="n">
        <f aca="false">IF(AND(OR(CF402="L1",CF402="L23",CF402="LIFT"),AS402&gt;0),SUMIFS($AS$7:$AS$1843,$CF$7:$CF$1843,CF402,$AW$7:$AW$1843,"&gt;"&amp;AW402)+SUMIFS($AS$7:$AS$1843,$CF$7:$CF$1843,CF402,$AW$7:$AW$1843,AW402,$BW$7:$BW$1843,"&lt;="&amp;BW402),"")</f>
        <v>8434.20970695971</v>
      </c>
      <c r="AY402" s="58" t="n">
        <f aca="false">IF(AX402="",0,MAX(0,MIN(1,(IF(CF402="L1",Parameter!$H$5,IF(CF402="L23",Parameter!$H$6+Parameter!$H$7,Parameter!$H$5+Parameter!$H$6+Parameter!$H$7))-(AX402-AS402))/AS402)))</f>
        <v>1</v>
      </c>
      <c r="AZ402" s="50" t="n">
        <f aca="false">IF(LEFT(Cockpit!$O$5,1)="A",H402,IF(Parameter!$E$30="MAX-Bestand",IF(CH402=1,CI402,IF(LEFT(Cockpit!$O$5,1)="B",BF402,MAX(BF402,H402))),ROUNDUP(BD402,0)))</f>
        <v>6</v>
      </c>
      <c r="BA402" s="50" t="n">
        <f aca="false">IF(BZ402=1,0,ROUNDUP(AZ402/BY402,0))</f>
        <v>1</v>
      </c>
      <c r="BB402" s="52" t="n">
        <f aca="false">IF(CQ402&gt;0,CQ402*MAX(1,AZ402/X402),IF(BZ402=1,IF(AZ402&lt;=0,0,CD402*MAX(1,IF(H402&gt;0,AZ402/H402,1))),IF(R402&gt;0,BA402/R402,0))/MAX(0.1,N(Parameter!$M$21)))</f>
        <v>0.0833333333333333</v>
      </c>
      <c r="BC402" s="50" t="n">
        <f aca="false">BB402*CB402</f>
        <v>12.0833333333333</v>
      </c>
      <c r="BD402" s="51" t="n">
        <f aca="false">IF(LEFT(Cockpit!$O$5,1)="A",H402,IF(CH402=1,(CK402+CI402)/2,IF(LEFT(Cockpit!$O$5,1)="B",(CK402+BF402)/2,MAX((CK402+BF402)/2,H402))))</f>
        <v>6</v>
      </c>
      <c r="BE402" s="50" t="n">
        <f aca="false">BD402*G402</f>
        <v>258</v>
      </c>
      <c r="BF402" s="50" t="n">
        <f aca="false">ROUNDUP(CK402+MAX(CL402,2*(J402/IF(CG402&gt;0,CG402,MAX(0.1,N(Cockpit!$O$6)))-CK402)),0)</f>
        <v>11</v>
      </c>
      <c r="BG402" s="51" t="n">
        <f aca="false">IF(BC402&gt;0,J402/BC402,-1)</f>
        <v>0.993103448275862</v>
      </c>
      <c r="BH402" s="51" t="n">
        <f aca="false">IF(AND(OR(CF402="L1",CF402="L23",CF402="LIFT"),BC402&gt;0),SUMIFS($BC$7:$BC$1843,$CF$7:$CF$1843,CF402,$BG$7:$BG$1843,"&gt;"&amp;BG402)+SUMIFS($BC$7:$BC$1843,$CF$7:$CF$1843,CF402,$BG$7:$BG$1843,BG402,$BW$7:$BW$1843,"&lt;="&amp;BW402),"")</f>
        <v>7672.3228021978</v>
      </c>
      <c r="BI402" s="58" t="n">
        <f aca="false">IF(BH402="",0,MAX(0,MIN(1,(IF(CF402="L1",Parameter!$H$5,IF(CF402="L23",Parameter!$H$6+Parameter!$H$7,Parameter!$H$5+Parameter!$H$6+Parameter!$H$7))-(BH402-BC402))/BC402)))</f>
        <v>1</v>
      </c>
      <c r="BJ402" s="48" t="str">
        <f aca="false">IF(AI402&lt;=0,"",IF(CF402="Aussen","Aussenlager",IF(CF402="-","Nicht im Lift",IF(AO402&gt;=1,"Lift",IF(AO402&lt;=0,"Aussenlager","teilweise")))))</f>
        <v>Lift</v>
      </c>
      <c r="BK402" s="48" t="str">
        <f aca="false">IF(AS402&lt;=0,"",IF(CF402="Aussen","Aussenlager",IF(CF402="-","Nicht im Lift",IF(AY402&gt;=1,"Lift",IF(AY402&lt;=0,"Aussenlager","teilweise")))))</f>
        <v>Lift</v>
      </c>
      <c r="BL402" s="48" t="str">
        <f aca="false">IF(BC402&lt;=0,"",IF(CF402="Aussen","Aussenlager",IF(CF402="-","Nicht im Lift",IF(BI402&gt;=1,"Lift",IF(BI402&lt;=0,"Aussenlager","teilweise")))))</f>
        <v>Lift</v>
      </c>
      <c r="BM402" s="48" t="str">
        <f aca="false">IF(A402="","",IF(BV402=1,"Neu; ","")&amp;IF(AND(BV402=0,BQ402&lt;0),"negativer Bestand (Export "&amp;BQ402&amp;"); ","")&amp;IF(J402&lt;=0,"Kein Verbrauch; ","")&amp;IF(CQ402&gt;0,"Lift "&amp;W402&amp;" lt. Liftbericht (Fach "&amp;X402&amp;" Stk); ",IF(CA402=1,"Gebinde geschätzt ("&amp;T402&amp;"); ",IF(BZ402=1,"Lose – Tablare geschätzt; ","")))&amp;IF(H402&gt;AV402,"Überbestand "&amp;ROUND(H402-AV402,0)&amp;" Stk / CHF "&amp;ROUND((H402-AV402)*G402,0)&amp;"; ","")&amp;IF(AND(CH402=1,CI402&lt;CJ402),"MAX &lt; MB+LG; ","")&amp;IF(AND(CP402&gt;0,CO402*10&gt;CP402),"zu hoch für Tablar; ","")&amp;IF(AND(BV402=0,OR(CH402=1,AA402&lt;&gt;"",U402&lt;&gt;"",V402&lt;&gt;"",AB402&lt;&gt;"")),"manuell übersteuert; ","")&amp;IF(AND(BZ402=0,R402=0),"Gebinde unbekannt / Stellmass fehlt; ","")&amp;IF(AND(BZ402=0,N(V402)&lt;=0,N(Q402)&lt;=0),"Menge pro Gebinde fehlt (Ist = 1 Gebinde); ","")&amp;BU402)</f>
        <v>Gebinde geschätzt (Mittel); Menge pro Gebinde fehlt (Ist = 1 Gebinde); </v>
      </c>
      <c r="BN402" s="48"/>
      <c r="BO402" s="48"/>
      <c r="BP402" s="55"/>
      <c r="BQ402" s="50" t="n">
        <v>6</v>
      </c>
      <c r="BR402" s="50" t="n">
        <v>4</v>
      </c>
      <c r="BS402" s="49" t="n">
        <v>110</v>
      </c>
      <c r="BT402" s="50" t="n">
        <v>12</v>
      </c>
      <c r="BU402" s="48"/>
      <c r="BV402" s="53" t="n">
        <v>0</v>
      </c>
      <c r="BW402" s="53" t="n">
        <v>402</v>
      </c>
      <c r="BX402" s="48" t="str">
        <f aca="false">IF(U402&lt;&gt;"",UPPER(TRIM(U402)),IF(CA402=1,UPPER(VLOOKUP(T402,Parameter!$I$27:$K$29,2,0)),IF(P402="","LOSE",P402)))</f>
        <v>S61</v>
      </c>
      <c r="BY402" s="50" t="n">
        <f aca="false">IF(BX402="LOSE",1,IF(N(V402)&gt;0,V402,IF(CA402=1,MAX(1,N(VLOOKUP(T402,Parameter!$I$27:$K$29,3,0)),H402,N(N402)),IF(N(Q402)&gt;0,Q402,MAX(1,H402)))))</f>
        <v>10</v>
      </c>
      <c r="BZ402" s="53" t="n">
        <f aca="false">IF(BX402="LOSE",1,0)</f>
        <v>0</v>
      </c>
      <c r="CA402" s="53" t="n">
        <f aca="false">IF(AND(U402="",OR(P402="",P402="LOSE"),T402&lt;&gt;"",N(S402)&lt;=0,ISNUMBER(MATCH(T402,Parameter!$I$27:$I$29,0))),1,0)</f>
        <v>1</v>
      </c>
      <c r="CB402" s="53" t="n">
        <f aca="false">IF(CQ402&gt;0,INDEX(Parameter!$H$5:$H$7,W402)/INDEX(Parameter!$E$5:$E$7,W402),IF(AND(BZ402=0,N(IFERROR(VLOOKUP(BX402,'Gebinde-Kategorie'!$A$5:$N$45,14,0),0))&gt;0),VLOOKUP(BX402,'Gebinde-Kategorie'!$A$5:$N$45,14,0)*10+Parameter!$M$23,Parameter!$M$24))</f>
        <v>145</v>
      </c>
      <c r="CC402" s="48" t="str">
        <f aca="false">IF(AND(Parameter!$B$19="Ja",E402&lt;&gt;"",ISNUMBER(MATCH(E402,Parameter!$I$35:$I$52,0))),VLOOKUP(E402,Parameter!$I$35:$J$52,2,0),IFERROR(VLOOKUP(D402,Parameter!$A$35:$C$64,2,0),"Nein"))</f>
        <v>2+3</v>
      </c>
      <c r="CD402" s="52" t="n">
        <f aca="false">IF(BZ402=0,0,IF(N(S402)&gt;0,S402,IFERROR(VLOOKUP(D402,Parameter!$A$35:$C$64,3,0)+0,0)))</f>
        <v>0</v>
      </c>
      <c r="CE402" s="48" t="n">
        <f aca="false">IF(AA402&lt;&gt;"",AA402,Z402)</f>
        <v>2</v>
      </c>
      <c r="CF402" s="48" t="str">
        <f aca="false">IF(OR(CE402=1,CE402=2,CE402=3),IF(Parameter!$E$27="Ja","LIFT",IF(CE402=1,"L1","L23")),IF(CE402="Aussen","Aussen","-"))</f>
        <v>LIFT</v>
      </c>
      <c r="CG402" s="59" t="n">
        <f aca="false">IF(N(AB402)&gt;0,AB402,0)</f>
        <v>0</v>
      </c>
      <c r="CH402" s="53" t="n">
        <f aca="false">IF(ISNUMBER(AE402),1,0)</f>
        <v>0</v>
      </c>
      <c r="CI402" s="50" t="n">
        <f aca="false">N(AE402)</f>
        <v>0</v>
      </c>
      <c r="CJ402" s="50" t="n">
        <f aca="false">N(M402)+N(N402)</f>
        <v>11</v>
      </c>
      <c r="CK402" s="50" t="n">
        <f aca="false">N(M402)</f>
        <v>1</v>
      </c>
      <c r="CL402" s="50" t="n">
        <f aca="false">N(N402)</f>
        <v>10</v>
      </c>
      <c r="CM402" s="50" t="n">
        <f aca="false">ROUNDUP(H402/BY402,0)</f>
        <v>1</v>
      </c>
      <c r="CN402" s="50" t="n">
        <f aca="false">ROUNDUP(CI402/BY402,0)</f>
        <v>0</v>
      </c>
      <c r="CO402" s="53" t="n">
        <f aca="false">IF(BZ402=1,0,IFERROR(VLOOKUP(BX402,'Gebinde-Kategorie'!$A$5:$N$45,5,0)+0,0))</f>
        <v>11</v>
      </c>
      <c r="CP402" s="53" t="n">
        <f aca="false">IFERROR(IF(OR(CE402=1,CE402=2,CE402=3),N(INDEX(Parameter!$I$5:$I$7,CE402)),0),0)</f>
        <v>0</v>
      </c>
      <c r="CQ402" s="52" t="n">
        <f aca="false">IF(AND(Parameter!$B$21="Ja",ISNUMBER(W402),N(X402)&gt;0),IFERROR(N(INDEX(Parameter!$L$5:$L$7,W402))*INDEX(Parameter!$E$5:$E$7,W402)*X402/SUMIFS($X$7:$X$1843,$W$7:$W$1843,W402),0),0)</f>
        <v>0</v>
      </c>
    </row>
    <row r="403" customFormat="false" ht="15" hidden="false" customHeight="false" outlineLevel="0" collapsed="false">
      <c r="A403" s="48" t="s">
        <v>949</v>
      </c>
      <c r="B403" s="48" t="s">
        <v>950</v>
      </c>
      <c r="C403" s="48" t="s">
        <v>173</v>
      </c>
      <c r="D403" s="48" t="s">
        <v>182</v>
      </c>
      <c r="E403" s="48" t="s">
        <v>379</v>
      </c>
      <c r="F403" s="48" t="s">
        <v>227</v>
      </c>
      <c r="G403" s="49" t="n">
        <v>406.5</v>
      </c>
      <c r="H403" s="50" t="n">
        <f aca="false">MAX(0,IF(AND(Parameter!$B$21="Ja",ISNUMBER(Y403)),Y403,IF(Parameter!$B$20="Jahresanfang 2025 + Export",BR403+BQ403,BQ403)))</f>
        <v>1</v>
      </c>
      <c r="I403" s="50" t="n">
        <f aca="false">H403*G403</f>
        <v>406.5</v>
      </c>
      <c r="J403" s="50" t="n">
        <f aca="false">BT403*Parameter!$B$18</f>
        <v>12</v>
      </c>
      <c r="K403" s="51" t="n">
        <v>0.5</v>
      </c>
      <c r="L403" s="52" t="n">
        <v>24</v>
      </c>
      <c r="M403" s="50" t="n">
        <v>0</v>
      </c>
      <c r="N403" s="50" t="n">
        <v>1</v>
      </c>
      <c r="O403" s="53" t="n">
        <v>14</v>
      </c>
      <c r="P403" s="48" t="s">
        <v>177</v>
      </c>
      <c r="Q403" s="50"/>
      <c r="R403" s="53" t="n">
        <f aca="false">IF(BZ403=1,0,IFERROR(VLOOKUP(BX403,'Gebinde-Kategorie'!$A$5:$N$45,13,0)+0,0))</f>
        <v>4</v>
      </c>
      <c r="S403" s="54"/>
      <c r="T403" s="55" t="s">
        <v>198</v>
      </c>
      <c r="U403" s="55"/>
      <c r="V403" s="55"/>
      <c r="W403" s="48"/>
      <c r="X403" s="50"/>
      <c r="Y403" s="50"/>
      <c r="Z403" s="48" t="str">
        <f aca="false">IF(A403="","",IF(AND(Parameter!$B$21="Ja",ISNUMBER(W403)),W403,IF(CC403="2+3",IF(ISNUMBER(SEARCH("grosser Artikel",BU403)),2,IFERROR(VLOOKUP(BX403,Parameter!$F$35:$G$64,2,0),2)),IF(OR(CC403="Nein",CC403=""),"-",CC403))))</f>
        <v>-</v>
      </c>
      <c r="AA403" s="55"/>
      <c r="AB403" s="56"/>
      <c r="AC403" s="50" t="n">
        <f aca="false">AV403</f>
        <v>8</v>
      </c>
      <c r="AD403" s="50" t="n">
        <f aca="false">MAX(AV403,H403)</f>
        <v>8</v>
      </c>
      <c r="AE403" s="57"/>
      <c r="AF403" s="50" t="n">
        <f aca="false">IF(LEFT(Cockpit!$C$5,1)="A",H403,IF(Parameter!$E$30="MAX-Bestand",IF(CH403=1,CI403,IF(LEFT(Cockpit!$C$5,1)="B",AL403,MAX(AL403,H403))),ROUNDUP(AJ403,0)))</f>
        <v>1</v>
      </c>
      <c r="AG403" s="50" t="n">
        <f aca="false">IF(BZ403=1,0,ROUNDUP(AF403/BY403,0))</f>
        <v>1</v>
      </c>
      <c r="AH403" s="52" t="n">
        <f aca="false">IF(CQ403&gt;0,CQ403*MAX(1,AF403/X403),IF(BZ403=1,IF(AF403&lt;=0,0,CD403*MAX(1,IF(H403&gt;0,AF403/H403,1))),IF(R403&gt;0,AG403/R403,0))/MAX(0.1,N(Parameter!$M$21)))</f>
        <v>0.25</v>
      </c>
      <c r="AI403" s="50" t="n">
        <f aca="false">AH403*CB403</f>
        <v>58.75</v>
      </c>
      <c r="AJ403" s="51" t="n">
        <f aca="false">IF(LEFT(Cockpit!$C$5,1)="A",H403,IF(CH403=1,(CK403+CI403)/2,IF(LEFT(Cockpit!$C$5,1)="B",(CK403+AL403)/2,MAX((CK403+AL403)/2,H403))))</f>
        <v>1</v>
      </c>
      <c r="AK403" s="50" t="n">
        <f aca="false">AJ403*G403</f>
        <v>406.5</v>
      </c>
      <c r="AL403" s="50" t="n">
        <f aca="false">ROUNDUP(CK403+MAX(CL403,2*(J403/IF(CG403&gt;0,CG403,MAX(0.1,N(Cockpit!$C$6)))-CK403)),0)</f>
        <v>8</v>
      </c>
      <c r="AM403" s="51" t="n">
        <f aca="false">IF(AI403&gt;0,J403/AI403,-1)</f>
        <v>0.204255319148936</v>
      </c>
      <c r="AN403" s="51" t="str">
        <f aca="false">IF(AND(OR(CF403="L1",CF403="L23",CF403="LIFT"),AI403&gt;0),SUMIFS($AI$7:$AI$1843,$CF$7:$CF$1843,CF403,$AM$7:$AM$1843,"&gt;"&amp;AM403)+SUMIFS($AI$7:$AI$1843,$CF$7:$CF$1843,CF403,$AM$7:$AM$1843,AM403,$BW$7:$BW$1843,"&lt;="&amp;BW403),"")</f>
        <v/>
      </c>
      <c r="AO403" s="58" t="n">
        <f aca="false">IF(AN403="",0,MAX(0,MIN(1,(IF(CF403="L1",Parameter!$H$5,IF(CF403="L23",Parameter!$H$6+Parameter!$H$7,Parameter!$H$5+Parameter!$H$6+Parameter!$H$7))-(AN403-AI403))/AI403)))</f>
        <v>0</v>
      </c>
      <c r="AP403" s="50" t="n">
        <f aca="false">IF(LEFT(Cockpit!$I$5,1)="A",H403,IF(Parameter!$E$30="MAX-Bestand",IF(CH403=1,CI403,IF(LEFT(Cockpit!$I$5,1)="B",AV403,MAX(AV403,H403))),ROUNDUP(AT403,0)))</f>
        <v>4</v>
      </c>
      <c r="AQ403" s="50" t="n">
        <f aca="false">IF(BZ403=1,0,ROUNDUP(AP403/BY403,0))</f>
        <v>2</v>
      </c>
      <c r="AR403" s="52" t="n">
        <f aca="false">IF(CQ403&gt;0,CQ403*MAX(1,AP403/X403),IF(BZ403=1,IF(AP403&lt;=0,0,CD403*MAX(1,IF(H403&gt;0,AP403/H403,1))),IF(R403&gt;0,AQ403/R403,0))/MAX(0.1,N(Parameter!$M$21)))</f>
        <v>0.5</v>
      </c>
      <c r="AS403" s="50" t="n">
        <f aca="false">AR403*CB403</f>
        <v>117.5</v>
      </c>
      <c r="AT403" s="51" t="n">
        <f aca="false">IF(LEFT(Cockpit!$I$5,1)="A",H403,IF(CH403=1,(CK403+CI403)/2,IF(LEFT(Cockpit!$I$5,1)="B",(CK403+AV403)/2,MAX((CK403+AV403)/2,H403))))</f>
        <v>4</v>
      </c>
      <c r="AU403" s="50" t="n">
        <f aca="false">AT403*G403</f>
        <v>1626</v>
      </c>
      <c r="AV403" s="50" t="n">
        <f aca="false">ROUNDUP(CK403+MAX(CL403,2*(J403/IF(CG403&gt;0,CG403,MAX(0.1,N(Cockpit!$I$6)))-CK403)),0)</f>
        <v>8</v>
      </c>
      <c r="AW403" s="51" t="n">
        <f aca="false">IF(AS403&gt;0,J403/AS403,-1)</f>
        <v>0.102127659574468</v>
      </c>
      <c r="AX403" s="51" t="str">
        <f aca="false">IF(AND(OR(CF403="L1",CF403="L23",CF403="LIFT"),AS403&gt;0),SUMIFS($AS$7:$AS$1843,$CF$7:$CF$1843,CF403,$AW$7:$AW$1843,"&gt;"&amp;AW403)+SUMIFS($AS$7:$AS$1843,$CF$7:$CF$1843,CF403,$AW$7:$AW$1843,AW403,$BW$7:$BW$1843,"&lt;="&amp;BW403),"")</f>
        <v/>
      </c>
      <c r="AY403" s="58" t="n">
        <f aca="false">IF(AX403="",0,MAX(0,MIN(1,(IF(CF403="L1",Parameter!$H$5,IF(CF403="L23",Parameter!$H$6+Parameter!$H$7,Parameter!$H$5+Parameter!$H$6+Parameter!$H$7))-(AX403-AS403))/AS403)))</f>
        <v>0</v>
      </c>
      <c r="AZ403" s="50" t="n">
        <f aca="false">IF(LEFT(Cockpit!$O$5,1)="A",H403,IF(Parameter!$E$30="MAX-Bestand",IF(CH403=1,CI403,IF(LEFT(Cockpit!$O$5,1)="B",BF403,MAX(BF403,H403))),ROUNDUP(BD403,0)))</f>
        <v>3</v>
      </c>
      <c r="BA403" s="50" t="n">
        <f aca="false">IF(BZ403=1,0,ROUNDUP(AZ403/BY403,0))</f>
        <v>2</v>
      </c>
      <c r="BB403" s="52" t="n">
        <f aca="false">IF(CQ403&gt;0,CQ403*MAX(1,AZ403/X403),IF(BZ403=1,IF(AZ403&lt;=0,0,CD403*MAX(1,IF(H403&gt;0,AZ403/H403,1))),IF(R403&gt;0,BA403/R403,0))/MAX(0.1,N(Parameter!$M$21)))</f>
        <v>0.5</v>
      </c>
      <c r="BC403" s="50" t="n">
        <f aca="false">BB403*CB403</f>
        <v>117.5</v>
      </c>
      <c r="BD403" s="51" t="n">
        <f aca="false">IF(LEFT(Cockpit!$O$5,1)="A",H403,IF(CH403=1,(CK403+CI403)/2,IF(LEFT(Cockpit!$O$5,1)="B",(CK403+BF403)/2,MAX((CK403+BF403)/2,H403))))</f>
        <v>3</v>
      </c>
      <c r="BE403" s="50" t="n">
        <f aca="false">BD403*G403</f>
        <v>1219.5</v>
      </c>
      <c r="BF403" s="50" t="n">
        <f aca="false">ROUNDUP(CK403+MAX(CL403,2*(J403/IF(CG403&gt;0,CG403,MAX(0.1,N(Cockpit!$O$6)))-CK403)),0)</f>
        <v>6</v>
      </c>
      <c r="BG403" s="51" t="n">
        <f aca="false">IF(BC403&gt;0,J403/BC403,-1)</f>
        <v>0.102127659574468</v>
      </c>
      <c r="BH403" s="51" t="str">
        <f aca="false">IF(AND(OR(CF403="L1",CF403="L23",CF403="LIFT"),BC403&gt;0),SUMIFS($BC$7:$BC$1843,$CF$7:$CF$1843,CF403,$BG$7:$BG$1843,"&gt;"&amp;BG403)+SUMIFS($BC$7:$BC$1843,$CF$7:$CF$1843,CF403,$BG$7:$BG$1843,BG403,$BW$7:$BW$1843,"&lt;="&amp;BW403),"")</f>
        <v/>
      </c>
      <c r="BI403" s="58" t="n">
        <f aca="false">IF(BH403="",0,MAX(0,MIN(1,(IF(CF403="L1",Parameter!$H$5,IF(CF403="L23",Parameter!$H$6+Parameter!$H$7,Parameter!$H$5+Parameter!$H$6+Parameter!$H$7))-(BH403-BC403))/BC403)))</f>
        <v>0</v>
      </c>
      <c r="BJ403" s="48" t="str">
        <f aca="false">IF(AI403&lt;=0,"",IF(CF403="Aussen","Aussenlager",IF(CF403="-","Nicht im Lift",IF(AO403&gt;=1,"Lift",IF(AO403&lt;=0,"Aussenlager","teilweise")))))</f>
        <v>Nicht im Lift</v>
      </c>
      <c r="BK403" s="48" t="str">
        <f aca="false">IF(AS403&lt;=0,"",IF(CF403="Aussen","Aussenlager",IF(CF403="-","Nicht im Lift",IF(AY403&gt;=1,"Lift",IF(AY403&lt;=0,"Aussenlager","teilweise")))))</f>
        <v>Nicht im Lift</v>
      </c>
      <c r="BL403" s="48" t="str">
        <f aca="false">IF(BC403&lt;=0,"",IF(CF403="Aussen","Aussenlager",IF(CF403="-","Nicht im Lift",IF(BI403&gt;=1,"Lift",IF(BI403&lt;=0,"Aussenlager","teilweise")))))</f>
        <v>Nicht im Lift</v>
      </c>
      <c r="BM403" s="48" t="str">
        <f aca="false">IF(A403="","",IF(BV403=1,"Neu; ","")&amp;IF(AND(BV403=0,BQ403&lt;0),"negativer Bestand (Export "&amp;BQ403&amp;"); ","")&amp;IF(J403&lt;=0,"Kein Verbrauch; ","")&amp;IF(CQ403&gt;0,"Lift "&amp;W403&amp;" lt. Liftbericht (Fach "&amp;X403&amp;" Stk); ",IF(CA403=1,"Gebinde geschätzt ("&amp;T403&amp;"); ",IF(BZ403=1,"Lose – Tablare geschätzt; ","")))&amp;IF(H403&gt;AV403,"Überbestand "&amp;ROUND(H403-AV403,0)&amp;" Stk / CHF "&amp;ROUND((H403-AV403)*G403,0)&amp;"; ","")&amp;IF(AND(CH403=1,CI403&lt;CJ403),"MAX &lt; MB+LG; ","")&amp;IF(AND(CP403&gt;0,CO403*10&gt;CP403),"zu hoch für Tablar; ","")&amp;IF(AND(BV403=0,OR(CH403=1,AA403&lt;&gt;"",U403&lt;&gt;"",V403&lt;&gt;"",AB403&lt;&gt;"")),"manuell übersteuert; ","")&amp;IF(AND(BZ403=0,R403=0),"Gebinde unbekannt / Stellmass fehlt; ","")&amp;IF(AND(BZ403=0,N(V403)&lt;=0,N(Q403)&lt;=0),"Menge pro Gebinde fehlt (Ist = 1 Gebinde); ","")&amp;BU403)</f>
        <v>Gebinde geschätzt (Gross); Menge pro Gebinde fehlt (Ist = 1 Gebinde); </v>
      </c>
      <c r="BN403" s="48"/>
      <c r="BO403" s="48"/>
      <c r="BP403" s="55"/>
      <c r="BQ403" s="50" t="n">
        <v>0</v>
      </c>
      <c r="BR403" s="50" t="n">
        <v>1</v>
      </c>
      <c r="BS403" s="49" t="n">
        <v>108.3</v>
      </c>
      <c r="BT403" s="50" t="n">
        <v>12</v>
      </c>
      <c r="BU403" s="48"/>
      <c r="BV403" s="53" t="n">
        <v>0</v>
      </c>
      <c r="BW403" s="53" t="n">
        <v>403</v>
      </c>
      <c r="BX403" s="48" t="str">
        <f aca="false">IF(U403&lt;&gt;"",UPPER(TRIM(U403)),IF(CA403=1,UPPER(VLOOKUP(T403,Parameter!$I$27:$K$29,2,0)),IF(P403="","LOSE",P403)))</f>
        <v>S81</v>
      </c>
      <c r="BY403" s="50" t="n">
        <f aca="false">IF(BX403="LOSE",1,IF(N(V403)&gt;0,V403,IF(CA403=1,MAX(1,N(VLOOKUP(T403,Parameter!$I$27:$K$29,3,0)),H403,N(N403)),IF(N(Q403)&gt;0,Q403,MAX(1,H403)))))</f>
        <v>2</v>
      </c>
      <c r="BZ403" s="53" t="n">
        <f aca="false">IF(BX403="LOSE",1,0)</f>
        <v>0</v>
      </c>
      <c r="CA403" s="53" t="n">
        <f aca="false">IF(AND(U403="",OR(P403="",P403="LOSE"),T403&lt;&gt;"",N(S403)&lt;=0,ISNUMBER(MATCH(T403,Parameter!$I$27:$I$29,0))),1,0)</f>
        <v>1</v>
      </c>
      <c r="CB403" s="53" t="n">
        <f aca="false">IF(CQ403&gt;0,INDEX(Parameter!$H$5:$H$7,W403)/INDEX(Parameter!$E$5:$E$7,W403),IF(AND(BZ403=0,N(IFERROR(VLOOKUP(BX403,'Gebinde-Kategorie'!$A$5:$N$45,14,0),0))&gt;0),VLOOKUP(BX403,'Gebinde-Kategorie'!$A$5:$N$45,14,0)*10+Parameter!$M$23,Parameter!$M$24))</f>
        <v>235</v>
      </c>
      <c r="CC403" s="48" t="str">
        <f aca="false">IF(AND(Parameter!$B$19="Ja",E403&lt;&gt;"",ISNUMBER(MATCH(E403,Parameter!$I$35:$I$52,0))),VLOOKUP(E403,Parameter!$I$35:$J$52,2,0),IFERROR(VLOOKUP(D403,Parameter!$A$35:$C$64,2,0),"Nein"))</f>
        <v>Nein</v>
      </c>
      <c r="CD403" s="52" t="n">
        <f aca="false">IF(BZ403=0,0,IF(N(S403)&gt;0,S403,IFERROR(VLOOKUP(D403,Parameter!$A$35:$C$64,3,0)+0,0)))</f>
        <v>0</v>
      </c>
      <c r="CE403" s="48" t="str">
        <f aca="false">IF(AA403&lt;&gt;"",AA403,Z403)</f>
        <v>-</v>
      </c>
      <c r="CF403" s="48" t="str">
        <f aca="false">IF(OR(CE403=1,CE403=2,CE403=3),IF(Parameter!$E$27="Ja","LIFT",IF(CE403=1,"L1","L23")),IF(CE403="Aussen","Aussen","-"))</f>
        <v>-</v>
      </c>
      <c r="CG403" s="59" t="n">
        <f aca="false">IF(N(AB403)&gt;0,AB403,0)</f>
        <v>0</v>
      </c>
      <c r="CH403" s="53" t="n">
        <f aca="false">IF(ISNUMBER(AE403),1,0)</f>
        <v>0</v>
      </c>
      <c r="CI403" s="50" t="n">
        <f aca="false">N(AE403)</f>
        <v>0</v>
      </c>
      <c r="CJ403" s="50" t="n">
        <f aca="false">N(M403)+N(N403)</f>
        <v>1</v>
      </c>
      <c r="CK403" s="50" t="n">
        <f aca="false">N(M403)</f>
        <v>0</v>
      </c>
      <c r="CL403" s="50" t="n">
        <f aca="false">N(N403)</f>
        <v>1</v>
      </c>
      <c r="CM403" s="50" t="n">
        <f aca="false">ROUNDUP(H403/BY403,0)</f>
        <v>1</v>
      </c>
      <c r="CN403" s="50" t="n">
        <f aca="false">ROUNDUP(CI403/BY403,0)</f>
        <v>0</v>
      </c>
      <c r="CO403" s="53" t="n">
        <f aca="false">IF(BZ403=1,0,IFERROR(VLOOKUP(BX403,'Gebinde-Kategorie'!$A$5:$N$45,5,0)+0,0))</f>
        <v>20</v>
      </c>
      <c r="CP403" s="53" t="n">
        <f aca="false">IFERROR(IF(OR(CE403=1,CE403=2,CE403=3),N(INDEX(Parameter!$I$5:$I$7,CE403)),0),0)</f>
        <v>0</v>
      </c>
      <c r="CQ403" s="52" t="n">
        <f aca="false">IF(AND(Parameter!$B$21="Ja",ISNUMBER(W403),N(X403)&gt;0),IFERROR(N(INDEX(Parameter!$L$5:$L$7,W403))*INDEX(Parameter!$E$5:$E$7,W403)*X403/SUMIFS($X$7:$X$1843,$W$7:$W$1843,W403),0),0)</f>
        <v>0</v>
      </c>
    </row>
    <row r="404" customFormat="false" ht="15" hidden="false" customHeight="false" outlineLevel="0" collapsed="false">
      <c r="A404" s="48" t="s">
        <v>951</v>
      </c>
      <c r="B404" s="48" t="s">
        <v>952</v>
      </c>
      <c r="C404" s="48" t="s">
        <v>173</v>
      </c>
      <c r="D404" s="48" t="s">
        <v>193</v>
      </c>
      <c r="E404" s="48" t="s">
        <v>194</v>
      </c>
      <c r="F404" s="48" t="s">
        <v>227</v>
      </c>
      <c r="G404" s="49" t="n">
        <v>10.8</v>
      </c>
      <c r="H404" s="50" t="n">
        <f aca="false">MAX(0,IF(AND(Parameter!$B$21="Ja",ISNUMBER(Y404)),Y404,IF(Parameter!$B$20="Jahresanfang 2025 + Export",BR404+BQ404,BQ404)))</f>
        <v>12</v>
      </c>
      <c r="I404" s="50" t="n">
        <f aca="false">H404*G404</f>
        <v>129.6</v>
      </c>
      <c r="J404" s="50" t="n">
        <f aca="false">BT404*Parameter!$B$18</f>
        <v>7</v>
      </c>
      <c r="K404" s="51" t="n">
        <v>2</v>
      </c>
      <c r="L404" s="52" t="n">
        <v>3.5</v>
      </c>
      <c r="M404" s="50" t="n">
        <v>0</v>
      </c>
      <c r="N404" s="50" t="n">
        <v>5</v>
      </c>
      <c r="O404" s="53" t="n">
        <v>28</v>
      </c>
      <c r="P404" s="48" t="s">
        <v>485</v>
      </c>
      <c r="Q404" s="50" t="n">
        <v>5</v>
      </c>
      <c r="R404" s="53" t="n">
        <f aca="false">IF(BZ404=1,0,IFERROR(VLOOKUP(BX404,'Gebinde-Kategorie'!$A$5:$N$45,13,0)+0,0))</f>
        <v>52</v>
      </c>
      <c r="S404" s="54"/>
      <c r="T404" s="55"/>
      <c r="U404" s="55"/>
      <c r="V404" s="55"/>
      <c r="W404" s="48"/>
      <c r="X404" s="50"/>
      <c r="Y404" s="50"/>
      <c r="Z404" s="48" t="n">
        <f aca="false">IF(A404="","",IF(AND(Parameter!$B$21="Ja",ISNUMBER(W404)),W404,IF(CC404="2+3",IF(ISNUMBER(SEARCH("grosser Artikel",BU404)),2,IFERROR(VLOOKUP(BX404,Parameter!$F$35:$G$64,2,0),2)),IF(OR(CC404="Nein",CC404=""),"-",CC404))))</f>
        <v>3</v>
      </c>
      <c r="AA404" s="55"/>
      <c r="AB404" s="56"/>
      <c r="AC404" s="50" t="n">
        <f aca="false">AV404</f>
        <v>5</v>
      </c>
      <c r="AD404" s="50" t="n">
        <f aca="false">MAX(AV404,H404)</f>
        <v>12</v>
      </c>
      <c r="AE404" s="57"/>
      <c r="AF404" s="50" t="n">
        <f aca="false">IF(LEFT(Cockpit!$C$5,1)="A",H404,IF(Parameter!$E$30="MAX-Bestand",IF(CH404=1,CI404,IF(LEFT(Cockpit!$C$5,1)="B",AL404,MAX(AL404,H404))),ROUNDUP(AJ404,0)))</f>
        <v>12</v>
      </c>
      <c r="AG404" s="50" t="n">
        <f aca="false">IF(BZ404=1,0,ROUNDUP(AF404/BY404,0))</f>
        <v>3</v>
      </c>
      <c r="AH404" s="52" t="n">
        <f aca="false">IF(CQ404&gt;0,CQ404*MAX(1,AF404/X404),IF(BZ404=1,IF(AF404&lt;=0,0,CD404*MAX(1,IF(H404&gt;0,AF404/H404,1))),IF(R404&gt;0,AG404/R404,0))/MAX(0.1,N(Parameter!$M$21)))</f>
        <v>0.0576923076923077</v>
      </c>
      <c r="AI404" s="50" t="n">
        <f aca="false">AH404*CB404</f>
        <v>8.94230769230769</v>
      </c>
      <c r="AJ404" s="51" t="n">
        <f aca="false">IF(LEFT(Cockpit!$C$5,1)="A",H404,IF(CH404=1,(CK404+CI404)/2,IF(LEFT(Cockpit!$C$5,1)="B",(CK404+AL404)/2,MAX((CK404+AL404)/2,H404))))</f>
        <v>12</v>
      </c>
      <c r="AK404" s="50" t="n">
        <f aca="false">AJ404*G404</f>
        <v>129.6</v>
      </c>
      <c r="AL404" s="50" t="n">
        <f aca="false">ROUNDUP(CK404+MAX(CL404,2*(J404/IF(CG404&gt;0,CG404,MAX(0.1,N(Cockpit!$C$6)))-CK404)),0)</f>
        <v>5</v>
      </c>
      <c r="AM404" s="51" t="n">
        <f aca="false">IF(AI404&gt;0,J404/AI404,-1)</f>
        <v>0.782795698924731</v>
      </c>
      <c r="AN404" s="51" t="n">
        <f aca="false">IF(AND(OR(CF404="L1",CF404="L23",CF404="LIFT"),AI404&gt;0),SUMIFS($AI$7:$AI$1843,$CF$7:$CF$1843,CF404,$AM$7:$AM$1843,"&gt;"&amp;AM404)+SUMIFS($AI$7:$AI$1843,$CF$7:$CF$1843,CF404,$AM$7:$AM$1843,AM404,$BW$7:$BW$1843,"&lt;="&amp;BW404),"")</f>
        <v>8055.15064102564</v>
      </c>
      <c r="AO404" s="58" t="n">
        <f aca="false">IF(AN404="",0,MAX(0,MIN(1,(IF(CF404="L1",Parameter!$H$5,IF(CF404="L23",Parameter!$H$6+Parameter!$H$7,Parameter!$H$5+Parameter!$H$6+Parameter!$H$7))-(AN404-AI404))/AI404)))</f>
        <v>1</v>
      </c>
      <c r="AP404" s="50" t="n">
        <f aca="false">IF(LEFT(Cockpit!$I$5,1)="A",H404,IF(Parameter!$E$30="MAX-Bestand",IF(CH404=1,CI404,IF(LEFT(Cockpit!$I$5,1)="B",AV404,MAX(AV404,H404))),ROUNDUP(AT404,0)))</f>
        <v>12</v>
      </c>
      <c r="AQ404" s="50" t="n">
        <f aca="false">IF(BZ404=1,0,ROUNDUP(AP404/BY404,0))</f>
        <v>3</v>
      </c>
      <c r="AR404" s="52" t="n">
        <f aca="false">IF(CQ404&gt;0,CQ404*MAX(1,AP404/X404),IF(BZ404=1,IF(AP404&lt;=0,0,CD404*MAX(1,IF(H404&gt;0,AP404/H404,1))),IF(R404&gt;0,AQ404/R404,0))/MAX(0.1,N(Parameter!$M$21)))</f>
        <v>0.0576923076923077</v>
      </c>
      <c r="AS404" s="50" t="n">
        <f aca="false">AR404*CB404</f>
        <v>8.94230769230769</v>
      </c>
      <c r="AT404" s="51" t="n">
        <f aca="false">IF(LEFT(Cockpit!$I$5,1)="A",H404,IF(CH404=1,(CK404+CI404)/2,IF(LEFT(Cockpit!$I$5,1)="B",(CK404+AV404)/2,MAX((CK404+AV404)/2,H404))))</f>
        <v>12</v>
      </c>
      <c r="AU404" s="50" t="n">
        <f aca="false">AT404*G404</f>
        <v>129.6</v>
      </c>
      <c r="AV404" s="50" t="n">
        <f aca="false">ROUNDUP(CK404+MAX(CL404,2*(J404/IF(CG404&gt;0,CG404,MAX(0.1,N(Cockpit!$I$6)))-CK404)),0)</f>
        <v>5</v>
      </c>
      <c r="AW404" s="51" t="n">
        <f aca="false">IF(AS404&gt;0,J404/AS404,-1)</f>
        <v>0.782795698924731</v>
      </c>
      <c r="AX404" s="51" t="n">
        <f aca="false">IF(AND(OR(CF404="L1",CF404="L23",CF404="LIFT"),AS404&gt;0),SUMIFS($AS$7:$AS$1843,$CF$7:$CF$1843,CF404,$AW$7:$AW$1843,"&gt;"&amp;AW404)+SUMIFS($AS$7:$AS$1843,$CF$7:$CF$1843,CF404,$AW$7:$AW$1843,AW404,$BW$7:$BW$1843,"&lt;="&amp;BW404),"")</f>
        <v>10314.7188644689</v>
      </c>
      <c r="AY404" s="58" t="n">
        <f aca="false">IF(AX404="",0,MAX(0,MIN(1,(IF(CF404="L1",Parameter!$H$5,IF(CF404="L23",Parameter!$H$6+Parameter!$H$7,Parameter!$H$5+Parameter!$H$6+Parameter!$H$7))-(AX404-AS404))/AS404)))</f>
        <v>1</v>
      </c>
      <c r="AZ404" s="50" t="n">
        <f aca="false">IF(LEFT(Cockpit!$O$5,1)="A",H404,IF(Parameter!$E$30="MAX-Bestand",IF(CH404=1,CI404,IF(LEFT(Cockpit!$O$5,1)="B",BF404,MAX(BF404,H404))),ROUNDUP(BD404,0)))</f>
        <v>3</v>
      </c>
      <c r="BA404" s="50" t="n">
        <f aca="false">IF(BZ404=1,0,ROUNDUP(AZ404/BY404,0))</f>
        <v>1</v>
      </c>
      <c r="BB404" s="52" t="n">
        <f aca="false">IF(CQ404&gt;0,CQ404*MAX(1,AZ404/X404),IF(BZ404=1,IF(AZ404&lt;=0,0,CD404*MAX(1,IF(H404&gt;0,AZ404/H404,1))),IF(R404&gt;0,BA404/R404,0))/MAX(0.1,N(Parameter!$M$21)))</f>
        <v>0.0192307692307692</v>
      </c>
      <c r="BC404" s="50" t="n">
        <f aca="false">BB404*CB404</f>
        <v>2.98076923076923</v>
      </c>
      <c r="BD404" s="51" t="n">
        <f aca="false">IF(LEFT(Cockpit!$O$5,1)="A",H404,IF(CH404=1,(CK404+CI404)/2,IF(LEFT(Cockpit!$O$5,1)="B",(CK404+BF404)/2,MAX((CK404+BF404)/2,H404))))</f>
        <v>2.5</v>
      </c>
      <c r="BE404" s="50" t="n">
        <f aca="false">BD404*G404</f>
        <v>27</v>
      </c>
      <c r="BF404" s="50" t="n">
        <f aca="false">ROUNDUP(CK404+MAX(CL404,2*(J404/IF(CG404&gt;0,CG404,MAX(0.1,N(Cockpit!$O$6)))-CK404)),0)</f>
        <v>5</v>
      </c>
      <c r="BG404" s="51" t="n">
        <f aca="false">IF(BC404&gt;0,J404/BC404,-1)</f>
        <v>2.34838709677419</v>
      </c>
      <c r="BH404" s="51" t="n">
        <f aca="false">IF(AND(OR(CF404="L1",CF404="L23",CF404="LIFT"),BC404&gt;0),SUMIFS($BC$7:$BC$1843,$CF$7:$CF$1843,CF404,$BG$7:$BG$1843,"&gt;"&amp;BG404)+SUMIFS($BC$7:$BC$1843,$CF$7:$CF$1843,CF404,$BG$7:$BG$1843,BG404,$BW$7:$BW$1843,"&lt;="&amp;BW404),"")</f>
        <v>5604.5</v>
      </c>
      <c r="BI404" s="58" t="n">
        <f aca="false">IF(BH404="",0,MAX(0,MIN(1,(IF(CF404="L1",Parameter!$H$5,IF(CF404="L23",Parameter!$H$6+Parameter!$H$7,Parameter!$H$5+Parameter!$H$6+Parameter!$H$7))-(BH404-BC404))/BC404)))</f>
        <v>1</v>
      </c>
      <c r="BJ404" s="48" t="str">
        <f aca="false">IF(AI404&lt;=0,"",IF(CF404="Aussen","Aussenlager",IF(CF404="-","Nicht im Lift",IF(AO404&gt;=1,"Lift",IF(AO404&lt;=0,"Aussenlager","teilweise")))))</f>
        <v>Lift</v>
      </c>
      <c r="BK404" s="48" t="str">
        <f aca="false">IF(AS404&lt;=0,"",IF(CF404="Aussen","Aussenlager",IF(CF404="-","Nicht im Lift",IF(AY404&gt;=1,"Lift",IF(AY404&lt;=0,"Aussenlager","teilweise")))))</f>
        <v>Lift</v>
      </c>
      <c r="BL404" s="48" t="str">
        <f aca="false">IF(BC404&lt;=0,"",IF(CF404="Aussen","Aussenlager",IF(CF404="-","Nicht im Lift",IF(BI404&gt;=1,"Lift",IF(BI404&lt;=0,"Aussenlager","teilweise")))))</f>
        <v>Lift</v>
      </c>
      <c r="BM404" s="48" t="str">
        <f aca="false">IF(A404="","",IF(BV404=1,"Neu; ","")&amp;IF(AND(BV404=0,BQ404&lt;0),"negativer Bestand (Export "&amp;BQ404&amp;"); ","")&amp;IF(J404&lt;=0,"Kein Verbrauch; ","")&amp;IF(CQ404&gt;0,"Lift "&amp;W404&amp;" lt. Liftbericht (Fach "&amp;X404&amp;" Stk); ",IF(CA404=1,"Gebinde geschätzt ("&amp;T404&amp;"); ",IF(BZ404=1,"Lose – Tablare geschätzt; ","")))&amp;IF(H404&gt;AV404,"Überbestand "&amp;ROUND(H404-AV404,0)&amp;" Stk / CHF "&amp;ROUND((H404-AV404)*G404,0)&amp;"; ","")&amp;IF(AND(CH404=1,CI404&lt;CJ404),"MAX &lt; MB+LG; ","")&amp;IF(AND(CP404&gt;0,CO404*10&gt;CP404),"zu hoch für Tablar; ","")&amp;IF(AND(BV404=0,OR(CH404=1,AA404&lt;&gt;"",U404&lt;&gt;"",V404&lt;&gt;"",AB404&lt;&gt;"")),"manuell übersteuert; ","")&amp;IF(AND(BZ404=0,R404=0),"Gebinde unbekannt / Stellmass fehlt; ","")&amp;IF(AND(BZ404=0,N(V404)&lt;=0,N(Q404)&lt;=0),"Menge pro Gebinde fehlt (Ist = 1 Gebinde); ","")&amp;BU404)</f>
        <v>Überbestand 7 Stk / CHF 76; </v>
      </c>
      <c r="BN404" s="48"/>
      <c r="BO404" s="48"/>
      <c r="BP404" s="55"/>
      <c r="BQ404" s="50" t="n">
        <v>10</v>
      </c>
      <c r="BR404" s="50" t="n">
        <v>2</v>
      </c>
      <c r="BS404" s="49" t="n">
        <v>108</v>
      </c>
      <c r="BT404" s="50" t="n">
        <v>7</v>
      </c>
      <c r="BU404" s="48"/>
      <c r="BV404" s="53" t="n">
        <v>0</v>
      </c>
      <c r="BW404" s="53" t="n">
        <v>404</v>
      </c>
      <c r="BX404" s="48" t="str">
        <f aca="false">IF(U404&lt;&gt;"",UPPER(TRIM(U404)),IF(CA404=1,UPPER(VLOOKUP(T404,Parameter!$I$27:$K$29,2,0)),IF(P404="","LOSE",P404)))</f>
        <v>S33</v>
      </c>
      <c r="BY404" s="50" t="n">
        <f aca="false">IF(BX404="LOSE",1,IF(N(V404)&gt;0,V404,IF(CA404=1,MAX(1,N(VLOOKUP(T404,Parameter!$I$27:$K$29,3,0)),H404,N(N404)),IF(N(Q404)&gt;0,Q404,MAX(1,H404)))))</f>
        <v>5</v>
      </c>
      <c r="BZ404" s="53" t="n">
        <f aca="false">IF(BX404="LOSE",1,0)</f>
        <v>0</v>
      </c>
      <c r="CA404" s="53" t="n">
        <f aca="false">IF(AND(U404="",OR(P404="",P404="LOSE"),T404&lt;&gt;"",N(S404)&lt;=0,ISNUMBER(MATCH(T404,Parameter!$I$27:$I$29,0))),1,0)</f>
        <v>0</v>
      </c>
      <c r="CB404" s="53" t="n">
        <f aca="false">IF(CQ404&gt;0,INDEX(Parameter!$H$5:$H$7,W404)/INDEX(Parameter!$E$5:$E$7,W404),IF(AND(BZ404=0,N(IFERROR(VLOOKUP(BX404,'Gebinde-Kategorie'!$A$5:$N$45,14,0),0))&gt;0),VLOOKUP(BX404,'Gebinde-Kategorie'!$A$5:$N$45,14,0)*10+Parameter!$M$23,Parameter!$M$24))</f>
        <v>155</v>
      </c>
      <c r="CC404" s="48" t="str">
        <f aca="false">IF(AND(Parameter!$B$19="Ja",E404&lt;&gt;"",ISNUMBER(MATCH(E404,Parameter!$I$35:$I$52,0))),VLOOKUP(E404,Parameter!$I$35:$J$52,2,0),IFERROR(VLOOKUP(D404,Parameter!$A$35:$C$64,2,0),"Nein"))</f>
        <v>2+3</v>
      </c>
      <c r="CD404" s="52" t="n">
        <f aca="false">IF(BZ404=0,0,IF(N(S404)&gt;0,S404,IFERROR(VLOOKUP(D404,Parameter!$A$35:$C$64,3,0)+0,0)))</f>
        <v>0</v>
      </c>
      <c r="CE404" s="48" t="n">
        <f aca="false">IF(AA404&lt;&gt;"",AA404,Z404)</f>
        <v>3</v>
      </c>
      <c r="CF404" s="48" t="str">
        <f aca="false">IF(OR(CE404=1,CE404=2,CE404=3),IF(Parameter!$E$27="Ja","LIFT",IF(CE404=1,"L1","L23")),IF(CE404="Aussen","Aussen","-"))</f>
        <v>LIFT</v>
      </c>
      <c r="CG404" s="59" t="n">
        <f aca="false">IF(N(AB404)&gt;0,AB404,0)</f>
        <v>0</v>
      </c>
      <c r="CH404" s="53" t="n">
        <f aca="false">IF(ISNUMBER(AE404),1,0)</f>
        <v>0</v>
      </c>
      <c r="CI404" s="50" t="n">
        <f aca="false">N(AE404)</f>
        <v>0</v>
      </c>
      <c r="CJ404" s="50" t="n">
        <f aca="false">N(M404)+N(N404)</f>
        <v>5</v>
      </c>
      <c r="CK404" s="50" t="n">
        <f aca="false">N(M404)</f>
        <v>0</v>
      </c>
      <c r="CL404" s="50" t="n">
        <f aca="false">N(N404)</f>
        <v>5</v>
      </c>
      <c r="CM404" s="50" t="n">
        <f aca="false">ROUNDUP(H404/BY404,0)</f>
        <v>3</v>
      </c>
      <c r="CN404" s="50" t="n">
        <f aca="false">ROUNDUP(CI404/BY404,0)</f>
        <v>0</v>
      </c>
      <c r="CO404" s="53" t="n">
        <f aca="false">IF(BZ404=1,0,IFERROR(VLOOKUP(BX404,'Gebinde-Kategorie'!$A$5:$N$45,5,0)+0,0))</f>
        <v>8</v>
      </c>
      <c r="CP404" s="53" t="n">
        <f aca="false">IFERROR(IF(OR(CE404=1,CE404=2,CE404=3),N(INDEX(Parameter!$I$5:$I$7,CE404)),0),0)</f>
        <v>0</v>
      </c>
      <c r="CQ404" s="52" t="n">
        <f aca="false">IF(AND(Parameter!$B$21="Ja",ISNUMBER(W404),N(X404)&gt;0),IFERROR(N(INDEX(Parameter!$L$5:$L$7,W404))*INDEX(Parameter!$E$5:$E$7,W404)*X404/SUMIFS($X$7:$X$1843,$W$7:$W$1843,W404),0),0)</f>
        <v>0</v>
      </c>
    </row>
    <row r="405" customFormat="false" ht="15" hidden="false" customHeight="false" outlineLevel="0" collapsed="false">
      <c r="A405" s="48" t="s">
        <v>953</v>
      </c>
      <c r="B405" s="48" t="s">
        <v>954</v>
      </c>
      <c r="C405" s="48" t="s">
        <v>173</v>
      </c>
      <c r="D405" s="48" t="s">
        <v>193</v>
      </c>
      <c r="E405" s="48"/>
      <c r="F405" s="48" t="s">
        <v>227</v>
      </c>
      <c r="G405" s="49" t="n">
        <v>22.9</v>
      </c>
      <c r="H405" s="50" t="n">
        <f aca="false">MAX(0,IF(AND(Parameter!$B$21="Ja",ISNUMBER(Y405)),Y405,IF(Parameter!$B$20="Jahresanfang 2025 + Export",BR405+BQ405,BQ405)))</f>
        <v>4.685</v>
      </c>
      <c r="I405" s="50" t="n">
        <f aca="false">H405*G405</f>
        <v>107.2865</v>
      </c>
      <c r="J405" s="50" t="n">
        <f aca="false">BT405*Parameter!$B$18</f>
        <v>0</v>
      </c>
      <c r="K405" s="51" t="n">
        <v>0</v>
      </c>
      <c r="L405" s="52" t="n">
        <v>0</v>
      </c>
      <c r="M405" s="50" t="n">
        <v>1</v>
      </c>
      <c r="N405" s="50" t="n">
        <v>5</v>
      </c>
      <c r="O405" s="53" t="n">
        <v>0</v>
      </c>
      <c r="P405" s="48" t="s">
        <v>177</v>
      </c>
      <c r="Q405" s="50"/>
      <c r="R405" s="53" t="n">
        <f aca="false">IF(BZ405=1,0,IFERROR(VLOOKUP(BX405,'Gebinde-Kategorie'!$A$5:$N$45,13,0)+0,0))</f>
        <v>26</v>
      </c>
      <c r="S405" s="54"/>
      <c r="T405" s="55" t="s">
        <v>284</v>
      </c>
      <c r="U405" s="55"/>
      <c r="V405" s="55"/>
      <c r="W405" s="48"/>
      <c r="X405" s="50"/>
      <c r="Y405" s="50"/>
      <c r="Z405" s="48" t="n">
        <f aca="false">IF(A405="","",IF(AND(Parameter!$B$21="Ja",ISNUMBER(W405)),W405,IF(CC405="2+3",IF(ISNUMBER(SEARCH("grosser Artikel",BU405)),2,IFERROR(VLOOKUP(BX405,Parameter!$F$35:$G$64,2,0),2)),IF(OR(CC405="Nein",CC405=""),"-",CC405))))</f>
        <v>3</v>
      </c>
      <c r="AA405" s="55"/>
      <c r="AB405" s="56"/>
      <c r="AC405" s="50" t="n">
        <f aca="false">AV405</f>
        <v>6</v>
      </c>
      <c r="AD405" s="50" t="n">
        <f aca="false">MAX(AV405,H405)</f>
        <v>6</v>
      </c>
      <c r="AE405" s="57"/>
      <c r="AF405" s="50" t="n">
        <f aca="false">IF(LEFT(Cockpit!$C$5,1)="A",H405,IF(Parameter!$E$30="MAX-Bestand",IF(CH405=1,CI405,IF(LEFT(Cockpit!$C$5,1)="B",AL405,MAX(AL405,H405))),ROUNDUP(AJ405,0)))</f>
        <v>4.685</v>
      </c>
      <c r="AG405" s="50" t="n">
        <f aca="false">IF(BZ405=1,0,ROUNDUP(AF405/BY405,0))</f>
        <v>1</v>
      </c>
      <c r="AH405" s="52" t="n">
        <f aca="false">IF(CQ405&gt;0,CQ405*MAX(1,AF405/X405),IF(BZ405=1,IF(AF405&lt;=0,0,CD405*MAX(1,IF(H405&gt;0,AF405/H405,1))),IF(R405&gt;0,AG405/R405,0))/MAX(0.1,N(Parameter!$M$21)))</f>
        <v>0.0384615384615385</v>
      </c>
      <c r="AI405" s="50" t="n">
        <f aca="false">AH405*CB405</f>
        <v>5.96153846153846</v>
      </c>
      <c r="AJ405" s="51" t="n">
        <f aca="false">IF(LEFT(Cockpit!$C$5,1)="A",H405,IF(CH405=1,(CK405+CI405)/2,IF(LEFT(Cockpit!$C$5,1)="B",(CK405+AL405)/2,MAX((CK405+AL405)/2,H405))))</f>
        <v>4.685</v>
      </c>
      <c r="AK405" s="50" t="n">
        <f aca="false">AJ405*G405</f>
        <v>107.2865</v>
      </c>
      <c r="AL405" s="50" t="n">
        <f aca="false">ROUNDUP(CK405+MAX(CL405,2*(J405/IF(CG405&gt;0,CG405,MAX(0.1,N(Cockpit!$C$6)))-CK405)),0)</f>
        <v>6</v>
      </c>
      <c r="AM405" s="51" t="n">
        <f aca="false">IF(AI405&gt;0,J405/AI405,-1)</f>
        <v>0</v>
      </c>
      <c r="AN405" s="51" t="n">
        <f aca="false">IF(AND(OR(CF405="L1",CF405="L23",CF405="LIFT"),AI405&gt;0),SUMIFS($AI$7:$AI$1843,$CF$7:$CF$1843,CF405,$AM$7:$AM$1843,"&gt;"&amp;AM405)+SUMIFS($AI$7:$AI$1843,$CF$7:$CF$1843,CF405,$AM$7:$AM$1843,AM405,$BW$7:$BW$1843,"&lt;="&amp;BW405),"")</f>
        <v>28086.2313952526</v>
      </c>
      <c r="AO405" s="58" t="n">
        <f aca="false">IF(AN405="",0,MAX(0,MIN(1,(IF(CF405="L1",Parameter!$H$5,IF(CF405="L23",Parameter!$H$6+Parameter!$H$7,Parameter!$H$5+Parameter!$H$6+Parameter!$H$7))-(AN405-AI405))/AI405)))</f>
        <v>1</v>
      </c>
      <c r="AP405" s="50" t="n">
        <f aca="false">IF(LEFT(Cockpit!$I$5,1)="A",H405,IF(Parameter!$E$30="MAX-Bestand",IF(CH405=1,CI405,IF(LEFT(Cockpit!$I$5,1)="B",AV405,MAX(AV405,H405))),ROUNDUP(AT405,0)))</f>
        <v>5</v>
      </c>
      <c r="AQ405" s="50" t="n">
        <f aca="false">IF(BZ405=1,0,ROUNDUP(AP405/BY405,0))</f>
        <v>1</v>
      </c>
      <c r="AR405" s="52" t="n">
        <f aca="false">IF(CQ405&gt;0,CQ405*MAX(1,AP405/X405),IF(BZ405=1,IF(AP405&lt;=0,0,CD405*MAX(1,IF(H405&gt;0,AP405/H405,1))),IF(R405&gt;0,AQ405/R405,0))/MAX(0.1,N(Parameter!$M$21)))</f>
        <v>0.0384615384615385</v>
      </c>
      <c r="AS405" s="50" t="n">
        <f aca="false">AR405*CB405</f>
        <v>5.96153846153846</v>
      </c>
      <c r="AT405" s="51" t="n">
        <f aca="false">IF(LEFT(Cockpit!$I$5,1)="A",H405,IF(CH405=1,(CK405+CI405)/2,IF(LEFT(Cockpit!$I$5,1)="B",(CK405+AV405)/2,MAX((CK405+AV405)/2,H405))))</f>
        <v>4.685</v>
      </c>
      <c r="AU405" s="50" t="n">
        <f aca="false">AT405*G405</f>
        <v>107.2865</v>
      </c>
      <c r="AV405" s="50" t="n">
        <f aca="false">ROUNDUP(CK405+MAX(CL405,2*(J405/IF(CG405&gt;0,CG405,MAX(0.1,N(Cockpit!$I$6)))-CK405)),0)</f>
        <v>6</v>
      </c>
      <c r="AW405" s="51" t="n">
        <f aca="false">IF(AS405&gt;0,J405/AS405,-1)</f>
        <v>0</v>
      </c>
      <c r="AX405" s="51" t="n">
        <f aca="false">IF(AND(OR(CF405="L1",CF405="L23",CF405="LIFT"),AS405&gt;0),SUMIFS($AS$7:$AS$1843,$CF$7:$CF$1843,CF405,$AW$7:$AW$1843,"&gt;"&amp;AW405)+SUMIFS($AS$7:$AS$1843,$CF$7:$CF$1843,CF405,$AW$7:$AW$1843,AW405,$BW$7:$BW$1843,"&lt;="&amp;BW405),"")</f>
        <v>33439.38003663</v>
      </c>
      <c r="AY405" s="58" t="n">
        <f aca="false">IF(AX405="",0,MAX(0,MIN(1,(IF(CF405="L1",Parameter!$H$5,IF(CF405="L23",Parameter!$H$6+Parameter!$H$7,Parameter!$H$5+Parameter!$H$6+Parameter!$H$7))-(AX405-AS405))/AS405)))</f>
        <v>1</v>
      </c>
      <c r="AZ405" s="50" t="n">
        <f aca="false">IF(LEFT(Cockpit!$O$5,1)="A",H405,IF(Parameter!$E$30="MAX-Bestand",IF(CH405=1,CI405,IF(LEFT(Cockpit!$O$5,1)="B",BF405,MAX(BF405,H405))),ROUNDUP(BD405,0)))</f>
        <v>4</v>
      </c>
      <c r="BA405" s="50" t="n">
        <f aca="false">IF(BZ405=1,0,ROUNDUP(AZ405/BY405,0))</f>
        <v>1</v>
      </c>
      <c r="BB405" s="52" t="n">
        <f aca="false">IF(CQ405&gt;0,CQ405*MAX(1,AZ405/X405),IF(BZ405=1,IF(AZ405&lt;=0,0,CD405*MAX(1,IF(H405&gt;0,AZ405/H405,1))),IF(R405&gt;0,BA405/R405,0))/MAX(0.1,N(Parameter!$M$21)))</f>
        <v>0.0384615384615385</v>
      </c>
      <c r="BC405" s="50" t="n">
        <f aca="false">BB405*CB405</f>
        <v>5.96153846153846</v>
      </c>
      <c r="BD405" s="51" t="n">
        <f aca="false">IF(LEFT(Cockpit!$O$5,1)="A",H405,IF(CH405=1,(CK405+CI405)/2,IF(LEFT(Cockpit!$O$5,1)="B",(CK405+BF405)/2,MAX((CK405+BF405)/2,H405))))</f>
        <v>3.5</v>
      </c>
      <c r="BE405" s="50" t="n">
        <f aca="false">BD405*G405</f>
        <v>80.15</v>
      </c>
      <c r="BF405" s="50" t="n">
        <f aca="false">ROUNDUP(CK405+MAX(CL405,2*(J405/IF(CG405&gt;0,CG405,MAX(0.1,N(Cockpit!$O$6)))-CK405)),0)</f>
        <v>6</v>
      </c>
      <c r="BG405" s="51" t="n">
        <f aca="false">IF(BC405&gt;0,J405/BC405,-1)</f>
        <v>0</v>
      </c>
      <c r="BH405" s="51" t="n">
        <f aca="false">IF(AND(OR(CF405="L1",CF405="L23",CF405="LIFT"),BC405&gt;0),SUMIFS($BC$7:$BC$1843,$CF$7:$CF$1843,CF405,$BG$7:$BG$1843,"&gt;"&amp;BG405)+SUMIFS($BC$7:$BC$1843,$CF$7:$CF$1843,CF405,$BG$7:$BG$1843,BG405,$BW$7:$BW$1843,"&lt;="&amp;BW405),"")</f>
        <v>27552.9170081331</v>
      </c>
      <c r="BI405" s="58" t="n">
        <f aca="false">IF(BH405="",0,MAX(0,MIN(1,(IF(CF405="L1",Parameter!$H$5,IF(CF405="L23",Parameter!$H$6+Parameter!$H$7,Parameter!$H$5+Parameter!$H$6+Parameter!$H$7))-(BH405-BC405))/BC405)))</f>
        <v>1</v>
      </c>
      <c r="BJ405" s="48" t="str">
        <f aca="false">IF(AI405&lt;=0,"",IF(CF405="Aussen","Aussenlager",IF(CF405="-","Nicht im Lift",IF(AO405&gt;=1,"Lift",IF(AO405&lt;=0,"Aussenlager","teilweise")))))</f>
        <v>Lift</v>
      </c>
      <c r="BK405" s="48" t="str">
        <f aca="false">IF(AS405&lt;=0,"",IF(CF405="Aussen","Aussenlager",IF(CF405="-","Nicht im Lift",IF(AY405&gt;=1,"Lift",IF(AY405&lt;=0,"Aussenlager","teilweise")))))</f>
        <v>Lift</v>
      </c>
      <c r="BL405" s="48" t="str">
        <f aca="false">IF(BC405&lt;=0,"",IF(CF405="Aussen","Aussenlager",IF(CF405="-","Nicht im Lift",IF(BI405&gt;=1,"Lift",IF(BI405&lt;=0,"Aussenlager","teilweise")))))</f>
        <v>Lift</v>
      </c>
      <c r="BM405" s="48" t="str">
        <f aca="false">IF(A405="","",IF(BV405=1,"Neu; ","")&amp;IF(AND(BV405=0,BQ405&lt;0),"negativer Bestand (Export "&amp;BQ405&amp;"); ","")&amp;IF(J405&lt;=0,"Kein Verbrauch; ","")&amp;IF(CQ405&gt;0,"Lift "&amp;W405&amp;" lt. Liftbericht (Fach "&amp;X405&amp;" Stk); ",IF(CA405=1,"Gebinde geschätzt ("&amp;T405&amp;"); ",IF(BZ405=1,"Lose – Tablare geschätzt; ","")))&amp;IF(H405&gt;AV405,"Überbestand "&amp;ROUND(H405-AV405,0)&amp;" Stk / CHF "&amp;ROUND((H405-AV405)*G405,0)&amp;"; ","")&amp;IF(AND(CH405=1,CI405&lt;CJ405),"MAX &lt; MB+LG; ","")&amp;IF(AND(CP405&gt;0,CO405*10&gt;CP405),"zu hoch für Tablar; ","")&amp;IF(AND(BV405=0,OR(CH405=1,AA405&lt;&gt;"",U405&lt;&gt;"",V405&lt;&gt;"",AB405&lt;&gt;"")),"manuell übersteuert; ","")&amp;IF(AND(BZ405=0,R405=0),"Gebinde unbekannt / Stellmass fehlt; ","")&amp;IF(AND(BZ405=0,N(V405)&lt;=0,N(Q405)&lt;=0),"Menge pro Gebinde fehlt (Ist = 1 Gebinde); ","")&amp;BU405)</f>
        <v>Kein Verbrauch; Gebinde geschätzt (Klein); Menge pro Gebinde fehlt (Ist = 1 Gebinde); </v>
      </c>
      <c r="BN405" s="48"/>
      <c r="BO405" s="48"/>
      <c r="BP405" s="55"/>
      <c r="BQ405" s="50" t="n">
        <v>4.685</v>
      </c>
      <c r="BR405" s="50" t="n">
        <v>0</v>
      </c>
      <c r="BS405" s="49" t="n">
        <v>107.29</v>
      </c>
      <c r="BT405" s="50" t="n">
        <v>0</v>
      </c>
      <c r="BU405" s="48"/>
      <c r="BV405" s="53" t="n">
        <v>0</v>
      </c>
      <c r="BW405" s="53" t="n">
        <v>405</v>
      </c>
      <c r="BX405" s="48" t="str">
        <f aca="false">IF(U405&lt;&gt;"",UPPER(TRIM(U405)),IF(CA405=1,UPPER(VLOOKUP(T405,Parameter!$I$27:$K$29,2,0)),IF(P405="","LOSE",P405)))</f>
        <v>S51</v>
      </c>
      <c r="BY405" s="50" t="n">
        <f aca="false">IF(BX405="LOSE",1,IF(N(V405)&gt;0,V405,IF(CA405=1,MAX(1,N(VLOOKUP(T405,Parameter!$I$27:$K$29,3,0)),H405,N(N405)),IF(N(Q405)&gt;0,Q405,MAX(1,H405)))))</f>
        <v>20</v>
      </c>
      <c r="BZ405" s="53" t="n">
        <f aca="false">IF(BX405="LOSE",1,0)</f>
        <v>0</v>
      </c>
      <c r="CA405" s="53" t="n">
        <f aca="false">IF(AND(U405="",OR(P405="",P405="LOSE"),T405&lt;&gt;"",N(S405)&lt;=0,ISNUMBER(MATCH(T405,Parameter!$I$27:$I$29,0))),1,0)</f>
        <v>1</v>
      </c>
      <c r="CB405" s="53" t="n">
        <f aca="false">IF(CQ405&gt;0,INDEX(Parameter!$H$5:$H$7,W405)/INDEX(Parameter!$E$5:$E$7,W405),IF(AND(BZ405=0,N(IFERROR(VLOOKUP(BX405,'Gebinde-Kategorie'!$A$5:$N$45,14,0),0))&gt;0),VLOOKUP(BX405,'Gebinde-Kategorie'!$A$5:$N$45,14,0)*10+Parameter!$M$23,Parameter!$M$24))</f>
        <v>155</v>
      </c>
      <c r="CC405" s="48" t="str">
        <f aca="false">IF(AND(Parameter!$B$19="Ja",E405&lt;&gt;"",ISNUMBER(MATCH(E405,Parameter!$I$35:$I$52,0))),VLOOKUP(E405,Parameter!$I$35:$J$52,2,0),IFERROR(VLOOKUP(D405,Parameter!$A$35:$C$64,2,0),"Nein"))</f>
        <v>2+3</v>
      </c>
      <c r="CD405" s="52" t="n">
        <f aca="false">IF(BZ405=0,0,IF(N(S405)&gt;0,S405,IFERROR(VLOOKUP(D405,Parameter!$A$35:$C$64,3,0)+0,0)))</f>
        <v>0</v>
      </c>
      <c r="CE405" s="48" t="n">
        <f aca="false">IF(AA405&lt;&gt;"",AA405,Z405)</f>
        <v>3</v>
      </c>
      <c r="CF405" s="48" t="str">
        <f aca="false">IF(OR(CE405=1,CE405=2,CE405=3),IF(Parameter!$E$27="Ja","LIFT",IF(CE405=1,"L1","L23")),IF(CE405="Aussen","Aussen","-"))</f>
        <v>LIFT</v>
      </c>
      <c r="CG405" s="59" t="n">
        <f aca="false">IF(N(AB405)&gt;0,AB405,0)</f>
        <v>0</v>
      </c>
      <c r="CH405" s="53" t="n">
        <f aca="false">IF(ISNUMBER(AE405),1,0)</f>
        <v>0</v>
      </c>
      <c r="CI405" s="50" t="n">
        <f aca="false">N(AE405)</f>
        <v>0</v>
      </c>
      <c r="CJ405" s="50" t="n">
        <f aca="false">N(M405)+N(N405)</f>
        <v>6</v>
      </c>
      <c r="CK405" s="50" t="n">
        <f aca="false">N(M405)</f>
        <v>1</v>
      </c>
      <c r="CL405" s="50" t="n">
        <f aca="false">N(N405)</f>
        <v>5</v>
      </c>
      <c r="CM405" s="50" t="n">
        <f aca="false">ROUNDUP(H405/BY405,0)</f>
        <v>1</v>
      </c>
      <c r="CN405" s="50" t="n">
        <f aca="false">ROUNDUP(CI405/BY405,0)</f>
        <v>0</v>
      </c>
      <c r="CO405" s="53" t="n">
        <f aca="false">IF(BZ405=1,0,IFERROR(VLOOKUP(BX405,'Gebinde-Kategorie'!$A$5:$N$45,5,0)+0,0))</f>
        <v>11</v>
      </c>
      <c r="CP405" s="53" t="n">
        <f aca="false">IFERROR(IF(OR(CE405=1,CE405=2,CE405=3),N(INDEX(Parameter!$I$5:$I$7,CE405)),0),0)</f>
        <v>0</v>
      </c>
      <c r="CQ405" s="52" t="n">
        <f aca="false">IF(AND(Parameter!$B$21="Ja",ISNUMBER(W405),N(X405)&gt;0),IFERROR(N(INDEX(Parameter!$L$5:$L$7,W405))*INDEX(Parameter!$E$5:$E$7,W405)*X405/SUMIFS($X$7:$X$1843,$W$7:$W$1843,W405),0),0)</f>
        <v>0</v>
      </c>
    </row>
    <row r="406" customFormat="false" ht="15" hidden="false" customHeight="false" outlineLevel="0" collapsed="false">
      <c r="A406" s="48" t="s">
        <v>955</v>
      </c>
      <c r="B406" s="48" t="s">
        <v>956</v>
      </c>
      <c r="C406" s="48" t="s">
        <v>173</v>
      </c>
      <c r="D406" s="48" t="s">
        <v>193</v>
      </c>
      <c r="E406" s="48"/>
      <c r="F406" s="48" t="s">
        <v>227</v>
      </c>
      <c r="G406" s="49" t="n">
        <v>4.65</v>
      </c>
      <c r="H406" s="50" t="n">
        <f aca="false">MAX(0,IF(AND(Parameter!$B$21="Ja",ISNUMBER(Y406)),Y406,IF(Parameter!$B$20="Jahresanfang 2025 + Export",BR406+BQ406,BQ406)))</f>
        <v>23</v>
      </c>
      <c r="I406" s="50" t="n">
        <f aca="false">H406*G406</f>
        <v>106.95</v>
      </c>
      <c r="J406" s="50" t="n">
        <f aca="false">BT406*Parameter!$B$18</f>
        <v>0</v>
      </c>
      <c r="K406" s="51" t="n">
        <v>0</v>
      </c>
      <c r="L406" s="52" t="n">
        <v>0</v>
      </c>
      <c r="M406" s="50" t="n">
        <v>0</v>
      </c>
      <c r="N406" s="50" t="n">
        <v>5</v>
      </c>
      <c r="O406" s="53" t="n">
        <v>9999</v>
      </c>
      <c r="P406" s="48" t="s">
        <v>177</v>
      </c>
      <c r="Q406" s="50"/>
      <c r="R406" s="53" t="n">
        <f aca="false">IF(BZ406=1,0,IFERROR(VLOOKUP(BX406,'Gebinde-Kategorie'!$A$5:$N$45,13,0)+0,0))</f>
        <v>26</v>
      </c>
      <c r="S406" s="54"/>
      <c r="T406" s="55" t="s">
        <v>284</v>
      </c>
      <c r="U406" s="55"/>
      <c r="V406" s="55"/>
      <c r="W406" s="48"/>
      <c r="X406" s="50"/>
      <c r="Y406" s="50"/>
      <c r="Z406" s="48" t="n">
        <f aca="false">IF(A406="","",IF(AND(Parameter!$B$21="Ja",ISNUMBER(W406)),W406,IF(CC406="2+3",IF(ISNUMBER(SEARCH("grosser Artikel",BU406)),2,IFERROR(VLOOKUP(BX406,Parameter!$F$35:$G$64,2,0),2)),IF(OR(CC406="Nein",CC406=""),"-",CC406))))</f>
        <v>3</v>
      </c>
      <c r="AA406" s="55"/>
      <c r="AB406" s="56"/>
      <c r="AC406" s="50" t="n">
        <f aca="false">AV406</f>
        <v>5</v>
      </c>
      <c r="AD406" s="50" t="n">
        <f aca="false">MAX(AV406,H406)</f>
        <v>23</v>
      </c>
      <c r="AE406" s="57"/>
      <c r="AF406" s="50" t="n">
        <f aca="false">IF(LEFT(Cockpit!$C$5,1)="A",H406,IF(Parameter!$E$30="MAX-Bestand",IF(CH406=1,CI406,IF(LEFT(Cockpit!$C$5,1)="B",AL406,MAX(AL406,H406))),ROUNDUP(AJ406,0)))</f>
        <v>23</v>
      </c>
      <c r="AG406" s="50" t="n">
        <f aca="false">IF(BZ406=1,0,ROUNDUP(AF406/BY406,0))</f>
        <v>1</v>
      </c>
      <c r="AH406" s="52" t="n">
        <f aca="false">IF(CQ406&gt;0,CQ406*MAX(1,AF406/X406),IF(BZ406=1,IF(AF406&lt;=0,0,CD406*MAX(1,IF(H406&gt;0,AF406/H406,1))),IF(R406&gt;0,AG406/R406,0))/MAX(0.1,N(Parameter!$M$21)))</f>
        <v>0.0384615384615385</v>
      </c>
      <c r="AI406" s="50" t="n">
        <f aca="false">AH406*CB406</f>
        <v>5.96153846153846</v>
      </c>
      <c r="AJ406" s="51" t="n">
        <f aca="false">IF(LEFT(Cockpit!$C$5,1)="A",H406,IF(CH406=1,(CK406+CI406)/2,IF(LEFT(Cockpit!$C$5,1)="B",(CK406+AL406)/2,MAX((CK406+AL406)/2,H406))))</f>
        <v>23</v>
      </c>
      <c r="AK406" s="50" t="n">
        <f aca="false">AJ406*G406</f>
        <v>106.95</v>
      </c>
      <c r="AL406" s="50" t="n">
        <f aca="false">ROUNDUP(CK406+MAX(CL406,2*(J406/IF(CG406&gt;0,CG406,MAX(0.1,N(Cockpit!$C$6)))-CK406)),0)</f>
        <v>5</v>
      </c>
      <c r="AM406" s="51" t="n">
        <f aca="false">IF(AI406&gt;0,J406/AI406,-1)</f>
        <v>0</v>
      </c>
      <c r="AN406" s="51" t="n">
        <f aca="false">IF(AND(OR(CF406="L1",CF406="L23",CF406="LIFT"),AI406&gt;0),SUMIFS($AI$7:$AI$1843,$CF$7:$CF$1843,CF406,$AM$7:$AM$1843,"&gt;"&amp;AM406)+SUMIFS($AI$7:$AI$1843,$CF$7:$CF$1843,CF406,$AM$7:$AM$1843,AM406,$BW$7:$BW$1843,"&lt;="&amp;BW406),"")</f>
        <v>28092.1929337141</v>
      </c>
      <c r="AO406" s="58" t="n">
        <f aca="false">IF(AN406="",0,MAX(0,MIN(1,(IF(CF406="L1",Parameter!$H$5,IF(CF406="L23",Parameter!$H$6+Parameter!$H$7,Parameter!$H$5+Parameter!$H$6+Parameter!$H$7))-(AN406-AI406))/AI406)))</f>
        <v>1</v>
      </c>
      <c r="AP406" s="50" t="n">
        <f aca="false">IF(LEFT(Cockpit!$I$5,1)="A",H406,IF(Parameter!$E$30="MAX-Bestand",IF(CH406=1,CI406,IF(LEFT(Cockpit!$I$5,1)="B",AV406,MAX(AV406,H406))),ROUNDUP(AT406,0)))</f>
        <v>23</v>
      </c>
      <c r="AQ406" s="50" t="n">
        <f aca="false">IF(BZ406=1,0,ROUNDUP(AP406/BY406,0))</f>
        <v>1</v>
      </c>
      <c r="AR406" s="52" t="n">
        <f aca="false">IF(CQ406&gt;0,CQ406*MAX(1,AP406/X406),IF(BZ406=1,IF(AP406&lt;=0,0,CD406*MAX(1,IF(H406&gt;0,AP406/H406,1))),IF(R406&gt;0,AQ406/R406,0))/MAX(0.1,N(Parameter!$M$21)))</f>
        <v>0.0384615384615385</v>
      </c>
      <c r="AS406" s="50" t="n">
        <f aca="false">AR406*CB406</f>
        <v>5.96153846153846</v>
      </c>
      <c r="AT406" s="51" t="n">
        <f aca="false">IF(LEFT(Cockpit!$I$5,1)="A",H406,IF(CH406=1,(CK406+CI406)/2,IF(LEFT(Cockpit!$I$5,1)="B",(CK406+AV406)/2,MAX((CK406+AV406)/2,H406))))</f>
        <v>23</v>
      </c>
      <c r="AU406" s="50" t="n">
        <f aca="false">AT406*G406</f>
        <v>106.95</v>
      </c>
      <c r="AV406" s="50" t="n">
        <f aca="false">ROUNDUP(CK406+MAX(CL406,2*(J406/IF(CG406&gt;0,CG406,MAX(0.1,N(Cockpit!$I$6)))-CK406)),0)</f>
        <v>5</v>
      </c>
      <c r="AW406" s="51" t="n">
        <f aca="false">IF(AS406&gt;0,J406/AS406,-1)</f>
        <v>0</v>
      </c>
      <c r="AX406" s="51" t="n">
        <f aca="false">IF(AND(OR(CF406="L1",CF406="L23",CF406="LIFT"),AS406&gt;0),SUMIFS($AS$7:$AS$1843,$CF$7:$CF$1843,CF406,$AW$7:$AW$1843,"&gt;"&amp;AW406)+SUMIFS($AS$7:$AS$1843,$CF$7:$CF$1843,CF406,$AW$7:$AW$1843,AW406,$BW$7:$BW$1843,"&lt;="&amp;BW406),"")</f>
        <v>33445.3415750916</v>
      </c>
      <c r="AY406" s="58" t="n">
        <f aca="false">IF(AX406="",0,MAX(0,MIN(1,(IF(CF406="L1",Parameter!$H$5,IF(CF406="L23",Parameter!$H$6+Parameter!$H$7,Parameter!$H$5+Parameter!$H$6+Parameter!$H$7))-(AX406-AS406))/AS406)))</f>
        <v>1</v>
      </c>
      <c r="AZ406" s="50" t="n">
        <f aca="false">IF(LEFT(Cockpit!$O$5,1)="A",H406,IF(Parameter!$E$30="MAX-Bestand",IF(CH406=1,CI406,IF(LEFT(Cockpit!$O$5,1)="B",BF406,MAX(BF406,H406))),ROUNDUP(BD406,0)))</f>
        <v>3</v>
      </c>
      <c r="BA406" s="50" t="n">
        <f aca="false">IF(BZ406=1,0,ROUNDUP(AZ406/BY406,0))</f>
        <v>1</v>
      </c>
      <c r="BB406" s="52" t="n">
        <f aca="false">IF(CQ406&gt;0,CQ406*MAX(1,AZ406/X406),IF(BZ406=1,IF(AZ406&lt;=0,0,CD406*MAX(1,IF(H406&gt;0,AZ406/H406,1))),IF(R406&gt;0,BA406/R406,0))/MAX(0.1,N(Parameter!$M$21)))</f>
        <v>0.0384615384615385</v>
      </c>
      <c r="BC406" s="50" t="n">
        <f aca="false">BB406*CB406</f>
        <v>5.96153846153846</v>
      </c>
      <c r="BD406" s="51" t="n">
        <f aca="false">IF(LEFT(Cockpit!$O$5,1)="A",H406,IF(CH406=1,(CK406+CI406)/2,IF(LEFT(Cockpit!$O$5,1)="B",(CK406+BF406)/2,MAX((CK406+BF406)/2,H406))))</f>
        <v>2.5</v>
      </c>
      <c r="BE406" s="50" t="n">
        <f aca="false">BD406*G406</f>
        <v>11.625</v>
      </c>
      <c r="BF406" s="50" t="n">
        <f aca="false">ROUNDUP(CK406+MAX(CL406,2*(J406/IF(CG406&gt;0,CG406,MAX(0.1,N(Cockpit!$O$6)))-CK406)),0)</f>
        <v>5</v>
      </c>
      <c r="BG406" s="51" t="n">
        <f aca="false">IF(BC406&gt;0,J406/BC406,-1)</f>
        <v>0</v>
      </c>
      <c r="BH406" s="51" t="n">
        <f aca="false">IF(AND(OR(CF406="L1",CF406="L23",CF406="LIFT"),BC406&gt;0),SUMIFS($BC$7:$BC$1843,$CF$7:$CF$1843,CF406,$BG$7:$BG$1843,"&gt;"&amp;BG406)+SUMIFS($BC$7:$BC$1843,$CF$7:$CF$1843,CF406,$BG$7:$BG$1843,BG406,$BW$7:$BW$1843,"&lt;="&amp;BW406),"")</f>
        <v>27558.8785465947</v>
      </c>
      <c r="BI406" s="58" t="n">
        <f aca="false">IF(BH406="",0,MAX(0,MIN(1,(IF(CF406="L1",Parameter!$H$5,IF(CF406="L23",Parameter!$H$6+Parameter!$H$7,Parameter!$H$5+Parameter!$H$6+Parameter!$H$7))-(BH406-BC406))/BC406)))</f>
        <v>1</v>
      </c>
      <c r="BJ406" s="48" t="str">
        <f aca="false">IF(AI406&lt;=0,"",IF(CF406="Aussen","Aussenlager",IF(CF406="-","Nicht im Lift",IF(AO406&gt;=1,"Lift",IF(AO406&lt;=0,"Aussenlager","teilweise")))))</f>
        <v>Lift</v>
      </c>
      <c r="BK406" s="48" t="str">
        <f aca="false">IF(AS406&lt;=0,"",IF(CF406="Aussen","Aussenlager",IF(CF406="-","Nicht im Lift",IF(AY406&gt;=1,"Lift",IF(AY406&lt;=0,"Aussenlager","teilweise")))))</f>
        <v>Lift</v>
      </c>
      <c r="BL406" s="48" t="str">
        <f aca="false">IF(BC406&lt;=0,"",IF(CF406="Aussen","Aussenlager",IF(CF406="-","Nicht im Lift",IF(BI406&gt;=1,"Lift",IF(BI406&lt;=0,"Aussenlager","teilweise")))))</f>
        <v>Lift</v>
      </c>
      <c r="BM406" s="48" t="str">
        <f aca="false">IF(A406="","",IF(BV406=1,"Neu; ","")&amp;IF(AND(BV406=0,BQ406&lt;0),"negativer Bestand (Export "&amp;BQ406&amp;"); ","")&amp;IF(J406&lt;=0,"Kein Verbrauch; ","")&amp;IF(CQ406&gt;0,"Lift "&amp;W406&amp;" lt. Liftbericht (Fach "&amp;X406&amp;" Stk); ",IF(CA406=1,"Gebinde geschätzt ("&amp;T406&amp;"); ",IF(BZ406=1,"Lose – Tablare geschätzt; ","")))&amp;IF(H406&gt;AV406,"Überbestand "&amp;ROUND(H406-AV406,0)&amp;" Stk / CHF "&amp;ROUND((H406-AV406)*G406,0)&amp;"; ","")&amp;IF(AND(CH406=1,CI406&lt;CJ406),"MAX &lt; MB+LG; ","")&amp;IF(AND(CP406&gt;0,CO406*10&gt;CP406),"zu hoch für Tablar; ","")&amp;IF(AND(BV406=0,OR(CH406=1,AA406&lt;&gt;"",U406&lt;&gt;"",V406&lt;&gt;"",AB406&lt;&gt;"")),"manuell übersteuert; ","")&amp;IF(AND(BZ406=0,R406=0),"Gebinde unbekannt / Stellmass fehlt; ","")&amp;IF(AND(BZ406=0,N(V406)&lt;=0,N(Q406)&lt;=0),"Menge pro Gebinde fehlt (Ist = 1 Gebinde); ","")&amp;BU406)</f>
        <v>Kein Verbrauch; Gebinde geschätzt (Klein); Überbestand 18 Stk / CHF 84; Menge pro Gebinde fehlt (Ist = 1 Gebinde); </v>
      </c>
      <c r="BN406" s="48"/>
      <c r="BO406" s="48"/>
      <c r="BP406" s="55"/>
      <c r="BQ406" s="50" t="n">
        <v>23</v>
      </c>
      <c r="BR406" s="50" t="n">
        <v>0</v>
      </c>
      <c r="BS406" s="49" t="n">
        <v>106.95</v>
      </c>
      <c r="BT406" s="50" t="n">
        <v>0</v>
      </c>
      <c r="BU406" s="48"/>
      <c r="BV406" s="53" t="n">
        <v>0</v>
      </c>
      <c r="BW406" s="53" t="n">
        <v>406</v>
      </c>
      <c r="BX406" s="48" t="str">
        <f aca="false">IF(U406&lt;&gt;"",UPPER(TRIM(U406)),IF(CA406=1,UPPER(VLOOKUP(T406,Parameter!$I$27:$K$29,2,0)),IF(P406="","LOSE",P406)))</f>
        <v>S51</v>
      </c>
      <c r="BY406" s="50" t="n">
        <f aca="false">IF(BX406="LOSE",1,IF(N(V406)&gt;0,V406,IF(CA406=1,MAX(1,N(VLOOKUP(T406,Parameter!$I$27:$K$29,3,0)),H406,N(N406)),IF(N(Q406)&gt;0,Q406,MAX(1,H406)))))</f>
        <v>23</v>
      </c>
      <c r="BZ406" s="53" t="n">
        <f aca="false">IF(BX406="LOSE",1,0)</f>
        <v>0</v>
      </c>
      <c r="CA406" s="53" t="n">
        <f aca="false">IF(AND(U406="",OR(P406="",P406="LOSE"),T406&lt;&gt;"",N(S406)&lt;=0,ISNUMBER(MATCH(T406,Parameter!$I$27:$I$29,0))),1,0)</f>
        <v>1</v>
      </c>
      <c r="CB406" s="53" t="n">
        <f aca="false">IF(CQ406&gt;0,INDEX(Parameter!$H$5:$H$7,W406)/INDEX(Parameter!$E$5:$E$7,W406),IF(AND(BZ406=0,N(IFERROR(VLOOKUP(BX406,'Gebinde-Kategorie'!$A$5:$N$45,14,0),0))&gt;0),VLOOKUP(BX406,'Gebinde-Kategorie'!$A$5:$N$45,14,0)*10+Parameter!$M$23,Parameter!$M$24))</f>
        <v>155</v>
      </c>
      <c r="CC406" s="48" t="str">
        <f aca="false">IF(AND(Parameter!$B$19="Ja",E406&lt;&gt;"",ISNUMBER(MATCH(E406,Parameter!$I$35:$I$52,0))),VLOOKUP(E406,Parameter!$I$35:$J$52,2,0),IFERROR(VLOOKUP(D406,Parameter!$A$35:$C$64,2,0),"Nein"))</f>
        <v>2+3</v>
      </c>
      <c r="CD406" s="52" t="n">
        <f aca="false">IF(BZ406=0,0,IF(N(S406)&gt;0,S406,IFERROR(VLOOKUP(D406,Parameter!$A$35:$C$64,3,0)+0,0)))</f>
        <v>0</v>
      </c>
      <c r="CE406" s="48" t="n">
        <f aca="false">IF(AA406&lt;&gt;"",AA406,Z406)</f>
        <v>3</v>
      </c>
      <c r="CF406" s="48" t="str">
        <f aca="false">IF(OR(CE406=1,CE406=2,CE406=3),IF(Parameter!$E$27="Ja","LIFT",IF(CE406=1,"L1","L23")),IF(CE406="Aussen","Aussen","-"))</f>
        <v>LIFT</v>
      </c>
      <c r="CG406" s="59" t="n">
        <f aca="false">IF(N(AB406)&gt;0,AB406,0)</f>
        <v>0</v>
      </c>
      <c r="CH406" s="53" t="n">
        <f aca="false">IF(ISNUMBER(AE406),1,0)</f>
        <v>0</v>
      </c>
      <c r="CI406" s="50" t="n">
        <f aca="false">N(AE406)</f>
        <v>0</v>
      </c>
      <c r="CJ406" s="50" t="n">
        <f aca="false">N(M406)+N(N406)</f>
        <v>5</v>
      </c>
      <c r="CK406" s="50" t="n">
        <f aca="false">N(M406)</f>
        <v>0</v>
      </c>
      <c r="CL406" s="50" t="n">
        <f aca="false">N(N406)</f>
        <v>5</v>
      </c>
      <c r="CM406" s="50" t="n">
        <f aca="false">ROUNDUP(H406/BY406,0)</f>
        <v>1</v>
      </c>
      <c r="CN406" s="50" t="n">
        <f aca="false">ROUNDUP(CI406/BY406,0)</f>
        <v>0</v>
      </c>
      <c r="CO406" s="53" t="n">
        <f aca="false">IF(BZ406=1,0,IFERROR(VLOOKUP(BX406,'Gebinde-Kategorie'!$A$5:$N$45,5,0)+0,0))</f>
        <v>11</v>
      </c>
      <c r="CP406" s="53" t="n">
        <f aca="false">IFERROR(IF(OR(CE406=1,CE406=2,CE406=3),N(INDEX(Parameter!$I$5:$I$7,CE406)),0),0)</f>
        <v>0</v>
      </c>
      <c r="CQ406" s="52" t="n">
        <f aca="false">IF(AND(Parameter!$B$21="Ja",ISNUMBER(W406),N(X406)&gt;0),IFERROR(N(INDEX(Parameter!$L$5:$L$7,W406))*INDEX(Parameter!$E$5:$E$7,W406)*X406/SUMIFS($X$7:$X$1843,$W$7:$W$1843,W406),0),0)</f>
        <v>0</v>
      </c>
    </row>
    <row r="407" customFormat="false" ht="15" hidden="false" customHeight="false" outlineLevel="0" collapsed="false">
      <c r="A407" s="48" t="s">
        <v>957</v>
      </c>
      <c r="B407" s="48" t="s">
        <v>958</v>
      </c>
      <c r="C407" s="48" t="s">
        <v>173</v>
      </c>
      <c r="D407" s="48" t="s">
        <v>193</v>
      </c>
      <c r="E407" s="48" t="s">
        <v>194</v>
      </c>
      <c r="F407" s="48" t="s">
        <v>227</v>
      </c>
      <c r="G407" s="49" t="n">
        <v>0.13</v>
      </c>
      <c r="H407" s="50" t="n">
        <f aca="false">MAX(0,IF(AND(Parameter!$B$21="Ja",ISNUMBER(Y407)),Y407,IF(Parameter!$B$20="Jahresanfang 2025 + Export",BR407+BQ407,BQ407)))</f>
        <v>929</v>
      </c>
      <c r="I407" s="50" t="n">
        <f aca="false">H407*G407</f>
        <v>120.77</v>
      </c>
      <c r="J407" s="50" t="n">
        <f aca="false">BT407*Parameter!$B$18</f>
        <v>678</v>
      </c>
      <c r="K407" s="51" t="n">
        <v>181</v>
      </c>
      <c r="L407" s="52" t="n">
        <v>3.74585635359116</v>
      </c>
      <c r="M407" s="50" t="n">
        <v>39</v>
      </c>
      <c r="N407" s="50" t="n">
        <v>680</v>
      </c>
      <c r="O407" s="53" t="n">
        <v>21</v>
      </c>
      <c r="P407" s="48" t="s">
        <v>485</v>
      </c>
      <c r="Q407" s="50" t="n">
        <v>598</v>
      </c>
      <c r="R407" s="53" t="n">
        <f aca="false">IF(BZ407=1,0,IFERROR(VLOOKUP(BX407,'Gebinde-Kategorie'!$A$5:$N$45,13,0)+0,0))</f>
        <v>52</v>
      </c>
      <c r="S407" s="54"/>
      <c r="T407" s="55"/>
      <c r="U407" s="55"/>
      <c r="V407" s="55"/>
      <c r="W407" s="48"/>
      <c r="X407" s="50"/>
      <c r="Y407" s="50"/>
      <c r="Z407" s="48" t="n">
        <f aca="false">IF(A407="","",IF(AND(Parameter!$B$21="Ja",ISNUMBER(W407)),W407,IF(CC407="2+3",IF(ISNUMBER(SEARCH("grosser Artikel",BU407)),2,IFERROR(VLOOKUP(BX407,Parameter!$F$35:$G$64,2,0),2)),IF(OR(CC407="Nein",CC407=""),"-",CC407))))</f>
        <v>3</v>
      </c>
      <c r="AA407" s="55"/>
      <c r="AB407" s="56"/>
      <c r="AC407" s="50" t="n">
        <f aca="false">AV407</f>
        <v>719</v>
      </c>
      <c r="AD407" s="50" t="n">
        <f aca="false">MAX(AV407,H407)</f>
        <v>929</v>
      </c>
      <c r="AE407" s="57"/>
      <c r="AF407" s="50" t="n">
        <f aca="false">IF(LEFT(Cockpit!$C$5,1)="A",H407,IF(Parameter!$E$30="MAX-Bestand",IF(CH407=1,CI407,IF(LEFT(Cockpit!$C$5,1)="B",AL407,MAX(AL407,H407))),ROUNDUP(AJ407,0)))</f>
        <v>929</v>
      </c>
      <c r="AG407" s="50" t="n">
        <f aca="false">IF(BZ407=1,0,ROUNDUP(AF407/BY407,0))</f>
        <v>2</v>
      </c>
      <c r="AH407" s="52" t="n">
        <f aca="false">IF(CQ407&gt;0,CQ407*MAX(1,AF407/X407),IF(BZ407=1,IF(AF407&lt;=0,0,CD407*MAX(1,IF(H407&gt;0,AF407/H407,1))),IF(R407&gt;0,AG407/R407,0))/MAX(0.1,N(Parameter!$M$21)))</f>
        <v>0.0384615384615385</v>
      </c>
      <c r="AI407" s="50" t="n">
        <f aca="false">AH407*CB407</f>
        <v>5.96153846153846</v>
      </c>
      <c r="AJ407" s="51" t="n">
        <f aca="false">IF(LEFT(Cockpit!$C$5,1)="A",H407,IF(CH407=1,(CK407+CI407)/2,IF(LEFT(Cockpit!$C$5,1)="B",(CK407+AL407)/2,MAX((CK407+AL407)/2,H407))))</f>
        <v>929</v>
      </c>
      <c r="AK407" s="50" t="n">
        <f aca="false">AJ407*G407</f>
        <v>120.77</v>
      </c>
      <c r="AL407" s="50" t="n">
        <f aca="false">ROUNDUP(CK407+MAX(CL407,2*(J407/IF(CG407&gt;0,CG407,MAX(0.1,N(Cockpit!$C$6)))-CK407)),0)</f>
        <v>719</v>
      </c>
      <c r="AM407" s="51" t="n">
        <f aca="false">IF(AI407&gt;0,J407/AI407,-1)</f>
        <v>113.729032258065</v>
      </c>
      <c r="AN407" s="51" t="n">
        <f aca="false">IF(AND(OR(CF407="L1",CF407="L23",CF407="LIFT"),AI407&gt;0),SUMIFS($AI$7:$AI$1843,$CF$7:$CF$1843,CF407,$AM$7:$AM$1843,"&gt;"&amp;AM407)+SUMIFS($AI$7:$AI$1843,$CF$7:$CF$1843,CF407,$AM$7:$AM$1843,AM407,$BW$7:$BW$1843,"&lt;="&amp;BW407),"")</f>
        <v>694.615842490843</v>
      </c>
      <c r="AO407" s="58" t="n">
        <f aca="false">IF(AN407="",0,MAX(0,MIN(1,(IF(CF407="L1",Parameter!$H$5,IF(CF407="L23",Parameter!$H$6+Parameter!$H$7,Parameter!$H$5+Parameter!$H$6+Parameter!$H$7))-(AN407-AI407))/AI407)))</f>
        <v>1</v>
      </c>
      <c r="AP407" s="50" t="n">
        <f aca="false">IF(LEFT(Cockpit!$I$5,1)="A",H407,IF(Parameter!$E$30="MAX-Bestand",IF(CH407=1,CI407,IF(LEFT(Cockpit!$I$5,1)="B",AV407,MAX(AV407,H407))),ROUNDUP(AT407,0)))</f>
        <v>929</v>
      </c>
      <c r="AQ407" s="50" t="n">
        <f aca="false">IF(BZ407=1,0,ROUNDUP(AP407/BY407,0))</f>
        <v>2</v>
      </c>
      <c r="AR407" s="52" t="n">
        <f aca="false">IF(CQ407&gt;0,CQ407*MAX(1,AP407/X407),IF(BZ407=1,IF(AP407&lt;=0,0,CD407*MAX(1,IF(H407&gt;0,AP407/H407,1))),IF(R407&gt;0,AQ407/R407,0))/MAX(0.1,N(Parameter!$M$21)))</f>
        <v>0.0384615384615385</v>
      </c>
      <c r="AS407" s="50" t="n">
        <f aca="false">AR407*CB407</f>
        <v>5.96153846153846</v>
      </c>
      <c r="AT407" s="51" t="n">
        <f aca="false">IF(LEFT(Cockpit!$I$5,1)="A",H407,IF(CH407=1,(CK407+CI407)/2,IF(LEFT(Cockpit!$I$5,1)="B",(CK407+AV407)/2,MAX((CK407+AV407)/2,H407))))</f>
        <v>929</v>
      </c>
      <c r="AU407" s="50" t="n">
        <f aca="false">AT407*G407</f>
        <v>120.77</v>
      </c>
      <c r="AV407" s="50" t="n">
        <f aca="false">ROUNDUP(CK407+MAX(CL407,2*(J407/IF(CG407&gt;0,CG407,MAX(0.1,N(Cockpit!$I$6)))-CK407)),0)</f>
        <v>719</v>
      </c>
      <c r="AW407" s="51" t="n">
        <f aca="false">IF(AS407&gt;0,J407/AS407,-1)</f>
        <v>113.729032258065</v>
      </c>
      <c r="AX407" s="51" t="n">
        <f aca="false">IF(AND(OR(CF407="L1",CF407="L23",CF407="LIFT"),AS407&gt;0),SUMIFS($AS$7:$AS$1843,$CF$7:$CF$1843,CF407,$AW$7:$AW$1843,"&gt;"&amp;AW407)+SUMIFS($AS$7:$AS$1843,$CF$7:$CF$1843,CF407,$AW$7:$AW$1843,AW407,$BW$7:$BW$1843,"&lt;="&amp;BW407),"")</f>
        <v>808.505494505495</v>
      </c>
      <c r="AY407" s="58" t="n">
        <f aca="false">IF(AX407="",0,MAX(0,MIN(1,(IF(CF407="L1",Parameter!$H$5,IF(CF407="L23",Parameter!$H$6+Parameter!$H$7,Parameter!$H$5+Parameter!$H$6+Parameter!$H$7))-(AX407-AS407))/AS407)))</f>
        <v>1</v>
      </c>
      <c r="AZ407" s="50" t="n">
        <f aca="false">IF(LEFT(Cockpit!$O$5,1)="A",H407,IF(Parameter!$E$30="MAX-Bestand",IF(CH407=1,CI407,IF(LEFT(Cockpit!$O$5,1)="B",BF407,MAX(BF407,H407))),ROUNDUP(BD407,0)))</f>
        <v>379</v>
      </c>
      <c r="BA407" s="50" t="n">
        <f aca="false">IF(BZ407=1,0,ROUNDUP(AZ407/BY407,0))</f>
        <v>1</v>
      </c>
      <c r="BB407" s="52" t="n">
        <f aca="false">IF(CQ407&gt;0,CQ407*MAX(1,AZ407/X407),IF(BZ407=1,IF(AZ407&lt;=0,0,CD407*MAX(1,IF(H407&gt;0,AZ407/H407,1))),IF(R407&gt;0,BA407/R407,0))/MAX(0.1,N(Parameter!$M$21)))</f>
        <v>0.0192307692307692</v>
      </c>
      <c r="BC407" s="50" t="n">
        <f aca="false">BB407*CB407</f>
        <v>2.98076923076923</v>
      </c>
      <c r="BD407" s="51" t="n">
        <f aca="false">IF(LEFT(Cockpit!$O$5,1)="A",H407,IF(CH407=1,(CK407+CI407)/2,IF(LEFT(Cockpit!$O$5,1)="B",(CK407+BF407)/2,MAX((CK407+BF407)/2,H407))))</f>
        <v>379</v>
      </c>
      <c r="BE407" s="50" t="n">
        <f aca="false">BD407*G407</f>
        <v>49.27</v>
      </c>
      <c r="BF407" s="50" t="n">
        <f aca="false">ROUNDUP(CK407+MAX(CL407,2*(J407/IF(CG407&gt;0,CG407,MAX(0.1,N(Cockpit!$O$6)))-CK407)),0)</f>
        <v>719</v>
      </c>
      <c r="BG407" s="51" t="n">
        <f aca="false">IF(BC407&gt;0,J407/BC407,-1)</f>
        <v>227.458064516129</v>
      </c>
      <c r="BH407" s="51" t="n">
        <f aca="false">IF(AND(OR(CF407="L1",CF407="L23",CF407="LIFT"),BC407&gt;0),SUMIFS($BC$7:$BC$1843,$CF$7:$CF$1843,CF407,$BG$7:$BG$1843,"&gt;"&amp;BG407)+SUMIFS($BC$7:$BC$1843,$CF$7:$CF$1843,CF407,$BG$7:$BG$1843,BG407,$BW$7:$BW$1843,"&lt;="&amp;BW407),"")</f>
        <v>397.114010989011</v>
      </c>
      <c r="BI407" s="58" t="n">
        <f aca="false">IF(BH407="",0,MAX(0,MIN(1,(IF(CF407="L1",Parameter!$H$5,IF(CF407="L23",Parameter!$H$6+Parameter!$H$7,Parameter!$H$5+Parameter!$H$6+Parameter!$H$7))-(BH407-BC407))/BC407)))</f>
        <v>1</v>
      </c>
      <c r="BJ407" s="48" t="str">
        <f aca="false">IF(AI407&lt;=0,"",IF(CF407="Aussen","Aussenlager",IF(CF407="-","Nicht im Lift",IF(AO407&gt;=1,"Lift",IF(AO407&lt;=0,"Aussenlager","teilweise")))))</f>
        <v>Lift</v>
      </c>
      <c r="BK407" s="48" t="str">
        <f aca="false">IF(AS407&lt;=0,"",IF(CF407="Aussen","Aussenlager",IF(CF407="-","Nicht im Lift",IF(AY407&gt;=1,"Lift",IF(AY407&lt;=0,"Aussenlager","teilweise")))))</f>
        <v>Lift</v>
      </c>
      <c r="BL407" s="48" t="str">
        <f aca="false">IF(BC407&lt;=0,"",IF(CF407="Aussen","Aussenlager",IF(CF407="-","Nicht im Lift",IF(BI407&gt;=1,"Lift",IF(BI407&lt;=0,"Aussenlager","teilweise")))))</f>
        <v>Lift</v>
      </c>
      <c r="BM407" s="48" t="str">
        <f aca="false">IF(A407="","",IF(BV407=1,"Neu; ","")&amp;IF(AND(BV407=0,BQ407&lt;0),"negativer Bestand (Export "&amp;BQ407&amp;"); ","")&amp;IF(J407&lt;=0,"Kein Verbrauch; ","")&amp;IF(CQ407&gt;0,"Lift "&amp;W407&amp;" lt. Liftbericht (Fach "&amp;X407&amp;" Stk); ",IF(CA407=1,"Gebinde geschätzt ("&amp;T407&amp;"); ",IF(BZ407=1,"Lose – Tablare geschätzt; ","")))&amp;IF(H407&gt;AV407,"Überbestand "&amp;ROUND(H407-AV407,0)&amp;" Stk / CHF "&amp;ROUND((H407-AV407)*G407,0)&amp;"; ","")&amp;IF(AND(CH407=1,CI407&lt;CJ407),"MAX &lt; MB+LG; ","")&amp;IF(AND(CP407&gt;0,CO407*10&gt;CP407),"zu hoch für Tablar; ","")&amp;IF(AND(BV407=0,OR(CH407=1,AA407&lt;&gt;"",U407&lt;&gt;"",V407&lt;&gt;"",AB407&lt;&gt;"")),"manuell übersteuert; ","")&amp;IF(AND(BZ407=0,R407=0),"Gebinde unbekannt / Stellmass fehlt; ","")&amp;IF(AND(BZ407=0,N(V407)&lt;=0,N(Q407)&lt;=0),"Menge pro Gebinde fehlt (Ist = 1 Gebinde); ","")&amp;BU407)</f>
        <v>Überbestand 210 Stk / CHF 27; </v>
      </c>
      <c r="BN407" s="48"/>
      <c r="BO407" s="48"/>
      <c r="BP407" s="55"/>
      <c r="BQ407" s="50" t="n">
        <v>786</v>
      </c>
      <c r="BR407" s="50" t="n">
        <v>143</v>
      </c>
      <c r="BS407" s="49" t="n">
        <v>106.47</v>
      </c>
      <c r="BT407" s="50" t="n">
        <v>678</v>
      </c>
      <c r="BU407" s="48"/>
      <c r="BV407" s="53" t="n">
        <v>0</v>
      </c>
      <c r="BW407" s="53" t="n">
        <v>407</v>
      </c>
      <c r="BX407" s="48" t="str">
        <f aca="false">IF(U407&lt;&gt;"",UPPER(TRIM(U407)),IF(CA407=1,UPPER(VLOOKUP(T407,Parameter!$I$27:$K$29,2,0)),IF(P407="","LOSE",P407)))</f>
        <v>S33</v>
      </c>
      <c r="BY407" s="50" t="n">
        <f aca="false">IF(BX407="LOSE",1,IF(N(V407)&gt;0,V407,IF(CA407=1,MAX(1,N(VLOOKUP(T407,Parameter!$I$27:$K$29,3,0)),H407,N(N407)),IF(N(Q407)&gt;0,Q407,MAX(1,H407)))))</f>
        <v>598</v>
      </c>
      <c r="BZ407" s="53" t="n">
        <f aca="false">IF(BX407="LOSE",1,0)</f>
        <v>0</v>
      </c>
      <c r="CA407" s="53" t="n">
        <f aca="false">IF(AND(U407="",OR(P407="",P407="LOSE"),T407&lt;&gt;"",N(S407)&lt;=0,ISNUMBER(MATCH(T407,Parameter!$I$27:$I$29,0))),1,0)</f>
        <v>0</v>
      </c>
      <c r="CB407" s="53" t="n">
        <f aca="false">IF(CQ407&gt;0,INDEX(Parameter!$H$5:$H$7,W407)/INDEX(Parameter!$E$5:$E$7,W407),IF(AND(BZ407=0,N(IFERROR(VLOOKUP(BX407,'Gebinde-Kategorie'!$A$5:$N$45,14,0),0))&gt;0),VLOOKUP(BX407,'Gebinde-Kategorie'!$A$5:$N$45,14,0)*10+Parameter!$M$23,Parameter!$M$24))</f>
        <v>155</v>
      </c>
      <c r="CC407" s="48" t="str">
        <f aca="false">IF(AND(Parameter!$B$19="Ja",E407&lt;&gt;"",ISNUMBER(MATCH(E407,Parameter!$I$35:$I$52,0))),VLOOKUP(E407,Parameter!$I$35:$J$52,2,0),IFERROR(VLOOKUP(D407,Parameter!$A$35:$C$64,2,0),"Nein"))</f>
        <v>2+3</v>
      </c>
      <c r="CD407" s="52" t="n">
        <f aca="false">IF(BZ407=0,0,IF(N(S407)&gt;0,S407,IFERROR(VLOOKUP(D407,Parameter!$A$35:$C$64,3,0)+0,0)))</f>
        <v>0</v>
      </c>
      <c r="CE407" s="48" t="n">
        <f aca="false">IF(AA407&lt;&gt;"",AA407,Z407)</f>
        <v>3</v>
      </c>
      <c r="CF407" s="48" t="str">
        <f aca="false">IF(OR(CE407=1,CE407=2,CE407=3),IF(Parameter!$E$27="Ja","LIFT",IF(CE407=1,"L1","L23")),IF(CE407="Aussen","Aussen","-"))</f>
        <v>LIFT</v>
      </c>
      <c r="CG407" s="59" t="n">
        <f aca="false">IF(N(AB407)&gt;0,AB407,0)</f>
        <v>0</v>
      </c>
      <c r="CH407" s="53" t="n">
        <f aca="false">IF(ISNUMBER(AE407),1,0)</f>
        <v>0</v>
      </c>
      <c r="CI407" s="50" t="n">
        <f aca="false">N(AE407)</f>
        <v>0</v>
      </c>
      <c r="CJ407" s="50" t="n">
        <f aca="false">N(M407)+N(N407)</f>
        <v>719</v>
      </c>
      <c r="CK407" s="50" t="n">
        <f aca="false">N(M407)</f>
        <v>39</v>
      </c>
      <c r="CL407" s="50" t="n">
        <f aca="false">N(N407)</f>
        <v>680</v>
      </c>
      <c r="CM407" s="50" t="n">
        <f aca="false">ROUNDUP(H407/BY407,0)</f>
        <v>2</v>
      </c>
      <c r="CN407" s="50" t="n">
        <f aca="false">ROUNDUP(CI407/BY407,0)</f>
        <v>0</v>
      </c>
      <c r="CO407" s="53" t="n">
        <f aca="false">IF(BZ407=1,0,IFERROR(VLOOKUP(BX407,'Gebinde-Kategorie'!$A$5:$N$45,5,0)+0,0))</f>
        <v>8</v>
      </c>
      <c r="CP407" s="53" t="n">
        <f aca="false">IFERROR(IF(OR(CE407=1,CE407=2,CE407=3),N(INDEX(Parameter!$I$5:$I$7,CE407)),0),0)</f>
        <v>0</v>
      </c>
      <c r="CQ407" s="52" t="n">
        <f aca="false">IF(AND(Parameter!$B$21="Ja",ISNUMBER(W407),N(X407)&gt;0),IFERROR(N(INDEX(Parameter!$L$5:$L$7,W407))*INDEX(Parameter!$E$5:$E$7,W407)*X407/SUMIFS($X$7:$X$1843,$W$7:$W$1843,W407),0),0)</f>
        <v>0</v>
      </c>
    </row>
    <row r="408" customFormat="false" ht="15" hidden="false" customHeight="false" outlineLevel="0" collapsed="false">
      <c r="A408" s="48" t="s">
        <v>959</v>
      </c>
      <c r="B408" s="48" t="s">
        <v>960</v>
      </c>
      <c r="C408" s="48" t="s">
        <v>173</v>
      </c>
      <c r="D408" s="48" t="s">
        <v>193</v>
      </c>
      <c r="E408" s="48" t="s">
        <v>194</v>
      </c>
      <c r="F408" s="48" t="s">
        <v>227</v>
      </c>
      <c r="G408" s="49" t="n">
        <v>2.38</v>
      </c>
      <c r="H408" s="50" t="n">
        <f aca="false">MAX(0,IF(AND(Parameter!$B$21="Ja",ISNUMBER(Y408)),Y408,IF(Parameter!$B$20="Jahresanfang 2025 + Export",BR408+BQ408,BQ408)))</f>
        <v>97</v>
      </c>
      <c r="I408" s="50" t="n">
        <f aca="false">H408*G408</f>
        <v>230.86</v>
      </c>
      <c r="J408" s="50" t="n">
        <f aca="false">BT408*Parameter!$B$18</f>
        <v>35</v>
      </c>
      <c r="K408" s="51" t="n">
        <v>35.5</v>
      </c>
      <c r="L408" s="52" t="n">
        <v>0.985915492957747</v>
      </c>
      <c r="M408" s="50" t="n">
        <v>2</v>
      </c>
      <c r="N408" s="50" t="n">
        <v>50</v>
      </c>
      <c r="O408" s="53" t="n">
        <v>28</v>
      </c>
      <c r="P408" s="48" t="s">
        <v>337</v>
      </c>
      <c r="Q408" s="50" t="n">
        <v>101</v>
      </c>
      <c r="R408" s="53" t="n">
        <f aca="false">IF(BZ408=1,0,IFERROR(VLOOKUP(BX408,'Gebinde-Kategorie'!$A$5:$N$45,13,0)+0,0))</f>
        <v>52</v>
      </c>
      <c r="S408" s="54"/>
      <c r="T408" s="55"/>
      <c r="U408" s="55"/>
      <c r="V408" s="55"/>
      <c r="W408" s="48"/>
      <c r="X408" s="50"/>
      <c r="Y408" s="50"/>
      <c r="Z408" s="48" t="n">
        <f aca="false">IF(A408="","",IF(AND(Parameter!$B$21="Ja",ISNUMBER(W408)),W408,IF(CC408="2+3",IF(ISNUMBER(SEARCH("grosser Artikel",BU408)),2,IFERROR(VLOOKUP(BX408,Parameter!$F$35:$G$64,2,0),2)),IF(OR(CC408="Nein",CC408=""),"-",CC408))))</f>
        <v>3</v>
      </c>
      <c r="AA408" s="55"/>
      <c r="AB408" s="56"/>
      <c r="AC408" s="50" t="n">
        <f aca="false">AV408</f>
        <v>52</v>
      </c>
      <c r="AD408" s="50" t="n">
        <f aca="false">MAX(AV408,H408)</f>
        <v>97</v>
      </c>
      <c r="AE408" s="57"/>
      <c r="AF408" s="50" t="n">
        <f aca="false">IF(LEFT(Cockpit!$C$5,1)="A",H408,IF(Parameter!$E$30="MAX-Bestand",IF(CH408=1,CI408,IF(LEFT(Cockpit!$C$5,1)="B",AL408,MAX(AL408,H408))),ROUNDUP(AJ408,0)))</f>
        <v>97</v>
      </c>
      <c r="AG408" s="50" t="n">
        <f aca="false">IF(BZ408=1,0,ROUNDUP(AF408/BY408,0))</f>
        <v>1</v>
      </c>
      <c r="AH408" s="52" t="n">
        <f aca="false">IF(CQ408&gt;0,CQ408*MAX(1,AF408/X408),IF(BZ408=1,IF(AF408&lt;=0,0,CD408*MAX(1,IF(H408&gt;0,AF408/H408,1))),IF(R408&gt;0,AG408/R408,0))/MAX(0.1,N(Parameter!$M$21)))</f>
        <v>0.0192307692307692</v>
      </c>
      <c r="AI408" s="50" t="n">
        <f aca="false">AH408*CB408</f>
        <v>2.98076923076923</v>
      </c>
      <c r="AJ408" s="51" t="n">
        <f aca="false">IF(LEFT(Cockpit!$C$5,1)="A",H408,IF(CH408=1,(CK408+CI408)/2,IF(LEFT(Cockpit!$C$5,1)="B",(CK408+AL408)/2,MAX((CK408+AL408)/2,H408))))</f>
        <v>97</v>
      </c>
      <c r="AK408" s="50" t="n">
        <f aca="false">AJ408*G408</f>
        <v>230.86</v>
      </c>
      <c r="AL408" s="50" t="n">
        <f aca="false">ROUNDUP(CK408+MAX(CL408,2*(J408/IF(CG408&gt;0,CG408,MAX(0.1,N(Cockpit!$C$6)))-CK408)),0)</f>
        <v>52</v>
      </c>
      <c r="AM408" s="51" t="n">
        <f aca="false">IF(AI408&gt;0,J408/AI408,-1)</f>
        <v>11.741935483871</v>
      </c>
      <c r="AN408" s="51" t="n">
        <f aca="false">IF(AND(OR(CF408="L1",CF408="L23",CF408="LIFT"),AI408&gt;0),SUMIFS($AI$7:$AI$1843,$CF$7:$CF$1843,CF408,$AM$7:$AM$1843,"&gt;"&amp;AM408)+SUMIFS($AI$7:$AI$1843,$CF$7:$CF$1843,CF408,$AM$7:$AM$1843,AM408,$BW$7:$BW$1843,"&lt;="&amp;BW408),"")</f>
        <v>2534.40659340659</v>
      </c>
      <c r="AO408" s="58" t="n">
        <f aca="false">IF(AN408="",0,MAX(0,MIN(1,(IF(CF408="L1",Parameter!$H$5,IF(CF408="L23",Parameter!$H$6+Parameter!$H$7,Parameter!$H$5+Parameter!$H$6+Parameter!$H$7))-(AN408-AI408))/AI408)))</f>
        <v>1</v>
      </c>
      <c r="AP408" s="50" t="n">
        <f aca="false">IF(LEFT(Cockpit!$I$5,1)="A",H408,IF(Parameter!$E$30="MAX-Bestand",IF(CH408=1,CI408,IF(LEFT(Cockpit!$I$5,1)="B",AV408,MAX(AV408,H408))),ROUNDUP(AT408,0)))</f>
        <v>97</v>
      </c>
      <c r="AQ408" s="50" t="n">
        <f aca="false">IF(BZ408=1,0,ROUNDUP(AP408/BY408,0))</f>
        <v>1</v>
      </c>
      <c r="AR408" s="52" t="n">
        <f aca="false">IF(CQ408&gt;0,CQ408*MAX(1,AP408/X408),IF(BZ408=1,IF(AP408&lt;=0,0,CD408*MAX(1,IF(H408&gt;0,AP408/H408,1))),IF(R408&gt;0,AQ408/R408,0))/MAX(0.1,N(Parameter!$M$21)))</f>
        <v>0.0192307692307692</v>
      </c>
      <c r="AS408" s="50" t="n">
        <f aca="false">AR408*CB408</f>
        <v>2.98076923076923</v>
      </c>
      <c r="AT408" s="51" t="n">
        <f aca="false">IF(LEFT(Cockpit!$I$5,1)="A",H408,IF(CH408=1,(CK408+CI408)/2,IF(LEFT(Cockpit!$I$5,1)="B",(CK408+AV408)/2,MAX((CK408+AV408)/2,H408))))</f>
        <v>97</v>
      </c>
      <c r="AU408" s="50" t="n">
        <f aca="false">AT408*G408</f>
        <v>230.86</v>
      </c>
      <c r="AV408" s="50" t="n">
        <f aca="false">ROUNDUP(CK408+MAX(CL408,2*(J408/IF(CG408&gt;0,CG408,MAX(0.1,N(Cockpit!$I$6)))-CK408)),0)</f>
        <v>52</v>
      </c>
      <c r="AW408" s="51" t="n">
        <f aca="false">IF(AS408&gt;0,J408/AS408,-1)</f>
        <v>11.741935483871</v>
      </c>
      <c r="AX408" s="51" t="n">
        <f aca="false">IF(AND(OR(CF408="L1",CF408="L23",CF408="LIFT"),AS408&gt;0),SUMIFS($AS$7:$AS$1843,$CF$7:$CF$1843,CF408,$AW$7:$AW$1843,"&gt;"&amp;AW408)+SUMIFS($AS$7:$AS$1843,$CF$7:$CF$1843,CF408,$AW$7:$AW$1843,AW408,$BW$7:$BW$1843,"&lt;="&amp;BW408),"")</f>
        <v>3111.70238095238</v>
      </c>
      <c r="AY408" s="58" t="n">
        <f aca="false">IF(AX408="",0,MAX(0,MIN(1,(IF(CF408="L1",Parameter!$H$5,IF(CF408="L23",Parameter!$H$6+Parameter!$H$7,Parameter!$H$5+Parameter!$H$6+Parameter!$H$7))-(AX408-AS408))/AS408)))</f>
        <v>1</v>
      </c>
      <c r="AZ408" s="50" t="n">
        <f aca="false">IF(LEFT(Cockpit!$O$5,1)="A",H408,IF(Parameter!$E$30="MAX-Bestand",IF(CH408=1,CI408,IF(LEFT(Cockpit!$O$5,1)="B",BF408,MAX(BF408,H408))),ROUNDUP(BD408,0)))</f>
        <v>27</v>
      </c>
      <c r="BA408" s="50" t="n">
        <f aca="false">IF(BZ408=1,0,ROUNDUP(AZ408/BY408,0))</f>
        <v>1</v>
      </c>
      <c r="BB408" s="52" t="n">
        <f aca="false">IF(CQ408&gt;0,CQ408*MAX(1,AZ408/X408),IF(BZ408=1,IF(AZ408&lt;=0,0,CD408*MAX(1,IF(H408&gt;0,AZ408/H408,1))),IF(R408&gt;0,BA408/R408,0))/MAX(0.1,N(Parameter!$M$21)))</f>
        <v>0.0192307692307692</v>
      </c>
      <c r="BC408" s="50" t="n">
        <f aca="false">BB408*CB408</f>
        <v>2.98076923076923</v>
      </c>
      <c r="BD408" s="51" t="n">
        <f aca="false">IF(LEFT(Cockpit!$O$5,1)="A",H408,IF(CH408=1,(CK408+CI408)/2,IF(LEFT(Cockpit!$O$5,1)="B",(CK408+BF408)/2,MAX((CK408+BF408)/2,H408))))</f>
        <v>27</v>
      </c>
      <c r="BE408" s="50" t="n">
        <f aca="false">BD408*G408</f>
        <v>64.26</v>
      </c>
      <c r="BF408" s="50" t="n">
        <f aca="false">ROUNDUP(CK408+MAX(CL408,2*(J408/IF(CG408&gt;0,CG408,MAX(0.1,N(Cockpit!$O$6)))-CK408)),0)</f>
        <v>52</v>
      </c>
      <c r="BG408" s="51" t="n">
        <f aca="false">IF(BC408&gt;0,J408/BC408,-1)</f>
        <v>11.741935483871</v>
      </c>
      <c r="BH408" s="51" t="n">
        <f aca="false">IF(AND(OR(CF408="L1",CF408="L23",CF408="LIFT"),BC408&gt;0),SUMIFS($BC$7:$BC$1843,$CF$7:$CF$1843,CF408,$BG$7:$BG$1843,"&gt;"&amp;BG408)+SUMIFS($BC$7:$BC$1843,$CF$7:$CF$1843,CF408,$BG$7:$BG$1843,BG408,$BW$7:$BW$1843,"&lt;="&amp;BW408),"")</f>
        <v>2580.67490842491</v>
      </c>
      <c r="BI408" s="58" t="n">
        <f aca="false">IF(BH408="",0,MAX(0,MIN(1,(IF(CF408="L1",Parameter!$H$5,IF(CF408="L23",Parameter!$H$6+Parameter!$H$7,Parameter!$H$5+Parameter!$H$6+Parameter!$H$7))-(BH408-BC408))/BC408)))</f>
        <v>1</v>
      </c>
      <c r="BJ408" s="48" t="str">
        <f aca="false">IF(AI408&lt;=0,"",IF(CF408="Aussen","Aussenlager",IF(CF408="-","Nicht im Lift",IF(AO408&gt;=1,"Lift",IF(AO408&lt;=0,"Aussenlager","teilweise")))))</f>
        <v>Lift</v>
      </c>
      <c r="BK408" s="48" t="str">
        <f aca="false">IF(AS408&lt;=0,"",IF(CF408="Aussen","Aussenlager",IF(CF408="-","Nicht im Lift",IF(AY408&gt;=1,"Lift",IF(AY408&lt;=0,"Aussenlager","teilweise")))))</f>
        <v>Lift</v>
      </c>
      <c r="BL408" s="48" t="str">
        <f aca="false">IF(BC408&lt;=0,"",IF(CF408="Aussen","Aussenlager",IF(CF408="-","Nicht im Lift",IF(BI408&gt;=1,"Lift",IF(BI408&lt;=0,"Aussenlager","teilweise")))))</f>
        <v>Lift</v>
      </c>
      <c r="BM408" s="48" t="str">
        <f aca="false">IF(A408="","",IF(BV408=1,"Neu; ","")&amp;IF(AND(BV408=0,BQ408&lt;0),"negativer Bestand (Export "&amp;BQ408&amp;"); ","")&amp;IF(J408&lt;=0,"Kein Verbrauch; ","")&amp;IF(CQ408&gt;0,"Lift "&amp;W408&amp;" lt. Liftbericht (Fach "&amp;X408&amp;" Stk); ",IF(CA408=1,"Gebinde geschätzt ("&amp;T408&amp;"); ",IF(BZ408=1,"Lose – Tablare geschätzt; ","")))&amp;IF(H408&gt;AV408,"Überbestand "&amp;ROUND(H408-AV408,0)&amp;" Stk / CHF "&amp;ROUND((H408-AV408)*G408,0)&amp;"; ","")&amp;IF(AND(CH408=1,CI408&lt;CJ408),"MAX &lt; MB+LG; ","")&amp;IF(AND(CP408&gt;0,CO408*10&gt;CP408),"zu hoch für Tablar; ","")&amp;IF(AND(BV408=0,OR(CH408=1,AA408&lt;&gt;"",U408&lt;&gt;"",V408&lt;&gt;"",AB408&lt;&gt;"")),"manuell übersteuert; ","")&amp;IF(AND(BZ408=0,R408=0),"Gebinde unbekannt / Stellmass fehlt; ","")&amp;IF(AND(BZ408=0,N(V408)&lt;=0,N(Q408)&lt;=0),"Menge pro Gebinde fehlt (Ist = 1 Gebinde); ","")&amp;BU408)</f>
        <v>Überbestand 45 Stk / CHF 107; Neu</v>
      </c>
      <c r="BN408" s="48"/>
      <c r="BO408" s="48"/>
      <c r="BP408" s="55"/>
      <c r="BQ408" s="50" t="n">
        <v>44</v>
      </c>
      <c r="BR408" s="50" t="n">
        <v>53</v>
      </c>
      <c r="BS408" s="49" t="n">
        <v>104.72</v>
      </c>
      <c r="BT408" s="50" t="n">
        <v>35</v>
      </c>
      <c r="BU408" s="48" t="s">
        <v>635</v>
      </c>
      <c r="BV408" s="53" t="n">
        <v>0</v>
      </c>
      <c r="BW408" s="53" t="n">
        <v>408</v>
      </c>
      <c r="BX408" s="48" t="str">
        <f aca="false">IF(U408&lt;&gt;"",UPPER(TRIM(U408)),IF(CA408=1,UPPER(VLOOKUP(T408,Parameter!$I$27:$K$29,2,0)),IF(P408="","LOSE",P408)))</f>
        <v>S41</v>
      </c>
      <c r="BY408" s="50" t="n">
        <f aca="false">IF(BX408="LOSE",1,IF(N(V408)&gt;0,V408,IF(CA408=1,MAX(1,N(VLOOKUP(T408,Parameter!$I$27:$K$29,3,0)),H408,N(N408)),IF(N(Q408)&gt;0,Q408,MAX(1,H408)))))</f>
        <v>101</v>
      </c>
      <c r="BZ408" s="53" t="n">
        <f aca="false">IF(BX408="LOSE",1,0)</f>
        <v>0</v>
      </c>
      <c r="CA408" s="53" t="n">
        <f aca="false">IF(AND(U408="",OR(P408="",P408="LOSE"),T408&lt;&gt;"",N(S408)&lt;=0,ISNUMBER(MATCH(T408,Parameter!$I$27:$I$29,0))),1,0)</f>
        <v>0</v>
      </c>
      <c r="CB408" s="53" t="n">
        <f aca="false">IF(CQ408&gt;0,INDEX(Parameter!$H$5:$H$7,W408)/INDEX(Parameter!$E$5:$E$7,W408),IF(AND(BZ408=0,N(IFERROR(VLOOKUP(BX408,'Gebinde-Kategorie'!$A$5:$N$45,14,0),0))&gt;0),VLOOKUP(BX408,'Gebinde-Kategorie'!$A$5:$N$45,14,0)*10+Parameter!$M$23,Parameter!$M$24))</f>
        <v>155</v>
      </c>
      <c r="CC408" s="48" t="str">
        <f aca="false">IF(AND(Parameter!$B$19="Ja",E408&lt;&gt;"",ISNUMBER(MATCH(E408,Parameter!$I$35:$I$52,0))),VLOOKUP(E408,Parameter!$I$35:$J$52,2,0),IFERROR(VLOOKUP(D408,Parameter!$A$35:$C$64,2,0),"Nein"))</f>
        <v>2+3</v>
      </c>
      <c r="CD408" s="52" t="n">
        <f aca="false">IF(BZ408=0,0,IF(N(S408)&gt;0,S408,IFERROR(VLOOKUP(D408,Parameter!$A$35:$C$64,3,0)+0,0)))</f>
        <v>0</v>
      </c>
      <c r="CE408" s="48" t="n">
        <f aca="false">IF(AA408&lt;&gt;"",AA408,Z408)</f>
        <v>3</v>
      </c>
      <c r="CF408" s="48" t="str">
        <f aca="false">IF(OR(CE408=1,CE408=2,CE408=3),IF(Parameter!$E$27="Ja","LIFT",IF(CE408=1,"L1","L23")),IF(CE408="Aussen","Aussen","-"))</f>
        <v>LIFT</v>
      </c>
      <c r="CG408" s="59" t="n">
        <f aca="false">IF(N(AB408)&gt;0,AB408,0)</f>
        <v>0</v>
      </c>
      <c r="CH408" s="53" t="n">
        <f aca="false">IF(ISNUMBER(AE408),1,0)</f>
        <v>0</v>
      </c>
      <c r="CI408" s="50" t="n">
        <f aca="false">N(AE408)</f>
        <v>0</v>
      </c>
      <c r="CJ408" s="50" t="n">
        <f aca="false">N(M408)+N(N408)</f>
        <v>52</v>
      </c>
      <c r="CK408" s="50" t="n">
        <f aca="false">N(M408)</f>
        <v>2</v>
      </c>
      <c r="CL408" s="50" t="n">
        <f aca="false">N(N408)</f>
        <v>50</v>
      </c>
      <c r="CM408" s="50" t="n">
        <f aca="false">ROUNDUP(H408/BY408,0)</f>
        <v>1</v>
      </c>
      <c r="CN408" s="50" t="n">
        <f aca="false">ROUNDUP(CI408/BY408,0)</f>
        <v>0</v>
      </c>
      <c r="CO408" s="53" t="n">
        <f aca="false">IF(BZ408=1,0,IFERROR(VLOOKUP(BX408,'Gebinde-Kategorie'!$A$5:$N$45,5,0)+0,0))</f>
        <v>11</v>
      </c>
      <c r="CP408" s="53" t="n">
        <f aca="false">IFERROR(IF(OR(CE408=1,CE408=2,CE408=3),N(INDEX(Parameter!$I$5:$I$7,CE408)),0),0)</f>
        <v>0</v>
      </c>
      <c r="CQ408" s="52" t="n">
        <f aca="false">IF(AND(Parameter!$B$21="Ja",ISNUMBER(W408),N(X408)&gt;0),IFERROR(N(INDEX(Parameter!$L$5:$L$7,W408))*INDEX(Parameter!$E$5:$E$7,W408)*X408/SUMIFS($X$7:$X$1843,$W$7:$W$1843,W408),0),0)</f>
        <v>0</v>
      </c>
    </row>
    <row r="409" customFormat="false" ht="15" hidden="false" customHeight="false" outlineLevel="0" collapsed="false">
      <c r="A409" s="48" t="s">
        <v>961</v>
      </c>
      <c r="B409" s="48" t="s">
        <v>962</v>
      </c>
      <c r="C409" s="48" t="s">
        <v>173</v>
      </c>
      <c r="D409" s="48" t="s">
        <v>193</v>
      </c>
      <c r="E409" s="48" t="s">
        <v>194</v>
      </c>
      <c r="F409" s="48" t="s">
        <v>227</v>
      </c>
      <c r="G409" s="49" t="n">
        <v>0.35</v>
      </c>
      <c r="H409" s="50" t="n">
        <f aca="false">MAX(0,IF(AND(Parameter!$B$21="Ja",ISNUMBER(Y409)),Y409,IF(Parameter!$B$20="Jahresanfang 2025 + Export",BR409+BQ409,BQ409)))</f>
        <v>387</v>
      </c>
      <c r="I409" s="50" t="n">
        <f aca="false">H409*G409</f>
        <v>135.45</v>
      </c>
      <c r="J409" s="50" t="n">
        <f aca="false">BT409*Parameter!$B$18</f>
        <v>356</v>
      </c>
      <c r="K409" s="51" t="n">
        <v>94</v>
      </c>
      <c r="L409" s="52" t="n">
        <v>3.78723404255319</v>
      </c>
      <c r="M409" s="50" t="n">
        <v>13</v>
      </c>
      <c r="N409" s="50" t="n">
        <v>400</v>
      </c>
      <c r="O409" s="53" t="n">
        <v>14</v>
      </c>
      <c r="P409" s="48" t="s">
        <v>430</v>
      </c>
      <c r="Q409" s="50" t="n">
        <v>122</v>
      </c>
      <c r="R409" s="53" t="n">
        <f aca="false">IF(BZ409=1,0,IFERROR(VLOOKUP(BX409,'Gebinde-Kategorie'!$A$5:$N$45,13,0)+0,0))</f>
        <v>104</v>
      </c>
      <c r="S409" s="54"/>
      <c r="T409" s="55"/>
      <c r="U409" s="55"/>
      <c r="V409" s="55"/>
      <c r="W409" s="48"/>
      <c r="X409" s="50"/>
      <c r="Y409" s="50"/>
      <c r="Z409" s="48" t="n">
        <f aca="false">IF(A409="","",IF(AND(Parameter!$B$21="Ja",ISNUMBER(W409)),W409,IF(CC409="2+3",IF(ISNUMBER(SEARCH("grosser Artikel",BU409)),2,IFERROR(VLOOKUP(BX409,Parameter!$F$35:$G$64,2,0),2)),IF(OR(CC409="Nein",CC409=""),"-",CC409))))</f>
        <v>3</v>
      </c>
      <c r="AA409" s="55"/>
      <c r="AB409" s="56"/>
      <c r="AC409" s="50" t="n">
        <f aca="false">AV409</f>
        <v>413</v>
      </c>
      <c r="AD409" s="50" t="n">
        <f aca="false">MAX(AV409,H409)</f>
        <v>413</v>
      </c>
      <c r="AE409" s="57"/>
      <c r="AF409" s="50" t="n">
        <f aca="false">IF(LEFT(Cockpit!$C$5,1)="A",H409,IF(Parameter!$E$30="MAX-Bestand",IF(CH409=1,CI409,IF(LEFT(Cockpit!$C$5,1)="B",AL409,MAX(AL409,H409))),ROUNDUP(AJ409,0)))</f>
        <v>387</v>
      </c>
      <c r="AG409" s="50" t="n">
        <f aca="false">IF(BZ409=1,0,ROUNDUP(AF409/BY409,0))</f>
        <v>4</v>
      </c>
      <c r="AH409" s="52" t="n">
        <f aca="false">IF(CQ409&gt;0,CQ409*MAX(1,AF409/X409),IF(BZ409=1,IF(AF409&lt;=0,0,CD409*MAX(1,IF(H409&gt;0,AF409/H409,1))),IF(R409&gt;0,AG409/R409,0))/MAX(0.1,N(Parameter!$M$21)))</f>
        <v>0.0384615384615385</v>
      </c>
      <c r="AI409" s="50" t="n">
        <f aca="false">AH409*CB409</f>
        <v>5.96153846153846</v>
      </c>
      <c r="AJ409" s="51" t="n">
        <f aca="false">IF(LEFT(Cockpit!$C$5,1)="A",H409,IF(CH409=1,(CK409+CI409)/2,IF(LEFT(Cockpit!$C$5,1)="B",(CK409+AL409)/2,MAX((CK409+AL409)/2,H409))))</f>
        <v>387</v>
      </c>
      <c r="AK409" s="50" t="n">
        <f aca="false">AJ409*G409</f>
        <v>135.45</v>
      </c>
      <c r="AL409" s="50" t="n">
        <f aca="false">ROUNDUP(CK409+MAX(CL409,2*(J409/IF(CG409&gt;0,CG409,MAX(0.1,N(Cockpit!$C$6)))-CK409)),0)</f>
        <v>413</v>
      </c>
      <c r="AM409" s="51" t="n">
        <f aca="false">IF(AI409&gt;0,J409/AI409,-1)</f>
        <v>59.7161290322581</v>
      </c>
      <c r="AN409" s="51" t="n">
        <f aca="false">IF(AND(OR(CF409="L1",CF409="L23",CF409="LIFT"),AI409&gt;0),SUMIFS($AI$7:$AI$1843,$CF$7:$CF$1843,CF409,$AM$7:$AM$1843,"&gt;"&amp;AM409)+SUMIFS($AI$7:$AI$1843,$CF$7:$CF$1843,CF409,$AM$7:$AM$1843,AM409,$BW$7:$BW$1843,"&lt;="&amp;BW409),"")</f>
        <v>991.391483516484</v>
      </c>
      <c r="AO409" s="58" t="n">
        <f aca="false">IF(AN409="",0,MAX(0,MIN(1,(IF(CF409="L1",Parameter!$H$5,IF(CF409="L23",Parameter!$H$6+Parameter!$H$7,Parameter!$H$5+Parameter!$H$6+Parameter!$H$7))-(AN409-AI409))/AI409)))</f>
        <v>1</v>
      </c>
      <c r="AP409" s="50" t="n">
        <f aca="false">IF(LEFT(Cockpit!$I$5,1)="A",H409,IF(Parameter!$E$30="MAX-Bestand",IF(CH409=1,CI409,IF(LEFT(Cockpit!$I$5,1)="B",AV409,MAX(AV409,H409))),ROUNDUP(AT409,0)))</f>
        <v>387</v>
      </c>
      <c r="AQ409" s="50" t="n">
        <f aca="false">IF(BZ409=1,0,ROUNDUP(AP409/BY409,0))</f>
        <v>4</v>
      </c>
      <c r="AR409" s="52" t="n">
        <f aca="false">IF(CQ409&gt;0,CQ409*MAX(1,AP409/X409),IF(BZ409=1,IF(AP409&lt;=0,0,CD409*MAX(1,IF(H409&gt;0,AP409/H409,1))),IF(R409&gt;0,AQ409/R409,0))/MAX(0.1,N(Parameter!$M$21)))</f>
        <v>0.0384615384615385</v>
      </c>
      <c r="AS409" s="50" t="n">
        <f aca="false">AR409*CB409</f>
        <v>5.96153846153846</v>
      </c>
      <c r="AT409" s="51" t="n">
        <f aca="false">IF(LEFT(Cockpit!$I$5,1)="A",H409,IF(CH409=1,(CK409+CI409)/2,IF(LEFT(Cockpit!$I$5,1)="B",(CK409+AV409)/2,MAX((CK409+AV409)/2,H409))))</f>
        <v>387</v>
      </c>
      <c r="AU409" s="50" t="n">
        <f aca="false">AT409*G409</f>
        <v>135.45</v>
      </c>
      <c r="AV409" s="50" t="n">
        <f aca="false">ROUNDUP(CK409+MAX(CL409,2*(J409/IF(CG409&gt;0,CG409,MAX(0.1,N(Cockpit!$I$6)))-CK409)),0)</f>
        <v>413</v>
      </c>
      <c r="AW409" s="51" t="n">
        <f aca="false">IF(AS409&gt;0,J409/AS409,-1)</f>
        <v>59.7161290322581</v>
      </c>
      <c r="AX409" s="51" t="n">
        <f aca="false">IF(AND(OR(CF409="L1",CF409="L23",CF409="LIFT"),AS409&gt;0),SUMIFS($AS$7:$AS$1843,$CF$7:$CF$1843,CF409,$AW$7:$AW$1843,"&gt;"&amp;AW409)+SUMIFS($AS$7:$AS$1843,$CF$7:$CF$1843,CF409,$AW$7:$AW$1843,AW409,$BW$7:$BW$1843,"&lt;="&amp;BW409),"")</f>
        <v>1193.77335164835</v>
      </c>
      <c r="AY409" s="58" t="n">
        <f aca="false">IF(AX409="",0,MAX(0,MIN(1,(IF(CF409="L1",Parameter!$H$5,IF(CF409="L23",Parameter!$H$6+Parameter!$H$7,Parameter!$H$5+Parameter!$H$6+Parameter!$H$7))-(AX409-AS409))/AS409)))</f>
        <v>1</v>
      </c>
      <c r="AZ409" s="50" t="n">
        <f aca="false">IF(LEFT(Cockpit!$O$5,1)="A",H409,IF(Parameter!$E$30="MAX-Bestand",IF(CH409=1,CI409,IF(LEFT(Cockpit!$O$5,1)="B",BF409,MAX(BF409,H409))),ROUNDUP(BD409,0)))</f>
        <v>213</v>
      </c>
      <c r="BA409" s="50" t="n">
        <f aca="false">IF(BZ409=1,0,ROUNDUP(AZ409/BY409,0))</f>
        <v>2</v>
      </c>
      <c r="BB409" s="52" t="n">
        <f aca="false">IF(CQ409&gt;0,CQ409*MAX(1,AZ409/X409),IF(BZ409=1,IF(AZ409&lt;=0,0,CD409*MAX(1,IF(H409&gt;0,AZ409/H409,1))),IF(R409&gt;0,BA409/R409,0))/MAX(0.1,N(Parameter!$M$21)))</f>
        <v>0.0192307692307692</v>
      </c>
      <c r="BC409" s="50" t="n">
        <f aca="false">BB409*CB409</f>
        <v>2.98076923076923</v>
      </c>
      <c r="BD409" s="51" t="n">
        <f aca="false">IF(LEFT(Cockpit!$O$5,1)="A",H409,IF(CH409=1,(CK409+CI409)/2,IF(LEFT(Cockpit!$O$5,1)="B",(CK409+BF409)/2,MAX((CK409+BF409)/2,H409))))</f>
        <v>213</v>
      </c>
      <c r="BE409" s="50" t="n">
        <f aca="false">BD409*G409</f>
        <v>74.55</v>
      </c>
      <c r="BF409" s="50" t="n">
        <f aca="false">ROUNDUP(CK409+MAX(CL409,2*(J409/IF(CG409&gt;0,CG409,MAX(0.1,N(Cockpit!$O$6)))-CK409)),0)</f>
        <v>413</v>
      </c>
      <c r="BG409" s="51" t="n">
        <f aca="false">IF(BC409&gt;0,J409/BC409,-1)</f>
        <v>119.432258064516</v>
      </c>
      <c r="BH409" s="51" t="n">
        <f aca="false">IF(AND(OR(CF409="L1",CF409="L23",CF409="LIFT"),BC409&gt;0),SUMIFS($BC$7:$BC$1843,$CF$7:$CF$1843,CF409,$BG$7:$BG$1843,"&gt;"&amp;BG409)+SUMIFS($BC$7:$BC$1843,$CF$7:$CF$1843,CF409,$BG$7:$BG$1843,BG409,$BW$7:$BW$1843,"&lt;="&amp;BW409),"")</f>
        <v>807.471153846154</v>
      </c>
      <c r="BI409" s="58" t="n">
        <f aca="false">IF(BH409="",0,MAX(0,MIN(1,(IF(CF409="L1",Parameter!$H$5,IF(CF409="L23",Parameter!$H$6+Parameter!$H$7,Parameter!$H$5+Parameter!$H$6+Parameter!$H$7))-(BH409-BC409))/BC409)))</f>
        <v>1</v>
      </c>
      <c r="BJ409" s="48" t="str">
        <f aca="false">IF(AI409&lt;=0,"",IF(CF409="Aussen","Aussenlager",IF(CF409="-","Nicht im Lift",IF(AO409&gt;=1,"Lift",IF(AO409&lt;=0,"Aussenlager","teilweise")))))</f>
        <v>Lift</v>
      </c>
      <c r="BK409" s="48" t="str">
        <f aca="false">IF(AS409&lt;=0,"",IF(CF409="Aussen","Aussenlager",IF(CF409="-","Nicht im Lift",IF(AY409&gt;=1,"Lift",IF(AY409&lt;=0,"Aussenlager","teilweise")))))</f>
        <v>Lift</v>
      </c>
      <c r="BL409" s="48" t="str">
        <f aca="false">IF(BC409&lt;=0,"",IF(CF409="Aussen","Aussenlager",IF(CF409="-","Nicht im Lift",IF(BI409&gt;=1,"Lift",IF(BI409&lt;=0,"Aussenlager","teilweise")))))</f>
        <v>Lift</v>
      </c>
      <c r="BM409" s="48" t="str">
        <f aca="false">IF(A409="","",IF(BV409=1,"Neu; ","")&amp;IF(AND(BV409=0,BQ409&lt;0),"negativer Bestand (Export "&amp;BQ409&amp;"); ","")&amp;IF(J409&lt;=0,"Kein Verbrauch; ","")&amp;IF(CQ409&gt;0,"Lift "&amp;W409&amp;" lt. Liftbericht (Fach "&amp;X409&amp;" Stk); ",IF(CA409=1,"Gebinde geschätzt ("&amp;T409&amp;"); ",IF(BZ409=1,"Lose – Tablare geschätzt; ","")))&amp;IF(H409&gt;AV409,"Überbestand "&amp;ROUND(H409-AV409,0)&amp;" Stk / CHF "&amp;ROUND((H409-AV409)*G409,0)&amp;"; ","")&amp;IF(AND(CH409=1,CI409&lt;CJ409),"MAX &lt; MB+LG; ","")&amp;IF(AND(CP409&gt;0,CO409*10&gt;CP409),"zu hoch für Tablar; ","")&amp;IF(AND(BV409=0,OR(CH409=1,AA409&lt;&gt;"",U409&lt;&gt;"",V409&lt;&gt;"",AB409&lt;&gt;"")),"manuell übersteuert; ","")&amp;IF(AND(BZ409=0,R409=0),"Gebinde unbekannt / Stellmass fehlt; ","")&amp;IF(AND(BZ409=0,N(V409)&lt;=0,N(Q409)&lt;=0),"Menge pro Gebinde fehlt (Ist = 1 Gebinde); ","")&amp;BU409)</f>
        <v/>
      </c>
      <c r="BN409" s="48"/>
      <c r="BO409" s="48"/>
      <c r="BP409" s="55"/>
      <c r="BQ409" s="50" t="n">
        <v>294</v>
      </c>
      <c r="BR409" s="50" t="n">
        <v>93</v>
      </c>
      <c r="BS409" s="49" t="n">
        <v>103.83</v>
      </c>
      <c r="BT409" s="50" t="n">
        <v>356</v>
      </c>
      <c r="BU409" s="48"/>
      <c r="BV409" s="53" t="n">
        <v>0</v>
      </c>
      <c r="BW409" s="53" t="n">
        <v>409</v>
      </c>
      <c r="BX409" s="48" t="str">
        <f aca="false">IF(U409&lt;&gt;"",UPPER(TRIM(U409)),IF(CA409=1,UPPER(VLOOKUP(T409,Parameter!$I$27:$K$29,2,0)),IF(P409="","LOSE",P409)))</f>
        <v>S32</v>
      </c>
      <c r="BY409" s="50" t="n">
        <f aca="false">IF(BX409="LOSE",1,IF(N(V409)&gt;0,V409,IF(CA409=1,MAX(1,N(VLOOKUP(T409,Parameter!$I$27:$K$29,3,0)),H409,N(N409)),IF(N(Q409)&gt;0,Q409,MAX(1,H409)))))</f>
        <v>122</v>
      </c>
      <c r="BZ409" s="53" t="n">
        <f aca="false">IF(BX409="LOSE",1,0)</f>
        <v>0</v>
      </c>
      <c r="CA409" s="53" t="n">
        <f aca="false">IF(AND(U409="",OR(P409="",P409="LOSE"),T409&lt;&gt;"",N(S409)&lt;=0,ISNUMBER(MATCH(T409,Parameter!$I$27:$I$29,0))),1,0)</f>
        <v>0</v>
      </c>
      <c r="CB409" s="53" t="n">
        <f aca="false">IF(CQ409&gt;0,INDEX(Parameter!$H$5:$H$7,W409)/INDEX(Parameter!$E$5:$E$7,W409),IF(AND(BZ409=0,N(IFERROR(VLOOKUP(BX409,'Gebinde-Kategorie'!$A$5:$N$45,14,0),0))&gt;0),VLOOKUP(BX409,'Gebinde-Kategorie'!$A$5:$N$45,14,0)*10+Parameter!$M$23,Parameter!$M$24))</f>
        <v>155</v>
      </c>
      <c r="CC409" s="48" t="str">
        <f aca="false">IF(AND(Parameter!$B$19="Ja",E409&lt;&gt;"",ISNUMBER(MATCH(E409,Parameter!$I$35:$I$52,0))),VLOOKUP(E409,Parameter!$I$35:$J$52,2,0),IFERROR(VLOOKUP(D409,Parameter!$A$35:$C$64,2,0),"Nein"))</f>
        <v>2+3</v>
      </c>
      <c r="CD409" s="52" t="n">
        <f aca="false">IF(BZ409=0,0,IF(N(S409)&gt;0,S409,IFERROR(VLOOKUP(D409,Parameter!$A$35:$C$64,3,0)+0,0)))</f>
        <v>0</v>
      </c>
      <c r="CE409" s="48" t="n">
        <f aca="false">IF(AA409&lt;&gt;"",AA409,Z409)</f>
        <v>3</v>
      </c>
      <c r="CF409" s="48" t="str">
        <f aca="false">IF(OR(CE409=1,CE409=2,CE409=3),IF(Parameter!$E$27="Ja","LIFT",IF(CE409=1,"L1","L23")),IF(CE409="Aussen","Aussen","-"))</f>
        <v>LIFT</v>
      </c>
      <c r="CG409" s="59" t="n">
        <f aca="false">IF(N(AB409)&gt;0,AB409,0)</f>
        <v>0</v>
      </c>
      <c r="CH409" s="53" t="n">
        <f aca="false">IF(ISNUMBER(AE409),1,0)</f>
        <v>0</v>
      </c>
      <c r="CI409" s="50" t="n">
        <f aca="false">N(AE409)</f>
        <v>0</v>
      </c>
      <c r="CJ409" s="50" t="n">
        <f aca="false">N(M409)+N(N409)</f>
        <v>413</v>
      </c>
      <c r="CK409" s="50" t="n">
        <f aca="false">N(M409)</f>
        <v>13</v>
      </c>
      <c r="CL409" s="50" t="n">
        <f aca="false">N(N409)</f>
        <v>400</v>
      </c>
      <c r="CM409" s="50" t="n">
        <f aca="false">ROUNDUP(H409/BY409,0)</f>
        <v>4</v>
      </c>
      <c r="CN409" s="50" t="n">
        <f aca="false">ROUNDUP(CI409/BY409,0)</f>
        <v>0</v>
      </c>
      <c r="CO409" s="53" t="n">
        <f aca="false">IF(BZ409=1,0,IFERROR(VLOOKUP(BX409,'Gebinde-Kategorie'!$A$5:$N$45,5,0)+0,0))</f>
        <v>8</v>
      </c>
      <c r="CP409" s="53" t="n">
        <f aca="false">IFERROR(IF(OR(CE409=1,CE409=2,CE409=3),N(INDEX(Parameter!$I$5:$I$7,CE409)),0),0)</f>
        <v>0</v>
      </c>
      <c r="CQ409" s="52" t="n">
        <f aca="false">IF(AND(Parameter!$B$21="Ja",ISNUMBER(W409),N(X409)&gt;0),IFERROR(N(INDEX(Parameter!$L$5:$L$7,W409))*INDEX(Parameter!$E$5:$E$7,W409)*X409/SUMIFS($X$7:$X$1843,$W$7:$W$1843,W409),0),0)</f>
        <v>0</v>
      </c>
    </row>
    <row r="410" customFormat="false" ht="15" hidden="false" customHeight="false" outlineLevel="0" collapsed="false">
      <c r="A410" s="48" t="s">
        <v>963</v>
      </c>
      <c r="B410" s="48" t="s">
        <v>964</v>
      </c>
      <c r="C410" s="48" t="s">
        <v>173</v>
      </c>
      <c r="D410" s="48" t="s">
        <v>193</v>
      </c>
      <c r="E410" s="48"/>
      <c r="F410" s="48" t="s">
        <v>227</v>
      </c>
      <c r="G410" s="49" t="n">
        <v>49.6</v>
      </c>
      <c r="H410" s="50" t="n">
        <f aca="false">MAX(0,IF(AND(Parameter!$B$21="Ja",ISNUMBER(Y410)),Y410,IF(Parameter!$B$20="Jahresanfang 2025 + Export",BR410+BQ410,BQ410)))</f>
        <v>3</v>
      </c>
      <c r="I410" s="50" t="n">
        <f aca="false">H410*G410</f>
        <v>148.8</v>
      </c>
      <c r="J410" s="50" t="n">
        <f aca="false">BT410*Parameter!$B$18</f>
        <v>0</v>
      </c>
      <c r="K410" s="51" t="n">
        <v>1</v>
      </c>
      <c r="L410" s="52" t="n">
        <v>0</v>
      </c>
      <c r="M410" s="50" t="n">
        <v>0</v>
      </c>
      <c r="N410" s="50" t="n">
        <v>1</v>
      </c>
      <c r="O410" s="53" t="n">
        <v>42</v>
      </c>
      <c r="P410" s="48" t="s">
        <v>242</v>
      </c>
      <c r="Q410" s="50" t="n">
        <v>3</v>
      </c>
      <c r="R410" s="53" t="n">
        <f aca="false">IF(BZ410=1,0,IFERROR(VLOOKUP(BX410,'Gebinde-Kategorie'!$A$5:$N$45,13,0)+0,0))</f>
        <v>26</v>
      </c>
      <c r="S410" s="54"/>
      <c r="T410" s="55"/>
      <c r="U410" s="55"/>
      <c r="V410" s="55"/>
      <c r="W410" s="48"/>
      <c r="X410" s="50"/>
      <c r="Y410" s="50"/>
      <c r="Z410" s="48" t="n">
        <f aca="false">IF(A410="","",IF(AND(Parameter!$B$21="Ja",ISNUMBER(W410)),W410,IF(CC410="2+3",IF(ISNUMBER(SEARCH("grosser Artikel",BU410)),2,IFERROR(VLOOKUP(BX410,Parameter!$F$35:$G$64,2,0),2)),IF(OR(CC410="Nein",CC410=""),"-",CC410))))</f>
        <v>3</v>
      </c>
      <c r="AA410" s="55"/>
      <c r="AB410" s="56"/>
      <c r="AC410" s="50" t="n">
        <f aca="false">AV410</f>
        <v>1</v>
      </c>
      <c r="AD410" s="50" t="n">
        <f aca="false">MAX(AV410,H410)</f>
        <v>3</v>
      </c>
      <c r="AE410" s="57"/>
      <c r="AF410" s="50" t="n">
        <f aca="false">IF(LEFT(Cockpit!$C$5,1)="A",H410,IF(Parameter!$E$30="MAX-Bestand",IF(CH410=1,CI410,IF(LEFT(Cockpit!$C$5,1)="B",AL410,MAX(AL410,H410))),ROUNDUP(AJ410,0)))</f>
        <v>3</v>
      </c>
      <c r="AG410" s="50" t="n">
        <f aca="false">IF(BZ410=1,0,ROUNDUP(AF410/BY410,0))</f>
        <v>1</v>
      </c>
      <c r="AH410" s="52" t="n">
        <f aca="false">IF(CQ410&gt;0,CQ410*MAX(1,AF410/X410),IF(BZ410=1,IF(AF410&lt;=0,0,CD410*MAX(1,IF(H410&gt;0,AF410/H410,1))),IF(R410&gt;0,AG410/R410,0))/MAX(0.1,N(Parameter!$M$21)))</f>
        <v>0.0384615384615385</v>
      </c>
      <c r="AI410" s="50" t="n">
        <f aca="false">AH410*CB410</f>
        <v>9.42307692307692</v>
      </c>
      <c r="AJ410" s="51" t="n">
        <f aca="false">IF(LEFT(Cockpit!$C$5,1)="A",H410,IF(CH410=1,(CK410+CI410)/2,IF(LEFT(Cockpit!$C$5,1)="B",(CK410+AL410)/2,MAX((CK410+AL410)/2,H410))))</f>
        <v>3</v>
      </c>
      <c r="AK410" s="50" t="n">
        <f aca="false">AJ410*G410</f>
        <v>148.8</v>
      </c>
      <c r="AL410" s="50" t="n">
        <f aca="false">ROUNDUP(CK410+MAX(CL410,2*(J410/IF(CG410&gt;0,CG410,MAX(0.1,N(Cockpit!$C$6)))-CK410)),0)</f>
        <v>1</v>
      </c>
      <c r="AM410" s="51" t="n">
        <f aca="false">IF(AI410&gt;0,J410/AI410,-1)</f>
        <v>0</v>
      </c>
      <c r="AN410" s="51" t="n">
        <f aca="false">IF(AND(OR(CF410="L1",CF410="L23",CF410="LIFT"),AI410&gt;0),SUMIFS($AI$7:$AI$1843,$CF$7:$CF$1843,CF410,$AM$7:$AM$1843,"&gt;"&amp;AM410)+SUMIFS($AI$7:$AI$1843,$CF$7:$CF$1843,CF410,$AM$7:$AM$1843,AM410,$BW$7:$BW$1843,"&lt;="&amp;BW410),"")</f>
        <v>28101.6160106372</v>
      </c>
      <c r="AO410" s="58" t="n">
        <f aca="false">IF(AN410="",0,MAX(0,MIN(1,(IF(CF410="L1",Parameter!$H$5,IF(CF410="L23",Parameter!$H$6+Parameter!$H$7,Parameter!$H$5+Parameter!$H$6+Parameter!$H$7))-(AN410-AI410))/AI410)))</f>
        <v>1</v>
      </c>
      <c r="AP410" s="50" t="n">
        <f aca="false">IF(LEFT(Cockpit!$I$5,1)="A",H410,IF(Parameter!$E$30="MAX-Bestand",IF(CH410=1,CI410,IF(LEFT(Cockpit!$I$5,1)="B",AV410,MAX(AV410,H410))),ROUNDUP(AT410,0)))</f>
        <v>3</v>
      </c>
      <c r="AQ410" s="50" t="n">
        <f aca="false">IF(BZ410=1,0,ROUNDUP(AP410/BY410,0))</f>
        <v>1</v>
      </c>
      <c r="AR410" s="52" t="n">
        <f aca="false">IF(CQ410&gt;0,CQ410*MAX(1,AP410/X410),IF(BZ410=1,IF(AP410&lt;=0,0,CD410*MAX(1,IF(H410&gt;0,AP410/H410,1))),IF(R410&gt;0,AQ410/R410,0))/MAX(0.1,N(Parameter!$M$21)))</f>
        <v>0.0384615384615385</v>
      </c>
      <c r="AS410" s="50" t="n">
        <f aca="false">AR410*CB410</f>
        <v>9.42307692307692</v>
      </c>
      <c r="AT410" s="51" t="n">
        <f aca="false">IF(LEFT(Cockpit!$I$5,1)="A",H410,IF(CH410=1,(CK410+CI410)/2,IF(LEFT(Cockpit!$I$5,1)="B",(CK410+AV410)/2,MAX((CK410+AV410)/2,H410))))</f>
        <v>3</v>
      </c>
      <c r="AU410" s="50" t="n">
        <f aca="false">AT410*G410</f>
        <v>148.8</v>
      </c>
      <c r="AV410" s="50" t="n">
        <f aca="false">ROUNDUP(CK410+MAX(CL410,2*(J410/IF(CG410&gt;0,CG410,MAX(0.1,N(Cockpit!$I$6)))-CK410)),0)</f>
        <v>1</v>
      </c>
      <c r="AW410" s="51" t="n">
        <f aca="false">IF(AS410&gt;0,J410/AS410,-1)</f>
        <v>0</v>
      </c>
      <c r="AX410" s="51" t="n">
        <f aca="false">IF(AND(OR(CF410="L1",CF410="L23",CF410="LIFT"),AS410&gt;0),SUMIFS($AS$7:$AS$1843,$CF$7:$CF$1843,CF410,$AW$7:$AW$1843,"&gt;"&amp;AW410)+SUMIFS($AS$7:$AS$1843,$CF$7:$CF$1843,CF410,$AW$7:$AW$1843,AW410,$BW$7:$BW$1843,"&lt;="&amp;BW410),"")</f>
        <v>33454.7646520147</v>
      </c>
      <c r="AY410" s="58" t="n">
        <f aca="false">IF(AX410="",0,MAX(0,MIN(1,(IF(CF410="L1",Parameter!$H$5,IF(CF410="L23",Parameter!$H$6+Parameter!$H$7,Parameter!$H$5+Parameter!$H$6+Parameter!$H$7))-(AX410-AS410))/AS410)))</f>
        <v>1</v>
      </c>
      <c r="AZ410" s="50" t="n">
        <f aca="false">IF(LEFT(Cockpit!$O$5,1)="A",H410,IF(Parameter!$E$30="MAX-Bestand",IF(CH410=1,CI410,IF(LEFT(Cockpit!$O$5,1)="B",BF410,MAX(BF410,H410))),ROUNDUP(BD410,0)))</f>
        <v>1</v>
      </c>
      <c r="BA410" s="50" t="n">
        <f aca="false">IF(BZ410=1,0,ROUNDUP(AZ410/BY410,0))</f>
        <v>1</v>
      </c>
      <c r="BB410" s="52" t="n">
        <f aca="false">IF(CQ410&gt;0,CQ410*MAX(1,AZ410/X410),IF(BZ410=1,IF(AZ410&lt;=0,0,CD410*MAX(1,IF(H410&gt;0,AZ410/H410,1))),IF(R410&gt;0,BA410/R410,0))/MAX(0.1,N(Parameter!$M$21)))</f>
        <v>0.0384615384615385</v>
      </c>
      <c r="BC410" s="50" t="n">
        <f aca="false">BB410*CB410</f>
        <v>9.42307692307692</v>
      </c>
      <c r="BD410" s="51" t="n">
        <f aca="false">IF(LEFT(Cockpit!$O$5,1)="A",H410,IF(CH410=1,(CK410+CI410)/2,IF(LEFT(Cockpit!$O$5,1)="B",(CK410+BF410)/2,MAX((CK410+BF410)/2,H410))))</f>
        <v>0.5</v>
      </c>
      <c r="BE410" s="50" t="n">
        <f aca="false">BD410*G410</f>
        <v>24.8</v>
      </c>
      <c r="BF410" s="50" t="n">
        <f aca="false">ROUNDUP(CK410+MAX(CL410,2*(J410/IF(CG410&gt;0,CG410,MAX(0.1,N(Cockpit!$O$6)))-CK410)),0)</f>
        <v>1</v>
      </c>
      <c r="BG410" s="51" t="n">
        <f aca="false">IF(BC410&gt;0,J410/BC410,-1)</f>
        <v>0</v>
      </c>
      <c r="BH410" s="51" t="n">
        <f aca="false">IF(AND(OR(CF410="L1",CF410="L23",CF410="LIFT"),BC410&gt;0),SUMIFS($BC$7:$BC$1843,$CF$7:$CF$1843,CF410,$BG$7:$BG$1843,"&gt;"&amp;BG410)+SUMIFS($BC$7:$BC$1843,$CF$7:$CF$1843,CF410,$BG$7:$BG$1843,BG410,$BW$7:$BW$1843,"&lt;="&amp;BW410),"")</f>
        <v>27568.3016235177</v>
      </c>
      <c r="BI410" s="58" t="n">
        <f aca="false">IF(BH410="",0,MAX(0,MIN(1,(IF(CF410="L1",Parameter!$H$5,IF(CF410="L23",Parameter!$H$6+Parameter!$H$7,Parameter!$H$5+Parameter!$H$6+Parameter!$H$7))-(BH410-BC410))/BC410)))</f>
        <v>1</v>
      </c>
      <c r="BJ410" s="48" t="str">
        <f aca="false">IF(AI410&lt;=0,"",IF(CF410="Aussen","Aussenlager",IF(CF410="-","Nicht im Lift",IF(AO410&gt;=1,"Lift",IF(AO410&lt;=0,"Aussenlager","teilweise")))))</f>
        <v>Lift</v>
      </c>
      <c r="BK410" s="48" t="str">
        <f aca="false">IF(AS410&lt;=0,"",IF(CF410="Aussen","Aussenlager",IF(CF410="-","Nicht im Lift",IF(AY410&gt;=1,"Lift",IF(AY410&lt;=0,"Aussenlager","teilweise")))))</f>
        <v>Lift</v>
      </c>
      <c r="BL410" s="48" t="str">
        <f aca="false">IF(BC410&lt;=0,"",IF(CF410="Aussen","Aussenlager",IF(CF410="-","Nicht im Lift",IF(BI410&gt;=1,"Lift",IF(BI410&lt;=0,"Aussenlager","teilweise")))))</f>
        <v>Lift</v>
      </c>
      <c r="BM410" s="48" t="str">
        <f aca="false">IF(A410="","",IF(BV410=1,"Neu; ","")&amp;IF(AND(BV410=0,BQ410&lt;0),"negativer Bestand (Export "&amp;BQ410&amp;"); ","")&amp;IF(J410&lt;=0,"Kein Verbrauch; ","")&amp;IF(CQ410&gt;0,"Lift "&amp;W410&amp;" lt. Liftbericht (Fach "&amp;X410&amp;" Stk); ",IF(CA410=1,"Gebinde geschätzt ("&amp;T410&amp;"); ",IF(BZ410=1,"Lose – Tablare geschätzt; ","")))&amp;IF(H410&gt;AV410,"Überbestand "&amp;ROUND(H410-AV410,0)&amp;" Stk / CHF "&amp;ROUND((H410-AV410)*G410,0)&amp;"; ","")&amp;IF(AND(CH410=1,CI410&lt;CJ410),"MAX &lt; MB+LG; ","")&amp;IF(AND(CP410&gt;0,CO410*10&gt;CP410),"zu hoch für Tablar; ","")&amp;IF(AND(BV410=0,OR(CH410=1,AA410&lt;&gt;"",U410&lt;&gt;"",V410&lt;&gt;"",AB410&lt;&gt;"")),"manuell übersteuert; ","")&amp;IF(AND(BZ410=0,R410=0),"Gebinde unbekannt / Stellmass fehlt; ","")&amp;IF(AND(BZ410=0,N(V410)&lt;=0,N(Q410)&lt;=0),"Menge pro Gebinde fehlt (Ist = 1 Gebinde); ","")&amp;BU410)</f>
        <v>Kein Verbrauch; Überbestand 2 Stk / CHF 99; </v>
      </c>
      <c r="BN410" s="48"/>
      <c r="BO410" s="48"/>
      <c r="BP410" s="55"/>
      <c r="BQ410" s="50" t="n">
        <v>2</v>
      </c>
      <c r="BR410" s="50" t="n">
        <v>1</v>
      </c>
      <c r="BS410" s="49" t="n">
        <v>103.4</v>
      </c>
      <c r="BT410" s="50" t="n">
        <v>0</v>
      </c>
      <c r="BU410" s="48"/>
      <c r="BV410" s="53" t="n">
        <v>0</v>
      </c>
      <c r="BW410" s="53" t="n">
        <v>410</v>
      </c>
      <c r="BX410" s="48" t="str">
        <f aca="false">IF(U410&lt;&gt;"",UPPER(TRIM(U410)),IF(CA410=1,UPPER(VLOOKUP(T410,Parameter!$I$27:$K$29,2,0)),IF(P410="","LOSE",P410)))</f>
        <v>S52</v>
      </c>
      <c r="BY410" s="50" t="n">
        <f aca="false">IF(BX410="LOSE",1,IF(N(V410)&gt;0,V410,IF(CA410=1,MAX(1,N(VLOOKUP(T410,Parameter!$I$27:$K$29,3,0)),H410,N(N410)),IF(N(Q410)&gt;0,Q410,MAX(1,H410)))))</f>
        <v>3</v>
      </c>
      <c r="BZ410" s="53" t="n">
        <f aca="false">IF(BX410="LOSE",1,0)</f>
        <v>0</v>
      </c>
      <c r="CA410" s="53" t="n">
        <f aca="false">IF(AND(U410="",OR(P410="",P410="LOSE"),T410&lt;&gt;"",N(S410)&lt;=0,ISNUMBER(MATCH(T410,Parameter!$I$27:$I$29,0))),1,0)</f>
        <v>0</v>
      </c>
      <c r="CB410" s="53" t="n">
        <f aca="false">IF(CQ410&gt;0,INDEX(Parameter!$H$5:$H$7,W410)/INDEX(Parameter!$E$5:$E$7,W410),IF(AND(BZ410=0,N(IFERROR(VLOOKUP(BX410,'Gebinde-Kategorie'!$A$5:$N$45,14,0),0))&gt;0),VLOOKUP(BX410,'Gebinde-Kategorie'!$A$5:$N$45,14,0)*10+Parameter!$M$23,Parameter!$M$24))</f>
        <v>245</v>
      </c>
      <c r="CC410" s="48" t="str">
        <f aca="false">IF(AND(Parameter!$B$19="Ja",E410&lt;&gt;"",ISNUMBER(MATCH(E410,Parameter!$I$35:$I$52,0))),VLOOKUP(E410,Parameter!$I$35:$J$52,2,0),IFERROR(VLOOKUP(D410,Parameter!$A$35:$C$64,2,0),"Nein"))</f>
        <v>2+3</v>
      </c>
      <c r="CD410" s="52" t="n">
        <f aca="false">IF(BZ410=0,0,IF(N(S410)&gt;0,S410,IFERROR(VLOOKUP(D410,Parameter!$A$35:$C$64,3,0)+0,0)))</f>
        <v>0</v>
      </c>
      <c r="CE410" s="48" t="n">
        <f aca="false">IF(AA410&lt;&gt;"",AA410,Z410)</f>
        <v>3</v>
      </c>
      <c r="CF410" s="48" t="str">
        <f aca="false">IF(OR(CE410=1,CE410=2,CE410=3),IF(Parameter!$E$27="Ja","LIFT",IF(CE410=1,"L1","L23")),IF(CE410="Aussen","Aussen","-"))</f>
        <v>LIFT</v>
      </c>
      <c r="CG410" s="59" t="n">
        <f aca="false">IF(N(AB410)&gt;0,AB410,0)</f>
        <v>0</v>
      </c>
      <c r="CH410" s="53" t="n">
        <f aca="false">IF(ISNUMBER(AE410),1,0)</f>
        <v>0</v>
      </c>
      <c r="CI410" s="50" t="n">
        <f aca="false">N(AE410)</f>
        <v>0</v>
      </c>
      <c r="CJ410" s="50" t="n">
        <f aca="false">N(M410)+N(N410)</f>
        <v>1</v>
      </c>
      <c r="CK410" s="50" t="n">
        <f aca="false">N(M410)</f>
        <v>0</v>
      </c>
      <c r="CL410" s="50" t="n">
        <f aca="false">N(N410)</f>
        <v>1</v>
      </c>
      <c r="CM410" s="50" t="n">
        <f aca="false">ROUNDUP(H410/BY410,0)</f>
        <v>1</v>
      </c>
      <c r="CN410" s="50" t="n">
        <f aca="false">ROUNDUP(CI410/BY410,0)</f>
        <v>0</v>
      </c>
      <c r="CO410" s="53" t="n">
        <f aca="false">IF(BZ410=1,0,IFERROR(VLOOKUP(BX410,'Gebinde-Kategorie'!$A$5:$N$45,5,0)+0,0))</f>
        <v>21</v>
      </c>
      <c r="CP410" s="53" t="n">
        <f aca="false">IFERROR(IF(OR(CE410=1,CE410=2,CE410=3),N(INDEX(Parameter!$I$5:$I$7,CE410)),0),0)</f>
        <v>0</v>
      </c>
      <c r="CQ410" s="52" t="n">
        <f aca="false">IF(AND(Parameter!$B$21="Ja",ISNUMBER(W410),N(X410)&gt;0),IFERROR(N(INDEX(Parameter!$L$5:$L$7,W410))*INDEX(Parameter!$E$5:$E$7,W410)*X410/SUMIFS($X$7:$X$1843,$W$7:$W$1843,W410),0),0)</f>
        <v>0</v>
      </c>
    </row>
    <row r="411" customFormat="false" ht="15" hidden="false" customHeight="false" outlineLevel="0" collapsed="false">
      <c r="A411" s="48" t="s">
        <v>965</v>
      </c>
      <c r="B411" s="48" t="s">
        <v>966</v>
      </c>
      <c r="C411" s="48" t="s">
        <v>173</v>
      </c>
      <c r="D411" s="48" t="s">
        <v>193</v>
      </c>
      <c r="E411" s="48"/>
      <c r="F411" s="48" t="s">
        <v>227</v>
      </c>
      <c r="G411" s="49" t="n">
        <v>32.65</v>
      </c>
      <c r="H411" s="50" t="n">
        <f aca="false">MAX(0,IF(AND(Parameter!$B$21="Ja",ISNUMBER(Y411)),Y411,IF(Parameter!$B$20="Jahresanfang 2025 + Export",BR411+BQ411,BQ411)))</f>
        <v>6</v>
      </c>
      <c r="I411" s="50" t="n">
        <f aca="false">H411*G411</f>
        <v>195.9</v>
      </c>
      <c r="J411" s="50" t="n">
        <f aca="false">BT411*Parameter!$B$18</f>
        <v>9</v>
      </c>
      <c r="K411" s="51" t="n">
        <v>2.5</v>
      </c>
      <c r="L411" s="52" t="n">
        <v>3.6</v>
      </c>
      <c r="M411" s="50" t="n">
        <v>0</v>
      </c>
      <c r="N411" s="50" t="n">
        <v>3</v>
      </c>
      <c r="O411" s="53" t="n">
        <v>14</v>
      </c>
      <c r="P411" s="48" t="s">
        <v>177</v>
      </c>
      <c r="Q411" s="50"/>
      <c r="R411" s="53" t="n">
        <f aca="false">IF(BZ411=1,0,IFERROR(VLOOKUP(BX411,'Gebinde-Kategorie'!$A$5:$N$45,13,0)+0,0))</f>
        <v>26</v>
      </c>
      <c r="S411" s="54"/>
      <c r="T411" s="55" t="s">
        <v>284</v>
      </c>
      <c r="U411" s="55"/>
      <c r="V411" s="55"/>
      <c r="W411" s="48"/>
      <c r="X411" s="50"/>
      <c r="Y411" s="50"/>
      <c r="Z411" s="48" t="n">
        <f aca="false">IF(A411="","",IF(AND(Parameter!$B$21="Ja",ISNUMBER(W411)),W411,IF(CC411="2+3",IF(ISNUMBER(SEARCH("grosser Artikel",BU411)),2,IFERROR(VLOOKUP(BX411,Parameter!$F$35:$G$64,2,0),2)),IF(OR(CC411="Nein",CC411=""),"-",CC411))))</f>
        <v>3</v>
      </c>
      <c r="AA411" s="55"/>
      <c r="AB411" s="56"/>
      <c r="AC411" s="50" t="n">
        <f aca="false">AV411</f>
        <v>6</v>
      </c>
      <c r="AD411" s="50" t="n">
        <f aca="false">MAX(AV411,H411)</f>
        <v>6</v>
      </c>
      <c r="AE411" s="57"/>
      <c r="AF411" s="50" t="n">
        <f aca="false">IF(LEFT(Cockpit!$C$5,1)="A",H411,IF(Parameter!$E$30="MAX-Bestand",IF(CH411=1,CI411,IF(LEFT(Cockpit!$C$5,1)="B",AL411,MAX(AL411,H411))),ROUNDUP(AJ411,0)))</f>
        <v>6</v>
      </c>
      <c r="AG411" s="50" t="n">
        <f aca="false">IF(BZ411=1,0,ROUNDUP(AF411/BY411,0))</f>
        <v>1</v>
      </c>
      <c r="AH411" s="52" t="n">
        <f aca="false">IF(CQ411&gt;0,CQ411*MAX(1,AF411/X411),IF(BZ411=1,IF(AF411&lt;=0,0,CD411*MAX(1,IF(H411&gt;0,AF411/H411,1))),IF(R411&gt;0,AG411/R411,0))/MAX(0.1,N(Parameter!$M$21)))</f>
        <v>0.0384615384615385</v>
      </c>
      <c r="AI411" s="50" t="n">
        <f aca="false">AH411*CB411</f>
        <v>5.96153846153846</v>
      </c>
      <c r="AJ411" s="51" t="n">
        <f aca="false">IF(LEFT(Cockpit!$C$5,1)="A",H411,IF(CH411=1,(CK411+CI411)/2,IF(LEFT(Cockpit!$C$5,1)="B",(CK411+AL411)/2,MAX((CK411+AL411)/2,H411))))</f>
        <v>6</v>
      </c>
      <c r="AK411" s="50" t="n">
        <f aca="false">AJ411*G411</f>
        <v>195.9</v>
      </c>
      <c r="AL411" s="50" t="n">
        <f aca="false">ROUNDUP(CK411+MAX(CL411,2*(J411/IF(CG411&gt;0,CG411,MAX(0.1,N(Cockpit!$C$6)))-CK411)),0)</f>
        <v>6</v>
      </c>
      <c r="AM411" s="51" t="n">
        <f aca="false">IF(AI411&gt;0,J411/AI411,-1)</f>
        <v>1.50967741935484</v>
      </c>
      <c r="AN411" s="51" t="n">
        <f aca="false">IF(AND(OR(CF411="L1",CF411="L23",CF411="LIFT"),AI411&gt;0),SUMIFS($AI$7:$AI$1843,$CF$7:$CF$1843,CF411,$AM$7:$AM$1843,"&gt;"&amp;AM411)+SUMIFS($AI$7:$AI$1843,$CF$7:$CF$1843,CF411,$AM$7:$AM$1843,AM411,$BW$7:$BW$1843,"&lt;="&amp;BW411),"")</f>
        <v>6209.92994505495</v>
      </c>
      <c r="AO411" s="58" t="n">
        <f aca="false">IF(AN411="",0,MAX(0,MIN(1,(IF(CF411="L1",Parameter!$H$5,IF(CF411="L23",Parameter!$H$6+Parameter!$H$7,Parameter!$H$5+Parameter!$H$6+Parameter!$H$7))-(AN411-AI411))/AI411)))</f>
        <v>1</v>
      </c>
      <c r="AP411" s="50" t="n">
        <f aca="false">IF(LEFT(Cockpit!$I$5,1)="A",H411,IF(Parameter!$E$30="MAX-Bestand",IF(CH411=1,CI411,IF(LEFT(Cockpit!$I$5,1)="B",AV411,MAX(AV411,H411))),ROUNDUP(AT411,0)))</f>
        <v>6</v>
      </c>
      <c r="AQ411" s="50" t="n">
        <f aca="false">IF(BZ411=1,0,ROUNDUP(AP411/BY411,0))</f>
        <v>1</v>
      </c>
      <c r="AR411" s="52" t="n">
        <f aca="false">IF(CQ411&gt;0,CQ411*MAX(1,AP411/X411),IF(BZ411=1,IF(AP411&lt;=0,0,CD411*MAX(1,IF(H411&gt;0,AP411/H411,1))),IF(R411&gt;0,AQ411/R411,0))/MAX(0.1,N(Parameter!$M$21)))</f>
        <v>0.0384615384615385</v>
      </c>
      <c r="AS411" s="50" t="n">
        <f aca="false">AR411*CB411</f>
        <v>5.96153846153846</v>
      </c>
      <c r="AT411" s="51" t="n">
        <f aca="false">IF(LEFT(Cockpit!$I$5,1)="A",H411,IF(CH411=1,(CK411+CI411)/2,IF(LEFT(Cockpit!$I$5,1)="B",(CK411+AV411)/2,MAX((CK411+AV411)/2,H411))))</f>
        <v>6</v>
      </c>
      <c r="AU411" s="50" t="n">
        <f aca="false">AT411*G411</f>
        <v>195.9</v>
      </c>
      <c r="AV411" s="50" t="n">
        <f aca="false">ROUNDUP(CK411+MAX(CL411,2*(J411/IF(CG411&gt;0,CG411,MAX(0.1,N(Cockpit!$I$6)))-CK411)),0)</f>
        <v>6</v>
      </c>
      <c r="AW411" s="51" t="n">
        <f aca="false">IF(AS411&gt;0,J411/AS411,-1)</f>
        <v>1.50967741935484</v>
      </c>
      <c r="AX411" s="51" t="n">
        <f aca="false">IF(AND(OR(CF411="L1",CF411="L23",CF411="LIFT"),AS411&gt;0),SUMIFS($AS$7:$AS$1843,$CF$7:$CF$1843,CF411,$AW$7:$AW$1843,"&gt;"&amp;AW411)+SUMIFS($AS$7:$AS$1843,$CF$7:$CF$1843,CF411,$AW$7:$AW$1843,AW411,$BW$7:$BW$1843,"&lt;="&amp;BW411),"")</f>
        <v>7649.81868131868</v>
      </c>
      <c r="AY411" s="58" t="n">
        <f aca="false">IF(AX411="",0,MAX(0,MIN(1,(IF(CF411="L1",Parameter!$H$5,IF(CF411="L23",Parameter!$H$6+Parameter!$H$7,Parameter!$H$5+Parameter!$H$6+Parameter!$H$7))-(AX411-AS411))/AS411)))</f>
        <v>1</v>
      </c>
      <c r="AZ411" s="50" t="n">
        <f aca="false">IF(LEFT(Cockpit!$O$5,1)="A",H411,IF(Parameter!$E$30="MAX-Bestand",IF(CH411=1,CI411,IF(LEFT(Cockpit!$O$5,1)="B",BF411,MAX(BF411,H411))),ROUNDUP(BD411,0)))</f>
        <v>3</v>
      </c>
      <c r="BA411" s="50" t="n">
        <f aca="false">IF(BZ411=1,0,ROUNDUP(AZ411/BY411,0))</f>
        <v>1</v>
      </c>
      <c r="BB411" s="52" t="n">
        <f aca="false">IF(CQ411&gt;0,CQ411*MAX(1,AZ411/X411),IF(BZ411=1,IF(AZ411&lt;=0,0,CD411*MAX(1,IF(H411&gt;0,AZ411/H411,1))),IF(R411&gt;0,BA411/R411,0))/MAX(0.1,N(Parameter!$M$21)))</f>
        <v>0.0384615384615385</v>
      </c>
      <c r="BC411" s="50" t="n">
        <f aca="false">BB411*CB411</f>
        <v>5.96153846153846</v>
      </c>
      <c r="BD411" s="51" t="n">
        <f aca="false">IF(LEFT(Cockpit!$O$5,1)="A",H411,IF(CH411=1,(CK411+CI411)/2,IF(LEFT(Cockpit!$O$5,1)="B",(CK411+BF411)/2,MAX((CK411+BF411)/2,H411))))</f>
        <v>2.5</v>
      </c>
      <c r="BE411" s="50" t="n">
        <f aca="false">BD411*G411</f>
        <v>81.625</v>
      </c>
      <c r="BF411" s="50" t="n">
        <f aca="false">ROUNDUP(CK411+MAX(CL411,2*(J411/IF(CG411&gt;0,CG411,MAX(0.1,N(Cockpit!$O$6)))-CK411)),0)</f>
        <v>5</v>
      </c>
      <c r="BG411" s="51" t="n">
        <f aca="false">IF(BC411&gt;0,J411/BC411,-1)</f>
        <v>1.50967741935484</v>
      </c>
      <c r="BH411" s="51" t="n">
        <f aca="false">IF(AND(OR(CF411="L1",CF411="L23",CF411="LIFT"),BC411&gt;0),SUMIFS($BC$7:$BC$1843,$CF$7:$CF$1843,CF411,$BG$7:$BG$1843,"&gt;"&amp;BG411)+SUMIFS($BC$7:$BC$1843,$CF$7:$CF$1843,CF411,$BG$7:$BG$1843,BG411,$BW$7:$BW$1843,"&lt;="&amp;BW411),"")</f>
        <v>6462.48305860806</v>
      </c>
      <c r="BI411" s="58" t="n">
        <f aca="false">IF(BH411="",0,MAX(0,MIN(1,(IF(CF411="L1",Parameter!$H$5,IF(CF411="L23",Parameter!$H$6+Parameter!$H$7,Parameter!$H$5+Parameter!$H$6+Parameter!$H$7))-(BH411-BC411))/BC411)))</f>
        <v>1</v>
      </c>
      <c r="BJ411" s="48" t="str">
        <f aca="false">IF(AI411&lt;=0,"",IF(CF411="Aussen","Aussenlager",IF(CF411="-","Nicht im Lift",IF(AO411&gt;=1,"Lift",IF(AO411&lt;=0,"Aussenlager","teilweise")))))</f>
        <v>Lift</v>
      </c>
      <c r="BK411" s="48" t="str">
        <f aca="false">IF(AS411&lt;=0,"",IF(CF411="Aussen","Aussenlager",IF(CF411="-","Nicht im Lift",IF(AY411&gt;=1,"Lift",IF(AY411&lt;=0,"Aussenlager","teilweise")))))</f>
        <v>Lift</v>
      </c>
      <c r="BL411" s="48" t="str">
        <f aca="false">IF(BC411&lt;=0,"",IF(CF411="Aussen","Aussenlager",IF(CF411="-","Nicht im Lift",IF(BI411&gt;=1,"Lift",IF(BI411&lt;=0,"Aussenlager","teilweise")))))</f>
        <v>Lift</v>
      </c>
      <c r="BM411" s="48" t="str">
        <f aca="false">IF(A411="","",IF(BV411=1,"Neu; ","")&amp;IF(AND(BV411=0,BQ411&lt;0),"negativer Bestand (Export "&amp;BQ411&amp;"); ","")&amp;IF(J411&lt;=0,"Kein Verbrauch; ","")&amp;IF(CQ411&gt;0,"Lift "&amp;W411&amp;" lt. Liftbericht (Fach "&amp;X411&amp;" Stk); ",IF(CA411=1,"Gebinde geschätzt ("&amp;T411&amp;"); ",IF(BZ411=1,"Lose – Tablare geschätzt; ","")))&amp;IF(H411&gt;AV411,"Überbestand "&amp;ROUND(H411-AV411,0)&amp;" Stk / CHF "&amp;ROUND((H411-AV411)*G411,0)&amp;"; ","")&amp;IF(AND(CH411=1,CI411&lt;CJ411),"MAX &lt; MB+LG; ","")&amp;IF(AND(CP411&gt;0,CO411*10&gt;CP411),"zu hoch für Tablar; ","")&amp;IF(AND(BV411=0,OR(CH411=1,AA411&lt;&gt;"",U411&lt;&gt;"",V411&lt;&gt;"",AB411&lt;&gt;"")),"manuell übersteuert; ","")&amp;IF(AND(BZ411=0,R411=0),"Gebinde unbekannt / Stellmass fehlt; ","")&amp;IF(AND(BZ411=0,N(V411)&lt;=0,N(Q411)&lt;=0),"Menge pro Gebinde fehlt (Ist = 1 Gebinde); ","")&amp;BU411)</f>
        <v>Gebinde geschätzt (Klein); Menge pro Gebinde fehlt (Ist = 1 Gebinde); </v>
      </c>
      <c r="BN411" s="48"/>
      <c r="BO411" s="48"/>
      <c r="BP411" s="55"/>
      <c r="BQ411" s="50" t="n">
        <v>3</v>
      </c>
      <c r="BR411" s="50" t="n">
        <v>3</v>
      </c>
      <c r="BS411" s="49" t="n">
        <v>101.19</v>
      </c>
      <c r="BT411" s="50" t="n">
        <v>9</v>
      </c>
      <c r="BU411" s="48"/>
      <c r="BV411" s="53" t="n">
        <v>0</v>
      </c>
      <c r="BW411" s="53" t="n">
        <v>411</v>
      </c>
      <c r="BX411" s="48" t="str">
        <f aca="false">IF(U411&lt;&gt;"",UPPER(TRIM(U411)),IF(CA411=1,UPPER(VLOOKUP(T411,Parameter!$I$27:$K$29,2,0)),IF(P411="","LOSE",P411)))</f>
        <v>S51</v>
      </c>
      <c r="BY411" s="50" t="n">
        <f aca="false">IF(BX411="LOSE",1,IF(N(V411)&gt;0,V411,IF(CA411=1,MAX(1,N(VLOOKUP(T411,Parameter!$I$27:$K$29,3,0)),H411,N(N411)),IF(N(Q411)&gt;0,Q411,MAX(1,H411)))))</f>
        <v>20</v>
      </c>
      <c r="BZ411" s="53" t="n">
        <f aca="false">IF(BX411="LOSE",1,0)</f>
        <v>0</v>
      </c>
      <c r="CA411" s="53" t="n">
        <f aca="false">IF(AND(U411="",OR(P411="",P411="LOSE"),T411&lt;&gt;"",N(S411)&lt;=0,ISNUMBER(MATCH(T411,Parameter!$I$27:$I$29,0))),1,0)</f>
        <v>1</v>
      </c>
      <c r="CB411" s="53" t="n">
        <f aca="false">IF(CQ411&gt;0,INDEX(Parameter!$H$5:$H$7,W411)/INDEX(Parameter!$E$5:$E$7,W411),IF(AND(BZ411=0,N(IFERROR(VLOOKUP(BX411,'Gebinde-Kategorie'!$A$5:$N$45,14,0),0))&gt;0),VLOOKUP(BX411,'Gebinde-Kategorie'!$A$5:$N$45,14,0)*10+Parameter!$M$23,Parameter!$M$24))</f>
        <v>155</v>
      </c>
      <c r="CC411" s="48" t="str">
        <f aca="false">IF(AND(Parameter!$B$19="Ja",E411&lt;&gt;"",ISNUMBER(MATCH(E411,Parameter!$I$35:$I$52,0))),VLOOKUP(E411,Parameter!$I$35:$J$52,2,0),IFERROR(VLOOKUP(D411,Parameter!$A$35:$C$64,2,0),"Nein"))</f>
        <v>2+3</v>
      </c>
      <c r="CD411" s="52" t="n">
        <f aca="false">IF(BZ411=0,0,IF(N(S411)&gt;0,S411,IFERROR(VLOOKUP(D411,Parameter!$A$35:$C$64,3,0)+0,0)))</f>
        <v>0</v>
      </c>
      <c r="CE411" s="48" t="n">
        <f aca="false">IF(AA411&lt;&gt;"",AA411,Z411)</f>
        <v>3</v>
      </c>
      <c r="CF411" s="48" t="str">
        <f aca="false">IF(OR(CE411=1,CE411=2,CE411=3),IF(Parameter!$E$27="Ja","LIFT",IF(CE411=1,"L1","L23")),IF(CE411="Aussen","Aussen","-"))</f>
        <v>LIFT</v>
      </c>
      <c r="CG411" s="59" t="n">
        <f aca="false">IF(N(AB411)&gt;0,AB411,0)</f>
        <v>0</v>
      </c>
      <c r="CH411" s="53" t="n">
        <f aca="false">IF(ISNUMBER(AE411),1,0)</f>
        <v>0</v>
      </c>
      <c r="CI411" s="50" t="n">
        <f aca="false">N(AE411)</f>
        <v>0</v>
      </c>
      <c r="CJ411" s="50" t="n">
        <f aca="false">N(M411)+N(N411)</f>
        <v>3</v>
      </c>
      <c r="CK411" s="50" t="n">
        <f aca="false">N(M411)</f>
        <v>0</v>
      </c>
      <c r="CL411" s="50" t="n">
        <f aca="false">N(N411)</f>
        <v>3</v>
      </c>
      <c r="CM411" s="50" t="n">
        <f aca="false">ROUNDUP(H411/BY411,0)</f>
        <v>1</v>
      </c>
      <c r="CN411" s="50" t="n">
        <f aca="false">ROUNDUP(CI411/BY411,0)</f>
        <v>0</v>
      </c>
      <c r="CO411" s="53" t="n">
        <f aca="false">IF(BZ411=1,0,IFERROR(VLOOKUP(BX411,'Gebinde-Kategorie'!$A$5:$N$45,5,0)+0,0))</f>
        <v>11</v>
      </c>
      <c r="CP411" s="53" t="n">
        <f aca="false">IFERROR(IF(OR(CE411=1,CE411=2,CE411=3),N(INDEX(Parameter!$I$5:$I$7,CE411)),0),0)</f>
        <v>0</v>
      </c>
      <c r="CQ411" s="52" t="n">
        <f aca="false">IF(AND(Parameter!$B$21="Ja",ISNUMBER(W411),N(X411)&gt;0),IFERROR(N(INDEX(Parameter!$L$5:$L$7,W411))*INDEX(Parameter!$E$5:$E$7,W411)*X411/SUMIFS($X$7:$X$1843,$W$7:$W$1843,W411),0),0)</f>
        <v>0</v>
      </c>
    </row>
    <row r="412" customFormat="false" ht="15" hidden="false" customHeight="false" outlineLevel="0" collapsed="false">
      <c r="A412" s="48" t="s">
        <v>967</v>
      </c>
      <c r="B412" s="48" t="s">
        <v>958</v>
      </c>
      <c r="C412" s="48" t="s">
        <v>173</v>
      </c>
      <c r="D412" s="48" t="s">
        <v>193</v>
      </c>
      <c r="E412" s="48"/>
      <c r="F412" s="48" t="s">
        <v>227</v>
      </c>
      <c r="G412" s="49" t="n">
        <v>0.19</v>
      </c>
      <c r="H412" s="50" t="n">
        <f aca="false">MAX(0,IF(AND(Parameter!$B$21="Ja",ISNUMBER(Y412)),Y412,IF(Parameter!$B$20="Jahresanfang 2025 + Export",BR412+BQ412,BQ412)))</f>
        <v>747</v>
      </c>
      <c r="I412" s="50" t="n">
        <f aca="false">H412*G412</f>
        <v>141.93</v>
      </c>
      <c r="J412" s="50" t="n">
        <f aca="false">BT412*Parameter!$B$18</f>
        <v>740</v>
      </c>
      <c r="K412" s="51" t="n">
        <v>252.5</v>
      </c>
      <c r="L412" s="52" t="n">
        <v>2.93069306930693</v>
      </c>
      <c r="M412" s="50" t="n">
        <v>43</v>
      </c>
      <c r="N412" s="50" t="n">
        <v>800</v>
      </c>
      <c r="O412" s="53" t="n">
        <v>21</v>
      </c>
      <c r="P412" s="48" t="s">
        <v>430</v>
      </c>
      <c r="Q412" s="50" t="n">
        <v>400</v>
      </c>
      <c r="R412" s="53" t="n">
        <f aca="false">IF(BZ412=1,0,IFERROR(VLOOKUP(BX412,'Gebinde-Kategorie'!$A$5:$N$45,13,0)+0,0))</f>
        <v>104</v>
      </c>
      <c r="S412" s="54"/>
      <c r="T412" s="55"/>
      <c r="U412" s="55"/>
      <c r="V412" s="55"/>
      <c r="W412" s="48"/>
      <c r="X412" s="50"/>
      <c r="Y412" s="50"/>
      <c r="Z412" s="48" t="n">
        <f aca="false">IF(A412="","",IF(AND(Parameter!$B$21="Ja",ISNUMBER(W412)),W412,IF(CC412="2+3",IF(ISNUMBER(SEARCH("grosser Artikel",BU412)),2,IFERROR(VLOOKUP(BX412,Parameter!$F$35:$G$64,2,0),2)),IF(OR(CC412="Nein",CC412=""),"-",CC412))))</f>
        <v>3</v>
      </c>
      <c r="AA412" s="55"/>
      <c r="AB412" s="56"/>
      <c r="AC412" s="50" t="n">
        <f aca="false">AV412</f>
        <v>843</v>
      </c>
      <c r="AD412" s="50" t="n">
        <f aca="false">MAX(AV412,H412)</f>
        <v>843</v>
      </c>
      <c r="AE412" s="57"/>
      <c r="AF412" s="50" t="n">
        <f aca="false">IF(LEFT(Cockpit!$C$5,1)="A",H412,IF(Parameter!$E$30="MAX-Bestand",IF(CH412=1,CI412,IF(LEFT(Cockpit!$C$5,1)="B",AL412,MAX(AL412,H412))),ROUNDUP(AJ412,0)))</f>
        <v>747</v>
      </c>
      <c r="AG412" s="50" t="n">
        <f aca="false">IF(BZ412=1,0,ROUNDUP(AF412/BY412,0))</f>
        <v>2</v>
      </c>
      <c r="AH412" s="52" t="n">
        <f aca="false">IF(CQ412&gt;0,CQ412*MAX(1,AF412/X412),IF(BZ412=1,IF(AF412&lt;=0,0,CD412*MAX(1,IF(H412&gt;0,AF412/H412,1))),IF(R412&gt;0,AG412/R412,0))/MAX(0.1,N(Parameter!$M$21)))</f>
        <v>0.0192307692307692</v>
      </c>
      <c r="AI412" s="50" t="n">
        <f aca="false">AH412*CB412</f>
        <v>2.98076923076923</v>
      </c>
      <c r="AJ412" s="51" t="n">
        <f aca="false">IF(LEFT(Cockpit!$C$5,1)="A",H412,IF(CH412=1,(CK412+CI412)/2,IF(LEFT(Cockpit!$C$5,1)="B",(CK412+AL412)/2,MAX((CK412+AL412)/2,H412))))</f>
        <v>747</v>
      </c>
      <c r="AK412" s="50" t="n">
        <f aca="false">AJ412*G412</f>
        <v>141.93</v>
      </c>
      <c r="AL412" s="50" t="n">
        <f aca="false">ROUNDUP(CK412+MAX(CL412,2*(J412/IF(CG412&gt;0,CG412,MAX(0.1,N(Cockpit!$C$6)))-CK412)),0)</f>
        <v>843</v>
      </c>
      <c r="AM412" s="51" t="n">
        <f aca="false">IF(AI412&gt;0,J412/AI412,-1)</f>
        <v>248.258064516129</v>
      </c>
      <c r="AN412" s="51" t="n">
        <f aca="false">IF(AND(OR(CF412="L1",CF412="L23",CF412="LIFT"),AI412&gt;0),SUMIFS($AI$7:$AI$1843,$CF$7:$CF$1843,CF412,$AM$7:$AM$1843,"&gt;"&amp;AM412)+SUMIFS($AI$7:$AI$1843,$CF$7:$CF$1843,CF412,$AM$7:$AM$1843,AM412,$BW$7:$BW$1843,"&lt;="&amp;BW412),"")</f>
        <v>285.600732600733</v>
      </c>
      <c r="AO412" s="58" t="n">
        <f aca="false">IF(AN412="",0,MAX(0,MIN(1,(IF(CF412="L1",Parameter!$H$5,IF(CF412="L23",Parameter!$H$6+Parameter!$H$7,Parameter!$H$5+Parameter!$H$6+Parameter!$H$7))-(AN412-AI412))/AI412)))</f>
        <v>1</v>
      </c>
      <c r="AP412" s="50" t="n">
        <f aca="false">IF(LEFT(Cockpit!$I$5,1)="A",H412,IF(Parameter!$E$30="MAX-Bestand",IF(CH412=1,CI412,IF(LEFT(Cockpit!$I$5,1)="B",AV412,MAX(AV412,H412))),ROUNDUP(AT412,0)))</f>
        <v>747</v>
      </c>
      <c r="AQ412" s="50" t="n">
        <f aca="false">IF(BZ412=1,0,ROUNDUP(AP412/BY412,0))</f>
        <v>2</v>
      </c>
      <c r="AR412" s="52" t="n">
        <f aca="false">IF(CQ412&gt;0,CQ412*MAX(1,AP412/X412),IF(BZ412=1,IF(AP412&lt;=0,0,CD412*MAX(1,IF(H412&gt;0,AP412/H412,1))),IF(R412&gt;0,AQ412/R412,0))/MAX(0.1,N(Parameter!$M$21)))</f>
        <v>0.0192307692307692</v>
      </c>
      <c r="AS412" s="50" t="n">
        <f aca="false">AR412*CB412</f>
        <v>2.98076923076923</v>
      </c>
      <c r="AT412" s="51" t="n">
        <f aca="false">IF(LEFT(Cockpit!$I$5,1)="A",H412,IF(CH412=1,(CK412+CI412)/2,IF(LEFT(Cockpit!$I$5,1)="B",(CK412+AV412)/2,MAX((CK412+AV412)/2,H412))))</f>
        <v>747</v>
      </c>
      <c r="AU412" s="50" t="n">
        <f aca="false">AT412*G412</f>
        <v>141.93</v>
      </c>
      <c r="AV412" s="50" t="n">
        <f aca="false">ROUNDUP(CK412+MAX(CL412,2*(J412/IF(CG412&gt;0,CG412,MAX(0.1,N(Cockpit!$I$6)))-CK412)),0)</f>
        <v>843</v>
      </c>
      <c r="AW412" s="51" t="n">
        <f aca="false">IF(AS412&gt;0,J412/AS412,-1)</f>
        <v>248.258064516129</v>
      </c>
      <c r="AX412" s="51" t="n">
        <f aca="false">IF(AND(OR(CF412="L1",CF412="L23",CF412="LIFT"),AS412&gt;0),SUMIFS($AS$7:$AS$1843,$CF$7:$CF$1843,CF412,$AW$7:$AW$1843,"&gt;"&amp;AW412)+SUMIFS($AS$7:$AS$1843,$CF$7:$CF$1843,CF412,$AW$7:$AW$1843,AW412,$BW$7:$BW$1843,"&lt;="&amp;BW412),"")</f>
        <v>238.663003663004</v>
      </c>
      <c r="AY412" s="58" t="n">
        <f aca="false">IF(AX412="",0,MAX(0,MIN(1,(IF(CF412="L1",Parameter!$H$5,IF(CF412="L23",Parameter!$H$6+Parameter!$H$7,Parameter!$H$5+Parameter!$H$6+Parameter!$H$7))-(AX412-AS412))/AS412)))</f>
        <v>1</v>
      </c>
      <c r="AZ412" s="50" t="n">
        <f aca="false">IF(LEFT(Cockpit!$O$5,1)="A",H412,IF(Parameter!$E$30="MAX-Bestand",IF(CH412=1,CI412,IF(LEFT(Cockpit!$O$5,1)="B",BF412,MAX(BF412,H412))),ROUNDUP(BD412,0)))</f>
        <v>443</v>
      </c>
      <c r="BA412" s="50" t="n">
        <f aca="false">IF(BZ412=1,0,ROUNDUP(AZ412/BY412,0))</f>
        <v>2</v>
      </c>
      <c r="BB412" s="52" t="n">
        <f aca="false">IF(CQ412&gt;0,CQ412*MAX(1,AZ412/X412),IF(BZ412=1,IF(AZ412&lt;=0,0,CD412*MAX(1,IF(H412&gt;0,AZ412/H412,1))),IF(R412&gt;0,BA412/R412,0))/MAX(0.1,N(Parameter!$M$21)))</f>
        <v>0.0192307692307692</v>
      </c>
      <c r="BC412" s="50" t="n">
        <f aca="false">BB412*CB412</f>
        <v>2.98076923076923</v>
      </c>
      <c r="BD412" s="51" t="n">
        <f aca="false">IF(LEFT(Cockpit!$O$5,1)="A",H412,IF(CH412=1,(CK412+CI412)/2,IF(LEFT(Cockpit!$O$5,1)="B",(CK412+BF412)/2,MAX((CK412+BF412)/2,H412))))</f>
        <v>443</v>
      </c>
      <c r="BE412" s="50" t="n">
        <f aca="false">BD412*G412</f>
        <v>84.17</v>
      </c>
      <c r="BF412" s="50" t="n">
        <f aca="false">ROUNDUP(CK412+MAX(CL412,2*(J412/IF(CG412&gt;0,CG412,MAX(0.1,N(Cockpit!$O$6)))-CK412)),0)</f>
        <v>843</v>
      </c>
      <c r="BG412" s="51" t="n">
        <f aca="false">IF(BC412&gt;0,J412/BC412,-1)</f>
        <v>248.258064516129</v>
      </c>
      <c r="BH412" s="51" t="n">
        <f aca="false">IF(AND(OR(CF412="L1",CF412="L23",CF412="LIFT"),BC412&gt;0),SUMIFS($BC$7:$BC$1843,$CF$7:$CF$1843,CF412,$BG$7:$BG$1843,"&gt;"&amp;BG412)+SUMIFS($BC$7:$BC$1843,$CF$7:$CF$1843,CF412,$BG$7:$BG$1843,BG412,$BW$7:$BW$1843,"&lt;="&amp;BW412),"")</f>
        <v>312.819139194139</v>
      </c>
      <c r="BI412" s="58" t="n">
        <f aca="false">IF(BH412="",0,MAX(0,MIN(1,(IF(CF412="L1",Parameter!$H$5,IF(CF412="L23",Parameter!$H$6+Parameter!$H$7,Parameter!$H$5+Parameter!$H$6+Parameter!$H$7))-(BH412-BC412))/BC412)))</f>
        <v>1</v>
      </c>
      <c r="BJ412" s="48" t="str">
        <f aca="false">IF(AI412&lt;=0,"",IF(CF412="Aussen","Aussenlager",IF(CF412="-","Nicht im Lift",IF(AO412&gt;=1,"Lift",IF(AO412&lt;=0,"Aussenlager","teilweise")))))</f>
        <v>Lift</v>
      </c>
      <c r="BK412" s="48" t="str">
        <f aca="false">IF(AS412&lt;=0,"",IF(CF412="Aussen","Aussenlager",IF(CF412="-","Nicht im Lift",IF(AY412&gt;=1,"Lift",IF(AY412&lt;=0,"Aussenlager","teilweise")))))</f>
        <v>Lift</v>
      </c>
      <c r="BL412" s="48" t="str">
        <f aca="false">IF(BC412&lt;=0,"",IF(CF412="Aussen","Aussenlager",IF(CF412="-","Nicht im Lift",IF(BI412&gt;=1,"Lift",IF(BI412&lt;=0,"Aussenlager","teilweise")))))</f>
        <v>Lift</v>
      </c>
      <c r="BM412" s="48" t="str">
        <f aca="false">IF(A412="","",IF(BV412=1,"Neu; ","")&amp;IF(AND(BV412=0,BQ412&lt;0),"negativer Bestand (Export "&amp;BQ412&amp;"); ","")&amp;IF(J412&lt;=0,"Kein Verbrauch; ","")&amp;IF(CQ412&gt;0,"Lift "&amp;W412&amp;" lt. Liftbericht (Fach "&amp;X412&amp;" Stk); ",IF(CA412=1,"Gebinde geschätzt ("&amp;T412&amp;"); ",IF(BZ412=1,"Lose – Tablare geschätzt; ","")))&amp;IF(H412&gt;AV412,"Überbestand "&amp;ROUND(H412-AV412,0)&amp;" Stk / CHF "&amp;ROUND((H412-AV412)*G412,0)&amp;"; ","")&amp;IF(AND(CH412=1,CI412&lt;CJ412),"MAX &lt; MB+LG; ","")&amp;IF(AND(CP412&gt;0,CO412*10&gt;CP412),"zu hoch für Tablar; ","")&amp;IF(AND(BV412=0,OR(CH412=1,AA412&lt;&gt;"",U412&lt;&gt;"",V412&lt;&gt;"",AB412&lt;&gt;"")),"manuell übersteuert; ","")&amp;IF(AND(BZ412=0,R412=0),"Gebinde unbekannt / Stellmass fehlt; ","")&amp;IF(AND(BZ412=0,N(V412)&lt;=0,N(Q412)&lt;=0),"Menge pro Gebinde fehlt (Ist = 1 Gebinde); ","")&amp;BU412)</f>
        <v/>
      </c>
      <c r="BN412" s="48"/>
      <c r="BO412" s="48"/>
      <c r="BP412" s="55"/>
      <c r="BQ412" s="50" t="n">
        <v>517</v>
      </c>
      <c r="BR412" s="50" t="n">
        <v>230</v>
      </c>
      <c r="BS412" s="49" t="n">
        <v>100.53</v>
      </c>
      <c r="BT412" s="50" t="n">
        <v>740</v>
      </c>
      <c r="BU412" s="48"/>
      <c r="BV412" s="53" t="n">
        <v>0</v>
      </c>
      <c r="BW412" s="53" t="n">
        <v>412</v>
      </c>
      <c r="BX412" s="48" t="str">
        <f aca="false">IF(U412&lt;&gt;"",UPPER(TRIM(U412)),IF(CA412=1,UPPER(VLOOKUP(T412,Parameter!$I$27:$K$29,2,0)),IF(P412="","LOSE",P412)))</f>
        <v>S32</v>
      </c>
      <c r="BY412" s="50" t="n">
        <f aca="false">IF(BX412="LOSE",1,IF(N(V412)&gt;0,V412,IF(CA412=1,MAX(1,N(VLOOKUP(T412,Parameter!$I$27:$K$29,3,0)),H412,N(N412)),IF(N(Q412)&gt;0,Q412,MAX(1,H412)))))</f>
        <v>400</v>
      </c>
      <c r="BZ412" s="53" t="n">
        <f aca="false">IF(BX412="LOSE",1,0)</f>
        <v>0</v>
      </c>
      <c r="CA412" s="53" t="n">
        <f aca="false">IF(AND(U412="",OR(P412="",P412="LOSE"),T412&lt;&gt;"",N(S412)&lt;=0,ISNUMBER(MATCH(T412,Parameter!$I$27:$I$29,0))),1,0)</f>
        <v>0</v>
      </c>
      <c r="CB412" s="53" t="n">
        <f aca="false">IF(CQ412&gt;0,INDEX(Parameter!$H$5:$H$7,W412)/INDEX(Parameter!$E$5:$E$7,W412),IF(AND(BZ412=0,N(IFERROR(VLOOKUP(BX412,'Gebinde-Kategorie'!$A$5:$N$45,14,0),0))&gt;0),VLOOKUP(BX412,'Gebinde-Kategorie'!$A$5:$N$45,14,0)*10+Parameter!$M$23,Parameter!$M$24))</f>
        <v>155</v>
      </c>
      <c r="CC412" s="48" t="str">
        <f aca="false">IF(AND(Parameter!$B$19="Ja",E412&lt;&gt;"",ISNUMBER(MATCH(E412,Parameter!$I$35:$I$52,0))),VLOOKUP(E412,Parameter!$I$35:$J$52,2,0),IFERROR(VLOOKUP(D412,Parameter!$A$35:$C$64,2,0),"Nein"))</f>
        <v>2+3</v>
      </c>
      <c r="CD412" s="52" t="n">
        <f aca="false">IF(BZ412=0,0,IF(N(S412)&gt;0,S412,IFERROR(VLOOKUP(D412,Parameter!$A$35:$C$64,3,0)+0,0)))</f>
        <v>0</v>
      </c>
      <c r="CE412" s="48" t="n">
        <f aca="false">IF(AA412&lt;&gt;"",AA412,Z412)</f>
        <v>3</v>
      </c>
      <c r="CF412" s="48" t="str">
        <f aca="false">IF(OR(CE412=1,CE412=2,CE412=3),IF(Parameter!$E$27="Ja","LIFT",IF(CE412=1,"L1","L23")),IF(CE412="Aussen","Aussen","-"))</f>
        <v>LIFT</v>
      </c>
      <c r="CG412" s="59" t="n">
        <f aca="false">IF(N(AB412)&gt;0,AB412,0)</f>
        <v>0</v>
      </c>
      <c r="CH412" s="53" t="n">
        <f aca="false">IF(ISNUMBER(AE412),1,0)</f>
        <v>0</v>
      </c>
      <c r="CI412" s="50" t="n">
        <f aca="false">N(AE412)</f>
        <v>0</v>
      </c>
      <c r="CJ412" s="50" t="n">
        <f aca="false">N(M412)+N(N412)</f>
        <v>843</v>
      </c>
      <c r="CK412" s="50" t="n">
        <f aca="false">N(M412)</f>
        <v>43</v>
      </c>
      <c r="CL412" s="50" t="n">
        <f aca="false">N(N412)</f>
        <v>800</v>
      </c>
      <c r="CM412" s="50" t="n">
        <f aca="false">ROUNDUP(H412/BY412,0)</f>
        <v>2</v>
      </c>
      <c r="CN412" s="50" t="n">
        <f aca="false">ROUNDUP(CI412/BY412,0)</f>
        <v>0</v>
      </c>
      <c r="CO412" s="53" t="n">
        <f aca="false">IF(BZ412=1,0,IFERROR(VLOOKUP(BX412,'Gebinde-Kategorie'!$A$5:$N$45,5,0)+0,0))</f>
        <v>8</v>
      </c>
      <c r="CP412" s="53" t="n">
        <f aca="false">IFERROR(IF(OR(CE412=1,CE412=2,CE412=3),N(INDEX(Parameter!$I$5:$I$7,CE412)),0),0)</f>
        <v>0</v>
      </c>
      <c r="CQ412" s="52" t="n">
        <f aca="false">IF(AND(Parameter!$B$21="Ja",ISNUMBER(W412),N(X412)&gt;0),IFERROR(N(INDEX(Parameter!$L$5:$L$7,W412))*INDEX(Parameter!$E$5:$E$7,W412)*X412/SUMIFS($X$7:$X$1843,$W$7:$W$1843,W412),0),0)</f>
        <v>0</v>
      </c>
    </row>
    <row r="413" customFormat="false" ht="15" hidden="false" customHeight="false" outlineLevel="0" collapsed="false">
      <c r="A413" s="48" t="s">
        <v>968</v>
      </c>
      <c r="B413" s="48" t="s">
        <v>516</v>
      </c>
      <c r="C413" s="48" t="s">
        <v>173</v>
      </c>
      <c r="D413" s="48" t="s">
        <v>193</v>
      </c>
      <c r="E413" s="48" t="s">
        <v>194</v>
      </c>
      <c r="F413" s="48" t="s">
        <v>227</v>
      </c>
      <c r="G413" s="49" t="n">
        <v>2.79</v>
      </c>
      <c r="H413" s="50" t="n">
        <f aca="false">MAX(0,IF(AND(Parameter!$B$21="Ja",ISNUMBER(Y413)),Y413,IF(Parameter!$B$20="Jahresanfang 2025 + Export",BR413+BQ413,BQ413)))</f>
        <v>77</v>
      </c>
      <c r="I413" s="50" t="n">
        <f aca="false">H413*G413</f>
        <v>214.83</v>
      </c>
      <c r="J413" s="50" t="n">
        <f aca="false">BT413*Parameter!$B$18</f>
        <v>30</v>
      </c>
      <c r="K413" s="51" t="n">
        <v>29</v>
      </c>
      <c r="L413" s="52" t="n">
        <v>1.03448275862069</v>
      </c>
      <c r="M413" s="50" t="n">
        <v>1</v>
      </c>
      <c r="N413" s="50" t="n">
        <v>30</v>
      </c>
      <c r="O413" s="53" t="n">
        <v>14</v>
      </c>
      <c r="P413" s="48" t="s">
        <v>485</v>
      </c>
      <c r="Q413" s="50" t="n">
        <v>28</v>
      </c>
      <c r="R413" s="53" t="n">
        <f aca="false">IF(BZ413=1,0,IFERROR(VLOOKUP(BX413,'Gebinde-Kategorie'!$A$5:$N$45,13,0)+0,0))</f>
        <v>52</v>
      </c>
      <c r="S413" s="54"/>
      <c r="T413" s="55"/>
      <c r="U413" s="55"/>
      <c r="V413" s="55"/>
      <c r="W413" s="48"/>
      <c r="X413" s="50"/>
      <c r="Y413" s="50"/>
      <c r="Z413" s="48" t="n">
        <f aca="false">IF(A413="","",IF(AND(Parameter!$B$21="Ja",ISNUMBER(W413)),W413,IF(CC413="2+3",IF(ISNUMBER(SEARCH("grosser Artikel",BU413)),2,IFERROR(VLOOKUP(BX413,Parameter!$F$35:$G$64,2,0),2)),IF(OR(CC413="Nein",CC413=""),"-",CC413))))</f>
        <v>3</v>
      </c>
      <c r="AA413" s="55"/>
      <c r="AB413" s="56"/>
      <c r="AC413" s="50" t="n">
        <f aca="false">AV413</f>
        <v>31</v>
      </c>
      <c r="AD413" s="50" t="n">
        <f aca="false">MAX(AV413,H413)</f>
        <v>77</v>
      </c>
      <c r="AE413" s="57"/>
      <c r="AF413" s="50" t="n">
        <f aca="false">IF(LEFT(Cockpit!$C$5,1)="A",H413,IF(Parameter!$E$30="MAX-Bestand",IF(CH413=1,CI413,IF(LEFT(Cockpit!$C$5,1)="B",AL413,MAX(AL413,H413))),ROUNDUP(AJ413,0)))</f>
        <v>77</v>
      </c>
      <c r="AG413" s="50" t="n">
        <f aca="false">IF(BZ413=1,0,ROUNDUP(AF413/BY413,0))</f>
        <v>3</v>
      </c>
      <c r="AH413" s="52" t="n">
        <f aca="false">IF(CQ413&gt;0,CQ413*MAX(1,AF413/X413),IF(BZ413=1,IF(AF413&lt;=0,0,CD413*MAX(1,IF(H413&gt;0,AF413/H413,1))),IF(R413&gt;0,AG413/R413,0))/MAX(0.1,N(Parameter!$M$21)))</f>
        <v>0.0576923076923077</v>
      </c>
      <c r="AI413" s="50" t="n">
        <f aca="false">AH413*CB413</f>
        <v>8.94230769230769</v>
      </c>
      <c r="AJ413" s="51" t="n">
        <f aca="false">IF(LEFT(Cockpit!$C$5,1)="A",H413,IF(CH413=1,(CK413+CI413)/2,IF(LEFT(Cockpit!$C$5,1)="B",(CK413+AL413)/2,MAX((CK413+AL413)/2,H413))))</f>
        <v>77</v>
      </c>
      <c r="AK413" s="50" t="n">
        <f aca="false">AJ413*G413</f>
        <v>214.83</v>
      </c>
      <c r="AL413" s="50" t="n">
        <f aca="false">ROUNDUP(CK413+MAX(CL413,2*(J413/IF(CG413&gt;0,CG413,MAX(0.1,N(Cockpit!$C$6)))-CK413)),0)</f>
        <v>31</v>
      </c>
      <c r="AM413" s="51" t="n">
        <f aca="false">IF(AI413&gt;0,J413/AI413,-1)</f>
        <v>3.35483870967742</v>
      </c>
      <c r="AN413" s="51" t="n">
        <f aca="false">IF(AND(OR(CF413="L1",CF413="L23",CF413="LIFT"),AI413&gt;0),SUMIFS($AI$7:$AI$1843,$CF$7:$CF$1843,CF413,$AM$7:$AM$1843,"&gt;"&amp;AM413)+SUMIFS($AI$7:$AI$1843,$CF$7:$CF$1843,CF413,$AM$7:$AM$1843,AM413,$BW$7:$BW$1843,"&lt;="&amp;BW413),"")</f>
        <v>4922.79945054945</v>
      </c>
      <c r="AO413" s="58" t="n">
        <f aca="false">IF(AN413="",0,MAX(0,MIN(1,(IF(CF413="L1",Parameter!$H$5,IF(CF413="L23",Parameter!$H$6+Parameter!$H$7,Parameter!$H$5+Parameter!$H$6+Parameter!$H$7))-(AN413-AI413))/AI413)))</f>
        <v>1</v>
      </c>
      <c r="AP413" s="50" t="n">
        <f aca="false">IF(LEFT(Cockpit!$I$5,1)="A",H413,IF(Parameter!$E$30="MAX-Bestand",IF(CH413=1,CI413,IF(LEFT(Cockpit!$I$5,1)="B",AV413,MAX(AV413,H413))),ROUNDUP(AT413,0)))</f>
        <v>77</v>
      </c>
      <c r="AQ413" s="50" t="n">
        <f aca="false">IF(BZ413=1,0,ROUNDUP(AP413/BY413,0))</f>
        <v>3</v>
      </c>
      <c r="AR413" s="52" t="n">
        <f aca="false">IF(CQ413&gt;0,CQ413*MAX(1,AP413/X413),IF(BZ413=1,IF(AP413&lt;=0,0,CD413*MAX(1,IF(H413&gt;0,AP413/H413,1))),IF(R413&gt;0,AQ413/R413,0))/MAX(0.1,N(Parameter!$M$21)))</f>
        <v>0.0576923076923077</v>
      </c>
      <c r="AS413" s="50" t="n">
        <f aca="false">AR413*CB413</f>
        <v>8.94230769230769</v>
      </c>
      <c r="AT413" s="51" t="n">
        <f aca="false">IF(LEFT(Cockpit!$I$5,1)="A",H413,IF(CH413=1,(CK413+CI413)/2,IF(LEFT(Cockpit!$I$5,1)="B",(CK413+AV413)/2,MAX((CK413+AV413)/2,H413))))</f>
        <v>77</v>
      </c>
      <c r="AU413" s="50" t="n">
        <f aca="false">AT413*G413</f>
        <v>214.83</v>
      </c>
      <c r="AV413" s="50" t="n">
        <f aca="false">ROUNDUP(CK413+MAX(CL413,2*(J413/IF(CG413&gt;0,CG413,MAX(0.1,N(Cockpit!$I$6)))-CK413)),0)</f>
        <v>31</v>
      </c>
      <c r="AW413" s="51" t="n">
        <f aca="false">IF(AS413&gt;0,J413/AS413,-1)</f>
        <v>3.35483870967742</v>
      </c>
      <c r="AX413" s="51" t="n">
        <f aca="false">IF(AND(OR(CF413="L1",CF413="L23",CF413="LIFT"),AS413&gt;0),SUMIFS($AS$7:$AS$1843,$CF$7:$CF$1843,CF413,$AW$7:$AW$1843,"&gt;"&amp;AW413)+SUMIFS($AS$7:$AS$1843,$CF$7:$CF$1843,CF413,$AW$7:$AW$1843,AW413,$BW$7:$BW$1843,"&lt;="&amp;BW413),"")</f>
        <v>5586.63644688645</v>
      </c>
      <c r="AY413" s="58" t="n">
        <f aca="false">IF(AX413="",0,MAX(0,MIN(1,(IF(CF413="L1",Parameter!$H$5,IF(CF413="L23",Parameter!$H$6+Parameter!$H$7,Parameter!$H$5+Parameter!$H$6+Parameter!$H$7))-(AX413-AS413))/AS413)))</f>
        <v>1</v>
      </c>
      <c r="AZ413" s="50" t="n">
        <f aca="false">IF(LEFT(Cockpit!$O$5,1)="A",H413,IF(Parameter!$E$30="MAX-Bestand",IF(CH413=1,CI413,IF(LEFT(Cockpit!$O$5,1)="B",BF413,MAX(BF413,H413))),ROUNDUP(BD413,0)))</f>
        <v>16</v>
      </c>
      <c r="BA413" s="50" t="n">
        <f aca="false">IF(BZ413=1,0,ROUNDUP(AZ413/BY413,0))</f>
        <v>1</v>
      </c>
      <c r="BB413" s="52" t="n">
        <f aca="false">IF(CQ413&gt;0,CQ413*MAX(1,AZ413/X413),IF(BZ413=1,IF(AZ413&lt;=0,0,CD413*MAX(1,IF(H413&gt;0,AZ413/H413,1))),IF(R413&gt;0,BA413/R413,0))/MAX(0.1,N(Parameter!$M$21)))</f>
        <v>0.0192307692307692</v>
      </c>
      <c r="BC413" s="50" t="n">
        <f aca="false">BB413*CB413</f>
        <v>2.98076923076923</v>
      </c>
      <c r="BD413" s="51" t="n">
        <f aca="false">IF(LEFT(Cockpit!$O$5,1)="A",H413,IF(CH413=1,(CK413+CI413)/2,IF(LEFT(Cockpit!$O$5,1)="B",(CK413+BF413)/2,MAX((CK413+BF413)/2,H413))))</f>
        <v>16</v>
      </c>
      <c r="BE413" s="50" t="n">
        <f aca="false">BD413*G413</f>
        <v>44.64</v>
      </c>
      <c r="BF413" s="50" t="n">
        <f aca="false">ROUNDUP(CK413+MAX(CL413,2*(J413/IF(CG413&gt;0,CG413,MAX(0.1,N(Cockpit!$O$6)))-CK413)),0)</f>
        <v>31</v>
      </c>
      <c r="BG413" s="51" t="n">
        <f aca="false">IF(BC413&gt;0,J413/BC413,-1)</f>
        <v>10.0645161290323</v>
      </c>
      <c r="BH413" s="51" t="n">
        <f aca="false">IF(AND(OR(CF413="L1",CF413="L23",CF413="LIFT"),BC413&gt;0),SUMIFS($BC$7:$BC$1843,$CF$7:$CF$1843,CF413,$BG$7:$BG$1843,"&gt;"&amp;BG413)+SUMIFS($BC$7:$BC$1843,$CF$7:$CF$1843,CF413,$BG$7:$BG$1843,BG413,$BW$7:$BW$1843,"&lt;="&amp;BW413),"")</f>
        <v>2669.96978021978</v>
      </c>
      <c r="BI413" s="58" t="n">
        <f aca="false">IF(BH413="",0,MAX(0,MIN(1,(IF(CF413="L1",Parameter!$H$5,IF(CF413="L23",Parameter!$H$6+Parameter!$H$7,Parameter!$H$5+Parameter!$H$6+Parameter!$H$7))-(BH413-BC413))/BC413)))</f>
        <v>1</v>
      </c>
      <c r="BJ413" s="48" t="str">
        <f aca="false">IF(AI413&lt;=0,"",IF(CF413="Aussen","Aussenlager",IF(CF413="-","Nicht im Lift",IF(AO413&gt;=1,"Lift",IF(AO413&lt;=0,"Aussenlager","teilweise")))))</f>
        <v>Lift</v>
      </c>
      <c r="BK413" s="48" t="str">
        <f aca="false">IF(AS413&lt;=0,"",IF(CF413="Aussen","Aussenlager",IF(CF413="-","Nicht im Lift",IF(AY413&gt;=1,"Lift",IF(AY413&lt;=0,"Aussenlager","teilweise")))))</f>
        <v>Lift</v>
      </c>
      <c r="BL413" s="48" t="str">
        <f aca="false">IF(BC413&lt;=0,"",IF(CF413="Aussen","Aussenlager",IF(CF413="-","Nicht im Lift",IF(BI413&gt;=1,"Lift",IF(BI413&lt;=0,"Aussenlager","teilweise")))))</f>
        <v>Lift</v>
      </c>
      <c r="BM413" s="48" t="str">
        <f aca="false">IF(A413="","",IF(BV413=1,"Neu; ","")&amp;IF(AND(BV413=0,BQ413&lt;0),"negativer Bestand (Export "&amp;BQ413&amp;"); ","")&amp;IF(J413&lt;=0,"Kein Verbrauch; ","")&amp;IF(CQ413&gt;0,"Lift "&amp;W413&amp;" lt. Liftbericht (Fach "&amp;X413&amp;" Stk); ",IF(CA413=1,"Gebinde geschätzt ("&amp;T413&amp;"); ",IF(BZ413=1,"Lose – Tablare geschätzt; ","")))&amp;IF(H413&gt;AV413,"Überbestand "&amp;ROUND(H413-AV413,0)&amp;" Stk / CHF "&amp;ROUND((H413-AV413)*G413,0)&amp;"; ","")&amp;IF(AND(CH413=1,CI413&lt;CJ413),"MAX &lt; MB+LG; ","")&amp;IF(AND(CP413&gt;0,CO413*10&gt;CP413),"zu hoch für Tablar; ","")&amp;IF(AND(BV413=0,OR(CH413=1,AA413&lt;&gt;"",U413&lt;&gt;"",V413&lt;&gt;"",AB413&lt;&gt;"")),"manuell übersteuert; ","")&amp;IF(AND(BZ413=0,R413=0),"Gebinde unbekannt / Stellmass fehlt; ","")&amp;IF(AND(BZ413=0,N(V413)&lt;=0,N(Q413)&lt;=0),"Menge pro Gebinde fehlt (Ist = 1 Gebinde); ","")&amp;BU413)</f>
        <v>Überbestand 46 Stk / CHF 128; </v>
      </c>
      <c r="BN413" s="48"/>
      <c r="BO413" s="48"/>
      <c r="BP413" s="55"/>
      <c r="BQ413" s="50" t="n">
        <v>39</v>
      </c>
      <c r="BR413" s="50" t="n">
        <v>38</v>
      </c>
      <c r="BS413" s="49" t="n">
        <v>100.06</v>
      </c>
      <c r="BT413" s="50" t="n">
        <v>30</v>
      </c>
      <c r="BU413" s="48"/>
      <c r="BV413" s="53" t="n">
        <v>0</v>
      </c>
      <c r="BW413" s="53" t="n">
        <v>413</v>
      </c>
      <c r="BX413" s="48" t="str">
        <f aca="false">IF(U413&lt;&gt;"",UPPER(TRIM(U413)),IF(CA413=1,UPPER(VLOOKUP(T413,Parameter!$I$27:$K$29,2,0)),IF(P413="","LOSE",P413)))</f>
        <v>S33</v>
      </c>
      <c r="BY413" s="50" t="n">
        <f aca="false">IF(BX413="LOSE",1,IF(N(V413)&gt;0,V413,IF(CA413=1,MAX(1,N(VLOOKUP(T413,Parameter!$I$27:$K$29,3,0)),H413,N(N413)),IF(N(Q413)&gt;0,Q413,MAX(1,H413)))))</f>
        <v>28</v>
      </c>
      <c r="BZ413" s="53" t="n">
        <f aca="false">IF(BX413="LOSE",1,0)</f>
        <v>0</v>
      </c>
      <c r="CA413" s="53" t="n">
        <f aca="false">IF(AND(U413="",OR(P413="",P413="LOSE"),T413&lt;&gt;"",N(S413)&lt;=0,ISNUMBER(MATCH(T413,Parameter!$I$27:$I$29,0))),1,0)</f>
        <v>0</v>
      </c>
      <c r="CB413" s="53" t="n">
        <f aca="false">IF(CQ413&gt;0,INDEX(Parameter!$H$5:$H$7,W413)/INDEX(Parameter!$E$5:$E$7,W413),IF(AND(BZ413=0,N(IFERROR(VLOOKUP(BX413,'Gebinde-Kategorie'!$A$5:$N$45,14,0),0))&gt;0),VLOOKUP(BX413,'Gebinde-Kategorie'!$A$5:$N$45,14,0)*10+Parameter!$M$23,Parameter!$M$24))</f>
        <v>155</v>
      </c>
      <c r="CC413" s="48" t="str">
        <f aca="false">IF(AND(Parameter!$B$19="Ja",E413&lt;&gt;"",ISNUMBER(MATCH(E413,Parameter!$I$35:$I$52,0))),VLOOKUP(E413,Parameter!$I$35:$J$52,2,0),IFERROR(VLOOKUP(D413,Parameter!$A$35:$C$64,2,0),"Nein"))</f>
        <v>2+3</v>
      </c>
      <c r="CD413" s="52" t="n">
        <f aca="false">IF(BZ413=0,0,IF(N(S413)&gt;0,S413,IFERROR(VLOOKUP(D413,Parameter!$A$35:$C$64,3,0)+0,0)))</f>
        <v>0</v>
      </c>
      <c r="CE413" s="48" t="n">
        <f aca="false">IF(AA413&lt;&gt;"",AA413,Z413)</f>
        <v>3</v>
      </c>
      <c r="CF413" s="48" t="str">
        <f aca="false">IF(OR(CE413=1,CE413=2,CE413=3),IF(Parameter!$E$27="Ja","LIFT",IF(CE413=1,"L1","L23")),IF(CE413="Aussen","Aussen","-"))</f>
        <v>LIFT</v>
      </c>
      <c r="CG413" s="59" t="n">
        <f aca="false">IF(N(AB413)&gt;0,AB413,0)</f>
        <v>0</v>
      </c>
      <c r="CH413" s="53" t="n">
        <f aca="false">IF(ISNUMBER(AE413),1,0)</f>
        <v>0</v>
      </c>
      <c r="CI413" s="50" t="n">
        <f aca="false">N(AE413)</f>
        <v>0</v>
      </c>
      <c r="CJ413" s="50" t="n">
        <f aca="false">N(M413)+N(N413)</f>
        <v>31</v>
      </c>
      <c r="CK413" s="50" t="n">
        <f aca="false">N(M413)</f>
        <v>1</v>
      </c>
      <c r="CL413" s="50" t="n">
        <f aca="false">N(N413)</f>
        <v>30</v>
      </c>
      <c r="CM413" s="50" t="n">
        <f aca="false">ROUNDUP(H413/BY413,0)</f>
        <v>3</v>
      </c>
      <c r="CN413" s="50" t="n">
        <f aca="false">ROUNDUP(CI413/BY413,0)</f>
        <v>0</v>
      </c>
      <c r="CO413" s="53" t="n">
        <f aca="false">IF(BZ413=1,0,IFERROR(VLOOKUP(BX413,'Gebinde-Kategorie'!$A$5:$N$45,5,0)+0,0))</f>
        <v>8</v>
      </c>
      <c r="CP413" s="53" t="n">
        <f aca="false">IFERROR(IF(OR(CE413=1,CE413=2,CE413=3),N(INDEX(Parameter!$I$5:$I$7,CE413)),0),0)</f>
        <v>0</v>
      </c>
      <c r="CQ413" s="52" t="n">
        <f aca="false">IF(AND(Parameter!$B$21="Ja",ISNUMBER(W413),N(X413)&gt;0),IFERROR(N(INDEX(Parameter!$L$5:$L$7,W413))*INDEX(Parameter!$E$5:$E$7,W413)*X413/SUMIFS($X$7:$X$1843,$W$7:$W$1843,W413),0),0)</f>
        <v>0</v>
      </c>
    </row>
    <row r="414" customFormat="false" ht="15" hidden="false" customHeight="false" outlineLevel="0" collapsed="false">
      <c r="A414" s="48" t="s">
        <v>969</v>
      </c>
      <c r="B414" s="48" t="s">
        <v>956</v>
      </c>
      <c r="C414" s="48" t="s">
        <v>173</v>
      </c>
      <c r="D414" s="48" t="s">
        <v>193</v>
      </c>
      <c r="E414" s="48" t="s">
        <v>194</v>
      </c>
      <c r="F414" s="48" t="s">
        <v>227</v>
      </c>
      <c r="G414" s="49" t="n">
        <v>3.21</v>
      </c>
      <c r="H414" s="50" t="n">
        <f aca="false">MAX(0,IF(AND(Parameter!$B$21="Ja",ISNUMBER(Y414)),Y414,IF(Parameter!$B$20="Jahresanfang 2025 + Export",BR414+BQ414,BQ414)))</f>
        <v>62</v>
      </c>
      <c r="I414" s="50" t="n">
        <f aca="false">H414*G414</f>
        <v>199.02</v>
      </c>
      <c r="J414" s="50" t="n">
        <f aca="false">BT414*Parameter!$B$18</f>
        <v>162</v>
      </c>
      <c r="K414" s="51" t="n">
        <v>52.5</v>
      </c>
      <c r="L414" s="52" t="n">
        <v>3.08571428571429</v>
      </c>
      <c r="M414" s="50" t="n">
        <v>9</v>
      </c>
      <c r="N414" s="50" t="n">
        <v>160</v>
      </c>
      <c r="O414" s="53" t="n">
        <v>21</v>
      </c>
      <c r="P414" s="48" t="s">
        <v>430</v>
      </c>
      <c r="Q414" s="50" t="n">
        <v>56</v>
      </c>
      <c r="R414" s="53" t="n">
        <f aca="false">IF(BZ414=1,0,IFERROR(VLOOKUP(BX414,'Gebinde-Kategorie'!$A$5:$N$45,13,0)+0,0))</f>
        <v>104</v>
      </c>
      <c r="S414" s="54"/>
      <c r="T414" s="55"/>
      <c r="U414" s="55"/>
      <c r="V414" s="55"/>
      <c r="W414" s="48"/>
      <c r="X414" s="50"/>
      <c r="Y414" s="50"/>
      <c r="Z414" s="48" t="n">
        <f aca="false">IF(A414="","",IF(AND(Parameter!$B$21="Ja",ISNUMBER(W414)),W414,IF(CC414="2+3",IF(ISNUMBER(SEARCH("grosser Artikel",BU414)),2,IFERROR(VLOOKUP(BX414,Parameter!$F$35:$G$64,2,0),2)),IF(OR(CC414="Nein",CC414=""),"-",CC414))))</f>
        <v>3</v>
      </c>
      <c r="AA414" s="55"/>
      <c r="AB414" s="56"/>
      <c r="AC414" s="50" t="n">
        <f aca="false">AV414</f>
        <v>169</v>
      </c>
      <c r="AD414" s="50" t="n">
        <f aca="false">MAX(AV414,H414)</f>
        <v>169</v>
      </c>
      <c r="AE414" s="57"/>
      <c r="AF414" s="50" t="n">
        <f aca="false">IF(LEFT(Cockpit!$C$5,1)="A",H414,IF(Parameter!$E$30="MAX-Bestand",IF(CH414=1,CI414,IF(LEFT(Cockpit!$C$5,1)="B",AL414,MAX(AL414,H414))),ROUNDUP(AJ414,0)))</f>
        <v>62</v>
      </c>
      <c r="AG414" s="50" t="n">
        <f aca="false">IF(BZ414=1,0,ROUNDUP(AF414/BY414,0))</f>
        <v>2</v>
      </c>
      <c r="AH414" s="52" t="n">
        <f aca="false">IF(CQ414&gt;0,CQ414*MAX(1,AF414/X414),IF(BZ414=1,IF(AF414&lt;=0,0,CD414*MAX(1,IF(H414&gt;0,AF414/H414,1))),IF(R414&gt;0,AG414/R414,0))/MAX(0.1,N(Parameter!$M$21)))</f>
        <v>0.0192307692307692</v>
      </c>
      <c r="AI414" s="50" t="n">
        <f aca="false">AH414*CB414</f>
        <v>2.98076923076923</v>
      </c>
      <c r="AJ414" s="51" t="n">
        <f aca="false">IF(LEFT(Cockpit!$C$5,1)="A",H414,IF(CH414=1,(CK414+CI414)/2,IF(LEFT(Cockpit!$C$5,1)="B",(CK414+AL414)/2,MAX((CK414+AL414)/2,H414))))</f>
        <v>62</v>
      </c>
      <c r="AK414" s="50" t="n">
        <f aca="false">AJ414*G414</f>
        <v>199.02</v>
      </c>
      <c r="AL414" s="50" t="n">
        <f aca="false">ROUNDUP(CK414+MAX(CL414,2*(J414/IF(CG414&gt;0,CG414,MAX(0.1,N(Cockpit!$C$6)))-CK414)),0)</f>
        <v>169</v>
      </c>
      <c r="AM414" s="51" t="n">
        <f aca="false">IF(AI414&gt;0,J414/AI414,-1)</f>
        <v>54.3483870967742</v>
      </c>
      <c r="AN414" s="51" t="n">
        <f aca="false">IF(AND(OR(CF414="L1",CF414="L23",CF414="LIFT"),AI414&gt;0),SUMIFS($AI$7:$AI$1843,$CF$7:$CF$1843,CF414,$AM$7:$AM$1843,"&gt;"&amp;AM414)+SUMIFS($AI$7:$AI$1843,$CF$7:$CF$1843,CF414,$AM$7:$AM$1843,AM414,$BW$7:$BW$1843,"&lt;="&amp;BW414),"")</f>
        <v>1001.44093406593</v>
      </c>
      <c r="AO414" s="58" t="n">
        <f aca="false">IF(AN414="",0,MAX(0,MIN(1,(IF(CF414="L1",Parameter!$H$5,IF(CF414="L23",Parameter!$H$6+Parameter!$H$7,Parameter!$H$5+Parameter!$H$6+Parameter!$H$7))-(AN414-AI414))/AI414)))</f>
        <v>1</v>
      </c>
      <c r="AP414" s="50" t="n">
        <f aca="false">IF(LEFT(Cockpit!$I$5,1)="A",H414,IF(Parameter!$E$30="MAX-Bestand",IF(CH414=1,CI414,IF(LEFT(Cockpit!$I$5,1)="B",AV414,MAX(AV414,H414))),ROUNDUP(AT414,0)))</f>
        <v>89</v>
      </c>
      <c r="AQ414" s="50" t="n">
        <f aca="false">IF(BZ414=1,0,ROUNDUP(AP414/BY414,0))</f>
        <v>2</v>
      </c>
      <c r="AR414" s="52" t="n">
        <f aca="false">IF(CQ414&gt;0,CQ414*MAX(1,AP414/X414),IF(BZ414=1,IF(AP414&lt;=0,0,CD414*MAX(1,IF(H414&gt;0,AP414/H414,1))),IF(R414&gt;0,AQ414/R414,0))/MAX(0.1,N(Parameter!$M$21)))</f>
        <v>0.0192307692307692</v>
      </c>
      <c r="AS414" s="50" t="n">
        <f aca="false">AR414*CB414</f>
        <v>2.98076923076923</v>
      </c>
      <c r="AT414" s="51" t="n">
        <f aca="false">IF(LEFT(Cockpit!$I$5,1)="A",H414,IF(CH414=1,(CK414+CI414)/2,IF(LEFT(Cockpit!$I$5,1)="B",(CK414+AV414)/2,MAX((CK414+AV414)/2,H414))))</f>
        <v>89</v>
      </c>
      <c r="AU414" s="50" t="n">
        <f aca="false">AT414*G414</f>
        <v>285.69</v>
      </c>
      <c r="AV414" s="50" t="n">
        <f aca="false">ROUNDUP(CK414+MAX(CL414,2*(J414/IF(CG414&gt;0,CG414,MAX(0.1,N(Cockpit!$I$6)))-CK414)),0)</f>
        <v>169</v>
      </c>
      <c r="AW414" s="51" t="n">
        <f aca="false">IF(AS414&gt;0,J414/AS414,-1)</f>
        <v>54.3483870967742</v>
      </c>
      <c r="AX414" s="51" t="n">
        <f aca="false">IF(AND(OR(CF414="L1",CF414="L23",CF414="LIFT"),AS414&gt;0),SUMIFS($AS$7:$AS$1843,$CF$7:$CF$1843,CF414,$AW$7:$AW$1843,"&gt;"&amp;AW414)+SUMIFS($AS$7:$AS$1843,$CF$7:$CF$1843,CF414,$AW$7:$AW$1843,AW414,$BW$7:$BW$1843,"&lt;="&amp;BW414),"")</f>
        <v>1285.1369047619</v>
      </c>
      <c r="AY414" s="58" t="n">
        <f aca="false">IF(AX414="",0,MAX(0,MIN(1,(IF(CF414="L1",Parameter!$H$5,IF(CF414="L23",Parameter!$H$6+Parameter!$H$7,Parameter!$H$5+Parameter!$H$6+Parameter!$H$7))-(AX414-AS414))/AS414)))</f>
        <v>1</v>
      </c>
      <c r="AZ414" s="50" t="n">
        <f aca="false">IF(LEFT(Cockpit!$O$5,1)="A",H414,IF(Parameter!$E$30="MAX-Bestand",IF(CH414=1,CI414,IF(LEFT(Cockpit!$O$5,1)="B",BF414,MAX(BF414,H414))),ROUNDUP(BD414,0)))</f>
        <v>89</v>
      </c>
      <c r="BA414" s="50" t="n">
        <f aca="false">IF(BZ414=1,0,ROUNDUP(AZ414/BY414,0))</f>
        <v>2</v>
      </c>
      <c r="BB414" s="52" t="n">
        <f aca="false">IF(CQ414&gt;0,CQ414*MAX(1,AZ414/X414),IF(BZ414=1,IF(AZ414&lt;=0,0,CD414*MAX(1,IF(H414&gt;0,AZ414/H414,1))),IF(R414&gt;0,BA414/R414,0))/MAX(0.1,N(Parameter!$M$21)))</f>
        <v>0.0192307692307692</v>
      </c>
      <c r="BC414" s="50" t="n">
        <f aca="false">BB414*CB414</f>
        <v>2.98076923076923</v>
      </c>
      <c r="BD414" s="51" t="n">
        <f aca="false">IF(LEFT(Cockpit!$O$5,1)="A",H414,IF(CH414=1,(CK414+CI414)/2,IF(LEFT(Cockpit!$O$5,1)="B",(CK414+BF414)/2,MAX((CK414+BF414)/2,H414))))</f>
        <v>89</v>
      </c>
      <c r="BE414" s="50" t="n">
        <f aca="false">BD414*G414</f>
        <v>285.69</v>
      </c>
      <c r="BF414" s="50" t="n">
        <f aca="false">ROUNDUP(CK414+MAX(CL414,2*(J414/IF(CG414&gt;0,CG414,MAX(0.1,N(Cockpit!$O$6)))-CK414)),0)</f>
        <v>169</v>
      </c>
      <c r="BG414" s="51" t="n">
        <f aca="false">IF(BC414&gt;0,J414/BC414,-1)</f>
        <v>54.3483870967742</v>
      </c>
      <c r="BH414" s="51" t="n">
        <f aca="false">IF(AND(OR(CF414="L1",CF414="L23",CF414="LIFT"),BC414&gt;0),SUMIFS($BC$7:$BC$1843,$CF$7:$CF$1843,CF414,$BG$7:$BG$1843,"&gt;"&amp;BG414)+SUMIFS($BC$7:$BC$1843,$CF$7:$CF$1843,CF414,$BG$7:$BG$1843,BG414,$BW$7:$BW$1843,"&lt;="&amp;BW414),"")</f>
        <v>1139.42673992674</v>
      </c>
      <c r="BI414" s="58" t="n">
        <f aca="false">IF(BH414="",0,MAX(0,MIN(1,(IF(CF414="L1",Parameter!$H$5,IF(CF414="L23",Parameter!$H$6+Parameter!$H$7,Parameter!$H$5+Parameter!$H$6+Parameter!$H$7))-(BH414-BC414))/BC414)))</f>
        <v>1</v>
      </c>
      <c r="BJ414" s="48" t="str">
        <f aca="false">IF(AI414&lt;=0,"",IF(CF414="Aussen","Aussenlager",IF(CF414="-","Nicht im Lift",IF(AO414&gt;=1,"Lift",IF(AO414&lt;=0,"Aussenlager","teilweise")))))</f>
        <v>Lift</v>
      </c>
      <c r="BK414" s="48" t="str">
        <f aca="false">IF(AS414&lt;=0,"",IF(CF414="Aussen","Aussenlager",IF(CF414="-","Nicht im Lift",IF(AY414&gt;=1,"Lift",IF(AY414&lt;=0,"Aussenlager","teilweise")))))</f>
        <v>Lift</v>
      </c>
      <c r="BL414" s="48" t="str">
        <f aca="false">IF(BC414&lt;=0,"",IF(CF414="Aussen","Aussenlager",IF(CF414="-","Nicht im Lift",IF(BI414&gt;=1,"Lift",IF(BI414&lt;=0,"Aussenlager","teilweise")))))</f>
        <v>Lift</v>
      </c>
      <c r="BM414" s="48" t="str">
        <f aca="false">IF(A414="","",IF(BV414=1,"Neu; ","")&amp;IF(AND(BV414=0,BQ414&lt;0),"negativer Bestand (Export "&amp;BQ414&amp;"); ","")&amp;IF(J414&lt;=0,"Kein Verbrauch; ","")&amp;IF(CQ414&gt;0,"Lift "&amp;W414&amp;" lt. Liftbericht (Fach "&amp;X414&amp;" Stk); ",IF(CA414=1,"Gebinde geschätzt ("&amp;T414&amp;"); ",IF(BZ414=1,"Lose – Tablare geschätzt; ","")))&amp;IF(H414&gt;AV414,"Überbestand "&amp;ROUND(H414-AV414,0)&amp;" Stk / CHF "&amp;ROUND((H414-AV414)*G414,0)&amp;"; ","")&amp;IF(AND(CH414=1,CI414&lt;CJ414),"MAX &lt; MB+LG; ","")&amp;IF(AND(CP414&gt;0,CO414*10&gt;CP414),"zu hoch für Tablar; ","")&amp;IF(AND(BV414=0,OR(CH414=1,AA414&lt;&gt;"",U414&lt;&gt;"",V414&lt;&gt;"",AB414&lt;&gt;"")),"manuell übersteuert; ","")&amp;IF(AND(BZ414=0,R414=0),"Gebinde unbekannt / Stellmass fehlt; ","")&amp;IF(AND(BZ414=0,N(V414)&lt;=0,N(Q414)&lt;=0),"Menge pro Gebinde fehlt (Ist = 1 Gebinde); ","")&amp;BU414)</f>
        <v/>
      </c>
      <c r="BN414" s="48"/>
      <c r="BO414" s="48"/>
      <c r="BP414" s="55"/>
      <c r="BQ414" s="50" t="n">
        <v>30</v>
      </c>
      <c r="BR414" s="50" t="n">
        <v>32</v>
      </c>
      <c r="BS414" s="49" t="n">
        <v>98.5399999999998</v>
      </c>
      <c r="BT414" s="50" t="n">
        <v>162</v>
      </c>
      <c r="BU414" s="48"/>
      <c r="BV414" s="53" t="n">
        <v>0</v>
      </c>
      <c r="BW414" s="53" t="n">
        <v>414</v>
      </c>
      <c r="BX414" s="48" t="str">
        <f aca="false">IF(U414&lt;&gt;"",UPPER(TRIM(U414)),IF(CA414=1,UPPER(VLOOKUP(T414,Parameter!$I$27:$K$29,2,0)),IF(P414="","LOSE",P414)))</f>
        <v>S32</v>
      </c>
      <c r="BY414" s="50" t="n">
        <f aca="false">IF(BX414="LOSE",1,IF(N(V414)&gt;0,V414,IF(CA414=1,MAX(1,N(VLOOKUP(T414,Parameter!$I$27:$K$29,3,0)),H414,N(N414)),IF(N(Q414)&gt;0,Q414,MAX(1,H414)))))</f>
        <v>56</v>
      </c>
      <c r="BZ414" s="53" t="n">
        <f aca="false">IF(BX414="LOSE",1,0)</f>
        <v>0</v>
      </c>
      <c r="CA414" s="53" t="n">
        <f aca="false">IF(AND(U414="",OR(P414="",P414="LOSE"),T414&lt;&gt;"",N(S414)&lt;=0,ISNUMBER(MATCH(T414,Parameter!$I$27:$I$29,0))),1,0)</f>
        <v>0</v>
      </c>
      <c r="CB414" s="53" t="n">
        <f aca="false">IF(CQ414&gt;0,INDEX(Parameter!$H$5:$H$7,W414)/INDEX(Parameter!$E$5:$E$7,W414),IF(AND(BZ414=0,N(IFERROR(VLOOKUP(BX414,'Gebinde-Kategorie'!$A$5:$N$45,14,0),0))&gt;0),VLOOKUP(BX414,'Gebinde-Kategorie'!$A$5:$N$45,14,0)*10+Parameter!$M$23,Parameter!$M$24))</f>
        <v>155</v>
      </c>
      <c r="CC414" s="48" t="str">
        <f aca="false">IF(AND(Parameter!$B$19="Ja",E414&lt;&gt;"",ISNUMBER(MATCH(E414,Parameter!$I$35:$I$52,0))),VLOOKUP(E414,Parameter!$I$35:$J$52,2,0),IFERROR(VLOOKUP(D414,Parameter!$A$35:$C$64,2,0),"Nein"))</f>
        <v>2+3</v>
      </c>
      <c r="CD414" s="52" t="n">
        <f aca="false">IF(BZ414=0,0,IF(N(S414)&gt;0,S414,IFERROR(VLOOKUP(D414,Parameter!$A$35:$C$64,3,0)+0,0)))</f>
        <v>0</v>
      </c>
      <c r="CE414" s="48" t="n">
        <f aca="false">IF(AA414&lt;&gt;"",AA414,Z414)</f>
        <v>3</v>
      </c>
      <c r="CF414" s="48" t="str">
        <f aca="false">IF(OR(CE414=1,CE414=2,CE414=3),IF(Parameter!$E$27="Ja","LIFT",IF(CE414=1,"L1","L23")),IF(CE414="Aussen","Aussen","-"))</f>
        <v>LIFT</v>
      </c>
      <c r="CG414" s="59" t="n">
        <f aca="false">IF(N(AB414)&gt;0,AB414,0)</f>
        <v>0</v>
      </c>
      <c r="CH414" s="53" t="n">
        <f aca="false">IF(ISNUMBER(AE414),1,0)</f>
        <v>0</v>
      </c>
      <c r="CI414" s="50" t="n">
        <f aca="false">N(AE414)</f>
        <v>0</v>
      </c>
      <c r="CJ414" s="50" t="n">
        <f aca="false">N(M414)+N(N414)</f>
        <v>169</v>
      </c>
      <c r="CK414" s="50" t="n">
        <f aca="false">N(M414)</f>
        <v>9</v>
      </c>
      <c r="CL414" s="50" t="n">
        <f aca="false">N(N414)</f>
        <v>160</v>
      </c>
      <c r="CM414" s="50" t="n">
        <f aca="false">ROUNDUP(H414/BY414,0)</f>
        <v>2</v>
      </c>
      <c r="CN414" s="50" t="n">
        <f aca="false">ROUNDUP(CI414/BY414,0)</f>
        <v>0</v>
      </c>
      <c r="CO414" s="53" t="n">
        <f aca="false">IF(BZ414=1,0,IFERROR(VLOOKUP(BX414,'Gebinde-Kategorie'!$A$5:$N$45,5,0)+0,0))</f>
        <v>8</v>
      </c>
      <c r="CP414" s="53" t="n">
        <f aca="false">IFERROR(IF(OR(CE414=1,CE414=2,CE414=3),N(INDEX(Parameter!$I$5:$I$7,CE414)),0),0)</f>
        <v>0</v>
      </c>
      <c r="CQ414" s="52" t="n">
        <f aca="false">IF(AND(Parameter!$B$21="Ja",ISNUMBER(W414),N(X414)&gt;0),IFERROR(N(INDEX(Parameter!$L$5:$L$7,W414))*INDEX(Parameter!$E$5:$E$7,W414)*X414/SUMIFS($X$7:$X$1843,$W$7:$W$1843,W414),0),0)</f>
        <v>0</v>
      </c>
    </row>
    <row r="415" customFormat="false" ht="15" hidden="false" customHeight="false" outlineLevel="0" collapsed="false">
      <c r="A415" s="48" t="s">
        <v>970</v>
      </c>
      <c r="B415" s="48" t="s">
        <v>416</v>
      </c>
      <c r="C415" s="48" t="s">
        <v>173</v>
      </c>
      <c r="D415" s="48" t="s">
        <v>193</v>
      </c>
      <c r="E415" s="48" t="s">
        <v>194</v>
      </c>
      <c r="F415" s="48" t="s">
        <v>227</v>
      </c>
      <c r="G415" s="49" t="n">
        <v>0.12</v>
      </c>
      <c r="H415" s="50" t="n">
        <f aca="false">MAX(0,IF(AND(Parameter!$B$21="Ja",ISNUMBER(Y415)),Y415,IF(Parameter!$B$20="Jahresanfang 2025 + Export",BR415+BQ415,BQ415)))</f>
        <v>1198</v>
      </c>
      <c r="I415" s="50" t="n">
        <f aca="false">H415*G415</f>
        <v>143.76</v>
      </c>
      <c r="J415" s="50" t="n">
        <f aca="false">BT415*Parameter!$B$18</f>
        <v>2222</v>
      </c>
      <c r="K415" s="51" t="n">
        <v>530.5</v>
      </c>
      <c r="L415" s="52" t="n">
        <v>4.1885014137606</v>
      </c>
      <c r="M415" s="50" t="n">
        <v>86</v>
      </c>
      <c r="N415" s="50" t="n">
        <v>2000</v>
      </c>
      <c r="O415" s="53" t="n">
        <v>14</v>
      </c>
      <c r="P415" s="48" t="s">
        <v>485</v>
      </c>
      <c r="Q415" s="50" t="n">
        <v>432</v>
      </c>
      <c r="R415" s="53" t="n">
        <f aca="false">IF(BZ415=1,0,IFERROR(VLOOKUP(BX415,'Gebinde-Kategorie'!$A$5:$N$45,13,0)+0,0))</f>
        <v>52</v>
      </c>
      <c r="S415" s="54"/>
      <c r="T415" s="55"/>
      <c r="U415" s="55"/>
      <c r="V415" s="55"/>
      <c r="W415" s="48"/>
      <c r="X415" s="50"/>
      <c r="Y415" s="50"/>
      <c r="Z415" s="48" t="n">
        <f aca="false">IF(A415="","",IF(AND(Parameter!$B$21="Ja",ISNUMBER(W415)),W415,IF(CC415="2+3",IF(ISNUMBER(SEARCH("grosser Artikel",BU415)),2,IFERROR(VLOOKUP(BX415,Parameter!$F$35:$G$64,2,0),2)),IF(OR(CC415="Nein",CC415=""),"-",CC415))))</f>
        <v>3</v>
      </c>
      <c r="AA415" s="55"/>
      <c r="AB415" s="56"/>
      <c r="AC415" s="50" t="n">
        <f aca="false">AV415</f>
        <v>2086</v>
      </c>
      <c r="AD415" s="50" t="n">
        <f aca="false">MAX(AV415,H415)</f>
        <v>2086</v>
      </c>
      <c r="AE415" s="57"/>
      <c r="AF415" s="50" t="n">
        <f aca="false">IF(LEFT(Cockpit!$C$5,1)="A",H415,IF(Parameter!$E$30="MAX-Bestand",IF(CH415=1,CI415,IF(LEFT(Cockpit!$C$5,1)="B",AL415,MAX(AL415,H415))),ROUNDUP(AJ415,0)))</f>
        <v>1198</v>
      </c>
      <c r="AG415" s="50" t="n">
        <f aca="false">IF(BZ415=1,0,ROUNDUP(AF415/BY415,0))</f>
        <v>3</v>
      </c>
      <c r="AH415" s="52" t="n">
        <f aca="false">IF(CQ415&gt;0,CQ415*MAX(1,AF415/X415),IF(BZ415=1,IF(AF415&lt;=0,0,CD415*MAX(1,IF(H415&gt;0,AF415/H415,1))),IF(R415&gt;0,AG415/R415,0))/MAX(0.1,N(Parameter!$M$21)))</f>
        <v>0.0576923076923077</v>
      </c>
      <c r="AI415" s="50" t="n">
        <f aca="false">AH415*CB415</f>
        <v>8.94230769230769</v>
      </c>
      <c r="AJ415" s="51" t="n">
        <f aca="false">IF(LEFT(Cockpit!$C$5,1)="A",H415,IF(CH415=1,(CK415+CI415)/2,IF(LEFT(Cockpit!$C$5,1)="B",(CK415+AL415)/2,MAX((CK415+AL415)/2,H415))))</f>
        <v>1198</v>
      </c>
      <c r="AK415" s="50" t="n">
        <f aca="false">AJ415*G415</f>
        <v>143.76</v>
      </c>
      <c r="AL415" s="50" t="n">
        <f aca="false">ROUNDUP(CK415+MAX(CL415,2*(J415/IF(CG415&gt;0,CG415,MAX(0.1,N(Cockpit!$C$6)))-CK415)),0)</f>
        <v>2086</v>
      </c>
      <c r="AM415" s="51" t="n">
        <f aca="false">IF(AI415&gt;0,J415/AI415,-1)</f>
        <v>248.481720430108</v>
      </c>
      <c r="AN415" s="51" t="n">
        <f aca="false">IF(AND(OR(CF415="L1",CF415="L23",CF415="LIFT"),AI415&gt;0),SUMIFS($AI$7:$AI$1843,$CF$7:$CF$1843,CF415,$AM$7:$AM$1843,"&gt;"&amp;AM415)+SUMIFS($AI$7:$AI$1843,$CF$7:$CF$1843,CF415,$AM$7:$AM$1843,AM415,$BW$7:$BW$1843,"&lt;="&amp;BW415),"")</f>
        <v>282.619963369963</v>
      </c>
      <c r="AO415" s="58" t="n">
        <f aca="false">IF(AN415="",0,MAX(0,MIN(1,(IF(CF415="L1",Parameter!$H$5,IF(CF415="L23",Parameter!$H$6+Parameter!$H$7,Parameter!$H$5+Parameter!$H$6+Parameter!$H$7))-(AN415-AI415))/AI415)))</f>
        <v>1</v>
      </c>
      <c r="AP415" s="50" t="n">
        <f aca="false">IF(LEFT(Cockpit!$I$5,1)="A",H415,IF(Parameter!$E$30="MAX-Bestand",IF(CH415=1,CI415,IF(LEFT(Cockpit!$I$5,1)="B",AV415,MAX(AV415,H415))),ROUNDUP(AT415,0)))</f>
        <v>1198</v>
      </c>
      <c r="AQ415" s="50" t="n">
        <f aca="false">IF(BZ415=1,0,ROUNDUP(AP415/BY415,0))</f>
        <v>3</v>
      </c>
      <c r="AR415" s="52" t="n">
        <f aca="false">IF(CQ415&gt;0,CQ415*MAX(1,AP415/X415),IF(BZ415=1,IF(AP415&lt;=0,0,CD415*MAX(1,IF(H415&gt;0,AP415/H415,1))),IF(R415&gt;0,AQ415/R415,0))/MAX(0.1,N(Parameter!$M$21)))</f>
        <v>0.0576923076923077</v>
      </c>
      <c r="AS415" s="50" t="n">
        <f aca="false">AR415*CB415</f>
        <v>8.94230769230769</v>
      </c>
      <c r="AT415" s="51" t="n">
        <f aca="false">IF(LEFT(Cockpit!$I$5,1)="A",H415,IF(CH415=1,(CK415+CI415)/2,IF(LEFT(Cockpit!$I$5,1)="B",(CK415+AV415)/2,MAX((CK415+AV415)/2,H415))))</f>
        <v>1198</v>
      </c>
      <c r="AU415" s="50" t="n">
        <f aca="false">AT415*G415</f>
        <v>143.76</v>
      </c>
      <c r="AV415" s="50" t="n">
        <f aca="false">ROUNDUP(CK415+MAX(CL415,2*(J415/IF(CG415&gt;0,CG415,MAX(0.1,N(Cockpit!$I$6)))-CK415)),0)</f>
        <v>2086</v>
      </c>
      <c r="AW415" s="51" t="n">
        <f aca="false">IF(AS415&gt;0,J415/AS415,-1)</f>
        <v>248.481720430108</v>
      </c>
      <c r="AX415" s="51" t="n">
        <f aca="false">IF(AND(OR(CF415="L1",CF415="L23",CF415="LIFT"),AS415&gt;0),SUMIFS($AS$7:$AS$1843,$CF$7:$CF$1843,CF415,$AW$7:$AW$1843,"&gt;"&amp;AW415)+SUMIFS($AS$7:$AS$1843,$CF$7:$CF$1843,CF415,$AW$7:$AW$1843,AW415,$BW$7:$BW$1843,"&lt;="&amp;BW415),"")</f>
        <v>235.682234432234</v>
      </c>
      <c r="AY415" s="58" t="n">
        <f aca="false">IF(AX415="",0,MAX(0,MIN(1,(IF(CF415="L1",Parameter!$H$5,IF(CF415="L23",Parameter!$H$6+Parameter!$H$7,Parameter!$H$5+Parameter!$H$6+Parameter!$H$7))-(AX415-AS415))/AS415)))</f>
        <v>1</v>
      </c>
      <c r="AZ415" s="50" t="n">
        <f aca="false">IF(LEFT(Cockpit!$O$5,1)="A",H415,IF(Parameter!$E$30="MAX-Bestand",IF(CH415=1,CI415,IF(LEFT(Cockpit!$O$5,1)="B",BF415,MAX(BF415,H415))),ROUNDUP(BD415,0)))</f>
        <v>1086</v>
      </c>
      <c r="BA415" s="50" t="n">
        <f aca="false">IF(BZ415=1,0,ROUNDUP(AZ415/BY415,0))</f>
        <v>3</v>
      </c>
      <c r="BB415" s="52" t="n">
        <f aca="false">IF(CQ415&gt;0,CQ415*MAX(1,AZ415/X415),IF(BZ415=1,IF(AZ415&lt;=0,0,CD415*MAX(1,IF(H415&gt;0,AZ415/H415,1))),IF(R415&gt;0,BA415/R415,0))/MAX(0.1,N(Parameter!$M$21)))</f>
        <v>0.0576923076923077</v>
      </c>
      <c r="BC415" s="50" t="n">
        <f aca="false">BB415*CB415</f>
        <v>8.94230769230769</v>
      </c>
      <c r="BD415" s="51" t="n">
        <f aca="false">IF(LEFT(Cockpit!$O$5,1)="A",H415,IF(CH415=1,(CK415+CI415)/2,IF(LEFT(Cockpit!$O$5,1)="B",(CK415+BF415)/2,MAX((CK415+BF415)/2,H415))))</f>
        <v>1086</v>
      </c>
      <c r="BE415" s="50" t="n">
        <f aca="false">BD415*G415</f>
        <v>130.32</v>
      </c>
      <c r="BF415" s="50" t="n">
        <f aca="false">ROUNDUP(CK415+MAX(CL415,2*(J415/IF(CG415&gt;0,CG415,MAX(0.1,N(Cockpit!$O$6)))-CK415)),0)</f>
        <v>2086</v>
      </c>
      <c r="BG415" s="51" t="n">
        <f aca="false">IF(BC415&gt;0,J415/BC415,-1)</f>
        <v>248.481720430108</v>
      </c>
      <c r="BH415" s="51" t="n">
        <f aca="false">IF(AND(OR(CF415="L1",CF415="L23",CF415="LIFT"),BC415&gt;0),SUMIFS($BC$7:$BC$1843,$CF$7:$CF$1843,CF415,$BG$7:$BG$1843,"&gt;"&amp;BG415)+SUMIFS($BC$7:$BC$1843,$CF$7:$CF$1843,CF415,$BG$7:$BG$1843,BG415,$BW$7:$BW$1843,"&lt;="&amp;BW415),"")</f>
        <v>309.83836996337</v>
      </c>
      <c r="BI415" s="58" t="n">
        <f aca="false">IF(BH415="",0,MAX(0,MIN(1,(IF(CF415="L1",Parameter!$H$5,IF(CF415="L23",Parameter!$H$6+Parameter!$H$7,Parameter!$H$5+Parameter!$H$6+Parameter!$H$7))-(BH415-BC415))/BC415)))</f>
        <v>1</v>
      </c>
      <c r="BJ415" s="48" t="str">
        <f aca="false">IF(AI415&lt;=0,"",IF(CF415="Aussen","Aussenlager",IF(CF415="-","Nicht im Lift",IF(AO415&gt;=1,"Lift",IF(AO415&lt;=0,"Aussenlager","teilweise")))))</f>
        <v>Lift</v>
      </c>
      <c r="BK415" s="48" t="str">
        <f aca="false">IF(AS415&lt;=0,"",IF(CF415="Aussen","Aussenlager",IF(CF415="-","Nicht im Lift",IF(AY415&gt;=1,"Lift",IF(AY415&lt;=0,"Aussenlager","teilweise")))))</f>
        <v>Lift</v>
      </c>
      <c r="BL415" s="48" t="str">
        <f aca="false">IF(BC415&lt;=0,"",IF(CF415="Aussen","Aussenlager",IF(CF415="-","Nicht im Lift",IF(BI415&gt;=1,"Lift",IF(BI415&lt;=0,"Aussenlager","teilweise")))))</f>
        <v>Lift</v>
      </c>
      <c r="BM415" s="48" t="str">
        <f aca="false">IF(A415="","",IF(BV415=1,"Neu; ","")&amp;IF(AND(BV415=0,BQ415&lt;0),"negativer Bestand (Export "&amp;BQ415&amp;"); ","")&amp;IF(J415&lt;=0,"Kein Verbrauch; ","")&amp;IF(CQ415&gt;0,"Lift "&amp;W415&amp;" lt. Liftbericht (Fach "&amp;X415&amp;" Stk); ",IF(CA415=1,"Gebinde geschätzt ("&amp;T415&amp;"); ",IF(BZ415=1,"Lose – Tablare geschätzt; ","")))&amp;IF(H415&gt;AV415,"Überbestand "&amp;ROUND(H415-AV415,0)&amp;" Stk / CHF "&amp;ROUND((H415-AV415)*G415,0)&amp;"; ","")&amp;IF(AND(CH415=1,CI415&lt;CJ415),"MAX &lt; MB+LG; ","")&amp;IF(AND(CP415&gt;0,CO415*10&gt;CP415),"zu hoch für Tablar; ","")&amp;IF(AND(BV415=0,OR(CH415=1,AA415&lt;&gt;"",U415&lt;&gt;"",V415&lt;&gt;"",AB415&lt;&gt;"")),"manuell übersteuert; ","")&amp;IF(AND(BZ415=0,R415=0),"Gebinde unbekannt / Stellmass fehlt; ","")&amp;IF(AND(BZ415=0,N(V415)&lt;=0,N(Q415)&lt;=0),"Menge pro Gebinde fehlt (Ist = 1 Gebinde); ","")&amp;BU415)</f>
        <v/>
      </c>
      <c r="BN415" s="48"/>
      <c r="BO415" s="48"/>
      <c r="BP415" s="55"/>
      <c r="BQ415" s="50" t="n">
        <v>771</v>
      </c>
      <c r="BR415" s="50" t="n">
        <v>427</v>
      </c>
      <c r="BS415" s="49" t="n">
        <v>96.7300000000001</v>
      </c>
      <c r="BT415" s="50" t="n">
        <v>2222</v>
      </c>
      <c r="BU415" s="48"/>
      <c r="BV415" s="53" t="n">
        <v>0</v>
      </c>
      <c r="BW415" s="53" t="n">
        <v>415</v>
      </c>
      <c r="BX415" s="48" t="str">
        <f aca="false">IF(U415&lt;&gt;"",UPPER(TRIM(U415)),IF(CA415=1,UPPER(VLOOKUP(T415,Parameter!$I$27:$K$29,2,0)),IF(P415="","LOSE",P415)))</f>
        <v>S33</v>
      </c>
      <c r="BY415" s="50" t="n">
        <f aca="false">IF(BX415="LOSE",1,IF(N(V415)&gt;0,V415,IF(CA415=1,MAX(1,N(VLOOKUP(T415,Parameter!$I$27:$K$29,3,0)),H415,N(N415)),IF(N(Q415)&gt;0,Q415,MAX(1,H415)))))</f>
        <v>432</v>
      </c>
      <c r="BZ415" s="53" t="n">
        <f aca="false">IF(BX415="LOSE",1,0)</f>
        <v>0</v>
      </c>
      <c r="CA415" s="53" t="n">
        <f aca="false">IF(AND(U415="",OR(P415="",P415="LOSE"),T415&lt;&gt;"",N(S415)&lt;=0,ISNUMBER(MATCH(T415,Parameter!$I$27:$I$29,0))),1,0)</f>
        <v>0</v>
      </c>
      <c r="CB415" s="53" t="n">
        <f aca="false">IF(CQ415&gt;0,INDEX(Parameter!$H$5:$H$7,W415)/INDEX(Parameter!$E$5:$E$7,W415),IF(AND(BZ415=0,N(IFERROR(VLOOKUP(BX415,'Gebinde-Kategorie'!$A$5:$N$45,14,0),0))&gt;0),VLOOKUP(BX415,'Gebinde-Kategorie'!$A$5:$N$45,14,0)*10+Parameter!$M$23,Parameter!$M$24))</f>
        <v>155</v>
      </c>
      <c r="CC415" s="48" t="str">
        <f aca="false">IF(AND(Parameter!$B$19="Ja",E415&lt;&gt;"",ISNUMBER(MATCH(E415,Parameter!$I$35:$I$52,0))),VLOOKUP(E415,Parameter!$I$35:$J$52,2,0),IFERROR(VLOOKUP(D415,Parameter!$A$35:$C$64,2,0),"Nein"))</f>
        <v>2+3</v>
      </c>
      <c r="CD415" s="52" t="n">
        <f aca="false">IF(BZ415=0,0,IF(N(S415)&gt;0,S415,IFERROR(VLOOKUP(D415,Parameter!$A$35:$C$64,3,0)+0,0)))</f>
        <v>0</v>
      </c>
      <c r="CE415" s="48" t="n">
        <f aca="false">IF(AA415&lt;&gt;"",AA415,Z415)</f>
        <v>3</v>
      </c>
      <c r="CF415" s="48" t="str">
        <f aca="false">IF(OR(CE415=1,CE415=2,CE415=3),IF(Parameter!$E$27="Ja","LIFT",IF(CE415=1,"L1","L23")),IF(CE415="Aussen","Aussen","-"))</f>
        <v>LIFT</v>
      </c>
      <c r="CG415" s="59" t="n">
        <f aca="false">IF(N(AB415)&gt;0,AB415,0)</f>
        <v>0</v>
      </c>
      <c r="CH415" s="53" t="n">
        <f aca="false">IF(ISNUMBER(AE415),1,0)</f>
        <v>0</v>
      </c>
      <c r="CI415" s="50" t="n">
        <f aca="false">N(AE415)</f>
        <v>0</v>
      </c>
      <c r="CJ415" s="50" t="n">
        <f aca="false">N(M415)+N(N415)</f>
        <v>2086</v>
      </c>
      <c r="CK415" s="50" t="n">
        <f aca="false">N(M415)</f>
        <v>86</v>
      </c>
      <c r="CL415" s="50" t="n">
        <f aca="false">N(N415)</f>
        <v>2000</v>
      </c>
      <c r="CM415" s="50" t="n">
        <f aca="false">ROUNDUP(H415/BY415,0)</f>
        <v>3</v>
      </c>
      <c r="CN415" s="50" t="n">
        <f aca="false">ROUNDUP(CI415/BY415,0)</f>
        <v>0</v>
      </c>
      <c r="CO415" s="53" t="n">
        <f aca="false">IF(BZ415=1,0,IFERROR(VLOOKUP(BX415,'Gebinde-Kategorie'!$A$5:$N$45,5,0)+0,0))</f>
        <v>8</v>
      </c>
      <c r="CP415" s="53" t="n">
        <f aca="false">IFERROR(IF(OR(CE415=1,CE415=2,CE415=3),N(INDEX(Parameter!$I$5:$I$7,CE415)),0),0)</f>
        <v>0</v>
      </c>
      <c r="CQ415" s="52" t="n">
        <f aca="false">IF(AND(Parameter!$B$21="Ja",ISNUMBER(W415),N(X415)&gt;0),IFERROR(N(INDEX(Parameter!$L$5:$L$7,W415))*INDEX(Parameter!$E$5:$E$7,W415)*X415/SUMIFS($X$7:$X$1843,$W$7:$W$1843,W415),0),0)</f>
        <v>0</v>
      </c>
    </row>
    <row r="416" customFormat="false" ht="15" hidden="false" customHeight="false" outlineLevel="0" collapsed="false">
      <c r="A416" s="48" t="s">
        <v>971</v>
      </c>
      <c r="B416" s="48" t="s">
        <v>972</v>
      </c>
      <c r="C416" s="48" t="s">
        <v>173</v>
      </c>
      <c r="D416" s="48" t="s">
        <v>193</v>
      </c>
      <c r="E416" s="48" t="s">
        <v>194</v>
      </c>
      <c r="F416" s="48" t="s">
        <v>227</v>
      </c>
      <c r="G416" s="49" t="n">
        <v>0.56</v>
      </c>
      <c r="H416" s="50" t="n">
        <f aca="false">MAX(0,IF(AND(Parameter!$B$21="Ja",ISNUMBER(Y416)),Y416,IF(Parameter!$B$20="Jahresanfang 2025 + Export",BR416+BQ416,BQ416)))</f>
        <v>523</v>
      </c>
      <c r="I416" s="50" t="n">
        <f aca="false">H416*G416</f>
        <v>292.88</v>
      </c>
      <c r="J416" s="50" t="n">
        <f aca="false">BT416*Parameter!$B$18</f>
        <v>383</v>
      </c>
      <c r="K416" s="51" t="n">
        <v>255</v>
      </c>
      <c r="L416" s="52" t="n">
        <v>1.50196078431373</v>
      </c>
      <c r="M416" s="50" t="n">
        <v>22</v>
      </c>
      <c r="N416" s="50" t="n">
        <v>500</v>
      </c>
      <c r="O416" s="53" t="n">
        <v>21</v>
      </c>
      <c r="P416" s="48" t="s">
        <v>337</v>
      </c>
      <c r="Q416" s="50" t="n">
        <v>402</v>
      </c>
      <c r="R416" s="53" t="n">
        <f aca="false">IF(BZ416=1,0,IFERROR(VLOOKUP(BX416,'Gebinde-Kategorie'!$A$5:$N$45,13,0)+0,0))</f>
        <v>52</v>
      </c>
      <c r="S416" s="54"/>
      <c r="T416" s="55"/>
      <c r="U416" s="55"/>
      <c r="V416" s="55"/>
      <c r="W416" s="48"/>
      <c r="X416" s="50"/>
      <c r="Y416" s="50"/>
      <c r="Z416" s="48" t="n">
        <f aca="false">IF(A416="","",IF(AND(Parameter!$B$21="Ja",ISNUMBER(W416)),W416,IF(CC416="2+3",IF(ISNUMBER(SEARCH("grosser Artikel",BU416)),2,IFERROR(VLOOKUP(BX416,Parameter!$F$35:$G$64,2,0),2)),IF(OR(CC416="Nein",CC416=""),"-",CC416))))</f>
        <v>3</v>
      </c>
      <c r="AA416" s="55"/>
      <c r="AB416" s="56"/>
      <c r="AC416" s="50" t="n">
        <f aca="false">AV416</f>
        <v>522</v>
      </c>
      <c r="AD416" s="50" t="n">
        <f aca="false">MAX(AV416,H416)</f>
        <v>523</v>
      </c>
      <c r="AE416" s="57"/>
      <c r="AF416" s="50" t="n">
        <f aca="false">IF(LEFT(Cockpit!$C$5,1)="A",H416,IF(Parameter!$E$30="MAX-Bestand",IF(CH416=1,CI416,IF(LEFT(Cockpit!$C$5,1)="B",AL416,MAX(AL416,H416))),ROUNDUP(AJ416,0)))</f>
        <v>523</v>
      </c>
      <c r="AG416" s="50" t="n">
        <f aca="false">IF(BZ416=1,0,ROUNDUP(AF416/BY416,0))</f>
        <v>2</v>
      </c>
      <c r="AH416" s="52" t="n">
        <f aca="false">IF(CQ416&gt;0,CQ416*MAX(1,AF416/X416),IF(BZ416=1,IF(AF416&lt;=0,0,CD416*MAX(1,IF(H416&gt;0,AF416/H416,1))),IF(R416&gt;0,AG416/R416,0))/MAX(0.1,N(Parameter!$M$21)))</f>
        <v>0.0384615384615385</v>
      </c>
      <c r="AI416" s="50" t="n">
        <f aca="false">AH416*CB416</f>
        <v>5.96153846153846</v>
      </c>
      <c r="AJ416" s="51" t="n">
        <f aca="false">IF(LEFT(Cockpit!$C$5,1)="A",H416,IF(CH416=1,(CK416+CI416)/2,IF(LEFT(Cockpit!$C$5,1)="B",(CK416+AL416)/2,MAX((CK416+AL416)/2,H416))))</f>
        <v>523</v>
      </c>
      <c r="AK416" s="50" t="n">
        <f aca="false">AJ416*G416</f>
        <v>292.88</v>
      </c>
      <c r="AL416" s="50" t="n">
        <f aca="false">ROUNDUP(CK416+MAX(CL416,2*(J416/IF(CG416&gt;0,CG416,MAX(0.1,N(Cockpit!$C$6)))-CK416)),0)</f>
        <v>522</v>
      </c>
      <c r="AM416" s="51" t="n">
        <f aca="false">IF(AI416&gt;0,J416/AI416,-1)</f>
        <v>64.2451612903226</v>
      </c>
      <c r="AN416" s="51" t="n">
        <f aca="false">IF(AND(OR(CF416="L1",CF416="L23",CF416="LIFT"),AI416&gt;0),SUMIFS($AI$7:$AI$1843,$CF$7:$CF$1843,CF416,$AM$7:$AM$1843,"&gt;"&amp;AM416)+SUMIFS($AI$7:$AI$1843,$CF$7:$CF$1843,CF416,$AM$7:$AM$1843,AM416,$BW$7:$BW$1843,"&lt;="&amp;BW416),"")</f>
        <v>952.160714285714</v>
      </c>
      <c r="AO416" s="58" t="n">
        <f aca="false">IF(AN416="",0,MAX(0,MIN(1,(IF(CF416="L1",Parameter!$H$5,IF(CF416="L23",Parameter!$H$6+Parameter!$H$7,Parameter!$H$5+Parameter!$H$6+Parameter!$H$7))-(AN416-AI416))/AI416)))</f>
        <v>1</v>
      </c>
      <c r="AP416" s="50" t="n">
        <f aca="false">IF(LEFT(Cockpit!$I$5,1)="A",H416,IF(Parameter!$E$30="MAX-Bestand",IF(CH416=1,CI416,IF(LEFT(Cockpit!$I$5,1)="B",AV416,MAX(AV416,H416))),ROUNDUP(AT416,0)))</f>
        <v>523</v>
      </c>
      <c r="AQ416" s="50" t="n">
        <f aca="false">IF(BZ416=1,0,ROUNDUP(AP416/BY416,0))</f>
        <v>2</v>
      </c>
      <c r="AR416" s="52" t="n">
        <f aca="false">IF(CQ416&gt;0,CQ416*MAX(1,AP416/X416),IF(BZ416=1,IF(AP416&lt;=0,0,CD416*MAX(1,IF(H416&gt;0,AP416/H416,1))),IF(R416&gt;0,AQ416/R416,0))/MAX(0.1,N(Parameter!$M$21)))</f>
        <v>0.0384615384615385</v>
      </c>
      <c r="AS416" s="50" t="n">
        <f aca="false">AR416*CB416</f>
        <v>5.96153846153846</v>
      </c>
      <c r="AT416" s="51" t="n">
        <f aca="false">IF(LEFT(Cockpit!$I$5,1)="A",H416,IF(CH416=1,(CK416+CI416)/2,IF(LEFT(Cockpit!$I$5,1)="B",(CK416+AV416)/2,MAX((CK416+AV416)/2,H416))))</f>
        <v>523</v>
      </c>
      <c r="AU416" s="50" t="n">
        <f aca="false">AT416*G416</f>
        <v>292.88</v>
      </c>
      <c r="AV416" s="50" t="n">
        <f aca="false">ROUNDUP(CK416+MAX(CL416,2*(J416/IF(CG416&gt;0,CG416,MAX(0.1,N(Cockpit!$I$6)))-CK416)),0)</f>
        <v>522</v>
      </c>
      <c r="AW416" s="51" t="n">
        <f aca="false">IF(AS416&gt;0,J416/AS416,-1)</f>
        <v>64.2451612903226</v>
      </c>
      <c r="AX416" s="51" t="n">
        <f aca="false">IF(AND(OR(CF416="L1",CF416="L23",CF416="LIFT"),AS416&gt;0),SUMIFS($AS$7:$AS$1843,$CF$7:$CF$1843,CF416,$AW$7:$AW$1843,"&gt;"&amp;AW416)+SUMIFS($AS$7:$AS$1843,$CF$7:$CF$1843,CF416,$AW$7:$AW$1843,AW416,$BW$7:$BW$1843,"&lt;="&amp;BW416),"")</f>
        <v>1163.96565934066</v>
      </c>
      <c r="AY416" s="58" t="n">
        <f aca="false">IF(AX416="",0,MAX(0,MIN(1,(IF(CF416="L1",Parameter!$H$5,IF(CF416="L23",Parameter!$H$6+Parameter!$H$7,Parameter!$H$5+Parameter!$H$6+Parameter!$H$7))-(AX416-AS416))/AS416)))</f>
        <v>1</v>
      </c>
      <c r="AZ416" s="50" t="n">
        <f aca="false">IF(LEFT(Cockpit!$O$5,1)="A",H416,IF(Parameter!$E$30="MAX-Bestand",IF(CH416=1,CI416,IF(LEFT(Cockpit!$O$5,1)="B",BF416,MAX(BF416,H416))),ROUNDUP(BD416,0)))</f>
        <v>272</v>
      </c>
      <c r="BA416" s="50" t="n">
        <f aca="false">IF(BZ416=1,0,ROUNDUP(AZ416/BY416,0))</f>
        <v>1</v>
      </c>
      <c r="BB416" s="52" t="n">
        <f aca="false">IF(CQ416&gt;0,CQ416*MAX(1,AZ416/X416),IF(BZ416=1,IF(AZ416&lt;=0,0,CD416*MAX(1,IF(H416&gt;0,AZ416/H416,1))),IF(R416&gt;0,BA416/R416,0))/MAX(0.1,N(Parameter!$M$21)))</f>
        <v>0.0192307692307692</v>
      </c>
      <c r="BC416" s="50" t="n">
        <f aca="false">BB416*CB416</f>
        <v>2.98076923076923</v>
      </c>
      <c r="BD416" s="51" t="n">
        <f aca="false">IF(LEFT(Cockpit!$O$5,1)="A",H416,IF(CH416=1,(CK416+CI416)/2,IF(LEFT(Cockpit!$O$5,1)="B",(CK416+BF416)/2,MAX((CK416+BF416)/2,H416))))</f>
        <v>272</v>
      </c>
      <c r="BE416" s="50" t="n">
        <f aca="false">BD416*G416</f>
        <v>152.32</v>
      </c>
      <c r="BF416" s="50" t="n">
        <f aca="false">ROUNDUP(CK416+MAX(CL416,2*(J416/IF(CG416&gt;0,CG416,MAX(0.1,N(Cockpit!$O$6)))-CK416)),0)</f>
        <v>522</v>
      </c>
      <c r="BG416" s="51" t="n">
        <f aca="false">IF(BC416&gt;0,J416/BC416,-1)</f>
        <v>128.490322580645</v>
      </c>
      <c r="BH416" s="51" t="n">
        <f aca="false">IF(AND(OR(CF416="L1",CF416="L23",CF416="LIFT"),BC416&gt;0),SUMIFS($BC$7:$BC$1843,$CF$7:$CF$1843,CF416,$BG$7:$BG$1843,"&gt;"&amp;BG416)+SUMIFS($BC$7:$BC$1843,$CF$7:$CF$1843,CF416,$BG$7:$BG$1843,BG416,$BW$7:$BW$1843,"&lt;="&amp;BW416),"")</f>
        <v>769.633241758242</v>
      </c>
      <c r="BI416" s="58" t="n">
        <f aca="false">IF(BH416="",0,MAX(0,MIN(1,(IF(CF416="L1",Parameter!$H$5,IF(CF416="L23",Parameter!$H$6+Parameter!$H$7,Parameter!$H$5+Parameter!$H$6+Parameter!$H$7))-(BH416-BC416))/BC416)))</f>
        <v>1</v>
      </c>
      <c r="BJ416" s="48" t="str">
        <f aca="false">IF(AI416&lt;=0,"",IF(CF416="Aussen","Aussenlager",IF(CF416="-","Nicht im Lift",IF(AO416&gt;=1,"Lift",IF(AO416&lt;=0,"Aussenlager","teilweise")))))</f>
        <v>Lift</v>
      </c>
      <c r="BK416" s="48" t="str">
        <f aca="false">IF(AS416&lt;=0,"",IF(CF416="Aussen","Aussenlager",IF(CF416="-","Nicht im Lift",IF(AY416&gt;=1,"Lift",IF(AY416&lt;=0,"Aussenlager","teilweise")))))</f>
        <v>Lift</v>
      </c>
      <c r="BL416" s="48" t="str">
        <f aca="false">IF(BC416&lt;=0,"",IF(CF416="Aussen","Aussenlager",IF(CF416="-","Nicht im Lift",IF(BI416&gt;=1,"Lift",IF(BI416&lt;=0,"Aussenlager","teilweise")))))</f>
        <v>Lift</v>
      </c>
      <c r="BM416" s="48" t="str">
        <f aca="false">IF(A416="","",IF(BV416=1,"Neu; ","")&amp;IF(AND(BV416=0,BQ416&lt;0),"negativer Bestand (Export "&amp;BQ416&amp;"); ","")&amp;IF(J416&lt;=0,"Kein Verbrauch; ","")&amp;IF(CQ416&gt;0,"Lift "&amp;W416&amp;" lt. Liftbericht (Fach "&amp;X416&amp;" Stk); ",IF(CA416=1,"Gebinde geschätzt ("&amp;T416&amp;"); ",IF(BZ416=1,"Lose – Tablare geschätzt; ","")))&amp;IF(H416&gt;AV416,"Überbestand "&amp;ROUND(H416-AV416,0)&amp;" Stk / CHF "&amp;ROUND((H416-AV416)*G416,0)&amp;"; ","")&amp;IF(AND(CH416=1,CI416&lt;CJ416),"MAX &lt; MB+LG; ","")&amp;IF(AND(CP416&gt;0,CO416*10&gt;CP416),"zu hoch für Tablar; ","")&amp;IF(AND(BV416=0,OR(CH416=1,AA416&lt;&gt;"",U416&lt;&gt;"",V416&lt;&gt;"",AB416&lt;&gt;"")),"manuell übersteuert; ","")&amp;IF(AND(BZ416=0,R416=0),"Gebinde unbekannt / Stellmass fehlt; ","")&amp;IF(AND(BZ416=0,N(V416)&lt;=0,N(Q416)&lt;=0),"Menge pro Gebinde fehlt (Ist = 1 Gebinde); ","")&amp;BU416)</f>
        <v>Überbestand 1 Stk / CHF 1; </v>
      </c>
      <c r="BN416" s="48"/>
      <c r="BO416" s="48"/>
      <c r="BP416" s="55"/>
      <c r="BQ416" s="50" t="n">
        <v>234</v>
      </c>
      <c r="BR416" s="50" t="n">
        <v>289</v>
      </c>
      <c r="BS416" s="49" t="n">
        <v>95.7399999999999</v>
      </c>
      <c r="BT416" s="50" t="n">
        <v>383</v>
      </c>
      <c r="BU416" s="48"/>
      <c r="BV416" s="53" t="n">
        <v>0</v>
      </c>
      <c r="BW416" s="53" t="n">
        <v>416</v>
      </c>
      <c r="BX416" s="48" t="str">
        <f aca="false">IF(U416&lt;&gt;"",UPPER(TRIM(U416)),IF(CA416=1,UPPER(VLOOKUP(T416,Parameter!$I$27:$K$29,2,0)),IF(P416="","LOSE",P416)))</f>
        <v>S41</v>
      </c>
      <c r="BY416" s="50" t="n">
        <f aca="false">IF(BX416="LOSE",1,IF(N(V416)&gt;0,V416,IF(CA416=1,MAX(1,N(VLOOKUP(T416,Parameter!$I$27:$K$29,3,0)),H416,N(N416)),IF(N(Q416)&gt;0,Q416,MAX(1,H416)))))</f>
        <v>402</v>
      </c>
      <c r="BZ416" s="53" t="n">
        <f aca="false">IF(BX416="LOSE",1,0)</f>
        <v>0</v>
      </c>
      <c r="CA416" s="53" t="n">
        <f aca="false">IF(AND(U416="",OR(P416="",P416="LOSE"),T416&lt;&gt;"",N(S416)&lt;=0,ISNUMBER(MATCH(T416,Parameter!$I$27:$I$29,0))),1,0)</f>
        <v>0</v>
      </c>
      <c r="CB416" s="53" t="n">
        <f aca="false">IF(CQ416&gt;0,INDEX(Parameter!$H$5:$H$7,W416)/INDEX(Parameter!$E$5:$E$7,W416),IF(AND(BZ416=0,N(IFERROR(VLOOKUP(BX416,'Gebinde-Kategorie'!$A$5:$N$45,14,0),0))&gt;0),VLOOKUP(BX416,'Gebinde-Kategorie'!$A$5:$N$45,14,0)*10+Parameter!$M$23,Parameter!$M$24))</f>
        <v>155</v>
      </c>
      <c r="CC416" s="48" t="str">
        <f aca="false">IF(AND(Parameter!$B$19="Ja",E416&lt;&gt;"",ISNUMBER(MATCH(E416,Parameter!$I$35:$I$52,0))),VLOOKUP(E416,Parameter!$I$35:$J$52,2,0),IFERROR(VLOOKUP(D416,Parameter!$A$35:$C$64,2,0),"Nein"))</f>
        <v>2+3</v>
      </c>
      <c r="CD416" s="52" t="n">
        <f aca="false">IF(BZ416=0,0,IF(N(S416)&gt;0,S416,IFERROR(VLOOKUP(D416,Parameter!$A$35:$C$64,3,0)+0,0)))</f>
        <v>0</v>
      </c>
      <c r="CE416" s="48" t="n">
        <f aca="false">IF(AA416&lt;&gt;"",AA416,Z416)</f>
        <v>3</v>
      </c>
      <c r="CF416" s="48" t="str">
        <f aca="false">IF(OR(CE416=1,CE416=2,CE416=3),IF(Parameter!$E$27="Ja","LIFT",IF(CE416=1,"L1","L23")),IF(CE416="Aussen","Aussen","-"))</f>
        <v>LIFT</v>
      </c>
      <c r="CG416" s="59" t="n">
        <f aca="false">IF(N(AB416)&gt;0,AB416,0)</f>
        <v>0</v>
      </c>
      <c r="CH416" s="53" t="n">
        <f aca="false">IF(ISNUMBER(AE416),1,0)</f>
        <v>0</v>
      </c>
      <c r="CI416" s="50" t="n">
        <f aca="false">N(AE416)</f>
        <v>0</v>
      </c>
      <c r="CJ416" s="50" t="n">
        <f aca="false">N(M416)+N(N416)</f>
        <v>522</v>
      </c>
      <c r="CK416" s="50" t="n">
        <f aca="false">N(M416)</f>
        <v>22</v>
      </c>
      <c r="CL416" s="50" t="n">
        <f aca="false">N(N416)</f>
        <v>500</v>
      </c>
      <c r="CM416" s="50" t="n">
        <f aca="false">ROUNDUP(H416/BY416,0)</f>
        <v>2</v>
      </c>
      <c r="CN416" s="50" t="n">
        <f aca="false">ROUNDUP(CI416/BY416,0)</f>
        <v>0</v>
      </c>
      <c r="CO416" s="53" t="n">
        <f aca="false">IF(BZ416=1,0,IFERROR(VLOOKUP(BX416,'Gebinde-Kategorie'!$A$5:$N$45,5,0)+0,0))</f>
        <v>11</v>
      </c>
      <c r="CP416" s="53" t="n">
        <f aca="false">IFERROR(IF(OR(CE416=1,CE416=2,CE416=3),N(INDEX(Parameter!$I$5:$I$7,CE416)),0),0)</f>
        <v>0</v>
      </c>
      <c r="CQ416" s="52" t="n">
        <f aca="false">IF(AND(Parameter!$B$21="Ja",ISNUMBER(W416),N(X416)&gt;0),IFERROR(N(INDEX(Parameter!$L$5:$L$7,W416))*INDEX(Parameter!$E$5:$E$7,W416)*X416/SUMIFS($X$7:$X$1843,$W$7:$W$1843,W416),0),0)</f>
        <v>0</v>
      </c>
    </row>
    <row r="417" customFormat="false" ht="15" hidden="false" customHeight="false" outlineLevel="0" collapsed="false">
      <c r="A417" s="48" t="s">
        <v>973</v>
      </c>
      <c r="B417" s="48" t="s">
        <v>974</v>
      </c>
      <c r="C417" s="48" t="s">
        <v>173</v>
      </c>
      <c r="D417" s="48" t="s">
        <v>193</v>
      </c>
      <c r="E417" s="48" t="s">
        <v>194</v>
      </c>
      <c r="F417" s="48" t="s">
        <v>227</v>
      </c>
      <c r="G417" s="49" t="n">
        <v>19.36</v>
      </c>
      <c r="H417" s="50" t="n">
        <f aca="false">MAX(0,IF(AND(Parameter!$B$21="Ja",ISNUMBER(Y417)),Y417,IF(Parameter!$B$20="Jahresanfang 2025 + Export",BR417+BQ417,BQ417)))</f>
        <v>13</v>
      </c>
      <c r="I417" s="50" t="n">
        <f aca="false">H417*G417</f>
        <v>251.68</v>
      </c>
      <c r="J417" s="50" t="n">
        <f aca="false">BT417*Parameter!$B$18</f>
        <v>20</v>
      </c>
      <c r="K417" s="51" t="n">
        <v>11.5</v>
      </c>
      <c r="L417" s="52" t="n">
        <v>1.73913043478261</v>
      </c>
      <c r="M417" s="50" t="n">
        <v>1</v>
      </c>
      <c r="N417" s="50" t="n">
        <v>20</v>
      </c>
      <c r="O417" s="53" t="n">
        <v>28</v>
      </c>
      <c r="P417" s="48" t="s">
        <v>311</v>
      </c>
      <c r="Q417" s="50" t="n">
        <v>15</v>
      </c>
      <c r="R417" s="53" t="n">
        <f aca="false">IF(BZ417=1,0,IFERROR(VLOOKUP(BX417,'Gebinde-Kategorie'!$A$5:$N$45,13,0)+0,0))</f>
        <v>26</v>
      </c>
      <c r="S417" s="54"/>
      <c r="T417" s="55"/>
      <c r="U417" s="55"/>
      <c r="V417" s="55"/>
      <c r="W417" s="48"/>
      <c r="X417" s="50"/>
      <c r="Y417" s="50"/>
      <c r="Z417" s="48" t="n">
        <f aca="false">IF(A417="","",IF(AND(Parameter!$B$21="Ja",ISNUMBER(W417)),W417,IF(CC417="2+3",IF(ISNUMBER(SEARCH("grosser Artikel",BU417)),2,IFERROR(VLOOKUP(BX417,Parameter!$F$35:$G$64,2,0),2)),IF(OR(CC417="Nein",CC417=""),"-",CC417))))</f>
        <v>3</v>
      </c>
      <c r="AA417" s="55"/>
      <c r="AB417" s="56"/>
      <c r="AC417" s="50" t="n">
        <f aca="false">AV417</f>
        <v>21</v>
      </c>
      <c r="AD417" s="50" t="n">
        <f aca="false">MAX(AV417,H417)</f>
        <v>21</v>
      </c>
      <c r="AE417" s="57"/>
      <c r="AF417" s="50" t="n">
        <f aca="false">IF(LEFT(Cockpit!$C$5,1)="A",H417,IF(Parameter!$E$30="MAX-Bestand",IF(CH417=1,CI417,IF(LEFT(Cockpit!$C$5,1)="B",AL417,MAX(AL417,H417))),ROUNDUP(AJ417,0)))</f>
        <v>13</v>
      </c>
      <c r="AG417" s="50" t="n">
        <f aca="false">IF(BZ417=1,0,ROUNDUP(AF417/BY417,0))</f>
        <v>1</v>
      </c>
      <c r="AH417" s="52" t="n">
        <f aca="false">IF(CQ417&gt;0,CQ417*MAX(1,AF417/X417),IF(BZ417=1,IF(AF417&lt;=0,0,CD417*MAX(1,IF(H417&gt;0,AF417/H417,1))),IF(R417&gt;0,AG417/R417,0))/MAX(0.1,N(Parameter!$M$21)))</f>
        <v>0.0384615384615385</v>
      </c>
      <c r="AI417" s="50" t="n">
        <f aca="false">AH417*CB417</f>
        <v>5.96153846153846</v>
      </c>
      <c r="AJ417" s="51" t="n">
        <f aca="false">IF(LEFT(Cockpit!$C$5,1)="A",H417,IF(CH417=1,(CK417+CI417)/2,IF(LEFT(Cockpit!$C$5,1)="B",(CK417+AL417)/2,MAX((CK417+AL417)/2,H417))))</f>
        <v>13</v>
      </c>
      <c r="AK417" s="50" t="n">
        <f aca="false">AJ417*G417</f>
        <v>251.68</v>
      </c>
      <c r="AL417" s="50" t="n">
        <f aca="false">ROUNDUP(CK417+MAX(CL417,2*(J417/IF(CG417&gt;0,CG417,MAX(0.1,N(Cockpit!$C$6)))-CK417)),0)</f>
        <v>21</v>
      </c>
      <c r="AM417" s="51" t="n">
        <f aca="false">IF(AI417&gt;0,J417/AI417,-1)</f>
        <v>3.35483870967742</v>
      </c>
      <c r="AN417" s="51" t="n">
        <f aca="false">IF(AND(OR(CF417="L1",CF417="L23",CF417="LIFT"),AI417&gt;0),SUMIFS($AI$7:$AI$1843,$CF$7:$CF$1843,CF417,$AM$7:$AM$1843,"&gt;"&amp;AM417)+SUMIFS($AI$7:$AI$1843,$CF$7:$CF$1843,CF417,$AM$7:$AM$1843,AM417,$BW$7:$BW$1843,"&lt;="&amp;BW417),"")</f>
        <v>4928.76098901099</v>
      </c>
      <c r="AO417" s="58" t="n">
        <f aca="false">IF(AN417="",0,MAX(0,MIN(1,(IF(CF417="L1",Parameter!$H$5,IF(CF417="L23",Parameter!$H$6+Parameter!$H$7,Parameter!$H$5+Parameter!$H$6+Parameter!$H$7))-(AN417-AI417))/AI417)))</f>
        <v>1</v>
      </c>
      <c r="AP417" s="50" t="n">
        <f aca="false">IF(LEFT(Cockpit!$I$5,1)="A",H417,IF(Parameter!$E$30="MAX-Bestand",IF(CH417=1,CI417,IF(LEFT(Cockpit!$I$5,1)="B",AV417,MAX(AV417,H417))),ROUNDUP(AT417,0)))</f>
        <v>13</v>
      </c>
      <c r="AQ417" s="50" t="n">
        <f aca="false">IF(BZ417=1,0,ROUNDUP(AP417/BY417,0))</f>
        <v>1</v>
      </c>
      <c r="AR417" s="52" t="n">
        <f aca="false">IF(CQ417&gt;0,CQ417*MAX(1,AP417/X417),IF(BZ417=1,IF(AP417&lt;=0,0,CD417*MAX(1,IF(H417&gt;0,AP417/H417,1))),IF(R417&gt;0,AQ417/R417,0))/MAX(0.1,N(Parameter!$M$21)))</f>
        <v>0.0384615384615385</v>
      </c>
      <c r="AS417" s="50" t="n">
        <f aca="false">AR417*CB417</f>
        <v>5.96153846153846</v>
      </c>
      <c r="AT417" s="51" t="n">
        <f aca="false">IF(LEFT(Cockpit!$I$5,1)="A",H417,IF(CH417=1,(CK417+CI417)/2,IF(LEFT(Cockpit!$I$5,1)="B",(CK417+AV417)/2,MAX((CK417+AV417)/2,H417))))</f>
        <v>13</v>
      </c>
      <c r="AU417" s="50" t="n">
        <f aca="false">AT417*G417</f>
        <v>251.68</v>
      </c>
      <c r="AV417" s="50" t="n">
        <f aca="false">ROUNDUP(CK417+MAX(CL417,2*(J417/IF(CG417&gt;0,CG417,MAX(0.1,N(Cockpit!$I$6)))-CK417)),0)</f>
        <v>21</v>
      </c>
      <c r="AW417" s="51" t="n">
        <f aca="false">IF(AS417&gt;0,J417/AS417,-1)</f>
        <v>3.35483870967742</v>
      </c>
      <c r="AX417" s="51" t="n">
        <f aca="false">IF(AND(OR(CF417="L1",CF417="L23",CF417="LIFT"),AS417&gt;0),SUMIFS($AS$7:$AS$1843,$CF$7:$CF$1843,CF417,$AW$7:$AW$1843,"&gt;"&amp;AW417)+SUMIFS($AS$7:$AS$1843,$CF$7:$CF$1843,CF417,$AW$7:$AW$1843,AW417,$BW$7:$BW$1843,"&lt;="&amp;BW417),"")</f>
        <v>5592.59798534799</v>
      </c>
      <c r="AY417" s="58" t="n">
        <f aca="false">IF(AX417="",0,MAX(0,MIN(1,(IF(CF417="L1",Parameter!$H$5,IF(CF417="L23",Parameter!$H$6+Parameter!$H$7,Parameter!$H$5+Parameter!$H$6+Parameter!$H$7))-(AX417-AS417))/AS417)))</f>
        <v>1</v>
      </c>
      <c r="AZ417" s="50" t="n">
        <f aca="false">IF(LEFT(Cockpit!$O$5,1)="A",H417,IF(Parameter!$E$30="MAX-Bestand",IF(CH417=1,CI417,IF(LEFT(Cockpit!$O$5,1)="B",BF417,MAX(BF417,H417))),ROUNDUP(BD417,0)))</f>
        <v>11</v>
      </c>
      <c r="BA417" s="50" t="n">
        <f aca="false">IF(BZ417=1,0,ROUNDUP(AZ417/BY417,0))</f>
        <v>1</v>
      </c>
      <c r="BB417" s="52" t="n">
        <f aca="false">IF(CQ417&gt;0,CQ417*MAX(1,AZ417/X417),IF(BZ417=1,IF(AZ417&lt;=0,0,CD417*MAX(1,IF(H417&gt;0,AZ417/H417,1))),IF(R417&gt;0,BA417/R417,0))/MAX(0.1,N(Parameter!$M$21)))</f>
        <v>0.0384615384615385</v>
      </c>
      <c r="BC417" s="50" t="n">
        <f aca="false">BB417*CB417</f>
        <v>5.96153846153846</v>
      </c>
      <c r="BD417" s="51" t="n">
        <f aca="false">IF(LEFT(Cockpit!$O$5,1)="A",H417,IF(CH417=1,(CK417+CI417)/2,IF(LEFT(Cockpit!$O$5,1)="B",(CK417+BF417)/2,MAX((CK417+BF417)/2,H417))))</f>
        <v>11</v>
      </c>
      <c r="BE417" s="50" t="n">
        <f aca="false">BD417*G417</f>
        <v>212.96</v>
      </c>
      <c r="BF417" s="50" t="n">
        <f aca="false">ROUNDUP(CK417+MAX(CL417,2*(J417/IF(CG417&gt;0,CG417,MAX(0.1,N(Cockpit!$O$6)))-CK417)),0)</f>
        <v>21</v>
      </c>
      <c r="BG417" s="51" t="n">
        <f aca="false">IF(BC417&gt;0,J417/BC417,-1)</f>
        <v>3.35483870967742</v>
      </c>
      <c r="BH417" s="51" t="n">
        <f aca="false">IF(AND(OR(CF417="L1",CF417="L23",CF417="LIFT"),BC417&gt;0),SUMIFS($BC$7:$BC$1843,$CF$7:$CF$1843,CF417,$BG$7:$BG$1843,"&gt;"&amp;BG417)+SUMIFS($BC$7:$BC$1843,$CF$7:$CF$1843,CF417,$BG$7:$BG$1843,BG417,$BW$7:$BW$1843,"&lt;="&amp;BW417),"")</f>
        <v>4578.77747252747</v>
      </c>
      <c r="BI417" s="58" t="n">
        <f aca="false">IF(BH417="",0,MAX(0,MIN(1,(IF(CF417="L1",Parameter!$H$5,IF(CF417="L23",Parameter!$H$6+Parameter!$H$7,Parameter!$H$5+Parameter!$H$6+Parameter!$H$7))-(BH417-BC417))/BC417)))</f>
        <v>1</v>
      </c>
      <c r="BJ417" s="48" t="str">
        <f aca="false">IF(AI417&lt;=0,"",IF(CF417="Aussen","Aussenlager",IF(CF417="-","Nicht im Lift",IF(AO417&gt;=1,"Lift",IF(AO417&lt;=0,"Aussenlager","teilweise")))))</f>
        <v>Lift</v>
      </c>
      <c r="BK417" s="48" t="str">
        <f aca="false">IF(AS417&lt;=0,"",IF(CF417="Aussen","Aussenlager",IF(CF417="-","Nicht im Lift",IF(AY417&gt;=1,"Lift",IF(AY417&lt;=0,"Aussenlager","teilweise")))))</f>
        <v>Lift</v>
      </c>
      <c r="BL417" s="48" t="str">
        <f aca="false">IF(BC417&lt;=0,"",IF(CF417="Aussen","Aussenlager",IF(CF417="-","Nicht im Lift",IF(BI417&gt;=1,"Lift",IF(BI417&lt;=0,"Aussenlager","teilweise")))))</f>
        <v>Lift</v>
      </c>
      <c r="BM417" s="48" t="str">
        <f aca="false">IF(A417="","",IF(BV417=1,"Neu; ","")&amp;IF(AND(BV417=0,BQ417&lt;0),"negativer Bestand (Export "&amp;BQ417&amp;"); ","")&amp;IF(J417&lt;=0,"Kein Verbrauch; ","")&amp;IF(CQ417&gt;0,"Lift "&amp;W417&amp;" lt. Liftbericht (Fach "&amp;X417&amp;" Stk); ",IF(CA417=1,"Gebinde geschätzt ("&amp;T417&amp;"); ",IF(BZ417=1,"Lose – Tablare geschätzt; ","")))&amp;IF(H417&gt;AV417,"Überbestand "&amp;ROUND(H417-AV417,0)&amp;" Stk / CHF "&amp;ROUND((H417-AV417)*G417,0)&amp;"; ","")&amp;IF(AND(CH417=1,CI417&lt;CJ417),"MAX &lt; MB+LG; ","")&amp;IF(AND(CP417&gt;0,CO417*10&gt;CP417),"zu hoch für Tablar; ","")&amp;IF(AND(BV417=0,OR(CH417=1,AA417&lt;&gt;"",U417&lt;&gt;"",V417&lt;&gt;"",AB417&lt;&gt;"")),"manuell übersteuert; ","")&amp;IF(AND(BZ417=0,R417=0),"Gebinde unbekannt / Stellmass fehlt; ","")&amp;IF(AND(BZ417=0,N(V417)&lt;=0,N(Q417)&lt;=0),"Menge pro Gebinde fehlt (Ist = 1 Gebinde); ","")&amp;BU417)</f>
        <v/>
      </c>
      <c r="BN417" s="48"/>
      <c r="BO417" s="48"/>
      <c r="BP417" s="55"/>
      <c r="BQ417" s="50" t="n">
        <v>6</v>
      </c>
      <c r="BR417" s="50" t="n">
        <v>7</v>
      </c>
      <c r="BS417" s="49" t="n">
        <v>95.2299999999999</v>
      </c>
      <c r="BT417" s="50" t="n">
        <v>20</v>
      </c>
      <c r="BU417" s="48"/>
      <c r="BV417" s="53" t="n">
        <v>0</v>
      </c>
      <c r="BW417" s="53" t="n">
        <v>417</v>
      </c>
      <c r="BX417" s="48" t="str">
        <f aca="false">IF(U417&lt;&gt;"",UPPER(TRIM(U417)),IF(CA417=1,UPPER(VLOOKUP(T417,Parameter!$I$27:$K$29,2,0)),IF(P417="","LOSE",P417)))</f>
        <v>S51</v>
      </c>
      <c r="BY417" s="50" t="n">
        <f aca="false">IF(BX417="LOSE",1,IF(N(V417)&gt;0,V417,IF(CA417=1,MAX(1,N(VLOOKUP(T417,Parameter!$I$27:$K$29,3,0)),H417,N(N417)),IF(N(Q417)&gt;0,Q417,MAX(1,H417)))))</f>
        <v>15</v>
      </c>
      <c r="BZ417" s="53" t="n">
        <f aca="false">IF(BX417="LOSE",1,0)</f>
        <v>0</v>
      </c>
      <c r="CA417" s="53" t="n">
        <f aca="false">IF(AND(U417="",OR(P417="",P417="LOSE"),T417&lt;&gt;"",N(S417)&lt;=0,ISNUMBER(MATCH(T417,Parameter!$I$27:$I$29,0))),1,0)</f>
        <v>0</v>
      </c>
      <c r="CB417" s="53" t="n">
        <f aca="false">IF(CQ417&gt;0,INDEX(Parameter!$H$5:$H$7,W417)/INDEX(Parameter!$E$5:$E$7,W417),IF(AND(BZ417=0,N(IFERROR(VLOOKUP(BX417,'Gebinde-Kategorie'!$A$5:$N$45,14,0),0))&gt;0),VLOOKUP(BX417,'Gebinde-Kategorie'!$A$5:$N$45,14,0)*10+Parameter!$M$23,Parameter!$M$24))</f>
        <v>155</v>
      </c>
      <c r="CC417" s="48" t="str">
        <f aca="false">IF(AND(Parameter!$B$19="Ja",E417&lt;&gt;"",ISNUMBER(MATCH(E417,Parameter!$I$35:$I$52,0))),VLOOKUP(E417,Parameter!$I$35:$J$52,2,0),IFERROR(VLOOKUP(D417,Parameter!$A$35:$C$64,2,0),"Nein"))</f>
        <v>2+3</v>
      </c>
      <c r="CD417" s="52" t="n">
        <f aca="false">IF(BZ417=0,0,IF(N(S417)&gt;0,S417,IFERROR(VLOOKUP(D417,Parameter!$A$35:$C$64,3,0)+0,0)))</f>
        <v>0</v>
      </c>
      <c r="CE417" s="48" t="n">
        <f aca="false">IF(AA417&lt;&gt;"",AA417,Z417)</f>
        <v>3</v>
      </c>
      <c r="CF417" s="48" t="str">
        <f aca="false">IF(OR(CE417=1,CE417=2,CE417=3),IF(Parameter!$E$27="Ja","LIFT",IF(CE417=1,"L1","L23")),IF(CE417="Aussen","Aussen","-"))</f>
        <v>LIFT</v>
      </c>
      <c r="CG417" s="59" t="n">
        <f aca="false">IF(N(AB417)&gt;0,AB417,0)</f>
        <v>0</v>
      </c>
      <c r="CH417" s="53" t="n">
        <f aca="false">IF(ISNUMBER(AE417),1,0)</f>
        <v>0</v>
      </c>
      <c r="CI417" s="50" t="n">
        <f aca="false">N(AE417)</f>
        <v>0</v>
      </c>
      <c r="CJ417" s="50" t="n">
        <f aca="false">N(M417)+N(N417)</f>
        <v>21</v>
      </c>
      <c r="CK417" s="50" t="n">
        <f aca="false">N(M417)</f>
        <v>1</v>
      </c>
      <c r="CL417" s="50" t="n">
        <f aca="false">N(N417)</f>
        <v>20</v>
      </c>
      <c r="CM417" s="50" t="n">
        <f aca="false">ROUNDUP(H417/BY417,0)</f>
        <v>1</v>
      </c>
      <c r="CN417" s="50" t="n">
        <f aca="false">ROUNDUP(CI417/BY417,0)</f>
        <v>0</v>
      </c>
      <c r="CO417" s="53" t="n">
        <f aca="false">IF(BZ417=1,0,IFERROR(VLOOKUP(BX417,'Gebinde-Kategorie'!$A$5:$N$45,5,0)+0,0))</f>
        <v>11</v>
      </c>
      <c r="CP417" s="53" t="n">
        <f aca="false">IFERROR(IF(OR(CE417=1,CE417=2,CE417=3),N(INDEX(Parameter!$I$5:$I$7,CE417)),0),0)</f>
        <v>0</v>
      </c>
      <c r="CQ417" s="52" t="n">
        <f aca="false">IF(AND(Parameter!$B$21="Ja",ISNUMBER(W417),N(X417)&gt;0),IFERROR(N(INDEX(Parameter!$L$5:$L$7,W417))*INDEX(Parameter!$E$5:$E$7,W417)*X417/SUMIFS($X$7:$X$1843,$W$7:$W$1843,W417),0),0)</f>
        <v>0</v>
      </c>
    </row>
    <row r="418" customFormat="false" ht="15" hidden="false" customHeight="false" outlineLevel="0" collapsed="false">
      <c r="A418" s="48" t="s">
        <v>975</v>
      </c>
      <c r="B418" s="48" t="s">
        <v>557</v>
      </c>
      <c r="C418" s="48" t="s">
        <v>173</v>
      </c>
      <c r="D418" s="48" t="s">
        <v>193</v>
      </c>
      <c r="E418" s="48"/>
      <c r="F418" s="48" t="s">
        <v>227</v>
      </c>
      <c r="G418" s="49" t="n">
        <v>47.27</v>
      </c>
      <c r="H418" s="50" t="n">
        <f aca="false">MAX(0,IF(AND(Parameter!$B$21="Ja",ISNUMBER(Y418)),Y418,IF(Parameter!$B$20="Jahresanfang 2025 + Export",BR418+BQ418,BQ418)))</f>
        <v>4</v>
      </c>
      <c r="I418" s="50" t="n">
        <f aca="false">H418*G418</f>
        <v>189.08</v>
      </c>
      <c r="J418" s="50" t="n">
        <f aca="false">BT418*Parameter!$B$18</f>
        <v>0</v>
      </c>
      <c r="K418" s="51" t="n">
        <v>3</v>
      </c>
      <c r="L418" s="52" t="n">
        <v>0</v>
      </c>
      <c r="M418" s="50" t="n">
        <v>0</v>
      </c>
      <c r="N418" s="50" t="n">
        <v>1</v>
      </c>
      <c r="O418" s="53" t="n">
        <v>28</v>
      </c>
      <c r="P418" s="48" t="s">
        <v>177</v>
      </c>
      <c r="Q418" s="50"/>
      <c r="R418" s="53" t="n">
        <f aca="false">IF(BZ418=1,0,IFERROR(VLOOKUP(BX418,'Gebinde-Kategorie'!$A$5:$N$45,13,0)+0,0))</f>
        <v>26</v>
      </c>
      <c r="S418" s="54"/>
      <c r="T418" s="55" t="s">
        <v>284</v>
      </c>
      <c r="U418" s="55"/>
      <c r="V418" s="55"/>
      <c r="W418" s="48"/>
      <c r="X418" s="50"/>
      <c r="Y418" s="50"/>
      <c r="Z418" s="48" t="n">
        <f aca="false">IF(A418="","",IF(AND(Parameter!$B$21="Ja",ISNUMBER(W418)),W418,IF(CC418="2+3",IF(ISNUMBER(SEARCH("grosser Artikel",BU418)),2,IFERROR(VLOOKUP(BX418,Parameter!$F$35:$G$64,2,0),2)),IF(OR(CC418="Nein",CC418=""),"-",CC418))))</f>
        <v>3</v>
      </c>
      <c r="AA418" s="55"/>
      <c r="AB418" s="56"/>
      <c r="AC418" s="50" t="n">
        <f aca="false">AV418</f>
        <v>1</v>
      </c>
      <c r="AD418" s="50" t="n">
        <f aca="false">MAX(AV418,H418)</f>
        <v>4</v>
      </c>
      <c r="AE418" s="57"/>
      <c r="AF418" s="50" t="n">
        <f aca="false">IF(LEFT(Cockpit!$C$5,1)="A",H418,IF(Parameter!$E$30="MAX-Bestand",IF(CH418=1,CI418,IF(LEFT(Cockpit!$C$5,1)="B",AL418,MAX(AL418,H418))),ROUNDUP(AJ418,0)))</f>
        <v>4</v>
      </c>
      <c r="AG418" s="50" t="n">
        <f aca="false">IF(BZ418=1,0,ROUNDUP(AF418/BY418,0))</f>
        <v>1</v>
      </c>
      <c r="AH418" s="52" t="n">
        <f aca="false">IF(CQ418&gt;0,CQ418*MAX(1,AF418/X418),IF(BZ418=1,IF(AF418&lt;=0,0,CD418*MAX(1,IF(H418&gt;0,AF418/H418,1))),IF(R418&gt;0,AG418/R418,0))/MAX(0.1,N(Parameter!$M$21)))</f>
        <v>0.0384615384615385</v>
      </c>
      <c r="AI418" s="50" t="n">
        <f aca="false">AH418*CB418</f>
        <v>5.96153846153846</v>
      </c>
      <c r="AJ418" s="51" t="n">
        <f aca="false">IF(LEFT(Cockpit!$C$5,1)="A",H418,IF(CH418=1,(CK418+CI418)/2,IF(LEFT(Cockpit!$C$5,1)="B",(CK418+AL418)/2,MAX((CK418+AL418)/2,H418))))</f>
        <v>4</v>
      </c>
      <c r="AK418" s="50" t="n">
        <f aca="false">AJ418*G418</f>
        <v>189.08</v>
      </c>
      <c r="AL418" s="50" t="n">
        <f aca="false">ROUNDUP(CK418+MAX(CL418,2*(J418/IF(CG418&gt;0,CG418,MAX(0.1,N(Cockpit!$C$6)))-CK418)),0)</f>
        <v>1</v>
      </c>
      <c r="AM418" s="51" t="n">
        <f aca="false">IF(AI418&gt;0,J418/AI418,-1)</f>
        <v>0</v>
      </c>
      <c r="AN418" s="51" t="n">
        <f aca="false">IF(AND(OR(CF418="L1",CF418="L23",CF418="LIFT"),AI418&gt;0),SUMIFS($AI$7:$AI$1843,$CF$7:$CF$1843,CF418,$AM$7:$AM$1843,"&gt;"&amp;AM418)+SUMIFS($AI$7:$AI$1843,$CF$7:$CF$1843,CF418,$AM$7:$AM$1843,AM418,$BW$7:$BW$1843,"&lt;="&amp;BW418),"")</f>
        <v>28107.5775490987</v>
      </c>
      <c r="AO418" s="58" t="n">
        <f aca="false">IF(AN418="",0,MAX(0,MIN(1,(IF(CF418="L1",Parameter!$H$5,IF(CF418="L23",Parameter!$H$6+Parameter!$H$7,Parameter!$H$5+Parameter!$H$6+Parameter!$H$7))-(AN418-AI418))/AI418)))</f>
        <v>1</v>
      </c>
      <c r="AP418" s="50" t="n">
        <f aca="false">IF(LEFT(Cockpit!$I$5,1)="A",H418,IF(Parameter!$E$30="MAX-Bestand",IF(CH418=1,CI418,IF(LEFT(Cockpit!$I$5,1)="B",AV418,MAX(AV418,H418))),ROUNDUP(AT418,0)))</f>
        <v>4</v>
      </c>
      <c r="AQ418" s="50" t="n">
        <f aca="false">IF(BZ418=1,0,ROUNDUP(AP418/BY418,0))</f>
        <v>1</v>
      </c>
      <c r="AR418" s="52" t="n">
        <f aca="false">IF(CQ418&gt;0,CQ418*MAX(1,AP418/X418),IF(BZ418=1,IF(AP418&lt;=0,0,CD418*MAX(1,IF(H418&gt;0,AP418/H418,1))),IF(R418&gt;0,AQ418/R418,0))/MAX(0.1,N(Parameter!$M$21)))</f>
        <v>0.0384615384615385</v>
      </c>
      <c r="AS418" s="50" t="n">
        <f aca="false">AR418*CB418</f>
        <v>5.96153846153846</v>
      </c>
      <c r="AT418" s="51" t="n">
        <f aca="false">IF(LEFT(Cockpit!$I$5,1)="A",H418,IF(CH418=1,(CK418+CI418)/2,IF(LEFT(Cockpit!$I$5,1)="B",(CK418+AV418)/2,MAX((CK418+AV418)/2,H418))))</f>
        <v>4</v>
      </c>
      <c r="AU418" s="50" t="n">
        <f aca="false">AT418*G418</f>
        <v>189.08</v>
      </c>
      <c r="AV418" s="50" t="n">
        <f aca="false">ROUNDUP(CK418+MAX(CL418,2*(J418/IF(CG418&gt;0,CG418,MAX(0.1,N(Cockpit!$I$6)))-CK418)),0)</f>
        <v>1</v>
      </c>
      <c r="AW418" s="51" t="n">
        <f aca="false">IF(AS418&gt;0,J418/AS418,-1)</f>
        <v>0</v>
      </c>
      <c r="AX418" s="51" t="n">
        <f aca="false">IF(AND(OR(CF418="L1",CF418="L23",CF418="LIFT"),AS418&gt;0),SUMIFS($AS$7:$AS$1843,$CF$7:$CF$1843,CF418,$AW$7:$AW$1843,"&gt;"&amp;AW418)+SUMIFS($AS$7:$AS$1843,$CF$7:$CF$1843,CF418,$AW$7:$AW$1843,AW418,$BW$7:$BW$1843,"&lt;="&amp;BW418),"")</f>
        <v>33460.7261904762</v>
      </c>
      <c r="AY418" s="58" t="n">
        <f aca="false">IF(AX418="",0,MAX(0,MIN(1,(IF(CF418="L1",Parameter!$H$5,IF(CF418="L23",Parameter!$H$6+Parameter!$H$7,Parameter!$H$5+Parameter!$H$6+Parameter!$H$7))-(AX418-AS418))/AS418)))</f>
        <v>1</v>
      </c>
      <c r="AZ418" s="50" t="n">
        <f aca="false">IF(LEFT(Cockpit!$O$5,1)="A",H418,IF(Parameter!$E$30="MAX-Bestand",IF(CH418=1,CI418,IF(LEFT(Cockpit!$O$5,1)="B",BF418,MAX(BF418,H418))),ROUNDUP(BD418,0)))</f>
        <v>1</v>
      </c>
      <c r="BA418" s="50" t="n">
        <f aca="false">IF(BZ418=1,0,ROUNDUP(AZ418/BY418,0))</f>
        <v>1</v>
      </c>
      <c r="BB418" s="52" t="n">
        <f aca="false">IF(CQ418&gt;0,CQ418*MAX(1,AZ418/X418),IF(BZ418=1,IF(AZ418&lt;=0,0,CD418*MAX(1,IF(H418&gt;0,AZ418/H418,1))),IF(R418&gt;0,BA418/R418,0))/MAX(0.1,N(Parameter!$M$21)))</f>
        <v>0.0384615384615385</v>
      </c>
      <c r="BC418" s="50" t="n">
        <f aca="false">BB418*CB418</f>
        <v>5.96153846153846</v>
      </c>
      <c r="BD418" s="51" t="n">
        <f aca="false">IF(LEFT(Cockpit!$O$5,1)="A",H418,IF(CH418=1,(CK418+CI418)/2,IF(LEFT(Cockpit!$O$5,1)="B",(CK418+BF418)/2,MAX((CK418+BF418)/2,H418))))</f>
        <v>0.5</v>
      </c>
      <c r="BE418" s="50" t="n">
        <f aca="false">BD418*G418</f>
        <v>23.635</v>
      </c>
      <c r="BF418" s="50" t="n">
        <f aca="false">ROUNDUP(CK418+MAX(CL418,2*(J418/IF(CG418&gt;0,CG418,MAX(0.1,N(Cockpit!$O$6)))-CK418)),0)</f>
        <v>1</v>
      </c>
      <c r="BG418" s="51" t="n">
        <f aca="false">IF(BC418&gt;0,J418/BC418,-1)</f>
        <v>0</v>
      </c>
      <c r="BH418" s="51" t="n">
        <f aca="false">IF(AND(OR(CF418="L1",CF418="L23",CF418="LIFT"),BC418&gt;0),SUMIFS($BC$7:$BC$1843,$CF$7:$CF$1843,CF418,$BG$7:$BG$1843,"&gt;"&amp;BG418)+SUMIFS($BC$7:$BC$1843,$CF$7:$CF$1843,CF418,$BG$7:$BG$1843,BG418,$BW$7:$BW$1843,"&lt;="&amp;BW418),"")</f>
        <v>27574.2631619793</v>
      </c>
      <c r="BI418" s="58" t="n">
        <f aca="false">IF(BH418="",0,MAX(0,MIN(1,(IF(CF418="L1",Parameter!$H$5,IF(CF418="L23",Parameter!$H$6+Parameter!$H$7,Parameter!$H$5+Parameter!$H$6+Parameter!$H$7))-(BH418-BC418))/BC418)))</f>
        <v>1</v>
      </c>
      <c r="BJ418" s="48" t="str">
        <f aca="false">IF(AI418&lt;=0,"",IF(CF418="Aussen","Aussenlager",IF(CF418="-","Nicht im Lift",IF(AO418&gt;=1,"Lift",IF(AO418&lt;=0,"Aussenlager","teilweise")))))</f>
        <v>Lift</v>
      </c>
      <c r="BK418" s="48" t="str">
        <f aca="false">IF(AS418&lt;=0,"",IF(CF418="Aussen","Aussenlager",IF(CF418="-","Nicht im Lift",IF(AY418&gt;=1,"Lift",IF(AY418&lt;=0,"Aussenlager","teilweise")))))</f>
        <v>Lift</v>
      </c>
      <c r="BL418" s="48" t="str">
        <f aca="false">IF(BC418&lt;=0,"",IF(CF418="Aussen","Aussenlager",IF(CF418="-","Nicht im Lift",IF(BI418&gt;=1,"Lift",IF(BI418&lt;=0,"Aussenlager","teilweise")))))</f>
        <v>Lift</v>
      </c>
      <c r="BM418" s="48" t="str">
        <f aca="false">IF(A418="","",IF(BV418=1,"Neu; ","")&amp;IF(AND(BV418=0,BQ418&lt;0),"negativer Bestand (Export "&amp;BQ418&amp;"); ","")&amp;IF(J418&lt;=0,"Kein Verbrauch; ","")&amp;IF(CQ418&gt;0,"Lift "&amp;W418&amp;" lt. Liftbericht (Fach "&amp;X418&amp;" Stk); ",IF(CA418=1,"Gebinde geschätzt ("&amp;T418&amp;"); ",IF(BZ418=1,"Lose – Tablare geschätzt; ","")))&amp;IF(H418&gt;AV418,"Überbestand "&amp;ROUND(H418-AV418,0)&amp;" Stk / CHF "&amp;ROUND((H418-AV418)*G418,0)&amp;"; ","")&amp;IF(AND(CH418=1,CI418&lt;CJ418),"MAX &lt; MB+LG; ","")&amp;IF(AND(CP418&gt;0,CO418*10&gt;CP418),"zu hoch für Tablar; ","")&amp;IF(AND(BV418=0,OR(CH418=1,AA418&lt;&gt;"",U418&lt;&gt;"",V418&lt;&gt;"",AB418&lt;&gt;"")),"manuell übersteuert; ","")&amp;IF(AND(BZ418=0,R418=0),"Gebinde unbekannt / Stellmass fehlt; ","")&amp;IF(AND(BZ418=0,N(V418)&lt;=0,N(Q418)&lt;=0),"Menge pro Gebinde fehlt (Ist = 1 Gebinde); ","")&amp;BU418)</f>
        <v>Kein Verbrauch; Gebinde geschätzt (Klein); Überbestand 3 Stk / CHF 142; Menge pro Gebinde fehlt (Ist = 1 Gebinde); </v>
      </c>
      <c r="BN418" s="48"/>
      <c r="BO418" s="48"/>
      <c r="BP418" s="55"/>
      <c r="BQ418" s="50" t="n">
        <v>2</v>
      </c>
      <c r="BR418" s="50" t="n">
        <v>2</v>
      </c>
      <c r="BS418" s="49" t="n">
        <v>94.54</v>
      </c>
      <c r="BT418" s="50" t="n">
        <v>0</v>
      </c>
      <c r="BU418" s="48"/>
      <c r="BV418" s="53" t="n">
        <v>0</v>
      </c>
      <c r="BW418" s="53" t="n">
        <v>418</v>
      </c>
      <c r="BX418" s="48" t="str">
        <f aca="false">IF(U418&lt;&gt;"",UPPER(TRIM(U418)),IF(CA418=1,UPPER(VLOOKUP(T418,Parameter!$I$27:$K$29,2,0)),IF(P418="","LOSE",P418)))</f>
        <v>S51</v>
      </c>
      <c r="BY418" s="50" t="n">
        <f aca="false">IF(BX418="LOSE",1,IF(N(V418)&gt;0,V418,IF(CA418=1,MAX(1,N(VLOOKUP(T418,Parameter!$I$27:$K$29,3,0)),H418,N(N418)),IF(N(Q418)&gt;0,Q418,MAX(1,H418)))))</f>
        <v>20</v>
      </c>
      <c r="BZ418" s="53" t="n">
        <f aca="false">IF(BX418="LOSE",1,0)</f>
        <v>0</v>
      </c>
      <c r="CA418" s="53" t="n">
        <f aca="false">IF(AND(U418="",OR(P418="",P418="LOSE"),T418&lt;&gt;"",N(S418)&lt;=0,ISNUMBER(MATCH(T418,Parameter!$I$27:$I$29,0))),1,0)</f>
        <v>1</v>
      </c>
      <c r="CB418" s="53" t="n">
        <f aca="false">IF(CQ418&gt;0,INDEX(Parameter!$H$5:$H$7,W418)/INDEX(Parameter!$E$5:$E$7,W418),IF(AND(BZ418=0,N(IFERROR(VLOOKUP(BX418,'Gebinde-Kategorie'!$A$5:$N$45,14,0),0))&gt;0),VLOOKUP(BX418,'Gebinde-Kategorie'!$A$5:$N$45,14,0)*10+Parameter!$M$23,Parameter!$M$24))</f>
        <v>155</v>
      </c>
      <c r="CC418" s="48" t="str">
        <f aca="false">IF(AND(Parameter!$B$19="Ja",E418&lt;&gt;"",ISNUMBER(MATCH(E418,Parameter!$I$35:$I$52,0))),VLOOKUP(E418,Parameter!$I$35:$J$52,2,0),IFERROR(VLOOKUP(D418,Parameter!$A$35:$C$64,2,0),"Nein"))</f>
        <v>2+3</v>
      </c>
      <c r="CD418" s="52" t="n">
        <f aca="false">IF(BZ418=0,0,IF(N(S418)&gt;0,S418,IFERROR(VLOOKUP(D418,Parameter!$A$35:$C$64,3,0)+0,0)))</f>
        <v>0</v>
      </c>
      <c r="CE418" s="48" t="n">
        <f aca="false">IF(AA418&lt;&gt;"",AA418,Z418)</f>
        <v>3</v>
      </c>
      <c r="CF418" s="48" t="str">
        <f aca="false">IF(OR(CE418=1,CE418=2,CE418=3),IF(Parameter!$E$27="Ja","LIFT",IF(CE418=1,"L1","L23")),IF(CE418="Aussen","Aussen","-"))</f>
        <v>LIFT</v>
      </c>
      <c r="CG418" s="59" t="n">
        <f aca="false">IF(N(AB418)&gt;0,AB418,0)</f>
        <v>0</v>
      </c>
      <c r="CH418" s="53" t="n">
        <f aca="false">IF(ISNUMBER(AE418),1,0)</f>
        <v>0</v>
      </c>
      <c r="CI418" s="50" t="n">
        <f aca="false">N(AE418)</f>
        <v>0</v>
      </c>
      <c r="CJ418" s="50" t="n">
        <f aca="false">N(M418)+N(N418)</f>
        <v>1</v>
      </c>
      <c r="CK418" s="50" t="n">
        <f aca="false">N(M418)</f>
        <v>0</v>
      </c>
      <c r="CL418" s="50" t="n">
        <f aca="false">N(N418)</f>
        <v>1</v>
      </c>
      <c r="CM418" s="50" t="n">
        <f aca="false">ROUNDUP(H418/BY418,0)</f>
        <v>1</v>
      </c>
      <c r="CN418" s="50" t="n">
        <f aca="false">ROUNDUP(CI418/BY418,0)</f>
        <v>0</v>
      </c>
      <c r="CO418" s="53" t="n">
        <f aca="false">IF(BZ418=1,0,IFERROR(VLOOKUP(BX418,'Gebinde-Kategorie'!$A$5:$N$45,5,0)+0,0))</f>
        <v>11</v>
      </c>
      <c r="CP418" s="53" t="n">
        <f aca="false">IFERROR(IF(OR(CE418=1,CE418=2,CE418=3),N(INDEX(Parameter!$I$5:$I$7,CE418)),0),0)</f>
        <v>0</v>
      </c>
      <c r="CQ418" s="52" t="n">
        <f aca="false">IF(AND(Parameter!$B$21="Ja",ISNUMBER(W418),N(X418)&gt;0),IFERROR(N(INDEX(Parameter!$L$5:$L$7,W418))*INDEX(Parameter!$E$5:$E$7,W418)*X418/SUMIFS($X$7:$X$1843,$W$7:$W$1843,W418),0),0)</f>
        <v>0</v>
      </c>
    </row>
    <row r="419" customFormat="false" ht="15" hidden="false" customHeight="false" outlineLevel="0" collapsed="false">
      <c r="A419" s="48" t="s">
        <v>976</v>
      </c>
      <c r="B419" s="48" t="s">
        <v>477</v>
      </c>
      <c r="C419" s="48" t="s">
        <v>173</v>
      </c>
      <c r="D419" s="48" t="s">
        <v>182</v>
      </c>
      <c r="E419" s="48"/>
      <c r="F419" s="48" t="s">
        <v>227</v>
      </c>
      <c r="G419" s="49" t="n">
        <v>0.45</v>
      </c>
      <c r="H419" s="50" t="n">
        <f aca="false">MAX(0,IF(AND(Parameter!$B$21="Ja",ISNUMBER(Y419)),Y419,IF(Parameter!$B$20="Jahresanfang 2025 + Export",BR419+BQ419,BQ419)))</f>
        <v>210</v>
      </c>
      <c r="I419" s="50" t="n">
        <f aca="false">H419*G419</f>
        <v>94.5</v>
      </c>
      <c r="J419" s="50" t="n">
        <f aca="false">BT419*Parameter!$B$18</f>
        <v>20</v>
      </c>
      <c r="K419" s="51" t="n">
        <v>0</v>
      </c>
      <c r="L419" s="52" t="n">
        <v>0</v>
      </c>
      <c r="M419" s="50" t="n">
        <v>1</v>
      </c>
      <c r="N419" s="50" t="n">
        <v>20</v>
      </c>
      <c r="O419" s="53" t="n">
        <v>31</v>
      </c>
      <c r="P419" s="48" t="s">
        <v>177</v>
      </c>
      <c r="Q419" s="50"/>
      <c r="R419" s="53" t="n">
        <f aca="false">IF(BZ419=1,0,IFERROR(VLOOKUP(BX419,'Gebinde-Kategorie'!$A$5:$N$45,13,0)+0,0))</f>
        <v>26</v>
      </c>
      <c r="S419" s="54"/>
      <c r="T419" s="55" t="s">
        <v>284</v>
      </c>
      <c r="U419" s="55"/>
      <c r="V419" s="55"/>
      <c r="W419" s="48"/>
      <c r="X419" s="50"/>
      <c r="Y419" s="50"/>
      <c r="Z419" s="48" t="n">
        <f aca="false">IF(A419="","",IF(AND(Parameter!$B$21="Ja",ISNUMBER(W419)),W419,IF(CC419="2+3",IF(ISNUMBER(SEARCH("grosser Artikel",BU419)),2,IFERROR(VLOOKUP(BX419,Parameter!$F$35:$G$64,2,0),2)),IF(OR(CC419="Nein",CC419=""),"-",CC419))))</f>
        <v>3</v>
      </c>
      <c r="AA419" s="55"/>
      <c r="AB419" s="56"/>
      <c r="AC419" s="50" t="n">
        <f aca="false">AV419</f>
        <v>21</v>
      </c>
      <c r="AD419" s="50" t="n">
        <f aca="false">MAX(AV419,H419)</f>
        <v>210</v>
      </c>
      <c r="AE419" s="57"/>
      <c r="AF419" s="50" t="n">
        <f aca="false">IF(LEFT(Cockpit!$C$5,1)="A",H419,IF(Parameter!$E$30="MAX-Bestand",IF(CH419=1,CI419,IF(LEFT(Cockpit!$C$5,1)="B",AL419,MAX(AL419,H419))),ROUNDUP(AJ419,0)))</f>
        <v>210</v>
      </c>
      <c r="AG419" s="50" t="n">
        <f aca="false">IF(BZ419=1,0,ROUNDUP(AF419/BY419,0))</f>
        <v>1</v>
      </c>
      <c r="AH419" s="52" t="n">
        <f aca="false">IF(CQ419&gt;0,CQ419*MAX(1,AF419/X419),IF(BZ419=1,IF(AF419&lt;=0,0,CD419*MAX(1,IF(H419&gt;0,AF419/H419,1))),IF(R419&gt;0,AG419/R419,0))/MAX(0.1,N(Parameter!$M$21)))</f>
        <v>0.0384615384615385</v>
      </c>
      <c r="AI419" s="50" t="n">
        <f aca="false">AH419*CB419</f>
        <v>5.96153846153846</v>
      </c>
      <c r="AJ419" s="51" t="n">
        <f aca="false">IF(LEFT(Cockpit!$C$5,1)="A",H419,IF(CH419=1,(CK419+CI419)/2,IF(LEFT(Cockpit!$C$5,1)="B",(CK419+AL419)/2,MAX((CK419+AL419)/2,H419))))</f>
        <v>210</v>
      </c>
      <c r="AK419" s="50" t="n">
        <f aca="false">AJ419*G419</f>
        <v>94.5</v>
      </c>
      <c r="AL419" s="50" t="n">
        <f aca="false">ROUNDUP(CK419+MAX(CL419,2*(J419/IF(CG419&gt;0,CG419,MAX(0.1,N(Cockpit!$C$6)))-CK419)),0)</f>
        <v>21</v>
      </c>
      <c r="AM419" s="51" t="n">
        <f aca="false">IF(AI419&gt;0,J419/AI419,-1)</f>
        <v>3.35483870967742</v>
      </c>
      <c r="AN419" s="51" t="n">
        <f aca="false">IF(AND(OR(CF419="L1",CF419="L23",CF419="LIFT"),AI419&gt;0),SUMIFS($AI$7:$AI$1843,$CF$7:$CF$1843,CF419,$AM$7:$AM$1843,"&gt;"&amp;AM419)+SUMIFS($AI$7:$AI$1843,$CF$7:$CF$1843,CF419,$AM$7:$AM$1843,AM419,$BW$7:$BW$1843,"&lt;="&amp;BW419),"")</f>
        <v>4934.72252747253</v>
      </c>
      <c r="AO419" s="58" t="n">
        <f aca="false">IF(AN419="",0,MAX(0,MIN(1,(IF(CF419="L1",Parameter!$H$5,IF(CF419="L23",Parameter!$H$6+Parameter!$H$7,Parameter!$H$5+Parameter!$H$6+Parameter!$H$7))-(AN419-AI419))/AI419)))</f>
        <v>1</v>
      </c>
      <c r="AP419" s="50" t="n">
        <f aca="false">IF(LEFT(Cockpit!$I$5,1)="A",H419,IF(Parameter!$E$30="MAX-Bestand",IF(CH419=1,CI419,IF(LEFT(Cockpit!$I$5,1)="B",AV419,MAX(AV419,H419))),ROUNDUP(AT419,0)))</f>
        <v>210</v>
      </c>
      <c r="AQ419" s="50" t="n">
        <f aca="false">IF(BZ419=1,0,ROUNDUP(AP419/BY419,0))</f>
        <v>1</v>
      </c>
      <c r="AR419" s="52" t="n">
        <f aca="false">IF(CQ419&gt;0,CQ419*MAX(1,AP419/X419),IF(BZ419=1,IF(AP419&lt;=0,0,CD419*MAX(1,IF(H419&gt;0,AP419/H419,1))),IF(R419&gt;0,AQ419/R419,0))/MAX(0.1,N(Parameter!$M$21)))</f>
        <v>0.0384615384615385</v>
      </c>
      <c r="AS419" s="50" t="n">
        <f aca="false">AR419*CB419</f>
        <v>5.96153846153846</v>
      </c>
      <c r="AT419" s="51" t="n">
        <f aca="false">IF(LEFT(Cockpit!$I$5,1)="A",H419,IF(CH419=1,(CK419+CI419)/2,IF(LEFT(Cockpit!$I$5,1)="B",(CK419+AV419)/2,MAX((CK419+AV419)/2,H419))))</f>
        <v>210</v>
      </c>
      <c r="AU419" s="50" t="n">
        <f aca="false">AT419*G419</f>
        <v>94.5</v>
      </c>
      <c r="AV419" s="50" t="n">
        <f aca="false">ROUNDUP(CK419+MAX(CL419,2*(J419/IF(CG419&gt;0,CG419,MAX(0.1,N(Cockpit!$I$6)))-CK419)),0)</f>
        <v>21</v>
      </c>
      <c r="AW419" s="51" t="n">
        <f aca="false">IF(AS419&gt;0,J419/AS419,-1)</f>
        <v>3.35483870967742</v>
      </c>
      <c r="AX419" s="51" t="n">
        <f aca="false">IF(AND(OR(CF419="L1",CF419="L23",CF419="LIFT"),AS419&gt;0),SUMIFS($AS$7:$AS$1843,$CF$7:$CF$1843,CF419,$AW$7:$AW$1843,"&gt;"&amp;AW419)+SUMIFS($AS$7:$AS$1843,$CF$7:$CF$1843,CF419,$AW$7:$AW$1843,AW419,$BW$7:$BW$1843,"&lt;="&amp;BW419),"")</f>
        <v>5598.55952380952</v>
      </c>
      <c r="AY419" s="58" t="n">
        <f aca="false">IF(AX419="",0,MAX(0,MIN(1,(IF(CF419="L1",Parameter!$H$5,IF(CF419="L23",Parameter!$H$6+Parameter!$H$7,Parameter!$H$5+Parameter!$H$6+Parameter!$H$7))-(AX419-AS419))/AS419)))</f>
        <v>1</v>
      </c>
      <c r="AZ419" s="50" t="n">
        <f aca="false">IF(LEFT(Cockpit!$O$5,1)="A",H419,IF(Parameter!$E$30="MAX-Bestand",IF(CH419=1,CI419,IF(LEFT(Cockpit!$O$5,1)="B",BF419,MAX(BF419,H419))),ROUNDUP(BD419,0)))</f>
        <v>11</v>
      </c>
      <c r="BA419" s="50" t="n">
        <f aca="false">IF(BZ419=1,0,ROUNDUP(AZ419/BY419,0))</f>
        <v>1</v>
      </c>
      <c r="BB419" s="52" t="n">
        <f aca="false">IF(CQ419&gt;0,CQ419*MAX(1,AZ419/X419),IF(BZ419=1,IF(AZ419&lt;=0,0,CD419*MAX(1,IF(H419&gt;0,AZ419/H419,1))),IF(R419&gt;0,BA419/R419,0))/MAX(0.1,N(Parameter!$M$21)))</f>
        <v>0.0384615384615385</v>
      </c>
      <c r="BC419" s="50" t="n">
        <f aca="false">BB419*CB419</f>
        <v>5.96153846153846</v>
      </c>
      <c r="BD419" s="51" t="n">
        <f aca="false">IF(LEFT(Cockpit!$O$5,1)="A",H419,IF(CH419=1,(CK419+CI419)/2,IF(LEFT(Cockpit!$O$5,1)="B",(CK419+BF419)/2,MAX((CK419+BF419)/2,H419))))</f>
        <v>11</v>
      </c>
      <c r="BE419" s="50" t="n">
        <f aca="false">BD419*G419</f>
        <v>4.95</v>
      </c>
      <c r="BF419" s="50" t="n">
        <f aca="false">ROUNDUP(CK419+MAX(CL419,2*(J419/IF(CG419&gt;0,CG419,MAX(0.1,N(Cockpit!$O$6)))-CK419)),0)</f>
        <v>21</v>
      </c>
      <c r="BG419" s="51" t="n">
        <f aca="false">IF(BC419&gt;0,J419/BC419,-1)</f>
        <v>3.35483870967742</v>
      </c>
      <c r="BH419" s="51" t="n">
        <f aca="false">IF(AND(OR(CF419="L1",CF419="L23",CF419="LIFT"),BC419&gt;0),SUMIFS($BC$7:$BC$1843,$CF$7:$CF$1843,CF419,$BG$7:$BG$1843,"&gt;"&amp;BG419)+SUMIFS($BC$7:$BC$1843,$CF$7:$CF$1843,CF419,$BG$7:$BG$1843,BG419,$BW$7:$BW$1843,"&lt;="&amp;BW419),"")</f>
        <v>4584.73901098901</v>
      </c>
      <c r="BI419" s="58" t="n">
        <f aca="false">IF(BH419="",0,MAX(0,MIN(1,(IF(CF419="L1",Parameter!$H$5,IF(CF419="L23",Parameter!$H$6+Parameter!$H$7,Parameter!$H$5+Parameter!$H$6+Parameter!$H$7))-(BH419-BC419))/BC419)))</f>
        <v>1</v>
      </c>
      <c r="BJ419" s="48" t="str">
        <f aca="false">IF(AI419&lt;=0,"",IF(CF419="Aussen","Aussenlager",IF(CF419="-","Nicht im Lift",IF(AO419&gt;=1,"Lift",IF(AO419&lt;=0,"Aussenlager","teilweise")))))</f>
        <v>Lift</v>
      </c>
      <c r="BK419" s="48" t="str">
        <f aca="false">IF(AS419&lt;=0,"",IF(CF419="Aussen","Aussenlager",IF(CF419="-","Nicht im Lift",IF(AY419&gt;=1,"Lift",IF(AY419&lt;=0,"Aussenlager","teilweise")))))</f>
        <v>Lift</v>
      </c>
      <c r="BL419" s="48" t="str">
        <f aca="false">IF(BC419&lt;=0,"",IF(CF419="Aussen","Aussenlager",IF(CF419="-","Nicht im Lift",IF(BI419&gt;=1,"Lift",IF(BI419&lt;=0,"Aussenlager","teilweise")))))</f>
        <v>Lift</v>
      </c>
      <c r="BM419" s="48" t="str">
        <f aca="false">IF(A419="","",IF(BV419=1,"Neu; ","")&amp;IF(AND(BV419=0,BQ419&lt;0),"negativer Bestand (Export "&amp;BQ419&amp;"); ","")&amp;IF(J419&lt;=0,"Kein Verbrauch; ","")&amp;IF(CQ419&gt;0,"Lift "&amp;W419&amp;" lt. Liftbericht (Fach "&amp;X419&amp;" Stk); ",IF(CA419=1,"Gebinde geschätzt ("&amp;T419&amp;"); ",IF(BZ419=1,"Lose – Tablare geschätzt; ","")))&amp;IF(H419&gt;AV419,"Überbestand "&amp;ROUND(H419-AV419,0)&amp;" Stk / CHF "&amp;ROUND((H419-AV419)*G419,0)&amp;"; ","")&amp;IF(AND(CH419=1,CI419&lt;CJ419),"MAX &lt; MB+LG; ","")&amp;IF(AND(CP419&gt;0,CO419*10&gt;CP419),"zu hoch für Tablar; ","")&amp;IF(AND(BV419=0,OR(CH419=1,AA419&lt;&gt;"",U419&lt;&gt;"",V419&lt;&gt;"",AB419&lt;&gt;"")),"manuell übersteuert; ","")&amp;IF(AND(BZ419=0,R419=0),"Gebinde unbekannt / Stellmass fehlt; ","")&amp;IF(AND(BZ419=0,N(V419)&lt;=0,N(Q419)&lt;=0),"Menge pro Gebinde fehlt (Ist = 1 Gebinde); ","")&amp;BU419)</f>
        <v>Gebinde geschätzt (Klein); Überbestand 189 Stk / CHF 85; Menge pro Gebinde fehlt (Ist = 1 Gebinde); </v>
      </c>
      <c r="BN419" s="48"/>
      <c r="BO419" s="48"/>
      <c r="BP419" s="55"/>
      <c r="BQ419" s="50" t="n">
        <v>210</v>
      </c>
      <c r="BR419" s="50" t="n">
        <v>0</v>
      </c>
      <c r="BS419" s="49" t="n">
        <v>94.5</v>
      </c>
      <c r="BT419" s="50" t="n">
        <v>20</v>
      </c>
      <c r="BU419" s="48"/>
      <c r="BV419" s="53" t="n">
        <v>0</v>
      </c>
      <c r="BW419" s="53" t="n">
        <v>419</v>
      </c>
      <c r="BX419" s="48" t="str">
        <f aca="false">IF(U419&lt;&gt;"",UPPER(TRIM(U419)),IF(CA419=1,UPPER(VLOOKUP(T419,Parameter!$I$27:$K$29,2,0)),IF(P419="","LOSE",P419)))</f>
        <v>S51</v>
      </c>
      <c r="BY419" s="50" t="n">
        <f aca="false">IF(BX419="LOSE",1,IF(N(V419)&gt;0,V419,IF(CA419=1,MAX(1,N(VLOOKUP(T419,Parameter!$I$27:$K$29,3,0)),H419,N(N419)),IF(N(Q419)&gt;0,Q419,MAX(1,H419)))))</f>
        <v>210</v>
      </c>
      <c r="BZ419" s="53" t="n">
        <f aca="false">IF(BX419="LOSE",1,0)</f>
        <v>0</v>
      </c>
      <c r="CA419" s="53" t="n">
        <f aca="false">IF(AND(U419="",OR(P419="",P419="LOSE"),T419&lt;&gt;"",N(S419)&lt;=0,ISNUMBER(MATCH(T419,Parameter!$I$27:$I$29,0))),1,0)</f>
        <v>1</v>
      </c>
      <c r="CB419" s="53" t="n">
        <f aca="false">IF(CQ419&gt;0,INDEX(Parameter!$H$5:$H$7,W419)/INDEX(Parameter!$E$5:$E$7,W419),IF(AND(BZ419=0,N(IFERROR(VLOOKUP(BX419,'Gebinde-Kategorie'!$A$5:$N$45,14,0),0))&gt;0),VLOOKUP(BX419,'Gebinde-Kategorie'!$A$5:$N$45,14,0)*10+Parameter!$M$23,Parameter!$M$24))</f>
        <v>155</v>
      </c>
      <c r="CC419" s="48" t="str">
        <f aca="false">IF(AND(Parameter!$B$19="Ja",E419&lt;&gt;"",ISNUMBER(MATCH(E419,Parameter!$I$35:$I$52,0))),VLOOKUP(E419,Parameter!$I$35:$J$52,2,0),IFERROR(VLOOKUP(D419,Parameter!$A$35:$C$64,2,0),"Nein"))</f>
        <v>2+3</v>
      </c>
      <c r="CD419" s="52" t="n">
        <f aca="false">IF(BZ419=0,0,IF(N(S419)&gt;0,S419,IFERROR(VLOOKUP(D419,Parameter!$A$35:$C$64,3,0)+0,0)))</f>
        <v>0</v>
      </c>
      <c r="CE419" s="48" t="n">
        <f aca="false">IF(AA419&lt;&gt;"",AA419,Z419)</f>
        <v>3</v>
      </c>
      <c r="CF419" s="48" t="str">
        <f aca="false">IF(OR(CE419=1,CE419=2,CE419=3),IF(Parameter!$E$27="Ja","LIFT",IF(CE419=1,"L1","L23")),IF(CE419="Aussen","Aussen","-"))</f>
        <v>LIFT</v>
      </c>
      <c r="CG419" s="59" t="n">
        <f aca="false">IF(N(AB419)&gt;0,AB419,0)</f>
        <v>0</v>
      </c>
      <c r="CH419" s="53" t="n">
        <f aca="false">IF(ISNUMBER(AE419),1,0)</f>
        <v>0</v>
      </c>
      <c r="CI419" s="50" t="n">
        <f aca="false">N(AE419)</f>
        <v>0</v>
      </c>
      <c r="CJ419" s="50" t="n">
        <f aca="false">N(M419)+N(N419)</f>
        <v>21</v>
      </c>
      <c r="CK419" s="50" t="n">
        <f aca="false">N(M419)</f>
        <v>1</v>
      </c>
      <c r="CL419" s="50" t="n">
        <f aca="false">N(N419)</f>
        <v>20</v>
      </c>
      <c r="CM419" s="50" t="n">
        <f aca="false">ROUNDUP(H419/BY419,0)</f>
        <v>1</v>
      </c>
      <c r="CN419" s="50" t="n">
        <f aca="false">ROUNDUP(CI419/BY419,0)</f>
        <v>0</v>
      </c>
      <c r="CO419" s="53" t="n">
        <f aca="false">IF(BZ419=1,0,IFERROR(VLOOKUP(BX419,'Gebinde-Kategorie'!$A$5:$N$45,5,0)+0,0))</f>
        <v>11</v>
      </c>
      <c r="CP419" s="53" t="n">
        <f aca="false">IFERROR(IF(OR(CE419=1,CE419=2,CE419=3),N(INDEX(Parameter!$I$5:$I$7,CE419)),0),0)</f>
        <v>0</v>
      </c>
      <c r="CQ419" s="52" t="n">
        <f aca="false">IF(AND(Parameter!$B$21="Ja",ISNUMBER(W419),N(X419)&gt;0),IFERROR(N(INDEX(Parameter!$L$5:$L$7,W419))*INDEX(Parameter!$E$5:$E$7,W419)*X419/SUMIFS($X$7:$X$1843,$W$7:$W$1843,W419),0),0)</f>
        <v>0</v>
      </c>
    </row>
    <row r="420" customFormat="false" ht="15" hidden="false" customHeight="false" outlineLevel="0" collapsed="false">
      <c r="A420" s="48" t="s">
        <v>977</v>
      </c>
      <c r="B420" s="48" t="s">
        <v>414</v>
      </c>
      <c r="C420" s="48" t="s">
        <v>173</v>
      </c>
      <c r="D420" s="48" t="s">
        <v>193</v>
      </c>
      <c r="E420" s="48"/>
      <c r="F420" s="48" t="s">
        <v>227</v>
      </c>
      <c r="G420" s="49" t="n">
        <v>0.47</v>
      </c>
      <c r="H420" s="50" t="n">
        <f aca="false">MAX(0,IF(AND(Parameter!$B$21="Ja",ISNUMBER(Y420)),Y420,IF(Parameter!$B$20="Jahresanfang 2025 + Export",BR420+BQ420,BQ420)))</f>
        <v>200</v>
      </c>
      <c r="I420" s="50" t="n">
        <f aca="false">H420*G420</f>
        <v>94</v>
      </c>
      <c r="J420" s="50" t="n">
        <f aca="false">BT420*Parameter!$B$18</f>
        <v>180</v>
      </c>
      <c r="K420" s="51" t="n">
        <v>10</v>
      </c>
      <c r="L420" s="52" t="n">
        <v>18</v>
      </c>
      <c r="M420" s="50" t="n">
        <v>7</v>
      </c>
      <c r="N420" s="50" t="n">
        <v>200</v>
      </c>
      <c r="O420" s="53" t="n">
        <v>14</v>
      </c>
      <c r="P420" s="48" t="s">
        <v>337</v>
      </c>
      <c r="Q420" s="50" t="n">
        <v>100</v>
      </c>
      <c r="R420" s="53" t="n">
        <f aca="false">IF(BZ420=1,0,IFERROR(VLOOKUP(BX420,'Gebinde-Kategorie'!$A$5:$N$45,13,0)+0,0))</f>
        <v>52</v>
      </c>
      <c r="S420" s="54"/>
      <c r="T420" s="55"/>
      <c r="U420" s="55"/>
      <c r="V420" s="55"/>
      <c r="W420" s="48"/>
      <c r="X420" s="50"/>
      <c r="Y420" s="50"/>
      <c r="Z420" s="48" t="n">
        <f aca="false">IF(A420="","",IF(AND(Parameter!$B$21="Ja",ISNUMBER(W420)),W420,IF(CC420="2+3",IF(ISNUMBER(SEARCH("grosser Artikel",BU420)),2,IFERROR(VLOOKUP(BX420,Parameter!$F$35:$G$64,2,0),2)),IF(OR(CC420="Nein",CC420=""),"-",CC420))))</f>
        <v>3</v>
      </c>
      <c r="AA420" s="55"/>
      <c r="AB420" s="56"/>
      <c r="AC420" s="50" t="n">
        <f aca="false">AV420</f>
        <v>207</v>
      </c>
      <c r="AD420" s="50" t="n">
        <f aca="false">MAX(AV420,H420)</f>
        <v>207</v>
      </c>
      <c r="AE420" s="57"/>
      <c r="AF420" s="50" t="n">
        <f aca="false">IF(LEFT(Cockpit!$C$5,1)="A",H420,IF(Parameter!$E$30="MAX-Bestand",IF(CH420=1,CI420,IF(LEFT(Cockpit!$C$5,1)="B",AL420,MAX(AL420,H420))),ROUNDUP(AJ420,0)))</f>
        <v>200</v>
      </c>
      <c r="AG420" s="50" t="n">
        <f aca="false">IF(BZ420=1,0,ROUNDUP(AF420/BY420,0))</f>
        <v>2</v>
      </c>
      <c r="AH420" s="52" t="n">
        <f aca="false">IF(CQ420&gt;0,CQ420*MAX(1,AF420/X420),IF(BZ420=1,IF(AF420&lt;=0,0,CD420*MAX(1,IF(H420&gt;0,AF420/H420,1))),IF(R420&gt;0,AG420/R420,0))/MAX(0.1,N(Parameter!$M$21)))</f>
        <v>0.0384615384615385</v>
      </c>
      <c r="AI420" s="50" t="n">
        <f aca="false">AH420*CB420</f>
        <v>5.96153846153846</v>
      </c>
      <c r="AJ420" s="51" t="n">
        <f aca="false">IF(LEFT(Cockpit!$C$5,1)="A",H420,IF(CH420=1,(CK420+CI420)/2,IF(LEFT(Cockpit!$C$5,1)="B",(CK420+AL420)/2,MAX((CK420+AL420)/2,H420))))</f>
        <v>200</v>
      </c>
      <c r="AK420" s="50" t="n">
        <f aca="false">AJ420*G420</f>
        <v>94</v>
      </c>
      <c r="AL420" s="50" t="n">
        <f aca="false">ROUNDUP(CK420+MAX(CL420,2*(J420/IF(CG420&gt;0,CG420,MAX(0.1,N(Cockpit!$C$6)))-CK420)),0)</f>
        <v>207</v>
      </c>
      <c r="AM420" s="51" t="n">
        <f aca="false">IF(AI420&gt;0,J420/AI420,-1)</f>
        <v>30.1935483870968</v>
      </c>
      <c r="AN420" s="51" t="n">
        <f aca="false">IF(AND(OR(CF420="L1",CF420="L23",CF420="LIFT"),AI420&gt;0),SUMIFS($AI$7:$AI$1843,$CF$7:$CF$1843,CF420,$AM$7:$AM$1843,"&gt;"&amp;AM420)+SUMIFS($AI$7:$AI$1843,$CF$7:$CF$1843,CF420,$AM$7:$AM$1843,AM420,$BW$7:$BW$1843,"&lt;="&amp;BW420),"")</f>
        <v>1487.64652014652</v>
      </c>
      <c r="AO420" s="58" t="n">
        <f aca="false">IF(AN420="",0,MAX(0,MIN(1,(IF(CF420="L1",Parameter!$H$5,IF(CF420="L23",Parameter!$H$6+Parameter!$H$7,Parameter!$H$5+Parameter!$H$6+Parameter!$H$7))-(AN420-AI420))/AI420)))</f>
        <v>1</v>
      </c>
      <c r="AP420" s="50" t="n">
        <f aca="false">IF(LEFT(Cockpit!$I$5,1)="A",H420,IF(Parameter!$E$30="MAX-Bestand",IF(CH420=1,CI420,IF(LEFT(Cockpit!$I$5,1)="B",AV420,MAX(AV420,H420))),ROUNDUP(AT420,0)))</f>
        <v>200</v>
      </c>
      <c r="AQ420" s="50" t="n">
        <f aca="false">IF(BZ420=1,0,ROUNDUP(AP420/BY420,0))</f>
        <v>2</v>
      </c>
      <c r="AR420" s="52" t="n">
        <f aca="false">IF(CQ420&gt;0,CQ420*MAX(1,AP420/X420),IF(BZ420=1,IF(AP420&lt;=0,0,CD420*MAX(1,IF(H420&gt;0,AP420/H420,1))),IF(R420&gt;0,AQ420/R420,0))/MAX(0.1,N(Parameter!$M$21)))</f>
        <v>0.0384615384615385</v>
      </c>
      <c r="AS420" s="50" t="n">
        <f aca="false">AR420*CB420</f>
        <v>5.96153846153846</v>
      </c>
      <c r="AT420" s="51" t="n">
        <f aca="false">IF(LEFT(Cockpit!$I$5,1)="A",H420,IF(CH420=1,(CK420+CI420)/2,IF(LEFT(Cockpit!$I$5,1)="B",(CK420+AV420)/2,MAX((CK420+AV420)/2,H420))))</f>
        <v>200</v>
      </c>
      <c r="AU420" s="50" t="n">
        <f aca="false">AT420*G420</f>
        <v>94</v>
      </c>
      <c r="AV420" s="50" t="n">
        <f aca="false">ROUNDUP(CK420+MAX(CL420,2*(J420/IF(CG420&gt;0,CG420,MAX(0.1,N(Cockpit!$I$6)))-CK420)),0)</f>
        <v>207</v>
      </c>
      <c r="AW420" s="51" t="n">
        <f aca="false">IF(AS420&gt;0,J420/AS420,-1)</f>
        <v>30.1935483870968</v>
      </c>
      <c r="AX420" s="51" t="n">
        <f aca="false">IF(AND(OR(CF420="L1",CF420="L23",CF420="LIFT"),AS420&gt;0),SUMIFS($AS$7:$AS$1843,$CF$7:$CF$1843,CF420,$AW$7:$AW$1843,"&gt;"&amp;AW420)+SUMIFS($AS$7:$AS$1843,$CF$7:$CF$1843,CF420,$AW$7:$AW$1843,AW420,$BW$7:$BW$1843,"&lt;="&amp;BW420),"")</f>
        <v>1906.27380952381</v>
      </c>
      <c r="AY420" s="58" t="n">
        <f aca="false">IF(AX420="",0,MAX(0,MIN(1,(IF(CF420="L1",Parameter!$H$5,IF(CF420="L23",Parameter!$H$6+Parameter!$H$7,Parameter!$H$5+Parameter!$H$6+Parameter!$H$7))-(AX420-AS420))/AS420)))</f>
        <v>1</v>
      </c>
      <c r="AZ420" s="50" t="n">
        <f aca="false">IF(LEFT(Cockpit!$O$5,1)="A",H420,IF(Parameter!$E$30="MAX-Bestand",IF(CH420=1,CI420,IF(LEFT(Cockpit!$O$5,1)="B",BF420,MAX(BF420,H420))),ROUNDUP(BD420,0)))</f>
        <v>107</v>
      </c>
      <c r="BA420" s="50" t="n">
        <f aca="false">IF(BZ420=1,0,ROUNDUP(AZ420/BY420,0))</f>
        <v>2</v>
      </c>
      <c r="BB420" s="52" t="n">
        <f aca="false">IF(CQ420&gt;0,CQ420*MAX(1,AZ420/X420),IF(BZ420=1,IF(AZ420&lt;=0,0,CD420*MAX(1,IF(H420&gt;0,AZ420/H420,1))),IF(R420&gt;0,BA420/R420,0))/MAX(0.1,N(Parameter!$M$21)))</f>
        <v>0.0384615384615385</v>
      </c>
      <c r="BC420" s="50" t="n">
        <f aca="false">BB420*CB420</f>
        <v>5.96153846153846</v>
      </c>
      <c r="BD420" s="51" t="n">
        <f aca="false">IF(LEFT(Cockpit!$O$5,1)="A",H420,IF(CH420=1,(CK420+CI420)/2,IF(LEFT(Cockpit!$O$5,1)="B",(CK420+BF420)/2,MAX((CK420+BF420)/2,H420))))</f>
        <v>107</v>
      </c>
      <c r="BE420" s="50" t="n">
        <f aca="false">BD420*G420</f>
        <v>50.29</v>
      </c>
      <c r="BF420" s="50" t="n">
        <f aca="false">ROUNDUP(CK420+MAX(CL420,2*(J420/IF(CG420&gt;0,CG420,MAX(0.1,N(Cockpit!$O$6)))-CK420)),0)</f>
        <v>207</v>
      </c>
      <c r="BG420" s="51" t="n">
        <f aca="false">IF(BC420&gt;0,J420/BC420,-1)</f>
        <v>30.1935483870968</v>
      </c>
      <c r="BH420" s="51" t="n">
        <f aca="false">IF(AND(OR(CF420="L1",CF420="L23",CF420="LIFT"),BC420&gt;0),SUMIFS($BC$7:$BC$1843,$CF$7:$CF$1843,CF420,$BG$7:$BG$1843,"&gt;"&amp;BG420)+SUMIFS($BC$7:$BC$1843,$CF$7:$CF$1843,CF420,$BG$7:$BG$1843,BG420,$BW$7:$BW$1843,"&lt;="&amp;BW420),"")</f>
        <v>1849.69688644689</v>
      </c>
      <c r="BI420" s="58" t="n">
        <f aca="false">IF(BH420="",0,MAX(0,MIN(1,(IF(CF420="L1",Parameter!$H$5,IF(CF420="L23",Parameter!$H$6+Parameter!$H$7,Parameter!$H$5+Parameter!$H$6+Parameter!$H$7))-(BH420-BC420))/BC420)))</f>
        <v>1</v>
      </c>
      <c r="BJ420" s="48" t="str">
        <f aca="false">IF(AI420&lt;=0,"",IF(CF420="Aussen","Aussenlager",IF(CF420="-","Nicht im Lift",IF(AO420&gt;=1,"Lift",IF(AO420&lt;=0,"Aussenlager","teilweise")))))</f>
        <v>Lift</v>
      </c>
      <c r="BK420" s="48" t="str">
        <f aca="false">IF(AS420&lt;=0,"",IF(CF420="Aussen","Aussenlager",IF(CF420="-","Nicht im Lift",IF(AY420&gt;=1,"Lift",IF(AY420&lt;=0,"Aussenlager","teilweise")))))</f>
        <v>Lift</v>
      </c>
      <c r="BL420" s="48" t="str">
        <f aca="false">IF(BC420&lt;=0,"",IF(CF420="Aussen","Aussenlager",IF(CF420="-","Nicht im Lift",IF(BI420&gt;=1,"Lift",IF(BI420&lt;=0,"Aussenlager","teilweise")))))</f>
        <v>Lift</v>
      </c>
      <c r="BM420" s="48" t="str">
        <f aca="false">IF(A420="","",IF(BV420=1,"Neu; ","")&amp;IF(AND(BV420=0,BQ420&lt;0),"negativer Bestand (Export "&amp;BQ420&amp;"); ","")&amp;IF(J420&lt;=0,"Kein Verbrauch; ","")&amp;IF(CQ420&gt;0,"Lift "&amp;W420&amp;" lt. Liftbericht (Fach "&amp;X420&amp;" Stk); ",IF(CA420=1,"Gebinde geschätzt ("&amp;T420&amp;"); ",IF(BZ420=1,"Lose – Tablare geschätzt; ","")))&amp;IF(H420&gt;AV420,"Überbestand "&amp;ROUND(H420-AV420,0)&amp;" Stk / CHF "&amp;ROUND((H420-AV420)*G420,0)&amp;"; ","")&amp;IF(AND(CH420=1,CI420&lt;CJ420),"MAX &lt; MB+LG; ","")&amp;IF(AND(CP420&gt;0,CO420*10&gt;CP420),"zu hoch für Tablar; ","")&amp;IF(AND(BV420=0,OR(CH420=1,AA420&lt;&gt;"",U420&lt;&gt;"",V420&lt;&gt;"",AB420&lt;&gt;"")),"manuell übersteuert; ","")&amp;IF(AND(BZ420=0,R420=0),"Gebinde unbekannt / Stellmass fehlt; ","")&amp;IF(AND(BZ420=0,N(V420)&lt;=0,N(Q420)&lt;=0),"Menge pro Gebinde fehlt (Ist = 1 Gebinde); ","")&amp;BU420)</f>
        <v/>
      </c>
      <c r="BN420" s="48"/>
      <c r="BO420" s="48"/>
      <c r="BP420" s="55"/>
      <c r="BQ420" s="50" t="n">
        <v>200</v>
      </c>
      <c r="BR420" s="50" t="n">
        <v>0</v>
      </c>
      <c r="BS420" s="49" t="n">
        <v>94</v>
      </c>
      <c r="BT420" s="50" t="n">
        <v>180</v>
      </c>
      <c r="BU420" s="48"/>
      <c r="BV420" s="53" t="n">
        <v>0</v>
      </c>
      <c r="BW420" s="53" t="n">
        <v>420</v>
      </c>
      <c r="BX420" s="48" t="str">
        <f aca="false">IF(U420&lt;&gt;"",UPPER(TRIM(U420)),IF(CA420=1,UPPER(VLOOKUP(T420,Parameter!$I$27:$K$29,2,0)),IF(P420="","LOSE",P420)))</f>
        <v>S41</v>
      </c>
      <c r="BY420" s="50" t="n">
        <f aca="false">IF(BX420="LOSE",1,IF(N(V420)&gt;0,V420,IF(CA420=1,MAX(1,N(VLOOKUP(T420,Parameter!$I$27:$K$29,3,0)),H420,N(N420)),IF(N(Q420)&gt;0,Q420,MAX(1,H420)))))</f>
        <v>100</v>
      </c>
      <c r="BZ420" s="53" t="n">
        <f aca="false">IF(BX420="LOSE",1,0)</f>
        <v>0</v>
      </c>
      <c r="CA420" s="53" t="n">
        <f aca="false">IF(AND(U420="",OR(P420="",P420="LOSE"),T420&lt;&gt;"",N(S420)&lt;=0,ISNUMBER(MATCH(T420,Parameter!$I$27:$I$29,0))),1,0)</f>
        <v>0</v>
      </c>
      <c r="CB420" s="53" t="n">
        <f aca="false">IF(CQ420&gt;0,INDEX(Parameter!$H$5:$H$7,W420)/INDEX(Parameter!$E$5:$E$7,W420),IF(AND(BZ420=0,N(IFERROR(VLOOKUP(BX420,'Gebinde-Kategorie'!$A$5:$N$45,14,0),0))&gt;0),VLOOKUP(BX420,'Gebinde-Kategorie'!$A$5:$N$45,14,0)*10+Parameter!$M$23,Parameter!$M$24))</f>
        <v>155</v>
      </c>
      <c r="CC420" s="48" t="str">
        <f aca="false">IF(AND(Parameter!$B$19="Ja",E420&lt;&gt;"",ISNUMBER(MATCH(E420,Parameter!$I$35:$I$52,0))),VLOOKUP(E420,Parameter!$I$35:$J$52,2,0),IFERROR(VLOOKUP(D420,Parameter!$A$35:$C$64,2,0),"Nein"))</f>
        <v>2+3</v>
      </c>
      <c r="CD420" s="52" t="n">
        <f aca="false">IF(BZ420=0,0,IF(N(S420)&gt;0,S420,IFERROR(VLOOKUP(D420,Parameter!$A$35:$C$64,3,0)+0,0)))</f>
        <v>0</v>
      </c>
      <c r="CE420" s="48" t="n">
        <f aca="false">IF(AA420&lt;&gt;"",AA420,Z420)</f>
        <v>3</v>
      </c>
      <c r="CF420" s="48" t="str">
        <f aca="false">IF(OR(CE420=1,CE420=2,CE420=3),IF(Parameter!$E$27="Ja","LIFT",IF(CE420=1,"L1","L23")),IF(CE420="Aussen","Aussen","-"))</f>
        <v>LIFT</v>
      </c>
      <c r="CG420" s="59" t="n">
        <f aca="false">IF(N(AB420)&gt;0,AB420,0)</f>
        <v>0</v>
      </c>
      <c r="CH420" s="53" t="n">
        <f aca="false">IF(ISNUMBER(AE420),1,0)</f>
        <v>0</v>
      </c>
      <c r="CI420" s="50" t="n">
        <f aca="false">N(AE420)</f>
        <v>0</v>
      </c>
      <c r="CJ420" s="50" t="n">
        <f aca="false">N(M420)+N(N420)</f>
        <v>207</v>
      </c>
      <c r="CK420" s="50" t="n">
        <f aca="false">N(M420)</f>
        <v>7</v>
      </c>
      <c r="CL420" s="50" t="n">
        <f aca="false">N(N420)</f>
        <v>200</v>
      </c>
      <c r="CM420" s="50" t="n">
        <f aca="false">ROUNDUP(H420/BY420,0)</f>
        <v>2</v>
      </c>
      <c r="CN420" s="50" t="n">
        <f aca="false">ROUNDUP(CI420/BY420,0)</f>
        <v>0</v>
      </c>
      <c r="CO420" s="53" t="n">
        <f aca="false">IF(BZ420=1,0,IFERROR(VLOOKUP(BX420,'Gebinde-Kategorie'!$A$5:$N$45,5,0)+0,0))</f>
        <v>11</v>
      </c>
      <c r="CP420" s="53" t="n">
        <f aca="false">IFERROR(IF(OR(CE420=1,CE420=2,CE420=3),N(INDEX(Parameter!$I$5:$I$7,CE420)),0),0)</f>
        <v>0</v>
      </c>
      <c r="CQ420" s="52" t="n">
        <f aca="false">IF(AND(Parameter!$B$21="Ja",ISNUMBER(W420),N(X420)&gt;0),IFERROR(N(INDEX(Parameter!$L$5:$L$7,W420))*INDEX(Parameter!$E$5:$E$7,W420)*X420/SUMIFS($X$7:$X$1843,$W$7:$W$1843,W420),0),0)</f>
        <v>0</v>
      </c>
    </row>
    <row r="421" customFormat="false" ht="15" hidden="false" customHeight="false" outlineLevel="0" collapsed="false">
      <c r="A421" s="48" t="s">
        <v>978</v>
      </c>
      <c r="B421" s="48" t="s">
        <v>979</v>
      </c>
      <c r="C421" s="48" t="s">
        <v>173</v>
      </c>
      <c r="D421" s="48" t="s">
        <v>182</v>
      </c>
      <c r="E421" s="48" t="s">
        <v>194</v>
      </c>
      <c r="F421" s="48" t="s">
        <v>227</v>
      </c>
      <c r="G421" s="49" t="n">
        <v>23.5</v>
      </c>
      <c r="H421" s="50" t="n">
        <f aca="false">MAX(0,IF(AND(Parameter!$B$21="Ja",ISNUMBER(Y421)),Y421,IF(Parameter!$B$20="Jahresanfang 2025 + Export",BR421+BQ421,BQ421)))</f>
        <v>10</v>
      </c>
      <c r="I421" s="50" t="n">
        <f aca="false">H421*G421</f>
        <v>235</v>
      </c>
      <c r="J421" s="50" t="n">
        <f aca="false">BT421*Parameter!$B$18</f>
        <v>34</v>
      </c>
      <c r="K421" s="51" t="n">
        <v>19</v>
      </c>
      <c r="L421" s="52" t="n">
        <v>1.78947368421053</v>
      </c>
      <c r="M421" s="50" t="n">
        <v>1</v>
      </c>
      <c r="N421" s="50" t="n">
        <v>35</v>
      </c>
      <c r="O421" s="53" t="n">
        <v>21</v>
      </c>
      <c r="P421" s="48" t="s">
        <v>242</v>
      </c>
      <c r="Q421" s="50" t="n">
        <v>28</v>
      </c>
      <c r="R421" s="53" t="n">
        <f aca="false">IF(BZ421=1,0,IFERROR(VLOOKUP(BX421,'Gebinde-Kategorie'!$A$5:$N$45,13,0)+0,0))</f>
        <v>26</v>
      </c>
      <c r="S421" s="54"/>
      <c r="T421" s="55"/>
      <c r="U421" s="55"/>
      <c r="V421" s="55"/>
      <c r="W421" s="48"/>
      <c r="X421" s="50"/>
      <c r="Y421" s="50"/>
      <c r="Z421" s="48" t="n">
        <f aca="false">IF(A421="","",IF(AND(Parameter!$B$21="Ja",ISNUMBER(W421)),W421,IF(CC421="2+3",IF(ISNUMBER(SEARCH("grosser Artikel",BU421)),2,IFERROR(VLOOKUP(BX421,Parameter!$F$35:$G$64,2,0),2)),IF(OR(CC421="Nein",CC421=""),"-",CC421))))</f>
        <v>3</v>
      </c>
      <c r="AA421" s="55"/>
      <c r="AB421" s="56"/>
      <c r="AC421" s="50" t="n">
        <f aca="false">AV421</f>
        <v>36</v>
      </c>
      <c r="AD421" s="50" t="n">
        <f aca="false">MAX(AV421,H421)</f>
        <v>36</v>
      </c>
      <c r="AE421" s="57"/>
      <c r="AF421" s="50" t="n">
        <f aca="false">IF(LEFT(Cockpit!$C$5,1)="A",H421,IF(Parameter!$E$30="MAX-Bestand",IF(CH421=1,CI421,IF(LEFT(Cockpit!$C$5,1)="B",AL421,MAX(AL421,H421))),ROUNDUP(AJ421,0)))</f>
        <v>10</v>
      </c>
      <c r="AG421" s="50" t="n">
        <f aca="false">IF(BZ421=1,0,ROUNDUP(AF421/BY421,0))</f>
        <v>1</v>
      </c>
      <c r="AH421" s="52" t="n">
        <f aca="false">IF(CQ421&gt;0,CQ421*MAX(1,AF421/X421),IF(BZ421=1,IF(AF421&lt;=0,0,CD421*MAX(1,IF(H421&gt;0,AF421/H421,1))),IF(R421&gt;0,AG421/R421,0))/MAX(0.1,N(Parameter!$M$21)))</f>
        <v>0.0384615384615385</v>
      </c>
      <c r="AI421" s="50" t="n">
        <f aca="false">AH421*CB421</f>
        <v>9.42307692307692</v>
      </c>
      <c r="AJ421" s="51" t="n">
        <f aca="false">IF(LEFT(Cockpit!$C$5,1)="A",H421,IF(CH421=1,(CK421+CI421)/2,IF(LEFT(Cockpit!$C$5,1)="B",(CK421+AL421)/2,MAX((CK421+AL421)/2,H421))))</f>
        <v>10</v>
      </c>
      <c r="AK421" s="50" t="n">
        <f aca="false">AJ421*G421</f>
        <v>235</v>
      </c>
      <c r="AL421" s="50" t="n">
        <f aca="false">ROUNDUP(CK421+MAX(CL421,2*(J421/IF(CG421&gt;0,CG421,MAX(0.1,N(Cockpit!$C$6)))-CK421)),0)</f>
        <v>36</v>
      </c>
      <c r="AM421" s="51" t="n">
        <f aca="false">IF(AI421&gt;0,J421/AI421,-1)</f>
        <v>3.60816326530612</v>
      </c>
      <c r="AN421" s="51" t="n">
        <f aca="false">IF(AND(OR(CF421="L1",CF421="L23",CF421="LIFT"),AI421&gt;0),SUMIFS($AI$7:$AI$1843,$CF$7:$CF$1843,CF421,$AM$7:$AM$1843,"&gt;"&amp;AM421)+SUMIFS($AI$7:$AI$1843,$CF$7:$CF$1843,CF421,$AM$7:$AM$1843,AM421,$BW$7:$BW$1843,"&lt;="&amp;BW421),"")</f>
        <v>4841.72573260073</v>
      </c>
      <c r="AO421" s="58" t="n">
        <f aca="false">IF(AN421="",0,MAX(0,MIN(1,(IF(CF421="L1",Parameter!$H$5,IF(CF421="L23",Parameter!$H$6+Parameter!$H$7,Parameter!$H$5+Parameter!$H$6+Parameter!$H$7))-(AN421-AI421))/AI421)))</f>
        <v>1</v>
      </c>
      <c r="AP421" s="50" t="n">
        <f aca="false">IF(LEFT(Cockpit!$I$5,1)="A",H421,IF(Parameter!$E$30="MAX-Bestand",IF(CH421=1,CI421,IF(LEFT(Cockpit!$I$5,1)="B",AV421,MAX(AV421,H421))),ROUNDUP(AT421,0)))</f>
        <v>19</v>
      </c>
      <c r="AQ421" s="50" t="n">
        <f aca="false">IF(BZ421=1,0,ROUNDUP(AP421/BY421,0))</f>
        <v>1</v>
      </c>
      <c r="AR421" s="52" t="n">
        <f aca="false">IF(CQ421&gt;0,CQ421*MAX(1,AP421/X421),IF(BZ421=1,IF(AP421&lt;=0,0,CD421*MAX(1,IF(H421&gt;0,AP421/H421,1))),IF(R421&gt;0,AQ421/R421,0))/MAX(0.1,N(Parameter!$M$21)))</f>
        <v>0.0384615384615385</v>
      </c>
      <c r="AS421" s="50" t="n">
        <f aca="false">AR421*CB421</f>
        <v>9.42307692307692</v>
      </c>
      <c r="AT421" s="51" t="n">
        <f aca="false">IF(LEFT(Cockpit!$I$5,1)="A",H421,IF(CH421=1,(CK421+CI421)/2,IF(LEFT(Cockpit!$I$5,1)="B",(CK421+AV421)/2,MAX((CK421+AV421)/2,H421))))</f>
        <v>18.5</v>
      </c>
      <c r="AU421" s="50" t="n">
        <f aca="false">AT421*G421</f>
        <v>434.75</v>
      </c>
      <c r="AV421" s="50" t="n">
        <f aca="false">ROUNDUP(CK421+MAX(CL421,2*(J421/IF(CG421&gt;0,CG421,MAX(0.1,N(Cockpit!$I$6)))-CK421)),0)</f>
        <v>36</v>
      </c>
      <c r="AW421" s="51" t="n">
        <f aca="false">IF(AS421&gt;0,J421/AS421,-1)</f>
        <v>3.60816326530612</v>
      </c>
      <c r="AX421" s="51" t="n">
        <f aca="false">IF(AND(OR(CF421="L1",CF421="L23",CF421="LIFT"),AS421&gt;0),SUMIFS($AS$7:$AS$1843,$CF$7:$CF$1843,CF421,$AW$7:$AW$1843,"&gt;"&amp;AW421)+SUMIFS($AS$7:$AS$1843,$CF$7:$CF$1843,CF421,$AW$7:$AW$1843,AW421,$BW$7:$BW$1843,"&lt;="&amp;BW421),"")</f>
        <v>5419.31272893773</v>
      </c>
      <c r="AY421" s="58" t="n">
        <f aca="false">IF(AX421="",0,MAX(0,MIN(1,(IF(CF421="L1",Parameter!$H$5,IF(CF421="L23",Parameter!$H$6+Parameter!$H$7,Parameter!$H$5+Parameter!$H$6+Parameter!$H$7))-(AX421-AS421))/AS421)))</f>
        <v>1</v>
      </c>
      <c r="AZ421" s="50" t="n">
        <f aca="false">IF(LEFT(Cockpit!$O$5,1)="A",H421,IF(Parameter!$E$30="MAX-Bestand",IF(CH421=1,CI421,IF(LEFT(Cockpit!$O$5,1)="B",BF421,MAX(BF421,H421))),ROUNDUP(BD421,0)))</f>
        <v>19</v>
      </c>
      <c r="BA421" s="50" t="n">
        <f aca="false">IF(BZ421=1,0,ROUNDUP(AZ421/BY421,0))</f>
        <v>1</v>
      </c>
      <c r="BB421" s="52" t="n">
        <f aca="false">IF(CQ421&gt;0,CQ421*MAX(1,AZ421/X421),IF(BZ421=1,IF(AZ421&lt;=0,0,CD421*MAX(1,IF(H421&gt;0,AZ421/H421,1))),IF(R421&gt;0,BA421/R421,0))/MAX(0.1,N(Parameter!$M$21)))</f>
        <v>0.0384615384615385</v>
      </c>
      <c r="BC421" s="50" t="n">
        <f aca="false">BB421*CB421</f>
        <v>9.42307692307692</v>
      </c>
      <c r="BD421" s="51" t="n">
        <f aca="false">IF(LEFT(Cockpit!$O$5,1)="A",H421,IF(CH421=1,(CK421+CI421)/2,IF(LEFT(Cockpit!$O$5,1)="B",(CK421+BF421)/2,MAX((CK421+BF421)/2,H421))))</f>
        <v>18.5</v>
      </c>
      <c r="BE421" s="50" t="n">
        <f aca="false">BD421*G421</f>
        <v>434.75</v>
      </c>
      <c r="BF421" s="50" t="n">
        <f aca="false">ROUNDUP(CK421+MAX(CL421,2*(J421/IF(CG421&gt;0,CG421,MAX(0.1,N(Cockpit!$O$6)))-CK421)),0)</f>
        <v>36</v>
      </c>
      <c r="BG421" s="51" t="n">
        <f aca="false">IF(BC421&gt;0,J421/BC421,-1)</f>
        <v>3.60816326530612</v>
      </c>
      <c r="BH421" s="51" t="n">
        <f aca="false">IF(AND(OR(CF421="L1",CF421="L23",CF421="LIFT"),BC421&gt;0),SUMIFS($BC$7:$BC$1843,$CF$7:$CF$1843,CF421,$BG$7:$BG$1843,"&gt;"&amp;BG421)+SUMIFS($BC$7:$BC$1843,$CF$7:$CF$1843,CF421,$BG$7:$BG$1843,BG421,$BW$7:$BW$1843,"&lt;="&amp;BW421),"")</f>
        <v>4433.80952380952</v>
      </c>
      <c r="BI421" s="58" t="n">
        <f aca="false">IF(BH421="",0,MAX(0,MIN(1,(IF(CF421="L1",Parameter!$H$5,IF(CF421="L23",Parameter!$H$6+Parameter!$H$7,Parameter!$H$5+Parameter!$H$6+Parameter!$H$7))-(BH421-BC421))/BC421)))</f>
        <v>1</v>
      </c>
      <c r="BJ421" s="48" t="str">
        <f aca="false">IF(AI421&lt;=0,"",IF(CF421="Aussen","Aussenlager",IF(CF421="-","Nicht im Lift",IF(AO421&gt;=1,"Lift",IF(AO421&lt;=0,"Aussenlager","teilweise")))))</f>
        <v>Lift</v>
      </c>
      <c r="BK421" s="48" t="str">
        <f aca="false">IF(AS421&lt;=0,"",IF(CF421="Aussen","Aussenlager",IF(CF421="-","Nicht im Lift",IF(AY421&gt;=1,"Lift",IF(AY421&lt;=0,"Aussenlager","teilweise")))))</f>
        <v>Lift</v>
      </c>
      <c r="BL421" s="48" t="str">
        <f aca="false">IF(BC421&lt;=0,"",IF(CF421="Aussen","Aussenlager",IF(CF421="-","Nicht im Lift",IF(BI421&gt;=1,"Lift",IF(BI421&lt;=0,"Aussenlager","teilweise")))))</f>
        <v>Lift</v>
      </c>
      <c r="BM421" s="48" t="str">
        <f aca="false">IF(A421="","",IF(BV421=1,"Neu; ","")&amp;IF(AND(BV421=0,BQ421&lt;0),"negativer Bestand (Export "&amp;BQ421&amp;"); ","")&amp;IF(J421&lt;=0,"Kein Verbrauch; ","")&amp;IF(CQ421&gt;0,"Lift "&amp;W421&amp;" lt. Liftbericht (Fach "&amp;X421&amp;" Stk); ",IF(CA421=1,"Gebinde geschätzt ("&amp;T421&amp;"); ",IF(BZ421=1,"Lose – Tablare geschätzt; ","")))&amp;IF(H421&gt;AV421,"Überbestand "&amp;ROUND(H421-AV421,0)&amp;" Stk / CHF "&amp;ROUND((H421-AV421)*G421,0)&amp;"; ","")&amp;IF(AND(CH421=1,CI421&lt;CJ421),"MAX &lt; MB+LG; ","")&amp;IF(AND(CP421&gt;0,CO421*10&gt;CP421),"zu hoch für Tablar; ","")&amp;IF(AND(BV421=0,OR(CH421=1,AA421&lt;&gt;"",U421&lt;&gt;"",V421&lt;&gt;"",AB421&lt;&gt;"")),"manuell übersteuert; ","")&amp;IF(AND(BZ421=0,R421=0),"Gebinde unbekannt / Stellmass fehlt; ","")&amp;IF(AND(BZ421=0,N(V421)&lt;=0,N(Q421)&lt;=0),"Menge pro Gebinde fehlt (Ist = 1 Gebinde); ","")&amp;BU421)</f>
        <v>Neu</v>
      </c>
      <c r="BN421" s="48"/>
      <c r="BO421" s="48"/>
      <c r="BP421" s="55"/>
      <c r="BQ421" s="50" t="n">
        <v>4</v>
      </c>
      <c r="BR421" s="50" t="n">
        <v>6</v>
      </c>
      <c r="BS421" s="49" t="n">
        <v>94</v>
      </c>
      <c r="BT421" s="50" t="n">
        <v>34</v>
      </c>
      <c r="BU421" s="48" t="s">
        <v>635</v>
      </c>
      <c r="BV421" s="53" t="n">
        <v>0</v>
      </c>
      <c r="BW421" s="53" t="n">
        <v>421</v>
      </c>
      <c r="BX421" s="48" t="str">
        <f aca="false">IF(U421&lt;&gt;"",UPPER(TRIM(U421)),IF(CA421=1,UPPER(VLOOKUP(T421,Parameter!$I$27:$K$29,2,0)),IF(P421="","LOSE",P421)))</f>
        <v>S52</v>
      </c>
      <c r="BY421" s="50" t="n">
        <f aca="false">IF(BX421="LOSE",1,IF(N(V421)&gt;0,V421,IF(CA421=1,MAX(1,N(VLOOKUP(T421,Parameter!$I$27:$K$29,3,0)),H421,N(N421)),IF(N(Q421)&gt;0,Q421,MAX(1,H421)))))</f>
        <v>28</v>
      </c>
      <c r="BZ421" s="53" t="n">
        <f aca="false">IF(BX421="LOSE",1,0)</f>
        <v>0</v>
      </c>
      <c r="CA421" s="53" t="n">
        <f aca="false">IF(AND(U421="",OR(P421="",P421="LOSE"),T421&lt;&gt;"",N(S421)&lt;=0,ISNUMBER(MATCH(T421,Parameter!$I$27:$I$29,0))),1,0)</f>
        <v>0</v>
      </c>
      <c r="CB421" s="53" t="n">
        <f aca="false">IF(CQ421&gt;0,INDEX(Parameter!$H$5:$H$7,W421)/INDEX(Parameter!$E$5:$E$7,W421),IF(AND(BZ421=0,N(IFERROR(VLOOKUP(BX421,'Gebinde-Kategorie'!$A$5:$N$45,14,0),0))&gt;0),VLOOKUP(BX421,'Gebinde-Kategorie'!$A$5:$N$45,14,0)*10+Parameter!$M$23,Parameter!$M$24))</f>
        <v>245</v>
      </c>
      <c r="CC421" s="48" t="str">
        <f aca="false">IF(AND(Parameter!$B$19="Ja",E421&lt;&gt;"",ISNUMBER(MATCH(E421,Parameter!$I$35:$I$52,0))),VLOOKUP(E421,Parameter!$I$35:$J$52,2,0),IFERROR(VLOOKUP(D421,Parameter!$A$35:$C$64,2,0),"Nein"))</f>
        <v>2+3</v>
      </c>
      <c r="CD421" s="52" t="n">
        <f aca="false">IF(BZ421=0,0,IF(N(S421)&gt;0,S421,IFERROR(VLOOKUP(D421,Parameter!$A$35:$C$64,3,0)+0,0)))</f>
        <v>0</v>
      </c>
      <c r="CE421" s="48" t="n">
        <f aca="false">IF(AA421&lt;&gt;"",AA421,Z421)</f>
        <v>3</v>
      </c>
      <c r="CF421" s="48" t="str">
        <f aca="false">IF(OR(CE421=1,CE421=2,CE421=3),IF(Parameter!$E$27="Ja","LIFT",IF(CE421=1,"L1","L23")),IF(CE421="Aussen","Aussen","-"))</f>
        <v>LIFT</v>
      </c>
      <c r="CG421" s="59" t="n">
        <f aca="false">IF(N(AB421)&gt;0,AB421,0)</f>
        <v>0</v>
      </c>
      <c r="CH421" s="53" t="n">
        <f aca="false">IF(ISNUMBER(AE421),1,0)</f>
        <v>0</v>
      </c>
      <c r="CI421" s="50" t="n">
        <f aca="false">N(AE421)</f>
        <v>0</v>
      </c>
      <c r="CJ421" s="50" t="n">
        <f aca="false">N(M421)+N(N421)</f>
        <v>36</v>
      </c>
      <c r="CK421" s="50" t="n">
        <f aca="false">N(M421)</f>
        <v>1</v>
      </c>
      <c r="CL421" s="50" t="n">
        <f aca="false">N(N421)</f>
        <v>35</v>
      </c>
      <c r="CM421" s="50" t="n">
        <f aca="false">ROUNDUP(H421/BY421,0)</f>
        <v>1</v>
      </c>
      <c r="CN421" s="50" t="n">
        <f aca="false">ROUNDUP(CI421/BY421,0)</f>
        <v>0</v>
      </c>
      <c r="CO421" s="53" t="n">
        <f aca="false">IF(BZ421=1,0,IFERROR(VLOOKUP(BX421,'Gebinde-Kategorie'!$A$5:$N$45,5,0)+0,0))</f>
        <v>21</v>
      </c>
      <c r="CP421" s="53" t="n">
        <f aca="false">IFERROR(IF(OR(CE421=1,CE421=2,CE421=3),N(INDEX(Parameter!$I$5:$I$7,CE421)),0),0)</f>
        <v>0</v>
      </c>
      <c r="CQ421" s="52" t="n">
        <f aca="false">IF(AND(Parameter!$B$21="Ja",ISNUMBER(W421),N(X421)&gt;0),IFERROR(N(INDEX(Parameter!$L$5:$L$7,W421))*INDEX(Parameter!$E$5:$E$7,W421)*X421/SUMIFS($X$7:$X$1843,$W$7:$W$1843,W421),0),0)</f>
        <v>0</v>
      </c>
    </row>
    <row r="422" customFormat="false" ht="15" hidden="false" customHeight="false" outlineLevel="0" collapsed="false">
      <c r="A422" s="48" t="s">
        <v>980</v>
      </c>
      <c r="B422" s="48" t="s">
        <v>981</v>
      </c>
      <c r="C422" s="48" t="s">
        <v>173</v>
      </c>
      <c r="D422" s="48" t="s">
        <v>193</v>
      </c>
      <c r="E422" s="48" t="s">
        <v>194</v>
      </c>
      <c r="F422" s="48" t="s">
        <v>227</v>
      </c>
      <c r="G422" s="49" t="n">
        <v>3.86</v>
      </c>
      <c r="H422" s="50" t="n">
        <f aca="false">MAX(0,IF(AND(Parameter!$B$21="Ja",ISNUMBER(Y422)),Y422,IF(Parameter!$B$20="Jahresanfang 2025 + Export",BR422+BQ422,BQ422)))</f>
        <v>139</v>
      </c>
      <c r="I422" s="50" t="n">
        <f aca="false">H422*G422</f>
        <v>536.54</v>
      </c>
      <c r="J422" s="50" t="n">
        <f aca="false">BT422*Parameter!$B$18</f>
        <v>137</v>
      </c>
      <c r="K422" s="51" t="n">
        <v>98</v>
      </c>
      <c r="L422" s="52" t="n">
        <v>1.39795918367347</v>
      </c>
      <c r="M422" s="50" t="n">
        <v>5</v>
      </c>
      <c r="N422" s="50" t="n">
        <v>135</v>
      </c>
      <c r="O422" s="53" t="n">
        <v>14</v>
      </c>
      <c r="P422" s="48" t="s">
        <v>311</v>
      </c>
      <c r="Q422" s="50" t="n">
        <v>45</v>
      </c>
      <c r="R422" s="53" t="n">
        <f aca="false">IF(BZ422=1,0,IFERROR(VLOOKUP(BX422,'Gebinde-Kategorie'!$A$5:$N$45,13,0)+0,0))</f>
        <v>26</v>
      </c>
      <c r="S422" s="54"/>
      <c r="T422" s="55"/>
      <c r="U422" s="55"/>
      <c r="V422" s="55"/>
      <c r="W422" s="48"/>
      <c r="X422" s="50"/>
      <c r="Y422" s="50"/>
      <c r="Z422" s="48" t="n">
        <f aca="false">IF(A422="","",IF(AND(Parameter!$B$21="Ja",ISNUMBER(W422)),W422,IF(CC422="2+3",IF(ISNUMBER(SEARCH("grosser Artikel",BU422)),2,IFERROR(VLOOKUP(BX422,Parameter!$F$35:$G$64,2,0),2)),IF(OR(CC422="Nein",CC422=""),"-",CC422))))</f>
        <v>3</v>
      </c>
      <c r="AA422" s="55"/>
      <c r="AB422" s="56"/>
      <c r="AC422" s="50" t="n">
        <f aca="false">AV422</f>
        <v>140</v>
      </c>
      <c r="AD422" s="50" t="n">
        <f aca="false">MAX(AV422,H422)</f>
        <v>140</v>
      </c>
      <c r="AE422" s="57"/>
      <c r="AF422" s="50" t="n">
        <f aca="false">IF(LEFT(Cockpit!$C$5,1)="A",H422,IF(Parameter!$E$30="MAX-Bestand",IF(CH422=1,CI422,IF(LEFT(Cockpit!$C$5,1)="B",AL422,MAX(AL422,H422))),ROUNDUP(AJ422,0)))</f>
        <v>139</v>
      </c>
      <c r="AG422" s="50" t="n">
        <f aca="false">IF(BZ422=1,0,ROUNDUP(AF422/BY422,0))</f>
        <v>4</v>
      </c>
      <c r="AH422" s="52" t="n">
        <f aca="false">IF(CQ422&gt;0,CQ422*MAX(1,AF422/X422),IF(BZ422=1,IF(AF422&lt;=0,0,CD422*MAX(1,IF(H422&gt;0,AF422/H422,1))),IF(R422&gt;0,AG422/R422,0))/MAX(0.1,N(Parameter!$M$21)))</f>
        <v>0.153846153846154</v>
      </c>
      <c r="AI422" s="50" t="n">
        <f aca="false">AH422*CB422</f>
        <v>23.8461538461538</v>
      </c>
      <c r="AJ422" s="51" t="n">
        <f aca="false">IF(LEFT(Cockpit!$C$5,1)="A",H422,IF(CH422=1,(CK422+CI422)/2,IF(LEFT(Cockpit!$C$5,1)="B",(CK422+AL422)/2,MAX((CK422+AL422)/2,H422))))</f>
        <v>139</v>
      </c>
      <c r="AK422" s="50" t="n">
        <f aca="false">AJ422*G422</f>
        <v>536.54</v>
      </c>
      <c r="AL422" s="50" t="n">
        <f aca="false">ROUNDUP(CK422+MAX(CL422,2*(J422/IF(CG422&gt;0,CG422,MAX(0.1,N(Cockpit!$C$6)))-CK422)),0)</f>
        <v>140</v>
      </c>
      <c r="AM422" s="51" t="n">
        <f aca="false">IF(AI422&gt;0,J422/AI422,-1)</f>
        <v>5.74516129032258</v>
      </c>
      <c r="AN422" s="51" t="n">
        <f aca="false">IF(AND(OR(CF422="L1",CF422="L23",CF422="LIFT"),AI422&gt;0),SUMIFS($AI$7:$AI$1843,$CF$7:$CF$1843,CF422,$AM$7:$AM$1843,"&gt;"&amp;AM422)+SUMIFS($AI$7:$AI$1843,$CF$7:$CF$1843,CF422,$AM$7:$AM$1843,AM422,$BW$7:$BW$1843,"&lt;="&amp;BW422),"")</f>
        <v>3564.64148351648</v>
      </c>
      <c r="AO422" s="58" t="n">
        <f aca="false">IF(AN422="",0,MAX(0,MIN(1,(IF(CF422="L1",Parameter!$H$5,IF(CF422="L23",Parameter!$H$6+Parameter!$H$7,Parameter!$H$5+Parameter!$H$6+Parameter!$H$7))-(AN422-AI422))/AI422)))</f>
        <v>1</v>
      </c>
      <c r="AP422" s="50" t="n">
        <f aca="false">IF(LEFT(Cockpit!$I$5,1)="A",H422,IF(Parameter!$E$30="MAX-Bestand",IF(CH422=1,CI422,IF(LEFT(Cockpit!$I$5,1)="B",AV422,MAX(AV422,H422))),ROUNDUP(AT422,0)))</f>
        <v>139</v>
      </c>
      <c r="AQ422" s="50" t="n">
        <f aca="false">IF(BZ422=1,0,ROUNDUP(AP422/BY422,0))</f>
        <v>4</v>
      </c>
      <c r="AR422" s="52" t="n">
        <f aca="false">IF(CQ422&gt;0,CQ422*MAX(1,AP422/X422),IF(BZ422=1,IF(AP422&lt;=0,0,CD422*MAX(1,IF(H422&gt;0,AP422/H422,1))),IF(R422&gt;0,AQ422/R422,0))/MAX(0.1,N(Parameter!$M$21)))</f>
        <v>0.153846153846154</v>
      </c>
      <c r="AS422" s="50" t="n">
        <f aca="false">AR422*CB422</f>
        <v>23.8461538461538</v>
      </c>
      <c r="AT422" s="51" t="n">
        <f aca="false">IF(LEFT(Cockpit!$I$5,1)="A",H422,IF(CH422=1,(CK422+CI422)/2,IF(LEFT(Cockpit!$I$5,1)="B",(CK422+AV422)/2,MAX((CK422+AV422)/2,H422))))</f>
        <v>139</v>
      </c>
      <c r="AU422" s="50" t="n">
        <f aca="false">AT422*G422</f>
        <v>536.54</v>
      </c>
      <c r="AV422" s="50" t="n">
        <f aca="false">ROUNDUP(CK422+MAX(CL422,2*(J422/IF(CG422&gt;0,CG422,MAX(0.1,N(Cockpit!$I$6)))-CK422)),0)</f>
        <v>140</v>
      </c>
      <c r="AW422" s="51" t="n">
        <f aca="false">IF(AS422&gt;0,J422/AS422,-1)</f>
        <v>5.74516129032258</v>
      </c>
      <c r="AX422" s="51" t="n">
        <f aca="false">IF(AND(OR(CF422="L1",CF422="L23",CF422="LIFT"),AS422&gt;0),SUMIFS($AS$7:$AS$1843,$CF$7:$CF$1843,CF422,$AW$7:$AW$1843,"&gt;"&amp;AW422)+SUMIFS($AS$7:$AS$1843,$CF$7:$CF$1843,CF422,$AW$7:$AW$1843,AW422,$BW$7:$BW$1843,"&lt;="&amp;BW422),"")</f>
        <v>4218.38232600733</v>
      </c>
      <c r="AY422" s="58" t="n">
        <f aca="false">IF(AX422="",0,MAX(0,MIN(1,(IF(CF422="L1",Parameter!$H$5,IF(CF422="L23",Parameter!$H$6+Parameter!$H$7,Parameter!$H$5+Parameter!$H$6+Parameter!$H$7))-(AX422-AS422))/AS422)))</f>
        <v>1</v>
      </c>
      <c r="AZ422" s="50" t="n">
        <f aca="false">IF(LEFT(Cockpit!$O$5,1)="A",H422,IF(Parameter!$E$30="MAX-Bestand",IF(CH422=1,CI422,IF(LEFT(Cockpit!$O$5,1)="B",BF422,MAX(BF422,H422))),ROUNDUP(BD422,0)))</f>
        <v>73</v>
      </c>
      <c r="BA422" s="50" t="n">
        <f aca="false">IF(BZ422=1,0,ROUNDUP(AZ422/BY422,0))</f>
        <v>2</v>
      </c>
      <c r="BB422" s="52" t="n">
        <f aca="false">IF(CQ422&gt;0,CQ422*MAX(1,AZ422/X422),IF(BZ422=1,IF(AZ422&lt;=0,0,CD422*MAX(1,IF(H422&gt;0,AZ422/H422,1))),IF(R422&gt;0,BA422/R422,0))/MAX(0.1,N(Parameter!$M$21)))</f>
        <v>0.0769230769230769</v>
      </c>
      <c r="BC422" s="50" t="n">
        <f aca="false">BB422*CB422</f>
        <v>11.9230769230769</v>
      </c>
      <c r="BD422" s="51" t="n">
        <f aca="false">IF(LEFT(Cockpit!$O$5,1)="A",H422,IF(CH422=1,(CK422+CI422)/2,IF(LEFT(Cockpit!$O$5,1)="B",(CK422+BF422)/2,MAX((CK422+BF422)/2,H422))))</f>
        <v>72.5</v>
      </c>
      <c r="BE422" s="50" t="n">
        <f aca="false">BD422*G422</f>
        <v>279.85</v>
      </c>
      <c r="BF422" s="50" t="n">
        <f aca="false">ROUNDUP(CK422+MAX(CL422,2*(J422/IF(CG422&gt;0,CG422,MAX(0.1,N(Cockpit!$O$6)))-CK422)),0)</f>
        <v>140</v>
      </c>
      <c r="BG422" s="51" t="n">
        <f aca="false">IF(BC422&gt;0,J422/BC422,-1)</f>
        <v>11.4903225806452</v>
      </c>
      <c r="BH422" s="51" t="n">
        <f aca="false">IF(AND(OR(CF422="L1",CF422="L23",CF422="LIFT"),BC422&gt;0),SUMIFS($BC$7:$BC$1843,$CF$7:$CF$1843,CF422,$BG$7:$BG$1843,"&gt;"&amp;BG422)+SUMIFS($BC$7:$BC$1843,$CF$7:$CF$1843,CF422,$BG$7:$BG$1843,BG422,$BW$7:$BW$1843,"&lt;="&amp;BW422),"")</f>
        <v>2604.52106227106</v>
      </c>
      <c r="BI422" s="58" t="n">
        <f aca="false">IF(BH422="",0,MAX(0,MIN(1,(IF(CF422="L1",Parameter!$H$5,IF(CF422="L23",Parameter!$H$6+Parameter!$H$7,Parameter!$H$5+Parameter!$H$6+Parameter!$H$7))-(BH422-BC422))/BC422)))</f>
        <v>1</v>
      </c>
      <c r="BJ422" s="48" t="str">
        <f aca="false">IF(AI422&lt;=0,"",IF(CF422="Aussen","Aussenlager",IF(CF422="-","Nicht im Lift",IF(AO422&gt;=1,"Lift",IF(AO422&lt;=0,"Aussenlager","teilweise")))))</f>
        <v>Lift</v>
      </c>
      <c r="BK422" s="48" t="str">
        <f aca="false">IF(AS422&lt;=0,"",IF(CF422="Aussen","Aussenlager",IF(CF422="-","Nicht im Lift",IF(AY422&gt;=1,"Lift",IF(AY422&lt;=0,"Aussenlager","teilweise")))))</f>
        <v>Lift</v>
      </c>
      <c r="BL422" s="48" t="str">
        <f aca="false">IF(BC422&lt;=0,"",IF(CF422="Aussen","Aussenlager",IF(CF422="-","Nicht im Lift",IF(BI422&gt;=1,"Lift",IF(BI422&lt;=0,"Aussenlager","teilweise")))))</f>
        <v>Lift</v>
      </c>
      <c r="BM422" s="48" t="str">
        <f aca="false">IF(A422="","",IF(BV422=1,"Neu; ","")&amp;IF(AND(BV422=0,BQ422&lt;0),"negativer Bestand (Export "&amp;BQ422&amp;"); ","")&amp;IF(J422&lt;=0,"Kein Verbrauch; ","")&amp;IF(CQ422&gt;0,"Lift "&amp;W422&amp;" lt. Liftbericht (Fach "&amp;X422&amp;" Stk); ",IF(CA422=1,"Gebinde geschätzt ("&amp;T422&amp;"); ",IF(BZ422=1,"Lose – Tablare geschätzt; ","")))&amp;IF(H422&gt;AV422,"Überbestand "&amp;ROUND(H422-AV422,0)&amp;" Stk / CHF "&amp;ROUND((H422-AV422)*G422,0)&amp;"; ","")&amp;IF(AND(CH422=1,CI422&lt;CJ422),"MAX &lt; MB+LG; ","")&amp;IF(AND(CP422&gt;0,CO422*10&gt;CP422),"zu hoch für Tablar; ","")&amp;IF(AND(BV422=0,OR(CH422=1,AA422&lt;&gt;"",U422&lt;&gt;"",V422&lt;&gt;"",AB422&lt;&gt;"")),"manuell übersteuert; ","")&amp;IF(AND(BZ422=0,R422=0),"Gebinde unbekannt / Stellmass fehlt; ","")&amp;IF(AND(BZ422=0,N(V422)&lt;=0,N(Q422)&lt;=0),"Menge pro Gebinde fehlt (Ist = 1 Gebinde); ","")&amp;BU422)</f>
        <v/>
      </c>
      <c r="BN422" s="48"/>
      <c r="BO422" s="48"/>
      <c r="BP422" s="55"/>
      <c r="BQ422" s="50" t="n">
        <v>48</v>
      </c>
      <c r="BR422" s="50" t="n">
        <v>91</v>
      </c>
      <c r="BS422" s="49" t="n">
        <v>93.37</v>
      </c>
      <c r="BT422" s="50" t="n">
        <v>137</v>
      </c>
      <c r="BU422" s="48"/>
      <c r="BV422" s="53" t="n">
        <v>0</v>
      </c>
      <c r="BW422" s="53" t="n">
        <v>422</v>
      </c>
      <c r="BX422" s="48" t="str">
        <f aca="false">IF(U422&lt;&gt;"",UPPER(TRIM(U422)),IF(CA422=1,UPPER(VLOOKUP(T422,Parameter!$I$27:$K$29,2,0)),IF(P422="","LOSE",P422)))</f>
        <v>S51</v>
      </c>
      <c r="BY422" s="50" t="n">
        <f aca="false">IF(BX422="LOSE",1,IF(N(V422)&gt;0,V422,IF(CA422=1,MAX(1,N(VLOOKUP(T422,Parameter!$I$27:$K$29,3,0)),H422,N(N422)),IF(N(Q422)&gt;0,Q422,MAX(1,H422)))))</f>
        <v>45</v>
      </c>
      <c r="BZ422" s="53" t="n">
        <f aca="false">IF(BX422="LOSE",1,0)</f>
        <v>0</v>
      </c>
      <c r="CA422" s="53" t="n">
        <f aca="false">IF(AND(U422="",OR(P422="",P422="LOSE"),T422&lt;&gt;"",N(S422)&lt;=0,ISNUMBER(MATCH(T422,Parameter!$I$27:$I$29,0))),1,0)</f>
        <v>0</v>
      </c>
      <c r="CB422" s="53" t="n">
        <f aca="false">IF(CQ422&gt;0,INDEX(Parameter!$H$5:$H$7,W422)/INDEX(Parameter!$E$5:$E$7,W422),IF(AND(BZ422=0,N(IFERROR(VLOOKUP(BX422,'Gebinde-Kategorie'!$A$5:$N$45,14,0),0))&gt;0),VLOOKUP(BX422,'Gebinde-Kategorie'!$A$5:$N$45,14,0)*10+Parameter!$M$23,Parameter!$M$24))</f>
        <v>155</v>
      </c>
      <c r="CC422" s="48" t="str">
        <f aca="false">IF(AND(Parameter!$B$19="Ja",E422&lt;&gt;"",ISNUMBER(MATCH(E422,Parameter!$I$35:$I$52,0))),VLOOKUP(E422,Parameter!$I$35:$J$52,2,0),IFERROR(VLOOKUP(D422,Parameter!$A$35:$C$64,2,0),"Nein"))</f>
        <v>2+3</v>
      </c>
      <c r="CD422" s="52" t="n">
        <f aca="false">IF(BZ422=0,0,IF(N(S422)&gt;0,S422,IFERROR(VLOOKUP(D422,Parameter!$A$35:$C$64,3,0)+0,0)))</f>
        <v>0</v>
      </c>
      <c r="CE422" s="48" t="n">
        <f aca="false">IF(AA422&lt;&gt;"",AA422,Z422)</f>
        <v>3</v>
      </c>
      <c r="CF422" s="48" t="str">
        <f aca="false">IF(OR(CE422=1,CE422=2,CE422=3),IF(Parameter!$E$27="Ja","LIFT",IF(CE422=1,"L1","L23")),IF(CE422="Aussen","Aussen","-"))</f>
        <v>LIFT</v>
      </c>
      <c r="CG422" s="59" t="n">
        <f aca="false">IF(N(AB422)&gt;0,AB422,0)</f>
        <v>0</v>
      </c>
      <c r="CH422" s="53" t="n">
        <f aca="false">IF(ISNUMBER(AE422),1,0)</f>
        <v>0</v>
      </c>
      <c r="CI422" s="50" t="n">
        <f aca="false">N(AE422)</f>
        <v>0</v>
      </c>
      <c r="CJ422" s="50" t="n">
        <f aca="false">N(M422)+N(N422)</f>
        <v>140</v>
      </c>
      <c r="CK422" s="50" t="n">
        <f aca="false">N(M422)</f>
        <v>5</v>
      </c>
      <c r="CL422" s="50" t="n">
        <f aca="false">N(N422)</f>
        <v>135</v>
      </c>
      <c r="CM422" s="50" t="n">
        <f aca="false">ROUNDUP(H422/BY422,0)</f>
        <v>4</v>
      </c>
      <c r="CN422" s="50" t="n">
        <f aca="false">ROUNDUP(CI422/BY422,0)</f>
        <v>0</v>
      </c>
      <c r="CO422" s="53" t="n">
        <f aca="false">IF(BZ422=1,0,IFERROR(VLOOKUP(BX422,'Gebinde-Kategorie'!$A$5:$N$45,5,0)+0,0))</f>
        <v>11</v>
      </c>
      <c r="CP422" s="53" t="n">
        <f aca="false">IFERROR(IF(OR(CE422=1,CE422=2,CE422=3),N(INDEX(Parameter!$I$5:$I$7,CE422)),0),0)</f>
        <v>0</v>
      </c>
      <c r="CQ422" s="52" t="n">
        <f aca="false">IF(AND(Parameter!$B$21="Ja",ISNUMBER(W422),N(X422)&gt;0),IFERROR(N(INDEX(Parameter!$L$5:$L$7,W422))*INDEX(Parameter!$E$5:$E$7,W422)*X422/SUMIFS($X$7:$X$1843,$W$7:$W$1843,W422),0),0)</f>
        <v>0</v>
      </c>
    </row>
    <row r="423" customFormat="false" ht="15" hidden="false" customHeight="false" outlineLevel="0" collapsed="false">
      <c r="A423" s="48" t="s">
        <v>982</v>
      </c>
      <c r="B423" s="48" t="s">
        <v>983</v>
      </c>
      <c r="C423" s="48" t="s">
        <v>173</v>
      </c>
      <c r="D423" s="48" t="s">
        <v>193</v>
      </c>
      <c r="E423" s="48"/>
      <c r="F423" s="48" t="s">
        <v>227</v>
      </c>
      <c r="G423" s="49" t="n">
        <v>13.78</v>
      </c>
      <c r="H423" s="50" t="n">
        <f aca="false">MAX(0,IF(AND(Parameter!$B$21="Ja",ISNUMBER(Y423)),Y423,IF(Parameter!$B$20="Jahresanfang 2025 + Export",BR423+BQ423,BQ423)))</f>
        <v>9</v>
      </c>
      <c r="I423" s="50" t="n">
        <f aca="false">H423*G423</f>
        <v>124.02</v>
      </c>
      <c r="J423" s="50" t="n">
        <f aca="false">BT423*Parameter!$B$18</f>
        <v>1</v>
      </c>
      <c r="K423" s="51" t="n">
        <v>4</v>
      </c>
      <c r="L423" s="52" t="n">
        <v>0.25</v>
      </c>
      <c r="M423" s="50" t="n">
        <v>5</v>
      </c>
      <c r="N423" s="50" t="n">
        <v>1</v>
      </c>
      <c r="O423" s="53" t="n">
        <v>14</v>
      </c>
      <c r="P423" s="48" t="s">
        <v>311</v>
      </c>
      <c r="Q423" s="50" t="n">
        <v>9</v>
      </c>
      <c r="R423" s="53" t="n">
        <f aca="false">IF(BZ423=1,0,IFERROR(VLOOKUP(BX423,'Gebinde-Kategorie'!$A$5:$N$45,13,0)+0,0))</f>
        <v>26</v>
      </c>
      <c r="S423" s="54"/>
      <c r="T423" s="55"/>
      <c r="U423" s="55"/>
      <c r="V423" s="55"/>
      <c r="W423" s="48"/>
      <c r="X423" s="50"/>
      <c r="Y423" s="50"/>
      <c r="Z423" s="48" t="n">
        <f aca="false">IF(A423="","",IF(AND(Parameter!$B$21="Ja",ISNUMBER(W423)),W423,IF(CC423="2+3",IF(ISNUMBER(SEARCH("grosser Artikel",BU423)),2,IFERROR(VLOOKUP(BX423,Parameter!$F$35:$G$64,2,0),2)),IF(OR(CC423="Nein",CC423=""),"-",CC423))))</f>
        <v>3</v>
      </c>
      <c r="AA423" s="55"/>
      <c r="AB423" s="56"/>
      <c r="AC423" s="50" t="n">
        <f aca="false">AV423</f>
        <v>6</v>
      </c>
      <c r="AD423" s="50" t="n">
        <f aca="false">MAX(AV423,H423)</f>
        <v>9</v>
      </c>
      <c r="AE423" s="57"/>
      <c r="AF423" s="50" t="n">
        <f aca="false">IF(LEFT(Cockpit!$C$5,1)="A",H423,IF(Parameter!$E$30="MAX-Bestand",IF(CH423=1,CI423,IF(LEFT(Cockpit!$C$5,1)="B",AL423,MAX(AL423,H423))),ROUNDUP(AJ423,0)))</f>
        <v>9</v>
      </c>
      <c r="AG423" s="50" t="n">
        <f aca="false">IF(BZ423=1,0,ROUNDUP(AF423/BY423,0))</f>
        <v>1</v>
      </c>
      <c r="AH423" s="52" t="n">
        <f aca="false">IF(CQ423&gt;0,CQ423*MAX(1,AF423/X423),IF(BZ423=1,IF(AF423&lt;=0,0,CD423*MAX(1,IF(H423&gt;0,AF423/H423,1))),IF(R423&gt;0,AG423/R423,0))/MAX(0.1,N(Parameter!$M$21)))</f>
        <v>0.0384615384615385</v>
      </c>
      <c r="AI423" s="50" t="n">
        <f aca="false">AH423*CB423</f>
        <v>5.96153846153846</v>
      </c>
      <c r="AJ423" s="51" t="n">
        <f aca="false">IF(LEFT(Cockpit!$C$5,1)="A",H423,IF(CH423=1,(CK423+CI423)/2,IF(LEFT(Cockpit!$C$5,1)="B",(CK423+AL423)/2,MAX((CK423+AL423)/2,H423))))</f>
        <v>9</v>
      </c>
      <c r="AK423" s="50" t="n">
        <f aca="false">AJ423*G423</f>
        <v>124.02</v>
      </c>
      <c r="AL423" s="50" t="n">
        <f aca="false">ROUNDUP(CK423+MAX(CL423,2*(J423/IF(CG423&gt;0,CG423,MAX(0.1,N(Cockpit!$C$6)))-CK423)),0)</f>
        <v>6</v>
      </c>
      <c r="AM423" s="51" t="n">
        <f aca="false">IF(AI423&gt;0,J423/AI423,-1)</f>
        <v>0.167741935483871</v>
      </c>
      <c r="AN423" s="51" t="n">
        <f aca="false">IF(AND(OR(CF423="L1",CF423="L23",CF423="LIFT"),AI423&gt;0),SUMIFS($AI$7:$AI$1843,$CF$7:$CF$1843,CF423,$AM$7:$AM$1843,"&gt;"&amp;AM423)+SUMIFS($AI$7:$AI$1843,$CF$7:$CF$1843,CF423,$AM$7:$AM$1843,AM423,$BW$7:$BW$1843,"&lt;="&amp;BW423),"")</f>
        <v>12685.6952593075</v>
      </c>
      <c r="AO423" s="58" t="n">
        <f aca="false">IF(AN423="",0,MAX(0,MIN(1,(IF(CF423="L1",Parameter!$H$5,IF(CF423="L23",Parameter!$H$6+Parameter!$H$7,Parameter!$H$5+Parameter!$H$6+Parameter!$H$7))-(AN423-AI423))/AI423)))</f>
        <v>1</v>
      </c>
      <c r="AP423" s="50" t="n">
        <f aca="false">IF(LEFT(Cockpit!$I$5,1)="A",H423,IF(Parameter!$E$30="MAX-Bestand",IF(CH423=1,CI423,IF(LEFT(Cockpit!$I$5,1)="B",AV423,MAX(AV423,H423))),ROUNDUP(AT423,0)))</f>
        <v>9</v>
      </c>
      <c r="AQ423" s="50" t="n">
        <f aca="false">IF(BZ423=1,0,ROUNDUP(AP423/BY423,0))</f>
        <v>1</v>
      </c>
      <c r="AR423" s="52" t="n">
        <f aca="false">IF(CQ423&gt;0,CQ423*MAX(1,AP423/X423),IF(BZ423=1,IF(AP423&lt;=0,0,CD423*MAX(1,IF(H423&gt;0,AP423/H423,1))),IF(R423&gt;0,AQ423/R423,0))/MAX(0.1,N(Parameter!$M$21)))</f>
        <v>0.0384615384615385</v>
      </c>
      <c r="AS423" s="50" t="n">
        <f aca="false">AR423*CB423</f>
        <v>5.96153846153846</v>
      </c>
      <c r="AT423" s="51" t="n">
        <f aca="false">IF(LEFT(Cockpit!$I$5,1)="A",H423,IF(CH423=1,(CK423+CI423)/2,IF(LEFT(Cockpit!$I$5,1)="B",(CK423+AV423)/2,MAX((CK423+AV423)/2,H423))))</f>
        <v>9</v>
      </c>
      <c r="AU423" s="50" t="n">
        <f aca="false">AT423*G423</f>
        <v>124.02</v>
      </c>
      <c r="AV423" s="50" t="n">
        <f aca="false">ROUNDUP(CK423+MAX(CL423,2*(J423/IF(CG423&gt;0,CG423,MAX(0.1,N(Cockpit!$I$6)))-CK423)),0)</f>
        <v>6</v>
      </c>
      <c r="AW423" s="51" t="n">
        <f aca="false">IF(AS423&gt;0,J423/AS423,-1)</f>
        <v>0.167741935483871</v>
      </c>
      <c r="AX423" s="51" t="n">
        <f aca="false">IF(AND(OR(CF423="L1",CF423="L23",CF423="LIFT"),AS423&gt;0),SUMIFS($AS$7:$AS$1843,$CF$7:$CF$1843,CF423,$AW$7:$AW$1843,"&gt;"&amp;AW423)+SUMIFS($AS$7:$AS$1843,$CF$7:$CF$1843,CF423,$AW$7:$AW$1843,AW423,$BW$7:$BW$1843,"&lt;="&amp;BW423),"")</f>
        <v>15602.4528388278</v>
      </c>
      <c r="AY423" s="58" t="n">
        <f aca="false">IF(AX423="",0,MAX(0,MIN(1,(IF(CF423="L1",Parameter!$H$5,IF(CF423="L23",Parameter!$H$6+Parameter!$H$7,Parameter!$H$5+Parameter!$H$6+Parameter!$H$7))-(AX423-AS423))/AS423)))</f>
        <v>1</v>
      </c>
      <c r="AZ423" s="50" t="n">
        <f aca="false">IF(LEFT(Cockpit!$O$5,1)="A",H423,IF(Parameter!$E$30="MAX-Bestand",IF(CH423=1,CI423,IF(LEFT(Cockpit!$O$5,1)="B",BF423,MAX(BF423,H423))),ROUNDUP(BD423,0)))</f>
        <v>6</v>
      </c>
      <c r="BA423" s="50" t="n">
        <f aca="false">IF(BZ423=1,0,ROUNDUP(AZ423/BY423,0))</f>
        <v>1</v>
      </c>
      <c r="BB423" s="52" t="n">
        <f aca="false">IF(CQ423&gt;0,CQ423*MAX(1,AZ423/X423),IF(BZ423=1,IF(AZ423&lt;=0,0,CD423*MAX(1,IF(H423&gt;0,AZ423/H423,1))),IF(R423&gt;0,BA423/R423,0))/MAX(0.1,N(Parameter!$M$21)))</f>
        <v>0.0384615384615385</v>
      </c>
      <c r="BC423" s="50" t="n">
        <f aca="false">BB423*CB423</f>
        <v>5.96153846153846</v>
      </c>
      <c r="BD423" s="51" t="n">
        <f aca="false">IF(LEFT(Cockpit!$O$5,1)="A",H423,IF(CH423=1,(CK423+CI423)/2,IF(LEFT(Cockpit!$O$5,1)="B",(CK423+BF423)/2,MAX((CK423+BF423)/2,H423))))</f>
        <v>5.5</v>
      </c>
      <c r="BE423" s="50" t="n">
        <f aca="false">BD423*G423</f>
        <v>75.79</v>
      </c>
      <c r="BF423" s="50" t="n">
        <f aca="false">ROUNDUP(CK423+MAX(CL423,2*(J423/IF(CG423&gt;0,CG423,MAX(0.1,N(Cockpit!$O$6)))-CK423)),0)</f>
        <v>6</v>
      </c>
      <c r="BG423" s="51" t="n">
        <f aca="false">IF(BC423&gt;0,J423/BC423,-1)</f>
        <v>0.167741935483871</v>
      </c>
      <c r="BH423" s="51" t="n">
        <f aca="false">IF(AND(OR(CF423="L1",CF423="L23",CF423="LIFT"),BC423&gt;0),SUMIFS($BC$7:$BC$1843,$CF$7:$CF$1843,CF423,$BG$7:$BG$1843,"&gt;"&amp;BG423)+SUMIFS($BC$7:$BC$1843,$CF$7:$CF$1843,CF423,$BG$7:$BG$1843,BG423,$BW$7:$BW$1843,"&lt;="&amp;BW423),"")</f>
        <v>13398.7911285983</v>
      </c>
      <c r="BI423" s="58" t="n">
        <f aca="false">IF(BH423="",0,MAX(0,MIN(1,(IF(CF423="L1",Parameter!$H$5,IF(CF423="L23",Parameter!$H$6+Parameter!$H$7,Parameter!$H$5+Parameter!$H$6+Parameter!$H$7))-(BH423-BC423))/BC423)))</f>
        <v>1</v>
      </c>
      <c r="BJ423" s="48" t="str">
        <f aca="false">IF(AI423&lt;=0,"",IF(CF423="Aussen","Aussenlager",IF(CF423="-","Nicht im Lift",IF(AO423&gt;=1,"Lift",IF(AO423&lt;=0,"Aussenlager","teilweise")))))</f>
        <v>Lift</v>
      </c>
      <c r="BK423" s="48" t="str">
        <f aca="false">IF(AS423&lt;=0,"",IF(CF423="Aussen","Aussenlager",IF(CF423="-","Nicht im Lift",IF(AY423&gt;=1,"Lift",IF(AY423&lt;=0,"Aussenlager","teilweise")))))</f>
        <v>Lift</v>
      </c>
      <c r="BL423" s="48" t="str">
        <f aca="false">IF(BC423&lt;=0,"",IF(CF423="Aussen","Aussenlager",IF(CF423="-","Nicht im Lift",IF(BI423&gt;=1,"Lift",IF(BI423&lt;=0,"Aussenlager","teilweise")))))</f>
        <v>Lift</v>
      </c>
      <c r="BM423" s="48" t="str">
        <f aca="false">IF(A423="","",IF(BV423=1,"Neu; ","")&amp;IF(AND(BV423=0,BQ423&lt;0),"negativer Bestand (Export "&amp;BQ423&amp;"); ","")&amp;IF(J423&lt;=0,"Kein Verbrauch; ","")&amp;IF(CQ423&gt;0,"Lift "&amp;W423&amp;" lt. Liftbericht (Fach "&amp;X423&amp;" Stk); ",IF(CA423=1,"Gebinde geschätzt ("&amp;T423&amp;"); ",IF(BZ423=1,"Lose – Tablare geschätzt; ","")))&amp;IF(H423&gt;AV423,"Überbestand "&amp;ROUND(H423-AV423,0)&amp;" Stk / CHF "&amp;ROUND((H423-AV423)*G423,0)&amp;"; ","")&amp;IF(AND(CH423=1,CI423&lt;CJ423),"MAX &lt; MB+LG; ","")&amp;IF(AND(CP423&gt;0,CO423*10&gt;CP423),"zu hoch für Tablar; ","")&amp;IF(AND(BV423=0,OR(CH423=1,AA423&lt;&gt;"",U423&lt;&gt;"",V423&lt;&gt;"",AB423&lt;&gt;"")),"manuell übersteuert; ","")&amp;IF(AND(BZ423=0,R423=0),"Gebinde unbekannt / Stellmass fehlt; ","")&amp;IF(AND(BZ423=0,N(V423)&lt;=0,N(Q423)&lt;=0),"Menge pro Gebinde fehlt (Ist = 1 Gebinde); ","")&amp;BU423)</f>
        <v>Überbestand 3 Stk / CHF 41; liegend gelagert</v>
      </c>
      <c r="BN423" s="48"/>
      <c r="BO423" s="48"/>
      <c r="BP423" s="55"/>
      <c r="BQ423" s="50" t="n">
        <v>7</v>
      </c>
      <c r="BR423" s="50" t="n">
        <v>2</v>
      </c>
      <c r="BS423" s="49" t="n">
        <v>91.76</v>
      </c>
      <c r="BT423" s="50" t="n">
        <v>1</v>
      </c>
      <c r="BU423" s="48" t="s">
        <v>984</v>
      </c>
      <c r="BV423" s="53" t="n">
        <v>0</v>
      </c>
      <c r="BW423" s="53" t="n">
        <v>423</v>
      </c>
      <c r="BX423" s="48" t="str">
        <f aca="false">IF(U423&lt;&gt;"",UPPER(TRIM(U423)),IF(CA423=1,UPPER(VLOOKUP(T423,Parameter!$I$27:$K$29,2,0)),IF(P423="","LOSE",P423)))</f>
        <v>S51</v>
      </c>
      <c r="BY423" s="50" t="n">
        <f aca="false">IF(BX423="LOSE",1,IF(N(V423)&gt;0,V423,IF(CA423=1,MAX(1,N(VLOOKUP(T423,Parameter!$I$27:$K$29,3,0)),H423,N(N423)),IF(N(Q423)&gt;0,Q423,MAX(1,H423)))))</f>
        <v>9</v>
      </c>
      <c r="BZ423" s="53" t="n">
        <f aca="false">IF(BX423="LOSE",1,0)</f>
        <v>0</v>
      </c>
      <c r="CA423" s="53" t="n">
        <f aca="false">IF(AND(U423="",OR(P423="",P423="LOSE"),T423&lt;&gt;"",N(S423)&lt;=0,ISNUMBER(MATCH(T423,Parameter!$I$27:$I$29,0))),1,0)</f>
        <v>0</v>
      </c>
      <c r="CB423" s="53" t="n">
        <f aca="false">IF(CQ423&gt;0,INDEX(Parameter!$H$5:$H$7,W423)/INDEX(Parameter!$E$5:$E$7,W423),IF(AND(BZ423=0,N(IFERROR(VLOOKUP(BX423,'Gebinde-Kategorie'!$A$5:$N$45,14,0),0))&gt;0),VLOOKUP(BX423,'Gebinde-Kategorie'!$A$5:$N$45,14,0)*10+Parameter!$M$23,Parameter!$M$24))</f>
        <v>155</v>
      </c>
      <c r="CC423" s="48" t="str">
        <f aca="false">IF(AND(Parameter!$B$19="Ja",E423&lt;&gt;"",ISNUMBER(MATCH(E423,Parameter!$I$35:$I$52,0))),VLOOKUP(E423,Parameter!$I$35:$J$52,2,0),IFERROR(VLOOKUP(D423,Parameter!$A$35:$C$64,2,0),"Nein"))</f>
        <v>2+3</v>
      </c>
      <c r="CD423" s="52" t="n">
        <f aca="false">IF(BZ423=0,0,IF(N(S423)&gt;0,S423,IFERROR(VLOOKUP(D423,Parameter!$A$35:$C$64,3,0)+0,0)))</f>
        <v>0</v>
      </c>
      <c r="CE423" s="48" t="n">
        <f aca="false">IF(AA423&lt;&gt;"",AA423,Z423)</f>
        <v>3</v>
      </c>
      <c r="CF423" s="48" t="str">
        <f aca="false">IF(OR(CE423=1,CE423=2,CE423=3),IF(Parameter!$E$27="Ja","LIFT",IF(CE423=1,"L1","L23")),IF(CE423="Aussen","Aussen","-"))</f>
        <v>LIFT</v>
      </c>
      <c r="CG423" s="59" t="n">
        <f aca="false">IF(N(AB423)&gt;0,AB423,0)</f>
        <v>0</v>
      </c>
      <c r="CH423" s="53" t="n">
        <f aca="false">IF(ISNUMBER(AE423),1,0)</f>
        <v>0</v>
      </c>
      <c r="CI423" s="50" t="n">
        <f aca="false">N(AE423)</f>
        <v>0</v>
      </c>
      <c r="CJ423" s="50" t="n">
        <f aca="false">N(M423)+N(N423)</f>
        <v>6</v>
      </c>
      <c r="CK423" s="50" t="n">
        <f aca="false">N(M423)</f>
        <v>5</v>
      </c>
      <c r="CL423" s="50" t="n">
        <f aca="false">N(N423)</f>
        <v>1</v>
      </c>
      <c r="CM423" s="50" t="n">
        <f aca="false">ROUNDUP(H423/BY423,0)</f>
        <v>1</v>
      </c>
      <c r="CN423" s="50" t="n">
        <f aca="false">ROUNDUP(CI423/BY423,0)</f>
        <v>0</v>
      </c>
      <c r="CO423" s="53" t="n">
        <f aca="false">IF(BZ423=1,0,IFERROR(VLOOKUP(BX423,'Gebinde-Kategorie'!$A$5:$N$45,5,0)+0,0))</f>
        <v>11</v>
      </c>
      <c r="CP423" s="53" t="n">
        <f aca="false">IFERROR(IF(OR(CE423=1,CE423=2,CE423=3),N(INDEX(Parameter!$I$5:$I$7,CE423)),0),0)</f>
        <v>0</v>
      </c>
      <c r="CQ423" s="52" t="n">
        <f aca="false">IF(AND(Parameter!$B$21="Ja",ISNUMBER(W423),N(X423)&gt;0),IFERROR(N(INDEX(Parameter!$L$5:$L$7,W423))*INDEX(Parameter!$E$5:$E$7,W423)*X423/SUMIFS($X$7:$X$1843,$W$7:$W$1843,W423),0),0)</f>
        <v>0</v>
      </c>
    </row>
    <row r="424" customFormat="false" ht="15" hidden="false" customHeight="false" outlineLevel="0" collapsed="false">
      <c r="A424" s="48" t="s">
        <v>985</v>
      </c>
      <c r="B424" s="48" t="s">
        <v>986</v>
      </c>
      <c r="C424" s="48" t="s">
        <v>173</v>
      </c>
      <c r="D424" s="48" t="s">
        <v>193</v>
      </c>
      <c r="E424" s="48" t="s">
        <v>194</v>
      </c>
      <c r="F424" s="48" t="s">
        <v>227</v>
      </c>
      <c r="G424" s="49" t="n">
        <v>2.67</v>
      </c>
      <c r="H424" s="50" t="n">
        <f aca="false">MAX(0,IF(AND(Parameter!$B$21="Ja",ISNUMBER(Y424)),Y424,IF(Parameter!$B$20="Jahresanfang 2025 + Export",BR424+BQ424,BQ424)))</f>
        <v>45</v>
      </c>
      <c r="I424" s="50" t="n">
        <f aca="false">H424*G424</f>
        <v>120.15</v>
      </c>
      <c r="J424" s="50" t="n">
        <f aca="false">BT424*Parameter!$B$18</f>
        <v>13</v>
      </c>
      <c r="K424" s="51" t="n">
        <v>19.5</v>
      </c>
      <c r="L424" s="52" t="n">
        <v>0.666666666666667</v>
      </c>
      <c r="M424" s="50" t="n">
        <v>0</v>
      </c>
      <c r="N424" s="50" t="n">
        <v>20</v>
      </c>
      <c r="O424" s="53" t="n">
        <v>14</v>
      </c>
      <c r="P424" s="48" t="s">
        <v>430</v>
      </c>
      <c r="Q424" s="50" t="n">
        <v>35</v>
      </c>
      <c r="R424" s="53" t="n">
        <f aca="false">IF(BZ424=1,0,IFERROR(VLOOKUP(BX424,'Gebinde-Kategorie'!$A$5:$N$45,13,0)+0,0))</f>
        <v>104</v>
      </c>
      <c r="S424" s="54"/>
      <c r="T424" s="55"/>
      <c r="U424" s="55"/>
      <c r="V424" s="55"/>
      <c r="W424" s="48"/>
      <c r="X424" s="50"/>
      <c r="Y424" s="50"/>
      <c r="Z424" s="48" t="n">
        <f aca="false">IF(A424="","",IF(AND(Parameter!$B$21="Ja",ISNUMBER(W424)),W424,IF(CC424="2+3",IF(ISNUMBER(SEARCH("grosser Artikel",BU424)),2,IFERROR(VLOOKUP(BX424,Parameter!$F$35:$G$64,2,0),2)),IF(OR(CC424="Nein",CC424=""),"-",CC424))))</f>
        <v>3</v>
      </c>
      <c r="AA424" s="55"/>
      <c r="AB424" s="56"/>
      <c r="AC424" s="50" t="n">
        <f aca="false">AV424</f>
        <v>20</v>
      </c>
      <c r="AD424" s="50" t="n">
        <f aca="false">MAX(AV424,H424)</f>
        <v>45</v>
      </c>
      <c r="AE424" s="57"/>
      <c r="AF424" s="50" t="n">
        <f aca="false">IF(LEFT(Cockpit!$C$5,1)="A",H424,IF(Parameter!$E$30="MAX-Bestand",IF(CH424=1,CI424,IF(LEFT(Cockpit!$C$5,1)="B",AL424,MAX(AL424,H424))),ROUNDUP(AJ424,0)))</f>
        <v>45</v>
      </c>
      <c r="AG424" s="50" t="n">
        <f aca="false">IF(BZ424=1,0,ROUNDUP(AF424/BY424,0))</f>
        <v>2</v>
      </c>
      <c r="AH424" s="52" t="n">
        <f aca="false">IF(CQ424&gt;0,CQ424*MAX(1,AF424/X424),IF(BZ424=1,IF(AF424&lt;=0,0,CD424*MAX(1,IF(H424&gt;0,AF424/H424,1))),IF(R424&gt;0,AG424/R424,0))/MAX(0.1,N(Parameter!$M$21)))</f>
        <v>0.0192307692307692</v>
      </c>
      <c r="AI424" s="50" t="n">
        <f aca="false">AH424*CB424</f>
        <v>2.98076923076923</v>
      </c>
      <c r="AJ424" s="51" t="n">
        <f aca="false">IF(LEFT(Cockpit!$C$5,1)="A",H424,IF(CH424=1,(CK424+CI424)/2,IF(LEFT(Cockpit!$C$5,1)="B",(CK424+AL424)/2,MAX((CK424+AL424)/2,H424))))</f>
        <v>45</v>
      </c>
      <c r="AK424" s="50" t="n">
        <f aca="false">AJ424*G424</f>
        <v>120.15</v>
      </c>
      <c r="AL424" s="50" t="n">
        <f aca="false">ROUNDUP(CK424+MAX(CL424,2*(J424/IF(CG424&gt;0,CG424,MAX(0.1,N(Cockpit!$C$6)))-CK424)),0)</f>
        <v>20</v>
      </c>
      <c r="AM424" s="51" t="n">
        <f aca="false">IF(AI424&gt;0,J424/AI424,-1)</f>
        <v>4.36129032258065</v>
      </c>
      <c r="AN424" s="51" t="n">
        <f aca="false">IF(AND(OR(CF424="L1",CF424="L23",CF424="LIFT"),AI424&gt;0),SUMIFS($AI$7:$AI$1843,$CF$7:$CF$1843,CF424,$AM$7:$AM$1843,"&gt;"&amp;AM424)+SUMIFS($AI$7:$AI$1843,$CF$7:$CF$1843,CF424,$AM$7:$AM$1843,AM424,$BW$7:$BW$1843,"&lt;="&amp;BW424),"")</f>
        <v>4183.59294871795</v>
      </c>
      <c r="AO424" s="58" t="n">
        <f aca="false">IF(AN424="",0,MAX(0,MIN(1,(IF(CF424="L1",Parameter!$H$5,IF(CF424="L23",Parameter!$H$6+Parameter!$H$7,Parameter!$H$5+Parameter!$H$6+Parameter!$H$7))-(AN424-AI424))/AI424)))</f>
        <v>1</v>
      </c>
      <c r="AP424" s="50" t="n">
        <f aca="false">IF(LEFT(Cockpit!$I$5,1)="A",H424,IF(Parameter!$E$30="MAX-Bestand",IF(CH424=1,CI424,IF(LEFT(Cockpit!$I$5,1)="B",AV424,MAX(AV424,H424))),ROUNDUP(AT424,0)))</f>
        <v>45</v>
      </c>
      <c r="AQ424" s="50" t="n">
        <f aca="false">IF(BZ424=1,0,ROUNDUP(AP424/BY424,0))</f>
        <v>2</v>
      </c>
      <c r="AR424" s="52" t="n">
        <f aca="false">IF(CQ424&gt;0,CQ424*MAX(1,AP424/X424),IF(BZ424=1,IF(AP424&lt;=0,0,CD424*MAX(1,IF(H424&gt;0,AP424/H424,1))),IF(R424&gt;0,AQ424/R424,0))/MAX(0.1,N(Parameter!$M$21)))</f>
        <v>0.0192307692307692</v>
      </c>
      <c r="AS424" s="50" t="n">
        <f aca="false">AR424*CB424</f>
        <v>2.98076923076923</v>
      </c>
      <c r="AT424" s="51" t="n">
        <f aca="false">IF(LEFT(Cockpit!$I$5,1)="A",H424,IF(CH424=1,(CK424+CI424)/2,IF(LEFT(Cockpit!$I$5,1)="B",(CK424+AV424)/2,MAX((CK424+AV424)/2,H424))))</f>
        <v>45</v>
      </c>
      <c r="AU424" s="50" t="n">
        <f aca="false">AT424*G424</f>
        <v>120.15</v>
      </c>
      <c r="AV424" s="50" t="n">
        <f aca="false">ROUNDUP(CK424+MAX(CL424,2*(J424/IF(CG424&gt;0,CG424,MAX(0.1,N(Cockpit!$I$6)))-CK424)),0)</f>
        <v>20</v>
      </c>
      <c r="AW424" s="51" t="n">
        <f aca="false">IF(AS424&gt;0,J424/AS424,-1)</f>
        <v>4.36129032258065</v>
      </c>
      <c r="AX424" s="51" t="n">
        <f aca="false">IF(AND(OR(CF424="L1",CF424="L23",CF424="LIFT"),AS424&gt;0),SUMIFS($AS$7:$AS$1843,$CF$7:$CF$1843,CF424,$AW$7:$AW$1843,"&gt;"&amp;AW424)+SUMIFS($AS$7:$AS$1843,$CF$7:$CF$1843,CF424,$AW$7:$AW$1843,AW424,$BW$7:$BW$1843,"&lt;="&amp;BW424),"")</f>
        <v>4751.08379120879</v>
      </c>
      <c r="AY424" s="58" t="n">
        <f aca="false">IF(AX424="",0,MAX(0,MIN(1,(IF(CF424="L1",Parameter!$H$5,IF(CF424="L23",Parameter!$H$6+Parameter!$H$7,Parameter!$H$5+Parameter!$H$6+Parameter!$H$7))-(AX424-AS424))/AS424)))</f>
        <v>1</v>
      </c>
      <c r="AZ424" s="50" t="n">
        <f aca="false">IF(LEFT(Cockpit!$O$5,1)="A",H424,IF(Parameter!$E$30="MAX-Bestand",IF(CH424=1,CI424,IF(LEFT(Cockpit!$O$5,1)="B",BF424,MAX(BF424,H424))),ROUNDUP(BD424,0)))</f>
        <v>10</v>
      </c>
      <c r="BA424" s="50" t="n">
        <f aca="false">IF(BZ424=1,0,ROUNDUP(AZ424/BY424,0))</f>
        <v>1</v>
      </c>
      <c r="BB424" s="52" t="n">
        <f aca="false">IF(CQ424&gt;0,CQ424*MAX(1,AZ424/X424),IF(BZ424=1,IF(AZ424&lt;=0,0,CD424*MAX(1,IF(H424&gt;0,AZ424/H424,1))),IF(R424&gt;0,BA424/R424,0))/MAX(0.1,N(Parameter!$M$21)))</f>
        <v>0.00961538461538462</v>
      </c>
      <c r="BC424" s="50" t="n">
        <f aca="false">BB424*CB424</f>
        <v>1.49038461538462</v>
      </c>
      <c r="BD424" s="51" t="n">
        <f aca="false">IF(LEFT(Cockpit!$O$5,1)="A",H424,IF(CH424=1,(CK424+CI424)/2,IF(LEFT(Cockpit!$O$5,1)="B",(CK424+BF424)/2,MAX((CK424+BF424)/2,H424))))</f>
        <v>10</v>
      </c>
      <c r="BE424" s="50" t="n">
        <f aca="false">BD424*G424</f>
        <v>26.7</v>
      </c>
      <c r="BF424" s="50" t="n">
        <f aca="false">ROUNDUP(CK424+MAX(CL424,2*(J424/IF(CG424&gt;0,CG424,MAX(0.1,N(Cockpit!$O$6)))-CK424)),0)</f>
        <v>20</v>
      </c>
      <c r="BG424" s="51" t="n">
        <f aca="false">IF(BC424&gt;0,J424/BC424,-1)</f>
        <v>8.72258064516129</v>
      </c>
      <c r="BH424" s="51" t="n">
        <f aca="false">IF(AND(OR(CF424="L1",CF424="L23",CF424="LIFT"),BC424&gt;0),SUMIFS($BC$7:$BC$1843,$CF$7:$CF$1843,CF424,$BG$7:$BG$1843,"&gt;"&amp;BG424)+SUMIFS($BC$7:$BC$1843,$CF$7:$CF$1843,CF424,$BG$7:$BG$1843,BG424,$BW$7:$BW$1843,"&lt;="&amp;BW424),"")</f>
        <v>2890.68772893773</v>
      </c>
      <c r="BI424" s="58" t="n">
        <f aca="false">IF(BH424="",0,MAX(0,MIN(1,(IF(CF424="L1",Parameter!$H$5,IF(CF424="L23",Parameter!$H$6+Parameter!$H$7,Parameter!$H$5+Parameter!$H$6+Parameter!$H$7))-(BH424-BC424))/BC424)))</f>
        <v>1</v>
      </c>
      <c r="BJ424" s="48" t="str">
        <f aca="false">IF(AI424&lt;=0,"",IF(CF424="Aussen","Aussenlager",IF(CF424="-","Nicht im Lift",IF(AO424&gt;=1,"Lift",IF(AO424&lt;=0,"Aussenlager","teilweise")))))</f>
        <v>Lift</v>
      </c>
      <c r="BK424" s="48" t="str">
        <f aca="false">IF(AS424&lt;=0,"",IF(CF424="Aussen","Aussenlager",IF(CF424="-","Nicht im Lift",IF(AY424&gt;=1,"Lift",IF(AY424&lt;=0,"Aussenlager","teilweise")))))</f>
        <v>Lift</v>
      </c>
      <c r="BL424" s="48" t="str">
        <f aca="false">IF(BC424&lt;=0,"",IF(CF424="Aussen","Aussenlager",IF(CF424="-","Nicht im Lift",IF(BI424&gt;=1,"Lift",IF(BI424&lt;=0,"Aussenlager","teilweise")))))</f>
        <v>Lift</v>
      </c>
      <c r="BM424" s="48" t="str">
        <f aca="false">IF(A424="","",IF(BV424=1,"Neu; ","")&amp;IF(AND(BV424=0,BQ424&lt;0),"negativer Bestand (Export "&amp;BQ424&amp;"); ","")&amp;IF(J424&lt;=0,"Kein Verbrauch; ","")&amp;IF(CQ424&gt;0,"Lift "&amp;W424&amp;" lt. Liftbericht (Fach "&amp;X424&amp;" Stk); ",IF(CA424=1,"Gebinde geschätzt ("&amp;T424&amp;"); ",IF(BZ424=1,"Lose – Tablare geschätzt; ","")))&amp;IF(H424&gt;AV424,"Überbestand "&amp;ROUND(H424-AV424,0)&amp;" Stk / CHF "&amp;ROUND((H424-AV424)*G424,0)&amp;"; ","")&amp;IF(AND(CH424=1,CI424&lt;CJ424),"MAX &lt; MB+LG; ","")&amp;IF(AND(CP424&gt;0,CO424*10&gt;CP424),"zu hoch für Tablar; ","")&amp;IF(AND(BV424=0,OR(CH424=1,AA424&lt;&gt;"",U424&lt;&gt;"",V424&lt;&gt;"",AB424&lt;&gt;"")),"manuell übersteuert; ","")&amp;IF(AND(BZ424=0,R424=0),"Gebinde unbekannt / Stellmass fehlt; ","")&amp;IF(AND(BZ424=0,N(V424)&lt;=0,N(Q424)&lt;=0),"Menge pro Gebinde fehlt (Ist = 1 Gebinde); ","")&amp;BU424)</f>
        <v>Überbestand 25 Stk / CHF 67; </v>
      </c>
      <c r="BN424" s="48"/>
      <c r="BO424" s="48"/>
      <c r="BP424" s="55"/>
      <c r="BQ424" s="50" t="n">
        <v>34</v>
      </c>
      <c r="BR424" s="50" t="n">
        <v>11</v>
      </c>
      <c r="BS424" s="49" t="n">
        <v>90.23</v>
      </c>
      <c r="BT424" s="50" t="n">
        <v>13</v>
      </c>
      <c r="BU424" s="48"/>
      <c r="BV424" s="53" t="n">
        <v>0</v>
      </c>
      <c r="BW424" s="53" t="n">
        <v>424</v>
      </c>
      <c r="BX424" s="48" t="str">
        <f aca="false">IF(U424&lt;&gt;"",UPPER(TRIM(U424)),IF(CA424=1,UPPER(VLOOKUP(T424,Parameter!$I$27:$K$29,2,0)),IF(P424="","LOSE",P424)))</f>
        <v>S32</v>
      </c>
      <c r="BY424" s="50" t="n">
        <f aca="false">IF(BX424="LOSE",1,IF(N(V424)&gt;0,V424,IF(CA424=1,MAX(1,N(VLOOKUP(T424,Parameter!$I$27:$K$29,3,0)),H424,N(N424)),IF(N(Q424)&gt;0,Q424,MAX(1,H424)))))</f>
        <v>35</v>
      </c>
      <c r="BZ424" s="53" t="n">
        <f aca="false">IF(BX424="LOSE",1,0)</f>
        <v>0</v>
      </c>
      <c r="CA424" s="53" t="n">
        <f aca="false">IF(AND(U424="",OR(P424="",P424="LOSE"),T424&lt;&gt;"",N(S424)&lt;=0,ISNUMBER(MATCH(T424,Parameter!$I$27:$I$29,0))),1,0)</f>
        <v>0</v>
      </c>
      <c r="CB424" s="53" t="n">
        <f aca="false">IF(CQ424&gt;0,INDEX(Parameter!$H$5:$H$7,W424)/INDEX(Parameter!$E$5:$E$7,W424),IF(AND(BZ424=0,N(IFERROR(VLOOKUP(BX424,'Gebinde-Kategorie'!$A$5:$N$45,14,0),0))&gt;0),VLOOKUP(BX424,'Gebinde-Kategorie'!$A$5:$N$45,14,0)*10+Parameter!$M$23,Parameter!$M$24))</f>
        <v>155</v>
      </c>
      <c r="CC424" s="48" t="str">
        <f aca="false">IF(AND(Parameter!$B$19="Ja",E424&lt;&gt;"",ISNUMBER(MATCH(E424,Parameter!$I$35:$I$52,0))),VLOOKUP(E424,Parameter!$I$35:$J$52,2,0),IFERROR(VLOOKUP(D424,Parameter!$A$35:$C$64,2,0),"Nein"))</f>
        <v>2+3</v>
      </c>
      <c r="CD424" s="52" t="n">
        <f aca="false">IF(BZ424=0,0,IF(N(S424)&gt;0,S424,IFERROR(VLOOKUP(D424,Parameter!$A$35:$C$64,3,0)+0,0)))</f>
        <v>0</v>
      </c>
      <c r="CE424" s="48" t="n">
        <f aca="false">IF(AA424&lt;&gt;"",AA424,Z424)</f>
        <v>3</v>
      </c>
      <c r="CF424" s="48" t="str">
        <f aca="false">IF(OR(CE424=1,CE424=2,CE424=3),IF(Parameter!$E$27="Ja","LIFT",IF(CE424=1,"L1","L23")),IF(CE424="Aussen","Aussen","-"))</f>
        <v>LIFT</v>
      </c>
      <c r="CG424" s="59" t="n">
        <f aca="false">IF(N(AB424)&gt;0,AB424,0)</f>
        <v>0</v>
      </c>
      <c r="CH424" s="53" t="n">
        <f aca="false">IF(ISNUMBER(AE424),1,0)</f>
        <v>0</v>
      </c>
      <c r="CI424" s="50" t="n">
        <f aca="false">N(AE424)</f>
        <v>0</v>
      </c>
      <c r="CJ424" s="50" t="n">
        <f aca="false">N(M424)+N(N424)</f>
        <v>20</v>
      </c>
      <c r="CK424" s="50" t="n">
        <f aca="false">N(M424)</f>
        <v>0</v>
      </c>
      <c r="CL424" s="50" t="n">
        <f aca="false">N(N424)</f>
        <v>20</v>
      </c>
      <c r="CM424" s="50" t="n">
        <f aca="false">ROUNDUP(H424/BY424,0)</f>
        <v>2</v>
      </c>
      <c r="CN424" s="50" t="n">
        <f aca="false">ROUNDUP(CI424/BY424,0)</f>
        <v>0</v>
      </c>
      <c r="CO424" s="53" t="n">
        <f aca="false">IF(BZ424=1,0,IFERROR(VLOOKUP(BX424,'Gebinde-Kategorie'!$A$5:$N$45,5,0)+0,0))</f>
        <v>8</v>
      </c>
      <c r="CP424" s="53" t="n">
        <f aca="false">IFERROR(IF(OR(CE424=1,CE424=2,CE424=3),N(INDEX(Parameter!$I$5:$I$7,CE424)),0),0)</f>
        <v>0</v>
      </c>
      <c r="CQ424" s="52" t="n">
        <f aca="false">IF(AND(Parameter!$B$21="Ja",ISNUMBER(W424),N(X424)&gt;0),IFERROR(N(INDEX(Parameter!$L$5:$L$7,W424))*INDEX(Parameter!$E$5:$E$7,W424)*X424/SUMIFS($X$7:$X$1843,$W$7:$W$1843,W424),0),0)</f>
        <v>0</v>
      </c>
    </row>
    <row r="425" customFormat="false" ht="15" hidden="false" customHeight="false" outlineLevel="0" collapsed="false">
      <c r="A425" s="48" t="s">
        <v>987</v>
      </c>
      <c r="B425" s="48" t="s">
        <v>988</v>
      </c>
      <c r="C425" s="48" t="s">
        <v>173</v>
      </c>
      <c r="D425" s="48" t="s">
        <v>182</v>
      </c>
      <c r="E425" s="48" t="s">
        <v>194</v>
      </c>
      <c r="F425" s="48" t="s">
        <v>227</v>
      </c>
      <c r="G425" s="49" t="n">
        <v>74.27</v>
      </c>
      <c r="H425" s="50" t="n">
        <f aca="false">MAX(0,IF(AND(Parameter!$B$21="Ja",ISNUMBER(Y425)),Y425,IF(Parameter!$B$20="Jahresanfang 2025 + Export",BR425+BQ425,BQ425)))</f>
        <v>3</v>
      </c>
      <c r="I425" s="50" t="n">
        <f aca="false">H425*G425</f>
        <v>222.81</v>
      </c>
      <c r="J425" s="50" t="n">
        <f aca="false">BT425*Parameter!$B$18</f>
        <v>26</v>
      </c>
      <c r="K425" s="51" t="n">
        <v>1.5</v>
      </c>
      <c r="L425" s="52" t="n">
        <v>17.3333333333333</v>
      </c>
      <c r="M425" s="50" t="n">
        <v>2</v>
      </c>
      <c r="N425" s="50" t="n">
        <v>2</v>
      </c>
      <c r="O425" s="53" t="n">
        <v>21</v>
      </c>
      <c r="P425" s="48" t="s">
        <v>177</v>
      </c>
      <c r="Q425" s="50"/>
      <c r="R425" s="53" t="n">
        <f aca="false">IF(BZ425=1,0,IFERROR(VLOOKUP(BX425,'Gebinde-Kategorie'!$A$5:$N$45,13,0)+0,0))</f>
        <v>4</v>
      </c>
      <c r="S425" s="54"/>
      <c r="T425" s="55" t="s">
        <v>198</v>
      </c>
      <c r="U425" s="55"/>
      <c r="V425" s="55"/>
      <c r="W425" s="48"/>
      <c r="X425" s="50"/>
      <c r="Y425" s="50"/>
      <c r="Z425" s="48" t="n">
        <f aca="false">IF(A425="","",IF(AND(Parameter!$B$21="Ja",ISNUMBER(W425)),W425,IF(CC425="2+3",IF(ISNUMBER(SEARCH("grosser Artikel",BU425)),2,IFERROR(VLOOKUP(BX425,Parameter!$F$35:$G$64,2,0),2)),IF(OR(CC425="Nein",CC425=""),"-",CC425))))</f>
        <v>2</v>
      </c>
      <c r="AA425" s="55"/>
      <c r="AB425" s="56"/>
      <c r="AC425" s="50" t="n">
        <f aca="false">AV425</f>
        <v>16</v>
      </c>
      <c r="AD425" s="50" t="n">
        <f aca="false">MAX(AV425,H425)</f>
        <v>16</v>
      </c>
      <c r="AE425" s="57"/>
      <c r="AF425" s="50" t="n">
        <f aca="false">IF(LEFT(Cockpit!$C$5,1)="A",H425,IF(Parameter!$E$30="MAX-Bestand",IF(CH425=1,CI425,IF(LEFT(Cockpit!$C$5,1)="B",AL425,MAX(AL425,H425))),ROUNDUP(AJ425,0)))</f>
        <v>3</v>
      </c>
      <c r="AG425" s="50" t="n">
        <f aca="false">IF(BZ425=1,0,ROUNDUP(AF425/BY425,0))</f>
        <v>1</v>
      </c>
      <c r="AH425" s="52" t="n">
        <f aca="false">IF(CQ425&gt;0,CQ425*MAX(1,AF425/X425),IF(BZ425=1,IF(AF425&lt;=0,0,CD425*MAX(1,IF(H425&gt;0,AF425/H425,1))),IF(R425&gt;0,AG425/R425,0))/MAX(0.1,N(Parameter!$M$21)))</f>
        <v>0.25</v>
      </c>
      <c r="AI425" s="50" t="n">
        <f aca="false">AH425*CB425</f>
        <v>58.75</v>
      </c>
      <c r="AJ425" s="51" t="n">
        <f aca="false">IF(LEFT(Cockpit!$C$5,1)="A",H425,IF(CH425=1,(CK425+CI425)/2,IF(LEFT(Cockpit!$C$5,1)="B",(CK425+AL425)/2,MAX((CK425+AL425)/2,H425))))</f>
        <v>3</v>
      </c>
      <c r="AK425" s="50" t="n">
        <f aca="false">AJ425*G425</f>
        <v>222.81</v>
      </c>
      <c r="AL425" s="50" t="n">
        <f aca="false">ROUNDUP(CK425+MAX(CL425,2*(J425/IF(CG425&gt;0,CG425,MAX(0.1,N(Cockpit!$C$6)))-CK425)),0)</f>
        <v>16</v>
      </c>
      <c r="AM425" s="51" t="n">
        <f aca="false">IF(AI425&gt;0,J425/AI425,-1)</f>
        <v>0.442553191489362</v>
      </c>
      <c r="AN425" s="51" t="n">
        <f aca="false">IF(AND(OR(CF425="L1",CF425="L23",CF425="LIFT"),AI425&gt;0),SUMIFS($AI$7:$AI$1843,$CF$7:$CF$1843,CF425,$AM$7:$AM$1843,"&gt;"&amp;AM425)+SUMIFS($AI$7:$AI$1843,$CF$7:$CF$1843,CF425,$AM$7:$AM$1843,AM425,$BW$7:$BW$1843,"&lt;="&amp;BW425),"")</f>
        <v>9924.49356128805</v>
      </c>
      <c r="AO425" s="58" t="n">
        <f aca="false">IF(AN425="",0,MAX(0,MIN(1,(IF(CF425="L1",Parameter!$H$5,IF(CF425="L23",Parameter!$H$6+Parameter!$H$7,Parameter!$H$5+Parameter!$H$6+Parameter!$H$7))-(AN425-AI425))/AI425)))</f>
        <v>1</v>
      </c>
      <c r="AP425" s="50" t="n">
        <f aca="false">IF(LEFT(Cockpit!$I$5,1)="A",H425,IF(Parameter!$E$30="MAX-Bestand",IF(CH425=1,CI425,IF(LEFT(Cockpit!$I$5,1)="B",AV425,MAX(AV425,H425))),ROUNDUP(AT425,0)))</f>
        <v>9</v>
      </c>
      <c r="AQ425" s="50" t="n">
        <f aca="false">IF(BZ425=1,0,ROUNDUP(AP425/BY425,0))</f>
        <v>3</v>
      </c>
      <c r="AR425" s="52" t="n">
        <f aca="false">IF(CQ425&gt;0,CQ425*MAX(1,AP425/X425),IF(BZ425=1,IF(AP425&lt;=0,0,CD425*MAX(1,IF(H425&gt;0,AP425/H425,1))),IF(R425&gt;0,AQ425/R425,0))/MAX(0.1,N(Parameter!$M$21)))</f>
        <v>0.75</v>
      </c>
      <c r="AS425" s="50" t="n">
        <f aca="false">AR425*CB425</f>
        <v>176.25</v>
      </c>
      <c r="AT425" s="51" t="n">
        <f aca="false">IF(LEFT(Cockpit!$I$5,1)="A",H425,IF(CH425=1,(CK425+CI425)/2,IF(LEFT(Cockpit!$I$5,1)="B",(CK425+AV425)/2,MAX((CK425+AV425)/2,H425))))</f>
        <v>9</v>
      </c>
      <c r="AU425" s="50" t="n">
        <f aca="false">AT425*G425</f>
        <v>668.43</v>
      </c>
      <c r="AV425" s="50" t="n">
        <f aca="false">ROUNDUP(CK425+MAX(CL425,2*(J425/IF(CG425&gt;0,CG425,MAX(0.1,N(Cockpit!$I$6)))-CK425)),0)</f>
        <v>16</v>
      </c>
      <c r="AW425" s="51" t="n">
        <f aca="false">IF(AS425&gt;0,J425/AS425,-1)</f>
        <v>0.147517730496454</v>
      </c>
      <c r="AX425" s="51" t="n">
        <f aca="false">IF(AND(OR(CF425="L1",CF425="L23",CF425="LIFT"),AS425&gt;0),SUMIFS($AS$7:$AS$1843,$CF$7:$CF$1843,CF425,$AW$7:$AW$1843,"&gt;"&amp;AW425)+SUMIFS($AS$7:$AS$1843,$CF$7:$CF$1843,CF425,$AW$7:$AW$1843,AW425,$BW$7:$BW$1843,"&lt;="&amp;BW425),"")</f>
        <v>17046.8887724799</v>
      </c>
      <c r="AY425" s="58" t="n">
        <f aca="false">IF(AX425="",0,MAX(0,MIN(1,(IF(CF425="L1",Parameter!$H$5,IF(CF425="L23",Parameter!$H$6+Parameter!$H$7,Parameter!$H$5+Parameter!$H$6+Parameter!$H$7))-(AX425-AS425))/AS425)))</f>
        <v>1</v>
      </c>
      <c r="AZ425" s="50" t="n">
        <f aca="false">IF(LEFT(Cockpit!$O$5,1)="A",H425,IF(Parameter!$E$30="MAX-Bestand",IF(CH425=1,CI425,IF(LEFT(Cockpit!$O$5,1)="B",BF425,MAX(BF425,H425))),ROUNDUP(BD425,0)))</f>
        <v>7</v>
      </c>
      <c r="BA425" s="50" t="n">
        <f aca="false">IF(BZ425=1,0,ROUNDUP(AZ425/BY425,0))</f>
        <v>3</v>
      </c>
      <c r="BB425" s="52" t="n">
        <f aca="false">IF(CQ425&gt;0,CQ425*MAX(1,AZ425/X425),IF(BZ425=1,IF(AZ425&lt;=0,0,CD425*MAX(1,IF(H425&gt;0,AZ425/H425,1))),IF(R425&gt;0,BA425/R425,0))/MAX(0.1,N(Parameter!$M$21)))</f>
        <v>0.75</v>
      </c>
      <c r="BC425" s="50" t="n">
        <f aca="false">BB425*CB425</f>
        <v>176.25</v>
      </c>
      <c r="BD425" s="51" t="n">
        <f aca="false">IF(LEFT(Cockpit!$O$5,1)="A",H425,IF(CH425=1,(CK425+CI425)/2,IF(LEFT(Cockpit!$O$5,1)="B",(CK425+BF425)/2,MAX((CK425+BF425)/2,H425))))</f>
        <v>6.5</v>
      </c>
      <c r="BE425" s="50" t="n">
        <f aca="false">BD425*G425</f>
        <v>482.755</v>
      </c>
      <c r="BF425" s="50" t="n">
        <f aca="false">ROUNDUP(CK425+MAX(CL425,2*(J425/IF(CG425&gt;0,CG425,MAX(0.1,N(Cockpit!$O$6)))-CK425)),0)</f>
        <v>11</v>
      </c>
      <c r="BG425" s="51" t="n">
        <f aca="false">IF(BC425&gt;0,J425/BC425,-1)</f>
        <v>0.147517730496454</v>
      </c>
      <c r="BH425" s="51" t="n">
        <f aca="false">IF(AND(OR(CF425="L1",CF425="L23",CF425="LIFT"),BC425&gt;0),SUMIFS($BC$7:$BC$1843,$CF$7:$CF$1843,CF425,$BG$7:$BG$1843,"&gt;"&amp;BG425)+SUMIFS($BC$7:$BC$1843,$CF$7:$CF$1843,CF425,$BG$7:$BG$1843,BG425,$BW$7:$BW$1843,"&lt;="&amp;BW425),"")</f>
        <v>13821.3872824445</v>
      </c>
      <c r="BI425" s="58" t="n">
        <f aca="false">IF(BH425="",0,MAX(0,MIN(1,(IF(CF425="L1",Parameter!$H$5,IF(CF425="L23",Parameter!$H$6+Parameter!$H$7,Parameter!$H$5+Parameter!$H$6+Parameter!$H$7))-(BH425-BC425))/BC425)))</f>
        <v>1</v>
      </c>
      <c r="BJ425" s="48" t="str">
        <f aca="false">IF(AI425&lt;=0,"",IF(CF425="Aussen","Aussenlager",IF(CF425="-","Nicht im Lift",IF(AO425&gt;=1,"Lift",IF(AO425&lt;=0,"Aussenlager","teilweise")))))</f>
        <v>Lift</v>
      </c>
      <c r="BK425" s="48" t="str">
        <f aca="false">IF(AS425&lt;=0,"",IF(CF425="Aussen","Aussenlager",IF(CF425="-","Nicht im Lift",IF(AY425&gt;=1,"Lift",IF(AY425&lt;=0,"Aussenlager","teilweise")))))</f>
        <v>Lift</v>
      </c>
      <c r="BL425" s="48" t="str">
        <f aca="false">IF(BC425&lt;=0,"",IF(CF425="Aussen","Aussenlager",IF(CF425="-","Nicht im Lift",IF(BI425&gt;=1,"Lift",IF(BI425&lt;=0,"Aussenlager","teilweise")))))</f>
        <v>Lift</v>
      </c>
      <c r="BM425" s="48" t="str">
        <f aca="false">IF(A425="","",IF(BV425=1,"Neu; ","")&amp;IF(AND(BV425=0,BQ425&lt;0),"negativer Bestand (Export "&amp;BQ425&amp;"); ","")&amp;IF(J425&lt;=0,"Kein Verbrauch; ","")&amp;IF(CQ425&gt;0,"Lift "&amp;W425&amp;" lt. Liftbericht (Fach "&amp;X425&amp;" Stk); ",IF(CA425=1,"Gebinde geschätzt ("&amp;T425&amp;"); ",IF(BZ425=1,"Lose – Tablare geschätzt; ","")))&amp;IF(H425&gt;AV425,"Überbestand "&amp;ROUND(H425-AV425,0)&amp;" Stk / CHF "&amp;ROUND((H425-AV425)*G425,0)&amp;"; ","")&amp;IF(AND(CH425=1,CI425&lt;CJ425),"MAX &lt; MB+LG; ","")&amp;IF(AND(CP425&gt;0,CO425*10&gt;CP425),"zu hoch für Tablar; ","")&amp;IF(AND(BV425=0,OR(CH425=1,AA425&lt;&gt;"",U425&lt;&gt;"",V425&lt;&gt;"",AB425&lt;&gt;"")),"manuell übersteuert; ","")&amp;IF(AND(BZ425=0,R425=0),"Gebinde unbekannt / Stellmass fehlt; ","")&amp;IF(AND(BZ425=0,N(V425)&lt;=0,N(Q425)&lt;=0),"Menge pro Gebinde fehlt (Ist = 1 Gebinde); ","")&amp;BU425)</f>
        <v>Gebinde geschätzt (Gross); Menge pro Gebinde fehlt (Ist = 1 Gebinde); grosser Artikel &amp; nicht im KTL</v>
      </c>
      <c r="BN425" s="48"/>
      <c r="BO425" s="48"/>
      <c r="BP425" s="55"/>
      <c r="BQ425" s="50" t="n">
        <v>1</v>
      </c>
      <c r="BR425" s="50" t="n">
        <v>2</v>
      </c>
      <c r="BS425" s="49" t="n">
        <v>90.0999999999997</v>
      </c>
      <c r="BT425" s="50" t="n">
        <v>26</v>
      </c>
      <c r="BU425" s="48" t="s">
        <v>270</v>
      </c>
      <c r="BV425" s="53" t="n">
        <v>0</v>
      </c>
      <c r="BW425" s="53" t="n">
        <v>425</v>
      </c>
      <c r="BX425" s="48" t="str">
        <f aca="false">IF(U425&lt;&gt;"",UPPER(TRIM(U425)),IF(CA425=1,UPPER(VLOOKUP(T425,Parameter!$I$27:$K$29,2,0)),IF(P425="","LOSE",P425)))</f>
        <v>S81</v>
      </c>
      <c r="BY425" s="50" t="n">
        <f aca="false">IF(BX425="LOSE",1,IF(N(V425)&gt;0,V425,IF(CA425=1,MAX(1,N(VLOOKUP(T425,Parameter!$I$27:$K$29,3,0)),H425,N(N425)),IF(N(Q425)&gt;0,Q425,MAX(1,H425)))))</f>
        <v>3</v>
      </c>
      <c r="BZ425" s="53" t="n">
        <f aca="false">IF(BX425="LOSE",1,0)</f>
        <v>0</v>
      </c>
      <c r="CA425" s="53" t="n">
        <f aca="false">IF(AND(U425="",OR(P425="",P425="LOSE"),T425&lt;&gt;"",N(S425)&lt;=0,ISNUMBER(MATCH(T425,Parameter!$I$27:$I$29,0))),1,0)</f>
        <v>1</v>
      </c>
      <c r="CB425" s="53" t="n">
        <f aca="false">IF(CQ425&gt;0,INDEX(Parameter!$H$5:$H$7,W425)/INDEX(Parameter!$E$5:$E$7,W425),IF(AND(BZ425=0,N(IFERROR(VLOOKUP(BX425,'Gebinde-Kategorie'!$A$5:$N$45,14,0),0))&gt;0),VLOOKUP(BX425,'Gebinde-Kategorie'!$A$5:$N$45,14,0)*10+Parameter!$M$23,Parameter!$M$24))</f>
        <v>235</v>
      </c>
      <c r="CC425" s="48" t="str">
        <f aca="false">IF(AND(Parameter!$B$19="Ja",E425&lt;&gt;"",ISNUMBER(MATCH(E425,Parameter!$I$35:$I$52,0))),VLOOKUP(E425,Parameter!$I$35:$J$52,2,0),IFERROR(VLOOKUP(D425,Parameter!$A$35:$C$64,2,0),"Nein"))</f>
        <v>2+3</v>
      </c>
      <c r="CD425" s="52" t="n">
        <f aca="false">IF(BZ425=0,0,IF(N(S425)&gt;0,S425,IFERROR(VLOOKUP(D425,Parameter!$A$35:$C$64,3,0)+0,0)))</f>
        <v>0</v>
      </c>
      <c r="CE425" s="48" t="n">
        <f aca="false">IF(AA425&lt;&gt;"",AA425,Z425)</f>
        <v>2</v>
      </c>
      <c r="CF425" s="48" t="str">
        <f aca="false">IF(OR(CE425=1,CE425=2,CE425=3),IF(Parameter!$E$27="Ja","LIFT",IF(CE425=1,"L1","L23")),IF(CE425="Aussen","Aussen","-"))</f>
        <v>LIFT</v>
      </c>
      <c r="CG425" s="59" t="n">
        <f aca="false">IF(N(AB425)&gt;0,AB425,0)</f>
        <v>0</v>
      </c>
      <c r="CH425" s="53" t="n">
        <f aca="false">IF(ISNUMBER(AE425),1,0)</f>
        <v>0</v>
      </c>
      <c r="CI425" s="50" t="n">
        <f aca="false">N(AE425)</f>
        <v>0</v>
      </c>
      <c r="CJ425" s="50" t="n">
        <f aca="false">N(M425)+N(N425)</f>
        <v>4</v>
      </c>
      <c r="CK425" s="50" t="n">
        <f aca="false">N(M425)</f>
        <v>2</v>
      </c>
      <c r="CL425" s="50" t="n">
        <f aca="false">N(N425)</f>
        <v>2</v>
      </c>
      <c r="CM425" s="50" t="n">
        <f aca="false">ROUNDUP(H425/BY425,0)</f>
        <v>1</v>
      </c>
      <c r="CN425" s="50" t="n">
        <f aca="false">ROUNDUP(CI425/BY425,0)</f>
        <v>0</v>
      </c>
      <c r="CO425" s="53" t="n">
        <f aca="false">IF(BZ425=1,0,IFERROR(VLOOKUP(BX425,'Gebinde-Kategorie'!$A$5:$N$45,5,0)+0,0))</f>
        <v>20</v>
      </c>
      <c r="CP425" s="53" t="n">
        <f aca="false">IFERROR(IF(OR(CE425=1,CE425=2,CE425=3),N(INDEX(Parameter!$I$5:$I$7,CE425)),0),0)</f>
        <v>0</v>
      </c>
      <c r="CQ425" s="52" t="n">
        <f aca="false">IF(AND(Parameter!$B$21="Ja",ISNUMBER(W425),N(X425)&gt;0),IFERROR(N(INDEX(Parameter!$L$5:$L$7,W425))*INDEX(Parameter!$E$5:$E$7,W425)*X425/SUMIFS($X$7:$X$1843,$W$7:$W$1843,W425),0),0)</f>
        <v>0</v>
      </c>
    </row>
    <row r="426" customFormat="false" ht="15" hidden="false" customHeight="false" outlineLevel="0" collapsed="false">
      <c r="A426" s="48" t="s">
        <v>989</v>
      </c>
      <c r="B426" s="48" t="s">
        <v>990</v>
      </c>
      <c r="C426" s="48" t="s">
        <v>173</v>
      </c>
      <c r="D426" s="48" t="s">
        <v>193</v>
      </c>
      <c r="E426" s="48"/>
      <c r="F426" s="48" t="s">
        <v>227</v>
      </c>
      <c r="G426" s="49" t="n">
        <v>0.1</v>
      </c>
      <c r="H426" s="50" t="n">
        <f aca="false">MAX(0,IF(AND(Parameter!$B$21="Ja",ISNUMBER(Y426)),Y426,IF(Parameter!$B$20="Jahresanfang 2025 + Export",BR426+BQ426,BQ426)))</f>
        <v>1000</v>
      </c>
      <c r="I426" s="50" t="n">
        <f aca="false">H426*G426</f>
        <v>100</v>
      </c>
      <c r="J426" s="50" t="n">
        <f aca="false">BT426*Parameter!$B$18</f>
        <v>701</v>
      </c>
      <c r="K426" s="51" t="n">
        <v>551.5</v>
      </c>
      <c r="L426" s="52" t="n">
        <v>1.27107887579329</v>
      </c>
      <c r="M426" s="50" t="n">
        <v>40</v>
      </c>
      <c r="N426" s="50" t="n">
        <v>1000</v>
      </c>
      <c r="O426" s="53" t="n">
        <v>21</v>
      </c>
      <c r="P426" s="48" t="s">
        <v>311</v>
      </c>
      <c r="Q426" s="50" t="n">
        <v>1000</v>
      </c>
      <c r="R426" s="53" t="n">
        <f aca="false">IF(BZ426=1,0,IFERROR(VLOOKUP(BX426,'Gebinde-Kategorie'!$A$5:$N$45,13,0)+0,0))</f>
        <v>26</v>
      </c>
      <c r="S426" s="54"/>
      <c r="T426" s="55"/>
      <c r="U426" s="55"/>
      <c r="V426" s="55"/>
      <c r="W426" s="48"/>
      <c r="X426" s="50"/>
      <c r="Y426" s="50"/>
      <c r="Z426" s="48" t="n">
        <f aca="false">IF(A426="","",IF(AND(Parameter!$B$21="Ja",ISNUMBER(W426)),W426,IF(CC426="2+3",IF(ISNUMBER(SEARCH("grosser Artikel",BU426)),2,IFERROR(VLOOKUP(BX426,Parameter!$F$35:$G$64,2,0),2)),IF(OR(CC426="Nein",CC426=""),"-",CC426))))</f>
        <v>3</v>
      </c>
      <c r="AA426" s="55"/>
      <c r="AB426" s="56"/>
      <c r="AC426" s="50" t="n">
        <f aca="false">AV426</f>
        <v>1040</v>
      </c>
      <c r="AD426" s="50" t="n">
        <f aca="false">MAX(AV426,H426)</f>
        <v>1040</v>
      </c>
      <c r="AE426" s="57"/>
      <c r="AF426" s="50" t="n">
        <f aca="false">IF(LEFT(Cockpit!$C$5,1)="A",H426,IF(Parameter!$E$30="MAX-Bestand",IF(CH426=1,CI426,IF(LEFT(Cockpit!$C$5,1)="B",AL426,MAX(AL426,H426))),ROUNDUP(AJ426,0)))</f>
        <v>1000</v>
      </c>
      <c r="AG426" s="50" t="n">
        <f aca="false">IF(BZ426=1,0,ROUNDUP(AF426/BY426,0))</f>
        <v>1</v>
      </c>
      <c r="AH426" s="52" t="n">
        <f aca="false">IF(CQ426&gt;0,CQ426*MAX(1,AF426/X426),IF(BZ426=1,IF(AF426&lt;=0,0,CD426*MAX(1,IF(H426&gt;0,AF426/H426,1))),IF(R426&gt;0,AG426/R426,0))/MAX(0.1,N(Parameter!$M$21)))</f>
        <v>0.0384615384615385</v>
      </c>
      <c r="AI426" s="50" t="n">
        <f aca="false">AH426*CB426</f>
        <v>5.96153846153846</v>
      </c>
      <c r="AJ426" s="51" t="n">
        <f aca="false">IF(LEFT(Cockpit!$C$5,1)="A",H426,IF(CH426=1,(CK426+CI426)/2,IF(LEFT(Cockpit!$C$5,1)="B",(CK426+AL426)/2,MAX((CK426+AL426)/2,H426))))</f>
        <v>1000</v>
      </c>
      <c r="AK426" s="50" t="n">
        <f aca="false">AJ426*G426</f>
        <v>100</v>
      </c>
      <c r="AL426" s="50" t="n">
        <f aca="false">ROUNDUP(CK426+MAX(CL426,2*(J426/IF(CG426&gt;0,CG426,MAX(0.1,N(Cockpit!$C$6)))-CK426)),0)</f>
        <v>1040</v>
      </c>
      <c r="AM426" s="51" t="n">
        <f aca="false">IF(AI426&gt;0,J426/AI426,-1)</f>
        <v>117.587096774194</v>
      </c>
      <c r="AN426" s="51" t="n">
        <f aca="false">IF(AND(OR(CF426="L1",CF426="L23",CF426="LIFT"),AI426&gt;0),SUMIFS($AI$7:$AI$1843,$CF$7:$CF$1843,CF426,$AM$7:$AM$1843,"&gt;"&amp;AM426)+SUMIFS($AI$7:$AI$1843,$CF$7:$CF$1843,CF426,$AM$7:$AM$1843,AM426,$BW$7:$BW$1843,"&lt;="&amp;BW426),"")</f>
        <v>687.163919413919</v>
      </c>
      <c r="AO426" s="58" t="n">
        <f aca="false">IF(AN426="",0,MAX(0,MIN(1,(IF(CF426="L1",Parameter!$H$5,IF(CF426="L23",Parameter!$H$6+Parameter!$H$7,Parameter!$H$5+Parameter!$H$6+Parameter!$H$7))-(AN426-AI426))/AI426)))</f>
        <v>1</v>
      </c>
      <c r="AP426" s="50" t="n">
        <f aca="false">IF(LEFT(Cockpit!$I$5,1)="A",H426,IF(Parameter!$E$30="MAX-Bestand",IF(CH426=1,CI426,IF(LEFT(Cockpit!$I$5,1)="B",AV426,MAX(AV426,H426))),ROUNDUP(AT426,0)))</f>
        <v>1000</v>
      </c>
      <c r="AQ426" s="50" t="n">
        <f aca="false">IF(BZ426=1,0,ROUNDUP(AP426/BY426,0))</f>
        <v>1</v>
      </c>
      <c r="AR426" s="52" t="n">
        <f aca="false">IF(CQ426&gt;0,CQ426*MAX(1,AP426/X426),IF(BZ426=1,IF(AP426&lt;=0,0,CD426*MAX(1,IF(H426&gt;0,AP426/H426,1))),IF(R426&gt;0,AQ426/R426,0))/MAX(0.1,N(Parameter!$M$21)))</f>
        <v>0.0384615384615385</v>
      </c>
      <c r="AS426" s="50" t="n">
        <f aca="false">AR426*CB426</f>
        <v>5.96153846153846</v>
      </c>
      <c r="AT426" s="51" t="n">
        <f aca="false">IF(LEFT(Cockpit!$I$5,1)="A",H426,IF(CH426=1,(CK426+CI426)/2,IF(LEFT(Cockpit!$I$5,1)="B",(CK426+AV426)/2,MAX((CK426+AV426)/2,H426))))</f>
        <v>1000</v>
      </c>
      <c r="AU426" s="50" t="n">
        <f aca="false">AT426*G426</f>
        <v>100</v>
      </c>
      <c r="AV426" s="50" t="n">
        <f aca="false">ROUNDUP(CK426+MAX(CL426,2*(J426/IF(CG426&gt;0,CG426,MAX(0.1,N(Cockpit!$I$6)))-CK426)),0)</f>
        <v>1040</v>
      </c>
      <c r="AW426" s="51" t="n">
        <f aca="false">IF(AS426&gt;0,J426/AS426,-1)</f>
        <v>117.587096774194</v>
      </c>
      <c r="AX426" s="51" t="n">
        <f aca="false">IF(AND(OR(CF426="L1",CF426="L23",CF426="LIFT"),AS426&gt;0),SUMIFS($AS$7:$AS$1843,$CF$7:$CF$1843,CF426,$AW$7:$AW$1843,"&gt;"&amp;AW426)+SUMIFS($AS$7:$AS$1843,$CF$7:$CF$1843,CF426,$AW$7:$AW$1843,AW426,$BW$7:$BW$1843,"&lt;="&amp;BW426),"")</f>
        <v>801.053571428571</v>
      </c>
      <c r="AY426" s="58" t="n">
        <f aca="false">IF(AX426="",0,MAX(0,MIN(1,(IF(CF426="L1",Parameter!$H$5,IF(CF426="L23",Parameter!$H$6+Parameter!$H$7,Parameter!$H$5+Parameter!$H$6+Parameter!$H$7))-(AX426-AS426))/AS426)))</f>
        <v>1</v>
      </c>
      <c r="AZ426" s="50" t="n">
        <f aca="false">IF(LEFT(Cockpit!$O$5,1)="A",H426,IF(Parameter!$E$30="MAX-Bestand",IF(CH426=1,CI426,IF(LEFT(Cockpit!$O$5,1)="B",BF426,MAX(BF426,H426))),ROUNDUP(BD426,0)))</f>
        <v>540</v>
      </c>
      <c r="BA426" s="50" t="n">
        <f aca="false">IF(BZ426=1,0,ROUNDUP(AZ426/BY426,0))</f>
        <v>1</v>
      </c>
      <c r="BB426" s="52" t="n">
        <f aca="false">IF(CQ426&gt;0,CQ426*MAX(1,AZ426/X426),IF(BZ426=1,IF(AZ426&lt;=0,0,CD426*MAX(1,IF(H426&gt;0,AZ426/H426,1))),IF(R426&gt;0,BA426/R426,0))/MAX(0.1,N(Parameter!$M$21)))</f>
        <v>0.0384615384615385</v>
      </c>
      <c r="BC426" s="50" t="n">
        <f aca="false">BB426*CB426</f>
        <v>5.96153846153846</v>
      </c>
      <c r="BD426" s="51" t="n">
        <f aca="false">IF(LEFT(Cockpit!$O$5,1)="A",H426,IF(CH426=1,(CK426+CI426)/2,IF(LEFT(Cockpit!$O$5,1)="B",(CK426+BF426)/2,MAX((CK426+BF426)/2,H426))))</f>
        <v>540</v>
      </c>
      <c r="BE426" s="50" t="n">
        <f aca="false">BD426*G426</f>
        <v>54</v>
      </c>
      <c r="BF426" s="50" t="n">
        <f aca="false">ROUNDUP(CK426+MAX(CL426,2*(J426/IF(CG426&gt;0,CG426,MAX(0.1,N(Cockpit!$O$6)))-CK426)),0)</f>
        <v>1040</v>
      </c>
      <c r="BG426" s="51" t="n">
        <f aca="false">IF(BC426&gt;0,J426/BC426,-1)</f>
        <v>117.587096774194</v>
      </c>
      <c r="BH426" s="51" t="n">
        <f aca="false">IF(AND(OR(CF426="L1",CF426="L23",CF426="LIFT"),BC426&gt;0),SUMIFS($BC$7:$BC$1843,$CF$7:$CF$1843,CF426,$BG$7:$BG$1843,"&gt;"&amp;BG426)+SUMIFS($BC$7:$BC$1843,$CF$7:$CF$1843,CF426,$BG$7:$BG$1843,BG426,$BW$7:$BW$1843,"&lt;="&amp;BW426),"")</f>
        <v>823.962912087912</v>
      </c>
      <c r="BI426" s="58" t="n">
        <f aca="false">IF(BH426="",0,MAX(0,MIN(1,(IF(CF426="L1",Parameter!$H$5,IF(CF426="L23",Parameter!$H$6+Parameter!$H$7,Parameter!$H$5+Parameter!$H$6+Parameter!$H$7))-(BH426-BC426))/BC426)))</f>
        <v>1</v>
      </c>
      <c r="BJ426" s="48" t="str">
        <f aca="false">IF(AI426&lt;=0,"",IF(CF426="Aussen","Aussenlager",IF(CF426="-","Nicht im Lift",IF(AO426&gt;=1,"Lift",IF(AO426&lt;=0,"Aussenlager","teilweise")))))</f>
        <v>Lift</v>
      </c>
      <c r="BK426" s="48" t="str">
        <f aca="false">IF(AS426&lt;=0,"",IF(CF426="Aussen","Aussenlager",IF(CF426="-","Nicht im Lift",IF(AY426&gt;=1,"Lift",IF(AY426&lt;=0,"Aussenlager","teilweise")))))</f>
        <v>Lift</v>
      </c>
      <c r="BL426" s="48" t="str">
        <f aca="false">IF(BC426&lt;=0,"",IF(CF426="Aussen","Aussenlager",IF(CF426="-","Nicht im Lift",IF(BI426&gt;=1,"Lift",IF(BI426&lt;=0,"Aussenlager","teilweise")))))</f>
        <v>Lift</v>
      </c>
      <c r="BM426" s="48" t="str">
        <f aca="false">IF(A426="","",IF(BV426=1,"Neu; ","")&amp;IF(AND(BV426=0,BQ426&lt;0),"negativer Bestand (Export "&amp;BQ426&amp;"); ","")&amp;IF(J426&lt;=0,"Kein Verbrauch; ","")&amp;IF(CQ426&gt;0,"Lift "&amp;W426&amp;" lt. Liftbericht (Fach "&amp;X426&amp;" Stk); ",IF(CA426=1,"Gebinde geschätzt ("&amp;T426&amp;"); ",IF(BZ426=1,"Lose – Tablare geschätzt; ","")))&amp;IF(H426&gt;AV426,"Überbestand "&amp;ROUND(H426-AV426,0)&amp;" Stk / CHF "&amp;ROUND((H426-AV426)*G426,0)&amp;"; ","")&amp;IF(AND(CH426=1,CI426&lt;CJ426),"MAX &lt; MB+LG; ","")&amp;IF(AND(CP426&gt;0,CO426*10&gt;CP426),"zu hoch für Tablar; ","")&amp;IF(AND(BV426=0,OR(CH426=1,AA426&lt;&gt;"",U426&lt;&gt;"",V426&lt;&gt;"",AB426&lt;&gt;"")),"manuell übersteuert; ","")&amp;IF(AND(BZ426=0,R426=0),"Gebinde unbekannt / Stellmass fehlt; ","")&amp;IF(AND(BZ426=0,N(V426)&lt;=0,N(Q426)&lt;=0),"Menge pro Gebinde fehlt (Ist = 1 Gebinde); ","")&amp;BU426)</f>
        <v/>
      </c>
      <c r="BN426" s="48"/>
      <c r="BO426" s="48"/>
      <c r="BP426" s="55"/>
      <c r="BQ426" s="50" t="n">
        <v>900</v>
      </c>
      <c r="BR426" s="50" t="n">
        <v>100</v>
      </c>
      <c r="BS426" s="49" t="n">
        <v>90</v>
      </c>
      <c r="BT426" s="50" t="n">
        <v>701</v>
      </c>
      <c r="BU426" s="48"/>
      <c r="BV426" s="53" t="n">
        <v>0</v>
      </c>
      <c r="BW426" s="53" t="n">
        <v>426</v>
      </c>
      <c r="BX426" s="48" t="str">
        <f aca="false">IF(U426&lt;&gt;"",UPPER(TRIM(U426)),IF(CA426=1,UPPER(VLOOKUP(T426,Parameter!$I$27:$K$29,2,0)),IF(P426="","LOSE",P426)))</f>
        <v>S51</v>
      </c>
      <c r="BY426" s="50" t="n">
        <f aca="false">IF(BX426="LOSE",1,IF(N(V426)&gt;0,V426,IF(CA426=1,MAX(1,N(VLOOKUP(T426,Parameter!$I$27:$K$29,3,0)),H426,N(N426)),IF(N(Q426)&gt;0,Q426,MAX(1,H426)))))</f>
        <v>1000</v>
      </c>
      <c r="BZ426" s="53" t="n">
        <f aca="false">IF(BX426="LOSE",1,0)</f>
        <v>0</v>
      </c>
      <c r="CA426" s="53" t="n">
        <f aca="false">IF(AND(U426="",OR(P426="",P426="LOSE"),T426&lt;&gt;"",N(S426)&lt;=0,ISNUMBER(MATCH(T426,Parameter!$I$27:$I$29,0))),1,0)</f>
        <v>0</v>
      </c>
      <c r="CB426" s="53" t="n">
        <f aca="false">IF(CQ426&gt;0,INDEX(Parameter!$H$5:$H$7,W426)/INDEX(Parameter!$E$5:$E$7,W426),IF(AND(BZ426=0,N(IFERROR(VLOOKUP(BX426,'Gebinde-Kategorie'!$A$5:$N$45,14,0),0))&gt;0),VLOOKUP(BX426,'Gebinde-Kategorie'!$A$5:$N$45,14,0)*10+Parameter!$M$23,Parameter!$M$24))</f>
        <v>155</v>
      </c>
      <c r="CC426" s="48" t="str">
        <f aca="false">IF(AND(Parameter!$B$19="Ja",E426&lt;&gt;"",ISNUMBER(MATCH(E426,Parameter!$I$35:$I$52,0))),VLOOKUP(E426,Parameter!$I$35:$J$52,2,0),IFERROR(VLOOKUP(D426,Parameter!$A$35:$C$64,2,0),"Nein"))</f>
        <v>2+3</v>
      </c>
      <c r="CD426" s="52" t="n">
        <f aca="false">IF(BZ426=0,0,IF(N(S426)&gt;0,S426,IFERROR(VLOOKUP(D426,Parameter!$A$35:$C$64,3,0)+0,0)))</f>
        <v>0</v>
      </c>
      <c r="CE426" s="48" t="n">
        <f aca="false">IF(AA426&lt;&gt;"",AA426,Z426)</f>
        <v>3</v>
      </c>
      <c r="CF426" s="48" t="str">
        <f aca="false">IF(OR(CE426=1,CE426=2,CE426=3),IF(Parameter!$E$27="Ja","LIFT",IF(CE426=1,"L1","L23")),IF(CE426="Aussen","Aussen","-"))</f>
        <v>LIFT</v>
      </c>
      <c r="CG426" s="59" t="n">
        <f aca="false">IF(N(AB426)&gt;0,AB426,0)</f>
        <v>0</v>
      </c>
      <c r="CH426" s="53" t="n">
        <f aca="false">IF(ISNUMBER(AE426),1,0)</f>
        <v>0</v>
      </c>
      <c r="CI426" s="50" t="n">
        <f aca="false">N(AE426)</f>
        <v>0</v>
      </c>
      <c r="CJ426" s="50" t="n">
        <f aca="false">N(M426)+N(N426)</f>
        <v>1040</v>
      </c>
      <c r="CK426" s="50" t="n">
        <f aca="false">N(M426)</f>
        <v>40</v>
      </c>
      <c r="CL426" s="50" t="n">
        <f aca="false">N(N426)</f>
        <v>1000</v>
      </c>
      <c r="CM426" s="50" t="n">
        <f aca="false">ROUNDUP(H426/BY426,0)</f>
        <v>1</v>
      </c>
      <c r="CN426" s="50" t="n">
        <f aca="false">ROUNDUP(CI426/BY426,0)</f>
        <v>0</v>
      </c>
      <c r="CO426" s="53" t="n">
        <f aca="false">IF(BZ426=1,0,IFERROR(VLOOKUP(BX426,'Gebinde-Kategorie'!$A$5:$N$45,5,0)+0,0))</f>
        <v>11</v>
      </c>
      <c r="CP426" s="53" t="n">
        <f aca="false">IFERROR(IF(OR(CE426=1,CE426=2,CE426=3),N(INDEX(Parameter!$I$5:$I$7,CE426)),0),0)</f>
        <v>0</v>
      </c>
      <c r="CQ426" s="52" t="n">
        <f aca="false">IF(AND(Parameter!$B$21="Ja",ISNUMBER(W426),N(X426)&gt;0),IFERROR(N(INDEX(Parameter!$L$5:$L$7,W426))*INDEX(Parameter!$E$5:$E$7,W426)*X426/SUMIFS($X$7:$X$1843,$W$7:$W$1843,W426),0),0)</f>
        <v>0</v>
      </c>
    </row>
    <row r="427" customFormat="false" ht="15" hidden="false" customHeight="false" outlineLevel="0" collapsed="false">
      <c r="A427" s="48" t="s">
        <v>991</v>
      </c>
      <c r="B427" s="48" t="s">
        <v>992</v>
      </c>
      <c r="C427" s="48" t="s">
        <v>173</v>
      </c>
      <c r="D427" s="48" t="s">
        <v>193</v>
      </c>
      <c r="E427" s="48" t="s">
        <v>194</v>
      </c>
      <c r="F427" s="48" t="s">
        <v>227</v>
      </c>
      <c r="G427" s="49" t="n">
        <v>11.9</v>
      </c>
      <c r="H427" s="50" t="n">
        <f aca="false">MAX(0,IF(AND(Parameter!$B$21="Ja",ISNUMBER(Y427)),Y427,IF(Parameter!$B$20="Jahresanfang 2025 + Export",BR427+BQ427,BQ427)))</f>
        <v>13</v>
      </c>
      <c r="I427" s="50" t="n">
        <f aca="false">H427*G427</f>
        <v>154.7</v>
      </c>
      <c r="J427" s="50" t="n">
        <f aca="false">BT427*Parameter!$B$18</f>
        <v>19</v>
      </c>
      <c r="K427" s="51" t="n">
        <v>7</v>
      </c>
      <c r="L427" s="52" t="n">
        <v>2.71428571428571</v>
      </c>
      <c r="M427" s="50" t="n">
        <v>0</v>
      </c>
      <c r="N427" s="50" t="n">
        <v>20</v>
      </c>
      <c r="O427" s="53" t="n">
        <v>14</v>
      </c>
      <c r="P427" s="48" t="s">
        <v>485</v>
      </c>
      <c r="Q427" s="50" t="n">
        <v>12</v>
      </c>
      <c r="R427" s="53" t="n">
        <f aca="false">IF(BZ427=1,0,IFERROR(VLOOKUP(BX427,'Gebinde-Kategorie'!$A$5:$N$45,13,0)+0,0))</f>
        <v>52</v>
      </c>
      <c r="S427" s="54"/>
      <c r="T427" s="55"/>
      <c r="U427" s="55"/>
      <c r="V427" s="55"/>
      <c r="W427" s="48"/>
      <c r="X427" s="50"/>
      <c r="Y427" s="50"/>
      <c r="Z427" s="48" t="n">
        <f aca="false">IF(A427="","",IF(AND(Parameter!$B$21="Ja",ISNUMBER(W427)),W427,IF(CC427="2+3",IF(ISNUMBER(SEARCH("grosser Artikel",BU427)),2,IFERROR(VLOOKUP(BX427,Parameter!$F$35:$G$64,2,0),2)),IF(OR(CC427="Nein",CC427=""),"-",CC427))))</f>
        <v>3</v>
      </c>
      <c r="AA427" s="55"/>
      <c r="AB427" s="56"/>
      <c r="AC427" s="50" t="n">
        <f aca="false">AV427</f>
        <v>20</v>
      </c>
      <c r="AD427" s="50" t="n">
        <f aca="false">MAX(AV427,H427)</f>
        <v>20</v>
      </c>
      <c r="AE427" s="57"/>
      <c r="AF427" s="50" t="n">
        <f aca="false">IF(LEFT(Cockpit!$C$5,1)="A",H427,IF(Parameter!$E$30="MAX-Bestand",IF(CH427=1,CI427,IF(LEFT(Cockpit!$C$5,1)="B",AL427,MAX(AL427,H427))),ROUNDUP(AJ427,0)))</f>
        <v>13</v>
      </c>
      <c r="AG427" s="50" t="n">
        <f aca="false">IF(BZ427=1,0,ROUNDUP(AF427/BY427,0))</f>
        <v>2</v>
      </c>
      <c r="AH427" s="52" t="n">
        <f aca="false">IF(CQ427&gt;0,CQ427*MAX(1,AF427/X427),IF(BZ427=1,IF(AF427&lt;=0,0,CD427*MAX(1,IF(H427&gt;0,AF427/H427,1))),IF(R427&gt;0,AG427/R427,0))/MAX(0.1,N(Parameter!$M$21)))</f>
        <v>0.0384615384615385</v>
      </c>
      <c r="AI427" s="50" t="n">
        <f aca="false">AH427*CB427</f>
        <v>5.96153846153846</v>
      </c>
      <c r="AJ427" s="51" t="n">
        <f aca="false">IF(LEFT(Cockpit!$C$5,1)="A",H427,IF(CH427=1,(CK427+CI427)/2,IF(LEFT(Cockpit!$C$5,1)="B",(CK427+AL427)/2,MAX((CK427+AL427)/2,H427))))</f>
        <v>13</v>
      </c>
      <c r="AK427" s="50" t="n">
        <f aca="false">AJ427*G427</f>
        <v>154.7</v>
      </c>
      <c r="AL427" s="50" t="n">
        <f aca="false">ROUNDUP(CK427+MAX(CL427,2*(J427/IF(CG427&gt;0,CG427,MAX(0.1,N(Cockpit!$C$6)))-CK427)),0)</f>
        <v>20</v>
      </c>
      <c r="AM427" s="51" t="n">
        <f aca="false">IF(AI427&gt;0,J427/AI427,-1)</f>
        <v>3.18709677419355</v>
      </c>
      <c r="AN427" s="51" t="n">
        <f aca="false">IF(AND(OR(CF427="L1",CF427="L23",CF427="LIFT"),AI427&gt;0),SUMIFS($AI$7:$AI$1843,$CF$7:$CF$1843,CF427,$AM$7:$AM$1843,"&gt;"&amp;AM427)+SUMIFS($AI$7:$AI$1843,$CF$7:$CF$1843,CF427,$AM$7:$AM$1843,AM427,$BW$7:$BW$1843,"&lt;="&amp;BW427),"")</f>
        <v>4975.12316849817</v>
      </c>
      <c r="AO427" s="58" t="n">
        <f aca="false">IF(AN427="",0,MAX(0,MIN(1,(IF(CF427="L1",Parameter!$H$5,IF(CF427="L23",Parameter!$H$6+Parameter!$H$7,Parameter!$H$5+Parameter!$H$6+Parameter!$H$7))-(AN427-AI427))/AI427)))</f>
        <v>1</v>
      </c>
      <c r="AP427" s="50" t="n">
        <f aca="false">IF(LEFT(Cockpit!$I$5,1)="A",H427,IF(Parameter!$E$30="MAX-Bestand",IF(CH427=1,CI427,IF(LEFT(Cockpit!$I$5,1)="B",AV427,MAX(AV427,H427))),ROUNDUP(AT427,0)))</f>
        <v>13</v>
      </c>
      <c r="AQ427" s="50" t="n">
        <f aca="false">IF(BZ427=1,0,ROUNDUP(AP427/BY427,0))</f>
        <v>2</v>
      </c>
      <c r="AR427" s="52" t="n">
        <f aca="false">IF(CQ427&gt;0,CQ427*MAX(1,AP427/X427),IF(BZ427=1,IF(AP427&lt;=0,0,CD427*MAX(1,IF(H427&gt;0,AP427/H427,1))),IF(R427&gt;0,AQ427/R427,0))/MAX(0.1,N(Parameter!$M$21)))</f>
        <v>0.0384615384615385</v>
      </c>
      <c r="AS427" s="50" t="n">
        <f aca="false">AR427*CB427</f>
        <v>5.96153846153846</v>
      </c>
      <c r="AT427" s="51" t="n">
        <f aca="false">IF(LEFT(Cockpit!$I$5,1)="A",H427,IF(CH427=1,(CK427+CI427)/2,IF(LEFT(Cockpit!$I$5,1)="B",(CK427+AV427)/2,MAX((CK427+AV427)/2,H427))))</f>
        <v>13</v>
      </c>
      <c r="AU427" s="50" t="n">
        <f aca="false">AT427*G427</f>
        <v>154.7</v>
      </c>
      <c r="AV427" s="50" t="n">
        <f aca="false">ROUNDUP(CK427+MAX(CL427,2*(J427/IF(CG427&gt;0,CG427,MAX(0.1,N(Cockpit!$I$6)))-CK427)),0)</f>
        <v>20</v>
      </c>
      <c r="AW427" s="51" t="n">
        <f aca="false">IF(AS427&gt;0,J427/AS427,-1)</f>
        <v>3.18709677419355</v>
      </c>
      <c r="AX427" s="51" t="n">
        <f aca="false">IF(AND(OR(CF427="L1",CF427="L23",CF427="LIFT"),AS427&gt;0),SUMIFS($AS$7:$AS$1843,$CF$7:$CF$1843,CF427,$AW$7:$AW$1843,"&gt;"&amp;AW427)+SUMIFS($AS$7:$AS$1843,$CF$7:$CF$1843,CF427,$AW$7:$AW$1843,AW427,$BW$7:$BW$1843,"&lt;="&amp;BW427),"")</f>
        <v>5684.37683150183</v>
      </c>
      <c r="AY427" s="58" t="n">
        <f aca="false">IF(AX427="",0,MAX(0,MIN(1,(IF(CF427="L1",Parameter!$H$5,IF(CF427="L23",Parameter!$H$6+Parameter!$H$7,Parameter!$H$5+Parameter!$H$6+Parameter!$H$7))-(AX427-AS427))/AS427)))</f>
        <v>1</v>
      </c>
      <c r="AZ427" s="50" t="n">
        <f aca="false">IF(LEFT(Cockpit!$O$5,1)="A",H427,IF(Parameter!$E$30="MAX-Bestand",IF(CH427=1,CI427,IF(LEFT(Cockpit!$O$5,1)="B",BF427,MAX(BF427,H427))),ROUNDUP(BD427,0)))</f>
        <v>10</v>
      </c>
      <c r="BA427" s="50" t="n">
        <f aca="false">IF(BZ427=1,0,ROUNDUP(AZ427/BY427,0))</f>
        <v>1</v>
      </c>
      <c r="BB427" s="52" t="n">
        <f aca="false">IF(CQ427&gt;0,CQ427*MAX(1,AZ427/X427),IF(BZ427=1,IF(AZ427&lt;=0,0,CD427*MAX(1,IF(H427&gt;0,AZ427/H427,1))),IF(R427&gt;0,BA427/R427,0))/MAX(0.1,N(Parameter!$M$21)))</f>
        <v>0.0192307692307692</v>
      </c>
      <c r="BC427" s="50" t="n">
        <f aca="false">BB427*CB427</f>
        <v>2.98076923076923</v>
      </c>
      <c r="BD427" s="51" t="n">
        <f aca="false">IF(LEFT(Cockpit!$O$5,1)="A",H427,IF(CH427=1,(CK427+CI427)/2,IF(LEFT(Cockpit!$O$5,1)="B",(CK427+BF427)/2,MAX((CK427+BF427)/2,H427))))</f>
        <v>10</v>
      </c>
      <c r="BE427" s="50" t="n">
        <f aca="false">BD427*G427</f>
        <v>119</v>
      </c>
      <c r="BF427" s="50" t="n">
        <f aca="false">ROUNDUP(CK427+MAX(CL427,2*(J427/IF(CG427&gt;0,CG427,MAX(0.1,N(Cockpit!$O$6)))-CK427)),0)</f>
        <v>20</v>
      </c>
      <c r="BG427" s="51" t="n">
        <f aca="false">IF(BC427&gt;0,J427/BC427,-1)</f>
        <v>6.3741935483871</v>
      </c>
      <c r="BH427" s="51" t="n">
        <f aca="false">IF(AND(OR(CF427="L1",CF427="L23",CF427="LIFT"),BC427&gt;0),SUMIFS($BC$7:$BC$1843,$CF$7:$CF$1843,CF427,$BG$7:$BG$1843,"&gt;"&amp;BG427)+SUMIFS($BC$7:$BC$1843,$CF$7:$CF$1843,CF427,$BG$7:$BG$1843,BG427,$BW$7:$BW$1843,"&lt;="&amp;BW427),"")</f>
        <v>3390.96382783883</v>
      </c>
      <c r="BI427" s="58" t="n">
        <f aca="false">IF(BH427="",0,MAX(0,MIN(1,(IF(CF427="L1",Parameter!$H$5,IF(CF427="L23",Parameter!$H$6+Parameter!$H$7,Parameter!$H$5+Parameter!$H$6+Parameter!$H$7))-(BH427-BC427))/BC427)))</f>
        <v>1</v>
      </c>
      <c r="BJ427" s="48" t="str">
        <f aca="false">IF(AI427&lt;=0,"",IF(CF427="Aussen","Aussenlager",IF(CF427="-","Nicht im Lift",IF(AO427&gt;=1,"Lift",IF(AO427&lt;=0,"Aussenlager","teilweise")))))</f>
        <v>Lift</v>
      </c>
      <c r="BK427" s="48" t="str">
        <f aca="false">IF(AS427&lt;=0,"",IF(CF427="Aussen","Aussenlager",IF(CF427="-","Nicht im Lift",IF(AY427&gt;=1,"Lift",IF(AY427&lt;=0,"Aussenlager","teilweise")))))</f>
        <v>Lift</v>
      </c>
      <c r="BL427" s="48" t="str">
        <f aca="false">IF(BC427&lt;=0,"",IF(CF427="Aussen","Aussenlager",IF(CF427="-","Nicht im Lift",IF(BI427&gt;=1,"Lift",IF(BI427&lt;=0,"Aussenlager","teilweise")))))</f>
        <v>Lift</v>
      </c>
      <c r="BM427" s="48" t="str">
        <f aca="false">IF(A427="","",IF(BV427=1,"Neu; ","")&amp;IF(AND(BV427=0,BQ427&lt;0),"negativer Bestand (Export "&amp;BQ427&amp;"); ","")&amp;IF(J427&lt;=0,"Kein Verbrauch; ","")&amp;IF(CQ427&gt;0,"Lift "&amp;W427&amp;" lt. Liftbericht (Fach "&amp;X427&amp;" Stk); ",IF(CA427=1,"Gebinde geschätzt ("&amp;T427&amp;"); ",IF(BZ427=1,"Lose – Tablare geschätzt; ","")))&amp;IF(H427&gt;AV427,"Überbestand "&amp;ROUND(H427-AV427,0)&amp;" Stk / CHF "&amp;ROUND((H427-AV427)*G427,0)&amp;"; ","")&amp;IF(AND(CH427=1,CI427&lt;CJ427),"MAX &lt; MB+LG; ","")&amp;IF(AND(CP427&gt;0,CO427*10&gt;CP427),"zu hoch für Tablar; ","")&amp;IF(AND(BV427=0,OR(CH427=1,AA427&lt;&gt;"",U427&lt;&gt;"",V427&lt;&gt;"",AB427&lt;&gt;"")),"manuell übersteuert; ","")&amp;IF(AND(BZ427=0,R427=0),"Gebinde unbekannt / Stellmass fehlt; ","")&amp;IF(AND(BZ427=0,N(V427)&lt;=0,N(Q427)&lt;=0),"Menge pro Gebinde fehlt (Ist = 1 Gebinde); ","")&amp;BU427)</f>
        <v/>
      </c>
      <c r="BN427" s="48"/>
      <c r="BO427" s="48"/>
      <c r="BP427" s="55"/>
      <c r="BQ427" s="50" t="n">
        <v>6</v>
      </c>
      <c r="BR427" s="50" t="n">
        <v>7</v>
      </c>
      <c r="BS427" s="49" t="n">
        <v>87.92</v>
      </c>
      <c r="BT427" s="50" t="n">
        <v>19</v>
      </c>
      <c r="BU427" s="48"/>
      <c r="BV427" s="53" t="n">
        <v>0</v>
      </c>
      <c r="BW427" s="53" t="n">
        <v>427</v>
      </c>
      <c r="BX427" s="48" t="str">
        <f aca="false">IF(U427&lt;&gt;"",UPPER(TRIM(U427)),IF(CA427=1,UPPER(VLOOKUP(T427,Parameter!$I$27:$K$29,2,0)),IF(P427="","LOSE",P427)))</f>
        <v>S33</v>
      </c>
      <c r="BY427" s="50" t="n">
        <f aca="false">IF(BX427="LOSE",1,IF(N(V427)&gt;0,V427,IF(CA427=1,MAX(1,N(VLOOKUP(T427,Parameter!$I$27:$K$29,3,0)),H427,N(N427)),IF(N(Q427)&gt;0,Q427,MAX(1,H427)))))</f>
        <v>12</v>
      </c>
      <c r="BZ427" s="53" t="n">
        <f aca="false">IF(BX427="LOSE",1,0)</f>
        <v>0</v>
      </c>
      <c r="CA427" s="53" t="n">
        <f aca="false">IF(AND(U427="",OR(P427="",P427="LOSE"),T427&lt;&gt;"",N(S427)&lt;=0,ISNUMBER(MATCH(T427,Parameter!$I$27:$I$29,0))),1,0)</f>
        <v>0</v>
      </c>
      <c r="CB427" s="53" t="n">
        <f aca="false">IF(CQ427&gt;0,INDEX(Parameter!$H$5:$H$7,W427)/INDEX(Parameter!$E$5:$E$7,W427),IF(AND(BZ427=0,N(IFERROR(VLOOKUP(BX427,'Gebinde-Kategorie'!$A$5:$N$45,14,0),0))&gt;0),VLOOKUP(BX427,'Gebinde-Kategorie'!$A$5:$N$45,14,0)*10+Parameter!$M$23,Parameter!$M$24))</f>
        <v>155</v>
      </c>
      <c r="CC427" s="48" t="str">
        <f aca="false">IF(AND(Parameter!$B$19="Ja",E427&lt;&gt;"",ISNUMBER(MATCH(E427,Parameter!$I$35:$I$52,0))),VLOOKUP(E427,Parameter!$I$35:$J$52,2,0),IFERROR(VLOOKUP(D427,Parameter!$A$35:$C$64,2,0),"Nein"))</f>
        <v>2+3</v>
      </c>
      <c r="CD427" s="52" t="n">
        <f aca="false">IF(BZ427=0,0,IF(N(S427)&gt;0,S427,IFERROR(VLOOKUP(D427,Parameter!$A$35:$C$64,3,0)+0,0)))</f>
        <v>0</v>
      </c>
      <c r="CE427" s="48" t="n">
        <f aca="false">IF(AA427&lt;&gt;"",AA427,Z427)</f>
        <v>3</v>
      </c>
      <c r="CF427" s="48" t="str">
        <f aca="false">IF(OR(CE427=1,CE427=2,CE427=3),IF(Parameter!$E$27="Ja","LIFT",IF(CE427=1,"L1","L23")),IF(CE427="Aussen","Aussen","-"))</f>
        <v>LIFT</v>
      </c>
      <c r="CG427" s="59" t="n">
        <f aca="false">IF(N(AB427)&gt;0,AB427,0)</f>
        <v>0</v>
      </c>
      <c r="CH427" s="53" t="n">
        <f aca="false">IF(ISNUMBER(AE427),1,0)</f>
        <v>0</v>
      </c>
      <c r="CI427" s="50" t="n">
        <f aca="false">N(AE427)</f>
        <v>0</v>
      </c>
      <c r="CJ427" s="50" t="n">
        <f aca="false">N(M427)+N(N427)</f>
        <v>20</v>
      </c>
      <c r="CK427" s="50" t="n">
        <f aca="false">N(M427)</f>
        <v>0</v>
      </c>
      <c r="CL427" s="50" t="n">
        <f aca="false">N(N427)</f>
        <v>20</v>
      </c>
      <c r="CM427" s="50" t="n">
        <f aca="false">ROUNDUP(H427/BY427,0)</f>
        <v>2</v>
      </c>
      <c r="CN427" s="50" t="n">
        <f aca="false">ROUNDUP(CI427/BY427,0)</f>
        <v>0</v>
      </c>
      <c r="CO427" s="53" t="n">
        <f aca="false">IF(BZ427=1,0,IFERROR(VLOOKUP(BX427,'Gebinde-Kategorie'!$A$5:$N$45,5,0)+0,0))</f>
        <v>8</v>
      </c>
      <c r="CP427" s="53" t="n">
        <f aca="false">IFERROR(IF(OR(CE427=1,CE427=2,CE427=3),N(INDEX(Parameter!$I$5:$I$7,CE427)),0),0)</f>
        <v>0</v>
      </c>
      <c r="CQ427" s="52" t="n">
        <f aca="false">IF(AND(Parameter!$B$21="Ja",ISNUMBER(W427),N(X427)&gt;0),IFERROR(N(INDEX(Parameter!$L$5:$L$7,W427))*INDEX(Parameter!$E$5:$E$7,W427)*X427/SUMIFS($X$7:$X$1843,$W$7:$W$1843,W427),0),0)</f>
        <v>0</v>
      </c>
    </row>
    <row r="428" customFormat="false" ht="15" hidden="false" customHeight="false" outlineLevel="0" collapsed="false">
      <c r="A428" s="48" t="s">
        <v>993</v>
      </c>
      <c r="B428" s="48" t="s">
        <v>598</v>
      </c>
      <c r="C428" s="48" t="s">
        <v>173</v>
      </c>
      <c r="D428" s="48" t="s">
        <v>193</v>
      </c>
      <c r="E428" s="48" t="s">
        <v>194</v>
      </c>
      <c r="F428" s="48" t="s">
        <v>227</v>
      </c>
      <c r="G428" s="49" t="n">
        <v>43.94</v>
      </c>
      <c r="H428" s="50" t="n">
        <f aca="false">MAX(0,IF(AND(Parameter!$B$21="Ja",ISNUMBER(Y428)),Y428,IF(Parameter!$B$20="Jahresanfang 2025 + Export",BR428+BQ428,BQ428)))</f>
        <v>67</v>
      </c>
      <c r="I428" s="50" t="n">
        <f aca="false">H428*G428</f>
        <v>2943.98</v>
      </c>
      <c r="J428" s="50" t="n">
        <f aca="false">BT428*Parameter!$B$18</f>
        <v>0</v>
      </c>
      <c r="K428" s="51" t="n">
        <v>66</v>
      </c>
      <c r="L428" s="52" t="n">
        <v>0</v>
      </c>
      <c r="M428" s="50" t="n">
        <v>0</v>
      </c>
      <c r="N428" s="50" t="n">
        <v>1</v>
      </c>
      <c r="O428" s="53" t="n">
        <v>35</v>
      </c>
      <c r="P428" s="48" t="s">
        <v>435</v>
      </c>
      <c r="Q428" s="50" t="n">
        <v>65</v>
      </c>
      <c r="R428" s="53" t="n">
        <f aca="false">IF(BZ428=1,0,IFERROR(VLOOKUP(BX428,'Gebinde-Kategorie'!$A$5:$N$45,13,0)+0,0))</f>
        <v>140</v>
      </c>
      <c r="S428" s="54"/>
      <c r="T428" s="55"/>
      <c r="U428" s="55"/>
      <c r="V428" s="55"/>
      <c r="W428" s="48"/>
      <c r="X428" s="50"/>
      <c r="Y428" s="50"/>
      <c r="Z428" s="48" t="n">
        <f aca="false">IF(A428="","",IF(AND(Parameter!$B$21="Ja",ISNUMBER(W428)),W428,IF(CC428="2+3",IF(ISNUMBER(SEARCH("grosser Artikel",BU428)),2,IFERROR(VLOOKUP(BX428,Parameter!$F$35:$G$64,2,0),2)),IF(OR(CC428="Nein",CC428=""),"-",CC428))))</f>
        <v>3</v>
      </c>
      <c r="AA428" s="55"/>
      <c r="AB428" s="56"/>
      <c r="AC428" s="50" t="n">
        <f aca="false">AV428</f>
        <v>1</v>
      </c>
      <c r="AD428" s="50" t="n">
        <f aca="false">MAX(AV428,H428)</f>
        <v>67</v>
      </c>
      <c r="AE428" s="57"/>
      <c r="AF428" s="50" t="n">
        <f aca="false">IF(LEFT(Cockpit!$C$5,1)="A",H428,IF(Parameter!$E$30="MAX-Bestand",IF(CH428=1,CI428,IF(LEFT(Cockpit!$C$5,1)="B",AL428,MAX(AL428,H428))),ROUNDUP(AJ428,0)))</f>
        <v>67</v>
      </c>
      <c r="AG428" s="50" t="n">
        <f aca="false">IF(BZ428=1,0,ROUNDUP(AF428/BY428,0))</f>
        <v>2</v>
      </c>
      <c r="AH428" s="52" t="n">
        <f aca="false">IF(CQ428&gt;0,CQ428*MAX(1,AF428/X428),IF(BZ428=1,IF(AF428&lt;=0,0,CD428*MAX(1,IF(H428&gt;0,AF428/H428,1))),IF(R428&gt;0,AG428/R428,0))/MAX(0.1,N(Parameter!$M$21)))</f>
        <v>0.0142857142857143</v>
      </c>
      <c r="AI428" s="50" t="n">
        <f aca="false">AH428*CB428</f>
        <v>2.21428571428571</v>
      </c>
      <c r="AJ428" s="51" t="n">
        <f aca="false">IF(LEFT(Cockpit!$C$5,1)="A",H428,IF(CH428=1,(CK428+CI428)/2,IF(LEFT(Cockpit!$C$5,1)="B",(CK428+AL428)/2,MAX((CK428+AL428)/2,H428))))</f>
        <v>67</v>
      </c>
      <c r="AK428" s="50" t="n">
        <f aca="false">AJ428*G428</f>
        <v>2943.98</v>
      </c>
      <c r="AL428" s="50" t="n">
        <f aca="false">ROUNDUP(CK428+MAX(CL428,2*(J428/IF(CG428&gt;0,CG428,MAX(0.1,N(Cockpit!$C$6)))-CK428)),0)</f>
        <v>1</v>
      </c>
      <c r="AM428" s="51" t="n">
        <f aca="false">IF(AI428&gt;0,J428/AI428,-1)</f>
        <v>0</v>
      </c>
      <c r="AN428" s="51" t="n">
        <f aca="false">IF(AND(OR(CF428="L1",CF428="L23",CF428="LIFT"),AI428&gt;0),SUMIFS($AI$7:$AI$1843,$CF$7:$CF$1843,CF428,$AM$7:$AM$1843,"&gt;"&amp;AM428)+SUMIFS($AI$7:$AI$1843,$CF$7:$CF$1843,CF428,$AM$7:$AM$1843,AM428,$BW$7:$BW$1843,"&lt;="&amp;BW428),"")</f>
        <v>28109.791834813</v>
      </c>
      <c r="AO428" s="58" t="n">
        <f aca="false">IF(AN428="",0,MAX(0,MIN(1,(IF(CF428="L1",Parameter!$H$5,IF(CF428="L23",Parameter!$H$6+Parameter!$H$7,Parameter!$H$5+Parameter!$H$6+Parameter!$H$7))-(AN428-AI428))/AI428)))</f>
        <v>1</v>
      </c>
      <c r="AP428" s="50" t="n">
        <f aca="false">IF(LEFT(Cockpit!$I$5,1)="A",H428,IF(Parameter!$E$30="MAX-Bestand",IF(CH428=1,CI428,IF(LEFT(Cockpit!$I$5,1)="B",AV428,MAX(AV428,H428))),ROUNDUP(AT428,0)))</f>
        <v>67</v>
      </c>
      <c r="AQ428" s="50" t="n">
        <f aca="false">IF(BZ428=1,0,ROUNDUP(AP428/BY428,0))</f>
        <v>2</v>
      </c>
      <c r="AR428" s="52" t="n">
        <f aca="false">IF(CQ428&gt;0,CQ428*MAX(1,AP428/X428),IF(BZ428=1,IF(AP428&lt;=0,0,CD428*MAX(1,IF(H428&gt;0,AP428/H428,1))),IF(R428&gt;0,AQ428/R428,0))/MAX(0.1,N(Parameter!$M$21)))</f>
        <v>0.0142857142857143</v>
      </c>
      <c r="AS428" s="50" t="n">
        <f aca="false">AR428*CB428</f>
        <v>2.21428571428571</v>
      </c>
      <c r="AT428" s="51" t="n">
        <f aca="false">IF(LEFT(Cockpit!$I$5,1)="A",H428,IF(CH428=1,(CK428+CI428)/2,IF(LEFT(Cockpit!$I$5,1)="B",(CK428+AV428)/2,MAX((CK428+AV428)/2,H428))))</f>
        <v>67</v>
      </c>
      <c r="AU428" s="50" t="n">
        <f aca="false">AT428*G428</f>
        <v>2943.98</v>
      </c>
      <c r="AV428" s="50" t="n">
        <f aca="false">ROUNDUP(CK428+MAX(CL428,2*(J428/IF(CG428&gt;0,CG428,MAX(0.1,N(Cockpit!$I$6)))-CK428)),0)</f>
        <v>1</v>
      </c>
      <c r="AW428" s="51" t="n">
        <f aca="false">IF(AS428&gt;0,J428/AS428,-1)</f>
        <v>0</v>
      </c>
      <c r="AX428" s="51" t="n">
        <f aca="false">IF(AND(OR(CF428="L1",CF428="L23",CF428="LIFT"),AS428&gt;0),SUMIFS($AS$7:$AS$1843,$CF$7:$CF$1843,CF428,$AW$7:$AW$1843,"&gt;"&amp;AW428)+SUMIFS($AS$7:$AS$1843,$CF$7:$CF$1843,CF428,$AW$7:$AW$1843,AW428,$BW$7:$BW$1843,"&lt;="&amp;BW428),"")</f>
        <v>33462.9404761905</v>
      </c>
      <c r="AY428" s="58" t="n">
        <f aca="false">IF(AX428="",0,MAX(0,MIN(1,(IF(CF428="L1",Parameter!$H$5,IF(CF428="L23",Parameter!$H$6+Parameter!$H$7,Parameter!$H$5+Parameter!$H$6+Parameter!$H$7))-(AX428-AS428))/AS428)))</f>
        <v>1</v>
      </c>
      <c r="AZ428" s="50" t="n">
        <f aca="false">IF(LEFT(Cockpit!$O$5,1)="A",H428,IF(Parameter!$E$30="MAX-Bestand",IF(CH428=1,CI428,IF(LEFT(Cockpit!$O$5,1)="B",BF428,MAX(BF428,H428))),ROUNDUP(BD428,0)))</f>
        <v>1</v>
      </c>
      <c r="BA428" s="50" t="n">
        <f aca="false">IF(BZ428=1,0,ROUNDUP(AZ428/BY428,0))</f>
        <v>1</v>
      </c>
      <c r="BB428" s="52" t="n">
        <f aca="false">IF(CQ428&gt;0,CQ428*MAX(1,AZ428/X428),IF(BZ428=1,IF(AZ428&lt;=0,0,CD428*MAX(1,IF(H428&gt;0,AZ428/H428,1))),IF(R428&gt;0,BA428/R428,0))/MAX(0.1,N(Parameter!$M$21)))</f>
        <v>0.00714285714285714</v>
      </c>
      <c r="BC428" s="50" t="n">
        <f aca="false">BB428*CB428</f>
        <v>1.10714285714286</v>
      </c>
      <c r="BD428" s="51" t="n">
        <f aca="false">IF(LEFT(Cockpit!$O$5,1)="A",H428,IF(CH428=1,(CK428+CI428)/2,IF(LEFT(Cockpit!$O$5,1)="B",(CK428+BF428)/2,MAX((CK428+BF428)/2,H428))))</f>
        <v>0.5</v>
      </c>
      <c r="BE428" s="50" t="n">
        <f aca="false">BD428*G428</f>
        <v>21.97</v>
      </c>
      <c r="BF428" s="50" t="n">
        <f aca="false">ROUNDUP(CK428+MAX(CL428,2*(J428/IF(CG428&gt;0,CG428,MAX(0.1,N(Cockpit!$O$6)))-CK428)),0)</f>
        <v>1</v>
      </c>
      <c r="BG428" s="51" t="n">
        <f aca="false">IF(BC428&gt;0,J428/BC428,-1)</f>
        <v>0</v>
      </c>
      <c r="BH428" s="51" t="n">
        <f aca="false">IF(AND(OR(CF428="L1",CF428="L23",CF428="LIFT"),BC428&gt;0),SUMIFS($BC$7:$BC$1843,$CF$7:$CF$1843,CF428,$BG$7:$BG$1843,"&gt;"&amp;BG428)+SUMIFS($BC$7:$BC$1843,$CF$7:$CF$1843,CF428,$BG$7:$BG$1843,BG428,$BW$7:$BW$1843,"&lt;="&amp;BW428),"")</f>
        <v>27575.3703048364</v>
      </c>
      <c r="BI428" s="58" t="n">
        <f aca="false">IF(BH428="",0,MAX(0,MIN(1,(IF(CF428="L1",Parameter!$H$5,IF(CF428="L23",Parameter!$H$6+Parameter!$H$7,Parameter!$H$5+Parameter!$H$6+Parameter!$H$7))-(BH428-BC428))/BC428)))</f>
        <v>1</v>
      </c>
      <c r="BJ428" s="48" t="str">
        <f aca="false">IF(AI428&lt;=0,"",IF(CF428="Aussen","Aussenlager",IF(CF428="-","Nicht im Lift",IF(AO428&gt;=1,"Lift",IF(AO428&lt;=0,"Aussenlager","teilweise")))))</f>
        <v>Lift</v>
      </c>
      <c r="BK428" s="48" t="str">
        <f aca="false">IF(AS428&lt;=0,"",IF(CF428="Aussen","Aussenlager",IF(CF428="-","Nicht im Lift",IF(AY428&gt;=1,"Lift",IF(AY428&lt;=0,"Aussenlager","teilweise")))))</f>
        <v>Lift</v>
      </c>
      <c r="BL428" s="48" t="str">
        <f aca="false">IF(BC428&lt;=0,"",IF(CF428="Aussen","Aussenlager",IF(CF428="-","Nicht im Lift",IF(BI428&gt;=1,"Lift",IF(BI428&lt;=0,"Aussenlager","teilweise")))))</f>
        <v>Lift</v>
      </c>
      <c r="BM428" s="48" t="str">
        <f aca="false">IF(A428="","",IF(BV428=1,"Neu; ","")&amp;IF(AND(BV428=0,BQ428&lt;0),"negativer Bestand (Export "&amp;BQ428&amp;"); ","")&amp;IF(J428&lt;=0,"Kein Verbrauch; ","")&amp;IF(CQ428&gt;0,"Lift "&amp;W428&amp;" lt. Liftbericht (Fach "&amp;X428&amp;" Stk); ",IF(CA428=1,"Gebinde geschätzt ("&amp;T428&amp;"); ",IF(BZ428=1,"Lose – Tablare geschätzt; ","")))&amp;IF(H428&gt;AV428,"Überbestand "&amp;ROUND(H428-AV428,0)&amp;" Stk / CHF "&amp;ROUND((H428-AV428)*G428,0)&amp;"; ","")&amp;IF(AND(CH428=1,CI428&lt;CJ428),"MAX &lt; MB+LG; ","")&amp;IF(AND(CP428&gt;0,CO428*10&gt;CP428),"zu hoch für Tablar; ","")&amp;IF(AND(BV428=0,OR(CH428=1,AA428&lt;&gt;"",U428&lt;&gt;"",V428&lt;&gt;"",AB428&lt;&gt;"")),"manuell übersteuert; ","")&amp;IF(AND(BZ428=0,R428=0),"Gebinde unbekannt / Stellmass fehlt; ","")&amp;IF(AND(BZ428=0,N(V428)&lt;=0,N(Q428)&lt;=0),"Menge pro Gebinde fehlt (Ist = 1 Gebinde); ","")&amp;BU428)</f>
        <v>Kein Verbrauch; Überbestand 66 Stk / CHF 2900; Neu</v>
      </c>
      <c r="BN428" s="48"/>
      <c r="BO428" s="48"/>
      <c r="BP428" s="55"/>
      <c r="BQ428" s="50" t="n">
        <v>2</v>
      </c>
      <c r="BR428" s="50" t="n">
        <v>65</v>
      </c>
      <c r="BS428" s="49" t="n">
        <v>87.88</v>
      </c>
      <c r="BT428" s="50" t="n">
        <v>0</v>
      </c>
      <c r="BU428" s="48" t="s">
        <v>635</v>
      </c>
      <c r="BV428" s="53" t="n">
        <v>0</v>
      </c>
      <c r="BW428" s="53" t="n">
        <v>428</v>
      </c>
      <c r="BX428" s="48" t="str">
        <f aca="false">IF(U428&lt;&gt;"",UPPER(TRIM(U428)),IF(CA428=1,UPPER(VLOOKUP(T428,Parameter!$I$27:$K$29,2,0)),IF(P428="","LOSE",P428)))</f>
        <v>S22</v>
      </c>
      <c r="BY428" s="50" t="n">
        <f aca="false">IF(BX428="LOSE",1,IF(N(V428)&gt;0,V428,IF(CA428=1,MAX(1,N(VLOOKUP(T428,Parameter!$I$27:$K$29,3,0)),H428,N(N428)),IF(N(Q428)&gt;0,Q428,MAX(1,H428)))))</f>
        <v>65</v>
      </c>
      <c r="BZ428" s="53" t="n">
        <f aca="false">IF(BX428="LOSE",1,0)</f>
        <v>0</v>
      </c>
      <c r="CA428" s="53" t="n">
        <f aca="false">IF(AND(U428="",OR(P428="",P428="LOSE"),T428&lt;&gt;"",N(S428)&lt;=0,ISNUMBER(MATCH(T428,Parameter!$I$27:$I$29,0))),1,0)</f>
        <v>0</v>
      </c>
      <c r="CB428" s="53" t="n">
        <f aca="false">IF(CQ428&gt;0,INDEX(Parameter!$H$5:$H$7,W428)/INDEX(Parameter!$E$5:$E$7,W428),IF(AND(BZ428=0,N(IFERROR(VLOOKUP(BX428,'Gebinde-Kategorie'!$A$5:$N$45,14,0),0))&gt;0),VLOOKUP(BX428,'Gebinde-Kategorie'!$A$5:$N$45,14,0)*10+Parameter!$M$23,Parameter!$M$24))</f>
        <v>155</v>
      </c>
      <c r="CC428" s="48" t="str">
        <f aca="false">IF(AND(Parameter!$B$19="Ja",E428&lt;&gt;"",ISNUMBER(MATCH(E428,Parameter!$I$35:$I$52,0))),VLOOKUP(E428,Parameter!$I$35:$J$52,2,0),IFERROR(VLOOKUP(D428,Parameter!$A$35:$C$64,2,0),"Nein"))</f>
        <v>2+3</v>
      </c>
      <c r="CD428" s="52" t="n">
        <f aca="false">IF(BZ428=0,0,IF(N(S428)&gt;0,S428,IFERROR(VLOOKUP(D428,Parameter!$A$35:$C$64,3,0)+0,0)))</f>
        <v>0</v>
      </c>
      <c r="CE428" s="48" t="n">
        <f aca="false">IF(AA428&lt;&gt;"",AA428,Z428)</f>
        <v>3</v>
      </c>
      <c r="CF428" s="48" t="str">
        <f aca="false">IF(OR(CE428=1,CE428=2,CE428=3),IF(Parameter!$E$27="Ja","LIFT",IF(CE428=1,"L1","L23")),IF(CE428="Aussen","Aussen","-"))</f>
        <v>LIFT</v>
      </c>
      <c r="CG428" s="59" t="n">
        <f aca="false">IF(N(AB428)&gt;0,AB428,0)</f>
        <v>0</v>
      </c>
      <c r="CH428" s="53" t="n">
        <f aca="false">IF(ISNUMBER(AE428),1,0)</f>
        <v>0</v>
      </c>
      <c r="CI428" s="50" t="n">
        <f aca="false">N(AE428)</f>
        <v>0</v>
      </c>
      <c r="CJ428" s="50" t="n">
        <f aca="false">N(M428)+N(N428)</f>
        <v>1</v>
      </c>
      <c r="CK428" s="50" t="n">
        <f aca="false">N(M428)</f>
        <v>0</v>
      </c>
      <c r="CL428" s="50" t="n">
        <f aca="false">N(N428)</f>
        <v>1</v>
      </c>
      <c r="CM428" s="50" t="n">
        <f aca="false">ROUNDUP(H428/BY428,0)</f>
        <v>2</v>
      </c>
      <c r="CN428" s="50" t="n">
        <f aca="false">ROUNDUP(CI428/BY428,0)</f>
        <v>0</v>
      </c>
      <c r="CO428" s="53" t="n">
        <f aca="false">IF(BZ428=1,0,IFERROR(VLOOKUP(BX428,'Gebinde-Kategorie'!$A$5:$N$45,5,0)+0,0))</f>
        <v>8</v>
      </c>
      <c r="CP428" s="53" t="n">
        <f aca="false">IFERROR(IF(OR(CE428=1,CE428=2,CE428=3),N(INDEX(Parameter!$I$5:$I$7,CE428)),0),0)</f>
        <v>0</v>
      </c>
      <c r="CQ428" s="52" t="n">
        <f aca="false">IF(AND(Parameter!$B$21="Ja",ISNUMBER(W428),N(X428)&gt;0),IFERROR(N(INDEX(Parameter!$L$5:$L$7,W428))*INDEX(Parameter!$E$5:$E$7,W428)*X428/SUMIFS($X$7:$X$1843,$W$7:$W$1843,W428),0),0)</f>
        <v>0</v>
      </c>
    </row>
    <row r="429" customFormat="false" ht="15" hidden="false" customHeight="false" outlineLevel="0" collapsed="false">
      <c r="A429" s="48" t="s">
        <v>994</v>
      </c>
      <c r="B429" s="48" t="s">
        <v>956</v>
      </c>
      <c r="C429" s="48" t="s">
        <v>173</v>
      </c>
      <c r="D429" s="48" t="s">
        <v>193</v>
      </c>
      <c r="E429" s="48"/>
      <c r="F429" s="48" t="s">
        <v>227</v>
      </c>
      <c r="G429" s="49" t="n">
        <v>2.85</v>
      </c>
      <c r="H429" s="50" t="n">
        <f aca="false">MAX(0,IF(AND(Parameter!$B$21="Ja",ISNUMBER(Y429)),Y429,IF(Parameter!$B$20="Jahresanfang 2025 + Export",BR429+BQ429,BQ429)))</f>
        <v>30</v>
      </c>
      <c r="I429" s="50" t="n">
        <f aca="false">H429*G429</f>
        <v>85.5</v>
      </c>
      <c r="J429" s="50" t="n">
        <f aca="false">BT429*Parameter!$B$18</f>
        <v>0</v>
      </c>
      <c r="K429" s="51" t="n">
        <v>0</v>
      </c>
      <c r="L429" s="52" t="n">
        <v>0</v>
      </c>
      <c r="M429" s="50" t="n">
        <v>0</v>
      </c>
      <c r="N429" s="50" t="n">
        <v>20</v>
      </c>
      <c r="O429" s="53" t="n">
        <v>9999</v>
      </c>
      <c r="P429" s="48" t="s">
        <v>177</v>
      </c>
      <c r="Q429" s="50"/>
      <c r="R429" s="53" t="n">
        <f aca="false">IF(BZ429=1,0,IFERROR(VLOOKUP(BX429,'Gebinde-Kategorie'!$A$5:$N$45,13,0)+0,0))</f>
        <v>26</v>
      </c>
      <c r="S429" s="54"/>
      <c r="T429" s="55" t="s">
        <v>284</v>
      </c>
      <c r="U429" s="55"/>
      <c r="V429" s="55"/>
      <c r="W429" s="48"/>
      <c r="X429" s="50"/>
      <c r="Y429" s="50"/>
      <c r="Z429" s="48" t="n">
        <f aca="false">IF(A429="","",IF(AND(Parameter!$B$21="Ja",ISNUMBER(W429)),W429,IF(CC429="2+3",IF(ISNUMBER(SEARCH("grosser Artikel",BU429)),2,IFERROR(VLOOKUP(BX429,Parameter!$F$35:$G$64,2,0),2)),IF(OR(CC429="Nein",CC429=""),"-",CC429))))</f>
        <v>3</v>
      </c>
      <c r="AA429" s="55"/>
      <c r="AB429" s="56"/>
      <c r="AC429" s="50" t="n">
        <f aca="false">AV429</f>
        <v>20</v>
      </c>
      <c r="AD429" s="50" t="n">
        <f aca="false">MAX(AV429,H429)</f>
        <v>30</v>
      </c>
      <c r="AE429" s="57"/>
      <c r="AF429" s="50" t="n">
        <f aca="false">IF(LEFT(Cockpit!$C$5,1)="A",H429,IF(Parameter!$E$30="MAX-Bestand",IF(CH429=1,CI429,IF(LEFT(Cockpit!$C$5,1)="B",AL429,MAX(AL429,H429))),ROUNDUP(AJ429,0)))</f>
        <v>30</v>
      </c>
      <c r="AG429" s="50" t="n">
        <f aca="false">IF(BZ429=1,0,ROUNDUP(AF429/BY429,0))</f>
        <v>1</v>
      </c>
      <c r="AH429" s="52" t="n">
        <f aca="false">IF(CQ429&gt;0,CQ429*MAX(1,AF429/X429),IF(BZ429=1,IF(AF429&lt;=0,0,CD429*MAX(1,IF(H429&gt;0,AF429/H429,1))),IF(R429&gt;0,AG429/R429,0))/MAX(0.1,N(Parameter!$M$21)))</f>
        <v>0.0384615384615385</v>
      </c>
      <c r="AI429" s="50" t="n">
        <f aca="false">AH429*CB429</f>
        <v>5.96153846153846</v>
      </c>
      <c r="AJ429" s="51" t="n">
        <f aca="false">IF(LEFT(Cockpit!$C$5,1)="A",H429,IF(CH429=1,(CK429+CI429)/2,IF(LEFT(Cockpit!$C$5,1)="B",(CK429+AL429)/2,MAX((CK429+AL429)/2,H429))))</f>
        <v>30</v>
      </c>
      <c r="AK429" s="50" t="n">
        <f aca="false">AJ429*G429</f>
        <v>85.5</v>
      </c>
      <c r="AL429" s="50" t="n">
        <f aca="false">ROUNDUP(CK429+MAX(CL429,2*(J429/IF(CG429&gt;0,CG429,MAX(0.1,N(Cockpit!$C$6)))-CK429)),0)</f>
        <v>20</v>
      </c>
      <c r="AM429" s="51" t="n">
        <f aca="false">IF(AI429&gt;0,J429/AI429,-1)</f>
        <v>0</v>
      </c>
      <c r="AN429" s="51" t="n">
        <f aca="false">IF(AND(OR(CF429="L1",CF429="L23",CF429="LIFT"),AI429&gt;0),SUMIFS($AI$7:$AI$1843,$CF$7:$CF$1843,CF429,$AM$7:$AM$1843,"&gt;"&amp;AM429)+SUMIFS($AI$7:$AI$1843,$CF$7:$CF$1843,CF429,$AM$7:$AM$1843,AM429,$BW$7:$BW$1843,"&lt;="&amp;BW429),"")</f>
        <v>28115.7533732746</v>
      </c>
      <c r="AO429" s="58" t="n">
        <f aca="false">IF(AN429="",0,MAX(0,MIN(1,(IF(CF429="L1",Parameter!$H$5,IF(CF429="L23",Parameter!$H$6+Parameter!$H$7,Parameter!$H$5+Parameter!$H$6+Parameter!$H$7))-(AN429-AI429))/AI429)))</f>
        <v>1</v>
      </c>
      <c r="AP429" s="50" t="n">
        <f aca="false">IF(LEFT(Cockpit!$I$5,1)="A",H429,IF(Parameter!$E$30="MAX-Bestand",IF(CH429=1,CI429,IF(LEFT(Cockpit!$I$5,1)="B",AV429,MAX(AV429,H429))),ROUNDUP(AT429,0)))</f>
        <v>30</v>
      </c>
      <c r="AQ429" s="50" t="n">
        <f aca="false">IF(BZ429=1,0,ROUNDUP(AP429/BY429,0))</f>
        <v>1</v>
      </c>
      <c r="AR429" s="52" t="n">
        <f aca="false">IF(CQ429&gt;0,CQ429*MAX(1,AP429/X429),IF(BZ429=1,IF(AP429&lt;=0,0,CD429*MAX(1,IF(H429&gt;0,AP429/H429,1))),IF(R429&gt;0,AQ429/R429,0))/MAX(0.1,N(Parameter!$M$21)))</f>
        <v>0.0384615384615385</v>
      </c>
      <c r="AS429" s="50" t="n">
        <f aca="false">AR429*CB429</f>
        <v>5.96153846153846</v>
      </c>
      <c r="AT429" s="51" t="n">
        <f aca="false">IF(LEFT(Cockpit!$I$5,1)="A",H429,IF(CH429=1,(CK429+CI429)/2,IF(LEFT(Cockpit!$I$5,1)="B",(CK429+AV429)/2,MAX((CK429+AV429)/2,H429))))</f>
        <v>30</v>
      </c>
      <c r="AU429" s="50" t="n">
        <f aca="false">AT429*G429</f>
        <v>85.5</v>
      </c>
      <c r="AV429" s="50" t="n">
        <f aca="false">ROUNDUP(CK429+MAX(CL429,2*(J429/IF(CG429&gt;0,CG429,MAX(0.1,N(Cockpit!$I$6)))-CK429)),0)</f>
        <v>20</v>
      </c>
      <c r="AW429" s="51" t="n">
        <f aca="false">IF(AS429&gt;0,J429/AS429,-1)</f>
        <v>0</v>
      </c>
      <c r="AX429" s="51" t="n">
        <f aca="false">IF(AND(OR(CF429="L1",CF429="L23",CF429="LIFT"),AS429&gt;0),SUMIFS($AS$7:$AS$1843,$CF$7:$CF$1843,CF429,$AW$7:$AW$1843,"&gt;"&amp;AW429)+SUMIFS($AS$7:$AS$1843,$CF$7:$CF$1843,CF429,$AW$7:$AW$1843,AW429,$BW$7:$BW$1843,"&lt;="&amp;BW429),"")</f>
        <v>33468.902014652</v>
      </c>
      <c r="AY429" s="58" t="n">
        <f aca="false">IF(AX429="",0,MAX(0,MIN(1,(IF(CF429="L1",Parameter!$H$5,IF(CF429="L23",Parameter!$H$6+Parameter!$H$7,Parameter!$H$5+Parameter!$H$6+Parameter!$H$7))-(AX429-AS429))/AS429)))</f>
        <v>1</v>
      </c>
      <c r="AZ429" s="50" t="n">
        <f aca="false">IF(LEFT(Cockpit!$O$5,1)="A",H429,IF(Parameter!$E$30="MAX-Bestand",IF(CH429=1,CI429,IF(LEFT(Cockpit!$O$5,1)="B",BF429,MAX(BF429,H429))),ROUNDUP(BD429,0)))</f>
        <v>10</v>
      </c>
      <c r="BA429" s="50" t="n">
        <f aca="false">IF(BZ429=1,0,ROUNDUP(AZ429/BY429,0))</f>
        <v>1</v>
      </c>
      <c r="BB429" s="52" t="n">
        <f aca="false">IF(CQ429&gt;0,CQ429*MAX(1,AZ429/X429),IF(BZ429=1,IF(AZ429&lt;=0,0,CD429*MAX(1,IF(H429&gt;0,AZ429/H429,1))),IF(R429&gt;0,BA429/R429,0))/MAX(0.1,N(Parameter!$M$21)))</f>
        <v>0.0384615384615385</v>
      </c>
      <c r="BC429" s="50" t="n">
        <f aca="false">BB429*CB429</f>
        <v>5.96153846153846</v>
      </c>
      <c r="BD429" s="51" t="n">
        <f aca="false">IF(LEFT(Cockpit!$O$5,1)="A",H429,IF(CH429=1,(CK429+CI429)/2,IF(LEFT(Cockpit!$O$5,1)="B",(CK429+BF429)/2,MAX((CK429+BF429)/2,H429))))</f>
        <v>10</v>
      </c>
      <c r="BE429" s="50" t="n">
        <f aca="false">BD429*G429</f>
        <v>28.5</v>
      </c>
      <c r="BF429" s="50" t="n">
        <f aca="false">ROUNDUP(CK429+MAX(CL429,2*(J429/IF(CG429&gt;0,CG429,MAX(0.1,N(Cockpit!$O$6)))-CK429)),0)</f>
        <v>20</v>
      </c>
      <c r="BG429" s="51" t="n">
        <f aca="false">IF(BC429&gt;0,J429/BC429,-1)</f>
        <v>0</v>
      </c>
      <c r="BH429" s="51" t="n">
        <f aca="false">IF(AND(OR(CF429="L1",CF429="L23",CF429="LIFT"),BC429&gt;0),SUMIFS($BC$7:$BC$1843,$CF$7:$CF$1843,CF429,$BG$7:$BG$1843,"&gt;"&amp;BG429)+SUMIFS($BC$7:$BC$1843,$CF$7:$CF$1843,CF429,$BG$7:$BG$1843,BG429,$BW$7:$BW$1843,"&lt;="&amp;BW429),"")</f>
        <v>27581.3318432979</v>
      </c>
      <c r="BI429" s="58" t="n">
        <f aca="false">IF(BH429="",0,MAX(0,MIN(1,(IF(CF429="L1",Parameter!$H$5,IF(CF429="L23",Parameter!$H$6+Parameter!$H$7,Parameter!$H$5+Parameter!$H$6+Parameter!$H$7))-(BH429-BC429))/BC429)))</f>
        <v>1</v>
      </c>
      <c r="BJ429" s="48" t="str">
        <f aca="false">IF(AI429&lt;=0,"",IF(CF429="Aussen","Aussenlager",IF(CF429="-","Nicht im Lift",IF(AO429&gt;=1,"Lift",IF(AO429&lt;=0,"Aussenlager","teilweise")))))</f>
        <v>Lift</v>
      </c>
      <c r="BK429" s="48" t="str">
        <f aca="false">IF(AS429&lt;=0,"",IF(CF429="Aussen","Aussenlager",IF(CF429="-","Nicht im Lift",IF(AY429&gt;=1,"Lift",IF(AY429&lt;=0,"Aussenlager","teilweise")))))</f>
        <v>Lift</v>
      </c>
      <c r="BL429" s="48" t="str">
        <f aca="false">IF(BC429&lt;=0,"",IF(CF429="Aussen","Aussenlager",IF(CF429="-","Nicht im Lift",IF(BI429&gt;=1,"Lift",IF(BI429&lt;=0,"Aussenlager","teilweise")))))</f>
        <v>Lift</v>
      </c>
      <c r="BM429" s="48" t="str">
        <f aca="false">IF(A429="","",IF(BV429=1,"Neu; ","")&amp;IF(AND(BV429=0,BQ429&lt;0),"negativer Bestand (Export "&amp;BQ429&amp;"); ","")&amp;IF(J429&lt;=0,"Kein Verbrauch; ","")&amp;IF(CQ429&gt;0,"Lift "&amp;W429&amp;" lt. Liftbericht (Fach "&amp;X429&amp;" Stk); ",IF(CA429=1,"Gebinde geschätzt ("&amp;T429&amp;"); ",IF(BZ429=1,"Lose – Tablare geschätzt; ","")))&amp;IF(H429&gt;AV429,"Überbestand "&amp;ROUND(H429-AV429,0)&amp;" Stk / CHF "&amp;ROUND((H429-AV429)*G429,0)&amp;"; ","")&amp;IF(AND(CH429=1,CI429&lt;CJ429),"MAX &lt; MB+LG; ","")&amp;IF(AND(CP429&gt;0,CO429*10&gt;CP429),"zu hoch für Tablar; ","")&amp;IF(AND(BV429=0,OR(CH429=1,AA429&lt;&gt;"",U429&lt;&gt;"",V429&lt;&gt;"",AB429&lt;&gt;"")),"manuell übersteuert; ","")&amp;IF(AND(BZ429=0,R429=0),"Gebinde unbekannt / Stellmass fehlt; ","")&amp;IF(AND(BZ429=0,N(V429)&lt;=0,N(Q429)&lt;=0),"Menge pro Gebinde fehlt (Ist = 1 Gebinde); ","")&amp;BU429)</f>
        <v>Kein Verbrauch; Gebinde geschätzt (Klein); Überbestand 10 Stk / CHF 29; Menge pro Gebinde fehlt (Ist = 1 Gebinde); </v>
      </c>
      <c r="BN429" s="48"/>
      <c r="BO429" s="48"/>
      <c r="BP429" s="55"/>
      <c r="BQ429" s="50" t="n">
        <v>30</v>
      </c>
      <c r="BR429" s="50" t="n">
        <v>0</v>
      </c>
      <c r="BS429" s="49" t="n">
        <v>85.5</v>
      </c>
      <c r="BT429" s="50" t="n">
        <v>0</v>
      </c>
      <c r="BU429" s="48"/>
      <c r="BV429" s="53" t="n">
        <v>0</v>
      </c>
      <c r="BW429" s="53" t="n">
        <v>429</v>
      </c>
      <c r="BX429" s="48" t="str">
        <f aca="false">IF(U429&lt;&gt;"",UPPER(TRIM(U429)),IF(CA429=1,UPPER(VLOOKUP(T429,Parameter!$I$27:$K$29,2,0)),IF(P429="","LOSE",P429)))</f>
        <v>S51</v>
      </c>
      <c r="BY429" s="50" t="n">
        <f aca="false">IF(BX429="LOSE",1,IF(N(V429)&gt;0,V429,IF(CA429=1,MAX(1,N(VLOOKUP(T429,Parameter!$I$27:$K$29,3,0)),H429,N(N429)),IF(N(Q429)&gt;0,Q429,MAX(1,H429)))))</f>
        <v>30</v>
      </c>
      <c r="BZ429" s="53" t="n">
        <f aca="false">IF(BX429="LOSE",1,0)</f>
        <v>0</v>
      </c>
      <c r="CA429" s="53" t="n">
        <f aca="false">IF(AND(U429="",OR(P429="",P429="LOSE"),T429&lt;&gt;"",N(S429)&lt;=0,ISNUMBER(MATCH(T429,Parameter!$I$27:$I$29,0))),1,0)</f>
        <v>1</v>
      </c>
      <c r="CB429" s="53" t="n">
        <f aca="false">IF(CQ429&gt;0,INDEX(Parameter!$H$5:$H$7,W429)/INDEX(Parameter!$E$5:$E$7,W429),IF(AND(BZ429=0,N(IFERROR(VLOOKUP(BX429,'Gebinde-Kategorie'!$A$5:$N$45,14,0),0))&gt;0),VLOOKUP(BX429,'Gebinde-Kategorie'!$A$5:$N$45,14,0)*10+Parameter!$M$23,Parameter!$M$24))</f>
        <v>155</v>
      </c>
      <c r="CC429" s="48" t="str">
        <f aca="false">IF(AND(Parameter!$B$19="Ja",E429&lt;&gt;"",ISNUMBER(MATCH(E429,Parameter!$I$35:$I$52,0))),VLOOKUP(E429,Parameter!$I$35:$J$52,2,0),IFERROR(VLOOKUP(D429,Parameter!$A$35:$C$64,2,0),"Nein"))</f>
        <v>2+3</v>
      </c>
      <c r="CD429" s="52" t="n">
        <f aca="false">IF(BZ429=0,0,IF(N(S429)&gt;0,S429,IFERROR(VLOOKUP(D429,Parameter!$A$35:$C$64,3,0)+0,0)))</f>
        <v>0</v>
      </c>
      <c r="CE429" s="48" t="n">
        <f aca="false">IF(AA429&lt;&gt;"",AA429,Z429)</f>
        <v>3</v>
      </c>
      <c r="CF429" s="48" t="str">
        <f aca="false">IF(OR(CE429=1,CE429=2,CE429=3),IF(Parameter!$E$27="Ja","LIFT",IF(CE429=1,"L1","L23")),IF(CE429="Aussen","Aussen","-"))</f>
        <v>LIFT</v>
      </c>
      <c r="CG429" s="59" t="n">
        <f aca="false">IF(N(AB429)&gt;0,AB429,0)</f>
        <v>0</v>
      </c>
      <c r="CH429" s="53" t="n">
        <f aca="false">IF(ISNUMBER(AE429),1,0)</f>
        <v>0</v>
      </c>
      <c r="CI429" s="50" t="n">
        <f aca="false">N(AE429)</f>
        <v>0</v>
      </c>
      <c r="CJ429" s="50" t="n">
        <f aca="false">N(M429)+N(N429)</f>
        <v>20</v>
      </c>
      <c r="CK429" s="50" t="n">
        <f aca="false">N(M429)</f>
        <v>0</v>
      </c>
      <c r="CL429" s="50" t="n">
        <f aca="false">N(N429)</f>
        <v>20</v>
      </c>
      <c r="CM429" s="50" t="n">
        <f aca="false">ROUNDUP(H429/BY429,0)</f>
        <v>1</v>
      </c>
      <c r="CN429" s="50" t="n">
        <f aca="false">ROUNDUP(CI429/BY429,0)</f>
        <v>0</v>
      </c>
      <c r="CO429" s="53" t="n">
        <f aca="false">IF(BZ429=1,0,IFERROR(VLOOKUP(BX429,'Gebinde-Kategorie'!$A$5:$N$45,5,0)+0,0))</f>
        <v>11</v>
      </c>
      <c r="CP429" s="53" t="n">
        <f aca="false">IFERROR(IF(OR(CE429=1,CE429=2,CE429=3),N(INDEX(Parameter!$I$5:$I$7,CE429)),0),0)</f>
        <v>0</v>
      </c>
      <c r="CQ429" s="52" t="n">
        <f aca="false">IF(AND(Parameter!$B$21="Ja",ISNUMBER(W429),N(X429)&gt;0),IFERROR(N(INDEX(Parameter!$L$5:$L$7,W429))*INDEX(Parameter!$E$5:$E$7,W429)*X429/SUMIFS($X$7:$X$1843,$W$7:$W$1843,W429),0),0)</f>
        <v>0</v>
      </c>
    </row>
    <row r="430" customFormat="false" ht="15" hidden="false" customHeight="false" outlineLevel="0" collapsed="false">
      <c r="A430" s="48" t="s">
        <v>995</v>
      </c>
      <c r="B430" s="48" t="s">
        <v>580</v>
      </c>
      <c r="C430" s="48" t="s">
        <v>173</v>
      </c>
      <c r="D430" s="48" t="s">
        <v>193</v>
      </c>
      <c r="E430" s="48" t="s">
        <v>194</v>
      </c>
      <c r="F430" s="48" t="s">
        <v>227</v>
      </c>
      <c r="G430" s="49" t="n">
        <v>6.17</v>
      </c>
      <c r="H430" s="50" t="n">
        <f aca="false">MAX(0,IF(AND(Parameter!$B$21="Ja",ISNUMBER(Y430)),Y430,IF(Parameter!$B$20="Jahresanfang 2025 + Export",BR430+BQ430,BQ430)))</f>
        <v>75</v>
      </c>
      <c r="I430" s="50" t="n">
        <f aca="false">H430*G430</f>
        <v>462.75</v>
      </c>
      <c r="J430" s="50" t="n">
        <f aca="false">BT430*Parameter!$B$18</f>
        <v>258</v>
      </c>
      <c r="K430" s="51" t="n">
        <v>86.5</v>
      </c>
      <c r="L430" s="52" t="n">
        <v>2.98265895953757</v>
      </c>
      <c r="M430" s="50" t="n">
        <v>16</v>
      </c>
      <c r="N430" s="50" t="n">
        <v>100</v>
      </c>
      <c r="O430" s="53" t="n">
        <v>21</v>
      </c>
      <c r="P430" s="48" t="s">
        <v>337</v>
      </c>
      <c r="Q430" s="50" t="n">
        <v>166</v>
      </c>
      <c r="R430" s="53" t="n">
        <f aca="false">IF(BZ430=1,0,IFERROR(VLOOKUP(BX430,'Gebinde-Kategorie'!$A$5:$N$45,13,0)+0,0))</f>
        <v>52</v>
      </c>
      <c r="S430" s="54"/>
      <c r="T430" s="55"/>
      <c r="U430" s="55"/>
      <c r="V430" s="55"/>
      <c r="W430" s="48"/>
      <c r="X430" s="50"/>
      <c r="Y430" s="50"/>
      <c r="Z430" s="48" t="n">
        <f aca="false">IF(A430="","",IF(AND(Parameter!$B$21="Ja",ISNUMBER(W430)),W430,IF(CC430="2+3",IF(ISNUMBER(SEARCH("grosser Artikel",BU430)),2,IFERROR(VLOOKUP(BX430,Parameter!$F$35:$G$64,2,0),2)),IF(OR(CC430="Nein",CC430=""),"-",CC430))))</f>
        <v>3</v>
      </c>
      <c r="AA430" s="55"/>
      <c r="AB430" s="56"/>
      <c r="AC430" s="50" t="n">
        <f aca="false">AV430</f>
        <v>156</v>
      </c>
      <c r="AD430" s="50" t="n">
        <f aca="false">MAX(AV430,H430)</f>
        <v>156</v>
      </c>
      <c r="AE430" s="57"/>
      <c r="AF430" s="50" t="n">
        <f aca="false">IF(LEFT(Cockpit!$C$5,1)="A",H430,IF(Parameter!$E$30="MAX-Bestand",IF(CH430=1,CI430,IF(LEFT(Cockpit!$C$5,1)="B",AL430,MAX(AL430,H430))),ROUNDUP(AJ430,0)))</f>
        <v>75</v>
      </c>
      <c r="AG430" s="50" t="n">
        <f aca="false">IF(BZ430=1,0,ROUNDUP(AF430/BY430,0))</f>
        <v>1</v>
      </c>
      <c r="AH430" s="52" t="n">
        <f aca="false">IF(CQ430&gt;0,CQ430*MAX(1,AF430/X430),IF(BZ430=1,IF(AF430&lt;=0,0,CD430*MAX(1,IF(H430&gt;0,AF430/H430,1))),IF(R430&gt;0,AG430/R430,0))/MAX(0.1,N(Parameter!$M$21)))</f>
        <v>0.0192307692307692</v>
      </c>
      <c r="AI430" s="50" t="n">
        <f aca="false">AH430*CB430</f>
        <v>2.98076923076923</v>
      </c>
      <c r="AJ430" s="51" t="n">
        <f aca="false">IF(LEFT(Cockpit!$C$5,1)="A",H430,IF(CH430=1,(CK430+CI430)/2,IF(LEFT(Cockpit!$C$5,1)="B",(CK430+AL430)/2,MAX((CK430+AL430)/2,H430))))</f>
        <v>75</v>
      </c>
      <c r="AK430" s="50" t="n">
        <f aca="false">AJ430*G430</f>
        <v>462.75</v>
      </c>
      <c r="AL430" s="50" t="n">
        <f aca="false">ROUNDUP(CK430+MAX(CL430,2*(J430/IF(CG430&gt;0,CG430,MAX(0.1,N(Cockpit!$C$6)))-CK430)),0)</f>
        <v>156</v>
      </c>
      <c r="AM430" s="51" t="n">
        <f aca="false">IF(AI430&gt;0,J430/AI430,-1)</f>
        <v>86.5548387096774</v>
      </c>
      <c r="AN430" s="51" t="n">
        <f aca="false">IF(AND(OR(CF430="L1",CF430="L23",CF430="LIFT"),AI430&gt;0),SUMIFS($AI$7:$AI$1843,$CF$7:$CF$1843,CF430,$AM$7:$AM$1843,"&gt;"&amp;AM430)+SUMIFS($AI$7:$AI$1843,$CF$7:$CF$1843,CF430,$AM$7:$AM$1843,AM430,$BW$7:$BW$1843,"&lt;="&amp;BW430),"")</f>
        <v>838.368131868132</v>
      </c>
      <c r="AO430" s="58" t="n">
        <f aca="false">IF(AN430="",0,MAX(0,MIN(1,(IF(CF430="L1",Parameter!$H$5,IF(CF430="L23",Parameter!$H$6+Parameter!$H$7,Parameter!$H$5+Parameter!$H$6+Parameter!$H$7))-(AN430-AI430))/AI430)))</f>
        <v>1</v>
      </c>
      <c r="AP430" s="50" t="n">
        <f aca="false">IF(LEFT(Cockpit!$I$5,1)="A",H430,IF(Parameter!$E$30="MAX-Bestand",IF(CH430=1,CI430,IF(LEFT(Cockpit!$I$5,1)="B",AV430,MAX(AV430,H430))),ROUNDUP(AT430,0)))</f>
        <v>86</v>
      </c>
      <c r="AQ430" s="50" t="n">
        <f aca="false">IF(BZ430=1,0,ROUNDUP(AP430/BY430,0))</f>
        <v>1</v>
      </c>
      <c r="AR430" s="52" t="n">
        <f aca="false">IF(CQ430&gt;0,CQ430*MAX(1,AP430/X430),IF(BZ430=1,IF(AP430&lt;=0,0,CD430*MAX(1,IF(H430&gt;0,AP430/H430,1))),IF(R430&gt;0,AQ430/R430,0))/MAX(0.1,N(Parameter!$M$21)))</f>
        <v>0.0192307692307692</v>
      </c>
      <c r="AS430" s="50" t="n">
        <f aca="false">AR430*CB430</f>
        <v>2.98076923076923</v>
      </c>
      <c r="AT430" s="51" t="n">
        <f aca="false">IF(LEFT(Cockpit!$I$5,1)="A",H430,IF(CH430=1,(CK430+CI430)/2,IF(LEFT(Cockpit!$I$5,1)="B",(CK430+AV430)/2,MAX((CK430+AV430)/2,H430))))</f>
        <v>86</v>
      </c>
      <c r="AU430" s="50" t="n">
        <f aca="false">AT430*G430</f>
        <v>530.62</v>
      </c>
      <c r="AV430" s="50" t="n">
        <f aca="false">ROUNDUP(CK430+MAX(CL430,2*(J430/IF(CG430&gt;0,CG430,MAX(0.1,N(Cockpit!$I$6)))-CK430)),0)</f>
        <v>156</v>
      </c>
      <c r="AW430" s="51" t="n">
        <f aca="false">IF(AS430&gt;0,J430/AS430,-1)</f>
        <v>86.5548387096774</v>
      </c>
      <c r="AX430" s="51" t="n">
        <f aca="false">IF(AND(OR(CF430="L1",CF430="L23",CF430="LIFT"),AS430&gt;0),SUMIFS($AS$7:$AS$1843,$CF$7:$CF$1843,CF430,$AW$7:$AW$1843,"&gt;"&amp;AW430)+SUMIFS($AS$7:$AS$1843,$CF$7:$CF$1843,CF430,$AW$7:$AW$1843,AW430,$BW$7:$BW$1843,"&lt;="&amp;BW430),"")</f>
        <v>1051.28021978022</v>
      </c>
      <c r="AY430" s="58" t="n">
        <f aca="false">IF(AX430="",0,MAX(0,MIN(1,(IF(CF430="L1",Parameter!$H$5,IF(CF430="L23",Parameter!$H$6+Parameter!$H$7,Parameter!$H$5+Parameter!$H$6+Parameter!$H$7))-(AX430-AS430))/AS430)))</f>
        <v>1</v>
      </c>
      <c r="AZ430" s="50" t="n">
        <f aca="false">IF(LEFT(Cockpit!$O$5,1)="A",H430,IF(Parameter!$E$30="MAX-Bestand",IF(CH430=1,CI430,IF(LEFT(Cockpit!$O$5,1)="B",BF430,MAX(BF430,H430))),ROUNDUP(BD430,0)))</f>
        <v>66</v>
      </c>
      <c r="BA430" s="50" t="n">
        <f aca="false">IF(BZ430=1,0,ROUNDUP(AZ430/BY430,0))</f>
        <v>1</v>
      </c>
      <c r="BB430" s="52" t="n">
        <f aca="false">IF(CQ430&gt;0,CQ430*MAX(1,AZ430/X430),IF(BZ430=1,IF(AZ430&lt;=0,0,CD430*MAX(1,IF(H430&gt;0,AZ430/H430,1))),IF(R430&gt;0,BA430/R430,0))/MAX(0.1,N(Parameter!$M$21)))</f>
        <v>0.0192307692307692</v>
      </c>
      <c r="BC430" s="50" t="n">
        <f aca="false">BB430*CB430</f>
        <v>2.98076923076923</v>
      </c>
      <c r="BD430" s="51" t="n">
        <f aca="false">IF(LEFT(Cockpit!$O$5,1)="A",H430,IF(CH430=1,(CK430+CI430)/2,IF(LEFT(Cockpit!$O$5,1)="B",(CK430+BF430)/2,MAX((CK430+BF430)/2,H430))))</f>
        <v>66</v>
      </c>
      <c r="BE430" s="50" t="n">
        <f aca="false">BD430*G430</f>
        <v>407.22</v>
      </c>
      <c r="BF430" s="50" t="n">
        <f aca="false">ROUNDUP(CK430+MAX(CL430,2*(J430/IF(CG430&gt;0,CG430,MAX(0.1,N(Cockpit!$O$6)))-CK430)),0)</f>
        <v>116</v>
      </c>
      <c r="BG430" s="51" t="n">
        <f aca="false">IF(BC430&gt;0,J430/BC430,-1)</f>
        <v>86.5548387096774</v>
      </c>
      <c r="BH430" s="51" t="n">
        <f aca="false">IF(AND(OR(CF430="L1",CF430="L23",CF430="LIFT"),BC430&gt;0),SUMIFS($BC$7:$BC$1843,$CF$7:$CF$1843,CF430,$BG$7:$BG$1843,"&gt;"&amp;BG430)+SUMIFS($BC$7:$BC$1843,$CF$7:$CF$1843,CF430,$BG$7:$BG$1843,BG430,$BW$7:$BW$1843,"&lt;="&amp;BW430),"")</f>
        <v>985.429487179487</v>
      </c>
      <c r="BI430" s="58" t="n">
        <f aca="false">IF(BH430="",0,MAX(0,MIN(1,(IF(CF430="L1",Parameter!$H$5,IF(CF430="L23",Parameter!$H$6+Parameter!$H$7,Parameter!$H$5+Parameter!$H$6+Parameter!$H$7))-(BH430-BC430))/BC430)))</f>
        <v>1</v>
      </c>
      <c r="BJ430" s="48" t="str">
        <f aca="false">IF(AI430&lt;=0,"",IF(CF430="Aussen","Aussenlager",IF(CF430="-","Nicht im Lift",IF(AO430&gt;=1,"Lift",IF(AO430&lt;=0,"Aussenlager","teilweise")))))</f>
        <v>Lift</v>
      </c>
      <c r="BK430" s="48" t="str">
        <f aca="false">IF(AS430&lt;=0,"",IF(CF430="Aussen","Aussenlager",IF(CF430="-","Nicht im Lift",IF(AY430&gt;=1,"Lift",IF(AY430&lt;=0,"Aussenlager","teilweise")))))</f>
        <v>Lift</v>
      </c>
      <c r="BL430" s="48" t="str">
        <f aca="false">IF(BC430&lt;=0,"",IF(CF430="Aussen","Aussenlager",IF(CF430="-","Nicht im Lift",IF(BI430&gt;=1,"Lift",IF(BI430&lt;=0,"Aussenlager","teilweise")))))</f>
        <v>Lift</v>
      </c>
      <c r="BM430" s="48" t="str">
        <f aca="false">IF(A430="","",IF(BV430=1,"Neu; ","")&amp;IF(AND(BV430=0,BQ430&lt;0),"negativer Bestand (Export "&amp;BQ430&amp;"); ","")&amp;IF(J430&lt;=0,"Kein Verbrauch; ","")&amp;IF(CQ430&gt;0,"Lift "&amp;W430&amp;" lt. Liftbericht (Fach "&amp;X430&amp;" Stk); ",IF(CA430=1,"Gebinde geschätzt ("&amp;T430&amp;"); ",IF(BZ430=1,"Lose – Tablare geschätzt; ","")))&amp;IF(H430&gt;AV430,"Überbestand "&amp;ROUND(H430-AV430,0)&amp;" Stk / CHF "&amp;ROUND((H430-AV430)*G430,0)&amp;"; ","")&amp;IF(AND(CH430=1,CI430&lt;CJ430),"MAX &lt; MB+LG; ","")&amp;IF(AND(CP430&gt;0,CO430*10&gt;CP430),"zu hoch für Tablar; ","")&amp;IF(AND(BV430=0,OR(CH430=1,AA430&lt;&gt;"",U430&lt;&gt;"",V430&lt;&gt;"",AB430&lt;&gt;"")),"manuell übersteuert; ","")&amp;IF(AND(BZ430=0,R430=0),"Gebinde unbekannt / Stellmass fehlt; ","")&amp;IF(AND(BZ430=0,N(V430)&lt;=0,N(Q430)&lt;=0),"Menge pro Gebinde fehlt (Ist = 1 Gebinde); ","")&amp;BU430)</f>
        <v/>
      </c>
      <c r="BN430" s="48"/>
      <c r="BO430" s="48"/>
      <c r="BP430" s="55"/>
      <c r="BQ430" s="50" t="n">
        <v>7</v>
      </c>
      <c r="BR430" s="50" t="n">
        <v>68</v>
      </c>
      <c r="BS430" s="49" t="n">
        <v>84.0599999999997</v>
      </c>
      <c r="BT430" s="50" t="n">
        <v>258</v>
      </c>
      <c r="BU430" s="48"/>
      <c r="BV430" s="53" t="n">
        <v>0</v>
      </c>
      <c r="BW430" s="53" t="n">
        <v>430</v>
      </c>
      <c r="BX430" s="48" t="str">
        <f aca="false">IF(U430&lt;&gt;"",UPPER(TRIM(U430)),IF(CA430=1,UPPER(VLOOKUP(T430,Parameter!$I$27:$K$29,2,0)),IF(P430="","LOSE",P430)))</f>
        <v>S41</v>
      </c>
      <c r="BY430" s="50" t="n">
        <f aca="false">IF(BX430="LOSE",1,IF(N(V430)&gt;0,V430,IF(CA430=1,MAX(1,N(VLOOKUP(T430,Parameter!$I$27:$K$29,3,0)),H430,N(N430)),IF(N(Q430)&gt;0,Q430,MAX(1,H430)))))</f>
        <v>166</v>
      </c>
      <c r="BZ430" s="53" t="n">
        <f aca="false">IF(BX430="LOSE",1,0)</f>
        <v>0</v>
      </c>
      <c r="CA430" s="53" t="n">
        <f aca="false">IF(AND(U430="",OR(P430="",P430="LOSE"),T430&lt;&gt;"",N(S430)&lt;=0,ISNUMBER(MATCH(T430,Parameter!$I$27:$I$29,0))),1,0)</f>
        <v>0</v>
      </c>
      <c r="CB430" s="53" t="n">
        <f aca="false">IF(CQ430&gt;0,INDEX(Parameter!$H$5:$H$7,W430)/INDEX(Parameter!$E$5:$E$7,W430),IF(AND(BZ430=0,N(IFERROR(VLOOKUP(BX430,'Gebinde-Kategorie'!$A$5:$N$45,14,0),0))&gt;0),VLOOKUP(BX430,'Gebinde-Kategorie'!$A$5:$N$45,14,0)*10+Parameter!$M$23,Parameter!$M$24))</f>
        <v>155</v>
      </c>
      <c r="CC430" s="48" t="str">
        <f aca="false">IF(AND(Parameter!$B$19="Ja",E430&lt;&gt;"",ISNUMBER(MATCH(E430,Parameter!$I$35:$I$52,0))),VLOOKUP(E430,Parameter!$I$35:$J$52,2,0),IFERROR(VLOOKUP(D430,Parameter!$A$35:$C$64,2,0),"Nein"))</f>
        <v>2+3</v>
      </c>
      <c r="CD430" s="52" t="n">
        <f aca="false">IF(BZ430=0,0,IF(N(S430)&gt;0,S430,IFERROR(VLOOKUP(D430,Parameter!$A$35:$C$64,3,0)+0,0)))</f>
        <v>0</v>
      </c>
      <c r="CE430" s="48" t="n">
        <f aca="false">IF(AA430&lt;&gt;"",AA430,Z430)</f>
        <v>3</v>
      </c>
      <c r="CF430" s="48" t="str">
        <f aca="false">IF(OR(CE430=1,CE430=2,CE430=3),IF(Parameter!$E$27="Ja","LIFT",IF(CE430=1,"L1","L23")),IF(CE430="Aussen","Aussen","-"))</f>
        <v>LIFT</v>
      </c>
      <c r="CG430" s="59" t="n">
        <f aca="false">IF(N(AB430)&gt;0,AB430,0)</f>
        <v>0</v>
      </c>
      <c r="CH430" s="53" t="n">
        <f aca="false">IF(ISNUMBER(AE430),1,0)</f>
        <v>0</v>
      </c>
      <c r="CI430" s="50" t="n">
        <f aca="false">N(AE430)</f>
        <v>0</v>
      </c>
      <c r="CJ430" s="50" t="n">
        <f aca="false">N(M430)+N(N430)</f>
        <v>116</v>
      </c>
      <c r="CK430" s="50" t="n">
        <f aca="false">N(M430)</f>
        <v>16</v>
      </c>
      <c r="CL430" s="50" t="n">
        <f aca="false">N(N430)</f>
        <v>100</v>
      </c>
      <c r="CM430" s="50" t="n">
        <f aca="false">ROUNDUP(H430/BY430,0)</f>
        <v>1</v>
      </c>
      <c r="CN430" s="50" t="n">
        <f aca="false">ROUNDUP(CI430/BY430,0)</f>
        <v>0</v>
      </c>
      <c r="CO430" s="53" t="n">
        <f aca="false">IF(BZ430=1,0,IFERROR(VLOOKUP(BX430,'Gebinde-Kategorie'!$A$5:$N$45,5,0)+0,0))</f>
        <v>11</v>
      </c>
      <c r="CP430" s="53" t="n">
        <f aca="false">IFERROR(IF(OR(CE430=1,CE430=2,CE430=3),N(INDEX(Parameter!$I$5:$I$7,CE430)),0),0)</f>
        <v>0</v>
      </c>
      <c r="CQ430" s="52" t="n">
        <f aca="false">IF(AND(Parameter!$B$21="Ja",ISNUMBER(W430),N(X430)&gt;0),IFERROR(N(INDEX(Parameter!$L$5:$L$7,W430))*INDEX(Parameter!$E$5:$E$7,W430)*X430/SUMIFS($X$7:$X$1843,$W$7:$W$1843,W430),0),0)</f>
        <v>0</v>
      </c>
    </row>
    <row r="431" customFormat="false" ht="15" hidden="false" customHeight="false" outlineLevel="0" collapsed="false">
      <c r="A431" s="48" t="s">
        <v>996</v>
      </c>
      <c r="B431" s="48" t="s">
        <v>504</v>
      </c>
      <c r="C431" s="48" t="s">
        <v>173</v>
      </c>
      <c r="D431" s="48" t="s">
        <v>193</v>
      </c>
      <c r="E431" s="48" t="s">
        <v>194</v>
      </c>
      <c r="F431" s="48" t="s">
        <v>227</v>
      </c>
      <c r="G431" s="49" t="n">
        <v>3.27</v>
      </c>
      <c r="H431" s="50" t="n">
        <f aca="false">MAX(0,IF(AND(Parameter!$B$21="Ja",ISNUMBER(Y431)),Y431,IF(Parameter!$B$20="Jahresanfang 2025 + Export",BR431+BQ431,BQ431)))</f>
        <v>155</v>
      </c>
      <c r="I431" s="50" t="n">
        <f aca="false">H431*G431</f>
        <v>506.85</v>
      </c>
      <c r="J431" s="50" t="n">
        <f aca="false">BT431*Parameter!$B$18</f>
        <v>158</v>
      </c>
      <c r="K431" s="51" t="n">
        <v>126.5</v>
      </c>
      <c r="L431" s="52" t="n">
        <v>1.24901185770751</v>
      </c>
      <c r="M431" s="50" t="n">
        <v>9</v>
      </c>
      <c r="N431" s="50" t="n">
        <v>160</v>
      </c>
      <c r="O431" s="53" t="n">
        <v>21</v>
      </c>
      <c r="P431" s="48" t="s">
        <v>430</v>
      </c>
      <c r="Q431" s="50" t="n">
        <v>125</v>
      </c>
      <c r="R431" s="53" t="n">
        <f aca="false">IF(BZ431=1,0,IFERROR(VLOOKUP(BX431,'Gebinde-Kategorie'!$A$5:$N$45,13,0)+0,0))</f>
        <v>104</v>
      </c>
      <c r="S431" s="54"/>
      <c r="T431" s="55"/>
      <c r="U431" s="55"/>
      <c r="V431" s="55"/>
      <c r="W431" s="48"/>
      <c r="X431" s="50"/>
      <c r="Y431" s="50"/>
      <c r="Z431" s="48" t="n">
        <f aca="false">IF(A431="","",IF(AND(Parameter!$B$21="Ja",ISNUMBER(W431)),W431,IF(CC431="2+3",IF(ISNUMBER(SEARCH("grosser Artikel",BU431)),2,IFERROR(VLOOKUP(BX431,Parameter!$F$35:$G$64,2,0),2)),IF(OR(CC431="Nein",CC431=""),"-",CC431))))</f>
        <v>3</v>
      </c>
      <c r="AA431" s="55"/>
      <c r="AB431" s="56"/>
      <c r="AC431" s="50" t="n">
        <f aca="false">AV431</f>
        <v>169</v>
      </c>
      <c r="AD431" s="50" t="n">
        <f aca="false">MAX(AV431,H431)</f>
        <v>169</v>
      </c>
      <c r="AE431" s="57"/>
      <c r="AF431" s="50" t="n">
        <f aca="false">IF(LEFT(Cockpit!$C$5,1)="A",H431,IF(Parameter!$E$30="MAX-Bestand",IF(CH431=1,CI431,IF(LEFT(Cockpit!$C$5,1)="B",AL431,MAX(AL431,H431))),ROUNDUP(AJ431,0)))</f>
        <v>155</v>
      </c>
      <c r="AG431" s="50" t="n">
        <f aca="false">IF(BZ431=1,0,ROUNDUP(AF431/BY431,0))</f>
        <v>2</v>
      </c>
      <c r="AH431" s="52" t="n">
        <f aca="false">IF(CQ431&gt;0,CQ431*MAX(1,AF431/X431),IF(BZ431=1,IF(AF431&lt;=0,0,CD431*MAX(1,IF(H431&gt;0,AF431/H431,1))),IF(R431&gt;0,AG431/R431,0))/MAX(0.1,N(Parameter!$M$21)))</f>
        <v>0.0192307692307692</v>
      </c>
      <c r="AI431" s="50" t="n">
        <f aca="false">AH431*CB431</f>
        <v>2.98076923076923</v>
      </c>
      <c r="AJ431" s="51" t="n">
        <f aca="false">IF(LEFT(Cockpit!$C$5,1)="A",H431,IF(CH431=1,(CK431+CI431)/2,IF(LEFT(Cockpit!$C$5,1)="B",(CK431+AL431)/2,MAX((CK431+AL431)/2,H431))))</f>
        <v>155</v>
      </c>
      <c r="AK431" s="50" t="n">
        <f aca="false">AJ431*G431</f>
        <v>506.85</v>
      </c>
      <c r="AL431" s="50" t="n">
        <f aca="false">ROUNDUP(CK431+MAX(CL431,2*(J431/IF(CG431&gt;0,CG431,MAX(0.1,N(Cockpit!$C$6)))-CK431)),0)</f>
        <v>169</v>
      </c>
      <c r="AM431" s="51" t="n">
        <f aca="false">IF(AI431&gt;0,J431/AI431,-1)</f>
        <v>53.0064516129032</v>
      </c>
      <c r="AN431" s="51" t="n">
        <f aca="false">IF(AND(OR(CF431="L1",CF431="L23",CF431="LIFT"),AI431&gt;0),SUMIFS($AI$7:$AI$1843,$CF$7:$CF$1843,CF431,$AM$7:$AM$1843,"&gt;"&amp;AM431)+SUMIFS($AI$7:$AI$1843,$CF$7:$CF$1843,CF431,$AM$7:$AM$1843,AM431,$BW$7:$BW$1843,"&lt;="&amp;BW431),"")</f>
        <v>1014.95192307692</v>
      </c>
      <c r="AO431" s="58" t="n">
        <f aca="false">IF(AN431="",0,MAX(0,MIN(1,(IF(CF431="L1",Parameter!$H$5,IF(CF431="L23",Parameter!$H$6+Parameter!$H$7,Parameter!$H$5+Parameter!$H$6+Parameter!$H$7))-(AN431-AI431))/AI431)))</f>
        <v>1</v>
      </c>
      <c r="AP431" s="50" t="n">
        <f aca="false">IF(LEFT(Cockpit!$I$5,1)="A",H431,IF(Parameter!$E$30="MAX-Bestand",IF(CH431=1,CI431,IF(LEFT(Cockpit!$I$5,1)="B",AV431,MAX(AV431,H431))),ROUNDUP(AT431,0)))</f>
        <v>155</v>
      </c>
      <c r="AQ431" s="50" t="n">
        <f aca="false">IF(BZ431=1,0,ROUNDUP(AP431/BY431,0))</f>
        <v>2</v>
      </c>
      <c r="AR431" s="52" t="n">
        <f aca="false">IF(CQ431&gt;0,CQ431*MAX(1,AP431/X431),IF(BZ431=1,IF(AP431&lt;=0,0,CD431*MAX(1,IF(H431&gt;0,AP431/H431,1))),IF(R431&gt;0,AQ431/R431,0))/MAX(0.1,N(Parameter!$M$21)))</f>
        <v>0.0192307692307692</v>
      </c>
      <c r="AS431" s="50" t="n">
        <f aca="false">AR431*CB431</f>
        <v>2.98076923076923</v>
      </c>
      <c r="AT431" s="51" t="n">
        <f aca="false">IF(LEFT(Cockpit!$I$5,1)="A",H431,IF(CH431=1,(CK431+CI431)/2,IF(LEFT(Cockpit!$I$5,1)="B",(CK431+AV431)/2,MAX((CK431+AV431)/2,H431))))</f>
        <v>155</v>
      </c>
      <c r="AU431" s="50" t="n">
        <f aca="false">AT431*G431</f>
        <v>506.85</v>
      </c>
      <c r="AV431" s="50" t="n">
        <f aca="false">ROUNDUP(CK431+MAX(CL431,2*(J431/IF(CG431&gt;0,CG431,MAX(0.1,N(Cockpit!$I$6)))-CK431)),0)</f>
        <v>169</v>
      </c>
      <c r="AW431" s="51" t="n">
        <f aca="false">IF(AS431&gt;0,J431/AS431,-1)</f>
        <v>53.0064516129032</v>
      </c>
      <c r="AX431" s="51" t="n">
        <f aca="false">IF(AND(OR(CF431="L1",CF431="L23",CF431="LIFT"),AS431&gt;0),SUMIFS($AS$7:$AS$1843,$CF$7:$CF$1843,CF431,$AW$7:$AW$1843,"&gt;"&amp;AW431)+SUMIFS($AS$7:$AS$1843,$CF$7:$CF$1843,CF431,$AW$7:$AW$1843,AW431,$BW$7:$BW$1843,"&lt;="&amp;BW431),"")</f>
        <v>1298.64789377289</v>
      </c>
      <c r="AY431" s="58" t="n">
        <f aca="false">IF(AX431="",0,MAX(0,MIN(1,(IF(CF431="L1",Parameter!$H$5,IF(CF431="L23",Parameter!$H$6+Parameter!$H$7,Parameter!$H$5+Parameter!$H$6+Parameter!$H$7))-(AX431-AS431))/AS431)))</f>
        <v>1</v>
      </c>
      <c r="AZ431" s="50" t="n">
        <f aca="false">IF(LEFT(Cockpit!$O$5,1)="A",H431,IF(Parameter!$E$30="MAX-Bestand",IF(CH431=1,CI431,IF(LEFT(Cockpit!$O$5,1)="B",BF431,MAX(BF431,H431))),ROUNDUP(BD431,0)))</f>
        <v>89</v>
      </c>
      <c r="BA431" s="50" t="n">
        <f aca="false">IF(BZ431=1,0,ROUNDUP(AZ431/BY431,0))</f>
        <v>1</v>
      </c>
      <c r="BB431" s="52" t="n">
        <f aca="false">IF(CQ431&gt;0,CQ431*MAX(1,AZ431/X431),IF(BZ431=1,IF(AZ431&lt;=0,0,CD431*MAX(1,IF(H431&gt;0,AZ431/H431,1))),IF(R431&gt;0,BA431/R431,0))/MAX(0.1,N(Parameter!$M$21)))</f>
        <v>0.00961538461538462</v>
      </c>
      <c r="BC431" s="50" t="n">
        <f aca="false">BB431*CB431</f>
        <v>1.49038461538462</v>
      </c>
      <c r="BD431" s="51" t="n">
        <f aca="false">IF(LEFT(Cockpit!$O$5,1)="A",H431,IF(CH431=1,(CK431+CI431)/2,IF(LEFT(Cockpit!$O$5,1)="B",(CK431+BF431)/2,MAX((CK431+BF431)/2,H431))))</f>
        <v>89</v>
      </c>
      <c r="BE431" s="50" t="n">
        <f aca="false">BD431*G431</f>
        <v>291.03</v>
      </c>
      <c r="BF431" s="50" t="n">
        <f aca="false">ROUNDUP(CK431+MAX(CL431,2*(J431/IF(CG431&gt;0,CG431,MAX(0.1,N(Cockpit!$O$6)))-CK431)),0)</f>
        <v>169</v>
      </c>
      <c r="BG431" s="51" t="n">
        <f aca="false">IF(BC431&gt;0,J431/BC431,-1)</f>
        <v>106.012903225806</v>
      </c>
      <c r="BH431" s="51" t="n">
        <f aca="false">IF(AND(OR(CF431="L1",CF431="L23",CF431="LIFT"),BC431&gt;0),SUMIFS($BC$7:$BC$1843,$CF$7:$CF$1843,CF431,$BG$7:$BG$1843,"&gt;"&amp;BG431)+SUMIFS($BC$7:$BC$1843,$CF$7:$CF$1843,CF431,$BG$7:$BG$1843,BG431,$BW$7:$BW$1843,"&lt;="&amp;BW431),"")</f>
        <v>886.93315018315</v>
      </c>
      <c r="BI431" s="58" t="n">
        <f aca="false">IF(BH431="",0,MAX(0,MIN(1,(IF(CF431="L1",Parameter!$H$5,IF(CF431="L23",Parameter!$H$6+Parameter!$H$7,Parameter!$H$5+Parameter!$H$6+Parameter!$H$7))-(BH431-BC431))/BC431)))</f>
        <v>1</v>
      </c>
      <c r="BJ431" s="48" t="str">
        <f aca="false">IF(AI431&lt;=0,"",IF(CF431="Aussen","Aussenlager",IF(CF431="-","Nicht im Lift",IF(AO431&gt;=1,"Lift",IF(AO431&lt;=0,"Aussenlager","teilweise")))))</f>
        <v>Lift</v>
      </c>
      <c r="BK431" s="48" t="str">
        <f aca="false">IF(AS431&lt;=0,"",IF(CF431="Aussen","Aussenlager",IF(CF431="-","Nicht im Lift",IF(AY431&gt;=1,"Lift",IF(AY431&lt;=0,"Aussenlager","teilweise")))))</f>
        <v>Lift</v>
      </c>
      <c r="BL431" s="48" t="str">
        <f aca="false">IF(BC431&lt;=0,"",IF(CF431="Aussen","Aussenlager",IF(CF431="-","Nicht im Lift",IF(BI431&gt;=1,"Lift",IF(BI431&lt;=0,"Aussenlager","teilweise")))))</f>
        <v>Lift</v>
      </c>
      <c r="BM431" s="48" t="str">
        <f aca="false">IF(A431="","",IF(BV431=1,"Neu; ","")&amp;IF(AND(BV431=0,BQ431&lt;0),"negativer Bestand (Export "&amp;BQ431&amp;"); ","")&amp;IF(J431&lt;=0,"Kein Verbrauch; ","")&amp;IF(CQ431&gt;0,"Lift "&amp;W431&amp;" lt. Liftbericht (Fach "&amp;X431&amp;" Stk); ",IF(CA431=1,"Gebinde geschätzt ("&amp;T431&amp;"); ",IF(BZ431=1,"Lose – Tablare geschätzt; ","")))&amp;IF(H431&gt;AV431,"Überbestand "&amp;ROUND(H431-AV431,0)&amp;" Stk / CHF "&amp;ROUND((H431-AV431)*G431,0)&amp;"; ","")&amp;IF(AND(CH431=1,CI431&lt;CJ431),"MAX &lt; MB+LG; ","")&amp;IF(AND(CP431&gt;0,CO431*10&gt;CP431),"zu hoch für Tablar; ","")&amp;IF(AND(BV431=0,OR(CH431=1,AA431&lt;&gt;"",U431&lt;&gt;"",V431&lt;&gt;"",AB431&lt;&gt;"")),"manuell übersteuert; ","")&amp;IF(AND(BZ431=0,R431=0),"Gebinde unbekannt / Stellmass fehlt; ","")&amp;IF(AND(BZ431=0,N(V431)&lt;=0,N(Q431)&lt;=0),"Menge pro Gebinde fehlt (Ist = 1 Gebinde); ","")&amp;BU431)</f>
        <v/>
      </c>
      <c r="BN431" s="48"/>
      <c r="BO431" s="48"/>
      <c r="BP431" s="55"/>
      <c r="BQ431" s="50" t="n">
        <v>44</v>
      </c>
      <c r="BR431" s="50" t="n">
        <v>111</v>
      </c>
      <c r="BS431" s="49" t="n">
        <v>83.9600000000007</v>
      </c>
      <c r="BT431" s="50" t="n">
        <v>158</v>
      </c>
      <c r="BU431" s="48"/>
      <c r="BV431" s="53" t="n">
        <v>0</v>
      </c>
      <c r="BW431" s="53" t="n">
        <v>431</v>
      </c>
      <c r="BX431" s="48" t="str">
        <f aca="false">IF(U431&lt;&gt;"",UPPER(TRIM(U431)),IF(CA431=1,UPPER(VLOOKUP(T431,Parameter!$I$27:$K$29,2,0)),IF(P431="","LOSE",P431)))</f>
        <v>S32</v>
      </c>
      <c r="BY431" s="50" t="n">
        <f aca="false">IF(BX431="LOSE",1,IF(N(V431)&gt;0,V431,IF(CA431=1,MAX(1,N(VLOOKUP(T431,Parameter!$I$27:$K$29,3,0)),H431,N(N431)),IF(N(Q431)&gt;0,Q431,MAX(1,H431)))))</f>
        <v>125</v>
      </c>
      <c r="BZ431" s="53" t="n">
        <f aca="false">IF(BX431="LOSE",1,0)</f>
        <v>0</v>
      </c>
      <c r="CA431" s="53" t="n">
        <f aca="false">IF(AND(U431="",OR(P431="",P431="LOSE"),T431&lt;&gt;"",N(S431)&lt;=0,ISNUMBER(MATCH(T431,Parameter!$I$27:$I$29,0))),1,0)</f>
        <v>0</v>
      </c>
      <c r="CB431" s="53" t="n">
        <f aca="false">IF(CQ431&gt;0,INDEX(Parameter!$H$5:$H$7,W431)/INDEX(Parameter!$E$5:$E$7,W431),IF(AND(BZ431=0,N(IFERROR(VLOOKUP(BX431,'Gebinde-Kategorie'!$A$5:$N$45,14,0),0))&gt;0),VLOOKUP(BX431,'Gebinde-Kategorie'!$A$5:$N$45,14,0)*10+Parameter!$M$23,Parameter!$M$24))</f>
        <v>155</v>
      </c>
      <c r="CC431" s="48" t="str">
        <f aca="false">IF(AND(Parameter!$B$19="Ja",E431&lt;&gt;"",ISNUMBER(MATCH(E431,Parameter!$I$35:$I$52,0))),VLOOKUP(E431,Parameter!$I$35:$J$52,2,0),IFERROR(VLOOKUP(D431,Parameter!$A$35:$C$64,2,0),"Nein"))</f>
        <v>2+3</v>
      </c>
      <c r="CD431" s="52" t="n">
        <f aca="false">IF(BZ431=0,0,IF(N(S431)&gt;0,S431,IFERROR(VLOOKUP(D431,Parameter!$A$35:$C$64,3,0)+0,0)))</f>
        <v>0</v>
      </c>
      <c r="CE431" s="48" t="n">
        <f aca="false">IF(AA431&lt;&gt;"",AA431,Z431)</f>
        <v>3</v>
      </c>
      <c r="CF431" s="48" t="str">
        <f aca="false">IF(OR(CE431=1,CE431=2,CE431=3),IF(Parameter!$E$27="Ja","LIFT",IF(CE431=1,"L1","L23")),IF(CE431="Aussen","Aussen","-"))</f>
        <v>LIFT</v>
      </c>
      <c r="CG431" s="59" t="n">
        <f aca="false">IF(N(AB431)&gt;0,AB431,0)</f>
        <v>0</v>
      </c>
      <c r="CH431" s="53" t="n">
        <f aca="false">IF(ISNUMBER(AE431),1,0)</f>
        <v>0</v>
      </c>
      <c r="CI431" s="50" t="n">
        <f aca="false">N(AE431)</f>
        <v>0</v>
      </c>
      <c r="CJ431" s="50" t="n">
        <f aca="false">N(M431)+N(N431)</f>
        <v>169</v>
      </c>
      <c r="CK431" s="50" t="n">
        <f aca="false">N(M431)</f>
        <v>9</v>
      </c>
      <c r="CL431" s="50" t="n">
        <f aca="false">N(N431)</f>
        <v>160</v>
      </c>
      <c r="CM431" s="50" t="n">
        <f aca="false">ROUNDUP(H431/BY431,0)</f>
        <v>2</v>
      </c>
      <c r="CN431" s="50" t="n">
        <f aca="false">ROUNDUP(CI431/BY431,0)</f>
        <v>0</v>
      </c>
      <c r="CO431" s="53" t="n">
        <f aca="false">IF(BZ431=1,0,IFERROR(VLOOKUP(BX431,'Gebinde-Kategorie'!$A$5:$N$45,5,0)+0,0))</f>
        <v>8</v>
      </c>
      <c r="CP431" s="53" t="n">
        <f aca="false">IFERROR(IF(OR(CE431=1,CE431=2,CE431=3),N(INDEX(Parameter!$I$5:$I$7,CE431)),0),0)</f>
        <v>0</v>
      </c>
      <c r="CQ431" s="52" t="n">
        <f aca="false">IF(AND(Parameter!$B$21="Ja",ISNUMBER(W431),N(X431)&gt;0),IFERROR(N(INDEX(Parameter!$L$5:$L$7,W431))*INDEX(Parameter!$E$5:$E$7,W431)*X431/SUMIFS($X$7:$X$1843,$W$7:$W$1843,W431),0),0)</f>
        <v>0</v>
      </c>
    </row>
    <row r="432" customFormat="false" ht="15" hidden="false" customHeight="false" outlineLevel="0" collapsed="false">
      <c r="A432" s="48" t="s">
        <v>997</v>
      </c>
      <c r="B432" s="48" t="s">
        <v>998</v>
      </c>
      <c r="C432" s="48" t="s">
        <v>173</v>
      </c>
      <c r="D432" s="48" t="s">
        <v>193</v>
      </c>
      <c r="E432" s="48"/>
      <c r="F432" s="48" t="s">
        <v>227</v>
      </c>
      <c r="G432" s="49" t="n">
        <v>75.18</v>
      </c>
      <c r="H432" s="50" t="n">
        <f aca="false">MAX(0,IF(AND(Parameter!$B$21="Ja",ISNUMBER(Y432)),Y432,IF(Parameter!$B$20="Jahresanfang 2025 + Export",BR432+BQ432,BQ432)))</f>
        <v>8</v>
      </c>
      <c r="I432" s="50" t="n">
        <f aca="false">H432*G432</f>
        <v>601.44</v>
      </c>
      <c r="J432" s="50" t="n">
        <f aca="false">BT432*Parameter!$B$18</f>
        <v>5</v>
      </c>
      <c r="K432" s="51" t="n">
        <v>8.5</v>
      </c>
      <c r="L432" s="52" t="n">
        <v>0.588235294117647</v>
      </c>
      <c r="M432" s="50" t="n">
        <v>0</v>
      </c>
      <c r="N432" s="50" t="n">
        <v>10</v>
      </c>
      <c r="O432" s="53" t="n">
        <v>21</v>
      </c>
      <c r="P432" s="48" t="s">
        <v>410</v>
      </c>
      <c r="Q432" s="50" t="n">
        <v>10</v>
      </c>
      <c r="R432" s="53" t="n">
        <f aca="false">IF(BZ432=1,0,IFERROR(VLOOKUP(BX432,'Gebinde-Kategorie'!$A$5:$N$45,13,0)+0,0))</f>
        <v>280</v>
      </c>
      <c r="S432" s="54"/>
      <c r="T432" s="55"/>
      <c r="U432" s="55"/>
      <c r="V432" s="55"/>
      <c r="W432" s="48"/>
      <c r="X432" s="50"/>
      <c r="Y432" s="50"/>
      <c r="Z432" s="48" t="n">
        <f aca="false">IF(A432="","",IF(AND(Parameter!$B$21="Ja",ISNUMBER(W432)),W432,IF(CC432="2+3",IF(ISNUMBER(SEARCH("grosser Artikel",BU432)),2,IFERROR(VLOOKUP(BX432,Parameter!$F$35:$G$64,2,0),2)),IF(OR(CC432="Nein",CC432=""),"-",CC432))))</f>
        <v>3</v>
      </c>
      <c r="AA432" s="55"/>
      <c r="AB432" s="56"/>
      <c r="AC432" s="50" t="n">
        <f aca="false">AV432</f>
        <v>10</v>
      </c>
      <c r="AD432" s="50" t="n">
        <f aca="false">MAX(AV432,H432)</f>
        <v>10</v>
      </c>
      <c r="AE432" s="57"/>
      <c r="AF432" s="50" t="n">
        <f aca="false">IF(LEFT(Cockpit!$C$5,1)="A",H432,IF(Parameter!$E$30="MAX-Bestand",IF(CH432=1,CI432,IF(LEFT(Cockpit!$C$5,1)="B",AL432,MAX(AL432,H432))),ROUNDUP(AJ432,0)))</f>
        <v>8</v>
      </c>
      <c r="AG432" s="50" t="n">
        <f aca="false">IF(BZ432=1,0,ROUNDUP(AF432/BY432,0))</f>
        <v>1</v>
      </c>
      <c r="AH432" s="52" t="n">
        <f aca="false">IF(CQ432&gt;0,CQ432*MAX(1,AF432/X432),IF(BZ432=1,IF(AF432&lt;=0,0,CD432*MAX(1,IF(H432&gt;0,AF432/H432,1))),IF(R432&gt;0,AG432/R432,0))/MAX(0.1,N(Parameter!$M$21)))</f>
        <v>0.00357142857142857</v>
      </c>
      <c r="AI432" s="50" t="n">
        <f aca="false">AH432*CB432</f>
        <v>0.553571428571429</v>
      </c>
      <c r="AJ432" s="51" t="n">
        <f aca="false">IF(LEFT(Cockpit!$C$5,1)="A",H432,IF(CH432=1,(CK432+CI432)/2,IF(LEFT(Cockpit!$C$5,1)="B",(CK432+AL432)/2,MAX((CK432+AL432)/2,H432))))</f>
        <v>8</v>
      </c>
      <c r="AK432" s="50" t="n">
        <f aca="false">AJ432*G432</f>
        <v>601.44</v>
      </c>
      <c r="AL432" s="50" t="n">
        <f aca="false">ROUNDUP(CK432+MAX(CL432,2*(J432/IF(CG432&gt;0,CG432,MAX(0.1,N(Cockpit!$C$6)))-CK432)),0)</f>
        <v>10</v>
      </c>
      <c r="AM432" s="51" t="n">
        <f aca="false">IF(AI432&gt;0,J432/AI432,-1)</f>
        <v>9.03225806451613</v>
      </c>
      <c r="AN432" s="51" t="n">
        <f aca="false">IF(AND(OR(CF432="L1",CF432="L23",CF432="LIFT"),AI432&gt;0),SUMIFS($AI$7:$AI$1843,$CF$7:$CF$1843,CF432,$AM$7:$AM$1843,"&gt;"&amp;AM432)+SUMIFS($AI$7:$AI$1843,$CF$7:$CF$1843,CF432,$AM$7:$AM$1843,AM432,$BW$7:$BW$1843,"&lt;="&amp;BW432),"")</f>
        <v>2922.44230769231</v>
      </c>
      <c r="AO432" s="58" t="n">
        <f aca="false">IF(AN432="",0,MAX(0,MIN(1,(IF(CF432="L1",Parameter!$H$5,IF(CF432="L23",Parameter!$H$6+Parameter!$H$7,Parameter!$H$5+Parameter!$H$6+Parameter!$H$7))-(AN432-AI432))/AI432)))</f>
        <v>1</v>
      </c>
      <c r="AP432" s="50" t="n">
        <f aca="false">IF(LEFT(Cockpit!$I$5,1)="A",H432,IF(Parameter!$E$30="MAX-Bestand",IF(CH432=1,CI432,IF(LEFT(Cockpit!$I$5,1)="B",AV432,MAX(AV432,H432))),ROUNDUP(AT432,0)))</f>
        <v>8</v>
      </c>
      <c r="AQ432" s="50" t="n">
        <f aca="false">IF(BZ432=1,0,ROUNDUP(AP432/BY432,0))</f>
        <v>1</v>
      </c>
      <c r="AR432" s="52" t="n">
        <f aca="false">IF(CQ432&gt;0,CQ432*MAX(1,AP432/X432),IF(BZ432=1,IF(AP432&lt;=0,0,CD432*MAX(1,IF(H432&gt;0,AP432/H432,1))),IF(R432&gt;0,AQ432/R432,0))/MAX(0.1,N(Parameter!$M$21)))</f>
        <v>0.00357142857142857</v>
      </c>
      <c r="AS432" s="50" t="n">
        <f aca="false">AR432*CB432</f>
        <v>0.553571428571429</v>
      </c>
      <c r="AT432" s="51" t="n">
        <f aca="false">IF(LEFT(Cockpit!$I$5,1)="A",H432,IF(CH432=1,(CK432+CI432)/2,IF(LEFT(Cockpit!$I$5,1)="B",(CK432+AV432)/2,MAX((CK432+AV432)/2,H432))))</f>
        <v>8</v>
      </c>
      <c r="AU432" s="50" t="n">
        <f aca="false">AT432*G432</f>
        <v>601.44</v>
      </c>
      <c r="AV432" s="50" t="n">
        <f aca="false">ROUNDUP(CK432+MAX(CL432,2*(J432/IF(CG432&gt;0,CG432,MAX(0.1,N(Cockpit!$I$6)))-CK432)),0)</f>
        <v>10</v>
      </c>
      <c r="AW432" s="51" t="n">
        <f aca="false">IF(AS432&gt;0,J432/AS432,-1)</f>
        <v>9.03225806451613</v>
      </c>
      <c r="AX432" s="51" t="n">
        <f aca="false">IF(AND(OR(CF432="L1",CF432="L23",CF432="LIFT"),AS432&gt;0),SUMIFS($AS$7:$AS$1843,$CF$7:$CF$1843,CF432,$AW$7:$AW$1843,"&gt;"&amp;AW432)+SUMIFS($AS$7:$AS$1843,$CF$7:$CF$1843,CF432,$AW$7:$AW$1843,AW432,$BW$7:$BW$1843,"&lt;="&amp;BW432),"")</f>
        <v>3537.4304029304</v>
      </c>
      <c r="AY432" s="58" t="n">
        <f aca="false">IF(AX432="",0,MAX(0,MIN(1,(IF(CF432="L1",Parameter!$H$5,IF(CF432="L23",Parameter!$H$6+Parameter!$H$7,Parameter!$H$5+Parameter!$H$6+Parameter!$H$7))-(AX432-AS432))/AS432)))</f>
        <v>1</v>
      </c>
      <c r="AZ432" s="50" t="n">
        <f aca="false">IF(LEFT(Cockpit!$O$5,1)="A",H432,IF(Parameter!$E$30="MAX-Bestand",IF(CH432=1,CI432,IF(LEFT(Cockpit!$O$5,1)="B",BF432,MAX(BF432,H432))),ROUNDUP(BD432,0)))</f>
        <v>5</v>
      </c>
      <c r="BA432" s="50" t="n">
        <f aca="false">IF(BZ432=1,0,ROUNDUP(AZ432/BY432,0))</f>
        <v>1</v>
      </c>
      <c r="BB432" s="52" t="n">
        <f aca="false">IF(CQ432&gt;0,CQ432*MAX(1,AZ432/X432),IF(BZ432=1,IF(AZ432&lt;=0,0,CD432*MAX(1,IF(H432&gt;0,AZ432/H432,1))),IF(R432&gt;0,BA432/R432,0))/MAX(0.1,N(Parameter!$M$21)))</f>
        <v>0.00357142857142857</v>
      </c>
      <c r="BC432" s="50" t="n">
        <f aca="false">BB432*CB432</f>
        <v>0.553571428571429</v>
      </c>
      <c r="BD432" s="51" t="n">
        <f aca="false">IF(LEFT(Cockpit!$O$5,1)="A",H432,IF(CH432=1,(CK432+CI432)/2,IF(LEFT(Cockpit!$O$5,1)="B",(CK432+BF432)/2,MAX((CK432+BF432)/2,H432))))</f>
        <v>5</v>
      </c>
      <c r="BE432" s="50" t="n">
        <f aca="false">BD432*G432</f>
        <v>375.9</v>
      </c>
      <c r="BF432" s="50" t="n">
        <f aca="false">ROUNDUP(CK432+MAX(CL432,2*(J432/IF(CG432&gt;0,CG432,MAX(0.1,N(Cockpit!$O$6)))-CK432)),0)</f>
        <v>10</v>
      </c>
      <c r="BG432" s="51" t="n">
        <f aca="false">IF(BC432&gt;0,J432/BC432,-1)</f>
        <v>9.03225806451613</v>
      </c>
      <c r="BH432" s="51" t="n">
        <f aca="false">IF(AND(OR(CF432="L1",CF432="L23",CF432="LIFT"),BC432&gt;0),SUMIFS($BC$7:$BC$1843,$CF$7:$CF$1843,CF432,$BG$7:$BG$1843,"&gt;"&amp;BG432)+SUMIFS($BC$7:$BC$1843,$CF$7:$CF$1843,CF432,$BG$7:$BG$1843,BG432,$BW$7:$BW$1843,"&lt;="&amp;BW432),"")</f>
        <v>2878.59432234432</v>
      </c>
      <c r="BI432" s="58" t="n">
        <f aca="false">IF(BH432="",0,MAX(0,MIN(1,(IF(CF432="L1",Parameter!$H$5,IF(CF432="L23",Parameter!$H$6+Parameter!$H$7,Parameter!$H$5+Parameter!$H$6+Parameter!$H$7))-(BH432-BC432))/BC432)))</f>
        <v>1</v>
      </c>
      <c r="BJ432" s="48" t="str">
        <f aca="false">IF(AI432&lt;=0,"",IF(CF432="Aussen","Aussenlager",IF(CF432="-","Nicht im Lift",IF(AO432&gt;=1,"Lift",IF(AO432&lt;=0,"Aussenlager","teilweise")))))</f>
        <v>Lift</v>
      </c>
      <c r="BK432" s="48" t="str">
        <f aca="false">IF(AS432&lt;=0,"",IF(CF432="Aussen","Aussenlager",IF(CF432="-","Nicht im Lift",IF(AY432&gt;=1,"Lift",IF(AY432&lt;=0,"Aussenlager","teilweise")))))</f>
        <v>Lift</v>
      </c>
      <c r="BL432" s="48" t="str">
        <f aca="false">IF(BC432&lt;=0,"",IF(CF432="Aussen","Aussenlager",IF(CF432="-","Nicht im Lift",IF(BI432&gt;=1,"Lift",IF(BI432&lt;=0,"Aussenlager","teilweise")))))</f>
        <v>Lift</v>
      </c>
      <c r="BM432" s="48" t="str">
        <f aca="false">IF(A432="","",IF(BV432=1,"Neu; ","")&amp;IF(AND(BV432=0,BQ432&lt;0),"negativer Bestand (Export "&amp;BQ432&amp;"); ","")&amp;IF(J432&lt;=0,"Kein Verbrauch; ","")&amp;IF(CQ432&gt;0,"Lift "&amp;W432&amp;" lt. Liftbericht (Fach "&amp;X432&amp;" Stk); ",IF(CA432=1,"Gebinde geschätzt ("&amp;T432&amp;"); ",IF(BZ432=1,"Lose – Tablare geschätzt; ","")))&amp;IF(H432&gt;AV432,"Überbestand "&amp;ROUND(H432-AV432,0)&amp;" Stk / CHF "&amp;ROUND((H432-AV432)*G432,0)&amp;"; ","")&amp;IF(AND(CH432=1,CI432&lt;CJ432),"MAX &lt; MB+LG; ","")&amp;IF(AND(CP432&gt;0,CO432*10&gt;CP432),"zu hoch für Tablar; ","")&amp;IF(AND(BV432=0,OR(CH432=1,AA432&lt;&gt;"",U432&lt;&gt;"",V432&lt;&gt;"",AB432&lt;&gt;"")),"manuell übersteuert; ","")&amp;IF(AND(BZ432=0,R432=0),"Gebinde unbekannt / Stellmass fehlt; ","")&amp;IF(AND(BZ432=0,N(V432)&lt;=0,N(Q432)&lt;=0),"Menge pro Gebinde fehlt (Ist = 1 Gebinde); ","")&amp;BU432)</f>
        <v>negativer Bestand (Export -1); </v>
      </c>
      <c r="BN432" s="48"/>
      <c r="BO432" s="48"/>
      <c r="BP432" s="55"/>
      <c r="BQ432" s="50" t="n">
        <v>-1</v>
      </c>
      <c r="BR432" s="50" t="n">
        <v>9</v>
      </c>
      <c r="BS432" s="49" t="n">
        <v>80.7900000000001</v>
      </c>
      <c r="BT432" s="50" t="n">
        <v>5</v>
      </c>
      <c r="BU432" s="48"/>
      <c r="BV432" s="53" t="n">
        <v>0</v>
      </c>
      <c r="BW432" s="53" t="n">
        <v>432</v>
      </c>
      <c r="BX432" s="48" t="str">
        <f aca="false">IF(U432&lt;&gt;"",UPPER(TRIM(U432)),IF(CA432=1,UPPER(VLOOKUP(T432,Parameter!$I$27:$K$29,2,0)),IF(P432="","LOSE",P432)))</f>
        <v>S21</v>
      </c>
      <c r="BY432" s="50" t="n">
        <f aca="false">IF(BX432="LOSE",1,IF(N(V432)&gt;0,V432,IF(CA432=1,MAX(1,N(VLOOKUP(T432,Parameter!$I$27:$K$29,3,0)),H432,N(N432)),IF(N(Q432)&gt;0,Q432,MAX(1,H432)))))</f>
        <v>10</v>
      </c>
      <c r="BZ432" s="53" t="n">
        <f aca="false">IF(BX432="LOSE",1,0)</f>
        <v>0</v>
      </c>
      <c r="CA432" s="53" t="n">
        <f aca="false">IF(AND(U432="",OR(P432="",P432="LOSE"),T432&lt;&gt;"",N(S432)&lt;=0,ISNUMBER(MATCH(T432,Parameter!$I$27:$I$29,0))),1,0)</f>
        <v>0</v>
      </c>
      <c r="CB432" s="53" t="n">
        <f aca="false">IF(CQ432&gt;0,INDEX(Parameter!$H$5:$H$7,W432)/INDEX(Parameter!$E$5:$E$7,W432),IF(AND(BZ432=0,N(IFERROR(VLOOKUP(BX432,'Gebinde-Kategorie'!$A$5:$N$45,14,0),0))&gt;0),VLOOKUP(BX432,'Gebinde-Kategorie'!$A$5:$N$45,14,0)*10+Parameter!$M$23,Parameter!$M$24))</f>
        <v>155</v>
      </c>
      <c r="CC432" s="48" t="str">
        <f aca="false">IF(AND(Parameter!$B$19="Ja",E432&lt;&gt;"",ISNUMBER(MATCH(E432,Parameter!$I$35:$I$52,0))),VLOOKUP(E432,Parameter!$I$35:$J$52,2,0),IFERROR(VLOOKUP(D432,Parameter!$A$35:$C$64,2,0),"Nein"))</f>
        <v>2+3</v>
      </c>
      <c r="CD432" s="52" t="n">
        <f aca="false">IF(BZ432=0,0,IF(N(S432)&gt;0,S432,IFERROR(VLOOKUP(D432,Parameter!$A$35:$C$64,3,0)+0,0)))</f>
        <v>0</v>
      </c>
      <c r="CE432" s="48" t="n">
        <f aca="false">IF(AA432&lt;&gt;"",AA432,Z432)</f>
        <v>3</v>
      </c>
      <c r="CF432" s="48" t="str">
        <f aca="false">IF(OR(CE432=1,CE432=2,CE432=3),IF(Parameter!$E$27="Ja","LIFT",IF(CE432=1,"L1","L23")),IF(CE432="Aussen","Aussen","-"))</f>
        <v>LIFT</v>
      </c>
      <c r="CG432" s="59" t="n">
        <f aca="false">IF(N(AB432)&gt;0,AB432,0)</f>
        <v>0</v>
      </c>
      <c r="CH432" s="53" t="n">
        <f aca="false">IF(ISNUMBER(AE432),1,0)</f>
        <v>0</v>
      </c>
      <c r="CI432" s="50" t="n">
        <f aca="false">N(AE432)</f>
        <v>0</v>
      </c>
      <c r="CJ432" s="50" t="n">
        <f aca="false">N(M432)+N(N432)</f>
        <v>10</v>
      </c>
      <c r="CK432" s="50" t="n">
        <f aca="false">N(M432)</f>
        <v>0</v>
      </c>
      <c r="CL432" s="50" t="n">
        <f aca="false">N(N432)</f>
        <v>10</v>
      </c>
      <c r="CM432" s="50" t="n">
        <f aca="false">ROUNDUP(H432/BY432,0)</f>
        <v>1</v>
      </c>
      <c r="CN432" s="50" t="n">
        <f aca="false">ROUNDUP(CI432/BY432,0)</f>
        <v>0</v>
      </c>
      <c r="CO432" s="53" t="n">
        <f aca="false">IF(BZ432=1,0,IFERROR(VLOOKUP(BX432,'Gebinde-Kategorie'!$A$5:$N$45,5,0)+0,0))</f>
        <v>8</v>
      </c>
      <c r="CP432" s="53" t="n">
        <f aca="false">IFERROR(IF(OR(CE432=1,CE432=2,CE432=3),N(INDEX(Parameter!$I$5:$I$7,CE432)),0),0)</f>
        <v>0</v>
      </c>
      <c r="CQ432" s="52" t="n">
        <f aca="false">IF(AND(Parameter!$B$21="Ja",ISNUMBER(W432),N(X432)&gt;0),IFERROR(N(INDEX(Parameter!$L$5:$L$7,W432))*INDEX(Parameter!$E$5:$E$7,W432)*X432/SUMIFS($X$7:$X$1843,$W$7:$W$1843,W432),0),0)</f>
        <v>0</v>
      </c>
    </row>
    <row r="433" customFormat="false" ht="15" hidden="false" customHeight="false" outlineLevel="0" collapsed="false">
      <c r="A433" s="48" t="s">
        <v>999</v>
      </c>
      <c r="B433" s="48" t="s">
        <v>1000</v>
      </c>
      <c r="C433" s="48" t="s">
        <v>173</v>
      </c>
      <c r="D433" s="48" t="s">
        <v>193</v>
      </c>
      <c r="E433" s="48" t="s">
        <v>194</v>
      </c>
      <c r="F433" s="48" t="s">
        <v>227</v>
      </c>
      <c r="G433" s="49" t="n">
        <v>9.53</v>
      </c>
      <c r="H433" s="50" t="n">
        <f aca="false">MAX(0,IF(AND(Parameter!$B$21="Ja",ISNUMBER(Y433)),Y433,IF(Parameter!$B$20="Jahresanfang 2025 + Export",BR433+BQ433,BQ433)))</f>
        <v>19</v>
      </c>
      <c r="I433" s="50" t="n">
        <f aca="false">H433*G433</f>
        <v>181.07</v>
      </c>
      <c r="J433" s="50" t="n">
        <f aca="false">BT433*Parameter!$B$18</f>
        <v>129</v>
      </c>
      <c r="K433" s="51" t="n">
        <v>11.5</v>
      </c>
      <c r="L433" s="52" t="n">
        <v>11.2173913043478</v>
      </c>
      <c r="M433" s="50" t="n">
        <v>5</v>
      </c>
      <c r="N433" s="50" t="n">
        <v>25</v>
      </c>
      <c r="O433" s="53" t="n">
        <v>14</v>
      </c>
      <c r="P433" s="48" t="s">
        <v>235</v>
      </c>
      <c r="Q433" s="50" t="n">
        <v>40</v>
      </c>
      <c r="R433" s="53" t="n">
        <f aca="false">IF(BZ433=1,0,IFERROR(VLOOKUP(BX433,'Gebinde-Kategorie'!$A$5:$N$45,13,0)+0,0))</f>
        <v>12</v>
      </c>
      <c r="S433" s="54"/>
      <c r="T433" s="55"/>
      <c r="U433" s="55"/>
      <c r="V433" s="55"/>
      <c r="W433" s="48"/>
      <c r="X433" s="50"/>
      <c r="Y433" s="50"/>
      <c r="Z433" s="48" t="n">
        <f aca="false">IF(A433="","",IF(AND(Parameter!$B$21="Ja",ISNUMBER(W433)),W433,IF(CC433="2+3",IF(ISNUMBER(SEARCH("grosser Artikel",BU433)),2,IFERROR(VLOOKUP(BX433,Parameter!$F$35:$G$64,2,0),2)),IF(OR(CC433="Nein",CC433=""),"-",CC433))))</f>
        <v>2</v>
      </c>
      <c r="AA433" s="55"/>
      <c r="AB433" s="56"/>
      <c r="AC433" s="50" t="n">
        <f aca="false">AV433</f>
        <v>81</v>
      </c>
      <c r="AD433" s="50" t="n">
        <f aca="false">MAX(AV433,H433)</f>
        <v>81</v>
      </c>
      <c r="AE433" s="57"/>
      <c r="AF433" s="50" t="n">
        <f aca="false">IF(LEFT(Cockpit!$C$5,1)="A",H433,IF(Parameter!$E$30="MAX-Bestand",IF(CH433=1,CI433,IF(LEFT(Cockpit!$C$5,1)="B",AL433,MAX(AL433,H433))),ROUNDUP(AJ433,0)))</f>
        <v>19</v>
      </c>
      <c r="AG433" s="50" t="n">
        <f aca="false">IF(BZ433=1,0,ROUNDUP(AF433/BY433,0))</f>
        <v>1</v>
      </c>
      <c r="AH433" s="52" t="n">
        <f aca="false">IF(CQ433&gt;0,CQ433*MAX(1,AF433/X433),IF(BZ433=1,IF(AF433&lt;=0,0,CD433*MAX(1,IF(H433&gt;0,AF433/H433,1))),IF(R433&gt;0,AG433/R433,0))/MAX(0.1,N(Parameter!$M$21)))</f>
        <v>0.0833333333333333</v>
      </c>
      <c r="AI433" s="50" t="n">
        <f aca="false">AH433*CB433</f>
        <v>28.75</v>
      </c>
      <c r="AJ433" s="51" t="n">
        <f aca="false">IF(LEFT(Cockpit!$C$5,1)="A",H433,IF(CH433=1,(CK433+CI433)/2,IF(LEFT(Cockpit!$C$5,1)="B",(CK433+AL433)/2,MAX((CK433+AL433)/2,H433))))</f>
        <v>19</v>
      </c>
      <c r="AK433" s="50" t="n">
        <f aca="false">AJ433*G433</f>
        <v>181.07</v>
      </c>
      <c r="AL433" s="50" t="n">
        <f aca="false">ROUNDUP(CK433+MAX(CL433,2*(J433/IF(CG433&gt;0,CG433,MAX(0.1,N(Cockpit!$C$6)))-CK433)),0)</f>
        <v>81</v>
      </c>
      <c r="AM433" s="51" t="n">
        <f aca="false">IF(AI433&gt;0,J433/AI433,-1)</f>
        <v>4.48695652173913</v>
      </c>
      <c r="AN433" s="51" t="n">
        <f aca="false">IF(AND(OR(CF433="L1",CF433="L23",CF433="LIFT"),AI433&gt;0),SUMIFS($AI$7:$AI$1843,$CF$7:$CF$1843,CF433,$AM$7:$AM$1843,"&gt;"&amp;AM433)+SUMIFS($AI$7:$AI$1843,$CF$7:$CF$1843,CF433,$AM$7:$AM$1843,AM433,$BW$7:$BW$1843,"&lt;="&amp;BW433),"")</f>
        <v>4177.63141025641</v>
      </c>
      <c r="AO433" s="58" t="n">
        <f aca="false">IF(AN433="",0,MAX(0,MIN(1,(IF(CF433="L1",Parameter!$H$5,IF(CF433="L23",Parameter!$H$6+Parameter!$H$7,Parameter!$H$5+Parameter!$H$6+Parameter!$H$7))-(AN433-AI433))/AI433)))</f>
        <v>1</v>
      </c>
      <c r="AP433" s="50" t="n">
        <f aca="false">IF(LEFT(Cockpit!$I$5,1)="A",H433,IF(Parameter!$E$30="MAX-Bestand",IF(CH433=1,CI433,IF(LEFT(Cockpit!$I$5,1)="B",AV433,MAX(AV433,H433))),ROUNDUP(AT433,0)))</f>
        <v>43</v>
      </c>
      <c r="AQ433" s="50" t="n">
        <f aca="false">IF(BZ433=1,0,ROUNDUP(AP433/BY433,0))</f>
        <v>2</v>
      </c>
      <c r="AR433" s="52" t="n">
        <f aca="false">IF(CQ433&gt;0,CQ433*MAX(1,AP433/X433),IF(BZ433=1,IF(AP433&lt;=0,0,CD433*MAX(1,IF(H433&gt;0,AP433/H433,1))),IF(R433&gt;0,AQ433/R433,0))/MAX(0.1,N(Parameter!$M$21)))</f>
        <v>0.166666666666667</v>
      </c>
      <c r="AS433" s="50" t="n">
        <f aca="false">AR433*CB433</f>
        <v>57.5</v>
      </c>
      <c r="AT433" s="51" t="n">
        <f aca="false">IF(LEFT(Cockpit!$I$5,1)="A",H433,IF(CH433=1,(CK433+CI433)/2,IF(LEFT(Cockpit!$I$5,1)="B",(CK433+AV433)/2,MAX((CK433+AV433)/2,H433))))</f>
        <v>43</v>
      </c>
      <c r="AU433" s="50" t="n">
        <f aca="false">AT433*G433</f>
        <v>409.79</v>
      </c>
      <c r="AV433" s="50" t="n">
        <f aca="false">ROUNDUP(CK433+MAX(CL433,2*(J433/IF(CG433&gt;0,CG433,MAX(0.1,N(Cockpit!$I$6)))-CK433)),0)</f>
        <v>81</v>
      </c>
      <c r="AW433" s="51" t="n">
        <f aca="false">IF(AS433&gt;0,J433/AS433,-1)</f>
        <v>2.24347826086957</v>
      </c>
      <c r="AX433" s="51" t="n">
        <f aca="false">IF(AND(OR(CF433="L1",CF433="L23",CF433="LIFT"),AS433&gt;0),SUMIFS($AS$7:$AS$1843,$CF$7:$CF$1843,CF433,$AW$7:$AW$1843,"&gt;"&amp;AW433)+SUMIFS($AS$7:$AS$1843,$CF$7:$CF$1843,CF433,$AW$7:$AW$1843,AW433,$BW$7:$BW$1843,"&lt;="&amp;BW433),"")</f>
        <v>6586.36950549451</v>
      </c>
      <c r="AY433" s="58" t="n">
        <f aca="false">IF(AX433="",0,MAX(0,MIN(1,(IF(CF433="L1",Parameter!$H$5,IF(CF433="L23",Parameter!$H$6+Parameter!$H$7,Parameter!$H$5+Parameter!$H$6+Parameter!$H$7))-(AX433-AS433))/AS433)))</f>
        <v>1</v>
      </c>
      <c r="AZ433" s="50" t="n">
        <f aca="false">IF(LEFT(Cockpit!$O$5,1)="A",H433,IF(Parameter!$E$30="MAX-Bestand",IF(CH433=1,CI433,IF(LEFT(Cockpit!$O$5,1)="B",BF433,MAX(BF433,H433))),ROUNDUP(BD433,0)))</f>
        <v>33</v>
      </c>
      <c r="BA433" s="50" t="n">
        <f aca="false">IF(BZ433=1,0,ROUNDUP(AZ433/BY433,0))</f>
        <v>1</v>
      </c>
      <c r="BB433" s="52" t="n">
        <f aca="false">IF(CQ433&gt;0,CQ433*MAX(1,AZ433/X433),IF(BZ433=1,IF(AZ433&lt;=0,0,CD433*MAX(1,IF(H433&gt;0,AZ433/H433,1))),IF(R433&gt;0,BA433/R433,0))/MAX(0.1,N(Parameter!$M$21)))</f>
        <v>0.0833333333333333</v>
      </c>
      <c r="BC433" s="50" t="n">
        <f aca="false">BB433*CB433</f>
        <v>28.75</v>
      </c>
      <c r="BD433" s="51" t="n">
        <f aca="false">IF(LEFT(Cockpit!$O$5,1)="A",H433,IF(CH433=1,(CK433+CI433)/2,IF(LEFT(Cockpit!$O$5,1)="B",(CK433+BF433)/2,MAX((CK433+BF433)/2,H433))))</f>
        <v>32.5</v>
      </c>
      <c r="BE433" s="50" t="n">
        <f aca="false">BD433*G433</f>
        <v>309.725</v>
      </c>
      <c r="BF433" s="50" t="n">
        <f aca="false">ROUNDUP(CK433+MAX(CL433,2*(J433/IF(CG433&gt;0,CG433,MAX(0.1,N(Cockpit!$O$6)))-CK433)),0)</f>
        <v>60</v>
      </c>
      <c r="BG433" s="51" t="n">
        <f aca="false">IF(BC433&gt;0,J433/BC433,-1)</f>
        <v>4.48695652173913</v>
      </c>
      <c r="BH433" s="51" t="n">
        <f aca="false">IF(AND(OR(CF433="L1",CF433="L23",CF433="LIFT"),BC433&gt;0),SUMIFS($BC$7:$BC$1843,$CF$7:$CF$1843,CF433,$BG$7:$BG$1843,"&gt;"&amp;BG433)+SUMIFS($BC$7:$BC$1843,$CF$7:$CF$1843,CF433,$BG$7:$BG$1843,BG433,$BW$7:$BW$1843,"&lt;="&amp;BW433),"")</f>
        <v>3941.7152014652</v>
      </c>
      <c r="BI433" s="58" t="n">
        <f aca="false">IF(BH433="",0,MAX(0,MIN(1,(IF(CF433="L1",Parameter!$H$5,IF(CF433="L23",Parameter!$H$6+Parameter!$H$7,Parameter!$H$5+Parameter!$H$6+Parameter!$H$7))-(BH433-BC433))/BC433)))</f>
        <v>1</v>
      </c>
      <c r="BJ433" s="48" t="str">
        <f aca="false">IF(AI433&lt;=0,"",IF(CF433="Aussen","Aussenlager",IF(CF433="-","Nicht im Lift",IF(AO433&gt;=1,"Lift",IF(AO433&lt;=0,"Aussenlager","teilweise")))))</f>
        <v>Lift</v>
      </c>
      <c r="BK433" s="48" t="str">
        <f aca="false">IF(AS433&lt;=0,"",IF(CF433="Aussen","Aussenlager",IF(CF433="-","Nicht im Lift",IF(AY433&gt;=1,"Lift",IF(AY433&lt;=0,"Aussenlager","teilweise")))))</f>
        <v>Lift</v>
      </c>
      <c r="BL433" s="48" t="str">
        <f aca="false">IF(BC433&lt;=0,"",IF(CF433="Aussen","Aussenlager",IF(CF433="-","Nicht im Lift",IF(BI433&gt;=1,"Lift",IF(BI433&lt;=0,"Aussenlager","teilweise")))))</f>
        <v>Lift</v>
      </c>
      <c r="BM433" s="48" t="str">
        <f aca="false">IF(A433="","",IF(BV433=1,"Neu; ","")&amp;IF(AND(BV433=0,BQ433&lt;0),"negativer Bestand (Export "&amp;BQ433&amp;"); ","")&amp;IF(J433&lt;=0,"Kein Verbrauch; ","")&amp;IF(CQ433&gt;0,"Lift "&amp;W433&amp;" lt. Liftbericht (Fach "&amp;X433&amp;" Stk); ",IF(CA433=1,"Gebinde geschätzt ("&amp;T433&amp;"); ",IF(BZ433=1,"Lose – Tablare geschätzt; ","")))&amp;IF(H433&gt;AV433,"Überbestand "&amp;ROUND(H433-AV433,0)&amp;" Stk / CHF "&amp;ROUND((H433-AV433)*G433,0)&amp;"; ","")&amp;IF(AND(CH433=1,CI433&lt;CJ433),"MAX &lt; MB+LG; ","")&amp;IF(AND(CP433&gt;0,CO433*10&gt;CP433),"zu hoch für Tablar; ","")&amp;IF(AND(BV433=0,OR(CH433=1,AA433&lt;&gt;"",U433&lt;&gt;"",V433&lt;&gt;"",AB433&lt;&gt;"")),"manuell übersteuert; ","")&amp;IF(AND(BZ433=0,R433=0),"Gebinde unbekannt / Stellmass fehlt; ","")&amp;IF(AND(BZ433=0,N(V433)&lt;=0,N(Q433)&lt;=0),"Menge pro Gebinde fehlt (Ist = 1 Gebinde); ","")&amp;BU433)</f>
        <v/>
      </c>
      <c r="BN433" s="48"/>
      <c r="BO433" s="48"/>
      <c r="BP433" s="55"/>
      <c r="BQ433" s="50" t="n">
        <v>8</v>
      </c>
      <c r="BR433" s="50" t="n">
        <v>11</v>
      </c>
      <c r="BS433" s="49" t="n">
        <v>79.4300000000001</v>
      </c>
      <c r="BT433" s="50" t="n">
        <v>129</v>
      </c>
      <c r="BU433" s="48"/>
      <c r="BV433" s="53" t="n">
        <v>0</v>
      </c>
      <c r="BW433" s="53" t="n">
        <v>433</v>
      </c>
      <c r="BX433" s="48" t="str">
        <f aca="false">IF(U433&lt;&gt;"",UPPER(TRIM(U433)),IF(CA433=1,UPPER(VLOOKUP(T433,Parameter!$I$27:$K$29,2,0)),IF(P433="","LOSE",P433)))</f>
        <v>S63</v>
      </c>
      <c r="BY433" s="50" t="n">
        <f aca="false">IF(BX433="LOSE",1,IF(N(V433)&gt;0,V433,IF(CA433=1,MAX(1,N(VLOOKUP(T433,Parameter!$I$27:$K$29,3,0)),H433,N(N433)),IF(N(Q433)&gt;0,Q433,MAX(1,H433)))))</f>
        <v>40</v>
      </c>
      <c r="BZ433" s="53" t="n">
        <f aca="false">IF(BX433="LOSE",1,0)</f>
        <v>0</v>
      </c>
      <c r="CA433" s="53" t="n">
        <f aca="false">IF(AND(U433="",OR(P433="",P433="LOSE"),T433&lt;&gt;"",N(S433)&lt;=0,ISNUMBER(MATCH(T433,Parameter!$I$27:$I$29,0))),1,0)</f>
        <v>0</v>
      </c>
      <c r="CB433" s="53" t="n">
        <f aca="false">IF(CQ433&gt;0,INDEX(Parameter!$H$5:$H$7,W433)/INDEX(Parameter!$E$5:$E$7,W433),IF(AND(BZ433=0,N(IFERROR(VLOOKUP(BX433,'Gebinde-Kategorie'!$A$5:$N$45,14,0),0))&gt;0),VLOOKUP(BX433,'Gebinde-Kategorie'!$A$5:$N$45,14,0)*10+Parameter!$M$23,Parameter!$M$24))</f>
        <v>345</v>
      </c>
      <c r="CC433" s="48" t="str">
        <f aca="false">IF(AND(Parameter!$B$19="Ja",E433&lt;&gt;"",ISNUMBER(MATCH(E433,Parameter!$I$35:$I$52,0))),VLOOKUP(E433,Parameter!$I$35:$J$52,2,0),IFERROR(VLOOKUP(D433,Parameter!$A$35:$C$64,2,0),"Nein"))</f>
        <v>2+3</v>
      </c>
      <c r="CD433" s="52" t="n">
        <f aca="false">IF(BZ433=0,0,IF(N(S433)&gt;0,S433,IFERROR(VLOOKUP(D433,Parameter!$A$35:$C$64,3,0)+0,0)))</f>
        <v>0</v>
      </c>
      <c r="CE433" s="48" t="n">
        <f aca="false">IF(AA433&lt;&gt;"",AA433,Z433)</f>
        <v>2</v>
      </c>
      <c r="CF433" s="48" t="str">
        <f aca="false">IF(OR(CE433=1,CE433=2,CE433=3),IF(Parameter!$E$27="Ja","LIFT",IF(CE433=1,"L1","L23")),IF(CE433="Aussen","Aussen","-"))</f>
        <v>LIFT</v>
      </c>
      <c r="CG433" s="59" t="n">
        <f aca="false">IF(N(AB433)&gt;0,AB433,0)</f>
        <v>0</v>
      </c>
      <c r="CH433" s="53" t="n">
        <f aca="false">IF(ISNUMBER(AE433),1,0)</f>
        <v>0</v>
      </c>
      <c r="CI433" s="50" t="n">
        <f aca="false">N(AE433)</f>
        <v>0</v>
      </c>
      <c r="CJ433" s="50" t="n">
        <f aca="false">N(M433)+N(N433)</f>
        <v>30</v>
      </c>
      <c r="CK433" s="50" t="n">
        <f aca="false">N(M433)</f>
        <v>5</v>
      </c>
      <c r="CL433" s="50" t="n">
        <f aca="false">N(N433)</f>
        <v>25</v>
      </c>
      <c r="CM433" s="50" t="n">
        <f aca="false">ROUNDUP(H433/BY433,0)</f>
        <v>1</v>
      </c>
      <c r="CN433" s="50" t="n">
        <f aca="false">ROUNDUP(CI433/BY433,0)</f>
        <v>0</v>
      </c>
      <c r="CO433" s="53" t="n">
        <f aca="false">IF(BZ433=1,0,IFERROR(VLOOKUP(BX433,'Gebinde-Kategorie'!$A$5:$N$45,5,0)+0,0))</f>
        <v>31</v>
      </c>
      <c r="CP433" s="53" t="n">
        <f aca="false">IFERROR(IF(OR(CE433=1,CE433=2,CE433=3),N(INDEX(Parameter!$I$5:$I$7,CE433)),0),0)</f>
        <v>0</v>
      </c>
      <c r="CQ433" s="52" t="n">
        <f aca="false">IF(AND(Parameter!$B$21="Ja",ISNUMBER(W433),N(X433)&gt;0),IFERROR(N(INDEX(Parameter!$L$5:$L$7,W433))*INDEX(Parameter!$E$5:$E$7,W433)*X433/SUMIFS($X$7:$X$1843,$W$7:$W$1843,W433),0),0)</f>
        <v>0</v>
      </c>
    </row>
    <row r="434" customFormat="false" ht="15" hidden="false" customHeight="false" outlineLevel="0" collapsed="false">
      <c r="A434" s="48" t="s">
        <v>1001</v>
      </c>
      <c r="B434" s="48" t="s">
        <v>1002</v>
      </c>
      <c r="C434" s="48" t="s">
        <v>173</v>
      </c>
      <c r="D434" s="48" t="s">
        <v>193</v>
      </c>
      <c r="E434" s="48"/>
      <c r="F434" s="48" t="s">
        <v>227</v>
      </c>
      <c r="G434" s="49" t="n">
        <v>16.05</v>
      </c>
      <c r="H434" s="50" t="n">
        <f aca="false">MAX(0,IF(AND(Parameter!$B$21="Ja",ISNUMBER(Y434)),Y434,IF(Parameter!$B$20="Jahresanfang 2025 + Export",BR434+BQ434,BQ434)))</f>
        <v>4.91</v>
      </c>
      <c r="I434" s="50" t="n">
        <f aca="false">H434*G434</f>
        <v>78.8055</v>
      </c>
      <c r="J434" s="50" t="n">
        <f aca="false">BT434*Parameter!$B$18</f>
        <v>0</v>
      </c>
      <c r="K434" s="51" t="n">
        <v>0</v>
      </c>
      <c r="L434" s="52" t="n">
        <v>0</v>
      </c>
      <c r="M434" s="50" t="n">
        <v>1</v>
      </c>
      <c r="N434" s="50" t="n">
        <v>5</v>
      </c>
      <c r="O434" s="53" t="n">
        <v>0</v>
      </c>
      <c r="P434" s="48" t="s">
        <v>177</v>
      </c>
      <c r="Q434" s="50"/>
      <c r="R434" s="53" t="n">
        <f aca="false">IF(BZ434=1,0,IFERROR(VLOOKUP(BX434,'Gebinde-Kategorie'!$A$5:$N$45,13,0)+0,0))</f>
        <v>26</v>
      </c>
      <c r="S434" s="54"/>
      <c r="T434" s="55" t="s">
        <v>284</v>
      </c>
      <c r="U434" s="55"/>
      <c r="V434" s="55"/>
      <c r="W434" s="48"/>
      <c r="X434" s="50"/>
      <c r="Y434" s="50"/>
      <c r="Z434" s="48" t="n">
        <f aca="false">IF(A434="","",IF(AND(Parameter!$B$21="Ja",ISNUMBER(W434)),W434,IF(CC434="2+3",IF(ISNUMBER(SEARCH("grosser Artikel",BU434)),2,IFERROR(VLOOKUP(BX434,Parameter!$F$35:$G$64,2,0),2)),IF(OR(CC434="Nein",CC434=""),"-",CC434))))</f>
        <v>3</v>
      </c>
      <c r="AA434" s="55"/>
      <c r="AB434" s="56"/>
      <c r="AC434" s="50" t="n">
        <f aca="false">AV434</f>
        <v>6</v>
      </c>
      <c r="AD434" s="50" t="n">
        <f aca="false">MAX(AV434,H434)</f>
        <v>6</v>
      </c>
      <c r="AE434" s="57"/>
      <c r="AF434" s="50" t="n">
        <f aca="false">IF(LEFT(Cockpit!$C$5,1)="A",H434,IF(Parameter!$E$30="MAX-Bestand",IF(CH434=1,CI434,IF(LEFT(Cockpit!$C$5,1)="B",AL434,MAX(AL434,H434))),ROUNDUP(AJ434,0)))</f>
        <v>4.91</v>
      </c>
      <c r="AG434" s="50" t="n">
        <f aca="false">IF(BZ434=1,0,ROUNDUP(AF434/BY434,0))</f>
        <v>1</v>
      </c>
      <c r="AH434" s="52" t="n">
        <f aca="false">IF(CQ434&gt;0,CQ434*MAX(1,AF434/X434),IF(BZ434=1,IF(AF434&lt;=0,0,CD434*MAX(1,IF(H434&gt;0,AF434/H434,1))),IF(R434&gt;0,AG434/R434,0))/MAX(0.1,N(Parameter!$M$21)))</f>
        <v>0.0384615384615385</v>
      </c>
      <c r="AI434" s="50" t="n">
        <f aca="false">AH434*CB434</f>
        <v>5.96153846153846</v>
      </c>
      <c r="AJ434" s="51" t="n">
        <f aca="false">IF(LEFT(Cockpit!$C$5,1)="A",H434,IF(CH434=1,(CK434+CI434)/2,IF(LEFT(Cockpit!$C$5,1)="B",(CK434+AL434)/2,MAX((CK434+AL434)/2,H434))))</f>
        <v>4.91</v>
      </c>
      <c r="AK434" s="50" t="n">
        <f aca="false">AJ434*G434</f>
        <v>78.8055</v>
      </c>
      <c r="AL434" s="50" t="n">
        <f aca="false">ROUNDUP(CK434+MAX(CL434,2*(J434/IF(CG434&gt;0,CG434,MAX(0.1,N(Cockpit!$C$6)))-CK434)),0)</f>
        <v>6</v>
      </c>
      <c r="AM434" s="51" t="n">
        <f aca="false">IF(AI434&gt;0,J434/AI434,-1)</f>
        <v>0</v>
      </c>
      <c r="AN434" s="51" t="n">
        <f aca="false">IF(AND(OR(CF434="L1",CF434="L23",CF434="LIFT"),AI434&gt;0),SUMIFS($AI$7:$AI$1843,$CF$7:$CF$1843,CF434,$AM$7:$AM$1843,"&gt;"&amp;AM434)+SUMIFS($AI$7:$AI$1843,$CF$7:$CF$1843,CF434,$AM$7:$AM$1843,AM434,$BW$7:$BW$1843,"&lt;="&amp;BW434),"")</f>
        <v>28121.7149117361</v>
      </c>
      <c r="AO434" s="58" t="n">
        <f aca="false">IF(AN434="",0,MAX(0,MIN(1,(IF(CF434="L1",Parameter!$H$5,IF(CF434="L23",Parameter!$H$6+Parameter!$H$7,Parameter!$H$5+Parameter!$H$6+Parameter!$H$7))-(AN434-AI434))/AI434)))</f>
        <v>1</v>
      </c>
      <c r="AP434" s="50" t="n">
        <f aca="false">IF(LEFT(Cockpit!$I$5,1)="A",H434,IF(Parameter!$E$30="MAX-Bestand",IF(CH434=1,CI434,IF(LEFT(Cockpit!$I$5,1)="B",AV434,MAX(AV434,H434))),ROUNDUP(AT434,0)))</f>
        <v>5</v>
      </c>
      <c r="AQ434" s="50" t="n">
        <f aca="false">IF(BZ434=1,0,ROUNDUP(AP434/BY434,0))</f>
        <v>1</v>
      </c>
      <c r="AR434" s="52" t="n">
        <f aca="false">IF(CQ434&gt;0,CQ434*MAX(1,AP434/X434),IF(BZ434=1,IF(AP434&lt;=0,0,CD434*MAX(1,IF(H434&gt;0,AP434/H434,1))),IF(R434&gt;0,AQ434/R434,0))/MAX(0.1,N(Parameter!$M$21)))</f>
        <v>0.0384615384615385</v>
      </c>
      <c r="AS434" s="50" t="n">
        <f aca="false">AR434*CB434</f>
        <v>5.96153846153846</v>
      </c>
      <c r="AT434" s="51" t="n">
        <f aca="false">IF(LEFT(Cockpit!$I$5,1)="A",H434,IF(CH434=1,(CK434+CI434)/2,IF(LEFT(Cockpit!$I$5,1)="B",(CK434+AV434)/2,MAX((CK434+AV434)/2,H434))))</f>
        <v>4.91</v>
      </c>
      <c r="AU434" s="50" t="n">
        <f aca="false">AT434*G434</f>
        <v>78.8055</v>
      </c>
      <c r="AV434" s="50" t="n">
        <f aca="false">ROUNDUP(CK434+MAX(CL434,2*(J434/IF(CG434&gt;0,CG434,MAX(0.1,N(Cockpit!$I$6)))-CK434)),0)</f>
        <v>6</v>
      </c>
      <c r="AW434" s="51" t="n">
        <f aca="false">IF(AS434&gt;0,J434/AS434,-1)</f>
        <v>0</v>
      </c>
      <c r="AX434" s="51" t="n">
        <f aca="false">IF(AND(OR(CF434="L1",CF434="L23",CF434="LIFT"),AS434&gt;0),SUMIFS($AS$7:$AS$1843,$CF$7:$CF$1843,CF434,$AW$7:$AW$1843,"&gt;"&amp;AW434)+SUMIFS($AS$7:$AS$1843,$CF$7:$CF$1843,CF434,$AW$7:$AW$1843,AW434,$BW$7:$BW$1843,"&lt;="&amp;BW434),"")</f>
        <v>33474.8635531136</v>
      </c>
      <c r="AY434" s="58" t="n">
        <f aca="false">IF(AX434="",0,MAX(0,MIN(1,(IF(CF434="L1",Parameter!$H$5,IF(CF434="L23",Parameter!$H$6+Parameter!$H$7,Parameter!$H$5+Parameter!$H$6+Parameter!$H$7))-(AX434-AS434))/AS434)))</f>
        <v>1</v>
      </c>
      <c r="AZ434" s="50" t="n">
        <f aca="false">IF(LEFT(Cockpit!$O$5,1)="A",H434,IF(Parameter!$E$30="MAX-Bestand",IF(CH434=1,CI434,IF(LEFT(Cockpit!$O$5,1)="B",BF434,MAX(BF434,H434))),ROUNDUP(BD434,0)))</f>
        <v>4</v>
      </c>
      <c r="BA434" s="50" t="n">
        <f aca="false">IF(BZ434=1,0,ROUNDUP(AZ434/BY434,0))</f>
        <v>1</v>
      </c>
      <c r="BB434" s="52" t="n">
        <f aca="false">IF(CQ434&gt;0,CQ434*MAX(1,AZ434/X434),IF(BZ434=1,IF(AZ434&lt;=0,0,CD434*MAX(1,IF(H434&gt;0,AZ434/H434,1))),IF(R434&gt;0,BA434/R434,0))/MAX(0.1,N(Parameter!$M$21)))</f>
        <v>0.0384615384615385</v>
      </c>
      <c r="BC434" s="50" t="n">
        <f aca="false">BB434*CB434</f>
        <v>5.96153846153846</v>
      </c>
      <c r="BD434" s="51" t="n">
        <f aca="false">IF(LEFT(Cockpit!$O$5,1)="A",H434,IF(CH434=1,(CK434+CI434)/2,IF(LEFT(Cockpit!$O$5,1)="B",(CK434+BF434)/2,MAX((CK434+BF434)/2,H434))))</f>
        <v>3.5</v>
      </c>
      <c r="BE434" s="50" t="n">
        <f aca="false">BD434*G434</f>
        <v>56.175</v>
      </c>
      <c r="BF434" s="50" t="n">
        <f aca="false">ROUNDUP(CK434+MAX(CL434,2*(J434/IF(CG434&gt;0,CG434,MAX(0.1,N(Cockpit!$O$6)))-CK434)),0)</f>
        <v>6</v>
      </c>
      <c r="BG434" s="51" t="n">
        <f aca="false">IF(BC434&gt;0,J434/BC434,-1)</f>
        <v>0</v>
      </c>
      <c r="BH434" s="51" t="n">
        <f aca="false">IF(AND(OR(CF434="L1",CF434="L23",CF434="LIFT"),BC434&gt;0),SUMIFS($BC$7:$BC$1843,$CF$7:$CF$1843,CF434,$BG$7:$BG$1843,"&gt;"&amp;BG434)+SUMIFS($BC$7:$BC$1843,$CF$7:$CF$1843,CF434,$BG$7:$BG$1843,BG434,$BW$7:$BW$1843,"&lt;="&amp;BW434),"")</f>
        <v>27587.2933817595</v>
      </c>
      <c r="BI434" s="58" t="n">
        <f aca="false">IF(BH434="",0,MAX(0,MIN(1,(IF(CF434="L1",Parameter!$H$5,IF(CF434="L23",Parameter!$H$6+Parameter!$H$7,Parameter!$H$5+Parameter!$H$6+Parameter!$H$7))-(BH434-BC434))/BC434)))</f>
        <v>1</v>
      </c>
      <c r="BJ434" s="48" t="str">
        <f aca="false">IF(AI434&lt;=0,"",IF(CF434="Aussen","Aussenlager",IF(CF434="-","Nicht im Lift",IF(AO434&gt;=1,"Lift",IF(AO434&lt;=0,"Aussenlager","teilweise")))))</f>
        <v>Lift</v>
      </c>
      <c r="BK434" s="48" t="str">
        <f aca="false">IF(AS434&lt;=0,"",IF(CF434="Aussen","Aussenlager",IF(CF434="-","Nicht im Lift",IF(AY434&gt;=1,"Lift",IF(AY434&lt;=0,"Aussenlager","teilweise")))))</f>
        <v>Lift</v>
      </c>
      <c r="BL434" s="48" t="str">
        <f aca="false">IF(BC434&lt;=0,"",IF(CF434="Aussen","Aussenlager",IF(CF434="-","Nicht im Lift",IF(BI434&gt;=1,"Lift",IF(BI434&lt;=0,"Aussenlager","teilweise")))))</f>
        <v>Lift</v>
      </c>
      <c r="BM434" s="48" t="str">
        <f aca="false">IF(A434="","",IF(BV434=1,"Neu; ","")&amp;IF(AND(BV434=0,BQ434&lt;0),"negativer Bestand (Export "&amp;BQ434&amp;"); ","")&amp;IF(J434&lt;=0,"Kein Verbrauch; ","")&amp;IF(CQ434&gt;0,"Lift "&amp;W434&amp;" lt. Liftbericht (Fach "&amp;X434&amp;" Stk); ",IF(CA434=1,"Gebinde geschätzt ("&amp;T434&amp;"); ",IF(BZ434=1,"Lose – Tablare geschätzt; ","")))&amp;IF(H434&gt;AV434,"Überbestand "&amp;ROUND(H434-AV434,0)&amp;" Stk / CHF "&amp;ROUND((H434-AV434)*G434,0)&amp;"; ","")&amp;IF(AND(CH434=1,CI434&lt;CJ434),"MAX &lt; MB+LG; ","")&amp;IF(AND(CP434&gt;0,CO434*10&gt;CP434),"zu hoch für Tablar; ","")&amp;IF(AND(BV434=0,OR(CH434=1,AA434&lt;&gt;"",U434&lt;&gt;"",V434&lt;&gt;"",AB434&lt;&gt;"")),"manuell übersteuert; ","")&amp;IF(AND(BZ434=0,R434=0),"Gebinde unbekannt / Stellmass fehlt; ","")&amp;IF(AND(BZ434=0,N(V434)&lt;=0,N(Q434)&lt;=0),"Menge pro Gebinde fehlt (Ist = 1 Gebinde); ","")&amp;BU434)</f>
        <v>Kein Verbrauch; Gebinde geschätzt (Klein); Menge pro Gebinde fehlt (Ist = 1 Gebinde); </v>
      </c>
      <c r="BN434" s="48"/>
      <c r="BO434" s="48"/>
      <c r="BP434" s="55"/>
      <c r="BQ434" s="50" t="n">
        <v>4.91</v>
      </c>
      <c r="BR434" s="50" t="n">
        <v>0</v>
      </c>
      <c r="BS434" s="49" t="n">
        <v>78.81</v>
      </c>
      <c r="BT434" s="50" t="n">
        <v>0</v>
      </c>
      <c r="BU434" s="48"/>
      <c r="BV434" s="53" t="n">
        <v>0</v>
      </c>
      <c r="BW434" s="53" t="n">
        <v>434</v>
      </c>
      <c r="BX434" s="48" t="str">
        <f aca="false">IF(U434&lt;&gt;"",UPPER(TRIM(U434)),IF(CA434=1,UPPER(VLOOKUP(T434,Parameter!$I$27:$K$29,2,0)),IF(P434="","LOSE",P434)))</f>
        <v>S51</v>
      </c>
      <c r="BY434" s="50" t="n">
        <f aca="false">IF(BX434="LOSE",1,IF(N(V434)&gt;0,V434,IF(CA434=1,MAX(1,N(VLOOKUP(T434,Parameter!$I$27:$K$29,3,0)),H434,N(N434)),IF(N(Q434)&gt;0,Q434,MAX(1,H434)))))</f>
        <v>20</v>
      </c>
      <c r="BZ434" s="53" t="n">
        <f aca="false">IF(BX434="LOSE",1,0)</f>
        <v>0</v>
      </c>
      <c r="CA434" s="53" t="n">
        <f aca="false">IF(AND(U434="",OR(P434="",P434="LOSE"),T434&lt;&gt;"",N(S434)&lt;=0,ISNUMBER(MATCH(T434,Parameter!$I$27:$I$29,0))),1,0)</f>
        <v>1</v>
      </c>
      <c r="CB434" s="53" t="n">
        <f aca="false">IF(CQ434&gt;0,INDEX(Parameter!$H$5:$H$7,W434)/INDEX(Parameter!$E$5:$E$7,W434),IF(AND(BZ434=0,N(IFERROR(VLOOKUP(BX434,'Gebinde-Kategorie'!$A$5:$N$45,14,0),0))&gt;0),VLOOKUP(BX434,'Gebinde-Kategorie'!$A$5:$N$45,14,0)*10+Parameter!$M$23,Parameter!$M$24))</f>
        <v>155</v>
      </c>
      <c r="CC434" s="48" t="str">
        <f aca="false">IF(AND(Parameter!$B$19="Ja",E434&lt;&gt;"",ISNUMBER(MATCH(E434,Parameter!$I$35:$I$52,0))),VLOOKUP(E434,Parameter!$I$35:$J$52,2,0),IFERROR(VLOOKUP(D434,Parameter!$A$35:$C$64,2,0),"Nein"))</f>
        <v>2+3</v>
      </c>
      <c r="CD434" s="52" t="n">
        <f aca="false">IF(BZ434=0,0,IF(N(S434)&gt;0,S434,IFERROR(VLOOKUP(D434,Parameter!$A$35:$C$64,3,0)+0,0)))</f>
        <v>0</v>
      </c>
      <c r="CE434" s="48" t="n">
        <f aca="false">IF(AA434&lt;&gt;"",AA434,Z434)</f>
        <v>3</v>
      </c>
      <c r="CF434" s="48" t="str">
        <f aca="false">IF(OR(CE434=1,CE434=2,CE434=3),IF(Parameter!$E$27="Ja","LIFT",IF(CE434=1,"L1","L23")),IF(CE434="Aussen","Aussen","-"))</f>
        <v>LIFT</v>
      </c>
      <c r="CG434" s="59" t="n">
        <f aca="false">IF(N(AB434)&gt;0,AB434,0)</f>
        <v>0</v>
      </c>
      <c r="CH434" s="53" t="n">
        <f aca="false">IF(ISNUMBER(AE434),1,0)</f>
        <v>0</v>
      </c>
      <c r="CI434" s="50" t="n">
        <f aca="false">N(AE434)</f>
        <v>0</v>
      </c>
      <c r="CJ434" s="50" t="n">
        <f aca="false">N(M434)+N(N434)</f>
        <v>6</v>
      </c>
      <c r="CK434" s="50" t="n">
        <f aca="false">N(M434)</f>
        <v>1</v>
      </c>
      <c r="CL434" s="50" t="n">
        <f aca="false">N(N434)</f>
        <v>5</v>
      </c>
      <c r="CM434" s="50" t="n">
        <f aca="false">ROUNDUP(H434/BY434,0)</f>
        <v>1</v>
      </c>
      <c r="CN434" s="50" t="n">
        <f aca="false">ROUNDUP(CI434/BY434,0)</f>
        <v>0</v>
      </c>
      <c r="CO434" s="53" t="n">
        <f aca="false">IF(BZ434=1,0,IFERROR(VLOOKUP(BX434,'Gebinde-Kategorie'!$A$5:$N$45,5,0)+0,0))</f>
        <v>11</v>
      </c>
      <c r="CP434" s="53" t="n">
        <f aca="false">IFERROR(IF(OR(CE434=1,CE434=2,CE434=3),N(INDEX(Parameter!$I$5:$I$7,CE434)),0),0)</f>
        <v>0</v>
      </c>
      <c r="CQ434" s="52" t="n">
        <f aca="false">IF(AND(Parameter!$B$21="Ja",ISNUMBER(W434),N(X434)&gt;0),IFERROR(N(INDEX(Parameter!$L$5:$L$7,W434))*INDEX(Parameter!$E$5:$E$7,W434)*X434/SUMIFS($X$7:$X$1843,$W$7:$W$1843,W434),0),0)</f>
        <v>0</v>
      </c>
    </row>
    <row r="435" customFormat="false" ht="15" hidden="false" customHeight="false" outlineLevel="0" collapsed="false">
      <c r="A435" s="48" t="s">
        <v>1003</v>
      </c>
      <c r="B435" s="48" t="s">
        <v>416</v>
      </c>
      <c r="C435" s="48" t="s">
        <v>173</v>
      </c>
      <c r="D435" s="48" t="s">
        <v>1004</v>
      </c>
      <c r="E435" s="48"/>
      <c r="F435" s="48" t="s">
        <v>227</v>
      </c>
      <c r="G435" s="49" t="n">
        <v>1.96</v>
      </c>
      <c r="H435" s="50" t="n">
        <f aca="false">MAX(0,IF(AND(Parameter!$B$21="Ja",ISNUMBER(Y435)),Y435,IF(Parameter!$B$20="Jahresanfang 2025 + Export",BR435+BQ435,BQ435)))</f>
        <v>40</v>
      </c>
      <c r="I435" s="50" t="n">
        <f aca="false">H435*G435</f>
        <v>78.4</v>
      </c>
      <c r="J435" s="50" t="n">
        <f aca="false">BT435*Parameter!$B$18</f>
        <v>60</v>
      </c>
      <c r="K435" s="51" t="n">
        <v>20</v>
      </c>
      <c r="L435" s="52" t="n">
        <v>3</v>
      </c>
      <c r="M435" s="50" t="n">
        <v>0</v>
      </c>
      <c r="N435" s="50" t="n">
        <v>100</v>
      </c>
      <c r="O435" s="53" t="n">
        <v>28</v>
      </c>
      <c r="P435" s="48" t="s">
        <v>177</v>
      </c>
      <c r="Q435" s="50"/>
      <c r="R435" s="53" t="n">
        <f aca="false">IF(BZ435=1,0,IFERROR(VLOOKUP(BX435,'Gebinde-Kategorie'!$A$5:$N$45,13,0)+0,0))</f>
        <v>0</v>
      </c>
      <c r="S435" s="54"/>
      <c r="T435" s="55"/>
      <c r="U435" s="55"/>
      <c r="V435" s="55"/>
      <c r="W435" s="48"/>
      <c r="X435" s="50"/>
      <c r="Y435" s="50"/>
      <c r="Z435" s="48" t="str">
        <f aca="false">IF(A435="","",IF(AND(Parameter!$B$21="Ja",ISNUMBER(W435)),W435,IF(CC435="2+3",IF(ISNUMBER(SEARCH("grosser Artikel",BU435)),2,IFERROR(VLOOKUP(BX435,Parameter!$F$35:$G$64,2,0),2)),IF(OR(CC435="Nein",CC435=""),"-",CC435))))</f>
        <v>-</v>
      </c>
      <c r="AA435" s="55"/>
      <c r="AB435" s="56"/>
      <c r="AC435" s="50" t="n">
        <f aca="false">AV435</f>
        <v>100</v>
      </c>
      <c r="AD435" s="50" t="n">
        <f aca="false">MAX(AV435,H435)</f>
        <v>100</v>
      </c>
      <c r="AE435" s="57"/>
      <c r="AF435" s="50" t="n">
        <f aca="false">IF(LEFT(Cockpit!$C$5,1)="A",H435,IF(Parameter!$E$30="MAX-Bestand",IF(CH435=1,CI435,IF(LEFT(Cockpit!$C$5,1)="B",AL435,MAX(AL435,H435))),ROUNDUP(AJ435,0)))</f>
        <v>40</v>
      </c>
      <c r="AG435" s="50" t="n">
        <f aca="false">IF(BZ435=1,0,ROUNDUP(AF435/BY435,0))</f>
        <v>0</v>
      </c>
      <c r="AH435" s="52" t="n">
        <f aca="false">IF(CQ435&gt;0,CQ435*MAX(1,AF435/X435),IF(BZ435=1,IF(AF435&lt;=0,0,CD435*MAX(1,IF(H435&gt;0,AF435/H435,1))),IF(R435&gt;0,AG435/R435,0))/MAX(0.1,N(Parameter!$M$21)))</f>
        <v>0.15</v>
      </c>
      <c r="AI435" s="50" t="n">
        <f aca="false">AH435*CB435</f>
        <v>35.25</v>
      </c>
      <c r="AJ435" s="51" t="n">
        <f aca="false">IF(LEFT(Cockpit!$C$5,1)="A",H435,IF(CH435=1,(CK435+CI435)/2,IF(LEFT(Cockpit!$C$5,1)="B",(CK435+AL435)/2,MAX((CK435+AL435)/2,H435))))</f>
        <v>40</v>
      </c>
      <c r="AK435" s="50" t="n">
        <f aca="false">AJ435*G435</f>
        <v>78.4</v>
      </c>
      <c r="AL435" s="50" t="n">
        <f aca="false">ROUNDUP(CK435+MAX(CL435,2*(J435/IF(CG435&gt;0,CG435,MAX(0.1,N(Cockpit!$C$6)))-CK435)),0)</f>
        <v>100</v>
      </c>
      <c r="AM435" s="51" t="n">
        <f aca="false">IF(AI435&gt;0,J435/AI435,-1)</f>
        <v>1.70212765957447</v>
      </c>
      <c r="AN435" s="51" t="str">
        <f aca="false">IF(AND(OR(CF435="L1",CF435="L23",CF435="LIFT"),AI435&gt;0),SUMIFS($AI$7:$AI$1843,$CF$7:$CF$1843,CF435,$AM$7:$AM$1843,"&gt;"&amp;AM435)+SUMIFS($AI$7:$AI$1843,$CF$7:$CF$1843,CF435,$AM$7:$AM$1843,AM435,$BW$7:$BW$1843,"&lt;="&amp;BW435),"")</f>
        <v/>
      </c>
      <c r="AO435" s="58" t="n">
        <f aca="false">IF(AN435="",0,MAX(0,MIN(1,(IF(CF435="L1",Parameter!$H$5,IF(CF435="L23",Parameter!$H$6+Parameter!$H$7,Parameter!$H$5+Parameter!$H$6+Parameter!$H$7))-(AN435-AI435))/AI435)))</f>
        <v>0</v>
      </c>
      <c r="AP435" s="50" t="n">
        <f aca="false">IF(LEFT(Cockpit!$I$5,1)="A",H435,IF(Parameter!$E$30="MAX-Bestand",IF(CH435=1,CI435,IF(LEFT(Cockpit!$I$5,1)="B",AV435,MAX(AV435,H435))),ROUNDUP(AT435,0)))</f>
        <v>50</v>
      </c>
      <c r="AQ435" s="50" t="n">
        <f aca="false">IF(BZ435=1,0,ROUNDUP(AP435/BY435,0))</f>
        <v>0</v>
      </c>
      <c r="AR435" s="52" t="n">
        <f aca="false">IF(CQ435&gt;0,CQ435*MAX(1,AP435/X435),IF(BZ435=1,IF(AP435&lt;=0,0,CD435*MAX(1,IF(H435&gt;0,AP435/H435,1))),IF(R435&gt;0,AQ435/R435,0))/MAX(0.1,N(Parameter!$M$21)))</f>
        <v>0.1875</v>
      </c>
      <c r="AS435" s="50" t="n">
        <f aca="false">AR435*CB435</f>
        <v>44.0625</v>
      </c>
      <c r="AT435" s="51" t="n">
        <f aca="false">IF(LEFT(Cockpit!$I$5,1)="A",H435,IF(CH435=1,(CK435+CI435)/2,IF(LEFT(Cockpit!$I$5,1)="B",(CK435+AV435)/2,MAX((CK435+AV435)/2,H435))))</f>
        <v>50</v>
      </c>
      <c r="AU435" s="50" t="n">
        <f aca="false">AT435*G435</f>
        <v>98</v>
      </c>
      <c r="AV435" s="50" t="n">
        <f aca="false">ROUNDUP(CK435+MAX(CL435,2*(J435/IF(CG435&gt;0,CG435,MAX(0.1,N(Cockpit!$I$6)))-CK435)),0)</f>
        <v>100</v>
      </c>
      <c r="AW435" s="51" t="n">
        <f aca="false">IF(AS435&gt;0,J435/AS435,-1)</f>
        <v>1.36170212765957</v>
      </c>
      <c r="AX435" s="51" t="str">
        <f aca="false">IF(AND(OR(CF435="L1",CF435="L23",CF435="LIFT"),AS435&gt;0),SUMIFS($AS$7:$AS$1843,$CF$7:$CF$1843,CF435,$AW$7:$AW$1843,"&gt;"&amp;AW435)+SUMIFS($AS$7:$AS$1843,$CF$7:$CF$1843,CF435,$AW$7:$AW$1843,AW435,$BW$7:$BW$1843,"&lt;="&amp;BW435),"")</f>
        <v/>
      </c>
      <c r="AY435" s="58" t="n">
        <f aca="false">IF(AX435="",0,MAX(0,MIN(1,(IF(CF435="L1",Parameter!$H$5,IF(CF435="L23",Parameter!$H$6+Parameter!$H$7,Parameter!$H$5+Parameter!$H$6+Parameter!$H$7))-(AX435-AS435))/AS435)))</f>
        <v>0</v>
      </c>
      <c r="AZ435" s="50" t="n">
        <f aca="false">IF(LEFT(Cockpit!$O$5,1)="A",H435,IF(Parameter!$E$30="MAX-Bestand",IF(CH435=1,CI435,IF(LEFT(Cockpit!$O$5,1)="B",BF435,MAX(BF435,H435))),ROUNDUP(BD435,0)))</f>
        <v>50</v>
      </c>
      <c r="BA435" s="50" t="n">
        <f aca="false">IF(BZ435=1,0,ROUNDUP(AZ435/BY435,0))</f>
        <v>0</v>
      </c>
      <c r="BB435" s="52" t="n">
        <f aca="false">IF(CQ435&gt;0,CQ435*MAX(1,AZ435/X435),IF(BZ435=1,IF(AZ435&lt;=0,0,CD435*MAX(1,IF(H435&gt;0,AZ435/H435,1))),IF(R435&gt;0,BA435/R435,0))/MAX(0.1,N(Parameter!$M$21)))</f>
        <v>0.1875</v>
      </c>
      <c r="BC435" s="50" t="n">
        <f aca="false">BB435*CB435</f>
        <v>44.0625</v>
      </c>
      <c r="BD435" s="51" t="n">
        <f aca="false">IF(LEFT(Cockpit!$O$5,1)="A",H435,IF(CH435=1,(CK435+CI435)/2,IF(LEFT(Cockpit!$O$5,1)="B",(CK435+BF435)/2,MAX((CK435+BF435)/2,H435))))</f>
        <v>50</v>
      </c>
      <c r="BE435" s="50" t="n">
        <f aca="false">BD435*G435</f>
        <v>98</v>
      </c>
      <c r="BF435" s="50" t="n">
        <f aca="false">ROUNDUP(CK435+MAX(CL435,2*(J435/IF(CG435&gt;0,CG435,MAX(0.1,N(Cockpit!$O$6)))-CK435)),0)</f>
        <v>100</v>
      </c>
      <c r="BG435" s="51" t="n">
        <f aca="false">IF(BC435&gt;0,J435/BC435,-1)</f>
        <v>1.36170212765957</v>
      </c>
      <c r="BH435" s="51" t="str">
        <f aca="false">IF(AND(OR(CF435="L1",CF435="L23",CF435="LIFT"),BC435&gt;0),SUMIFS($BC$7:$BC$1843,$CF$7:$CF$1843,CF435,$BG$7:$BG$1843,"&gt;"&amp;BG435)+SUMIFS($BC$7:$BC$1843,$CF$7:$CF$1843,CF435,$BG$7:$BG$1843,BG435,$BW$7:$BW$1843,"&lt;="&amp;BW435),"")</f>
        <v/>
      </c>
      <c r="BI435" s="58" t="n">
        <f aca="false">IF(BH435="",0,MAX(0,MIN(1,(IF(CF435="L1",Parameter!$H$5,IF(CF435="L23",Parameter!$H$6+Parameter!$H$7,Parameter!$H$5+Parameter!$H$6+Parameter!$H$7))-(BH435-BC435))/BC435)))</f>
        <v>0</v>
      </c>
      <c r="BJ435" s="48" t="str">
        <f aca="false">IF(AI435&lt;=0,"",IF(CF435="Aussen","Aussenlager",IF(CF435="-","Nicht im Lift",IF(AO435&gt;=1,"Lift",IF(AO435&lt;=0,"Aussenlager","teilweise")))))</f>
        <v>Nicht im Lift</v>
      </c>
      <c r="BK435" s="48" t="str">
        <f aca="false">IF(AS435&lt;=0,"",IF(CF435="Aussen","Aussenlager",IF(CF435="-","Nicht im Lift",IF(AY435&gt;=1,"Lift",IF(AY435&lt;=0,"Aussenlager","teilweise")))))</f>
        <v>Nicht im Lift</v>
      </c>
      <c r="BL435" s="48" t="str">
        <f aca="false">IF(BC435&lt;=0,"",IF(CF435="Aussen","Aussenlager",IF(CF435="-","Nicht im Lift",IF(BI435&gt;=1,"Lift",IF(BI435&lt;=0,"Aussenlager","teilweise")))))</f>
        <v>Nicht im Lift</v>
      </c>
      <c r="BM435" s="48" t="str">
        <f aca="false">IF(A435="","",IF(BV435=1,"Neu; ","")&amp;IF(AND(BV435=0,BQ435&lt;0),"negativer Bestand (Export "&amp;BQ435&amp;"); ","")&amp;IF(J435&lt;=0,"Kein Verbrauch; ","")&amp;IF(CQ435&gt;0,"Lift "&amp;W435&amp;" lt. Liftbericht (Fach "&amp;X435&amp;" Stk); ",IF(CA435=1,"Gebinde geschätzt ("&amp;T435&amp;"); ",IF(BZ435=1,"Lose – Tablare geschätzt; ","")))&amp;IF(H435&gt;AV435,"Überbestand "&amp;ROUND(H435-AV435,0)&amp;" Stk / CHF "&amp;ROUND((H435-AV435)*G435,0)&amp;"; ","")&amp;IF(AND(CH435=1,CI435&lt;CJ435),"MAX &lt; MB+LG; ","")&amp;IF(AND(CP435&gt;0,CO435*10&gt;CP435),"zu hoch für Tablar; ","")&amp;IF(AND(BV435=0,OR(CH435=1,AA435&lt;&gt;"",U435&lt;&gt;"",V435&lt;&gt;"",AB435&lt;&gt;"")),"manuell übersteuert; ","")&amp;IF(AND(BZ435=0,R435=0),"Gebinde unbekannt / Stellmass fehlt; ","")&amp;IF(AND(BZ435=0,N(V435)&lt;=0,N(Q435)&lt;=0),"Menge pro Gebinde fehlt (Ist = 1 Gebinde); ","")&amp;BU435)</f>
        <v>Lose – Tablare geschätzt; </v>
      </c>
      <c r="BN435" s="48"/>
      <c r="BO435" s="48"/>
      <c r="BP435" s="55"/>
      <c r="BQ435" s="50" t="n">
        <v>40</v>
      </c>
      <c r="BR435" s="50" t="n">
        <v>0</v>
      </c>
      <c r="BS435" s="49" t="n">
        <v>78.4</v>
      </c>
      <c r="BT435" s="50" t="n">
        <v>60</v>
      </c>
      <c r="BU435" s="48"/>
      <c r="BV435" s="53" t="n">
        <v>0</v>
      </c>
      <c r="BW435" s="53" t="n">
        <v>435</v>
      </c>
      <c r="BX435" s="48" t="str">
        <f aca="false">IF(U435&lt;&gt;"",UPPER(TRIM(U435)),IF(CA435=1,UPPER(VLOOKUP(T435,Parameter!$I$27:$K$29,2,0)),IF(P435="","LOSE",P435)))</f>
        <v>LOSE</v>
      </c>
      <c r="BY435" s="50" t="n">
        <f aca="false">IF(BX435="LOSE",1,IF(N(V435)&gt;0,V435,IF(CA435=1,MAX(1,N(VLOOKUP(T435,Parameter!$I$27:$K$29,3,0)),H435,N(N435)),IF(N(Q435)&gt;0,Q435,MAX(1,H435)))))</f>
        <v>1</v>
      </c>
      <c r="BZ435" s="53" t="n">
        <f aca="false">IF(BX435="LOSE",1,0)</f>
        <v>1</v>
      </c>
      <c r="CA435" s="53" t="n">
        <f aca="false">IF(AND(U435="",OR(P435="",P435="LOSE"),T435&lt;&gt;"",N(S435)&lt;=0,ISNUMBER(MATCH(T435,Parameter!$I$27:$I$29,0))),1,0)</f>
        <v>0</v>
      </c>
      <c r="CB435" s="53" t="n">
        <f aca="false">IF(CQ435&gt;0,INDEX(Parameter!$H$5:$H$7,W435)/INDEX(Parameter!$E$5:$E$7,W435),IF(AND(BZ435=0,N(IFERROR(VLOOKUP(BX435,'Gebinde-Kategorie'!$A$5:$N$45,14,0),0))&gt;0),VLOOKUP(BX435,'Gebinde-Kategorie'!$A$5:$N$45,14,0)*10+Parameter!$M$23,Parameter!$M$24))</f>
        <v>235</v>
      </c>
      <c r="CC435" s="48" t="str">
        <f aca="false">IF(AND(Parameter!$B$19="Ja",E435&lt;&gt;"",ISNUMBER(MATCH(E435,Parameter!$I$35:$I$52,0))),VLOOKUP(E435,Parameter!$I$35:$J$52,2,0),IFERROR(VLOOKUP(D435,Parameter!$A$35:$C$64,2,0),"Nein"))</f>
        <v>Nein</v>
      </c>
      <c r="CD435" s="52" t="n">
        <f aca="false">IF(BZ435=0,0,IF(N(S435)&gt;0,S435,IFERROR(VLOOKUP(D435,Parameter!$A$35:$C$64,3,0)+0,0)))</f>
        <v>0.15</v>
      </c>
      <c r="CE435" s="48" t="str">
        <f aca="false">IF(AA435&lt;&gt;"",AA435,Z435)</f>
        <v>-</v>
      </c>
      <c r="CF435" s="48" t="str">
        <f aca="false">IF(OR(CE435=1,CE435=2,CE435=3),IF(Parameter!$E$27="Ja","LIFT",IF(CE435=1,"L1","L23")),IF(CE435="Aussen","Aussen","-"))</f>
        <v>-</v>
      </c>
      <c r="CG435" s="59" t="n">
        <f aca="false">IF(N(AB435)&gt;0,AB435,0)</f>
        <v>0</v>
      </c>
      <c r="CH435" s="53" t="n">
        <f aca="false">IF(ISNUMBER(AE435),1,0)</f>
        <v>0</v>
      </c>
      <c r="CI435" s="50" t="n">
        <f aca="false">N(AE435)</f>
        <v>0</v>
      </c>
      <c r="CJ435" s="50" t="n">
        <f aca="false">N(M435)+N(N435)</f>
        <v>100</v>
      </c>
      <c r="CK435" s="50" t="n">
        <f aca="false">N(M435)</f>
        <v>0</v>
      </c>
      <c r="CL435" s="50" t="n">
        <f aca="false">N(N435)</f>
        <v>100</v>
      </c>
      <c r="CM435" s="50" t="n">
        <f aca="false">ROUNDUP(H435/BY435,0)</f>
        <v>40</v>
      </c>
      <c r="CN435" s="50" t="n">
        <f aca="false">ROUNDUP(CI435/BY435,0)</f>
        <v>0</v>
      </c>
      <c r="CO435" s="53" t="n">
        <f aca="false">IF(BZ435=1,0,IFERROR(VLOOKUP(BX435,'Gebinde-Kategorie'!$A$5:$N$45,5,0)+0,0))</f>
        <v>0</v>
      </c>
      <c r="CP435" s="53" t="n">
        <f aca="false">IFERROR(IF(OR(CE435=1,CE435=2,CE435=3),N(INDEX(Parameter!$I$5:$I$7,CE435)),0),0)</f>
        <v>0</v>
      </c>
      <c r="CQ435" s="52" t="n">
        <f aca="false">IF(AND(Parameter!$B$21="Ja",ISNUMBER(W435),N(X435)&gt;0),IFERROR(N(INDEX(Parameter!$L$5:$L$7,W435))*INDEX(Parameter!$E$5:$E$7,W435)*X435/SUMIFS($X$7:$X$1843,$W$7:$W$1843,W435),0),0)</f>
        <v>0</v>
      </c>
    </row>
    <row r="436" customFormat="false" ht="15" hidden="false" customHeight="false" outlineLevel="0" collapsed="false">
      <c r="A436" s="48" t="s">
        <v>1005</v>
      </c>
      <c r="B436" s="48" t="s">
        <v>864</v>
      </c>
      <c r="C436" s="48" t="s">
        <v>173</v>
      </c>
      <c r="D436" s="48" t="s">
        <v>193</v>
      </c>
      <c r="E436" s="48" t="s">
        <v>194</v>
      </c>
      <c r="F436" s="48" t="s">
        <v>227</v>
      </c>
      <c r="G436" s="49" t="n">
        <v>0.02</v>
      </c>
      <c r="H436" s="50" t="n">
        <f aca="false">MAX(0,IF(AND(Parameter!$B$21="Ja",ISNUMBER(Y436)),Y436,IF(Parameter!$B$20="Jahresanfang 2025 + Export",BR436+BQ436,BQ436)))</f>
        <v>4000</v>
      </c>
      <c r="I436" s="50" t="n">
        <f aca="false">H436*G436</f>
        <v>80</v>
      </c>
      <c r="J436" s="50" t="n">
        <f aca="false">BT436*Parameter!$B$18</f>
        <v>105</v>
      </c>
      <c r="K436" s="51" t="n">
        <v>52.5</v>
      </c>
      <c r="L436" s="52" t="n">
        <v>2</v>
      </c>
      <c r="M436" s="50" t="n">
        <v>100</v>
      </c>
      <c r="N436" s="50" t="n">
        <v>1000</v>
      </c>
      <c r="O436" s="53" t="n">
        <v>14</v>
      </c>
      <c r="P436" s="48" t="s">
        <v>337</v>
      </c>
      <c r="Q436" s="50" t="n">
        <v>2000</v>
      </c>
      <c r="R436" s="53" t="n">
        <f aca="false">IF(BZ436=1,0,IFERROR(VLOOKUP(BX436,'Gebinde-Kategorie'!$A$5:$N$45,13,0)+0,0))</f>
        <v>52</v>
      </c>
      <c r="S436" s="54"/>
      <c r="T436" s="55"/>
      <c r="U436" s="55"/>
      <c r="V436" s="55"/>
      <c r="W436" s="48"/>
      <c r="X436" s="50"/>
      <c r="Y436" s="50"/>
      <c r="Z436" s="48" t="n">
        <f aca="false">IF(A436="","",IF(AND(Parameter!$B$21="Ja",ISNUMBER(W436)),W436,IF(CC436="2+3",IF(ISNUMBER(SEARCH("grosser Artikel",BU436)),2,IFERROR(VLOOKUP(BX436,Parameter!$F$35:$G$64,2,0),2)),IF(OR(CC436="Nein",CC436=""),"-",CC436))))</f>
        <v>3</v>
      </c>
      <c r="AA436" s="55"/>
      <c r="AB436" s="56"/>
      <c r="AC436" s="50" t="n">
        <f aca="false">AV436</f>
        <v>1100</v>
      </c>
      <c r="AD436" s="50" t="n">
        <f aca="false">MAX(AV436,H436)</f>
        <v>4000</v>
      </c>
      <c r="AE436" s="57"/>
      <c r="AF436" s="50" t="n">
        <f aca="false">IF(LEFT(Cockpit!$C$5,1)="A",H436,IF(Parameter!$E$30="MAX-Bestand",IF(CH436=1,CI436,IF(LEFT(Cockpit!$C$5,1)="B",AL436,MAX(AL436,H436))),ROUNDUP(AJ436,0)))</f>
        <v>4000</v>
      </c>
      <c r="AG436" s="50" t="n">
        <f aca="false">IF(BZ436=1,0,ROUNDUP(AF436/BY436,0))</f>
        <v>2</v>
      </c>
      <c r="AH436" s="52" t="n">
        <f aca="false">IF(CQ436&gt;0,CQ436*MAX(1,AF436/X436),IF(BZ436=1,IF(AF436&lt;=0,0,CD436*MAX(1,IF(H436&gt;0,AF436/H436,1))),IF(R436&gt;0,AG436/R436,0))/MAX(0.1,N(Parameter!$M$21)))</f>
        <v>0.0384615384615385</v>
      </c>
      <c r="AI436" s="50" t="n">
        <f aca="false">AH436*CB436</f>
        <v>5.96153846153846</v>
      </c>
      <c r="AJ436" s="51" t="n">
        <f aca="false">IF(LEFT(Cockpit!$C$5,1)="A",H436,IF(CH436=1,(CK436+CI436)/2,IF(LEFT(Cockpit!$C$5,1)="B",(CK436+AL436)/2,MAX((CK436+AL436)/2,H436))))</f>
        <v>4000</v>
      </c>
      <c r="AK436" s="50" t="n">
        <f aca="false">AJ436*G436</f>
        <v>80</v>
      </c>
      <c r="AL436" s="50" t="n">
        <f aca="false">ROUNDUP(CK436+MAX(CL436,2*(J436/IF(CG436&gt;0,CG436,MAX(0.1,N(Cockpit!$C$6)))-CK436)),0)</f>
        <v>1100</v>
      </c>
      <c r="AM436" s="51" t="n">
        <f aca="false">IF(AI436&gt;0,J436/AI436,-1)</f>
        <v>17.6129032258065</v>
      </c>
      <c r="AN436" s="51" t="n">
        <f aca="false">IF(AND(OR(CF436="L1",CF436="L23",CF436="LIFT"),AI436&gt;0),SUMIFS($AI$7:$AI$1843,$CF$7:$CF$1843,CF436,$AM$7:$AM$1843,"&gt;"&amp;AM436)+SUMIFS($AI$7:$AI$1843,$CF$7:$CF$1843,CF436,$AM$7:$AM$1843,AM436,$BW$7:$BW$1843,"&lt;="&amp;BW436),"")</f>
        <v>1949.52518315018</v>
      </c>
      <c r="AO436" s="58" t="n">
        <f aca="false">IF(AN436="",0,MAX(0,MIN(1,(IF(CF436="L1",Parameter!$H$5,IF(CF436="L23",Parameter!$H$6+Parameter!$H$7,Parameter!$H$5+Parameter!$H$6+Parameter!$H$7))-(AN436-AI436))/AI436)))</f>
        <v>1</v>
      </c>
      <c r="AP436" s="50" t="n">
        <f aca="false">IF(LEFT(Cockpit!$I$5,1)="A",H436,IF(Parameter!$E$30="MAX-Bestand",IF(CH436=1,CI436,IF(LEFT(Cockpit!$I$5,1)="B",AV436,MAX(AV436,H436))),ROUNDUP(AT436,0)))</f>
        <v>4000</v>
      </c>
      <c r="AQ436" s="50" t="n">
        <f aca="false">IF(BZ436=1,0,ROUNDUP(AP436/BY436,0))</f>
        <v>2</v>
      </c>
      <c r="AR436" s="52" t="n">
        <f aca="false">IF(CQ436&gt;0,CQ436*MAX(1,AP436/X436),IF(BZ436=1,IF(AP436&lt;=0,0,CD436*MAX(1,IF(H436&gt;0,AP436/H436,1))),IF(R436&gt;0,AQ436/R436,0))/MAX(0.1,N(Parameter!$M$21)))</f>
        <v>0.0384615384615385</v>
      </c>
      <c r="AS436" s="50" t="n">
        <f aca="false">AR436*CB436</f>
        <v>5.96153846153846</v>
      </c>
      <c r="AT436" s="51" t="n">
        <f aca="false">IF(LEFT(Cockpit!$I$5,1)="A",H436,IF(CH436=1,(CK436+CI436)/2,IF(LEFT(Cockpit!$I$5,1)="B",(CK436+AV436)/2,MAX((CK436+AV436)/2,H436))))</f>
        <v>4000</v>
      </c>
      <c r="AU436" s="50" t="n">
        <f aca="false">AT436*G436</f>
        <v>80</v>
      </c>
      <c r="AV436" s="50" t="n">
        <f aca="false">ROUNDUP(CK436+MAX(CL436,2*(J436/IF(CG436&gt;0,CG436,MAX(0.1,N(Cockpit!$I$6)))-CK436)),0)</f>
        <v>1100</v>
      </c>
      <c r="AW436" s="51" t="n">
        <f aca="false">IF(AS436&gt;0,J436/AS436,-1)</f>
        <v>17.6129032258065</v>
      </c>
      <c r="AX436" s="51" t="n">
        <f aca="false">IF(AND(OR(CF436="L1",CF436="L23",CF436="LIFT"),AS436&gt;0),SUMIFS($AS$7:$AS$1843,$CF$7:$CF$1843,CF436,$AW$7:$AW$1843,"&gt;"&amp;AW436)+SUMIFS($AS$7:$AS$1843,$CF$7:$CF$1843,CF436,$AW$7:$AW$1843,AW436,$BW$7:$BW$1843,"&lt;="&amp;BW436),"")</f>
        <v>2586.64606227106</v>
      </c>
      <c r="AY436" s="58" t="n">
        <f aca="false">IF(AX436="",0,MAX(0,MIN(1,(IF(CF436="L1",Parameter!$H$5,IF(CF436="L23",Parameter!$H$6+Parameter!$H$7,Parameter!$H$5+Parameter!$H$6+Parameter!$H$7))-(AX436-AS436))/AS436)))</f>
        <v>1</v>
      </c>
      <c r="AZ436" s="50" t="n">
        <f aca="false">IF(LEFT(Cockpit!$O$5,1)="A",H436,IF(Parameter!$E$30="MAX-Bestand",IF(CH436=1,CI436,IF(LEFT(Cockpit!$O$5,1)="B",BF436,MAX(BF436,H436))),ROUNDUP(BD436,0)))</f>
        <v>600</v>
      </c>
      <c r="BA436" s="50" t="n">
        <f aca="false">IF(BZ436=1,0,ROUNDUP(AZ436/BY436,0))</f>
        <v>1</v>
      </c>
      <c r="BB436" s="52" t="n">
        <f aca="false">IF(CQ436&gt;0,CQ436*MAX(1,AZ436/X436),IF(BZ436=1,IF(AZ436&lt;=0,0,CD436*MAX(1,IF(H436&gt;0,AZ436/H436,1))),IF(R436&gt;0,BA436/R436,0))/MAX(0.1,N(Parameter!$M$21)))</f>
        <v>0.0192307692307692</v>
      </c>
      <c r="BC436" s="50" t="n">
        <f aca="false">BB436*CB436</f>
        <v>2.98076923076923</v>
      </c>
      <c r="BD436" s="51" t="n">
        <f aca="false">IF(LEFT(Cockpit!$O$5,1)="A",H436,IF(CH436=1,(CK436+CI436)/2,IF(LEFT(Cockpit!$O$5,1)="B",(CK436+BF436)/2,MAX((CK436+BF436)/2,H436))))</f>
        <v>600</v>
      </c>
      <c r="BE436" s="50" t="n">
        <f aca="false">BD436*G436</f>
        <v>12</v>
      </c>
      <c r="BF436" s="50" t="n">
        <f aca="false">ROUNDUP(CK436+MAX(CL436,2*(J436/IF(CG436&gt;0,CG436,MAX(0.1,N(Cockpit!$O$6)))-CK436)),0)</f>
        <v>1100</v>
      </c>
      <c r="BG436" s="51" t="n">
        <f aca="false">IF(BC436&gt;0,J436/BC436,-1)</f>
        <v>35.2258064516129</v>
      </c>
      <c r="BH436" s="51" t="n">
        <f aca="false">IF(AND(OR(CF436="L1",CF436="L23",CF436="LIFT"),BC436&gt;0),SUMIFS($BC$7:$BC$1843,$CF$7:$CF$1843,CF436,$BG$7:$BG$1843,"&gt;"&amp;BG436)+SUMIFS($BC$7:$BC$1843,$CF$7:$CF$1843,CF436,$BG$7:$BG$1843,BG436,$BW$7:$BW$1843,"&lt;="&amp;BW436),"")</f>
        <v>1535.80128205128</v>
      </c>
      <c r="BI436" s="58" t="n">
        <f aca="false">IF(BH436="",0,MAX(0,MIN(1,(IF(CF436="L1",Parameter!$H$5,IF(CF436="L23",Parameter!$H$6+Parameter!$H$7,Parameter!$H$5+Parameter!$H$6+Parameter!$H$7))-(BH436-BC436))/BC436)))</f>
        <v>1</v>
      </c>
      <c r="BJ436" s="48" t="str">
        <f aca="false">IF(AI436&lt;=0,"",IF(CF436="Aussen","Aussenlager",IF(CF436="-","Nicht im Lift",IF(AO436&gt;=1,"Lift",IF(AO436&lt;=0,"Aussenlager","teilweise")))))</f>
        <v>Lift</v>
      </c>
      <c r="BK436" s="48" t="str">
        <f aca="false">IF(AS436&lt;=0,"",IF(CF436="Aussen","Aussenlager",IF(CF436="-","Nicht im Lift",IF(AY436&gt;=1,"Lift",IF(AY436&lt;=0,"Aussenlager","teilweise")))))</f>
        <v>Lift</v>
      </c>
      <c r="BL436" s="48" t="str">
        <f aca="false">IF(BC436&lt;=0,"",IF(CF436="Aussen","Aussenlager",IF(CF436="-","Nicht im Lift",IF(BI436&gt;=1,"Lift",IF(BI436&lt;=0,"Aussenlager","teilweise")))))</f>
        <v>Lift</v>
      </c>
      <c r="BM436" s="48" t="str">
        <f aca="false">IF(A436="","",IF(BV436=1,"Neu; ","")&amp;IF(AND(BV436=0,BQ436&lt;0),"negativer Bestand (Export "&amp;BQ436&amp;"); ","")&amp;IF(J436&lt;=0,"Kein Verbrauch; ","")&amp;IF(CQ436&gt;0,"Lift "&amp;W436&amp;" lt. Liftbericht (Fach "&amp;X436&amp;" Stk); ",IF(CA436=1,"Gebinde geschätzt ("&amp;T436&amp;"); ",IF(BZ436=1,"Lose – Tablare geschätzt; ","")))&amp;IF(H436&gt;AV436,"Überbestand "&amp;ROUND(H436-AV436,0)&amp;" Stk / CHF "&amp;ROUND((H436-AV436)*G436,0)&amp;"; ","")&amp;IF(AND(CH436=1,CI436&lt;CJ436),"MAX &lt; MB+LG; ","")&amp;IF(AND(CP436&gt;0,CO436*10&gt;CP436),"zu hoch für Tablar; ","")&amp;IF(AND(BV436=0,OR(CH436=1,AA436&lt;&gt;"",U436&lt;&gt;"",V436&lt;&gt;"",AB436&lt;&gt;"")),"manuell übersteuert; ","")&amp;IF(AND(BZ436=0,R436=0),"Gebinde unbekannt / Stellmass fehlt; ","")&amp;IF(AND(BZ436=0,N(V436)&lt;=0,N(Q436)&lt;=0),"Menge pro Gebinde fehlt (Ist = 1 Gebinde); ","")&amp;BU436)</f>
        <v>Überbestand 2900 Stk / CHF 58; </v>
      </c>
      <c r="BN436" s="48"/>
      <c r="BO436" s="48"/>
      <c r="BP436" s="55"/>
      <c r="BQ436" s="50" t="n">
        <v>3895</v>
      </c>
      <c r="BR436" s="50" t="n">
        <v>105</v>
      </c>
      <c r="BS436" s="49" t="n">
        <v>77.9</v>
      </c>
      <c r="BT436" s="50" t="n">
        <v>105</v>
      </c>
      <c r="BU436" s="48"/>
      <c r="BV436" s="53" t="n">
        <v>0</v>
      </c>
      <c r="BW436" s="53" t="n">
        <v>436</v>
      </c>
      <c r="BX436" s="48" t="str">
        <f aca="false">IF(U436&lt;&gt;"",UPPER(TRIM(U436)),IF(CA436=1,UPPER(VLOOKUP(T436,Parameter!$I$27:$K$29,2,0)),IF(P436="","LOSE",P436)))</f>
        <v>S41</v>
      </c>
      <c r="BY436" s="50" t="n">
        <f aca="false">IF(BX436="LOSE",1,IF(N(V436)&gt;0,V436,IF(CA436=1,MAX(1,N(VLOOKUP(T436,Parameter!$I$27:$K$29,3,0)),H436,N(N436)),IF(N(Q436)&gt;0,Q436,MAX(1,H436)))))</f>
        <v>2000</v>
      </c>
      <c r="BZ436" s="53" t="n">
        <f aca="false">IF(BX436="LOSE",1,0)</f>
        <v>0</v>
      </c>
      <c r="CA436" s="53" t="n">
        <f aca="false">IF(AND(U436="",OR(P436="",P436="LOSE"),T436&lt;&gt;"",N(S436)&lt;=0,ISNUMBER(MATCH(T436,Parameter!$I$27:$I$29,0))),1,0)</f>
        <v>0</v>
      </c>
      <c r="CB436" s="53" t="n">
        <f aca="false">IF(CQ436&gt;0,INDEX(Parameter!$H$5:$H$7,W436)/INDEX(Parameter!$E$5:$E$7,W436),IF(AND(BZ436=0,N(IFERROR(VLOOKUP(BX436,'Gebinde-Kategorie'!$A$5:$N$45,14,0),0))&gt;0),VLOOKUP(BX436,'Gebinde-Kategorie'!$A$5:$N$45,14,0)*10+Parameter!$M$23,Parameter!$M$24))</f>
        <v>155</v>
      </c>
      <c r="CC436" s="48" t="str">
        <f aca="false">IF(AND(Parameter!$B$19="Ja",E436&lt;&gt;"",ISNUMBER(MATCH(E436,Parameter!$I$35:$I$52,0))),VLOOKUP(E436,Parameter!$I$35:$J$52,2,0),IFERROR(VLOOKUP(D436,Parameter!$A$35:$C$64,2,0),"Nein"))</f>
        <v>2+3</v>
      </c>
      <c r="CD436" s="52" t="n">
        <f aca="false">IF(BZ436=0,0,IF(N(S436)&gt;0,S436,IFERROR(VLOOKUP(D436,Parameter!$A$35:$C$64,3,0)+0,0)))</f>
        <v>0</v>
      </c>
      <c r="CE436" s="48" t="n">
        <f aca="false">IF(AA436&lt;&gt;"",AA436,Z436)</f>
        <v>3</v>
      </c>
      <c r="CF436" s="48" t="str">
        <f aca="false">IF(OR(CE436=1,CE436=2,CE436=3),IF(Parameter!$E$27="Ja","LIFT",IF(CE436=1,"L1","L23")),IF(CE436="Aussen","Aussen","-"))</f>
        <v>LIFT</v>
      </c>
      <c r="CG436" s="59" t="n">
        <f aca="false">IF(N(AB436)&gt;0,AB436,0)</f>
        <v>0</v>
      </c>
      <c r="CH436" s="53" t="n">
        <f aca="false">IF(ISNUMBER(AE436),1,0)</f>
        <v>0</v>
      </c>
      <c r="CI436" s="50" t="n">
        <f aca="false">N(AE436)</f>
        <v>0</v>
      </c>
      <c r="CJ436" s="50" t="n">
        <f aca="false">N(M436)+N(N436)</f>
        <v>1100</v>
      </c>
      <c r="CK436" s="50" t="n">
        <f aca="false">N(M436)</f>
        <v>100</v>
      </c>
      <c r="CL436" s="50" t="n">
        <f aca="false">N(N436)</f>
        <v>1000</v>
      </c>
      <c r="CM436" s="50" t="n">
        <f aca="false">ROUNDUP(H436/BY436,0)</f>
        <v>2</v>
      </c>
      <c r="CN436" s="50" t="n">
        <f aca="false">ROUNDUP(CI436/BY436,0)</f>
        <v>0</v>
      </c>
      <c r="CO436" s="53" t="n">
        <f aca="false">IF(BZ436=1,0,IFERROR(VLOOKUP(BX436,'Gebinde-Kategorie'!$A$5:$N$45,5,0)+0,0))</f>
        <v>11</v>
      </c>
      <c r="CP436" s="53" t="n">
        <f aca="false">IFERROR(IF(OR(CE436=1,CE436=2,CE436=3),N(INDEX(Parameter!$I$5:$I$7,CE436)),0),0)</f>
        <v>0</v>
      </c>
      <c r="CQ436" s="52" t="n">
        <f aca="false">IF(AND(Parameter!$B$21="Ja",ISNUMBER(W436),N(X436)&gt;0),IFERROR(N(INDEX(Parameter!$L$5:$L$7,W436))*INDEX(Parameter!$E$5:$E$7,W436)*X436/SUMIFS($X$7:$X$1843,$W$7:$W$1843,W436),0),0)</f>
        <v>0</v>
      </c>
    </row>
    <row r="437" customFormat="false" ht="15" hidden="false" customHeight="false" outlineLevel="0" collapsed="false">
      <c r="A437" s="48" t="s">
        <v>1006</v>
      </c>
      <c r="B437" s="48" t="s">
        <v>1007</v>
      </c>
      <c r="C437" s="48" t="s">
        <v>173</v>
      </c>
      <c r="D437" s="48" t="s">
        <v>193</v>
      </c>
      <c r="E437" s="48" t="s">
        <v>194</v>
      </c>
      <c r="F437" s="48" t="s">
        <v>227</v>
      </c>
      <c r="G437" s="49" t="n">
        <v>13.18</v>
      </c>
      <c r="H437" s="50" t="n">
        <f aca="false">MAX(0,IF(AND(Parameter!$B$21="Ja",ISNUMBER(Y437)),Y437,IF(Parameter!$B$20="Jahresanfang 2025 + Export",BR437+BQ437,BQ437)))</f>
        <v>25</v>
      </c>
      <c r="I437" s="50" t="n">
        <f aca="false">H437*G437</f>
        <v>329.5</v>
      </c>
      <c r="J437" s="50" t="n">
        <f aca="false">BT437*Parameter!$B$18</f>
        <v>30</v>
      </c>
      <c r="K437" s="51" t="n">
        <v>27</v>
      </c>
      <c r="L437" s="52" t="n">
        <v>1.11111111111111</v>
      </c>
      <c r="M437" s="50" t="n">
        <v>2</v>
      </c>
      <c r="N437" s="50" t="n">
        <v>30</v>
      </c>
      <c r="O437" s="53" t="n">
        <v>35</v>
      </c>
      <c r="P437" s="48" t="s">
        <v>195</v>
      </c>
      <c r="Q437" s="50" t="n">
        <v>25</v>
      </c>
      <c r="R437" s="53" t="n">
        <f aca="false">IF(BZ437=1,0,IFERROR(VLOOKUP(BX437,'Gebinde-Kategorie'!$A$5:$N$45,13,0)+0,0))</f>
        <v>12</v>
      </c>
      <c r="S437" s="54"/>
      <c r="T437" s="55"/>
      <c r="U437" s="55"/>
      <c r="V437" s="55"/>
      <c r="W437" s="48"/>
      <c r="X437" s="50"/>
      <c r="Y437" s="50"/>
      <c r="Z437" s="48" t="n">
        <f aca="false">IF(A437="","",IF(AND(Parameter!$B$21="Ja",ISNUMBER(W437)),W437,IF(CC437="2+3",IF(ISNUMBER(SEARCH("grosser Artikel",BU437)),2,IFERROR(VLOOKUP(BX437,Parameter!$F$35:$G$64,2,0),2)),IF(OR(CC437="Nein",CC437=""),"-",CC437))))</f>
        <v>2</v>
      </c>
      <c r="AA437" s="55"/>
      <c r="AB437" s="56"/>
      <c r="AC437" s="50" t="n">
        <f aca="false">AV437</f>
        <v>32</v>
      </c>
      <c r="AD437" s="50" t="n">
        <f aca="false">MAX(AV437,H437)</f>
        <v>32</v>
      </c>
      <c r="AE437" s="57"/>
      <c r="AF437" s="50" t="n">
        <f aca="false">IF(LEFT(Cockpit!$C$5,1)="A",H437,IF(Parameter!$E$30="MAX-Bestand",IF(CH437=1,CI437,IF(LEFT(Cockpit!$C$5,1)="B",AL437,MAX(AL437,H437))),ROUNDUP(AJ437,0)))</f>
        <v>25</v>
      </c>
      <c r="AG437" s="50" t="n">
        <f aca="false">IF(BZ437=1,0,ROUNDUP(AF437/BY437,0))</f>
        <v>1</v>
      </c>
      <c r="AH437" s="52" t="n">
        <f aca="false">IF(CQ437&gt;0,CQ437*MAX(1,AF437/X437),IF(BZ437=1,IF(AF437&lt;=0,0,CD437*MAX(1,IF(H437&gt;0,AF437/H437,1))),IF(R437&gt;0,AG437/R437,0))/MAX(0.1,N(Parameter!$M$21)))</f>
        <v>0.0833333333333333</v>
      </c>
      <c r="AI437" s="50" t="n">
        <f aca="false">AH437*CB437</f>
        <v>12.0833333333333</v>
      </c>
      <c r="AJ437" s="51" t="n">
        <f aca="false">IF(LEFT(Cockpit!$C$5,1)="A",H437,IF(CH437=1,(CK437+CI437)/2,IF(LEFT(Cockpit!$C$5,1)="B",(CK437+AL437)/2,MAX((CK437+AL437)/2,H437))))</f>
        <v>25</v>
      </c>
      <c r="AK437" s="50" t="n">
        <f aca="false">AJ437*G437</f>
        <v>329.5</v>
      </c>
      <c r="AL437" s="50" t="n">
        <f aca="false">ROUNDUP(CK437+MAX(CL437,2*(J437/IF(CG437&gt;0,CG437,MAX(0.1,N(Cockpit!$C$6)))-CK437)),0)</f>
        <v>32</v>
      </c>
      <c r="AM437" s="51" t="n">
        <f aca="false">IF(AI437&gt;0,J437/AI437,-1)</f>
        <v>2.48275862068966</v>
      </c>
      <c r="AN437" s="51" t="n">
        <f aca="false">IF(AND(OR(CF437="L1",CF437="L23",CF437="LIFT"),AI437&gt;0),SUMIFS($AI$7:$AI$1843,$CF$7:$CF$1843,CF437,$AM$7:$AM$1843,"&gt;"&amp;AM437)+SUMIFS($AI$7:$AI$1843,$CF$7:$CF$1843,CF437,$AM$7:$AM$1843,AM437,$BW$7:$BW$1843,"&lt;="&amp;BW437),"")</f>
        <v>5452.41620879121</v>
      </c>
      <c r="AO437" s="58" t="n">
        <f aca="false">IF(AN437="",0,MAX(0,MIN(1,(IF(CF437="L1",Parameter!$H$5,IF(CF437="L23",Parameter!$H$6+Parameter!$H$7,Parameter!$H$5+Parameter!$H$6+Parameter!$H$7))-(AN437-AI437))/AI437)))</f>
        <v>1</v>
      </c>
      <c r="AP437" s="50" t="n">
        <f aca="false">IF(LEFT(Cockpit!$I$5,1)="A",H437,IF(Parameter!$E$30="MAX-Bestand",IF(CH437=1,CI437,IF(LEFT(Cockpit!$I$5,1)="B",AV437,MAX(AV437,H437))),ROUNDUP(AT437,0)))</f>
        <v>25</v>
      </c>
      <c r="AQ437" s="50" t="n">
        <f aca="false">IF(BZ437=1,0,ROUNDUP(AP437/BY437,0))</f>
        <v>1</v>
      </c>
      <c r="AR437" s="52" t="n">
        <f aca="false">IF(CQ437&gt;0,CQ437*MAX(1,AP437/X437),IF(BZ437=1,IF(AP437&lt;=0,0,CD437*MAX(1,IF(H437&gt;0,AP437/H437,1))),IF(R437&gt;0,AQ437/R437,0))/MAX(0.1,N(Parameter!$M$21)))</f>
        <v>0.0833333333333333</v>
      </c>
      <c r="AS437" s="50" t="n">
        <f aca="false">AR437*CB437</f>
        <v>12.0833333333333</v>
      </c>
      <c r="AT437" s="51" t="n">
        <f aca="false">IF(LEFT(Cockpit!$I$5,1)="A",H437,IF(CH437=1,(CK437+CI437)/2,IF(LEFT(Cockpit!$I$5,1)="B",(CK437+AV437)/2,MAX((CK437+AV437)/2,H437))))</f>
        <v>25</v>
      </c>
      <c r="AU437" s="50" t="n">
        <f aca="false">AT437*G437</f>
        <v>329.5</v>
      </c>
      <c r="AV437" s="50" t="n">
        <f aca="false">ROUNDUP(CK437+MAX(CL437,2*(J437/IF(CG437&gt;0,CG437,MAX(0.1,N(Cockpit!$I$6)))-CK437)),0)</f>
        <v>32</v>
      </c>
      <c r="AW437" s="51" t="n">
        <f aca="false">IF(AS437&gt;0,J437/AS437,-1)</f>
        <v>2.48275862068966</v>
      </c>
      <c r="AX437" s="51" t="n">
        <f aca="false">IF(AND(OR(CF437="L1",CF437="L23",CF437="LIFT"),AS437&gt;0),SUMIFS($AS$7:$AS$1843,$CF$7:$CF$1843,CF437,$AW$7:$AW$1843,"&gt;"&amp;AW437)+SUMIFS($AS$7:$AS$1843,$CF$7:$CF$1843,CF437,$AW$7:$AW$1843,AW437,$BW$7:$BW$1843,"&lt;="&amp;BW437),"")</f>
        <v>6225.64423076923</v>
      </c>
      <c r="AY437" s="58" t="n">
        <f aca="false">IF(AX437="",0,MAX(0,MIN(1,(IF(CF437="L1",Parameter!$H$5,IF(CF437="L23",Parameter!$H$6+Parameter!$H$7,Parameter!$H$5+Parameter!$H$6+Parameter!$H$7))-(AX437-AS437))/AS437)))</f>
        <v>1</v>
      </c>
      <c r="AZ437" s="50" t="n">
        <f aca="false">IF(LEFT(Cockpit!$O$5,1)="A",H437,IF(Parameter!$E$30="MAX-Bestand",IF(CH437=1,CI437,IF(LEFT(Cockpit!$O$5,1)="B",BF437,MAX(BF437,H437))),ROUNDUP(BD437,0)))</f>
        <v>17</v>
      </c>
      <c r="BA437" s="50" t="n">
        <f aca="false">IF(BZ437=1,0,ROUNDUP(AZ437/BY437,0))</f>
        <v>1</v>
      </c>
      <c r="BB437" s="52" t="n">
        <f aca="false">IF(CQ437&gt;0,CQ437*MAX(1,AZ437/X437),IF(BZ437=1,IF(AZ437&lt;=0,0,CD437*MAX(1,IF(H437&gt;0,AZ437/H437,1))),IF(R437&gt;0,BA437/R437,0))/MAX(0.1,N(Parameter!$M$21)))</f>
        <v>0.0833333333333333</v>
      </c>
      <c r="BC437" s="50" t="n">
        <f aca="false">BB437*CB437</f>
        <v>12.0833333333333</v>
      </c>
      <c r="BD437" s="51" t="n">
        <f aca="false">IF(LEFT(Cockpit!$O$5,1)="A",H437,IF(CH437=1,(CK437+CI437)/2,IF(LEFT(Cockpit!$O$5,1)="B",(CK437+BF437)/2,MAX((CK437+BF437)/2,H437))))</f>
        <v>17</v>
      </c>
      <c r="BE437" s="50" t="n">
        <f aca="false">BD437*G437</f>
        <v>224.06</v>
      </c>
      <c r="BF437" s="50" t="n">
        <f aca="false">ROUNDUP(CK437+MAX(CL437,2*(J437/IF(CG437&gt;0,CG437,MAX(0.1,N(Cockpit!$O$6)))-CK437)),0)</f>
        <v>32</v>
      </c>
      <c r="BG437" s="51" t="n">
        <f aca="false">IF(BC437&gt;0,J437/BC437,-1)</f>
        <v>2.48275862068966</v>
      </c>
      <c r="BH437" s="51" t="n">
        <f aca="false">IF(AND(OR(CF437="L1",CF437="L23",CF437="LIFT"),BC437&gt;0),SUMIFS($BC$7:$BC$1843,$CF$7:$CF$1843,CF437,$BG$7:$BG$1843,"&gt;"&amp;BG437)+SUMIFS($BC$7:$BC$1843,$CF$7:$CF$1843,CF437,$BG$7:$BG$1843,BG437,$BW$7:$BW$1843,"&lt;="&amp;BW437),"")</f>
        <v>5382.83333333333</v>
      </c>
      <c r="BI437" s="58" t="n">
        <f aca="false">IF(BH437="",0,MAX(0,MIN(1,(IF(CF437="L1",Parameter!$H$5,IF(CF437="L23",Parameter!$H$6+Parameter!$H$7,Parameter!$H$5+Parameter!$H$6+Parameter!$H$7))-(BH437-BC437))/BC437)))</f>
        <v>1</v>
      </c>
      <c r="BJ437" s="48" t="str">
        <f aca="false">IF(AI437&lt;=0,"",IF(CF437="Aussen","Aussenlager",IF(CF437="-","Nicht im Lift",IF(AO437&gt;=1,"Lift",IF(AO437&lt;=0,"Aussenlager","teilweise")))))</f>
        <v>Lift</v>
      </c>
      <c r="BK437" s="48" t="str">
        <f aca="false">IF(AS437&lt;=0,"",IF(CF437="Aussen","Aussenlager",IF(CF437="-","Nicht im Lift",IF(AY437&gt;=1,"Lift",IF(AY437&lt;=0,"Aussenlager","teilweise")))))</f>
        <v>Lift</v>
      </c>
      <c r="BL437" s="48" t="str">
        <f aca="false">IF(BC437&lt;=0,"",IF(CF437="Aussen","Aussenlager",IF(CF437="-","Nicht im Lift",IF(BI437&gt;=1,"Lift",IF(BI437&lt;=0,"Aussenlager","teilweise")))))</f>
        <v>Lift</v>
      </c>
      <c r="BM437" s="48" t="str">
        <f aca="false">IF(A437="","",IF(BV437=1,"Neu; ","")&amp;IF(AND(BV437=0,BQ437&lt;0),"negativer Bestand (Export "&amp;BQ437&amp;"); ","")&amp;IF(J437&lt;=0,"Kein Verbrauch; ","")&amp;IF(CQ437&gt;0,"Lift "&amp;W437&amp;" lt. Liftbericht (Fach "&amp;X437&amp;" Stk); ",IF(CA437=1,"Gebinde geschätzt ("&amp;T437&amp;"); ",IF(BZ437=1,"Lose – Tablare geschätzt; ","")))&amp;IF(H437&gt;AV437,"Überbestand "&amp;ROUND(H437-AV437,0)&amp;" Stk / CHF "&amp;ROUND((H437-AV437)*G437,0)&amp;"; ","")&amp;IF(AND(CH437=1,CI437&lt;CJ437),"MAX &lt; MB+LG; ","")&amp;IF(AND(CP437&gt;0,CO437*10&gt;CP437),"zu hoch für Tablar; ","")&amp;IF(AND(BV437=0,OR(CH437=1,AA437&lt;&gt;"",U437&lt;&gt;"",V437&lt;&gt;"",AB437&lt;&gt;"")),"manuell übersteuert; ","")&amp;IF(AND(BZ437=0,R437=0),"Gebinde unbekannt / Stellmass fehlt; ","")&amp;IF(AND(BZ437=0,N(V437)&lt;=0,N(Q437)&lt;=0),"Menge pro Gebinde fehlt (Ist = 1 Gebinde); ","")&amp;BU437)</f>
        <v/>
      </c>
      <c r="BN437" s="48"/>
      <c r="BO437" s="48"/>
      <c r="BP437" s="55"/>
      <c r="BQ437" s="50" t="n">
        <v>5</v>
      </c>
      <c r="BR437" s="50" t="n">
        <v>20</v>
      </c>
      <c r="BS437" s="49" t="n">
        <v>77.5</v>
      </c>
      <c r="BT437" s="50" t="n">
        <v>30</v>
      </c>
      <c r="BU437" s="48"/>
      <c r="BV437" s="53" t="n">
        <v>0</v>
      </c>
      <c r="BW437" s="53" t="n">
        <v>437</v>
      </c>
      <c r="BX437" s="48" t="str">
        <f aca="false">IF(U437&lt;&gt;"",UPPER(TRIM(U437)),IF(CA437=1,UPPER(VLOOKUP(T437,Parameter!$I$27:$K$29,2,0)),IF(P437="","LOSE",P437)))</f>
        <v>S61</v>
      </c>
      <c r="BY437" s="50" t="n">
        <f aca="false">IF(BX437="LOSE",1,IF(N(V437)&gt;0,V437,IF(CA437=1,MAX(1,N(VLOOKUP(T437,Parameter!$I$27:$K$29,3,0)),H437,N(N437)),IF(N(Q437)&gt;0,Q437,MAX(1,H437)))))</f>
        <v>25</v>
      </c>
      <c r="BZ437" s="53" t="n">
        <f aca="false">IF(BX437="LOSE",1,0)</f>
        <v>0</v>
      </c>
      <c r="CA437" s="53" t="n">
        <f aca="false">IF(AND(U437="",OR(P437="",P437="LOSE"),T437&lt;&gt;"",N(S437)&lt;=0,ISNUMBER(MATCH(T437,Parameter!$I$27:$I$29,0))),1,0)</f>
        <v>0</v>
      </c>
      <c r="CB437" s="53" t="n">
        <f aca="false">IF(CQ437&gt;0,INDEX(Parameter!$H$5:$H$7,W437)/INDEX(Parameter!$E$5:$E$7,W437),IF(AND(BZ437=0,N(IFERROR(VLOOKUP(BX437,'Gebinde-Kategorie'!$A$5:$N$45,14,0),0))&gt;0),VLOOKUP(BX437,'Gebinde-Kategorie'!$A$5:$N$45,14,0)*10+Parameter!$M$23,Parameter!$M$24))</f>
        <v>145</v>
      </c>
      <c r="CC437" s="48" t="str">
        <f aca="false">IF(AND(Parameter!$B$19="Ja",E437&lt;&gt;"",ISNUMBER(MATCH(E437,Parameter!$I$35:$I$52,0))),VLOOKUP(E437,Parameter!$I$35:$J$52,2,0),IFERROR(VLOOKUP(D437,Parameter!$A$35:$C$64,2,0),"Nein"))</f>
        <v>2+3</v>
      </c>
      <c r="CD437" s="52" t="n">
        <f aca="false">IF(BZ437=0,0,IF(N(S437)&gt;0,S437,IFERROR(VLOOKUP(D437,Parameter!$A$35:$C$64,3,0)+0,0)))</f>
        <v>0</v>
      </c>
      <c r="CE437" s="48" t="n">
        <f aca="false">IF(AA437&lt;&gt;"",AA437,Z437)</f>
        <v>2</v>
      </c>
      <c r="CF437" s="48" t="str">
        <f aca="false">IF(OR(CE437=1,CE437=2,CE437=3),IF(Parameter!$E$27="Ja","LIFT",IF(CE437=1,"L1","L23")),IF(CE437="Aussen","Aussen","-"))</f>
        <v>LIFT</v>
      </c>
      <c r="CG437" s="59" t="n">
        <f aca="false">IF(N(AB437)&gt;0,AB437,0)</f>
        <v>0</v>
      </c>
      <c r="CH437" s="53" t="n">
        <f aca="false">IF(ISNUMBER(AE437),1,0)</f>
        <v>0</v>
      </c>
      <c r="CI437" s="50" t="n">
        <f aca="false">N(AE437)</f>
        <v>0</v>
      </c>
      <c r="CJ437" s="50" t="n">
        <f aca="false">N(M437)+N(N437)</f>
        <v>32</v>
      </c>
      <c r="CK437" s="50" t="n">
        <f aca="false">N(M437)</f>
        <v>2</v>
      </c>
      <c r="CL437" s="50" t="n">
        <f aca="false">N(N437)</f>
        <v>30</v>
      </c>
      <c r="CM437" s="50" t="n">
        <f aca="false">ROUNDUP(H437/BY437,0)</f>
        <v>1</v>
      </c>
      <c r="CN437" s="50" t="n">
        <f aca="false">ROUNDUP(CI437/BY437,0)</f>
        <v>0</v>
      </c>
      <c r="CO437" s="53" t="n">
        <f aca="false">IF(BZ437=1,0,IFERROR(VLOOKUP(BX437,'Gebinde-Kategorie'!$A$5:$N$45,5,0)+0,0))</f>
        <v>11</v>
      </c>
      <c r="CP437" s="53" t="n">
        <f aca="false">IFERROR(IF(OR(CE437=1,CE437=2,CE437=3),N(INDEX(Parameter!$I$5:$I$7,CE437)),0),0)</f>
        <v>0</v>
      </c>
      <c r="CQ437" s="52" t="n">
        <f aca="false">IF(AND(Parameter!$B$21="Ja",ISNUMBER(W437),N(X437)&gt;0),IFERROR(N(INDEX(Parameter!$L$5:$L$7,W437))*INDEX(Parameter!$E$5:$E$7,W437)*X437/SUMIFS($X$7:$X$1843,$W$7:$W$1843,W437),0),0)</f>
        <v>0</v>
      </c>
    </row>
    <row r="438" customFormat="false" ht="15" hidden="false" customHeight="false" outlineLevel="0" collapsed="false">
      <c r="A438" s="48" t="s">
        <v>1008</v>
      </c>
      <c r="B438" s="48" t="s">
        <v>1009</v>
      </c>
      <c r="C438" s="48" t="s">
        <v>173</v>
      </c>
      <c r="D438" s="48" t="s">
        <v>193</v>
      </c>
      <c r="E438" s="48" t="s">
        <v>194</v>
      </c>
      <c r="F438" s="48" t="s">
        <v>227</v>
      </c>
      <c r="G438" s="49" t="n">
        <v>19.07</v>
      </c>
      <c r="H438" s="50" t="n">
        <f aca="false">MAX(0,IF(AND(Parameter!$B$21="Ja",ISNUMBER(Y438)),Y438,IF(Parameter!$B$20="Jahresanfang 2025 + Export",BR438+BQ438,BQ438)))</f>
        <v>10</v>
      </c>
      <c r="I438" s="50" t="n">
        <f aca="false">H438*G438</f>
        <v>190.7</v>
      </c>
      <c r="J438" s="50" t="n">
        <f aca="false">BT438*Parameter!$B$18</f>
        <v>0</v>
      </c>
      <c r="K438" s="51" t="n">
        <v>7.5</v>
      </c>
      <c r="L438" s="52" t="n">
        <v>0</v>
      </c>
      <c r="M438" s="50" t="n">
        <v>0</v>
      </c>
      <c r="N438" s="50" t="n">
        <v>1</v>
      </c>
      <c r="O438" s="53" t="n">
        <v>42</v>
      </c>
      <c r="P438" s="48" t="s">
        <v>485</v>
      </c>
      <c r="Q438" s="50" t="n">
        <v>9</v>
      </c>
      <c r="R438" s="53" t="n">
        <f aca="false">IF(BZ438=1,0,IFERROR(VLOOKUP(BX438,'Gebinde-Kategorie'!$A$5:$N$45,13,0)+0,0))</f>
        <v>52</v>
      </c>
      <c r="S438" s="54"/>
      <c r="T438" s="55"/>
      <c r="U438" s="55"/>
      <c r="V438" s="55"/>
      <c r="W438" s="48"/>
      <c r="X438" s="50"/>
      <c r="Y438" s="50"/>
      <c r="Z438" s="48" t="n">
        <f aca="false">IF(A438="","",IF(AND(Parameter!$B$21="Ja",ISNUMBER(W438)),W438,IF(CC438="2+3",IF(ISNUMBER(SEARCH("grosser Artikel",BU438)),2,IFERROR(VLOOKUP(BX438,Parameter!$F$35:$G$64,2,0),2)),IF(OR(CC438="Nein",CC438=""),"-",CC438))))</f>
        <v>3</v>
      </c>
      <c r="AA438" s="55"/>
      <c r="AB438" s="56"/>
      <c r="AC438" s="50" t="n">
        <f aca="false">AV438</f>
        <v>1</v>
      </c>
      <c r="AD438" s="50" t="n">
        <f aca="false">MAX(AV438,H438)</f>
        <v>10</v>
      </c>
      <c r="AE438" s="57"/>
      <c r="AF438" s="50" t="n">
        <f aca="false">IF(LEFT(Cockpit!$C$5,1)="A",H438,IF(Parameter!$E$30="MAX-Bestand",IF(CH438=1,CI438,IF(LEFT(Cockpit!$C$5,1)="B",AL438,MAX(AL438,H438))),ROUNDUP(AJ438,0)))</f>
        <v>10</v>
      </c>
      <c r="AG438" s="50" t="n">
        <f aca="false">IF(BZ438=1,0,ROUNDUP(AF438/BY438,0))</f>
        <v>2</v>
      </c>
      <c r="AH438" s="52" t="n">
        <f aca="false">IF(CQ438&gt;0,CQ438*MAX(1,AF438/X438),IF(BZ438=1,IF(AF438&lt;=0,0,CD438*MAX(1,IF(H438&gt;0,AF438/H438,1))),IF(R438&gt;0,AG438/R438,0))/MAX(0.1,N(Parameter!$M$21)))</f>
        <v>0.0384615384615385</v>
      </c>
      <c r="AI438" s="50" t="n">
        <f aca="false">AH438*CB438</f>
        <v>5.96153846153846</v>
      </c>
      <c r="AJ438" s="51" t="n">
        <f aca="false">IF(LEFT(Cockpit!$C$5,1)="A",H438,IF(CH438=1,(CK438+CI438)/2,IF(LEFT(Cockpit!$C$5,1)="B",(CK438+AL438)/2,MAX((CK438+AL438)/2,H438))))</f>
        <v>10</v>
      </c>
      <c r="AK438" s="50" t="n">
        <f aca="false">AJ438*G438</f>
        <v>190.7</v>
      </c>
      <c r="AL438" s="50" t="n">
        <f aca="false">ROUNDUP(CK438+MAX(CL438,2*(J438/IF(CG438&gt;0,CG438,MAX(0.1,N(Cockpit!$C$6)))-CK438)),0)</f>
        <v>1</v>
      </c>
      <c r="AM438" s="51" t="n">
        <f aca="false">IF(AI438&gt;0,J438/AI438,-1)</f>
        <v>0</v>
      </c>
      <c r="AN438" s="51" t="n">
        <f aca="false">IF(AND(OR(CF438="L1",CF438="L23",CF438="LIFT"),AI438&gt;0),SUMIFS($AI$7:$AI$1843,$CF$7:$CF$1843,CF438,$AM$7:$AM$1843,"&gt;"&amp;AM438)+SUMIFS($AI$7:$AI$1843,$CF$7:$CF$1843,CF438,$AM$7:$AM$1843,AM438,$BW$7:$BW$1843,"&lt;="&amp;BW438),"")</f>
        <v>28127.6764501976</v>
      </c>
      <c r="AO438" s="58" t="n">
        <f aca="false">IF(AN438="",0,MAX(0,MIN(1,(IF(CF438="L1",Parameter!$H$5,IF(CF438="L23",Parameter!$H$6+Parameter!$H$7,Parameter!$H$5+Parameter!$H$6+Parameter!$H$7))-(AN438-AI438))/AI438)))</f>
        <v>1</v>
      </c>
      <c r="AP438" s="50" t="n">
        <f aca="false">IF(LEFT(Cockpit!$I$5,1)="A",H438,IF(Parameter!$E$30="MAX-Bestand",IF(CH438=1,CI438,IF(LEFT(Cockpit!$I$5,1)="B",AV438,MAX(AV438,H438))),ROUNDUP(AT438,0)))</f>
        <v>10</v>
      </c>
      <c r="AQ438" s="50" t="n">
        <f aca="false">IF(BZ438=1,0,ROUNDUP(AP438/BY438,0))</f>
        <v>2</v>
      </c>
      <c r="AR438" s="52" t="n">
        <f aca="false">IF(CQ438&gt;0,CQ438*MAX(1,AP438/X438),IF(BZ438=1,IF(AP438&lt;=0,0,CD438*MAX(1,IF(H438&gt;0,AP438/H438,1))),IF(R438&gt;0,AQ438/R438,0))/MAX(0.1,N(Parameter!$M$21)))</f>
        <v>0.0384615384615385</v>
      </c>
      <c r="AS438" s="50" t="n">
        <f aca="false">AR438*CB438</f>
        <v>5.96153846153846</v>
      </c>
      <c r="AT438" s="51" t="n">
        <f aca="false">IF(LEFT(Cockpit!$I$5,1)="A",H438,IF(CH438=1,(CK438+CI438)/2,IF(LEFT(Cockpit!$I$5,1)="B",(CK438+AV438)/2,MAX((CK438+AV438)/2,H438))))</f>
        <v>10</v>
      </c>
      <c r="AU438" s="50" t="n">
        <f aca="false">AT438*G438</f>
        <v>190.7</v>
      </c>
      <c r="AV438" s="50" t="n">
        <f aca="false">ROUNDUP(CK438+MAX(CL438,2*(J438/IF(CG438&gt;0,CG438,MAX(0.1,N(Cockpit!$I$6)))-CK438)),0)</f>
        <v>1</v>
      </c>
      <c r="AW438" s="51" t="n">
        <f aca="false">IF(AS438&gt;0,J438/AS438,-1)</f>
        <v>0</v>
      </c>
      <c r="AX438" s="51" t="n">
        <f aca="false">IF(AND(OR(CF438="L1",CF438="L23",CF438="LIFT"),AS438&gt;0),SUMIFS($AS$7:$AS$1843,$CF$7:$CF$1843,CF438,$AW$7:$AW$1843,"&gt;"&amp;AW438)+SUMIFS($AS$7:$AS$1843,$CF$7:$CF$1843,CF438,$AW$7:$AW$1843,AW438,$BW$7:$BW$1843,"&lt;="&amp;BW438),"")</f>
        <v>33480.8250915751</v>
      </c>
      <c r="AY438" s="58" t="n">
        <f aca="false">IF(AX438="",0,MAX(0,MIN(1,(IF(CF438="L1",Parameter!$H$5,IF(CF438="L23",Parameter!$H$6+Parameter!$H$7,Parameter!$H$5+Parameter!$H$6+Parameter!$H$7))-(AX438-AS438))/AS438)))</f>
        <v>1</v>
      </c>
      <c r="AZ438" s="50" t="n">
        <f aca="false">IF(LEFT(Cockpit!$O$5,1)="A",H438,IF(Parameter!$E$30="MAX-Bestand",IF(CH438=1,CI438,IF(LEFT(Cockpit!$O$5,1)="B",BF438,MAX(BF438,H438))),ROUNDUP(BD438,0)))</f>
        <v>1</v>
      </c>
      <c r="BA438" s="50" t="n">
        <f aca="false">IF(BZ438=1,0,ROUNDUP(AZ438/BY438,0))</f>
        <v>1</v>
      </c>
      <c r="BB438" s="52" t="n">
        <f aca="false">IF(CQ438&gt;0,CQ438*MAX(1,AZ438/X438),IF(BZ438=1,IF(AZ438&lt;=0,0,CD438*MAX(1,IF(H438&gt;0,AZ438/H438,1))),IF(R438&gt;0,BA438/R438,0))/MAX(0.1,N(Parameter!$M$21)))</f>
        <v>0.0192307692307692</v>
      </c>
      <c r="BC438" s="50" t="n">
        <f aca="false">BB438*CB438</f>
        <v>2.98076923076923</v>
      </c>
      <c r="BD438" s="51" t="n">
        <f aca="false">IF(LEFT(Cockpit!$O$5,1)="A",H438,IF(CH438=1,(CK438+CI438)/2,IF(LEFT(Cockpit!$O$5,1)="B",(CK438+BF438)/2,MAX((CK438+BF438)/2,H438))))</f>
        <v>0.5</v>
      </c>
      <c r="BE438" s="50" t="n">
        <f aca="false">BD438*G438</f>
        <v>9.535</v>
      </c>
      <c r="BF438" s="50" t="n">
        <f aca="false">ROUNDUP(CK438+MAX(CL438,2*(J438/IF(CG438&gt;0,CG438,MAX(0.1,N(Cockpit!$O$6)))-CK438)),0)</f>
        <v>1</v>
      </c>
      <c r="BG438" s="51" t="n">
        <f aca="false">IF(BC438&gt;0,J438/BC438,-1)</f>
        <v>0</v>
      </c>
      <c r="BH438" s="51" t="n">
        <f aca="false">IF(AND(OR(CF438="L1",CF438="L23",CF438="LIFT"),BC438&gt;0),SUMIFS($BC$7:$BC$1843,$CF$7:$CF$1843,CF438,$BG$7:$BG$1843,"&gt;"&amp;BG438)+SUMIFS($BC$7:$BC$1843,$CF$7:$CF$1843,CF438,$BG$7:$BG$1843,BG438,$BW$7:$BW$1843,"&lt;="&amp;BW438),"")</f>
        <v>27590.2741509903</v>
      </c>
      <c r="BI438" s="58" t="n">
        <f aca="false">IF(BH438="",0,MAX(0,MIN(1,(IF(CF438="L1",Parameter!$H$5,IF(CF438="L23",Parameter!$H$6+Parameter!$H$7,Parameter!$H$5+Parameter!$H$6+Parameter!$H$7))-(BH438-BC438))/BC438)))</f>
        <v>1</v>
      </c>
      <c r="BJ438" s="48" t="str">
        <f aca="false">IF(AI438&lt;=0,"",IF(CF438="Aussen","Aussenlager",IF(CF438="-","Nicht im Lift",IF(AO438&gt;=1,"Lift",IF(AO438&lt;=0,"Aussenlager","teilweise")))))</f>
        <v>Lift</v>
      </c>
      <c r="BK438" s="48" t="str">
        <f aca="false">IF(AS438&lt;=0,"",IF(CF438="Aussen","Aussenlager",IF(CF438="-","Nicht im Lift",IF(AY438&gt;=1,"Lift",IF(AY438&lt;=0,"Aussenlager","teilweise")))))</f>
        <v>Lift</v>
      </c>
      <c r="BL438" s="48" t="str">
        <f aca="false">IF(BC438&lt;=0,"",IF(CF438="Aussen","Aussenlager",IF(CF438="-","Nicht im Lift",IF(BI438&gt;=1,"Lift",IF(BI438&lt;=0,"Aussenlager","teilweise")))))</f>
        <v>Lift</v>
      </c>
      <c r="BM438" s="48" t="str">
        <f aca="false">IF(A438="","",IF(BV438=1,"Neu; ","")&amp;IF(AND(BV438=0,BQ438&lt;0),"negativer Bestand (Export "&amp;BQ438&amp;"); ","")&amp;IF(J438&lt;=0,"Kein Verbrauch; ","")&amp;IF(CQ438&gt;0,"Lift "&amp;W438&amp;" lt. Liftbericht (Fach "&amp;X438&amp;" Stk); ",IF(CA438=1,"Gebinde geschätzt ("&amp;T438&amp;"); ",IF(BZ438=1,"Lose – Tablare geschätzt; ","")))&amp;IF(H438&gt;AV438,"Überbestand "&amp;ROUND(H438-AV438,0)&amp;" Stk / CHF "&amp;ROUND((H438-AV438)*G438,0)&amp;"; ","")&amp;IF(AND(CH438=1,CI438&lt;CJ438),"MAX &lt; MB+LG; ","")&amp;IF(AND(CP438&gt;0,CO438*10&gt;CP438),"zu hoch für Tablar; ","")&amp;IF(AND(BV438=0,OR(CH438=1,AA438&lt;&gt;"",U438&lt;&gt;"",V438&lt;&gt;"",AB438&lt;&gt;"")),"manuell übersteuert; ","")&amp;IF(AND(BZ438=0,R438=0),"Gebinde unbekannt / Stellmass fehlt; ","")&amp;IF(AND(BZ438=0,N(V438)&lt;=0,N(Q438)&lt;=0),"Menge pro Gebinde fehlt (Ist = 1 Gebinde); ","")&amp;BU438)</f>
        <v>Kein Verbrauch; Überbestand 9 Stk / CHF 172; </v>
      </c>
      <c r="BN438" s="48"/>
      <c r="BO438" s="48"/>
      <c r="BP438" s="55"/>
      <c r="BQ438" s="50" t="n">
        <v>4</v>
      </c>
      <c r="BR438" s="50" t="n">
        <v>6</v>
      </c>
      <c r="BS438" s="49" t="n">
        <v>76.28</v>
      </c>
      <c r="BT438" s="50" t="n">
        <v>0</v>
      </c>
      <c r="BU438" s="48"/>
      <c r="BV438" s="53" t="n">
        <v>0</v>
      </c>
      <c r="BW438" s="53" t="n">
        <v>438</v>
      </c>
      <c r="BX438" s="48" t="str">
        <f aca="false">IF(U438&lt;&gt;"",UPPER(TRIM(U438)),IF(CA438=1,UPPER(VLOOKUP(T438,Parameter!$I$27:$K$29,2,0)),IF(P438="","LOSE",P438)))</f>
        <v>S33</v>
      </c>
      <c r="BY438" s="50" t="n">
        <f aca="false">IF(BX438="LOSE",1,IF(N(V438)&gt;0,V438,IF(CA438=1,MAX(1,N(VLOOKUP(T438,Parameter!$I$27:$K$29,3,0)),H438,N(N438)),IF(N(Q438)&gt;0,Q438,MAX(1,H438)))))</f>
        <v>9</v>
      </c>
      <c r="BZ438" s="53" t="n">
        <f aca="false">IF(BX438="LOSE",1,0)</f>
        <v>0</v>
      </c>
      <c r="CA438" s="53" t="n">
        <f aca="false">IF(AND(U438="",OR(P438="",P438="LOSE"),T438&lt;&gt;"",N(S438)&lt;=0,ISNUMBER(MATCH(T438,Parameter!$I$27:$I$29,0))),1,0)</f>
        <v>0</v>
      </c>
      <c r="CB438" s="53" t="n">
        <f aca="false">IF(CQ438&gt;0,INDEX(Parameter!$H$5:$H$7,W438)/INDEX(Parameter!$E$5:$E$7,W438),IF(AND(BZ438=0,N(IFERROR(VLOOKUP(BX438,'Gebinde-Kategorie'!$A$5:$N$45,14,0),0))&gt;0),VLOOKUP(BX438,'Gebinde-Kategorie'!$A$5:$N$45,14,0)*10+Parameter!$M$23,Parameter!$M$24))</f>
        <v>155</v>
      </c>
      <c r="CC438" s="48" t="str">
        <f aca="false">IF(AND(Parameter!$B$19="Ja",E438&lt;&gt;"",ISNUMBER(MATCH(E438,Parameter!$I$35:$I$52,0))),VLOOKUP(E438,Parameter!$I$35:$J$52,2,0),IFERROR(VLOOKUP(D438,Parameter!$A$35:$C$64,2,0),"Nein"))</f>
        <v>2+3</v>
      </c>
      <c r="CD438" s="52" t="n">
        <f aca="false">IF(BZ438=0,0,IF(N(S438)&gt;0,S438,IFERROR(VLOOKUP(D438,Parameter!$A$35:$C$64,3,0)+0,0)))</f>
        <v>0</v>
      </c>
      <c r="CE438" s="48" t="n">
        <f aca="false">IF(AA438&lt;&gt;"",AA438,Z438)</f>
        <v>3</v>
      </c>
      <c r="CF438" s="48" t="str">
        <f aca="false">IF(OR(CE438=1,CE438=2,CE438=3),IF(Parameter!$E$27="Ja","LIFT",IF(CE438=1,"L1","L23")),IF(CE438="Aussen","Aussen","-"))</f>
        <v>LIFT</v>
      </c>
      <c r="CG438" s="59" t="n">
        <f aca="false">IF(N(AB438)&gt;0,AB438,0)</f>
        <v>0</v>
      </c>
      <c r="CH438" s="53" t="n">
        <f aca="false">IF(ISNUMBER(AE438),1,0)</f>
        <v>0</v>
      </c>
      <c r="CI438" s="50" t="n">
        <f aca="false">N(AE438)</f>
        <v>0</v>
      </c>
      <c r="CJ438" s="50" t="n">
        <f aca="false">N(M438)+N(N438)</f>
        <v>1</v>
      </c>
      <c r="CK438" s="50" t="n">
        <f aca="false">N(M438)</f>
        <v>0</v>
      </c>
      <c r="CL438" s="50" t="n">
        <f aca="false">N(N438)</f>
        <v>1</v>
      </c>
      <c r="CM438" s="50" t="n">
        <f aca="false">ROUNDUP(H438/BY438,0)</f>
        <v>2</v>
      </c>
      <c r="CN438" s="50" t="n">
        <f aca="false">ROUNDUP(CI438/BY438,0)</f>
        <v>0</v>
      </c>
      <c r="CO438" s="53" t="n">
        <f aca="false">IF(BZ438=1,0,IFERROR(VLOOKUP(BX438,'Gebinde-Kategorie'!$A$5:$N$45,5,0)+0,0))</f>
        <v>8</v>
      </c>
      <c r="CP438" s="53" t="n">
        <f aca="false">IFERROR(IF(OR(CE438=1,CE438=2,CE438=3),N(INDEX(Parameter!$I$5:$I$7,CE438)),0),0)</f>
        <v>0</v>
      </c>
      <c r="CQ438" s="52" t="n">
        <f aca="false">IF(AND(Parameter!$B$21="Ja",ISNUMBER(W438),N(X438)&gt;0),IFERROR(N(INDEX(Parameter!$L$5:$L$7,W438))*INDEX(Parameter!$E$5:$E$7,W438)*X438/SUMIFS($X$7:$X$1843,$W$7:$W$1843,W438),0),0)</f>
        <v>0</v>
      </c>
    </row>
    <row r="439" customFormat="false" ht="15" hidden="false" customHeight="false" outlineLevel="0" collapsed="false">
      <c r="A439" s="48" t="s">
        <v>1010</v>
      </c>
      <c r="B439" s="48" t="s">
        <v>1011</v>
      </c>
      <c r="C439" s="48" t="s">
        <v>173</v>
      </c>
      <c r="D439" s="48" t="s">
        <v>193</v>
      </c>
      <c r="E439" s="48"/>
      <c r="F439" s="48" t="s">
        <v>227</v>
      </c>
      <c r="G439" s="49" t="n">
        <v>2.99</v>
      </c>
      <c r="H439" s="50" t="n">
        <f aca="false">MAX(0,IF(AND(Parameter!$B$21="Ja",ISNUMBER(Y439)),Y439,IF(Parameter!$B$20="Jahresanfang 2025 + Export",BR439+BQ439,BQ439)))</f>
        <v>25</v>
      </c>
      <c r="I439" s="50" t="n">
        <f aca="false">H439*G439</f>
        <v>74.75</v>
      </c>
      <c r="J439" s="50" t="n">
        <f aca="false">BT439*Parameter!$B$18</f>
        <v>0</v>
      </c>
      <c r="K439" s="51" t="n">
        <v>0</v>
      </c>
      <c r="L439" s="52" t="n">
        <v>0</v>
      </c>
      <c r="M439" s="50" t="n">
        <v>0</v>
      </c>
      <c r="N439" s="50" t="n">
        <v>5</v>
      </c>
      <c r="O439" s="53" t="n">
        <v>90</v>
      </c>
      <c r="P439" s="48" t="s">
        <v>177</v>
      </c>
      <c r="Q439" s="50"/>
      <c r="R439" s="53" t="n">
        <f aca="false">IF(BZ439=1,0,IFERROR(VLOOKUP(BX439,'Gebinde-Kategorie'!$A$5:$N$45,13,0)+0,0))</f>
        <v>12</v>
      </c>
      <c r="S439" s="54"/>
      <c r="T439" s="55" t="s">
        <v>188</v>
      </c>
      <c r="U439" s="55"/>
      <c r="V439" s="55"/>
      <c r="W439" s="48"/>
      <c r="X439" s="50"/>
      <c r="Y439" s="50"/>
      <c r="Z439" s="48" t="n">
        <f aca="false">IF(A439="","",IF(AND(Parameter!$B$21="Ja",ISNUMBER(W439)),W439,IF(CC439="2+3",IF(ISNUMBER(SEARCH("grosser Artikel",BU439)),2,IFERROR(VLOOKUP(BX439,Parameter!$F$35:$G$64,2,0),2)),IF(OR(CC439="Nein",CC439=""),"-",CC439))))</f>
        <v>2</v>
      </c>
      <c r="AA439" s="55"/>
      <c r="AB439" s="56"/>
      <c r="AC439" s="50" t="n">
        <f aca="false">AV439</f>
        <v>5</v>
      </c>
      <c r="AD439" s="50" t="n">
        <f aca="false">MAX(AV439,H439)</f>
        <v>25</v>
      </c>
      <c r="AE439" s="57"/>
      <c r="AF439" s="50" t="n">
        <f aca="false">IF(LEFT(Cockpit!$C$5,1)="A",H439,IF(Parameter!$E$30="MAX-Bestand",IF(CH439=1,CI439,IF(LEFT(Cockpit!$C$5,1)="B",AL439,MAX(AL439,H439))),ROUNDUP(AJ439,0)))</f>
        <v>25</v>
      </c>
      <c r="AG439" s="50" t="n">
        <f aca="false">IF(BZ439=1,0,ROUNDUP(AF439/BY439,0))</f>
        <v>1</v>
      </c>
      <c r="AH439" s="52" t="n">
        <f aca="false">IF(CQ439&gt;0,CQ439*MAX(1,AF439/X439),IF(BZ439=1,IF(AF439&lt;=0,0,CD439*MAX(1,IF(H439&gt;0,AF439/H439,1))),IF(R439&gt;0,AG439/R439,0))/MAX(0.1,N(Parameter!$M$21)))</f>
        <v>0.0833333333333333</v>
      </c>
      <c r="AI439" s="50" t="n">
        <f aca="false">AH439*CB439</f>
        <v>12.0833333333333</v>
      </c>
      <c r="AJ439" s="51" t="n">
        <f aca="false">IF(LEFT(Cockpit!$C$5,1)="A",H439,IF(CH439=1,(CK439+CI439)/2,IF(LEFT(Cockpit!$C$5,1)="B",(CK439+AL439)/2,MAX((CK439+AL439)/2,H439))))</f>
        <v>25</v>
      </c>
      <c r="AK439" s="50" t="n">
        <f aca="false">AJ439*G439</f>
        <v>74.75</v>
      </c>
      <c r="AL439" s="50" t="n">
        <f aca="false">ROUNDUP(CK439+MAX(CL439,2*(J439/IF(CG439&gt;0,CG439,MAX(0.1,N(Cockpit!$C$6)))-CK439)),0)</f>
        <v>5</v>
      </c>
      <c r="AM439" s="51" t="n">
        <f aca="false">IF(AI439&gt;0,J439/AI439,-1)</f>
        <v>0</v>
      </c>
      <c r="AN439" s="51" t="n">
        <f aca="false">IF(AND(OR(CF439="L1",CF439="L23",CF439="LIFT"),AI439&gt;0),SUMIFS($AI$7:$AI$1843,$CF$7:$CF$1843,CF439,$AM$7:$AM$1843,"&gt;"&amp;AM439)+SUMIFS($AI$7:$AI$1843,$CF$7:$CF$1843,CF439,$AM$7:$AM$1843,AM439,$BW$7:$BW$1843,"&lt;="&amp;BW439),"")</f>
        <v>28139.759783531</v>
      </c>
      <c r="AO439" s="58" t="n">
        <f aca="false">IF(AN439="",0,MAX(0,MIN(1,(IF(CF439="L1",Parameter!$H$5,IF(CF439="L23",Parameter!$H$6+Parameter!$H$7,Parameter!$H$5+Parameter!$H$6+Parameter!$H$7))-(AN439-AI439))/AI439)))</f>
        <v>1</v>
      </c>
      <c r="AP439" s="50" t="n">
        <f aca="false">IF(LEFT(Cockpit!$I$5,1)="A",H439,IF(Parameter!$E$30="MAX-Bestand",IF(CH439=1,CI439,IF(LEFT(Cockpit!$I$5,1)="B",AV439,MAX(AV439,H439))),ROUNDUP(AT439,0)))</f>
        <v>25</v>
      </c>
      <c r="AQ439" s="50" t="n">
        <f aca="false">IF(BZ439=1,0,ROUNDUP(AP439/BY439,0))</f>
        <v>1</v>
      </c>
      <c r="AR439" s="52" t="n">
        <f aca="false">IF(CQ439&gt;0,CQ439*MAX(1,AP439/X439),IF(BZ439=1,IF(AP439&lt;=0,0,CD439*MAX(1,IF(H439&gt;0,AP439/H439,1))),IF(R439&gt;0,AQ439/R439,0))/MAX(0.1,N(Parameter!$M$21)))</f>
        <v>0.0833333333333333</v>
      </c>
      <c r="AS439" s="50" t="n">
        <f aca="false">AR439*CB439</f>
        <v>12.0833333333333</v>
      </c>
      <c r="AT439" s="51" t="n">
        <f aca="false">IF(LEFT(Cockpit!$I$5,1)="A",H439,IF(CH439=1,(CK439+CI439)/2,IF(LEFT(Cockpit!$I$5,1)="B",(CK439+AV439)/2,MAX((CK439+AV439)/2,H439))))</f>
        <v>25</v>
      </c>
      <c r="AU439" s="50" t="n">
        <f aca="false">AT439*G439</f>
        <v>74.75</v>
      </c>
      <c r="AV439" s="50" t="n">
        <f aca="false">ROUNDUP(CK439+MAX(CL439,2*(J439/IF(CG439&gt;0,CG439,MAX(0.1,N(Cockpit!$I$6)))-CK439)),0)</f>
        <v>5</v>
      </c>
      <c r="AW439" s="51" t="n">
        <f aca="false">IF(AS439&gt;0,J439/AS439,-1)</f>
        <v>0</v>
      </c>
      <c r="AX439" s="51" t="n">
        <f aca="false">IF(AND(OR(CF439="L1",CF439="L23",CF439="LIFT"),AS439&gt;0),SUMIFS($AS$7:$AS$1843,$CF$7:$CF$1843,CF439,$AW$7:$AW$1843,"&gt;"&amp;AW439)+SUMIFS($AS$7:$AS$1843,$CF$7:$CF$1843,CF439,$AW$7:$AW$1843,AW439,$BW$7:$BW$1843,"&lt;="&amp;BW439),"")</f>
        <v>33492.9084249084</v>
      </c>
      <c r="AY439" s="58" t="n">
        <f aca="false">IF(AX439="",0,MAX(0,MIN(1,(IF(CF439="L1",Parameter!$H$5,IF(CF439="L23",Parameter!$H$6+Parameter!$H$7,Parameter!$H$5+Parameter!$H$6+Parameter!$H$7))-(AX439-AS439))/AS439)))</f>
        <v>1</v>
      </c>
      <c r="AZ439" s="50" t="n">
        <f aca="false">IF(LEFT(Cockpit!$O$5,1)="A",H439,IF(Parameter!$E$30="MAX-Bestand",IF(CH439=1,CI439,IF(LEFT(Cockpit!$O$5,1)="B",BF439,MAX(BF439,H439))),ROUNDUP(BD439,0)))</f>
        <v>3</v>
      </c>
      <c r="BA439" s="50" t="n">
        <f aca="false">IF(BZ439=1,0,ROUNDUP(AZ439/BY439,0))</f>
        <v>1</v>
      </c>
      <c r="BB439" s="52" t="n">
        <f aca="false">IF(CQ439&gt;0,CQ439*MAX(1,AZ439/X439),IF(BZ439=1,IF(AZ439&lt;=0,0,CD439*MAX(1,IF(H439&gt;0,AZ439/H439,1))),IF(R439&gt;0,BA439/R439,0))/MAX(0.1,N(Parameter!$M$21)))</f>
        <v>0.0833333333333333</v>
      </c>
      <c r="BC439" s="50" t="n">
        <f aca="false">BB439*CB439</f>
        <v>12.0833333333333</v>
      </c>
      <c r="BD439" s="51" t="n">
        <f aca="false">IF(LEFT(Cockpit!$O$5,1)="A",H439,IF(CH439=1,(CK439+CI439)/2,IF(LEFT(Cockpit!$O$5,1)="B",(CK439+BF439)/2,MAX((CK439+BF439)/2,H439))))</f>
        <v>2.5</v>
      </c>
      <c r="BE439" s="50" t="n">
        <f aca="false">BD439*G439</f>
        <v>7.475</v>
      </c>
      <c r="BF439" s="50" t="n">
        <f aca="false">ROUNDUP(CK439+MAX(CL439,2*(J439/IF(CG439&gt;0,CG439,MAX(0.1,N(Cockpit!$O$6)))-CK439)),0)</f>
        <v>5</v>
      </c>
      <c r="BG439" s="51" t="n">
        <f aca="false">IF(BC439&gt;0,J439/BC439,-1)</f>
        <v>0</v>
      </c>
      <c r="BH439" s="51" t="n">
        <f aca="false">IF(AND(OR(CF439="L1",CF439="L23",CF439="LIFT"),BC439&gt;0),SUMIFS($BC$7:$BC$1843,$CF$7:$CF$1843,CF439,$BG$7:$BG$1843,"&gt;"&amp;BG439)+SUMIFS($BC$7:$BC$1843,$CF$7:$CF$1843,CF439,$BG$7:$BG$1843,BG439,$BW$7:$BW$1843,"&lt;="&amp;BW439),"")</f>
        <v>27602.3574843236</v>
      </c>
      <c r="BI439" s="58" t="n">
        <f aca="false">IF(BH439="",0,MAX(0,MIN(1,(IF(CF439="L1",Parameter!$H$5,IF(CF439="L23",Parameter!$H$6+Parameter!$H$7,Parameter!$H$5+Parameter!$H$6+Parameter!$H$7))-(BH439-BC439))/BC439)))</f>
        <v>1</v>
      </c>
      <c r="BJ439" s="48" t="str">
        <f aca="false">IF(AI439&lt;=0,"",IF(CF439="Aussen","Aussenlager",IF(CF439="-","Nicht im Lift",IF(AO439&gt;=1,"Lift",IF(AO439&lt;=0,"Aussenlager","teilweise")))))</f>
        <v>Lift</v>
      </c>
      <c r="BK439" s="48" t="str">
        <f aca="false">IF(AS439&lt;=0,"",IF(CF439="Aussen","Aussenlager",IF(CF439="-","Nicht im Lift",IF(AY439&gt;=1,"Lift",IF(AY439&lt;=0,"Aussenlager","teilweise")))))</f>
        <v>Lift</v>
      </c>
      <c r="BL439" s="48" t="str">
        <f aca="false">IF(BC439&lt;=0,"",IF(CF439="Aussen","Aussenlager",IF(CF439="-","Nicht im Lift",IF(BI439&gt;=1,"Lift",IF(BI439&lt;=0,"Aussenlager","teilweise")))))</f>
        <v>Lift</v>
      </c>
      <c r="BM439" s="48" t="str">
        <f aca="false">IF(A439="","",IF(BV439=1,"Neu; ","")&amp;IF(AND(BV439=0,BQ439&lt;0),"negativer Bestand (Export "&amp;BQ439&amp;"); ","")&amp;IF(J439&lt;=0,"Kein Verbrauch; ","")&amp;IF(CQ439&gt;0,"Lift "&amp;W439&amp;" lt. Liftbericht (Fach "&amp;X439&amp;" Stk); ",IF(CA439=1,"Gebinde geschätzt ("&amp;T439&amp;"); ",IF(BZ439=1,"Lose – Tablare geschätzt; ","")))&amp;IF(H439&gt;AV439,"Überbestand "&amp;ROUND(H439-AV439,0)&amp;" Stk / CHF "&amp;ROUND((H439-AV439)*G439,0)&amp;"; ","")&amp;IF(AND(CH439=1,CI439&lt;CJ439),"MAX &lt; MB+LG; ","")&amp;IF(AND(CP439&gt;0,CO439*10&gt;CP439),"zu hoch für Tablar; ","")&amp;IF(AND(BV439=0,OR(CH439=1,AA439&lt;&gt;"",U439&lt;&gt;"",V439&lt;&gt;"",AB439&lt;&gt;"")),"manuell übersteuert; ","")&amp;IF(AND(BZ439=0,R439=0),"Gebinde unbekannt / Stellmass fehlt; ","")&amp;IF(AND(BZ439=0,N(V439)&lt;=0,N(Q439)&lt;=0),"Menge pro Gebinde fehlt (Ist = 1 Gebinde); ","")&amp;BU439)</f>
        <v>Kein Verbrauch; Gebinde geschätzt (Mittel); Überbestand 20 Stk / CHF 60; Menge pro Gebinde fehlt (Ist = 1 Gebinde); </v>
      </c>
      <c r="BN439" s="48"/>
      <c r="BO439" s="48"/>
      <c r="BP439" s="55"/>
      <c r="BQ439" s="50" t="n">
        <v>25</v>
      </c>
      <c r="BR439" s="50" t="n">
        <v>0</v>
      </c>
      <c r="BS439" s="49" t="n">
        <v>74.75</v>
      </c>
      <c r="BT439" s="50" t="n">
        <v>0</v>
      </c>
      <c r="BU439" s="48"/>
      <c r="BV439" s="53" t="n">
        <v>0</v>
      </c>
      <c r="BW439" s="53" t="n">
        <v>439</v>
      </c>
      <c r="BX439" s="48" t="str">
        <f aca="false">IF(U439&lt;&gt;"",UPPER(TRIM(U439)),IF(CA439=1,UPPER(VLOOKUP(T439,Parameter!$I$27:$K$29,2,0)),IF(P439="","LOSE",P439)))</f>
        <v>S61</v>
      </c>
      <c r="BY439" s="50" t="n">
        <f aca="false">IF(BX439="LOSE",1,IF(N(V439)&gt;0,V439,IF(CA439=1,MAX(1,N(VLOOKUP(T439,Parameter!$I$27:$K$29,3,0)),H439,N(N439)),IF(N(Q439)&gt;0,Q439,MAX(1,H439)))))</f>
        <v>25</v>
      </c>
      <c r="BZ439" s="53" t="n">
        <f aca="false">IF(BX439="LOSE",1,0)</f>
        <v>0</v>
      </c>
      <c r="CA439" s="53" t="n">
        <f aca="false">IF(AND(U439="",OR(P439="",P439="LOSE"),T439&lt;&gt;"",N(S439)&lt;=0,ISNUMBER(MATCH(T439,Parameter!$I$27:$I$29,0))),1,0)</f>
        <v>1</v>
      </c>
      <c r="CB439" s="53" t="n">
        <f aca="false">IF(CQ439&gt;0,INDEX(Parameter!$H$5:$H$7,W439)/INDEX(Parameter!$E$5:$E$7,W439),IF(AND(BZ439=0,N(IFERROR(VLOOKUP(BX439,'Gebinde-Kategorie'!$A$5:$N$45,14,0),0))&gt;0),VLOOKUP(BX439,'Gebinde-Kategorie'!$A$5:$N$45,14,0)*10+Parameter!$M$23,Parameter!$M$24))</f>
        <v>145</v>
      </c>
      <c r="CC439" s="48" t="str">
        <f aca="false">IF(AND(Parameter!$B$19="Ja",E439&lt;&gt;"",ISNUMBER(MATCH(E439,Parameter!$I$35:$I$52,0))),VLOOKUP(E439,Parameter!$I$35:$J$52,2,0),IFERROR(VLOOKUP(D439,Parameter!$A$35:$C$64,2,0),"Nein"))</f>
        <v>2+3</v>
      </c>
      <c r="CD439" s="52" t="n">
        <f aca="false">IF(BZ439=0,0,IF(N(S439)&gt;0,S439,IFERROR(VLOOKUP(D439,Parameter!$A$35:$C$64,3,0)+0,0)))</f>
        <v>0</v>
      </c>
      <c r="CE439" s="48" t="n">
        <f aca="false">IF(AA439&lt;&gt;"",AA439,Z439)</f>
        <v>2</v>
      </c>
      <c r="CF439" s="48" t="str">
        <f aca="false">IF(OR(CE439=1,CE439=2,CE439=3),IF(Parameter!$E$27="Ja","LIFT",IF(CE439=1,"L1","L23")),IF(CE439="Aussen","Aussen","-"))</f>
        <v>LIFT</v>
      </c>
      <c r="CG439" s="59" t="n">
        <f aca="false">IF(N(AB439)&gt;0,AB439,0)</f>
        <v>0</v>
      </c>
      <c r="CH439" s="53" t="n">
        <f aca="false">IF(ISNUMBER(AE439),1,0)</f>
        <v>0</v>
      </c>
      <c r="CI439" s="50" t="n">
        <f aca="false">N(AE439)</f>
        <v>0</v>
      </c>
      <c r="CJ439" s="50" t="n">
        <f aca="false">N(M439)+N(N439)</f>
        <v>5</v>
      </c>
      <c r="CK439" s="50" t="n">
        <f aca="false">N(M439)</f>
        <v>0</v>
      </c>
      <c r="CL439" s="50" t="n">
        <f aca="false">N(N439)</f>
        <v>5</v>
      </c>
      <c r="CM439" s="50" t="n">
        <f aca="false">ROUNDUP(H439/BY439,0)</f>
        <v>1</v>
      </c>
      <c r="CN439" s="50" t="n">
        <f aca="false">ROUNDUP(CI439/BY439,0)</f>
        <v>0</v>
      </c>
      <c r="CO439" s="53" t="n">
        <f aca="false">IF(BZ439=1,0,IFERROR(VLOOKUP(BX439,'Gebinde-Kategorie'!$A$5:$N$45,5,0)+0,0))</f>
        <v>11</v>
      </c>
      <c r="CP439" s="53" t="n">
        <f aca="false">IFERROR(IF(OR(CE439=1,CE439=2,CE439=3),N(INDEX(Parameter!$I$5:$I$7,CE439)),0),0)</f>
        <v>0</v>
      </c>
      <c r="CQ439" s="52" t="n">
        <f aca="false">IF(AND(Parameter!$B$21="Ja",ISNUMBER(W439),N(X439)&gt;0),IFERROR(N(INDEX(Parameter!$L$5:$L$7,W439))*INDEX(Parameter!$E$5:$E$7,W439)*X439/SUMIFS($X$7:$X$1843,$W$7:$W$1843,W439),0),0)</f>
        <v>0</v>
      </c>
    </row>
    <row r="440" customFormat="false" ht="15" hidden="false" customHeight="false" outlineLevel="0" collapsed="false">
      <c r="A440" s="48" t="s">
        <v>1012</v>
      </c>
      <c r="B440" s="48" t="s">
        <v>1013</v>
      </c>
      <c r="C440" s="48" t="s">
        <v>173</v>
      </c>
      <c r="D440" s="48" t="s">
        <v>193</v>
      </c>
      <c r="E440" s="48"/>
      <c r="F440" s="48" t="s">
        <v>227</v>
      </c>
      <c r="G440" s="49" t="n">
        <v>7.88</v>
      </c>
      <c r="H440" s="50" t="n">
        <f aca="false">MAX(0,IF(AND(Parameter!$B$21="Ja",ISNUMBER(Y440)),Y440,IF(Parameter!$B$20="Jahresanfang 2025 + Export",BR440+BQ440,BQ440)))</f>
        <v>63</v>
      </c>
      <c r="I440" s="50" t="n">
        <f aca="false">H440*G440</f>
        <v>496.44</v>
      </c>
      <c r="J440" s="50" t="n">
        <f aca="false">BT440*Parameter!$B$18</f>
        <v>1</v>
      </c>
      <c r="K440" s="51" t="n">
        <v>54</v>
      </c>
      <c r="L440" s="52" t="n">
        <v>0.0185185185185185</v>
      </c>
      <c r="M440" s="50" t="n">
        <v>0</v>
      </c>
      <c r="N440" s="50" t="n">
        <v>1</v>
      </c>
      <c r="O440" s="53" t="n">
        <v>70</v>
      </c>
      <c r="P440" s="48" t="s">
        <v>195</v>
      </c>
      <c r="Q440" s="50" t="n">
        <v>55</v>
      </c>
      <c r="R440" s="53" t="n">
        <f aca="false">IF(BZ440=1,0,IFERROR(VLOOKUP(BX440,'Gebinde-Kategorie'!$A$5:$N$45,13,0)+0,0))</f>
        <v>12</v>
      </c>
      <c r="S440" s="54"/>
      <c r="T440" s="55"/>
      <c r="U440" s="55"/>
      <c r="V440" s="55"/>
      <c r="W440" s="48"/>
      <c r="X440" s="50"/>
      <c r="Y440" s="50"/>
      <c r="Z440" s="48" t="n">
        <f aca="false">IF(A440="","",IF(AND(Parameter!$B$21="Ja",ISNUMBER(W440)),W440,IF(CC440="2+3",IF(ISNUMBER(SEARCH("grosser Artikel",BU440)),2,IFERROR(VLOOKUP(BX440,Parameter!$F$35:$G$64,2,0),2)),IF(OR(CC440="Nein",CC440=""),"-",CC440))))</f>
        <v>2</v>
      </c>
      <c r="AA440" s="55"/>
      <c r="AB440" s="56"/>
      <c r="AC440" s="50" t="n">
        <f aca="false">AV440</f>
        <v>1</v>
      </c>
      <c r="AD440" s="50" t="n">
        <f aca="false">MAX(AV440,H440)</f>
        <v>63</v>
      </c>
      <c r="AE440" s="57"/>
      <c r="AF440" s="50" t="n">
        <f aca="false">IF(LEFT(Cockpit!$C$5,1)="A",H440,IF(Parameter!$E$30="MAX-Bestand",IF(CH440=1,CI440,IF(LEFT(Cockpit!$C$5,1)="B",AL440,MAX(AL440,H440))),ROUNDUP(AJ440,0)))</f>
        <v>63</v>
      </c>
      <c r="AG440" s="50" t="n">
        <f aca="false">IF(BZ440=1,0,ROUNDUP(AF440/BY440,0))</f>
        <v>2</v>
      </c>
      <c r="AH440" s="52" t="n">
        <f aca="false">IF(CQ440&gt;0,CQ440*MAX(1,AF440/X440),IF(BZ440=1,IF(AF440&lt;=0,0,CD440*MAX(1,IF(H440&gt;0,AF440/H440,1))),IF(R440&gt;0,AG440/R440,0))/MAX(0.1,N(Parameter!$M$21)))</f>
        <v>0.166666666666667</v>
      </c>
      <c r="AI440" s="50" t="n">
        <f aca="false">AH440*CB440</f>
        <v>24.1666666666667</v>
      </c>
      <c r="AJ440" s="51" t="n">
        <f aca="false">IF(LEFT(Cockpit!$C$5,1)="A",H440,IF(CH440=1,(CK440+CI440)/2,IF(LEFT(Cockpit!$C$5,1)="B",(CK440+AL440)/2,MAX((CK440+AL440)/2,H440))))</f>
        <v>63</v>
      </c>
      <c r="AK440" s="50" t="n">
        <f aca="false">AJ440*G440</f>
        <v>496.44</v>
      </c>
      <c r="AL440" s="50" t="n">
        <f aca="false">ROUNDUP(CK440+MAX(CL440,2*(J440/IF(CG440&gt;0,CG440,MAX(0.1,N(Cockpit!$C$6)))-CK440)),0)</f>
        <v>1</v>
      </c>
      <c r="AM440" s="51" t="n">
        <f aca="false">IF(AI440&gt;0,J440/AI440,-1)</f>
        <v>0.0413793103448276</v>
      </c>
      <c r="AN440" s="51" t="n">
        <f aca="false">IF(AND(OR(CF440="L1",CF440="L23",CF440="LIFT"),AI440&gt;0),SUMIFS($AI$7:$AI$1843,$CF$7:$CF$1843,CF440,$AM$7:$AM$1843,"&gt;"&amp;AM440)+SUMIFS($AI$7:$AI$1843,$CF$7:$CF$1843,CF440,$AM$7:$AM$1843,AM440,$BW$7:$BW$1843,"&lt;="&amp;BW440),"")</f>
        <v>19673.14075402</v>
      </c>
      <c r="AO440" s="58" t="n">
        <f aca="false">IF(AN440="",0,MAX(0,MIN(1,(IF(CF440="L1",Parameter!$H$5,IF(CF440="L23",Parameter!$H$6+Parameter!$H$7,Parameter!$H$5+Parameter!$H$6+Parameter!$H$7))-(AN440-AI440))/AI440)))</f>
        <v>1</v>
      </c>
      <c r="AP440" s="50" t="n">
        <f aca="false">IF(LEFT(Cockpit!$I$5,1)="A",H440,IF(Parameter!$E$30="MAX-Bestand",IF(CH440=1,CI440,IF(LEFT(Cockpit!$I$5,1)="B",AV440,MAX(AV440,H440))),ROUNDUP(AT440,0)))</f>
        <v>63</v>
      </c>
      <c r="AQ440" s="50" t="n">
        <f aca="false">IF(BZ440=1,0,ROUNDUP(AP440/BY440,0))</f>
        <v>2</v>
      </c>
      <c r="AR440" s="52" t="n">
        <f aca="false">IF(CQ440&gt;0,CQ440*MAX(1,AP440/X440),IF(BZ440=1,IF(AP440&lt;=0,0,CD440*MAX(1,IF(H440&gt;0,AP440/H440,1))),IF(R440&gt;0,AQ440/R440,0))/MAX(0.1,N(Parameter!$M$21)))</f>
        <v>0.166666666666667</v>
      </c>
      <c r="AS440" s="50" t="n">
        <f aca="false">AR440*CB440</f>
        <v>24.1666666666667</v>
      </c>
      <c r="AT440" s="51" t="n">
        <f aca="false">IF(LEFT(Cockpit!$I$5,1)="A",H440,IF(CH440=1,(CK440+CI440)/2,IF(LEFT(Cockpit!$I$5,1)="B",(CK440+AV440)/2,MAX((CK440+AV440)/2,H440))))</f>
        <v>63</v>
      </c>
      <c r="AU440" s="50" t="n">
        <f aca="false">AT440*G440</f>
        <v>496.44</v>
      </c>
      <c r="AV440" s="50" t="n">
        <f aca="false">ROUNDUP(CK440+MAX(CL440,2*(J440/IF(CG440&gt;0,CG440,MAX(0.1,N(Cockpit!$I$6)))-CK440)),0)</f>
        <v>1</v>
      </c>
      <c r="AW440" s="51" t="n">
        <f aca="false">IF(AS440&gt;0,J440/AS440,-1)</f>
        <v>0.0413793103448276</v>
      </c>
      <c r="AX440" s="51" t="n">
        <f aca="false">IF(AND(OR(CF440="L1",CF440="L23",CF440="LIFT"),AS440&gt;0),SUMIFS($AS$7:$AS$1843,$CF$7:$CF$1843,CF440,$AW$7:$AW$1843,"&gt;"&amp;AW440)+SUMIFS($AS$7:$AS$1843,$CF$7:$CF$1843,CF440,$AW$7:$AW$1843,AW440,$BW$7:$BW$1843,"&lt;="&amp;BW440),"")</f>
        <v>24732.5393953974</v>
      </c>
      <c r="AY440" s="58" t="n">
        <f aca="false">IF(AX440="",0,MAX(0,MIN(1,(IF(CF440="L1",Parameter!$H$5,IF(CF440="L23",Parameter!$H$6+Parameter!$H$7,Parameter!$H$5+Parameter!$H$6+Parameter!$H$7))-(AX440-AS440))/AS440)))</f>
        <v>1</v>
      </c>
      <c r="AZ440" s="50" t="n">
        <f aca="false">IF(LEFT(Cockpit!$O$5,1)="A",H440,IF(Parameter!$E$30="MAX-Bestand",IF(CH440=1,CI440,IF(LEFT(Cockpit!$O$5,1)="B",BF440,MAX(BF440,H440))),ROUNDUP(BD440,0)))</f>
        <v>1</v>
      </c>
      <c r="BA440" s="50" t="n">
        <f aca="false">IF(BZ440=1,0,ROUNDUP(AZ440/BY440,0))</f>
        <v>1</v>
      </c>
      <c r="BB440" s="52" t="n">
        <f aca="false">IF(CQ440&gt;0,CQ440*MAX(1,AZ440/X440),IF(BZ440=1,IF(AZ440&lt;=0,0,CD440*MAX(1,IF(H440&gt;0,AZ440/H440,1))),IF(R440&gt;0,BA440/R440,0))/MAX(0.1,N(Parameter!$M$21)))</f>
        <v>0.0833333333333333</v>
      </c>
      <c r="BC440" s="50" t="n">
        <f aca="false">BB440*CB440</f>
        <v>12.0833333333333</v>
      </c>
      <c r="BD440" s="51" t="n">
        <f aca="false">IF(LEFT(Cockpit!$O$5,1)="A",H440,IF(CH440=1,(CK440+CI440)/2,IF(LEFT(Cockpit!$O$5,1)="B",(CK440+BF440)/2,MAX((CK440+BF440)/2,H440))))</f>
        <v>0.5</v>
      </c>
      <c r="BE440" s="50" t="n">
        <f aca="false">BD440*G440</f>
        <v>3.94</v>
      </c>
      <c r="BF440" s="50" t="n">
        <f aca="false">ROUNDUP(CK440+MAX(CL440,2*(J440/IF(CG440&gt;0,CG440,MAX(0.1,N(Cockpit!$O$6)))-CK440)),0)</f>
        <v>1</v>
      </c>
      <c r="BG440" s="51" t="n">
        <f aca="false">IF(BC440&gt;0,J440/BC440,-1)</f>
        <v>0.0827586206896552</v>
      </c>
      <c r="BH440" s="51" t="n">
        <f aca="false">IF(AND(OR(CF440="L1",CF440="L23",CF440="LIFT"),BC440&gt;0),SUMIFS($BC$7:$BC$1843,$CF$7:$CF$1843,CF440,$BG$7:$BG$1843,"&gt;"&amp;BG440)+SUMIFS($BC$7:$BC$1843,$CF$7:$CF$1843,CF440,$BG$7:$BG$1843,BG440,$BW$7:$BW$1843,"&lt;="&amp;BW440),"")</f>
        <v>18274.8122426067</v>
      </c>
      <c r="BI440" s="58" t="n">
        <f aca="false">IF(BH440="",0,MAX(0,MIN(1,(IF(CF440="L1",Parameter!$H$5,IF(CF440="L23",Parameter!$H$6+Parameter!$H$7,Parameter!$H$5+Parameter!$H$6+Parameter!$H$7))-(BH440-BC440))/BC440)))</f>
        <v>1</v>
      </c>
      <c r="BJ440" s="48" t="str">
        <f aca="false">IF(AI440&lt;=0,"",IF(CF440="Aussen","Aussenlager",IF(CF440="-","Nicht im Lift",IF(AO440&gt;=1,"Lift",IF(AO440&lt;=0,"Aussenlager","teilweise")))))</f>
        <v>Lift</v>
      </c>
      <c r="BK440" s="48" t="str">
        <f aca="false">IF(AS440&lt;=0,"",IF(CF440="Aussen","Aussenlager",IF(CF440="-","Nicht im Lift",IF(AY440&gt;=1,"Lift",IF(AY440&lt;=0,"Aussenlager","teilweise")))))</f>
        <v>Lift</v>
      </c>
      <c r="BL440" s="48" t="str">
        <f aca="false">IF(BC440&lt;=0,"",IF(CF440="Aussen","Aussenlager",IF(CF440="-","Nicht im Lift",IF(BI440&gt;=1,"Lift",IF(BI440&lt;=0,"Aussenlager","teilweise")))))</f>
        <v>Lift</v>
      </c>
      <c r="BM440" s="48" t="str">
        <f aca="false">IF(A440="","",IF(BV440=1,"Neu; ","")&amp;IF(AND(BV440=0,BQ440&lt;0),"negativer Bestand (Export "&amp;BQ440&amp;"); ","")&amp;IF(J440&lt;=0,"Kein Verbrauch; ","")&amp;IF(CQ440&gt;0,"Lift "&amp;W440&amp;" lt. Liftbericht (Fach "&amp;X440&amp;" Stk); ",IF(CA440=1,"Gebinde geschätzt ("&amp;T440&amp;"); ",IF(BZ440=1,"Lose – Tablare geschätzt; ","")))&amp;IF(H440&gt;AV440,"Überbestand "&amp;ROUND(H440-AV440,0)&amp;" Stk / CHF "&amp;ROUND((H440-AV440)*G440,0)&amp;"; ","")&amp;IF(AND(CH440=1,CI440&lt;CJ440),"MAX &lt; MB+LG; ","")&amp;IF(AND(CP440&gt;0,CO440*10&gt;CP440),"zu hoch für Tablar; ","")&amp;IF(AND(BV440=0,OR(CH440=1,AA440&lt;&gt;"",U440&lt;&gt;"",V440&lt;&gt;"",AB440&lt;&gt;"")),"manuell übersteuert; ","")&amp;IF(AND(BZ440=0,R440=0),"Gebinde unbekannt / Stellmass fehlt; ","")&amp;IF(AND(BZ440=0,N(V440)&lt;=0,N(Q440)&lt;=0),"Menge pro Gebinde fehlt (Ist = 1 Gebinde); ","")&amp;BU440)</f>
        <v>Überbestand 62 Stk / CHF 489; i.o</v>
      </c>
      <c r="BN440" s="48"/>
      <c r="BO440" s="48"/>
      <c r="BP440" s="55"/>
      <c r="BQ440" s="50" t="n">
        <v>8</v>
      </c>
      <c r="BR440" s="50" t="n">
        <v>55</v>
      </c>
      <c r="BS440" s="49" t="n">
        <v>74.66</v>
      </c>
      <c r="BT440" s="50" t="n">
        <v>1</v>
      </c>
      <c r="BU440" s="48" t="s">
        <v>545</v>
      </c>
      <c r="BV440" s="53" t="n">
        <v>0</v>
      </c>
      <c r="BW440" s="53" t="n">
        <v>440</v>
      </c>
      <c r="BX440" s="48" t="str">
        <f aca="false">IF(U440&lt;&gt;"",UPPER(TRIM(U440)),IF(CA440=1,UPPER(VLOOKUP(T440,Parameter!$I$27:$K$29,2,0)),IF(P440="","LOSE",P440)))</f>
        <v>S61</v>
      </c>
      <c r="BY440" s="50" t="n">
        <f aca="false">IF(BX440="LOSE",1,IF(N(V440)&gt;0,V440,IF(CA440=1,MAX(1,N(VLOOKUP(T440,Parameter!$I$27:$K$29,3,0)),H440,N(N440)),IF(N(Q440)&gt;0,Q440,MAX(1,H440)))))</f>
        <v>55</v>
      </c>
      <c r="BZ440" s="53" t="n">
        <f aca="false">IF(BX440="LOSE",1,0)</f>
        <v>0</v>
      </c>
      <c r="CA440" s="53" t="n">
        <f aca="false">IF(AND(U440="",OR(P440="",P440="LOSE"),T440&lt;&gt;"",N(S440)&lt;=0,ISNUMBER(MATCH(T440,Parameter!$I$27:$I$29,0))),1,0)</f>
        <v>0</v>
      </c>
      <c r="CB440" s="53" t="n">
        <f aca="false">IF(CQ440&gt;0,INDEX(Parameter!$H$5:$H$7,W440)/INDEX(Parameter!$E$5:$E$7,W440),IF(AND(BZ440=0,N(IFERROR(VLOOKUP(BX440,'Gebinde-Kategorie'!$A$5:$N$45,14,0),0))&gt;0),VLOOKUP(BX440,'Gebinde-Kategorie'!$A$5:$N$45,14,0)*10+Parameter!$M$23,Parameter!$M$24))</f>
        <v>145</v>
      </c>
      <c r="CC440" s="48" t="str">
        <f aca="false">IF(AND(Parameter!$B$19="Ja",E440&lt;&gt;"",ISNUMBER(MATCH(E440,Parameter!$I$35:$I$52,0))),VLOOKUP(E440,Parameter!$I$35:$J$52,2,0),IFERROR(VLOOKUP(D440,Parameter!$A$35:$C$64,2,0),"Nein"))</f>
        <v>2+3</v>
      </c>
      <c r="CD440" s="52" t="n">
        <f aca="false">IF(BZ440=0,0,IF(N(S440)&gt;0,S440,IFERROR(VLOOKUP(D440,Parameter!$A$35:$C$64,3,0)+0,0)))</f>
        <v>0</v>
      </c>
      <c r="CE440" s="48" t="n">
        <f aca="false">IF(AA440&lt;&gt;"",AA440,Z440)</f>
        <v>2</v>
      </c>
      <c r="CF440" s="48" t="str">
        <f aca="false">IF(OR(CE440=1,CE440=2,CE440=3),IF(Parameter!$E$27="Ja","LIFT",IF(CE440=1,"L1","L23")),IF(CE440="Aussen","Aussen","-"))</f>
        <v>LIFT</v>
      </c>
      <c r="CG440" s="59" t="n">
        <f aca="false">IF(N(AB440)&gt;0,AB440,0)</f>
        <v>0</v>
      </c>
      <c r="CH440" s="53" t="n">
        <f aca="false">IF(ISNUMBER(AE440),1,0)</f>
        <v>0</v>
      </c>
      <c r="CI440" s="50" t="n">
        <f aca="false">N(AE440)</f>
        <v>0</v>
      </c>
      <c r="CJ440" s="50" t="n">
        <f aca="false">N(M440)+N(N440)</f>
        <v>1</v>
      </c>
      <c r="CK440" s="50" t="n">
        <f aca="false">N(M440)</f>
        <v>0</v>
      </c>
      <c r="CL440" s="50" t="n">
        <f aca="false">N(N440)</f>
        <v>1</v>
      </c>
      <c r="CM440" s="50" t="n">
        <f aca="false">ROUNDUP(H440/BY440,0)</f>
        <v>2</v>
      </c>
      <c r="CN440" s="50" t="n">
        <f aca="false">ROUNDUP(CI440/BY440,0)</f>
        <v>0</v>
      </c>
      <c r="CO440" s="53" t="n">
        <f aca="false">IF(BZ440=1,0,IFERROR(VLOOKUP(BX440,'Gebinde-Kategorie'!$A$5:$N$45,5,0)+0,0))</f>
        <v>11</v>
      </c>
      <c r="CP440" s="53" t="n">
        <f aca="false">IFERROR(IF(OR(CE440=1,CE440=2,CE440=3),N(INDEX(Parameter!$I$5:$I$7,CE440)),0),0)</f>
        <v>0</v>
      </c>
      <c r="CQ440" s="52" t="n">
        <f aca="false">IF(AND(Parameter!$B$21="Ja",ISNUMBER(W440),N(X440)&gt;0),IFERROR(N(INDEX(Parameter!$L$5:$L$7,W440))*INDEX(Parameter!$E$5:$E$7,W440)*X440/SUMIFS($X$7:$X$1843,$W$7:$W$1843,W440),0),0)</f>
        <v>0</v>
      </c>
    </row>
    <row r="441" customFormat="false" ht="15" hidden="false" customHeight="false" outlineLevel="0" collapsed="false">
      <c r="A441" s="48" t="s">
        <v>1014</v>
      </c>
      <c r="B441" s="48" t="s">
        <v>1015</v>
      </c>
      <c r="C441" s="48" t="s">
        <v>173</v>
      </c>
      <c r="D441" s="48" t="s">
        <v>193</v>
      </c>
      <c r="E441" s="48"/>
      <c r="F441" s="48" t="s">
        <v>227</v>
      </c>
      <c r="G441" s="49" t="n">
        <v>73.69</v>
      </c>
      <c r="H441" s="50" t="n">
        <f aca="false">MAX(0,IF(AND(Parameter!$B$21="Ja",ISNUMBER(Y441)),Y441,IF(Parameter!$B$20="Jahresanfang 2025 + Export",BR441+BQ441,BQ441)))</f>
        <v>6</v>
      </c>
      <c r="I441" s="50" t="n">
        <f aca="false">H441*G441</f>
        <v>442.14</v>
      </c>
      <c r="J441" s="50" t="n">
        <f aca="false">BT441*Parameter!$B$18</f>
        <v>0</v>
      </c>
      <c r="K441" s="51" t="n">
        <v>5.5</v>
      </c>
      <c r="L441" s="52" t="n">
        <v>0</v>
      </c>
      <c r="M441" s="50" t="n">
        <v>0</v>
      </c>
      <c r="N441" s="50" t="n">
        <v>1</v>
      </c>
      <c r="O441" s="53" t="n">
        <v>14</v>
      </c>
      <c r="P441" s="48" t="s">
        <v>435</v>
      </c>
      <c r="Q441" s="50" t="n">
        <v>2</v>
      </c>
      <c r="R441" s="53" t="n">
        <f aca="false">IF(BZ441=1,0,IFERROR(VLOOKUP(BX441,'Gebinde-Kategorie'!$A$5:$N$45,13,0)+0,0))</f>
        <v>140</v>
      </c>
      <c r="S441" s="54"/>
      <c r="T441" s="55"/>
      <c r="U441" s="55"/>
      <c r="V441" s="55"/>
      <c r="W441" s="48"/>
      <c r="X441" s="50"/>
      <c r="Y441" s="50"/>
      <c r="Z441" s="48" t="n">
        <f aca="false">IF(A441="","",IF(AND(Parameter!$B$21="Ja",ISNUMBER(W441)),W441,IF(CC441="2+3",IF(ISNUMBER(SEARCH("grosser Artikel",BU441)),2,IFERROR(VLOOKUP(BX441,Parameter!$F$35:$G$64,2,0),2)),IF(OR(CC441="Nein",CC441=""),"-",CC441))))</f>
        <v>3</v>
      </c>
      <c r="AA441" s="55"/>
      <c r="AB441" s="56"/>
      <c r="AC441" s="50" t="n">
        <f aca="false">AV441</f>
        <v>1</v>
      </c>
      <c r="AD441" s="50" t="n">
        <f aca="false">MAX(AV441,H441)</f>
        <v>6</v>
      </c>
      <c r="AE441" s="57"/>
      <c r="AF441" s="50" t="n">
        <f aca="false">IF(LEFT(Cockpit!$C$5,1)="A",H441,IF(Parameter!$E$30="MAX-Bestand",IF(CH441=1,CI441,IF(LEFT(Cockpit!$C$5,1)="B",AL441,MAX(AL441,H441))),ROUNDUP(AJ441,0)))</f>
        <v>6</v>
      </c>
      <c r="AG441" s="50" t="n">
        <f aca="false">IF(BZ441=1,0,ROUNDUP(AF441/BY441,0))</f>
        <v>3</v>
      </c>
      <c r="AH441" s="52" t="n">
        <f aca="false">IF(CQ441&gt;0,CQ441*MAX(1,AF441/X441),IF(BZ441=1,IF(AF441&lt;=0,0,CD441*MAX(1,IF(H441&gt;0,AF441/H441,1))),IF(R441&gt;0,AG441/R441,0))/MAX(0.1,N(Parameter!$M$21)))</f>
        <v>0.0214285714285714</v>
      </c>
      <c r="AI441" s="50" t="n">
        <f aca="false">AH441*CB441</f>
        <v>3.32142857142857</v>
      </c>
      <c r="AJ441" s="51" t="n">
        <f aca="false">IF(LEFT(Cockpit!$C$5,1)="A",H441,IF(CH441=1,(CK441+CI441)/2,IF(LEFT(Cockpit!$C$5,1)="B",(CK441+AL441)/2,MAX((CK441+AL441)/2,H441))))</f>
        <v>6</v>
      </c>
      <c r="AK441" s="50" t="n">
        <f aca="false">AJ441*G441</f>
        <v>442.14</v>
      </c>
      <c r="AL441" s="50" t="n">
        <f aca="false">ROUNDUP(CK441+MAX(CL441,2*(J441/IF(CG441&gt;0,CG441,MAX(0.1,N(Cockpit!$C$6)))-CK441)),0)</f>
        <v>1</v>
      </c>
      <c r="AM441" s="51" t="n">
        <f aca="false">IF(AI441&gt;0,J441/AI441,-1)</f>
        <v>0</v>
      </c>
      <c r="AN441" s="51" t="n">
        <f aca="false">IF(AND(OR(CF441="L1",CF441="L23",CF441="LIFT"),AI441&gt;0),SUMIFS($AI$7:$AI$1843,$CF$7:$CF$1843,CF441,$AM$7:$AM$1843,"&gt;"&amp;AM441)+SUMIFS($AI$7:$AI$1843,$CF$7:$CF$1843,CF441,$AM$7:$AM$1843,AM441,$BW$7:$BW$1843,"&lt;="&amp;BW441),"")</f>
        <v>28143.0812121024</v>
      </c>
      <c r="AO441" s="58" t="n">
        <f aca="false">IF(AN441="",0,MAX(0,MIN(1,(IF(CF441="L1",Parameter!$H$5,IF(CF441="L23",Parameter!$H$6+Parameter!$H$7,Parameter!$H$5+Parameter!$H$6+Parameter!$H$7))-(AN441-AI441))/AI441)))</f>
        <v>1</v>
      </c>
      <c r="AP441" s="50" t="n">
        <f aca="false">IF(LEFT(Cockpit!$I$5,1)="A",H441,IF(Parameter!$E$30="MAX-Bestand",IF(CH441=1,CI441,IF(LEFT(Cockpit!$I$5,1)="B",AV441,MAX(AV441,H441))),ROUNDUP(AT441,0)))</f>
        <v>6</v>
      </c>
      <c r="AQ441" s="50" t="n">
        <f aca="false">IF(BZ441=1,0,ROUNDUP(AP441/BY441,0))</f>
        <v>3</v>
      </c>
      <c r="AR441" s="52" t="n">
        <f aca="false">IF(CQ441&gt;0,CQ441*MAX(1,AP441/X441),IF(BZ441=1,IF(AP441&lt;=0,0,CD441*MAX(1,IF(H441&gt;0,AP441/H441,1))),IF(R441&gt;0,AQ441/R441,0))/MAX(0.1,N(Parameter!$M$21)))</f>
        <v>0.0214285714285714</v>
      </c>
      <c r="AS441" s="50" t="n">
        <f aca="false">AR441*CB441</f>
        <v>3.32142857142857</v>
      </c>
      <c r="AT441" s="51" t="n">
        <f aca="false">IF(LEFT(Cockpit!$I$5,1)="A",H441,IF(CH441=1,(CK441+CI441)/2,IF(LEFT(Cockpit!$I$5,1)="B",(CK441+AV441)/2,MAX((CK441+AV441)/2,H441))))</f>
        <v>6</v>
      </c>
      <c r="AU441" s="50" t="n">
        <f aca="false">AT441*G441</f>
        <v>442.14</v>
      </c>
      <c r="AV441" s="50" t="n">
        <f aca="false">ROUNDUP(CK441+MAX(CL441,2*(J441/IF(CG441&gt;0,CG441,MAX(0.1,N(Cockpit!$I$6)))-CK441)),0)</f>
        <v>1</v>
      </c>
      <c r="AW441" s="51" t="n">
        <f aca="false">IF(AS441&gt;0,J441/AS441,-1)</f>
        <v>0</v>
      </c>
      <c r="AX441" s="51" t="n">
        <f aca="false">IF(AND(OR(CF441="L1",CF441="L23",CF441="LIFT"),AS441&gt;0),SUMIFS($AS$7:$AS$1843,$CF$7:$CF$1843,CF441,$AW$7:$AW$1843,"&gt;"&amp;AW441)+SUMIFS($AS$7:$AS$1843,$CF$7:$CF$1843,CF441,$AW$7:$AW$1843,AW441,$BW$7:$BW$1843,"&lt;="&amp;BW441),"")</f>
        <v>33496.2298534799</v>
      </c>
      <c r="AY441" s="58" t="n">
        <f aca="false">IF(AX441="",0,MAX(0,MIN(1,(IF(CF441="L1",Parameter!$H$5,IF(CF441="L23",Parameter!$H$6+Parameter!$H$7,Parameter!$H$5+Parameter!$H$6+Parameter!$H$7))-(AX441-AS441))/AS441)))</f>
        <v>1</v>
      </c>
      <c r="AZ441" s="50" t="n">
        <f aca="false">IF(LEFT(Cockpit!$O$5,1)="A",H441,IF(Parameter!$E$30="MAX-Bestand",IF(CH441=1,CI441,IF(LEFT(Cockpit!$O$5,1)="B",BF441,MAX(BF441,H441))),ROUNDUP(BD441,0)))</f>
        <v>1</v>
      </c>
      <c r="BA441" s="50" t="n">
        <f aca="false">IF(BZ441=1,0,ROUNDUP(AZ441/BY441,0))</f>
        <v>1</v>
      </c>
      <c r="BB441" s="52" t="n">
        <f aca="false">IF(CQ441&gt;0,CQ441*MAX(1,AZ441/X441),IF(BZ441=1,IF(AZ441&lt;=0,0,CD441*MAX(1,IF(H441&gt;0,AZ441/H441,1))),IF(R441&gt;0,BA441/R441,0))/MAX(0.1,N(Parameter!$M$21)))</f>
        <v>0.00714285714285714</v>
      </c>
      <c r="BC441" s="50" t="n">
        <f aca="false">BB441*CB441</f>
        <v>1.10714285714286</v>
      </c>
      <c r="BD441" s="51" t="n">
        <f aca="false">IF(LEFT(Cockpit!$O$5,1)="A",H441,IF(CH441=1,(CK441+CI441)/2,IF(LEFT(Cockpit!$O$5,1)="B",(CK441+BF441)/2,MAX((CK441+BF441)/2,H441))))</f>
        <v>0.5</v>
      </c>
      <c r="BE441" s="50" t="n">
        <f aca="false">BD441*G441</f>
        <v>36.845</v>
      </c>
      <c r="BF441" s="50" t="n">
        <f aca="false">ROUNDUP(CK441+MAX(CL441,2*(J441/IF(CG441&gt;0,CG441,MAX(0.1,N(Cockpit!$O$6)))-CK441)),0)</f>
        <v>1</v>
      </c>
      <c r="BG441" s="51" t="n">
        <f aca="false">IF(BC441&gt;0,J441/BC441,-1)</f>
        <v>0</v>
      </c>
      <c r="BH441" s="51" t="n">
        <f aca="false">IF(AND(OR(CF441="L1",CF441="L23",CF441="LIFT"),BC441&gt;0),SUMIFS($BC$7:$BC$1843,$CF$7:$CF$1843,CF441,$BG$7:$BG$1843,"&gt;"&amp;BG441)+SUMIFS($BC$7:$BC$1843,$CF$7:$CF$1843,CF441,$BG$7:$BG$1843,BG441,$BW$7:$BW$1843,"&lt;="&amp;BW441),"")</f>
        <v>27603.4646271807</v>
      </c>
      <c r="BI441" s="58" t="n">
        <f aca="false">IF(BH441="",0,MAX(0,MIN(1,(IF(CF441="L1",Parameter!$H$5,IF(CF441="L23",Parameter!$H$6+Parameter!$H$7,Parameter!$H$5+Parameter!$H$6+Parameter!$H$7))-(BH441-BC441))/BC441)))</f>
        <v>1</v>
      </c>
      <c r="BJ441" s="48" t="str">
        <f aca="false">IF(AI441&lt;=0,"",IF(CF441="Aussen","Aussenlager",IF(CF441="-","Nicht im Lift",IF(AO441&gt;=1,"Lift",IF(AO441&lt;=0,"Aussenlager","teilweise")))))</f>
        <v>Lift</v>
      </c>
      <c r="BK441" s="48" t="str">
        <f aca="false">IF(AS441&lt;=0,"",IF(CF441="Aussen","Aussenlager",IF(CF441="-","Nicht im Lift",IF(AY441&gt;=1,"Lift",IF(AY441&lt;=0,"Aussenlager","teilweise")))))</f>
        <v>Lift</v>
      </c>
      <c r="BL441" s="48" t="str">
        <f aca="false">IF(BC441&lt;=0,"",IF(CF441="Aussen","Aussenlager",IF(CF441="-","Nicht im Lift",IF(BI441&gt;=1,"Lift",IF(BI441&lt;=0,"Aussenlager","teilweise")))))</f>
        <v>Lift</v>
      </c>
      <c r="BM441" s="48" t="str">
        <f aca="false">IF(A441="","",IF(BV441=1,"Neu; ","")&amp;IF(AND(BV441=0,BQ441&lt;0),"negativer Bestand (Export "&amp;BQ441&amp;"); ","")&amp;IF(J441&lt;=0,"Kein Verbrauch; ","")&amp;IF(CQ441&gt;0,"Lift "&amp;W441&amp;" lt. Liftbericht (Fach "&amp;X441&amp;" Stk); ",IF(CA441=1,"Gebinde geschätzt ("&amp;T441&amp;"); ",IF(BZ441=1,"Lose – Tablare geschätzt; ","")))&amp;IF(H441&gt;AV441,"Überbestand "&amp;ROUND(H441-AV441,0)&amp;" Stk / CHF "&amp;ROUND((H441-AV441)*G441,0)&amp;"; ","")&amp;IF(AND(CH441=1,CI441&lt;CJ441),"MAX &lt; MB+LG; ","")&amp;IF(AND(CP441&gt;0,CO441*10&gt;CP441),"zu hoch für Tablar; ","")&amp;IF(AND(BV441=0,OR(CH441=1,AA441&lt;&gt;"",U441&lt;&gt;"",V441&lt;&gt;"",AB441&lt;&gt;"")),"manuell übersteuert; ","")&amp;IF(AND(BZ441=0,R441=0),"Gebinde unbekannt / Stellmass fehlt; ","")&amp;IF(AND(BZ441=0,N(V441)&lt;=0,N(Q441)&lt;=0),"Menge pro Gebinde fehlt (Ist = 1 Gebinde); ","")&amp;BU441)</f>
        <v>Kein Verbrauch; Überbestand 5 Stk / CHF 368; i.o</v>
      </c>
      <c r="BN441" s="48"/>
      <c r="BO441" s="48"/>
      <c r="BP441" s="55"/>
      <c r="BQ441" s="50" t="n">
        <v>1</v>
      </c>
      <c r="BR441" s="50" t="n">
        <v>5</v>
      </c>
      <c r="BS441" s="49" t="n">
        <v>73.69</v>
      </c>
      <c r="BT441" s="50" t="n">
        <v>0</v>
      </c>
      <c r="BU441" s="48" t="s">
        <v>545</v>
      </c>
      <c r="BV441" s="53" t="n">
        <v>0</v>
      </c>
      <c r="BW441" s="53" t="n">
        <v>441</v>
      </c>
      <c r="BX441" s="48" t="str">
        <f aca="false">IF(U441&lt;&gt;"",UPPER(TRIM(U441)),IF(CA441=1,UPPER(VLOOKUP(T441,Parameter!$I$27:$K$29,2,0)),IF(P441="","LOSE",P441)))</f>
        <v>S22</v>
      </c>
      <c r="BY441" s="50" t="n">
        <f aca="false">IF(BX441="LOSE",1,IF(N(V441)&gt;0,V441,IF(CA441=1,MAX(1,N(VLOOKUP(T441,Parameter!$I$27:$K$29,3,0)),H441,N(N441)),IF(N(Q441)&gt;0,Q441,MAX(1,H441)))))</f>
        <v>2</v>
      </c>
      <c r="BZ441" s="53" t="n">
        <f aca="false">IF(BX441="LOSE",1,0)</f>
        <v>0</v>
      </c>
      <c r="CA441" s="53" t="n">
        <f aca="false">IF(AND(U441="",OR(P441="",P441="LOSE"),T441&lt;&gt;"",N(S441)&lt;=0,ISNUMBER(MATCH(T441,Parameter!$I$27:$I$29,0))),1,0)</f>
        <v>0</v>
      </c>
      <c r="CB441" s="53" t="n">
        <f aca="false">IF(CQ441&gt;0,INDEX(Parameter!$H$5:$H$7,W441)/INDEX(Parameter!$E$5:$E$7,W441),IF(AND(BZ441=0,N(IFERROR(VLOOKUP(BX441,'Gebinde-Kategorie'!$A$5:$N$45,14,0),0))&gt;0),VLOOKUP(BX441,'Gebinde-Kategorie'!$A$5:$N$45,14,0)*10+Parameter!$M$23,Parameter!$M$24))</f>
        <v>155</v>
      </c>
      <c r="CC441" s="48" t="str">
        <f aca="false">IF(AND(Parameter!$B$19="Ja",E441&lt;&gt;"",ISNUMBER(MATCH(E441,Parameter!$I$35:$I$52,0))),VLOOKUP(E441,Parameter!$I$35:$J$52,2,0),IFERROR(VLOOKUP(D441,Parameter!$A$35:$C$64,2,0),"Nein"))</f>
        <v>2+3</v>
      </c>
      <c r="CD441" s="52" t="n">
        <f aca="false">IF(BZ441=0,0,IF(N(S441)&gt;0,S441,IFERROR(VLOOKUP(D441,Parameter!$A$35:$C$64,3,0)+0,0)))</f>
        <v>0</v>
      </c>
      <c r="CE441" s="48" t="n">
        <f aca="false">IF(AA441&lt;&gt;"",AA441,Z441)</f>
        <v>3</v>
      </c>
      <c r="CF441" s="48" t="str">
        <f aca="false">IF(OR(CE441=1,CE441=2,CE441=3),IF(Parameter!$E$27="Ja","LIFT",IF(CE441=1,"L1","L23")),IF(CE441="Aussen","Aussen","-"))</f>
        <v>LIFT</v>
      </c>
      <c r="CG441" s="59" t="n">
        <f aca="false">IF(N(AB441)&gt;0,AB441,0)</f>
        <v>0</v>
      </c>
      <c r="CH441" s="53" t="n">
        <f aca="false">IF(ISNUMBER(AE441),1,0)</f>
        <v>0</v>
      </c>
      <c r="CI441" s="50" t="n">
        <f aca="false">N(AE441)</f>
        <v>0</v>
      </c>
      <c r="CJ441" s="50" t="n">
        <f aca="false">N(M441)+N(N441)</f>
        <v>1</v>
      </c>
      <c r="CK441" s="50" t="n">
        <f aca="false">N(M441)</f>
        <v>0</v>
      </c>
      <c r="CL441" s="50" t="n">
        <f aca="false">N(N441)</f>
        <v>1</v>
      </c>
      <c r="CM441" s="50" t="n">
        <f aca="false">ROUNDUP(H441/BY441,0)</f>
        <v>3</v>
      </c>
      <c r="CN441" s="50" t="n">
        <f aca="false">ROUNDUP(CI441/BY441,0)</f>
        <v>0</v>
      </c>
      <c r="CO441" s="53" t="n">
        <f aca="false">IF(BZ441=1,0,IFERROR(VLOOKUP(BX441,'Gebinde-Kategorie'!$A$5:$N$45,5,0)+0,0))</f>
        <v>8</v>
      </c>
      <c r="CP441" s="53" t="n">
        <f aca="false">IFERROR(IF(OR(CE441=1,CE441=2,CE441=3),N(INDEX(Parameter!$I$5:$I$7,CE441)),0),0)</f>
        <v>0</v>
      </c>
      <c r="CQ441" s="52" t="n">
        <f aca="false">IF(AND(Parameter!$B$21="Ja",ISNUMBER(W441),N(X441)&gt;0),IFERROR(N(INDEX(Parameter!$L$5:$L$7,W441))*INDEX(Parameter!$E$5:$E$7,W441)*X441/SUMIFS($X$7:$X$1843,$W$7:$W$1843,W441),0),0)</f>
        <v>0</v>
      </c>
    </row>
    <row r="442" customFormat="false" ht="15" hidden="false" customHeight="false" outlineLevel="0" collapsed="false">
      <c r="A442" s="48" t="s">
        <v>1016</v>
      </c>
      <c r="B442" s="48" t="s">
        <v>901</v>
      </c>
      <c r="C442" s="48" t="s">
        <v>173</v>
      </c>
      <c r="D442" s="48" t="s">
        <v>193</v>
      </c>
      <c r="E442" s="48" t="s">
        <v>194</v>
      </c>
      <c r="F442" s="48" t="s">
        <v>227</v>
      </c>
      <c r="G442" s="49" t="n">
        <v>7.1</v>
      </c>
      <c r="H442" s="50" t="n">
        <f aca="false">MAX(0,IF(AND(Parameter!$B$21="Ja",ISNUMBER(Y442)),Y442,IF(Parameter!$B$20="Jahresanfang 2025 + Export",BR442+BQ442,BQ442)))</f>
        <v>17</v>
      </c>
      <c r="I442" s="50" t="n">
        <f aca="false">H442*G442</f>
        <v>120.7</v>
      </c>
      <c r="J442" s="50" t="n">
        <f aca="false">BT442*Parameter!$B$18</f>
        <v>22</v>
      </c>
      <c r="K442" s="51" t="n">
        <v>7</v>
      </c>
      <c r="L442" s="52" t="n">
        <v>3.14285714285714</v>
      </c>
      <c r="M442" s="50" t="n">
        <v>0</v>
      </c>
      <c r="N442" s="50" t="n">
        <v>20</v>
      </c>
      <c r="O442" s="53" t="n">
        <v>14</v>
      </c>
      <c r="P442" s="48" t="s">
        <v>435</v>
      </c>
      <c r="Q442" s="50" t="n">
        <v>32</v>
      </c>
      <c r="R442" s="53" t="n">
        <f aca="false">IF(BZ442=1,0,IFERROR(VLOOKUP(BX442,'Gebinde-Kategorie'!$A$5:$N$45,13,0)+0,0))</f>
        <v>140</v>
      </c>
      <c r="S442" s="54"/>
      <c r="T442" s="55"/>
      <c r="U442" s="55"/>
      <c r="V442" s="55"/>
      <c r="W442" s="48"/>
      <c r="X442" s="50"/>
      <c r="Y442" s="50"/>
      <c r="Z442" s="48" t="n">
        <f aca="false">IF(A442="","",IF(AND(Parameter!$B$21="Ja",ISNUMBER(W442)),W442,IF(CC442="2+3",IF(ISNUMBER(SEARCH("grosser Artikel",BU442)),2,IFERROR(VLOOKUP(BX442,Parameter!$F$35:$G$64,2,0),2)),IF(OR(CC442="Nein",CC442=""),"-",CC442))))</f>
        <v>3</v>
      </c>
      <c r="AA442" s="55"/>
      <c r="AB442" s="56"/>
      <c r="AC442" s="50" t="n">
        <f aca="false">AV442</f>
        <v>20</v>
      </c>
      <c r="AD442" s="50" t="n">
        <f aca="false">MAX(AV442,H442)</f>
        <v>20</v>
      </c>
      <c r="AE442" s="57"/>
      <c r="AF442" s="50" t="n">
        <f aca="false">IF(LEFT(Cockpit!$C$5,1)="A",H442,IF(Parameter!$E$30="MAX-Bestand",IF(CH442=1,CI442,IF(LEFT(Cockpit!$C$5,1)="B",AL442,MAX(AL442,H442))),ROUNDUP(AJ442,0)))</f>
        <v>17</v>
      </c>
      <c r="AG442" s="50" t="n">
        <f aca="false">IF(BZ442=1,0,ROUNDUP(AF442/BY442,0))</f>
        <v>1</v>
      </c>
      <c r="AH442" s="52" t="n">
        <f aca="false">IF(CQ442&gt;0,CQ442*MAX(1,AF442/X442),IF(BZ442=1,IF(AF442&lt;=0,0,CD442*MAX(1,IF(H442&gt;0,AF442/H442,1))),IF(R442&gt;0,AG442/R442,0))/MAX(0.1,N(Parameter!$M$21)))</f>
        <v>0.00714285714285714</v>
      </c>
      <c r="AI442" s="50" t="n">
        <f aca="false">AH442*CB442</f>
        <v>1.10714285714286</v>
      </c>
      <c r="AJ442" s="51" t="n">
        <f aca="false">IF(LEFT(Cockpit!$C$5,1)="A",H442,IF(CH442=1,(CK442+CI442)/2,IF(LEFT(Cockpit!$C$5,1)="B",(CK442+AL442)/2,MAX((CK442+AL442)/2,H442))))</f>
        <v>17</v>
      </c>
      <c r="AK442" s="50" t="n">
        <f aca="false">AJ442*G442</f>
        <v>120.7</v>
      </c>
      <c r="AL442" s="50" t="n">
        <f aca="false">ROUNDUP(CK442+MAX(CL442,2*(J442/IF(CG442&gt;0,CG442,MAX(0.1,N(Cockpit!$C$6)))-CK442)),0)</f>
        <v>20</v>
      </c>
      <c r="AM442" s="51" t="n">
        <f aca="false">IF(AI442&gt;0,J442/AI442,-1)</f>
        <v>19.8709677419355</v>
      </c>
      <c r="AN442" s="51" t="n">
        <f aca="false">IF(AND(OR(CF442="L1",CF442="L23",CF442="LIFT"),AI442&gt;0),SUMIFS($AI$7:$AI$1843,$CF$7:$CF$1843,CF442,$AM$7:$AM$1843,"&gt;"&amp;AM442)+SUMIFS($AI$7:$AI$1843,$CF$7:$CF$1843,CF442,$AM$7:$AM$1843,AM442,$BW$7:$BW$1843,"&lt;="&amp;BW442),"")</f>
        <v>1656.7326007326</v>
      </c>
      <c r="AO442" s="58" t="n">
        <f aca="false">IF(AN442="",0,MAX(0,MIN(1,(IF(CF442="L1",Parameter!$H$5,IF(CF442="L23",Parameter!$H$6+Parameter!$H$7,Parameter!$H$5+Parameter!$H$6+Parameter!$H$7))-(AN442-AI442))/AI442)))</f>
        <v>1</v>
      </c>
      <c r="AP442" s="50" t="n">
        <f aca="false">IF(LEFT(Cockpit!$I$5,1)="A",H442,IF(Parameter!$E$30="MAX-Bestand",IF(CH442=1,CI442,IF(LEFT(Cockpit!$I$5,1)="B",AV442,MAX(AV442,H442))),ROUNDUP(AT442,0)))</f>
        <v>17</v>
      </c>
      <c r="AQ442" s="50" t="n">
        <f aca="false">IF(BZ442=1,0,ROUNDUP(AP442/BY442,0))</f>
        <v>1</v>
      </c>
      <c r="AR442" s="52" t="n">
        <f aca="false">IF(CQ442&gt;0,CQ442*MAX(1,AP442/X442),IF(BZ442=1,IF(AP442&lt;=0,0,CD442*MAX(1,IF(H442&gt;0,AP442/H442,1))),IF(R442&gt;0,AQ442/R442,0))/MAX(0.1,N(Parameter!$M$21)))</f>
        <v>0.00714285714285714</v>
      </c>
      <c r="AS442" s="50" t="n">
        <f aca="false">AR442*CB442</f>
        <v>1.10714285714286</v>
      </c>
      <c r="AT442" s="51" t="n">
        <f aca="false">IF(LEFT(Cockpit!$I$5,1)="A",H442,IF(CH442=1,(CK442+CI442)/2,IF(LEFT(Cockpit!$I$5,1)="B",(CK442+AV442)/2,MAX((CK442+AV442)/2,H442))))</f>
        <v>17</v>
      </c>
      <c r="AU442" s="50" t="n">
        <f aca="false">AT442*G442</f>
        <v>120.7</v>
      </c>
      <c r="AV442" s="50" t="n">
        <f aca="false">ROUNDUP(CK442+MAX(CL442,2*(J442/IF(CG442&gt;0,CG442,MAX(0.1,N(Cockpit!$I$6)))-CK442)),0)</f>
        <v>20</v>
      </c>
      <c r="AW442" s="51" t="n">
        <f aca="false">IF(AS442&gt;0,J442/AS442,-1)</f>
        <v>19.8709677419355</v>
      </c>
      <c r="AX442" s="51" t="n">
        <f aca="false">IF(AND(OR(CF442="L1",CF442="L23",CF442="LIFT"),AS442&gt;0),SUMIFS($AS$7:$AS$1843,$CF$7:$CF$1843,CF442,$AW$7:$AW$1843,"&gt;"&amp;AW442)+SUMIFS($AS$7:$AS$1843,$CF$7:$CF$1843,CF442,$AW$7:$AW$1843,AW442,$BW$7:$BW$1843,"&lt;="&amp;BW442),"")</f>
        <v>2293.85347985348</v>
      </c>
      <c r="AY442" s="58" t="n">
        <f aca="false">IF(AX442="",0,MAX(0,MIN(1,(IF(CF442="L1",Parameter!$H$5,IF(CF442="L23",Parameter!$H$6+Parameter!$H$7,Parameter!$H$5+Parameter!$H$6+Parameter!$H$7))-(AX442-AS442))/AS442)))</f>
        <v>1</v>
      </c>
      <c r="AZ442" s="50" t="n">
        <f aca="false">IF(LEFT(Cockpit!$O$5,1)="A",H442,IF(Parameter!$E$30="MAX-Bestand",IF(CH442=1,CI442,IF(LEFT(Cockpit!$O$5,1)="B",BF442,MAX(BF442,H442))),ROUNDUP(BD442,0)))</f>
        <v>10</v>
      </c>
      <c r="BA442" s="50" t="n">
        <f aca="false">IF(BZ442=1,0,ROUNDUP(AZ442/BY442,0))</f>
        <v>1</v>
      </c>
      <c r="BB442" s="52" t="n">
        <f aca="false">IF(CQ442&gt;0,CQ442*MAX(1,AZ442/X442),IF(BZ442=1,IF(AZ442&lt;=0,0,CD442*MAX(1,IF(H442&gt;0,AZ442/H442,1))),IF(R442&gt;0,BA442/R442,0))/MAX(0.1,N(Parameter!$M$21)))</f>
        <v>0.00714285714285714</v>
      </c>
      <c r="BC442" s="50" t="n">
        <f aca="false">BB442*CB442</f>
        <v>1.10714285714286</v>
      </c>
      <c r="BD442" s="51" t="n">
        <f aca="false">IF(LEFT(Cockpit!$O$5,1)="A",H442,IF(CH442=1,(CK442+CI442)/2,IF(LEFT(Cockpit!$O$5,1)="B",(CK442+BF442)/2,MAX((CK442+BF442)/2,H442))))</f>
        <v>10</v>
      </c>
      <c r="BE442" s="50" t="n">
        <f aca="false">BD442*G442</f>
        <v>71</v>
      </c>
      <c r="BF442" s="50" t="n">
        <f aca="false">ROUNDUP(CK442+MAX(CL442,2*(J442/IF(CG442&gt;0,CG442,MAX(0.1,N(Cockpit!$O$6)))-CK442)),0)</f>
        <v>20</v>
      </c>
      <c r="BG442" s="51" t="n">
        <f aca="false">IF(BC442&gt;0,J442/BC442,-1)</f>
        <v>19.8709677419355</v>
      </c>
      <c r="BH442" s="51" t="n">
        <f aca="false">IF(AND(OR(CF442="L1",CF442="L23",CF442="LIFT"),BC442&gt;0),SUMIFS($BC$7:$BC$1843,$CF$7:$CF$1843,CF442,$BG$7:$BG$1843,"&gt;"&amp;BG442)+SUMIFS($BC$7:$BC$1843,$CF$7:$CF$1843,CF442,$BG$7:$BG$1843,BG442,$BW$7:$BW$1843,"&lt;="&amp;BW442),"")</f>
        <v>2224.62087912088</v>
      </c>
      <c r="BI442" s="58" t="n">
        <f aca="false">IF(BH442="",0,MAX(0,MIN(1,(IF(CF442="L1",Parameter!$H$5,IF(CF442="L23",Parameter!$H$6+Parameter!$H$7,Parameter!$H$5+Parameter!$H$6+Parameter!$H$7))-(BH442-BC442))/BC442)))</f>
        <v>1</v>
      </c>
      <c r="BJ442" s="48" t="str">
        <f aca="false">IF(AI442&lt;=0,"",IF(CF442="Aussen","Aussenlager",IF(CF442="-","Nicht im Lift",IF(AO442&gt;=1,"Lift",IF(AO442&lt;=0,"Aussenlager","teilweise")))))</f>
        <v>Lift</v>
      </c>
      <c r="BK442" s="48" t="str">
        <f aca="false">IF(AS442&lt;=0,"",IF(CF442="Aussen","Aussenlager",IF(CF442="-","Nicht im Lift",IF(AY442&gt;=1,"Lift",IF(AY442&lt;=0,"Aussenlager","teilweise")))))</f>
        <v>Lift</v>
      </c>
      <c r="BL442" s="48" t="str">
        <f aca="false">IF(BC442&lt;=0,"",IF(CF442="Aussen","Aussenlager",IF(CF442="-","Nicht im Lift",IF(BI442&gt;=1,"Lift",IF(BI442&lt;=0,"Aussenlager","teilweise")))))</f>
        <v>Lift</v>
      </c>
      <c r="BM442" s="48" t="str">
        <f aca="false">IF(A442="","",IF(BV442=1,"Neu; ","")&amp;IF(AND(BV442=0,BQ442&lt;0),"negativer Bestand (Export "&amp;BQ442&amp;"); ","")&amp;IF(J442&lt;=0,"Kein Verbrauch; ","")&amp;IF(CQ442&gt;0,"Lift "&amp;W442&amp;" lt. Liftbericht (Fach "&amp;X442&amp;" Stk); ",IF(CA442=1,"Gebinde geschätzt ("&amp;T442&amp;"); ",IF(BZ442=1,"Lose – Tablare geschätzt; ","")))&amp;IF(H442&gt;AV442,"Überbestand "&amp;ROUND(H442-AV442,0)&amp;" Stk / CHF "&amp;ROUND((H442-AV442)*G442,0)&amp;"; ","")&amp;IF(AND(CH442=1,CI442&lt;CJ442),"MAX &lt; MB+LG; ","")&amp;IF(AND(CP442&gt;0,CO442*10&gt;CP442),"zu hoch für Tablar; ","")&amp;IF(AND(BV442=0,OR(CH442=1,AA442&lt;&gt;"",U442&lt;&gt;"",V442&lt;&gt;"",AB442&lt;&gt;"")),"manuell übersteuert; ","")&amp;IF(AND(BZ442=0,R442=0),"Gebinde unbekannt / Stellmass fehlt; ","")&amp;IF(AND(BZ442=0,N(V442)&lt;=0,N(Q442)&lt;=0),"Menge pro Gebinde fehlt (Ist = 1 Gebinde); ","")&amp;BU442)</f>
        <v/>
      </c>
      <c r="BN442" s="48"/>
      <c r="BO442" s="48"/>
      <c r="BP442" s="55"/>
      <c r="BQ442" s="50" t="n">
        <v>10</v>
      </c>
      <c r="BR442" s="50" t="n">
        <v>7</v>
      </c>
      <c r="BS442" s="49" t="n">
        <v>73.38</v>
      </c>
      <c r="BT442" s="50" t="n">
        <v>22</v>
      </c>
      <c r="BU442" s="48"/>
      <c r="BV442" s="53" t="n">
        <v>0</v>
      </c>
      <c r="BW442" s="53" t="n">
        <v>442</v>
      </c>
      <c r="BX442" s="48" t="str">
        <f aca="false">IF(U442&lt;&gt;"",UPPER(TRIM(U442)),IF(CA442=1,UPPER(VLOOKUP(T442,Parameter!$I$27:$K$29,2,0)),IF(P442="","LOSE",P442)))</f>
        <v>S22</v>
      </c>
      <c r="BY442" s="50" t="n">
        <f aca="false">IF(BX442="LOSE",1,IF(N(V442)&gt;0,V442,IF(CA442=1,MAX(1,N(VLOOKUP(T442,Parameter!$I$27:$K$29,3,0)),H442,N(N442)),IF(N(Q442)&gt;0,Q442,MAX(1,H442)))))</f>
        <v>32</v>
      </c>
      <c r="BZ442" s="53" t="n">
        <f aca="false">IF(BX442="LOSE",1,0)</f>
        <v>0</v>
      </c>
      <c r="CA442" s="53" t="n">
        <f aca="false">IF(AND(U442="",OR(P442="",P442="LOSE"),T442&lt;&gt;"",N(S442)&lt;=0,ISNUMBER(MATCH(T442,Parameter!$I$27:$I$29,0))),1,0)</f>
        <v>0</v>
      </c>
      <c r="CB442" s="53" t="n">
        <f aca="false">IF(CQ442&gt;0,INDEX(Parameter!$H$5:$H$7,W442)/INDEX(Parameter!$E$5:$E$7,W442),IF(AND(BZ442=0,N(IFERROR(VLOOKUP(BX442,'Gebinde-Kategorie'!$A$5:$N$45,14,0),0))&gt;0),VLOOKUP(BX442,'Gebinde-Kategorie'!$A$5:$N$45,14,0)*10+Parameter!$M$23,Parameter!$M$24))</f>
        <v>155</v>
      </c>
      <c r="CC442" s="48" t="str">
        <f aca="false">IF(AND(Parameter!$B$19="Ja",E442&lt;&gt;"",ISNUMBER(MATCH(E442,Parameter!$I$35:$I$52,0))),VLOOKUP(E442,Parameter!$I$35:$J$52,2,0),IFERROR(VLOOKUP(D442,Parameter!$A$35:$C$64,2,0),"Nein"))</f>
        <v>2+3</v>
      </c>
      <c r="CD442" s="52" t="n">
        <f aca="false">IF(BZ442=0,0,IF(N(S442)&gt;0,S442,IFERROR(VLOOKUP(D442,Parameter!$A$35:$C$64,3,0)+0,0)))</f>
        <v>0</v>
      </c>
      <c r="CE442" s="48" t="n">
        <f aca="false">IF(AA442&lt;&gt;"",AA442,Z442)</f>
        <v>3</v>
      </c>
      <c r="CF442" s="48" t="str">
        <f aca="false">IF(OR(CE442=1,CE442=2,CE442=3),IF(Parameter!$E$27="Ja","LIFT",IF(CE442=1,"L1","L23")),IF(CE442="Aussen","Aussen","-"))</f>
        <v>LIFT</v>
      </c>
      <c r="CG442" s="59" t="n">
        <f aca="false">IF(N(AB442)&gt;0,AB442,0)</f>
        <v>0</v>
      </c>
      <c r="CH442" s="53" t="n">
        <f aca="false">IF(ISNUMBER(AE442),1,0)</f>
        <v>0</v>
      </c>
      <c r="CI442" s="50" t="n">
        <f aca="false">N(AE442)</f>
        <v>0</v>
      </c>
      <c r="CJ442" s="50" t="n">
        <f aca="false">N(M442)+N(N442)</f>
        <v>20</v>
      </c>
      <c r="CK442" s="50" t="n">
        <f aca="false">N(M442)</f>
        <v>0</v>
      </c>
      <c r="CL442" s="50" t="n">
        <f aca="false">N(N442)</f>
        <v>20</v>
      </c>
      <c r="CM442" s="50" t="n">
        <f aca="false">ROUNDUP(H442/BY442,0)</f>
        <v>1</v>
      </c>
      <c r="CN442" s="50" t="n">
        <f aca="false">ROUNDUP(CI442/BY442,0)</f>
        <v>0</v>
      </c>
      <c r="CO442" s="53" t="n">
        <f aca="false">IF(BZ442=1,0,IFERROR(VLOOKUP(BX442,'Gebinde-Kategorie'!$A$5:$N$45,5,0)+0,0))</f>
        <v>8</v>
      </c>
      <c r="CP442" s="53" t="n">
        <f aca="false">IFERROR(IF(OR(CE442=1,CE442=2,CE442=3),N(INDEX(Parameter!$I$5:$I$7,CE442)),0),0)</f>
        <v>0</v>
      </c>
      <c r="CQ442" s="52" t="n">
        <f aca="false">IF(AND(Parameter!$B$21="Ja",ISNUMBER(W442),N(X442)&gt;0),IFERROR(N(INDEX(Parameter!$L$5:$L$7,W442))*INDEX(Parameter!$E$5:$E$7,W442)*X442/SUMIFS($X$7:$X$1843,$W$7:$W$1843,W442),0),0)</f>
        <v>0</v>
      </c>
    </row>
    <row r="443" customFormat="false" ht="15" hidden="false" customHeight="false" outlineLevel="0" collapsed="false">
      <c r="A443" s="48" t="s">
        <v>1017</v>
      </c>
      <c r="B443" s="48" t="s">
        <v>1018</v>
      </c>
      <c r="C443" s="48" t="s">
        <v>173</v>
      </c>
      <c r="D443" s="48" t="s">
        <v>193</v>
      </c>
      <c r="E443" s="48"/>
      <c r="F443" s="48" t="s">
        <v>227</v>
      </c>
      <c r="G443" s="49" t="n">
        <v>6.65</v>
      </c>
      <c r="H443" s="50" t="n">
        <f aca="false">MAX(0,IF(AND(Parameter!$B$21="Ja",ISNUMBER(Y443)),Y443,IF(Parameter!$B$20="Jahresanfang 2025 + Export",BR443+BQ443,BQ443)))</f>
        <v>53</v>
      </c>
      <c r="I443" s="50" t="n">
        <f aca="false">H443*G443</f>
        <v>352.45</v>
      </c>
      <c r="J443" s="50" t="n">
        <f aca="false">BT443*Parameter!$B$18</f>
        <v>1</v>
      </c>
      <c r="K443" s="51" t="n">
        <v>47.5</v>
      </c>
      <c r="L443" s="52" t="n">
        <v>0.0210526315789474</v>
      </c>
      <c r="M443" s="50" t="n">
        <v>0</v>
      </c>
      <c r="N443" s="50" t="n">
        <v>1</v>
      </c>
      <c r="O443" s="53" t="n">
        <v>70</v>
      </c>
      <c r="P443" s="48" t="s">
        <v>485</v>
      </c>
      <c r="Q443" s="50" t="n">
        <v>55</v>
      </c>
      <c r="R443" s="53" t="n">
        <f aca="false">IF(BZ443=1,0,IFERROR(VLOOKUP(BX443,'Gebinde-Kategorie'!$A$5:$N$45,13,0)+0,0))</f>
        <v>52</v>
      </c>
      <c r="S443" s="54"/>
      <c r="T443" s="55"/>
      <c r="U443" s="55"/>
      <c r="V443" s="55"/>
      <c r="W443" s="48"/>
      <c r="X443" s="50"/>
      <c r="Y443" s="50"/>
      <c r="Z443" s="48" t="n">
        <f aca="false">IF(A443="","",IF(AND(Parameter!$B$21="Ja",ISNUMBER(W443)),W443,IF(CC443="2+3",IF(ISNUMBER(SEARCH("grosser Artikel",BU443)),2,IFERROR(VLOOKUP(BX443,Parameter!$F$35:$G$64,2,0),2)),IF(OR(CC443="Nein",CC443=""),"-",CC443))))</f>
        <v>3</v>
      </c>
      <c r="AA443" s="55"/>
      <c r="AB443" s="56"/>
      <c r="AC443" s="50" t="n">
        <f aca="false">AV443</f>
        <v>1</v>
      </c>
      <c r="AD443" s="50" t="n">
        <f aca="false">MAX(AV443,H443)</f>
        <v>53</v>
      </c>
      <c r="AE443" s="57"/>
      <c r="AF443" s="50" t="n">
        <f aca="false">IF(LEFT(Cockpit!$C$5,1)="A",H443,IF(Parameter!$E$30="MAX-Bestand",IF(CH443=1,CI443,IF(LEFT(Cockpit!$C$5,1)="B",AL443,MAX(AL443,H443))),ROUNDUP(AJ443,0)))</f>
        <v>53</v>
      </c>
      <c r="AG443" s="50" t="n">
        <f aca="false">IF(BZ443=1,0,ROUNDUP(AF443/BY443,0))</f>
        <v>1</v>
      </c>
      <c r="AH443" s="52" t="n">
        <f aca="false">IF(CQ443&gt;0,CQ443*MAX(1,AF443/X443),IF(BZ443=1,IF(AF443&lt;=0,0,CD443*MAX(1,IF(H443&gt;0,AF443/H443,1))),IF(R443&gt;0,AG443/R443,0))/MAX(0.1,N(Parameter!$M$21)))</f>
        <v>0.0192307692307692</v>
      </c>
      <c r="AI443" s="50" t="n">
        <f aca="false">AH443*CB443</f>
        <v>2.98076923076923</v>
      </c>
      <c r="AJ443" s="51" t="n">
        <f aca="false">IF(LEFT(Cockpit!$C$5,1)="A",H443,IF(CH443=1,(CK443+CI443)/2,IF(LEFT(Cockpit!$C$5,1)="B",(CK443+AL443)/2,MAX((CK443+AL443)/2,H443))))</f>
        <v>53</v>
      </c>
      <c r="AK443" s="50" t="n">
        <f aca="false">AJ443*G443</f>
        <v>352.45</v>
      </c>
      <c r="AL443" s="50" t="n">
        <f aca="false">ROUNDUP(CK443+MAX(CL443,2*(J443/IF(CG443&gt;0,CG443,MAX(0.1,N(Cockpit!$C$6)))-CK443)),0)</f>
        <v>1</v>
      </c>
      <c r="AM443" s="51" t="n">
        <f aca="false">IF(AI443&gt;0,J443/AI443,-1)</f>
        <v>0.335483870967742</v>
      </c>
      <c r="AN443" s="51" t="n">
        <f aca="false">IF(AND(OR(CF443="L1",CF443="L23",CF443="LIFT"),AI443&gt;0),SUMIFS($AI$7:$AI$1843,$CF$7:$CF$1843,CF443,$AM$7:$AM$1843,"&gt;"&amp;AM443)+SUMIFS($AI$7:$AI$1843,$CF$7:$CF$1843,CF443,$AM$7:$AM$1843,AM443,$BW$7:$BW$1843,"&lt;="&amp;BW443),"")</f>
        <v>11177.0770394859</v>
      </c>
      <c r="AO443" s="58" t="n">
        <f aca="false">IF(AN443="",0,MAX(0,MIN(1,(IF(CF443="L1",Parameter!$H$5,IF(CF443="L23",Parameter!$H$6+Parameter!$H$7,Parameter!$H$5+Parameter!$H$6+Parameter!$H$7))-(AN443-AI443))/AI443)))</f>
        <v>1</v>
      </c>
      <c r="AP443" s="50" t="n">
        <f aca="false">IF(LEFT(Cockpit!$I$5,1)="A",H443,IF(Parameter!$E$30="MAX-Bestand",IF(CH443=1,CI443,IF(LEFT(Cockpit!$I$5,1)="B",AV443,MAX(AV443,H443))),ROUNDUP(AT443,0)))</f>
        <v>53</v>
      </c>
      <c r="AQ443" s="50" t="n">
        <f aca="false">IF(BZ443=1,0,ROUNDUP(AP443/BY443,0))</f>
        <v>1</v>
      </c>
      <c r="AR443" s="52" t="n">
        <f aca="false">IF(CQ443&gt;0,CQ443*MAX(1,AP443/X443),IF(BZ443=1,IF(AP443&lt;=0,0,CD443*MAX(1,IF(H443&gt;0,AP443/H443,1))),IF(R443&gt;0,AQ443/R443,0))/MAX(0.1,N(Parameter!$M$21)))</f>
        <v>0.0192307692307692</v>
      </c>
      <c r="AS443" s="50" t="n">
        <f aca="false">AR443*CB443</f>
        <v>2.98076923076923</v>
      </c>
      <c r="AT443" s="51" t="n">
        <f aca="false">IF(LEFT(Cockpit!$I$5,1)="A",H443,IF(CH443=1,(CK443+CI443)/2,IF(LEFT(Cockpit!$I$5,1)="B",(CK443+AV443)/2,MAX((CK443+AV443)/2,H443))))</f>
        <v>53</v>
      </c>
      <c r="AU443" s="50" t="n">
        <f aca="false">AT443*G443</f>
        <v>352.45</v>
      </c>
      <c r="AV443" s="50" t="n">
        <f aca="false">ROUNDUP(CK443+MAX(CL443,2*(J443/IF(CG443&gt;0,CG443,MAX(0.1,N(Cockpit!$I$6)))-CK443)),0)</f>
        <v>1</v>
      </c>
      <c r="AW443" s="51" t="n">
        <f aca="false">IF(AS443&gt;0,J443/AS443,-1)</f>
        <v>0.335483870967742</v>
      </c>
      <c r="AX443" s="51" t="n">
        <f aca="false">IF(AND(OR(CF443="L1",CF443="L23",CF443="LIFT"),AS443&gt;0),SUMIFS($AS$7:$AS$1843,$CF$7:$CF$1843,CF443,$AW$7:$AW$1843,"&gt;"&amp;AW443)+SUMIFS($AS$7:$AS$1843,$CF$7:$CF$1843,CF443,$AW$7:$AW$1843,AW443,$BW$7:$BW$1843,"&lt;="&amp;BW443),"")</f>
        <v>13699.2916666667</v>
      </c>
      <c r="AY443" s="58" t="n">
        <f aca="false">IF(AX443="",0,MAX(0,MIN(1,(IF(CF443="L1",Parameter!$H$5,IF(CF443="L23",Parameter!$H$6+Parameter!$H$7,Parameter!$H$5+Parameter!$H$6+Parameter!$H$7))-(AX443-AS443))/AS443)))</f>
        <v>1</v>
      </c>
      <c r="AZ443" s="50" t="n">
        <f aca="false">IF(LEFT(Cockpit!$O$5,1)="A",H443,IF(Parameter!$E$30="MAX-Bestand",IF(CH443=1,CI443,IF(LEFT(Cockpit!$O$5,1)="B",BF443,MAX(BF443,H443))),ROUNDUP(BD443,0)))</f>
        <v>1</v>
      </c>
      <c r="BA443" s="50" t="n">
        <f aca="false">IF(BZ443=1,0,ROUNDUP(AZ443/BY443,0))</f>
        <v>1</v>
      </c>
      <c r="BB443" s="52" t="n">
        <f aca="false">IF(CQ443&gt;0,CQ443*MAX(1,AZ443/X443),IF(BZ443=1,IF(AZ443&lt;=0,0,CD443*MAX(1,IF(H443&gt;0,AZ443/H443,1))),IF(R443&gt;0,BA443/R443,0))/MAX(0.1,N(Parameter!$M$21)))</f>
        <v>0.0192307692307692</v>
      </c>
      <c r="BC443" s="50" t="n">
        <f aca="false">BB443*CB443</f>
        <v>2.98076923076923</v>
      </c>
      <c r="BD443" s="51" t="n">
        <f aca="false">IF(LEFT(Cockpit!$O$5,1)="A",H443,IF(CH443=1,(CK443+CI443)/2,IF(LEFT(Cockpit!$O$5,1)="B",(CK443+BF443)/2,MAX((CK443+BF443)/2,H443))))</f>
        <v>0.5</v>
      </c>
      <c r="BE443" s="50" t="n">
        <f aca="false">BD443*G443</f>
        <v>3.325</v>
      </c>
      <c r="BF443" s="50" t="n">
        <f aca="false">ROUNDUP(CK443+MAX(CL443,2*(J443/IF(CG443&gt;0,CG443,MAX(0.1,N(Cockpit!$O$6)))-CK443)),0)</f>
        <v>1</v>
      </c>
      <c r="BG443" s="51" t="n">
        <f aca="false">IF(BC443&gt;0,J443/BC443,-1)</f>
        <v>0.335483870967742</v>
      </c>
      <c r="BH443" s="51" t="n">
        <f aca="false">IF(AND(OR(CF443="L1",CF443="L23",CF443="LIFT"),BC443&gt;0),SUMIFS($BC$7:$BC$1843,$CF$7:$CF$1843,CF443,$BG$7:$BG$1843,"&gt;"&amp;BG443)+SUMIFS($BC$7:$BC$1843,$CF$7:$CF$1843,CF443,$BG$7:$BG$1843,BG443,$BW$7:$BW$1843,"&lt;="&amp;BW443),"")</f>
        <v>11556.211996337</v>
      </c>
      <c r="BI443" s="58" t="n">
        <f aca="false">IF(BH443="",0,MAX(0,MIN(1,(IF(CF443="L1",Parameter!$H$5,IF(CF443="L23",Parameter!$H$6+Parameter!$H$7,Parameter!$H$5+Parameter!$H$6+Parameter!$H$7))-(BH443-BC443))/BC443)))</f>
        <v>1</v>
      </c>
      <c r="BJ443" s="48" t="str">
        <f aca="false">IF(AI443&lt;=0,"",IF(CF443="Aussen","Aussenlager",IF(CF443="-","Nicht im Lift",IF(AO443&gt;=1,"Lift",IF(AO443&lt;=0,"Aussenlager","teilweise")))))</f>
        <v>Lift</v>
      </c>
      <c r="BK443" s="48" t="str">
        <f aca="false">IF(AS443&lt;=0,"",IF(CF443="Aussen","Aussenlager",IF(CF443="-","Nicht im Lift",IF(AY443&gt;=1,"Lift",IF(AY443&lt;=0,"Aussenlager","teilweise")))))</f>
        <v>Lift</v>
      </c>
      <c r="BL443" s="48" t="str">
        <f aca="false">IF(BC443&lt;=0,"",IF(CF443="Aussen","Aussenlager",IF(CF443="-","Nicht im Lift",IF(BI443&gt;=1,"Lift",IF(BI443&lt;=0,"Aussenlager","teilweise")))))</f>
        <v>Lift</v>
      </c>
      <c r="BM443" s="48" t="str">
        <f aca="false">IF(A443="","",IF(BV443=1,"Neu; ","")&amp;IF(AND(BV443=0,BQ443&lt;0),"negativer Bestand (Export "&amp;BQ443&amp;"); ","")&amp;IF(J443&lt;=0,"Kein Verbrauch; ","")&amp;IF(CQ443&gt;0,"Lift "&amp;W443&amp;" lt. Liftbericht (Fach "&amp;X443&amp;" Stk); ",IF(CA443=1,"Gebinde geschätzt ("&amp;T443&amp;"); ",IF(BZ443=1,"Lose – Tablare geschätzt; ","")))&amp;IF(H443&gt;AV443,"Überbestand "&amp;ROUND(H443-AV443,0)&amp;" Stk / CHF "&amp;ROUND((H443-AV443)*G443,0)&amp;"; ","")&amp;IF(AND(CH443=1,CI443&lt;CJ443),"MAX &lt; MB+LG; ","")&amp;IF(AND(CP443&gt;0,CO443*10&gt;CP443),"zu hoch für Tablar; ","")&amp;IF(AND(BV443=0,OR(CH443=1,AA443&lt;&gt;"",U443&lt;&gt;"",V443&lt;&gt;"",AB443&lt;&gt;"")),"manuell übersteuert; ","")&amp;IF(AND(BZ443=0,R443=0),"Gebinde unbekannt / Stellmass fehlt; ","")&amp;IF(AND(BZ443=0,N(V443)&lt;=0,N(Q443)&lt;=0),"Menge pro Gebinde fehlt (Ist = 1 Gebinde); ","")&amp;BU443)</f>
        <v>Überbestand 52 Stk / CHF 346; </v>
      </c>
      <c r="BN443" s="48"/>
      <c r="BO443" s="48"/>
      <c r="BP443" s="55"/>
      <c r="BQ443" s="50" t="n">
        <v>11</v>
      </c>
      <c r="BR443" s="50" t="n">
        <v>42</v>
      </c>
      <c r="BS443" s="49" t="n">
        <v>73.15</v>
      </c>
      <c r="BT443" s="50" t="n">
        <v>1</v>
      </c>
      <c r="BU443" s="48"/>
      <c r="BV443" s="53" t="n">
        <v>0</v>
      </c>
      <c r="BW443" s="53" t="n">
        <v>443</v>
      </c>
      <c r="BX443" s="48" t="str">
        <f aca="false">IF(U443&lt;&gt;"",UPPER(TRIM(U443)),IF(CA443=1,UPPER(VLOOKUP(T443,Parameter!$I$27:$K$29,2,0)),IF(P443="","LOSE",P443)))</f>
        <v>S33</v>
      </c>
      <c r="BY443" s="50" t="n">
        <f aca="false">IF(BX443="LOSE",1,IF(N(V443)&gt;0,V443,IF(CA443=1,MAX(1,N(VLOOKUP(T443,Parameter!$I$27:$K$29,3,0)),H443,N(N443)),IF(N(Q443)&gt;0,Q443,MAX(1,H443)))))</f>
        <v>55</v>
      </c>
      <c r="BZ443" s="53" t="n">
        <f aca="false">IF(BX443="LOSE",1,0)</f>
        <v>0</v>
      </c>
      <c r="CA443" s="53" t="n">
        <f aca="false">IF(AND(U443="",OR(P443="",P443="LOSE"),T443&lt;&gt;"",N(S443)&lt;=0,ISNUMBER(MATCH(T443,Parameter!$I$27:$I$29,0))),1,0)</f>
        <v>0</v>
      </c>
      <c r="CB443" s="53" t="n">
        <f aca="false">IF(CQ443&gt;0,INDEX(Parameter!$H$5:$H$7,W443)/INDEX(Parameter!$E$5:$E$7,W443),IF(AND(BZ443=0,N(IFERROR(VLOOKUP(BX443,'Gebinde-Kategorie'!$A$5:$N$45,14,0),0))&gt;0),VLOOKUP(BX443,'Gebinde-Kategorie'!$A$5:$N$45,14,0)*10+Parameter!$M$23,Parameter!$M$24))</f>
        <v>155</v>
      </c>
      <c r="CC443" s="48" t="str">
        <f aca="false">IF(AND(Parameter!$B$19="Ja",E443&lt;&gt;"",ISNUMBER(MATCH(E443,Parameter!$I$35:$I$52,0))),VLOOKUP(E443,Parameter!$I$35:$J$52,2,0),IFERROR(VLOOKUP(D443,Parameter!$A$35:$C$64,2,0),"Nein"))</f>
        <v>2+3</v>
      </c>
      <c r="CD443" s="52" t="n">
        <f aca="false">IF(BZ443=0,0,IF(N(S443)&gt;0,S443,IFERROR(VLOOKUP(D443,Parameter!$A$35:$C$64,3,0)+0,0)))</f>
        <v>0</v>
      </c>
      <c r="CE443" s="48" t="n">
        <f aca="false">IF(AA443&lt;&gt;"",AA443,Z443)</f>
        <v>3</v>
      </c>
      <c r="CF443" s="48" t="str">
        <f aca="false">IF(OR(CE443=1,CE443=2,CE443=3),IF(Parameter!$E$27="Ja","LIFT",IF(CE443=1,"L1","L23")),IF(CE443="Aussen","Aussen","-"))</f>
        <v>LIFT</v>
      </c>
      <c r="CG443" s="59" t="n">
        <f aca="false">IF(N(AB443)&gt;0,AB443,0)</f>
        <v>0</v>
      </c>
      <c r="CH443" s="53" t="n">
        <f aca="false">IF(ISNUMBER(AE443),1,0)</f>
        <v>0</v>
      </c>
      <c r="CI443" s="50" t="n">
        <f aca="false">N(AE443)</f>
        <v>0</v>
      </c>
      <c r="CJ443" s="50" t="n">
        <f aca="false">N(M443)+N(N443)</f>
        <v>1</v>
      </c>
      <c r="CK443" s="50" t="n">
        <f aca="false">N(M443)</f>
        <v>0</v>
      </c>
      <c r="CL443" s="50" t="n">
        <f aca="false">N(N443)</f>
        <v>1</v>
      </c>
      <c r="CM443" s="50" t="n">
        <f aca="false">ROUNDUP(H443/BY443,0)</f>
        <v>1</v>
      </c>
      <c r="CN443" s="50" t="n">
        <f aca="false">ROUNDUP(CI443/BY443,0)</f>
        <v>0</v>
      </c>
      <c r="CO443" s="53" t="n">
        <f aca="false">IF(BZ443=1,0,IFERROR(VLOOKUP(BX443,'Gebinde-Kategorie'!$A$5:$N$45,5,0)+0,0))</f>
        <v>8</v>
      </c>
      <c r="CP443" s="53" t="n">
        <f aca="false">IFERROR(IF(OR(CE443=1,CE443=2,CE443=3),N(INDEX(Parameter!$I$5:$I$7,CE443)),0),0)</f>
        <v>0</v>
      </c>
      <c r="CQ443" s="52" t="n">
        <f aca="false">IF(AND(Parameter!$B$21="Ja",ISNUMBER(W443),N(X443)&gt;0),IFERROR(N(INDEX(Parameter!$L$5:$L$7,W443))*INDEX(Parameter!$E$5:$E$7,W443)*X443/SUMIFS($X$7:$X$1843,$W$7:$W$1843,W443),0),0)</f>
        <v>0</v>
      </c>
    </row>
    <row r="444" customFormat="false" ht="15" hidden="false" customHeight="false" outlineLevel="0" collapsed="false">
      <c r="A444" s="48" t="s">
        <v>1019</v>
      </c>
      <c r="B444" s="48" t="s">
        <v>438</v>
      </c>
      <c r="C444" s="48" t="s">
        <v>173</v>
      </c>
      <c r="D444" s="48" t="s">
        <v>193</v>
      </c>
      <c r="E444" s="48"/>
      <c r="F444" s="48" t="s">
        <v>227</v>
      </c>
      <c r="G444" s="49" t="n">
        <v>36.06</v>
      </c>
      <c r="H444" s="50" t="n">
        <f aca="false">MAX(0,IF(AND(Parameter!$B$21="Ja",ISNUMBER(Y444)),Y444,IF(Parameter!$B$20="Jahresanfang 2025 + Export",BR444+BQ444,BQ444)))</f>
        <v>61</v>
      </c>
      <c r="I444" s="50" t="n">
        <f aca="false">H444*G444</f>
        <v>2199.66</v>
      </c>
      <c r="J444" s="50" t="n">
        <f aca="false">BT444*Parameter!$B$18</f>
        <v>68</v>
      </c>
      <c r="K444" s="51" t="n">
        <v>60</v>
      </c>
      <c r="L444" s="52" t="n">
        <v>1.13333333333333</v>
      </c>
      <c r="M444" s="50" t="n">
        <v>13</v>
      </c>
      <c r="N444" s="50" t="n">
        <v>70</v>
      </c>
      <c r="O444" s="53" t="n">
        <v>70</v>
      </c>
      <c r="P444" s="48" t="s">
        <v>302</v>
      </c>
      <c r="Q444" s="50" t="n">
        <v>55</v>
      </c>
      <c r="R444" s="53" t="n">
        <f aca="false">IF(BZ444=1,0,IFERROR(VLOOKUP(BX444,'Gebinde-Kategorie'!$A$5:$N$45,13,0)+0,0))</f>
        <v>12</v>
      </c>
      <c r="S444" s="54"/>
      <c r="T444" s="55"/>
      <c r="U444" s="55"/>
      <c r="V444" s="55"/>
      <c r="W444" s="48"/>
      <c r="X444" s="50"/>
      <c r="Y444" s="50"/>
      <c r="Z444" s="48" t="n">
        <f aca="false">IF(A444="","",IF(AND(Parameter!$B$21="Ja",ISNUMBER(W444)),W444,IF(CC444="2+3",IF(ISNUMBER(SEARCH("grosser Artikel",BU444)),2,IFERROR(VLOOKUP(BX444,Parameter!$F$35:$G$64,2,0),2)),IF(OR(CC444="Nein",CC444=""),"-",CC444))))</f>
        <v>2</v>
      </c>
      <c r="AA444" s="55"/>
      <c r="AB444" s="56"/>
      <c r="AC444" s="50" t="n">
        <f aca="false">AV444</f>
        <v>83</v>
      </c>
      <c r="AD444" s="50" t="n">
        <f aca="false">MAX(AV444,H444)</f>
        <v>83</v>
      </c>
      <c r="AE444" s="57"/>
      <c r="AF444" s="50" t="n">
        <f aca="false">IF(LEFT(Cockpit!$C$5,1)="A",H444,IF(Parameter!$E$30="MAX-Bestand",IF(CH444=1,CI444,IF(LEFT(Cockpit!$C$5,1)="B",AL444,MAX(AL444,H444))),ROUNDUP(AJ444,0)))</f>
        <v>61</v>
      </c>
      <c r="AG444" s="50" t="n">
        <f aca="false">IF(BZ444=1,0,ROUNDUP(AF444/BY444,0))</f>
        <v>2</v>
      </c>
      <c r="AH444" s="52" t="n">
        <f aca="false">IF(CQ444&gt;0,CQ444*MAX(1,AF444/X444),IF(BZ444=1,IF(AF444&lt;=0,0,CD444*MAX(1,IF(H444&gt;0,AF444/H444,1))),IF(R444&gt;0,AG444/R444,0))/MAX(0.1,N(Parameter!$M$21)))</f>
        <v>0.166666666666667</v>
      </c>
      <c r="AI444" s="50" t="n">
        <f aca="false">AH444*CB444</f>
        <v>40.8333333333333</v>
      </c>
      <c r="AJ444" s="51" t="n">
        <f aca="false">IF(LEFT(Cockpit!$C$5,1)="A",H444,IF(CH444=1,(CK444+CI444)/2,IF(LEFT(Cockpit!$C$5,1)="B",(CK444+AL444)/2,MAX((CK444+AL444)/2,H444))))</f>
        <v>61</v>
      </c>
      <c r="AK444" s="50" t="n">
        <f aca="false">AJ444*G444</f>
        <v>2199.66</v>
      </c>
      <c r="AL444" s="50" t="n">
        <f aca="false">ROUNDUP(CK444+MAX(CL444,2*(J444/IF(CG444&gt;0,CG444,MAX(0.1,N(Cockpit!$C$6)))-CK444)),0)</f>
        <v>83</v>
      </c>
      <c r="AM444" s="51" t="n">
        <f aca="false">IF(AI444&gt;0,J444/AI444,-1)</f>
        <v>1.66530612244898</v>
      </c>
      <c r="AN444" s="51" t="n">
        <f aca="false">IF(AND(OR(CF444="L1",CF444="L23",CF444="LIFT"),AI444&gt;0),SUMIFS($AI$7:$AI$1843,$CF$7:$CF$1843,CF444,$AM$7:$AM$1843,"&gt;"&amp;AM444)+SUMIFS($AI$7:$AI$1843,$CF$7:$CF$1843,CF444,$AM$7:$AM$1843,AM444,$BW$7:$BW$1843,"&lt;="&amp;BW444),"")</f>
        <v>6104.60943223443</v>
      </c>
      <c r="AO444" s="58" t="n">
        <f aca="false">IF(AN444="",0,MAX(0,MIN(1,(IF(CF444="L1",Parameter!$H$5,IF(CF444="L23",Parameter!$H$6+Parameter!$H$7,Parameter!$H$5+Parameter!$H$6+Parameter!$H$7))-(AN444-AI444))/AI444)))</f>
        <v>1</v>
      </c>
      <c r="AP444" s="50" t="n">
        <f aca="false">IF(LEFT(Cockpit!$I$5,1)="A",H444,IF(Parameter!$E$30="MAX-Bestand",IF(CH444=1,CI444,IF(LEFT(Cockpit!$I$5,1)="B",AV444,MAX(AV444,H444))),ROUNDUP(AT444,0)))</f>
        <v>61</v>
      </c>
      <c r="AQ444" s="50" t="n">
        <f aca="false">IF(BZ444=1,0,ROUNDUP(AP444/BY444,0))</f>
        <v>2</v>
      </c>
      <c r="AR444" s="52" t="n">
        <f aca="false">IF(CQ444&gt;0,CQ444*MAX(1,AP444/X444),IF(BZ444=1,IF(AP444&lt;=0,0,CD444*MAX(1,IF(H444&gt;0,AP444/H444,1))),IF(R444&gt;0,AQ444/R444,0))/MAX(0.1,N(Parameter!$M$21)))</f>
        <v>0.166666666666667</v>
      </c>
      <c r="AS444" s="50" t="n">
        <f aca="false">AR444*CB444</f>
        <v>40.8333333333333</v>
      </c>
      <c r="AT444" s="51" t="n">
        <f aca="false">IF(LEFT(Cockpit!$I$5,1)="A",H444,IF(CH444=1,(CK444+CI444)/2,IF(LEFT(Cockpit!$I$5,1)="B",(CK444+AV444)/2,MAX((CK444+AV444)/2,H444))))</f>
        <v>61</v>
      </c>
      <c r="AU444" s="50" t="n">
        <f aca="false">AT444*G444</f>
        <v>2199.66</v>
      </c>
      <c r="AV444" s="50" t="n">
        <f aca="false">ROUNDUP(CK444+MAX(CL444,2*(J444/IF(CG444&gt;0,CG444,MAX(0.1,N(Cockpit!$I$6)))-CK444)),0)</f>
        <v>83</v>
      </c>
      <c r="AW444" s="51" t="n">
        <f aca="false">IF(AS444&gt;0,J444/AS444,-1)</f>
        <v>1.66530612244898</v>
      </c>
      <c r="AX444" s="51" t="n">
        <f aca="false">IF(AND(OR(CF444="L1",CF444="L23",CF444="LIFT"),AS444&gt;0),SUMIFS($AS$7:$AS$1843,$CF$7:$CF$1843,CF444,$AW$7:$AW$1843,"&gt;"&amp;AW444)+SUMIFS($AS$7:$AS$1843,$CF$7:$CF$1843,CF444,$AW$7:$AW$1843,AW444,$BW$7:$BW$1843,"&lt;="&amp;BW444),"")</f>
        <v>7544.49816849817</v>
      </c>
      <c r="AY444" s="58" t="n">
        <f aca="false">IF(AX444="",0,MAX(0,MIN(1,(IF(CF444="L1",Parameter!$H$5,IF(CF444="L23",Parameter!$H$6+Parameter!$H$7,Parameter!$H$5+Parameter!$H$6+Parameter!$H$7))-(AX444-AS444))/AS444)))</f>
        <v>1</v>
      </c>
      <c r="AZ444" s="50" t="n">
        <f aca="false">IF(LEFT(Cockpit!$O$5,1)="A",H444,IF(Parameter!$E$30="MAX-Bestand",IF(CH444=1,CI444,IF(LEFT(Cockpit!$O$5,1)="B",BF444,MAX(BF444,H444))),ROUNDUP(BD444,0)))</f>
        <v>48</v>
      </c>
      <c r="BA444" s="50" t="n">
        <f aca="false">IF(BZ444=1,0,ROUNDUP(AZ444/BY444,0))</f>
        <v>1</v>
      </c>
      <c r="BB444" s="52" t="n">
        <f aca="false">IF(CQ444&gt;0,CQ444*MAX(1,AZ444/X444),IF(BZ444=1,IF(AZ444&lt;=0,0,CD444*MAX(1,IF(H444&gt;0,AZ444/H444,1))),IF(R444&gt;0,BA444/R444,0))/MAX(0.1,N(Parameter!$M$21)))</f>
        <v>0.0833333333333333</v>
      </c>
      <c r="BC444" s="50" t="n">
        <f aca="false">BB444*CB444</f>
        <v>20.4166666666667</v>
      </c>
      <c r="BD444" s="51" t="n">
        <f aca="false">IF(LEFT(Cockpit!$O$5,1)="A",H444,IF(CH444=1,(CK444+CI444)/2,IF(LEFT(Cockpit!$O$5,1)="B",(CK444+BF444)/2,MAX((CK444+BF444)/2,H444))))</f>
        <v>48</v>
      </c>
      <c r="BE444" s="50" t="n">
        <f aca="false">BD444*G444</f>
        <v>1730.88</v>
      </c>
      <c r="BF444" s="50" t="n">
        <f aca="false">ROUNDUP(CK444+MAX(CL444,2*(J444/IF(CG444&gt;0,CG444,MAX(0.1,N(Cockpit!$O$6)))-CK444)),0)</f>
        <v>83</v>
      </c>
      <c r="BG444" s="51" t="n">
        <f aca="false">IF(BC444&gt;0,J444/BC444,-1)</f>
        <v>3.33061224489796</v>
      </c>
      <c r="BH444" s="51" t="n">
        <f aca="false">IF(AND(OR(CF444="L1",CF444="L23",CF444="LIFT"),BC444&gt;0),SUMIFS($BC$7:$BC$1843,$CF$7:$CF$1843,CF444,$BG$7:$BG$1843,"&gt;"&amp;BG444)+SUMIFS($BC$7:$BC$1843,$CF$7:$CF$1843,CF444,$BG$7:$BG$1843,BG444,$BW$7:$BW$1843,"&lt;="&amp;BW444),"")</f>
        <v>4621.54990842491</v>
      </c>
      <c r="BI444" s="58" t="n">
        <f aca="false">IF(BH444="",0,MAX(0,MIN(1,(IF(CF444="L1",Parameter!$H$5,IF(CF444="L23",Parameter!$H$6+Parameter!$H$7,Parameter!$H$5+Parameter!$H$6+Parameter!$H$7))-(BH444-BC444))/BC444)))</f>
        <v>1</v>
      </c>
      <c r="BJ444" s="48" t="str">
        <f aca="false">IF(AI444&lt;=0,"",IF(CF444="Aussen","Aussenlager",IF(CF444="-","Nicht im Lift",IF(AO444&gt;=1,"Lift",IF(AO444&lt;=0,"Aussenlager","teilweise")))))</f>
        <v>Lift</v>
      </c>
      <c r="BK444" s="48" t="str">
        <f aca="false">IF(AS444&lt;=0,"",IF(CF444="Aussen","Aussenlager",IF(CF444="-","Nicht im Lift",IF(AY444&gt;=1,"Lift",IF(AY444&lt;=0,"Aussenlager","teilweise")))))</f>
        <v>Lift</v>
      </c>
      <c r="BL444" s="48" t="str">
        <f aca="false">IF(BC444&lt;=0,"",IF(CF444="Aussen","Aussenlager",IF(CF444="-","Nicht im Lift",IF(BI444&gt;=1,"Lift",IF(BI444&lt;=0,"Aussenlager","teilweise")))))</f>
        <v>Lift</v>
      </c>
      <c r="BM444" s="48" t="str">
        <f aca="false">IF(A444="","",IF(BV444=1,"Neu; ","")&amp;IF(AND(BV444=0,BQ444&lt;0),"negativer Bestand (Export "&amp;BQ444&amp;"); ","")&amp;IF(J444&lt;=0,"Kein Verbrauch; ","")&amp;IF(CQ444&gt;0,"Lift "&amp;W444&amp;" lt. Liftbericht (Fach "&amp;X444&amp;" Stk); ",IF(CA444=1,"Gebinde geschätzt ("&amp;T444&amp;"); ",IF(BZ444=1,"Lose – Tablare geschätzt; ","")))&amp;IF(H444&gt;AV444,"Überbestand "&amp;ROUND(H444-AV444,0)&amp;" Stk / CHF "&amp;ROUND((H444-AV444)*G444,0)&amp;"; ","")&amp;IF(AND(CH444=1,CI444&lt;CJ444),"MAX &lt; MB+LG; ","")&amp;IF(AND(CP444&gt;0,CO444*10&gt;CP444),"zu hoch für Tablar; ","")&amp;IF(AND(BV444=0,OR(CH444=1,AA444&lt;&gt;"",U444&lt;&gt;"",V444&lt;&gt;"",AB444&lt;&gt;"")),"manuell übersteuert; ","")&amp;IF(AND(BZ444=0,R444=0),"Gebinde unbekannt / Stellmass fehlt; ","")&amp;IF(AND(BZ444=0,N(V444)&lt;=0,N(Q444)&lt;=0),"Menge pro Gebinde fehlt (Ist = 1 Gebinde); ","")&amp;BU444)</f>
        <v/>
      </c>
      <c r="BN444" s="48"/>
      <c r="BO444" s="48"/>
      <c r="BP444" s="55"/>
      <c r="BQ444" s="50" t="n">
        <v>4</v>
      </c>
      <c r="BR444" s="50" t="n">
        <v>57</v>
      </c>
      <c r="BS444" s="49" t="n">
        <v>72.9900000000001</v>
      </c>
      <c r="BT444" s="50" t="n">
        <v>68</v>
      </c>
      <c r="BU444" s="48"/>
      <c r="BV444" s="53" t="n">
        <v>0</v>
      </c>
      <c r="BW444" s="53" t="n">
        <v>444</v>
      </c>
      <c r="BX444" s="48" t="str">
        <f aca="false">IF(U444&lt;&gt;"",UPPER(TRIM(U444)),IF(CA444=1,UPPER(VLOOKUP(T444,Parameter!$I$27:$K$29,2,0)),IF(P444="","LOSE",P444)))</f>
        <v>S62</v>
      </c>
      <c r="BY444" s="50" t="n">
        <f aca="false">IF(BX444="LOSE",1,IF(N(V444)&gt;0,V444,IF(CA444=1,MAX(1,N(VLOOKUP(T444,Parameter!$I$27:$K$29,3,0)),H444,N(N444)),IF(N(Q444)&gt;0,Q444,MAX(1,H444)))))</f>
        <v>55</v>
      </c>
      <c r="BZ444" s="53" t="n">
        <f aca="false">IF(BX444="LOSE",1,0)</f>
        <v>0</v>
      </c>
      <c r="CA444" s="53" t="n">
        <f aca="false">IF(AND(U444="",OR(P444="",P444="LOSE"),T444&lt;&gt;"",N(S444)&lt;=0,ISNUMBER(MATCH(T444,Parameter!$I$27:$I$29,0))),1,0)</f>
        <v>0</v>
      </c>
      <c r="CB444" s="53" t="n">
        <f aca="false">IF(CQ444&gt;0,INDEX(Parameter!$H$5:$H$7,W444)/INDEX(Parameter!$E$5:$E$7,W444),IF(AND(BZ444=0,N(IFERROR(VLOOKUP(BX444,'Gebinde-Kategorie'!$A$5:$N$45,14,0),0))&gt;0),VLOOKUP(BX444,'Gebinde-Kategorie'!$A$5:$N$45,14,0)*10+Parameter!$M$23,Parameter!$M$24))</f>
        <v>245</v>
      </c>
      <c r="CC444" s="48" t="str">
        <f aca="false">IF(AND(Parameter!$B$19="Ja",E444&lt;&gt;"",ISNUMBER(MATCH(E444,Parameter!$I$35:$I$52,0))),VLOOKUP(E444,Parameter!$I$35:$J$52,2,0),IFERROR(VLOOKUP(D444,Parameter!$A$35:$C$64,2,0),"Nein"))</f>
        <v>2+3</v>
      </c>
      <c r="CD444" s="52" t="n">
        <f aca="false">IF(BZ444=0,0,IF(N(S444)&gt;0,S444,IFERROR(VLOOKUP(D444,Parameter!$A$35:$C$64,3,0)+0,0)))</f>
        <v>0</v>
      </c>
      <c r="CE444" s="48" t="n">
        <f aca="false">IF(AA444&lt;&gt;"",AA444,Z444)</f>
        <v>2</v>
      </c>
      <c r="CF444" s="48" t="str">
        <f aca="false">IF(OR(CE444=1,CE444=2,CE444=3),IF(Parameter!$E$27="Ja","LIFT",IF(CE444=1,"L1","L23")),IF(CE444="Aussen","Aussen","-"))</f>
        <v>LIFT</v>
      </c>
      <c r="CG444" s="59" t="n">
        <f aca="false">IF(N(AB444)&gt;0,AB444,0)</f>
        <v>0</v>
      </c>
      <c r="CH444" s="53" t="n">
        <f aca="false">IF(ISNUMBER(AE444),1,0)</f>
        <v>0</v>
      </c>
      <c r="CI444" s="50" t="n">
        <f aca="false">N(AE444)</f>
        <v>0</v>
      </c>
      <c r="CJ444" s="50" t="n">
        <f aca="false">N(M444)+N(N444)</f>
        <v>83</v>
      </c>
      <c r="CK444" s="50" t="n">
        <f aca="false">N(M444)</f>
        <v>13</v>
      </c>
      <c r="CL444" s="50" t="n">
        <f aca="false">N(N444)</f>
        <v>70</v>
      </c>
      <c r="CM444" s="50" t="n">
        <f aca="false">ROUNDUP(H444/BY444,0)</f>
        <v>2</v>
      </c>
      <c r="CN444" s="50" t="n">
        <f aca="false">ROUNDUP(CI444/BY444,0)</f>
        <v>0</v>
      </c>
      <c r="CO444" s="53" t="n">
        <f aca="false">IF(BZ444=1,0,IFERROR(VLOOKUP(BX444,'Gebinde-Kategorie'!$A$5:$N$45,5,0)+0,0))</f>
        <v>21</v>
      </c>
      <c r="CP444" s="53" t="n">
        <f aca="false">IFERROR(IF(OR(CE444=1,CE444=2,CE444=3),N(INDEX(Parameter!$I$5:$I$7,CE444)),0),0)</f>
        <v>0</v>
      </c>
      <c r="CQ444" s="52" t="n">
        <f aca="false">IF(AND(Parameter!$B$21="Ja",ISNUMBER(W444),N(X444)&gt;0),IFERROR(N(INDEX(Parameter!$L$5:$L$7,W444))*INDEX(Parameter!$E$5:$E$7,W444)*X444/SUMIFS($X$7:$X$1843,$W$7:$W$1843,W444),0),0)</f>
        <v>0</v>
      </c>
    </row>
    <row r="445" customFormat="false" ht="15" hidden="false" customHeight="false" outlineLevel="0" collapsed="false">
      <c r="A445" s="48" t="s">
        <v>1020</v>
      </c>
      <c r="B445" s="48" t="s">
        <v>670</v>
      </c>
      <c r="C445" s="48" t="s">
        <v>173</v>
      </c>
      <c r="D445" s="48" t="s">
        <v>193</v>
      </c>
      <c r="E445" s="48" t="s">
        <v>194</v>
      </c>
      <c r="F445" s="48" t="s">
        <v>227</v>
      </c>
      <c r="G445" s="49" t="n">
        <v>4.81</v>
      </c>
      <c r="H445" s="50" t="n">
        <f aca="false">MAX(0,IF(AND(Parameter!$B$21="Ja",ISNUMBER(Y445)),Y445,IF(Parameter!$B$20="Jahresanfang 2025 + Export",BR445+BQ445,BQ445)))</f>
        <v>172</v>
      </c>
      <c r="I445" s="50" t="n">
        <f aca="false">H445*G445</f>
        <v>827.32</v>
      </c>
      <c r="J445" s="50" t="n">
        <f aca="false">BT445*Parameter!$B$18</f>
        <v>618</v>
      </c>
      <c r="K445" s="51" t="n">
        <v>163.5</v>
      </c>
      <c r="L445" s="52" t="n">
        <v>3.77981651376147</v>
      </c>
      <c r="M445" s="50" t="n">
        <v>36</v>
      </c>
      <c r="N445" s="50" t="n">
        <v>60</v>
      </c>
      <c r="O445" s="53" t="n">
        <v>21</v>
      </c>
      <c r="P445" s="48" t="s">
        <v>430</v>
      </c>
      <c r="Q445" s="50" t="n">
        <v>246</v>
      </c>
      <c r="R445" s="53" t="n">
        <f aca="false">IF(BZ445=1,0,IFERROR(VLOOKUP(BX445,'Gebinde-Kategorie'!$A$5:$N$45,13,0)+0,0))</f>
        <v>104</v>
      </c>
      <c r="S445" s="54"/>
      <c r="T445" s="55"/>
      <c r="U445" s="55"/>
      <c r="V445" s="55"/>
      <c r="W445" s="48"/>
      <c r="X445" s="50"/>
      <c r="Y445" s="50"/>
      <c r="Z445" s="48" t="n">
        <f aca="false">IF(A445="","",IF(AND(Parameter!$B$21="Ja",ISNUMBER(W445)),W445,IF(CC445="2+3",IF(ISNUMBER(SEARCH("grosser Artikel",BU445)),2,IFERROR(VLOOKUP(BX445,Parameter!$F$35:$G$64,2,0),2)),IF(OR(CC445="Nein",CC445=""),"-",CC445))))</f>
        <v>3</v>
      </c>
      <c r="AA445" s="55"/>
      <c r="AB445" s="56"/>
      <c r="AC445" s="50" t="n">
        <f aca="false">AV445</f>
        <v>376</v>
      </c>
      <c r="AD445" s="50" t="n">
        <f aca="false">MAX(AV445,H445)</f>
        <v>376</v>
      </c>
      <c r="AE445" s="57"/>
      <c r="AF445" s="50" t="n">
        <f aca="false">IF(LEFT(Cockpit!$C$5,1)="A",H445,IF(Parameter!$E$30="MAX-Bestand",IF(CH445=1,CI445,IF(LEFT(Cockpit!$C$5,1)="B",AL445,MAX(AL445,H445))),ROUNDUP(AJ445,0)))</f>
        <v>172</v>
      </c>
      <c r="AG445" s="50" t="n">
        <f aca="false">IF(BZ445=1,0,ROUNDUP(AF445/BY445,0))</f>
        <v>1</v>
      </c>
      <c r="AH445" s="52" t="n">
        <f aca="false">IF(CQ445&gt;0,CQ445*MAX(1,AF445/X445),IF(BZ445=1,IF(AF445&lt;=0,0,CD445*MAX(1,IF(H445&gt;0,AF445/H445,1))),IF(R445&gt;0,AG445/R445,0))/MAX(0.1,N(Parameter!$M$21)))</f>
        <v>0.00961538461538462</v>
      </c>
      <c r="AI445" s="50" t="n">
        <f aca="false">AH445*CB445</f>
        <v>1.49038461538462</v>
      </c>
      <c r="AJ445" s="51" t="n">
        <f aca="false">IF(LEFT(Cockpit!$C$5,1)="A",H445,IF(CH445=1,(CK445+CI445)/2,IF(LEFT(Cockpit!$C$5,1)="B",(CK445+AL445)/2,MAX((CK445+AL445)/2,H445))))</f>
        <v>172</v>
      </c>
      <c r="AK445" s="50" t="n">
        <f aca="false">AJ445*G445</f>
        <v>827.32</v>
      </c>
      <c r="AL445" s="50" t="n">
        <f aca="false">ROUNDUP(CK445+MAX(CL445,2*(J445/IF(CG445&gt;0,CG445,MAX(0.1,N(Cockpit!$C$6)))-CK445)),0)</f>
        <v>376</v>
      </c>
      <c r="AM445" s="51" t="n">
        <f aca="false">IF(AI445&gt;0,J445/AI445,-1)</f>
        <v>414.658064516129</v>
      </c>
      <c r="AN445" s="51" t="n">
        <f aca="false">IF(AND(OR(CF445="L1",CF445="L23",CF445="LIFT"),AI445&gt;0),SUMIFS($AI$7:$AI$1843,$CF$7:$CF$1843,CF445,$AM$7:$AM$1843,"&gt;"&amp;AM445)+SUMIFS($AI$7:$AI$1843,$CF$7:$CF$1843,CF445,$AM$7:$AM$1843,AM445,$BW$7:$BW$1843,"&lt;="&amp;BW445),"")</f>
        <v>171.565476190476</v>
      </c>
      <c r="AO445" s="58" t="n">
        <f aca="false">IF(AN445="",0,MAX(0,MIN(1,(IF(CF445="L1",Parameter!$H$5,IF(CF445="L23",Parameter!$H$6+Parameter!$H$7,Parameter!$H$5+Parameter!$H$6+Parameter!$H$7))-(AN445-AI445))/AI445)))</f>
        <v>1</v>
      </c>
      <c r="AP445" s="50" t="n">
        <f aca="false">IF(LEFT(Cockpit!$I$5,1)="A",H445,IF(Parameter!$E$30="MAX-Bestand",IF(CH445=1,CI445,IF(LEFT(Cockpit!$I$5,1)="B",AV445,MAX(AV445,H445))),ROUNDUP(AT445,0)))</f>
        <v>206</v>
      </c>
      <c r="AQ445" s="50" t="n">
        <f aca="false">IF(BZ445=1,0,ROUNDUP(AP445/BY445,0))</f>
        <v>1</v>
      </c>
      <c r="AR445" s="52" t="n">
        <f aca="false">IF(CQ445&gt;0,CQ445*MAX(1,AP445/X445),IF(BZ445=1,IF(AP445&lt;=0,0,CD445*MAX(1,IF(H445&gt;0,AP445/H445,1))),IF(R445&gt;0,AQ445/R445,0))/MAX(0.1,N(Parameter!$M$21)))</f>
        <v>0.00961538461538462</v>
      </c>
      <c r="AS445" s="50" t="n">
        <f aca="false">AR445*CB445</f>
        <v>1.49038461538462</v>
      </c>
      <c r="AT445" s="51" t="n">
        <f aca="false">IF(LEFT(Cockpit!$I$5,1)="A",H445,IF(CH445=1,(CK445+CI445)/2,IF(LEFT(Cockpit!$I$5,1)="B",(CK445+AV445)/2,MAX((CK445+AV445)/2,H445))))</f>
        <v>206</v>
      </c>
      <c r="AU445" s="50" t="n">
        <f aca="false">AT445*G445</f>
        <v>990.86</v>
      </c>
      <c r="AV445" s="50" t="n">
        <f aca="false">ROUNDUP(CK445+MAX(CL445,2*(J445/IF(CG445&gt;0,CG445,MAX(0.1,N(Cockpit!$I$6)))-CK445)),0)</f>
        <v>376</v>
      </c>
      <c r="AW445" s="51" t="n">
        <f aca="false">IF(AS445&gt;0,J445/AS445,-1)</f>
        <v>414.658064516129</v>
      </c>
      <c r="AX445" s="51" t="n">
        <f aca="false">IF(AND(OR(CF445="L1",CF445="L23",CF445="LIFT"),AS445&gt;0),SUMIFS($AS$7:$AS$1843,$CF$7:$CF$1843,CF445,$AW$7:$AW$1843,"&gt;"&amp;AW445)+SUMIFS($AS$7:$AS$1843,$CF$7:$CF$1843,CF445,$AW$7:$AW$1843,AW445,$BW$7:$BW$1843,"&lt;="&amp;BW445),"")</f>
        <v>104.120879120879</v>
      </c>
      <c r="AY445" s="58" t="n">
        <f aca="false">IF(AX445="",0,MAX(0,MIN(1,(IF(CF445="L1",Parameter!$H$5,IF(CF445="L23",Parameter!$H$6+Parameter!$H$7,Parameter!$H$5+Parameter!$H$6+Parameter!$H$7))-(AX445-AS445))/AS445)))</f>
        <v>1</v>
      </c>
      <c r="AZ445" s="50" t="n">
        <f aca="false">IF(LEFT(Cockpit!$O$5,1)="A",H445,IF(Parameter!$E$30="MAX-Bestand",IF(CH445=1,CI445,IF(LEFT(Cockpit!$O$5,1)="B",BF445,MAX(BF445,H445))),ROUNDUP(BD445,0)))</f>
        <v>155</v>
      </c>
      <c r="BA445" s="50" t="n">
        <f aca="false">IF(BZ445=1,0,ROUNDUP(AZ445/BY445,0))</f>
        <v>1</v>
      </c>
      <c r="BB445" s="52" t="n">
        <f aca="false">IF(CQ445&gt;0,CQ445*MAX(1,AZ445/X445),IF(BZ445=1,IF(AZ445&lt;=0,0,CD445*MAX(1,IF(H445&gt;0,AZ445/H445,1))),IF(R445&gt;0,BA445/R445,0))/MAX(0.1,N(Parameter!$M$21)))</f>
        <v>0.00961538461538462</v>
      </c>
      <c r="BC445" s="50" t="n">
        <f aca="false">BB445*CB445</f>
        <v>1.49038461538462</v>
      </c>
      <c r="BD445" s="51" t="n">
        <f aca="false">IF(LEFT(Cockpit!$O$5,1)="A",H445,IF(CH445=1,(CK445+CI445)/2,IF(LEFT(Cockpit!$O$5,1)="B",(CK445+BF445)/2,MAX((CK445+BF445)/2,H445))))</f>
        <v>154.5</v>
      </c>
      <c r="BE445" s="50" t="n">
        <f aca="false">BD445*G445</f>
        <v>743.145</v>
      </c>
      <c r="BF445" s="50" t="n">
        <f aca="false">ROUNDUP(CK445+MAX(CL445,2*(J445/IF(CG445&gt;0,CG445,MAX(0.1,N(Cockpit!$O$6)))-CK445)),0)</f>
        <v>273</v>
      </c>
      <c r="BG445" s="51" t="n">
        <f aca="false">IF(BC445&gt;0,J445/BC445,-1)</f>
        <v>414.658064516129</v>
      </c>
      <c r="BH445" s="51" t="n">
        <f aca="false">IF(AND(OR(CF445="L1",CF445="L23",CF445="LIFT"),BC445&gt;0),SUMIFS($BC$7:$BC$1843,$CF$7:$CF$1843,CF445,$BG$7:$BG$1843,"&gt;"&amp;BG445)+SUMIFS($BC$7:$BC$1843,$CF$7:$CF$1843,CF445,$BG$7:$BG$1843,BG445,$BW$7:$BW$1843,"&lt;="&amp;BW445),"")</f>
        <v>175.78021978022</v>
      </c>
      <c r="BI445" s="58" t="n">
        <f aca="false">IF(BH445="",0,MAX(0,MIN(1,(IF(CF445="L1",Parameter!$H$5,IF(CF445="L23",Parameter!$H$6+Parameter!$H$7,Parameter!$H$5+Parameter!$H$6+Parameter!$H$7))-(BH445-BC445))/BC445)))</f>
        <v>1</v>
      </c>
      <c r="BJ445" s="48" t="str">
        <f aca="false">IF(AI445&lt;=0,"",IF(CF445="Aussen","Aussenlager",IF(CF445="-","Nicht im Lift",IF(AO445&gt;=1,"Lift",IF(AO445&lt;=0,"Aussenlager","teilweise")))))</f>
        <v>Lift</v>
      </c>
      <c r="BK445" s="48" t="str">
        <f aca="false">IF(AS445&lt;=0,"",IF(CF445="Aussen","Aussenlager",IF(CF445="-","Nicht im Lift",IF(AY445&gt;=1,"Lift",IF(AY445&lt;=0,"Aussenlager","teilweise")))))</f>
        <v>Lift</v>
      </c>
      <c r="BL445" s="48" t="str">
        <f aca="false">IF(BC445&lt;=0,"",IF(CF445="Aussen","Aussenlager",IF(CF445="-","Nicht im Lift",IF(BI445&gt;=1,"Lift",IF(BI445&lt;=0,"Aussenlager","teilweise")))))</f>
        <v>Lift</v>
      </c>
      <c r="BM445" s="48" t="str">
        <f aca="false">IF(A445="","",IF(BV445=1,"Neu; ","")&amp;IF(AND(BV445=0,BQ445&lt;0),"negativer Bestand (Export "&amp;BQ445&amp;"); ","")&amp;IF(J445&lt;=0,"Kein Verbrauch; ","")&amp;IF(CQ445&gt;0,"Lift "&amp;W445&amp;" lt. Liftbericht (Fach "&amp;X445&amp;" Stk); ",IF(CA445=1,"Gebinde geschätzt ("&amp;T445&amp;"); ",IF(BZ445=1,"Lose – Tablare geschätzt; ","")))&amp;IF(H445&gt;AV445,"Überbestand "&amp;ROUND(H445-AV445,0)&amp;" Stk / CHF "&amp;ROUND((H445-AV445)*G445,0)&amp;"; ","")&amp;IF(AND(CH445=1,CI445&lt;CJ445),"MAX &lt; MB+LG; ","")&amp;IF(AND(CP445&gt;0,CO445*10&gt;CP445),"zu hoch für Tablar; ","")&amp;IF(AND(BV445=0,OR(CH445=1,AA445&lt;&gt;"",U445&lt;&gt;"",V445&lt;&gt;"",AB445&lt;&gt;"")),"manuell übersteuert; ","")&amp;IF(AND(BZ445=0,R445=0),"Gebinde unbekannt / Stellmass fehlt; ","")&amp;IF(AND(BZ445=0,N(V445)&lt;=0,N(Q445)&lt;=0),"Menge pro Gebinde fehlt (Ist = 1 Gebinde); ","")&amp;BU445)</f>
        <v/>
      </c>
      <c r="BN445" s="48"/>
      <c r="BO445" s="48"/>
      <c r="BP445" s="55"/>
      <c r="BQ445" s="50" t="n">
        <v>8</v>
      </c>
      <c r="BR445" s="50" t="n">
        <v>164</v>
      </c>
      <c r="BS445" s="49" t="n">
        <v>72.9199999999998</v>
      </c>
      <c r="BT445" s="50" t="n">
        <v>618</v>
      </c>
      <c r="BU445" s="48"/>
      <c r="BV445" s="53" t="n">
        <v>0</v>
      </c>
      <c r="BW445" s="53" t="n">
        <v>445</v>
      </c>
      <c r="BX445" s="48" t="str">
        <f aca="false">IF(U445&lt;&gt;"",UPPER(TRIM(U445)),IF(CA445=1,UPPER(VLOOKUP(T445,Parameter!$I$27:$K$29,2,0)),IF(P445="","LOSE",P445)))</f>
        <v>S32</v>
      </c>
      <c r="BY445" s="50" t="n">
        <f aca="false">IF(BX445="LOSE",1,IF(N(V445)&gt;0,V445,IF(CA445=1,MAX(1,N(VLOOKUP(T445,Parameter!$I$27:$K$29,3,0)),H445,N(N445)),IF(N(Q445)&gt;0,Q445,MAX(1,H445)))))</f>
        <v>246</v>
      </c>
      <c r="BZ445" s="53" t="n">
        <f aca="false">IF(BX445="LOSE",1,0)</f>
        <v>0</v>
      </c>
      <c r="CA445" s="53" t="n">
        <f aca="false">IF(AND(U445="",OR(P445="",P445="LOSE"),T445&lt;&gt;"",N(S445)&lt;=0,ISNUMBER(MATCH(T445,Parameter!$I$27:$I$29,0))),1,0)</f>
        <v>0</v>
      </c>
      <c r="CB445" s="53" t="n">
        <f aca="false">IF(CQ445&gt;0,INDEX(Parameter!$H$5:$H$7,W445)/INDEX(Parameter!$E$5:$E$7,W445),IF(AND(BZ445=0,N(IFERROR(VLOOKUP(BX445,'Gebinde-Kategorie'!$A$5:$N$45,14,0),0))&gt;0),VLOOKUP(BX445,'Gebinde-Kategorie'!$A$5:$N$45,14,0)*10+Parameter!$M$23,Parameter!$M$24))</f>
        <v>155</v>
      </c>
      <c r="CC445" s="48" t="str">
        <f aca="false">IF(AND(Parameter!$B$19="Ja",E445&lt;&gt;"",ISNUMBER(MATCH(E445,Parameter!$I$35:$I$52,0))),VLOOKUP(E445,Parameter!$I$35:$J$52,2,0),IFERROR(VLOOKUP(D445,Parameter!$A$35:$C$64,2,0),"Nein"))</f>
        <v>2+3</v>
      </c>
      <c r="CD445" s="52" t="n">
        <f aca="false">IF(BZ445=0,0,IF(N(S445)&gt;0,S445,IFERROR(VLOOKUP(D445,Parameter!$A$35:$C$64,3,0)+0,0)))</f>
        <v>0</v>
      </c>
      <c r="CE445" s="48" t="n">
        <f aca="false">IF(AA445&lt;&gt;"",AA445,Z445)</f>
        <v>3</v>
      </c>
      <c r="CF445" s="48" t="str">
        <f aca="false">IF(OR(CE445=1,CE445=2,CE445=3),IF(Parameter!$E$27="Ja","LIFT",IF(CE445=1,"L1","L23")),IF(CE445="Aussen","Aussen","-"))</f>
        <v>LIFT</v>
      </c>
      <c r="CG445" s="59" t="n">
        <f aca="false">IF(N(AB445)&gt;0,AB445,0)</f>
        <v>0</v>
      </c>
      <c r="CH445" s="53" t="n">
        <f aca="false">IF(ISNUMBER(AE445),1,0)</f>
        <v>0</v>
      </c>
      <c r="CI445" s="50" t="n">
        <f aca="false">N(AE445)</f>
        <v>0</v>
      </c>
      <c r="CJ445" s="50" t="n">
        <f aca="false">N(M445)+N(N445)</f>
        <v>96</v>
      </c>
      <c r="CK445" s="50" t="n">
        <f aca="false">N(M445)</f>
        <v>36</v>
      </c>
      <c r="CL445" s="50" t="n">
        <f aca="false">N(N445)</f>
        <v>60</v>
      </c>
      <c r="CM445" s="50" t="n">
        <f aca="false">ROUNDUP(H445/BY445,0)</f>
        <v>1</v>
      </c>
      <c r="CN445" s="50" t="n">
        <f aca="false">ROUNDUP(CI445/BY445,0)</f>
        <v>0</v>
      </c>
      <c r="CO445" s="53" t="n">
        <f aca="false">IF(BZ445=1,0,IFERROR(VLOOKUP(BX445,'Gebinde-Kategorie'!$A$5:$N$45,5,0)+0,0))</f>
        <v>8</v>
      </c>
      <c r="CP445" s="53" t="n">
        <f aca="false">IFERROR(IF(OR(CE445=1,CE445=2,CE445=3),N(INDEX(Parameter!$I$5:$I$7,CE445)),0),0)</f>
        <v>0</v>
      </c>
      <c r="CQ445" s="52" t="n">
        <f aca="false">IF(AND(Parameter!$B$21="Ja",ISNUMBER(W445),N(X445)&gt;0),IFERROR(N(INDEX(Parameter!$L$5:$L$7,W445))*INDEX(Parameter!$E$5:$E$7,W445)*X445/SUMIFS($X$7:$X$1843,$W$7:$W$1843,W445),0),0)</f>
        <v>0</v>
      </c>
    </row>
    <row r="446" customFormat="false" ht="15" hidden="false" customHeight="false" outlineLevel="0" collapsed="false">
      <c r="A446" s="48" t="s">
        <v>1021</v>
      </c>
      <c r="B446" s="48" t="s">
        <v>1022</v>
      </c>
      <c r="C446" s="48" t="s">
        <v>173</v>
      </c>
      <c r="D446" s="48" t="s">
        <v>182</v>
      </c>
      <c r="E446" s="48" t="s">
        <v>182</v>
      </c>
      <c r="F446" s="48" t="s">
        <v>227</v>
      </c>
      <c r="G446" s="49" t="n">
        <v>2338.25</v>
      </c>
      <c r="H446" s="50" t="n">
        <f aca="false">MAX(0,IF(AND(Parameter!$B$21="Ja",ISNUMBER(Y446)),Y446,IF(Parameter!$B$20="Jahresanfang 2025 + Export",BR446+BQ446,BQ446)))</f>
        <v>0</v>
      </c>
      <c r="I446" s="50" t="n">
        <f aca="false">H446*G446</f>
        <v>0</v>
      </c>
      <c r="J446" s="50" t="n">
        <f aca="false">BT446*Parameter!$B$18</f>
        <v>4</v>
      </c>
      <c r="K446" s="51" t="n">
        <v>2.5</v>
      </c>
      <c r="L446" s="52" t="n">
        <v>1.6</v>
      </c>
      <c r="M446" s="50" t="n">
        <v>1</v>
      </c>
      <c r="N446" s="50" t="n">
        <v>1</v>
      </c>
      <c r="O446" s="53" t="n">
        <v>56</v>
      </c>
      <c r="P446" s="48" t="s">
        <v>177</v>
      </c>
      <c r="Q446" s="50"/>
      <c r="R446" s="53" t="n">
        <f aca="false">IF(BZ446=1,0,IFERROR(VLOOKUP(BX446,'Gebinde-Kategorie'!$A$5:$N$45,13,0)+0,0))</f>
        <v>0</v>
      </c>
      <c r="S446" s="54"/>
      <c r="T446" s="55"/>
      <c r="U446" s="55"/>
      <c r="V446" s="55"/>
      <c r="W446" s="48" t="n">
        <v>1</v>
      </c>
      <c r="X446" s="50" t="n">
        <v>2</v>
      </c>
      <c r="Y446" s="50" t="n">
        <v>0</v>
      </c>
      <c r="Z446" s="48" t="n">
        <f aca="false">IF(A446="","",IF(AND(Parameter!$B$21="Ja",ISNUMBER(W446)),W446,IF(CC446="2+3",IF(ISNUMBER(SEARCH("grosser Artikel",BU446)),2,IFERROR(VLOOKUP(BX446,Parameter!$F$35:$G$64,2,0),2)),IF(OR(CC446="Nein",CC446=""),"-",CC446))))</f>
        <v>1</v>
      </c>
      <c r="AA446" s="55"/>
      <c r="AB446" s="56"/>
      <c r="AC446" s="50" t="n">
        <f aca="false">AV446</f>
        <v>2</v>
      </c>
      <c r="AD446" s="50" t="n">
        <f aca="false">MAX(AV446,H446)</f>
        <v>2</v>
      </c>
      <c r="AE446" s="57"/>
      <c r="AF446" s="50" t="n">
        <f aca="false">IF(LEFT(Cockpit!$C$5,1)="A",H446,IF(Parameter!$E$30="MAX-Bestand",IF(CH446=1,CI446,IF(LEFT(Cockpit!$C$5,1)="B",AL446,MAX(AL446,H446))),ROUNDUP(AJ446,0)))</f>
        <v>0</v>
      </c>
      <c r="AG446" s="50" t="n">
        <f aca="false">IF(BZ446=1,0,ROUNDUP(AF446/BY446,0))</f>
        <v>0</v>
      </c>
      <c r="AH446" s="52" t="n">
        <f aca="false">IF(CQ446&gt;0,CQ446*MAX(1,AF446/X446),IF(BZ446=1,IF(AF446&lt;=0,0,CD446*MAX(1,IF(H446&gt;0,AF446/H446,1))),IF(R446&gt;0,AG446/R446,0))/MAX(0.1,N(Parameter!$M$21)))</f>
        <v>0.160075329566855</v>
      </c>
      <c r="AI446" s="50" t="n">
        <f aca="false">AH446*CB446</f>
        <v>38.0979284369115</v>
      </c>
      <c r="AJ446" s="51" t="n">
        <f aca="false">IF(LEFT(Cockpit!$C$5,1)="A",H446,IF(CH446=1,(CK446+CI446)/2,IF(LEFT(Cockpit!$C$5,1)="B",(CK446+AL446)/2,MAX((CK446+AL446)/2,H446))))</f>
        <v>0</v>
      </c>
      <c r="AK446" s="50" t="n">
        <f aca="false">AJ446*G446</f>
        <v>0</v>
      </c>
      <c r="AL446" s="50" t="n">
        <f aca="false">ROUNDUP(CK446+MAX(CL446,2*(J446/IF(CG446&gt;0,CG446,MAX(0.1,N(Cockpit!$C$6)))-CK446)),0)</f>
        <v>2</v>
      </c>
      <c r="AM446" s="51" t="n">
        <f aca="false">IF(AI446&gt;0,J446/AI446,-1)</f>
        <v>0.104992585269402</v>
      </c>
      <c r="AN446" s="51" t="n">
        <f aca="false">IF(AND(OR(CF446="L1",CF446="L23",CF446="LIFT"),AI446&gt;0),SUMIFS($AI$7:$AI$1843,$CF$7:$CF$1843,CF446,$AM$7:$AM$1843,"&gt;"&amp;AM446)+SUMIFS($AI$7:$AI$1843,$CF$7:$CF$1843,CF446,$AM$7:$AM$1843,AM446,$BW$7:$BW$1843,"&lt;="&amp;BW446),"")</f>
        <v>15590.1844306823</v>
      </c>
      <c r="AO446" s="58" t="n">
        <f aca="false">IF(AN446="",0,MAX(0,MIN(1,(IF(CF446="L1",Parameter!$H$5,IF(CF446="L23",Parameter!$H$6+Parameter!$H$7,Parameter!$H$5+Parameter!$H$6+Parameter!$H$7))-(AN446-AI446))/AI446)))</f>
        <v>1</v>
      </c>
      <c r="AP446" s="50" t="n">
        <f aca="false">IF(LEFT(Cockpit!$I$5,1)="A",H446,IF(Parameter!$E$30="MAX-Bestand",IF(CH446=1,CI446,IF(LEFT(Cockpit!$I$5,1)="B",AV446,MAX(AV446,H446))),ROUNDUP(AT446,0)))</f>
        <v>2</v>
      </c>
      <c r="AQ446" s="50" t="n">
        <f aca="false">IF(BZ446=1,0,ROUNDUP(AP446/BY446,0))</f>
        <v>0</v>
      </c>
      <c r="AR446" s="52" t="n">
        <f aca="false">IF(CQ446&gt;0,CQ446*MAX(1,AP446/X446),IF(BZ446=1,IF(AP446&lt;=0,0,CD446*MAX(1,IF(H446&gt;0,AP446/H446,1))),IF(R446&gt;0,AQ446/R446,0))/MAX(0.1,N(Parameter!$M$21)))</f>
        <v>0.160075329566855</v>
      </c>
      <c r="AS446" s="50" t="n">
        <f aca="false">AR446*CB446</f>
        <v>38.0979284369115</v>
      </c>
      <c r="AT446" s="51" t="n">
        <f aca="false">IF(LEFT(Cockpit!$I$5,1)="A",H446,IF(CH446=1,(CK446+CI446)/2,IF(LEFT(Cockpit!$I$5,1)="B",(CK446+AV446)/2,MAX((CK446+AV446)/2,H446))))</f>
        <v>1.5</v>
      </c>
      <c r="AU446" s="50" t="n">
        <f aca="false">AT446*G446</f>
        <v>3507.375</v>
      </c>
      <c r="AV446" s="50" t="n">
        <f aca="false">ROUNDUP(CK446+MAX(CL446,2*(J446/IF(CG446&gt;0,CG446,MAX(0.1,N(Cockpit!$I$6)))-CK446)),0)</f>
        <v>2</v>
      </c>
      <c r="AW446" s="51" t="n">
        <f aca="false">IF(AS446&gt;0,J446/AS446,-1)</f>
        <v>0.104992585269402</v>
      </c>
      <c r="AX446" s="51" t="n">
        <f aca="false">IF(AND(OR(CF446="L1",CF446="L23",CF446="LIFT"),AS446&gt;0),SUMIFS($AS$7:$AS$1843,$CF$7:$CF$1843,CF446,$AW$7:$AW$1843,"&gt;"&amp;AW446)+SUMIFS($AS$7:$AS$1843,$CF$7:$CF$1843,CF446,$AW$7:$AW$1843,AW446,$BW$7:$BW$1843,"&lt;="&amp;BW446),"")</f>
        <v>19614.5830720598</v>
      </c>
      <c r="AY446" s="58" t="n">
        <f aca="false">IF(AX446="",0,MAX(0,MIN(1,(IF(CF446="L1",Parameter!$H$5,IF(CF446="L23",Parameter!$H$6+Parameter!$H$7,Parameter!$H$5+Parameter!$H$6+Parameter!$H$7))-(AX446-AS446))/AS446)))</f>
        <v>1</v>
      </c>
      <c r="AZ446" s="50" t="n">
        <f aca="false">IF(LEFT(Cockpit!$O$5,1)="A",H446,IF(Parameter!$E$30="MAX-Bestand",IF(CH446=1,CI446,IF(LEFT(Cockpit!$O$5,1)="B",BF446,MAX(BF446,H446))),ROUNDUP(BD446,0)))</f>
        <v>2</v>
      </c>
      <c r="BA446" s="50" t="n">
        <f aca="false">IF(BZ446=1,0,ROUNDUP(AZ446/BY446,0))</f>
        <v>0</v>
      </c>
      <c r="BB446" s="52" t="n">
        <f aca="false">IF(CQ446&gt;0,CQ446*MAX(1,AZ446/X446),IF(BZ446=1,IF(AZ446&lt;=0,0,CD446*MAX(1,IF(H446&gt;0,AZ446/H446,1))),IF(R446&gt;0,BA446/R446,0))/MAX(0.1,N(Parameter!$M$21)))</f>
        <v>0.160075329566855</v>
      </c>
      <c r="BC446" s="50" t="n">
        <f aca="false">BB446*CB446</f>
        <v>38.0979284369115</v>
      </c>
      <c r="BD446" s="51" t="n">
        <f aca="false">IF(LEFT(Cockpit!$O$5,1)="A",H446,IF(CH446=1,(CK446+CI446)/2,IF(LEFT(Cockpit!$O$5,1)="B",(CK446+BF446)/2,MAX((CK446+BF446)/2,H446))))</f>
        <v>1.5</v>
      </c>
      <c r="BE446" s="50" t="n">
        <f aca="false">BD446*G446</f>
        <v>3507.375</v>
      </c>
      <c r="BF446" s="50" t="n">
        <f aca="false">ROUNDUP(CK446+MAX(CL446,2*(J446/IF(CG446&gt;0,CG446,MAX(0.1,N(Cockpit!$O$6)))-CK446)),0)</f>
        <v>2</v>
      </c>
      <c r="BG446" s="51" t="n">
        <f aca="false">IF(BC446&gt;0,J446/BC446,-1)</f>
        <v>0.104992585269402</v>
      </c>
      <c r="BH446" s="51" t="n">
        <f aca="false">IF(AND(OR(CF446="L1",CF446="L23",CF446="LIFT"),BC446&gt;0),SUMIFS($BC$7:$BC$1843,$CF$7:$CF$1843,CF446,$BG$7:$BG$1843,"&gt;"&amp;BG446)+SUMIFS($BC$7:$BC$1843,$CF$7:$CF$1843,CF446,$BG$7:$BG$1843,BG446,$BW$7:$BW$1843,"&lt;="&amp;BW446),"")</f>
        <v>17215.3956845885</v>
      </c>
      <c r="BI446" s="58" t="n">
        <f aca="false">IF(BH446="",0,MAX(0,MIN(1,(IF(CF446="L1",Parameter!$H$5,IF(CF446="L23",Parameter!$H$6+Parameter!$H$7,Parameter!$H$5+Parameter!$H$6+Parameter!$H$7))-(BH446-BC446))/BC446)))</f>
        <v>1</v>
      </c>
      <c r="BJ446" s="48" t="str">
        <f aca="false">IF(AI446&lt;=0,"",IF(CF446="Aussen","Aussenlager",IF(CF446="-","Nicht im Lift",IF(AO446&gt;=1,"Lift",IF(AO446&lt;=0,"Aussenlager","teilweise")))))</f>
        <v>Lift</v>
      </c>
      <c r="BK446" s="48" t="str">
        <f aca="false">IF(AS446&lt;=0,"",IF(CF446="Aussen","Aussenlager",IF(CF446="-","Nicht im Lift",IF(AY446&gt;=1,"Lift",IF(AY446&lt;=0,"Aussenlager","teilweise")))))</f>
        <v>Lift</v>
      </c>
      <c r="BL446" s="48" t="str">
        <f aca="false">IF(BC446&lt;=0,"",IF(CF446="Aussen","Aussenlager",IF(CF446="-","Nicht im Lift",IF(BI446&gt;=1,"Lift",IF(BI446&lt;=0,"Aussenlager","teilweise")))))</f>
        <v>Lift</v>
      </c>
      <c r="BM446" s="48" t="str">
        <f aca="false">IF(A446="","",IF(BV446=1,"Neu; ","")&amp;IF(AND(BV446=0,BQ446&lt;0),"negativer Bestand (Export "&amp;BQ446&amp;"); ","")&amp;IF(J446&lt;=0,"Kein Verbrauch; ","")&amp;IF(CQ446&gt;0,"Lift "&amp;W446&amp;" lt. Liftbericht (Fach "&amp;X446&amp;" Stk); ",IF(CA446=1,"Gebinde geschätzt ("&amp;T446&amp;"); ",IF(BZ446=1,"Lose – Tablare geschätzt; ","")))&amp;IF(H446&gt;AV446,"Überbestand "&amp;ROUND(H446-AV446,0)&amp;" Stk / CHF "&amp;ROUND((H446-AV446)*G446,0)&amp;"; ","")&amp;IF(AND(CH446=1,CI446&lt;CJ446),"MAX &lt; MB+LG; ","")&amp;IF(AND(CP446&gt;0,CO446*10&gt;CP446),"zu hoch für Tablar; ","")&amp;IF(AND(BV446=0,OR(CH446=1,AA446&lt;&gt;"",U446&lt;&gt;"",V446&lt;&gt;"",AB446&lt;&gt;"")),"manuell übersteuert; ","")&amp;IF(AND(BZ446=0,R446=0),"Gebinde unbekannt / Stellmass fehlt; ","")&amp;IF(AND(BZ446=0,N(V446)&lt;=0,N(Q446)&lt;=0),"Menge pro Gebinde fehlt (Ist = 1 Gebinde); ","")&amp;BU446)</f>
        <v>Lift 1 lt. Liftbericht (Fach 2 Stk); </v>
      </c>
      <c r="BN446" s="48"/>
      <c r="BO446" s="48"/>
      <c r="BP446" s="55"/>
      <c r="BQ446" s="50" t="n">
        <v>0</v>
      </c>
      <c r="BR446" s="50" t="n">
        <v>2</v>
      </c>
      <c r="BS446" s="49" t="n">
        <v>72.2999999999997</v>
      </c>
      <c r="BT446" s="50" t="n">
        <v>4</v>
      </c>
      <c r="BU446" s="48"/>
      <c r="BV446" s="53" t="n">
        <v>0</v>
      </c>
      <c r="BW446" s="53" t="n">
        <v>446</v>
      </c>
      <c r="BX446" s="48" t="str">
        <f aca="false">IF(U446&lt;&gt;"",UPPER(TRIM(U446)),IF(CA446=1,UPPER(VLOOKUP(T446,Parameter!$I$27:$K$29,2,0)),IF(P446="","LOSE",P446)))</f>
        <v>LOSE</v>
      </c>
      <c r="BY446" s="50" t="n">
        <f aca="false">IF(BX446="LOSE",1,IF(N(V446)&gt;0,V446,IF(CA446=1,MAX(1,N(VLOOKUP(T446,Parameter!$I$27:$K$29,3,0)),H446,N(N446)),IF(N(Q446)&gt;0,Q446,MAX(1,H446)))))</f>
        <v>1</v>
      </c>
      <c r="BZ446" s="53" t="n">
        <f aca="false">IF(BX446="LOSE",1,0)</f>
        <v>1</v>
      </c>
      <c r="CA446" s="53" t="n">
        <f aca="false">IF(AND(U446="",OR(P446="",P446="LOSE"),T446&lt;&gt;"",N(S446)&lt;=0,ISNUMBER(MATCH(T446,Parameter!$I$27:$I$29,0))),1,0)</f>
        <v>0</v>
      </c>
      <c r="CB446" s="53" t="n">
        <f aca="false">IF(CQ446&gt;0,INDEX(Parameter!$H$5:$H$7,W446)/INDEX(Parameter!$E$5:$E$7,W446),IF(AND(BZ446=0,N(IFERROR(VLOOKUP(BX446,'Gebinde-Kategorie'!$A$5:$N$45,14,0),0))&gt;0),VLOOKUP(BX446,'Gebinde-Kategorie'!$A$5:$N$45,14,0)*10+Parameter!$M$23,Parameter!$M$24))</f>
        <v>238</v>
      </c>
      <c r="CC446" s="48" t="str">
        <f aca="false">IF(AND(Parameter!$B$19="Ja",E446&lt;&gt;"",ISNUMBER(MATCH(E446,Parameter!$I$35:$I$52,0))),VLOOKUP(E446,Parameter!$I$35:$J$52,2,0),IFERROR(VLOOKUP(D446,Parameter!$A$35:$C$64,2,0),"Nein"))</f>
        <v>Nein</v>
      </c>
      <c r="CD446" s="52" t="n">
        <f aca="false">IF(BZ446=0,0,IF(N(S446)&gt;0,S446,IFERROR(VLOOKUP(D446,Parameter!$A$35:$C$64,3,0)+0,0)))</f>
        <v>0.15</v>
      </c>
      <c r="CE446" s="48" t="n">
        <f aca="false">IF(AA446&lt;&gt;"",AA446,Z446)</f>
        <v>1</v>
      </c>
      <c r="CF446" s="48" t="str">
        <f aca="false">IF(OR(CE446=1,CE446=2,CE446=3),IF(Parameter!$E$27="Ja","LIFT",IF(CE446=1,"L1","L23")),IF(CE446="Aussen","Aussen","-"))</f>
        <v>LIFT</v>
      </c>
      <c r="CG446" s="59" t="n">
        <f aca="false">IF(N(AB446)&gt;0,AB446,0)</f>
        <v>0</v>
      </c>
      <c r="CH446" s="53" t="n">
        <f aca="false">IF(ISNUMBER(AE446),1,0)</f>
        <v>0</v>
      </c>
      <c r="CI446" s="50" t="n">
        <f aca="false">N(AE446)</f>
        <v>0</v>
      </c>
      <c r="CJ446" s="50" t="n">
        <f aca="false">N(M446)+N(N446)</f>
        <v>2</v>
      </c>
      <c r="CK446" s="50" t="n">
        <f aca="false">N(M446)</f>
        <v>1</v>
      </c>
      <c r="CL446" s="50" t="n">
        <f aca="false">N(N446)</f>
        <v>1</v>
      </c>
      <c r="CM446" s="50" t="n">
        <f aca="false">ROUNDUP(H446/BY446,0)</f>
        <v>0</v>
      </c>
      <c r="CN446" s="50" t="n">
        <f aca="false">ROUNDUP(CI446/BY446,0)</f>
        <v>0</v>
      </c>
      <c r="CO446" s="53" t="n">
        <f aca="false">IF(BZ446=1,0,IFERROR(VLOOKUP(BX446,'Gebinde-Kategorie'!$A$5:$N$45,5,0)+0,0))</f>
        <v>0</v>
      </c>
      <c r="CP446" s="53" t="n">
        <f aca="false">IFERROR(IF(OR(CE446=1,CE446=2,CE446=3),N(INDEX(Parameter!$I$5:$I$7,CE446)),0),0)</f>
        <v>0</v>
      </c>
      <c r="CQ446" s="52" t="n">
        <f aca="false">IF(AND(Parameter!$B$21="Ja",ISNUMBER(W446),N(X446)&gt;0),IFERROR(N(INDEX(Parameter!$L$5:$L$7,W446))*INDEX(Parameter!$E$5:$E$7,W446)*X446/SUMIFS($X$7:$X$1843,$W$7:$W$1843,W446),0),0)</f>
        <v>0.160075329566855</v>
      </c>
    </row>
    <row r="447" customFormat="false" ht="15" hidden="false" customHeight="false" outlineLevel="0" collapsed="false">
      <c r="A447" s="48" t="s">
        <v>1023</v>
      </c>
      <c r="B447" s="48" t="s">
        <v>1024</v>
      </c>
      <c r="C447" s="48" t="s">
        <v>173</v>
      </c>
      <c r="D447" s="48" t="s">
        <v>193</v>
      </c>
      <c r="E447" s="48" t="s">
        <v>194</v>
      </c>
      <c r="F447" s="48" t="s">
        <v>227</v>
      </c>
      <c r="G447" s="49" t="n">
        <v>0.12</v>
      </c>
      <c r="H447" s="50" t="n">
        <f aca="false">MAX(0,IF(AND(Parameter!$B$21="Ja",ISNUMBER(Y447)),Y447,IF(Parameter!$B$20="Jahresanfang 2025 + Export",BR447+BQ447,BQ447)))</f>
        <v>798</v>
      </c>
      <c r="I447" s="50" t="n">
        <f aca="false">H447*G447</f>
        <v>95.76</v>
      </c>
      <c r="J447" s="50" t="n">
        <f aca="false">BT447*Parameter!$B$18</f>
        <v>1150</v>
      </c>
      <c r="K447" s="51" t="n">
        <v>378.5</v>
      </c>
      <c r="L447" s="52" t="n">
        <v>3.03830911492735</v>
      </c>
      <c r="M447" s="50" t="n">
        <v>67</v>
      </c>
      <c r="N447" s="50" t="n">
        <v>1000</v>
      </c>
      <c r="O447" s="53" t="n">
        <v>21</v>
      </c>
      <c r="P447" s="48" t="s">
        <v>242</v>
      </c>
      <c r="Q447" s="50" t="n">
        <v>1500</v>
      </c>
      <c r="R447" s="53" t="n">
        <f aca="false">IF(BZ447=1,0,IFERROR(VLOOKUP(BX447,'Gebinde-Kategorie'!$A$5:$N$45,13,0)+0,0))</f>
        <v>26</v>
      </c>
      <c r="S447" s="54"/>
      <c r="T447" s="55"/>
      <c r="U447" s="55"/>
      <c r="V447" s="55"/>
      <c r="W447" s="48"/>
      <c r="X447" s="50"/>
      <c r="Y447" s="50"/>
      <c r="Z447" s="48" t="n">
        <f aca="false">IF(A447="","",IF(AND(Parameter!$B$21="Ja",ISNUMBER(W447)),W447,IF(CC447="2+3",IF(ISNUMBER(SEARCH("grosser Artikel",BU447)),2,IFERROR(VLOOKUP(BX447,Parameter!$F$35:$G$64,2,0),2)),IF(OR(CC447="Nein",CC447=""),"-",CC447))))</f>
        <v>3</v>
      </c>
      <c r="AA447" s="55"/>
      <c r="AB447" s="56"/>
      <c r="AC447" s="50" t="n">
        <f aca="false">AV447</f>
        <v>1067</v>
      </c>
      <c r="AD447" s="50" t="n">
        <f aca="false">MAX(AV447,H447)</f>
        <v>1067</v>
      </c>
      <c r="AE447" s="57"/>
      <c r="AF447" s="50" t="n">
        <f aca="false">IF(LEFT(Cockpit!$C$5,1)="A",H447,IF(Parameter!$E$30="MAX-Bestand",IF(CH447=1,CI447,IF(LEFT(Cockpit!$C$5,1)="B",AL447,MAX(AL447,H447))),ROUNDUP(AJ447,0)))</f>
        <v>798</v>
      </c>
      <c r="AG447" s="50" t="n">
        <f aca="false">IF(BZ447=1,0,ROUNDUP(AF447/BY447,0))</f>
        <v>1</v>
      </c>
      <c r="AH447" s="52" t="n">
        <f aca="false">IF(CQ447&gt;0,CQ447*MAX(1,AF447/X447),IF(BZ447=1,IF(AF447&lt;=0,0,CD447*MAX(1,IF(H447&gt;0,AF447/H447,1))),IF(R447&gt;0,AG447/R447,0))/MAX(0.1,N(Parameter!$M$21)))</f>
        <v>0.0384615384615385</v>
      </c>
      <c r="AI447" s="50" t="n">
        <f aca="false">AH447*CB447</f>
        <v>9.42307692307692</v>
      </c>
      <c r="AJ447" s="51" t="n">
        <f aca="false">IF(LEFT(Cockpit!$C$5,1)="A",H447,IF(CH447=1,(CK447+CI447)/2,IF(LEFT(Cockpit!$C$5,1)="B",(CK447+AL447)/2,MAX((CK447+AL447)/2,H447))))</f>
        <v>798</v>
      </c>
      <c r="AK447" s="50" t="n">
        <f aca="false">AJ447*G447</f>
        <v>95.76</v>
      </c>
      <c r="AL447" s="50" t="n">
        <f aca="false">ROUNDUP(CK447+MAX(CL447,2*(J447/IF(CG447&gt;0,CG447,MAX(0.1,N(Cockpit!$C$6)))-CK447)),0)</f>
        <v>1067</v>
      </c>
      <c r="AM447" s="51" t="n">
        <f aca="false">IF(AI447&gt;0,J447/AI447,-1)</f>
        <v>122.040816326531</v>
      </c>
      <c r="AN447" s="51" t="n">
        <f aca="false">IF(AND(OR(CF447="L1",CF447="L23",CF447="LIFT"),AI447&gt;0),SUMIFS($AI$7:$AI$1843,$CF$7:$CF$1843,CF447,$AM$7:$AM$1843,"&gt;"&amp;AM447)+SUMIFS($AI$7:$AI$1843,$CF$7:$CF$1843,CF447,$AM$7:$AM$1843,AM447,$BW$7:$BW$1843,"&lt;="&amp;BW447),"")</f>
        <v>668.798534798535</v>
      </c>
      <c r="AO447" s="58" t="n">
        <f aca="false">IF(AN447="",0,MAX(0,MIN(1,(IF(CF447="L1",Parameter!$H$5,IF(CF447="L23",Parameter!$H$6+Parameter!$H$7,Parameter!$H$5+Parameter!$H$6+Parameter!$H$7))-(AN447-AI447))/AI447)))</f>
        <v>1</v>
      </c>
      <c r="AP447" s="50" t="n">
        <f aca="false">IF(LEFT(Cockpit!$I$5,1)="A",H447,IF(Parameter!$E$30="MAX-Bestand",IF(CH447=1,CI447,IF(LEFT(Cockpit!$I$5,1)="B",AV447,MAX(AV447,H447))),ROUNDUP(AT447,0)))</f>
        <v>798</v>
      </c>
      <c r="AQ447" s="50" t="n">
        <f aca="false">IF(BZ447=1,0,ROUNDUP(AP447/BY447,0))</f>
        <v>1</v>
      </c>
      <c r="AR447" s="52" t="n">
        <f aca="false">IF(CQ447&gt;0,CQ447*MAX(1,AP447/X447),IF(BZ447=1,IF(AP447&lt;=0,0,CD447*MAX(1,IF(H447&gt;0,AP447/H447,1))),IF(R447&gt;0,AQ447/R447,0))/MAX(0.1,N(Parameter!$M$21)))</f>
        <v>0.0384615384615385</v>
      </c>
      <c r="AS447" s="50" t="n">
        <f aca="false">AR447*CB447</f>
        <v>9.42307692307692</v>
      </c>
      <c r="AT447" s="51" t="n">
        <f aca="false">IF(LEFT(Cockpit!$I$5,1)="A",H447,IF(CH447=1,(CK447+CI447)/2,IF(LEFT(Cockpit!$I$5,1)="B",(CK447+AV447)/2,MAX((CK447+AV447)/2,H447))))</f>
        <v>798</v>
      </c>
      <c r="AU447" s="50" t="n">
        <f aca="false">AT447*G447</f>
        <v>95.76</v>
      </c>
      <c r="AV447" s="50" t="n">
        <f aca="false">ROUNDUP(CK447+MAX(CL447,2*(J447/IF(CG447&gt;0,CG447,MAX(0.1,N(Cockpit!$I$6)))-CK447)),0)</f>
        <v>1067</v>
      </c>
      <c r="AW447" s="51" t="n">
        <f aca="false">IF(AS447&gt;0,J447/AS447,-1)</f>
        <v>122.040816326531</v>
      </c>
      <c r="AX447" s="51" t="n">
        <f aca="false">IF(AND(OR(CF447="L1",CF447="L23",CF447="LIFT"),AS447&gt;0),SUMIFS($AS$7:$AS$1843,$CF$7:$CF$1843,CF447,$AW$7:$AW$1843,"&gt;"&amp;AW447)+SUMIFS($AS$7:$AS$1843,$CF$7:$CF$1843,CF447,$AW$7:$AW$1843,AW447,$BW$7:$BW$1843,"&lt;="&amp;BW447),"")</f>
        <v>781.581043956044</v>
      </c>
      <c r="AY447" s="58" t="n">
        <f aca="false">IF(AX447="",0,MAX(0,MIN(1,(IF(CF447="L1",Parameter!$H$5,IF(CF447="L23",Parameter!$H$6+Parameter!$H$7,Parameter!$H$5+Parameter!$H$6+Parameter!$H$7))-(AX447-AS447))/AS447)))</f>
        <v>1</v>
      </c>
      <c r="AZ447" s="50" t="n">
        <f aca="false">IF(LEFT(Cockpit!$O$5,1)="A",H447,IF(Parameter!$E$30="MAX-Bestand",IF(CH447=1,CI447,IF(LEFT(Cockpit!$O$5,1)="B",BF447,MAX(BF447,H447))),ROUNDUP(BD447,0)))</f>
        <v>567</v>
      </c>
      <c r="BA447" s="50" t="n">
        <f aca="false">IF(BZ447=1,0,ROUNDUP(AZ447/BY447,0))</f>
        <v>1</v>
      </c>
      <c r="BB447" s="52" t="n">
        <f aca="false">IF(CQ447&gt;0,CQ447*MAX(1,AZ447/X447),IF(BZ447=1,IF(AZ447&lt;=0,0,CD447*MAX(1,IF(H447&gt;0,AZ447/H447,1))),IF(R447&gt;0,BA447/R447,0))/MAX(0.1,N(Parameter!$M$21)))</f>
        <v>0.0384615384615385</v>
      </c>
      <c r="BC447" s="50" t="n">
        <f aca="false">BB447*CB447</f>
        <v>9.42307692307692</v>
      </c>
      <c r="BD447" s="51" t="n">
        <f aca="false">IF(LEFT(Cockpit!$O$5,1)="A",H447,IF(CH447=1,(CK447+CI447)/2,IF(LEFT(Cockpit!$O$5,1)="B",(CK447+BF447)/2,MAX((CK447+BF447)/2,H447))))</f>
        <v>567</v>
      </c>
      <c r="BE447" s="50" t="n">
        <f aca="false">BD447*G447</f>
        <v>68.04</v>
      </c>
      <c r="BF447" s="50" t="n">
        <f aca="false">ROUNDUP(CK447+MAX(CL447,2*(J447/IF(CG447&gt;0,CG447,MAX(0.1,N(Cockpit!$O$6)))-CK447)),0)</f>
        <v>1067</v>
      </c>
      <c r="BG447" s="51" t="n">
        <f aca="false">IF(BC447&gt;0,J447/BC447,-1)</f>
        <v>122.040816326531</v>
      </c>
      <c r="BH447" s="51" t="n">
        <f aca="false">IF(AND(OR(CF447="L1",CF447="L23",CF447="LIFT"),BC447&gt;0),SUMIFS($BC$7:$BC$1843,$CF$7:$CF$1843,CF447,$BG$7:$BG$1843,"&gt;"&amp;BG447)+SUMIFS($BC$7:$BC$1843,$CF$7:$CF$1843,CF447,$BG$7:$BG$1843,BG447,$BW$7:$BW$1843,"&lt;="&amp;BW447),"")</f>
        <v>792.567307692308</v>
      </c>
      <c r="BI447" s="58" t="n">
        <f aca="false">IF(BH447="",0,MAX(0,MIN(1,(IF(CF447="L1",Parameter!$H$5,IF(CF447="L23",Parameter!$H$6+Parameter!$H$7,Parameter!$H$5+Parameter!$H$6+Parameter!$H$7))-(BH447-BC447))/BC447)))</f>
        <v>1</v>
      </c>
      <c r="BJ447" s="48" t="str">
        <f aca="false">IF(AI447&lt;=0,"",IF(CF447="Aussen","Aussenlager",IF(CF447="-","Nicht im Lift",IF(AO447&gt;=1,"Lift",IF(AO447&lt;=0,"Aussenlager","teilweise")))))</f>
        <v>Lift</v>
      </c>
      <c r="BK447" s="48" t="str">
        <f aca="false">IF(AS447&lt;=0,"",IF(CF447="Aussen","Aussenlager",IF(CF447="-","Nicht im Lift",IF(AY447&gt;=1,"Lift",IF(AY447&lt;=0,"Aussenlager","teilweise")))))</f>
        <v>Lift</v>
      </c>
      <c r="BL447" s="48" t="str">
        <f aca="false">IF(BC447&lt;=0,"",IF(CF447="Aussen","Aussenlager",IF(CF447="-","Nicht im Lift",IF(BI447&gt;=1,"Lift",IF(BI447&lt;=0,"Aussenlager","teilweise")))))</f>
        <v>Lift</v>
      </c>
      <c r="BM447" s="48" t="str">
        <f aca="false">IF(A447="","",IF(BV447=1,"Neu; ","")&amp;IF(AND(BV447=0,BQ447&lt;0),"negativer Bestand (Export "&amp;BQ447&amp;"); ","")&amp;IF(J447&lt;=0,"Kein Verbrauch; ","")&amp;IF(CQ447&gt;0,"Lift "&amp;W447&amp;" lt. Liftbericht (Fach "&amp;X447&amp;" Stk); ",IF(CA447=1,"Gebinde geschätzt ("&amp;T447&amp;"); ",IF(BZ447=1,"Lose – Tablare geschätzt; ","")))&amp;IF(H447&gt;AV447,"Überbestand "&amp;ROUND(H447-AV447,0)&amp;" Stk / CHF "&amp;ROUND((H447-AV447)*G447,0)&amp;"; ","")&amp;IF(AND(CH447=1,CI447&lt;CJ447),"MAX &lt; MB+LG; ","")&amp;IF(AND(CP447&gt;0,CO447*10&gt;CP447),"zu hoch für Tablar; ","")&amp;IF(AND(BV447=0,OR(CH447=1,AA447&lt;&gt;"",U447&lt;&gt;"",V447&lt;&gt;"",AB447&lt;&gt;"")),"manuell übersteuert; ","")&amp;IF(AND(BZ447=0,R447=0),"Gebinde unbekannt / Stellmass fehlt; ","")&amp;IF(AND(BZ447=0,N(V447)&lt;=0,N(Q447)&lt;=0),"Menge pro Gebinde fehlt (Ist = 1 Gebinde); ","")&amp;BU447)</f>
        <v/>
      </c>
      <c r="BN447" s="48"/>
      <c r="BO447" s="48"/>
      <c r="BP447" s="55"/>
      <c r="BQ447" s="50" t="n">
        <v>598</v>
      </c>
      <c r="BR447" s="50" t="n">
        <v>200</v>
      </c>
      <c r="BS447" s="49" t="n">
        <v>71.76</v>
      </c>
      <c r="BT447" s="50" t="n">
        <v>1150</v>
      </c>
      <c r="BU447" s="48"/>
      <c r="BV447" s="53" t="n">
        <v>0</v>
      </c>
      <c r="BW447" s="53" t="n">
        <v>447</v>
      </c>
      <c r="BX447" s="48" t="str">
        <f aca="false">IF(U447&lt;&gt;"",UPPER(TRIM(U447)),IF(CA447=1,UPPER(VLOOKUP(T447,Parameter!$I$27:$K$29,2,0)),IF(P447="","LOSE",P447)))</f>
        <v>S52</v>
      </c>
      <c r="BY447" s="50" t="n">
        <f aca="false">IF(BX447="LOSE",1,IF(N(V447)&gt;0,V447,IF(CA447=1,MAX(1,N(VLOOKUP(T447,Parameter!$I$27:$K$29,3,0)),H447,N(N447)),IF(N(Q447)&gt;0,Q447,MAX(1,H447)))))</f>
        <v>1500</v>
      </c>
      <c r="BZ447" s="53" t="n">
        <f aca="false">IF(BX447="LOSE",1,0)</f>
        <v>0</v>
      </c>
      <c r="CA447" s="53" t="n">
        <f aca="false">IF(AND(U447="",OR(P447="",P447="LOSE"),T447&lt;&gt;"",N(S447)&lt;=0,ISNUMBER(MATCH(T447,Parameter!$I$27:$I$29,0))),1,0)</f>
        <v>0</v>
      </c>
      <c r="CB447" s="53" t="n">
        <f aca="false">IF(CQ447&gt;0,INDEX(Parameter!$H$5:$H$7,W447)/INDEX(Parameter!$E$5:$E$7,W447),IF(AND(BZ447=0,N(IFERROR(VLOOKUP(BX447,'Gebinde-Kategorie'!$A$5:$N$45,14,0),0))&gt;0),VLOOKUP(BX447,'Gebinde-Kategorie'!$A$5:$N$45,14,0)*10+Parameter!$M$23,Parameter!$M$24))</f>
        <v>245</v>
      </c>
      <c r="CC447" s="48" t="str">
        <f aca="false">IF(AND(Parameter!$B$19="Ja",E447&lt;&gt;"",ISNUMBER(MATCH(E447,Parameter!$I$35:$I$52,0))),VLOOKUP(E447,Parameter!$I$35:$J$52,2,0),IFERROR(VLOOKUP(D447,Parameter!$A$35:$C$64,2,0),"Nein"))</f>
        <v>2+3</v>
      </c>
      <c r="CD447" s="52" t="n">
        <f aca="false">IF(BZ447=0,0,IF(N(S447)&gt;0,S447,IFERROR(VLOOKUP(D447,Parameter!$A$35:$C$64,3,0)+0,0)))</f>
        <v>0</v>
      </c>
      <c r="CE447" s="48" t="n">
        <f aca="false">IF(AA447&lt;&gt;"",AA447,Z447)</f>
        <v>3</v>
      </c>
      <c r="CF447" s="48" t="str">
        <f aca="false">IF(OR(CE447=1,CE447=2,CE447=3),IF(Parameter!$E$27="Ja","LIFT",IF(CE447=1,"L1","L23")),IF(CE447="Aussen","Aussen","-"))</f>
        <v>LIFT</v>
      </c>
      <c r="CG447" s="59" t="n">
        <f aca="false">IF(N(AB447)&gt;0,AB447,0)</f>
        <v>0</v>
      </c>
      <c r="CH447" s="53" t="n">
        <f aca="false">IF(ISNUMBER(AE447),1,0)</f>
        <v>0</v>
      </c>
      <c r="CI447" s="50" t="n">
        <f aca="false">N(AE447)</f>
        <v>0</v>
      </c>
      <c r="CJ447" s="50" t="n">
        <f aca="false">N(M447)+N(N447)</f>
        <v>1067</v>
      </c>
      <c r="CK447" s="50" t="n">
        <f aca="false">N(M447)</f>
        <v>67</v>
      </c>
      <c r="CL447" s="50" t="n">
        <f aca="false">N(N447)</f>
        <v>1000</v>
      </c>
      <c r="CM447" s="50" t="n">
        <f aca="false">ROUNDUP(H447/BY447,0)</f>
        <v>1</v>
      </c>
      <c r="CN447" s="50" t="n">
        <f aca="false">ROUNDUP(CI447/BY447,0)</f>
        <v>0</v>
      </c>
      <c r="CO447" s="53" t="n">
        <f aca="false">IF(BZ447=1,0,IFERROR(VLOOKUP(BX447,'Gebinde-Kategorie'!$A$5:$N$45,5,0)+0,0))</f>
        <v>21</v>
      </c>
      <c r="CP447" s="53" t="n">
        <f aca="false">IFERROR(IF(OR(CE447=1,CE447=2,CE447=3),N(INDEX(Parameter!$I$5:$I$7,CE447)),0),0)</f>
        <v>0</v>
      </c>
      <c r="CQ447" s="52" t="n">
        <f aca="false">IF(AND(Parameter!$B$21="Ja",ISNUMBER(W447),N(X447)&gt;0),IFERROR(N(INDEX(Parameter!$L$5:$L$7,W447))*INDEX(Parameter!$E$5:$E$7,W447)*X447/SUMIFS($X$7:$X$1843,$W$7:$W$1843,W447),0),0)</f>
        <v>0</v>
      </c>
    </row>
    <row r="448" customFormat="false" ht="15" hidden="false" customHeight="false" outlineLevel="0" collapsed="false">
      <c r="A448" s="48" t="s">
        <v>1025</v>
      </c>
      <c r="B448" s="48" t="s">
        <v>864</v>
      </c>
      <c r="C448" s="48" t="s">
        <v>173</v>
      </c>
      <c r="D448" s="48" t="s">
        <v>193</v>
      </c>
      <c r="E448" s="48" t="s">
        <v>194</v>
      </c>
      <c r="F448" s="48" t="s">
        <v>227</v>
      </c>
      <c r="G448" s="49" t="n">
        <v>0.13</v>
      </c>
      <c r="H448" s="50" t="n">
        <f aca="false">MAX(0,IF(AND(Parameter!$B$21="Ja",ISNUMBER(Y448)),Y448,IF(Parameter!$B$20="Jahresanfang 2025 + Export",BR448+BQ448,BQ448)))</f>
        <v>1000</v>
      </c>
      <c r="I448" s="50" t="n">
        <f aca="false">H448*G448</f>
        <v>130</v>
      </c>
      <c r="J448" s="50" t="n">
        <f aca="false">BT448*Parameter!$B$18</f>
        <v>2250</v>
      </c>
      <c r="K448" s="51" t="n">
        <v>575</v>
      </c>
      <c r="L448" s="52" t="n">
        <v>3.91304347826087</v>
      </c>
      <c r="M448" s="50" t="n">
        <v>200</v>
      </c>
      <c r="N448" s="50" t="n">
        <v>500</v>
      </c>
      <c r="O448" s="53" t="n">
        <v>14</v>
      </c>
      <c r="P448" s="48" t="s">
        <v>311</v>
      </c>
      <c r="Q448" s="50" t="n">
        <v>600</v>
      </c>
      <c r="R448" s="53" t="n">
        <f aca="false">IF(BZ448=1,0,IFERROR(VLOOKUP(BX448,'Gebinde-Kategorie'!$A$5:$N$45,13,0)+0,0))</f>
        <v>26</v>
      </c>
      <c r="S448" s="54"/>
      <c r="T448" s="55"/>
      <c r="U448" s="55"/>
      <c r="V448" s="55"/>
      <c r="W448" s="48"/>
      <c r="X448" s="50"/>
      <c r="Y448" s="50"/>
      <c r="Z448" s="48" t="n">
        <f aca="false">IF(A448="","",IF(AND(Parameter!$B$21="Ja",ISNUMBER(W448)),W448,IF(CC448="2+3",IF(ISNUMBER(SEARCH("grosser Artikel",BU448)),2,IFERROR(VLOOKUP(BX448,Parameter!$F$35:$G$64,2,0),2)),IF(OR(CC448="Nein",CC448=""),"-",CC448))))</f>
        <v>3</v>
      </c>
      <c r="AA448" s="55"/>
      <c r="AB448" s="56"/>
      <c r="AC448" s="50" t="n">
        <f aca="false">AV448</f>
        <v>1300</v>
      </c>
      <c r="AD448" s="50" t="n">
        <f aca="false">MAX(AV448,H448)</f>
        <v>1300</v>
      </c>
      <c r="AE448" s="57"/>
      <c r="AF448" s="50" t="n">
        <f aca="false">IF(LEFT(Cockpit!$C$5,1)="A",H448,IF(Parameter!$E$30="MAX-Bestand",IF(CH448=1,CI448,IF(LEFT(Cockpit!$C$5,1)="B",AL448,MAX(AL448,H448))),ROUNDUP(AJ448,0)))</f>
        <v>1000</v>
      </c>
      <c r="AG448" s="50" t="n">
        <f aca="false">IF(BZ448=1,0,ROUNDUP(AF448/BY448,0))</f>
        <v>2</v>
      </c>
      <c r="AH448" s="52" t="n">
        <f aca="false">IF(CQ448&gt;0,CQ448*MAX(1,AF448/X448),IF(BZ448=1,IF(AF448&lt;=0,0,CD448*MAX(1,IF(H448&gt;0,AF448/H448,1))),IF(R448&gt;0,AG448/R448,0))/MAX(0.1,N(Parameter!$M$21)))</f>
        <v>0.0769230769230769</v>
      </c>
      <c r="AI448" s="50" t="n">
        <f aca="false">AH448*CB448</f>
        <v>11.9230769230769</v>
      </c>
      <c r="AJ448" s="51" t="n">
        <f aca="false">IF(LEFT(Cockpit!$C$5,1)="A",H448,IF(CH448=1,(CK448+CI448)/2,IF(LEFT(Cockpit!$C$5,1)="B",(CK448+AL448)/2,MAX((CK448+AL448)/2,H448))))</f>
        <v>1000</v>
      </c>
      <c r="AK448" s="50" t="n">
        <f aca="false">AJ448*G448</f>
        <v>130</v>
      </c>
      <c r="AL448" s="50" t="n">
        <f aca="false">ROUNDUP(CK448+MAX(CL448,2*(J448/IF(CG448&gt;0,CG448,MAX(0.1,N(Cockpit!$C$6)))-CK448)),0)</f>
        <v>1300</v>
      </c>
      <c r="AM448" s="51" t="n">
        <f aca="false">IF(AI448&gt;0,J448/AI448,-1)</f>
        <v>188.709677419355</v>
      </c>
      <c r="AN448" s="51" t="n">
        <f aca="false">IF(AND(OR(CF448="L1",CF448="L23",CF448="LIFT"),AI448&gt;0),SUMIFS($AI$7:$AI$1843,$CF$7:$CF$1843,CF448,$AM$7:$AM$1843,"&gt;"&amp;AM448)+SUMIFS($AI$7:$AI$1843,$CF$7:$CF$1843,CF448,$AM$7:$AM$1843,AM448,$BW$7:$BW$1843,"&lt;="&amp;BW448),"")</f>
        <v>376.235347985348</v>
      </c>
      <c r="AO448" s="58" t="n">
        <f aca="false">IF(AN448="",0,MAX(0,MIN(1,(IF(CF448="L1",Parameter!$H$5,IF(CF448="L23",Parameter!$H$6+Parameter!$H$7,Parameter!$H$5+Parameter!$H$6+Parameter!$H$7))-(AN448-AI448))/AI448)))</f>
        <v>1</v>
      </c>
      <c r="AP448" s="50" t="n">
        <f aca="false">IF(LEFT(Cockpit!$I$5,1)="A",H448,IF(Parameter!$E$30="MAX-Bestand",IF(CH448=1,CI448,IF(LEFT(Cockpit!$I$5,1)="B",AV448,MAX(AV448,H448))),ROUNDUP(AT448,0)))</f>
        <v>1000</v>
      </c>
      <c r="AQ448" s="50" t="n">
        <f aca="false">IF(BZ448=1,0,ROUNDUP(AP448/BY448,0))</f>
        <v>2</v>
      </c>
      <c r="AR448" s="52" t="n">
        <f aca="false">IF(CQ448&gt;0,CQ448*MAX(1,AP448/X448),IF(BZ448=1,IF(AP448&lt;=0,0,CD448*MAX(1,IF(H448&gt;0,AP448/H448,1))),IF(R448&gt;0,AQ448/R448,0))/MAX(0.1,N(Parameter!$M$21)))</f>
        <v>0.0769230769230769</v>
      </c>
      <c r="AS448" s="50" t="n">
        <f aca="false">AR448*CB448</f>
        <v>11.9230769230769</v>
      </c>
      <c r="AT448" s="51" t="n">
        <f aca="false">IF(LEFT(Cockpit!$I$5,1)="A",H448,IF(CH448=1,(CK448+CI448)/2,IF(LEFT(Cockpit!$I$5,1)="B",(CK448+AV448)/2,MAX((CK448+AV448)/2,H448))))</f>
        <v>1000</v>
      </c>
      <c r="AU448" s="50" t="n">
        <f aca="false">AT448*G448</f>
        <v>130</v>
      </c>
      <c r="AV448" s="50" t="n">
        <f aca="false">ROUNDUP(CK448+MAX(CL448,2*(J448/IF(CG448&gt;0,CG448,MAX(0.1,N(Cockpit!$I$6)))-CK448)),0)</f>
        <v>1300</v>
      </c>
      <c r="AW448" s="51" t="n">
        <f aca="false">IF(AS448&gt;0,J448/AS448,-1)</f>
        <v>188.709677419355</v>
      </c>
      <c r="AX448" s="51" t="n">
        <f aca="false">IF(AND(OR(CF448="L1",CF448="L23",CF448="LIFT"),AS448&gt;0),SUMIFS($AS$7:$AS$1843,$CF$7:$CF$1843,CF448,$AW$7:$AW$1843,"&gt;"&amp;AW448)+SUMIFS($AS$7:$AS$1843,$CF$7:$CF$1843,CF448,$AW$7:$AW$1843,AW448,$BW$7:$BW$1843,"&lt;="&amp;BW448),"")</f>
        <v>493.872252747253</v>
      </c>
      <c r="AY448" s="58" t="n">
        <f aca="false">IF(AX448="",0,MAX(0,MIN(1,(IF(CF448="L1",Parameter!$H$5,IF(CF448="L23",Parameter!$H$6+Parameter!$H$7,Parameter!$H$5+Parameter!$H$6+Parameter!$H$7))-(AX448-AS448))/AS448)))</f>
        <v>1</v>
      </c>
      <c r="AZ448" s="50" t="n">
        <f aca="false">IF(LEFT(Cockpit!$O$5,1)="A",H448,IF(Parameter!$E$30="MAX-Bestand",IF(CH448=1,CI448,IF(LEFT(Cockpit!$O$5,1)="B",BF448,MAX(BF448,H448))),ROUNDUP(BD448,0)))</f>
        <v>563</v>
      </c>
      <c r="BA448" s="50" t="n">
        <f aca="false">IF(BZ448=1,0,ROUNDUP(AZ448/BY448,0))</f>
        <v>1</v>
      </c>
      <c r="BB448" s="52" t="n">
        <f aca="false">IF(CQ448&gt;0,CQ448*MAX(1,AZ448/X448),IF(BZ448=1,IF(AZ448&lt;=0,0,CD448*MAX(1,IF(H448&gt;0,AZ448/H448,1))),IF(R448&gt;0,BA448/R448,0))/MAX(0.1,N(Parameter!$M$21)))</f>
        <v>0.0384615384615385</v>
      </c>
      <c r="BC448" s="50" t="n">
        <f aca="false">BB448*CB448</f>
        <v>5.96153846153846</v>
      </c>
      <c r="BD448" s="51" t="n">
        <f aca="false">IF(LEFT(Cockpit!$O$5,1)="A",H448,IF(CH448=1,(CK448+CI448)/2,IF(LEFT(Cockpit!$O$5,1)="B",(CK448+BF448)/2,MAX((CK448+BF448)/2,H448))))</f>
        <v>562.5</v>
      </c>
      <c r="BE448" s="50" t="n">
        <f aca="false">BD448*G448</f>
        <v>73.125</v>
      </c>
      <c r="BF448" s="50" t="n">
        <f aca="false">ROUNDUP(CK448+MAX(CL448,2*(J448/IF(CG448&gt;0,CG448,MAX(0.1,N(Cockpit!$O$6)))-CK448)),0)</f>
        <v>925</v>
      </c>
      <c r="BG448" s="51" t="n">
        <f aca="false">IF(BC448&gt;0,J448/BC448,-1)</f>
        <v>377.41935483871</v>
      </c>
      <c r="BH448" s="51" t="n">
        <f aca="false">IF(AND(OR(CF448="L1",CF448="L23",CF448="LIFT"),BC448&gt;0),SUMIFS($BC$7:$BC$1843,$CF$7:$CF$1843,CF448,$BG$7:$BG$1843,"&gt;"&amp;BG448)+SUMIFS($BC$7:$BC$1843,$CF$7:$CF$1843,CF448,$BG$7:$BG$1843,BG448,$BW$7:$BW$1843,"&lt;="&amp;BW448),"")</f>
        <v>212.378205128205</v>
      </c>
      <c r="BI448" s="58" t="n">
        <f aca="false">IF(BH448="",0,MAX(0,MIN(1,(IF(CF448="L1",Parameter!$H$5,IF(CF448="L23",Parameter!$H$6+Parameter!$H$7,Parameter!$H$5+Parameter!$H$6+Parameter!$H$7))-(BH448-BC448))/BC448)))</f>
        <v>1</v>
      </c>
      <c r="BJ448" s="48" t="str">
        <f aca="false">IF(AI448&lt;=0,"",IF(CF448="Aussen","Aussenlager",IF(CF448="-","Nicht im Lift",IF(AO448&gt;=1,"Lift",IF(AO448&lt;=0,"Aussenlager","teilweise")))))</f>
        <v>Lift</v>
      </c>
      <c r="BK448" s="48" t="str">
        <f aca="false">IF(AS448&lt;=0,"",IF(CF448="Aussen","Aussenlager",IF(CF448="-","Nicht im Lift",IF(AY448&gt;=1,"Lift",IF(AY448&lt;=0,"Aussenlager","teilweise")))))</f>
        <v>Lift</v>
      </c>
      <c r="BL448" s="48" t="str">
        <f aca="false">IF(BC448&lt;=0,"",IF(CF448="Aussen","Aussenlager",IF(CF448="-","Nicht im Lift",IF(BI448&gt;=1,"Lift",IF(BI448&lt;=0,"Aussenlager","teilweise")))))</f>
        <v>Lift</v>
      </c>
      <c r="BM448" s="48" t="str">
        <f aca="false">IF(A448="","",IF(BV448=1,"Neu; ","")&amp;IF(AND(BV448=0,BQ448&lt;0),"negativer Bestand (Export "&amp;BQ448&amp;"); ","")&amp;IF(J448&lt;=0,"Kein Verbrauch; ","")&amp;IF(CQ448&gt;0,"Lift "&amp;W448&amp;" lt. Liftbericht (Fach "&amp;X448&amp;" Stk); ",IF(CA448=1,"Gebinde geschätzt ("&amp;T448&amp;"); ",IF(BZ448=1,"Lose – Tablare geschätzt; ","")))&amp;IF(H448&gt;AV448,"Überbestand "&amp;ROUND(H448-AV448,0)&amp;" Stk / CHF "&amp;ROUND((H448-AV448)*G448,0)&amp;"; ","")&amp;IF(AND(CH448=1,CI448&lt;CJ448),"MAX &lt; MB+LG; ","")&amp;IF(AND(CP448&gt;0,CO448*10&gt;CP448),"zu hoch für Tablar; ","")&amp;IF(AND(BV448=0,OR(CH448=1,AA448&lt;&gt;"",U448&lt;&gt;"",V448&lt;&gt;"",AB448&lt;&gt;"")),"manuell übersteuert; ","")&amp;IF(AND(BZ448=0,R448=0),"Gebinde unbekannt / Stellmass fehlt; ","")&amp;IF(AND(BZ448=0,N(V448)&lt;=0,N(Q448)&lt;=0),"Menge pro Gebinde fehlt (Ist = 1 Gebinde); ","")&amp;BU448)</f>
        <v/>
      </c>
      <c r="BN448" s="48"/>
      <c r="BO448" s="48"/>
      <c r="BP448" s="55"/>
      <c r="BQ448" s="50" t="n">
        <v>550</v>
      </c>
      <c r="BR448" s="50" t="n">
        <v>450</v>
      </c>
      <c r="BS448" s="49" t="n">
        <v>71.5</v>
      </c>
      <c r="BT448" s="50" t="n">
        <v>2250</v>
      </c>
      <c r="BU448" s="48"/>
      <c r="BV448" s="53" t="n">
        <v>0</v>
      </c>
      <c r="BW448" s="53" t="n">
        <v>448</v>
      </c>
      <c r="BX448" s="48" t="str">
        <f aca="false">IF(U448&lt;&gt;"",UPPER(TRIM(U448)),IF(CA448=1,UPPER(VLOOKUP(T448,Parameter!$I$27:$K$29,2,0)),IF(P448="","LOSE",P448)))</f>
        <v>S51</v>
      </c>
      <c r="BY448" s="50" t="n">
        <f aca="false">IF(BX448="LOSE",1,IF(N(V448)&gt;0,V448,IF(CA448=1,MAX(1,N(VLOOKUP(T448,Parameter!$I$27:$K$29,3,0)),H448,N(N448)),IF(N(Q448)&gt;0,Q448,MAX(1,H448)))))</f>
        <v>600</v>
      </c>
      <c r="BZ448" s="53" t="n">
        <f aca="false">IF(BX448="LOSE",1,0)</f>
        <v>0</v>
      </c>
      <c r="CA448" s="53" t="n">
        <f aca="false">IF(AND(U448="",OR(P448="",P448="LOSE"),T448&lt;&gt;"",N(S448)&lt;=0,ISNUMBER(MATCH(T448,Parameter!$I$27:$I$29,0))),1,0)</f>
        <v>0</v>
      </c>
      <c r="CB448" s="53" t="n">
        <f aca="false">IF(CQ448&gt;0,INDEX(Parameter!$H$5:$H$7,W448)/INDEX(Parameter!$E$5:$E$7,W448),IF(AND(BZ448=0,N(IFERROR(VLOOKUP(BX448,'Gebinde-Kategorie'!$A$5:$N$45,14,0),0))&gt;0),VLOOKUP(BX448,'Gebinde-Kategorie'!$A$5:$N$45,14,0)*10+Parameter!$M$23,Parameter!$M$24))</f>
        <v>155</v>
      </c>
      <c r="CC448" s="48" t="str">
        <f aca="false">IF(AND(Parameter!$B$19="Ja",E448&lt;&gt;"",ISNUMBER(MATCH(E448,Parameter!$I$35:$I$52,0))),VLOOKUP(E448,Parameter!$I$35:$J$52,2,0),IFERROR(VLOOKUP(D448,Parameter!$A$35:$C$64,2,0),"Nein"))</f>
        <v>2+3</v>
      </c>
      <c r="CD448" s="52" t="n">
        <f aca="false">IF(BZ448=0,0,IF(N(S448)&gt;0,S448,IFERROR(VLOOKUP(D448,Parameter!$A$35:$C$64,3,0)+0,0)))</f>
        <v>0</v>
      </c>
      <c r="CE448" s="48" t="n">
        <f aca="false">IF(AA448&lt;&gt;"",AA448,Z448)</f>
        <v>3</v>
      </c>
      <c r="CF448" s="48" t="str">
        <f aca="false">IF(OR(CE448=1,CE448=2,CE448=3),IF(Parameter!$E$27="Ja","LIFT",IF(CE448=1,"L1","L23")),IF(CE448="Aussen","Aussen","-"))</f>
        <v>LIFT</v>
      </c>
      <c r="CG448" s="59" t="n">
        <f aca="false">IF(N(AB448)&gt;0,AB448,0)</f>
        <v>0</v>
      </c>
      <c r="CH448" s="53" t="n">
        <f aca="false">IF(ISNUMBER(AE448),1,0)</f>
        <v>0</v>
      </c>
      <c r="CI448" s="50" t="n">
        <f aca="false">N(AE448)</f>
        <v>0</v>
      </c>
      <c r="CJ448" s="50" t="n">
        <f aca="false">N(M448)+N(N448)</f>
        <v>700</v>
      </c>
      <c r="CK448" s="50" t="n">
        <f aca="false">N(M448)</f>
        <v>200</v>
      </c>
      <c r="CL448" s="50" t="n">
        <f aca="false">N(N448)</f>
        <v>500</v>
      </c>
      <c r="CM448" s="50" t="n">
        <f aca="false">ROUNDUP(H448/BY448,0)</f>
        <v>2</v>
      </c>
      <c r="CN448" s="50" t="n">
        <f aca="false">ROUNDUP(CI448/BY448,0)</f>
        <v>0</v>
      </c>
      <c r="CO448" s="53" t="n">
        <f aca="false">IF(BZ448=1,0,IFERROR(VLOOKUP(BX448,'Gebinde-Kategorie'!$A$5:$N$45,5,0)+0,0))</f>
        <v>11</v>
      </c>
      <c r="CP448" s="53" t="n">
        <f aca="false">IFERROR(IF(OR(CE448=1,CE448=2,CE448=3),N(INDEX(Parameter!$I$5:$I$7,CE448)),0),0)</f>
        <v>0</v>
      </c>
      <c r="CQ448" s="52" t="n">
        <f aca="false">IF(AND(Parameter!$B$21="Ja",ISNUMBER(W448),N(X448)&gt;0),IFERROR(N(INDEX(Parameter!$L$5:$L$7,W448))*INDEX(Parameter!$E$5:$E$7,W448)*X448/SUMIFS($X$7:$X$1843,$W$7:$W$1843,W448),0),0)</f>
        <v>0</v>
      </c>
    </row>
    <row r="449" customFormat="false" ht="15" hidden="false" customHeight="false" outlineLevel="0" collapsed="false">
      <c r="A449" s="48" t="s">
        <v>1026</v>
      </c>
      <c r="B449" s="48" t="s">
        <v>477</v>
      </c>
      <c r="C449" s="48" t="s">
        <v>173</v>
      </c>
      <c r="D449" s="48" t="s">
        <v>193</v>
      </c>
      <c r="E449" s="48" t="s">
        <v>194</v>
      </c>
      <c r="F449" s="48" t="s">
        <v>227</v>
      </c>
      <c r="G449" s="49" t="n">
        <v>1.16</v>
      </c>
      <c r="H449" s="50" t="n">
        <f aca="false">MAX(0,IF(AND(Parameter!$B$21="Ja",ISNUMBER(Y449)),Y449,IF(Parameter!$B$20="Jahresanfang 2025 + Export",BR449+BQ449,BQ449)))</f>
        <v>201</v>
      </c>
      <c r="I449" s="50" t="n">
        <f aca="false">H449*G449</f>
        <v>233.16</v>
      </c>
      <c r="J449" s="50" t="n">
        <f aca="false">BT449*Parameter!$B$18</f>
        <v>233</v>
      </c>
      <c r="K449" s="51" t="n">
        <v>140</v>
      </c>
      <c r="L449" s="52" t="n">
        <v>1.66428571428571</v>
      </c>
      <c r="M449" s="50" t="n">
        <v>9</v>
      </c>
      <c r="N449" s="50" t="n">
        <v>235</v>
      </c>
      <c r="O449" s="53" t="n">
        <v>14</v>
      </c>
      <c r="P449" s="48" t="s">
        <v>337</v>
      </c>
      <c r="Q449" s="50" t="n">
        <v>178</v>
      </c>
      <c r="R449" s="53" t="n">
        <f aca="false">IF(BZ449=1,0,IFERROR(VLOOKUP(BX449,'Gebinde-Kategorie'!$A$5:$N$45,13,0)+0,0))</f>
        <v>52</v>
      </c>
      <c r="S449" s="54"/>
      <c r="T449" s="55"/>
      <c r="U449" s="55"/>
      <c r="V449" s="55"/>
      <c r="W449" s="48"/>
      <c r="X449" s="50"/>
      <c r="Y449" s="50"/>
      <c r="Z449" s="48" t="n">
        <f aca="false">IF(A449="","",IF(AND(Parameter!$B$21="Ja",ISNUMBER(W449)),W449,IF(CC449="2+3",IF(ISNUMBER(SEARCH("grosser Artikel",BU449)),2,IFERROR(VLOOKUP(BX449,Parameter!$F$35:$G$64,2,0),2)),IF(OR(CC449="Nein",CC449=""),"-",CC449))))</f>
        <v>3</v>
      </c>
      <c r="AA449" s="55"/>
      <c r="AB449" s="56"/>
      <c r="AC449" s="50" t="n">
        <f aca="false">AV449</f>
        <v>244</v>
      </c>
      <c r="AD449" s="50" t="n">
        <f aca="false">MAX(AV449,H449)</f>
        <v>244</v>
      </c>
      <c r="AE449" s="57"/>
      <c r="AF449" s="50" t="n">
        <f aca="false">IF(LEFT(Cockpit!$C$5,1)="A",H449,IF(Parameter!$E$30="MAX-Bestand",IF(CH449=1,CI449,IF(LEFT(Cockpit!$C$5,1)="B",AL449,MAX(AL449,H449))),ROUNDUP(AJ449,0)))</f>
        <v>201</v>
      </c>
      <c r="AG449" s="50" t="n">
        <f aca="false">IF(BZ449=1,0,ROUNDUP(AF449/BY449,0))</f>
        <v>2</v>
      </c>
      <c r="AH449" s="52" t="n">
        <f aca="false">IF(CQ449&gt;0,CQ449*MAX(1,AF449/X449),IF(BZ449=1,IF(AF449&lt;=0,0,CD449*MAX(1,IF(H449&gt;0,AF449/H449,1))),IF(R449&gt;0,AG449/R449,0))/MAX(0.1,N(Parameter!$M$21)))</f>
        <v>0.0384615384615385</v>
      </c>
      <c r="AI449" s="50" t="n">
        <f aca="false">AH449*CB449</f>
        <v>5.96153846153846</v>
      </c>
      <c r="AJ449" s="51" t="n">
        <f aca="false">IF(LEFT(Cockpit!$C$5,1)="A",H449,IF(CH449=1,(CK449+CI449)/2,IF(LEFT(Cockpit!$C$5,1)="B",(CK449+AL449)/2,MAX((CK449+AL449)/2,H449))))</f>
        <v>201</v>
      </c>
      <c r="AK449" s="50" t="n">
        <f aca="false">AJ449*G449</f>
        <v>233.16</v>
      </c>
      <c r="AL449" s="50" t="n">
        <f aca="false">ROUNDUP(CK449+MAX(CL449,2*(J449/IF(CG449&gt;0,CG449,MAX(0.1,N(Cockpit!$C$6)))-CK449)),0)</f>
        <v>244</v>
      </c>
      <c r="AM449" s="51" t="n">
        <f aca="false">IF(AI449&gt;0,J449/AI449,-1)</f>
        <v>39.0838709677419</v>
      </c>
      <c r="AN449" s="51" t="n">
        <f aca="false">IF(AND(OR(CF449="L1",CF449="L23",CF449="LIFT"),AI449&gt;0),SUMIFS($AI$7:$AI$1843,$CF$7:$CF$1843,CF449,$AM$7:$AM$1843,"&gt;"&amp;AM449)+SUMIFS($AI$7:$AI$1843,$CF$7:$CF$1843,CF449,$AM$7:$AM$1843,AM449,$BW$7:$BW$1843,"&lt;="&amp;BW449),"")</f>
        <v>1190.46153846154</v>
      </c>
      <c r="AO449" s="58" t="n">
        <f aca="false">IF(AN449="",0,MAX(0,MIN(1,(IF(CF449="L1",Parameter!$H$5,IF(CF449="L23",Parameter!$H$6+Parameter!$H$7,Parameter!$H$5+Parameter!$H$6+Parameter!$H$7))-(AN449-AI449))/AI449)))</f>
        <v>1</v>
      </c>
      <c r="AP449" s="50" t="n">
        <f aca="false">IF(LEFT(Cockpit!$I$5,1)="A",H449,IF(Parameter!$E$30="MAX-Bestand",IF(CH449=1,CI449,IF(LEFT(Cockpit!$I$5,1)="B",AV449,MAX(AV449,H449))),ROUNDUP(AT449,0)))</f>
        <v>201</v>
      </c>
      <c r="AQ449" s="50" t="n">
        <f aca="false">IF(BZ449=1,0,ROUNDUP(AP449/BY449,0))</f>
        <v>2</v>
      </c>
      <c r="AR449" s="52" t="n">
        <f aca="false">IF(CQ449&gt;0,CQ449*MAX(1,AP449/X449),IF(BZ449=1,IF(AP449&lt;=0,0,CD449*MAX(1,IF(H449&gt;0,AP449/H449,1))),IF(R449&gt;0,AQ449/R449,0))/MAX(0.1,N(Parameter!$M$21)))</f>
        <v>0.0384615384615385</v>
      </c>
      <c r="AS449" s="50" t="n">
        <f aca="false">AR449*CB449</f>
        <v>5.96153846153846</v>
      </c>
      <c r="AT449" s="51" t="n">
        <f aca="false">IF(LEFT(Cockpit!$I$5,1)="A",H449,IF(CH449=1,(CK449+CI449)/2,IF(LEFT(Cockpit!$I$5,1)="B",(CK449+AV449)/2,MAX((CK449+AV449)/2,H449))))</f>
        <v>201</v>
      </c>
      <c r="AU449" s="50" t="n">
        <f aca="false">AT449*G449</f>
        <v>233.16</v>
      </c>
      <c r="AV449" s="50" t="n">
        <f aca="false">ROUNDUP(CK449+MAX(CL449,2*(J449/IF(CG449&gt;0,CG449,MAX(0.1,N(Cockpit!$I$6)))-CK449)),0)</f>
        <v>244</v>
      </c>
      <c r="AW449" s="51" t="n">
        <f aca="false">IF(AS449&gt;0,J449/AS449,-1)</f>
        <v>39.0838709677419</v>
      </c>
      <c r="AX449" s="51" t="n">
        <f aca="false">IF(AND(OR(CF449="L1",CF449="L23",CF449="LIFT"),AS449&gt;0),SUMIFS($AS$7:$AS$1843,$CF$7:$CF$1843,CF449,$AW$7:$AW$1843,"&gt;"&amp;AW449)+SUMIFS($AS$7:$AS$1843,$CF$7:$CF$1843,CF449,$AW$7:$AW$1843,AW449,$BW$7:$BW$1843,"&lt;="&amp;BW449),"")</f>
        <v>1509.01327838828</v>
      </c>
      <c r="AY449" s="58" t="n">
        <f aca="false">IF(AX449="",0,MAX(0,MIN(1,(IF(CF449="L1",Parameter!$H$5,IF(CF449="L23",Parameter!$H$6+Parameter!$H$7,Parameter!$H$5+Parameter!$H$6+Parameter!$H$7))-(AX449-AS449))/AS449)))</f>
        <v>1</v>
      </c>
      <c r="AZ449" s="50" t="n">
        <f aca="false">IF(LEFT(Cockpit!$O$5,1)="A",H449,IF(Parameter!$E$30="MAX-Bestand",IF(CH449=1,CI449,IF(LEFT(Cockpit!$O$5,1)="B",BF449,MAX(BF449,H449))),ROUNDUP(BD449,0)))</f>
        <v>127</v>
      </c>
      <c r="BA449" s="50" t="n">
        <f aca="false">IF(BZ449=1,0,ROUNDUP(AZ449/BY449,0))</f>
        <v>1</v>
      </c>
      <c r="BB449" s="52" t="n">
        <f aca="false">IF(CQ449&gt;0,CQ449*MAX(1,AZ449/X449),IF(BZ449=1,IF(AZ449&lt;=0,0,CD449*MAX(1,IF(H449&gt;0,AZ449/H449,1))),IF(R449&gt;0,BA449/R449,0))/MAX(0.1,N(Parameter!$M$21)))</f>
        <v>0.0192307692307692</v>
      </c>
      <c r="BC449" s="50" t="n">
        <f aca="false">BB449*CB449</f>
        <v>2.98076923076923</v>
      </c>
      <c r="BD449" s="51" t="n">
        <f aca="false">IF(LEFT(Cockpit!$O$5,1)="A",H449,IF(CH449=1,(CK449+CI449)/2,IF(LEFT(Cockpit!$O$5,1)="B",(CK449+BF449)/2,MAX((CK449+BF449)/2,H449))))</f>
        <v>126.5</v>
      </c>
      <c r="BE449" s="50" t="n">
        <f aca="false">BD449*G449</f>
        <v>146.74</v>
      </c>
      <c r="BF449" s="50" t="n">
        <f aca="false">ROUNDUP(CK449+MAX(CL449,2*(J449/IF(CG449&gt;0,CG449,MAX(0.1,N(Cockpit!$O$6)))-CK449)),0)</f>
        <v>244</v>
      </c>
      <c r="BG449" s="51" t="n">
        <f aca="false">IF(BC449&gt;0,J449/BC449,-1)</f>
        <v>78.1677419354839</v>
      </c>
      <c r="BH449" s="51" t="n">
        <f aca="false">IF(AND(OR(CF449="L1",CF449="L23",CF449="LIFT"),BC449&gt;0),SUMIFS($BC$7:$BC$1843,$CF$7:$CF$1843,CF449,$BG$7:$BG$1843,"&gt;"&amp;BG449)+SUMIFS($BC$7:$BC$1843,$CF$7:$CF$1843,CF449,$BG$7:$BG$1843,BG449,$BW$7:$BW$1843,"&lt;="&amp;BW449),"")</f>
        <v>995.478937728938</v>
      </c>
      <c r="BI449" s="58" t="n">
        <f aca="false">IF(BH449="",0,MAX(0,MIN(1,(IF(CF449="L1",Parameter!$H$5,IF(CF449="L23",Parameter!$H$6+Parameter!$H$7,Parameter!$H$5+Parameter!$H$6+Parameter!$H$7))-(BH449-BC449))/BC449)))</f>
        <v>1</v>
      </c>
      <c r="BJ449" s="48" t="str">
        <f aca="false">IF(AI449&lt;=0,"",IF(CF449="Aussen","Aussenlager",IF(CF449="-","Nicht im Lift",IF(AO449&gt;=1,"Lift",IF(AO449&lt;=0,"Aussenlager","teilweise")))))</f>
        <v>Lift</v>
      </c>
      <c r="BK449" s="48" t="str">
        <f aca="false">IF(AS449&lt;=0,"",IF(CF449="Aussen","Aussenlager",IF(CF449="-","Nicht im Lift",IF(AY449&gt;=1,"Lift",IF(AY449&lt;=0,"Aussenlager","teilweise")))))</f>
        <v>Lift</v>
      </c>
      <c r="BL449" s="48" t="str">
        <f aca="false">IF(BC449&lt;=0,"",IF(CF449="Aussen","Aussenlager",IF(CF449="-","Nicht im Lift",IF(BI449&gt;=1,"Lift",IF(BI449&lt;=0,"Aussenlager","teilweise")))))</f>
        <v>Lift</v>
      </c>
      <c r="BM449" s="48" t="str">
        <f aca="false">IF(A449="","",IF(BV449=1,"Neu; ","")&amp;IF(AND(BV449=0,BQ449&lt;0),"negativer Bestand (Export "&amp;BQ449&amp;"); ","")&amp;IF(J449&lt;=0,"Kein Verbrauch; ","")&amp;IF(CQ449&gt;0,"Lift "&amp;W449&amp;" lt. Liftbericht (Fach "&amp;X449&amp;" Stk); ",IF(CA449=1,"Gebinde geschätzt ("&amp;T449&amp;"); ",IF(BZ449=1,"Lose – Tablare geschätzt; ","")))&amp;IF(H449&gt;AV449,"Überbestand "&amp;ROUND(H449-AV449,0)&amp;" Stk / CHF "&amp;ROUND((H449-AV449)*G449,0)&amp;"; ","")&amp;IF(AND(CH449=1,CI449&lt;CJ449),"MAX &lt; MB+LG; ","")&amp;IF(AND(CP449&gt;0,CO449*10&gt;CP449),"zu hoch für Tablar; ","")&amp;IF(AND(BV449=0,OR(CH449=1,AA449&lt;&gt;"",U449&lt;&gt;"",V449&lt;&gt;"",AB449&lt;&gt;"")),"manuell übersteuert; ","")&amp;IF(AND(BZ449=0,R449=0),"Gebinde unbekannt / Stellmass fehlt; ","")&amp;IF(AND(BZ449=0,N(V449)&lt;=0,N(Q449)&lt;=0),"Menge pro Gebinde fehlt (Ist = 1 Gebinde); ","")&amp;BU449)</f>
        <v/>
      </c>
      <c r="BN449" s="48"/>
      <c r="BO449" s="48"/>
      <c r="BP449" s="55"/>
      <c r="BQ449" s="50" t="n">
        <v>62</v>
      </c>
      <c r="BR449" s="50" t="n">
        <v>139</v>
      </c>
      <c r="BS449" s="49" t="n">
        <v>69.18</v>
      </c>
      <c r="BT449" s="50" t="n">
        <v>233</v>
      </c>
      <c r="BU449" s="48"/>
      <c r="BV449" s="53" t="n">
        <v>0</v>
      </c>
      <c r="BW449" s="53" t="n">
        <v>449</v>
      </c>
      <c r="BX449" s="48" t="str">
        <f aca="false">IF(U449&lt;&gt;"",UPPER(TRIM(U449)),IF(CA449=1,UPPER(VLOOKUP(T449,Parameter!$I$27:$K$29,2,0)),IF(P449="","LOSE",P449)))</f>
        <v>S41</v>
      </c>
      <c r="BY449" s="50" t="n">
        <f aca="false">IF(BX449="LOSE",1,IF(N(V449)&gt;0,V449,IF(CA449=1,MAX(1,N(VLOOKUP(T449,Parameter!$I$27:$K$29,3,0)),H449,N(N449)),IF(N(Q449)&gt;0,Q449,MAX(1,H449)))))</f>
        <v>178</v>
      </c>
      <c r="BZ449" s="53" t="n">
        <f aca="false">IF(BX449="LOSE",1,0)</f>
        <v>0</v>
      </c>
      <c r="CA449" s="53" t="n">
        <f aca="false">IF(AND(U449="",OR(P449="",P449="LOSE"),T449&lt;&gt;"",N(S449)&lt;=0,ISNUMBER(MATCH(T449,Parameter!$I$27:$I$29,0))),1,0)</f>
        <v>0</v>
      </c>
      <c r="CB449" s="53" t="n">
        <f aca="false">IF(CQ449&gt;0,INDEX(Parameter!$H$5:$H$7,W449)/INDEX(Parameter!$E$5:$E$7,W449),IF(AND(BZ449=0,N(IFERROR(VLOOKUP(BX449,'Gebinde-Kategorie'!$A$5:$N$45,14,0),0))&gt;0),VLOOKUP(BX449,'Gebinde-Kategorie'!$A$5:$N$45,14,0)*10+Parameter!$M$23,Parameter!$M$24))</f>
        <v>155</v>
      </c>
      <c r="CC449" s="48" t="str">
        <f aca="false">IF(AND(Parameter!$B$19="Ja",E449&lt;&gt;"",ISNUMBER(MATCH(E449,Parameter!$I$35:$I$52,0))),VLOOKUP(E449,Parameter!$I$35:$J$52,2,0),IFERROR(VLOOKUP(D449,Parameter!$A$35:$C$64,2,0),"Nein"))</f>
        <v>2+3</v>
      </c>
      <c r="CD449" s="52" t="n">
        <f aca="false">IF(BZ449=0,0,IF(N(S449)&gt;0,S449,IFERROR(VLOOKUP(D449,Parameter!$A$35:$C$64,3,0)+0,0)))</f>
        <v>0</v>
      </c>
      <c r="CE449" s="48" t="n">
        <f aca="false">IF(AA449&lt;&gt;"",AA449,Z449)</f>
        <v>3</v>
      </c>
      <c r="CF449" s="48" t="str">
        <f aca="false">IF(OR(CE449=1,CE449=2,CE449=3),IF(Parameter!$E$27="Ja","LIFT",IF(CE449=1,"L1","L23")),IF(CE449="Aussen","Aussen","-"))</f>
        <v>LIFT</v>
      </c>
      <c r="CG449" s="59" t="n">
        <f aca="false">IF(N(AB449)&gt;0,AB449,0)</f>
        <v>0</v>
      </c>
      <c r="CH449" s="53" t="n">
        <f aca="false">IF(ISNUMBER(AE449),1,0)</f>
        <v>0</v>
      </c>
      <c r="CI449" s="50" t="n">
        <f aca="false">N(AE449)</f>
        <v>0</v>
      </c>
      <c r="CJ449" s="50" t="n">
        <f aca="false">N(M449)+N(N449)</f>
        <v>244</v>
      </c>
      <c r="CK449" s="50" t="n">
        <f aca="false">N(M449)</f>
        <v>9</v>
      </c>
      <c r="CL449" s="50" t="n">
        <f aca="false">N(N449)</f>
        <v>235</v>
      </c>
      <c r="CM449" s="50" t="n">
        <f aca="false">ROUNDUP(H449/BY449,0)</f>
        <v>2</v>
      </c>
      <c r="CN449" s="50" t="n">
        <f aca="false">ROUNDUP(CI449/BY449,0)</f>
        <v>0</v>
      </c>
      <c r="CO449" s="53" t="n">
        <f aca="false">IF(BZ449=1,0,IFERROR(VLOOKUP(BX449,'Gebinde-Kategorie'!$A$5:$N$45,5,0)+0,0))</f>
        <v>11</v>
      </c>
      <c r="CP449" s="53" t="n">
        <f aca="false">IFERROR(IF(OR(CE449=1,CE449=2,CE449=3),N(INDEX(Parameter!$I$5:$I$7,CE449)),0),0)</f>
        <v>0</v>
      </c>
      <c r="CQ449" s="52" t="n">
        <f aca="false">IF(AND(Parameter!$B$21="Ja",ISNUMBER(W449),N(X449)&gt;0),IFERROR(N(INDEX(Parameter!$L$5:$L$7,W449))*INDEX(Parameter!$E$5:$E$7,W449)*X449/SUMIFS($X$7:$X$1843,$W$7:$W$1843,W449),0),0)</f>
        <v>0</v>
      </c>
    </row>
    <row r="450" customFormat="false" ht="15" hidden="false" customHeight="false" outlineLevel="0" collapsed="false">
      <c r="A450" s="48" t="s">
        <v>1027</v>
      </c>
      <c r="B450" s="48" t="s">
        <v>477</v>
      </c>
      <c r="C450" s="48" t="s">
        <v>173</v>
      </c>
      <c r="D450" s="48" t="s">
        <v>193</v>
      </c>
      <c r="E450" s="48" t="s">
        <v>194</v>
      </c>
      <c r="F450" s="48" t="s">
        <v>227</v>
      </c>
      <c r="G450" s="49" t="n">
        <v>0.16</v>
      </c>
      <c r="H450" s="50" t="n">
        <f aca="false">MAX(0,IF(AND(Parameter!$B$21="Ja",ISNUMBER(Y450)),Y450,IF(Parameter!$B$20="Jahresanfang 2025 + Export",BR450+BQ450,BQ450)))</f>
        <v>570</v>
      </c>
      <c r="I450" s="50" t="n">
        <f aca="false">H450*G450</f>
        <v>91.2</v>
      </c>
      <c r="J450" s="50" t="n">
        <f aca="false">BT450*Parameter!$B$18</f>
        <v>790</v>
      </c>
      <c r="K450" s="51" t="n">
        <v>186</v>
      </c>
      <c r="L450" s="52" t="n">
        <v>4.24731182795699</v>
      </c>
      <c r="M450" s="50" t="n">
        <v>30</v>
      </c>
      <c r="N450" s="50" t="n">
        <v>790</v>
      </c>
      <c r="O450" s="53" t="n">
        <v>14</v>
      </c>
      <c r="P450" s="48" t="s">
        <v>410</v>
      </c>
      <c r="Q450" s="50" t="n">
        <v>262</v>
      </c>
      <c r="R450" s="53" t="n">
        <f aca="false">IF(BZ450=1,0,IFERROR(VLOOKUP(BX450,'Gebinde-Kategorie'!$A$5:$N$45,13,0)+0,0))</f>
        <v>280</v>
      </c>
      <c r="S450" s="54"/>
      <c r="T450" s="55"/>
      <c r="U450" s="55"/>
      <c r="V450" s="55"/>
      <c r="W450" s="48"/>
      <c r="X450" s="50"/>
      <c r="Y450" s="50"/>
      <c r="Z450" s="48" t="n">
        <f aca="false">IF(A450="","",IF(AND(Parameter!$B$21="Ja",ISNUMBER(W450)),W450,IF(CC450="2+3",IF(ISNUMBER(SEARCH("grosser Artikel",BU450)),2,IFERROR(VLOOKUP(BX450,Parameter!$F$35:$G$64,2,0),2)),IF(OR(CC450="Nein",CC450=""),"-",CC450))))</f>
        <v>3</v>
      </c>
      <c r="AA450" s="55"/>
      <c r="AB450" s="56"/>
      <c r="AC450" s="50" t="n">
        <f aca="false">AV450</f>
        <v>820</v>
      </c>
      <c r="AD450" s="50" t="n">
        <f aca="false">MAX(AV450,H450)</f>
        <v>820</v>
      </c>
      <c r="AE450" s="57"/>
      <c r="AF450" s="50" t="n">
        <f aca="false">IF(LEFT(Cockpit!$C$5,1)="A",H450,IF(Parameter!$E$30="MAX-Bestand",IF(CH450=1,CI450,IF(LEFT(Cockpit!$C$5,1)="B",AL450,MAX(AL450,H450))),ROUNDUP(AJ450,0)))</f>
        <v>570</v>
      </c>
      <c r="AG450" s="50" t="n">
        <f aca="false">IF(BZ450=1,0,ROUNDUP(AF450/BY450,0))</f>
        <v>3</v>
      </c>
      <c r="AH450" s="52" t="n">
        <f aca="false">IF(CQ450&gt;0,CQ450*MAX(1,AF450/X450),IF(BZ450=1,IF(AF450&lt;=0,0,CD450*MAX(1,IF(H450&gt;0,AF450/H450,1))),IF(R450&gt;0,AG450/R450,0))/MAX(0.1,N(Parameter!$M$21)))</f>
        <v>0.0107142857142857</v>
      </c>
      <c r="AI450" s="50" t="n">
        <f aca="false">AH450*CB450</f>
        <v>1.66071428571429</v>
      </c>
      <c r="AJ450" s="51" t="n">
        <f aca="false">IF(LEFT(Cockpit!$C$5,1)="A",H450,IF(CH450=1,(CK450+CI450)/2,IF(LEFT(Cockpit!$C$5,1)="B",(CK450+AL450)/2,MAX((CK450+AL450)/2,H450))))</f>
        <v>570</v>
      </c>
      <c r="AK450" s="50" t="n">
        <f aca="false">AJ450*G450</f>
        <v>91.2</v>
      </c>
      <c r="AL450" s="50" t="n">
        <f aca="false">ROUNDUP(CK450+MAX(CL450,2*(J450/IF(CG450&gt;0,CG450,MAX(0.1,N(Cockpit!$C$6)))-CK450)),0)</f>
        <v>820</v>
      </c>
      <c r="AM450" s="51" t="n">
        <f aca="false">IF(AI450&gt;0,J450/AI450,-1)</f>
        <v>475.698924731183</v>
      </c>
      <c r="AN450" s="51" t="n">
        <f aca="false">IF(AND(OR(CF450="L1",CF450="L23",CF450="LIFT"),AI450&gt;0),SUMIFS($AI$7:$AI$1843,$CF$7:$CF$1843,CF450,$AM$7:$AM$1843,"&gt;"&amp;AM450)+SUMIFS($AI$7:$AI$1843,$CF$7:$CF$1843,CF450,$AM$7:$AM$1843,AM450,$BW$7:$BW$1843,"&lt;="&amp;BW450),"")</f>
        <v>84.6730769230769</v>
      </c>
      <c r="AO450" s="58" t="n">
        <f aca="false">IF(AN450="",0,MAX(0,MIN(1,(IF(CF450="L1",Parameter!$H$5,IF(CF450="L23",Parameter!$H$6+Parameter!$H$7,Parameter!$H$5+Parameter!$H$6+Parameter!$H$7))-(AN450-AI450))/AI450)))</f>
        <v>1</v>
      </c>
      <c r="AP450" s="50" t="n">
        <f aca="false">IF(LEFT(Cockpit!$I$5,1)="A",H450,IF(Parameter!$E$30="MAX-Bestand",IF(CH450=1,CI450,IF(LEFT(Cockpit!$I$5,1)="B",AV450,MAX(AV450,H450))),ROUNDUP(AT450,0)))</f>
        <v>570</v>
      </c>
      <c r="AQ450" s="50" t="n">
        <f aca="false">IF(BZ450=1,0,ROUNDUP(AP450/BY450,0))</f>
        <v>3</v>
      </c>
      <c r="AR450" s="52" t="n">
        <f aca="false">IF(CQ450&gt;0,CQ450*MAX(1,AP450/X450),IF(BZ450=1,IF(AP450&lt;=0,0,CD450*MAX(1,IF(H450&gt;0,AP450/H450,1))),IF(R450&gt;0,AQ450/R450,0))/MAX(0.1,N(Parameter!$M$21)))</f>
        <v>0.0107142857142857</v>
      </c>
      <c r="AS450" s="50" t="n">
        <f aca="false">AR450*CB450</f>
        <v>1.66071428571429</v>
      </c>
      <c r="AT450" s="51" t="n">
        <f aca="false">IF(LEFT(Cockpit!$I$5,1)="A",H450,IF(CH450=1,(CK450+CI450)/2,IF(LEFT(Cockpit!$I$5,1)="B",(CK450+AV450)/2,MAX((CK450+AV450)/2,H450))))</f>
        <v>570</v>
      </c>
      <c r="AU450" s="50" t="n">
        <f aca="false">AT450*G450</f>
        <v>91.2</v>
      </c>
      <c r="AV450" s="50" t="n">
        <f aca="false">ROUNDUP(CK450+MAX(CL450,2*(J450/IF(CG450&gt;0,CG450,MAX(0.1,N(Cockpit!$I$6)))-CK450)),0)</f>
        <v>820</v>
      </c>
      <c r="AW450" s="51" t="n">
        <f aca="false">IF(AS450&gt;0,J450/AS450,-1)</f>
        <v>475.698924731183</v>
      </c>
      <c r="AX450" s="51" t="n">
        <f aca="false">IF(AND(OR(CF450="L1",CF450="L23",CF450="LIFT"),AS450&gt;0),SUMIFS($AS$7:$AS$1843,$CF$7:$CF$1843,CF450,$AW$7:$AW$1843,"&gt;"&amp;AW450)+SUMIFS($AS$7:$AS$1843,$CF$7:$CF$1843,CF450,$AW$7:$AW$1843,AW450,$BW$7:$BW$1843,"&lt;="&amp;BW450),"")</f>
        <v>95.5618131868132</v>
      </c>
      <c r="AY450" s="58" t="n">
        <f aca="false">IF(AX450="",0,MAX(0,MIN(1,(IF(CF450="L1",Parameter!$H$5,IF(CF450="L23",Parameter!$H$6+Parameter!$H$7,Parameter!$H$5+Parameter!$H$6+Parameter!$H$7))-(AX450-AS450))/AS450)))</f>
        <v>1</v>
      </c>
      <c r="AZ450" s="50" t="n">
        <f aca="false">IF(LEFT(Cockpit!$O$5,1)="A",H450,IF(Parameter!$E$30="MAX-Bestand",IF(CH450=1,CI450,IF(LEFT(Cockpit!$O$5,1)="B",BF450,MAX(BF450,H450))),ROUNDUP(BD450,0)))</f>
        <v>425</v>
      </c>
      <c r="BA450" s="50" t="n">
        <f aca="false">IF(BZ450=1,0,ROUNDUP(AZ450/BY450,0))</f>
        <v>2</v>
      </c>
      <c r="BB450" s="52" t="n">
        <f aca="false">IF(CQ450&gt;0,CQ450*MAX(1,AZ450/X450),IF(BZ450=1,IF(AZ450&lt;=0,0,CD450*MAX(1,IF(H450&gt;0,AZ450/H450,1))),IF(R450&gt;0,BA450/R450,0))/MAX(0.1,N(Parameter!$M$21)))</f>
        <v>0.00714285714285714</v>
      </c>
      <c r="BC450" s="50" t="n">
        <f aca="false">BB450*CB450</f>
        <v>1.10714285714286</v>
      </c>
      <c r="BD450" s="51" t="n">
        <f aca="false">IF(LEFT(Cockpit!$O$5,1)="A",H450,IF(CH450=1,(CK450+CI450)/2,IF(LEFT(Cockpit!$O$5,1)="B",(CK450+BF450)/2,MAX((CK450+BF450)/2,H450))))</f>
        <v>425</v>
      </c>
      <c r="BE450" s="50" t="n">
        <f aca="false">BD450*G450</f>
        <v>68</v>
      </c>
      <c r="BF450" s="50" t="n">
        <f aca="false">ROUNDUP(CK450+MAX(CL450,2*(J450/IF(CG450&gt;0,CG450,MAX(0.1,N(Cockpit!$O$6)))-CK450)),0)</f>
        <v>820</v>
      </c>
      <c r="BG450" s="51" t="n">
        <f aca="false">IF(BC450&gt;0,J450/BC450,-1)</f>
        <v>713.548387096774</v>
      </c>
      <c r="BH450" s="51" t="n">
        <f aca="false">IF(AND(OR(CF450="L1",CF450="L23",CF450="LIFT"),BC450&gt;0),SUMIFS($BC$7:$BC$1843,$CF$7:$CF$1843,CF450,$BG$7:$BG$1843,"&gt;"&amp;BG450)+SUMIFS($BC$7:$BC$1843,$CF$7:$CF$1843,CF450,$BG$7:$BG$1843,BG450,$BW$7:$BW$1843,"&lt;="&amp;BW450),"")</f>
        <v>33.5123626373626</v>
      </c>
      <c r="BI450" s="58" t="n">
        <f aca="false">IF(BH450="",0,MAX(0,MIN(1,(IF(CF450="L1",Parameter!$H$5,IF(CF450="L23",Parameter!$H$6+Parameter!$H$7,Parameter!$H$5+Parameter!$H$6+Parameter!$H$7))-(BH450-BC450))/BC450)))</f>
        <v>1</v>
      </c>
      <c r="BJ450" s="48" t="str">
        <f aca="false">IF(AI450&lt;=0,"",IF(CF450="Aussen","Aussenlager",IF(CF450="-","Nicht im Lift",IF(AO450&gt;=1,"Lift",IF(AO450&lt;=0,"Aussenlager","teilweise")))))</f>
        <v>Lift</v>
      </c>
      <c r="BK450" s="48" t="str">
        <f aca="false">IF(AS450&lt;=0,"",IF(CF450="Aussen","Aussenlager",IF(CF450="-","Nicht im Lift",IF(AY450&gt;=1,"Lift",IF(AY450&lt;=0,"Aussenlager","teilweise")))))</f>
        <v>Lift</v>
      </c>
      <c r="BL450" s="48" t="str">
        <f aca="false">IF(BC450&lt;=0,"",IF(CF450="Aussen","Aussenlager",IF(CF450="-","Nicht im Lift",IF(BI450&gt;=1,"Lift",IF(BI450&lt;=0,"Aussenlager","teilweise")))))</f>
        <v>Lift</v>
      </c>
      <c r="BM450" s="48" t="str">
        <f aca="false">IF(A450="","",IF(BV450=1,"Neu; ","")&amp;IF(AND(BV450=0,BQ450&lt;0),"negativer Bestand (Export "&amp;BQ450&amp;"); ","")&amp;IF(J450&lt;=0,"Kein Verbrauch; ","")&amp;IF(CQ450&gt;0,"Lift "&amp;W450&amp;" lt. Liftbericht (Fach "&amp;X450&amp;" Stk); ",IF(CA450=1,"Gebinde geschätzt ("&amp;T450&amp;"); ",IF(BZ450=1,"Lose – Tablare geschätzt; ","")))&amp;IF(H450&gt;AV450,"Überbestand "&amp;ROUND(H450-AV450,0)&amp;" Stk / CHF "&amp;ROUND((H450-AV450)*G450,0)&amp;"; ","")&amp;IF(AND(CH450=1,CI450&lt;CJ450),"MAX &lt; MB+LG; ","")&amp;IF(AND(CP450&gt;0,CO450*10&gt;CP450),"zu hoch für Tablar; ","")&amp;IF(AND(BV450=0,OR(CH450=1,AA450&lt;&gt;"",U450&lt;&gt;"",V450&lt;&gt;"",AB450&lt;&gt;"")),"manuell übersteuert; ","")&amp;IF(AND(BZ450=0,R450=0),"Gebinde unbekannt / Stellmass fehlt; ","")&amp;IF(AND(BZ450=0,N(V450)&lt;=0,N(Q450)&lt;=0),"Menge pro Gebinde fehlt (Ist = 1 Gebinde); ","")&amp;BU450)</f>
        <v/>
      </c>
      <c r="BN450" s="48"/>
      <c r="BO450" s="48"/>
      <c r="BP450" s="55"/>
      <c r="BQ450" s="50" t="n">
        <v>450</v>
      </c>
      <c r="BR450" s="50" t="n">
        <v>120</v>
      </c>
      <c r="BS450" s="49" t="n">
        <v>67</v>
      </c>
      <c r="BT450" s="50" t="n">
        <v>790</v>
      </c>
      <c r="BU450" s="48"/>
      <c r="BV450" s="53" t="n">
        <v>0</v>
      </c>
      <c r="BW450" s="53" t="n">
        <v>450</v>
      </c>
      <c r="BX450" s="48" t="str">
        <f aca="false">IF(U450&lt;&gt;"",UPPER(TRIM(U450)),IF(CA450=1,UPPER(VLOOKUP(T450,Parameter!$I$27:$K$29,2,0)),IF(P450="","LOSE",P450)))</f>
        <v>S21</v>
      </c>
      <c r="BY450" s="50" t="n">
        <f aca="false">IF(BX450="LOSE",1,IF(N(V450)&gt;0,V450,IF(CA450=1,MAX(1,N(VLOOKUP(T450,Parameter!$I$27:$K$29,3,0)),H450,N(N450)),IF(N(Q450)&gt;0,Q450,MAX(1,H450)))))</f>
        <v>262</v>
      </c>
      <c r="BZ450" s="53" t="n">
        <f aca="false">IF(BX450="LOSE",1,0)</f>
        <v>0</v>
      </c>
      <c r="CA450" s="53" t="n">
        <f aca="false">IF(AND(U450="",OR(P450="",P450="LOSE"),T450&lt;&gt;"",N(S450)&lt;=0,ISNUMBER(MATCH(T450,Parameter!$I$27:$I$29,0))),1,0)</f>
        <v>0</v>
      </c>
      <c r="CB450" s="53" t="n">
        <f aca="false">IF(CQ450&gt;0,INDEX(Parameter!$H$5:$H$7,W450)/INDEX(Parameter!$E$5:$E$7,W450),IF(AND(BZ450=0,N(IFERROR(VLOOKUP(BX450,'Gebinde-Kategorie'!$A$5:$N$45,14,0),0))&gt;0),VLOOKUP(BX450,'Gebinde-Kategorie'!$A$5:$N$45,14,0)*10+Parameter!$M$23,Parameter!$M$24))</f>
        <v>155</v>
      </c>
      <c r="CC450" s="48" t="str">
        <f aca="false">IF(AND(Parameter!$B$19="Ja",E450&lt;&gt;"",ISNUMBER(MATCH(E450,Parameter!$I$35:$I$52,0))),VLOOKUP(E450,Parameter!$I$35:$J$52,2,0),IFERROR(VLOOKUP(D450,Parameter!$A$35:$C$64,2,0),"Nein"))</f>
        <v>2+3</v>
      </c>
      <c r="CD450" s="52" t="n">
        <f aca="false">IF(BZ450=0,0,IF(N(S450)&gt;0,S450,IFERROR(VLOOKUP(D450,Parameter!$A$35:$C$64,3,0)+0,0)))</f>
        <v>0</v>
      </c>
      <c r="CE450" s="48" t="n">
        <f aca="false">IF(AA450&lt;&gt;"",AA450,Z450)</f>
        <v>3</v>
      </c>
      <c r="CF450" s="48" t="str">
        <f aca="false">IF(OR(CE450=1,CE450=2,CE450=3),IF(Parameter!$E$27="Ja","LIFT",IF(CE450=1,"L1","L23")),IF(CE450="Aussen","Aussen","-"))</f>
        <v>LIFT</v>
      </c>
      <c r="CG450" s="59" t="n">
        <f aca="false">IF(N(AB450)&gt;0,AB450,0)</f>
        <v>0</v>
      </c>
      <c r="CH450" s="53" t="n">
        <f aca="false">IF(ISNUMBER(AE450),1,0)</f>
        <v>0</v>
      </c>
      <c r="CI450" s="50" t="n">
        <f aca="false">N(AE450)</f>
        <v>0</v>
      </c>
      <c r="CJ450" s="50" t="n">
        <f aca="false">N(M450)+N(N450)</f>
        <v>820</v>
      </c>
      <c r="CK450" s="50" t="n">
        <f aca="false">N(M450)</f>
        <v>30</v>
      </c>
      <c r="CL450" s="50" t="n">
        <f aca="false">N(N450)</f>
        <v>790</v>
      </c>
      <c r="CM450" s="50" t="n">
        <f aca="false">ROUNDUP(H450/BY450,0)</f>
        <v>3</v>
      </c>
      <c r="CN450" s="50" t="n">
        <f aca="false">ROUNDUP(CI450/BY450,0)</f>
        <v>0</v>
      </c>
      <c r="CO450" s="53" t="n">
        <f aca="false">IF(BZ450=1,0,IFERROR(VLOOKUP(BX450,'Gebinde-Kategorie'!$A$5:$N$45,5,0)+0,0))</f>
        <v>8</v>
      </c>
      <c r="CP450" s="53" t="n">
        <f aca="false">IFERROR(IF(OR(CE450=1,CE450=2,CE450=3),N(INDEX(Parameter!$I$5:$I$7,CE450)),0),0)</f>
        <v>0</v>
      </c>
      <c r="CQ450" s="52" t="n">
        <f aca="false">IF(AND(Parameter!$B$21="Ja",ISNUMBER(W450),N(X450)&gt;0),IFERROR(N(INDEX(Parameter!$L$5:$L$7,W450))*INDEX(Parameter!$E$5:$E$7,W450)*X450/SUMIFS($X$7:$X$1843,$W$7:$W$1843,W450),0),0)</f>
        <v>0</v>
      </c>
    </row>
    <row r="451" customFormat="false" ht="15" hidden="false" customHeight="false" outlineLevel="0" collapsed="false">
      <c r="A451" s="48" t="s">
        <v>1028</v>
      </c>
      <c r="B451" s="48" t="s">
        <v>1029</v>
      </c>
      <c r="C451" s="48" t="s">
        <v>173</v>
      </c>
      <c r="D451" s="48" t="s">
        <v>182</v>
      </c>
      <c r="E451" s="48"/>
      <c r="F451" s="48" t="s">
        <v>227</v>
      </c>
      <c r="G451" s="49" t="n">
        <v>33.5</v>
      </c>
      <c r="H451" s="50" t="n">
        <f aca="false">MAX(0,IF(AND(Parameter!$B$21="Ja",ISNUMBER(Y451)),Y451,IF(Parameter!$B$20="Jahresanfang 2025 + Export",BR451+BQ451,BQ451)))</f>
        <v>16</v>
      </c>
      <c r="I451" s="50" t="n">
        <f aca="false">H451*G451</f>
        <v>536</v>
      </c>
      <c r="J451" s="50" t="n">
        <f aca="false">BT451*Parameter!$B$18</f>
        <v>8</v>
      </c>
      <c r="K451" s="51" t="n">
        <v>17.5</v>
      </c>
      <c r="L451" s="52" t="n">
        <v>0.457142857142857</v>
      </c>
      <c r="M451" s="50" t="n">
        <v>1</v>
      </c>
      <c r="N451" s="50" t="n">
        <v>10</v>
      </c>
      <c r="O451" s="53" t="n">
        <v>56</v>
      </c>
      <c r="P451" s="48" t="s">
        <v>232</v>
      </c>
      <c r="Q451" s="50" t="n">
        <v>24</v>
      </c>
      <c r="R451" s="53" t="n">
        <f aca="false">IF(BZ451=1,0,IFERROR(VLOOKUP(BX451,'Gebinde-Kategorie'!$A$5:$N$45,13,0)+0,0))</f>
        <v>4</v>
      </c>
      <c r="S451" s="54"/>
      <c r="T451" s="55"/>
      <c r="U451" s="55"/>
      <c r="V451" s="55"/>
      <c r="W451" s="48"/>
      <c r="X451" s="50"/>
      <c r="Y451" s="50"/>
      <c r="Z451" s="48" t="n">
        <f aca="false">IF(A451="","",IF(AND(Parameter!$B$21="Ja",ISNUMBER(W451)),W451,IF(CC451="2+3",IF(ISNUMBER(SEARCH("grosser Artikel",BU451)),2,IFERROR(VLOOKUP(BX451,Parameter!$F$35:$G$64,2,0),2)),IF(OR(CC451="Nein",CC451=""),"-",CC451))))</f>
        <v>2</v>
      </c>
      <c r="AA451" s="55"/>
      <c r="AB451" s="56"/>
      <c r="AC451" s="50" t="n">
        <f aca="false">AV451</f>
        <v>11</v>
      </c>
      <c r="AD451" s="50" t="n">
        <f aca="false">MAX(AV451,H451)</f>
        <v>16</v>
      </c>
      <c r="AE451" s="57"/>
      <c r="AF451" s="50" t="n">
        <f aca="false">IF(LEFT(Cockpit!$C$5,1)="A",H451,IF(Parameter!$E$30="MAX-Bestand",IF(CH451=1,CI451,IF(LEFT(Cockpit!$C$5,1)="B",AL451,MAX(AL451,H451))),ROUNDUP(AJ451,0)))</f>
        <v>16</v>
      </c>
      <c r="AG451" s="50" t="n">
        <f aca="false">IF(BZ451=1,0,ROUNDUP(AF451/BY451,0))</f>
        <v>1</v>
      </c>
      <c r="AH451" s="52" t="n">
        <f aca="false">IF(CQ451&gt;0,CQ451*MAX(1,AF451/X451),IF(BZ451=1,IF(AF451&lt;=0,0,CD451*MAX(1,IF(H451&gt;0,AF451/H451,1))),IF(R451&gt;0,AG451/R451,0))/MAX(0.1,N(Parameter!$M$21)))</f>
        <v>0.25</v>
      </c>
      <c r="AI451" s="50" t="n">
        <f aca="false">AH451*CB451</f>
        <v>58.75</v>
      </c>
      <c r="AJ451" s="51" t="n">
        <f aca="false">IF(LEFT(Cockpit!$C$5,1)="A",H451,IF(CH451=1,(CK451+CI451)/2,IF(LEFT(Cockpit!$C$5,1)="B",(CK451+AL451)/2,MAX((CK451+AL451)/2,H451))))</f>
        <v>16</v>
      </c>
      <c r="AK451" s="50" t="n">
        <f aca="false">AJ451*G451</f>
        <v>536</v>
      </c>
      <c r="AL451" s="50" t="n">
        <f aca="false">ROUNDUP(CK451+MAX(CL451,2*(J451/IF(CG451&gt;0,CG451,MAX(0.1,N(Cockpit!$C$6)))-CK451)),0)</f>
        <v>11</v>
      </c>
      <c r="AM451" s="51" t="n">
        <f aca="false">IF(AI451&gt;0,J451/AI451,-1)</f>
        <v>0.136170212765957</v>
      </c>
      <c r="AN451" s="51" t="n">
        <f aca="false">IF(AND(OR(CF451="L1",CF451="L23",CF451="LIFT"),AI451&gt;0),SUMIFS($AI$7:$AI$1843,$CF$7:$CF$1843,CF451,$AM$7:$AM$1843,"&gt;"&amp;AM451)+SUMIFS($AI$7:$AI$1843,$CF$7:$CF$1843,CF451,$AM$7:$AM$1843,AM451,$BW$7:$BW$1843,"&lt;="&amp;BW451),"")</f>
        <v>13211.592695205</v>
      </c>
      <c r="AO451" s="58" t="n">
        <f aca="false">IF(AN451="",0,MAX(0,MIN(1,(IF(CF451="L1",Parameter!$H$5,IF(CF451="L23",Parameter!$H$6+Parameter!$H$7,Parameter!$H$5+Parameter!$H$6+Parameter!$H$7))-(AN451-AI451))/AI451)))</f>
        <v>1</v>
      </c>
      <c r="AP451" s="50" t="n">
        <f aca="false">IF(LEFT(Cockpit!$I$5,1)="A",H451,IF(Parameter!$E$30="MAX-Bestand",IF(CH451=1,CI451,IF(LEFT(Cockpit!$I$5,1)="B",AV451,MAX(AV451,H451))),ROUNDUP(AT451,0)))</f>
        <v>16</v>
      </c>
      <c r="AQ451" s="50" t="n">
        <f aca="false">IF(BZ451=1,0,ROUNDUP(AP451/BY451,0))</f>
        <v>1</v>
      </c>
      <c r="AR451" s="52" t="n">
        <f aca="false">IF(CQ451&gt;0,CQ451*MAX(1,AP451/X451),IF(BZ451=1,IF(AP451&lt;=0,0,CD451*MAX(1,IF(H451&gt;0,AP451/H451,1))),IF(R451&gt;0,AQ451/R451,0))/MAX(0.1,N(Parameter!$M$21)))</f>
        <v>0.25</v>
      </c>
      <c r="AS451" s="50" t="n">
        <f aca="false">AR451*CB451</f>
        <v>58.75</v>
      </c>
      <c r="AT451" s="51" t="n">
        <f aca="false">IF(LEFT(Cockpit!$I$5,1)="A",H451,IF(CH451=1,(CK451+CI451)/2,IF(LEFT(Cockpit!$I$5,1)="B",(CK451+AV451)/2,MAX((CK451+AV451)/2,H451))))</f>
        <v>16</v>
      </c>
      <c r="AU451" s="50" t="n">
        <f aca="false">AT451*G451</f>
        <v>536</v>
      </c>
      <c r="AV451" s="50" t="n">
        <f aca="false">ROUNDUP(CK451+MAX(CL451,2*(J451/IF(CG451&gt;0,CG451,MAX(0.1,N(Cockpit!$I$6)))-CK451)),0)</f>
        <v>11</v>
      </c>
      <c r="AW451" s="51" t="n">
        <f aca="false">IF(AS451&gt;0,J451/AS451,-1)</f>
        <v>0.136170212765957</v>
      </c>
      <c r="AX451" s="51" t="n">
        <f aca="false">IF(AND(OR(CF451="L1",CF451="L23",CF451="LIFT"),AS451&gt;0),SUMIFS($AS$7:$AS$1843,$CF$7:$CF$1843,CF451,$AW$7:$AW$1843,"&gt;"&amp;AW451)+SUMIFS($AS$7:$AS$1843,$CF$7:$CF$1843,CF451,$AW$7:$AW$1843,AW451,$BW$7:$BW$1843,"&lt;="&amp;BW451),"")</f>
        <v>17235.9913365824</v>
      </c>
      <c r="AY451" s="58" t="n">
        <f aca="false">IF(AX451="",0,MAX(0,MIN(1,(IF(CF451="L1",Parameter!$H$5,IF(CF451="L23",Parameter!$H$6+Parameter!$H$7,Parameter!$H$5+Parameter!$H$6+Parameter!$H$7))-(AX451-AS451))/AS451)))</f>
        <v>1</v>
      </c>
      <c r="AZ451" s="50" t="n">
        <f aca="false">IF(LEFT(Cockpit!$O$5,1)="A",H451,IF(Parameter!$E$30="MAX-Bestand",IF(CH451=1,CI451,IF(LEFT(Cockpit!$O$5,1)="B",BF451,MAX(BF451,H451))),ROUNDUP(BD451,0)))</f>
        <v>6</v>
      </c>
      <c r="BA451" s="50" t="n">
        <f aca="false">IF(BZ451=1,0,ROUNDUP(AZ451/BY451,0))</f>
        <v>1</v>
      </c>
      <c r="BB451" s="52" t="n">
        <f aca="false">IF(CQ451&gt;0,CQ451*MAX(1,AZ451/X451),IF(BZ451=1,IF(AZ451&lt;=0,0,CD451*MAX(1,IF(H451&gt;0,AZ451/H451,1))),IF(R451&gt;0,BA451/R451,0))/MAX(0.1,N(Parameter!$M$21)))</f>
        <v>0.25</v>
      </c>
      <c r="BC451" s="50" t="n">
        <f aca="false">BB451*CB451</f>
        <v>58.75</v>
      </c>
      <c r="BD451" s="51" t="n">
        <f aca="false">IF(LEFT(Cockpit!$O$5,1)="A",H451,IF(CH451=1,(CK451+CI451)/2,IF(LEFT(Cockpit!$O$5,1)="B",(CK451+BF451)/2,MAX((CK451+BF451)/2,H451))))</f>
        <v>6</v>
      </c>
      <c r="BE451" s="50" t="n">
        <f aca="false">BD451*G451</f>
        <v>201</v>
      </c>
      <c r="BF451" s="50" t="n">
        <f aca="false">ROUNDUP(CK451+MAX(CL451,2*(J451/IF(CG451&gt;0,CG451,MAX(0.1,N(Cockpit!$O$6)))-CK451)),0)</f>
        <v>11</v>
      </c>
      <c r="BG451" s="51" t="n">
        <f aca="false">IF(BC451&gt;0,J451/BC451,-1)</f>
        <v>0.136170212765957</v>
      </c>
      <c r="BH451" s="51" t="n">
        <f aca="false">IF(AND(OR(CF451="L1",CF451="L23",CF451="LIFT"),BC451&gt;0),SUMIFS($BC$7:$BC$1843,$CF$7:$CF$1843,CF451,$BG$7:$BG$1843,"&gt;"&amp;BG451)+SUMIFS($BC$7:$BC$1843,$CF$7:$CF$1843,CF451,$BG$7:$BG$1843,BG451,$BW$7:$BW$1843,"&lt;="&amp;BW451),"")</f>
        <v>13920.9706157778</v>
      </c>
      <c r="BI451" s="58" t="n">
        <f aca="false">IF(BH451="",0,MAX(0,MIN(1,(IF(CF451="L1",Parameter!$H$5,IF(CF451="L23",Parameter!$H$6+Parameter!$H$7,Parameter!$H$5+Parameter!$H$6+Parameter!$H$7))-(BH451-BC451))/BC451)))</f>
        <v>1</v>
      </c>
      <c r="BJ451" s="48" t="str">
        <f aca="false">IF(AI451&lt;=0,"",IF(CF451="Aussen","Aussenlager",IF(CF451="-","Nicht im Lift",IF(AO451&gt;=1,"Lift",IF(AO451&lt;=0,"Aussenlager","teilweise")))))</f>
        <v>Lift</v>
      </c>
      <c r="BK451" s="48" t="str">
        <f aca="false">IF(AS451&lt;=0,"",IF(CF451="Aussen","Aussenlager",IF(CF451="-","Nicht im Lift",IF(AY451&gt;=1,"Lift",IF(AY451&lt;=0,"Aussenlager","teilweise")))))</f>
        <v>Lift</v>
      </c>
      <c r="BL451" s="48" t="str">
        <f aca="false">IF(BC451&lt;=0,"",IF(CF451="Aussen","Aussenlager",IF(CF451="-","Nicht im Lift",IF(BI451&gt;=1,"Lift",IF(BI451&lt;=0,"Aussenlager","teilweise")))))</f>
        <v>Lift</v>
      </c>
      <c r="BM451" s="48" t="str">
        <f aca="false">IF(A451="","",IF(BV451=1,"Neu; ","")&amp;IF(AND(BV451=0,BQ451&lt;0),"negativer Bestand (Export "&amp;BQ451&amp;"); ","")&amp;IF(J451&lt;=0,"Kein Verbrauch; ","")&amp;IF(CQ451&gt;0,"Lift "&amp;W451&amp;" lt. Liftbericht (Fach "&amp;X451&amp;" Stk); ",IF(CA451=1,"Gebinde geschätzt ("&amp;T451&amp;"); ",IF(BZ451=1,"Lose – Tablare geschätzt; ","")))&amp;IF(H451&gt;AV451,"Überbestand "&amp;ROUND(H451-AV451,0)&amp;" Stk / CHF "&amp;ROUND((H451-AV451)*G451,0)&amp;"; ","")&amp;IF(AND(CH451=1,CI451&lt;CJ451),"MAX &lt; MB+LG; ","")&amp;IF(AND(CP451&gt;0,CO451*10&gt;CP451),"zu hoch für Tablar; ","")&amp;IF(AND(BV451=0,OR(CH451=1,AA451&lt;&gt;"",U451&lt;&gt;"",V451&lt;&gt;"",AB451&lt;&gt;"")),"manuell übersteuert; ","")&amp;IF(AND(BZ451=0,R451=0),"Gebinde unbekannt / Stellmass fehlt; ","")&amp;IF(AND(BZ451=0,N(V451)&lt;=0,N(Q451)&lt;=0),"Menge pro Gebinde fehlt (Ist = 1 Gebinde); ","")&amp;BU451)</f>
        <v>Überbestand 5 Stk / CHF 168; </v>
      </c>
      <c r="BN451" s="48"/>
      <c r="BO451" s="48"/>
      <c r="BP451" s="55"/>
      <c r="BQ451" s="50" t="n">
        <v>2</v>
      </c>
      <c r="BR451" s="50" t="n">
        <v>14</v>
      </c>
      <c r="BS451" s="49" t="n">
        <v>67</v>
      </c>
      <c r="BT451" s="50" t="n">
        <v>8</v>
      </c>
      <c r="BU451" s="48"/>
      <c r="BV451" s="53" t="n">
        <v>0</v>
      </c>
      <c r="BW451" s="53" t="n">
        <v>451</v>
      </c>
      <c r="BX451" s="48" t="str">
        <f aca="false">IF(U451&lt;&gt;"",UPPER(TRIM(U451)),IF(CA451=1,UPPER(VLOOKUP(T451,Parameter!$I$27:$K$29,2,0)),IF(P451="","LOSE",P451)))</f>
        <v>S81</v>
      </c>
      <c r="BY451" s="50" t="n">
        <f aca="false">IF(BX451="LOSE",1,IF(N(V451)&gt;0,V451,IF(CA451=1,MAX(1,N(VLOOKUP(T451,Parameter!$I$27:$K$29,3,0)),H451,N(N451)),IF(N(Q451)&gt;0,Q451,MAX(1,H451)))))</f>
        <v>24</v>
      </c>
      <c r="BZ451" s="53" t="n">
        <f aca="false">IF(BX451="LOSE",1,0)</f>
        <v>0</v>
      </c>
      <c r="CA451" s="53" t="n">
        <f aca="false">IF(AND(U451="",OR(P451="",P451="LOSE"),T451&lt;&gt;"",N(S451)&lt;=0,ISNUMBER(MATCH(T451,Parameter!$I$27:$I$29,0))),1,0)</f>
        <v>0</v>
      </c>
      <c r="CB451" s="53" t="n">
        <f aca="false">IF(CQ451&gt;0,INDEX(Parameter!$H$5:$H$7,W451)/INDEX(Parameter!$E$5:$E$7,W451),IF(AND(BZ451=0,N(IFERROR(VLOOKUP(BX451,'Gebinde-Kategorie'!$A$5:$N$45,14,0),0))&gt;0),VLOOKUP(BX451,'Gebinde-Kategorie'!$A$5:$N$45,14,0)*10+Parameter!$M$23,Parameter!$M$24))</f>
        <v>235</v>
      </c>
      <c r="CC451" s="48" t="str">
        <f aca="false">IF(AND(Parameter!$B$19="Ja",E451&lt;&gt;"",ISNUMBER(MATCH(E451,Parameter!$I$35:$I$52,0))),VLOOKUP(E451,Parameter!$I$35:$J$52,2,0),IFERROR(VLOOKUP(D451,Parameter!$A$35:$C$64,2,0),"Nein"))</f>
        <v>2+3</v>
      </c>
      <c r="CD451" s="52" t="n">
        <f aca="false">IF(BZ451=0,0,IF(N(S451)&gt;0,S451,IFERROR(VLOOKUP(D451,Parameter!$A$35:$C$64,3,0)+0,0)))</f>
        <v>0</v>
      </c>
      <c r="CE451" s="48" t="n">
        <f aca="false">IF(AA451&lt;&gt;"",AA451,Z451)</f>
        <v>2</v>
      </c>
      <c r="CF451" s="48" t="str">
        <f aca="false">IF(OR(CE451=1,CE451=2,CE451=3),IF(Parameter!$E$27="Ja","LIFT",IF(CE451=1,"L1","L23")),IF(CE451="Aussen","Aussen","-"))</f>
        <v>LIFT</v>
      </c>
      <c r="CG451" s="59" t="n">
        <f aca="false">IF(N(AB451)&gt;0,AB451,0)</f>
        <v>0</v>
      </c>
      <c r="CH451" s="53" t="n">
        <f aca="false">IF(ISNUMBER(AE451),1,0)</f>
        <v>0</v>
      </c>
      <c r="CI451" s="50" t="n">
        <f aca="false">N(AE451)</f>
        <v>0</v>
      </c>
      <c r="CJ451" s="50" t="n">
        <f aca="false">N(M451)+N(N451)</f>
        <v>11</v>
      </c>
      <c r="CK451" s="50" t="n">
        <f aca="false">N(M451)</f>
        <v>1</v>
      </c>
      <c r="CL451" s="50" t="n">
        <f aca="false">N(N451)</f>
        <v>10</v>
      </c>
      <c r="CM451" s="50" t="n">
        <f aca="false">ROUNDUP(H451/BY451,0)</f>
        <v>1</v>
      </c>
      <c r="CN451" s="50" t="n">
        <f aca="false">ROUNDUP(CI451/BY451,0)</f>
        <v>0</v>
      </c>
      <c r="CO451" s="53" t="n">
        <f aca="false">IF(BZ451=1,0,IFERROR(VLOOKUP(BX451,'Gebinde-Kategorie'!$A$5:$N$45,5,0)+0,0))</f>
        <v>20</v>
      </c>
      <c r="CP451" s="53" t="n">
        <f aca="false">IFERROR(IF(OR(CE451=1,CE451=2,CE451=3),N(INDEX(Parameter!$I$5:$I$7,CE451)),0),0)</f>
        <v>0</v>
      </c>
      <c r="CQ451" s="52" t="n">
        <f aca="false">IF(AND(Parameter!$B$21="Ja",ISNUMBER(W451),N(X451)&gt;0),IFERROR(N(INDEX(Parameter!$L$5:$L$7,W451))*INDEX(Parameter!$E$5:$E$7,W451)*X451/SUMIFS($X$7:$X$1843,$W$7:$W$1843,W451),0),0)</f>
        <v>0</v>
      </c>
    </row>
    <row r="452" customFormat="false" ht="15" hidden="false" customHeight="false" outlineLevel="0" collapsed="false">
      <c r="A452" s="48" t="s">
        <v>1030</v>
      </c>
      <c r="B452" s="48" t="s">
        <v>1031</v>
      </c>
      <c r="C452" s="48" t="s">
        <v>173</v>
      </c>
      <c r="D452" s="48" t="s">
        <v>193</v>
      </c>
      <c r="E452" s="48"/>
      <c r="F452" s="48" t="s">
        <v>227</v>
      </c>
      <c r="G452" s="49" t="n">
        <v>4.42</v>
      </c>
      <c r="H452" s="50" t="n">
        <f aca="false">MAX(0,IF(AND(Parameter!$B$21="Ja",ISNUMBER(Y452)),Y452,IF(Parameter!$B$20="Jahresanfang 2025 + Export",BR452+BQ452,BQ452)))</f>
        <v>15</v>
      </c>
      <c r="I452" s="50" t="n">
        <f aca="false">H452*G452</f>
        <v>66.3</v>
      </c>
      <c r="J452" s="50" t="n">
        <f aca="false">BT452*Parameter!$B$18</f>
        <v>0</v>
      </c>
      <c r="K452" s="51" t="n">
        <v>7.5</v>
      </c>
      <c r="L452" s="52" t="n">
        <v>0</v>
      </c>
      <c r="M452" s="50" t="n">
        <v>0</v>
      </c>
      <c r="N452" s="50" t="n">
        <v>1</v>
      </c>
      <c r="O452" s="53" t="n">
        <v>28</v>
      </c>
      <c r="P452" s="48" t="s">
        <v>435</v>
      </c>
      <c r="Q452" s="50" t="n">
        <v>15</v>
      </c>
      <c r="R452" s="53" t="n">
        <f aca="false">IF(BZ452=1,0,IFERROR(VLOOKUP(BX452,'Gebinde-Kategorie'!$A$5:$N$45,13,0)+0,0))</f>
        <v>140</v>
      </c>
      <c r="S452" s="54"/>
      <c r="T452" s="55"/>
      <c r="U452" s="55"/>
      <c r="V452" s="55"/>
      <c r="W452" s="48"/>
      <c r="X452" s="50"/>
      <c r="Y452" s="50"/>
      <c r="Z452" s="48" t="n">
        <f aca="false">IF(A452="","",IF(AND(Parameter!$B$21="Ja",ISNUMBER(W452)),W452,IF(CC452="2+3",IF(ISNUMBER(SEARCH("grosser Artikel",BU452)),2,IFERROR(VLOOKUP(BX452,Parameter!$F$35:$G$64,2,0),2)),IF(OR(CC452="Nein",CC452=""),"-",CC452))))</f>
        <v>3</v>
      </c>
      <c r="AA452" s="55"/>
      <c r="AB452" s="56"/>
      <c r="AC452" s="50" t="n">
        <f aca="false">AV452</f>
        <v>1</v>
      </c>
      <c r="AD452" s="50" t="n">
        <f aca="false">MAX(AV452,H452)</f>
        <v>15</v>
      </c>
      <c r="AE452" s="57"/>
      <c r="AF452" s="50" t="n">
        <f aca="false">IF(LEFT(Cockpit!$C$5,1)="A",H452,IF(Parameter!$E$30="MAX-Bestand",IF(CH452=1,CI452,IF(LEFT(Cockpit!$C$5,1)="B",AL452,MAX(AL452,H452))),ROUNDUP(AJ452,0)))</f>
        <v>15</v>
      </c>
      <c r="AG452" s="50" t="n">
        <f aca="false">IF(BZ452=1,0,ROUNDUP(AF452/BY452,0))</f>
        <v>1</v>
      </c>
      <c r="AH452" s="52" t="n">
        <f aca="false">IF(CQ452&gt;0,CQ452*MAX(1,AF452/X452),IF(BZ452=1,IF(AF452&lt;=0,0,CD452*MAX(1,IF(H452&gt;0,AF452/H452,1))),IF(R452&gt;0,AG452/R452,0))/MAX(0.1,N(Parameter!$M$21)))</f>
        <v>0.00714285714285714</v>
      </c>
      <c r="AI452" s="50" t="n">
        <f aca="false">AH452*CB452</f>
        <v>1.10714285714286</v>
      </c>
      <c r="AJ452" s="51" t="n">
        <f aca="false">IF(LEFT(Cockpit!$C$5,1)="A",H452,IF(CH452=1,(CK452+CI452)/2,IF(LEFT(Cockpit!$C$5,1)="B",(CK452+AL452)/2,MAX((CK452+AL452)/2,H452))))</f>
        <v>15</v>
      </c>
      <c r="AK452" s="50" t="n">
        <f aca="false">AJ452*G452</f>
        <v>66.3</v>
      </c>
      <c r="AL452" s="50" t="n">
        <f aca="false">ROUNDUP(CK452+MAX(CL452,2*(J452/IF(CG452&gt;0,CG452,MAX(0.1,N(Cockpit!$C$6)))-CK452)),0)</f>
        <v>1</v>
      </c>
      <c r="AM452" s="51" t="n">
        <f aca="false">IF(AI452&gt;0,J452/AI452,-1)</f>
        <v>0</v>
      </c>
      <c r="AN452" s="51" t="n">
        <f aca="false">IF(AND(OR(CF452="L1",CF452="L23",CF452="LIFT"),AI452&gt;0),SUMIFS($AI$7:$AI$1843,$CF$7:$CF$1843,CF452,$AM$7:$AM$1843,"&gt;"&amp;AM452)+SUMIFS($AI$7:$AI$1843,$CF$7:$CF$1843,CF452,$AM$7:$AM$1843,AM452,$BW$7:$BW$1843,"&lt;="&amp;BW452),"")</f>
        <v>28144.1883549595</v>
      </c>
      <c r="AO452" s="58" t="n">
        <f aca="false">IF(AN452="",0,MAX(0,MIN(1,(IF(CF452="L1",Parameter!$H$5,IF(CF452="L23",Parameter!$H$6+Parameter!$H$7,Parameter!$H$5+Parameter!$H$6+Parameter!$H$7))-(AN452-AI452))/AI452)))</f>
        <v>1</v>
      </c>
      <c r="AP452" s="50" t="n">
        <f aca="false">IF(LEFT(Cockpit!$I$5,1)="A",H452,IF(Parameter!$E$30="MAX-Bestand",IF(CH452=1,CI452,IF(LEFT(Cockpit!$I$5,1)="B",AV452,MAX(AV452,H452))),ROUNDUP(AT452,0)))</f>
        <v>15</v>
      </c>
      <c r="AQ452" s="50" t="n">
        <f aca="false">IF(BZ452=1,0,ROUNDUP(AP452/BY452,0))</f>
        <v>1</v>
      </c>
      <c r="AR452" s="52" t="n">
        <f aca="false">IF(CQ452&gt;0,CQ452*MAX(1,AP452/X452),IF(BZ452=1,IF(AP452&lt;=0,0,CD452*MAX(1,IF(H452&gt;0,AP452/H452,1))),IF(R452&gt;0,AQ452/R452,0))/MAX(0.1,N(Parameter!$M$21)))</f>
        <v>0.00714285714285714</v>
      </c>
      <c r="AS452" s="50" t="n">
        <f aca="false">AR452*CB452</f>
        <v>1.10714285714286</v>
      </c>
      <c r="AT452" s="51" t="n">
        <f aca="false">IF(LEFT(Cockpit!$I$5,1)="A",H452,IF(CH452=1,(CK452+CI452)/2,IF(LEFT(Cockpit!$I$5,1)="B",(CK452+AV452)/2,MAX((CK452+AV452)/2,H452))))</f>
        <v>15</v>
      </c>
      <c r="AU452" s="50" t="n">
        <f aca="false">AT452*G452</f>
        <v>66.3</v>
      </c>
      <c r="AV452" s="50" t="n">
        <f aca="false">ROUNDUP(CK452+MAX(CL452,2*(J452/IF(CG452&gt;0,CG452,MAX(0.1,N(Cockpit!$I$6)))-CK452)),0)</f>
        <v>1</v>
      </c>
      <c r="AW452" s="51" t="n">
        <f aca="false">IF(AS452&gt;0,J452/AS452,-1)</f>
        <v>0</v>
      </c>
      <c r="AX452" s="51" t="n">
        <f aca="false">IF(AND(OR(CF452="L1",CF452="L23",CF452="LIFT"),AS452&gt;0),SUMIFS($AS$7:$AS$1843,$CF$7:$CF$1843,CF452,$AW$7:$AW$1843,"&gt;"&amp;AW452)+SUMIFS($AS$7:$AS$1843,$CF$7:$CF$1843,CF452,$AW$7:$AW$1843,AW452,$BW$7:$BW$1843,"&lt;="&amp;BW452),"")</f>
        <v>33497.336996337</v>
      </c>
      <c r="AY452" s="58" t="n">
        <f aca="false">IF(AX452="",0,MAX(0,MIN(1,(IF(CF452="L1",Parameter!$H$5,IF(CF452="L23",Parameter!$H$6+Parameter!$H$7,Parameter!$H$5+Parameter!$H$6+Parameter!$H$7))-(AX452-AS452))/AS452)))</f>
        <v>1</v>
      </c>
      <c r="AZ452" s="50" t="n">
        <f aca="false">IF(LEFT(Cockpit!$O$5,1)="A",H452,IF(Parameter!$E$30="MAX-Bestand",IF(CH452=1,CI452,IF(LEFT(Cockpit!$O$5,1)="B",BF452,MAX(BF452,H452))),ROUNDUP(BD452,0)))</f>
        <v>1</v>
      </c>
      <c r="BA452" s="50" t="n">
        <f aca="false">IF(BZ452=1,0,ROUNDUP(AZ452/BY452,0))</f>
        <v>1</v>
      </c>
      <c r="BB452" s="52" t="n">
        <f aca="false">IF(CQ452&gt;0,CQ452*MAX(1,AZ452/X452),IF(BZ452=1,IF(AZ452&lt;=0,0,CD452*MAX(1,IF(H452&gt;0,AZ452/H452,1))),IF(R452&gt;0,BA452/R452,0))/MAX(0.1,N(Parameter!$M$21)))</f>
        <v>0.00714285714285714</v>
      </c>
      <c r="BC452" s="50" t="n">
        <f aca="false">BB452*CB452</f>
        <v>1.10714285714286</v>
      </c>
      <c r="BD452" s="51" t="n">
        <f aca="false">IF(LEFT(Cockpit!$O$5,1)="A",H452,IF(CH452=1,(CK452+CI452)/2,IF(LEFT(Cockpit!$O$5,1)="B",(CK452+BF452)/2,MAX((CK452+BF452)/2,H452))))</f>
        <v>0.5</v>
      </c>
      <c r="BE452" s="50" t="n">
        <f aca="false">BD452*G452</f>
        <v>2.21</v>
      </c>
      <c r="BF452" s="50" t="n">
        <f aca="false">ROUNDUP(CK452+MAX(CL452,2*(J452/IF(CG452&gt;0,CG452,MAX(0.1,N(Cockpit!$O$6)))-CK452)),0)</f>
        <v>1</v>
      </c>
      <c r="BG452" s="51" t="n">
        <f aca="false">IF(BC452&gt;0,J452/BC452,-1)</f>
        <v>0</v>
      </c>
      <c r="BH452" s="51" t="n">
        <f aca="false">IF(AND(OR(CF452="L1",CF452="L23",CF452="LIFT"),BC452&gt;0),SUMIFS($BC$7:$BC$1843,$CF$7:$CF$1843,CF452,$BG$7:$BG$1843,"&gt;"&amp;BG452)+SUMIFS($BC$7:$BC$1843,$CF$7:$CF$1843,CF452,$BG$7:$BG$1843,BG452,$BW$7:$BW$1843,"&lt;="&amp;BW452),"")</f>
        <v>27604.5717700379</v>
      </c>
      <c r="BI452" s="58" t="n">
        <f aca="false">IF(BH452="",0,MAX(0,MIN(1,(IF(CF452="L1",Parameter!$H$5,IF(CF452="L23",Parameter!$H$6+Parameter!$H$7,Parameter!$H$5+Parameter!$H$6+Parameter!$H$7))-(BH452-BC452))/BC452)))</f>
        <v>1</v>
      </c>
      <c r="BJ452" s="48" t="str">
        <f aca="false">IF(AI452&lt;=0,"",IF(CF452="Aussen","Aussenlager",IF(CF452="-","Nicht im Lift",IF(AO452&gt;=1,"Lift",IF(AO452&lt;=0,"Aussenlager","teilweise")))))</f>
        <v>Lift</v>
      </c>
      <c r="BK452" s="48" t="str">
        <f aca="false">IF(AS452&lt;=0,"",IF(CF452="Aussen","Aussenlager",IF(CF452="-","Nicht im Lift",IF(AY452&gt;=1,"Lift",IF(AY452&lt;=0,"Aussenlager","teilweise")))))</f>
        <v>Lift</v>
      </c>
      <c r="BL452" s="48" t="str">
        <f aca="false">IF(BC452&lt;=0,"",IF(CF452="Aussen","Aussenlager",IF(CF452="-","Nicht im Lift",IF(BI452&gt;=1,"Lift",IF(BI452&lt;=0,"Aussenlager","teilweise")))))</f>
        <v>Lift</v>
      </c>
      <c r="BM452" s="48" t="str">
        <f aca="false">IF(A452="","",IF(BV452=1,"Neu; ","")&amp;IF(AND(BV452=0,BQ452&lt;0),"negativer Bestand (Export "&amp;BQ452&amp;"); ","")&amp;IF(J452&lt;=0,"Kein Verbrauch; ","")&amp;IF(CQ452&gt;0,"Lift "&amp;W452&amp;" lt. Liftbericht (Fach "&amp;X452&amp;" Stk); ",IF(CA452=1,"Gebinde geschätzt ("&amp;T452&amp;"); ",IF(BZ452=1,"Lose – Tablare geschätzt; ","")))&amp;IF(H452&gt;AV452,"Überbestand "&amp;ROUND(H452-AV452,0)&amp;" Stk / CHF "&amp;ROUND((H452-AV452)*G452,0)&amp;"; ","")&amp;IF(AND(CH452=1,CI452&lt;CJ452),"MAX &lt; MB+LG; ","")&amp;IF(AND(CP452&gt;0,CO452*10&gt;CP452),"zu hoch für Tablar; ","")&amp;IF(AND(BV452=0,OR(CH452=1,AA452&lt;&gt;"",U452&lt;&gt;"",V452&lt;&gt;"",AB452&lt;&gt;"")),"manuell übersteuert; ","")&amp;IF(AND(BZ452=0,R452=0),"Gebinde unbekannt / Stellmass fehlt; ","")&amp;IF(AND(BZ452=0,N(V452)&lt;=0,N(Q452)&lt;=0),"Menge pro Gebinde fehlt (Ist = 1 Gebinde); ","")&amp;BU452)</f>
        <v>Kein Verbrauch; Überbestand 14 Stk / CHF 62; </v>
      </c>
      <c r="BN452" s="48"/>
      <c r="BO452" s="48"/>
      <c r="BP452" s="55"/>
      <c r="BQ452" s="50" t="n">
        <v>15</v>
      </c>
      <c r="BR452" s="50" t="n">
        <v>0</v>
      </c>
      <c r="BS452" s="49" t="n">
        <v>66.3</v>
      </c>
      <c r="BT452" s="50" t="n">
        <v>0</v>
      </c>
      <c r="BU452" s="48"/>
      <c r="BV452" s="53" t="n">
        <v>0</v>
      </c>
      <c r="BW452" s="53" t="n">
        <v>452</v>
      </c>
      <c r="BX452" s="48" t="str">
        <f aca="false">IF(U452&lt;&gt;"",UPPER(TRIM(U452)),IF(CA452=1,UPPER(VLOOKUP(T452,Parameter!$I$27:$K$29,2,0)),IF(P452="","LOSE",P452)))</f>
        <v>S22</v>
      </c>
      <c r="BY452" s="50" t="n">
        <f aca="false">IF(BX452="LOSE",1,IF(N(V452)&gt;0,V452,IF(CA452=1,MAX(1,N(VLOOKUP(T452,Parameter!$I$27:$K$29,3,0)),H452,N(N452)),IF(N(Q452)&gt;0,Q452,MAX(1,H452)))))</f>
        <v>15</v>
      </c>
      <c r="BZ452" s="53" t="n">
        <f aca="false">IF(BX452="LOSE",1,0)</f>
        <v>0</v>
      </c>
      <c r="CA452" s="53" t="n">
        <f aca="false">IF(AND(U452="",OR(P452="",P452="LOSE"),T452&lt;&gt;"",N(S452)&lt;=0,ISNUMBER(MATCH(T452,Parameter!$I$27:$I$29,0))),1,0)</f>
        <v>0</v>
      </c>
      <c r="CB452" s="53" t="n">
        <f aca="false">IF(CQ452&gt;0,INDEX(Parameter!$H$5:$H$7,W452)/INDEX(Parameter!$E$5:$E$7,W452),IF(AND(BZ452=0,N(IFERROR(VLOOKUP(BX452,'Gebinde-Kategorie'!$A$5:$N$45,14,0),0))&gt;0),VLOOKUP(BX452,'Gebinde-Kategorie'!$A$5:$N$45,14,0)*10+Parameter!$M$23,Parameter!$M$24))</f>
        <v>155</v>
      </c>
      <c r="CC452" s="48" t="str">
        <f aca="false">IF(AND(Parameter!$B$19="Ja",E452&lt;&gt;"",ISNUMBER(MATCH(E452,Parameter!$I$35:$I$52,0))),VLOOKUP(E452,Parameter!$I$35:$J$52,2,0),IFERROR(VLOOKUP(D452,Parameter!$A$35:$C$64,2,0),"Nein"))</f>
        <v>2+3</v>
      </c>
      <c r="CD452" s="52" t="n">
        <f aca="false">IF(BZ452=0,0,IF(N(S452)&gt;0,S452,IFERROR(VLOOKUP(D452,Parameter!$A$35:$C$64,3,0)+0,0)))</f>
        <v>0</v>
      </c>
      <c r="CE452" s="48" t="n">
        <f aca="false">IF(AA452&lt;&gt;"",AA452,Z452)</f>
        <v>3</v>
      </c>
      <c r="CF452" s="48" t="str">
        <f aca="false">IF(OR(CE452=1,CE452=2,CE452=3),IF(Parameter!$E$27="Ja","LIFT",IF(CE452=1,"L1","L23")),IF(CE452="Aussen","Aussen","-"))</f>
        <v>LIFT</v>
      </c>
      <c r="CG452" s="59" t="n">
        <f aca="false">IF(N(AB452)&gt;0,AB452,0)</f>
        <v>0</v>
      </c>
      <c r="CH452" s="53" t="n">
        <f aca="false">IF(ISNUMBER(AE452),1,0)</f>
        <v>0</v>
      </c>
      <c r="CI452" s="50" t="n">
        <f aca="false">N(AE452)</f>
        <v>0</v>
      </c>
      <c r="CJ452" s="50" t="n">
        <f aca="false">N(M452)+N(N452)</f>
        <v>1</v>
      </c>
      <c r="CK452" s="50" t="n">
        <f aca="false">N(M452)</f>
        <v>0</v>
      </c>
      <c r="CL452" s="50" t="n">
        <f aca="false">N(N452)</f>
        <v>1</v>
      </c>
      <c r="CM452" s="50" t="n">
        <f aca="false">ROUNDUP(H452/BY452,0)</f>
        <v>1</v>
      </c>
      <c r="CN452" s="50" t="n">
        <f aca="false">ROUNDUP(CI452/BY452,0)</f>
        <v>0</v>
      </c>
      <c r="CO452" s="53" t="n">
        <f aca="false">IF(BZ452=1,0,IFERROR(VLOOKUP(BX452,'Gebinde-Kategorie'!$A$5:$N$45,5,0)+0,0))</f>
        <v>8</v>
      </c>
      <c r="CP452" s="53" t="n">
        <f aca="false">IFERROR(IF(OR(CE452=1,CE452=2,CE452=3),N(INDEX(Parameter!$I$5:$I$7,CE452)),0),0)</f>
        <v>0</v>
      </c>
      <c r="CQ452" s="52" t="n">
        <f aca="false">IF(AND(Parameter!$B$21="Ja",ISNUMBER(W452),N(X452)&gt;0),IFERROR(N(INDEX(Parameter!$L$5:$L$7,W452))*INDEX(Parameter!$E$5:$E$7,W452)*X452/SUMIFS($X$7:$X$1843,$W$7:$W$1843,W452),0),0)</f>
        <v>0</v>
      </c>
    </row>
    <row r="453" customFormat="false" ht="15" hidden="false" customHeight="false" outlineLevel="0" collapsed="false">
      <c r="A453" s="48" t="s">
        <v>1032</v>
      </c>
      <c r="B453" s="48" t="s">
        <v>1033</v>
      </c>
      <c r="C453" s="48" t="s">
        <v>173</v>
      </c>
      <c r="D453" s="48" t="s">
        <v>182</v>
      </c>
      <c r="E453" s="48" t="s">
        <v>474</v>
      </c>
      <c r="F453" s="48" t="s">
        <v>227</v>
      </c>
      <c r="G453" s="49" t="n">
        <v>10.4</v>
      </c>
      <c r="H453" s="50" t="n">
        <f aca="false">MAX(0,IF(AND(Parameter!$B$21="Ja",ISNUMBER(Y453)),Y453,IF(Parameter!$B$20="Jahresanfang 2025 + Export",BR453+BQ453,BQ453)))</f>
        <v>25</v>
      </c>
      <c r="I453" s="50" t="n">
        <f aca="false">H453*G453</f>
        <v>260</v>
      </c>
      <c r="J453" s="50" t="n">
        <f aca="false">BT453*Parameter!$B$18</f>
        <v>33</v>
      </c>
      <c r="K453" s="51" t="n">
        <v>17.5</v>
      </c>
      <c r="L453" s="52" t="n">
        <v>1.88571428571429</v>
      </c>
      <c r="M453" s="50" t="n">
        <v>1</v>
      </c>
      <c r="N453" s="50" t="n">
        <v>15</v>
      </c>
      <c r="O453" s="53" t="n">
        <v>21</v>
      </c>
      <c r="P453" s="48" t="s">
        <v>177</v>
      </c>
      <c r="Q453" s="50"/>
      <c r="R453" s="53" t="n">
        <f aca="false">IF(BZ453=1,0,IFERROR(VLOOKUP(BX453,'Gebinde-Kategorie'!$A$5:$N$45,13,0)+0,0))</f>
        <v>4</v>
      </c>
      <c r="S453" s="54"/>
      <c r="T453" s="55" t="s">
        <v>198</v>
      </c>
      <c r="U453" s="55"/>
      <c r="V453" s="55"/>
      <c r="W453" s="48"/>
      <c r="X453" s="50"/>
      <c r="Y453" s="50"/>
      <c r="Z453" s="48" t="str">
        <f aca="false">IF(A453="","",IF(AND(Parameter!$B$21="Ja",ISNUMBER(W453)),W453,IF(CC453="2+3",IF(ISNUMBER(SEARCH("grosser Artikel",BU453)),2,IFERROR(VLOOKUP(BX453,Parameter!$F$35:$G$64,2,0),2)),IF(OR(CC453="Nein",CC453=""),"-",CC453))))</f>
        <v>-</v>
      </c>
      <c r="AA453" s="55"/>
      <c r="AB453" s="56"/>
      <c r="AC453" s="50" t="n">
        <f aca="false">AV453</f>
        <v>21</v>
      </c>
      <c r="AD453" s="50" t="n">
        <f aca="false">MAX(AV453,H453)</f>
        <v>25</v>
      </c>
      <c r="AE453" s="57"/>
      <c r="AF453" s="50" t="n">
        <f aca="false">IF(LEFT(Cockpit!$C$5,1)="A",H453,IF(Parameter!$E$30="MAX-Bestand",IF(CH453=1,CI453,IF(LEFT(Cockpit!$C$5,1)="B",AL453,MAX(AL453,H453))),ROUNDUP(AJ453,0)))</f>
        <v>25</v>
      </c>
      <c r="AG453" s="50" t="n">
        <f aca="false">IF(BZ453=1,0,ROUNDUP(AF453/BY453,0))</f>
        <v>1</v>
      </c>
      <c r="AH453" s="52" t="n">
        <f aca="false">IF(CQ453&gt;0,CQ453*MAX(1,AF453/X453),IF(BZ453=1,IF(AF453&lt;=0,0,CD453*MAX(1,IF(H453&gt;0,AF453/H453,1))),IF(R453&gt;0,AG453/R453,0))/MAX(0.1,N(Parameter!$M$21)))</f>
        <v>0.25</v>
      </c>
      <c r="AI453" s="50" t="n">
        <f aca="false">AH453*CB453</f>
        <v>58.75</v>
      </c>
      <c r="AJ453" s="51" t="n">
        <f aca="false">IF(LEFT(Cockpit!$C$5,1)="A",H453,IF(CH453=1,(CK453+CI453)/2,IF(LEFT(Cockpit!$C$5,1)="B",(CK453+AL453)/2,MAX((CK453+AL453)/2,H453))))</f>
        <v>25</v>
      </c>
      <c r="AK453" s="50" t="n">
        <f aca="false">AJ453*G453</f>
        <v>260</v>
      </c>
      <c r="AL453" s="50" t="n">
        <f aca="false">ROUNDUP(CK453+MAX(CL453,2*(J453/IF(CG453&gt;0,CG453,MAX(0.1,N(Cockpit!$C$6)))-CK453)),0)</f>
        <v>21</v>
      </c>
      <c r="AM453" s="51" t="n">
        <f aca="false">IF(AI453&gt;0,J453/AI453,-1)</f>
        <v>0.561702127659575</v>
      </c>
      <c r="AN453" s="51" t="str">
        <f aca="false">IF(AND(OR(CF453="L1",CF453="L23",CF453="LIFT"),AI453&gt;0),SUMIFS($AI$7:$AI$1843,$CF$7:$CF$1843,CF453,$AM$7:$AM$1843,"&gt;"&amp;AM453)+SUMIFS($AI$7:$AI$1843,$CF$7:$CF$1843,CF453,$AM$7:$AM$1843,AM453,$BW$7:$BW$1843,"&lt;="&amp;BW453),"")</f>
        <v/>
      </c>
      <c r="AO453" s="58" t="n">
        <f aca="false">IF(AN453="",0,MAX(0,MIN(1,(IF(CF453="L1",Parameter!$H$5,IF(CF453="L23",Parameter!$H$6+Parameter!$H$7,Parameter!$H$5+Parameter!$H$6+Parameter!$H$7))-(AN453-AI453))/AI453)))</f>
        <v>0</v>
      </c>
      <c r="AP453" s="50" t="n">
        <f aca="false">IF(LEFT(Cockpit!$I$5,1)="A",H453,IF(Parameter!$E$30="MAX-Bestand",IF(CH453=1,CI453,IF(LEFT(Cockpit!$I$5,1)="B",AV453,MAX(AV453,H453))),ROUNDUP(AT453,0)))</f>
        <v>25</v>
      </c>
      <c r="AQ453" s="50" t="n">
        <f aca="false">IF(BZ453=1,0,ROUNDUP(AP453/BY453,0))</f>
        <v>1</v>
      </c>
      <c r="AR453" s="52" t="n">
        <f aca="false">IF(CQ453&gt;0,CQ453*MAX(1,AP453/X453),IF(BZ453=1,IF(AP453&lt;=0,0,CD453*MAX(1,IF(H453&gt;0,AP453/H453,1))),IF(R453&gt;0,AQ453/R453,0))/MAX(0.1,N(Parameter!$M$21)))</f>
        <v>0.25</v>
      </c>
      <c r="AS453" s="50" t="n">
        <f aca="false">AR453*CB453</f>
        <v>58.75</v>
      </c>
      <c r="AT453" s="51" t="n">
        <f aca="false">IF(LEFT(Cockpit!$I$5,1)="A",H453,IF(CH453=1,(CK453+CI453)/2,IF(LEFT(Cockpit!$I$5,1)="B",(CK453+AV453)/2,MAX((CK453+AV453)/2,H453))))</f>
        <v>25</v>
      </c>
      <c r="AU453" s="50" t="n">
        <f aca="false">AT453*G453</f>
        <v>260</v>
      </c>
      <c r="AV453" s="50" t="n">
        <f aca="false">ROUNDUP(CK453+MAX(CL453,2*(J453/IF(CG453&gt;0,CG453,MAX(0.1,N(Cockpit!$I$6)))-CK453)),0)</f>
        <v>21</v>
      </c>
      <c r="AW453" s="51" t="n">
        <f aca="false">IF(AS453&gt;0,J453/AS453,-1)</f>
        <v>0.561702127659575</v>
      </c>
      <c r="AX453" s="51" t="str">
        <f aca="false">IF(AND(OR(CF453="L1",CF453="L23",CF453="LIFT"),AS453&gt;0),SUMIFS($AS$7:$AS$1843,$CF$7:$CF$1843,CF453,$AW$7:$AW$1843,"&gt;"&amp;AW453)+SUMIFS($AS$7:$AS$1843,$CF$7:$CF$1843,CF453,$AW$7:$AW$1843,AW453,$BW$7:$BW$1843,"&lt;="&amp;BW453),"")</f>
        <v/>
      </c>
      <c r="AY453" s="58" t="n">
        <f aca="false">IF(AX453="",0,MAX(0,MIN(1,(IF(CF453="L1",Parameter!$H$5,IF(CF453="L23",Parameter!$H$6+Parameter!$H$7,Parameter!$H$5+Parameter!$H$6+Parameter!$H$7))-(AX453-AS453))/AS453)))</f>
        <v>0</v>
      </c>
      <c r="AZ453" s="50" t="n">
        <f aca="false">IF(LEFT(Cockpit!$O$5,1)="A",H453,IF(Parameter!$E$30="MAX-Bestand",IF(CH453=1,CI453,IF(LEFT(Cockpit!$O$5,1)="B",BF453,MAX(BF453,H453))),ROUNDUP(BD453,0)))</f>
        <v>9</v>
      </c>
      <c r="BA453" s="50" t="n">
        <f aca="false">IF(BZ453=1,0,ROUNDUP(AZ453/BY453,0))</f>
        <v>1</v>
      </c>
      <c r="BB453" s="52" t="n">
        <f aca="false">IF(CQ453&gt;0,CQ453*MAX(1,AZ453/X453),IF(BZ453=1,IF(AZ453&lt;=0,0,CD453*MAX(1,IF(H453&gt;0,AZ453/H453,1))),IF(R453&gt;0,BA453/R453,0))/MAX(0.1,N(Parameter!$M$21)))</f>
        <v>0.25</v>
      </c>
      <c r="BC453" s="50" t="n">
        <f aca="false">BB453*CB453</f>
        <v>58.75</v>
      </c>
      <c r="BD453" s="51" t="n">
        <f aca="false">IF(LEFT(Cockpit!$O$5,1)="A",H453,IF(CH453=1,(CK453+CI453)/2,IF(LEFT(Cockpit!$O$5,1)="B",(CK453+BF453)/2,MAX((CK453+BF453)/2,H453))))</f>
        <v>8.5</v>
      </c>
      <c r="BE453" s="50" t="n">
        <f aca="false">BD453*G453</f>
        <v>88.4</v>
      </c>
      <c r="BF453" s="50" t="n">
        <f aca="false">ROUNDUP(CK453+MAX(CL453,2*(J453/IF(CG453&gt;0,CG453,MAX(0.1,N(Cockpit!$O$6)))-CK453)),0)</f>
        <v>16</v>
      </c>
      <c r="BG453" s="51" t="n">
        <f aca="false">IF(BC453&gt;0,J453/BC453,-1)</f>
        <v>0.561702127659575</v>
      </c>
      <c r="BH453" s="51" t="str">
        <f aca="false">IF(AND(OR(CF453="L1",CF453="L23",CF453="LIFT"),BC453&gt;0),SUMIFS($BC$7:$BC$1843,$CF$7:$CF$1843,CF453,$BG$7:$BG$1843,"&gt;"&amp;BG453)+SUMIFS($BC$7:$BC$1843,$CF$7:$CF$1843,CF453,$BG$7:$BG$1843,BG453,$BW$7:$BW$1843,"&lt;="&amp;BW453),"")</f>
        <v/>
      </c>
      <c r="BI453" s="58" t="n">
        <f aca="false">IF(BH453="",0,MAX(0,MIN(1,(IF(CF453="L1",Parameter!$H$5,IF(CF453="L23",Parameter!$H$6+Parameter!$H$7,Parameter!$H$5+Parameter!$H$6+Parameter!$H$7))-(BH453-BC453))/BC453)))</f>
        <v>0</v>
      </c>
      <c r="BJ453" s="48" t="str">
        <f aca="false">IF(AI453&lt;=0,"",IF(CF453="Aussen","Aussenlager",IF(CF453="-","Nicht im Lift",IF(AO453&gt;=1,"Lift",IF(AO453&lt;=0,"Aussenlager","teilweise")))))</f>
        <v>Nicht im Lift</v>
      </c>
      <c r="BK453" s="48" t="str">
        <f aca="false">IF(AS453&lt;=0,"",IF(CF453="Aussen","Aussenlager",IF(CF453="-","Nicht im Lift",IF(AY453&gt;=1,"Lift",IF(AY453&lt;=0,"Aussenlager","teilweise")))))</f>
        <v>Nicht im Lift</v>
      </c>
      <c r="BL453" s="48" t="str">
        <f aca="false">IF(BC453&lt;=0,"",IF(CF453="Aussen","Aussenlager",IF(CF453="-","Nicht im Lift",IF(BI453&gt;=1,"Lift",IF(BI453&lt;=0,"Aussenlager","teilweise")))))</f>
        <v>Nicht im Lift</v>
      </c>
      <c r="BM453" s="48" t="str">
        <f aca="false">IF(A453="","",IF(BV453=1,"Neu; ","")&amp;IF(AND(BV453=0,BQ453&lt;0),"negativer Bestand (Export "&amp;BQ453&amp;"); ","")&amp;IF(J453&lt;=0,"Kein Verbrauch; ","")&amp;IF(CQ453&gt;0,"Lift "&amp;W453&amp;" lt. Liftbericht (Fach "&amp;X453&amp;" Stk); ",IF(CA453=1,"Gebinde geschätzt ("&amp;T453&amp;"); ",IF(BZ453=1,"Lose – Tablare geschätzt; ","")))&amp;IF(H453&gt;AV453,"Überbestand "&amp;ROUND(H453-AV453,0)&amp;" Stk / CHF "&amp;ROUND((H453-AV453)*G453,0)&amp;"; ","")&amp;IF(AND(CH453=1,CI453&lt;CJ453),"MAX &lt; MB+LG; ","")&amp;IF(AND(CP453&gt;0,CO453*10&gt;CP453),"zu hoch für Tablar; ","")&amp;IF(AND(BV453=0,OR(CH453=1,AA453&lt;&gt;"",U453&lt;&gt;"",V453&lt;&gt;"",AB453&lt;&gt;"")),"manuell übersteuert; ","")&amp;IF(AND(BZ453=0,R453=0),"Gebinde unbekannt / Stellmass fehlt; ","")&amp;IF(AND(BZ453=0,N(V453)&lt;=0,N(Q453)&lt;=0),"Menge pro Gebinde fehlt (Ist = 1 Gebinde); ","")&amp;BU453)</f>
        <v>Gebinde geschätzt (Gross); Überbestand 4 Stk / CHF 42; Menge pro Gebinde fehlt (Ist = 1 Gebinde); </v>
      </c>
      <c r="BN453" s="48"/>
      <c r="BO453" s="48"/>
      <c r="BP453" s="55"/>
      <c r="BQ453" s="50" t="n">
        <v>5</v>
      </c>
      <c r="BR453" s="50" t="n">
        <v>20</v>
      </c>
      <c r="BS453" s="49" t="n">
        <v>66</v>
      </c>
      <c r="BT453" s="50" t="n">
        <v>33</v>
      </c>
      <c r="BU453" s="48"/>
      <c r="BV453" s="53" t="n">
        <v>0</v>
      </c>
      <c r="BW453" s="53" t="n">
        <v>453</v>
      </c>
      <c r="BX453" s="48" t="str">
        <f aca="false">IF(U453&lt;&gt;"",UPPER(TRIM(U453)),IF(CA453=1,UPPER(VLOOKUP(T453,Parameter!$I$27:$K$29,2,0)),IF(P453="","LOSE",P453)))</f>
        <v>S81</v>
      </c>
      <c r="BY453" s="50" t="n">
        <f aca="false">IF(BX453="LOSE",1,IF(N(V453)&gt;0,V453,IF(CA453=1,MAX(1,N(VLOOKUP(T453,Parameter!$I$27:$K$29,3,0)),H453,N(N453)),IF(N(Q453)&gt;0,Q453,MAX(1,H453)))))</f>
        <v>25</v>
      </c>
      <c r="BZ453" s="53" t="n">
        <f aca="false">IF(BX453="LOSE",1,0)</f>
        <v>0</v>
      </c>
      <c r="CA453" s="53" t="n">
        <f aca="false">IF(AND(U453="",OR(P453="",P453="LOSE"),T453&lt;&gt;"",N(S453)&lt;=0,ISNUMBER(MATCH(T453,Parameter!$I$27:$I$29,0))),1,0)</f>
        <v>1</v>
      </c>
      <c r="CB453" s="53" t="n">
        <f aca="false">IF(CQ453&gt;0,INDEX(Parameter!$H$5:$H$7,W453)/INDEX(Parameter!$E$5:$E$7,W453),IF(AND(BZ453=0,N(IFERROR(VLOOKUP(BX453,'Gebinde-Kategorie'!$A$5:$N$45,14,0),0))&gt;0),VLOOKUP(BX453,'Gebinde-Kategorie'!$A$5:$N$45,14,0)*10+Parameter!$M$23,Parameter!$M$24))</f>
        <v>235</v>
      </c>
      <c r="CC453" s="48" t="str">
        <f aca="false">IF(AND(Parameter!$B$19="Ja",E453&lt;&gt;"",ISNUMBER(MATCH(E453,Parameter!$I$35:$I$52,0))),VLOOKUP(E453,Parameter!$I$35:$J$52,2,0),IFERROR(VLOOKUP(D453,Parameter!$A$35:$C$64,2,0),"Nein"))</f>
        <v>Nein</v>
      </c>
      <c r="CD453" s="52" t="n">
        <f aca="false">IF(BZ453=0,0,IF(N(S453)&gt;0,S453,IFERROR(VLOOKUP(D453,Parameter!$A$35:$C$64,3,0)+0,0)))</f>
        <v>0</v>
      </c>
      <c r="CE453" s="48" t="str">
        <f aca="false">IF(AA453&lt;&gt;"",AA453,Z453)</f>
        <v>-</v>
      </c>
      <c r="CF453" s="48" t="str">
        <f aca="false">IF(OR(CE453=1,CE453=2,CE453=3),IF(Parameter!$E$27="Ja","LIFT",IF(CE453=1,"L1","L23")),IF(CE453="Aussen","Aussen","-"))</f>
        <v>-</v>
      </c>
      <c r="CG453" s="59" t="n">
        <f aca="false">IF(N(AB453)&gt;0,AB453,0)</f>
        <v>0</v>
      </c>
      <c r="CH453" s="53" t="n">
        <f aca="false">IF(ISNUMBER(AE453),1,0)</f>
        <v>0</v>
      </c>
      <c r="CI453" s="50" t="n">
        <f aca="false">N(AE453)</f>
        <v>0</v>
      </c>
      <c r="CJ453" s="50" t="n">
        <f aca="false">N(M453)+N(N453)</f>
        <v>16</v>
      </c>
      <c r="CK453" s="50" t="n">
        <f aca="false">N(M453)</f>
        <v>1</v>
      </c>
      <c r="CL453" s="50" t="n">
        <f aca="false">N(N453)</f>
        <v>15</v>
      </c>
      <c r="CM453" s="50" t="n">
        <f aca="false">ROUNDUP(H453/BY453,0)</f>
        <v>1</v>
      </c>
      <c r="CN453" s="50" t="n">
        <f aca="false">ROUNDUP(CI453/BY453,0)</f>
        <v>0</v>
      </c>
      <c r="CO453" s="53" t="n">
        <f aca="false">IF(BZ453=1,0,IFERROR(VLOOKUP(BX453,'Gebinde-Kategorie'!$A$5:$N$45,5,0)+0,0))</f>
        <v>20</v>
      </c>
      <c r="CP453" s="53" t="n">
        <f aca="false">IFERROR(IF(OR(CE453=1,CE453=2,CE453=3),N(INDEX(Parameter!$I$5:$I$7,CE453)),0),0)</f>
        <v>0</v>
      </c>
      <c r="CQ453" s="52" t="n">
        <f aca="false">IF(AND(Parameter!$B$21="Ja",ISNUMBER(W453),N(X453)&gt;0),IFERROR(N(INDEX(Parameter!$L$5:$L$7,W453))*INDEX(Parameter!$E$5:$E$7,W453)*X453/SUMIFS($X$7:$X$1843,$W$7:$W$1843,W453),0),0)</f>
        <v>0</v>
      </c>
    </row>
    <row r="454" customFormat="false" ht="15" hidden="false" customHeight="false" outlineLevel="0" collapsed="false">
      <c r="A454" s="48" t="s">
        <v>1034</v>
      </c>
      <c r="B454" s="48" t="s">
        <v>1035</v>
      </c>
      <c r="C454" s="48" t="s">
        <v>173</v>
      </c>
      <c r="D454" s="48" t="s">
        <v>193</v>
      </c>
      <c r="E454" s="48" t="s">
        <v>194</v>
      </c>
      <c r="F454" s="48" t="s">
        <v>227</v>
      </c>
      <c r="G454" s="49" t="n">
        <v>7.1</v>
      </c>
      <c r="H454" s="50" t="n">
        <f aca="false">MAX(0,IF(AND(Parameter!$B$21="Ja",ISNUMBER(Y454)),Y454,IF(Parameter!$B$20="Jahresanfang 2025 + Export",BR454+BQ454,BQ454)))</f>
        <v>69</v>
      </c>
      <c r="I454" s="50" t="n">
        <f aca="false">H454*G454</f>
        <v>489.9</v>
      </c>
      <c r="J454" s="50" t="n">
        <f aca="false">BT454*Parameter!$B$18</f>
        <v>172</v>
      </c>
      <c r="K454" s="51" t="n">
        <v>76.5</v>
      </c>
      <c r="L454" s="52" t="n">
        <v>2.2483660130719</v>
      </c>
      <c r="M454" s="50" t="n">
        <v>4</v>
      </c>
      <c r="N454" s="50" t="n">
        <v>170</v>
      </c>
      <c r="O454" s="53" t="n">
        <v>21</v>
      </c>
      <c r="P454" s="48" t="s">
        <v>430</v>
      </c>
      <c r="Q454" s="50" t="n">
        <v>136</v>
      </c>
      <c r="R454" s="53" t="n">
        <f aca="false">IF(BZ454=1,0,IFERROR(VLOOKUP(BX454,'Gebinde-Kategorie'!$A$5:$N$45,13,0)+0,0))</f>
        <v>104</v>
      </c>
      <c r="S454" s="54"/>
      <c r="T454" s="55"/>
      <c r="U454" s="55"/>
      <c r="V454" s="55"/>
      <c r="W454" s="48"/>
      <c r="X454" s="50"/>
      <c r="Y454" s="50"/>
      <c r="Z454" s="48" t="n">
        <f aca="false">IF(A454="","",IF(AND(Parameter!$B$21="Ja",ISNUMBER(W454)),W454,IF(CC454="2+3",IF(ISNUMBER(SEARCH("grosser Artikel",BU454)),2,IFERROR(VLOOKUP(BX454,Parameter!$F$35:$G$64,2,0),2)),IF(OR(CC454="Nein",CC454=""),"-",CC454))))</f>
        <v>3</v>
      </c>
      <c r="AA454" s="55"/>
      <c r="AB454" s="56"/>
      <c r="AC454" s="50" t="n">
        <f aca="false">AV454</f>
        <v>174</v>
      </c>
      <c r="AD454" s="50" t="n">
        <f aca="false">MAX(AV454,H454)</f>
        <v>174</v>
      </c>
      <c r="AE454" s="57"/>
      <c r="AF454" s="50" t="n">
        <f aca="false">IF(LEFT(Cockpit!$C$5,1)="A",H454,IF(Parameter!$E$30="MAX-Bestand",IF(CH454=1,CI454,IF(LEFT(Cockpit!$C$5,1)="B",AL454,MAX(AL454,H454))),ROUNDUP(AJ454,0)))</f>
        <v>69</v>
      </c>
      <c r="AG454" s="50" t="n">
        <f aca="false">IF(BZ454=1,0,ROUNDUP(AF454/BY454,0))</f>
        <v>1</v>
      </c>
      <c r="AH454" s="52" t="n">
        <f aca="false">IF(CQ454&gt;0,CQ454*MAX(1,AF454/X454),IF(BZ454=1,IF(AF454&lt;=0,0,CD454*MAX(1,IF(H454&gt;0,AF454/H454,1))),IF(R454&gt;0,AG454/R454,0))/MAX(0.1,N(Parameter!$M$21)))</f>
        <v>0.00961538461538462</v>
      </c>
      <c r="AI454" s="50" t="n">
        <f aca="false">AH454*CB454</f>
        <v>1.49038461538462</v>
      </c>
      <c r="AJ454" s="51" t="n">
        <f aca="false">IF(LEFT(Cockpit!$C$5,1)="A",H454,IF(CH454=1,(CK454+CI454)/2,IF(LEFT(Cockpit!$C$5,1)="B",(CK454+AL454)/2,MAX((CK454+AL454)/2,H454))))</f>
        <v>69</v>
      </c>
      <c r="AK454" s="50" t="n">
        <f aca="false">AJ454*G454</f>
        <v>489.9</v>
      </c>
      <c r="AL454" s="50" t="n">
        <f aca="false">ROUNDUP(CK454+MAX(CL454,2*(J454/IF(CG454&gt;0,CG454,MAX(0.1,N(Cockpit!$C$6)))-CK454)),0)</f>
        <v>174</v>
      </c>
      <c r="AM454" s="51" t="n">
        <f aca="false">IF(AI454&gt;0,J454/AI454,-1)</f>
        <v>115.406451612903</v>
      </c>
      <c r="AN454" s="51" t="n">
        <f aca="false">IF(AND(OR(CF454="L1",CF454="L23",CF454="LIFT"),AI454&gt;0),SUMIFS($AI$7:$AI$1843,$CF$7:$CF$1843,CF454,$AM$7:$AM$1843,"&gt;"&amp;AM454)+SUMIFS($AI$7:$AI$1843,$CF$7:$CF$1843,CF454,$AM$7:$AM$1843,AM454,$BW$7:$BW$1843,"&lt;="&amp;BW454),"")</f>
        <v>688.654304029304</v>
      </c>
      <c r="AO454" s="58" t="n">
        <f aca="false">IF(AN454="",0,MAX(0,MIN(1,(IF(CF454="L1",Parameter!$H$5,IF(CF454="L23",Parameter!$H$6+Parameter!$H$7,Parameter!$H$5+Parameter!$H$6+Parameter!$H$7))-(AN454-AI454))/AI454)))</f>
        <v>1</v>
      </c>
      <c r="AP454" s="50" t="n">
        <f aca="false">IF(LEFT(Cockpit!$I$5,1)="A",H454,IF(Parameter!$E$30="MAX-Bestand",IF(CH454=1,CI454,IF(LEFT(Cockpit!$I$5,1)="B",AV454,MAX(AV454,H454))),ROUNDUP(AT454,0)))</f>
        <v>89</v>
      </c>
      <c r="AQ454" s="50" t="n">
        <f aca="false">IF(BZ454=1,0,ROUNDUP(AP454/BY454,0))</f>
        <v>1</v>
      </c>
      <c r="AR454" s="52" t="n">
        <f aca="false">IF(CQ454&gt;0,CQ454*MAX(1,AP454/X454),IF(BZ454=1,IF(AP454&lt;=0,0,CD454*MAX(1,IF(H454&gt;0,AP454/H454,1))),IF(R454&gt;0,AQ454/R454,0))/MAX(0.1,N(Parameter!$M$21)))</f>
        <v>0.00961538461538462</v>
      </c>
      <c r="AS454" s="50" t="n">
        <f aca="false">AR454*CB454</f>
        <v>1.49038461538462</v>
      </c>
      <c r="AT454" s="51" t="n">
        <f aca="false">IF(LEFT(Cockpit!$I$5,1)="A",H454,IF(CH454=1,(CK454+CI454)/2,IF(LEFT(Cockpit!$I$5,1)="B",(CK454+AV454)/2,MAX((CK454+AV454)/2,H454))))</f>
        <v>89</v>
      </c>
      <c r="AU454" s="50" t="n">
        <f aca="false">AT454*G454</f>
        <v>631.9</v>
      </c>
      <c r="AV454" s="50" t="n">
        <f aca="false">ROUNDUP(CK454+MAX(CL454,2*(J454/IF(CG454&gt;0,CG454,MAX(0.1,N(Cockpit!$I$6)))-CK454)),0)</f>
        <v>174</v>
      </c>
      <c r="AW454" s="51" t="n">
        <f aca="false">IF(AS454&gt;0,J454/AS454,-1)</f>
        <v>115.406451612903</v>
      </c>
      <c r="AX454" s="51" t="n">
        <f aca="false">IF(AND(OR(CF454="L1",CF454="L23",CF454="LIFT"),AS454&gt;0),SUMIFS($AS$7:$AS$1843,$CF$7:$CF$1843,CF454,$AW$7:$AW$1843,"&gt;"&amp;AW454)+SUMIFS($AS$7:$AS$1843,$CF$7:$CF$1843,CF454,$AW$7:$AW$1843,AW454,$BW$7:$BW$1843,"&lt;="&amp;BW454),"")</f>
        <v>802.543956043956</v>
      </c>
      <c r="AY454" s="58" t="n">
        <f aca="false">IF(AX454="",0,MAX(0,MIN(1,(IF(CF454="L1",Parameter!$H$5,IF(CF454="L23",Parameter!$H$6+Parameter!$H$7,Parameter!$H$5+Parameter!$H$6+Parameter!$H$7))-(AX454-AS454))/AS454)))</f>
        <v>1</v>
      </c>
      <c r="AZ454" s="50" t="n">
        <f aca="false">IF(LEFT(Cockpit!$O$5,1)="A",H454,IF(Parameter!$E$30="MAX-Bestand",IF(CH454=1,CI454,IF(LEFT(Cockpit!$O$5,1)="B",BF454,MAX(BF454,H454))),ROUNDUP(BD454,0)))</f>
        <v>89</v>
      </c>
      <c r="BA454" s="50" t="n">
        <f aca="false">IF(BZ454=1,0,ROUNDUP(AZ454/BY454,0))</f>
        <v>1</v>
      </c>
      <c r="BB454" s="52" t="n">
        <f aca="false">IF(CQ454&gt;0,CQ454*MAX(1,AZ454/X454),IF(BZ454=1,IF(AZ454&lt;=0,0,CD454*MAX(1,IF(H454&gt;0,AZ454/H454,1))),IF(R454&gt;0,BA454/R454,0))/MAX(0.1,N(Parameter!$M$21)))</f>
        <v>0.00961538461538462</v>
      </c>
      <c r="BC454" s="50" t="n">
        <f aca="false">BB454*CB454</f>
        <v>1.49038461538462</v>
      </c>
      <c r="BD454" s="51" t="n">
        <f aca="false">IF(LEFT(Cockpit!$O$5,1)="A",H454,IF(CH454=1,(CK454+CI454)/2,IF(LEFT(Cockpit!$O$5,1)="B",(CK454+BF454)/2,MAX((CK454+BF454)/2,H454))))</f>
        <v>89</v>
      </c>
      <c r="BE454" s="50" t="n">
        <f aca="false">BD454*G454</f>
        <v>631.9</v>
      </c>
      <c r="BF454" s="50" t="n">
        <f aca="false">ROUNDUP(CK454+MAX(CL454,2*(J454/IF(CG454&gt;0,CG454,MAX(0.1,N(Cockpit!$O$6)))-CK454)),0)</f>
        <v>174</v>
      </c>
      <c r="BG454" s="51" t="n">
        <f aca="false">IF(BC454&gt;0,J454/BC454,-1)</f>
        <v>115.406451612903</v>
      </c>
      <c r="BH454" s="51" t="n">
        <f aca="false">IF(AND(OR(CF454="L1",CF454="L23",CF454="LIFT"),BC454&gt;0),SUMIFS($BC$7:$BC$1843,$CF$7:$CF$1843,CF454,$BG$7:$BG$1843,"&gt;"&amp;BG454)+SUMIFS($BC$7:$BC$1843,$CF$7:$CF$1843,CF454,$BG$7:$BG$1843,BG454,$BW$7:$BW$1843,"&lt;="&amp;BW454),"")</f>
        <v>825.453296703297</v>
      </c>
      <c r="BI454" s="58" t="n">
        <f aca="false">IF(BH454="",0,MAX(0,MIN(1,(IF(CF454="L1",Parameter!$H$5,IF(CF454="L23",Parameter!$H$6+Parameter!$H$7,Parameter!$H$5+Parameter!$H$6+Parameter!$H$7))-(BH454-BC454))/BC454)))</f>
        <v>1</v>
      </c>
      <c r="BJ454" s="48" t="str">
        <f aca="false">IF(AI454&lt;=0,"",IF(CF454="Aussen","Aussenlager",IF(CF454="-","Nicht im Lift",IF(AO454&gt;=1,"Lift",IF(AO454&lt;=0,"Aussenlager","teilweise")))))</f>
        <v>Lift</v>
      </c>
      <c r="BK454" s="48" t="str">
        <f aca="false">IF(AS454&lt;=0,"",IF(CF454="Aussen","Aussenlager",IF(CF454="-","Nicht im Lift",IF(AY454&gt;=1,"Lift",IF(AY454&lt;=0,"Aussenlager","teilweise")))))</f>
        <v>Lift</v>
      </c>
      <c r="BL454" s="48" t="str">
        <f aca="false">IF(BC454&lt;=0,"",IF(CF454="Aussen","Aussenlager",IF(CF454="-","Nicht im Lift",IF(BI454&gt;=1,"Lift",IF(BI454&lt;=0,"Aussenlager","teilweise")))))</f>
        <v>Lift</v>
      </c>
      <c r="BM454" s="48" t="str">
        <f aca="false">IF(A454="","",IF(BV454=1,"Neu; ","")&amp;IF(AND(BV454=0,BQ454&lt;0),"negativer Bestand (Export "&amp;BQ454&amp;"); ","")&amp;IF(J454&lt;=0,"Kein Verbrauch; ","")&amp;IF(CQ454&gt;0,"Lift "&amp;W454&amp;" lt. Liftbericht (Fach "&amp;X454&amp;" Stk); ",IF(CA454=1,"Gebinde geschätzt ("&amp;T454&amp;"); ",IF(BZ454=1,"Lose – Tablare geschätzt; ","")))&amp;IF(H454&gt;AV454,"Überbestand "&amp;ROUND(H454-AV454,0)&amp;" Stk / CHF "&amp;ROUND((H454-AV454)*G454,0)&amp;"; ","")&amp;IF(AND(CH454=1,CI454&lt;CJ454),"MAX &lt; MB+LG; ","")&amp;IF(AND(CP454&gt;0,CO454*10&gt;CP454),"zu hoch für Tablar; ","")&amp;IF(AND(BV454=0,OR(CH454=1,AA454&lt;&gt;"",U454&lt;&gt;"",V454&lt;&gt;"",AB454&lt;&gt;"")),"manuell übersteuert; ","")&amp;IF(AND(BZ454=0,R454=0),"Gebinde unbekannt / Stellmass fehlt; ","")&amp;IF(AND(BZ454=0,N(V454)&lt;=0,N(Q454)&lt;=0),"Menge pro Gebinde fehlt (Ist = 1 Gebinde); ","")&amp;BU454)</f>
        <v/>
      </c>
      <c r="BN454" s="48"/>
      <c r="BO454" s="48"/>
      <c r="BP454" s="55"/>
      <c r="BQ454" s="50" t="n">
        <v>9</v>
      </c>
      <c r="BR454" s="50" t="n">
        <v>60</v>
      </c>
      <c r="BS454" s="49" t="n">
        <v>63.9000000000007</v>
      </c>
      <c r="BT454" s="50" t="n">
        <v>172</v>
      </c>
      <c r="BU454" s="48"/>
      <c r="BV454" s="53" t="n">
        <v>0</v>
      </c>
      <c r="BW454" s="53" t="n">
        <v>454</v>
      </c>
      <c r="BX454" s="48" t="str">
        <f aca="false">IF(U454&lt;&gt;"",UPPER(TRIM(U454)),IF(CA454=1,UPPER(VLOOKUP(T454,Parameter!$I$27:$K$29,2,0)),IF(P454="","LOSE",P454)))</f>
        <v>S32</v>
      </c>
      <c r="BY454" s="50" t="n">
        <f aca="false">IF(BX454="LOSE",1,IF(N(V454)&gt;0,V454,IF(CA454=1,MAX(1,N(VLOOKUP(T454,Parameter!$I$27:$K$29,3,0)),H454,N(N454)),IF(N(Q454)&gt;0,Q454,MAX(1,H454)))))</f>
        <v>136</v>
      </c>
      <c r="BZ454" s="53" t="n">
        <f aca="false">IF(BX454="LOSE",1,0)</f>
        <v>0</v>
      </c>
      <c r="CA454" s="53" t="n">
        <f aca="false">IF(AND(U454="",OR(P454="",P454="LOSE"),T454&lt;&gt;"",N(S454)&lt;=0,ISNUMBER(MATCH(T454,Parameter!$I$27:$I$29,0))),1,0)</f>
        <v>0</v>
      </c>
      <c r="CB454" s="53" t="n">
        <f aca="false">IF(CQ454&gt;0,INDEX(Parameter!$H$5:$H$7,W454)/INDEX(Parameter!$E$5:$E$7,W454),IF(AND(BZ454=0,N(IFERROR(VLOOKUP(BX454,'Gebinde-Kategorie'!$A$5:$N$45,14,0),0))&gt;0),VLOOKUP(BX454,'Gebinde-Kategorie'!$A$5:$N$45,14,0)*10+Parameter!$M$23,Parameter!$M$24))</f>
        <v>155</v>
      </c>
      <c r="CC454" s="48" t="str">
        <f aca="false">IF(AND(Parameter!$B$19="Ja",E454&lt;&gt;"",ISNUMBER(MATCH(E454,Parameter!$I$35:$I$52,0))),VLOOKUP(E454,Parameter!$I$35:$J$52,2,0),IFERROR(VLOOKUP(D454,Parameter!$A$35:$C$64,2,0),"Nein"))</f>
        <v>2+3</v>
      </c>
      <c r="CD454" s="52" t="n">
        <f aca="false">IF(BZ454=0,0,IF(N(S454)&gt;0,S454,IFERROR(VLOOKUP(D454,Parameter!$A$35:$C$64,3,0)+0,0)))</f>
        <v>0</v>
      </c>
      <c r="CE454" s="48" t="n">
        <f aca="false">IF(AA454&lt;&gt;"",AA454,Z454)</f>
        <v>3</v>
      </c>
      <c r="CF454" s="48" t="str">
        <f aca="false">IF(OR(CE454=1,CE454=2,CE454=3),IF(Parameter!$E$27="Ja","LIFT",IF(CE454=1,"L1","L23")),IF(CE454="Aussen","Aussen","-"))</f>
        <v>LIFT</v>
      </c>
      <c r="CG454" s="59" t="n">
        <f aca="false">IF(N(AB454)&gt;0,AB454,0)</f>
        <v>0</v>
      </c>
      <c r="CH454" s="53" t="n">
        <f aca="false">IF(ISNUMBER(AE454),1,0)</f>
        <v>0</v>
      </c>
      <c r="CI454" s="50" t="n">
        <f aca="false">N(AE454)</f>
        <v>0</v>
      </c>
      <c r="CJ454" s="50" t="n">
        <f aca="false">N(M454)+N(N454)</f>
        <v>174</v>
      </c>
      <c r="CK454" s="50" t="n">
        <f aca="false">N(M454)</f>
        <v>4</v>
      </c>
      <c r="CL454" s="50" t="n">
        <f aca="false">N(N454)</f>
        <v>170</v>
      </c>
      <c r="CM454" s="50" t="n">
        <f aca="false">ROUNDUP(H454/BY454,0)</f>
        <v>1</v>
      </c>
      <c r="CN454" s="50" t="n">
        <f aca="false">ROUNDUP(CI454/BY454,0)</f>
        <v>0</v>
      </c>
      <c r="CO454" s="53" t="n">
        <f aca="false">IF(BZ454=1,0,IFERROR(VLOOKUP(BX454,'Gebinde-Kategorie'!$A$5:$N$45,5,0)+0,0))</f>
        <v>8</v>
      </c>
      <c r="CP454" s="53" t="n">
        <f aca="false">IFERROR(IF(OR(CE454=1,CE454=2,CE454=3),N(INDEX(Parameter!$I$5:$I$7,CE454)),0),0)</f>
        <v>0</v>
      </c>
      <c r="CQ454" s="52" t="n">
        <f aca="false">IF(AND(Parameter!$B$21="Ja",ISNUMBER(W454),N(X454)&gt;0),IFERROR(N(INDEX(Parameter!$L$5:$L$7,W454))*INDEX(Parameter!$E$5:$E$7,W454)*X454/SUMIFS($X$7:$X$1843,$W$7:$W$1843,W454),0),0)</f>
        <v>0</v>
      </c>
    </row>
    <row r="455" customFormat="false" ht="15" hidden="false" customHeight="false" outlineLevel="0" collapsed="false">
      <c r="A455" s="48" t="s">
        <v>1036</v>
      </c>
      <c r="B455" s="48" t="s">
        <v>1031</v>
      </c>
      <c r="C455" s="48" t="s">
        <v>173</v>
      </c>
      <c r="D455" s="48" t="s">
        <v>193</v>
      </c>
      <c r="E455" s="48" t="s">
        <v>194</v>
      </c>
      <c r="F455" s="48" t="s">
        <v>227</v>
      </c>
      <c r="G455" s="49" t="n">
        <v>1.04</v>
      </c>
      <c r="H455" s="50" t="n">
        <f aca="false">MAX(0,IF(AND(Parameter!$B$21="Ja",ISNUMBER(Y455)),Y455,IF(Parameter!$B$20="Jahresanfang 2025 + Export",BR455+BQ455,BQ455)))</f>
        <v>97</v>
      </c>
      <c r="I455" s="50" t="n">
        <f aca="false">H455*G455</f>
        <v>100.88</v>
      </c>
      <c r="J455" s="50" t="n">
        <f aca="false">BT455*Parameter!$B$18</f>
        <v>30</v>
      </c>
      <c r="K455" s="51" t="n">
        <v>46</v>
      </c>
      <c r="L455" s="52" t="n">
        <v>0.652173913043478</v>
      </c>
      <c r="M455" s="50" t="n">
        <v>1</v>
      </c>
      <c r="N455" s="50" t="n">
        <v>50</v>
      </c>
      <c r="O455" s="53" t="n">
        <v>21</v>
      </c>
      <c r="P455" s="48" t="s">
        <v>430</v>
      </c>
      <c r="Q455" s="50" t="n">
        <v>79</v>
      </c>
      <c r="R455" s="53" t="n">
        <f aca="false">IF(BZ455=1,0,IFERROR(VLOOKUP(BX455,'Gebinde-Kategorie'!$A$5:$N$45,13,0)+0,0))</f>
        <v>104</v>
      </c>
      <c r="S455" s="54"/>
      <c r="T455" s="55"/>
      <c r="U455" s="55"/>
      <c r="V455" s="55"/>
      <c r="W455" s="48"/>
      <c r="X455" s="50"/>
      <c r="Y455" s="50"/>
      <c r="Z455" s="48" t="n">
        <f aca="false">IF(A455="","",IF(AND(Parameter!$B$21="Ja",ISNUMBER(W455)),W455,IF(CC455="2+3",IF(ISNUMBER(SEARCH("grosser Artikel",BU455)),2,IFERROR(VLOOKUP(BX455,Parameter!$F$35:$G$64,2,0),2)),IF(OR(CC455="Nein",CC455=""),"-",CC455))))</f>
        <v>3</v>
      </c>
      <c r="AA455" s="55"/>
      <c r="AB455" s="56"/>
      <c r="AC455" s="50" t="n">
        <f aca="false">AV455</f>
        <v>51</v>
      </c>
      <c r="AD455" s="50" t="n">
        <f aca="false">MAX(AV455,H455)</f>
        <v>97</v>
      </c>
      <c r="AE455" s="57"/>
      <c r="AF455" s="50" t="n">
        <f aca="false">IF(LEFT(Cockpit!$C$5,1)="A",H455,IF(Parameter!$E$30="MAX-Bestand",IF(CH455=1,CI455,IF(LEFT(Cockpit!$C$5,1)="B",AL455,MAX(AL455,H455))),ROUNDUP(AJ455,0)))</f>
        <v>97</v>
      </c>
      <c r="AG455" s="50" t="n">
        <f aca="false">IF(BZ455=1,0,ROUNDUP(AF455/BY455,0))</f>
        <v>2</v>
      </c>
      <c r="AH455" s="52" t="n">
        <f aca="false">IF(CQ455&gt;0,CQ455*MAX(1,AF455/X455),IF(BZ455=1,IF(AF455&lt;=0,0,CD455*MAX(1,IF(H455&gt;0,AF455/H455,1))),IF(R455&gt;0,AG455/R455,0))/MAX(0.1,N(Parameter!$M$21)))</f>
        <v>0.0192307692307692</v>
      </c>
      <c r="AI455" s="50" t="n">
        <f aca="false">AH455*CB455</f>
        <v>2.98076923076923</v>
      </c>
      <c r="AJ455" s="51" t="n">
        <f aca="false">IF(LEFT(Cockpit!$C$5,1)="A",H455,IF(CH455=1,(CK455+CI455)/2,IF(LEFT(Cockpit!$C$5,1)="B",(CK455+AL455)/2,MAX((CK455+AL455)/2,H455))))</f>
        <v>97</v>
      </c>
      <c r="AK455" s="50" t="n">
        <f aca="false">AJ455*G455</f>
        <v>100.88</v>
      </c>
      <c r="AL455" s="50" t="n">
        <f aca="false">ROUNDUP(CK455+MAX(CL455,2*(J455/IF(CG455&gt;0,CG455,MAX(0.1,N(Cockpit!$C$6)))-CK455)),0)</f>
        <v>51</v>
      </c>
      <c r="AM455" s="51" t="n">
        <f aca="false">IF(AI455&gt;0,J455/AI455,-1)</f>
        <v>10.0645161290323</v>
      </c>
      <c r="AN455" s="51" t="n">
        <f aca="false">IF(AND(OR(CF455="L1",CF455="L23",CF455="LIFT"),AI455&gt;0),SUMIFS($AI$7:$AI$1843,$CF$7:$CF$1843,CF455,$AM$7:$AM$1843,"&gt;"&amp;AM455)+SUMIFS($AI$7:$AI$1843,$CF$7:$CF$1843,CF455,$AM$7:$AM$1843,AM455,$BW$7:$BW$1843,"&lt;="&amp;BW455),"")</f>
        <v>2600.64194139194</v>
      </c>
      <c r="AO455" s="58" t="n">
        <f aca="false">IF(AN455="",0,MAX(0,MIN(1,(IF(CF455="L1",Parameter!$H$5,IF(CF455="L23",Parameter!$H$6+Parameter!$H$7,Parameter!$H$5+Parameter!$H$6+Parameter!$H$7))-(AN455-AI455))/AI455)))</f>
        <v>1</v>
      </c>
      <c r="AP455" s="50" t="n">
        <f aca="false">IF(LEFT(Cockpit!$I$5,1)="A",H455,IF(Parameter!$E$30="MAX-Bestand",IF(CH455=1,CI455,IF(LEFT(Cockpit!$I$5,1)="B",AV455,MAX(AV455,H455))),ROUNDUP(AT455,0)))</f>
        <v>97</v>
      </c>
      <c r="AQ455" s="50" t="n">
        <f aca="false">IF(BZ455=1,0,ROUNDUP(AP455/BY455,0))</f>
        <v>2</v>
      </c>
      <c r="AR455" s="52" t="n">
        <f aca="false">IF(CQ455&gt;0,CQ455*MAX(1,AP455/X455),IF(BZ455=1,IF(AP455&lt;=0,0,CD455*MAX(1,IF(H455&gt;0,AP455/H455,1))),IF(R455&gt;0,AQ455/R455,0))/MAX(0.1,N(Parameter!$M$21)))</f>
        <v>0.0192307692307692</v>
      </c>
      <c r="AS455" s="50" t="n">
        <f aca="false">AR455*CB455</f>
        <v>2.98076923076923</v>
      </c>
      <c r="AT455" s="51" t="n">
        <f aca="false">IF(LEFT(Cockpit!$I$5,1)="A",H455,IF(CH455=1,(CK455+CI455)/2,IF(LEFT(Cockpit!$I$5,1)="B",(CK455+AV455)/2,MAX((CK455+AV455)/2,H455))))</f>
        <v>97</v>
      </c>
      <c r="AU455" s="50" t="n">
        <f aca="false">AT455*G455</f>
        <v>100.88</v>
      </c>
      <c r="AV455" s="50" t="n">
        <f aca="false">ROUNDUP(CK455+MAX(CL455,2*(J455/IF(CG455&gt;0,CG455,MAX(0.1,N(Cockpit!$I$6)))-CK455)),0)</f>
        <v>51</v>
      </c>
      <c r="AW455" s="51" t="n">
        <f aca="false">IF(AS455&gt;0,J455/AS455,-1)</f>
        <v>10.0645161290323</v>
      </c>
      <c r="AX455" s="51" t="n">
        <f aca="false">IF(AND(OR(CF455="L1",CF455="L23",CF455="LIFT"),AS455&gt;0),SUMIFS($AS$7:$AS$1843,$CF$7:$CF$1843,CF455,$AW$7:$AW$1843,"&gt;"&amp;AW455)+SUMIFS($AS$7:$AS$1843,$CF$7:$CF$1843,CF455,$AW$7:$AW$1843,AW455,$BW$7:$BW$1843,"&lt;="&amp;BW455),"")</f>
        <v>3196.78388278388</v>
      </c>
      <c r="AY455" s="58" t="n">
        <f aca="false">IF(AX455="",0,MAX(0,MIN(1,(IF(CF455="L1",Parameter!$H$5,IF(CF455="L23",Parameter!$H$6+Parameter!$H$7,Parameter!$H$5+Parameter!$H$6+Parameter!$H$7))-(AX455-AS455))/AS455)))</f>
        <v>1</v>
      </c>
      <c r="AZ455" s="50" t="n">
        <f aca="false">IF(LEFT(Cockpit!$O$5,1)="A",H455,IF(Parameter!$E$30="MAX-Bestand",IF(CH455=1,CI455,IF(LEFT(Cockpit!$O$5,1)="B",BF455,MAX(BF455,H455))),ROUNDUP(BD455,0)))</f>
        <v>26</v>
      </c>
      <c r="BA455" s="50" t="n">
        <f aca="false">IF(BZ455=1,0,ROUNDUP(AZ455/BY455,0))</f>
        <v>1</v>
      </c>
      <c r="BB455" s="52" t="n">
        <f aca="false">IF(CQ455&gt;0,CQ455*MAX(1,AZ455/X455),IF(BZ455=1,IF(AZ455&lt;=0,0,CD455*MAX(1,IF(H455&gt;0,AZ455/H455,1))),IF(R455&gt;0,BA455/R455,0))/MAX(0.1,N(Parameter!$M$21)))</f>
        <v>0.00961538461538462</v>
      </c>
      <c r="BC455" s="50" t="n">
        <f aca="false">BB455*CB455</f>
        <v>1.49038461538462</v>
      </c>
      <c r="BD455" s="51" t="n">
        <f aca="false">IF(LEFT(Cockpit!$O$5,1)="A",H455,IF(CH455=1,(CK455+CI455)/2,IF(LEFT(Cockpit!$O$5,1)="B",(CK455+BF455)/2,MAX((CK455+BF455)/2,H455))))</f>
        <v>26</v>
      </c>
      <c r="BE455" s="50" t="n">
        <f aca="false">BD455*G455</f>
        <v>27.04</v>
      </c>
      <c r="BF455" s="50" t="n">
        <f aca="false">ROUNDUP(CK455+MAX(CL455,2*(J455/IF(CG455&gt;0,CG455,MAX(0.1,N(Cockpit!$O$6)))-CK455)),0)</f>
        <v>51</v>
      </c>
      <c r="BG455" s="51" t="n">
        <f aca="false">IF(BC455&gt;0,J455/BC455,-1)</f>
        <v>20.1290322580645</v>
      </c>
      <c r="BH455" s="51" t="n">
        <f aca="false">IF(AND(OR(CF455="L1",CF455="L23",CF455="LIFT"),BC455&gt;0),SUMIFS($BC$7:$BC$1843,$CF$7:$CF$1843,CF455,$BG$7:$BG$1843,"&gt;"&amp;BG455)+SUMIFS($BC$7:$BC$1843,$CF$7:$CF$1843,CF455,$BG$7:$BG$1843,BG455,$BW$7:$BW$1843,"&lt;="&amp;BW455),"")</f>
        <v>2220.53296703297</v>
      </c>
      <c r="BI455" s="58" t="n">
        <f aca="false">IF(BH455="",0,MAX(0,MIN(1,(IF(CF455="L1",Parameter!$H$5,IF(CF455="L23",Parameter!$H$6+Parameter!$H$7,Parameter!$H$5+Parameter!$H$6+Parameter!$H$7))-(BH455-BC455))/BC455)))</f>
        <v>1</v>
      </c>
      <c r="BJ455" s="48" t="str">
        <f aca="false">IF(AI455&lt;=0,"",IF(CF455="Aussen","Aussenlager",IF(CF455="-","Nicht im Lift",IF(AO455&gt;=1,"Lift",IF(AO455&lt;=0,"Aussenlager","teilweise")))))</f>
        <v>Lift</v>
      </c>
      <c r="BK455" s="48" t="str">
        <f aca="false">IF(AS455&lt;=0,"",IF(CF455="Aussen","Aussenlager",IF(CF455="-","Nicht im Lift",IF(AY455&gt;=1,"Lift",IF(AY455&lt;=0,"Aussenlager","teilweise")))))</f>
        <v>Lift</v>
      </c>
      <c r="BL455" s="48" t="str">
        <f aca="false">IF(BC455&lt;=0,"",IF(CF455="Aussen","Aussenlager",IF(CF455="-","Nicht im Lift",IF(BI455&gt;=1,"Lift",IF(BI455&lt;=0,"Aussenlager","teilweise")))))</f>
        <v>Lift</v>
      </c>
      <c r="BM455" s="48" t="str">
        <f aca="false">IF(A455="","",IF(BV455=1,"Neu; ","")&amp;IF(AND(BV455=0,BQ455&lt;0),"negativer Bestand (Export "&amp;BQ455&amp;"); ","")&amp;IF(J455&lt;=0,"Kein Verbrauch; ","")&amp;IF(CQ455&gt;0,"Lift "&amp;W455&amp;" lt. Liftbericht (Fach "&amp;X455&amp;" Stk); ",IF(CA455=1,"Gebinde geschätzt ("&amp;T455&amp;"); ",IF(BZ455=1,"Lose – Tablare geschätzt; ","")))&amp;IF(H455&gt;AV455,"Überbestand "&amp;ROUND(H455-AV455,0)&amp;" Stk / CHF "&amp;ROUND((H455-AV455)*G455,0)&amp;"; ","")&amp;IF(AND(CH455=1,CI455&lt;CJ455),"MAX &lt; MB+LG; ","")&amp;IF(AND(CP455&gt;0,CO455*10&gt;CP455),"zu hoch für Tablar; ","")&amp;IF(AND(BV455=0,OR(CH455=1,AA455&lt;&gt;"",U455&lt;&gt;"",V455&lt;&gt;"",AB455&lt;&gt;"")),"manuell übersteuert; ","")&amp;IF(AND(BZ455=0,R455=0),"Gebinde unbekannt / Stellmass fehlt; ","")&amp;IF(AND(BZ455=0,N(V455)&lt;=0,N(Q455)&lt;=0),"Menge pro Gebinde fehlt (Ist = 1 Gebinde); ","")&amp;BU455)</f>
        <v>Überbestand 46 Stk / CHF 48; </v>
      </c>
      <c r="BN455" s="48"/>
      <c r="BO455" s="48"/>
      <c r="BP455" s="55"/>
      <c r="BQ455" s="50" t="n">
        <v>61</v>
      </c>
      <c r="BR455" s="50" t="n">
        <v>36</v>
      </c>
      <c r="BS455" s="49" t="n">
        <v>63.08</v>
      </c>
      <c r="BT455" s="50" t="n">
        <v>30</v>
      </c>
      <c r="BU455" s="48"/>
      <c r="BV455" s="53" t="n">
        <v>0</v>
      </c>
      <c r="BW455" s="53" t="n">
        <v>455</v>
      </c>
      <c r="BX455" s="48" t="str">
        <f aca="false">IF(U455&lt;&gt;"",UPPER(TRIM(U455)),IF(CA455=1,UPPER(VLOOKUP(T455,Parameter!$I$27:$K$29,2,0)),IF(P455="","LOSE",P455)))</f>
        <v>S32</v>
      </c>
      <c r="BY455" s="50" t="n">
        <f aca="false">IF(BX455="LOSE",1,IF(N(V455)&gt;0,V455,IF(CA455=1,MAX(1,N(VLOOKUP(T455,Parameter!$I$27:$K$29,3,0)),H455,N(N455)),IF(N(Q455)&gt;0,Q455,MAX(1,H455)))))</f>
        <v>79</v>
      </c>
      <c r="BZ455" s="53" t="n">
        <f aca="false">IF(BX455="LOSE",1,0)</f>
        <v>0</v>
      </c>
      <c r="CA455" s="53" t="n">
        <f aca="false">IF(AND(U455="",OR(P455="",P455="LOSE"),T455&lt;&gt;"",N(S455)&lt;=0,ISNUMBER(MATCH(T455,Parameter!$I$27:$I$29,0))),1,0)</f>
        <v>0</v>
      </c>
      <c r="CB455" s="53" t="n">
        <f aca="false">IF(CQ455&gt;0,INDEX(Parameter!$H$5:$H$7,W455)/INDEX(Parameter!$E$5:$E$7,W455),IF(AND(BZ455=0,N(IFERROR(VLOOKUP(BX455,'Gebinde-Kategorie'!$A$5:$N$45,14,0),0))&gt;0),VLOOKUP(BX455,'Gebinde-Kategorie'!$A$5:$N$45,14,0)*10+Parameter!$M$23,Parameter!$M$24))</f>
        <v>155</v>
      </c>
      <c r="CC455" s="48" t="str">
        <f aca="false">IF(AND(Parameter!$B$19="Ja",E455&lt;&gt;"",ISNUMBER(MATCH(E455,Parameter!$I$35:$I$52,0))),VLOOKUP(E455,Parameter!$I$35:$J$52,2,0),IFERROR(VLOOKUP(D455,Parameter!$A$35:$C$64,2,0),"Nein"))</f>
        <v>2+3</v>
      </c>
      <c r="CD455" s="52" t="n">
        <f aca="false">IF(BZ455=0,0,IF(N(S455)&gt;0,S455,IFERROR(VLOOKUP(D455,Parameter!$A$35:$C$64,3,0)+0,0)))</f>
        <v>0</v>
      </c>
      <c r="CE455" s="48" t="n">
        <f aca="false">IF(AA455&lt;&gt;"",AA455,Z455)</f>
        <v>3</v>
      </c>
      <c r="CF455" s="48" t="str">
        <f aca="false">IF(OR(CE455=1,CE455=2,CE455=3),IF(Parameter!$E$27="Ja","LIFT",IF(CE455=1,"L1","L23")),IF(CE455="Aussen","Aussen","-"))</f>
        <v>LIFT</v>
      </c>
      <c r="CG455" s="59" t="n">
        <f aca="false">IF(N(AB455)&gt;0,AB455,0)</f>
        <v>0</v>
      </c>
      <c r="CH455" s="53" t="n">
        <f aca="false">IF(ISNUMBER(AE455),1,0)</f>
        <v>0</v>
      </c>
      <c r="CI455" s="50" t="n">
        <f aca="false">N(AE455)</f>
        <v>0</v>
      </c>
      <c r="CJ455" s="50" t="n">
        <f aca="false">N(M455)+N(N455)</f>
        <v>51</v>
      </c>
      <c r="CK455" s="50" t="n">
        <f aca="false">N(M455)</f>
        <v>1</v>
      </c>
      <c r="CL455" s="50" t="n">
        <f aca="false">N(N455)</f>
        <v>50</v>
      </c>
      <c r="CM455" s="50" t="n">
        <f aca="false">ROUNDUP(H455/BY455,0)</f>
        <v>2</v>
      </c>
      <c r="CN455" s="50" t="n">
        <f aca="false">ROUNDUP(CI455/BY455,0)</f>
        <v>0</v>
      </c>
      <c r="CO455" s="53" t="n">
        <f aca="false">IF(BZ455=1,0,IFERROR(VLOOKUP(BX455,'Gebinde-Kategorie'!$A$5:$N$45,5,0)+0,0))</f>
        <v>8</v>
      </c>
      <c r="CP455" s="53" t="n">
        <f aca="false">IFERROR(IF(OR(CE455=1,CE455=2,CE455=3),N(INDEX(Parameter!$I$5:$I$7,CE455)),0),0)</f>
        <v>0</v>
      </c>
      <c r="CQ455" s="52" t="n">
        <f aca="false">IF(AND(Parameter!$B$21="Ja",ISNUMBER(W455),N(X455)&gt;0),IFERROR(N(INDEX(Parameter!$L$5:$L$7,W455))*INDEX(Parameter!$E$5:$E$7,W455)*X455/SUMIFS($X$7:$X$1843,$W$7:$W$1843,W455),0),0)</f>
        <v>0</v>
      </c>
    </row>
    <row r="456" customFormat="false" ht="15" hidden="false" customHeight="false" outlineLevel="0" collapsed="false">
      <c r="A456" s="48" t="s">
        <v>1037</v>
      </c>
      <c r="B456" s="48" t="s">
        <v>1038</v>
      </c>
      <c r="C456" s="48" t="s">
        <v>173</v>
      </c>
      <c r="D456" s="48" t="s">
        <v>193</v>
      </c>
      <c r="E456" s="48" t="s">
        <v>194</v>
      </c>
      <c r="F456" s="48" t="s">
        <v>227</v>
      </c>
      <c r="G456" s="49" t="n">
        <v>53.1</v>
      </c>
      <c r="H456" s="50" t="n">
        <f aca="false">MAX(0,IF(AND(Parameter!$B$21="Ja",ISNUMBER(Y456)),Y456,IF(Parameter!$B$20="Jahresanfang 2025 + Export",BR456+BQ456,BQ456)))</f>
        <v>20</v>
      </c>
      <c r="I456" s="50" t="n">
        <f aca="false">H456*G456</f>
        <v>1062</v>
      </c>
      <c r="J456" s="50" t="n">
        <f aca="false">BT456*Parameter!$B$18</f>
        <v>1</v>
      </c>
      <c r="K456" s="51" t="n">
        <v>20</v>
      </c>
      <c r="L456" s="52" t="n">
        <v>0.05</v>
      </c>
      <c r="M456" s="50" t="n">
        <v>0</v>
      </c>
      <c r="N456" s="50" t="n">
        <v>1</v>
      </c>
      <c r="O456" s="53" t="n">
        <v>21</v>
      </c>
      <c r="P456" s="48" t="s">
        <v>410</v>
      </c>
      <c r="Q456" s="50" t="n">
        <v>100</v>
      </c>
      <c r="R456" s="53" t="n">
        <f aca="false">IF(BZ456=1,0,IFERROR(VLOOKUP(BX456,'Gebinde-Kategorie'!$A$5:$N$45,13,0)+0,0))</f>
        <v>280</v>
      </c>
      <c r="S456" s="54"/>
      <c r="T456" s="55"/>
      <c r="U456" s="55"/>
      <c r="V456" s="55"/>
      <c r="W456" s="48"/>
      <c r="X456" s="50"/>
      <c r="Y456" s="50"/>
      <c r="Z456" s="48" t="n">
        <f aca="false">IF(A456="","",IF(AND(Parameter!$B$21="Ja",ISNUMBER(W456)),W456,IF(CC456="2+3",IF(ISNUMBER(SEARCH("grosser Artikel",BU456)),2,IFERROR(VLOOKUP(BX456,Parameter!$F$35:$G$64,2,0),2)),IF(OR(CC456="Nein",CC456=""),"-",CC456))))</f>
        <v>3</v>
      </c>
      <c r="AA456" s="55"/>
      <c r="AB456" s="56"/>
      <c r="AC456" s="50" t="n">
        <f aca="false">AV456</f>
        <v>1</v>
      </c>
      <c r="AD456" s="50" t="n">
        <f aca="false">MAX(AV456,H456)</f>
        <v>20</v>
      </c>
      <c r="AE456" s="57"/>
      <c r="AF456" s="50" t="n">
        <f aca="false">IF(LEFT(Cockpit!$C$5,1)="A",H456,IF(Parameter!$E$30="MAX-Bestand",IF(CH456=1,CI456,IF(LEFT(Cockpit!$C$5,1)="B",AL456,MAX(AL456,H456))),ROUNDUP(AJ456,0)))</f>
        <v>20</v>
      </c>
      <c r="AG456" s="50" t="n">
        <f aca="false">IF(BZ456=1,0,ROUNDUP(AF456/BY456,0))</f>
        <v>1</v>
      </c>
      <c r="AH456" s="52" t="n">
        <f aca="false">IF(CQ456&gt;0,CQ456*MAX(1,AF456/X456),IF(BZ456=1,IF(AF456&lt;=0,0,CD456*MAX(1,IF(H456&gt;0,AF456/H456,1))),IF(R456&gt;0,AG456/R456,0))/MAX(0.1,N(Parameter!$M$21)))</f>
        <v>0.00357142857142857</v>
      </c>
      <c r="AI456" s="50" t="n">
        <f aca="false">AH456*CB456</f>
        <v>0.553571428571429</v>
      </c>
      <c r="AJ456" s="51" t="n">
        <f aca="false">IF(LEFT(Cockpit!$C$5,1)="A",H456,IF(CH456=1,(CK456+CI456)/2,IF(LEFT(Cockpit!$C$5,1)="B",(CK456+AL456)/2,MAX((CK456+AL456)/2,H456))))</f>
        <v>20</v>
      </c>
      <c r="AK456" s="50" t="n">
        <f aca="false">AJ456*G456</f>
        <v>1062</v>
      </c>
      <c r="AL456" s="50" t="n">
        <f aca="false">ROUNDUP(CK456+MAX(CL456,2*(J456/IF(CG456&gt;0,CG456,MAX(0.1,N(Cockpit!$C$6)))-CK456)),0)</f>
        <v>1</v>
      </c>
      <c r="AM456" s="51" t="n">
        <f aca="false">IF(AI456&gt;0,J456/AI456,-1)</f>
        <v>1.80645161290323</v>
      </c>
      <c r="AN456" s="51" t="n">
        <f aca="false">IF(AND(OR(CF456="L1",CF456="L23",CF456="LIFT"),AI456&gt;0),SUMIFS($AI$7:$AI$1843,$CF$7:$CF$1843,CF456,$AM$7:$AM$1843,"&gt;"&amp;AM456)+SUMIFS($AI$7:$AI$1843,$CF$7:$CF$1843,CF456,$AM$7:$AM$1843,AM456,$BW$7:$BW$1843,"&lt;="&amp;BW456),"")</f>
        <v>5962.57600732601</v>
      </c>
      <c r="AO456" s="58" t="n">
        <f aca="false">IF(AN456="",0,MAX(0,MIN(1,(IF(CF456="L1",Parameter!$H$5,IF(CF456="L23",Parameter!$H$6+Parameter!$H$7,Parameter!$H$5+Parameter!$H$6+Parameter!$H$7))-(AN456-AI456))/AI456)))</f>
        <v>1</v>
      </c>
      <c r="AP456" s="50" t="n">
        <f aca="false">IF(LEFT(Cockpit!$I$5,1)="A",H456,IF(Parameter!$E$30="MAX-Bestand",IF(CH456=1,CI456,IF(LEFT(Cockpit!$I$5,1)="B",AV456,MAX(AV456,H456))),ROUNDUP(AT456,0)))</f>
        <v>20</v>
      </c>
      <c r="AQ456" s="50" t="n">
        <f aca="false">IF(BZ456=1,0,ROUNDUP(AP456/BY456,0))</f>
        <v>1</v>
      </c>
      <c r="AR456" s="52" t="n">
        <f aca="false">IF(CQ456&gt;0,CQ456*MAX(1,AP456/X456),IF(BZ456=1,IF(AP456&lt;=0,0,CD456*MAX(1,IF(H456&gt;0,AP456/H456,1))),IF(R456&gt;0,AQ456/R456,0))/MAX(0.1,N(Parameter!$M$21)))</f>
        <v>0.00357142857142857</v>
      </c>
      <c r="AS456" s="50" t="n">
        <f aca="false">AR456*CB456</f>
        <v>0.553571428571429</v>
      </c>
      <c r="AT456" s="51" t="n">
        <f aca="false">IF(LEFT(Cockpit!$I$5,1)="A",H456,IF(CH456=1,(CK456+CI456)/2,IF(LEFT(Cockpit!$I$5,1)="B",(CK456+AV456)/2,MAX((CK456+AV456)/2,H456))))</f>
        <v>20</v>
      </c>
      <c r="AU456" s="50" t="n">
        <f aca="false">AT456*G456</f>
        <v>1062</v>
      </c>
      <c r="AV456" s="50" t="n">
        <f aca="false">ROUNDUP(CK456+MAX(CL456,2*(J456/IF(CG456&gt;0,CG456,MAX(0.1,N(Cockpit!$I$6)))-CK456)),0)</f>
        <v>1</v>
      </c>
      <c r="AW456" s="51" t="n">
        <f aca="false">IF(AS456&gt;0,J456/AS456,-1)</f>
        <v>1.80645161290323</v>
      </c>
      <c r="AX456" s="51" t="n">
        <f aca="false">IF(AND(OR(CF456="L1",CF456="L23",CF456="LIFT"),AS456&gt;0),SUMIFS($AS$7:$AS$1843,$CF$7:$CF$1843,CF456,$AW$7:$AW$1843,"&gt;"&amp;AW456)+SUMIFS($AS$7:$AS$1843,$CF$7:$CF$1843,CF456,$AW$7:$AW$1843,AW456,$BW$7:$BW$1843,"&lt;="&amp;BW456),"")</f>
        <v>7400.0989010989</v>
      </c>
      <c r="AY456" s="58" t="n">
        <f aca="false">IF(AX456="",0,MAX(0,MIN(1,(IF(CF456="L1",Parameter!$H$5,IF(CF456="L23",Parameter!$H$6+Parameter!$H$7,Parameter!$H$5+Parameter!$H$6+Parameter!$H$7))-(AX456-AS456))/AS456)))</f>
        <v>1</v>
      </c>
      <c r="AZ456" s="50" t="n">
        <f aca="false">IF(LEFT(Cockpit!$O$5,1)="A",H456,IF(Parameter!$E$30="MAX-Bestand",IF(CH456=1,CI456,IF(LEFT(Cockpit!$O$5,1)="B",BF456,MAX(BF456,H456))),ROUNDUP(BD456,0)))</f>
        <v>1</v>
      </c>
      <c r="BA456" s="50" t="n">
        <f aca="false">IF(BZ456=1,0,ROUNDUP(AZ456/BY456,0))</f>
        <v>1</v>
      </c>
      <c r="BB456" s="52" t="n">
        <f aca="false">IF(CQ456&gt;0,CQ456*MAX(1,AZ456/X456),IF(BZ456=1,IF(AZ456&lt;=0,0,CD456*MAX(1,IF(H456&gt;0,AZ456/H456,1))),IF(R456&gt;0,BA456/R456,0))/MAX(0.1,N(Parameter!$M$21)))</f>
        <v>0.00357142857142857</v>
      </c>
      <c r="BC456" s="50" t="n">
        <f aca="false">BB456*CB456</f>
        <v>0.553571428571429</v>
      </c>
      <c r="BD456" s="51" t="n">
        <f aca="false">IF(LEFT(Cockpit!$O$5,1)="A",H456,IF(CH456=1,(CK456+CI456)/2,IF(LEFT(Cockpit!$O$5,1)="B",(CK456+BF456)/2,MAX((CK456+BF456)/2,H456))))</f>
        <v>0.5</v>
      </c>
      <c r="BE456" s="50" t="n">
        <f aca="false">BD456*G456</f>
        <v>26.55</v>
      </c>
      <c r="BF456" s="50" t="n">
        <f aca="false">ROUNDUP(CK456+MAX(CL456,2*(J456/IF(CG456&gt;0,CG456,MAX(0.1,N(Cockpit!$O$6)))-CK456)),0)</f>
        <v>1</v>
      </c>
      <c r="BG456" s="51" t="n">
        <f aca="false">IF(BC456&gt;0,J456/BC456,-1)</f>
        <v>1.80645161290323</v>
      </c>
      <c r="BH456" s="51" t="n">
        <f aca="false">IF(AND(OR(CF456="L1",CF456="L23",CF456="LIFT"),BC456&gt;0),SUMIFS($BC$7:$BC$1843,$CF$7:$CF$1843,CF456,$BG$7:$BG$1843,"&gt;"&amp;BG456)+SUMIFS($BC$7:$BC$1843,$CF$7:$CF$1843,CF456,$BG$7:$BG$1843,BG456,$BW$7:$BW$1843,"&lt;="&amp;BW456),"")</f>
        <v>6088.01968864469</v>
      </c>
      <c r="BI456" s="58" t="n">
        <f aca="false">IF(BH456="",0,MAX(0,MIN(1,(IF(CF456="L1",Parameter!$H$5,IF(CF456="L23",Parameter!$H$6+Parameter!$H$7,Parameter!$H$5+Parameter!$H$6+Parameter!$H$7))-(BH456-BC456))/BC456)))</f>
        <v>1</v>
      </c>
      <c r="BJ456" s="48" t="str">
        <f aca="false">IF(AI456&lt;=0,"",IF(CF456="Aussen","Aussenlager",IF(CF456="-","Nicht im Lift",IF(AO456&gt;=1,"Lift",IF(AO456&lt;=0,"Aussenlager","teilweise")))))</f>
        <v>Lift</v>
      </c>
      <c r="BK456" s="48" t="str">
        <f aca="false">IF(AS456&lt;=0,"",IF(CF456="Aussen","Aussenlager",IF(CF456="-","Nicht im Lift",IF(AY456&gt;=1,"Lift",IF(AY456&lt;=0,"Aussenlager","teilweise")))))</f>
        <v>Lift</v>
      </c>
      <c r="BL456" s="48" t="str">
        <f aca="false">IF(BC456&lt;=0,"",IF(CF456="Aussen","Aussenlager",IF(CF456="-","Nicht im Lift",IF(BI456&gt;=1,"Lift",IF(BI456&lt;=0,"Aussenlager","teilweise")))))</f>
        <v>Lift</v>
      </c>
      <c r="BM456" s="48" t="str">
        <f aca="false">IF(A456="","",IF(BV456=1,"Neu; ","")&amp;IF(AND(BV456=0,BQ456&lt;0),"negativer Bestand (Export "&amp;BQ456&amp;"); ","")&amp;IF(J456&lt;=0,"Kein Verbrauch; ","")&amp;IF(CQ456&gt;0,"Lift "&amp;W456&amp;" lt. Liftbericht (Fach "&amp;X456&amp;" Stk); ",IF(CA456=1,"Gebinde geschätzt ("&amp;T456&amp;"); ",IF(BZ456=1,"Lose – Tablare geschätzt; ","")))&amp;IF(H456&gt;AV456,"Überbestand "&amp;ROUND(H456-AV456,0)&amp;" Stk / CHF "&amp;ROUND((H456-AV456)*G456,0)&amp;"; ","")&amp;IF(AND(CH456=1,CI456&lt;CJ456),"MAX &lt; MB+LG; ","")&amp;IF(AND(CP456&gt;0,CO456*10&gt;CP456),"zu hoch für Tablar; ","")&amp;IF(AND(BV456=0,OR(CH456=1,AA456&lt;&gt;"",U456&lt;&gt;"",V456&lt;&gt;"",AB456&lt;&gt;"")),"manuell übersteuert; ","")&amp;IF(AND(BZ456=0,R456=0),"Gebinde unbekannt / Stellmass fehlt; ","")&amp;IF(AND(BZ456=0,N(V456)&lt;=0,N(Q456)&lt;=0),"Menge pro Gebinde fehlt (Ist = 1 Gebinde); ","")&amp;BU456)</f>
        <v>Überbestand 19 Stk / CHF 1009; Verb.Lager</v>
      </c>
      <c r="BN456" s="48"/>
      <c r="BO456" s="48"/>
      <c r="BP456" s="55"/>
      <c r="BQ456" s="50" t="n">
        <v>0</v>
      </c>
      <c r="BR456" s="50" t="n">
        <v>20</v>
      </c>
      <c r="BS456" s="49" t="n">
        <v>61</v>
      </c>
      <c r="BT456" s="50" t="n">
        <v>1</v>
      </c>
      <c r="BU456" s="48" t="s">
        <v>1039</v>
      </c>
      <c r="BV456" s="53" t="n">
        <v>0</v>
      </c>
      <c r="BW456" s="53" t="n">
        <v>456</v>
      </c>
      <c r="BX456" s="48" t="str">
        <f aca="false">IF(U456&lt;&gt;"",UPPER(TRIM(U456)),IF(CA456=1,UPPER(VLOOKUP(T456,Parameter!$I$27:$K$29,2,0)),IF(P456="","LOSE",P456)))</f>
        <v>S21</v>
      </c>
      <c r="BY456" s="50" t="n">
        <f aca="false">IF(BX456="LOSE",1,IF(N(V456)&gt;0,V456,IF(CA456=1,MAX(1,N(VLOOKUP(T456,Parameter!$I$27:$K$29,3,0)),H456,N(N456)),IF(N(Q456)&gt;0,Q456,MAX(1,H456)))))</f>
        <v>100</v>
      </c>
      <c r="BZ456" s="53" t="n">
        <f aca="false">IF(BX456="LOSE",1,0)</f>
        <v>0</v>
      </c>
      <c r="CA456" s="53" t="n">
        <f aca="false">IF(AND(U456="",OR(P456="",P456="LOSE"),T456&lt;&gt;"",N(S456)&lt;=0,ISNUMBER(MATCH(T456,Parameter!$I$27:$I$29,0))),1,0)</f>
        <v>0</v>
      </c>
      <c r="CB456" s="53" t="n">
        <f aca="false">IF(CQ456&gt;0,INDEX(Parameter!$H$5:$H$7,W456)/INDEX(Parameter!$E$5:$E$7,W456),IF(AND(BZ456=0,N(IFERROR(VLOOKUP(BX456,'Gebinde-Kategorie'!$A$5:$N$45,14,0),0))&gt;0),VLOOKUP(BX456,'Gebinde-Kategorie'!$A$5:$N$45,14,0)*10+Parameter!$M$23,Parameter!$M$24))</f>
        <v>155</v>
      </c>
      <c r="CC456" s="48" t="str">
        <f aca="false">IF(AND(Parameter!$B$19="Ja",E456&lt;&gt;"",ISNUMBER(MATCH(E456,Parameter!$I$35:$I$52,0))),VLOOKUP(E456,Parameter!$I$35:$J$52,2,0),IFERROR(VLOOKUP(D456,Parameter!$A$35:$C$64,2,0),"Nein"))</f>
        <v>2+3</v>
      </c>
      <c r="CD456" s="52" t="n">
        <f aca="false">IF(BZ456=0,0,IF(N(S456)&gt;0,S456,IFERROR(VLOOKUP(D456,Parameter!$A$35:$C$64,3,0)+0,0)))</f>
        <v>0</v>
      </c>
      <c r="CE456" s="48" t="n">
        <f aca="false">IF(AA456&lt;&gt;"",AA456,Z456)</f>
        <v>3</v>
      </c>
      <c r="CF456" s="48" t="str">
        <f aca="false">IF(OR(CE456=1,CE456=2,CE456=3),IF(Parameter!$E$27="Ja","LIFT",IF(CE456=1,"L1","L23")),IF(CE456="Aussen","Aussen","-"))</f>
        <v>LIFT</v>
      </c>
      <c r="CG456" s="59" t="n">
        <f aca="false">IF(N(AB456)&gt;0,AB456,0)</f>
        <v>0</v>
      </c>
      <c r="CH456" s="53" t="n">
        <f aca="false">IF(ISNUMBER(AE456),1,0)</f>
        <v>0</v>
      </c>
      <c r="CI456" s="50" t="n">
        <f aca="false">N(AE456)</f>
        <v>0</v>
      </c>
      <c r="CJ456" s="50" t="n">
        <f aca="false">N(M456)+N(N456)</f>
        <v>1</v>
      </c>
      <c r="CK456" s="50" t="n">
        <f aca="false">N(M456)</f>
        <v>0</v>
      </c>
      <c r="CL456" s="50" t="n">
        <f aca="false">N(N456)</f>
        <v>1</v>
      </c>
      <c r="CM456" s="50" t="n">
        <f aca="false">ROUNDUP(H456/BY456,0)</f>
        <v>1</v>
      </c>
      <c r="CN456" s="50" t="n">
        <f aca="false">ROUNDUP(CI456/BY456,0)</f>
        <v>0</v>
      </c>
      <c r="CO456" s="53" t="n">
        <f aca="false">IF(BZ456=1,0,IFERROR(VLOOKUP(BX456,'Gebinde-Kategorie'!$A$5:$N$45,5,0)+0,0))</f>
        <v>8</v>
      </c>
      <c r="CP456" s="53" t="n">
        <f aca="false">IFERROR(IF(OR(CE456=1,CE456=2,CE456=3),N(INDEX(Parameter!$I$5:$I$7,CE456)),0),0)</f>
        <v>0</v>
      </c>
      <c r="CQ456" s="52" t="n">
        <f aca="false">IF(AND(Parameter!$B$21="Ja",ISNUMBER(W456),N(X456)&gt;0),IFERROR(N(INDEX(Parameter!$L$5:$L$7,W456))*INDEX(Parameter!$E$5:$E$7,W456)*X456/SUMIFS($X$7:$X$1843,$W$7:$W$1843,W456),0),0)</f>
        <v>0</v>
      </c>
    </row>
    <row r="457" customFormat="false" ht="15" hidden="false" customHeight="false" outlineLevel="0" collapsed="false">
      <c r="A457" s="48" t="s">
        <v>1040</v>
      </c>
      <c r="B457" s="48" t="s">
        <v>1041</v>
      </c>
      <c r="C457" s="48" t="s">
        <v>173</v>
      </c>
      <c r="D457" s="48" t="s">
        <v>193</v>
      </c>
      <c r="E457" s="48" t="s">
        <v>194</v>
      </c>
      <c r="F457" s="48" t="s">
        <v>227</v>
      </c>
      <c r="G457" s="49" t="n">
        <v>24.9</v>
      </c>
      <c r="H457" s="50" t="n">
        <f aca="false">MAX(0,IF(AND(Parameter!$B$21="Ja",ISNUMBER(Y457)),Y457,IF(Parameter!$B$20="Jahresanfang 2025 + Export",BR457+BQ457,BQ457)))</f>
        <v>5</v>
      </c>
      <c r="I457" s="50" t="n">
        <f aca="false">H457*G457</f>
        <v>124.5</v>
      </c>
      <c r="J457" s="50" t="n">
        <f aca="false">BT457*Parameter!$B$18</f>
        <v>1</v>
      </c>
      <c r="K457" s="51" t="n">
        <v>3</v>
      </c>
      <c r="L457" s="52" t="n">
        <v>0.333333333333333</v>
      </c>
      <c r="M457" s="50" t="n">
        <v>2</v>
      </c>
      <c r="N457" s="50" t="n">
        <v>1</v>
      </c>
      <c r="O457" s="53" t="n">
        <v>28</v>
      </c>
      <c r="P457" s="48" t="s">
        <v>311</v>
      </c>
      <c r="Q457" s="50" t="n">
        <v>4</v>
      </c>
      <c r="R457" s="53" t="n">
        <f aca="false">IF(BZ457=1,0,IFERROR(VLOOKUP(BX457,'Gebinde-Kategorie'!$A$5:$N$45,13,0)+0,0))</f>
        <v>26</v>
      </c>
      <c r="S457" s="54"/>
      <c r="T457" s="55"/>
      <c r="U457" s="55"/>
      <c r="V457" s="55"/>
      <c r="W457" s="48"/>
      <c r="X457" s="50"/>
      <c r="Y457" s="50"/>
      <c r="Z457" s="48" t="n">
        <f aca="false">IF(A457="","",IF(AND(Parameter!$B$21="Ja",ISNUMBER(W457)),W457,IF(CC457="2+3",IF(ISNUMBER(SEARCH("grosser Artikel",BU457)),2,IFERROR(VLOOKUP(BX457,Parameter!$F$35:$G$64,2,0),2)),IF(OR(CC457="Nein",CC457=""),"-",CC457))))</f>
        <v>3</v>
      </c>
      <c r="AA457" s="55"/>
      <c r="AB457" s="56"/>
      <c r="AC457" s="50" t="n">
        <f aca="false">AV457</f>
        <v>3</v>
      </c>
      <c r="AD457" s="50" t="n">
        <f aca="false">MAX(AV457,H457)</f>
        <v>5</v>
      </c>
      <c r="AE457" s="57"/>
      <c r="AF457" s="50" t="n">
        <f aca="false">IF(LEFT(Cockpit!$C$5,1)="A",H457,IF(Parameter!$E$30="MAX-Bestand",IF(CH457=1,CI457,IF(LEFT(Cockpit!$C$5,1)="B",AL457,MAX(AL457,H457))),ROUNDUP(AJ457,0)))</f>
        <v>5</v>
      </c>
      <c r="AG457" s="50" t="n">
        <f aca="false">IF(BZ457=1,0,ROUNDUP(AF457/BY457,0))</f>
        <v>2</v>
      </c>
      <c r="AH457" s="52" t="n">
        <f aca="false">IF(CQ457&gt;0,CQ457*MAX(1,AF457/X457),IF(BZ457=1,IF(AF457&lt;=0,0,CD457*MAX(1,IF(H457&gt;0,AF457/H457,1))),IF(R457&gt;0,AG457/R457,0))/MAX(0.1,N(Parameter!$M$21)))</f>
        <v>0.0769230769230769</v>
      </c>
      <c r="AI457" s="50" t="n">
        <f aca="false">AH457*CB457</f>
        <v>11.9230769230769</v>
      </c>
      <c r="AJ457" s="51" t="n">
        <f aca="false">IF(LEFT(Cockpit!$C$5,1)="A",H457,IF(CH457=1,(CK457+CI457)/2,IF(LEFT(Cockpit!$C$5,1)="B",(CK457+AL457)/2,MAX((CK457+AL457)/2,H457))))</f>
        <v>5</v>
      </c>
      <c r="AK457" s="50" t="n">
        <f aca="false">AJ457*G457</f>
        <v>124.5</v>
      </c>
      <c r="AL457" s="50" t="n">
        <f aca="false">ROUNDUP(CK457+MAX(CL457,2*(J457/IF(CG457&gt;0,CG457,MAX(0.1,N(Cockpit!$C$6)))-CK457)),0)</f>
        <v>3</v>
      </c>
      <c r="AM457" s="51" t="n">
        <f aca="false">IF(AI457&gt;0,J457/AI457,-1)</f>
        <v>0.0838709677419355</v>
      </c>
      <c r="AN457" s="51" t="n">
        <f aca="false">IF(AND(OR(CF457="L1",CF457="L23",CF457="LIFT"),AI457&gt;0),SUMIFS($AI$7:$AI$1843,$CF$7:$CF$1843,CF457,$AM$7:$AM$1843,"&gt;"&amp;AM457)+SUMIFS($AI$7:$AI$1843,$CF$7:$CF$1843,CF457,$AM$7:$AM$1843,AM457,$BW$7:$BW$1843,"&lt;="&amp;BW457),"")</f>
        <v>16650.3702194698</v>
      </c>
      <c r="AO457" s="58" t="n">
        <f aca="false">IF(AN457="",0,MAX(0,MIN(1,(IF(CF457="L1",Parameter!$H$5,IF(CF457="L23",Parameter!$H$6+Parameter!$H$7,Parameter!$H$5+Parameter!$H$6+Parameter!$H$7))-(AN457-AI457))/AI457)))</f>
        <v>1</v>
      </c>
      <c r="AP457" s="50" t="n">
        <f aca="false">IF(LEFT(Cockpit!$I$5,1)="A",H457,IF(Parameter!$E$30="MAX-Bestand",IF(CH457=1,CI457,IF(LEFT(Cockpit!$I$5,1)="B",AV457,MAX(AV457,H457))),ROUNDUP(AT457,0)))</f>
        <v>5</v>
      </c>
      <c r="AQ457" s="50" t="n">
        <f aca="false">IF(BZ457=1,0,ROUNDUP(AP457/BY457,0))</f>
        <v>2</v>
      </c>
      <c r="AR457" s="52" t="n">
        <f aca="false">IF(CQ457&gt;0,CQ457*MAX(1,AP457/X457),IF(BZ457=1,IF(AP457&lt;=0,0,CD457*MAX(1,IF(H457&gt;0,AP457/H457,1))),IF(R457&gt;0,AQ457/R457,0))/MAX(0.1,N(Parameter!$M$21)))</f>
        <v>0.0769230769230769</v>
      </c>
      <c r="AS457" s="50" t="n">
        <f aca="false">AR457*CB457</f>
        <v>11.9230769230769</v>
      </c>
      <c r="AT457" s="51" t="n">
        <f aca="false">IF(LEFT(Cockpit!$I$5,1)="A",H457,IF(CH457=1,(CK457+CI457)/2,IF(LEFT(Cockpit!$I$5,1)="B",(CK457+AV457)/2,MAX((CK457+AV457)/2,H457))))</f>
        <v>5</v>
      </c>
      <c r="AU457" s="50" t="n">
        <f aca="false">AT457*G457</f>
        <v>124.5</v>
      </c>
      <c r="AV457" s="50" t="n">
        <f aca="false">ROUNDUP(CK457+MAX(CL457,2*(J457/IF(CG457&gt;0,CG457,MAX(0.1,N(Cockpit!$I$6)))-CK457)),0)</f>
        <v>3</v>
      </c>
      <c r="AW457" s="51" t="n">
        <f aca="false">IF(AS457&gt;0,J457/AS457,-1)</f>
        <v>0.0838709677419355</v>
      </c>
      <c r="AX457" s="51" t="n">
        <f aca="false">IF(AND(OR(CF457="L1",CF457="L23",CF457="LIFT"),AS457&gt;0),SUMIFS($AS$7:$AS$1843,$CF$7:$CF$1843,CF457,$AW$7:$AW$1843,"&gt;"&amp;AW457)+SUMIFS($AS$7:$AS$1843,$CF$7:$CF$1843,CF457,$AW$7:$AW$1843,AW457,$BW$7:$BW$1843,"&lt;="&amp;BW457),"")</f>
        <v>21673.5188608473</v>
      </c>
      <c r="AY457" s="58" t="n">
        <f aca="false">IF(AX457="",0,MAX(0,MIN(1,(IF(CF457="L1",Parameter!$H$5,IF(CF457="L23",Parameter!$H$6+Parameter!$H$7,Parameter!$H$5+Parameter!$H$6+Parameter!$H$7))-(AX457-AS457))/AS457)))</f>
        <v>1</v>
      </c>
      <c r="AZ457" s="50" t="n">
        <f aca="false">IF(LEFT(Cockpit!$O$5,1)="A",H457,IF(Parameter!$E$30="MAX-Bestand",IF(CH457=1,CI457,IF(LEFT(Cockpit!$O$5,1)="B",BF457,MAX(BF457,H457))),ROUNDUP(BD457,0)))</f>
        <v>3</v>
      </c>
      <c r="BA457" s="50" t="n">
        <f aca="false">IF(BZ457=1,0,ROUNDUP(AZ457/BY457,0))</f>
        <v>1</v>
      </c>
      <c r="BB457" s="52" t="n">
        <f aca="false">IF(CQ457&gt;0,CQ457*MAX(1,AZ457/X457),IF(BZ457=1,IF(AZ457&lt;=0,0,CD457*MAX(1,IF(H457&gt;0,AZ457/H457,1))),IF(R457&gt;0,BA457/R457,0))/MAX(0.1,N(Parameter!$M$21)))</f>
        <v>0.0384615384615385</v>
      </c>
      <c r="BC457" s="50" t="n">
        <f aca="false">BB457*CB457</f>
        <v>5.96153846153846</v>
      </c>
      <c r="BD457" s="51" t="n">
        <f aca="false">IF(LEFT(Cockpit!$O$5,1)="A",H457,IF(CH457=1,(CK457+CI457)/2,IF(LEFT(Cockpit!$O$5,1)="B",(CK457+BF457)/2,MAX((CK457+BF457)/2,H457))))</f>
        <v>2.5</v>
      </c>
      <c r="BE457" s="50" t="n">
        <f aca="false">BD457*G457</f>
        <v>62.25</v>
      </c>
      <c r="BF457" s="50" t="n">
        <f aca="false">ROUNDUP(CK457+MAX(CL457,2*(J457/IF(CG457&gt;0,CG457,MAX(0.1,N(Cockpit!$O$6)))-CK457)),0)</f>
        <v>3</v>
      </c>
      <c r="BG457" s="51" t="n">
        <f aca="false">IF(BC457&gt;0,J457/BC457,-1)</f>
        <v>0.167741935483871</v>
      </c>
      <c r="BH457" s="51" t="n">
        <f aca="false">IF(AND(OR(CF457="L1",CF457="L23",CF457="LIFT"),BC457&gt;0),SUMIFS($BC$7:$BC$1843,$CF$7:$CF$1843,CF457,$BG$7:$BG$1843,"&gt;"&amp;BG457)+SUMIFS($BC$7:$BC$1843,$CF$7:$CF$1843,CF457,$BG$7:$BG$1843,BG457,$BW$7:$BW$1843,"&lt;="&amp;BW457),"")</f>
        <v>13404.7526670599</v>
      </c>
      <c r="BI457" s="58" t="n">
        <f aca="false">IF(BH457="",0,MAX(0,MIN(1,(IF(CF457="L1",Parameter!$H$5,IF(CF457="L23",Parameter!$H$6+Parameter!$H$7,Parameter!$H$5+Parameter!$H$6+Parameter!$H$7))-(BH457-BC457))/BC457)))</f>
        <v>1</v>
      </c>
      <c r="BJ457" s="48" t="str">
        <f aca="false">IF(AI457&lt;=0,"",IF(CF457="Aussen","Aussenlager",IF(CF457="-","Nicht im Lift",IF(AO457&gt;=1,"Lift",IF(AO457&lt;=0,"Aussenlager","teilweise")))))</f>
        <v>Lift</v>
      </c>
      <c r="BK457" s="48" t="str">
        <f aca="false">IF(AS457&lt;=0,"",IF(CF457="Aussen","Aussenlager",IF(CF457="-","Nicht im Lift",IF(AY457&gt;=1,"Lift",IF(AY457&lt;=0,"Aussenlager","teilweise")))))</f>
        <v>Lift</v>
      </c>
      <c r="BL457" s="48" t="str">
        <f aca="false">IF(BC457&lt;=0,"",IF(CF457="Aussen","Aussenlager",IF(CF457="-","Nicht im Lift",IF(BI457&gt;=1,"Lift",IF(BI457&lt;=0,"Aussenlager","teilweise")))))</f>
        <v>Lift</v>
      </c>
      <c r="BM457" s="48" t="str">
        <f aca="false">IF(A457="","",IF(BV457=1,"Neu; ","")&amp;IF(AND(BV457=0,BQ457&lt;0),"negativer Bestand (Export "&amp;BQ457&amp;"); ","")&amp;IF(J457&lt;=0,"Kein Verbrauch; ","")&amp;IF(CQ457&gt;0,"Lift "&amp;W457&amp;" lt. Liftbericht (Fach "&amp;X457&amp;" Stk); ",IF(CA457=1,"Gebinde geschätzt ("&amp;T457&amp;"); ",IF(BZ457=1,"Lose – Tablare geschätzt; ","")))&amp;IF(H457&gt;AV457,"Überbestand "&amp;ROUND(H457-AV457,0)&amp;" Stk / CHF "&amp;ROUND((H457-AV457)*G457,0)&amp;"; ","")&amp;IF(AND(CH457=1,CI457&lt;CJ457),"MAX &lt; MB+LG; ","")&amp;IF(AND(CP457&gt;0,CO457*10&gt;CP457),"zu hoch für Tablar; ","")&amp;IF(AND(BV457=0,OR(CH457=1,AA457&lt;&gt;"",U457&lt;&gt;"",V457&lt;&gt;"",AB457&lt;&gt;"")),"manuell übersteuert; ","")&amp;IF(AND(BZ457=0,R457=0),"Gebinde unbekannt / Stellmass fehlt; ","")&amp;IF(AND(BZ457=0,N(V457)&lt;=0,N(Q457)&lt;=0),"Menge pro Gebinde fehlt (Ist = 1 Gebinde); ","")&amp;BU457)</f>
        <v>Überbestand 2 Stk / CHF 50; Neu</v>
      </c>
      <c r="BN457" s="48"/>
      <c r="BO457" s="48"/>
      <c r="BP457" s="55"/>
      <c r="BQ457" s="50" t="n">
        <v>2</v>
      </c>
      <c r="BR457" s="50" t="n">
        <v>3</v>
      </c>
      <c r="BS457" s="49" t="n">
        <v>60.29</v>
      </c>
      <c r="BT457" s="50" t="n">
        <v>1</v>
      </c>
      <c r="BU457" s="48" t="s">
        <v>635</v>
      </c>
      <c r="BV457" s="53" t="n">
        <v>0</v>
      </c>
      <c r="BW457" s="53" t="n">
        <v>457</v>
      </c>
      <c r="BX457" s="48" t="str">
        <f aca="false">IF(U457&lt;&gt;"",UPPER(TRIM(U457)),IF(CA457=1,UPPER(VLOOKUP(T457,Parameter!$I$27:$K$29,2,0)),IF(P457="","LOSE",P457)))</f>
        <v>S51</v>
      </c>
      <c r="BY457" s="50" t="n">
        <f aca="false">IF(BX457="LOSE",1,IF(N(V457)&gt;0,V457,IF(CA457=1,MAX(1,N(VLOOKUP(T457,Parameter!$I$27:$K$29,3,0)),H457,N(N457)),IF(N(Q457)&gt;0,Q457,MAX(1,H457)))))</f>
        <v>4</v>
      </c>
      <c r="BZ457" s="53" t="n">
        <f aca="false">IF(BX457="LOSE",1,0)</f>
        <v>0</v>
      </c>
      <c r="CA457" s="53" t="n">
        <f aca="false">IF(AND(U457="",OR(P457="",P457="LOSE"),T457&lt;&gt;"",N(S457)&lt;=0,ISNUMBER(MATCH(T457,Parameter!$I$27:$I$29,0))),1,0)</f>
        <v>0</v>
      </c>
      <c r="CB457" s="53" t="n">
        <f aca="false">IF(CQ457&gt;0,INDEX(Parameter!$H$5:$H$7,W457)/INDEX(Parameter!$E$5:$E$7,W457),IF(AND(BZ457=0,N(IFERROR(VLOOKUP(BX457,'Gebinde-Kategorie'!$A$5:$N$45,14,0),0))&gt;0),VLOOKUP(BX457,'Gebinde-Kategorie'!$A$5:$N$45,14,0)*10+Parameter!$M$23,Parameter!$M$24))</f>
        <v>155</v>
      </c>
      <c r="CC457" s="48" t="str">
        <f aca="false">IF(AND(Parameter!$B$19="Ja",E457&lt;&gt;"",ISNUMBER(MATCH(E457,Parameter!$I$35:$I$52,0))),VLOOKUP(E457,Parameter!$I$35:$J$52,2,0),IFERROR(VLOOKUP(D457,Parameter!$A$35:$C$64,2,0),"Nein"))</f>
        <v>2+3</v>
      </c>
      <c r="CD457" s="52" t="n">
        <f aca="false">IF(BZ457=0,0,IF(N(S457)&gt;0,S457,IFERROR(VLOOKUP(D457,Parameter!$A$35:$C$64,3,0)+0,0)))</f>
        <v>0</v>
      </c>
      <c r="CE457" s="48" t="n">
        <f aca="false">IF(AA457&lt;&gt;"",AA457,Z457)</f>
        <v>3</v>
      </c>
      <c r="CF457" s="48" t="str">
        <f aca="false">IF(OR(CE457=1,CE457=2,CE457=3),IF(Parameter!$E$27="Ja","LIFT",IF(CE457=1,"L1","L23")),IF(CE457="Aussen","Aussen","-"))</f>
        <v>LIFT</v>
      </c>
      <c r="CG457" s="59" t="n">
        <f aca="false">IF(N(AB457)&gt;0,AB457,0)</f>
        <v>0</v>
      </c>
      <c r="CH457" s="53" t="n">
        <f aca="false">IF(ISNUMBER(AE457),1,0)</f>
        <v>0</v>
      </c>
      <c r="CI457" s="50" t="n">
        <f aca="false">N(AE457)</f>
        <v>0</v>
      </c>
      <c r="CJ457" s="50" t="n">
        <f aca="false">N(M457)+N(N457)</f>
        <v>3</v>
      </c>
      <c r="CK457" s="50" t="n">
        <f aca="false">N(M457)</f>
        <v>2</v>
      </c>
      <c r="CL457" s="50" t="n">
        <f aca="false">N(N457)</f>
        <v>1</v>
      </c>
      <c r="CM457" s="50" t="n">
        <f aca="false">ROUNDUP(H457/BY457,0)</f>
        <v>2</v>
      </c>
      <c r="CN457" s="50" t="n">
        <f aca="false">ROUNDUP(CI457/BY457,0)</f>
        <v>0</v>
      </c>
      <c r="CO457" s="53" t="n">
        <f aca="false">IF(BZ457=1,0,IFERROR(VLOOKUP(BX457,'Gebinde-Kategorie'!$A$5:$N$45,5,0)+0,0))</f>
        <v>11</v>
      </c>
      <c r="CP457" s="53" t="n">
        <f aca="false">IFERROR(IF(OR(CE457=1,CE457=2,CE457=3),N(INDEX(Parameter!$I$5:$I$7,CE457)),0),0)</f>
        <v>0</v>
      </c>
      <c r="CQ457" s="52" t="n">
        <f aca="false">IF(AND(Parameter!$B$21="Ja",ISNUMBER(W457),N(X457)&gt;0),IFERROR(N(INDEX(Parameter!$L$5:$L$7,W457))*INDEX(Parameter!$E$5:$E$7,W457)*X457/SUMIFS($X$7:$X$1843,$W$7:$W$1843,W457),0),0)</f>
        <v>0</v>
      </c>
    </row>
    <row r="458" customFormat="false" ht="15" hidden="false" customHeight="false" outlineLevel="0" collapsed="false">
      <c r="A458" s="48" t="s">
        <v>1042</v>
      </c>
      <c r="B458" s="48" t="s">
        <v>1043</v>
      </c>
      <c r="C458" s="48" t="s">
        <v>173</v>
      </c>
      <c r="D458" s="48" t="s">
        <v>193</v>
      </c>
      <c r="E458" s="48" t="s">
        <v>194</v>
      </c>
      <c r="F458" s="48" t="s">
        <v>227</v>
      </c>
      <c r="G458" s="49" t="n">
        <v>29.6</v>
      </c>
      <c r="H458" s="50" t="n">
        <f aca="false">MAX(0,IF(AND(Parameter!$B$21="Ja",ISNUMBER(Y458)),Y458,IF(Parameter!$B$20="Jahresanfang 2025 + Export",BR458+BQ458,BQ458)))</f>
        <v>14</v>
      </c>
      <c r="I458" s="50" t="n">
        <f aca="false">H458*G458</f>
        <v>414.4</v>
      </c>
      <c r="J458" s="50" t="n">
        <f aca="false">BT458*Parameter!$B$18</f>
        <v>0</v>
      </c>
      <c r="K458" s="51" t="n">
        <v>12.5</v>
      </c>
      <c r="L458" s="52" t="n">
        <v>0</v>
      </c>
      <c r="M458" s="50" t="n">
        <v>0</v>
      </c>
      <c r="N458" s="50" t="n">
        <v>1</v>
      </c>
      <c r="O458" s="53" t="n">
        <v>14</v>
      </c>
      <c r="P458" s="48" t="s">
        <v>485</v>
      </c>
      <c r="Q458" s="50" t="n">
        <v>16</v>
      </c>
      <c r="R458" s="53" t="n">
        <f aca="false">IF(BZ458=1,0,IFERROR(VLOOKUP(BX458,'Gebinde-Kategorie'!$A$5:$N$45,13,0)+0,0))</f>
        <v>52</v>
      </c>
      <c r="S458" s="54"/>
      <c r="T458" s="55"/>
      <c r="U458" s="55"/>
      <c r="V458" s="55"/>
      <c r="W458" s="48"/>
      <c r="X458" s="50"/>
      <c r="Y458" s="50"/>
      <c r="Z458" s="48" t="n">
        <f aca="false">IF(A458="","",IF(AND(Parameter!$B$21="Ja",ISNUMBER(W458)),W458,IF(CC458="2+3",IF(ISNUMBER(SEARCH("grosser Artikel",BU458)),2,IFERROR(VLOOKUP(BX458,Parameter!$F$35:$G$64,2,0),2)),IF(OR(CC458="Nein",CC458=""),"-",CC458))))</f>
        <v>3</v>
      </c>
      <c r="AA458" s="55"/>
      <c r="AB458" s="56"/>
      <c r="AC458" s="50" t="n">
        <f aca="false">AV458</f>
        <v>1</v>
      </c>
      <c r="AD458" s="50" t="n">
        <f aca="false">MAX(AV458,H458)</f>
        <v>14</v>
      </c>
      <c r="AE458" s="57"/>
      <c r="AF458" s="50" t="n">
        <f aca="false">IF(LEFT(Cockpit!$C$5,1)="A",H458,IF(Parameter!$E$30="MAX-Bestand",IF(CH458=1,CI458,IF(LEFT(Cockpit!$C$5,1)="B",AL458,MAX(AL458,H458))),ROUNDUP(AJ458,0)))</f>
        <v>14</v>
      </c>
      <c r="AG458" s="50" t="n">
        <f aca="false">IF(BZ458=1,0,ROUNDUP(AF458/BY458,0))</f>
        <v>1</v>
      </c>
      <c r="AH458" s="52" t="n">
        <f aca="false">IF(CQ458&gt;0,CQ458*MAX(1,AF458/X458),IF(BZ458=1,IF(AF458&lt;=0,0,CD458*MAX(1,IF(H458&gt;0,AF458/H458,1))),IF(R458&gt;0,AG458/R458,0))/MAX(0.1,N(Parameter!$M$21)))</f>
        <v>0.0192307692307692</v>
      </c>
      <c r="AI458" s="50" t="n">
        <f aca="false">AH458*CB458</f>
        <v>2.98076923076923</v>
      </c>
      <c r="AJ458" s="51" t="n">
        <f aca="false">IF(LEFT(Cockpit!$C$5,1)="A",H458,IF(CH458=1,(CK458+CI458)/2,IF(LEFT(Cockpit!$C$5,1)="B",(CK458+AL458)/2,MAX((CK458+AL458)/2,H458))))</f>
        <v>14</v>
      </c>
      <c r="AK458" s="50" t="n">
        <f aca="false">AJ458*G458</f>
        <v>414.4</v>
      </c>
      <c r="AL458" s="50" t="n">
        <f aca="false">ROUNDUP(CK458+MAX(CL458,2*(J458/IF(CG458&gt;0,CG458,MAX(0.1,N(Cockpit!$C$6)))-CK458)),0)</f>
        <v>1</v>
      </c>
      <c r="AM458" s="51" t="n">
        <f aca="false">IF(AI458&gt;0,J458/AI458,-1)</f>
        <v>0</v>
      </c>
      <c r="AN458" s="51" t="n">
        <f aca="false">IF(AND(OR(CF458="L1",CF458="L23",CF458="LIFT"),AI458&gt;0),SUMIFS($AI$7:$AI$1843,$CF$7:$CF$1843,CF458,$AM$7:$AM$1843,"&gt;"&amp;AM458)+SUMIFS($AI$7:$AI$1843,$CF$7:$CF$1843,CF458,$AM$7:$AM$1843,AM458,$BW$7:$BW$1843,"&lt;="&amp;BW458),"")</f>
        <v>28147.1691241903</v>
      </c>
      <c r="AO458" s="58" t="n">
        <f aca="false">IF(AN458="",0,MAX(0,MIN(1,(IF(CF458="L1",Parameter!$H$5,IF(CF458="L23",Parameter!$H$6+Parameter!$H$7,Parameter!$H$5+Parameter!$H$6+Parameter!$H$7))-(AN458-AI458))/AI458)))</f>
        <v>1</v>
      </c>
      <c r="AP458" s="50" t="n">
        <f aca="false">IF(LEFT(Cockpit!$I$5,1)="A",H458,IF(Parameter!$E$30="MAX-Bestand",IF(CH458=1,CI458,IF(LEFT(Cockpit!$I$5,1)="B",AV458,MAX(AV458,H458))),ROUNDUP(AT458,0)))</f>
        <v>14</v>
      </c>
      <c r="AQ458" s="50" t="n">
        <f aca="false">IF(BZ458=1,0,ROUNDUP(AP458/BY458,0))</f>
        <v>1</v>
      </c>
      <c r="AR458" s="52" t="n">
        <f aca="false">IF(CQ458&gt;0,CQ458*MAX(1,AP458/X458),IF(BZ458=1,IF(AP458&lt;=0,0,CD458*MAX(1,IF(H458&gt;0,AP458/H458,1))),IF(R458&gt;0,AQ458/R458,0))/MAX(0.1,N(Parameter!$M$21)))</f>
        <v>0.0192307692307692</v>
      </c>
      <c r="AS458" s="50" t="n">
        <f aca="false">AR458*CB458</f>
        <v>2.98076923076923</v>
      </c>
      <c r="AT458" s="51" t="n">
        <f aca="false">IF(LEFT(Cockpit!$I$5,1)="A",H458,IF(CH458=1,(CK458+CI458)/2,IF(LEFT(Cockpit!$I$5,1)="B",(CK458+AV458)/2,MAX((CK458+AV458)/2,H458))))</f>
        <v>14</v>
      </c>
      <c r="AU458" s="50" t="n">
        <f aca="false">AT458*G458</f>
        <v>414.4</v>
      </c>
      <c r="AV458" s="50" t="n">
        <f aca="false">ROUNDUP(CK458+MAX(CL458,2*(J458/IF(CG458&gt;0,CG458,MAX(0.1,N(Cockpit!$I$6)))-CK458)),0)</f>
        <v>1</v>
      </c>
      <c r="AW458" s="51" t="n">
        <f aca="false">IF(AS458&gt;0,J458/AS458,-1)</f>
        <v>0</v>
      </c>
      <c r="AX458" s="51" t="n">
        <f aca="false">IF(AND(OR(CF458="L1",CF458="L23",CF458="LIFT"),AS458&gt;0),SUMIFS($AS$7:$AS$1843,$CF$7:$CF$1843,CF458,$AW$7:$AW$1843,"&gt;"&amp;AW458)+SUMIFS($AS$7:$AS$1843,$CF$7:$CF$1843,CF458,$AW$7:$AW$1843,AW458,$BW$7:$BW$1843,"&lt;="&amp;BW458),"")</f>
        <v>33500.3177655678</v>
      </c>
      <c r="AY458" s="58" t="n">
        <f aca="false">IF(AX458="",0,MAX(0,MIN(1,(IF(CF458="L1",Parameter!$H$5,IF(CF458="L23",Parameter!$H$6+Parameter!$H$7,Parameter!$H$5+Parameter!$H$6+Parameter!$H$7))-(AX458-AS458))/AS458)))</f>
        <v>1</v>
      </c>
      <c r="AZ458" s="50" t="n">
        <f aca="false">IF(LEFT(Cockpit!$O$5,1)="A",H458,IF(Parameter!$E$30="MAX-Bestand",IF(CH458=1,CI458,IF(LEFT(Cockpit!$O$5,1)="B",BF458,MAX(BF458,H458))),ROUNDUP(BD458,0)))</f>
        <v>1</v>
      </c>
      <c r="BA458" s="50" t="n">
        <f aca="false">IF(BZ458=1,0,ROUNDUP(AZ458/BY458,0))</f>
        <v>1</v>
      </c>
      <c r="BB458" s="52" t="n">
        <f aca="false">IF(CQ458&gt;0,CQ458*MAX(1,AZ458/X458),IF(BZ458=1,IF(AZ458&lt;=0,0,CD458*MAX(1,IF(H458&gt;0,AZ458/H458,1))),IF(R458&gt;0,BA458/R458,0))/MAX(0.1,N(Parameter!$M$21)))</f>
        <v>0.0192307692307692</v>
      </c>
      <c r="BC458" s="50" t="n">
        <f aca="false">BB458*CB458</f>
        <v>2.98076923076923</v>
      </c>
      <c r="BD458" s="51" t="n">
        <f aca="false">IF(LEFT(Cockpit!$O$5,1)="A",H458,IF(CH458=1,(CK458+CI458)/2,IF(LEFT(Cockpit!$O$5,1)="B",(CK458+BF458)/2,MAX((CK458+BF458)/2,H458))))</f>
        <v>0.5</v>
      </c>
      <c r="BE458" s="50" t="n">
        <f aca="false">BD458*G458</f>
        <v>14.8</v>
      </c>
      <c r="BF458" s="50" t="n">
        <f aca="false">ROUNDUP(CK458+MAX(CL458,2*(J458/IF(CG458&gt;0,CG458,MAX(0.1,N(Cockpit!$O$6)))-CK458)),0)</f>
        <v>1</v>
      </c>
      <c r="BG458" s="51" t="n">
        <f aca="false">IF(BC458&gt;0,J458/BC458,-1)</f>
        <v>0</v>
      </c>
      <c r="BH458" s="51" t="n">
        <f aca="false">IF(AND(OR(CF458="L1",CF458="L23",CF458="LIFT"),BC458&gt;0),SUMIFS($BC$7:$BC$1843,$CF$7:$CF$1843,CF458,$BG$7:$BG$1843,"&gt;"&amp;BG458)+SUMIFS($BC$7:$BC$1843,$CF$7:$CF$1843,CF458,$BG$7:$BG$1843,BG458,$BW$7:$BW$1843,"&lt;="&amp;BW458),"")</f>
        <v>27607.5525392686</v>
      </c>
      <c r="BI458" s="58" t="n">
        <f aca="false">IF(BH458="",0,MAX(0,MIN(1,(IF(CF458="L1",Parameter!$H$5,IF(CF458="L23",Parameter!$H$6+Parameter!$H$7,Parameter!$H$5+Parameter!$H$6+Parameter!$H$7))-(BH458-BC458))/BC458)))</f>
        <v>1</v>
      </c>
      <c r="BJ458" s="48" t="str">
        <f aca="false">IF(AI458&lt;=0,"",IF(CF458="Aussen","Aussenlager",IF(CF458="-","Nicht im Lift",IF(AO458&gt;=1,"Lift",IF(AO458&lt;=0,"Aussenlager","teilweise")))))</f>
        <v>Lift</v>
      </c>
      <c r="BK458" s="48" t="str">
        <f aca="false">IF(AS458&lt;=0,"",IF(CF458="Aussen","Aussenlager",IF(CF458="-","Nicht im Lift",IF(AY458&gt;=1,"Lift",IF(AY458&lt;=0,"Aussenlager","teilweise")))))</f>
        <v>Lift</v>
      </c>
      <c r="BL458" s="48" t="str">
        <f aca="false">IF(BC458&lt;=0,"",IF(CF458="Aussen","Aussenlager",IF(CF458="-","Nicht im Lift",IF(BI458&gt;=1,"Lift",IF(BI458&lt;=0,"Aussenlager","teilweise")))))</f>
        <v>Lift</v>
      </c>
      <c r="BM458" s="48" t="str">
        <f aca="false">IF(A458="","",IF(BV458=1,"Neu; ","")&amp;IF(AND(BV458=0,BQ458&lt;0),"negativer Bestand (Export "&amp;BQ458&amp;"); ","")&amp;IF(J458&lt;=0,"Kein Verbrauch; ","")&amp;IF(CQ458&gt;0,"Lift "&amp;W458&amp;" lt. Liftbericht (Fach "&amp;X458&amp;" Stk); ",IF(CA458=1,"Gebinde geschätzt ("&amp;T458&amp;"); ",IF(BZ458=1,"Lose – Tablare geschätzt; ","")))&amp;IF(H458&gt;AV458,"Überbestand "&amp;ROUND(H458-AV458,0)&amp;" Stk / CHF "&amp;ROUND((H458-AV458)*G458,0)&amp;"; ","")&amp;IF(AND(CH458=1,CI458&lt;CJ458),"MAX &lt; MB+LG; ","")&amp;IF(AND(CP458&gt;0,CO458*10&gt;CP458),"zu hoch für Tablar; ","")&amp;IF(AND(BV458=0,OR(CH458=1,AA458&lt;&gt;"",U458&lt;&gt;"",V458&lt;&gt;"",AB458&lt;&gt;"")),"manuell übersteuert; ","")&amp;IF(AND(BZ458=0,R458=0),"Gebinde unbekannt / Stellmass fehlt; ","")&amp;IF(AND(BZ458=0,N(V458)&lt;=0,N(Q458)&lt;=0),"Menge pro Gebinde fehlt (Ist = 1 Gebinde); ","")&amp;BU458)</f>
        <v>Kein Verbrauch; Überbestand 13 Stk / CHF 385; Überbestand</v>
      </c>
      <c r="BN458" s="48"/>
      <c r="BO458" s="48"/>
      <c r="BP458" s="55"/>
      <c r="BQ458" s="50" t="n">
        <v>2</v>
      </c>
      <c r="BR458" s="50" t="n">
        <v>12</v>
      </c>
      <c r="BS458" s="49" t="n">
        <v>59.2</v>
      </c>
      <c r="BT458" s="50" t="n">
        <v>0</v>
      </c>
      <c r="BU458" s="48" t="s">
        <v>401</v>
      </c>
      <c r="BV458" s="53" t="n">
        <v>0</v>
      </c>
      <c r="BW458" s="53" t="n">
        <v>458</v>
      </c>
      <c r="BX458" s="48" t="str">
        <f aca="false">IF(U458&lt;&gt;"",UPPER(TRIM(U458)),IF(CA458=1,UPPER(VLOOKUP(T458,Parameter!$I$27:$K$29,2,0)),IF(P458="","LOSE",P458)))</f>
        <v>S33</v>
      </c>
      <c r="BY458" s="50" t="n">
        <f aca="false">IF(BX458="LOSE",1,IF(N(V458)&gt;0,V458,IF(CA458=1,MAX(1,N(VLOOKUP(T458,Parameter!$I$27:$K$29,3,0)),H458,N(N458)),IF(N(Q458)&gt;0,Q458,MAX(1,H458)))))</f>
        <v>16</v>
      </c>
      <c r="BZ458" s="53" t="n">
        <f aca="false">IF(BX458="LOSE",1,0)</f>
        <v>0</v>
      </c>
      <c r="CA458" s="53" t="n">
        <f aca="false">IF(AND(U458="",OR(P458="",P458="LOSE"),T458&lt;&gt;"",N(S458)&lt;=0,ISNUMBER(MATCH(T458,Parameter!$I$27:$I$29,0))),1,0)</f>
        <v>0</v>
      </c>
      <c r="CB458" s="53" t="n">
        <f aca="false">IF(CQ458&gt;0,INDEX(Parameter!$H$5:$H$7,W458)/INDEX(Parameter!$E$5:$E$7,W458),IF(AND(BZ458=0,N(IFERROR(VLOOKUP(BX458,'Gebinde-Kategorie'!$A$5:$N$45,14,0),0))&gt;0),VLOOKUP(BX458,'Gebinde-Kategorie'!$A$5:$N$45,14,0)*10+Parameter!$M$23,Parameter!$M$24))</f>
        <v>155</v>
      </c>
      <c r="CC458" s="48" t="str">
        <f aca="false">IF(AND(Parameter!$B$19="Ja",E458&lt;&gt;"",ISNUMBER(MATCH(E458,Parameter!$I$35:$I$52,0))),VLOOKUP(E458,Parameter!$I$35:$J$52,2,0),IFERROR(VLOOKUP(D458,Parameter!$A$35:$C$64,2,0),"Nein"))</f>
        <v>2+3</v>
      </c>
      <c r="CD458" s="52" t="n">
        <f aca="false">IF(BZ458=0,0,IF(N(S458)&gt;0,S458,IFERROR(VLOOKUP(D458,Parameter!$A$35:$C$64,3,0)+0,0)))</f>
        <v>0</v>
      </c>
      <c r="CE458" s="48" t="n">
        <f aca="false">IF(AA458&lt;&gt;"",AA458,Z458)</f>
        <v>3</v>
      </c>
      <c r="CF458" s="48" t="str">
        <f aca="false">IF(OR(CE458=1,CE458=2,CE458=3),IF(Parameter!$E$27="Ja","LIFT",IF(CE458=1,"L1","L23")),IF(CE458="Aussen","Aussen","-"))</f>
        <v>LIFT</v>
      </c>
      <c r="CG458" s="59" t="n">
        <f aca="false">IF(N(AB458)&gt;0,AB458,0)</f>
        <v>0</v>
      </c>
      <c r="CH458" s="53" t="n">
        <f aca="false">IF(ISNUMBER(AE458),1,0)</f>
        <v>0</v>
      </c>
      <c r="CI458" s="50" t="n">
        <f aca="false">N(AE458)</f>
        <v>0</v>
      </c>
      <c r="CJ458" s="50" t="n">
        <f aca="false">N(M458)+N(N458)</f>
        <v>1</v>
      </c>
      <c r="CK458" s="50" t="n">
        <f aca="false">N(M458)</f>
        <v>0</v>
      </c>
      <c r="CL458" s="50" t="n">
        <f aca="false">N(N458)</f>
        <v>1</v>
      </c>
      <c r="CM458" s="50" t="n">
        <f aca="false">ROUNDUP(H458/BY458,0)</f>
        <v>1</v>
      </c>
      <c r="CN458" s="50" t="n">
        <f aca="false">ROUNDUP(CI458/BY458,0)</f>
        <v>0</v>
      </c>
      <c r="CO458" s="53" t="n">
        <f aca="false">IF(BZ458=1,0,IFERROR(VLOOKUP(BX458,'Gebinde-Kategorie'!$A$5:$N$45,5,0)+0,0))</f>
        <v>8</v>
      </c>
      <c r="CP458" s="53" t="n">
        <f aca="false">IFERROR(IF(OR(CE458=1,CE458=2,CE458=3),N(INDEX(Parameter!$I$5:$I$7,CE458)),0),0)</f>
        <v>0</v>
      </c>
      <c r="CQ458" s="52" t="n">
        <f aca="false">IF(AND(Parameter!$B$21="Ja",ISNUMBER(W458),N(X458)&gt;0),IFERROR(N(INDEX(Parameter!$L$5:$L$7,W458))*INDEX(Parameter!$E$5:$E$7,W458)*X458/SUMIFS($X$7:$X$1843,$W$7:$W$1843,W458),0),0)</f>
        <v>0</v>
      </c>
    </row>
    <row r="459" customFormat="false" ht="15" hidden="false" customHeight="false" outlineLevel="0" collapsed="false">
      <c r="A459" s="48" t="s">
        <v>1044</v>
      </c>
      <c r="B459" s="48" t="s">
        <v>1045</v>
      </c>
      <c r="C459" s="48" t="s">
        <v>173</v>
      </c>
      <c r="D459" s="48" t="s">
        <v>193</v>
      </c>
      <c r="E459" s="48" t="s">
        <v>194</v>
      </c>
      <c r="F459" s="48" t="s">
        <v>227</v>
      </c>
      <c r="G459" s="49" t="n">
        <v>0.09</v>
      </c>
      <c r="H459" s="50" t="n">
        <f aca="false">MAX(0,IF(AND(Parameter!$B$21="Ja",ISNUMBER(Y459)),Y459,IF(Parameter!$B$20="Jahresanfang 2025 + Export",BR459+BQ459,BQ459)))</f>
        <v>1451</v>
      </c>
      <c r="I459" s="50" t="n">
        <f aca="false">H459*G459</f>
        <v>130.59</v>
      </c>
      <c r="J459" s="50" t="n">
        <f aca="false">BT459*Parameter!$B$18</f>
        <v>100</v>
      </c>
      <c r="K459" s="51" t="n">
        <v>1405</v>
      </c>
      <c r="L459" s="52" t="n">
        <v>0.0711743772241993</v>
      </c>
      <c r="M459" s="50" t="n">
        <v>5</v>
      </c>
      <c r="N459" s="50" t="n">
        <v>100</v>
      </c>
      <c r="O459" s="53" t="n">
        <v>21</v>
      </c>
      <c r="P459" s="48" t="s">
        <v>311</v>
      </c>
      <c r="Q459" s="50" t="n">
        <v>2900</v>
      </c>
      <c r="R459" s="53" t="n">
        <f aca="false">IF(BZ459=1,0,IFERROR(VLOOKUP(BX459,'Gebinde-Kategorie'!$A$5:$N$45,13,0)+0,0))</f>
        <v>26</v>
      </c>
      <c r="S459" s="54"/>
      <c r="T459" s="55"/>
      <c r="U459" s="55"/>
      <c r="V459" s="55"/>
      <c r="W459" s="48"/>
      <c r="X459" s="50"/>
      <c r="Y459" s="50"/>
      <c r="Z459" s="48" t="n">
        <f aca="false">IF(A459="","",IF(AND(Parameter!$B$21="Ja",ISNUMBER(W459)),W459,IF(CC459="2+3",IF(ISNUMBER(SEARCH("grosser Artikel",BU459)),2,IFERROR(VLOOKUP(BX459,Parameter!$F$35:$G$64,2,0),2)),IF(OR(CC459="Nein",CC459=""),"-",CC459))))</f>
        <v>3</v>
      </c>
      <c r="AA459" s="55"/>
      <c r="AB459" s="56"/>
      <c r="AC459" s="50" t="n">
        <f aca="false">AV459</f>
        <v>105</v>
      </c>
      <c r="AD459" s="50" t="n">
        <f aca="false">MAX(AV459,H459)</f>
        <v>1451</v>
      </c>
      <c r="AE459" s="57"/>
      <c r="AF459" s="50" t="n">
        <f aca="false">IF(LEFT(Cockpit!$C$5,1)="A",H459,IF(Parameter!$E$30="MAX-Bestand",IF(CH459=1,CI459,IF(LEFT(Cockpit!$C$5,1)="B",AL459,MAX(AL459,H459))),ROUNDUP(AJ459,0)))</f>
        <v>1451</v>
      </c>
      <c r="AG459" s="50" t="n">
        <f aca="false">IF(BZ459=1,0,ROUNDUP(AF459/BY459,0))</f>
        <v>1</v>
      </c>
      <c r="AH459" s="52" t="n">
        <f aca="false">IF(CQ459&gt;0,CQ459*MAX(1,AF459/X459),IF(BZ459=1,IF(AF459&lt;=0,0,CD459*MAX(1,IF(H459&gt;0,AF459/H459,1))),IF(R459&gt;0,AG459/R459,0))/MAX(0.1,N(Parameter!$M$21)))</f>
        <v>0.0384615384615385</v>
      </c>
      <c r="AI459" s="50" t="n">
        <f aca="false">AH459*CB459</f>
        <v>5.96153846153846</v>
      </c>
      <c r="AJ459" s="51" t="n">
        <f aca="false">IF(LEFT(Cockpit!$C$5,1)="A",H459,IF(CH459=1,(CK459+CI459)/2,IF(LEFT(Cockpit!$C$5,1)="B",(CK459+AL459)/2,MAX((CK459+AL459)/2,H459))))</f>
        <v>1451</v>
      </c>
      <c r="AK459" s="50" t="n">
        <f aca="false">AJ459*G459</f>
        <v>130.59</v>
      </c>
      <c r="AL459" s="50" t="n">
        <f aca="false">ROUNDUP(CK459+MAX(CL459,2*(J459/IF(CG459&gt;0,CG459,MAX(0.1,N(Cockpit!$C$6)))-CK459)),0)</f>
        <v>105</v>
      </c>
      <c r="AM459" s="51" t="n">
        <f aca="false">IF(AI459&gt;0,J459/AI459,-1)</f>
        <v>16.7741935483871</v>
      </c>
      <c r="AN459" s="51" t="n">
        <f aca="false">IF(AND(OR(CF459="L1",CF459="L23",CF459="LIFT"),AI459&gt;0),SUMIFS($AI$7:$AI$1843,$CF$7:$CF$1843,CF459,$AM$7:$AM$1843,"&gt;"&amp;AM459)+SUMIFS($AI$7:$AI$1843,$CF$7:$CF$1843,CF459,$AM$7:$AM$1843,AM459,$BW$7:$BW$1843,"&lt;="&amp;BW459),"")</f>
        <v>2015.69505494506</v>
      </c>
      <c r="AO459" s="58" t="n">
        <f aca="false">IF(AN459="",0,MAX(0,MIN(1,(IF(CF459="L1",Parameter!$H$5,IF(CF459="L23",Parameter!$H$6+Parameter!$H$7,Parameter!$H$5+Parameter!$H$6+Parameter!$H$7))-(AN459-AI459))/AI459)))</f>
        <v>1</v>
      </c>
      <c r="AP459" s="50" t="n">
        <f aca="false">IF(LEFT(Cockpit!$I$5,1)="A",H459,IF(Parameter!$E$30="MAX-Bestand",IF(CH459=1,CI459,IF(LEFT(Cockpit!$I$5,1)="B",AV459,MAX(AV459,H459))),ROUNDUP(AT459,0)))</f>
        <v>1451</v>
      </c>
      <c r="AQ459" s="50" t="n">
        <f aca="false">IF(BZ459=1,0,ROUNDUP(AP459/BY459,0))</f>
        <v>1</v>
      </c>
      <c r="AR459" s="52" t="n">
        <f aca="false">IF(CQ459&gt;0,CQ459*MAX(1,AP459/X459),IF(BZ459=1,IF(AP459&lt;=0,0,CD459*MAX(1,IF(H459&gt;0,AP459/H459,1))),IF(R459&gt;0,AQ459/R459,0))/MAX(0.1,N(Parameter!$M$21)))</f>
        <v>0.0384615384615385</v>
      </c>
      <c r="AS459" s="50" t="n">
        <f aca="false">AR459*CB459</f>
        <v>5.96153846153846</v>
      </c>
      <c r="AT459" s="51" t="n">
        <f aca="false">IF(LEFT(Cockpit!$I$5,1)="A",H459,IF(CH459=1,(CK459+CI459)/2,IF(LEFT(Cockpit!$I$5,1)="B",(CK459+AV459)/2,MAX((CK459+AV459)/2,H459))))</f>
        <v>1451</v>
      </c>
      <c r="AU459" s="50" t="n">
        <f aca="false">AT459*G459</f>
        <v>130.59</v>
      </c>
      <c r="AV459" s="50" t="n">
        <f aca="false">ROUNDUP(CK459+MAX(CL459,2*(J459/IF(CG459&gt;0,CG459,MAX(0.1,N(Cockpit!$I$6)))-CK459)),0)</f>
        <v>105</v>
      </c>
      <c r="AW459" s="51" t="n">
        <f aca="false">IF(AS459&gt;0,J459/AS459,-1)</f>
        <v>16.7741935483871</v>
      </c>
      <c r="AX459" s="51" t="n">
        <f aca="false">IF(AND(OR(CF459="L1",CF459="L23",CF459="LIFT"),AS459&gt;0),SUMIFS($AS$7:$AS$1843,$CF$7:$CF$1843,CF459,$AW$7:$AW$1843,"&gt;"&amp;AW459)+SUMIFS($AS$7:$AS$1843,$CF$7:$CF$1843,CF459,$AW$7:$AW$1843,AW459,$BW$7:$BW$1843,"&lt;="&amp;BW459),"")</f>
        <v>2652.81593406593</v>
      </c>
      <c r="AY459" s="58" t="n">
        <f aca="false">IF(AX459="",0,MAX(0,MIN(1,(IF(CF459="L1",Parameter!$H$5,IF(CF459="L23",Parameter!$H$6+Parameter!$H$7,Parameter!$H$5+Parameter!$H$6+Parameter!$H$7))-(AX459-AS459))/AS459)))</f>
        <v>1</v>
      </c>
      <c r="AZ459" s="50" t="n">
        <f aca="false">IF(LEFT(Cockpit!$O$5,1)="A",H459,IF(Parameter!$E$30="MAX-Bestand",IF(CH459=1,CI459,IF(LEFT(Cockpit!$O$5,1)="B",BF459,MAX(BF459,H459))),ROUNDUP(BD459,0)))</f>
        <v>55</v>
      </c>
      <c r="BA459" s="50" t="n">
        <f aca="false">IF(BZ459=1,0,ROUNDUP(AZ459/BY459,0))</f>
        <v>1</v>
      </c>
      <c r="BB459" s="52" t="n">
        <f aca="false">IF(CQ459&gt;0,CQ459*MAX(1,AZ459/X459),IF(BZ459=1,IF(AZ459&lt;=0,0,CD459*MAX(1,IF(H459&gt;0,AZ459/H459,1))),IF(R459&gt;0,BA459/R459,0))/MAX(0.1,N(Parameter!$M$21)))</f>
        <v>0.0384615384615385</v>
      </c>
      <c r="BC459" s="50" t="n">
        <f aca="false">BB459*CB459</f>
        <v>5.96153846153846</v>
      </c>
      <c r="BD459" s="51" t="n">
        <f aca="false">IF(LEFT(Cockpit!$O$5,1)="A",H459,IF(CH459=1,(CK459+CI459)/2,IF(LEFT(Cockpit!$O$5,1)="B",(CK459+BF459)/2,MAX((CK459+BF459)/2,H459))))</f>
        <v>55</v>
      </c>
      <c r="BE459" s="50" t="n">
        <f aca="false">BD459*G459</f>
        <v>4.95</v>
      </c>
      <c r="BF459" s="50" t="n">
        <f aca="false">ROUNDUP(CK459+MAX(CL459,2*(J459/IF(CG459&gt;0,CG459,MAX(0.1,N(Cockpit!$O$6)))-CK459)),0)</f>
        <v>105</v>
      </c>
      <c r="BG459" s="51" t="n">
        <f aca="false">IF(BC459&gt;0,J459/BC459,-1)</f>
        <v>16.7741935483871</v>
      </c>
      <c r="BH459" s="51" t="n">
        <f aca="false">IF(AND(OR(CF459="L1",CF459="L23",CF459="LIFT"),BC459&gt;0),SUMIFS($BC$7:$BC$1843,$CF$7:$CF$1843,CF459,$BG$7:$BG$1843,"&gt;"&amp;BG459)+SUMIFS($BC$7:$BC$1843,$CF$7:$CF$1843,CF459,$BG$7:$BG$1843,BG459,$BW$7:$BW$1843,"&lt;="&amp;BW459),"")</f>
        <v>2338.83379120879</v>
      </c>
      <c r="BI459" s="58" t="n">
        <f aca="false">IF(BH459="",0,MAX(0,MIN(1,(IF(CF459="L1",Parameter!$H$5,IF(CF459="L23",Parameter!$H$6+Parameter!$H$7,Parameter!$H$5+Parameter!$H$6+Parameter!$H$7))-(BH459-BC459))/BC459)))</f>
        <v>1</v>
      </c>
      <c r="BJ459" s="48" t="str">
        <f aca="false">IF(AI459&lt;=0,"",IF(CF459="Aussen","Aussenlager",IF(CF459="-","Nicht im Lift",IF(AO459&gt;=1,"Lift",IF(AO459&lt;=0,"Aussenlager","teilweise")))))</f>
        <v>Lift</v>
      </c>
      <c r="BK459" s="48" t="str">
        <f aca="false">IF(AS459&lt;=0,"",IF(CF459="Aussen","Aussenlager",IF(CF459="-","Nicht im Lift",IF(AY459&gt;=1,"Lift",IF(AY459&lt;=0,"Aussenlager","teilweise")))))</f>
        <v>Lift</v>
      </c>
      <c r="BL459" s="48" t="str">
        <f aca="false">IF(BC459&lt;=0,"",IF(CF459="Aussen","Aussenlager",IF(CF459="-","Nicht im Lift",IF(BI459&gt;=1,"Lift",IF(BI459&lt;=0,"Aussenlager","teilweise")))))</f>
        <v>Lift</v>
      </c>
      <c r="BM459" s="48" t="str">
        <f aca="false">IF(A459="","",IF(BV459=1,"Neu; ","")&amp;IF(AND(BV459=0,BQ459&lt;0),"negativer Bestand (Export "&amp;BQ459&amp;"); ","")&amp;IF(J459&lt;=0,"Kein Verbrauch; ","")&amp;IF(CQ459&gt;0,"Lift "&amp;W459&amp;" lt. Liftbericht (Fach "&amp;X459&amp;" Stk); ",IF(CA459=1,"Gebinde geschätzt ("&amp;T459&amp;"); ",IF(BZ459=1,"Lose – Tablare geschätzt; ","")))&amp;IF(H459&gt;AV459,"Überbestand "&amp;ROUND(H459-AV459,0)&amp;" Stk / CHF "&amp;ROUND((H459-AV459)*G459,0)&amp;"; ","")&amp;IF(AND(CH459=1,CI459&lt;CJ459),"MAX &lt; MB+LG; ","")&amp;IF(AND(CP459&gt;0,CO459*10&gt;CP459),"zu hoch für Tablar; ","")&amp;IF(AND(BV459=0,OR(CH459=1,AA459&lt;&gt;"",U459&lt;&gt;"",V459&lt;&gt;"",AB459&lt;&gt;"")),"manuell übersteuert; ","")&amp;IF(AND(BZ459=0,R459=0),"Gebinde unbekannt / Stellmass fehlt; ","")&amp;IF(AND(BZ459=0,N(V459)&lt;=0,N(Q459)&lt;=0),"Menge pro Gebinde fehlt (Ist = 1 Gebinde); ","")&amp;BU459)</f>
        <v>negativer Bestand (Export -349); Überbestand 1346 Stk / CHF 121; Verb.Lager</v>
      </c>
      <c r="BN459" s="48"/>
      <c r="BO459" s="48"/>
      <c r="BP459" s="55"/>
      <c r="BQ459" s="50" t="n">
        <v>-349</v>
      </c>
      <c r="BR459" s="50" t="n">
        <v>1800</v>
      </c>
      <c r="BS459" s="49" t="n">
        <v>58.59</v>
      </c>
      <c r="BT459" s="50" t="n">
        <v>100</v>
      </c>
      <c r="BU459" s="48" t="s">
        <v>1039</v>
      </c>
      <c r="BV459" s="53" t="n">
        <v>0</v>
      </c>
      <c r="BW459" s="53" t="n">
        <v>459</v>
      </c>
      <c r="BX459" s="48" t="str">
        <f aca="false">IF(U459&lt;&gt;"",UPPER(TRIM(U459)),IF(CA459=1,UPPER(VLOOKUP(T459,Parameter!$I$27:$K$29,2,0)),IF(P459="","LOSE",P459)))</f>
        <v>S51</v>
      </c>
      <c r="BY459" s="50" t="n">
        <f aca="false">IF(BX459="LOSE",1,IF(N(V459)&gt;0,V459,IF(CA459=1,MAX(1,N(VLOOKUP(T459,Parameter!$I$27:$K$29,3,0)),H459,N(N459)),IF(N(Q459)&gt;0,Q459,MAX(1,H459)))))</f>
        <v>2900</v>
      </c>
      <c r="BZ459" s="53" t="n">
        <f aca="false">IF(BX459="LOSE",1,0)</f>
        <v>0</v>
      </c>
      <c r="CA459" s="53" t="n">
        <f aca="false">IF(AND(U459="",OR(P459="",P459="LOSE"),T459&lt;&gt;"",N(S459)&lt;=0,ISNUMBER(MATCH(T459,Parameter!$I$27:$I$29,0))),1,0)</f>
        <v>0</v>
      </c>
      <c r="CB459" s="53" t="n">
        <f aca="false">IF(CQ459&gt;0,INDEX(Parameter!$H$5:$H$7,W459)/INDEX(Parameter!$E$5:$E$7,W459),IF(AND(BZ459=0,N(IFERROR(VLOOKUP(BX459,'Gebinde-Kategorie'!$A$5:$N$45,14,0),0))&gt;0),VLOOKUP(BX459,'Gebinde-Kategorie'!$A$5:$N$45,14,0)*10+Parameter!$M$23,Parameter!$M$24))</f>
        <v>155</v>
      </c>
      <c r="CC459" s="48" t="str">
        <f aca="false">IF(AND(Parameter!$B$19="Ja",E459&lt;&gt;"",ISNUMBER(MATCH(E459,Parameter!$I$35:$I$52,0))),VLOOKUP(E459,Parameter!$I$35:$J$52,2,0),IFERROR(VLOOKUP(D459,Parameter!$A$35:$C$64,2,0),"Nein"))</f>
        <v>2+3</v>
      </c>
      <c r="CD459" s="52" t="n">
        <f aca="false">IF(BZ459=0,0,IF(N(S459)&gt;0,S459,IFERROR(VLOOKUP(D459,Parameter!$A$35:$C$64,3,0)+0,0)))</f>
        <v>0</v>
      </c>
      <c r="CE459" s="48" t="n">
        <f aca="false">IF(AA459&lt;&gt;"",AA459,Z459)</f>
        <v>3</v>
      </c>
      <c r="CF459" s="48" t="str">
        <f aca="false">IF(OR(CE459=1,CE459=2,CE459=3),IF(Parameter!$E$27="Ja","LIFT",IF(CE459=1,"L1","L23")),IF(CE459="Aussen","Aussen","-"))</f>
        <v>LIFT</v>
      </c>
      <c r="CG459" s="59" t="n">
        <f aca="false">IF(N(AB459)&gt;0,AB459,0)</f>
        <v>0</v>
      </c>
      <c r="CH459" s="53" t="n">
        <f aca="false">IF(ISNUMBER(AE459),1,0)</f>
        <v>0</v>
      </c>
      <c r="CI459" s="50" t="n">
        <f aca="false">N(AE459)</f>
        <v>0</v>
      </c>
      <c r="CJ459" s="50" t="n">
        <f aca="false">N(M459)+N(N459)</f>
        <v>105</v>
      </c>
      <c r="CK459" s="50" t="n">
        <f aca="false">N(M459)</f>
        <v>5</v>
      </c>
      <c r="CL459" s="50" t="n">
        <f aca="false">N(N459)</f>
        <v>100</v>
      </c>
      <c r="CM459" s="50" t="n">
        <f aca="false">ROUNDUP(H459/BY459,0)</f>
        <v>1</v>
      </c>
      <c r="CN459" s="50" t="n">
        <f aca="false">ROUNDUP(CI459/BY459,0)</f>
        <v>0</v>
      </c>
      <c r="CO459" s="53" t="n">
        <f aca="false">IF(BZ459=1,0,IFERROR(VLOOKUP(BX459,'Gebinde-Kategorie'!$A$5:$N$45,5,0)+0,0))</f>
        <v>11</v>
      </c>
      <c r="CP459" s="53" t="n">
        <f aca="false">IFERROR(IF(OR(CE459=1,CE459=2,CE459=3),N(INDEX(Parameter!$I$5:$I$7,CE459)),0),0)</f>
        <v>0</v>
      </c>
      <c r="CQ459" s="52" t="n">
        <f aca="false">IF(AND(Parameter!$B$21="Ja",ISNUMBER(W459),N(X459)&gt;0),IFERROR(N(INDEX(Parameter!$L$5:$L$7,W459))*INDEX(Parameter!$E$5:$E$7,W459)*X459/SUMIFS($X$7:$X$1843,$W$7:$W$1843,W459),0),0)</f>
        <v>0</v>
      </c>
    </row>
    <row r="460" customFormat="false" ht="15" hidden="false" customHeight="false" outlineLevel="0" collapsed="false">
      <c r="A460" s="48" t="s">
        <v>1046</v>
      </c>
      <c r="B460" s="48" t="s">
        <v>414</v>
      </c>
      <c r="C460" s="48" t="s">
        <v>173</v>
      </c>
      <c r="D460" s="48" t="s">
        <v>193</v>
      </c>
      <c r="E460" s="48" t="s">
        <v>194</v>
      </c>
      <c r="F460" s="48" t="s">
        <v>227</v>
      </c>
      <c r="G460" s="49" t="n">
        <v>0.13</v>
      </c>
      <c r="H460" s="50" t="n">
        <f aca="false">MAX(0,IF(AND(Parameter!$B$21="Ja",ISNUMBER(Y460)),Y460,IF(Parameter!$B$20="Jahresanfang 2025 + Export",BR460+BQ460,BQ460)))</f>
        <v>714</v>
      </c>
      <c r="I460" s="50" t="n">
        <f aca="false">H460*G460</f>
        <v>92.82</v>
      </c>
      <c r="J460" s="50" t="n">
        <f aca="false">BT460*Parameter!$B$18</f>
        <v>1442</v>
      </c>
      <c r="K460" s="51" t="n">
        <v>310</v>
      </c>
      <c r="L460" s="52" t="n">
        <v>4.65161290322581</v>
      </c>
      <c r="M460" s="50" t="n">
        <v>84</v>
      </c>
      <c r="N460" s="50" t="n">
        <v>500</v>
      </c>
      <c r="O460" s="53" t="n">
        <v>21</v>
      </c>
      <c r="P460" s="48" t="s">
        <v>311</v>
      </c>
      <c r="Q460" s="50" t="n">
        <v>271</v>
      </c>
      <c r="R460" s="53" t="n">
        <f aca="false">IF(BZ460=1,0,IFERROR(VLOOKUP(BX460,'Gebinde-Kategorie'!$A$5:$N$45,13,0)+0,0))</f>
        <v>26</v>
      </c>
      <c r="S460" s="54"/>
      <c r="T460" s="55"/>
      <c r="U460" s="55"/>
      <c r="V460" s="55"/>
      <c r="W460" s="48"/>
      <c r="X460" s="50"/>
      <c r="Y460" s="50"/>
      <c r="Z460" s="48" t="n">
        <f aca="false">IF(A460="","",IF(AND(Parameter!$B$21="Ja",ISNUMBER(W460)),W460,IF(CC460="2+3",IF(ISNUMBER(SEARCH("grosser Artikel",BU460)),2,IFERROR(VLOOKUP(BX460,Parameter!$F$35:$G$64,2,0),2)),IF(OR(CC460="Nein",CC460=""),"-",CC460))))</f>
        <v>3</v>
      </c>
      <c r="AA460" s="55"/>
      <c r="AB460" s="56"/>
      <c r="AC460" s="50" t="n">
        <f aca="false">AV460</f>
        <v>878</v>
      </c>
      <c r="AD460" s="50" t="n">
        <f aca="false">MAX(AV460,H460)</f>
        <v>878</v>
      </c>
      <c r="AE460" s="57"/>
      <c r="AF460" s="50" t="n">
        <f aca="false">IF(LEFT(Cockpit!$C$5,1)="A",H460,IF(Parameter!$E$30="MAX-Bestand",IF(CH460=1,CI460,IF(LEFT(Cockpit!$C$5,1)="B",AL460,MAX(AL460,H460))),ROUNDUP(AJ460,0)))</f>
        <v>714</v>
      </c>
      <c r="AG460" s="50" t="n">
        <f aca="false">IF(BZ460=1,0,ROUNDUP(AF460/BY460,0))</f>
        <v>3</v>
      </c>
      <c r="AH460" s="52" t="n">
        <f aca="false">IF(CQ460&gt;0,CQ460*MAX(1,AF460/X460),IF(BZ460=1,IF(AF460&lt;=0,0,CD460*MAX(1,IF(H460&gt;0,AF460/H460,1))),IF(R460&gt;0,AG460/R460,0))/MAX(0.1,N(Parameter!$M$21)))</f>
        <v>0.115384615384615</v>
      </c>
      <c r="AI460" s="50" t="n">
        <f aca="false">AH460*CB460</f>
        <v>17.8846153846154</v>
      </c>
      <c r="AJ460" s="51" t="n">
        <f aca="false">IF(LEFT(Cockpit!$C$5,1)="A",H460,IF(CH460=1,(CK460+CI460)/2,IF(LEFT(Cockpit!$C$5,1)="B",(CK460+AL460)/2,MAX((CK460+AL460)/2,H460))))</f>
        <v>714</v>
      </c>
      <c r="AK460" s="50" t="n">
        <f aca="false">AJ460*G460</f>
        <v>92.82</v>
      </c>
      <c r="AL460" s="50" t="n">
        <f aca="false">ROUNDUP(CK460+MAX(CL460,2*(J460/IF(CG460&gt;0,CG460,MAX(0.1,N(Cockpit!$C$6)))-CK460)),0)</f>
        <v>878</v>
      </c>
      <c r="AM460" s="51" t="n">
        <f aca="false">IF(AI460&gt;0,J460/AI460,-1)</f>
        <v>80.6279569892473</v>
      </c>
      <c r="AN460" s="51" t="n">
        <f aca="false">IF(AND(OR(CF460="L1",CF460="L23",CF460="LIFT"),AI460&gt;0),SUMIFS($AI$7:$AI$1843,$CF$7:$CF$1843,CF460,$AM$7:$AM$1843,"&gt;"&amp;AM460)+SUMIFS($AI$7:$AI$1843,$CF$7:$CF$1843,CF460,$AM$7:$AM$1843,AM460,$BW$7:$BW$1843,"&lt;="&amp;BW460),"")</f>
        <v>860.340659340659</v>
      </c>
      <c r="AO460" s="58" t="n">
        <f aca="false">IF(AN460="",0,MAX(0,MIN(1,(IF(CF460="L1",Parameter!$H$5,IF(CF460="L23",Parameter!$H$6+Parameter!$H$7,Parameter!$H$5+Parameter!$H$6+Parameter!$H$7))-(AN460-AI460))/AI460)))</f>
        <v>1</v>
      </c>
      <c r="AP460" s="50" t="n">
        <f aca="false">IF(LEFT(Cockpit!$I$5,1)="A",H460,IF(Parameter!$E$30="MAX-Bestand",IF(CH460=1,CI460,IF(LEFT(Cockpit!$I$5,1)="B",AV460,MAX(AV460,H460))),ROUNDUP(AT460,0)))</f>
        <v>714</v>
      </c>
      <c r="AQ460" s="50" t="n">
        <f aca="false">IF(BZ460=1,0,ROUNDUP(AP460/BY460,0))</f>
        <v>3</v>
      </c>
      <c r="AR460" s="52" t="n">
        <f aca="false">IF(CQ460&gt;0,CQ460*MAX(1,AP460/X460),IF(BZ460=1,IF(AP460&lt;=0,0,CD460*MAX(1,IF(H460&gt;0,AP460/H460,1))),IF(R460&gt;0,AQ460/R460,0))/MAX(0.1,N(Parameter!$M$21)))</f>
        <v>0.115384615384615</v>
      </c>
      <c r="AS460" s="50" t="n">
        <f aca="false">AR460*CB460</f>
        <v>17.8846153846154</v>
      </c>
      <c r="AT460" s="51" t="n">
        <f aca="false">IF(LEFT(Cockpit!$I$5,1)="A",H460,IF(CH460=1,(CK460+CI460)/2,IF(LEFT(Cockpit!$I$5,1)="B",(CK460+AV460)/2,MAX((CK460+AV460)/2,H460))))</f>
        <v>714</v>
      </c>
      <c r="AU460" s="50" t="n">
        <f aca="false">AT460*G460</f>
        <v>92.82</v>
      </c>
      <c r="AV460" s="50" t="n">
        <f aca="false">ROUNDUP(CK460+MAX(CL460,2*(J460/IF(CG460&gt;0,CG460,MAX(0.1,N(Cockpit!$I$6)))-CK460)),0)</f>
        <v>878</v>
      </c>
      <c r="AW460" s="51" t="n">
        <f aca="false">IF(AS460&gt;0,J460/AS460,-1)</f>
        <v>80.6279569892473</v>
      </c>
      <c r="AX460" s="51" t="n">
        <f aca="false">IF(AND(OR(CF460="L1",CF460="L23",CF460="LIFT"),AS460&gt;0),SUMIFS($AS$7:$AS$1843,$CF$7:$CF$1843,CF460,$AW$7:$AW$1843,"&gt;"&amp;AW460)+SUMIFS($AS$7:$AS$1843,$CF$7:$CF$1843,CF460,$AW$7:$AW$1843,AW460,$BW$7:$BW$1843,"&lt;="&amp;BW460),"")</f>
        <v>1073.25274725275</v>
      </c>
      <c r="AY460" s="58" t="n">
        <f aca="false">IF(AX460="",0,MAX(0,MIN(1,(IF(CF460="L1",Parameter!$H$5,IF(CF460="L23",Parameter!$H$6+Parameter!$H$7,Parameter!$H$5+Parameter!$H$6+Parameter!$H$7))-(AX460-AS460))/AS460)))</f>
        <v>1</v>
      </c>
      <c r="AZ460" s="50" t="n">
        <f aca="false">IF(LEFT(Cockpit!$O$5,1)="A",H460,IF(Parameter!$E$30="MAX-Bestand",IF(CH460=1,CI460,IF(LEFT(Cockpit!$O$5,1)="B",BF460,MAX(BF460,H460))),ROUNDUP(BD460,0)))</f>
        <v>361</v>
      </c>
      <c r="BA460" s="50" t="n">
        <f aca="false">IF(BZ460=1,0,ROUNDUP(AZ460/BY460,0))</f>
        <v>2</v>
      </c>
      <c r="BB460" s="52" t="n">
        <f aca="false">IF(CQ460&gt;0,CQ460*MAX(1,AZ460/X460),IF(BZ460=1,IF(AZ460&lt;=0,0,CD460*MAX(1,IF(H460&gt;0,AZ460/H460,1))),IF(R460&gt;0,BA460/R460,0))/MAX(0.1,N(Parameter!$M$21)))</f>
        <v>0.0769230769230769</v>
      </c>
      <c r="BC460" s="50" t="n">
        <f aca="false">BB460*CB460</f>
        <v>11.9230769230769</v>
      </c>
      <c r="BD460" s="51" t="n">
        <f aca="false">IF(LEFT(Cockpit!$O$5,1)="A",H460,IF(CH460=1,(CK460+CI460)/2,IF(LEFT(Cockpit!$O$5,1)="B",(CK460+BF460)/2,MAX((CK460+BF460)/2,H460))))</f>
        <v>360.5</v>
      </c>
      <c r="BE460" s="50" t="n">
        <f aca="false">BD460*G460</f>
        <v>46.865</v>
      </c>
      <c r="BF460" s="50" t="n">
        <f aca="false">ROUNDUP(CK460+MAX(CL460,2*(J460/IF(CG460&gt;0,CG460,MAX(0.1,N(Cockpit!$O$6)))-CK460)),0)</f>
        <v>637</v>
      </c>
      <c r="BG460" s="51" t="n">
        <f aca="false">IF(BC460&gt;0,J460/BC460,-1)</f>
        <v>120.941935483871</v>
      </c>
      <c r="BH460" s="51" t="n">
        <f aca="false">IF(AND(OR(CF460="L1",CF460="L23",CF460="LIFT"),BC460&gt;0),SUMIFS($BC$7:$BC$1843,$CF$7:$CF$1843,CF460,$BG$7:$BG$1843,"&gt;"&amp;BG460)+SUMIFS($BC$7:$BC$1843,$CF$7:$CF$1843,CF460,$BG$7:$BG$1843,BG460,$BW$7:$BW$1843,"&lt;="&amp;BW460),"")</f>
        <v>804.490384615385</v>
      </c>
      <c r="BI460" s="58" t="n">
        <f aca="false">IF(BH460="",0,MAX(0,MIN(1,(IF(CF460="L1",Parameter!$H$5,IF(CF460="L23",Parameter!$H$6+Parameter!$H$7,Parameter!$H$5+Parameter!$H$6+Parameter!$H$7))-(BH460-BC460))/BC460)))</f>
        <v>1</v>
      </c>
      <c r="BJ460" s="48" t="str">
        <f aca="false">IF(AI460&lt;=0,"",IF(CF460="Aussen","Aussenlager",IF(CF460="-","Nicht im Lift",IF(AO460&gt;=1,"Lift",IF(AO460&lt;=0,"Aussenlager","teilweise")))))</f>
        <v>Lift</v>
      </c>
      <c r="BK460" s="48" t="str">
        <f aca="false">IF(AS460&lt;=0,"",IF(CF460="Aussen","Aussenlager",IF(CF460="-","Nicht im Lift",IF(AY460&gt;=1,"Lift",IF(AY460&lt;=0,"Aussenlager","teilweise")))))</f>
        <v>Lift</v>
      </c>
      <c r="BL460" s="48" t="str">
        <f aca="false">IF(BC460&lt;=0,"",IF(CF460="Aussen","Aussenlager",IF(CF460="-","Nicht im Lift",IF(BI460&gt;=1,"Lift",IF(BI460&lt;=0,"Aussenlager","teilweise")))))</f>
        <v>Lift</v>
      </c>
      <c r="BM460" s="48" t="str">
        <f aca="false">IF(A460="","",IF(BV460=1,"Neu; ","")&amp;IF(AND(BV460=0,BQ460&lt;0),"negativer Bestand (Export "&amp;BQ460&amp;"); ","")&amp;IF(J460&lt;=0,"Kein Verbrauch; ","")&amp;IF(CQ460&gt;0,"Lift "&amp;W460&amp;" lt. Liftbericht (Fach "&amp;X460&amp;" Stk); ",IF(CA460=1,"Gebinde geschätzt ("&amp;T460&amp;"); ",IF(BZ460=1,"Lose – Tablare geschätzt; ","")))&amp;IF(H460&gt;AV460,"Überbestand "&amp;ROUND(H460-AV460,0)&amp;" Stk / CHF "&amp;ROUND((H460-AV460)*G460,0)&amp;"; ","")&amp;IF(AND(CH460=1,CI460&lt;CJ460),"MAX &lt; MB+LG; ","")&amp;IF(AND(CP460&gt;0,CO460*10&gt;CP460),"zu hoch für Tablar; ","")&amp;IF(AND(BV460=0,OR(CH460=1,AA460&lt;&gt;"",U460&lt;&gt;"",V460&lt;&gt;"",AB460&lt;&gt;"")),"manuell übersteuert; ","")&amp;IF(AND(BZ460=0,R460=0),"Gebinde unbekannt / Stellmass fehlt; ","")&amp;IF(AND(BZ460=0,N(V460)&lt;=0,N(Q460)&lt;=0),"Menge pro Gebinde fehlt (Ist = 1 Gebinde); ","")&amp;BU460)</f>
        <v/>
      </c>
      <c r="BN460" s="48"/>
      <c r="BO460" s="48"/>
      <c r="BP460" s="55"/>
      <c r="BQ460" s="50" t="n">
        <v>424</v>
      </c>
      <c r="BR460" s="50" t="n">
        <v>290</v>
      </c>
      <c r="BS460" s="49" t="n">
        <v>57.94</v>
      </c>
      <c r="BT460" s="50" t="n">
        <v>1442</v>
      </c>
      <c r="BU460" s="48"/>
      <c r="BV460" s="53" t="n">
        <v>0</v>
      </c>
      <c r="BW460" s="53" t="n">
        <v>460</v>
      </c>
      <c r="BX460" s="48" t="str">
        <f aca="false">IF(U460&lt;&gt;"",UPPER(TRIM(U460)),IF(CA460=1,UPPER(VLOOKUP(T460,Parameter!$I$27:$K$29,2,0)),IF(P460="","LOSE",P460)))</f>
        <v>S51</v>
      </c>
      <c r="BY460" s="50" t="n">
        <f aca="false">IF(BX460="LOSE",1,IF(N(V460)&gt;0,V460,IF(CA460=1,MAX(1,N(VLOOKUP(T460,Parameter!$I$27:$K$29,3,0)),H460,N(N460)),IF(N(Q460)&gt;0,Q460,MAX(1,H460)))))</f>
        <v>271</v>
      </c>
      <c r="BZ460" s="53" t="n">
        <f aca="false">IF(BX460="LOSE",1,0)</f>
        <v>0</v>
      </c>
      <c r="CA460" s="53" t="n">
        <f aca="false">IF(AND(U460="",OR(P460="",P460="LOSE"),T460&lt;&gt;"",N(S460)&lt;=0,ISNUMBER(MATCH(T460,Parameter!$I$27:$I$29,0))),1,0)</f>
        <v>0</v>
      </c>
      <c r="CB460" s="53" t="n">
        <f aca="false">IF(CQ460&gt;0,INDEX(Parameter!$H$5:$H$7,W460)/INDEX(Parameter!$E$5:$E$7,W460),IF(AND(BZ460=0,N(IFERROR(VLOOKUP(BX460,'Gebinde-Kategorie'!$A$5:$N$45,14,0),0))&gt;0),VLOOKUP(BX460,'Gebinde-Kategorie'!$A$5:$N$45,14,0)*10+Parameter!$M$23,Parameter!$M$24))</f>
        <v>155</v>
      </c>
      <c r="CC460" s="48" t="str">
        <f aca="false">IF(AND(Parameter!$B$19="Ja",E460&lt;&gt;"",ISNUMBER(MATCH(E460,Parameter!$I$35:$I$52,0))),VLOOKUP(E460,Parameter!$I$35:$J$52,2,0),IFERROR(VLOOKUP(D460,Parameter!$A$35:$C$64,2,0),"Nein"))</f>
        <v>2+3</v>
      </c>
      <c r="CD460" s="52" t="n">
        <f aca="false">IF(BZ460=0,0,IF(N(S460)&gt;0,S460,IFERROR(VLOOKUP(D460,Parameter!$A$35:$C$64,3,0)+0,0)))</f>
        <v>0</v>
      </c>
      <c r="CE460" s="48" t="n">
        <f aca="false">IF(AA460&lt;&gt;"",AA460,Z460)</f>
        <v>3</v>
      </c>
      <c r="CF460" s="48" t="str">
        <f aca="false">IF(OR(CE460=1,CE460=2,CE460=3),IF(Parameter!$E$27="Ja","LIFT",IF(CE460=1,"L1","L23")),IF(CE460="Aussen","Aussen","-"))</f>
        <v>LIFT</v>
      </c>
      <c r="CG460" s="59" t="n">
        <f aca="false">IF(N(AB460)&gt;0,AB460,0)</f>
        <v>0</v>
      </c>
      <c r="CH460" s="53" t="n">
        <f aca="false">IF(ISNUMBER(AE460),1,0)</f>
        <v>0</v>
      </c>
      <c r="CI460" s="50" t="n">
        <f aca="false">N(AE460)</f>
        <v>0</v>
      </c>
      <c r="CJ460" s="50" t="n">
        <f aca="false">N(M460)+N(N460)</f>
        <v>584</v>
      </c>
      <c r="CK460" s="50" t="n">
        <f aca="false">N(M460)</f>
        <v>84</v>
      </c>
      <c r="CL460" s="50" t="n">
        <f aca="false">N(N460)</f>
        <v>500</v>
      </c>
      <c r="CM460" s="50" t="n">
        <f aca="false">ROUNDUP(H460/BY460,0)</f>
        <v>3</v>
      </c>
      <c r="CN460" s="50" t="n">
        <f aca="false">ROUNDUP(CI460/BY460,0)</f>
        <v>0</v>
      </c>
      <c r="CO460" s="53" t="n">
        <f aca="false">IF(BZ460=1,0,IFERROR(VLOOKUP(BX460,'Gebinde-Kategorie'!$A$5:$N$45,5,0)+0,0))</f>
        <v>11</v>
      </c>
      <c r="CP460" s="53" t="n">
        <f aca="false">IFERROR(IF(OR(CE460=1,CE460=2,CE460=3),N(INDEX(Parameter!$I$5:$I$7,CE460)),0),0)</f>
        <v>0</v>
      </c>
      <c r="CQ460" s="52" t="n">
        <f aca="false">IF(AND(Parameter!$B$21="Ja",ISNUMBER(W460),N(X460)&gt;0),IFERROR(N(INDEX(Parameter!$L$5:$L$7,W460))*INDEX(Parameter!$E$5:$E$7,W460)*X460/SUMIFS($X$7:$X$1843,$W$7:$W$1843,W460),0),0)</f>
        <v>0</v>
      </c>
    </row>
    <row r="461" customFormat="false" ht="15" hidden="false" customHeight="false" outlineLevel="0" collapsed="false">
      <c r="A461" s="48" t="s">
        <v>1047</v>
      </c>
      <c r="B461" s="48" t="s">
        <v>1048</v>
      </c>
      <c r="C461" s="48" t="s">
        <v>173</v>
      </c>
      <c r="D461" s="48" t="s">
        <v>193</v>
      </c>
      <c r="E461" s="48" t="s">
        <v>194</v>
      </c>
      <c r="F461" s="48" t="s">
        <v>227</v>
      </c>
      <c r="G461" s="49" t="n">
        <v>31.29</v>
      </c>
      <c r="H461" s="50" t="n">
        <f aca="false">MAX(0,IF(AND(Parameter!$B$21="Ja",ISNUMBER(Y461)),Y461,IF(Parameter!$B$20="Jahresanfang 2025 + Export",BR461+BQ461,BQ461)))</f>
        <v>184</v>
      </c>
      <c r="I461" s="50" t="n">
        <f aca="false">H461*G461</f>
        <v>5757.36</v>
      </c>
      <c r="J461" s="50" t="n">
        <f aca="false">BT461*Parameter!$B$18</f>
        <v>202</v>
      </c>
      <c r="K461" s="51" t="n">
        <v>137</v>
      </c>
      <c r="L461" s="52" t="n">
        <v>1.47445255474453</v>
      </c>
      <c r="M461" s="50" t="n">
        <v>11</v>
      </c>
      <c r="N461" s="50" t="n">
        <v>150</v>
      </c>
      <c r="O461" s="53" t="n">
        <v>21</v>
      </c>
      <c r="P461" s="48" t="s">
        <v>235</v>
      </c>
      <c r="Q461" s="50" t="n">
        <v>228</v>
      </c>
      <c r="R461" s="53" t="n">
        <f aca="false">IF(BZ461=1,0,IFERROR(VLOOKUP(BX461,'Gebinde-Kategorie'!$A$5:$N$45,13,0)+0,0))</f>
        <v>12</v>
      </c>
      <c r="S461" s="54"/>
      <c r="T461" s="55"/>
      <c r="U461" s="55"/>
      <c r="V461" s="55"/>
      <c r="W461" s="48"/>
      <c r="X461" s="50"/>
      <c r="Y461" s="50"/>
      <c r="Z461" s="48" t="n">
        <f aca="false">IF(A461="","",IF(AND(Parameter!$B$21="Ja",ISNUMBER(W461)),W461,IF(CC461="2+3",IF(ISNUMBER(SEARCH("grosser Artikel",BU461)),2,IFERROR(VLOOKUP(BX461,Parameter!$F$35:$G$64,2,0),2)),IF(OR(CC461="Nein",CC461=""),"-",CC461))))</f>
        <v>2</v>
      </c>
      <c r="AA461" s="55"/>
      <c r="AB461" s="56"/>
      <c r="AC461" s="50" t="n">
        <f aca="false">AV461</f>
        <v>161</v>
      </c>
      <c r="AD461" s="50" t="n">
        <f aca="false">MAX(AV461,H461)</f>
        <v>184</v>
      </c>
      <c r="AE461" s="57"/>
      <c r="AF461" s="50" t="n">
        <f aca="false">IF(LEFT(Cockpit!$C$5,1)="A",H461,IF(Parameter!$E$30="MAX-Bestand",IF(CH461=1,CI461,IF(LEFT(Cockpit!$C$5,1)="B",AL461,MAX(AL461,H461))),ROUNDUP(AJ461,0)))</f>
        <v>184</v>
      </c>
      <c r="AG461" s="50" t="n">
        <f aca="false">IF(BZ461=1,0,ROUNDUP(AF461/BY461,0))</f>
        <v>1</v>
      </c>
      <c r="AH461" s="52" t="n">
        <f aca="false">IF(CQ461&gt;0,CQ461*MAX(1,AF461/X461),IF(BZ461=1,IF(AF461&lt;=0,0,CD461*MAX(1,IF(H461&gt;0,AF461/H461,1))),IF(R461&gt;0,AG461/R461,0))/MAX(0.1,N(Parameter!$M$21)))</f>
        <v>0.0833333333333333</v>
      </c>
      <c r="AI461" s="50" t="n">
        <f aca="false">AH461*CB461</f>
        <v>28.75</v>
      </c>
      <c r="AJ461" s="51" t="n">
        <f aca="false">IF(LEFT(Cockpit!$C$5,1)="A",H461,IF(CH461=1,(CK461+CI461)/2,IF(LEFT(Cockpit!$C$5,1)="B",(CK461+AL461)/2,MAX((CK461+AL461)/2,H461))))</f>
        <v>184</v>
      </c>
      <c r="AK461" s="50" t="n">
        <f aca="false">AJ461*G461</f>
        <v>5757.36</v>
      </c>
      <c r="AL461" s="50" t="n">
        <f aca="false">ROUNDUP(CK461+MAX(CL461,2*(J461/IF(CG461&gt;0,CG461,MAX(0.1,N(Cockpit!$C$6)))-CK461)),0)</f>
        <v>161</v>
      </c>
      <c r="AM461" s="51" t="n">
        <f aca="false">IF(AI461&gt;0,J461/AI461,-1)</f>
        <v>7.02608695652174</v>
      </c>
      <c r="AN461" s="51" t="n">
        <f aca="false">IF(AND(OR(CF461="L1",CF461="L23",CF461="LIFT"),AI461&gt;0),SUMIFS($AI$7:$AI$1843,$CF$7:$CF$1843,CF461,$AM$7:$AM$1843,"&gt;"&amp;AM461)+SUMIFS($AI$7:$AI$1843,$CF$7:$CF$1843,CF461,$AM$7:$AM$1843,AM461,$BW$7:$BW$1843,"&lt;="&amp;BW461),"")</f>
        <v>3218.8869047619</v>
      </c>
      <c r="AO461" s="58" t="n">
        <f aca="false">IF(AN461="",0,MAX(0,MIN(1,(IF(CF461="L1",Parameter!$H$5,IF(CF461="L23",Parameter!$H$6+Parameter!$H$7,Parameter!$H$5+Parameter!$H$6+Parameter!$H$7))-(AN461-AI461))/AI461)))</f>
        <v>1</v>
      </c>
      <c r="AP461" s="50" t="n">
        <f aca="false">IF(LEFT(Cockpit!$I$5,1)="A",H461,IF(Parameter!$E$30="MAX-Bestand",IF(CH461=1,CI461,IF(LEFT(Cockpit!$I$5,1)="B",AV461,MAX(AV461,H461))),ROUNDUP(AT461,0)))</f>
        <v>184</v>
      </c>
      <c r="AQ461" s="50" t="n">
        <f aca="false">IF(BZ461=1,0,ROUNDUP(AP461/BY461,0))</f>
        <v>1</v>
      </c>
      <c r="AR461" s="52" t="n">
        <f aca="false">IF(CQ461&gt;0,CQ461*MAX(1,AP461/X461),IF(BZ461=1,IF(AP461&lt;=0,0,CD461*MAX(1,IF(H461&gt;0,AP461/H461,1))),IF(R461&gt;0,AQ461/R461,0))/MAX(0.1,N(Parameter!$M$21)))</f>
        <v>0.0833333333333333</v>
      </c>
      <c r="AS461" s="50" t="n">
        <f aca="false">AR461*CB461</f>
        <v>28.75</v>
      </c>
      <c r="AT461" s="51" t="n">
        <f aca="false">IF(LEFT(Cockpit!$I$5,1)="A",H461,IF(CH461=1,(CK461+CI461)/2,IF(LEFT(Cockpit!$I$5,1)="B",(CK461+AV461)/2,MAX((CK461+AV461)/2,H461))))</f>
        <v>184</v>
      </c>
      <c r="AU461" s="50" t="n">
        <f aca="false">AT461*G461</f>
        <v>5757.36</v>
      </c>
      <c r="AV461" s="50" t="n">
        <f aca="false">ROUNDUP(CK461+MAX(CL461,2*(J461/IF(CG461&gt;0,CG461,MAX(0.1,N(Cockpit!$I$6)))-CK461)),0)</f>
        <v>161</v>
      </c>
      <c r="AW461" s="51" t="n">
        <f aca="false">IF(AS461&gt;0,J461/AS461,-1)</f>
        <v>7.02608695652174</v>
      </c>
      <c r="AX461" s="51" t="n">
        <f aca="false">IF(AND(OR(CF461="L1",CF461="L23",CF461="LIFT"),AS461&gt;0),SUMIFS($AS$7:$AS$1843,$CF$7:$CF$1843,CF461,$AW$7:$AW$1843,"&gt;"&amp;AW461)+SUMIFS($AS$7:$AS$1843,$CF$7:$CF$1843,CF461,$AW$7:$AW$1843,AW461,$BW$7:$BW$1843,"&lt;="&amp;BW461),"")</f>
        <v>3879.19826007326</v>
      </c>
      <c r="AY461" s="58" t="n">
        <f aca="false">IF(AX461="",0,MAX(0,MIN(1,(IF(CF461="L1",Parameter!$H$5,IF(CF461="L23",Parameter!$H$6+Parameter!$H$7,Parameter!$H$5+Parameter!$H$6+Parameter!$H$7))-(AX461-AS461))/AS461)))</f>
        <v>1</v>
      </c>
      <c r="AZ461" s="50" t="n">
        <f aca="false">IF(LEFT(Cockpit!$O$5,1)="A",H461,IF(Parameter!$E$30="MAX-Bestand",IF(CH461=1,CI461,IF(LEFT(Cockpit!$O$5,1)="B",BF461,MAX(BF461,H461))),ROUNDUP(BD461,0)))</f>
        <v>86</v>
      </c>
      <c r="BA461" s="50" t="n">
        <f aca="false">IF(BZ461=1,0,ROUNDUP(AZ461/BY461,0))</f>
        <v>1</v>
      </c>
      <c r="BB461" s="52" t="n">
        <f aca="false">IF(CQ461&gt;0,CQ461*MAX(1,AZ461/X461),IF(BZ461=1,IF(AZ461&lt;=0,0,CD461*MAX(1,IF(H461&gt;0,AZ461/H461,1))),IF(R461&gt;0,BA461/R461,0))/MAX(0.1,N(Parameter!$M$21)))</f>
        <v>0.0833333333333333</v>
      </c>
      <c r="BC461" s="50" t="n">
        <f aca="false">BB461*CB461</f>
        <v>28.75</v>
      </c>
      <c r="BD461" s="51" t="n">
        <f aca="false">IF(LEFT(Cockpit!$O$5,1)="A",H461,IF(CH461=1,(CK461+CI461)/2,IF(LEFT(Cockpit!$O$5,1)="B",(CK461+BF461)/2,MAX((CK461+BF461)/2,H461))))</f>
        <v>86</v>
      </c>
      <c r="BE461" s="50" t="n">
        <f aca="false">BD461*G461</f>
        <v>2690.94</v>
      </c>
      <c r="BF461" s="50" t="n">
        <f aca="false">ROUNDUP(CK461+MAX(CL461,2*(J461/IF(CG461&gt;0,CG461,MAX(0.1,N(Cockpit!$O$6)))-CK461)),0)</f>
        <v>161</v>
      </c>
      <c r="BG461" s="51" t="n">
        <f aca="false">IF(BC461&gt;0,J461/BC461,-1)</f>
        <v>7.02608695652174</v>
      </c>
      <c r="BH461" s="51" t="n">
        <f aca="false">IF(AND(OR(CF461="L1",CF461="L23",CF461="LIFT"),BC461&gt;0),SUMIFS($BC$7:$BC$1843,$CF$7:$CF$1843,CF461,$BG$7:$BG$1843,"&gt;"&amp;BG461)+SUMIFS($BC$7:$BC$1843,$CF$7:$CF$1843,CF461,$BG$7:$BG$1843,BG461,$BW$7:$BW$1843,"&lt;="&amp;BW461),"")</f>
        <v>3312.59844322344</v>
      </c>
      <c r="BI461" s="58" t="n">
        <f aca="false">IF(BH461="",0,MAX(0,MIN(1,(IF(CF461="L1",Parameter!$H$5,IF(CF461="L23",Parameter!$H$6+Parameter!$H$7,Parameter!$H$5+Parameter!$H$6+Parameter!$H$7))-(BH461-BC461))/BC461)))</f>
        <v>1</v>
      </c>
      <c r="BJ461" s="48" t="str">
        <f aca="false">IF(AI461&lt;=0,"",IF(CF461="Aussen","Aussenlager",IF(CF461="-","Nicht im Lift",IF(AO461&gt;=1,"Lift",IF(AO461&lt;=0,"Aussenlager","teilweise")))))</f>
        <v>Lift</v>
      </c>
      <c r="BK461" s="48" t="str">
        <f aca="false">IF(AS461&lt;=0,"",IF(CF461="Aussen","Aussenlager",IF(CF461="-","Nicht im Lift",IF(AY461&gt;=1,"Lift",IF(AY461&lt;=0,"Aussenlager","teilweise")))))</f>
        <v>Lift</v>
      </c>
      <c r="BL461" s="48" t="str">
        <f aca="false">IF(BC461&lt;=0,"",IF(CF461="Aussen","Aussenlager",IF(CF461="-","Nicht im Lift",IF(BI461&gt;=1,"Lift",IF(BI461&lt;=0,"Aussenlager","teilweise")))))</f>
        <v>Lift</v>
      </c>
      <c r="BM461" s="48" t="str">
        <f aca="false">IF(A461="","",IF(BV461=1,"Neu; ","")&amp;IF(AND(BV461=0,BQ461&lt;0),"negativer Bestand (Export "&amp;BQ461&amp;"); ","")&amp;IF(J461&lt;=0,"Kein Verbrauch; ","")&amp;IF(CQ461&gt;0,"Lift "&amp;W461&amp;" lt. Liftbericht (Fach "&amp;X461&amp;" Stk); ",IF(CA461=1,"Gebinde geschätzt ("&amp;T461&amp;"); ",IF(BZ461=1,"Lose – Tablare geschätzt; ","")))&amp;IF(H461&gt;AV461,"Überbestand "&amp;ROUND(H461-AV461,0)&amp;" Stk / CHF "&amp;ROUND((H461-AV461)*G461,0)&amp;"; ","")&amp;IF(AND(CH461=1,CI461&lt;CJ461),"MAX &lt; MB+LG; ","")&amp;IF(AND(CP461&gt;0,CO461*10&gt;CP461),"zu hoch für Tablar; ","")&amp;IF(AND(BV461=0,OR(CH461=1,AA461&lt;&gt;"",U461&lt;&gt;"",V461&lt;&gt;"",AB461&lt;&gt;"")),"manuell übersteuert; ","")&amp;IF(AND(BZ461=0,R461=0),"Gebinde unbekannt / Stellmass fehlt; ","")&amp;IF(AND(BZ461=0,N(V461)&lt;=0,N(Q461)&lt;=0),"Menge pro Gebinde fehlt (Ist = 1 Gebinde); ","")&amp;BU461)</f>
        <v>Überbestand 23 Stk / CHF 720; </v>
      </c>
      <c r="BN461" s="48"/>
      <c r="BO461" s="48"/>
      <c r="BP461" s="55"/>
      <c r="BQ461" s="50" t="n">
        <v>25</v>
      </c>
      <c r="BR461" s="50" t="n">
        <v>159</v>
      </c>
      <c r="BS461" s="49" t="n">
        <v>57.6100000000038</v>
      </c>
      <c r="BT461" s="50" t="n">
        <v>202</v>
      </c>
      <c r="BU461" s="48"/>
      <c r="BV461" s="53" t="n">
        <v>0</v>
      </c>
      <c r="BW461" s="53" t="n">
        <v>461</v>
      </c>
      <c r="BX461" s="48" t="str">
        <f aca="false">IF(U461&lt;&gt;"",UPPER(TRIM(U461)),IF(CA461=1,UPPER(VLOOKUP(T461,Parameter!$I$27:$K$29,2,0)),IF(P461="","LOSE",P461)))</f>
        <v>S63</v>
      </c>
      <c r="BY461" s="50" t="n">
        <f aca="false">IF(BX461="LOSE",1,IF(N(V461)&gt;0,V461,IF(CA461=1,MAX(1,N(VLOOKUP(T461,Parameter!$I$27:$K$29,3,0)),H461,N(N461)),IF(N(Q461)&gt;0,Q461,MAX(1,H461)))))</f>
        <v>228</v>
      </c>
      <c r="BZ461" s="53" t="n">
        <f aca="false">IF(BX461="LOSE",1,0)</f>
        <v>0</v>
      </c>
      <c r="CA461" s="53" t="n">
        <f aca="false">IF(AND(U461="",OR(P461="",P461="LOSE"),T461&lt;&gt;"",N(S461)&lt;=0,ISNUMBER(MATCH(T461,Parameter!$I$27:$I$29,0))),1,0)</f>
        <v>0</v>
      </c>
      <c r="CB461" s="53" t="n">
        <f aca="false">IF(CQ461&gt;0,INDEX(Parameter!$H$5:$H$7,W461)/INDEX(Parameter!$E$5:$E$7,W461),IF(AND(BZ461=0,N(IFERROR(VLOOKUP(BX461,'Gebinde-Kategorie'!$A$5:$N$45,14,0),0))&gt;0),VLOOKUP(BX461,'Gebinde-Kategorie'!$A$5:$N$45,14,0)*10+Parameter!$M$23,Parameter!$M$24))</f>
        <v>345</v>
      </c>
      <c r="CC461" s="48" t="str">
        <f aca="false">IF(AND(Parameter!$B$19="Ja",E461&lt;&gt;"",ISNUMBER(MATCH(E461,Parameter!$I$35:$I$52,0))),VLOOKUP(E461,Parameter!$I$35:$J$52,2,0),IFERROR(VLOOKUP(D461,Parameter!$A$35:$C$64,2,0),"Nein"))</f>
        <v>2+3</v>
      </c>
      <c r="CD461" s="52" t="n">
        <f aca="false">IF(BZ461=0,0,IF(N(S461)&gt;0,S461,IFERROR(VLOOKUP(D461,Parameter!$A$35:$C$64,3,0)+0,0)))</f>
        <v>0</v>
      </c>
      <c r="CE461" s="48" t="n">
        <f aca="false">IF(AA461&lt;&gt;"",AA461,Z461)</f>
        <v>2</v>
      </c>
      <c r="CF461" s="48" t="str">
        <f aca="false">IF(OR(CE461=1,CE461=2,CE461=3),IF(Parameter!$E$27="Ja","LIFT",IF(CE461=1,"L1","L23")),IF(CE461="Aussen","Aussen","-"))</f>
        <v>LIFT</v>
      </c>
      <c r="CG461" s="59" t="n">
        <f aca="false">IF(N(AB461)&gt;0,AB461,0)</f>
        <v>0</v>
      </c>
      <c r="CH461" s="53" t="n">
        <f aca="false">IF(ISNUMBER(AE461),1,0)</f>
        <v>0</v>
      </c>
      <c r="CI461" s="50" t="n">
        <f aca="false">N(AE461)</f>
        <v>0</v>
      </c>
      <c r="CJ461" s="50" t="n">
        <f aca="false">N(M461)+N(N461)</f>
        <v>161</v>
      </c>
      <c r="CK461" s="50" t="n">
        <f aca="false">N(M461)</f>
        <v>11</v>
      </c>
      <c r="CL461" s="50" t="n">
        <f aca="false">N(N461)</f>
        <v>150</v>
      </c>
      <c r="CM461" s="50" t="n">
        <f aca="false">ROUNDUP(H461/BY461,0)</f>
        <v>1</v>
      </c>
      <c r="CN461" s="50" t="n">
        <f aca="false">ROUNDUP(CI461/BY461,0)</f>
        <v>0</v>
      </c>
      <c r="CO461" s="53" t="n">
        <f aca="false">IF(BZ461=1,0,IFERROR(VLOOKUP(BX461,'Gebinde-Kategorie'!$A$5:$N$45,5,0)+0,0))</f>
        <v>31</v>
      </c>
      <c r="CP461" s="53" t="n">
        <f aca="false">IFERROR(IF(OR(CE461=1,CE461=2,CE461=3),N(INDEX(Parameter!$I$5:$I$7,CE461)),0),0)</f>
        <v>0</v>
      </c>
      <c r="CQ461" s="52" t="n">
        <f aca="false">IF(AND(Parameter!$B$21="Ja",ISNUMBER(W461),N(X461)&gt;0),IFERROR(N(INDEX(Parameter!$L$5:$L$7,W461))*INDEX(Parameter!$E$5:$E$7,W461)*X461/SUMIFS($X$7:$X$1843,$W$7:$W$1843,W461),0),0)</f>
        <v>0</v>
      </c>
    </row>
    <row r="462" customFormat="false" ht="15" hidden="false" customHeight="false" outlineLevel="0" collapsed="false">
      <c r="A462" s="48" t="s">
        <v>1049</v>
      </c>
      <c r="B462" s="48" t="s">
        <v>1050</v>
      </c>
      <c r="C462" s="48" t="s">
        <v>173</v>
      </c>
      <c r="D462" s="48" t="s">
        <v>193</v>
      </c>
      <c r="E462" s="48" t="s">
        <v>194</v>
      </c>
      <c r="F462" s="48" t="s">
        <v>227</v>
      </c>
      <c r="G462" s="49" t="n">
        <v>42.77</v>
      </c>
      <c r="H462" s="50" t="n">
        <f aca="false">MAX(0,IF(AND(Parameter!$B$21="Ja",ISNUMBER(Y462)),Y462,IF(Parameter!$B$20="Jahresanfang 2025 + Export",BR462+BQ462,BQ462)))</f>
        <v>8</v>
      </c>
      <c r="I462" s="50" t="n">
        <f aca="false">H462*G462</f>
        <v>342.16</v>
      </c>
      <c r="J462" s="50" t="n">
        <f aca="false">BT462*Parameter!$B$18</f>
        <v>3</v>
      </c>
      <c r="K462" s="51" t="n">
        <v>7.5</v>
      </c>
      <c r="L462" s="52" t="n">
        <v>0.4</v>
      </c>
      <c r="M462" s="50" t="n">
        <v>0</v>
      </c>
      <c r="N462" s="50" t="n">
        <v>5</v>
      </c>
      <c r="O462" s="53" t="n">
        <v>21</v>
      </c>
      <c r="P462" s="48" t="s">
        <v>430</v>
      </c>
      <c r="Q462" s="50" t="n">
        <v>11</v>
      </c>
      <c r="R462" s="53" t="n">
        <f aca="false">IF(BZ462=1,0,IFERROR(VLOOKUP(BX462,'Gebinde-Kategorie'!$A$5:$N$45,13,0)+0,0))</f>
        <v>104</v>
      </c>
      <c r="S462" s="54"/>
      <c r="T462" s="55"/>
      <c r="U462" s="55"/>
      <c r="V462" s="55"/>
      <c r="W462" s="48"/>
      <c r="X462" s="50"/>
      <c r="Y462" s="50"/>
      <c r="Z462" s="48" t="n">
        <f aca="false">IF(A462="","",IF(AND(Parameter!$B$21="Ja",ISNUMBER(W462)),W462,IF(CC462="2+3",IF(ISNUMBER(SEARCH("grosser Artikel",BU462)),2,IFERROR(VLOOKUP(BX462,Parameter!$F$35:$G$64,2,0),2)),IF(OR(CC462="Nein",CC462=""),"-",CC462))))</f>
        <v>3</v>
      </c>
      <c r="AA462" s="55"/>
      <c r="AB462" s="56"/>
      <c r="AC462" s="50" t="n">
        <f aca="false">AV462</f>
        <v>5</v>
      </c>
      <c r="AD462" s="50" t="n">
        <f aca="false">MAX(AV462,H462)</f>
        <v>8</v>
      </c>
      <c r="AE462" s="57"/>
      <c r="AF462" s="50" t="n">
        <f aca="false">IF(LEFT(Cockpit!$C$5,1)="A",H462,IF(Parameter!$E$30="MAX-Bestand",IF(CH462=1,CI462,IF(LEFT(Cockpit!$C$5,1)="B",AL462,MAX(AL462,H462))),ROUNDUP(AJ462,0)))</f>
        <v>8</v>
      </c>
      <c r="AG462" s="50" t="n">
        <f aca="false">IF(BZ462=1,0,ROUNDUP(AF462/BY462,0))</f>
        <v>1</v>
      </c>
      <c r="AH462" s="52" t="n">
        <f aca="false">IF(CQ462&gt;0,CQ462*MAX(1,AF462/X462),IF(BZ462=1,IF(AF462&lt;=0,0,CD462*MAX(1,IF(H462&gt;0,AF462/H462,1))),IF(R462&gt;0,AG462/R462,0))/MAX(0.1,N(Parameter!$M$21)))</f>
        <v>0.00961538461538462</v>
      </c>
      <c r="AI462" s="50" t="n">
        <f aca="false">AH462*CB462</f>
        <v>1.49038461538462</v>
      </c>
      <c r="AJ462" s="51" t="n">
        <f aca="false">IF(LEFT(Cockpit!$C$5,1)="A",H462,IF(CH462=1,(CK462+CI462)/2,IF(LEFT(Cockpit!$C$5,1)="B",(CK462+AL462)/2,MAX((CK462+AL462)/2,H462))))</f>
        <v>8</v>
      </c>
      <c r="AK462" s="50" t="n">
        <f aca="false">AJ462*G462</f>
        <v>342.16</v>
      </c>
      <c r="AL462" s="50" t="n">
        <f aca="false">ROUNDUP(CK462+MAX(CL462,2*(J462/IF(CG462&gt;0,CG462,MAX(0.1,N(Cockpit!$C$6)))-CK462)),0)</f>
        <v>5</v>
      </c>
      <c r="AM462" s="51" t="n">
        <f aca="false">IF(AI462&gt;0,J462/AI462,-1)</f>
        <v>2.01290322580645</v>
      </c>
      <c r="AN462" s="51" t="n">
        <f aca="false">IF(AND(OR(CF462="L1",CF462="L23",CF462="LIFT"),AI462&gt;0),SUMIFS($AI$7:$AI$1843,$CF$7:$CF$1843,CF462,$AM$7:$AM$1843,"&gt;"&amp;AM462)+SUMIFS($AI$7:$AI$1843,$CF$7:$CF$1843,CF462,$AM$7:$AM$1843,AM462,$BW$7:$BW$1843,"&lt;="&amp;BW462),"")</f>
        <v>5781.90750915751</v>
      </c>
      <c r="AO462" s="58" t="n">
        <f aca="false">IF(AN462="",0,MAX(0,MIN(1,(IF(CF462="L1",Parameter!$H$5,IF(CF462="L23",Parameter!$H$6+Parameter!$H$7,Parameter!$H$5+Parameter!$H$6+Parameter!$H$7))-(AN462-AI462))/AI462)))</f>
        <v>1</v>
      </c>
      <c r="AP462" s="50" t="n">
        <f aca="false">IF(LEFT(Cockpit!$I$5,1)="A",H462,IF(Parameter!$E$30="MAX-Bestand",IF(CH462=1,CI462,IF(LEFT(Cockpit!$I$5,1)="B",AV462,MAX(AV462,H462))),ROUNDUP(AT462,0)))</f>
        <v>8</v>
      </c>
      <c r="AQ462" s="50" t="n">
        <f aca="false">IF(BZ462=1,0,ROUNDUP(AP462/BY462,0))</f>
        <v>1</v>
      </c>
      <c r="AR462" s="52" t="n">
        <f aca="false">IF(CQ462&gt;0,CQ462*MAX(1,AP462/X462),IF(BZ462=1,IF(AP462&lt;=0,0,CD462*MAX(1,IF(H462&gt;0,AP462/H462,1))),IF(R462&gt;0,AQ462/R462,0))/MAX(0.1,N(Parameter!$M$21)))</f>
        <v>0.00961538461538462</v>
      </c>
      <c r="AS462" s="50" t="n">
        <f aca="false">AR462*CB462</f>
        <v>1.49038461538462</v>
      </c>
      <c r="AT462" s="51" t="n">
        <f aca="false">IF(LEFT(Cockpit!$I$5,1)="A",H462,IF(CH462=1,(CK462+CI462)/2,IF(LEFT(Cockpit!$I$5,1)="B",(CK462+AV462)/2,MAX((CK462+AV462)/2,H462))))</f>
        <v>8</v>
      </c>
      <c r="AU462" s="50" t="n">
        <f aca="false">AT462*G462</f>
        <v>342.16</v>
      </c>
      <c r="AV462" s="50" t="n">
        <f aca="false">ROUNDUP(CK462+MAX(CL462,2*(J462/IF(CG462&gt;0,CG462,MAX(0.1,N(Cockpit!$I$6)))-CK462)),0)</f>
        <v>5</v>
      </c>
      <c r="AW462" s="51" t="n">
        <f aca="false">IF(AS462&gt;0,J462/AS462,-1)</f>
        <v>2.01290322580645</v>
      </c>
      <c r="AX462" s="51" t="n">
        <f aca="false">IF(AND(OR(CF462="L1",CF462="L23",CF462="LIFT"),AS462&gt;0),SUMIFS($AS$7:$AS$1843,$CF$7:$CF$1843,CF462,$AW$7:$AW$1843,"&gt;"&amp;AW462)+SUMIFS($AS$7:$AS$1843,$CF$7:$CF$1843,CF462,$AW$7:$AW$1843,AW462,$BW$7:$BW$1843,"&lt;="&amp;BW462),"")</f>
        <v>7149.84706959707</v>
      </c>
      <c r="AY462" s="58" t="n">
        <f aca="false">IF(AX462="",0,MAX(0,MIN(1,(IF(CF462="L1",Parameter!$H$5,IF(CF462="L23",Parameter!$H$6+Parameter!$H$7,Parameter!$H$5+Parameter!$H$6+Parameter!$H$7))-(AX462-AS462))/AS462)))</f>
        <v>1</v>
      </c>
      <c r="AZ462" s="50" t="n">
        <f aca="false">IF(LEFT(Cockpit!$O$5,1)="A",H462,IF(Parameter!$E$30="MAX-Bestand",IF(CH462=1,CI462,IF(LEFT(Cockpit!$O$5,1)="B",BF462,MAX(BF462,H462))),ROUNDUP(BD462,0)))</f>
        <v>3</v>
      </c>
      <c r="BA462" s="50" t="n">
        <f aca="false">IF(BZ462=1,0,ROUNDUP(AZ462/BY462,0))</f>
        <v>1</v>
      </c>
      <c r="BB462" s="52" t="n">
        <f aca="false">IF(CQ462&gt;0,CQ462*MAX(1,AZ462/X462),IF(BZ462=1,IF(AZ462&lt;=0,0,CD462*MAX(1,IF(H462&gt;0,AZ462/H462,1))),IF(R462&gt;0,BA462/R462,0))/MAX(0.1,N(Parameter!$M$21)))</f>
        <v>0.00961538461538462</v>
      </c>
      <c r="BC462" s="50" t="n">
        <f aca="false">BB462*CB462</f>
        <v>1.49038461538462</v>
      </c>
      <c r="BD462" s="51" t="n">
        <f aca="false">IF(LEFT(Cockpit!$O$5,1)="A",H462,IF(CH462=1,(CK462+CI462)/2,IF(LEFT(Cockpit!$O$5,1)="B",(CK462+BF462)/2,MAX((CK462+BF462)/2,H462))))</f>
        <v>2.5</v>
      </c>
      <c r="BE462" s="50" t="n">
        <f aca="false">BD462*G462</f>
        <v>106.925</v>
      </c>
      <c r="BF462" s="50" t="n">
        <f aca="false">ROUNDUP(CK462+MAX(CL462,2*(J462/IF(CG462&gt;0,CG462,MAX(0.1,N(Cockpit!$O$6)))-CK462)),0)</f>
        <v>5</v>
      </c>
      <c r="BG462" s="51" t="n">
        <f aca="false">IF(BC462&gt;0,J462/BC462,-1)</f>
        <v>2.01290322580645</v>
      </c>
      <c r="BH462" s="51" t="n">
        <f aca="false">IF(AND(OR(CF462="L1",CF462="L23",CF462="LIFT"),BC462&gt;0),SUMIFS($BC$7:$BC$1843,$CF$7:$CF$1843,CF462,$BG$7:$BG$1843,"&gt;"&amp;BG462)+SUMIFS($BC$7:$BC$1843,$CF$7:$CF$1843,CF462,$BG$7:$BG$1843,BG462,$BW$7:$BW$1843,"&lt;="&amp;BW462),"")</f>
        <v>5860.6217948718</v>
      </c>
      <c r="BI462" s="58" t="n">
        <f aca="false">IF(BH462="",0,MAX(0,MIN(1,(IF(CF462="L1",Parameter!$H$5,IF(CF462="L23",Parameter!$H$6+Parameter!$H$7,Parameter!$H$5+Parameter!$H$6+Parameter!$H$7))-(BH462-BC462))/BC462)))</f>
        <v>1</v>
      </c>
      <c r="BJ462" s="48" t="str">
        <f aca="false">IF(AI462&lt;=0,"",IF(CF462="Aussen","Aussenlager",IF(CF462="-","Nicht im Lift",IF(AO462&gt;=1,"Lift",IF(AO462&lt;=0,"Aussenlager","teilweise")))))</f>
        <v>Lift</v>
      </c>
      <c r="BK462" s="48" t="str">
        <f aca="false">IF(AS462&lt;=0,"",IF(CF462="Aussen","Aussenlager",IF(CF462="-","Nicht im Lift",IF(AY462&gt;=1,"Lift",IF(AY462&lt;=0,"Aussenlager","teilweise")))))</f>
        <v>Lift</v>
      </c>
      <c r="BL462" s="48" t="str">
        <f aca="false">IF(BC462&lt;=0,"",IF(CF462="Aussen","Aussenlager",IF(CF462="-","Nicht im Lift",IF(BI462&gt;=1,"Lift",IF(BI462&lt;=0,"Aussenlager","teilweise")))))</f>
        <v>Lift</v>
      </c>
      <c r="BM462" s="48" t="str">
        <f aca="false">IF(A462="","",IF(BV462=1,"Neu; ","")&amp;IF(AND(BV462=0,BQ462&lt;0),"negativer Bestand (Export "&amp;BQ462&amp;"); ","")&amp;IF(J462&lt;=0,"Kein Verbrauch; ","")&amp;IF(CQ462&gt;0,"Lift "&amp;W462&amp;" lt. Liftbericht (Fach "&amp;X462&amp;" Stk); ",IF(CA462=1,"Gebinde geschätzt ("&amp;T462&amp;"); ",IF(BZ462=1,"Lose – Tablare geschätzt; ","")))&amp;IF(H462&gt;AV462,"Überbestand "&amp;ROUND(H462-AV462,0)&amp;" Stk / CHF "&amp;ROUND((H462-AV462)*G462,0)&amp;"; ","")&amp;IF(AND(CH462=1,CI462&lt;CJ462),"MAX &lt; MB+LG; ","")&amp;IF(AND(CP462&gt;0,CO462*10&gt;CP462),"zu hoch für Tablar; ","")&amp;IF(AND(BV462=0,OR(CH462=1,AA462&lt;&gt;"",U462&lt;&gt;"",V462&lt;&gt;"",AB462&lt;&gt;"")),"manuell übersteuert; ","")&amp;IF(AND(BZ462=0,R462=0),"Gebinde unbekannt / Stellmass fehlt; ","")&amp;IF(AND(BZ462=0,N(V462)&lt;=0,N(Q462)&lt;=0),"Menge pro Gebinde fehlt (Ist = 1 Gebinde); ","")&amp;BU462)</f>
        <v>Überbestand 3 Stk / CHF 128; Neu</v>
      </c>
      <c r="BN462" s="48"/>
      <c r="BO462" s="48"/>
      <c r="BP462" s="55"/>
      <c r="BQ462" s="50" t="n">
        <v>1</v>
      </c>
      <c r="BR462" s="50" t="n">
        <v>7</v>
      </c>
      <c r="BS462" s="49" t="n">
        <v>57.47</v>
      </c>
      <c r="BT462" s="50" t="n">
        <v>3</v>
      </c>
      <c r="BU462" s="48" t="s">
        <v>635</v>
      </c>
      <c r="BV462" s="53" t="n">
        <v>0</v>
      </c>
      <c r="BW462" s="53" t="n">
        <v>462</v>
      </c>
      <c r="BX462" s="48" t="str">
        <f aca="false">IF(U462&lt;&gt;"",UPPER(TRIM(U462)),IF(CA462=1,UPPER(VLOOKUP(T462,Parameter!$I$27:$K$29,2,0)),IF(P462="","LOSE",P462)))</f>
        <v>S32</v>
      </c>
      <c r="BY462" s="50" t="n">
        <f aca="false">IF(BX462="LOSE",1,IF(N(V462)&gt;0,V462,IF(CA462=1,MAX(1,N(VLOOKUP(T462,Parameter!$I$27:$K$29,3,0)),H462,N(N462)),IF(N(Q462)&gt;0,Q462,MAX(1,H462)))))</f>
        <v>11</v>
      </c>
      <c r="BZ462" s="53" t="n">
        <f aca="false">IF(BX462="LOSE",1,0)</f>
        <v>0</v>
      </c>
      <c r="CA462" s="53" t="n">
        <f aca="false">IF(AND(U462="",OR(P462="",P462="LOSE"),T462&lt;&gt;"",N(S462)&lt;=0,ISNUMBER(MATCH(T462,Parameter!$I$27:$I$29,0))),1,0)</f>
        <v>0</v>
      </c>
      <c r="CB462" s="53" t="n">
        <f aca="false">IF(CQ462&gt;0,INDEX(Parameter!$H$5:$H$7,W462)/INDEX(Parameter!$E$5:$E$7,W462),IF(AND(BZ462=0,N(IFERROR(VLOOKUP(BX462,'Gebinde-Kategorie'!$A$5:$N$45,14,0),0))&gt;0),VLOOKUP(BX462,'Gebinde-Kategorie'!$A$5:$N$45,14,0)*10+Parameter!$M$23,Parameter!$M$24))</f>
        <v>155</v>
      </c>
      <c r="CC462" s="48" t="str">
        <f aca="false">IF(AND(Parameter!$B$19="Ja",E462&lt;&gt;"",ISNUMBER(MATCH(E462,Parameter!$I$35:$I$52,0))),VLOOKUP(E462,Parameter!$I$35:$J$52,2,0),IFERROR(VLOOKUP(D462,Parameter!$A$35:$C$64,2,0),"Nein"))</f>
        <v>2+3</v>
      </c>
      <c r="CD462" s="52" t="n">
        <f aca="false">IF(BZ462=0,0,IF(N(S462)&gt;0,S462,IFERROR(VLOOKUP(D462,Parameter!$A$35:$C$64,3,0)+0,0)))</f>
        <v>0</v>
      </c>
      <c r="CE462" s="48" t="n">
        <f aca="false">IF(AA462&lt;&gt;"",AA462,Z462)</f>
        <v>3</v>
      </c>
      <c r="CF462" s="48" t="str">
        <f aca="false">IF(OR(CE462=1,CE462=2,CE462=3),IF(Parameter!$E$27="Ja","LIFT",IF(CE462=1,"L1","L23")),IF(CE462="Aussen","Aussen","-"))</f>
        <v>LIFT</v>
      </c>
      <c r="CG462" s="59" t="n">
        <f aca="false">IF(N(AB462)&gt;0,AB462,0)</f>
        <v>0</v>
      </c>
      <c r="CH462" s="53" t="n">
        <f aca="false">IF(ISNUMBER(AE462),1,0)</f>
        <v>0</v>
      </c>
      <c r="CI462" s="50" t="n">
        <f aca="false">N(AE462)</f>
        <v>0</v>
      </c>
      <c r="CJ462" s="50" t="n">
        <f aca="false">N(M462)+N(N462)</f>
        <v>5</v>
      </c>
      <c r="CK462" s="50" t="n">
        <f aca="false">N(M462)</f>
        <v>0</v>
      </c>
      <c r="CL462" s="50" t="n">
        <f aca="false">N(N462)</f>
        <v>5</v>
      </c>
      <c r="CM462" s="50" t="n">
        <f aca="false">ROUNDUP(H462/BY462,0)</f>
        <v>1</v>
      </c>
      <c r="CN462" s="50" t="n">
        <f aca="false">ROUNDUP(CI462/BY462,0)</f>
        <v>0</v>
      </c>
      <c r="CO462" s="53" t="n">
        <f aca="false">IF(BZ462=1,0,IFERROR(VLOOKUP(BX462,'Gebinde-Kategorie'!$A$5:$N$45,5,0)+0,0))</f>
        <v>8</v>
      </c>
      <c r="CP462" s="53" t="n">
        <f aca="false">IFERROR(IF(OR(CE462=1,CE462=2,CE462=3),N(INDEX(Parameter!$I$5:$I$7,CE462)),0),0)</f>
        <v>0</v>
      </c>
      <c r="CQ462" s="52" t="n">
        <f aca="false">IF(AND(Parameter!$B$21="Ja",ISNUMBER(W462),N(X462)&gt;0),IFERROR(N(INDEX(Parameter!$L$5:$L$7,W462))*INDEX(Parameter!$E$5:$E$7,W462)*X462/SUMIFS($X$7:$X$1843,$W$7:$W$1843,W462),0),0)</f>
        <v>0</v>
      </c>
    </row>
    <row r="463" customFormat="false" ht="15" hidden="false" customHeight="false" outlineLevel="0" collapsed="false">
      <c r="A463" s="48" t="s">
        <v>1051</v>
      </c>
      <c r="B463" s="48" t="s">
        <v>557</v>
      </c>
      <c r="C463" s="48" t="s">
        <v>173</v>
      </c>
      <c r="D463" s="48" t="s">
        <v>193</v>
      </c>
      <c r="E463" s="48"/>
      <c r="F463" s="48" t="s">
        <v>227</v>
      </c>
      <c r="G463" s="49" t="n">
        <v>57.39</v>
      </c>
      <c r="H463" s="50" t="n">
        <f aca="false">MAX(0,IF(AND(Parameter!$B$21="Ja",ISNUMBER(Y463)),Y463,IF(Parameter!$B$20="Jahresanfang 2025 + Export",BR463+BQ463,BQ463)))</f>
        <v>3</v>
      </c>
      <c r="I463" s="50" t="n">
        <f aca="false">H463*G463</f>
        <v>172.17</v>
      </c>
      <c r="J463" s="50" t="n">
        <f aca="false">BT463*Parameter!$B$18</f>
        <v>1</v>
      </c>
      <c r="K463" s="51" t="n">
        <v>2.5</v>
      </c>
      <c r="L463" s="52" t="n">
        <v>0.4</v>
      </c>
      <c r="M463" s="50" t="n">
        <v>0</v>
      </c>
      <c r="N463" s="50" t="n">
        <v>1</v>
      </c>
      <c r="O463" s="53" t="n">
        <v>28</v>
      </c>
      <c r="P463" s="48" t="s">
        <v>337</v>
      </c>
      <c r="Q463" s="50" t="n">
        <v>3</v>
      </c>
      <c r="R463" s="53" t="n">
        <f aca="false">IF(BZ463=1,0,IFERROR(VLOOKUP(BX463,'Gebinde-Kategorie'!$A$5:$N$45,13,0)+0,0))</f>
        <v>52</v>
      </c>
      <c r="S463" s="54"/>
      <c r="T463" s="55"/>
      <c r="U463" s="55"/>
      <c r="V463" s="55"/>
      <c r="W463" s="48"/>
      <c r="X463" s="50"/>
      <c r="Y463" s="50"/>
      <c r="Z463" s="48" t="n">
        <f aca="false">IF(A463="","",IF(AND(Parameter!$B$21="Ja",ISNUMBER(W463)),W463,IF(CC463="2+3",IF(ISNUMBER(SEARCH("grosser Artikel",BU463)),2,IFERROR(VLOOKUP(BX463,Parameter!$F$35:$G$64,2,0),2)),IF(OR(CC463="Nein",CC463=""),"-",CC463))))</f>
        <v>3</v>
      </c>
      <c r="AA463" s="55"/>
      <c r="AB463" s="56"/>
      <c r="AC463" s="50" t="n">
        <f aca="false">AV463</f>
        <v>1</v>
      </c>
      <c r="AD463" s="50" t="n">
        <f aca="false">MAX(AV463,H463)</f>
        <v>3</v>
      </c>
      <c r="AE463" s="57"/>
      <c r="AF463" s="50" t="n">
        <f aca="false">IF(LEFT(Cockpit!$C$5,1)="A",H463,IF(Parameter!$E$30="MAX-Bestand",IF(CH463=1,CI463,IF(LEFT(Cockpit!$C$5,1)="B",AL463,MAX(AL463,H463))),ROUNDUP(AJ463,0)))</f>
        <v>3</v>
      </c>
      <c r="AG463" s="50" t="n">
        <f aca="false">IF(BZ463=1,0,ROUNDUP(AF463/BY463,0))</f>
        <v>1</v>
      </c>
      <c r="AH463" s="52" t="n">
        <f aca="false">IF(CQ463&gt;0,CQ463*MAX(1,AF463/X463),IF(BZ463=1,IF(AF463&lt;=0,0,CD463*MAX(1,IF(H463&gt;0,AF463/H463,1))),IF(R463&gt;0,AG463/R463,0))/MAX(0.1,N(Parameter!$M$21)))</f>
        <v>0.0192307692307692</v>
      </c>
      <c r="AI463" s="50" t="n">
        <f aca="false">AH463*CB463</f>
        <v>2.98076923076923</v>
      </c>
      <c r="AJ463" s="51" t="n">
        <f aca="false">IF(LEFT(Cockpit!$C$5,1)="A",H463,IF(CH463=1,(CK463+CI463)/2,IF(LEFT(Cockpit!$C$5,1)="B",(CK463+AL463)/2,MAX((CK463+AL463)/2,H463))))</f>
        <v>3</v>
      </c>
      <c r="AK463" s="50" t="n">
        <f aca="false">AJ463*G463</f>
        <v>172.17</v>
      </c>
      <c r="AL463" s="50" t="n">
        <f aca="false">ROUNDUP(CK463+MAX(CL463,2*(J463/IF(CG463&gt;0,CG463,MAX(0.1,N(Cockpit!$C$6)))-CK463)),0)</f>
        <v>1</v>
      </c>
      <c r="AM463" s="51" t="n">
        <f aca="false">IF(AI463&gt;0,J463/AI463,-1)</f>
        <v>0.335483870967742</v>
      </c>
      <c r="AN463" s="51" t="n">
        <f aca="false">IF(AND(OR(CF463="L1",CF463="L23",CF463="LIFT"),AI463&gt;0),SUMIFS($AI$7:$AI$1843,$CF$7:$CF$1843,CF463,$AM$7:$AM$1843,"&gt;"&amp;AM463)+SUMIFS($AI$7:$AI$1843,$CF$7:$CF$1843,CF463,$AM$7:$AM$1843,AM463,$BW$7:$BW$1843,"&lt;="&amp;BW463),"")</f>
        <v>11180.0578087167</v>
      </c>
      <c r="AO463" s="58" t="n">
        <f aca="false">IF(AN463="",0,MAX(0,MIN(1,(IF(CF463="L1",Parameter!$H$5,IF(CF463="L23",Parameter!$H$6+Parameter!$H$7,Parameter!$H$5+Parameter!$H$6+Parameter!$H$7))-(AN463-AI463))/AI463)))</f>
        <v>1</v>
      </c>
      <c r="AP463" s="50" t="n">
        <f aca="false">IF(LEFT(Cockpit!$I$5,1)="A",H463,IF(Parameter!$E$30="MAX-Bestand",IF(CH463=1,CI463,IF(LEFT(Cockpit!$I$5,1)="B",AV463,MAX(AV463,H463))),ROUNDUP(AT463,0)))</f>
        <v>3</v>
      </c>
      <c r="AQ463" s="50" t="n">
        <f aca="false">IF(BZ463=1,0,ROUNDUP(AP463/BY463,0))</f>
        <v>1</v>
      </c>
      <c r="AR463" s="52" t="n">
        <f aca="false">IF(CQ463&gt;0,CQ463*MAX(1,AP463/X463),IF(BZ463=1,IF(AP463&lt;=0,0,CD463*MAX(1,IF(H463&gt;0,AP463/H463,1))),IF(R463&gt;0,AQ463/R463,0))/MAX(0.1,N(Parameter!$M$21)))</f>
        <v>0.0192307692307692</v>
      </c>
      <c r="AS463" s="50" t="n">
        <f aca="false">AR463*CB463</f>
        <v>2.98076923076923</v>
      </c>
      <c r="AT463" s="51" t="n">
        <f aca="false">IF(LEFT(Cockpit!$I$5,1)="A",H463,IF(CH463=1,(CK463+CI463)/2,IF(LEFT(Cockpit!$I$5,1)="B",(CK463+AV463)/2,MAX((CK463+AV463)/2,H463))))</f>
        <v>3</v>
      </c>
      <c r="AU463" s="50" t="n">
        <f aca="false">AT463*G463</f>
        <v>172.17</v>
      </c>
      <c r="AV463" s="50" t="n">
        <f aca="false">ROUNDUP(CK463+MAX(CL463,2*(J463/IF(CG463&gt;0,CG463,MAX(0.1,N(Cockpit!$I$6)))-CK463)),0)</f>
        <v>1</v>
      </c>
      <c r="AW463" s="51" t="n">
        <f aca="false">IF(AS463&gt;0,J463/AS463,-1)</f>
        <v>0.335483870967742</v>
      </c>
      <c r="AX463" s="51" t="n">
        <f aca="false">IF(AND(OR(CF463="L1",CF463="L23",CF463="LIFT"),AS463&gt;0),SUMIFS($AS$7:$AS$1843,$CF$7:$CF$1843,CF463,$AW$7:$AW$1843,"&gt;"&amp;AW463)+SUMIFS($AS$7:$AS$1843,$CF$7:$CF$1843,CF463,$AW$7:$AW$1843,AW463,$BW$7:$BW$1843,"&lt;="&amp;BW463),"")</f>
        <v>13702.2724358974</v>
      </c>
      <c r="AY463" s="58" t="n">
        <f aca="false">IF(AX463="",0,MAX(0,MIN(1,(IF(CF463="L1",Parameter!$H$5,IF(CF463="L23",Parameter!$H$6+Parameter!$H$7,Parameter!$H$5+Parameter!$H$6+Parameter!$H$7))-(AX463-AS463))/AS463)))</f>
        <v>1</v>
      </c>
      <c r="AZ463" s="50" t="n">
        <f aca="false">IF(LEFT(Cockpit!$O$5,1)="A",H463,IF(Parameter!$E$30="MAX-Bestand",IF(CH463=1,CI463,IF(LEFT(Cockpit!$O$5,1)="B",BF463,MAX(BF463,H463))),ROUNDUP(BD463,0)))</f>
        <v>1</v>
      </c>
      <c r="BA463" s="50" t="n">
        <f aca="false">IF(BZ463=1,0,ROUNDUP(AZ463/BY463,0))</f>
        <v>1</v>
      </c>
      <c r="BB463" s="52" t="n">
        <f aca="false">IF(CQ463&gt;0,CQ463*MAX(1,AZ463/X463),IF(BZ463=1,IF(AZ463&lt;=0,0,CD463*MAX(1,IF(H463&gt;0,AZ463/H463,1))),IF(R463&gt;0,BA463/R463,0))/MAX(0.1,N(Parameter!$M$21)))</f>
        <v>0.0192307692307692</v>
      </c>
      <c r="BC463" s="50" t="n">
        <f aca="false">BB463*CB463</f>
        <v>2.98076923076923</v>
      </c>
      <c r="BD463" s="51" t="n">
        <f aca="false">IF(LEFT(Cockpit!$O$5,1)="A",H463,IF(CH463=1,(CK463+CI463)/2,IF(LEFT(Cockpit!$O$5,1)="B",(CK463+BF463)/2,MAX((CK463+BF463)/2,H463))))</f>
        <v>0.5</v>
      </c>
      <c r="BE463" s="50" t="n">
        <f aca="false">BD463*G463</f>
        <v>28.695</v>
      </c>
      <c r="BF463" s="50" t="n">
        <f aca="false">ROUNDUP(CK463+MAX(CL463,2*(J463/IF(CG463&gt;0,CG463,MAX(0.1,N(Cockpit!$O$6)))-CK463)),0)</f>
        <v>1</v>
      </c>
      <c r="BG463" s="51" t="n">
        <f aca="false">IF(BC463&gt;0,J463/BC463,-1)</f>
        <v>0.335483870967742</v>
      </c>
      <c r="BH463" s="51" t="n">
        <f aca="false">IF(AND(OR(CF463="L1",CF463="L23",CF463="LIFT"),BC463&gt;0),SUMIFS($BC$7:$BC$1843,$CF$7:$CF$1843,CF463,$BG$7:$BG$1843,"&gt;"&amp;BG463)+SUMIFS($BC$7:$BC$1843,$CF$7:$CF$1843,CF463,$BG$7:$BG$1843,BG463,$BW$7:$BW$1843,"&lt;="&amp;BW463),"")</f>
        <v>11559.1927655678</v>
      </c>
      <c r="BI463" s="58" t="n">
        <f aca="false">IF(BH463="",0,MAX(0,MIN(1,(IF(CF463="L1",Parameter!$H$5,IF(CF463="L23",Parameter!$H$6+Parameter!$H$7,Parameter!$H$5+Parameter!$H$6+Parameter!$H$7))-(BH463-BC463))/BC463)))</f>
        <v>1</v>
      </c>
      <c r="BJ463" s="48" t="str">
        <f aca="false">IF(AI463&lt;=0,"",IF(CF463="Aussen","Aussenlager",IF(CF463="-","Nicht im Lift",IF(AO463&gt;=1,"Lift",IF(AO463&lt;=0,"Aussenlager","teilweise")))))</f>
        <v>Lift</v>
      </c>
      <c r="BK463" s="48" t="str">
        <f aca="false">IF(AS463&lt;=0,"",IF(CF463="Aussen","Aussenlager",IF(CF463="-","Nicht im Lift",IF(AY463&gt;=1,"Lift",IF(AY463&lt;=0,"Aussenlager","teilweise")))))</f>
        <v>Lift</v>
      </c>
      <c r="BL463" s="48" t="str">
        <f aca="false">IF(BC463&lt;=0,"",IF(CF463="Aussen","Aussenlager",IF(CF463="-","Nicht im Lift",IF(BI463&gt;=1,"Lift",IF(BI463&lt;=0,"Aussenlager","teilweise")))))</f>
        <v>Lift</v>
      </c>
      <c r="BM463" s="48" t="str">
        <f aca="false">IF(A463="","",IF(BV463=1,"Neu; ","")&amp;IF(AND(BV463=0,BQ463&lt;0),"negativer Bestand (Export "&amp;BQ463&amp;"); ","")&amp;IF(J463&lt;=0,"Kein Verbrauch; ","")&amp;IF(CQ463&gt;0,"Lift "&amp;W463&amp;" lt. Liftbericht (Fach "&amp;X463&amp;" Stk); ",IF(CA463=1,"Gebinde geschätzt ("&amp;T463&amp;"); ",IF(BZ463=1,"Lose – Tablare geschätzt; ","")))&amp;IF(H463&gt;AV463,"Überbestand "&amp;ROUND(H463-AV463,0)&amp;" Stk / CHF "&amp;ROUND((H463-AV463)*G463,0)&amp;"; ","")&amp;IF(AND(CH463=1,CI463&lt;CJ463),"MAX &lt; MB+LG; ","")&amp;IF(AND(CP463&gt;0,CO463*10&gt;CP463),"zu hoch für Tablar; ","")&amp;IF(AND(BV463=0,OR(CH463=1,AA463&lt;&gt;"",U463&lt;&gt;"",V463&lt;&gt;"",AB463&lt;&gt;"")),"manuell übersteuert; ","")&amp;IF(AND(BZ463=0,R463=0),"Gebinde unbekannt / Stellmass fehlt; ","")&amp;IF(AND(BZ463=0,N(V463)&lt;=0,N(Q463)&lt;=0),"Menge pro Gebinde fehlt (Ist = 1 Gebinde); ","")&amp;BU463)</f>
        <v>Überbestand 2 Stk / CHF 115; </v>
      </c>
      <c r="BN463" s="48"/>
      <c r="BO463" s="48"/>
      <c r="BP463" s="55"/>
      <c r="BQ463" s="50" t="n">
        <v>1</v>
      </c>
      <c r="BR463" s="50" t="n">
        <v>2</v>
      </c>
      <c r="BS463" s="49" t="n">
        <v>57.39</v>
      </c>
      <c r="BT463" s="50" t="n">
        <v>1</v>
      </c>
      <c r="BU463" s="48"/>
      <c r="BV463" s="53" t="n">
        <v>0</v>
      </c>
      <c r="BW463" s="53" t="n">
        <v>463</v>
      </c>
      <c r="BX463" s="48" t="str">
        <f aca="false">IF(U463&lt;&gt;"",UPPER(TRIM(U463)),IF(CA463=1,UPPER(VLOOKUP(T463,Parameter!$I$27:$K$29,2,0)),IF(P463="","LOSE",P463)))</f>
        <v>S41</v>
      </c>
      <c r="BY463" s="50" t="n">
        <f aca="false">IF(BX463="LOSE",1,IF(N(V463)&gt;0,V463,IF(CA463=1,MAX(1,N(VLOOKUP(T463,Parameter!$I$27:$K$29,3,0)),H463,N(N463)),IF(N(Q463)&gt;0,Q463,MAX(1,H463)))))</f>
        <v>3</v>
      </c>
      <c r="BZ463" s="53" t="n">
        <f aca="false">IF(BX463="LOSE",1,0)</f>
        <v>0</v>
      </c>
      <c r="CA463" s="53" t="n">
        <f aca="false">IF(AND(U463="",OR(P463="",P463="LOSE"),T463&lt;&gt;"",N(S463)&lt;=0,ISNUMBER(MATCH(T463,Parameter!$I$27:$I$29,0))),1,0)</f>
        <v>0</v>
      </c>
      <c r="CB463" s="53" t="n">
        <f aca="false">IF(CQ463&gt;0,INDEX(Parameter!$H$5:$H$7,W463)/INDEX(Parameter!$E$5:$E$7,W463),IF(AND(BZ463=0,N(IFERROR(VLOOKUP(BX463,'Gebinde-Kategorie'!$A$5:$N$45,14,0),0))&gt;0),VLOOKUP(BX463,'Gebinde-Kategorie'!$A$5:$N$45,14,0)*10+Parameter!$M$23,Parameter!$M$24))</f>
        <v>155</v>
      </c>
      <c r="CC463" s="48" t="str">
        <f aca="false">IF(AND(Parameter!$B$19="Ja",E463&lt;&gt;"",ISNUMBER(MATCH(E463,Parameter!$I$35:$I$52,0))),VLOOKUP(E463,Parameter!$I$35:$J$52,2,0),IFERROR(VLOOKUP(D463,Parameter!$A$35:$C$64,2,0),"Nein"))</f>
        <v>2+3</v>
      </c>
      <c r="CD463" s="52" t="n">
        <f aca="false">IF(BZ463=0,0,IF(N(S463)&gt;0,S463,IFERROR(VLOOKUP(D463,Parameter!$A$35:$C$64,3,0)+0,0)))</f>
        <v>0</v>
      </c>
      <c r="CE463" s="48" t="n">
        <f aca="false">IF(AA463&lt;&gt;"",AA463,Z463)</f>
        <v>3</v>
      </c>
      <c r="CF463" s="48" t="str">
        <f aca="false">IF(OR(CE463=1,CE463=2,CE463=3),IF(Parameter!$E$27="Ja","LIFT",IF(CE463=1,"L1","L23")),IF(CE463="Aussen","Aussen","-"))</f>
        <v>LIFT</v>
      </c>
      <c r="CG463" s="59" t="n">
        <f aca="false">IF(N(AB463)&gt;0,AB463,0)</f>
        <v>0</v>
      </c>
      <c r="CH463" s="53" t="n">
        <f aca="false">IF(ISNUMBER(AE463),1,0)</f>
        <v>0</v>
      </c>
      <c r="CI463" s="50" t="n">
        <f aca="false">N(AE463)</f>
        <v>0</v>
      </c>
      <c r="CJ463" s="50" t="n">
        <f aca="false">N(M463)+N(N463)</f>
        <v>1</v>
      </c>
      <c r="CK463" s="50" t="n">
        <f aca="false">N(M463)</f>
        <v>0</v>
      </c>
      <c r="CL463" s="50" t="n">
        <f aca="false">N(N463)</f>
        <v>1</v>
      </c>
      <c r="CM463" s="50" t="n">
        <f aca="false">ROUNDUP(H463/BY463,0)</f>
        <v>1</v>
      </c>
      <c r="CN463" s="50" t="n">
        <f aca="false">ROUNDUP(CI463/BY463,0)</f>
        <v>0</v>
      </c>
      <c r="CO463" s="53" t="n">
        <f aca="false">IF(BZ463=1,0,IFERROR(VLOOKUP(BX463,'Gebinde-Kategorie'!$A$5:$N$45,5,0)+0,0))</f>
        <v>11</v>
      </c>
      <c r="CP463" s="53" t="n">
        <f aca="false">IFERROR(IF(OR(CE463=1,CE463=2,CE463=3),N(INDEX(Parameter!$I$5:$I$7,CE463)),0),0)</f>
        <v>0</v>
      </c>
      <c r="CQ463" s="52" t="n">
        <f aca="false">IF(AND(Parameter!$B$21="Ja",ISNUMBER(W463),N(X463)&gt;0),IFERROR(N(INDEX(Parameter!$L$5:$L$7,W463))*INDEX(Parameter!$E$5:$E$7,W463)*X463/SUMIFS($X$7:$X$1843,$W$7:$W$1843,W463),0),0)</f>
        <v>0</v>
      </c>
    </row>
    <row r="464" customFormat="false" ht="15" hidden="false" customHeight="false" outlineLevel="0" collapsed="false">
      <c r="A464" s="48" t="s">
        <v>1052</v>
      </c>
      <c r="B464" s="48" t="s">
        <v>598</v>
      </c>
      <c r="C464" s="48" t="s">
        <v>173</v>
      </c>
      <c r="D464" s="48" t="s">
        <v>193</v>
      </c>
      <c r="E464" s="48" t="s">
        <v>194</v>
      </c>
      <c r="F464" s="48" t="s">
        <v>227</v>
      </c>
      <c r="G464" s="49" t="n">
        <v>2.2</v>
      </c>
      <c r="H464" s="50" t="n">
        <f aca="false">MAX(0,IF(AND(Parameter!$B$21="Ja",ISNUMBER(Y464)),Y464,IF(Parameter!$B$20="Jahresanfang 2025 + Export",BR464+BQ464,BQ464)))</f>
        <v>50</v>
      </c>
      <c r="I464" s="50" t="n">
        <f aca="false">H464*G464</f>
        <v>110</v>
      </c>
      <c r="J464" s="50" t="n">
        <f aca="false">BT464*Parameter!$B$18</f>
        <v>11</v>
      </c>
      <c r="K464" s="51" t="n">
        <v>21</v>
      </c>
      <c r="L464" s="52" t="n">
        <v>0.523809523809524</v>
      </c>
      <c r="M464" s="50" t="n">
        <v>1</v>
      </c>
      <c r="N464" s="50" t="n">
        <v>10</v>
      </c>
      <c r="O464" s="53" t="n">
        <v>21</v>
      </c>
      <c r="P464" s="48" t="s">
        <v>410</v>
      </c>
      <c r="Q464" s="50" t="n">
        <v>48</v>
      </c>
      <c r="R464" s="53" t="n">
        <f aca="false">IF(BZ464=1,0,IFERROR(VLOOKUP(BX464,'Gebinde-Kategorie'!$A$5:$N$45,13,0)+0,0))</f>
        <v>280</v>
      </c>
      <c r="S464" s="54"/>
      <c r="T464" s="55"/>
      <c r="U464" s="55"/>
      <c r="V464" s="55"/>
      <c r="W464" s="48"/>
      <c r="X464" s="50"/>
      <c r="Y464" s="50"/>
      <c r="Z464" s="48" t="n">
        <f aca="false">IF(A464="","",IF(AND(Parameter!$B$21="Ja",ISNUMBER(W464)),W464,IF(CC464="2+3",IF(ISNUMBER(SEARCH("grosser Artikel",BU464)),2,IFERROR(VLOOKUP(BX464,Parameter!$F$35:$G$64,2,0),2)),IF(OR(CC464="Nein",CC464=""),"-",CC464))))</f>
        <v>3</v>
      </c>
      <c r="AA464" s="55"/>
      <c r="AB464" s="56"/>
      <c r="AC464" s="50" t="n">
        <f aca="false">AV464</f>
        <v>11</v>
      </c>
      <c r="AD464" s="50" t="n">
        <f aca="false">MAX(AV464,H464)</f>
        <v>50</v>
      </c>
      <c r="AE464" s="57"/>
      <c r="AF464" s="50" t="n">
        <f aca="false">IF(LEFT(Cockpit!$C$5,1)="A",H464,IF(Parameter!$E$30="MAX-Bestand",IF(CH464=1,CI464,IF(LEFT(Cockpit!$C$5,1)="B",AL464,MAX(AL464,H464))),ROUNDUP(AJ464,0)))</f>
        <v>50</v>
      </c>
      <c r="AG464" s="50" t="n">
        <f aca="false">IF(BZ464=1,0,ROUNDUP(AF464/BY464,0))</f>
        <v>2</v>
      </c>
      <c r="AH464" s="52" t="n">
        <f aca="false">IF(CQ464&gt;0,CQ464*MAX(1,AF464/X464),IF(BZ464=1,IF(AF464&lt;=0,0,CD464*MAX(1,IF(H464&gt;0,AF464/H464,1))),IF(R464&gt;0,AG464/R464,0))/MAX(0.1,N(Parameter!$M$21)))</f>
        <v>0.00714285714285714</v>
      </c>
      <c r="AI464" s="50" t="n">
        <f aca="false">AH464*CB464</f>
        <v>1.10714285714286</v>
      </c>
      <c r="AJ464" s="51" t="n">
        <f aca="false">IF(LEFT(Cockpit!$C$5,1)="A",H464,IF(CH464=1,(CK464+CI464)/2,IF(LEFT(Cockpit!$C$5,1)="B",(CK464+AL464)/2,MAX((CK464+AL464)/2,H464))))</f>
        <v>50</v>
      </c>
      <c r="AK464" s="50" t="n">
        <f aca="false">AJ464*G464</f>
        <v>110</v>
      </c>
      <c r="AL464" s="50" t="n">
        <f aca="false">ROUNDUP(CK464+MAX(CL464,2*(J464/IF(CG464&gt;0,CG464,MAX(0.1,N(Cockpit!$C$6)))-CK464)),0)</f>
        <v>11</v>
      </c>
      <c r="AM464" s="51" t="n">
        <f aca="false">IF(AI464&gt;0,J464/AI464,-1)</f>
        <v>9.93548387096774</v>
      </c>
      <c r="AN464" s="51" t="n">
        <f aca="false">IF(AND(OR(CF464="L1",CF464="L23",CF464="LIFT"),AI464&gt;0),SUMIFS($AI$7:$AI$1843,$CF$7:$CF$1843,CF464,$AM$7:$AM$1843,"&gt;"&amp;AM464)+SUMIFS($AI$7:$AI$1843,$CF$7:$CF$1843,CF464,$AM$7:$AM$1843,AM464,$BW$7:$BW$1843,"&lt;="&amp;BW464),"")</f>
        <v>2603.23946886447</v>
      </c>
      <c r="AO464" s="58" t="n">
        <f aca="false">IF(AN464="",0,MAX(0,MIN(1,(IF(CF464="L1",Parameter!$H$5,IF(CF464="L23",Parameter!$H$6+Parameter!$H$7,Parameter!$H$5+Parameter!$H$6+Parameter!$H$7))-(AN464-AI464))/AI464)))</f>
        <v>1</v>
      </c>
      <c r="AP464" s="50" t="n">
        <f aca="false">IF(LEFT(Cockpit!$I$5,1)="A",H464,IF(Parameter!$E$30="MAX-Bestand",IF(CH464=1,CI464,IF(LEFT(Cockpit!$I$5,1)="B",AV464,MAX(AV464,H464))),ROUNDUP(AT464,0)))</f>
        <v>50</v>
      </c>
      <c r="AQ464" s="50" t="n">
        <f aca="false">IF(BZ464=1,0,ROUNDUP(AP464/BY464,0))</f>
        <v>2</v>
      </c>
      <c r="AR464" s="52" t="n">
        <f aca="false">IF(CQ464&gt;0,CQ464*MAX(1,AP464/X464),IF(BZ464=1,IF(AP464&lt;=0,0,CD464*MAX(1,IF(H464&gt;0,AP464/H464,1))),IF(R464&gt;0,AQ464/R464,0))/MAX(0.1,N(Parameter!$M$21)))</f>
        <v>0.00714285714285714</v>
      </c>
      <c r="AS464" s="50" t="n">
        <f aca="false">AR464*CB464</f>
        <v>1.10714285714286</v>
      </c>
      <c r="AT464" s="51" t="n">
        <f aca="false">IF(LEFT(Cockpit!$I$5,1)="A",H464,IF(CH464=1,(CK464+CI464)/2,IF(LEFT(Cockpit!$I$5,1)="B",(CK464+AV464)/2,MAX((CK464+AV464)/2,H464))))</f>
        <v>50</v>
      </c>
      <c r="AU464" s="50" t="n">
        <f aca="false">AT464*G464</f>
        <v>110</v>
      </c>
      <c r="AV464" s="50" t="n">
        <f aca="false">ROUNDUP(CK464+MAX(CL464,2*(J464/IF(CG464&gt;0,CG464,MAX(0.1,N(Cockpit!$I$6)))-CK464)),0)</f>
        <v>11</v>
      </c>
      <c r="AW464" s="51" t="n">
        <f aca="false">IF(AS464&gt;0,J464/AS464,-1)</f>
        <v>9.93548387096774</v>
      </c>
      <c r="AX464" s="51" t="n">
        <f aca="false">IF(AND(OR(CF464="L1",CF464="L23",CF464="LIFT"),AS464&gt;0),SUMIFS($AS$7:$AS$1843,$CF$7:$CF$1843,CF464,$AW$7:$AW$1843,"&gt;"&amp;AW464)+SUMIFS($AS$7:$AS$1843,$CF$7:$CF$1843,CF464,$AW$7:$AW$1843,AW464,$BW$7:$BW$1843,"&lt;="&amp;BW464),"")</f>
        <v>3199.38141025641</v>
      </c>
      <c r="AY464" s="58" t="n">
        <f aca="false">IF(AX464="",0,MAX(0,MIN(1,(IF(CF464="L1",Parameter!$H$5,IF(CF464="L23",Parameter!$H$6+Parameter!$H$7,Parameter!$H$5+Parameter!$H$6+Parameter!$H$7))-(AX464-AS464))/AS464)))</f>
        <v>1</v>
      </c>
      <c r="AZ464" s="50" t="n">
        <f aca="false">IF(LEFT(Cockpit!$O$5,1)="A",H464,IF(Parameter!$E$30="MAX-Bestand",IF(CH464=1,CI464,IF(LEFT(Cockpit!$O$5,1)="B",BF464,MAX(BF464,H464))),ROUNDUP(BD464,0)))</f>
        <v>6</v>
      </c>
      <c r="BA464" s="50" t="n">
        <f aca="false">IF(BZ464=1,0,ROUNDUP(AZ464/BY464,0))</f>
        <v>1</v>
      </c>
      <c r="BB464" s="52" t="n">
        <f aca="false">IF(CQ464&gt;0,CQ464*MAX(1,AZ464/X464),IF(BZ464=1,IF(AZ464&lt;=0,0,CD464*MAX(1,IF(H464&gt;0,AZ464/H464,1))),IF(R464&gt;0,BA464/R464,0))/MAX(0.1,N(Parameter!$M$21)))</f>
        <v>0.00357142857142857</v>
      </c>
      <c r="BC464" s="50" t="n">
        <f aca="false">BB464*CB464</f>
        <v>0.553571428571429</v>
      </c>
      <c r="BD464" s="51" t="n">
        <f aca="false">IF(LEFT(Cockpit!$O$5,1)="A",H464,IF(CH464=1,(CK464+CI464)/2,IF(LEFT(Cockpit!$O$5,1)="B",(CK464+BF464)/2,MAX((CK464+BF464)/2,H464))))</f>
        <v>6</v>
      </c>
      <c r="BE464" s="50" t="n">
        <f aca="false">BD464*G464</f>
        <v>13.2</v>
      </c>
      <c r="BF464" s="50" t="n">
        <f aca="false">ROUNDUP(CK464+MAX(CL464,2*(J464/IF(CG464&gt;0,CG464,MAX(0.1,N(Cockpit!$O$6)))-CK464)),0)</f>
        <v>11</v>
      </c>
      <c r="BG464" s="51" t="n">
        <f aca="false">IF(BC464&gt;0,J464/BC464,-1)</f>
        <v>19.8709677419355</v>
      </c>
      <c r="BH464" s="51" t="n">
        <f aca="false">IF(AND(OR(CF464="L1",CF464="L23",CF464="LIFT"),BC464&gt;0),SUMIFS($BC$7:$BC$1843,$CF$7:$CF$1843,CF464,$BG$7:$BG$1843,"&gt;"&amp;BG464)+SUMIFS($BC$7:$BC$1843,$CF$7:$CF$1843,CF464,$BG$7:$BG$1843,BG464,$BW$7:$BW$1843,"&lt;="&amp;BW464),"")</f>
        <v>2225.17445054945</v>
      </c>
      <c r="BI464" s="58" t="n">
        <f aca="false">IF(BH464="",0,MAX(0,MIN(1,(IF(CF464="L1",Parameter!$H$5,IF(CF464="L23",Parameter!$H$6+Parameter!$H$7,Parameter!$H$5+Parameter!$H$6+Parameter!$H$7))-(BH464-BC464))/BC464)))</f>
        <v>1</v>
      </c>
      <c r="BJ464" s="48" t="str">
        <f aca="false">IF(AI464&lt;=0,"",IF(CF464="Aussen","Aussenlager",IF(CF464="-","Nicht im Lift",IF(AO464&gt;=1,"Lift",IF(AO464&lt;=0,"Aussenlager","teilweise")))))</f>
        <v>Lift</v>
      </c>
      <c r="BK464" s="48" t="str">
        <f aca="false">IF(AS464&lt;=0,"",IF(CF464="Aussen","Aussenlager",IF(CF464="-","Nicht im Lift",IF(AY464&gt;=1,"Lift",IF(AY464&lt;=0,"Aussenlager","teilweise")))))</f>
        <v>Lift</v>
      </c>
      <c r="BL464" s="48" t="str">
        <f aca="false">IF(BC464&lt;=0,"",IF(CF464="Aussen","Aussenlager",IF(CF464="-","Nicht im Lift",IF(BI464&gt;=1,"Lift",IF(BI464&lt;=0,"Aussenlager","teilweise")))))</f>
        <v>Lift</v>
      </c>
      <c r="BM464" s="48" t="str">
        <f aca="false">IF(A464="","",IF(BV464=1,"Neu; ","")&amp;IF(AND(BV464=0,BQ464&lt;0),"negativer Bestand (Export "&amp;BQ464&amp;"); ","")&amp;IF(J464&lt;=0,"Kein Verbrauch; ","")&amp;IF(CQ464&gt;0,"Lift "&amp;W464&amp;" lt. Liftbericht (Fach "&amp;X464&amp;" Stk); ",IF(CA464=1,"Gebinde geschätzt ("&amp;T464&amp;"); ",IF(BZ464=1,"Lose – Tablare geschätzt; ","")))&amp;IF(H464&gt;AV464,"Überbestand "&amp;ROUND(H464-AV464,0)&amp;" Stk / CHF "&amp;ROUND((H464-AV464)*G464,0)&amp;"; ","")&amp;IF(AND(CH464=1,CI464&lt;CJ464),"MAX &lt; MB+LG; ","")&amp;IF(AND(CP464&gt;0,CO464*10&gt;CP464),"zu hoch für Tablar; ","")&amp;IF(AND(BV464=0,OR(CH464=1,AA464&lt;&gt;"",U464&lt;&gt;"",V464&lt;&gt;"",AB464&lt;&gt;"")),"manuell übersteuert; ","")&amp;IF(AND(BZ464=0,R464=0),"Gebinde unbekannt / Stellmass fehlt; ","")&amp;IF(AND(BZ464=0,N(V464)&lt;=0,N(Q464)&lt;=0),"Menge pro Gebinde fehlt (Ist = 1 Gebinde); ","")&amp;BU464)</f>
        <v>Überbestand 39 Stk / CHF 86; </v>
      </c>
      <c r="BN464" s="48"/>
      <c r="BO464" s="48"/>
      <c r="BP464" s="55"/>
      <c r="BQ464" s="50" t="n">
        <v>26</v>
      </c>
      <c r="BR464" s="50" t="n">
        <v>24</v>
      </c>
      <c r="BS464" s="49" t="n">
        <v>57.2</v>
      </c>
      <c r="BT464" s="50" t="n">
        <v>11</v>
      </c>
      <c r="BU464" s="48"/>
      <c r="BV464" s="53" t="n">
        <v>0</v>
      </c>
      <c r="BW464" s="53" t="n">
        <v>464</v>
      </c>
      <c r="BX464" s="48" t="str">
        <f aca="false">IF(U464&lt;&gt;"",UPPER(TRIM(U464)),IF(CA464=1,UPPER(VLOOKUP(T464,Parameter!$I$27:$K$29,2,0)),IF(P464="","LOSE",P464)))</f>
        <v>S21</v>
      </c>
      <c r="BY464" s="50" t="n">
        <f aca="false">IF(BX464="LOSE",1,IF(N(V464)&gt;0,V464,IF(CA464=1,MAX(1,N(VLOOKUP(T464,Parameter!$I$27:$K$29,3,0)),H464,N(N464)),IF(N(Q464)&gt;0,Q464,MAX(1,H464)))))</f>
        <v>48</v>
      </c>
      <c r="BZ464" s="53" t="n">
        <f aca="false">IF(BX464="LOSE",1,0)</f>
        <v>0</v>
      </c>
      <c r="CA464" s="53" t="n">
        <f aca="false">IF(AND(U464="",OR(P464="",P464="LOSE"),T464&lt;&gt;"",N(S464)&lt;=0,ISNUMBER(MATCH(T464,Parameter!$I$27:$I$29,0))),1,0)</f>
        <v>0</v>
      </c>
      <c r="CB464" s="53" t="n">
        <f aca="false">IF(CQ464&gt;0,INDEX(Parameter!$H$5:$H$7,W464)/INDEX(Parameter!$E$5:$E$7,W464),IF(AND(BZ464=0,N(IFERROR(VLOOKUP(BX464,'Gebinde-Kategorie'!$A$5:$N$45,14,0),0))&gt;0),VLOOKUP(BX464,'Gebinde-Kategorie'!$A$5:$N$45,14,0)*10+Parameter!$M$23,Parameter!$M$24))</f>
        <v>155</v>
      </c>
      <c r="CC464" s="48" t="str">
        <f aca="false">IF(AND(Parameter!$B$19="Ja",E464&lt;&gt;"",ISNUMBER(MATCH(E464,Parameter!$I$35:$I$52,0))),VLOOKUP(E464,Parameter!$I$35:$J$52,2,0),IFERROR(VLOOKUP(D464,Parameter!$A$35:$C$64,2,0),"Nein"))</f>
        <v>2+3</v>
      </c>
      <c r="CD464" s="52" t="n">
        <f aca="false">IF(BZ464=0,0,IF(N(S464)&gt;0,S464,IFERROR(VLOOKUP(D464,Parameter!$A$35:$C$64,3,0)+0,0)))</f>
        <v>0</v>
      </c>
      <c r="CE464" s="48" t="n">
        <f aca="false">IF(AA464&lt;&gt;"",AA464,Z464)</f>
        <v>3</v>
      </c>
      <c r="CF464" s="48" t="str">
        <f aca="false">IF(OR(CE464=1,CE464=2,CE464=3),IF(Parameter!$E$27="Ja","LIFT",IF(CE464=1,"L1","L23")),IF(CE464="Aussen","Aussen","-"))</f>
        <v>LIFT</v>
      </c>
      <c r="CG464" s="59" t="n">
        <f aca="false">IF(N(AB464)&gt;0,AB464,0)</f>
        <v>0</v>
      </c>
      <c r="CH464" s="53" t="n">
        <f aca="false">IF(ISNUMBER(AE464),1,0)</f>
        <v>0</v>
      </c>
      <c r="CI464" s="50" t="n">
        <f aca="false">N(AE464)</f>
        <v>0</v>
      </c>
      <c r="CJ464" s="50" t="n">
        <f aca="false">N(M464)+N(N464)</f>
        <v>11</v>
      </c>
      <c r="CK464" s="50" t="n">
        <f aca="false">N(M464)</f>
        <v>1</v>
      </c>
      <c r="CL464" s="50" t="n">
        <f aca="false">N(N464)</f>
        <v>10</v>
      </c>
      <c r="CM464" s="50" t="n">
        <f aca="false">ROUNDUP(H464/BY464,0)</f>
        <v>2</v>
      </c>
      <c r="CN464" s="50" t="n">
        <f aca="false">ROUNDUP(CI464/BY464,0)</f>
        <v>0</v>
      </c>
      <c r="CO464" s="53" t="n">
        <f aca="false">IF(BZ464=1,0,IFERROR(VLOOKUP(BX464,'Gebinde-Kategorie'!$A$5:$N$45,5,0)+0,0))</f>
        <v>8</v>
      </c>
      <c r="CP464" s="53" t="n">
        <f aca="false">IFERROR(IF(OR(CE464=1,CE464=2,CE464=3),N(INDEX(Parameter!$I$5:$I$7,CE464)),0),0)</f>
        <v>0</v>
      </c>
      <c r="CQ464" s="52" t="n">
        <f aca="false">IF(AND(Parameter!$B$21="Ja",ISNUMBER(W464),N(X464)&gt;0),IFERROR(N(INDEX(Parameter!$L$5:$L$7,W464))*INDEX(Parameter!$E$5:$E$7,W464)*X464/SUMIFS($X$7:$X$1843,$W$7:$W$1843,W464),0),0)</f>
        <v>0</v>
      </c>
    </row>
    <row r="465" customFormat="false" ht="15" hidden="false" customHeight="false" outlineLevel="0" collapsed="false">
      <c r="A465" s="48" t="s">
        <v>1053</v>
      </c>
      <c r="B465" s="48" t="s">
        <v>598</v>
      </c>
      <c r="C465" s="48" t="s">
        <v>173</v>
      </c>
      <c r="D465" s="48" t="s">
        <v>193</v>
      </c>
      <c r="E465" s="48"/>
      <c r="F465" s="48" t="s">
        <v>227</v>
      </c>
      <c r="G465" s="49" t="n">
        <v>1.9</v>
      </c>
      <c r="H465" s="50" t="n">
        <f aca="false">MAX(0,IF(AND(Parameter!$B$21="Ja",ISNUMBER(Y465)),Y465,IF(Parameter!$B$20="Jahresanfang 2025 + Export",BR465+BQ465,BQ465)))</f>
        <v>30</v>
      </c>
      <c r="I465" s="50" t="n">
        <f aca="false">H465*G465</f>
        <v>57</v>
      </c>
      <c r="J465" s="50" t="n">
        <f aca="false">BT465*Parameter!$B$18</f>
        <v>0</v>
      </c>
      <c r="K465" s="51" t="n">
        <v>0</v>
      </c>
      <c r="L465" s="52" t="n">
        <v>0</v>
      </c>
      <c r="M465" s="50" t="n">
        <v>0</v>
      </c>
      <c r="N465" s="50" t="n">
        <v>30</v>
      </c>
      <c r="O465" s="53" t="n">
        <v>9999</v>
      </c>
      <c r="P465" s="48" t="s">
        <v>177</v>
      </c>
      <c r="Q465" s="50"/>
      <c r="R465" s="53" t="n">
        <f aca="false">IF(BZ465=1,0,IFERROR(VLOOKUP(BX465,'Gebinde-Kategorie'!$A$5:$N$45,13,0)+0,0))</f>
        <v>26</v>
      </c>
      <c r="S465" s="54"/>
      <c r="T465" s="55" t="s">
        <v>284</v>
      </c>
      <c r="U465" s="55"/>
      <c r="V465" s="55"/>
      <c r="W465" s="48"/>
      <c r="X465" s="50"/>
      <c r="Y465" s="50"/>
      <c r="Z465" s="48" t="n">
        <f aca="false">IF(A465="","",IF(AND(Parameter!$B$21="Ja",ISNUMBER(W465)),W465,IF(CC465="2+3",IF(ISNUMBER(SEARCH("grosser Artikel",BU465)),2,IFERROR(VLOOKUP(BX465,Parameter!$F$35:$G$64,2,0),2)),IF(OR(CC465="Nein",CC465=""),"-",CC465))))</f>
        <v>3</v>
      </c>
      <c r="AA465" s="55"/>
      <c r="AB465" s="56"/>
      <c r="AC465" s="50" t="n">
        <f aca="false">AV465</f>
        <v>30</v>
      </c>
      <c r="AD465" s="50" t="n">
        <f aca="false">MAX(AV465,H465)</f>
        <v>30</v>
      </c>
      <c r="AE465" s="57"/>
      <c r="AF465" s="50" t="n">
        <f aca="false">IF(LEFT(Cockpit!$C$5,1)="A",H465,IF(Parameter!$E$30="MAX-Bestand",IF(CH465=1,CI465,IF(LEFT(Cockpit!$C$5,1)="B",AL465,MAX(AL465,H465))),ROUNDUP(AJ465,0)))</f>
        <v>30</v>
      </c>
      <c r="AG465" s="50" t="n">
        <f aca="false">IF(BZ465=1,0,ROUNDUP(AF465/BY465,0))</f>
        <v>1</v>
      </c>
      <c r="AH465" s="52" t="n">
        <f aca="false">IF(CQ465&gt;0,CQ465*MAX(1,AF465/X465),IF(BZ465=1,IF(AF465&lt;=0,0,CD465*MAX(1,IF(H465&gt;0,AF465/H465,1))),IF(R465&gt;0,AG465/R465,0))/MAX(0.1,N(Parameter!$M$21)))</f>
        <v>0.0384615384615385</v>
      </c>
      <c r="AI465" s="50" t="n">
        <f aca="false">AH465*CB465</f>
        <v>5.96153846153846</v>
      </c>
      <c r="AJ465" s="51" t="n">
        <f aca="false">IF(LEFT(Cockpit!$C$5,1)="A",H465,IF(CH465=1,(CK465+CI465)/2,IF(LEFT(Cockpit!$C$5,1)="B",(CK465+AL465)/2,MAX((CK465+AL465)/2,H465))))</f>
        <v>30</v>
      </c>
      <c r="AK465" s="50" t="n">
        <f aca="false">AJ465*G465</f>
        <v>57</v>
      </c>
      <c r="AL465" s="50" t="n">
        <f aca="false">ROUNDUP(CK465+MAX(CL465,2*(J465/IF(CG465&gt;0,CG465,MAX(0.1,N(Cockpit!$C$6)))-CK465)),0)</f>
        <v>30</v>
      </c>
      <c r="AM465" s="51" t="n">
        <f aca="false">IF(AI465&gt;0,J465/AI465,-1)</f>
        <v>0</v>
      </c>
      <c r="AN465" s="51" t="n">
        <f aca="false">IF(AND(OR(CF465="L1",CF465="L23",CF465="LIFT"),AI465&gt;0),SUMIFS($AI$7:$AI$1843,$CF$7:$CF$1843,CF465,$AM$7:$AM$1843,"&gt;"&amp;AM465)+SUMIFS($AI$7:$AI$1843,$CF$7:$CF$1843,CF465,$AM$7:$AM$1843,AM465,$BW$7:$BW$1843,"&lt;="&amp;BW465),"")</f>
        <v>28153.1306626519</v>
      </c>
      <c r="AO465" s="58" t="n">
        <f aca="false">IF(AN465="",0,MAX(0,MIN(1,(IF(CF465="L1",Parameter!$H$5,IF(CF465="L23",Parameter!$H$6+Parameter!$H$7,Parameter!$H$5+Parameter!$H$6+Parameter!$H$7))-(AN465-AI465))/AI465)))</f>
        <v>1</v>
      </c>
      <c r="AP465" s="50" t="n">
        <f aca="false">IF(LEFT(Cockpit!$I$5,1)="A",H465,IF(Parameter!$E$30="MAX-Bestand",IF(CH465=1,CI465,IF(LEFT(Cockpit!$I$5,1)="B",AV465,MAX(AV465,H465))),ROUNDUP(AT465,0)))</f>
        <v>30</v>
      </c>
      <c r="AQ465" s="50" t="n">
        <f aca="false">IF(BZ465=1,0,ROUNDUP(AP465/BY465,0))</f>
        <v>1</v>
      </c>
      <c r="AR465" s="52" t="n">
        <f aca="false">IF(CQ465&gt;0,CQ465*MAX(1,AP465/X465),IF(BZ465=1,IF(AP465&lt;=0,0,CD465*MAX(1,IF(H465&gt;0,AP465/H465,1))),IF(R465&gt;0,AQ465/R465,0))/MAX(0.1,N(Parameter!$M$21)))</f>
        <v>0.0384615384615385</v>
      </c>
      <c r="AS465" s="50" t="n">
        <f aca="false">AR465*CB465</f>
        <v>5.96153846153846</v>
      </c>
      <c r="AT465" s="51" t="n">
        <f aca="false">IF(LEFT(Cockpit!$I$5,1)="A",H465,IF(CH465=1,(CK465+CI465)/2,IF(LEFT(Cockpit!$I$5,1)="B",(CK465+AV465)/2,MAX((CK465+AV465)/2,H465))))</f>
        <v>30</v>
      </c>
      <c r="AU465" s="50" t="n">
        <f aca="false">AT465*G465</f>
        <v>57</v>
      </c>
      <c r="AV465" s="50" t="n">
        <f aca="false">ROUNDUP(CK465+MAX(CL465,2*(J465/IF(CG465&gt;0,CG465,MAX(0.1,N(Cockpit!$I$6)))-CK465)),0)</f>
        <v>30</v>
      </c>
      <c r="AW465" s="51" t="n">
        <f aca="false">IF(AS465&gt;0,J465/AS465,-1)</f>
        <v>0</v>
      </c>
      <c r="AX465" s="51" t="n">
        <f aca="false">IF(AND(OR(CF465="L1",CF465="L23",CF465="LIFT"),AS465&gt;0),SUMIFS($AS$7:$AS$1843,$CF$7:$CF$1843,CF465,$AW$7:$AW$1843,"&gt;"&amp;AW465)+SUMIFS($AS$7:$AS$1843,$CF$7:$CF$1843,CF465,$AW$7:$AW$1843,AW465,$BW$7:$BW$1843,"&lt;="&amp;BW465),"")</f>
        <v>33506.2793040293</v>
      </c>
      <c r="AY465" s="58" t="n">
        <f aca="false">IF(AX465="",0,MAX(0,MIN(1,(IF(CF465="L1",Parameter!$H$5,IF(CF465="L23",Parameter!$H$6+Parameter!$H$7,Parameter!$H$5+Parameter!$H$6+Parameter!$H$7))-(AX465-AS465))/AS465)))</f>
        <v>1</v>
      </c>
      <c r="AZ465" s="50" t="n">
        <f aca="false">IF(LEFT(Cockpit!$O$5,1)="A",H465,IF(Parameter!$E$30="MAX-Bestand",IF(CH465=1,CI465,IF(LEFT(Cockpit!$O$5,1)="B",BF465,MAX(BF465,H465))),ROUNDUP(BD465,0)))</f>
        <v>15</v>
      </c>
      <c r="BA465" s="50" t="n">
        <f aca="false">IF(BZ465=1,0,ROUNDUP(AZ465/BY465,0))</f>
        <v>1</v>
      </c>
      <c r="BB465" s="52" t="n">
        <f aca="false">IF(CQ465&gt;0,CQ465*MAX(1,AZ465/X465),IF(BZ465=1,IF(AZ465&lt;=0,0,CD465*MAX(1,IF(H465&gt;0,AZ465/H465,1))),IF(R465&gt;0,BA465/R465,0))/MAX(0.1,N(Parameter!$M$21)))</f>
        <v>0.0384615384615385</v>
      </c>
      <c r="BC465" s="50" t="n">
        <f aca="false">BB465*CB465</f>
        <v>5.96153846153846</v>
      </c>
      <c r="BD465" s="51" t="n">
        <f aca="false">IF(LEFT(Cockpit!$O$5,1)="A",H465,IF(CH465=1,(CK465+CI465)/2,IF(LEFT(Cockpit!$O$5,1)="B",(CK465+BF465)/2,MAX((CK465+BF465)/2,H465))))</f>
        <v>15</v>
      </c>
      <c r="BE465" s="50" t="n">
        <f aca="false">BD465*G465</f>
        <v>28.5</v>
      </c>
      <c r="BF465" s="50" t="n">
        <f aca="false">ROUNDUP(CK465+MAX(CL465,2*(J465/IF(CG465&gt;0,CG465,MAX(0.1,N(Cockpit!$O$6)))-CK465)),0)</f>
        <v>30</v>
      </c>
      <c r="BG465" s="51" t="n">
        <f aca="false">IF(BC465&gt;0,J465/BC465,-1)</f>
        <v>0</v>
      </c>
      <c r="BH465" s="51" t="n">
        <f aca="false">IF(AND(OR(CF465="L1",CF465="L23",CF465="LIFT"),BC465&gt;0),SUMIFS($BC$7:$BC$1843,$CF$7:$CF$1843,CF465,$BG$7:$BG$1843,"&gt;"&amp;BG465)+SUMIFS($BC$7:$BC$1843,$CF$7:$CF$1843,CF465,$BG$7:$BG$1843,BG465,$BW$7:$BW$1843,"&lt;="&amp;BW465),"")</f>
        <v>27613.5140777302</v>
      </c>
      <c r="BI465" s="58" t="n">
        <f aca="false">IF(BH465="",0,MAX(0,MIN(1,(IF(CF465="L1",Parameter!$H$5,IF(CF465="L23",Parameter!$H$6+Parameter!$H$7,Parameter!$H$5+Parameter!$H$6+Parameter!$H$7))-(BH465-BC465))/BC465)))</f>
        <v>1</v>
      </c>
      <c r="BJ465" s="48" t="str">
        <f aca="false">IF(AI465&lt;=0,"",IF(CF465="Aussen","Aussenlager",IF(CF465="-","Nicht im Lift",IF(AO465&gt;=1,"Lift",IF(AO465&lt;=0,"Aussenlager","teilweise")))))</f>
        <v>Lift</v>
      </c>
      <c r="BK465" s="48" t="str">
        <f aca="false">IF(AS465&lt;=0,"",IF(CF465="Aussen","Aussenlager",IF(CF465="-","Nicht im Lift",IF(AY465&gt;=1,"Lift",IF(AY465&lt;=0,"Aussenlager","teilweise")))))</f>
        <v>Lift</v>
      </c>
      <c r="BL465" s="48" t="str">
        <f aca="false">IF(BC465&lt;=0,"",IF(CF465="Aussen","Aussenlager",IF(CF465="-","Nicht im Lift",IF(BI465&gt;=1,"Lift",IF(BI465&lt;=0,"Aussenlager","teilweise")))))</f>
        <v>Lift</v>
      </c>
      <c r="BM465" s="48" t="str">
        <f aca="false">IF(A465="","",IF(BV465=1,"Neu; ","")&amp;IF(AND(BV465=0,BQ465&lt;0),"negativer Bestand (Export "&amp;BQ465&amp;"); ","")&amp;IF(J465&lt;=0,"Kein Verbrauch; ","")&amp;IF(CQ465&gt;0,"Lift "&amp;W465&amp;" lt. Liftbericht (Fach "&amp;X465&amp;" Stk); ",IF(CA465=1,"Gebinde geschätzt ("&amp;T465&amp;"); ",IF(BZ465=1,"Lose – Tablare geschätzt; ","")))&amp;IF(H465&gt;AV465,"Überbestand "&amp;ROUND(H465-AV465,0)&amp;" Stk / CHF "&amp;ROUND((H465-AV465)*G465,0)&amp;"; ","")&amp;IF(AND(CH465=1,CI465&lt;CJ465),"MAX &lt; MB+LG; ","")&amp;IF(AND(CP465&gt;0,CO465*10&gt;CP465),"zu hoch für Tablar; ","")&amp;IF(AND(BV465=0,OR(CH465=1,AA465&lt;&gt;"",U465&lt;&gt;"",V465&lt;&gt;"",AB465&lt;&gt;"")),"manuell übersteuert; ","")&amp;IF(AND(BZ465=0,R465=0),"Gebinde unbekannt / Stellmass fehlt; ","")&amp;IF(AND(BZ465=0,N(V465)&lt;=0,N(Q465)&lt;=0),"Menge pro Gebinde fehlt (Ist = 1 Gebinde); ","")&amp;BU465)</f>
        <v>Kein Verbrauch; Gebinde geschätzt (Klein); Menge pro Gebinde fehlt (Ist = 1 Gebinde); </v>
      </c>
      <c r="BN465" s="48"/>
      <c r="BO465" s="48"/>
      <c r="BP465" s="55"/>
      <c r="BQ465" s="50" t="n">
        <v>30</v>
      </c>
      <c r="BR465" s="50" t="n">
        <v>0</v>
      </c>
      <c r="BS465" s="49" t="n">
        <v>57</v>
      </c>
      <c r="BT465" s="50" t="n">
        <v>0</v>
      </c>
      <c r="BU465" s="48"/>
      <c r="BV465" s="53" t="n">
        <v>0</v>
      </c>
      <c r="BW465" s="53" t="n">
        <v>465</v>
      </c>
      <c r="BX465" s="48" t="str">
        <f aca="false">IF(U465&lt;&gt;"",UPPER(TRIM(U465)),IF(CA465=1,UPPER(VLOOKUP(T465,Parameter!$I$27:$K$29,2,0)),IF(P465="","LOSE",P465)))</f>
        <v>S51</v>
      </c>
      <c r="BY465" s="50" t="n">
        <f aca="false">IF(BX465="LOSE",1,IF(N(V465)&gt;0,V465,IF(CA465=1,MAX(1,N(VLOOKUP(T465,Parameter!$I$27:$K$29,3,0)),H465,N(N465)),IF(N(Q465)&gt;0,Q465,MAX(1,H465)))))</f>
        <v>30</v>
      </c>
      <c r="BZ465" s="53" t="n">
        <f aca="false">IF(BX465="LOSE",1,0)</f>
        <v>0</v>
      </c>
      <c r="CA465" s="53" t="n">
        <f aca="false">IF(AND(U465="",OR(P465="",P465="LOSE"),T465&lt;&gt;"",N(S465)&lt;=0,ISNUMBER(MATCH(T465,Parameter!$I$27:$I$29,0))),1,0)</f>
        <v>1</v>
      </c>
      <c r="CB465" s="53" t="n">
        <f aca="false">IF(CQ465&gt;0,INDEX(Parameter!$H$5:$H$7,W465)/INDEX(Parameter!$E$5:$E$7,W465),IF(AND(BZ465=0,N(IFERROR(VLOOKUP(BX465,'Gebinde-Kategorie'!$A$5:$N$45,14,0),0))&gt;0),VLOOKUP(BX465,'Gebinde-Kategorie'!$A$5:$N$45,14,0)*10+Parameter!$M$23,Parameter!$M$24))</f>
        <v>155</v>
      </c>
      <c r="CC465" s="48" t="str">
        <f aca="false">IF(AND(Parameter!$B$19="Ja",E465&lt;&gt;"",ISNUMBER(MATCH(E465,Parameter!$I$35:$I$52,0))),VLOOKUP(E465,Parameter!$I$35:$J$52,2,0),IFERROR(VLOOKUP(D465,Parameter!$A$35:$C$64,2,0),"Nein"))</f>
        <v>2+3</v>
      </c>
      <c r="CD465" s="52" t="n">
        <f aca="false">IF(BZ465=0,0,IF(N(S465)&gt;0,S465,IFERROR(VLOOKUP(D465,Parameter!$A$35:$C$64,3,0)+0,0)))</f>
        <v>0</v>
      </c>
      <c r="CE465" s="48" t="n">
        <f aca="false">IF(AA465&lt;&gt;"",AA465,Z465)</f>
        <v>3</v>
      </c>
      <c r="CF465" s="48" t="str">
        <f aca="false">IF(OR(CE465=1,CE465=2,CE465=3),IF(Parameter!$E$27="Ja","LIFT",IF(CE465=1,"L1","L23")),IF(CE465="Aussen","Aussen","-"))</f>
        <v>LIFT</v>
      </c>
      <c r="CG465" s="59" t="n">
        <f aca="false">IF(N(AB465)&gt;0,AB465,0)</f>
        <v>0</v>
      </c>
      <c r="CH465" s="53" t="n">
        <f aca="false">IF(ISNUMBER(AE465),1,0)</f>
        <v>0</v>
      </c>
      <c r="CI465" s="50" t="n">
        <f aca="false">N(AE465)</f>
        <v>0</v>
      </c>
      <c r="CJ465" s="50" t="n">
        <f aca="false">N(M465)+N(N465)</f>
        <v>30</v>
      </c>
      <c r="CK465" s="50" t="n">
        <f aca="false">N(M465)</f>
        <v>0</v>
      </c>
      <c r="CL465" s="50" t="n">
        <f aca="false">N(N465)</f>
        <v>30</v>
      </c>
      <c r="CM465" s="50" t="n">
        <f aca="false">ROUNDUP(H465/BY465,0)</f>
        <v>1</v>
      </c>
      <c r="CN465" s="50" t="n">
        <f aca="false">ROUNDUP(CI465/BY465,0)</f>
        <v>0</v>
      </c>
      <c r="CO465" s="53" t="n">
        <f aca="false">IF(BZ465=1,0,IFERROR(VLOOKUP(BX465,'Gebinde-Kategorie'!$A$5:$N$45,5,0)+0,0))</f>
        <v>11</v>
      </c>
      <c r="CP465" s="53" t="n">
        <f aca="false">IFERROR(IF(OR(CE465=1,CE465=2,CE465=3),N(INDEX(Parameter!$I$5:$I$7,CE465)),0),0)</f>
        <v>0</v>
      </c>
      <c r="CQ465" s="52" t="n">
        <f aca="false">IF(AND(Parameter!$B$21="Ja",ISNUMBER(W465),N(X465)&gt;0),IFERROR(N(INDEX(Parameter!$L$5:$L$7,W465))*INDEX(Parameter!$E$5:$E$7,W465)*X465/SUMIFS($X$7:$X$1843,$W$7:$W$1843,W465),0),0)</f>
        <v>0</v>
      </c>
    </row>
    <row r="466" customFormat="false" ht="15" hidden="false" customHeight="false" outlineLevel="0" collapsed="false">
      <c r="A466" s="48" t="s">
        <v>1054</v>
      </c>
      <c r="B466" s="48" t="s">
        <v>416</v>
      </c>
      <c r="C466" s="48" t="s">
        <v>173</v>
      </c>
      <c r="D466" s="48" t="s">
        <v>193</v>
      </c>
      <c r="E466" s="48" t="s">
        <v>194</v>
      </c>
      <c r="F466" s="48" t="s">
        <v>227</v>
      </c>
      <c r="G466" s="49" t="n">
        <v>0.17</v>
      </c>
      <c r="H466" s="50" t="n">
        <f aca="false">MAX(0,IF(AND(Parameter!$B$21="Ja",ISNUMBER(Y466)),Y466,IF(Parameter!$B$20="Jahresanfang 2025 + Export",BR466+BQ466,BQ466)))</f>
        <v>858</v>
      </c>
      <c r="I466" s="50" t="n">
        <f aca="false">H466*G466</f>
        <v>145.86</v>
      </c>
      <c r="J466" s="50" t="n">
        <f aca="false">BT466*Parameter!$B$18</f>
        <v>2868</v>
      </c>
      <c r="K466" s="51" t="n">
        <v>709</v>
      </c>
      <c r="L466" s="52" t="n">
        <v>4.04513399153738</v>
      </c>
      <c r="M466" s="50" t="n">
        <v>167</v>
      </c>
      <c r="N466" s="50" t="n">
        <v>2000</v>
      </c>
      <c r="O466" s="53" t="n">
        <v>21</v>
      </c>
      <c r="P466" s="48" t="s">
        <v>337</v>
      </c>
      <c r="Q466" s="50" t="n">
        <v>895</v>
      </c>
      <c r="R466" s="53" t="n">
        <f aca="false">IF(BZ466=1,0,IFERROR(VLOOKUP(BX466,'Gebinde-Kategorie'!$A$5:$N$45,13,0)+0,0))</f>
        <v>52</v>
      </c>
      <c r="S466" s="54"/>
      <c r="T466" s="55"/>
      <c r="U466" s="55"/>
      <c r="V466" s="55"/>
      <c r="W466" s="48"/>
      <c r="X466" s="50"/>
      <c r="Y466" s="50"/>
      <c r="Z466" s="48" t="n">
        <f aca="false">IF(A466="","",IF(AND(Parameter!$B$21="Ja",ISNUMBER(W466)),W466,IF(CC466="2+3",IF(ISNUMBER(SEARCH("grosser Artikel",BU466)),2,IFERROR(VLOOKUP(BX466,Parameter!$F$35:$G$64,2,0),2)),IF(OR(CC466="Nein",CC466=""),"-",CC466))))</f>
        <v>3</v>
      </c>
      <c r="AA466" s="55"/>
      <c r="AB466" s="56"/>
      <c r="AC466" s="50" t="n">
        <f aca="false">AV466</f>
        <v>2167</v>
      </c>
      <c r="AD466" s="50" t="n">
        <f aca="false">MAX(AV466,H466)</f>
        <v>2167</v>
      </c>
      <c r="AE466" s="57"/>
      <c r="AF466" s="50" t="n">
        <f aca="false">IF(LEFT(Cockpit!$C$5,1)="A",H466,IF(Parameter!$E$30="MAX-Bestand",IF(CH466=1,CI466,IF(LEFT(Cockpit!$C$5,1)="B",AL466,MAX(AL466,H466))),ROUNDUP(AJ466,0)))</f>
        <v>858</v>
      </c>
      <c r="AG466" s="50" t="n">
        <f aca="false">IF(BZ466=1,0,ROUNDUP(AF466/BY466,0))</f>
        <v>1</v>
      </c>
      <c r="AH466" s="52" t="n">
        <f aca="false">IF(CQ466&gt;0,CQ466*MAX(1,AF466/X466),IF(BZ466=1,IF(AF466&lt;=0,0,CD466*MAX(1,IF(H466&gt;0,AF466/H466,1))),IF(R466&gt;0,AG466/R466,0))/MAX(0.1,N(Parameter!$M$21)))</f>
        <v>0.0192307692307692</v>
      </c>
      <c r="AI466" s="50" t="n">
        <f aca="false">AH466*CB466</f>
        <v>2.98076923076923</v>
      </c>
      <c r="AJ466" s="51" t="n">
        <f aca="false">IF(LEFT(Cockpit!$C$5,1)="A",H466,IF(CH466=1,(CK466+CI466)/2,IF(LEFT(Cockpit!$C$5,1)="B",(CK466+AL466)/2,MAX((CK466+AL466)/2,H466))))</f>
        <v>858</v>
      </c>
      <c r="AK466" s="50" t="n">
        <f aca="false">AJ466*G466</f>
        <v>145.86</v>
      </c>
      <c r="AL466" s="50" t="n">
        <f aca="false">ROUNDUP(CK466+MAX(CL466,2*(J466/IF(CG466&gt;0,CG466,MAX(0.1,N(Cockpit!$C$6)))-CK466)),0)</f>
        <v>2167</v>
      </c>
      <c r="AM466" s="51" t="n">
        <f aca="false">IF(AI466&gt;0,J466/AI466,-1)</f>
        <v>962.167741935484</v>
      </c>
      <c r="AN466" s="51" t="n">
        <f aca="false">IF(AND(OR(CF466="L1",CF466="L23",CF466="LIFT"),AI466&gt;0),SUMIFS($AI$7:$AI$1843,$CF$7:$CF$1843,CF466,$AM$7:$AM$1843,"&gt;"&amp;AM466)+SUMIFS($AI$7:$AI$1843,$CF$7:$CF$1843,CF466,$AM$7:$AM$1843,AM466,$BW$7:$BW$1843,"&lt;="&amp;BW466),"")</f>
        <v>16.010989010989</v>
      </c>
      <c r="AO466" s="58" t="n">
        <f aca="false">IF(AN466="",0,MAX(0,MIN(1,(IF(CF466="L1",Parameter!$H$5,IF(CF466="L23",Parameter!$H$6+Parameter!$H$7,Parameter!$H$5+Parameter!$H$6+Parameter!$H$7))-(AN466-AI466))/AI466)))</f>
        <v>1</v>
      </c>
      <c r="AP466" s="50" t="n">
        <f aca="false">IF(LEFT(Cockpit!$I$5,1)="A",H466,IF(Parameter!$E$30="MAX-Bestand",IF(CH466=1,CI466,IF(LEFT(Cockpit!$I$5,1)="B",AV466,MAX(AV466,H466))),ROUNDUP(AT466,0)))</f>
        <v>1167</v>
      </c>
      <c r="AQ466" s="50" t="n">
        <f aca="false">IF(BZ466=1,0,ROUNDUP(AP466/BY466,0))</f>
        <v>2</v>
      </c>
      <c r="AR466" s="52" t="n">
        <f aca="false">IF(CQ466&gt;0,CQ466*MAX(1,AP466/X466),IF(BZ466=1,IF(AP466&lt;=0,0,CD466*MAX(1,IF(H466&gt;0,AP466/H466,1))),IF(R466&gt;0,AQ466/R466,0))/MAX(0.1,N(Parameter!$M$21)))</f>
        <v>0.0384615384615385</v>
      </c>
      <c r="AS466" s="50" t="n">
        <f aca="false">AR466*CB466</f>
        <v>5.96153846153846</v>
      </c>
      <c r="AT466" s="51" t="n">
        <f aca="false">IF(LEFT(Cockpit!$I$5,1)="A",H466,IF(CH466=1,(CK466+CI466)/2,IF(LEFT(Cockpit!$I$5,1)="B",(CK466+AV466)/2,MAX((CK466+AV466)/2,H466))))</f>
        <v>1167</v>
      </c>
      <c r="AU466" s="50" t="n">
        <f aca="false">AT466*G466</f>
        <v>198.39</v>
      </c>
      <c r="AV466" s="50" t="n">
        <f aca="false">ROUNDUP(CK466+MAX(CL466,2*(J466/IF(CG466&gt;0,CG466,MAX(0.1,N(Cockpit!$I$6)))-CK466)),0)</f>
        <v>2167</v>
      </c>
      <c r="AW466" s="51" t="n">
        <f aca="false">IF(AS466&gt;0,J466/AS466,-1)</f>
        <v>481.083870967742</v>
      </c>
      <c r="AX466" s="51" t="n">
        <f aca="false">IF(AND(OR(CF466="L1",CF466="L23",CF466="LIFT"),AS466&gt;0),SUMIFS($AS$7:$AS$1843,$CF$7:$CF$1843,CF466,$AW$7:$AW$1843,"&gt;"&amp;AW466)+SUMIFS($AS$7:$AS$1843,$CF$7:$CF$1843,CF466,$AW$7:$AW$1843,AW466,$BW$7:$BW$1843,"&lt;="&amp;BW466),"")</f>
        <v>92.4107142857143</v>
      </c>
      <c r="AY466" s="58" t="n">
        <f aca="false">IF(AX466="",0,MAX(0,MIN(1,(IF(CF466="L1",Parameter!$H$5,IF(CF466="L23",Parameter!$H$6+Parameter!$H$7,Parameter!$H$5+Parameter!$H$6+Parameter!$H$7))-(AX466-AS466))/AS466)))</f>
        <v>1</v>
      </c>
      <c r="AZ466" s="50" t="n">
        <f aca="false">IF(LEFT(Cockpit!$O$5,1)="A",H466,IF(Parameter!$E$30="MAX-Bestand",IF(CH466=1,CI466,IF(LEFT(Cockpit!$O$5,1)="B",BF466,MAX(BF466,H466))),ROUNDUP(BD466,0)))</f>
        <v>1167</v>
      </c>
      <c r="BA466" s="50" t="n">
        <f aca="false">IF(BZ466=1,0,ROUNDUP(AZ466/BY466,0))</f>
        <v>2</v>
      </c>
      <c r="BB466" s="52" t="n">
        <f aca="false">IF(CQ466&gt;0,CQ466*MAX(1,AZ466/X466),IF(BZ466=1,IF(AZ466&lt;=0,0,CD466*MAX(1,IF(H466&gt;0,AZ466/H466,1))),IF(R466&gt;0,BA466/R466,0))/MAX(0.1,N(Parameter!$M$21)))</f>
        <v>0.0384615384615385</v>
      </c>
      <c r="BC466" s="50" t="n">
        <f aca="false">BB466*CB466</f>
        <v>5.96153846153846</v>
      </c>
      <c r="BD466" s="51" t="n">
        <f aca="false">IF(LEFT(Cockpit!$O$5,1)="A",H466,IF(CH466=1,(CK466+CI466)/2,IF(LEFT(Cockpit!$O$5,1)="B",(CK466+BF466)/2,MAX((CK466+BF466)/2,H466))))</f>
        <v>1167</v>
      </c>
      <c r="BE466" s="50" t="n">
        <f aca="false">BD466*G466</f>
        <v>198.39</v>
      </c>
      <c r="BF466" s="50" t="n">
        <f aca="false">ROUNDUP(CK466+MAX(CL466,2*(J466/IF(CG466&gt;0,CG466,MAX(0.1,N(Cockpit!$O$6)))-CK466)),0)</f>
        <v>2167</v>
      </c>
      <c r="BG466" s="51" t="n">
        <f aca="false">IF(BC466&gt;0,J466/BC466,-1)</f>
        <v>481.083870967742</v>
      </c>
      <c r="BH466" s="51" t="n">
        <f aca="false">IF(AND(OR(CF466="L1",CF466="L23",CF466="LIFT"),BC466&gt;0),SUMIFS($BC$7:$BC$1843,$CF$7:$CF$1843,CF466,$BG$7:$BG$1843,"&gt;"&amp;BG466)+SUMIFS($BC$7:$BC$1843,$CF$7:$CF$1843,CF466,$BG$7:$BG$1843,BG466,$BW$7:$BW$1843,"&lt;="&amp;BW466),"")</f>
        <v>122.47619047619</v>
      </c>
      <c r="BI466" s="58" t="n">
        <f aca="false">IF(BH466="",0,MAX(0,MIN(1,(IF(CF466="L1",Parameter!$H$5,IF(CF466="L23",Parameter!$H$6+Parameter!$H$7,Parameter!$H$5+Parameter!$H$6+Parameter!$H$7))-(BH466-BC466))/BC466)))</f>
        <v>1</v>
      </c>
      <c r="BJ466" s="48" t="str">
        <f aca="false">IF(AI466&lt;=0,"",IF(CF466="Aussen","Aussenlager",IF(CF466="-","Nicht im Lift",IF(AO466&gt;=1,"Lift",IF(AO466&lt;=0,"Aussenlager","teilweise")))))</f>
        <v>Lift</v>
      </c>
      <c r="BK466" s="48" t="str">
        <f aca="false">IF(AS466&lt;=0,"",IF(CF466="Aussen","Aussenlager",IF(CF466="-","Nicht im Lift",IF(AY466&gt;=1,"Lift",IF(AY466&lt;=0,"Aussenlager","teilweise")))))</f>
        <v>Lift</v>
      </c>
      <c r="BL466" s="48" t="str">
        <f aca="false">IF(BC466&lt;=0,"",IF(CF466="Aussen","Aussenlager",IF(CF466="-","Nicht im Lift",IF(BI466&gt;=1,"Lift",IF(BI466&lt;=0,"Aussenlager","teilweise")))))</f>
        <v>Lift</v>
      </c>
      <c r="BM466" s="48" t="str">
        <f aca="false">IF(A466="","",IF(BV466=1,"Neu; ","")&amp;IF(AND(BV466=0,BQ466&lt;0),"negativer Bestand (Export "&amp;BQ466&amp;"); ","")&amp;IF(J466&lt;=0,"Kein Verbrauch; ","")&amp;IF(CQ466&gt;0,"Lift "&amp;W466&amp;" lt. Liftbericht (Fach "&amp;X466&amp;" Stk); ",IF(CA466=1,"Gebinde geschätzt ("&amp;T466&amp;"); ",IF(BZ466=1,"Lose – Tablare geschätzt; ","")))&amp;IF(H466&gt;AV466,"Überbestand "&amp;ROUND(H466-AV466,0)&amp;" Stk / CHF "&amp;ROUND((H466-AV466)*G466,0)&amp;"; ","")&amp;IF(AND(CH466=1,CI466&lt;CJ466),"MAX &lt; MB+LG; ","")&amp;IF(AND(CP466&gt;0,CO466*10&gt;CP466),"zu hoch für Tablar; ","")&amp;IF(AND(BV466=0,OR(CH466=1,AA466&lt;&gt;"",U466&lt;&gt;"",V466&lt;&gt;"",AB466&lt;&gt;"")),"manuell übersteuert; ","")&amp;IF(AND(BZ466=0,R466=0),"Gebinde unbekannt / Stellmass fehlt; ","")&amp;IF(AND(BZ466=0,N(V466)&lt;=0,N(Q466)&lt;=0),"Menge pro Gebinde fehlt (Ist = 1 Gebinde); ","")&amp;BU466)</f>
        <v/>
      </c>
      <c r="BN466" s="48"/>
      <c r="BO466" s="48"/>
      <c r="BP466" s="55"/>
      <c r="BQ466" s="50" t="n">
        <v>334</v>
      </c>
      <c r="BR466" s="50" t="n">
        <v>524</v>
      </c>
      <c r="BS466" s="49" t="n">
        <v>56.7799999999999</v>
      </c>
      <c r="BT466" s="50" t="n">
        <v>2868</v>
      </c>
      <c r="BU466" s="48"/>
      <c r="BV466" s="53" t="n">
        <v>0</v>
      </c>
      <c r="BW466" s="53" t="n">
        <v>466</v>
      </c>
      <c r="BX466" s="48" t="str">
        <f aca="false">IF(U466&lt;&gt;"",UPPER(TRIM(U466)),IF(CA466=1,UPPER(VLOOKUP(T466,Parameter!$I$27:$K$29,2,0)),IF(P466="","LOSE",P466)))</f>
        <v>S41</v>
      </c>
      <c r="BY466" s="50" t="n">
        <f aca="false">IF(BX466="LOSE",1,IF(N(V466)&gt;0,V466,IF(CA466=1,MAX(1,N(VLOOKUP(T466,Parameter!$I$27:$K$29,3,0)),H466,N(N466)),IF(N(Q466)&gt;0,Q466,MAX(1,H466)))))</f>
        <v>895</v>
      </c>
      <c r="BZ466" s="53" t="n">
        <f aca="false">IF(BX466="LOSE",1,0)</f>
        <v>0</v>
      </c>
      <c r="CA466" s="53" t="n">
        <f aca="false">IF(AND(U466="",OR(P466="",P466="LOSE"),T466&lt;&gt;"",N(S466)&lt;=0,ISNUMBER(MATCH(T466,Parameter!$I$27:$I$29,0))),1,0)</f>
        <v>0</v>
      </c>
      <c r="CB466" s="53" t="n">
        <f aca="false">IF(CQ466&gt;0,INDEX(Parameter!$H$5:$H$7,W466)/INDEX(Parameter!$E$5:$E$7,W466),IF(AND(BZ466=0,N(IFERROR(VLOOKUP(BX466,'Gebinde-Kategorie'!$A$5:$N$45,14,0),0))&gt;0),VLOOKUP(BX466,'Gebinde-Kategorie'!$A$5:$N$45,14,0)*10+Parameter!$M$23,Parameter!$M$24))</f>
        <v>155</v>
      </c>
      <c r="CC466" s="48" t="str">
        <f aca="false">IF(AND(Parameter!$B$19="Ja",E466&lt;&gt;"",ISNUMBER(MATCH(E466,Parameter!$I$35:$I$52,0))),VLOOKUP(E466,Parameter!$I$35:$J$52,2,0),IFERROR(VLOOKUP(D466,Parameter!$A$35:$C$64,2,0),"Nein"))</f>
        <v>2+3</v>
      </c>
      <c r="CD466" s="52" t="n">
        <f aca="false">IF(BZ466=0,0,IF(N(S466)&gt;0,S466,IFERROR(VLOOKUP(D466,Parameter!$A$35:$C$64,3,0)+0,0)))</f>
        <v>0</v>
      </c>
      <c r="CE466" s="48" t="n">
        <f aca="false">IF(AA466&lt;&gt;"",AA466,Z466)</f>
        <v>3</v>
      </c>
      <c r="CF466" s="48" t="str">
        <f aca="false">IF(OR(CE466=1,CE466=2,CE466=3),IF(Parameter!$E$27="Ja","LIFT",IF(CE466=1,"L1","L23")),IF(CE466="Aussen","Aussen","-"))</f>
        <v>LIFT</v>
      </c>
      <c r="CG466" s="59" t="n">
        <f aca="false">IF(N(AB466)&gt;0,AB466,0)</f>
        <v>0</v>
      </c>
      <c r="CH466" s="53" t="n">
        <f aca="false">IF(ISNUMBER(AE466),1,0)</f>
        <v>0</v>
      </c>
      <c r="CI466" s="50" t="n">
        <f aca="false">N(AE466)</f>
        <v>0</v>
      </c>
      <c r="CJ466" s="50" t="n">
        <f aca="false">N(M466)+N(N466)</f>
        <v>2167</v>
      </c>
      <c r="CK466" s="50" t="n">
        <f aca="false">N(M466)</f>
        <v>167</v>
      </c>
      <c r="CL466" s="50" t="n">
        <f aca="false">N(N466)</f>
        <v>2000</v>
      </c>
      <c r="CM466" s="50" t="n">
        <f aca="false">ROUNDUP(H466/BY466,0)</f>
        <v>1</v>
      </c>
      <c r="CN466" s="50" t="n">
        <f aca="false">ROUNDUP(CI466/BY466,0)</f>
        <v>0</v>
      </c>
      <c r="CO466" s="53" t="n">
        <f aca="false">IF(BZ466=1,0,IFERROR(VLOOKUP(BX466,'Gebinde-Kategorie'!$A$5:$N$45,5,0)+0,0))</f>
        <v>11</v>
      </c>
      <c r="CP466" s="53" t="n">
        <f aca="false">IFERROR(IF(OR(CE466=1,CE466=2,CE466=3),N(INDEX(Parameter!$I$5:$I$7,CE466)),0),0)</f>
        <v>0</v>
      </c>
      <c r="CQ466" s="52" t="n">
        <f aca="false">IF(AND(Parameter!$B$21="Ja",ISNUMBER(W466),N(X466)&gt;0),IFERROR(N(INDEX(Parameter!$L$5:$L$7,W466))*INDEX(Parameter!$E$5:$E$7,W466)*X466/SUMIFS($X$7:$X$1843,$W$7:$W$1843,W466),0),0)</f>
        <v>0</v>
      </c>
    </row>
    <row r="467" customFormat="false" ht="15" hidden="false" customHeight="false" outlineLevel="0" collapsed="false">
      <c r="A467" s="48" t="s">
        <v>1055</v>
      </c>
      <c r="B467" s="48" t="s">
        <v>477</v>
      </c>
      <c r="C467" s="48" t="s">
        <v>173</v>
      </c>
      <c r="D467" s="48" t="s">
        <v>193</v>
      </c>
      <c r="E467" s="48" t="s">
        <v>194</v>
      </c>
      <c r="F467" s="48" t="s">
        <v>227</v>
      </c>
      <c r="G467" s="49" t="n">
        <v>0.15</v>
      </c>
      <c r="H467" s="50" t="n">
        <f aca="false">MAX(0,IF(AND(Parameter!$B$21="Ja",ISNUMBER(Y467)),Y467,IF(Parameter!$B$20="Jahresanfang 2025 + Export",BR467+BQ467,BQ467)))</f>
        <v>537</v>
      </c>
      <c r="I467" s="50" t="n">
        <f aca="false">H467*G467</f>
        <v>80.55</v>
      </c>
      <c r="J467" s="50" t="n">
        <f aca="false">BT467*Parameter!$B$18</f>
        <v>714</v>
      </c>
      <c r="K467" s="51" t="n">
        <v>234.5</v>
      </c>
      <c r="L467" s="52" t="n">
        <v>3.04477611940299</v>
      </c>
      <c r="M467" s="50" t="n">
        <v>27</v>
      </c>
      <c r="N467" s="50" t="n">
        <v>715</v>
      </c>
      <c r="O467" s="53" t="n">
        <v>14</v>
      </c>
      <c r="P467" s="48" t="s">
        <v>435</v>
      </c>
      <c r="Q467" s="50" t="n">
        <v>194</v>
      </c>
      <c r="R467" s="53" t="n">
        <f aca="false">IF(BZ467=1,0,IFERROR(VLOOKUP(BX467,'Gebinde-Kategorie'!$A$5:$N$45,13,0)+0,0))</f>
        <v>140</v>
      </c>
      <c r="S467" s="54"/>
      <c r="T467" s="55"/>
      <c r="U467" s="55"/>
      <c r="V467" s="55"/>
      <c r="W467" s="48"/>
      <c r="X467" s="50"/>
      <c r="Y467" s="50"/>
      <c r="Z467" s="48" t="n">
        <f aca="false">IF(A467="","",IF(AND(Parameter!$B$21="Ja",ISNUMBER(W467)),W467,IF(CC467="2+3",IF(ISNUMBER(SEARCH("grosser Artikel",BU467)),2,IFERROR(VLOOKUP(BX467,Parameter!$F$35:$G$64,2,0),2)),IF(OR(CC467="Nein",CC467=""),"-",CC467))))</f>
        <v>3</v>
      </c>
      <c r="AA467" s="55"/>
      <c r="AB467" s="56"/>
      <c r="AC467" s="50" t="n">
        <f aca="false">AV467</f>
        <v>742</v>
      </c>
      <c r="AD467" s="50" t="n">
        <f aca="false">MAX(AV467,H467)</f>
        <v>742</v>
      </c>
      <c r="AE467" s="57"/>
      <c r="AF467" s="50" t="n">
        <f aca="false">IF(LEFT(Cockpit!$C$5,1)="A",H467,IF(Parameter!$E$30="MAX-Bestand",IF(CH467=1,CI467,IF(LEFT(Cockpit!$C$5,1)="B",AL467,MAX(AL467,H467))),ROUNDUP(AJ467,0)))</f>
        <v>537</v>
      </c>
      <c r="AG467" s="50" t="n">
        <f aca="false">IF(BZ467=1,0,ROUNDUP(AF467/BY467,0))</f>
        <v>3</v>
      </c>
      <c r="AH467" s="52" t="n">
        <f aca="false">IF(CQ467&gt;0,CQ467*MAX(1,AF467/X467),IF(BZ467=1,IF(AF467&lt;=0,0,CD467*MAX(1,IF(H467&gt;0,AF467/H467,1))),IF(R467&gt;0,AG467/R467,0))/MAX(0.1,N(Parameter!$M$21)))</f>
        <v>0.0214285714285714</v>
      </c>
      <c r="AI467" s="50" t="n">
        <f aca="false">AH467*CB467</f>
        <v>3.32142857142857</v>
      </c>
      <c r="AJ467" s="51" t="n">
        <f aca="false">IF(LEFT(Cockpit!$C$5,1)="A",H467,IF(CH467=1,(CK467+CI467)/2,IF(LEFT(Cockpit!$C$5,1)="B",(CK467+AL467)/2,MAX((CK467+AL467)/2,H467))))</f>
        <v>537</v>
      </c>
      <c r="AK467" s="50" t="n">
        <f aca="false">AJ467*G467</f>
        <v>80.55</v>
      </c>
      <c r="AL467" s="50" t="n">
        <f aca="false">ROUNDUP(CK467+MAX(CL467,2*(J467/IF(CG467&gt;0,CG467,MAX(0.1,N(Cockpit!$C$6)))-CK467)),0)</f>
        <v>742</v>
      </c>
      <c r="AM467" s="51" t="n">
        <f aca="false">IF(AI467&gt;0,J467/AI467,-1)</f>
        <v>214.967741935484</v>
      </c>
      <c r="AN467" s="51" t="n">
        <f aca="false">IF(AND(OR(CF467="L1",CF467="L23",CF467="LIFT"),AI467&gt;0),SUMIFS($AI$7:$AI$1843,$CF$7:$CF$1843,CF467,$AM$7:$AM$1843,"&gt;"&amp;AM467)+SUMIFS($AI$7:$AI$1843,$CF$7:$CF$1843,CF467,$AM$7:$AM$1843,AM467,$BW$7:$BW$1843,"&lt;="&amp;BW467),"")</f>
        <v>319.47847985348</v>
      </c>
      <c r="AO467" s="58" t="n">
        <f aca="false">IF(AN467="",0,MAX(0,MIN(1,(IF(CF467="L1",Parameter!$H$5,IF(CF467="L23",Parameter!$H$6+Parameter!$H$7,Parameter!$H$5+Parameter!$H$6+Parameter!$H$7))-(AN467-AI467))/AI467)))</f>
        <v>1</v>
      </c>
      <c r="AP467" s="50" t="n">
        <f aca="false">IF(LEFT(Cockpit!$I$5,1)="A",H467,IF(Parameter!$E$30="MAX-Bestand",IF(CH467=1,CI467,IF(LEFT(Cockpit!$I$5,1)="B",AV467,MAX(AV467,H467))),ROUNDUP(AT467,0)))</f>
        <v>537</v>
      </c>
      <c r="AQ467" s="50" t="n">
        <f aca="false">IF(BZ467=1,0,ROUNDUP(AP467/BY467,0))</f>
        <v>3</v>
      </c>
      <c r="AR467" s="52" t="n">
        <f aca="false">IF(CQ467&gt;0,CQ467*MAX(1,AP467/X467),IF(BZ467=1,IF(AP467&lt;=0,0,CD467*MAX(1,IF(H467&gt;0,AP467/H467,1))),IF(R467&gt;0,AQ467/R467,0))/MAX(0.1,N(Parameter!$M$21)))</f>
        <v>0.0214285714285714</v>
      </c>
      <c r="AS467" s="50" t="n">
        <f aca="false">AR467*CB467</f>
        <v>3.32142857142857</v>
      </c>
      <c r="AT467" s="51" t="n">
        <f aca="false">IF(LEFT(Cockpit!$I$5,1)="A",H467,IF(CH467=1,(CK467+CI467)/2,IF(LEFT(Cockpit!$I$5,1)="B",(CK467+AV467)/2,MAX((CK467+AV467)/2,H467))))</f>
        <v>537</v>
      </c>
      <c r="AU467" s="50" t="n">
        <f aca="false">AT467*G467</f>
        <v>80.55</v>
      </c>
      <c r="AV467" s="50" t="n">
        <f aca="false">ROUNDUP(CK467+MAX(CL467,2*(J467/IF(CG467&gt;0,CG467,MAX(0.1,N(Cockpit!$I$6)))-CK467)),0)</f>
        <v>742</v>
      </c>
      <c r="AW467" s="51" t="n">
        <f aca="false">IF(AS467&gt;0,J467/AS467,-1)</f>
        <v>214.967741935484</v>
      </c>
      <c r="AX467" s="51" t="n">
        <f aca="false">IF(AND(OR(CF467="L1",CF467="L23",CF467="LIFT"),AS467&gt;0),SUMIFS($AS$7:$AS$1843,$CF$7:$CF$1843,CF467,$AW$7:$AW$1843,"&gt;"&amp;AW467)+SUMIFS($AS$7:$AS$1843,$CF$7:$CF$1843,CF467,$AW$7:$AW$1843,AW467,$BW$7:$BW$1843,"&lt;="&amp;BW467),"")</f>
        <v>428.653846153846</v>
      </c>
      <c r="AY467" s="58" t="n">
        <f aca="false">IF(AX467="",0,MAX(0,MIN(1,(IF(CF467="L1",Parameter!$H$5,IF(CF467="L23",Parameter!$H$6+Parameter!$H$7,Parameter!$H$5+Parameter!$H$6+Parameter!$H$7))-(AX467-AS467))/AS467)))</f>
        <v>1</v>
      </c>
      <c r="AZ467" s="50" t="n">
        <f aca="false">IF(LEFT(Cockpit!$O$5,1)="A",H467,IF(Parameter!$E$30="MAX-Bestand",IF(CH467=1,CI467,IF(LEFT(Cockpit!$O$5,1)="B",BF467,MAX(BF467,H467))),ROUNDUP(BD467,0)))</f>
        <v>385</v>
      </c>
      <c r="BA467" s="50" t="n">
        <f aca="false">IF(BZ467=1,0,ROUNDUP(AZ467/BY467,0))</f>
        <v>2</v>
      </c>
      <c r="BB467" s="52" t="n">
        <f aca="false">IF(CQ467&gt;0,CQ467*MAX(1,AZ467/X467),IF(BZ467=1,IF(AZ467&lt;=0,0,CD467*MAX(1,IF(H467&gt;0,AZ467/H467,1))),IF(R467&gt;0,BA467/R467,0))/MAX(0.1,N(Parameter!$M$21)))</f>
        <v>0.0142857142857143</v>
      </c>
      <c r="BC467" s="50" t="n">
        <f aca="false">BB467*CB467</f>
        <v>2.21428571428571</v>
      </c>
      <c r="BD467" s="51" t="n">
        <f aca="false">IF(LEFT(Cockpit!$O$5,1)="A",H467,IF(CH467=1,(CK467+CI467)/2,IF(LEFT(Cockpit!$O$5,1)="B",(CK467+BF467)/2,MAX((CK467+BF467)/2,H467))))</f>
        <v>384.5</v>
      </c>
      <c r="BE467" s="50" t="n">
        <f aca="false">BD467*G467</f>
        <v>57.675</v>
      </c>
      <c r="BF467" s="50" t="n">
        <f aca="false">ROUNDUP(CK467+MAX(CL467,2*(J467/IF(CG467&gt;0,CG467,MAX(0.1,N(Cockpit!$O$6)))-CK467)),0)</f>
        <v>742</v>
      </c>
      <c r="BG467" s="51" t="n">
        <f aca="false">IF(BC467&gt;0,J467/BC467,-1)</f>
        <v>322.451612903226</v>
      </c>
      <c r="BH467" s="51" t="n">
        <f aca="false">IF(AND(OR(CF467="L1",CF467="L23",CF467="LIFT"),BC467&gt;0),SUMIFS($BC$7:$BC$1843,$CF$7:$CF$1843,CF467,$BG$7:$BG$1843,"&gt;"&amp;BG467)+SUMIFS($BC$7:$BC$1843,$CF$7:$CF$1843,CF467,$BG$7:$BG$1843,BG467,$BW$7:$BW$1843,"&lt;="&amp;BW467),"")</f>
        <v>255.794413919414</v>
      </c>
      <c r="BI467" s="58" t="n">
        <f aca="false">IF(BH467="",0,MAX(0,MIN(1,(IF(CF467="L1",Parameter!$H$5,IF(CF467="L23",Parameter!$H$6+Parameter!$H$7,Parameter!$H$5+Parameter!$H$6+Parameter!$H$7))-(BH467-BC467))/BC467)))</f>
        <v>1</v>
      </c>
      <c r="BJ467" s="48" t="str">
        <f aca="false">IF(AI467&lt;=0,"",IF(CF467="Aussen","Aussenlager",IF(CF467="-","Nicht im Lift",IF(AO467&gt;=1,"Lift",IF(AO467&lt;=0,"Aussenlager","teilweise")))))</f>
        <v>Lift</v>
      </c>
      <c r="BK467" s="48" t="str">
        <f aca="false">IF(AS467&lt;=0,"",IF(CF467="Aussen","Aussenlager",IF(CF467="-","Nicht im Lift",IF(AY467&gt;=1,"Lift",IF(AY467&lt;=0,"Aussenlager","teilweise")))))</f>
        <v>Lift</v>
      </c>
      <c r="BL467" s="48" t="str">
        <f aca="false">IF(BC467&lt;=0,"",IF(CF467="Aussen","Aussenlager",IF(CF467="-","Nicht im Lift",IF(BI467&gt;=1,"Lift",IF(BI467&lt;=0,"Aussenlager","teilweise")))))</f>
        <v>Lift</v>
      </c>
      <c r="BM467" s="48" t="str">
        <f aca="false">IF(A467="","",IF(BV467=1,"Neu; ","")&amp;IF(AND(BV467=0,BQ467&lt;0),"negativer Bestand (Export "&amp;BQ467&amp;"); ","")&amp;IF(J467&lt;=0,"Kein Verbrauch; ","")&amp;IF(CQ467&gt;0,"Lift "&amp;W467&amp;" lt. Liftbericht (Fach "&amp;X467&amp;" Stk); ",IF(CA467=1,"Gebinde geschätzt ("&amp;T467&amp;"); ",IF(BZ467=1,"Lose – Tablare geschätzt; ","")))&amp;IF(H467&gt;AV467,"Überbestand "&amp;ROUND(H467-AV467,0)&amp;" Stk / CHF "&amp;ROUND((H467-AV467)*G467,0)&amp;"; ","")&amp;IF(AND(CH467=1,CI467&lt;CJ467),"MAX &lt; MB+LG; ","")&amp;IF(AND(CP467&gt;0,CO467*10&gt;CP467),"zu hoch für Tablar; ","")&amp;IF(AND(BV467=0,OR(CH467=1,AA467&lt;&gt;"",U467&lt;&gt;"",V467&lt;&gt;"",AB467&lt;&gt;"")),"manuell übersteuert; ","")&amp;IF(AND(BZ467=0,R467=0),"Gebinde unbekannt / Stellmass fehlt; ","")&amp;IF(AND(BZ467=0,N(V467)&lt;=0,N(Q467)&lt;=0),"Menge pro Gebinde fehlt (Ist = 1 Gebinde); ","")&amp;BU467)</f>
        <v/>
      </c>
      <c r="BN467" s="48"/>
      <c r="BO467" s="48"/>
      <c r="BP467" s="55"/>
      <c r="BQ467" s="50" t="n">
        <v>392</v>
      </c>
      <c r="BR467" s="50" t="n">
        <v>145</v>
      </c>
      <c r="BS467" s="49" t="n">
        <v>55.98</v>
      </c>
      <c r="BT467" s="50" t="n">
        <v>714</v>
      </c>
      <c r="BU467" s="48"/>
      <c r="BV467" s="53" t="n">
        <v>0</v>
      </c>
      <c r="BW467" s="53" t="n">
        <v>467</v>
      </c>
      <c r="BX467" s="48" t="str">
        <f aca="false">IF(U467&lt;&gt;"",UPPER(TRIM(U467)),IF(CA467=1,UPPER(VLOOKUP(T467,Parameter!$I$27:$K$29,2,0)),IF(P467="","LOSE",P467)))</f>
        <v>S22</v>
      </c>
      <c r="BY467" s="50" t="n">
        <f aca="false">IF(BX467="LOSE",1,IF(N(V467)&gt;0,V467,IF(CA467=1,MAX(1,N(VLOOKUP(T467,Parameter!$I$27:$K$29,3,0)),H467,N(N467)),IF(N(Q467)&gt;0,Q467,MAX(1,H467)))))</f>
        <v>194</v>
      </c>
      <c r="BZ467" s="53" t="n">
        <f aca="false">IF(BX467="LOSE",1,0)</f>
        <v>0</v>
      </c>
      <c r="CA467" s="53" t="n">
        <f aca="false">IF(AND(U467="",OR(P467="",P467="LOSE"),T467&lt;&gt;"",N(S467)&lt;=0,ISNUMBER(MATCH(T467,Parameter!$I$27:$I$29,0))),1,0)</f>
        <v>0</v>
      </c>
      <c r="CB467" s="53" t="n">
        <f aca="false">IF(CQ467&gt;0,INDEX(Parameter!$H$5:$H$7,W467)/INDEX(Parameter!$E$5:$E$7,W467),IF(AND(BZ467=0,N(IFERROR(VLOOKUP(BX467,'Gebinde-Kategorie'!$A$5:$N$45,14,0),0))&gt;0),VLOOKUP(BX467,'Gebinde-Kategorie'!$A$5:$N$45,14,0)*10+Parameter!$M$23,Parameter!$M$24))</f>
        <v>155</v>
      </c>
      <c r="CC467" s="48" t="str">
        <f aca="false">IF(AND(Parameter!$B$19="Ja",E467&lt;&gt;"",ISNUMBER(MATCH(E467,Parameter!$I$35:$I$52,0))),VLOOKUP(E467,Parameter!$I$35:$J$52,2,0),IFERROR(VLOOKUP(D467,Parameter!$A$35:$C$64,2,0),"Nein"))</f>
        <v>2+3</v>
      </c>
      <c r="CD467" s="52" t="n">
        <f aca="false">IF(BZ467=0,0,IF(N(S467)&gt;0,S467,IFERROR(VLOOKUP(D467,Parameter!$A$35:$C$64,3,0)+0,0)))</f>
        <v>0</v>
      </c>
      <c r="CE467" s="48" t="n">
        <f aca="false">IF(AA467&lt;&gt;"",AA467,Z467)</f>
        <v>3</v>
      </c>
      <c r="CF467" s="48" t="str">
        <f aca="false">IF(OR(CE467=1,CE467=2,CE467=3),IF(Parameter!$E$27="Ja","LIFT",IF(CE467=1,"L1","L23")),IF(CE467="Aussen","Aussen","-"))</f>
        <v>LIFT</v>
      </c>
      <c r="CG467" s="59" t="n">
        <f aca="false">IF(N(AB467)&gt;0,AB467,0)</f>
        <v>0</v>
      </c>
      <c r="CH467" s="53" t="n">
        <f aca="false">IF(ISNUMBER(AE467),1,0)</f>
        <v>0</v>
      </c>
      <c r="CI467" s="50" t="n">
        <f aca="false">N(AE467)</f>
        <v>0</v>
      </c>
      <c r="CJ467" s="50" t="n">
        <f aca="false">N(M467)+N(N467)</f>
        <v>742</v>
      </c>
      <c r="CK467" s="50" t="n">
        <f aca="false">N(M467)</f>
        <v>27</v>
      </c>
      <c r="CL467" s="50" t="n">
        <f aca="false">N(N467)</f>
        <v>715</v>
      </c>
      <c r="CM467" s="50" t="n">
        <f aca="false">ROUNDUP(H467/BY467,0)</f>
        <v>3</v>
      </c>
      <c r="CN467" s="50" t="n">
        <f aca="false">ROUNDUP(CI467/BY467,0)</f>
        <v>0</v>
      </c>
      <c r="CO467" s="53" t="n">
        <f aca="false">IF(BZ467=1,0,IFERROR(VLOOKUP(BX467,'Gebinde-Kategorie'!$A$5:$N$45,5,0)+0,0))</f>
        <v>8</v>
      </c>
      <c r="CP467" s="53" t="n">
        <f aca="false">IFERROR(IF(OR(CE467=1,CE467=2,CE467=3),N(INDEX(Parameter!$I$5:$I$7,CE467)),0),0)</f>
        <v>0</v>
      </c>
      <c r="CQ467" s="52" t="n">
        <f aca="false">IF(AND(Parameter!$B$21="Ja",ISNUMBER(W467),N(X467)&gt;0),IFERROR(N(INDEX(Parameter!$L$5:$L$7,W467))*INDEX(Parameter!$E$5:$E$7,W467)*X467/SUMIFS($X$7:$X$1843,$W$7:$W$1843,W467),0),0)</f>
        <v>0</v>
      </c>
    </row>
    <row r="468" customFormat="false" ht="15" hidden="false" customHeight="false" outlineLevel="0" collapsed="false">
      <c r="A468" s="48" t="s">
        <v>1056</v>
      </c>
      <c r="B468" s="48" t="s">
        <v>1057</v>
      </c>
      <c r="C468" s="48" t="s">
        <v>173</v>
      </c>
      <c r="D468" s="48" t="s">
        <v>193</v>
      </c>
      <c r="E468" s="48"/>
      <c r="F468" s="48" t="s">
        <v>227</v>
      </c>
      <c r="G468" s="49" t="n">
        <v>7.36</v>
      </c>
      <c r="H468" s="50" t="n">
        <f aca="false">MAX(0,IF(AND(Parameter!$B$21="Ja",ISNUMBER(Y468)),Y468,IF(Parameter!$B$20="Jahresanfang 2025 + Export",BR468+BQ468,BQ468)))</f>
        <v>17</v>
      </c>
      <c r="I468" s="50" t="n">
        <f aca="false">H468*G468</f>
        <v>125.12</v>
      </c>
      <c r="J468" s="50" t="n">
        <f aca="false">BT468*Parameter!$B$18</f>
        <v>1</v>
      </c>
      <c r="K468" s="51" t="n">
        <v>7.5</v>
      </c>
      <c r="L468" s="52" t="n">
        <v>0.133333333333333</v>
      </c>
      <c r="M468" s="50" t="n">
        <v>0</v>
      </c>
      <c r="N468" s="50" t="n">
        <v>1</v>
      </c>
      <c r="O468" s="53" t="n">
        <v>21</v>
      </c>
      <c r="P468" s="48" t="s">
        <v>177</v>
      </c>
      <c r="Q468" s="50"/>
      <c r="R468" s="53" t="n">
        <f aca="false">IF(BZ468=1,0,IFERROR(VLOOKUP(BX468,'Gebinde-Kategorie'!$A$5:$N$45,13,0)+0,0))</f>
        <v>26</v>
      </c>
      <c r="S468" s="54"/>
      <c r="T468" s="55" t="s">
        <v>284</v>
      </c>
      <c r="U468" s="55"/>
      <c r="V468" s="55"/>
      <c r="W468" s="48"/>
      <c r="X468" s="50"/>
      <c r="Y468" s="50"/>
      <c r="Z468" s="48" t="n">
        <f aca="false">IF(A468="","",IF(AND(Parameter!$B$21="Ja",ISNUMBER(W468)),W468,IF(CC468="2+3",IF(ISNUMBER(SEARCH("grosser Artikel",BU468)),2,IFERROR(VLOOKUP(BX468,Parameter!$F$35:$G$64,2,0),2)),IF(OR(CC468="Nein",CC468=""),"-",CC468))))</f>
        <v>3</v>
      </c>
      <c r="AA468" s="55"/>
      <c r="AB468" s="56"/>
      <c r="AC468" s="50" t="n">
        <f aca="false">AV468</f>
        <v>1</v>
      </c>
      <c r="AD468" s="50" t="n">
        <f aca="false">MAX(AV468,H468)</f>
        <v>17</v>
      </c>
      <c r="AE468" s="57"/>
      <c r="AF468" s="50" t="n">
        <f aca="false">IF(LEFT(Cockpit!$C$5,1)="A",H468,IF(Parameter!$E$30="MAX-Bestand",IF(CH468=1,CI468,IF(LEFT(Cockpit!$C$5,1)="B",AL468,MAX(AL468,H468))),ROUNDUP(AJ468,0)))</f>
        <v>17</v>
      </c>
      <c r="AG468" s="50" t="n">
        <f aca="false">IF(BZ468=1,0,ROUNDUP(AF468/BY468,0))</f>
        <v>1</v>
      </c>
      <c r="AH468" s="52" t="n">
        <f aca="false">IF(CQ468&gt;0,CQ468*MAX(1,AF468/X468),IF(BZ468=1,IF(AF468&lt;=0,0,CD468*MAX(1,IF(H468&gt;0,AF468/H468,1))),IF(R468&gt;0,AG468/R468,0))/MAX(0.1,N(Parameter!$M$21)))</f>
        <v>0.0384615384615385</v>
      </c>
      <c r="AI468" s="50" t="n">
        <f aca="false">AH468*CB468</f>
        <v>5.96153846153846</v>
      </c>
      <c r="AJ468" s="51" t="n">
        <f aca="false">IF(LEFT(Cockpit!$C$5,1)="A",H468,IF(CH468=1,(CK468+CI468)/2,IF(LEFT(Cockpit!$C$5,1)="B",(CK468+AL468)/2,MAX((CK468+AL468)/2,H468))))</f>
        <v>17</v>
      </c>
      <c r="AK468" s="50" t="n">
        <f aca="false">AJ468*G468</f>
        <v>125.12</v>
      </c>
      <c r="AL468" s="50" t="n">
        <f aca="false">ROUNDUP(CK468+MAX(CL468,2*(J468/IF(CG468&gt;0,CG468,MAX(0.1,N(Cockpit!$C$6)))-CK468)),0)</f>
        <v>1</v>
      </c>
      <c r="AM468" s="51" t="n">
        <f aca="false">IF(AI468&gt;0,J468/AI468,-1)</f>
        <v>0.167741935483871</v>
      </c>
      <c r="AN468" s="51" t="n">
        <f aca="false">IF(AND(OR(CF468="L1",CF468="L23",CF468="LIFT"),AI468&gt;0),SUMIFS($AI$7:$AI$1843,$CF$7:$CF$1843,CF468,$AM$7:$AM$1843,"&gt;"&amp;AM468)+SUMIFS($AI$7:$AI$1843,$CF$7:$CF$1843,CF468,$AM$7:$AM$1843,AM468,$BW$7:$BW$1843,"&lt;="&amp;BW468),"")</f>
        <v>12691.6567977691</v>
      </c>
      <c r="AO468" s="58" t="n">
        <f aca="false">IF(AN468="",0,MAX(0,MIN(1,(IF(CF468="L1",Parameter!$H$5,IF(CF468="L23",Parameter!$H$6+Parameter!$H$7,Parameter!$H$5+Parameter!$H$6+Parameter!$H$7))-(AN468-AI468))/AI468)))</f>
        <v>1</v>
      </c>
      <c r="AP468" s="50" t="n">
        <f aca="false">IF(LEFT(Cockpit!$I$5,1)="A",H468,IF(Parameter!$E$30="MAX-Bestand",IF(CH468=1,CI468,IF(LEFT(Cockpit!$I$5,1)="B",AV468,MAX(AV468,H468))),ROUNDUP(AT468,0)))</f>
        <v>17</v>
      </c>
      <c r="AQ468" s="50" t="n">
        <f aca="false">IF(BZ468=1,0,ROUNDUP(AP468/BY468,0))</f>
        <v>1</v>
      </c>
      <c r="AR468" s="52" t="n">
        <f aca="false">IF(CQ468&gt;0,CQ468*MAX(1,AP468/X468),IF(BZ468=1,IF(AP468&lt;=0,0,CD468*MAX(1,IF(H468&gt;0,AP468/H468,1))),IF(R468&gt;0,AQ468/R468,0))/MAX(0.1,N(Parameter!$M$21)))</f>
        <v>0.0384615384615385</v>
      </c>
      <c r="AS468" s="50" t="n">
        <f aca="false">AR468*CB468</f>
        <v>5.96153846153846</v>
      </c>
      <c r="AT468" s="51" t="n">
        <f aca="false">IF(LEFT(Cockpit!$I$5,1)="A",H468,IF(CH468=1,(CK468+CI468)/2,IF(LEFT(Cockpit!$I$5,1)="B",(CK468+AV468)/2,MAX((CK468+AV468)/2,H468))))</f>
        <v>17</v>
      </c>
      <c r="AU468" s="50" t="n">
        <f aca="false">AT468*G468</f>
        <v>125.12</v>
      </c>
      <c r="AV468" s="50" t="n">
        <f aca="false">ROUNDUP(CK468+MAX(CL468,2*(J468/IF(CG468&gt;0,CG468,MAX(0.1,N(Cockpit!$I$6)))-CK468)),0)</f>
        <v>1</v>
      </c>
      <c r="AW468" s="51" t="n">
        <f aca="false">IF(AS468&gt;0,J468/AS468,-1)</f>
        <v>0.167741935483871</v>
      </c>
      <c r="AX468" s="51" t="n">
        <f aca="false">IF(AND(OR(CF468="L1",CF468="L23",CF468="LIFT"),AS468&gt;0),SUMIFS($AS$7:$AS$1843,$CF$7:$CF$1843,CF468,$AW$7:$AW$1843,"&gt;"&amp;AW468)+SUMIFS($AS$7:$AS$1843,$CF$7:$CF$1843,CF468,$AW$7:$AW$1843,AW468,$BW$7:$BW$1843,"&lt;="&amp;BW468),"")</f>
        <v>15608.4143772894</v>
      </c>
      <c r="AY468" s="58" t="n">
        <f aca="false">IF(AX468="",0,MAX(0,MIN(1,(IF(CF468="L1",Parameter!$H$5,IF(CF468="L23",Parameter!$H$6+Parameter!$H$7,Parameter!$H$5+Parameter!$H$6+Parameter!$H$7))-(AX468-AS468))/AS468)))</f>
        <v>1</v>
      </c>
      <c r="AZ468" s="50" t="n">
        <f aca="false">IF(LEFT(Cockpit!$O$5,1)="A",H468,IF(Parameter!$E$30="MAX-Bestand",IF(CH468=1,CI468,IF(LEFT(Cockpit!$O$5,1)="B",BF468,MAX(BF468,H468))),ROUNDUP(BD468,0)))</f>
        <v>1</v>
      </c>
      <c r="BA468" s="50" t="n">
        <f aca="false">IF(BZ468=1,0,ROUNDUP(AZ468/BY468,0))</f>
        <v>1</v>
      </c>
      <c r="BB468" s="52" t="n">
        <f aca="false">IF(CQ468&gt;0,CQ468*MAX(1,AZ468/X468),IF(BZ468=1,IF(AZ468&lt;=0,0,CD468*MAX(1,IF(H468&gt;0,AZ468/H468,1))),IF(R468&gt;0,BA468/R468,0))/MAX(0.1,N(Parameter!$M$21)))</f>
        <v>0.0384615384615385</v>
      </c>
      <c r="BC468" s="50" t="n">
        <f aca="false">BB468*CB468</f>
        <v>5.96153846153846</v>
      </c>
      <c r="BD468" s="51" t="n">
        <f aca="false">IF(LEFT(Cockpit!$O$5,1)="A",H468,IF(CH468=1,(CK468+CI468)/2,IF(LEFT(Cockpit!$O$5,1)="B",(CK468+BF468)/2,MAX((CK468+BF468)/2,H468))))</f>
        <v>0.5</v>
      </c>
      <c r="BE468" s="50" t="n">
        <f aca="false">BD468*G468</f>
        <v>3.68</v>
      </c>
      <c r="BF468" s="50" t="n">
        <f aca="false">ROUNDUP(CK468+MAX(CL468,2*(J468/IF(CG468&gt;0,CG468,MAX(0.1,N(Cockpit!$O$6)))-CK468)),0)</f>
        <v>1</v>
      </c>
      <c r="BG468" s="51" t="n">
        <f aca="false">IF(BC468&gt;0,J468/BC468,-1)</f>
        <v>0.167741935483871</v>
      </c>
      <c r="BH468" s="51" t="n">
        <f aca="false">IF(AND(OR(CF468="L1",CF468="L23",CF468="LIFT"),BC468&gt;0),SUMIFS($BC$7:$BC$1843,$CF$7:$CF$1843,CF468,$BG$7:$BG$1843,"&gt;"&amp;BG468)+SUMIFS($BC$7:$BC$1843,$CF$7:$CF$1843,CF468,$BG$7:$BG$1843,BG468,$BW$7:$BW$1843,"&lt;="&amp;BW468),"")</f>
        <v>13410.7142055214</v>
      </c>
      <c r="BI468" s="58" t="n">
        <f aca="false">IF(BH468="",0,MAX(0,MIN(1,(IF(CF468="L1",Parameter!$H$5,IF(CF468="L23",Parameter!$H$6+Parameter!$H$7,Parameter!$H$5+Parameter!$H$6+Parameter!$H$7))-(BH468-BC468))/BC468)))</f>
        <v>1</v>
      </c>
      <c r="BJ468" s="48" t="str">
        <f aca="false">IF(AI468&lt;=0,"",IF(CF468="Aussen","Aussenlager",IF(CF468="-","Nicht im Lift",IF(AO468&gt;=1,"Lift",IF(AO468&lt;=0,"Aussenlager","teilweise")))))</f>
        <v>Lift</v>
      </c>
      <c r="BK468" s="48" t="str">
        <f aca="false">IF(AS468&lt;=0,"",IF(CF468="Aussen","Aussenlager",IF(CF468="-","Nicht im Lift",IF(AY468&gt;=1,"Lift",IF(AY468&lt;=0,"Aussenlager","teilweise")))))</f>
        <v>Lift</v>
      </c>
      <c r="BL468" s="48" t="str">
        <f aca="false">IF(BC468&lt;=0,"",IF(CF468="Aussen","Aussenlager",IF(CF468="-","Nicht im Lift",IF(BI468&gt;=1,"Lift",IF(BI468&lt;=0,"Aussenlager","teilweise")))))</f>
        <v>Lift</v>
      </c>
      <c r="BM468" s="48" t="str">
        <f aca="false">IF(A468="","",IF(BV468=1,"Neu; ","")&amp;IF(AND(BV468=0,BQ468&lt;0),"negativer Bestand (Export "&amp;BQ468&amp;"); ","")&amp;IF(J468&lt;=0,"Kein Verbrauch; ","")&amp;IF(CQ468&gt;0,"Lift "&amp;W468&amp;" lt. Liftbericht (Fach "&amp;X468&amp;" Stk); ",IF(CA468=1,"Gebinde geschätzt ("&amp;T468&amp;"); ",IF(BZ468=1,"Lose – Tablare geschätzt; ","")))&amp;IF(H468&gt;AV468,"Überbestand "&amp;ROUND(H468-AV468,0)&amp;" Stk / CHF "&amp;ROUND((H468-AV468)*G468,0)&amp;"; ","")&amp;IF(AND(CH468=1,CI468&lt;CJ468),"MAX &lt; MB+LG; ","")&amp;IF(AND(CP468&gt;0,CO468*10&gt;CP468),"zu hoch für Tablar; ","")&amp;IF(AND(BV468=0,OR(CH468=1,AA468&lt;&gt;"",U468&lt;&gt;"",V468&lt;&gt;"",AB468&lt;&gt;"")),"manuell übersteuert; ","")&amp;IF(AND(BZ468=0,R468=0),"Gebinde unbekannt / Stellmass fehlt; ","")&amp;IF(AND(BZ468=0,N(V468)&lt;=0,N(Q468)&lt;=0),"Menge pro Gebinde fehlt (Ist = 1 Gebinde); ","")&amp;BU468)</f>
        <v>Gebinde geschätzt (Klein); Überbestand 16 Stk / CHF 118; Menge pro Gebinde fehlt (Ist = 1 Gebinde); </v>
      </c>
      <c r="BN468" s="48"/>
      <c r="BO468" s="48"/>
      <c r="BP468" s="55"/>
      <c r="BQ468" s="50" t="n">
        <v>9</v>
      </c>
      <c r="BR468" s="50" t="n">
        <v>8</v>
      </c>
      <c r="BS468" s="49" t="n">
        <v>55.36</v>
      </c>
      <c r="BT468" s="50" t="n">
        <v>1</v>
      </c>
      <c r="BU468" s="48"/>
      <c r="BV468" s="53" t="n">
        <v>0</v>
      </c>
      <c r="BW468" s="53" t="n">
        <v>468</v>
      </c>
      <c r="BX468" s="48" t="str">
        <f aca="false">IF(U468&lt;&gt;"",UPPER(TRIM(U468)),IF(CA468=1,UPPER(VLOOKUP(T468,Parameter!$I$27:$K$29,2,0)),IF(P468="","LOSE",P468)))</f>
        <v>S51</v>
      </c>
      <c r="BY468" s="50" t="n">
        <f aca="false">IF(BX468="LOSE",1,IF(N(V468)&gt;0,V468,IF(CA468=1,MAX(1,N(VLOOKUP(T468,Parameter!$I$27:$K$29,3,0)),H468,N(N468)),IF(N(Q468)&gt;0,Q468,MAX(1,H468)))))</f>
        <v>20</v>
      </c>
      <c r="BZ468" s="53" t="n">
        <f aca="false">IF(BX468="LOSE",1,0)</f>
        <v>0</v>
      </c>
      <c r="CA468" s="53" t="n">
        <f aca="false">IF(AND(U468="",OR(P468="",P468="LOSE"),T468&lt;&gt;"",N(S468)&lt;=0,ISNUMBER(MATCH(T468,Parameter!$I$27:$I$29,0))),1,0)</f>
        <v>1</v>
      </c>
      <c r="CB468" s="53" t="n">
        <f aca="false">IF(CQ468&gt;0,INDEX(Parameter!$H$5:$H$7,W468)/INDEX(Parameter!$E$5:$E$7,W468),IF(AND(BZ468=0,N(IFERROR(VLOOKUP(BX468,'Gebinde-Kategorie'!$A$5:$N$45,14,0),0))&gt;0),VLOOKUP(BX468,'Gebinde-Kategorie'!$A$5:$N$45,14,0)*10+Parameter!$M$23,Parameter!$M$24))</f>
        <v>155</v>
      </c>
      <c r="CC468" s="48" t="str">
        <f aca="false">IF(AND(Parameter!$B$19="Ja",E468&lt;&gt;"",ISNUMBER(MATCH(E468,Parameter!$I$35:$I$52,0))),VLOOKUP(E468,Parameter!$I$35:$J$52,2,0),IFERROR(VLOOKUP(D468,Parameter!$A$35:$C$64,2,0),"Nein"))</f>
        <v>2+3</v>
      </c>
      <c r="CD468" s="52" t="n">
        <f aca="false">IF(BZ468=0,0,IF(N(S468)&gt;0,S468,IFERROR(VLOOKUP(D468,Parameter!$A$35:$C$64,3,0)+0,0)))</f>
        <v>0</v>
      </c>
      <c r="CE468" s="48" t="n">
        <f aca="false">IF(AA468&lt;&gt;"",AA468,Z468)</f>
        <v>3</v>
      </c>
      <c r="CF468" s="48" t="str">
        <f aca="false">IF(OR(CE468=1,CE468=2,CE468=3),IF(Parameter!$E$27="Ja","LIFT",IF(CE468=1,"L1","L23")),IF(CE468="Aussen","Aussen","-"))</f>
        <v>LIFT</v>
      </c>
      <c r="CG468" s="59" t="n">
        <f aca="false">IF(N(AB468)&gt;0,AB468,0)</f>
        <v>0</v>
      </c>
      <c r="CH468" s="53" t="n">
        <f aca="false">IF(ISNUMBER(AE468),1,0)</f>
        <v>0</v>
      </c>
      <c r="CI468" s="50" t="n">
        <f aca="false">N(AE468)</f>
        <v>0</v>
      </c>
      <c r="CJ468" s="50" t="n">
        <f aca="false">N(M468)+N(N468)</f>
        <v>1</v>
      </c>
      <c r="CK468" s="50" t="n">
        <f aca="false">N(M468)</f>
        <v>0</v>
      </c>
      <c r="CL468" s="50" t="n">
        <f aca="false">N(N468)</f>
        <v>1</v>
      </c>
      <c r="CM468" s="50" t="n">
        <f aca="false">ROUNDUP(H468/BY468,0)</f>
        <v>1</v>
      </c>
      <c r="CN468" s="50" t="n">
        <f aca="false">ROUNDUP(CI468/BY468,0)</f>
        <v>0</v>
      </c>
      <c r="CO468" s="53" t="n">
        <f aca="false">IF(BZ468=1,0,IFERROR(VLOOKUP(BX468,'Gebinde-Kategorie'!$A$5:$N$45,5,0)+0,0))</f>
        <v>11</v>
      </c>
      <c r="CP468" s="53" t="n">
        <f aca="false">IFERROR(IF(OR(CE468=1,CE468=2,CE468=3),N(INDEX(Parameter!$I$5:$I$7,CE468)),0),0)</f>
        <v>0</v>
      </c>
      <c r="CQ468" s="52" t="n">
        <f aca="false">IF(AND(Parameter!$B$21="Ja",ISNUMBER(W468),N(X468)&gt;0),IFERROR(N(INDEX(Parameter!$L$5:$L$7,W468))*INDEX(Parameter!$E$5:$E$7,W468)*X468/SUMIFS($X$7:$X$1843,$W$7:$W$1843,W468),0),0)</f>
        <v>0</v>
      </c>
    </row>
    <row r="469" customFormat="false" ht="15" hidden="false" customHeight="false" outlineLevel="0" collapsed="false">
      <c r="A469" s="48" t="s">
        <v>1058</v>
      </c>
      <c r="B469" s="48" t="s">
        <v>438</v>
      </c>
      <c r="C469" s="48" t="s">
        <v>173</v>
      </c>
      <c r="D469" s="48" t="s">
        <v>182</v>
      </c>
      <c r="E469" s="48"/>
      <c r="F469" s="48" t="s">
        <v>227</v>
      </c>
      <c r="G469" s="49" t="n">
        <v>54.97</v>
      </c>
      <c r="H469" s="50" t="n">
        <f aca="false">MAX(0,IF(AND(Parameter!$B$21="Ja",ISNUMBER(Y469)),Y469,IF(Parameter!$B$20="Jahresanfang 2025 + Export",BR469+BQ469,BQ469)))</f>
        <v>1</v>
      </c>
      <c r="I469" s="50" t="n">
        <f aca="false">H469*G469</f>
        <v>54.97</v>
      </c>
      <c r="J469" s="50" t="n">
        <f aca="false">BT469*Parameter!$B$18</f>
        <v>0</v>
      </c>
      <c r="K469" s="51" t="n">
        <v>0.5</v>
      </c>
      <c r="L469" s="52" t="n">
        <v>0</v>
      </c>
      <c r="M469" s="50" t="n">
        <v>0</v>
      </c>
      <c r="N469" s="50" t="n">
        <v>1</v>
      </c>
      <c r="O469" s="53" t="n">
        <v>63</v>
      </c>
      <c r="P469" s="48" t="s">
        <v>177</v>
      </c>
      <c r="Q469" s="50"/>
      <c r="R469" s="53" t="n">
        <f aca="false">IF(BZ469=1,0,IFERROR(VLOOKUP(BX469,'Gebinde-Kategorie'!$A$5:$N$45,13,0)+0,0))</f>
        <v>12</v>
      </c>
      <c r="S469" s="54"/>
      <c r="T469" s="55" t="s">
        <v>188</v>
      </c>
      <c r="U469" s="55"/>
      <c r="V469" s="55"/>
      <c r="W469" s="48"/>
      <c r="X469" s="50"/>
      <c r="Y469" s="50"/>
      <c r="Z469" s="48" t="n">
        <f aca="false">IF(A469="","",IF(AND(Parameter!$B$21="Ja",ISNUMBER(W469)),W469,IF(CC469="2+3",IF(ISNUMBER(SEARCH("grosser Artikel",BU469)),2,IFERROR(VLOOKUP(BX469,Parameter!$F$35:$G$64,2,0),2)),IF(OR(CC469="Nein",CC469=""),"-",CC469))))</f>
        <v>2</v>
      </c>
      <c r="AA469" s="55"/>
      <c r="AB469" s="56"/>
      <c r="AC469" s="50" t="n">
        <f aca="false">AV469</f>
        <v>1</v>
      </c>
      <c r="AD469" s="50" t="n">
        <f aca="false">MAX(AV469,H469)</f>
        <v>1</v>
      </c>
      <c r="AE469" s="57"/>
      <c r="AF469" s="50" t="n">
        <f aca="false">IF(LEFT(Cockpit!$C$5,1)="A",H469,IF(Parameter!$E$30="MAX-Bestand",IF(CH469=1,CI469,IF(LEFT(Cockpit!$C$5,1)="B",AL469,MAX(AL469,H469))),ROUNDUP(AJ469,0)))</f>
        <v>1</v>
      </c>
      <c r="AG469" s="50" t="n">
        <f aca="false">IF(BZ469=1,0,ROUNDUP(AF469/BY469,0))</f>
        <v>1</v>
      </c>
      <c r="AH469" s="52" t="n">
        <f aca="false">IF(CQ469&gt;0,CQ469*MAX(1,AF469/X469),IF(BZ469=1,IF(AF469&lt;=0,0,CD469*MAX(1,IF(H469&gt;0,AF469/H469,1))),IF(R469&gt;0,AG469/R469,0))/MAX(0.1,N(Parameter!$M$21)))</f>
        <v>0.0833333333333333</v>
      </c>
      <c r="AI469" s="50" t="n">
        <f aca="false">AH469*CB469</f>
        <v>12.0833333333333</v>
      </c>
      <c r="AJ469" s="51" t="n">
        <f aca="false">IF(LEFT(Cockpit!$C$5,1)="A",H469,IF(CH469=1,(CK469+CI469)/2,IF(LEFT(Cockpit!$C$5,1)="B",(CK469+AL469)/2,MAX((CK469+AL469)/2,H469))))</f>
        <v>1</v>
      </c>
      <c r="AK469" s="50" t="n">
        <f aca="false">AJ469*G469</f>
        <v>54.97</v>
      </c>
      <c r="AL469" s="50" t="n">
        <f aca="false">ROUNDUP(CK469+MAX(CL469,2*(J469/IF(CG469&gt;0,CG469,MAX(0.1,N(Cockpit!$C$6)))-CK469)),0)</f>
        <v>1</v>
      </c>
      <c r="AM469" s="51" t="n">
        <f aca="false">IF(AI469&gt;0,J469/AI469,-1)</f>
        <v>0</v>
      </c>
      <c r="AN469" s="51" t="n">
        <f aca="false">IF(AND(OR(CF469="L1",CF469="L23",CF469="LIFT"),AI469&gt;0),SUMIFS($AI$7:$AI$1843,$CF$7:$CF$1843,CF469,$AM$7:$AM$1843,"&gt;"&amp;AM469)+SUMIFS($AI$7:$AI$1843,$CF$7:$CF$1843,CF469,$AM$7:$AM$1843,AM469,$BW$7:$BW$1843,"&lt;="&amp;BW469),"")</f>
        <v>28165.2139959852</v>
      </c>
      <c r="AO469" s="58" t="n">
        <f aca="false">IF(AN469="",0,MAX(0,MIN(1,(IF(CF469="L1",Parameter!$H$5,IF(CF469="L23",Parameter!$H$6+Parameter!$H$7,Parameter!$H$5+Parameter!$H$6+Parameter!$H$7))-(AN469-AI469))/AI469)))</f>
        <v>1</v>
      </c>
      <c r="AP469" s="50" t="n">
        <f aca="false">IF(LEFT(Cockpit!$I$5,1)="A",H469,IF(Parameter!$E$30="MAX-Bestand",IF(CH469=1,CI469,IF(LEFT(Cockpit!$I$5,1)="B",AV469,MAX(AV469,H469))),ROUNDUP(AT469,0)))</f>
        <v>1</v>
      </c>
      <c r="AQ469" s="50" t="n">
        <f aca="false">IF(BZ469=1,0,ROUNDUP(AP469/BY469,0))</f>
        <v>1</v>
      </c>
      <c r="AR469" s="52" t="n">
        <f aca="false">IF(CQ469&gt;0,CQ469*MAX(1,AP469/X469),IF(BZ469=1,IF(AP469&lt;=0,0,CD469*MAX(1,IF(H469&gt;0,AP469/H469,1))),IF(R469&gt;0,AQ469/R469,0))/MAX(0.1,N(Parameter!$M$21)))</f>
        <v>0.0833333333333333</v>
      </c>
      <c r="AS469" s="50" t="n">
        <f aca="false">AR469*CB469</f>
        <v>12.0833333333333</v>
      </c>
      <c r="AT469" s="51" t="n">
        <f aca="false">IF(LEFT(Cockpit!$I$5,1)="A",H469,IF(CH469=1,(CK469+CI469)/2,IF(LEFT(Cockpit!$I$5,1)="B",(CK469+AV469)/2,MAX((CK469+AV469)/2,H469))))</f>
        <v>1</v>
      </c>
      <c r="AU469" s="50" t="n">
        <f aca="false">AT469*G469</f>
        <v>54.97</v>
      </c>
      <c r="AV469" s="50" t="n">
        <f aca="false">ROUNDUP(CK469+MAX(CL469,2*(J469/IF(CG469&gt;0,CG469,MAX(0.1,N(Cockpit!$I$6)))-CK469)),0)</f>
        <v>1</v>
      </c>
      <c r="AW469" s="51" t="n">
        <f aca="false">IF(AS469&gt;0,J469/AS469,-1)</f>
        <v>0</v>
      </c>
      <c r="AX469" s="51" t="n">
        <f aca="false">IF(AND(OR(CF469="L1",CF469="L23",CF469="LIFT"),AS469&gt;0),SUMIFS($AS$7:$AS$1843,$CF$7:$CF$1843,CF469,$AW$7:$AW$1843,"&gt;"&amp;AW469)+SUMIFS($AS$7:$AS$1843,$CF$7:$CF$1843,CF469,$AW$7:$AW$1843,AW469,$BW$7:$BW$1843,"&lt;="&amp;BW469),"")</f>
        <v>33518.3626373626</v>
      </c>
      <c r="AY469" s="58" t="n">
        <f aca="false">IF(AX469="",0,MAX(0,MIN(1,(IF(CF469="L1",Parameter!$H$5,IF(CF469="L23",Parameter!$H$6+Parameter!$H$7,Parameter!$H$5+Parameter!$H$6+Parameter!$H$7))-(AX469-AS469))/AS469)))</f>
        <v>1</v>
      </c>
      <c r="AZ469" s="50" t="n">
        <f aca="false">IF(LEFT(Cockpit!$O$5,1)="A",H469,IF(Parameter!$E$30="MAX-Bestand",IF(CH469=1,CI469,IF(LEFT(Cockpit!$O$5,1)="B",BF469,MAX(BF469,H469))),ROUNDUP(BD469,0)))</f>
        <v>1</v>
      </c>
      <c r="BA469" s="50" t="n">
        <f aca="false">IF(BZ469=1,0,ROUNDUP(AZ469/BY469,0))</f>
        <v>1</v>
      </c>
      <c r="BB469" s="52" t="n">
        <f aca="false">IF(CQ469&gt;0,CQ469*MAX(1,AZ469/X469),IF(BZ469=1,IF(AZ469&lt;=0,0,CD469*MAX(1,IF(H469&gt;0,AZ469/H469,1))),IF(R469&gt;0,BA469/R469,0))/MAX(0.1,N(Parameter!$M$21)))</f>
        <v>0.0833333333333333</v>
      </c>
      <c r="BC469" s="50" t="n">
        <f aca="false">BB469*CB469</f>
        <v>12.0833333333333</v>
      </c>
      <c r="BD469" s="51" t="n">
        <f aca="false">IF(LEFT(Cockpit!$O$5,1)="A",H469,IF(CH469=1,(CK469+CI469)/2,IF(LEFT(Cockpit!$O$5,1)="B",(CK469+BF469)/2,MAX((CK469+BF469)/2,H469))))</f>
        <v>0.5</v>
      </c>
      <c r="BE469" s="50" t="n">
        <f aca="false">BD469*G469</f>
        <v>27.485</v>
      </c>
      <c r="BF469" s="50" t="n">
        <f aca="false">ROUNDUP(CK469+MAX(CL469,2*(J469/IF(CG469&gt;0,CG469,MAX(0.1,N(Cockpit!$O$6)))-CK469)),0)</f>
        <v>1</v>
      </c>
      <c r="BG469" s="51" t="n">
        <f aca="false">IF(BC469&gt;0,J469/BC469,-1)</f>
        <v>0</v>
      </c>
      <c r="BH469" s="51" t="n">
        <f aca="false">IF(AND(OR(CF469="L1",CF469="L23",CF469="LIFT"),BC469&gt;0),SUMIFS($BC$7:$BC$1843,$CF$7:$CF$1843,CF469,$BG$7:$BG$1843,"&gt;"&amp;BG469)+SUMIFS($BC$7:$BC$1843,$CF$7:$CF$1843,CF469,$BG$7:$BG$1843,BG469,$BW$7:$BW$1843,"&lt;="&amp;BW469),"")</f>
        <v>27625.5974110635</v>
      </c>
      <c r="BI469" s="58" t="n">
        <f aca="false">IF(BH469="",0,MAX(0,MIN(1,(IF(CF469="L1",Parameter!$H$5,IF(CF469="L23",Parameter!$H$6+Parameter!$H$7,Parameter!$H$5+Parameter!$H$6+Parameter!$H$7))-(BH469-BC469))/BC469)))</f>
        <v>1</v>
      </c>
      <c r="BJ469" s="48" t="str">
        <f aca="false">IF(AI469&lt;=0,"",IF(CF469="Aussen","Aussenlager",IF(CF469="-","Nicht im Lift",IF(AO469&gt;=1,"Lift",IF(AO469&lt;=0,"Aussenlager","teilweise")))))</f>
        <v>Lift</v>
      </c>
      <c r="BK469" s="48" t="str">
        <f aca="false">IF(AS469&lt;=0,"",IF(CF469="Aussen","Aussenlager",IF(CF469="-","Nicht im Lift",IF(AY469&gt;=1,"Lift",IF(AY469&lt;=0,"Aussenlager","teilweise")))))</f>
        <v>Lift</v>
      </c>
      <c r="BL469" s="48" t="str">
        <f aca="false">IF(BC469&lt;=0,"",IF(CF469="Aussen","Aussenlager",IF(CF469="-","Nicht im Lift",IF(BI469&gt;=1,"Lift",IF(BI469&lt;=0,"Aussenlager","teilweise")))))</f>
        <v>Lift</v>
      </c>
      <c r="BM469" s="48" t="str">
        <f aca="false">IF(A469="","",IF(BV469=1,"Neu; ","")&amp;IF(AND(BV469=0,BQ469&lt;0),"negativer Bestand (Export "&amp;BQ469&amp;"); ","")&amp;IF(J469&lt;=0,"Kein Verbrauch; ","")&amp;IF(CQ469&gt;0,"Lift "&amp;W469&amp;" lt. Liftbericht (Fach "&amp;X469&amp;" Stk); ",IF(CA469=1,"Gebinde geschätzt ("&amp;T469&amp;"); ",IF(BZ469=1,"Lose – Tablare geschätzt; ","")))&amp;IF(H469&gt;AV469,"Überbestand "&amp;ROUND(H469-AV469,0)&amp;" Stk / CHF "&amp;ROUND((H469-AV469)*G469,0)&amp;"; ","")&amp;IF(AND(CH469=1,CI469&lt;CJ469),"MAX &lt; MB+LG; ","")&amp;IF(AND(CP469&gt;0,CO469*10&gt;CP469),"zu hoch für Tablar; ","")&amp;IF(AND(BV469=0,OR(CH469=1,AA469&lt;&gt;"",U469&lt;&gt;"",V469&lt;&gt;"",AB469&lt;&gt;"")),"manuell übersteuert; ","")&amp;IF(AND(BZ469=0,R469=0),"Gebinde unbekannt / Stellmass fehlt; ","")&amp;IF(AND(BZ469=0,N(V469)&lt;=0,N(Q469)&lt;=0),"Menge pro Gebinde fehlt (Ist = 1 Gebinde); ","")&amp;BU469)</f>
        <v>Kein Verbrauch; Gebinde geschätzt (Mittel); Menge pro Gebinde fehlt (Ist = 1 Gebinde); </v>
      </c>
      <c r="BN469" s="48"/>
      <c r="BO469" s="48"/>
      <c r="BP469" s="55"/>
      <c r="BQ469" s="50" t="n">
        <v>1</v>
      </c>
      <c r="BR469" s="50" t="n">
        <v>0</v>
      </c>
      <c r="BS469" s="49" t="n">
        <v>54.97</v>
      </c>
      <c r="BT469" s="50" t="n">
        <v>0</v>
      </c>
      <c r="BU469" s="48"/>
      <c r="BV469" s="53" t="n">
        <v>0</v>
      </c>
      <c r="BW469" s="53" t="n">
        <v>469</v>
      </c>
      <c r="BX469" s="48" t="str">
        <f aca="false">IF(U469&lt;&gt;"",UPPER(TRIM(U469)),IF(CA469=1,UPPER(VLOOKUP(T469,Parameter!$I$27:$K$29,2,0)),IF(P469="","LOSE",P469)))</f>
        <v>S61</v>
      </c>
      <c r="BY469" s="50" t="n">
        <f aca="false">IF(BX469="LOSE",1,IF(N(V469)&gt;0,V469,IF(CA469=1,MAX(1,N(VLOOKUP(T469,Parameter!$I$27:$K$29,3,0)),H469,N(N469)),IF(N(Q469)&gt;0,Q469,MAX(1,H469)))))</f>
        <v>4</v>
      </c>
      <c r="BZ469" s="53" t="n">
        <f aca="false">IF(BX469="LOSE",1,0)</f>
        <v>0</v>
      </c>
      <c r="CA469" s="53" t="n">
        <f aca="false">IF(AND(U469="",OR(P469="",P469="LOSE"),T469&lt;&gt;"",N(S469)&lt;=0,ISNUMBER(MATCH(T469,Parameter!$I$27:$I$29,0))),1,0)</f>
        <v>1</v>
      </c>
      <c r="CB469" s="53" t="n">
        <f aca="false">IF(CQ469&gt;0,INDEX(Parameter!$H$5:$H$7,W469)/INDEX(Parameter!$E$5:$E$7,W469),IF(AND(BZ469=0,N(IFERROR(VLOOKUP(BX469,'Gebinde-Kategorie'!$A$5:$N$45,14,0),0))&gt;0),VLOOKUP(BX469,'Gebinde-Kategorie'!$A$5:$N$45,14,0)*10+Parameter!$M$23,Parameter!$M$24))</f>
        <v>145</v>
      </c>
      <c r="CC469" s="48" t="str">
        <f aca="false">IF(AND(Parameter!$B$19="Ja",E469&lt;&gt;"",ISNUMBER(MATCH(E469,Parameter!$I$35:$I$52,0))),VLOOKUP(E469,Parameter!$I$35:$J$52,2,0),IFERROR(VLOOKUP(D469,Parameter!$A$35:$C$64,2,0),"Nein"))</f>
        <v>2+3</v>
      </c>
      <c r="CD469" s="52" t="n">
        <f aca="false">IF(BZ469=0,0,IF(N(S469)&gt;0,S469,IFERROR(VLOOKUP(D469,Parameter!$A$35:$C$64,3,0)+0,0)))</f>
        <v>0</v>
      </c>
      <c r="CE469" s="48" t="n">
        <f aca="false">IF(AA469&lt;&gt;"",AA469,Z469)</f>
        <v>2</v>
      </c>
      <c r="CF469" s="48" t="str">
        <f aca="false">IF(OR(CE469=1,CE469=2,CE469=3),IF(Parameter!$E$27="Ja","LIFT",IF(CE469=1,"L1","L23")),IF(CE469="Aussen","Aussen","-"))</f>
        <v>LIFT</v>
      </c>
      <c r="CG469" s="59" t="n">
        <f aca="false">IF(N(AB469)&gt;0,AB469,0)</f>
        <v>0</v>
      </c>
      <c r="CH469" s="53" t="n">
        <f aca="false">IF(ISNUMBER(AE469),1,0)</f>
        <v>0</v>
      </c>
      <c r="CI469" s="50" t="n">
        <f aca="false">N(AE469)</f>
        <v>0</v>
      </c>
      <c r="CJ469" s="50" t="n">
        <f aca="false">N(M469)+N(N469)</f>
        <v>1</v>
      </c>
      <c r="CK469" s="50" t="n">
        <f aca="false">N(M469)</f>
        <v>0</v>
      </c>
      <c r="CL469" s="50" t="n">
        <f aca="false">N(N469)</f>
        <v>1</v>
      </c>
      <c r="CM469" s="50" t="n">
        <f aca="false">ROUNDUP(H469/BY469,0)</f>
        <v>1</v>
      </c>
      <c r="CN469" s="50" t="n">
        <f aca="false">ROUNDUP(CI469/BY469,0)</f>
        <v>0</v>
      </c>
      <c r="CO469" s="53" t="n">
        <f aca="false">IF(BZ469=1,0,IFERROR(VLOOKUP(BX469,'Gebinde-Kategorie'!$A$5:$N$45,5,0)+0,0))</f>
        <v>11</v>
      </c>
      <c r="CP469" s="53" t="n">
        <f aca="false">IFERROR(IF(OR(CE469=1,CE469=2,CE469=3),N(INDEX(Parameter!$I$5:$I$7,CE469)),0),0)</f>
        <v>0</v>
      </c>
      <c r="CQ469" s="52" t="n">
        <f aca="false">IF(AND(Parameter!$B$21="Ja",ISNUMBER(W469),N(X469)&gt;0),IFERROR(N(INDEX(Parameter!$L$5:$L$7,W469))*INDEX(Parameter!$E$5:$E$7,W469)*X469/SUMIFS($X$7:$X$1843,$W$7:$W$1843,W469),0),0)</f>
        <v>0</v>
      </c>
    </row>
    <row r="470" customFormat="false" ht="15" hidden="false" customHeight="false" outlineLevel="0" collapsed="false">
      <c r="A470" s="48" t="s">
        <v>1059</v>
      </c>
      <c r="B470" s="48" t="s">
        <v>1060</v>
      </c>
      <c r="C470" s="48" t="s">
        <v>173</v>
      </c>
      <c r="D470" s="48" t="s">
        <v>193</v>
      </c>
      <c r="E470" s="48"/>
      <c r="F470" s="48" t="s">
        <v>227</v>
      </c>
      <c r="G470" s="49" t="n">
        <v>54.56</v>
      </c>
      <c r="H470" s="50" t="n">
        <f aca="false">MAX(0,IF(AND(Parameter!$B$21="Ja",ISNUMBER(Y470)),Y470,IF(Parameter!$B$20="Jahresanfang 2025 + Export",BR470+BQ470,BQ470)))</f>
        <v>32</v>
      </c>
      <c r="I470" s="50" t="n">
        <f aca="false">H470*G470</f>
        <v>1745.92</v>
      </c>
      <c r="J470" s="50" t="n">
        <f aca="false">BT470*Parameter!$B$18</f>
        <v>0</v>
      </c>
      <c r="K470" s="51" t="n">
        <v>31.5</v>
      </c>
      <c r="L470" s="52" t="n">
        <v>0</v>
      </c>
      <c r="M470" s="50" t="n">
        <v>0</v>
      </c>
      <c r="N470" s="50" t="n">
        <v>1</v>
      </c>
      <c r="O470" s="53" t="n">
        <v>28</v>
      </c>
      <c r="P470" s="48" t="s">
        <v>235</v>
      </c>
      <c r="Q470" s="50" t="n">
        <v>40</v>
      </c>
      <c r="R470" s="53" t="n">
        <f aca="false">IF(BZ470=1,0,IFERROR(VLOOKUP(BX470,'Gebinde-Kategorie'!$A$5:$N$45,13,0)+0,0))</f>
        <v>12</v>
      </c>
      <c r="S470" s="54"/>
      <c r="T470" s="55"/>
      <c r="U470" s="55"/>
      <c r="V470" s="55"/>
      <c r="W470" s="48"/>
      <c r="X470" s="50"/>
      <c r="Y470" s="50"/>
      <c r="Z470" s="48" t="n">
        <f aca="false">IF(A470="","",IF(AND(Parameter!$B$21="Ja",ISNUMBER(W470)),W470,IF(CC470="2+3",IF(ISNUMBER(SEARCH("grosser Artikel",BU470)),2,IFERROR(VLOOKUP(BX470,Parameter!$F$35:$G$64,2,0),2)),IF(OR(CC470="Nein",CC470=""),"-",CC470))))</f>
        <v>2</v>
      </c>
      <c r="AA470" s="55"/>
      <c r="AB470" s="56"/>
      <c r="AC470" s="50" t="n">
        <f aca="false">AV470</f>
        <v>1</v>
      </c>
      <c r="AD470" s="50" t="n">
        <f aca="false">MAX(AV470,H470)</f>
        <v>32</v>
      </c>
      <c r="AE470" s="57"/>
      <c r="AF470" s="50" t="n">
        <f aca="false">IF(LEFT(Cockpit!$C$5,1)="A",H470,IF(Parameter!$E$30="MAX-Bestand",IF(CH470=1,CI470,IF(LEFT(Cockpit!$C$5,1)="B",AL470,MAX(AL470,H470))),ROUNDUP(AJ470,0)))</f>
        <v>32</v>
      </c>
      <c r="AG470" s="50" t="n">
        <f aca="false">IF(BZ470=1,0,ROUNDUP(AF470/BY470,0))</f>
        <v>1</v>
      </c>
      <c r="AH470" s="52" t="n">
        <f aca="false">IF(CQ470&gt;0,CQ470*MAX(1,AF470/X470),IF(BZ470=1,IF(AF470&lt;=0,0,CD470*MAX(1,IF(H470&gt;0,AF470/H470,1))),IF(R470&gt;0,AG470/R470,0))/MAX(0.1,N(Parameter!$M$21)))</f>
        <v>0.0833333333333333</v>
      </c>
      <c r="AI470" s="50" t="n">
        <f aca="false">AH470*CB470</f>
        <v>28.75</v>
      </c>
      <c r="AJ470" s="51" t="n">
        <f aca="false">IF(LEFT(Cockpit!$C$5,1)="A",H470,IF(CH470=1,(CK470+CI470)/2,IF(LEFT(Cockpit!$C$5,1)="B",(CK470+AL470)/2,MAX((CK470+AL470)/2,H470))))</f>
        <v>32</v>
      </c>
      <c r="AK470" s="50" t="n">
        <f aca="false">AJ470*G470</f>
        <v>1745.92</v>
      </c>
      <c r="AL470" s="50" t="n">
        <f aca="false">ROUNDUP(CK470+MAX(CL470,2*(J470/IF(CG470&gt;0,CG470,MAX(0.1,N(Cockpit!$C$6)))-CK470)),0)</f>
        <v>1</v>
      </c>
      <c r="AM470" s="51" t="n">
        <f aca="false">IF(AI470&gt;0,J470/AI470,-1)</f>
        <v>0</v>
      </c>
      <c r="AN470" s="51" t="n">
        <f aca="false">IF(AND(OR(CF470="L1",CF470="L23",CF470="LIFT"),AI470&gt;0),SUMIFS($AI$7:$AI$1843,$CF$7:$CF$1843,CF470,$AM$7:$AM$1843,"&gt;"&amp;AM470)+SUMIFS($AI$7:$AI$1843,$CF$7:$CF$1843,CF470,$AM$7:$AM$1843,AM470,$BW$7:$BW$1843,"&lt;="&amp;BW470),"")</f>
        <v>28193.9639959852</v>
      </c>
      <c r="AO470" s="58" t="n">
        <f aca="false">IF(AN470="",0,MAX(0,MIN(1,(IF(CF470="L1",Parameter!$H$5,IF(CF470="L23",Parameter!$H$6+Parameter!$H$7,Parameter!$H$5+Parameter!$H$6+Parameter!$H$7))-(AN470-AI470))/AI470)))</f>
        <v>1</v>
      </c>
      <c r="AP470" s="50" t="n">
        <f aca="false">IF(LEFT(Cockpit!$I$5,1)="A",H470,IF(Parameter!$E$30="MAX-Bestand",IF(CH470=1,CI470,IF(LEFT(Cockpit!$I$5,1)="B",AV470,MAX(AV470,H470))),ROUNDUP(AT470,0)))</f>
        <v>32</v>
      </c>
      <c r="AQ470" s="50" t="n">
        <f aca="false">IF(BZ470=1,0,ROUNDUP(AP470/BY470,0))</f>
        <v>1</v>
      </c>
      <c r="AR470" s="52" t="n">
        <f aca="false">IF(CQ470&gt;0,CQ470*MAX(1,AP470/X470),IF(BZ470=1,IF(AP470&lt;=0,0,CD470*MAX(1,IF(H470&gt;0,AP470/H470,1))),IF(R470&gt;0,AQ470/R470,0))/MAX(0.1,N(Parameter!$M$21)))</f>
        <v>0.0833333333333333</v>
      </c>
      <c r="AS470" s="50" t="n">
        <f aca="false">AR470*CB470</f>
        <v>28.75</v>
      </c>
      <c r="AT470" s="51" t="n">
        <f aca="false">IF(LEFT(Cockpit!$I$5,1)="A",H470,IF(CH470=1,(CK470+CI470)/2,IF(LEFT(Cockpit!$I$5,1)="B",(CK470+AV470)/2,MAX((CK470+AV470)/2,H470))))</f>
        <v>32</v>
      </c>
      <c r="AU470" s="50" t="n">
        <f aca="false">AT470*G470</f>
        <v>1745.92</v>
      </c>
      <c r="AV470" s="50" t="n">
        <f aca="false">ROUNDUP(CK470+MAX(CL470,2*(J470/IF(CG470&gt;0,CG470,MAX(0.1,N(Cockpit!$I$6)))-CK470)),0)</f>
        <v>1</v>
      </c>
      <c r="AW470" s="51" t="n">
        <f aca="false">IF(AS470&gt;0,J470/AS470,-1)</f>
        <v>0</v>
      </c>
      <c r="AX470" s="51" t="n">
        <f aca="false">IF(AND(OR(CF470="L1",CF470="L23",CF470="LIFT"),AS470&gt;0),SUMIFS($AS$7:$AS$1843,$CF$7:$CF$1843,CF470,$AW$7:$AW$1843,"&gt;"&amp;AW470)+SUMIFS($AS$7:$AS$1843,$CF$7:$CF$1843,CF470,$AW$7:$AW$1843,AW470,$BW$7:$BW$1843,"&lt;="&amp;BW470),"")</f>
        <v>33547.1126373626</v>
      </c>
      <c r="AY470" s="58" t="n">
        <f aca="false">IF(AX470="",0,MAX(0,MIN(1,(IF(CF470="L1",Parameter!$H$5,IF(CF470="L23",Parameter!$H$6+Parameter!$H$7,Parameter!$H$5+Parameter!$H$6+Parameter!$H$7))-(AX470-AS470))/AS470)))</f>
        <v>1</v>
      </c>
      <c r="AZ470" s="50" t="n">
        <f aca="false">IF(LEFT(Cockpit!$O$5,1)="A",H470,IF(Parameter!$E$30="MAX-Bestand",IF(CH470=1,CI470,IF(LEFT(Cockpit!$O$5,1)="B",BF470,MAX(BF470,H470))),ROUNDUP(BD470,0)))</f>
        <v>1</v>
      </c>
      <c r="BA470" s="50" t="n">
        <f aca="false">IF(BZ470=1,0,ROUNDUP(AZ470/BY470,0))</f>
        <v>1</v>
      </c>
      <c r="BB470" s="52" t="n">
        <f aca="false">IF(CQ470&gt;0,CQ470*MAX(1,AZ470/X470),IF(BZ470=1,IF(AZ470&lt;=0,0,CD470*MAX(1,IF(H470&gt;0,AZ470/H470,1))),IF(R470&gt;0,BA470/R470,0))/MAX(0.1,N(Parameter!$M$21)))</f>
        <v>0.0833333333333333</v>
      </c>
      <c r="BC470" s="50" t="n">
        <f aca="false">BB470*CB470</f>
        <v>28.75</v>
      </c>
      <c r="BD470" s="51" t="n">
        <f aca="false">IF(LEFT(Cockpit!$O$5,1)="A",H470,IF(CH470=1,(CK470+CI470)/2,IF(LEFT(Cockpit!$O$5,1)="B",(CK470+BF470)/2,MAX((CK470+BF470)/2,H470))))</f>
        <v>0.5</v>
      </c>
      <c r="BE470" s="50" t="n">
        <f aca="false">BD470*G470</f>
        <v>27.28</v>
      </c>
      <c r="BF470" s="50" t="n">
        <f aca="false">ROUNDUP(CK470+MAX(CL470,2*(J470/IF(CG470&gt;0,CG470,MAX(0.1,N(Cockpit!$O$6)))-CK470)),0)</f>
        <v>1</v>
      </c>
      <c r="BG470" s="51" t="n">
        <f aca="false">IF(BC470&gt;0,J470/BC470,-1)</f>
        <v>0</v>
      </c>
      <c r="BH470" s="51" t="n">
        <f aca="false">IF(AND(OR(CF470="L1",CF470="L23",CF470="LIFT"),BC470&gt;0),SUMIFS($BC$7:$BC$1843,$CF$7:$CF$1843,CF470,$BG$7:$BG$1843,"&gt;"&amp;BG470)+SUMIFS($BC$7:$BC$1843,$CF$7:$CF$1843,CF470,$BG$7:$BG$1843,BG470,$BW$7:$BW$1843,"&lt;="&amp;BW470),"")</f>
        <v>27654.3474110635</v>
      </c>
      <c r="BI470" s="58" t="n">
        <f aca="false">IF(BH470="",0,MAX(0,MIN(1,(IF(CF470="L1",Parameter!$H$5,IF(CF470="L23",Parameter!$H$6+Parameter!$H$7,Parameter!$H$5+Parameter!$H$6+Parameter!$H$7))-(BH470-BC470))/BC470)))</f>
        <v>1</v>
      </c>
      <c r="BJ470" s="48" t="str">
        <f aca="false">IF(AI470&lt;=0,"",IF(CF470="Aussen","Aussenlager",IF(CF470="-","Nicht im Lift",IF(AO470&gt;=1,"Lift",IF(AO470&lt;=0,"Aussenlager","teilweise")))))</f>
        <v>Lift</v>
      </c>
      <c r="BK470" s="48" t="str">
        <f aca="false">IF(AS470&lt;=0,"",IF(CF470="Aussen","Aussenlager",IF(CF470="-","Nicht im Lift",IF(AY470&gt;=1,"Lift",IF(AY470&lt;=0,"Aussenlager","teilweise")))))</f>
        <v>Lift</v>
      </c>
      <c r="BL470" s="48" t="str">
        <f aca="false">IF(BC470&lt;=0,"",IF(CF470="Aussen","Aussenlager",IF(CF470="-","Nicht im Lift",IF(BI470&gt;=1,"Lift",IF(BI470&lt;=0,"Aussenlager","teilweise")))))</f>
        <v>Lift</v>
      </c>
      <c r="BM470" s="48" t="str">
        <f aca="false">IF(A470="","",IF(BV470=1,"Neu; ","")&amp;IF(AND(BV470=0,BQ470&lt;0),"negativer Bestand (Export "&amp;BQ470&amp;"); ","")&amp;IF(J470&lt;=0,"Kein Verbrauch; ","")&amp;IF(CQ470&gt;0,"Lift "&amp;W470&amp;" lt. Liftbericht (Fach "&amp;X470&amp;" Stk); ",IF(CA470=1,"Gebinde geschätzt ("&amp;T470&amp;"); ",IF(BZ470=1,"Lose – Tablare geschätzt; ","")))&amp;IF(H470&gt;AV470,"Überbestand "&amp;ROUND(H470-AV470,0)&amp;" Stk / CHF "&amp;ROUND((H470-AV470)*G470,0)&amp;"; ","")&amp;IF(AND(CH470=1,CI470&lt;CJ470),"MAX &lt; MB+LG; ","")&amp;IF(AND(CP470&gt;0,CO470*10&gt;CP470),"zu hoch für Tablar; ","")&amp;IF(AND(BV470=0,OR(CH470=1,AA470&lt;&gt;"",U470&lt;&gt;"",V470&lt;&gt;"",AB470&lt;&gt;"")),"manuell übersteuert; ","")&amp;IF(AND(BZ470=0,R470=0),"Gebinde unbekannt / Stellmass fehlt; ","")&amp;IF(AND(BZ470=0,N(V470)&lt;=0,N(Q470)&lt;=0),"Menge pro Gebinde fehlt (Ist = 1 Gebinde); ","")&amp;BU470)</f>
        <v>Kein Verbrauch; Überbestand 31 Stk / CHF 1691; </v>
      </c>
      <c r="BN470" s="48"/>
      <c r="BO470" s="48"/>
      <c r="BP470" s="55"/>
      <c r="BQ470" s="50" t="n">
        <v>1</v>
      </c>
      <c r="BR470" s="50" t="n">
        <v>31</v>
      </c>
      <c r="BS470" s="49" t="n">
        <v>54.56</v>
      </c>
      <c r="BT470" s="50" t="n">
        <v>0</v>
      </c>
      <c r="BU470" s="48"/>
      <c r="BV470" s="53" t="n">
        <v>0</v>
      </c>
      <c r="BW470" s="53" t="n">
        <v>470</v>
      </c>
      <c r="BX470" s="48" t="str">
        <f aca="false">IF(U470&lt;&gt;"",UPPER(TRIM(U470)),IF(CA470=1,UPPER(VLOOKUP(T470,Parameter!$I$27:$K$29,2,0)),IF(P470="","LOSE",P470)))</f>
        <v>S63</v>
      </c>
      <c r="BY470" s="50" t="n">
        <f aca="false">IF(BX470="LOSE",1,IF(N(V470)&gt;0,V470,IF(CA470=1,MAX(1,N(VLOOKUP(T470,Parameter!$I$27:$K$29,3,0)),H470,N(N470)),IF(N(Q470)&gt;0,Q470,MAX(1,H470)))))</f>
        <v>40</v>
      </c>
      <c r="BZ470" s="53" t="n">
        <f aca="false">IF(BX470="LOSE",1,0)</f>
        <v>0</v>
      </c>
      <c r="CA470" s="53" t="n">
        <f aca="false">IF(AND(U470="",OR(P470="",P470="LOSE"),T470&lt;&gt;"",N(S470)&lt;=0,ISNUMBER(MATCH(T470,Parameter!$I$27:$I$29,0))),1,0)</f>
        <v>0</v>
      </c>
      <c r="CB470" s="53" t="n">
        <f aca="false">IF(CQ470&gt;0,INDEX(Parameter!$H$5:$H$7,W470)/INDEX(Parameter!$E$5:$E$7,W470),IF(AND(BZ470=0,N(IFERROR(VLOOKUP(BX470,'Gebinde-Kategorie'!$A$5:$N$45,14,0),0))&gt;0),VLOOKUP(BX470,'Gebinde-Kategorie'!$A$5:$N$45,14,0)*10+Parameter!$M$23,Parameter!$M$24))</f>
        <v>345</v>
      </c>
      <c r="CC470" s="48" t="str">
        <f aca="false">IF(AND(Parameter!$B$19="Ja",E470&lt;&gt;"",ISNUMBER(MATCH(E470,Parameter!$I$35:$I$52,0))),VLOOKUP(E470,Parameter!$I$35:$J$52,2,0),IFERROR(VLOOKUP(D470,Parameter!$A$35:$C$64,2,0),"Nein"))</f>
        <v>2+3</v>
      </c>
      <c r="CD470" s="52" t="n">
        <f aca="false">IF(BZ470=0,0,IF(N(S470)&gt;0,S470,IFERROR(VLOOKUP(D470,Parameter!$A$35:$C$64,3,0)+0,0)))</f>
        <v>0</v>
      </c>
      <c r="CE470" s="48" t="n">
        <f aca="false">IF(AA470&lt;&gt;"",AA470,Z470)</f>
        <v>2</v>
      </c>
      <c r="CF470" s="48" t="str">
        <f aca="false">IF(OR(CE470=1,CE470=2,CE470=3),IF(Parameter!$E$27="Ja","LIFT",IF(CE470=1,"L1","L23")),IF(CE470="Aussen","Aussen","-"))</f>
        <v>LIFT</v>
      </c>
      <c r="CG470" s="59" t="n">
        <f aca="false">IF(N(AB470)&gt;0,AB470,0)</f>
        <v>0</v>
      </c>
      <c r="CH470" s="53" t="n">
        <f aca="false">IF(ISNUMBER(AE470),1,0)</f>
        <v>0</v>
      </c>
      <c r="CI470" s="50" t="n">
        <f aca="false">N(AE470)</f>
        <v>0</v>
      </c>
      <c r="CJ470" s="50" t="n">
        <f aca="false">N(M470)+N(N470)</f>
        <v>1</v>
      </c>
      <c r="CK470" s="50" t="n">
        <f aca="false">N(M470)</f>
        <v>0</v>
      </c>
      <c r="CL470" s="50" t="n">
        <f aca="false">N(N470)</f>
        <v>1</v>
      </c>
      <c r="CM470" s="50" t="n">
        <f aca="false">ROUNDUP(H470/BY470,0)</f>
        <v>1</v>
      </c>
      <c r="CN470" s="50" t="n">
        <f aca="false">ROUNDUP(CI470/BY470,0)</f>
        <v>0</v>
      </c>
      <c r="CO470" s="53" t="n">
        <f aca="false">IF(BZ470=1,0,IFERROR(VLOOKUP(BX470,'Gebinde-Kategorie'!$A$5:$N$45,5,0)+0,0))</f>
        <v>31</v>
      </c>
      <c r="CP470" s="53" t="n">
        <f aca="false">IFERROR(IF(OR(CE470=1,CE470=2,CE470=3),N(INDEX(Parameter!$I$5:$I$7,CE470)),0),0)</f>
        <v>0</v>
      </c>
      <c r="CQ470" s="52" t="n">
        <f aca="false">IF(AND(Parameter!$B$21="Ja",ISNUMBER(W470),N(X470)&gt;0),IFERROR(N(INDEX(Parameter!$L$5:$L$7,W470))*INDEX(Parameter!$E$5:$E$7,W470)*X470/SUMIFS($X$7:$X$1843,$W$7:$W$1843,W470),0),0)</f>
        <v>0</v>
      </c>
    </row>
    <row r="471" customFormat="false" ht="15" hidden="false" customHeight="false" outlineLevel="0" collapsed="false">
      <c r="A471" s="48" t="s">
        <v>1061</v>
      </c>
      <c r="B471" s="48" t="s">
        <v>764</v>
      </c>
      <c r="C471" s="48" t="s">
        <v>173</v>
      </c>
      <c r="D471" s="48" t="s">
        <v>193</v>
      </c>
      <c r="E471" s="48"/>
      <c r="F471" s="48" t="s">
        <v>227</v>
      </c>
      <c r="G471" s="49" t="n">
        <v>43.08</v>
      </c>
      <c r="H471" s="50" t="n">
        <f aca="false">MAX(0,IF(AND(Parameter!$B$21="Ja",ISNUMBER(Y471)),Y471,IF(Parameter!$B$20="Jahresanfang 2025 + Export",BR471+BQ471,BQ471)))</f>
        <v>15</v>
      </c>
      <c r="I471" s="50" t="n">
        <f aca="false">H471*G471</f>
        <v>646.2</v>
      </c>
      <c r="J471" s="50" t="n">
        <f aca="false">BT471*Parameter!$B$18</f>
        <v>8</v>
      </c>
      <c r="K471" s="51" t="n">
        <v>17.5</v>
      </c>
      <c r="L471" s="52" t="n">
        <v>0.457142857142857</v>
      </c>
      <c r="M471" s="50" t="n">
        <v>0</v>
      </c>
      <c r="N471" s="50" t="n">
        <v>10</v>
      </c>
      <c r="O471" s="53" t="n">
        <v>35</v>
      </c>
      <c r="P471" s="48" t="s">
        <v>435</v>
      </c>
      <c r="Q471" s="50" t="n">
        <v>11</v>
      </c>
      <c r="R471" s="53" t="n">
        <f aca="false">IF(BZ471=1,0,IFERROR(VLOOKUP(BX471,'Gebinde-Kategorie'!$A$5:$N$45,13,0)+0,0))</f>
        <v>140</v>
      </c>
      <c r="S471" s="54"/>
      <c r="T471" s="55"/>
      <c r="U471" s="55"/>
      <c r="V471" s="55"/>
      <c r="W471" s="48"/>
      <c r="X471" s="50"/>
      <c r="Y471" s="50"/>
      <c r="Z471" s="48" t="n">
        <f aca="false">IF(A471="","",IF(AND(Parameter!$B$21="Ja",ISNUMBER(W471)),W471,IF(CC471="2+3",IF(ISNUMBER(SEARCH("grosser Artikel",BU471)),2,IFERROR(VLOOKUP(BX471,Parameter!$F$35:$G$64,2,0),2)),IF(OR(CC471="Nein",CC471=""),"-",CC471))))</f>
        <v>3</v>
      </c>
      <c r="AA471" s="55"/>
      <c r="AB471" s="56"/>
      <c r="AC471" s="50" t="n">
        <f aca="false">AV471</f>
        <v>10</v>
      </c>
      <c r="AD471" s="50" t="n">
        <f aca="false">MAX(AV471,H471)</f>
        <v>15</v>
      </c>
      <c r="AE471" s="57"/>
      <c r="AF471" s="50" t="n">
        <f aca="false">IF(LEFT(Cockpit!$C$5,1)="A",H471,IF(Parameter!$E$30="MAX-Bestand",IF(CH471=1,CI471,IF(LEFT(Cockpit!$C$5,1)="B",AL471,MAX(AL471,H471))),ROUNDUP(AJ471,0)))</f>
        <v>15</v>
      </c>
      <c r="AG471" s="50" t="n">
        <f aca="false">IF(BZ471=1,0,ROUNDUP(AF471/BY471,0))</f>
        <v>2</v>
      </c>
      <c r="AH471" s="52" t="n">
        <f aca="false">IF(CQ471&gt;0,CQ471*MAX(1,AF471/X471),IF(BZ471=1,IF(AF471&lt;=0,0,CD471*MAX(1,IF(H471&gt;0,AF471/H471,1))),IF(R471&gt;0,AG471/R471,0))/MAX(0.1,N(Parameter!$M$21)))</f>
        <v>0.0142857142857143</v>
      </c>
      <c r="AI471" s="50" t="n">
        <f aca="false">AH471*CB471</f>
        <v>2.21428571428571</v>
      </c>
      <c r="AJ471" s="51" t="n">
        <f aca="false">IF(LEFT(Cockpit!$C$5,1)="A",H471,IF(CH471=1,(CK471+CI471)/2,IF(LEFT(Cockpit!$C$5,1)="B",(CK471+AL471)/2,MAX((CK471+AL471)/2,H471))))</f>
        <v>15</v>
      </c>
      <c r="AK471" s="50" t="n">
        <f aca="false">AJ471*G471</f>
        <v>646.2</v>
      </c>
      <c r="AL471" s="50" t="n">
        <f aca="false">ROUNDUP(CK471+MAX(CL471,2*(J471/IF(CG471&gt;0,CG471,MAX(0.1,N(Cockpit!$C$6)))-CK471)),0)</f>
        <v>10</v>
      </c>
      <c r="AM471" s="51" t="n">
        <f aca="false">IF(AI471&gt;0,J471/AI471,-1)</f>
        <v>3.61290322580645</v>
      </c>
      <c r="AN471" s="51" t="n">
        <f aca="false">IF(AND(OR(CF471="L1",CF471="L23",CF471="LIFT"),AI471&gt;0),SUMIFS($AI$7:$AI$1843,$CF$7:$CF$1843,CF471,$AM$7:$AM$1843,"&gt;"&amp;AM471)+SUMIFS($AI$7:$AI$1843,$CF$7:$CF$1843,CF471,$AM$7:$AM$1843,AM471,$BW$7:$BW$1843,"&lt;="&amp;BW471),"")</f>
        <v>4824.55265567766</v>
      </c>
      <c r="AO471" s="58" t="n">
        <f aca="false">IF(AN471="",0,MAX(0,MIN(1,(IF(CF471="L1",Parameter!$H$5,IF(CF471="L23",Parameter!$H$6+Parameter!$H$7,Parameter!$H$5+Parameter!$H$6+Parameter!$H$7))-(AN471-AI471))/AI471)))</f>
        <v>1</v>
      </c>
      <c r="AP471" s="50" t="n">
        <f aca="false">IF(LEFT(Cockpit!$I$5,1)="A",H471,IF(Parameter!$E$30="MAX-Bestand",IF(CH471=1,CI471,IF(LEFT(Cockpit!$I$5,1)="B",AV471,MAX(AV471,H471))),ROUNDUP(AT471,0)))</f>
        <v>15</v>
      </c>
      <c r="AQ471" s="50" t="n">
        <f aca="false">IF(BZ471=1,0,ROUNDUP(AP471/BY471,0))</f>
        <v>2</v>
      </c>
      <c r="AR471" s="52" t="n">
        <f aca="false">IF(CQ471&gt;0,CQ471*MAX(1,AP471/X471),IF(BZ471=1,IF(AP471&lt;=0,0,CD471*MAX(1,IF(H471&gt;0,AP471/H471,1))),IF(R471&gt;0,AQ471/R471,0))/MAX(0.1,N(Parameter!$M$21)))</f>
        <v>0.0142857142857143</v>
      </c>
      <c r="AS471" s="50" t="n">
        <f aca="false">AR471*CB471</f>
        <v>2.21428571428571</v>
      </c>
      <c r="AT471" s="51" t="n">
        <f aca="false">IF(LEFT(Cockpit!$I$5,1)="A",H471,IF(CH471=1,(CK471+CI471)/2,IF(LEFT(Cockpit!$I$5,1)="B",(CK471+AV471)/2,MAX((CK471+AV471)/2,H471))))</f>
        <v>15</v>
      </c>
      <c r="AU471" s="50" t="n">
        <f aca="false">AT471*G471</f>
        <v>646.2</v>
      </c>
      <c r="AV471" s="50" t="n">
        <f aca="false">ROUNDUP(CK471+MAX(CL471,2*(J471/IF(CG471&gt;0,CG471,MAX(0.1,N(Cockpit!$I$6)))-CK471)),0)</f>
        <v>10</v>
      </c>
      <c r="AW471" s="51" t="n">
        <f aca="false">IF(AS471&gt;0,J471/AS471,-1)</f>
        <v>3.61290322580645</v>
      </c>
      <c r="AX471" s="51" t="n">
        <f aca="false">IF(AND(OR(CF471="L1",CF471="L23",CF471="LIFT"),AS471&gt;0),SUMIFS($AS$7:$AS$1843,$CF$7:$CF$1843,CF471,$AW$7:$AW$1843,"&gt;"&amp;AW471)+SUMIFS($AS$7:$AS$1843,$CF$7:$CF$1843,CF471,$AW$7:$AW$1843,AW471,$BW$7:$BW$1843,"&lt;="&amp;BW471),"")</f>
        <v>5402.13965201465</v>
      </c>
      <c r="AY471" s="58" t="n">
        <f aca="false">IF(AX471="",0,MAX(0,MIN(1,(IF(CF471="L1",Parameter!$H$5,IF(CF471="L23",Parameter!$H$6+Parameter!$H$7,Parameter!$H$5+Parameter!$H$6+Parameter!$H$7))-(AX471-AS471))/AS471)))</f>
        <v>1</v>
      </c>
      <c r="AZ471" s="50" t="n">
        <f aca="false">IF(LEFT(Cockpit!$O$5,1)="A",H471,IF(Parameter!$E$30="MAX-Bestand",IF(CH471=1,CI471,IF(LEFT(Cockpit!$O$5,1)="B",BF471,MAX(BF471,H471))),ROUNDUP(BD471,0)))</f>
        <v>5</v>
      </c>
      <c r="BA471" s="50" t="n">
        <f aca="false">IF(BZ471=1,0,ROUNDUP(AZ471/BY471,0))</f>
        <v>1</v>
      </c>
      <c r="BB471" s="52" t="n">
        <f aca="false">IF(CQ471&gt;0,CQ471*MAX(1,AZ471/X471),IF(BZ471=1,IF(AZ471&lt;=0,0,CD471*MAX(1,IF(H471&gt;0,AZ471/H471,1))),IF(R471&gt;0,BA471/R471,0))/MAX(0.1,N(Parameter!$M$21)))</f>
        <v>0.00714285714285714</v>
      </c>
      <c r="BC471" s="50" t="n">
        <f aca="false">BB471*CB471</f>
        <v>1.10714285714286</v>
      </c>
      <c r="BD471" s="51" t="n">
        <f aca="false">IF(LEFT(Cockpit!$O$5,1)="A",H471,IF(CH471=1,(CK471+CI471)/2,IF(LEFT(Cockpit!$O$5,1)="B",(CK471+BF471)/2,MAX((CK471+BF471)/2,H471))))</f>
        <v>5</v>
      </c>
      <c r="BE471" s="50" t="n">
        <f aca="false">BD471*G471</f>
        <v>215.4</v>
      </c>
      <c r="BF471" s="50" t="n">
        <f aca="false">ROUNDUP(CK471+MAX(CL471,2*(J471/IF(CG471&gt;0,CG471,MAX(0.1,N(Cockpit!$O$6)))-CK471)),0)</f>
        <v>10</v>
      </c>
      <c r="BG471" s="51" t="n">
        <f aca="false">IF(BC471&gt;0,J471/BC471,-1)</f>
        <v>7.2258064516129</v>
      </c>
      <c r="BH471" s="51" t="n">
        <f aca="false">IF(AND(OR(CF471="L1",CF471="L23",CF471="LIFT"),BC471&gt;0),SUMIFS($BC$7:$BC$1843,$CF$7:$CF$1843,CF471,$BG$7:$BG$1843,"&gt;"&amp;BG471)+SUMIFS($BC$7:$BC$1843,$CF$7:$CF$1843,CF471,$BG$7:$BG$1843,BG471,$BW$7:$BW$1843,"&lt;="&amp;BW471),"")</f>
        <v>3238.69139194139</v>
      </c>
      <c r="BI471" s="58" t="n">
        <f aca="false">IF(BH471="",0,MAX(0,MIN(1,(IF(CF471="L1",Parameter!$H$5,IF(CF471="L23",Parameter!$H$6+Parameter!$H$7,Parameter!$H$5+Parameter!$H$6+Parameter!$H$7))-(BH471-BC471))/BC471)))</f>
        <v>1</v>
      </c>
      <c r="BJ471" s="48" t="str">
        <f aca="false">IF(AI471&lt;=0,"",IF(CF471="Aussen","Aussenlager",IF(CF471="-","Nicht im Lift",IF(AO471&gt;=1,"Lift",IF(AO471&lt;=0,"Aussenlager","teilweise")))))</f>
        <v>Lift</v>
      </c>
      <c r="BK471" s="48" t="str">
        <f aca="false">IF(AS471&lt;=0,"",IF(CF471="Aussen","Aussenlager",IF(CF471="-","Nicht im Lift",IF(AY471&gt;=1,"Lift",IF(AY471&lt;=0,"Aussenlager","teilweise")))))</f>
        <v>Lift</v>
      </c>
      <c r="BL471" s="48" t="str">
        <f aca="false">IF(BC471&lt;=0,"",IF(CF471="Aussen","Aussenlager",IF(CF471="-","Nicht im Lift",IF(BI471&gt;=1,"Lift",IF(BI471&lt;=0,"Aussenlager","teilweise")))))</f>
        <v>Lift</v>
      </c>
      <c r="BM471" s="48" t="str">
        <f aca="false">IF(A471="","",IF(BV471=1,"Neu; ","")&amp;IF(AND(BV471=0,BQ471&lt;0),"negativer Bestand (Export "&amp;BQ471&amp;"); ","")&amp;IF(J471&lt;=0,"Kein Verbrauch; ","")&amp;IF(CQ471&gt;0,"Lift "&amp;W471&amp;" lt. Liftbericht (Fach "&amp;X471&amp;" Stk); ",IF(CA471=1,"Gebinde geschätzt ("&amp;T471&amp;"); ",IF(BZ471=1,"Lose – Tablare geschätzt; ","")))&amp;IF(H471&gt;AV471,"Überbestand "&amp;ROUND(H471-AV471,0)&amp;" Stk / CHF "&amp;ROUND((H471-AV471)*G471,0)&amp;"; ","")&amp;IF(AND(CH471=1,CI471&lt;CJ471),"MAX &lt; MB+LG; ","")&amp;IF(AND(CP471&gt;0,CO471*10&gt;CP471),"zu hoch für Tablar; ","")&amp;IF(AND(BV471=0,OR(CH471=1,AA471&lt;&gt;"",U471&lt;&gt;"",V471&lt;&gt;"",AB471&lt;&gt;"")),"manuell übersteuert; ","")&amp;IF(AND(BZ471=0,R471=0),"Gebinde unbekannt / Stellmass fehlt; ","")&amp;IF(AND(BZ471=0,N(V471)&lt;=0,N(Q471)&lt;=0),"Menge pro Gebinde fehlt (Ist = 1 Gebinde); ","")&amp;BU471)</f>
        <v>Überbestand 5 Stk / CHF 215; </v>
      </c>
      <c r="BN471" s="48"/>
      <c r="BO471" s="48"/>
      <c r="BP471" s="55"/>
      <c r="BQ471" s="50" t="n">
        <v>1</v>
      </c>
      <c r="BR471" s="50" t="n">
        <v>14</v>
      </c>
      <c r="BS471" s="49" t="n">
        <v>53.8600000000001</v>
      </c>
      <c r="BT471" s="50" t="n">
        <v>8</v>
      </c>
      <c r="BU471" s="48"/>
      <c r="BV471" s="53" t="n">
        <v>0</v>
      </c>
      <c r="BW471" s="53" t="n">
        <v>471</v>
      </c>
      <c r="BX471" s="48" t="str">
        <f aca="false">IF(U471&lt;&gt;"",UPPER(TRIM(U471)),IF(CA471=1,UPPER(VLOOKUP(T471,Parameter!$I$27:$K$29,2,0)),IF(P471="","LOSE",P471)))</f>
        <v>S22</v>
      </c>
      <c r="BY471" s="50" t="n">
        <f aca="false">IF(BX471="LOSE",1,IF(N(V471)&gt;0,V471,IF(CA471=1,MAX(1,N(VLOOKUP(T471,Parameter!$I$27:$K$29,3,0)),H471,N(N471)),IF(N(Q471)&gt;0,Q471,MAX(1,H471)))))</f>
        <v>11</v>
      </c>
      <c r="BZ471" s="53" t="n">
        <f aca="false">IF(BX471="LOSE",1,0)</f>
        <v>0</v>
      </c>
      <c r="CA471" s="53" t="n">
        <f aca="false">IF(AND(U471="",OR(P471="",P471="LOSE"),T471&lt;&gt;"",N(S471)&lt;=0,ISNUMBER(MATCH(T471,Parameter!$I$27:$I$29,0))),1,0)</f>
        <v>0</v>
      </c>
      <c r="CB471" s="53" t="n">
        <f aca="false">IF(CQ471&gt;0,INDEX(Parameter!$H$5:$H$7,W471)/INDEX(Parameter!$E$5:$E$7,W471),IF(AND(BZ471=0,N(IFERROR(VLOOKUP(BX471,'Gebinde-Kategorie'!$A$5:$N$45,14,0),0))&gt;0),VLOOKUP(BX471,'Gebinde-Kategorie'!$A$5:$N$45,14,0)*10+Parameter!$M$23,Parameter!$M$24))</f>
        <v>155</v>
      </c>
      <c r="CC471" s="48" t="str">
        <f aca="false">IF(AND(Parameter!$B$19="Ja",E471&lt;&gt;"",ISNUMBER(MATCH(E471,Parameter!$I$35:$I$52,0))),VLOOKUP(E471,Parameter!$I$35:$J$52,2,0),IFERROR(VLOOKUP(D471,Parameter!$A$35:$C$64,2,0),"Nein"))</f>
        <v>2+3</v>
      </c>
      <c r="CD471" s="52" t="n">
        <f aca="false">IF(BZ471=0,0,IF(N(S471)&gt;0,S471,IFERROR(VLOOKUP(D471,Parameter!$A$35:$C$64,3,0)+0,0)))</f>
        <v>0</v>
      </c>
      <c r="CE471" s="48" t="n">
        <f aca="false">IF(AA471&lt;&gt;"",AA471,Z471)</f>
        <v>3</v>
      </c>
      <c r="CF471" s="48" t="str">
        <f aca="false">IF(OR(CE471=1,CE471=2,CE471=3),IF(Parameter!$E$27="Ja","LIFT",IF(CE471=1,"L1","L23")),IF(CE471="Aussen","Aussen","-"))</f>
        <v>LIFT</v>
      </c>
      <c r="CG471" s="59" t="n">
        <f aca="false">IF(N(AB471)&gt;0,AB471,0)</f>
        <v>0</v>
      </c>
      <c r="CH471" s="53" t="n">
        <f aca="false">IF(ISNUMBER(AE471),1,0)</f>
        <v>0</v>
      </c>
      <c r="CI471" s="50" t="n">
        <f aca="false">N(AE471)</f>
        <v>0</v>
      </c>
      <c r="CJ471" s="50" t="n">
        <f aca="false">N(M471)+N(N471)</f>
        <v>10</v>
      </c>
      <c r="CK471" s="50" t="n">
        <f aca="false">N(M471)</f>
        <v>0</v>
      </c>
      <c r="CL471" s="50" t="n">
        <f aca="false">N(N471)</f>
        <v>10</v>
      </c>
      <c r="CM471" s="50" t="n">
        <f aca="false">ROUNDUP(H471/BY471,0)</f>
        <v>2</v>
      </c>
      <c r="CN471" s="50" t="n">
        <f aca="false">ROUNDUP(CI471/BY471,0)</f>
        <v>0</v>
      </c>
      <c r="CO471" s="53" t="n">
        <f aca="false">IF(BZ471=1,0,IFERROR(VLOOKUP(BX471,'Gebinde-Kategorie'!$A$5:$N$45,5,0)+0,0))</f>
        <v>8</v>
      </c>
      <c r="CP471" s="53" t="n">
        <f aca="false">IFERROR(IF(OR(CE471=1,CE471=2,CE471=3),N(INDEX(Parameter!$I$5:$I$7,CE471)),0),0)</f>
        <v>0</v>
      </c>
      <c r="CQ471" s="52" t="n">
        <f aca="false">IF(AND(Parameter!$B$21="Ja",ISNUMBER(W471),N(X471)&gt;0),IFERROR(N(INDEX(Parameter!$L$5:$L$7,W471))*INDEX(Parameter!$E$5:$E$7,W471)*X471/SUMIFS($X$7:$X$1843,$W$7:$W$1843,W471),0),0)</f>
        <v>0</v>
      </c>
    </row>
    <row r="472" customFormat="false" ht="15" hidden="false" customHeight="false" outlineLevel="0" collapsed="false">
      <c r="A472" s="48" t="s">
        <v>1062</v>
      </c>
      <c r="B472" s="48" t="s">
        <v>1063</v>
      </c>
      <c r="C472" s="48" t="s">
        <v>173</v>
      </c>
      <c r="D472" s="48" t="s">
        <v>859</v>
      </c>
      <c r="E472" s="48" t="s">
        <v>194</v>
      </c>
      <c r="F472" s="48" t="s">
        <v>227</v>
      </c>
      <c r="G472" s="49" t="n">
        <v>4.4</v>
      </c>
      <c r="H472" s="50" t="n">
        <f aca="false">MAX(0,IF(AND(Parameter!$B$21="Ja",ISNUMBER(Y472)),Y472,IF(Parameter!$B$20="Jahresanfang 2025 + Export",BR472+BQ472,BQ472)))</f>
        <v>12</v>
      </c>
      <c r="I472" s="50" t="n">
        <f aca="false">H472*G472</f>
        <v>52.8</v>
      </c>
      <c r="J472" s="50" t="n">
        <f aca="false">BT472*Parameter!$B$18</f>
        <v>60</v>
      </c>
      <c r="K472" s="51" t="n">
        <v>0</v>
      </c>
      <c r="L472" s="52" t="n">
        <v>0</v>
      </c>
      <c r="M472" s="50" t="n">
        <v>0</v>
      </c>
      <c r="N472" s="50" t="n">
        <v>12</v>
      </c>
      <c r="O472" s="53" t="n">
        <v>14</v>
      </c>
      <c r="P472" s="48" t="s">
        <v>242</v>
      </c>
      <c r="Q472" s="50" t="n">
        <v>131</v>
      </c>
      <c r="R472" s="53" t="n">
        <f aca="false">IF(BZ472=1,0,IFERROR(VLOOKUP(BX472,'Gebinde-Kategorie'!$A$5:$N$45,13,0)+0,0))</f>
        <v>26</v>
      </c>
      <c r="S472" s="54"/>
      <c r="T472" s="55"/>
      <c r="U472" s="55"/>
      <c r="V472" s="55"/>
      <c r="W472" s="48"/>
      <c r="X472" s="50"/>
      <c r="Y472" s="50"/>
      <c r="Z472" s="48" t="n">
        <f aca="false">IF(A472="","",IF(AND(Parameter!$B$21="Ja",ISNUMBER(W472)),W472,IF(CC472="2+3",IF(ISNUMBER(SEARCH("grosser Artikel",BU472)),2,IFERROR(VLOOKUP(BX472,Parameter!$F$35:$G$64,2,0),2)),IF(OR(CC472="Nein",CC472=""),"-",CC472))))</f>
        <v>3</v>
      </c>
      <c r="AA472" s="55"/>
      <c r="AB472" s="56"/>
      <c r="AC472" s="50" t="n">
        <f aca="false">AV472</f>
        <v>40</v>
      </c>
      <c r="AD472" s="50" t="n">
        <f aca="false">MAX(AV472,H472)</f>
        <v>40</v>
      </c>
      <c r="AE472" s="57"/>
      <c r="AF472" s="50" t="n">
        <f aca="false">IF(LEFT(Cockpit!$C$5,1)="A",H472,IF(Parameter!$E$30="MAX-Bestand",IF(CH472=1,CI472,IF(LEFT(Cockpit!$C$5,1)="B",AL472,MAX(AL472,H472))),ROUNDUP(AJ472,0)))</f>
        <v>12</v>
      </c>
      <c r="AG472" s="50" t="n">
        <f aca="false">IF(BZ472=1,0,ROUNDUP(AF472/BY472,0))</f>
        <v>1</v>
      </c>
      <c r="AH472" s="52" t="n">
        <f aca="false">IF(CQ472&gt;0,CQ472*MAX(1,AF472/X472),IF(BZ472=1,IF(AF472&lt;=0,0,CD472*MAX(1,IF(H472&gt;0,AF472/H472,1))),IF(R472&gt;0,AG472/R472,0))/MAX(0.1,N(Parameter!$M$21)))</f>
        <v>0.0384615384615385</v>
      </c>
      <c r="AI472" s="50" t="n">
        <f aca="false">AH472*CB472</f>
        <v>9.42307692307692</v>
      </c>
      <c r="AJ472" s="51" t="n">
        <f aca="false">IF(LEFT(Cockpit!$C$5,1)="A",H472,IF(CH472=1,(CK472+CI472)/2,IF(LEFT(Cockpit!$C$5,1)="B",(CK472+AL472)/2,MAX((CK472+AL472)/2,H472))))</f>
        <v>12</v>
      </c>
      <c r="AK472" s="50" t="n">
        <f aca="false">AJ472*G472</f>
        <v>52.8</v>
      </c>
      <c r="AL472" s="50" t="n">
        <f aca="false">ROUNDUP(CK472+MAX(CL472,2*(J472/IF(CG472&gt;0,CG472,MAX(0.1,N(Cockpit!$C$6)))-CK472)),0)</f>
        <v>40</v>
      </c>
      <c r="AM472" s="51" t="n">
        <f aca="false">IF(AI472&gt;0,J472/AI472,-1)</f>
        <v>6.36734693877551</v>
      </c>
      <c r="AN472" s="51" t="n">
        <f aca="false">IF(AND(OR(CF472="L1",CF472="L23",CF472="LIFT"),AI472&gt;0),SUMIFS($AI$7:$AI$1843,$CF$7:$CF$1843,CF472,$AM$7:$AM$1843,"&gt;"&amp;AM472)+SUMIFS($AI$7:$AI$1843,$CF$7:$CF$1843,CF472,$AM$7:$AM$1843,AM472,$BW$7:$BW$1843,"&lt;="&amp;BW472),"")</f>
        <v>3441.2586996337</v>
      </c>
      <c r="AO472" s="58" t="n">
        <f aca="false">IF(AN472="",0,MAX(0,MIN(1,(IF(CF472="L1",Parameter!$H$5,IF(CF472="L23",Parameter!$H$6+Parameter!$H$7,Parameter!$H$5+Parameter!$H$6+Parameter!$H$7))-(AN472-AI472))/AI472)))</f>
        <v>1</v>
      </c>
      <c r="AP472" s="50" t="n">
        <f aca="false">IF(LEFT(Cockpit!$I$5,1)="A",H472,IF(Parameter!$E$30="MAX-Bestand",IF(CH472=1,CI472,IF(LEFT(Cockpit!$I$5,1)="B",AV472,MAX(AV472,H472))),ROUNDUP(AT472,0)))</f>
        <v>20</v>
      </c>
      <c r="AQ472" s="50" t="n">
        <f aca="false">IF(BZ472=1,0,ROUNDUP(AP472/BY472,0))</f>
        <v>1</v>
      </c>
      <c r="AR472" s="52" t="n">
        <f aca="false">IF(CQ472&gt;0,CQ472*MAX(1,AP472/X472),IF(BZ472=1,IF(AP472&lt;=0,0,CD472*MAX(1,IF(H472&gt;0,AP472/H472,1))),IF(R472&gt;0,AQ472/R472,0))/MAX(0.1,N(Parameter!$M$21)))</f>
        <v>0.0384615384615385</v>
      </c>
      <c r="AS472" s="50" t="n">
        <f aca="false">AR472*CB472</f>
        <v>9.42307692307692</v>
      </c>
      <c r="AT472" s="51" t="n">
        <f aca="false">IF(LEFT(Cockpit!$I$5,1)="A",H472,IF(CH472=1,(CK472+CI472)/2,IF(LEFT(Cockpit!$I$5,1)="B",(CK472+AV472)/2,MAX((CK472+AV472)/2,H472))))</f>
        <v>20</v>
      </c>
      <c r="AU472" s="50" t="n">
        <f aca="false">AT472*G472</f>
        <v>88</v>
      </c>
      <c r="AV472" s="50" t="n">
        <f aca="false">ROUNDUP(CK472+MAX(CL472,2*(J472/IF(CG472&gt;0,CG472,MAX(0.1,N(Cockpit!$I$6)))-CK472)),0)</f>
        <v>40</v>
      </c>
      <c r="AW472" s="51" t="n">
        <f aca="false">IF(AS472&gt;0,J472/AS472,-1)</f>
        <v>6.36734693877551</v>
      </c>
      <c r="AX472" s="51" t="n">
        <f aca="false">IF(AND(OR(CF472="L1",CF472="L23",CF472="LIFT"),AS472&gt;0),SUMIFS($AS$7:$AS$1843,$CF$7:$CF$1843,CF472,$AW$7:$AW$1843,"&gt;"&amp;AW472)+SUMIFS($AS$7:$AS$1843,$CF$7:$CF$1843,CF472,$AW$7:$AW$1843,AW472,$BW$7:$BW$1843,"&lt;="&amp;BW472),"")</f>
        <v>4127.33928571429</v>
      </c>
      <c r="AY472" s="58" t="n">
        <f aca="false">IF(AX472="",0,MAX(0,MIN(1,(IF(CF472="L1",Parameter!$H$5,IF(CF472="L23",Parameter!$H$6+Parameter!$H$7,Parameter!$H$5+Parameter!$H$6+Parameter!$H$7))-(AX472-AS472))/AS472)))</f>
        <v>1</v>
      </c>
      <c r="AZ472" s="50" t="n">
        <f aca="false">IF(LEFT(Cockpit!$O$5,1)="A",H472,IF(Parameter!$E$30="MAX-Bestand",IF(CH472=1,CI472,IF(LEFT(Cockpit!$O$5,1)="B",BF472,MAX(BF472,H472))),ROUNDUP(BD472,0)))</f>
        <v>15</v>
      </c>
      <c r="BA472" s="50" t="n">
        <f aca="false">IF(BZ472=1,0,ROUNDUP(AZ472/BY472,0))</f>
        <v>1</v>
      </c>
      <c r="BB472" s="52" t="n">
        <f aca="false">IF(CQ472&gt;0,CQ472*MAX(1,AZ472/X472),IF(BZ472=1,IF(AZ472&lt;=0,0,CD472*MAX(1,IF(H472&gt;0,AZ472/H472,1))),IF(R472&gt;0,BA472/R472,0))/MAX(0.1,N(Parameter!$M$21)))</f>
        <v>0.0384615384615385</v>
      </c>
      <c r="BC472" s="50" t="n">
        <f aca="false">BB472*CB472</f>
        <v>9.42307692307692</v>
      </c>
      <c r="BD472" s="51" t="n">
        <f aca="false">IF(LEFT(Cockpit!$O$5,1)="A",H472,IF(CH472=1,(CK472+CI472)/2,IF(LEFT(Cockpit!$O$5,1)="B",(CK472+BF472)/2,MAX((CK472+BF472)/2,H472))))</f>
        <v>15</v>
      </c>
      <c r="BE472" s="50" t="n">
        <f aca="false">BD472*G472</f>
        <v>66</v>
      </c>
      <c r="BF472" s="50" t="n">
        <f aca="false">ROUNDUP(CK472+MAX(CL472,2*(J472/IF(CG472&gt;0,CG472,MAX(0.1,N(Cockpit!$O$6)))-CK472)),0)</f>
        <v>30</v>
      </c>
      <c r="BG472" s="51" t="n">
        <f aca="false">IF(BC472&gt;0,J472/BC472,-1)</f>
        <v>6.36734693877551</v>
      </c>
      <c r="BH472" s="51" t="n">
        <f aca="false">IF(AND(OR(CF472="L1",CF472="L23",CF472="LIFT"),BC472&gt;0),SUMIFS($BC$7:$BC$1843,$CF$7:$CF$1843,CF472,$BG$7:$BG$1843,"&gt;"&amp;BG472)+SUMIFS($BC$7:$BC$1843,$CF$7:$CF$1843,CF472,$BG$7:$BG$1843,BG472,$BW$7:$BW$1843,"&lt;="&amp;BW472),"")</f>
        <v>3400.38690476191</v>
      </c>
      <c r="BI472" s="58" t="n">
        <f aca="false">IF(BH472="",0,MAX(0,MIN(1,(IF(CF472="L1",Parameter!$H$5,IF(CF472="L23",Parameter!$H$6+Parameter!$H$7,Parameter!$H$5+Parameter!$H$6+Parameter!$H$7))-(BH472-BC472))/BC472)))</f>
        <v>1</v>
      </c>
      <c r="BJ472" s="48" t="str">
        <f aca="false">IF(AI472&lt;=0,"",IF(CF472="Aussen","Aussenlager",IF(CF472="-","Nicht im Lift",IF(AO472&gt;=1,"Lift",IF(AO472&lt;=0,"Aussenlager","teilweise")))))</f>
        <v>Lift</v>
      </c>
      <c r="BK472" s="48" t="str">
        <f aca="false">IF(AS472&lt;=0,"",IF(CF472="Aussen","Aussenlager",IF(CF472="-","Nicht im Lift",IF(AY472&gt;=1,"Lift",IF(AY472&lt;=0,"Aussenlager","teilweise")))))</f>
        <v>Lift</v>
      </c>
      <c r="BL472" s="48" t="str">
        <f aca="false">IF(BC472&lt;=0,"",IF(CF472="Aussen","Aussenlager",IF(CF472="-","Nicht im Lift",IF(BI472&gt;=1,"Lift",IF(BI472&lt;=0,"Aussenlager","teilweise")))))</f>
        <v>Lift</v>
      </c>
      <c r="BM472" s="48" t="str">
        <f aca="false">IF(A472="","",IF(BV472=1,"Neu; ","")&amp;IF(AND(BV472=0,BQ472&lt;0),"negativer Bestand (Export "&amp;BQ472&amp;"); ","")&amp;IF(J472&lt;=0,"Kein Verbrauch; ","")&amp;IF(CQ472&gt;0,"Lift "&amp;W472&amp;" lt. Liftbericht (Fach "&amp;X472&amp;" Stk); ",IF(CA472=1,"Gebinde geschätzt ("&amp;T472&amp;"); ",IF(BZ472=1,"Lose – Tablare geschätzt; ","")))&amp;IF(H472&gt;AV472,"Überbestand "&amp;ROUND(H472-AV472,0)&amp;" Stk / CHF "&amp;ROUND((H472-AV472)*G472,0)&amp;"; ","")&amp;IF(AND(CH472=1,CI472&lt;CJ472),"MAX &lt; MB+LG; ","")&amp;IF(AND(CP472&gt;0,CO472*10&gt;CP472),"zu hoch für Tablar; ","")&amp;IF(AND(BV472=0,OR(CH472=1,AA472&lt;&gt;"",U472&lt;&gt;"",V472&lt;&gt;"",AB472&lt;&gt;"")),"manuell übersteuert; ","")&amp;IF(AND(BZ472=0,R472=0),"Gebinde unbekannt / Stellmass fehlt; ","")&amp;IF(AND(BZ472=0,N(V472)&lt;=0,N(Q472)&lt;=0),"Menge pro Gebinde fehlt (Ist = 1 Gebinde); ","")&amp;BU472)</f>
        <v/>
      </c>
      <c r="BN472" s="48"/>
      <c r="BO472" s="48"/>
      <c r="BP472" s="55"/>
      <c r="BQ472" s="50" t="n">
        <v>12</v>
      </c>
      <c r="BR472" s="50" t="n">
        <v>0</v>
      </c>
      <c r="BS472" s="49" t="n">
        <v>52.8</v>
      </c>
      <c r="BT472" s="50" t="n">
        <v>60</v>
      </c>
      <c r="BU472" s="48"/>
      <c r="BV472" s="53" t="n">
        <v>0</v>
      </c>
      <c r="BW472" s="53" t="n">
        <v>472</v>
      </c>
      <c r="BX472" s="48" t="str">
        <f aca="false">IF(U472&lt;&gt;"",UPPER(TRIM(U472)),IF(CA472=1,UPPER(VLOOKUP(T472,Parameter!$I$27:$K$29,2,0)),IF(P472="","LOSE",P472)))</f>
        <v>S52</v>
      </c>
      <c r="BY472" s="50" t="n">
        <f aca="false">IF(BX472="LOSE",1,IF(N(V472)&gt;0,V472,IF(CA472=1,MAX(1,N(VLOOKUP(T472,Parameter!$I$27:$K$29,3,0)),H472,N(N472)),IF(N(Q472)&gt;0,Q472,MAX(1,H472)))))</f>
        <v>131</v>
      </c>
      <c r="BZ472" s="53" t="n">
        <f aca="false">IF(BX472="LOSE",1,0)</f>
        <v>0</v>
      </c>
      <c r="CA472" s="53" t="n">
        <f aca="false">IF(AND(U472="",OR(P472="",P472="LOSE"),T472&lt;&gt;"",N(S472)&lt;=0,ISNUMBER(MATCH(T472,Parameter!$I$27:$I$29,0))),1,0)</f>
        <v>0</v>
      </c>
      <c r="CB472" s="53" t="n">
        <f aca="false">IF(CQ472&gt;0,INDEX(Parameter!$H$5:$H$7,W472)/INDEX(Parameter!$E$5:$E$7,W472),IF(AND(BZ472=0,N(IFERROR(VLOOKUP(BX472,'Gebinde-Kategorie'!$A$5:$N$45,14,0),0))&gt;0),VLOOKUP(BX472,'Gebinde-Kategorie'!$A$5:$N$45,14,0)*10+Parameter!$M$23,Parameter!$M$24))</f>
        <v>245</v>
      </c>
      <c r="CC472" s="48" t="str">
        <f aca="false">IF(AND(Parameter!$B$19="Ja",E472&lt;&gt;"",ISNUMBER(MATCH(E472,Parameter!$I$35:$I$52,0))),VLOOKUP(E472,Parameter!$I$35:$J$52,2,0),IFERROR(VLOOKUP(D472,Parameter!$A$35:$C$64,2,0),"Nein"))</f>
        <v>2+3</v>
      </c>
      <c r="CD472" s="52" t="n">
        <f aca="false">IF(BZ472=0,0,IF(N(S472)&gt;0,S472,IFERROR(VLOOKUP(D472,Parameter!$A$35:$C$64,3,0)+0,0)))</f>
        <v>0</v>
      </c>
      <c r="CE472" s="48" t="n">
        <f aca="false">IF(AA472&lt;&gt;"",AA472,Z472)</f>
        <v>3</v>
      </c>
      <c r="CF472" s="48" t="str">
        <f aca="false">IF(OR(CE472=1,CE472=2,CE472=3),IF(Parameter!$E$27="Ja","LIFT",IF(CE472=1,"L1","L23")),IF(CE472="Aussen","Aussen","-"))</f>
        <v>LIFT</v>
      </c>
      <c r="CG472" s="59" t="n">
        <f aca="false">IF(N(AB472)&gt;0,AB472,0)</f>
        <v>0</v>
      </c>
      <c r="CH472" s="53" t="n">
        <f aca="false">IF(ISNUMBER(AE472),1,0)</f>
        <v>0</v>
      </c>
      <c r="CI472" s="50" t="n">
        <f aca="false">N(AE472)</f>
        <v>0</v>
      </c>
      <c r="CJ472" s="50" t="n">
        <f aca="false">N(M472)+N(N472)</f>
        <v>12</v>
      </c>
      <c r="CK472" s="50" t="n">
        <f aca="false">N(M472)</f>
        <v>0</v>
      </c>
      <c r="CL472" s="50" t="n">
        <f aca="false">N(N472)</f>
        <v>12</v>
      </c>
      <c r="CM472" s="50" t="n">
        <f aca="false">ROUNDUP(H472/BY472,0)</f>
        <v>1</v>
      </c>
      <c r="CN472" s="50" t="n">
        <f aca="false">ROUNDUP(CI472/BY472,0)</f>
        <v>0</v>
      </c>
      <c r="CO472" s="53" t="n">
        <f aca="false">IF(BZ472=1,0,IFERROR(VLOOKUP(BX472,'Gebinde-Kategorie'!$A$5:$N$45,5,0)+0,0))</f>
        <v>21</v>
      </c>
      <c r="CP472" s="53" t="n">
        <f aca="false">IFERROR(IF(OR(CE472=1,CE472=2,CE472=3),N(INDEX(Parameter!$I$5:$I$7,CE472)),0),0)</f>
        <v>0</v>
      </c>
      <c r="CQ472" s="52" t="n">
        <f aca="false">IF(AND(Parameter!$B$21="Ja",ISNUMBER(W472),N(X472)&gt;0),IFERROR(N(INDEX(Parameter!$L$5:$L$7,W472))*INDEX(Parameter!$E$5:$E$7,W472)*X472/SUMIFS($X$7:$X$1843,$W$7:$W$1843,W472),0),0)</f>
        <v>0</v>
      </c>
    </row>
    <row r="473" customFormat="false" ht="15" hidden="false" customHeight="false" outlineLevel="0" collapsed="false">
      <c r="A473" s="48" t="s">
        <v>1064</v>
      </c>
      <c r="B473" s="48" t="s">
        <v>870</v>
      </c>
      <c r="C473" s="48" t="s">
        <v>173</v>
      </c>
      <c r="D473" s="48" t="s">
        <v>193</v>
      </c>
      <c r="E473" s="48"/>
      <c r="F473" s="48" t="s">
        <v>227</v>
      </c>
      <c r="G473" s="49" t="n">
        <v>2.4</v>
      </c>
      <c r="H473" s="50" t="n">
        <f aca="false">MAX(0,IF(AND(Parameter!$B$21="Ja",ISNUMBER(Y473)),Y473,IF(Parameter!$B$20="Jahresanfang 2025 + Export",BR473+BQ473,BQ473)))</f>
        <v>22</v>
      </c>
      <c r="I473" s="50" t="n">
        <f aca="false">H473*G473</f>
        <v>52.8</v>
      </c>
      <c r="J473" s="50" t="n">
        <f aca="false">BT473*Parameter!$B$18</f>
        <v>4</v>
      </c>
      <c r="K473" s="51" t="n">
        <v>3</v>
      </c>
      <c r="L473" s="52" t="n">
        <v>1.33333333333333</v>
      </c>
      <c r="M473" s="50" t="n">
        <v>0</v>
      </c>
      <c r="N473" s="50" t="n">
        <v>5</v>
      </c>
      <c r="O473" s="53" t="n">
        <v>14</v>
      </c>
      <c r="P473" s="48" t="s">
        <v>410</v>
      </c>
      <c r="Q473" s="50" t="n">
        <v>3</v>
      </c>
      <c r="R473" s="53" t="n">
        <f aca="false">IF(BZ473=1,0,IFERROR(VLOOKUP(BX473,'Gebinde-Kategorie'!$A$5:$N$45,13,0)+0,0))</f>
        <v>280</v>
      </c>
      <c r="S473" s="54"/>
      <c r="T473" s="55"/>
      <c r="U473" s="55"/>
      <c r="V473" s="55"/>
      <c r="W473" s="48"/>
      <c r="X473" s="50"/>
      <c r="Y473" s="50"/>
      <c r="Z473" s="48" t="n">
        <f aca="false">IF(A473="","",IF(AND(Parameter!$B$21="Ja",ISNUMBER(W473)),W473,IF(CC473="2+3",IF(ISNUMBER(SEARCH("grosser Artikel",BU473)),2,IFERROR(VLOOKUP(BX473,Parameter!$F$35:$G$64,2,0),2)),IF(OR(CC473="Nein",CC473=""),"-",CC473))))</f>
        <v>3</v>
      </c>
      <c r="AA473" s="55"/>
      <c r="AB473" s="56"/>
      <c r="AC473" s="50" t="n">
        <f aca="false">AV473</f>
        <v>5</v>
      </c>
      <c r="AD473" s="50" t="n">
        <f aca="false">MAX(AV473,H473)</f>
        <v>22</v>
      </c>
      <c r="AE473" s="57"/>
      <c r="AF473" s="50" t="n">
        <f aca="false">IF(LEFT(Cockpit!$C$5,1)="A",H473,IF(Parameter!$E$30="MAX-Bestand",IF(CH473=1,CI473,IF(LEFT(Cockpit!$C$5,1)="B",AL473,MAX(AL473,H473))),ROUNDUP(AJ473,0)))</f>
        <v>22</v>
      </c>
      <c r="AG473" s="50" t="n">
        <f aca="false">IF(BZ473=1,0,ROUNDUP(AF473/BY473,0))</f>
        <v>8</v>
      </c>
      <c r="AH473" s="52" t="n">
        <f aca="false">IF(CQ473&gt;0,CQ473*MAX(1,AF473/X473),IF(BZ473=1,IF(AF473&lt;=0,0,CD473*MAX(1,IF(H473&gt;0,AF473/H473,1))),IF(R473&gt;0,AG473/R473,0))/MAX(0.1,N(Parameter!$M$21)))</f>
        <v>0.0285714285714286</v>
      </c>
      <c r="AI473" s="50" t="n">
        <f aca="false">AH473*CB473</f>
        <v>4.42857142857143</v>
      </c>
      <c r="AJ473" s="51" t="n">
        <f aca="false">IF(LEFT(Cockpit!$C$5,1)="A",H473,IF(CH473=1,(CK473+CI473)/2,IF(LEFT(Cockpit!$C$5,1)="B",(CK473+AL473)/2,MAX((CK473+AL473)/2,H473))))</f>
        <v>22</v>
      </c>
      <c r="AK473" s="50" t="n">
        <f aca="false">AJ473*G473</f>
        <v>52.8</v>
      </c>
      <c r="AL473" s="50" t="n">
        <f aca="false">ROUNDUP(CK473+MAX(CL473,2*(J473/IF(CG473&gt;0,CG473,MAX(0.1,N(Cockpit!$C$6)))-CK473)),0)</f>
        <v>5</v>
      </c>
      <c r="AM473" s="51" t="n">
        <f aca="false">IF(AI473&gt;0,J473/AI473,-1)</f>
        <v>0.903225806451613</v>
      </c>
      <c r="AN473" s="51" t="n">
        <f aca="false">IF(AND(OR(CF473="L1",CF473="L23",CF473="LIFT"),AI473&gt;0),SUMIFS($AI$7:$AI$1843,$CF$7:$CF$1843,CF473,$AM$7:$AM$1843,"&gt;"&amp;AM473)+SUMIFS($AI$7:$AI$1843,$CF$7:$CF$1843,CF473,$AM$7:$AM$1843,AM473,$BW$7:$BW$1843,"&lt;="&amp;BW473),"")</f>
        <v>7616.63415750916</v>
      </c>
      <c r="AO473" s="58" t="n">
        <f aca="false">IF(AN473="",0,MAX(0,MIN(1,(IF(CF473="L1",Parameter!$H$5,IF(CF473="L23",Parameter!$H$6+Parameter!$H$7,Parameter!$H$5+Parameter!$H$6+Parameter!$H$7))-(AN473-AI473))/AI473)))</f>
        <v>1</v>
      </c>
      <c r="AP473" s="50" t="n">
        <f aca="false">IF(LEFT(Cockpit!$I$5,1)="A",H473,IF(Parameter!$E$30="MAX-Bestand",IF(CH473=1,CI473,IF(LEFT(Cockpit!$I$5,1)="B",AV473,MAX(AV473,H473))),ROUNDUP(AT473,0)))</f>
        <v>22</v>
      </c>
      <c r="AQ473" s="50" t="n">
        <f aca="false">IF(BZ473=1,0,ROUNDUP(AP473/BY473,0))</f>
        <v>8</v>
      </c>
      <c r="AR473" s="52" t="n">
        <f aca="false">IF(CQ473&gt;0,CQ473*MAX(1,AP473/X473),IF(BZ473=1,IF(AP473&lt;=0,0,CD473*MAX(1,IF(H473&gt;0,AP473/H473,1))),IF(R473&gt;0,AQ473/R473,0))/MAX(0.1,N(Parameter!$M$21)))</f>
        <v>0.0285714285714286</v>
      </c>
      <c r="AS473" s="50" t="n">
        <f aca="false">AR473*CB473</f>
        <v>4.42857142857143</v>
      </c>
      <c r="AT473" s="51" t="n">
        <f aca="false">IF(LEFT(Cockpit!$I$5,1)="A",H473,IF(CH473=1,(CK473+CI473)/2,IF(LEFT(Cockpit!$I$5,1)="B",(CK473+AV473)/2,MAX((CK473+AV473)/2,H473))))</f>
        <v>22</v>
      </c>
      <c r="AU473" s="50" t="n">
        <f aca="false">AT473*G473</f>
        <v>52.8</v>
      </c>
      <c r="AV473" s="50" t="n">
        <f aca="false">ROUNDUP(CK473+MAX(CL473,2*(J473/IF(CG473&gt;0,CG473,MAX(0.1,N(Cockpit!$I$6)))-CK473)),0)</f>
        <v>5</v>
      </c>
      <c r="AW473" s="51" t="n">
        <f aca="false">IF(AS473&gt;0,J473/AS473,-1)</f>
        <v>0.903225806451613</v>
      </c>
      <c r="AX473" s="51" t="n">
        <f aca="false">IF(AND(OR(CF473="L1",CF473="L23",CF473="LIFT"),AS473&gt;0),SUMIFS($AS$7:$AS$1843,$CF$7:$CF$1843,CF473,$AW$7:$AW$1843,"&gt;"&amp;AW473)+SUMIFS($AS$7:$AS$1843,$CF$7:$CF$1843,CF473,$AW$7:$AW$1843,AW473,$BW$7:$BW$1843,"&lt;="&amp;BW473),"")</f>
        <v>9191.07417582418</v>
      </c>
      <c r="AY473" s="58" t="n">
        <f aca="false">IF(AX473="",0,MAX(0,MIN(1,(IF(CF473="L1",Parameter!$H$5,IF(CF473="L23",Parameter!$H$6+Parameter!$H$7,Parameter!$H$5+Parameter!$H$6+Parameter!$H$7))-(AX473-AS473))/AS473)))</f>
        <v>1</v>
      </c>
      <c r="AZ473" s="50" t="n">
        <f aca="false">IF(LEFT(Cockpit!$O$5,1)="A",H473,IF(Parameter!$E$30="MAX-Bestand",IF(CH473=1,CI473,IF(LEFT(Cockpit!$O$5,1)="B",BF473,MAX(BF473,H473))),ROUNDUP(BD473,0)))</f>
        <v>3</v>
      </c>
      <c r="BA473" s="50" t="n">
        <f aca="false">IF(BZ473=1,0,ROUNDUP(AZ473/BY473,0))</f>
        <v>1</v>
      </c>
      <c r="BB473" s="52" t="n">
        <f aca="false">IF(CQ473&gt;0,CQ473*MAX(1,AZ473/X473),IF(BZ473=1,IF(AZ473&lt;=0,0,CD473*MAX(1,IF(H473&gt;0,AZ473/H473,1))),IF(R473&gt;0,BA473/R473,0))/MAX(0.1,N(Parameter!$M$21)))</f>
        <v>0.00357142857142857</v>
      </c>
      <c r="BC473" s="50" t="n">
        <f aca="false">BB473*CB473</f>
        <v>0.553571428571429</v>
      </c>
      <c r="BD473" s="51" t="n">
        <f aca="false">IF(LEFT(Cockpit!$O$5,1)="A",H473,IF(CH473=1,(CK473+CI473)/2,IF(LEFT(Cockpit!$O$5,1)="B",(CK473+BF473)/2,MAX((CK473+BF473)/2,H473))))</f>
        <v>2.5</v>
      </c>
      <c r="BE473" s="50" t="n">
        <f aca="false">BD473*G473</f>
        <v>6</v>
      </c>
      <c r="BF473" s="50" t="n">
        <f aca="false">ROUNDUP(CK473+MAX(CL473,2*(J473/IF(CG473&gt;0,CG473,MAX(0.1,N(Cockpit!$O$6)))-CK473)),0)</f>
        <v>5</v>
      </c>
      <c r="BG473" s="51" t="n">
        <f aca="false">IF(BC473&gt;0,J473/BC473,-1)</f>
        <v>7.2258064516129</v>
      </c>
      <c r="BH473" s="51" t="n">
        <f aca="false">IF(AND(OR(CF473="L1",CF473="L23",CF473="LIFT"),BC473&gt;0),SUMIFS($BC$7:$BC$1843,$CF$7:$CF$1843,CF473,$BG$7:$BG$1843,"&gt;"&amp;BG473)+SUMIFS($BC$7:$BC$1843,$CF$7:$CF$1843,CF473,$BG$7:$BG$1843,BG473,$BW$7:$BW$1843,"&lt;="&amp;BW473),"")</f>
        <v>3239.24496336996</v>
      </c>
      <c r="BI473" s="58" t="n">
        <f aca="false">IF(BH473="",0,MAX(0,MIN(1,(IF(CF473="L1",Parameter!$H$5,IF(CF473="L23",Parameter!$H$6+Parameter!$H$7,Parameter!$H$5+Parameter!$H$6+Parameter!$H$7))-(BH473-BC473))/BC473)))</f>
        <v>1</v>
      </c>
      <c r="BJ473" s="48" t="str">
        <f aca="false">IF(AI473&lt;=0,"",IF(CF473="Aussen","Aussenlager",IF(CF473="-","Nicht im Lift",IF(AO473&gt;=1,"Lift",IF(AO473&lt;=0,"Aussenlager","teilweise")))))</f>
        <v>Lift</v>
      </c>
      <c r="BK473" s="48" t="str">
        <f aca="false">IF(AS473&lt;=0,"",IF(CF473="Aussen","Aussenlager",IF(CF473="-","Nicht im Lift",IF(AY473&gt;=1,"Lift",IF(AY473&lt;=0,"Aussenlager","teilweise")))))</f>
        <v>Lift</v>
      </c>
      <c r="BL473" s="48" t="str">
        <f aca="false">IF(BC473&lt;=0,"",IF(CF473="Aussen","Aussenlager",IF(CF473="-","Nicht im Lift",IF(BI473&gt;=1,"Lift",IF(BI473&lt;=0,"Aussenlager","teilweise")))))</f>
        <v>Lift</v>
      </c>
      <c r="BM473" s="48" t="str">
        <f aca="false">IF(A473="","",IF(BV473=1,"Neu; ","")&amp;IF(AND(BV473=0,BQ473&lt;0),"negativer Bestand (Export "&amp;BQ473&amp;"); ","")&amp;IF(J473&lt;=0,"Kein Verbrauch; ","")&amp;IF(CQ473&gt;0,"Lift "&amp;W473&amp;" lt. Liftbericht (Fach "&amp;X473&amp;" Stk); ",IF(CA473=1,"Gebinde geschätzt ("&amp;T473&amp;"); ",IF(BZ473=1,"Lose – Tablare geschätzt; ","")))&amp;IF(H473&gt;AV473,"Überbestand "&amp;ROUND(H473-AV473,0)&amp;" Stk / CHF "&amp;ROUND((H473-AV473)*G473,0)&amp;"; ","")&amp;IF(AND(CH473=1,CI473&lt;CJ473),"MAX &lt; MB+LG; ","")&amp;IF(AND(CP473&gt;0,CO473*10&gt;CP473),"zu hoch für Tablar; ","")&amp;IF(AND(BV473=0,OR(CH473=1,AA473&lt;&gt;"",U473&lt;&gt;"",V473&lt;&gt;"",AB473&lt;&gt;"")),"manuell übersteuert; ","")&amp;IF(AND(BZ473=0,R473=0),"Gebinde unbekannt / Stellmass fehlt; ","")&amp;IF(AND(BZ473=0,N(V473)&lt;=0,N(Q473)&lt;=0),"Menge pro Gebinde fehlt (Ist = 1 Gebinde); ","")&amp;BU473)</f>
        <v>Überbestand 17 Stk / CHF 41; </v>
      </c>
      <c r="BN473" s="48"/>
      <c r="BO473" s="48"/>
      <c r="BP473" s="55"/>
      <c r="BQ473" s="50" t="n">
        <v>22</v>
      </c>
      <c r="BR473" s="50" t="n">
        <v>0</v>
      </c>
      <c r="BS473" s="49" t="n">
        <v>52.8</v>
      </c>
      <c r="BT473" s="50" t="n">
        <v>4</v>
      </c>
      <c r="BU473" s="48"/>
      <c r="BV473" s="53" t="n">
        <v>0</v>
      </c>
      <c r="BW473" s="53" t="n">
        <v>473</v>
      </c>
      <c r="BX473" s="48" t="str">
        <f aca="false">IF(U473&lt;&gt;"",UPPER(TRIM(U473)),IF(CA473=1,UPPER(VLOOKUP(T473,Parameter!$I$27:$K$29,2,0)),IF(P473="","LOSE",P473)))</f>
        <v>S21</v>
      </c>
      <c r="BY473" s="50" t="n">
        <f aca="false">IF(BX473="LOSE",1,IF(N(V473)&gt;0,V473,IF(CA473=1,MAX(1,N(VLOOKUP(T473,Parameter!$I$27:$K$29,3,0)),H473,N(N473)),IF(N(Q473)&gt;0,Q473,MAX(1,H473)))))</f>
        <v>3</v>
      </c>
      <c r="BZ473" s="53" t="n">
        <f aca="false">IF(BX473="LOSE",1,0)</f>
        <v>0</v>
      </c>
      <c r="CA473" s="53" t="n">
        <f aca="false">IF(AND(U473="",OR(P473="",P473="LOSE"),T473&lt;&gt;"",N(S473)&lt;=0,ISNUMBER(MATCH(T473,Parameter!$I$27:$I$29,0))),1,0)</f>
        <v>0</v>
      </c>
      <c r="CB473" s="53" t="n">
        <f aca="false">IF(CQ473&gt;0,INDEX(Parameter!$H$5:$H$7,W473)/INDEX(Parameter!$E$5:$E$7,W473),IF(AND(BZ473=0,N(IFERROR(VLOOKUP(BX473,'Gebinde-Kategorie'!$A$5:$N$45,14,0),0))&gt;0),VLOOKUP(BX473,'Gebinde-Kategorie'!$A$5:$N$45,14,0)*10+Parameter!$M$23,Parameter!$M$24))</f>
        <v>155</v>
      </c>
      <c r="CC473" s="48" t="str">
        <f aca="false">IF(AND(Parameter!$B$19="Ja",E473&lt;&gt;"",ISNUMBER(MATCH(E473,Parameter!$I$35:$I$52,0))),VLOOKUP(E473,Parameter!$I$35:$J$52,2,0),IFERROR(VLOOKUP(D473,Parameter!$A$35:$C$64,2,0),"Nein"))</f>
        <v>2+3</v>
      </c>
      <c r="CD473" s="52" t="n">
        <f aca="false">IF(BZ473=0,0,IF(N(S473)&gt;0,S473,IFERROR(VLOOKUP(D473,Parameter!$A$35:$C$64,3,0)+0,0)))</f>
        <v>0</v>
      </c>
      <c r="CE473" s="48" t="n">
        <f aca="false">IF(AA473&lt;&gt;"",AA473,Z473)</f>
        <v>3</v>
      </c>
      <c r="CF473" s="48" t="str">
        <f aca="false">IF(OR(CE473=1,CE473=2,CE473=3),IF(Parameter!$E$27="Ja","LIFT",IF(CE473=1,"L1","L23")),IF(CE473="Aussen","Aussen","-"))</f>
        <v>LIFT</v>
      </c>
      <c r="CG473" s="59" t="n">
        <f aca="false">IF(N(AB473)&gt;0,AB473,0)</f>
        <v>0</v>
      </c>
      <c r="CH473" s="53" t="n">
        <f aca="false">IF(ISNUMBER(AE473),1,0)</f>
        <v>0</v>
      </c>
      <c r="CI473" s="50" t="n">
        <f aca="false">N(AE473)</f>
        <v>0</v>
      </c>
      <c r="CJ473" s="50" t="n">
        <f aca="false">N(M473)+N(N473)</f>
        <v>5</v>
      </c>
      <c r="CK473" s="50" t="n">
        <f aca="false">N(M473)</f>
        <v>0</v>
      </c>
      <c r="CL473" s="50" t="n">
        <f aca="false">N(N473)</f>
        <v>5</v>
      </c>
      <c r="CM473" s="50" t="n">
        <f aca="false">ROUNDUP(H473/BY473,0)</f>
        <v>8</v>
      </c>
      <c r="CN473" s="50" t="n">
        <f aca="false">ROUNDUP(CI473/BY473,0)</f>
        <v>0</v>
      </c>
      <c r="CO473" s="53" t="n">
        <f aca="false">IF(BZ473=1,0,IFERROR(VLOOKUP(BX473,'Gebinde-Kategorie'!$A$5:$N$45,5,0)+0,0))</f>
        <v>8</v>
      </c>
      <c r="CP473" s="53" t="n">
        <f aca="false">IFERROR(IF(OR(CE473=1,CE473=2,CE473=3),N(INDEX(Parameter!$I$5:$I$7,CE473)),0),0)</f>
        <v>0</v>
      </c>
      <c r="CQ473" s="52" t="n">
        <f aca="false">IF(AND(Parameter!$B$21="Ja",ISNUMBER(W473),N(X473)&gt;0),IFERROR(N(INDEX(Parameter!$L$5:$L$7,W473))*INDEX(Parameter!$E$5:$E$7,W473)*X473/SUMIFS($X$7:$X$1843,$W$7:$W$1843,W473),0),0)</f>
        <v>0</v>
      </c>
    </row>
    <row r="474" customFormat="false" ht="15" hidden="false" customHeight="false" outlineLevel="0" collapsed="false">
      <c r="A474" s="48" t="s">
        <v>1065</v>
      </c>
      <c r="B474" s="48" t="s">
        <v>1066</v>
      </c>
      <c r="C474" s="48" t="s">
        <v>173</v>
      </c>
      <c r="D474" s="48" t="s">
        <v>193</v>
      </c>
      <c r="E474" s="48" t="s">
        <v>194</v>
      </c>
      <c r="F474" s="48" t="s">
        <v>227</v>
      </c>
      <c r="G474" s="49" t="n">
        <v>1.13</v>
      </c>
      <c r="H474" s="50" t="n">
        <f aca="false">MAX(0,IF(AND(Parameter!$B$21="Ja",ISNUMBER(Y474)),Y474,IF(Parameter!$B$20="Jahresanfang 2025 + Export",BR474+BQ474,BQ474)))</f>
        <v>60</v>
      </c>
      <c r="I474" s="50" t="n">
        <f aca="false">H474*G474</f>
        <v>67.8</v>
      </c>
      <c r="J474" s="50" t="n">
        <f aca="false">BT474*Parameter!$B$18</f>
        <v>71</v>
      </c>
      <c r="K474" s="51" t="n">
        <v>56.5</v>
      </c>
      <c r="L474" s="52" t="n">
        <v>1.25663716814159</v>
      </c>
      <c r="M474" s="50" t="n">
        <v>2</v>
      </c>
      <c r="N474" s="50" t="n">
        <v>70</v>
      </c>
      <c r="O474" s="53" t="n">
        <v>14</v>
      </c>
      <c r="P474" s="48" t="s">
        <v>435</v>
      </c>
      <c r="Q474" s="50" t="n">
        <v>40</v>
      </c>
      <c r="R474" s="53" t="n">
        <f aca="false">IF(BZ474=1,0,IFERROR(VLOOKUP(BX474,'Gebinde-Kategorie'!$A$5:$N$45,13,0)+0,0))</f>
        <v>140</v>
      </c>
      <c r="S474" s="54"/>
      <c r="T474" s="55"/>
      <c r="U474" s="55"/>
      <c r="V474" s="55"/>
      <c r="W474" s="48"/>
      <c r="X474" s="50"/>
      <c r="Y474" s="50"/>
      <c r="Z474" s="48" t="n">
        <f aca="false">IF(A474="","",IF(AND(Parameter!$B$21="Ja",ISNUMBER(W474)),W474,IF(CC474="2+3",IF(ISNUMBER(SEARCH("grosser Artikel",BU474)),2,IFERROR(VLOOKUP(BX474,Parameter!$F$35:$G$64,2,0),2)),IF(OR(CC474="Nein",CC474=""),"-",CC474))))</f>
        <v>3</v>
      </c>
      <c r="AA474" s="55"/>
      <c r="AB474" s="56"/>
      <c r="AC474" s="50" t="n">
        <f aca="false">AV474</f>
        <v>72</v>
      </c>
      <c r="AD474" s="50" t="n">
        <f aca="false">MAX(AV474,H474)</f>
        <v>72</v>
      </c>
      <c r="AE474" s="57"/>
      <c r="AF474" s="50" t="n">
        <f aca="false">IF(LEFT(Cockpit!$C$5,1)="A",H474,IF(Parameter!$E$30="MAX-Bestand",IF(CH474=1,CI474,IF(LEFT(Cockpit!$C$5,1)="B",AL474,MAX(AL474,H474))),ROUNDUP(AJ474,0)))</f>
        <v>60</v>
      </c>
      <c r="AG474" s="50" t="n">
        <f aca="false">IF(BZ474=1,0,ROUNDUP(AF474/BY474,0))</f>
        <v>2</v>
      </c>
      <c r="AH474" s="52" t="n">
        <f aca="false">IF(CQ474&gt;0,CQ474*MAX(1,AF474/X474),IF(BZ474=1,IF(AF474&lt;=0,0,CD474*MAX(1,IF(H474&gt;0,AF474/H474,1))),IF(R474&gt;0,AG474/R474,0))/MAX(0.1,N(Parameter!$M$21)))</f>
        <v>0.0142857142857143</v>
      </c>
      <c r="AI474" s="50" t="n">
        <f aca="false">AH474*CB474</f>
        <v>2.21428571428571</v>
      </c>
      <c r="AJ474" s="51" t="n">
        <f aca="false">IF(LEFT(Cockpit!$C$5,1)="A",H474,IF(CH474=1,(CK474+CI474)/2,IF(LEFT(Cockpit!$C$5,1)="B",(CK474+AL474)/2,MAX((CK474+AL474)/2,H474))))</f>
        <v>60</v>
      </c>
      <c r="AK474" s="50" t="n">
        <f aca="false">AJ474*G474</f>
        <v>67.8</v>
      </c>
      <c r="AL474" s="50" t="n">
        <f aca="false">ROUNDUP(CK474+MAX(CL474,2*(J474/IF(CG474&gt;0,CG474,MAX(0.1,N(Cockpit!$C$6)))-CK474)),0)</f>
        <v>72</v>
      </c>
      <c r="AM474" s="51" t="n">
        <f aca="false">IF(AI474&gt;0,J474/AI474,-1)</f>
        <v>32.0645161290323</v>
      </c>
      <c r="AN474" s="51" t="n">
        <f aca="false">IF(AND(OR(CF474="L1",CF474="L23",CF474="LIFT"),AI474&gt;0),SUMIFS($AI$7:$AI$1843,$CF$7:$CF$1843,CF474,$AM$7:$AM$1843,"&gt;"&amp;AM474)+SUMIFS($AI$7:$AI$1843,$CF$7:$CF$1843,CF474,$AM$7:$AM$1843,AM474,$BW$7:$BW$1843,"&lt;="&amp;BW474),"")</f>
        <v>1355.17857142857</v>
      </c>
      <c r="AO474" s="58" t="n">
        <f aca="false">IF(AN474="",0,MAX(0,MIN(1,(IF(CF474="L1",Parameter!$H$5,IF(CF474="L23",Parameter!$H$6+Parameter!$H$7,Parameter!$H$5+Parameter!$H$6+Parameter!$H$7))-(AN474-AI474))/AI474)))</f>
        <v>1</v>
      </c>
      <c r="AP474" s="50" t="n">
        <f aca="false">IF(LEFT(Cockpit!$I$5,1)="A",H474,IF(Parameter!$E$30="MAX-Bestand",IF(CH474=1,CI474,IF(LEFT(Cockpit!$I$5,1)="B",AV474,MAX(AV474,H474))),ROUNDUP(AT474,0)))</f>
        <v>60</v>
      </c>
      <c r="AQ474" s="50" t="n">
        <f aca="false">IF(BZ474=1,0,ROUNDUP(AP474/BY474,0))</f>
        <v>2</v>
      </c>
      <c r="AR474" s="52" t="n">
        <f aca="false">IF(CQ474&gt;0,CQ474*MAX(1,AP474/X474),IF(BZ474=1,IF(AP474&lt;=0,0,CD474*MAX(1,IF(H474&gt;0,AP474/H474,1))),IF(R474&gt;0,AQ474/R474,0))/MAX(0.1,N(Parameter!$M$21)))</f>
        <v>0.0142857142857143</v>
      </c>
      <c r="AS474" s="50" t="n">
        <f aca="false">AR474*CB474</f>
        <v>2.21428571428571</v>
      </c>
      <c r="AT474" s="51" t="n">
        <f aca="false">IF(LEFT(Cockpit!$I$5,1)="A",H474,IF(CH474=1,(CK474+CI474)/2,IF(LEFT(Cockpit!$I$5,1)="B",(CK474+AV474)/2,MAX((CK474+AV474)/2,H474))))</f>
        <v>60</v>
      </c>
      <c r="AU474" s="50" t="n">
        <f aca="false">AT474*G474</f>
        <v>67.8</v>
      </c>
      <c r="AV474" s="50" t="n">
        <f aca="false">ROUNDUP(CK474+MAX(CL474,2*(J474/IF(CG474&gt;0,CG474,MAX(0.1,N(Cockpit!$I$6)))-CK474)),0)</f>
        <v>72</v>
      </c>
      <c r="AW474" s="51" t="n">
        <f aca="false">IF(AS474&gt;0,J474/AS474,-1)</f>
        <v>32.0645161290323</v>
      </c>
      <c r="AX474" s="51" t="n">
        <f aca="false">IF(AND(OR(CF474="L1",CF474="L23",CF474="LIFT"),AS474&gt;0),SUMIFS($AS$7:$AS$1843,$CF$7:$CF$1843,CF474,$AW$7:$AW$1843,"&gt;"&amp;AW474)+SUMIFS($AS$7:$AS$1843,$CF$7:$CF$1843,CF474,$AW$7:$AW$1843,AW474,$BW$7:$BW$1843,"&lt;="&amp;BW474),"")</f>
        <v>1748.4445970696</v>
      </c>
      <c r="AY474" s="58" t="n">
        <f aca="false">IF(AX474="",0,MAX(0,MIN(1,(IF(CF474="L1",Parameter!$H$5,IF(CF474="L23",Parameter!$H$6+Parameter!$H$7,Parameter!$H$5+Parameter!$H$6+Parameter!$H$7))-(AX474-AS474))/AS474)))</f>
        <v>1</v>
      </c>
      <c r="AZ474" s="50" t="n">
        <f aca="false">IF(LEFT(Cockpit!$O$5,1)="A",H474,IF(Parameter!$E$30="MAX-Bestand",IF(CH474=1,CI474,IF(LEFT(Cockpit!$O$5,1)="B",BF474,MAX(BF474,H474))),ROUNDUP(BD474,0)))</f>
        <v>37</v>
      </c>
      <c r="BA474" s="50" t="n">
        <f aca="false">IF(BZ474=1,0,ROUNDUP(AZ474/BY474,0))</f>
        <v>1</v>
      </c>
      <c r="BB474" s="52" t="n">
        <f aca="false">IF(CQ474&gt;0,CQ474*MAX(1,AZ474/X474),IF(BZ474=1,IF(AZ474&lt;=0,0,CD474*MAX(1,IF(H474&gt;0,AZ474/H474,1))),IF(R474&gt;0,BA474/R474,0))/MAX(0.1,N(Parameter!$M$21)))</f>
        <v>0.00714285714285714</v>
      </c>
      <c r="BC474" s="50" t="n">
        <f aca="false">BB474*CB474</f>
        <v>1.10714285714286</v>
      </c>
      <c r="BD474" s="51" t="n">
        <f aca="false">IF(LEFT(Cockpit!$O$5,1)="A",H474,IF(CH474=1,(CK474+CI474)/2,IF(LEFT(Cockpit!$O$5,1)="B",(CK474+BF474)/2,MAX((CK474+BF474)/2,H474))))</f>
        <v>37</v>
      </c>
      <c r="BE474" s="50" t="n">
        <f aca="false">BD474*G474</f>
        <v>41.81</v>
      </c>
      <c r="BF474" s="50" t="n">
        <f aca="false">ROUNDUP(CK474+MAX(CL474,2*(J474/IF(CG474&gt;0,CG474,MAX(0.1,N(Cockpit!$O$6)))-CK474)),0)</f>
        <v>72</v>
      </c>
      <c r="BG474" s="51" t="n">
        <f aca="false">IF(BC474&gt;0,J474/BC474,-1)</f>
        <v>64.1290322580645</v>
      </c>
      <c r="BH474" s="51" t="n">
        <f aca="false">IF(AND(OR(CF474="L1",CF474="L23",CF474="LIFT"),BC474&gt;0),SUMIFS($BC$7:$BC$1843,$CF$7:$CF$1843,CF474,$BG$7:$BG$1843,"&gt;"&amp;BG474)+SUMIFS($BC$7:$BC$1843,$CF$7:$CF$1843,CF474,$BG$7:$BG$1843,BG474,$BW$7:$BW$1843,"&lt;="&amp;BW474),"")</f>
        <v>1052.93498168498</v>
      </c>
      <c r="BI474" s="58" t="n">
        <f aca="false">IF(BH474="",0,MAX(0,MIN(1,(IF(CF474="L1",Parameter!$H$5,IF(CF474="L23",Parameter!$H$6+Parameter!$H$7,Parameter!$H$5+Parameter!$H$6+Parameter!$H$7))-(BH474-BC474))/BC474)))</f>
        <v>1</v>
      </c>
      <c r="BJ474" s="48" t="str">
        <f aca="false">IF(AI474&lt;=0,"",IF(CF474="Aussen","Aussenlager",IF(CF474="-","Nicht im Lift",IF(AO474&gt;=1,"Lift",IF(AO474&lt;=0,"Aussenlager","teilweise")))))</f>
        <v>Lift</v>
      </c>
      <c r="BK474" s="48" t="str">
        <f aca="false">IF(AS474&lt;=0,"",IF(CF474="Aussen","Aussenlager",IF(CF474="-","Nicht im Lift",IF(AY474&gt;=1,"Lift",IF(AY474&lt;=0,"Aussenlager","teilweise")))))</f>
        <v>Lift</v>
      </c>
      <c r="BL474" s="48" t="str">
        <f aca="false">IF(BC474&lt;=0,"",IF(CF474="Aussen","Aussenlager",IF(CF474="-","Nicht im Lift",IF(BI474&gt;=1,"Lift",IF(BI474&lt;=0,"Aussenlager","teilweise")))))</f>
        <v>Lift</v>
      </c>
      <c r="BM474" s="48" t="str">
        <f aca="false">IF(A474="","",IF(BV474=1,"Neu; ","")&amp;IF(AND(BV474=0,BQ474&lt;0),"negativer Bestand (Export "&amp;BQ474&amp;"); ","")&amp;IF(J474&lt;=0,"Kein Verbrauch; ","")&amp;IF(CQ474&gt;0,"Lift "&amp;W474&amp;" lt. Liftbericht (Fach "&amp;X474&amp;" Stk); ",IF(CA474=1,"Gebinde geschätzt ("&amp;T474&amp;"); ",IF(BZ474=1,"Lose – Tablare geschätzt; ","")))&amp;IF(H474&gt;AV474,"Überbestand "&amp;ROUND(H474-AV474,0)&amp;" Stk / CHF "&amp;ROUND((H474-AV474)*G474,0)&amp;"; ","")&amp;IF(AND(CH474=1,CI474&lt;CJ474),"MAX &lt; MB+LG; ","")&amp;IF(AND(CP474&gt;0,CO474*10&gt;CP474),"zu hoch für Tablar; ","")&amp;IF(AND(BV474=0,OR(CH474=1,AA474&lt;&gt;"",U474&lt;&gt;"",V474&lt;&gt;"",AB474&lt;&gt;"")),"manuell übersteuert; ","")&amp;IF(AND(BZ474=0,R474=0),"Gebinde unbekannt / Stellmass fehlt; ","")&amp;IF(AND(BZ474=0,N(V474)&lt;=0,N(Q474)&lt;=0),"Menge pro Gebinde fehlt (Ist = 1 Gebinde); ","")&amp;BU474)</f>
        <v/>
      </c>
      <c r="BN474" s="48"/>
      <c r="BO474" s="48"/>
      <c r="BP474" s="55"/>
      <c r="BQ474" s="50" t="n">
        <v>46</v>
      </c>
      <c r="BR474" s="50" t="n">
        <v>14</v>
      </c>
      <c r="BS474" s="49" t="n">
        <v>52.68</v>
      </c>
      <c r="BT474" s="50" t="n">
        <v>71</v>
      </c>
      <c r="BU474" s="48"/>
      <c r="BV474" s="53" t="n">
        <v>0</v>
      </c>
      <c r="BW474" s="53" t="n">
        <v>474</v>
      </c>
      <c r="BX474" s="48" t="str">
        <f aca="false">IF(U474&lt;&gt;"",UPPER(TRIM(U474)),IF(CA474=1,UPPER(VLOOKUP(T474,Parameter!$I$27:$K$29,2,0)),IF(P474="","LOSE",P474)))</f>
        <v>S22</v>
      </c>
      <c r="BY474" s="50" t="n">
        <f aca="false">IF(BX474="LOSE",1,IF(N(V474)&gt;0,V474,IF(CA474=1,MAX(1,N(VLOOKUP(T474,Parameter!$I$27:$K$29,3,0)),H474,N(N474)),IF(N(Q474)&gt;0,Q474,MAX(1,H474)))))</f>
        <v>40</v>
      </c>
      <c r="BZ474" s="53" t="n">
        <f aca="false">IF(BX474="LOSE",1,0)</f>
        <v>0</v>
      </c>
      <c r="CA474" s="53" t="n">
        <f aca="false">IF(AND(U474="",OR(P474="",P474="LOSE"),T474&lt;&gt;"",N(S474)&lt;=0,ISNUMBER(MATCH(T474,Parameter!$I$27:$I$29,0))),1,0)</f>
        <v>0</v>
      </c>
      <c r="CB474" s="53" t="n">
        <f aca="false">IF(CQ474&gt;0,INDEX(Parameter!$H$5:$H$7,W474)/INDEX(Parameter!$E$5:$E$7,W474),IF(AND(BZ474=0,N(IFERROR(VLOOKUP(BX474,'Gebinde-Kategorie'!$A$5:$N$45,14,0),0))&gt;0),VLOOKUP(BX474,'Gebinde-Kategorie'!$A$5:$N$45,14,0)*10+Parameter!$M$23,Parameter!$M$24))</f>
        <v>155</v>
      </c>
      <c r="CC474" s="48" t="str">
        <f aca="false">IF(AND(Parameter!$B$19="Ja",E474&lt;&gt;"",ISNUMBER(MATCH(E474,Parameter!$I$35:$I$52,0))),VLOOKUP(E474,Parameter!$I$35:$J$52,2,0),IFERROR(VLOOKUP(D474,Parameter!$A$35:$C$64,2,0),"Nein"))</f>
        <v>2+3</v>
      </c>
      <c r="CD474" s="52" t="n">
        <f aca="false">IF(BZ474=0,0,IF(N(S474)&gt;0,S474,IFERROR(VLOOKUP(D474,Parameter!$A$35:$C$64,3,0)+0,0)))</f>
        <v>0</v>
      </c>
      <c r="CE474" s="48" t="n">
        <f aca="false">IF(AA474&lt;&gt;"",AA474,Z474)</f>
        <v>3</v>
      </c>
      <c r="CF474" s="48" t="str">
        <f aca="false">IF(OR(CE474=1,CE474=2,CE474=3),IF(Parameter!$E$27="Ja","LIFT",IF(CE474=1,"L1","L23")),IF(CE474="Aussen","Aussen","-"))</f>
        <v>LIFT</v>
      </c>
      <c r="CG474" s="59" t="n">
        <f aca="false">IF(N(AB474)&gt;0,AB474,0)</f>
        <v>0</v>
      </c>
      <c r="CH474" s="53" t="n">
        <f aca="false">IF(ISNUMBER(AE474),1,0)</f>
        <v>0</v>
      </c>
      <c r="CI474" s="50" t="n">
        <f aca="false">N(AE474)</f>
        <v>0</v>
      </c>
      <c r="CJ474" s="50" t="n">
        <f aca="false">N(M474)+N(N474)</f>
        <v>72</v>
      </c>
      <c r="CK474" s="50" t="n">
        <f aca="false">N(M474)</f>
        <v>2</v>
      </c>
      <c r="CL474" s="50" t="n">
        <f aca="false">N(N474)</f>
        <v>70</v>
      </c>
      <c r="CM474" s="50" t="n">
        <f aca="false">ROUNDUP(H474/BY474,0)</f>
        <v>2</v>
      </c>
      <c r="CN474" s="50" t="n">
        <f aca="false">ROUNDUP(CI474/BY474,0)</f>
        <v>0</v>
      </c>
      <c r="CO474" s="53" t="n">
        <f aca="false">IF(BZ474=1,0,IFERROR(VLOOKUP(BX474,'Gebinde-Kategorie'!$A$5:$N$45,5,0)+0,0))</f>
        <v>8</v>
      </c>
      <c r="CP474" s="53" t="n">
        <f aca="false">IFERROR(IF(OR(CE474=1,CE474=2,CE474=3),N(INDEX(Parameter!$I$5:$I$7,CE474)),0),0)</f>
        <v>0</v>
      </c>
      <c r="CQ474" s="52" t="n">
        <f aca="false">IF(AND(Parameter!$B$21="Ja",ISNUMBER(W474),N(X474)&gt;0),IFERROR(N(INDEX(Parameter!$L$5:$L$7,W474))*INDEX(Parameter!$E$5:$E$7,W474)*X474/SUMIFS($X$7:$X$1843,$W$7:$W$1843,W474),0),0)</f>
        <v>0</v>
      </c>
    </row>
    <row r="475" customFormat="false" ht="15" hidden="false" customHeight="false" outlineLevel="0" collapsed="false">
      <c r="A475" s="48" t="s">
        <v>1067</v>
      </c>
      <c r="B475" s="48" t="s">
        <v>1068</v>
      </c>
      <c r="C475" s="48" t="s">
        <v>173</v>
      </c>
      <c r="D475" s="48" t="s">
        <v>1004</v>
      </c>
      <c r="E475" s="48"/>
      <c r="F475" s="48" t="s">
        <v>227</v>
      </c>
      <c r="G475" s="49" t="n">
        <v>1.63</v>
      </c>
      <c r="H475" s="50" t="n">
        <f aca="false">MAX(0,IF(AND(Parameter!$B$21="Ja",ISNUMBER(Y475)),Y475,IF(Parameter!$B$20="Jahresanfang 2025 + Export",BR475+BQ475,BQ475)))</f>
        <v>32</v>
      </c>
      <c r="I475" s="50" t="n">
        <f aca="false">H475*G475</f>
        <v>52.16</v>
      </c>
      <c r="J475" s="50" t="n">
        <f aca="false">BT475*Parameter!$B$18</f>
        <v>118</v>
      </c>
      <c r="K475" s="51" t="n">
        <v>16</v>
      </c>
      <c r="L475" s="52" t="n">
        <v>7.375</v>
      </c>
      <c r="M475" s="50" t="n">
        <v>0</v>
      </c>
      <c r="N475" s="50" t="n">
        <v>50</v>
      </c>
      <c r="O475" s="53" t="n">
        <v>21</v>
      </c>
      <c r="P475" s="48" t="s">
        <v>177</v>
      </c>
      <c r="Q475" s="50"/>
      <c r="R475" s="53" t="n">
        <f aca="false">IF(BZ475=1,0,IFERROR(VLOOKUP(BX475,'Gebinde-Kategorie'!$A$5:$N$45,13,0)+0,0))</f>
        <v>0</v>
      </c>
      <c r="S475" s="54"/>
      <c r="T475" s="55"/>
      <c r="U475" s="55"/>
      <c r="V475" s="55"/>
      <c r="W475" s="48"/>
      <c r="X475" s="50"/>
      <c r="Y475" s="50"/>
      <c r="Z475" s="48" t="str">
        <f aca="false">IF(A475="","",IF(AND(Parameter!$B$21="Ja",ISNUMBER(W475)),W475,IF(CC475="2+3",IF(ISNUMBER(SEARCH("grosser Artikel",BU475)),2,IFERROR(VLOOKUP(BX475,Parameter!$F$35:$G$64,2,0),2)),IF(OR(CC475="Nein",CC475=""),"-",CC475))))</f>
        <v>-</v>
      </c>
      <c r="AA475" s="55"/>
      <c r="AB475" s="56"/>
      <c r="AC475" s="50" t="n">
        <f aca="false">AV475</f>
        <v>79</v>
      </c>
      <c r="AD475" s="50" t="n">
        <f aca="false">MAX(AV475,H475)</f>
        <v>79</v>
      </c>
      <c r="AE475" s="57"/>
      <c r="AF475" s="50" t="n">
        <f aca="false">IF(LEFT(Cockpit!$C$5,1)="A",H475,IF(Parameter!$E$30="MAX-Bestand",IF(CH475=1,CI475,IF(LEFT(Cockpit!$C$5,1)="B",AL475,MAX(AL475,H475))),ROUNDUP(AJ475,0)))</f>
        <v>32</v>
      </c>
      <c r="AG475" s="50" t="n">
        <f aca="false">IF(BZ475=1,0,ROUNDUP(AF475/BY475,0))</f>
        <v>0</v>
      </c>
      <c r="AH475" s="52" t="n">
        <f aca="false">IF(CQ475&gt;0,CQ475*MAX(1,AF475/X475),IF(BZ475=1,IF(AF475&lt;=0,0,CD475*MAX(1,IF(H475&gt;0,AF475/H475,1))),IF(R475&gt;0,AG475/R475,0))/MAX(0.1,N(Parameter!$M$21)))</f>
        <v>0.15</v>
      </c>
      <c r="AI475" s="50" t="n">
        <f aca="false">AH475*CB475</f>
        <v>35.25</v>
      </c>
      <c r="AJ475" s="51" t="n">
        <f aca="false">IF(LEFT(Cockpit!$C$5,1)="A",H475,IF(CH475=1,(CK475+CI475)/2,IF(LEFT(Cockpit!$C$5,1)="B",(CK475+AL475)/2,MAX((CK475+AL475)/2,H475))))</f>
        <v>32</v>
      </c>
      <c r="AK475" s="50" t="n">
        <f aca="false">AJ475*G475</f>
        <v>52.16</v>
      </c>
      <c r="AL475" s="50" t="n">
        <f aca="false">ROUNDUP(CK475+MAX(CL475,2*(J475/IF(CG475&gt;0,CG475,MAX(0.1,N(Cockpit!$C$6)))-CK475)),0)</f>
        <v>79</v>
      </c>
      <c r="AM475" s="51" t="n">
        <f aca="false">IF(AI475&gt;0,J475/AI475,-1)</f>
        <v>3.34751773049645</v>
      </c>
      <c r="AN475" s="51" t="str">
        <f aca="false">IF(AND(OR(CF475="L1",CF475="L23",CF475="LIFT"),AI475&gt;0),SUMIFS($AI$7:$AI$1843,$CF$7:$CF$1843,CF475,$AM$7:$AM$1843,"&gt;"&amp;AM475)+SUMIFS($AI$7:$AI$1843,$CF$7:$CF$1843,CF475,$AM$7:$AM$1843,AM475,$BW$7:$BW$1843,"&lt;="&amp;BW475),"")</f>
        <v/>
      </c>
      <c r="AO475" s="58" t="n">
        <f aca="false">IF(AN475="",0,MAX(0,MIN(1,(IF(CF475="L1",Parameter!$H$5,IF(CF475="L23",Parameter!$H$6+Parameter!$H$7,Parameter!$H$5+Parameter!$H$6+Parameter!$H$7))-(AN475-AI475))/AI475)))</f>
        <v>0</v>
      </c>
      <c r="AP475" s="50" t="n">
        <f aca="false">IF(LEFT(Cockpit!$I$5,1)="A",H475,IF(Parameter!$E$30="MAX-Bestand",IF(CH475=1,CI475,IF(LEFT(Cockpit!$I$5,1)="B",AV475,MAX(AV475,H475))),ROUNDUP(AT475,0)))</f>
        <v>40</v>
      </c>
      <c r="AQ475" s="50" t="n">
        <f aca="false">IF(BZ475=1,0,ROUNDUP(AP475/BY475,0))</f>
        <v>0</v>
      </c>
      <c r="AR475" s="52" t="n">
        <f aca="false">IF(CQ475&gt;0,CQ475*MAX(1,AP475/X475),IF(BZ475=1,IF(AP475&lt;=0,0,CD475*MAX(1,IF(H475&gt;0,AP475/H475,1))),IF(R475&gt;0,AQ475/R475,0))/MAX(0.1,N(Parameter!$M$21)))</f>
        <v>0.1875</v>
      </c>
      <c r="AS475" s="50" t="n">
        <f aca="false">AR475*CB475</f>
        <v>44.0625</v>
      </c>
      <c r="AT475" s="51" t="n">
        <f aca="false">IF(LEFT(Cockpit!$I$5,1)="A",H475,IF(CH475=1,(CK475+CI475)/2,IF(LEFT(Cockpit!$I$5,1)="B",(CK475+AV475)/2,MAX((CK475+AV475)/2,H475))))</f>
        <v>39.5</v>
      </c>
      <c r="AU475" s="50" t="n">
        <f aca="false">AT475*G475</f>
        <v>64.385</v>
      </c>
      <c r="AV475" s="50" t="n">
        <f aca="false">ROUNDUP(CK475+MAX(CL475,2*(J475/IF(CG475&gt;0,CG475,MAX(0.1,N(Cockpit!$I$6)))-CK475)),0)</f>
        <v>79</v>
      </c>
      <c r="AW475" s="51" t="n">
        <f aca="false">IF(AS475&gt;0,J475/AS475,-1)</f>
        <v>2.67801418439716</v>
      </c>
      <c r="AX475" s="51" t="str">
        <f aca="false">IF(AND(OR(CF475="L1",CF475="L23",CF475="LIFT"),AS475&gt;0),SUMIFS($AS$7:$AS$1843,$CF$7:$CF$1843,CF475,$AW$7:$AW$1843,"&gt;"&amp;AW475)+SUMIFS($AS$7:$AS$1843,$CF$7:$CF$1843,CF475,$AW$7:$AW$1843,AW475,$BW$7:$BW$1843,"&lt;="&amp;BW475),"")</f>
        <v/>
      </c>
      <c r="AY475" s="58" t="n">
        <f aca="false">IF(AX475="",0,MAX(0,MIN(1,(IF(CF475="L1",Parameter!$H$5,IF(CF475="L23",Parameter!$H$6+Parameter!$H$7,Parameter!$H$5+Parameter!$H$6+Parameter!$H$7))-(AX475-AS475))/AS475)))</f>
        <v>0</v>
      </c>
      <c r="AZ475" s="50" t="n">
        <f aca="false">IF(LEFT(Cockpit!$O$5,1)="A",H475,IF(Parameter!$E$30="MAX-Bestand",IF(CH475=1,CI475,IF(LEFT(Cockpit!$O$5,1)="B",BF475,MAX(BF475,H475))),ROUNDUP(BD475,0)))</f>
        <v>30</v>
      </c>
      <c r="BA475" s="50" t="n">
        <f aca="false">IF(BZ475=1,0,ROUNDUP(AZ475/BY475,0))</f>
        <v>0</v>
      </c>
      <c r="BB475" s="52" t="n">
        <f aca="false">IF(CQ475&gt;0,CQ475*MAX(1,AZ475/X475),IF(BZ475=1,IF(AZ475&lt;=0,0,CD475*MAX(1,IF(H475&gt;0,AZ475/H475,1))),IF(R475&gt;0,BA475/R475,0))/MAX(0.1,N(Parameter!$M$21)))</f>
        <v>0.15</v>
      </c>
      <c r="BC475" s="50" t="n">
        <f aca="false">BB475*CB475</f>
        <v>35.25</v>
      </c>
      <c r="BD475" s="51" t="n">
        <f aca="false">IF(LEFT(Cockpit!$O$5,1)="A",H475,IF(CH475=1,(CK475+CI475)/2,IF(LEFT(Cockpit!$O$5,1)="B",(CK475+BF475)/2,MAX((CK475+BF475)/2,H475))))</f>
        <v>29.5</v>
      </c>
      <c r="BE475" s="50" t="n">
        <f aca="false">BD475*G475</f>
        <v>48.085</v>
      </c>
      <c r="BF475" s="50" t="n">
        <f aca="false">ROUNDUP(CK475+MAX(CL475,2*(J475/IF(CG475&gt;0,CG475,MAX(0.1,N(Cockpit!$O$6)))-CK475)),0)</f>
        <v>59</v>
      </c>
      <c r="BG475" s="51" t="n">
        <f aca="false">IF(BC475&gt;0,J475/BC475,-1)</f>
        <v>3.34751773049645</v>
      </c>
      <c r="BH475" s="51" t="str">
        <f aca="false">IF(AND(OR(CF475="L1",CF475="L23",CF475="LIFT"),BC475&gt;0),SUMIFS($BC$7:$BC$1843,$CF$7:$CF$1843,CF475,$BG$7:$BG$1843,"&gt;"&amp;BG475)+SUMIFS($BC$7:$BC$1843,$CF$7:$CF$1843,CF475,$BG$7:$BG$1843,BG475,$BW$7:$BW$1843,"&lt;="&amp;BW475),"")</f>
        <v/>
      </c>
      <c r="BI475" s="58" t="n">
        <f aca="false">IF(BH475="",0,MAX(0,MIN(1,(IF(CF475="L1",Parameter!$H$5,IF(CF475="L23",Parameter!$H$6+Parameter!$H$7,Parameter!$H$5+Parameter!$H$6+Parameter!$H$7))-(BH475-BC475))/BC475)))</f>
        <v>0</v>
      </c>
      <c r="BJ475" s="48" t="str">
        <f aca="false">IF(AI475&lt;=0,"",IF(CF475="Aussen","Aussenlager",IF(CF475="-","Nicht im Lift",IF(AO475&gt;=1,"Lift",IF(AO475&lt;=0,"Aussenlager","teilweise")))))</f>
        <v>Nicht im Lift</v>
      </c>
      <c r="BK475" s="48" t="str">
        <f aca="false">IF(AS475&lt;=0,"",IF(CF475="Aussen","Aussenlager",IF(CF475="-","Nicht im Lift",IF(AY475&gt;=1,"Lift",IF(AY475&lt;=0,"Aussenlager","teilweise")))))</f>
        <v>Nicht im Lift</v>
      </c>
      <c r="BL475" s="48" t="str">
        <f aca="false">IF(BC475&lt;=0,"",IF(CF475="Aussen","Aussenlager",IF(CF475="-","Nicht im Lift",IF(BI475&gt;=1,"Lift",IF(BI475&lt;=0,"Aussenlager","teilweise")))))</f>
        <v>Nicht im Lift</v>
      </c>
      <c r="BM475" s="48" t="str">
        <f aca="false">IF(A475="","",IF(BV475=1,"Neu; ","")&amp;IF(AND(BV475=0,BQ475&lt;0),"negativer Bestand (Export "&amp;BQ475&amp;"); ","")&amp;IF(J475&lt;=0,"Kein Verbrauch; ","")&amp;IF(CQ475&gt;0,"Lift "&amp;W475&amp;" lt. Liftbericht (Fach "&amp;X475&amp;" Stk); ",IF(CA475=1,"Gebinde geschätzt ("&amp;T475&amp;"); ",IF(BZ475=1,"Lose – Tablare geschätzt; ","")))&amp;IF(H475&gt;AV475,"Überbestand "&amp;ROUND(H475-AV475,0)&amp;" Stk / CHF "&amp;ROUND((H475-AV475)*G475,0)&amp;"; ","")&amp;IF(AND(CH475=1,CI475&lt;CJ475),"MAX &lt; MB+LG; ","")&amp;IF(AND(CP475&gt;0,CO475*10&gt;CP475),"zu hoch für Tablar; ","")&amp;IF(AND(BV475=0,OR(CH475=1,AA475&lt;&gt;"",U475&lt;&gt;"",V475&lt;&gt;"",AB475&lt;&gt;"")),"manuell übersteuert; ","")&amp;IF(AND(BZ475=0,R475=0),"Gebinde unbekannt / Stellmass fehlt; ","")&amp;IF(AND(BZ475=0,N(V475)&lt;=0,N(Q475)&lt;=0),"Menge pro Gebinde fehlt (Ist = 1 Gebinde); ","")&amp;BU475)</f>
        <v>Lose – Tablare geschätzt; </v>
      </c>
      <c r="BN475" s="48"/>
      <c r="BO475" s="48"/>
      <c r="BP475" s="55"/>
      <c r="BQ475" s="50" t="n">
        <v>32</v>
      </c>
      <c r="BR475" s="50" t="n">
        <v>0</v>
      </c>
      <c r="BS475" s="49" t="n">
        <v>52.16</v>
      </c>
      <c r="BT475" s="50" t="n">
        <v>118</v>
      </c>
      <c r="BU475" s="48"/>
      <c r="BV475" s="53" t="n">
        <v>0</v>
      </c>
      <c r="BW475" s="53" t="n">
        <v>475</v>
      </c>
      <c r="BX475" s="48" t="str">
        <f aca="false">IF(U475&lt;&gt;"",UPPER(TRIM(U475)),IF(CA475=1,UPPER(VLOOKUP(T475,Parameter!$I$27:$K$29,2,0)),IF(P475="","LOSE",P475)))</f>
        <v>LOSE</v>
      </c>
      <c r="BY475" s="50" t="n">
        <f aca="false">IF(BX475="LOSE",1,IF(N(V475)&gt;0,V475,IF(CA475=1,MAX(1,N(VLOOKUP(T475,Parameter!$I$27:$K$29,3,0)),H475,N(N475)),IF(N(Q475)&gt;0,Q475,MAX(1,H475)))))</f>
        <v>1</v>
      </c>
      <c r="BZ475" s="53" t="n">
        <f aca="false">IF(BX475="LOSE",1,0)</f>
        <v>1</v>
      </c>
      <c r="CA475" s="53" t="n">
        <f aca="false">IF(AND(U475="",OR(P475="",P475="LOSE"),T475&lt;&gt;"",N(S475)&lt;=0,ISNUMBER(MATCH(T475,Parameter!$I$27:$I$29,0))),1,0)</f>
        <v>0</v>
      </c>
      <c r="CB475" s="53" t="n">
        <f aca="false">IF(CQ475&gt;0,INDEX(Parameter!$H$5:$H$7,W475)/INDEX(Parameter!$E$5:$E$7,W475),IF(AND(BZ475=0,N(IFERROR(VLOOKUP(BX475,'Gebinde-Kategorie'!$A$5:$N$45,14,0),0))&gt;0),VLOOKUP(BX475,'Gebinde-Kategorie'!$A$5:$N$45,14,0)*10+Parameter!$M$23,Parameter!$M$24))</f>
        <v>235</v>
      </c>
      <c r="CC475" s="48" t="str">
        <f aca="false">IF(AND(Parameter!$B$19="Ja",E475&lt;&gt;"",ISNUMBER(MATCH(E475,Parameter!$I$35:$I$52,0))),VLOOKUP(E475,Parameter!$I$35:$J$52,2,0),IFERROR(VLOOKUP(D475,Parameter!$A$35:$C$64,2,0),"Nein"))</f>
        <v>Nein</v>
      </c>
      <c r="CD475" s="52" t="n">
        <f aca="false">IF(BZ475=0,0,IF(N(S475)&gt;0,S475,IFERROR(VLOOKUP(D475,Parameter!$A$35:$C$64,3,0)+0,0)))</f>
        <v>0.15</v>
      </c>
      <c r="CE475" s="48" t="str">
        <f aca="false">IF(AA475&lt;&gt;"",AA475,Z475)</f>
        <v>-</v>
      </c>
      <c r="CF475" s="48" t="str">
        <f aca="false">IF(OR(CE475=1,CE475=2,CE475=3),IF(Parameter!$E$27="Ja","LIFT",IF(CE475=1,"L1","L23")),IF(CE475="Aussen","Aussen","-"))</f>
        <v>-</v>
      </c>
      <c r="CG475" s="59" t="n">
        <f aca="false">IF(N(AB475)&gt;0,AB475,0)</f>
        <v>0</v>
      </c>
      <c r="CH475" s="53" t="n">
        <f aca="false">IF(ISNUMBER(AE475),1,0)</f>
        <v>0</v>
      </c>
      <c r="CI475" s="50" t="n">
        <f aca="false">N(AE475)</f>
        <v>0</v>
      </c>
      <c r="CJ475" s="50" t="n">
        <f aca="false">N(M475)+N(N475)</f>
        <v>50</v>
      </c>
      <c r="CK475" s="50" t="n">
        <f aca="false">N(M475)</f>
        <v>0</v>
      </c>
      <c r="CL475" s="50" t="n">
        <f aca="false">N(N475)</f>
        <v>50</v>
      </c>
      <c r="CM475" s="50" t="n">
        <f aca="false">ROUNDUP(H475/BY475,0)</f>
        <v>32</v>
      </c>
      <c r="CN475" s="50" t="n">
        <f aca="false">ROUNDUP(CI475/BY475,0)</f>
        <v>0</v>
      </c>
      <c r="CO475" s="53" t="n">
        <f aca="false">IF(BZ475=1,0,IFERROR(VLOOKUP(BX475,'Gebinde-Kategorie'!$A$5:$N$45,5,0)+0,0))</f>
        <v>0</v>
      </c>
      <c r="CP475" s="53" t="n">
        <f aca="false">IFERROR(IF(OR(CE475=1,CE475=2,CE475=3),N(INDEX(Parameter!$I$5:$I$7,CE475)),0),0)</f>
        <v>0</v>
      </c>
      <c r="CQ475" s="52" t="n">
        <f aca="false">IF(AND(Parameter!$B$21="Ja",ISNUMBER(W475),N(X475)&gt;0),IFERROR(N(INDEX(Parameter!$L$5:$L$7,W475))*INDEX(Parameter!$E$5:$E$7,W475)*X475/SUMIFS($X$7:$X$1843,$W$7:$W$1843,W475),0),0)</f>
        <v>0</v>
      </c>
    </row>
    <row r="476" customFormat="false" ht="15" hidden="false" customHeight="false" outlineLevel="0" collapsed="false">
      <c r="A476" s="48" t="s">
        <v>1069</v>
      </c>
      <c r="B476" s="48" t="s">
        <v>1070</v>
      </c>
      <c r="C476" s="48" t="s">
        <v>173</v>
      </c>
      <c r="D476" s="48" t="s">
        <v>193</v>
      </c>
      <c r="E476" s="48"/>
      <c r="F476" s="48" t="s">
        <v>227</v>
      </c>
      <c r="G476" s="49" t="n">
        <v>51.57</v>
      </c>
      <c r="H476" s="50" t="n">
        <f aca="false">MAX(0,IF(AND(Parameter!$B$21="Ja",ISNUMBER(Y476)),Y476,IF(Parameter!$B$20="Jahresanfang 2025 + Export",BR476+BQ476,BQ476)))</f>
        <v>1</v>
      </c>
      <c r="I476" s="50" t="n">
        <f aca="false">H476*G476</f>
        <v>51.57</v>
      </c>
      <c r="J476" s="50" t="n">
        <f aca="false">BT476*Parameter!$B$18</f>
        <v>1</v>
      </c>
      <c r="K476" s="51" t="n">
        <v>0.5</v>
      </c>
      <c r="L476" s="52" t="n">
        <v>2</v>
      </c>
      <c r="M476" s="50" t="n">
        <v>0</v>
      </c>
      <c r="N476" s="50" t="n">
        <v>1</v>
      </c>
      <c r="O476" s="53" t="n">
        <v>28</v>
      </c>
      <c r="P476" s="48" t="s">
        <v>177</v>
      </c>
      <c r="Q476" s="50"/>
      <c r="R476" s="53" t="n">
        <f aca="false">IF(BZ476=1,0,IFERROR(VLOOKUP(BX476,'Gebinde-Kategorie'!$A$5:$N$45,13,0)+0,0))</f>
        <v>4</v>
      </c>
      <c r="S476" s="54"/>
      <c r="T476" s="55" t="s">
        <v>198</v>
      </c>
      <c r="U476" s="55"/>
      <c r="V476" s="55"/>
      <c r="W476" s="48"/>
      <c r="X476" s="50"/>
      <c r="Y476" s="50"/>
      <c r="Z476" s="48" t="n">
        <f aca="false">IF(A476="","",IF(AND(Parameter!$B$21="Ja",ISNUMBER(W476)),W476,IF(CC476="2+3",IF(ISNUMBER(SEARCH("grosser Artikel",BU476)),2,IFERROR(VLOOKUP(BX476,Parameter!$F$35:$G$64,2,0),2)),IF(OR(CC476="Nein",CC476=""),"-",CC476))))</f>
        <v>2</v>
      </c>
      <c r="AA476" s="55"/>
      <c r="AB476" s="56"/>
      <c r="AC476" s="50" t="n">
        <f aca="false">AV476</f>
        <v>1</v>
      </c>
      <c r="AD476" s="50" t="n">
        <f aca="false">MAX(AV476,H476)</f>
        <v>1</v>
      </c>
      <c r="AE476" s="57"/>
      <c r="AF476" s="50" t="n">
        <f aca="false">IF(LEFT(Cockpit!$C$5,1)="A",H476,IF(Parameter!$E$30="MAX-Bestand",IF(CH476=1,CI476,IF(LEFT(Cockpit!$C$5,1)="B",AL476,MAX(AL476,H476))),ROUNDUP(AJ476,0)))</f>
        <v>1</v>
      </c>
      <c r="AG476" s="50" t="n">
        <f aca="false">IF(BZ476=1,0,ROUNDUP(AF476/BY476,0))</f>
        <v>1</v>
      </c>
      <c r="AH476" s="52" t="n">
        <f aca="false">IF(CQ476&gt;0,CQ476*MAX(1,AF476/X476),IF(BZ476=1,IF(AF476&lt;=0,0,CD476*MAX(1,IF(H476&gt;0,AF476/H476,1))),IF(R476&gt;0,AG476/R476,0))/MAX(0.1,N(Parameter!$M$21)))</f>
        <v>0.25</v>
      </c>
      <c r="AI476" s="50" t="n">
        <f aca="false">AH476*CB476</f>
        <v>58.75</v>
      </c>
      <c r="AJ476" s="51" t="n">
        <f aca="false">IF(LEFT(Cockpit!$C$5,1)="A",H476,IF(CH476=1,(CK476+CI476)/2,IF(LEFT(Cockpit!$C$5,1)="B",(CK476+AL476)/2,MAX((CK476+AL476)/2,H476))))</f>
        <v>1</v>
      </c>
      <c r="AK476" s="50" t="n">
        <f aca="false">AJ476*G476</f>
        <v>51.57</v>
      </c>
      <c r="AL476" s="50" t="n">
        <f aca="false">ROUNDUP(CK476+MAX(CL476,2*(J476/IF(CG476&gt;0,CG476,MAX(0.1,N(Cockpit!$C$6)))-CK476)),0)</f>
        <v>1</v>
      </c>
      <c r="AM476" s="51" t="n">
        <f aca="false">IF(AI476&gt;0,J476/AI476,-1)</f>
        <v>0.0170212765957447</v>
      </c>
      <c r="AN476" s="51" t="n">
        <f aca="false">IF(AND(OR(CF476="L1",CF476="L23",CF476="LIFT"),AI476&gt;0),SUMIFS($AI$7:$AI$1843,$CF$7:$CF$1843,CF476,$AM$7:$AM$1843,"&gt;"&amp;AM476)+SUMIFS($AI$7:$AI$1843,$CF$7:$CF$1843,CF476,$AM$7:$AM$1843,AM476,$BW$7:$BW$1843,"&lt;="&amp;BW476),"")</f>
        <v>23645.9208858467</v>
      </c>
      <c r="AO476" s="58" t="n">
        <f aca="false">IF(AN476="",0,MAX(0,MIN(1,(IF(CF476="L1",Parameter!$H$5,IF(CF476="L23",Parameter!$H$6+Parameter!$H$7,Parameter!$H$5+Parameter!$H$6+Parameter!$H$7))-(AN476-AI476))/AI476)))</f>
        <v>1</v>
      </c>
      <c r="AP476" s="50" t="n">
        <f aca="false">IF(LEFT(Cockpit!$I$5,1)="A",H476,IF(Parameter!$E$30="MAX-Bestand",IF(CH476=1,CI476,IF(LEFT(Cockpit!$I$5,1)="B",AV476,MAX(AV476,H476))),ROUNDUP(AT476,0)))</f>
        <v>1</v>
      </c>
      <c r="AQ476" s="50" t="n">
        <f aca="false">IF(BZ476=1,0,ROUNDUP(AP476/BY476,0))</f>
        <v>1</v>
      </c>
      <c r="AR476" s="52" t="n">
        <f aca="false">IF(CQ476&gt;0,CQ476*MAX(1,AP476/X476),IF(BZ476=1,IF(AP476&lt;=0,0,CD476*MAX(1,IF(H476&gt;0,AP476/H476,1))),IF(R476&gt;0,AQ476/R476,0))/MAX(0.1,N(Parameter!$M$21)))</f>
        <v>0.25</v>
      </c>
      <c r="AS476" s="50" t="n">
        <f aca="false">AR476*CB476</f>
        <v>58.75</v>
      </c>
      <c r="AT476" s="51" t="n">
        <f aca="false">IF(LEFT(Cockpit!$I$5,1)="A",H476,IF(CH476=1,(CK476+CI476)/2,IF(LEFT(Cockpit!$I$5,1)="B",(CK476+AV476)/2,MAX((CK476+AV476)/2,H476))))</f>
        <v>1</v>
      </c>
      <c r="AU476" s="50" t="n">
        <f aca="false">AT476*G476</f>
        <v>51.57</v>
      </c>
      <c r="AV476" s="50" t="n">
        <f aca="false">ROUNDUP(CK476+MAX(CL476,2*(J476/IF(CG476&gt;0,CG476,MAX(0.1,N(Cockpit!$I$6)))-CK476)),0)</f>
        <v>1</v>
      </c>
      <c r="AW476" s="51" t="n">
        <f aca="false">IF(AS476&gt;0,J476/AS476,-1)</f>
        <v>0.0170212765957447</v>
      </c>
      <c r="AX476" s="51" t="n">
        <f aca="false">IF(AND(OR(CF476="L1",CF476="L23",CF476="LIFT"),AS476&gt;0),SUMIFS($AS$7:$AS$1843,$CF$7:$CF$1843,CF476,$AW$7:$AW$1843,"&gt;"&amp;AW476)+SUMIFS($AS$7:$AS$1843,$CF$7:$CF$1843,CF476,$AW$7:$AW$1843,AW476,$BW$7:$BW$1843,"&lt;="&amp;BW476),"")</f>
        <v>28881.5695272242</v>
      </c>
      <c r="AY476" s="58" t="n">
        <f aca="false">IF(AX476="",0,MAX(0,MIN(1,(IF(CF476="L1",Parameter!$H$5,IF(CF476="L23",Parameter!$H$6+Parameter!$H$7,Parameter!$H$5+Parameter!$H$6+Parameter!$H$7))-(AX476-AS476))/AS476)))</f>
        <v>1</v>
      </c>
      <c r="AZ476" s="50" t="n">
        <f aca="false">IF(LEFT(Cockpit!$O$5,1)="A",H476,IF(Parameter!$E$30="MAX-Bestand",IF(CH476=1,CI476,IF(LEFT(Cockpit!$O$5,1)="B",BF476,MAX(BF476,H476))),ROUNDUP(BD476,0)))</f>
        <v>1</v>
      </c>
      <c r="BA476" s="50" t="n">
        <f aca="false">IF(BZ476=1,0,ROUNDUP(AZ476/BY476,0))</f>
        <v>1</v>
      </c>
      <c r="BB476" s="52" t="n">
        <f aca="false">IF(CQ476&gt;0,CQ476*MAX(1,AZ476/X476),IF(BZ476=1,IF(AZ476&lt;=0,0,CD476*MAX(1,IF(H476&gt;0,AZ476/H476,1))),IF(R476&gt;0,BA476/R476,0))/MAX(0.1,N(Parameter!$M$21)))</f>
        <v>0.25</v>
      </c>
      <c r="BC476" s="50" t="n">
        <f aca="false">BB476*CB476</f>
        <v>58.75</v>
      </c>
      <c r="BD476" s="51" t="n">
        <f aca="false">IF(LEFT(Cockpit!$O$5,1)="A",H476,IF(CH476=1,(CK476+CI476)/2,IF(LEFT(Cockpit!$O$5,1)="B",(CK476+BF476)/2,MAX((CK476+BF476)/2,H476))))</f>
        <v>0.5</v>
      </c>
      <c r="BE476" s="50" t="n">
        <f aca="false">BD476*G476</f>
        <v>25.785</v>
      </c>
      <c r="BF476" s="50" t="n">
        <f aca="false">ROUNDUP(CK476+MAX(CL476,2*(J476/IF(CG476&gt;0,CG476,MAX(0.1,N(Cockpit!$O$6)))-CK476)),0)</f>
        <v>1</v>
      </c>
      <c r="BG476" s="51" t="n">
        <f aca="false">IF(BC476&gt;0,J476/BC476,-1)</f>
        <v>0.0170212765957447</v>
      </c>
      <c r="BH476" s="51" t="n">
        <f aca="false">IF(AND(OR(CF476="L1",CF476="L23",CF476="LIFT"),BC476&gt;0),SUMIFS($BC$7:$BC$1843,$CF$7:$CF$1843,CF476,$BG$7:$BG$1843,"&gt;"&amp;BG476)+SUMIFS($BC$7:$BC$1843,$CF$7:$CF$1843,CF476,$BG$7:$BG$1843,BG476,$BW$7:$BW$1843,"&lt;="&amp;BW476),"")</f>
        <v>24427.3180371888</v>
      </c>
      <c r="BI476" s="58" t="n">
        <f aca="false">IF(BH476="",0,MAX(0,MIN(1,(IF(CF476="L1",Parameter!$H$5,IF(CF476="L23",Parameter!$H$6+Parameter!$H$7,Parameter!$H$5+Parameter!$H$6+Parameter!$H$7))-(BH476-BC476))/BC476)))</f>
        <v>1</v>
      </c>
      <c r="BJ476" s="48" t="str">
        <f aca="false">IF(AI476&lt;=0,"",IF(CF476="Aussen","Aussenlager",IF(CF476="-","Nicht im Lift",IF(AO476&gt;=1,"Lift",IF(AO476&lt;=0,"Aussenlager","teilweise")))))</f>
        <v>Lift</v>
      </c>
      <c r="BK476" s="48" t="str">
        <f aca="false">IF(AS476&lt;=0,"",IF(CF476="Aussen","Aussenlager",IF(CF476="-","Nicht im Lift",IF(AY476&gt;=1,"Lift",IF(AY476&lt;=0,"Aussenlager","teilweise")))))</f>
        <v>Lift</v>
      </c>
      <c r="BL476" s="48" t="str">
        <f aca="false">IF(BC476&lt;=0,"",IF(CF476="Aussen","Aussenlager",IF(CF476="-","Nicht im Lift",IF(BI476&gt;=1,"Lift",IF(BI476&lt;=0,"Aussenlager","teilweise")))))</f>
        <v>Lift</v>
      </c>
      <c r="BM476" s="48" t="str">
        <f aca="false">IF(A476="","",IF(BV476=1,"Neu; ","")&amp;IF(AND(BV476=0,BQ476&lt;0),"negativer Bestand (Export "&amp;BQ476&amp;"); ","")&amp;IF(J476&lt;=0,"Kein Verbrauch; ","")&amp;IF(CQ476&gt;0,"Lift "&amp;W476&amp;" lt. Liftbericht (Fach "&amp;X476&amp;" Stk); ",IF(CA476=1,"Gebinde geschätzt ("&amp;T476&amp;"); ",IF(BZ476=1,"Lose – Tablare geschätzt; ","")))&amp;IF(H476&gt;AV476,"Überbestand "&amp;ROUND(H476-AV476,0)&amp;" Stk / CHF "&amp;ROUND((H476-AV476)*G476,0)&amp;"; ","")&amp;IF(AND(CH476=1,CI476&lt;CJ476),"MAX &lt; MB+LG; ","")&amp;IF(AND(CP476&gt;0,CO476*10&gt;CP476),"zu hoch für Tablar; ","")&amp;IF(AND(BV476=0,OR(CH476=1,AA476&lt;&gt;"",U476&lt;&gt;"",V476&lt;&gt;"",AB476&lt;&gt;"")),"manuell übersteuert; ","")&amp;IF(AND(BZ476=0,R476=0),"Gebinde unbekannt / Stellmass fehlt; ","")&amp;IF(AND(BZ476=0,N(V476)&lt;=0,N(Q476)&lt;=0),"Menge pro Gebinde fehlt (Ist = 1 Gebinde); ","")&amp;BU476)</f>
        <v>Gebinde geschätzt (Gross); Menge pro Gebinde fehlt (Ist = 1 Gebinde); </v>
      </c>
      <c r="BN476" s="48"/>
      <c r="BO476" s="48"/>
      <c r="BP476" s="55"/>
      <c r="BQ476" s="50" t="n">
        <v>1</v>
      </c>
      <c r="BR476" s="50" t="n">
        <v>0</v>
      </c>
      <c r="BS476" s="49" t="n">
        <v>51.57</v>
      </c>
      <c r="BT476" s="50" t="n">
        <v>1</v>
      </c>
      <c r="BU476" s="48"/>
      <c r="BV476" s="53" t="n">
        <v>0</v>
      </c>
      <c r="BW476" s="53" t="n">
        <v>476</v>
      </c>
      <c r="BX476" s="48" t="str">
        <f aca="false">IF(U476&lt;&gt;"",UPPER(TRIM(U476)),IF(CA476=1,UPPER(VLOOKUP(T476,Parameter!$I$27:$K$29,2,0)),IF(P476="","LOSE",P476)))</f>
        <v>S81</v>
      </c>
      <c r="BY476" s="50" t="n">
        <f aca="false">IF(BX476="LOSE",1,IF(N(V476)&gt;0,V476,IF(CA476=1,MAX(1,N(VLOOKUP(T476,Parameter!$I$27:$K$29,3,0)),H476,N(N476)),IF(N(Q476)&gt;0,Q476,MAX(1,H476)))))</f>
        <v>2</v>
      </c>
      <c r="BZ476" s="53" t="n">
        <f aca="false">IF(BX476="LOSE",1,0)</f>
        <v>0</v>
      </c>
      <c r="CA476" s="53" t="n">
        <f aca="false">IF(AND(U476="",OR(P476="",P476="LOSE"),T476&lt;&gt;"",N(S476)&lt;=0,ISNUMBER(MATCH(T476,Parameter!$I$27:$I$29,0))),1,0)</f>
        <v>1</v>
      </c>
      <c r="CB476" s="53" t="n">
        <f aca="false">IF(CQ476&gt;0,INDEX(Parameter!$H$5:$H$7,W476)/INDEX(Parameter!$E$5:$E$7,W476),IF(AND(BZ476=0,N(IFERROR(VLOOKUP(BX476,'Gebinde-Kategorie'!$A$5:$N$45,14,0),0))&gt;0),VLOOKUP(BX476,'Gebinde-Kategorie'!$A$5:$N$45,14,0)*10+Parameter!$M$23,Parameter!$M$24))</f>
        <v>235</v>
      </c>
      <c r="CC476" s="48" t="str">
        <f aca="false">IF(AND(Parameter!$B$19="Ja",E476&lt;&gt;"",ISNUMBER(MATCH(E476,Parameter!$I$35:$I$52,0))),VLOOKUP(E476,Parameter!$I$35:$J$52,2,0),IFERROR(VLOOKUP(D476,Parameter!$A$35:$C$64,2,0),"Nein"))</f>
        <v>2+3</v>
      </c>
      <c r="CD476" s="52" t="n">
        <f aca="false">IF(BZ476=0,0,IF(N(S476)&gt;0,S476,IFERROR(VLOOKUP(D476,Parameter!$A$35:$C$64,3,0)+0,0)))</f>
        <v>0</v>
      </c>
      <c r="CE476" s="48" t="n">
        <f aca="false">IF(AA476&lt;&gt;"",AA476,Z476)</f>
        <v>2</v>
      </c>
      <c r="CF476" s="48" t="str">
        <f aca="false">IF(OR(CE476=1,CE476=2,CE476=3),IF(Parameter!$E$27="Ja","LIFT",IF(CE476=1,"L1","L23")),IF(CE476="Aussen","Aussen","-"))</f>
        <v>LIFT</v>
      </c>
      <c r="CG476" s="59" t="n">
        <f aca="false">IF(N(AB476)&gt;0,AB476,0)</f>
        <v>0</v>
      </c>
      <c r="CH476" s="53" t="n">
        <f aca="false">IF(ISNUMBER(AE476),1,0)</f>
        <v>0</v>
      </c>
      <c r="CI476" s="50" t="n">
        <f aca="false">N(AE476)</f>
        <v>0</v>
      </c>
      <c r="CJ476" s="50" t="n">
        <f aca="false">N(M476)+N(N476)</f>
        <v>1</v>
      </c>
      <c r="CK476" s="50" t="n">
        <f aca="false">N(M476)</f>
        <v>0</v>
      </c>
      <c r="CL476" s="50" t="n">
        <f aca="false">N(N476)</f>
        <v>1</v>
      </c>
      <c r="CM476" s="50" t="n">
        <f aca="false">ROUNDUP(H476/BY476,0)</f>
        <v>1</v>
      </c>
      <c r="CN476" s="50" t="n">
        <f aca="false">ROUNDUP(CI476/BY476,0)</f>
        <v>0</v>
      </c>
      <c r="CO476" s="53" t="n">
        <f aca="false">IF(BZ476=1,0,IFERROR(VLOOKUP(BX476,'Gebinde-Kategorie'!$A$5:$N$45,5,0)+0,0))</f>
        <v>20</v>
      </c>
      <c r="CP476" s="53" t="n">
        <f aca="false">IFERROR(IF(OR(CE476=1,CE476=2,CE476=3),N(INDEX(Parameter!$I$5:$I$7,CE476)),0),0)</f>
        <v>0</v>
      </c>
      <c r="CQ476" s="52" t="n">
        <f aca="false">IF(AND(Parameter!$B$21="Ja",ISNUMBER(W476),N(X476)&gt;0),IFERROR(N(INDEX(Parameter!$L$5:$L$7,W476))*INDEX(Parameter!$E$5:$E$7,W476)*X476/SUMIFS($X$7:$X$1843,$W$7:$W$1843,W476),0),0)</f>
        <v>0</v>
      </c>
    </row>
    <row r="477" customFormat="false" ht="15" hidden="false" customHeight="false" outlineLevel="0" collapsed="false">
      <c r="A477" s="48" t="s">
        <v>1071</v>
      </c>
      <c r="B477" s="48" t="s">
        <v>1072</v>
      </c>
      <c r="C477" s="48" t="s">
        <v>173</v>
      </c>
      <c r="D477" s="48" t="s">
        <v>193</v>
      </c>
      <c r="E477" s="48"/>
      <c r="F477" s="48" t="s">
        <v>227</v>
      </c>
      <c r="G477" s="49" t="n">
        <v>51</v>
      </c>
      <c r="H477" s="50" t="n">
        <f aca="false">MAX(0,IF(AND(Parameter!$B$21="Ja",ISNUMBER(Y477)),Y477,IF(Parameter!$B$20="Jahresanfang 2025 + Export",BR477+BQ477,BQ477)))</f>
        <v>8</v>
      </c>
      <c r="I477" s="50" t="n">
        <f aca="false">H477*G477</f>
        <v>408</v>
      </c>
      <c r="J477" s="50" t="n">
        <f aca="false">BT477*Parameter!$B$18</f>
        <v>0</v>
      </c>
      <c r="K477" s="51" t="n">
        <v>7.5</v>
      </c>
      <c r="L477" s="52" t="n">
        <v>0</v>
      </c>
      <c r="M477" s="50" t="n">
        <v>0</v>
      </c>
      <c r="N477" s="50" t="n">
        <v>1</v>
      </c>
      <c r="O477" s="53" t="n">
        <v>28</v>
      </c>
      <c r="P477" s="48" t="s">
        <v>311</v>
      </c>
      <c r="Q477" s="50" t="n">
        <v>10</v>
      </c>
      <c r="R477" s="53" t="n">
        <f aca="false">IF(BZ477=1,0,IFERROR(VLOOKUP(BX477,'Gebinde-Kategorie'!$A$5:$N$45,13,0)+0,0))</f>
        <v>26</v>
      </c>
      <c r="S477" s="54"/>
      <c r="T477" s="55"/>
      <c r="U477" s="55"/>
      <c r="V477" s="55"/>
      <c r="W477" s="48"/>
      <c r="X477" s="50"/>
      <c r="Y477" s="50"/>
      <c r="Z477" s="48" t="n">
        <f aca="false">IF(A477="","",IF(AND(Parameter!$B$21="Ja",ISNUMBER(W477)),W477,IF(CC477="2+3",IF(ISNUMBER(SEARCH("grosser Artikel",BU477)),2,IFERROR(VLOOKUP(BX477,Parameter!$F$35:$G$64,2,0),2)),IF(OR(CC477="Nein",CC477=""),"-",CC477))))</f>
        <v>3</v>
      </c>
      <c r="AA477" s="55"/>
      <c r="AB477" s="56"/>
      <c r="AC477" s="50" t="n">
        <f aca="false">AV477</f>
        <v>1</v>
      </c>
      <c r="AD477" s="50" t="n">
        <f aca="false">MAX(AV477,H477)</f>
        <v>8</v>
      </c>
      <c r="AE477" s="57"/>
      <c r="AF477" s="50" t="n">
        <f aca="false">IF(LEFT(Cockpit!$C$5,1)="A",H477,IF(Parameter!$E$30="MAX-Bestand",IF(CH477=1,CI477,IF(LEFT(Cockpit!$C$5,1)="B",AL477,MAX(AL477,H477))),ROUNDUP(AJ477,0)))</f>
        <v>8</v>
      </c>
      <c r="AG477" s="50" t="n">
        <f aca="false">IF(BZ477=1,0,ROUNDUP(AF477/BY477,0))</f>
        <v>1</v>
      </c>
      <c r="AH477" s="52" t="n">
        <f aca="false">IF(CQ477&gt;0,CQ477*MAX(1,AF477/X477),IF(BZ477=1,IF(AF477&lt;=0,0,CD477*MAX(1,IF(H477&gt;0,AF477/H477,1))),IF(R477&gt;0,AG477/R477,0))/MAX(0.1,N(Parameter!$M$21)))</f>
        <v>0.0384615384615385</v>
      </c>
      <c r="AI477" s="50" t="n">
        <f aca="false">AH477*CB477</f>
        <v>5.96153846153846</v>
      </c>
      <c r="AJ477" s="51" t="n">
        <f aca="false">IF(LEFT(Cockpit!$C$5,1)="A",H477,IF(CH477=1,(CK477+CI477)/2,IF(LEFT(Cockpit!$C$5,1)="B",(CK477+AL477)/2,MAX((CK477+AL477)/2,H477))))</f>
        <v>8</v>
      </c>
      <c r="AK477" s="50" t="n">
        <f aca="false">AJ477*G477</f>
        <v>408</v>
      </c>
      <c r="AL477" s="50" t="n">
        <f aca="false">ROUNDUP(CK477+MAX(CL477,2*(J477/IF(CG477&gt;0,CG477,MAX(0.1,N(Cockpit!$C$6)))-CK477)),0)</f>
        <v>1</v>
      </c>
      <c r="AM477" s="51" t="n">
        <f aca="false">IF(AI477&gt;0,J477/AI477,-1)</f>
        <v>0</v>
      </c>
      <c r="AN477" s="51" t="n">
        <f aca="false">IF(AND(OR(CF477="L1",CF477="L23",CF477="LIFT"),AI477&gt;0),SUMIFS($AI$7:$AI$1843,$CF$7:$CF$1843,CF477,$AM$7:$AM$1843,"&gt;"&amp;AM477)+SUMIFS($AI$7:$AI$1843,$CF$7:$CF$1843,CF477,$AM$7:$AM$1843,AM477,$BW$7:$BW$1843,"&lt;="&amp;BW477),"")</f>
        <v>28199.9255344467</v>
      </c>
      <c r="AO477" s="58" t="n">
        <f aca="false">IF(AN477="",0,MAX(0,MIN(1,(IF(CF477="L1",Parameter!$H$5,IF(CF477="L23",Parameter!$H$6+Parameter!$H$7,Parameter!$H$5+Parameter!$H$6+Parameter!$H$7))-(AN477-AI477))/AI477)))</f>
        <v>1</v>
      </c>
      <c r="AP477" s="50" t="n">
        <f aca="false">IF(LEFT(Cockpit!$I$5,1)="A",H477,IF(Parameter!$E$30="MAX-Bestand",IF(CH477=1,CI477,IF(LEFT(Cockpit!$I$5,1)="B",AV477,MAX(AV477,H477))),ROUNDUP(AT477,0)))</f>
        <v>8</v>
      </c>
      <c r="AQ477" s="50" t="n">
        <f aca="false">IF(BZ477=1,0,ROUNDUP(AP477/BY477,0))</f>
        <v>1</v>
      </c>
      <c r="AR477" s="52" t="n">
        <f aca="false">IF(CQ477&gt;0,CQ477*MAX(1,AP477/X477),IF(BZ477=1,IF(AP477&lt;=0,0,CD477*MAX(1,IF(H477&gt;0,AP477/H477,1))),IF(R477&gt;0,AQ477/R477,0))/MAX(0.1,N(Parameter!$M$21)))</f>
        <v>0.0384615384615385</v>
      </c>
      <c r="AS477" s="50" t="n">
        <f aca="false">AR477*CB477</f>
        <v>5.96153846153846</v>
      </c>
      <c r="AT477" s="51" t="n">
        <f aca="false">IF(LEFT(Cockpit!$I$5,1)="A",H477,IF(CH477=1,(CK477+CI477)/2,IF(LEFT(Cockpit!$I$5,1)="B",(CK477+AV477)/2,MAX((CK477+AV477)/2,H477))))</f>
        <v>8</v>
      </c>
      <c r="AU477" s="50" t="n">
        <f aca="false">AT477*G477</f>
        <v>408</v>
      </c>
      <c r="AV477" s="50" t="n">
        <f aca="false">ROUNDUP(CK477+MAX(CL477,2*(J477/IF(CG477&gt;0,CG477,MAX(0.1,N(Cockpit!$I$6)))-CK477)),0)</f>
        <v>1</v>
      </c>
      <c r="AW477" s="51" t="n">
        <f aca="false">IF(AS477&gt;0,J477/AS477,-1)</f>
        <v>0</v>
      </c>
      <c r="AX477" s="51" t="n">
        <f aca="false">IF(AND(OR(CF477="L1",CF477="L23",CF477="LIFT"),AS477&gt;0),SUMIFS($AS$7:$AS$1843,$CF$7:$CF$1843,CF477,$AW$7:$AW$1843,"&gt;"&amp;AW477)+SUMIFS($AS$7:$AS$1843,$CF$7:$CF$1843,CF477,$AW$7:$AW$1843,AW477,$BW$7:$BW$1843,"&lt;="&amp;BW477),"")</f>
        <v>33553.0741758242</v>
      </c>
      <c r="AY477" s="58" t="n">
        <f aca="false">IF(AX477="",0,MAX(0,MIN(1,(IF(CF477="L1",Parameter!$H$5,IF(CF477="L23",Parameter!$H$6+Parameter!$H$7,Parameter!$H$5+Parameter!$H$6+Parameter!$H$7))-(AX477-AS477))/AS477)))</f>
        <v>1</v>
      </c>
      <c r="AZ477" s="50" t="n">
        <f aca="false">IF(LEFT(Cockpit!$O$5,1)="A",H477,IF(Parameter!$E$30="MAX-Bestand",IF(CH477=1,CI477,IF(LEFT(Cockpit!$O$5,1)="B",BF477,MAX(BF477,H477))),ROUNDUP(BD477,0)))</f>
        <v>1</v>
      </c>
      <c r="BA477" s="50" t="n">
        <f aca="false">IF(BZ477=1,0,ROUNDUP(AZ477/BY477,0))</f>
        <v>1</v>
      </c>
      <c r="BB477" s="52" t="n">
        <f aca="false">IF(CQ477&gt;0,CQ477*MAX(1,AZ477/X477),IF(BZ477=1,IF(AZ477&lt;=0,0,CD477*MAX(1,IF(H477&gt;0,AZ477/H477,1))),IF(R477&gt;0,BA477/R477,0))/MAX(0.1,N(Parameter!$M$21)))</f>
        <v>0.0384615384615385</v>
      </c>
      <c r="BC477" s="50" t="n">
        <f aca="false">BB477*CB477</f>
        <v>5.96153846153846</v>
      </c>
      <c r="BD477" s="51" t="n">
        <f aca="false">IF(LEFT(Cockpit!$O$5,1)="A",H477,IF(CH477=1,(CK477+CI477)/2,IF(LEFT(Cockpit!$O$5,1)="B",(CK477+BF477)/2,MAX((CK477+BF477)/2,H477))))</f>
        <v>0.5</v>
      </c>
      <c r="BE477" s="50" t="n">
        <f aca="false">BD477*G477</f>
        <v>25.5</v>
      </c>
      <c r="BF477" s="50" t="n">
        <f aca="false">ROUNDUP(CK477+MAX(CL477,2*(J477/IF(CG477&gt;0,CG477,MAX(0.1,N(Cockpit!$O$6)))-CK477)),0)</f>
        <v>1</v>
      </c>
      <c r="BG477" s="51" t="n">
        <f aca="false">IF(BC477&gt;0,J477/BC477,-1)</f>
        <v>0</v>
      </c>
      <c r="BH477" s="51" t="n">
        <f aca="false">IF(AND(OR(CF477="L1",CF477="L23",CF477="LIFT"),BC477&gt;0),SUMIFS($BC$7:$BC$1843,$CF$7:$CF$1843,CF477,$BG$7:$BG$1843,"&gt;"&amp;BG477)+SUMIFS($BC$7:$BC$1843,$CF$7:$CF$1843,CF477,$BG$7:$BG$1843,BG477,$BW$7:$BW$1843,"&lt;="&amp;BW477),"")</f>
        <v>27660.3089495251</v>
      </c>
      <c r="BI477" s="58" t="n">
        <f aca="false">IF(BH477="",0,MAX(0,MIN(1,(IF(CF477="L1",Parameter!$H$5,IF(CF477="L23",Parameter!$H$6+Parameter!$H$7,Parameter!$H$5+Parameter!$H$6+Parameter!$H$7))-(BH477-BC477))/BC477)))</f>
        <v>1</v>
      </c>
      <c r="BJ477" s="48" t="str">
        <f aca="false">IF(AI477&lt;=0,"",IF(CF477="Aussen","Aussenlager",IF(CF477="-","Nicht im Lift",IF(AO477&gt;=1,"Lift",IF(AO477&lt;=0,"Aussenlager","teilweise")))))</f>
        <v>Lift</v>
      </c>
      <c r="BK477" s="48" t="str">
        <f aca="false">IF(AS477&lt;=0,"",IF(CF477="Aussen","Aussenlager",IF(CF477="-","Nicht im Lift",IF(AY477&gt;=1,"Lift",IF(AY477&lt;=0,"Aussenlager","teilweise")))))</f>
        <v>Lift</v>
      </c>
      <c r="BL477" s="48" t="str">
        <f aca="false">IF(BC477&lt;=0,"",IF(CF477="Aussen","Aussenlager",IF(CF477="-","Nicht im Lift",IF(BI477&gt;=1,"Lift",IF(BI477&lt;=0,"Aussenlager","teilweise")))))</f>
        <v>Lift</v>
      </c>
      <c r="BM477" s="48" t="str">
        <f aca="false">IF(A477="","",IF(BV477=1,"Neu; ","")&amp;IF(AND(BV477=0,BQ477&lt;0),"negativer Bestand (Export "&amp;BQ477&amp;"); ","")&amp;IF(J477&lt;=0,"Kein Verbrauch; ","")&amp;IF(CQ477&gt;0,"Lift "&amp;W477&amp;" lt. Liftbericht (Fach "&amp;X477&amp;" Stk); ",IF(CA477=1,"Gebinde geschätzt ("&amp;T477&amp;"); ",IF(BZ477=1,"Lose – Tablare geschätzt; ","")))&amp;IF(H477&gt;AV477,"Überbestand "&amp;ROUND(H477-AV477,0)&amp;" Stk / CHF "&amp;ROUND((H477-AV477)*G477,0)&amp;"; ","")&amp;IF(AND(CH477=1,CI477&lt;CJ477),"MAX &lt; MB+LG; ","")&amp;IF(AND(CP477&gt;0,CO477*10&gt;CP477),"zu hoch für Tablar; ","")&amp;IF(AND(BV477=0,OR(CH477=1,AA477&lt;&gt;"",U477&lt;&gt;"",V477&lt;&gt;"",AB477&lt;&gt;"")),"manuell übersteuert; ","")&amp;IF(AND(BZ477=0,R477=0),"Gebinde unbekannt / Stellmass fehlt; ","")&amp;IF(AND(BZ477=0,N(V477)&lt;=0,N(Q477)&lt;=0),"Menge pro Gebinde fehlt (Ist = 1 Gebinde); ","")&amp;BU477)</f>
        <v>Kein Verbrauch; Überbestand 7 Stk / CHF 357; Neuer Art.</v>
      </c>
      <c r="BN477" s="48"/>
      <c r="BO477" s="48"/>
      <c r="BP477" s="55"/>
      <c r="BQ477" s="50" t="n">
        <v>1</v>
      </c>
      <c r="BR477" s="50" t="n">
        <v>7</v>
      </c>
      <c r="BS477" s="49" t="n">
        <v>51</v>
      </c>
      <c r="BT477" s="50" t="n">
        <v>0</v>
      </c>
      <c r="BU477" s="48" t="s">
        <v>521</v>
      </c>
      <c r="BV477" s="53" t="n">
        <v>0</v>
      </c>
      <c r="BW477" s="53" t="n">
        <v>477</v>
      </c>
      <c r="BX477" s="48" t="str">
        <f aca="false">IF(U477&lt;&gt;"",UPPER(TRIM(U477)),IF(CA477=1,UPPER(VLOOKUP(T477,Parameter!$I$27:$K$29,2,0)),IF(P477="","LOSE",P477)))</f>
        <v>S51</v>
      </c>
      <c r="BY477" s="50" t="n">
        <f aca="false">IF(BX477="LOSE",1,IF(N(V477)&gt;0,V477,IF(CA477=1,MAX(1,N(VLOOKUP(T477,Parameter!$I$27:$K$29,3,0)),H477,N(N477)),IF(N(Q477)&gt;0,Q477,MAX(1,H477)))))</f>
        <v>10</v>
      </c>
      <c r="BZ477" s="53" t="n">
        <f aca="false">IF(BX477="LOSE",1,0)</f>
        <v>0</v>
      </c>
      <c r="CA477" s="53" t="n">
        <f aca="false">IF(AND(U477="",OR(P477="",P477="LOSE"),T477&lt;&gt;"",N(S477)&lt;=0,ISNUMBER(MATCH(T477,Parameter!$I$27:$I$29,0))),1,0)</f>
        <v>0</v>
      </c>
      <c r="CB477" s="53" t="n">
        <f aca="false">IF(CQ477&gt;0,INDEX(Parameter!$H$5:$H$7,W477)/INDEX(Parameter!$E$5:$E$7,W477),IF(AND(BZ477=0,N(IFERROR(VLOOKUP(BX477,'Gebinde-Kategorie'!$A$5:$N$45,14,0),0))&gt;0),VLOOKUP(BX477,'Gebinde-Kategorie'!$A$5:$N$45,14,0)*10+Parameter!$M$23,Parameter!$M$24))</f>
        <v>155</v>
      </c>
      <c r="CC477" s="48" t="str">
        <f aca="false">IF(AND(Parameter!$B$19="Ja",E477&lt;&gt;"",ISNUMBER(MATCH(E477,Parameter!$I$35:$I$52,0))),VLOOKUP(E477,Parameter!$I$35:$J$52,2,0),IFERROR(VLOOKUP(D477,Parameter!$A$35:$C$64,2,0),"Nein"))</f>
        <v>2+3</v>
      </c>
      <c r="CD477" s="52" t="n">
        <f aca="false">IF(BZ477=0,0,IF(N(S477)&gt;0,S477,IFERROR(VLOOKUP(D477,Parameter!$A$35:$C$64,3,0)+0,0)))</f>
        <v>0</v>
      </c>
      <c r="CE477" s="48" t="n">
        <f aca="false">IF(AA477&lt;&gt;"",AA477,Z477)</f>
        <v>3</v>
      </c>
      <c r="CF477" s="48" t="str">
        <f aca="false">IF(OR(CE477=1,CE477=2,CE477=3),IF(Parameter!$E$27="Ja","LIFT",IF(CE477=1,"L1","L23")),IF(CE477="Aussen","Aussen","-"))</f>
        <v>LIFT</v>
      </c>
      <c r="CG477" s="59" t="n">
        <f aca="false">IF(N(AB477)&gt;0,AB477,0)</f>
        <v>0</v>
      </c>
      <c r="CH477" s="53" t="n">
        <f aca="false">IF(ISNUMBER(AE477),1,0)</f>
        <v>0</v>
      </c>
      <c r="CI477" s="50" t="n">
        <f aca="false">N(AE477)</f>
        <v>0</v>
      </c>
      <c r="CJ477" s="50" t="n">
        <f aca="false">N(M477)+N(N477)</f>
        <v>1</v>
      </c>
      <c r="CK477" s="50" t="n">
        <f aca="false">N(M477)</f>
        <v>0</v>
      </c>
      <c r="CL477" s="50" t="n">
        <f aca="false">N(N477)</f>
        <v>1</v>
      </c>
      <c r="CM477" s="50" t="n">
        <f aca="false">ROUNDUP(H477/BY477,0)</f>
        <v>1</v>
      </c>
      <c r="CN477" s="50" t="n">
        <f aca="false">ROUNDUP(CI477/BY477,0)</f>
        <v>0</v>
      </c>
      <c r="CO477" s="53" t="n">
        <f aca="false">IF(BZ477=1,0,IFERROR(VLOOKUP(BX477,'Gebinde-Kategorie'!$A$5:$N$45,5,0)+0,0))</f>
        <v>11</v>
      </c>
      <c r="CP477" s="53" t="n">
        <f aca="false">IFERROR(IF(OR(CE477=1,CE477=2,CE477=3),N(INDEX(Parameter!$I$5:$I$7,CE477)),0),0)</f>
        <v>0</v>
      </c>
      <c r="CQ477" s="52" t="n">
        <f aca="false">IF(AND(Parameter!$B$21="Ja",ISNUMBER(W477),N(X477)&gt;0),IFERROR(N(INDEX(Parameter!$L$5:$L$7,W477))*INDEX(Parameter!$E$5:$E$7,W477)*X477/SUMIFS($X$7:$X$1843,$W$7:$W$1843,W477),0),0)</f>
        <v>0</v>
      </c>
    </row>
    <row r="478" customFormat="false" ht="15" hidden="false" customHeight="false" outlineLevel="0" collapsed="false">
      <c r="A478" s="48" t="s">
        <v>1073</v>
      </c>
      <c r="B478" s="48" t="s">
        <v>1074</v>
      </c>
      <c r="C478" s="48" t="s">
        <v>173</v>
      </c>
      <c r="D478" s="48" t="s">
        <v>193</v>
      </c>
      <c r="E478" s="48" t="s">
        <v>194</v>
      </c>
      <c r="F478" s="48" t="s">
        <v>227</v>
      </c>
      <c r="G478" s="49" t="n">
        <v>6.71</v>
      </c>
      <c r="H478" s="50" t="n">
        <f aca="false">MAX(0,IF(AND(Parameter!$B$21="Ja",ISNUMBER(Y478)),Y478,IF(Parameter!$B$20="Jahresanfang 2025 + Export",BR478+BQ478,BQ478)))</f>
        <v>10</v>
      </c>
      <c r="I478" s="50" t="n">
        <f aca="false">H478*G478</f>
        <v>67.1</v>
      </c>
      <c r="J478" s="50" t="n">
        <f aca="false">BT478*Parameter!$B$18</f>
        <v>12</v>
      </c>
      <c r="K478" s="51" t="n">
        <v>2.5</v>
      </c>
      <c r="L478" s="52" t="n">
        <v>4.8</v>
      </c>
      <c r="M478" s="50" t="n">
        <v>0</v>
      </c>
      <c r="N478" s="50" t="n">
        <v>10</v>
      </c>
      <c r="O478" s="53" t="n">
        <v>14</v>
      </c>
      <c r="P478" s="48" t="s">
        <v>485</v>
      </c>
      <c r="Q478" s="50" t="n">
        <v>15</v>
      </c>
      <c r="R478" s="53" t="n">
        <f aca="false">IF(BZ478=1,0,IFERROR(VLOOKUP(BX478,'Gebinde-Kategorie'!$A$5:$N$45,13,0)+0,0))</f>
        <v>52</v>
      </c>
      <c r="S478" s="54"/>
      <c r="T478" s="55"/>
      <c r="U478" s="55"/>
      <c r="V478" s="55"/>
      <c r="W478" s="48"/>
      <c r="X478" s="50"/>
      <c r="Y478" s="50"/>
      <c r="Z478" s="48" t="n">
        <f aca="false">IF(A478="","",IF(AND(Parameter!$B$21="Ja",ISNUMBER(W478)),W478,IF(CC478="2+3",IF(ISNUMBER(SEARCH("grosser Artikel",BU478)),2,IFERROR(VLOOKUP(BX478,Parameter!$F$35:$G$64,2,0),2)),IF(OR(CC478="Nein",CC478=""),"-",CC478))))</f>
        <v>3</v>
      </c>
      <c r="AA478" s="55"/>
      <c r="AB478" s="56"/>
      <c r="AC478" s="50" t="n">
        <f aca="false">AV478</f>
        <v>10</v>
      </c>
      <c r="AD478" s="50" t="n">
        <f aca="false">MAX(AV478,H478)</f>
        <v>10</v>
      </c>
      <c r="AE478" s="57"/>
      <c r="AF478" s="50" t="n">
        <f aca="false">IF(LEFT(Cockpit!$C$5,1)="A",H478,IF(Parameter!$E$30="MAX-Bestand",IF(CH478=1,CI478,IF(LEFT(Cockpit!$C$5,1)="B",AL478,MAX(AL478,H478))),ROUNDUP(AJ478,0)))</f>
        <v>10</v>
      </c>
      <c r="AG478" s="50" t="n">
        <f aca="false">IF(BZ478=1,0,ROUNDUP(AF478/BY478,0))</f>
        <v>1</v>
      </c>
      <c r="AH478" s="52" t="n">
        <f aca="false">IF(CQ478&gt;0,CQ478*MAX(1,AF478/X478),IF(BZ478=1,IF(AF478&lt;=0,0,CD478*MAX(1,IF(H478&gt;0,AF478/H478,1))),IF(R478&gt;0,AG478/R478,0))/MAX(0.1,N(Parameter!$M$21)))</f>
        <v>0.0192307692307692</v>
      </c>
      <c r="AI478" s="50" t="n">
        <f aca="false">AH478*CB478</f>
        <v>2.98076923076923</v>
      </c>
      <c r="AJ478" s="51" t="n">
        <f aca="false">IF(LEFT(Cockpit!$C$5,1)="A",H478,IF(CH478=1,(CK478+CI478)/2,IF(LEFT(Cockpit!$C$5,1)="B",(CK478+AL478)/2,MAX((CK478+AL478)/2,H478))))</f>
        <v>10</v>
      </c>
      <c r="AK478" s="50" t="n">
        <f aca="false">AJ478*G478</f>
        <v>67.1</v>
      </c>
      <c r="AL478" s="50" t="n">
        <f aca="false">ROUNDUP(CK478+MAX(CL478,2*(J478/IF(CG478&gt;0,CG478,MAX(0.1,N(Cockpit!$C$6)))-CK478)),0)</f>
        <v>10</v>
      </c>
      <c r="AM478" s="51" t="n">
        <f aca="false">IF(AI478&gt;0,J478/AI478,-1)</f>
        <v>4.0258064516129</v>
      </c>
      <c r="AN478" s="51" t="n">
        <f aca="false">IF(AND(OR(CF478="L1",CF478="L23",CF478="LIFT"),AI478&gt;0),SUMIFS($AI$7:$AI$1843,$CF$7:$CF$1843,CF478,$AM$7:$AM$1843,"&gt;"&amp;AM478)+SUMIFS($AI$7:$AI$1843,$CF$7:$CF$1843,CF478,$AM$7:$AM$1843,AM478,$BW$7:$BW$1843,"&lt;="&amp;BW478),"")</f>
        <v>4339.3141025641</v>
      </c>
      <c r="AO478" s="58" t="n">
        <f aca="false">IF(AN478="",0,MAX(0,MIN(1,(IF(CF478="L1",Parameter!$H$5,IF(CF478="L23",Parameter!$H$6+Parameter!$H$7,Parameter!$H$5+Parameter!$H$6+Parameter!$H$7))-(AN478-AI478))/AI478)))</f>
        <v>1</v>
      </c>
      <c r="AP478" s="50" t="n">
        <f aca="false">IF(LEFT(Cockpit!$I$5,1)="A",H478,IF(Parameter!$E$30="MAX-Bestand",IF(CH478=1,CI478,IF(LEFT(Cockpit!$I$5,1)="B",AV478,MAX(AV478,H478))),ROUNDUP(AT478,0)))</f>
        <v>10</v>
      </c>
      <c r="AQ478" s="50" t="n">
        <f aca="false">IF(BZ478=1,0,ROUNDUP(AP478/BY478,0))</f>
        <v>1</v>
      </c>
      <c r="AR478" s="52" t="n">
        <f aca="false">IF(CQ478&gt;0,CQ478*MAX(1,AP478/X478),IF(BZ478=1,IF(AP478&lt;=0,0,CD478*MAX(1,IF(H478&gt;0,AP478/H478,1))),IF(R478&gt;0,AQ478/R478,0))/MAX(0.1,N(Parameter!$M$21)))</f>
        <v>0.0192307692307692</v>
      </c>
      <c r="AS478" s="50" t="n">
        <f aca="false">AR478*CB478</f>
        <v>2.98076923076923</v>
      </c>
      <c r="AT478" s="51" t="n">
        <f aca="false">IF(LEFT(Cockpit!$I$5,1)="A",H478,IF(CH478=1,(CK478+CI478)/2,IF(LEFT(Cockpit!$I$5,1)="B",(CK478+AV478)/2,MAX((CK478+AV478)/2,H478))))</f>
        <v>10</v>
      </c>
      <c r="AU478" s="50" t="n">
        <f aca="false">AT478*G478</f>
        <v>67.1</v>
      </c>
      <c r="AV478" s="50" t="n">
        <f aca="false">ROUNDUP(CK478+MAX(CL478,2*(J478/IF(CG478&gt;0,CG478,MAX(0.1,N(Cockpit!$I$6)))-CK478)),0)</f>
        <v>10</v>
      </c>
      <c r="AW478" s="51" t="n">
        <f aca="false">IF(AS478&gt;0,J478/AS478,-1)</f>
        <v>4.0258064516129</v>
      </c>
      <c r="AX478" s="51" t="n">
        <f aca="false">IF(AND(OR(CF478="L1",CF478="L23",CF478="LIFT"),AS478&gt;0),SUMIFS($AS$7:$AS$1843,$CF$7:$CF$1843,CF478,$AW$7:$AW$1843,"&gt;"&amp;AW478)+SUMIFS($AS$7:$AS$1843,$CF$7:$CF$1843,CF478,$AW$7:$AW$1843,AW478,$BW$7:$BW$1843,"&lt;="&amp;BW478),"")</f>
        <v>4936.38827838828</v>
      </c>
      <c r="AY478" s="58" t="n">
        <f aca="false">IF(AX478="",0,MAX(0,MIN(1,(IF(CF478="L1",Parameter!$H$5,IF(CF478="L23",Parameter!$H$6+Parameter!$H$7,Parameter!$H$5+Parameter!$H$6+Parameter!$H$7))-(AX478-AS478))/AS478)))</f>
        <v>1</v>
      </c>
      <c r="AZ478" s="50" t="n">
        <f aca="false">IF(LEFT(Cockpit!$O$5,1)="A",H478,IF(Parameter!$E$30="MAX-Bestand",IF(CH478=1,CI478,IF(LEFT(Cockpit!$O$5,1)="B",BF478,MAX(BF478,H478))),ROUNDUP(BD478,0)))</f>
        <v>5</v>
      </c>
      <c r="BA478" s="50" t="n">
        <f aca="false">IF(BZ478=1,0,ROUNDUP(AZ478/BY478,0))</f>
        <v>1</v>
      </c>
      <c r="BB478" s="52" t="n">
        <f aca="false">IF(CQ478&gt;0,CQ478*MAX(1,AZ478/X478),IF(BZ478=1,IF(AZ478&lt;=0,0,CD478*MAX(1,IF(H478&gt;0,AZ478/H478,1))),IF(R478&gt;0,BA478/R478,0))/MAX(0.1,N(Parameter!$M$21)))</f>
        <v>0.0192307692307692</v>
      </c>
      <c r="BC478" s="50" t="n">
        <f aca="false">BB478*CB478</f>
        <v>2.98076923076923</v>
      </c>
      <c r="BD478" s="51" t="n">
        <f aca="false">IF(LEFT(Cockpit!$O$5,1)="A",H478,IF(CH478=1,(CK478+CI478)/2,IF(LEFT(Cockpit!$O$5,1)="B",(CK478+BF478)/2,MAX((CK478+BF478)/2,H478))))</f>
        <v>5</v>
      </c>
      <c r="BE478" s="50" t="n">
        <f aca="false">BD478*G478</f>
        <v>33.55</v>
      </c>
      <c r="BF478" s="50" t="n">
        <f aca="false">ROUNDUP(CK478+MAX(CL478,2*(J478/IF(CG478&gt;0,CG478,MAX(0.1,N(Cockpit!$O$6)))-CK478)),0)</f>
        <v>10</v>
      </c>
      <c r="BG478" s="51" t="n">
        <f aca="false">IF(BC478&gt;0,J478/BC478,-1)</f>
        <v>4.0258064516129</v>
      </c>
      <c r="BH478" s="51" t="n">
        <f aca="false">IF(AND(OR(CF478="L1",CF478="L23",CF478="LIFT"),BC478&gt;0),SUMIFS($BC$7:$BC$1843,$CF$7:$CF$1843,CF478,$BG$7:$BG$1843,"&gt;"&amp;BG478)+SUMIFS($BC$7:$BC$1843,$CF$7:$CF$1843,CF478,$BG$7:$BG$1843,BG478,$BW$7:$BW$1843,"&lt;="&amp;BW478),"")</f>
        <v>4046.50686813187</v>
      </c>
      <c r="BI478" s="58" t="n">
        <f aca="false">IF(BH478="",0,MAX(0,MIN(1,(IF(CF478="L1",Parameter!$H$5,IF(CF478="L23",Parameter!$H$6+Parameter!$H$7,Parameter!$H$5+Parameter!$H$6+Parameter!$H$7))-(BH478-BC478))/BC478)))</f>
        <v>1</v>
      </c>
      <c r="BJ478" s="48" t="str">
        <f aca="false">IF(AI478&lt;=0,"",IF(CF478="Aussen","Aussenlager",IF(CF478="-","Nicht im Lift",IF(AO478&gt;=1,"Lift",IF(AO478&lt;=0,"Aussenlager","teilweise")))))</f>
        <v>Lift</v>
      </c>
      <c r="BK478" s="48" t="str">
        <f aca="false">IF(AS478&lt;=0,"",IF(CF478="Aussen","Aussenlager",IF(CF478="-","Nicht im Lift",IF(AY478&gt;=1,"Lift",IF(AY478&lt;=0,"Aussenlager","teilweise")))))</f>
        <v>Lift</v>
      </c>
      <c r="BL478" s="48" t="str">
        <f aca="false">IF(BC478&lt;=0,"",IF(CF478="Aussen","Aussenlager",IF(CF478="-","Nicht im Lift",IF(BI478&gt;=1,"Lift",IF(BI478&lt;=0,"Aussenlager","teilweise")))))</f>
        <v>Lift</v>
      </c>
      <c r="BM478" s="48" t="str">
        <f aca="false">IF(A478="","",IF(BV478=1,"Neu; ","")&amp;IF(AND(BV478=0,BQ478&lt;0),"negativer Bestand (Export "&amp;BQ478&amp;"); ","")&amp;IF(J478&lt;=0,"Kein Verbrauch; ","")&amp;IF(CQ478&gt;0,"Lift "&amp;W478&amp;" lt. Liftbericht (Fach "&amp;X478&amp;" Stk); ",IF(CA478=1,"Gebinde geschätzt ("&amp;T478&amp;"); ",IF(BZ478=1,"Lose – Tablare geschätzt; ","")))&amp;IF(H478&gt;AV478,"Überbestand "&amp;ROUND(H478-AV478,0)&amp;" Stk / CHF "&amp;ROUND((H478-AV478)*G478,0)&amp;"; ","")&amp;IF(AND(CH478=1,CI478&lt;CJ478),"MAX &lt; MB+LG; ","")&amp;IF(AND(CP478&gt;0,CO478*10&gt;CP478),"zu hoch für Tablar; ","")&amp;IF(AND(BV478=0,OR(CH478=1,AA478&lt;&gt;"",U478&lt;&gt;"",V478&lt;&gt;"",AB478&lt;&gt;"")),"manuell übersteuert; ","")&amp;IF(AND(BZ478=0,R478=0),"Gebinde unbekannt / Stellmass fehlt; ","")&amp;IF(AND(BZ478=0,N(V478)&lt;=0,N(Q478)&lt;=0),"Menge pro Gebinde fehlt (Ist = 1 Gebinde); ","")&amp;BU478)</f>
        <v/>
      </c>
      <c r="BN478" s="48"/>
      <c r="BO478" s="48"/>
      <c r="BP478" s="55"/>
      <c r="BQ478" s="50" t="n">
        <v>7</v>
      </c>
      <c r="BR478" s="50" t="n">
        <v>3</v>
      </c>
      <c r="BS478" s="49" t="n">
        <v>50.21</v>
      </c>
      <c r="BT478" s="50" t="n">
        <v>12</v>
      </c>
      <c r="BU478" s="48"/>
      <c r="BV478" s="53" t="n">
        <v>0</v>
      </c>
      <c r="BW478" s="53" t="n">
        <v>478</v>
      </c>
      <c r="BX478" s="48" t="str">
        <f aca="false">IF(U478&lt;&gt;"",UPPER(TRIM(U478)),IF(CA478=1,UPPER(VLOOKUP(T478,Parameter!$I$27:$K$29,2,0)),IF(P478="","LOSE",P478)))</f>
        <v>S33</v>
      </c>
      <c r="BY478" s="50" t="n">
        <f aca="false">IF(BX478="LOSE",1,IF(N(V478)&gt;0,V478,IF(CA478=1,MAX(1,N(VLOOKUP(T478,Parameter!$I$27:$K$29,3,0)),H478,N(N478)),IF(N(Q478)&gt;0,Q478,MAX(1,H478)))))</f>
        <v>15</v>
      </c>
      <c r="BZ478" s="53" t="n">
        <f aca="false">IF(BX478="LOSE",1,0)</f>
        <v>0</v>
      </c>
      <c r="CA478" s="53" t="n">
        <f aca="false">IF(AND(U478="",OR(P478="",P478="LOSE"),T478&lt;&gt;"",N(S478)&lt;=0,ISNUMBER(MATCH(T478,Parameter!$I$27:$I$29,0))),1,0)</f>
        <v>0</v>
      </c>
      <c r="CB478" s="53" t="n">
        <f aca="false">IF(CQ478&gt;0,INDEX(Parameter!$H$5:$H$7,W478)/INDEX(Parameter!$E$5:$E$7,W478),IF(AND(BZ478=0,N(IFERROR(VLOOKUP(BX478,'Gebinde-Kategorie'!$A$5:$N$45,14,0),0))&gt;0),VLOOKUP(BX478,'Gebinde-Kategorie'!$A$5:$N$45,14,0)*10+Parameter!$M$23,Parameter!$M$24))</f>
        <v>155</v>
      </c>
      <c r="CC478" s="48" t="str">
        <f aca="false">IF(AND(Parameter!$B$19="Ja",E478&lt;&gt;"",ISNUMBER(MATCH(E478,Parameter!$I$35:$I$52,0))),VLOOKUP(E478,Parameter!$I$35:$J$52,2,0),IFERROR(VLOOKUP(D478,Parameter!$A$35:$C$64,2,0),"Nein"))</f>
        <v>2+3</v>
      </c>
      <c r="CD478" s="52" t="n">
        <f aca="false">IF(BZ478=0,0,IF(N(S478)&gt;0,S478,IFERROR(VLOOKUP(D478,Parameter!$A$35:$C$64,3,0)+0,0)))</f>
        <v>0</v>
      </c>
      <c r="CE478" s="48" t="n">
        <f aca="false">IF(AA478&lt;&gt;"",AA478,Z478)</f>
        <v>3</v>
      </c>
      <c r="CF478" s="48" t="str">
        <f aca="false">IF(OR(CE478=1,CE478=2,CE478=3),IF(Parameter!$E$27="Ja","LIFT",IF(CE478=1,"L1","L23")),IF(CE478="Aussen","Aussen","-"))</f>
        <v>LIFT</v>
      </c>
      <c r="CG478" s="59" t="n">
        <f aca="false">IF(N(AB478)&gt;0,AB478,0)</f>
        <v>0</v>
      </c>
      <c r="CH478" s="53" t="n">
        <f aca="false">IF(ISNUMBER(AE478),1,0)</f>
        <v>0</v>
      </c>
      <c r="CI478" s="50" t="n">
        <f aca="false">N(AE478)</f>
        <v>0</v>
      </c>
      <c r="CJ478" s="50" t="n">
        <f aca="false">N(M478)+N(N478)</f>
        <v>10</v>
      </c>
      <c r="CK478" s="50" t="n">
        <f aca="false">N(M478)</f>
        <v>0</v>
      </c>
      <c r="CL478" s="50" t="n">
        <f aca="false">N(N478)</f>
        <v>10</v>
      </c>
      <c r="CM478" s="50" t="n">
        <f aca="false">ROUNDUP(H478/BY478,0)</f>
        <v>1</v>
      </c>
      <c r="CN478" s="50" t="n">
        <f aca="false">ROUNDUP(CI478/BY478,0)</f>
        <v>0</v>
      </c>
      <c r="CO478" s="53" t="n">
        <f aca="false">IF(BZ478=1,0,IFERROR(VLOOKUP(BX478,'Gebinde-Kategorie'!$A$5:$N$45,5,0)+0,0))</f>
        <v>8</v>
      </c>
      <c r="CP478" s="53" t="n">
        <f aca="false">IFERROR(IF(OR(CE478=1,CE478=2,CE478=3),N(INDEX(Parameter!$I$5:$I$7,CE478)),0),0)</f>
        <v>0</v>
      </c>
      <c r="CQ478" s="52" t="n">
        <f aca="false">IF(AND(Parameter!$B$21="Ja",ISNUMBER(W478),N(X478)&gt;0),IFERROR(N(INDEX(Parameter!$L$5:$L$7,W478))*INDEX(Parameter!$E$5:$E$7,W478)*X478/SUMIFS($X$7:$X$1843,$W$7:$W$1843,W478),0),0)</f>
        <v>0</v>
      </c>
    </row>
    <row r="479" customFormat="false" ht="15" hidden="false" customHeight="false" outlineLevel="0" collapsed="false">
      <c r="A479" s="48" t="s">
        <v>1075</v>
      </c>
      <c r="B479" s="48" t="s">
        <v>956</v>
      </c>
      <c r="C479" s="48" t="s">
        <v>173</v>
      </c>
      <c r="D479" s="48" t="s">
        <v>193</v>
      </c>
      <c r="E479" s="48" t="s">
        <v>194</v>
      </c>
      <c r="F479" s="48" t="s">
        <v>227</v>
      </c>
      <c r="G479" s="49" t="n">
        <v>6.27</v>
      </c>
      <c r="H479" s="50" t="n">
        <f aca="false">MAX(0,IF(AND(Parameter!$B$21="Ja",ISNUMBER(Y479)),Y479,IF(Parameter!$B$20="Jahresanfang 2025 + Export",BR479+BQ479,BQ479)))</f>
        <v>208</v>
      </c>
      <c r="I479" s="50" t="n">
        <f aca="false">H479*G479</f>
        <v>1304.16</v>
      </c>
      <c r="J479" s="50" t="n">
        <f aca="false">BT479*Parameter!$B$18</f>
        <v>0</v>
      </c>
      <c r="K479" s="51" t="n">
        <v>204.5</v>
      </c>
      <c r="L479" s="52" t="n">
        <v>0</v>
      </c>
      <c r="M479" s="50" t="n">
        <v>0</v>
      </c>
      <c r="N479" s="50" t="n">
        <v>1</v>
      </c>
      <c r="O479" s="53" t="n">
        <v>35</v>
      </c>
      <c r="P479" s="48" t="s">
        <v>195</v>
      </c>
      <c r="Q479" s="50" t="n">
        <v>210</v>
      </c>
      <c r="R479" s="53" t="n">
        <f aca="false">IF(BZ479=1,0,IFERROR(VLOOKUP(BX479,'Gebinde-Kategorie'!$A$5:$N$45,13,0)+0,0))</f>
        <v>12</v>
      </c>
      <c r="S479" s="54"/>
      <c r="T479" s="55"/>
      <c r="U479" s="55"/>
      <c r="V479" s="55"/>
      <c r="W479" s="48"/>
      <c r="X479" s="50"/>
      <c r="Y479" s="50"/>
      <c r="Z479" s="48" t="n">
        <f aca="false">IF(A479="","",IF(AND(Parameter!$B$21="Ja",ISNUMBER(W479)),W479,IF(CC479="2+3",IF(ISNUMBER(SEARCH("grosser Artikel",BU479)),2,IFERROR(VLOOKUP(BX479,Parameter!$F$35:$G$64,2,0),2)),IF(OR(CC479="Nein",CC479=""),"-",CC479))))</f>
        <v>2</v>
      </c>
      <c r="AA479" s="55"/>
      <c r="AB479" s="56"/>
      <c r="AC479" s="50" t="n">
        <f aca="false">AV479</f>
        <v>1</v>
      </c>
      <c r="AD479" s="50" t="n">
        <f aca="false">MAX(AV479,H479)</f>
        <v>208</v>
      </c>
      <c r="AE479" s="57"/>
      <c r="AF479" s="50" t="n">
        <f aca="false">IF(LEFT(Cockpit!$C$5,1)="A",H479,IF(Parameter!$E$30="MAX-Bestand",IF(CH479=1,CI479,IF(LEFT(Cockpit!$C$5,1)="B",AL479,MAX(AL479,H479))),ROUNDUP(AJ479,0)))</f>
        <v>208</v>
      </c>
      <c r="AG479" s="50" t="n">
        <f aca="false">IF(BZ479=1,0,ROUNDUP(AF479/BY479,0))</f>
        <v>1</v>
      </c>
      <c r="AH479" s="52" t="n">
        <f aca="false">IF(CQ479&gt;0,CQ479*MAX(1,AF479/X479),IF(BZ479=1,IF(AF479&lt;=0,0,CD479*MAX(1,IF(H479&gt;0,AF479/H479,1))),IF(R479&gt;0,AG479/R479,0))/MAX(0.1,N(Parameter!$M$21)))</f>
        <v>0.0833333333333333</v>
      </c>
      <c r="AI479" s="50" t="n">
        <f aca="false">AH479*CB479</f>
        <v>12.0833333333333</v>
      </c>
      <c r="AJ479" s="51" t="n">
        <f aca="false">IF(LEFT(Cockpit!$C$5,1)="A",H479,IF(CH479=1,(CK479+CI479)/2,IF(LEFT(Cockpit!$C$5,1)="B",(CK479+AL479)/2,MAX((CK479+AL479)/2,H479))))</f>
        <v>208</v>
      </c>
      <c r="AK479" s="50" t="n">
        <f aca="false">AJ479*G479</f>
        <v>1304.16</v>
      </c>
      <c r="AL479" s="50" t="n">
        <f aca="false">ROUNDUP(CK479+MAX(CL479,2*(J479/IF(CG479&gt;0,CG479,MAX(0.1,N(Cockpit!$C$6)))-CK479)),0)</f>
        <v>1</v>
      </c>
      <c r="AM479" s="51" t="n">
        <f aca="false">IF(AI479&gt;0,J479/AI479,-1)</f>
        <v>0</v>
      </c>
      <c r="AN479" s="51" t="n">
        <f aca="false">IF(AND(OR(CF479="L1",CF479="L23",CF479="LIFT"),AI479&gt;0),SUMIFS($AI$7:$AI$1843,$CF$7:$CF$1843,CF479,$AM$7:$AM$1843,"&gt;"&amp;AM479)+SUMIFS($AI$7:$AI$1843,$CF$7:$CF$1843,CF479,$AM$7:$AM$1843,AM479,$BW$7:$BW$1843,"&lt;="&amp;BW479),"")</f>
        <v>28212.0088677801</v>
      </c>
      <c r="AO479" s="58" t="n">
        <f aca="false">IF(AN479="",0,MAX(0,MIN(1,(IF(CF479="L1",Parameter!$H$5,IF(CF479="L23",Parameter!$H$6+Parameter!$H$7,Parameter!$H$5+Parameter!$H$6+Parameter!$H$7))-(AN479-AI479))/AI479)))</f>
        <v>1</v>
      </c>
      <c r="AP479" s="50" t="n">
        <f aca="false">IF(LEFT(Cockpit!$I$5,1)="A",H479,IF(Parameter!$E$30="MAX-Bestand",IF(CH479=1,CI479,IF(LEFT(Cockpit!$I$5,1)="B",AV479,MAX(AV479,H479))),ROUNDUP(AT479,0)))</f>
        <v>208</v>
      </c>
      <c r="AQ479" s="50" t="n">
        <f aca="false">IF(BZ479=1,0,ROUNDUP(AP479/BY479,0))</f>
        <v>1</v>
      </c>
      <c r="AR479" s="52" t="n">
        <f aca="false">IF(CQ479&gt;0,CQ479*MAX(1,AP479/X479),IF(BZ479=1,IF(AP479&lt;=0,0,CD479*MAX(1,IF(H479&gt;0,AP479/H479,1))),IF(R479&gt;0,AQ479/R479,0))/MAX(0.1,N(Parameter!$M$21)))</f>
        <v>0.0833333333333333</v>
      </c>
      <c r="AS479" s="50" t="n">
        <f aca="false">AR479*CB479</f>
        <v>12.0833333333333</v>
      </c>
      <c r="AT479" s="51" t="n">
        <f aca="false">IF(LEFT(Cockpit!$I$5,1)="A",H479,IF(CH479=1,(CK479+CI479)/2,IF(LEFT(Cockpit!$I$5,1)="B",(CK479+AV479)/2,MAX((CK479+AV479)/2,H479))))</f>
        <v>208</v>
      </c>
      <c r="AU479" s="50" t="n">
        <f aca="false">AT479*G479</f>
        <v>1304.16</v>
      </c>
      <c r="AV479" s="50" t="n">
        <f aca="false">ROUNDUP(CK479+MAX(CL479,2*(J479/IF(CG479&gt;0,CG479,MAX(0.1,N(Cockpit!$I$6)))-CK479)),0)</f>
        <v>1</v>
      </c>
      <c r="AW479" s="51" t="n">
        <f aca="false">IF(AS479&gt;0,J479/AS479,-1)</f>
        <v>0</v>
      </c>
      <c r="AX479" s="51" t="n">
        <f aca="false">IF(AND(OR(CF479="L1",CF479="L23",CF479="LIFT"),AS479&gt;0),SUMIFS($AS$7:$AS$1843,$CF$7:$CF$1843,CF479,$AW$7:$AW$1843,"&gt;"&amp;AW479)+SUMIFS($AS$7:$AS$1843,$CF$7:$CF$1843,CF479,$AW$7:$AW$1843,AW479,$BW$7:$BW$1843,"&lt;="&amp;BW479),"")</f>
        <v>33565.1575091575</v>
      </c>
      <c r="AY479" s="58" t="n">
        <f aca="false">IF(AX479="",0,MAX(0,MIN(1,(IF(CF479="L1",Parameter!$H$5,IF(CF479="L23",Parameter!$H$6+Parameter!$H$7,Parameter!$H$5+Parameter!$H$6+Parameter!$H$7))-(AX479-AS479))/AS479)))</f>
        <v>1</v>
      </c>
      <c r="AZ479" s="50" t="n">
        <f aca="false">IF(LEFT(Cockpit!$O$5,1)="A",H479,IF(Parameter!$E$30="MAX-Bestand",IF(CH479=1,CI479,IF(LEFT(Cockpit!$O$5,1)="B",BF479,MAX(BF479,H479))),ROUNDUP(BD479,0)))</f>
        <v>1</v>
      </c>
      <c r="BA479" s="50" t="n">
        <f aca="false">IF(BZ479=1,0,ROUNDUP(AZ479/BY479,0))</f>
        <v>1</v>
      </c>
      <c r="BB479" s="52" t="n">
        <f aca="false">IF(CQ479&gt;0,CQ479*MAX(1,AZ479/X479),IF(BZ479=1,IF(AZ479&lt;=0,0,CD479*MAX(1,IF(H479&gt;0,AZ479/H479,1))),IF(R479&gt;0,BA479/R479,0))/MAX(0.1,N(Parameter!$M$21)))</f>
        <v>0.0833333333333333</v>
      </c>
      <c r="BC479" s="50" t="n">
        <f aca="false">BB479*CB479</f>
        <v>12.0833333333333</v>
      </c>
      <c r="BD479" s="51" t="n">
        <f aca="false">IF(LEFT(Cockpit!$O$5,1)="A",H479,IF(CH479=1,(CK479+CI479)/2,IF(LEFT(Cockpit!$O$5,1)="B",(CK479+BF479)/2,MAX((CK479+BF479)/2,H479))))</f>
        <v>0.5</v>
      </c>
      <c r="BE479" s="50" t="n">
        <f aca="false">BD479*G479</f>
        <v>3.135</v>
      </c>
      <c r="BF479" s="50" t="n">
        <f aca="false">ROUNDUP(CK479+MAX(CL479,2*(J479/IF(CG479&gt;0,CG479,MAX(0.1,N(Cockpit!$O$6)))-CK479)),0)</f>
        <v>1</v>
      </c>
      <c r="BG479" s="51" t="n">
        <f aca="false">IF(BC479&gt;0,J479/BC479,-1)</f>
        <v>0</v>
      </c>
      <c r="BH479" s="51" t="n">
        <f aca="false">IF(AND(OR(CF479="L1",CF479="L23",CF479="LIFT"),BC479&gt;0),SUMIFS($BC$7:$BC$1843,$CF$7:$CF$1843,CF479,$BG$7:$BG$1843,"&gt;"&amp;BG479)+SUMIFS($BC$7:$BC$1843,$CF$7:$CF$1843,CF479,$BG$7:$BG$1843,BG479,$BW$7:$BW$1843,"&lt;="&amp;BW479),"")</f>
        <v>27672.3922828584</v>
      </c>
      <c r="BI479" s="58" t="n">
        <f aca="false">IF(BH479="",0,MAX(0,MIN(1,(IF(CF479="L1",Parameter!$H$5,IF(CF479="L23",Parameter!$H$6+Parameter!$H$7,Parameter!$H$5+Parameter!$H$6+Parameter!$H$7))-(BH479-BC479))/BC479)))</f>
        <v>1</v>
      </c>
      <c r="BJ479" s="48" t="str">
        <f aca="false">IF(AI479&lt;=0,"",IF(CF479="Aussen","Aussenlager",IF(CF479="-","Nicht im Lift",IF(AO479&gt;=1,"Lift",IF(AO479&lt;=0,"Aussenlager","teilweise")))))</f>
        <v>Lift</v>
      </c>
      <c r="BK479" s="48" t="str">
        <f aca="false">IF(AS479&lt;=0,"",IF(CF479="Aussen","Aussenlager",IF(CF479="-","Nicht im Lift",IF(AY479&gt;=1,"Lift",IF(AY479&lt;=0,"Aussenlager","teilweise")))))</f>
        <v>Lift</v>
      </c>
      <c r="BL479" s="48" t="str">
        <f aca="false">IF(BC479&lt;=0,"",IF(CF479="Aussen","Aussenlager",IF(CF479="-","Nicht im Lift",IF(BI479&gt;=1,"Lift",IF(BI479&lt;=0,"Aussenlager","teilweise")))))</f>
        <v>Lift</v>
      </c>
      <c r="BM479" s="48" t="str">
        <f aca="false">IF(A479="","",IF(BV479=1,"Neu; ","")&amp;IF(AND(BV479=0,BQ479&lt;0),"negativer Bestand (Export "&amp;BQ479&amp;"); ","")&amp;IF(J479&lt;=0,"Kein Verbrauch; ","")&amp;IF(CQ479&gt;0,"Lift "&amp;W479&amp;" lt. Liftbericht (Fach "&amp;X479&amp;" Stk); ",IF(CA479=1,"Gebinde geschätzt ("&amp;T479&amp;"); ",IF(BZ479=1,"Lose – Tablare geschätzt; ","")))&amp;IF(H479&gt;AV479,"Überbestand "&amp;ROUND(H479-AV479,0)&amp;" Stk / CHF "&amp;ROUND((H479-AV479)*G479,0)&amp;"; ","")&amp;IF(AND(CH479=1,CI479&lt;CJ479),"MAX &lt; MB+LG; ","")&amp;IF(AND(CP479&gt;0,CO479*10&gt;CP479),"zu hoch für Tablar; ","")&amp;IF(AND(BV479=0,OR(CH479=1,AA479&lt;&gt;"",U479&lt;&gt;"",V479&lt;&gt;"",AB479&lt;&gt;"")),"manuell übersteuert; ","")&amp;IF(AND(BZ479=0,R479=0),"Gebinde unbekannt / Stellmass fehlt; ","")&amp;IF(AND(BZ479=0,N(V479)&lt;=0,N(Q479)&lt;=0),"Menge pro Gebinde fehlt (Ist = 1 Gebinde); ","")&amp;BU479)</f>
        <v>Kein Verbrauch; Überbestand 207 Stk / CHF 1298; </v>
      </c>
      <c r="BN479" s="48"/>
      <c r="BO479" s="48"/>
      <c r="BP479" s="55"/>
      <c r="BQ479" s="50" t="n">
        <v>8</v>
      </c>
      <c r="BR479" s="50" t="n">
        <v>200</v>
      </c>
      <c r="BS479" s="49" t="n">
        <v>50.16</v>
      </c>
      <c r="BT479" s="50" t="n">
        <v>0</v>
      </c>
      <c r="BU479" s="48"/>
      <c r="BV479" s="53" t="n">
        <v>0</v>
      </c>
      <c r="BW479" s="53" t="n">
        <v>479</v>
      </c>
      <c r="BX479" s="48" t="str">
        <f aca="false">IF(U479&lt;&gt;"",UPPER(TRIM(U479)),IF(CA479=1,UPPER(VLOOKUP(T479,Parameter!$I$27:$K$29,2,0)),IF(P479="","LOSE",P479)))</f>
        <v>S61</v>
      </c>
      <c r="BY479" s="50" t="n">
        <f aca="false">IF(BX479="LOSE",1,IF(N(V479)&gt;0,V479,IF(CA479=1,MAX(1,N(VLOOKUP(T479,Parameter!$I$27:$K$29,3,0)),H479,N(N479)),IF(N(Q479)&gt;0,Q479,MAX(1,H479)))))</f>
        <v>210</v>
      </c>
      <c r="BZ479" s="53" t="n">
        <f aca="false">IF(BX479="LOSE",1,0)</f>
        <v>0</v>
      </c>
      <c r="CA479" s="53" t="n">
        <f aca="false">IF(AND(U479="",OR(P479="",P479="LOSE"),T479&lt;&gt;"",N(S479)&lt;=0,ISNUMBER(MATCH(T479,Parameter!$I$27:$I$29,0))),1,0)</f>
        <v>0</v>
      </c>
      <c r="CB479" s="53" t="n">
        <f aca="false">IF(CQ479&gt;0,INDEX(Parameter!$H$5:$H$7,W479)/INDEX(Parameter!$E$5:$E$7,W479),IF(AND(BZ479=0,N(IFERROR(VLOOKUP(BX479,'Gebinde-Kategorie'!$A$5:$N$45,14,0),0))&gt;0),VLOOKUP(BX479,'Gebinde-Kategorie'!$A$5:$N$45,14,0)*10+Parameter!$M$23,Parameter!$M$24))</f>
        <v>145</v>
      </c>
      <c r="CC479" s="48" t="str">
        <f aca="false">IF(AND(Parameter!$B$19="Ja",E479&lt;&gt;"",ISNUMBER(MATCH(E479,Parameter!$I$35:$I$52,0))),VLOOKUP(E479,Parameter!$I$35:$J$52,2,0),IFERROR(VLOOKUP(D479,Parameter!$A$35:$C$64,2,0),"Nein"))</f>
        <v>2+3</v>
      </c>
      <c r="CD479" s="52" t="n">
        <f aca="false">IF(BZ479=0,0,IF(N(S479)&gt;0,S479,IFERROR(VLOOKUP(D479,Parameter!$A$35:$C$64,3,0)+0,0)))</f>
        <v>0</v>
      </c>
      <c r="CE479" s="48" t="n">
        <f aca="false">IF(AA479&lt;&gt;"",AA479,Z479)</f>
        <v>2</v>
      </c>
      <c r="CF479" s="48" t="str">
        <f aca="false">IF(OR(CE479=1,CE479=2,CE479=3),IF(Parameter!$E$27="Ja","LIFT",IF(CE479=1,"L1","L23")),IF(CE479="Aussen","Aussen","-"))</f>
        <v>LIFT</v>
      </c>
      <c r="CG479" s="59" t="n">
        <f aca="false">IF(N(AB479)&gt;0,AB479,0)</f>
        <v>0</v>
      </c>
      <c r="CH479" s="53" t="n">
        <f aca="false">IF(ISNUMBER(AE479),1,0)</f>
        <v>0</v>
      </c>
      <c r="CI479" s="50" t="n">
        <f aca="false">N(AE479)</f>
        <v>0</v>
      </c>
      <c r="CJ479" s="50" t="n">
        <f aca="false">N(M479)+N(N479)</f>
        <v>1</v>
      </c>
      <c r="CK479" s="50" t="n">
        <f aca="false">N(M479)</f>
        <v>0</v>
      </c>
      <c r="CL479" s="50" t="n">
        <f aca="false">N(N479)</f>
        <v>1</v>
      </c>
      <c r="CM479" s="50" t="n">
        <f aca="false">ROUNDUP(H479/BY479,0)</f>
        <v>1</v>
      </c>
      <c r="CN479" s="50" t="n">
        <f aca="false">ROUNDUP(CI479/BY479,0)</f>
        <v>0</v>
      </c>
      <c r="CO479" s="53" t="n">
        <f aca="false">IF(BZ479=1,0,IFERROR(VLOOKUP(BX479,'Gebinde-Kategorie'!$A$5:$N$45,5,0)+0,0))</f>
        <v>11</v>
      </c>
      <c r="CP479" s="53" t="n">
        <f aca="false">IFERROR(IF(OR(CE479=1,CE479=2,CE479=3),N(INDEX(Parameter!$I$5:$I$7,CE479)),0),0)</f>
        <v>0</v>
      </c>
      <c r="CQ479" s="52" t="n">
        <f aca="false">IF(AND(Parameter!$B$21="Ja",ISNUMBER(W479),N(X479)&gt;0),IFERROR(N(INDEX(Parameter!$L$5:$L$7,W479))*INDEX(Parameter!$E$5:$E$7,W479)*X479/SUMIFS($X$7:$X$1843,$W$7:$W$1843,W479),0),0)</f>
        <v>0</v>
      </c>
    </row>
    <row r="480" customFormat="false" ht="15" hidden="false" customHeight="false" outlineLevel="0" collapsed="false">
      <c r="A480" s="48" t="s">
        <v>1076</v>
      </c>
      <c r="B480" s="48" t="s">
        <v>1077</v>
      </c>
      <c r="C480" s="48" t="s">
        <v>173</v>
      </c>
      <c r="D480" s="48" t="s">
        <v>193</v>
      </c>
      <c r="E480" s="48"/>
      <c r="F480" s="48" t="s">
        <v>227</v>
      </c>
      <c r="G480" s="49" t="n">
        <v>2</v>
      </c>
      <c r="H480" s="50" t="n">
        <f aca="false">MAX(0,IF(AND(Parameter!$B$21="Ja",ISNUMBER(Y480)),Y480,IF(Parameter!$B$20="Jahresanfang 2025 + Export",BR480+BQ480,BQ480)))</f>
        <v>25</v>
      </c>
      <c r="I480" s="50" t="n">
        <f aca="false">H480*G480</f>
        <v>50</v>
      </c>
      <c r="J480" s="50" t="n">
        <f aca="false">BT480*Parameter!$B$18</f>
        <v>0</v>
      </c>
      <c r="K480" s="51" t="n">
        <v>0</v>
      </c>
      <c r="L480" s="52" t="n">
        <v>0</v>
      </c>
      <c r="M480" s="50" t="n">
        <v>0</v>
      </c>
      <c r="N480" s="50" t="n">
        <v>5</v>
      </c>
      <c r="O480" s="53" t="n">
        <v>9999</v>
      </c>
      <c r="P480" s="48" t="s">
        <v>177</v>
      </c>
      <c r="Q480" s="50"/>
      <c r="R480" s="53" t="n">
        <f aca="false">IF(BZ480=1,0,IFERROR(VLOOKUP(BX480,'Gebinde-Kategorie'!$A$5:$N$45,13,0)+0,0))</f>
        <v>26</v>
      </c>
      <c r="S480" s="54"/>
      <c r="T480" s="55" t="s">
        <v>284</v>
      </c>
      <c r="U480" s="55"/>
      <c r="V480" s="55"/>
      <c r="W480" s="48"/>
      <c r="X480" s="50"/>
      <c r="Y480" s="50"/>
      <c r="Z480" s="48" t="n">
        <f aca="false">IF(A480="","",IF(AND(Parameter!$B$21="Ja",ISNUMBER(W480)),W480,IF(CC480="2+3",IF(ISNUMBER(SEARCH("grosser Artikel",BU480)),2,IFERROR(VLOOKUP(BX480,Parameter!$F$35:$G$64,2,0),2)),IF(OR(CC480="Nein",CC480=""),"-",CC480))))</f>
        <v>3</v>
      </c>
      <c r="AA480" s="55"/>
      <c r="AB480" s="56"/>
      <c r="AC480" s="50" t="n">
        <f aca="false">AV480</f>
        <v>5</v>
      </c>
      <c r="AD480" s="50" t="n">
        <f aca="false">MAX(AV480,H480)</f>
        <v>25</v>
      </c>
      <c r="AE480" s="57"/>
      <c r="AF480" s="50" t="n">
        <f aca="false">IF(LEFT(Cockpit!$C$5,1)="A",H480,IF(Parameter!$E$30="MAX-Bestand",IF(CH480=1,CI480,IF(LEFT(Cockpit!$C$5,1)="B",AL480,MAX(AL480,H480))),ROUNDUP(AJ480,0)))</f>
        <v>25</v>
      </c>
      <c r="AG480" s="50" t="n">
        <f aca="false">IF(BZ480=1,0,ROUNDUP(AF480/BY480,0))</f>
        <v>1</v>
      </c>
      <c r="AH480" s="52" t="n">
        <f aca="false">IF(CQ480&gt;0,CQ480*MAX(1,AF480/X480),IF(BZ480=1,IF(AF480&lt;=0,0,CD480*MAX(1,IF(H480&gt;0,AF480/H480,1))),IF(R480&gt;0,AG480/R480,0))/MAX(0.1,N(Parameter!$M$21)))</f>
        <v>0.0384615384615385</v>
      </c>
      <c r="AI480" s="50" t="n">
        <f aca="false">AH480*CB480</f>
        <v>5.96153846153846</v>
      </c>
      <c r="AJ480" s="51" t="n">
        <f aca="false">IF(LEFT(Cockpit!$C$5,1)="A",H480,IF(CH480=1,(CK480+CI480)/2,IF(LEFT(Cockpit!$C$5,1)="B",(CK480+AL480)/2,MAX((CK480+AL480)/2,H480))))</f>
        <v>25</v>
      </c>
      <c r="AK480" s="50" t="n">
        <f aca="false">AJ480*G480</f>
        <v>50</v>
      </c>
      <c r="AL480" s="50" t="n">
        <f aca="false">ROUNDUP(CK480+MAX(CL480,2*(J480/IF(CG480&gt;0,CG480,MAX(0.1,N(Cockpit!$C$6)))-CK480)),0)</f>
        <v>5</v>
      </c>
      <c r="AM480" s="51" t="n">
        <f aca="false">IF(AI480&gt;0,J480/AI480,-1)</f>
        <v>0</v>
      </c>
      <c r="AN480" s="51" t="n">
        <f aca="false">IF(AND(OR(CF480="L1",CF480="L23",CF480="LIFT"),AI480&gt;0),SUMIFS($AI$7:$AI$1843,$CF$7:$CF$1843,CF480,$AM$7:$AM$1843,"&gt;"&amp;AM480)+SUMIFS($AI$7:$AI$1843,$CF$7:$CF$1843,CF480,$AM$7:$AM$1843,AM480,$BW$7:$BW$1843,"&lt;="&amp;BW480),"")</f>
        <v>28217.9704062416</v>
      </c>
      <c r="AO480" s="58" t="n">
        <f aca="false">IF(AN480="",0,MAX(0,MIN(1,(IF(CF480="L1",Parameter!$H$5,IF(CF480="L23",Parameter!$H$6+Parameter!$H$7,Parameter!$H$5+Parameter!$H$6+Parameter!$H$7))-(AN480-AI480))/AI480)))</f>
        <v>1</v>
      </c>
      <c r="AP480" s="50" t="n">
        <f aca="false">IF(LEFT(Cockpit!$I$5,1)="A",H480,IF(Parameter!$E$30="MAX-Bestand",IF(CH480=1,CI480,IF(LEFT(Cockpit!$I$5,1)="B",AV480,MAX(AV480,H480))),ROUNDUP(AT480,0)))</f>
        <v>25</v>
      </c>
      <c r="AQ480" s="50" t="n">
        <f aca="false">IF(BZ480=1,0,ROUNDUP(AP480/BY480,0))</f>
        <v>1</v>
      </c>
      <c r="AR480" s="52" t="n">
        <f aca="false">IF(CQ480&gt;0,CQ480*MAX(1,AP480/X480),IF(BZ480=1,IF(AP480&lt;=0,0,CD480*MAX(1,IF(H480&gt;0,AP480/H480,1))),IF(R480&gt;0,AQ480/R480,0))/MAX(0.1,N(Parameter!$M$21)))</f>
        <v>0.0384615384615385</v>
      </c>
      <c r="AS480" s="50" t="n">
        <f aca="false">AR480*CB480</f>
        <v>5.96153846153846</v>
      </c>
      <c r="AT480" s="51" t="n">
        <f aca="false">IF(LEFT(Cockpit!$I$5,1)="A",H480,IF(CH480=1,(CK480+CI480)/2,IF(LEFT(Cockpit!$I$5,1)="B",(CK480+AV480)/2,MAX((CK480+AV480)/2,H480))))</f>
        <v>25</v>
      </c>
      <c r="AU480" s="50" t="n">
        <f aca="false">AT480*G480</f>
        <v>50</v>
      </c>
      <c r="AV480" s="50" t="n">
        <f aca="false">ROUNDUP(CK480+MAX(CL480,2*(J480/IF(CG480&gt;0,CG480,MAX(0.1,N(Cockpit!$I$6)))-CK480)),0)</f>
        <v>5</v>
      </c>
      <c r="AW480" s="51" t="n">
        <f aca="false">IF(AS480&gt;0,J480/AS480,-1)</f>
        <v>0</v>
      </c>
      <c r="AX480" s="51" t="n">
        <f aca="false">IF(AND(OR(CF480="L1",CF480="L23",CF480="LIFT"),AS480&gt;0),SUMIFS($AS$7:$AS$1843,$CF$7:$CF$1843,CF480,$AW$7:$AW$1843,"&gt;"&amp;AW480)+SUMIFS($AS$7:$AS$1843,$CF$7:$CF$1843,CF480,$AW$7:$AW$1843,AW480,$BW$7:$BW$1843,"&lt;="&amp;BW480),"")</f>
        <v>33571.119047619</v>
      </c>
      <c r="AY480" s="58" t="n">
        <f aca="false">IF(AX480="",0,MAX(0,MIN(1,(IF(CF480="L1",Parameter!$H$5,IF(CF480="L23",Parameter!$H$6+Parameter!$H$7,Parameter!$H$5+Parameter!$H$6+Parameter!$H$7))-(AX480-AS480))/AS480)))</f>
        <v>1</v>
      </c>
      <c r="AZ480" s="50" t="n">
        <f aca="false">IF(LEFT(Cockpit!$O$5,1)="A",H480,IF(Parameter!$E$30="MAX-Bestand",IF(CH480=1,CI480,IF(LEFT(Cockpit!$O$5,1)="B",BF480,MAX(BF480,H480))),ROUNDUP(BD480,0)))</f>
        <v>3</v>
      </c>
      <c r="BA480" s="50" t="n">
        <f aca="false">IF(BZ480=1,0,ROUNDUP(AZ480/BY480,0))</f>
        <v>1</v>
      </c>
      <c r="BB480" s="52" t="n">
        <f aca="false">IF(CQ480&gt;0,CQ480*MAX(1,AZ480/X480),IF(BZ480=1,IF(AZ480&lt;=0,0,CD480*MAX(1,IF(H480&gt;0,AZ480/H480,1))),IF(R480&gt;0,BA480/R480,0))/MAX(0.1,N(Parameter!$M$21)))</f>
        <v>0.0384615384615385</v>
      </c>
      <c r="BC480" s="50" t="n">
        <f aca="false">BB480*CB480</f>
        <v>5.96153846153846</v>
      </c>
      <c r="BD480" s="51" t="n">
        <f aca="false">IF(LEFT(Cockpit!$O$5,1)="A",H480,IF(CH480=1,(CK480+CI480)/2,IF(LEFT(Cockpit!$O$5,1)="B",(CK480+BF480)/2,MAX((CK480+BF480)/2,H480))))</f>
        <v>2.5</v>
      </c>
      <c r="BE480" s="50" t="n">
        <f aca="false">BD480*G480</f>
        <v>5</v>
      </c>
      <c r="BF480" s="50" t="n">
        <f aca="false">ROUNDUP(CK480+MAX(CL480,2*(J480/IF(CG480&gt;0,CG480,MAX(0.1,N(Cockpit!$O$6)))-CK480)),0)</f>
        <v>5</v>
      </c>
      <c r="BG480" s="51" t="n">
        <f aca="false">IF(BC480&gt;0,J480/BC480,-1)</f>
        <v>0</v>
      </c>
      <c r="BH480" s="51" t="n">
        <f aca="false">IF(AND(OR(CF480="L1",CF480="L23",CF480="LIFT"),BC480&gt;0),SUMIFS($BC$7:$BC$1843,$CF$7:$CF$1843,CF480,$BG$7:$BG$1843,"&gt;"&amp;BG480)+SUMIFS($BC$7:$BC$1843,$CF$7:$CF$1843,CF480,$BG$7:$BG$1843,BG480,$BW$7:$BW$1843,"&lt;="&amp;BW480),"")</f>
        <v>27678.3538213199</v>
      </c>
      <c r="BI480" s="58" t="n">
        <f aca="false">IF(BH480="",0,MAX(0,MIN(1,(IF(CF480="L1",Parameter!$H$5,IF(CF480="L23",Parameter!$H$6+Parameter!$H$7,Parameter!$H$5+Parameter!$H$6+Parameter!$H$7))-(BH480-BC480))/BC480)))</f>
        <v>1</v>
      </c>
      <c r="BJ480" s="48" t="str">
        <f aca="false">IF(AI480&lt;=0,"",IF(CF480="Aussen","Aussenlager",IF(CF480="-","Nicht im Lift",IF(AO480&gt;=1,"Lift",IF(AO480&lt;=0,"Aussenlager","teilweise")))))</f>
        <v>Lift</v>
      </c>
      <c r="BK480" s="48" t="str">
        <f aca="false">IF(AS480&lt;=0,"",IF(CF480="Aussen","Aussenlager",IF(CF480="-","Nicht im Lift",IF(AY480&gt;=1,"Lift",IF(AY480&lt;=0,"Aussenlager","teilweise")))))</f>
        <v>Lift</v>
      </c>
      <c r="BL480" s="48" t="str">
        <f aca="false">IF(BC480&lt;=0,"",IF(CF480="Aussen","Aussenlager",IF(CF480="-","Nicht im Lift",IF(BI480&gt;=1,"Lift",IF(BI480&lt;=0,"Aussenlager","teilweise")))))</f>
        <v>Lift</v>
      </c>
      <c r="BM480" s="48" t="str">
        <f aca="false">IF(A480="","",IF(BV480=1,"Neu; ","")&amp;IF(AND(BV480=0,BQ480&lt;0),"negativer Bestand (Export "&amp;BQ480&amp;"); ","")&amp;IF(J480&lt;=0,"Kein Verbrauch; ","")&amp;IF(CQ480&gt;0,"Lift "&amp;W480&amp;" lt. Liftbericht (Fach "&amp;X480&amp;" Stk); ",IF(CA480=1,"Gebinde geschätzt ("&amp;T480&amp;"); ",IF(BZ480=1,"Lose – Tablare geschätzt; ","")))&amp;IF(H480&gt;AV480,"Überbestand "&amp;ROUND(H480-AV480,0)&amp;" Stk / CHF "&amp;ROUND((H480-AV480)*G480,0)&amp;"; ","")&amp;IF(AND(CH480=1,CI480&lt;CJ480),"MAX &lt; MB+LG; ","")&amp;IF(AND(CP480&gt;0,CO480*10&gt;CP480),"zu hoch für Tablar; ","")&amp;IF(AND(BV480=0,OR(CH480=1,AA480&lt;&gt;"",U480&lt;&gt;"",V480&lt;&gt;"",AB480&lt;&gt;"")),"manuell übersteuert; ","")&amp;IF(AND(BZ480=0,R480=0),"Gebinde unbekannt / Stellmass fehlt; ","")&amp;IF(AND(BZ480=0,N(V480)&lt;=0,N(Q480)&lt;=0),"Menge pro Gebinde fehlt (Ist = 1 Gebinde); ","")&amp;BU480)</f>
        <v>Kein Verbrauch; Gebinde geschätzt (Klein); Überbestand 20 Stk / CHF 40; Menge pro Gebinde fehlt (Ist = 1 Gebinde); </v>
      </c>
      <c r="BN480" s="48"/>
      <c r="BO480" s="48"/>
      <c r="BP480" s="55"/>
      <c r="BQ480" s="50" t="n">
        <v>25</v>
      </c>
      <c r="BR480" s="50" t="n">
        <v>0</v>
      </c>
      <c r="BS480" s="49" t="n">
        <v>50</v>
      </c>
      <c r="BT480" s="50" t="n">
        <v>0</v>
      </c>
      <c r="BU480" s="48"/>
      <c r="BV480" s="53" t="n">
        <v>0</v>
      </c>
      <c r="BW480" s="53" t="n">
        <v>480</v>
      </c>
      <c r="BX480" s="48" t="str">
        <f aca="false">IF(U480&lt;&gt;"",UPPER(TRIM(U480)),IF(CA480=1,UPPER(VLOOKUP(T480,Parameter!$I$27:$K$29,2,0)),IF(P480="","LOSE",P480)))</f>
        <v>S51</v>
      </c>
      <c r="BY480" s="50" t="n">
        <f aca="false">IF(BX480="LOSE",1,IF(N(V480)&gt;0,V480,IF(CA480=1,MAX(1,N(VLOOKUP(T480,Parameter!$I$27:$K$29,3,0)),H480,N(N480)),IF(N(Q480)&gt;0,Q480,MAX(1,H480)))))</f>
        <v>25</v>
      </c>
      <c r="BZ480" s="53" t="n">
        <f aca="false">IF(BX480="LOSE",1,0)</f>
        <v>0</v>
      </c>
      <c r="CA480" s="53" t="n">
        <f aca="false">IF(AND(U480="",OR(P480="",P480="LOSE"),T480&lt;&gt;"",N(S480)&lt;=0,ISNUMBER(MATCH(T480,Parameter!$I$27:$I$29,0))),1,0)</f>
        <v>1</v>
      </c>
      <c r="CB480" s="53" t="n">
        <f aca="false">IF(CQ480&gt;0,INDEX(Parameter!$H$5:$H$7,W480)/INDEX(Parameter!$E$5:$E$7,W480),IF(AND(BZ480=0,N(IFERROR(VLOOKUP(BX480,'Gebinde-Kategorie'!$A$5:$N$45,14,0),0))&gt;0),VLOOKUP(BX480,'Gebinde-Kategorie'!$A$5:$N$45,14,0)*10+Parameter!$M$23,Parameter!$M$24))</f>
        <v>155</v>
      </c>
      <c r="CC480" s="48" t="str">
        <f aca="false">IF(AND(Parameter!$B$19="Ja",E480&lt;&gt;"",ISNUMBER(MATCH(E480,Parameter!$I$35:$I$52,0))),VLOOKUP(E480,Parameter!$I$35:$J$52,2,0),IFERROR(VLOOKUP(D480,Parameter!$A$35:$C$64,2,0),"Nein"))</f>
        <v>2+3</v>
      </c>
      <c r="CD480" s="52" t="n">
        <f aca="false">IF(BZ480=0,0,IF(N(S480)&gt;0,S480,IFERROR(VLOOKUP(D480,Parameter!$A$35:$C$64,3,0)+0,0)))</f>
        <v>0</v>
      </c>
      <c r="CE480" s="48" t="n">
        <f aca="false">IF(AA480&lt;&gt;"",AA480,Z480)</f>
        <v>3</v>
      </c>
      <c r="CF480" s="48" t="str">
        <f aca="false">IF(OR(CE480=1,CE480=2,CE480=3),IF(Parameter!$E$27="Ja","LIFT",IF(CE480=1,"L1","L23")),IF(CE480="Aussen","Aussen","-"))</f>
        <v>LIFT</v>
      </c>
      <c r="CG480" s="59" t="n">
        <f aca="false">IF(N(AB480)&gt;0,AB480,0)</f>
        <v>0</v>
      </c>
      <c r="CH480" s="53" t="n">
        <f aca="false">IF(ISNUMBER(AE480),1,0)</f>
        <v>0</v>
      </c>
      <c r="CI480" s="50" t="n">
        <f aca="false">N(AE480)</f>
        <v>0</v>
      </c>
      <c r="CJ480" s="50" t="n">
        <f aca="false">N(M480)+N(N480)</f>
        <v>5</v>
      </c>
      <c r="CK480" s="50" t="n">
        <f aca="false">N(M480)</f>
        <v>0</v>
      </c>
      <c r="CL480" s="50" t="n">
        <f aca="false">N(N480)</f>
        <v>5</v>
      </c>
      <c r="CM480" s="50" t="n">
        <f aca="false">ROUNDUP(H480/BY480,0)</f>
        <v>1</v>
      </c>
      <c r="CN480" s="50" t="n">
        <f aca="false">ROUNDUP(CI480/BY480,0)</f>
        <v>0</v>
      </c>
      <c r="CO480" s="53" t="n">
        <f aca="false">IF(BZ480=1,0,IFERROR(VLOOKUP(BX480,'Gebinde-Kategorie'!$A$5:$N$45,5,0)+0,0))</f>
        <v>11</v>
      </c>
      <c r="CP480" s="53" t="n">
        <f aca="false">IFERROR(IF(OR(CE480=1,CE480=2,CE480=3),N(INDEX(Parameter!$I$5:$I$7,CE480)),0),0)</f>
        <v>0</v>
      </c>
      <c r="CQ480" s="52" t="n">
        <f aca="false">IF(AND(Parameter!$B$21="Ja",ISNUMBER(W480),N(X480)&gt;0),IFERROR(N(INDEX(Parameter!$L$5:$L$7,W480))*INDEX(Parameter!$E$5:$E$7,W480)*X480/SUMIFS($X$7:$X$1843,$W$7:$W$1843,W480),0),0)</f>
        <v>0</v>
      </c>
    </row>
    <row r="481" customFormat="false" ht="15" hidden="false" customHeight="false" outlineLevel="0" collapsed="false">
      <c r="A481" s="48" t="s">
        <v>1078</v>
      </c>
      <c r="B481" s="48" t="s">
        <v>1079</v>
      </c>
      <c r="C481" s="48" t="s">
        <v>173</v>
      </c>
      <c r="D481" s="48" t="s">
        <v>193</v>
      </c>
      <c r="E481" s="48" t="s">
        <v>194</v>
      </c>
      <c r="F481" s="48" t="s">
        <v>227</v>
      </c>
      <c r="G481" s="49" t="n">
        <v>45.76</v>
      </c>
      <c r="H481" s="50" t="n">
        <f aca="false">MAX(0,IF(AND(Parameter!$B$21="Ja",ISNUMBER(Y481)),Y481,IF(Parameter!$B$20="Jahresanfang 2025 + Export",BR481+BQ481,BQ481)))</f>
        <v>16</v>
      </c>
      <c r="I481" s="50" t="n">
        <f aca="false">H481*G481</f>
        <v>732.16</v>
      </c>
      <c r="J481" s="50" t="n">
        <f aca="false">BT481*Parameter!$B$18</f>
        <v>20</v>
      </c>
      <c r="K481" s="51" t="n">
        <v>12.5</v>
      </c>
      <c r="L481" s="52" t="n">
        <v>1.6</v>
      </c>
      <c r="M481" s="50" t="n">
        <v>1</v>
      </c>
      <c r="N481" s="50" t="n">
        <v>20</v>
      </c>
      <c r="O481" s="53" t="n">
        <v>18</v>
      </c>
      <c r="P481" s="48" t="s">
        <v>485</v>
      </c>
      <c r="Q481" s="50" t="n">
        <v>15</v>
      </c>
      <c r="R481" s="53" t="n">
        <f aca="false">IF(BZ481=1,0,IFERROR(VLOOKUP(BX481,'Gebinde-Kategorie'!$A$5:$N$45,13,0)+0,0))</f>
        <v>52</v>
      </c>
      <c r="S481" s="54"/>
      <c r="T481" s="55"/>
      <c r="U481" s="55"/>
      <c r="V481" s="55"/>
      <c r="W481" s="48"/>
      <c r="X481" s="50"/>
      <c r="Y481" s="50"/>
      <c r="Z481" s="48" t="n">
        <f aca="false">IF(A481="","",IF(AND(Parameter!$B$21="Ja",ISNUMBER(W481)),W481,IF(CC481="2+3",IF(ISNUMBER(SEARCH("grosser Artikel",BU481)),2,IFERROR(VLOOKUP(BX481,Parameter!$F$35:$G$64,2,0),2)),IF(OR(CC481="Nein",CC481=""),"-",CC481))))</f>
        <v>3</v>
      </c>
      <c r="AA481" s="55"/>
      <c r="AB481" s="56"/>
      <c r="AC481" s="50" t="n">
        <f aca="false">AV481</f>
        <v>21</v>
      </c>
      <c r="AD481" s="50" t="n">
        <f aca="false">MAX(AV481,H481)</f>
        <v>21</v>
      </c>
      <c r="AE481" s="57"/>
      <c r="AF481" s="50" t="n">
        <f aca="false">IF(LEFT(Cockpit!$C$5,1)="A",H481,IF(Parameter!$E$30="MAX-Bestand",IF(CH481=1,CI481,IF(LEFT(Cockpit!$C$5,1)="B",AL481,MAX(AL481,H481))),ROUNDUP(AJ481,0)))</f>
        <v>16</v>
      </c>
      <c r="AG481" s="50" t="n">
        <f aca="false">IF(BZ481=1,0,ROUNDUP(AF481/BY481,0))</f>
        <v>2</v>
      </c>
      <c r="AH481" s="52" t="n">
        <f aca="false">IF(CQ481&gt;0,CQ481*MAX(1,AF481/X481),IF(BZ481=1,IF(AF481&lt;=0,0,CD481*MAX(1,IF(H481&gt;0,AF481/H481,1))),IF(R481&gt;0,AG481/R481,0))/MAX(0.1,N(Parameter!$M$21)))</f>
        <v>0.0384615384615385</v>
      </c>
      <c r="AI481" s="50" t="n">
        <f aca="false">AH481*CB481</f>
        <v>5.96153846153846</v>
      </c>
      <c r="AJ481" s="51" t="n">
        <f aca="false">IF(LEFT(Cockpit!$C$5,1)="A",H481,IF(CH481=1,(CK481+CI481)/2,IF(LEFT(Cockpit!$C$5,1)="B",(CK481+AL481)/2,MAX((CK481+AL481)/2,H481))))</f>
        <v>16</v>
      </c>
      <c r="AK481" s="50" t="n">
        <f aca="false">AJ481*G481</f>
        <v>732.16</v>
      </c>
      <c r="AL481" s="50" t="n">
        <f aca="false">ROUNDUP(CK481+MAX(CL481,2*(J481/IF(CG481&gt;0,CG481,MAX(0.1,N(Cockpit!$C$6)))-CK481)),0)</f>
        <v>21</v>
      </c>
      <c r="AM481" s="51" t="n">
        <f aca="false">IF(AI481&gt;0,J481/AI481,-1)</f>
        <v>3.35483870967742</v>
      </c>
      <c r="AN481" s="51" t="n">
        <f aca="false">IF(AND(OR(CF481="L1",CF481="L23",CF481="LIFT"),AI481&gt;0),SUMIFS($AI$7:$AI$1843,$CF$7:$CF$1843,CF481,$AM$7:$AM$1843,"&gt;"&amp;AM481)+SUMIFS($AI$7:$AI$1843,$CF$7:$CF$1843,CF481,$AM$7:$AM$1843,AM481,$BW$7:$BW$1843,"&lt;="&amp;BW481),"")</f>
        <v>4940.68406593407</v>
      </c>
      <c r="AO481" s="58" t="n">
        <f aca="false">IF(AN481="",0,MAX(0,MIN(1,(IF(CF481="L1",Parameter!$H$5,IF(CF481="L23",Parameter!$H$6+Parameter!$H$7,Parameter!$H$5+Parameter!$H$6+Parameter!$H$7))-(AN481-AI481))/AI481)))</f>
        <v>1</v>
      </c>
      <c r="AP481" s="50" t="n">
        <f aca="false">IF(LEFT(Cockpit!$I$5,1)="A",H481,IF(Parameter!$E$30="MAX-Bestand",IF(CH481=1,CI481,IF(LEFT(Cockpit!$I$5,1)="B",AV481,MAX(AV481,H481))),ROUNDUP(AT481,0)))</f>
        <v>16</v>
      </c>
      <c r="AQ481" s="50" t="n">
        <f aca="false">IF(BZ481=1,0,ROUNDUP(AP481/BY481,0))</f>
        <v>2</v>
      </c>
      <c r="AR481" s="52" t="n">
        <f aca="false">IF(CQ481&gt;0,CQ481*MAX(1,AP481/X481),IF(BZ481=1,IF(AP481&lt;=0,0,CD481*MAX(1,IF(H481&gt;0,AP481/H481,1))),IF(R481&gt;0,AQ481/R481,0))/MAX(0.1,N(Parameter!$M$21)))</f>
        <v>0.0384615384615385</v>
      </c>
      <c r="AS481" s="50" t="n">
        <f aca="false">AR481*CB481</f>
        <v>5.96153846153846</v>
      </c>
      <c r="AT481" s="51" t="n">
        <f aca="false">IF(LEFT(Cockpit!$I$5,1)="A",H481,IF(CH481=1,(CK481+CI481)/2,IF(LEFT(Cockpit!$I$5,1)="B",(CK481+AV481)/2,MAX((CK481+AV481)/2,H481))))</f>
        <v>16</v>
      </c>
      <c r="AU481" s="50" t="n">
        <f aca="false">AT481*G481</f>
        <v>732.16</v>
      </c>
      <c r="AV481" s="50" t="n">
        <f aca="false">ROUNDUP(CK481+MAX(CL481,2*(J481/IF(CG481&gt;0,CG481,MAX(0.1,N(Cockpit!$I$6)))-CK481)),0)</f>
        <v>21</v>
      </c>
      <c r="AW481" s="51" t="n">
        <f aca="false">IF(AS481&gt;0,J481/AS481,-1)</f>
        <v>3.35483870967742</v>
      </c>
      <c r="AX481" s="51" t="n">
        <f aca="false">IF(AND(OR(CF481="L1",CF481="L23",CF481="LIFT"),AS481&gt;0),SUMIFS($AS$7:$AS$1843,$CF$7:$CF$1843,CF481,$AW$7:$AW$1843,"&gt;"&amp;AW481)+SUMIFS($AS$7:$AS$1843,$CF$7:$CF$1843,CF481,$AW$7:$AW$1843,AW481,$BW$7:$BW$1843,"&lt;="&amp;BW481),"")</f>
        <v>5604.52106227106</v>
      </c>
      <c r="AY481" s="58" t="n">
        <f aca="false">IF(AX481="",0,MAX(0,MIN(1,(IF(CF481="L1",Parameter!$H$5,IF(CF481="L23",Parameter!$H$6+Parameter!$H$7,Parameter!$H$5+Parameter!$H$6+Parameter!$H$7))-(AX481-AS481))/AS481)))</f>
        <v>1</v>
      </c>
      <c r="AZ481" s="50" t="n">
        <f aca="false">IF(LEFT(Cockpit!$O$5,1)="A",H481,IF(Parameter!$E$30="MAX-Bestand",IF(CH481=1,CI481,IF(LEFT(Cockpit!$O$5,1)="B",BF481,MAX(BF481,H481))),ROUNDUP(BD481,0)))</f>
        <v>11</v>
      </c>
      <c r="BA481" s="50" t="n">
        <f aca="false">IF(BZ481=1,0,ROUNDUP(AZ481/BY481,0))</f>
        <v>1</v>
      </c>
      <c r="BB481" s="52" t="n">
        <f aca="false">IF(CQ481&gt;0,CQ481*MAX(1,AZ481/X481),IF(BZ481=1,IF(AZ481&lt;=0,0,CD481*MAX(1,IF(H481&gt;0,AZ481/H481,1))),IF(R481&gt;0,BA481/R481,0))/MAX(0.1,N(Parameter!$M$21)))</f>
        <v>0.0192307692307692</v>
      </c>
      <c r="BC481" s="50" t="n">
        <f aca="false">BB481*CB481</f>
        <v>2.98076923076923</v>
      </c>
      <c r="BD481" s="51" t="n">
        <f aca="false">IF(LEFT(Cockpit!$O$5,1)="A",H481,IF(CH481=1,(CK481+CI481)/2,IF(LEFT(Cockpit!$O$5,1)="B",(CK481+BF481)/2,MAX((CK481+BF481)/2,H481))))</f>
        <v>11</v>
      </c>
      <c r="BE481" s="50" t="n">
        <f aca="false">BD481*G481</f>
        <v>503.36</v>
      </c>
      <c r="BF481" s="50" t="n">
        <f aca="false">ROUNDUP(CK481+MAX(CL481,2*(J481/IF(CG481&gt;0,CG481,MAX(0.1,N(Cockpit!$O$6)))-CK481)),0)</f>
        <v>21</v>
      </c>
      <c r="BG481" s="51" t="n">
        <f aca="false">IF(BC481&gt;0,J481/BC481,-1)</f>
        <v>6.70967741935484</v>
      </c>
      <c r="BH481" s="51" t="n">
        <f aca="false">IF(AND(OR(CF481="L1",CF481="L23",CF481="LIFT"),BC481&gt;0),SUMIFS($BC$7:$BC$1843,$CF$7:$CF$1843,CF481,$BG$7:$BG$1843,"&gt;"&amp;BG481)+SUMIFS($BC$7:$BC$1843,$CF$7:$CF$1843,CF481,$BG$7:$BG$1843,BG481,$BW$7:$BW$1843,"&lt;="&amp;BW481),"")</f>
        <v>3380.53113553114</v>
      </c>
      <c r="BI481" s="58" t="n">
        <f aca="false">IF(BH481="",0,MAX(0,MIN(1,(IF(CF481="L1",Parameter!$H$5,IF(CF481="L23",Parameter!$H$6+Parameter!$H$7,Parameter!$H$5+Parameter!$H$6+Parameter!$H$7))-(BH481-BC481))/BC481)))</f>
        <v>1</v>
      </c>
      <c r="BJ481" s="48" t="str">
        <f aca="false">IF(AI481&lt;=0,"",IF(CF481="Aussen","Aussenlager",IF(CF481="-","Nicht im Lift",IF(AO481&gt;=1,"Lift",IF(AO481&lt;=0,"Aussenlager","teilweise")))))</f>
        <v>Lift</v>
      </c>
      <c r="BK481" s="48" t="str">
        <f aca="false">IF(AS481&lt;=0,"",IF(CF481="Aussen","Aussenlager",IF(CF481="-","Nicht im Lift",IF(AY481&gt;=1,"Lift",IF(AY481&lt;=0,"Aussenlager","teilweise")))))</f>
        <v>Lift</v>
      </c>
      <c r="BL481" s="48" t="str">
        <f aca="false">IF(BC481&lt;=0,"",IF(CF481="Aussen","Aussenlager",IF(CF481="-","Nicht im Lift",IF(BI481&gt;=1,"Lift",IF(BI481&lt;=0,"Aussenlager","teilweise")))))</f>
        <v>Lift</v>
      </c>
      <c r="BM481" s="48" t="str">
        <f aca="false">IF(A481="","",IF(BV481=1,"Neu; ","")&amp;IF(AND(BV481=0,BQ481&lt;0),"negativer Bestand (Export "&amp;BQ481&amp;"); ","")&amp;IF(J481&lt;=0,"Kein Verbrauch; ","")&amp;IF(CQ481&gt;0,"Lift "&amp;W481&amp;" lt. Liftbericht (Fach "&amp;X481&amp;" Stk); ",IF(CA481=1,"Gebinde geschätzt ("&amp;T481&amp;"); ",IF(BZ481=1,"Lose – Tablare geschätzt; ","")))&amp;IF(H481&gt;AV481,"Überbestand "&amp;ROUND(H481-AV481,0)&amp;" Stk / CHF "&amp;ROUND((H481-AV481)*G481,0)&amp;"; ","")&amp;IF(AND(CH481=1,CI481&lt;CJ481),"MAX &lt; MB+LG; ","")&amp;IF(AND(CP481&gt;0,CO481*10&gt;CP481),"zu hoch für Tablar; ","")&amp;IF(AND(BV481=0,OR(CH481=1,AA481&lt;&gt;"",U481&lt;&gt;"",V481&lt;&gt;"",AB481&lt;&gt;"")),"manuell übersteuert; ","")&amp;IF(AND(BZ481=0,R481=0),"Gebinde unbekannt / Stellmass fehlt; ","")&amp;IF(AND(BZ481=0,N(V481)&lt;=0,N(Q481)&lt;=0),"Menge pro Gebinde fehlt (Ist = 1 Gebinde); ","")&amp;BU481)</f>
        <v/>
      </c>
      <c r="BN481" s="48"/>
      <c r="BO481" s="48"/>
      <c r="BP481" s="55"/>
      <c r="BQ481" s="50" t="n">
        <v>1</v>
      </c>
      <c r="BR481" s="50" t="n">
        <v>15</v>
      </c>
      <c r="BS481" s="49" t="n">
        <v>48.31</v>
      </c>
      <c r="BT481" s="50" t="n">
        <v>20</v>
      </c>
      <c r="BU481" s="48"/>
      <c r="BV481" s="53" t="n">
        <v>0</v>
      </c>
      <c r="BW481" s="53" t="n">
        <v>481</v>
      </c>
      <c r="BX481" s="48" t="str">
        <f aca="false">IF(U481&lt;&gt;"",UPPER(TRIM(U481)),IF(CA481=1,UPPER(VLOOKUP(T481,Parameter!$I$27:$K$29,2,0)),IF(P481="","LOSE",P481)))</f>
        <v>S33</v>
      </c>
      <c r="BY481" s="50" t="n">
        <f aca="false">IF(BX481="LOSE",1,IF(N(V481)&gt;0,V481,IF(CA481=1,MAX(1,N(VLOOKUP(T481,Parameter!$I$27:$K$29,3,0)),H481,N(N481)),IF(N(Q481)&gt;0,Q481,MAX(1,H481)))))</f>
        <v>15</v>
      </c>
      <c r="BZ481" s="53" t="n">
        <f aca="false">IF(BX481="LOSE",1,0)</f>
        <v>0</v>
      </c>
      <c r="CA481" s="53" t="n">
        <f aca="false">IF(AND(U481="",OR(P481="",P481="LOSE"),T481&lt;&gt;"",N(S481)&lt;=0,ISNUMBER(MATCH(T481,Parameter!$I$27:$I$29,0))),1,0)</f>
        <v>0</v>
      </c>
      <c r="CB481" s="53" t="n">
        <f aca="false">IF(CQ481&gt;0,INDEX(Parameter!$H$5:$H$7,W481)/INDEX(Parameter!$E$5:$E$7,W481),IF(AND(BZ481=0,N(IFERROR(VLOOKUP(BX481,'Gebinde-Kategorie'!$A$5:$N$45,14,0),0))&gt;0),VLOOKUP(BX481,'Gebinde-Kategorie'!$A$5:$N$45,14,0)*10+Parameter!$M$23,Parameter!$M$24))</f>
        <v>155</v>
      </c>
      <c r="CC481" s="48" t="str">
        <f aca="false">IF(AND(Parameter!$B$19="Ja",E481&lt;&gt;"",ISNUMBER(MATCH(E481,Parameter!$I$35:$I$52,0))),VLOOKUP(E481,Parameter!$I$35:$J$52,2,0),IFERROR(VLOOKUP(D481,Parameter!$A$35:$C$64,2,0),"Nein"))</f>
        <v>2+3</v>
      </c>
      <c r="CD481" s="52" t="n">
        <f aca="false">IF(BZ481=0,0,IF(N(S481)&gt;0,S481,IFERROR(VLOOKUP(D481,Parameter!$A$35:$C$64,3,0)+0,0)))</f>
        <v>0</v>
      </c>
      <c r="CE481" s="48" t="n">
        <f aca="false">IF(AA481&lt;&gt;"",AA481,Z481)</f>
        <v>3</v>
      </c>
      <c r="CF481" s="48" t="str">
        <f aca="false">IF(OR(CE481=1,CE481=2,CE481=3),IF(Parameter!$E$27="Ja","LIFT",IF(CE481=1,"L1","L23")),IF(CE481="Aussen","Aussen","-"))</f>
        <v>LIFT</v>
      </c>
      <c r="CG481" s="59" t="n">
        <f aca="false">IF(N(AB481)&gt;0,AB481,0)</f>
        <v>0</v>
      </c>
      <c r="CH481" s="53" t="n">
        <f aca="false">IF(ISNUMBER(AE481),1,0)</f>
        <v>0</v>
      </c>
      <c r="CI481" s="50" t="n">
        <f aca="false">N(AE481)</f>
        <v>0</v>
      </c>
      <c r="CJ481" s="50" t="n">
        <f aca="false">N(M481)+N(N481)</f>
        <v>21</v>
      </c>
      <c r="CK481" s="50" t="n">
        <f aca="false">N(M481)</f>
        <v>1</v>
      </c>
      <c r="CL481" s="50" t="n">
        <f aca="false">N(N481)</f>
        <v>20</v>
      </c>
      <c r="CM481" s="50" t="n">
        <f aca="false">ROUNDUP(H481/BY481,0)</f>
        <v>2</v>
      </c>
      <c r="CN481" s="50" t="n">
        <f aca="false">ROUNDUP(CI481/BY481,0)</f>
        <v>0</v>
      </c>
      <c r="CO481" s="53" t="n">
        <f aca="false">IF(BZ481=1,0,IFERROR(VLOOKUP(BX481,'Gebinde-Kategorie'!$A$5:$N$45,5,0)+0,0))</f>
        <v>8</v>
      </c>
      <c r="CP481" s="53" t="n">
        <f aca="false">IFERROR(IF(OR(CE481=1,CE481=2,CE481=3),N(INDEX(Parameter!$I$5:$I$7,CE481)),0),0)</f>
        <v>0</v>
      </c>
      <c r="CQ481" s="52" t="n">
        <f aca="false">IF(AND(Parameter!$B$21="Ja",ISNUMBER(W481),N(X481)&gt;0),IFERROR(N(INDEX(Parameter!$L$5:$L$7,W481))*INDEX(Parameter!$E$5:$E$7,W481)*X481/SUMIFS($X$7:$X$1843,$W$7:$W$1843,W481),0),0)</f>
        <v>0</v>
      </c>
    </row>
    <row r="482" customFormat="false" ht="15" hidden="false" customHeight="false" outlineLevel="0" collapsed="false">
      <c r="A482" s="48" t="s">
        <v>1080</v>
      </c>
      <c r="B482" s="48" t="s">
        <v>383</v>
      </c>
      <c r="C482" s="48" t="s">
        <v>173</v>
      </c>
      <c r="D482" s="48" t="s">
        <v>193</v>
      </c>
      <c r="E482" s="48"/>
      <c r="F482" s="48" t="s">
        <v>227</v>
      </c>
      <c r="G482" s="49" t="n">
        <v>1.92</v>
      </c>
      <c r="H482" s="50" t="n">
        <f aca="false">MAX(0,IF(AND(Parameter!$B$21="Ja",ISNUMBER(Y482)),Y482,IF(Parameter!$B$20="Jahresanfang 2025 + Export",BR482+BQ482,BQ482)))</f>
        <v>25</v>
      </c>
      <c r="I482" s="50" t="n">
        <f aca="false">H482*G482</f>
        <v>48</v>
      </c>
      <c r="J482" s="50" t="n">
        <f aca="false">BT482*Parameter!$B$18</f>
        <v>0</v>
      </c>
      <c r="K482" s="51" t="n">
        <v>0</v>
      </c>
      <c r="L482" s="52" t="n">
        <v>0</v>
      </c>
      <c r="M482" s="50" t="n">
        <v>0</v>
      </c>
      <c r="N482" s="50" t="n">
        <v>1</v>
      </c>
      <c r="O482" s="53" t="n">
        <v>9999</v>
      </c>
      <c r="P482" s="48" t="s">
        <v>177</v>
      </c>
      <c r="Q482" s="50"/>
      <c r="R482" s="53" t="n">
        <f aca="false">IF(BZ482=1,0,IFERROR(VLOOKUP(BX482,'Gebinde-Kategorie'!$A$5:$N$45,13,0)+0,0))</f>
        <v>26</v>
      </c>
      <c r="S482" s="54"/>
      <c r="T482" s="55" t="s">
        <v>284</v>
      </c>
      <c r="U482" s="55"/>
      <c r="V482" s="55"/>
      <c r="W482" s="48"/>
      <c r="X482" s="50"/>
      <c r="Y482" s="50"/>
      <c r="Z482" s="48" t="n">
        <f aca="false">IF(A482="","",IF(AND(Parameter!$B$21="Ja",ISNUMBER(W482)),W482,IF(CC482="2+3",IF(ISNUMBER(SEARCH("grosser Artikel",BU482)),2,IFERROR(VLOOKUP(BX482,Parameter!$F$35:$G$64,2,0),2)),IF(OR(CC482="Nein",CC482=""),"-",CC482))))</f>
        <v>3</v>
      </c>
      <c r="AA482" s="55"/>
      <c r="AB482" s="56"/>
      <c r="AC482" s="50" t="n">
        <f aca="false">AV482</f>
        <v>1</v>
      </c>
      <c r="AD482" s="50" t="n">
        <f aca="false">MAX(AV482,H482)</f>
        <v>25</v>
      </c>
      <c r="AE482" s="57"/>
      <c r="AF482" s="50" t="n">
        <f aca="false">IF(LEFT(Cockpit!$C$5,1)="A",H482,IF(Parameter!$E$30="MAX-Bestand",IF(CH482=1,CI482,IF(LEFT(Cockpit!$C$5,1)="B",AL482,MAX(AL482,H482))),ROUNDUP(AJ482,0)))</f>
        <v>25</v>
      </c>
      <c r="AG482" s="50" t="n">
        <f aca="false">IF(BZ482=1,0,ROUNDUP(AF482/BY482,0))</f>
        <v>1</v>
      </c>
      <c r="AH482" s="52" t="n">
        <f aca="false">IF(CQ482&gt;0,CQ482*MAX(1,AF482/X482),IF(BZ482=1,IF(AF482&lt;=0,0,CD482*MAX(1,IF(H482&gt;0,AF482/H482,1))),IF(R482&gt;0,AG482/R482,0))/MAX(0.1,N(Parameter!$M$21)))</f>
        <v>0.0384615384615385</v>
      </c>
      <c r="AI482" s="50" t="n">
        <f aca="false">AH482*CB482</f>
        <v>5.96153846153846</v>
      </c>
      <c r="AJ482" s="51" t="n">
        <f aca="false">IF(LEFT(Cockpit!$C$5,1)="A",H482,IF(CH482=1,(CK482+CI482)/2,IF(LEFT(Cockpit!$C$5,1)="B",(CK482+AL482)/2,MAX((CK482+AL482)/2,H482))))</f>
        <v>25</v>
      </c>
      <c r="AK482" s="50" t="n">
        <f aca="false">AJ482*G482</f>
        <v>48</v>
      </c>
      <c r="AL482" s="50" t="n">
        <f aca="false">ROUNDUP(CK482+MAX(CL482,2*(J482/IF(CG482&gt;0,CG482,MAX(0.1,N(Cockpit!$C$6)))-CK482)),0)</f>
        <v>1</v>
      </c>
      <c r="AM482" s="51" t="n">
        <f aca="false">IF(AI482&gt;0,J482/AI482,-1)</f>
        <v>0</v>
      </c>
      <c r="AN482" s="51" t="n">
        <f aca="false">IF(AND(OR(CF482="L1",CF482="L23",CF482="LIFT"),AI482&gt;0),SUMIFS($AI$7:$AI$1843,$CF$7:$CF$1843,CF482,$AM$7:$AM$1843,"&gt;"&amp;AM482)+SUMIFS($AI$7:$AI$1843,$CF$7:$CF$1843,CF482,$AM$7:$AM$1843,AM482,$BW$7:$BW$1843,"&lt;="&amp;BW482),"")</f>
        <v>28223.9319447031</v>
      </c>
      <c r="AO482" s="58" t="n">
        <f aca="false">IF(AN482="",0,MAX(0,MIN(1,(IF(CF482="L1",Parameter!$H$5,IF(CF482="L23",Parameter!$H$6+Parameter!$H$7,Parameter!$H$5+Parameter!$H$6+Parameter!$H$7))-(AN482-AI482))/AI482)))</f>
        <v>1</v>
      </c>
      <c r="AP482" s="50" t="n">
        <f aca="false">IF(LEFT(Cockpit!$I$5,1)="A",H482,IF(Parameter!$E$30="MAX-Bestand",IF(CH482=1,CI482,IF(LEFT(Cockpit!$I$5,1)="B",AV482,MAX(AV482,H482))),ROUNDUP(AT482,0)))</f>
        <v>25</v>
      </c>
      <c r="AQ482" s="50" t="n">
        <f aca="false">IF(BZ482=1,0,ROUNDUP(AP482/BY482,0))</f>
        <v>1</v>
      </c>
      <c r="AR482" s="52" t="n">
        <f aca="false">IF(CQ482&gt;0,CQ482*MAX(1,AP482/X482),IF(BZ482=1,IF(AP482&lt;=0,0,CD482*MAX(1,IF(H482&gt;0,AP482/H482,1))),IF(R482&gt;0,AQ482/R482,0))/MAX(0.1,N(Parameter!$M$21)))</f>
        <v>0.0384615384615385</v>
      </c>
      <c r="AS482" s="50" t="n">
        <f aca="false">AR482*CB482</f>
        <v>5.96153846153846</v>
      </c>
      <c r="AT482" s="51" t="n">
        <f aca="false">IF(LEFT(Cockpit!$I$5,1)="A",H482,IF(CH482=1,(CK482+CI482)/2,IF(LEFT(Cockpit!$I$5,1)="B",(CK482+AV482)/2,MAX((CK482+AV482)/2,H482))))</f>
        <v>25</v>
      </c>
      <c r="AU482" s="50" t="n">
        <f aca="false">AT482*G482</f>
        <v>48</v>
      </c>
      <c r="AV482" s="50" t="n">
        <f aca="false">ROUNDUP(CK482+MAX(CL482,2*(J482/IF(CG482&gt;0,CG482,MAX(0.1,N(Cockpit!$I$6)))-CK482)),0)</f>
        <v>1</v>
      </c>
      <c r="AW482" s="51" t="n">
        <f aca="false">IF(AS482&gt;0,J482/AS482,-1)</f>
        <v>0</v>
      </c>
      <c r="AX482" s="51" t="n">
        <f aca="false">IF(AND(OR(CF482="L1",CF482="L23",CF482="LIFT"),AS482&gt;0),SUMIFS($AS$7:$AS$1843,$CF$7:$CF$1843,CF482,$AW$7:$AW$1843,"&gt;"&amp;AW482)+SUMIFS($AS$7:$AS$1843,$CF$7:$CF$1843,CF482,$AW$7:$AW$1843,AW482,$BW$7:$BW$1843,"&lt;="&amp;BW482),"")</f>
        <v>33577.0805860806</v>
      </c>
      <c r="AY482" s="58" t="n">
        <f aca="false">IF(AX482="",0,MAX(0,MIN(1,(IF(CF482="L1",Parameter!$H$5,IF(CF482="L23",Parameter!$H$6+Parameter!$H$7,Parameter!$H$5+Parameter!$H$6+Parameter!$H$7))-(AX482-AS482))/AS482)))</f>
        <v>1</v>
      </c>
      <c r="AZ482" s="50" t="n">
        <f aca="false">IF(LEFT(Cockpit!$O$5,1)="A",H482,IF(Parameter!$E$30="MAX-Bestand",IF(CH482=1,CI482,IF(LEFT(Cockpit!$O$5,1)="B",BF482,MAX(BF482,H482))),ROUNDUP(BD482,0)))</f>
        <v>1</v>
      </c>
      <c r="BA482" s="50" t="n">
        <f aca="false">IF(BZ482=1,0,ROUNDUP(AZ482/BY482,0))</f>
        <v>1</v>
      </c>
      <c r="BB482" s="52" t="n">
        <f aca="false">IF(CQ482&gt;0,CQ482*MAX(1,AZ482/X482),IF(BZ482=1,IF(AZ482&lt;=0,0,CD482*MAX(1,IF(H482&gt;0,AZ482/H482,1))),IF(R482&gt;0,BA482/R482,0))/MAX(0.1,N(Parameter!$M$21)))</f>
        <v>0.0384615384615385</v>
      </c>
      <c r="BC482" s="50" t="n">
        <f aca="false">BB482*CB482</f>
        <v>5.96153846153846</v>
      </c>
      <c r="BD482" s="51" t="n">
        <f aca="false">IF(LEFT(Cockpit!$O$5,1)="A",H482,IF(CH482=1,(CK482+CI482)/2,IF(LEFT(Cockpit!$O$5,1)="B",(CK482+BF482)/2,MAX((CK482+BF482)/2,H482))))</f>
        <v>0.5</v>
      </c>
      <c r="BE482" s="50" t="n">
        <f aca="false">BD482*G482</f>
        <v>0.96</v>
      </c>
      <c r="BF482" s="50" t="n">
        <f aca="false">ROUNDUP(CK482+MAX(CL482,2*(J482/IF(CG482&gt;0,CG482,MAX(0.1,N(Cockpit!$O$6)))-CK482)),0)</f>
        <v>1</v>
      </c>
      <c r="BG482" s="51" t="n">
        <f aca="false">IF(BC482&gt;0,J482/BC482,-1)</f>
        <v>0</v>
      </c>
      <c r="BH482" s="51" t="n">
        <f aca="false">IF(AND(OR(CF482="L1",CF482="L23",CF482="LIFT"),BC482&gt;0),SUMIFS($BC$7:$BC$1843,$CF$7:$CF$1843,CF482,$BG$7:$BG$1843,"&gt;"&amp;BG482)+SUMIFS($BC$7:$BC$1843,$CF$7:$CF$1843,CF482,$BG$7:$BG$1843,BG482,$BW$7:$BW$1843,"&lt;="&amp;BW482),"")</f>
        <v>27684.3153597815</v>
      </c>
      <c r="BI482" s="58" t="n">
        <f aca="false">IF(BH482="",0,MAX(0,MIN(1,(IF(CF482="L1",Parameter!$H$5,IF(CF482="L23",Parameter!$H$6+Parameter!$H$7,Parameter!$H$5+Parameter!$H$6+Parameter!$H$7))-(BH482-BC482))/BC482)))</f>
        <v>1</v>
      </c>
      <c r="BJ482" s="48" t="str">
        <f aca="false">IF(AI482&lt;=0,"",IF(CF482="Aussen","Aussenlager",IF(CF482="-","Nicht im Lift",IF(AO482&gt;=1,"Lift",IF(AO482&lt;=0,"Aussenlager","teilweise")))))</f>
        <v>Lift</v>
      </c>
      <c r="BK482" s="48" t="str">
        <f aca="false">IF(AS482&lt;=0,"",IF(CF482="Aussen","Aussenlager",IF(CF482="-","Nicht im Lift",IF(AY482&gt;=1,"Lift",IF(AY482&lt;=0,"Aussenlager","teilweise")))))</f>
        <v>Lift</v>
      </c>
      <c r="BL482" s="48" t="str">
        <f aca="false">IF(BC482&lt;=0,"",IF(CF482="Aussen","Aussenlager",IF(CF482="-","Nicht im Lift",IF(BI482&gt;=1,"Lift",IF(BI482&lt;=0,"Aussenlager","teilweise")))))</f>
        <v>Lift</v>
      </c>
      <c r="BM482" s="48" t="str">
        <f aca="false">IF(A482="","",IF(BV482=1,"Neu; ","")&amp;IF(AND(BV482=0,BQ482&lt;0),"negativer Bestand (Export "&amp;BQ482&amp;"); ","")&amp;IF(J482&lt;=0,"Kein Verbrauch; ","")&amp;IF(CQ482&gt;0,"Lift "&amp;W482&amp;" lt. Liftbericht (Fach "&amp;X482&amp;" Stk); ",IF(CA482=1,"Gebinde geschätzt ("&amp;T482&amp;"); ",IF(BZ482=1,"Lose – Tablare geschätzt; ","")))&amp;IF(H482&gt;AV482,"Überbestand "&amp;ROUND(H482-AV482,0)&amp;" Stk / CHF "&amp;ROUND((H482-AV482)*G482,0)&amp;"; ","")&amp;IF(AND(CH482=1,CI482&lt;CJ482),"MAX &lt; MB+LG; ","")&amp;IF(AND(CP482&gt;0,CO482*10&gt;CP482),"zu hoch für Tablar; ","")&amp;IF(AND(BV482=0,OR(CH482=1,AA482&lt;&gt;"",U482&lt;&gt;"",V482&lt;&gt;"",AB482&lt;&gt;"")),"manuell übersteuert; ","")&amp;IF(AND(BZ482=0,R482=0),"Gebinde unbekannt / Stellmass fehlt; ","")&amp;IF(AND(BZ482=0,N(V482)&lt;=0,N(Q482)&lt;=0),"Menge pro Gebinde fehlt (Ist = 1 Gebinde); ","")&amp;BU482)</f>
        <v>Kein Verbrauch; Gebinde geschätzt (Klein); Überbestand 24 Stk / CHF 46; Menge pro Gebinde fehlt (Ist = 1 Gebinde); </v>
      </c>
      <c r="BN482" s="48"/>
      <c r="BO482" s="48"/>
      <c r="BP482" s="55"/>
      <c r="BQ482" s="50" t="n">
        <v>25</v>
      </c>
      <c r="BR482" s="50" t="n">
        <v>0</v>
      </c>
      <c r="BS482" s="49" t="n">
        <v>48</v>
      </c>
      <c r="BT482" s="50" t="n">
        <v>0</v>
      </c>
      <c r="BU482" s="48"/>
      <c r="BV482" s="53" t="n">
        <v>0</v>
      </c>
      <c r="BW482" s="53" t="n">
        <v>482</v>
      </c>
      <c r="BX482" s="48" t="str">
        <f aca="false">IF(U482&lt;&gt;"",UPPER(TRIM(U482)),IF(CA482=1,UPPER(VLOOKUP(T482,Parameter!$I$27:$K$29,2,0)),IF(P482="","LOSE",P482)))</f>
        <v>S51</v>
      </c>
      <c r="BY482" s="50" t="n">
        <f aca="false">IF(BX482="LOSE",1,IF(N(V482)&gt;0,V482,IF(CA482=1,MAX(1,N(VLOOKUP(T482,Parameter!$I$27:$K$29,3,0)),H482,N(N482)),IF(N(Q482)&gt;0,Q482,MAX(1,H482)))))</f>
        <v>25</v>
      </c>
      <c r="BZ482" s="53" t="n">
        <f aca="false">IF(BX482="LOSE",1,0)</f>
        <v>0</v>
      </c>
      <c r="CA482" s="53" t="n">
        <f aca="false">IF(AND(U482="",OR(P482="",P482="LOSE"),T482&lt;&gt;"",N(S482)&lt;=0,ISNUMBER(MATCH(T482,Parameter!$I$27:$I$29,0))),1,0)</f>
        <v>1</v>
      </c>
      <c r="CB482" s="53" t="n">
        <f aca="false">IF(CQ482&gt;0,INDEX(Parameter!$H$5:$H$7,W482)/INDEX(Parameter!$E$5:$E$7,W482),IF(AND(BZ482=0,N(IFERROR(VLOOKUP(BX482,'Gebinde-Kategorie'!$A$5:$N$45,14,0),0))&gt;0),VLOOKUP(BX482,'Gebinde-Kategorie'!$A$5:$N$45,14,0)*10+Parameter!$M$23,Parameter!$M$24))</f>
        <v>155</v>
      </c>
      <c r="CC482" s="48" t="str">
        <f aca="false">IF(AND(Parameter!$B$19="Ja",E482&lt;&gt;"",ISNUMBER(MATCH(E482,Parameter!$I$35:$I$52,0))),VLOOKUP(E482,Parameter!$I$35:$J$52,2,0),IFERROR(VLOOKUP(D482,Parameter!$A$35:$C$64,2,0),"Nein"))</f>
        <v>2+3</v>
      </c>
      <c r="CD482" s="52" t="n">
        <f aca="false">IF(BZ482=0,0,IF(N(S482)&gt;0,S482,IFERROR(VLOOKUP(D482,Parameter!$A$35:$C$64,3,0)+0,0)))</f>
        <v>0</v>
      </c>
      <c r="CE482" s="48" t="n">
        <f aca="false">IF(AA482&lt;&gt;"",AA482,Z482)</f>
        <v>3</v>
      </c>
      <c r="CF482" s="48" t="str">
        <f aca="false">IF(OR(CE482=1,CE482=2,CE482=3),IF(Parameter!$E$27="Ja","LIFT",IF(CE482=1,"L1","L23")),IF(CE482="Aussen","Aussen","-"))</f>
        <v>LIFT</v>
      </c>
      <c r="CG482" s="59" t="n">
        <f aca="false">IF(N(AB482)&gt;0,AB482,0)</f>
        <v>0</v>
      </c>
      <c r="CH482" s="53" t="n">
        <f aca="false">IF(ISNUMBER(AE482),1,0)</f>
        <v>0</v>
      </c>
      <c r="CI482" s="50" t="n">
        <f aca="false">N(AE482)</f>
        <v>0</v>
      </c>
      <c r="CJ482" s="50" t="n">
        <f aca="false">N(M482)+N(N482)</f>
        <v>1</v>
      </c>
      <c r="CK482" s="50" t="n">
        <f aca="false">N(M482)</f>
        <v>0</v>
      </c>
      <c r="CL482" s="50" t="n">
        <f aca="false">N(N482)</f>
        <v>1</v>
      </c>
      <c r="CM482" s="50" t="n">
        <f aca="false">ROUNDUP(H482/BY482,0)</f>
        <v>1</v>
      </c>
      <c r="CN482" s="50" t="n">
        <f aca="false">ROUNDUP(CI482/BY482,0)</f>
        <v>0</v>
      </c>
      <c r="CO482" s="53" t="n">
        <f aca="false">IF(BZ482=1,0,IFERROR(VLOOKUP(BX482,'Gebinde-Kategorie'!$A$5:$N$45,5,0)+0,0))</f>
        <v>11</v>
      </c>
      <c r="CP482" s="53" t="n">
        <f aca="false">IFERROR(IF(OR(CE482=1,CE482=2,CE482=3),N(INDEX(Parameter!$I$5:$I$7,CE482)),0),0)</f>
        <v>0</v>
      </c>
      <c r="CQ482" s="52" t="n">
        <f aca="false">IF(AND(Parameter!$B$21="Ja",ISNUMBER(W482),N(X482)&gt;0),IFERROR(N(INDEX(Parameter!$L$5:$L$7,W482))*INDEX(Parameter!$E$5:$E$7,W482)*X482/SUMIFS($X$7:$X$1843,$W$7:$W$1843,W482),0),0)</f>
        <v>0</v>
      </c>
    </row>
    <row r="483" customFormat="false" ht="15" hidden="false" customHeight="false" outlineLevel="0" collapsed="false">
      <c r="A483" s="48" t="s">
        <v>1081</v>
      </c>
      <c r="B483" s="48" t="s">
        <v>1082</v>
      </c>
      <c r="C483" s="48" t="s">
        <v>173</v>
      </c>
      <c r="D483" s="48" t="s">
        <v>182</v>
      </c>
      <c r="E483" s="48"/>
      <c r="F483" s="48" t="s">
        <v>227</v>
      </c>
      <c r="G483" s="49" t="n">
        <v>48</v>
      </c>
      <c r="H483" s="50" t="n">
        <f aca="false">MAX(0,IF(AND(Parameter!$B$21="Ja",ISNUMBER(Y483)),Y483,IF(Parameter!$B$20="Jahresanfang 2025 + Export",BR483+BQ483,BQ483)))</f>
        <v>4</v>
      </c>
      <c r="I483" s="50" t="n">
        <f aca="false">H483*G483</f>
        <v>192</v>
      </c>
      <c r="J483" s="50" t="n">
        <f aca="false">BT483*Parameter!$B$18</f>
        <v>0</v>
      </c>
      <c r="K483" s="51" t="n">
        <v>3.5</v>
      </c>
      <c r="L483" s="52" t="n">
        <v>0</v>
      </c>
      <c r="M483" s="50" t="n">
        <v>0</v>
      </c>
      <c r="N483" s="50" t="n">
        <v>1</v>
      </c>
      <c r="O483" s="53" t="n">
        <v>21</v>
      </c>
      <c r="P483" s="48" t="s">
        <v>177</v>
      </c>
      <c r="Q483" s="50"/>
      <c r="R483" s="53" t="n">
        <f aca="false">IF(BZ483=1,0,IFERROR(VLOOKUP(BX483,'Gebinde-Kategorie'!$A$5:$N$45,13,0)+0,0))</f>
        <v>12</v>
      </c>
      <c r="S483" s="54"/>
      <c r="T483" s="55" t="s">
        <v>188</v>
      </c>
      <c r="U483" s="55"/>
      <c r="V483" s="55"/>
      <c r="W483" s="48"/>
      <c r="X483" s="50"/>
      <c r="Y483" s="50"/>
      <c r="Z483" s="48" t="n">
        <f aca="false">IF(A483="","",IF(AND(Parameter!$B$21="Ja",ISNUMBER(W483)),W483,IF(CC483="2+3",IF(ISNUMBER(SEARCH("grosser Artikel",BU483)),2,IFERROR(VLOOKUP(BX483,Parameter!$F$35:$G$64,2,0),2)),IF(OR(CC483="Nein",CC483=""),"-",CC483))))</f>
        <v>2</v>
      </c>
      <c r="AA483" s="55"/>
      <c r="AB483" s="56"/>
      <c r="AC483" s="50" t="n">
        <f aca="false">AV483</f>
        <v>1</v>
      </c>
      <c r="AD483" s="50" t="n">
        <f aca="false">MAX(AV483,H483)</f>
        <v>4</v>
      </c>
      <c r="AE483" s="57"/>
      <c r="AF483" s="50" t="n">
        <f aca="false">IF(LEFT(Cockpit!$C$5,1)="A",H483,IF(Parameter!$E$30="MAX-Bestand",IF(CH483=1,CI483,IF(LEFT(Cockpit!$C$5,1)="B",AL483,MAX(AL483,H483))),ROUNDUP(AJ483,0)))</f>
        <v>4</v>
      </c>
      <c r="AG483" s="50" t="n">
        <f aca="false">IF(BZ483=1,0,ROUNDUP(AF483/BY483,0))</f>
        <v>1</v>
      </c>
      <c r="AH483" s="52" t="n">
        <f aca="false">IF(CQ483&gt;0,CQ483*MAX(1,AF483/X483),IF(BZ483=1,IF(AF483&lt;=0,0,CD483*MAX(1,IF(H483&gt;0,AF483/H483,1))),IF(R483&gt;0,AG483/R483,0))/MAX(0.1,N(Parameter!$M$21)))</f>
        <v>0.0833333333333333</v>
      </c>
      <c r="AI483" s="50" t="n">
        <f aca="false">AH483*CB483</f>
        <v>12.0833333333333</v>
      </c>
      <c r="AJ483" s="51" t="n">
        <f aca="false">IF(LEFT(Cockpit!$C$5,1)="A",H483,IF(CH483=1,(CK483+CI483)/2,IF(LEFT(Cockpit!$C$5,1)="B",(CK483+AL483)/2,MAX((CK483+AL483)/2,H483))))</f>
        <v>4</v>
      </c>
      <c r="AK483" s="50" t="n">
        <f aca="false">AJ483*G483</f>
        <v>192</v>
      </c>
      <c r="AL483" s="50" t="n">
        <f aca="false">ROUNDUP(CK483+MAX(CL483,2*(J483/IF(CG483&gt;0,CG483,MAX(0.1,N(Cockpit!$C$6)))-CK483)),0)</f>
        <v>1</v>
      </c>
      <c r="AM483" s="51" t="n">
        <f aca="false">IF(AI483&gt;0,J483/AI483,-1)</f>
        <v>0</v>
      </c>
      <c r="AN483" s="51" t="n">
        <f aca="false">IF(AND(OR(CF483="L1",CF483="L23",CF483="LIFT"),AI483&gt;0),SUMIFS($AI$7:$AI$1843,$CF$7:$CF$1843,CF483,$AM$7:$AM$1843,"&gt;"&amp;AM483)+SUMIFS($AI$7:$AI$1843,$CF$7:$CF$1843,CF483,$AM$7:$AM$1843,AM483,$BW$7:$BW$1843,"&lt;="&amp;BW483),"")</f>
        <v>28236.0152780365</v>
      </c>
      <c r="AO483" s="58" t="n">
        <f aca="false">IF(AN483="",0,MAX(0,MIN(1,(IF(CF483="L1",Parameter!$H$5,IF(CF483="L23",Parameter!$H$6+Parameter!$H$7,Parameter!$H$5+Parameter!$H$6+Parameter!$H$7))-(AN483-AI483))/AI483)))</f>
        <v>1</v>
      </c>
      <c r="AP483" s="50" t="n">
        <f aca="false">IF(LEFT(Cockpit!$I$5,1)="A",H483,IF(Parameter!$E$30="MAX-Bestand",IF(CH483=1,CI483,IF(LEFT(Cockpit!$I$5,1)="B",AV483,MAX(AV483,H483))),ROUNDUP(AT483,0)))</f>
        <v>4</v>
      </c>
      <c r="AQ483" s="50" t="n">
        <f aca="false">IF(BZ483=1,0,ROUNDUP(AP483/BY483,0))</f>
        <v>1</v>
      </c>
      <c r="AR483" s="52" t="n">
        <f aca="false">IF(CQ483&gt;0,CQ483*MAX(1,AP483/X483),IF(BZ483=1,IF(AP483&lt;=0,0,CD483*MAX(1,IF(H483&gt;0,AP483/H483,1))),IF(R483&gt;0,AQ483/R483,0))/MAX(0.1,N(Parameter!$M$21)))</f>
        <v>0.0833333333333333</v>
      </c>
      <c r="AS483" s="50" t="n">
        <f aca="false">AR483*CB483</f>
        <v>12.0833333333333</v>
      </c>
      <c r="AT483" s="51" t="n">
        <f aca="false">IF(LEFT(Cockpit!$I$5,1)="A",H483,IF(CH483=1,(CK483+CI483)/2,IF(LEFT(Cockpit!$I$5,1)="B",(CK483+AV483)/2,MAX((CK483+AV483)/2,H483))))</f>
        <v>4</v>
      </c>
      <c r="AU483" s="50" t="n">
        <f aca="false">AT483*G483</f>
        <v>192</v>
      </c>
      <c r="AV483" s="50" t="n">
        <f aca="false">ROUNDUP(CK483+MAX(CL483,2*(J483/IF(CG483&gt;0,CG483,MAX(0.1,N(Cockpit!$I$6)))-CK483)),0)</f>
        <v>1</v>
      </c>
      <c r="AW483" s="51" t="n">
        <f aca="false">IF(AS483&gt;0,J483/AS483,-1)</f>
        <v>0</v>
      </c>
      <c r="AX483" s="51" t="n">
        <f aca="false">IF(AND(OR(CF483="L1",CF483="L23",CF483="LIFT"),AS483&gt;0),SUMIFS($AS$7:$AS$1843,$CF$7:$CF$1843,CF483,$AW$7:$AW$1843,"&gt;"&amp;AW483)+SUMIFS($AS$7:$AS$1843,$CF$7:$CF$1843,CF483,$AW$7:$AW$1843,AW483,$BW$7:$BW$1843,"&lt;="&amp;BW483),"")</f>
        <v>33589.1639194139</v>
      </c>
      <c r="AY483" s="58" t="n">
        <f aca="false">IF(AX483="",0,MAX(0,MIN(1,(IF(CF483="L1",Parameter!$H$5,IF(CF483="L23",Parameter!$H$6+Parameter!$H$7,Parameter!$H$5+Parameter!$H$6+Parameter!$H$7))-(AX483-AS483))/AS483)))</f>
        <v>1</v>
      </c>
      <c r="AZ483" s="50" t="n">
        <f aca="false">IF(LEFT(Cockpit!$O$5,1)="A",H483,IF(Parameter!$E$30="MAX-Bestand",IF(CH483=1,CI483,IF(LEFT(Cockpit!$O$5,1)="B",BF483,MAX(BF483,H483))),ROUNDUP(BD483,0)))</f>
        <v>1</v>
      </c>
      <c r="BA483" s="50" t="n">
        <f aca="false">IF(BZ483=1,0,ROUNDUP(AZ483/BY483,0))</f>
        <v>1</v>
      </c>
      <c r="BB483" s="52" t="n">
        <f aca="false">IF(CQ483&gt;0,CQ483*MAX(1,AZ483/X483),IF(BZ483=1,IF(AZ483&lt;=0,0,CD483*MAX(1,IF(H483&gt;0,AZ483/H483,1))),IF(R483&gt;0,BA483/R483,0))/MAX(0.1,N(Parameter!$M$21)))</f>
        <v>0.0833333333333333</v>
      </c>
      <c r="BC483" s="50" t="n">
        <f aca="false">BB483*CB483</f>
        <v>12.0833333333333</v>
      </c>
      <c r="BD483" s="51" t="n">
        <f aca="false">IF(LEFT(Cockpit!$O$5,1)="A",H483,IF(CH483=1,(CK483+CI483)/2,IF(LEFT(Cockpit!$O$5,1)="B",(CK483+BF483)/2,MAX((CK483+BF483)/2,H483))))</f>
        <v>0.5</v>
      </c>
      <c r="BE483" s="50" t="n">
        <f aca="false">BD483*G483</f>
        <v>24</v>
      </c>
      <c r="BF483" s="50" t="n">
        <f aca="false">ROUNDUP(CK483+MAX(CL483,2*(J483/IF(CG483&gt;0,CG483,MAX(0.1,N(Cockpit!$O$6)))-CK483)),0)</f>
        <v>1</v>
      </c>
      <c r="BG483" s="51" t="n">
        <f aca="false">IF(BC483&gt;0,J483/BC483,-1)</f>
        <v>0</v>
      </c>
      <c r="BH483" s="51" t="n">
        <f aca="false">IF(AND(OR(CF483="L1",CF483="L23",CF483="LIFT"),BC483&gt;0),SUMIFS($BC$7:$BC$1843,$CF$7:$CF$1843,CF483,$BG$7:$BG$1843,"&gt;"&amp;BG483)+SUMIFS($BC$7:$BC$1843,$CF$7:$CF$1843,CF483,$BG$7:$BG$1843,BG483,$BW$7:$BW$1843,"&lt;="&amp;BW483),"")</f>
        <v>27696.3986931148</v>
      </c>
      <c r="BI483" s="58" t="n">
        <f aca="false">IF(BH483="",0,MAX(0,MIN(1,(IF(CF483="L1",Parameter!$H$5,IF(CF483="L23",Parameter!$H$6+Parameter!$H$7,Parameter!$H$5+Parameter!$H$6+Parameter!$H$7))-(BH483-BC483))/BC483)))</f>
        <v>1</v>
      </c>
      <c r="BJ483" s="48" t="str">
        <f aca="false">IF(AI483&lt;=0,"",IF(CF483="Aussen","Aussenlager",IF(CF483="-","Nicht im Lift",IF(AO483&gt;=1,"Lift",IF(AO483&lt;=0,"Aussenlager","teilweise")))))</f>
        <v>Lift</v>
      </c>
      <c r="BK483" s="48" t="str">
        <f aca="false">IF(AS483&lt;=0,"",IF(CF483="Aussen","Aussenlager",IF(CF483="-","Nicht im Lift",IF(AY483&gt;=1,"Lift",IF(AY483&lt;=0,"Aussenlager","teilweise")))))</f>
        <v>Lift</v>
      </c>
      <c r="BL483" s="48" t="str">
        <f aca="false">IF(BC483&lt;=0,"",IF(CF483="Aussen","Aussenlager",IF(CF483="-","Nicht im Lift",IF(BI483&gt;=1,"Lift",IF(BI483&lt;=0,"Aussenlager","teilweise")))))</f>
        <v>Lift</v>
      </c>
      <c r="BM483" s="48" t="str">
        <f aca="false">IF(A483="","",IF(BV483=1,"Neu; ","")&amp;IF(AND(BV483=0,BQ483&lt;0),"negativer Bestand (Export "&amp;BQ483&amp;"); ","")&amp;IF(J483&lt;=0,"Kein Verbrauch; ","")&amp;IF(CQ483&gt;0,"Lift "&amp;W483&amp;" lt. Liftbericht (Fach "&amp;X483&amp;" Stk); ",IF(CA483=1,"Gebinde geschätzt ("&amp;T483&amp;"); ",IF(BZ483=1,"Lose – Tablare geschätzt; ","")))&amp;IF(H483&gt;AV483,"Überbestand "&amp;ROUND(H483-AV483,0)&amp;" Stk / CHF "&amp;ROUND((H483-AV483)*G483,0)&amp;"; ","")&amp;IF(AND(CH483=1,CI483&lt;CJ483),"MAX &lt; MB+LG; ","")&amp;IF(AND(CP483&gt;0,CO483*10&gt;CP483),"zu hoch für Tablar; ","")&amp;IF(AND(BV483=0,OR(CH483=1,AA483&lt;&gt;"",U483&lt;&gt;"",V483&lt;&gt;"",AB483&lt;&gt;"")),"manuell übersteuert; ","")&amp;IF(AND(BZ483=0,R483=0),"Gebinde unbekannt / Stellmass fehlt; ","")&amp;IF(AND(BZ483=0,N(V483)&lt;=0,N(Q483)&lt;=0),"Menge pro Gebinde fehlt (Ist = 1 Gebinde); ","")&amp;BU483)</f>
        <v>Kein Verbrauch; Gebinde geschätzt (Mittel); Überbestand 3 Stk / CHF 144; Menge pro Gebinde fehlt (Ist = 1 Gebinde); </v>
      </c>
      <c r="BN483" s="48"/>
      <c r="BO483" s="48"/>
      <c r="BP483" s="55"/>
      <c r="BQ483" s="50" t="n">
        <v>1</v>
      </c>
      <c r="BR483" s="50" t="n">
        <v>3</v>
      </c>
      <c r="BS483" s="49" t="n">
        <v>48</v>
      </c>
      <c r="BT483" s="50" t="n">
        <v>0</v>
      </c>
      <c r="BU483" s="48"/>
      <c r="BV483" s="53" t="n">
        <v>0</v>
      </c>
      <c r="BW483" s="53" t="n">
        <v>483</v>
      </c>
      <c r="BX483" s="48" t="str">
        <f aca="false">IF(U483&lt;&gt;"",UPPER(TRIM(U483)),IF(CA483=1,UPPER(VLOOKUP(T483,Parameter!$I$27:$K$29,2,0)),IF(P483="","LOSE",P483)))</f>
        <v>S61</v>
      </c>
      <c r="BY483" s="50" t="n">
        <f aca="false">IF(BX483="LOSE",1,IF(N(V483)&gt;0,V483,IF(CA483=1,MAX(1,N(VLOOKUP(T483,Parameter!$I$27:$K$29,3,0)),H483,N(N483)),IF(N(Q483)&gt;0,Q483,MAX(1,H483)))))</f>
        <v>4</v>
      </c>
      <c r="BZ483" s="53" t="n">
        <f aca="false">IF(BX483="LOSE",1,0)</f>
        <v>0</v>
      </c>
      <c r="CA483" s="53" t="n">
        <f aca="false">IF(AND(U483="",OR(P483="",P483="LOSE"),T483&lt;&gt;"",N(S483)&lt;=0,ISNUMBER(MATCH(T483,Parameter!$I$27:$I$29,0))),1,0)</f>
        <v>1</v>
      </c>
      <c r="CB483" s="53" t="n">
        <f aca="false">IF(CQ483&gt;0,INDEX(Parameter!$H$5:$H$7,W483)/INDEX(Parameter!$E$5:$E$7,W483),IF(AND(BZ483=0,N(IFERROR(VLOOKUP(BX483,'Gebinde-Kategorie'!$A$5:$N$45,14,0),0))&gt;0),VLOOKUP(BX483,'Gebinde-Kategorie'!$A$5:$N$45,14,0)*10+Parameter!$M$23,Parameter!$M$24))</f>
        <v>145</v>
      </c>
      <c r="CC483" s="48" t="str">
        <f aca="false">IF(AND(Parameter!$B$19="Ja",E483&lt;&gt;"",ISNUMBER(MATCH(E483,Parameter!$I$35:$I$52,0))),VLOOKUP(E483,Parameter!$I$35:$J$52,2,0),IFERROR(VLOOKUP(D483,Parameter!$A$35:$C$64,2,0),"Nein"))</f>
        <v>2+3</v>
      </c>
      <c r="CD483" s="52" t="n">
        <f aca="false">IF(BZ483=0,0,IF(N(S483)&gt;0,S483,IFERROR(VLOOKUP(D483,Parameter!$A$35:$C$64,3,0)+0,0)))</f>
        <v>0</v>
      </c>
      <c r="CE483" s="48" t="n">
        <f aca="false">IF(AA483&lt;&gt;"",AA483,Z483)</f>
        <v>2</v>
      </c>
      <c r="CF483" s="48" t="str">
        <f aca="false">IF(OR(CE483=1,CE483=2,CE483=3),IF(Parameter!$E$27="Ja","LIFT",IF(CE483=1,"L1","L23")),IF(CE483="Aussen","Aussen","-"))</f>
        <v>LIFT</v>
      </c>
      <c r="CG483" s="59" t="n">
        <f aca="false">IF(N(AB483)&gt;0,AB483,0)</f>
        <v>0</v>
      </c>
      <c r="CH483" s="53" t="n">
        <f aca="false">IF(ISNUMBER(AE483),1,0)</f>
        <v>0</v>
      </c>
      <c r="CI483" s="50" t="n">
        <f aca="false">N(AE483)</f>
        <v>0</v>
      </c>
      <c r="CJ483" s="50" t="n">
        <f aca="false">N(M483)+N(N483)</f>
        <v>1</v>
      </c>
      <c r="CK483" s="50" t="n">
        <f aca="false">N(M483)</f>
        <v>0</v>
      </c>
      <c r="CL483" s="50" t="n">
        <f aca="false">N(N483)</f>
        <v>1</v>
      </c>
      <c r="CM483" s="50" t="n">
        <f aca="false">ROUNDUP(H483/BY483,0)</f>
        <v>1</v>
      </c>
      <c r="CN483" s="50" t="n">
        <f aca="false">ROUNDUP(CI483/BY483,0)</f>
        <v>0</v>
      </c>
      <c r="CO483" s="53" t="n">
        <f aca="false">IF(BZ483=1,0,IFERROR(VLOOKUP(BX483,'Gebinde-Kategorie'!$A$5:$N$45,5,0)+0,0))</f>
        <v>11</v>
      </c>
      <c r="CP483" s="53" t="n">
        <f aca="false">IFERROR(IF(OR(CE483=1,CE483=2,CE483=3),N(INDEX(Parameter!$I$5:$I$7,CE483)),0),0)</f>
        <v>0</v>
      </c>
      <c r="CQ483" s="52" t="n">
        <f aca="false">IF(AND(Parameter!$B$21="Ja",ISNUMBER(W483),N(X483)&gt;0),IFERROR(N(INDEX(Parameter!$L$5:$L$7,W483))*INDEX(Parameter!$E$5:$E$7,W483)*X483/SUMIFS($X$7:$X$1843,$W$7:$W$1843,W483),0),0)</f>
        <v>0</v>
      </c>
    </row>
    <row r="484" customFormat="false" ht="15" hidden="false" customHeight="false" outlineLevel="0" collapsed="false">
      <c r="A484" s="48" t="s">
        <v>1083</v>
      </c>
      <c r="B484" s="48" t="s">
        <v>728</v>
      </c>
      <c r="C484" s="48" t="s">
        <v>173</v>
      </c>
      <c r="D484" s="48" t="s">
        <v>193</v>
      </c>
      <c r="E484" s="48"/>
      <c r="F484" s="48" t="s">
        <v>227</v>
      </c>
      <c r="G484" s="49" t="n">
        <v>9.11</v>
      </c>
      <c r="H484" s="50" t="n">
        <f aca="false">MAX(0,IF(AND(Parameter!$B$21="Ja",ISNUMBER(Y484)),Y484,IF(Parameter!$B$20="Jahresanfang 2025 + Export",BR484+BQ484,BQ484)))</f>
        <v>5</v>
      </c>
      <c r="I484" s="50" t="n">
        <f aca="false">H484*G484</f>
        <v>45.55</v>
      </c>
      <c r="J484" s="50" t="n">
        <f aca="false">BT484*Parameter!$B$18</f>
        <v>15</v>
      </c>
      <c r="K484" s="51" t="n">
        <v>2.5</v>
      </c>
      <c r="L484" s="52" t="n">
        <v>6</v>
      </c>
      <c r="M484" s="50" t="n">
        <v>1</v>
      </c>
      <c r="N484" s="50" t="n">
        <v>15</v>
      </c>
      <c r="O484" s="53" t="n">
        <v>28</v>
      </c>
      <c r="P484" s="48" t="s">
        <v>337</v>
      </c>
      <c r="Q484" s="50" t="n">
        <v>10</v>
      </c>
      <c r="R484" s="53" t="n">
        <f aca="false">IF(BZ484=1,0,IFERROR(VLOOKUP(BX484,'Gebinde-Kategorie'!$A$5:$N$45,13,0)+0,0))</f>
        <v>52</v>
      </c>
      <c r="S484" s="54"/>
      <c r="T484" s="55"/>
      <c r="U484" s="55"/>
      <c r="V484" s="55"/>
      <c r="W484" s="48"/>
      <c r="X484" s="50"/>
      <c r="Y484" s="50"/>
      <c r="Z484" s="48" t="n">
        <f aca="false">IF(A484="","",IF(AND(Parameter!$B$21="Ja",ISNUMBER(W484)),W484,IF(CC484="2+3",IF(ISNUMBER(SEARCH("grosser Artikel",BU484)),2,IFERROR(VLOOKUP(BX484,Parameter!$F$35:$G$64,2,0),2)),IF(OR(CC484="Nein",CC484=""),"-",CC484))))</f>
        <v>3</v>
      </c>
      <c r="AA484" s="55"/>
      <c r="AB484" s="56"/>
      <c r="AC484" s="50" t="n">
        <f aca="false">AV484</f>
        <v>16</v>
      </c>
      <c r="AD484" s="50" t="n">
        <f aca="false">MAX(AV484,H484)</f>
        <v>16</v>
      </c>
      <c r="AE484" s="57"/>
      <c r="AF484" s="50" t="n">
        <f aca="false">IF(LEFT(Cockpit!$C$5,1)="A",H484,IF(Parameter!$E$30="MAX-Bestand",IF(CH484=1,CI484,IF(LEFT(Cockpit!$C$5,1)="B",AL484,MAX(AL484,H484))),ROUNDUP(AJ484,0)))</f>
        <v>5</v>
      </c>
      <c r="AG484" s="50" t="n">
        <f aca="false">IF(BZ484=1,0,ROUNDUP(AF484/BY484,0))</f>
        <v>1</v>
      </c>
      <c r="AH484" s="52" t="n">
        <f aca="false">IF(CQ484&gt;0,CQ484*MAX(1,AF484/X484),IF(BZ484=1,IF(AF484&lt;=0,0,CD484*MAX(1,IF(H484&gt;0,AF484/H484,1))),IF(R484&gt;0,AG484/R484,0))/MAX(0.1,N(Parameter!$M$21)))</f>
        <v>0.0192307692307692</v>
      </c>
      <c r="AI484" s="50" t="n">
        <f aca="false">AH484*CB484</f>
        <v>2.98076923076923</v>
      </c>
      <c r="AJ484" s="51" t="n">
        <f aca="false">IF(LEFT(Cockpit!$C$5,1)="A",H484,IF(CH484=1,(CK484+CI484)/2,IF(LEFT(Cockpit!$C$5,1)="B",(CK484+AL484)/2,MAX((CK484+AL484)/2,H484))))</f>
        <v>5</v>
      </c>
      <c r="AK484" s="50" t="n">
        <f aca="false">AJ484*G484</f>
        <v>45.55</v>
      </c>
      <c r="AL484" s="50" t="n">
        <f aca="false">ROUNDUP(CK484+MAX(CL484,2*(J484/IF(CG484&gt;0,CG484,MAX(0.1,N(Cockpit!$C$6)))-CK484)),0)</f>
        <v>16</v>
      </c>
      <c r="AM484" s="51" t="n">
        <f aca="false">IF(AI484&gt;0,J484/AI484,-1)</f>
        <v>5.03225806451613</v>
      </c>
      <c r="AN484" s="51" t="n">
        <f aca="false">IF(AND(OR(CF484="L1",CF484="L23",CF484="LIFT"),AI484&gt;0),SUMIFS($AI$7:$AI$1843,$CF$7:$CF$1843,CF484,$AM$7:$AM$1843,"&gt;"&amp;AM484)+SUMIFS($AI$7:$AI$1843,$CF$7:$CF$1843,CF484,$AM$7:$AM$1843,AM484,$BW$7:$BW$1843,"&lt;="&amp;BW484),"")</f>
        <v>3888.12408424908</v>
      </c>
      <c r="AO484" s="58" t="n">
        <f aca="false">IF(AN484="",0,MAX(0,MIN(1,(IF(CF484="L1",Parameter!$H$5,IF(CF484="L23",Parameter!$H$6+Parameter!$H$7,Parameter!$H$5+Parameter!$H$6+Parameter!$H$7))-(AN484-AI484))/AI484)))</f>
        <v>1</v>
      </c>
      <c r="AP484" s="50" t="n">
        <f aca="false">IF(LEFT(Cockpit!$I$5,1)="A",H484,IF(Parameter!$E$30="MAX-Bestand",IF(CH484=1,CI484,IF(LEFT(Cockpit!$I$5,1)="B",AV484,MAX(AV484,H484))),ROUNDUP(AT484,0)))</f>
        <v>9</v>
      </c>
      <c r="AQ484" s="50" t="n">
        <f aca="false">IF(BZ484=1,0,ROUNDUP(AP484/BY484,0))</f>
        <v>1</v>
      </c>
      <c r="AR484" s="52" t="n">
        <f aca="false">IF(CQ484&gt;0,CQ484*MAX(1,AP484/X484),IF(BZ484=1,IF(AP484&lt;=0,0,CD484*MAX(1,IF(H484&gt;0,AP484/H484,1))),IF(R484&gt;0,AQ484/R484,0))/MAX(0.1,N(Parameter!$M$21)))</f>
        <v>0.0192307692307692</v>
      </c>
      <c r="AS484" s="50" t="n">
        <f aca="false">AR484*CB484</f>
        <v>2.98076923076923</v>
      </c>
      <c r="AT484" s="51" t="n">
        <f aca="false">IF(LEFT(Cockpit!$I$5,1)="A",H484,IF(CH484=1,(CK484+CI484)/2,IF(LEFT(Cockpit!$I$5,1)="B",(CK484+AV484)/2,MAX((CK484+AV484)/2,H484))))</f>
        <v>8.5</v>
      </c>
      <c r="AU484" s="50" t="n">
        <f aca="false">AT484*G484</f>
        <v>77.435</v>
      </c>
      <c r="AV484" s="50" t="n">
        <f aca="false">ROUNDUP(CK484+MAX(CL484,2*(J484/IF(CG484&gt;0,CG484,MAX(0.1,N(Cockpit!$I$6)))-CK484)),0)</f>
        <v>16</v>
      </c>
      <c r="AW484" s="51" t="n">
        <f aca="false">IF(AS484&gt;0,J484/AS484,-1)</f>
        <v>5.03225806451613</v>
      </c>
      <c r="AX484" s="51" t="n">
        <f aca="false">IF(AND(OR(CF484="L1",CF484="L23",CF484="LIFT"),AS484&gt;0),SUMIFS($AS$7:$AS$1843,$CF$7:$CF$1843,CF484,$AW$7:$AW$1843,"&gt;"&amp;AW484)+SUMIFS($AS$7:$AS$1843,$CF$7:$CF$1843,CF484,$AW$7:$AW$1843,AW484,$BW$7:$BW$1843,"&lt;="&amp;BW484),"")</f>
        <v>4484.36492673993</v>
      </c>
      <c r="AY484" s="58" t="n">
        <f aca="false">IF(AX484="",0,MAX(0,MIN(1,(IF(CF484="L1",Parameter!$H$5,IF(CF484="L23",Parameter!$H$6+Parameter!$H$7,Parameter!$H$5+Parameter!$H$6+Parameter!$H$7))-(AX484-AS484))/AS484)))</f>
        <v>1</v>
      </c>
      <c r="AZ484" s="50" t="n">
        <f aca="false">IF(LEFT(Cockpit!$O$5,1)="A",H484,IF(Parameter!$E$30="MAX-Bestand",IF(CH484=1,CI484,IF(LEFT(Cockpit!$O$5,1)="B",BF484,MAX(BF484,H484))),ROUNDUP(BD484,0)))</f>
        <v>9</v>
      </c>
      <c r="BA484" s="50" t="n">
        <f aca="false">IF(BZ484=1,0,ROUNDUP(AZ484/BY484,0))</f>
        <v>1</v>
      </c>
      <c r="BB484" s="52" t="n">
        <f aca="false">IF(CQ484&gt;0,CQ484*MAX(1,AZ484/X484),IF(BZ484=1,IF(AZ484&lt;=0,0,CD484*MAX(1,IF(H484&gt;0,AZ484/H484,1))),IF(R484&gt;0,BA484/R484,0))/MAX(0.1,N(Parameter!$M$21)))</f>
        <v>0.0192307692307692</v>
      </c>
      <c r="BC484" s="50" t="n">
        <f aca="false">BB484*CB484</f>
        <v>2.98076923076923</v>
      </c>
      <c r="BD484" s="51" t="n">
        <f aca="false">IF(LEFT(Cockpit!$O$5,1)="A",H484,IF(CH484=1,(CK484+CI484)/2,IF(LEFT(Cockpit!$O$5,1)="B",(CK484+BF484)/2,MAX((CK484+BF484)/2,H484))))</f>
        <v>8.5</v>
      </c>
      <c r="BE484" s="50" t="n">
        <f aca="false">BD484*G484</f>
        <v>77.435</v>
      </c>
      <c r="BF484" s="50" t="n">
        <f aca="false">ROUNDUP(CK484+MAX(CL484,2*(J484/IF(CG484&gt;0,CG484,MAX(0.1,N(Cockpit!$O$6)))-CK484)),0)</f>
        <v>16</v>
      </c>
      <c r="BG484" s="51" t="n">
        <f aca="false">IF(BC484&gt;0,J484/BC484,-1)</f>
        <v>5.03225806451613</v>
      </c>
      <c r="BH484" s="51" t="n">
        <f aca="false">IF(AND(OR(CF484="L1",CF484="L23",CF484="LIFT"),BC484&gt;0),SUMIFS($BC$7:$BC$1843,$CF$7:$CF$1843,CF484,$BG$7:$BG$1843,"&gt;"&amp;BG484)+SUMIFS($BC$7:$BC$1843,$CF$7:$CF$1843,CF484,$BG$7:$BG$1843,BG484,$BW$7:$BW$1843,"&lt;="&amp;BW484),"")</f>
        <v>3700.41575091575</v>
      </c>
      <c r="BI484" s="58" t="n">
        <f aca="false">IF(BH484="",0,MAX(0,MIN(1,(IF(CF484="L1",Parameter!$H$5,IF(CF484="L23",Parameter!$H$6+Parameter!$H$7,Parameter!$H$5+Parameter!$H$6+Parameter!$H$7))-(BH484-BC484))/BC484)))</f>
        <v>1</v>
      </c>
      <c r="BJ484" s="48" t="str">
        <f aca="false">IF(AI484&lt;=0,"",IF(CF484="Aussen","Aussenlager",IF(CF484="-","Nicht im Lift",IF(AO484&gt;=1,"Lift",IF(AO484&lt;=0,"Aussenlager","teilweise")))))</f>
        <v>Lift</v>
      </c>
      <c r="BK484" s="48" t="str">
        <f aca="false">IF(AS484&lt;=0,"",IF(CF484="Aussen","Aussenlager",IF(CF484="-","Nicht im Lift",IF(AY484&gt;=1,"Lift",IF(AY484&lt;=0,"Aussenlager","teilweise")))))</f>
        <v>Lift</v>
      </c>
      <c r="BL484" s="48" t="str">
        <f aca="false">IF(BC484&lt;=0,"",IF(CF484="Aussen","Aussenlager",IF(CF484="-","Nicht im Lift",IF(BI484&gt;=1,"Lift",IF(BI484&lt;=0,"Aussenlager","teilweise")))))</f>
        <v>Lift</v>
      </c>
      <c r="BM484" s="48" t="str">
        <f aca="false">IF(A484="","",IF(BV484=1,"Neu; ","")&amp;IF(AND(BV484=0,BQ484&lt;0),"negativer Bestand (Export "&amp;BQ484&amp;"); ","")&amp;IF(J484&lt;=0,"Kein Verbrauch; ","")&amp;IF(CQ484&gt;0,"Lift "&amp;W484&amp;" lt. Liftbericht (Fach "&amp;X484&amp;" Stk); ",IF(CA484=1,"Gebinde geschätzt ("&amp;T484&amp;"); ",IF(BZ484=1,"Lose – Tablare geschätzt; ","")))&amp;IF(H484&gt;AV484,"Überbestand "&amp;ROUND(H484-AV484,0)&amp;" Stk / CHF "&amp;ROUND((H484-AV484)*G484,0)&amp;"; ","")&amp;IF(AND(CH484=1,CI484&lt;CJ484),"MAX &lt; MB+LG; ","")&amp;IF(AND(CP484&gt;0,CO484*10&gt;CP484),"zu hoch für Tablar; ","")&amp;IF(AND(BV484=0,OR(CH484=1,AA484&lt;&gt;"",U484&lt;&gt;"",V484&lt;&gt;"",AB484&lt;&gt;"")),"manuell übersteuert; ","")&amp;IF(AND(BZ484=0,R484=0),"Gebinde unbekannt / Stellmass fehlt; ","")&amp;IF(AND(BZ484=0,N(V484)&lt;=0,N(Q484)&lt;=0),"Menge pro Gebinde fehlt (Ist = 1 Gebinde); ","")&amp;BU484)</f>
        <v/>
      </c>
      <c r="BN484" s="48"/>
      <c r="BO484" s="48"/>
      <c r="BP484" s="55"/>
      <c r="BQ484" s="50" t="n">
        <v>5</v>
      </c>
      <c r="BR484" s="50" t="n">
        <v>0</v>
      </c>
      <c r="BS484" s="49" t="n">
        <v>45.55</v>
      </c>
      <c r="BT484" s="50" t="n">
        <v>15</v>
      </c>
      <c r="BU484" s="48"/>
      <c r="BV484" s="53" t="n">
        <v>0</v>
      </c>
      <c r="BW484" s="53" t="n">
        <v>484</v>
      </c>
      <c r="BX484" s="48" t="str">
        <f aca="false">IF(U484&lt;&gt;"",UPPER(TRIM(U484)),IF(CA484=1,UPPER(VLOOKUP(T484,Parameter!$I$27:$K$29,2,0)),IF(P484="","LOSE",P484)))</f>
        <v>S41</v>
      </c>
      <c r="BY484" s="50" t="n">
        <f aca="false">IF(BX484="LOSE",1,IF(N(V484)&gt;0,V484,IF(CA484=1,MAX(1,N(VLOOKUP(T484,Parameter!$I$27:$K$29,3,0)),H484,N(N484)),IF(N(Q484)&gt;0,Q484,MAX(1,H484)))))</f>
        <v>10</v>
      </c>
      <c r="BZ484" s="53" t="n">
        <f aca="false">IF(BX484="LOSE",1,0)</f>
        <v>0</v>
      </c>
      <c r="CA484" s="53" t="n">
        <f aca="false">IF(AND(U484="",OR(P484="",P484="LOSE"),T484&lt;&gt;"",N(S484)&lt;=0,ISNUMBER(MATCH(T484,Parameter!$I$27:$I$29,0))),1,0)</f>
        <v>0</v>
      </c>
      <c r="CB484" s="53" t="n">
        <f aca="false">IF(CQ484&gt;0,INDEX(Parameter!$H$5:$H$7,W484)/INDEX(Parameter!$E$5:$E$7,W484),IF(AND(BZ484=0,N(IFERROR(VLOOKUP(BX484,'Gebinde-Kategorie'!$A$5:$N$45,14,0),0))&gt;0),VLOOKUP(BX484,'Gebinde-Kategorie'!$A$5:$N$45,14,0)*10+Parameter!$M$23,Parameter!$M$24))</f>
        <v>155</v>
      </c>
      <c r="CC484" s="48" t="str">
        <f aca="false">IF(AND(Parameter!$B$19="Ja",E484&lt;&gt;"",ISNUMBER(MATCH(E484,Parameter!$I$35:$I$52,0))),VLOOKUP(E484,Parameter!$I$35:$J$52,2,0),IFERROR(VLOOKUP(D484,Parameter!$A$35:$C$64,2,0),"Nein"))</f>
        <v>2+3</v>
      </c>
      <c r="CD484" s="52" t="n">
        <f aca="false">IF(BZ484=0,0,IF(N(S484)&gt;0,S484,IFERROR(VLOOKUP(D484,Parameter!$A$35:$C$64,3,0)+0,0)))</f>
        <v>0</v>
      </c>
      <c r="CE484" s="48" t="n">
        <f aca="false">IF(AA484&lt;&gt;"",AA484,Z484)</f>
        <v>3</v>
      </c>
      <c r="CF484" s="48" t="str">
        <f aca="false">IF(OR(CE484=1,CE484=2,CE484=3),IF(Parameter!$E$27="Ja","LIFT",IF(CE484=1,"L1","L23")),IF(CE484="Aussen","Aussen","-"))</f>
        <v>LIFT</v>
      </c>
      <c r="CG484" s="59" t="n">
        <f aca="false">IF(N(AB484)&gt;0,AB484,0)</f>
        <v>0</v>
      </c>
      <c r="CH484" s="53" t="n">
        <f aca="false">IF(ISNUMBER(AE484),1,0)</f>
        <v>0</v>
      </c>
      <c r="CI484" s="50" t="n">
        <f aca="false">N(AE484)</f>
        <v>0</v>
      </c>
      <c r="CJ484" s="50" t="n">
        <f aca="false">N(M484)+N(N484)</f>
        <v>16</v>
      </c>
      <c r="CK484" s="50" t="n">
        <f aca="false">N(M484)</f>
        <v>1</v>
      </c>
      <c r="CL484" s="50" t="n">
        <f aca="false">N(N484)</f>
        <v>15</v>
      </c>
      <c r="CM484" s="50" t="n">
        <f aca="false">ROUNDUP(H484/BY484,0)</f>
        <v>1</v>
      </c>
      <c r="CN484" s="50" t="n">
        <f aca="false">ROUNDUP(CI484/BY484,0)</f>
        <v>0</v>
      </c>
      <c r="CO484" s="53" t="n">
        <f aca="false">IF(BZ484=1,0,IFERROR(VLOOKUP(BX484,'Gebinde-Kategorie'!$A$5:$N$45,5,0)+0,0))</f>
        <v>11</v>
      </c>
      <c r="CP484" s="53" t="n">
        <f aca="false">IFERROR(IF(OR(CE484=1,CE484=2,CE484=3),N(INDEX(Parameter!$I$5:$I$7,CE484)),0),0)</f>
        <v>0</v>
      </c>
      <c r="CQ484" s="52" t="n">
        <f aca="false">IF(AND(Parameter!$B$21="Ja",ISNUMBER(W484),N(X484)&gt;0),IFERROR(N(INDEX(Parameter!$L$5:$L$7,W484))*INDEX(Parameter!$E$5:$E$7,W484)*X484/SUMIFS($X$7:$X$1843,$W$7:$W$1843,W484),0),0)</f>
        <v>0</v>
      </c>
    </row>
    <row r="485" customFormat="false" ht="15" hidden="false" customHeight="false" outlineLevel="0" collapsed="false">
      <c r="A485" s="48" t="s">
        <v>1084</v>
      </c>
      <c r="B485" s="48" t="s">
        <v>1085</v>
      </c>
      <c r="C485" s="48" t="s">
        <v>173</v>
      </c>
      <c r="D485" s="48" t="s">
        <v>193</v>
      </c>
      <c r="E485" s="48" t="s">
        <v>194</v>
      </c>
      <c r="F485" s="48" t="s">
        <v>227</v>
      </c>
      <c r="G485" s="49" t="n">
        <v>0.66</v>
      </c>
      <c r="H485" s="50" t="n">
        <f aca="false">MAX(0,IF(AND(Parameter!$B$21="Ja",ISNUMBER(Y485)),Y485,IF(Parameter!$B$20="Jahresanfang 2025 + Export",BR485+BQ485,BQ485)))</f>
        <v>253</v>
      </c>
      <c r="I485" s="50" t="n">
        <f aca="false">H485*G485</f>
        <v>166.98</v>
      </c>
      <c r="J485" s="50" t="n">
        <f aca="false">BT485*Parameter!$B$18</f>
        <v>37</v>
      </c>
      <c r="K485" s="51" t="n">
        <v>110.5</v>
      </c>
      <c r="L485" s="52" t="n">
        <v>0.334841628959276</v>
      </c>
      <c r="M485" s="50" t="n">
        <v>1</v>
      </c>
      <c r="N485" s="50" t="n">
        <v>35</v>
      </c>
      <c r="O485" s="53" t="n">
        <v>14</v>
      </c>
      <c r="P485" s="48" t="s">
        <v>430</v>
      </c>
      <c r="Q485" s="50" t="n">
        <v>94</v>
      </c>
      <c r="R485" s="53" t="n">
        <f aca="false">IF(BZ485=1,0,IFERROR(VLOOKUP(BX485,'Gebinde-Kategorie'!$A$5:$N$45,13,0)+0,0))</f>
        <v>104</v>
      </c>
      <c r="S485" s="54"/>
      <c r="T485" s="55"/>
      <c r="U485" s="55"/>
      <c r="V485" s="55"/>
      <c r="W485" s="48"/>
      <c r="X485" s="50"/>
      <c r="Y485" s="50"/>
      <c r="Z485" s="48" t="n">
        <f aca="false">IF(A485="","",IF(AND(Parameter!$B$21="Ja",ISNUMBER(W485)),W485,IF(CC485="2+3",IF(ISNUMBER(SEARCH("grosser Artikel",BU485)),2,IFERROR(VLOOKUP(BX485,Parameter!$F$35:$G$64,2,0),2)),IF(OR(CC485="Nein",CC485=""),"-",CC485))))</f>
        <v>3</v>
      </c>
      <c r="AA485" s="55"/>
      <c r="AB485" s="56"/>
      <c r="AC485" s="50" t="n">
        <f aca="false">AV485</f>
        <v>36</v>
      </c>
      <c r="AD485" s="50" t="n">
        <f aca="false">MAX(AV485,H485)</f>
        <v>253</v>
      </c>
      <c r="AE485" s="57"/>
      <c r="AF485" s="50" t="n">
        <f aca="false">IF(LEFT(Cockpit!$C$5,1)="A",H485,IF(Parameter!$E$30="MAX-Bestand",IF(CH485=1,CI485,IF(LEFT(Cockpit!$C$5,1)="B",AL485,MAX(AL485,H485))),ROUNDUP(AJ485,0)))</f>
        <v>253</v>
      </c>
      <c r="AG485" s="50" t="n">
        <f aca="false">IF(BZ485=1,0,ROUNDUP(AF485/BY485,0))</f>
        <v>3</v>
      </c>
      <c r="AH485" s="52" t="n">
        <f aca="false">IF(CQ485&gt;0,CQ485*MAX(1,AF485/X485),IF(BZ485=1,IF(AF485&lt;=0,0,CD485*MAX(1,IF(H485&gt;0,AF485/H485,1))),IF(R485&gt;0,AG485/R485,0))/MAX(0.1,N(Parameter!$M$21)))</f>
        <v>0.0288461538461538</v>
      </c>
      <c r="AI485" s="50" t="n">
        <f aca="false">AH485*CB485</f>
        <v>4.47115384615385</v>
      </c>
      <c r="AJ485" s="51" t="n">
        <f aca="false">IF(LEFT(Cockpit!$C$5,1)="A",H485,IF(CH485=1,(CK485+CI485)/2,IF(LEFT(Cockpit!$C$5,1)="B",(CK485+AL485)/2,MAX((CK485+AL485)/2,H485))))</f>
        <v>253</v>
      </c>
      <c r="AK485" s="50" t="n">
        <f aca="false">AJ485*G485</f>
        <v>166.98</v>
      </c>
      <c r="AL485" s="50" t="n">
        <f aca="false">ROUNDUP(CK485+MAX(CL485,2*(J485/IF(CG485&gt;0,CG485,MAX(0.1,N(Cockpit!$C$6)))-CK485)),0)</f>
        <v>36</v>
      </c>
      <c r="AM485" s="51" t="n">
        <f aca="false">IF(AI485&gt;0,J485/AI485,-1)</f>
        <v>8.2752688172043</v>
      </c>
      <c r="AN485" s="51" t="n">
        <f aca="false">IF(AND(OR(CF485="L1",CF485="L23",CF485="LIFT"),AI485&gt;0),SUMIFS($AI$7:$AI$1843,$CF$7:$CF$1843,CF485,$AM$7:$AM$1843,"&gt;"&amp;AM485)+SUMIFS($AI$7:$AI$1843,$CF$7:$CF$1843,CF485,$AM$7:$AM$1843,AM485,$BW$7:$BW$1843,"&lt;="&amp;BW485),"")</f>
        <v>2998.28846153846</v>
      </c>
      <c r="AO485" s="58" t="n">
        <f aca="false">IF(AN485="",0,MAX(0,MIN(1,(IF(CF485="L1",Parameter!$H$5,IF(CF485="L23",Parameter!$H$6+Parameter!$H$7,Parameter!$H$5+Parameter!$H$6+Parameter!$H$7))-(AN485-AI485))/AI485)))</f>
        <v>1</v>
      </c>
      <c r="AP485" s="50" t="n">
        <f aca="false">IF(LEFT(Cockpit!$I$5,1)="A",H485,IF(Parameter!$E$30="MAX-Bestand",IF(CH485=1,CI485,IF(LEFT(Cockpit!$I$5,1)="B",AV485,MAX(AV485,H485))),ROUNDUP(AT485,0)))</f>
        <v>253</v>
      </c>
      <c r="AQ485" s="50" t="n">
        <f aca="false">IF(BZ485=1,0,ROUNDUP(AP485/BY485,0))</f>
        <v>3</v>
      </c>
      <c r="AR485" s="52" t="n">
        <f aca="false">IF(CQ485&gt;0,CQ485*MAX(1,AP485/X485),IF(BZ485=1,IF(AP485&lt;=0,0,CD485*MAX(1,IF(H485&gt;0,AP485/H485,1))),IF(R485&gt;0,AQ485/R485,0))/MAX(0.1,N(Parameter!$M$21)))</f>
        <v>0.0288461538461538</v>
      </c>
      <c r="AS485" s="50" t="n">
        <f aca="false">AR485*CB485</f>
        <v>4.47115384615385</v>
      </c>
      <c r="AT485" s="51" t="n">
        <f aca="false">IF(LEFT(Cockpit!$I$5,1)="A",H485,IF(CH485=1,(CK485+CI485)/2,IF(LEFT(Cockpit!$I$5,1)="B",(CK485+AV485)/2,MAX((CK485+AV485)/2,H485))))</f>
        <v>253</v>
      </c>
      <c r="AU485" s="50" t="n">
        <f aca="false">AT485*G485</f>
        <v>166.98</v>
      </c>
      <c r="AV485" s="50" t="n">
        <f aca="false">ROUNDUP(CK485+MAX(CL485,2*(J485/IF(CG485&gt;0,CG485,MAX(0.1,N(Cockpit!$I$6)))-CK485)),0)</f>
        <v>36</v>
      </c>
      <c r="AW485" s="51" t="n">
        <f aca="false">IF(AS485&gt;0,J485/AS485,-1)</f>
        <v>8.2752688172043</v>
      </c>
      <c r="AX485" s="51" t="n">
        <f aca="false">IF(AND(OR(CF485="L1",CF485="L23",CF485="LIFT"),AS485&gt;0),SUMIFS($AS$7:$AS$1843,$CF$7:$CF$1843,CF485,$AW$7:$AW$1843,"&gt;"&amp;AW485)+SUMIFS($AS$7:$AS$1843,$CF$7:$CF$1843,CF485,$AW$7:$AW$1843,AW485,$BW$7:$BW$1843,"&lt;="&amp;BW485),"")</f>
        <v>3584.52655677656</v>
      </c>
      <c r="AY485" s="58" t="n">
        <f aca="false">IF(AX485="",0,MAX(0,MIN(1,(IF(CF485="L1",Parameter!$H$5,IF(CF485="L23",Parameter!$H$6+Parameter!$H$7,Parameter!$H$5+Parameter!$H$6+Parameter!$H$7))-(AX485-AS485))/AS485)))</f>
        <v>1</v>
      </c>
      <c r="AZ485" s="50" t="n">
        <f aca="false">IF(LEFT(Cockpit!$O$5,1)="A",H485,IF(Parameter!$E$30="MAX-Bestand",IF(CH485=1,CI485,IF(LEFT(Cockpit!$O$5,1)="B",BF485,MAX(BF485,H485))),ROUNDUP(BD485,0)))</f>
        <v>19</v>
      </c>
      <c r="BA485" s="50" t="n">
        <f aca="false">IF(BZ485=1,0,ROUNDUP(AZ485/BY485,0))</f>
        <v>1</v>
      </c>
      <c r="BB485" s="52" t="n">
        <f aca="false">IF(CQ485&gt;0,CQ485*MAX(1,AZ485/X485),IF(BZ485=1,IF(AZ485&lt;=0,0,CD485*MAX(1,IF(H485&gt;0,AZ485/H485,1))),IF(R485&gt;0,BA485/R485,0))/MAX(0.1,N(Parameter!$M$21)))</f>
        <v>0.00961538461538462</v>
      </c>
      <c r="BC485" s="50" t="n">
        <f aca="false">BB485*CB485</f>
        <v>1.49038461538462</v>
      </c>
      <c r="BD485" s="51" t="n">
        <f aca="false">IF(LEFT(Cockpit!$O$5,1)="A",H485,IF(CH485=1,(CK485+CI485)/2,IF(LEFT(Cockpit!$O$5,1)="B",(CK485+BF485)/2,MAX((CK485+BF485)/2,H485))))</f>
        <v>18.5</v>
      </c>
      <c r="BE485" s="50" t="n">
        <f aca="false">BD485*G485</f>
        <v>12.21</v>
      </c>
      <c r="BF485" s="50" t="n">
        <f aca="false">ROUNDUP(CK485+MAX(CL485,2*(J485/IF(CG485&gt;0,CG485,MAX(0.1,N(Cockpit!$O$6)))-CK485)),0)</f>
        <v>36</v>
      </c>
      <c r="BG485" s="51" t="n">
        <f aca="false">IF(BC485&gt;0,J485/BC485,-1)</f>
        <v>24.8258064516129</v>
      </c>
      <c r="BH485" s="51" t="n">
        <f aca="false">IF(AND(OR(CF485="L1",CF485="L23",CF485="LIFT"),BC485&gt;0),SUMIFS($BC$7:$BC$1843,$CF$7:$CF$1843,CF485,$BG$7:$BG$1843,"&gt;"&amp;BG485)+SUMIFS($BC$7:$BC$1843,$CF$7:$CF$1843,CF485,$BG$7:$BG$1843,BG485,$BW$7:$BW$1843,"&lt;="&amp;BW485),"")</f>
        <v>2087.91208791209</v>
      </c>
      <c r="BI485" s="58" t="n">
        <f aca="false">IF(BH485="",0,MAX(0,MIN(1,(IF(CF485="L1",Parameter!$H$5,IF(CF485="L23",Parameter!$H$6+Parameter!$H$7,Parameter!$H$5+Parameter!$H$6+Parameter!$H$7))-(BH485-BC485))/BC485)))</f>
        <v>1</v>
      </c>
      <c r="BJ485" s="48" t="str">
        <f aca="false">IF(AI485&lt;=0,"",IF(CF485="Aussen","Aussenlager",IF(CF485="-","Nicht im Lift",IF(AO485&gt;=1,"Lift",IF(AO485&lt;=0,"Aussenlager","teilweise")))))</f>
        <v>Lift</v>
      </c>
      <c r="BK485" s="48" t="str">
        <f aca="false">IF(AS485&lt;=0,"",IF(CF485="Aussen","Aussenlager",IF(CF485="-","Nicht im Lift",IF(AY485&gt;=1,"Lift",IF(AY485&lt;=0,"Aussenlager","teilweise")))))</f>
        <v>Lift</v>
      </c>
      <c r="BL485" s="48" t="str">
        <f aca="false">IF(BC485&lt;=0,"",IF(CF485="Aussen","Aussenlager",IF(CF485="-","Nicht im Lift",IF(BI485&gt;=1,"Lift",IF(BI485&lt;=0,"Aussenlager","teilweise")))))</f>
        <v>Lift</v>
      </c>
      <c r="BM485" s="48" t="str">
        <f aca="false">IF(A485="","",IF(BV485=1,"Neu; ","")&amp;IF(AND(BV485=0,BQ485&lt;0),"negativer Bestand (Export "&amp;BQ485&amp;"); ","")&amp;IF(J485&lt;=0,"Kein Verbrauch; ","")&amp;IF(CQ485&gt;0,"Lift "&amp;W485&amp;" lt. Liftbericht (Fach "&amp;X485&amp;" Stk); ",IF(CA485=1,"Gebinde geschätzt ("&amp;T485&amp;"); ",IF(BZ485=1,"Lose – Tablare geschätzt; ","")))&amp;IF(H485&gt;AV485,"Überbestand "&amp;ROUND(H485-AV485,0)&amp;" Stk / CHF "&amp;ROUND((H485-AV485)*G485,0)&amp;"; ","")&amp;IF(AND(CH485=1,CI485&lt;CJ485),"MAX &lt; MB+LG; ","")&amp;IF(AND(CP485&gt;0,CO485*10&gt;CP485),"zu hoch für Tablar; ","")&amp;IF(AND(BV485=0,OR(CH485=1,AA485&lt;&gt;"",U485&lt;&gt;"",V485&lt;&gt;"",AB485&lt;&gt;"")),"manuell übersteuert; ","")&amp;IF(AND(BZ485=0,R485=0),"Gebinde unbekannt / Stellmass fehlt; ","")&amp;IF(AND(BZ485=0,N(V485)&lt;=0,N(Q485)&lt;=0),"Menge pro Gebinde fehlt (Ist = 1 Gebinde); ","")&amp;BU485)</f>
        <v>Überbestand 217 Stk / CHF 143; </v>
      </c>
      <c r="BN485" s="48"/>
      <c r="BO485" s="48"/>
      <c r="BP485" s="55"/>
      <c r="BQ485" s="50" t="n">
        <v>93</v>
      </c>
      <c r="BR485" s="50" t="n">
        <v>160</v>
      </c>
      <c r="BS485" s="49" t="n">
        <v>45.38</v>
      </c>
      <c r="BT485" s="50" t="n">
        <v>37</v>
      </c>
      <c r="BU485" s="48"/>
      <c r="BV485" s="53" t="n">
        <v>0</v>
      </c>
      <c r="BW485" s="53" t="n">
        <v>485</v>
      </c>
      <c r="BX485" s="48" t="str">
        <f aca="false">IF(U485&lt;&gt;"",UPPER(TRIM(U485)),IF(CA485=1,UPPER(VLOOKUP(T485,Parameter!$I$27:$K$29,2,0)),IF(P485="","LOSE",P485)))</f>
        <v>S32</v>
      </c>
      <c r="BY485" s="50" t="n">
        <f aca="false">IF(BX485="LOSE",1,IF(N(V485)&gt;0,V485,IF(CA485=1,MAX(1,N(VLOOKUP(T485,Parameter!$I$27:$K$29,3,0)),H485,N(N485)),IF(N(Q485)&gt;0,Q485,MAX(1,H485)))))</f>
        <v>94</v>
      </c>
      <c r="BZ485" s="53" t="n">
        <f aca="false">IF(BX485="LOSE",1,0)</f>
        <v>0</v>
      </c>
      <c r="CA485" s="53" t="n">
        <f aca="false">IF(AND(U485="",OR(P485="",P485="LOSE"),T485&lt;&gt;"",N(S485)&lt;=0,ISNUMBER(MATCH(T485,Parameter!$I$27:$I$29,0))),1,0)</f>
        <v>0</v>
      </c>
      <c r="CB485" s="53" t="n">
        <f aca="false">IF(CQ485&gt;0,INDEX(Parameter!$H$5:$H$7,W485)/INDEX(Parameter!$E$5:$E$7,W485),IF(AND(BZ485=0,N(IFERROR(VLOOKUP(BX485,'Gebinde-Kategorie'!$A$5:$N$45,14,0),0))&gt;0),VLOOKUP(BX485,'Gebinde-Kategorie'!$A$5:$N$45,14,0)*10+Parameter!$M$23,Parameter!$M$24))</f>
        <v>155</v>
      </c>
      <c r="CC485" s="48" t="str">
        <f aca="false">IF(AND(Parameter!$B$19="Ja",E485&lt;&gt;"",ISNUMBER(MATCH(E485,Parameter!$I$35:$I$52,0))),VLOOKUP(E485,Parameter!$I$35:$J$52,2,0),IFERROR(VLOOKUP(D485,Parameter!$A$35:$C$64,2,0),"Nein"))</f>
        <v>2+3</v>
      </c>
      <c r="CD485" s="52" t="n">
        <f aca="false">IF(BZ485=0,0,IF(N(S485)&gt;0,S485,IFERROR(VLOOKUP(D485,Parameter!$A$35:$C$64,3,0)+0,0)))</f>
        <v>0</v>
      </c>
      <c r="CE485" s="48" t="n">
        <f aca="false">IF(AA485&lt;&gt;"",AA485,Z485)</f>
        <v>3</v>
      </c>
      <c r="CF485" s="48" t="str">
        <f aca="false">IF(OR(CE485=1,CE485=2,CE485=3),IF(Parameter!$E$27="Ja","LIFT",IF(CE485=1,"L1","L23")),IF(CE485="Aussen","Aussen","-"))</f>
        <v>LIFT</v>
      </c>
      <c r="CG485" s="59" t="n">
        <f aca="false">IF(N(AB485)&gt;0,AB485,0)</f>
        <v>0</v>
      </c>
      <c r="CH485" s="53" t="n">
        <f aca="false">IF(ISNUMBER(AE485),1,0)</f>
        <v>0</v>
      </c>
      <c r="CI485" s="50" t="n">
        <f aca="false">N(AE485)</f>
        <v>0</v>
      </c>
      <c r="CJ485" s="50" t="n">
        <f aca="false">N(M485)+N(N485)</f>
        <v>36</v>
      </c>
      <c r="CK485" s="50" t="n">
        <f aca="false">N(M485)</f>
        <v>1</v>
      </c>
      <c r="CL485" s="50" t="n">
        <f aca="false">N(N485)</f>
        <v>35</v>
      </c>
      <c r="CM485" s="50" t="n">
        <f aca="false">ROUNDUP(H485/BY485,0)</f>
        <v>3</v>
      </c>
      <c r="CN485" s="50" t="n">
        <f aca="false">ROUNDUP(CI485/BY485,0)</f>
        <v>0</v>
      </c>
      <c r="CO485" s="53" t="n">
        <f aca="false">IF(BZ485=1,0,IFERROR(VLOOKUP(BX485,'Gebinde-Kategorie'!$A$5:$N$45,5,0)+0,0))</f>
        <v>8</v>
      </c>
      <c r="CP485" s="53" t="n">
        <f aca="false">IFERROR(IF(OR(CE485=1,CE485=2,CE485=3),N(INDEX(Parameter!$I$5:$I$7,CE485)),0),0)</f>
        <v>0</v>
      </c>
      <c r="CQ485" s="52" t="n">
        <f aca="false">IF(AND(Parameter!$B$21="Ja",ISNUMBER(W485),N(X485)&gt;0),IFERROR(N(INDEX(Parameter!$L$5:$L$7,W485))*INDEX(Parameter!$E$5:$E$7,W485)*X485/SUMIFS($X$7:$X$1843,$W$7:$W$1843,W485),0),0)</f>
        <v>0</v>
      </c>
    </row>
    <row r="486" customFormat="false" ht="15" hidden="false" customHeight="false" outlineLevel="0" collapsed="false">
      <c r="A486" s="48" t="s">
        <v>1086</v>
      </c>
      <c r="B486" s="48" t="s">
        <v>1087</v>
      </c>
      <c r="C486" s="48" t="s">
        <v>173</v>
      </c>
      <c r="D486" s="48" t="s">
        <v>182</v>
      </c>
      <c r="E486" s="48"/>
      <c r="F486" s="48" t="s">
        <v>227</v>
      </c>
      <c r="G486" s="49" t="n">
        <v>0.09</v>
      </c>
      <c r="H486" s="50" t="n">
        <f aca="false">MAX(0,IF(AND(Parameter!$B$21="Ja",ISNUMBER(Y486)),Y486,IF(Parameter!$B$20="Jahresanfang 2025 + Export",BR486+BQ486,BQ486)))</f>
        <v>500</v>
      </c>
      <c r="I486" s="50" t="n">
        <f aca="false">H486*G486</f>
        <v>45</v>
      </c>
      <c r="J486" s="50" t="n">
        <f aca="false">BT486*Parameter!$B$18</f>
        <v>0</v>
      </c>
      <c r="K486" s="51" t="n">
        <v>250</v>
      </c>
      <c r="L486" s="52" t="n">
        <v>0</v>
      </c>
      <c r="M486" s="50" t="n">
        <v>0</v>
      </c>
      <c r="N486" s="50" t="n">
        <v>1</v>
      </c>
      <c r="O486" s="53" t="n">
        <v>105</v>
      </c>
      <c r="P486" s="48" t="s">
        <v>177</v>
      </c>
      <c r="Q486" s="50"/>
      <c r="R486" s="53" t="n">
        <f aca="false">IF(BZ486=1,0,IFERROR(VLOOKUP(BX486,'Gebinde-Kategorie'!$A$5:$N$45,13,0)+0,0))</f>
        <v>26</v>
      </c>
      <c r="S486" s="54"/>
      <c r="T486" s="55" t="s">
        <v>284</v>
      </c>
      <c r="U486" s="55"/>
      <c r="V486" s="55"/>
      <c r="W486" s="48"/>
      <c r="X486" s="50"/>
      <c r="Y486" s="50"/>
      <c r="Z486" s="48" t="n">
        <f aca="false">IF(A486="","",IF(AND(Parameter!$B$21="Ja",ISNUMBER(W486)),W486,IF(CC486="2+3",IF(ISNUMBER(SEARCH("grosser Artikel",BU486)),2,IFERROR(VLOOKUP(BX486,Parameter!$F$35:$G$64,2,0),2)),IF(OR(CC486="Nein",CC486=""),"-",CC486))))</f>
        <v>3</v>
      </c>
      <c r="AA486" s="55"/>
      <c r="AB486" s="56"/>
      <c r="AC486" s="50" t="n">
        <f aca="false">AV486</f>
        <v>1</v>
      </c>
      <c r="AD486" s="50" t="n">
        <f aca="false">MAX(AV486,H486)</f>
        <v>500</v>
      </c>
      <c r="AE486" s="57"/>
      <c r="AF486" s="50" t="n">
        <f aca="false">IF(LEFT(Cockpit!$C$5,1)="A",H486,IF(Parameter!$E$30="MAX-Bestand",IF(CH486=1,CI486,IF(LEFT(Cockpit!$C$5,1)="B",AL486,MAX(AL486,H486))),ROUNDUP(AJ486,0)))</f>
        <v>500</v>
      </c>
      <c r="AG486" s="50" t="n">
        <f aca="false">IF(BZ486=1,0,ROUNDUP(AF486/BY486,0))</f>
        <v>1</v>
      </c>
      <c r="AH486" s="52" t="n">
        <f aca="false">IF(CQ486&gt;0,CQ486*MAX(1,AF486/X486),IF(BZ486=1,IF(AF486&lt;=0,0,CD486*MAX(1,IF(H486&gt;0,AF486/H486,1))),IF(R486&gt;0,AG486/R486,0))/MAX(0.1,N(Parameter!$M$21)))</f>
        <v>0.0384615384615385</v>
      </c>
      <c r="AI486" s="50" t="n">
        <f aca="false">AH486*CB486</f>
        <v>5.96153846153846</v>
      </c>
      <c r="AJ486" s="51" t="n">
        <f aca="false">IF(LEFT(Cockpit!$C$5,1)="A",H486,IF(CH486=1,(CK486+CI486)/2,IF(LEFT(Cockpit!$C$5,1)="B",(CK486+AL486)/2,MAX((CK486+AL486)/2,H486))))</f>
        <v>500</v>
      </c>
      <c r="AK486" s="50" t="n">
        <f aca="false">AJ486*G486</f>
        <v>45</v>
      </c>
      <c r="AL486" s="50" t="n">
        <f aca="false">ROUNDUP(CK486+MAX(CL486,2*(J486/IF(CG486&gt;0,CG486,MAX(0.1,N(Cockpit!$C$6)))-CK486)),0)</f>
        <v>1</v>
      </c>
      <c r="AM486" s="51" t="n">
        <f aca="false">IF(AI486&gt;0,J486/AI486,-1)</f>
        <v>0</v>
      </c>
      <c r="AN486" s="51" t="n">
        <f aca="false">IF(AND(OR(CF486="L1",CF486="L23",CF486="LIFT"),AI486&gt;0),SUMIFS($AI$7:$AI$1843,$CF$7:$CF$1843,CF486,$AM$7:$AM$1843,"&gt;"&amp;AM486)+SUMIFS($AI$7:$AI$1843,$CF$7:$CF$1843,CF486,$AM$7:$AM$1843,AM486,$BW$7:$BW$1843,"&lt;="&amp;BW486),"")</f>
        <v>28241.976816498</v>
      </c>
      <c r="AO486" s="58" t="n">
        <f aca="false">IF(AN486="",0,MAX(0,MIN(1,(IF(CF486="L1",Parameter!$H$5,IF(CF486="L23",Parameter!$H$6+Parameter!$H$7,Parameter!$H$5+Parameter!$H$6+Parameter!$H$7))-(AN486-AI486))/AI486)))</f>
        <v>1</v>
      </c>
      <c r="AP486" s="50" t="n">
        <f aca="false">IF(LEFT(Cockpit!$I$5,1)="A",H486,IF(Parameter!$E$30="MAX-Bestand",IF(CH486=1,CI486,IF(LEFT(Cockpit!$I$5,1)="B",AV486,MAX(AV486,H486))),ROUNDUP(AT486,0)))</f>
        <v>500</v>
      </c>
      <c r="AQ486" s="50" t="n">
        <f aca="false">IF(BZ486=1,0,ROUNDUP(AP486/BY486,0))</f>
        <v>1</v>
      </c>
      <c r="AR486" s="52" t="n">
        <f aca="false">IF(CQ486&gt;0,CQ486*MAX(1,AP486/X486),IF(BZ486=1,IF(AP486&lt;=0,0,CD486*MAX(1,IF(H486&gt;0,AP486/H486,1))),IF(R486&gt;0,AQ486/R486,0))/MAX(0.1,N(Parameter!$M$21)))</f>
        <v>0.0384615384615385</v>
      </c>
      <c r="AS486" s="50" t="n">
        <f aca="false">AR486*CB486</f>
        <v>5.96153846153846</v>
      </c>
      <c r="AT486" s="51" t="n">
        <f aca="false">IF(LEFT(Cockpit!$I$5,1)="A",H486,IF(CH486=1,(CK486+CI486)/2,IF(LEFT(Cockpit!$I$5,1)="B",(CK486+AV486)/2,MAX((CK486+AV486)/2,H486))))</f>
        <v>500</v>
      </c>
      <c r="AU486" s="50" t="n">
        <f aca="false">AT486*G486</f>
        <v>45</v>
      </c>
      <c r="AV486" s="50" t="n">
        <f aca="false">ROUNDUP(CK486+MAX(CL486,2*(J486/IF(CG486&gt;0,CG486,MAX(0.1,N(Cockpit!$I$6)))-CK486)),0)</f>
        <v>1</v>
      </c>
      <c r="AW486" s="51" t="n">
        <f aca="false">IF(AS486&gt;0,J486/AS486,-1)</f>
        <v>0</v>
      </c>
      <c r="AX486" s="51" t="n">
        <f aca="false">IF(AND(OR(CF486="L1",CF486="L23",CF486="LIFT"),AS486&gt;0),SUMIFS($AS$7:$AS$1843,$CF$7:$CF$1843,CF486,$AW$7:$AW$1843,"&gt;"&amp;AW486)+SUMIFS($AS$7:$AS$1843,$CF$7:$CF$1843,CF486,$AW$7:$AW$1843,AW486,$BW$7:$BW$1843,"&lt;="&amp;BW486),"")</f>
        <v>33595.1254578755</v>
      </c>
      <c r="AY486" s="58" t="n">
        <f aca="false">IF(AX486="",0,MAX(0,MIN(1,(IF(CF486="L1",Parameter!$H$5,IF(CF486="L23",Parameter!$H$6+Parameter!$H$7,Parameter!$H$5+Parameter!$H$6+Parameter!$H$7))-(AX486-AS486))/AS486)))</f>
        <v>1</v>
      </c>
      <c r="AZ486" s="50" t="n">
        <f aca="false">IF(LEFT(Cockpit!$O$5,1)="A",H486,IF(Parameter!$E$30="MAX-Bestand",IF(CH486=1,CI486,IF(LEFT(Cockpit!$O$5,1)="B",BF486,MAX(BF486,H486))),ROUNDUP(BD486,0)))</f>
        <v>1</v>
      </c>
      <c r="BA486" s="50" t="n">
        <f aca="false">IF(BZ486=1,0,ROUNDUP(AZ486/BY486,0))</f>
        <v>1</v>
      </c>
      <c r="BB486" s="52" t="n">
        <f aca="false">IF(CQ486&gt;0,CQ486*MAX(1,AZ486/X486),IF(BZ486=1,IF(AZ486&lt;=0,0,CD486*MAX(1,IF(H486&gt;0,AZ486/H486,1))),IF(R486&gt;0,BA486/R486,0))/MAX(0.1,N(Parameter!$M$21)))</f>
        <v>0.0384615384615385</v>
      </c>
      <c r="BC486" s="50" t="n">
        <f aca="false">BB486*CB486</f>
        <v>5.96153846153846</v>
      </c>
      <c r="BD486" s="51" t="n">
        <f aca="false">IF(LEFT(Cockpit!$O$5,1)="A",H486,IF(CH486=1,(CK486+CI486)/2,IF(LEFT(Cockpit!$O$5,1)="B",(CK486+BF486)/2,MAX((CK486+BF486)/2,H486))))</f>
        <v>0.5</v>
      </c>
      <c r="BE486" s="50" t="n">
        <f aca="false">BD486*G486</f>
        <v>0.045</v>
      </c>
      <c r="BF486" s="50" t="n">
        <f aca="false">ROUNDUP(CK486+MAX(CL486,2*(J486/IF(CG486&gt;0,CG486,MAX(0.1,N(Cockpit!$O$6)))-CK486)),0)</f>
        <v>1</v>
      </c>
      <c r="BG486" s="51" t="n">
        <f aca="false">IF(BC486&gt;0,J486/BC486,-1)</f>
        <v>0</v>
      </c>
      <c r="BH486" s="51" t="n">
        <f aca="false">IF(AND(OR(CF486="L1",CF486="L23",CF486="LIFT"),BC486&gt;0),SUMIFS($BC$7:$BC$1843,$CF$7:$CF$1843,CF486,$BG$7:$BG$1843,"&gt;"&amp;BG486)+SUMIFS($BC$7:$BC$1843,$CF$7:$CF$1843,CF486,$BG$7:$BG$1843,BG486,$BW$7:$BW$1843,"&lt;="&amp;BW486),"")</f>
        <v>27702.3602315763</v>
      </c>
      <c r="BI486" s="58" t="n">
        <f aca="false">IF(BH486="",0,MAX(0,MIN(1,(IF(CF486="L1",Parameter!$H$5,IF(CF486="L23",Parameter!$H$6+Parameter!$H$7,Parameter!$H$5+Parameter!$H$6+Parameter!$H$7))-(BH486-BC486))/BC486)))</f>
        <v>1</v>
      </c>
      <c r="BJ486" s="48" t="str">
        <f aca="false">IF(AI486&lt;=0,"",IF(CF486="Aussen","Aussenlager",IF(CF486="-","Nicht im Lift",IF(AO486&gt;=1,"Lift",IF(AO486&lt;=0,"Aussenlager","teilweise")))))</f>
        <v>Lift</v>
      </c>
      <c r="BK486" s="48" t="str">
        <f aca="false">IF(AS486&lt;=0,"",IF(CF486="Aussen","Aussenlager",IF(CF486="-","Nicht im Lift",IF(AY486&gt;=1,"Lift",IF(AY486&lt;=0,"Aussenlager","teilweise")))))</f>
        <v>Lift</v>
      </c>
      <c r="BL486" s="48" t="str">
        <f aca="false">IF(BC486&lt;=0,"",IF(CF486="Aussen","Aussenlager",IF(CF486="-","Nicht im Lift",IF(BI486&gt;=1,"Lift",IF(BI486&lt;=0,"Aussenlager","teilweise")))))</f>
        <v>Lift</v>
      </c>
      <c r="BM486" s="48" t="str">
        <f aca="false">IF(A486="","",IF(BV486=1,"Neu; ","")&amp;IF(AND(BV486=0,BQ486&lt;0),"negativer Bestand (Export "&amp;BQ486&amp;"); ","")&amp;IF(J486&lt;=0,"Kein Verbrauch; ","")&amp;IF(CQ486&gt;0,"Lift "&amp;W486&amp;" lt. Liftbericht (Fach "&amp;X486&amp;" Stk); ",IF(CA486=1,"Gebinde geschätzt ("&amp;T486&amp;"); ",IF(BZ486=1,"Lose – Tablare geschätzt; ","")))&amp;IF(H486&gt;AV486,"Überbestand "&amp;ROUND(H486-AV486,0)&amp;" Stk / CHF "&amp;ROUND((H486-AV486)*G486,0)&amp;"; ","")&amp;IF(AND(CH486=1,CI486&lt;CJ486),"MAX &lt; MB+LG; ","")&amp;IF(AND(CP486&gt;0,CO486*10&gt;CP486),"zu hoch für Tablar; ","")&amp;IF(AND(BV486=0,OR(CH486=1,AA486&lt;&gt;"",U486&lt;&gt;"",V486&lt;&gt;"",AB486&lt;&gt;"")),"manuell übersteuert; ","")&amp;IF(AND(BZ486=0,R486=0),"Gebinde unbekannt / Stellmass fehlt; ","")&amp;IF(AND(BZ486=0,N(V486)&lt;=0,N(Q486)&lt;=0),"Menge pro Gebinde fehlt (Ist = 1 Gebinde); ","")&amp;BU486)</f>
        <v>Kein Verbrauch; Gebinde geschätzt (Klein); Überbestand 499 Stk / CHF 45; Menge pro Gebinde fehlt (Ist = 1 Gebinde); </v>
      </c>
      <c r="BN486" s="48"/>
      <c r="BO486" s="48"/>
      <c r="BP486" s="55"/>
      <c r="BQ486" s="50" t="n">
        <v>500</v>
      </c>
      <c r="BR486" s="50" t="n">
        <v>0</v>
      </c>
      <c r="BS486" s="49" t="n">
        <v>45</v>
      </c>
      <c r="BT486" s="50" t="n">
        <v>0</v>
      </c>
      <c r="BU486" s="48"/>
      <c r="BV486" s="53" t="n">
        <v>0</v>
      </c>
      <c r="BW486" s="53" t="n">
        <v>486</v>
      </c>
      <c r="BX486" s="48" t="str">
        <f aca="false">IF(U486&lt;&gt;"",UPPER(TRIM(U486)),IF(CA486=1,UPPER(VLOOKUP(T486,Parameter!$I$27:$K$29,2,0)),IF(P486="","LOSE",P486)))</f>
        <v>S51</v>
      </c>
      <c r="BY486" s="50" t="n">
        <f aca="false">IF(BX486="LOSE",1,IF(N(V486)&gt;0,V486,IF(CA486=1,MAX(1,N(VLOOKUP(T486,Parameter!$I$27:$K$29,3,0)),H486,N(N486)),IF(N(Q486)&gt;0,Q486,MAX(1,H486)))))</f>
        <v>500</v>
      </c>
      <c r="BZ486" s="53" t="n">
        <f aca="false">IF(BX486="LOSE",1,0)</f>
        <v>0</v>
      </c>
      <c r="CA486" s="53" t="n">
        <f aca="false">IF(AND(U486="",OR(P486="",P486="LOSE"),T486&lt;&gt;"",N(S486)&lt;=0,ISNUMBER(MATCH(T486,Parameter!$I$27:$I$29,0))),1,0)</f>
        <v>1</v>
      </c>
      <c r="CB486" s="53" t="n">
        <f aca="false">IF(CQ486&gt;0,INDEX(Parameter!$H$5:$H$7,W486)/INDEX(Parameter!$E$5:$E$7,W486),IF(AND(BZ486=0,N(IFERROR(VLOOKUP(BX486,'Gebinde-Kategorie'!$A$5:$N$45,14,0),0))&gt;0),VLOOKUP(BX486,'Gebinde-Kategorie'!$A$5:$N$45,14,0)*10+Parameter!$M$23,Parameter!$M$24))</f>
        <v>155</v>
      </c>
      <c r="CC486" s="48" t="str">
        <f aca="false">IF(AND(Parameter!$B$19="Ja",E486&lt;&gt;"",ISNUMBER(MATCH(E486,Parameter!$I$35:$I$52,0))),VLOOKUP(E486,Parameter!$I$35:$J$52,2,0),IFERROR(VLOOKUP(D486,Parameter!$A$35:$C$64,2,0),"Nein"))</f>
        <v>2+3</v>
      </c>
      <c r="CD486" s="52" t="n">
        <f aca="false">IF(BZ486=0,0,IF(N(S486)&gt;0,S486,IFERROR(VLOOKUP(D486,Parameter!$A$35:$C$64,3,0)+0,0)))</f>
        <v>0</v>
      </c>
      <c r="CE486" s="48" t="n">
        <f aca="false">IF(AA486&lt;&gt;"",AA486,Z486)</f>
        <v>3</v>
      </c>
      <c r="CF486" s="48" t="str">
        <f aca="false">IF(OR(CE486=1,CE486=2,CE486=3),IF(Parameter!$E$27="Ja","LIFT",IF(CE486=1,"L1","L23")),IF(CE486="Aussen","Aussen","-"))</f>
        <v>LIFT</v>
      </c>
      <c r="CG486" s="59" t="n">
        <f aca="false">IF(N(AB486)&gt;0,AB486,0)</f>
        <v>0</v>
      </c>
      <c r="CH486" s="53" t="n">
        <f aca="false">IF(ISNUMBER(AE486),1,0)</f>
        <v>0</v>
      </c>
      <c r="CI486" s="50" t="n">
        <f aca="false">N(AE486)</f>
        <v>0</v>
      </c>
      <c r="CJ486" s="50" t="n">
        <f aca="false">N(M486)+N(N486)</f>
        <v>1</v>
      </c>
      <c r="CK486" s="50" t="n">
        <f aca="false">N(M486)</f>
        <v>0</v>
      </c>
      <c r="CL486" s="50" t="n">
        <f aca="false">N(N486)</f>
        <v>1</v>
      </c>
      <c r="CM486" s="50" t="n">
        <f aca="false">ROUNDUP(H486/BY486,0)</f>
        <v>1</v>
      </c>
      <c r="CN486" s="50" t="n">
        <f aca="false">ROUNDUP(CI486/BY486,0)</f>
        <v>0</v>
      </c>
      <c r="CO486" s="53" t="n">
        <f aca="false">IF(BZ486=1,0,IFERROR(VLOOKUP(BX486,'Gebinde-Kategorie'!$A$5:$N$45,5,0)+0,0))</f>
        <v>11</v>
      </c>
      <c r="CP486" s="53" t="n">
        <f aca="false">IFERROR(IF(OR(CE486=1,CE486=2,CE486=3),N(INDEX(Parameter!$I$5:$I$7,CE486)),0),0)</f>
        <v>0</v>
      </c>
      <c r="CQ486" s="52" t="n">
        <f aca="false">IF(AND(Parameter!$B$21="Ja",ISNUMBER(W486),N(X486)&gt;0),IFERROR(N(INDEX(Parameter!$L$5:$L$7,W486))*INDEX(Parameter!$E$5:$E$7,W486)*X486/SUMIFS($X$7:$X$1843,$W$7:$W$1843,W486),0),0)</f>
        <v>0</v>
      </c>
    </row>
    <row r="487" customFormat="false" ht="15" hidden="false" customHeight="false" outlineLevel="0" collapsed="false">
      <c r="A487" s="48" t="s">
        <v>1088</v>
      </c>
      <c r="B487" s="48" t="s">
        <v>1089</v>
      </c>
      <c r="C487" s="48" t="s">
        <v>173</v>
      </c>
      <c r="D487" s="48" t="s">
        <v>193</v>
      </c>
      <c r="E487" s="48"/>
      <c r="F487" s="48" t="s">
        <v>227</v>
      </c>
      <c r="G487" s="49" t="n">
        <v>1.49</v>
      </c>
      <c r="H487" s="50" t="n">
        <f aca="false">MAX(0,IF(AND(Parameter!$B$21="Ja",ISNUMBER(Y487)),Y487,IF(Parameter!$B$20="Jahresanfang 2025 + Export",BR487+BQ487,BQ487)))</f>
        <v>30</v>
      </c>
      <c r="I487" s="50" t="n">
        <f aca="false">H487*G487</f>
        <v>44.7</v>
      </c>
      <c r="J487" s="50" t="n">
        <f aca="false">BT487*Parameter!$B$18</f>
        <v>0</v>
      </c>
      <c r="K487" s="51" t="n">
        <v>0</v>
      </c>
      <c r="L487" s="52" t="n">
        <v>0</v>
      </c>
      <c r="M487" s="50" t="n">
        <v>0</v>
      </c>
      <c r="N487" s="50" t="n">
        <v>10</v>
      </c>
      <c r="O487" s="53" t="n">
        <v>9999</v>
      </c>
      <c r="P487" s="48" t="s">
        <v>177</v>
      </c>
      <c r="Q487" s="50"/>
      <c r="R487" s="53" t="n">
        <f aca="false">IF(BZ487=1,0,IFERROR(VLOOKUP(BX487,'Gebinde-Kategorie'!$A$5:$N$45,13,0)+0,0))</f>
        <v>26</v>
      </c>
      <c r="S487" s="54"/>
      <c r="T487" s="55" t="s">
        <v>284</v>
      </c>
      <c r="U487" s="55"/>
      <c r="V487" s="55"/>
      <c r="W487" s="48"/>
      <c r="X487" s="50"/>
      <c r="Y487" s="50"/>
      <c r="Z487" s="48" t="n">
        <f aca="false">IF(A487="","",IF(AND(Parameter!$B$21="Ja",ISNUMBER(W487)),W487,IF(CC487="2+3",IF(ISNUMBER(SEARCH("grosser Artikel",BU487)),2,IFERROR(VLOOKUP(BX487,Parameter!$F$35:$G$64,2,0),2)),IF(OR(CC487="Nein",CC487=""),"-",CC487))))</f>
        <v>3</v>
      </c>
      <c r="AA487" s="55"/>
      <c r="AB487" s="56"/>
      <c r="AC487" s="50" t="n">
        <f aca="false">AV487</f>
        <v>10</v>
      </c>
      <c r="AD487" s="50" t="n">
        <f aca="false">MAX(AV487,H487)</f>
        <v>30</v>
      </c>
      <c r="AE487" s="57"/>
      <c r="AF487" s="50" t="n">
        <f aca="false">IF(LEFT(Cockpit!$C$5,1)="A",H487,IF(Parameter!$E$30="MAX-Bestand",IF(CH487=1,CI487,IF(LEFT(Cockpit!$C$5,1)="B",AL487,MAX(AL487,H487))),ROUNDUP(AJ487,0)))</f>
        <v>30</v>
      </c>
      <c r="AG487" s="50" t="n">
        <f aca="false">IF(BZ487=1,0,ROUNDUP(AF487/BY487,0))</f>
        <v>1</v>
      </c>
      <c r="AH487" s="52" t="n">
        <f aca="false">IF(CQ487&gt;0,CQ487*MAX(1,AF487/X487),IF(BZ487=1,IF(AF487&lt;=0,0,CD487*MAX(1,IF(H487&gt;0,AF487/H487,1))),IF(R487&gt;0,AG487/R487,0))/MAX(0.1,N(Parameter!$M$21)))</f>
        <v>0.0384615384615385</v>
      </c>
      <c r="AI487" s="50" t="n">
        <f aca="false">AH487*CB487</f>
        <v>5.96153846153846</v>
      </c>
      <c r="AJ487" s="51" t="n">
        <f aca="false">IF(LEFT(Cockpit!$C$5,1)="A",H487,IF(CH487=1,(CK487+CI487)/2,IF(LEFT(Cockpit!$C$5,1)="B",(CK487+AL487)/2,MAX((CK487+AL487)/2,H487))))</f>
        <v>30</v>
      </c>
      <c r="AK487" s="50" t="n">
        <f aca="false">AJ487*G487</f>
        <v>44.7</v>
      </c>
      <c r="AL487" s="50" t="n">
        <f aca="false">ROUNDUP(CK487+MAX(CL487,2*(J487/IF(CG487&gt;0,CG487,MAX(0.1,N(Cockpit!$C$6)))-CK487)),0)</f>
        <v>10</v>
      </c>
      <c r="AM487" s="51" t="n">
        <f aca="false">IF(AI487&gt;0,J487/AI487,-1)</f>
        <v>0</v>
      </c>
      <c r="AN487" s="51" t="n">
        <f aca="false">IF(AND(OR(CF487="L1",CF487="L23",CF487="LIFT"),AI487&gt;0),SUMIFS($AI$7:$AI$1843,$CF$7:$CF$1843,CF487,$AM$7:$AM$1843,"&gt;"&amp;AM487)+SUMIFS($AI$7:$AI$1843,$CF$7:$CF$1843,CF487,$AM$7:$AM$1843,AM487,$BW$7:$BW$1843,"&lt;="&amp;BW487),"")</f>
        <v>28247.9383549595</v>
      </c>
      <c r="AO487" s="58" t="n">
        <f aca="false">IF(AN487="",0,MAX(0,MIN(1,(IF(CF487="L1",Parameter!$H$5,IF(CF487="L23",Parameter!$H$6+Parameter!$H$7,Parameter!$H$5+Parameter!$H$6+Parameter!$H$7))-(AN487-AI487))/AI487)))</f>
        <v>1</v>
      </c>
      <c r="AP487" s="50" t="n">
        <f aca="false">IF(LEFT(Cockpit!$I$5,1)="A",H487,IF(Parameter!$E$30="MAX-Bestand",IF(CH487=1,CI487,IF(LEFT(Cockpit!$I$5,1)="B",AV487,MAX(AV487,H487))),ROUNDUP(AT487,0)))</f>
        <v>30</v>
      </c>
      <c r="AQ487" s="50" t="n">
        <f aca="false">IF(BZ487=1,0,ROUNDUP(AP487/BY487,0))</f>
        <v>1</v>
      </c>
      <c r="AR487" s="52" t="n">
        <f aca="false">IF(CQ487&gt;0,CQ487*MAX(1,AP487/X487),IF(BZ487=1,IF(AP487&lt;=0,0,CD487*MAX(1,IF(H487&gt;0,AP487/H487,1))),IF(R487&gt;0,AQ487/R487,0))/MAX(0.1,N(Parameter!$M$21)))</f>
        <v>0.0384615384615385</v>
      </c>
      <c r="AS487" s="50" t="n">
        <f aca="false">AR487*CB487</f>
        <v>5.96153846153846</v>
      </c>
      <c r="AT487" s="51" t="n">
        <f aca="false">IF(LEFT(Cockpit!$I$5,1)="A",H487,IF(CH487=1,(CK487+CI487)/2,IF(LEFT(Cockpit!$I$5,1)="B",(CK487+AV487)/2,MAX((CK487+AV487)/2,H487))))</f>
        <v>30</v>
      </c>
      <c r="AU487" s="50" t="n">
        <f aca="false">AT487*G487</f>
        <v>44.7</v>
      </c>
      <c r="AV487" s="50" t="n">
        <f aca="false">ROUNDUP(CK487+MAX(CL487,2*(J487/IF(CG487&gt;0,CG487,MAX(0.1,N(Cockpit!$I$6)))-CK487)),0)</f>
        <v>10</v>
      </c>
      <c r="AW487" s="51" t="n">
        <f aca="false">IF(AS487&gt;0,J487/AS487,-1)</f>
        <v>0</v>
      </c>
      <c r="AX487" s="51" t="n">
        <f aca="false">IF(AND(OR(CF487="L1",CF487="L23",CF487="LIFT"),AS487&gt;0),SUMIFS($AS$7:$AS$1843,$CF$7:$CF$1843,CF487,$AW$7:$AW$1843,"&gt;"&amp;AW487)+SUMIFS($AS$7:$AS$1843,$CF$7:$CF$1843,CF487,$AW$7:$AW$1843,AW487,$BW$7:$BW$1843,"&lt;="&amp;BW487),"")</f>
        <v>33601.086996337</v>
      </c>
      <c r="AY487" s="58" t="n">
        <f aca="false">IF(AX487="",0,MAX(0,MIN(1,(IF(CF487="L1",Parameter!$H$5,IF(CF487="L23",Parameter!$H$6+Parameter!$H$7,Parameter!$H$5+Parameter!$H$6+Parameter!$H$7))-(AX487-AS487))/AS487)))</f>
        <v>1</v>
      </c>
      <c r="AZ487" s="50" t="n">
        <f aca="false">IF(LEFT(Cockpit!$O$5,1)="A",H487,IF(Parameter!$E$30="MAX-Bestand",IF(CH487=1,CI487,IF(LEFT(Cockpit!$O$5,1)="B",BF487,MAX(BF487,H487))),ROUNDUP(BD487,0)))</f>
        <v>5</v>
      </c>
      <c r="BA487" s="50" t="n">
        <f aca="false">IF(BZ487=1,0,ROUNDUP(AZ487/BY487,0))</f>
        <v>1</v>
      </c>
      <c r="BB487" s="52" t="n">
        <f aca="false">IF(CQ487&gt;0,CQ487*MAX(1,AZ487/X487),IF(BZ487=1,IF(AZ487&lt;=0,0,CD487*MAX(1,IF(H487&gt;0,AZ487/H487,1))),IF(R487&gt;0,BA487/R487,0))/MAX(0.1,N(Parameter!$M$21)))</f>
        <v>0.0384615384615385</v>
      </c>
      <c r="BC487" s="50" t="n">
        <f aca="false">BB487*CB487</f>
        <v>5.96153846153846</v>
      </c>
      <c r="BD487" s="51" t="n">
        <f aca="false">IF(LEFT(Cockpit!$O$5,1)="A",H487,IF(CH487=1,(CK487+CI487)/2,IF(LEFT(Cockpit!$O$5,1)="B",(CK487+BF487)/2,MAX((CK487+BF487)/2,H487))))</f>
        <v>5</v>
      </c>
      <c r="BE487" s="50" t="n">
        <f aca="false">BD487*G487</f>
        <v>7.45</v>
      </c>
      <c r="BF487" s="50" t="n">
        <f aca="false">ROUNDUP(CK487+MAX(CL487,2*(J487/IF(CG487&gt;0,CG487,MAX(0.1,N(Cockpit!$O$6)))-CK487)),0)</f>
        <v>10</v>
      </c>
      <c r="BG487" s="51" t="n">
        <f aca="false">IF(BC487&gt;0,J487/BC487,-1)</f>
        <v>0</v>
      </c>
      <c r="BH487" s="51" t="n">
        <f aca="false">IF(AND(OR(CF487="L1",CF487="L23",CF487="LIFT"),BC487&gt;0),SUMIFS($BC$7:$BC$1843,$CF$7:$CF$1843,CF487,$BG$7:$BG$1843,"&gt;"&amp;BG487)+SUMIFS($BC$7:$BC$1843,$CF$7:$CF$1843,CF487,$BG$7:$BG$1843,BG487,$BW$7:$BW$1843,"&lt;="&amp;BW487),"")</f>
        <v>27708.3217700379</v>
      </c>
      <c r="BI487" s="58" t="n">
        <f aca="false">IF(BH487="",0,MAX(0,MIN(1,(IF(CF487="L1",Parameter!$H$5,IF(CF487="L23",Parameter!$H$6+Parameter!$H$7,Parameter!$H$5+Parameter!$H$6+Parameter!$H$7))-(BH487-BC487))/BC487)))</f>
        <v>1</v>
      </c>
      <c r="BJ487" s="48" t="str">
        <f aca="false">IF(AI487&lt;=0,"",IF(CF487="Aussen","Aussenlager",IF(CF487="-","Nicht im Lift",IF(AO487&gt;=1,"Lift",IF(AO487&lt;=0,"Aussenlager","teilweise")))))</f>
        <v>Lift</v>
      </c>
      <c r="BK487" s="48" t="str">
        <f aca="false">IF(AS487&lt;=0,"",IF(CF487="Aussen","Aussenlager",IF(CF487="-","Nicht im Lift",IF(AY487&gt;=1,"Lift",IF(AY487&lt;=0,"Aussenlager","teilweise")))))</f>
        <v>Lift</v>
      </c>
      <c r="BL487" s="48" t="str">
        <f aca="false">IF(BC487&lt;=0,"",IF(CF487="Aussen","Aussenlager",IF(CF487="-","Nicht im Lift",IF(BI487&gt;=1,"Lift",IF(BI487&lt;=0,"Aussenlager","teilweise")))))</f>
        <v>Lift</v>
      </c>
      <c r="BM487" s="48" t="str">
        <f aca="false">IF(A487="","",IF(BV487=1,"Neu; ","")&amp;IF(AND(BV487=0,BQ487&lt;0),"negativer Bestand (Export "&amp;BQ487&amp;"); ","")&amp;IF(J487&lt;=0,"Kein Verbrauch; ","")&amp;IF(CQ487&gt;0,"Lift "&amp;W487&amp;" lt. Liftbericht (Fach "&amp;X487&amp;" Stk); ",IF(CA487=1,"Gebinde geschätzt ("&amp;T487&amp;"); ",IF(BZ487=1,"Lose – Tablare geschätzt; ","")))&amp;IF(H487&gt;AV487,"Überbestand "&amp;ROUND(H487-AV487,0)&amp;" Stk / CHF "&amp;ROUND((H487-AV487)*G487,0)&amp;"; ","")&amp;IF(AND(CH487=1,CI487&lt;CJ487),"MAX &lt; MB+LG; ","")&amp;IF(AND(CP487&gt;0,CO487*10&gt;CP487),"zu hoch für Tablar; ","")&amp;IF(AND(BV487=0,OR(CH487=1,AA487&lt;&gt;"",U487&lt;&gt;"",V487&lt;&gt;"",AB487&lt;&gt;"")),"manuell übersteuert; ","")&amp;IF(AND(BZ487=0,R487=0),"Gebinde unbekannt / Stellmass fehlt; ","")&amp;IF(AND(BZ487=0,N(V487)&lt;=0,N(Q487)&lt;=0),"Menge pro Gebinde fehlt (Ist = 1 Gebinde); ","")&amp;BU487)</f>
        <v>Kein Verbrauch; Gebinde geschätzt (Klein); Überbestand 20 Stk / CHF 30; Menge pro Gebinde fehlt (Ist = 1 Gebinde); </v>
      </c>
      <c r="BN487" s="48"/>
      <c r="BO487" s="48"/>
      <c r="BP487" s="55"/>
      <c r="BQ487" s="50" t="n">
        <v>30</v>
      </c>
      <c r="BR487" s="50" t="n">
        <v>0</v>
      </c>
      <c r="BS487" s="49" t="n">
        <v>44.7</v>
      </c>
      <c r="BT487" s="50" t="n">
        <v>0</v>
      </c>
      <c r="BU487" s="48"/>
      <c r="BV487" s="53" t="n">
        <v>0</v>
      </c>
      <c r="BW487" s="53" t="n">
        <v>487</v>
      </c>
      <c r="BX487" s="48" t="str">
        <f aca="false">IF(U487&lt;&gt;"",UPPER(TRIM(U487)),IF(CA487=1,UPPER(VLOOKUP(T487,Parameter!$I$27:$K$29,2,0)),IF(P487="","LOSE",P487)))</f>
        <v>S51</v>
      </c>
      <c r="BY487" s="50" t="n">
        <f aca="false">IF(BX487="LOSE",1,IF(N(V487)&gt;0,V487,IF(CA487=1,MAX(1,N(VLOOKUP(T487,Parameter!$I$27:$K$29,3,0)),H487,N(N487)),IF(N(Q487)&gt;0,Q487,MAX(1,H487)))))</f>
        <v>30</v>
      </c>
      <c r="BZ487" s="53" t="n">
        <f aca="false">IF(BX487="LOSE",1,0)</f>
        <v>0</v>
      </c>
      <c r="CA487" s="53" t="n">
        <f aca="false">IF(AND(U487="",OR(P487="",P487="LOSE"),T487&lt;&gt;"",N(S487)&lt;=0,ISNUMBER(MATCH(T487,Parameter!$I$27:$I$29,0))),1,0)</f>
        <v>1</v>
      </c>
      <c r="CB487" s="53" t="n">
        <f aca="false">IF(CQ487&gt;0,INDEX(Parameter!$H$5:$H$7,W487)/INDEX(Parameter!$E$5:$E$7,W487),IF(AND(BZ487=0,N(IFERROR(VLOOKUP(BX487,'Gebinde-Kategorie'!$A$5:$N$45,14,0),0))&gt;0),VLOOKUP(BX487,'Gebinde-Kategorie'!$A$5:$N$45,14,0)*10+Parameter!$M$23,Parameter!$M$24))</f>
        <v>155</v>
      </c>
      <c r="CC487" s="48" t="str">
        <f aca="false">IF(AND(Parameter!$B$19="Ja",E487&lt;&gt;"",ISNUMBER(MATCH(E487,Parameter!$I$35:$I$52,0))),VLOOKUP(E487,Parameter!$I$35:$J$52,2,0),IFERROR(VLOOKUP(D487,Parameter!$A$35:$C$64,2,0),"Nein"))</f>
        <v>2+3</v>
      </c>
      <c r="CD487" s="52" t="n">
        <f aca="false">IF(BZ487=0,0,IF(N(S487)&gt;0,S487,IFERROR(VLOOKUP(D487,Parameter!$A$35:$C$64,3,0)+0,0)))</f>
        <v>0</v>
      </c>
      <c r="CE487" s="48" t="n">
        <f aca="false">IF(AA487&lt;&gt;"",AA487,Z487)</f>
        <v>3</v>
      </c>
      <c r="CF487" s="48" t="str">
        <f aca="false">IF(OR(CE487=1,CE487=2,CE487=3),IF(Parameter!$E$27="Ja","LIFT",IF(CE487=1,"L1","L23")),IF(CE487="Aussen","Aussen","-"))</f>
        <v>LIFT</v>
      </c>
      <c r="CG487" s="59" t="n">
        <f aca="false">IF(N(AB487)&gt;0,AB487,0)</f>
        <v>0</v>
      </c>
      <c r="CH487" s="53" t="n">
        <f aca="false">IF(ISNUMBER(AE487),1,0)</f>
        <v>0</v>
      </c>
      <c r="CI487" s="50" t="n">
        <f aca="false">N(AE487)</f>
        <v>0</v>
      </c>
      <c r="CJ487" s="50" t="n">
        <f aca="false">N(M487)+N(N487)</f>
        <v>10</v>
      </c>
      <c r="CK487" s="50" t="n">
        <f aca="false">N(M487)</f>
        <v>0</v>
      </c>
      <c r="CL487" s="50" t="n">
        <f aca="false">N(N487)</f>
        <v>10</v>
      </c>
      <c r="CM487" s="50" t="n">
        <f aca="false">ROUNDUP(H487/BY487,0)</f>
        <v>1</v>
      </c>
      <c r="CN487" s="50" t="n">
        <f aca="false">ROUNDUP(CI487/BY487,0)</f>
        <v>0</v>
      </c>
      <c r="CO487" s="53" t="n">
        <f aca="false">IF(BZ487=1,0,IFERROR(VLOOKUP(BX487,'Gebinde-Kategorie'!$A$5:$N$45,5,0)+0,0))</f>
        <v>11</v>
      </c>
      <c r="CP487" s="53" t="n">
        <f aca="false">IFERROR(IF(OR(CE487=1,CE487=2,CE487=3),N(INDEX(Parameter!$I$5:$I$7,CE487)),0),0)</f>
        <v>0</v>
      </c>
      <c r="CQ487" s="52" t="n">
        <f aca="false">IF(AND(Parameter!$B$21="Ja",ISNUMBER(W487),N(X487)&gt;0),IFERROR(N(INDEX(Parameter!$L$5:$L$7,W487))*INDEX(Parameter!$E$5:$E$7,W487)*X487/SUMIFS($X$7:$X$1843,$W$7:$W$1843,W487),0),0)</f>
        <v>0</v>
      </c>
    </row>
    <row r="488" customFormat="false" ht="15" hidden="false" customHeight="false" outlineLevel="0" collapsed="false">
      <c r="A488" s="48" t="s">
        <v>1090</v>
      </c>
      <c r="B488" s="48" t="s">
        <v>541</v>
      </c>
      <c r="C488" s="48" t="s">
        <v>176</v>
      </c>
      <c r="D488" s="48" t="s">
        <v>193</v>
      </c>
      <c r="E488" s="48"/>
      <c r="F488" s="48" t="s">
        <v>227</v>
      </c>
      <c r="G488" s="49" t="n">
        <v>14.75</v>
      </c>
      <c r="H488" s="50" t="n">
        <f aca="false">MAX(0,IF(AND(Parameter!$B$21="Ja",ISNUMBER(Y488)),Y488,IF(Parameter!$B$20="Jahresanfang 2025 + Export",BR488+BQ488,BQ488)))</f>
        <v>45</v>
      </c>
      <c r="I488" s="50" t="n">
        <f aca="false">H488*G488</f>
        <v>663.75</v>
      </c>
      <c r="J488" s="50" t="n">
        <f aca="false">BT488*Parameter!$B$18</f>
        <v>0</v>
      </c>
      <c r="K488" s="51" t="n">
        <v>43.5</v>
      </c>
      <c r="L488" s="52" t="n">
        <v>0</v>
      </c>
      <c r="M488" s="50" t="n">
        <v>0</v>
      </c>
      <c r="N488" s="50" t="n">
        <v>1</v>
      </c>
      <c r="O488" s="53" t="n">
        <v>21</v>
      </c>
      <c r="P488" s="48" t="s">
        <v>177</v>
      </c>
      <c r="Q488" s="50"/>
      <c r="R488" s="53" t="n">
        <f aca="false">IF(BZ488=1,0,IFERROR(VLOOKUP(BX488,'Gebinde-Kategorie'!$A$5:$N$45,13,0)+0,0))</f>
        <v>26</v>
      </c>
      <c r="S488" s="54"/>
      <c r="T488" s="55" t="s">
        <v>284</v>
      </c>
      <c r="U488" s="55"/>
      <c r="V488" s="55"/>
      <c r="W488" s="48"/>
      <c r="X488" s="50"/>
      <c r="Y488" s="50"/>
      <c r="Z488" s="48" t="n">
        <f aca="false">IF(A488="","",IF(AND(Parameter!$B$21="Ja",ISNUMBER(W488)),W488,IF(CC488="2+3",IF(ISNUMBER(SEARCH("grosser Artikel",BU488)),2,IFERROR(VLOOKUP(BX488,Parameter!$F$35:$G$64,2,0),2)),IF(OR(CC488="Nein",CC488=""),"-",CC488))))</f>
        <v>3</v>
      </c>
      <c r="AA488" s="55"/>
      <c r="AB488" s="56"/>
      <c r="AC488" s="50" t="n">
        <f aca="false">AV488</f>
        <v>1</v>
      </c>
      <c r="AD488" s="50" t="n">
        <f aca="false">MAX(AV488,H488)</f>
        <v>45</v>
      </c>
      <c r="AE488" s="57"/>
      <c r="AF488" s="50" t="n">
        <f aca="false">IF(LEFT(Cockpit!$C$5,1)="A",H488,IF(Parameter!$E$30="MAX-Bestand",IF(CH488=1,CI488,IF(LEFT(Cockpit!$C$5,1)="B",AL488,MAX(AL488,H488))),ROUNDUP(AJ488,0)))</f>
        <v>45</v>
      </c>
      <c r="AG488" s="50" t="n">
        <f aca="false">IF(BZ488=1,0,ROUNDUP(AF488/BY488,0))</f>
        <v>1</v>
      </c>
      <c r="AH488" s="52" t="n">
        <f aca="false">IF(CQ488&gt;0,CQ488*MAX(1,AF488/X488),IF(BZ488=1,IF(AF488&lt;=0,0,CD488*MAX(1,IF(H488&gt;0,AF488/H488,1))),IF(R488&gt;0,AG488/R488,0))/MAX(0.1,N(Parameter!$M$21)))</f>
        <v>0.0384615384615385</v>
      </c>
      <c r="AI488" s="50" t="n">
        <f aca="false">AH488*CB488</f>
        <v>5.96153846153846</v>
      </c>
      <c r="AJ488" s="51" t="n">
        <f aca="false">IF(LEFT(Cockpit!$C$5,1)="A",H488,IF(CH488=1,(CK488+CI488)/2,IF(LEFT(Cockpit!$C$5,1)="B",(CK488+AL488)/2,MAX((CK488+AL488)/2,H488))))</f>
        <v>45</v>
      </c>
      <c r="AK488" s="50" t="n">
        <f aca="false">AJ488*G488</f>
        <v>663.75</v>
      </c>
      <c r="AL488" s="50" t="n">
        <f aca="false">ROUNDUP(CK488+MAX(CL488,2*(J488/IF(CG488&gt;0,CG488,MAX(0.1,N(Cockpit!$C$6)))-CK488)),0)</f>
        <v>1</v>
      </c>
      <c r="AM488" s="51" t="n">
        <f aca="false">IF(AI488&gt;0,J488/AI488,-1)</f>
        <v>0</v>
      </c>
      <c r="AN488" s="51" t="n">
        <f aca="false">IF(AND(OR(CF488="L1",CF488="L23",CF488="LIFT"),AI488&gt;0),SUMIFS($AI$7:$AI$1843,$CF$7:$CF$1843,CF488,$AM$7:$AM$1843,"&gt;"&amp;AM488)+SUMIFS($AI$7:$AI$1843,$CF$7:$CF$1843,CF488,$AM$7:$AM$1843,AM488,$BW$7:$BW$1843,"&lt;="&amp;BW488),"")</f>
        <v>28253.8998934211</v>
      </c>
      <c r="AO488" s="58" t="n">
        <f aca="false">IF(AN488="",0,MAX(0,MIN(1,(IF(CF488="L1",Parameter!$H$5,IF(CF488="L23",Parameter!$H$6+Parameter!$H$7,Parameter!$H$5+Parameter!$H$6+Parameter!$H$7))-(AN488-AI488))/AI488)))</f>
        <v>1</v>
      </c>
      <c r="AP488" s="50" t="n">
        <f aca="false">IF(LEFT(Cockpit!$I$5,1)="A",H488,IF(Parameter!$E$30="MAX-Bestand",IF(CH488=1,CI488,IF(LEFT(Cockpit!$I$5,1)="B",AV488,MAX(AV488,H488))),ROUNDUP(AT488,0)))</f>
        <v>45</v>
      </c>
      <c r="AQ488" s="50" t="n">
        <f aca="false">IF(BZ488=1,0,ROUNDUP(AP488/BY488,0))</f>
        <v>1</v>
      </c>
      <c r="AR488" s="52" t="n">
        <f aca="false">IF(CQ488&gt;0,CQ488*MAX(1,AP488/X488),IF(BZ488=1,IF(AP488&lt;=0,0,CD488*MAX(1,IF(H488&gt;0,AP488/H488,1))),IF(R488&gt;0,AQ488/R488,0))/MAX(0.1,N(Parameter!$M$21)))</f>
        <v>0.0384615384615385</v>
      </c>
      <c r="AS488" s="50" t="n">
        <f aca="false">AR488*CB488</f>
        <v>5.96153846153846</v>
      </c>
      <c r="AT488" s="51" t="n">
        <f aca="false">IF(LEFT(Cockpit!$I$5,1)="A",H488,IF(CH488=1,(CK488+CI488)/2,IF(LEFT(Cockpit!$I$5,1)="B",(CK488+AV488)/2,MAX((CK488+AV488)/2,H488))))</f>
        <v>45</v>
      </c>
      <c r="AU488" s="50" t="n">
        <f aca="false">AT488*G488</f>
        <v>663.75</v>
      </c>
      <c r="AV488" s="50" t="n">
        <f aca="false">ROUNDUP(CK488+MAX(CL488,2*(J488/IF(CG488&gt;0,CG488,MAX(0.1,N(Cockpit!$I$6)))-CK488)),0)</f>
        <v>1</v>
      </c>
      <c r="AW488" s="51" t="n">
        <f aca="false">IF(AS488&gt;0,J488/AS488,-1)</f>
        <v>0</v>
      </c>
      <c r="AX488" s="51" t="n">
        <f aca="false">IF(AND(OR(CF488="L1",CF488="L23",CF488="LIFT"),AS488&gt;0),SUMIFS($AS$7:$AS$1843,$CF$7:$CF$1843,CF488,$AW$7:$AW$1843,"&gt;"&amp;AW488)+SUMIFS($AS$7:$AS$1843,$CF$7:$CF$1843,CF488,$AW$7:$AW$1843,AW488,$BW$7:$BW$1843,"&lt;="&amp;BW488),"")</f>
        <v>33607.0485347985</v>
      </c>
      <c r="AY488" s="58" t="n">
        <f aca="false">IF(AX488="",0,MAX(0,MIN(1,(IF(CF488="L1",Parameter!$H$5,IF(CF488="L23",Parameter!$H$6+Parameter!$H$7,Parameter!$H$5+Parameter!$H$6+Parameter!$H$7))-(AX488-AS488))/AS488)))</f>
        <v>1</v>
      </c>
      <c r="AZ488" s="50" t="n">
        <f aca="false">IF(LEFT(Cockpit!$O$5,1)="A",H488,IF(Parameter!$E$30="MAX-Bestand",IF(CH488=1,CI488,IF(LEFT(Cockpit!$O$5,1)="B",BF488,MAX(BF488,H488))),ROUNDUP(BD488,0)))</f>
        <v>1</v>
      </c>
      <c r="BA488" s="50" t="n">
        <f aca="false">IF(BZ488=1,0,ROUNDUP(AZ488/BY488,0))</f>
        <v>1</v>
      </c>
      <c r="BB488" s="52" t="n">
        <f aca="false">IF(CQ488&gt;0,CQ488*MAX(1,AZ488/X488),IF(BZ488=1,IF(AZ488&lt;=0,0,CD488*MAX(1,IF(H488&gt;0,AZ488/H488,1))),IF(R488&gt;0,BA488/R488,0))/MAX(0.1,N(Parameter!$M$21)))</f>
        <v>0.0384615384615385</v>
      </c>
      <c r="BC488" s="50" t="n">
        <f aca="false">BB488*CB488</f>
        <v>5.96153846153846</v>
      </c>
      <c r="BD488" s="51" t="n">
        <f aca="false">IF(LEFT(Cockpit!$O$5,1)="A",H488,IF(CH488=1,(CK488+CI488)/2,IF(LEFT(Cockpit!$O$5,1)="B",(CK488+BF488)/2,MAX((CK488+BF488)/2,H488))))</f>
        <v>0.5</v>
      </c>
      <c r="BE488" s="50" t="n">
        <f aca="false">BD488*G488</f>
        <v>7.375</v>
      </c>
      <c r="BF488" s="50" t="n">
        <f aca="false">ROUNDUP(CK488+MAX(CL488,2*(J488/IF(CG488&gt;0,CG488,MAX(0.1,N(Cockpit!$O$6)))-CK488)),0)</f>
        <v>1</v>
      </c>
      <c r="BG488" s="51" t="n">
        <f aca="false">IF(BC488&gt;0,J488/BC488,-1)</f>
        <v>0</v>
      </c>
      <c r="BH488" s="51" t="n">
        <f aca="false">IF(AND(OR(CF488="L1",CF488="L23",CF488="LIFT"),BC488&gt;0),SUMIFS($BC$7:$BC$1843,$CF$7:$CF$1843,CF488,$BG$7:$BG$1843,"&gt;"&amp;BG488)+SUMIFS($BC$7:$BC$1843,$CF$7:$CF$1843,CF488,$BG$7:$BG$1843,BG488,$BW$7:$BW$1843,"&lt;="&amp;BW488),"")</f>
        <v>27714.2833084994</v>
      </c>
      <c r="BI488" s="58" t="n">
        <f aca="false">IF(BH488="",0,MAX(0,MIN(1,(IF(CF488="L1",Parameter!$H$5,IF(CF488="L23",Parameter!$H$6+Parameter!$H$7,Parameter!$H$5+Parameter!$H$6+Parameter!$H$7))-(BH488-BC488))/BC488)))</f>
        <v>1</v>
      </c>
      <c r="BJ488" s="48" t="str">
        <f aca="false">IF(AI488&lt;=0,"",IF(CF488="Aussen","Aussenlager",IF(CF488="-","Nicht im Lift",IF(AO488&gt;=1,"Lift",IF(AO488&lt;=0,"Aussenlager","teilweise")))))</f>
        <v>Lift</v>
      </c>
      <c r="BK488" s="48" t="str">
        <f aca="false">IF(AS488&lt;=0,"",IF(CF488="Aussen","Aussenlager",IF(CF488="-","Nicht im Lift",IF(AY488&gt;=1,"Lift",IF(AY488&lt;=0,"Aussenlager","teilweise")))))</f>
        <v>Lift</v>
      </c>
      <c r="BL488" s="48" t="str">
        <f aca="false">IF(BC488&lt;=0,"",IF(CF488="Aussen","Aussenlager",IF(CF488="-","Nicht im Lift",IF(BI488&gt;=1,"Lift",IF(BI488&lt;=0,"Aussenlager","teilweise")))))</f>
        <v>Lift</v>
      </c>
      <c r="BM488" s="48" t="str">
        <f aca="false">IF(A488="","",IF(BV488=1,"Neu; ","")&amp;IF(AND(BV488=0,BQ488&lt;0),"negativer Bestand (Export "&amp;BQ488&amp;"); ","")&amp;IF(J488&lt;=0,"Kein Verbrauch; ","")&amp;IF(CQ488&gt;0,"Lift "&amp;W488&amp;" lt. Liftbericht (Fach "&amp;X488&amp;" Stk); ",IF(CA488=1,"Gebinde geschätzt ("&amp;T488&amp;"); ",IF(BZ488=1,"Lose – Tablare geschätzt; ","")))&amp;IF(H488&gt;AV488,"Überbestand "&amp;ROUND(H488-AV488,0)&amp;" Stk / CHF "&amp;ROUND((H488-AV488)*G488,0)&amp;"; ","")&amp;IF(AND(CH488=1,CI488&lt;CJ488),"MAX &lt; MB+LG; ","")&amp;IF(AND(CP488&gt;0,CO488*10&gt;CP488),"zu hoch für Tablar; ","")&amp;IF(AND(BV488=0,OR(CH488=1,AA488&lt;&gt;"",U488&lt;&gt;"",V488&lt;&gt;"",AB488&lt;&gt;"")),"manuell übersteuert; ","")&amp;IF(AND(BZ488=0,R488=0),"Gebinde unbekannt / Stellmass fehlt; ","")&amp;IF(AND(BZ488=0,N(V488)&lt;=0,N(Q488)&lt;=0),"Menge pro Gebinde fehlt (Ist = 1 Gebinde); ","")&amp;BU488)</f>
        <v>Kein Verbrauch; Gebinde geschätzt (Klein); Überbestand 44 Stk / CHF 649; Menge pro Gebinde fehlt (Ist = 1 Gebinde); </v>
      </c>
      <c r="BN488" s="48"/>
      <c r="BO488" s="48"/>
      <c r="BP488" s="55"/>
      <c r="BQ488" s="50" t="n">
        <v>3</v>
      </c>
      <c r="BR488" s="50" t="n">
        <v>42</v>
      </c>
      <c r="BS488" s="49" t="n">
        <v>44.25</v>
      </c>
      <c r="BT488" s="50" t="n">
        <v>0</v>
      </c>
      <c r="BU488" s="48"/>
      <c r="BV488" s="53" t="n">
        <v>0</v>
      </c>
      <c r="BW488" s="53" t="n">
        <v>488</v>
      </c>
      <c r="BX488" s="48" t="str">
        <f aca="false">IF(U488&lt;&gt;"",UPPER(TRIM(U488)),IF(CA488=1,UPPER(VLOOKUP(T488,Parameter!$I$27:$K$29,2,0)),IF(P488="","LOSE",P488)))</f>
        <v>S51</v>
      </c>
      <c r="BY488" s="50" t="n">
        <f aca="false">IF(BX488="LOSE",1,IF(N(V488)&gt;0,V488,IF(CA488=1,MAX(1,N(VLOOKUP(T488,Parameter!$I$27:$K$29,3,0)),H488,N(N488)),IF(N(Q488)&gt;0,Q488,MAX(1,H488)))))</f>
        <v>45</v>
      </c>
      <c r="BZ488" s="53" t="n">
        <f aca="false">IF(BX488="LOSE",1,0)</f>
        <v>0</v>
      </c>
      <c r="CA488" s="53" t="n">
        <f aca="false">IF(AND(U488="",OR(P488="",P488="LOSE"),T488&lt;&gt;"",N(S488)&lt;=0,ISNUMBER(MATCH(T488,Parameter!$I$27:$I$29,0))),1,0)</f>
        <v>1</v>
      </c>
      <c r="CB488" s="53" t="n">
        <f aca="false">IF(CQ488&gt;0,INDEX(Parameter!$H$5:$H$7,W488)/INDEX(Parameter!$E$5:$E$7,W488),IF(AND(BZ488=0,N(IFERROR(VLOOKUP(BX488,'Gebinde-Kategorie'!$A$5:$N$45,14,0),0))&gt;0),VLOOKUP(BX488,'Gebinde-Kategorie'!$A$5:$N$45,14,0)*10+Parameter!$M$23,Parameter!$M$24))</f>
        <v>155</v>
      </c>
      <c r="CC488" s="48" t="str">
        <f aca="false">IF(AND(Parameter!$B$19="Ja",E488&lt;&gt;"",ISNUMBER(MATCH(E488,Parameter!$I$35:$I$52,0))),VLOOKUP(E488,Parameter!$I$35:$J$52,2,0),IFERROR(VLOOKUP(D488,Parameter!$A$35:$C$64,2,0),"Nein"))</f>
        <v>2+3</v>
      </c>
      <c r="CD488" s="52" t="n">
        <f aca="false">IF(BZ488=0,0,IF(N(S488)&gt;0,S488,IFERROR(VLOOKUP(D488,Parameter!$A$35:$C$64,3,0)+0,0)))</f>
        <v>0</v>
      </c>
      <c r="CE488" s="48" t="n">
        <f aca="false">IF(AA488&lt;&gt;"",AA488,Z488)</f>
        <v>3</v>
      </c>
      <c r="CF488" s="48" t="str">
        <f aca="false">IF(OR(CE488=1,CE488=2,CE488=3),IF(Parameter!$E$27="Ja","LIFT",IF(CE488=1,"L1","L23")),IF(CE488="Aussen","Aussen","-"))</f>
        <v>LIFT</v>
      </c>
      <c r="CG488" s="59" t="n">
        <f aca="false">IF(N(AB488)&gt;0,AB488,0)</f>
        <v>0</v>
      </c>
      <c r="CH488" s="53" t="n">
        <f aca="false">IF(ISNUMBER(AE488),1,0)</f>
        <v>0</v>
      </c>
      <c r="CI488" s="50" t="n">
        <f aca="false">N(AE488)</f>
        <v>0</v>
      </c>
      <c r="CJ488" s="50" t="n">
        <f aca="false">N(M488)+N(N488)</f>
        <v>1</v>
      </c>
      <c r="CK488" s="50" t="n">
        <f aca="false">N(M488)</f>
        <v>0</v>
      </c>
      <c r="CL488" s="50" t="n">
        <f aca="false">N(N488)</f>
        <v>1</v>
      </c>
      <c r="CM488" s="50" t="n">
        <f aca="false">ROUNDUP(H488/BY488,0)</f>
        <v>1</v>
      </c>
      <c r="CN488" s="50" t="n">
        <f aca="false">ROUNDUP(CI488/BY488,0)</f>
        <v>0</v>
      </c>
      <c r="CO488" s="53" t="n">
        <f aca="false">IF(BZ488=1,0,IFERROR(VLOOKUP(BX488,'Gebinde-Kategorie'!$A$5:$N$45,5,0)+0,0))</f>
        <v>11</v>
      </c>
      <c r="CP488" s="53" t="n">
        <f aca="false">IFERROR(IF(OR(CE488=1,CE488=2,CE488=3),N(INDEX(Parameter!$I$5:$I$7,CE488)),0),0)</f>
        <v>0</v>
      </c>
      <c r="CQ488" s="52" t="n">
        <f aca="false">IF(AND(Parameter!$B$21="Ja",ISNUMBER(W488),N(X488)&gt;0),IFERROR(N(INDEX(Parameter!$L$5:$L$7,W488))*INDEX(Parameter!$E$5:$E$7,W488)*X488/SUMIFS($X$7:$X$1843,$W$7:$W$1843,W488),0),0)</f>
        <v>0</v>
      </c>
    </row>
    <row r="489" customFormat="false" ht="15" hidden="false" customHeight="false" outlineLevel="0" collapsed="false">
      <c r="A489" s="48" t="s">
        <v>1091</v>
      </c>
      <c r="B489" s="48" t="s">
        <v>1092</v>
      </c>
      <c r="C489" s="48" t="s">
        <v>173</v>
      </c>
      <c r="D489" s="48" t="s">
        <v>193</v>
      </c>
      <c r="E489" s="48" t="s">
        <v>194</v>
      </c>
      <c r="F489" s="48" t="s">
        <v>227</v>
      </c>
      <c r="G489" s="49" t="n">
        <v>3.74</v>
      </c>
      <c r="H489" s="50" t="n">
        <f aca="false">MAX(0,IF(AND(Parameter!$B$21="Ja",ISNUMBER(Y489)),Y489,IF(Parameter!$B$20="Jahresanfang 2025 + Export",BR489+BQ489,BQ489)))</f>
        <v>52</v>
      </c>
      <c r="I489" s="50" t="n">
        <f aca="false">H489*G489</f>
        <v>194.48</v>
      </c>
      <c r="J489" s="50" t="n">
        <f aca="false">BT489*Parameter!$B$18</f>
        <v>16</v>
      </c>
      <c r="K489" s="51" t="n">
        <v>55</v>
      </c>
      <c r="L489" s="52" t="n">
        <v>0.290909090909091</v>
      </c>
      <c r="M489" s="50" t="n">
        <v>2</v>
      </c>
      <c r="N489" s="50" t="n">
        <v>50</v>
      </c>
      <c r="O489" s="53" t="n">
        <v>35</v>
      </c>
      <c r="P489" s="48" t="s">
        <v>337</v>
      </c>
      <c r="Q489" s="50" t="n">
        <v>78</v>
      </c>
      <c r="R489" s="53" t="n">
        <f aca="false">IF(BZ489=1,0,IFERROR(VLOOKUP(BX489,'Gebinde-Kategorie'!$A$5:$N$45,13,0)+0,0))</f>
        <v>52</v>
      </c>
      <c r="S489" s="54"/>
      <c r="T489" s="55"/>
      <c r="U489" s="55"/>
      <c r="V489" s="55"/>
      <c r="W489" s="48"/>
      <c r="X489" s="50"/>
      <c r="Y489" s="50"/>
      <c r="Z489" s="48" t="n">
        <f aca="false">IF(A489="","",IF(AND(Parameter!$B$21="Ja",ISNUMBER(W489)),W489,IF(CC489="2+3",IF(ISNUMBER(SEARCH("grosser Artikel",BU489)),2,IFERROR(VLOOKUP(BX489,Parameter!$F$35:$G$64,2,0),2)),IF(OR(CC489="Nein",CC489=""),"-",CC489))))</f>
        <v>3</v>
      </c>
      <c r="AA489" s="55"/>
      <c r="AB489" s="56"/>
      <c r="AC489" s="50" t="n">
        <f aca="false">AV489</f>
        <v>52</v>
      </c>
      <c r="AD489" s="50" t="n">
        <f aca="false">MAX(AV489,H489)</f>
        <v>52</v>
      </c>
      <c r="AE489" s="57"/>
      <c r="AF489" s="50" t="n">
        <f aca="false">IF(LEFT(Cockpit!$C$5,1)="A",H489,IF(Parameter!$E$30="MAX-Bestand",IF(CH489=1,CI489,IF(LEFT(Cockpit!$C$5,1)="B",AL489,MAX(AL489,H489))),ROUNDUP(AJ489,0)))</f>
        <v>52</v>
      </c>
      <c r="AG489" s="50" t="n">
        <f aca="false">IF(BZ489=1,0,ROUNDUP(AF489/BY489,0))</f>
        <v>1</v>
      </c>
      <c r="AH489" s="52" t="n">
        <f aca="false">IF(CQ489&gt;0,CQ489*MAX(1,AF489/X489),IF(BZ489=1,IF(AF489&lt;=0,0,CD489*MAX(1,IF(H489&gt;0,AF489/H489,1))),IF(R489&gt;0,AG489/R489,0))/MAX(0.1,N(Parameter!$M$21)))</f>
        <v>0.0192307692307692</v>
      </c>
      <c r="AI489" s="50" t="n">
        <f aca="false">AH489*CB489</f>
        <v>2.98076923076923</v>
      </c>
      <c r="AJ489" s="51" t="n">
        <f aca="false">IF(LEFT(Cockpit!$C$5,1)="A",H489,IF(CH489=1,(CK489+CI489)/2,IF(LEFT(Cockpit!$C$5,1)="B",(CK489+AL489)/2,MAX((CK489+AL489)/2,H489))))</f>
        <v>52</v>
      </c>
      <c r="AK489" s="50" t="n">
        <f aca="false">AJ489*G489</f>
        <v>194.48</v>
      </c>
      <c r="AL489" s="50" t="n">
        <f aca="false">ROUNDUP(CK489+MAX(CL489,2*(J489/IF(CG489&gt;0,CG489,MAX(0.1,N(Cockpit!$C$6)))-CK489)),0)</f>
        <v>52</v>
      </c>
      <c r="AM489" s="51" t="n">
        <f aca="false">IF(AI489&gt;0,J489/AI489,-1)</f>
        <v>5.36774193548387</v>
      </c>
      <c r="AN489" s="51" t="n">
        <f aca="false">IF(AND(OR(CF489="L1",CF489="L23",CF489="LIFT"),AI489&gt;0),SUMIFS($AI$7:$AI$1843,$CF$7:$CF$1843,CF489,$AM$7:$AM$1843,"&gt;"&amp;AM489)+SUMIFS($AI$7:$AI$1843,$CF$7:$CF$1843,CF489,$AM$7:$AM$1843,AM489,$BW$7:$BW$1843,"&lt;="&amp;BW489),"")</f>
        <v>3723.21062271062</v>
      </c>
      <c r="AO489" s="58" t="n">
        <f aca="false">IF(AN489="",0,MAX(0,MIN(1,(IF(CF489="L1",Parameter!$H$5,IF(CF489="L23",Parameter!$H$6+Parameter!$H$7,Parameter!$H$5+Parameter!$H$6+Parameter!$H$7))-(AN489-AI489))/AI489)))</f>
        <v>1</v>
      </c>
      <c r="AP489" s="50" t="n">
        <f aca="false">IF(LEFT(Cockpit!$I$5,1)="A",H489,IF(Parameter!$E$30="MAX-Bestand",IF(CH489=1,CI489,IF(LEFT(Cockpit!$I$5,1)="B",AV489,MAX(AV489,H489))),ROUNDUP(AT489,0)))</f>
        <v>52</v>
      </c>
      <c r="AQ489" s="50" t="n">
        <f aca="false">IF(BZ489=1,0,ROUNDUP(AP489/BY489,0))</f>
        <v>1</v>
      </c>
      <c r="AR489" s="52" t="n">
        <f aca="false">IF(CQ489&gt;0,CQ489*MAX(1,AP489/X489),IF(BZ489=1,IF(AP489&lt;=0,0,CD489*MAX(1,IF(H489&gt;0,AP489/H489,1))),IF(R489&gt;0,AQ489/R489,0))/MAX(0.1,N(Parameter!$M$21)))</f>
        <v>0.0192307692307692</v>
      </c>
      <c r="AS489" s="50" t="n">
        <f aca="false">AR489*CB489</f>
        <v>2.98076923076923</v>
      </c>
      <c r="AT489" s="51" t="n">
        <f aca="false">IF(LEFT(Cockpit!$I$5,1)="A",H489,IF(CH489=1,(CK489+CI489)/2,IF(LEFT(Cockpit!$I$5,1)="B",(CK489+AV489)/2,MAX((CK489+AV489)/2,H489))))</f>
        <v>52</v>
      </c>
      <c r="AU489" s="50" t="n">
        <f aca="false">AT489*G489</f>
        <v>194.48</v>
      </c>
      <c r="AV489" s="50" t="n">
        <f aca="false">ROUNDUP(CK489+MAX(CL489,2*(J489/IF(CG489&gt;0,CG489,MAX(0.1,N(Cockpit!$I$6)))-CK489)),0)</f>
        <v>52</v>
      </c>
      <c r="AW489" s="51" t="n">
        <f aca="false">IF(AS489&gt;0,J489/AS489,-1)</f>
        <v>5.36774193548387</v>
      </c>
      <c r="AX489" s="51" t="n">
        <f aca="false">IF(AND(OR(CF489="L1",CF489="L23",CF489="LIFT"),AS489&gt;0),SUMIFS($AS$7:$AS$1843,$CF$7:$CF$1843,CF489,$AW$7:$AW$1843,"&gt;"&amp;AW489)+SUMIFS($AS$7:$AS$1843,$CF$7:$CF$1843,CF489,$AW$7:$AW$1843,AW489,$BW$7:$BW$1843,"&lt;="&amp;BW489),"")</f>
        <v>4376.95146520147</v>
      </c>
      <c r="AY489" s="58" t="n">
        <f aca="false">IF(AX489="",0,MAX(0,MIN(1,(IF(CF489="L1",Parameter!$H$5,IF(CF489="L23",Parameter!$H$6+Parameter!$H$7,Parameter!$H$5+Parameter!$H$6+Parameter!$H$7))-(AX489-AS489))/AS489)))</f>
        <v>1</v>
      </c>
      <c r="AZ489" s="50" t="n">
        <f aca="false">IF(LEFT(Cockpit!$O$5,1)="A",H489,IF(Parameter!$E$30="MAX-Bestand",IF(CH489=1,CI489,IF(LEFT(Cockpit!$O$5,1)="B",BF489,MAX(BF489,H489))),ROUNDUP(BD489,0)))</f>
        <v>27</v>
      </c>
      <c r="BA489" s="50" t="n">
        <f aca="false">IF(BZ489=1,0,ROUNDUP(AZ489/BY489,0))</f>
        <v>1</v>
      </c>
      <c r="BB489" s="52" t="n">
        <f aca="false">IF(CQ489&gt;0,CQ489*MAX(1,AZ489/X489),IF(BZ489=1,IF(AZ489&lt;=0,0,CD489*MAX(1,IF(H489&gt;0,AZ489/H489,1))),IF(R489&gt;0,BA489/R489,0))/MAX(0.1,N(Parameter!$M$21)))</f>
        <v>0.0192307692307692</v>
      </c>
      <c r="BC489" s="50" t="n">
        <f aca="false">BB489*CB489</f>
        <v>2.98076923076923</v>
      </c>
      <c r="BD489" s="51" t="n">
        <f aca="false">IF(LEFT(Cockpit!$O$5,1)="A",H489,IF(CH489=1,(CK489+CI489)/2,IF(LEFT(Cockpit!$O$5,1)="B",(CK489+BF489)/2,MAX((CK489+BF489)/2,H489))))</f>
        <v>27</v>
      </c>
      <c r="BE489" s="50" t="n">
        <f aca="false">BD489*G489</f>
        <v>100.98</v>
      </c>
      <c r="BF489" s="50" t="n">
        <f aca="false">ROUNDUP(CK489+MAX(CL489,2*(J489/IF(CG489&gt;0,CG489,MAX(0.1,N(Cockpit!$O$6)))-CK489)),0)</f>
        <v>52</v>
      </c>
      <c r="BG489" s="51" t="n">
        <f aca="false">IF(BC489&gt;0,J489/BC489,-1)</f>
        <v>5.36774193548387</v>
      </c>
      <c r="BH489" s="51" t="n">
        <f aca="false">IF(AND(OR(CF489="L1",CF489="L23",CF489="LIFT"),BC489&gt;0),SUMIFS($BC$7:$BC$1843,$CF$7:$CF$1843,CF489,$BG$7:$BG$1843,"&gt;"&amp;BG489)+SUMIFS($BC$7:$BC$1843,$CF$7:$CF$1843,CF489,$BG$7:$BG$1843,BG489,$BW$7:$BW$1843,"&lt;="&amp;BW489),"")</f>
        <v>3688.49267399267</v>
      </c>
      <c r="BI489" s="58" t="n">
        <f aca="false">IF(BH489="",0,MAX(0,MIN(1,(IF(CF489="L1",Parameter!$H$5,IF(CF489="L23",Parameter!$H$6+Parameter!$H$7,Parameter!$H$5+Parameter!$H$6+Parameter!$H$7))-(BH489-BC489))/BC489)))</f>
        <v>1</v>
      </c>
      <c r="BJ489" s="48" t="str">
        <f aca="false">IF(AI489&lt;=0,"",IF(CF489="Aussen","Aussenlager",IF(CF489="-","Nicht im Lift",IF(AO489&gt;=1,"Lift",IF(AO489&lt;=0,"Aussenlager","teilweise")))))</f>
        <v>Lift</v>
      </c>
      <c r="BK489" s="48" t="str">
        <f aca="false">IF(AS489&lt;=0,"",IF(CF489="Aussen","Aussenlager",IF(CF489="-","Nicht im Lift",IF(AY489&gt;=1,"Lift",IF(AY489&lt;=0,"Aussenlager","teilweise")))))</f>
        <v>Lift</v>
      </c>
      <c r="BL489" s="48" t="str">
        <f aca="false">IF(BC489&lt;=0,"",IF(CF489="Aussen","Aussenlager",IF(CF489="-","Nicht im Lift",IF(BI489&gt;=1,"Lift",IF(BI489&lt;=0,"Aussenlager","teilweise")))))</f>
        <v>Lift</v>
      </c>
      <c r="BM489" s="48" t="str">
        <f aca="false">IF(A489="","",IF(BV489=1,"Neu; ","")&amp;IF(AND(BV489=0,BQ489&lt;0),"negativer Bestand (Export "&amp;BQ489&amp;"); ","")&amp;IF(J489&lt;=0,"Kein Verbrauch; ","")&amp;IF(CQ489&gt;0,"Lift "&amp;W489&amp;" lt. Liftbericht (Fach "&amp;X489&amp;" Stk); ",IF(CA489=1,"Gebinde geschätzt ("&amp;T489&amp;"); ",IF(BZ489=1,"Lose – Tablare geschätzt; ","")))&amp;IF(H489&gt;AV489,"Überbestand "&amp;ROUND(H489-AV489,0)&amp;" Stk / CHF "&amp;ROUND((H489-AV489)*G489,0)&amp;"; ","")&amp;IF(AND(CH489=1,CI489&lt;CJ489),"MAX &lt; MB+LG; ","")&amp;IF(AND(CP489&gt;0,CO489*10&gt;CP489),"zu hoch für Tablar; ","")&amp;IF(AND(BV489=0,OR(CH489=1,AA489&lt;&gt;"",U489&lt;&gt;"",V489&lt;&gt;"",AB489&lt;&gt;"")),"manuell übersteuert; ","")&amp;IF(AND(BZ489=0,R489=0),"Gebinde unbekannt / Stellmass fehlt; ","")&amp;IF(AND(BZ489=0,N(V489)&lt;=0,N(Q489)&lt;=0),"Menge pro Gebinde fehlt (Ist = 1 Gebinde); ","")&amp;BU489)</f>
        <v>Neu</v>
      </c>
      <c r="BN489" s="48"/>
      <c r="BO489" s="48"/>
      <c r="BP489" s="55"/>
      <c r="BQ489" s="50" t="n">
        <v>10</v>
      </c>
      <c r="BR489" s="50" t="n">
        <v>42</v>
      </c>
      <c r="BS489" s="49" t="n">
        <v>44.12</v>
      </c>
      <c r="BT489" s="50" t="n">
        <v>16</v>
      </c>
      <c r="BU489" s="48" t="s">
        <v>635</v>
      </c>
      <c r="BV489" s="53" t="n">
        <v>0</v>
      </c>
      <c r="BW489" s="53" t="n">
        <v>489</v>
      </c>
      <c r="BX489" s="48" t="str">
        <f aca="false">IF(U489&lt;&gt;"",UPPER(TRIM(U489)),IF(CA489=1,UPPER(VLOOKUP(T489,Parameter!$I$27:$K$29,2,0)),IF(P489="","LOSE",P489)))</f>
        <v>S41</v>
      </c>
      <c r="BY489" s="50" t="n">
        <f aca="false">IF(BX489="LOSE",1,IF(N(V489)&gt;0,V489,IF(CA489=1,MAX(1,N(VLOOKUP(T489,Parameter!$I$27:$K$29,3,0)),H489,N(N489)),IF(N(Q489)&gt;0,Q489,MAX(1,H489)))))</f>
        <v>78</v>
      </c>
      <c r="BZ489" s="53" t="n">
        <f aca="false">IF(BX489="LOSE",1,0)</f>
        <v>0</v>
      </c>
      <c r="CA489" s="53" t="n">
        <f aca="false">IF(AND(U489="",OR(P489="",P489="LOSE"),T489&lt;&gt;"",N(S489)&lt;=0,ISNUMBER(MATCH(T489,Parameter!$I$27:$I$29,0))),1,0)</f>
        <v>0</v>
      </c>
      <c r="CB489" s="53" t="n">
        <f aca="false">IF(CQ489&gt;0,INDEX(Parameter!$H$5:$H$7,W489)/INDEX(Parameter!$E$5:$E$7,W489),IF(AND(BZ489=0,N(IFERROR(VLOOKUP(BX489,'Gebinde-Kategorie'!$A$5:$N$45,14,0),0))&gt;0),VLOOKUP(BX489,'Gebinde-Kategorie'!$A$5:$N$45,14,0)*10+Parameter!$M$23,Parameter!$M$24))</f>
        <v>155</v>
      </c>
      <c r="CC489" s="48" t="str">
        <f aca="false">IF(AND(Parameter!$B$19="Ja",E489&lt;&gt;"",ISNUMBER(MATCH(E489,Parameter!$I$35:$I$52,0))),VLOOKUP(E489,Parameter!$I$35:$J$52,2,0),IFERROR(VLOOKUP(D489,Parameter!$A$35:$C$64,2,0),"Nein"))</f>
        <v>2+3</v>
      </c>
      <c r="CD489" s="52" t="n">
        <f aca="false">IF(BZ489=0,0,IF(N(S489)&gt;0,S489,IFERROR(VLOOKUP(D489,Parameter!$A$35:$C$64,3,0)+0,0)))</f>
        <v>0</v>
      </c>
      <c r="CE489" s="48" t="n">
        <f aca="false">IF(AA489&lt;&gt;"",AA489,Z489)</f>
        <v>3</v>
      </c>
      <c r="CF489" s="48" t="str">
        <f aca="false">IF(OR(CE489=1,CE489=2,CE489=3),IF(Parameter!$E$27="Ja","LIFT",IF(CE489=1,"L1","L23")),IF(CE489="Aussen","Aussen","-"))</f>
        <v>LIFT</v>
      </c>
      <c r="CG489" s="59" t="n">
        <f aca="false">IF(N(AB489)&gt;0,AB489,0)</f>
        <v>0</v>
      </c>
      <c r="CH489" s="53" t="n">
        <f aca="false">IF(ISNUMBER(AE489),1,0)</f>
        <v>0</v>
      </c>
      <c r="CI489" s="50" t="n">
        <f aca="false">N(AE489)</f>
        <v>0</v>
      </c>
      <c r="CJ489" s="50" t="n">
        <f aca="false">N(M489)+N(N489)</f>
        <v>52</v>
      </c>
      <c r="CK489" s="50" t="n">
        <f aca="false">N(M489)</f>
        <v>2</v>
      </c>
      <c r="CL489" s="50" t="n">
        <f aca="false">N(N489)</f>
        <v>50</v>
      </c>
      <c r="CM489" s="50" t="n">
        <f aca="false">ROUNDUP(H489/BY489,0)</f>
        <v>1</v>
      </c>
      <c r="CN489" s="50" t="n">
        <f aca="false">ROUNDUP(CI489/BY489,0)</f>
        <v>0</v>
      </c>
      <c r="CO489" s="53" t="n">
        <f aca="false">IF(BZ489=1,0,IFERROR(VLOOKUP(BX489,'Gebinde-Kategorie'!$A$5:$N$45,5,0)+0,0))</f>
        <v>11</v>
      </c>
      <c r="CP489" s="53" t="n">
        <f aca="false">IFERROR(IF(OR(CE489=1,CE489=2,CE489=3),N(INDEX(Parameter!$I$5:$I$7,CE489)),0),0)</f>
        <v>0</v>
      </c>
      <c r="CQ489" s="52" t="n">
        <f aca="false">IF(AND(Parameter!$B$21="Ja",ISNUMBER(W489),N(X489)&gt;0),IFERROR(N(INDEX(Parameter!$L$5:$L$7,W489))*INDEX(Parameter!$E$5:$E$7,W489)*X489/SUMIFS($X$7:$X$1843,$W$7:$W$1843,W489),0),0)</f>
        <v>0</v>
      </c>
    </row>
    <row r="490" customFormat="false" ht="15" hidden="false" customHeight="false" outlineLevel="0" collapsed="false">
      <c r="A490" s="48" t="s">
        <v>1093</v>
      </c>
      <c r="B490" s="48" t="s">
        <v>516</v>
      </c>
      <c r="C490" s="48" t="s">
        <v>173</v>
      </c>
      <c r="D490" s="48" t="s">
        <v>193</v>
      </c>
      <c r="E490" s="48" t="s">
        <v>194</v>
      </c>
      <c r="F490" s="48" t="s">
        <v>227</v>
      </c>
      <c r="G490" s="49" t="n">
        <v>2.3</v>
      </c>
      <c r="H490" s="50" t="n">
        <f aca="false">MAX(0,IF(AND(Parameter!$B$21="Ja",ISNUMBER(Y490)),Y490,IF(Parameter!$B$20="Jahresanfang 2025 + Export",BR490+BQ490,BQ490)))</f>
        <v>69</v>
      </c>
      <c r="I490" s="50" t="n">
        <f aca="false">H490*G490</f>
        <v>158.7</v>
      </c>
      <c r="J490" s="50" t="n">
        <f aca="false">BT490*Parameter!$B$18</f>
        <v>116</v>
      </c>
      <c r="K490" s="51" t="n">
        <v>85</v>
      </c>
      <c r="L490" s="52" t="n">
        <v>1.36470588235294</v>
      </c>
      <c r="M490" s="50" t="n">
        <v>6</v>
      </c>
      <c r="N490" s="50" t="n">
        <v>115</v>
      </c>
      <c r="O490" s="53" t="n">
        <v>21</v>
      </c>
      <c r="P490" s="48" t="s">
        <v>311</v>
      </c>
      <c r="Q490" s="50" t="n">
        <v>295</v>
      </c>
      <c r="R490" s="53" t="n">
        <f aca="false">IF(BZ490=1,0,IFERROR(VLOOKUP(BX490,'Gebinde-Kategorie'!$A$5:$N$45,13,0)+0,0))</f>
        <v>26</v>
      </c>
      <c r="S490" s="54"/>
      <c r="T490" s="55"/>
      <c r="U490" s="55"/>
      <c r="V490" s="55"/>
      <c r="W490" s="48"/>
      <c r="X490" s="50"/>
      <c r="Y490" s="50"/>
      <c r="Z490" s="48" t="n">
        <f aca="false">IF(A490="","",IF(AND(Parameter!$B$21="Ja",ISNUMBER(W490)),W490,IF(CC490="2+3",IF(ISNUMBER(SEARCH("grosser Artikel",BU490)),2,IFERROR(VLOOKUP(BX490,Parameter!$F$35:$G$64,2,0),2)),IF(OR(CC490="Nein",CC490=""),"-",CC490))))</f>
        <v>3</v>
      </c>
      <c r="AA490" s="55"/>
      <c r="AB490" s="56"/>
      <c r="AC490" s="50" t="n">
        <f aca="false">AV490</f>
        <v>121</v>
      </c>
      <c r="AD490" s="50" t="n">
        <f aca="false">MAX(AV490,H490)</f>
        <v>121</v>
      </c>
      <c r="AE490" s="57"/>
      <c r="AF490" s="50" t="n">
        <f aca="false">IF(LEFT(Cockpit!$C$5,1)="A",H490,IF(Parameter!$E$30="MAX-Bestand",IF(CH490=1,CI490,IF(LEFT(Cockpit!$C$5,1)="B",AL490,MAX(AL490,H490))),ROUNDUP(AJ490,0)))</f>
        <v>69</v>
      </c>
      <c r="AG490" s="50" t="n">
        <f aca="false">IF(BZ490=1,0,ROUNDUP(AF490/BY490,0))</f>
        <v>1</v>
      </c>
      <c r="AH490" s="52" t="n">
        <f aca="false">IF(CQ490&gt;0,CQ490*MAX(1,AF490/X490),IF(BZ490=1,IF(AF490&lt;=0,0,CD490*MAX(1,IF(H490&gt;0,AF490/H490,1))),IF(R490&gt;0,AG490/R490,0))/MAX(0.1,N(Parameter!$M$21)))</f>
        <v>0.0384615384615385</v>
      </c>
      <c r="AI490" s="50" t="n">
        <f aca="false">AH490*CB490</f>
        <v>5.96153846153846</v>
      </c>
      <c r="AJ490" s="51" t="n">
        <f aca="false">IF(LEFT(Cockpit!$C$5,1)="A",H490,IF(CH490=1,(CK490+CI490)/2,IF(LEFT(Cockpit!$C$5,1)="B",(CK490+AL490)/2,MAX((CK490+AL490)/2,H490))))</f>
        <v>69</v>
      </c>
      <c r="AK490" s="50" t="n">
        <f aca="false">AJ490*G490</f>
        <v>158.7</v>
      </c>
      <c r="AL490" s="50" t="n">
        <f aca="false">ROUNDUP(CK490+MAX(CL490,2*(J490/IF(CG490&gt;0,CG490,MAX(0.1,N(Cockpit!$C$6)))-CK490)),0)</f>
        <v>121</v>
      </c>
      <c r="AM490" s="51" t="n">
        <f aca="false">IF(AI490&gt;0,J490/AI490,-1)</f>
        <v>19.458064516129</v>
      </c>
      <c r="AN490" s="51" t="n">
        <f aca="false">IF(AND(OR(CF490="L1",CF490="L23",CF490="LIFT"),AI490&gt;0),SUMIFS($AI$7:$AI$1843,$CF$7:$CF$1843,CF490,$AM$7:$AM$1843,"&gt;"&amp;AM490)+SUMIFS($AI$7:$AI$1843,$CF$7:$CF$1843,CF490,$AM$7:$AM$1843,AM490,$BW$7:$BW$1843,"&lt;="&amp;BW490),"")</f>
        <v>1725.05128205128</v>
      </c>
      <c r="AO490" s="58" t="n">
        <f aca="false">IF(AN490="",0,MAX(0,MIN(1,(IF(CF490="L1",Parameter!$H$5,IF(CF490="L23",Parameter!$H$6+Parameter!$H$7,Parameter!$H$5+Parameter!$H$6+Parameter!$H$7))-(AN490-AI490))/AI490)))</f>
        <v>1</v>
      </c>
      <c r="AP490" s="50" t="n">
        <f aca="false">IF(LEFT(Cockpit!$I$5,1)="A",H490,IF(Parameter!$E$30="MAX-Bestand",IF(CH490=1,CI490,IF(LEFT(Cockpit!$I$5,1)="B",AV490,MAX(AV490,H490))),ROUNDUP(AT490,0)))</f>
        <v>69</v>
      </c>
      <c r="AQ490" s="50" t="n">
        <f aca="false">IF(BZ490=1,0,ROUNDUP(AP490/BY490,0))</f>
        <v>1</v>
      </c>
      <c r="AR490" s="52" t="n">
        <f aca="false">IF(CQ490&gt;0,CQ490*MAX(1,AP490/X490),IF(BZ490=1,IF(AP490&lt;=0,0,CD490*MAX(1,IF(H490&gt;0,AP490/H490,1))),IF(R490&gt;0,AQ490/R490,0))/MAX(0.1,N(Parameter!$M$21)))</f>
        <v>0.0384615384615385</v>
      </c>
      <c r="AS490" s="50" t="n">
        <f aca="false">AR490*CB490</f>
        <v>5.96153846153846</v>
      </c>
      <c r="AT490" s="51" t="n">
        <f aca="false">IF(LEFT(Cockpit!$I$5,1)="A",H490,IF(CH490=1,(CK490+CI490)/2,IF(LEFT(Cockpit!$I$5,1)="B",(CK490+AV490)/2,MAX((CK490+AV490)/2,H490))))</f>
        <v>69</v>
      </c>
      <c r="AU490" s="50" t="n">
        <f aca="false">AT490*G490</f>
        <v>158.7</v>
      </c>
      <c r="AV490" s="50" t="n">
        <f aca="false">ROUNDUP(CK490+MAX(CL490,2*(J490/IF(CG490&gt;0,CG490,MAX(0.1,N(Cockpit!$I$6)))-CK490)),0)</f>
        <v>121</v>
      </c>
      <c r="AW490" s="51" t="n">
        <f aca="false">IF(AS490&gt;0,J490/AS490,-1)</f>
        <v>19.458064516129</v>
      </c>
      <c r="AX490" s="51" t="n">
        <f aca="false">IF(AND(OR(CF490="L1",CF490="L23",CF490="LIFT"),AS490&gt;0),SUMIFS($AS$7:$AS$1843,$CF$7:$CF$1843,CF490,$AW$7:$AW$1843,"&gt;"&amp;AW490)+SUMIFS($AS$7:$AS$1843,$CF$7:$CF$1843,CF490,$AW$7:$AW$1843,AW490,$BW$7:$BW$1843,"&lt;="&amp;BW490),"")</f>
        <v>2362.17216117216</v>
      </c>
      <c r="AY490" s="58" t="n">
        <f aca="false">IF(AX490="",0,MAX(0,MIN(1,(IF(CF490="L1",Parameter!$H$5,IF(CF490="L23",Parameter!$H$6+Parameter!$H$7,Parameter!$H$5+Parameter!$H$6+Parameter!$H$7))-(AX490-AS490))/AS490)))</f>
        <v>1</v>
      </c>
      <c r="AZ490" s="50" t="n">
        <f aca="false">IF(LEFT(Cockpit!$O$5,1)="A",H490,IF(Parameter!$E$30="MAX-Bestand",IF(CH490=1,CI490,IF(LEFT(Cockpit!$O$5,1)="B",BF490,MAX(BF490,H490))),ROUNDUP(BD490,0)))</f>
        <v>64</v>
      </c>
      <c r="BA490" s="50" t="n">
        <f aca="false">IF(BZ490=1,0,ROUNDUP(AZ490/BY490,0))</f>
        <v>1</v>
      </c>
      <c r="BB490" s="52" t="n">
        <f aca="false">IF(CQ490&gt;0,CQ490*MAX(1,AZ490/X490),IF(BZ490=1,IF(AZ490&lt;=0,0,CD490*MAX(1,IF(H490&gt;0,AZ490/H490,1))),IF(R490&gt;0,BA490/R490,0))/MAX(0.1,N(Parameter!$M$21)))</f>
        <v>0.0384615384615385</v>
      </c>
      <c r="BC490" s="50" t="n">
        <f aca="false">BB490*CB490</f>
        <v>5.96153846153846</v>
      </c>
      <c r="BD490" s="51" t="n">
        <f aca="false">IF(LEFT(Cockpit!$O$5,1)="A",H490,IF(CH490=1,(CK490+CI490)/2,IF(LEFT(Cockpit!$O$5,1)="B",(CK490+BF490)/2,MAX((CK490+BF490)/2,H490))))</f>
        <v>63.5</v>
      </c>
      <c r="BE490" s="50" t="n">
        <f aca="false">BD490*G490</f>
        <v>146.05</v>
      </c>
      <c r="BF490" s="50" t="n">
        <f aca="false">ROUNDUP(CK490+MAX(CL490,2*(J490/IF(CG490&gt;0,CG490,MAX(0.1,N(Cockpit!$O$6)))-CK490)),0)</f>
        <v>121</v>
      </c>
      <c r="BG490" s="51" t="n">
        <f aca="false">IF(BC490&gt;0,J490/BC490,-1)</f>
        <v>19.458064516129</v>
      </c>
      <c r="BH490" s="51" t="n">
        <f aca="false">IF(AND(OR(CF490="L1",CF490="L23",CF490="LIFT"),BC490&gt;0),SUMIFS($BC$7:$BC$1843,$CF$7:$CF$1843,CF490,$BG$7:$BG$1843,"&gt;"&amp;BG490)+SUMIFS($BC$7:$BC$1843,$CF$7:$CF$1843,CF490,$BG$7:$BG$1843,BG490,$BW$7:$BW$1843,"&lt;="&amp;BW490),"")</f>
        <v>2251.08928571429</v>
      </c>
      <c r="BI490" s="58" t="n">
        <f aca="false">IF(BH490="",0,MAX(0,MIN(1,(IF(CF490="L1",Parameter!$H$5,IF(CF490="L23",Parameter!$H$6+Parameter!$H$7,Parameter!$H$5+Parameter!$H$6+Parameter!$H$7))-(BH490-BC490))/BC490)))</f>
        <v>1</v>
      </c>
      <c r="BJ490" s="48" t="str">
        <f aca="false">IF(AI490&lt;=0,"",IF(CF490="Aussen","Aussenlager",IF(CF490="-","Nicht im Lift",IF(AO490&gt;=1,"Lift",IF(AO490&lt;=0,"Aussenlager","teilweise")))))</f>
        <v>Lift</v>
      </c>
      <c r="BK490" s="48" t="str">
        <f aca="false">IF(AS490&lt;=0,"",IF(CF490="Aussen","Aussenlager",IF(CF490="-","Nicht im Lift",IF(AY490&gt;=1,"Lift",IF(AY490&lt;=0,"Aussenlager","teilweise")))))</f>
        <v>Lift</v>
      </c>
      <c r="BL490" s="48" t="str">
        <f aca="false">IF(BC490&lt;=0,"",IF(CF490="Aussen","Aussenlager",IF(CF490="-","Nicht im Lift",IF(BI490&gt;=1,"Lift",IF(BI490&lt;=0,"Aussenlager","teilweise")))))</f>
        <v>Lift</v>
      </c>
      <c r="BM490" s="48" t="str">
        <f aca="false">IF(A490="","",IF(BV490=1,"Neu; ","")&amp;IF(AND(BV490=0,BQ490&lt;0),"negativer Bestand (Export "&amp;BQ490&amp;"); ","")&amp;IF(J490&lt;=0,"Kein Verbrauch; ","")&amp;IF(CQ490&gt;0,"Lift "&amp;W490&amp;" lt. Liftbericht (Fach "&amp;X490&amp;" Stk); ",IF(CA490=1,"Gebinde geschätzt ("&amp;T490&amp;"); ",IF(BZ490=1,"Lose – Tablare geschätzt; ","")))&amp;IF(H490&gt;AV490,"Überbestand "&amp;ROUND(H490-AV490,0)&amp;" Stk / CHF "&amp;ROUND((H490-AV490)*G490,0)&amp;"; ","")&amp;IF(AND(CH490=1,CI490&lt;CJ490),"MAX &lt; MB+LG; ","")&amp;IF(AND(CP490&gt;0,CO490*10&gt;CP490),"zu hoch für Tablar; ","")&amp;IF(AND(BV490=0,OR(CH490=1,AA490&lt;&gt;"",U490&lt;&gt;"",V490&lt;&gt;"",AB490&lt;&gt;"")),"manuell übersteuert; ","")&amp;IF(AND(BZ490=0,R490=0),"Gebinde unbekannt / Stellmass fehlt; ","")&amp;IF(AND(BZ490=0,N(V490)&lt;=0,N(Q490)&lt;=0),"Menge pro Gebinde fehlt (Ist = 1 Gebinde); ","")&amp;BU490)</f>
        <v/>
      </c>
      <c r="BN490" s="48"/>
      <c r="BO490" s="48"/>
      <c r="BP490" s="55"/>
      <c r="BQ490" s="50" t="n">
        <v>26</v>
      </c>
      <c r="BR490" s="50" t="n">
        <v>43</v>
      </c>
      <c r="BS490" s="49" t="n">
        <v>42.8399999999994</v>
      </c>
      <c r="BT490" s="50" t="n">
        <v>116</v>
      </c>
      <c r="BU490" s="48"/>
      <c r="BV490" s="53" t="n">
        <v>0</v>
      </c>
      <c r="BW490" s="53" t="n">
        <v>490</v>
      </c>
      <c r="BX490" s="48" t="str">
        <f aca="false">IF(U490&lt;&gt;"",UPPER(TRIM(U490)),IF(CA490=1,UPPER(VLOOKUP(T490,Parameter!$I$27:$K$29,2,0)),IF(P490="","LOSE",P490)))</f>
        <v>S51</v>
      </c>
      <c r="BY490" s="50" t="n">
        <f aca="false">IF(BX490="LOSE",1,IF(N(V490)&gt;0,V490,IF(CA490=1,MAX(1,N(VLOOKUP(T490,Parameter!$I$27:$K$29,3,0)),H490,N(N490)),IF(N(Q490)&gt;0,Q490,MAX(1,H490)))))</f>
        <v>295</v>
      </c>
      <c r="BZ490" s="53" t="n">
        <f aca="false">IF(BX490="LOSE",1,0)</f>
        <v>0</v>
      </c>
      <c r="CA490" s="53" t="n">
        <f aca="false">IF(AND(U490="",OR(P490="",P490="LOSE"),T490&lt;&gt;"",N(S490)&lt;=0,ISNUMBER(MATCH(T490,Parameter!$I$27:$I$29,0))),1,0)</f>
        <v>0</v>
      </c>
      <c r="CB490" s="53" t="n">
        <f aca="false">IF(CQ490&gt;0,INDEX(Parameter!$H$5:$H$7,W490)/INDEX(Parameter!$E$5:$E$7,W490),IF(AND(BZ490=0,N(IFERROR(VLOOKUP(BX490,'Gebinde-Kategorie'!$A$5:$N$45,14,0),0))&gt;0),VLOOKUP(BX490,'Gebinde-Kategorie'!$A$5:$N$45,14,0)*10+Parameter!$M$23,Parameter!$M$24))</f>
        <v>155</v>
      </c>
      <c r="CC490" s="48" t="str">
        <f aca="false">IF(AND(Parameter!$B$19="Ja",E490&lt;&gt;"",ISNUMBER(MATCH(E490,Parameter!$I$35:$I$52,0))),VLOOKUP(E490,Parameter!$I$35:$J$52,2,0),IFERROR(VLOOKUP(D490,Parameter!$A$35:$C$64,2,0),"Nein"))</f>
        <v>2+3</v>
      </c>
      <c r="CD490" s="52" t="n">
        <f aca="false">IF(BZ490=0,0,IF(N(S490)&gt;0,S490,IFERROR(VLOOKUP(D490,Parameter!$A$35:$C$64,3,0)+0,0)))</f>
        <v>0</v>
      </c>
      <c r="CE490" s="48" t="n">
        <f aca="false">IF(AA490&lt;&gt;"",AA490,Z490)</f>
        <v>3</v>
      </c>
      <c r="CF490" s="48" t="str">
        <f aca="false">IF(OR(CE490=1,CE490=2,CE490=3),IF(Parameter!$E$27="Ja","LIFT",IF(CE490=1,"L1","L23")),IF(CE490="Aussen","Aussen","-"))</f>
        <v>LIFT</v>
      </c>
      <c r="CG490" s="59" t="n">
        <f aca="false">IF(N(AB490)&gt;0,AB490,0)</f>
        <v>0</v>
      </c>
      <c r="CH490" s="53" t="n">
        <f aca="false">IF(ISNUMBER(AE490),1,0)</f>
        <v>0</v>
      </c>
      <c r="CI490" s="50" t="n">
        <f aca="false">N(AE490)</f>
        <v>0</v>
      </c>
      <c r="CJ490" s="50" t="n">
        <f aca="false">N(M490)+N(N490)</f>
        <v>121</v>
      </c>
      <c r="CK490" s="50" t="n">
        <f aca="false">N(M490)</f>
        <v>6</v>
      </c>
      <c r="CL490" s="50" t="n">
        <f aca="false">N(N490)</f>
        <v>115</v>
      </c>
      <c r="CM490" s="50" t="n">
        <f aca="false">ROUNDUP(H490/BY490,0)</f>
        <v>1</v>
      </c>
      <c r="CN490" s="50" t="n">
        <f aca="false">ROUNDUP(CI490/BY490,0)</f>
        <v>0</v>
      </c>
      <c r="CO490" s="53" t="n">
        <f aca="false">IF(BZ490=1,0,IFERROR(VLOOKUP(BX490,'Gebinde-Kategorie'!$A$5:$N$45,5,0)+0,0))</f>
        <v>11</v>
      </c>
      <c r="CP490" s="53" t="n">
        <f aca="false">IFERROR(IF(OR(CE490=1,CE490=2,CE490=3),N(INDEX(Parameter!$I$5:$I$7,CE490)),0),0)</f>
        <v>0</v>
      </c>
      <c r="CQ490" s="52" t="n">
        <f aca="false">IF(AND(Parameter!$B$21="Ja",ISNUMBER(W490),N(X490)&gt;0),IFERROR(N(INDEX(Parameter!$L$5:$L$7,W490))*INDEX(Parameter!$E$5:$E$7,W490)*X490/SUMIFS($X$7:$X$1843,$W$7:$W$1843,W490),0),0)</f>
        <v>0</v>
      </c>
    </row>
    <row r="491" customFormat="false" ht="15" hidden="false" customHeight="false" outlineLevel="0" collapsed="false">
      <c r="A491" s="48" t="s">
        <v>1094</v>
      </c>
      <c r="B491" s="48" t="s">
        <v>414</v>
      </c>
      <c r="C491" s="48" t="s">
        <v>173</v>
      </c>
      <c r="D491" s="48" t="s">
        <v>193</v>
      </c>
      <c r="E491" s="48" t="s">
        <v>194</v>
      </c>
      <c r="F491" s="48" t="s">
        <v>227</v>
      </c>
      <c r="G491" s="49" t="n">
        <v>0.36</v>
      </c>
      <c r="H491" s="50" t="n">
        <f aca="false">MAX(0,IF(AND(Parameter!$B$21="Ja",ISNUMBER(Y491)),Y491,IF(Parameter!$B$20="Jahresanfang 2025 + Export",BR491+BQ491,BQ491)))</f>
        <v>209</v>
      </c>
      <c r="I491" s="50" t="n">
        <f aca="false">H491*G491</f>
        <v>75.24</v>
      </c>
      <c r="J491" s="50" t="n">
        <f aca="false">BT491*Parameter!$B$18</f>
        <v>222</v>
      </c>
      <c r="K491" s="51" t="n">
        <v>105.5</v>
      </c>
      <c r="L491" s="52" t="n">
        <v>2.1042654028436</v>
      </c>
      <c r="M491" s="50" t="n">
        <v>12</v>
      </c>
      <c r="N491" s="50" t="n">
        <v>225</v>
      </c>
      <c r="O491" s="53" t="n">
        <v>21</v>
      </c>
      <c r="P491" s="48" t="s">
        <v>311</v>
      </c>
      <c r="Q491" s="50" t="n">
        <v>90</v>
      </c>
      <c r="R491" s="53" t="n">
        <f aca="false">IF(BZ491=1,0,IFERROR(VLOOKUP(BX491,'Gebinde-Kategorie'!$A$5:$N$45,13,0)+0,0))</f>
        <v>26</v>
      </c>
      <c r="S491" s="54"/>
      <c r="T491" s="55"/>
      <c r="U491" s="55"/>
      <c r="V491" s="55"/>
      <c r="W491" s="48"/>
      <c r="X491" s="50"/>
      <c r="Y491" s="50"/>
      <c r="Z491" s="48" t="n">
        <f aca="false">IF(A491="","",IF(AND(Parameter!$B$21="Ja",ISNUMBER(W491)),W491,IF(CC491="2+3",IF(ISNUMBER(SEARCH("grosser Artikel",BU491)),2,IFERROR(VLOOKUP(BX491,Parameter!$F$35:$G$64,2,0),2)),IF(OR(CC491="Nein",CC491=""),"-",CC491))))</f>
        <v>3</v>
      </c>
      <c r="AA491" s="55"/>
      <c r="AB491" s="56"/>
      <c r="AC491" s="50" t="n">
        <f aca="false">AV491</f>
        <v>237</v>
      </c>
      <c r="AD491" s="50" t="n">
        <f aca="false">MAX(AV491,H491)</f>
        <v>237</v>
      </c>
      <c r="AE491" s="57"/>
      <c r="AF491" s="50" t="n">
        <f aca="false">IF(LEFT(Cockpit!$C$5,1)="A",H491,IF(Parameter!$E$30="MAX-Bestand",IF(CH491=1,CI491,IF(LEFT(Cockpit!$C$5,1)="B",AL491,MAX(AL491,H491))),ROUNDUP(AJ491,0)))</f>
        <v>209</v>
      </c>
      <c r="AG491" s="50" t="n">
        <f aca="false">IF(BZ491=1,0,ROUNDUP(AF491/BY491,0))</f>
        <v>3</v>
      </c>
      <c r="AH491" s="52" t="n">
        <f aca="false">IF(CQ491&gt;0,CQ491*MAX(1,AF491/X491),IF(BZ491=1,IF(AF491&lt;=0,0,CD491*MAX(1,IF(H491&gt;0,AF491/H491,1))),IF(R491&gt;0,AG491/R491,0))/MAX(0.1,N(Parameter!$M$21)))</f>
        <v>0.115384615384615</v>
      </c>
      <c r="AI491" s="50" t="n">
        <f aca="false">AH491*CB491</f>
        <v>17.8846153846154</v>
      </c>
      <c r="AJ491" s="51" t="n">
        <f aca="false">IF(LEFT(Cockpit!$C$5,1)="A",H491,IF(CH491=1,(CK491+CI491)/2,IF(LEFT(Cockpit!$C$5,1)="B",(CK491+AL491)/2,MAX((CK491+AL491)/2,H491))))</f>
        <v>209</v>
      </c>
      <c r="AK491" s="50" t="n">
        <f aca="false">AJ491*G491</f>
        <v>75.24</v>
      </c>
      <c r="AL491" s="50" t="n">
        <f aca="false">ROUNDUP(CK491+MAX(CL491,2*(J491/IF(CG491&gt;0,CG491,MAX(0.1,N(Cockpit!$C$6)))-CK491)),0)</f>
        <v>237</v>
      </c>
      <c r="AM491" s="51" t="n">
        <f aca="false">IF(AI491&gt;0,J491/AI491,-1)</f>
        <v>12.4129032258065</v>
      </c>
      <c r="AN491" s="51" t="n">
        <f aca="false">IF(AND(OR(CF491="L1",CF491="L23",CF491="LIFT"),AI491&gt;0),SUMIFS($AI$7:$AI$1843,$CF$7:$CF$1843,CF491,$AM$7:$AM$1843,"&gt;"&amp;AM491)+SUMIFS($AI$7:$AI$1843,$CF$7:$CF$1843,CF491,$AM$7:$AM$1843,AM491,$BW$7:$BW$1843,"&lt;="&amp;BW491),"")</f>
        <v>2492.51556776557</v>
      </c>
      <c r="AO491" s="58" t="n">
        <f aca="false">IF(AN491="",0,MAX(0,MIN(1,(IF(CF491="L1",Parameter!$H$5,IF(CF491="L23",Parameter!$H$6+Parameter!$H$7,Parameter!$H$5+Parameter!$H$6+Parameter!$H$7))-(AN491-AI491))/AI491)))</f>
        <v>1</v>
      </c>
      <c r="AP491" s="50" t="n">
        <f aca="false">IF(LEFT(Cockpit!$I$5,1)="A",H491,IF(Parameter!$E$30="MAX-Bestand",IF(CH491=1,CI491,IF(LEFT(Cockpit!$I$5,1)="B",AV491,MAX(AV491,H491))),ROUNDUP(AT491,0)))</f>
        <v>209</v>
      </c>
      <c r="AQ491" s="50" t="n">
        <f aca="false">IF(BZ491=1,0,ROUNDUP(AP491/BY491,0))</f>
        <v>3</v>
      </c>
      <c r="AR491" s="52" t="n">
        <f aca="false">IF(CQ491&gt;0,CQ491*MAX(1,AP491/X491),IF(BZ491=1,IF(AP491&lt;=0,0,CD491*MAX(1,IF(H491&gt;0,AP491/H491,1))),IF(R491&gt;0,AQ491/R491,0))/MAX(0.1,N(Parameter!$M$21)))</f>
        <v>0.115384615384615</v>
      </c>
      <c r="AS491" s="50" t="n">
        <f aca="false">AR491*CB491</f>
        <v>17.8846153846154</v>
      </c>
      <c r="AT491" s="51" t="n">
        <f aca="false">IF(LEFT(Cockpit!$I$5,1)="A",H491,IF(CH491=1,(CK491+CI491)/2,IF(LEFT(Cockpit!$I$5,1)="B",(CK491+AV491)/2,MAX((CK491+AV491)/2,H491))))</f>
        <v>209</v>
      </c>
      <c r="AU491" s="50" t="n">
        <f aca="false">AT491*G491</f>
        <v>75.24</v>
      </c>
      <c r="AV491" s="50" t="n">
        <f aca="false">ROUNDUP(CK491+MAX(CL491,2*(J491/IF(CG491&gt;0,CG491,MAX(0.1,N(Cockpit!$I$6)))-CK491)),0)</f>
        <v>237</v>
      </c>
      <c r="AW491" s="51" t="n">
        <f aca="false">IF(AS491&gt;0,J491/AS491,-1)</f>
        <v>12.4129032258065</v>
      </c>
      <c r="AX491" s="51" t="n">
        <f aca="false">IF(AND(OR(CF491="L1",CF491="L23",CF491="LIFT"),AS491&gt;0),SUMIFS($AS$7:$AS$1843,$CF$7:$CF$1843,CF491,$AW$7:$AW$1843,"&gt;"&amp;AW491)+SUMIFS($AS$7:$AS$1843,$CF$7:$CF$1843,CF491,$AW$7:$AW$1843,AW491,$BW$7:$BW$1843,"&lt;="&amp;BW491),"")</f>
        <v>3081.89468864469</v>
      </c>
      <c r="AY491" s="58" t="n">
        <f aca="false">IF(AX491="",0,MAX(0,MIN(1,(IF(CF491="L1",Parameter!$H$5,IF(CF491="L23",Parameter!$H$6+Parameter!$H$7,Parameter!$H$5+Parameter!$H$6+Parameter!$H$7))-(AX491-AS491))/AS491)))</f>
        <v>1</v>
      </c>
      <c r="AZ491" s="50" t="n">
        <f aca="false">IF(LEFT(Cockpit!$O$5,1)="A",H491,IF(Parameter!$E$30="MAX-Bestand",IF(CH491=1,CI491,IF(LEFT(Cockpit!$O$5,1)="B",BF491,MAX(BF491,H491))),ROUNDUP(BD491,0)))</f>
        <v>125</v>
      </c>
      <c r="BA491" s="50" t="n">
        <f aca="false">IF(BZ491=1,0,ROUNDUP(AZ491/BY491,0))</f>
        <v>2</v>
      </c>
      <c r="BB491" s="52" t="n">
        <f aca="false">IF(CQ491&gt;0,CQ491*MAX(1,AZ491/X491),IF(BZ491=1,IF(AZ491&lt;=0,0,CD491*MAX(1,IF(H491&gt;0,AZ491/H491,1))),IF(R491&gt;0,BA491/R491,0))/MAX(0.1,N(Parameter!$M$21)))</f>
        <v>0.0769230769230769</v>
      </c>
      <c r="BC491" s="50" t="n">
        <f aca="false">BB491*CB491</f>
        <v>11.9230769230769</v>
      </c>
      <c r="BD491" s="51" t="n">
        <f aca="false">IF(LEFT(Cockpit!$O$5,1)="A",H491,IF(CH491=1,(CK491+CI491)/2,IF(LEFT(Cockpit!$O$5,1)="B",(CK491+BF491)/2,MAX((CK491+BF491)/2,H491))))</f>
        <v>124.5</v>
      </c>
      <c r="BE491" s="50" t="n">
        <f aca="false">BD491*G491</f>
        <v>44.82</v>
      </c>
      <c r="BF491" s="50" t="n">
        <f aca="false">ROUNDUP(CK491+MAX(CL491,2*(J491/IF(CG491&gt;0,CG491,MAX(0.1,N(Cockpit!$O$6)))-CK491)),0)</f>
        <v>237</v>
      </c>
      <c r="BG491" s="51" t="n">
        <f aca="false">IF(BC491&gt;0,J491/BC491,-1)</f>
        <v>18.6193548387097</v>
      </c>
      <c r="BH491" s="51" t="n">
        <f aca="false">IF(AND(OR(CF491="L1",CF491="L23",CF491="LIFT"),BC491&gt;0),SUMIFS($BC$7:$BC$1843,$CF$7:$CF$1843,CF491,$BG$7:$BG$1843,"&gt;"&amp;BG491)+SUMIFS($BC$7:$BC$1843,$CF$7:$CF$1843,CF491,$BG$7:$BG$1843,BG491,$BW$7:$BW$1843,"&lt;="&amp;BW491),"")</f>
        <v>2288.82967032967</v>
      </c>
      <c r="BI491" s="58" t="n">
        <f aca="false">IF(BH491="",0,MAX(0,MIN(1,(IF(CF491="L1",Parameter!$H$5,IF(CF491="L23",Parameter!$H$6+Parameter!$H$7,Parameter!$H$5+Parameter!$H$6+Parameter!$H$7))-(BH491-BC491))/BC491)))</f>
        <v>1</v>
      </c>
      <c r="BJ491" s="48" t="str">
        <f aca="false">IF(AI491&lt;=0,"",IF(CF491="Aussen","Aussenlager",IF(CF491="-","Nicht im Lift",IF(AO491&gt;=1,"Lift",IF(AO491&lt;=0,"Aussenlager","teilweise")))))</f>
        <v>Lift</v>
      </c>
      <c r="BK491" s="48" t="str">
        <f aca="false">IF(AS491&lt;=0,"",IF(CF491="Aussen","Aussenlager",IF(CF491="-","Nicht im Lift",IF(AY491&gt;=1,"Lift",IF(AY491&lt;=0,"Aussenlager","teilweise")))))</f>
        <v>Lift</v>
      </c>
      <c r="BL491" s="48" t="str">
        <f aca="false">IF(BC491&lt;=0,"",IF(CF491="Aussen","Aussenlager",IF(CF491="-","Nicht im Lift",IF(BI491&gt;=1,"Lift",IF(BI491&lt;=0,"Aussenlager","teilweise")))))</f>
        <v>Lift</v>
      </c>
      <c r="BM491" s="48" t="str">
        <f aca="false">IF(A491="","",IF(BV491=1,"Neu; ","")&amp;IF(AND(BV491=0,BQ491&lt;0),"negativer Bestand (Export "&amp;BQ491&amp;"); ","")&amp;IF(J491&lt;=0,"Kein Verbrauch; ","")&amp;IF(CQ491&gt;0,"Lift "&amp;W491&amp;" lt. Liftbericht (Fach "&amp;X491&amp;" Stk); ",IF(CA491=1,"Gebinde geschätzt ("&amp;T491&amp;"); ",IF(BZ491=1,"Lose – Tablare geschätzt; ","")))&amp;IF(H491&gt;AV491,"Überbestand "&amp;ROUND(H491-AV491,0)&amp;" Stk / CHF "&amp;ROUND((H491-AV491)*G491,0)&amp;"; ","")&amp;IF(AND(CH491=1,CI491&lt;CJ491),"MAX &lt; MB+LG; ","")&amp;IF(AND(CP491&gt;0,CO491*10&gt;CP491),"zu hoch für Tablar; ","")&amp;IF(AND(BV491=0,OR(CH491=1,AA491&lt;&gt;"",U491&lt;&gt;"",V491&lt;&gt;"",AB491&lt;&gt;"")),"manuell übersteuert; ","")&amp;IF(AND(BZ491=0,R491=0),"Gebinde unbekannt / Stellmass fehlt; ","")&amp;IF(AND(BZ491=0,N(V491)&lt;=0,N(Q491)&lt;=0),"Menge pro Gebinde fehlt (Ist = 1 Gebinde); ","")&amp;BU491)</f>
        <v/>
      </c>
      <c r="BN491" s="48"/>
      <c r="BO491" s="48"/>
      <c r="BP491" s="55"/>
      <c r="BQ491" s="50" t="n">
        <v>117</v>
      </c>
      <c r="BR491" s="50" t="n">
        <v>92</v>
      </c>
      <c r="BS491" s="49" t="n">
        <v>42.12</v>
      </c>
      <c r="BT491" s="50" t="n">
        <v>222</v>
      </c>
      <c r="BU491" s="48"/>
      <c r="BV491" s="53" t="n">
        <v>0</v>
      </c>
      <c r="BW491" s="53" t="n">
        <v>491</v>
      </c>
      <c r="BX491" s="48" t="str">
        <f aca="false">IF(U491&lt;&gt;"",UPPER(TRIM(U491)),IF(CA491=1,UPPER(VLOOKUP(T491,Parameter!$I$27:$K$29,2,0)),IF(P491="","LOSE",P491)))</f>
        <v>S51</v>
      </c>
      <c r="BY491" s="50" t="n">
        <f aca="false">IF(BX491="LOSE",1,IF(N(V491)&gt;0,V491,IF(CA491=1,MAX(1,N(VLOOKUP(T491,Parameter!$I$27:$K$29,3,0)),H491,N(N491)),IF(N(Q491)&gt;0,Q491,MAX(1,H491)))))</f>
        <v>90</v>
      </c>
      <c r="BZ491" s="53" t="n">
        <f aca="false">IF(BX491="LOSE",1,0)</f>
        <v>0</v>
      </c>
      <c r="CA491" s="53" t="n">
        <f aca="false">IF(AND(U491="",OR(P491="",P491="LOSE"),T491&lt;&gt;"",N(S491)&lt;=0,ISNUMBER(MATCH(T491,Parameter!$I$27:$I$29,0))),1,0)</f>
        <v>0</v>
      </c>
      <c r="CB491" s="53" t="n">
        <f aca="false">IF(CQ491&gt;0,INDEX(Parameter!$H$5:$H$7,W491)/INDEX(Parameter!$E$5:$E$7,W491),IF(AND(BZ491=0,N(IFERROR(VLOOKUP(BX491,'Gebinde-Kategorie'!$A$5:$N$45,14,0),0))&gt;0),VLOOKUP(BX491,'Gebinde-Kategorie'!$A$5:$N$45,14,0)*10+Parameter!$M$23,Parameter!$M$24))</f>
        <v>155</v>
      </c>
      <c r="CC491" s="48" t="str">
        <f aca="false">IF(AND(Parameter!$B$19="Ja",E491&lt;&gt;"",ISNUMBER(MATCH(E491,Parameter!$I$35:$I$52,0))),VLOOKUP(E491,Parameter!$I$35:$J$52,2,0),IFERROR(VLOOKUP(D491,Parameter!$A$35:$C$64,2,0),"Nein"))</f>
        <v>2+3</v>
      </c>
      <c r="CD491" s="52" t="n">
        <f aca="false">IF(BZ491=0,0,IF(N(S491)&gt;0,S491,IFERROR(VLOOKUP(D491,Parameter!$A$35:$C$64,3,0)+0,0)))</f>
        <v>0</v>
      </c>
      <c r="CE491" s="48" t="n">
        <f aca="false">IF(AA491&lt;&gt;"",AA491,Z491)</f>
        <v>3</v>
      </c>
      <c r="CF491" s="48" t="str">
        <f aca="false">IF(OR(CE491=1,CE491=2,CE491=3),IF(Parameter!$E$27="Ja","LIFT",IF(CE491=1,"L1","L23")),IF(CE491="Aussen","Aussen","-"))</f>
        <v>LIFT</v>
      </c>
      <c r="CG491" s="59" t="n">
        <f aca="false">IF(N(AB491)&gt;0,AB491,0)</f>
        <v>0</v>
      </c>
      <c r="CH491" s="53" t="n">
        <f aca="false">IF(ISNUMBER(AE491),1,0)</f>
        <v>0</v>
      </c>
      <c r="CI491" s="50" t="n">
        <f aca="false">N(AE491)</f>
        <v>0</v>
      </c>
      <c r="CJ491" s="50" t="n">
        <f aca="false">N(M491)+N(N491)</f>
        <v>237</v>
      </c>
      <c r="CK491" s="50" t="n">
        <f aca="false">N(M491)</f>
        <v>12</v>
      </c>
      <c r="CL491" s="50" t="n">
        <f aca="false">N(N491)</f>
        <v>225</v>
      </c>
      <c r="CM491" s="50" t="n">
        <f aca="false">ROUNDUP(H491/BY491,0)</f>
        <v>3</v>
      </c>
      <c r="CN491" s="50" t="n">
        <f aca="false">ROUNDUP(CI491/BY491,0)</f>
        <v>0</v>
      </c>
      <c r="CO491" s="53" t="n">
        <f aca="false">IF(BZ491=1,0,IFERROR(VLOOKUP(BX491,'Gebinde-Kategorie'!$A$5:$N$45,5,0)+0,0))</f>
        <v>11</v>
      </c>
      <c r="CP491" s="53" t="n">
        <f aca="false">IFERROR(IF(OR(CE491=1,CE491=2,CE491=3),N(INDEX(Parameter!$I$5:$I$7,CE491)),0),0)</f>
        <v>0</v>
      </c>
      <c r="CQ491" s="52" t="n">
        <f aca="false">IF(AND(Parameter!$B$21="Ja",ISNUMBER(W491),N(X491)&gt;0),IFERROR(N(INDEX(Parameter!$L$5:$L$7,W491))*INDEX(Parameter!$E$5:$E$7,W491)*X491/SUMIFS($X$7:$X$1843,$W$7:$W$1843,W491),0),0)</f>
        <v>0</v>
      </c>
    </row>
    <row r="492" customFormat="false" ht="15" hidden="false" customHeight="false" outlineLevel="0" collapsed="false">
      <c r="A492" s="48" t="s">
        <v>1095</v>
      </c>
      <c r="B492" s="48" t="s">
        <v>1096</v>
      </c>
      <c r="C492" s="48" t="s">
        <v>173</v>
      </c>
      <c r="D492" s="48" t="s">
        <v>193</v>
      </c>
      <c r="E492" s="48" t="s">
        <v>194</v>
      </c>
      <c r="F492" s="48" t="s">
        <v>227</v>
      </c>
      <c r="G492" s="49" t="n">
        <v>16.51</v>
      </c>
      <c r="H492" s="50" t="n">
        <f aca="false">MAX(0,IF(AND(Parameter!$B$21="Ja",ISNUMBER(Y492)),Y492,IF(Parameter!$B$20="Jahresanfang 2025 + Export",BR492+BQ492,BQ492)))</f>
        <v>28</v>
      </c>
      <c r="I492" s="50" t="n">
        <f aca="false">H492*G492</f>
        <v>462.28</v>
      </c>
      <c r="J492" s="50" t="n">
        <f aca="false">BT492*Parameter!$B$18</f>
        <v>13</v>
      </c>
      <c r="K492" s="51" t="n">
        <v>18.5</v>
      </c>
      <c r="L492" s="52" t="n">
        <v>0.702702702702703</v>
      </c>
      <c r="M492" s="50" t="n">
        <v>1</v>
      </c>
      <c r="N492" s="50" t="n">
        <v>15</v>
      </c>
      <c r="O492" s="53" t="n">
        <v>28</v>
      </c>
      <c r="P492" s="48" t="s">
        <v>242</v>
      </c>
      <c r="Q492" s="50" t="n">
        <v>32</v>
      </c>
      <c r="R492" s="53" t="n">
        <f aca="false">IF(BZ492=1,0,IFERROR(VLOOKUP(BX492,'Gebinde-Kategorie'!$A$5:$N$45,13,0)+0,0))</f>
        <v>26</v>
      </c>
      <c r="S492" s="54"/>
      <c r="T492" s="55"/>
      <c r="U492" s="55"/>
      <c r="V492" s="55"/>
      <c r="W492" s="48"/>
      <c r="X492" s="50"/>
      <c r="Y492" s="50"/>
      <c r="Z492" s="48" t="n">
        <f aca="false">IF(A492="","",IF(AND(Parameter!$B$21="Ja",ISNUMBER(W492)),W492,IF(CC492="2+3",IF(ISNUMBER(SEARCH("grosser Artikel",BU492)),2,IFERROR(VLOOKUP(BX492,Parameter!$F$35:$G$64,2,0),2)),IF(OR(CC492="Nein",CC492=""),"-",CC492))))</f>
        <v>3</v>
      </c>
      <c r="AA492" s="55"/>
      <c r="AB492" s="56"/>
      <c r="AC492" s="50" t="n">
        <f aca="false">AV492</f>
        <v>16</v>
      </c>
      <c r="AD492" s="50" t="n">
        <f aca="false">MAX(AV492,H492)</f>
        <v>28</v>
      </c>
      <c r="AE492" s="57"/>
      <c r="AF492" s="50" t="n">
        <f aca="false">IF(LEFT(Cockpit!$C$5,1)="A",H492,IF(Parameter!$E$30="MAX-Bestand",IF(CH492=1,CI492,IF(LEFT(Cockpit!$C$5,1)="B",AL492,MAX(AL492,H492))),ROUNDUP(AJ492,0)))</f>
        <v>28</v>
      </c>
      <c r="AG492" s="50" t="n">
        <f aca="false">IF(BZ492=1,0,ROUNDUP(AF492/BY492,0))</f>
        <v>1</v>
      </c>
      <c r="AH492" s="52" t="n">
        <f aca="false">IF(CQ492&gt;0,CQ492*MAX(1,AF492/X492),IF(BZ492=1,IF(AF492&lt;=0,0,CD492*MAX(1,IF(H492&gt;0,AF492/H492,1))),IF(R492&gt;0,AG492/R492,0))/MAX(0.1,N(Parameter!$M$21)))</f>
        <v>0.0384615384615385</v>
      </c>
      <c r="AI492" s="50" t="n">
        <f aca="false">AH492*CB492</f>
        <v>9.42307692307692</v>
      </c>
      <c r="AJ492" s="51" t="n">
        <f aca="false">IF(LEFT(Cockpit!$C$5,1)="A",H492,IF(CH492=1,(CK492+CI492)/2,IF(LEFT(Cockpit!$C$5,1)="B",(CK492+AL492)/2,MAX((CK492+AL492)/2,H492))))</f>
        <v>28</v>
      </c>
      <c r="AK492" s="50" t="n">
        <f aca="false">AJ492*G492</f>
        <v>462.28</v>
      </c>
      <c r="AL492" s="50" t="n">
        <f aca="false">ROUNDUP(CK492+MAX(CL492,2*(J492/IF(CG492&gt;0,CG492,MAX(0.1,N(Cockpit!$C$6)))-CK492)),0)</f>
        <v>16</v>
      </c>
      <c r="AM492" s="51" t="n">
        <f aca="false">IF(AI492&gt;0,J492/AI492,-1)</f>
        <v>1.37959183673469</v>
      </c>
      <c r="AN492" s="51" t="n">
        <f aca="false">IF(AND(OR(CF492="L1",CF492="L23",CF492="LIFT"),AI492&gt;0),SUMIFS($AI$7:$AI$1843,$CF$7:$CF$1843,CF492,$AM$7:$AM$1843,"&gt;"&amp;AM492)+SUMIFS($AI$7:$AI$1843,$CF$7:$CF$1843,CF492,$AM$7:$AM$1843,AM492,$BW$7:$BW$1843,"&lt;="&amp;BW492),"")</f>
        <v>6319.22481684982</v>
      </c>
      <c r="AO492" s="58" t="n">
        <f aca="false">IF(AN492="",0,MAX(0,MIN(1,(IF(CF492="L1",Parameter!$H$5,IF(CF492="L23",Parameter!$H$6+Parameter!$H$7,Parameter!$H$5+Parameter!$H$6+Parameter!$H$7))-(AN492-AI492))/AI492)))</f>
        <v>1</v>
      </c>
      <c r="AP492" s="50" t="n">
        <f aca="false">IF(LEFT(Cockpit!$I$5,1)="A",H492,IF(Parameter!$E$30="MAX-Bestand",IF(CH492=1,CI492,IF(LEFT(Cockpit!$I$5,1)="B",AV492,MAX(AV492,H492))),ROUNDUP(AT492,0)))</f>
        <v>28</v>
      </c>
      <c r="AQ492" s="50" t="n">
        <f aca="false">IF(BZ492=1,0,ROUNDUP(AP492/BY492,0))</f>
        <v>1</v>
      </c>
      <c r="AR492" s="52" t="n">
        <f aca="false">IF(CQ492&gt;0,CQ492*MAX(1,AP492/X492),IF(BZ492=1,IF(AP492&lt;=0,0,CD492*MAX(1,IF(H492&gt;0,AP492/H492,1))),IF(R492&gt;0,AQ492/R492,0))/MAX(0.1,N(Parameter!$M$21)))</f>
        <v>0.0384615384615385</v>
      </c>
      <c r="AS492" s="50" t="n">
        <f aca="false">AR492*CB492</f>
        <v>9.42307692307692</v>
      </c>
      <c r="AT492" s="51" t="n">
        <f aca="false">IF(LEFT(Cockpit!$I$5,1)="A",H492,IF(CH492=1,(CK492+CI492)/2,IF(LEFT(Cockpit!$I$5,1)="B",(CK492+AV492)/2,MAX((CK492+AV492)/2,H492))))</f>
        <v>28</v>
      </c>
      <c r="AU492" s="50" t="n">
        <f aca="false">AT492*G492</f>
        <v>462.28</v>
      </c>
      <c r="AV492" s="50" t="n">
        <f aca="false">ROUNDUP(CK492+MAX(CL492,2*(J492/IF(CG492&gt;0,CG492,MAX(0.1,N(Cockpit!$I$6)))-CK492)),0)</f>
        <v>16</v>
      </c>
      <c r="AW492" s="51" t="n">
        <f aca="false">IF(AS492&gt;0,J492/AS492,-1)</f>
        <v>1.37959183673469</v>
      </c>
      <c r="AX492" s="51" t="n">
        <f aca="false">IF(AND(OR(CF492="L1",CF492="L23",CF492="LIFT"),AS492&gt;0),SUMIFS($AS$7:$AS$1843,$CF$7:$CF$1843,CF492,$AW$7:$AW$1843,"&gt;"&amp;AW492)+SUMIFS($AS$7:$AS$1843,$CF$7:$CF$1843,CF492,$AW$7:$AW$1843,AW492,$BW$7:$BW$1843,"&lt;="&amp;BW492),"")</f>
        <v>7837.44688644689</v>
      </c>
      <c r="AY492" s="58" t="n">
        <f aca="false">IF(AX492="",0,MAX(0,MIN(1,(IF(CF492="L1",Parameter!$H$5,IF(CF492="L23",Parameter!$H$6+Parameter!$H$7,Parameter!$H$5+Parameter!$H$6+Parameter!$H$7))-(AX492-AS492))/AS492)))</f>
        <v>1</v>
      </c>
      <c r="AZ492" s="50" t="n">
        <f aca="false">IF(LEFT(Cockpit!$O$5,1)="A",H492,IF(Parameter!$E$30="MAX-Bestand",IF(CH492=1,CI492,IF(LEFT(Cockpit!$O$5,1)="B",BF492,MAX(BF492,H492))),ROUNDUP(BD492,0)))</f>
        <v>9</v>
      </c>
      <c r="BA492" s="50" t="n">
        <f aca="false">IF(BZ492=1,0,ROUNDUP(AZ492/BY492,0))</f>
        <v>1</v>
      </c>
      <c r="BB492" s="52" t="n">
        <f aca="false">IF(CQ492&gt;0,CQ492*MAX(1,AZ492/X492),IF(BZ492=1,IF(AZ492&lt;=0,0,CD492*MAX(1,IF(H492&gt;0,AZ492/H492,1))),IF(R492&gt;0,BA492/R492,0))/MAX(0.1,N(Parameter!$M$21)))</f>
        <v>0.0384615384615385</v>
      </c>
      <c r="BC492" s="50" t="n">
        <f aca="false">BB492*CB492</f>
        <v>9.42307692307692</v>
      </c>
      <c r="BD492" s="51" t="n">
        <f aca="false">IF(LEFT(Cockpit!$O$5,1)="A",H492,IF(CH492=1,(CK492+CI492)/2,IF(LEFT(Cockpit!$O$5,1)="B",(CK492+BF492)/2,MAX((CK492+BF492)/2,H492))))</f>
        <v>8.5</v>
      </c>
      <c r="BE492" s="50" t="n">
        <f aca="false">BD492*G492</f>
        <v>140.335</v>
      </c>
      <c r="BF492" s="50" t="n">
        <f aca="false">ROUNDUP(CK492+MAX(CL492,2*(J492/IF(CG492&gt;0,CG492,MAX(0.1,N(Cockpit!$O$6)))-CK492)),0)</f>
        <v>16</v>
      </c>
      <c r="BG492" s="51" t="n">
        <f aca="false">IF(BC492&gt;0,J492/BC492,-1)</f>
        <v>1.37959183673469</v>
      </c>
      <c r="BH492" s="51" t="n">
        <f aca="false">IF(AND(OR(CF492="L1",CF492="L23",CF492="LIFT"),BC492&gt;0),SUMIFS($BC$7:$BC$1843,$CF$7:$CF$1843,CF492,$BG$7:$BG$1843,"&gt;"&amp;BG492)+SUMIFS($BC$7:$BC$1843,$CF$7:$CF$1843,CF492,$BG$7:$BG$1843,BG492,$BW$7:$BW$1843,"&lt;="&amp;BW492),"")</f>
        <v>6712.93177655678</v>
      </c>
      <c r="BI492" s="58" t="n">
        <f aca="false">IF(BH492="",0,MAX(0,MIN(1,(IF(CF492="L1",Parameter!$H$5,IF(CF492="L23",Parameter!$H$6+Parameter!$H$7,Parameter!$H$5+Parameter!$H$6+Parameter!$H$7))-(BH492-BC492))/BC492)))</f>
        <v>1</v>
      </c>
      <c r="BJ492" s="48" t="str">
        <f aca="false">IF(AI492&lt;=0,"",IF(CF492="Aussen","Aussenlager",IF(CF492="-","Nicht im Lift",IF(AO492&gt;=1,"Lift",IF(AO492&lt;=0,"Aussenlager","teilweise")))))</f>
        <v>Lift</v>
      </c>
      <c r="BK492" s="48" t="str">
        <f aca="false">IF(AS492&lt;=0,"",IF(CF492="Aussen","Aussenlager",IF(CF492="-","Nicht im Lift",IF(AY492&gt;=1,"Lift",IF(AY492&lt;=0,"Aussenlager","teilweise")))))</f>
        <v>Lift</v>
      </c>
      <c r="BL492" s="48" t="str">
        <f aca="false">IF(BC492&lt;=0,"",IF(CF492="Aussen","Aussenlager",IF(CF492="-","Nicht im Lift",IF(BI492&gt;=1,"Lift",IF(BI492&lt;=0,"Aussenlager","teilweise")))))</f>
        <v>Lift</v>
      </c>
      <c r="BM492" s="48" t="str">
        <f aca="false">IF(A492="","",IF(BV492=1,"Neu; ","")&amp;IF(AND(BV492=0,BQ492&lt;0),"negativer Bestand (Export "&amp;BQ492&amp;"); ","")&amp;IF(J492&lt;=0,"Kein Verbrauch; ","")&amp;IF(CQ492&gt;0,"Lift "&amp;W492&amp;" lt. Liftbericht (Fach "&amp;X492&amp;" Stk); ",IF(CA492=1,"Gebinde geschätzt ("&amp;T492&amp;"); ",IF(BZ492=1,"Lose – Tablare geschätzt; ","")))&amp;IF(H492&gt;AV492,"Überbestand "&amp;ROUND(H492-AV492,0)&amp;" Stk / CHF "&amp;ROUND((H492-AV492)*G492,0)&amp;"; ","")&amp;IF(AND(CH492=1,CI492&lt;CJ492),"MAX &lt; MB+LG; ","")&amp;IF(AND(CP492&gt;0,CO492*10&gt;CP492),"zu hoch für Tablar; ","")&amp;IF(AND(BV492=0,OR(CH492=1,AA492&lt;&gt;"",U492&lt;&gt;"",V492&lt;&gt;"",AB492&lt;&gt;"")),"manuell übersteuert; ","")&amp;IF(AND(BZ492=0,R492=0),"Gebinde unbekannt / Stellmass fehlt; ","")&amp;IF(AND(BZ492=0,N(V492)&lt;=0,N(Q492)&lt;=0),"Menge pro Gebinde fehlt (Ist = 1 Gebinde); ","")&amp;BU492)</f>
        <v>Überbestand 12 Stk / CHF 198; </v>
      </c>
      <c r="BN492" s="48"/>
      <c r="BO492" s="48"/>
      <c r="BP492" s="55"/>
      <c r="BQ492" s="50" t="n">
        <v>3</v>
      </c>
      <c r="BR492" s="50" t="n">
        <v>25</v>
      </c>
      <c r="BS492" s="49" t="n">
        <v>41.5300000000001</v>
      </c>
      <c r="BT492" s="50" t="n">
        <v>13</v>
      </c>
      <c r="BU492" s="48"/>
      <c r="BV492" s="53" t="n">
        <v>0</v>
      </c>
      <c r="BW492" s="53" t="n">
        <v>492</v>
      </c>
      <c r="BX492" s="48" t="str">
        <f aca="false">IF(U492&lt;&gt;"",UPPER(TRIM(U492)),IF(CA492=1,UPPER(VLOOKUP(T492,Parameter!$I$27:$K$29,2,0)),IF(P492="","LOSE",P492)))</f>
        <v>S52</v>
      </c>
      <c r="BY492" s="50" t="n">
        <f aca="false">IF(BX492="LOSE",1,IF(N(V492)&gt;0,V492,IF(CA492=1,MAX(1,N(VLOOKUP(T492,Parameter!$I$27:$K$29,3,0)),H492,N(N492)),IF(N(Q492)&gt;0,Q492,MAX(1,H492)))))</f>
        <v>32</v>
      </c>
      <c r="BZ492" s="53" t="n">
        <f aca="false">IF(BX492="LOSE",1,0)</f>
        <v>0</v>
      </c>
      <c r="CA492" s="53" t="n">
        <f aca="false">IF(AND(U492="",OR(P492="",P492="LOSE"),T492&lt;&gt;"",N(S492)&lt;=0,ISNUMBER(MATCH(T492,Parameter!$I$27:$I$29,0))),1,0)</f>
        <v>0</v>
      </c>
      <c r="CB492" s="53" t="n">
        <f aca="false">IF(CQ492&gt;0,INDEX(Parameter!$H$5:$H$7,W492)/INDEX(Parameter!$E$5:$E$7,W492),IF(AND(BZ492=0,N(IFERROR(VLOOKUP(BX492,'Gebinde-Kategorie'!$A$5:$N$45,14,0),0))&gt;0),VLOOKUP(BX492,'Gebinde-Kategorie'!$A$5:$N$45,14,0)*10+Parameter!$M$23,Parameter!$M$24))</f>
        <v>245</v>
      </c>
      <c r="CC492" s="48" t="str">
        <f aca="false">IF(AND(Parameter!$B$19="Ja",E492&lt;&gt;"",ISNUMBER(MATCH(E492,Parameter!$I$35:$I$52,0))),VLOOKUP(E492,Parameter!$I$35:$J$52,2,0),IFERROR(VLOOKUP(D492,Parameter!$A$35:$C$64,2,0),"Nein"))</f>
        <v>2+3</v>
      </c>
      <c r="CD492" s="52" t="n">
        <f aca="false">IF(BZ492=0,0,IF(N(S492)&gt;0,S492,IFERROR(VLOOKUP(D492,Parameter!$A$35:$C$64,3,0)+0,0)))</f>
        <v>0</v>
      </c>
      <c r="CE492" s="48" t="n">
        <f aca="false">IF(AA492&lt;&gt;"",AA492,Z492)</f>
        <v>3</v>
      </c>
      <c r="CF492" s="48" t="str">
        <f aca="false">IF(OR(CE492=1,CE492=2,CE492=3),IF(Parameter!$E$27="Ja","LIFT",IF(CE492=1,"L1","L23")),IF(CE492="Aussen","Aussen","-"))</f>
        <v>LIFT</v>
      </c>
      <c r="CG492" s="59" t="n">
        <f aca="false">IF(N(AB492)&gt;0,AB492,0)</f>
        <v>0</v>
      </c>
      <c r="CH492" s="53" t="n">
        <f aca="false">IF(ISNUMBER(AE492),1,0)</f>
        <v>0</v>
      </c>
      <c r="CI492" s="50" t="n">
        <f aca="false">N(AE492)</f>
        <v>0</v>
      </c>
      <c r="CJ492" s="50" t="n">
        <f aca="false">N(M492)+N(N492)</f>
        <v>16</v>
      </c>
      <c r="CK492" s="50" t="n">
        <f aca="false">N(M492)</f>
        <v>1</v>
      </c>
      <c r="CL492" s="50" t="n">
        <f aca="false">N(N492)</f>
        <v>15</v>
      </c>
      <c r="CM492" s="50" t="n">
        <f aca="false">ROUNDUP(H492/BY492,0)</f>
        <v>1</v>
      </c>
      <c r="CN492" s="50" t="n">
        <f aca="false">ROUNDUP(CI492/BY492,0)</f>
        <v>0</v>
      </c>
      <c r="CO492" s="53" t="n">
        <f aca="false">IF(BZ492=1,0,IFERROR(VLOOKUP(BX492,'Gebinde-Kategorie'!$A$5:$N$45,5,0)+0,0))</f>
        <v>21</v>
      </c>
      <c r="CP492" s="53" t="n">
        <f aca="false">IFERROR(IF(OR(CE492=1,CE492=2,CE492=3),N(INDEX(Parameter!$I$5:$I$7,CE492)),0),0)</f>
        <v>0</v>
      </c>
      <c r="CQ492" s="52" t="n">
        <f aca="false">IF(AND(Parameter!$B$21="Ja",ISNUMBER(W492),N(X492)&gt;0),IFERROR(N(INDEX(Parameter!$L$5:$L$7,W492))*INDEX(Parameter!$E$5:$E$7,W492)*X492/SUMIFS($X$7:$X$1843,$W$7:$W$1843,W492),0),0)</f>
        <v>0</v>
      </c>
    </row>
    <row r="493" customFormat="false" ht="15" hidden="false" customHeight="false" outlineLevel="0" collapsed="false">
      <c r="A493" s="48" t="s">
        <v>1097</v>
      </c>
      <c r="B493" s="48" t="s">
        <v>1045</v>
      </c>
      <c r="C493" s="48" t="s">
        <v>173</v>
      </c>
      <c r="D493" s="48" t="s">
        <v>193</v>
      </c>
      <c r="E493" s="48" t="s">
        <v>194</v>
      </c>
      <c r="F493" s="48" t="s">
        <v>227</v>
      </c>
      <c r="G493" s="49" t="n">
        <v>0.03</v>
      </c>
      <c r="H493" s="50" t="n">
        <f aca="false">MAX(0,IF(AND(Parameter!$B$21="Ja",ISNUMBER(Y493)),Y493,IF(Parameter!$B$20="Jahresanfang 2025 + Export",BR493+BQ493,BQ493)))</f>
        <v>3691</v>
      </c>
      <c r="I493" s="50" t="n">
        <f aca="false">H493*G493</f>
        <v>110.73</v>
      </c>
      <c r="J493" s="50" t="n">
        <f aca="false">BT493*Parameter!$B$18</f>
        <v>100</v>
      </c>
      <c r="K493" s="51" t="n">
        <v>1870</v>
      </c>
      <c r="L493" s="52" t="n">
        <v>0.053475935828877</v>
      </c>
      <c r="M493" s="50" t="n">
        <v>3</v>
      </c>
      <c r="N493" s="50" t="n">
        <v>100</v>
      </c>
      <c r="O493" s="53" t="n">
        <v>14</v>
      </c>
      <c r="P493" s="48" t="s">
        <v>311</v>
      </c>
      <c r="Q493" s="50" t="n">
        <v>4200</v>
      </c>
      <c r="R493" s="53" t="n">
        <f aca="false">IF(BZ493=1,0,IFERROR(VLOOKUP(BX493,'Gebinde-Kategorie'!$A$5:$N$45,13,0)+0,0))</f>
        <v>26</v>
      </c>
      <c r="S493" s="54"/>
      <c r="T493" s="55"/>
      <c r="U493" s="55"/>
      <c r="V493" s="55"/>
      <c r="W493" s="48"/>
      <c r="X493" s="50"/>
      <c r="Y493" s="50"/>
      <c r="Z493" s="48" t="n">
        <f aca="false">IF(A493="","",IF(AND(Parameter!$B$21="Ja",ISNUMBER(W493)),W493,IF(CC493="2+3",IF(ISNUMBER(SEARCH("grosser Artikel",BU493)),2,IFERROR(VLOOKUP(BX493,Parameter!$F$35:$G$64,2,0),2)),IF(OR(CC493="Nein",CC493=""),"-",CC493))))</f>
        <v>3</v>
      </c>
      <c r="AA493" s="55"/>
      <c r="AB493" s="56"/>
      <c r="AC493" s="50" t="n">
        <f aca="false">AV493</f>
        <v>103</v>
      </c>
      <c r="AD493" s="50" t="n">
        <f aca="false">MAX(AV493,H493)</f>
        <v>3691</v>
      </c>
      <c r="AE493" s="57"/>
      <c r="AF493" s="50" t="n">
        <f aca="false">IF(LEFT(Cockpit!$C$5,1)="A",H493,IF(Parameter!$E$30="MAX-Bestand",IF(CH493=1,CI493,IF(LEFT(Cockpit!$C$5,1)="B",AL493,MAX(AL493,H493))),ROUNDUP(AJ493,0)))</f>
        <v>3691</v>
      </c>
      <c r="AG493" s="50" t="n">
        <f aca="false">IF(BZ493=1,0,ROUNDUP(AF493/BY493,0))</f>
        <v>1</v>
      </c>
      <c r="AH493" s="52" t="n">
        <f aca="false">IF(CQ493&gt;0,CQ493*MAX(1,AF493/X493),IF(BZ493=1,IF(AF493&lt;=0,0,CD493*MAX(1,IF(H493&gt;0,AF493/H493,1))),IF(R493&gt;0,AG493/R493,0))/MAX(0.1,N(Parameter!$M$21)))</f>
        <v>0.0384615384615385</v>
      </c>
      <c r="AI493" s="50" t="n">
        <f aca="false">AH493*CB493</f>
        <v>5.96153846153846</v>
      </c>
      <c r="AJ493" s="51" t="n">
        <f aca="false">IF(LEFT(Cockpit!$C$5,1)="A",H493,IF(CH493=1,(CK493+CI493)/2,IF(LEFT(Cockpit!$C$5,1)="B",(CK493+AL493)/2,MAX((CK493+AL493)/2,H493))))</f>
        <v>3691</v>
      </c>
      <c r="AK493" s="50" t="n">
        <f aca="false">AJ493*G493</f>
        <v>110.73</v>
      </c>
      <c r="AL493" s="50" t="n">
        <f aca="false">ROUNDUP(CK493+MAX(CL493,2*(J493/IF(CG493&gt;0,CG493,MAX(0.1,N(Cockpit!$C$6)))-CK493)),0)</f>
        <v>103</v>
      </c>
      <c r="AM493" s="51" t="n">
        <f aca="false">IF(AI493&gt;0,J493/AI493,-1)</f>
        <v>16.7741935483871</v>
      </c>
      <c r="AN493" s="51" t="n">
        <f aca="false">IF(AND(OR(CF493="L1",CF493="L23",CF493="LIFT"),AI493&gt;0),SUMIFS($AI$7:$AI$1843,$CF$7:$CF$1843,CF493,$AM$7:$AM$1843,"&gt;"&amp;AM493)+SUMIFS($AI$7:$AI$1843,$CF$7:$CF$1843,CF493,$AM$7:$AM$1843,AM493,$BW$7:$BW$1843,"&lt;="&amp;BW493),"")</f>
        <v>2021.65659340659</v>
      </c>
      <c r="AO493" s="58" t="n">
        <f aca="false">IF(AN493="",0,MAX(0,MIN(1,(IF(CF493="L1",Parameter!$H$5,IF(CF493="L23",Parameter!$H$6+Parameter!$H$7,Parameter!$H$5+Parameter!$H$6+Parameter!$H$7))-(AN493-AI493))/AI493)))</f>
        <v>1</v>
      </c>
      <c r="AP493" s="50" t="n">
        <f aca="false">IF(LEFT(Cockpit!$I$5,1)="A",H493,IF(Parameter!$E$30="MAX-Bestand",IF(CH493=1,CI493,IF(LEFT(Cockpit!$I$5,1)="B",AV493,MAX(AV493,H493))),ROUNDUP(AT493,0)))</f>
        <v>3691</v>
      </c>
      <c r="AQ493" s="50" t="n">
        <f aca="false">IF(BZ493=1,0,ROUNDUP(AP493/BY493,0))</f>
        <v>1</v>
      </c>
      <c r="AR493" s="52" t="n">
        <f aca="false">IF(CQ493&gt;0,CQ493*MAX(1,AP493/X493),IF(BZ493=1,IF(AP493&lt;=0,0,CD493*MAX(1,IF(H493&gt;0,AP493/H493,1))),IF(R493&gt;0,AQ493/R493,0))/MAX(0.1,N(Parameter!$M$21)))</f>
        <v>0.0384615384615385</v>
      </c>
      <c r="AS493" s="50" t="n">
        <f aca="false">AR493*CB493</f>
        <v>5.96153846153846</v>
      </c>
      <c r="AT493" s="51" t="n">
        <f aca="false">IF(LEFT(Cockpit!$I$5,1)="A",H493,IF(CH493=1,(CK493+CI493)/2,IF(LEFT(Cockpit!$I$5,1)="B",(CK493+AV493)/2,MAX((CK493+AV493)/2,H493))))</f>
        <v>3691</v>
      </c>
      <c r="AU493" s="50" t="n">
        <f aca="false">AT493*G493</f>
        <v>110.73</v>
      </c>
      <c r="AV493" s="50" t="n">
        <f aca="false">ROUNDUP(CK493+MAX(CL493,2*(J493/IF(CG493&gt;0,CG493,MAX(0.1,N(Cockpit!$I$6)))-CK493)),0)</f>
        <v>103</v>
      </c>
      <c r="AW493" s="51" t="n">
        <f aca="false">IF(AS493&gt;0,J493/AS493,-1)</f>
        <v>16.7741935483871</v>
      </c>
      <c r="AX493" s="51" t="n">
        <f aca="false">IF(AND(OR(CF493="L1",CF493="L23",CF493="LIFT"),AS493&gt;0),SUMIFS($AS$7:$AS$1843,$CF$7:$CF$1843,CF493,$AW$7:$AW$1843,"&gt;"&amp;AW493)+SUMIFS($AS$7:$AS$1843,$CF$7:$CF$1843,CF493,$AW$7:$AW$1843,AW493,$BW$7:$BW$1843,"&lt;="&amp;BW493),"")</f>
        <v>2658.77747252747</v>
      </c>
      <c r="AY493" s="58" t="n">
        <f aca="false">IF(AX493="",0,MAX(0,MIN(1,(IF(CF493="L1",Parameter!$H$5,IF(CF493="L23",Parameter!$H$6+Parameter!$H$7,Parameter!$H$5+Parameter!$H$6+Parameter!$H$7))-(AX493-AS493))/AS493)))</f>
        <v>1</v>
      </c>
      <c r="AZ493" s="50" t="n">
        <f aca="false">IF(LEFT(Cockpit!$O$5,1)="A",H493,IF(Parameter!$E$30="MAX-Bestand",IF(CH493=1,CI493,IF(LEFT(Cockpit!$O$5,1)="B",BF493,MAX(BF493,H493))),ROUNDUP(BD493,0)))</f>
        <v>53</v>
      </c>
      <c r="BA493" s="50" t="n">
        <f aca="false">IF(BZ493=1,0,ROUNDUP(AZ493/BY493,0))</f>
        <v>1</v>
      </c>
      <c r="BB493" s="52" t="n">
        <f aca="false">IF(CQ493&gt;0,CQ493*MAX(1,AZ493/X493),IF(BZ493=1,IF(AZ493&lt;=0,0,CD493*MAX(1,IF(H493&gt;0,AZ493/H493,1))),IF(R493&gt;0,BA493/R493,0))/MAX(0.1,N(Parameter!$M$21)))</f>
        <v>0.0384615384615385</v>
      </c>
      <c r="BC493" s="50" t="n">
        <f aca="false">BB493*CB493</f>
        <v>5.96153846153846</v>
      </c>
      <c r="BD493" s="51" t="n">
        <f aca="false">IF(LEFT(Cockpit!$O$5,1)="A",H493,IF(CH493=1,(CK493+CI493)/2,IF(LEFT(Cockpit!$O$5,1)="B",(CK493+BF493)/2,MAX((CK493+BF493)/2,H493))))</f>
        <v>53</v>
      </c>
      <c r="BE493" s="50" t="n">
        <f aca="false">BD493*G493</f>
        <v>1.59</v>
      </c>
      <c r="BF493" s="50" t="n">
        <f aca="false">ROUNDUP(CK493+MAX(CL493,2*(J493/IF(CG493&gt;0,CG493,MAX(0.1,N(Cockpit!$O$6)))-CK493)),0)</f>
        <v>103</v>
      </c>
      <c r="BG493" s="51" t="n">
        <f aca="false">IF(BC493&gt;0,J493/BC493,-1)</f>
        <v>16.7741935483871</v>
      </c>
      <c r="BH493" s="51" t="n">
        <f aca="false">IF(AND(OR(CF493="L1",CF493="L23",CF493="LIFT"),BC493&gt;0),SUMIFS($BC$7:$BC$1843,$CF$7:$CF$1843,CF493,$BG$7:$BG$1843,"&gt;"&amp;BG493)+SUMIFS($BC$7:$BC$1843,$CF$7:$CF$1843,CF493,$BG$7:$BG$1843,BG493,$BW$7:$BW$1843,"&lt;="&amp;BW493),"")</f>
        <v>2344.79532967033</v>
      </c>
      <c r="BI493" s="58" t="n">
        <f aca="false">IF(BH493="",0,MAX(0,MIN(1,(IF(CF493="L1",Parameter!$H$5,IF(CF493="L23",Parameter!$H$6+Parameter!$H$7,Parameter!$H$5+Parameter!$H$6+Parameter!$H$7))-(BH493-BC493))/BC493)))</f>
        <v>1</v>
      </c>
      <c r="BJ493" s="48" t="str">
        <f aca="false">IF(AI493&lt;=0,"",IF(CF493="Aussen","Aussenlager",IF(CF493="-","Nicht im Lift",IF(AO493&gt;=1,"Lift",IF(AO493&lt;=0,"Aussenlager","teilweise")))))</f>
        <v>Lift</v>
      </c>
      <c r="BK493" s="48" t="str">
        <f aca="false">IF(AS493&lt;=0,"",IF(CF493="Aussen","Aussenlager",IF(CF493="-","Nicht im Lift",IF(AY493&gt;=1,"Lift",IF(AY493&lt;=0,"Aussenlager","teilweise")))))</f>
        <v>Lift</v>
      </c>
      <c r="BL493" s="48" t="str">
        <f aca="false">IF(BC493&lt;=0,"",IF(CF493="Aussen","Aussenlager",IF(CF493="-","Nicht im Lift",IF(BI493&gt;=1,"Lift",IF(BI493&lt;=0,"Aussenlager","teilweise")))))</f>
        <v>Lift</v>
      </c>
      <c r="BM493" s="48" t="str">
        <f aca="false">IF(A493="","",IF(BV493=1,"Neu; ","")&amp;IF(AND(BV493=0,BQ493&lt;0),"negativer Bestand (Export "&amp;BQ493&amp;"); ","")&amp;IF(J493&lt;=0,"Kein Verbrauch; ","")&amp;IF(CQ493&gt;0,"Lift "&amp;W493&amp;" lt. Liftbericht (Fach "&amp;X493&amp;" Stk); ",IF(CA493=1,"Gebinde geschätzt ("&amp;T493&amp;"); ",IF(BZ493=1,"Lose – Tablare geschätzt; ","")))&amp;IF(H493&gt;AV493,"Überbestand "&amp;ROUND(H493-AV493,0)&amp;" Stk / CHF "&amp;ROUND((H493-AV493)*G493,0)&amp;"; ","")&amp;IF(AND(CH493=1,CI493&lt;CJ493),"MAX &lt; MB+LG; ","")&amp;IF(AND(CP493&gt;0,CO493*10&gt;CP493),"zu hoch für Tablar; ","")&amp;IF(AND(BV493=0,OR(CH493=1,AA493&lt;&gt;"",U493&lt;&gt;"",V493&lt;&gt;"",AB493&lt;&gt;"")),"manuell übersteuert; ","")&amp;IF(AND(BZ493=0,R493=0),"Gebinde unbekannt / Stellmass fehlt; ","")&amp;IF(AND(BZ493=0,N(V493)&lt;=0,N(Q493)&lt;=0),"Menge pro Gebinde fehlt (Ist = 1 Gebinde); ","")&amp;BU493)</f>
        <v>Überbestand 3588 Stk / CHF 108; Verb.Lager</v>
      </c>
      <c r="BN493" s="48"/>
      <c r="BO493" s="48"/>
      <c r="BP493" s="55"/>
      <c r="BQ493" s="50" t="n">
        <v>191</v>
      </c>
      <c r="BR493" s="50" t="n">
        <v>3500</v>
      </c>
      <c r="BS493" s="49" t="n">
        <v>40.73</v>
      </c>
      <c r="BT493" s="50" t="n">
        <v>100</v>
      </c>
      <c r="BU493" s="48" t="s">
        <v>1039</v>
      </c>
      <c r="BV493" s="53" t="n">
        <v>0</v>
      </c>
      <c r="BW493" s="53" t="n">
        <v>493</v>
      </c>
      <c r="BX493" s="48" t="str">
        <f aca="false">IF(U493&lt;&gt;"",UPPER(TRIM(U493)),IF(CA493=1,UPPER(VLOOKUP(T493,Parameter!$I$27:$K$29,2,0)),IF(P493="","LOSE",P493)))</f>
        <v>S51</v>
      </c>
      <c r="BY493" s="50" t="n">
        <f aca="false">IF(BX493="LOSE",1,IF(N(V493)&gt;0,V493,IF(CA493=1,MAX(1,N(VLOOKUP(T493,Parameter!$I$27:$K$29,3,0)),H493,N(N493)),IF(N(Q493)&gt;0,Q493,MAX(1,H493)))))</f>
        <v>4200</v>
      </c>
      <c r="BZ493" s="53" t="n">
        <f aca="false">IF(BX493="LOSE",1,0)</f>
        <v>0</v>
      </c>
      <c r="CA493" s="53" t="n">
        <f aca="false">IF(AND(U493="",OR(P493="",P493="LOSE"),T493&lt;&gt;"",N(S493)&lt;=0,ISNUMBER(MATCH(T493,Parameter!$I$27:$I$29,0))),1,0)</f>
        <v>0</v>
      </c>
      <c r="CB493" s="53" t="n">
        <f aca="false">IF(CQ493&gt;0,INDEX(Parameter!$H$5:$H$7,W493)/INDEX(Parameter!$E$5:$E$7,W493),IF(AND(BZ493=0,N(IFERROR(VLOOKUP(BX493,'Gebinde-Kategorie'!$A$5:$N$45,14,0),0))&gt;0),VLOOKUP(BX493,'Gebinde-Kategorie'!$A$5:$N$45,14,0)*10+Parameter!$M$23,Parameter!$M$24))</f>
        <v>155</v>
      </c>
      <c r="CC493" s="48" t="str">
        <f aca="false">IF(AND(Parameter!$B$19="Ja",E493&lt;&gt;"",ISNUMBER(MATCH(E493,Parameter!$I$35:$I$52,0))),VLOOKUP(E493,Parameter!$I$35:$J$52,2,0),IFERROR(VLOOKUP(D493,Parameter!$A$35:$C$64,2,0),"Nein"))</f>
        <v>2+3</v>
      </c>
      <c r="CD493" s="52" t="n">
        <f aca="false">IF(BZ493=0,0,IF(N(S493)&gt;0,S493,IFERROR(VLOOKUP(D493,Parameter!$A$35:$C$64,3,0)+0,0)))</f>
        <v>0</v>
      </c>
      <c r="CE493" s="48" t="n">
        <f aca="false">IF(AA493&lt;&gt;"",AA493,Z493)</f>
        <v>3</v>
      </c>
      <c r="CF493" s="48" t="str">
        <f aca="false">IF(OR(CE493=1,CE493=2,CE493=3),IF(Parameter!$E$27="Ja","LIFT",IF(CE493=1,"L1","L23")),IF(CE493="Aussen","Aussen","-"))</f>
        <v>LIFT</v>
      </c>
      <c r="CG493" s="59" t="n">
        <f aca="false">IF(N(AB493)&gt;0,AB493,0)</f>
        <v>0</v>
      </c>
      <c r="CH493" s="53" t="n">
        <f aca="false">IF(ISNUMBER(AE493),1,0)</f>
        <v>0</v>
      </c>
      <c r="CI493" s="50" t="n">
        <f aca="false">N(AE493)</f>
        <v>0</v>
      </c>
      <c r="CJ493" s="50" t="n">
        <f aca="false">N(M493)+N(N493)</f>
        <v>103</v>
      </c>
      <c r="CK493" s="50" t="n">
        <f aca="false">N(M493)</f>
        <v>3</v>
      </c>
      <c r="CL493" s="50" t="n">
        <f aca="false">N(N493)</f>
        <v>100</v>
      </c>
      <c r="CM493" s="50" t="n">
        <f aca="false">ROUNDUP(H493/BY493,0)</f>
        <v>1</v>
      </c>
      <c r="CN493" s="50" t="n">
        <f aca="false">ROUNDUP(CI493/BY493,0)</f>
        <v>0</v>
      </c>
      <c r="CO493" s="53" t="n">
        <f aca="false">IF(BZ493=1,0,IFERROR(VLOOKUP(BX493,'Gebinde-Kategorie'!$A$5:$N$45,5,0)+0,0))</f>
        <v>11</v>
      </c>
      <c r="CP493" s="53" t="n">
        <f aca="false">IFERROR(IF(OR(CE493=1,CE493=2,CE493=3),N(INDEX(Parameter!$I$5:$I$7,CE493)),0),0)</f>
        <v>0</v>
      </c>
      <c r="CQ493" s="52" t="n">
        <f aca="false">IF(AND(Parameter!$B$21="Ja",ISNUMBER(W493),N(X493)&gt;0),IFERROR(N(INDEX(Parameter!$L$5:$L$7,W493))*INDEX(Parameter!$E$5:$E$7,W493)*X493/SUMIFS($X$7:$X$1843,$W$7:$W$1843,W493),0),0)</f>
        <v>0</v>
      </c>
    </row>
    <row r="494" customFormat="false" ht="15" hidden="false" customHeight="false" outlineLevel="0" collapsed="false">
      <c r="A494" s="48" t="s">
        <v>1098</v>
      </c>
      <c r="B494" s="48" t="s">
        <v>1099</v>
      </c>
      <c r="C494" s="48" t="s">
        <v>173</v>
      </c>
      <c r="D494" s="48" t="s">
        <v>193</v>
      </c>
      <c r="E494" s="48"/>
      <c r="F494" s="48" t="s">
        <v>227</v>
      </c>
      <c r="G494" s="49" t="n">
        <v>13.45</v>
      </c>
      <c r="H494" s="50" t="n">
        <f aca="false">MAX(0,IF(AND(Parameter!$B$21="Ja",ISNUMBER(Y494)),Y494,IF(Parameter!$B$20="Jahresanfang 2025 + Export",BR494+BQ494,BQ494)))</f>
        <v>3</v>
      </c>
      <c r="I494" s="50" t="n">
        <f aca="false">H494*G494</f>
        <v>40.35</v>
      </c>
      <c r="J494" s="50" t="n">
        <f aca="false">BT494*Parameter!$B$18</f>
        <v>4</v>
      </c>
      <c r="K494" s="51" t="n">
        <v>3</v>
      </c>
      <c r="L494" s="52" t="n">
        <v>1.33333333333333</v>
      </c>
      <c r="M494" s="50" t="n">
        <v>0</v>
      </c>
      <c r="N494" s="50" t="n">
        <v>5</v>
      </c>
      <c r="O494" s="53" t="n">
        <v>14</v>
      </c>
      <c r="P494" s="48" t="s">
        <v>410</v>
      </c>
      <c r="Q494" s="50" t="n">
        <v>4</v>
      </c>
      <c r="R494" s="53" t="n">
        <f aca="false">IF(BZ494=1,0,IFERROR(VLOOKUP(BX494,'Gebinde-Kategorie'!$A$5:$N$45,13,0)+0,0))</f>
        <v>280</v>
      </c>
      <c r="S494" s="54"/>
      <c r="T494" s="55"/>
      <c r="U494" s="55"/>
      <c r="V494" s="55"/>
      <c r="W494" s="48"/>
      <c r="X494" s="50"/>
      <c r="Y494" s="50"/>
      <c r="Z494" s="48" t="n">
        <f aca="false">IF(A494="","",IF(AND(Parameter!$B$21="Ja",ISNUMBER(W494)),W494,IF(CC494="2+3",IF(ISNUMBER(SEARCH("grosser Artikel",BU494)),2,IFERROR(VLOOKUP(BX494,Parameter!$F$35:$G$64,2,0),2)),IF(OR(CC494="Nein",CC494=""),"-",CC494))))</f>
        <v>3</v>
      </c>
      <c r="AA494" s="55"/>
      <c r="AB494" s="56"/>
      <c r="AC494" s="50" t="n">
        <f aca="false">AV494</f>
        <v>5</v>
      </c>
      <c r="AD494" s="50" t="n">
        <f aca="false">MAX(AV494,H494)</f>
        <v>5</v>
      </c>
      <c r="AE494" s="57"/>
      <c r="AF494" s="50" t="n">
        <f aca="false">IF(LEFT(Cockpit!$C$5,1)="A",H494,IF(Parameter!$E$30="MAX-Bestand",IF(CH494=1,CI494,IF(LEFT(Cockpit!$C$5,1)="B",AL494,MAX(AL494,H494))),ROUNDUP(AJ494,0)))</f>
        <v>3</v>
      </c>
      <c r="AG494" s="50" t="n">
        <f aca="false">IF(BZ494=1,0,ROUNDUP(AF494/BY494,0))</f>
        <v>1</v>
      </c>
      <c r="AH494" s="52" t="n">
        <f aca="false">IF(CQ494&gt;0,CQ494*MAX(1,AF494/X494),IF(BZ494=1,IF(AF494&lt;=0,0,CD494*MAX(1,IF(H494&gt;0,AF494/H494,1))),IF(R494&gt;0,AG494/R494,0))/MAX(0.1,N(Parameter!$M$21)))</f>
        <v>0.00357142857142857</v>
      </c>
      <c r="AI494" s="50" t="n">
        <f aca="false">AH494*CB494</f>
        <v>0.553571428571429</v>
      </c>
      <c r="AJ494" s="51" t="n">
        <f aca="false">IF(LEFT(Cockpit!$C$5,1)="A",H494,IF(CH494=1,(CK494+CI494)/2,IF(LEFT(Cockpit!$C$5,1)="B",(CK494+AL494)/2,MAX((CK494+AL494)/2,H494))))</f>
        <v>3</v>
      </c>
      <c r="AK494" s="50" t="n">
        <f aca="false">AJ494*G494</f>
        <v>40.35</v>
      </c>
      <c r="AL494" s="50" t="n">
        <f aca="false">ROUNDUP(CK494+MAX(CL494,2*(J494/IF(CG494&gt;0,CG494,MAX(0.1,N(Cockpit!$C$6)))-CK494)),0)</f>
        <v>5</v>
      </c>
      <c r="AM494" s="51" t="n">
        <f aca="false">IF(AI494&gt;0,J494/AI494,-1)</f>
        <v>7.2258064516129</v>
      </c>
      <c r="AN494" s="51" t="n">
        <f aca="false">IF(AND(OR(CF494="L1",CF494="L23",CF494="LIFT"),AI494&gt;0),SUMIFS($AI$7:$AI$1843,$CF$7:$CF$1843,CF494,$AM$7:$AM$1843,"&gt;"&amp;AM494)+SUMIFS($AI$7:$AI$1843,$CF$7:$CF$1843,CF494,$AM$7:$AM$1843,AM494,$BW$7:$BW$1843,"&lt;="&amp;BW494),"")</f>
        <v>3155.0293040293</v>
      </c>
      <c r="AO494" s="58" t="n">
        <f aca="false">IF(AN494="",0,MAX(0,MIN(1,(IF(CF494="L1",Parameter!$H$5,IF(CF494="L23",Parameter!$H$6+Parameter!$H$7,Parameter!$H$5+Parameter!$H$6+Parameter!$H$7))-(AN494-AI494))/AI494)))</f>
        <v>1</v>
      </c>
      <c r="AP494" s="50" t="n">
        <f aca="false">IF(LEFT(Cockpit!$I$5,1)="A",H494,IF(Parameter!$E$30="MAX-Bestand",IF(CH494=1,CI494,IF(LEFT(Cockpit!$I$5,1)="B",AV494,MAX(AV494,H494))),ROUNDUP(AT494,0)))</f>
        <v>3</v>
      </c>
      <c r="AQ494" s="50" t="n">
        <f aca="false">IF(BZ494=1,0,ROUNDUP(AP494/BY494,0))</f>
        <v>1</v>
      </c>
      <c r="AR494" s="52" t="n">
        <f aca="false">IF(CQ494&gt;0,CQ494*MAX(1,AP494/X494),IF(BZ494=1,IF(AP494&lt;=0,0,CD494*MAX(1,IF(H494&gt;0,AP494/H494,1))),IF(R494&gt;0,AQ494/R494,0))/MAX(0.1,N(Parameter!$M$21)))</f>
        <v>0.00357142857142857</v>
      </c>
      <c r="AS494" s="50" t="n">
        <f aca="false">AR494*CB494</f>
        <v>0.553571428571429</v>
      </c>
      <c r="AT494" s="51" t="n">
        <f aca="false">IF(LEFT(Cockpit!$I$5,1)="A",H494,IF(CH494=1,(CK494+CI494)/2,IF(LEFT(Cockpit!$I$5,1)="B",(CK494+AV494)/2,MAX((CK494+AV494)/2,H494))))</f>
        <v>3</v>
      </c>
      <c r="AU494" s="50" t="n">
        <f aca="false">AT494*G494</f>
        <v>40.35</v>
      </c>
      <c r="AV494" s="50" t="n">
        <f aca="false">ROUNDUP(CK494+MAX(CL494,2*(J494/IF(CG494&gt;0,CG494,MAX(0.1,N(Cockpit!$I$6)))-CK494)),0)</f>
        <v>5</v>
      </c>
      <c r="AW494" s="51" t="n">
        <f aca="false">IF(AS494&gt;0,J494/AS494,-1)</f>
        <v>7.2258064516129</v>
      </c>
      <c r="AX494" s="51" t="n">
        <f aca="false">IF(AND(OR(CF494="L1",CF494="L23",CF494="LIFT"),AS494&gt;0),SUMIFS($AS$7:$AS$1843,$CF$7:$CF$1843,CF494,$AW$7:$AW$1843,"&gt;"&amp;AW494)+SUMIFS($AS$7:$AS$1843,$CF$7:$CF$1843,CF494,$AW$7:$AW$1843,AW494,$BW$7:$BW$1843,"&lt;="&amp;BW494),"")</f>
        <v>3815.34065934066</v>
      </c>
      <c r="AY494" s="58" t="n">
        <f aca="false">IF(AX494="",0,MAX(0,MIN(1,(IF(CF494="L1",Parameter!$H$5,IF(CF494="L23",Parameter!$H$6+Parameter!$H$7,Parameter!$H$5+Parameter!$H$6+Parameter!$H$7))-(AX494-AS494))/AS494)))</f>
        <v>1</v>
      </c>
      <c r="AZ494" s="50" t="n">
        <f aca="false">IF(LEFT(Cockpit!$O$5,1)="A",H494,IF(Parameter!$E$30="MAX-Bestand",IF(CH494=1,CI494,IF(LEFT(Cockpit!$O$5,1)="B",BF494,MAX(BF494,H494))),ROUNDUP(BD494,0)))</f>
        <v>3</v>
      </c>
      <c r="BA494" s="50" t="n">
        <f aca="false">IF(BZ494=1,0,ROUNDUP(AZ494/BY494,0))</f>
        <v>1</v>
      </c>
      <c r="BB494" s="52" t="n">
        <f aca="false">IF(CQ494&gt;0,CQ494*MAX(1,AZ494/X494),IF(BZ494=1,IF(AZ494&lt;=0,0,CD494*MAX(1,IF(H494&gt;0,AZ494/H494,1))),IF(R494&gt;0,BA494/R494,0))/MAX(0.1,N(Parameter!$M$21)))</f>
        <v>0.00357142857142857</v>
      </c>
      <c r="BC494" s="50" t="n">
        <f aca="false">BB494*CB494</f>
        <v>0.553571428571429</v>
      </c>
      <c r="BD494" s="51" t="n">
        <f aca="false">IF(LEFT(Cockpit!$O$5,1)="A",H494,IF(CH494=1,(CK494+CI494)/2,IF(LEFT(Cockpit!$O$5,1)="B",(CK494+BF494)/2,MAX((CK494+BF494)/2,H494))))</f>
        <v>2.5</v>
      </c>
      <c r="BE494" s="50" t="n">
        <f aca="false">BD494*G494</f>
        <v>33.625</v>
      </c>
      <c r="BF494" s="50" t="n">
        <f aca="false">ROUNDUP(CK494+MAX(CL494,2*(J494/IF(CG494&gt;0,CG494,MAX(0.1,N(Cockpit!$O$6)))-CK494)),0)</f>
        <v>5</v>
      </c>
      <c r="BG494" s="51" t="n">
        <f aca="false">IF(BC494&gt;0,J494/BC494,-1)</f>
        <v>7.2258064516129</v>
      </c>
      <c r="BH494" s="51" t="n">
        <f aca="false">IF(AND(OR(CF494="L1",CF494="L23",CF494="LIFT"),BC494&gt;0),SUMIFS($BC$7:$BC$1843,$CF$7:$CF$1843,CF494,$BG$7:$BG$1843,"&gt;"&amp;BG494)+SUMIFS($BC$7:$BC$1843,$CF$7:$CF$1843,CF494,$BG$7:$BG$1843,BG494,$BW$7:$BW$1843,"&lt;="&amp;BW494),"")</f>
        <v>3239.79853479854</v>
      </c>
      <c r="BI494" s="58" t="n">
        <f aca="false">IF(BH494="",0,MAX(0,MIN(1,(IF(CF494="L1",Parameter!$H$5,IF(CF494="L23",Parameter!$H$6+Parameter!$H$7,Parameter!$H$5+Parameter!$H$6+Parameter!$H$7))-(BH494-BC494))/BC494)))</f>
        <v>1</v>
      </c>
      <c r="BJ494" s="48" t="str">
        <f aca="false">IF(AI494&lt;=0,"",IF(CF494="Aussen","Aussenlager",IF(CF494="-","Nicht im Lift",IF(AO494&gt;=1,"Lift",IF(AO494&lt;=0,"Aussenlager","teilweise")))))</f>
        <v>Lift</v>
      </c>
      <c r="BK494" s="48" t="str">
        <f aca="false">IF(AS494&lt;=0,"",IF(CF494="Aussen","Aussenlager",IF(CF494="-","Nicht im Lift",IF(AY494&gt;=1,"Lift",IF(AY494&lt;=0,"Aussenlager","teilweise")))))</f>
        <v>Lift</v>
      </c>
      <c r="BL494" s="48" t="str">
        <f aca="false">IF(BC494&lt;=0,"",IF(CF494="Aussen","Aussenlager",IF(CF494="-","Nicht im Lift",IF(BI494&gt;=1,"Lift",IF(BI494&lt;=0,"Aussenlager","teilweise")))))</f>
        <v>Lift</v>
      </c>
      <c r="BM494" s="48" t="str">
        <f aca="false">IF(A494="","",IF(BV494=1,"Neu; ","")&amp;IF(AND(BV494=0,BQ494&lt;0),"negativer Bestand (Export "&amp;BQ494&amp;"); ","")&amp;IF(J494&lt;=0,"Kein Verbrauch; ","")&amp;IF(CQ494&gt;0,"Lift "&amp;W494&amp;" lt. Liftbericht (Fach "&amp;X494&amp;" Stk); ",IF(CA494=1,"Gebinde geschätzt ("&amp;T494&amp;"); ",IF(BZ494=1,"Lose – Tablare geschätzt; ","")))&amp;IF(H494&gt;AV494,"Überbestand "&amp;ROUND(H494-AV494,0)&amp;" Stk / CHF "&amp;ROUND((H494-AV494)*G494,0)&amp;"; ","")&amp;IF(AND(CH494=1,CI494&lt;CJ494),"MAX &lt; MB+LG; ","")&amp;IF(AND(CP494&gt;0,CO494*10&gt;CP494),"zu hoch für Tablar; ","")&amp;IF(AND(BV494=0,OR(CH494=1,AA494&lt;&gt;"",U494&lt;&gt;"",V494&lt;&gt;"",AB494&lt;&gt;"")),"manuell übersteuert; ","")&amp;IF(AND(BZ494=0,R494=0),"Gebinde unbekannt / Stellmass fehlt; ","")&amp;IF(AND(BZ494=0,N(V494)&lt;=0,N(Q494)&lt;=0),"Menge pro Gebinde fehlt (Ist = 1 Gebinde); ","")&amp;BU494)</f>
        <v/>
      </c>
      <c r="BN494" s="48"/>
      <c r="BO494" s="48"/>
      <c r="BP494" s="55"/>
      <c r="BQ494" s="50" t="n">
        <v>3</v>
      </c>
      <c r="BR494" s="50" t="n">
        <v>0</v>
      </c>
      <c r="BS494" s="49" t="n">
        <v>40.35</v>
      </c>
      <c r="BT494" s="50" t="n">
        <v>4</v>
      </c>
      <c r="BU494" s="48"/>
      <c r="BV494" s="53" t="n">
        <v>0</v>
      </c>
      <c r="BW494" s="53" t="n">
        <v>494</v>
      </c>
      <c r="BX494" s="48" t="str">
        <f aca="false">IF(U494&lt;&gt;"",UPPER(TRIM(U494)),IF(CA494=1,UPPER(VLOOKUP(T494,Parameter!$I$27:$K$29,2,0)),IF(P494="","LOSE",P494)))</f>
        <v>S21</v>
      </c>
      <c r="BY494" s="50" t="n">
        <f aca="false">IF(BX494="LOSE",1,IF(N(V494)&gt;0,V494,IF(CA494=1,MAX(1,N(VLOOKUP(T494,Parameter!$I$27:$K$29,3,0)),H494,N(N494)),IF(N(Q494)&gt;0,Q494,MAX(1,H494)))))</f>
        <v>4</v>
      </c>
      <c r="BZ494" s="53" t="n">
        <f aca="false">IF(BX494="LOSE",1,0)</f>
        <v>0</v>
      </c>
      <c r="CA494" s="53" t="n">
        <f aca="false">IF(AND(U494="",OR(P494="",P494="LOSE"),T494&lt;&gt;"",N(S494)&lt;=0,ISNUMBER(MATCH(T494,Parameter!$I$27:$I$29,0))),1,0)</f>
        <v>0</v>
      </c>
      <c r="CB494" s="53" t="n">
        <f aca="false">IF(CQ494&gt;0,INDEX(Parameter!$H$5:$H$7,W494)/INDEX(Parameter!$E$5:$E$7,W494),IF(AND(BZ494=0,N(IFERROR(VLOOKUP(BX494,'Gebinde-Kategorie'!$A$5:$N$45,14,0),0))&gt;0),VLOOKUP(BX494,'Gebinde-Kategorie'!$A$5:$N$45,14,0)*10+Parameter!$M$23,Parameter!$M$24))</f>
        <v>155</v>
      </c>
      <c r="CC494" s="48" t="str">
        <f aca="false">IF(AND(Parameter!$B$19="Ja",E494&lt;&gt;"",ISNUMBER(MATCH(E494,Parameter!$I$35:$I$52,0))),VLOOKUP(E494,Parameter!$I$35:$J$52,2,0),IFERROR(VLOOKUP(D494,Parameter!$A$35:$C$64,2,0),"Nein"))</f>
        <v>2+3</v>
      </c>
      <c r="CD494" s="52" t="n">
        <f aca="false">IF(BZ494=0,0,IF(N(S494)&gt;0,S494,IFERROR(VLOOKUP(D494,Parameter!$A$35:$C$64,3,0)+0,0)))</f>
        <v>0</v>
      </c>
      <c r="CE494" s="48" t="n">
        <f aca="false">IF(AA494&lt;&gt;"",AA494,Z494)</f>
        <v>3</v>
      </c>
      <c r="CF494" s="48" t="str">
        <f aca="false">IF(OR(CE494=1,CE494=2,CE494=3),IF(Parameter!$E$27="Ja","LIFT",IF(CE494=1,"L1","L23")),IF(CE494="Aussen","Aussen","-"))</f>
        <v>LIFT</v>
      </c>
      <c r="CG494" s="59" t="n">
        <f aca="false">IF(N(AB494)&gt;0,AB494,0)</f>
        <v>0</v>
      </c>
      <c r="CH494" s="53" t="n">
        <f aca="false">IF(ISNUMBER(AE494),1,0)</f>
        <v>0</v>
      </c>
      <c r="CI494" s="50" t="n">
        <f aca="false">N(AE494)</f>
        <v>0</v>
      </c>
      <c r="CJ494" s="50" t="n">
        <f aca="false">N(M494)+N(N494)</f>
        <v>5</v>
      </c>
      <c r="CK494" s="50" t="n">
        <f aca="false">N(M494)</f>
        <v>0</v>
      </c>
      <c r="CL494" s="50" t="n">
        <f aca="false">N(N494)</f>
        <v>5</v>
      </c>
      <c r="CM494" s="50" t="n">
        <f aca="false">ROUNDUP(H494/BY494,0)</f>
        <v>1</v>
      </c>
      <c r="CN494" s="50" t="n">
        <f aca="false">ROUNDUP(CI494/BY494,0)</f>
        <v>0</v>
      </c>
      <c r="CO494" s="53" t="n">
        <f aca="false">IF(BZ494=1,0,IFERROR(VLOOKUP(BX494,'Gebinde-Kategorie'!$A$5:$N$45,5,0)+0,0))</f>
        <v>8</v>
      </c>
      <c r="CP494" s="53" t="n">
        <f aca="false">IFERROR(IF(OR(CE494=1,CE494=2,CE494=3),N(INDEX(Parameter!$I$5:$I$7,CE494)),0),0)</f>
        <v>0</v>
      </c>
      <c r="CQ494" s="52" t="n">
        <f aca="false">IF(AND(Parameter!$B$21="Ja",ISNUMBER(W494),N(X494)&gt;0),IFERROR(N(INDEX(Parameter!$L$5:$L$7,W494))*INDEX(Parameter!$E$5:$E$7,W494)*X494/SUMIFS($X$7:$X$1843,$W$7:$W$1843,W494),0),0)</f>
        <v>0</v>
      </c>
    </row>
    <row r="495" customFormat="false" ht="15" hidden="false" customHeight="false" outlineLevel="0" collapsed="false">
      <c r="A495" s="48" t="s">
        <v>1100</v>
      </c>
      <c r="B495" s="48" t="s">
        <v>1101</v>
      </c>
      <c r="C495" s="48" t="s">
        <v>173</v>
      </c>
      <c r="D495" s="48" t="s">
        <v>193</v>
      </c>
      <c r="E495" s="48" t="s">
        <v>194</v>
      </c>
      <c r="F495" s="48" t="s">
        <v>227</v>
      </c>
      <c r="G495" s="49" t="n">
        <v>5.09</v>
      </c>
      <c r="H495" s="50" t="n">
        <f aca="false">MAX(0,IF(AND(Parameter!$B$21="Ja",ISNUMBER(Y495)),Y495,IF(Parameter!$B$20="Jahresanfang 2025 + Export",BR495+BQ495,BQ495)))</f>
        <v>11</v>
      </c>
      <c r="I495" s="50" t="n">
        <f aca="false">H495*G495</f>
        <v>55.99</v>
      </c>
      <c r="J495" s="50" t="n">
        <f aca="false">BT495*Parameter!$B$18</f>
        <v>6</v>
      </c>
      <c r="K495" s="51" t="n">
        <v>4</v>
      </c>
      <c r="L495" s="52" t="n">
        <v>1.5</v>
      </c>
      <c r="M495" s="50" t="n">
        <v>0</v>
      </c>
      <c r="N495" s="50" t="n">
        <v>10</v>
      </c>
      <c r="O495" s="53" t="n">
        <v>30</v>
      </c>
      <c r="P495" s="48" t="s">
        <v>430</v>
      </c>
      <c r="Q495" s="50" t="n">
        <v>6</v>
      </c>
      <c r="R495" s="53" t="n">
        <f aca="false">IF(BZ495=1,0,IFERROR(VLOOKUP(BX495,'Gebinde-Kategorie'!$A$5:$N$45,13,0)+0,0))</f>
        <v>104</v>
      </c>
      <c r="S495" s="54"/>
      <c r="T495" s="55"/>
      <c r="U495" s="55"/>
      <c r="V495" s="55"/>
      <c r="W495" s="48"/>
      <c r="X495" s="50"/>
      <c r="Y495" s="50"/>
      <c r="Z495" s="48" t="n">
        <f aca="false">IF(A495="","",IF(AND(Parameter!$B$21="Ja",ISNUMBER(W495)),W495,IF(CC495="2+3",IF(ISNUMBER(SEARCH("grosser Artikel",BU495)),2,IFERROR(VLOOKUP(BX495,Parameter!$F$35:$G$64,2,0),2)),IF(OR(CC495="Nein",CC495=""),"-",CC495))))</f>
        <v>3</v>
      </c>
      <c r="AA495" s="55"/>
      <c r="AB495" s="56"/>
      <c r="AC495" s="50" t="n">
        <f aca="false">AV495</f>
        <v>10</v>
      </c>
      <c r="AD495" s="50" t="n">
        <f aca="false">MAX(AV495,H495)</f>
        <v>11</v>
      </c>
      <c r="AE495" s="57"/>
      <c r="AF495" s="50" t="n">
        <f aca="false">IF(LEFT(Cockpit!$C$5,1)="A",H495,IF(Parameter!$E$30="MAX-Bestand",IF(CH495=1,CI495,IF(LEFT(Cockpit!$C$5,1)="B",AL495,MAX(AL495,H495))),ROUNDUP(AJ495,0)))</f>
        <v>11</v>
      </c>
      <c r="AG495" s="50" t="n">
        <f aca="false">IF(BZ495=1,0,ROUNDUP(AF495/BY495,0))</f>
        <v>2</v>
      </c>
      <c r="AH495" s="52" t="n">
        <f aca="false">IF(CQ495&gt;0,CQ495*MAX(1,AF495/X495),IF(BZ495=1,IF(AF495&lt;=0,0,CD495*MAX(1,IF(H495&gt;0,AF495/H495,1))),IF(R495&gt;0,AG495/R495,0))/MAX(0.1,N(Parameter!$M$21)))</f>
        <v>0.0192307692307692</v>
      </c>
      <c r="AI495" s="50" t="n">
        <f aca="false">AH495*CB495</f>
        <v>2.98076923076923</v>
      </c>
      <c r="AJ495" s="51" t="n">
        <f aca="false">IF(LEFT(Cockpit!$C$5,1)="A",H495,IF(CH495=1,(CK495+CI495)/2,IF(LEFT(Cockpit!$C$5,1)="B",(CK495+AL495)/2,MAX((CK495+AL495)/2,H495))))</f>
        <v>11</v>
      </c>
      <c r="AK495" s="50" t="n">
        <f aca="false">AJ495*G495</f>
        <v>55.99</v>
      </c>
      <c r="AL495" s="50" t="n">
        <f aca="false">ROUNDUP(CK495+MAX(CL495,2*(J495/IF(CG495&gt;0,CG495,MAX(0.1,N(Cockpit!$C$6)))-CK495)),0)</f>
        <v>10</v>
      </c>
      <c r="AM495" s="51" t="n">
        <f aca="false">IF(AI495&gt;0,J495/AI495,-1)</f>
        <v>2.01290322580645</v>
      </c>
      <c r="AN495" s="51" t="n">
        <f aca="false">IF(AND(OR(CF495="L1",CF495="L23",CF495="LIFT"),AI495&gt;0),SUMIFS($AI$7:$AI$1843,$CF$7:$CF$1843,CF495,$AM$7:$AM$1843,"&gt;"&amp;AM495)+SUMIFS($AI$7:$AI$1843,$CF$7:$CF$1843,CF495,$AM$7:$AM$1843,AM495,$BW$7:$BW$1843,"&lt;="&amp;BW495),"")</f>
        <v>5784.88827838828</v>
      </c>
      <c r="AO495" s="58" t="n">
        <f aca="false">IF(AN495="",0,MAX(0,MIN(1,(IF(CF495="L1",Parameter!$H$5,IF(CF495="L23",Parameter!$H$6+Parameter!$H$7,Parameter!$H$5+Parameter!$H$6+Parameter!$H$7))-(AN495-AI495))/AI495)))</f>
        <v>1</v>
      </c>
      <c r="AP495" s="50" t="n">
        <f aca="false">IF(LEFT(Cockpit!$I$5,1)="A",H495,IF(Parameter!$E$30="MAX-Bestand",IF(CH495=1,CI495,IF(LEFT(Cockpit!$I$5,1)="B",AV495,MAX(AV495,H495))),ROUNDUP(AT495,0)))</f>
        <v>11</v>
      </c>
      <c r="AQ495" s="50" t="n">
        <f aca="false">IF(BZ495=1,0,ROUNDUP(AP495/BY495,0))</f>
        <v>2</v>
      </c>
      <c r="AR495" s="52" t="n">
        <f aca="false">IF(CQ495&gt;0,CQ495*MAX(1,AP495/X495),IF(BZ495=1,IF(AP495&lt;=0,0,CD495*MAX(1,IF(H495&gt;0,AP495/H495,1))),IF(R495&gt;0,AQ495/R495,0))/MAX(0.1,N(Parameter!$M$21)))</f>
        <v>0.0192307692307692</v>
      </c>
      <c r="AS495" s="50" t="n">
        <f aca="false">AR495*CB495</f>
        <v>2.98076923076923</v>
      </c>
      <c r="AT495" s="51" t="n">
        <f aca="false">IF(LEFT(Cockpit!$I$5,1)="A",H495,IF(CH495=1,(CK495+CI495)/2,IF(LEFT(Cockpit!$I$5,1)="B",(CK495+AV495)/2,MAX((CK495+AV495)/2,H495))))</f>
        <v>11</v>
      </c>
      <c r="AU495" s="50" t="n">
        <f aca="false">AT495*G495</f>
        <v>55.99</v>
      </c>
      <c r="AV495" s="50" t="n">
        <f aca="false">ROUNDUP(CK495+MAX(CL495,2*(J495/IF(CG495&gt;0,CG495,MAX(0.1,N(Cockpit!$I$6)))-CK495)),0)</f>
        <v>10</v>
      </c>
      <c r="AW495" s="51" t="n">
        <f aca="false">IF(AS495&gt;0,J495/AS495,-1)</f>
        <v>2.01290322580645</v>
      </c>
      <c r="AX495" s="51" t="n">
        <f aca="false">IF(AND(OR(CF495="L1",CF495="L23",CF495="LIFT"),AS495&gt;0),SUMIFS($AS$7:$AS$1843,$CF$7:$CF$1843,CF495,$AW$7:$AW$1843,"&gt;"&amp;AW495)+SUMIFS($AS$7:$AS$1843,$CF$7:$CF$1843,CF495,$AW$7:$AW$1843,AW495,$BW$7:$BW$1843,"&lt;="&amp;BW495),"")</f>
        <v>7152.82783882784</v>
      </c>
      <c r="AY495" s="58" t="n">
        <f aca="false">IF(AX495="",0,MAX(0,MIN(1,(IF(CF495="L1",Parameter!$H$5,IF(CF495="L23",Parameter!$H$6+Parameter!$H$7,Parameter!$H$5+Parameter!$H$6+Parameter!$H$7))-(AX495-AS495))/AS495)))</f>
        <v>1</v>
      </c>
      <c r="AZ495" s="50" t="n">
        <f aca="false">IF(LEFT(Cockpit!$O$5,1)="A",H495,IF(Parameter!$E$30="MAX-Bestand",IF(CH495=1,CI495,IF(LEFT(Cockpit!$O$5,1)="B",BF495,MAX(BF495,H495))),ROUNDUP(BD495,0)))</f>
        <v>5</v>
      </c>
      <c r="BA495" s="50" t="n">
        <f aca="false">IF(BZ495=1,0,ROUNDUP(AZ495/BY495,0))</f>
        <v>1</v>
      </c>
      <c r="BB495" s="52" t="n">
        <f aca="false">IF(CQ495&gt;0,CQ495*MAX(1,AZ495/X495),IF(BZ495=1,IF(AZ495&lt;=0,0,CD495*MAX(1,IF(H495&gt;0,AZ495/H495,1))),IF(R495&gt;0,BA495/R495,0))/MAX(0.1,N(Parameter!$M$21)))</f>
        <v>0.00961538461538462</v>
      </c>
      <c r="BC495" s="50" t="n">
        <f aca="false">BB495*CB495</f>
        <v>1.49038461538462</v>
      </c>
      <c r="BD495" s="51" t="n">
        <f aca="false">IF(LEFT(Cockpit!$O$5,1)="A",H495,IF(CH495=1,(CK495+CI495)/2,IF(LEFT(Cockpit!$O$5,1)="B",(CK495+BF495)/2,MAX((CK495+BF495)/2,H495))))</f>
        <v>5</v>
      </c>
      <c r="BE495" s="50" t="n">
        <f aca="false">BD495*G495</f>
        <v>25.45</v>
      </c>
      <c r="BF495" s="50" t="n">
        <f aca="false">ROUNDUP(CK495+MAX(CL495,2*(J495/IF(CG495&gt;0,CG495,MAX(0.1,N(Cockpit!$O$6)))-CK495)),0)</f>
        <v>10</v>
      </c>
      <c r="BG495" s="51" t="n">
        <f aca="false">IF(BC495&gt;0,J495/BC495,-1)</f>
        <v>4.0258064516129</v>
      </c>
      <c r="BH495" s="51" t="n">
        <f aca="false">IF(AND(OR(CF495="L1",CF495="L23",CF495="LIFT"),BC495&gt;0),SUMIFS($BC$7:$BC$1843,$CF$7:$CF$1843,CF495,$BG$7:$BG$1843,"&gt;"&amp;BG495)+SUMIFS($BC$7:$BC$1843,$CF$7:$CF$1843,CF495,$BG$7:$BG$1843,BG495,$BW$7:$BW$1843,"&lt;="&amp;BW495),"")</f>
        <v>4047.99725274725</v>
      </c>
      <c r="BI495" s="58" t="n">
        <f aca="false">IF(BH495="",0,MAX(0,MIN(1,(IF(CF495="L1",Parameter!$H$5,IF(CF495="L23",Parameter!$H$6+Parameter!$H$7,Parameter!$H$5+Parameter!$H$6+Parameter!$H$7))-(BH495-BC495))/BC495)))</f>
        <v>1</v>
      </c>
      <c r="BJ495" s="48" t="str">
        <f aca="false">IF(AI495&lt;=0,"",IF(CF495="Aussen","Aussenlager",IF(CF495="-","Nicht im Lift",IF(AO495&gt;=1,"Lift",IF(AO495&lt;=0,"Aussenlager","teilweise")))))</f>
        <v>Lift</v>
      </c>
      <c r="BK495" s="48" t="str">
        <f aca="false">IF(AS495&lt;=0,"",IF(CF495="Aussen","Aussenlager",IF(CF495="-","Nicht im Lift",IF(AY495&gt;=1,"Lift",IF(AY495&lt;=0,"Aussenlager","teilweise")))))</f>
        <v>Lift</v>
      </c>
      <c r="BL495" s="48" t="str">
        <f aca="false">IF(BC495&lt;=0,"",IF(CF495="Aussen","Aussenlager",IF(CF495="-","Nicht im Lift",IF(BI495&gt;=1,"Lift",IF(BI495&lt;=0,"Aussenlager","teilweise")))))</f>
        <v>Lift</v>
      </c>
      <c r="BM495" s="48" t="str">
        <f aca="false">IF(A495="","",IF(BV495=1,"Neu; ","")&amp;IF(AND(BV495=0,BQ495&lt;0),"negativer Bestand (Export "&amp;BQ495&amp;"); ","")&amp;IF(J495&lt;=0,"Kein Verbrauch; ","")&amp;IF(CQ495&gt;0,"Lift "&amp;W495&amp;" lt. Liftbericht (Fach "&amp;X495&amp;" Stk); ",IF(CA495=1,"Gebinde geschätzt ("&amp;T495&amp;"); ",IF(BZ495=1,"Lose – Tablare geschätzt; ","")))&amp;IF(H495&gt;AV495,"Überbestand "&amp;ROUND(H495-AV495,0)&amp;" Stk / CHF "&amp;ROUND((H495-AV495)*G495,0)&amp;"; ","")&amp;IF(AND(CH495=1,CI495&lt;CJ495),"MAX &lt; MB+LG; ","")&amp;IF(AND(CP495&gt;0,CO495*10&gt;CP495),"zu hoch für Tablar; ","")&amp;IF(AND(BV495=0,OR(CH495=1,AA495&lt;&gt;"",U495&lt;&gt;"",V495&lt;&gt;"",AB495&lt;&gt;"")),"manuell übersteuert; ","")&amp;IF(AND(BZ495=0,R495=0),"Gebinde unbekannt / Stellmass fehlt; ","")&amp;IF(AND(BZ495=0,N(V495)&lt;=0,N(Q495)&lt;=0),"Menge pro Gebinde fehlt (Ist = 1 Gebinde); ","")&amp;BU495)</f>
        <v>Überbestand 1 Stk / CHF 5; </v>
      </c>
      <c r="BN495" s="48"/>
      <c r="BO495" s="48"/>
      <c r="BP495" s="55"/>
      <c r="BQ495" s="50" t="n">
        <v>8</v>
      </c>
      <c r="BR495" s="50" t="n">
        <v>3</v>
      </c>
      <c r="BS495" s="49" t="n">
        <v>40.18</v>
      </c>
      <c r="BT495" s="50" t="n">
        <v>6</v>
      </c>
      <c r="BU495" s="48"/>
      <c r="BV495" s="53" t="n">
        <v>0</v>
      </c>
      <c r="BW495" s="53" t="n">
        <v>495</v>
      </c>
      <c r="BX495" s="48" t="str">
        <f aca="false">IF(U495&lt;&gt;"",UPPER(TRIM(U495)),IF(CA495=1,UPPER(VLOOKUP(T495,Parameter!$I$27:$K$29,2,0)),IF(P495="","LOSE",P495)))</f>
        <v>S32</v>
      </c>
      <c r="BY495" s="50" t="n">
        <f aca="false">IF(BX495="LOSE",1,IF(N(V495)&gt;0,V495,IF(CA495=1,MAX(1,N(VLOOKUP(T495,Parameter!$I$27:$K$29,3,0)),H495,N(N495)),IF(N(Q495)&gt;0,Q495,MAX(1,H495)))))</f>
        <v>6</v>
      </c>
      <c r="BZ495" s="53" t="n">
        <f aca="false">IF(BX495="LOSE",1,0)</f>
        <v>0</v>
      </c>
      <c r="CA495" s="53" t="n">
        <f aca="false">IF(AND(U495="",OR(P495="",P495="LOSE"),T495&lt;&gt;"",N(S495)&lt;=0,ISNUMBER(MATCH(T495,Parameter!$I$27:$I$29,0))),1,0)</f>
        <v>0</v>
      </c>
      <c r="CB495" s="53" t="n">
        <f aca="false">IF(CQ495&gt;0,INDEX(Parameter!$H$5:$H$7,W495)/INDEX(Parameter!$E$5:$E$7,W495),IF(AND(BZ495=0,N(IFERROR(VLOOKUP(BX495,'Gebinde-Kategorie'!$A$5:$N$45,14,0),0))&gt;0),VLOOKUP(BX495,'Gebinde-Kategorie'!$A$5:$N$45,14,0)*10+Parameter!$M$23,Parameter!$M$24))</f>
        <v>155</v>
      </c>
      <c r="CC495" s="48" t="str">
        <f aca="false">IF(AND(Parameter!$B$19="Ja",E495&lt;&gt;"",ISNUMBER(MATCH(E495,Parameter!$I$35:$I$52,0))),VLOOKUP(E495,Parameter!$I$35:$J$52,2,0),IFERROR(VLOOKUP(D495,Parameter!$A$35:$C$64,2,0),"Nein"))</f>
        <v>2+3</v>
      </c>
      <c r="CD495" s="52" t="n">
        <f aca="false">IF(BZ495=0,0,IF(N(S495)&gt;0,S495,IFERROR(VLOOKUP(D495,Parameter!$A$35:$C$64,3,0)+0,0)))</f>
        <v>0</v>
      </c>
      <c r="CE495" s="48" t="n">
        <f aca="false">IF(AA495&lt;&gt;"",AA495,Z495)</f>
        <v>3</v>
      </c>
      <c r="CF495" s="48" t="str">
        <f aca="false">IF(OR(CE495=1,CE495=2,CE495=3),IF(Parameter!$E$27="Ja","LIFT",IF(CE495=1,"L1","L23")),IF(CE495="Aussen","Aussen","-"))</f>
        <v>LIFT</v>
      </c>
      <c r="CG495" s="59" t="n">
        <f aca="false">IF(N(AB495)&gt;0,AB495,0)</f>
        <v>0</v>
      </c>
      <c r="CH495" s="53" t="n">
        <f aca="false">IF(ISNUMBER(AE495),1,0)</f>
        <v>0</v>
      </c>
      <c r="CI495" s="50" t="n">
        <f aca="false">N(AE495)</f>
        <v>0</v>
      </c>
      <c r="CJ495" s="50" t="n">
        <f aca="false">N(M495)+N(N495)</f>
        <v>10</v>
      </c>
      <c r="CK495" s="50" t="n">
        <f aca="false">N(M495)</f>
        <v>0</v>
      </c>
      <c r="CL495" s="50" t="n">
        <f aca="false">N(N495)</f>
        <v>10</v>
      </c>
      <c r="CM495" s="50" t="n">
        <f aca="false">ROUNDUP(H495/BY495,0)</f>
        <v>2</v>
      </c>
      <c r="CN495" s="50" t="n">
        <f aca="false">ROUNDUP(CI495/BY495,0)</f>
        <v>0</v>
      </c>
      <c r="CO495" s="53" t="n">
        <f aca="false">IF(BZ495=1,0,IFERROR(VLOOKUP(BX495,'Gebinde-Kategorie'!$A$5:$N$45,5,0)+0,0))</f>
        <v>8</v>
      </c>
      <c r="CP495" s="53" t="n">
        <f aca="false">IFERROR(IF(OR(CE495=1,CE495=2,CE495=3),N(INDEX(Parameter!$I$5:$I$7,CE495)),0),0)</f>
        <v>0</v>
      </c>
      <c r="CQ495" s="52" t="n">
        <f aca="false">IF(AND(Parameter!$B$21="Ja",ISNUMBER(W495),N(X495)&gt;0),IFERROR(N(INDEX(Parameter!$L$5:$L$7,W495))*INDEX(Parameter!$E$5:$E$7,W495)*X495/SUMIFS($X$7:$X$1843,$W$7:$W$1843,W495),0),0)</f>
        <v>0</v>
      </c>
    </row>
    <row r="496" customFormat="false" ht="15" hidden="false" customHeight="false" outlineLevel="0" collapsed="false">
      <c r="A496" s="48" t="s">
        <v>1102</v>
      </c>
      <c r="B496" s="48" t="s">
        <v>514</v>
      </c>
      <c r="C496" s="48" t="s">
        <v>173</v>
      </c>
      <c r="D496" s="48" t="s">
        <v>193</v>
      </c>
      <c r="E496" s="48" t="s">
        <v>194</v>
      </c>
      <c r="F496" s="48" t="s">
        <v>227</v>
      </c>
      <c r="G496" s="49" t="n">
        <v>32.17</v>
      </c>
      <c r="H496" s="50" t="n">
        <f aca="false">MAX(0,IF(AND(Parameter!$B$21="Ja",ISNUMBER(Y496)),Y496,IF(Parameter!$B$20="Jahresanfang 2025 + Export",BR496+BQ496,BQ496)))</f>
        <v>4</v>
      </c>
      <c r="I496" s="50" t="n">
        <f aca="false">H496*G496</f>
        <v>128.68</v>
      </c>
      <c r="J496" s="50" t="n">
        <f aca="false">BT496*Parameter!$B$18</f>
        <v>8</v>
      </c>
      <c r="K496" s="51" t="n">
        <v>5.5</v>
      </c>
      <c r="L496" s="52" t="n">
        <v>1.45454545454546</v>
      </c>
      <c r="M496" s="50" t="n">
        <v>0</v>
      </c>
      <c r="N496" s="50" t="n">
        <v>10</v>
      </c>
      <c r="O496" s="53" t="n">
        <v>28</v>
      </c>
      <c r="P496" s="48" t="s">
        <v>337</v>
      </c>
      <c r="Q496" s="50" t="n">
        <v>14</v>
      </c>
      <c r="R496" s="53" t="n">
        <f aca="false">IF(BZ496=1,0,IFERROR(VLOOKUP(BX496,'Gebinde-Kategorie'!$A$5:$N$45,13,0)+0,0))</f>
        <v>52</v>
      </c>
      <c r="S496" s="54"/>
      <c r="T496" s="55"/>
      <c r="U496" s="55"/>
      <c r="V496" s="55"/>
      <c r="W496" s="48"/>
      <c r="X496" s="50"/>
      <c r="Y496" s="50"/>
      <c r="Z496" s="48" t="n">
        <f aca="false">IF(A496="","",IF(AND(Parameter!$B$21="Ja",ISNUMBER(W496)),W496,IF(CC496="2+3",IF(ISNUMBER(SEARCH("grosser Artikel",BU496)),2,IFERROR(VLOOKUP(BX496,Parameter!$F$35:$G$64,2,0),2)),IF(OR(CC496="Nein",CC496=""),"-",CC496))))</f>
        <v>3</v>
      </c>
      <c r="AA496" s="55"/>
      <c r="AB496" s="56"/>
      <c r="AC496" s="50" t="n">
        <f aca="false">AV496</f>
        <v>10</v>
      </c>
      <c r="AD496" s="50" t="n">
        <f aca="false">MAX(AV496,H496)</f>
        <v>10</v>
      </c>
      <c r="AE496" s="57"/>
      <c r="AF496" s="50" t="n">
        <f aca="false">IF(LEFT(Cockpit!$C$5,1)="A",H496,IF(Parameter!$E$30="MAX-Bestand",IF(CH496=1,CI496,IF(LEFT(Cockpit!$C$5,1)="B",AL496,MAX(AL496,H496))),ROUNDUP(AJ496,0)))</f>
        <v>4</v>
      </c>
      <c r="AG496" s="50" t="n">
        <f aca="false">IF(BZ496=1,0,ROUNDUP(AF496/BY496,0))</f>
        <v>1</v>
      </c>
      <c r="AH496" s="52" t="n">
        <f aca="false">IF(CQ496&gt;0,CQ496*MAX(1,AF496/X496),IF(BZ496=1,IF(AF496&lt;=0,0,CD496*MAX(1,IF(H496&gt;0,AF496/H496,1))),IF(R496&gt;0,AG496/R496,0))/MAX(0.1,N(Parameter!$M$21)))</f>
        <v>0.0192307692307692</v>
      </c>
      <c r="AI496" s="50" t="n">
        <f aca="false">AH496*CB496</f>
        <v>2.98076923076923</v>
      </c>
      <c r="AJ496" s="51" t="n">
        <f aca="false">IF(LEFT(Cockpit!$C$5,1)="A",H496,IF(CH496=1,(CK496+CI496)/2,IF(LEFT(Cockpit!$C$5,1)="B",(CK496+AL496)/2,MAX((CK496+AL496)/2,H496))))</f>
        <v>4</v>
      </c>
      <c r="AK496" s="50" t="n">
        <f aca="false">AJ496*G496</f>
        <v>128.68</v>
      </c>
      <c r="AL496" s="50" t="n">
        <f aca="false">ROUNDUP(CK496+MAX(CL496,2*(J496/IF(CG496&gt;0,CG496,MAX(0.1,N(Cockpit!$C$6)))-CK496)),0)</f>
        <v>10</v>
      </c>
      <c r="AM496" s="51" t="n">
        <f aca="false">IF(AI496&gt;0,J496/AI496,-1)</f>
        <v>2.68387096774194</v>
      </c>
      <c r="AN496" s="51" t="n">
        <f aca="false">IF(AND(OR(CF496="L1",CF496="L23",CF496="LIFT"),AI496&gt;0),SUMIFS($AI$7:$AI$1843,$CF$7:$CF$1843,CF496,$AM$7:$AM$1843,"&gt;"&amp;AM496)+SUMIFS($AI$7:$AI$1843,$CF$7:$CF$1843,CF496,$AM$7:$AM$1843,AM496,$BW$7:$BW$1843,"&lt;="&amp;BW496),"")</f>
        <v>5321.96749084249</v>
      </c>
      <c r="AO496" s="58" t="n">
        <f aca="false">IF(AN496="",0,MAX(0,MIN(1,(IF(CF496="L1",Parameter!$H$5,IF(CF496="L23",Parameter!$H$6+Parameter!$H$7,Parameter!$H$5+Parameter!$H$6+Parameter!$H$7))-(AN496-AI496))/AI496)))</f>
        <v>1</v>
      </c>
      <c r="AP496" s="50" t="n">
        <f aca="false">IF(LEFT(Cockpit!$I$5,1)="A",H496,IF(Parameter!$E$30="MAX-Bestand",IF(CH496=1,CI496,IF(LEFT(Cockpit!$I$5,1)="B",AV496,MAX(AV496,H496))),ROUNDUP(AT496,0)))</f>
        <v>5</v>
      </c>
      <c r="AQ496" s="50" t="n">
        <f aca="false">IF(BZ496=1,0,ROUNDUP(AP496/BY496,0))</f>
        <v>1</v>
      </c>
      <c r="AR496" s="52" t="n">
        <f aca="false">IF(CQ496&gt;0,CQ496*MAX(1,AP496/X496),IF(BZ496=1,IF(AP496&lt;=0,0,CD496*MAX(1,IF(H496&gt;0,AP496/H496,1))),IF(R496&gt;0,AQ496/R496,0))/MAX(0.1,N(Parameter!$M$21)))</f>
        <v>0.0192307692307692</v>
      </c>
      <c r="AS496" s="50" t="n">
        <f aca="false">AR496*CB496</f>
        <v>2.98076923076923</v>
      </c>
      <c r="AT496" s="51" t="n">
        <f aca="false">IF(LEFT(Cockpit!$I$5,1)="A",H496,IF(CH496=1,(CK496+CI496)/2,IF(LEFT(Cockpit!$I$5,1)="B",(CK496+AV496)/2,MAX((CK496+AV496)/2,H496))))</f>
        <v>5</v>
      </c>
      <c r="AU496" s="50" t="n">
        <f aca="false">AT496*G496</f>
        <v>160.85</v>
      </c>
      <c r="AV496" s="50" t="n">
        <f aca="false">ROUNDUP(CK496+MAX(CL496,2*(J496/IF(CG496&gt;0,CG496,MAX(0.1,N(Cockpit!$I$6)))-CK496)),0)</f>
        <v>10</v>
      </c>
      <c r="AW496" s="51" t="n">
        <f aca="false">IF(AS496&gt;0,J496/AS496,-1)</f>
        <v>2.68387096774194</v>
      </c>
      <c r="AX496" s="51" t="n">
        <f aca="false">IF(AND(OR(CF496="L1",CF496="L23",CF496="LIFT"),AS496&gt;0),SUMIFS($AS$7:$AS$1843,$CF$7:$CF$1843,CF496,$AW$7:$AW$1843,"&gt;"&amp;AW496)+SUMIFS($AS$7:$AS$1843,$CF$7:$CF$1843,CF496,$AW$7:$AW$1843,AW496,$BW$7:$BW$1843,"&lt;="&amp;BW496),"")</f>
        <v>6156.44551282051</v>
      </c>
      <c r="AY496" s="58" t="n">
        <f aca="false">IF(AX496="",0,MAX(0,MIN(1,(IF(CF496="L1",Parameter!$H$5,IF(CF496="L23",Parameter!$H$6+Parameter!$H$7,Parameter!$H$5+Parameter!$H$6+Parameter!$H$7))-(AX496-AS496))/AS496)))</f>
        <v>1</v>
      </c>
      <c r="AZ496" s="50" t="n">
        <f aca="false">IF(LEFT(Cockpit!$O$5,1)="A",H496,IF(Parameter!$E$30="MAX-Bestand",IF(CH496=1,CI496,IF(LEFT(Cockpit!$O$5,1)="B",BF496,MAX(BF496,H496))),ROUNDUP(BD496,0)))</f>
        <v>5</v>
      </c>
      <c r="BA496" s="50" t="n">
        <f aca="false">IF(BZ496=1,0,ROUNDUP(AZ496/BY496,0))</f>
        <v>1</v>
      </c>
      <c r="BB496" s="52" t="n">
        <f aca="false">IF(CQ496&gt;0,CQ496*MAX(1,AZ496/X496),IF(BZ496=1,IF(AZ496&lt;=0,0,CD496*MAX(1,IF(H496&gt;0,AZ496/H496,1))),IF(R496&gt;0,BA496/R496,0))/MAX(0.1,N(Parameter!$M$21)))</f>
        <v>0.0192307692307692</v>
      </c>
      <c r="BC496" s="50" t="n">
        <f aca="false">BB496*CB496</f>
        <v>2.98076923076923</v>
      </c>
      <c r="BD496" s="51" t="n">
        <f aca="false">IF(LEFT(Cockpit!$O$5,1)="A",H496,IF(CH496=1,(CK496+CI496)/2,IF(LEFT(Cockpit!$O$5,1)="B",(CK496+BF496)/2,MAX((CK496+BF496)/2,H496))))</f>
        <v>5</v>
      </c>
      <c r="BE496" s="50" t="n">
        <f aca="false">BD496*G496</f>
        <v>160.85</v>
      </c>
      <c r="BF496" s="50" t="n">
        <f aca="false">ROUNDUP(CK496+MAX(CL496,2*(J496/IF(CG496&gt;0,CG496,MAX(0.1,N(Cockpit!$O$6)))-CK496)),0)</f>
        <v>10</v>
      </c>
      <c r="BG496" s="51" t="n">
        <f aca="false">IF(BC496&gt;0,J496/BC496,-1)</f>
        <v>2.68387096774194</v>
      </c>
      <c r="BH496" s="51" t="n">
        <f aca="false">IF(AND(OR(CF496="L1",CF496="L23",CF496="LIFT"),BC496&gt;0),SUMIFS($BC$7:$BC$1843,$CF$7:$CF$1843,CF496,$BG$7:$BG$1843,"&gt;"&amp;BG496)+SUMIFS($BC$7:$BC$1843,$CF$7:$CF$1843,CF496,$BG$7:$BG$1843,BG496,$BW$7:$BW$1843,"&lt;="&amp;BW496),"")</f>
        <v>5334.5</v>
      </c>
      <c r="BI496" s="58" t="n">
        <f aca="false">IF(BH496="",0,MAX(0,MIN(1,(IF(CF496="L1",Parameter!$H$5,IF(CF496="L23",Parameter!$H$6+Parameter!$H$7,Parameter!$H$5+Parameter!$H$6+Parameter!$H$7))-(BH496-BC496))/BC496)))</f>
        <v>1</v>
      </c>
      <c r="BJ496" s="48" t="str">
        <f aca="false">IF(AI496&lt;=0,"",IF(CF496="Aussen","Aussenlager",IF(CF496="-","Nicht im Lift",IF(AO496&gt;=1,"Lift",IF(AO496&lt;=0,"Aussenlager","teilweise")))))</f>
        <v>Lift</v>
      </c>
      <c r="BK496" s="48" t="str">
        <f aca="false">IF(AS496&lt;=0,"",IF(CF496="Aussen","Aussenlager",IF(CF496="-","Nicht im Lift",IF(AY496&gt;=1,"Lift",IF(AY496&lt;=0,"Aussenlager","teilweise")))))</f>
        <v>Lift</v>
      </c>
      <c r="BL496" s="48" t="str">
        <f aca="false">IF(BC496&lt;=0,"",IF(CF496="Aussen","Aussenlager",IF(CF496="-","Nicht im Lift",IF(BI496&gt;=1,"Lift",IF(BI496&lt;=0,"Aussenlager","teilweise")))))</f>
        <v>Lift</v>
      </c>
      <c r="BM496" s="48" t="str">
        <f aca="false">IF(A496="","",IF(BV496=1,"Neu; ","")&amp;IF(AND(BV496=0,BQ496&lt;0),"negativer Bestand (Export "&amp;BQ496&amp;"); ","")&amp;IF(J496&lt;=0,"Kein Verbrauch; ","")&amp;IF(CQ496&gt;0,"Lift "&amp;W496&amp;" lt. Liftbericht (Fach "&amp;X496&amp;" Stk); ",IF(CA496=1,"Gebinde geschätzt ("&amp;T496&amp;"); ",IF(BZ496=1,"Lose – Tablare geschätzt; ","")))&amp;IF(H496&gt;AV496,"Überbestand "&amp;ROUND(H496-AV496,0)&amp;" Stk / CHF "&amp;ROUND((H496-AV496)*G496,0)&amp;"; ","")&amp;IF(AND(CH496=1,CI496&lt;CJ496),"MAX &lt; MB+LG; ","")&amp;IF(AND(CP496&gt;0,CO496*10&gt;CP496),"zu hoch für Tablar; ","")&amp;IF(AND(BV496=0,OR(CH496=1,AA496&lt;&gt;"",U496&lt;&gt;"",V496&lt;&gt;"",AB496&lt;&gt;"")),"manuell übersteuert; ","")&amp;IF(AND(BZ496=0,R496=0),"Gebinde unbekannt / Stellmass fehlt; ","")&amp;IF(AND(BZ496=0,N(V496)&lt;=0,N(Q496)&lt;=0),"Menge pro Gebinde fehlt (Ist = 1 Gebinde); ","")&amp;BU496)</f>
        <v>negativer Bestand (Export -1); </v>
      </c>
      <c r="BN496" s="48"/>
      <c r="BO496" s="48"/>
      <c r="BP496" s="55"/>
      <c r="BQ496" s="50" t="n">
        <v>-1</v>
      </c>
      <c r="BR496" s="50" t="n">
        <v>5</v>
      </c>
      <c r="BS496" s="49" t="n">
        <v>39.68</v>
      </c>
      <c r="BT496" s="50" t="n">
        <v>8</v>
      </c>
      <c r="BU496" s="48"/>
      <c r="BV496" s="53" t="n">
        <v>0</v>
      </c>
      <c r="BW496" s="53" t="n">
        <v>496</v>
      </c>
      <c r="BX496" s="48" t="str">
        <f aca="false">IF(U496&lt;&gt;"",UPPER(TRIM(U496)),IF(CA496=1,UPPER(VLOOKUP(T496,Parameter!$I$27:$K$29,2,0)),IF(P496="","LOSE",P496)))</f>
        <v>S41</v>
      </c>
      <c r="BY496" s="50" t="n">
        <f aca="false">IF(BX496="LOSE",1,IF(N(V496)&gt;0,V496,IF(CA496=1,MAX(1,N(VLOOKUP(T496,Parameter!$I$27:$K$29,3,0)),H496,N(N496)),IF(N(Q496)&gt;0,Q496,MAX(1,H496)))))</f>
        <v>14</v>
      </c>
      <c r="BZ496" s="53" t="n">
        <f aca="false">IF(BX496="LOSE",1,0)</f>
        <v>0</v>
      </c>
      <c r="CA496" s="53" t="n">
        <f aca="false">IF(AND(U496="",OR(P496="",P496="LOSE"),T496&lt;&gt;"",N(S496)&lt;=0,ISNUMBER(MATCH(T496,Parameter!$I$27:$I$29,0))),1,0)</f>
        <v>0</v>
      </c>
      <c r="CB496" s="53" t="n">
        <f aca="false">IF(CQ496&gt;0,INDEX(Parameter!$H$5:$H$7,W496)/INDEX(Parameter!$E$5:$E$7,W496),IF(AND(BZ496=0,N(IFERROR(VLOOKUP(BX496,'Gebinde-Kategorie'!$A$5:$N$45,14,0),0))&gt;0),VLOOKUP(BX496,'Gebinde-Kategorie'!$A$5:$N$45,14,0)*10+Parameter!$M$23,Parameter!$M$24))</f>
        <v>155</v>
      </c>
      <c r="CC496" s="48" t="str">
        <f aca="false">IF(AND(Parameter!$B$19="Ja",E496&lt;&gt;"",ISNUMBER(MATCH(E496,Parameter!$I$35:$I$52,0))),VLOOKUP(E496,Parameter!$I$35:$J$52,2,0),IFERROR(VLOOKUP(D496,Parameter!$A$35:$C$64,2,0),"Nein"))</f>
        <v>2+3</v>
      </c>
      <c r="CD496" s="52" t="n">
        <f aca="false">IF(BZ496=0,0,IF(N(S496)&gt;0,S496,IFERROR(VLOOKUP(D496,Parameter!$A$35:$C$64,3,0)+0,0)))</f>
        <v>0</v>
      </c>
      <c r="CE496" s="48" t="n">
        <f aca="false">IF(AA496&lt;&gt;"",AA496,Z496)</f>
        <v>3</v>
      </c>
      <c r="CF496" s="48" t="str">
        <f aca="false">IF(OR(CE496=1,CE496=2,CE496=3),IF(Parameter!$E$27="Ja","LIFT",IF(CE496=1,"L1","L23")),IF(CE496="Aussen","Aussen","-"))</f>
        <v>LIFT</v>
      </c>
      <c r="CG496" s="59" t="n">
        <f aca="false">IF(N(AB496)&gt;0,AB496,0)</f>
        <v>0</v>
      </c>
      <c r="CH496" s="53" t="n">
        <f aca="false">IF(ISNUMBER(AE496),1,0)</f>
        <v>0</v>
      </c>
      <c r="CI496" s="50" t="n">
        <f aca="false">N(AE496)</f>
        <v>0</v>
      </c>
      <c r="CJ496" s="50" t="n">
        <f aca="false">N(M496)+N(N496)</f>
        <v>10</v>
      </c>
      <c r="CK496" s="50" t="n">
        <f aca="false">N(M496)</f>
        <v>0</v>
      </c>
      <c r="CL496" s="50" t="n">
        <f aca="false">N(N496)</f>
        <v>10</v>
      </c>
      <c r="CM496" s="50" t="n">
        <f aca="false">ROUNDUP(H496/BY496,0)</f>
        <v>1</v>
      </c>
      <c r="CN496" s="50" t="n">
        <f aca="false">ROUNDUP(CI496/BY496,0)</f>
        <v>0</v>
      </c>
      <c r="CO496" s="53" t="n">
        <f aca="false">IF(BZ496=1,0,IFERROR(VLOOKUP(BX496,'Gebinde-Kategorie'!$A$5:$N$45,5,0)+0,0))</f>
        <v>11</v>
      </c>
      <c r="CP496" s="53" t="n">
        <f aca="false">IFERROR(IF(OR(CE496=1,CE496=2,CE496=3),N(INDEX(Parameter!$I$5:$I$7,CE496)),0),0)</f>
        <v>0</v>
      </c>
      <c r="CQ496" s="52" t="n">
        <f aca="false">IF(AND(Parameter!$B$21="Ja",ISNUMBER(W496),N(X496)&gt;0),IFERROR(N(INDEX(Parameter!$L$5:$L$7,W496))*INDEX(Parameter!$E$5:$E$7,W496)*X496/SUMIFS($X$7:$X$1843,$W$7:$W$1843,W496),0),0)</f>
        <v>0</v>
      </c>
    </row>
    <row r="497" customFormat="false" ht="15" hidden="false" customHeight="false" outlineLevel="0" collapsed="false">
      <c r="A497" s="48" t="s">
        <v>1103</v>
      </c>
      <c r="B497" s="48" t="s">
        <v>1104</v>
      </c>
      <c r="C497" s="48" t="s">
        <v>173</v>
      </c>
      <c r="D497" s="48" t="s">
        <v>193</v>
      </c>
      <c r="E497" s="48"/>
      <c r="F497" s="48" t="s">
        <v>227</v>
      </c>
      <c r="G497" s="49" t="n">
        <v>7.55</v>
      </c>
      <c r="H497" s="50" t="n">
        <f aca="false">MAX(0,IF(AND(Parameter!$B$21="Ja",ISNUMBER(Y497)),Y497,IF(Parameter!$B$20="Jahresanfang 2025 + Export",BR497+BQ497,BQ497)))</f>
        <v>5</v>
      </c>
      <c r="I497" s="50" t="n">
        <f aca="false">H497*G497</f>
        <v>37.75</v>
      </c>
      <c r="J497" s="50" t="n">
        <f aca="false">BT497*Parameter!$B$18</f>
        <v>2</v>
      </c>
      <c r="K497" s="51" t="n">
        <v>1.5</v>
      </c>
      <c r="L497" s="52" t="n">
        <v>1.33333333333333</v>
      </c>
      <c r="M497" s="50" t="n">
        <v>0</v>
      </c>
      <c r="N497" s="50" t="n">
        <v>1</v>
      </c>
      <c r="O497" s="53" t="n">
        <v>14</v>
      </c>
      <c r="P497" s="48" t="s">
        <v>410</v>
      </c>
      <c r="Q497" s="50" t="n">
        <v>5</v>
      </c>
      <c r="R497" s="53" t="n">
        <f aca="false">IF(BZ497=1,0,IFERROR(VLOOKUP(BX497,'Gebinde-Kategorie'!$A$5:$N$45,13,0)+0,0))</f>
        <v>280</v>
      </c>
      <c r="S497" s="54"/>
      <c r="T497" s="55"/>
      <c r="U497" s="55"/>
      <c r="V497" s="55"/>
      <c r="W497" s="48"/>
      <c r="X497" s="50"/>
      <c r="Y497" s="50"/>
      <c r="Z497" s="48" t="n">
        <f aca="false">IF(A497="","",IF(AND(Parameter!$B$21="Ja",ISNUMBER(W497)),W497,IF(CC497="2+3",IF(ISNUMBER(SEARCH("grosser Artikel",BU497)),2,IFERROR(VLOOKUP(BX497,Parameter!$F$35:$G$64,2,0),2)),IF(OR(CC497="Nein",CC497=""),"-",CC497))))</f>
        <v>3</v>
      </c>
      <c r="AA497" s="55"/>
      <c r="AB497" s="56"/>
      <c r="AC497" s="50" t="n">
        <f aca="false">AV497</f>
        <v>2</v>
      </c>
      <c r="AD497" s="50" t="n">
        <f aca="false">MAX(AV497,H497)</f>
        <v>5</v>
      </c>
      <c r="AE497" s="57"/>
      <c r="AF497" s="50" t="n">
        <f aca="false">IF(LEFT(Cockpit!$C$5,1)="A",H497,IF(Parameter!$E$30="MAX-Bestand",IF(CH497=1,CI497,IF(LEFT(Cockpit!$C$5,1)="B",AL497,MAX(AL497,H497))),ROUNDUP(AJ497,0)))</f>
        <v>5</v>
      </c>
      <c r="AG497" s="50" t="n">
        <f aca="false">IF(BZ497=1,0,ROUNDUP(AF497/BY497,0))</f>
        <v>1</v>
      </c>
      <c r="AH497" s="52" t="n">
        <f aca="false">IF(CQ497&gt;0,CQ497*MAX(1,AF497/X497),IF(BZ497=1,IF(AF497&lt;=0,0,CD497*MAX(1,IF(H497&gt;0,AF497/H497,1))),IF(R497&gt;0,AG497/R497,0))/MAX(0.1,N(Parameter!$M$21)))</f>
        <v>0.00357142857142857</v>
      </c>
      <c r="AI497" s="50" t="n">
        <f aca="false">AH497*CB497</f>
        <v>0.553571428571429</v>
      </c>
      <c r="AJ497" s="51" t="n">
        <f aca="false">IF(LEFT(Cockpit!$C$5,1)="A",H497,IF(CH497=1,(CK497+CI497)/2,IF(LEFT(Cockpit!$C$5,1)="B",(CK497+AL497)/2,MAX((CK497+AL497)/2,H497))))</f>
        <v>5</v>
      </c>
      <c r="AK497" s="50" t="n">
        <f aca="false">AJ497*G497</f>
        <v>37.75</v>
      </c>
      <c r="AL497" s="50" t="n">
        <f aca="false">ROUNDUP(CK497+MAX(CL497,2*(J497/IF(CG497&gt;0,CG497,MAX(0.1,N(Cockpit!$C$6)))-CK497)),0)</f>
        <v>2</v>
      </c>
      <c r="AM497" s="51" t="n">
        <f aca="false">IF(AI497&gt;0,J497/AI497,-1)</f>
        <v>3.61290322580645</v>
      </c>
      <c r="AN497" s="51" t="n">
        <f aca="false">IF(AND(OR(CF497="L1",CF497="L23",CF497="LIFT"),AI497&gt;0),SUMIFS($AI$7:$AI$1843,$CF$7:$CF$1843,CF497,$AM$7:$AM$1843,"&gt;"&amp;AM497)+SUMIFS($AI$7:$AI$1843,$CF$7:$CF$1843,CF497,$AM$7:$AM$1843,AM497,$BW$7:$BW$1843,"&lt;="&amp;BW497),"")</f>
        <v>4825.10622710623</v>
      </c>
      <c r="AO497" s="58" t="n">
        <f aca="false">IF(AN497="",0,MAX(0,MIN(1,(IF(CF497="L1",Parameter!$H$5,IF(CF497="L23",Parameter!$H$6+Parameter!$H$7,Parameter!$H$5+Parameter!$H$6+Parameter!$H$7))-(AN497-AI497))/AI497)))</f>
        <v>1</v>
      </c>
      <c r="AP497" s="50" t="n">
        <f aca="false">IF(LEFT(Cockpit!$I$5,1)="A",H497,IF(Parameter!$E$30="MAX-Bestand",IF(CH497=1,CI497,IF(LEFT(Cockpit!$I$5,1)="B",AV497,MAX(AV497,H497))),ROUNDUP(AT497,0)))</f>
        <v>5</v>
      </c>
      <c r="AQ497" s="50" t="n">
        <f aca="false">IF(BZ497=1,0,ROUNDUP(AP497/BY497,0))</f>
        <v>1</v>
      </c>
      <c r="AR497" s="52" t="n">
        <f aca="false">IF(CQ497&gt;0,CQ497*MAX(1,AP497/X497),IF(BZ497=1,IF(AP497&lt;=0,0,CD497*MAX(1,IF(H497&gt;0,AP497/H497,1))),IF(R497&gt;0,AQ497/R497,0))/MAX(0.1,N(Parameter!$M$21)))</f>
        <v>0.00357142857142857</v>
      </c>
      <c r="AS497" s="50" t="n">
        <f aca="false">AR497*CB497</f>
        <v>0.553571428571429</v>
      </c>
      <c r="AT497" s="51" t="n">
        <f aca="false">IF(LEFT(Cockpit!$I$5,1)="A",H497,IF(CH497=1,(CK497+CI497)/2,IF(LEFT(Cockpit!$I$5,1)="B",(CK497+AV497)/2,MAX((CK497+AV497)/2,H497))))</f>
        <v>5</v>
      </c>
      <c r="AU497" s="50" t="n">
        <f aca="false">AT497*G497</f>
        <v>37.75</v>
      </c>
      <c r="AV497" s="50" t="n">
        <f aca="false">ROUNDUP(CK497+MAX(CL497,2*(J497/IF(CG497&gt;0,CG497,MAX(0.1,N(Cockpit!$I$6)))-CK497)),0)</f>
        <v>2</v>
      </c>
      <c r="AW497" s="51" t="n">
        <f aca="false">IF(AS497&gt;0,J497/AS497,-1)</f>
        <v>3.61290322580645</v>
      </c>
      <c r="AX497" s="51" t="n">
        <f aca="false">IF(AND(OR(CF497="L1",CF497="L23",CF497="LIFT"),AS497&gt;0),SUMIFS($AS$7:$AS$1843,$CF$7:$CF$1843,CF497,$AW$7:$AW$1843,"&gt;"&amp;AW497)+SUMIFS($AS$7:$AS$1843,$CF$7:$CF$1843,CF497,$AW$7:$AW$1843,AW497,$BW$7:$BW$1843,"&lt;="&amp;BW497),"")</f>
        <v>5402.69322344322</v>
      </c>
      <c r="AY497" s="58" t="n">
        <f aca="false">IF(AX497="",0,MAX(0,MIN(1,(IF(CF497="L1",Parameter!$H$5,IF(CF497="L23",Parameter!$H$6+Parameter!$H$7,Parameter!$H$5+Parameter!$H$6+Parameter!$H$7))-(AX497-AS497))/AS497)))</f>
        <v>1</v>
      </c>
      <c r="AZ497" s="50" t="n">
        <f aca="false">IF(LEFT(Cockpit!$O$5,1)="A",H497,IF(Parameter!$E$30="MAX-Bestand",IF(CH497=1,CI497,IF(LEFT(Cockpit!$O$5,1)="B",BF497,MAX(BF497,H497))),ROUNDUP(BD497,0)))</f>
        <v>1</v>
      </c>
      <c r="BA497" s="50" t="n">
        <f aca="false">IF(BZ497=1,0,ROUNDUP(AZ497/BY497,0))</f>
        <v>1</v>
      </c>
      <c r="BB497" s="52" t="n">
        <f aca="false">IF(CQ497&gt;0,CQ497*MAX(1,AZ497/X497),IF(BZ497=1,IF(AZ497&lt;=0,0,CD497*MAX(1,IF(H497&gt;0,AZ497/H497,1))),IF(R497&gt;0,BA497/R497,0))/MAX(0.1,N(Parameter!$M$21)))</f>
        <v>0.00357142857142857</v>
      </c>
      <c r="BC497" s="50" t="n">
        <f aca="false">BB497*CB497</f>
        <v>0.553571428571429</v>
      </c>
      <c r="BD497" s="51" t="n">
        <f aca="false">IF(LEFT(Cockpit!$O$5,1)="A",H497,IF(CH497=1,(CK497+CI497)/2,IF(LEFT(Cockpit!$O$5,1)="B",(CK497+BF497)/2,MAX((CK497+BF497)/2,H497))))</f>
        <v>0.5</v>
      </c>
      <c r="BE497" s="50" t="n">
        <f aca="false">BD497*G497</f>
        <v>3.775</v>
      </c>
      <c r="BF497" s="50" t="n">
        <f aca="false">ROUNDUP(CK497+MAX(CL497,2*(J497/IF(CG497&gt;0,CG497,MAX(0.1,N(Cockpit!$O$6)))-CK497)),0)</f>
        <v>1</v>
      </c>
      <c r="BG497" s="51" t="n">
        <f aca="false">IF(BC497&gt;0,J497/BC497,-1)</f>
        <v>3.61290322580645</v>
      </c>
      <c r="BH497" s="51" t="n">
        <f aca="false">IF(AND(OR(CF497="L1",CF497="L23",CF497="LIFT"),BC497&gt;0),SUMIFS($BC$7:$BC$1843,$CF$7:$CF$1843,CF497,$BG$7:$BG$1843,"&gt;"&amp;BG497)+SUMIFS($BC$7:$BC$1843,$CF$7:$CF$1843,CF497,$BG$7:$BG$1843,BG497,$BW$7:$BW$1843,"&lt;="&amp;BW497),"")</f>
        <v>4417.19001831502</v>
      </c>
      <c r="BI497" s="58" t="n">
        <f aca="false">IF(BH497="",0,MAX(0,MIN(1,(IF(CF497="L1",Parameter!$H$5,IF(CF497="L23",Parameter!$H$6+Parameter!$H$7,Parameter!$H$5+Parameter!$H$6+Parameter!$H$7))-(BH497-BC497))/BC497)))</f>
        <v>1</v>
      </c>
      <c r="BJ497" s="48" t="str">
        <f aca="false">IF(AI497&lt;=0,"",IF(CF497="Aussen","Aussenlager",IF(CF497="-","Nicht im Lift",IF(AO497&gt;=1,"Lift",IF(AO497&lt;=0,"Aussenlager","teilweise")))))</f>
        <v>Lift</v>
      </c>
      <c r="BK497" s="48" t="str">
        <f aca="false">IF(AS497&lt;=0,"",IF(CF497="Aussen","Aussenlager",IF(CF497="-","Nicht im Lift",IF(AY497&gt;=1,"Lift",IF(AY497&lt;=0,"Aussenlager","teilweise")))))</f>
        <v>Lift</v>
      </c>
      <c r="BL497" s="48" t="str">
        <f aca="false">IF(BC497&lt;=0,"",IF(CF497="Aussen","Aussenlager",IF(CF497="-","Nicht im Lift",IF(BI497&gt;=1,"Lift",IF(BI497&lt;=0,"Aussenlager","teilweise")))))</f>
        <v>Lift</v>
      </c>
      <c r="BM497" s="48" t="str">
        <f aca="false">IF(A497="","",IF(BV497=1,"Neu; ","")&amp;IF(AND(BV497=0,BQ497&lt;0),"negativer Bestand (Export "&amp;BQ497&amp;"); ","")&amp;IF(J497&lt;=0,"Kein Verbrauch; ","")&amp;IF(CQ497&gt;0,"Lift "&amp;W497&amp;" lt. Liftbericht (Fach "&amp;X497&amp;" Stk); ",IF(CA497=1,"Gebinde geschätzt ("&amp;T497&amp;"); ",IF(BZ497=1,"Lose – Tablare geschätzt; ","")))&amp;IF(H497&gt;AV497,"Überbestand "&amp;ROUND(H497-AV497,0)&amp;" Stk / CHF "&amp;ROUND((H497-AV497)*G497,0)&amp;"; ","")&amp;IF(AND(CH497=1,CI497&lt;CJ497),"MAX &lt; MB+LG; ","")&amp;IF(AND(CP497&gt;0,CO497*10&gt;CP497),"zu hoch für Tablar; ","")&amp;IF(AND(BV497=0,OR(CH497=1,AA497&lt;&gt;"",U497&lt;&gt;"",V497&lt;&gt;"",AB497&lt;&gt;"")),"manuell übersteuert; ","")&amp;IF(AND(BZ497=0,R497=0),"Gebinde unbekannt / Stellmass fehlt; ","")&amp;IF(AND(BZ497=0,N(V497)&lt;=0,N(Q497)&lt;=0),"Menge pro Gebinde fehlt (Ist = 1 Gebinde); ","")&amp;BU497)</f>
        <v>Überbestand 3 Stk / CHF 23; </v>
      </c>
      <c r="BN497" s="48"/>
      <c r="BO497" s="48"/>
      <c r="BP497" s="55"/>
      <c r="BQ497" s="50" t="n">
        <v>5</v>
      </c>
      <c r="BR497" s="50" t="n">
        <v>0</v>
      </c>
      <c r="BS497" s="49" t="n">
        <v>37.75</v>
      </c>
      <c r="BT497" s="50" t="n">
        <v>2</v>
      </c>
      <c r="BU497" s="48"/>
      <c r="BV497" s="53" t="n">
        <v>0</v>
      </c>
      <c r="BW497" s="53" t="n">
        <v>497</v>
      </c>
      <c r="BX497" s="48" t="str">
        <f aca="false">IF(U497&lt;&gt;"",UPPER(TRIM(U497)),IF(CA497=1,UPPER(VLOOKUP(T497,Parameter!$I$27:$K$29,2,0)),IF(P497="","LOSE",P497)))</f>
        <v>S21</v>
      </c>
      <c r="BY497" s="50" t="n">
        <f aca="false">IF(BX497="LOSE",1,IF(N(V497)&gt;0,V497,IF(CA497=1,MAX(1,N(VLOOKUP(T497,Parameter!$I$27:$K$29,3,0)),H497,N(N497)),IF(N(Q497)&gt;0,Q497,MAX(1,H497)))))</f>
        <v>5</v>
      </c>
      <c r="BZ497" s="53" t="n">
        <f aca="false">IF(BX497="LOSE",1,0)</f>
        <v>0</v>
      </c>
      <c r="CA497" s="53" t="n">
        <f aca="false">IF(AND(U497="",OR(P497="",P497="LOSE"),T497&lt;&gt;"",N(S497)&lt;=0,ISNUMBER(MATCH(T497,Parameter!$I$27:$I$29,0))),1,0)</f>
        <v>0</v>
      </c>
      <c r="CB497" s="53" t="n">
        <f aca="false">IF(CQ497&gt;0,INDEX(Parameter!$H$5:$H$7,W497)/INDEX(Parameter!$E$5:$E$7,W497),IF(AND(BZ497=0,N(IFERROR(VLOOKUP(BX497,'Gebinde-Kategorie'!$A$5:$N$45,14,0),0))&gt;0),VLOOKUP(BX497,'Gebinde-Kategorie'!$A$5:$N$45,14,0)*10+Parameter!$M$23,Parameter!$M$24))</f>
        <v>155</v>
      </c>
      <c r="CC497" s="48" t="str">
        <f aca="false">IF(AND(Parameter!$B$19="Ja",E497&lt;&gt;"",ISNUMBER(MATCH(E497,Parameter!$I$35:$I$52,0))),VLOOKUP(E497,Parameter!$I$35:$J$52,2,0),IFERROR(VLOOKUP(D497,Parameter!$A$35:$C$64,2,0),"Nein"))</f>
        <v>2+3</v>
      </c>
      <c r="CD497" s="52" t="n">
        <f aca="false">IF(BZ497=0,0,IF(N(S497)&gt;0,S497,IFERROR(VLOOKUP(D497,Parameter!$A$35:$C$64,3,0)+0,0)))</f>
        <v>0</v>
      </c>
      <c r="CE497" s="48" t="n">
        <f aca="false">IF(AA497&lt;&gt;"",AA497,Z497)</f>
        <v>3</v>
      </c>
      <c r="CF497" s="48" t="str">
        <f aca="false">IF(OR(CE497=1,CE497=2,CE497=3),IF(Parameter!$E$27="Ja","LIFT",IF(CE497=1,"L1","L23")),IF(CE497="Aussen","Aussen","-"))</f>
        <v>LIFT</v>
      </c>
      <c r="CG497" s="59" t="n">
        <f aca="false">IF(N(AB497)&gt;0,AB497,0)</f>
        <v>0</v>
      </c>
      <c r="CH497" s="53" t="n">
        <f aca="false">IF(ISNUMBER(AE497),1,0)</f>
        <v>0</v>
      </c>
      <c r="CI497" s="50" t="n">
        <f aca="false">N(AE497)</f>
        <v>0</v>
      </c>
      <c r="CJ497" s="50" t="n">
        <f aca="false">N(M497)+N(N497)</f>
        <v>1</v>
      </c>
      <c r="CK497" s="50" t="n">
        <f aca="false">N(M497)</f>
        <v>0</v>
      </c>
      <c r="CL497" s="50" t="n">
        <f aca="false">N(N497)</f>
        <v>1</v>
      </c>
      <c r="CM497" s="50" t="n">
        <f aca="false">ROUNDUP(H497/BY497,0)</f>
        <v>1</v>
      </c>
      <c r="CN497" s="50" t="n">
        <f aca="false">ROUNDUP(CI497/BY497,0)</f>
        <v>0</v>
      </c>
      <c r="CO497" s="53" t="n">
        <f aca="false">IF(BZ497=1,0,IFERROR(VLOOKUP(BX497,'Gebinde-Kategorie'!$A$5:$N$45,5,0)+0,0))</f>
        <v>8</v>
      </c>
      <c r="CP497" s="53" t="n">
        <f aca="false">IFERROR(IF(OR(CE497=1,CE497=2,CE497=3),N(INDEX(Parameter!$I$5:$I$7,CE497)),0),0)</f>
        <v>0</v>
      </c>
      <c r="CQ497" s="52" t="n">
        <f aca="false">IF(AND(Parameter!$B$21="Ja",ISNUMBER(W497),N(X497)&gt;0),IFERROR(N(INDEX(Parameter!$L$5:$L$7,W497))*INDEX(Parameter!$E$5:$E$7,W497)*X497/SUMIFS($X$7:$X$1843,$W$7:$W$1843,W497),0),0)</f>
        <v>0</v>
      </c>
    </row>
    <row r="498" customFormat="false" ht="15" hidden="false" customHeight="false" outlineLevel="0" collapsed="false">
      <c r="A498" s="48" t="s">
        <v>1105</v>
      </c>
      <c r="B498" s="48" t="s">
        <v>864</v>
      </c>
      <c r="C498" s="48" t="s">
        <v>173</v>
      </c>
      <c r="D498" s="48" t="s">
        <v>193</v>
      </c>
      <c r="E498" s="48" t="s">
        <v>194</v>
      </c>
      <c r="F498" s="48" t="s">
        <v>227</v>
      </c>
      <c r="G498" s="49" t="n">
        <v>0.05</v>
      </c>
      <c r="H498" s="50" t="n">
        <f aca="false">MAX(0,IF(AND(Parameter!$B$21="Ja",ISNUMBER(Y498)),Y498,IF(Parameter!$B$20="Jahresanfang 2025 + Export",BR498+BQ498,BQ498)))</f>
        <v>1092</v>
      </c>
      <c r="I498" s="50" t="n">
        <f aca="false">H498*G498</f>
        <v>54.6</v>
      </c>
      <c r="J498" s="50" t="n">
        <f aca="false">BT498*Parameter!$B$18</f>
        <v>2145</v>
      </c>
      <c r="K498" s="51" t="n">
        <v>714.5</v>
      </c>
      <c r="L498" s="52" t="n">
        <v>3.00209937018894</v>
      </c>
      <c r="M498" s="50" t="n">
        <v>400</v>
      </c>
      <c r="N498" s="50" t="n">
        <v>500</v>
      </c>
      <c r="O498" s="53" t="n">
        <v>14</v>
      </c>
      <c r="P498" s="48" t="s">
        <v>311</v>
      </c>
      <c r="Q498" s="50" t="n">
        <v>600</v>
      </c>
      <c r="R498" s="53" t="n">
        <f aca="false">IF(BZ498=1,0,IFERROR(VLOOKUP(BX498,'Gebinde-Kategorie'!$A$5:$N$45,13,0)+0,0))</f>
        <v>26</v>
      </c>
      <c r="S498" s="54"/>
      <c r="T498" s="55"/>
      <c r="U498" s="55"/>
      <c r="V498" s="55"/>
      <c r="W498" s="48"/>
      <c r="X498" s="50"/>
      <c r="Y498" s="50"/>
      <c r="Z498" s="48" t="n">
        <f aca="false">IF(A498="","",IF(AND(Parameter!$B$21="Ja",ISNUMBER(W498)),W498,IF(CC498="2+3",IF(ISNUMBER(SEARCH("grosser Artikel",BU498)),2,IFERROR(VLOOKUP(BX498,Parameter!$F$35:$G$64,2,0),2)),IF(OR(CC498="Nein",CC498=""),"-",CC498))))</f>
        <v>3</v>
      </c>
      <c r="AA498" s="55"/>
      <c r="AB498" s="56"/>
      <c r="AC498" s="50" t="n">
        <f aca="false">AV498</f>
        <v>1030</v>
      </c>
      <c r="AD498" s="50" t="n">
        <f aca="false">MAX(AV498,H498)</f>
        <v>1092</v>
      </c>
      <c r="AE498" s="57"/>
      <c r="AF498" s="50" t="n">
        <f aca="false">IF(LEFT(Cockpit!$C$5,1)="A",H498,IF(Parameter!$E$30="MAX-Bestand",IF(CH498=1,CI498,IF(LEFT(Cockpit!$C$5,1)="B",AL498,MAX(AL498,H498))),ROUNDUP(AJ498,0)))</f>
        <v>1092</v>
      </c>
      <c r="AG498" s="50" t="n">
        <f aca="false">IF(BZ498=1,0,ROUNDUP(AF498/BY498,0))</f>
        <v>2</v>
      </c>
      <c r="AH498" s="52" t="n">
        <f aca="false">IF(CQ498&gt;0,CQ498*MAX(1,AF498/X498),IF(BZ498=1,IF(AF498&lt;=0,0,CD498*MAX(1,IF(H498&gt;0,AF498/H498,1))),IF(R498&gt;0,AG498/R498,0))/MAX(0.1,N(Parameter!$M$21)))</f>
        <v>0.0769230769230769</v>
      </c>
      <c r="AI498" s="50" t="n">
        <f aca="false">AH498*CB498</f>
        <v>11.9230769230769</v>
      </c>
      <c r="AJ498" s="51" t="n">
        <f aca="false">IF(LEFT(Cockpit!$C$5,1)="A",H498,IF(CH498=1,(CK498+CI498)/2,IF(LEFT(Cockpit!$C$5,1)="B",(CK498+AL498)/2,MAX((CK498+AL498)/2,H498))))</f>
        <v>1092</v>
      </c>
      <c r="AK498" s="50" t="n">
        <f aca="false">AJ498*G498</f>
        <v>54.6</v>
      </c>
      <c r="AL498" s="50" t="n">
        <f aca="false">ROUNDUP(CK498+MAX(CL498,2*(J498/IF(CG498&gt;0,CG498,MAX(0.1,N(Cockpit!$C$6)))-CK498)),0)</f>
        <v>1030</v>
      </c>
      <c r="AM498" s="51" t="n">
        <f aca="false">IF(AI498&gt;0,J498/AI498,-1)</f>
        <v>179.903225806452</v>
      </c>
      <c r="AN498" s="51" t="n">
        <f aca="false">IF(AND(OR(CF498="L1",CF498="L23",CF498="LIFT"),AI498&gt;0),SUMIFS($AI$7:$AI$1843,$CF$7:$CF$1843,CF498,$AM$7:$AM$1843,"&gt;"&amp;AM498)+SUMIFS($AI$7:$AI$1843,$CF$7:$CF$1843,CF498,$AM$7:$AM$1843,AM498,$BW$7:$BW$1843,"&lt;="&amp;BW498),"")</f>
        <v>397.782051282051</v>
      </c>
      <c r="AO498" s="58" t="n">
        <f aca="false">IF(AN498="",0,MAX(0,MIN(1,(IF(CF498="L1",Parameter!$H$5,IF(CF498="L23",Parameter!$H$6+Parameter!$H$7,Parameter!$H$5+Parameter!$H$6+Parameter!$H$7))-(AN498-AI498))/AI498)))</f>
        <v>1</v>
      </c>
      <c r="AP498" s="50" t="n">
        <f aca="false">IF(LEFT(Cockpit!$I$5,1)="A",H498,IF(Parameter!$E$30="MAX-Bestand",IF(CH498=1,CI498,IF(LEFT(Cockpit!$I$5,1)="B",AV498,MAX(AV498,H498))),ROUNDUP(AT498,0)))</f>
        <v>1092</v>
      </c>
      <c r="AQ498" s="50" t="n">
        <f aca="false">IF(BZ498=1,0,ROUNDUP(AP498/BY498,0))</f>
        <v>2</v>
      </c>
      <c r="AR498" s="52" t="n">
        <f aca="false">IF(CQ498&gt;0,CQ498*MAX(1,AP498/X498),IF(BZ498=1,IF(AP498&lt;=0,0,CD498*MAX(1,IF(H498&gt;0,AP498/H498,1))),IF(R498&gt;0,AQ498/R498,0))/MAX(0.1,N(Parameter!$M$21)))</f>
        <v>0.0769230769230769</v>
      </c>
      <c r="AS498" s="50" t="n">
        <f aca="false">AR498*CB498</f>
        <v>11.9230769230769</v>
      </c>
      <c r="AT498" s="51" t="n">
        <f aca="false">IF(LEFT(Cockpit!$I$5,1)="A",H498,IF(CH498=1,(CK498+CI498)/2,IF(LEFT(Cockpit!$I$5,1)="B",(CK498+AV498)/2,MAX((CK498+AV498)/2,H498))))</f>
        <v>1092</v>
      </c>
      <c r="AU498" s="50" t="n">
        <f aca="false">AT498*G498</f>
        <v>54.6</v>
      </c>
      <c r="AV498" s="50" t="n">
        <f aca="false">ROUNDUP(CK498+MAX(CL498,2*(J498/IF(CG498&gt;0,CG498,MAX(0.1,N(Cockpit!$I$6)))-CK498)),0)</f>
        <v>1030</v>
      </c>
      <c r="AW498" s="51" t="n">
        <f aca="false">IF(AS498&gt;0,J498/AS498,-1)</f>
        <v>179.903225806452</v>
      </c>
      <c r="AX498" s="51" t="n">
        <f aca="false">IF(AND(OR(CF498="L1",CF498="L23",CF498="LIFT"),AS498&gt;0),SUMIFS($AS$7:$AS$1843,$CF$7:$CF$1843,CF498,$AW$7:$AW$1843,"&gt;"&amp;AW498)+SUMIFS($AS$7:$AS$1843,$CF$7:$CF$1843,CF498,$AW$7:$AW$1843,AW498,$BW$7:$BW$1843,"&lt;="&amp;BW498),"")</f>
        <v>515.418956043956</v>
      </c>
      <c r="AY498" s="58" t="n">
        <f aca="false">IF(AX498="",0,MAX(0,MIN(1,(IF(CF498="L1",Parameter!$H$5,IF(CF498="L23",Parameter!$H$6+Parameter!$H$7,Parameter!$H$5+Parameter!$H$6+Parameter!$H$7))-(AX498-AS498))/AS498)))</f>
        <v>1</v>
      </c>
      <c r="AZ498" s="50" t="n">
        <f aca="false">IF(LEFT(Cockpit!$O$5,1)="A",H498,IF(Parameter!$E$30="MAX-Bestand",IF(CH498=1,CI498,IF(LEFT(Cockpit!$O$5,1)="B",BF498,MAX(BF498,H498))),ROUNDUP(BD498,0)))</f>
        <v>650</v>
      </c>
      <c r="BA498" s="50" t="n">
        <f aca="false">IF(BZ498=1,0,ROUNDUP(AZ498/BY498,0))</f>
        <v>2</v>
      </c>
      <c r="BB498" s="52" t="n">
        <f aca="false">IF(CQ498&gt;0,CQ498*MAX(1,AZ498/X498),IF(BZ498=1,IF(AZ498&lt;=0,0,CD498*MAX(1,IF(H498&gt;0,AZ498/H498,1))),IF(R498&gt;0,BA498/R498,0))/MAX(0.1,N(Parameter!$M$21)))</f>
        <v>0.0769230769230769</v>
      </c>
      <c r="BC498" s="50" t="n">
        <f aca="false">BB498*CB498</f>
        <v>11.9230769230769</v>
      </c>
      <c r="BD498" s="51" t="n">
        <f aca="false">IF(LEFT(Cockpit!$O$5,1)="A",H498,IF(CH498=1,(CK498+CI498)/2,IF(LEFT(Cockpit!$O$5,1)="B",(CK498+BF498)/2,MAX((CK498+BF498)/2,H498))))</f>
        <v>650</v>
      </c>
      <c r="BE498" s="50" t="n">
        <f aca="false">BD498*G498</f>
        <v>32.5</v>
      </c>
      <c r="BF498" s="50" t="n">
        <f aca="false">ROUNDUP(CK498+MAX(CL498,2*(J498/IF(CG498&gt;0,CG498,MAX(0.1,N(Cockpit!$O$6)))-CK498)),0)</f>
        <v>900</v>
      </c>
      <c r="BG498" s="51" t="n">
        <f aca="false">IF(BC498&gt;0,J498/BC498,-1)</f>
        <v>179.903225806452</v>
      </c>
      <c r="BH498" s="51" t="n">
        <f aca="false">IF(AND(OR(CF498="L1",CF498="L23",CF498="LIFT"),BC498&gt;0),SUMIFS($BC$7:$BC$1843,$CF$7:$CF$1843,CF498,$BG$7:$BG$1843,"&gt;"&amp;BG498)+SUMIFS($BC$7:$BC$1843,$CF$7:$CF$1843,CF498,$BG$7:$BG$1843,BG498,$BW$7:$BW$1843,"&lt;="&amp;BW498),"")</f>
        <v>508.108516483517</v>
      </c>
      <c r="BI498" s="58" t="n">
        <f aca="false">IF(BH498="",0,MAX(0,MIN(1,(IF(CF498="L1",Parameter!$H$5,IF(CF498="L23",Parameter!$H$6+Parameter!$H$7,Parameter!$H$5+Parameter!$H$6+Parameter!$H$7))-(BH498-BC498))/BC498)))</f>
        <v>1</v>
      </c>
      <c r="BJ498" s="48" t="str">
        <f aca="false">IF(AI498&lt;=0,"",IF(CF498="Aussen","Aussenlager",IF(CF498="-","Nicht im Lift",IF(AO498&gt;=1,"Lift",IF(AO498&lt;=0,"Aussenlager","teilweise")))))</f>
        <v>Lift</v>
      </c>
      <c r="BK498" s="48" t="str">
        <f aca="false">IF(AS498&lt;=0,"",IF(CF498="Aussen","Aussenlager",IF(CF498="-","Nicht im Lift",IF(AY498&gt;=1,"Lift",IF(AY498&lt;=0,"Aussenlager","teilweise")))))</f>
        <v>Lift</v>
      </c>
      <c r="BL498" s="48" t="str">
        <f aca="false">IF(BC498&lt;=0,"",IF(CF498="Aussen","Aussenlager",IF(CF498="-","Nicht im Lift",IF(BI498&gt;=1,"Lift",IF(BI498&lt;=0,"Aussenlager","teilweise")))))</f>
        <v>Lift</v>
      </c>
      <c r="BM498" s="48" t="str">
        <f aca="false">IF(A498="","",IF(BV498=1,"Neu; ","")&amp;IF(AND(BV498=0,BQ498&lt;0),"negativer Bestand (Export "&amp;BQ498&amp;"); ","")&amp;IF(J498&lt;=0,"Kein Verbrauch; ","")&amp;IF(CQ498&gt;0,"Lift "&amp;W498&amp;" lt. Liftbericht (Fach "&amp;X498&amp;" Stk); ",IF(CA498=1,"Gebinde geschätzt ("&amp;T498&amp;"); ",IF(BZ498=1,"Lose – Tablare geschätzt; ","")))&amp;IF(H498&gt;AV498,"Überbestand "&amp;ROUND(H498-AV498,0)&amp;" Stk / CHF "&amp;ROUND((H498-AV498)*G498,0)&amp;"; ","")&amp;IF(AND(CH498=1,CI498&lt;CJ498),"MAX &lt; MB+LG; ","")&amp;IF(AND(CP498&gt;0,CO498*10&gt;CP498),"zu hoch für Tablar; ","")&amp;IF(AND(BV498=0,OR(CH498=1,AA498&lt;&gt;"",U498&lt;&gt;"",V498&lt;&gt;"",AB498&lt;&gt;"")),"manuell übersteuert; ","")&amp;IF(AND(BZ498=0,R498=0),"Gebinde unbekannt / Stellmass fehlt; ","")&amp;IF(AND(BZ498=0,N(V498)&lt;=0,N(Q498)&lt;=0),"Menge pro Gebinde fehlt (Ist = 1 Gebinde); ","")&amp;BU498)</f>
        <v>Überbestand 62 Stk / CHF 3; </v>
      </c>
      <c r="BN498" s="48"/>
      <c r="BO498" s="48"/>
      <c r="BP498" s="55"/>
      <c r="BQ498" s="50" t="n">
        <v>755</v>
      </c>
      <c r="BR498" s="50" t="n">
        <v>337</v>
      </c>
      <c r="BS498" s="49" t="n">
        <v>37.75</v>
      </c>
      <c r="BT498" s="50" t="n">
        <v>2145</v>
      </c>
      <c r="BU498" s="48"/>
      <c r="BV498" s="53" t="n">
        <v>0</v>
      </c>
      <c r="BW498" s="53" t="n">
        <v>498</v>
      </c>
      <c r="BX498" s="48" t="str">
        <f aca="false">IF(U498&lt;&gt;"",UPPER(TRIM(U498)),IF(CA498=1,UPPER(VLOOKUP(T498,Parameter!$I$27:$K$29,2,0)),IF(P498="","LOSE",P498)))</f>
        <v>S51</v>
      </c>
      <c r="BY498" s="50" t="n">
        <f aca="false">IF(BX498="LOSE",1,IF(N(V498)&gt;0,V498,IF(CA498=1,MAX(1,N(VLOOKUP(T498,Parameter!$I$27:$K$29,3,0)),H498,N(N498)),IF(N(Q498)&gt;0,Q498,MAX(1,H498)))))</f>
        <v>600</v>
      </c>
      <c r="BZ498" s="53" t="n">
        <f aca="false">IF(BX498="LOSE",1,0)</f>
        <v>0</v>
      </c>
      <c r="CA498" s="53" t="n">
        <f aca="false">IF(AND(U498="",OR(P498="",P498="LOSE"),T498&lt;&gt;"",N(S498)&lt;=0,ISNUMBER(MATCH(T498,Parameter!$I$27:$I$29,0))),1,0)</f>
        <v>0</v>
      </c>
      <c r="CB498" s="53" t="n">
        <f aca="false">IF(CQ498&gt;0,INDEX(Parameter!$H$5:$H$7,W498)/INDEX(Parameter!$E$5:$E$7,W498),IF(AND(BZ498=0,N(IFERROR(VLOOKUP(BX498,'Gebinde-Kategorie'!$A$5:$N$45,14,0),0))&gt;0),VLOOKUP(BX498,'Gebinde-Kategorie'!$A$5:$N$45,14,0)*10+Parameter!$M$23,Parameter!$M$24))</f>
        <v>155</v>
      </c>
      <c r="CC498" s="48" t="str">
        <f aca="false">IF(AND(Parameter!$B$19="Ja",E498&lt;&gt;"",ISNUMBER(MATCH(E498,Parameter!$I$35:$I$52,0))),VLOOKUP(E498,Parameter!$I$35:$J$52,2,0),IFERROR(VLOOKUP(D498,Parameter!$A$35:$C$64,2,0),"Nein"))</f>
        <v>2+3</v>
      </c>
      <c r="CD498" s="52" t="n">
        <f aca="false">IF(BZ498=0,0,IF(N(S498)&gt;0,S498,IFERROR(VLOOKUP(D498,Parameter!$A$35:$C$64,3,0)+0,0)))</f>
        <v>0</v>
      </c>
      <c r="CE498" s="48" t="n">
        <f aca="false">IF(AA498&lt;&gt;"",AA498,Z498)</f>
        <v>3</v>
      </c>
      <c r="CF498" s="48" t="str">
        <f aca="false">IF(OR(CE498=1,CE498=2,CE498=3),IF(Parameter!$E$27="Ja","LIFT",IF(CE498=1,"L1","L23")),IF(CE498="Aussen","Aussen","-"))</f>
        <v>LIFT</v>
      </c>
      <c r="CG498" s="59" t="n">
        <f aca="false">IF(N(AB498)&gt;0,AB498,0)</f>
        <v>0</v>
      </c>
      <c r="CH498" s="53" t="n">
        <f aca="false">IF(ISNUMBER(AE498),1,0)</f>
        <v>0</v>
      </c>
      <c r="CI498" s="50" t="n">
        <f aca="false">N(AE498)</f>
        <v>0</v>
      </c>
      <c r="CJ498" s="50" t="n">
        <f aca="false">N(M498)+N(N498)</f>
        <v>900</v>
      </c>
      <c r="CK498" s="50" t="n">
        <f aca="false">N(M498)</f>
        <v>400</v>
      </c>
      <c r="CL498" s="50" t="n">
        <f aca="false">N(N498)</f>
        <v>500</v>
      </c>
      <c r="CM498" s="50" t="n">
        <f aca="false">ROUNDUP(H498/BY498,0)</f>
        <v>2</v>
      </c>
      <c r="CN498" s="50" t="n">
        <f aca="false">ROUNDUP(CI498/BY498,0)</f>
        <v>0</v>
      </c>
      <c r="CO498" s="53" t="n">
        <f aca="false">IF(BZ498=1,0,IFERROR(VLOOKUP(BX498,'Gebinde-Kategorie'!$A$5:$N$45,5,0)+0,0))</f>
        <v>11</v>
      </c>
      <c r="CP498" s="53" t="n">
        <f aca="false">IFERROR(IF(OR(CE498=1,CE498=2,CE498=3),N(INDEX(Parameter!$I$5:$I$7,CE498)),0),0)</f>
        <v>0</v>
      </c>
      <c r="CQ498" s="52" t="n">
        <f aca="false">IF(AND(Parameter!$B$21="Ja",ISNUMBER(W498),N(X498)&gt;0),IFERROR(N(INDEX(Parameter!$L$5:$L$7,W498))*INDEX(Parameter!$E$5:$E$7,W498)*X498/SUMIFS($X$7:$X$1843,$W$7:$W$1843,W498),0),0)</f>
        <v>0</v>
      </c>
    </row>
    <row r="499" customFormat="false" ht="15" hidden="false" customHeight="false" outlineLevel="0" collapsed="false">
      <c r="A499" s="48" t="s">
        <v>1106</v>
      </c>
      <c r="B499" s="48" t="s">
        <v>760</v>
      </c>
      <c r="C499" s="48" t="s">
        <v>173</v>
      </c>
      <c r="D499" s="48" t="s">
        <v>193</v>
      </c>
      <c r="E499" s="48" t="s">
        <v>194</v>
      </c>
      <c r="F499" s="48" t="s">
        <v>227</v>
      </c>
      <c r="G499" s="49" t="n">
        <v>11.49</v>
      </c>
      <c r="H499" s="50" t="n">
        <f aca="false">MAX(0,IF(AND(Parameter!$B$21="Ja",ISNUMBER(Y499)),Y499,IF(Parameter!$B$20="Jahresanfang 2025 + Export",BR499+BQ499,BQ499)))</f>
        <v>8</v>
      </c>
      <c r="I499" s="50" t="n">
        <f aca="false">H499*G499</f>
        <v>91.92</v>
      </c>
      <c r="J499" s="50" t="n">
        <f aca="false">BT499*Parameter!$B$18</f>
        <v>5</v>
      </c>
      <c r="K499" s="51" t="n">
        <v>4</v>
      </c>
      <c r="L499" s="52" t="n">
        <v>1.25</v>
      </c>
      <c r="M499" s="50" t="n">
        <v>0</v>
      </c>
      <c r="N499" s="50" t="n">
        <v>5</v>
      </c>
      <c r="O499" s="53" t="n">
        <v>14</v>
      </c>
      <c r="P499" s="48" t="s">
        <v>430</v>
      </c>
      <c r="Q499" s="50" t="n">
        <v>10</v>
      </c>
      <c r="R499" s="53" t="n">
        <f aca="false">IF(BZ499=1,0,IFERROR(VLOOKUP(BX499,'Gebinde-Kategorie'!$A$5:$N$45,13,0)+0,0))</f>
        <v>104</v>
      </c>
      <c r="S499" s="54"/>
      <c r="T499" s="55"/>
      <c r="U499" s="55"/>
      <c r="V499" s="55"/>
      <c r="W499" s="48"/>
      <c r="X499" s="50"/>
      <c r="Y499" s="50"/>
      <c r="Z499" s="48" t="n">
        <f aca="false">IF(A499="","",IF(AND(Parameter!$B$21="Ja",ISNUMBER(W499)),W499,IF(CC499="2+3",IF(ISNUMBER(SEARCH("grosser Artikel",BU499)),2,IFERROR(VLOOKUP(BX499,Parameter!$F$35:$G$64,2,0),2)),IF(OR(CC499="Nein",CC499=""),"-",CC499))))</f>
        <v>3</v>
      </c>
      <c r="AA499" s="55"/>
      <c r="AB499" s="56"/>
      <c r="AC499" s="50" t="n">
        <f aca="false">AV499</f>
        <v>5</v>
      </c>
      <c r="AD499" s="50" t="n">
        <f aca="false">MAX(AV499,H499)</f>
        <v>8</v>
      </c>
      <c r="AE499" s="57"/>
      <c r="AF499" s="50" t="n">
        <f aca="false">IF(LEFT(Cockpit!$C$5,1)="A",H499,IF(Parameter!$E$30="MAX-Bestand",IF(CH499=1,CI499,IF(LEFT(Cockpit!$C$5,1)="B",AL499,MAX(AL499,H499))),ROUNDUP(AJ499,0)))</f>
        <v>8</v>
      </c>
      <c r="AG499" s="50" t="n">
        <f aca="false">IF(BZ499=1,0,ROUNDUP(AF499/BY499,0))</f>
        <v>1</v>
      </c>
      <c r="AH499" s="52" t="n">
        <f aca="false">IF(CQ499&gt;0,CQ499*MAX(1,AF499/X499),IF(BZ499=1,IF(AF499&lt;=0,0,CD499*MAX(1,IF(H499&gt;0,AF499/H499,1))),IF(R499&gt;0,AG499/R499,0))/MAX(0.1,N(Parameter!$M$21)))</f>
        <v>0.00961538461538462</v>
      </c>
      <c r="AI499" s="50" t="n">
        <f aca="false">AH499*CB499</f>
        <v>1.49038461538462</v>
      </c>
      <c r="AJ499" s="51" t="n">
        <f aca="false">IF(LEFT(Cockpit!$C$5,1)="A",H499,IF(CH499=1,(CK499+CI499)/2,IF(LEFT(Cockpit!$C$5,1)="B",(CK499+AL499)/2,MAX((CK499+AL499)/2,H499))))</f>
        <v>8</v>
      </c>
      <c r="AK499" s="50" t="n">
        <f aca="false">AJ499*G499</f>
        <v>91.92</v>
      </c>
      <c r="AL499" s="50" t="n">
        <f aca="false">ROUNDUP(CK499+MAX(CL499,2*(J499/IF(CG499&gt;0,CG499,MAX(0.1,N(Cockpit!$C$6)))-CK499)),0)</f>
        <v>5</v>
      </c>
      <c r="AM499" s="51" t="n">
        <f aca="false">IF(AI499&gt;0,J499/AI499,-1)</f>
        <v>3.35483870967742</v>
      </c>
      <c r="AN499" s="51" t="n">
        <f aca="false">IF(AND(OR(CF499="L1",CF499="L23",CF499="LIFT"),AI499&gt;0),SUMIFS($AI$7:$AI$1843,$CF$7:$CF$1843,CF499,$AM$7:$AM$1843,"&gt;"&amp;AM499)+SUMIFS($AI$7:$AI$1843,$CF$7:$CF$1843,CF499,$AM$7:$AM$1843,AM499,$BW$7:$BW$1843,"&lt;="&amp;BW499),"")</f>
        <v>4942.17445054945</v>
      </c>
      <c r="AO499" s="58" t="n">
        <f aca="false">IF(AN499="",0,MAX(0,MIN(1,(IF(CF499="L1",Parameter!$H$5,IF(CF499="L23",Parameter!$H$6+Parameter!$H$7,Parameter!$H$5+Parameter!$H$6+Parameter!$H$7))-(AN499-AI499))/AI499)))</f>
        <v>1</v>
      </c>
      <c r="AP499" s="50" t="n">
        <f aca="false">IF(LEFT(Cockpit!$I$5,1)="A",H499,IF(Parameter!$E$30="MAX-Bestand",IF(CH499=1,CI499,IF(LEFT(Cockpit!$I$5,1)="B",AV499,MAX(AV499,H499))),ROUNDUP(AT499,0)))</f>
        <v>8</v>
      </c>
      <c r="AQ499" s="50" t="n">
        <f aca="false">IF(BZ499=1,0,ROUNDUP(AP499/BY499,0))</f>
        <v>1</v>
      </c>
      <c r="AR499" s="52" t="n">
        <f aca="false">IF(CQ499&gt;0,CQ499*MAX(1,AP499/X499),IF(BZ499=1,IF(AP499&lt;=0,0,CD499*MAX(1,IF(H499&gt;0,AP499/H499,1))),IF(R499&gt;0,AQ499/R499,0))/MAX(0.1,N(Parameter!$M$21)))</f>
        <v>0.00961538461538462</v>
      </c>
      <c r="AS499" s="50" t="n">
        <f aca="false">AR499*CB499</f>
        <v>1.49038461538462</v>
      </c>
      <c r="AT499" s="51" t="n">
        <f aca="false">IF(LEFT(Cockpit!$I$5,1)="A",H499,IF(CH499=1,(CK499+CI499)/2,IF(LEFT(Cockpit!$I$5,1)="B",(CK499+AV499)/2,MAX((CK499+AV499)/2,H499))))</f>
        <v>8</v>
      </c>
      <c r="AU499" s="50" t="n">
        <f aca="false">AT499*G499</f>
        <v>91.92</v>
      </c>
      <c r="AV499" s="50" t="n">
        <f aca="false">ROUNDUP(CK499+MAX(CL499,2*(J499/IF(CG499&gt;0,CG499,MAX(0.1,N(Cockpit!$I$6)))-CK499)),0)</f>
        <v>5</v>
      </c>
      <c r="AW499" s="51" t="n">
        <f aca="false">IF(AS499&gt;0,J499/AS499,-1)</f>
        <v>3.35483870967742</v>
      </c>
      <c r="AX499" s="51" t="n">
        <f aca="false">IF(AND(OR(CF499="L1",CF499="L23",CF499="LIFT"),AS499&gt;0),SUMIFS($AS$7:$AS$1843,$CF$7:$CF$1843,CF499,$AW$7:$AW$1843,"&gt;"&amp;AW499)+SUMIFS($AS$7:$AS$1843,$CF$7:$CF$1843,CF499,$AW$7:$AW$1843,AW499,$BW$7:$BW$1843,"&lt;="&amp;BW499),"")</f>
        <v>5606.01144688645</v>
      </c>
      <c r="AY499" s="58" t="n">
        <f aca="false">IF(AX499="",0,MAX(0,MIN(1,(IF(CF499="L1",Parameter!$H$5,IF(CF499="L23",Parameter!$H$6+Parameter!$H$7,Parameter!$H$5+Parameter!$H$6+Parameter!$H$7))-(AX499-AS499))/AS499)))</f>
        <v>1</v>
      </c>
      <c r="AZ499" s="50" t="n">
        <f aca="false">IF(LEFT(Cockpit!$O$5,1)="A",H499,IF(Parameter!$E$30="MAX-Bestand",IF(CH499=1,CI499,IF(LEFT(Cockpit!$O$5,1)="B",BF499,MAX(BF499,H499))),ROUNDUP(BD499,0)))</f>
        <v>3</v>
      </c>
      <c r="BA499" s="50" t="n">
        <f aca="false">IF(BZ499=1,0,ROUNDUP(AZ499/BY499,0))</f>
        <v>1</v>
      </c>
      <c r="BB499" s="52" t="n">
        <f aca="false">IF(CQ499&gt;0,CQ499*MAX(1,AZ499/X499),IF(BZ499=1,IF(AZ499&lt;=0,0,CD499*MAX(1,IF(H499&gt;0,AZ499/H499,1))),IF(R499&gt;0,BA499/R499,0))/MAX(0.1,N(Parameter!$M$21)))</f>
        <v>0.00961538461538462</v>
      </c>
      <c r="BC499" s="50" t="n">
        <f aca="false">BB499*CB499</f>
        <v>1.49038461538462</v>
      </c>
      <c r="BD499" s="51" t="n">
        <f aca="false">IF(LEFT(Cockpit!$O$5,1)="A",H499,IF(CH499=1,(CK499+CI499)/2,IF(LEFT(Cockpit!$O$5,1)="B",(CK499+BF499)/2,MAX((CK499+BF499)/2,H499))))</f>
        <v>2.5</v>
      </c>
      <c r="BE499" s="50" t="n">
        <f aca="false">BD499*G499</f>
        <v>28.725</v>
      </c>
      <c r="BF499" s="50" t="n">
        <f aca="false">ROUNDUP(CK499+MAX(CL499,2*(J499/IF(CG499&gt;0,CG499,MAX(0.1,N(Cockpit!$O$6)))-CK499)),0)</f>
        <v>5</v>
      </c>
      <c r="BG499" s="51" t="n">
        <f aca="false">IF(BC499&gt;0,J499/BC499,-1)</f>
        <v>3.35483870967742</v>
      </c>
      <c r="BH499" s="51" t="n">
        <f aca="false">IF(AND(OR(CF499="L1",CF499="L23",CF499="LIFT"),BC499&gt;0),SUMIFS($BC$7:$BC$1843,$CF$7:$CF$1843,CF499,$BG$7:$BG$1843,"&gt;"&amp;BG499)+SUMIFS($BC$7:$BC$1843,$CF$7:$CF$1843,CF499,$BG$7:$BG$1843,BG499,$BW$7:$BW$1843,"&lt;="&amp;BW499),"")</f>
        <v>4586.2293956044</v>
      </c>
      <c r="BI499" s="58" t="n">
        <f aca="false">IF(BH499="",0,MAX(0,MIN(1,(IF(CF499="L1",Parameter!$H$5,IF(CF499="L23",Parameter!$H$6+Parameter!$H$7,Parameter!$H$5+Parameter!$H$6+Parameter!$H$7))-(BH499-BC499))/BC499)))</f>
        <v>1</v>
      </c>
      <c r="BJ499" s="48" t="str">
        <f aca="false">IF(AI499&lt;=0,"",IF(CF499="Aussen","Aussenlager",IF(CF499="-","Nicht im Lift",IF(AO499&gt;=1,"Lift",IF(AO499&lt;=0,"Aussenlager","teilweise")))))</f>
        <v>Lift</v>
      </c>
      <c r="BK499" s="48" t="str">
        <f aca="false">IF(AS499&lt;=0,"",IF(CF499="Aussen","Aussenlager",IF(CF499="-","Nicht im Lift",IF(AY499&gt;=1,"Lift",IF(AY499&lt;=0,"Aussenlager","teilweise")))))</f>
        <v>Lift</v>
      </c>
      <c r="BL499" s="48" t="str">
        <f aca="false">IF(BC499&lt;=0,"",IF(CF499="Aussen","Aussenlager",IF(CF499="-","Nicht im Lift",IF(BI499&gt;=1,"Lift",IF(BI499&lt;=0,"Aussenlager","teilweise")))))</f>
        <v>Lift</v>
      </c>
      <c r="BM499" s="48" t="str">
        <f aca="false">IF(A499="","",IF(BV499=1,"Neu; ","")&amp;IF(AND(BV499=0,BQ499&lt;0),"negativer Bestand (Export "&amp;BQ499&amp;"); ","")&amp;IF(J499&lt;=0,"Kein Verbrauch; ","")&amp;IF(CQ499&gt;0,"Lift "&amp;W499&amp;" lt. Liftbericht (Fach "&amp;X499&amp;" Stk); ",IF(CA499=1,"Gebinde geschätzt ("&amp;T499&amp;"); ",IF(BZ499=1,"Lose – Tablare geschätzt; ","")))&amp;IF(H499&gt;AV499,"Überbestand "&amp;ROUND(H499-AV499,0)&amp;" Stk / CHF "&amp;ROUND((H499-AV499)*G499,0)&amp;"; ","")&amp;IF(AND(CH499=1,CI499&lt;CJ499),"MAX &lt; MB+LG; ","")&amp;IF(AND(CP499&gt;0,CO499*10&gt;CP499),"zu hoch für Tablar; ","")&amp;IF(AND(BV499=0,OR(CH499=1,AA499&lt;&gt;"",U499&lt;&gt;"",V499&lt;&gt;"",AB499&lt;&gt;"")),"manuell übersteuert; ","")&amp;IF(AND(BZ499=0,R499=0),"Gebinde unbekannt / Stellmass fehlt; ","")&amp;IF(AND(BZ499=0,N(V499)&lt;=0,N(Q499)&lt;=0),"Menge pro Gebinde fehlt (Ist = 1 Gebinde); ","")&amp;BU499)</f>
        <v>Überbestand 3 Stk / CHF 34; </v>
      </c>
      <c r="BN499" s="48"/>
      <c r="BO499" s="48"/>
      <c r="BP499" s="55"/>
      <c r="BQ499" s="50" t="n">
        <v>4</v>
      </c>
      <c r="BR499" s="50" t="n">
        <v>4</v>
      </c>
      <c r="BS499" s="49" t="n">
        <v>37.64</v>
      </c>
      <c r="BT499" s="50" t="n">
        <v>5</v>
      </c>
      <c r="BU499" s="48"/>
      <c r="BV499" s="53" t="n">
        <v>0</v>
      </c>
      <c r="BW499" s="53" t="n">
        <v>499</v>
      </c>
      <c r="BX499" s="48" t="str">
        <f aca="false">IF(U499&lt;&gt;"",UPPER(TRIM(U499)),IF(CA499=1,UPPER(VLOOKUP(T499,Parameter!$I$27:$K$29,2,0)),IF(P499="","LOSE",P499)))</f>
        <v>S32</v>
      </c>
      <c r="BY499" s="50" t="n">
        <f aca="false">IF(BX499="LOSE",1,IF(N(V499)&gt;0,V499,IF(CA499=1,MAX(1,N(VLOOKUP(T499,Parameter!$I$27:$K$29,3,0)),H499,N(N499)),IF(N(Q499)&gt;0,Q499,MAX(1,H499)))))</f>
        <v>10</v>
      </c>
      <c r="BZ499" s="53" t="n">
        <f aca="false">IF(BX499="LOSE",1,0)</f>
        <v>0</v>
      </c>
      <c r="CA499" s="53" t="n">
        <f aca="false">IF(AND(U499="",OR(P499="",P499="LOSE"),T499&lt;&gt;"",N(S499)&lt;=0,ISNUMBER(MATCH(T499,Parameter!$I$27:$I$29,0))),1,0)</f>
        <v>0</v>
      </c>
      <c r="CB499" s="53" t="n">
        <f aca="false">IF(CQ499&gt;0,INDEX(Parameter!$H$5:$H$7,W499)/INDEX(Parameter!$E$5:$E$7,W499),IF(AND(BZ499=0,N(IFERROR(VLOOKUP(BX499,'Gebinde-Kategorie'!$A$5:$N$45,14,0),0))&gt;0),VLOOKUP(BX499,'Gebinde-Kategorie'!$A$5:$N$45,14,0)*10+Parameter!$M$23,Parameter!$M$24))</f>
        <v>155</v>
      </c>
      <c r="CC499" s="48" t="str">
        <f aca="false">IF(AND(Parameter!$B$19="Ja",E499&lt;&gt;"",ISNUMBER(MATCH(E499,Parameter!$I$35:$I$52,0))),VLOOKUP(E499,Parameter!$I$35:$J$52,2,0),IFERROR(VLOOKUP(D499,Parameter!$A$35:$C$64,2,0),"Nein"))</f>
        <v>2+3</v>
      </c>
      <c r="CD499" s="52" t="n">
        <f aca="false">IF(BZ499=0,0,IF(N(S499)&gt;0,S499,IFERROR(VLOOKUP(D499,Parameter!$A$35:$C$64,3,0)+0,0)))</f>
        <v>0</v>
      </c>
      <c r="CE499" s="48" t="n">
        <f aca="false">IF(AA499&lt;&gt;"",AA499,Z499)</f>
        <v>3</v>
      </c>
      <c r="CF499" s="48" t="str">
        <f aca="false">IF(OR(CE499=1,CE499=2,CE499=3),IF(Parameter!$E$27="Ja","LIFT",IF(CE499=1,"L1","L23")),IF(CE499="Aussen","Aussen","-"))</f>
        <v>LIFT</v>
      </c>
      <c r="CG499" s="59" t="n">
        <f aca="false">IF(N(AB499)&gt;0,AB499,0)</f>
        <v>0</v>
      </c>
      <c r="CH499" s="53" t="n">
        <f aca="false">IF(ISNUMBER(AE499),1,0)</f>
        <v>0</v>
      </c>
      <c r="CI499" s="50" t="n">
        <f aca="false">N(AE499)</f>
        <v>0</v>
      </c>
      <c r="CJ499" s="50" t="n">
        <f aca="false">N(M499)+N(N499)</f>
        <v>5</v>
      </c>
      <c r="CK499" s="50" t="n">
        <f aca="false">N(M499)</f>
        <v>0</v>
      </c>
      <c r="CL499" s="50" t="n">
        <f aca="false">N(N499)</f>
        <v>5</v>
      </c>
      <c r="CM499" s="50" t="n">
        <f aca="false">ROUNDUP(H499/BY499,0)</f>
        <v>1</v>
      </c>
      <c r="CN499" s="50" t="n">
        <f aca="false">ROUNDUP(CI499/BY499,0)</f>
        <v>0</v>
      </c>
      <c r="CO499" s="53" t="n">
        <f aca="false">IF(BZ499=1,0,IFERROR(VLOOKUP(BX499,'Gebinde-Kategorie'!$A$5:$N$45,5,0)+0,0))</f>
        <v>8</v>
      </c>
      <c r="CP499" s="53" t="n">
        <f aca="false">IFERROR(IF(OR(CE499=1,CE499=2,CE499=3),N(INDEX(Parameter!$I$5:$I$7,CE499)),0),0)</f>
        <v>0</v>
      </c>
      <c r="CQ499" s="52" t="n">
        <f aca="false">IF(AND(Parameter!$B$21="Ja",ISNUMBER(W499),N(X499)&gt;0),IFERROR(N(INDEX(Parameter!$L$5:$L$7,W499))*INDEX(Parameter!$E$5:$E$7,W499)*X499/SUMIFS($X$7:$X$1843,$W$7:$W$1843,W499),0),0)</f>
        <v>0</v>
      </c>
    </row>
    <row r="500" customFormat="false" ht="15" hidden="false" customHeight="false" outlineLevel="0" collapsed="false">
      <c r="A500" s="48" t="s">
        <v>1107</v>
      </c>
      <c r="B500" s="48" t="s">
        <v>1108</v>
      </c>
      <c r="C500" s="48" t="s">
        <v>173</v>
      </c>
      <c r="D500" s="48" t="s">
        <v>193</v>
      </c>
      <c r="E500" s="48"/>
      <c r="F500" s="48" t="s">
        <v>227</v>
      </c>
      <c r="G500" s="49" t="n">
        <v>22.94</v>
      </c>
      <c r="H500" s="50" t="n">
        <f aca="false">MAX(0,IF(AND(Parameter!$B$21="Ja",ISNUMBER(Y500)),Y500,IF(Parameter!$B$20="Jahresanfang 2025 + Export",BR500+BQ500,BQ500)))</f>
        <v>64</v>
      </c>
      <c r="I500" s="50" t="n">
        <f aca="false">H500*G500</f>
        <v>1468.16</v>
      </c>
      <c r="J500" s="50" t="n">
        <f aca="false">BT500*Parameter!$B$18</f>
        <v>1</v>
      </c>
      <c r="K500" s="51" t="n">
        <v>57</v>
      </c>
      <c r="L500" s="52" t="n">
        <v>0.0175438596491228</v>
      </c>
      <c r="M500" s="50" t="n">
        <v>0</v>
      </c>
      <c r="N500" s="50" t="n">
        <v>1</v>
      </c>
      <c r="O500" s="53" t="n">
        <v>63</v>
      </c>
      <c r="P500" s="48" t="s">
        <v>311</v>
      </c>
      <c r="Q500" s="50" t="n">
        <v>55</v>
      </c>
      <c r="R500" s="53" t="n">
        <f aca="false">IF(BZ500=1,0,IFERROR(VLOOKUP(BX500,'Gebinde-Kategorie'!$A$5:$N$45,13,0)+0,0))</f>
        <v>26</v>
      </c>
      <c r="S500" s="54"/>
      <c r="T500" s="55"/>
      <c r="U500" s="55"/>
      <c r="V500" s="55"/>
      <c r="W500" s="48"/>
      <c r="X500" s="50"/>
      <c r="Y500" s="50"/>
      <c r="Z500" s="48" t="n">
        <f aca="false">IF(A500="","",IF(AND(Parameter!$B$21="Ja",ISNUMBER(W500)),W500,IF(CC500="2+3",IF(ISNUMBER(SEARCH("grosser Artikel",BU500)),2,IFERROR(VLOOKUP(BX500,Parameter!$F$35:$G$64,2,0),2)),IF(OR(CC500="Nein",CC500=""),"-",CC500))))</f>
        <v>3</v>
      </c>
      <c r="AA500" s="55"/>
      <c r="AB500" s="56"/>
      <c r="AC500" s="50" t="n">
        <f aca="false">AV500</f>
        <v>1</v>
      </c>
      <c r="AD500" s="50" t="n">
        <f aca="false">MAX(AV500,H500)</f>
        <v>64</v>
      </c>
      <c r="AE500" s="57"/>
      <c r="AF500" s="50" t="n">
        <f aca="false">IF(LEFT(Cockpit!$C$5,1)="A",H500,IF(Parameter!$E$30="MAX-Bestand",IF(CH500=1,CI500,IF(LEFT(Cockpit!$C$5,1)="B",AL500,MAX(AL500,H500))),ROUNDUP(AJ500,0)))</f>
        <v>64</v>
      </c>
      <c r="AG500" s="50" t="n">
        <f aca="false">IF(BZ500=1,0,ROUNDUP(AF500/BY500,0))</f>
        <v>2</v>
      </c>
      <c r="AH500" s="52" t="n">
        <f aca="false">IF(CQ500&gt;0,CQ500*MAX(1,AF500/X500),IF(BZ500=1,IF(AF500&lt;=0,0,CD500*MAX(1,IF(H500&gt;0,AF500/H500,1))),IF(R500&gt;0,AG500/R500,0))/MAX(0.1,N(Parameter!$M$21)))</f>
        <v>0.0769230769230769</v>
      </c>
      <c r="AI500" s="50" t="n">
        <f aca="false">AH500*CB500</f>
        <v>11.9230769230769</v>
      </c>
      <c r="AJ500" s="51" t="n">
        <f aca="false">IF(LEFT(Cockpit!$C$5,1)="A",H500,IF(CH500=1,(CK500+CI500)/2,IF(LEFT(Cockpit!$C$5,1)="B",(CK500+AL500)/2,MAX((CK500+AL500)/2,H500))))</f>
        <v>64</v>
      </c>
      <c r="AK500" s="50" t="n">
        <f aca="false">AJ500*G500</f>
        <v>1468.16</v>
      </c>
      <c r="AL500" s="50" t="n">
        <f aca="false">ROUNDUP(CK500+MAX(CL500,2*(J500/IF(CG500&gt;0,CG500,MAX(0.1,N(Cockpit!$C$6)))-CK500)),0)</f>
        <v>1</v>
      </c>
      <c r="AM500" s="51" t="n">
        <f aca="false">IF(AI500&gt;0,J500/AI500,-1)</f>
        <v>0.0838709677419355</v>
      </c>
      <c r="AN500" s="51" t="n">
        <f aca="false">IF(AND(OR(CF500="L1",CF500="L23",CF500="LIFT"),AI500&gt;0),SUMIFS($AI$7:$AI$1843,$CF$7:$CF$1843,CF500,$AM$7:$AM$1843,"&gt;"&amp;AM500)+SUMIFS($AI$7:$AI$1843,$CF$7:$CF$1843,CF500,$AM$7:$AM$1843,AM500,$BW$7:$BW$1843,"&lt;="&amp;BW500),"")</f>
        <v>16662.2932963929</v>
      </c>
      <c r="AO500" s="58" t="n">
        <f aca="false">IF(AN500="",0,MAX(0,MIN(1,(IF(CF500="L1",Parameter!$H$5,IF(CF500="L23",Parameter!$H$6+Parameter!$H$7,Parameter!$H$5+Parameter!$H$6+Parameter!$H$7))-(AN500-AI500))/AI500)))</f>
        <v>1</v>
      </c>
      <c r="AP500" s="50" t="n">
        <f aca="false">IF(LEFT(Cockpit!$I$5,1)="A",H500,IF(Parameter!$E$30="MAX-Bestand",IF(CH500=1,CI500,IF(LEFT(Cockpit!$I$5,1)="B",AV500,MAX(AV500,H500))),ROUNDUP(AT500,0)))</f>
        <v>64</v>
      </c>
      <c r="AQ500" s="50" t="n">
        <f aca="false">IF(BZ500=1,0,ROUNDUP(AP500/BY500,0))</f>
        <v>2</v>
      </c>
      <c r="AR500" s="52" t="n">
        <f aca="false">IF(CQ500&gt;0,CQ500*MAX(1,AP500/X500),IF(BZ500=1,IF(AP500&lt;=0,0,CD500*MAX(1,IF(H500&gt;0,AP500/H500,1))),IF(R500&gt;0,AQ500/R500,0))/MAX(0.1,N(Parameter!$M$21)))</f>
        <v>0.0769230769230769</v>
      </c>
      <c r="AS500" s="50" t="n">
        <f aca="false">AR500*CB500</f>
        <v>11.9230769230769</v>
      </c>
      <c r="AT500" s="51" t="n">
        <f aca="false">IF(LEFT(Cockpit!$I$5,1)="A",H500,IF(CH500=1,(CK500+CI500)/2,IF(LEFT(Cockpit!$I$5,1)="B",(CK500+AV500)/2,MAX((CK500+AV500)/2,H500))))</f>
        <v>64</v>
      </c>
      <c r="AU500" s="50" t="n">
        <f aca="false">AT500*G500</f>
        <v>1468.16</v>
      </c>
      <c r="AV500" s="50" t="n">
        <f aca="false">ROUNDUP(CK500+MAX(CL500,2*(J500/IF(CG500&gt;0,CG500,MAX(0.1,N(Cockpit!$I$6)))-CK500)),0)</f>
        <v>1</v>
      </c>
      <c r="AW500" s="51" t="n">
        <f aca="false">IF(AS500&gt;0,J500/AS500,-1)</f>
        <v>0.0838709677419355</v>
      </c>
      <c r="AX500" s="51" t="n">
        <f aca="false">IF(AND(OR(CF500="L1",CF500="L23",CF500="LIFT"),AS500&gt;0),SUMIFS($AS$7:$AS$1843,$CF$7:$CF$1843,CF500,$AW$7:$AW$1843,"&gt;"&amp;AW500)+SUMIFS($AS$7:$AS$1843,$CF$7:$CF$1843,CF500,$AW$7:$AW$1843,AW500,$BW$7:$BW$1843,"&lt;="&amp;BW500),"")</f>
        <v>21685.4419377703</v>
      </c>
      <c r="AY500" s="58" t="n">
        <f aca="false">IF(AX500="",0,MAX(0,MIN(1,(IF(CF500="L1",Parameter!$H$5,IF(CF500="L23",Parameter!$H$6+Parameter!$H$7,Parameter!$H$5+Parameter!$H$6+Parameter!$H$7))-(AX500-AS500))/AS500)))</f>
        <v>1</v>
      </c>
      <c r="AZ500" s="50" t="n">
        <f aca="false">IF(LEFT(Cockpit!$O$5,1)="A",H500,IF(Parameter!$E$30="MAX-Bestand",IF(CH500=1,CI500,IF(LEFT(Cockpit!$O$5,1)="B",BF500,MAX(BF500,H500))),ROUNDUP(BD500,0)))</f>
        <v>1</v>
      </c>
      <c r="BA500" s="50" t="n">
        <f aca="false">IF(BZ500=1,0,ROUNDUP(AZ500/BY500,0))</f>
        <v>1</v>
      </c>
      <c r="BB500" s="52" t="n">
        <f aca="false">IF(CQ500&gt;0,CQ500*MAX(1,AZ500/X500),IF(BZ500=1,IF(AZ500&lt;=0,0,CD500*MAX(1,IF(H500&gt;0,AZ500/H500,1))),IF(R500&gt;0,BA500/R500,0))/MAX(0.1,N(Parameter!$M$21)))</f>
        <v>0.0384615384615385</v>
      </c>
      <c r="BC500" s="50" t="n">
        <f aca="false">BB500*CB500</f>
        <v>5.96153846153846</v>
      </c>
      <c r="BD500" s="51" t="n">
        <f aca="false">IF(LEFT(Cockpit!$O$5,1)="A",H500,IF(CH500=1,(CK500+CI500)/2,IF(LEFT(Cockpit!$O$5,1)="B",(CK500+BF500)/2,MAX((CK500+BF500)/2,H500))))</f>
        <v>0.5</v>
      </c>
      <c r="BE500" s="50" t="n">
        <f aca="false">BD500*G500</f>
        <v>11.47</v>
      </c>
      <c r="BF500" s="50" t="n">
        <f aca="false">ROUNDUP(CK500+MAX(CL500,2*(J500/IF(CG500&gt;0,CG500,MAX(0.1,N(Cockpit!$O$6)))-CK500)),0)</f>
        <v>1</v>
      </c>
      <c r="BG500" s="51" t="n">
        <f aca="false">IF(BC500&gt;0,J500/BC500,-1)</f>
        <v>0.167741935483871</v>
      </c>
      <c r="BH500" s="51" t="n">
        <f aca="false">IF(AND(OR(CF500="L1",CF500="L23",CF500="LIFT"),BC500&gt;0),SUMIFS($BC$7:$BC$1843,$CF$7:$CF$1843,CF500,$BG$7:$BG$1843,"&gt;"&amp;BG500)+SUMIFS($BC$7:$BC$1843,$CF$7:$CF$1843,CF500,$BG$7:$BG$1843,BG500,$BW$7:$BW$1843,"&lt;="&amp;BW500),"")</f>
        <v>13416.6757439829</v>
      </c>
      <c r="BI500" s="58" t="n">
        <f aca="false">IF(BH500="",0,MAX(0,MIN(1,(IF(CF500="L1",Parameter!$H$5,IF(CF500="L23",Parameter!$H$6+Parameter!$H$7,Parameter!$H$5+Parameter!$H$6+Parameter!$H$7))-(BH500-BC500))/BC500)))</f>
        <v>1</v>
      </c>
      <c r="BJ500" s="48" t="str">
        <f aca="false">IF(AI500&lt;=0,"",IF(CF500="Aussen","Aussenlager",IF(CF500="-","Nicht im Lift",IF(AO500&gt;=1,"Lift",IF(AO500&lt;=0,"Aussenlager","teilweise")))))</f>
        <v>Lift</v>
      </c>
      <c r="BK500" s="48" t="str">
        <f aca="false">IF(AS500&lt;=0,"",IF(CF500="Aussen","Aussenlager",IF(CF500="-","Nicht im Lift",IF(AY500&gt;=1,"Lift",IF(AY500&lt;=0,"Aussenlager","teilweise")))))</f>
        <v>Lift</v>
      </c>
      <c r="BL500" s="48" t="str">
        <f aca="false">IF(BC500&lt;=0,"",IF(CF500="Aussen","Aussenlager",IF(CF500="-","Nicht im Lift",IF(BI500&gt;=1,"Lift",IF(BI500&lt;=0,"Aussenlager","teilweise")))))</f>
        <v>Lift</v>
      </c>
      <c r="BM500" s="48" t="str">
        <f aca="false">IF(A500="","",IF(BV500=1,"Neu; ","")&amp;IF(AND(BV500=0,BQ500&lt;0),"negativer Bestand (Export "&amp;BQ500&amp;"); ","")&amp;IF(J500&lt;=0,"Kein Verbrauch; ","")&amp;IF(CQ500&gt;0,"Lift "&amp;W500&amp;" lt. Liftbericht (Fach "&amp;X500&amp;" Stk); ",IF(CA500=1,"Gebinde geschätzt ("&amp;T500&amp;"); ",IF(BZ500=1,"Lose – Tablare geschätzt; ","")))&amp;IF(H500&gt;AV500,"Überbestand "&amp;ROUND(H500-AV500,0)&amp;" Stk / CHF "&amp;ROUND((H500-AV500)*G500,0)&amp;"; ","")&amp;IF(AND(CH500=1,CI500&lt;CJ500),"MAX &lt; MB+LG; ","")&amp;IF(AND(CP500&gt;0,CO500*10&gt;CP500),"zu hoch für Tablar; ","")&amp;IF(AND(BV500=0,OR(CH500=1,AA500&lt;&gt;"",U500&lt;&gt;"",V500&lt;&gt;"",AB500&lt;&gt;"")),"manuell übersteuert; ","")&amp;IF(AND(BZ500=0,R500=0),"Gebinde unbekannt / Stellmass fehlt; ","")&amp;IF(AND(BZ500=0,N(V500)&lt;=0,N(Q500)&lt;=0),"Menge pro Gebinde fehlt (Ist = 1 Gebinde); ","")&amp;BU500)</f>
        <v>Überbestand 63 Stk / CHF 1445; </v>
      </c>
      <c r="BN500" s="48"/>
      <c r="BO500" s="48"/>
      <c r="BP500" s="55"/>
      <c r="BQ500" s="50" t="n">
        <v>4</v>
      </c>
      <c r="BR500" s="50" t="n">
        <v>60</v>
      </c>
      <c r="BS500" s="49" t="n">
        <v>37.4</v>
      </c>
      <c r="BT500" s="50" t="n">
        <v>1</v>
      </c>
      <c r="BU500" s="48"/>
      <c r="BV500" s="53" t="n">
        <v>0</v>
      </c>
      <c r="BW500" s="53" t="n">
        <v>500</v>
      </c>
      <c r="BX500" s="48" t="str">
        <f aca="false">IF(U500&lt;&gt;"",UPPER(TRIM(U500)),IF(CA500=1,UPPER(VLOOKUP(T500,Parameter!$I$27:$K$29,2,0)),IF(P500="","LOSE",P500)))</f>
        <v>S51</v>
      </c>
      <c r="BY500" s="50" t="n">
        <f aca="false">IF(BX500="LOSE",1,IF(N(V500)&gt;0,V500,IF(CA500=1,MAX(1,N(VLOOKUP(T500,Parameter!$I$27:$K$29,3,0)),H500,N(N500)),IF(N(Q500)&gt;0,Q500,MAX(1,H500)))))</f>
        <v>55</v>
      </c>
      <c r="BZ500" s="53" t="n">
        <f aca="false">IF(BX500="LOSE",1,0)</f>
        <v>0</v>
      </c>
      <c r="CA500" s="53" t="n">
        <f aca="false">IF(AND(U500="",OR(P500="",P500="LOSE"),T500&lt;&gt;"",N(S500)&lt;=0,ISNUMBER(MATCH(T500,Parameter!$I$27:$I$29,0))),1,0)</f>
        <v>0</v>
      </c>
      <c r="CB500" s="53" t="n">
        <f aca="false">IF(CQ500&gt;0,INDEX(Parameter!$H$5:$H$7,W500)/INDEX(Parameter!$E$5:$E$7,W500),IF(AND(BZ500=0,N(IFERROR(VLOOKUP(BX500,'Gebinde-Kategorie'!$A$5:$N$45,14,0),0))&gt;0),VLOOKUP(BX500,'Gebinde-Kategorie'!$A$5:$N$45,14,0)*10+Parameter!$M$23,Parameter!$M$24))</f>
        <v>155</v>
      </c>
      <c r="CC500" s="48" t="str">
        <f aca="false">IF(AND(Parameter!$B$19="Ja",E500&lt;&gt;"",ISNUMBER(MATCH(E500,Parameter!$I$35:$I$52,0))),VLOOKUP(E500,Parameter!$I$35:$J$52,2,0),IFERROR(VLOOKUP(D500,Parameter!$A$35:$C$64,2,0),"Nein"))</f>
        <v>2+3</v>
      </c>
      <c r="CD500" s="52" t="n">
        <f aca="false">IF(BZ500=0,0,IF(N(S500)&gt;0,S500,IFERROR(VLOOKUP(D500,Parameter!$A$35:$C$64,3,0)+0,0)))</f>
        <v>0</v>
      </c>
      <c r="CE500" s="48" t="n">
        <f aca="false">IF(AA500&lt;&gt;"",AA500,Z500)</f>
        <v>3</v>
      </c>
      <c r="CF500" s="48" t="str">
        <f aca="false">IF(OR(CE500=1,CE500=2,CE500=3),IF(Parameter!$E$27="Ja","LIFT",IF(CE500=1,"L1","L23")),IF(CE500="Aussen","Aussen","-"))</f>
        <v>LIFT</v>
      </c>
      <c r="CG500" s="59" t="n">
        <f aca="false">IF(N(AB500)&gt;0,AB500,0)</f>
        <v>0</v>
      </c>
      <c r="CH500" s="53" t="n">
        <f aca="false">IF(ISNUMBER(AE500),1,0)</f>
        <v>0</v>
      </c>
      <c r="CI500" s="50" t="n">
        <f aca="false">N(AE500)</f>
        <v>0</v>
      </c>
      <c r="CJ500" s="50" t="n">
        <f aca="false">N(M500)+N(N500)</f>
        <v>1</v>
      </c>
      <c r="CK500" s="50" t="n">
        <f aca="false">N(M500)</f>
        <v>0</v>
      </c>
      <c r="CL500" s="50" t="n">
        <f aca="false">N(N500)</f>
        <v>1</v>
      </c>
      <c r="CM500" s="50" t="n">
        <f aca="false">ROUNDUP(H500/BY500,0)</f>
        <v>2</v>
      </c>
      <c r="CN500" s="50" t="n">
        <f aca="false">ROUNDUP(CI500/BY500,0)</f>
        <v>0</v>
      </c>
      <c r="CO500" s="53" t="n">
        <f aca="false">IF(BZ500=1,0,IFERROR(VLOOKUP(BX500,'Gebinde-Kategorie'!$A$5:$N$45,5,0)+0,0))</f>
        <v>11</v>
      </c>
      <c r="CP500" s="53" t="n">
        <f aca="false">IFERROR(IF(OR(CE500=1,CE500=2,CE500=3),N(INDEX(Parameter!$I$5:$I$7,CE500)),0),0)</f>
        <v>0</v>
      </c>
      <c r="CQ500" s="52" t="n">
        <f aca="false">IF(AND(Parameter!$B$21="Ja",ISNUMBER(W500),N(X500)&gt;0),IFERROR(N(INDEX(Parameter!$L$5:$L$7,W500))*INDEX(Parameter!$E$5:$E$7,W500)*X500/SUMIFS($X$7:$X$1843,$W$7:$W$1843,W500),0),0)</f>
        <v>0</v>
      </c>
    </row>
    <row r="501" customFormat="false" ht="15" hidden="false" customHeight="false" outlineLevel="0" collapsed="false">
      <c r="A501" s="48" t="s">
        <v>1109</v>
      </c>
      <c r="B501" s="48" t="s">
        <v>670</v>
      </c>
      <c r="C501" s="48" t="s">
        <v>173</v>
      </c>
      <c r="D501" s="48" t="s">
        <v>193</v>
      </c>
      <c r="E501" s="48" t="s">
        <v>194</v>
      </c>
      <c r="F501" s="48" t="s">
        <v>227</v>
      </c>
      <c r="G501" s="49" t="n">
        <v>9.38</v>
      </c>
      <c r="H501" s="50" t="n">
        <f aca="false">MAX(0,IF(AND(Parameter!$B$21="Ja",ISNUMBER(Y501)),Y501,IF(Parameter!$B$20="Jahresanfang 2025 + Export",BR501+BQ501,BQ501)))</f>
        <v>92</v>
      </c>
      <c r="I501" s="50" t="n">
        <f aca="false">H501*G501</f>
        <v>862.96</v>
      </c>
      <c r="J501" s="50" t="n">
        <f aca="false">BT501*Parameter!$B$18</f>
        <v>262</v>
      </c>
      <c r="K501" s="51" t="n">
        <v>95</v>
      </c>
      <c r="L501" s="52" t="n">
        <v>2.75789473684211</v>
      </c>
      <c r="M501" s="50" t="n">
        <v>15</v>
      </c>
      <c r="N501" s="50" t="n">
        <v>100</v>
      </c>
      <c r="O501" s="53" t="n">
        <v>21</v>
      </c>
      <c r="P501" s="48" t="s">
        <v>311</v>
      </c>
      <c r="Q501" s="50" t="n">
        <v>454</v>
      </c>
      <c r="R501" s="53" t="n">
        <f aca="false">IF(BZ501=1,0,IFERROR(VLOOKUP(BX501,'Gebinde-Kategorie'!$A$5:$N$45,13,0)+0,0))</f>
        <v>26</v>
      </c>
      <c r="S501" s="54"/>
      <c r="T501" s="55"/>
      <c r="U501" s="55"/>
      <c r="V501" s="55"/>
      <c r="W501" s="48"/>
      <c r="X501" s="50"/>
      <c r="Y501" s="50"/>
      <c r="Z501" s="48" t="n">
        <f aca="false">IF(A501="","",IF(AND(Parameter!$B$21="Ja",ISNUMBER(W501)),W501,IF(CC501="2+3",IF(ISNUMBER(SEARCH("grosser Artikel",BU501)),2,IFERROR(VLOOKUP(BX501,Parameter!$F$35:$G$64,2,0),2)),IF(OR(CC501="Nein",CC501=""),"-",CC501))))</f>
        <v>3</v>
      </c>
      <c r="AA501" s="55"/>
      <c r="AB501" s="56"/>
      <c r="AC501" s="50" t="n">
        <f aca="false">AV501</f>
        <v>160</v>
      </c>
      <c r="AD501" s="50" t="n">
        <f aca="false">MAX(AV501,H501)</f>
        <v>160</v>
      </c>
      <c r="AE501" s="57"/>
      <c r="AF501" s="50" t="n">
        <f aca="false">IF(LEFT(Cockpit!$C$5,1)="A",H501,IF(Parameter!$E$30="MAX-Bestand",IF(CH501=1,CI501,IF(LEFT(Cockpit!$C$5,1)="B",AL501,MAX(AL501,H501))),ROUNDUP(AJ501,0)))</f>
        <v>92</v>
      </c>
      <c r="AG501" s="50" t="n">
        <f aca="false">IF(BZ501=1,0,ROUNDUP(AF501/BY501,0))</f>
        <v>1</v>
      </c>
      <c r="AH501" s="52" t="n">
        <f aca="false">IF(CQ501&gt;0,CQ501*MAX(1,AF501/X501),IF(BZ501=1,IF(AF501&lt;=0,0,CD501*MAX(1,IF(H501&gt;0,AF501/H501,1))),IF(R501&gt;0,AG501/R501,0))/MAX(0.1,N(Parameter!$M$21)))</f>
        <v>0.0384615384615385</v>
      </c>
      <c r="AI501" s="50" t="n">
        <f aca="false">AH501*CB501</f>
        <v>5.96153846153846</v>
      </c>
      <c r="AJ501" s="51" t="n">
        <f aca="false">IF(LEFT(Cockpit!$C$5,1)="A",H501,IF(CH501=1,(CK501+CI501)/2,IF(LEFT(Cockpit!$C$5,1)="B",(CK501+AL501)/2,MAX((CK501+AL501)/2,H501))))</f>
        <v>92</v>
      </c>
      <c r="AK501" s="50" t="n">
        <f aca="false">AJ501*G501</f>
        <v>862.96</v>
      </c>
      <c r="AL501" s="50" t="n">
        <f aca="false">ROUNDUP(CK501+MAX(CL501,2*(J501/IF(CG501&gt;0,CG501,MAX(0.1,N(Cockpit!$C$6)))-CK501)),0)</f>
        <v>160</v>
      </c>
      <c r="AM501" s="51" t="n">
        <f aca="false">IF(AI501&gt;0,J501/AI501,-1)</f>
        <v>43.9483870967742</v>
      </c>
      <c r="AN501" s="51" t="n">
        <f aca="false">IF(AND(OR(CF501="L1",CF501="L23",CF501="LIFT"),AI501&gt;0),SUMIFS($AI$7:$AI$1843,$CF$7:$CF$1843,CF501,$AM$7:$AM$1843,"&gt;"&amp;AM501)+SUMIFS($AI$7:$AI$1843,$CF$7:$CF$1843,CF501,$AM$7:$AM$1843,AM501,$BW$7:$BW$1843,"&lt;="&amp;BW501),"")</f>
        <v>1172.57692307692</v>
      </c>
      <c r="AO501" s="58" t="n">
        <f aca="false">IF(AN501="",0,MAX(0,MIN(1,(IF(CF501="L1",Parameter!$H$5,IF(CF501="L23",Parameter!$H$6+Parameter!$H$7,Parameter!$H$5+Parameter!$H$6+Parameter!$H$7))-(AN501-AI501))/AI501)))</f>
        <v>1</v>
      </c>
      <c r="AP501" s="50" t="n">
        <f aca="false">IF(LEFT(Cockpit!$I$5,1)="A",H501,IF(Parameter!$E$30="MAX-Bestand",IF(CH501=1,CI501,IF(LEFT(Cockpit!$I$5,1)="B",AV501,MAX(AV501,H501))),ROUNDUP(AT501,0)))</f>
        <v>92</v>
      </c>
      <c r="AQ501" s="50" t="n">
        <f aca="false">IF(BZ501=1,0,ROUNDUP(AP501/BY501,0))</f>
        <v>1</v>
      </c>
      <c r="AR501" s="52" t="n">
        <f aca="false">IF(CQ501&gt;0,CQ501*MAX(1,AP501/X501),IF(BZ501=1,IF(AP501&lt;=0,0,CD501*MAX(1,IF(H501&gt;0,AP501/H501,1))),IF(R501&gt;0,AQ501/R501,0))/MAX(0.1,N(Parameter!$M$21)))</f>
        <v>0.0384615384615385</v>
      </c>
      <c r="AS501" s="50" t="n">
        <f aca="false">AR501*CB501</f>
        <v>5.96153846153846</v>
      </c>
      <c r="AT501" s="51" t="n">
        <f aca="false">IF(LEFT(Cockpit!$I$5,1)="A",H501,IF(CH501=1,(CK501+CI501)/2,IF(LEFT(Cockpit!$I$5,1)="B",(CK501+AV501)/2,MAX((CK501+AV501)/2,H501))))</f>
        <v>92</v>
      </c>
      <c r="AU501" s="50" t="n">
        <f aca="false">AT501*G501</f>
        <v>862.96</v>
      </c>
      <c r="AV501" s="50" t="n">
        <f aca="false">ROUNDUP(CK501+MAX(CL501,2*(J501/IF(CG501&gt;0,CG501,MAX(0.1,N(Cockpit!$I$6)))-CK501)),0)</f>
        <v>160</v>
      </c>
      <c r="AW501" s="51" t="n">
        <f aca="false">IF(AS501&gt;0,J501/AS501,-1)</f>
        <v>43.9483870967742</v>
      </c>
      <c r="AX501" s="51" t="n">
        <f aca="false">IF(AND(OR(CF501="L1",CF501="L23",CF501="LIFT"),AS501&gt;0),SUMIFS($AS$7:$AS$1843,$CF$7:$CF$1843,CF501,$AW$7:$AW$1843,"&gt;"&amp;AW501)+SUMIFS($AS$7:$AS$1843,$CF$7:$CF$1843,CF501,$AW$7:$AW$1843,AW501,$BW$7:$BW$1843,"&lt;="&amp;BW501),"")</f>
        <v>1458.78891941392</v>
      </c>
      <c r="AY501" s="58" t="n">
        <f aca="false">IF(AX501="",0,MAX(0,MIN(1,(IF(CF501="L1",Parameter!$H$5,IF(CF501="L23",Parameter!$H$6+Parameter!$H$7,Parameter!$H$5+Parameter!$H$6+Parameter!$H$7))-(AX501-AS501))/AS501)))</f>
        <v>1</v>
      </c>
      <c r="AZ501" s="50" t="n">
        <f aca="false">IF(LEFT(Cockpit!$O$5,1)="A",H501,IF(Parameter!$E$30="MAX-Bestand",IF(CH501=1,CI501,IF(LEFT(Cockpit!$O$5,1)="B",BF501,MAX(BF501,H501))),ROUNDUP(BD501,0)))</f>
        <v>66</v>
      </c>
      <c r="BA501" s="50" t="n">
        <f aca="false">IF(BZ501=1,0,ROUNDUP(AZ501/BY501,0))</f>
        <v>1</v>
      </c>
      <c r="BB501" s="52" t="n">
        <f aca="false">IF(CQ501&gt;0,CQ501*MAX(1,AZ501/X501),IF(BZ501=1,IF(AZ501&lt;=0,0,CD501*MAX(1,IF(H501&gt;0,AZ501/H501,1))),IF(R501&gt;0,BA501/R501,0))/MAX(0.1,N(Parameter!$M$21)))</f>
        <v>0.0384615384615385</v>
      </c>
      <c r="BC501" s="50" t="n">
        <f aca="false">BB501*CB501</f>
        <v>5.96153846153846</v>
      </c>
      <c r="BD501" s="51" t="n">
        <f aca="false">IF(LEFT(Cockpit!$O$5,1)="A",H501,IF(CH501=1,(CK501+CI501)/2,IF(LEFT(Cockpit!$O$5,1)="B",(CK501+BF501)/2,MAX((CK501+BF501)/2,H501))))</f>
        <v>65.5</v>
      </c>
      <c r="BE501" s="50" t="n">
        <f aca="false">BD501*G501</f>
        <v>614.39</v>
      </c>
      <c r="BF501" s="50" t="n">
        <f aca="false">ROUNDUP(CK501+MAX(CL501,2*(J501/IF(CG501&gt;0,CG501,MAX(0.1,N(Cockpit!$O$6)))-CK501)),0)</f>
        <v>116</v>
      </c>
      <c r="BG501" s="51" t="n">
        <f aca="false">IF(BC501&gt;0,J501/BC501,-1)</f>
        <v>43.9483870967742</v>
      </c>
      <c r="BH501" s="51" t="n">
        <f aca="false">IF(AND(OR(CF501="L1",CF501="L23",CF501="LIFT"),BC501&gt;0),SUMIFS($BC$7:$BC$1843,$CF$7:$CF$1843,CF501,$BG$7:$BG$1843,"&gt;"&amp;BG501)+SUMIFS($BC$7:$BC$1843,$CF$7:$CF$1843,CF501,$BG$7:$BG$1843,BG501,$BW$7:$BW$1843,"&lt;="&amp;BW501),"")</f>
        <v>1234.55906593407</v>
      </c>
      <c r="BI501" s="58" t="n">
        <f aca="false">IF(BH501="",0,MAX(0,MIN(1,(IF(CF501="L1",Parameter!$H$5,IF(CF501="L23",Parameter!$H$6+Parameter!$H$7,Parameter!$H$5+Parameter!$H$6+Parameter!$H$7))-(BH501-BC501))/BC501)))</f>
        <v>1</v>
      </c>
      <c r="BJ501" s="48" t="str">
        <f aca="false">IF(AI501&lt;=0,"",IF(CF501="Aussen","Aussenlager",IF(CF501="-","Nicht im Lift",IF(AO501&gt;=1,"Lift",IF(AO501&lt;=0,"Aussenlager","teilweise")))))</f>
        <v>Lift</v>
      </c>
      <c r="BK501" s="48" t="str">
        <f aca="false">IF(AS501&lt;=0,"",IF(CF501="Aussen","Aussenlager",IF(CF501="-","Nicht im Lift",IF(AY501&gt;=1,"Lift",IF(AY501&lt;=0,"Aussenlager","teilweise")))))</f>
        <v>Lift</v>
      </c>
      <c r="BL501" s="48" t="str">
        <f aca="false">IF(BC501&lt;=0,"",IF(CF501="Aussen","Aussenlager",IF(CF501="-","Nicht im Lift",IF(BI501&gt;=1,"Lift",IF(BI501&lt;=0,"Aussenlager","teilweise")))))</f>
        <v>Lift</v>
      </c>
      <c r="BM501" s="48" t="str">
        <f aca="false">IF(A501="","",IF(BV501=1,"Neu; ","")&amp;IF(AND(BV501=0,BQ501&lt;0),"negativer Bestand (Export "&amp;BQ501&amp;"); ","")&amp;IF(J501&lt;=0,"Kein Verbrauch; ","")&amp;IF(CQ501&gt;0,"Lift "&amp;W501&amp;" lt. Liftbericht (Fach "&amp;X501&amp;" Stk); ",IF(CA501=1,"Gebinde geschätzt ("&amp;T501&amp;"); ",IF(BZ501=1,"Lose – Tablare geschätzt; ","")))&amp;IF(H501&gt;AV501,"Überbestand "&amp;ROUND(H501-AV501,0)&amp;" Stk / CHF "&amp;ROUND((H501-AV501)*G501,0)&amp;"; ","")&amp;IF(AND(CH501=1,CI501&lt;CJ501),"MAX &lt; MB+LG; ","")&amp;IF(AND(CP501&gt;0,CO501*10&gt;CP501),"zu hoch für Tablar; ","")&amp;IF(AND(BV501=0,OR(CH501=1,AA501&lt;&gt;"",U501&lt;&gt;"",V501&lt;&gt;"",AB501&lt;&gt;"")),"manuell übersteuert; ","")&amp;IF(AND(BZ501=0,R501=0),"Gebinde unbekannt / Stellmass fehlt; ","")&amp;IF(AND(BZ501=0,N(V501)&lt;=0,N(Q501)&lt;=0),"Menge pro Gebinde fehlt (Ist = 1 Gebinde); ","")&amp;BU501)</f>
        <v/>
      </c>
      <c r="BN501" s="48"/>
      <c r="BO501" s="48"/>
      <c r="BP501" s="55"/>
      <c r="BQ501" s="50" t="n">
        <v>28</v>
      </c>
      <c r="BR501" s="50" t="n">
        <v>64</v>
      </c>
      <c r="BS501" s="49" t="n">
        <v>37.3599999999999</v>
      </c>
      <c r="BT501" s="50" t="n">
        <v>262</v>
      </c>
      <c r="BU501" s="48"/>
      <c r="BV501" s="53" t="n">
        <v>0</v>
      </c>
      <c r="BW501" s="53" t="n">
        <v>501</v>
      </c>
      <c r="BX501" s="48" t="str">
        <f aca="false">IF(U501&lt;&gt;"",UPPER(TRIM(U501)),IF(CA501=1,UPPER(VLOOKUP(T501,Parameter!$I$27:$K$29,2,0)),IF(P501="","LOSE",P501)))</f>
        <v>S51</v>
      </c>
      <c r="BY501" s="50" t="n">
        <f aca="false">IF(BX501="LOSE",1,IF(N(V501)&gt;0,V501,IF(CA501=1,MAX(1,N(VLOOKUP(T501,Parameter!$I$27:$K$29,3,0)),H501,N(N501)),IF(N(Q501)&gt;0,Q501,MAX(1,H501)))))</f>
        <v>454</v>
      </c>
      <c r="BZ501" s="53" t="n">
        <f aca="false">IF(BX501="LOSE",1,0)</f>
        <v>0</v>
      </c>
      <c r="CA501" s="53" t="n">
        <f aca="false">IF(AND(U501="",OR(P501="",P501="LOSE"),T501&lt;&gt;"",N(S501)&lt;=0,ISNUMBER(MATCH(T501,Parameter!$I$27:$I$29,0))),1,0)</f>
        <v>0</v>
      </c>
      <c r="CB501" s="53" t="n">
        <f aca="false">IF(CQ501&gt;0,INDEX(Parameter!$H$5:$H$7,W501)/INDEX(Parameter!$E$5:$E$7,W501),IF(AND(BZ501=0,N(IFERROR(VLOOKUP(BX501,'Gebinde-Kategorie'!$A$5:$N$45,14,0),0))&gt;0),VLOOKUP(BX501,'Gebinde-Kategorie'!$A$5:$N$45,14,0)*10+Parameter!$M$23,Parameter!$M$24))</f>
        <v>155</v>
      </c>
      <c r="CC501" s="48" t="str">
        <f aca="false">IF(AND(Parameter!$B$19="Ja",E501&lt;&gt;"",ISNUMBER(MATCH(E501,Parameter!$I$35:$I$52,0))),VLOOKUP(E501,Parameter!$I$35:$J$52,2,0),IFERROR(VLOOKUP(D501,Parameter!$A$35:$C$64,2,0),"Nein"))</f>
        <v>2+3</v>
      </c>
      <c r="CD501" s="52" t="n">
        <f aca="false">IF(BZ501=0,0,IF(N(S501)&gt;0,S501,IFERROR(VLOOKUP(D501,Parameter!$A$35:$C$64,3,0)+0,0)))</f>
        <v>0</v>
      </c>
      <c r="CE501" s="48" t="n">
        <f aca="false">IF(AA501&lt;&gt;"",AA501,Z501)</f>
        <v>3</v>
      </c>
      <c r="CF501" s="48" t="str">
        <f aca="false">IF(OR(CE501=1,CE501=2,CE501=3),IF(Parameter!$E$27="Ja","LIFT",IF(CE501=1,"L1","L23")),IF(CE501="Aussen","Aussen","-"))</f>
        <v>LIFT</v>
      </c>
      <c r="CG501" s="59" t="n">
        <f aca="false">IF(N(AB501)&gt;0,AB501,0)</f>
        <v>0</v>
      </c>
      <c r="CH501" s="53" t="n">
        <f aca="false">IF(ISNUMBER(AE501),1,0)</f>
        <v>0</v>
      </c>
      <c r="CI501" s="50" t="n">
        <f aca="false">N(AE501)</f>
        <v>0</v>
      </c>
      <c r="CJ501" s="50" t="n">
        <f aca="false">N(M501)+N(N501)</f>
        <v>115</v>
      </c>
      <c r="CK501" s="50" t="n">
        <f aca="false">N(M501)</f>
        <v>15</v>
      </c>
      <c r="CL501" s="50" t="n">
        <f aca="false">N(N501)</f>
        <v>100</v>
      </c>
      <c r="CM501" s="50" t="n">
        <f aca="false">ROUNDUP(H501/BY501,0)</f>
        <v>1</v>
      </c>
      <c r="CN501" s="50" t="n">
        <f aca="false">ROUNDUP(CI501/BY501,0)</f>
        <v>0</v>
      </c>
      <c r="CO501" s="53" t="n">
        <f aca="false">IF(BZ501=1,0,IFERROR(VLOOKUP(BX501,'Gebinde-Kategorie'!$A$5:$N$45,5,0)+0,0))</f>
        <v>11</v>
      </c>
      <c r="CP501" s="53" t="n">
        <f aca="false">IFERROR(IF(OR(CE501=1,CE501=2,CE501=3),N(INDEX(Parameter!$I$5:$I$7,CE501)),0),0)</f>
        <v>0</v>
      </c>
      <c r="CQ501" s="52" t="n">
        <f aca="false">IF(AND(Parameter!$B$21="Ja",ISNUMBER(W501),N(X501)&gt;0),IFERROR(N(INDEX(Parameter!$L$5:$L$7,W501))*INDEX(Parameter!$E$5:$E$7,W501)*X501/SUMIFS($X$7:$X$1843,$W$7:$W$1843,W501),0),0)</f>
        <v>0</v>
      </c>
    </row>
    <row r="502" customFormat="false" ht="15" hidden="false" customHeight="false" outlineLevel="0" collapsed="false">
      <c r="A502" s="48" t="s">
        <v>1110</v>
      </c>
      <c r="B502" s="48" t="s">
        <v>1111</v>
      </c>
      <c r="C502" s="48" t="s">
        <v>173</v>
      </c>
      <c r="D502" s="48" t="s">
        <v>193</v>
      </c>
      <c r="E502" s="48" t="s">
        <v>194</v>
      </c>
      <c r="F502" s="48" t="s">
        <v>227</v>
      </c>
      <c r="G502" s="49" t="n">
        <v>12.02</v>
      </c>
      <c r="H502" s="50" t="n">
        <f aca="false">MAX(0,IF(AND(Parameter!$B$21="Ja",ISNUMBER(Y502)),Y502,IF(Parameter!$B$20="Jahresanfang 2025 + Export",BR502+BQ502,BQ502)))</f>
        <v>25</v>
      </c>
      <c r="I502" s="50" t="n">
        <f aca="false">H502*G502</f>
        <v>300.5</v>
      </c>
      <c r="J502" s="50" t="n">
        <f aca="false">BT502*Parameter!$B$18</f>
        <v>30</v>
      </c>
      <c r="K502" s="51" t="n">
        <v>22.5</v>
      </c>
      <c r="L502" s="52" t="n">
        <v>1.33333333333333</v>
      </c>
      <c r="M502" s="50" t="n">
        <v>2</v>
      </c>
      <c r="N502" s="50" t="n">
        <v>30</v>
      </c>
      <c r="O502" s="53" t="n">
        <v>28</v>
      </c>
      <c r="P502" s="48" t="s">
        <v>435</v>
      </c>
      <c r="Q502" s="50" t="n">
        <v>22</v>
      </c>
      <c r="R502" s="53" t="n">
        <f aca="false">IF(BZ502=1,0,IFERROR(VLOOKUP(BX502,'Gebinde-Kategorie'!$A$5:$N$45,13,0)+0,0))</f>
        <v>140</v>
      </c>
      <c r="S502" s="54"/>
      <c r="T502" s="55"/>
      <c r="U502" s="55"/>
      <c r="V502" s="55"/>
      <c r="W502" s="48"/>
      <c r="X502" s="50"/>
      <c r="Y502" s="50"/>
      <c r="Z502" s="48" t="n">
        <f aca="false">IF(A502="","",IF(AND(Parameter!$B$21="Ja",ISNUMBER(W502)),W502,IF(CC502="2+3",IF(ISNUMBER(SEARCH("grosser Artikel",BU502)),2,IFERROR(VLOOKUP(BX502,Parameter!$F$35:$G$64,2,0),2)),IF(OR(CC502="Nein",CC502=""),"-",CC502))))</f>
        <v>3</v>
      </c>
      <c r="AA502" s="55"/>
      <c r="AB502" s="56"/>
      <c r="AC502" s="50" t="n">
        <f aca="false">AV502</f>
        <v>32</v>
      </c>
      <c r="AD502" s="50" t="n">
        <f aca="false">MAX(AV502,H502)</f>
        <v>32</v>
      </c>
      <c r="AE502" s="57"/>
      <c r="AF502" s="50" t="n">
        <f aca="false">IF(LEFT(Cockpit!$C$5,1)="A",H502,IF(Parameter!$E$30="MAX-Bestand",IF(CH502=1,CI502,IF(LEFT(Cockpit!$C$5,1)="B",AL502,MAX(AL502,H502))),ROUNDUP(AJ502,0)))</f>
        <v>25</v>
      </c>
      <c r="AG502" s="50" t="n">
        <f aca="false">IF(BZ502=1,0,ROUNDUP(AF502/BY502,0))</f>
        <v>2</v>
      </c>
      <c r="AH502" s="52" t="n">
        <f aca="false">IF(CQ502&gt;0,CQ502*MAX(1,AF502/X502),IF(BZ502=1,IF(AF502&lt;=0,0,CD502*MAX(1,IF(H502&gt;0,AF502/H502,1))),IF(R502&gt;0,AG502/R502,0))/MAX(0.1,N(Parameter!$M$21)))</f>
        <v>0.0142857142857143</v>
      </c>
      <c r="AI502" s="50" t="n">
        <f aca="false">AH502*CB502</f>
        <v>2.21428571428571</v>
      </c>
      <c r="AJ502" s="51" t="n">
        <f aca="false">IF(LEFT(Cockpit!$C$5,1)="A",H502,IF(CH502=1,(CK502+CI502)/2,IF(LEFT(Cockpit!$C$5,1)="B",(CK502+AL502)/2,MAX((CK502+AL502)/2,H502))))</f>
        <v>25</v>
      </c>
      <c r="AK502" s="50" t="n">
        <f aca="false">AJ502*G502</f>
        <v>300.5</v>
      </c>
      <c r="AL502" s="50" t="n">
        <f aca="false">ROUNDUP(CK502+MAX(CL502,2*(J502/IF(CG502&gt;0,CG502,MAX(0.1,N(Cockpit!$C$6)))-CK502)),0)</f>
        <v>32</v>
      </c>
      <c r="AM502" s="51" t="n">
        <f aca="false">IF(AI502&gt;0,J502/AI502,-1)</f>
        <v>13.5483870967742</v>
      </c>
      <c r="AN502" s="51" t="n">
        <f aca="false">IF(AND(OR(CF502="L1",CF502="L23",CF502="LIFT"),AI502&gt;0),SUMIFS($AI$7:$AI$1843,$CF$7:$CF$1843,CF502,$AM$7:$AM$1843,"&gt;"&amp;AM502)+SUMIFS($AI$7:$AI$1843,$CF$7:$CF$1843,CF502,$AM$7:$AM$1843,AM502,$BW$7:$BW$1843,"&lt;="&amp;BW502),"")</f>
        <v>2340.6217948718</v>
      </c>
      <c r="AO502" s="58" t="n">
        <f aca="false">IF(AN502="",0,MAX(0,MIN(1,(IF(CF502="L1",Parameter!$H$5,IF(CF502="L23",Parameter!$H$6+Parameter!$H$7,Parameter!$H$5+Parameter!$H$6+Parameter!$H$7))-(AN502-AI502))/AI502)))</f>
        <v>1</v>
      </c>
      <c r="AP502" s="50" t="n">
        <f aca="false">IF(LEFT(Cockpit!$I$5,1)="A",H502,IF(Parameter!$E$30="MAX-Bestand",IF(CH502=1,CI502,IF(LEFT(Cockpit!$I$5,1)="B",AV502,MAX(AV502,H502))),ROUNDUP(AT502,0)))</f>
        <v>25</v>
      </c>
      <c r="AQ502" s="50" t="n">
        <f aca="false">IF(BZ502=1,0,ROUNDUP(AP502/BY502,0))</f>
        <v>2</v>
      </c>
      <c r="AR502" s="52" t="n">
        <f aca="false">IF(CQ502&gt;0,CQ502*MAX(1,AP502/X502),IF(BZ502=1,IF(AP502&lt;=0,0,CD502*MAX(1,IF(H502&gt;0,AP502/H502,1))),IF(R502&gt;0,AQ502/R502,0))/MAX(0.1,N(Parameter!$M$21)))</f>
        <v>0.0142857142857143</v>
      </c>
      <c r="AS502" s="50" t="n">
        <f aca="false">AR502*CB502</f>
        <v>2.21428571428571</v>
      </c>
      <c r="AT502" s="51" t="n">
        <f aca="false">IF(LEFT(Cockpit!$I$5,1)="A",H502,IF(CH502=1,(CK502+CI502)/2,IF(LEFT(Cockpit!$I$5,1)="B",(CK502+AV502)/2,MAX((CK502+AV502)/2,H502))))</f>
        <v>25</v>
      </c>
      <c r="AU502" s="50" t="n">
        <f aca="false">AT502*G502</f>
        <v>300.5</v>
      </c>
      <c r="AV502" s="50" t="n">
        <f aca="false">ROUNDUP(CK502+MAX(CL502,2*(J502/IF(CG502&gt;0,CG502,MAX(0.1,N(Cockpit!$I$6)))-CK502)),0)</f>
        <v>32</v>
      </c>
      <c r="AW502" s="51" t="n">
        <f aca="false">IF(AS502&gt;0,J502/AS502,-1)</f>
        <v>13.5483870967742</v>
      </c>
      <c r="AX502" s="51" t="n">
        <f aca="false">IF(AND(OR(CF502="L1",CF502="L23",CF502="LIFT"),AS502&gt;0),SUMIFS($AS$7:$AS$1843,$CF$7:$CF$1843,CF502,$AW$7:$AW$1843,"&gt;"&amp;AW502)+SUMIFS($AS$7:$AS$1843,$CF$7:$CF$1843,CF502,$AW$7:$AW$1843,AW502,$BW$7:$BW$1843,"&lt;="&amp;BW502),"")</f>
        <v>2959.80860805861</v>
      </c>
      <c r="AY502" s="58" t="n">
        <f aca="false">IF(AX502="",0,MAX(0,MIN(1,(IF(CF502="L1",Parameter!$H$5,IF(CF502="L23",Parameter!$H$6+Parameter!$H$7,Parameter!$H$5+Parameter!$H$6+Parameter!$H$7))-(AX502-AS502))/AS502)))</f>
        <v>1</v>
      </c>
      <c r="AZ502" s="50" t="n">
        <f aca="false">IF(LEFT(Cockpit!$O$5,1)="A",H502,IF(Parameter!$E$30="MAX-Bestand",IF(CH502=1,CI502,IF(LEFT(Cockpit!$O$5,1)="B",BF502,MAX(BF502,H502))),ROUNDUP(BD502,0)))</f>
        <v>17</v>
      </c>
      <c r="BA502" s="50" t="n">
        <f aca="false">IF(BZ502=1,0,ROUNDUP(AZ502/BY502,0))</f>
        <v>1</v>
      </c>
      <c r="BB502" s="52" t="n">
        <f aca="false">IF(CQ502&gt;0,CQ502*MAX(1,AZ502/X502),IF(BZ502=1,IF(AZ502&lt;=0,0,CD502*MAX(1,IF(H502&gt;0,AZ502/H502,1))),IF(R502&gt;0,BA502/R502,0))/MAX(0.1,N(Parameter!$M$21)))</f>
        <v>0.00714285714285714</v>
      </c>
      <c r="BC502" s="50" t="n">
        <f aca="false">BB502*CB502</f>
        <v>1.10714285714286</v>
      </c>
      <c r="BD502" s="51" t="n">
        <f aca="false">IF(LEFT(Cockpit!$O$5,1)="A",H502,IF(CH502=1,(CK502+CI502)/2,IF(LEFT(Cockpit!$O$5,1)="B",(CK502+BF502)/2,MAX((CK502+BF502)/2,H502))))</f>
        <v>17</v>
      </c>
      <c r="BE502" s="50" t="n">
        <f aca="false">BD502*G502</f>
        <v>204.34</v>
      </c>
      <c r="BF502" s="50" t="n">
        <f aca="false">ROUNDUP(CK502+MAX(CL502,2*(J502/IF(CG502&gt;0,CG502,MAX(0.1,N(Cockpit!$O$6)))-CK502)),0)</f>
        <v>32</v>
      </c>
      <c r="BG502" s="51" t="n">
        <f aca="false">IF(BC502&gt;0,J502/BC502,-1)</f>
        <v>27.0967741935484</v>
      </c>
      <c r="BH502" s="51" t="n">
        <f aca="false">IF(AND(OR(CF502="L1",CF502="L23",CF502="LIFT"),BC502&gt;0),SUMIFS($BC$7:$BC$1843,$CF$7:$CF$1843,CF502,$BG$7:$BG$1843,"&gt;"&amp;BG502)+SUMIFS($BC$7:$BC$1843,$CF$7:$CF$1843,CF502,$BG$7:$BG$1843,BG502,$BW$7:$BW$1843,"&lt;="&amp;BW502),"")</f>
        <v>1945.80402930403</v>
      </c>
      <c r="BI502" s="58" t="n">
        <f aca="false">IF(BH502="",0,MAX(0,MIN(1,(IF(CF502="L1",Parameter!$H$5,IF(CF502="L23",Parameter!$H$6+Parameter!$H$7,Parameter!$H$5+Parameter!$H$6+Parameter!$H$7))-(BH502-BC502))/BC502)))</f>
        <v>1</v>
      </c>
      <c r="BJ502" s="48" t="str">
        <f aca="false">IF(AI502&lt;=0,"",IF(CF502="Aussen","Aussenlager",IF(CF502="-","Nicht im Lift",IF(AO502&gt;=1,"Lift",IF(AO502&lt;=0,"Aussenlager","teilweise")))))</f>
        <v>Lift</v>
      </c>
      <c r="BK502" s="48" t="str">
        <f aca="false">IF(AS502&lt;=0,"",IF(CF502="Aussen","Aussenlager",IF(CF502="-","Nicht im Lift",IF(AY502&gt;=1,"Lift",IF(AY502&lt;=0,"Aussenlager","teilweise")))))</f>
        <v>Lift</v>
      </c>
      <c r="BL502" s="48" t="str">
        <f aca="false">IF(BC502&lt;=0,"",IF(CF502="Aussen","Aussenlager",IF(CF502="-","Nicht im Lift",IF(BI502&gt;=1,"Lift",IF(BI502&lt;=0,"Aussenlager","teilweise")))))</f>
        <v>Lift</v>
      </c>
      <c r="BM502" s="48" t="str">
        <f aca="false">IF(A502="","",IF(BV502=1,"Neu; ","")&amp;IF(AND(BV502=0,BQ502&lt;0),"negativer Bestand (Export "&amp;BQ502&amp;"); ","")&amp;IF(J502&lt;=0,"Kein Verbrauch; ","")&amp;IF(CQ502&gt;0,"Lift "&amp;W502&amp;" lt. Liftbericht (Fach "&amp;X502&amp;" Stk); ",IF(CA502=1,"Gebinde geschätzt ("&amp;T502&amp;"); ",IF(BZ502=1,"Lose – Tablare geschätzt; ","")))&amp;IF(H502&gt;AV502,"Überbestand "&amp;ROUND(H502-AV502,0)&amp;" Stk / CHF "&amp;ROUND((H502-AV502)*G502,0)&amp;"; ","")&amp;IF(AND(CH502=1,CI502&lt;CJ502),"MAX &lt; MB+LG; ","")&amp;IF(AND(CP502&gt;0,CO502*10&gt;CP502),"zu hoch für Tablar; ","")&amp;IF(AND(BV502=0,OR(CH502=1,AA502&lt;&gt;"",U502&lt;&gt;"",V502&lt;&gt;"",AB502&lt;&gt;"")),"manuell übersteuert; ","")&amp;IF(AND(BZ502=0,R502=0),"Gebinde unbekannt / Stellmass fehlt; ","")&amp;IF(AND(BZ502=0,N(V502)&lt;=0,N(Q502)&lt;=0),"Menge pro Gebinde fehlt (Ist = 1 Gebinde); ","")&amp;BU502)</f>
        <v/>
      </c>
      <c r="BN502" s="48"/>
      <c r="BO502" s="48"/>
      <c r="BP502" s="55"/>
      <c r="BQ502" s="50" t="n">
        <v>0</v>
      </c>
      <c r="BR502" s="50" t="n">
        <v>25</v>
      </c>
      <c r="BS502" s="49" t="n">
        <v>36.4999999999999</v>
      </c>
      <c r="BT502" s="50" t="n">
        <v>30</v>
      </c>
      <c r="BU502" s="48"/>
      <c r="BV502" s="53" t="n">
        <v>0</v>
      </c>
      <c r="BW502" s="53" t="n">
        <v>502</v>
      </c>
      <c r="BX502" s="48" t="str">
        <f aca="false">IF(U502&lt;&gt;"",UPPER(TRIM(U502)),IF(CA502=1,UPPER(VLOOKUP(T502,Parameter!$I$27:$K$29,2,0)),IF(P502="","LOSE",P502)))</f>
        <v>S22</v>
      </c>
      <c r="BY502" s="50" t="n">
        <f aca="false">IF(BX502="LOSE",1,IF(N(V502)&gt;0,V502,IF(CA502=1,MAX(1,N(VLOOKUP(T502,Parameter!$I$27:$K$29,3,0)),H502,N(N502)),IF(N(Q502)&gt;0,Q502,MAX(1,H502)))))</f>
        <v>22</v>
      </c>
      <c r="BZ502" s="53" t="n">
        <f aca="false">IF(BX502="LOSE",1,0)</f>
        <v>0</v>
      </c>
      <c r="CA502" s="53" t="n">
        <f aca="false">IF(AND(U502="",OR(P502="",P502="LOSE"),T502&lt;&gt;"",N(S502)&lt;=0,ISNUMBER(MATCH(T502,Parameter!$I$27:$I$29,0))),1,0)</f>
        <v>0</v>
      </c>
      <c r="CB502" s="53" t="n">
        <f aca="false">IF(CQ502&gt;0,INDEX(Parameter!$H$5:$H$7,W502)/INDEX(Parameter!$E$5:$E$7,W502),IF(AND(BZ502=0,N(IFERROR(VLOOKUP(BX502,'Gebinde-Kategorie'!$A$5:$N$45,14,0),0))&gt;0),VLOOKUP(BX502,'Gebinde-Kategorie'!$A$5:$N$45,14,0)*10+Parameter!$M$23,Parameter!$M$24))</f>
        <v>155</v>
      </c>
      <c r="CC502" s="48" t="str">
        <f aca="false">IF(AND(Parameter!$B$19="Ja",E502&lt;&gt;"",ISNUMBER(MATCH(E502,Parameter!$I$35:$I$52,0))),VLOOKUP(E502,Parameter!$I$35:$J$52,2,0),IFERROR(VLOOKUP(D502,Parameter!$A$35:$C$64,2,0),"Nein"))</f>
        <v>2+3</v>
      </c>
      <c r="CD502" s="52" t="n">
        <f aca="false">IF(BZ502=0,0,IF(N(S502)&gt;0,S502,IFERROR(VLOOKUP(D502,Parameter!$A$35:$C$64,3,0)+0,0)))</f>
        <v>0</v>
      </c>
      <c r="CE502" s="48" t="n">
        <f aca="false">IF(AA502&lt;&gt;"",AA502,Z502)</f>
        <v>3</v>
      </c>
      <c r="CF502" s="48" t="str">
        <f aca="false">IF(OR(CE502=1,CE502=2,CE502=3),IF(Parameter!$E$27="Ja","LIFT",IF(CE502=1,"L1","L23")),IF(CE502="Aussen","Aussen","-"))</f>
        <v>LIFT</v>
      </c>
      <c r="CG502" s="59" t="n">
        <f aca="false">IF(N(AB502)&gt;0,AB502,0)</f>
        <v>0</v>
      </c>
      <c r="CH502" s="53" t="n">
        <f aca="false">IF(ISNUMBER(AE502),1,0)</f>
        <v>0</v>
      </c>
      <c r="CI502" s="50" t="n">
        <f aca="false">N(AE502)</f>
        <v>0</v>
      </c>
      <c r="CJ502" s="50" t="n">
        <f aca="false">N(M502)+N(N502)</f>
        <v>32</v>
      </c>
      <c r="CK502" s="50" t="n">
        <f aca="false">N(M502)</f>
        <v>2</v>
      </c>
      <c r="CL502" s="50" t="n">
        <f aca="false">N(N502)</f>
        <v>30</v>
      </c>
      <c r="CM502" s="50" t="n">
        <f aca="false">ROUNDUP(H502/BY502,0)</f>
        <v>2</v>
      </c>
      <c r="CN502" s="50" t="n">
        <f aca="false">ROUNDUP(CI502/BY502,0)</f>
        <v>0</v>
      </c>
      <c r="CO502" s="53" t="n">
        <f aca="false">IF(BZ502=1,0,IFERROR(VLOOKUP(BX502,'Gebinde-Kategorie'!$A$5:$N$45,5,0)+0,0))</f>
        <v>8</v>
      </c>
      <c r="CP502" s="53" t="n">
        <f aca="false">IFERROR(IF(OR(CE502=1,CE502=2,CE502=3),N(INDEX(Parameter!$I$5:$I$7,CE502)),0),0)</f>
        <v>0</v>
      </c>
      <c r="CQ502" s="52" t="n">
        <f aca="false">IF(AND(Parameter!$B$21="Ja",ISNUMBER(W502),N(X502)&gt;0),IFERROR(N(INDEX(Parameter!$L$5:$L$7,W502))*INDEX(Parameter!$E$5:$E$7,W502)*X502/SUMIFS($X$7:$X$1843,$W$7:$W$1843,W502),0),0)</f>
        <v>0</v>
      </c>
    </row>
    <row r="503" customFormat="false" ht="15" hidden="false" customHeight="false" outlineLevel="0" collapsed="false">
      <c r="A503" s="48" t="s">
        <v>1112</v>
      </c>
      <c r="B503" s="48" t="s">
        <v>1113</v>
      </c>
      <c r="C503" s="48" t="s">
        <v>173</v>
      </c>
      <c r="D503" s="48" t="s">
        <v>193</v>
      </c>
      <c r="E503" s="48" t="s">
        <v>194</v>
      </c>
      <c r="F503" s="48" t="s">
        <v>227</v>
      </c>
      <c r="G503" s="49" t="n">
        <v>2.38</v>
      </c>
      <c r="H503" s="50" t="n">
        <f aca="false">MAX(0,IF(AND(Parameter!$B$21="Ja",ISNUMBER(Y503)),Y503,IF(Parameter!$B$20="Jahresanfang 2025 + Export",BR503+BQ503,BQ503)))</f>
        <v>120</v>
      </c>
      <c r="I503" s="50" t="n">
        <f aca="false">H503*G503</f>
        <v>285.6</v>
      </c>
      <c r="J503" s="50" t="n">
        <f aca="false">BT503*Parameter!$B$18</f>
        <v>0</v>
      </c>
      <c r="K503" s="51" t="n">
        <v>112.5</v>
      </c>
      <c r="L503" s="52" t="n">
        <v>0</v>
      </c>
      <c r="M503" s="50" t="n">
        <v>2</v>
      </c>
      <c r="N503" s="50" t="n">
        <v>50</v>
      </c>
      <c r="O503" s="53" t="n">
        <v>28</v>
      </c>
      <c r="P503" s="48" t="s">
        <v>337</v>
      </c>
      <c r="Q503" s="50" t="n">
        <v>106</v>
      </c>
      <c r="R503" s="53" t="n">
        <f aca="false">IF(BZ503=1,0,IFERROR(VLOOKUP(BX503,'Gebinde-Kategorie'!$A$5:$N$45,13,0)+0,0))</f>
        <v>52</v>
      </c>
      <c r="S503" s="54"/>
      <c r="T503" s="55"/>
      <c r="U503" s="55"/>
      <c r="V503" s="55"/>
      <c r="W503" s="48"/>
      <c r="X503" s="50"/>
      <c r="Y503" s="50"/>
      <c r="Z503" s="48" t="n">
        <f aca="false">IF(A503="","",IF(AND(Parameter!$B$21="Ja",ISNUMBER(W503)),W503,IF(CC503="2+3",IF(ISNUMBER(SEARCH("grosser Artikel",BU503)),2,IFERROR(VLOOKUP(BX503,Parameter!$F$35:$G$64,2,0),2)),IF(OR(CC503="Nein",CC503=""),"-",CC503))))</f>
        <v>3</v>
      </c>
      <c r="AA503" s="55"/>
      <c r="AB503" s="56"/>
      <c r="AC503" s="50" t="n">
        <f aca="false">AV503</f>
        <v>52</v>
      </c>
      <c r="AD503" s="50" t="n">
        <f aca="false">MAX(AV503,H503)</f>
        <v>120</v>
      </c>
      <c r="AE503" s="57"/>
      <c r="AF503" s="50" t="n">
        <f aca="false">IF(LEFT(Cockpit!$C$5,1)="A",H503,IF(Parameter!$E$30="MAX-Bestand",IF(CH503=1,CI503,IF(LEFT(Cockpit!$C$5,1)="B",AL503,MAX(AL503,H503))),ROUNDUP(AJ503,0)))</f>
        <v>120</v>
      </c>
      <c r="AG503" s="50" t="n">
        <f aca="false">IF(BZ503=1,0,ROUNDUP(AF503/BY503,0))</f>
        <v>2</v>
      </c>
      <c r="AH503" s="52" t="n">
        <f aca="false">IF(CQ503&gt;0,CQ503*MAX(1,AF503/X503),IF(BZ503=1,IF(AF503&lt;=0,0,CD503*MAX(1,IF(H503&gt;0,AF503/H503,1))),IF(R503&gt;0,AG503/R503,0))/MAX(0.1,N(Parameter!$M$21)))</f>
        <v>0.0384615384615385</v>
      </c>
      <c r="AI503" s="50" t="n">
        <f aca="false">AH503*CB503</f>
        <v>5.96153846153846</v>
      </c>
      <c r="AJ503" s="51" t="n">
        <f aca="false">IF(LEFT(Cockpit!$C$5,1)="A",H503,IF(CH503=1,(CK503+CI503)/2,IF(LEFT(Cockpit!$C$5,1)="B",(CK503+AL503)/2,MAX((CK503+AL503)/2,H503))))</f>
        <v>120</v>
      </c>
      <c r="AK503" s="50" t="n">
        <f aca="false">AJ503*G503</f>
        <v>285.6</v>
      </c>
      <c r="AL503" s="50" t="n">
        <f aca="false">ROUNDUP(CK503+MAX(CL503,2*(J503/IF(CG503&gt;0,CG503,MAX(0.1,N(Cockpit!$C$6)))-CK503)),0)</f>
        <v>52</v>
      </c>
      <c r="AM503" s="51" t="n">
        <f aca="false">IF(AI503&gt;0,J503/AI503,-1)</f>
        <v>0</v>
      </c>
      <c r="AN503" s="51" t="n">
        <f aca="false">IF(AND(OR(CF503="L1",CF503="L23",CF503="LIFT"),AI503&gt;0),SUMIFS($AI$7:$AI$1843,$CF$7:$CF$1843,CF503,$AM$7:$AM$1843,"&gt;"&amp;AM503)+SUMIFS($AI$7:$AI$1843,$CF$7:$CF$1843,CF503,$AM$7:$AM$1843,AM503,$BW$7:$BW$1843,"&lt;="&amp;BW503),"")</f>
        <v>28259.8614318826</v>
      </c>
      <c r="AO503" s="58" t="n">
        <f aca="false">IF(AN503="",0,MAX(0,MIN(1,(IF(CF503="L1",Parameter!$H$5,IF(CF503="L23",Parameter!$H$6+Parameter!$H$7,Parameter!$H$5+Parameter!$H$6+Parameter!$H$7))-(AN503-AI503))/AI503)))</f>
        <v>1</v>
      </c>
      <c r="AP503" s="50" t="n">
        <f aca="false">IF(LEFT(Cockpit!$I$5,1)="A",H503,IF(Parameter!$E$30="MAX-Bestand",IF(CH503=1,CI503,IF(LEFT(Cockpit!$I$5,1)="B",AV503,MAX(AV503,H503))),ROUNDUP(AT503,0)))</f>
        <v>120</v>
      </c>
      <c r="AQ503" s="50" t="n">
        <f aca="false">IF(BZ503=1,0,ROUNDUP(AP503/BY503,0))</f>
        <v>2</v>
      </c>
      <c r="AR503" s="52" t="n">
        <f aca="false">IF(CQ503&gt;0,CQ503*MAX(1,AP503/X503),IF(BZ503=1,IF(AP503&lt;=0,0,CD503*MAX(1,IF(H503&gt;0,AP503/H503,1))),IF(R503&gt;0,AQ503/R503,0))/MAX(0.1,N(Parameter!$M$21)))</f>
        <v>0.0384615384615385</v>
      </c>
      <c r="AS503" s="50" t="n">
        <f aca="false">AR503*CB503</f>
        <v>5.96153846153846</v>
      </c>
      <c r="AT503" s="51" t="n">
        <f aca="false">IF(LEFT(Cockpit!$I$5,1)="A",H503,IF(CH503=1,(CK503+CI503)/2,IF(LEFT(Cockpit!$I$5,1)="B",(CK503+AV503)/2,MAX((CK503+AV503)/2,H503))))</f>
        <v>120</v>
      </c>
      <c r="AU503" s="50" t="n">
        <f aca="false">AT503*G503</f>
        <v>285.6</v>
      </c>
      <c r="AV503" s="50" t="n">
        <f aca="false">ROUNDUP(CK503+MAX(CL503,2*(J503/IF(CG503&gt;0,CG503,MAX(0.1,N(Cockpit!$I$6)))-CK503)),0)</f>
        <v>52</v>
      </c>
      <c r="AW503" s="51" t="n">
        <f aca="false">IF(AS503&gt;0,J503/AS503,-1)</f>
        <v>0</v>
      </c>
      <c r="AX503" s="51" t="n">
        <f aca="false">IF(AND(OR(CF503="L1",CF503="L23",CF503="LIFT"),AS503&gt;0),SUMIFS($AS$7:$AS$1843,$CF$7:$CF$1843,CF503,$AW$7:$AW$1843,"&gt;"&amp;AW503)+SUMIFS($AS$7:$AS$1843,$CF$7:$CF$1843,CF503,$AW$7:$AW$1843,AW503,$BW$7:$BW$1843,"&lt;="&amp;BW503),"")</f>
        <v>33613.0100732601</v>
      </c>
      <c r="AY503" s="58" t="n">
        <f aca="false">IF(AX503="",0,MAX(0,MIN(1,(IF(CF503="L1",Parameter!$H$5,IF(CF503="L23",Parameter!$H$6+Parameter!$H$7,Parameter!$H$5+Parameter!$H$6+Parameter!$H$7))-(AX503-AS503))/AS503)))</f>
        <v>1</v>
      </c>
      <c r="AZ503" s="50" t="n">
        <f aca="false">IF(LEFT(Cockpit!$O$5,1)="A",H503,IF(Parameter!$E$30="MAX-Bestand",IF(CH503=1,CI503,IF(LEFT(Cockpit!$O$5,1)="B",BF503,MAX(BF503,H503))),ROUNDUP(BD503,0)))</f>
        <v>27</v>
      </c>
      <c r="BA503" s="50" t="n">
        <f aca="false">IF(BZ503=1,0,ROUNDUP(AZ503/BY503,0))</f>
        <v>1</v>
      </c>
      <c r="BB503" s="52" t="n">
        <f aca="false">IF(CQ503&gt;0,CQ503*MAX(1,AZ503/X503),IF(BZ503=1,IF(AZ503&lt;=0,0,CD503*MAX(1,IF(H503&gt;0,AZ503/H503,1))),IF(R503&gt;0,BA503/R503,0))/MAX(0.1,N(Parameter!$M$21)))</f>
        <v>0.0192307692307692</v>
      </c>
      <c r="BC503" s="50" t="n">
        <f aca="false">BB503*CB503</f>
        <v>2.98076923076923</v>
      </c>
      <c r="BD503" s="51" t="n">
        <f aca="false">IF(LEFT(Cockpit!$O$5,1)="A",H503,IF(CH503=1,(CK503+CI503)/2,IF(LEFT(Cockpit!$O$5,1)="B",(CK503+BF503)/2,MAX((CK503+BF503)/2,H503))))</f>
        <v>27</v>
      </c>
      <c r="BE503" s="50" t="n">
        <f aca="false">BD503*G503</f>
        <v>64.26</v>
      </c>
      <c r="BF503" s="50" t="n">
        <f aca="false">ROUNDUP(CK503+MAX(CL503,2*(J503/IF(CG503&gt;0,CG503,MAX(0.1,N(Cockpit!$O$6)))-CK503)),0)</f>
        <v>52</v>
      </c>
      <c r="BG503" s="51" t="n">
        <f aca="false">IF(BC503&gt;0,J503/BC503,-1)</f>
        <v>0</v>
      </c>
      <c r="BH503" s="51" t="n">
        <f aca="false">IF(AND(OR(CF503="L1",CF503="L23",CF503="LIFT"),BC503&gt;0),SUMIFS($BC$7:$BC$1843,$CF$7:$CF$1843,CF503,$BG$7:$BG$1843,"&gt;"&amp;BG503)+SUMIFS($BC$7:$BC$1843,$CF$7:$CF$1843,CF503,$BG$7:$BG$1843,BG503,$BW$7:$BW$1843,"&lt;="&amp;BW503),"")</f>
        <v>27717.2640777302</v>
      </c>
      <c r="BI503" s="58" t="n">
        <f aca="false">IF(BH503="",0,MAX(0,MIN(1,(IF(CF503="L1",Parameter!$H$5,IF(CF503="L23",Parameter!$H$6+Parameter!$H$7,Parameter!$H$5+Parameter!$H$6+Parameter!$H$7))-(BH503-BC503))/BC503)))</f>
        <v>1</v>
      </c>
      <c r="BJ503" s="48" t="str">
        <f aca="false">IF(AI503&lt;=0,"",IF(CF503="Aussen","Aussenlager",IF(CF503="-","Nicht im Lift",IF(AO503&gt;=1,"Lift",IF(AO503&lt;=0,"Aussenlager","teilweise")))))</f>
        <v>Lift</v>
      </c>
      <c r="BK503" s="48" t="str">
        <f aca="false">IF(AS503&lt;=0,"",IF(CF503="Aussen","Aussenlager",IF(CF503="-","Nicht im Lift",IF(AY503&gt;=1,"Lift",IF(AY503&lt;=0,"Aussenlager","teilweise")))))</f>
        <v>Lift</v>
      </c>
      <c r="BL503" s="48" t="str">
        <f aca="false">IF(BC503&lt;=0,"",IF(CF503="Aussen","Aussenlager",IF(CF503="-","Nicht im Lift",IF(BI503&gt;=1,"Lift",IF(BI503&lt;=0,"Aussenlager","teilweise")))))</f>
        <v>Lift</v>
      </c>
      <c r="BM503" s="48" t="str">
        <f aca="false">IF(A503="","",IF(BV503=1,"Neu; ","")&amp;IF(AND(BV503=0,BQ503&lt;0),"negativer Bestand (Export "&amp;BQ503&amp;"); ","")&amp;IF(J503&lt;=0,"Kein Verbrauch; ","")&amp;IF(CQ503&gt;0,"Lift "&amp;W503&amp;" lt. Liftbericht (Fach "&amp;X503&amp;" Stk); ",IF(CA503=1,"Gebinde geschätzt ("&amp;T503&amp;"); ",IF(BZ503=1,"Lose – Tablare geschätzt; ","")))&amp;IF(H503&gt;AV503,"Überbestand "&amp;ROUND(H503-AV503,0)&amp;" Stk / CHF "&amp;ROUND((H503-AV503)*G503,0)&amp;"; ","")&amp;IF(AND(CH503=1,CI503&lt;CJ503),"MAX &lt; MB+LG; ","")&amp;IF(AND(CP503&gt;0,CO503*10&gt;CP503),"zu hoch für Tablar; ","")&amp;IF(AND(BV503=0,OR(CH503=1,AA503&lt;&gt;"",U503&lt;&gt;"",V503&lt;&gt;"",AB503&lt;&gt;"")),"manuell übersteuert; ","")&amp;IF(AND(BZ503=0,R503=0),"Gebinde unbekannt / Stellmass fehlt; ","")&amp;IF(AND(BZ503=0,N(V503)&lt;=0,N(Q503)&lt;=0),"Menge pro Gebinde fehlt (Ist = 1 Gebinde); ","")&amp;BU503)</f>
        <v>Kein Verbrauch; Überbestand 68 Stk / CHF 162; Neu</v>
      </c>
      <c r="BN503" s="48"/>
      <c r="BO503" s="48"/>
      <c r="BP503" s="55"/>
      <c r="BQ503" s="50" t="n">
        <v>15</v>
      </c>
      <c r="BR503" s="50" t="n">
        <v>105</v>
      </c>
      <c r="BS503" s="49" t="n">
        <v>35.7</v>
      </c>
      <c r="BT503" s="50" t="n">
        <v>0</v>
      </c>
      <c r="BU503" s="48" t="s">
        <v>635</v>
      </c>
      <c r="BV503" s="53" t="n">
        <v>0</v>
      </c>
      <c r="BW503" s="53" t="n">
        <v>503</v>
      </c>
      <c r="BX503" s="48" t="str">
        <f aca="false">IF(U503&lt;&gt;"",UPPER(TRIM(U503)),IF(CA503=1,UPPER(VLOOKUP(T503,Parameter!$I$27:$K$29,2,0)),IF(P503="","LOSE",P503)))</f>
        <v>S41</v>
      </c>
      <c r="BY503" s="50" t="n">
        <f aca="false">IF(BX503="LOSE",1,IF(N(V503)&gt;0,V503,IF(CA503=1,MAX(1,N(VLOOKUP(T503,Parameter!$I$27:$K$29,3,0)),H503,N(N503)),IF(N(Q503)&gt;0,Q503,MAX(1,H503)))))</f>
        <v>106</v>
      </c>
      <c r="BZ503" s="53" t="n">
        <f aca="false">IF(BX503="LOSE",1,0)</f>
        <v>0</v>
      </c>
      <c r="CA503" s="53" t="n">
        <f aca="false">IF(AND(U503="",OR(P503="",P503="LOSE"),T503&lt;&gt;"",N(S503)&lt;=0,ISNUMBER(MATCH(T503,Parameter!$I$27:$I$29,0))),1,0)</f>
        <v>0</v>
      </c>
      <c r="CB503" s="53" t="n">
        <f aca="false">IF(CQ503&gt;0,INDEX(Parameter!$H$5:$H$7,W503)/INDEX(Parameter!$E$5:$E$7,W503),IF(AND(BZ503=0,N(IFERROR(VLOOKUP(BX503,'Gebinde-Kategorie'!$A$5:$N$45,14,0),0))&gt;0),VLOOKUP(BX503,'Gebinde-Kategorie'!$A$5:$N$45,14,0)*10+Parameter!$M$23,Parameter!$M$24))</f>
        <v>155</v>
      </c>
      <c r="CC503" s="48" t="str">
        <f aca="false">IF(AND(Parameter!$B$19="Ja",E503&lt;&gt;"",ISNUMBER(MATCH(E503,Parameter!$I$35:$I$52,0))),VLOOKUP(E503,Parameter!$I$35:$J$52,2,0),IFERROR(VLOOKUP(D503,Parameter!$A$35:$C$64,2,0),"Nein"))</f>
        <v>2+3</v>
      </c>
      <c r="CD503" s="52" t="n">
        <f aca="false">IF(BZ503=0,0,IF(N(S503)&gt;0,S503,IFERROR(VLOOKUP(D503,Parameter!$A$35:$C$64,3,0)+0,0)))</f>
        <v>0</v>
      </c>
      <c r="CE503" s="48" t="n">
        <f aca="false">IF(AA503&lt;&gt;"",AA503,Z503)</f>
        <v>3</v>
      </c>
      <c r="CF503" s="48" t="str">
        <f aca="false">IF(OR(CE503=1,CE503=2,CE503=3),IF(Parameter!$E$27="Ja","LIFT",IF(CE503=1,"L1","L23")),IF(CE503="Aussen","Aussen","-"))</f>
        <v>LIFT</v>
      </c>
      <c r="CG503" s="59" t="n">
        <f aca="false">IF(N(AB503)&gt;0,AB503,0)</f>
        <v>0</v>
      </c>
      <c r="CH503" s="53" t="n">
        <f aca="false">IF(ISNUMBER(AE503),1,0)</f>
        <v>0</v>
      </c>
      <c r="CI503" s="50" t="n">
        <f aca="false">N(AE503)</f>
        <v>0</v>
      </c>
      <c r="CJ503" s="50" t="n">
        <f aca="false">N(M503)+N(N503)</f>
        <v>52</v>
      </c>
      <c r="CK503" s="50" t="n">
        <f aca="false">N(M503)</f>
        <v>2</v>
      </c>
      <c r="CL503" s="50" t="n">
        <f aca="false">N(N503)</f>
        <v>50</v>
      </c>
      <c r="CM503" s="50" t="n">
        <f aca="false">ROUNDUP(H503/BY503,0)</f>
        <v>2</v>
      </c>
      <c r="CN503" s="50" t="n">
        <f aca="false">ROUNDUP(CI503/BY503,0)</f>
        <v>0</v>
      </c>
      <c r="CO503" s="53" t="n">
        <f aca="false">IF(BZ503=1,0,IFERROR(VLOOKUP(BX503,'Gebinde-Kategorie'!$A$5:$N$45,5,0)+0,0))</f>
        <v>11</v>
      </c>
      <c r="CP503" s="53" t="n">
        <f aca="false">IFERROR(IF(OR(CE503=1,CE503=2,CE503=3),N(INDEX(Parameter!$I$5:$I$7,CE503)),0),0)</f>
        <v>0</v>
      </c>
      <c r="CQ503" s="52" t="n">
        <f aca="false">IF(AND(Parameter!$B$21="Ja",ISNUMBER(W503),N(X503)&gt;0),IFERROR(N(INDEX(Parameter!$L$5:$L$7,W503))*INDEX(Parameter!$E$5:$E$7,W503)*X503/SUMIFS($X$7:$X$1843,$W$7:$W$1843,W503),0),0)</f>
        <v>0</v>
      </c>
    </row>
    <row r="504" customFormat="false" ht="15" hidden="false" customHeight="false" outlineLevel="0" collapsed="false">
      <c r="A504" s="48" t="s">
        <v>1114</v>
      </c>
      <c r="B504" s="48" t="s">
        <v>1115</v>
      </c>
      <c r="C504" s="48" t="s">
        <v>173</v>
      </c>
      <c r="D504" s="48" t="s">
        <v>193</v>
      </c>
      <c r="E504" s="48" t="s">
        <v>194</v>
      </c>
      <c r="F504" s="48" t="s">
        <v>227</v>
      </c>
      <c r="G504" s="49" t="n">
        <v>0.21</v>
      </c>
      <c r="H504" s="50" t="n">
        <f aca="false">MAX(0,IF(AND(Parameter!$B$21="Ja",ISNUMBER(Y504)),Y504,IF(Parameter!$B$20="Jahresanfang 2025 + Export",BR504+BQ504,BQ504)))</f>
        <v>1570</v>
      </c>
      <c r="I504" s="50" t="n">
        <f aca="false">H504*G504</f>
        <v>329.7</v>
      </c>
      <c r="J504" s="50" t="n">
        <f aca="false">BT504*Parameter!$B$18</f>
        <v>0</v>
      </c>
      <c r="K504" s="51" t="n">
        <v>1200</v>
      </c>
      <c r="L504" s="52" t="n">
        <v>0</v>
      </c>
      <c r="M504" s="50" t="n">
        <v>0</v>
      </c>
      <c r="N504" s="50" t="n">
        <v>1</v>
      </c>
      <c r="O504" s="53" t="n">
        <v>14</v>
      </c>
      <c r="P504" s="48" t="s">
        <v>435</v>
      </c>
      <c r="Q504" s="50" t="n">
        <v>8000</v>
      </c>
      <c r="R504" s="53" t="n">
        <f aca="false">IF(BZ504=1,0,IFERROR(VLOOKUP(BX504,'Gebinde-Kategorie'!$A$5:$N$45,13,0)+0,0))</f>
        <v>140</v>
      </c>
      <c r="S504" s="54"/>
      <c r="T504" s="55"/>
      <c r="U504" s="55"/>
      <c r="V504" s="55"/>
      <c r="W504" s="48"/>
      <c r="X504" s="50"/>
      <c r="Y504" s="50"/>
      <c r="Z504" s="48" t="n">
        <f aca="false">IF(A504="","",IF(AND(Parameter!$B$21="Ja",ISNUMBER(W504)),W504,IF(CC504="2+3",IF(ISNUMBER(SEARCH("grosser Artikel",BU504)),2,IFERROR(VLOOKUP(BX504,Parameter!$F$35:$G$64,2,0),2)),IF(OR(CC504="Nein",CC504=""),"-",CC504))))</f>
        <v>3</v>
      </c>
      <c r="AA504" s="55"/>
      <c r="AB504" s="56"/>
      <c r="AC504" s="50" t="n">
        <f aca="false">AV504</f>
        <v>1</v>
      </c>
      <c r="AD504" s="50" t="n">
        <f aca="false">MAX(AV504,H504)</f>
        <v>1570</v>
      </c>
      <c r="AE504" s="57"/>
      <c r="AF504" s="50" t="n">
        <f aca="false">IF(LEFT(Cockpit!$C$5,1)="A",H504,IF(Parameter!$E$30="MAX-Bestand",IF(CH504=1,CI504,IF(LEFT(Cockpit!$C$5,1)="B",AL504,MAX(AL504,H504))),ROUNDUP(AJ504,0)))</f>
        <v>1570</v>
      </c>
      <c r="AG504" s="50" t="n">
        <f aca="false">IF(BZ504=1,0,ROUNDUP(AF504/BY504,0))</f>
        <v>1</v>
      </c>
      <c r="AH504" s="52" t="n">
        <f aca="false">IF(CQ504&gt;0,CQ504*MAX(1,AF504/X504),IF(BZ504=1,IF(AF504&lt;=0,0,CD504*MAX(1,IF(H504&gt;0,AF504/H504,1))),IF(R504&gt;0,AG504/R504,0))/MAX(0.1,N(Parameter!$M$21)))</f>
        <v>0.00714285714285714</v>
      </c>
      <c r="AI504" s="50" t="n">
        <f aca="false">AH504*CB504</f>
        <v>1.10714285714286</v>
      </c>
      <c r="AJ504" s="51" t="n">
        <f aca="false">IF(LEFT(Cockpit!$C$5,1)="A",H504,IF(CH504=1,(CK504+CI504)/2,IF(LEFT(Cockpit!$C$5,1)="B",(CK504+AL504)/2,MAX((CK504+AL504)/2,H504))))</f>
        <v>1570</v>
      </c>
      <c r="AK504" s="50" t="n">
        <f aca="false">AJ504*G504</f>
        <v>329.7</v>
      </c>
      <c r="AL504" s="50" t="n">
        <f aca="false">ROUNDUP(CK504+MAX(CL504,2*(J504/IF(CG504&gt;0,CG504,MAX(0.1,N(Cockpit!$C$6)))-CK504)),0)</f>
        <v>1</v>
      </c>
      <c r="AM504" s="51" t="n">
        <f aca="false">IF(AI504&gt;0,J504/AI504,-1)</f>
        <v>0</v>
      </c>
      <c r="AN504" s="51" t="n">
        <f aca="false">IF(AND(OR(CF504="L1",CF504="L23",CF504="LIFT"),AI504&gt;0),SUMIFS($AI$7:$AI$1843,$CF$7:$CF$1843,CF504,$AM$7:$AM$1843,"&gt;"&amp;AM504)+SUMIFS($AI$7:$AI$1843,$CF$7:$CF$1843,CF504,$AM$7:$AM$1843,AM504,$BW$7:$BW$1843,"&lt;="&amp;BW504),"")</f>
        <v>28260.9685747398</v>
      </c>
      <c r="AO504" s="58" t="n">
        <f aca="false">IF(AN504="",0,MAX(0,MIN(1,(IF(CF504="L1",Parameter!$H$5,IF(CF504="L23",Parameter!$H$6+Parameter!$H$7,Parameter!$H$5+Parameter!$H$6+Parameter!$H$7))-(AN504-AI504))/AI504)))</f>
        <v>1</v>
      </c>
      <c r="AP504" s="50" t="n">
        <f aca="false">IF(LEFT(Cockpit!$I$5,1)="A",H504,IF(Parameter!$E$30="MAX-Bestand",IF(CH504=1,CI504,IF(LEFT(Cockpit!$I$5,1)="B",AV504,MAX(AV504,H504))),ROUNDUP(AT504,0)))</f>
        <v>1570</v>
      </c>
      <c r="AQ504" s="50" t="n">
        <f aca="false">IF(BZ504=1,0,ROUNDUP(AP504/BY504,0))</f>
        <v>1</v>
      </c>
      <c r="AR504" s="52" t="n">
        <f aca="false">IF(CQ504&gt;0,CQ504*MAX(1,AP504/X504),IF(BZ504=1,IF(AP504&lt;=0,0,CD504*MAX(1,IF(H504&gt;0,AP504/H504,1))),IF(R504&gt;0,AQ504/R504,0))/MAX(0.1,N(Parameter!$M$21)))</f>
        <v>0.00714285714285714</v>
      </c>
      <c r="AS504" s="50" t="n">
        <f aca="false">AR504*CB504</f>
        <v>1.10714285714286</v>
      </c>
      <c r="AT504" s="51" t="n">
        <f aca="false">IF(LEFT(Cockpit!$I$5,1)="A",H504,IF(CH504=1,(CK504+CI504)/2,IF(LEFT(Cockpit!$I$5,1)="B",(CK504+AV504)/2,MAX((CK504+AV504)/2,H504))))</f>
        <v>1570</v>
      </c>
      <c r="AU504" s="50" t="n">
        <f aca="false">AT504*G504</f>
        <v>329.7</v>
      </c>
      <c r="AV504" s="50" t="n">
        <f aca="false">ROUNDUP(CK504+MAX(CL504,2*(J504/IF(CG504&gt;0,CG504,MAX(0.1,N(Cockpit!$I$6)))-CK504)),0)</f>
        <v>1</v>
      </c>
      <c r="AW504" s="51" t="n">
        <f aca="false">IF(AS504&gt;0,J504/AS504,-1)</f>
        <v>0</v>
      </c>
      <c r="AX504" s="51" t="n">
        <f aca="false">IF(AND(OR(CF504="L1",CF504="L23",CF504="LIFT"),AS504&gt;0),SUMIFS($AS$7:$AS$1843,$CF$7:$CF$1843,CF504,$AW$7:$AW$1843,"&gt;"&amp;AW504)+SUMIFS($AS$7:$AS$1843,$CF$7:$CF$1843,CF504,$AW$7:$AW$1843,AW504,$BW$7:$BW$1843,"&lt;="&amp;BW504),"")</f>
        <v>33614.1172161172</v>
      </c>
      <c r="AY504" s="58" t="n">
        <f aca="false">IF(AX504="",0,MAX(0,MIN(1,(IF(CF504="L1",Parameter!$H$5,IF(CF504="L23",Parameter!$H$6+Parameter!$H$7,Parameter!$H$5+Parameter!$H$6+Parameter!$H$7))-(AX504-AS504))/AS504)))</f>
        <v>1</v>
      </c>
      <c r="AZ504" s="50" t="n">
        <f aca="false">IF(LEFT(Cockpit!$O$5,1)="A",H504,IF(Parameter!$E$30="MAX-Bestand",IF(CH504=1,CI504,IF(LEFT(Cockpit!$O$5,1)="B",BF504,MAX(BF504,H504))),ROUNDUP(BD504,0)))</f>
        <v>1</v>
      </c>
      <c r="BA504" s="50" t="n">
        <f aca="false">IF(BZ504=1,0,ROUNDUP(AZ504/BY504,0))</f>
        <v>1</v>
      </c>
      <c r="BB504" s="52" t="n">
        <f aca="false">IF(CQ504&gt;0,CQ504*MAX(1,AZ504/X504),IF(BZ504=1,IF(AZ504&lt;=0,0,CD504*MAX(1,IF(H504&gt;0,AZ504/H504,1))),IF(R504&gt;0,BA504/R504,0))/MAX(0.1,N(Parameter!$M$21)))</f>
        <v>0.00714285714285714</v>
      </c>
      <c r="BC504" s="50" t="n">
        <f aca="false">BB504*CB504</f>
        <v>1.10714285714286</v>
      </c>
      <c r="BD504" s="51" t="n">
        <f aca="false">IF(LEFT(Cockpit!$O$5,1)="A",H504,IF(CH504=1,(CK504+CI504)/2,IF(LEFT(Cockpit!$O$5,1)="B",(CK504+BF504)/2,MAX((CK504+BF504)/2,H504))))</f>
        <v>0.5</v>
      </c>
      <c r="BE504" s="50" t="n">
        <f aca="false">BD504*G504</f>
        <v>0.105</v>
      </c>
      <c r="BF504" s="50" t="n">
        <f aca="false">ROUNDUP(CK504+MAX(CL504,2*(J504/IF(CG504&gt;0,CG504,MAX(0.1,N(Cockpit!$O$6)))-CK504)),0)</f>
        <v>1</v>
      </c>
      <c r="BG504" s="51" t="n">
        <f aca="false">IF(BC504&gt;0,J504/BC504,-1)</f>
        <v>0</v>
      </c>
      <c r="BH504" s="51" t="n">
        <f aca="false">IF(AND(OR(CF504="L1",CF504="L23",CF504="LIFT"),BC504&gt;0),SUMIFS($BC$7:$BC$1843,$CF$7:$CF$1843,CF504,$BG$7:$BG$1843,"&gt;"&amp;BG504)+SUMIFS($BC$7:$BC$1843,$CF$7:$CF$1843,CF504,$BG$7:$BG$1843,BG504,$BW$7:$BW$1843,"&lt;="&amp;BW504),"")</f>
        <v>27718.3712205873</v>
      </c>
      <c r="BI504" s="58" t="n">
        <f aca="false">IF(BH504="",0,MAX(0,MIN(1,(IF(CF504="L1",Parameter!$H$5,IF(CF504="L23",Parameter!$H$6+Parameter!$H$7,Parameter!$H$5+Parameter!$H$6+Parameter!$H$7))-(BH504-BC504))/BC504)))</f>
        <v>1</v>
      </c>
      <c r="BJ504" s="48" t="str">
        <f aca="false">IF(AI504&lt;=0,"",IF(CF504="Aussen","Aussenlager",IF(CF504="-","Nicht im Lift",IF(AO504&gt;=1,"Lift",IF(AO504&lt;=0,"Aussenlager","teilweise")))))</f>
        <v>Lift</v>
      </c>
      <c r="BK504" s="48" t="str">
        <f aca="false">IF(AS504&lt;=0,"",IF(CF504="Aussen","Aussenlager",IF(CF504="-","Nicht im Lift",IF(AY504&gt;=1,"Lift",IF(AY504&lt;=0,"Aussenlager","teilweise")))))</f>
        <v>Lift</v>
      </c>
      <c r="BL504" s="48" t="str">
        <f aca="false">IF(BC504&lt;=0,"",IF(CF504="Aussen","Aussenlager",IF(CF504="-","Nicht im Lift",IF(BI504&gt;=1,"Lift",IF(BI504&lt;=0,"Aussenlager","teilweise")))))</f>
        <v>Lift</v>
      </c>
      <c r="BM504" s="48" t="str">
        <f aca="false">IF(A504="","",IF(BV504=1,"Neu; ","")&amp;IF(AND(BV504=0,BQ504&lt;0),"negativer Bestand (Export "&amp;BQ504&amp;"); ","")&amp;IF(J504&lt;=0,"Kein Verbrauch; ","")&amp;IF(CQ504&gt;0,"Lift "&amp;W504&amp;" lt. Liftbericht (Fach "&amp;X504&amp;" Stk); ",IF(CA504=1,"Gebinde geschätzt ("&amp;T504&amp;"); ",IF(BZ504=1,"Lose – Tablare geschätzt; ","")))&amp;IF(H504&gt;AV504,"Überbestand "&amp;ROUND(H504-AV504,0)&amp;" Stk / CHF "&amp;ROUND((H504-AV504)*G504,0)&amp;"; ","")&amp;IF(AND(CH504=1,CI504&lt;CJ504),"MAX &lt; MB+LG; ","")&amp;IF(AND(CP504&gt;0,CO504*10&gt;CP504),"zu hoch für Tablar; ","")&amp;IF(AND(BV504=0,OR(CH504=1,AA504&lt;&gt;"",U504&lt;&gt;"",V504&lt;&gt;"",AB504&lt;&gt;"")),"manuell übersteuert; ","")&amp;IF(AND(BZ504=0,R504=0),"Gebinde unbekannt / Stellmass fehlt; ","")&amp;IF(AND(BZ504=0,N(V504)&lt;=0,N(Q504)&lt;=0),"Menge pro Gebinde fehlt (Ist = 1 Gebinde); ","")&amp;BU504)</f>
        <v>Kein Verbrauch; Überbestand 1569 Stk / CHF 329; </v>
      </c>
      <c r="BN504" s="48"/>
      <c r="BO504" s="48"/>
      <c r="BP504" s="55"/>
      <c r="BQ504" s="50" t="n">
        <v>170</v>
      </c>
      <c r="BR504" s="50" t="n">
        <v>1400</v>
      </c>
      <c r="BS504" s="49" t="n">
        <v>35.7</v>
      </c>
      <c r="BT504" s="50" t="n">
        <v>0</v>
      </c>
      <c r="BU504" s="48"/>
      <c r="BV504" s="53" t="n">
        <v>0</v>
      </c>
      <c r="BW504" s="53" t="n">
        <v>504</v>
      </c>
      <c r="BX504" s="48" t="str">
        <f aca="false">IF(U504&lt;&gt;"",UPPER(TRIM(U504)),IF(CA504=1,UPPER(VLOOKUP(T504,Parameter!$I$27:$K$29,2,0)),IF(P504="","LOSE",P504)))</f>
        <v>S22</v>
      </c>
      <c r="BY504" s="50" t="n">
        <f aca="false">IF(BX504="LOSE",1,IF(N(V504)&gt;0,V504,IF(CA504=1,MAX(1,N(VLOOKUP(T504,Parameter!$I$27:$K$29,3,0)),H504,N(N504)),IF(N(Q504)&gt;0,Q504,MAX(1,H504)))))</f>
        <v>8000</v>
      </c>
      <c r="BZ504" s="53" t="n">
        <f aca="false">IF(BX504="LOSE",1,0)</f>
        <v>0</v>
      </c>
      <c r="CA504" s="53" t="n">
        <f aca="false">IF(AND(U504="",OR(P504="",P504="LOSE"),T504&lt;&gt;"",N(S504)&lt;=0,ISNUMBER(MATCH(T504,Parameter!$I$27:$I$29,0))),1,0)</f>
        <v>0</v>
      </c>
      <c r="CB504" s="53" t="n">
        <f aca="false">IF(CQ504&gt;0,INDEX(Parameter!$H$5:$H$7,W504)/INDEX(Parameter!$E$5:$E$7,W504),IF(AND(BZ504=0,N(IFERROR(VLOOKUP(BX504,'Gebinde-Kategorie'!$A$5:$N$45,14,0),0))&gt;0),VLOOKUP(BX504,'Gebinde-Kategorie'!$A$5:$N$45,14,0)*10+Parameter!$M$23,Parameter!$M$24))</f>
        <v>155</v>
      </c>
      <c r="CC504" s="48" t="str">
        <f aca="false">IF(AND(Parameter!$B$19="Ja",E504&lt;&gt;"",ISNUMBER(MATCH(E504,Parameter!$I$35:$I$52,0))),VLOOKUP(E504,Parameter!$I$35:$J$52,2,0),IFERROR(VLOOKUP(D504,Parameter!$A$35:$C$64,2,0),"Nein"))</f>
        <v>2+3</v>
      </c>
      <c r="CD504" s="52" t="n">
        <f aca="false">IF(BZ504=0,0,IF(N(S504)&gt;0,S504,IFERROR(VLOOKUP(D504,Parameter!$A$35:$C$64,3,0)+0,0)))</f>
        <v>0</v>
      </c>
      <c r="CE504" s="48" t="n">
        <f aca="false">IF(AA504&lt;&gt;"",AA504,Z504)</f>
        <v>3</v>
      </c>
      <c r="CF504" s="48" t="str">
        <f aca="false">IF(OR(CE504=1,CE504=2,CE504=3),IF(Parameter!$E$27="Ja","LIFT",IF(CE504=1,"L1","L23")),IF(CE504="Aussen","Aussen","-"))</f>
        <v>LIFT</v>
      </c>
      <c r="CG504" s="59" t="n">
        <f aca="false">IF(N(AB504)&gt;0,AB504,0)</f>
        <v>0</v>
      </c>
      <c r="CH504" s="53" t="n">
        <f aca="false">IF(ISNUMBER(AE504),1,0)</f>
        <v>0</v>
      </c>
      <c r="CI504" s="50" t="n">
        <f aca="false">N(AE504)</f>
        <v>0</v>
      </c>
      <c r="CJ504" s="50" t="n">
        <f aca="false">N(M504)+N(N504)</f>
        <v>1</v>
      </c>
      <c r="CK504" s="50" t="n">
        <f aca="false">N(M504)</f>
        <v>0</v>
      </c>
      <c r="CL504" s="50" t="n">
        <f aca="false">N(N504)</f>
        <v>1</v>
      </c>
      <c r="CM504" s="50" t="n">
        <f aca="false">ROUNDUP(H504/BY504,0)</f>
        <v>1</v>
      </c>
      <c r="CN504" s="50" t="n">
        <f aca="false">ROUNDUP(CI504/BY504,0)</f>
        <v>0</v>
      </c>
      <c r="CO504" s="53" t="n">
        <f aca="false">IF(BZ504=1,0,IFERROR(VLOOKUP(BX504,'Gebinde-Kategorie'!$A$5:$N$45,5,0)+0,0))</f>
        <v>8</v>
      </c>
      <c r="CP504" s="53" t="n">
        <f aca="false">IFERROR(IF(OR(CE504=1,CE504=2,CE504=3),N(INDEX(Parameter!$I$5:$I$7,CE504)),0),0)</f>
        <v>0</v>
      </c>
      <c r="CQ504" s="52" t="n">
        <f aca="false">IF(AND(Parameter!$B$21="Ja",ISNUMBER(W504),N(X504)&gt;0),IFERROR(N(INDEX(Parameter!$L$5:$L$7,W504))*INDEX(Parameter!$E$5:$E$7,W504)*X504/SUMIFS($X$7:$X$1843,$W$7:$W$1843,W504),0),0)</f>
        <v>0</v>
      </c>
    </row>
    <row r="505" customFormat="false" ht="15" hidden="false" customHeight="false" outlineLevel="0" collapsed="false">
      <c r="A505" s="48" t="s">
        <v>1116</v>
      </c>
      <c r="B505" s="48" t="s">
        <v>1117</v>
      </c>
      <c r="C505" s="48" t="s">
        <v>173</v>
      </c>
      <c r="D505" s="48" t="s">
        <v>193</v>
      </c>
      <c r="E505" s="48" t="s">
        <v>194</v>
      </c>
      <c r="F505" s="48" t="s">
        <v>227</v>
      </c>
      <c r="G505" s="49" t="n">
        <v>17.5</v>
      </c>
      <c r="H505" s="50" t="n">
        <f aca="false">MAX(0,IF(AND(Parameter!$B$21="Ja",ISNUMBER(Y505)),Y505,IF(Parameter!$B$20="Jahresanfang 2025 + Export",BR505+BQ505,BQ505)))</f>
        <v>30</v>
      </c>
      <c r="I505" s="50" t="n">
        <f aca="false">H505*G505</f>
        <v>525</v>
      </c>
      <c r="J505" s="50" t="n">
        <f aca="false">BT505*Parameter!$B$18</f>
        <v>0</v>
      </c>
      <c r="K505" s="51" t="n">
        <v>29</v>
      </c>
      <c r="L505" s="52" t="n">
        <v>0</v>
      </c>
      <c r="M505" s="50" t="n">
        <v>0</v>
      </c>
      <c r="N505" s="50" t="n">
        <v>1</v>
      </c>
      <c r="O505" s="53" t="n">
        <v>35</v>
      </c>
      <c r="P505" s="48" t="s">
        <v>337</v>
      </c>
      <c r="Q505" s="50" t="n">
        <v>30</v>
      </c>
      <c r="R505" s="53" t="n">
        <f aca="false">IF(BZ505=1,0,IFERROR(VLOOKUP(BX505,'Gebinde-Kategorie'!$A$5:$N$45,13,0)+0,0))</f>
        <v>52</v>
      </c>
      <c r="S505" s="54"/>
      <c r="T505" s="55"/>
      <c r="U505" s="55"/>
      <c r="V505" s="55"/>
      <c r="W505" s="48"/>
      <c r="X505" s="50"/>
      <c r="Y505" s="50"/>
      <c r="Z505" s="48" t="n">
        <f aca="false">IF(A505="","",IF(AND(Parameter!$B$21="Ja",ISNUMBER(W505)),W505,IF(CC505="2+3",IF(ISNUMBER(SEARCH("grosser Artikel",BU505)),2,IFERROR(VLOOKUP(BX505,Parameter!$F$35:$G$64,2,0),2)),IF(OR(CC505="Nein",CC505=""),"-",CC505))))</f>
        <v>3</v>
      </c>
      <c r="AA505" s="55"/>
      <c r="AB505" s="56"/>
      <c r="AC505" s="50" t="n">
        <f aca="false">AV505</f>
        <v>1</v>
      </c>
      <c r="AD505" s="50" t="n">
        <f aca="false">MAX(AV505,H505)</f>
        <v>30</v>
      </c>
      <c r="AE505" s="57"/>
      <c r="AF505" s="50" t="n">
        <f aca="false">IF(LEFT(Cockpit!$C$5,1)="A",H505,IF(Parameter!$E$30="MAX-Bestand",IF(CH505=1,CI505,IF(LEFT(Cockpit!$C$5,1)="B",AL505,MAX(AL505,H505))),ROUNDUP(AJ505,0)))</f>
        <v>30</v>
      </c>
      <c r="AG505" s="50" t="n">
        <f aca="false">IF(BZ505=1,0,ROUNDUP(AF505/BY505,0))</f>
        <v>1</v>
      </c>
      <c r="AH505" s="52" t="n">
        <f aca="false">IF(CQ505&gt;0,CQ505*MAX(1,AF505/X505),IF(BZ505=1,IF(AF505&lt;=0,0,CD505*MAX(1,IF(H505&gt;0,AF505/H505,1))),IF(R505&gt;0,AG505/R505,0))/MAX(0.1,N(Parameter!$M$21)))</f>
        <v>0.0192307692307692</v>
      </c>
      <c r="AI505" s="50" t="n">
        <f aca="false">AH505*CB505</f>
        <v>2.98076923076923</v>
      </c>
      <c r="AJ505" s="51" t="n">
        <f aca="false">IF(LEFT(Cockpit!$C$5,1)="A",H505,IF(CH505=1,(CK505+CI505)/2,IF(LEFT(Cockpit!$C$5,1)="B",(CK505+AL505)/2,MAX((CK505+AL505)/2,H505))))</f>
        <v>30</v>
      </c>
      <c r="AK505" s="50" t="n">
        <f aca="false">AJ505*G505</f>
        <v>525</v>
      </c>
      <c r="AL505" s="50" t="n">
        <f aca="false">ROUNDUP(CK505+MAX(CL505,2*(J505/IF(CG505&gt;0,CG505,MAX(0.1,N(Cockpit!$C$6)))-CK505)),0)</f>
        <v>1</v>
      </c>
      <c r="AM505" s="51" t="n">
        <f aca="false">IF(AI505&gt;0,J505/AI505,-1)</f>
        <v>0</v>
      </c>
      <c r="AN505" s="51" t="n">
        <f aca="false">IF(AND(OR(CF505="L1",CF505="L23",CF505="LIFT"),AI505&gt;0),SUMIFS($AI$7:$AI$1843,$CF$7:$CF$1843,CF505,$AM$7:$AM$1843,"&gt;"&amp;AM505)+SUMIFS($AI$7:$AI$1843,$CF$7:$CF$1843,CF505,$AM$7:$AM$1843,AM505,$BW$7:$BW$1843,"&lt;="&amp;BW505),"")</f>
        <v>28263.9493439705</v>
      </c>
      <c r="AO505" s="58" t="n">
        <f aca="false">IF(AN505="",0,MAX(0,MIN(1,(IF(CF505="L1",Parameter!$H$5,IF(CF505="L23",Parameter!$H$6+Parameter!$H$7,Parameter!$H$5+Parameter!$H$6+Parameter!$H$7))-(AN505-AI505))/AI505)))</f>
        <v>1</v>
      </c>
      <c r="AP505" s="50" t="n">
        <f aca="false">IF(LEFT(Cockpit!$I$5,1)="A",H505,IF(Parameter!$E$30="MAX-Bestand",IF(CH505=1,CI505,IF(LEFT(Cockpit!$I$5,1)="B",AV505,MAX(AV505,H505))),ROUNDUP(AT505,0)))</f>
        <v>30</v>
      </c>
      <c r="AQ505" s="50" t="n">
        <f aca="false">IF(BZ505=1,0,ROUNDUP(AP505/BY505,0))</f>
        <v>1</v>
      </c>
      <c r="AR505" s="52" t="n">
        <f aca="false">IF(CQ505&gt;0,CQ505*MAX(1,AP505/X505),IF(BZ505=1,IF(AP505&lt;=0,0,CD505*MAX(1,IF(H505&gt;0,AP505/H505,1))),IF(R505&gt;0,AQ505/R505,0))/MAX(0.1,N(Parameter!$M$21)))</f>
        <v>0.0192307692307692</v>
      </c>
      <c r="AS505" s="50" t="n">
        <f aca="false">AR505*CB505</f>
        <v>2.98076923076923</v>
      </c>
      <c r="AT505" s="51" t="n">
        <f aca="false">IF(LEFT(Cockpit!$I$5,1)="A",H505,IF(CH505=1,(CK505+CI505)/2,IF(LEFT(Cockpit!$I$5,1)="B",(CK505+AV505)/2,MAX((CK505+AV505)/2,H505))))</f>
        <v>30</v>
      </c>
      <c r="AU505" s="50" t="n">
        <f aca="false">AT505*G505</f>
        <v>525</v>
      </c>
      <c r="AV505" s="50" t="n">
        <f aca="false">ROUNDUP(CK505+MAX(CL505,2*(J505/IF(CG505&gt;0,CG505,MAX(0.1,N(Cockpit!$I$6)))-CK505)),0)</f>
        <v>1</v>
      </c>
      <c r="AW505" s="51" t="n">
        <f aca="false">IF(AS505&gt;0,J505/AS505,-1)</f>
        <v>0</v>
      </c>
      <c r="AX505" s="51" t="n">
        <f aca="false">IF(AND(OR(CF505="L1",CF505="L23",CF505="LIFT"),AS505&gt;0),SUMIFS($AS$7:$AS$1843,$CF$7:$CF$1843,CF505,$AW$7:$AW$1843,"&gt;"&amp;AW505)+SUMIFS($AS$7:$AS$1843,$CF$7:$CF$1843,CF505,$AW$7:$AW$1843,AW505,$BW$7:$BW$1843,"&lt;="&amp;BW505),"")</f>
        <v>33617.097985348</v>
      </c>
      <c r="AY505" s="58" t="n">
        <f aca="false">IF(AX505="",0,MAX(0,MIN(1,(IF(CF505="L1",Parameter!$H$5,IF(CF505="L23",Parameter!$H$6+Parameter!$H$7,Parameter!$H$5+Parameter!$H$6+Parameter!$H$7))-(AX505-AS505))/AS505)))</f>
        <v>1</v>
      </c>
      <c r="AZ505" s="50" t="n">
        <f aca="false">IF(LEFT(Cockpit!$O$5,1)="A",H505,IF(Parameter!$E$30="MAX-Bestand",IF(CH505=1,CI505,IF(LEFT(Cockpit!$O$5,1)="B",BF505,MAX(BF505,H505))),ROUNDUP(BD505,0)))</f>
        <v>1</v>
      </c>
      <c r="BA505" s="50" t="n">
        <f aca="false">IF(BZ505=1,0,ROUNDUP(AZ505/BY505,0))</f>
        <v>1</v>
      </c>
      <c r="BB505" s="52" t="n">
        <f aca="false">IF(CQ505&gt;0,CQ505*MAX(1,AZ505/X505),IF(BZ505=1,IF(AZ505&lt;=0,0,CD505*MAX(1,IF(H505&gt;0,AZ505/H505,1))),IF(R505&gt;0,BA505/R505,0))/MAX(0.1,N(Parameter!$M$21)))</f>
        <v>0.0192307692307692</v>
      </c>
      <c r="BC505" s="50" t="n">
        <f aca="false">BB505*CB505</f>
        <v>2.98076923076923</v>
      </c>
      <c r="BD505" s="51" t="n">
        <f aca="false">IF(LEFT(Cockpit!$O$5,1)="A",H505,IF(CH505=1,(CK505+CI505)/2,IF(LEFT(Cockpit!$O$5,1)="B",(CK505+BF505)/2,MAX((CK505+BF505)/2,H505))))</f>
        <v>0.5</v>
      </c>
      <c r="BE505" s="50" t="n">
        <f aca="false">BD505*G505</f>
        <v>8.75</v>
      </c>
      <c r="BF505" s="50" t="n">
        <f aca="false">ROUNDUP(CK505+MAX(CL505,2*(J505/IF(CG505&gt;0,CG505,MAX(0.1,N(Cockpit!$O$6)))-CK505)),0)</f>
        <v>1</v>
      </c>
      <c r="BG505" s="51" t="n">
        <f aca="false">IF(BC505&gt;0,J505/BC505,-1)</f>
        <v>0</v>
      </c>
      <c r="BH505" s="51" t="n">
        <f aca="false">IF(AND(OR(CF505="L1",CF505="L23",CF505="LIFT"),BC505&gt;0),SUMIFS($BC$7:$BC$1843,$CF$7:$CF$1843,CF505,$BG$7:$BG$1843,"&gt;"&amp;BG505)+SUMIFS($BC$7:$BC$1843,$CF$7:$CF$1843,CF505,$BG$7:$BG$1843,BG505,$BW$7:$BW$1843,"&lt;="&amp;BW505),"")</f>
        <v>27721.3519898181</v>
      </c>
      <c r="BI505" s="58" t="n">
        <f aca="false">IF(BH505="",0,MAX(0,MIN(1,(IF(CF505="L1",Parameter!$H$5,IF(CF505="L23",Parameter!$H$6+Parameter!$H$7,Parameter!$H$5+Parameter!$H$6+Parameter!$H$7))-(BH505-BC505))/BC505)))</f>
        <v>1</v>
      </c>
      <c r="BJ505" s="48" t="str">
        <f aca="false">IF(AI505&lt;=0,"",IF(CF505="Aussen","Aussenlager",IF(CF505="-","Nicht im Lift",IF(AO505&gt;=1,"Lift",IF(AO505&lt;=0,"Aussenlager","teilweise")))))</f>
        <v>Lift</v>
      </c>
      <c r="BK505" s="48" t="str">
        <f aca="false">IF(AS505&lt;=0,"",IF(CF505="Aussen","Aussenlager",IF(CF505="-","Nicht im Lift",IF(AY505&gt;=1,"Lift",IF(AY505&lt;=0,"Aussenlager","teilweise")))))</f>
        <v>Lift</v>
      </c>
      <c r="BL505" s="48" t="str">
        <f aca="false">IF(BC505&lt;=0,"",IF(CF505="Aussen","Aussenlager",IF(CF505="-","Nicht im Lift",IF(BI505&gt;=1,"Lift",IF(BI505&lt;=0,"Aussenlager","teilweise")))))</f>
        <v>Lift</v>
      </c>
      <c r="BM505" s="48" t="str">
        <f aca="false">IF(A505="","",IF(BV505=1,"Neu; ","")&amp;IF(AND(BV505=0,BQ505&lt;0),"negativer Bestand (Export "&amp;BQ505&amp;"); ","")&amp;IF(J505&lt;=0,"Kein Verbrauch; ","")&amp;IF(CQ505&gt;0,"Lift "&amp;W505&amp;" lt. Liftbericht (Fach "&amp;X505&amp;" Stk); ",IF(CA505=1,"Gebinde geschätzt ("&amp;T505&amp;"); ",IF(BZ505=1,"Lose – Tablare geschätzt; ","")))&amp;IF(H505&gt;AV505,"Überbestand "&amp;ROUND(H505-AV505,0)&amp;" Stk / CHF "&amp;ROUND((H505-AV505)*G505,0)&amp;"; ","")&amp;IF(AND(CH505=1,CI505&lt;CJ505),"MAX &lt; MB+LG; ","")&amp;IF(AND(CP505&gt;0,CO505*10&gt;CP505),"zu hoch für Tablar; ","")&amp;IF(AND(BV505=0,OR(CH505=1,AA505&lt;&gt;"",U505&lt;&gt;"",V505&lt;&gt;"",AB505&lt;&gt;"")),"manuell übersteuert; ","")&amp;IF(AND(BZ505=0,R505=0),"Gebinde unbekannt / Stellmass fehlt; ","")&amp;IF(AND(BZ505=0,N(V505)&lt;=0,N(Q505)&lt;=0),"Menge pro Gebinde fehlt (Ist = 1 Gebinde); ","")&amp;BU505)</f>
        <v>Kein Verbrauch; Überbestand 29 Stk / CHF 508; </v>
      </c>
      <c r="BN505" s="48"/>
      <c r="BO505" s="48"/>
      <c r="BP505" s="55"/>
      <c r="BQ505" s="50" t="n">
        <v>2</v>
      </c>
      <c r="BR505" s="50" t="n">
        <v>28</v>
      </c>
      <c r="BS505" s="49" t="n">
        <v>35</v>
      </c>
      <c r="BT505" s="50" t="n">
        <v>0</v>
      </c>
      <c r="BU505" s="48"/>
      <c r="BV505" s="53" t="n">
        <v>0</v>
      </c>
      <c r="BW505" s="53" t="n">
        <v>505</v>
      </c>
      <c r="BX505" s="48" t="str">
        <f aca="false">IF(U505&lt;&gt;"",UPPER(TRIM(U505)),IF(CA505=1,UPPER(VLOOKUP(T505,Parameter!$I$27:$K$29,2,0)),IF(P505="","LOSE",P505)))</f>
        <v>S41</v>
      </c>
      <c r="BY505" s="50" t="n">
        <f aca="false">IF(BX505="LOSE",1,IF(N(V505)&gt;0,V505,IF(CA505=1,MAX(1,N(VLOOKUP(T505,Parameter!$I$27:$K$29,3,0)),H505,N(N505)),IF(N(Q505)&gt;0,Q505,MAX(1,H505)))))</f>
        <v>30</v>
      </c>
      <c r="BZ505" s="53" t="n">
        <f aca="false">IF(BX505="LOSE",1,0)</f>
        <v>0</v>
      </c>
      <c r="CA505" s="53" t="n">
        <f aca="false">IF(AND(U505="",OR(P505="",P505="LOSE"),T505&lt;&gt;"",N(S505)&lt;=0,ISNUMBER(MATCH(T505,Parameter!$I$27:$I$29,0))),1,0)</f>
        <v>0</v>
      </c>
      <c r="CB505" s="53" t="n">
        <f aca="false">IF(CQ505&gt;0,INDEX(Parameter!$H$5:$H$7,W505)/INDEX(Parameter!$E$5:$E$7,W505),IF(AND(BZ505=0,N(IFERROR(VLOOKUP(BX505,'Gebinde-Kategorie'!$A$5:$N$45,14,0),0))&gt;0),VLOOKUP(BX505,'Gebinde-Kategorie'!$A$5:$N$45,14,0)*10+Parameter!$M$23,Parameter!$M$24))</f>
        <v>155</v>
      </c>
      <c r="CC505" s="48" t="str">
        <f aca="false">IF(AND(Parameter!$B$19="Ja",E505&lt;&gt;"",ISNUMBER(MATCH(E505,Parameter!$I$35:$I$52,0))),VLOOKUP(E505,Parameter!$I$35:$J$52,2,0),IFERROR(VLOOKUP(D505,Parameter!$A$35:$C$64,2,0),"Nein"))</f>
        <v>2+3</v>
      </c>
      <c r="CD505" s="52" t="n">
        <f aca="false">IF(BZ505=0,0,IF(N(S505)&gt;0,S505,IFERROR(VLOOKUP(D505,Parameter!$A$35:$C$64,3,0)+0,0)))</f>
        <v>0</v>
      </c>
      <c r="CE505" s="48" t="n">
        <f aca="false">IF(AA505&lt;&gt;"",AA505,Z505)</f>
        <v>3</v>
      </c>
      <c r="CF505" s="48" t="str">
        <f aca="false">IF(OR(CE505=1,CE505=2,CE505=3),IF(Parameter!$E$27="Ja","LIFT",IF(CE505=1,"L1","L23")),IF(CE505="Aussen","Aussen","-"))</f>
        <v>LIFT</v>
      </c>
      <c r="CG505" s="59" t="n">
        <f aca="false">IF(N(AB505)&gt;0,AB505,0)</f>
        <v>0</v>
      </c>
      <c r="CH505" s="53" t="n">
        <f aca="false">IF(ISNUMBER(AE505),1,0)</f>
        <v>0</v>
      </c>
      <c r="CI505" s="50" t="n">
        <f aca="false">N(AE505)</f>
        <v>0</v>
      </c>
      <c r="CJ505" s="50" t="n">
        <f aca="false">N(M505)+N(N505)</f>
        <v>1</v>
      </c>
      <c r="CK505" s="50" t="n">
        <f aca="false">N(M505)</f>
        <v>0</v>
      </c>
      <c r="CL505" s="50" t="n">
        <f aca="false">N(N505)</f>
        <v>1</v>
      </c>
      <c r="CM505" s="50" t="n">
        <f aca="false">ROUNDUP(H505/BY505,0)</f>
        <v>1</v>
      </c>
      <c r="CN505" s="50" t="n">
        <f aca="false">ROUNDUP(CI505/BY505,0)</f>
        <v>0</v>
      </c>
      <c r="CO505" s="53" t="n">
        <f aca="false">IF(BZ505=1,0,IFERROR(VLOOKUP(BX505,'Gebinde-Kategorie'!$A$5:$N$45,5,0)+0,0))</f>
        <v>11</v>
      </c>
      <c r="CP505" s="53" t="n">
        <f aca="false">IFERROR(IF(OR(CE505=1,CE505=2,CE505=3),N(INDEX(Parameter!$I$5:$I$7,CE505)),0),0)</f>
        <v>0</v>
      </c>
      <c r="CQ505" s="52" t="n">
        <f aca="false">IF(AND(Parameter!$B$21="Ja",ISNUMBER(W505),N(X505)&gt;0),IFERROR(N(INDEX(Parameter!$L$5:$L$7,W505))*INDEX(Parameter!$E$5:$E$7,W505)*X505/SUMIFS($X$7:$X$1843,$W$7:$W$1843,W505),0),0)</f>
        <v>0</v>
      </c>
    </row>
    <row r="506" customFormat="false" ht="15" hidden="false" customHeight="false" outlineLevel="0" collapsed="false">
      <c r="A506" s="48" t="s">
        <v>1118</v>
      </c>
      <c r="B506" s="48" t="s">
        <v>412</v>
      </c>
      <c r="C506" s="48" t="s">
        <v>173</v>
      </c>
      <c r="D506" s="48" t="s">
        <v>1004</v>
      </c>
      <c r="E506" s="48"/>
      <c r="F506" s="48" t="s">
        <v>227</v>
      </c>
      <c r="G506" s="49" t="n">
        <v>0.82</v>
      </c>
      <c r="H506" s="50" t="n">
        <f aca="false">MAX(0,IF(AND(Parameter!$B$21="Ja",ISNUMBER(Y506)),Y506,IF(Parameter!$B$20="Jahresanfang 2025 + Export",BR506+BQ506,BQ506)))</f>
        <v>42</v>
      </c>
      <c r="I506" s="50" t="n">
        <f aca="false">H506*G506</f>
        <v>34.44</v>
      </c>
      <c r="J506" s="50" t="n">
        <f aca="false">BT506*Parameter!$B$18</f>
        <v>158</v>
      </c>
      <c r="K506" s="51" t="n">
        <v>21</v>
      </c>
      <c r="L506" s="52" t="n">
        <v>7.52380952380952</v>
      </c>
      <c r="M506" s="50" t="n">
        <v>0</v>
      </c>
      <c r="N506" s="50" t="n">
        <v>100</v>
      </c>
      <c r="O506" s="53" t="n">
        <v>21</v>
      </c>
      <c r="P506" s="48" t="s">
        <v>177</v>
      </c>
      <c r="Q506" s="50"/>
      <c r="R506" s="53" t="n">
        <f aca="false">IF(BZ506=1,0,IFERROR(VLOOKUP(BX506,'Gebinde-Kategorie'!$A$5:$N$45,13,0)+0,0))</f>
        <v>0</v>
      </c>
      <c r="S506" s="54"/>
      <c r="T506" s="55"/>
      <c r="U506" s="55"/>
      <c r="V506" s="55"/>
      <c r="W506" s="48"/>
      <c r="X506" s="50"/>
      <c r="Y506" s="50"/>
      <c r="Z506" s="48" t="str">
        <f aca="false">IF(A506="","",IF(AND(Parameter!$B$21="Ja",ISNUMBER(W506)),W506,IF(CC506="2+3",IF(ISNUMBER(SEARCH("grosser Artikel",BU506)),2,IFERROR(VLOOKUP(BX506,Parameter!$F$35:$G$64,2,0),2)),IF(OR(CC506="Nein",CC506=""),"-",CC506))))</f>
        <v>-</v>
      </c>
      <c r="AA506" s="55"/>
      <c r="AB506" s="56"/>
      <c r="AC506" s="50" t="n">
        <f aca="false">AV506</f>
        <v>106</v>
      </c>
      <c r="AD506" s="50" t="n">
        <f aca="false">MAX(AV506,H506)</f>
        <v>106</v>
      </c>
      <c r="AE506" s="57"/>
      <c r="AF506" s="50" t="n">
        <f aca="false">IF(LEFT(Cockpit!$C$5,1)="A",H506,IF(Parameter!$E$30="MAX-Bestand",IF(CH506=1,CI506,IF(LEFT(Cockpit!$C$5,1)="B",AL506,MAX(AL506,H506))),ROUNDUP(AJ506,0)))</f>
        <v>42</v>
      </c>
      <c r="AG506" s="50" t="n">
        <f aca="false">IF(BZ506=1,0,ROUNDUP(AF506/BY506,0))</f>
        <v>0</v>
      </c>
      <c r="AH506" s="52" t="n">
        <f aca="false">IF(CQ506&gt;0,CQ506*MAX(1,AF506/X506),IF(BZ506=1,IF(AF506&lt;=0,0,CD506*MAX(1,IF(H506&gt;0,AF506/H506,1))),IF(R506&gt;0,AG506/R506,0))/MAX(0.1,N(Parameter!$M$21)))</f>
        <v>0.15</v>
      </c>
      <c r="AI506" s="50" t="n">
        <f aca="false">AH506*CB506</f>
        <v>35.25</v>
      </c>
      <c r="AJ506" s="51" t="n">
        <f aca="false">IF(LEFT(Cockpit!$C$5,1)="A",H506,IF(CH506=1,(CK506+CI506)/2,IF(LEFT(Cockpit!$C$5,1)="B",(CK506+AL506)/2,MAX((CK506+AL506)/2,H506))))</f>
        <v>42</v>
      </c>
      <c r="AK506" s="50" t="n">
        <f aca="false">AJ506*G506</f>
        <v>34.44</v>
      </c>
      <c r="AL506" s="50" t="n">
        <f aca="false">ROUNDUP(CK506+MAX(CL506,2*(J506/IF(CG506&gt;0,CG506,MAX(0.1,N(Cockpit!$C$6)))-CK506)),0)</f>
        <v>106</v>
      </c>
      <c r="AM506" s="51" t="n">
        <f aca="false">IF(AI506&gt;0,J506/AI506,-1)</f>
        <v>4.4822695035461</v>
      </c>
      <c r="AN506" s="51" t="str">
        <f aca="false">IF(AND(OR(CF506="L1",CF506="L23",CF506="LIFT"),AI506&gt;0),SUMIFS($AI$7:$AI$1843,$CF$7:$CF$1843,CF506,$AM$7:$AM$1843,"&gt;"&amp;AM506)+SUMIFS($AI$7:$AI$1843,$CF$7:$CF$1843,CF506,$AM$7:$AM$1843,AM506,$BW$7:$BW$1843,"&lt;="&amp;BW506),"")</f>
        <v/>
      </c>
      <c r="AO506" s="58" t="n">
        <f aca="false">IF(AN506="",0,MAX(0,MIN(1,(IF(CF506="L1",Parameter!$H$5,IF(CF506="L23",Parameter!$H$6+Parameter!$H$7,Parameter!$H$5+Parameter!$H$6+Parameter!$H$7))-(AN506-AI506))/AI506)))</f>
        <v>0</v>
      </c>
      <c r="AP506" s="50" t="n">
        <f aca="false">IF(LEFT(Cockpit!$I$5,1)="A",H506,IF(Parameter!$E$30="MAX-Bestand",IF(CH506=1,CI506,IF(LEFT(Cockpit!$I$5,1)="B",AV506,MAX(AV506,H506))),ROUNDUP(AT506,0)))</f>
        <v>53</v>
      </c>
      <c r="AQ506" s="50" t="n">
        <f aca="false">IF(BZ506=1,0,ROUNDUP(AP506/BY506,0))</f>
        <v>0</v>
      </c>
      <c r="AR506" s="52" t="n">
        <f aca="false">IF(CQ506&gt;0,CQ506*MAX(1,AP506/X506),IF(BZ506=1,IF(AP506&lt;=0,0,CD506*MAX(1,IF(H506&gt;0,AP506/H506,1))),IF(R506&gt;0,AQ506/R506,0))/MAX(0.1,N(Parameter!$M$21)))</f>
        <v>0.189285714285714</v>
      </c>
      <c r="AS506" s="50" t="n">
        <f aca="false">AR506*CB506</f>
        <v>44.4821428571429</v>
      </c>
      <c r="AT506" s="51" t="n">
        <f aca="false">IF(LEFT(Cockpit!$I$5,1)="A",H506,IF(CH506=1,(CK506+CI506)/2,IF(LEFT(Cockpit!$I$5,1)="B",(CK506+AV506)/2,MAX((CK506+AV506)/2,H506))))</f>
        <v>53</v>
      </c>
      <c r="AU506" s="50" t="n">
        <f aca="false">AT506*G506</f>
        <v>43.46</v>
      </c>
      <c r="AV506" s="50" t="n">
        <f aca="false">ROUNDUP(CK506+MAX(CL506,2*(J506/IF(CG506&gt;0,CG506,MAX(0.1,N(Cockpit!$I$6)))-CK506)),0)</f>
        <v>106</v>
      </c>
      <c r="AW506" s="51" t="n">
        <f aca="false">IF(AS506&gt;0,J506/AS506,-1)</f>
        <v>3.55198715375351</v>
      </c>
      <c r="AX506" s="51" t="str">
        <f aca="false">IF(AND(OR(CF506="L1",CF506="L23",CF506="LIFT"),AS506&gt;0),SUMIFS($AS$7:$AS$1843,$CF$7:$CF$1843,CF506,$AW$7:$AW$1843,"&gt;"&amp;AW506)+SUMIFS($AS$7:$AS$1843,$CF$7:$CF$1843,CF506,$AW$7:$AW$1843,AW506,$BW$7:$BW$1843,"&lt;="&amp;BW506),"")</f>
        <v/>
      </c>
      <c r="AY506" s="58" t="n">
        <f aca="false">IF(AX506="",0,MAX(0,MIN(1,(IF(CF506="L1",Parameter!$H$5,IF(CF506="L23",Parameter!$H$6+Parameter!$H$7,Parameter!$H$5+Parameter!$H$6+Parameter!$H$7))-(AX506-AS506))/AS506)))</f>
        <v>0</v>
      </c>
      <c r="AZ506" s="50" t="n">
        <f aca="false">IF(LEFT(Cockpit!$O$5,1)="A",H506,IF(Parameter!$E$30="MAX-Bestand",IF(CH506=1,CI506,IF(LEFT(Cockpit!$O$5,1)="B",BF506,MAX(BF506,H506))),ROUNDUP(BD506,0)))</f>
        <v>50</v>
      </c>
      <c r="BA506" s="50" t="n">
        <f aca="false">IF(BZ506=1,0,ROUNDUP(AZ506/BY506,0))</f>
        <v>0</v>
      </c>
      <c r="BB506" s="52" t="n">
        <f aca="false">IF(CQ506&gt;0,CQ506*MAX(1,AZ506/X506),IF(BZ506=1,IF(AZ506&lt;=0,0,CD506*MAX(1,IF(H506&gt;0,AZ506/H506,1))),IF(R506&gt;0,BA506/R506,0))/MAX(0.1,N(Parameter!$M$21)))</f>
        <v>0.178571428571429</v>
      </c>
      <c r="BC506" s="50" t="n">
        <f aca="false">BB506*CB506</f>
        <v>41.9642857142857</v>
      </c>
      <c r="BD506" s="51" t="n">
        <f aca="false">IF(LEFT(Cockpit!$O$5,1)="A",H506,IF(CH506=1,(CK506+CI506)/2,IF(LEFT(Cockpit!$O$5,1)="B",(CK506+BF506)/2,MAX((CK506+BF506)/2,H506))))</f>
        <v>50</v>
      </c>
      <c r="BE506" s="50" t="n">
        <f aca="false">BD506*G506</f>
        <v>41</v>
      </c>
      <c r="BF506" s="50" t="n">
        <f aca="false">ROUNDUP(CK506+MAX(CL506,2*(J506/IF(CG506&gt;0,CG506,MAX(0.1,N(Cockpit!$O$6)))-CK506)),0)</f>
        <v>100</v>
      </c>
      <c r="BG506" s="51" t="n">
        <f aca="false">IF(BC506&gt;0,J506/BC506,-1)</f>
        <v>3.76510638297872</v>
      </c>
      <c r="BH506" s="51" t="str">
        <f aca="false">IF(AND(OR(CF506="L1",CF506="L23",CF506="LIFT"),BC506&gt;0),SUMIFS($BC$7:$BC$1843,$CF$7:$CF$1843,CF506,$BG$7:$BG$1843,"&gt;"&amp;BG506)+SUMIFS($BC$7:$BC$1843,$CF$7:$CF$1843,CF506,$BG$7:$BG$1843,BG506,$BW$7:$BW$1843,"&lt;="&amp;BW506),"")</f>
        <v/>
      </c>
      <c r="BI506" s="58" t="n">
        <f aca="false">IF(BH506="",0,MAX(0,MIN(1,(IF(CF506="L1",Parameter!$H$5,IF(CF506="L23",Parameter!$H$6+Parameter!$H$7,Parameter!$H$5+Parameter!$H$6+Parameter!$H$7))-(BH506-BC506))/BC506)))</f>
        <v>0</v>
      </c>
      <c r="BJ506" s="48" t="str">
        <f aca="false">IF(AI506&lt;=0,"",IF(CF506="Aussen","Aussenlager",IF(CF506="-","Nicht im Lift",IF(AO506&gt;=1,"Lift",IF(AO506&lt;=0,"Aussenlager","teilweise")))))</f>
        <v>Nicht im Lift</v>
      </c>
      <c r="BK506" s="48" t="str">
        <f aca="false">IF(AS506&lt;=0,"",IF(CF506="Aussen","Aussenlager",IF(CF506="-","Nicht im Lift",IF(AY506&gt;=1,"Lift",IF(AY506&lt;=0,"Aussenlager","teilweise")))))</f>
        <v>Nicht im Lift</v>
      </c>
      <c r="BL506" s="48" t="str">
        <f aca="false">IF(BC506&lt;=0,"",IF(CF506="Aussen","Aussenlager",IF(CF506="-","Nicht im Lift",IF(BI506&gt;=1,"Lift",IF(BI506&lt;=0,"Aussenlager","teilweise")))))</f>
        <v>Nicht im Lift</v>
      </c>
      <c r="BM506" s="48" t="str">
        <f aca="false">IF(A506="","",IF(BV506=1,"Neu; ","")&amp;IF(AND(BV506=0,BQ506&lt;0),"negativer Bestand (Export "&amp;BQ506&amp;"); ","")&amp;IF(J506&lt;=0,"Kein Verbrauch; ","")&amp;IF(CQ506&gt;0,"Lift "&amp;W506&amp;" lt. Liftbericht (Fach "&amp;X506&amp;" Stk); ",IF(CA506=1,"Gebinde geschätzt ("&amp;T506&amp;"); ",IF(BZ506=1,"Lose – Tablare geschätzt; ","")))&amp;IF(H506&gt;AV506,"Überbestand "&amp;ROUND(H506-AV506,0)&amp;" Stk / CHF "&amp;ROUND((H506-AV506)*G506,0)&amp;"; ","")&amp;IF(AND(CH506=1,CI506&lt;CJ506),"MAX &lt; MB+LG; ","")&amp;IF(AND(CP506&gt;0,CO506*10&gt;CP506),"zu hoch für Tablar; ","")&amp;IF(AND(BV506=0,OR(CH506=1,AA506&lt;&gt;"",U506&lt;&gt;"",V506&lt;&gt;"",AB506&lt;&gt;"")),"manuell übersteuert; ","")&amp;IF(AND(BZ506=0,R506=0),"Gebinde unbekannt / Stellmass fehlt; ","")&amp;IF(AND(BZ506=0,N(V506)&lt;=0,N(Q506)&lt;=0),"Menge pro Gebinde fehlt (Ist = 1 Gebinde); ","")&amp;BU506)</f>
        <v>Lose – Tablare geschätzt; </v>
      </c>
      <c r="BN506" s="48"/>
      <c r="BO506" s="48"/>
      <c r="BP506" s="55"/>
      <c r="BQ506" s="50" t="n">
        <v>42</v>
      </c>
      <c r="BR506" s="50" t="n">
        <v>0</v>
      </c>
      <c r="BS506" s="49" t="n">
        <v>34.44</v>
      </c>
      <c r="BT506" s="50" t="n">
        <v>158</v>
      </c>
      <c r="BU506" s="48"/>
      <c r="BV506" s="53" t="n">
        <v>0</v>
      </c>
      <c r="BW506" s="53" t="n">
        <v>506</v>
      </c>
      <c r="BX506" s="48" t="str">
        <f aca="false">IF(U506&lt;&gt;"",UPPER(TRIM(U506)),IF(CA506=1,UPPER(VLOOKUP(T506,Parameter!$I$27:$K$29,2,0)),IF(P506="","LOSE",P506)))</f>
        <v>LOSE</v>
      </c>
      <c r="BY506" s="50" t="n">
        <f aca="false">IF(BX506="LOSE",1,IF(N(V506)&gt;0,V506,IF(CA506=1,MAX(1,N(VLOOKUP(T506,Parameter!$I$27:$K$29,3,0)),H506,N(N506)),IF(N(Q506)&gt;0,Q506,MAX(1,H506)))))</f>
        <v>1</v>
      </c>
      <c r="BZ506" s="53" t="n">
        <f aca="false">IF(BX506="LOSE",1,0)</f>
        <v>1</v>
      </c>
      <c r="CA506" s="53" t="n">
        <f aca="false">IF(AND(U506="",OR(P506="",P506="LOSE"),T506&lt;&gt;"",N(S506)&lt;=0,ISNUMBER(MATCH(T506,Parameter!$I$27:$I$29,0))),1,0)</f>
        <v>0</v>
      </c>
      <c r="CB506" s="53" t="n">
        <f aca="false">IF(CQ506&gt;0,INDEX(Parameter!$H$5:$H$7,W506)/INDEX(Parameter!$E$5:$E$7,W506),IF(AND(BZ506=0,N(IFERROR(VLOOKUP(BX506,'Gebinde-Kategorie'!$A$5:$N$45,14,0),0))&gt;0),VLOOKUP(BX506,'Gebinde-Kategorie'!$A$5:$N$45,14,0)*10+Parameter!$M$23,Parameter!$M$24))</f>
        <v>235</v>
      </c>
      <c r="CC506" s="48" t="str">
        <f aca="false">IF(AND(Parameter!$B$19="Ja",E506&lt;&gt;"",ISNUMBER(MATCH(E506,Parameter!$I$35:$I$52,0))),VLOOKUP(E506,Parameter!$I$35:$J$52,2,0),IFERROR(VLOOKUP(D506,Parameter!$A$35:$C$64,2,0),"Nein"))</f>
        <v>Nein</v>
      </c>
      <c r="CD506" s="52" t="n">
        <f aca="false">IF(BZ506=0,0,IF(N(S506)&gt;0,S506,IFERROR(VLOOKUP(D506,Parameter!$A$35:$C$64,3,0)+0,0)))</f>
        <v>0.15</v>
      </c>
      <c r="CE506" s="48" t="str">
        <f aca="false">IF(AA506&lt;&gt;"",AA506,Z506)</f>
        <v>-</v>
      </c>
      <c r="CF506" s="48" t="str">
        <f aca="false">IF(OR(CE506=1,CE506=2,CE506=3),IF(Parameter!$E$27="Ja","LIFT",IF(CE506=1,"L1","L23")),IF(CE506="Aussen","Aussen","-"))</f>
        <v>-</v>
      </c>
      <c r="CG506" s="59" t="n">
        <f aca="false">IF(N(AB506)&gt;0,AB506,0)</f>
        <v>0</v>
      </c>
      <c r="CH506" s="53" t="n">
        <f aca="false">IF(ISNUMBER(AE506),1,0)</f>
        <v>0</v>
      </c>
      <c r="CI506" s="50" t="n">
        <f aca="false">N(AE506)</f>
        <v>0</v>
      </c>
      <c r="CJ506" s="50" t="n">
        <f aca="false">N(M506)+N(N506)</f>
        <v>100</v>
      </c>
      <c r="CK506" s="50" t="n">
        <f aca="false">N(M506)</f>
        <v>0</v>
      </c>
      <c r="CL506" s="50" t="n">
        <f aca="false">N(N506)</f>
        <v>100</v>
      </c>
      <c r="CM506" s="50" t="n">
        <f aca="false">ROUNDUP(H506/BY506,0)</f>
        <v>42</v>
      </c>
      <c r="CN506" s="50" t="n">
        <f aca="false">ROUNDUP(CI506/BY506,0)</f>
        <v>0</v>
      </c>
      <c r="CO506" s="53" t="n">
        <f aca="false">IF(BZ506=1,0,IFERROR(VLOOKUP(BX506,'Gebinde-Kategorie'!$A$5:$N$45,5,0)+0,0))</f>
        <v>0</v>
      </c>
      <c r="CP506" s="53" t="n">
        <f aca="false">IFERROR(IF(OR(CE506=1,CE506=2,CE506=3),N(INDEX(Parameter!$I$5:$I$7,CE506)),0),0)</f>
        <v>0</v>
      </c>
      <c r="CQ506" s="52" t="n">
        <f aca="false">IF(AND(Parameter!$B$21="Ja",ISNUMBER(W506),N(X506)&gt;0),IFERROR(N(INDEX(Parameter!$L$5:$L$7,W506))*INDEX(Parameter!$E$5:$E$7,W506)*X506/SUMIFS($X$7:$X$1843,$W$7:$W$1843,W506),0),0)</f>
        <v>0</v>
      </c>
    </row>
    <row r="507" customFormat="false" ht="15" hidden="false" customHeight="false" outlineLevel="0" collapsed="false">
      <c r="A507" s="48" t="s">
        <v>1119</v>
      </c>
      <c r="B507" s="48" t="s">
        <v>1120</v>
      </c>
      <c r="C507" s="48" t="s">
        <v>173</v>
      </c>
      <c r="D507" s="48" t="s">
        <v>182</v>
      </c>
      <c r="E507" s="48" t="s">
        <v>194</v>
      </c>
      <c r="F507" s="48" t="s">
        <v>227</v>
      </c>
      <c r="G507" s="49" t="n">
        <v>199.84</v>
      </c>
      <c r="H507" s="50" t="n">
        <f aca="false">MAX(0,IF(AND(Parameter!$B$21="Ja",ISNUMBER(Y507)),Y507,IF(Parameter!$B$20="Jahresanfang 2025 + Export",BR507+BQ507,BQ507)))</f>
        <v>17</v>
      </c>
      <c r="I507" s="50" t="n">
        <f aca="false">H507*G507</f>
        <v>3397.28</v>
      </c>
      <c r="J507" s="50" t="n">
        <f aca="false">BT507*Parameter!$B$18</f>
        <v>18</v>
      </c>
      <c r="K507" s="51" t="n">
        <v>30</v>
      </c>
      <c r="L507" s="52" t="n">
        <v>0.6</v>
      </c>
      <c r="M507" s="50" t="n">
        <v>2</v>
      </c>
      <c r="N507" s="50" t="n">
        <v>15</v>
      </c>
      <c r="O507" s="53" t="n">
        <v>44</v>
      </c>
      <c r="P507" s="48" t="s">
        <v>183</v>
      </c>
      <c r="Q507" s="50" t="n">
        <v>17</v>
      </c>
      <c r="R507" s="53" t="n">
        <f aca="false">IF(BZ507=1,0,IFERROR(VLOOKUP(BX507,'Gebinde-Kategorie'!$A$5:$N$45,13,0)+0,0))</f>
        <v>6</v>
      </c>
      <c r="S507" s="54"/>
      <c r="T507" s="55"/>
      <c r="U507" s="55"/>
      <c r="V507" s="55"/>
      <c r="W507" s="48"/>
      <c r="X507" s="50"/>
      <c r="Y507" s="50"/>
      <c r="Z507" s="48" t="n">
        <f aca="false">IF(A507="","",IF(AND(Parameter!$B$21="Ja",ISNUMBER(W507)),W507,IF(CC507="2+3",IF(ISNUMBER(SEARCH("grosser Artikel",BU507)),2,IFERROR(VLOOKUP(BX507,Parameter!$F$35:$G$64,2,0),2)),IF(OR(CC507="Nein",CC507=""),"-",CC507))))</f>
        <v>2</v>
      </c>
      <c r="AA507" s="55"/>
      <c r="AB507" s="56"/>
      <c r="AC507" s="50" t="n">
        <f aca="false">AV507</f>
        <v>17</v>
      </c>
      <c r="AD507" s="50" t="n">
        <f aca="false">MAX(AV507,H507)</f>
        <v>17</v>
      </c>
      <c r="AE507" s="57"/>
      <c r="AF507" s="50" t="n">
        <f aca="false">IF(LEFT(Cockpit!$C$5,1)="A",H507,IF(Parameter!$E$30="MAX-Bestand",IF(CH507=1,CI507,IF(LEFT(Cockpit!$C$5,1)="B",AL507,MAX(AL507,H507))),ROUNDUP(AJ507,0)))</f>
        <v>17</v>
      </c>
      <c r="AG507" s="50" t="n">
        <f aca="false">IF(BZ507=1,0,ROUNDUP(AF507/BY507,0))</f>
        <v>1</v>
      </c>
      <c r="AH507" s="52" t="n">
        <f aca="false">IF(CQ507&gt;0,CQ507*MAX(1,AF507/X507),IF(BZ507=1,IF(AF507&lt;=0,0,CD507*MAX(1,IF(H507&gt;0,AF507/H507,1))),IF(R507&gt;0,AG507/R507,0))/MAX(0.1,N(Parameter!$M$21)))</f>
        <v>0.166666666666667</v>
      </c>
      <c r="AI507" s="50" t="n">
        <f aca="false">AH507*CB507</f>
        <v>39.1666666666667</v>
      </c>
      <c r="AJ507" s="51" t="n">
        <f aca="false">IF(LEFT(Cockpit!$C$5,1)="A",H507,IF(CH507=1,(CK507+CI507)/2,IF(LEFT(Cockpit!$C$5,1)="B",(CK507+AL507)/2,MAX((CK507+AL507)/2,H507))))</f>
        <v>17</v>
      </c>
      <c r="AK507" s="50" t="n">
        <f aca="false">AJ507*G507</f>
        <v>3397.28</v>
      </c>
      <c r="AL507" s="50" t="n">
        <f aca="false">ROUNDUP(CK507+MAX(CL507,2*(J507/IF(CG507&gt;0,CG507,MAX(0.1,N(Cockpit!$C$6)))-CK507)),0)</f>
        <v>17</v>
      </c>
      <c r="AM507" s="51" t="n">
        <f aca="false">IF(AI507&gt;0,J507/AI507,-1)</f>
        <v>0.459574468085106</v>
      </c>
      <c r="AN507" s="51" t="n">
        <f aca="false">IF(AND(OR(CF507="L1",CF507="L23",CF507="LIFT"),AI507&gt;0),SUMIFS($AI$7:$AI$1843,$CF$7:$CF$1843,CF507,$AM$7:$AM$1843,"&gt;"&amp;AM507)+SUMIFS($AI$7:$AI$1843,$CF$7:$CF$1843,CF507,$AM$7:$AM$1843,AM507,$BW$7:$BW$1843,"&lt;="&amp;BW507),"")</f>
        <v>9778.51050267999</v>
      </c>
      <c r="AO507" s="58" t="n">
        <f aca="false">IF(AN507="",0,MAX(0,MIN(1,(IF(CF507="L1",Parameter!$H$5,IF(CF507="L23",Parameter!$H$6+Parameter!$H$7,Parameter!$H$5+Parameter!$H$6+Parameter!$H$7))-(AN507-AI507))/AI507)))</f>
        <v>1</v>
      </c>
      <c r="AP507" s="50" t="n">
        <f aca="false">IF(LEFT(Cockpit!$I$5,1)="A",H507,IF(Parameter!$E$30="MAX-Bestand",IF(CH507=1,CI507,IF(LEFT(Cockpit!$I$5,1)="B",AV507,MAX(AV507,H507))),ROUNDUP(AT507,0)))</f>
        <v>17</v>
      </c>
      <c r="AQ507" s="50" t="n">
        <f aca="false">IF(BZ507=1,0,ROUNDUP(AP507/BY507,0))</f>
        <v>1</v>
      </c>
      <c r="AR507" s="52" t="n">
        <f aca="false">IF(CQ507&gt;0,CQ507*MAX(1,AP507/X507),IF(BZ507=1,IF(AP507&lt;=0,0,CD507*MAX(1,IF(H507&gt;0,AP507/H507,1))),IF(R507&gt;0,AQ507/R507,0))/MAX(0.1,N(Parameter!$M$21)))</f>
        <v>0.166666666666667</v>
      </c>
      <c r="AS507" s="50" t="n">
        <f aca="false">AR507*CB507</f>
        <v>39.1666666666667</v>
      </c>
      <c r="AT507" s="51" t="n">
        <f aca="false">IF(LEFT(Cockpit!$I$5,1)="A",H507,IF(CH507=1,(CK507+CI507)/2,IF(LEFT(Cockpit!$I$5,1)="B",(CK507+AV507)/2,MAX((CK507+AV507)/2,H507))))</f>
        <v>17</v>
      </c>
      <c r="AU507" s="50" t="n">
        <f aca="false">AT507*G507</f>
        <v>3397.28</v>
      </c>
      <c r="AV507" s="50" t="n">
        <f aca="false">ROUNDUP(CK507+MAX(CL507,2*(J507/IF(CG507&gt;0,CG507,MAX(0.1,N(Cockpit!$I$6)))-CK507)),0)</f>
        <v>17</v>
      </c>
      <c r="AW507" s="51" t="n">
        <f aca="false">IF(AS507&gt;0,J507/AS507,-1)</f>
        <v>0.459574468085106</v>
      </c>
      <c r="AX507" s="51" t="n">
        <f aca="false">IF(AND(OR(CF507="L1",CF507="L23",CF507="LIFT"),AS507&gt;0),SUMIFS($AS$7:$AS$1843,$CF$7:$CF$1843,CF507,$AW$7:$AW$1843,"&gt;"&amp;AW507)+SUMIFS($AS$7:$AS$1843,$CF$7:$CF$1843,CF507,$AW$7:$AW$1843,AW507,$BW$7:$BW$1843,"&lt;="&amp;BW507),"")</f>
        <v>12192.3470695971</v>
      </c>
      <c r="AY507" s="58" t="n">
        <f aca="false">IF(AX507="",0,MAX(0,MIN(1,(IF(CF507="L1",Parameter!$H$5,IF(CF507="L23",Parameter!$H$6+Parameter!$H$7,Parameter!$H$5+Parameter!$H$6+Parameter!$H$7))-(AX507-AS507))/AS507)))</f>
        <v>1</v>
      </c>
      <c r="AZ507" s="50" t="n">
        <f aca="false">IF(LEFT(Cockpit!$O$5,1)="A",H507,IF(Parameter!$E$30="MAX-Bestand",IF(CH507=1,CI507,IF(LEFT(Cockpit!$O$5,1)="B",BF507,MAX(BF507,H507))),ROUNDUP(BD507,0)))</f>
        <v>10</v>
      </c>
      <c r="BA507" s="50" t="n">
        <f aca="false">IF(BZ507=1,0,ROUNDUP(AZ507/BY507,0))</f>
        <v>1</v>
      </c>
      <c r="BB507" s="52" t="n">
        <f aca="false">IF(CQ507&gt;0,CQ507*MAX(1,AZ507/X507),IF(BZ507=1,IF(AZ507&lt;=0,0,CD507*MAX(1,IF(H507&gt;0,AZ507/H507,1))),IF(R507&gt;0,BA507/R507,0))/MAX(0.1,N(Parameter!$M$21)))</f>
        <v>0.166666666666667</v>
      </c>
      <c r="BC507" s="50" t="n">
        <f aca="false">BB507*CB507</f>
        <v>39.1666666666667</v>
      </c>
      <c r="BD507" s="51" t="n">
        <f aca="false">IF(LEFT(Cockpit!$O$5,1)="A",H507,IF(CH507=1,(CK507+CI507)/2,IF(LEFT(Cockpit!$O$5,1)="B",(CK507+BF507)/2,MAX((CK507+BF507)/2,H507))))</f>
        <v>9.5</v>
      </c>
      <c r="BE507" s="50" t="n">
        <f aca="false">BD507*G507</f>
        <v>1898.48</v>
      </c>
      <c r="BF507" s="50" t="n">
        <f aca="false">ROUNDUP(CK507+MAX(CL507,2*(J507/IF(CG507&gt;0,CG507,MAX(0.1,N(Cockpit!$O$6)))-CK507)),0)</f>
        <v>17</v>
      </c>
      <c r="BG507" s="51" t="n">
        <f aca="false">IF(BC507&gt;0,J507/BC507,-1)</f>
        <v>0.459574468085106</v>
      </c>
      <c r="BH507" s="51" t="n">
        <f aca="false">IF(AND(OR(CF507="L1",CF507="L23",CF507="LIFT"),BC507&gt;0),SUMIFS($BC$7:$BC$1843,$CF$7:$CF$1843,CF507,$BG$7:$BG$1843,"&gt;"&amp;BG507)+SUMIFS($BC$7:$BC$1843,$CF$7:$CF$1843,CF507,$BG$7:$BG$1843,BG507,$BW$7:$BW$1843,"&lt;="&amp;BW507),"")</f>
        <v>10498.2632783883</v>
      </c>
      <c r="BI507" s="58" t="n">
        <f aca="false">IF(BH507="",0,MAX(0,MIN(1,(IF(CF507="L1",Parameter!$H$5,IF(CF507="L23",Parameter!$H$6+Parameter!$H$7,Parameter!$H$5+Parameter!$H$6+Parameter!$H$7))-(BH507-BC507))/BC507)))</f>
        <v>1</v>
      </c>
      <c r="BJ507" s="48" t="str">
        <f aca="false">IF(AI507&lt;=0,"",IF(CF507="Aussen","Aussenlager",IF(CF507="-","Nicht im Lift",IF(AO507&gt;=1,"Lift",IF(AO507&lt;=0,"Aussenlager","teilweise")))))</f>
        <v>Lift</v>
      </c>
      <c r="BK507" s="48" t="str">
        <f aca="false">IF(AS507&lt;=0,"",IF(CF507="Aussen","Aussenlager",IF(CF507="-","Nicht im Lift",IF(AY507&gt;=1,"Lift",IF(AY507&lt;=0,"Aussenlager","teilweise")))))</f>
        <v>Lift</v>
      </c>
      <c r="BL507" s="48" t="str">
        <f aca="false">IF(BC507&lt;=0,"",IF(CF507="Aussen","Aussenlager",IF(CF507="-","Nicht im Lift",IF(BI507&gt;=1,"Lift",IF(BI507&lt;=0,"Aussenlager","teilweise")))))</f>
        <v>Lift</v>
      </c>
      <c r="BM507" s="48" t="str">
        <f aca="false">IF(A507="","",IF(BV507=1,"Neu; ","")&amp;IF(AND(BV507=0,BQ507&lt;0),"negativer Bestand (Export "&amp;BQ507&amp;"); ","")&amp;IF(J507&lt;=0,"Kein Verbrauch; ","")&amp;IF(CQ507&gt;0,"Lift "&amp;W507&amp;" lt. Liftbericht (Fach "&amp;X507&amp;" Stk); ",IF(CA507=1,"Gebinde geschätzt ("&amp;T507&amp;"); ",IF(BZ507=1,"Lose – Tablare geschätzt; ","")))&amp;IF(H507&gt;AV507,"Überbestand "&amp;ROUND(H507-AV507,0)&amp;" Stk / CHF "&amp;ROUND((H507-AV507)*G507,0)&amp;"; ","")&amp;IF(AND(CH507=1,CI507&lt;CJ507),"MAX &lt; MB+LG; ","")&amp;IF(AND(CP507&gt;0,CO507*10&gt;CP507),"zu hoch für Tablar; ","")&amp;IF(AND(BV507=0,OR(CH507=1,AA507&lt;&gt;"",U507&lt;&gt;"",V507&lt;&gt;"",AB507&lt;&gt;"")),"manuell übersteuert; ","")&amp;IF(AND(BZ507=0,R507=0),"Gebinde unbekannt / Stellmass fehlt; ","")&amp;IF(AND(BZ507=0,N(V507)&lt;=0,N(Q507)&lt;=0),"Menge pro Gebinde fehlt (Ist = 1 Gebinde); ","")&amp;BU507)</f>
        <v>negativer Bestand (Export -2); grosser Artikel &amp; nicht im KTL</v>
      </c>
      <c r="BN507" s="48"/>
      <c r="BO507" s="48"/>
      <c r="BP507" s="55"/>
      <c r="BQ507" s="50" t="n">
        <v>-2</v>
      </c>
      <c r="BR507" s="50" t="n">
        <v>19</v>
      </c>
      <c r="BS507" s="49" t="n">
        <v>34.2799999999952</v>
      </c>
      <c r="BT507" s="50" t="n">
        <v>18</v>
      </c>
      <c r="BU507" s="48" t="s">
        <v>270</v>
      </c>
      <c r="BV507" s="53" t="n">
        <v>0</v>
      </c>
      <c r="BW507" s="53" t="n">
        <v>507</v>
      </c>
      <c r="BX507" s="48" t="str">
        <f aca="false">IF(U507&lt;&gt;"",UPPER(TRIM(U507)),IF(CA507=1,UPPER(VLOOKUP(T507,Parameter!$I$27:$K$29,2,0)),IF(P507="","LOSE",P507)))</f>
        <v>S71</v>
      </c>
      <c r="BY507" s="50" t="n">
        <f aca="false">IF(BX507="LOSE",1,IF(N(V507)&gt;0,V507,IF(CA507=1,MAX(1,N(VLOOKUP(T507,Parameter!$I$27:$K$29,3,0)),H507,N(N507)),IF(N(Q507)&gt;0,Q507,MAX(1,H507)))))</f>
        <v>17</v>
      </c>
      <c r="BZ507" s="53" t="n">
        <f aca="false">IF(BX507="LOSE",1,0)</f>
        <v>0</v>
      </c>
      <c r="CA507" s="53" t="n">
        <f aca="false">IF(AND(U507="",OR(P507="",P507="LOSE"),T507&lt;&gt;"",N(S507)&lt;=0,ISNUMBER(MATCH(T507,Parameter!$I$27:$I$29,0))),1,0)</f>
        <v>0</v>
      </c>
      <c r="CB507" s="53" t="n">
        <f aca="false">IF(CQ507&gt;0,INDEX(Parameter!$H$5:$H$7,W507)/INDEX(Parameter!$E$5:$E$7,W507),IF(AND(BZ507=0,N(IFERROR(VLOOKUP(BX507,'Gebinde-Kategorie'!$A$5:$N$45,14,0),0))&gt;0),VLOOKUP(BX507,'Gebinde-Kategorie'!$A$5:$N$45,14,0)*10+Parameter!$M$23,Parameter!$M$24))</f>
        <v>235</v>
      </c>
      <c r="CC507" s="48" t="str">
        <f aca="false">IF(AND(Parameter!$B$19="Ja",E507&lt;&gt;"",ISNUMBER(MATCH(E507,Parameter!$I$35:$I$52,0))),VLOOKUP(E507,Parameter!$I$35:$J$52,2,0),IFERROR(VLOOKUP(D507,Parameter!$A$35:$C$64,2,0),"Nein"))</f>
        <v>2+3</v>
      </c>
      <c r="CD507" s="52" t="n">
        <f aca="false">IF(BZ507=0,0,IF(N(S507)&gt;0,S507,IFERROR(VLOOKUP(D507,Parameter!$A$35:$C$64,3,0)+0,0)))</f>
        <v>0</v>
      </c>
      <c r="CE507" s="48" t="n">
        <f aca="false">IF(AA507&lt;&gt;"",AA507,Z507)</f>
        <v>2</v>
      </c>
      <c r="CF507" s="48" t="str">
        <f aca="false">IF(OR(CE507=1,CE507=2,CE507=3),IF(Parameter!$E$27="Ja","LIFT",IF(CE507=1,"L1","L23")),IF(CE507="Aussen","Aussen","-"))</f>
        <v>LIFT</v>
      </c>
      <c r="CG507" s="59" t="n">
        <f aca="false">IF(N(AB507)&gt;0,AB507,0)</f>
        <v>0</v>
      </c>
      <c r="CH507" s="53" t="n">
        <f aca="false">IF(ISNUMBER(AE507),1,0)</f>
        <v>0</v>
      </c>
      <c r="CI507" s="50" t="n">
        <f aca="false">N(AE507)</f>
        <v>0</v>
      </c>
      <c r="CJ507" s="50" t="n">
        <f aca="false">N(M507)+N(N507)</f>
        <v>17</v>
      </c>
      <c r="CK507" s="50" t="n">
        <f aca="false">N(M507)</f>
        <v>2</v>
      </c>
      <c r="CL507" s="50" t="n">
        <f aca="false">N(N507)</f>
        <v>15</v>
      </c>
      <c r="CM507" s="50" t="n">
        <f aca="false">ROUNDUP(H507/BY507,0)</f>
        <v>1</v>
      </c>
      <c r="CN507" s="50" t="n">
        <f aca="false">ROUNDUP(CI507/BY507,0)</f>
        <v>0</v>
      </c>
      <c r="CO507" s="53" t="n">
        <f aca="false">IF(BZ507=1,0,IFERROR(VLOOKUP(BX507,'Gebinde-Kategorie'!$A$5:$N$45,5,0)+0,0))</f>
        <v>20</v>
      </c>
      <c r="CP507" s="53" t="n">
        <f aca="false">IFERROR(IF(OR(CE507=1,CE507=2,CE507=3),N(INDEX(Parameter!$I$5:$I$7,CE507)),0),0)</f>
        <v>0</v>
      </c>
      <c r="CQ507" s="52" t="n">
        <f aca="false">IF(AND(Parameter!$B$21="Ja",ISNUMBER(W507),N(X507)&gt;0),IFERROR(N(INDEX(Parameter!$L$5:$L$7,W507))*INDEX(Parameter!$E$5:$E$7,W507)*X507/SUMIFS($X$7:$X$1843,$W$7:$W$1843,W507),0),0)</f>
        <v>0</v>
      </c>
    </row>
    <row r="508" customFormat="false" ht="15" hidden="false" customHeight="false" outlineLevel="0" collapsed="false">
      <c r="A508" s="48" t="s">
        <v>1121</v>
      </c>
      <c r="B508" s="48" t="s">
        <v>1122</v>
      </c>
      <c r="C508" s="48" t="s">
        <v>173</v>
      </c>
      <c r="D508" s="48" t="s">
        <v>193</v>
      </c>
      <c r="E508" s="48" t="s">
        <v>194</v>
      </c>
      <c r="F508" s="48" t="s">
        <v>227</v>
      </c>
      <c r="G508" s="49" t="n">
        <v>34</v>
      </c>
      <c r="H508" s="50" t="n">
        <f aca="false">MAX(0,IF(AND(Parameter!$B$21="Ja",ISNUMBER(Y508)),Y508,IF(Parameter!$B$20="Jahresanfang 2025 + Export",BR508+BQ508,BQ508)))</f>
        <v>2</v>
      </c>
      <c r="I508" s="50" t="n">
        <f aca="false">H508*G508</f>
        <v>68</v>
      </c>
      <c r="J508" s="50" t="n">
        <f aca="false">BT508*Parameter!$B$18</f>
        <v>0</v>
      </c>
      <c r="K508" s="51" t="n">
        <v>1.5</v>
      </c>
      <c r="L508" s="52" t="n">
        <v>0</v>
      </c>
      <c r="M508" s="50" t="n">
        <v>0</v>
      </c>
      <c r="N508" s="50" t="n">
        <v>1</v>
      </c>
      <c r="O508" s="53" t="n">
        <v>63</v>
      </c>
      <c r="P508" s="48" t="s">
        <v>410</v>
      </c>
      <c r="Q508" s="50" t="n">
        <v>2</v>
      </c>
      <c r="R508" s="53" t="n">
        <f aca="false">IF(BZ508=1,0,IFERROR(VLOOKUP(BX508,'Gebinde-Kategorie'!$A$5:$N$45,13,0)+0,0))</f>
        <v>280</v>
      </c>
      <c r="S508" s="54"/>
      <c r="T508" s="55"/>
      <c r="U508" s="55"/>
      <c r="V508" s="55"/>
      <c r="W508" s="48"/>
      <c r="X508" s="50"/>
      <c r="Y508" s="50"/>
      <c r="Z508" s="48" t="n">
        <f aca="false">IF(A508="","",IF(AND(Parameter!$B$21="Ja",ISNUMBER(W508)),W508,IF(CC508="2+3",IF(ISNUMBER(SEARCH("grosser Artikel",BU508)),2,IFERROR(VLOOKUP(BX508,Parameter!$F$35:$G$64,2,0),2)),IF(OR(CC508="Nein",CC508=""),"-",CC508))))</f>
        <v>3</v>
      </c>
      <c r="AA508" s="55"/>
      <c r="AB508" s="56"/>
      <c r="AC508" s="50" t="n">
        <f aca="false">AV508</f>
        <v>1</v>
      </c>
      <c r="AD508" s="50" t="n">
        <f aca="false">MAX(AV508,H508)</f>
        <v>2</v>
      </c>
      <c r="AE508" s="57"/>
      <c r="AF508" s="50" t="n">
        <f aca="false">IF(LEFT(Cockpit!$C$5,1)="A",H508,IF(Parameter!$E$30="MAX-Bestand",IF(CH508=1,CI508,IF(LEFT(Cockpit!$C$5,1)="B",AL508,MAX(AL508,H508))),ROUNDUP(AJ508,0)))</f>
        <v>2</v>
      </c>
      <c r="AG508" s="50" t="n">
        <f aca="false">IF(BZ508=1,0,ROUNDUP(AF508/BY508,0))</f>
        <v>1</v>
      </c>
      <c r="AH508" s="52" t="n">
        <f aca="false">IF(CQ508&gt;0,CQ508*MAX(1,AF508/X508),IF(BZ508=1,IF(AF508&lt;=0,0,CD508*MAX(1,IF(H508&gt;0,AF508/H508,1))),IF(R508&gt;0,AG508/R508,0))/MAX(0.1,N(Parameter!$M$21)))</f>
        <v>0.00357142857142857</v>
      </c>
      <c r="AI508" s="50" t="n">
        <f aca="false">AH508*CB508</f>
        <v>0.553571428571429</v>
      </c>
      <c r="AJ508" s="51" t="n">
        <f aca="false">IF(LEFT(Cockpit!$C$5,1)="A",H508,IF(CH508=1,(CK508+CI508)/2,IF(LEFT(Cockpit!$C$5,1)="B",(CK508+AL508)/2,MAX((CK508+AL508)/2,H508))))</f>
        <v>2</v>
      </c>
      <c r="AK508" s="50" t="n">
        <f aca="false">AJ508*G508</f>
        <v>68</v>
      </c>
      <c r="AL508" s="50" t="n">
        <f aca="false">ROUNDUP(CK508+MAX(CL508,2*(J508/IF(CG508&gt;0,CG508,MAX(0.1,N(Cockpit!$C$6)))-CK508)),0)</f>
        <v>1</v>
      </c>
      <c r="AM508" s="51" t="n">
        <f aca="false">IF(AI508&gt;0,J508/AI508,-1)</f>
        <v>0</v>
      </c>
      <c r="AN508" s="51" t="n">
        <f aca="false">IF(AND(OR(CF508="L1",CF508="L23",CF508="LIFT"),AI508&gt;0),SUMIFS($AI$7:$AI$1843,$CF$7:$CF$1843,CF508,$AM$7:$AM$1843,"&gt;"&amp;AM508)+SUMIFS($AI$7:$AI$1843,$CF$7:$CF$1843,CF508,$AM$7:$AM$1843,AM508,$BW$7:$BW$1843,"&lt;="&amp;BW508),"")</f>
        <v>28264.5029153991</v>
      </c>
      <c r="AO508" s="58" t="n">
        <f aca="false">IF(AN508="",0,MAX(0,MIN(1,(IF(CF508="L1",Parameter!$H$5,IF(CF508="L23",Parameter!$H$6+Parameter!$H$7,Parameter!$H$5+Parameter!$H$6+Parameter!$H$7))-(AN508-AI508))/AI508)))</f>
        <v>1</v>
      </c>
      <c r="AP508" s="50" t="n">
        <f aca="false">IF(LEFT(Cockpit!$I$5,1)="A",H508,IF(Parameter!$E$30="MAX-Bestand",IF(CH508=1,CI508,IF(LEFT(Cockpit!$I$5,1)="B",AV508,MAX(AV508,H508))),ROUNDUP(AT508,0)))</f>
        <v>2</v>
      </c>
      <c r="AQ508" s="50" t="n">
        <f aca="false">IF(BZ508=1,0,ROUNDUP(AP508/BY508,0))</f>
        <v>1</v>
      </c>
      <c r="AR508" s="52" t="n">
        <f aca="false">IF(CQ508&gt;0,CQ508*MAX(1,AP508/X508),IF(BZ508=1,IF(AP508&lt;=0,0,CD508*MAX(1,IF(H508&gt;0,AP508/H508,1))),IF(R508&gt;0,AQ508/R508,0))/MAX(0.1,N(Parameter!$M$21)))</f>
        <v>0.00357142857142857</v>
      </c>
      <c r="AS508" s="50" t="n">
        <f aca="false">AR508*CB508</f>
        <v>0.553571428571429</v>
      </c>
      <c r="AT508" s="51" t="n">
        <f aca="false">IF(LEFT(Cockpit!$I$5,1)="A",H508,IF(CH508=1,(CK508+CI508)/2,IF(LEFT(Cockpit!$I$5,1)="B",(CK508+AV508)/2,MAX((CK508+AV508)/2,H508))))</f>
        <v>2</v>
      </c>
      <c r="AU508" s="50" t="n">
        <f aca="false">AT508*G508</f>
        <v>68</v>
      </c>
      <c r="AV508" s="50" t="n">
        <f aca="false">ROUNDUP(CK508+MAX(CL508,2*(J508/IF(CG508&gt;0,CG508,MAX(0.1,N(Cockpit!$I$6)))-CK508)),0)</f>
        <v>1</v>
      </c>
      <c r="AW508" s="51" t="n">
        <f aca="false">IF(AS508&gt;0,J508/AS508,-1)</f>
        <v>0</v>
      </c>
      <c r="AX508" s="51" t="n">
        <f aca="false">IF(AND(OR(CF508="L1",CF508="L23",CF508="LIFT"),AS508&gt;0),SUMIFS($AS$7:$AS$1843,$CF$7:$CF$1843,CF508,$AW$7:$AW$1843,"&gt;"&amp;AW508)+SUMIFS($AS$7:$AS$1843,$CF$7:$CF$1843,CF508,$AW$7:$AW$1843,AW508,$BW$7:$BW$1843,"&lt;="&amp;BW508),"")</f>
        <v>33617.6515567766</v>
      </c>
      <c r="AY508" s="58" t="n">
        <f aca="false">IF(AX508="",0,MAX(0,MIN(1,(IF(CF508="L1",Parameter!$H$5,IF(CF508="L23",Parameter!$H$6+Parameter!$H$7,Parameter!$H$5+Parameter!$H$6+Parameter!$H$7))-(AX508-AS508))/AS508)))</f>
        <v>1</v>
      </c>
      <c r="AZ508" s="50" t="n">
        <f aca="false">IF(LEFT(Cockpit!$O$5,1)="A",H508,IF(Parameter!$E$30="MAX-Bestand",IF(CH508=1,CI508,IF(LEFT(Cockpit!$O$5,1)="B",BF508,MAX(BF508,H508))),ROUNDUP(BD508,0)))</f>
        <v>1</v>
      </c>
      <c r="BA508" s="50" t="n">
        <f aca="false">IF(BZ508=1,0,ROUNDUP(AZ508/BY508,0))</f>
        <v>1</v>
      </c>
      <c r="BB508" s="52" t="n">
        <f aca="false">IF(CQ508&gt;0,CQ508*MAX(1,AZ508/X508),IF(BZ508=1,IF(AZ508&lt;=0,0,CD508*MAX(1,IF(H508&gt;0,AZ508/H508,1))),IF(R508&gt;0,BA508/R508,0))/MAX(0.1,N(Parameter!$M$21)))</f>
        <v>0.00357142857142857</v>
      </c>
      <c r="BC508" s="50" t="n">
        <f aca="false">BB508*CB508</f>
        <v>0.553571428571429</v>
      </c>
      <c r="BD508" s="51" t="n">
        <f aca="false">IF(LEFT(Cockpit!$O$5,1)="A",H508,IF(CH508=1,(CK508+CI508)/2,IF(LEFT(Cockpit!$O$5,1)="B",(CK508+BF508)/2,MAX((CK508+BF508)/2,H508))))</f>
        <v>0.5</v>
      </c>
      <c r="BE508" s="50" t="n">
        <f aca="false">BD508*G508</f>
        <v>17</v>
      </c>
      <c r="BF508" s="50" t="n">
        <f aca="false">ROUNDUP(CK508+MAX(CL508,2*(J508/IF(CG508&gt;0,CG508,MAX(0.1,N(Cockpit!$O$6)))-CK508)),0)</f>
        <v>1</v>
      </c>
      <c r="BG508" s="51" t="n">
        <f aca="false">IF(BC508&gt;0,J508/BC508,-1)</f>
        <v>0</v>
      </c>
      <c r="BH508" s="51" t="n">
        <f aca="false">IF(AND(OR(CF508="L1",CF508="L23",CF508="LIFT"),BC508&gt;0),SUMIFS($BC$7:$BC$1843,$CF$7:$CF$1843,CF508,$BG$7:$BG$1843,"&gt;"&amp;BG508)+SUMIFS($BC$7:$BC$1843,$CF$7:$CF$1843,CF508,$BG$7:$BG$1843,BG508,$BW$7:$BW$1843,"&lt;="&amp;BW508),"")</f>
        <v>27721.9055612467</v>
      </c>
      <c r="BI508" s="58" t="n">
        <f aca="false">IF(BH508="",0,MAX(0,MIN(1,(IF(CF508="L1",Parameter!$H$5,IF(CF508="L23",Parameter!$H$6+Parameter!$H$7,Parameter!$H$5+Parameter!$H$6+Parameter!$H$7))-(BH508-BC508))/BC508)))</f>
        <v>1</v>
      </c>
      <c r="BJ508" s="48" t="str">
        <f aca="false">IF(AI508&lt;=0,"",IF(CF508="Aussen","Aussenlager",IF(CF508="-","Nicht im Lift",IF(AO508&gt;=1,"Lift",IF(AO508&lt;=0,"Aussenlager","teilweise")))))</f>
        <v>Lift</v>
      </c>
      <c r="BK508" s="48" t="str">
        <f aca="false">IF(AS508&lt;=0,"",IF(CF508="Aussen","Aussenlager",IF(CF508="-","Nicht im Lift",IF(AY508&gt;=1,"Lift",IF(AY508&lt;=0,"Aussenlager","teilweise")))))</f>
        <v>Lift</v>
      </c>
      <c r="BL508" s="48" t="str">
        <f aca="false">IF(BC508&lt;=0,"",IF(CF508="Aussen","Aussenlager",IF(CF508="-","Nicht im Lift",IF(BI508&gt;=1,"Lift",IF(BI508&lt;=0,"Aussenlager","teilweise")))))</f>
        <v>Lift</v>
      </c>
      <c r="BM508" s="48" t="str">
        <f aca="false">IF(A508="","",IF(BV508=1,"Neu; ","")&amp;IF(AND(BV508=0,BQ508&lt;0),"negativer Bestand (Export "&amp;BQ508&amp;"); ","")&amp;IF(J508&lt;=0,"Kein Verbrauch; ","")&amp;IF(CQ508&gt;0,"Lift "&amp;W508&amp;" lt. Liftbericht (Fach "&amp;X508&amp;" Stk); ",IF(CA508=1,"Gebinde geschätzt ("&amp;T508&amp;"); ",IF(BZ508=1,"Lose – Tablare geschätzt; ","")))&amp;IF(H508&gt;AV508,"Überbestand "&amp;ROUND(H508-AV508,0)&amp;" Stk / CHF "&amp;ROUND((H508-AV508)*G508,0)&amp;"; ","")&amp;IF(AND(CH508=1,CI508&lt;CJ508),"MAX &lt; MB+LG; ","")&amp;IF(AND(CP508&gt;0,CO508*10&gt;CP508),"zu hoch für Tablar; ","")&amp;IF(AND(BV508=0,OR(CH508=1,AA508&lt;&gt;"",U508&lt;&gt;"",V508&lt;&gt;"",AB508&lt;&gt;"")),"manuell übersteuert; ","")&amp;IF(AND(BZ508=0,R508=0),"Gebinde unbekannt / Stellmass fehlt; ","")&amp;IF(AND(BZ508=0,N(V508)&lt;=0,N(Q508)&lt;=0),"Menge pro Gebinde fehlt (Ist = 1 Gebinde); ","")&amp;BU508)</f>
        <v>Kein Verbrauch; Überbestand 1 Stk / CHF 34; </v>
      </c>
      <c r="BN508" s="48"/>
      <c r="BO508" s="48"/>
      <c r="BP508" s="55"/>
      <c r="BQ508" s="50" t="n">
        <v>1</v>
      </c>
      <c r="BR508" s="50" t="n">
        <v>1</v>
      </c>
      <c r="BS508" s="49" t="n">
        <v>34</v>
      </c>
      <c r="BT508" s="50" t="n">
        <v>0</v>
      </c>
      <c r="BU508" s="48"/>
      <c r="BV508" s="53" t="n">
        <v>0</v>
      </c>
      <c r="BW508" s="53" t="n">
        <v>508</v>
      </c>
      <c r="BX508" s="48" t="str">
        <f aca="false">IF(U508&lt;&gt;"",UPPER(TRIM(U508)),IF(CA508=1,UPPER(VLOOKUP(T508,Parameter!$I$27:$K$29,2,0)),IF(P508="","LOSE",P508)))</f>
        <v>S21</v>
      </c>
      <c r="BY508" s="50" t="n">
        <f aca="false">IF(BX508="LOSE",1,IF(N(V508)&gt;0,V508,IF(CA508=1,MAX(1,N(VLOOKUP(T508,Parameter!$I$27:$K$29,3,0)),H508,N(N508)),IF(N(Q508)&gt;0,Q508,MAX(1,H508)))))</f>
        <v>2</v>
      </c>
      <c r="BZ508" s="53" t="n">
        <f aca="false">IF(BX508="LOSE",1,0)</f>
        <v>0</v>
      </c>
      <c r="CA508" s="53" t="n">
        <f aca="false">IF(AND(U508="",OR(P508="",P508="LOSE"),T508&lt;&gt;"",N(S508)&lt;=0,ISNUMBER(MATCH(T508,Parameter!$I$27:$I$29,0))),1,0)</f>
        <v>0</v>
      </c>
      <c r="CB508" s="53" t="n">
        <f aca="false">IF(CQ508&gt;0,INDEX(Parameter!$H$5:$H$7,W508)/INDEX(Parameter!$E$5:$E$7,W508),IF(AND(BZ508=0,N(IFERROR(VLOOKUP(BX508,'Gebinde-Kategorie'!$A$5:$N$45,14,0),0))&gt;0),VLOOKUP(BX508,'Gebinde-Kategorie'!$A$5:$N$45,14,0)*10+Parameter!$M$23,Parameter!$M$24))</f>
        <v>155</v>
      </c>
      <c r="CC508" s="48" t="str">
        <f aca="false">IF(AND(Parameter!$B$19="Ja",E508&lt;&gt;"",ISNUMBER(MATCH(E508,Parameter!$I$35:$I$52,0))),VLOOKUP(E508,Parameter!$I$35:$J$52,2,0),IFERROR(VLOOKUP(D508,Parameter!$A$35:$C$64,2,0),"Nein"))</f>
        <v>2+3</v>
      </c>
      <c r="CD508" s="52" t="n">
        <f aca="false">IF(BZ508=0,0,IF(N(S508)&gt;0,S508,IFERROR(VLOOKUP(D508,Parameter!$A$35:$C$64,3,0)+0,0)))</f>
        <v>0</v>
      </c>
      <c r="CE508" s="48" t="n">
        <f aca="false">IF(AA508&lt;&gt;"",AA508,Z508)</f>
        <v>3</v>
      </c>
      <c r="CF508" s="48" t="str">
        <f aca="false">IF(OR(CE508=1,CE508=2,CE508=3),IF(Parameter!$E$27="Ja","LIFT",IF(CE508=1,"L1","L23")),IF(CE508="Aussen","Aussen","-"))</f>
        <v>LIFT</v>
      </c>
      <c r="CG508" s="59" t="n">
        <f aca="false">IF(N(AB508)&gt;0,AB508,0)</f>
        <v>0</v>
      </c>
      <c r="CH508" s="53" t="n">
        <f aca="false">IF(ISNUMBER(AE508),1,0)</f>
        <v>0</v>
      </c>
      <c r="CI508" s="50" t="n">
        <f aca="false">N(AE508)</f>
        <v>0</v>
      </c>
      <c r="CJ508" s="50" t="n">
        <f aca="false">N(M508)+N(N508)</f>
        <v>1</v>
      </c>
      <c r="CK508" s="50" t="n">
        <f aca="false">N(M508)</f>
        <v>0</v>
      </c>
      <c r="CL508" s="50" t="n">
        <f aca="false">N(N508)</f>
        <v>1</v>
      </c>
      <c r="CM508" s="50" t="n">
        <f aca="false">ROUNDUP(H508/BY508,0)</f>
        <v>1</v>
      </c>
      <c r="CN508" s="50" t="n">
        <f aca="false">ROUNDUP(CI508/BY508,0)</f>
        <v>0</v>
      </c>
      <c r="CO508" s="53" t="n">
        <f aca="false">IF(BZ508=1,0,IFERROR(VLOOKUP(BX508,'Gebinde-Kategorie'!$A$5:$N$45,5,0)+0,0))</f>
        <v>8</v>
      </c>
      <c r="CP508" s="53" t="n">
        <f aca="false">IFERROR(IF(OR(CE508=1,CE508=2,CE508=3),N(INDEX(Parameter!$I$5:$I$7,CE508)),0),0)</f>
        <v>0</v>
      </c>
      <c r="CQ508" s="52" t="n">
        <f aca="false">IF(AND(Parameter!$B$21="Ja",ISNUMBER(W508),N(X508)&gt;0),IFERROR(N(INDEX(Parameter!$L$5:$L$7,W508))*INDEX(Parameter!$E$5:$E$7,W508)*X508/SUMIFS($X$7:$X$1843,$W$7:$W$1843,W508),0),0)</f>
        <v>0</v>
      </c>
    </row>
    <row r="509" customFormat="false" ht="15" hidden="false" customHeight="false" outlineLevel="0" collapsed="false">
      <c r="A509" s="48" t="s">
        <v>1123</v>
      </c>
      <c r="B509" s="48" t="s">
        <v>477</v>
      </c>
      <c r="C509" s="48" t="s">
        <v>173</v>
      </c>
      <c r="D509" s="48" t="s">
        <v>193</v>
      </c>
      <c r="E509" s="48" t="s">
        <v>194</v>
      </c>
      <c r="F509" s="48" t="s">
        <v>227</v>
      </c>
      <c r="G509" s="49" t="n">
        <v>0.52</v>
      </c>
      <c r="H509" s="50" t="n">
        <f aca="false">MAX(0,IF(AND(Parameter!$B$21="Ja",ISNUMBER(Y509)),Y509,IF(Parameter!$B$20="Jahresanfang 2025 + Export",BR509+BQ509,BQ509)))</f>
        <v>507</v>
      </c>
      <c r="I509" s="50" t="n">
        <f aca="false">H509*G509</f>
        <v>263.64</v>
      </c>
      <c r="J509" s="50" t="n">
        <f aca="false">BT509*Parameter!$B$18</f>
        <v>688</v>
      </c>
      <c r="K509" s="51" t="n">
        <v>356.5</v>
      </c>
      <c r="L509" s="52" t="n">
        <v>1.92987377279102</v>
      </c>
      <c r="M509" s="50" t="n">
        <v>26</v>
      </c>
      <c r="N509" s="50" t="n">
        <v>690</v>
      </c>
      <c r="O509" s="53" t="n">
        <v>14</v>
      </c>
      <c r="P509" s="48" t="s">
        <v>242</v>
      </c>
      <c r="Q509" s="50" t="n">
        <v>865</v>
      </c>
      <c r="R509" s="53" t="n">
        <f aca="false">IF(BZ509=1,0,IFERROR(VLOOKUP(BX509,'Gebinde-Kategorie'!$A$5:$N$45,13,0)+0,0))</f>
        <v>26</v>
      </c>
      <c r="S509" s="54"/>
      <c r="T509" s="55"/>
      <c r="U509" s="55"/>
      <c r="V509" s="55"/>
      <c r="W509" s="48"/>
      <c r="X509" s="50"/>
      <c r="Y509" s="50"/>
      <c r="Z509" s="48" t="n">
        <f aca="false">IF(A509="","",IF(AND(Parameter!$B$21="Ja",ISNUMBER(W509)),W509,IF(CC509="2+3",IF(ISNUMBER(SEARCH("grosser Artikel",BU509)),2,IFERROR(VLOOKUP(BX509,Parameter!$F$35:$G$64,2,0),2)),IF(OR(CC509="Nein",CC509=""),"-",CC509))))</f>
        <v>3</v>
      </c>
      <c r="AA509" s="55"/>
      <c r="AB509" s="56"/>
      <c r="AC509" s="50" t="n">
        <f aca="false">AV509</f>
        <v>716</v>
      </c>
      <c r="AD509" s="50" t="n">
        <f aca="false">MAX(AV509,H509)</f>
        <v>716</v>
      </c>
      <c r="AE509" s="57"/>
      <c r="AF509" s="50" t="n">
        <f aca="false">IF(LEFT(Cockpit!$C$5,1)="A",H509,IF(Parameter!$E$30="MAX-Bestand",IF(CH509=1,CI509,IF(LEFT(Cockpit!$C$5,1)="B",AL509,MAX(AL509,H509))),ROUNDUP(AJ509,0)))</f>
        <v>507</v>
      </c>
      <c r="AG509" s="50" t="n">
        <f aca="false">IF(BZ509=1,0,ROUNDUP(AF509/BY509,0))</f>
        <v>1</v>
      </c>
      <c r="AH509" s="52" t="n">
        <f aca="false">IF(CQ509&gt;0,CQ509*MAX(1,AF509/X509),IF(BZ509=1,IF(AF509&lt;=0,0,CD509*MAX(1,IF(H509&gt;0,AF509/H509,1))),IF(R509&gt;0,AG509/R509,0))/MAX(0.1,N(Parameter!$M$21)))</f>
        <v>0.0384615384615385</v>
      </c>
      <c r="AI509" s="50" t="n">
        <f aca="false">AH509*CB509</f>
        <v>9.42307692307692</v>
      </c>
      <c r="AJ509" s="51" t="n">
        <f aca="false">IF(LEFT(Cockpit!$C$5,1)="A",H509,IF(CH509=1,(CK509+CI509)/2,IF(LEFT(Cockpit!$C$5,1)="B",(CK509+AL509)/2,MAX((CK509+AL509)/2,H509))))</f>
        <v>507</v>
      </c>
      <c r="AK509" s="50" t="n">
        <f aca="false">AJ509*G509</f>
        <v>263.64</v>
      </c>
      <c r="AL509" s="50" t="n">
        <f aca="false">ROUNDUP(CK509+MAX(CL509,2*(J509/IF(CG509&gt;0,CG509,MAX(0.1,N(Cockpit!$C$6)))-CK509)),0)</f>
        <v>716</v>
      </c>
      <c r="AM509" s="51" t="n">
        <f aca="false">IF(AI509&gt;0,J509/AI509,-1)</f>
        <v>73.0122448979592</v>
      </c>
      <c r="AN509" s="51" t="n">
        <f aca="false">IF(AND(OR(CF509="L1",CF509="L23",CF509="LIFT"),AI509&gt;0),SUMIFS($AI$7:$AI$1843,$CF$7:$CF$1843,CF509,$AM$7:$AM$1843,"&gt;"&amp;AM509)+SUMIFS($AI$7:$AI$1843,$CF$7:$CF$1843,CF509,$AM$7:$AM$1843,AM509,$BW$7:$BW$1843,"&lt;="&amp;BW509),"")</f>
        <v>876.832417582418</v>
      </c>
      <c r="AO509" s="58" t="n">
        <f aca="false">IF(AN509="",0,MAX(0,MIN(1,(IF(CF509="L1",Parameter!$H$5,IF(CF509="L23",Parameter!$H$6+Parameter!$H$7,Parameter!$H$5+Parameter!$H$6+Parameter!$H$7))-(AN509-AI509))/AI509)))</f>
        <v>1</v>
      </c>
      <c r="AP509" s="50" t="n">
        <f aca="false">IF(LEFT(Cockpit!$I$5,1)="A",H509,IF(Parameter!$E$30="MAX-Bestand",IF(CH509=1,CI509,IF(LEFT(Cockpit!$I$5,1)="B",AV509,MAX(AV509,H509))),ROUNDUP(AT509,0)))</f>
        <v>507</v>
      </c>
      <c r="AQ509" s="50" t="n">
        <f aca="false">IF(BZ509=1,0,ROUNDUP(AP509/BY509,0))</f>
        <v>1</v>
      </c>
      <c r="AR509" s="52" t="n">
        <f aca="false">IF(CQ509&gt;0,CQ509*MAX(1,AP509/X509),IF(BZ509=1,IF(AP509&lt;=0,0,CD509*MAX(1,IF(H509&gt;0,AP509/H509,1))),IF(R509&gt;0,AQ509/R509,0))/MAX(0.1,N(Parameter!$M$21)))</f>
        <v>0.0384615384615385</v>
      </c>
      <c r="AS509" s="50" t="n">
        <f aca="false">AR509*CB509</f>
        <v>9.42307692307692</v>
      </c>
      <c r="AT509" s="51" t="n">
        <f aca="false">IF(LEFT(Cockpit!$I$5,1)="A",H509,IF(CH509=1,(CK509+CI509)/2,IF(LEFT(Cockpit!$I$5,1)="B",(CK509+AV509)/2,MAX((CK509+AV509)/2,H509))))</f>
        <v>507</v>
      </c>
      <c r="AU509" s="50" t="n">
        <f aca="false">AT509*G509</f>
        <v>263.64</v>
      </c>
      <c r="AV509" s="50" t="n">
        <f aca="false">ROUNDUP(CK509+MAX(CL509,2*(J509/IF(CG509&gt;0,CG509,MAX(0.1,N(Cockpit!$I$6)))-CK509)),0)</f>
        <v>716</v>
      </c>
      <c r="AW509" s="51" t="n">
        <f aca="false">IF(AS509&gt;0,J509/AS509,-1)</f>
        <v>73.0122448979592</v>
      </c>
      <c r="AX509" s="51" t="n">
        <f aca="false">IF(AND(OR(CF509="L1",CF509="L23",CF509="LIFT"),AS509&gt;0),SUMIFS($AS$7:$AS$1843,$CF$7:$CF$1843,CF509,$AW$7:$AW$1843,"&gt;"&amp;AW509)+SUMIFS($AS$7:$AS$1843,$CF$7:$CF$1843,CF509,$AW$7:$AW$1843,AW509,$BW$7:$BW$1843,"&lt;="&amp;BW509),"")</f>
        <v>1089.74450549451</v>
      </c>
      <c r="AY509" s="58" t="n">
        <f aca="false">IF(AX509="",0,MAX(0,MIN(1,(IF(CF509="L1",Parameter!$H$5,IF(CF509="L23",Parameter!$H$6+Parameter!$H$7,Parameter!$H$5+Parameter!$H$6+Parameter!$H$7))-(AX509-AS509))/AS509)))</f>
        <v>1</v>
      </c>
      <c r="AZ509" s="50" t="n">
        <f aca="false">IF(LEFT(Cockpit!$O$5,1)="A",H509,IF(Parameter!$E$30="MAX-Bestand",IF(CH509=1,CI509,IF(LEFT(Cockpit!$O$5,1)="B",BF509,MAX(BF509,H509))),ROUNDUP(BD509,0)))</f>
        <v>371</v>
      </c>
      <c r="BA509" s="50" t="n">
        <f aca="false">IF(BZ509=1,0,ROUNDUP(AZ509/BY509,0))</f>
        <v>1</v>
      </c>
      <c r="BB509" s="52" t="n">
        <f aca="false">IF(CQ509&gt;0,CQ509*MAX(1,AZ509/X509),IF(BZ509=1,IF(AZ509&lt;=0,0,CD509*MAX(1,IF(H509&gt;0,AZ509/H509,1))),IF(R509&gt;0,BA509/R509,0))/MAX(0.1,N(Parameter!$M$21)))</f>
        <v>0.0384615384615385</v>
      </c>
      <c r="BC509" s="50" t="n">
        <f aca="false">BB509*CB509</f>
        <v>9.42307692307692</v>
      </c>
      <c r="BD509" s="51" t="n">
        <f aca="false">IF(LEFT(Cockpit!$O$5,1)="A",H509,IF(CH509=1,(CK509+CI509)/2,IF(LEFT(Cockpit!$O$5,1)="B",(CK509+BF509)/2,MAX((CK509+BF509)/2,H509))))</f>
        <v>371</v>
      </c>
      <c r="BE509" s="50" t="n">
        <f aca="false">BD509*G509</f>
        <v>192.92</v>
      </c>
      <c r="BF509" s="50" t="n">
        <f aca="false">ROUNDUP(CK509+MAX(CL509,2*(J509/IF(CG509&gt;0,CG509,MAX(0.1,N(Cockpit!$O$6)))-CK509)),0)</f>
        <v>716</v>
      </c>
      <c r="BG509" s="51" t="n">
        <f aca="false">IF(BC509&gt;0,J509/BC509,-1)</f>
        <v>73.0122448979592</v>
      </c>
      <c r="BH509" s="51" t="n">
        <f aca="false">IF(AND(OR(CF509="L1",CF509="L23",CF509="LIFT"),BC509&gt;0),SUMIFS($BC$7:$BC$1843,$CF$7:$CF$1843,CF509,$BG$7:$BG$1843,"&gt;"&amp;BG509)+SUMIFS($BC$7:$BC$1843,$CF$7:$CF$1843,CF509,$BG$7:$BG$1843,BG509,$BW$7:$BW$1843,"&lt;="&amp;BW509),"")</f>
        <v>1007.88278388278</v>
      </c>
      <c r="BI509" s="58" t="n">
        <f aca="false">IF(BH509="",0,MAX(0,MIN(1,(IF(CF509="L1",Parameter!$H$5,IF(CF509="L23",Parameter!$H$6+Parameter!$H$7,Parameter!$H$5+Parameter!$H$6+Parameter!$H$7))-(BH509-BC509))/BC509)))</f>
        <v>1</v>
      </c>
      <c r="BJ509" s="48" t="str">
        <f aca="false">IF(AI509&lt;=0,"",IF(CF509="Aussen","Aussenlager",IF(CF509="-","Nicht im Lift",IF(AO509&gt;=1,"Lift",IF(AO509&lt;=0,"Aussenlager","teilweise")))))</f>
        <v>Lift</v>
      </c>
      <c r="BK509" s="48" t="str">
        <f aca="false">IF(AS509&lt;=0,"",IF(CF509="Aussen","Aussenlager",IF(CF509="-","Nicht im Lift",IF(AY509&gt;=1,"Lift",IF(AY509&lt;=0,"Aussenlager","teilweise")))))</f>
        <v>Lift</v>
      </c>
      <c r="BL509" s="48" t="str">
        <f aca="false">IF(BC509&lt;=0,"",IF(CF509="Aussen","Aussenlager",IF(CF509="-","Nicht im Lift",IF(BI509&gt;=1,"Lift",IF(BI509&lt;=0,"Aussenlager","teilweise")))))</f>
        <v>Lift</v>
      </c>
      <c r="BM509" s="48" t="str">
        <f aca="false">IF(A509="","",IF(BV509=1,"Neu; ","")&amp;IF(AND(BV509=0,BQ509&lt;0),"negativer Bestand (Export "&amp;BQ509&amp;"); ","")&amp;IF(J509&lt;=0,"Kein Verbrauch; ","")&amp;IF(CQ509&gt;0,"Lift "&amp;W509&amp;" lt. Liftbericht (Fach "&amp;X509&amp;" Stk); ",IF(CA509=1,"Gebinde geschätzt ("&amp;T509&amp;"); ",IF(BZ509=1,"Lose – Tablare geschätzt; ","")))&amp;IF(H509&gt;AV509,"Überbestand "&amp;ROUND(H509-AV509,0)&amp;" Stk / CHF "&amp;ROUND((H509-AV509)*G509,0)&amp;"; ","")&amp;IF(AND(CH509=1,CI509&lt;CJ509),"MAX &lt; MB+LG; ","")&amp;IF(AND(CP509&gt;0,CO509*10&gt;CP509),"zu hoch für Tablar; ","")&amp;IF(AND(BV509=0,OR(CH509=1,AA509&lt;&gt;"",U509&lt;&gt;"",V509&lt;&gt;"",AB509&lt;&gt;"")),"manuell übersteuert; ","")&amp;IF(AND(BZ509=0,R509=0),"Gebinde unbekannt / Stellmass fehlt; ","")&amp;IF(AND(BZ509=0,N(V509)&lt;=0,N(Q509)&lt;=0),"Menge pro Gebinde fehlt (Ist = 1 Gebinde); ","")&amp;BU509)</f>
        <v/>
      </c>
      <c r="BN509" s="48"/>
      <c r="BO509" s="48"/>
      <c r="BP509" s="55"/>
      <c r="BQ509" s="50" t="n">
        <v>141</v>
      </c>
      <c r="BR509" s="50" t="n">
        <v>366</v>
      </c>
      <c r="BS509" s="49" t="n">
        <v>33.8299999999996</v>
      </c>
      <c r="BT509" s="50" t="n">
        <v>688</v>
      </c>
      <c r="BU509" s="48"/>
      <c r="BV509" s="53" t="n">
        <v>0</v>
      </c>
      <c r="BW509" s="53" t="n">
        <v>509</v>
      </c>
      <c r="BX509" s="48" t="str">
        <f aca="false">IF(U509&lt;&gt;"",UPPER(TRIM(U509)),IF(CA509=1,UPPER(VLOOKUP(T509,Parameter!$I$27:$K$29,2,0)),IF(P509="","LOSE",P509)))</f>
        <v>S52</v>
      </c>
      <c r="BY509" s="50" t="n">
        <f aca="false">IF(BX509="LOSE",1,IF(N(V509)&gt;0,V509,IF(CA509=1,MAX(1,N(VLOOKUP(T509,Parameter!$I$27:$K$29,3,0)),H509,N(N509)),IF(N(Q509)&gt;0,Q509,MAX(1,H509)))))</f>
        <v>865</v>
      </c>
      <c r="BZ509" s="53" t="n">
        <f aca="false">IF(BX509="LOSE",1,0)</f>
        <v>0</v>
      </c>
      <c r="CA509" s="53" t="n">
        <f aca="false">IF(AND(U509="",OR(P509="",P509="LOSE"),T509&lt;&gt;"",N(S509)&lt;=0,ISNUMBER(MATCH(T509,Parameter!$I$27:$I$29,0))),1,0)</f>
        <v>0</v>
      </c>
      <c r="CB509" s="53" t="n">
        <f aca="false">IF(CQ509&gt;0,INDEX(Parameter!$H$5:$H$7,W509)/INDEX(Parameter!$E$5:$E$7,W509),IF(AND(BZ509=0,N(IFERROR(VLOOKUP(BX509,'Gebinde-Kategorie'!$A$5:$N$45,14,0),0))&gt;0),VLOOKUP(BX509,'Gebinde-Kategorie'!$A$5:$N$45,14,0)*10+Parameter!$M$23,Parameter!$M$24))</f>
        <v>245</v>
      </c>
      <c r="CC509" s="48" t="str">
        <f aca="false">IF(AND(Parameter!$B$19="Ja",E509&lt;&gt;"",ISNUMBER(MATCH(E509,Parameter!$I$35:$I$52,0))),VLOOKUP(E509,Parameter!$I$35:$J$52,2,0),IFERROR(VLOOKUP(D509,Parameter!$A$35:$C$64,2,0),"Nein"))</f>
        <v>2+3</v>
      </c>
      <c r="CD509" s="52" t="n">
        <f aca="false">IF(BZ509=0,0,IF(N(S509)&gt;0,S509,IFERROR(VLOOKUP(D509,Parameter!$A$35:$C$64,3,0)+0,0)))</f>
        <v>0</v>
      </c>
      <c r="CE509" s="48" t="n">
        <f aca="false">IF(AA509&lt;&gt;"",AA509,Z509)</f>
        <v>3</v>
      </c>
      <c r="CF509" s="48" t="str">
        <f aca="false">IF(OR(CE509=1,CE509=2,CE509=3),IF(Parameter!$E$27="Ja","LIFT",IF(CE509=1,"L1","L23")),IF(CE509="Aussen","Aussen","-"))</f>
        <v>LIFT</v>
      </c>
      <c r="CG509" s="59" t="n">
        <f aca="false">IF(N(AB509)&gt;0,AB509,0)</f>
        <v>0</v>
      </c>
      <c r="CH509" s="53" t="n">
        <f aca="false">IF(ISNUMBER(AE509),1,0)</f>
        <v>0</v>
      </c>
      <c r="CI509" s="50" t="n">
        <f aca="false">N(AE509)</f>
        <v>0</v>
      </c>
      <c r="CJ509" s="50" t="n">
        <f aca="false">N(M509)+N(N509)</f>
        <v>716</v>
      </c>
      <c r="CK509" s="50" t="n">
        <f aca="false">N(M509)</f>
        <v>26</v>
      </c>
      <c r="CL509" s="50" t="n">
        <f aca="false">N(N509)</f>
        <v>690</v>
      </c>
      <c r="CM509" s="50" t="n">
        <f aca="false">ROUNDUP(H509/BY509,0)</f>
        <v>1</v>
      </c>
      <c r="CN509" s="50" t="n">
        <f aca="false">ROUNDUP(CI509/BY509,0)</f>
        <v>0</v>
      </c>
      <c r="CO509" s="53" t="n">
        <f aca="false">IF(BZ509=1,0,IFERROR(VLOOKUP(BX509,'Gebinde-Kategorie'!$A$5:$N$45,5,0)+0,0))</f>
        <v>21</v>
      </c>
      <c r="CP509" s="53" t="n">
        <f aca="false">IFERROR(IF(OR(CE509=1,CE509=2,CE509=3),N(INDEX(Parameter!$I$5:$I$7,CE509)),0),0)</f>
        <v>0</v>
      </c>
      <c r="CQ509" s="52" t="n">
        <f aca="false">IF(AND(Parameter!$B$21="Ja",ISNUMBER(W509),N(X509)&gt;0),IFERROR(N(INDEX(Parameter!$L$5:$L$7,W509))*INDEX(Parameter!$E$5:$E$7,W509)*X509/SUMIFS($X$7:$X$1843,$W$7:$W$1843,W509),0),0)</f>
        <v>0</v>
      </c>
    </row>
    <row r="510" customFormat="false" ht="15" hidden="false" customHeight="false" outlineLevel="0" collapsed="false">
      <c r="A510" s="48" t="s">
        <v>1124</v>
      </c>
      <c r="B510" s="48" t="s">
        <v>598</v>
      </c>
      <c r="C510" s="48" t="s">
        <v>173</v>
      </c>
      <c r="D510" s="48" t="s">
        <v>193</v>
      </c>
      <c r="E510" s="48"/>
      <c r="F510" s="48" t="s">
        <v>227</v>
      </c>
      <c r="G510" s="49" t="n">
        <v>2.6</v>
      </c>
      <c r="H510" s="50" t="n">
        <f aca="false">MAX(0,IF(AND(Parameter!$B$21="Ja",ISNUMBER(Y510)),Y510,IF(Parameter!$B$20="Jahresanfang 2025 + Export",BR510+BQ510,BQ510)))</f>
        <v>13</v>
      </c>
      <c r="I510" s="50" t="n">
        <f aca="false">H510*G510</f>
        <v>33.8</v>
      </c>
      <c r="J510" s="50" t="n">
        <f aca="false">BT510*Parameter!$B$18</f>
        <v>1</v>
      </c>
      <c r="K510" s="51" t="n">
        <v>9.5</v>
      </c>
      <c r="L510" s="52" t="n">
        <v>0.105263157894737</v>
      </c>
      <c r="M510" s="50" t="n">
        <v>0</v>
      </c>
      <c r="N510" s="50" t="n">
        <v>1</v>
      </c>
      <c r="O510" s="53" t="n">
        <v>14</v>
      </c>
      <c r="P510" s="48" t="s">
        <v>410</v>
      </c>
      <c r="Q510" s="50" t="n">
        <v>20</v>
      </c>
      <c r="R510" s="53" t="n">
        <f aca="false">IF(BZ510=1,0,IFERROR(VLOOKUP(BX510,'Gebinde-Kategorie'!$A$5:$N$45,13,0)+0,0))</f>
        <v>280</v>
      </c>
      <c r="S510" s="54"/>
      <c r="T510" s="55"/>
      <c r="U510" s="55"/>
      <c r="V510" s="55"/>
      <c r="W510" s="48"/>
      <c r="X510" s="50"/>
      <c r="Y510" s="50"/>
      <c r="Z510" s="48" t="n">
        <f aca="false">IF(A510="","",IF(AND(Parameter!$B$21="Ja",ISNUMBER(W510)),W510,IF(CC510="2+3",IF(ISNUMBER(SEARCH("grosser Artikel",BU510)),2,IFERROR(VLOOKUP(BX510,Parameter!$F$35:$G$64,2,0),2)),IF(OR(CC510="Nein",CC510=""),"-",CC510))))</f>
        <v>3</v>
      </c>
      <c r="AA510" s="55"/>
      <c r="AB510" s="56"/>
      <c r="AC510" s="50" t="n">
        <f aca="false">AV510</f>
        <v>1</v>
      </c>
      <c r="AD510" s="50" t="n">
        <f aca="false">MAX(AV510,H510)</f>
        <v>13</v>
      </c>
      <c r="AE510" s="57"/>
      <c r="AF510" s="50" t="n">
        <f aca="false">IF(LEFT(Cockpit!$C$5,1)="A",H510,IF(Parameter!$E$30="MAX-Bestand",IF(CH510=1,CI510,IF(LEFT(Cockpit!$C$5,1)="B",AL510,MAX(AL510,H510))),ROUNDUP(AJ510,0)))</f>
        <v>13</v>
      </c>
      <c r="AG510" s="50" t="n">
        <f aca="false">IF(BZ510=1,0,ROUNDUP(AF510/BY510,0))</f>
        <v>1</v>
      </c>
      <c r="AH510" s="52" t="n">
        <f aca="false">IF(CQ510&gt;0,CQ510*MAX(1,AF510/X510),IF(BZ510=1,IF(AF510&lt;=0,0,CD510*MAX(1,IF(H510&gt;0,AF510/H510,1))),IF(R510&gt;0,AG510/R510,0))/MAX(0.1,N(Parameter!$M$21)))</f>
        <v>0.00357142857142857</v>
      </c>
      <c r="AI510" s="50" t="n">
        <f aca="false">AH510*CB510</f>
        <v>0.553571428571429</v>
      </c>
      <c r="AJ510" s="51" t="n">
        <f aca="false">IF(LEFT(Cockpit!$C$5,1)="A",H510,IF(CH510=1,(CK510+CI510)/2,IF(LEFT(Cockpit!$C$5,1)="B",(CK510+AL510)/2,MAX((CK510+AL510)/2,H510))))</f>
        <v>13</v>
      </c>
      <c r="AK510" s="50" t="n">
        <f aca="false">AJ510*G510</f>
        <v>33.8</v>
      </c>
      <c r="AL510" s="50" t="n">
        <f aca="false">ROUNDUP(CK510+MAX(CL510,2*(J510/IF(CG510&gt;0,CG510,MAX(0.1,N(Cockpit!$C$6)))-CK510)),0)</f>
        <v>1</v>
      </c>
      <c r="AM510" s="51" t="n">
        <f aca="false">IF(AI510&gt;0,J510/AI510,-1)</f>
        <v>1.80645161290323</v>
      </c>
      <c r="AN510" s="51" t="n">
        <f aca="false">IF(AND(OR(CF510="L1",CF510="L23",CF510="LIFT"),AI510&gt;0),SUMIFS($AI$7:$AI$1843,$CF$7:$CF$1843,CF510,$AM$7:$AM$1843,"&gt;"&amp;AM510)+SUMIFS($AI$7:$AI$1843,$CF$7:$CF$1843,CF510,$AM$7:$AM$1843,AM510,$BW$7:$BW$1843,"&lt;="&amp;BW510),"")</f>
        <v>5963.12957875458</v>
      </c>
      <c r="AO510" s="58" t="n">
        <f aca="false">IF(AN510="",0,MAX(0,MIN(1,(IF(CF510="L1",Parameter!$H$5,IF(CF510="L23",Parameter!$H$6+Parameter!$H$7,Parameter!$H$5+Parameter!$H$6+Parameter!$H$7))-(AN510-AI510))/AI510)))</f>
        <v>1</v>
      </c>
      <c r="AP510" s="50" t="n">
        <f aca="false">IF(LEFT(Cockpit!$I$5,1)="A",H510,IF(Parameter!$E$30="MAX-Bestand",IF(CH510=1,CI510,IF(LEFT(Cockpit!$I$5,1)="B",AV510,MAX(AV510,H510))),ROUNDUP(AT510,0)))</f>
        <v>13</v>
      </c>
      <c r="AQ510" s="50" t="n">
        <f aca="false">IF(BZ510=1,0,ROUNDUP(AP510/BY510,0))</f>
        <v>1</v>
      </c>
      <c r="AR510" s="52" t="n">
        <f aca="false">IF(CQ510&gt;0,CQ510*MAX(1,AP510/X510),IF(BZ510=1,IF(AP510&lt;=0,0,CD510*MAX(1,IF(H510&gt;0,AP510/H510,1))),IF(R510&gt;0,AQ510/R510,0))/MAX(0.1,N(Parameter!$M$21)))</f>
        <v>0.00357142857142857</v>
      </c>
      <c r="AS510" s="50" t="n">
        <f aca="false">AR510*CB510</f>
        <v>0.553571428571429</v>
      </c>
      <c r="AT510" s="51" t="n">
        <f aca="false">IF(LEFT(Cockpit!$I$5,1)="A",H510,IF(CH510=1,(CK510+CI510)/2,IF(LEFT(Cockpit!$I$5,1)="B",(CK510+AV510)/2,MAX((CK510+AV510)/2,H510))))</f>
        <v>13</v>
      </c>
      <c r="AU510" s="50" t="n">
        <f aca="false">AT510*G510</f>
        <v>33.8</v>
      </c>
      <c r="AV510" s="50" t="n">
        <f aca="false">ROUNDUP(CK510+MAX(CL510,2*(J510/IF(CG510&gt;0,CG510,MAX(0.1,N(Cockpit!$I$6)))-CK510)),0)</f>
        <v>1</v>
      </c>
      <c r="AW510" s="51" t="n">
        <f aca="false">IF(AS510&gt;0,J510/AS510,-1)</f>
        <v>1.80645161290323</v>
      </c>
      <c r="AX510" s="51" t="n">
        <f aca="false">IF(AND(OR(CF510="L1",CF510="L23",CF510="LIFT"),AS510&gt;0),SUMIFS($AS$7:$AS$1843,$CF$7:$CF$1843,CF510,$AW$7:$AW$1843,"&gt;"&amp;AW510)+SUMIFS($AS$7:$AS$1843,$CF$7:$CF$1843,CF510,$AW$7:$AW$1843,AW510,$BW$7:$BW$1843,"&lt;="&amp;BW510),"")</f>
        <v>7400.65247252747</v>
      </c>
      <c r="AY510" s="58" t="n">
        <f aca="false">IF(AX510="",0,MAX(0,MIN(1,(IF(CF510="L1",Parameter!$H$5,IF(CF510="L23",Parameter!$H$6+Parameter!$H$7,Parameter!$H$5+Parameter!$H$6+Parameter!$H$7))-(AX510-AS510))/AS510)))</f>
        <v>1</v>
      </c>
      <c r="AZ510" s="50" t="n">
        <f aca="false">IF(LEFT(Cockpit!$O$5,1)="A",H510,IF(Parameter!$E$30="MAX-Bestand",IF(CH510=1,CI510,IF(LEFT(Cockpit!$O$5,1)="B",BF510,MAX(BF510,H510))),ROUNDUP(BD510,0)))</f>
        <v>1</v>
      </c>
      <c r="BA510" s="50" t="n">
        <f aca="false">IF(BZ510=1,0,ROUNDUP(AZ510/BY510,0))</f>
        <v>1</v>
      </c>
      <c r="BB510" s="52" t="n">
        <f aca="false">IF(CQ510&gt;0,CQ510*MAX(1,AZ510/X510),IF(BZ510=1,IF(AZ510&lt;=0,0,CD510*MAX(1,IF(H510&gt;0,AZ510/H510,1))),IF(R510&gt;0,BA510/R510,0))/MAX(0.1,N(Parameter!$M$21)))</f>
        <v>0.00357142857142857</v>
      </c>
      <c r="BC510" s="50" t="n">
        <f aca="false">BB510*CB510</f>
        <v>0.553571428571429</v>
      </c>
      <c r="BD510" s="51" t="n">
        <f aca="false">IF(LEFT(Cockpit!$O$5,1)="A",H510,IF(CH510=1,(CK510+CI510)/2,IF(LEFT(Cockpit!$O$5,1)="B",(CK510+BF510)/2,MAX((CK510+BF510)/2,H510))))</f>
        <v>0.5</v>
      </c>
      <c r="BE510" s="50" t="n">
        <f aca="false">BD510*G510</f>
        <v>1.3</v>
      </c>
      <c r="BF510" s="50" t="n">
        <f aca="false">ROUNDUP(CK510+MAX(CL510,2*(J510/IF(CG510&gt;0,CG510,MAX(0.1,N(Cockpit!$O$6)))-CK510)),0)</f>
        <v>1</v>
      </c>
      <c r="BG510" s="51" t="n">
        <f aca="false">IF(BC510&gt;0,J510/BC510,-1)</f>
        <v>1.80645161290323</v>
      </c>
      <c r="BH510" s="51" t="n">
        <f aca="false">IF(AND(OR(CF510="L1",CF510="L23",CF510="LIFT"),BC510&gt;0),SUMIFS($BC$7:$BC$1843,$CF$7:$CF$1843,CF510,$BG$7:$BG$1843,"&gt;"&amp;BG510)+SUMIFS($BC$7:$BC$1843,$CF$7:$CF$1843,CF510,$BG$7:$BG$1843,BG510,$BW$7:$BW$1843,"&lt;="&amp;BW510),"")</f>
        <v>6088.57326007326</v>
      </c>
      <c r="BI510" s="58" t="n">
        <f aca="false">IF(BH510="",0,MAX(0,MIN(1,(IF(CF510="L1",Parameter!$H$5,IF(CF510="L23",Parameter!$H$6+Parameter!$H$7,Parameter!$H$5+Parameter!$H$6+Parameter!$H$7))-(BH510-BC510))/BC510)))</f>
        <v>1</v>
      </c>
      <c r="BJ510" s="48" t="str">
        <f aca="false">IF(AI510&lt;=0,"",IF(CF510="Aussen","Aussenlager",IF(CF510="-","Nicht im Lift",IF(AO510&gt;=1,"Lift",IF(AO510&lt;=0,"Aussenlager","teilweise")))))</f>
        <v>Lift</v>
      </c>
      <c r="BK510" s="48" t="str">
        <f aca="false">IF(AS510&lt;=0,"",IF(CF510="Aussen","Aussenlager",IF(CF510="-","Nicht im Lift",IF(AY510&gt;=1,"Lift",IF(AY510&lt;=0,"Aussenlager","teilweise")))))</f>
        <v>Lift</v>
      </c>
      <c r="BL510" s="48" t="str">
        <f aca="false">IF(BC510&lt;=0,"",IF(CF510="Aussen","Aussenlager",IF(CF510="-","Nicht im Lift",IF(BI510&gt;=1,"Lift",IF(BI510&lt;=0,"Aussenlager","teilweise")))))</f>
        <v>Lift</v>
      </c>
      <c r="BM510" s="48" t="str">
        <f aca="false">IF(A510="","",IF(BV510=1,"Neu; ","")&amp;IF(AND(BV510=0,BQ510&lt;0),"negativer Bestand (Export "&amp;BQ510&amp;"); ","")&amp;IF(J510&lt;=0,"Kein Verbrauch; ","")&amp;IF(CQ510&gt;0,"Lift "&amp;W510&amp;" lt. Liftbericht (Fach "&amp;X510&amp;" Stk); ",IF(CA510=1,"Gebinde geschätzt ("&amp;T510&amp;"); ",IF(BZ510=1,"Lose – Tablare geschätzt; ","")))&amp;IF(H510&gt;AV510,"Überbestand "&amp;ROUND(H510-AV510,0)&amp;" Stk / CHF "&amp;ROUND((H510-AV510)*G510,0)&amp;"; ","")&amp;IF(AND(CH510=1,CI510&lt;CJ510),"MAX &lt; MB+LG; ","")&amp;IF(AND(CP510&gt;0,CO510*10&gt;CP510),"zu hoch für Tablar; ","")&amp;IF(AND(BV510=0,OR(CH510=1,AA510&lt;&gt;"",U510&lt;&gt;"",V510&lt;&gt;"",AB510&lt;&gt;"")),"manuell übersteuert; ","")&amp;IF(AND(BZ510=0,R510=0),"Gebinde unbekannt / Stellmass fehlt; ","")&amp;IF(AND(BZ510=0,N(V510)&lt;=0,N(Q510)&lt;=0),"Menge pro Gebinde fehlt (Ist = 1 Gebinde); ","")&amp;BU510)</f>
        <v>Überbestand 12 Stk / CHF 31; </v>
      </c>
      <c r="BN510" s="48"/>
      <c r="BO510" s="48"/>
      <c r="BP510" s="55"/>
      <c r="BQ510" s="50" t="n">
        <v>13</v>
      </c>
      <c r="BR510" s="50" t="n">
        <v>0</v>
      </c>
      <c r="BS510" s="49" t="n">
        <v>33.8</v>
      </c>
      <c r="BT510" s="50" t="n">
        <v>1</v>
      </c>
      <c r="BU510" s="48"/>
      <c r="BV510" s="53" t="n">
        <v>0</v>
      </c>
      <c r="BW510" s="53" t="n">
        <v>510</v>
      </c>
      <c r="BX510" s="48" t="str">
        <f aca="false">IF(U510&lt;&gt;"",UPPER(TRIM(U510)),IF(CA510=1,UPPER(VLOOKUP(T510,Parameter!$I$27:$K$29,2,0)),IF(P510="","LOSE",P510)))</f>
        <v>S21</v>
      </c>
      <c r="BY510" s="50" t="n">
        <f aca="false">IF(BX510="LOSE",1,IF(N(V510)&gt;0,V510,IF(CA510=1,MAX(1,N(VLOOKUP(T510,Parameter!$I$27:$K$29,3,0)),H510,N(N510)),IF(N(Q510)&gt;0,Q510,MAX(1,H510)))))</f>
        <v>20</v>
      </c>
      <c r="BZ510" s="53" t="n">
        <f aca="false">IF(BX510="LOSE",1,0)</f>
        <v>0</v>
      </c>
      <c r="CA510" s="53" t="n">
        <f aca="false">IF(AND(U510="",OR(P510="",P510="LOSE"),T510&lt;&gt;"",N(S510)&lt;=0,ISNUMBER(MATCH(T510,Parameter!$I$27:$I$29,0))),1,0)</f>
        <v>0</v>
      </c>
      <c r="CB510" s="53" t="n">
        <f aca="false">IF(CQ510&gt;0,INDEX(Parameter!$H$5:$H$7,W510)/INDEX(Parameter!$E$5:$E$7,W510),IF(AND(BZ510=0,N(IFERROR(VLOOKUP(BX510,'Gebinde-Kategorie'!$A$5:$N$45,14,0),0))&gt;0),VLOOKUP(BX510,'Gebinde-Kategorie'!$A$5:$N$45,14,0)*10+Parameter!$M$23,Parameter!$M$24))</f>
        <v>155</v>
      </c>
      <c r="CC510" s="48" t="str">
        <f aca="false">IF(AND(Parameter!$B$19="Ja",E510&lt;&gt;"",ISNUMBER(MATCH(E510,Parameter!$I$35:$I$52,0))),VLOOKUP(E510,Parameter!$I$35:$J$52,2,0),IFERROR(VLOOKUP(D510,Parameter!$A$35:$C$64,2,0),"Nein"))</f>
        <v>2+3</v>
      </c>
      <c r="CD510" s="52" t="n">
        <f aca="false">IF(BZ510=0,0,IF(N(S510)&gt;0,S510,IFERROR(VLOOKUP(D510,Parameter!$A$35:$C$64,3,0)+0,0)))</f>
        <v>0</v>
      </c>
      <c r="CE510" s="48" t="n">
        <f aca="false">IF(AA510&lt;&gt;"",AA510,Z510)</f>
        <v>3</v>
      </c>
      <c r="CF510" s="48" t="str">
        <f aca="false">IF(OR(CE510=1,CE510=2,CE510=3),IF(Parameter!$E$27="Ja","LIFT",IF(CE510=1,"L1","L23")),IF(CE510="Aussen","Aussen","-"))</f>
        <v>LIFT</v>
      </c>
      <c r="CG510" s="59" t="n">
        <f aca="false">IF(N(AB510)&gt;0,AB510,0)</f>
        <v>0</v>
      </c>
      <c r="CH510" s="53" t="n">
        <f aca="false">IF(ISNUMBER(AE510),1,0)</f>
        <v>0</v>
      </c>
      <c r="CI510" s="50" t="n">
        <f aca="false">N(AE510)</f>
        <v>0</v>
      </c>
      <c r="CJ510" s="50" t="n">
        <f aca="false">N(M510)+N(N510)</f>
        <v>1</v>
      </c>
      <c r="CK510" s="50" t="n">
        <f aca="false">N(M510)</f>
        <v>0</v>
      </c>
      <c r="CL510" s="50" t="n">
        <f aca="false">N(N510)</f>
        <v>1</v>
      </c>
      <c r="CM510" s="50" t="n">
        <f aca="false">ROUNDUP(H510/BY510,0)</f>
        <v>1</v>
      </c>
      <c r="CN510" s="50" t="n">
        <f aca="false">ROUNDUP(CI510/BY510,0)</f>
        <v>0</v>
      </c>
      <c r="CO510" s="53" t="n">
        <f aca="false">IF(BZ510=1,0,IFERROR(VLOOKUP(BX510,'Gebinde-Kategorie'!$A$5:$N$45,5,0)+0,0))</f>
        <v>8</v>
      </c>
      <c r="CP510" s="53" t="n">
        <f aca="false">IFERROR(IF(OR(CE510=1,CE510=2,CE510=3),N(INDEX(Parameter!$I$5:$I$7,CE510)),0),0)</f>
        <v>0</v>
      </c>
      <c r="CQ510" s="52" t="n">
        <f aca="false">IF(AND(Parameter!$B$21="Ja",ISNUMBER(W510),N(X510)&gt;0),IFERROR(N(INDEX(Parameter!$L$5:$L$7,W510))*INDEX(Parameter!$E$5:$E$7,W510)*X510/SUMIFS($X$7:$X$1843,$W$7:$W$1843,W510),0),0)</f>
        <v>0</v>
      </c>
    </row>
    <row r="511" customFormat="false" ht="15" hidden="false" customHeight="false" outlineLevel="0" collapsed="false">
      <c r="A511" s="48" t="s">
        <v>1125</v>
      </c>
      <c r="B511" s="48" t="s">
        <v>498</v>
      </c>
      <c r="C511" s="48" t="s">
        <v>173</v>
      </c>
      <c r="D511" s="48" t="s">
        <v>193</v>
      </c>
      <c r="E511" s="48" t="s">
        <v>194</v>
      </c>
      <c r="F511" s="48" t="s">
        <v>227</v>
      </c>
      <c r="G511" s="49" t="n">
        <v>18.95</v>
      </c>
      <c r="H511" s="50" t="n">
        <f aca="false">MAX(0,IF(AND(Parameter!$B$21="Ja",ISNUMBER(Y511)),Y511,IF(Parameter!$B$20="Jahresanfang 2025 + Export",BR511+BQ511,BQ511)))</f>
        <v>60</v>
      </c>
      <c r="I511" s="50" t="n">
        <f aca="false">H511*G511</f>
        <v>1137</v>
      </c>
      <c r="J511" s="50" t="n">
        <f aca="false">BT511*Parameter!$B$18</f>
        <v>286</v>
      </c>
      <c r="K511" s="51" t="n">
        <v>72.5</v>
      </c>
      <c r="L511" s="52" t="n">
        <v>3.9448275862069</v>
      </c>
      <c r="M511" s="50" t="n">
        <v>5</v>
      </c>
      <c r="N511" s="50" t="n">
        <v>185</v>
      </c>
      <c r="O511" s="53" t="n">
        <v>7</v>
      </c>
      <c r="P511" s="48" t="s">
        <v>311</v>
      </c>
      <c r="Q511" s="50" t="n">
        <v>255</v>
      </c>
      <c r="R511" s="53" t="n">
        <f aca="false">IF(BZ511=1,0,IFERROR(VLOOKUP(BX511,'Gebinde-Kategorie'!$A$5:$N$45,13,0)+0,0))</f>
        <v>26</v>
      </c>
      <c r="S511" s="54"/>
      <c r="T511" s="55"/>
      <c r="U511" s="55"/>
      <c r="V511" s="55"/>
      <c r="W511" s="48"/>
      <c r="X511" s="50"/>
      <c r="Y511" s="50"/>
      <c r="Z511" s="48" t="n">
        <f aca="false">IF(A511="","",IF(AND(Parameter!$B$21="Ja",ISNUMBER(W511)),W511,IF(CC511="2+3",IF(ISNUMBER(SEARCH("grosser Artikel",BU511)),2,IFERROR(VLOOKUP(BX511,Parameter!$F$35:$G$64,2,0),2)),IF(OR(CC511="Nein",CC511=""),"-",CC511))))</f>
        <v>3</v>
      </c>
      <c r="AA511" s="55"/>
      <c r="AB511" s="56"/>
      <c r="AC511" s="50" t="n">
        <f aca="false">AV511</f>
        <v>190</v>
      </c>
      <c r="AD511" s="50" t="n">
        <f aca="false">MAX(AV511,H511)</f>
        <v>190</v>
      </c>
      <c r="AE511" s="57"/>
      <c r="AF511" s="50" t="n">
        <f aca="false">IF(LEFT(Cockpit!$C$5,1)="A",H511,IF(Parameter!$E$30="MAX-Bestand",IF(CH511=1,CI511,IF(LEFT(Cockpit!$C$5,1)="B",AL511,MAX(AL511,H511))),ROUNDUP(AJ511,0)))</f>
        <v>60</v>
      </c>
      <c r="AG511" s="50" t="n">
        <f aca="false">IF(BZ511=1,0,ROUNDUP(AF511/BY511,0))</f>
        <v>1</v>
      </c>
      <c r="AH511" s="52" t="n">
        <f aca="false">IF(CQ511&gt;0,CQ511*MAX(1,AF511/X511),IF(BZ511=1,IF(AF511&lt;=0,0,CD511*MAX(1,IF(H511&gt;0,AF511/H511,1))),IF(R511&gt;0,AG511/R511,0))/MAX(0.1,N(Parameter!$M$21)))</f>
        <v>0.0384615384615385</v>
      </c>
      <c r="AI511" s="50" t="n">
        <f aca="false">AH511*CB511</f>
        <v>5.96153846153846</v>
      </c>
      <c r="AJ511" s="51" t="n">
        <f aca="false">IF(LEFT(Cockpit!$C$5,1)="A",H511,IF(CH511=1,(CK511+CI511)/2,IF(LEFT(Cockpit!$C$5,1)="B",(CK511+AL511)/2,MAX((CK511+AL511)/2,H511))))</f>
        <v>60</v>
      </c>
      <c r="AK511" s="50" t="n">
        <f aca="false">AJ511*G511</f>
        <v>1137</v>
      </c>
      <c r="AL511" s="50" t="n">
        <f aca="false">ROUNDUP(CK511+MAX(CL511,2*(J511/IF(CG511&gt;0,CG511,MAX(0.1,N(Cockpit!$C$6)))-CK511)),0)</f>
        <v>190</v>
      </c>
      <c r="AM511" s="51" t="n">
        <f aca="false">IF(AI511&gt;0,J511/AI511,-1)</f>
        <v>47.9741935483871</v>
      </c>
      <c r="AN511" s="51" t="n">
        <f aca="false">IF(AND(OR(CF511="L1",CF511="L23",CF511="LIFT"),AI511&gt;0),SUMIFS($AI$7:$AI$1843,$CF$7:$CF$1843,CF511,$AM$7:$AM$1843,"&gt;"&amp;AM511)+SUMIFS($AI$7:$AI$1843,$CF$7:$CF$1843,CF511,$AM$7:$AM$1843,AM511,$BW$7:$BW$1843,"&lt;="&amp;BW511),"")</f>
        <v>1148.94368131868</v>
      </c>
      <c r="AO511" s="58" t="n">
        <f aca="false">IF(AN511="",0,MAX(0,MIN(1,(IF(CF511="L1",Parameter!$H$5,IF(CF511="L23",Parameter!$H$6+Parameter!$H$7,Parameter!$H$5+Parameter!$H$6+Parameter!$H$7))-(AN511-AI511))/AI511)))</f>
        <v>1</v>
      </c>
      <c r="AP511" s="50" t="n">
        <f aca="false">IF(LEFT(Cockpit!$I$5,1)="A",H511,IF(Parameter!$E$30="MAX-Bestand",IF(CH511=1,CI511,IF(LEFT(Cockpit!$I$5,1)="B",AV511,MAX(AV511,H511))),ROUNDUP(AT511,0)))</f>
        <v>98</v>
      </c>
      <c r="AQ511" s="50" t="n">
        <f aca="false">IF(BZ511=1,0,ROUNDUP(AP511/BY511,0))</f>
        <v>1</v>
      </c>
      <c r="AR511" s="52" t="n">
        <f aca="false">IF(CQ511&gt;0,CQ511*MAX(1,AP511/X511),IF(BZ511=1,IF(AP511&lt;=0,0,CD511*MAX(1,IF(H511&gt;0,AP511/H511,1))),IF(R511&gt;0,AQ511/R511,0))/MAX(0.1,N(Parameter!$M$21)))</f>
        <v>0.0384615384615385</v>
      </c>
      <c r="AS511" s="50" t="n">
        <f aca="false">AR511*CB511</f>
        <v>5.96153846153846</v>
      </c>
      <c r="AT511" s="51" t="n">
        <f aca="false">IF(LEFT(Cockpit!$I$5,1)="A",H511,IF(CH511=1,(CK511+CI511)/2,IF(LEFT(Cockpit!$I$5,1)="B",(CK511+AV511)/2,MAX((CK511+AV511)/2,H511))))</f>
        <v>97.5</v>
      </c>
      <c r="AU511" s="50" t="n">
        <f aca="false">AT511*G511</f>
        <v>1847.625</v>
      </c>
      <c r="AV511" s="50" t="n">
        <f aca="false">ROUNDUP(CK511+MAX(CL511,2*(J511/IF(CG511&gt;0,CG511,MAX(0.1,N(Cockpit!$I$6)))-CK511)),0)</f>
        <v>190</v>
      </c>
      <c r="AW511" s="51" t="n">
        <f aca="false">IF(AS511&gt;0,J511/AS511,-1)</f>
        <v>47.9741935483871</v>
      </c>
      <c r="AX511" s="51" t="n">
        <f aca="false">IF(AND(OR(CF511="L1",CF511="L23",CF511="LIFT"),AS511&gt;0),SUMIFS($AS$7:$AS$1843,$CF$7:$CF$1843,CF511,$AW$7:$AW$1843,"&gt;"&amp;AW511)+SUMIFS($AS$7:$AS$1843,$CF$7:$CF$1843,CF511,$AW$7:$AW$1843,AW511,$BW$7:$BW$1843,"&lt;="&amp;BW511),"")</f>
        <v>1395.97298534799</v>
      </c>
      <c r="AY511" s="58" t="n">
        <f aca="false">IF(AX511="",0,MAX(0,MIN(1,(IF(CF511="L1",Parameter!$H$5,IF(CF511="L23",Parameter!$H$6+Parameter!$H$7,Parameter!$H$5+Parameter!$H$6+Parameter!$H$7))-(AX511-AS511))/AS511)))</f>
        <v>1</v>
      </c>
      <c r="AZ511" s="50" t="n">
        <f aca="false">IF(LEFT(Cockpit!$O$5,1)="A",H511,IF(Parameter!$E$30="MAX-Bestand",IF(CH511=1,CI511,IF(LEFT(Cockpit!$O$5,1)="B",BF511,MAX(BF511,H511))),ROUNDUP(BD511,0)))</f>
        <v>98</v>
      </c>
      <c r="BA511" s="50" t="n">
        <f aca="false">IF(BZ511=1,0,ROUNDUP(AZ511/BY511,0))</f>
        <v>1</v>
      </c>
      <c r="BB511" s="52" t="n">
        <f aca="false">IF(CQ511&gt;0,CQ511*MAX(1,AZ511/X511),IF(BZ511=1,IF(AZ511&lt;=0,0,CD511*MAX(1,IF(H511&gt;0,AZ511/H511,1))),IF(R511&gt;0,BA511/R511,0))/MAX(0.1,N(Parameter!$M$21)))</f>
        <v>0.0384615384615385</v>
      </c>
      <c r="BC511" s="50" t="n">
        <f aca="false">BB511*CB511</f>
        <v>5.96153846153846</v>
      </c>
      <c r="BD511" s="51" t="n">
        <f aca="false">IF(LEFT(Cockpit!$O$5,1)="A",H511,IF(CH511=1,(CK511+CI511)/2,IF(LEFT(Cockpit!$O$5,1)="B",(CK511+BF511)/2,MAX((CK511+BF511)/2,H511))))</f>
        <v>97.5</v>
      </c>
      <c r="BE511" s="50" t="n">
        <f aca="false">BD511*G511</f>
        <v>1847.625</v>
      </c>
      <c r="BF511" s="50" t="n">
        <f aca="false">ROUNDUP(CK511+MAX(CL511,2*(J511/IF(CG511&gt;0,CG511,MAX(0.1,N(Cockpit!$O$6)))-CK511)),0)</f>
        <v>190</v>
      </c>
      <c r="BG511" s="51" t="n">
        <f aca="false">IF(BC511&gt;0,J511/BC511,-1)</f>
        <v>47.9741935483871</v>
      </c>
      <c r="BH511" s="51" t="n">
        <f aca="false">IF(AND(OR(CF511="L1",CF511="L23",CF511="LIFT"),BC511&gt;0),SUMIFS($BC$7:$BC$1843,$CF$7:$CF$1843,CF511,$BG$7:$BG$1843,"&gt;"&amp;BG511)+SUMIFS($BC$7:$BC$1843,$CF$7:$CF$1843,CF511,$BG$7:$BG$1843,BG511,$BW$7:$BW$1843,"&lt;="&amp;BW511),"")</f>
        <v>1214.07692307692</v>
      </c>
      <c r="BI511" s="58" t="n">
        <f aca="false">IF(BH511="",0,MAX(0,MIN(1,(IF(CF511="L1",Parameter!$H$5,IF(CF511="L23",Parameter!$H$6+Parameter!$H$7,Parameter!$H$5+Parameter!$H$6+Parameter!$H$7))-(BH511-BC511))/BC511)))</f>
        <v>1</v>
      </c>
      <c r="BJ511" s="48" t="str">
        <f aca="false">IF(AI511&lt;=0,"",IF(CF511="Aussen","Aussenlager",IF(CF511="-","Nicht im Lift",IF(AO511&gt;=1,"Lift",IF(AO511&lt;=0,"Aussenlager","teilweise")))))</f>
        <v>Lift</v>
      </c>
      <c r="BK511" s="48" t="str">
        <f aca="false">IF(AS511&lt;=0,"",IF(CF511="Aussen","Aussenlager",IF(CF511="-","Nicht im Lift",IF(AY511&gt;=1,"Lift",IF(AY511&lt;=0,"Aussenlager","teilweise")))))</f>
        <v>Lift</v>
      </c>
      <c r="BL511" s="48" t="str">
        <f aca="false">IF(BC511&lt;=0,"",IF(CF511="Aussen","Aussenlager",IF(CF511="-","Nicht im Lift",IF(BI511&gt;=1,"Lift",IF(BI511&lt;=0,"Aussenlager","teilweise")))))</f>
        <v>Lift</v>
      </c>
      <c r="BM511" s="48" t="str">
        <f aca="false">IF(A511="","",IF(BV511=1,"Neu; ","")&amp;IF(AND(BV511=0,BQ511&lt;0),"negativer Bestand (Export "&amp;BQ511&amp;"); ","")&amp;IF(J511&lt;=0,"Kein Verbrauch; ","")&amp;IF(CQ511&gt;0,"Lift "&amp;W511&amp;" lt. Liftbericht (Fach "&amp;X511&amp;" Stk); ",IF(CA511=1,"Gebinde geschätzt ("&amp;T511&amp;"); ",IF(BZ511=1,"Lose – Tablare geschätzt; ","")))&amp;IF(H511&gt;AV511,"Überbestand "&amp;ROUND(H511-AV511,0)&amp;" Stk / CHF "&amp;ROUND((H511-AV511)*G511,0)&amp;"; ","")&amp;IF(AND(CH511=1,CI511&lt;CJ511),"MAX &lt; MB+LG; ","")&amp;IF(AND(CP511&gt;0,CO511*10&gt;CP511),"zu hoch für Tablar; ","")&amp;IF(AND(BV511=0,OR(CH511=1,AA511&lt;&gt;"",U511&lt;&gt;"",V511&lt;&gt;"",AB511&lt;&gt;"")),"manuell übersteuert; ","")&amp;IF(AND(BZ511=0,R511=0),"Gebinde unbekannt / Stellmass fehlt; ","")&amp;IF(AND(BZ511=0,N(V511)&lt;=0,N(Q511)&lt;=0),"Menge pro Gebinde fehlt (Ist = 1 Gebinde); ","")&amp;BU511)</f>
        <v/>
      </c>
      <c r="BN511" s="48"/>
      <c r="BO511" s="48"/>
      <c r="BP511" s="55"/>
      <c r="BQ511" s="50" t="n">
        <v>5</v>
      </c>
      <c r="BR511" s="50" t="n">
        <v>55</v>
      </c>
      <c r="BS511" s="49" t="n">
        <v>33.6900000000001</v>
      </c>
      <c r="BT511" s="50" t="n">
        <v>286</v>
      </c>
      <c r="BU511" s="48"/>
      <c r="BV511" s="53" t="n">
        <v>0</v>
      </c>
      <c r="BW511" s="53" t="n">
        <v>511</v>
      </c>
      <c r="BX511" s="48" t="str">
        <f aca="false">IF(U511&lt;&gt;"",UPPER(TRIM(U511)),IF(CA511=1,UPPER(VLOOKUP(T511,Parameter!$I$27:$K$29,2,0)),IF(P511="","LOSE",P511)))</f>
        <v>S51</v>
      </c>
      <c r="BY511" s="50" t="n">
        <f aca="false">IF(BX511="LOSE",1,IF(N(V511)&gt;0,V511,IF(CA511=1,MAX(1,N(VLOOKUP(T511,Parameter!$I$27:$K$29,3,0)),H511,N(N511)),IF(N(Q511)&gt;0,Q511,MAX(1,H511)))))</f>
        <v>255</v>
      </c>
      <c r="BZ511" s="53" t="n">
        <f aca="false">IF(BX511="LOSE",1,0)</f>
        <v>0</v>
      </c>
      <c r="CA511" s="53" t="n">
        <f aca="false">IF(AND(U511="",OR(P511="",P511="LOSE"),T511&lt;&gt;"",N(S511)&lt;=0,ISNUMBER(MATCH(T511,Parameter!$I$27:$I$29,0))),1,0)</f>
        <v>0</v>
      </c>
      <c r="CB511" s="53" t="n">
        <f aca="false">IF(CQ511&gt;0,INDEX(Parameter!$H$5:$H$7,W511)/INDEX(Parameter!$E$5:$E$7,W511),IF(AND(BZ511=0,N(IFERROR(VLOOKUP(BX511,'Gebinde-Kategorie'!$A$5:$N$45,14,0),0))&gt;0),VLOOKUP(BX511,'Gebinde-Kategorie'!$A$5:$N$45,14,0)*10+Parameter!$M$23,Parameter!$M$24))</f>
        <v>155</v>
      </c>
      <c r="CC511" s="48" t="str">
        <f aca="false">IF(AND(Parameter!$B$19="Ja",E511&lt;&gt;"",ISNUMBER(MATCH(E511,Parameter!$I$35:$I$52,0))),VLOOKUP(E511,Parameter!$I$35:$J$52,2,0),IFERROR(VLOOKUP(D511,Parameter!$A$35:$C$64,2,0),"Nein"))</f>
        <v>2+3</v>
      </c>
      <c r="CD511" s="52" t="n">
        <f aca="false">IF(BZ511=0,0,IF(N(S511)&gt;0,S511,IFERROR(VLOOKUP(D511,Parameter!$A$35:$C$64,3,0)+0,0)))</f>
        <v>0</v>
      </c>
      <c r="CE511" s="48" t="n">
        <f aca="false">IF(AA511&lt;&gt;"",AA511,Z511)</f>
        <v>3</v>
      </c>
      <c r="CF511" s="48" t="str">
        <f aca="false">IF(OR(CE511=1,CE511=2,CE511=3),IF(Parameter!$E$27="Ja","LIFT",IF(CE511=1,"L1","L23")),IF(CE511="Aussen","Aussen","-"))</f>
        <v>LIFT</v>
      </c>
      <c r="CG511" s="59" t="n">
        <f aca="false">IF(N(AB511)&gt;0,AB511,0)</f>
        <v>0</v>
      </c>
      <c r="CH511" s="53" t="n">
        <f aca="false">IF(ISNUMBER(AE511),1,0)</f>
        <v>0</v>
      </c>
      <c r="CI511" s="50" t="n">
        <f aca="false">N(AE511)</f>
        <v>0</v>
      </c>
      <c r="CJ511" s="50" t="n">
        <f aca="false">N(M511)+N(N511)</f>
        <v>190</v>
      </c>
      <c r="CK511" s="50" t="n">
        <f aca="false">N(M511)</f>
        <v>5</v>
      </c>
      <c r="CL511" s="50" t="n">
        <f aca="false">N(N511)</f>
        <v>185</v>
      </c>
      <c r="CM511" s="50" t="n">
        <f aca="false">ROUNDUP(H511/BY511,0)</f>
        <v>1</v>
      </c>
      <c r="CN511" s="50" t="n">
        <f aca="false">ROUNDUP(CI511/BY511,0)</f>
        <v>0</v>
      </c>
      <c r="CO511" s="53" t="n">
        <f aca="false">IF(BZ511=1,0,IFERROR(VLOOKUP(BX511,'Gebinde-Kategorie'!$A$5:$N$45,5,0)+0,0))</f>
        <v>11</v>
      </c>
      <c r="CP511" s="53" t="n">
        <f aca="false">IFERROR(IF(OR(CE511=1,CE511=2,CE511=3),N(INDEX(Parameter!$I$5:$I$7,CE511)),0),0)</f>
        <v>0</v>
      </c>
      <c r="CQ511" s="52" t="n">
        <f aca="false">IF(AND(Parameter!$B$21="Ja",ISNUMBER(W511),N(X511)&gt;0),IFERROR(N(INDEX(Parameter!$L$5:$L$7,W511))*INDEX(Parameter!$E$5:$E$7,W511)*X511/SUMIFS($X$7:$X$1843,$W$7:$W$1843,W511),0),0)</f>
        <v>0</v>
      </c>
    </row>
    <row r="512" customFormat="false" ht="15" hidden="false" customHeight="false" outlineLevel="0" collapsed="false">
      <c r="A512" s="48" t="s">
        <v>1126</v>
      </c>
      <c r="B512" s="48" t="s">
        <v>1127</v>
      </c>
      <c r="C512" s="48" t="s">
        <v>173</v>
      </c>
      <c r="D512" s="48" t="s">
        <v>193</v>
      </c>
      <c r="E512" s="48" t="s">
        <v>194</v>
      </c>
      <c r="F512" s="48" t="s">
        <v>227</v>
      </c>
      <c r="G512" s="49" t="n">
        <v>43.1</v>
      </c>
      <c r="H512" s="50" t="n">
        <f aca="false">MAX(0,IF(AND(Parameter!$B$21="Ja",ISNUMBER(Y512)),Y512,IF(Parameter!$B$20="Jahresanfang 2025 + Export",BR512+BQ512,BQ512)))</f>
        <v>7</v>
      </c>
      <c r="I512" s="50" t="n">
        <f aca="false">H512*G512</f>
        <v>301.7</v>
      </c>
      <c r="J512" s="50" t="n">
        <f aca="false">BT512*Parameter!$B$18</f>
        <v>22</v>
      </c>
      <c r="K512" s="51" t="n">
        <v>9</v>
      </c>
      <c r="L512" s="52" t="n">
        <v>2.44444444444445</v>
      </c>
      <c r="M512" s="50" t="n">
        <v>1</v>
      </c>
      <c r="N512" s="50" t="n">
        <v>20</v>
      </c>
      <c r="O512" s="53" t="n">
        <v>28</v>
      </c>
      <c r="P512" s="48" t="s">
        <v>311</v>
      </c>
      <c r="Q512" s="50" t="n">
        <v>16</v>
      </c>
      <c r="R512" s="53" t="n">
        <f aca="false">IF(BZ512=1,0,IFERROR(VLOOKUP(BX512,'Gebinde-Kategorie'!$A$5:$N$45,13,0)+0,0))</f>
        <v>26</v>
      </c>
      <c r="S512" s="54"/>
      <c r="T512" s="55"/>
      <c r="U512" s="55"/>
      <c r="V512" s="55"/>
      <c r="W512" s="48"/>
      <c r="X512" s="50"/>
      <c r="Y512" s="50"/>
      <c r="Z512" s="48" t="n">
        <f aca="false">IF(A512="","",IF(AND(Parameter!$B$21="Ja",ISNUMBER(W512)),W512,IF(CC512="2+3",IF(ISNUMBER(SEARCH("grosser Artikel",BU512)),2,IFERROR(VLOOKUP(BX512,Parameter!$F$35:$G$64,2,0),2)),IF(OR(CC512="Nein",CC512=""),"-",CC512))))</f>
        <v>3</v>
      </c>
      <c r="AA512" s="55"/>
      <c r="AB512" s="56"/>
      <c r="AC512" s="50" t="n">
        <f aca="false">AV512</f>
        <v>21</v>
      </c>
      <c r="AD512" s="50" t="n">
        <f aca="false">MAX(AV512,H512)</f>
        <v>21</v>
      </c>
      <c r="AE512" s="57"/>
      <c r="AF512" s="50" t="n">
        <f aca="false">IF(LEFT(Cockpit!$C$5,1)="A",H512,IF(Parameter!$E$30="MAX-Bestand",IF(CH512=1,CI512,IF(LEFT(Cockpit!$C$5,1)="B",AL512,MAX(AL512,H512))),ROUNDUP(AJ512,0)))</f>
        <v>7</v>
      </c>
      <c r="AG512" s="50" t="n">
        <f aca="false">IF(BZ512=1,0,ROUNDUP(AF512/BY512,0))</f>
        <v>1</v>
      </c>
      <c r="AH512" s="52" t="n">
        <f aca="false">IF(CQ512&gt;0,CQ512*MAX(1,AF512/X512),IF(BZ512=1,IF(AF512&lt;=0,0,CD512*MAX(1,IF(H512&gt;0,AF512/H512,1))),IF(R512&gt;0,AG512/R512,0))/MAX(0.1,N(Parameter!$M$21)))</f>
        <v>0.0384615384615385</v>
      </c>
      <c r="AI512" s="50" t="n">
        <f aca="false">AH512*CB512</f>
        <v>5.96153846153846</v>
      </c>
      <c r="AJ512" s="51" t="n">
        <f aca="false">IF(LEFT(Cockpit!$C$5,1)="A",H512,IF(CH512=1,(CK512+CI512)/2,IF(LEFT(Cockpit!$C$5,1)="B",(CK512+AL512)/2,MAX((CK512+AL512)/2,H512))))</f>
        <v>7</v>
      </c>
      <c r="AK512" s="50" t="n">
        <f aca="false">AJ512*G512</f>
        <v>301.7</v>
      </c>
      <c r="AL512" s="50" t="n">
        <f aca="false">ROUNDUP(CK512+MAX(CL512,2*(J512/IF(CG512&gt;0,CG512,MAX(0.1,N(Cockpit!$C$6)))-CK512)),0)</f>
        <v>21</v>
      </c>
      <c r="AM512" s="51" t="n">
        <f aca="false">IF(AI512&gt;0,J512/AI512,-1)</f>
        <v>3.69032258064516</v>
      </c>
      <c r="AN512" s="51" t="n">
        <f aca="false">IF(AND(OR(CF512="L1",CF512="L23",CF512="LIFT"),AI512&gt;0),SUMIFS($AI$7:$AI$1843,$CF$7:$CF$1843,CF512,$AM$7:$AM$1843,"&gt;"&amp;AM512)+SUMIFS($AI$7:$AI$1843,$CF$7:$CF$1843,CF512,$AM$7:$AM$1843,AM512,$BW$7:$BW$1843,"&lt;="&amp;BW512),"")</f>
        <v>4772.77564102564</v>
      </c>
      <c r="AO512" s="58" t="n">
        <f aca="false">IF(AN512="",0,MAX(0,MIN(1,(IF(CF512="L1",Parameter!$H$5,IF(CF512="L23",Parameter!$H$6+Parameter!$H$7,Parameter!$H$5+Parameter!$H$6+Parameter!$H$7))-(AN512-AI512))/AI512)))</f>
        <v>1</v>
      </c>
      <c r="AP512" s="50" t="n">
        <f aca="false">IF(LEFT(Cockpit!$I$5,1)="A",H512,IF(Parameter!$E$30="MAX-Bestand",IF(CH512=1,CI512,IF(LEFT(Cockpit!$I$5,1)="B",AV512,MAX(AV512,H512))),ROUNDUP(AT512,0)))</f>
        <v>11</v>
      </c>
      <c r="AQ512" s="50" t="n">
        <f aca="false">IF(BZ512=1,0,ROUNDUP(AP512/BY512,0))</f>
        <v>1</v>
      </c>
      <c r="AR512" s="52" t="n">
        <f aca="false">IF(CQ512&gt;0,CQ512*MAX(1,AP512/X512),IF(BZ512=1,IF(AP512&lt;=0,0,CD512*MAX(1,IF(H512&gt;0,AP512/H512,1))),IF(R512&gt;0,AQ512/R512,0))/MAX(0.1,N(Parameter!$M$21)))</f>
        <v>0.0384615384615385</v>
      </c>
      <c r="AS512" s="50" t="n">
        <f aca="false">AR512*CB512</f>
        <v>5.96153846153846</v>
      </c>
      <c r="AT512" s="51" t="n">
        <f aca="false">IF(LEFT(Cockpit!$I$5,1)="A",H512,IF(CH512=1,(CK512+CI512)/2,IF(LEFT(Cockpit!$I$5,1)="B",(CK512+AV512)/2,MAX((CK512+AV512)/2,H512))))</f>
        <v>11</v>
      </c>
      <c r="AU512" s="50" t="n">
        <f aca="false">AT512*G512</f>
        <v>474.1</v>
      </c>
      <c r="AV512" s="50" t="n">
        <f aca="false">ROUNDUP(CK512+MAX(CL512,2*(J512/IF(CG512&gt;0,CG512,MAX(0.1,N(Cockpit!$I$6)))-CK512)),0)</f>
        <v>21</v>
      </c>
      <c r="AW512" s="51" t="n">
        <f aca="false">IF(AS512&gt;0,J512/AS512,-1)</f>
        <v>3.69032258064516</v>
      </c>
      <c r="AX512" s="51" t="n">
        <f aca="false">IF(AND(OR(CF512="L1",CF512="L23",CF512="LIFT"),AS512&gt;0),SUMIFS($AS$7:$AS$1843,$CF$7:$CF$1843,CF512,$AW$7:$AW$1843,"&gt;"&amp;AW512)+SUMIFS($AS$7:$AS$1843,$CF$7:$CF$1843,CF512,$AW$7:$AW$1843,AW512,$BW$7:$BW$1843,"&lt;="&amp;BW512),"")</f>
        <v>5391.19597069597</v>
      </c>
      <c r="AY512" s="58" t="n">
        <f aca="false">IF(AX512="",0,MAX(0,MIN(1,(IF(CF512="L1",Parameter!$H$5,IF(CF512="L23",Parameter!$H$6+Parameter!$H$7,Parameter!$H$5+Parameter!$H$6+Parameter!$H$7))-(AX512-AS512))/AS512)))</f>
        <v>1</v>
      </c>
      <c r="AZ512" s="50" t="n">
        <f aca="false">IF(LEFT(Cockpit!$O$5,1)="A",H512,IF(Parameter!$E$30="MAX-Bestand",IF(CH512=1,CI512,IF(LEFT(Cockpit!$O$5,1)="B",BF512,MAX(BF512,H512))),ROUNDUP(BD512,0)))</f>
        <v>11</v>
      </c>
      <c r="BA512" s="50" t="n">
        <f aca="false">IF(BZ512=1,0,ROUNDUP(AZ512/BY512,0))</f>
        <v>1</v>
      </c>
      <c r="BB512" s="52" t="n">
        <f aca="false">IF(CQ512&gt;0,CQ512*MAX(1,AZ512/X512),IF(BZ512=1,IF(AZ512&lt;=0,0,CD512*MAX(1,IF(H512&gt;0,AZ512/H512,1))),IF(R512&gt;0,BA512/R512,0))/MAX(0.1,N(Parameter!$M$21)))</f>
        <v>0.0384615384615385</v>
      </c>
      <c r="BC512" s="50" t="n">
        <f aca="false">BB512*CB512</f>
        <v>5.96153846153846</v>
      </c>
      <c r="BD512" s="51" t="n">
        <f aca="false">IF(LEFT(Cockpit!$O$5,1)="A",H512,IF(CH512=1,(CK512+CI512)/2,IF(LEFT(Cockpit!$O$5,1)="B",(CK512+BF512)/2,MAX((CK512+BF512)/2,H512))))</f>
        <v>11</v>
      </c>
      <c r="BE512" s="50" t="n">
        <f aca="false">BD512*G512</f>
        <v>474.1</v>
      </c>
      <c r="BF512" s="50" t="n">
        <f aca="false">ROUNDUP(CK512+MAX(CL512,2*(J512/IF(CG512&gt;0,CG512,MAX(0.1,N(Cockpit!$O$6)))-CK512)),0)</f>
        <v>21</v>
      </c>
      <c r="BG512" s="51" t="n">
        <f aca="false">IF(BC512&gt;0,J512/BC512,-1)</f>
        <v>3.69032258064516</v>
      </c>
      <c r="BH512" s="51" t="n">
        <f aca="false">IF(AND(OR(CF512="L1",CF512="L23",CF512="LIFT"),BC512&gt;0),SUMIFS($BC$7:$BC$1843,$CF$7:$CF$1843,CF512,$BG$7:$BG$1843,"&gt;"&amp;BG512)+SUMIFS($BC$7:$BC$1843,$CF$7:$CF$1843,CF512,$BG$7:$BG$1843,BG512,$BW$7:$BW$1843,"&lt;="&amp;BW512),"")</f>
        <v>4409.56776556777</v>
      </c>
      <c r="BI512" s="58" t="n">
        <f aca="false">IF(BH512="",0,MAX(0,MIN(1,(IF(CF512="L1",Parameter!$H$5,IF(CF512="L23",Parameter!$H$6+Parameter!$H$7,Parameter!$H$5+Parameter!$H$6+Parameter!$H$7))-(BH512-BC512))/BC512)))</f>
        <v>1</v>
      </c>
      <c r="BJ512" s="48" t="str">
        <f aca="false">IF(AI512&lt;=0,"",IF(CF512="Aussen","Aussenlager",IF(CF512="-","Nicht im Lift",IF(AO512&gt;=1,"Lift",IF(AO512&lt;=0,"Aussenlager","teilweise")))))</f>
        <v>Lift</v>
      </c>
      <c r="BK512" s="48" t="str">
        <f aca="false">IF(AS512&lt;=0,"",IF(CF512="Aussen","Aussenlager",IF(CF512="-","Nicht im Lift",IF(AY512&gt;=1,"Lift",IF(AY512&lt;=0,"Aussenlager","teilweise")))))</f>
        <v>Lift</v>
      </c>
      <c r="BL512" s="48" t="str">
        <f aca="false">IF(BC512&lt;=0,"",IF(CF512="Aussen","Aussenlager",IF(CF512="-","Nicht im Lift",IF(BI512&gt;=1,"Lift",IF(BI512&lt;=0,"Aussenlager","teilweise")))))</f>
        <v>Lift</v>
      </c>
      <c r="BM512" s="48" t="str">
        <f aca="false">IF(A512="","",IF(BV512=1,"Neu; ","")&amp;IF(AND(BV512=0,BQ512&lt;0),"negativer Bestand (Export "&amp;BQ512&amp;"); ","")&amp;IF(J512&lt;=0,"Kein Verbrauch; ","")&amp;IF(CQ512&gt;0,"Lift "&amp;W512&amp;" lt. Liftbericht (Fach "&amp;X512&amp;" Stk); ",IF(CA512=1,"Gebinde geschätzt ("&amp;T512&amp;"); ",IF(BZ512=1,"Lose – Tablare geschätzt; ","")))&amp;IF(H512&gt;AV512,"Überbestand "&amp;ROUND(H512-AV512,0)&amp;" Stk / CHF "&amp;ROUND((H512-AV512)*G512,0)&amp;"; ","")&amp;IF(AND(CH512=1,CI512&lt;CJ512),"MAX &lt; MB+LG; ","")&amp;IF(AND(CP512&gt;0,CO512*10&gt;CP512),"zu hoch für Tablar; ","")&amp;IF(AND(BV512=0,OR(CH512=1,AA512&lt;&gt;"",U512&lt;&gt;"",V512&lt;&gt;"",AB512&lt;&gt;"")),"manuell übersteuert; ","")&amp;IF(AND(BZ512=0,R512=0),"Gebinde unbekannt / Stellmass fehlt; ","")&amp;IF(AND(BZ512=0,N(V512)&lt;=0,N(Q512)&lt;=0),"Menge pro Gebinde fehlt (Ist = 1 Gebinde); ","")&amp;BU512)</f>
        <v/>
      </c>
      <c r="BN512" s="48"/>
      <c r="BO512" s="48"/>
      <c r="BP512" s="55"/>
      <c r="BQ512" s="50" t="n">
        <v>1</v>
      </c>
      <c r="BR512" s="50" t="n">
        <v>6</v>
      </c>
      <c r="BS512" s="49" t="n">
        <v>32.7200000000002</v>
      </c>
      <c r="BT512" s="50" t="n">
        <v>22</v>
      </c>
      <c r="BU512" s="48"/>
      <c r="BV512" s="53" t="n">
        <v>0</v>
      </c>
      <c r="BW512" s="53" t="n">
        <v>512</v>
      </c>
      <c r="BX512" s="48" t="str">
        <f aca="false">IF(U512&lt;&gt;"",UPPER(TRIM(U512)),IF(CA512=1,UPPER(VLOOKUP(T512,Parameter!$I$27:$K$29,2,0)),IF(P512="","LOSE",P512)))</f>
        <v>S51</v>
      </c>
      <c r="BY512" s="50" t="n">
        <f aca="false">IF(BX512="LOSE",1,IF(N(V512)&gt;0,V512,IF(CA512=1,MAX(1,N(VLOOKUP(T512,Parameter!$I$27:$K$29,3,0)),H512,N(N512)),IF(N(Q512)&gt;0,Q512,MAX(1,H512)))))</f>
        <v>16</v>
      </c>
      <c r="BZ512" s="53" t="n">
        <f aca="false">IF(BX512="LOSE",1,0)</f>
        <v>0</v>
      </c>
      <c r="CA512" s="53" t="n">
        <f aca="false">IF(AND(U512="",OR(P512="",P512="LOSE"),T512&lt;&gt;"",N(S512)&lt;=0,ISNUMBER(MATCH(T512,Parameter!$I$27:$I$29,0))),1,0)</f>
        <v>0</v>
      </c>
      <c r="CB512" s="53" t="n">
        <f aca="false">IF(CQ512&gt;0,INDEX(Parameter!$H$5:$H$7,W512)/INDEX(Parameter!$E$5:$E$7,W512),IF(AND(BZ512=0,N(IFERROR(VLOOKUP(BX512,'Gebinde-Kategorie'!$A$5:$N$45,14,0),0))&gt;0),VLOOKUP(BX512,'Gebinde-Kategorie'!$A$5:$N$45,14,0)*10+Parameter!$M$23,Parameter!$M$24))</f>
        <v>155</v>
      </c>
      <c r="CC512" s="48" t="str">
        <f aca="false">IF(AND(Parameter!$B$19="Ja",E512&lt;&gt;"",ISNUMBER(MATCH(E512,Parameter!$I$35:$I$52,0))),VLOOKUP(E512,Parameter!$I$35:$J$52,2,0),IFERROR(VLOOKUP(D512,Parameter!$A$35:$C$64,2,0),"Nein"))</f>
        <v>2+3</v>
      </c>
      <c r="CD512" s="52" t="n">
        <f aca="false">IF(BZ512=0,0,IF(N(S512)&gt;0,S512,IFERROR(VLOOKUP(D512,Parameter!$A$35:$C$64,3,0)+0,0)))</f>
        <v>0</v>
      </c>
      <c r="CE512" s="48" t="n">
        <f aca="false">IF(AA512&lt;&gt;"",AA512,Z512)</f>
        <v>3</v>
      </c>
      <c r="CF512" s="48" t="str">
        <f aca="false">IF(OR(CE512=1,CE512=2,CE512=3),IF(Parameter!$E$27="Ja","LIFT",IF(CE512=1,"L1","L23")),IF(CE512="Aussen","Aussen","-"))</f>
        <v>LIFT</v>
      </c>
      <c r="CG512" s="59" t="n">
        <f aca="false">IF(N(AB512)&gt;0,AB512,0)</f>
        <v>0</v>
      </c>
      <c r="CH512" s="53" t="n">
        <f aca="false">IF(ISNUMBER(AE512),1,0)</f>
        <v>0</v>
      </c>
      <c r="CI512" s="50" t="n">
        <f aca="false">N(AE512)</f>
        <v>0</v>
      </c>
      <c r="CJ512" s="50" t="n">
        <f aca="false">N(M512)+N(N512)</f>
        <v>21</v>
      </c>
      <c r="CK512" s="50" t="n">
        <f aca="false">N(M512)</f>
        <v>1</v>
      </c>
      <c r="CL512" s="50" t="n">
        <f aca="false">N(N512)</f>
        <v>20</v>
      </c>
      <c r="CM512" s="50" t="n">
        <f aca="false">ROUNDUP(H512/BY512,0)</f>
        <v>1</v>
      </c>
      <c r="CN512" s="50" t="n">
        <f aca="false">ROUNDUP(CI512/BY512,0)</f>
        <v>0</v>
      </c>
      <c r="CO512" s="53" t="n">
        <f aca="false">IF(BZ512=1,0,IFERROR(VLOOKUP(BX512,'Gebinde-Kategorie'!$A$5:$N$45,5,0)+0,0))</f>
        <v>11</v>
      </c>
      <c r="CP512" s="53" t="n">
        <f aca="false">IFERROR(IF(OR(CE512=1,CE512=2,CE512=3),N(INDEX(Parameter!$I$5:$I$7,CE512)),0),0)</f>
        <v>0</v>
      </c>
      <c r="CQ512" s="52" t="n">
        <f aca="false">IF(AND(Parameter!$B$21="Ja",ISNUMBER(W512),N(X512)&gt;0),IFERROR(N(INDEX(Parameter!$L$5:$L$7,W512))*INDEX(Parameter!$E$5:$E$7,W512)*X512/SUMIFS($X$7:$X$1843,$W$7:$W$1843,W512),0),0)</f>
        <v>0</v>
      </c>
    </row>
    <row r="513" customFormat="false" ht="15" hidden="false" customHeight="false" outlineLevel="0" collapsed="false">
      <c r="A513" s="48" t="s">
        <v>1128</v>
      </c>
      <c r="B513" s="48" t="s">
        <v>477</v>
      </c>
      <c r="C513" s="48" t="s">
        <v>173</v>
      </c>
      <c r="D513" s="48" t="s">
        <v>193</v>
      </c>
      <c r="E513" s="48" t="s">
        <v>194</v>
      </c>
      <c r="F513" s="48" t="s">
        <v>227</v>
      </c>
      <c r="G513" s="49" t="n">
        <v>0.24</v>
      </c>
      <c r="H513" s="50" t="n">
        <f aca="false">MAX(0,IF(AND(Parameter!$B$21="Ja",ISNUMBER(Y513)),Y513,IF(Parameter!$B$20="Jahresanfang 2025 + Export",BR513+BQ513,BQ513)))</f>
        <v>203</v>
      </c>
      <c r="I513" s="50" t="n">
        <f aca="false">H513*G513</f>
        <v>48.72</v>
      </c>
      <c r="J513" s="50" t="n">
        <f aca="false">BT513*Parameter!$B$18</f>
        <v>211</v>
      </c>
      <c r="K513" s="51" t="n">
        <v>95</v>
      </c>
      <c r="L513" s="52" t="n">
        <v>2.22105263157895</v>
      </c>
      <c r="M513" s="50" t="n">
        <v>8</v>
      </c>
      <c r="N513" s="50" t="n">
        <v>210</v>
      </c>
      <c r="O513" s="53" t="n">
        <v>14</v>
      </c>
      <c r="P513" s="48" t="s">
        <v>337</v>
      </c>
      <c r="Q513" s="50" t="n">
        <v>45</v>
      </c>
      <c r="R513" s="53" t="n">
        <f aca="false">IF(BZ513=1,0,IFERROR(VLOOKUP(BX513,'Gebinde-Kategorie'!$A$5:$N$45,13,0)+0,0))</f>
        <v>52</v>
      </c>
      <c r="S513" s="54"/>
      <c r="T513" s="55"/>
      <c r="U513" s="55"/>
      <c r="V513" s="55"/>
      <c r="W513" s="48"/>
      <c r="X513" s="50"/>
      <c r="Y513" s="50"/>
      <c r="Z513" s="48" t="n">
        <f aca="false">IF(A513="","",IF(AND(Parameter!$B$21="Ja",ISNUMBER(W513)),W513,IF(CC513="2+3",IF(ISNUMBER(SEARCH("grosser Artikel",BU513)),2,IFERROR(VLOOKUP(BX513,Parameter!$F$35:$G$64,2,0),2)),IF(OR(CC513="Nein",CC513=""),"-",CC513))))</f>
        <v>3</v>
      </c>
      <c r="AA513" s="55"/>
      <c r="AB513" s="56"/>
      <c r="AC513" s="50" t="n">
        <f aca="false">AV513</f>
        <v>218</v>
      </c>
      <c r="AD513" s="50" t="n">
        <f aca="false">MAX(AV513,H513)</f>
        <v>218</v>
      </c>
      <c r="AE513" s="57"/>
      <c r="AF513" s="50" t="n">
        <f aca="false">IF(LEFT(Cockpit!$C$5,1)="A",H513,IF(Parameter!$E$30="MAX-Bestand",IF(CH513=1,CI513,IF(LEFT(Cockpit!$C$5,1)="B",AL513,MAX(AL513,H513))),ROUNDUP(AJ513,0)))</f>
        <v>203</v>
      </c>
      <c r="AG513" s="50" t="n">
        <f aca="false">IF(BZ513=1,0,ROUNDUP(AF513/BY513,0))</f>
        <v>5</v>
      </c>
      <c r="AH513" s="52" t="n">
        <f aca="false">IF(CQ513&gt;0,CQ513*MAX(1,AF513/X513),IF(BZ513=1,IF(AF513&lt;=0,0,CD513*MAX(1,IF(H513&gt;0,AF513/H513,1))),IF(R513&gt;0,AG513/R513,0))/MAX(0.1,N(Parameter!$M$21)))</f>
        <v>0.0961538461538462</v>
      </c>
      <c r="AI513" s="50" t="n">
        <f aca="false">AH513*CB513</f>
        <v>14.9038461538462</v>
      </c>
      <c r="AJ513" s="51" t="n">
        <f aca="false">IF(LEFT(Cockpit!$C$5,1)="A",H513,IF(CH513=1,(CK513+CI513)/2,IF(LEFT(Cockpit!$C$5,1)="B",(CK513+AL513)/2,MAX((CK513+AL513)/2,H513))))</f>
        <v>203</v>
      </c>
      <c r="AK513" s="50" t="n">
        <f aca="false">AJ513*G513</f>
        <v>48.72</v>
      </c>
      <c r="AL513" s="50" t="n">
        <f aca="false">ROUNDUP(CK513+MAX(CL513,2*(J513/IF(CG513&gt;0,CG513,MAX(0.1,N(Cockpit!$C$6)))-CK513)),0)</f>
        <v>218</v>
      </c>
      <c r="AM513" s="51" t="n">
        <f aca="false">IF(AI513&gt;0,J513/AI513,-1)</f>
        <v>14.1574193548387</v>
      </c>
      <c r="AN513" s="51" t="n">
        <f aca="false">IF(AND(OR(CF513="L1",CF513="L23",CF513="LIFT"),AI513&gt;0),SUMIFS($AI$7:$AI$1843,$CF$7:$CF$1843,CF513,$AM$7:$AM$1843,"&gt;"&amp;AM513)+SUMIFS($AI$7:$AI$1843,$CF$7:$CF$1843,CF513,$AM$7:$AM$1843,AM513,$BW$7:$BW$1843,"&lt;="&amp;BW513),"")</f>
        <v>2114.59340659341</v>
      </c>
      <c r="AO513" s="58" t="n">
        <f aca="false">IF(AN513="",0,MAX(0,MIN(1,(IF(CF513="L1",Parameter!$H$5,IF(CF513="L23",Parameter!$H$6+Parameter!$H$7,Parameter!$H$5+Parameter!$H$6+Parameter!$H$7))-(AN513-AI513))/AI513)))</f>
        <v>1</v>
      </c>
      <c r="AP513" s="50" t="n">
        <f aca="false">IF(LEFT(Cockpit!$I$5,1)="A",H513,IF(Parameter!$E$30="MAX-Bestand",IF(CH513=1,CI513,IF(LEFT(Cockpit!$I$5,1)="B",AV513,MAX(AV513,H513))),ROUNDUP(AT513,0)))</f>
        <v>203</v>
      </c>
      <c r="AQ513" s="50" t="n">
        <f aca="false">IF(BZ513=1,0,ROUNDUP(AP513/BY513,0))</f>
        <v>5</v>
      </c>
      <c r="AR513" s="52" t="n">
        <f aca="false">IF(CQ513&gt;0,CQ513*MAX(1,AP513/X513),IF(BZ513=1,IF(AP513&lt;=0,0,CD513*MAX(1,IF(H513&gt;0,AP513/H513,1))),IF(R513&gt;0,AQ513/R513,0))/MAX(0.1,N(Parameter!$M$21)))</f>
        <v>0.0961538461538462</v>
      </c>
      <c r="AS513" s="50" t="n">
        <f aca="false">AR513*CB513</f>
        <v>14.9038461538462</v>
      </c>
      <c r="AT513" s="51" t="n">
        <f aca="false">IF(LEFT(Cockpit!$I$5,1)="A",H513,IF(CH513=1,(CK513+CI513)/2,IF(LEFT(Cockpit!$I$5,1)="B",(CK513+AV513)/2,MAX((CK513+AV513)/2,H513))))</f>
        <v>203</v>
      </c>
      <c r="AU513" s="50" t="n">
        <f aca="false">AT513*G513</f>
        <v>48.72</v>
      </c>
      <c r="AV513" s="50" t="n">
        <f aca="false">ROUNDUP(CK513+MAX(CL513,2*(J513/IF(CG513&gt;0,CG513,MAX(0.1,N(Cockpit!$I$6)))-CK513)),0)</f>
        <v>218</v>
      </c>
      <c r="AW513" s="51" t="n">
        <f aca="false">IF(AS513&gt;0,J513/AS513,-1)</f>
        <v>14.1574193548387</v>
      </c>
      <c r="AX513" s="51" t="n">
        <f aca="false">IF(AND(OR(CF513="L1",CF513="L23",CF513="LIFT"),AS513&gt;0),SUMIFS($AS$7:$AS$1843,$CF$7:$CF$1843,CF513,$AW$7:$AW$1843,"&gt;"&amp;AW513)+SUMIFS($AS$7:$AS$1843,$CF$7:$CF$1843,CF513,$AW$7:$AW$1843,AW513,$BW$7:$BW$1843,"&lt;="&amp;BW513),"")</f>
        <v>2762.53021978022</v>
      </c>
      <c r="AY513" s="58" t="n">
        <f aca="false">IF(AX513="",0,MAX(0,MIN(1,(IF(CF513="L1",Parameter!$H$5,IF(CF513="L23",Parameter!$H$6+Parameter!$H$7,Parameter!$H$5+Parameter!$H$6+Parameter!$H$7))-(AX513-AS513))/AS513)))</f>
        <v>1</v>
      </c>
      <c r="AZ513" s="50" t="n">
        <f aca="false">IF(LEFT(Cockpit!$O$5,1)="A",H513,IF(Parameter!$E$30="MAX-Bestand",IF(CH513=1,CI513,IF(LEFT(Cockpit!$O$5,1)="B",BF513,MAX(BF513,H513))),ROUNDUP(BD513,0)))</f>
        <v>113</v>
      </c>
      <c r="BA513" s="50" t="n">
        <f aca="false">IF(BZ513=1,0,ROUNDUP(AZ513/BY513,0))</f>
        <v>3</v>
      </c>
      <c r="BB513" s="52" t="n">
        <f aca="false">IF(CQ513&gt;0,CQ513*MAX(1,AZ513/X513),IF(BZ513=1,IF(AZ513&lt;=0,0,CD513*MAX(1,IF(H513&gt;0,AZ513/H513,1))),IF(R513&gt;0,BA513/R513,0))/MAX(0.1,N(Parameter!$M$21)))</f>
        <v>0.0576923076923077</v>
      </c>
      <c r="BC513" s="50" t="n">
        <f aca="false">BB513*CB513</f>
        <v>8.94230769230769</v>
      </c>
      <c r="BD513" s="51" t="n">
        <f aca="false">IF(LEFT(Cockpit!$O$5,1)="A",H513,IF(CH513=1,(CK513+CI513)/2,IF(LEFT(Cockpit!$O$5,1)="B",(CK513+BF513)/2,MAX((CK513+BF513)/2,H513))))</f>
        <v>113</v>
      </c>
      <c r="BE513" s="50" t="n">
        <f aca="false">BD513*G513</f>
        <v>27.12</v>
      </c>
      <c r="BF513" s="50" t="n">
        <f aca="false">ROUNDUP(CK513+MAX(CL513,2*(J513/IF(CG513&gt;0,CG513,MAX(0.1,N(Cockpit!$O$6)))-CK513)),0)</f>
        <v>218</v>
      </c>
      <c r="BG513" s="51" t="n">
        <f aca="false">IF(BC513&gt;0,J513/BC513,-1)</f>
        <v>23.5956989247312</v>
      </c>
      <c r="BH513" s="51" t="n">
        <f aca="false">IF(AND(OR(CF513="L1",CF513="L23",CF513="LIFT"),BC513&gt;0),SUMIFS($BC$7:$BC$1843,$CF$7:$CF$1843,CF513,$BG$7:$BG$1843,"&gt;"&amp;BG513)+SUMIFS($BC$7:$BC$1843,$CF$7:$CF$1843,CF513,$BG$7:$BG$1843,BG513,$BW$7:$BW$1843,"&lt;="&amp;BW513),"")</f>
        <v>2136.08516483517</v>
      </c>
      <c r="BI513" s="58" t="n">
        <f aca="false">IF(BH513="",0,MAX(0,MIN(1,(IF(CF513="L1",Parameter!$H$5,IF(CF513="L23",Parameter!$H$6+Parameter!$H$7,Parameter!$H$5+Parameter!$H$6+Parameter!$H$7))-(BH513-BC513))/BC513)))</f>
        <v>1</v>
      </c>
      <c r="BJ513" s="48" t="str">
        <f aca="false">IF(AI513&lt;=0,"",IF(CF513="Aussen","Aussenlager",IF(CF513="-","Nicht im Lift",IF(AO513&gt;=1,"Lift",IF(AO513&lt;=0,"Aussenlager","teilweise")))))</f>
        <v>Lift</v>
      </c>
      <c r="BK513" s="48" t="str">
        <f aca="false">IF(AS513&lt;=0,"",IF(CF513="Aussen","Aussenlager",IF(CF513="-","Nicht im Lift",IF(AY513&gt;=1,"Lift",IF(AY513&lt;=0,"Aussenlager","teilweise")))))</f>
        <v>Lift</v>
      </c>
      <c r="BL513" s="48" t="str">
        <f aca="false">IF(BC513&lt;=0,"",IF(CF513="Aussen","Aussenlager",IF(CF513="-","Nicht im Lift",IF(BI513&gt;=1,"Lift",IF(BI513&lt;=0,"Aussenlager","teilweise")))))</f>
        <v>Lift</v>
      </c>
      <c r="BM513" s="48" t="str">
        <f aca="false">IF(A513="","",IF(BV513=1,"Neu; ","")&amp;IF(AND(BV513=0,BQ513&lt;0),"negativer Bestand (Export "&amp;BQ513&amp;"); ","")&amp;IF(J513&lt;=0,"Kein Verbrauch; ","")&amp;IF(CQ513&gt;0,"Lift "&amp;W513&amp;" lt. Liftbericht (Fach "&amp;X513&amp;" Stk); ",IF(CA513=1,"Gebinde geschätzt ("&amp;T513&amp;"); ",IF(BZ513=1,"Lose – Tablare geschätzt; ","")))&amp;IF(H513&gt;AV513,"Überbestand "&amp;ROUND(H513-AV513,0)&amp;" Stk / CHF "&amp;ROUND((H513-AV513)*G513,0)&amp;"; ","")&amp;IF(AND(CH513=1,CI513&lt;CJ513),"MAX &lt; MB+LG; ","")&amp;IF(AND(CP513&gt;0,CO513*10&gt;CP513),"zu hoch für Tablar; ","")&amp;IF(AND(BV513=0,OR(CH513=1,AA513&lt;&gt;"",U513&lt;&gt;"",V513&lt;&gt;"",AB513&lt;&gt;"")),"manuell übersteuert; ","")&amp;IF(AND(BZ513=0,R513=0),"Gebinde unbekannt / Stellmass fehlt; ","")&amp;IF(AND(BZ513=0,N(V513)&lt;=0,N(Q513)&lt;=0),"Menge pro Gebinde fehlt (Ist = 1 Gebinde); ","")&amp;BU513)</f>
        <v/>
      </c>
      <c r="BN513" s="48"/>
      <c r="BO513" s="48"/>
      <c r="BP513" s="55"/>
      <c r="BQ513" s="50" t="n">
        <v>132</v>
      </c>
      <c r="BR513" s="50" t="n">
        <v>71</v>
      </c>
      <c r="BS513" s="49" t="n">
        <v>32.39</v>
      </c>
      <c r="BT513" s="50" t="n">
        <v>211</v>
      </c>
      <c r="BU513" s="48"/>
      <c r="BV513" s="53" t="n">
        <v>0</v>
      </c>
      <c r="BW513" s="53" t="n">
        <v>513</v>
      </c>
      <c r="BX513" s="48" t="str">
        <f aca="false">IF(U513&lt;&gt;"",UPPER(TRIM(U513)),IF(CA513=1,UPPER(VLOOKUP(T513,Parameter!$I$27:$K$29,2,0)),IF(P513="","LOSE",P513)))</f>
        <v>S41</v>
      </c>
      <c r="BY513" s="50" t="n">
        <f aca="false">IF(BX513="LOSE",1,IF(N(V513)&gt;0,V513,IF(CA513=1,MAX(1,N(VLOOKUP(T513,Parameter!$I$27:$K$29,3,0)),H513,N(N513)),IF(N(Q513)&gt;0,Q513,MAX(1,H513)))))</f>
        <v>45</v>
      </c>
      <c r="BZ513" s="53" t="n">
        <f aca="false">IF(BX513="LOSE",1,0)</f>
        <v>0</v>
      </c>
      <c r="CA513" s="53" t="n">
        <f aca="false">IF(AND(U513="",OR(P513="",P513="LOSE"),T513&lt;&gt;"",N(S513)&lt;=0,ISNUMBER(MATCH(T513,Parameter!$I$27:$I$29,0))),1,0)</f>
        <v>0</v>
      </c>
      <c r="CB513" s="53" t="n">
        <f aca="false">IF(CQ513&gt;0,INDEX(Parameter!$H$5:$H$7,W513)/INDEX(Parameter!$E$5:$E$7,W513),IF(AND(BZ513=0,N(IFERROR(VLOOKUP(BX513,'Gebinde-Kategorie'!$A$5:$N$45,14,0),0))&gt;0),VLOOKUP(BX513,'Gebinde-Kategorie'!$A$5:$N$45,14,0)*10+Parameter!$M$23,Parameter!$M$24))</f>
        <v>155</v>
      </c>
      <c r="CC513" s="48" t="str">
        <f aca="false">IF(AND(Parameter!$B$19="Ja",E513&lt;&gt;"",ISNUMBER(MATCH(E513,Parameter!$I$35:$I$52,0))),VLOOKUP(E513,Parameter!$I$35:$J$52,2,0),IFERROR(VLOOKUP(D513,Parameter!$A$35:$C$64,2,0),"Nein"))</f>
        <v>2+3</v>
      </c>
      <c r="CD513" s="52" t="n">
        <f aca="false">IF(BZ513=0,0,IF(N(S513)&gt;0,S513,IFERROR(VLOOKUP(D513,Parameter!$A$35:$C$64,3,0)+0,0)))</f>
        <v>0</v>
      </c>
      <c r="CE513" s="48" t="n">
        <f aca="false">IF(AA513&lt;&gt;"",AA513,Z513)</f>
        <v>3</v>
      </c>
      <c r="CF513" s="48" t="str">
        <f aca="false">IF(OR(CE513=1,CE513=2,CE513=3),IF(Parameter!$E$27="Ja","LIFT",IF(CE513=1,"L1","L23")),IF(CE513="Aussen","Aussen","-"))</f>
        <v>LIFT</v>
      </c>
      <c r="CG513" s="59" t="n">
        <f aca="false">IF(N(AB513)&gt;0,AB513,0)</f>
        <v>0</v>
      </c>
      <c r="CH513" s="53" t="n">
        <f aca="false">IF(ISNUMBER(AE513),1,0)</f>
        <v>0</v>
      </c>
      <c r="CI513" s="50" t="n">
        <f aca="false">N(AE513)</f>
        <v>0</v>
      </c>
      <c r="CJ513" s="50" t="n">
        <f aca="false">N(M513)+N(N513)</f>
        <v>218</v>
      </c>
      <c r="CK513" s="50" t="n">
        <f aca="false">N(M513)</f>
        <v>8</v>
      </c>
      <c r="CL513" s="50" t="n">
        <f aca="false">N(N513)</f>
        <v>210</v>
      </c>
      <c r="CM513" s="50" t="n">
        <f aca="false">ROUNDUP(H513/BY513,0)</f>
        <v>5</v>
      </c>
      <c r="CN513" s="50" t="n">
        <f aca="false">ROUNDUP(CI513/BY513,0)</f>
        <v>0</v>
      </c>
      <c r="CO513" s="53" t="n">
        <f aca="false">IF(BZ513=1,0,IFERROR(VLOOKUP(BX513,'Gebinde-Kategorie'!$A$5:$N$45,5,0)+0,0))</f>
        <v>11</v>
      </c>
      <c r="CP513" s="53" t="n">
        <f aca="false">IFERROR(IF(OR(CE513=1,CE513=2,CE513=3),N(INDEX(Parameter!$I$5:$I$7,CE513)),0),0)</f>
        <v>0</v>
      </c>
      <c r="CQ513" s="52" t="n">
        <f aca="false">IF(AND(Parameter!$B$21="Ja",ISNUMBER(W513),N(X513)&gt;0),IFERROR(N(INDEX(Parameter!$L$5:$L$7,W513))*INDEX(Parameter!$E$5:$E$7,W513)*X513/SUMIFS($X$7:$X$1843,$W$7:$W$1843,W513),0),0)</f>
        <v>0</v>
      </c>
    </row>
    <row r="514" customFormat="false" ht="15" hidden="false" customHeight="false" outlineLevel="0" collapsed="false">
      <c r="A514" s="48" t="s">
        <v>1129</v>
      </c>
      <c r="B514" s="48" t="s">
        <v>1130</v>
      </c>
      <c r="C514" s="48" t="s">
        <v>173</v>
      </c>
      <c r="D514" s="48" t="s">
        <v>193</v>
      </c>
      <c r="E514" s="48" t="s">
        <v>194</v>
      </c>
      <c r="F514" s="48" t="s">
        <v>227</v>
      </c>
      <c r="G514" s="49" t="n">
        <v>2.68</v>
      </c>
      <c r="H514" s="50" t="n">
        <f aca="false">MAX(0,IF(AND(Parameter!$B$21="Ja",ISNUMBER(Y514)),Y514,IF(Parameter!$B$20="Jahresanfang 2025 + Export",BR514+BQ514,BQ514)))</f>
        <v>22</v>
      </c>
      <c r="I514" s="50" t="n">
        <f aca="false">H514*G514</f>
        <v>58.96</v>
      </c>
      <c r="J514" s="50" t="n">
        <f aca="false">BT514*Parameter!$B$18</f>
        <v>0</v>
      </c>
      <c r="K514" s="51" t="n">
        <v>16</v>
      </c>
      <c r="L514" s="52" t="n">
        <v>0</v>
      </c>
      <c r="M514" s="50" t="n">
        <v>0</v>
      </c>
      <c r="N514" s="50" t="n">
        <v>1</v>
      </c>
      <c r="O514" s="53" t="n">
        <v>14</v>
      </c>
      <c r="P514" s="48" t="s">
        <v>242</v>
      </c>
      <c r="Q514" s="50" t="n">
        <v>20</v>
      </c>
      <c r="R514" s="53" t="n">
        <f aca="false">IF(BZ514=1,0,IFERROR(VLOOKUP(BX514,'Gebinde-Kategorie'!$A$5:$N$45,13,0)+0,0))</f>
        <v>26</v>
      </c>
      <c r="S514" s="54"/>
      <c r="T514" s="55"/>
      <c r="U514" s="55"/>
      <c r="V514" s="55"/>
      <c r="W514" s="48"/>
      <c r="X514" s="50"/>
      <c r="Y514" s="50"/>
      <c r="Z514" s="48" t="n">
        <f aca="false">IF(A514="","",IF(AND(Parameter!$B$21="Ja",ISNUMBER(W514)),W514,IF(CC514="2+3",IF(ISNUMBER(SEARCH("grosser Artikel",BU514)),2,IFERROR(VLOOKUP(BX514,Parameter!$F$35:$G$64,2,0),2)),IF(OR(CC514="Nein",CC514=""),"-",CC514))))</f>
        <v>3</v>
      </c>
      <c r="AA514" s="55"/>
      <c r="AB514" s="56"/>
      <c r="AC514" s="50" t="n">
        <f aca="false">AV514</f>
        <v>1</v>
      </c>
      <c r="AD514" s="50" t="n">
        <f aca="false">MAX(AV514,H514)</f>
        <v>22</v>
      </c>
      <c r="AE514" s="57"/>
      <c r="AF514" s="50" t="n">
        <f aca="false">IF(LEFT(Cockpit!$C$5,1)="A",H514,IF(Parameter!$E$30="MAX-Bestand",IF(CH514=1,CI514,IF(LEFT(Cockpit!$C$5,1)="B",AL514,MAX(AL514,H514))),ROUNDUP(AJ514,0)))</f>
        <v>22</v>
      </c>
      <c r="AG514" s="50" t="n">
        <f aca="false">IF(BZ514=1,0,ROUNDUP(AF514/BY514,0))</f>
        <v>2</v>
      </c>
      <c r="AH514" s="52" t="n">
        <f aca="false">IF(CQ514&gt;0,CQ514*MAX(1,AF514/X514),IF(BZ514=1,IF(AF514&lt;=0,0,CD514*MAX(1,IF(H514&gt;0,AF514/H514,1))),IF(R514&gt;0,AG514/R514,0))/MAX(0.1,N(Parameter!$M$21)))</f>
        <v>0.0769230769230769</v>
      </c>
      <c r="AI514" s="50" t="n">
        <f aca="false">AH514*CB514</f>
        <v>18.8461538461538</v>
      </c>
      <c r="AJ514" s="51" t="n">
        <f aca="false">IF(LEFT(Cockpit!$C$5,1)="A",H514,IF(CH514=1,(CK514+CI514)/2,IF(LEFT(Cockpit!$C$5,1)="B",(CK514+AL514)/2,MAX((CK514+AL514)/2,H514))))</f>
        <v>22</v>
      </c>
      <c r="AK514" s="50" t="n">
        <f aca="false">AJ514*G514</f>
        <v>58.96</v>
      </c>
      <c r="AL514" s="50" t="n">
        <f aca="false">ROUNDUP(CK514+MAX(CL514,2*(J514/IF(CG514&gt;0,CG514,MAX(0.1,N(Cockpit!$C$6)))-CK514)),0)</f>
        <v>1</v>
      </c>
      <c r="AM514" s="51" t="n">
        <f aca="false">IF(AI514&gt;0,J514/AI514,-1)</f>
        <v>0</v>
      </c>
      <c r="AN514" s="51" t="n">
        <f aca="false">IF(AND(OR(CF514="L1",CF514="L23",CF514="LIFT"),AI514&gt;0),SUMIFS($AI$7:$AI$1843,$CF$7:$CF$1843,CF514,$AM$7:$AM$1843,"&gt;"&amp;AM514)+SUMIFS($AI$7:$AI$1843,$CF$7:$CF$1843,CF514,$AM$7:$AM$1843,AM514,$BW$7:$BW$1843,"&lt;="&amp;BW514),"")</f>
        <v>28283.3490692453</v>
      </c>
      <c r="AO514" s="58" t="n">
        <f aca="false">IF(AN514="",0,MAX(0,MIN(1,(IF(CF514="L1",Parameter!$H$5,IF(CF514="L23",Parameter!$H$6+Parameter!$H$7,Parameter!$H$5+Parameter!$H$6+Parameter!$H$7))-(AN514-AI514))/AI514)))</f>
        <v>1</v>
      </c>
      <c r="AP514" s="50" t="n">
        <f aca="false">IF(LEFT(Cockpit!$I$5,1)="A",H514,IF(Parameter!$E$30="MAX-Bestand",IF(CH514=1,CI514,IF(LEFT(Cockpit!$I$5,1)="B",AV514,MAX(AV514,H514))),ROUNDUP(AT514,0)))</f>
        <v>22</v>
      </c>
      <c r="AQ514" s="50" t="n">
        <f aca="false">IF(BZ514=1,0,ROUNDUP(AP514/BY514,0))</f>
        <v>2</v>
      </c>
      <c r="AR514" s="52" t="n">
        <f aca="false">IF(CQ514&gt;0,CQ514*MAX(1,AP514/X514),IF(BZ514=1,IF(AP514&lt;=0,0,CD514*MAX(1,IF(H514&gt;0,AP514/H514,1))),IF(R514&gt;0,AQ514/R514,0))/MAX(0.1,N(Parameter!$M$21)))</f>
        <v>0.0769230769230769</v>
      </c>
      <c r="AS514" s="50" t="n">
        <f aca="false">AR514*CB514</f>
        <v>18.8461538461538</v>
      </c>
      <c r="AT514" s="51" t="n">
        <f aca="false">IF(LEFT(Cockpit!$I$5,1)="A",H514,IF(CH514=1,(CK514+CI514)/2,IF(LEFT(Cockpit!$I$5,1)="B",(CK514+AV514)/2,MAX((CK514+AV514)/2,H514))))</f>
        <v>22</v>
      </c>
      <c r="AU514" s="50" t="n">
        <f aca="false">AT514*G514</f>
        <v>58.96</v>
      </c>
      <c r="AV514" s="50" t="n">
        <f aca="false">ROUNDUP(CK514+MAX(CL514,2*(J514/IF(CG514&gt;0,CG514,MAX(0.1,N(Cockpit!$I$6)))-CK514)),0)</f>
        <v>1</v>
      </c>
      <c r="AW514" s="51" t="n">
        <f aca="false">IF(AS514&gt;0,J514/AS514,-1)</f>
        <v>0</v>
      </c>
      <c r="AX514" s="51" t="n">
        <f aca="false">IF(AND(OR(CF514="L1",CF514="L23",CF514="LIFT"),AS514&gt;0),SUMIFS($AS$7:$AS$1843,$CF$7:$CF$1843,CF514,$AW$7:$AW$1843,"&gt;"&amp;AW514)+SUMIFS($AS$7:$AS$1843,$CF$7:$CF$1843,CF514,$AW$7:$AW$1843,AW514,$BW$7:$BW$1843,"&lt;="&amp;BW514),"")</f>
        <v>33636.4977106227</v>
      </c>
      <c r="AY514" s="58" t="n">
        <f aca="false">IF(AX514="",0,MAX(0,MIN(1,(IF(CF514="L1",Parameter!$H$5,IF(CF514="L23",Parameter!$H$6+Parameter!$H$7,Parameter!$H$5+Parameter!$H$6+Parameter!$H$7))-(AX514-AS514))/AS514)))</f>
        <v>1</v>
      </c>
      <c r="AZ514" s="50" t="n">
        <f aca="false">IF(LEFT(Cockpit!$O$5,1)="A",H514,IF(Parameter!$E$30="MAX-Bestand",IF(CH514=1,CI514,IF(LEFT(Cockpit!$O$5,1)="B",BF514,MAX(BF514,H514))),ROUNDUP(BD514,0)))</f>
        <v>1</v>
      </c>
      <c r="BA514" s="50" t="n">
        <f aca="false">IF(BZ514=1,0,ROUNDUP(AZ514/BY514,0))</f>
        <v>1</v>
      </c>
      <c r="BB514" s="52" t="n">
        <f aca="false">IF(CQ514&gt;0,CQ514*MAX(1,AZ514/X514),IF(BZ514=1,IF(AZ514&lt;=0,0,CD514*MAX(1,IF(H514&gt;0,AZ514/H514,1))),IF(R514&gt;0,BA514/R514,0))/MAX(0.1,N(Parameter!$M$21)))</f>
        <v>0.0384615384615385</v>
      </c>
      <c r="BC514" s="50" t="n">
        <f aca="false">BB514*CB514</f>
        <v>9.42307692307692</v>
      </c>
      <c r="BD514" s="51" t="n">
        <f aca="false">IF(LEFT(Cockpit!$O$5,1)="A",H514,IF(CH514=1,(CK514+CI514)/2,IF(LEFT(Cockpit!$O$5,1)="B",(CK514+BF514)/2,MAX((CK514+BF514)/2,H514))))</f>
        <v>0.5</v>
      </c>
      <c r="BE514" s="50" t="n">
        <f aca="false">BD514*G514</f>
        <v>1.34</v>
      </c>
      <c r="BF514" s="50" t="n">
        <f aca="false">ROUNDUP(CK514+MAX(CL514,2*(J514/IF(CG514&gt;0,CG514,MAX(0.1,N(Cockpit!$O$6)))-CK514)),0)</f>
        <v>1</v>
      </c>
      <c r="BG514" s="51" t="n">
        <f aca="false">IF(BC514&gt;0,J514/BC514,-1)</f>
        <v>0</v>
      </c>
      <c r="BH514" s="51" t="n">
        <f aca="false">IF(AND(OR(CF514="L1",CF514="L23",CF514="LIFT"),BC514&gt;0),SUMIFS($BC$7:$BC$1843,$CF$7:$CF$1843,CF514,$BG$7:$BG$1843,"&gt;"&amp;BG514)+SUMIFS($BC$7:$BC$1843,$CF$7:$CF$1843,CF514,$BG$7:$BG$1843,BG514,$BW$7:$BW$1843,"&lt;="&amp;BW514),"")</f>
        <v>27731.3286381697</v>
      </c>
      <c r="BI514" s="58" t="n">
        <f aca="false">IF(BH514="",0,MAX(0,MIN(1,(IF(CF514="L1",Parameter!$H$5,IF(CF514="L23",Parameter!$H$6+Parameter!$H$7,Parameter!$H$5+Parameter!$H$6+Parameter!$H$7))-(BH514-BC514))/BC514)))</f>
        <v>1</v>
      </c>
      <c r="BJ514" s="48" t="str">
        <f aca="false">IF(AI514&lt;=0,"",IF(CF514="Aussen","Aussenlager",IF(CF514="-","Nicht im Lift",IF(AO514&gt;=1,"Lift",IF(AO514&lt;=0,"Aussenlager","teilweise")))))</f>
        <v>Lift</v>
      </c>
      <c r="BK514" s="48" t="str">
        <f aca="false">IF(AS514&lt;=0,"",IF(CF514="Aussen","Aussenlager",IF(CF514="-","Nicht im Lift",IF(AY514&gt;=1,"Lift",IF(AY514&lt;=0,"Aussenlager","teilweise")))))</f>
        <v>Lift</v>
      </c>
      <c r="BL514" s="48" t="str">
        <f aca="false">IF(BC514&lt;=0,"",IF(CF514="Aussen","Aussenlager",IF(CF514="-","Nicht im Lift",IF(BI514&gt;=1,"Lift",IF(BI514&lt;=0,"Aussenlager","teilweise")))))</f>
        <v>Lift</v>
      </c>
      <c r="BM514" s="48" t="str">
        <f aca="false">IF(A514="","",IF(BV514=1,"Neu; ","")&amp;IF(AND(BV514=0,BQ514&lt;0),"negativer Bestand (Export "&amp;BQ514&amp;"); ","")&amp;IF(J514&lt;=0,"Kein Verbrauch; ","")&amp;IF(CQ514&gt;0,"Lift "&amp;W514&amp;" lt. Liftbericht (Fach "&amp;X514&amp;" Stk); ",IF(CA514=1,"Gebinde geschätzt ("&amp;T514&amp;"); ",IF(BZ514=1,"Lose – Tablare geschätzt; ","")))&amp;IF(H514&gt;AV514,"Überbestand "&amp;ROUND(H514-AV514,0)&amp;" Stk / CHF "&amp;ROUND((H514-AV514)*G514,0)&amp;"; ","")&amp;IF(AND(CH514=1,CI514&lt;CJ514),"MAX &lt; MB+LG; ","")&amp;IF(AND(CP514&gt;0,CO514*10&gt;CP514),"zu hoch für Tablar; ","")&amp;IF(AND(BV514=0,OR(CH514=1,AA514&lt;&gt;"",U514&lt;&gt;"",V514&lt;&gt;"",AB514&lt;&gt;"")),"manuell übersteuert; ","")&amp;IF(AND(BZ514=0,R514=0),"Gebinde unbekannt / Stellmass fehlt; ","")&amp;IF(AND(BZ514=0,N(V514)&lt;=0,N(Q514)&lt;=0),"Menge pro Gebinde fehlt (Ist = 1 Gebinde); ","")&amp;BU514)</f>
        <v>Kein Verbrauch; Überbestand 21 Stk / CHF 56; Überbestand</v>
      </c>
      <c r="BN514" s="48"/>
      <c r="BO514" s="48"/>
      <c r="BP514" s="55"/>
      <c r="BQ514" s="50" t="n">
        <v>12</v>
      </c>
      <c r="BR514" s="50" t="n">
        <v>10</v>
      </c>
      <c r="BS514" s="49" t="n">
        <v>32.16</v>
      </c>
      <c r="BT514" s="50" t="n">
        <v>0</v>
      </c>
      <c r="BU514" s="48" t="s">
        <v>401</v>
      </c>
      <c r="BV514" s="53" t="n">
        <v>0</v>
      </c>
      <c r="BW514" s="53" t="n">
        <v>514</v>
      </c>
      <c r="BX514" s="48" t="str">
        <f aca="false">IF(U514&lt;&gt;"",UPPER(TRIM(U514)),IF(CA514=1,UPPER(VLOOKUP(T514,Parameter!$I$27:$K$29,2,0)),IF(P514="","LOSE",P514)))</f>
        <v>S52</v>
      </c>
      <c r="BY514" s="50" t="n">
        <f aca="false">IF(BX514="LOSE",1,IF(N(V514)&gt;0,V514,IF(CA514=1,MAX(1,N(VLOOKUP(T514,Parameter!$I$27:$K$29,3,0)),H514,N(N514)),IF(N(Q514)&gt;0,Q514,MAX(1,H514)))))</f>
        <v>20</v>
      </c>
      <c r="BZ514" s="53" t="n">
        <f aca="false">IF(BX514="LOSE",1,0)</f>
        <v>0</v>
      </c>
      <c r="CA514" s="53" t="n">
        <f aca="false">IF(AND(U514="",OR(P514="",P514="LOSE"),T514&lt;&gt;"",N(S514)&lt;=0,ISNUMBER(MATCH(T514,Parameter!$I$27:$I$29,0))),1,0)</f>
        <v>0</v>
      </c>
      <c r="CB514" s="53" t="n">
        <f aca="false">IF(CQ514&gt;0,INDEX(Parameter!$H$5:$H$7,W514)/INDEX(Parameter!$E$5:$E$7,W514),IF(AND(BZ514=0,N(IFERROR(VLOOKUP(BX514,'Gebinde-Kategorie'!$A$5:$N$45,14,0),0))&gt;0),VLOOKUP(BX514,'Gebinde-Kategorie'!$A$5:$N$45,14,0)*10+Parameter!$M$23,Parameter!$M$24))</f>
        <v>245</v>
      </c>
      <c r="CC514" s="48" t="str">
        <f aca="false">IF(AND(Parameter!$B$19="Ja",E514&lt;&gt;"",ISNUMBER(MATCH(E514,Parameter!$I$35:$I$52,0))),VLOOKUP(E514,Parameter!$I$35:$J$52,2,0),IFERROR(VLOOKUP(D514,Parameter!$A$35:$C$64,2,0),"Nein"))</f>
        <v>2+3</v>
      </c>
      <c r="CD514" s="52" t="n">
        <f aca="false">IF(BZ514=0,0,IF(N(S514)&gt;0,S514,IFERROR(VLOOKUP(D514,Parameter!$A$35:$C$64,3,0)+0,0)))</f>
        <v>0</v>
      </c>
      <c r="CE514" s="48" t="n">
        <f aca="false">IF(AA514&lt;&gt;"",AA514,Z514)</f>
        <v>3</v>
      </c>
      <c r="CF514" s="48" t="str">
        <f aca="false">IF(OR(CE514=1,CE514=2,CE514=3),IF(Parameter!$E$27="Ja","LIFT",IF(CE514=1,"L1","L23")),IF(CE514="Aussen","Aussen","-"))</f>
        <v>LIFT</v>
      </c>
      <c r="CG514" s="59" t="n">
        <f aca="false">IF(N(AB514)&gt;0,AB514,0)</f>
        <v>0</v>
      </c>
      <c r="CH514" s="53" t="n">
        <f aca="false">IF(ISNUMBER(AE514),1,0)</f>
        <v>0</v>
      </c>
      <c r="CI514" s="50" t="n">
        <f aca="false">N(AE514)</f>
        <v>0</v>
      </c>
      <c r="CJ514" s="50" t="n">
        <f aca="false">N(M514)+N(N514)</f>
        <v>1</v>
      </c>
      <c r="CK514" s="50" t="n">
        <f aca="false">N(M514)</f>
        <v>0</v>
      </c>
      <c r="CL514" s="50" t="n">
        <f aca="false">N(N514)</f>
        <v>1</v>
      </c>
      <c r="CM514" s="50" t="n">
        <f aca="false">ROUNDUP(H514/BY514,0)</f>
        <v>2</v>
      </c>
      <c r="CN514" s="50" t="n">
        <f aca="false">ROUNDUP(CI514/BY514,0)</f>
        <v>0</v>
      </c>
      <c r="CO514" s="53" t="n">
        <f aca="false">IF(BZ514=1,0,IFERROR(VLOOKUP(BX514,'Gebinde-Kategorie'!$A$5:$N$45,5,0)+0,0))</f>
        <v>21</v>
      </c>
      <c r="CP514" s="53" t="n">
        <f aca="false">IFERROR(IF(OR(CE514=1,CE514=2,CE514=3),N(INDEX(Parameter!$I$5:$I$7,CE514)),0),0)</f>
        <v>0</v>
      </c>
      <c r="CQ514" s="52" t="n">
        <f aca="false">IF(AND(Parameter!$B$21="Ja",ISNUMBER(W514),N(X514)&gt;0),IFERROR(N(INDEX(Parameter!$L$5:$L$7,W514))*INDEX(Parameter!$E$5:$E$7,W514)*X514/SUMIFS($X$7:$X$1843,$W$7:$W$1843,W514),0),0)</f>
        <v>0</v>
      </c>
    </row>
    <row r="515" customFormat="false" ht="15" hidden="false" customHeight="false" outlineLevel="0" collapsed="false">
      <c r="A515" s="48" t="s">
        <v>1131</v>
      </c>
      <c r="B515" s="48" t="s">
        <v>1132</v>
      </c>
      <c r="C515" s="48" t="s">
        <v>173</v>
      </c>
      <c r="D515" s="48" t="s">
        <v>193</v>
      </c>
      <c r="E515" s="48" t="s">
        <v>474</v>
      </c>
      <c r="F515" s="48" t="s">
        <v>227</v>
      </c>
      <c r="G515" s="49" t="n">
        <v>5.23</v>
      </c>
      <c r="H515" s="50" t="n">
        <f aca="false">MAX(0,IF(AND(Parameter!$B$21="Ja",ISNUMBER(Y515)),Y515,IF(Parameter!$B$20="Jahresanfang 2025 + Export",BR515+BQ515,BQ515)))</f>
        <v>102</v>
      </c>
      <c r="I515" s="50" t="n">
        <f aca="false">H515*G515</f>
        <v>533.46</v>
      </c>
      <c r="J515" s="50" t="n">
        <f aca="false">BT515*Parameter!$B$18</f>
        <v>19</v>
      </c>
      <c r="K515" s="51" t="n">
        <v>86.5</v>
      </c>
      <c r="L515" s="52" t="n">
        <v>0.219653179190751</v>
      </c>
      <c r="M515" s="50" t="n">
        <v>2</v>
      </c>
      <c r="N515" s="50" t="n">
        <v>108</v>
      </c>
      <c r="O515" s="53" t="n">
        <v>42</v>
      </c>
      <c r="P515" s="48" t="s">
        <v>302</v>
      </c>
      <c r="Q515" s="50" t="n">
        <v>70</v>
      </c>
      <c r="R515" s="53" t="n">
        <f aca="false">IF(BZ515=1,0,IFERROR(VLOOKUP(BX515,'Gebinde-Kategorie'!$A$5:$N$45,13,0)+0,0))</f>
        <v>12</v>
      </c>
      <c r="S515" s="54"/>
      <c r="T515" s="55"/>
      <c r="U515" s="55"/>
      <c r="V515" s="55"/>
      <c r="W515" s="48"/>
      <c r="X515" s="50"/>
      <c r="Y515" s="50"/>
      <c r="Z515" s="48" t="str">
        <f aca="false">IF(A515="","",IF(AND(Parameter!$B$21="Ja",ISNUMBER(W515)),W515,IF(CC515="2+3",IF(ISNUMBER(SEARCH("grosser Artikel",BU515)),2,IFERROR(VLOOKUP(BX515,Parameter!$F$35:$G$64,2,0),2)),IF(OR(CC515="Nein",CC515=""),"-",CC515))))</f>
        <v>-</v>
      </c>
      <c r="AA515" s="55"/>
      <c r="AB515" s="56"/>
      <c r="AC515" s="50" t="n">
        <f aca="false">AV515</f>
        <v>110</v>
      </c>
      <c r="AD515" s="50" t="n">
        <f aca="false">MAX(AV515,H515)</f>
        <v>110</v>
      </c>
      <c r="AE515" s="57"/>
      <c r="AF515" s="50" t="n">
        <f aca="false">IF(LEFT(Cockpit!$C$5,1)="A",H515,IF(Parameter!$E$30="MAX-Bestand",IF(CH515=1,CI515,IF(LEFT(Cockpit!$C$5,1)="B",AL515,MAX(AL515,H515))),ROUNDUP(AJ515,0)))</f>
        <v>102</v>
      </c>
      <c r="AG515" s="50" t="n">
        <f aca="false">IF(BZ515=1,0,ROUNDUP(AF515/BY515,0))</f>
        <v>2</v>
      </c>
      <c r="AH515" s="52" t="n">
        <f aca="false">IF(CQ515&gt;0,CQ515*MAX(1,AF515/X515),IF(BZ515=1,IF(AF515&lt;=0,0,CD515*MAX(1,IF(H515&gt;0,AF515/H515,1))),IF(R515&gt;0,AG515/R515,0))/MAX(0.1,N(Parameter!$M$21)))</f>
        <v>0.166666666666667</v>
      </c>
      <c r="AI515" s="50" t="n">
        <f aca="false">AH515*CB515</f>
        <v>40.8333333333333</v>
      </c>
      <c r="AJ515" s="51" t="n">
        <f aca="false">IF(LEFT(Cockpit!$C$5,1)="A",H515,IF(CH515=1,(CK515+CI515)/2,IF(LEFT(Cockpit!$C$5,1)="B",(CK515+AL515)/2,MAX((CK515+AL515)/2,H515))))</f>
        <v>102</v>
      </c>
      <c r="AK515" s="50" t="n">
        <f aca="false">AJ515*G515</f>
        <v>533.46</v>
      </c>
      <c r="AL515" s="50" t="n">
        <f aca="false">ROUNDUP(CK515+MAX(CL515,2*(J515/IF(CG515&gt;0,CG515,MAX(0.1,N(Cockpit!$C$6)))-CK515)),0)</f>
        <v>110</v>
      </c>
      <c r="AM515" s="51" t="n">
        <f aca="false">IF(AI515&gt;0,J515/AI515,-1)</f>
        <v>0.46530612244898</v>
      </c>
      <c r="AN515" s="51" t="str">
        <f aca="false">IF(AND(OR(CF515="L1",CF515="L23",CF515="LIFT"),AI515&gt;0),SUMIFS($AI$7:$AI$1843,$CF$7:$CF$1843,CF515,$AM$7:$AM$1843,"&gt;"&amp;AM515)+SUMIFS($AI$7:$AI$1843,$CF$7:$CF$1843,CF515,$AM$7:$AM$1843,AM515,$BW$7:$BW$1843,"&lt;="&amp;BW515),"")</f>
        <v/>
      </c>
      <c r="AO515" s="58" t="n">
        <f aca="false">IF(AN515="",0,MAX(0,MIN(1,(IF(CF515="L1",Parameter!$H$5,IF(CF515="L23",Parameter!$H$6+Parameter!$H$7,Parameter!$H$5+Parameter!$H$6+Parameter!$H$7))-(AN515-AI515))/AI515)))</f>
        <v>0</v>
      </c>
      <c r="AP515" s="50" t="n">
        <f aca="false">IF(LEFT(Cockpit!$I$5,1)="A",H515,IF(Parameter!$E$30="MAX-Bestand",IF(CH515=1,CI515,IF(LEFT(Cockpit!$I$5,1)="B",AV515,MAX(AV515,H515))),ROUNDUP(AT515,0)))</f>
        <v>102</v>
      </c>
      <c r="AQ515" s="50" t="n">
        <f aca="false">IF(BZ515=1,0,ROUNDUP(AP515/BY515,0))</f>
        <v>2</v>
      </c>
      <c r="AR515" s="52" t="n">
        <f aca="false">IF(CQ515&gt;0,CQ515*MAX(1,AP515/X515),IF(BZ515=1,IF(AP515&lt;=0,0,CD515*MAX(1,IF(H515&gt;0,AP515/H515,1))),IF(R515&gt;0,AQ515/R515,0))/MAX(0.1,N(Parameter!$M$21)))</f>
        <v>0.166666666666667</v>
      </c>
      <c r="AS515" s="50" t="n">
        <f aca="false">AR515*CB515</f>
        <v>40.8333333333333</v>
      </c>
      <c r="AT515" s="51" t="n">
        <f aca="false">IF(LEFT(Cockpit!$I$5,1)="A",H515,IF(CH515=1,(CK515+CI515)/2,IF(LEFT(Cockpit!$I$5,1)="B",(CK515+AV515)/2,MAX((CK515+AV515)/2,H515))))</f>
        <v>102</v>
      </c>
      <c r="AU515" s="50" t="n">
        <f aca="false">AT515*G515</f>
        <v>533.46</v>
      </c>
      <c r="AV515" s="50" t="n">
        <f aca="false">ROUNDUP(CK515+MAX(CL515,2*(J515/IF(CG515&gt;0,CG515,MAX(0.1,N(Cockpit!$I$6)))-CK515)),0)</f>
        <v>110</v>
      </c>
      <c r="AW515" s="51" t="n">
        <f aca="false">IF(AS515&gt;0,J515/AS515,-1)</f>
        <v>0.46530612244898</v>
      </c>
      <c r="AX515" s="51" t="str">
        <f aca="false">IF(AND(OR(CF515="L1",CF515="L23",CF515="LIFT"),AS515&gt;0),SUMIFS($AS$7:$AS$1843,$CF$7:$CF$1843,CF515,$AW$7:$AW$1843,"&gt;"&amp;AW515)+SUMIFS($AS$7:$AS$1843,$CF$7:$CF$1843,CF515,$AW$7:$AW$1843,AW515,$BW$7:$BW$1843,"&lt;="&amp;BW515),"")</f>
        <v/>
      </c>
      <c r="AY515" s="58" t="n">
        <f aca="false">IF(AX515="",0,MAX(0,MIN(1,(IF(CF515="L1",Parameter!$H$5,IF(CF515="L23",Parameter!$H$6+Parameter!$H$7,Parameter!$H$5+Parameter!$H$6+Parameter!$H$7))-(AX515-AS515))/AS515)))</f>
        <v>0</v>
      </c>
      <c r="AZ515" s="50" t="n">
        <f aca="false">IF(LEFT(Cockpit!$O$5,1)="A",H515,IF(Parameter!$E$30="MAX-Bestand",IF(CH515=1,CI515,IF(LEFT(Cockpit!$O$5,1)="B",BF515,MAX(BF515,H515))),ROUNDUP(BD515,0)))</f>
        <v>56</v>
      </c>
      <c r="BA515" s="50" t="n">
        <f aca="false">IF(BZ515=1,0,ROUNDUP(AZ515/BY515,0))</f>
        <v>1</v>
      </c>
      <c r="BB515" s="52" t="n">
        <f aca="false">IF(CQ515&gt;0,CQ515*MAX(1,AZ515/X515),IF(BZ515=1,IF(AZ515&lt;=0,0,CD515*MAX(1,IF(H515&gt;0,AZ515/H515,1))),IF(R515&gt;0,BA515/R515,0))/MAX(0.1,N(Parameter!$M$21)))</f>
        <v>0.0833333333333333</v>
      </c>
      <c r="BC515" s="50" t="n">
        <f aca="false">BB515*CB515</f>
        <v>20.4166666666667</v>
      </c>
      <c r="BD515" s="51" t="n">
        <f aca="false">IF(LEFT(Cockpit!$O$5,1)="A",H515,IF(CH515=1,(CK515+CI515)/2,IF(LEFT(Cockpit!$O$5,1)="B",(CK515+BF515)/2,MAX((CK515+BF515)/2,H515))))</f>
        <v>56</v>
      </c>
      <c r="BE515" s="50" t="n">
        <f aca="false">BD515*G515</f>
        <v>292.88</v>
      </c>
      <c r="BF515" s="50" t="n">
        <f aca="false">ROUNDUP(CK515+MAX(CL515,2*(J515/IF(CG515&gt;0,CG515,MAX(0.1,N(Cockpit!$O$6)))-CK515)),0)</f>
        <v>110</v>
      </c>
      <c r="BG515" s="51" t="n">
        <f aca="false">IF(BC515&gt;0,J515/BC515,-1)</f>
        <v>0.930612244897959</v>
      </c>
      <c r="BH515" s="51" t="str">
        <f aca="false">IF(AND(OR(CF515="L1",CF515="L23",CF515="LIFT"),BC515&gt;0),SUMIFS($BC$7:$BC$1843,$CF$7:$CF$1843,CF515,$BG$7:$BG$1843,"&gt;"&amp;BG515)+SUMIFS($BC$7:$BC$1843,$CF$7:$CF$1843,CF515,$BG$7:$BG$1843,BG515,$BW$7:$BW$1843,"&lt;="&amp;BW515),"")</f>
        <v/>
      </c>
      <c r="BI515" s="58" t="n">
        <f aca="false">IF(BH515="",0,MAX(0,MIN(1,(IF(CF515="L1",Parameter!$H$5,IF(CF515="L23",Parameter!$H$6+Parameter!$H$7,Parameter!$H$5+Parameter!$H$6+Parameter!$H$7))-(BH515-BC515))/BC515)))</f>
        <v>0</v>
      </c>
      <c r="BJ515" s="48" t="str">
        <f aca="false">IF(AI515&lt;=0,"",IF(CF515="Aussen","Aussenlager",IF(CF515="-","Nicht im Lift",IF(AO515&gt;=1,"Lift",IF(AO515&lt;=0,"Aussenlager","teilweise")))))</f>
        <v>Nicht im Lift</v>
      </c>
      <c r="BK515" s="48" t="str">
        <f aca="false">IF(AS515&lt;=0,"",IF(CF515="Aussen","Aussenlager",IF(CF515="-","Nicht im Lift",IF(AY515&gt;=1,"Lift",IF(AY515&lt;=0,"Aussenlager","teilweise")))))</f>
        <v>Nicht im Lift</v>
      </c>
      <c r="BL515" s="48" t="str">
        <f aca="false">IF(BC515&lt;=0,"",IF(CF515="Aussen","Aussenlager",IF(CF515="-","Nicht im Lift",IF(BI515&gt;=1,"Lift",IF(BI515&lt;=0,"Aussenlager","teilweise")))))</f>
        <v>Nicht im Lift</v>
      </c>
      <c r="BM515" s="48" t="str">
        <f aca="false">IF(A515="","",IF(BV515=1,"Neu; ","")&amp;IF(AND(BV515=0,BQ515&lt;0),"negativer Bestand (Export "&amp;BQ515&amp;"); ","")&amp;IF(J515&lt;=0,"Kein Verbrauch; ","")&amp;IF(CQ515&gt;0,"Lift "&amp;W515&amp;" lt. Liftbericht (Fach "&amp;X515&amp;" Stk); ",IF(CA515=1,"Gebinde geschätzt ("&amp;T515&amp;"); ",IF(BZ515=1,"Lose – Tablare geschätzt; ","")))&amp;IF(H515&gt;AV515,"Überbestand "&amp;ROUND(H515-AV515,0)&amp;" Stk / CHF "&amp;ROUND((H515-AV515)*G515,0)&amp;"; ","")&amp;IF(AND(CH515=1,CI515&lt;CJ515),"MAX &lt; MB+LG; ","")&amp;IF(AND(CP515&gt;0,CO515*10&gt;CP515),"zu hoch für Tablar; ","")&amp;IF(AND(BV515=0,OR(CH515=1,AA515&lt;&gt;"",U515&lt;&gt;"",V515&lt;&gt;"",AB515&lt;&gt;"")),"manuell übersteuert; ","")&amp;IF(AND(BZ515=0,R515=0),"Gebinde unbekannt / Stellmass fehlt; ","")&amp;IF(AND(BZ515=0,N(V515)&lt;=0,N(Q515)&lt;=0),"Menge pro Gebinde fehlt (Ist = 1 Gebinde); ","")&amp;BU515)</f>
        <v/>
      </c>
      <c r="BN515" s="48"/>
      <c r="BO515" s="48"/>
      <c r="BP515" s="55"/>
      <c r="BQ515" s="50" t="n">
        <v>6</v>
      </c>
      <c r="BR515" s="50" t="n">
        <v>96</v>
      </c>
      <c r="BS515" s="49" t="n">
        <v>31.38</v>
      </c>
      <c r="BT515" s="50" t="n">
        <v>19</v>
      </c>
      <c r="BU515" s="48"/>
      <c r="BV515" s="53" t="n">
        <v>0</v>
      </c>
      <c r="BW515" s="53" t="n">
        <v>515</v>
      </c>
      <c r="BX515" s="48" t="str">
        <f aca="false">IF(U515&lt;&gt;"",UPPER(TRIM(U515)),IF(CA515=1,UPPER(VLOOKUP(T515,Parameter!$I$27:$K$29,2,0)),IF(P515="","LOSE",P515)))</f>
        <v>S62</v>
      </c>
      <c r="BY515" s="50" t="n">
        <f aca="false">IF(BX515="LOSE",1,IF(N(V515)&gt;0,V515,IF(CA515=1,MAX(1,N(VLOOKUP(T515,Parameter!$I$27:$K$29,3,0)),H515,N(N515)),IF(N(Q515)&gt;0,Q515,MAX(1,H515)))))</f>
        <v>70</v>
      </c>
      <c r="BZ515" s="53" t="n">
        <f aca="false">IF(BX515="LOSE",1,0)</f>
        <v>0</v>
      </c>
      <c r="CA515" s="53" t="n">
        <f aca="false">IF(AND(U515="",OR(P515="",P515="LOSE"),T515&lt;&gt;"",N(S515)&lt;=0,ISNUMBER(MATCH(T515,Parameter!$I$27:$I$29,0))),1,0)</f>
        <v>0</v>
      </c>
      <c r="CB515" s="53" t="n">
        <f aca="false">IF(CQ515&gt;0,INDEX(Parameter!$H$5:$H$7,W515)/INDEX(Parameter!$E$5:$E$7,W515),IF(AND(BZ515=0,N(IFERROR(VLOOKUP(BX515,'Gebinde-Kategorie'!$A$5:$N$45,14,0),0))&gt;0),VLOOKUP(BX515,'Gebinde-Kategorie'!$A$5:$N$45,14,0)*10+Parameter!$M$23,Parameter!$M$24))</f>
        <v>245</v>
      </c>
      <c r="CC515" s="48" t="str">
        <f aca="false">IF(AND(Parameter!$B$19="Ja",E515&lt;&gt;"",ISNUMBER(MATCH(E515,Parameter!$I$35:$I$52,0))),VLOOKUP(E515,Parameter!$I$35:$J$52,2,0),IFERROR(VLOOKUP(D515,Parameter!$A$35:$C$64,2,0),"Nein"))</f>
        <v>Nein</v>
      </c>
      <c r="CD515" s="52" t="n">
        <f aca="false">IF(BZ515=0,0,IF(N(S515)&gt;0,S515,IFERROR(VLOOKUP(D515,Parameter!$A$35:$C$64,3,0)+0,0)))</f>
        <v>0</v>
      </c>
      <c r="CE515" s="48" t="str">
        <f aca="false">IF(AA515&lt;&gt;"",AA515,Z515)</f>
        <v>-</v>
      </c>
      <c r="CF515" s="48" t="str">
        <f aca="false">IF(OR(CE515=1,CE515=2,CE515=3),IF(Parameter!$E$27="Ja","LIFT",IF(CE515=1,"L1","L23")),IF(CE515="Aussen","Aussen","-"))</f>
        <v>-</v>
      </c>
      <c r="CG515" s="59" t="n">
        <f aca="false">IF(N(AB515)&gt;0,AB515,0)</f>
        <v>0</v>
      </c>
      <c r="CH515" s="53" t="n">
        <f aca="false">IF(ISNUMBER(AE515),1,0)</f>
        <v>0</v>
      </c>
      <c r="CI515" s="50" t="n">
        <f aca="false">N(AE515)</f>
        <v>0</v>
      </c>
      <c r="CJ515" s="50" t="n">
        <f aca="false">N(M515)+N(N515)</f>
        <v>110</v>
      </c>
      <c r="CK515" s="50" t="n">
        <f aca="false">N(M515)</f>
        <v>2</v>
      </c>
      <c r="CL515" s="50" t="n">
        <f aca="false">N(N515)</f>
        <v>108</v>
      </c>
      <c r="CM515" s="50" t="n">
        <f aca="false">ROUNDUP(H515/BY515,0)</f>
        <v>2</v>
      </c>
      <c r="CN515" s="50" t="n">
        <f aca="false">ROUNDUP(CI515/BY515,0)</f>
        <v>0</v>
      </c>
      <c r="CO515" s="53" t="n">
        <f aca="false">IF(BZ515=1,0,IFERROR(VLOOKUP(BX515,'Gebinde-Kategorie'!$A$5:$N$45,5,0)+0,0))</f>
        <v>21</v>
      </c>
      <c r="CP515" s="53" t="n">
        <f aca="false">IFERROR(IF(OR(CE515=1,CE515=2,CE515=3),N(INDEX(Parameter!$I$5:$I$7,CE515)),0),0)</f>
        <v>0</v>
      </c>
      <c r="CQ515" s="52" t="n">
        <f aca="false">IF(AND(Parameter!$B$21="Ja",ISNUMBER(W515),N(X515)&gt;0),IFERROR(N(INDEX(Parameter!$L$5:$L$7,W515))*INDEX(Parameter!$E$5:$E$7,W515)*X515/SUMIFS($X$7:$X$1843,$W$7:$W$1843,W515),0),0)</f>
        <v>0</v>
      </c>
    </row>
    <row r="516" customFormat="false" ht="15" hidden="false" customHeight="false" outlineLevel="0" collapsed="false">
      <c r="A516" s="48" t="s">
        <v>1133</v>
      </c>
      <c r="B516" s="48" t="s">
        <v>477</v>
      </c>
      <c r="C516" s="48" t="s">
        <v>173</v>
      </c>
      <c r="D516" s="48" t="s">
        <v>193</v>
      </c>
      <c r="E516" s="48" t="s">
        <v>194</v>
      </c>
      <c r="F516" s="48" t="s">
        <v>227</v>
      </c>
      <c r="G516" s="49" t="n">
        <v>0.14</v>
      </c>
      <c r="H516" s="50" t="n">
        <f aca="false">MAX(0,IF(AND(Parameter!$B$21="Ja",ISNUMBER(Y516)),Y516,IF(Parameter!$B$20="Jahresanfang 2025 + Export",BR516+BQ516,BQ516)))</f>
        <v>355</v>
      </c>
      <c r="I516" s="50" t="n">
        <f aca="false">H516*G516</f>
        <v>49.7</v>
      </c>
      <c r="J516" s="50" t="n">
        <f aca="false">BT516*Parameter!$B$18</f>
        <v>360</v>
      </c>
      <c r="K516" s="51" t="n">
        <v>84.5</v>
      </c>
      <c r="L516" s="52" t="n">
        <v>4.2603550295858</v>
      </c>
      <c r="M516" s="50" t="n">
        <v>14</v>
      </c>
      <c r="N516" s="50" t="n">
        <v>360</v>
      </c>
      <c r="O516" s="53" t="n">
        <v>14</v>
      </c>
      <c r="P516" s="48" t="s">
        <v>435</v>
      </c>
      <c r="Q516" s="50" t="n">
        <v>81</v>
      </c>
      <c r="R516" s="53" t="n">
        <f aca="false">IF(BZ516=1,0,IFERROR(VLOOKUP(BX516,'Gebinde-Kategorie'!$A$5:$N$45,13,0)+0,0))</f>
        <v>140</v>
      </c>
      <c r="S516" s="54"/>
      <c r="T516" s="55"/>
      <c r="U516" s="55"/>
      <c r="V516" s="55"/>
      <c r="W516" s="48"/>
      <c r="X516" s="50"/>
      <c r="Y516" s="50"/>
      <c r="Z516" s="48" t="n">
        <f aca="false">IF(A516="","",IF(AND(Parameter!$B$21="Ja",ISNUMBER(W516)),W516,IF(CC516="2+3",IF(ISNUMBER(SEARCH("grosser Artikel",BU516)),2,IFERROR(VLOOKUP(BX516,Parameter!$F$35:$G$64,2,0),2)),IF(OR(CC516="Nein",CC516=""),"-",CC516))))</f>
        <v>3</v>
      </c>
      <c r="AA516" s="55"/>
      <c r="AB516" s="56"/>
      <c r="AC516" s="50" t="n">
        <f aca="false">AV516</f>
        <v>374</v>
      </c>
      <c r="AD516" s="50" t="n">
        <f aca="false">MAX(AV516,H516)</f>
        <v>374</v>
      </c>
      <c r="AE516" s="57"/>
      <c r="AF516" s="50" t="n">
        <f aca="false">IF(LEFT(Cockpit!$C$5,1)="A",H516,IF(Parameter!$E$30="MAX-Bestand",IF(CH516=1,CI516,IF(LEFT(Cockpit!$C$5,1)="B",AL516,MAX(AL516,H516))),ROUNDUP(AJ516,0)))</f>
        <v>355</v>
      </c>
      <c r="AG516" s="50" t="n">
        <f aca="false">IF(BZ516=1,0,ROUNDUP(AF516/BY516,0))</f>
        <v>5</v>
      </c>
      <c r="AH516" s="52" t="n">
        <f aca="false">IF(CQ516&gt;0,CQ516*MAX(1,AF516/X516),IF(BZ516=1,IF(AF516&lt;=0,0,CD516*MAX(1,IF(H516&gt;0,AF516/H516,1))),IF(R516&gt;0,AG516/R516,0))/MAX(0.1,N(Parameter!$M$21)))</f>
        <v>0.0357142857142857</v>
      </c>
      <c r="AI516" s="50" t="n">
        <f aca="false">AH516*CB516</f>
        <v>5.53571428571429</v>
      </c>
      <c r="AJ516" s="51" t="n">
        <f aca="false">IF(LEFT(Cockpit!$C$5,1)="A",H516,IF(CH516=1,(CK516+CI516)/2,IF(LEFT(Cockpit!$C$5,1)="B",(CK516+AL516)/2,MAX((CK516+AL516)/2,H516))))</f>
        <v>355</v>
      </c>
      <c r="AK516" s="50" t="n">
        <f aca="false">AJ516*G516</f>
        <v>49.7</v>
      </c>
      <c r="AL516" s="50" t="n">
        <f aca="false">ROUNDUP(CK516+MAX(CL516,2*(J516/IF(CG516&gt;0,CG516,MAX(0.1,N(Cockpit!$C$6)))-CK516)),0)</f>
        <v>374</v>
      </c>
      <c r="AM516" s="51" t="n">
        <f aca="false">IF(AI516&gt;0,J516/AI516,-1)</f>
        <v>65.0322580645161</v>
      </c>
      <c r="AN516" s="51" t="n">
        <f aca="false">IF(AND(OR(CF516="L1",CF516="L23",CF516="LIFT"),AI516&gt;0),SUMIFS($AI$7:$AI$1843,$CF$7:$CF$1843,CF516,$AM$7:$AM$1843,"&gt;"&amp;AM516)+SUMIFS($AI$7:$AI$1843,$CF$7:$CF$1843,CF516,$AM$7:$AM$1843,AM516,$BW$7:$BW$1843,"&lt;="&amp;BW516),"")</f>
        <v>940.237637362637</v>
      </c>
      <c r="AO516" s="58" t="n">
        <f aca="false">IF(AN516="",0,MAX(0,MIN(1,(IF(CF516="L1",Parameter!$H$5,IF(CF516="L23",Parameter!$H$6+Parameter!$H$7,Parameter!$H$5+Parameter!$H$6+Parameter!$H$7))-(AN516-AI516))/AI516)))</f>
        <v>1</v>
      </c>
      <c r="AP516" s="50" t="n">
        <f aca="false">IF(LEFT(Cockpit!$I$5,1)="A",H516,IF(Parameter!$E$30="MAX-Bestand",IF(CH516=1,CI516,IF(LEFT(Cockpit!$I$5,1)="B",AV516,MAX(AV516,H516))),ROUNDUP(AT516,0)))</f>
        <v>355</v>
      </c>
      <c r="AQ516" s="50" t="n">
        <f aca="false">IF(BZ516=1,0,ROUNDUP(AP516/BY516,0))</f>
        <v>5</v>
      </c>
      <c r="AR516" s="52" t="n">
        <f aca="false">IF(CQ516&gt;0,CQ516*MAX(1,AP516/X516),IF(BZ516=1,IF(AP516&lt;=0,0,CD516*MAX(1,IF(H516&gt;0,AP516/H516,1))),IF(R516&gt;0,AQ516/R516,0))/MAX(0.1,N(Parameter!$M$21)))</f>
        <v>0.0357142857142857</v>
      </c>
      <c r="AS516" s="50" t="n">
        <f aca="false">AR516*CB516</f>
        <v>5.53571428571429</v>
      </c>
      <c r="AT516" s="51" t="n">
        <f aca="false">IF(LEFT(Cockpit!$I$5,1)="A",H516,IF(CH516=1,(CK516+CI516)/2,IF(LEFT(Cockpit!$I$5,1)="B",(CK516+AV516)/2,MAX((CK516+AV516)/2,H516))))</f>
        <v>355</v>
      </c>
      <c r="AU516" s="50" t="n">
        <f aca="false">AT516*G516</f>
        <v>49.7</v>
      </c>
      <c r="AV516" s="50" t="n">
        <f aca="false">ROUNDUP(CK516+MAX(CL516,2*(J516/IF(CG516&gt;0,CG516,MAX(0.1,N(Cockpit!$I$6)))-CK516)),0)</f>
        <v>374</v>
      </c>
      <c r="AW516" s="51" t="n">
        <f aca="false">IF(AS516&gt;0,J516/AS516,-1)</f>
        <v>65.0322580645161</v>
      </c>
      <c r="AX516" s="51" t="n">
        <f aca="false">IF(AND(OR(CF516="L1",CF516="L23",CF516="LIFT"),AS516&gt;0),SUMIFS($AS$7:$AS$1843,$CF$7:$CF$1843,CF516,$AW$7:$AW$1843,"&gt;"&amp;AW516)+SUMIFS($AS$7:$AS$1843,$CF$7:$CF$1843,CF516,$AW$7:$AW$1843,AW516,$BW$7:$BW$1843,"&lt;="&amp;BW516),"")</f>
        <v>1152.04258241758</v>
      </c>
      <c r="AY516" s="58" t="n">
        <f aca="false">IF(AX516="",0,MAX(0,MIN(1,(IF(CF516="L1",Parameter!$H$5,IF(CF516="L23",Parameter!$H$6+Parameter!$H$7,Parameter!$H$5+Parameter!$H$6+Parameter!$H$7))-(AX516-AS516))/AS516)))</f>
        <v>1</v>
      </c>
      <c r="AZ516" s="50" t="n">
        <f aca="false">IF(LEFT(Cockpit!$O$5,1)="A",H516,IF(Parameter!$E$30="MAX-Bestand",IF(CH516=1,CI516,IF(LEFT(Cockpit!$O$5,1)="B",BF516,MAX(BF516,H516))),ROUNDUP(BD516,0)))</f>
        <v>194</v>
      </c>
      <c r="BA516" s="50" t="n">
        <f aca="false">IF(BZ516=1,0,ROUNDUP(AZ516/BY516,0))</f>
        <v>3</v>
      </c>
      <c r="BB516" s="52" t="n">
        <f aca="false">IF(CQ516&gt;0,CQ516*MAX(1,AZ516/X516),IF(BZ516=1,IF(AZ516&lt;=0,0,CD516*MAX(1,IF(H516&gt;0,AZ516/H516,1))),IF(R516&gt;0,BA516/R516,0))/MAX(0.1,N(Parameter!$M$21)))</f>
        <v>0.0214285714285714</v>
      </c>
      <c r="BC516" s="50" t="n">
        <f aca="false">BB516*CB516</f>
        <v>3.32142857142857</v>
      </c>
      <c r="BD516" s="51" t="n">
        <f aca="false">IF(LEFT(Cockpit!$O$5,1)="A",H516,IF(CH516=1,(CK516+CI516)/2,IF(LEFT(Cockpit!$O$5,1)="B",(CK516+BF516)/2,MAX((CK516+BF516)/2,H516))))</f>
        <v>194</v>
      </c>
      <c r="BE516" s="50" t="n">
        <f aca="false">BD516*G516</f>
        <v>27.16</v>
      </c>
      <c r="BF516" s="50" t="n">
        <f aca="false">ROUNDUP(CK516+MAX(CL516,2*(J516/IF(CG516&gt;0,CG516,MAX(0.1,N(Cockpit!$O$6)))-CK516)),0)</f>
        <v>374</v>
      </c>
      <c r="BG516" s="51" t="n">
        <f aca="false">IF(BC516&gt;0,J516/BC516,-1)</f>
        <v>108.387096774194</v>
      </c>
      <c r="BH516" s="51" t="n">
        <f aca="false">IF(AND(OR(CF516="L1",CF516="L23",CF516="LIFT"),BC516&gt;0),SUMIFS($BC$7:$BC$1843,$CF$7:$CF$1843,CF516,$BG$7:$BG$1843,"&gt;"&amp;BG516)+SUMIFS($BC$7:$BC$1843,$CF$7:$CF$1843,CF516,$BG$7:$BG$1843,BG516,$BW$7:$BW$1843,"&lt;="&amp;BW516),"")</f>
        <v>880.971611721612</v>
      </c>
      <c r="BI516" s="58" t="n">
        <f aca="false">IF(BH516="",0,MAX(0,MIN(1,(IF(CF516="L1",Parameter!$H$5,IF(CF516="L23",Parameter!$H$6+Parameter!$H$7,Parameter!$H$5+Parameter!$H$6+Parameter!$H$7))-(BH516-BC516))/BC516)))</f>
        <v>1</v>
      </c>
      <c r="BJ516" s="48" t="str">
        <f aca="false">IF(AI516&lt;=0,"",IF(CF516="Aussen","Aussenlager",IF(CF516="-","Nicht im Lift",IF(AO516&gt;=1,"Lift",IF(AO516&lt;=0,"Aussenlager","teilweise")))))</f>
        <v>Lift</v>
      </c>
      <c r="BK516" s="48" t="str">
        <f aca="false">IF(AS516&lt;=0,"",IF(CF516="Aussen","Aussenlager",IF(CF516="-","Nicht im Lift",IF(AY516&gt;=1,"Lift",IF(AY516&lt;=0,"Aussenlager","teilweise")))))</f>
        <v>Lift</v>
      </c>
      <c r="BL516" s="48" t="str">
        <f aca="false">IF(BC516&lt;=0,"",IF(CF516="Aussen","Aussenlager",IF(CF516="-","Nicht im Lift",IF(BI516&gt;=1,"Lift",IF(BI516&lt;=0,"Aussenlager","teilweise")))))</f>
        <v>Lift</v>
      </c>
      <c r="BM516" s="48" t="str">
        <f aca="false">IF(A516="","",IF(BV516=1,"Neu; ","")&amp;IF(AND(BV516=0,BQ516&lt;0),"negativer Bestand (Export "&amp;BQ516&amp;"); ","")&amp;IF(J516&lt;=0,"Kein Verbrauch; ","")&amp;IF(CQ516&gt;0,"Lift "&amp;W516&amp;" lt. Liftbericht (Fach "&amp;X516&amp;" Stk); ",IF(CA516=1,"Gebinde geschätzt ("&amp;T516&amp;"); ",IF(BZ516=1,"Lose – Tablare geschätzt; ","")))&amp;IF(H516&gt;AV516,"Überbestand "&amp;ROUND(H516-AV516,0)&amp;" Stk / CHF "&amp;ROUND((H516-AV516)*G516,0)&amp;"; ","")&amp;IF(AND(CH516=1,CI516&lt;CJ516),"MAX &lt; MB+LG; ","")&amp;IF(AND(CP516&gt;0,CO516*10&gt;CP516),"zu hoch für Tablar; ","")&amp;IF(AND(BV516=0,OR(CH516=1,AA516&lt;&gt;"",U516&lt;&gt;"",V516&lt;&gt;"",AB516&lt;&gt;"")),"manuell übersteuert; ","")&amp;IF(AND(BZ516=0,R516=0),"Gebinde unbekannt / Stellmass fehlt; ","")&amp;IF(AND(BZ516=0,N(V516)&lt;=0,N(Q516)&lt;=0),"Menge pro Gebinde fehlt (Ist = 1 Gebinde); ","")&amp;BU516)</f>
        <v/>
      </c>
      <c r="BN516" s="48"/>
      <c r="BO516" s="48"/>
      <c r="BP516" s="55"/>
      <c r="BQ516" s="50" t="n">
        <v>266</v>
      </c>
      <c r="BR516" s="50" t="n">
        <v>89</v>
      </c>
      <c r="BS516" s="49" t="n">
        <v>31.01</v>
      </c>
      <c r="BT516" s="50" t="n">
        <v>360</v>
      </c>
      <c r="BU516" s="48"/>
      <c r="BV516" s="53" t="n">
        <v>0</v>
      </c>
      <c r="BW516" s="53" t="n">
        <v>516</v>
      </c>
      <c r="BX516" s="48" t="str">
        <f aca="false">IF(U516&lt;&gt;"",UPPER(TRIM(U516)),IF(CA516=1,UPPER(VLOOKUP(T516,Parameter!$I$27:$K$29,2,0)),IF(P516="","LOSE",P516)))</f>
        <v>S22</v>
      </c>
      <c r="BY516" s="50" t="n">
        <f aca="false">IF(BX516="LOSE",1,IF(N(V516)&gt;0,V516,IF(CA516=1,MAX(1,N(VLOOKUP(T516,Parameter!$I$27:$K$29,3,0)),H516,N(N516)),IF(N(Q516)&gt;0,Q516,MAX(1,H516)))))</f>
        <v>81</v>
      </c>
      <c r="BZ516" s="53" t="n">
        <f aca="false">IF(BX516="LOSE",1,0)</f>
        <v>0</v>
      </c>
      <c r="CA516" s="53" t="n">
        <f aca="false">IF(AND(U516="",OR(P516="",P516="LOSE"),T516&lt;&gt;"",N(S516)&lt;=0,ISNUMBER(MATCH(T516,Parameter!$I$27:$I$29,0))),1,0)</f>
        <v>0</v>
      </c>
      <c r="CB516" s="53" t="n">
        <f aca="false">IF(CQ516&gt;0,INDEX(Parameter!$H$5:$H$7,W516)/INDEX(Parameter!$E$5:$E$7,W516),IF(AND(BZ516=0,N(IFERROR(VLOOKUP(BX516,'Gebinde-Kategorie'!$A$5:$N$45,14,0),0))&gt;0),VLOOKUP(BX516,'Gebinde-Kategorie'!$A$5:$N$45,14,0)*10+Parameter!$M$23,Parameter!$M$24))</f>
        <v>155</v>
      </c>
      <c r="CC516" s="48" t="str">
        <f aca="false">IF(AND(Parameter!$B$19="Ja",E516&lt;&gt;"",ISNUMBER(MATCH(E516,Parameter!$I$35:$I$52,0))),VLOOKUP(E516,Parameter!$I$35:$J$52,2,0),IFERROR(VLOOKUP(D516,Parameter!$A$35:$C$64,2,0),"Nein"))</f>
        <v>2+3</v>
      </c>
      <c r="CD516" s="52" t="n">
        <f aca="false">IF(BZ516=0,0,IF(N(S516)&gt;0,S516,IFERROR(VLOOKUP(D516,Parameter!$A$35:$C$64,3,0)+0,0)))</f>
        <v>0</v>
      </c>
      <c r="CE516" s="48" t="n">
        <f aca="false">IF(AA516&lt;&gt;"",AA516,Z516)</f>
        <v>3</v>
      </c>
      <c r="CF516" s="48" t="str">
        <f aca="false">IF(OR(CE516=1,CE516=2,CE516=3),IF(Parameter!$E$27="Ja","LIFT",IF(CE516=1,"L1","L23")),IF(CE516="Aussen","Aussen","-"))</f>
        <v>LIFT</v>
      </c>
      <c r="CG516" s="59" t="n">
        <f aca="false">IF(N(AB516)&gt;0,AB516,0)</f>
        <v>0</v>
      </c>
      <c r="CH516" s="53" t="n">
        <f aca="false">IF(ISNUMBER(AE516),1,0)</f>
        <v>0</v>
      </c>
      <c r="CI516" s="50" t="n">
        <f aca="false">N(AE516)</f>
        <v>0</v>
      </c>
      <c r="CJ516" s="50" t="n">
        <f aca="false">N(M516)+N(N516)</f>
        <v>374</v>
      </c>
      <c r="CK516" s="50" t="n">
        <f aca="false">N(M516)</f>
        <v>14</v>
      </c>
      <c r="CL516" s="50" t="n">
        <f aca="false">N(N516)</f>
        <v>360</v>
      </c>
      <c r="CM516" s="50" t="n">
        <f aca="false">ROUNDUP(H516/BY516,0)</f>
        <v>5</v>
      </c>
      <c r="CN516" s="50" t="n">
        <f aca="false">ROUNDUP(CI516/BY516,0)</f>
        <v>0</v>
      </c>
      <c r="CO516" s="53" t="n">
        <f aca="false">IF(BZ516=1,0,IFERROR(VLOOKUP(BX516,'Gebinde-Kategorie'!$A$5:$N$45,5,0)+0,0))</f>
        <v>8</v>
      </c>
      <c r="CP516" s="53" t="n">
        <f aca="false">IFERROR(IF(OR(CE516=1,CE516=2,CE516=3),N(INDEX(Parameter!$I$5:$I$7,CE516)),0),0)</f>
        <v>0</v>
      </c>
      <c r="CQ516" s="52" t="n">
        <f aca="false">IF(AND(Parameter!$B$21="Ja",ISNUMBER(W516),N(X516)&gt;0),IFERROR(N(INDEX(Parameter!$L$5:$L$7,W516))*INDEX(Parameter!$E$5:$E$7,W516)*X516/SUMIFS($X$7:$X$1843,$W$7:$W$1843,W516),0),0)</f>
        <v>0</v>
      </c>
    </row>
    <row r="517" customFormat="false" ht="15" hidden="false" customHeight="false" outlineLevel="0" collapsed="false">
      <c r="A517" s="48" t="s">
        <v>1134</v>
      </c>
      <c r="B517" s="48" t="s">
        <v>803</v>
      </c>
      <c r="C517" s="48" t="s">
        <v>173</v>
      </c>
      <c r="D517" s="48" t="s">
        <v>193</v>
      </c>
      <c r="E517" s="48"/>
      <c r="F517" s="48" t="s">
        <v>227</v>
      </c>
      <c r="G517" s="49" t="n">
        <v>27.04</v>
      </c>
      <c r="H517" s="50" t="n">
        <f aca="false">MAX(0,IF(AND(Parameter!$B$21="Ja",ISNUMBER(Y517)),Y517,IF(Parameter!$B$20="Jahresanfang 2025 + Export",BR517+BQ517,BQ517)))</f>
        <v>5</v>
      </c>
      <c r="I517" s="50" t="n">
        <f aca="false">H517*G517</f>
        <v>135.2</v>
      </c>
      <c r="J517" s="50" t="n">
        <f aca="false">BT517*Parameter!$B$18</f>
        <v>5</v>
      </c>
      <c r="K517" s="51" t="n">
        <v>4</v>
      </c>
      <c r="L517" s="52" t="n">
        <v>1.25</v>
      </c>
      <c r="M517" s="50" t="n">
        <v>5</v>
      </c>
      <c r="N517" s="50" t="n">
        <v>5</v>
      </c>
      <c r="O517" s="53" t="n">
        <v>14</v>
      </c>
      <c r="P517" s="48" t="s">
        <v>337</v>
      </c>
      <c r="Q517" s="50" t="n">
        <v>5</v>
      </c>
      <c r="R517" s="53" t="n">
        <f aca="false">IF(BZ517=1,0,IFERROR(VLOOKUP(BX517,'Gebinde-Kategorie'!$A$5:$N$45,13,0)+0,0))</f>
        <v>52</v>
      </c>
      <c r="S517" s="54"/>
      <c r="T517" s="55"/>
      <c r="U517" s="55"/>
      <c r="V517" s="55"/>
      <c r="W517" s="48"/>
      <c r="X517" s="50"/>
      <c r="Y517" s="50"/>
      <c r="Z517" s="48" t="n">
        <f aca="false">IF(A517="","",IF(AND(Parameter!$B$21="Ja",ISNUMBER(W517)),W517,IF(CC517="2+3",IF(ISNUMBER(SEARCH("grosser Artikel",BU517)),2,IFERROR(VLOOKUP(BX517,Parameter!$F$35:$G$64,2,0),2)),IF(OR(CC517="Nein",CC517=""),"-",CC517))))</f>
        <v>3</v>
      </c>
      <c r="AA517" s="55"/>
      <c r="AB517" s="56"/>
      <c r="AC517" s="50" t="n">
        <f aca="false">AV517</f>
        <v>10</v>
      </c>
      <c r="AD517" s="50" t="n">
        <f aca="false">MAX(AV517,H517)</f>
        <v>10</v>
      </c>
      <c r="AE517" s="57"/>
      <c r="AF517" s="50" t="n">
        <f aca="false">IF(LEFT(Cockpit!$C$5,1)="A",H517,IF(Parameter!$E$30="MAX-Bestand",IF(CH517=1,CI517,IF(LEFT(Cockpit!$C$5,1)="B",AL517,MAX(AL517,H517))),ROUNDUP(AJ517,0)))</f>
        <v>5</v>
      </c>
      <c r="AG517" s="50" t="n">
        <f aca="false">IF(BZ517=1,0,ROUNDUP(AF517/BY517,0))</f>
        <v>1</v>
      </c>
      <c r="AH517" s="52" t="n">
        <f aca="false">IF(CQ517&gt;0,CQ517*MAX(1,AF517/X517),IF(BZ517=1,IF(AF517&lt;=0,0,CD517*MAX(1,IF(H517&gt;0,AF517/H517,1))),IF(R517&gt;0,AG517/R517,0))/MAX(0.1,N(Parameter!$M$21)))</f>
        <v>0.0192307692307692</v>
      </c>
      <c r="AI517" s="50" t="n">
        <f aca="false">AH517*CB517</f>
        <v>2.98076923076923</v>
      </c>
      <c r="AJ517" s="51" t="n">
        <f aca="false">IF(LEFT(Cockpit!$C$5,1)="A",H517,IF(CH517=1,(CK517+CI517)/2,IF(LEFT(Cockpit!$C$5,1)="B",(CK517+AL517)/2,MAX((CK517+AL517)/2,H517))))</f>
        <v>5</v>
      </c>
      <c r="AK517" s="50" t="n">
        <f aca="false">AJ517*G517</f>
        <v>135.2</v>
      </c>
      <c r="AL517" s="50" t="n">
        <f aca="false">ROUNDUP(CK517+MAX(CL517,2*(J517/IF(CG517&gt;0,CG517,MAX(0.1,N(Cockpit!$C$6)))-CK517)),0)</f>
        <v>10</v>
      </c>
      <c r="AM517" s="51" t="n">
        <f aca="false">IF(AI517&gt;0,J517/AI517,-1)</f>
        <v>1.67741935483871</v>
      </c>
      <c r="AN517" s="51" t="n">
        <f aca="false">IF(AND(OR(CF517="L1",CF517="L23",CF517="LIFT"),AI517&gt;0),SUMIFS($AI$7:$AI$1843,$CF$7:$CF$1843,CF517,$AM$7:$AM$1843,"&gt;"&amp;AM517)+SUMIFS($AI$7:$AI$1843,$CF$7:$CF$1843,CF517,$AM$7:$AM$1843,AM517,$BW$7:$BW$1843,"&lt;="&amp;BW517),"")</f>
        <v>6048.87225274725</v>
      </c>
      <c r="AO517" s="58" t="n">
        <f aca="false">IF(AN517="",0,MAX(0,MIN(1,(IF(CF517="L1",Parameter!$H$5,IF(CF517="L23",Parameter!$H$6+Parameter!$H$7,Parameter!$H$5+Parameter!$H$6+Parameter!$H$7))-(AN517-AI517))/AI517)))</f>
        <v>1</v>
      </c>
      <c r="AP517" s="50" t="n">
        <f aca="false">IF(LEFT(Cockpit!$I$5,1)="A",H517,IF(Parameter!$E$30="MAX-Bestand",IF(CH517=1,CI517,IF(LEFT(Cockpit!$I$5,1)="B",AV517,MAX(AV517,H517))),ROUNDUP(AT517,0)))</f>
        <v>8</v>
      </c>
      <c r="AQ517" s="50" t="n">
        <f aca="false">IF(BZ517=1,0,ROUNDUP(AP517/BY517,0))</f>
        <v>2</v>
      </c>
      <c r="AR517" s="52" t="n">
        <f aca="false">IF(CQ517&gt;0,CQ517*MAX(1,AP517/X517),IF(BZ517=1,IF(AP517&lt;=0,0,CD517*MAX(1,IF(H517&gt;0,AP517/H517,1))),IF(R517&gt;0,AQ517/R517,0))/MAX(0.1,N(Parameter!$M$21)))</f>
        <v>0.0384615384615385</v>
      </c>
      <c r="AS517" s="50" t="n">
        <f aca="false">AR517*CB517</f>
        <v>5.96153846153846</v>
      </c>
      <c r="AT517" s="51" t="n">
        <f aca="false">IF(LEFT(Cockpit!$I$5,1)="A",H517,IF(CH517=1,(CK517+CI517)/2,IF(LEFT(Cockpit!$I$5,1)="B",(CK517+AV517)/2,MAX((CK517+AV517)/2,H517))))</f>
        <v>7.5</v>
      </c>
      <c r="AU517" s="50" t="n">
        <f aca="false">AT517*G517</f>
        <v>202.8</v>
      </c>
      <c r="AV517" s="50" t="n">
        <f aca="false">ROUNDUP(CK517+MAX(CL517,2*(J517/IF(CG517&gt;0,CG517,MAX(0.1,N(Cockpit!$I$6)))-CK517)),0)</f>
        <v>10</v>
      </c>
      <c r="AW517" s="51" t="n">
        <f aca="false">IF(AS517&gt;0,J517/AS517,-1)</f>
        <v>0.838709677419355</v>
      </c>
      <c r="AX517" s="51" t="n">
        <f aca="false">IF(AND(OR(CF517="L1",CF517="L23",CF517="LIFT"),AS517&gt;0),SUMIFS($AS$7:$AS$1843,$CF$7:$CF$1843,CF517,$AW$7:$AW$1843,"&gt;"&amp;AW517)+SUMIFS($AS$7:$AS$1843,$CF$7:$CF$1843,CF517,$AW$7:$AW$1843,AW517,$BW$7:$BW$1843,"&lt;="&amp;BW517),"")</f>
        <v>9634.14194139194</v>
      </c>
      <c r="AY517" s="58" t="n">
        <f aca="false">IF(AX517="",0,MAX(0,MIN(1,(IF(CF517="L1",Parameter!$H$5,IF(CF517="L23",Parameter!$H$6+Parameter!$H$7,Parameter!$H$5+Parameter!$H$6+Parameter!$H$7))-(AX517-AS517))/AS517)))</f>
        <v>1</v>
      </c>
      <c r="AZ517" s="50" t="n">
        <f aca="false">IF(LEFT(Cockpit!$O$5,1)="A",H517,IF(Parameter!$E$30="MAX-Bestand",IF(CH517=1,CI517,IF(LEFT(Cockpit!$O$5,1)="B",BF517,MAX(BF517,H517))),ROUNDUP(BD517,0)))</f>
        <v>8</v>
      </c>
      <c r="BA517" s="50" t="n">
        <f aca="false">IF(BZ517=1,0,ROUNDUP(AZ517/BY517,0))</f>
        <v>2</v>
      </c>
      <c r="BB517" s="52" t="n">
        <f aca="false">IF(CQ517&gt;0,CQ517*MAX(1,AZ517/X517),IF(BZ517=1,IF(AZ517&lt;=0,0,CD517*MAX(1,IF(H517&gt;0,AZ517/H517,1))),IF(R517&gt;0,BA517/R517,0))/MAX(0.1,N(Parameter!$M$21)))</f>
        <v>0.0384615384615385</v>
      </c>
      <c r="BC517" s="50" t="n">
        <f aca="false">BB517*CB517</f>
        <v>5.96153846153846</v>
      </c>
      <c r="BD517" s="51" t="n">
        <f aca="false">IF(LEFT(Cockpit!$O$5,1)="A",H517,IF(CH517=1,(CK517+CI517)/2,IF(LEFT(Cockpit!$O$5,1)="B",(CK517+BF517)/2,MAX((CK517+BF517)/2,H517))))</f>
        <v>7.5</v>
      </c>
      <c r="BE517" s="50" t="n">
        <f aca="false">BD517*G517</f>
        <v>202.8</v>
      </c>
      <c r="BF517" s="50" t="n">
        <f aca="false">ROUNDUP(CK517+MAX(CL517,2*(J517/IF(CG517&gt;0,CG517,MAX(0.1,N(Cockpit!$O$6)))-CK517)),0)</f>
        <v>10</v>
      </c>
      <c r="BG517" s="51" t="n">
        <f aca="false">IF(BC517&gt;0,J517/BC517,-1)</f>
        <v>0.838709677419355</v>
      </c>
      <c r="BH517" s="51" t="n">
        <f aca="false">IF(AND(OR(CF517="L1",CF517="L23",CF517="LIFT"),BC517&gt;0),SUMIFS($BC$7:$BC$1843,$CF$7:$CF$1843,CF517,$BG$7:$BG$1843,"&gt;"&amp;BG517)+SUMIFS($BC$7:$BC$1843,$CF$7:$CF$1843,CF517,$BG$7:$BG$1843,BG517,$BW$7:$BW$1843,"&lt;="&amp;BW517),"")</f>
        <v>8595.21840659341</v>
      </c>
      <c r="BI517" s="58" t="n">
        <f aca="false">IF(BH517="",0,MAX(0,MIN(1,(IF(CF517="L1",Parameter!$H$5,IF(CF517="L23",Parameter!$H$6+Parameter!$H$7,Parameter!$H$5+Parameter!$H$6+Parameter!$H$7))-(BH517-BC517))/BC517)))</f>
        <v>1</v>
      </c>
      <c r="BJ517" s="48" t="str">
        <f aca="false">IF(AI517&lt;=0,"",IF(CF517="Aussen","Aussenlager",IF(CF517="-","Nicht im Lift",IF(AO517&gt;=1,"Lift",IF(AO517&lt;=0,"Aussenlager","teilweise")))))</f>
        <v>Lift</v>
      </c>
      <c r="BK517" s="48" t="str">
        <f aca="false">IF(AS517&lt;=0,"",IF(CF517="Aussen","Aussenlager",IF(CF517="-","Nicht im Lift",IF(AY517&gt;=1,"Lift",IF(AY517&lt;=0,"Aussenlager","teilweise")))))</f>
        <v>Lift</v>
      </c>
      <c r="BL517" s="48" t="str">
        <f aca="false">IF(BC517&lt;=0,"",IF(CF517="Aussen","Aussenlager",IF(CF517="-","Nicht im Lift",IF(BI517&gt;=1,"Lift",IF(BI517&lt;=0,"Aussenlager","teilweise")))))</f>
        <v>Lift</v>
      </c>
      <c r="BM517" s="48" t="str">
        <f aca="false">IF(A517="","",IF(BV517=1,"Neu; ","")&amp;IF(AND(BV517=0,BQ517&lt;0),"negativer Bestand (Export "&amp;BQ517&amp;"); ","")&amp;IF(J517&lt;=0,"Kein Verbrauch; ","")&amp;IF(CQ517&gt;0,"Lift "&amp;W517&amp;" lt. Liftbericht (Fach "&amp;X517&amp;" Stk); ",IF(CA517=1,"Gebinde geschätzt ("&amp;T517&amp;"); ",IF(BZ517=1,"Lose – Tablare geschätzt; ","")))&amp;IF(H517&gt;AV517,"Überbestand "&amp;ROUND(H517-AV517,0)&amp;" Stk / CHF "&amp;ROUND((H517-AV517)*G517,0)&amp;"; ","")&amp;IF(AND(CH517=1,CI517&lt;CJ517),"MAX &lt; MB+LG; ","")&amp;IF(AND(CP517&gt;0,CO517*10&gt;CP517),"zu hoch für Tablar; ","")&amp;IF(AND(BV517=0,OR(CH517=1,AA517&lt;&gt;"",U517&lt;&gt;"",V517&lt;&gt;"",AB517&lt;&gt;"")),"manuell übersteuert; ","")&amp;IF(AND(BZ517=0,R517=0),"Gebinde unbekannt / Stellmass fehlt; ","")&amp;IF(AND(BZ517=0,N(V517)&lt;=0,N(Q517)&lt;=0),"Menge pro Gebinde fehlt (Ist = 1 Gebinde); ","")&amp;BU517)</f>
        <v/>
      </c>
      <c r="BN517" s="48"/>
      <c r="BO517" s="48"/>
      <c r="BP517" s="55"/>
      <c r="BQ517" s="50" t="n">
        <v>1</v>
      </c>
      <c r="BR517" s="50" t="n">
        <v>4</v>
      </c>
      <c r="BS517" s="49" t="n">
        <v>30.96</v>
      </c>
      <c r="BT517" s="50" t="n">
        <v>5</v>
      </c>
      <c r="BU517" s="48"/>
      <c r="BV517" s="53" t="n">
        <v>0</v>
      </c>
      <c r="BW517" s="53" t="n">
        <v>517</v>
      </c>
      <c r="BX517" s="48" t="str">
        <f aca="false">IF(U517&lt;&gt;"",UPPER(TRIM(U517)),IF(CA517=1,UPPER(VLOOKUP(T517,Parameter!$I$27:$K$29,2,0)),IF(P517="","LOSE",P517)))</f>
        <v>S41</v>
      </c>
      <c r="BY517" s="50" t="n">
        <f aca="false">IF(BX517="LOSE",1,IF(N(V517)&gt;0,V517,IF(CA517=1,MAX(1,N(VLOOKUP(T517,Parameter!$I$27:$K$29,3,0)),H517,N(N517)),IF(N(Q517)&gt;0,Q517,MAX(1,H517)))))</f>
        <v>5</v>
      </c>
      <c r="BZ517" s="53" t="n">
        <f aca="false">IF(BX517="LOSE",1,0)</f>
        <v>0</v>
      </c>
      <c r="CA517" s="53" t="n">
        <f aca="false">IF(AND(U517="",OR(P517="",P517="LOSE"),T517&lt;&gt;"",N(S517)&lt;=0,ISNUMBER(MATCH(T517,Parameter!$I$27:$I$29,0))),1,0)</f>
        <v>0</v>
      </c>
      <c r="CB517" s="53" t="n">
        <f aca="false">IF(CQ517&gt;0,INDEX(Parameter!$H$5:$H$7,W517)/INDEX(Parameter!$E$5:$E$7,W517),IF(AND(BZ517=0,N(IFERROR(VLOOKUP(BX517,'Gebinde-Kategorie'!$A$5:$N$45,14,0),0))&gt;0),VLOOKUP(BX517,'Gebinde-Kategorie'!$A$5:$N$45,14,0)*10+Parameter!$M$23,Parameter!$M$24))</f>
        <v>155</v>
      </c>
      <c r="CC517" s="48" t="str">
        <f aca="false">IF(AND(Parameter!$B$19="Ja",E517&lt;&gt;"",ISNUMBER(MATCH(E517,Parameter!$I$35:$I$52,0))),VLOOKUP(E517,Parameter!$I$35:$J$52,2,0),IFERROR(VLOOKUP(D517,Parameter!$A$35:$C$64,2,0),"Nein"))</f>
        <v>2+3</v>
      </c>
      <c r="CD517" s="52" t="n">
        <f aca="false">IF(BZ517=0,0,IF(N(S517)&gt;0,S517,IFERROR(VLOOKUP(D517,Parameter!$A$35:$C$64,3,0)+0,0)))</f>
        <v>0</v>
      </c>
      <c r="CE517" s="48" t="n">
        <f aca="false">IF(AA517&lt;&gt;"",AA517,Z517)</f>
        <v>3</v>
      </c>
      <c r="CF517" s="48" t="str">
        <f aca="false">IF(OR(CE517=1,CE517=2,CE517=3),IF(Parameter!$E$27="Ja","LIFT",IF(CE517=1,"L1","L23")),IF(CE517="Aussen","Aussen","-"))</f>
        <v>LIFT</v>
      </c>
      <c r="CG517" s="59" t="n">
        <f aca="false">IF(N(AB517)&gt;0,AB517,0)</f>
        <v>0</v>
      </c>
      <c r="CH517" s="53" t="n">
        <f aca="false">IF(ISNUMBER(AE517),1,0)</f>
        <v>0</v>
      </c>
      <c r="CI517" s="50" t="n">
        <f aca="false">N(AE517)</f>
        <v>0</v>
      </c>
      <c r="CJ517" s="50" t="n">
        <f aca="false">N(M517)+N(N517)</f>
        <v>10</v>
      </c>
      <c r="CK517" s="50" t="n">
        <f aca="false">N(M517)</f>
        <v>5</v>
      </c>
      <c r="CL517" s="50" t="n">
        <f aca="false">N(N517)</f>
        <v>5</v>
      </c>
      <c r="CM517" s="50" t="n">
        <f aca="false">ROUNDUP(H517/BY517,0)</f>
        <v>1</v>
      </c>
      <c r="CN517" s="50" t="n">
        <f aca="false">ROUNDUP(CI517/BY517,0)</f>
        <v>0</v>
      </c>
      <c r="CO517" s="53" t="n">
        <f aca="false">IF(BZ517=1,0,IFERROR(VLOOKUP(BX517,'Gebinde-Kategorie'!$A$5:$N$45,5,0)+0,0))</f>
        <v>11</v>
      </c>
      <c r="CP517" s="53" t="n">
        <f aca="false">IFERROR(IF(OR(CE517=1,CE517=2,CE517=3),N(INDEX(Parameter!$I$5:$I$7,CE517)),0),0)</f>
        <v>0</v>
      </c>
      <c r="CQ517" s="52" t="n">
        <f aca="false">IF(AND(Parameter!$B$21="Ja",ISNUMBER(W517),N(X517)&gt;0),IFERROR(N(INDEX(Parameter!$L$5:$L$7,W517))*INDEX(Parameter!$E$5:$E$7,W517)*X517/SUMIFS($X$7:$X$1843,$W$7:$W$1843,W517),0),0)</f>
        <v>0</v>
      </c>
    </row>
    <row r="518" customFormat="false" ht="15" hidden="false" customHeight="false" outlineLevel="0" collapsed="false">
      <c r="A518" s="48" t="s">
        <v>1135</v>
      </c>
      <c r="B518" s="48" t="s">
        <v>1136</v>
      </c>
      <c r="C518" s="48" t="s">
        <v>173</v>
      </c>
      <c r="D518" s="48" t="s">
        <v>193</v>
      </c>
      <c r="E518" s="48"/>
      <c r="F518" s="48" t="s">
        <v>227</v>
      </c>
      <c r="G518" s="49" t="n">
        <v>3.19</v>
      </c>
      <c r="H518" s="50" t="n">
        <f aca="false">MAX(0,IF(AND(Parameter!$B$21="Ja",ISNUMBER(Y518)),Y518,IF(Parameter!$B$20="Jahresanfang 2025 + Export",BR518+BQ518,BQ518)))</f>
        <v>18</v>
      </c>
      <c r="I518" s="50" t="n">
        <f aca="false">H518*G518</f>
        <v>57.42</v>
      </c>
      <c r="J518" s="50" t="n">
        <f aca="false">BT518*Parameter!$B$18</f>
        <v>19</v>
      </c>
      <c r="K518" s="51" t="n">
        <v>9</v>
      </c>
      <c r="L518" s="52" t="n">
        <v>2.11111111111111</v>
      </c>
      <c r="M518" s="50" t="n">
        <v>0</v>
      </c>
      <c r="N518" s="50" t="n">
        <v>20</v>
      </c>
      <c r="O518" s="53" t="n">
        <v>14</v>
      </c>
      <c r="P518" s="48" t="s">
        <v>435</v>
      </c>
      <c r="Q518" s="50" t="n">
        <v>10</v>
      </c>
      <c r="R518" s="53" t="n">
        <f aca="false">IF(BZ518=1,0,IFERROR(VLOOKUP(BX518,'Gebinde-Kategorie'!$A$5:$N$45,13,0)+0,0))</f>
        <v>140</v>
      </c>
      <c r="S518" s="54"/>
      <c r="T518" s="55"/>
      <c r="U518" s="55"/>
      <c r="V518" s="55"/>
      <c r="W518" s="48"/>
      <c r="X518" s="50"/>
      <c r="Y518" s="50"/>
      <c r="Z518" s="48" t="n">
        <f aca="false">IF(A518="","",IF(AND(Parameter!$B$21="Ja",ISNUMBER(W518)),W518,IF(CC518="2+3",IF(ISNUMBER(SEARCH("grosser Artikel",BU518)),2,IFERROR(VLOOKUP(BX518,Parameter!$F$35:$G$64,2,0),2)),IF(OR(CC518="Nein",CC518=""),"-",CC518))))</f>
        <v>3</v>
      </c>
      <c r="AA518" s="55"/>
      <c r="AB518" s="56"/>
      <c r="AC518" s="50" t="n">
        <f aca="false">AV518</f>
        <v>20</v>
      </c>
      <c r="AD518" s="50" t="n">
        <f aca="false">MAX(AV518,H518)</f>
        <v>20</v>
      </c>
      <c r="AE518" s="57"/>
      <c r="AF518" s="50" t="n">
        <f aca="false">IF(LEFT(Cockpit!$C$5,1)="A",H518,IF(Parameter!$E$30="MAX-Bestand",IF(CH518=1,CI518,IF(LEFT(Cockpit!$C$5,1)="B",AL518,MAX(AL518,H518))),ROUNDUP(AJ518,0)))</f>
        <v>18</v>
      </c>
      <c r="AG518" s="50" t="n">
        <f aca="false">IF(BZ518=1,0,ROUNDUP(AF518/BY518,0))</f>
        <v>2</v>
      </c>
      <c r="AH518" s="52" t="n">
        <f aca="false">IF(CQ518&gt;0,CQ518*MAX(1,AF518/X518),IF(BZ518=1,IF(AF518&lt;=0,0,CD518*MAX(1,IF(H518&gt;0,AF518/H518,1))),IF(R518&gt;0,AG518/R518,0))/MAX(0.1,N(Parameter!$M$21)))</f>
        <v>0.0142857142857143</v>
      </c>
      <c r="AI518" s="50" t="n">
        <f aca="false">AH518*CB518</f>
        <v>2.21428571428571</v>
      </c>
      <c r="AJ518" s="51" t="n">
        <f aca="false">IF(LEFT(Cockpit!$C$5,1)="A",H518,IF(CH518=1,(CK518+CI518)/2,IF(LEFT(Cockpit!$C$5,1)="B",(CK518+AL518)/2,MAX((CK518+AL518)/2,H518))))</f>
        <v>18</v>
      </c>
      <c r="AK518" s="50" t="n">
        <f aca="false">AJ518*G518</f>
        <v>57.42</v>
      </c>
      <c r="AL518" s="50" t="n">
        <f aca="false">ROUNDUP(CK518+MAX(CL518,2*(J518/IF(CG518&gt;0,CG518,MAX(0.1,N(Cockpit!$C$6)))-CK518)),0)</f>
        <v>20</v>
      </c>
      <c r="AM518" s="51" t="n">
        <f aca="false">IF(AI518&gt;0,J518/AI518,-1)</f>
        <v>8.58064516129032</v>
      </c>
      <c r="AN518" s="51" t="n">
        <f aca="false">IF(AND(OR(CF518="L1",CF518="L23",CF518="LIFT"),AI518&gt;0),SUMIFS($AI$7:$AI$1843,$CF$7:$CF$1843,CF518,$AM$7:$AM$1843,"&gt;"&amp;AM518)+SUMIFS($AI$7:$AI$1843,$CF$7:$CF$1843,CF518,$AM$7:$AM$1843,AM518,$BW$7:$BW$1843,"&lt;="&amp;BW518),"")</f>
        <v>2984.875</v>
      </c>
      <c r="AO518" s="58" t="n">
        <f aca="false">IF(AN518="",0,MAX(0,MIN(1,(IF(CF518="L1",Parameter!$H$5,IF(CF518="L23",Parameter!$H$6+Parameter!$H$7,Parameter!$H$5+Parameter!$H$6+Parameter!$H$7))-(AN518-AI518))/AI518)))</f>
        <v>1</v>
      </c>
      <c r="AP518" s="50" t="n">
        <f aca="false">IF(LEFT(Cockpit!$I$5,1)="A",H518,IF(Parameter!$E$30="MAX-Bestand",IF(CH518=1,CI518,IF(LEFT(Cockpit!$I$5,1)="B",AV518,MAX(AV518,H518))),ROUNDUP(AT518,0)))</f>
        <v>18</v>
      </c>
      <c r="AQ518" s="50" t="n">
        <f aca="false">IF(BZ518=1,0,ROUNDUP(AP518/BY518,0))</f>
        <v>2</v>
      </c>
      <c r="AR518" s="52" t="n">
        <f aca="false">IF(CQ518&gt;0,CQ518*MAX(1,AP518/X518),IF(BZ518=1,IF(AP518&lt;=0,0,CD518*MAX(1,IF(H518&gt;0,AP518/H518,1))),IF(R518&gt;0,AQ518/R518,0))/MAX(0.1,N(Parameter!$M$21)))</f>
        <v>0.0142857142857143</v>
      </c>
      <c r="AS518" s="50" t="n">
        <f aca="false">AR518*CB518</f>
        <v>2.21428571428571</v>
      </c>
      <c r="AT518" s="51" t="n">
        <f aca="false">IF(LEFT(Cockpit!$I$5,1)="A",H518,IF(CH518=1,(CK518+CI518)/2,IF(LEFT(Cockpit!$I$5,1)="B",(CK518+AV518)/2,MAX((CK518+AV518)/2,H518))))</f>
        <v>18</v>
      </c>
      <c r="AU518" s="50" t="n">
        <f aca="false">AT518*G518</f>
        <v>57.42</v>
      </c>
      <c r="AV518" s="50" t="n">
        <f aca="false">ROUNDUP(CK518+MAX(CL518,2*(J518/IF(CG518&gt;0,CG518,MAX(0.1,N(Cockpit!$I$6)))-CK518)),0)</f>
        <v>20</v>
      </c>
      <c r="AW518" s="51" t="n">
        <f aca="false">IF(AS518&gt;0,J518/AS518,-1)</f>
        <v>8.58064516129032</v>
      </c>
      <c r="AX518" s="51" t="n">
        <f aca="false">IF(AND(OR(CF518="L1",CF518="L23",CF518="LIFT"),AS518&gt;0),SUMIFS($AS$7:$AS$1843,$CF$7:$CF$1843,CF518,$AW$7:$AW$1843,"&gt;"&amp;AW518)+SUMIFS($AS$7:$AS$1843,$CF$7:$CF$1843,CF518,$AW$7:$AW$1843,AW518,$BW$7:$BW$1843,"&lt;="&amp;BW518),"")</f>
        <v>3571.1130952381</v>
      </c>
      <c r="AY518" s="58" t="n">
        <f aca="false">IF(AX518="",0,MAX(0,MIN(1,(IF(CF518="L1",Parameter!$H$5,IF(CF518="L23",Parameter!$H$6+Parameter!$H$7,Parameter!$H$5+Parameter!$H$6+Parameter!$H$7))-(AX518-AS518))/AS518)))</f>
        <v>1</v>
      </c>
      <c r="AZ518" s="50" t="n">
        <f aca="false">IF(LEFT(Cockpit!$O$5,1)="A",H518,IF(Parameter!$E$30="MAX-Bestand",IF(CH518=1,CI518,IF(LEFT(Cockpit!$O$5,1)="B",BF518,MAX(BF518,H518))),ROUNDUP(BD518,0)))</f>
        <v>10</v>
      </c>
      <c r="BA518" s="50" t="n">
        <f aca="false">IF(BZ518=1,0,ROUNDUP(AZ518/BY518,0))</f>
        <v>1</v>
      </c>
      <c r="BB518" s="52" t="n">
        <f aca="false">IF(CQ518&gt;0,CQ518*MAX(1,AZ518/X518),IF(BZ518=1,IF(AZ518&lt;=0,0,CD518*MAX(1,IF(H518&gt;0,AZ518/H518,1))),IF(R518&gt;0,BA518/R518,0))/MAX(0.1,N(Parameter!$M$21)))</f>
        <v>0.00714285714285714</v>
      </c>
      <c r="BC518" s="50" t="n">
        <f aca="false">BB518*CB518</f>
        <v>1.10714285714286</v>
      </c>
      <c r="BD518" s="51" t="n">
        <f aca="false">IF(LEFT(Cockpit!$O$5,1)="A",H518,IF(CH518=1,(CK518+CI518)/2,IF(LEFT(Cockpit!$O$5,1)="B",(CK518+BF518)/2,MAX((CK518+BF518)/2,H518))))</f>
        <v>10</v>
      </c>
      <c r="BE518" s="50" t="n">
        <f aca="false">BD518*G518</f>
        <v>31.9</v>
      </c>
      <c r="BF518" s="50" t="n">
        <f aca="false">ROUNDUP(CK518+MAX(CL518,2*(J518/IF(CG518&gt;0,CG518,MAX(0.1,N(Cockpit!$O$6)))-CK518)),0)</f>
        <v>20</v>
      </c>
      <c r="BG518" s="51" t="n">
        <f aca="false">IF(BC518&gt;0,J518/BC518,-1)</f>
        <v>17.1612903225806</v>
      </c>
      <c r="BH518" s="51" t="n">
        <f aca="false">IF(AND(OR(CF518="L1",CF518="L23",CF518="LIFT"),BC518&gt;0),SUMIFS($BC$7:$BC$1843,$CF$7:$CF$1843,CF518,$BG$7:$BG$1843,"&gt;"&amp;BG518)+SUMIFS($BC$7:$BC$1843,$CF$7:$CF$1843,CF518,$BG$7:$BG$1843,BG518,$BW$7:$BW$1843,"&lt;="&amp;BW518),"")</f>
        <v>2322.43956043956</v>
      </c>
      <c r="BI518" s="58" t="n">
        <f aca="false">IF(BH518="",0,MAX(0,MIN(1,(IF(CF518="L1",Parameter!$H$5,IF(CF518="L23",Parameter!$H$6+Parameter!$H$7,Parameter!$H$5+Parameter!$H$6+Parameter!$H$7))-(BH518-BC518))/BC518)))</f>
        <v>1</v>
      </c>
      <c r="BJ518" s="48" t="str">
        <f aca="false">IF(AI518&lt;=0,"",IF(CF518="Aussen","Aussenlager",IF(CF518="-","Nicht im Lift",IF(AO518&gt;=1,"Lift",IF(AO518&lt;=0,"Aussenlager","teilweise")))))</f>
        <v>Lift</v>
      </c>
      <c r="BK518" s="48" t="str">
        <f aca="false">IF(AS518&lt;=0,"",IF(CF518="Aussen","Aussenlager",IF(CF518="-","Nicht im Lift",IF(AY518&gt;=1,"Lift",IF(AY518&lt;=0,"Aussenlager","teilweise")))))</f>
        <v>Lift</v>
      </c>
      <c r="BL518" s="48" t="str">
        <f aca="false">IF(BC518&lt;=0,"",IF(CF518="Aussen","Aussenlager",IF(CF518="-","Nicht im Lift",IF(BI518&gt;=1,"Lift",IF(BI518&lt;=0,"Aussenlager","teilweise")))))</f>
        <v>Lift</v>
      </c>
      <c r="BM518" s="48" t="str">
        <f aca="false">IF(A518="","",IF(BV518=1,"Neu; ","")&amp;IF(AND(BV518=0,BQ518&lt;0),"negativer Bestand (Export "&amp;BQ518&amp;"); ","")&amp;IF(J518&lt;=0,"Kein Verbrauch; ","")&amp;IF(CQ518&gt;0,"Lift "&amp;W518&amp;" lt. Liftbericht (Fach "&amp;X518&amp;" Stk); ",IF(CA518=1,"Gebinde geschätzt ("&amp;T518&amp;"); ",IF(BZ518=1,"Lose – Tablare geschätzt; ","")))&amp;IF(H518&gt;AV518,"Überbestand "&amp;ROUND(H518-AV518,0)&amp;" Stk / CHF "&amp;ROUND((H518-AV518)*G518,0)&amp;"; ","")&amp;IF(AND(CH518=1,CI518&lt;CJ518),"MAX &lt; MB+LG; ","")&amp;IF(AND(CP518&gt;0,CO518*10&gt;CP518),"zu hoch für Tablar; ","")&amp;IF(AND(BV518=0,OR(CH518=1,AA518&lt;&gt;"",U518&lt;&gt;"",V518&lt;&gt;"",AB518&lt;&gt;"")),"manuell übersteuert; ","")&amp;IF(AND(BZ518=0,R518=0),"Gebinde unbekannt / Stellmass fehlt; ","")&amp;IF(AND(BZ518=0,N(V518)&lt;=0,N(Q518)&lt;=0),"Menge pro Gebinde fehlt (Ist = 1 Gebinde); ","")&amp;BU518)</f>
        <v/>
      </c>
      <c r="BN518" s="48"/>
      <c r="BO518" s="48"/>
      <c r="BP518" s="55"/>
      <c r="BQ518" s="50" t="n">
        <v>8</v>
      </c>
      <c r="BR518" s="50" t="n">
        <v>10</v>
      </c>
      <c r="BS518" s="49" t="n">
        <v>30.52</v>
      </c>
      <c r="BT518" s="50" t="n">
        <v>19</v>
      </c>
      <c r="BU518" s="48"/>
      <c r="BV518" s="53" t="n">
        <v>0</v>
      </c>
      <c r="BW518" s="53" t="n">
        <v>518</v>
      </c>
      <c r="BX518" s="48" t="str">
        <f aca="false">IF(U518&lt;&gt;"",UPPER(TRIM(U518)),IF(CA518=1,UPPER(VLOOKUP(T518,Parameter!$I$27:$K$29,2,0)),IF(P518="","LOSE",P518)))</f>
        <v>S22</v>
      </c>
      <c r="BY518" s="50" t="n">
        <f aca="false">IF(BX518="LOSE",1,IF(N(V518)&gt;0,V518,IF(CA518=1,MAX(1,N(VLOOKUP(T518,Parameter!$I$27:$K$29,3,0)),H518,N(N518)),IF(N(Q518)&gt;0,Q518,MAX(1,H518)))))</f>
        <v>10</v>
      </c>
      <c r="BZ518" s="53" t="n">
        <f aca="false">IF(BX518="LOSE",1,0)</f>
        <v>0</v>
      </c>
      <c r="CA518" s="53" t="n">
        <f aca="false">IF(AND(U518="",OR(P518="",P518="LOSE"),T518&lt;&gt;"",N(S518)&lt;=0,ISNUMBER(MATCH(T518,Parameter!$I$27:$I$29,0))),1,0)</f>
        <v>0</v>
      </c>
      <c r="CB518" s="53" t="n">
        <f aca="false">IF(CQ518&gt;0,INDEX(Parameter!$H$5:$H$7,W518)/INDEX(Parameter!$E$5:$E$7,W518),IF(AND(BZ518=0,N(IFERROR(VLOOKUP(BX518,'Gebinde-Kategorie'!$A$5:$N$45,14,0),0))&gt;0),VLOOKUP(BX518,'Gebinde-Kategorie'!$A$5:$N$45,14,0)*10+Parameter!$M$23,Parameter!$M$24))</f>
        <v>155</v>
      </c>
      <c r="CC518" s="48" t="str">
        <f aca="false">IF(AND(Parameter!$B$19="Ja",E518&lt;&gt;"",ISNUMBER(MATCH(E518,Parameter!$I$35:$I$52,0))),VLOOKUP(E518,Parameter!$I$35:$J$52,2,0),IFERROR(VLOOKUP(D518,Parameter!$A$35:$C$64,2,0),"Nein"))</f>
        <v>2+3</v>
      </c>
      <c r="CD518" s="52" t="n">
        <f aca="false">IF(BZ518=0,0,IF(N(S518)&gt;0,S518,IFERROR(VLOOKUP(D518,Parameter!$A$35:$C$64,3,0)+0,0)))</f>
        <v>0</v>
      </c>
      <c r="CE518" s="48" t="n">
        <f aca="false">IF(AA518&lt;&gt;"",AA518,Z518)</f>
        <v>3</v>
      </c>
      <c r="CF518" s="48" t="str">
        <f aca="false">IF(OR(CE518=1,CE518=2,CE518=3),IF(Parameter!$E$27="Ja","LIFT",IF(CE518=1,"L1","L23")),IF(CE518="Aussen","Aussen","-"))</f>
        <v>LIFT</v>
      </c>
      <c r="CG518" s="59" t="n">
        <f aca="false">IF(N(AB518)&gt;0,AB518,0)</f>
        <v>0</v>
      </c>
      <c r="CH518" s="53" t="n">
        <f aca="false">IF(ISNUMBER(AE518),1,0)</f>
        <v>0</v>
      </c>
      <c r="CI518" s="50" t="n">
        <f aca="false">N(AE518)</f>
        <v>0</v>
      </c>
      <c r="CJ518" s="50" t="n">
        <f aca="false">N(M518)+N(N518)</f>
        <v>20</v>
      </c>
      <c r="CK518" s="50" t="n">
        <f aca="false">N(M518)</f>
        <v>0</v>
      </c>
      <c r="CL518" s="50" t="n">
        <f aca="false">N(N518)</f>
        <v>20</v>
      </c>
      <c r="CM518" s="50" t="n">
        <f aca="false">ROUNDUP(H518/BY518,0)</f>
        <v>2</v>
      </c>
      <c r="CN518" s="50" t="n">
        <f aca="false">ROUNDUP(CI518/BY518,0)</f>
        <v>0</v>
      </c>
      <c r="CO518" s="53" t="n">
        <f aca="false">IF(BZ518=1,0,IFERROR(VLOOKUP(BX518,'Gebinde-Kategorie'!$A$5:$N$45,5,0)+0,0))</f>
        <v>8</v>
      </c>
      <c r="CP518" s="53" t="n">
        <f aca="false">IFERROR(IF(OR(CE518=1,CE518=2,CE518=3),N(INDEX(Parameter!$I$5:$I$7,CE518)),0),0)</f>
        <v>0</v>
      </c>
      <c r="CQ518" s="52" t="n">
        <f aca="false">IF(AND(Parameter!$B$21="Ja",ISNUMBER(W518),N(X518)&gt;0),IFERROR(N(INDEX(Parameter!$L$5:$L$7,W518))*INDEX(Parameter!$E$5:$E$7,W518)*X518/SUMIFS($X$7:$X$1843,$W$7:$W$1843,W518),0),0)</f>
        <v>0</v>
      </c>
    </row>
    <row r="519" customFormat="false" ht="15" hidden="false" customHeight="false" outlineLevel="0" collapsed="false">
      <c r="A519" s="48" t="s">
        <v>1137</v>
      </c>
      <c r="B519" s="48" t="s">
        <v>412</v>
      </c>
      <c r="C519" s="48" t="s">
        <v>173</v>
      </c>
      <c r="D519" s="48" t="s">
        <v>1004</v>
      </c>
      <c r="E519" s="48"/>
      <c r="F519" s="48" t="s">
        <v>227</v>
      </c>
      <c r="G519" s="49" t="n">
        <v>15.2</v>
      </c>
      <c r="H519" s="50" t="n">
        <f aca="false">MAX(0,IF(AND(Parameter!$B$21="Ja",ISNUMBER(Y519)),Y519,IF(Parameter!$B$20="Jahresanfang 2025 + Export",BR519+BQ519,BQ519)))</f>
        <v>2</v>
      </c>
      <c r="I519" s="50" t="n">
        <f aca="false">H519*G519</f>
        <v>30.4</v>
      </c>
      <c r="J519" s="50" t="n">
        <f aca="false">BT519*Parameter!$B$18</f>
        <v>48</v>
      </c>
      <c r="K519" s="51" t="n">
        <v>1</v>
      </c>
      <c r="L519" s="52" t="n">
        <v>48</v>
      </c>
      <c r="M519" s="50" t="n">
        <v>0</v>
      </c>
      <c r="N519" s="50" t="n">
        <v>50</v>
      </c>
      <c r="O519" s="53" t="n">
        <v>21</v>
      </c>
      <c r="P519" s="48" t="s">
        <v>177</v>
      </c>
      <c r="Q519" s="50"/>
      <c r="R519" s="53" t="n">
        <f aca="false">IF(BZ519=1,0,IFERROR(VLOOKUP(BX519,'Gebinde-Kategorie'!$A$5:$N$45,13,0)+0,0))</f>
        <v>0</v>
      </c>
      <c r="S519" s="54"/>
      <c r="T519" s="55"/>
      <c r="U519" s="55"/>
      <c r="V519" s="55"/>
      <c r="W519" s="48"/>
      <c r="X519" s="50"/>
      <c r="Y519" s="50"/>
      <c r="Z519" s="48" t="str">
        <f aca="false">IF(A519="","",IF(AND(Parameter!$B$21="Ja",ISNUMBER(W519)),W519,IF(CC519="2+3",IF(ISNUMBER(SEARCH("grosser Artikel",BU519)),2,IFERROR(VLOOKUP(BX519,Parameter!$F$35:$G$64,2,0),2)),IF(OR(CC519="Nein",CC519=""),"-",CC519))))</f>
        <v>-</v>
      </c>
      <c r="AA519" s="55"/>
      <c r="AB519" s="56"/>
      <c r="AC519" s="50" t="n">
        <f aca="false">AV519</f>
        <v>50</v>
      </c>
      <c r="AD519" s="50" t="n">
        <f aca="false">MAX(AV519,H519)</f>
        <v>50</v>
      </c>
      <c r="AE519" s="57"/>
      <c r="AF519" s="50" t="n">
        <f aca="false">IF(LEFT(Cockpit!$C$5,1)="A",H519,IF(Parameter!$E$30="MAX-Bestand",IF(CH519=1,CI519,IF(LEFT(Cockpit!$C$5,1)="B",AL519,MAX(AL519,H519))),ROUNDUP(AJ519,0)))</f>
        <v>2</v>
      </c>
      <c r="AG519" s="50" t="n">
        <f aca="false">IF(BZ519=1,0,ROUNDUP(AF519/BY519,0))</f>
        <v>0</v>
      </c>
      <c r="AH519" s="52" t="n">
        <f aca="false">IF(CQ519&gt;0,CQ519*MAX(1,AF519/X519),IF(BZ519=1,IF(AF519&lt;=0,0,CD519*MAX(1,IF(H519&gt;0,AF519/H519,1))),IF(R519&gt;0,AG519/R519,0))/MAX(0.1,N(Parameter!$M$21)))</f>
        <v>0.15</v>
      </c>
      <c r="AI519" s="50" t="n">
        <f aca="false">AH519*CB519</f>
        <v>35.25</v>
      </c>
      <c r="AJ519" s="51" t="n">
        <f aca="false">IF(LEFT(Cockpit!$C$5,1)="A",H519,IF(CH519=1,(CK519+CI519)/2,IF(LEFT(Cockpit!$C$5,1)="B",(CK519+AL519)/2,MAX((CK519+AL519)/2,H519))))</f>
        <v>2</v>
      </c>
      <c r="AK519" s="50" t="n">
        <f aca="false">AJ519*G519</f>
        <v>30.4</v>
      </c>
      <c r="AL519" s="50" t="n">
        <f aca="false">ROUNDUP(CK519+MAX(CL519,2*(J519/IF(CG519&gt;0,CG519,MAX(0.1,N(Cockpit!$C$6)))-CK519)),0)</f>
        <v>50</v>
      </c>
      <c r="AM519" s="51" t="n">
        <f aca="false">IF(AI519&gt;0,J519/AI519,-1)</f>
        <v>1.36170212765957</v>
      </c>
      <c r="AN519" s="51" t="str">
        <f aca="false">IF(AND(OR(CF519="L1",CF519="L23",CF519="LIFT"),AI519&gt;0),SUMIFS($AI$7:$AI$1843,$CF$7:$CF$1843,CF519,$AM$7:$AM$1843,"&gt;"&amp;AM519)+SUMIFS($AI$7:$AI$1843,$CF$7:$CF$1843,CF519,$AM$7:$AM$1843,AM519,$BW$7:$BW$1843,"&lt;="&amp;BW519),"")</f>
        <v/>
      </c>
      <c r="AO519" s="58" t="n">
        <f aca="false">IF(AN519="",0,MAX(0,MIN(1,(IF(CF519="L1",Parameter!$H$5,IF(CF519="L23",Parameter!$H$6+Parameter!$H$7,Parameter!$H$5+Parameter!$H$6+Parameter!$H$7))-(AN519-AI519))/AI519)))</f>
        <v>0</v>
      </c>
      <c r="AP519" s="50" t="n">
        <f aca="false">IF(LEFT(Cockpit!$I$5,1)="A",H519,IF(Parameter!$E$30="MAX-Bestand",IF(CH519=1,CI519,IF(LEFT(Cockpit!$I$5,1)="B",AV519,MAX(AV519,H519))),ROUNDUP(AT519,0)))</f>
        <v>25</v>
      </c>
      <c r="AQ519" s="50" t="n">
        <f aca="false">IF(BZ519=1,0,ROUNDUP(AP519/BY519,0))</f>
        <v>0</v>
      </c>
      <c r="AR519" s="52" t="n">
        <f aca="false">IF(CQ519&gt;0,CQ519*MAX(1,AP519/X519),IF(BZ519=1,IF(AP519&lt;=0,0,CD519*MAX(1,IF(H519&gt;0,AP519/H519,1))),IF(R519&gt;0,AQ519/R519,0))/MAX(0.1,N(Parameter!$M$21)))</f>
        <v>1.875</v>
      </c>
      <c r="AS519" s="50" t="n">
        <f aca="false">AR519*CB519</f>
        <v>440.625</v>
      </c>
      <c r="AT519" s="51" t="n">
        <f aca="false">IF(LEFT(Cockpit!$I$5,1)="A",H519,IF(CH519=1,(CK519+CI519)/2,IF(LEFT(Cockpit!$I$5,1)="B",(CK519+AV519)/2,MAX((CK519+AV519)/2,H519))))</f>
        <v>25</v>
      </c>
      <c r="AU519" s="50" t="n">
        <f aca="false">AT519*G519</f>
        <v>380</v>
      </c>
      <c r="AV519" s="50" t="n">
        <f aca="false">ROUNDUP(CK519+MAX(CL519,2*(J519/IF(CG519&gt;0,CG519,MAX(0.1,N(Cockpit!$I$6)))-CK519)),0)</f>
        <v>50</v>
      </c>
      <c r="AW519" s="51" t="n">
        <f aca="false">IF(AS519&gt;0,J519/AS519,-1)</f>
        <v>0.108936170212766</v>
      </c>
      <c r="AX519" s="51" t="str">
        <f aca="false">IF(AND(OR(CF519="L1",CF519="L23",CF519="LIFT"),AS519&gt;0),SUMIFS($AS$7:$AS$1843,$CF$7:$CF$1843,CF519,$AW$7:$AW$1843,"&gt;"&amp;AW519)+SUMIFS($AS$7:$AS$1843,$CF$7:$CF$1843,CF519,$AW$7:$AW$1843,AW519,$BW$7:$BW$1843,"&lt;="&amp;BW519),"")</f>
        <v/>
      </c>
      <c r="AY519" s="58" t="n">
        <f aca="false">IF(AX519="",0,MAX(0,MIN(1,(IF(CF519="L1",Parameter!$H$5,IF(CF519="L23",Parameter!$H$6+Parameter!$H$7,Parameter!$H$5+Parameter!$H$6+Parameter!$H$7))-(AX519-AS519))/AS519)))</f>
        <v>0</v>
      </c>
      <c r="AZ519" s="50" t="n">
        <f aca="false">IF(LEFT(Cockpit!$O$5,1)="A",H519,IF(Parameter!$E$30="MAX-Bestand",IF(CH519=1,CI519,IF(LEFT(Cockpit!$O$5,1)="B",BF519,MAX(BF519,H519))),ROUNDUP(BD519,0)))</f>
        <v>25</v>
      </c>
      <c r="BA519" s="50" t="n">
        <f aca="false">IF(BZ519=1,0,ROUNDUP(AZ519/BY519,0))</f>
        <v>0</v>
      </c>
      <c r="BB519" s="52" t="n">
        <f aca="false">IF(CQ519&gt;0,CQ519*MAX(1,AZ519/X519),IF(BZ519=1,IF(AZ519&lt;=0,0,CD519*MAX(1,IF(H519&gt;0,AZ519/H519,1))),IF(R519&gt;0,BA519/R519,0))/MAX(0.1,N(Parameter!$M$21)))</f>
        <v>1.875</v>
      </c>
      <c r="BC519" s="50" t="n">
        <f aca="false">BB519*CB519</f>
        <v>440.625</v>
      </c>
      <c r="BD519" s="51" t="n">
        <f aca="false">IF(LEFT(Cockpit!$O$5,1)="A",H519,IF(CH519=1,(CK519+CI519)/2,IF(LEFT(Cockpit!$O$5,1)="B",(CK519+BF519)/2,MAX((CK519+BF519)/2,H519))))</f>
        <v>25</v>
      </c>
      <c r="BE519" s="50" t="n">
        <f aca="false">BD519*G519</f>
        <v>380</v>
      </c>
      <c r="BF519" s="50" t="n">
        <f aca="false">ROUNDUP(CK519+MAX(CL519,2*(J519/IF(CG519&gt;0,CG519,MAX(0.1,N(Cockpit!$O$6)))-CK519)),0)</f>
        <v>50</v>
      </c>
      <c r="BG519" s="51" t="n">
        <f aca="false">IF(BC519&gt;0,J519/BC519,-1)</f>
        <v>0.108936170212766</v>
      </c>
      <c r="BH519" s="51" t="str">
        <f aca="false">IF(AND(OR(CF519="L1",CF519="L23",CF519="LIFT"),BC519&gt;0),SUMIFS($BC$7:$BC$1843,$CF$7:$CF$1843,CF519,$BG$7:$BG$1843,"&gt;"&amp;BG519)+SUMIFS($BC$7:$BC$1843,$CF$7:$CF$1843,CF519,$BG$7:$BG$1843,BG519,$BW$7:$BW$1843,"&lt;="&amp;BW519),"")</f>
        <v/>
      </c>
      <c r="BI519" s="58" t="n">
        <f aca="false">IF(BH519="",0,MAX(0,MIN(1,(IF(CF519="L1",Parameter!$H$5,IF(CF519="L23",Parameter!$H$6+Parameter!$H$7,Parameter!$H$5+Parameter!$H$6+Parameter!$H$7))-(BH519-BC519))/BC519)))</f>
        <v>0</v>
      </c>
      <c r="BJ519" s="48" t="str">
        <f aca="false">IF(AI519&lt;=0,"",IF(CF519="Aussen","Aussenlager",IF(CF519="-","Nicht im Lift",IF(AO519&gt;=1,"Lift",IF(AO519&lt;=0,"Aussenlager","teilweise")))))</f>
        <v>Nicht im Lift</v>
      </c>
      <c r="BK519" s="48" t="str">
        <f aca="false">IF(AS519&lt;=0,"",IF(CF519="Aussen","Aussenlager",IF(CF519="-","Nicht im Lift",IF(AY519&gt;=1,"Lift",IF(AY519&lt;=0,"Aussenlager","teilweise")))))</f>
        <v>Nicht im Lift</v>
      </c>
      <c r="BL519" s="48" t="str">
        <f aca="false">IF(BC519&lt;=0,"",IF(CF519="Aussen","Aussenlager",IF(CF519="-","Nicht im Lift",IF(BI519&gt;=1,"Lift",IF(BI519&lt;=0,"Aussenlager","teilweise")))))</f>
        <v>Nicht im Lift</v>
      </c>
      <c r="BM519" s="48" t="str">
        <f aca="false">IF(A519="","",IF(BV519=1,"Neu; ","")&amp;IF(AND(BV519=0,BQ519&lt;0),"negativer Bestand (Export "&amp;BQ519&amp;"); ","")&amp;IF(J519&lt;=0,"Kein Verbrauch; ","")&amp;IF(CQ519&gt;0,"Lift "&amp;W519&amp;" lt. Liftbericht (Fach "&amp;X519&amp;" Stk); ",IF(CA519=1,"Gebinde geschätzt ("&amp;T519&amp;"); ",IF(BZ519=1,"Lose – Tablare geschätzt; ","")))&amp;IF(H519&gt;AV519,"Überbestand "&amp;ROUND(H519-AV519,0)&amp;" Stk / CHF "&amp;ROUND((H519-AV519)*G519,0)&amp;"; ","")&amp;IF(AND(CH519=1,CI519&lt;CJ519),"MAX &lt; MB+LG; ","")&amp;IF(AND(CP519&gt;0,CO519*10&gt;CP519),"zu hoch für Tablar; ","")&amp;IF(AND(BV519=0,OR(CH519=1,AA519&lt;&gt;"",U519&lt;&gt;"",V519&lt;&gt;"",AB519&lt;&gt;"")),"manuell übersteuert; ","")&amp;IF(AND(BZ519=0,R519=0),"Gebinde unbekannt / Stellmass fehlt; ","")&amp;IF(AND(BZ519=0,N(V519)&lt;=0,N(Q519)&lt;=0),"Menge pro Gebinde fehlt (Ist = 1 Gebinde); ","")&amp;BU519)</f>
        <v>Lose – Tablare geschätzt; </v>
      </c>
      <c r="BN519" s="48"/>
      <c r="BO519" s="48"/>
      <c r="BP519" s="55"/>
      <c r="BQ519" s="50" t="n">
        <v>2</v>
      </c>
      <c r="BR519" s="50" t="n">
        <v>0</v>
      </c>
      <c r="BS519" s="49" t="n">
        <v>30.4</v>
      </c>
      <c r="BT519" s="50" t="n">
        <v>48</v>
      </c>
      <c r="BU519" s="48"/>
      <c r="BV519" s="53" t="n">
        <v>0</v>
      </c>
      <c r="BW519" s="53" t="n">
        <v>519</v>
      </c>
      <c r="BX519" s="48" t="str">
        <f aca="false">IF(U519&lt;&gt;"",UPPER(TRIM(U519)),IF(CA519=1,UPPER(VLOOKUP(T519,Parameter!$I$27:$K$29,2,0)),IF(P519="","LOSE",P519)))</f>
        <v>LOSE</v>
      </c>
      <c r="BY519" s="50" t="n">
        <f aca="false">IF(BX519="LOSE",1,IF(N(V519)&gt;0,V519,IF(CA519=1,MAX(1,N(VLOOKUP(T519,Parameter!$I$27:$K$29,3,0)),H519,N(N519)),IF(N(Q519)&gt;0,Q519,MAX(1,H519)))))</f>
        <v>1</v>
      </c>
      <c r="BZ519" s="53" t="n">
        <f aca="false">IF(BX519="LOSE",1,0)</f>
        <v>1</v>
      </c>
      <c r="CA519" s="53" t="n">
        <f aca="false">IF(AND(U519="",OR(P519="",P519="LOSE"),T519&lt;&gt;"",N(S519)&lt;=0,ISNUMBER(MATCH(T519,Parameter!$I$27:$I$29,0))),1,0)</f>
        <v>0</v>
      </c>
      <c r="CB519" s="53" t="n">
        <f aca="false">IF(CQ519&gt;0,INDEX(Parameter!$H$5:$H$7,W519)/INDEX(Parameter!$E$5:$E$7,W519),IF(AND(BZ519=0,N(IFERROR(VLOOKUP(BX519,'Gebinde-Kategorie'!$A$5:$N$45,14,0),0))&gt;0),VLOOKUP(BX519,'Gebinde-Kategorie'!$A$5:$N$45,14,0)*10+Parameter!$M$23,Parameter!$M$24))</f>
        <v>235</v>
      </c>
      <c r="CC519" s="48" t="str">
        <f aca="false">IF(AND(Parameter!$B$19="Ja",E519&lt;&gt;"",ISNUMBER(MATCH(E519,Parameter!$I$35:$I$52,0))),VLOOKUP(E519,Parameter!$I$35:$J$52,2,0),IFERROR(VLOOKUP(D519,Parameter!$A$35:$C$64,2,0),"Nein"))</f>
        <v>Nein</v>
      </c>
      <c r="CD519" s="52" t="n">
        <f aca="false">IF(BZ519=0,0,IF(N(S519)&gt;0,S519,IFERROR(VLOOKUP(D519,Parameter!$A$35:$C$64,3,0)+0,0)))</f>
        <v>0.15</v>
      </c>
      <c r="CE519" s="48" t="str">
        <f aca="false">IF(AA519&lt;&gt;"",AA519,Z519)</f>
        <v>-</v>
      </c>
      <c r="CF519" s="48" t="str">
        <f aca="false">IF(OR(CE519=1,CE519=2,CE519=3),IF(Parameter!$E$27="Ja","LIFT",IF(CE519=1,"L1","L23")),IF(CE519="Aussen","Aussen","-"))</f>
        <v>-</v>
      </c>
      <c r="CG519" s="59" t="n">
        <f aca="false">IF(N(AB519)&gt;0,AB519,0)</f>
        <v>0</v>
      </c>
      <c r="CH519" s="53" t="n">
        <f aca="false">IF(ISNUMBER(AE519),1,0)</f>
        <v>0</v>
      </c>
      <c r="CI519" s="50" t="n">
        <f aca="false">N(AE519)</f>
        <v>0</v>
      </c>
      <c r="CJ519" s="50" t="n">
        <f aca="false">N(M519)+N(N519)</f>
        <v>50</v>
      </c>
      <c r="CK519" s="50" t="n">
        <f aca="false">N(M519)</f>
        <v>0</v>
      </c>
      <c r="CL519" s="50" t="n">
        <f aca="false">N(N519)</f>
        <v>50</v>
      </c>
      <c r="CM519" s="50" t="n">
        <f aca="false">ROUNDUP(H519/BY519,0)</f>
        <v>2</v>
      </c>
      <c r="CN519" s="50" t="n">
        <f aca="false">ROUNDUP(CI519/BY519,0)</f>
        <v>0</v>
      </c>
      <c r="CO519" s="53" t="n">
        <f aca="false">IF(BZ519=1,0,IFERROR(VLOOKUP(BX519,'Gebinde-Kategorie'!$A$5:$N$45,5,0)+0,0))</f>
        <v>0</v>
      </c>
      <c r="CP519" s="53" t="n">
        <f aca="false">IFERROR(IF(OR(CE519=1,CE519=2,CE519=3),N(INDEX(Parameter!$I$5:$I$7,CE519)),0),0)</f>
        <v>0</v>
      </c>
      <c r="CQ519" s="52" t="n">
        <f aca="false">IF(AND(Parameter!$B$21="Ja",ISNUMBER(W519),N(X519)&gt;0),IFERROR(N(INDEX(Parameter!$L$5:$L$7,W519))*INDEX(Parameter!$E$5:$E$7,W519)*X519/SUMIFS($X$7:$X$1843,$W$7:$W$1843,W519),0),0)</f>
        <v>0</v>
      </c>
    </row>
    <row r="520" customFormat="false" ht="15" hidden="false" customHeight="false" outlineLevel="0" collapsed="false">
      <c r="A520" s="48" t="s">
        <v>1138</v>
      </c>
      <c r="B520" s="48" t="s">
        <v>1139</v>
      </c>
      <c r="C520" s="48" t="s">
        <v>173</v>
      </c>
      <c r="D520" s="48" t="s">
        <v>193</v>
      </c>
      <c r="E520" s="48"/>
      <c r="F520" s="48" t="s">
        <v>227</v>
      </c>
      <c r="G520" s="49" t="n">
        <v>29.12</v>
      </c>
      <c r="H520" s="50" t="n">
        <f aca="false">MAX(0,IF(AND(Parameter!$B$21="Ja",ISNUMBER(Y520)),Y520,IF(Parameter!$B$20="Jahresanfang 2025 + Export",BR520+BQ520,BQ520)))</f>
        <v>1</v>
      </c>
      <c r="I520" s="50" t="n">
        <f aca="false">H520*G520</f>
        <v>29.12</v>
      </c>
      <c r="J520" s="50" t="n">
        <f aca="false">BT520*Parameter!$B$18</f>
        <v>0</v>
      </c>
      <c r="K520" s="51" t="n">
        <v>1</v>
      </c>
      <c r="L520" s="52" t="n">
        <v>0</v>
      </c>
      <c r="M520" s="50" t="n">
        <v>0</v>
      </c>
      <c r="N520" s="50" t="n">
        <v>1</v>
      </c>
      <c r="O520" s="53" t="n">
        <v>15</v>
      </c>
      <c r="P520" s="48" t="s">
        <v>337</v>
      </c>
      <c r="Q520" s="50" t="n">
        <v>2</v>
      </c>
      <c r="R520" s="53" t="n">
        <f aca="false">IF(BZ520=1,0,IFERROR(VLOOKUP(BX520,'Gebinde-Kategorie'!$A$5:$N$45,13,0)+0,0))</f>
        <v>52</v>
      </c>
      <c r="S520" s="54"/>
      <c r="T520" s="55"/>
      <c r="U520" s="55"/>
      <c r="V520" s="55"/>
      <c r="W520" s="48"/>
      <c r="X520" s="50"/>
      <c r="Y520" s="50"/>
      <c r="Z520" s="48" t="n">
        <f aca="false">IF(A520="","",IF(AND(Parameter!$B$21="Ja",ISNUMBER(W520)),W520,IF(CC520="2+3",IF(ISNUMBER(SEARCH("grosser Artikel",BU520)),2,IFERROR(VLOOKUP(BX520,Parameter!$F$35:$G$64,2,0),2)),IF(OR(CC520="Nein",CC520=""),"-",CC520))))</f>
        <v>3</v>
      </c>
      <c r="AA520" s="55"/>
      <c r="AB520" s="56"/>
      <c r="AC520" s="50" t="n">
        <f aca="false">AV520</f>
        <v>1</v>
      </c>
      <c r="AD520" s="50" t="n">
        <f aca="false">MAX(AV520,H520)</f>
        <v>1</v>
      </c>
      <c r="AE520" s="57"/>
      <c r="AF520" s="50" t="n">
        <f aca="false">IF(LEFT(Cockpit!$C$5,1)="A",H520,IF(Parameter!$E$30="MAX-Bestand",IF(CH520=1,CI520,IF(LEFT(Cockpit!$C$5,1)="B",AL520,MAX(AL520,H520))),ROUNDUP(AJ520,0)))</f>
        <v>1</v>
      </c>
      <c r="AG520" s="50" t="n">
        <f aca="false">IF(BZ520=1,0,ROUNDUP(AF520/BY520,0))</f>
        <v>1</v>
      </c>
      <c r="AH520" s="52" t="n">
        <f aca="false">IF(CQ520&gt;0,CQ520*MAX(1,AF520/X520),IF(BZ520=1,IF(AF520&lt;=0,0,CD520*MAX(1,IF(H520&gt;0,AF520/H520,1))),IF(R520&gt;0,AG520/R520,0))/MAX(0.1,N(Parameter!$M$21)))</f>
        <v>0.0192307692307692</v>
      </c>
      <c r="AI520" s="50" t="n">
        <f aca="false">AH520*CB520</f>
        <v>2.98076923076923</v>
      </c>
      <c r="AJ520" s="51" t="n">
        <f aca="false">IF(LEFT(Cockpit!$C$5,1)="A",H520,IF(CH520=1,(CK520+CI520)/2,IF(LEFT(Cockpit!$C$5,1)="B",(CK520+AL520)/2,MAX((CK520+AL520)/2,H520))))</f>
        <v>1</v>
      </c>
      <c r="AK520" s="50" t="n">
        <f aca="false">AJ520*G520</f>
        <v>29.12</v>
      </c>
      <c r="AL520" s="50" t="n">
        <f aca="false">ROUNDUP(CK520+MAX(CL520,2*(J520/IF(CG520&gt;0,CG520,MAX(0.1,N(Cockpit!$C$6)))-CK520)),0)</f>
        <v>1</v>
      </c>
      <c r="AM520" s="51" t="n">
        <f aca="false">IF(AI520&gt;0,J520/AI520,-1)</f>
        <v>0</v>
      </c>
      <c r="AN520" s="51" t="n">
        <f aca="false">IF(AND(OR(CF520="L1",CF520="L23",CF520="LIFT"),AI520&gt;0),SUMIFS($AI$7:$AI$1843,$CF$7:$CF$1843,CF520,$AM$7:$AM$1843,"&gt;"&amp;AM520)+SUMIFS($AI$7:$AI$1843,$CF$7:$CF$1843,CF520,$AM$7:$AM$1843,AM520,$BW$7:$BW$1843,"&lt;="&amp;BW520),"")</f>
        <v>28286.329838476</v>
      </c>
      <c r="AO520" s="58" t="n">
        <f aca="false">IF(AN520="",0,MAX(0,MIN(1,(IF(CF520="L1",Parameter!$H$5,IF(CF520="L23",Parameter!$H$6+Parameter!$H$7,Parameter!$H$5+Parameter!$H$6+Parameter!$H$7))-(AN520-AI520))/AI520)))</f>
        <v>1</v>
      </c>
      <c r="AP520" s="50" t="n">
        <f aca="false">IF(LEFT(Cockpit!$I$5,1)="A",H520,IF(Parameter!$E$30="MAX-Bestand",IF(CH520=1,CI520,IF(LEFT(Cockpit!$I$5,1)="B",AV520,MAX(AV520,H520))),ROUNDUP(AT520,0)))</f>
        <v>1</v>
      </c>
      <c r="AQ520" s="50" t="n">
        <f aca="false">IF(BZ520=1,0,ROUNDUP(AP520/BY520,0))</f>
        <v>1</v>
      </c>
      <c r="AR520" s="52" t="n">
        <f aca="false">IF(CQ520&gt;0,CQ520*MAX(1,AP520/X520),IF(BZ520=1,IF(AP520&lt;=0,0,CD520*MAX(1,IF(H520&gt;0,AP520/H520,1))),IF(R520&gt;0,AQ520/R520,0))/MAX(0.1,N(Parameter!$M$21)))</f>
        <v>0.0192307692307692</v>
      </c>
      <c r="AS520" s="50" t="n">
        <f aca="false">AR520*CB520</f>
        <v>2.98076923076923</v>
      </c>
      <c r="AT520" s="51" t="n">
        <f aca="false">IF(LEFT(Cockpit!$I$5,1)="A",H520,IF(CH520=1,(CK520+CI520)/2,IF(LEFT(Cockpit!$I$5,1)="B",(CK520+AV520)/2,MAX((CK520+AV520)/2,H520))))</f>
        <v>1</v>
      </c>
      <c r="AU520" s="50" t="n">
        <f aca="false">AT520*G520</f>
        <v>29.12</v>
      </c>
      <c r="AV520" s="50" t="n">
        <f aca="false">ROUNDUP(CK520+MAX(CL520,2*(J520/IF(CG520&gt;0,CG520,MAX(0.1,N(Cockpit!$I$6)))-CK520)),0)</f>
        <v>1</v>
      </c>
      <c r="AW520" s="51" t="n">
        <f aca="false">IF(AS520&gt;0,J520/AS520,-1)</f>
        <v>0</v>
      </c>
      <c r="AX520" s="51" t="n">
        <f aca="false">IF(AND(OR(CF520="L1",CF520="L23",CF520="LIFT"),AS520&gt;0),SUMIFS($AS$7:$AS$1843,$CF$7:$CF$1843,CF520,$AW$7:$AW$1843,"&gt;"&amp;AW520)+SUMIFS($AS$7:$AS$1843,$CF$7:$CF$1843,CF520,$AW$7:$AW$1843,AW520,$BW$7:$BW$1843,"&lt;="&amp;BW520),"")</f>
        <v>33639.4784798535</v>
      </c>
      <c r="AY520" s="58" t="n">
        <f aca="false">IF(AX520="",0,MAX(0,MIN(1,(IF(CF520="L1",Parameter!$H$5,IF(CF520="L23",Parameter!$H$6+Parameter!$H$7,Parameter!$H$5+Parameter!$H$6+Parameter!$H$7))-(AX520-AS520))/AS520)))</f>
        <v>1</v>
      </c>
      <c r="AZ520" s="50" t="n">
        <f aca="false">IF(LEFT(Cockpit!$O$5,1)="A",H520,IF(Parameter!$E$30="MAX-Bestand",IF(CH520=1,CI520,IF(LEFT(Cockpit!$O$5,1)="B",BF520,MAX(BF520,H520))),ROUNDUP(BD520,0)))</f>
        <v>1</v>
      </c>
      <c r="BA520" s="50" t="n">
        <f aca="false">IF(BZ520=1,0,ROUNDUP(AZ520/BY520,0))</f>
        <v>1</v>
      </c>
      <c r="BB520" s="52" t="n">
        <f aca="false">IF(CQ520&gt;0,CQ520*MAX(1,AZ520/X520),IF(BZ520=1,IF(AZ520&lt;=0,0,CD520*MAX(1,IF(H520&gt;0,AZ520/H520,1))),IF(R520&gt;0,BA520/R520,0))/MAX(0.1,N(Parameter!$M$21)))</f>
        <v>0.0192307692307692</v>
      </c>
      <c r="BC520" s="50" t="n">
        <f aca="false">BB520*CB520</f>
        <v>2.98076923076923</v>
      </c>
      <c r="BD520" s="51" t="n">
        <f aca="false">IF(LEFT(Cockpit!$O$5,1)="A",H520,IF(CH520=1,(CK520+CI520)/2,IF(LEFT(Cockpit!$O$5,1)="B",(CK520+BF520)/2,MAX((CK520+BF520)/2,H520))))</f>
        <v>0.5</v>
      </c>
      <c r="BE520" s="50" t="n">
        <f aca="false">BD520*G520</f>
        <v>14.56</v>
      </c>
      <c r="BF520" s="50" t="n">
        <f aca="false">ROUNDUP(CK520+MAX(CL520,2*(J520/IF(CG520&gt;0,CG520,MAX(0.1,N(Cockpit!$O$6)))-CK520)),0)</f>
        <v>1</v>
      </c>
      <c r="BG520" s="51" t="n">
        <f aca="false">IF(BC520&gt;0,J520/BC520,-1)</f>
        <v>0</v>
      </c>
      <c r="BH520" s="51" t="n">
        <f aca="false">IF(AND(OR(CF520="L1",CF520="L23",CF520="LIFT"),BC520&gt;0),SUMIFS($BC$7:$BC$1843,$CF$7:$CF$1843,CF520,$BG$7:$BG$1843,"&gt;"&amp;BG520)+SUMIFS($BC$7:$BC$1843,$CF$7:$CF$1843,CF520,$BG$7:$BG$1843,BG520,$BW$7:$BW$1843,"&lt;="&amp;BW520),"")</f>
        <v>27734.3094074005</v>
      </c>
      <c r="BI520" s="58" t="n">
        <f aca="false">IF(BH520="",0,MAX(0,MIN(1,(IF(CF520="L1",Parameter!$H$5,IF(CF520="L23",Parameter!$H$6+Parameter!$H$7,Parameter!$H$5+Parameter!$H$6+Parameter!$H$7))-(BH520-BC520))/BC520)))</f>
        <v>1</v>
      </c>
      <c r="BJ520" s="48" t="str">
        <f aca="false">IF(AI520&lt;=0,"",IF(CF520="Aussen","Aussenlager",IF(CF520="-","Nicht im Lift",IF(AO520&gt;=1,"Lift",IF(AO520&lt;=0,"Aussenlager","teilweise")))))</f>
        <v>Lift</v>
      </c>
      <c r="BK520" s="48" t="str">
        <f aca="false">IF(AS520&lt;=0,"",IF(CF520="Aussen","Aussenlager",IF(CF520="-","Nicht im Lift",IF(AY520&gt;=1,"Lift",IF(AY520&lt;=0,"Aussenlager","teilweise")))))</f>
        <v>Lift</v>
      </c>
      <c r="BL520" s="48" t="str">
        <f aca="false">IF(BC520&lt;=0,"",IF(CF520="Aussen","Aussenlager",IF(CF520="-","Nicht im Lift",IF(BI520&gt;=1,"Lift",IF(BI520&lt;=0,"Aussenlager","teilweise")))))</f>
        <v>Lift</v>
      </c>
      <c r="BM520" s="48" t="str">
        <f aca="false">IF(A520="","",IF(BV520=1,"Neu; ","")&amp;IF(AND(BV520=0,BQ520&lt;0),"negativer Bestand (Export "&amp;BQ520&amp;"); ","")&amp;IF(J520&lt;=0,"Kein Verbrauch; ","")&amp;IF(CQ520&gt;0,"Lift "&amp;W520&amp;" lt. Liftbericht (Fach "&amp;X520&amp;" Stk); ",IF(CA520=1,"Gebinde geschätzt ("&amp;T520&amp;"); ",IF(BZ520=1,"Lose – Tablare geschätzt; ","")))&amp;IF(H520&gt;AV520,"Überbestand "&amp;ROUND(H520-AV520,0)&amp;" Stk / CHF "&amp;ROUND((H520-AV520)*G520,0)&amp;"; ","")&amp;IF(AND(CH520=1,CI520&lt;CJ520),"MAX &lt; MB+LG; ","")&amp;IF(AND(CP520&gt;0,CO520*10&gt;CP520),"zu hoch für Tablar; ","")&amp;IF(AND(BV520=0,OR(CH520=1,AA520&lt;&gt;"",U520&lt;&gt;"",V520&lt;&gt;"",AB520&lt;&gt;"")),"manuell übersteuert; ","")&amp;IF(AND(BZ520=0,R520=0),"Gebinde unbekannt / Stellmass fehlt; ","")&amp;IF(AND(BZ520=0,N(V520)&lt;=0,N(Q520)&lt;=0),"Menge pro Gebinde fehlt (Ist = 1 Gebinde); ","")&amp;BU520)</f>
        <v>Kein Verbrauch; </v>
      </c>
      <c r="BN520" s="48"/>
      <c r="BO520" s="48"/>
      <c r="BP520" s="55"/>
      <c r="BQ520" s="50" t="n">
        <v>1</v>
      </c>
      <c r="BR520" s="50" t="n">
        <v>0</v>
      </c>
      <c r="BS520" s="49" t="n">
        <v>29.12</v>
      </c>
      <c r="BT520" s="50" t="n">
        <v>0</v>
      </c>
      <c r="BU520" s="48"/>
      <c r="BV520" s="53" t="n">
        <v>0</v>
      </c>
      <c r="BW520" s="53" t="n">
        <v>520</v>
      </c>
      <c r="BX520" s="48" t="str">
        <f aca="false">IF(U520&lt;&gt;"",UPPER(TRIM(U520)),IF(CA520=1,UPPER(VLOOKUP(T520,Parameter!$I$27:$K$29,2,0)),IF(P520="","LOSE",P520)))</f>
        <v>S41</v>
      </c>
      <c r="BY520" s="50" t="n">
        <f aca="false">IF(BX520="LOSE",1,IF(N(V520)&gt;0,V520,IF(CA520=1,MAX(1,N(VLOOKUP(T520,Parameter!$I$27:$K$29,3,0)),H520,N(N520)),IF(N(Q520)&gt;0,Q520,MAX(1,H520)))))</f>
        <v>2</v>
      </c>
      <c r="BZ520" s="53" t="n">
        <f aca="false">IF(BX520="LOSE",1,0)</f>
        <v>0</v>
      </c>
      <c r="CA520" s="53" t="n">
        <f aca="false">IF(AND(U520="",OR(P520="",P520="LOSE"),T520&lt;&gt;"",N(S520)&lt;=0,ISNUMBER(MATCH(T520,Parameter!$I$27:$I$29,0))),1,0)</f>
        <v>0</v>
      </c>
      <c r="CB520" s="53" t="n">
        <f aca="false">IF(CQ520&gt;0,INDEX(Parameter!$H$5:$H$7,W520)/INDEX(Parameter!$E$5:$E$7,W520),IF(AND(BZ520=0,N(IFERROR(VLOOKUP(BX520,'Gebinde-Kategorie'!$A$5:$N$45,14,0),0))&gt;0),VLOOKUP(BX520,'Gebinde-Kategorie'!$A$5:$N$45,14,0)*10+Parameter!$M$23,Parameter!$M$24))</f>
        <v>155</v>
      </c>
      <c r="CC520" s="48" t="str">
        <f aca="false">IF(AND(Parameter!$B$19="Ja",E520&lt;&gt;"",ISNUMBER(MATCH(E520,Parameter!$I$35:$I$52,0))),VLOOKUP(E520,Parameter!$I$35:$J$52,2,0),IFERROR(VLOOKUP(D520,Parameter!$A$35:$C$64,2,0),"Nein"))</f>
        <v>2+3</v>
      </c>
      <c r="CD520" s="52" t="n">
        <f aca="false">IF(BZ520=0,0,IF(N(S520)&gt;0,S520,IFERROR(VLOOKUP(D520,Parameter!$A$35:$C$64,3,0)+0,0)))</f>
        <v>0</v>
      </c>
      <c r="CE520" s="48" t="n">
        <f aca="false">IF(AA520&lt;&gt;"",AA520,Z520)</f>
        <v>3</v>
      </c>
      <c r="CF520" s="48" t="str">
        <f aca="false">IF(OR(CE520=1,CE520=2,CE520=3),IF(Parameter!$E$27="Ja","LIFT",IF(CE520=1,"L1","L23")),IF(CE520="Aussen","Aussen","-"))</f>
        <v>LIFT</v>
      </c>
      <c r="CG520" s="59" t="n">
        <f aca="false">IF(N(AB520)&gt;0,AB520,0)</f>
        <v>0</v>
      </c>
      <c r="CH520" s="53" t="n">
        <f aca="false">IF(ISNUMBER(AE520),1,0)</f>
        <v>0</v>
      </c>
      <c r="CI520" s="50" t="n">
        <f aca="false">N(AE520)</f>
        <v>0</v>
      </c>
      <c r="CJ520" s="50" t="n">
        <f aca="false">N(M520)+N(N520)</f>
        <v>1</v>
      </c>
      <c r="CK520" s="50" t="n">
        <f aca="false">N(M520)</f>
        <v>0</v>
      </c>
      <c r="CL520" s="50" t="n">
        <f aca="false">N(N520)</f>
        <v>1</v>
      </c>
      <c r="CM520" s="50" t="n">
        <f aca="false">ROUNDUP(H520/BY520,0)</f>
        <v>1</v>
      </c>
      <c r="CN520" s="50" t="n">
        <f aca="false">ROUNDUP(CI520/BY520,0)</f>
        <v>0</v>
      </c>
      <c r="CO520" s="53" t="n">
        <f aca="false">IF(BZ520=1,0,IFERROR(VLOOKUP(BX520,'Gebinde-Kategorie'!$A$5:$N$45,5,0)+0,0))</f>
        <v>11</v>
      </c>
      <c r="CP520" s="53" t="n">
        <f aca="false">IFERROR(IF(OR(CE520=1,CE520=2,CE520=3),N(INDEX(Parameter!$I$5:$I$7,CE520)),0),0)</f>
        <v>0</v>
      </c>
      <c r="CQ520" s="52" t="n">
        <f aca="false">IF(AND(Parameter!$B$21="Ja",ISNUMBER(W520),N(X520)&gt;0),IFERROR(N(INDEX(Parameter!$L$5:$L$7,W520))*INDEX(Parameter!$E$5:$E$7,W520)*X520/SUMIFS($X$7:$X$1843,$W$7:$W$1843,W520),0),0)</f>
        <v>0</v>
      </c>
    </row>
    <row r="521" customFormat="false" ht="15" hidden="false" customHeight="false" outlineLevel="0" collapsed="false">
      <c r="A521" s="48" t="s">
        <v>1140</v>
      </c>
      <c r="B521" s="48" t="s">
        <v>598</v>
      </c>
      <c r="C521" s="48" t="s">
        <v>173</v>
      </c>
      <c r="D521" s="48" t="s">
        <v>193</v>
      </c>
      <c r="E521" s="48"/>
      <c r="F521" s="48" t="s">
        <v>227</v>
      </c>
      <c r="G521" s="49" t="n">
        <v>5.8</v>
      </c>
      <c r="H521" s="50" t="n">
        <f aca="false">MAX(0,IF(AND(Parameter!$B$21="Ja",ISNUMBER(Y521)),Y521,IF(Parameter!$B$20="Jahresanfang 2025 + Export",BR521+BQ521,BQ521)))</f>
        <v>5</v>
      </c>
      <c r="I521" s="50" t="n">
        <f aca="false">H521*G521</f>
        <v>29</v>
      </c>
      <c r="J521" s="50" t="n">
        <f aca="false">BT521*Parameter!$B$18</f>
        <v>2</v>
      </c>
      <c r="K521" s="51" t="n">
        <v>1.5</v>
      </c>
      <c r="L521" s="52" t="n">
        <v>1.33333333333333</v>
      </c>
      <c r="M521" s="50" t="n">
        <v>0</v>
      </c>
      <c r="N521" s="50" t="n">
        <v>1</v>
      </c>
      <c r="O521" s="53" t="n">
        <v>14</v>
      </c>
      <c r="P521" s="48" t="s">
        <v>410</v>
      </c>
      <c r="Q521" s="50" t="n">
        <v>20</v>
      </c>
      <c r="R521" s="53" t="n">
        <f aca="false">IF(BZ521=1,0,IFERROR(VLOOKUP(BX521,'Gebinde-Kategorie'!$A$5:$N$45,13,0)+0,0))</f>
        <v>280</v>
      </c>
      <c r="S521" s="54"/>
      <c r="T521" s="55"/>
      <c r="U521" s="55"/>
      <c r="V521" s="55"/>
      <c r="W521" s="48"/>
      <c r="X521" s="50"/>
      <c r="Y521" s="50"/>
      <c r="Z521" s="48" t="n">
        <f aca="false">IF(A521="","",IF(AND(Parameter!$B$21="Ja",ISNUMBER(W521)),W521,IF(CC521="2+3",IF(ISNUMBER(SEARCH("grosser Artikel",BU521)),2,IFERROR(VLOOKUP(BX521,Parameter!$F$35:$G$64,2,0),2)),IF(OR(CC521="Nein",CC521=""),"-",CC521))))</f>
        <v>3</v>
      </c>
      <c r="AA521" s="55"/>
      <c r="AB521" s="56"/>
      <c r="AC521" s="50" t="n">
        <f aca="false">AV521</f>
        <v>2</v>
      </c>
      <c r="AD521" s="50" t="n">
        <f aca="false">MAX(AV521,H521)</f>
        <v>5</v>
      </c>
      <c r="AE521" s="57"/>
      <c r="AF521" s="50" t="n">
        <f aca="false">IF(LEFT(Cockpit!$C$5,1)="A",H521,IF(Parameter!$E$30="MAX-Bestand",IF(CH521=1,CI521,IF(LEFT(Cockpit!$C$5,1)="B",AL521,MAX(AL521,H521))),ROUNDUP(AJ521,0)))</f>
        <v>5</v>
      </c>
      <c r="AG521" s="50" t="n">
        <f aca="false">IF(BZ521=1,0,ROUNDUP(AF521/BY521,0))</f>
        <v>1</v>
      </c>
      <c r="AH521" s="52" t="n">
        <f aca="false">IF(CQ521&gt;0,CQ521*MAX(1,AF521/X521),IF(BZ521=1,IF(AF521&lt;=0,0,CD521*MAX(1,IF(H521&gt;0,AF521/H521,1))),IF(R521&gt;0,AG521/R521,0))/MAX(0.1,N(Parameter!$M$21)))</f>
        <v>0.00357142857142857</v>
      </c>
      <c r="AI521" s="50" t="n">
        <f aca="false">AH521*CB521</f>
        <v>0.553571428571429</v>
      </c>
      <c r="AJ521" s="51" t="n">
        <f aca="false">IF(LEFT(Cockpit!$C$5,1)="A",H521,IF(CH521=1,(CK521+CI521)/2,IF(LEFT(Cockpit!$C$5,1)="B",(CK521+AL521)/2,MAX((CK521+AL521)/2,H521))))</f>
        <v>5</v>
      </c>
      <c r="AK521" s="50" t="n">
        <f aca="false">AJ521*G521</f>
        <v>29</v>
      </c>
      <c r="AL521" s="50" t="n">
        <f aca="false">ROUNDUP(CK521+MAX(CL521,2*(J521/IF(CG521&gt;0,CG521,MAX(0.1,N(Cockpit!$C$6)))-CK521)),0)</f>
        <v>2</v>
      </c>
      <c r="AM521" s="51" t="n">
        <f aca="false">IF(AI521&gt;0,J521/AI521,-1)</f>
        <v>3.61290322580645</v>
      </c>
      <c r="AN521" s="51" t="n">
        <f aca="false">IF(AND(OR(CF521="L1",CF521="L23",CF521="LIFT"),AI521&gt;0),SUMIFS($AI$7:$AI$1843,$CF$7:$CF$1843,CF521,$AM$7:$AM$1843,"&gt;"&amp;AM521)+SUMIFS($AI$7:$AI$1843,$CF$7:$CF$1843,CF521,$AM$7:$AM$1843,AM521,$BW$7:$BW$1843,"&lt;="&amp;BW521),"")</f>
        <v>4825.6597985348</v>
      </c>
      <c r="AO521" s="58" t="n">
        <f aca="false">IF(AN521="",0,MAX(0,MIN(1,(IF(CF521="L1",Parameter!$H$5,IF(CF521="L23",Parameter!$H$6+Parameter!$H$7,Parameter!$H$5+Parameter!$H$6+Parameter!$H$7))-(AN521-AI521))/AI521)))</f>
        <v>1</v>
      </c>
      <c r="AP521" s="50" t="n">
        <f aca="false">IF(LEFT(Cockpit!$I$5,1)="A",H521,IF(Parameter!$E$30="MAX-Bestand",IF(CH521=1,CI521,IF(LEFT(Cockpit!$I$5,1)="B",AV521,MAX(AV521,H521))),ROUNDUP(AT521,0)))</f>
        <v>5</v>
      </c>
      <c r="AQ521" s="50" t="n">
        <f aca="false">IF(BZ521=1,0,ROUNDUP(AP521/BY521,0))</f>
        <v>1</v>
      </c>
      <c r="AR521" s="52" t="n">
        <f aca="false">IF(CQ521&gt;0,CQ521*MAX(1,AP521/X521),IF(BZ521=1,IF(AP521&lt;=0,0,CD521*MAX(1,IF(H521&gt;0,AP521/H521,1))),IF(R521&gt;0,AQ521/R521,0))/MAX(0.1,N(Parameter!$M$21)))</f>
        <v>0.00357142857142857</v>
      </c>
      <c r="AS521" s="50" t="n">
        <f aca="false">AR521*CB521</f>
        <v>0.553571428571429</v>
      </c>
      <c r="AT521" s="51" t="n">
        <f aca="false">IF(LEFT(Cockpit!$I$5,1)="A",H521,IF(CH521=1,(CK521+CI521)/2,IF(LEFT(Cockpit!$I$5,1)="B",(CK521+AV521)/2,MAX((CK521+AV521)/2,H521))))</f>
        <v>5</v>
      </c>
      <c r="AU521" s="50" t="n">
        <f aca="false">AT521*G521</f>
        <v>29</v>
      </c>
      <c r="AV521" s="50" t="n">
        <f aca="false">ROUNDUP(CK521+MAX(CL521,2*(J521/IF(CG521&gt;0,CG521,MAX(0.1,N(Cockpit!$I$6)))-CK521)),0)</f>
        <v>2</v>
      </c>
      <c r="AW521" s="51" t="n">
        <f aca="false">IF(AS521&gt;0,J521/AS521,-1)</f>
        <v>3.61290322580645</v>
      </c>
      <c r="AX521" s="51" t="n">
        <f aca="false">IF(AND(OR(CF521="L1",CF521="L23",CF521="LIFT"),AS521&gt;0),SUMIFS($AS$7:$AS$1843,$CF$7:$CF$1843,CF521,$AW$7:$AW$1843,"&gt;"&amp;AW521)+SUMIFS($AS$7:$AS$1843,$CF$7:$CF$1843,CF521,$AW$7:$AW$1843,AW521,$BW$7:$BW$1843,"&lt;="&amp;BW521),"")</f>
        <v>5403.2467948718</v>
      </c>
      <c r="AY521" s="58" t="n">
        <f aca="false">IF(AX521="",0,MAX(0,MIN(1,(IF(CF521="L1",Parameter!$H$5,IF(CF521="L23",Parameter!$H$6+Parameter!$H$7,Parameter!$H$5+Parameter!$H$6+Parameter!$H$7))-(AX521-AS521))/AS521)))</f>
        <v>1</v>
      </c>
      <c r="AZ521" s="50" t="n">
        <f aca="false">IF(LEFT(Cockpit!$O$5,1)="A",H521,IF(Parameter!$E$30="MAX-Bestand",IF(CH521=1,CI521,IF(LEFT(Cockpit!$O$5,1)="B",BF521,MAX(BF521,H521))),ROUNDUP(BD521,0)))</f>
        <v>1</v>
      </c>
      <c r="BA521" s="50" t="n">
        <f aca="false">IF(BZ521=1,0,ROUNDUP(AZ521/BY521,0))</f>
        <v>1</v>
      </c>
      <c r="BB521" s="52" t="n">
        <f aca="false">IF(CQ521&gt;0,CQ521*MAX(1,AZ521/X521),IF(BZ521=1,IF(AZ521&lt;=0,0,CD521*MAX(1,IF(H521&gt;0,AZ521/H521,1))),IF(R521&gt;0,BA521/R521,0))/MAX(0.1,N(Parameter!$M$21)))</f>
        <v>0.00357142857142857</v>
      </c>
      <c r="BC521" s="50" t="n">
        <f aca="false">BB521*CB521</f>
        <v>0.553571428571429</v>
      </c>
      <c r="BD521" s="51" t="n">
        <f aca="false">IF(LEFT(Cockpit!$O$5,1)="A",H521,IF(CH521=1,(CK521+CI521)/2,IF(LEFT(Cockpit!$O$5,1)="B",(CK521+BF521)/2,MAX((CK521+BF521)/2,H521))))</f>
        <v>0.5</v>
      </c>
      <c r="BE521" s="50" t="n">
        <f aca="false">BD521*G521</f>
        <v>2.9</v>
      </c>
      <c r="BF521" s="50" t="n">
        <f aca="false">ROUNDUP(CK521+MAX(CL521,2*(J521/IF(CG521&gt;0,CG521,MAX(0.1,N(Cockpit!$O$6)))-CK521)),0)</f>
        <v>1</v>
      </c>
      <c r="BG521" s="51" t="n">
        <f aca="false">IF(BC521&gt;0,J521/BC521,-1)</f>
        <v>3.61290322580645</v>
      </c>
      <c r="BH521" s="51" t="n">
        <f aca="false">IF(AND(OR(CF521="L1",CF521="L23",CF521="LIFT"),BC521&gt;0),SUMIFS($BC$7:$BC$1843,$CF$7:$CF$1843,CF521,$BG$7:$BG$1843,"&gt;"&amp;BG521)+SUMIFS($BC$7:$BC$1843,$CF$7:$CF$1843,CF521,$BG$7:$BG$1843,BG521,$BW$7:$BW$1843,"&lt;="&amp;BW521),"")</f>
        <v>4417.74358974359</v>
      </c>
      <c r="BI521" s="58" t="n">
        <f aca="false">IF(BH521="",0,MAX(0,MIN(1,(IF(CF521="L1",Parameter!$H$5,IF(CF521="L23",Parameter!$H$6+Parameter!$H$7,Parameter!$H$5+Parameter!$H$6+Parameter!$H$7))-(BH521-BC521))/BC521)))</f>
        <v>1</v>
      </c>
      <c r="BJ521" s="48" t="str">
        <f aca="false">IF(AI521&lt;=0,"",IF(CF521="Aussen","Aussenlager",IF(CF521="-","Nicht im Lift",IF(AO521&gt;=1,"Lift",IF(AO521&lt;=0,"Aussenlager","teilweise")))))</f>
        <v>Lift</v>
      </c>
      <c r="BK521" s="48" t="str">
        <f aca="false">IF(AS521&lt;=0,"",IF(CF521="Aussen","Aussenlager",IF(CF521="-","Nicht im Lift",IF(AY521&gt;=1,"Lift",IF(AY521&lt;=0,"Aussenlager","teilweise")))))</f>
        <v>Lift</v>
      </c>
      <c r="BL521" s="48" t="str">
        <f aca="false">IF(BC521&lt;=0,"",IF(CF521="Aussen","Aussenlager",IF(CF521="-","Nicht im Lift",IF(BI521&gt;=1,"Lift",IF(BI521&lt;=0,"Aussenlager","teilweise")))))</f>
        <v>Lift</v>
      </c>
      <c r="BM521" s="48" t="str">
        <f aca="false">IF(A521="","",IF(BV521=1,"Neu; ","")&amp;IF(AND(BV521=0,BQ521&lt;0),"negativer Bestand (Export "&amp;BQ521&amp;"); ","")&amp;IF(J521&lt;=0,"Kein Verbrauch; ","")&amp;IF(CQ521&gt;0,"Lift "&amp;W521&amp;" lt. Liftbericht (Fach "&amp;X521&amp;" Stk); ",IF(CA521=1,"Gebinde geschätzt ("&amp;T521&amp;"); ",IF(BZ521=1,"Lose – Tablare geschätzt; ","")))&amp;IF(H521&gt;AV521,"Überbestand "&amp;ROUND(H521-AV521,0)&amp;" Stk / CHF "&amp;ROUND((H521-AV521)*G521,0)&amp;"; ","")&amp;IF(AND(CH521=1,CI521&lt;CJ521),"MAX &lt; MB+LG; ","")&amp;IF(AND(CP521&gt;0,CO521*10&gt;CP521),"zu hoch für Tablar; ","")&amp;IF(AND(BV521=0,OR(CH521=1,AA521&lt;&gt;"",U521&lt;&gt;"",V521&lt;&gt;"",AB521&lt;&gt;"")),"manuell übersteuert; ","")&amp;IF(AND(BZ521=0,R521=0),"Gebinde unbekannt / Stellmass fehlt; ","")&amp;IF(AND(BZ521=0,N(V521)&lt;=0,N(Q521)&lt;=0),"Menge pro Gebinde fehlt (Ist = 1 Gebinde); ","")&amp;BU521)</f>
        <v>Überbestand 3 Stk / CHF 17; </v>
      </c>
      <c r="BN521" s="48"/>
      <c r="BO521" s="48"/>
      <c r="BP521" s="55"/>
      <c r="BQ521" s="50" t="n">
        <v>5</v>
      </c>
      <c r="BR521" s="50" t="n">
        <v>0</v>
      </c>
      <c r="BS521" s="49" t="n">
        <v>29</v>
      </c>
      <c r="BT521" s="50" t="n">
        <v>2</v>
      </c>
      <c r="BU521" s="48"/>
      <c r="BV521" s="53" t="n">
        <v>0</v>
      </c>
      <c r="BW521" s="53" t="n">
        <v>521</v>
      </c>
      <c r="BX521" s="48" t="str">
        <f aca="false">IF(U521&lt;&gt;"",UPPER(TRIM(U521)),IF(CA521=1,UPPER(VLOOKUP(T521,Parameter!$I$27:$K$29,2,0)),IF(P521="","LOSE",P521)))</f>
        <v>S21</v>
      </c>
      <c r="BY521" s="50" t="n">
        <f aca="false">IF(BX521="LOSE",1,IF(N(V521)&gt;0,V521,IF(CA521=1,MAX(1,N(VLOOKUP(T521,Parameter!$I$27:$K$29,3,0)),H521,N(N521)),IF(N(Q521)&gt;0,Q521,MAX(1,H521)))))</f>
        <v>20</v>
      </c>
      <c r="BZ521" s="53" t="n">
        <f aca="false">IF(BX521="LOSE",1,0)</f>
        <v>0</v>
      </c>
      <c r="CA521" s="53" t="n">
        <f aca="false">IF(AND(U521="",OR(P521="",P521="LOSE"),T521&lt;&gt;"",N(S521)&lt;=0,ISNUMBER(MATCH(T521,Parameter!$I$27:$I$29,0))),1,0)</f>
        <v>0</v>
      </c>
      <c r="CB521" s="53" t="n">
        <f aca="false">IF(CQ521&gt;0,INDEX(Parameter!$H$5:$H$7,W521)/INDEX(Parameter!$E$5:$E$7,W521),IF(AND(BZ521=0,N(IFERROR(VLOOKUP(BX521,'Gebinde-Kategorie'!$A$5:$N$45,14,0),0))&gt;0),VLOOKUP(BX521,'Gebinde-Kategorie'!$A$5:$N$45,14,0)*10+Parameter!$M$23,Parameter!$M$24))</f>
        <v>155</v>
      </c>
      <c r="CC521" s="48" t="str">
        <f aca="false">IF(AND(Parameter!$B$19="Ja",E521&lt;&gt;"",ISNUMBER(MATCH(E521,Parameter!$I$35:$I$52,0))),VLOOKUP(E521,Parameter!$I$35:$J$52,2,0),IFERROR(VLOOKUP(D521,Parameter!$A$35:$C$64,2,0),"Nein"))</f>
        <v>2+3</v>
      </c>
      <c r="CD521" s="52" t="n">
        <f aca="false">IF(BZ521=0,0,IF(N(S521)&gt;0,S521,IFERROR(VLOOKUP(D521,Parameter!$A$35:$C$64,3,0)+0,0)))</f>
        <v>0</v>
      </c>
      <c r="CE521" s="48" t="n">
        <f aca="false">IF(AA521&lt;&gt;"",AA521,Z521)</f>
        <v>3</v>
      </c>
      <c r="CF521" s="48" t="str">
        <f aca="false">IF(OR(CE521=1,CE521=2,CE521=3),IF(Parameter!$E$27="Ja","LIFT",IF(CE521=1,"L1","L23")),IF(CE521="Aussen","Aussen","-"))</f>
        <v>LIFT</v>
      </c>
      <c r="CG521" s="59" t="n">
        <f aca="false">IF(N(AB521)&gt;0,AB521,0)</f>
        <v>0</v>
      </c>
      <c r="CH521" s="53" t="n">
        <f aca="false">IF(ISNUMBER(AE521),1,0)</f>
        <v>0</v>
      </c>
      <c r="CI521" s="50" t="n">
        <f aca="false">N(AE521)</f>
        <v>0</v>
      </c>
      <c r="CJ521" s="50" t="n">
        <f aca="false">N(M521)+N(N521)</f>
        <v>1</v>
      </c>
      <c r="CK521" s="50" t="n">
        <f aca="false">N(M521)</f>
        <v>0</v>
      </c>
      <c r="CL521" s="50" t="n">
        <f aca="false">N(N521)</f>
        <v>1</v>
      </c>
      <c r="CM521" s="50" t="n">
        <f aca="false">ROUNDUP(H521/BY521,0)</f>
        <v>1</v>
      </c>
      <c r="CN521" s="50" t="n">
        <f aca="false">ROUNDUP(CI521/BY521,0)</f>
        <v>0</v>
      </c>
      <c r="CO521" s="53" t="n">
        <f aca="false">IF(BZ521=1,0,IFERROR(VLOOKUP(BX521,'Gebinde-Kategorie'!$A$5:$N$45,5,0)+0,0))</f>
        <v>8</v>
      </c>
      <c r="CP521" s="53" t="n">
        <f aca="false">IFERROR(IF(OR(CE521=1,CE521=2,CE521=3),N(INDEX(Parameter!$I$5:$I$7,CE521)),0),0)</f>
        <v>0</v>
      </c>
      <c r="CQ521" s="52" t="n">
        <f aca="false">IF(AND(Parameter!$B$21="Ja",ISNUMBER(W521),N(X521)&gt;0),IFERROR(N(INDEX(Parameter!$L$5:$L$7,W521))*INDEX(Parameter!$E$5:$E$7,W521)*X521/SUMIFS($X$7:$X$1843,$W$7:$W$1843,W521),0),0)</f>
        <v>0</v>
      </c>
    </row>
    <row r="522" customFormat="false" ht="15" hidden="false" customHeight="false" outlineLevel="0" collapsed="false">
      <c r="A522" s="48" t="s">
        <v>1141</v>
      </c>
      <c r="B522" s="48" t="s">
        <v>416</v>
      </c>
      <c r="C522" s="48" t="s">
        <v>173</v>
      </c>
      <c r="D522" s="48" t="s">
        <v>193</v>
      </c>
      <c r="E522" s="48" t="s">
        <v>194</v>
      </c>
      <c r="F522" s="48" t="s">
        <v>227</v>
      </c>
      <c r="G522" s="49" t="n">
        <v>0.05</v>
      </c>
      <c r="H522" s="50" t="n">
        <f aca="false">MAX(0,IF(AND(Parameter!$B$21="Ja",ISNUMBER(Y522)),Y522,IF(Parameter!$B$20="Jahresanfang 2025 + Export",BR522+BQ522,BQ522)))</f>
        <v>1831</v>
      </c>
      <c r="I522" s="50" t="n">
        <f aca="false">H522*G522</f>
        <v>91.55</v>
      </c>
      <c r="J522" s="50" t="n">
        <f aca="false">BT522*Parameter!$B$18</f>
        <v>2038</v>
      </c>
      <c r="K522" s="51" t="n">
        <v>968</v>
      </c>
      <c r="L522" s="52" t="n">
        <v>2.10537190082645</v>
      </c>
      <c r="M522" s="50" t="n">
        <v>118</v>
      </c>
      <c r="N522" s="50" t="n">
        <v>2000</v>
      </c>
      <c r="O522" s="53" t="n">
        <v>21</v>
      </c>
      <c r="P522" s="48" t="s">
        <v>337</v>
      </c>
      <c r="Q522" s="50" t="n">
        <v>1546</v>
      </c>
      <c r="R522" s="53" t="n">
        <f aca="false">IF(BZ522=1,0,IFERROR(VLOOKUP(BX522,'Gebinde-Kategorie'!$A$5:$N$45,13,0)+0,0))</f>
        <v>52</v>
      </c>
      <c r="S522" s="54"/>
      <c r="T522" s="55"/>
      <c r="U522" s="55"/>
      <c r="V522" s="55"/>
      <c r="W522" s="48"/>
      <c r="X522" s="50"/>
      <c r="Y522" s="50"/>
      <c r="Z522" s="48" t="n">
        <f aca="false">IF(A522="","",IF(AND(Parameter!$B$21="Ja",ISNUMBER(W522)),W522,IF(CC522="2+3",IF(ISNUMBER(SEARCH("grosser Artikel",BU522)),2,IFERROR(VLOOKUP(BX522,Parameter!$F$35:$G$64,2,0),2)),IF(OR(CC522="Nein",CC522=""),"-",CC522))))</f>
        <v>3</v>
      </c>
      <c r="AA522" s="55"/>
      <c r="AB522" s="56"/>
      <c r="AC522" s="50" t="n">
        <f aca="false">AV522</f>
        <v>2118</v>
      </c>
      <c r="AD522" s="50" t="n">
        <f aca="false">MAX(AV522,H522)</f>
        <v>2118</v>
      </c>
      <c r="AE522" s="57"/>
      <c r="AF522" s="50" t="n">
        <f aca="false">IF(LEFT(Cockpit!$C$5,1)="A",H522,IF(Parameter!$E$30="MAX-Bestand",IF(CH522=1,CI522,IF(LEFT(Cockpit!$C$5,1)="B",AL522,MAX(AL522,H522))),ROUNDUP(AJ522,0)))</f>
        <v>1831</v>
      </c>
      <c r="AG522" s="50" t="n">
        <f aca="false">IF(BZ522=1,0,ROUNDUP(AF522/BY522,0))</f>
        <v>2</v>
      </c>
      <c r="AH522" s="52" t="n">
        <f aca="false">IF(CQ522&gt;0,CQ522*MAX(1,AF522/X522),IF(BZ522=1,IF(AF522&lt;=0,0,CD522*MAX(1,IF(H522&gt;0,AF522/H522,1))),IF(R522&gt;0,AG522/R522,0))/MAX(0.1,N(Parameter!$M$21)))</f>
        <v>0.0384615384615385</v>
      </c>
      <c r="AI522" s="50" t="n">
        <f aca="false">AH522*CB522</f>
        <v>5.96153846153846</v>
      </c>
      <c r="AJ522" s="51" t="n">
        <f aca="false">IF(LEFT(Cockpit!$C$5,1)="A",H522,IF(CH522=1,(CK522+CI522)/2,IF(LEFT(Cockpit!$C$5,1)="B",(CK522+AL522)/2,MAX((CK522+AL522)/2,H522))))</f>
        <v>1831</v>
      </c>
      <c r="AK522" s="50" t="n">
        <f aca="false">AJ522*G522</f>
        <v>91.55</v>
      </c>
      <c r="AL522" s="50" t="n">
        <f aca="false">ROUNDUP(CK522+MAX(CL522,2*(J522/IF(CG522&gt;0,CG522,MAX(0.1,N(Cockpit!$C$6)))-CK522)),0)</f>
        <v>2118</v>
      </c>
      <c r="AM522" s="51" t="n">
        <f aca="false">IF(AI522&gt;0,J522/AI522,-1)</f>
        <v>341.858064516129</v>
      </c>
      <c r="AN522" s="51" t="n">
        <f aca="false">IF(AND(OR(CF522="L1",CF522="L23",CF522="LIFT"),AI522&gt;0),SUMIFS($AI$7:$AI$1843,$CF$7:$CF$1843,CF522,$AM$7:$AM$1843,"&gt;"&amp;AM522)+SUMIFS($AI$7:$AI$1843,$CF$7:$CF$1843,CF522,$AM$7:$AM$1843,AM522,$BW$7:$BW$1843,"&lt;="&amp;BW522),"")</f>
        <v>231.285714285714</v>
      </c>
      <c r="AO522" s="58" t="n">
        <f aca="false">IF(AN522="",0,MAX(0,MIN(1,(IF(CF522="L1",Parameter!$H$5,IF(CF522="L23",Parameter!$H$6+Parameter!$H$7,Parameter!$H$5+Parameter!$H$6+Parameter!$H$7))-(AN522-AI522))/AI522)))</f>
        <v>1</v>
      </c>
      <c r="AP522" s="50" t="n">
        <f aca="false">IF(LEFT(Cockpit!$I$5,1)="A",H522,IF(Parameter!$E$30="MAX-Bestand",IF(CH522=1,CI522,IF(LEFT(Cockpit!$I$5,1)="B",AV522,MAX(AV522,H522))),ROUNDUP(AT522,0)))</f>
        <v>1831</v>
      </c>
      <c r="AQ522" s="50" t="n">
        <f aca="false">IF(BZ522=1,0,ROUNDUP(AP522/BY522,0))</f>
        <v>2</v>
      </c>
      <c r="AR522" s="52" t="n">
        <f aca="false">IF(CQ522&gt;0,CQ522*MAX(1,AP522/X522),IF(BZ522=1,IF(AP522&lt;=0,0,CD522*MAX(1,IF(H522&gt;0,AP522/H522,1))),IF(R522&gt;0,AQ522/R522,0))/MAX(0.1,N(Parameter!$M$21)))</f>
        <v>0.0384615384615385</v>
      </c>
      <c r="AS522" s="50" t="n">
        <f aca="false">AR522*CB522</f>
        <v>5.96153846153846</v>
      </c>
      <c r="AT522" s="51" t="n">
        <f aca="false">IF(LEFT(Cockpit!$I$5,1)="A",H522,IF(CH522=1,(CK522+CI522)/2,IF(LEFT(Cockpit!$I$5,1)="B",(CK522+AV522)/2,MAX((CK522+AV522)/2,H522))))</f>
        <v>1831</v>
      </c>
      <c r="AU522" s="50" t="n">
        <f aca="false">AT522*G522</f>
        <v>91.55</v>
      </c>
      <c r="AV522" s="50" t="n">
        <f aca="false">ROUNDUP(CK522+MAX(CL522,2*(J522/IF(CG522&gt;0,CG522,MAX(0.1,N(Cockpit!$I$6)))-CK522)),0)</f>
        <v>2118</v>
      </c>
      <c r="AW522" s="51" t="n">
        <f aca="false">IF(AS522&gt;0,J522/AS522,-1)</f>
        <v>341.858064516129</v>
      </c>
      <c r="AX522" s="51" t="n">
        <f aca="false">IF(AND(OR(CF522="L1",CF522="L23",CF522="LIFT"),AS522&gt;0),SUMIFS($AS$7:$AS$1843,$CF$7:$CF$1843,CF522,$AW$7:$AW$1843,"&gt;"&amp;AW522)+SUMIFS($AS$7:$AS$1843,$CF$7:$CF$1843,CF522,$AW$7:$AW$1843,AW522,$BW$7:$BW$1843,"&lt;="&amp;BW522),"")</f>
        <v>165.501831501832</v>
      </c>
      <c r="AY522" s="58" t="n">
        <f aca="false">IF(AX522="",0,MAX(0,MIN(1,(IF(CF522="L1",Parameter!$H$5,IF(CF522="L23",Parameter!$H$6+Parameter!$H$7,Parameter!$H$5+Parameter!$H$6+Parameter!$H$7))-(AX522-AS522))/AS522)))</f>
        <v>1</v>
      </c>
      <c r="AZ522" s="50" t="n">
        <f aca="false">IF(LEFT(Cockpit!$O$5,1)="A",H522,IF(Parameter!$E$30="MAX-Bestand",IF(CH522=1,CI522,IF(LEFT(Cockpit!$O$5,1)="B",BF522,MAX(BF522,H522))),ROUNDUP(BD522,0)))</f>
        <v>1118</v>
      </c>
      <c r="BA522" s="50" t="n">
        <f aca="false">IF(BZ522=1,0,ROUNDUP(AZ522/BY522,0))</f>
        <v>1</v>
      </c>
      <c r="BB522" s="52" t="n">
        <f aca="false">IF(CQ522&gt;0,CQ522*MAX(1,AZ522/X522),IF(BZ522=1,IF(AZ522&lt;=0,0,CD522*MAX(1,IF(H522&gt;0,AZ522/H522,1))),IF(R522&gt;0,BA522/R522,0))/MAX(0.1,N(Parameter!$M$21)))</f>
        <v>0.0192307692307692</v>
      </c>
      <c r="BC522" s="50" t="n">
        <f aca="false">BB522*CB522</f>
        <v>2.98076923076923</v>
      </c>
      <c r="BD522" s="51" t="n">
        <f aca="false">IF(LEFT(Cockpit!$O$5,1)="A",H522,IF(CH522=1,(CK522+CI522)/2,IF(LEFT(Cockpit!$O$5,1)="B",(CK522+BF522)/2,MAX((CK522+BF522)/2,H522))))</f>
        <v>1118</v>
      </c>
      <c r="BE522" s="50" t="n">
        <f aca="false">BD522*G522</f>
        <v>55.9</v>
      </c>
      <c r="BF522" s="50" t="n">
        <f aca="false">ROUNDUP(CK522+MAX(CL522,2*(J522/IF(CG522&gt;0,CG522,MAX(0.1,N(Cockpit!$O$6)))-CK522)),0)</f>
        <v>2118</v>
      </c>
      <c r="BG522" s="51" t="n">
        <f aca="false">IF(BC522&gt;0,J522/BC522,-1)</f>
        <v>683.716129032258</v>
      </c>
      <c r="BH522" s="51" t="n">
        <f aca="false">IF(AND(OR(CF522="L1",CF522="L23",CF522="LIFT"),BC522&gt;0),SUMIFS($BC$7:$BC$1843,$CF$7:$CF$1843,CF522,$BG$7:$BG$1843,"&gt;"&amp;BG522)+SUMIFS($BC$7:$BC$1843,$CF$7:$CF$1843,CF522,$BG$7:$BG$1843,BG522,$BW$7:$BW$1843,"&lt;="&amp;BW522),"")</f>
        <v>37.9835164835165</v>
      </c>
      <c r="BI522" s="58" t="n">
        <f aca="false">IF(BH522="",0,MAX(0,MIN(1,(IF(CF522="L1",Parameter!$H$5,IF(CF522="L23",Parameter!$H$6+Parameter!$H$7,Parameter!$H$5+Parameter!$H$6+Parameter!$H$7))-(BH522-BC522))/BC522)))</f>
        <v>1</v>
      </c>
      <c r="BJ522" s="48" t="str">
        <f aca="false">IF(AI522&lt;=0,"",IF(CF522="Aussen","Aussenlager",IF(CF522="-","Nicht im Lift",IF(AO522&gt;=1,"Lift",IF(AO522&lt;=0,"Aussenlager","teilweise")))))</f>
        <v>Lift</v>
      </c>
      <c r="BK522" s="48" t="str">
        <f aca="false">IF(AS522&lt;=0,"",IF(CF522="Aussen","Aussenlager",IF(CF522="-","Nicht im Lift",IF(AY522&gt;=1,"Lift",IF(AY522&lt;=0,"Aussenlager","teilweise")))))</f>
        <v>Lift</v>
      </c>
      <c r="BL522" s="48" t="str">
        <f aca="false">IF(BC522&lt;=0,"",IF(CF522="Aussen","Aussenlager",IF(CF522="-","Nicht im Lift",IF(BI522&gt;=1,"Lift",IF(BI522&lt;=0,"Aussenlager","teilweise")))))</f>
        <v>Lift</v>
      </c>
      <c r="BM522" s="48" t="str">
        <f aca="false">IF(A522="","",IF(BV522=1,"Neu; ","")&amp;IF(AND(BV522=0,BQ522&lt;0),"negativer Bestand (Export "&amp;BQ522&amp;"); ","")&amp;IF(J522&lt;=0,"Kein Verbrauch; ","")&amp;IF(CQ522&gt;0,"Lift "&amp;W522&amp;" lt. Liftbericht (Fach "&amp;X522&amp;" Stk); ",IF(CA522=1,"Gebinde geschätzt ("&amp;T522&amp;"); ",IF(BZ522=1,"Lose – Tablare geschätzt; ","")))&amp;IF(H522&gt;AV522,"Überbestand "&amp;ROUND(H522-AV522,0)&amp;" Stk / CHF "&amp;ROUND((H522-AV522)*G522,0)&amp;"; ","")&amp;IF(AND(CH522=1,CI522&lt;CJ522),"MAX &lt; MB+LG; ","")&amp;IF(AND(CP522&gt;0,CO522*10&gt;CP522),"zu hoch für Tablar; ","")&amp;IF(AND(BV522=0,OR(CH522=1,AA522&lt;&gt;"",U522&lt;&gt;"",V522&lt;&gt;"",AB522&lt;&gt;"")),"manuell übersteuert; ","")&amp;IF(AND(BZ522=0,R522=0),"Gebinde unbekannt / Stellmass fehlt; ","")&amp;IF(AND(BZ522=0,N(V522)&lt;=0,N(Q522)&lt;=0),"Menge pro Gebinde fehlt (Ist = 1 Gebinde); ","")&amp;BU522)</f>
        <v/>
      </c>
      <c r="BN522" s="48"/>
      <c r="BO522" s="48"/>
      <c r="BP522" s="55"/>
      <c r="BQ522" s="50" t="n">
        <v>577</v>
      </c>
      <c r="BR522" s="50" t="n">
        <v>1254</v>
      </c>
      <c r="BS522" s="49" t="n">
        <v>28.8499999999999</v>
      </c>
      <c r="BT522" s="50" t="n">
        <v>2038</v>
      </c>
      <c r="BU522" s="48"/>
      <c r="BV522" s="53" t="n">
        <v>0</v>
      </c>
      <c r="BW522" s="53" t="n">
        <v>522</v>
      </c>
      <c r="BX522" s="48" t="str">
        <f aca="false">IF(U522&lt;&gt;"",UPPER(TRIM(U522)),IF(CA522=1,UPPER(VLOOKUP(T522,Parameter!$I$27:$K$29,2,0)),IF(P522="","LOSE",P522)))</f>
        <v>S41</v>
      </c>
      <c r="BY522" s="50" t="n">
        <f aca="false">IF(BX522="LOSE",1,IF(N(V522)&gt;0,V522,IF(CA522=1,MAX(1,N(VLOOKUP(T522,Parameter!$I$27:$K$29,3,0)),H522,N(N522)),IF(N(Q522)&gt;0,Q522,MAX(1,H522)))))</f>
        <v>1546</v>
      </c>
      <c r="BZ522" s="53" t="n">
        <f aca="false">IF(BX522="LOSE",1,0)</f>
        <v>0</v>
      </c>
      <c r="CA522" s="53" t="n">
        <f aca="false">IF(AND(U522="",OR(P522="",P522="LOSE"),T522&lt;&gt;"",N(S522)&lt;=0,ISNUMBER(MATCH(T522,Parameter!$I$27:$I$29,0))),1,0)</f>
        <v>0</v>
      </c>
      <c r="CB522" s="53" t="n">
        <f aca="false">IF(CQ522&gt;0,INDEX(Parameter!$H$5:$H$7,W522)/INDEX(Parameter!$E$5:$E$7,W522),IF(AND(BZ522=0,N(IFERROR(VLOOKUP(BX522,'Gebinde-Kategorie'!$A$5:$N$45,14,0),0))&gt;0),VLOOKUP(BX522,'Gebinde-Kategorie'!$A$5:$N$45,14,0)*10+Parameter!$M$23,Parameter!$M$24))</f>
        <v>155</v>
      </c>
      <c r="CC522" s="48" t="str">
        <f aca="false">IF(AND(Parameter!$B$19="Ja",E522&lt;&gt;"",ISNUMBER(MATCH(E522,Parameter!$I$35:$I$52,0))),VLOOKUP(E522,Parameter!$I$35:$J$52,2,0),IFERROR(VLOOKUP(D522,Parameter!$A$35:$C$64,2,0),"Nein"))</f>
        <v>2+3</v>
      </c>
      <c r="CD522" s="52" t="n">
        <f aca="false">IF(BZ522=0,0,IF(N(S522)&gt;0,S522,IFERROR(VLOOKUP(D522,Parameter!$A$35:$C$64,3,0)+0,0)))</f>
        <v>0</v>
      </c>
      <c r="CE522" s="48" t="n">
        <f aca="false">IF(AA522&lt;&gt;"",AA522,Z522)</f>
        <v>3</v>
      </c>
      <c r="CF522" s="48" t="str">
        <f aca="false">IF(OR(CE522=1,CE522=2,CE522=3),IF(Parameter!$E$27="Ja","LIFT",IF(CE522=1,"L1","L23")),IF(CE522="Aussen","Aussen","-"))</f>
        <v>LIFT</v>
      </c>
      <c r="CG522" s="59" t="n">
        <f aca="false">IF(N(AB522)&gt;0,AB522,0)</f>
        <v>0</v>
      </c>
      <c r="CH522" s="53" t="n">
        <f aca="false">IF(ISNUMBER(AE522),1,0)</f>
        <v>0</v>
      </c>
      <c r="CI522" s="50" t="n">
        <f aca="false">N(AE522)</f>
        <v>0</v>
      </c>
      <c r="CJ522" s="50" t="n">
        <f aca="false">N(M522)+N(N522)</f>
        <v>2118</v>
      </c>
      <c r="CK522" s="50" t="n">
        <f aca="false">N(M522)</f>
        <v>118</v>
      </c>
      <c r="CL522" s="50" t="n">
        <f aca="false">N(N522)</f>
        <v>2000</v>
      </c>
      <c r="CM522" s="50" t="n">
        <f aca="false">ROUNDUP(H522/BY522,0)</f>
        <v>2</v>
      </c>
      <c r="CN522" s="50" t="n">
        <f aca="false">ROUNDUP(CI522/BY522,0)</f>
        <v>0</v>
      </c>
      <c r="CO522" s="53" t="n">
        <f aca="false">IF(BZ522=1,0,IFERROR(VLOOKUP(BX522,'Gebinde-Kategorie'!$A$5:$N$45,5,0)+0,0))</f>
        <v>11</v>
      </c>
      <c r="CP522" s="53" t="n">
        <f aca="false">IFERROR(IF(OR(CE522=1,CE522=2,CE522=3),N(INDEX(Parameter!$I$5:$I$7,CE522)),0),0)</f>
        <v>0</v>
      </c>
      <c r="CQ522" s="52" t="n">
        <f aca="false">IF(AND(Parameter!$B$21="Ja",ISNUMBER(W522),N(X522)&gt;0),IFERROR(N(INDEX(Parameter!$L$5:$L$7,W522))*INDEX(Parameter!$E$5:$E$7,W522)*X522/SUMIFS($X$7:$X$1843,$W$7:$W$1843,W522),0),0)</f>
        <v>0</v>
      </c>
    </row>
    <row r="523" customFormat="false" ht="15" hidden="false" customHeight="false" outlineLevel="0" collapsed="false">
      <c r="A523" s="48" t="s">
        <v>1142</v>
      </c>
      <c r="B523" s="48" t="s">
        <v>1143</v>
      </c>
      <c r="C523" s="48" t="s">
        <v>173</v>
      </c>
      <c r="D523" s="48" t="s">
        <v>193</v>
      </c>
      <c r="E523" s="48" t="s">
        <v>194</v>
      </c>
      <c r="F523" s="48" t="s">
        <v>227</v>
      </c>
      <c r="G523" s="49" t="n">
        <v>121.7</v>
      </c>
      <c r="H523" s="50" t="n">
        <f aca="false">MAX(0,IF(AND(Parameter!$B$21="Ja",ISNUMBER(Y523)),Y523,IF(Parameter!$B$20="Jahresanfang 2025 + Export",BR523+BQ523,BQ523)))</f>
        <v>1</v>
      </c>
      <c r="I523" s="50" t="n">
        <f aca="false">H523*G523</f>
        <v>121.7</v>
      </c>
      <c r="J523" s="50" t="n">
        <f aca="false">BT523*Parameter!$B$18</f>
        <v>1</v>
      </c>
      <c r="K523" s="51" t="n">
        <v>1</v>
      </c>
      <c r="L523" s="52" t="n">
        <v>1</v>
      </c>
      <c r="M523" s="50" t="n">
        <v>0</v>
      </c>
      <c r="N523" s="50" t="n">
        <v>1</v>
      </c>
      <c r="O523" s="53" t="n">
        <v>35</v>
      </c>
      <c r="P523" s="48" t="s">
        <v>311</v>
      </c>
      <c r="Q523" s="50" t="n">
        <v>3</v>
      </c>
      <c r="R523" s="53" t="n">
        <f aca="false">IF(BZ523=1,0,IFERROR(VLOOKUP(BX523,'Gebinde-Kategorie'!$A$5:$N$45,13,0)+0,0))</f>
        <v>26</v>
      </c>
      <c r="S523" s="54"/>
      <c r="T523" s="55"/>
      <c r="U523" s="55"/>
      <c r="V523" s="55"/>
      <c r="W523" s="48"/>
      <c r="X523" s="50"/>
      <c r="Y523" s="50"/>
      <c r="Z523" s="48" t="n">
        <f aca="false">IF(A523="","",IF(AND(Parameter!$B$21="Ja",ISNUMBER(W523)),W523,IF(CC523="2+3",IF(ISNUMBER(SEARCH("grosser Artikel",BU523)),2,IFERROR(VLOOKUP(BX523,Parameter!$F$35:$G$64,2,0),2)),IF(OR(CC523="Nein",CC523=""),"-",CC523))))</f>
        <v>3</v>
      </c>
      <c r="AA523" s="55"/>
      <c r="AB523" s="56"/>
      <c r="AC523" s="50" t="n">
        <f aca="false">AV523</f>
        <v>1</v>
      </c>
      <c r="AD523" s="50" t="n">
        <f aca="false">MAX(AV523,H523)</f>
        <v>1</v>
      </c>
      <c r="AE523" s="57"/>
      <c r="AF523" s="50" t="n">
        <f aca="false">IF(LEFT(Cockpit!$C$5,1)="A",H523,IF(Parameter!$E$30="MAX-Bestand",IF(CH523=1,CI523,IF(LEFT(Cockpit!$C$5,1)="B",AL523,MAX(AL523,H523))),ROUNDUP(AJ523,0)))</f>
        <v>1</v>
      </c>
      <c r="AG523" s="50" t="n">
        <f aca="false">IF(BZ523=1,0,ROUNDUP(AF523/BY523,0))</f>
        <v>1</v>
      </c>
      <c r="AH523" s="52" t="n">
        <f aca="false">IF(CQ523&gt;0,CQ523*MAX(1,AF523/X523),IF(BZ523=1,IF(AF523&lt;=0,0,CD523*MAX(1,IF(H523&gt;0,AF523/H523,1))),IF(R523&gt;0,AG523/R523,0))/MAX(0.1,N(Parameter!$M$21)))</f>
        <v>0.0384615384615385</v>
      </c>
      <c r="AI523" s="50" t="n">
        <f aca="false">AH523*CB523</f>
        <v>5.96153846153846</v>
      </c>
      <c r="AJ523" s="51" t="n">
        <f aca="false">IF(LEFT(Cockpit!$C$5,1)="A",H523,IF(CH523=1,(CK523+CI523)/2,IF(LEFT(Cockpit!$C$5,1)="B",(CK523+AL523)/2,MAX((CK523+AL523)/2,H523))))</f>
        <v>1</v>
      </c>
      <c r="AK523" s="50" t="n">
        <f aca="false">AJ523*G523</f>
        <v>121.7</v>
      </c>
      <c r="AL523" s="50" t="n">
        <f aca="false">ROUNDUP(CK523+MAX(CL523,2*(J523/IF(CG523&gt;0,CG523,MAX(0.1,N(Cockpit!$C$6)))-CK523)),0)</f>
        <v>1</v>
      </c>
      <c r="AM523" s="51" t="n">
        <f aca="false">IF(AI523&gt;0,J523/AI523,-1)</f>
        <v>0.167741935483871</v>
      </c>
      <c r="AN523" s="51" t="n">
        <f aca="false">IF(AND(OR(CF523="L1",CF523="L23",CF523="LIFT"),AI523&gt;0),SUMIFS($AI$7:$AI$1843,$CF$7:$CF$1843,CF523,$AM$7:$AM$1843,"&gt;"&amp;AM523)+SUMIFS($AI$7:$AI$1843,$CF$7:$CF$1843,CF523,$AM$7:$AM$1843,AM523,$BW$7:$BW$1843,"&lt;="&amp;BW523),"")</f>
        <v>12697.6183362306</v>
      </c>
      <c r="AO523" s="58" t="n">
        <f aca="false">IF(AN523="",0,MAX(0,MIN(1,(IF(CF523="L1",Parameter!$H$5,IF(CF523="L23",Parameter!$H$6+Parameter!$H$7,Parameter!$H$5+Parameter!$H$6+Parameter!$H$7))-(AN523-AI523))/AI523)))</f>
        <v>1</v>
      </c>
      <c r="AP523" s="50" t="n">
        <f aca="false">IF(LEFT(Cockpit!$I$5,1)="A",H523,IF(Parameter!$E$30="MAX-Bestand",IF(CH523=1,CI523,IF(LEFT(Cockpit!$I$5,1)="B",AV523,MAX(AV523,H523))),ROUNDUP(AT523,0)))</f>
        <v>1</v>
      </c>
      <c r="AQ523" s="50" t="n">
        <f aca="false">IF(BZ523=1,0,ROUNDUP(AP523/BY523,0))</f>
        <v>1</v>
      </c>
      <c r="AR523" s="52" t="n">
        <f aca="false">IF(CQ523&gt;0,CQ523*MAX(1,AP523/X523),IF(BZ523=1,IF(AP523&lt;=0,0,CD523*MAX(1,IF(H523&gt;0,AP523/H523,1))),IF(R523&gt;0,AQ523/R523,0))/MAX(0.1,N(Parameter!$M$21)))</f>
        <v>0.0384615384615385</v>
      </c>
      <c r="AS523" s="50" t="n">
        <f aca="false">AR523*CB523</f>
        <v>5.96153846153846</v>
      </c>
      <c r="AT523" s="51" t="n">
        <f aca="false">IF(LEFT(Cockpit!$I$5,1)="A",H523,IF(CH523=1,(CK523+CI523)/2,IF(LEFT(Cockpit!$I$5,1)="B",(CK523+AV523)/2,MAX((CK523+AV523)/2,H523))))</f>
        <v>1</v>
      </c>
      <c r="AU523" s="50" t="n">
        <f aca="false">AT523*G523</f>
        <v>121.7</v>
      </c>
      <c r="AV523" s="50" t="n">
        <f aca="false">ROUNDUP(CK523+MAX(CL523,2*(J523/IF(CG523&gt;0,CG523,MAX(0.1,N(Cockpit!$I$6)))-CK523)),0)</f>
        <v>1</v>
      </c>
      <c r="AW523" s="51" t="n">
        <f aca="false">IF(AS523&gt;0,J523/AS523,-1)</f>
        <v>0.167741935483871</v>
      </c>
      <c r="AX523" s="51" t="n">
        <f aca="false">IF(AND(OR(CF523="L1",CF523="L23",CF523="LIFT"),AS523&gt;0),SUMIFS($AS$7:$AS$1843,$CF$7:$CF$1843,CF523,$AW$7:$AW$1843,"&gt;"&amp;AW523)+SUMIFS($AS$7:$AS$1843,$CF$7:$CF$1843,CF523,$AW$7:$AW$1843,AW523,$BW$7:$BW$1843,"&lt;="&amp;BW523),"")</f>
        <v>15614.3759157509</v>
      </c>
      <c r="AY523" s="58" t="n">
        <f aca="false">IF(AX523="",0,MAX(0,MIN(1,(IF(CF523="L1",Parameter!$H$5,IF(CF523="L23",Parameter!$H$6+Parameter!$H$7,Parameter!$H$5+Parameter!$H$6+Parameter!$H$7))-(AX523-AS523))/AS523)))</f>
        <v>1</v>
      </c>
      <c r="AZ523" s="50" t="n">
        <f aca="false">IF(LEFT(Cockpit!$O$5,1)="A",H523,IF(Parameter!$E$30="MAX-Bestand",IF(CH523=1,CI523,IF(LEFT(Cockpit!$O$5,1)="B",BF523,MAX(BF523,H523))),ROUNDUP(BD523,0)))</f>
        <v>1</v>
      </c>
      <c r="BA523" s="50" t="n">
        <f aca="false">IF(BZ523=1,0,ROUNDUP(AZ523/BY523,0))</f>
        <v>1</v>
      </c>
      <c r="BB523" s="52" t="n">
        <f aca="false">IF(CQ523&gt;0,CQ523*MAX(1,AZ523/X523),IF(BZ523=1,IF(AZ523&lt;=0,0,CD523*MAX(1,IF(H523&gt;0,AZ523/H523,1))),IF(R523&gt;0,BA523/R523,0))/MAX(0.1,N(Parameter!$M$21)))</f>
        <v>0.0384615384615385</v>
      </c>
      <c r="BC523" s="50" t="n">
        <f aca="false">BB523*CB523</f>
        <v>5.96153846153846</v>
      </c>
      <c r="BD523" s="51" t="n">
        <f aca="false">IF(LEFT(Cockpit!$O$5,1)="A",H523,IF(CH523=1,(CK523+CI523)/2,IF(LEFT(Cockpit!$O$5,1)="B",(CK523+BF523)/2,MAX((CK523+BF523)/2,H523))))</f>
        <v>0.5</v>
      </c>
      <c r="BE523" s="50" t="n">
        <f aca="false">BD523*G523</f>
        <v>60.85</v>
      </c>
      <c r="BF523" s="50" t="n">
        <f aca="false">ROUNDUP(CK523+MAX(CL523,2*(J523/IF(CG523&gt;0,CG523,MAX(0.1,N(Cockpit!$O$6)))-CK523)),0)</f>
        <v>1</v>
      </c>
      <c r="BG523" s="51" t="n">
        <f aca="false">IF(BC523&gt;0,J523/BC523,-1)</f>
        <v>0.167741935483871</v>
      </c>
      <c r="BH523" s="51" t="n">
        <f aca="false">IF(AND(OR(CF523="L1",CF523="L23",CF523="LIFT"),BC523&gt;0),SUMIFS($BC$7:$BC$1843,$CF$7:$CF$1843,CF523,$BG$7:$BG$1843,"&gt;"&amp;BG523)+SUMIFS($BC$7:$BC$1843,$CF$7:$CF$1843,CF523,$BG$7:$BG$1843,BG523,$BW$7:$BW$1843,"&lt;="&amp;BW523),"")</f>
        <v>13422.6372824445</v>
      </c>
      <c r="BI523" s="58" t="n">
        <f aca="false">IF(BH523="",0,MAX(0,MIN(1,(IF(CF523="L1",Parameter!$H$5,IF(CF523="L23",Parameter!$H$6+Parameter!$H$7,Parameter!$H$5+Parameter!$H$6+Parameter!$H$7))-(BH523-BC523))/BC523)))</f>
        <v>1</v>
      </c>
      <c r="BJ523" s="48" t="str">
        <f aca="false">IF(AI523&lt;=0,"",IF(CF523="Aussen","Aussenlager",IF(CF523="-","Nicht im Lift",IF(AO523&gt;=1,"Lift",IF(AO523&lt;=0,"Aussenlager","teilweise")))))</f>
        <v>Lift</v>
      </c>
      <c r="BK523" s="48" t="str">
        <f aca="false">IF(AS523&lt;=0,"",IF(CF523="Aussen","Aussenlager",IF(CF523="-","Nicht im Lift",IF(AY523&gt;=1,"Lift",IF(AY523&lt;=0,"Aussenlager","teilweise")))))</f>
        <v>Lift</v>
      </c>
      <c r="BL523" s="48" t="str">
        <f aca="false">IF(BC523&lt;=0,"",IF(CF523="Aussen","Aussenlager",IF(CF523="-","Nicht im Lift",IF(BI523&gt;=1,"Lift",IF(BI523&lt;=0,"Aussenlager","teilweise")))))</f>
        <v>Lift</v>
      </c>
      <c r="BM523" s="48" t="str">
        <f aca="false">IF(A523="","",IF(BV523=1,"Neu; ","")&amp;IF(AND(BV523=0,BQ523&lt;0),"negativer Bestand (Export "&amp;BQ523&amp;"); ","")&amp;IF(J523&lt;=0,"Kein Verbrauch; ","")&amp;IF(CQ523&gt;0,"Lift "&amp;W523&amp;" lt. Liftbericht (Fach "&amp;X523&amp;" Stk); ",IF(CA523=1,"Gebinde geschätzt ("&amp;T523&amp;"); ",IF(BZ523=1,"Lose – Tablare geschätzt; ","")))&amp;IF(H523&gt;AV523,"Überbestand "&amp;ROUND(H523-AV523,0)&amp;" Stk / CHF "&amp;ROUND((H523-AV523)*G523,0)&amp;"; ","")&amp;IF(AND(CH523=1,CI523&lt;CJ523),"MAX &lt; MB+LG; ","")&amp;IF(AND(CP523&gt;0,CO523*10&gt;CP523),"zu hoch für Tablar; ","")&amp;IF(AND(BV523=0,OR(CH523=1,AA523&lt;&gt;"",U523&lt;&gt;"",V523&lt;&gt;"",AB523&lt;&gt;"")),"manuell übersteuert; ","")&amp;IF(AND(BZ523=0,R523=0),"Gebinde unbekannt / Stellmass fehlt; ","")&amp;IF(AND(BZ523=0,N(V523)&lt;=0,N(Q523)&lt;=0),"Menge pro Gebinde fehlt (Ist = 1 Gebinde); ","")&amp;BU523)</f>
        <v/>
      </c>
      <c r="BN523" s="48"/>
      <c r="BO523" s="48"/>
      <c r="BP523" s="55"/>
      <c r="BQ523" s="50" t="n">
        <v>0</v>
      </c>
      <c r="BR523" s="50" t="n">
        <v>1</v>
      </c>
      <c r="BS523" s="49" t="n">
        <v>28.1</v>
      </c>
      <c r="BT523" s="50" t="n">
        <v>1</v>
      </c>
      <c r="BU523" s="48"/>
      <c r="BV523" s="53" t="n">
        <v>0</v>
      </c>
      <c r="BW523" s="53" t="n">
        <v>523</v>
      </c>
      <c r="BX523" s="48" t="str">
        <f aca="false">IF(U523&lt;&gt;"",UPPER(TRIM(U523)),IF(CA523=1,UPPER(VLOOKUP(T523,Parameter!$I$27:$K$29,2,0)),IF(P523="","LOSE",P523)))</f>
        <v>S51</v>
      </c>
      <c r="BY523" s="50" t="n">
        <f aca="false">IF(BX523="LOSE",1,IF(N(V523)&gt;0,V523,IF(CA523=1,MAX(1,N(VLOOKUP(T523,Parameter!$I$27:$K$29,3,0)),H523,N(N523)),IF(N(Q523)&gt;0,Q523,MAX(1,H523)))))</f>
        <v>3</v>
      </c>
      <c r="BZ523" s="53" t="n">
        <f aca="false">IF(BX523="LOSE",1,0)</f>
        <v>0</v>
      </c>
      <c r="CA523" s="53" t="n">
        <f aca="false">IF(AND(U523="",OR(P523="",P523="LOSE"),T523&lt;&gt;"",N(S523)&lt;=0,ISNUMBER(MATCH(T523,Parameter!$I$27:$I$29,0))),1,0)</f>
        <v>0</v>
      </c>
      <c r="CB523" s="53" t="n">
        <f aca="false">IF(CQ523&gt;0,INDEX(Parameter!$H$5:$H$7,W523)/INDEX(Parameter!$E$5:$E$7,W523),IF(AND(BZ523=0,N(IFERROR(VLOOKUP(BX523,'Gebinde-Kategorie'!$A$5:$N$45,14,0),0))&gt;0),VLOOKUP(BX523,'Gebinde-Kategorie'!$A$5:$N$45,14,0)*10+Parameter!$M$23,Parameter!$M$24))</f>
        <v>155</v>
      </c>
      <c r="CC523" s="48" t="str">
        <f aca="false">IF(AND(Parameter!$B$19="Ja",E523&lt;&gt;"",ISNUMBER(MATCH(E523,Parameter!$I$35:$I$52,0))),VLOOKUP(E523,Parameter!$I$35:$J$52,2,0),IFERROR(VLOOKUP(D523,Parameter!$A$35:$C$64,2,0),"Nein"))</f>
        <v>2+3</v>
      </c>
      <c r="CD523" s="52" t="n">
        <f aca="false">IF(BZ523=0,0,IF(N(S523)&gt;0,S523,IFERROR(VLOOKUP(D523,Parameter!$A$35:$C$64,3,0)+0,0)))</f>
        <v>0</v>
      </c>
      <c r="CE523" s="48" t="n">
        <f aca="false">IF(AA523&lt;&gt;"",AA523,Z523)</f>
        <v>3</v>
      </c>
      <c r="CF523" s="48" t="str">
        <f aca="false">IF(OR(CE523=1,CE523=2,CE523=3),IF(Parameter!$E$27="Ja","LIFT",IF(CE523=1,"L1","L23")),IF(CE523="Aussen","Aussen","-"))</f>
        <v>LIFT</v>
      </c>
      <c r="CG523" s="59" t="n">
        <f aca="false">IF(N(AB523)&gt;0,AB523,0)</f>
        <v>0</v>
      </c>
      <c r="CH523" s="53" t="n">
        <f aca="false">IF(ISNUMBER(AE523),1,0)</f>
        <v>0</v>
      </c>
      <c r="CI523" s="50" t="n">
        <f aca="false">N(AE523)</f>
        <v>0</v>
      </c>
      <c r="CJ523" s="50" t="n">
        <f aca="false">N(M523)+N(N523)</f>
        <v>1</v>
      </c>
      <c r="CK523" s="50" t="n">
        <f aca="false">N(M523)</f>
        <v>0</v>
      </c>
      <c r="CL523" s="50" t="n">
        <f aca="false">N(N523)</f>
        <v>1</v>
      </c>
      <c r="CM523" s="50" t="n">
        <f aca="false">ROUNDUP(H523/BY523,0)</f>
        <v>1</v>
      </c>
      <c r="CN523" s="50" t="n">
        <f aca="false">ROUNDUP(CI523/BY523,0)</f>
        <v>0</v>
      </c>
      <c r="CO523" s="53" t="n">
        <f aca="false">IF(BZ523=1,0,IFERROR(VLOOKUP(BX523,'Gebinde-Kategorie'!$A$5:$N$45,5,0)+0,0))</f>
        <v>11</v>
      </c>
      <c r="CP523" s="53" t="n">
        <f aca="false">IFERROR(IF(OR(CE523=1,CE523=2,CE523=3),N(INDEX(Parameter!$I$5:$I$7,CE523)),0),0)</f>
        <v>0</v>
      </c>
      <c r="CQ523" s="52" t="n">
        <f aca="false">IF(AND(Parameter!$B$21="Ja",ISNUMBER(W523),N(X523)&gt;0),IFERROR(N(INDEX(Parameter!$L$5:$L$7,W523))*INDEX(Parameter!$E$5:$E$7,W523)*X523/SUMIFS($X$7:$X$1843,$W$7:$W$1843,W523),0),0)</f>
        <v>0</v>
      </c>
    </row>
    <row r="524" customFormat="false" ht="15" hidden="false" customHeight="false" outlineLevel="0" collapsed="false">
      <c r="A524" s="48" t="s">
        <v>1144</v>
      </c>
      <c r="B524" s="48" t="s">
        <v>1145</v>
      </c>
      <c r="C524" s="48" t="s">
        <v>173</v>
      </c>
      <c r="D524" s="48" t="s">
        <v>193</v>
      </c>
      <c r="E524" s="48" t="s">
        <v>194</v>
      </c>
      <c r="F524" s="48" t="s">
        <v>227</v>
      </c>
      <c r="G524" s="49" t="n">
        <v>13.95</v>
      </c>
      <c r="H524" s="50" t="n">
        <f aca="false">MAX(0,IF(AND(Parameter!$B$21="Ja",ISNUMBER(Y524)),Y524,IF(Parameter!$B$20="Jahresanfang 2025 + Export",BR524+BQ524,BQ524)))</f>
        <v>6</v>
      </c>
      <c r="I524" s="50" t="n">
        <f aca="false">H524*G524</f>
        <v>83.7</v>
      </c>
      <c r="J524" s="50" t="n">
        <f aca="false">BT524*Parameter!$B$18</f>
        <v>0</v>
      </c>
      <c r="K524" s="51" t="n">
        <v>4</v>
      </c>
      <c r="L524" s="52" t="n">
        <v>0</v>
      </c>
      <c r="M524" s="50" t="n">
        <v>0</v>
      </c>
      <c r="N524" s="50" t="n">
        <v>1</v>
      </c>
      <c r="O524" s="53" t="n">
        <v>14</v>
      </c>
      <c r="P524" s="48" t="s">
        <v>337</v>
      </c>
      <c r="Q524" s="50" t="n">
        <v>1</v>
      </c>
      <c r="R524" s="53" t="n">
        <f aca="false">IF(BZ524=1,0,IFERROR(VLOOKUP(BX524,'Gebinde-Kategorie'!$A$5:$N$45,13,0)+0,0))</f>
        <v>52</v>
      </c>
      <c r="S524" s="54"/>
      <c r="T524" s="55"/>
      <c r="U524" s="55"/>
      <c r="V524" s="55"/>
      <c r="W524" s="48"/>
      <c r="X524" s="50"/>
      <c r="Y524" s="50"/>
      <c r="Z524" s="48" t="n">
        <f aca="false">IF(A524="","",IF(AND(Parameter!$B$21="Ja",ISNUMBER(W524)),W524,IF(CC524="2+3",IF(ISNUMBER(SEARCH("grosser Artikel",BU524)),2,IFERROR(VLOOKUP(BX524,Parameter!$F$35:$G$64,2,0),2)),IF(OR(CC524="Nein",CC524=""),"-",CC524))))</f>
        <v>3</v>
      </c>
      <c r="AA524" s="55"/>
      <c r="AB524" s="56"/>
      <c r="AC524" s="50" t="n">
        <f aca="false">AV524</f>
        <v>1</v>
      </c>
      <c r="AD524" s="50" t="n">
        <f aca="false">MAX(AV524,H524)</f>
        <v>6</v>
      </c>
      <c r="AE524" s="57"/>
      <c r="AF524" s="50" t="n">
        <f aca="false">IF(LEFT(Cockpit!$C$5,1)="A",H524,IF(Parameter!$E$30="MAX-Bestand",IF(CH524=1,CI524,IF(LEFT(Cockpit!$C$5,1)="B",AL524,MAX(AL524,H524))),ROUNDUP(AJ524,0)))</f>
        <v>6</v>
      </c>
      <c r="AG524" s="50" t="n">
        <f aca="false">IF(BZ524=1,0,ROUNDUP(AF524/BY524,0))</f>
        <v>6</v>
      </c>
      <c r="AH524" s="52" t="n">
        <f aca="false">IF(CQ524&gt;0,CQ524*MAX(1,AF524/X524),IF(BZ524=1,IF(AF524&lt;=0,0,CD524*MAX(1,IF(H524&gt;0,AF524/H524,1))),IF(R524&gt;0,AG524/R524,0))/MAX(0.1,N(Parameter!$M$21)))</f>
        <v>0.115384615384615</v>
      </c>
      <c r="AI524" s="50" t="n">
        <f aca="false">AH524*CB524</f>
        <v>17.8846153846154</v>
      </c>
      <c r="AJ524" s="51" t="n">
        <f aca="false">IF(LEFT(Cockpit!$C$5,1)="A",H524,IF(CH524=1,(CK524+CI524)/2,IF(LEFT(Cockpit!$C$5,1)="B",(CK524+AL524)/2,MAX((CK524+AL524)/2,H524))))</f>
        <v>6</v>
      </c>
      <c r="AK524" s="50" t="n">
        <f aca="false">AJ524*G524</f>
        <v>83.7</v>
      </c>
      <c r="AL524" s="50" t="n">
        <f aca="false">ROUNDUP(CK524+MAX(CL524,2*(J524/IF(CG524&gt;0,CG524,MAX(0.1,N(Cockpit!$C$6)))-CK524)),0)</f>
        <v>1</v>
      </c>
      <c r="AM524" s="51" t="n">
        <f aca="false">IF(AI524&gt;0,J524/AI524,-1)</f>
        <v>0</v>
      </c>
      <c r="AN524" s="51" t="n">
        <f aca="false">IF(AND(OR(CF524="L1",CF524="L23",CF524="LIFT"),AI524&gt;0),SUMIFS($AI$7:$AI$1843,$CF$7:$CF$1843,CF524,$AM$7:$AM$1843,"&gt;"&amp;AM524)+SUMIFS($AI$7:$AI$1843,$CF$7:$CF$1843,CF524,$AM$7:$AM$1843,AM524,$BW$7:$BW$1843,"&lt;="&amp;BW524),"")</f>
        <v>28304.2144538606</v>
      </c>
      <c r="AO524" s="58" t="n">
        <f aca="false">IF(AN524="",0,MAX(0,MIN(1,(IF(CF524="L1",Parameter!$H$5,IF(CF524="L23",Parameter!$H$6+Parameter!$H$7,Parameter!$H$5+Parameter!$H$6+Parameter!$H$7))-(AN524-AI524))/AI524)))</f>
        <v>1</v>
      </c>
      <c r="AP524" s="50" t="n">
        <f aca="false">IF(LEFT(Cockpit!$I$5,1)="A",H524,IF(Parameter!$E$30="MAX-Bestand",IF(CH524=1,CI524,IF(LEFT(Cockpit!$I$5,1)="B",AV524,MAX(AV524,H524))),ROUNDUP(AT524,0)))</f>
        <v>6</v>
      </c>
      <c r="AQ524" s="50" t="n">
        <f aca="false">IF(BZ524=1,0,ROUNDUP(AP524/BY524,0))</f>
        <v>6</v>
      </c>
      <c r="AR524" s="52" t="n">
        <f aca="false">IF(CQ524&gt;0,CQ524*MAX(1,AP524/X524),IF(BZ524=1,IF(AP524&lt;=0,0,CD524*MAX(1,IF(H524&gt;0,AP524/H524,1))),IF(R524&gt;0,AQ524/R524,0))/MAX(0.1,N(Parameter!$M$21)))</f>
        <v>0.115384615384615</v>
      </c>
      <c r="AS524" s="50" t="n">
        <f aca="false">AR524*CB524</f>
        <v>17.8846153846154</v>
      </c>
      <c r="AT524" s="51" t="n">
        <f aca="false">IF(LEFT(Cockpit!$I$5,1)="A",H524,IF(CH524=1,(CK524+CI524)/2,IF(LEFT(Cockpit!$I$5,1)="B",(CK524+AV524)/2,MAX((CK524+AV524)/2,H524))))</f>
        <v>6</v>
      </c>
      <c r="AU524" s="50" t="n">
        <f aca="false">AT524*G524</f>
        <v>83.7</v>
      </c>
      <c r="AV524" s="50" t="n">
        <f aca="false">ROUNDUP(CK524+MAX(CL524,2*(J524/IF(CG524&gt;0,CG524,MAX(0.1,N(Cockpit!$I$6)))-CK524)),0)</f>
        <v>1</v>
      </c>
      <c r="AW524" s="51" t="n">
        <f aca="false">IF(AS524&gt;0,J524/AS524,-1)</f>
        <v>0</v>
      </c>
      <c r="AX524" s="51" t="n">
        <f aca="false">IF(AND(OR(CF524="L1",CF524="L23",CF524="LIFT"),AS524&gt;0),SUMIFS($AS$7:$AS$1843,$CF$7:$CF$1843,CF524,$AW$7:$AW$1843,"&gt;"&amp;AW524)+SUMIFS($AS$7:$AS$1843,$CF$7:$CF$1843,CF524,$AW$7:$AW$1843,AW524,$BW$7:$BW$1843,"&lt;="&amp;BW524),"")</f>
        <v>33657.3630952381</v>
      </c>
      <c r="AY524" s="58" t="n">
        <f aca="false">IF(AX524="",0,MAX(0,MIN(1,(IF(CF524="L1",Parameter!$H$5,IF(CF524="L23",Parameter!$H$6+Parameter!$H$7,Parameter!$H$5+Parameter!$H$6+Parameter!$H$7))-(AX524-AS524))/AS524)))</f>
        <v>1</v>
      </c>
      <c r="AZ524" s="50" t="n">
        <f aca="false">IF(LEFT(Cockpit!$O$5,1)="A",H524,IF(Parameter!$E$30="MAX-Bestand",IF(CH524=1,CI524,IF(LEFT(Cockpit!$O$5,1)="B",BF524,MAX(BF524,H524))),ROUNDUP(BD524,0)))</f>
        <v>1</v>
      </c>
      <c r="BA524" s="50" t="n">
        <f aca="false">IF(BZ524=1,0,ROUNDUP(AZ524/BY524,0))</f>
        <v>1</v>
      </c>
      <c r="BB524" s="52" t="n">
        <f aca="false">IF(CQ524&gt;0,CQ524*MAX(1,AZ524/X524),IF(BZ524=1,IF(AZ524&lt;=0,0,CD524*MAX(1,IF(H524&gt;0,AZ524/H524,1))),IF(R524&gt;0,BA524/R524,0))/MAX(0.1,N(Parameter!$M$21)))</f>
        <v>0.0192307692307692</v>
      </c>
      <c r="BC524" s="50" t="n">
        <f aca="false">BB524*CB524</f>
        <v>2.98076923076923</v>
      </c>
      <c r="BD524" s="51" t="n">
        <f aca="false">IF(LEFT(Cockpit!$O$5,1)="A",H524,IF(CH524=1,(CK524+CI524)/2,IF(LEFT(Cockpit!$O$5,1)="B",(CK524+BF524)/2,MAX((CK524+BF524)/2,H524))))</f>
        <v>0.5</v>
      </c>
      <c r="BE524" s="50" t="n">
        <f aca="false">BD524*G524</f>
        <v>6.975</v>
      </c>
      <c r="BF524" s="50" t="n">
        <f aca="false">ROUNDUP(CK524+MAX(CL524,2*(J524/IF(CG524&gt;0,CG524,MAX(0.1,N(Cockpit!$O$6)))-CK524)),0)</f>
        <v>1</v>
      </c>
      <c r="BG524" s="51" t="n">
        <f aca="false">IF(BC524&gt;0,J524/BC524,-1)</f>
        <v>0</v>
      </c>
      <c r="BH524" s="51" t="n">
        <f aca="false">IF(AND(OR(CF524="L1",CF524="L23",CF524="LIFT"),BC524&gt;0),SUMIFS($BC$7:$BC$1843,$CF$7:$CF$1843,CF524,$BG$7:$BG$1843,"&gt;"&amp;BG524)+SUMIFS($BC$7:$BC$1843,$CF$7:$CF$1843,CF524,$BG$7:$BG$1843,BG524,$BW$7:$BW$1843,"&lt;="&amp;BW524),"")</f>
        <v>27737.2901766313</v>
      </c>
      <c r="BI524" s="58" t="n">
        <f aca="false">IF(BH524="",0,MAX(0,MIN(1,(IF(CF524="L1",Parameter!$H$5,IF(CF524="L23",Parameter!$H$6+Parameter!$H$7,Parameter!$H$5+Parameter!$H$6+Parameter!$H$7))-(BH524-BC524))/BC524)))</f>
        <v>1</v>
      </c>
      <c r="BJ524" s="48" t="str">
        <f aca="false">IF(AI524&lt;=0,"",IF(CF524="Aussen","Aussenlager",IF(CF524="-","Nicht im Lift",IF(AO524&gt;=1,"Lift",IF(AO524&lt;=0,"Aussenlager","teilweise")))))</f>
        <v>Lift</v>
      </c>
      <c r="BK524" s="48" t="str">
        <f aca="false">IF(AS524&lt;=0,"",IF(CF524="Aussen","Aussenlager",IF(CF524="-","Nicht im Lift",IF(AY524&gt;=1,"Lift",IF(AY524&lt;=0,"Aussenlager","teilweise")))))</f>
        <v>Lift</v>
      </c>
      <c r="BL524" s="48" t="str">
        <f aca="false">IF(BC524&lt;=0,"",IF(CF524="Aussen","Aussenlager",IF(CF524="-","Nicht im Lift",IF(BI524&gt;=1,"Lift",IF(BI524&lt;=0,"Aussenlager","teilweise")))))</f>
        <v>Lift</v>
      </c>
      <c r="BM524" s="48" t="str">
        <f aca="false">IF(A524="","",IF(BV524=1,"Neu; ","")&amp;IF(AND(BV524=0,BQ524&lt;0),"negativer Bestand (Export "&amp;BQ524&amp;"); ","")&amp;IF(J524&lt;=0,"Kein Verbrauch; ","")&amp;IF(CQ524&gt;0,"Lift "&amp;W524&amp;" lt. Liftbericht (Fach "&amp;X524&amp;" Stk); ",IF(CA524=1,"Gebinde geschätzt ("&amp;T524&amp;"); ",IF(BZ524=1,"Lose – Tablare geschätzt; ","")))&amp;IF(H524&gt;AV524,"Überbestand "&amp;ROUND(H524-AV524,0)&amp;" Stk / CHF "&amp;ROUND((H524-AV524)*G524,0)&amp;"; ","")&amp;IF(AND(CH524=1,CI524&lt;CJ524),"MAX &lt; MB+LG; ","")&amp;IF(AND(CP524&gt;0,CO524*10&gt;CP524),"zu hoch für Tablar; ","")&amp;IF(AND(BV524=0,OR(CH524=1,AA524&lt;&gt;"",U524&lt;&gt;"",V524&lt;&gt;"",AB524&lt;&gt;"")),"manuell übersteuert; ","")&amp;IF(AND(BZ524=0,R524=0),"Gebinde unbekannt / Stellmass fehlt; ","")&amp;IF(AND(BZ524=0,N(V524)&lt;=0,N(Q524)&lt;=0),"Menge pro Gebinde fehlt (Ist = 1 Gebinde); ","")&amp;BU524)</f>
        <v>Kein Verbrauch; Überbestand 5 Stk / CHF 70; </v>
      </c>
      <c r="BN524" s="48"/>
      <c r="BO524" s="48"/>
      <c r="BP524" s="55"/>
      <c r="BQ524" s="50" t="n">
        <v>2</v>
      </c>
      <c r="BR524" s="50" t="n">
        <v>4</v>
      </c>
      <c r="BS524" s="49" t="n">
        <v>28.02</v>
      </c>
      <c r="BT524" s="50" t="n">
        <v>0</v>
      </c>
      <c r="BU524" s="48"/>
      <c r="BV524" s="53" t="n">
        <v>0</v>
      </c>
      <c r="BW524" s="53" t="n">
        <v>524</v>
      </c>
      <c r="BX524" s="48" t="str">
        <f aca="false">IF(U524&lt;&gt;"",UPPER(TRIM(U524)),IF(CA524=1,UPPER(VLOOKUP(T524,Parameter!$I$27:$K$29,2,0)),IF(P524="","LOSE",P524)))</f>
        <v>S41</v>
      </c>
      <c r="BY524" s="50" t="n">
        <f aca="false">IF(BX524="LOSE",1,IF(N(V524)&gt;0,V524,IF(CA524=1,MAX(1,N(VLOOKUP(T524,Parameter!$I$27:$K$29,3,0)),H524,N(N524)),IF(N(Q524)&gt;0,Q524,MAX(1,H524)))))</f>
        <v>1</v>
      </c>
      <c r="BZ524" s="53" t="n">
        <f aca="false">IF(BX524="LOSE",1,0)</f>
        <v>0</v>
      </c>
      <c r="CA524" s="53" t="n">
        <f aca="false">IF(AND(U524="",OR(P524="",P524="LOSE"),T524&lt;&gt;"",N(S524)&lt;=0,ISNUMBER(MATCH(T524,Parameter!$I$27:$I$29,0))),1,0)</f>
        <v>0</v>
      </c>
      <c r="CB524" s="53" t="n">
        <f aca="false">IF(CQ524&gt;0,INDEX(Parameter!$H$5:$H$7,W524)/INDEX(Parameter!$E$5:$E$7,W524),IF(AND(BZ524=0,N(IFERROR(VLOOKUP(BX524,'Gebinde-Kategorie'!$A$5:$N$45,14,0),0))&gt;0),VLOOKUP(BX524,'Gebinde-Kategorie'!$A$5:$N$45,14,0)*10+Parameter!$M$23,Parameter!$M$24))</f>
        <v>155</v>
      </c>
      <c r="CC524" s="48" t="str">
        <f aca="false">IF(AND(Parameter!$B$19="Ja",E524&lt;&gt;"",ISNUMBER(MATCH(E524,Parameter!$I$35:$I$52,0))),VLOOKUP(E524,Parameter!$I$35:$J$52,2,0),IFERROR(VLOOKUP(D524,Parameter!$A$35:$C$64,2,0),"Nein"))</f>
        <v>2+3</v>
      </c>
      <c r="CD524" s="52" t="n">
        <f aca="false">IF(BZ524=0,0,IF(N(S524)&gt;0,S524,IFERROR(VLOOKUP(D524,Parameter!$A$35:$C$64,3,0)+0,0)))</f>
        <v>0</v>
      </c>
      <c r="CE524" s="48" t="n">
        <f aca="false">IF(AA524&lt;&gt;"",AA524,Z524)</f>
        <v>3</v>
      </c>
      <c r="CF524" s="48" t="str">
        <f aca="false">IF(OR(CE524=1,CE524=2,CE524=3),IF(Parameter!$E$27="Ja","LIFT",IF(CE524=1,"L1","L23")),IF(CE524="Aussen","Aussen","-"))</f>
        <v>LIFT</v>
      </c>
      <c r="CG524" s="59" t="n">
        <f aca="false">IF(N(AB524)&gt;0,AB524,0)</f>
        <v>0</v>
      </c>
      <c r="CH524" s="53" t="n">
        <f aca="false">IF(ISNUMBER(AE524),1,0)</f>
        <v>0</v>
      </c>
      <c r="CI524" s="50" t="n">
        <f aca="false">N(AE524)</f>
        <v>0</v>
      </c>
      <c r="CJ524" s="50" t="n">
        <f aca="false">N(M524)+N(N524)</f>
        <v>1</v>
      </c>
      <c r="CK524" s="50" t="n">
        <f aca="false">N(M524)</f>
        <v>0</v>
      </c>
      <c r="CL524" s="50" t="n">
        <f aca="false">N(N524)</f>
        <v>1</v>
      </c>
      <c r="CM524" s="50" t="n">
        <f aca="false">ROUNDUP(H524/BY524,0)</f>
        <v>6</v>
      </c>
      <c r="CN524" s="50" t="n">
        <f aca="false">ROUNDUP(CI524/BY524,0)</f>
        <v>0</v>
      </c>
      <c r="CO524" s="53" t="n">
        <f aca="false">IF(BZ524=1,0,IFERROR(VLOOKUP(BX524,'Gebinde-Kategorie'!$A$5:$N$45,5,0)+0,0))</f>
        <v>11</v>
      </c>
      <c r="CP524" s="53" t="n">
        <f aca="false">IFERROR(IF(OR(CE524=1,CE524=2,CE524=3),N(INDEX(Parameter!$I$5:$I$7,CE524)),0),0)</f>
        <v>0</v>
      </c>
      <c r="CQ524" s="52" t="n">
        <f aca="false">IF(AND(Parameter!$B$21="Ja",ISNUMBER(W524),N(X524)&gt;0),IFERROR(N(INDEX(Parameter!$L$5:$L$7,W524))*INDEX(Parameter!$E$5:$E$7,W524)*X524/SUMIFS($X$7:$X$1843,$W$7:$W$1843,W524),0),0)</f>
        <v>0</v>
      </c>
    </row>
    <row r="525" customFormat="false" ht="15" hidden="false" customHeight="false" outlineLevel="0" collapsed="false">
      <c r="A525" s="48" t="s">
        <v>1146</v>
      </c>
      <c r="B525" s="48" t="s">
        <v>958</v>
      </c>
      <c r="C525" s="48" t="s">
        <v>173</v>
      </c>
      <c r="D525" s="48" t="s">
        <v>193</v>
      </c>
      <c r="E525" s="48"/>
      <c r="F525" s="48" t="s">
        <v>227</v>
      </c>
      <c r="G525" s="49" t="n">
        <v>0.14</v>
      </c>
      <c r="H525" s="50" t="n">
        <f aca="false">MAX(0,IF(AND(Parameter!$B$21="Ja",ISNUMBER(Y525)),Y525,IF(Parameter!$B$20="Jahresanfang 2025 + Export",BR525+BQ525,BQ525)))</f>
        <v>200</v>
      </c>
      <c r="I525" s="50" t="n">
        <f aca="false">H525*G525</f>
        <v>28</v>
      </c>
      <c r="J525" s="50" t="n">
        <f aca="false">BT525*Parameter!$B$18</f>
        <v>200</v>
      </c>
      <c r="K525" s="51" t="n">
        <v>0</v>
      </c>
      <c r="L525" s="52" t="n">
        <v>0</v>
      </c>
      <c r="M525" s="50" t="n">
        <v>12</v>
      </c>
      <c r="N525" s="50" t="n">
        <v>200</v>
      </c>
      <c r="O525" s="53" t="n">
        <v>21</v>
      </c>
      <c r="P525" s="48" t="s">
        <v>177</v>
      </c>
      <c r="Q525" s="50"/>
      <c r="R525" s="53" t="n">
        <f aca="false">IF(BZ525=1,0,IFERROR(VLOOKUP(BX525,'Gebinde-Kategorie'!$A$5:$N$45,13,0)+0,0))</f>
        <v>26</v>
      </c>
      <c r="S525" s="54"/>
      <c r="T525" s="55" t="s">
        <v>284</v>
      </c>
      <c r="U525" s="55"/>
      <c r="V525" s="55"/>
      <c r="W525" s="48"/>
      <c r="X525" s="50"/>
      <c r="Y525" s="50"/>
      <c r="Z525" s="48" t="n">
        <f aca="false">IF(A525="","",IF(AND(Parameter!$B$21="Ja",ISNUMBER(W525)),W525,IF(CC525="2+3",IF(ISNUMBER(SEARCH("grosser Artikel",BU525)),2,IFERROR(VLOOKUP(BX525,Parameter!$F$35:$G$64,2,0),2)),IF(OR(CC525="Nein",CC525=""),"-",CC525))))</f>
        <v>3</v>
      </c>
      <c r="AA525" s="55"/>
      <c r="AB525" s="56"/>
      <c r="AC525" s="50" t="n">
        <f aca="false">AV525</f>
        <v>212</v>
      </c>
      <c r="AD525" s="50" t="n">
        <f aca="false">MAX(AV525,H525)</f>
        <v>212</v>
      </c>
      <c r="AE525" s="57"/>
      <c r="AF525" s="50" t="n">
        <f aca="false">IF(LEFT(Cockpit!$C$5,1)="A",H525,IF(Parameter!$E$30="MAX-Bestand",IF(CH525=1,CI525,IF(LEFT(Cockpit!$C$5,1)="B",AL525,MAX(AL525,H525))),ROUNDUP(AJ525,0)))</f>
        <v>200</v>
      </c>
      <c r="AG525" s="50" t="n">
        <f aca="false">IF(BZ525=1,0,ROUNDUP(AF525/BY525,0))</f>
        <v>1</v>
      </c>
      <c r="AH525" s="52" t="n">
        <f aca="false">IF(CQ525&gt;0,CQ525*MAX(1,AF525/X525),IF(BZ525=1,IF(AF525&lt;=0,0,CD525*MAX(1,IF(H525&gt;0,AF525/H525,1))),IF(R525&gt;0,AG525/R525,0))/MAX(0.1,N(Parameter!$M$21)))</f>
        <v>0.0384615384615385</v>
      </c>
      <c r="AI525" s="50" t="n">
        <f aca="false">AH525*CB525</f>
        <v>5.96153846153846</v>
      </c>
      <c r="AJ525" s="51" t="n">
        <f aca="false">IF(LEFT(Cockpit!$C$5,1)="A",H525,IF(CH525=1,(CK525+CI525)/2,IF(LEFT(Cockpit!$C$5,1)="B",(CK525+AL525)/2,MAX((CK525+AL525)/2,H525))))</f>
        <v>200</v>
      </c>
      <c r="AK525" s="50" t="n">
        <f aca="false">AJ525*G525</f>
        <v>28</v>
      </c>
      <c r="AL525" s="50" t="n">
        <f aca="false">ROUNDUP(CK525+MAX(CL525,2*(J525/IF(CG525&gt;0,CG525,MAX(0.1,N(Cockpit!$C$6)))-CK525)),0)</f>
        <v>212</v>
      </c>
      <c r="AM525" s="51" t="n">
        <f aca="false">IF(AI525&gt;0,J525/AI525,-1)</f>
        <v>33.5483870967742</v>
      </c>
      <c r="AN525" s="51" t="n">
        <f aca="false">IF(AND(OR(CF525="L1",CF525="L23",CF525="LIFT"),AI525&gt;0),SUMIFS($AI$7:$AI$1843,$CF$7:$CF$1843,CF525,$AM$7:$AM$1843,"&gt;"&amp;AM525)+SUMIFS($AI$7:$AI$1843,$CF$7:$CF$1843,CF525,$AM$7:$AM$1843,AM525,$BW$7:$BW$1843,"&lt;="&amp;BW525),"")</f>
        <v>1322.60302197802</v>
      </c>
      <c r="AO525" s="58" t="n">
        <f aca="false">IF(AN525="",0,MAX(0,MIN(1,(IF(CF525="L1",Parameter!$H$5,IF(CF525="L23",Parameter!$H$6+Parameter!$H$7,Parameter!$H$5+Parameter!$H$6+Parameter!$H$7))-(AN525-AI525))/AI525)))</f>
        <v>1</v>
      </c>
      <c r="AP525" s="50" t="n">
        <f aca="false">IF(LEFT(Cockpit!$I$5,1)="A",H525,IF(Parameter!$E$30="MAX-Bestand",IF(CH525=1,CI525,IF(LEFT(Cockpit!$I$5,1)="B",AV525,MAX(AV525,H525))),ROUNDUP(AT525,0)))</f>
        <v>200</v>
      </c>
      <c r="AQ525" s="50" t="n">
        <f aca="false">IF(BZ525=1,0,ROUNDUP(AP525/BY525,0))</f>
        <v>1</v>
      </c>
      <c r="AR525" s="52" t="n">
        <f aca="false">IF(CQ525&gt;0,CQ525*MAX(1,AP525/X525),IF(BZ525=1,IF(AP525&lt;=0,0,CD525*MAX(1,IF(H525&gt;0,AP525/H525,1))),IF(R525&gt;0,AQ525/R525,0))/MAX(0.1,N(Parameter!$M$21)))</f>
        <v>0.0384615384615385</v>
      </c>
      <c r="AS525" s="50" t="n">
        <f aca="false">AR525*CB525</f>
        <v>5.96153846153846</v>
      </c>
      <c r="AT525" s="51" t="n">
        <f aca="false">IF(LEFT(Cockpit!$I$5,1)="A",H525,IF(CH525=1,(CK525+CI525)/2,IF(LEFT(Cockpit!$I$5,1)="B",(CK525+AV525)/2,MAX((CK525+AV525)/2,H525))))</f>
        <v>200</v>
      </c>
      <c r="AU525" s="50" t="n">
        <f aca="false">AT525*G525</f>
        <v>28</v>
      </c>
      <c r="AV525" s="50" t="n">
        <f aca="false">ROUNDUP(CK525+MAX(CL525,2*(J525/IF(CG525&gt;0,CG525,MAX(0.1,N(Cockpit!$I$6)))-CK525)),0)</f>
        <v>212</v>
      </c>
      <c r="AW525" s="51" t="n">
        <f aca="false">IF(AS525&gt;0,J525/AS525,-1)</f>
        <v>33.5483870967742</v>
      </c>
      <c r="AX525" s="51" t="n">
        <f aca="false">IF(AND(OR(CF525="L1",CF525="L23",CF525="LIFT"),AS525&gt;0),SUMIFS($AS$7:$AS$1843,$CF$7:$CF$1843,CF525,$AW$7:$AW$1843,"&gt;"&amp;AW525)+SUMIFS($AS$7:$AS$1843,$CF$7:$CF$1843,CF525,$AW$7:$AW$1843,AW525,$BW$7:$BW$1843,"&lt;="&amp;BW525),"")</f>
        <v>1643.36904761905</v>
      </c>
      <c r="AY525" s="58" t="n">
        <f aca="false">IF(AX525="",0,MAX(0,MIN(1,(IF(CF525="L1",Parameter!$H$5,IF(CF525="L23",Parameter!$H$6+Parameter!$H$7,Parameter!$H$5+Parameter!$H$6+Parameter!$H$7))-(AX525-AS525))/AS525)))</f>
        <v>1</v>
      </c>
      <c r="AZ525" s="50" t="n">
        <f aca="false">IF(LEFT(Cockpit!$O$5,1)="A",H525,IF(Parameter!$E$30="MAX-Bestand",IF(CH525=1,CI525,IF(LEFT(Cockpit!$O$5,1)="B",BF525,MAX(BF525,H525))),ROUNDUP(BD525,0)))</f>
        <v>112</v>
      </c>
      <c r="BA525" s="50" t="n">
        <f aca="false">IF(BZ525=1,0,ROUNDUP(AZ525/BY525,0))</f>
        <v>1</v>
      </c>
      <c r="BB525" s="52" t="n">
        <f aca="false">IF(CQ525&gt;0,CQ525*MAX(1,AZ525/X525),IF(BZ525=1,IF(AZ525&lt;=0,0,CD525*MAX(1,IF(H525&gt;0,AZ525/H525,1))),IF(R525&gt;0,BA525/R525,0))/MAX(0.1,N(Parameter!$M$21)))</f>
        <v>0.0384615384615385</v>
      </c>
      <c r="BC525" s="50" t="n">
        <f aca="false">BB525*CB525</f>
        <v>5.96153846153846</v>
      </c>
      <c r="BD525" s="51" t="n">
        <f aca="false">IF(LEFT(Cockpit!$O$5,1)="A",H525,IF(CH525=1,(CK525+CI525)/2,IF(LEFT(Cockpit!$O$5,1)="B",(CK525+BF525)/2,MAX((CK525+BF525)/2,H525))))</f>
        <v>112</v>
      </c>
      <c r="BE525" s="50" t="n">
        <f aca="false">BD525*G525</f>
        <v>15.68</v>
      </c>
      <c r="BF525" s="50" t="n">
        <f aca="false">ROUNDUP(CK525+MAX(CL525,2*(J525/IF(CG525&gt;0,CG525,MAX(0.1,N(Cockpit!$O$6)))-CK525)),0)</f>
        <v>212</v>
      </c>
      <c r="BG525" s="51" t="n">
        <f aca="false">IF(BC525&gt;0,J525/BC525,-1)</f>
        <v>33.5483870967742</v>
      </c>
      <c r="BH525" s="51" t="n">
        <f aca="false">IF(AND(OR(CF525="L1",CF525="L23",CF525="LIFT"),BC525&gt;0),SUMIFS($BC$7:$BC$1843,$CF$7:$CF$1843,CF525,$BG$7:$BG$1843,"&gt;"&amp;BG525)+SUMIFS($BC$7:$BC$1843,$CF$7:$CF$1843,CF525,$BG$7:$BG$1843,BG525,$BW$7:$BW$1843,"&lt;="&amp;BW525),"")</f>
        <v>1577.08333333333</v>
      </c>
      <c r="BI525" s="58" t="n">
        <f aca="false">IF(BH525="",0,MAX(0,MIN(1,(IF(CF525="L1",Parameter!$H$5,IF(CF525="L23",Parameter!$H$6+Parameter!$H$7,Parameter!$H$5+Parameter!$H$6+Parameter!$H$7))-(BH525-BC525))/BC525)))</f>
        <v>1</v>
      </c>
      <c r="BJ525" s="48" t="str">
        <f aca="false">IF(AI525&lt;=0,"",IF(CF525="Aussen","Aussenlager",IF(CF525="-","Nicht im Lift",IF(AO525&gt;=1,"Lift",IF(AO525&lt;=0,"Aussenlager","teilweise")))))</f>
        <v>Lift</v>
      </c>
      <c r="BK525" s="48" t="str">
        <f aca="false">IF(AS525&lt;=0,"",IF(CF525="Aussen","Aussenlager",IF(CF525="-","Nicht im Lift",IF(AY525&gt;=1,"Lift",IF(AY525&lt;=0,"Aussenlager","teilweise")))))</f>
        <v>Lift</v>
      </c>
      <c r="BL525" s="48" t="str">
        <f aca="false">IF(BC525&lt;=0,"",IF(CF525="Aussen","Aussenlager",IF(CF525="-","Nicht im Lift",IF(BI525&gt;=1,"Lift",IF(BI525&lt;=0,"Aussenlager","teilweise")))))</f>
        <v>Lift</v>
      </c>
      <c r="BM525" s="48" t="str">
        <f aca="false">IF(A525="","",IF(BV525=1,"Neu; ","")&amp;IF(AND(BV525=0,BQ525&lt;0),"negativer Bestand (Export "&amp;BQ525&amp;"); ","")&amp;IF(J525&lt;=0,"Kein Verbrauch; ","")&amp;IF(CQ525&gt;0,"Lift "&amp;W525&amp;" lt. Liftbericht (Fach "&amp;X525&amp;" Stk); ",IF(CA525=1,"Gebinde geschätzt ("&amp;T525&amp;"); ",IF(BZ525=1,"Lose – Tablare geschätzt; ","")))&amp;IF(H525&gt;AV525,"Überbestand "&amp;ROUND(H525-AV525,0)&amp;" Stk / CHF "&amp;ROUND((H525-AV525)*G525,0)&amp;"; ","")&amp;IF(AND(CH525=1,CI525&lt;CJ525),"MAX &lt; MB+LG; ","")&amp;IF(AND(CP525&gt;0,CO525*10&gt;CP525),"zu hoch für Tablar; ","")&amp;IF(AND(BV525=0,OR(CH525=1,AA525&lt;&gt;"",U525&lt;&gt;"",V525&lt;&gt;"",AB525&lt;&gt;"")),"manuell übersteuert; ","")&amp;IF(AND(BZ525=0,R525=0),"Gebinde unbekannt / Stellmass fehlt; ","")&amp;IF(AND(BZ525=0,N(V525)&lt;=0,N(Q525)&lt;=0),"Menge pro Gebinde fehlt (Ist = 1 Gebinde); ","")&amp;BU525)</f>
        <v>Gebinde geschätzt (Klein); Menge pro Gebinde fehlt (Ist = 1 Gebinde); </v>
      </c>
      <c r="BN525" s="48"/>
      <c r="BO525" s="48"/>
      <c r="BP525" s="55"/>
      <c r="BQ525" s="50" t="n">
        <v>200</v>
      </c>
      <c r="BR525" s="50" t="n">
        <v>0</v>
      </c>
      <c r="BS525" s="49" t="n">
        <v>28</v>
      </c>
      <c r="BT525" s="50" t="n">
        <v>200</v>
      </c>
      <c r="BU525" s="48"/>
      <c r="BV525" s="53" t="n">
        <v>0</v>
      </c>
      <c r="BW525" s="53" t="n">
        <v>525</v>
      </c>
      <c r="BX525" s="48" t="str">
        <f aca="false">IF(U525&lt;&gt;"",UPPER(TRIM(U525)),IF(CA525=1,UPPER(VLOOKUP(T525,Parameter!$I$27:$K$29,2,0)),IF(P525="","LOSE",P525)))</f>
        <v>S51</v>
      </c>
      <c r="BY525" s="50" t="n">
        <f aca="false">IF(BX525="LOSE",1,IF(N(V525)&gt;0,V525,IF(CA525=1,MAX(1,N(VLOOKUP(T525,Parameter!$I$27:$K$29,3,0)),H525,N(N525)),IF(N(Q525)&gt;0,Q525,MAX(1,H525)))))</f>
        <v>200</v>
      </c>
      <c r="BZ525" s="53" t="n">
        <f aca="false">IF(BX525="LOSE",1,0)</f>
        <v>0</v>
      </c>
      <c r="CA525" s="53" t="n">
        <f aca="false">IF(AND(U525="",OR(P525="",P525="LOSE"),T525&lt;&gt;"",N(S525)&lt;=0,ISNUMBER(MATCH(T525,Parameter!$I$27:$I$29,0))),1,0)</f>
        <v>1</v>
      </c>
      <c r="CB525" s="53" t="n">
        <f aca="false">IF(CQ525&gt;0,INDEX(Parameter!$H$5:$H$7,W525)/INDEX(Parameter!$E$5:$E$7,W525),IF(AND(BZ525=0,N(IFERROR(VLOOKUP(BX525,'Gebinde-Kategorie'!$A$5:$N$45,14,0),0))&gt;0),VLOOKUP(BX525,'Gebinde-Kategorie'!$A$5:$N$45,14,0)*10+Parameter!$M$23,Parameter!$M$24))</f>
        <v>155</v>
      </c>
      <c r="CC525" s="48" t="str">
        <f aca="false">IF(AND(Parameter!$B$19="Ja",E525&lt;&gt;"",ISNUMBER(MATCH(E525,Parameter!$I$35:$I$52,0))),VLOOKUP(E525,Parameter!$I$35:$J$52,2,0),IFERROR(VLOOKUP(D525,Parameter!$A$35:$C$64,2,0),"Nein"))</f>
        <v>2+3</v>
      </c>
      <c r="CD525" s="52" t="n">
        <f aca="false">IF(BZ525=0,0,IF(N(S525)&gt;0,S525,IFERROR(VLOOKUP(D525,Parameter!$A$35:$C$64,3,0)+0,0)))</f>
        <v>0</v>
      </c>
      <c r="CE525" s="48" t="n">
        <f aca="false">IF(AA525&lt;&gt;"",AA525,Z525)</f>
        <v>3</v>
      </c>
      <c r="CF525" s="48" t="str">
        <f aca="false">IF(OR(CE525=1,CE525=2,CE525=3),IF(Parameter!$E$27="Ja","LIFT",IF(CE525=1,"L1","L23")),IF(CE525="Aussen","Aussen","-"))</f>
        <v>LIFT</v>
      </c>
      <c r="CG525" s="59" t="n">
        <f aca="false">IF(N(AB525)&gt;0,AB525,0)</f>
        <v>0</v>
      </c>
      <c r="CH525" s="53" t="n">
        <f aca="false">IF(ISNUMBER(AE525),1,0)</f>
        <v>0</v>
      </c>
      <c r="CI525" s="50" t="n">
        <f aca="false">N(AE525)</f>
        <v>0</v>
      </c>
      <c r="CJ525" s="50" t="n">
        <f aca="false">N(M525)+N(N525)</f>
        <v>212</v>
      </c>
      <c r="CK525" s="50" t="n">
        <f aca="false">N(M525)</f>
        <v>12</v>
      </c>
      <c r="CL525" s="50" t="n">
        <f aca="false">N(N525)</f>
        <v>200</v>
      </c>
      <c r="CM525" s="50" t="n">
        <f aca="false">ROUNDUP(H525/BY525,0)</f>
        <v>1</v>
      </c>
      <c r="CN525" s="50" t="n">
        <f aca="false">ROUNDUP(CI525/BY525,0)</f>
        <v>0</v>
      </c>
      <c r="CO525" s="53" t="n">
        <f aca="false">IF(BZ525=1,0,IFERROR(VLOOKUP(BX525,'Gebinde-Kategorie'!$A$5:$N$45,5,0)+0,0))</f>
        <v>11</v>
      </c>
      <c r="CP525" s="53" t="n">
        <f aca="false">IFERROR(IF(OR(CE525=1,CE525=2,CE525=3),N(INDEX(Parameter!$I$5:$I$7,CE525)),0),0)</f>
        <v>0</v>
      </c>
      <c r="CQ525" s="52" t="n">
        <f aca="false">IF(AND(Parameter!$B$21="Ja",ISNUMBER(W525),N(X525)&gt;0),IFERROR(N(INDEX(Parameter!$L$5:$L$7,W525))*INDEX(Parameter!$E$5:$E$7,W525)*X525/SUMIFS($X$7:$X$1843,$W$7:$W$1843,W525),0),0)</f>
        <v>0</v>
      </c>
    </row>
    <row r="526" customFormat="false" ht="15" hidden="false" customHeight="false" outlineLevel="0" collapsed="false">
      <c r="A526" s="48" t="s">
        <v>1147</v>
      </c>
      <c r="B526" s="48" t="s">
        <v>958</v>
      </c>
      <c r="C526" s="48" t="s">
        <v>173</v>
      </c>
      <c r="D526" s="48" t="s">
        <v>193</v>
      </c>
      <c r="E526" s="48" t="s">
        <v>194</v>
      </c>
      <c r="F526" s="48" t="s">
        <v>227</v>
      </c>
      <c r="G526" s="49" t="n">
        <v>0.14</v>
      </c>
      <c r="H526" s="50" t="n">
        <f aca="false">MAX(0,IF(AND(Parameter!$B$21="Ja",ISNUMBER(Y526)),Y526,IF(Parameter!$B$20="Jahresanfang 2025 + Export",BR526+BQ526,BQ526)))</f>
        <v>435</v>
      </c>
      <c r="I526" s="50" t="n">
        <f aca="false">H526*G526</f>
        <v>60.9</v>
      </c>
      <c r="J526" s="50" t="n">
        <f aca="false">BT526*Parameter!$B$18</f>
        <v>392</v>
      </c>
      <c r="K526" s="51" t="n">
        <v>237</v>
      </c>
      <c r="L526" s="52" t="n">
        <v>1.65400843881857</v>
      </c>
      <c r="M526" s="50" t="n">
        <v>22</v>
      </c>
      <c r="N526" s="50" t="n">
        <v>400</v>
      </c>
      <c r="O526" s="53" t="n">
        <v>21</v>
      </c>
      <c r="P526" s="48" t="s">
        <v>311</v>
      </c>
      <c r="Q526" s="50" t="n">
        <v>219</v>
      </c>
      <c r="R526" s="53" t="n">
        <f aca="false">IF(BZ526=1,0,IFERROR(VLOOKUP(BX526,'Gebinde-Kategorie'!$A$5:$N$45,13,0)+0,0))</f>
        <v>26</v>
      </c>
      <c r="S526" s="54"/>
      <c r="T526" s="55"/>
      <c r="U526" s="55"/>
      <c r="V526" s="55"/>
      <c r="W526" s="48"/>
      <c r="X526" s="50"/>
      <c r="Y526" s="50"/>
      <c r="Z526" s="48" t="n">
        <f aca="false">IF(A526="","",IF(AND(Parameter!$B$21="Ja",ISNUMBER(W526)),W526,IF(CC526="2+3",IF(ISNUMBER(SEARCH("grosser Artikel",BU526)),2,IFERROR(VLOOKUP(BX526,Parameter!$F$35:$G$64,2,0),2)),IF(OR(CC526="Nein",CC526=""),"-",CC526))))</f>
        <v>3</v>
      </c>
      <c r="AA526" s="55"/>
      <c r="AB526" s="56"/>
      <c r="AC526" s="50" t="n">
        <f aca="false">AV526</f>
        <v>422</v>
      </c>
      <c r="AD526" s="50" t="n">
        <f aca="false">MAX(AV526,H526)</f>
        <v>435</v>
      </c>
      <c r="AE526" s="57"/>
      <c r="AF526" s="50" t="n">
        <f aca="false">IF(LEFT(Cockpit!$C$5,1)="A",H526,IF(Parameter!$E$30="MAX-Bestand",IF(CH526=1,CI526,IF(LEFT(Cockpit!$C$5,1)="B",AL526,MAX(AL526,H526))),ROUNDUP(AJ526,0)))</f>
        <v>435</v>
      </c>
      <c r="AG526" s="50" t="n">
        <f aca="false">IF(BZ526=1,0,ROUNDUP(AF526/BY526,0))</f>
        <v>2</v>
      </c>
      <c r="AH526" s="52" t="n">
        <f aca="false">IF(CQ526&gt;0,CQ526*MAX(1,AF526/X526),IF(BZ526=1,IF(AF526&lt;=0,0,CD526*MAX(1,IF(H526&gt;0,AF526/H526,1))),IF(R526&gt;0,AG526/R526,0))/MAX(0.1,N(Parameter!$M$21)))</f>
        <v>0.0769230769230769</v>
      </c>
      <c r="AI526" s="50" t="n">
        <f aca="false">AH526*CB526</f>
        <v>11.9230769230769</v>
      </c>
      <c r="AJ526" s="51" t="n">
        <f aca="false">IF(LEFT(Cockpit!$C$5,1)="A",H526,IF(CH526=1,(CK526+CI526)/2,IF(LEFT(Cockpit!$C$5,1)="B",(CK526+AL526)/2,MAX((CK526+AL526)/2,H526))))</f>
        <v>435</v>
      </c>
      <c r="AK526" s="50" t="n">
        <f aca="false">AJ526*G526</f>
        <v>60.9</v>
      </c>
      <c r="AL526" s="50" t="n">
        <f aca="false">ROUNDUP(CK526+MAX(CL526,2*(J526/IF(CG526&gt;0,CG526,MAX(0.1,N(Cockpit!$C$6)))-CK526)),0)</f>
        <v>422</v>
      </c>
      <c r="AM526" s="51" t="n">
        <f aca="false">IF(AI526&gt;0,J526/AI526,-1)</f>
        <v>32.8774193548387</v>
      </c>
      <c r="AN526" s="51" t="n">
        <f aca="false">IF(AND(OR(CF526="L1",CF526="L23",CF526="LIFT"),AI526&gt;0),SUMIFS($AI$7:$AI$1843,$CF$7:$CF$1843,CF526,$AM$7:$AM$1843,"&gt;"&amp;AM526)+SUMIFS($AI$7:$AI$1843,$CF$7:$CF$1843,CF526,$AM$7:$AM$1843,AM526,$BW$7:$BW$1843,"&lt;="&amp;BW526),"")</f>
        <v>1334.5260989011</v>
      </c>
      <c r="AO526" s="58" t="n">
        <f aca="false">IF(AN526="",0,MAX(0,MIN(1,(IF(CF526="L1",Parameter!$H$5,IF(CF526="L23",Parameter!$H$6+Parameter!$H$7,Parameter!$H$5+Parameter!$H$6+Parameter!$H$7))-(AN526-AI526))/AI526)))</f>
        <v>1</v>
      </c>
      <c r="AP526" s="50" t="n">
        <f aca="false">IF(LEFT(Cockpit!$I$5,1)="A",H526,IF(Parameter!$E$30="MAX-Bestand",IF(CH526=1,CI526,IF(LEFT(Cockpit!$I$5,1)="B",AV526,MAX(AV526,H526))),ROUNDUP(AT526,0)))</f>
        <v>435</v>
      </c>
      <c r="AQ526" s="50" t="n">
        <f aca="false">IF(BZ526=1,0,ROUNDUP(AP526/BY526,0))</f>
        <v>2</v>
      </c>
      <c r="AR526" s="52" t="n">
        <f aca="false">IF(CQ526&gt;0,CQ526*MAX(1,AP526/X526),IF(BZ526=1,IF(AP526&lt;=0,0,CD526*MAX(1,IF(H526&gt;0,AP526/H526,1))),IF(R526&gt;0,AQ526/R526,0))/MAX(0.1,N(Parameter!$M$21)))</f>
        <v>0.0769230769230769</v>
      </c>
      <c r="AS526" s="50" t="n">
        <f aca="false">AR526*CB526</f>
        <v>11.9230769230769</v>
      </c>
      <c r="AT526" s="51" t="n">
        <f aca="false">IF(LEFT(Cockpit!$I$5,1)="A",H526,IF(CH526=1,(CK526+CI526)/2,IF(LEFT(Cockpit!$I$5,1)="B",(CK526+AV526)/2,MAX((CK526+AV526)/2,H526))))</f>
        <v>435</v>
      </c>
      <c r="AU526" s="50" t="n">
        <f aca="false">AT526*G526</f>
        <v>60.9</v>
      </c>
      <c r="AV526" s="50" t="n">
        <f aca="false">ROUNDUP(CK526+MAX(CL526,2*(J526/IF(CG526&gt;0,CG526,MAX(0.1,N(Cockpit!$I$6)))-CK526)),0)</f>
        <v>422</v>
      </c>
      <c r="AW526" s="51" t="n">
        <f aca="false">IF(AS526&gt;0,J526/AS526,-1)</f>
        <v>32.8774193548387</v>
      </c>
      <c r="AX526" s="51" t="n">
        <f aca="false">IF(AND(OR(CF526="L1",CF526="L23",CF526="LIFT"),AS526&gt;0),SUMIFS($AS$7:$AS$1843,$CF$7:$CF$1843,CF526,$AW$7:$AW$1843,"&gt;"&amp;AW526)+SUMIFS($AS$7:$AS$1843,$CF$7:$CF$1843,CF526,$AW$7:$AW$1843,AW526,$BW$7:$BW$1843,"&lt;="&amp;BW526),"")</f>
        <v>1727.79212454212</v>
      </c>
      <c r="AY526" s="58" t="n">
        <f aca="false">IF(AX526="",0,MAX(0,MIN(1,(IF(CF526="L1",Parameter!$H$5,IF(CF526="L23",Parameter!$H$6+Parameter!$H$7,Parameter!$H$5+Parameter!$H$6+Parameter!$H$7))-(AX526-AS526))/AS526)))</f>
        <v>1</v>
      </c>
      <c r="AZ526" s="50" t="n">
        <f aca="false">IF(LEFT(Cockpit!$O$5,1)="A",H526,IF(Parameter!$E$30="MAX-Bestand",IF(CH526=1,CI526,IF(LEFT(Cockpit!$O$5,1)="B",BF526,MAX(BF526,H526))),ROUNDUP(BD526,0)))</f>
        <v>222</v>
      </c>
      <c r="BA526" s="50" t="n">
        <f aca="false">IF(BZ526=1,0,ROUNDUP(AZ526/BY526,0))</f>
        <v>2</v>
      </c>
      <c r="BB526" s="52" t="n">
        <f aca="false">IF(CQ526&gt;0,CQ526*MAX(1,AZ526/X526),IF(BZ526=1,IF(AZ526&lt;=0,0,CD526*MAX(1,IF(H526&gt;0,AZ526/H526,1))),IF(R526&gt;0,BA526/R526,0))/MAX(0.1,N(Parameter!$M$21)))</f>
        <v>0.0769230769230769</v>
      </c>
      <c r="BC526" s="50" t="n">
        <f aca="false">BB526*CB526</f>
        <v>11.9230769230769</v>
      </c>
      <c r="BD526" s="51" t="n">
        <f aca="false">IF(LEFT(Cockpit!$O$5,1)="A",H526,IF(CH526=1,(CK526+CI526)/2,IF(LEFT(Cockpit!$O$5,1)="B",(CK526+BF526)/2,MAX((CK526+BF526)/2,H526))))</f>
        <v>222</v>
      </c>
      <c r="BE526" s="50" t="n">
        <f aca="false">BD526*G526</f>
        <v>31.08</v>
      </c>
      <c r="BF526" s="50" t="n">
        <f aca="false">ROUNDUP(CK526+MAX(CL526,2*(J526/IF(CG526&gt;0,CG526,MAX(0.1,N(Cockpit!$O$6)))-CK526)),0)</f>
        <v>422</v>
      </c>
      <c r="BG526" s="51" t="n">
        <f aca="false">IF(BC526&gt;0,J526/BC526,-1)</f>
        <v>32.8774193548387</v>
      </c>
      <c r="BH526" s="51" t="n">
        <f aca="false">IF(AND(OR(CF526="L1",CF526="L23",CF526="LIFT"),BC526&gt;0),SUMIFS($BC$7:$BC$1843,$CF$7:$CF$1843,CF526,$BG$7:$BG$1843,"&gt;"&amp;BG526)+SUMIFS($BC$7:$BC$1843,$CF$7:$CF$1843,CF526,$BG$7:$BG$1843,BG526,$BW$7:$BW$1843,"&lt;="&amp;BW526),"")</f>
        <v>1667.46794871795</v>
      </c>
      <c r="BI526" s="58" t="n">
        <f aca="false">IF(BH526="",0,MAX(0,MIN(1,(IF(CF526="L1",Parameter!$H$5,IF(CF526="L23",Parameter!$H$6+Parameter!$H$7,Parameter!$H$5+Parameter!$H$6+Parameter!$H$7))-(BH526-BC526))/BC526)))</f>
        <v>1</v>
      </c>
      <c r="BJ526" s="48" t="str">
        <f aca="false">IF(AI526&lt;=0,"",IF(CF526="Aussen","Aussenlager",IF(CF526="-","Nicht im Lift",IF(AO526&gt;=1,"Lift",IF(AO526&lt;=0,"Aussenlager","teilweise")))))</f>
        <v>Lift</v>
      </c>
      <c r="BK526" s="48" t="str">
        <f aca="false">IF(AS526&lt;=0,"",IF(CF526="Aussen","Aussenlager",IF(CF526="-","Nicht im Lift",IF(AY526&gt;=1,"Lift",IF(AY526&lt;=0,"Aussenlager","teilweise")))))</f>
        <v>Lift</v>
      </c>
      <c r="BL526" s="48" t="str">
        <f aca="false">IF(BC526&lt;=0,"",IF(CF526="Aussen","Aussenlager",IF(CF526="-","Nicht im Lift",IF(BI526&gt;=1,"Lift",IF(BI526&lt;=0,"Aussenlager","teilweise")))))</f>
        <v>Lift</v>
      </c>
      <c r="BM526" s="48" t="str">
        <f aca="false">IF(A526="","",IF(BV526=1,"Neu; ","")&amp;IF(AND(BV526=0,BQ526&lt;0),"negativer Bestand (Export "&amp;BQ526&amp;"); ","")&amp;IF(J526&lt;=0,"Kein Verbrauch; ","")&amp;IF(CQ526&gt;0,"Lift "&amp;W526&amp;" lt. Liftbericht (Fach "&amp;X526&amp;" Stk); ",IF(CA526=1,"Gebinde geschätzt ("&amp;T526&amp;"); ",IF(BZ526=1,"Lose – Tablare geschätzt; ","")))&amp;IF(H526&gt;AV526,"Überbestand "&amp;ROUND(H526-AV526,0)&amp;" Stk / CHF "&amp;ROUND((H526-AV526)*G526,0)&amp;"; ","")&amp;IF(AND(CH526=1,CI526&lt;CJ526),"MAX &lt; MB+LG; ","")&amp;IF(AND(CP526&gt;0,CO526*10&gt;CP526),"zu hoch für Tablar; ","")&amp;IF(AND(BV526=0,OR(CH526=1,AA526&lt;&gt;"",U526&lt;&gt;"",V526&lt;&gt;"",AB526&lt;&gt;"")),"manuell übersteuert; ","")&amp;IF(AND(BZ526=0,R526=0),"Gebinde unbekannt / Stellmass fehlt; ","")&amp;IF(AND(BZ526=0,N(V526)&lt;=0,N(Q526)&lt;=0),"Menge pro Gebinde fehlt (Ist = 1 Gebinde); ","")&amp;BU526)</f>
        <v>Überbestand 13 Stk / CHF 2; </v>
      </c>
      <c r="BN526" s="48"/>
      <c r="BO526" s="48"/>
      <c r="BP526" s="55"/>
      <c r="BQ526" s="50" t="n">
        <v>196</v>
      </c>
      <c r="BR526" s="50" t="n">
        <v>239</v>
      </c>
      <c r="BS526" s="49" t="n">
        <v>27.79</v>
      </c>
      <c r="BT526" s="50" t="n">
        <v>392</v>
      </c>
      <c r="BU526" s="48"/>
      <c r="BV526" s="53" t="n">
        <v>0</v>
      </c>
      <c r="BW526" s="53" t="n">
        <v>526</v>
      </c>
      <c r="BX526" s="48" t="str">
        <f aca="false">IF(U526&lt;&gt;"",UPPER(TRIM(U526)),IF(CA526=1,UPPER(VLOOKUP(T526,Parameter!$I$27:$K$29,2,0)),IF(P526="","LOSE",P526)))</f>
        <v>S51</v>
      </c>
      <c r="BY526" s="50" t="n">
        <f aca="false">IF(BX526="LOSE",1,IF(N(V526)&gt;0,V526,IF(CA526=1,MAX(1,N(VLOOKUP(T526,Parameter!$I$27:$K$29,3,0)),H526,N(N526)),IF(N(Q526)&gt;0,Q526,MAX(1,H526)))))</f>
        <v>219</v>
      </c>
      <c r="BZ526" s="53" t="n">
        <f aca="false">IF(BX526="LOSE",1,0)</f>
        <v>0</v>
      </c>
      <c r="CA526" s="53" t="n">
        <f aca="false">IF(AND(U526="",OR(P526="",P526="LOSE"),T526&lt;&gt;"",N(S526)&lt;=0,ISNUMBER(MATCH(T526,Parameter!$I$27:$I$29,0))),1,0)</f>
        <v>0</v>
      </c>
      <c r="CB526" s="53" t="n">
        <f aca="false">IF(CQ526&gt;0,INDEX(Parameter!$H$5:$H$7,W526)/INDEX(Parameter!$E$5:$E$7,W526),IF(AND(BZ526=0,N(IFERROR(VLOOKUP(BX526,'Gebinde-Kategorie'!$A$5:$N$45,14,0),0))&gt;0),VLOOKUP(BX526,'Gebinde-Kategorie'!$A$5:$N$45,14,0)*10+Parameter!$M$23,Parameter!$M$24))</f>
        <v>155</v>
      </c>
      <c r="CC526" s="48" t="str">
        <f aca="false">IF(AND(Parameter!$B$19="Ja",E526&lt;&gt;"",ISNUMBER(MATCH(E526,Parameter!$I$35:$I$52,0))),VLOOKUP(E526,Parameter!$I$35:$J$52,2,0),IFERROR(VLOOKUP(D526,Parameter!$A$35:$C$64,2,0),"Nein"))</f>
        <v>2+3</v>
      </c>
      <c r="CD526" s="52" t="n">
        <f aca="false">IF(BZ526=0,0,IF(N(S526)&gt;0,S526,IFERROR(VLOOKUP(D526,Parameter!$A$35:$C$64,3,0)+0,0)))</f>
        <v>0</v>
      </c>
      <c r="CE526" s="48" t="n">
        <f aca="false">IF(AA526&lt;&gt;"",AA526,Z526)</f>
        <v>3</v>
      </c>
      <c r="CF526" s="48" t="str">
        <f aca="false">IF(OR(CE526=1,CE526=2,CE526=3),IF(Parameter!$E$27="Ja","LIFT",IF(CE526=1,"L1","L23")),IF(CE526="Aussen","Aussen","-"))</f>
        <v>LIFT</v>
      </c>
      <c r="CG526" s="59" t="n">
        <f aca="false">IF(N(AB526)&gt;0,AB526,0)</f>
        <v>0</v>
      </c>
      <c r="CH526" s="53" t="n">
        <f aca="false">IF(ISNUMBER(AE526),1,0)</f>
        <v>0</v>
      </c>
      <c r="CI526" s="50" t="n">
        <f aca="false">N(AE526)</f>
        <v>0</v>
      </c>
      <c r="CJ526" s="50" t="n">
        <f aca="false">N(M526)+N(N526)</f>
        <v>422</v>
      </c>
      <c r="CK526" s="50" t="n">
        <f aca="false">N(M526)</f>
        <v>22</v>
      </c>
      <c r="CL526" s="50" t="n">
        <f aca="false">N(N526)</f>
        <v>400</v>
      </c>
      <c r="CM526" s="50" t="n">
        <f aca="false">ROUNDUP(H526/BY526,0)</f>
        <v>2</v>
      </c>
      <c r="CN526" s="50" t="n">
        <f aca="false">ROUNDUP(CI526/BY526,0)</f>
        <v>0</v>
      </c>
      <c r="CO526" s="53" t="n">
        <f aca="false">IF(BZ526=1,0,IFERROR(VLOOKUP(BX526,'Gebinde-Kategorie'!$A$5:$N$45,5,0)+0,0))</f>
        <v>11</v>
      </c>
      <c r="CP526" s="53" t="n">
        <f aca="false">IFERROR(IF(OR(CE526=1,CE526=2,CE526=3),N(INDEX(Parameter!$I$5:$I$7,CE526)),0),0)</f>
        <v>0</v>
      </c>
      <c r="CQ526" s="52" t="n">
        <f aca="false">IF(AND(Parameter!$B$21="Ja",ISNUMBER(W526),N(X526)&gt;0),IFERROR(N(INDEX(Parameter!$L$5:$L$7,W526))*INDEX(Parameter!$E$5:$E$7,W526)*X526/SUMIFS($X$7:$X$1843,$W$7:$W$1843,W526),0),0)</f>
        <v>0</v>
      </c>
    </row>
    <row r="527" customFormat="false" ht="15" hidden="false" customHeight="false" outlineLevel="0" collapsed="false">
      <c r="A527" s="48" t="s">
        <v>1148</v>
      </c>
      <c r="B527" s="48" t="s">
        <v>414</v>
      </c>
      <c r="C527" s="48" t="s">
        <v>173</v>
      </c>
      <c r="D527" s="48" t="s">
        <v>193</v>
      </c>
      <c r="E527" s="48" t="s">
        <v>194</v>
      </c>
      <c r="F527" s="48" t="s">
        <v>227</v>
      </c>
      <c r="G527" s="49" t="n">
        <v>0.03</v>
      </c>
      <c r="H527" s="50" t="n">
        <f aca="false">MAX(0,IF(AND(Parameter!$B$21="Ja",ISNUMBER(Y527)),Y527,IF(Parameter!$B$20="Jahresanfang 2025 + Export",BR527+BQ527,BQ527)))</f>
        <v>2086</v>
      </c>
      <c r="I527" s="50" t="n">
        <f aca="false">H527*G527</f>
        <v>62.58</v>
      </c>
      <c r="J527" s="50" t="n">
        <f aca="false">BT527*Parameter!$B$18</f>
        <v>2860</v>
      </c>
      <c r="K527" s="51" t="n">
        <v>1130</v>
      </c>
      <c r="L527" s="52" t="n">
        <v>2.53097345132743</v>
      </c>
      <c r="M527" s="50" t="n">
        <v>166</v>
      </c>
      <c r="N527" s="50" t="n">
        <v>1500</v>
      </c>
      <c r="O527" s="53" t="n">
        <v>21</v>
      </c>
      <c r="P527" s="48" t="s">
        <v>485</v>
      </c>
      <c r="Q527" s="50" t="n">
        <v>920</v>
      </c>
      <c r="R527" s="53" t="n">
        <f aca="false">IF(BZ527=1,0,IFERROR(VLOOKUP(BX527,'Gebinde-Kategorie'!$A$5:$N$45,13,0)+0,0))</f>
        <v>52</v>
      </c>
      <c r="S527" s="54"/>
      <c r="T527" s="55"/>
      <c r="U527" s="55"/>
      <c r="V527" s="55"/>
      <c r="W527" s="48"/>
      <c r="X527" s="50"/>
      <c r="Y527" s="50"/>
      <c r="Z527" s="48" t="n">
        <f aca="false">IF(A527="","",IF(AND(Parameter!$B$21="Ja",ISNUMBER(W527)),W527,IF(CC527="2+3",IF(ISNUMBER(SEARCH("grosser Artikel",BU527)),2,IFERROR(VLOOKUP(BX527,Parameter!$F$35:$G$64,2,0),2)),IF(OR(CC527="Nein",CC527=""),"-",CC527))))</f>
        <v>3</v>
      </c>
      <c r="AA527" s="55"/>
      <c r="AB527" s="56"/>
      <c r="AC527" s="50" t="n">
        <f aca="false">AV527</f>
        <v>1741</v>
      </c>
      <c r="AD527" s="50" t="n">
        <f aca="false">MAX(AV527,H527)</f>
        <v>2086</v>
      </c>
      <c r="AE527" s="57"/>
      <c r="AF527" s="50" t="n">
        <f aca="false">IF(LEFT(Cockpit!$C$5,1)="A",H527,IF(Parameter!$E$30="MAX-Bestand",IF(CH527=1,CI527,IF(LEFT(Cockpit!$C$5,1)="B",AL527,MAX(AL527,H527))),ROUNDUP(AJ527,0)))</f>
        <v>2086</v>
      </c>
      <c r="AG527" s="50" t="n">
        <f aca="false">IF(BZ527=1,0,ROUNDUP(AF527/BY527,0))</f>
        <v>3</v>
      </c>
      <c r="AH527" s="52" t="n">
        <f aca="false">IF(CQ527&gt;0,CQ527*MAX(1,AF527/X527),IF(BZ527=1,IF(AF527&lt;=0,0,CD527*MAX(1,IF(H527&gt;0,AF527/H527,1))),IF(R527&gt;0,AG527/R527,0))/MAX(0.1,N(Parameter!$M$21)))</f>
        <v>0.0576923076923077</v>
      </c>
      <c r="AI527" s="50" t="n">
        <f aca="false">AH527*CB527</f>
        <v>8.94230769230769</v>
      </c>
      <c r="AJ527" s="51" t="n">
        <f aca="false">IF(LEFT(Cockpit!$C$5,1)="A",H527,IF(CH527=1,(CK527+CI527)/2,IF(LEFT(Cockpit!$C$5,1)="B",(CK527+AL527)/2,MAX((CK527+AL527)/2,H527))))</f>
        <v>2086</v>
      </c>
      <c r="AK527" s="50" t="n">
        <f aca="false">AJ527*G527</f>
        <v>62.58</v>
      </c>
      <c r="AL527" s="50" t="n">
        <f aca="false">ROUNDUP(CK527+MAX(CL527,2*(J527/IF(CG527&gt;0,CG527,MAX(0.1,N(Cockpit!$C$6)))-CK527)),0)</f>
        <v>1741</v>
      </c>
      <c r="AM527" s="51" t="n">
        <f aca="false">IF(AI527&gt;0,J527/AI527,-1)</f>
        <v>319.827956989247</v>
      </c>
      <c r="AN527" s="51" t="n">
        <f aca="false">IF(AND(OR(CF527="L1",CF527="L23",CF527="LIFT"),AI527&gt;0),SUMIFS($AI$7:$AI$1843,$CF$7:$CF$1843,CF527,$AM$7:$AM$1843,"&gt;"&amp;AM527)+SUMIFS($AI$7:$AI$1843,$CF$7:$CF$1843,CF527,$AM$7:$AM$1843,AM527,$BW$7:$BW$1843,"&lt;="&amp;BW527),"")</f>
        <v>240.228021978022</v>
      </c>
      <c r="AO527" s="58" t="n">
        <f aca="false">IF(AN527="",0,MAX(0,MIN(1,(IF(CF527="L1",Parameter!$H$5,IF(CF527="L23",Parameter!$H$6+Parameter!$H$7,Parameter!$H$5+Parameter!$H$6+Parameter!$H$7))-(AN527-AI527))/AI527)))</f>
        <v>1</v>
      </c>
      <c r="AP527" s="50" t="n">
        <f aca="false">IF(LEFT(Cockpit!$I$5,1)="A",H527,IF(Parameter!$E$30="MAX-Bestand",IF(CH527=1,CI527,IF(LEFT(Cockpit!$I$5,1)="B",AV527,MAX(AV527,H527))),ROUNDUP(AT527,0)))</f>
        <v>2086</v>
      </c>
      <c r="AQ527" s="50" t="n">
        <f aca="false">IF(BZ527=1,0,ROUNDUP(AP527/BY527,0))</f>
        <v>3</v>
      </c>
      <c r="AR527" s="52" t="n">
        <f aca="false">IF(CQ527&gt;0,CQ527*MAX(1,AP527/X527),IF(BZ527=1,IF(AP527&lt;=0,0,CD527*MAX(1,IF(H527&gt;0,AP527/H527,1))),IF(R527&gt;0,AQ527/R527,0))/MAX(0.1,N(Parameter!$M$21)))</f>
        <v>0.0576923076923077</v>
      </c>
      <c r="AS527" s="50" t="n">
        <f aca="false">AR527*CB527</f>
        <v>8.94230769230769</v>
      </c>
      <c r="AT527" s="51" t="n">
        <f aca="false">IF(LEFT(Cockpit!$I$5,1)="A",H527,IF(CH527=1,(CK527+CI527)/2,IF(LEFT(Cockpit!$I$5,1)="B",(CK527+AV527)/2,MAX((CK527+AV527)/2,H527))))</f>
        <v>2086</v>
      </c>
      <c r="AU527" s="50" t="n">
        <f aca="false">AT527*G527</f>
        <v>62.58</v>
      </c>
      <c r="AV527" s="50" t="n">
        <f aca="false">ROUNDUP(CK527+MAX(CL527,2*(J527/IF(CG527&gt;0,CG527,MAX(0.1,N(Cockpit!$I$6)))-CK527)),0)</f>
        <v>1741</v>
      </c>
      <c r="AW527" s="51" t="n">
        <f aca="false">IF(AS527&gt;0,J527/AS527,-1)</f>
        <v>319.827956989247</v>
      </c>
      <c r="AX527" s="51" t="n">
        <f aca="false">IF(AND(OR(CF527="L1",CF527="L23",CF527="LIFT"),AS527&gt;0),SUMIFS($AS$7:$AS$1843,$CF$7:$CF$1843,CF527,$AW$7:$AW$1843,"&gt;"&amp;AW527)+SUMIFS($AS$7:$AS$1843,$CF$7:$CF$1843,CF527,$AW$7:$AW$1843,AW527,$BW$7:$BW$1843,"&lt;="&amp;BW527),"")</f>
        <v>193.290293040293</v>
      </c>
      <c r="AY527" s="58" t="n">
        <f aca="false">IF(AX527="",0,MAX(0,MIN(1,(IF(CF527="L1",Parameter!$H$5,IF(CF527="L23",Parameter!$H$6+Parameter!$H$7,Parameter!$H$5+Parameter!$H$6+Parameter!$H$7))-(AX527-AS527))/AS527)))</f>
        <v>1</v>
      </c>
      <c r="AZ527" s="50" t="n">
        <f aca="false">IF(LEFT(Cockpit!$O$5,1)="A",H527,IF(Parameter!$E$30="MAX-Bestand",IF(CH527=1,CI527,IF(LEFT(Cockpit!$O$5,1)="B",BF527,MAX(BF527,H527))),ROUNDUP(BD527,0)))</f>
        <v>916</v>
      </c>
      <c r="BA527" s="50" t="n">
        <f aca="false">IF(BZ527=1,0,ROUNDUP(AZ527/BY527,0))</f>
        <v>1</v>
      </c>
      <c r="BB527" s="52" t="n">
        <f aca="false">IF(CQ527&gt;0,CQ527*MAX(1,AZ527/X527),IF(BZ527=1,IF(AZ527&lt;=0,0,CD527*MAX(1,IF(H527&gt;0,AZ527/H527,1))),IF(R527&gt;0,BA527/R527,0))/MAX(0.1,N(Parameter!$M$21)))</f>
        <v>0.0192307692307692</v>
      </c>
      <c r="BC527" s="50" t="n">
        <f aca="false">BB527*CB527</f>
        <v>2.98076923076923</v>
      </c>
      <c r="BD527" s="51" t="n">
        <f aca="false">IF(LEFT(Cockpit!$O$5,1)="A",H527,IF(CH527=1,(CK527+CI527)/2,IF(LEFT(Cockpit!$O$5,1)="B",(CK527+BF527)/2,MAX((CK527+BF527)/2,H527))))</f>
        <v>916</v>
      </c>
      <c r="BE527" s="50" t="n">
        <f aca="false">BD527*G527</f>
        <v>27.48</v>
      </c>
      <c r="BF527" s="50" t="n">
        <f aca="false">ROUNDUP(CK527+MAX(CL527,2*(J527/IF(CG527&gt;0,CG527,MAX(0.1,N(Cockpit!$O$6)))-CK527)),0)</f>
        <v>1666</v>
      </c>
      <c r="BG527" s="51" t="n">
        <f aca="false">IF(BC527&gt;0,J527/BC527,-1)</f>
        <v>959.483870967742</v>
      </c>
      <c r="BH527" s="51" t="n">
        <f aca="false">IF(AND(OR(CF527="L1",CF527="L23",CF527="LIFT"),BC527&gt;0),SUMIFS($BC$7:$BC$1843,$CF$7:$CF$1843,CF527,$BG$7:$BG$1843,"&gt;"&amp;BG527)+SUMIFS($BC$7:$BC$1843,$CF$7:$CF$1843,CF527,$BG$7:$BG$1843,BG527,$BW$7:$BW$1843,"&lt;="&amp;BW527),"")</f>
        <v>11.5398351648352</v>
      </c>
      <c r="BI527" s="58" t="n">
        <f aca="false">IF(BH527="",0,MAX(0,MIN(1,(IF(CF527="L1",Parameter!$H$5,IF(CF527="L23",Parameter!$H$6+Parameter!$H$7,Parameter!$H$5+Parameter!$H$6+Parameter!$H$7))-(BH527-BC527))/BC527)))</f>
        <v>1</v>
      </c>
      <c r="BJ527" s="48" t="str">
        <f aca="false">IF(AI527&lt;=0,"",IF(CF527="Aussen","Aussenlager",IF(CF527="-","Nicht im Lift",IF(AO527&gt;=1,"Lift",IF(AO527&lt;=0,"Aussenlager","teilweise")))))</f>
        <v>Lift</v>
      </c>
      <c r="BK527" s="48" t="str">
        <f aca="false">IF(AS527&lt;=0,"",IF(CF527="Aussen","Aussenlager",IF(CF527="-","Nicht im Lift",IF(AY527&gt;=1,"Lift",IF(AY527&lt;=0,"Aussenlager","teilweise")))))</f>
        <v>Lift</v>
      </c>
      <c r="BL527" s="48" t="str">
        <f aca="false">IF(BC527&lt;=0,"",IF(CF527="Aussen","Aussenlager",IF(CF527="-","Nicht im Lift",IF(BI527&gt;=1,"Lift",IF(BI527&lt;=0,"Aussenlager","teilweise")))))</f>
        <v>Lift</v>
      </c>
      <c r="BM527" s="48" t="str">
        <f aca="false">IF(A527="","",IF(BV527=1,"Neu; ","")&amp;IF(AND(BV527=0,BQ527&lt;0),"negativer Bestand (Export "&amp;BQ527&amp;"); ","")&amp;IF(J527&lt;=0,"Kein Verbrauch; ","")&amp;IF(CQ527&gt;0,"Lift "&amp;W527&amp;" lt. Liftbericht (Fach "&amp;X527&amp;" Stk); ",IF(CA527=1,"Gebinde geschätzt ("&amp;T527&amp;"); ",IF(BZ527=1,"Lose – Tablare geschätzt; ","")))&amp;IF(H527&gt;AV527,"Überbestand "&amp;ROUND(H527-AV527,0)&amp;" Stk / CHF "&amp;ROUND((H527-AV527)*G527,0)&amp;"; ","")&amp;IF(AND(CH527=1,CI527&lt;CJ527),"MAX &lt; MB+LG; ","")&amp;IF(AND(CP527&gt;0,CO527*10&gt;CP527),"zu hoch für Tablar; ","")&amp;IF(AND(BV527=0,OR(CH527=1,AA527&lt;&gt;"",U527&lt;&gt;"",V527&lt;&gt;"",AB527&lt;&gt;"")),"manuell übersteuert; ","")&amp;IF(AND(BZ527=0,R527=0),"Gebinde unbekannt / Stellmass fehlt; ","")&amp;IF(AND(BZ527=0,N(V527)&lt;=0,N(Q527)&lt;=0),"Menge pro Gebinde fehlt (Ist = 1 Gebinde); ","")&amp;BU527)</f>
        <v>Überbestand 345 Stk / CHF 10; </v>
      </c>
      <c r="BN527" s="48"/>
      <c r="BO527" s="48"/>
      <c r="BP527" s="55"/>
      <c r="BQ527" s="50" t="n">
        <v>920</v>
      </c>
      <c r="BR527" s="50" t="n">
        <v>1166</v>
      </c>
      <c r="BS527" s="49" t="n">
        <v>27.6</v>
      </c>
      <c r="BT527" s="50" t="n">
        <v>2860</v>
      </c>
      <c r="BU527" s="48"/>
      <c r="BV527" s="53" t="n">
        <v>0</v>
      </c>
      <c r="BW527" s="53" t="n">
        <v>527</v>
      </c>
      <c r="BX527" s="48" t="str">
        <f aca="false">IF(U527&lt;&gt;"",UPPER(TRIM(U527)),IF(CA527=1,UPPER(VLOOKUP(T527,Parameter!$I$27:$K$29,2,0)),IF(P527="","LOSE",P527)))</f>
        <v>S33</v>
      </c>
      <c r="BY527" s="50" t="n">
        <f aca="false">IF(BX527="LOSE",1,IF(N(V527)&gt;0,V527,IF(CA527=1,MAX(1,N(VLOOKUP(T527,Parameter!$I$27:$K$29,3,0)),H527,N(N527)),IF(N(Q527)&gt;0,Q527,MAX(1,H527)))))</f>
        <v>920</v>
      </c>
      <c r="BZ527" s="53" t="n">
        <f aca="false">IF(BX527="LOSE",1,0)</f>
        <v>0</v>
      </c>
      <c r="CA527" s="53" t="n">
        <f aca="false">IF(AND(U527="",OR(P527="",P527="LOSE"),T527&lt;&gt;"",N(S527)&lt;=0,ISNUMBER(MATCH(T527,Parameter!$I$27:$I$29,0))),1,0)</f>
        <v>0</v>
      </c>
      <c r="CB527" s="53" t="n">
        <f aca="false">IF(CQ527&gt;0,INDEX(Parameter!$H$5:$H$7,W527)/INDEX(Parameter!$E$5:$E$7,W527),IF(AND(BZ527=0,N(IFERROR(VLOOKUP(BX527,'Gebinde-Kategorie'!$A$5:$N$45,14,0),0))&gt;0),VLOOKUP(BX527,'Gebinde-Kategorie'!$A$5:$N$45,14,0)*10+Parameter!$M$23,Parameter!$M$24))</f>
        <v>155</v>
      </c>
      <c r="CC527" s="48" t="str">
        <f aca="false">IF(AND(Parameter!$B$19="Ja",E527&lt;&gt;"",ISNUMBER(MATCH(E527,Parameter!$I$35:$I$52,0))),VLOOKUP(E527,Parameter!$I$35:$J$52,2,0),IFERROR(VLOOKUP(D527,Parameter!$A$35:$C$64,2,0),"Nein"))</f>
        <v>2+3</v>
      </c>
      <c r="CD527" s="52" t="n">
        <f aca="false">IF(BZ527=0,0,IF(N(S527)&gt;0,S527,IFERROR(VLOOKUP(D527,Parameter!$A$35:$C$64,3,0)+0,0)))</f>
        <v>0</v>
      </c>
      <c r="CE527" s="48" t="n">
        <f aca="false">IF(AA527&lt;&gt;"",AA527,Z527)</f>
        <v>3</v>
      </c>
      <c r="CF527" s="48" t="str">
        <f aca="false">IF(OR(CE527=1,CE527=2,CE527=3),IF(Parameter!$E$27="Ja","LIFT",IF(CE527=1,"L1","L23")),IF(CE527="Aussen","Aussen","-"))</f>
        <v>LIFT</v>
      </c>
      <c r="CG527" s="59" t="n">
        <f aca="false">IF(N(AB527)&gt;0,AB527,0)</f>
        <v>0</v>
      </c>
      <c r="CH527" s="53" t="n">
        <f aca="false">IF(ISNUMBER(AE527),1,0)</f>
        <v>0</v>
      </c>
      <c r="CI527" s="50" t="n">
        <f aca="false">N(AE527)</f>
        <v>0</v>
      </c>
      <c r="CJ527" s="50" t="n">
        <f aca="false">N(M527)+N(N527)</f>
        <v>1666</v>
      </c>
      <c r="CK527" s="50" t="n">
        <f aca="false">N(M527)</f>
        <v>166</v>
      </c>
      <c r="CL527" s="50" t="n">
        <f aca="false">N(N527)</f>
        <v>1500</v>
      </c>
      <c r="CM527" s="50" t="n">
        <f aca="false">ROUNDUP(H527/BY527,0)</f>
        <v>3</v>
      </c>
      <c r="CN527" s="50" t="n">
        <f aca="false">ROUNDUP(CI527/BY527,0)</f>
        <v>0</v>
      </c>
      <c r="CO527" s="53" t="n">
        <f aca="false">IF(BZ527=1,0,IFERROR(VLOOKUP(BX527,'Gebinde-Kategorie'!$A$5:$N$45,5,0)+0,0))</f>
        <v>8</v>
      </c>
      <c r="CP527" s="53" t="n">
        <f aca="false">IFERROR(IF(OR(CE527=1,CE527=2,CE527=3),N(INDEX(Parameter!$I$5:$I$7,CE527)),0),0)</f>
        <v>0</v>
      </c>
      <c r="CQ527" s="52" t="n">
        <f aca="false">IF(AND(Parameter!$B$21="Ja",ISNUMBER(W527),N(X527)&gt;0),IFERROR(N(INDEX(Parameter!$L$5:$L$7,W527))*INDEX(Parameter!$E$5:$E$7,W527)*X527/SUMIFS($X$7:$X$1843,$W$7:$W$1843,W527),0),0)</f>
        <v>0</v>
      </c>
    </row>
    <row r="528" customFormat="false" ht="15" hidden="false" customHeight="false" outlineLevel="0" collapsed="false">
      <c r="A528" s="48" t="s">
        <v>1149</v>
      </c>
      <c r="B528" s="48" t="s">
        <v>1150</v>
      </c>
      <c r="C528" s="48" t="s">
        <v>173</v>
      </c>
      <c r="D528" s="48" t="s">
        <v>182</v>
      </c>
      <c r="E528" s="48"/>
      <c r="F528" s="48" t="s">
        <v>227</v>
      </c>
      <c r="G528" s="49" t="n">
        <v>1.36</v>
      </c>
      <c r="H528" s="50" t="n">
        <f aca="false">MAX(0,IF(AND(Parameter!$B$21="Ja",ISNUMBER(Y528)),Y528,IF(Parameter!$B$20="Jahresanfang 2025 + Export",BR528+BQ528,BQ528)))</f>
        <v>20</v>
      </c>
      <c r="I528" s="50" t="n">
        <f aca="false">H528*G528</f>
        <v>27.2</v>
      </c>
      <c r="J528" s="50" t="n">
        <f aca="false">BT528*Parameter!$B$18</f>
        <v>0</v>
      </c>
      <c r="K528" s="51" t="n">
        <v>0</v>
      </c>
      <c r="L528" s="52" t="n">
        <v>0</v>
      </c>
      <c r="M528" s="50" t="n">
        <v>0</v>
      </c>
      <c r="N528" s="50" t="n">
        <v>20</v>
      </c>
      <c r="O528" s="53" t="n">
        <v>28</v>
      </c>
      <c r="P528" s="48" t="s">
        <v>177</v>
      </c>
      <c r="Q528" s="50"/>
      <c r="R528" s="53" t="n">
        <f aca="false">IF(BZ528=1,0,IFERROR(VLOOKUP(BX528,'Gebinde-Kategorie'!$A$5:$N$45,13,0)+0,0))</f>
        <v>12</v>
      </c>
      <c r="S528" s="54"/>
      <c r="T528" s="55" t="s">
        <v>188</v>
      </c>
      <c r="U528" s="55"/>
      <c r="V528" s="55"/>
      <c r="W528" s="48"/>
      <c r="X528" s="50"/>
      <c r="Y528" s="50"/>
      <c r="Z528" s="48" t="n">
        <f aca="false">IF(A528="","",IF(AND(Parameter!$B$21="Ja",ISNUMBER(W528)),W528,IF(CC528="2+3",IF(ISNUMBER(SEARCH("grosser Artikel",BU528)),2,IFERROR(VLOOKUP(BX528,Parameter!$F$35:$G$64,2,0),2)),IF(OR(CC528="Nein",CC528=""),"-",CC528))))</f>
        <v>2</v>
      </c>
      <c r="AA528" s="55"/>
      <c r="AB528" s="56"/>
      <c r="AC528" s="50" t="n">
        <f aca="false">AV528</f>
        <v>20</v>
      </c>
      <c r="AD528" s="50" t="n">
        <f aca="false">MAX(AV528,H528)</f>
        <v>20</v>
      </c>
      <c r="AE528" s="57"/>
      <c r="AF528" s="50" t="n">
        <f aca="false">IF(LEFT(Cockpit!$C$5,1)="A",H528,IF(Parameter!$E$30="MAX-Bestand",IF(CH528=1,CI528,IF(LEFT(Cockpit!$C$5,1)="B",AL528,MAX(AL528,H528))),ROUNDUP(AJ528,0)))</f>
        <v>20</v>
      </c>
      <c r="AG528" s="50" t="n">
        <f aca="false">IF(BZ528=1,0,ROUNDUP(AF528/BY528,0))</f>
        <v>1</v>
      </c>
      <c r="AH528" s="52" t="n">
        <f aca="false">IF(CQ528&gt;0,CQ528*MAX(1,AF528/X528),IF(BZ528=1,IF(AF528&lt;=0,0,CD528*MAX(1,IF(H528&gt;0,AF528/H528,1))),IF(R528&gt;0,AG528/R528,0))/MAX(0.1,N(Parameter!$M$21)))</f>
        <v>0.0833333333333333</v>
      </c>
      <c r="AI528" s="50" t="n">
        <f aca="false">AH528*CB528</f>
        <v>12.0833333333333</v>
      </c>
      <c r="AJ528" s="51" t="n">
        <f aca="false">IF(LEFT(Cockpit!$C$5,1)="A",H528,IF(CH528=1,(CK528+CI528)/2,IF(LEFT(Cockpit!$C$5,1)="B",(CK528+AL528)/2,MAX((CK528+AL528)/2,H528))))</f>
        <v>20</v>
      </c>
      <c r="AK528" s="50" t="n">
        <f aca="false">AJ528*G528</f>
        <v>27.2</v>
      </c>
      <c r="AL528" s="50" t="n">
        <f aca="false">ROUNDUP(CK528+MAX(CL528,2*(J528/IF(CG528&gt;0,CG528,MAX(0.1,N(Cockpit!$C$6)))-CK528)),0)</f>
        <v>20</v>
      </c>
      <c r="AM528" s="51" t="n">
        <f aca="false">IF(AI528&gt;0,J528/AI528,-1)</f>
        <v>0</v>
      </c>
      <c r="AN528" s="51" t="n">
        <f aca="false">IF(AND(OR(CF528="L1",CF528="L23",CF528="LIFT"),AI528&gt;0),SUMIFS($AI$7:$AI$1843,$CF$7:$CF$1843,CF528,$AM$7:$AM$1843,"&gt;"&amp;AM528)+SUMIFS($AI$7:$AI$1843,$CF$7:$CF$1843,CF528,$AM$7:$AM$1843,AM528,$BW$7:$BW$1843,"&lt;="&amp;BW528),"")</f>
        <v>28316.297787194</v>
      </c>
      <c r="AO528" s="58" t="n">
        <f aca="false">IF(AN528="",0,MAX(0,MIN(1,(IF(CF528="L1",Parameter!$H$5,IF(CF528="L23",Parameter!$H$6+Parameter!$H$7,Parameter!$H$5+Parameter!$H$6+Parameter!$H$7))-(AN528-AI528))/AI528)))</f>
        <v>1</v>
      </c>
      <c r="AP528" s="50" t="n">
        <f aca="false">IF(LEFT(Cockpit!$I$5,1)="A",H528,IF(Parameter!$E$30="MAX-Bestand",IF(CH528=1,CI528,IF(LEFT(Cockpit!$I$5,1)="B",AV528,MAX(AV528,H528))),ROUNDUP(AT528,0)))</f>
        <v>20</v>
      </c>
      <c r="AQ528" s="50" t="n">
        <f aca="false">IF(BZ528=1,0,ROUNDUP(AP528/BY528,0))</f>
        <v>1</v>
      </c>
      <c r="AR528" s="52" t="n">
        <f aca="false">IF(CQ528&gt;0,CQ528*MAX(1,AP528/X528),IF(BZ528=1,IF(AP528&lt;=0,0,CD528*MAX(1,IF(H528&gt;0,AP528/H528,1))),IF(R528&gt;0,AQ528/R528,0))/MAX(0.1,N(Parameter!$M$21)))</f>
        <v>0.0833333333333333</v>
      </c>
      <c r="AS528" s="50" t="n">
        <f aca="false">AR528*CB528</f>
        <v>12.0833333333333</v>
      </c>
      <c r="AT528" s="51" t="n">
        <f aca="false">IF(LEFT(Cockpit!$I$5,1)="A",H528,IF(CH528=1,(CK528+CI528)/2,IF(LEFT(Cockpit!$I$5,1)="B",(CK528+AV528)/2,MAX((CK528+AV528)/2,H528))))</f>
        <v>20</v>
      </c>
      <c r="AU528" s="50" t="n">
        <f aca="false">AT528*G528</f>
        <v>27.2</v>
      </c>
      <c r="AV528" s="50" t="n">
        <f aca="false">ROUNDUP(CK528+MAX(CL528,2*(J528/IF(CG528&gt;0,CG528,MAX(0.1,N(Cockpit!$I$6)))-CK528)),0)</f>
        <v>20</v>
      </c>
      <c r="AW528" s="51" t="n">
        <f aca="false">IF(AS528&gt;0,J528/AS528,-1)</f>
        <v>0</v>
      </c>
      <c r="AX528" s="51" t="n">
        <f aca="false">IF(AND(OR(CF528="L1",CF528="L23",CF528="LIFT"),AS528&gt;0),SUMIFS($AS$7:$AS$1843,$CF$7:$CF$1843,CF528,$AW$7:$AW$1843,"&gt;"&amp;AW528)+SUMIFS($AS$7:$AS$1843,$CF$7:$CF$1843,CF528,$AW$7:$AW$1843,AW528,$BW$7:$BW$1843,"&lt;="&amp;BW528),"")</f>
        <v>33669.4464285714</v>
      </c>
      <c r="AY528" s="58" t="n">
        <f aca="false">IF(AX528="",0,MAX(0,MIN(1,(IF(CF528="L1",Parameter!$H$5,IF(CF528="L23",Parameter!$H$6+Parameter!$H$7,Parameter!$H$5+Parameter!$H$6+Parameter!$H$7))-(AX528-AS528))/AS528)))</f>
        <v>1</v>
      </c>
      <c r="AZ528" s="50" t="n">
        <f aca="false">IF(LEFT(Cockpit!$O$5,1)="A",H528,IF(Parameter!$E$30="MAX-Bestand",IF(CH528=1,CI528,IF(LEFT(Cockpit!$O$5,1)="B",BF528,MAX(BF528,H528))),ROUNDUP(BD528,0)))</f>
        <v>10</v>
      </c>
      <c r="BA528" s="50" t="n">
        <f aca="false">IF(BZ528=1,0,ROUNDUP(AZ528/BY528,0))</f>
        <v>1</v>
      </c>
      <c r="BB528" s="52" t="n">
        <f aca="false">IF(CQ528&gt;0,CQ528*MAX(1,AZ528/X528),IF(BZ528=1,IF(AZ528&lt;=0,0,CD528*MAX(1,IF(H528&gt;0,AZ528/H528,1))),IF(R528&gt;0,BA528/R528,0))/MAX(0.1,N(Parameter!$M$21)))</f>
        <v>0.0833333333333333</v>
      </c>
      <c r="BC528" s="50" t="n">
        <f aca="false">BB528*CB528</f>
        <v>12.0833333333333</v>
      </c>
      <c r="BD528" s="51" t="n">
        <f aca="false">IF(LEFT(Cockpit!$O$5,1)="A",H528,IF(CH528=1,(CK528+CI528)/2,IF(LEFT(Cockpit!$O$5,1)="B",(CK528+BF528)/2,MAX((CK528+BF528)/2,H528))))</f>
        <v>10</v>
      </c>
      <c r="BE528" s="50" t="n">
        <f aca="false">BD528*G528</f>
        <v>13.6</v>
      </c>
      <c r="BF528" s="50" t="n">
        <f aca="false">ROUNDUP(CK528+MAX(CL528,2*(J528/IF(CG528&gt;0,CG528,MAX(0.1,N(Cockpit!$O$6)))-CK528)),0)</f>
        <v>20</v>
      </c>
      <c r="BG528" s="51" t="n">
        <f aca="false">IF(BC528&gt;0,J528/BC528,-1)</f>
        <v>0</v>
      </c>
      <c r="BH528" s="51" t="n">
        <f aca="false">IF(AND(OR(CF528="L1",CF528="L23",CF528="LIFT"),BC528&gt;0),SUMIFS($BC$7:$BC$1843,$CF$7:$CF$1843,CF528,$BG$7:$BG$1843,"&gt;"&amp;BG528)+SUMIFS($BC$7:$BC$1843,$CF$7:$CF$1843,CF528,$BG$7:$BG$1843,BG528,$BW$7:$BW$1843,"&lt;="&amp;BW528),"")</f>
        <v>27749.3735099646</v>
      </c>
      <c r="BI528" s="58" t="n">
        <f aca="false">IF(BH528="",0,MAX(0,MIN(1,(IF(CF528="L1",Parameter!$H$5,IF(CF528="L23",Parameter!$H$6+Parameter!$H$7,Parameter!$H$5+Parameter!$H$6+Parameter!$H$7))-(BH528-BC528))/BC528)))</f>
        <v>1</v>
      </c>
      <c r="BJ528" s="48" t="str">
        <f aca="false">IF(AI528&lt;=0,"",IF(CF528="Aussen","Aussenlager",IF(CF528="-","Nicht im Lift",IF(AO528&gt;=1,"Lift",IF(AO528&lt;=0,"Aussenlager","teilweise")))))</f>
        <v>Lift</v>
      </c>
      <c r="BK528" s="48" t="str">
        <f aca="false">IF(AS528&lt;=0,"",IF(CF528="Aussen","Aussenlager",IF(CF528="-","Nicht im Lift",IF(AY528&gt;=1,"Lift",IF(AY528&lt;=0,"Aussenlager","teilweise")))))</f>
        <v>Lift</v>
      </c>
      <c r="BL528" s="48" t="str">
        <f aca="false">IF(BC528&lt;=0,"",IF(CF528="Aussen","Aussenlager",IF(CF528="-","Nicht im Lift",IF(BI528&gt;=1,"Lift",IF(BI528&lt;=0,"Aussenlager","teilweise")))))</f>
        <v>Lift</v>
      </c>
      <c r="BM528" s="48" t="str">
        <f aca="false">IF(A528="","",IF(BV528=1,"Neu; ","")&amp;IF(AND(BV528=0,BQ528&lt;0),"negativer Bestand (Export "&amp;BQ528&amp;"); ","")&amp;IF(J528&lt;=0,"Kein Verbrauch; ","")&amp;IF(CQ528&gt;0,"Lift "&amp;W528&amp;" lt. Liftbericht (Fach "&amp;X528&amp;" Stk); ",IF(CA528=1,"Gebinde geschätzt ("&amp;T528&amp;"); ",IF(BZ528=1,"Lose – Tablare geschätzt; ","")))&amp;IF(H528&gt;AV528,"Überbestand "&amp;ROUND(H528-AV528,0)&amp;" Stk / CHF "&amp;ROUND((H528-AV528)*G528,0)&amp;"; ","")&amp;IF(AND(CH528=1,CI528&lt;CJ528),"MAX &lt; MB+LG; ","")&amp;IF(AND(CP528&gt;0,CO528*10&gt;CP528),"zu hoch für Tablar; ","")&amp;IF(AND(BV528=0,OR(CH528=1,AA528&lt;&gt;"",U528&lt;&gt;"",V528&lt;&gt;"",AB528&lt;&gt;"")),"manuell übersteuert; ","")&amp;IF(AND(BZ528=0,R528=0),"Gebinde unbekannt / Stellmass fehlt; ","")&amp;IF(AND(BZ528=0,N(V528)&lt;=0,N(Q528)&lt;=0),"Menge pro Gebinde fehlt (Ist = 1 Gebinde); ","")&amp;BU528)</f>
        <v>Kein Verbrauch; Gebinde geschätzt (Mittel); Menge pro Gebinde fehlt (Ist = 1 Gebinde); </v>
      </c>
      <c r="BN528" s="48"/>
      <c r="BO528" s="48"/>
      <c r="BP528" s="55"/>
      <c r="BQ528" s="50" t="n">
        <v>20</v>
      </c>
      <c r="BR528" s="50" t="n">
        <v>0</v>
      </c>
      <c r="BS528" s="49" t="n">
        <v>27.2</v>
      </c>
      <c r="BT528" s="50" t="n">
        <v>0</v>
      </c>
      <c r="BU528" s="48"/>
      <c r="BV528" s="53" t="n">
        <v>0</v>
      </c>
      <c r="BW528" s="53" t="n">
        <v>528</v>
      </c>
      <c r="BX528" s="48" t="str">
        <f aca="false">IF(U528&lt;&gt;"",UPPER(TRIM(U528)),IF(CA528=1,UPPER(VLOOKUP(T528,Parameter!$I$27:$K$29,2,0)),IF(P528="","LOSE",P528)))</f>
        <v>S61</v>
      </c>
      <c r="BY528" s="50" t="n">
        <f aca="false">IF(BX528="LOSE",1,IF(N(V528)&gt;0,V528,IF(CA528=1,MAX(1,N(VLOOKUP(T528,Parameter!$I$27:$K$29,3,0)),H528,N(N528)),IF(N(Q528)&gt;0,Q528,MAX(1,H528)))))</f>
        <v>20</v>
      </c>
      <c r="BZ528" s="53" t="n">
        <f aca="false">IF(BX528="LOSE",1,0)</f>
        <v>0</v>
      </c>
      <c r="CA528" s="53" t="n">
        <f aca="false">IF(AND(U528="",OR(P528="",P528="LOSE"),T528&lt;&gt;"",N(S528)&lt;=0,ISNUMBER(MATCH(T528,Parameter!$I$27:$I$29,0))),1,0)</f>
        <v>1</v>
      </c>
      <c r="CB528" s="53" t="n">
        <f aca="false">IF(CQ528&gt;0,INDEX(Parameter!$H$5:$H$7,W528)/INDEX(Parameter!$E$5:$E$7,W528),IF(AND(BZ528=0,N(IFERROR(VLOOKUP(BX528,'Gebinde-Kategorie'!$A$5:$N$45,14,0),0))&gt;0),VLOOKUP(BX528,'Gebinde-Kategorie'!$A$5:$N$45,14,0)*10+Parameter!$M$23,Parameter!$M$24))</f>
        <v>145</v>
      </c>
      <c r="CC528" s="48" t="str">
        <f aca="false">IF(AND(Parameter!$B$19="Ja",E528&lt;&gt;"",ISNUMBER(MATCH(E528,Parameter!$I$35:$I$52,0))),VLOOKUP(E528,Parameter!$I$35:$J$52,2,0),IFERROR(VLOOKUP(D528,Parameter!$A$35:$C$64,2,0),"Nein"))</f>
        <v>2+3</v>
      </c>
      <c r="CD528" s="52" t="n">
        <f aca="false">IF(BZ528=0,0,IF(N(S528)&gt;0,S528,IFERROR(VLOOKUP(D528,Parameter!$A$35:$C$64,3,0)+0,0)))</f>
        <v>0</v>
      </c>
      <c r="CE528" s="48" t="n">
        <f aca="false">IF(AA528&lt;&gt;"",AA528,Z528)</f>
        <v>2</v>
      </c>
      <c r="CF528" s="48" t="str">
        <f aca="false">IF(OR(CE528=1,CE528=2,CE528=3),IF(Parameter!$E$27="Ja","LIFT",IF(CE528=1,"L1","L23")),IF(CE528="Aussen","Aussen","-"))</f>
        <v>LIFT</v>
      </c>
      <c r="CG528" s="59" t="n">
        <f aca="false">IF(N(AB528)&gt;0,AB528,0)</f>
        <v>0</v>
      </c>
      <c r="CH528" s="53" t="n">
        <f aca="false">IF(ISNUMBER(AE528),1,0)</f>
        <v>0</v>
      </c>
      <c r="CI528" s="50" t="n">
        <f aca="false">N(AE528)</f>
        <v>0</v>
      </c>
      <c r="CJ528" s="50" t="n">
        <f aca="false">N(M528)+N(N528)</f>
        <v>20</v>
      </c>
      <c r="CK528" s="50" t="n">
        <f aca="false">N(M528)</f>
        <v>0</v>
      </c>
      <c r="CL528" s="50" t="n">
        <f aca="false">N(N528)</f>
        <v>20</v>
      </c>
      <c r="CM528" s="50" t="n">
        <f aca="false">ROUNDUP(H528/BY528,0)</f>
        <v>1</v>
      </c>
      <c r="CN528" s="50" t="n">
        <f aca="false">ROUNDUP(CI528/BY528,0)</f>
        <v>0</v>
      </c>
      <c r="CO528" s="53" t="n">
        <f aca="false">IF(BZ528=1,0,IFERROR(VLOOKUP(BX528,'Gebinde-Kategorie'!$A$5:$N$45,5,0)+0,0))</f>
        <v>11</v>
      </c>
      <c r="CP528" s="53" t="n">
        <f aca="false">IFERROR(IF(OR(CE528=1,CE528=2,CE528=3),N(INDEX(Parameter!$I$5:$I$7,CE528)),0),0)</f>
        <v>0</v>
      </c>
      <c r="CQ528" s="52" t="n">
        <f aca="false">IF(AND(Parameter!$B$21="Ja",ISNUMBER(W528),N(X528)&gt;0),IFERROR(N(INDEX(Parameter!$L$5:$L$7,W528))*INDEX(Parameter!$E$5:$E$7,W528)*X528/SUMIFS($X$7:$X$1843,$W$7:$W$1843,W528),0),0)</f>
        <v>0</v>
      </c>
    </row>
    <row r="529" customFormat="false" ht="15" hidden="false" customHeight="false" outlineLevel="0" collapsed="false">
      <c r="A529" s="48" t="s">
        <v>1151</v>
      </c>
      <c r="B529" s="48" t="s">
        <v>1152</v>
      </c>
      <c r="C529" s="48" t="s">
        <v>173</v>
      </c>
      <c r="D529" s="48" t="s">
        <v>182</v>
      </c>
      <c r="E529" s="48"/>
      <c r="F529" s="48" t="s">
        <v>227</v>
      </c>
      <c r="G529" s="49" t="n">
        <v>25.55</v>
      </c>
      <c r="H529" s="50" t="n">
        <f aca="false">MAX(0,IF(AND(Parameter!$B$21="Ja",ISNUMBER(Y529)),Y529,IF(Parameter!$B$20="Jahresanfang 2025 + Export",BR529+BQ529,BQ529)))</f>
        <v>1</v>
      </c>
      <c r="I529" s="50" t="n">
        <f aca="false">H529*G529</f>
        <v>25.55</v>
      </c>
      <c r="J529" s="50" t="n">
        <f aca="false">BT529*Parameter!$B$18</f>
        <v>0</v>
      </c>
      <c r="K529" s="51" t="n">
        <v>0</v>
      </c>
      <c r="L529" s="52" t="n">
        <v>0</v>
      </c>
      <c r="M529" s="50" t="n">
        <v>0</v>
      </c>
      <c r="N529" s="50" t="n">
        <v>1</v>
      </c>
      <c r="O529" s="53" t="n">
        <v>21</v>
      </c>
      <c r="P529" s="48" t="s">
        <v>177</v>
      </c>
      <c r="Q529" s="50"/>
      <c r="R529" s="53" t="n">
        <f aca="false">IF(BZ529=1,0,IFERROR(VLOOKUP(BX529,'Gebinde-Kategorie'!$A$5:$N$45,13,0)+0,0))</f>
        <v>12</v>
      </c>
      <c r="S529" s="54"/>
      <c r="T529" s="55" t="s">
        <v>188</v>
      </c>
      <c r="U529" s="55"/>
      <c r="V529" s="55"/>
      <c r="W529" s="48"/>
      <c r="X529" s="50"/>
      <c r="Y529" s="50"/>
      <c r="Z529" s="48" t="n">
        <f aca="false">IF(A529="","",IF(AND(Parameter!$B$21="Ja",ISNUMBER(W529)),W529,IF(CC529="2+3",IF(ISNUMBER(SEARCH("grosser Artikel",BU529)),2,IFERROR(VLOOKUP(BX529,Parameter!$F$35:$G$64,2,0),2)),IF(OR(CC529="Nein",CC529=""),"-",CC529))))</f>
        <v>2</v>
      </c>
      <c r="AA529" s="55"/>
      <c r="AB529" s="56"/>
      <c r="AC529" s="50" t="n">
        <f aca="false">AV529</f>
        <v>1</v>
      </c>
      <c r="AD529" s="50" t="n">
        <f aca="false">MAX(AV529,H529)</f>
        <v>1</v>
      </c>
      <c r="AE529" s="57"/>
      <c r="AF529" s="50" t="n">
        <f aca="false">IF(LEFT(Cockpit!$C$5,1)="A",H529,IF(Parameter!$E$30="MAX-Bestand",IF(CH529=1,CI529,IF(LEFT(Cockpit!$C$5,1)="B",AL529,MAX(AL529,H529))),ROUNDUP(AJ529,0)))</f>
        <v>1</v>
      </c>
      <c r="AG529" s="50" t="n">
        <f aca="false">IF(BZ529=1,0,ROUNDUP(AF529/BY529,0))</f>
        <v>1</v>
      </c>
      <c r="AH529" s="52" t="n">
        <f aca="false">IF(CQ529&gt;0,CQ529*MAX(1,AF529/X529),IF(BZ529=1,IF(AF529&lt;=0,0,CD529*MAX(1,IF(H529&gt;0,AF529/H529,1))),IF(R529&gt;0,AG529/R529,0))/MAX(0.1,N(Parameter!$M$21)))</f>
        <v>0.0833333333333333</v>
      </c>
      <c r="AI529" s="50" t="n">
        <f aca="false">AH529*CB529</f>
        <v>12.0833333333333</v>
      </c>
      <c r="AJ529" s="51" t="n">
        <f aca="false">IF(LEFT(Cockpit!$C$5,1)="A",H529,IF(CH529=1,(CK529+CI529)/2,IF(LEFT(Cockpit!$C$5,1)="B",(CK529+AL529)/2,MAX((CK529+AL529)/2,H529))))</f>
        <v>1</v>
      </c>
      <c r="AK529" s="50" t="n">
        <f aca="false">AJ529*G529</f>
        <v>25.55</v>
      </c>
      <c r="AL529" s="50" t="n">
        <f aca="false">ROUNDUP(CK529+MAX(CL529,2*(J529/IF(CG529&gt;0,CG529,MAX(0.1,N(Cockpit!$C$6)))-CK529)),0)</f>
        <v>1</v>
      </c>
      <c r="AM529" s="51" t="n">
        <f aca="false">IF(AI529&gt;0,J529/AI529,-1)</f>
        <v>0</v>
      </c>
      <c r="AN529" s="51" t="n">
        <f aca="false">IF(AND(OR(CF529="L1",CF529="L23",CF529="LIFT"),AI529&gt;0),SUMIFS($AI$7:$AI$1843,$CF$7:$CF$1843,CF529,$AM$7:$AM$1843,"&gt;"&amp;AM529)+SUMIFS($AI$7:$AI$1843,$CF$7:$CF$1843,CF529,$AM$7:$AM$1843,AM529,$BW$7:$BW$1843,"&lt;="&amp;BW529),"")</f>
        <v>28328.3811205273</v>
      </c>
      <c r="AO529" s="58" t="n">
        <f aca="false">IF(AN529="",0,MAX(0,MIN(1,(IF(CF529="L1",Parameter!$H$5,IF(CF529="L23",Parameter!$H$6+Parameter!$H$7,Parameter!$H$5+Parameter!$H$6+Parameter!$H$7))-(AN529-AI529))/AI529)))</f>
        <v>1</v>
      </c>
      <c r="AP529" s="50" t="n">
        <f aca="false">IF(LEFT(Cockpit!$I$5,1)="A",H529,IF(Parameter!$E$30="MAX-Bestand",IF(CH529=1,CI529,IF(LEFT(Cockpit!$I$5,1)="B",AV529,MAX(AV529,H529))),ROUNDUP(AT529,0)))</f>
        <v>1</v>
      </c>
      <c r="AQ529" s="50" t="n">
        <f aca="false">IF(BZ529=1,0,ROUNDUP(AP529/BY529,0))</f>
        <v>1</v>
      </c>
      <c r="AR529" s="52" t="n">
        <f aca="false">IF(CQ529&gt;0,CQ529*MAX(1,AP529/X529),IF(BZ529=1,IF(AP529&lt;=0,0,CD529*MAX(1,IF(H529&gt;0,AP529/H529,1))),IF(R529&gt;0,AQ529/R529,0))/MAX(0.1,N(Parameter!$M$21)))</f>
        <v>0.0833333333333333</v>
      </c>
      <c r="AS529" s="50" t="n">
        <f aca="false">AR529*CB529</f>
        <v>12.0833333333333</v>
      </c>
      <c r="AT529" s="51" t="n">
        <f aca="false">IF(LEFT(Cockpit!$I$5,1)="A",H529,IF(CH529=1,(CK529+CI529)/2,IF(LEFT(Cockpit!$I$5,1)="B",(CK529+AV529)/2,MAX((CK529+AV529)/2,H529))))</f>
        <v>1</v>
      </c>
      <c r="AU529" s="50" t="n">
        <f aca="false">AT529*G529</f>
        <v>25.55</v>
      </c>
      <c r="AV529" s="50" t="n">
        <f aca="false">ROUNDUP(CK529+MAX(CL529,2*(J529/IF(CG529&gt;0,CG529,MAX(0.1,N(Cockpit!$I$6)))-CK529)),0)</f>
        <v>1</v>
      </c>
      <c r="AW529" s="51" t="n">
        <f aca="false">IF(AS529&gt;0,J529/AS529,-1)</f>
        <v>0</v>
      </c>
      <c r="AX529" s="51" t="n">
        <f aca="false">IF(AND(OR(CF529="L1",CF529="L23",CF529="LIFT"),AS529&gt;0),SUMIFS($AS$7:$AS$1843,$CF$7:$CF$1843,CF529,$AW$7:$AW$1843,"&gt;"&amp;AW529)+SUMIFS($AS$7:$AS$1843,$CF$7:$CF$1843,CF529,$AW$7:$AW$1843,AW529,$BW$7:$BW$1843,"&lt;="&amp;BW529),"")</f>
        <v>33681.5297619048</v>
      </c>
      <c r="AY529" s="58" t="n">
        <f aca="false">IF(AX529="",0,MAX(0,MIN(1,(IF(CF529="L1",Parameter!$H$5,IF(CF529="L23",Parameter!$H$6+Parameter!$H$7,Parameter!$H$5+Parameter!$H$6+Parameter!$H$7))-(AX529-AS529))/AS529)))</f>
        <v>1</v>
      </c>
      <c r="AZ529" s="50" t="n">
        <f aca="false">IF(LEFT(Cockpit!$O$5,1)="A",H529,IF(Parameter!$E$30="MAX-Bestand",IF(CH529=1,CI529,IF(LEFT(Cockpit!$O$5,1)="B",BF529,MAX(BF529,H529))),ROUNDUP(BD529,0)))</f>
        <v>1</v>
      </c>
      <c r="BA529" s="50" t="n">
        <f aca="false">IF(BZ529=1,0,ROUNDUP(AZ529/BY529,0))</f>
        <v>1</v>
      </c>
      <c r="BB529" s="52" t="n">
        <f aca="false">IF(CQ529&gt;0,CQ529*MAX(1,AZ529/X529),IF(BZ529=1,IF(AZ529&lt;=0,0,CD529*MAX(1,IF(H529&gt;0,AZ529/H529,1))),IF(R529&gt;0,BA529/R529,0))/MAX(0.1,N(Parameter!$M$21)))</f>
        <v>0.0833333333333333</v>
      </c>
      <c r="BC529" s="50" t="n">
        <f aca="false">BB529*CB529</f>
        <v>12.0833333333333</v>
      </c>
      <c r="BD529" s="51" t="n">
        <f aca="false">IF(LEFT(Cockpit!$O$5,1)="A",H529,IF(CH529=1,(CK529+CI529)/2,IF(LEFT(Cockpit!$O$5,1)="B",(CK529+BF529)/2,MAX((CK529+BF529)/2,H529))))</f>
        <v>0.5</v>
      </c>
      <c r="BE529" s="50" t="n">
        <f aca="false">BD529*G529</f>
        <v>12.775</v>
      </c>
      <c r="BF529" s="50" t="n">
        <f aca="false">ROUNDUP(CK529+MAX(CL529,2*(J529/IF(CG529&gt;0,CG529,MAX(0.1,N(Cockpit!$O$6)))-CK529)),0)</f>
        <v>1</v>
      </c>
      <c r="BG529" s="51" t="n">
        <f aca="false">IF(BC529&gt;0,J529/BC529,-1)</f>
        <v>0</v>
      </c>
      <c r="BH529" s="51" t="n">
        <f aca="false">IF(AND(OR(CF529="L1",CF529="L23",CF529="LIFT"),BC529&gt;0),SUMIFS($BC$7:$BC$1843,$CF$7:$CF$1843,CF529,$BG$7:$BG$1843,"&gt;"&amp;BG529)+SUMIFS($BC$7:$BC$1843,$CF$7:$CF$1843,CF529,$BG$7:$BG$1843,BG529,$BW$7:$BW$1843,"&lt;="&amp;BW529),"")</f>
        <v>27761.4568432979</v>
      </c>
      <c r="BI529" s="58" t="n">
        <f aca="false">IF(BH529="",0,MAX(0,MIN(1,(IF(CF529="L1",Parameter!$H$5,IF(CF529="L23",Parameter!$H$6+Parameter!$H$7,Parameter!$H$5+Parameter!$H$6+Parameter!$H$7))-(BH529-BC529))/BC529)))</f>
        <v>1</v>
      </c>
      <c r="BJ529" s="48" t="str">
        <f aca="false">IF(AI529&lt;=0,"",IF(CF529="Aussen","Aussenlager",IF(CF529="-","Nicht im Lift",IF(AO529&gt;=1,"Lift",IF(AO529&lt;=0,"Aussenlager","teilweise")))))</f>
        <v>Lift</v>
      </c>
      <c r="BK529" s="48" t="str">
        <f aca="false">IF(AS529&lt;=0,"",IF(CF529="Aussen","Aussenlager",IF(CF529="-","Nicht im Lift",IF(AY529&gt;=1,"Lift",IF(AY529&lt;=0,"Aussenlager","teilweise")))))</f>
        <v>Lift</v>
      </c>
      <c r="BL529" s="48" t="str">
        <f aca="false">IF(BC529&lt;=0,"",IF(CF529="Aussen","Aussenlager",IF(CF529="-","Nicht im Lift",IF(BI529&gt;=1,"Lift",IF(BI529&lt;=0,"Aussenlager","teilweise")))))</f>
        <v>Lift</v>
      </c>
      <c r="BM529" s="48" t="str">
        <f aca="false">IF(A529="","",IF(BV529=1,"Neu; ","")&amp;IF(AND(BV529=0,BQ529&lt;0),"negativer Bestand (Export "&amp;BQ529&amp;"); ","")&amp;IF(J529&lt;=0,"Kein Verbrauch; ","")&amp;IF(CQ529&gt;0,"Lift "&amp;W529&amp;" lt. Liftbericht (Fach "&amp;X529&amp;" Stk); ",IF(CA529=1,"Gebinde geschätzt ("&amp;T529&amp;"); ",IF(BZ529=1,"Lose – Tablare geschätzt; ","")))&amp;IF(H529&gt;AV529,"Überbestand "&amp;ROUND(H529-AV529,0)&amp;" Stk / CHF "&amp;ROUND((H529-AV529)*G529,0)&amp;"; ","")&amp;IF(AND(CH529=1,CI529&lt;CJ529),"MAX &lt; MB+LG; ","")&amp;IF(AND(CP529&gt;0,CO529*10&gt;CP529),"zu hoch für Tablar; ","")&amp;IF(AND(BV529=0,OR(CH529=1,AA529&lt;&gt;"",U529&lt;&gt;"",V529&lt;&gt;"",AB529&lt;&gt;"")),"manuell übersteuert; ","")&amp;IF(AND(BZ529=0,R529=0),"Gebinde unbekannt / Stellmass fehlt; ","")&amp;IF(AND(BZ529=0,N(V529)&lt;=0,N(Q529)&lt;=0),"Menge pro Gebinde fehlt (Ist = 1 Gebinde); ","")&amp;BU529)</f>
        <v>Kein Verbrauch; Gebinde geschätzt (Mittel); Menge pro Gebinde fehlt (Ist = 1 Gebinde); </v>
      </c>
      <c r="BN529" s="48"/>
      <c r="BO529" s="48"/>
      <c r="BP529" s="55"/>
      <c r="BQ529" s="50" t="n">
        <v>1</v>
      </c>
      <c r="BR529" s="50" t="n">
        <v>0</v>
      </c>
      <c r="BS529" s="49" t="n">
        <v>25.55</v>
      </c>
      <c r="BT529" s="50" t="n">
        <v>0</v>
      </c>
      <c r="BU529" s="48"/>
      <c r="BV529" s="53" t="n">
        <v>0</v>
      </c>
      <c r="BW529" s="53" t="n">
        <v>529</v>
      </c>
      <c r="BX529" s="48" t="str">
        <f aca="false">IF(U529&lt;&gt;"",UPPER(TRIM(U529)),IF(CA529=1,UPPER(VLOOKUP(T529,Parameter!$I$27:$K$29,2,0)),IF(P529="","LOSE",P529)))</f>
        <v>S61</v>
      </c>
      <c r="BY529" s="50" t="n">
        <f aca="false">IF(BX529="LOSE",1,IF(N(V529)&gt;0,V529,IF(CA529=1,MAX(1,N(VLOOKUP(T529,Parameter!$I$27:$K$29,3,0)),H529,N(N529)),IF(N(Q529)&gt;0,Q529,MAX(1,H529)))))</f>
        <v>4</v>
      </c>
      <c r="BZ529" s="53" t="n">
        <f aca="false">IF(BX529="LOSE",1,0)</f>
        <v>0</v>
      </c>
      <c r="CA529" s="53" t="n">
        <f aca="false">IF(AND(U529="",OR(P529="",P529="LOSE"),T529&lt;&gt;"",N(S529)&lt;=0,ISNUMBER(MATCH(T529,Parameter!$I$27:$I$29,0))),1,0)</f>
        <v>1</v>
      </c>
      <c r="CB529" s="53" t="n">
        <f aca="false">IF(CQ529&gt;0,INDEX(Parameter!$H$5:$H$7,W529)/INDEX(Parameter!$E$5:$E$7,W529),IF(AND(BZ529=0,N(IFERROR(VLOOKUP(BX529,'Gebinde-Kategorie'!$A$5:$N$45,14,0),0))&gt;0),VLOOKUP(BX529,'Gebinde-Kategorie'!$A$5:$N$45,14,0)*10+Parameter!$M$23,Parameter!$M$24))</f>
        <v>145</v>
      </c>
      <c r="CC529" s="48" t="str">
        <f aca="false">IF(AND(Parameter!$B$19="Ja",E529&lt;&gt;"",ISNUMBER(MATCH(E529,Parameter!$I$35:$I$52,0))),VLOOKUP(E529,Parameter!$I$35:$J$52,2,0),IFERROR(VLOOKUP(D529,Parameter!$A$35:$C$64,2,0),"Nein"))</f>
        <v>2+3</v>
      </c>
      <c r="CD529" s="52" t="n">
        <f aca="false">IF(BZ529=0,0,IF(N(S529)&gt;0,S529,IFERROR(VLOOKUP(D529,Parameter!$A$35:$C$64,3,0)+0,0)))</f>
        <v>0</v>
      </c>
      <c r="CE529" s="48" t="n">
        <f aca="false">IF(AA529&lt;&gt;"",AA529,Z529)</f>
        <v>2</v>
      </c>
      <c r="CF529" s="48" t="str">
        <f aca="false">IF(OR(CE529=1,CE529=2,CE529=3),IF(Parameter!$E$27="Ja","LIFT",IF(CE529=1,"L1","L23")),IF(CE529="Aussen","Aussen","-"))</f>
        <v>LIFT</v>
      </c>
      <c r="CG529" s="59" t="n">
        <f aca="false">IF(N(AB529)&gt;0,AB529,0)</f>
        <v>0</v>
      </c>
      <c r="CH529" s="53" t="n">
        <f aca="false">IF(ISNUMBER(AE529),1,0)</f>
        <v>0</v>
      </c>
      <c r="CI529" s="50" t="n">
        <f aca="false">N(AE529)</f>
        <v>0</v>
      </c>
      <c r="CJ529" s="50" t="n">
        <f aca="false">N(M529)+N(N529)</f>
        <v>1</v>
      </c>
      <c r="CK529" s="50" t="n">
        <f aca="false">N(M529)</f>
        <v>0</v>
      </c>
      <c r="CL529" s="50" t="n">
        <f aca="false">N(N529)</f>
        <v>1</v>
      </c>
      <c r="CM529" s="50" t="n">
        <f aca="false">ROUNDUP(H529/BY529,0)</f>
        <v>1</v>
      </c>
      <c r="CN529" s="50" t="n">
        <f aca="false">ROUNDUP(CI529/BY529,0)</f>
        <v>0</v>
      </c>
      <c r="CO529" s="53" t="n">
        <f aca="false">IF(BZ529=1,0,IFERROR(VLOOKUP(BX529,'Gebinde-Kategorie'!$A$5:$N$45,5,0)+0,0))</f>
        <v>11</v>
      </c>
      <c r="CP529" s="53" t="n">
        <f aca="false">IFERROR(IF(OR(CE529=1,CE529=2,CE529=3),N(INDEX(Parameter!$I$5:$I$7,CE529)),0),0)</f>
        <v>0</v>
      </c>
      <c r="CQ529" s="52" t="n">
        <f aca="false">IF(AND(Parameter!$B$21="Ja",ISNUMBER(W529),N(X529)&gt;0),IFERROR(N(INDEX(Parameter!$L$5:$L$7,W529))*INDEX(Parameter!$E$5:$E$7,W529)*X529/SUMIFS($X$7:$X$1843,$W$7:$W$1843,W529),0),0)</f>
        <v>0</v>
      </c>
    </row>
    <row r="530" customFormat="false" ht="15" hidden="false" customHeight="false" outlineLevel="0" collapsed="false">
      <c r="A530" s="48" t="s">
        <v>1153</v>
      </c>
      <c r="B530" s="48" t="s">
        <v>1154</v>
      </c>
      <c r="C530" s="48" t="s">
        <v>173</v>
      </c>
      <c r="D530" s="48" t="s">
        <v>193</v>
      </c>
      <c r="E530" s="48"/>
      <c r="F530" s="48" t="s">
        <v>227</v>
      </c>
      <c r="G530" s="49" t="n">
        <v>1.59</v>
      </c>
      <c r="H530" s="50" t="n">
        <f aca="false">MAX(0,IF(AND(Parameter!$B$21="Ja",ISNUMBER(Y530)),Y530,IF(Parameter!$B$20="Jahresanfang 2025 + Export",BR530+BQ530,BQ530)))</f>
        <v>16</v>
      </c>
      <c r="I530" s="50" t="n">
        <f aca="false">H530*G530</f>
        <v>25.44</v>
      </c>
      <c r="J530" s="50" t="n">
        <f aca="false">BT530*Parameter!$B$18</f>
        <v>14</v>
      </c>
      <c r="K530" s="51" t="n">
        <v>11</v>
      </c>
      <c r="L530" s="52" t="n">
        <v>1.27272727272727</v>
      </c>
      <c r="M530" s="50" t="n">
        <v>0</v>
      </c>
      <c r="N530" s="50" t="n">
        <v>15</v>
      </c>
      <c r="O530" s="53" t="n">
        <v>21</v>
      </c>
      <c r="P530" s="48" t="s">
        <v>410</v>
      </c>
      <c r="Q530" s="50" t="n">
        <v>20</v>
      </c>
      <c r="R530" s="53" t="n">
        <f aca="false">IF(BZ530=1,0,IFERROR(VLOOKUP(BX530,'Gebinde-Kategorie'!$A$5:$N$45,13,0)+0,0))</f>
        <v>280</v>
      </c>
      <c r="S530" s="54"/>
      <c r="T530" s="55"/>
      <c r="U530" s="55"/>
      <c r="V530" s="55"/>
      <c r="W530" s="48"/>
      <c r="X530" s="50"/>
      <c r="Y530" s="50"/>
      <c r="Z530" s="48" t="n">
        <f aca="false">IF(A530="","",IF(AND(Parameter!$B$21="Ja",ISNUMBER(W530)),W530,IF(CC530="2+3",IF(ISNUMBER(SEARCH("grosser Artikel",BU530)),2,IFERROR(VLOOKUP(BX530,Parameter!$F$35:$G$64,2,0),2)),IF(OR(CC530="Nein",CC530=""),"-",CC530))))</f>
        <v>3</v>
      </c>
      <c r="AA530" s="55"/>
      <c r="AB530" s="56"/>
      <c r="AC530" s="50" t="n">
        <f aca="false">AV530</f>
        <v>15</v>
      </c>
      <c r="AD530" s="50" t="n">
        <f aca="false">MAX(AV530,H530)</f>
        <v>16</v>
      </c>
      <c r="AE530" s="57"/>
      <c r="AF530" s="50" t="n">
        <f aca="false">IF(LEFT(Cockpit!$C$5,1)="A",H530,IF(Parameter!$E$30="MAX-Bestand",IF(CH530=1,CI530,IF(LEFT(Cockpit!$C$5,1)="B",AL530,MAX(AL530,H530))),ROUNDUP(AJ530,0)))</f>
        <v>16</v>
      </c>
      <c r="AG530" s="50" t="n">
        <f aca="false">IF(BZ530=1,0,ROUNDUP(AF530/BY530,0))</f>
        <v>1</v>
      </c>
      <c r="AH530" s="52" t="n">
        <f aca="false">IF(CQ530&gt;0,CQ530*MAX(1,AF530/X530),IF(BZ530=1,IF(AF530&lt;=0,0,CD530*MAX(1,IF(H530&gt;0,AF530/H530,1))),IF(R530&gt;0,AG530/R530,0))/MAX(0.1,N(Parameter!$M$21)))</f>
        <v>0.00357142857142857</v>
      </c>
      <c r="AI530" s="50" t="n">
        <f aca="false">AH530*CB530</f>
        <v>0.553571428571429</v>
      </c>
      <c r="AJ530" s="51" t="n">
        <f aca="false">IF(LEFT(Cockpit!$C$5,1)="A",H530,IF(CH530=1,(CK530+CI530)/2,IF(LEFT(Cockpit!$C$5,1)="B",(CK530+AL530)/2,MAX((CK530+AL530)/2,H530))))</f>
        <v>16</v>
      </c>
      <c r="AK530" s="50" t="n">
        <f aca="false">AJ530*G530</f>
        <v>25.44</v>
      </c>
      <c r="AL530" s="50" t="n">
        <f aca="false">ROUNDUP(CK530+MAX(CL530,2*(J530/IF(CG530&gt;0,CG530,MAX(0.1,N(Cockpit!$C$6)))-CK530)),0)</f>
        <v>15</v>
      </c>
      <c r="AM530" s="51" t="n">
        <f aca="false">IF(AI530&gt;0,J530/AI530,-1)</f>
        <v>25.2903225806452</v>
      </c>
      <c r="AN530" s="51" t="n">
        <f aca="false">IF(AND(OR(CF530="L1",CF530="L23",CF530="LIFT"),AI530&gt;0),SUMIFS($AI$7:$AI$1843,$CF$7:$CF$1843,CF530,$AM$7:$AM$1843,"&gt;"&amp;AM530)+SUMIFS($AI$7:$AI$1843,$CF$7:$CF$1843,CF530,$AM$7:$AM$1843,AM530,$BW$7:$BW$1843,"&lt;="&amp;BW530),"")</f>
        <v>1511.03663003663</v>
      </c>
      <c r="AO530" s="58" t="n">
        <f aca="false">IF(AN530="",0,MAX(0,MIN(1,(IF(CF530="L1",Parameter!$H$5,IF(CF530="L23",Parameter!$H$6+Parameter!$H$7,Parameter!$H$5+Parameter!$H$6+Parameter!$H$7))-(AN530-AI530))/AI530)))</f>
        <v>1</v>
      </c>
      <c r="AP530" s="50" t="n">
        <f aca="false">IF(LEFT(Cockpit!$I$5,1)="A",H530,IF(Parameter!$E$30="MAX-Bestand",IF(CH530=1,CI530,IF(LEFT(Cockpit!$I$5,1)="B",AV530,MAX(AV530,H530))),ROUNDUP(AT530,0)))</f>
        <v>16</v>
      </c>
      <c r="AQ530" s="50" t="n">
        <f aca="false">IF(BZ530=1,0,ROUNDUP(AP530/BY530,0))</f>
        <v>1</v>
      </c>
      <c r="AR530" s="52" t="n">
        <f aca="false">IF(CQ530&gt;0,CQ530*MAX(1,AP530/X530),IF(BZ530=1,IF(AP530&lt;=0,0,CD530*MAX(1,IF(H530&gt;0,AP530/H530,1))),IF(R530&gt;0,AQ530/R530,0))/MAX(0.1,N(Parameter!$M$21)))</f>
        <v>0.00357142857142857</v>
      </c>
      <c r="AS530" s="50" t="n">
        <f aca="false">AR530*CB530</f>
        <v>0.553571428571429</v>
      </c>
      <c r="AT530" s="51" t="n">
        <f aca="false">IF(LEFT(Cockpit!$I$5,1)="A",H530,IF(CH530=1,(CK530+CI530)/2,IF(LEFT(Cockpit!$I$5,1)="B",(CK530+AV530)/2,MAX((CK530+AV530)/2,H530))))</f>
        <v>16</v>
      </c>
      <c r="AU530" s="50" t="n">
        <f aca="false">AT530*G530</f>
        <v>25.44</v>
      </c>
      <c r="AV530" s="50" t="n">
        <f aca="false">ROUNDUP(CK530+MAX(CL530,2*(J530/IF(CG530&gt;0,CG530,MAX(0.1,N(Cockpit!$I$6)))-CK530)),0)</f>
        <v>15</v>
      </c>
      <c r="AW530" s="51" t="n">
        <f aca="false">IF(AS530&gt;0,J530/AS530,-1)</f>
        <v>25.2903225806452</v>
      </c>
      <c r="AX530" s="51" t="n">
        <f aca="false">IF(AND(OR(CF530="L1",CF530="L23",CF530="LIFT"),AS530&gt;0),SUMIFS($AS$7:$AS$1843,$CF$7:$CF$1843,CF530,$AW$7:$AW$1843,"&gt;"&amp;AW530)+SUMIFS($AS$7:$AS$1843,$CF$7:$CF$1843,CF530,$AW$7:$AW$1843,AW530,$BW$7:$BW$1843,"&lt;="&amp;BW530),"")</f>
        <v>2136.87545787546</v>
      </c>
      <c r="AY530" s="58" t="n">
        <f aca="false">IF(AX530="",0,MAX(0,MIN(1,(IF(CF530="L1",Parameter!$H$5,IF(CF530="L23",Parameter!$H$6+Parameter!$H$7,Parameter!$H$5+Parameter!$H$6+Parameter!$H$7))-(AX530-AS530))/AS530)))</f>
        <v>1</v>
      </c>
      <c r="AZ530" s="50" t="n">
        <f aca="false">IF(LEFT(Cockpit!$O$5,1)="A",H530,IF(Parameter!$E$30="MAX-Bestand",IF(CH530=1,CI530,IF(LEFT(Cockpit!$O$5,1)="B",BF530,MAX(BF530,H530))),ROUNDUP(BD530,0)))</f>
        <v>8</v>
      </c>
      <c r="BA530" s="50" t="n">
        <f aca="false">IF(BZ530=1,0,ROUNDUP(AZ530/BY530,0))</f>
        <v>1</v>
      </c>
      <c r="BB530" s="52" t="n">
        <f aca="false">IF(CQ530&gt;0,CQ530*MAX(1,AZ530/X530),IF(BZ530=1,IF(AZ530&lt;=0,0,CD530*MAX(1,IF(H530&gt;0,AZ530/H530,1))),IF(R530&gt;0,BA530/R530,0))/MAX(0.1,N(Parameter!$M$21)))</f>
        <v>0.00357142857142857</v>
      </c>
      <c r="BC530" s="50" t="n">
        <f aca="false">BB530*CB530</f>
        <v>0.553571428571429</v>
      </c>
      <c r="BD530" s="51" t="n">
        <f aca="false">IF(LEFT(Cockpit!$O$5,1)="A",H530,IF(CH530=1,(CK530+CI530)/2,IF(LEFT(Cockpit!$O$5,1)="B",(CK530+BF530)/2,MAX((CK530+BF530)/2,H530))))</f>
        <v>7.5</v>
      </c>
      <c r="BE530" s="50" t="n">
        <f aca="false">BD530*G530</f>
        <v>11.925</v>
      </c>
      <c r="BF530" s="50" t="n">
        <f aca="false">ROUNDUP(CK530+MAX(CL530,2*(J530/IF(CG530&gt;0,CG530,MAX(0.1,N(Cockpit!$O$6)))-CK530)),0)</f>
        <v>15</v>
      </c>
      <c r="BG530" s="51" t="n">
        <f aca="false">IF(BC530&gt;0,J530/BC530,-1)</f>
        <v>25.2903225806452</v>
      </c>
      <c r="BH530" s="51" t="n">
        <f aca="false">IF(AND(OR(CF530="L1",CF530="L23",CF530="LIFT"),BC530&gt;0),SUMIFS($BC$7:$BC$1843,$CF$7:$CF$1843,CF530,$BG$7:$BG$1843,"&gt;"&amp;BG530)+SUMIFS($BC$7:$BC$1843,$CF$7:$CF$1843,CF530,$BG$7:$BG$1843,BG530,$BW$7:$BW$1843,"&lt;="&amp;BW530),"")</f>
        <v>2066.88644688645</v>
      </c>
      <c r="BI530" s="58" t="n">
        <f aca="false">IF(BH530="",0,MAX(0,MIN(1,(IF(CF530="L1",Parameter!$H$5,IF(CF530="L23",Parameter!$H$6+Parameter!$H$7,Parameter!$H$5+Parameter!$H$6+Parameter!$H$7))-(BH530-BC530))/BC530)))</f>
        <v>1</v>
      </c>
      <c r="BJ530" s="48" t="str">
        <f aca="false">IF(AI530&lt;=0,"",IF(CF530="Aussen","Aussenlager",IF(CF530="-","Nicht im Lift",IF(AO530&gt;=1,"Lift",IF(AO530&lt;=0,"Aussenlager","teilweise")))))</f>
        <v>Lift</v>
      </c>
      <c r="BK530" s="48" t="str">
        <f aca="false">IF(AS530&lt;=0,"",IF(CF530="Aussen","Aussenlager",IF(CF530="-","Nicht im Lift",IF(AY530&gt;=1,"Lift",IF(AY530&lt;=0,"Aussenlager","teilweise")))))</f>
        <v>Lift</v>
      </c>
      <c r="BL530" s="48" t="str">
        <f aca="false">IF(BC530&lt;=0,"",IF(CF530="Aussen","Aussenlager",IF(CF530="-","Nicht im Lift",IF(BI530&gt;=1,"Lift",IF(BI530&lt;=0,"Aussenlager","teilweise")))))</f>
        <v>Lift</v>
      </c>
      <c r="BM530" s="48" t="str">
        <f aca="false">IF(A530="","",IF(BV530=1,"Neu; ","")&amp;IF(AND(BV530=0,BQ530&lt;0),"negativer Bestand (Export "&amp;BQ530&amp;"); ","")&amp;IF(J530&lt;=0,"Kein Verbrauch; ","")&amp;IF(CQ530&gt;0,"Lift "&amp;W530&amp;" lt. Liftbericht (Fach "&amp;X530&amp;" Stk); ",IF(CA530=1,"Gebinde geschätzt ("&amp;T530&amp;"); ",IF(BZ530=1,"Lose – Tablare geschätzt; ","")))&amp;IF(H530&gt;AV530,"Überbestand "&amp;ROUND(H530-AV530,0)&amp;" Stk / CHF "&amp;ROUND((H530-AV530)*G530,0)&amp;"; ","")&amp;IF(AND(CH530=1,CI530&lt;CJ530),"MAX &lt; MB+LG; ","")&amp;IF(AND(CP530&gt;0,CO530*10&gt;CP530),"zu hoch für Tablar; ","")&amp;IF(AND(BV530=0,OR(CH530=1,AA530&lt;&gt;"",U530&lt;&gt;"",V530&lt;&gt;"",AB530&lt;&gt;"")),"manuell übersteuert; ","")&amp;IF(AND(BZ530=0,R530=0),"Gebinde unbekannt / Stellmass fehlt; ","")&amp;IF(AND(BZ530=0,N(V530)&lt;=0,N(Q530)&lt;=0),"Menge pro Gebinde fehlt (Ist = 1 Gebinde); ","")&amp;BU530)</f>
        <v>Überbestand 1 Stk / CHF 2; </v>
      </c>
      <c r="BN530" s="48"/>
      <c r="BO530" s="48"/>
      <c r="BP530" s="55"/>
      <c r="BQ530" s="50" t="n">
        <v>16</v>
      </c>
      <c r="BR530" s="50" t="n">
        <v>0</v>
      </c>
      <c r="BS530" s="49" t="n">
        <v>25.44</v>
      </c>
      <c r="BT530" s="50" t="n">
        <v>14</v>
      </c>
      <c r="BU530" s="48"/>
      <c r="BV530" s="53" t="n">
        <v>0</v>
      </c>
      <c r="BW530" s="53" t="n">
        <v>530</v>
      </c>
      <c r="BX530" s="48" t="str">
        <f aca="false">IF(U530&lt;&gt;"",UPPER(TRIM(U530)),IF(CA530=1,UPPER(VLOOKUP(T530,Parameter!$I$27:$K$29,2,0)),IF(P530="","LOSE",P530)))</f>
        <v>S21</v>
      </c>
      <c r="BY530" s="50" t="n">
        <f aca="false">IF(BX530="LOSE",1,IF(N(V530)&gt;0,V530,IF(CA530=1,MAX(1,N(VLOOKUP(T530,Parameter!$I$27:$K$29,3,0)),H530,N(N530)),IF(N(Q530)&gt;0,Q530,MAX(1,H530)))))</f>
        <v>20</v>
      </c>
      <c r="BZ530" s="53" t="n">
        <f aca="false">IF(BX530="LOSE",1,0)</f>
        <v>0</v>
      </c>
      <c r="CA530" s="53" t="n">
        <f aca="false">IF(AND(U530="",OR(P530="",P530="LOSE"),T530&lt;&gt;"",N(S530)&lt;=0,ISNUMBER(MATCH(T530,Parameter!$I$27:$I$29,0))),1,0)</f>
        <v>0</v>
      </c>
      <c r="CB530" s="53" t="n">
        <f aca="false">IF(CQ530&gt;0,INDEX(Parameter!$H$5:$H$7,W530)/INDEX(Parameter!$E$5:$E$7,W530),IF(AND(BZ530=0,N(IFERROR(VLOOKUP(BX530,'Gebinde-Kategorie'!$A$5:$N$45,14,0),0))&gt;0),VLOOKUP(BX530,'Gebinde-Kategorie'!$A$5:$N$45,14,0)*10+Parameter!$M$23,Parameter!$M$24))</f>
        <v>155</v>
      </c>
      <c r="CC530" s="48" t="str">
        <f aca="false">IF(AND(Parameter!$B$19="Ja",E530&lt;&gt;"",ISNUMBER(MATCH(E530,Parameter!$I$35:$I$52,0))),VLOOKUP(E530,Parameter!$I$35:$J$52,2,0),IFERROR(VLOOKUP(D530,Parameter!$A$35:$C$64,2,0),"Nein"))</f>
        <v>2+3</v>
      </c>
      <c r="CD530" s="52" t="n">
        <f aca="false">IF(BZ530=0,0,IF(N(S530)&gt;0,S530,IFERROR(VLOOKUP(D530,Parameter!$A$35:$C$64,3,0)+0,0)))</f>
        <v>0</v>
      </c>
      <c r="CE530" s="48" t="n">
        <f aca="false">IF(AA530&lt;&gt;"",AA530,Z530)</f>
        <v>3</v>
      </c>
      <c r="CF530" s="48" t="str">
        <f aca="false">IF(OR(CE530=1,CE530=2,CE530=3),IF(Parameter!$E$27="Ja","LIFT",IF(CE530=1,"L1","L23")),IF(CE530="Aussen","Aussen","-"))</f>
        <v>LIFT</v>
      </c>
      <c r="CG530" s="59" t="n">
        <f aca="false">IF(N(AB530)&gt;0,AB530,0)</f>
        <v>0</v>
      </c>
      <c r="CH530" s="53" t="n">
        <f aca="false">IF(ISNUMBER(AE530),1,0)</f>
        <v>0</v>
      </c>
      <c r="CI530" s="50" t="n">
        <f aca="false">N(AE530)</f>
        <v>0</v>
      </c>
      <c r="CJ530" s="50" t="n">
        <f aca="false">N(M530)+N(N530)</f>
        <v>15</v>
      </c>
      <c r="CK530" s="50" t="n">
        <f aca="false">N(M530)</f>
        <v>0</v>
      </c>
      <c r="CL530" s="50" t="n">
        <f aca="false">N(N530)</f>
        <v>15</v>
      </c>
      <c r="CM530" s="50" t="n">
        <f aca="false">ROUNDUP(H530/BY530,0)</f>
        <v>1</v>
      </c>
      <c r="CN530" s="50" t="n">
        <f aca="false">ROUNDUP(CI530/BY530,0)</f>
        <v>0</v>
      </c>
      <c r="CO530" s="53" t="n">
        <f aca="false">IF(BZ530=1,0,IFERROR(VLOOKUP(BX530,'Gebinde-Kategorie'!$A$5:$N$45,5,0)+0,0))</f>
        <v>8</v>
      </c>
      <c r="CP530" s="53" t="n">
        <f aca="false">IFERROR(IF(OR(CE530=1,CE530=2,CE530=3),N(INDEX(Parameter!$I$5:$I$7,CE530)),0),0)</f>
        <v>0</v>
      </c>
      <c r="CQ530" s="52" t="n">
        <f aca="false">IF(AND(Parameter!$B$21="Ja",ISNUMBER(W530),N(X530)&gt;0),IFERROR(N(INDEX(Parameter!$L$5:$L$7,W530))*INDEX(Parameter!$E$5:$E$7,W530)*X530/SUMIFS($X$7:$X$1843,$W$7:$W$1843,W530),0),0)</f>
        <v>0</v>
      </c>
    </row>
    <row r="531" customFormat="false" ht="15" hidden="false" customHeight="false" outlineLevel="0" collapsed="false">
      <c r="A531" s="48" t="s">
        <v>1155</v>
      </c>
      <c r="B531" s="48" t="s">
        <v>1156</v>
      </c>
      <c r="C531" s="48" t="s">
        <v>173</v>
      </c>
      <c r="D531" s="48" t="s">
        <v>182</v>
      </c>
      <c r="E531" s="48"/>
      <c r="F531" s="48" t="s">
        <v>227</v>
      </c>
      <c r="G531" s="49" t="n">
        <v>25.44</v>
      </c>
      <c r="H531" s="50" t="n">
        <f aca="false">MAX(0,IF(AND(Parameter!$B$21="Ja",ISNUMBER(Y531)),Y531,IF(Parameter!$B$20="Jahresanfang 2025 + Export",BR531+BQ531,BQ531)))</f>
        <v>1</v>
      </c>
      <c r="I531" s="50" t="n">
        <f aca="false">H531*G531</f>
        <v>25.44</v>
      </c>
      <c r="J531" s="50" t="n">
        <f aca="false">BT531*Parameter!$B$18</f>
        <v>0</v>
      </c>
      <c r="K531" s="51" t="n">
        <v>0</v>
      </c>
      <c r="L531" s="52" t="n">
        <v>0</v>
      </c>
      <c r="M531" s="50" t="n">
        <v>0</v>
      </c>
      <c r="N531" s="50" t="n">
        <v>1</v>
      </c>
      <c r="O531" s="53" t="n">
        <v>21</v>
      </c>
      <c r="P531" s="48" t="s">
        <v>177</v>
      </c>
      <c r="Q531" s="50"/>
      <c r="R531" s="53" t="n">
        <f aca="false">IF(BZ531=1,0,IFERROR(VLOOKUP(BX531,'Gebinde-Kategorie'!$A$5:$N$45,13,0)+0,0))</f>
        <v>12</v>
      </c>
      <c r="S531" s="54"/>
      <c r="T531" s="55" t="s">
        <v>188</v>
      </c>
      <c r="U531" s="55"/>
      <c r="V531" s="55"/>
      <c r="W531" s="48"/>
      <c r="X531" s="50"/>
      <c r="Y531" s="50"/>
      <c r="Z531" s="48" t="n">
        <f aca="false">IF(A531="","",IF(AND(Parameter!$B$21="Ja",ISNUMBER(W531)),W531,IF(CC531="2+3",IF(ISNUMBER(SEARCH("grosser Artikel",BU531)),2,IFERROR(VLOOKUP(BX531,Parameter!$F$35:$G$64,2,0),2)),IF(OR(CC531="Nein",CC531=""),"-",CC531))))</f>
        <v>2</v>
      </c>
      <c r="AA531" s="55"/>
      <c r="AB531" s="56"/>
      <c r="AC531" s="50" t="n">
        <f aca="false">AV531</f>
        <v>1</v>
      </c>
      <c r="AD531" s="50" t="n">
        <f aca="false">MAX(AV531,H531)</f>
        <v>1</v>
      </c>
      <c r="AE531" s="57"/>
      <c r="AF531" s="50" t="n">
        <f aca="false">IF(LEFT(Cockpit!$C$5,1)="A",H531,IF(Parameter!$E$30="MAX-Bestand",IF(CH531=1,CI531,IF(LEFT(Cockpit!$C$5,1)="B",AL531,MAX(AL531,H531))),ROUNDUP(AJ531,0)))</f>
        <v>1</v>
      </c>
      <c r="AG531" s="50" t="n">
        <f aca="false">IF(BZ531=1,0,ROUNDUP(AF531/BY531,0))</f>
        <v>1</v>
      </c>
      <c r="AH531" s="52" t="n">
        <f aca="false">IF(CQ531&gt;0,CQ531*MAX(1,AF531/X531),IF(BZ531=1,IF(AF531&lt;=0,0,CD531*MAX(1,IF(H531&gt;0,AF531/H531,1))),IF(R531&gt;0,AG531/R531,0))/MAX(0.1,N(Parameter!$M$21)))</f>
        <v>0.0833333333333333</v>
      </c>
      <c r="AI531" s="50" t="n">
        <f aca="false">AH531*CB531</f>
        <v>12.0833333333333</v>
      </c>
      <c r="AJ531" s="51" t="n">
        <f aca="false">IF(LEFT(Cockpit!$C$5,1)="A",H531,IF(CH531=1,(CK531+CI531)/2,IF(LEFT(Cockpit!$C$5,1)="B",(CK531+AL531)/2,MAX((CK531+AL531)/2,H531))))</f>
        <v>1</v>
      </c>
      <c r="AK531" s="50" t="n">
        <f aca="false">AJ531*G531</f>
        <v>25.44</v>
      </c>
      <c r="AL531" s="50" t="n">
        <f aca="false">ROUNDUP(CK531+MAX(CL531,2*(J531/IF(CG531&gt;0,CG531,MAX(0.1,N(Cockpit!$C$6)))-CK531)),0)</f>
        <v>1</v>
      </c>
      <c r="AM531" s="51" t="n">
        <f aca="false">IF(AI531&gt;0,J531/AI531,-1)</f>
        <v>0</v>
      </c>
      <c r="AN531" s="51" t="n">
        <f aca="false">IF(AND(OR(CF531="L1",CF531="L23",CF531="LIFT"),AI531&gt;0),SUMIFS($AI$7:$AI$1843,$CF$7:$CF$1843,CF531,$AM$7:$AM$1843,"&gt;"&amp;AM531)+SUMIFS($AI$7:$AI$1843,$CF$7:$CF$1843,CF531,$AM$7:$AM$1843,AM531,$BW$7:$BW$1843,"&lt;="&amp;BW531),"")</f>
        <v>28340.4644538606</v>
      </c>
      <c r="AO531" s="58" t="n">
        <f aca="false">IF(AN531="",0,MAX(0,MIN(1,(IF(CF531="L1",Parameter!$H$5,IF(CF531="L23",Parameter!$H$6+Parameter!$H$7,Parameter!$H$5+Parameter!$H$6+Parameter!$H$7))-(AN531-AI531))/AI531)))</f>
        <v>1</v>
      </c>
      <c r="AP531" s="50" t="n">
        <f aca="false">IF(LEFT(Cockpit!$I$5,1)="A",H531,IF(Parameter!$E$30="MAX-Bestand",IF(CH531=1,CI531,IF(LEFT(Cockpit!$I$5,1)="B",AV531,MAX(AV531,H531))),ROUNDUP(AT531,0)))</f>
        <v>1</v>
      </c>
      <c r="AQ531" s="50" t="n">
        <f aca="false">IF(BZ531=1,0,ROUNDUP(AP531/BY531,0))</f>
        <v>1</v>
      </c>
      <c r="AR531" s="52" t="n">
        <f aca="false">IF(CQ531&gt;0,CQ531*MAX(1,AP531/X531),IF(BZ531=1,IF(AP531&lt;=0,0,CD531*MAX(1,IF(H531&gt;0,AP531/H531,1))),IF(R531&gt;0,AQ531/R531,0))/MAX(0.1,N(Parameter!$M$21)))</f>
        <v>0.0833333333333333</v>
      </c>
      <c r="AS531" s="50" t="n">
        <f aca="false">AR531*CB531</f>
        <v>12.0833333333333</v>
      </c>
      <c r="AT531" s="51" t="n">
        <f aca="false">IF(LEFT(Cockpit!$I$5,1)="A",H531,IF(CH531=1,(CK531+CI531)/2,IF(LEFT(Cockpit!$I$5,1)="B",(CK531+AV531)/2,MAX((CK531+AV531)/2,H531))))</f>
        <v>1</v>
      </c>
      <c r="AU531" s="50" t="n">
        <f aca="false">AT531*G531</f>
        <v>25.44</v>
      </c>
      <c r="AV531" s="50" t="n">
        <f aca="false">ROUNDUP(CK531+MAX(CL531,2*(J531/IF(CG531&gt;0,CG531,MAX(0.1,N(Cockpit!$I$6)))-CK531)),0)</f>
        <v>1</v>
      </c>
      <c r="AW531" s="51" t="n">
        <f aca="false">IF(AS531&gt;0,J531/AS531,-1)</f>
        <v>0</v>
      </c>
      <c r="AX531" s="51" t="n">
        <f aca="false">IF(AND(OR(CF531="L1",CF531="L23",CF531="LIFT"),AS531&gt;0),SUMIFS($AS$7:$AS$1843,$CF$7:$CF$1843,CF531,$AW$7:$AW$1843,"&gt;"&amp;AW531)+SUMIFS($AS$7:$AS$1843,$CF$7:$CF$1843,CF531,$AW$7:$AW$1843,AW531,$BW$7:$BW$1843,"&lt;="&amp;BW531),"")</f>
        <v>33693.6130952381</v>
      </c>
      <c r="AY531" s="58" t="n">
        <f aca="false">IF(AX531="",0,MAX(0,MIN(1,(IF(CF531="L1",Parameter!$H$5,IF(CF531="L23",Parameter!$H$6+Parameter!$H$7,Parameter!$H$5+Parameter!$H$6+Parameter!$H$7))-(AX531-AS531))/AS531)))</f>
        <v>1</v>
      </c>
      <c r="AZ531" s="50" t="n">
        <f aca="false">IF(LEFT(Cockpit!$O$5,1)="A",H531,IF(Parameter!$E$30="MAX-Bestand",IF(CH531=1,CI531,IF(LEFT(Cockpit!$O$5,1)="B",BF531,MAX(BF531,H531))),ROUNDUP(BD531,0)))</f>
        <v>1</v>
      </c>
      <c r="BA531" s="50" t="n">
        <f aca="false">IF(BZ531=1,0,ROUNDUP(AZ531/BY531,0))</f>
        <v>1</v>
      </c>
      <c r="BB531" s="52" t="n">
        <f aca="false">IF(CQ531&gt;0,CQ531*MAX(1,AZ531/X531),IF(BZ531=1,IF(AZ531&lt;=0,0,CD531*MAX(1,IF(H531&gt;0,AZ531/H531,1))),IF(R531&gt;0,BA531/R531,0))/MAX(0.1,N(Parameter!$M$21)))</f>
        <v>0.0833333333333333</v>
      </c>
      <c r="BC531" s="50" t="n">
        <f aca="false">BB531*CB531</f>
        <v>12.0833333333333</v>
      </c>
      <c r="BD531" s="51" t="n">
        <f aca="false">IF(LEFT(Cockpit!$O$5,1)="A",H531,IF(CH531=1,(CK531+CI531)/2,IF(LEFT(Cockpit!$O$5,1)="B",(CK531+BF531)/2,MAX((CK531+BF531)/2,H531))))</f>
        <v>0.5</v>
      </c>
      <c r="BE531" s="50" t="n">
        <f aca="false">BD531*G531</f>
        <v>12.72</v>
      </c>
      <c r="BF531" s="50" t="n">
        <f aca="false">ROUNDUP(CK531+MAX(CL531,2*(J531/IF(CG531&gt;0,CG531,MAX(0.1,N(Cockpit!$O$6)))-CK531)),0)</f>
        <v>1</v>
      </c>
      <c r="BG531" s="51" t="n">
        <f aca="false">IF(BC531&gt;0,J531/BC531,-1)</f>
        <v>0</v>
      </c>
      <c r="BH531" s="51" t="n">
        <f aca="false">IF(AND(OR(CF531="L1",CF531="L23",CF531="LIFT"),BC531&gt;0),SUMIFS($BC$7:$BC$1843,$CF$7:$CF$1843,CF531,$BG$7:$BG$1843,"&gt;"&amp;BG531)+SUMIFS($BC$7:$BC$1843,$CF$7:$CF$1843,CF531,$BG$7:$BG$1843,BG531,$BW$7:$BW$1843,"&lt;="&amp;BW531),"")</f>
        <v>27773.5401766313</v>
      </c>
      <c r="BI531" s="58" t="n">
        <f aca="false">IF(BH531="",0,MAX(0,MIN(1,(IF(CF531="L1",Parameter!$H$5,IF(CF531="L23",Parameter!$H$6+Parameter!$H$7,Parameter!$H$5+Parameter!$H$6+Parameter!$H$7))-(BH531-BC531))/BC531)))</f>
        <v>1</v>
      </c>
      <c r="BJ531" s="48" t="str">
        <f aca="false">IF(AI531&lt;=0,"",IF(CF531="Aussen","Aussenlager",IF(CF531="-","Nicht im Lift",IF(AO531&gt;=1,"Lift",IF(AO531&lt;=0,"Aussenlager","teilweise")))))</f>
        <v>Lift</v>
      </c>
      <c r="BK531" s="48" t="str">
        <f aca="false">IF(AS531&lt;=0,"",IF(CF531="Aussen","Aussenlager",IF(CF531="-","Nicht im Lift",IF(AY531&gt;=1,"Lift",IF(AY531&lt;=0,"Aussenlager","teilweise")))))</f>
        <v>Lift</v>
      </c>
      <c r="BL531" s="48" t="str">
        <f aca="false">IF(BC531&lt;=0,"",IF(CF531="Aussen","Aussenlager",IF(CF531="-","Nicht im Lift",IF(BI531&gt;=1,"Lift",IF(BI531&lt;=0,"Aussenlager","teilweise")))))</f>
        <v>Lift</v>
      </c>
      <c r="BM531" s="48" t="str">
        <f aca="false">IF(A531="","",IF(BV531=1,"Neu; ","")&amp;IF(AND(BV531=0,BQ531&lt;0),"negativer Bestand (Export "&amp;BQ531&amp;"); ","")&amp;IF(J531&lt;=0,"Kein Verbrauch; ","")&amp;IF(CQ531&gt;0,"Lift "&amp;W531&amp;" lt. Liftbericht (Fach "&amp;X531&amp;" Stk); ",IF(CA531=1,"Gebinde geschätzt ("&amp;T531&amp;"); ",IF(BZ531=1,"Lose – Tablare geschätzt; ","")))&amp;IF(H531&gt;AV531,"Überbestand "&amp;ROUND(H531-AV531,0)&amp;" Stk / CHF "&amp;ROUND((H531-AV531)*G531,0)&amp;"; ","")&amp;IF(AND(CH531=1,CI531&lt;CJ531),"MAX &lt; MB+LG; ","")&amp;IF(AND(CP531&gt;0,CO531*10&gt;CP531),"zu hoch für Tablar; ","")&amp;IF(AND(BV531=0,OR(CH531=1,AA531&lt;&gt;"",U531&lt;&gt;"",V531&lt;&gt;"",AB531&lt;&gt;"")),"manuell übersteuert; ","")&amp;IF(AND(BZ531=0,R531=0),"Gebinde unbekannt / Stellmass fehlt; ","")&amp;IF(AND(BZ531=0,N(V531)&lt;=0,N(Q531)&lt;=0),"Menge pro Gebinde fehlt (Ist = 1 Gebinde); ","")&amp;BU531)</f>
        <v>Kein Verbrauch; Gebinde geschätzt (Mittel); Menge pro Gebinde fehlt (Ist = 1 Gebinde); </v>
      </c>
      <c r="BN531" s="48"/>
      <c r="BO531" s="48"/>
      <c r="BP531" s="55"/>
      <c r="BQ531" s="50" t="n">
        <v>1</v>
      </c>
      <c r="BR531" s="50" t="n">
        <v>0</v>
      </c>
      <c r="BS531" s="49" t="n">
        <v>25.44</v>
      </c>
      <c r="BT531" s="50" t="n">
        <v>0</v>
      </c>
      <c r="BU531" s="48"/>
      <c r="BV531" s="53" t="n">
        <v>0</v>
      </c>
      <c r="BW531" s="53" t="n">
        <v>531</v>
      </c>
      <c r="BX531" s="48" t="str">
        <f aca="false">IF(U531&lt;&gt;"",UPPER(TRIM(U531)),IF(CA531=1,UPPER(VLOOKUP(T531,Parameter!$I$27:$K$29,2,0)),IF(P531="","LOSE",P531)))</f>
        <v>S61</v>
      </c>
      <c r="BY531" s="50" t="n">
        <f aca="false">IF(BX531="LOSE",1,IF(N(V531)&gt;0,V531,IF(CA531=1,MAX(1,N(VLOOKUP(T531,Parameter!$I$27:$K$29,3,0)),H531,N(N531)),IF(N(Q531)&gt;0,Q531,MAX(1,H531)))))</f>
        <v>4</v>
      </c>
      <c r="BZ531" s="53" t="n">
        <f aca="false">IF(BX531="LOSE",1,0)</f>
        <v>0</v>
      </c>
      <c r="CA531" s="53" t="n">
        <f aca="false">IF(AND(U531="",OR(P531="",P531="LOSE"),T531&lt;&gt;"",N(S531)&lt;=0,ISNUMBER(MATCH(T531,Parameter!$I$27:$I$29,0))),1,0)</f>
        <v>1</v>
      </c>
      <c r="CB531" s="53" t="n">
        <f aca="false">IF(CQ531&gt;0,INDEX(Parameter!$H$5:$H$7,W531)/INDEX(Parameter!$E$5:$E$7,W531),IF(AND(BZ531=0,N(IFERROR(VLOOKUP(BX531,'Gebinde-Kategorie'!$A$5:$N$45,14,0),0))&gt;0),VLOOKUP(BX531,'Gebinde-Kategorie'!$A$5:$N$45,14,0)*10+Parameter!$M$23,Parameter!$M$24))</f>
        <v>145</v>
      </c>
      <c r="CC531" s="48" t="str">
        <f aca="false">IF(AND(Parameter!$B$19="Ja",E531&lt;&gt;"",ISNUMBER(MATCH(E531,Parameter!$I$35:$I$52,0))),VLOOKUP(E531,Parameter!$I$35:$J$52,2,0),IFERROR(VLOOKUP(D531,Parameter!$A$35:$C$64,2,0),"Nein"))</f>
        <v>2+3</v>
      </c>
      <c r="CD531" s="52" t="n">
        <f aca="false">IF(BZ531=0,0,IF(N(S531)&gt;0,S531,IFERROR(VLOOKUP(D531,Parameter!$A$35:$C$64,3,0)+0,0)))</f>
        <v>0</v>
      </c>
      <c r="CE531" s="48" t="n">
        <f aca="false">IF(AA531&lt;&gt;"",AA531,Z531)</f>
        <v>2</v>
      </c>
      <c r="CF531" s="48" t="str">
        <f aca="false">IF(OR(CE531=1,CE531=2,CE531=3),IF(Parameter!$E$27="Ja","LIFT",IF(CE531=1,"L1","L23")),IF(CE531="Aussen","Aussen","-"))</f>
        <v>LIFT</v>
      </c>
      <c r="CG531" s="59" t="n">
        <f aca="false">IF(N(AB531)&gt;0,AB531,0)</f>
        <v>0</v>
      </c>
      <c r="CH531" s="53" t="n">
        <f aca="false">IF(ISNUMBER(AE531),1,0)</f>
        <v>0</v>
      </c>
      <c r="CI531" s="50" t="n">
        <f aca="false">N(AE531)</f>
        <v>0</v>
      </c>
      <c r="CJ531" s="50" t="n">
        <f aca="false">N(M531)+N(N531)</f>
        <v>1</v>
      </c>
      <c r="CK531" s="50" t="n">
        <f aca="false">N(M531)</f>
        <v>0</v>
      </c>
      <c r="CL531" s="50" t="n">
        <f aca="false">N(N531)</f>
        <v>1</v>
      </c>
      <c r="CM531" s="50" t="n">
        <f aca="false">ROUNDUP(H531/BY531,0)</f>
        <v>1</v>
      </c>
      <c r="CN531" s="50" t="n">
        <f aca="false">ROUNDUP(CI531/BY531,0)</f>
        <v>0</v>
      </c>
      <c r="CO531" s="53" t="n">
        <f aca="false">IF(BZ531=1,0,IFERROR(VLOOKUP(BX531,'Gebinde-Kategorie'!$A$5:$N$45,5,0)+0,0))</f>
        <v>11</v>
      </c>
      <c r="CP531" s="53" t="n">
        <f aca="false">IFERROR(IF(OR(CE531=1,CE531=2,CE531=3),N(INDEX(Parameter!$I$5:$I$7,CE531)),0),0)</f>
        <v>0</v>
      </c>
      <c r="CQ531" s="52" t="n">
        <f aca="false">IF(AND(Parameter!$B$21="Ja",ISNUMBER(W531),N(X531)&gt;0),IFERROR(N(INDEX(Parameter!$L$5:$L$7,W531))*INDEX(Parameter!$E$5:$E$7,W531)*X531/SUMIFS($X$7:$X$1843,$W$7:$W$1843,W531),0),0)</f>
        <v>0</v>
      </c>
    </row>
    <row r="532" customFormat="false" ht="15" hidden="false" customHeight="false" outlineLevel="0" collapsed="false">
      <c r="A532" s="48" t="s">
        <v>1157</v>
      </c>
      <c r="B532" s="48" t="s">
        <v>901</v>
      </c>
      <c r="C532" s="48" t="s">
        <v>173</v>
      </c>
      <c r="D532" s="48" t="s">
        <v>193</v>
      </c>
      <c r="E532" s="48" t="s">
        <v>194</v>
      </c>
      <c r="F532" s="48" t="s">
        <v>227</v>
      </c>
      <c r="G532" s="49" t="n">
        <v>3.29</v>
      </c>
      <c r="H532" s="50" t="n">
        <f aca="false">MAX(0,IF(AND(Parameter!$B$21="Ja",ISNUMBER(Y532)),Y532,IF(Parameter!$B$20="Jahresanfang 2025 + Export",BR532+BQ532,BQ532)))</f>
        <v>22</v>
      </c>
      <c r="I532" s="50" t="n">
        <f aca="false">H532*G532</f>
        <v>72.38</v>
      </c>
      <c r="J532" s="50" t="n">
        <f aca="false">BT532*Parameter!$B$18</f>
        <v>1</v>
      </c>
      <c r="K532" s="51" t="n">
        <v>7.5</v>
      </c>
      <c r="L532" s="52" t="n">
        <v>0.133333333333333</v>
      </c>
      <c r="M532" s="50" t="n">
        <v>0</v>
      </c>
      <c r="N532" s="50" t="n">
        <v>1</v>
      </c>
      <c r="O532" s="53" t="n">
        <v>28</v>
      </c>
      <c r="P532" s="48" t="s">
        <v>430</v>
      </c>
      <c r="Q532" s="50" t="n">
        <v>11</v>
      </c>
      <c r="R532" s="53" t="n">
        <f aca="false">IF(BZ532=1,0,IFERROR(VLOOKUP(BX532,'Gebinde-Kategorie'!$A$5:$N$45,13,0)+0,0))</f>
        <v>104</v>
      </c>
      <c r="S532" s="54"/>
      <c r="T532" s="55"/>
      <c r="U532" s="55"/>
      <c r="V532" s="55"/>
      <c r="W532" s="48"/>
      <c r="X532" s="50"/>
      <c r="Y532" s="50"/>
      <c r="Z532" s="48" t="n">
        <f aca="false">IF(A532="","",IF(AND(Parameter!$B$21="Ja",ISNUMBER(W532)),W532,IF(CC532="2+3",IF(ISNUMBER(SEARCH("grosser Artikel",BU532)),2,IFERROR(VLOOKUP(BX532,Parameter!$F$35:$G$64,2,0),2)),IF(OR(CC532="Nein",CC532=""),"-",CC532))))</f>
        <v>3</v>
      </c>
      <c r="AA532" s="55"/>
      <c r="AB532" s="56"/>
      <c r="AC532" s="50" t="n">
        <f aca="false">AV532</f>
        <v>1</v>
      </c>
      <c r="AD532" s="50" t="n">
        <f aca="false">MAX(AV532,H532)</f>
        <v>22</v>
      </c>
      <c r="AE532" s="57"/>
      <c r="AF532" s="50" t="n">
        <f aca="false">IF(LEFT(Cockpit!$C$5,1)="A",H532,IF(Parameter!$E$30="MAX-Bestand",IF(CH532=1,CI532,IF(LEFT(Cockpit!$C$5,1)="B",AL532,MAX(AL532,H532))),ROUNDUP(AJ532,0)))</f>
        <v>22</v>
      </c>
      <c r="AG532" s="50" t="n">
        <f aca="false">IF(BZ532=1,0,ROUNDUP(AF532/BY532,0))</f>
        <v>2</v>
      </c>
      <c r="AH532" s="52" t="n">
        <f aca="false">IF(CQ532&gt;0,CQ532*MAX(1,AF532/X532),IF(BZ532=1,IF(AF532&lt;=0,0,CD532*MAX(1,IF(H532&gt;0,AF532/H532,1))),IF(R532&gt;0,AG532/R532,0))/MAX(0.1,N(Parameter!$M$21)))</f>
        <v>0.0192307692307692</v>
      </c>
      <c r="AI532" s="50" t="n">
        <f aca="false">AH532*CB532</f>
        <v>2.98076923076923</v>
      </c>
      <c r="AJ532" s="51" t="n">
        <f aca="false">IF(LEFT(Cockpit!$C$5,1)="A",H532,IF(CH532=1,(CK532+CI532)/2,IF(LEFT(Cockpit!$C$5,1)="B",(CK532+AL532)/2,MAX((CK532+AL532)/2,H532))))</f>
        <v>22</v>
      </c>
      <c r="AK532" s="50" t="n">
        <f aca="false">AJ532*G532</f>
        <v>72.38</v>
      </c>
      <c r="AL532" s="50" t="n">
        <f aca="false">ROUNDUP(CK532+MAX(CL532,2*(J532/IF(CG532&gt;0,CG532,MAX(0.1,N(Cockpit!$C$6)))-CK532)),0)</f>
        <v>1</v>
      </c>
      <c r="AM532" s="51" t="n">
        <f aca="false">IF(AI532&gt;0,J532/AI532,-1)</f>
        <v>0.335483870967742</v>
      </c>
      <c r="AN532" s="51" t="n">
        <f aca="false">IF(AND(OR(CF532="L1",CF532="L23",CF532="LIFT"),AI532&gt;0),SUMIFS($AI$7:$AI$1843,$CF$7:$CF$1843,CF532,$AM$7:$AM$1843,"&gt;"&amp;AM532)+SUMIFS($AI$7:$AI$1843,$CF$7:$CF$1843,CF532,$AM$7:$AM$1843,AM532,$BW$7:$BW$1843,"&lt;="&amp;BW532),"")</f>
        <v>11183.0385779475</v>
      </c>
      <c r="AO532" s="58" t="n">
        <f aca="false">IF(AN532="",0,MAX(0,MIN(1,(IF(CF532="L1",Parameter!$H$5,IF(CF532="L23",Parameter!$H$6+Parameter!$H$7,Parameter!$H$5+Parameter!$H$6+Parameter!$H$7))-(AN532-AI532))/AI532)))</f>
        <v>1</v>
      </c>
      <c r="AP532" s="50" t="n">
        <f aca="false">IF(LEFT(Cockpit!$I$5,1)="A",H532,IF(Parameter!$E$30="MAX-Bestand",IF(CH532=1,CI532,IF(LEFT(Cockpit!$I$5,1)="B",AV532,MAX(AV532,H532))),ROUNDUP(AT532,0)))</f>
        <v>22</v>
      </c>
      <c r="AQ532" s="50" t="n">
        <f aca="false">IF(BZ532=1,0,ROUNDUP(AP532/BY532,0))</f>
        <v>2</v>
      </c>
      <c r="AR532" s="52" t="n">
        <f aca="false">IF(CQ532&gt;0,CQ532*MAX(1,AP532/X532),IF(BZ532=1,IF(AP532&lt;=0,0,CD532*MAX(1,IF(H532&gt;0,AP532/H532,1))),IF(R532&gt;0,AQ532/R532,0))/MAX(0.1,N(Parameter!$M$21)))</f>
        <v>0.0192307692307692</v>
      </c>
      <c r="AS532" s="50" t="n">
        <f aca="false">AR532*CB532</f>
        <v>2.98076923076923</v>
      </c>
      <c r="AT532" s="51" t="n">
        <f aca="false">IF(LEFT(Cockpit!$I$5,1)="A",H532,IF(CH532=1,(CK532+CI532)/2,IF(LEFT(Cockpit!$I$5,1)="B",(CK532+AV532)/2,MAX((CK532+AV532)/2,H532))))</f>
        <v>22</v>
      </c>
      <c r="AU532" s="50" t="n">
        <f aca="false">AT532*G532</f>
        <v>72.38</v>
      </c>
      <c r="AV532" s="50" t="n">
        <f aca="false">ROUNDUP(CK532+MAX(CL532,2*(J532/IF(CG532&gt;0,CG532,MAX(0.1,N(Cockpit!$I$6)))-CK532)),0)</f>
        <v>1</v>
      </c>
      <c r="AW532" s="51" t="n">
        <f aca="false">IF(AS532&gt;0,J532/AS532,-1)</f>
        <v>0.335483870967742</v>
      </c>
      <c r="AX532" s="51" t="n">
        <f aca="false">IF(AND(OR(CF532="L1",CF532="L23",CF532="LIFT"),AS532&gt;0),SUMIFS($AS$7:$AS$1843,$CF$7:$CF$1843,CF532,$AW$7:$AW$1843,"&gt;"&amp;AW532)+SUMIFS($AS$7:$AS$1843,$CF$7:$CF$1843,CF532,$AW$7:$AW$1843,AW532,$BW$7:$BW$1843,"&lt;="&amp;BW532),"")</f>
        <v>13705.2532051282</v>
      </c>
      <c r="AY532" s="58" t="n">
        <f aca="false">IF(AX532="",0,MAX(0,MIN(1,(IF(CF532="L1",Parameter!$H$5,IF(CF532="L23",Parameter!$H$6+Parameter!$H$7,Parameter!$H$5+Parameter!$H$6+Parameter!$H$7))-(AX532-AS532))/AS532)))</f>
        <v>1</v>
      </c>
      <c r="AZ532" s="50" t="n">
        <f aca="false">IF(LEFT(Cockpit!$O$5,1)="A",H532,IF(Parameter!$E$30="MAX-Bestand",IF(CH532=1,CI532,IF(LEFT(Cockpit!$O$5,1)="B",BF532,MAX(BF532,H532))),ROUNDUP(BD532,0)))</f>
        <v>1</v>
      </c>
      <c r="BA532" s="50" t="n">
        <f aca="false">IF(BZ532=1,0,ROUNDUP(AZ532/BY532,0))</f>
        <v>1</v>
      </c>
      <c r="BB532" s="52" t="n">
        <f aca="false">IF(CQ532&gt;0,CQ532*MAX(1,AZ532/X532),IF(BZ532=1,IF(AZ532&lt;=0,0,CD532*MAX(1,IF(H532&gt;0,AZ532/H532,1))),IF(R532&gt;0,BA532/R532,0))/MAX(0.1,N(Parameter!$M$21)))</f>
        <v>0.00961538461538462</v>
      </c>
      <c r="BC532" s="50" t="n">
        <f aca="false">BB532*CB532</f>
        <v>1.49038461538462</v>
      </c>
      <c r="BD532" s="51" t="n">
        <f aca="false">IF(LEFT(Cockpit!$O$5,1)="A",H532,IF(CH532=1,(CK532+CI532)/2,IF(LEFT(Cockpit!$O$5,1)="B",(CK532+BF532)/2,MAX((CK532+BF532)/2,H532))))</f>
        <v>0.5</v>
      </c>
      <c r="BE532" s="50" t="n">
        <f aca="false">BD532*G532</f>
        <v>1.645</v>
      </c>
      <c r="BF532" s="50" t="n">
        <f aca="false">ROUNDUP(CK532+MAX(CL532,2*(J532/IF(CG532&gt;0,CG532,MAX(0.1,N(Cockpit!$O$6)))-CK532)),0)</f>
        <v>1</v>
      </c>
      <c r="BG532" s="51" t="n">
        <f aca="false">IF(BC532&gt;0,J532/BC532,-1)</f>
        <v>0.670967741935484</v>
      </c>
      <c r="BH532" s="51" t="n">
        <f aca="false">IF(AND(OR(CF532="L1",CF532="L23",CF532="LIFT"),BC532&gt;0),SUMIFS($BC$7:$BC$1843,$CF$7:$CF$1843,CF532,$BG$7:$BG$1843,"&gt;"&amp;BG532)+SUMIFS($BC$7:$BC$1843,$CF$7:$CF$1843,CF532,$BG$7:$BG$1843,BG532,$BW$7:$BW$1843,"&lt;="&amp;BW532),"")</f>
        <v>9506.50045787546</v>
      </c>
      <c r="BI532" s="58" t="n">
        <f aca="false">IF(BH532="",0,MAX(0,MIN(1,(IF(CF532="L1",Parameter!$H$5,IF(CF532="L23",Parameter!$H$6+Parameter!$H$7,Parameter!$H$5+Parameter!$H$6+Parameter!$H$7))-(BH532-BC532))/BC532)))</f>
        <v>1</v>
      </c>
      <c r="BJ532" s="48" t="str">
        <f aca="false">IF(AI532&lt;=0,"",IF(CF532="Aussen","Aussenlager",IF(CF532="-","Nicht im Lift",IF(AO532&gt;=1,"Lift",IF(AO532&lt;=0,"Aussenlager","teilweise")))))</f>
        <v>Lift</v>
      </c>
      <c r="BK532" s="48" t="str">
        <f aca="false">IF(AS532&lt;=0,"",IF(CF532="Aussen","Aussenlager",IF(CF532="-","Nicht im Lift",IF(AY532&gt;=1,"Lift",IF(AY532&lt;=0,"Aussenlager","teilweise")))))</f>
        <v>Lift</v>
      </c>
      <c r="BL532" s="48" t="str">
        <f aca="false">IF(BC532&lt;=0,"",IF(CF532="Aussen","Aussenlager",IF(CF532="-","Nicht im Lift",IF(BI532&gt;=1,"Lift",IF(BI532&lt;=0,"Aussenlager","teilweise")))))</f>
        <v>Lift</v>
      </c>
      <c r="BM532" s="48" t="str">
        <f aca="false">IF(A532="","",IF(BV532=1,"Neu; ","")&amp;IF(AND(BV532=0,BQ532&lt;0),"negativer Bestand (Export "&amp;BQ532&amp;"); ","")&amp;IF(J532&lt;=0,"Kein Verbrauch; ","")&amp;IF(CQ532&gt;0,"Lift "&amp;W532&amp;" lt. Liftbericht (Fach "&amp;X532&amp;" Stk); ",IF(CA532=1,"Gebinde geschätzt ("&amp;T532&amp;"); ",IF(BZ532=1,"Lose – Tablare geschätzt; ","")))&amp;IF(H532&gt;AV532,"Überbestand "&amp;ROUND(H532-AV532,0)&amp;" Stk / CHF "&amp;ROUND((H532-AV532)*G532,0)&amp;"; ","")&amp;IF(AND(CH532=1,CI532&lt;CJ532),"MAX &lt; MB+LG; ","")&amp;IF(AND(CP532&gt;0,CO532*10&gt;CP532),"zu hoch für Tablar; ","")&amp;IF(AND(BV532=0,OR(CH532=1,AA532&lt;&gt;"",U532&lt;&gt;"",V532&lt;&gt;"",AB532&lt;&gt;"")),"manuell übersteuert; ","")&amp;IF(AND(BZ532=0,R532=0),"Gebinde unbekannt / Stellmass fehlt; ","")&amp;IF(AND(BZ532=0,N(V532)&lt;=0,N(Q532)&lt;=0),"Menge pro Gebinde fehlt (Ist = 1 Gebinde); ","")&amp;BU532)</f>
        <v>Überbestand 21 Stk / CHF 69; </v>
      </c>
      <c r="BN532" s="48"/>
      <c r="BO532" s="48"/>
      <c r="BP532" s="55"/>
      <c r="BQ532" s="50" t="n">
        <v>14</v>
      </c>
      <c r="BR532" s="50" t="n">
        <v>8</v>
      </c>
      <c r="BS532" s="49" t="n">
        <v>25.34</v>
      </c>
      <c r="BT532" s="50" t="n">
        <v>1</v>
      </c>
      <c r="BU532" s="48"/>
      <c r="BV532" s="53" t="n">
        <v>0</v>
      </c>
      <c r="BW532" s="53" t="n">
        <v>532</v>
      </c>
      <c r="BX532" s="48" t="str">
        <f aca="false">IF(U532&lt;&gt;"",UPPER(TRIM(U532)),IF(CA532=1,UPPER(VLOOKUP(T532,Parameter!$I$27:$K$29,2,0)),IF(P532="","LOSE",P532)))</f>
        <v>S32</v>
      </c>
      <c r="BY532" s="50" t="n">
        <f aca="false">IF(BX532="LOSE",1,IF(N(V532)&gt;0,V532,IF(CA532=1,MAX(1,N(VLOOKUP(T532,Parameter!$I$27:$K$29,3,0)),H532,N(N532)),IF(N(Q532)&gt;0,Q532,MAX(1,H532)))))</f>
        <v>11</v>
      </c>
      <c r="BZ532" s="53" t="n">
        <f aca="false">IF(BX532="LOSE",1,0)</f>
        <v>0</v>
      </c>
      <c r="CA532" s="53" t="n">
        <f aca="false">IF(AND(U532="",OR(P532="",P532="LOSE"),T532&lt;&gt;"",N(S532)&lt;=0,ISNUMBER(MATCH(T532,Parameter!$I$27:$I$29,0))),1,0)</f>
        <v>0</v>
      </c>
      <c r="CB532" s="53" t="n">
        <f aca="false">IF(CQ532&gt;0,INDEX(Parameter!$H$5:$H$7,W532)/INDEX(Parameter!$E$5:$E$7,W532),IF(AND(BZ532=0,N(IFERROR(VLOOKUP(BX532,'Gebinde-Kategorie'!$A$5:$N$45,14,0),0))&gt;0),VLOOKUP(BX532,'Gebinde-Kategorie'!$A$5:$N$45,14,0)*10+Parameter!$M$23,Parameter!$M$24))</f>
        <v>155</v>
      </c>
      <c r="CC532" s="48" t="str">
        <f aca="false">IF(AND(Parameter!$B$19="Ja",E532&lt;&gt;"",ISNUMBER(MATCH(E532,Parameter!$I$35:$I$52,0))),VLOOKUP(E532,Parameter!$I$35:$J$52,2,0),IFERROR(VLOOKUP(D532,Parameter!$A$35:$C$64,2,0),"Nein"))</f>
        <v>2+3</v>
      </c>
      <c r="CD532" s="52" t="n">
        <f aca="false">IF(BZ532=0,0,IF(N(S532)&gt;0,S532,IFERROR(VLOOKUP(D532,Parameter!$A$35:$C$64,3,0)+0,0)))</f>
        <v>0</v>
      </c>
      <c r="CE532" s="48" t="n">
        <f aca="false">IF(AA532&lt;&gt;"",AA532,Z532)</f>
        <v>3</v>
      </c>
      <c r="CF532" s="48" t="str">
        <f aca="false">IF(OR(CE532=1,CE532=2,CE532=3),IF(Parameter!$E$27="Ja","LIFT",IF(CE532=1,"L1","L23")),IF(CE532="Aussen","Aussen","-"))</f>
        <v>LIFT</v>
      </c>
      <c r="CG532" s="59" t="n">
        <f aca="false">IF(N(AB532)&gt;0,AB532,0)</f>
        <v>0</v>
      </c>
      <c r="CH532" s="53" t="n">
        <f aca="false">IF(ISNUMBER(AE532),1,0)</f>
        <v>0</v>
      </c>
      <c r="CI532" s="50" t="n">
        <f aca="false">N(AE532)</f>
        <v>0</v>
      </c>
      <c r="CJ532" s="50" t="n">
        <f aca="false">N(M532)+N(N532)</f>
        <v>1</v>
      </c>
      <c r="CK532" s="50" t="n">
        <f aca="false">N(M532)</f>
        <v>0</v>
      </c>
      <c r="CL532" s="50" t="n">
        <f aca="false">N(N532)</f>
        <v>1</v>
      </c>
      <c r="CM532" s="50" t="n">
        <f aca="false">ROUNDUP(H532/BY532,0)</f>
        <v>2</v>
      </c>
      <c r="CN532" s="50" t="n">
        <f aca="false">ROUNDUP(CI532/BY532,0)</f>
        <v>0</v>
      </c>
      <c r="CO532" s="53" t="n">
        <f aca="false">IF(BZ532=1,0,IFERROR(VLOOKUP(BX532,'Gebinde-Kategorie'!$A$5:$N$45,5,0)+0,0))</f>
        <v>8</v>
      </c>
      <c r="CP532" s="53" t="n">
        <f aca="false">IFERROR(IF(OR(CE532=1,CE532=2,CE532=3),N(INDEX(Parameter!$I$5:$I$7,CE532)),0),0)</f>
        <v>0</v>
      </c>
      <c r="CQ532" s="52" t="n">
        <f aca="false">IF(AND(Parameter!$B$21="Ja",ISNUMBER(W532),N(X532)&gt;0),IFERROR(N(INDEX(Parameter!$L$5:$L$7,W532))*INDEX(Parameter!$E$5:$E$7,W532)*X532/SUMIFS($X$7:$X$1843,$W$7:$W$1843,W532),0),0)</f>
        <v>0</v>
      </c>
    </row>
    <row r="533" customFormat="false" ht="15" hidden="false" customHeight="false" outlineLevel="0" collapsed="false">
      <c r="A533" s="48" t="s">
        <v>1158</v>
      </c>
      <c r="B533" s="48" t="s">
        <v>414</v>
      </c>
      <c r="C533" s="48" t="s">
        <v>173</v>
      </c>
      <c r="D533" s="48" t="s">
        <v>193</v>
      </c>
      <c r="E533" s="48" t="s">
        <v>194</v>
      </c>
      <c r="F533" s="48" t="s">
        <v>227</v>
      </c>
      <c r="G533" s="49" t="n">
        <v>0.06</v>
      </c>
      <c r="H533" s="50" t="n">
        <f aca="false">MAX(0,IF(AND(Parameter!$B$21="Ja",ISNUMBER(Y533)),Y533,IF(Parameter!$B$20="Jahresanfang 2025 + Export",BR533+BQ533,BQ533)))</f>
        <v>969</v>
      </c>
      <c r="I533" s="50" t="n">
        <f aca="false">H533*G533</f>
        <v>58.14</v>
      </c>
      <c r="J533" s="50" t="n">
        <f aca="false">BT533*Parameter!$B$18</f>
        <v>604</v>
      </c>
      <c r="K533" s="51" t="n">
        <v>493.5</v>
      </c>
      <c r="L533" s="52" t="n">
        <v>1.22391084093212</v>
      </c>
      <c r="M533" s="50" t="n">
        <v>35</v>
      </c>
      <c r="N533" s="50" t="n">
        <v>605</v>
      </c>
      <c r="O533" s="53" t="n">
        <v>21</v>
      </c>
      <c r="P533" s="48" t="s">
        <v>430</v>
      </c>
      <c r="Q533" s="50" t="n">
        <v>454</v>
      </c>
      <c r="R533" s="53" t="n">
        <f aca="false">IF(BZ533=1,0,IFERROR(VLOOKUP(BX533,'Gebinde-Kategorie'!$A$5:$N$45,13,0)+0,0))</f>
        <v>104</v>
      </c>
      <c r="S533" s="54"/>
      <c r="T533" s="55"/>
      <c r="U533" s="55"/>
      <c r="V533" s="55"/>
      <c r="W533" s="48"/>
      <c r="X533" s="50"/>
      <c r="Y533" s="50"/>
      <c r="Z533" s="48" t="n">
        <f aca="false">IF(A533="","",IF(AND(Parameter!$B$21="Ja",ISNUMBER(W533)),W533,IF(CC533="2+3",IF(ISNUMBER(SEARCH("grosser Artikel",BU533)),2,IFERROR(VLOOKUP(BX533,Parameter!$F$35:$G$64,2,0),2)),IF(OR(CC533="Nein",CC533=""),"-",CC533))))</f>
        <v>3</v>
      </c>
      <c r="AA533" s="55"/>
      <c r="AB533" s="56"/>
      <c r="AC533" s="50" t="n">
        <f aca="false">AV533</f>
        <v>640</v>
      </c>
      <c r="AD533" s="50" t="n">
        <f aca="false">MAX(AV533,H533)</f>
        <v>969</v>
      </c>
      <c r="AE533" s="57"/>
      <c r="AF533" s="50" t="n">
        <f aca="false">IF(LEFT(Cockpit!$C$5,1)="A",H533,IF(Parameter!$E$30="MAX-Bestand",IF(CH533=1,CI533,IF(LEFT(Cockpit!$C$5,1)="B",AL533,MAX(AL533,H533))),ROUNDUP(AJ533,0)))</f>
        <v>969</v>
      </c>
      <c r="AG533" s="50" t="n">
        <f aca="false">IF(BZ533=1,0,ROUNDUP(AF533/BY533,0))</f>
        <v>3</v>
      </c>
      <c r="AH533" s="52" t="n">
        <f aca="false">IF(CQ533&gt;0,CQ533*MAX(1,AF533/X533),IF(BZ533=1,IF(AF533&lt;=0,0,CD533*MAX(1,IF(H533&gt;0,AF533/H533,1))),IF(R533&gt;0,AG533/R533,0))/MAX(0.1,N(Parameter!$M$21)))</f>
        <v>0.0288461538461538</v>
      </c>
      <c r="AI533" s="50" t="n">
        <f aca="false">AH533*CB533</f>
        <v>4.47115384615385</v>
      </c>
      <c r="AJ533" s="51" t="n">
        <f aca="false">IF(LEFT(Cockpit!$C$5,1)="A",H533,IF(CH533=1,(CK533+CI533)/2,IF(LEFT(Cockpit!$C$5,1)="B",(CK533+AL533)/2,MAX((CK533+AL533)/2,H533))))</f>
        <v>969</v>
      </c>
      <c r="AK533" s="50" t="n">
        <f aca="false">AJ533*G533</f>
        <v>58.14</v>
      </c>
      <c r="AL533" s="50" t="n">
        <f aca="false">ROUNDUP(CK533+MAX(CL533,2*(J533/IF(CG533&gt;0,CG533,MAX(0.1,N(Cockpit!$C$6)))-CK533)),0)</f>
        <v>640</v>
      </c>
      <c r="AM533" s="51" t="n">
        <f aca="false">IF(AI533&gt;0,J533/AI533,-1)</f>
        <v>135.088172043011</v>
      </c>
      <c r="AN533" s="51" t="n">
        <f aca="false">IF(AND(OR(CF533="L1",CF533="L23",CF533="LIFT"),AI533&gt;0),SUMIFS($AI$7:$AI$1843,$CF$7:$CF$1843,CF533,$AM$7:$AM$1843,"&gt;"&amp;AM533)+SUMIFS($AI$7:$AI$1843,$CF$7:$CF$1843,CF533,$AM$7:$AM$1843,AM533,$BW$7:$BW$1843,"&lt;="&amp;BW533),"")</f>
        <v>539.856227106227</v>
      </c>
      <c r="AO533" s="58" t="n">
        <f aca="false">IF(AN533="",0,MAX(0,MIN(1,(IF(CF533="L1",Parameter!$H$5,IF(CF533="L23",Parameter!$H$6+Parameter!$H$7,Parameter!$H$5+Parameter!$H$6+Parameter!$H$7))-(AN533-AI533))/AI533)))</f>
        <v>1</v>
      </c>
      <c r="AP533" s="50" t="n">
        <f aca="false">IF(LEFT(Cockpit!$I$5,1)="A",H533,IF(Parameter!$E$30="MAX-Bestand",IF(CH533=1,CI533,IF(LEFT(Cockpit!$I$5,1)="B",AV533,MAX(AV533,H533))),ROUNDUP(AT533,0)))</f>
        <v>969</v>
      </c>
      <c r="AQ533" s="50" t="n">
        <f aca="false">IF(BZ533=1,0,ROUNDUP(AP533/BY533,0))</f>
        <v>3</v>
      </c>
      <c r="AR533" s="52" t="n">
        <f aca="false">IF(CQ533&gt;0,CQ533*MAX(1,AP533/X533),IF(BZ533=1,IF(AP533&lt;=0,0,CD533*MAX(1,IF(H533&gt;0,AP533/H533,1))),IF(R533&gt;0,AQ533/R533,0))/MAX(0.1,N(Parameter!$M$21)))</f>
        <v>0.0288461538461538</v>
      </c>
      <c r="AS533" s="50" t="n">
        <f aca="false">AR533*CB533</f>
        <v>4.47115384615385</v>
      </c>
      <c r="AT533" s="51" t="n">
        <f aca="false">IF(LEFT(Cockpit!$I$5,1)="A",H533,IF(CH533=1,(CK533+CI533)/2,IF(LEFT(Cockpit!$I$5,1)="B",(CK533+AV533)/2,MAX((CK533+AV533)/2,H533))))</f>
        <v>969</v>
      </c>
      <c r="AU533" s="50" t="n">
        <f aca="false">AT533*G533</f>
        <v>58.14</v>
      </c>
      <c r="AV533" s="50" t="n">
        <f aca="false">ROUNDUP(CK533+MAX(CL533,2*(J533/IF(CG533&gt;0,CG533,MAX(0.1,N(Cockpit!$I$6)))-CK533)),0)</f>
        <v>640</v>
      </c>
      <c r="AW533" s="51" t="n">
        <f aca="false">IF(AS533&gt;0,J533/AS533,-1)</f>
        <v>135.088172043011</v>
      </c>
      <c r="AX533" s="51" t="n">
        <f aca="false">IF(AND(OR(CF533="L1",CF533="L23",CF533="LIFT"),AS533&gt;0),SUMIFS($AS$7:$AS$1843,$CF$7:$CF$1843,CF533,$AW$7:$AW$1843,"&gt;"&amp;AW533)+SUMIFS($AS$7:$AS$1843,$CF$7:$CF$1843,CF533,$AW$7:$AW$1843,AW533,$BW$7:$BW$1843,"&lt;="&amp;BW533),"")</f>
        <v>657.493131868132</v>
      </c>
      <c r="AY533" s="58" t="n">
        <f aca="false">IF(AX533="",0,MAX(0,MIN(1,(IF(CF533="L1",Parameter!$H$5,IF(CF533="L23",Parameter!$H$6+Parameter!$H$7,Parameter!$H$5+Parameter!$H$6+Parameter!$H$7))-(AX533-AS533))/AS533)))</f>
        <v>1</v>
      </c>
      <c r="AZ533" s="50" t="n">
        <f aca="false">IF(LEFT(Cockpit!$O$5,1)="A",H533,IF(Parameter!$E$30="MAX-Bestand",IF(CH533=1,CI533,IF(LEFT(Cockpit!$O$5,1)="B",BF533,MAX(BF533,H533))),ROUNDUP(BD533,0)))</f>
        <v>338</v>
      </c>
      <c r="BA533" s="50" t="n">
        <f aca="false">IF(BZ533=1,0,ROUNDUP(AZ533/BY533,0))</f>
        <v>1</v>
      </c>
      <c r="BB533" s="52" t="n">
        <f aca="false">IF(CQ533&gt;0,CQ533*MAX(1,AZ533/X533),IF(BZ533=1,IF(AZ533&lt;=0,0,CD533*MAX(1,IF(H533&gt;0,AZ533/H533,1))),IF(R533&gt;0,BA533/R533,0))/MAX(0.1,N(Parameter!$M$21)))</f>
        <v>0.00961538461538462</v>
      </c>
      <c r="BC533" s="50" t="n">
        <f aca="false">BB533*CB533</f>
        <v>1.49038461538462</v>
      </c>
      <c r="BD533" s="51" t="n">
        <f aca="false">IF(LEFT(Cockpit!$O$5,1)="A",H533,IF(CH533=1,(CK533+CI533)/2,IF(LEFT(Cockpit!$O$5,1)="B",(CK533+BF533)/2,MAX((CK533+BF533)/2,H533))))</f>
        <v>337.5</v>
      </c>
      <c r="BE533" s="50" t="n">
        <f aca="false">BD533*G533</f>
        <v>20.25</v>
      </c>
      <c r="BF533" s="50" t="n">
        <f aca="false">ROUNDUP(CK533+MAX(CL533,2*(J533/IF(CG533&gt;0,CG533,MAX(0.1,N(Cockpit!$O$6)))-CK533)),0)</f>
        <v>640</v>
      </c>
      <c r="BG533" s="51" t="n">
        <f aca="false">IF(BC533&gt;0,J533/BC533,-1)</f>
        <v>405.264516129032</v>
      </c>
      <c r="BH533" s="51" t="n">
        <f aca="false">IF(AND(OR(CF533="L1",CF533="L23",CF533="LIFT"),BC533&gt;0),SUMIFS($BC$7:$BC$1843,$CF$7:$CF$1843,CF533,$BG$7:$BG$1843,"&gt;"&amp;BG533)+SUMIFS($BC$7:$BC$1843,$CF$7:$CF$1843,CF533,$BG$7:$BG$1843,BG533,$BW$7:$BW$1843,"&lt;="&amp;BW533),"")</f>
        <v>178.931318681319</v>
      </c>
      <c r="BI533" s="58" t="n">
        <f aca="false">IF(BH533="",0,MAX(0,MIN(1,(IF(CF533="L1",Parameter!$H$5,IF(CF533="L23",Parameter!$H$6+Parameter!$H$7,Parameter!$H$5+Parameter!$H$6+Parameter!$H$7))-(BH533-BC533))/BC533)))</f>
        <v>1</v>
      </c>
      <c r="BJ533" s="48" t="str">
        <f aca="false">IF(AI533&lt;=0,"",IF(CF533="Aussen","Aussenlager",IF(CF533="-","Nicht im Lift",IF(AO533&gt;=1,"Lift",IF(AO533&lt;=0,"Aussenlager","teilweise")))))</f>
        <v>Lift</v>
      </c>
      <c r="BK533" s="48" t="str">
        <f aca="false">IF(AS533&lt;=0,"",IF(CF533="Aussen","Aussenlager",IF(CF533="-","Nicht im Lift",IF(AY533&gt;=1,"Lift",IF(AY533&lt;=0,"Aussenlager","teilweise")))))</f>
        <v>Lift</v>
      </c>
      <c r="BL533" s="48" t="str">
        <f aca="false">IF(BC533&lt;=0,"",IF(CF533="Aussen","Aussenlager",IF(CF533="-","Nicht im Lift",IF(BI533&gt;=1,"Lift",IF(BI533&lt;=0,"Aussenlager","teilweise")))))</f>
        <v>Lift</v>
      </c>
      <c r="BM533" s="48" t="str">
        <f aca="false">IF(A533="","",IF(BV533=1,"Neu; ","")&amp;IF(AND(BV533=0,BQ533&lt;0),"negativer Bestand (Export "&amp;BQ533&amp;"); ","")&amp;IF(J533&lt;=0,"Kein Verbrauch; ","")&amp;IF(CQ533&gt;0,"Lift "&amp;W533&amp;" lt. Liftbericht (Fach "&amp;X533&amp;" Stk); ",IF(CA533=1,"Gebinde geschätzt ("&amp;T533&amp;"); ",IF(BZ533=1,"Lose – Tablare geschätzt; ","")))&amp;IF(H533&gt;AV533,"Überbestand "&amp;ROUND(H533-AV533,0)&amp;" Stk / CHF "&amp;ROUND((H533-AV533)*G533,0)&amp;"; ","")&amp;IF(AND(CH533=1,CI533&lt;CJ533),"MAX &lt; MB+LG; ","")&amp;IF(AND(CP533&gt;0,CO533*10&gt;CP533),"zu hoch für Tablar; ","")&amp;IF(AND(BV533=0,OR(CH533=1,AA533&lt;&gt;"",U533&lt;&gt;"",V533&lt;&gt;"",AB533&lt;&gt;"")),"manuell übersteuert; ","")&amp;IF(AND(BZ533=0,R533=0),"Gebinde unbekannt / Stellmass fehlt; ","")&amp;IF(AND(BZ533=0,N(V533)&lt;=0,N(Q533)&lt;=0),"Menge pro Gebinde fehlt (Ist = 1 Gebinde); ","")&amp;BU533)</f>
        <v>Überbestand 329 Stk / CHF 20; </v>
      </c>
      <c r="BN533" s="48"/>
      <c r="BO533" s="48"/>
      <c r="BP533" s="55"/>
      <c r="BQ533" s="50" t="n">
        <v>421</v>
      </c>
      <c r="BR533" s="50" t="n">
        <v>548</v>
      </c>
      <c r="BS533" s="49" t="n">
        <v>25.26</v>
      </c>
      <c r="BT533" s="50" t="n">
        <v>604</v>
      </c>
      <c r="BU533" s="48"/>
      <c r="BV533" s="53" t="n">
        <v>0</v>
      </c>
      <c r="BW533" s="53" t="n">
        <v>533</v>
      </c>
      <c r="BX533" s="48" t="str">
        <f aca="false">IF(U533&lt;&gt;"",UPPER(TRIM(U533)),IF(CA533=1,UPPER(VLOOKUP(T533,Parameter!$I$27:$K$29,2,0)),IF(P533="","LOSE",P533)))</f>
        <v>S32</v>
      </c>
      <c r="BY533" s="50" t="n">
        <f aca="false">IF(BX533="LOSE",1,IF(N(V533)&gt;0,V533,IF(CA533=1,MAX(1,N(VLOOKUP(T533,Parameter!$I$27:$K$29,3,0)),H533,N(N533)),IF(N(Q533)&gt;0,Q533,MAX(1,H533)))))</f>
        <v>454</v>
      </c>
      <c r="BZ533" s="53" t="n">
        <f aca="false">IF(BX533="LOSE",1,0)</f>
        <v>0</v>
      </c>
      <c r="CA533" s="53" t="n">
        <f aca="false">IF(AND(U533="",OR(P533="",P533="LOSE"),T533&lt;&gt;"",N(S533)&lt;=0,ISNUMBER(MATCH(T533,Parameter!$I$27:$I$29,0))),1,0)</f>
        <v>0</v>
      </c>
      <c r="CB533" s="53" t="n">
        <f aca="false">IF(CQ533&gt;0,INDEX(Parameter!$H$5:$H$7,W533)/INDEX(Parameter!$E$5:$E$7,W533),IF(AND(BZ533=0,N(IFERROR(VLOOKUP(BX533,'Gebinde-Kategorie'!$A$5:$N$45,14,0),0))&gt;0),VLOOKUP(BX533,'Gebinde-Kategorie'!$A$5:$N$45,14,0)*10+Parameter!$M$23,Parameter!$M$24))</f>
        <v>155</v>
      </c>
      <c r="CC533" s="48" t="str">
        <f aca="false">IF(AND(Parameter!$B$19="Ja",E533&lt;&gt;"",ISNUMBER(MATCH(E533,Parameter!$I$35:$I$52,0))),VLOOKUP(E533,Parameter!$I$35:$J$52,2,0),IFERROR(VLOOKUP(D533,Parameter!$A$35:$C$64,2,0),"Nein"))</f>
        <v>2+3</v>
      </c>
      <c r="CD533" s="52" t="n">
        <f aca="false">IF(BZ533=0,0,IF(N(S533)&gt;0,S533,IFERROR(VLOOKUP(D533,Parameter!$A$35:$C$64,3,0)+0,0)))</f>
        <v>0</v>
      </c>
      <c r="CE533" s="48" t="n">
        <f aca="false">IF(AA533&lt;&gt;"",AA533,Z533)</f>
        <v>3</v>
      </c>
      <c r="CF533" s="48" t="str">
        <f aca="false">IF(OR(CE533=1,CE533=2,CE533=3),IF(Parameter!$E$27="Ja","LIFT",IF(CE533=1,"L1","L23")),IF(CE533="Aussen","Aussen","-"))</f>
        <v>LIFT</v>
      </c>
      <c r="CG533" s="59" t="n">
        <f aca="false">IF(N(AB533)&gt;0,AB533,0)</f>
        <v>0</v>
      </c>
      <c r="CH533" s="53" t="n">
        <f aca="false">IF(ISNUMBER(AE533),1,0)</f>
        <v>0</v>
      </c>
      <c r="CI533" s="50" t="n">
        <f aca="false">N(AE533)</f>
        <v>0</v>
      </c>
      <c r="CJ533" s="50" t="n">
        <f aca="false">N(M533)+N(N533)</f>
        <v>640</v>
      </c>
      <c r="CK533" s="50" t="n">
        <f aca="false">N(M533)</f>
        <v>35</v>
      </c>
      <c r="CL533" s="50" t="n">
        <f aca="false">N(N533)</f>
        <v>605</v>
      </c>
      <c r="CM533" s="50" t="n">
        <f aca="false">ROUNDUP(H533/BY533,0)</f>
        <v>3</v>
      </c>
      <c r="CN533" s="50" t="n">
        <f aca="false">ROUNDUP(CI533/BY533,0)</f>
        <v>0</v>
      </c>
      <c r="CO533" s="53" t="n">
        <f aca="false">IF(BZ533=1,0,IFERROR(VLOOKUP(BX533,'Gebinde-Kategorie'!$A$5:$N$45,5,0)+0,0))</f>
        <v>8</v>
      </c>
      <c r="CP533" s="53" t="n">
        <f aca="false">IFERROR(IF(OR(CE533=1,CE533=2,CE533=3),N(INDEX(Parameter!$I$5:$I$7,CE533)),0),0)</f>
        <v>0</v>
      </c>
      <c r="CQ533" s="52" t="n">
        <f aca="false">IF(AND(Parameter!$B$21="Ja",ISNUMBER(W533),N(X533)&gt;0),IFERROR(N(INDEX(Parameter!$L$5:$L$7,W533))*INDEX(Parameter!$E$5:$E$7,W533)*X533/SUMIFS($X$7:$X$1843,$W$7:$W$1843,W533),0),0)</f>
        <v>0</v>
      </c>
    </row>
    <row r="534" customFormat="false" ht="15" hidden="false" customHeight="false" outlineLevel="0" collapsed="false">
      <c r="A534" s="48" t="s">
        <v>1159</v>
      </c>
      <c r="B534" s="48" t="s">
        <v>1160</v>
      </c>
      <c r="C534" s="48" t="s">
        <v>173</v>
      </c>
      <c r="D534" s="48" t="s">
        <v>193</v>
      </c>
      <c r="E534" s="48" t="s">
        <v>194</v>
      </c>
      <c r="F534" s="48" t="s">
        <v>227</v>
      </c>
      <c r="G534" s="49" t="n">
        <v>24.7</v>
      </c>
      <c r="H534" s="50" t="n">
        <f aca="false">MAX(0,IF(AND(Parameter!$B$21="Ja",ISNUMBER(Y534)),Y534,IF(Parameter!$B$20="Jahresanfang 2025 + Export",BR534+BQ534,BQ534)))</f>
        <v>51</v>
      </c>
      <c r="I534" s="50" t="n">
        <f aca="false">H534*G534</f>
        <v>1259.7</v>
      </c>
      <c r="J534" s="50" t="n">
        <f aca="false">BT534*Parameter!$B$18</f>
        <v>0</v>
      </c>
      <c r="K534" s="51" t="n">
        <v>50.5</v>
      </c>
      <c r="L534" s="52" t="n">
        <v>0</v>
      </c>
      <c r="M534" s="50" t="n">
        <v>0</v>
      </c>
      <c r="N534" s="50" t="n">
        <v>1</v>
      </c>
      <c r="O534" s="53" t="n">
        <v>14</v>
      </c>
      <c r="P534" s="48" t="s">
        <v>430</v>
      </c>
      <c r="Q534" s="50" t="n">
        <v>47</v>
      </c>
      <c r="R534" s="53" t="n">
        <f aca="false">IF(BZ534=1,0,IFERROR(VLOOKUP(BX534,'Gebinde-Kategorie'!$A$5:$N$45,13,0)+0,0))</f>
        <v>104</v>
      </c>
      <c r="S534" s="54"/>
      <c r="T534" s="55"/>
      <c r="U534" s="55"/>
      <c r="V534" s="55"/>
      <c r="W534" s="48"/>
      <c r="X534" s="50"/>
      <c r="Y534" s="50"/>
      <c r="Z534" s="48" t="n">
        <f aca="false">IF(A534="","",IF(AND(Parameter!$B$21="Ja",ISNUMBER(W534)),W534,IF(CC534="2+3",IF(ISNUMBER(SEARCH("grosser Artikel",BU534)),2,IFERROR(VLOOKUP(BX534,Parameter!$F$35:$G$64,2,0),2)),IF(OR(CC534="Nein",CC534=""),"-",CC534))))</f>
        <v>3</v>
      </c>
      <c r="AA534" s="55"/>
      <c r="AB534" s="56"/>
      <c r="AC534" s="50" t="n">
        <f aca="false">AV534</f>
        <v>1</v>
      </c>
      <c r="AD534" s="50" t="n">
        <f aca="false">MAX(AV534,H534)</f>
        <v>51</v>
      </c>
      <c r="AE534" s="57"/>
      <c r="AF534" s="50" t="n">
        <f aca="false">IF(LEFT(Cockpit!$C$5,1)="A",H534,IF(Parameter!$E$30="MAX-Bestand",IF(CH534=1,CI534,IF(LEFT(Cockpit!$C$5,1)="B",AL534,MAX(AL534,H534))),ROUNDUP(AJ534,0)))</f>
        <v>51</v>
      </c>
      <c r="AG534" s="50" t="n">
        <f aca="false">IF(BZ534=1,0,ROUNDUP(AF534/BY534,0))</f>
        <v>2</v>
      </c>
      <c r="AH534" s="52" t="n">
        <f aca="false">IF(CQ534&gt;0,CQ534*MAX(1,AF534/X534),IF(BZ534=1,IF(AF534&lt;=0,0,CD534*MAX(1,IF(H534&gt;0,AF534/H534,1))),IF(R534&gt;0,AG534/R534,0))/MAX(0.1,N(Parameter!$M$21)))</f>
        <v>0.0192307692307692</v>
      </c>
      <c r="AI534" s="50" t="n">
        <f aca="false">AH534*CB534</f>
        <v>2.98076923076923</v>
      </c>
      <c r="AJ534" s="51" t="n">
        <f aca="false">IF(LEFT(Cockpit!$C$5,1)="A",H534,IF(CH534=1,(CK534+CI534)/2,IF(LEFT(Cockpit!$C$5,1)="B",(CK534+AL534)/2,MAX((CK534+AL534)/2,H534))))</f>
        <v>51</v>
      </c>
      <c r="AK534" s="50" t="n">
        <f aca="false">AJ534*G534</f>
        <v>1259.7</v>
      </c>
      <c r="AL534" s="50" t="n">
        <f aca="false">ROUNDUP(CK534+MAX(CL534,2*(J534/IF(CG534&gt;0,CG534,MAX(0.1,N(Cockpit!$C$6)))-CK534)),0)</f>
        <v>1</v>
      </c>
      <c r="AM534" s="51" t="n">
        <f aca="false">IF(AI534&gt;0,J534/AI534,-1)</f>
        <v>0</v>
      </c>
      <c r="AN534" s="51" t="n">
        <f aca="false">IF(AND(OR(CF534="L1",CF534="L23",CF534="LIFT"),AI534&gt;0),SUMIFS($AI$7:$AI$1843,$CF$7:$CF$1843,CF534,$AM$7:$AM$1843,"&gt;"&amp;AM534)+SUMIFS($AI$7:$AI$1843,$CF$7:$CF$1843,CF534,$AM$7:$AM$1843,AM534,$BW$7:$BW$1843,"&lt;="&amp;BW534),"")</f>
        <v>28343.4452230914</v>
      </c>
      <c r="AO534" s="58" t="n">
        <f aca="false">IF(AN534="",0,MAX(0,MIN(1,(IF(CF534="L1",Parameter!$H$5,IF(CF534="L23",Parameter!$H$6+Parameter!$H$7,Parameter!$H$5+Parameter!$H$6+Parameter!$H$7))-(AN534-AI534))/AI534)))</f>
        <v>1</v>
      </c>
      <c r="AP534" s="50" t="n">
        <f aca="false">IF(LEFT(Cockpit!$I$5,1)="A",H534,IF(Parameter!$E$30="MAX-Bestand",IF(CH534=1,CI534,IF(LEFT(Cockpit!$I$5,1)="B",AV534,MAX(AV534,H534))),ROUNDUP(AT534,0)))</f>
        <v>51</v>
      </c>
      <c r="AQ534" s="50" t="n">
        <f aca="false">IF(BZ534=1,0,ROUNDUP(AP534/BY534,0))</f>
        <v>2</v>
      </c>
      <c r="AR534" s="52" t="n">
        <f aca="false">IF(CQ534&gt;0,CQ534*MAX(1,AP534/X534),IF(BZ534=1,IF(AP534&lt;=0,0,CD534*MAX(1,IF(H534&gt;0,AP534/H534,1))),IF(R534&gt;0,AQ534/R534,0))/MAX(0.1,N(Parameter!$M$21)))</f>
        <v>0.0192307692307692</v>
      </c>
      <c r="AS534" s="50" t="n">
        <f aca="false">AR534*CB534</f>
        <v>2.98076923076923</v>
      </c>
      <c r="AT534" s="51" t="n">
        <f aca="false">IF(LEFT(Cockpit!$I$5,1)="A",H534,IF(CH534=1,(CK534+CI534)/2,IF(LEFT(Cockpit!$I$5,1)="B",(CK534+AV534)/2,MAX((CK534+AV534)/2,H534))))</f>
        <v>51</v>
      </c>
      <c r="AU534" s="50" t="n">
        <f aca="false">AT534*G534</f>
        <v>1259.7</v>
      </c>
      <c r="AV534" s="50" t="n">
        <f aca="false">ROUNDUP(CK534+MAX(CL534,2*(J534/IF(CG534&gt;0,CG534,MAX(0.1,N(Cockpit!$I$6)))-CK534)),0)</f>
        <v>1</v>
      </c>
      <c r="AW534" s="51" t="n">
        <f aca="false">IF(AS534&gt;0,J534/AS534,-1)</f>
        <v>0</v>
      </c>
      <c r="AX534" s="51" t="n">
        <f aca="false">IF(AND(OR(CF534="L1",CF534="L23",CF534="LIFT"),AS534&gt;0),SUMIFS($AS$7:$AS$1843,$CF$7:$CF$1843,CF534,$AW$7:$AW$1843,"&gt;"&amp;AW534)+SUMIFS($AS$7:$AS$1843,$CF$7:$CF$1843,CF534,$AW$7:$AW$1843,AW534,$BW$7:$BW$1843,"&lt;="&amp;BW534),"")</f>
        <v>33696.5938644689</v>
      </c>
      <c r="AY534" s="58" t="n">
        <f aca="false">IF(AX534="",0,MAX(0,MIN(1,(IF(CF534="L1",Parameter!$H$5,IF(CF534="L23",Parameter!$H$6+Parameter!$H$7,Parameter!$H$5+Parameter!$H$6+Parameter!$H$7))-(AX534-AS534))/AS534)))</f>
        <v>1</v>
      </c>
      <c r="AZ534" s="50" t="n">
        <f aca="false">IF(LEFT(Cockpit!$O$5,1)="A",H534,IF(Parameter!$E$30="MAX-Bestand",IF(CH534=1,CI534,IF(LEFT(Cockpit!$O$5,1)="B",BF534,MAX(BF534,H534))),ROUNDUP(BD534,0)))</f>
        <v>1</v>
      </c>
      <c r="BA534" s="50" t="n">
        <f aca="false">IF(BZ534=1,0,ROUNDUP(AZ534/BY534,0))</f>
        <v>1</v>
      </c>
      <c r="BB534" s="52" t="n">
        <f aca="false">IF(CQ534&gt;0,CQ534*MAX(1,AZ534/X534),IF(BZ534=1,IF(AZ534&lt;=0,0,CD534*MAX(1,IF(H534&gt;0,AZ534/H534,1))),IF(R534&gt;0,BA534/R534,0))/MAX(0.1,N(Parameter!$M$21)))</f>
        <v>0.00961538461538462</v>
      </c>
      <c r="BC534" s="50" t="n">
        <f aca="false">BB534*CB534</f>
        <v>1.49038461538462</v>
      </c>
      <c r="BD534" s="51" t="n">
        <f aca="false">IF(LEFT(Cockpit!$O$5,1)="A",H534,IF(CH534=1,(CK534+CI534)/2,IF(LEFT(Cockpit!$O$5,1)="B",(CK534+BF534)/2,MAX((CK534+BF534)/2,H534))))</f>
        <v>0.5</v>
      </c>
      <c r="BE534" s="50" t="n">
        <f aca="false">BD534*G534</f>
        <v>12.35</v>
      </c>
      <c r="BF534" s="50" t="n">
        <f aca="false">ROUNDUP(CK534+MAX(CL534,2*(J534/IF(CG534&gt;0,CG534,MAX(0.1,N(Cockpit!$O$6)))-CK534)),0)</f>
        <v>1</v>
      </c>
      <c r="BG534" s="51" t="n">
        <f aca="false">IF(BC534&gt;0,J534/BC534,-1)</f>
        <v>0</v>
      </c>
      <c r="BH534" s="51" t="n">
        <f aca="false">IF(AND(OR(CF534="L1",CF534="L23",CF534="LIFT"),BC534&gt;0),SUMIFS($BC$7:$BC$1843,$CF$7:$CF$1843,CF534,$BG$7:$BG$1843,"&gt;"&amp;BG534)+SUMIFS($BC$7:$BC$1843,$CF$7:$CF$1843,CF534,$BG$7:$BG$1843,BG534,$BW$7:$BW$1843,"&lt;="&amp;BW534),"")</f>
        <v>27775.0305612467</v>
      </c>
      <c r="BI534" s="58" t="n">
        <f aca="false">IF(BH534="",0,MAX(0,MIN(1,(IF(CF534="L1",Parameter!$H$5,IF(CF534="L23",Parameter!$H$6+Parameter!$H$7,Parameter!$H$5+Parameter!$H$6+Parameter!$H$7))-(BH534-BC534))/BC534)))</f>
        <v>1</v>
      </c>
      <c r="BJ534" s="48" t="str">
        <f aca="false">IF(AI534&lt;=0,"",IF(CF534="Aussen","Aussenlager",IF(CF534="-","Nicht im Lift",IF(AO534&gt;=1,"Lift",IF(AO534&lt;=0,"Aussenlager","teilweise")))))</f>
        <v>Lift</v>
      </c>
      <c r="BK534" s="48" t="str">
        <f aca="false">IF(AS534&lt;=0,"",IF(CF534="Aussen","Aussenlager",IF(CF534="-","Nicht im Lift",IF(AY534&gt;=1,"Lift",IF(AY534&lt;=0,"Aussenlager","teilweise")))))</f>
        <v>Lift</v>
      </c>
      <c r="BL534" s="48" t="str">
        <f aca="false">IF(BC534&lt;=0,"",IF(CF534="Aussen","Aussenlager",IF(CF534="-","Nicht im Lift",IF(BI534&gt;=1,"Lift",IF(BI534&lt;=0,"Aussenlager","teilweise")))))</f>
        <v>Lift</v>
      </c>
      <c r="BM534" s="48" t="str">
        <f aca="false">IF(A534="","",IF(BV534=1,"Neu; ","")&amp;IF(AND(BV534=0,BQ534&lt;0),"negativer Bestand (Export "&amp;BQ534&amp;"); ","")&amp;IF(J534&lt;=0,"Kein Verbrauch; ","")&amp;IF(CQ534&gt;0,"Lift "&amp;W534&amp;" lt. Liftbericht (Fach "&amp;X534&amp;" Stk); ",IF(CA534=1,"Gebinde geschätzt ("&amp;T534&amp;"); ",IF(BZ534=1,"Lose – Tablare geschätzt; ","")))&amp;IF(H534&gt;AV534,"Überbestand "&amp;ROUND(H534-AV534,0)&amp;" Stk / CHF "&amp;ROUND((H534-AV534)*G534,0)&amp;"; ","")&amp;IF(AND(CH534=1,CI534&lt;CJ534),"MAX &lt; MB+LG; ","")&amp;IF(AND(CP534&gt;0,CO534*10&gt;CP534),"zu hoch für Tablar; ","")&amp;IF(AND(BV534=0,OR(CH534=1,AA534&lt;&gt;"",U534&lt;&gt;"",V534&lt;&gt;"",AB534&lt;&gt;"")),"manuell übersteuert; ","")&amp;IF(AND(BZ534=0,R534=0),"Gebinde unbekannt / Stellmass fehlt; ","")&amp;IF(AND(BZ534=0,N(V534)&lt;=0,N(Q534)&lt;=0),"Menge pro Gebinde fehlt (Ist = 1 Gebinde); ","")&amp;BU534)</f>
        <v>Kein Verbrauch; Überbestand 50 Stk / CHF 1235; Twin</v>
      </c>
      <c r="BN534" s="48"/>
      <c r="BO534" s="48"/>
      <c r="BP534" s="55"/>
      <c r="BQ534" s="50" t="n">
        <v>1</v>
      </c>
      <c r="BR534" s="50" t="n">
        <v>50</v>
      </c>
      <c r="BS534" s="49" t="n">
        <v>24.7</v>
      </c>
      <c r="BT534" s="50" t="n">
        <v>0</v>
      </c>
      <c r="BU534" s="48" t="s">
        <v>223</v>
      </c>
      <c r="BV534" s="53" t="n">
        <v>0</v>
      </c>
      <c r="BW534" s="53" t="n">
        <v>534</v>
      </c>
      <c r="BX534" s="48" t="str">
        <f aca="false">IF(U534&lt;&gt;"",UPPER(TRIM(U534)),IF(CA534=1,UPPER(VLOOKUP(T534,Parameter!$I$27:$K$29,2,0)),IF(P534="","LOSE",P534)))</f>
        <v>S32</v>
      </c>
      <c r="BY534" s="50" t="n">
        <f aca="false">IF(BX534="LOSE",1,IF(N(V534)&gt;0,V534,IF(CA534=1,MAX(1,N(VLOOKUP(T534,Parameter!$I$27:$K$29,3,0)),H534,N(N534)),IF(N(Q534)&gt;0,Q534,MAX(1,H534)))))</f>
        <v>47</v>
      </c>
      <c r="BZ534" s="53" t="n">
        <f aca="false">IF(BX534="LOSE",1,0)</f>
        <v>0</v>
      </c>
      <c r="CA534" s="53" t="n">
        <f aca="false">IF(AND(U534="",OR(P534="",P534="LOSE"),T534&lt;&gt;"",N(S534)&lt;=0,ISNUMBER(MATCH(T534,Parameter!$I$27:$I$29,0))),1,0)</f>
        <v>0</v>
      </c>
      <c r="CB534" s="53" t="n">
        <f aca="false">IF(CQ534&gt;0,INDEX(Parameter!$H$5:$H$7,W534)/INDEX(Parameter!$E$5:$E$7,W534),IF(AND(BZ534=0,N(IFERROR(VLOOKUP(BX534,'Gebinde-Kategorie'!$A$5:$N$45,14,0),0))&gt;0),VLOOKUP(BX534,'Gebinde-Kategorie'!$A$5:$N$45,14,0)*10+Parameter!$M$23,Parameter!$M$24))</f>
        <v>155</v>
      </c>
      <c r="CC534" s="48" t="str">
        <f aca="false">IF(AND(Parameter!$B$19="Ja",E534&lt;&gt;"",ISNUMBER(MATCH(E534,Parameter!$I$35:$I$52,0))),VLOOKUP(E534,Parameter!$I$35:$J$52,2,0),IFERROR(VLOOKUP(D534,Parameter!$A$35:$C$64,2,0),"Nein"))</f>
        <v>2+3</v>
      </c>
      <c r="CD534" s="52" t="n">
        <f aca="false">IF(BZ534=0,0,IF(N(S534)&gt;0,S534,IFERROR(VLOOKUP(D534,Parameter!$A$35:$C$64,3,0)+0,0)))</f>
        <v>0</v>
      </c>
      <c r="CE534" s="48" t="n">
        <f aca="false">IF(AA534&lt;&gt;"",AA534,Z534)</f>
        <v>3</v>
      </c>
      <c r="CF534" s="48" t="str">
        <f aca="false">IF(OR(CE534=1,CE534=2,CE534=3),IF(Parameter!$E$27="Ja","LIFT",IF(CE534=1,"L1","L23")),IF(CE534="Aussen","Aussen","-"))</f>
        <v>LIFT</v>
      </c>
      <c r="CG534" s="59" t="n">
        <f aca="false">IF(N(AB534)&gt;0,AB534,0)</f>
        <v>0</v>
      </c>
      <c r="CH534" s="53" t="n">
        <f aca="false">IF(ISNUMBER(AE534),1,0)</f>
        <v>0</v>
      </c>
      <c r="CI534" s="50" t="n">
        <f aca="false">N(AE534)</f>
        <v>0</v>
      </c>
      <c r="CJ534" s="50" t="n">
        <f aca="false">N(M534)+N(N534)</f>
        <v>1</v>
      </c>
      <c r="CK534" s="50" t="n">
        <f aca="false">N(M534)</f>
        <v>0</v>
      </c>
      <c r="CL534" s="50" t="n">
        <f aca="false">N(N534)</f>
        <v>1</v>
      </c>
      <c r="CM534" s="50" t="n">
        <f aca="false">ROUNDUP(H534/BY534,0)</f>
        <v>2</v>
      </c>
      <c r="CN534" s="50" t="n">
        <f aca="false">ROUNDUP(CI534/BY534,0)</f>
        <v>0</v>
      </c>
      <c r="CO534" s="53" t="n">
        <f aca="false">IF(BZ534=1,0,IFERROR(VLOOKUP(BX534,'Gebinde-Kategorie'!$A$5:$N$45,5,0)+0,0))</f>
        <v>8</v>
      </c>
      <c r="CP534" s="53" t="n">
        <f aca="false">IFERROR(IF(OR(CE534=1,CE534=2,CE534=3),N(INDEX(Parameter!$I$5:$I$7,CE534)),0),0)</f>
        <v>0</v>
      </c>
      <c r="CQ534" s="52" t="n">
        <f aca="false">IF(AND(Parameter!$B$21="Ja",ISNUMBER(W534),N(X534)&gt;0),IFERROR(N(INDEX(Parameter!$L$5:$L$7,W534))*INDEX(Parameter!$E$5:$E$7,W534)*X534/SUMIFS($X$7:$X$1843,$W$7:$W$1843,W534),0),0)</f>
        <v>0</v>
      </c>
    </row>
    <row r="535" customFormat="false" ht="15" hidden="false" customHeight="false" outlineLevel="0" collapsed="false">
      <c r="A535" s="48" t="s">
        <v>1161</v>
      </c>
      <c r="B535" s="48" t="s">
        <v>412</v>
      </c>
      <c r="C535" s="48" t="s">
        <v>173</v>
      </c>
      <c r="D535" s="48" t="s">
        <v>1004</v>
      </c>
      <c r="E535" s="48"/>
      <c r="F535" s="48" t="s">
        <v>227</v>
      </c>
      <c r="G535" s="49" t="n">
        <v>2.02</v>
      </c>
      <c r="H535" s="50" t="n">
        <f aca="false">MAX(0,IF(AND(Parameter!$B$21="Ja",ISNUMBER(Y535)),Y535,IF(Parameter!$B$20="Jahresanfang 2025 + Export",BR535+BQ535,BQ535)))</f>
        <v>12</v>
      </c>
      <c r="I535" s="50" t="n">
        <f aca="false">H535*G535</f>
        <v>24.24</v>
      </c>
      <c r="J535" s="50" t="n">
        <f aca="false">BT535*Parameter!$B$18</f>
        <v>48</v>
      </c>
      <c r="K535" s="51" t="n">
        <v>6</v>
      </c>
      <c r="L535" s="52" t="n">
        <v>8</v>
      </c>
      <c r="M535" s="50" t="n">
        <v>0</v>
      </c>
      <c r="N535" s="50" t="n">
        <v>1</v>
      </c>
      <c r="O535" s="53" t="n">
        <v>28</v>
      </c>
      <c r="P535" s="48" t="s">
        <v>177</v>
      </c>
      <c r="Q535" s="50"/>
      <c r="R535" s="53" t="n">
        <f aca="false">IF(BZ535=1,0,IFERROR(VLOOKUP(BX535,'Gebinde-Kategorie'!$A$5:$N$45,13,0)+0,0))</f>
        <v>0</v>
      </c>
      <c r="S535" s="54"/>
      <c r="T535" s="55"/>
      <c r="U535" s="55"/>
      <c r="V535" s="55"/>
      <c r="W535" s="48"/>
      <c r="X535" s="50"/>
      <c r="Y535" s="50"/>
      <c r="Z535" s="48" t="str">
        <f aca="false">IF(A535="","",IF(AND(Parameter!$B$21="Ja",ISNUMBER(W535)),W535,IF(CC535="2+3",IF(ISNUMBER(SEARCH("grosser Artikel",BU535)),2,IFERROR(VLOOKUP(BX535,Parameter!$F$35:$G$64,2,0),2)),IF(OR(CC535="Nein",CC535=""),"-",CC535))))</f>
        <v>-</v>
      </c>
      <c r="AA535" s="55"/>
      <c r="AB535" s="56"/>
      <c r="AC535" s="50" t="n">
        <f aca="false">AV535</f>
        <v>32</v>
      </c>
      <c r="AD535" s="50" t="n">
        <f aca="false">MAX(AV535,H535)</f>
        <v>32</v>
      </c>
      <c r="AE535" s="57"/>
      <c r="AF535" s="50" t="n">
        <f aca="false">IF(LEFT(Cockpit!$C$5,1)="A",H535,IF(Parameter!$E$30="MAX-Bestand",IF(CH535=1,CI535,IF(LEFT(Cockpit!$C$5,1)="B",AL535,MAX(AL535,H535))),ROUNDUP(AJ535,0)))</f>
        <v>12</v>
      </c>
      <c r="AG535" s="50" t="n">
        <f aca="false">IF(BZ535=1,0,ROUNDUP(AF535/BY535,0))</f>
        <v>0</v>
      </c>
      <c r="AH535" s="52" t="n">
        <f aca="false">IF(CQ535&gt;0,CQ535*MAX(1,AF535/X535),IF(BZ535=1,IF(AF535&lt;=0,0,CD535*MAX(1,IF(H535&gt;0,AF535/H535,1))),IF(R535&gt;0,AG535/R535,0))/MAX(0.1,N(Parameter!$M$21)))</f>
        <v>0.15</v>
      </c>
      <c r="AI535" s="50" t="n">
        <f aca="false">AH535*CB535</f>
        <v>35.25</v>
      </c>
      <c r="AJ535" s="51" t="n">
        <f aca="false">IF(LEFT(Cockpit!$C$5,1)="A",H535,IF(CH535=1,(CK535+CI535)/2,IF(LEFT(Cockpit!$C$5,1)="B",(CK535+AL535)/2,MAX((CK535+AL535)/2,H535))))</f>
        <v>12</v>
      </c>
      <c r="AK535" s="50" t="n">
        <f aca="false">AJ535*G535</f>
        <v>24.24</v>
      </c>
      <c r="AL535" s="50" t="n">
        <f aca="false">ROUNDUP(CK535+MAX(CL535,2*(J535/IF(CG535&gt;0,CG535,MAX(0.1,N(Cockpit!$C$6)))-CK535)),0)</f>
        <v>32</v>
      </c>
      <c r="AM535" s="51" t="n">
        <f aca="false">IF(AI535&gt;0,J535/AI535,-1)</f>
        <v>1.36170212765957</v>
      </c>
      <c r="AN535" s="51" t="str">
        <f aca="false">IF(AND(OR(CF535="L1",CF535="L23",CF535="LIFT"),AI535&gt;0),SUMIFS($AI$7:$AI$1843,$CF$7:$CF$1843,CF535,$AM$7:$AM$1843,"&gt;"&amp;AM535)+SUMIFS($AI$7:$AI$1843,$CF$7:$CF$1843,CF535,$AM$7:$AM$1843,AM535,$BW$7:$BW$1843,"&lt;="&amp;BW535),"")</f>
        <v/>
      </c>
      <c r="AO535" s="58" t="n">
        <f aca="false">IF(AN535="",0,MAX(0,MIN(1,(IF(CF535="L1",Parameter!$H$5,IF(CF535="L23",Parameter!$H$6+Parameter!$H$7,Parameter!$H$5+Parameter!$H$6+Parameter!$H$7))-(AN535-AI535))/AI535)))</f>
        <v>0</v>
      </c>
      <c r="AP535" s="50" t="n">
        <f aca="false">IF(LEFT(Cockpit!$I$5,1)="A",H535,IF(Parameter!$E$30="MAX-Bestand",IF(CH535=1,CI535,IF(LEFT(Cockpit!$I$5,1)="B",AV535,MAX(AV535,H535))),ROUNDUP(AT535,0)))</f>
        <v>16</v>
      </c>
      <c r="AQ535" s="50" t="n">
        <f aca="false">IF(BZ535=1,0,ROUNDUP(AP535/BY535,0))</f>
        <v>0</v>
      </c>
      <c r="AR535" s="52" t="n">
        <f aca="false">IF(CQ535&gt;0,CQ535*MAX(1,AP535/X535),IF(BZ535=1,IF(AP535&lt;=0,0,CD535*MAX(1,IF(H535&gt;0,AP535/H535,1))),IF(R535&gt;0,AQ535/R535,0))/MAX(0.1,N(Parameter!$M$21)))</f>
        <v>0.2</v>
      </c>
      <c r="AS535" s="50" t="n">
        <f aca="false">AR535*CB535</f>
        <v>47</v>
      </c>
      <c r="AT535" s="51" t="n">
        <f aca="false">IF(LEFT(Cockpit!$I$5,1)="A",H535,IF(CH535=1,(CK535+CI535)/2,IF(LEFT(Cockpit!$I$5,1)="B",(CK535+AV535)/2,MAX((CK535+AV535)/2,H535))))</f>
        <v>16</v>
      </c>
      <c r="AU535" s="50" t="n">
        <f aca="false">AT535*G535</f>
        <v>32.32</v>
      </c>
      <c r="AV535" s="50" t="n">
        <f aca="false">ROUNDUP(CK535+MAX(CL535,2*(J535/IF(CG535&gt;0,CG535,MAX(0.1,N(Cockpit!$I$6)))-CK535)),0)</f>
        <v>32</v>
      </c>
      <c r="AW535" s="51" t="n">
        <f aca="false">IF(AS535&gt;0,J535/AS535,-1)</f>
        <v>1.02127659574468</v>
      </c>
      <c r="AX535" s="51" t="str">
        <f aca="false">IF(AND(OR(CF535="L1",CF535="L23",CF535="LIFT"),AS535&gt;0),SUMIFS($AS$7:$AS$1843,$CF$7:$CF$1843,CF535,$AW$7:$AW$1843,"&gt;"&amp;AW535)+SUMIFS($AS$7:$AS$1843,$CF$7:$CF$1843,CF535,$AW$7:$AW$1843,AW535,$BW$7:$BW$1843,"&lt;="&amp;BW535),"")</f>
        <v/>
      </c>
      <c r="AY535" s="58" t="n">
        <f aca="false">IF(AX535="",0,MAX(0,MIN(1,(IF(CF535="L1",Parameter!$H$5,IF(CF535="L23",Parameter!$H$6+Parameter!$H$7,Parameter!$H$5+Parameter!$H$6+Parameter!$H$7))-(AX535-AS535))/AS535)))</f>
        <v>0</v>
      </c>
      <c r="AZ535" s="50" t="n">
        <f aca="false">IF(LEFT(Cockpit!$O$5,1)="A",H535,IF(Parameter!$E$30="MAX-Bestand",IF(CH535=1,CI535,IF(LEFT(Cockpit!$O$5,1)="B",BF535,MAX(BF535,H535))),ROUNDUP(BD535,0)))</f>
        <v>12</v>
      </c>
      <c r="BA535" s="50" t="n">
        <f aca="false">IF(BZ535=1,0,ROUNDUP(AZ535/BY535,0))</f>
        <v>0</v>
      </c>
      <c r="BB535" s="52" t="n">
        <f aca="false">IF(CQ535&gt;0,CQ535*MAX(1,AZ535/X535),IF(BZ535=1,IF(AZ535&lt;=0,0,CD535*MAX(1,IF(H535&gt;0,AZ535/H535,1))),IF(R535&gt;0,BA535/R535,0))/MAX(0.1,N(Parameter!$M$21)))</f>
        <v>0.15</v>
      </c>
      <c r="BC535" s="50" t="n">
        <f aca="false">BB535*CB535</f>
        <v>35.25</v>
      </c>
      <c r="BD535" s="51" t="n">
        <f aca="false">IF(LEFT(Cockpit!$O$5,1)="A",H535,IF(CH535=1,(CK535+CI535)/2,IF(LEFT(Cockpit!$O$5,1)="B",(CK535+BF535)/2,MAX((CK535+BF535)/2,H535))))</f>
        <v>12</v>
      </c>
      <c r="BE535" s="50" t="n">
        <f aca="false">BD535*G535</f>
        <v>24.24</v>
      </c>
      <c r="BF535" s="50" t="n">
        <f aca="false">ROUNDUP(CK535+MAX(CL535,2*(J535/IF(CG535&gt;0,CG535,MAX(0.1,N(Cockpit!$O$6)))-CK535)),0)</f>
        <v>24</v>
      </c>
      <c r="BG535" s="51" t="n">
        <f aca="false">IF(BC535&gt;0,J535/BC535,-1)</f>
        <v>1.36170212765957</v>
      </c>
      <c r="BH535" s="51" t="str">
        <f aca="false">IF(AND(OR(CF535="L1",CF535="L23",CF535="LIFT"),BC535&gt;0),SUMIFS($BC$7:$BC$1843,$CF$7:$CF$1843,CF535,$BG$7:$BG$1843,"&gt;"&amp;BG535)+SUMIFS($BC$7:$BC$1843,$CF$7:$CF$1843,CF535,$BG$7:$BG$1843,BG535,$BW$7:$BW$1843,"&lt;="&amp;BW535),"")</f>
        <v/>
      </c>
      <c r="BI535" s="58" t="n">
        <f aca="false">IF(BH535="",0,MAX(0,MIN(1,(IF(CF535="L1",Parameter!$H$5,IF(CF535="L23",Parameter!$H$6+Parameter!$H$7,Parameter!$H$5+Parameter!$H$6+Parameter!$H$7))-(BH535-BC535))/BC535)))</f>
        <v>0</v>
      </c>
      <c r="BJ535" s="48" t="str">
        <f aca="false">IF(AI535&lt;=0,"",IF(CF535="Aussen","Aussenlager",IF(CF535="-","Nicht im Lift",IF(AO535&gt;=1,"Lift",IF(AO535&lt;=0,"Aussenlager","teilweise")))))</f>
        <v>Nicht im Lift</v>
      </c>
      <c r="BK535" s="48" t="str">
        <f aca="false">IF(AS535&lt;=0,"",IF(CF535="Aussen","Aussenlager",IF(CF535="-","Nicht im Lift",IF(AY535&gt;=1,"Lift",IF(AY535&lt;=0,"Aussenlager","teilweise")))))</f>
        <v>Nicht im Lift</v>
      </c>
      <c r="BL535" s="48" t="str">
        <f aca="false">IF(BC535&lt;=0,"",IF(CF535="Aussen","Aussenlager",IF(CF535="-","Nicht im Lift",IF(BI535&gt;=1,"Lift",IF(BI535&lt;=0,"Aussenlager","teilweise")))))</f>
        <v>Nicht im Lift</v>
      </c>
      <c r="BM535" s="48" t="str">
        <f aca="false">IF(A535="","",IF(BV535=1,"Neu; ","")&amp;IF(AND(BV535=0,BQ535&lt;0),"negativer Bestand (Export "&amp;BQ535&amp;"); ","")&amp;IF(J535&lt;=0,"Kein Verbrauch; ","")&amp;IF(CQ535&gt;0,"Lift "&amp;W535&amp;" lt. Liftbericht (Fach "&amp;X535&amp;" Stk); ",IF(CA535=1,"Gebinde geschätzt ("&amp;T535&amp;"); ",IF(BZ535=1,"Lose – Tablare geschätzt; ","")))&amp;IF(H535&gt;AV535,"Überbestand "&amp;ROUND(H535-AV535,0)&amp;" Stk / CHF "&amp;ROUND((H535-AV535)*G535,0)&amp;"; ","")&amp;IF(AND(CH535=1,CI535&lt;CJ535),"MAX &lt; MB+LG; ","")&amp;IF(AND(CP535&gt;0,CO535*10&gt;CP535),"zu hoch für Tablar; ","")&amp;IF(AND(BV535=0,OR(CH535=1,AA535&lt;&gt;"",U535&lt;&gt;"",V535&lt;&gt;"",AB535&lt;&gt;"")),"manuell übersteuert; ","")&amp;IF(AND(BZ535=0,R535=0),"Gebinde unbekannt / Stellmass fehlt; ","")&amp;IF(AND(BZ535=0,N(V535)&lt;=0,N(Q535)&lt;=0),"Menge pro Gebinde fehlt (Ist = 1 Gebinde); ","")&amp;BU535)</f>
        <v>Lose – Tablare geschätzt; </v>
      </c>
      <c r="BN535" s="48"/>
      <c r="BO535" s="48"/>
      <c r="BP535" s="55"/>
      <c r="BQ535" s="50" t="n">
        <v>12</v>
      </c>
      <c r="BR535" s="50" t="n">
        <v>0</v>
      </c>
      <c r="BS535" s="49" t="n">
        <v>24.24</v>
      </c>
      <c r="BT535" s="50" t="n">
        <v>48</v>
      </c>
      <c r="BU535" s="48"/>
      <c r="BV535" s="53" t="n">
        <v>0</v>
      </c>
      <c r="BW535" s="53" t="n">
        <v>535</v>
      </c>
      <c r="BX535" s="48" t="str">
        <f aca="false">IF(U535&lt;&gt;"",UPPER(TRIM(U535)),IF(CA535=1,UPPER(VLOOKUP(T535,Parameter!$I$27:$K$29,2,0)),IF(P535="","LOSE",P535)))</f>
        <v>LOSE</v>
      </c>
      <c r="BY535" s="50" t="n">
        <f aca="false">IF(BX535="LOSE",1,IF(N(V535)&gt;0,V535,IF(CA535=1,MAX(1,N(VLOOKUP(T535,Parameter!$I$27:$K$29,3,0)),H535,N(N535)),IF(N(Q535)&gt;0,Q535,MAX(1,H535)))))</f>
        <v>1</v>
      </c>
      <c r="BZ535" s="53" t="n">
        <f aca="false">IF(BX535="LOSE",1,0)</f>
        <v>1</v>
      </c>
      <c r="CA535" s="53" t="n">
        <f aca="false">IF(AND(U535="",OR(P535="",P535="LOSE"),T535&lt;&gt;"",N(S535)&lt;=0,ISNUMBER(MATCH(T535,Parameter!$I$27:$I$29,0))),1,0)</f>
        <v>0</v>
      </c>
      <c r="CB535" s="53" t="n">
        <f aca="false">IF(CQ535&gt;0,INDEX(Parameter!$H$5:$H$7,W535)/INDEX(Parameter!$E$5:$E$7,W535),IF(AND(BZ535=0,N(IFERROR(VLOOKUP(BX535,'Gebinde-Kategorie'!$A$5:$N$45,14,0),0))&gt;0),VLOOKUP(BX535,'Gebinde-Kategorie'!$A$5:$N$45,14,0)*10+Parameter!$M$23,Parameter!$M$24))</f>
        <v>235</v>
      </c>
      <c r="CC535" s="48" t="str">
        <f aca="false">IF(AND(Parameter!$B$19="Ja",E535&lt;&gt;"",ISNUMBER(MATCH(E535,Parameter!$I$35:$I$52,0))),VLOOKUP(E535,Parameter!$I$35:$J$52,2,0),IFERROR(VLOOKUP(D535,Parameter!$A$35:$C$64,2,0),"Nein"))</f>
        <v>Nein</v>
      </c>
      <c r="CD535" s="52" t="n">
        <f aca="false">IF(BZ535=0,0,IF(N(S535)&gt;0,S535,IFERROR(VLOOKUP(D535,Parameter!$A$35:$C$64,3,0)+0,0)))</f>
        <v>0.15</v>
      </c>
      <c r="CE535" s="48" t="str">
        <f aca="false">IF(AA535&lt;&gt;"",AA535,Z535)</f>
        <v>-</v>
      </c>
      <c r="CF535" s="48" t="str">
        <f aca="false">IF(OR(CE535=1,CE535=2,CE535=3),IF(Parameter!$E$27="Ja","LIFT",IF(CE535=1,"L1","L23")),IF(CE535="Aussen","Aussen","-"))</f>
        <v>-</v>
      </c>
      <c r="CG535" s="59" t="n">
        <f aca="false">IF(N(AB535)&gt;0,AB535,0)</f>
        <v>0</v>
      </c>
      <c r="CH535" s="53" t="n">
        <f aca="false">IF(ISNUMBER(AE535),1,0)</f>
        <v>0</v>
      </c>
      <c r="CI535" s="50" t="n">
        <f aca="false">N(AE535)</f>
        <v>0</v>
      </c>
      <c r="CJ535" s="50" t="n">
        <f aca="false">N(M535)+N(N535)</f>
        <v>1</v>
      </c>
      <c r="CK535" s="50" t="n">
        <f aca="false">N(M535)</f>
        <v>0</v>
      </c>
      <c r="CL535" s="50" t="n">
        <f aca="false">N(N535)</f>
        <v>1</v>
      </c>
      <c r="CM535" s="50" t="n">
        <f aca="false">ROUNDUP(H535/BY535,0)</f>
        <v>12</v>
      </c>
      <c r="CN535" s="50" t="n">
        <f aca="false">ROUNDUP(CI535/BY535,0)</f>
        <v>0</v>
      </c>
      <c r="CO535" s="53" t="n">
        <f aca="false">IF(BZ535=1,0,IFERROR(VLOOKUP(BX535,'Gebinde-Kategorie'!$A$5:$N$45,5,0)+0,0))</f>
        <v>0</v>
      </c>
      <c r="CP535" s="53" t="n">
        <f aca="false">IFERROR(IF(OR(CE535=1,CE535=2,CE535=3),N(INDEX(Parameter!$I$5:$I$7,CE535)),0),0)</f>
        <v>0</v>
      </c>
      <c r="CQ535" s="52" t="n">
        <f aca="false">IF(AND(Parameter!$B$21="Ja",ISNUMBER(W535),N(X535)&gt;0),IFERROR(N(INDEX(Parameter!$L$5:$L$7,W535))*INDEX(Parameter!$E$5:$E$7,W535)*X535/SUMIFS($X$7:$X$1843,$W$7:$W$1843,W535),0),0)</f>
        <v>0</v>
      </c>
    </row>
    <row r="536" customFormat="false" ht="15" hidden="false" customHeight="false" outlineLevel="0" collapsed="false">
      <c r="A536" s="48" t="s">
        <v>1162</v>
      </c>
      <c r="B536" s="48" t="s">
        <v>533</v>
      </c>
      <c r="C536" s="48" t="s">
        <v>173</v>
      </c>
      <c r="D536" s="48" t="s">
        <v>193</v>
      </c>
      <c r="E536" s="48" t="s">
        <v>194</v>
      </c>
      <c r="F536" s="48" t="s">
        <v>227</v>
      </c>
      <c r="G536" s="49" t="n">
        <v>4.46</v>
      </c>
      <c r="H536" s="50" t="n">
        <f aca="false">MAX(0,IF(AND(Parameter!$B$21="Ja",ISNUMBER(Y536)),Y536,IF(Parameter!$B$20="Jahresanfang 2025 + Export",BR536+BQ536,BQ536)))</f>
        <v>9</v>
      </c>
      <c r="I536" s="50" t="n">
        <f aca="false">H536*G536</f>
        <v>40.14</v>
      </c>
      <c r="J536" s="50" t="n">
        <f aca="false">BT536*Parameter!$B$18</f>
        <v>0</v>
      </c>
      <c r="K536" s="51" t="n">
        <v>5</v>
      </c>
      <c r="L536" s="52" t="n">
        <v>0</v>
      </c>
      <c r="M536" s="50" t="n">
        <v>0</v>
      </c>
      <c r="N536" s="50" t="n">
        <v>1</v>
      </c>
      <c r="O536" s="53" t="n">
        <v>14</v>
      </c>
      <c r="P536" s="48" t="s">
        <v>337</v>
      </c>
      <c r="Q536" s="50" t="n">
        <v>25</v>
      </c>
      <c r="R536" s="53" t="n">
        <f aca="false">IF(BZ536=1,0,IFERROR(VLOOKUP(BX536,'Gebinde-Kategorie'!$A$5:$N$45,13,0)+0,0))</f>
        <v>52</v>
      </c>
      <c r="S536" s="54"/>
      <c r="T536" s="55"/>
      <c r="U536" s="55"/>
      <c r="V536" s="55"/>
      <c r="W536" s="48"/>
      <c r="X536" s="50"/>
      <c r="Y536" s="50"/>
      <c r="Z536" s="48" t="n">
        <f aca="false">IF(A536="","",IF(AND(Parameter!$B$21="Ja",ISNUMBER(W536)),W536,IF(CC536="2+3",IF(ISNUMBER(SEARCH("grosser Artikel",BU536)),2,IFERROR(VLOOKUP(BX536,Parameter!$F$35:$G$64,2,0),2)),IF(OR(CC536="Nein",CC536=""),"-",CC536))))</f>
        <v>3</v>
      </c>
      <c r="AA536" s="55"/>
      <c r="AB536" s="56"/>
      <c r="AC536" s="50" t="n">
        <f aca="false">AV536</f>
        <v>1</v>
      </c>
      <c r="AD536" s="50" t="n">
        <f aca="false">MAX(AV536,H536)</f>
        <v>9</v>
      </c>
      <c r="AE536" s="57"/>
      <c r="AF536" s="50" t="n">
        <f aca="false">IF(LEFT(Cockpit!$C$5,1)="A",H536,IF(Parameter!$E$30="MAX-Bestand",IF(CH536=1,CI536,IF(LEFT(Cockpit!$C$5,1)="B",AL536,MAX(AL536,H536))),ROUNDUP(AJ536,0)))</f>
        <v>9</v>
      </c>
      <c r="AG536" s="50" t="n">
        <f aca="false">IF(BZ536=1,0,ROUNDUP(AF536/BY536,0))</f>
        <v>1</v>
      </c>
      <c r="AH536" s="52" t="n">
        <f aca="false">IF(CQ536&gt;0,CQ536*MAX(1,AF536/X536),IF(BZ536=1,IF(AF536&lt;=0,0,CD536*MAX(1,IF(H536&gt;0,AF536/H536,1))),IF(R536&gt;0,AG536/R536,0))/MAX(0.1,N(Parameter!$M$21)))</f>
        <v>0.0192307692307692</v>
      </c>
      <c r="AI536" s="50" t="n">
        <f aca="false">AH536*CB536</f>
        <v>2.98076923076923</v>
      </c>
      <c r="AJ536" s="51" t="n">
        <f aca="false">IF(LEFT(Cockpit!$C$5,1)="A",H536,IF(CH536=1,(CK536+CI536)/2,IF(LEFT(Cockpit!$C$5,1)="B",(CK536+AL536)/2,MAX((CK536+AL536)/2,H536))))</f>
        <v>9</v>
      </c>
      <c r="AK536" s="50" t="n">
        <f aca="false">AJ536*G536</f>
        <v>40.14</v>
      </c>
      <c r="AL536" s="50" t="n">
        <f aca="false">ROUNDUP(CK536+MAX(CL536,2*(J536/IF(CG536&gt;0,CG536,MAX(0.1,N(Cockpit!$C$6)))-CK536)),0)</f>
        <v>1</v>
      </c>
      <c r="AM536" s="51" t="n">
        <f aca="false">IF(AI536&gt;0,J536/AI536,-1)</f>
        <v>0</v>
      </c>
      <c r="AN536" s="51" t="n">
        <f aca="false">IF(AND(OR(CF536="L1",CF536="L23",CF536="LIFT"),AI536&gt;0),SUMIFS($AI$7:$AI$1843,$CF$7:$CF$1843,CF536,$AM$7:$AM$1843,"&gt;"&amp;AM536)+SUMIFS($AI$7:$AI$1843,$CF$7:$CF$1843,CF536,$AM$7:$AM$1843,AM536,$BW$7:$BW$1843,"&lt;="&amp;BW536),"")</f>
        <v>28346.4259923222</v>
      </c>
      <c r="AO536" s="58" t="n">
        <f aca="false">IF(AN536="",0,MAX(0,MIN(1,(IF(CF536="L1",Parameter!$H$5,IF(CF536="L23",Parameter!$H$6+Parameter!$H$7,Parameter!$H$5+Parameter!$H$6+Parameter!$H$7))-(AN536-AI536))/AI536)))</f>
        <v>1</v>
      </c>
      <c r="AP536" s="50" t="n">
        <f aca="false">IF(LEFT(Cockpit!$I$5,1)="A",H536,IF(Parameter!$E$30="MAX-Bestand",IF(CH536=1,CI536,IF(LEFT(Cockpit!$I$5,1)="B",AV536,MAX(AV536,H536))),ROUNDUP(AT536,0)))</f>
        <v>9</v>
      </c>
      <c r="AQ536" s="50" t="n">
        <f aca="false">IF(BZ536=1,0,ROUNDUP(AP536/BY536,0))</f>
        <v>1</v>
      </c>
      <c r="AR536" s="52" t="n">
        <f aca="false">IF(CQ536&gt;0,CQ536*MAX(1,AP536/X536),IF(BZ536=1,IF(AP536&lt;=0,0,CD536*MAX(1,IF(H536&gt;0,AP536/H536,1))),IF(R536&gt;0,AQ536/R536,0))/MAX(0.1,N(Parameter!$M$21)))</f>
        <v>0.0192307692307692</v>
      </c>
      <c r="AS536" s="50" t="n">
        <f aca="false">AR536*CB536</f>
        <v>2.98076923076923</v>
      </c>
      <c r="AT536" s="51" t="n">
        <f aca="false">IF(LEFT(Cockpit!$I$5,1)="A",H536,IF(CH536=1,(CK536+CI536)/2,IF(LEFT(Cockpit!$I$5,1)="B",(CK536+AV536)/2,MAX((CK536+AV536)/2,H536))))</f>
        <v>9</v>
      </c>
      <c r="AU536" s="50" t="n">
        <f aca="false">AT536*G536</f>
        <v>40.14</v>
      </c>
      <c r="AV536" s="50" t="n">
        <f aca="false">ROUNDUP(CK536+MAX(CL536,2*(J536/IF(CG536&gt;0,CG536,MAX(0.1,N(Cockpit!$I$6)))-CK536)),0)</f>
        <v>1</v>
      </c>
      <c r="AW536" s="51" t="n">
        <f aca="false">IF(AS536&gt;0,J536/AS536,-1)</f>
        <v>0</v>
      </c>
      <c r="AX536" s="51" t="n">
        <f aca="false">IF(AND(OR(CF536="L1",CF536="L23",CF536="LIFT"),AS536&gt;0),SUMIFS($AS$7:$AS$1843,$CF$7:$CF$1843,CF536,$AW$7:$AW$1843,"&gt;"&amp;AW536)+SUMIFS($AS$7:$AS$1843,$CF$7:$CF$1843,CF536,$AW$7:$AW$1843,AW536,$BW$7:$BW$1843,"&lt;="&amp;BW536),"")</f>
        <v>33699.5746336996</v>
      </c>
      <c r="AY536" s="58" t="n">
        <f aca="false">IF(AX536="",0,MAX(0,MIN(1,(IF(CF536="L1",Parameter!$H$5,IF(CF536="L23",Parameter!$H$6+Parameter!$H$7,Parameter!$H$5+Parameter!$H$6+Parameter!$H$7))-(AX536-AS536))/AS536)))</f>
        <v>1</v>
      </c>
      <c r="AZ536" s="50" t="n">
        <f aca="false">IF(LEFT(Cockpit!$O$5,1)="A",H536,IF(Parameter!$E$30="MAX-Bestand",IF(CH536=1,CI536,IF(LEFT(Cockpit!$O$5,1)="B",BF536,MAX(BF536,H536))),ROUNDUP(BD536,0)))</f>
        <v>1</v>
      </c>
      <c r="BA536" s="50" t="n">
        <f aca="false">IF(BZ536=1,0,ROUNDUP(AZ536/BY536,0))</f>
        <v>1</v>
      </c>
      <c r="BB536" s="52" t="n">
        <f aca="false">IF(CQ536&gt;0,CQ536*MAX(1,AZ536/X536),IF(BZ536=1,IF(AZ536&lt;=0,0,CD536*MAX(1,IF(H536&gt;0,AZ536/H536,1))),IF(R536&gt;0,BA536/R536,0))/MAX(0.1,N(Parameter!$M$21)))</f>
        <v>0.0192307692307692</v>
      </c>
      <c r="BC536" s="50" t="n">
        <f aca="false">BB536*CB536</f>
        <v>2.98076923076923</v>
      </c>
      <c r="BD536" s="51" t="n">
        <f aca="false">IF(LEFT(Cockpit!$O$5,1)="A",H536,IF(CH536=1,(CK536+CI536)/2,IF(LEFT(Cockpit!$O$5,1)="B",(CK536+BF536)/2,MAX((CK536+BF536)/2,H536))))</f>
        <v>0.5</v>
      </c>
      <c r="BE536" s="50" t="n">
        <f aca="false">BD536*G536</f>
        <v>2.23</v>
      </c>
      <c r="BF536" s="50" t="n">
        <f aca="false">ROUNDUP(CK536+MAX(CL536,2*(J536/IF(CG536&gt;0,CG536,MAX(0.1,N(Cockpit!$O$6)))-CK536)),0)</f>
        <v>1</v>
      </c>
      <c r="BG536" s="51" t="n">
        <f aca="false">IF(BC536&gt;0,J536/BC536,-1)</f>
        <v>0</v>
      </c>
      <c r="BH536" s="51" t="n">
        <f aca="false">IF(AND(OR(CF536="L1",CF536="L23",CF536="LIFT"),BC536&gt;0),SUMIFS($BC$7:$BC$1843,$CF$7:$CF$1843,CF536,$BG$7:$BG$1843,"&gt;"&amp;BG536)+SUMIFS($BC$7:$BC$1843,$CF$7:$CF$1843,CF536,$BG$7:$BG$1843,BG536,$BW$7:$BW$1843,"&lt;="&amp;BW536),"")</f>
        <v>27778.0113304774</v>
      </c>
      <c r="BI536" s="58" t="n">
        <f aca="false">IF(BH536="",0,MAX(0,MIN(1,(IF(CF536="L1",Parameter!$H$5,IF(CF536="L23",Parameter!$H$6+Parameter!$H$7,Parameter!$H$5+Parameter!$H$6+Parameter!$H$7))-(BH536-BC536))/BC536)))</f>
        <v>1</v>
      </c>
      <c r="BJ536" s="48" t="str">
        <f aca="false">IF(AI536&lt;=0,"",IF(CF536="Aussen","Aussenlager",IF(CF536="-","Nicht im Lift",IF(AO536&gt;=1,"Lift",IF(AO536&lt;=0,"Aussenlager","teilweise")))))</f>
        <v>Lift</v>
      </c>
      <c r="BK536" s="48" t="str">
        <f aca="false">IF(AS536&lt;=0,"",IF(CF536="Aussen","Aussenlager",IF(CF536="-","Nicht im Lift",IF(AY536&gt;=1,"Lift",IF(AY536&lt;=0,"Aussenlager","teilweise")))))</f>
        <v>Lift</v>
      </c>
      <c r="BL536" s="48" t="str">
        <f aca="false">IF(BC536&lt;=0,"",IF(CF536="Aussen","Aussenlager",IF(CF536="-","Nicht im Lift",IF(BI536&gt;=1,"Lift",IF(BI536&lt;=0,"Aussenlager","teilweise")))))</f>
        <v>Lift</v>
      </c>
      <c r="BM536" s="48" t="str">
        <f aca="false">IF(A536="","",IF(BV536=1,"Neu; ","")&amp;IF(AND(BV536=0,BQ536&lt;0),"negativer Bestand (Export "&amp;BQ536&amp;"); ","")&amp;IF(J536&lt;=0,"Kein Verbrauch; ","")&amp;IF(CQ536&gt;0,"Lift "&amp;W536&amp;" lt. Liftbericht (Fach "&amp;X536&amp;" Stk); ",IF(CA536=1,"Gebinde geschätzt ("&amp;T536&amp;"); ",IF(BZ536=1,"Lose – Tablare geschätzt; ","")))&amp;IF(H536&gt;AV536,"Überbestand "&amp;ROUND(H536-AV536,0)&amp;" Stk / CHF "&amp;ROUND((H536-AV536)*G536,0)&amp;"; ","")&amp;IF(AND(CH536=1,CI536&lt;CJ536),"MAX &lt; MB+LG; ","")&amp;IF(AND(CP536&gt;0,CO536*10&gt;CP536),"zu hoch für Tablar; ","")&amp;IF(AND(BV536=0,OR(CH536=1,AA536&lt;&gt;"",U536&lt;&gt;"",V536&lt;&gt;"",AB536&lt;&gt;"")),"manuell übersteuert; ","")&amp;IF(AND(BZ536=0,R536=0),"Gebinde unbekannt / Stellmass fehlt; ","")&amp;IF(AND(BZ536=0,N(V536)&lt;=0,N(Q536)&lt;=0),"Menge pro Gebinde fehlt (Ist = 1 Gebinde); ","")&amp;BU536)</f>
        <v>Kein Verbrauch; Überbestand 8 Stk / CHF 36; Überbestand</v>
      </c>
      <c r="BN536" s="48"/>
      <c r="BO536" s="48"/>
      <c r="BP536" s="55"/>
      <c r="BQ536" s="50" t="n">
        <v>4</v>
      </c>
      <c r="BR536" s="50" t="n">
        <v>5</v>
      </c>
      <c r="BS536" s="49" t="n">
        <v>23.99</v>
      </c>
      <c r="BT536" s="50" t="n">
        <v>0</v>
      </c>
      <c r="BU536" s="48" t="s">
        <v>401</v>
      </c>
      <c r="BV536" s="53" t="n">
        <v>0</v>
      </c>
      <c r="BW536" s="53" t="n">
        <v>536</v>
      </c>
      <c r="BX536" s="48" t="str">
        <f aca="false">IF(U536&lt;&gt;"",UPPER(TRIM(U536)),IF(CA536=1,UPPER(VLOOKUP(T536,Parameter!$I$27:$K$29,2,0)),IF(P536="","LOSE",P536)))</f>
        <v>S41</v>
      </c>
      <c r="BY536" s="50" t="n">
        <f aca="false">IF(BX536="LOSE",1,IF(N(V536)&gt;0,V536,IF(CA536=1,MAX(1,N(VLOOKUP(T536,Parameter!$I$27:$K$29,3,0)),H536,N(N536)),IF(N(Q536)&gt;0,Q536,MAX(1,H536)))))</f>
        <v>25</v>
      </c>
      <c r="BZ536" s="53" t="n">
        <f aca="false">IF(BX536="LOSE",1,0)</f>
        <v>0</v>
      </c>
      <c r="CA536" s="53" t="n">
        <f aca="false">IF(AND(U536="",OR(P536="",P536="LOSE"),T536&lt;&gt;"",N(S536)&lt;=0,ISNUMBER(MATCH(T536,Parameter!$I$27:$I$29,0))),1,0)</f>
        <v>0</v>
      </c>
      <c r="CB536" s="53" t="n">
        <f aca="false">IF(CQ536&gt;0,INDEX(Parameter!$H$5:$H$7,W536)/INDEX(Parameter!$E$5:$E$7,W536),IF(AND(BZ536=0,N(IFERROR(VLOOKUP(BX536,'Gebinde-Kategorie'!$A$5:$N$45,14,0),0))&gt;0),VLOOKUP(BX536,'Gebinde-Kategorie'!$A$5:$N$45,14,0)*10+Parameter!$M$23,Parameter!$M$24))</f>
        <v>155</v>
      </c>
      <c r="CC536" s="48" t="str">
        <f aca="false">IF(AND(Parameter!$B$19="Ja",E536&lt;&gt;"",ISNUMBER(MATCH(E536,Parameter!$I$35:$I$52,0))),VLOOKUP(E536,Parameter!$I$35:$J$52,2,0),IFERROR(VLOOKUP(D536,Parameter!$A$35:$C$64,2,0),"Nein"))</f>
        <v>2+3</v>
      </c>
      <c r="CD536" s="52" t="n">
        <f aca="false">IF(BZ536=0,0,IF(N(S536)&gt;0,S536,IFERROR(VLOOKUP(D536,Parameter!$A$35:$C$64,3,0)+0,0)))</f>
        <v>0</v>
      </c>
      <c r="CE536" s="48" t="n">
        <f aca="false">IF(AA536&lt;&gt;"",AA536,Z536)</f>
        <v>3</v>
      </c>
      <c r="CF536" s="48" t="str">
        <f aca="false">IF(OR(CE536=1,CE536=2,CE536=3),IF(Parameter!$E$27="Ja","LIFT",IF(CE536=1,"L1","L23")),IF(CE536="Aussen","Aussen","-"))</f>
        <v>LIFT</v>
      </c>
      <c r="CG536" s="59" t="n">
        <f aca="false">IF(N(AB536)&gt;0,AB536,0)</f>
        <v>0</v>
      </c>
      <c r="CH536" s="53" t="n">
        <f aca="false">IF(ISNUMBER(AE536),1,0)</f>
        <v>0</v>
      </c>
      <c r="CI536" s="50" t="n">
        <f aca="false">N(AE536)</f>
        <v>0</v>
      </c>
      <c r="CJ536" s="50" t="n">
        <f aca="false">N(M536)+N(N536)</f>
        <v>1</v>
      </c>
      <c r="CK536" s="50" t="n">
        <f aca="false">N(M536)</f>
        <v>0</v>
      </c>
      <c r="CL536" s="50" t="n">
        <f aca="false">N(N536)</f>
        <v>1</v>
      </c>
      <c r="CM536" s="50" t="n">
        <f aca="false">ROUNDUP(H536/BY536,0)</f>
        <v>1</v>
      </c>
      <c r="CN536" s="50" t="n">
        <f aca="false">ROUNDUP(CI536/BY536,0)</f>
        <v>0</v>
      </c>
      <c r="CO536" s="53" t="n">
        <f aca="false">IF(BZ536=1,0,IFERROR(VLOOKUP(BX536,'Gebinde-Kategorie'!$A$5:$N$45,5,0)+0,0))</f>
        <v>11</v>
      </c>
      <c r="CP536" s="53" t="n">
        <f aca="false">IFERROR(IF(OR(CE536=1,CE536=2,CE536=3),N(INDEX(Parameter!$I$5:$I$7,CE536)),0),0)</f>
        <v>0</v>
      </c>
      <c r="CQ536" s="52" t="n">
        <f aca="false">IF(AND(Parameter!$B$21="Ja",ISNUMBER(W536),N(X536)&gt;0),IFERROR(N(INDEX(Parameter!$L$5:$L$7,W536))*INDEX(Parameter!$E$5:$E$7,W536)*X536/SUMIFS($X$7:$X$1843,$W$7:$W$1843,W536),0),0)</f>
        <v>0</v>
      </c>
    </row>
    <row r="537" customFormat="false" ht="15" hidden="false" customHeight="false" outlineLevel="0" collapsed="false">
      <c r="A537" s="48" t="s">
        <v>1163</v>
      </c>
      <c r="B537" s="48" t="s">
        <v>1164</v>
      </c>
      <c r="C537" s="48" t="s">
        <v>173</v>
      </c>
      <c r="D537" s="48" t="s">
        <v>182</v>
      </c>
      <c r="E537" s="48" t="s">
        <v>194</v>
      </c>
      <c r="F537" s="48" t="s">
        <v>227</v>
      </c>
      <c r="G537" s="49" t="n">
        <v>41.41</v>
      </c>
      <c r="H537" s="50" t="n">
        <f aca="false">MAX(0,IF(AND(Parameter!$B$21="Ja",ISNUMBER(Y537)),Y537,IF(Parameter!$B$20="Jahresanfang 2025 + Export",BR537+BQ537,BQ537)))</f>
        <v>3</v>
      </c>
      <c r="I537" s="50" t="n">
        <f aca="false">H537*G537</f>
        <v>124.23</v>
      </c>
      <c r="J537" s="50" t="n">
        <f aca="false">BT537*Parameter!$B$18</f>
        <v>12</v>
      </c>
      <c r="K537" s="51" t="n">
        <v>2.5</v>
      </c>
      <c r="L537" s="52" t="n">
        <v>4.8</v>
      </c>
      <c r="M537" s="50" t="n">
        <v>1</v>
      </c>
      <c r="N537" s="50" t="n">
        <v>4</v>
      </c>
      <c r="O537" s="53" t="n">
        <v>14</v>
      </c>
      <c r="P537" s="48" t="s">
        <v>177</v>
      </c>
      <c r="Q537" s="50"/>
      <c r="R537" s="53" t="n">
        <f aca="false">IF(BZ537=1,0,IFERROR(VLOOKUP(BX537,'Gebinde-Kategorie'!$A$5:$N$45,13,0)+0,0))</f>
        <v>4</v>
      </c>
      <c r="S537" s="54"/>
      <c r="T537" s="55" t="s">
        <v>198</v>
      </c>
      <c r="U537" s="55"/>
      <c r="V537" s="55"/>
      <c r="W537" s="48"/>
      <c r="X537" s="50"/>
      <c r="Y537" s="50"/>
      <c r="Z537" s="48" t="n">
        <f aca="false">IF(A537="","",IF(AND(Parameter!$B$21="Ja",ISNUMBER(W537)),W537,IF(CC537="2+3",IF(ISNUMBER(SEARCH("grosser Artikel",BU537)),2,IFERROR(VLOOKUP(BX537,Parameter!$F$35:$G$64,2,0),2)),IF(OR(CC537="Nein",CC537=""),"-",CC537))))</f>
        <v>2</v>
      </c>
      <c r="AA537" s="55"/>
      <c r="AB537" s="56"/>
      <c r="AC537" s="50" t="n">
        <f aca="false">AV537</f>
        <v>7</v>
      </c>
      <c r="AD537" s="50" t="n">
        <f aca="false">MAX(AV537,H537)</f>
        <v>7</v>
      </c>
      <c r="AE537" s="57"/>
      <c r="AF537" s="50" t="n">
        <f aca="false">IF(LEFT(Cockpit!$C$5,1)="A",H537,IF(Parameter!$E$30="MAX-Bestand",IF(CH537=1,CI537,IF(LEFT(Cockpit!$C$5,1)="B",AL537,MAX(AL537,H537))),ROUNDUP(AJ537,0)))</f>
        <v>3</v>
      </c>
      <c r="AG537" s="50" t="n">
        <f aca="false">IF(BZ537=1,0,ROUNDUP(AF537/BY537,0))</f>
        <v>1</v>
      </c>
      <c r="AH537" s="52" t="n">
        <f aca="false">IF(CQ537&gt;0,CQ537*MAX(1,AF537/X537),IF(BZ537=1,IF(AF537&lt;=0,0,CD537*MAX(1,IF(H537&gt;0,AF537/H537,1))),IF(R537&gt;0,AG537/R537,0))/MAX(0.1,N(Parameter!$M$21)))</f>
        <v>0.25</v>
      </c>
      <c r="AI537" s="50" t="n">
        <f aca="false">AH537*CB537</f>
        <v>58.75</v>
      </c>
      <c r="AJ537" s="51" t="n">
        <f aca="false">IF(LEFT(Cockpit!$C$5,1)="A",H537,IF(CH537=1,(CK537+CI537)/2,IF(LEFT(Cockpit!$C$5,1)="B",(CK537+AL537)/2,MAX((CK537+AL537)/2,H537))))</f>
        <v>3</v>
      </c>
      <c r="AK537" s="50" t="n">
        <f aca="false">AJ537*G537</f>
        <v>124.23</v>
      </c>
      <c r="AL537" s="50" t="n">
        <f aca="false">ROUNDUP(CK537+MAX(CL537,2*(J537/IF(CG537&gt;0,CG537,MAX(0.1,N(Cockpit!$C$6)))-CK537)),0)</f>
        <v>7</v>
      </c>
      <c r="AM537" s="51" t="n">
        <f aca="false">IF(AI537&gt;0,J537/AI537,-1)</f>
        <v>0.204255319148936</v>
      </c>
      <c r="AN537" s="51" t="n">
        <f aca="false">IF(AND(OR(CF537="L1",CF537="L23",CF537="LIFT"),AI537&gt;0),SUMIFS($AI$7:$AI$1843,$CF$7:$CF$1843,CF537,$AM$7:$AM$1843,"&gt;"&amp;AM537)+SUMIFS($AI$7:$AI$1843,$CF$7:$CF$1843,CF537,$AM$7:$AM$1843,AM537,$BW$7:$BW$1843,"&lt;="&amp;BW537),"")</f>
        <v>12499.733720846</v>
      </c>
      <c r="AO537" s="58" t="n">
        <f aca="false">IF(AN537="",0,MAX(0,MIN(1,(IF(CF537="L1",Parameter!$H$5,IF(CF537="L23",Parameter!$H$6+Parameter!$H$7,Parameter!$H$5+Parameter!$H$6+Parameter!$H$7))-(AN537-AI537))/AI537)))</f>
        <v>1</v>
      </c>
      <c r="AP537" s="50" t="n">
        <f aca="false">IF(LEFT(Cockpit!$I$5,1)="A",H537,IF(Parameter!$E$30="MAX-Bestand",IF(CH537=1,CI537,IF(LEFT(Cockpit!$I$5,1)="B",AV537,MAX(AV537,H537))),ROUNDUP(AT537,0)))</f>
        <v>4</v>
      </c>
      <c r="AQ537" s="50" t="n">
        <f aca="false">IF(BZ537=1,0,ROUNDUP(AP537/BY537,0))</f>
        <v>1</v>
      </c>
      <c r="AR537" s="52" t="n">
        <f aca="false">IF(CQ537&gt;0,CQ537*MAX(1,AP537/X537),IF(BZ537=1,IF(AP537&lt;=0,0,CD537*MAX(1,IF(H537&gt;0,AP537/H537,1))),IF(R537&gt;0,AQ537/R537,0))/MAX(0.1,N(Parameter!$M$21)))</f>
        <v>0.25</v>
      </c>
      <c r="AS537" s="50" t="n">
        <f aca="false">AR537*CB537</f>
        <v>58.75</v>
      </c>
      <c r="AT537" s="51" t="n">
        <f aca="false">IF(LEFT(Cockpit!$I$5,1)="A",H537,IF(CH537=1,(CK537+CI537)/2,IF(LEFT(Cockpit!$I$5,1)="B",(CK537+AV537)/2,MAX((CK537+AV537)/2,H537))))</f>
        <v>4</v>
      </c>
      <c r="AU537" s="50" t="n">
        <f aca="false">AT537*G537</f>
        <v>165.64</v>
      </c>
      <c r="AV537" s="50" t="n">
        <f aca="false">ROUNDUP(CK537+MAX(CL537,2*(J537/IF(CG537&gt;0,CG537,MAX(0.1,N(Cockpit!$I$6)))-CK537)),0)</f>
        <v>7</v>
      </c>
      <c r="AW537" s="51" t="n">
        <f aca="false">IF(AS537&gt;0,J537/AS537,-1)</f>
        <v>0.204255319148936</v>
      </c>
      <c r="AX537" s="51" t="n">
        <f aca="false">IF(AND(OR(CF537="L1",CF537="L23",CF537="LIFT"),AS537&gt;0),SUMIFS($AS$7:$AS$1843,$CF$7:$CF$1843,CF537,$AW$7:$AW$1843,"&gt;"&amp;AW537)+SUMIFS($AS$7:$AS$1843,$CF$7:$CF$1843,CF537,$AW$7:$AW$1843,AW537,$BW$7:$BW$1843,"&lt;="&amp;BW537),"")</f>
        <v>15328.9913003663</v>
      </c>
      <c r="AY537" s="58" t="n">
        <f aca="false">IF(AX537="",0,MAX(0,MIN(1,(IF(CF537="L1",Parameter!$H$5,IF(CF537="L23",Parameter!$H$6+Parameter!$H$7,Parameter!$H$5+Parameter!$H$6+Parameter!$H$7))-(AX537-AS537))/AS537)))</f>
        <v>1</v>
      </c>
      <c r="AZ537" s="50" t="n">
        <f aca="false">IF(LEFT(Cockpit!$O$5,1)="A",H537,IF(Parameter!$E$30="MAX-Bestand",IF(CH537=1,CI537,IF(LEFT(Cockpit!$O$5,1)="B",BF537,MAX(BF537,H537))),ROUNDUP(BD537,0)))</f>
        <v>3</v>
      </c>
      <c r="BA537" s="50" t="n">
        <f aca="false">IF(BZ537=1,0,ROUNDUP(AZ537/BY537,0))</f>
        <v>1</v>
      </c>
      <c r="BB537" s="52" t="n">
        <f aca="false">IF(CQ537&gt;0,CQ537*MAX(1,AZ537/X537),IF(BZ537=1,IF(AZ537&lt;=0,0,CD537*MAX(1,IF(H537&gt;0,AZ537/H537,1))),IF(R537&gt;0,BA537/R537,0))/MAX(0.1,N(Parameter!$M$21)))</f>
        <v>0.25</v>
      </c>
      <c r="BC537" s="50" t="n">
        <f aca="false">BB537*CB537</f>
        <v>58.75</v>
      </c>
      <c r="BD537" s="51" t="n">
        <f aca="false">IF(LEFT(Cockpit!$O$5,1)="A",H537,IF(CH537=1,(CK537+CI537)/2,IF(LEFT(Cockpit!$O$5,1)="B",(CK537+BF537)/2,MAX((CK537+BF537)/2,H537))))</f>
        <v>3</v>
      </c>
      <c r="BE537" s="50" t="n">
        <f aca="false">BD537*G537</f>
        <v>124.23</v>
      </c>
      <c r="BF537" s="50" t="n">
        <f aca="false">ROUNDUP(CK537+MAX(CL537,2*(J537/IF(CG537&gt;0,CG537,MAX(0.1,N(Cockpit!$O$6)))-CK537)),0)</f>
        <v>5</v>
      </c>
      <c r="BG537" s="51" t="n">
        <f aca="false">IF(BC537&gt;0,J537/BC537,-1)</f>
        <v>0.204255319148936</v>
      </c>
      <c r="BH537" s="51" t="n">
        <f aca="false">IF(AND(OR(CF537="L1",CF537="L23",CF537="LIFT"),BC537&gt;0),SUMIFS($BC$7:$BC$1843,$CF$7:$CF$1843,CF537,$BG$7:$BG$1843,"&gt;"&amp;BG537)+SUMIFS($BC$7:$BC$1843,$CF$7:$CF$1843,CF537,$BG$7:$BG$1843,BG537,$BW$7:$BW$1843,"&lt;="&amp;BW537),"")</f>
        <v>13147.4129234701</v>
      </c>
      <c r="BI537" s="58" t="n">
        <f aca="false">IF(BH537="",0,MAX(0,MIN(1,(IF(CF537="L1",Parameter!$H$5,IF(CF537="L23",Parameter!$H$6+Parameter!$H$7,Parameter!$H$5+Parameter!$H$6+Parameter!$H$7))-(BH537-BC537))/BC537)))</f>
        <v>1</v>
      </c>
      <c r="BJ537" s="48" t="str">
        <f aca="false">IF(AI537&lt;=0,"",IF(CF537="Aussen","Aussenlager",IF(CF537="-","Nicht im Lift",IF(AO537&gt;=1,"Lift",IF(AO537&lt;=0,"Aussenlager","teilweise")))))</f>
        <v>Lift</v>
      </c>
      <c r="BK537" s="48" t="str">
        <f aca="false">IF(AS537&lt;=0,"",IF(CF537="Aussen","Aussenlager",IF(CF537="-","Nicht im Lift",IF(AY537&gt;=1,"Lift",IF(AY537&lt;=0,"Aussenlager","teilweise")))))</f>
        <v>Lift</v>
      </c>
      <c r="BL537" s="48" t="str">
        <f aca="false">IF(BC537&lt;=0,"",IF(CF537="Aussen","Aussenlager",IF(CF537="-","Nicht im Lift",IF(BI537&gt;=1,"Lift",IF(BI537&lt;=0,"Aussenlager","teilweise")))))</f>
        <v>Lift</v>
      </c>
      <c r="BM537" s="48" t="str">
        <f aca="false">IF(A537="","",IF(BV537=1,"Neu; ","")&amp;IF(AND(BV537=0,BQ537&lt;0),"negativer Bestand (Export "&amp;BQ537&amp;"); ","")&amp;IF(J537&lt;=0,"Kein Verbrauch; ","")&amp;IF(CQ537&gt;0,"Lift "&amp;W537&amp;" lt. Liftbericht (Fach "&amp;X537&amp;" Stk); ",IF(CA537=1,"Gebinde geschätzt ("&amp;T537&amp;"); ",IF(BZ537=1,"Lose – Tablare geschätzt; ","")))&amp;IF(H537&gt;AV537,"Überbestand "&amp;ROUND(H537-AV537,0)&amp;" Stk / CHF "&amp;ROUND((H537-AV537)*G537,0)&amp;"; ","")&amp;IF(AND(CH537=1,CI537&lt;CJ537),"MAX &lt; MB+LG; ","")&amp;IF(AND(CP537&gt;0,CO537*10&gt;CP537),"zu hoch für Tablar; ","")&amp;IF(AND(BV537=0,OR(CH537=1,AA537&lt;&gt;"",U537&lt;&gt;"",V537&lt;&gt;"",AB537&lt;&gt;"")),"manuell übersteuert; ","")&amp;IF(AND(BZ537=0,R537=0),"Gebinde unbekannt / Stellmass fehlt; ","")&amp;IF(AND(BZ537=0,N(V537)&lt;=0,N(Q537)&lt;=0),"Menge pro Gebinde fehlt (Ist = 1 Gebinde); ","")&amp;BU537)</f>
        <v>Gebinde geschätzt (Gross); Menge pro Gebinde fehlt (Ist = 1 Gebinde); grosser Artikel &amp; nicht im KTL</v>
      </c>
      <c r="BN537" s="48"/>
      <c r="BO537" s="48"/>
      <c r="BP537" s="55"/>
      <c r="BQ537" s="50" t="n">
        <v>1</v>
      </c>
      <c r="BR537" s="50" t="n">
        <v>2</v>
      </c>
      <c r="BS537" s="49" t="n">
        <v>23.6300000000001</v>
      </c>
      <c r="BT537" s="50" t="n">
        <v>12</v>
      </c>
      <c r="BU537" s="48" t="s">
        <v>270</v>
      </c>
      <c r="BV537" s="53" t="n">
        <v>0</v>
      </c>
      <c r="BW537" s="53" t="n">
        <v>537</v>
      </c>
      <c r="BX537" s="48" t="str">
        <f aca="false">IF(U537&lt;&gt;"",UPPER(TRIM(U537)),IF(CA537=1,UPPER(VLOOKUP(T537,Parameter!$I$27:$K$29,2,0)),IF(P537="","LOSE",P537)))</f>
        <v>S81</v>
      </c>
      <c r="BY537" s="50" t="n">
        <f aca="false">IF(BX537="LOSE",1,IF(N(V537)&gt;0,V537,IF(CA537=1,MAX(1,N(VLOOKUP(T537,Parameter!$I$27:$K$29,3,0)),H537,N(N537)),IF(N(Q537)&gt;0,Q537,MAX(1,H537)))))</f>
        <v>4</v>
      </c>
      <c r="BZ537" s="53" t="n">
        <f aca="false">IF(BX537="LOSE",1,0)</f>
        <v>0</v>
      </c>
      <c r="CA537" s="53" t="n">
        <f aca="false">IF(AND(U537="",OR(P537="",P537="LOSE"),T537&lt;&gt;"",N(S537)&lt;=0,ISNUMBER(MATCH(T537,Parameter!$I$27:$I$29,0))),1,0)</f>
        <v>1</v>
      </c>
      <c r="CB537" s="53" t="n">
        <f aca="false">IF(CQ537&gt;0,INDEX(Parameter!$H$5:$H$7,W537)/INDEX(Parameter!$E$5:$E$7,W537),IF(AND(BZ537=0,N(IFERROR(VLOOKUP(BX537,'Gebinde-Kategorie'!$A$5:$N$45,14,0),0))&gt;0),VLOOKUP(BX537,'Gebinde-Kategorie'!$A$5:$N$45,14,0)*10+Parameter!$M$23,Parameter!$M$24))</f>
        <v>235</v>
      </c>
      <c r="CC537" s="48" t="str">
        <f aca="false">IF(AND(Parameter!$B$19="Ja",E537&lt;&gt;"",ISNUMBER(MATCH(E537,Parameter!$I$35:$I$52,0))),VLOOKUP(E537,Parameter!$I$35:$J$52,2,0),IFERROR(VLOOKUP(D537,Parameter!$A$35:$C$64,2,0),"Nein"))</f>
        <v>2+3</v>
      </c>
      <c r="CD537" s="52" t="n">
        <f aca="false">IF(BZ537=0,0,IF(N(S537)&gt;0,S537,IFERROR(VLOOKUP(D537,Parameter!$A$35:$C$64,3,0)+0,0)))</f>
        <v>0</v>
      </c>
      <c r="CE537" s="48" t="n">
        <f aca="false">IF(AA537&lt;&gt;"",AA537,Z537)</f>
        <v>2</v>
      </c>
      <c r="CF537" s="48" t="str">
        <f aca="false">IF(OR(CE537=1,CE537=2,CE537=3),IF(Parameter!$E$27="Ja","LIFT",IF(CE537=1,"L1","L23")),IF(CE537="Aussen","Aussen","-"))</f>
        <v>LIFT</v>
      </c>
      <c r="CG537" s="59" t="n">
        <f aca="false">IF(N(AB537)&gt;0,AB537,0)</f>
        <v>0</v>
      </c>
      <c r="CH537" s="53" t="n">
        <f aca="false">IF(ISNUMBER(AE537),1,0)</f>
        <v>0</v>
      </c>
      <c r="CI537" s="50" t="n">
        <f aca="false">N(AE537)</f>
        <v>0</v>
      </c>
      <c r="CJ537" s="50" t="n">
        <f aca="false">N(M537)+N(N537)</f>
        <v>5</v>
      </c>
      <c r="CK537" s="50" t="n">
        <f aca="false">N(M537)</f>
        <v>1</v>
      </c>
      <c r="CL537" s="50" t="n">
        <f aca="false">N(N537)</f>
        <v>4</v>
      </c>
      <c r="CM537" s="50" t="n">
        <f aca="false">ROUNDUP(H537/BY537,0)</f>
        <v>1</v>
      </c>
      <c r="CN537" s="50" t="n">
        <f aca="false">ROUNDUP(CI537/BY537,0)</f>
        <v>0</v>
      </c>
      <c r="CO537" s="53" t="n">
        <f aca="false">IF(BZ537=1,0,IFERROR(VLOOKUP(BX537,'Gebinde-Kategorie'!$A$5:$N$45,5,0)+0,0))</f>
        <v>20</v>
      </c>
      <c r="CP537" s="53" t="n">
        <f aca="false">IFERROR(IF(OR(CE537=1,CE537=2,CE537=3),N(INDEX(Parameter!$I$5:$I$7,CE537)),0),0)</f>
        <v>0</v>
      </c>
      <c r="CQ537" s="52" t="n">
        <f aca="false">IF(AND(Parameter!$B$21="Ja",ISNUMBER(W537),N(X537)&gt;0),IFERROR(N(INDEX(Parameter!$L$5:$L$7,W537))*INDEX(Parameter!$E$5:$E$7,W537)*X537/SUMIFS($X$7:$X$1843,$W$7:$W$1843,W537),0),0)</f>
        <v>0</v>
      </c>
    </row>
    <row r="538" customFormat="false" ht="15" hidden="false" customHeight="false" outlineLevel="0" collapsed="false">
      <c r="A538" s="48" t="s">
        <v>1165</v>
      </c>
      <c r="B538" s="48" t="s">
        <v>1166</v>
      </c>
      <c r="C538" s="48" t="s">
        <v>173</v>
      </c>
      <c r="D538" s="48" t="s">
        <v>193</v>
      </c>
      <c r="E538" s="48"/>
      <c r="F538" s="48" t="s">
        <v>227</v>
      </c>
      <c r="G538" s="49" t="n">
        <v>0.01</v>
      </c>
      <c r="H538" s="50" t="n">
        <f aca="false">MAX(0,IF(AND(Parameter!$B$21="Ja",ISNUMBER(Y538)),Y538,IF(Parameter!$B$20="Jahresanfang 2025 + Export",BR538+BQ538,BQ538)))</f>
        <v>2328</v>
      </c>
      <c r="I538" s="50" t="n">
        <f aca="false">H538*G538</f>
        <v>23.28</v>
      </c>
      <c r="J538" s="50" t="n">
        <f aca="false">BT538*Parameter!$B$18</f>
        <v>0</v>
      </c>
      <c r="K538" s="51" t="n">
        <v>0</v>
      </c>
      <c r="L538" s="52" t="n">
        <v>0</v>
      </c>
      <c r="M538" s="50" t="n">
        <v>10</v>
      </c>
      <c r="N538" s="50" t="n">
        <v>600</v>
      </c>
      <c r="O538" s="53" t="n">
        <v>10</v>
      </c>
      <c r="P538" s="48" t="s">
        <v>177</v>
      </c>
      <c r="Q538" s="50"/>
      <c r="R538" s="53" t="n">
        <f aca="false">IF(BZ538=1,0,IFERROR(VLOOKUP(BX538,'Gebinde-Kategorie'!$A$5:$N$45,13,0)+0,0))</f>
        <v>26</v>
      </c>
      <c r="S538" s="54"/>
      <c r="T538" s="55" t="s">
        <v>284</v>
      </c>
      <c r="U538" s="55"/>
      <c r="V538" s="55"/>
      <c r="W538" s="48"/>
      <c r="X538" s="50"/>
      <c r="Y538" s="50"/>
      <c r="Z538" s="48" t="n">
        <f aca="false">IF(A538="","",IF(AND(Parameter!$B$21="Ja",ISNUMBER(W538)),W538,IF(CC538="2+3",IF(ISNUMBER(SEARCH("grosser Artikel",BU538)),2,IFERROR(VLOOKUP(BX538,Parameter!$F$35:$G$64,2,0),2)),IF(OR(CC538="Nein",CC538=""),"-",CC538))))</f>
        <v>3</v>
      </c>
      <c r="AA538" s="55"/>
      <c r="AB538" s="56"/>
      <c r="AC538" s="50" t="n">
        <f aca="false">AV538</f>
        <v>610</v>
      </c>
      <c r="AD538" s="50" t="n">
        <f aca="false">MAX(AV538,H538)</f>
        <v>2328</v>
      </c>
      <c r="AE538" s="57"/>
      <c r="AF538" s="50" t="n">
        <f aca="false">IF(LEFT(Cockpit!$C$5,1)="A",H538,IF(Parameter!$E$30="MAX-Bestand",IF(CH538=1,CI538,IF(LEFT(Cockpit!$C$5,1)="B",AL538,MAX(AL538,H538))),ROUNDUP(AJ538,0)))</f>
        <v>2328</v>
      </c>
      <c r="AG538" s="50" t="n">
        <f aca="false">IF(BZ538=1,0,ROUNDUP(AF538/BY538,0))</f>
        <v>1</v>
      </c>
      <c r="AH538" s="52" t="n">
        <f aca="false">IF(CQ538&gt;0,CQ538*MAX(1,AF538/X538),IF(BZ538=1,IF(AF538&lt;=0,0,CD538*MAX(1,IF(H538&gt;0,AF538/H538,1))),IF(R538&gt;0,AG538/R538,0))/MAX(0.1,N(Parameter!$M$21)))</f>
        <v>0.0384615384615385</v>
      </c>
      <c r="AI538" s="50" t="n">
        <f aca="false">AH538*CB538</f>
        <v>5.96153846153846</v>
      </c>
      <c r="AJ538" s="51" t="n">
        <f aca="false">IF(LEFT(Cockpit!$C$5,1)="A",H538,IF(CH538=1,(CK538+CI538)/2,IF(LEFT(Cockpit!$C$5,1)="B",(CK538+AL538)/2,MAX((CK538+AL538)/2,H538))))</f>
        <v>2328</v>
      </c>
      <c r="AK538" s="50" t="n">
        <f aca="false">AJ538*G538</f>
        <v>23.28</v>
      </c>
      <c r="AL538" s="50" t="n">
        <f aca="false">ROUNDUP(CK538+MAX(CL538,2*(J538/IF(CG538&gt;0,CG538,MAX(0.1,N(Cockpit!$C$6)))-CK538)),0)</f>
        <v>610</v>
      </c>
      <c r="AM538" s="51" t="n">
        <f aca="false">IF(AI538&gt;0,J538/AI538,-1)</f>
        <v>0</v>
      </c>
      <c r="AN538" s="51" t="n">
        <f aca="false">IF(AND(OR(CF538="L1",CF538="L23",CF538="LIFT"),AI538&gt;0),SUMIFS($AI$7:$AI$1843,$CF$7:$CF$1843,CF538,$AM$7:$AM$1843,"&gt;"&amp;AM538)+SUMIFS($AI$7:$AI$1843,$CF$7:$CF$1843,CF538,$AM$7:$AM$1843,AM538,$BW$7:$BW$1843,"&lt;="&amp;BW538),"")</f>
        <v>28352.3875307837</v>
      </c>
      <c r="AO538" s="58" t="n">
        <f aca="false">IF(AN538="",0,MAX(0,MIN(1,(IF(CF538="L1",Parameter!$H$5,IF(CF538="L23",Parameter!$H$6+Parameter!$H$7,Parameter!$H$5+Parameter!$H$6+Parameter!$H$7))-(AN538-AI538))/AI538)))</f>
        <v>1</v>
      </c>
      <c r="AP538" s="50" t="n">
        <f aca="false">IF(LEFT(Cockpit!$I$5,1)="A",H538,IF(Parameter!$E$30="MAX-Bestand",IF(CH538=1,CI538,IF(LEFT(Cockpit!$I$5,1)="B",AV538,MAX(AV538,H538))),ROUNDUP(AT538,0)))</f>
        <v>2328</v>
      </c>
      <c r="AQ538" s="50" t="n">
        <f aca="false">IF(BZ538=1,0,ROUNDUP(AP538/BY538,0))</f>
        <v>1</v>
      </c>
      <c r="AR538" s="52" t="n">
        <f aca="false">IF(CQ538&gt;0,CQ538*MAX(1,AP538/X538),IF(BZ538=1,IF(AP538&lt;=0,0,CD538*MAX(1,IF(H538&gt;0,AP538/H538,1))),IF(R538&gt;0,AQ538/R538,0))/MAX(0.1,N(Parameter!$M$21)))</f>
        <v>0.0384615384615385</v>
      </c>
      <c r="AS538" s="50" t="n">
        <f aca="false">AR538*CB538</f>
        <v>5.96153846153846</v>
      </c>
      <c r="AT538" s="51" t="n">
        <f aca="false">IF(LEFT(Cockpit!$I$5,1)="A",H538,IF(CH538=1,(CK538+CI538)/2,IF(LEFT(Cockpit!$I$5,1)="B",(CK538+AV538)/2,MAX((CK538+AV538)/2,H538))))</f>
        <v>2328</v>
      </c>
      <c r="AU538" s="50" t="n">
        <f aca="false">AT538*G538</f>
        <v>23.28</v>
      </c>
      <c r="AV538" s="50" t="n">
        <f aca="false">ROUNDUP(CK538+MAX(CL538,2*(J538/IF(CG538&gt;0,CG538,MAX(0.1,N(Cockpit!$I$6)))-CK538)),0)</f>
        <v>610</v>
      </c>
      <c r="AW538" s="51" t="n">
        <f aca="false">IF(AS538&gt;0,J538/AS538,-1)</f>
        <v>0</v>
      </c>
      <c r="AX538" s="51" t="n">
        <f aca="false">IF(AND(OR(CF538="L1",CF538="L23",CF538="LIFT"),AS538&gt;0),SUMIFS($AS$7:$AS$1843,$CF$7:$CF$1843,CF538,$AW$7:$AW$1843,"&gt;"&amp;AW538)+SUMIFS($AS$7:$AS$1843,$CF$7:$CF$1843,CF538,$AW$7:$AW$1843,AW538,$BW$7:$BW$1843,"&lt;="&amp;BW538),"")</f>
        <v>33705.5361721612</v>
      </c>
      <c r="AY538" s="58" t="n">
        <f aca="false">IF(AX538="",0,MAX(0,MIN(1,(IF(CF538="L1",Parameter!$H$5,IF(CF538="L23",Parameter!$H$6+Parameter!$H$7,Parameter!$H$5+Parameter!$H$6+Parameter!$H$7))-(AX538-AS538))/AS538)))</f>
        <v>1</v>
      </c>
      <c r="AZ538" s="50" t="n">
        <f aca="false">IF(LEFT(Cockpit!$O$5,1)="A",H538,IF(Parameter!$E$30="MAX-Bestand",IF(CH538=1,CI538,IF(LEFT(Cockpit!$O$5,1)="B",BF538,MAX(BF538,H538))),ROUNDUP(BD538,0)))</f>
        <v>310</v>
      </c>
      <c r="BA538" s="50" t="n">
        <f aca="false">IF(BZ538=1,0,ROUNDUP(AZ538/BY538,0))</f>
        <v>1</v>
      </c>
      <c r="BB538" s="52" t="n">
        <f aca="false">IF(CQ538&gt;0,CQ538*MAX(1,AZ538/X538),IF(BZ538=1,IF(AZ538&lt;=0,0,CD538*MAX(1,IF(H538&gt;0,AZ538/H538,1))),IF(R538&gt;0,BA538/R538,0))/MAX(0.1,N(Parameter!$M$21)))</f>
        <v>0.0384615384615385</v>
      </c>
      <c r="BC538" s="50" t="n">
        <f aca="false">BB538*CB538</f>
        <v>5.96153846153846</v>
      </c>
      <c r="BD538" s="51" t="n">
        <f aca="false">IF(LEFT(Cockpit!$O$5,1)="A",H538,IF(CH538=1,(CK538+CI538)/2,IF(LEFT(Cockpit!$O$5,1)="B",(CK538+BF538)/2,MAX((CK538+BF538)/2,H538))))</f>
        <v>310</v>
      </c>
      <c r="BE538" s="50" t="n">
        <f aca="false">BD538*G538</f>
        <v>3.1</v>
      </c>
      <c r="BF538" s="50" t="n">
        <f aca="false">ROUNDUP(CK538+MAX(CL538,2*(J538/IF(CG538&gt;0,CG538,MAX(0.1,N(Cockpit!$O$6)))-CK538)),0)</f>
        <v>610</v>
      </c>
      <c r="BG538" s="51" t="n">
        <f aca="false">IF(BC538&gt;0,J538/BC538,-1)</f>
        <v>0</v>
      </c>
      <c r="BH538" s="51" t="n">
        <f aca="false">IF(AND(OR(CF538="L1",CF538="L23",CF538="LIFT"),BC538&gt;0),SUMIFS($BC$7:$BC$1843,$CF$7:$CF$1843,CF538,$BG$7:$BG$1843,"&gt;"&amp;BG538)+SUMIFS($BC$7:$BC$1843,$CF$7:$CF$1843,CF538,$BG$7:$BG$1843,BG538,$BW$7:$BW$1843,"&lt;="&amp;BW538),"")</f>
        <v>27783.972868939</v>
      </c>
      <c r="BI538" s="58" t="n">
        <f aca="false">IF(BH538="",0,MAX(0,MIN(1,(IF(CF538="L1",Parameter!$H$5,IF(CF538="L23",Parameter!$H$6+Parameter!$H$7,Parameter!$H$5+Parameter!$H$6+Parameter!$H$7))-(BH538-BC538))/BC538)))</f>
        <v>1</v>
      </c>
      <c r="BJ538" s="48" t="str">
        <f aca="false">IF(AI538&lt;=0,"",IF(CF538="Aussen","Aussenlager",IF(CF538="-","Nicht im Lift",IF(AO538&gt;=1,"Lift",IF(AO538&lt;=0,"Aussenlager","teilweise")))))</f>
        <v>Lift</v>
      </c>
      <c r="BK538" s="48" t="str">
        <f aca="false">IF(AS538&lt;=0,"",IF(CF538="Aussen","Aussenlager",IF(CF538="-","Nicht im Lift",IF(AY538&gt;=1,"Lift",IF(AY538&lt;=0,"Aussenlager","teilweise")))))</f>
        <v>Lift</v>
      </c>
      <c r="BL538" s="48" t="str">
        <f aca="false">IF(BC538&lt;=0,"",IF(CF538="Aussen","Aussenlager",IF(CF538="-","Nicht im Lift",IF(BI538&gt;=1,"Lift",IF(BI538&lt;=0,"Aussenlager","teilweise")))))</f>
        <v>Lift</v>
      </c>
      <c r="BM538" s="48" t="str">
        <f aca="false">IF(A538="","",IF(BV538=1,"Neu; ","")&amp;IF(AND(BV538=0,BQ538&lt;0),"negativer Bestand (Export "&amp;BQ538&amp;"); ","")&amp;IF(J538&lt;=0,"Kein Verbrauch; ","")&amp;IF(CQ538&gt;0,"Lift "&amp;W538&amp;" lt. Liftbericht (Fach "&amp;X538&amp;" Stk); ",IF(CA538=1,"Gebinde geschätzt ("&amp;T538&amp;"); ",IF(BZ538=1,"Lose – Tablare geschätzt; ","")))&amp;IF(H538&gt;AV538,"Überbestand "&amp;ROUND(H538-AV538,0)&amp;" Stk / CHF "&amp;ROUND((H538-AV538)*G538,0)&amp;"; ","")&amp;IF(AND(CH538=1,CI538&lt;CJ538),"MAX &lt; MB+LG; ","")&amp;IF(AND(CP538&gt;0,CO538*10&gt;CP538),"zu hoch für Tablar; ","")&amp;IF(AND(BV538=0,OR(CH538=1,AA538&lt;&gt;"",U538&lt;&gt;"",V538&lt;&gt;"",AB538&lt;&gt;"")),"manuell übersteuert; ","")&amp;IF(AND(BZ538=0,R538=0),"Gebinde unbekannt / Stellmass fehlt; ","")&amp;IF(AND(BZ538=0,N(V538)&lt;=0,N(Q538)&lt;=0),"Menge pro Gebinde fehlt (Ist = 1 Gebinde); ","")&amp;BU538)</f>
        <v>Kein Verbrauch; Gebinde geschätzt (Klein); Überbestand 1718 Stk / CHF 17; Menge pro Gebinde fehlt (Ist = 1 Gebinde); </v>
      </c>
      <c r="BN538" s="48"/>
      <c r="BO538" s="48"/>
      <c r="BP538" s="55"/>
      <c r="BQ538" s="50" t="n">
        <v>2328</v>
      </c>
      <c r="BR538" s="50" t="n">
        <v>0</v>
      </c>
      <c r="BS538" s="49" t="n">
        <v>23.2800000000001</v>
      </c>
      <c r="BT538" s="50" t="n">
        <v>0</v>
      </c>
      <c r="BU538" s="48"/>
      <c r="BV538" s="53" t="n">
        <v>0</v>
      </c>
      <c r="BW538" s="53" t="n">
        <v>538</v>
      </c>
      <c r="BX538" s="48" t="str">
        <f aca="false">IF(U538&lt;&gt;"",UPPER(TRIM(U538)),IF(CA538=1,UPPER(VLOOKUP(T538,Parameter!$I$27:$K$29,2,0)),IF(P538="","LOSE",P538)))</f>
        <v>S51</v>
      </c>
      <c r="BY538" s="50" t="n">
        <f aca="false">IF(BX538="LOSE",1,IF(N(V538)&gt;0,V538,IF(CA538=1,MAX(1,N(VLOOKUP(T538,Parameter!$I$27:$K$29,3,0)),H538,N(N538)),IF(N(Q538)&gt;0,Q538,MAX(1,H538)))))</f>
        <v>2328</v>
      </c>
      <c r="BZ538" s="53" t="n">
        <f aca="false">IF(BX538="LOSE",1,0)</f>
        <v>0</v>
      </c>
      <c r="CA538" s="53" t="n">
        <f aca="false">IF(AND(U538="",OR(P538="",P538="LOSE"),T538&lt;&gt;"",N(S538)&lt;=0,ISNUMBER(MATCH(T538,Parameter!$I$27:$I$29,0))),1,0)</f>
        <v>1</v>
      </c>
      <c r="CB538" s="53" t="n">
        <f aca="false">IF(CQ538&gt;0,INDEX(Parameter!$H$5:$H$7,W538)/INDEX(Parameter!$E$5:$E$7,W538),IF(AND(BZ538=0,N(IFERROR(VLOOKUP(BX538,'Gebinde-Kategorie'!$A$5:$N$45,14,0),0))&gt;0),VLOOKUP(BX538,'Gebinde-Kategorie'!$A$5:$N$45,14,0)*10+Parameter!$M$23,Parameter!$M$24))</f>
        <v>155</v>
      </c>
      <c r="CC538" s="48" t="str">
        <f aca="false">IF(AND(Parameter!$B$19="Ja",E538&lt;&gt;"",ISNUMBER(MATCH(E538,Parameter!$I$35:$I$52,0))),VLOOKUP(E538,Parameter!$I$35:$J$52,2,0),IFERROR(VLOOKUP(D538,Parameter!$A$35:$C$64,2,0),"Nein"))</f>
        <v>2+3</v>
      </c>
      <c r="CD538" s="52" t="n">
        <f aca="false">IF(BZ538=0,0,IF(N(S538)&gt;0,S538,IFERROR(VLOOKUP(D538,Parameter!$A$35:$C$64,3,0)+0,0)))</f>
        <v>0</v>
      </c>
      <c r="CE538" s="48" t="n">
        <f aca="false">IF(AA538&lt;&gt;"",AA538,Z538)</f>
        <v>3</v>
      </c>
      <c r="CF538" s="48" t="str">
        <f aca="false">IF(OR(CE538=1,CE538=2,CE538=3),IF(Parameter!$E$27="Ja","LIFT",IF(CE538=1,"L1","L23")),IF(CE538="Aussen","Aussen","-"))</f>
        <v>LIFT</v>
      </c>
      <c r="CG538" s="59" t="n">
        <f aca="false">IF(N(AB538)&gt;0,AB538,0)</f>
        <v>0</v>
      </c>
      <c r="CH538" s="53" t="n">
        <f aca="false">IF(ISNUMBER(AE538),1,0)</f>
        <v>0</v>
      </c>
      <c r="CI538" s="50" t="n">
        <f aca="false">N(AE538)</f>
        <v>0</v>
      </c>
      <c r="CJ538" s="50" t="n">
        <f aca="false">N(M538)+N(N538)</f>
        <v>610</v>
      </c>
      <c r="CK538" s="50" t="n">
        <f aca="false">N(M538)</f>
        <v>10</v>
      </c>
      <c r="CL538" s="50" t="n">
        <f aca="false">N(N538)</f>
        <v>600</v>
      </c>
      <c r="CM538" s="50" t="n">
        <f aca="false">ROUNDUP(H538/BY538,0)</f>
        <v>1</v>
      </c>
      <c r="CN538" s="50" t="n">
        <f aca="false">ROUNDUP(CI538/BY538,0)</f>
        <v>0</v>
      </c>
      <c r="CO538" s="53" t="n">
        <f aca="false">IF(BZ538=1,0,IFERROR(VLOOKUP(BX538,'Gebinde-Kategorie'!$A$5:$N$45,5,0)+0,0))</f>
        <v>11</v>
      </c>
      <c r="CP538" s="53" t="n">
        <f aca="false">IFERROR(IF(OR(CE538=1,CE538=2,CE538=3),N(INDEX(Parameter!$I$5:$I$7,CE538)),0),0)</f>
        <v>0</v>
      </c>
      <c r="CQ538" s="52" t="n">
        <f aca="false">IF(AND(Parameter!$B$21="Ja",ISNUMBER(W538),N(X538)&gt;0),IFERROR(N(INDEX(Parameter!$L$5:$L$7,W538))*INDEX(Parameter!$E$5:$E$7,W538)*X538/SUMIFS($X$7:$X$1843,$W$7:$W$1843,W538),0),0)</f>
        <v>0</v>
      </c>
    </row>
    <row r="539" customFormat="false" ht="15" hidden="false" customHeight="false" outlineLevel="0" collapsed="false">
      <c r="A539" s="48" t="s">
        <v>1167</v>
      </c>
      <c r="B539" s="48" t="s">
        <v>434</v>
      </c>
      <c r="C539" s="48" t="s">
        <v>173</v>
      </c>
      <c r="D539" s="48" t="s">
        <v>193</v>
      </c>
      <c r="E539" s="48"/>
      <c r="F539" s="48" t="s">
        <v>227</v>
      </c>
      <c r="G539" s="49" t="n">
        <v>20.6</v>
      </c>
      <c r="H539" s="50" t="n">
        <f aca="false">MAX(0,IF(AND(Parameter!$B$21="Ja",ISNUMBER(Y539)),Y539,IF(Parameter!$B$20="Jahresanfang 2025 + Export",BR539+BQ539,BQ539)))</f>
        <v>3</v>
      </c>
      <c r="I539" s="50" t="n">
        <f aca="false">H539*G539</f>
        <v>61.8</v>
      </c>
      <c r="J539" s="50" t="n">
        <f aca="false">BT539*Parameter!$B$18</f>
        <v>10</v>
      </c>
      <c r="K539" s="51" t="n">
        <v>2.5</v>
      </c>
      <c r="L539" s="52" t="n">
        <v>4</v>
      </c>
      <c r="M539" s="50" t="n">
        <v>1</v>
      </c>
      <c r="N539" s="50" t="n">
        <v>10</v>
      </c>
      <c r="O539" s="53" t="n">
        <v>40</v>
      </c>
      <c r="P539" s="48" t="s">
        <v>177</v>
      </c>
      <c r="Q539" s="50"/>
      <c r="R539" s="53" t="n">
        <f aca="false">IF(BZ539=1,0,IFERROR(VLOOKUP(BX539,'Gebinde-Kategorie'!$A$5:$N$45,13,0)+0,0))</f>
        <v>26</v>
      </c>
      <c r="S539" s="54"/>
      <c r="T539" s="55" t="s">
        <v>284</v>
      </c>
      <c r="U539" s="55"/>
      <c r="V539" s="55"/>
      <c r="W539" s="48"/>
      <c r="X539" s="50"/>
      <c r="Y539" s="50"/>
      <c r="Z539" s="48" t="n">
        <f aca="false">IF(A539="","",IF(AND(Parameter!$B$21="Ja",ISNUMBER(W539)),W539,IF(CC539="2+3",IF(ISNUMBER(SEARCH("grosser Artikel",BU539)),2,IFERROR(VLOOKUP(BX539,Parameter!$F$35:$G$64,2,0),2)),IF(OR(CC539="Nein",CC539=""),"-",CC539))))</f>
        <v>3</v>
      </c>
      <c r="AA539" s="55"/>
      <c r="AB539" s="56"/>
      <c r="AC539" s="50" t="n">
        <f aca="false">AV539</f>
        <v>11</v>
      </c>
      <c r="AD539" s="50" t="n">
        <f aca="false">MAX(AV539,H539)</f>
        <v>11</v>
      </c>
      <c r="AE539" s="57"/>
      <c r="AF539" s="50" t="n">
        <f aca="false">IF(LEFT(Cockpit!$C$5,1)="A",H539,IF(Parameter!$E$30="MAX-Bestand",IF(CH539=1,CI539,IF(LEFT(Cockpit!$C$5,1)="B",AL539,MAX(AL539,H539))),ROUNDUP(AJ539,0)))</f>
        <v>3</v>
      </c>
      <c r="AG539" s="50" t="n">
        <f aca="false">IF(BZ539=1,0,ROUNDUP(AF539/BY539,0))</f>
        <v>1</v>
      </c>
      <c r="AH539" s="52" t="n">
        <f aca="false">IF(CQ539&gt;0,CQ539*MAX(1,AF539/X539),IF(BZ539=1,IF(AF539&lt;=0,0,CD539*MAX(1,IF(H539&gt;0,AF539/H539,1))),IF(R539&gt;0,AG539/R539,0))/MAX(0.1,N(Parameter!$M$21)))</f>
        <v>0.0384615384615385</v>
      </c>
      <c r="AI539" s="50" t="n">
        <f aca="false">AH539*CB539</f>
        <v>5.96153846153846</v>
      </c>
      <c r="AJ539" s="51" t="n">
        <f aca="false">IF(LEFT(Cockpit!$C$5,1)="A",H539,IF(CH539=1,(CK539+CI539)/2,IF(LEFT(Cockpit!$C$5,1)="B",(CK539+AL539)/2,MAX((CK539+AL539)/2,H539))))</f>
        <v>3</v>
      </c>
      <c r="AK539" s="50" t="n">
        <f aca="false">AJ539*G539</f>
        <v>61.8</v>
      </c>
      <c r="AL539" s="50" t="n">
        <f aca="false">ROUNDUP(CK539+MAX(CL539,2*(J539/IF(CG539&gt;0,CG539,MAX(0.1,N(Cockpit!$C$6)))-CK539)),0)</f>
        <v>11</v>
      </c>
      <c r="AM539" s="51" t="n">
        <f aca="false">IF(AI539&gt;0,J539/AI539,-1)</f>
        <v>1.67741935483871</v>
      </c>
      <c r="AN539" s="51" t="n">
        <f aca="false">IF(AND(OR(CF539="L1",CF539="L23",CF539="LIFT"),AI539&gt;0),SUMIFS($AI$7:$AI$1843,$CF$7:$CF$1843,CF539,$AM$7:$AM$1843,"&gt;"&amp;AM539)+SUMIFS($AI$7:$AI$1843,$CF$7:$CF$1843,CF539,$AM$7:$AM$1843,AM539,$BW$7:$BW$1843,"&lt;="&amp;BW539),"")</f>
        <v>6054.83379120879</v>
      </c>
      <c r="AO539" s="58" t="n">
        <f aca="false">IF(AN539="",0,MAX(0,MIN(1,(IF(CF539="L1",Parameter!$H$5,IF(CF539="L23",Parameter!$H$6+Parameter!$H$7,Parameter!$H$5+Parameter!$H$6+Parameter!$H$7))-(AN539-AI539))/AI539)))</f>
        <v>1</v>
      </c>
      <c r="AP539" s="50" t="n">
        <f aca="false">IF(LEFT(Cockpit!$I$5,1)="A",H539,IF(Parameter!$E$30="MAX-Bestand",IF(CH539=1,CI539,IF(LEFT(Cockpit!$I$5,1)="B",AV539,MAX(AV539,H539))),ROUNDUP(AT539,0)))</f>
        <v>6</v>
      </c>
      <c r="AQ539" s="50" t="n">
        <f aca="false">IF(BZ539=1,0,ROUNDUP(AP539/BY539,0))</f>
        <v>1</v>
      </c>
      <c r="AR539" s="52" t="n">
        <f aca="false">IF(CQ539&gt;0,CQ539*MAX(1,AP539/X539),IF(BZ539=1,IF(AP539&lt;=0,0,CD539*MAX(1,IF(H539&gt;0,AP539/H539,1))),IF(R539&gt;0,AQ539/R539,0))/MAX(0.1,N(Parameter!$M$21)))</f>
        <v>0.0384615384615385</v>
      </c>
      <c r="AS539" s="50" t="n">
        <f aca="false">AR539*CB539</f>
        <v>5.96153846153846</v>
      </c>
      <c r="AT539" s="51" t="n">
        <f aca="false">IF(LEFT(Cockpit!$I$5,1)="A",H539,IF(CH539=1,(CK539+CI539)/2,IF(LEFT(Cockpit!$I$5,1)="B",(CK539+AV539)/2,MAX((CK539+AV539)/2,H539))))</f>
        <v>6</v>
      </c>
      <c r="AU539" s="50" t="n">
        <f aca="false">AT539*G539</f>
        <v>123.6</v>
      </c>
      <c r="AV539" s="50" t="n">
        <f aca="false">ROUNDUP(CK539+MAX(CL539,2*(J539/IF(CG539&gt;0,CG539,MAX(0.1,N(Cockpit!$I$6)))-CK539)),0)</f>
        <v>11</v>
      </c>
      <c r="AW539" s="51" t="n">
        <f aca="false">IF(AS539&gt;0,J539/AS539,-1)</f>
        <v>1.67741935483871</v>
      </c>
      <c r="AX539" s="51" t="n">
        <f aca="false">IF(AND(OR(CF539="L1",CF539="L23",CF539="LIFT"),AS539&gt;0),SUMIFS($AS$7:$AS$1843,$CF$7:$CF$1843,CF539,$AW$7:$AW$1843,"&gt;"&amp;AW539)+SUMIFS($AS$7:$AS$1843,$CF$7:$CF$1843,CF539,$AW$7:$AW$1843,AW539,$BW$7:$BW$1843,"&lt;="&amp;BW539),"")</f>
        <v>7482.79945054945</v>
      </c>
      <c r="AY539" s="58" t="n">
        <f aca="false">IF(AX539="",0,MAX(0,MIN(1,(IF(CF539="L1",Parameter!$H$5,IF(CF539="L23",Parameter!$H$6+Parameter!$H$7,Parameter!$H$5+Parameter!$H$6+Parameter!$H$7))-(AX539-AS539))/AS539)))</f>
        <v>1</v>
      </c>
      <c r="AZ539" s="50" t="n">
        <f aca="false">IF(LEFT(Cockpit!$O$5,1)="A",H539,IF(Parameter!$E$30="MAX-Bestand",IF(CH539=1,CI539,IF(LEFT(Cockpit!$O$5,1)="B",BF539,MAX(BF539,H539))),ROUNDUP(BD539,0)))</f>
        <v>6</v>
      </c>
      <c r="BA539" s="50" t="n">
        <f aca="false">IF(BZ539=1,0,ROUNDUP(AZ539/BY539,0))</f>
        <v>1</v>
      </c>
      <c r="BB539" s="52" t="n">
        <f aca="false">IF(CQ539&gt;0,CQ539*MAX(1,AZ539/X539),IF(BZ539=1,IF(AZ539&lt;=0,0,CD539*MAX(1,IF(H539&gt;0,AZ539/H539,1))),IF(R539&gt;0,BA539/R539,0))/MAX(0.1,N(Parameter!$M$21)))</f>
        <v>0.0384615384615385</v>
      </c>
      <c r="BC539" s="50" t="n">
        <f aca="false">BB539*CB539</f>
        <v>5.96153846153846</v>
      </c>
      <c r="BD539" s="51" t="n">
        <f aca="false">IF(LEFT(Cockpit!$O$5,1)="A",H539,IF(CH539=1,(CK539+CI539)/2,IF(LEFT(Cockpit!$O$5,1)="B",(CK539+BF539)/2,MAX((CK539+BF539)/2,H539))))</f>
        <v>6</v>
      </c>
      <c r="BE539" s="50" t="n">
        <f aca="false">BD539*G539</f>
        <v>123.6</v>
      </c>
      <c r="BF539" s="50" t="n">
        <f aca="false">ROUNDUP(CK539+MAX(CL539,2*(J539/IF(CG539&gt;0,CG539,MAX(0.1,N(Cockpit!$O$6)))-CK539)),0)</f>
        <v>11</v>
      </c>
      <c r="BG539" s="51" t="n">
        <f aca="false">IF(BC539&gt;0,J539/BC539,-1)</f>
        <v>1.67741935483871</v>
      </c>
      <c r="BH539" s="51" t="n">
        <f aca="false">IF(AND(OR(CF539="L1",CF539="L23",CF539="LIFT"),BC539&gt;0),SUMIFS($BC$7:$BC$1843,$CF$7:$CF$1843,CF539,$BG$7:$BG$1843,"&gt;"&amp;BG539)+SUMIFS($BC$7:$BC$1843,$CF$7:$CF$1843,CF539,$BG$7:$BG$1843,BG539,$BW$7:$BW$1843,"&lt;="&amp;BW539),"")</f>
        <v>6297.64331501832</v>
      </c>
      <c r="BI539" s="58" t="n">
        <f aca="false">IF(BH539="",0,MAX(0,MIN(1,(IF(CF539="L1",Parameter!$H$5,IF(CF539="L23",Parameter!$H$6+Parameter!$H$7,Parameter!$H$5+Parameter!$H$6+Parameter!$H$7))-(BH539-BC539))/BC539)))</f>
        <v>1</v>
      </c>
      <c r="BJ539" s="48" t="str">
        <f aca="false">IF(AI539&lt;=0,"",IF(CF539="Aussen","Aussenlager",IF(CF539="-","Nicht im Lift",IF(AO539&gt;=1,"Lift",IF(AO539&lt;=0,"Aussenlager","teilweise")))))</f>
        <v>Lift</v>
      </c>
      <c r="BK539" s="48" t="str">
        <f aca="false">IF(AS539&lt;=0,"",IF(CF539="Aussen","Aussenlager",IF(CF539="-","Nicht im Lift",IF(AY539&gt;=1,"Lift",IF(AY539&lt;=0,"Aussenlager","teilweise")))))</f>
        <v>Lift</v>
      </c>
      <c r="BL539" s="48" t="str">
        <f aca="false">IF(BC539&lt;=0,"",IF(CF539="Aussen","Aussenlager",IF(CF539="-","Nicht im Lift",IF(BI539&gt;=1,"Lift",IF(BI539&lt;=0,"Aussenlager","teilweise")))))</f>
        <v>Lift</v>
      </c>
      <c r="BM539" s="48" t="str">
        <f aca="false">IF(A539="","",IF(BV539=1,"Neu; ","")&amp;IF(AND(BV539=0,BQ539&lt;0),"negativer Bestand (Export "&amp;BQ539&amp;"); ","")&amp;IF(J539&lt;=0,"Kein Verbrauch; ","")&amp;IF(CQ539&gt;0,"Lift "&amp;W539&amp;" lt. Liftbericht (Fach "&amp;X539&amp;" Stk); ",IF(CA539=1,"Gebinde geschätzt ("&amp;T539&amp;"); ",IF(BZ539=1,"Lose – Tablare geschätzt; ","")))&amp;IF(H539&gt;AV539,"Überbestand "&amp;ROUND(H539-AV539,0)&amp;" Stk / CHF "&amp;ROUND((H539-AV539)*G539,0)&amp;"; ","")&amp;IF(AND(CH539=1,CI539&lt;CJ539),"MAX &lt; MB+LG; ","")&amp;IF(AND(CP539&gt;0,CO539*10&gt;CP539),"zu hoch für Tablar; ","")&amp;IF(AND(BV539=0,OR(CH539=1,AA539&lt;&gt;"",U539&lt;&gt;"",V539&lt;&gt;"",AB539&lt;&gt;"")),"manuell übersteuert; ","")&amp;IF(AND(BZ539=0,R539=0),"Gebinde unbekannt / Stellmass fehlt; ","")&amp;IF(AND(BZ539=0,N(V539)&lt;=0,N(Q539)&lt;=0),"Menge pro Gebinde fehlt (Ist = 1 Gebinde); ","")&amp;BU539)</f>
        <v>Gebinde geschätzt (Klein); Menge pro Gebinde fehlt (Ist = 1 Gebinde); </v>
      </c>
      <c r="BN539" s="48"/>
      <c r="BO539" s="48"/>
      <c r="BP539" s="55"/>
      <c r="BQ539" s="50" t="n">
        <v>1</v>
      </c>
      <c r="BR539" s="50" t="n">
        <v>2</v>
      </c>
      <c r="BS539" s="49" t="n">
        <v>22.6</v>
      </c>
      <c r="BT539" s="50" t="n">
        <v>10</v>
      </c>
      <c r="BU539" s="48"/>
      <c r="BV539" s="53" t="n">
        <v>0</v>
      </c>
      <c r="BW539" s="53" t="n">
        <v>539</v>
      </c>
      <c r="BX539" s="48" t="str">
        <f aca="false">IF(U539&lt;&gt;"",UPPER(TRIM(U539)),IF(CA539=1,UPPER(VLOOKUP(T539,Parameter!$I$27:$K$29,2,0)),IF(P539="","LOSE",P539)))</f>
        <v>S51</v>
      </c>
      <c r="BY539" s="50" t="n">
        <f aca="false">IF(BX539="LOSE",1,IF(N(V539)&gt;0,V539,IF(CA539=1,MAX(1,N(VLOOKUP(T539,Parameter!$I$27:$K$29,3,0)),H539,N(N539)),IF(N(Q539)&gt;0,Q539,MAX(1,H539)))))</f>
        <v>20</v>
      </c>
      <c r="BZ539" s="53" t="n">
        <f aca="false">IF(BX539="LOSE",1,0)</f>
        <v>0</v>
      </c>
      <c r="CA539" s="53" t="n">
        <f aca="false">IF(AND(U539="",OR(P539="",P539="LOSE"),T539&lt;&gt;"",N(S539)&lt;=0,ISNUMBER(MATCH(T539,Parameter!$I$27:$I$29,0))),1,0)</f>
        <v>1</v>
      </c>
      <c r="CB539" s="53" t="n">
        <f aca="false">IF(CQ539&gt;0,INDEX(Parameter!$H$5:$H$7,W539)/INDEX(Parameter!$E$5:$E$7,W539),IF(AND(BZ539=0,N(IFERROR(VLOOKUP(BX539,'Gebinde-Kategorie'!$A$5:$N$45,14,0),0))&gt;0),VLOOKUP(BX539,'Gebinde-Kategorie'!$A$5:$N$45,14,0)*10+Parameter!$M$23,Parameter!$M$24))</f>
        <v>155</v>
      </c>
      <c r="CC539" s="48" t="str">
        <f aca="false">IF(AND(Parameter!$B$19="Ja",E539&lt;&gt;"",ISNUMBER(MATCH(E539,Parameter!$I$35:$I$52,0))),VLOOKUP(E539,Parameter!$I$35:$J$52,2,0),IFERROR(VLOOKUP(D539,Parameter!$A$35:$C$64,2,0),"Nein"))</f>
        <v>2+3</v>
      </c>
      <c r="CD539" s="52" t="n">
        <f aca="false">IF(BZ539=0,0,IF(N(S539)&gt;0,S539,IFERROR(VLOOKUP(D539,Parameter!$A$35:$C$64,3,0)+0,0)))</f>
        <v>0</v>
      </c>
      <c r="CE539" s="48" t="n">
        <f aca="false">IF(AA539&lt;&gt;"",AA539,Z539)</f>
        <v>3</v>
      </c>
      <c r="CF539" s="48" t="str">
        <f aca="false">IF(OR(CE539=1,CE539=2,CE539=3),IF(Parameter!$E$27="Ja","LIFT",IF(CE539=1,"L1","L23")),IF(CE539="Aussen","Aussen","-"))</f>
        <v>LIFT</v>
      </c>
      <c r="CG539" s="59" t="n">
        <f aca="false">IF(N(AB539)&gt;0,AB539,0)</f>
        <v>0</v>
      </c>
      <c r="CH539" s="53" t="n">
        <f aca="false">IF(ISNUMBER(AE539),1,0)</f>
        <v>0</v>
      </c>
      <c r="CI539" s="50" t="n">
        <f aca="false">N(AE539)</f>
        <v>0</v>
      </c>
      <c r="CJ539" s="50" t="n">
        <f aca="false">N(M539)+N(N539)</f>
        <v>11</v>
      </c>
      <c r="CK539" s="50" t="n">
        <f aca="false">N(M539)</f>
        <v>1</v>
      </c>
      <c r="CL539" s="50" t="n">
        <f aca="false">N(N539)</f>
        <v>10</v>
      </c>
      <c r="CM539" s="50" t="n">
        <f aca="false">ROUNDUP(H539/BY539,0)</f>
        <v>1</v>
      </c>
      <c r="CN539" s="50" t="n">
        <f aca="false">ROUNDUP(CI539/BY539,0)</f>
        <v>0</v>
      </c>
      <c r="CO539" s="53" t="n">
        <f aca="false">IF(BZ539=1,0,IFERROR(VLOOKUP(BX539,'Gebinde-Kategorie'!$A$5:$N$45,5,0)+0,0))</f>
        <v>11</v>
      </c>
      <c r="CP539" s="53" t="n">
        <f aca="false">IFERROR(IF(OR(CE539=1,CE539=2,CE539=3),N(INDEX(Parameter!$I$5:$I$7,CE539)),0),0)</f>
        <v>0</v>
      </c>
      <c r="CQ539" s="52" t="n">
        <f aca="false">IF(AND(Parameter!$B$21="Ja",ISNUMBER(W539),N(X539)&gt;0),IFERROR(N(INDEX(Parameter!$L$5:$L$7,W539))*INDEX(Parameter!$E$5:$E$7,W539)*X539/SUMIFS($X$7:$X$1843,$W$7:$W$1843,W539),0),0)</f>
        <v>0</v>
      </c>
    </row>
    <row r="540" customFormat="false" ht="15" hidden="false" customHeight="false" outlineLevel="0" collapsed="false">
      <c r="A540" s="48" t="s">
        <v>1168</v>
      </c>
      <c r="B540" s="48" t="s">
        <v>1169</v>
      </c>
      <c r="C540" s="48" t="s">
        <v>173</v>
      </c>
      <c r="D540" s="48" t="s">
        <v>193</v>
      </c>
      <c r="E540" s="48"/>
      <c r="F540" s="48" t="s">
        <v>227</v>
      </c>
      <c r="G540" s="49" t="n">
        <v>8.77</v>
      </c>
      <c r="H540" s="50" t="n">
        <f aca="false">MAX(0,IF(AND(Parameter!$B$21="Ja",ISNUMBER(Y540)),Y540,IF(Parameter!$B$20="Jahresanfang 2025 + Export",BR540+BQ540,BQ540)))</f>
        <v>11</v>
      </c>
      <c r="I540" s="50" t="n">
        <f aca="false">H540*G540</f>
        <v>96.47</v>
      </c>
      <c r="J540" s="50" t="n">
        <f aca="false">BT540*Parameter!$B$18</f>
        <v>5</v>
      </c>
      <c r="K540" s="51" t="n">
        <v>4</v>
      </c>
      <c r="L540" s="52" t="n">
        <v>1.25</v>
      </c>
      <c r="M540" s="50" t="n">
        <v>0</v>
      </c>
      <c r="N540" s="50" t="n">
        <v>5</v>
      </c>
      <c r="O540" s="53" t="n">
        <v>14</v>
      </c>
      <c r="P540" s="48" t="s">
        <v>435</v>
      </c>
      <c r="Q540" s="50" t="n">
        <v>13</v>
      </c>
      <c r="R540" s="53" t="n">
        <f aca="false">IF(BZ540=1,0,IFERROR(VLOOKUP(BX540,'Gebinde-Kategorie'!$A$5:$N$45,13,0)+0,0))</f>
        <v>140</v>
      </c>
      <c r="S540" s="54"/>
      <c r="T540" s="55"/>
      <c r="U540" s="55"/>
      <c r="V540" s="55"/>
      <c r="W540" s="48"/>
      <c r="X540" s="50"/>
      <c r="Y540" s="50"/>
      <c r="Z540" s="48" t="n">
        <f aca="false">IF(A540="","",IF(AND(Parameter!$B$21="Ja",ISNUMBER(W540)),W540,IF(CC540="2+3",IF(ISNUMBER(SEARCH("grosser Artikel",BU540)),2,IFERROR(VLOOKUP(BX540,Parameter!$F$35:$G$64,2,0),2)),IF(OR(CC540="Nein",CC540=""),"-",CC540))))</f>
        <v>3</v>
      </c>
      <c r="AA540" s="55"/>
      <c r="AB540" s="56"/>
      <c r="AC540" s="50" t="n">
        <f aca="false">AV540</f>
        <v>5</v>
      </c>
      <c r="AD540" s="50" t="n">
        <f aca="false">MAX(AV540,H540)</f>
        <v>11</v>
      </c>
      <c r="AE540" s="57"/>
      <c r="AF540" s="50" t="n">
        <f aca="false">IF(LEFT(Cockpit!$C$5,1)="A",H540,IF(Parameter!$E$30="MAX-Bestand",IF(CH540=1,CI540,IF(LEFT(Cockpit!$C$5,1)="B",AL540,MAX(AL540,H540))),ROUNDUP(AJ540,0)))</f>
        <v>11</v>
      </c>
      <c r="AG540" s="50" t="n">
        <f aca="false">IF(BZ540=1,0,ROUNDUP(AF540/BY540,0))</f>
        <v>1</v>
      </c>
      <c r="AH540" s="52" t="n">
        <f aca="false">IF(CQ540&gt;0,CQ540*MAX(1,AF540/X540),IF(BZ540=1,IF(AF540&lt;=0,0,CD540*MAX(1,IF(H540&gt;0,AF540/H540,1))),IF(R540&gt;0,AG540/R540,0))/MAX(0.1,N(Parameter!$M$21)))</f>
        <v>0.00714285714285714</v>
      </c>
      <c r="AI540" s="50" t="n">
        <f aca="false">AH540*CB540</f>
        <v>1.10714285714286</v>
      </c>
      <c r="AJ540" s="51" t="n">
        <f aca="false">IF(LEFT(Cockpit!$C$5,1)="A",H540,IF(CH540=1,(CK540+CI540)/2,IF(LEFT(Cockpit!$C$5,1)="B",(CK540+AL540)/2,MAX((CK540+AL540)/2,H540))))</f>
        <v>11</v>
      </c>
      <c r="AK540" s="50" t="n">
        <f aca="false">AJ540*G540</f>
        <v>96.47</v>
      </c>
      <c r="AL540" s="50" t="n">
        <f aca="false">ROUNDUP(CK540+MAX(CL540,2*(J540/IF(CG540&gt;0,CG540,MAX(0.1,N(Cockpit!$C$6)))-CK540)),0)</f>
        <v>5</v>
      </c>
      <c r="AM540" s="51" t="n">
        <f aca="false">IF(AI540&gt;0,J540/AI540,-1)</f>
        <v>4.51612903225806</v>
      </c>
      <c r="AN540" s="51" t="n">
        <f aca="false">IF(AND(OR(CF540="L1",CF540="L23",CF540="LIFT"),AI540&gt;0),SUMIFS($AI$7:$AI$1843,$CF$7:$CF$1843,CF540,$AM$7:$AM$1843,"&gt;"&amp;AM540)+SUMIFS($AI$7:$AI$1843,$CF$7:$CF$1843,CF540,$AM$7:$AM$1843,AM540,$BW$7:$BW$1843,"&lt;="&amp;BW540),"")</f>
        <v>4148.88141025641</v>
      </c>
      <c r="AO540" s="58" t="n">
        <f aca="false">IF(AN540="",0,MAX(0,MIN(1,(IF(CF540="L1",Parameter!$H$5,IF(CF540="L23",Parameter!$H$6+Parameter!$H$7,Parameter!$H$5+Parameter!$H$6+Parameter!$H$7))-(AN540-AI540))/AI540)))</f>
        <v>1</v>
      </c>
      <c r="AP540" s="50" t="n">
        <f aca="false">IF(LEFT(Cockpit!$I$5,1)="A",H540,IF(Parameter!$E$30="MAX-Bestand",IF(CH540=1,CI540,IF(LEFT(Cockpit!$I$5,1)="B",AV540,MAX(AV540,H540))),ROUNDUP(AT540,0)))</f>
        <v>11</v>
      </c>
      <c r="AQ540" s="50" t="n">
        <f aca="false">IF(BZ540=1,0,ROUNDUP(AP540/BY540,0))</f>
        <v>1</v>
      </c>
      <c r="AR540" s="52" t="n">
        <f aca="false">IF(CQ540&gt;0,CQ540*MAX(1,AP540/X540),IF(BZ540=1,IF(AP540&lt;=0,0,CD540*MAX(1,IF(H540&gt;0,AP540/H540,1))),IF(R540&gt;0,AQ540/R540,0))/MAX(0.1,N(Parameter!$M$21)))</f>
        <v>0.00714285714285714</v>
      </c>
      <c r="AS540" s="50" t="n">
        <f aca="false">AR540*CB540</f>
        <v>1.10714285714286</v>
      </c>
      <c r="AT540" s="51" t="n">
        <f aca="false">IF(LEFT(Cockpit!$I$5,1)="A",H540,IF(CH540=1,(CK540+CI540)/2,IF(LEFT(Cockpit!$I$5,1)="B",(CK540+AV540)/2,MAX((CK540+AV540)/2,H540))))</f>
        <v>11</v>
      </c>
      <c r="AU540" s="50" t="n">
        <f aca="false">AT540*G540</f>
        <v>96.47</v>
      </c>
      <c r="AV540" s="50" t="n">
        <f aca="false">ROUNDUP(CK540+MAX(CL540,2*(J540/IF(CG540&gt;0,CG540,MAX(0.1,N(Cockpit!$I$6)))-CK540)),0)</f>
        <v>5</v>
      </c>
      <c r="AW540" s="51" t="n">
        <f aca="false">IF(AS540&gt;0,J540/AS540,-1)</f>
        <v>4.51612903225806</v>
      </c>
      <c r="AX540" s="51" t="n">
        <f aca="false">IF(AND(OR(CF540="L1",CF540="L23",CF540="LIFT"),AS540&gt;0),SUMIFS($AS$7:$AS$1843,$CF$7:$CF$1843,CF540,$AW$7:$AW$1843,"&gt;"&amp;AW540)+SUMIFS($AS$7:$AS$1843,$CF$7:$CF$1843,CF540,$AW$7:$AW$1843,AW540,$BW$7:$BW$1843,"&lt;="&amp;BW540),"")</f>
        <v>4745.12225274725</v>
      </c>
      <c r="AY540" s="58" t="n">
        <f aca="false">IF(AX540="",0,MAX(0,MIN(1,(IF(CF540="L1",Parameter!$H$5,IF(CF540="L23",Parameter!$H$6+Parameter!$H$7,Parameter!$H$5+Parameter!$H$6+Parameter!$H$7))-(AX540-AS540))/AS540)))</f>
        <v>1</v>
      </c>
      <c r="AZ540" s="50" t="n">
        <f aca="false">IF(LEFT(Cockpit!$O$5,1)="A",H540,IF(Parameter!$E$30="MAX-Bestand",IF(CH540=1,CI540,IF(LEFT(Cockpit!$O$5,1)="B",BF540,MAX(BF540,H540))),ROUNDUP(BD540,0)))</f>
        <v>3</v>
      </c>
      <c r="BA540" s="50" t="n">
        <f aca="false">IF(BZ540=1,0,ROUNDUP(AZ540/BY540,0))</f>
        <v>1</v>
      </c>
      <c r="BB540" s="52" t="n">
        <f aca="false">IF(CQ540&gt;0,CQ540*MAX(1,AZ540/X540),IF(BZ540=1,IF(AZ540&lt;=0,0,CD540*MAX(1,IF(H540&gt;0,AZ540/H540,1))),IF(R540&gt;0,BA540/R540,0))/MAX(0.1,N(Parameter!$M$21)))</f>
        <v>0.00714285714285714</v>
      </c>
      <c r="BC540" s="50" t="n">
        <f aca="false">BB540*CB540</f>
        <v>1.10714285714286</v>
      </c>
      <c r="BD540" s="51" t="n">
        <f aca="false">IF(LEFT(Cockpit!$O$5,1)="A",H540,IF(CH540=1,(CK540+CI540)/2,IF(LEFT(Cockpit!$O$5,1)="B",(CK540+BF540)/2,MAX((CK540+BF540)/2,H540))))</f>
        <v>2.5</v>
      </c>
      <c r="BE540" s="50" t="n">
        <f aca="false">BD540*G540</f>
        <v>21.925</v>
      </c>
      <c r="BF540" s="50" t="n">
        <f aca="false">ROUNDUP(CK540+MAX(CL540,2*(J540/IF(CG540&gt;0,CG540,MAX(0.1,N(Cockpit!$O$6)))-CK540)),0)</f>
        <v>5</v>
      </c>
      <c r="BG540" s="51" t="n">
        <f aca="false">IF(BC540&gt;0,J540/BC540,-1)</f>
        <v>4.51612903225806</v>
      </c>
      <c r="BH540" s="51" t="n">
        <f aca="false">IF(AND(OR(CF540="L1",CF540="L23",CF540="LIFT"),BC540&gt;0),SUMIFS($BC$7:$BC$1843,$CF$7:$CF$1843,CF540,$BG$7:$BG$1843,"&gt;"&amp;BG540)+SUMIFS($BC$7:$BC$1843,$CF$7:$CF$1843,CF540,$BG$7:$BG$1843,BG540,$BW$7:$BW$1843,"&lt;="&amp;BW540),"")</f>
        <v>3912.9652014652</v>
      </c>
      <c r="BI540" s="58" t="n">
        <f aca="false">IF(BH540="",0,MAX(0,MIN(1,(IF(CF540="L1",Parameter!$H$5,IF(CF540="L23",Parameter!$H$6+Parameter!$H$7,Parameter!$H$5+Parameter!$H$6+Parameter!$H$7))-(BH540-BC540))/BC540)))</f>
        <v>1</v>
      </c>
      <c r="BJ540" s="48" t="str">
        <f aca="false">IF(AI540&lt;=0,"",IF(CF540="Aussen","Aussenlager",IF(CF540="-","Nicht im Lift",IF(AO540&gt;=1,"Lift",IF(AO540&lt;=0,"Aussenlager","teilweise")))))</f>
        <v>Lift</v>
      </c>
      <c r="BK540" s="48" t="str">
        <f aca="false">IF(AS540&lt;=0,"",IF(CF540="Aussen","Aussenlager",IF(CF540="-","Nicht im Lift",IF(AY540&gt;=1,"Lift",IF(AY540&lt;=0,"Aussenlager","teilweise")))))</f>
        <v>Lift</v>
      </c>
      <c r="BL540" s="48" t="str">
        <f aca="false">IF(BC540&lt;=0,"",IF(CF540="Aussen","Aussenlager",IF(CF540="-","Nicht im Lift",IF(BI540&gt;=1,"Lift",IF(BI540&lt;=0,"Aussenlager","teilweise")))))</f>
        <v>Lift</v>
      </c>
      <c r="BM540" s="48" t="str">
        <f aca="false">IF(A540="","",IF(BV540=1,"Neu; ","")&amp;IF(AND(BV540=0,BQ540&lt;0),"negativer Bestand (Export "&amp;BQ540&amp;"); ","")&amp;IF(J540&lt;=0,"Kein Verbrauch; ","")&amp;IF(CQ540&gt;0,"Lift "&amp;W540&amp;" lt. Liftbericht (Fach "&amp;X540&amp;" Stk); ",IF(CA540=1,"Gebinde geschätzt ("&amp;T540&amp;"); ",IF(BZ540=1,"Lose – Tablare geschätzt; ","")))&amp;IF(H540&gt;AV540,"Überbestand "&amp;ROUND(H540-AV540,0)&amp;" Stk / CHF "&amp;ROUND((H540-AV540)*G540,0)&amp;"; ","")&amp;IF(AND(CH540=1,CI540&lt;CJ540),"MAX &lt; MB+LG; ","")&amp;IF(AND(CP540&gt;0,CO540*10&gt;CP540),"zu hoch für Tablar; ","")&amp;IF(AND(BV540=0,OR(CH540=1,AA540&lt;&gt;"",U540&lt;&gt;"",V540&lt;&gt;"",AB540&lt;&gt;"")),"manuell übersteuert; ","")&amp;IF(AND(BZ540=0,R540=0),"Gebinde unbekannt / Stellmass fehlt; ","")&amp;IF(AND(BZ540=0,N(V540)&lt;=0,N(Q540)&lt;=0),"Menge pro Gebinde fehlt (Ist = 1 Gebinde); ","")&amp;BU540)</f>
        <v>Überbestand 6 Stk / CHF 53; </v>
      </c>
      <c r="BN540" s="48"/>
      <c r="BO540" s="48"/>
      <c r="BP540" s="55"/>
      <c r="BQ540" s="50" t="n">
        <v>5</v>
      </c>
      <c r="BR540" s="50" t="n">
        <v>6</v>
      </c>
      <c r="BS540" s="49" t="n">
        <v>22.13</v>
      </c>
      <c r="BT540" s="50" t="n">
        <v>5</v>
      </c>
      <c r="BU540" s="48"/>
      <c r="BV540" s="53" t="n">
        <v>0</v>
      </c>
      <c r="BW540" s="53" t="n">
        <v>540</v>
      </c>
      <c r="BX540" s="48" t="str">
        <f aca="false">IF(U540&lt;&gt;"",UPPER(TRIM(U540)),IF(CA540=1,UPPER(VLOOKUP(T540,Parameter!$I$27:$K$29,2,0)),IF(P540="","LOSE",P540)))</f>
        <v>S22</v>
      </c>
      <c r="BY540" s="50" t="n">
        <f aca="false">IF(BX540="LOSE",1,IF(N(V540)&gt;0,V540,IF(CA540=1,MAX(1,N(VLOOKUP(T540,Parameter!$I$27:$K$29,3,0)),H540,N(N540)),IF(N(Q540)&gt;0,Q540,MAX(1,H540)))))</f>
        <v>13</v>
      </c>
      <c r="BZ540" s="53" t="n">
        <f aca="false">IF(BX540="LOSE",1,0)</f>
        <v>0</v>
      </c>
      <c r="CA540" s="53" t="n">
        <f aca="false">IF(AND(U540="",OR(P540="",P540="LOSE"),T540&lt;&gt;"",N(S540)&lt;=0,ISNUMBER(MATCH(T540,Parameter!$I$27:$I$29,0))),1,0)</f>
        <v>0</v>
      </c>
      <c r="CB540" s="53" t="n">
        <f aca="false">IF(CQ540&gt;0,INDEX(Parameter!$H$5:$H$7,W540)/INDEX(Parameter!$E$5:$E$7,W540),IF(AND(BZ540=0,N(IFERROR(VLOOKUP(BX540,'Gebinde-Kategorie'!$A$5:$N$45,14,0),0))&gt;0),VLOOKUP(BX540,'Gebinde-Kategorie'!$A$5:$N$45,14,0)*10+Parameter!$M$23,Parameter!$M$24))</f>
        <v>155</v>
      </c>
      <c r="CC540" s="48" t="str">
        <f aca="false">IF(AND(Parameter!$B$19="Ja",E540&lt;&gt;"",ISNUMBER(MATCH(E540,Parameter!$I$35:$I$52,0))),VLOOKUP(E540,Parameter!$I$35:$J$52,2,0),IFERROR(VLOOKUP(D540,Parameter!$A$35:$C$64,2,0),"Nein"))</f>
        <v>2+3</v>
      </c>
      <c r="CD540" s="52" t="n">
        <f aca="false">IF(BZ540=0,0,IF(N(S540)&gt;0,S540,IFERROR(VLOOKUP(D540,Parameter!$A$35:$C$64,3,0)+0,0)))</f>
        <v>0</v>
      </c>
      <c r="CE540" s="48" t="n">
        <f aca="false">IF(AA540&lt;&gt;"",AA540,Z540)</f>
        <v>3</v>
      </c>
      <c r="CF540" s="48" t="str">
        <f aca="false">IF(OR(CE540=1,CE540=2,CE540=3),IF(Parameter!$E$27="Ja","LIFT",IF(CE540=1,"L1","L23")),IF(CE540="Aussen","Aussen","-"))</f>
        <v>LIFT</v>
      </c>
      <c r="CG540" s="59" t="n">
        <f aca="false">IF(N(AB540)&gt;0,AB540,0)</f>
        <v>0</v>
      </c>
      <c r="CH540" s="53" t="n">
        <f aca="false">IF(ISNUMBER(AE540),1,0)</f>
        <v>0</v>
      </c>
      <c r="CI540" s="50" t="n">
        <f aca="false">N(AE540)</f>
        <v>0</v>
      </c>
      <c r="CJ540" s="50" t="n">
        <f aca="false">N(M540)+N(N540)</f>
        <v>5</v>
      </c>
      <c r="CK540" s="50" t="n">
        <f aca="false">N(M540)</f>
        <v>0</v>
      </c>
      <c r="CL540" s="50" t="n">
        <f aca="false">N(N540)</f>
        <v>5</v>
      </c>
      <c r="CM540" s="50" t="n">
        <f aca="false">ROUNDUP(H540/BY540,0)</f>
        <v>1</v>
      </c>
      <c r="CN540" s="50" t="n">
        <f aca="false">ROUNDUP(CI540/BY540,0)</f>
        <v>0</v>
      </c>
      <c r="CO540" s="53" t="n">
        <f aca="false">IF(BZ540=1,0,IFERROR(VLOOKUP(BX540,'Gebinde-Kategorie'!$A$5:$N$45,5,0)+0,0))</f>
        <v>8</v>
      </c>
      <c r="CP540" s="53" t="n">
        <f aca="false">IFERROR(IF(OR(CE540=1,CE540=2,CE540=3),N(INDEX(Parameter!$I$5:$I$7,CE540)),0),0)</f>
        <v>0</v>
      </c>
      <c r="CQ540" s="52" t="n">
        <f aca="false">IF(AND(Parameter!$B$21="Ja",ISNUMBER(W540),N(X540)&gt;0),IFERROR(N(INDEX(Parameter!$L$5:$L$7,W540))*INDEX(Parameter!$E$5:$E$7,W540)*X540/SUMIFS($X$7:$X$1843,$W$7:$W$1843,W540),0),0)</f>
        <v>0</v>
      </c>
    </row>
    <row r="541" customFormat="false" ht="15" hidden="false" customHeight="false" outlineLevel="0" collapsed="false">
      <c r="A541" s="48" t="s">
        <v>1170</v>
      </c>
      <c r="B541" s="48" t="s">
        <v>1171</v>
      </c>
      <c r="C541" s="48" t="s">
        <v>176</v>
      </c>
      <c r="D541" s="48" t="s">
        <v>193</v>
      </c>
      <c r="E541" s="48" t="s">
        <v>194</v>
      </c>
      <c r="F541" s="48" t="s">
        <v>227</v>
      </c>
      <c r="G541" s="49" t="n">
        <v>7.21</v>
      </c>
      <c r="H541" s="50" t="n">
        <f aca="false">MAX(0,IF(AND(Parameter!$B$21="Ja",ISNUMBER(Y541)),Y541,IF(Parameter!$B$20="Jahresanfang 2025 + Export",BR541+BQ541,BQ541)))</f>
        <v>137</v>
      </c>
      <c r="I541" s="50" t="n">
        <f aca="false">H541*G541</f>
        <v>987.77</v>
      </c>
      <c r="J541" s="50" t="n">
        <f aca="false">BT541*Parameter!$B$18</f>
        <v>0</v>
      </c>
      <c r="K541" s="51" t="n">
        <v>135.5</v>
      </c>
      <c r="L541" s="52" t="n">
        <v>0</v>
      </c>
      <c r="M541" s="50" t="n">
        <v>0</v>
      </c>
      <c r="N541" s="50" t="n">
        <v>1</v>
      </c>
      <c r="O541" s="53" t="n">
        <v>56</v>
      </c>
      <c r="P541" s="48" t="s">
        <v>235</v>
      </c>
      <c r="Q541" s="50" t="n">
        <v>137</v>
      </c>
      <c r="R541" s="53" t="n">
        <f aca="false">IF(BZ541=1,0,IFERROR(VLOOKUP(BX541,'Gebinde-Kategorie'!$A$5:$N$45,13,0)+0,0))</f>
        <v>12</v>
      </c>
      <c r="S541" s="54"/>
      <c r="T541" s="55"/>
      <c r="U541" s="55"/>
      <c r="V541" s="55"/>
      <c r="W541" s="48"/>
      <c r="X541" s="50"/>
      <c r="Y541" s="50"/>
      <c r="Z541" s="48" t="n">
        <f aca="false">IF(A541="","",IF(AND(Parameter!$B$21="Ja",ISNUMBER(W541)),W541,IF(CC541="2+3",IF(ISNUMBER(SEARCH("grosser Artikel",BU541)),2,IFERROR(VLOOKUP(BX541,Parameter!$F$35:$G$64,2,0),2)),IF(OR(CC541="Nein",CC541=""),"-",CC541))))</f>
        <v>2</v>
      </c>
      <c r="AA541" s="55"/>
      <c r="AB541" s="56"/>
      <c r="AC541" s="50" t="n">
        <f aca="false">AV541</f>
        <v>1</v>
      </c>
      <c r="AD541" s="50" t="n">
        <f aca="false">MAX(AV541,H541)</f>
        <v>137</v>
      </c>
      <c r="AE541" s="57"/>
      <c r="AF541" s="50" t="n">
        <f aca="false">IF(LEFT(Cockpit!$C$5,1)="A",H541,IF(Parameter!$E$30="MAX-Bestand",IF(CH541=1,CI541,IF(LEFT(Cockpit!$C$5,1)="B",AL541,MAX(AL541,H541))),ROUNDUP(AJ541,0)))</f>
        <v>137</v>
      </c>
      <c r="AG541" s="50" t="n">
        <f aca="false">IF(BZ541=1,0,ROUNDUP(AF541/BY541,0))</f>
        <v>1</v>
      </c>
      <c r="AH541" s="52" t="n">
        <f aca="false">IF(CQ541&gt;0,CQ541*MAX(1,AF541/X541),IF(BZ541=1,IF(AF541&lt;=0,0,CD541*MAX(1,IF(H541&gt;0,AF541/H541,1))),IF(R541&gt;0,AG541/R541,0))/MAX(0.1,N(Parameter!$M$21)))</f>
        <v>0.0833333333333333</v>
      </c>
      <c r="AI541" s="50" t="n">
        <f aca="false">AH541*CB541</f>
        <v>28.75</v>
      </c>
      <c r="AJ541" s="51" t="n">
        <f aca="false">IF(LEFT(Cockpit!$C$5,1)="A",H541,IF(CH541=1,(CK541+CI541)/2,IF(LEFT(Cockpit!$C$5,1)="B",(CK541+AL541)/2,MAX((CK541+AL541)/2,H541))))</f>
        <v>137</v>
      </c>
      <c r="AK541" s="50" t="n">
        <f aca="false">AJ541*G541</f>
        <v>987.77</v>
      </c>
      <c r="AL541" s="50" t="n">
        <f aca="false">ROUNDUP(CK541+MAX(CL541,2*(J541/IF(CG541&gt;0,CG541,MAX(0.1,N(Cockpit!$C$6)))-CK541)),0)</f>
        <v>1</v>
      </c>
      <c r="AM541" s="51" t="n">
        <f aca="false">IF(AI541&gt;0,J541/AI541,-1)</f>
        <v>0</v>
      </c>
      <c r="AN541" s="51" t="n">
        <f aca="false">IF(AND(OR(CF541="L1",CF541="L23",CF541="LIFT"),AI541&gt;0),SUMIFS($AI$7:$AI$1843,$CF$7:$CF$1843,CF541,$AM$7:$AM$1843,"&gt;"&amp;AM541)+SUMIFS($AI$7:$AI$1843,$CF$7:$CF$1843,CF541,$AM$7:$AM$1843,AM541,$BW$7:$BW$1843,"&lt;="&amp;BW541),"")</f>
        <v>28381.1375307837</v>
      </c>
      <c r="AO541" s="58" t="n">
        <f aca="false">IF(AN541="",0,MAX(0,MIN(1,(IF(CF541="L1",Parameter!$H$5,IF(CF541="L23",Parameter!$H$6+Parameter!$H$7,Parameter!$H$5+Parameter!$H$6+Parameter!$H$7))-(AN541-AI541))/AI541)))</f>
        <v>1</v>
      </c>
      <c r="AP541" s="50" t="n">
        <f aca="false">IF(LEFT(Cockpit!$I$5,1)="A",H541,IF(Parameter!$E$30="MAX-Bestand",IF(CH541=1,CI541,IF(LEFT(Cockpit!$I$5,1)="B",AV541,MAX(AV541,H541))),ROUNDUP(AT541,0)))</f>
        <v>137</v>
      </c>
      <c r="AQ541" s="50" t="n">
        <f aca="false">IF(BZ541=1,0,ROUNDUP(AP541/BY541,0))</f>
        <v>1</v>
      </c>
      <c r="AR541" s="52" t="n">
        <f aca="false">IF(CQ541&gt;0,CQ541*MAX(1,AP541/X541),IF(BZ541=1,IF(AP541&lt;=0,0,CD541*MAX(1,IF(H541&gt;0,AP541/H541,1))),IF(R541&gt;0,AQ541/R541,0))/MAX(0.1,N(Parameter!$M$21)))</f>
        <v>0.0833333333333333</v>
      </c>
      <c r="AS541" s="50" t="n">
        <f aca="false">AR541*CB541</f>
        <v>28.75</v>
      </c>
      <c r="AT541" s="51" t="n">
        <f aca="false">IF(LEFT(Cockpit!$I$5,1)="A",H541,IF(CH541=1,(CK541+CI541)/2,IF(LEFT(Cockpit!$I$5,1)="B",(CK541+AV541)/2,MAX((CK541+AV541)/2,H541))))</f>
        <v>137</v>
      </c>
      <c r="AU541" s="50" t="n">
        <f aca="false">AT541*G541</f>
        <v>987.77</v>
      </c>
      <c r="AV541" s="50" t="n">
        <f aca="false">ROUNDUP(CK541+MAX(CL541,2*(J541/IF(CG541&gt;0,CG541,MAX(0.1,N(Cockpit!$I$6)))-CK541)),0)</f>
        <v>1</v>
      </c>
      <c r="AW541" s="51" t="n">
        <f aca="false">IF(AS541&gt;0,J541/AS541,-1)</f>
        <v>0</v>
      </c>
      <c r="AX541" s="51" t="n">
        <f aca="false">IF(AND(OR(CF541="L1",CF541="L23",CF541="LIFT"),AS541&gt;0),SUMIFS($AS$7:$AS$1843,$CF$7:$CF$1843,CF541,$AW$7:$AW$1843,"&gt;"&amp;AW541)+SUMIFS($AS$7:$AS$1843,$CF$7:$CF$1843,CF541,$AW$7:$AW$1843,AW541,$BW$7:$BW$1843,"&lt;="&amp;BW541),"")</f>
        <v>33734.2861721612</v>
      </c>
      <c r="AY541" s="58" t="n">
        <f aca="false">IF(AX541="",0,MAX(0,MIN(1,(IF(CF541="L1",Parameter!$H$5,IF(CF541="L23",Parameter!$H$6+Parameter!$H$7,Parameter!$H$5+Parameter!$H$6+Parameter!$H$7))-(AX541-AS541))/AS541)))</f>
        <v>1</v>
      </c>
      <c r="AZ541" s="50" t="n">
        <f aca="false">IF(LEFT(Cockpit!$O$5,1)="A",H541,IF(Parameter!$E$30="MAX-Bestand",IF(CH541=1,CI541,IF(LEFT(Cockpit!$O$5,1)="B",BF541,MAX(BF541,H541))),ROUNDUP(BD541,0)))</f>
        <v>1</v>
      </c>
      <c r="BA541" s="50" t="n">
        <f aca="false">IF(BZ541=1,0,ROUNDUP(AZ541/BY541,0))</f>
        <v>1</v>
      </c>
      <c r="BB541" s="52" t="n">
        <f aca="false">IF(CQ541&gt;0,CQ541*MAX(1,AZ541/X541),IF(BZ541=1,IF(AZ541&lt;=0,0,CD541*MAX(1,IF(H541&gt;0,AZ541/H541,1))),IF(R541&gt;0,BA541/R541,0))/MAX(0.1,N(Parameter!$M$21)))</f>
        <v>0.0833333333333333</v>
      </c>
      <c r="BC541" s="50" t="n">
        <f aca="false">BB541*CB541</f>
        <v>28.75</v>
      </c>
      <c r="BD541" s="51" t="n">
        <f aca="false">IF(LEFT(Cockpit!$O$5,1)="A",H541,IF(CH541=1,(CK541+CI541)/2,IF(LEFT(Cockpit!$O$5,1)="B",(CK541+BF541)/2,MAX((CK541+BF541)/2,H541))))</f>
        <v>0.5</v>
      </c>
      <c r="BE541" s="50" t="n">
        <f aca="false">BD541*G541</f>
        <v>3.605</v>
      </c>
      <c r="BF541" s="50" t="n">
        <f aca="false">ROUNDUP(CK541+MAX(CL541,2*(J541/IF(CG541&gt;0,CG541,MAX(0.1,N(Cockpit!$O$6)))-CK541)),0)</f>
        <v>1</v>
      </c>
      <c r="BG541" s="51" t="n">
        <f aca="false">IF(BC541&gt;0,J541/BC541,-1)</f>
        <v>0</v>
      </c>
      <c r="BH541" s="51" t="n">
        <f aca="false">IF(AND(OR(CF541="L1",CF541="L23",CF541="LIFT"),BC541&gt;0),SUMIFS($BC$7:$BC$1843,$CF$7:$CF$1843,CF541,$BG$7:$BG$1843,"&gt;"&amp;BG541)+SUMIFS($BC$7:$BC$1843,$CF$7:$CF$1843,CF541,$BG$7:$BG$1843,BG541,$BW$7:$BW$1843,"&lt;="&amp;BW541),"")</f>
        <v>27812.722868939</v>
      </c>
      <c r="BI541" s="58" t="n">
        <f aca="false">IF(BH541="",0,MAX(0,MIN(1,(IF(CF541="L1",Parameter!$H$5,IF(CF541="L23",Parameter!$H$6+Parameter!$H$7,Parameter!$H$5+Parameter!$H$6+Parameter!$H$7))-(BH541-BC541))/BC541)))</f>
        <v>1</v>
      </c>
      <c r="BJ541" s="48" t="str">
        <f aca="false">IF(AI541&lt;=0,"",IF(CF541="Aussen","Aussenlager",IF(CF541="-","Nicht im Lift",IF(AO541&gt;=1,"Lift",IF(AO541&lt;=0,"Aussenlager","teilweise")))))</f>
        <v>Lift</v>
      </c>
      <c r="BK541" s="48" t="str">
        <f aca="false">IF(AS541&lt;=0,"",IF(CF541="Aussen","Aussenlager",IF(CF541="-","Nicht im Lift",IF(AY541&gt;=1,"Lift",IF(AY541&lt;=0,"Aussenlager","teilweise")))))</f>
        <v>Lift</v>
      </c>
      <c r="BL541" s="48" t="str">
        <f aca="false">IF(BC541&lt;=0,"",IF(CF541="Aussen","Aussenlager",IF(CF541="-","Nicht im Lift",IF(BI541&gt;=1,"Lift",IF(BI541&lt;=0,"Aussenlager","teilweise")))))</f>
        <v>Lift</v>
      </c>
      <c r="BM541" s="48" t="str">
        <f aca="false">IF(A541="","",IF(BV541=1,"Neu; ","")&amp;IF(AND(BV541=0,BQ541&lt;0),"negativer Bestand (Export "&amp;BQ541&amp;"); ","")&amp;IF(J541&lt;=0,"Kein Verbrauch; ","")&amp;IF(CQ541&gt;0,"Lift "&amp;W541&amp;" lt. Liftbericht (Fach "&amp;X541&amp;" Stk); ",IF(CA541=1,"Gebinde geschätzt ("&amp;T541&amp;"); ",IF(BZ541=1,"Lose – Tablare geschätzt; ","")))&amp;IF(H541&gt;AV541,"Überbestand "&amp;ROUND(H541-AV541,0)&amp;" Stk / CHF "&amp;ROUND((H541-AV541)*G541,0)&amp;"; ","")&amp;IF(AND(CH541=1,CI541&lt;CJ541),"MAX &lt; MB+LG; ","")&amp;IF(AND(CP541&gt;0,CO541*10&gt;CP541),"zu hoch für Tablar; ","")&amp;IF(AND(BV541=0,OR(CH541=1,AA541&lt;&gt;"",U541&lt;&gt;"",V541&lt;&gt;"",AB541&lt;&gt;"")),"manuell übersteuert; ","")&amp;IF(AND(BZ541=0,R541=0),"Gebinde unbekannt / Stellmass fehlt; ","")&amp;IF(AND(BZ541=0,N(V541)&lt;=0,N(Q541)&lt;=0),"Menge pro Gebinde fehlt (Ist = 1 Gebinde); ","")&amp;BU541)</f>
        <v>Kein Verbrauch; Überbestand 136 Stk / CHF 981; </v>
      </c>
      <c r="BN541" s="48"/>
      <c r="BO541" s="48"/>
      <c r="BP541" s="55"/>
      <c r="BQ541" s="50" t="n">
        <v>3</v>
      </c>
      <c r="BR541" s="50" t="n">
        <v>134</v>
      </c>
      <c r="BS541" s="49" t="n">
        <v>21.63</v>
      </c>
      <c r="BT541" s="50" t="n">
        <v>0</v>
      </c>
      <c r="BU541" s="48"/>
      <c r="BV541" s="53" t="n">
        <v>0</v>
      </c>
      <c r="BW541" s="53" t="n">
        <v>541</v>
      </c>
      <c r="BX541" s="48" t="str">
        <f aca="false">IF(U541&lt;&gt;"",UPPER(TRIM(U541)),IF(CA541=1,UPPER(VLOOKUP(T541,Parameter!$I$27:$K$29,2,0)),IF(P541="","LOSE",P541)))</f>
        <v>S63</v>
      </c>
      <c r="BY541" s="50" t="n">
        <f aca="false">IF(BX541="LOSE",1,IF(N(V541)&gt;0,V541,IF(CA541=1,MAX(1,N(VLOOKUP(T541,Parameter!$I$27:$K$29,3,0)),H541,N(N541)),IF(N(Q541)&gt;0,Q541,MAX(1,H541)))))</f>
        <v>137</v>
      </c>
      <c r="BZ541" s="53" t="n">
        <f aca="false">IF(BX541="LOSE",1,0)</f>
        <v>0</v>
      </c>
      <c r="CA541" s="53" t="n">
        <f aca="false">IF(AND(U541="",OR(P541="",P541="LOSE"),T541&lt;&gt;"",N(S541)&lt;=0,ISNUMBER(MATCH(T541,Parameter!$I$27:$I$29,0))),1,0)</f>
        <v>0</v>
      </c>
      <c r="CB541" s="53" t="n">
        <f aca="false">IF(CQ541&gt;0,INDEX(Parameter!$H$5:$H$7,W541)/INDEX(Parameter!$E$5:$E$7,W541),IF(AND(BZ541=0,N(IFERROR(VLOOKUP(BX541,'Gebinde-Kategorie'!$A$5:$N$45,14,0),0))&gt;0),VLOOKUP(BX541,'Gebinde-Kategorie'!$A$5:$N$45,14,0)*10+Parameter!$M$23,Parameter!$M$24))</f>
        <v>345</v>
      </c>
      <c r="CC541" s="48" t="str">
        <f aca="false">IF(AND(Parameter!$B$19="Ja",E541&lt;&gt;"",ISNUMBER(MATCH(E541,Parameter!$I$35:$I$52,0))),VLOOKUP(E541,Parameter!$I$35:$J$52,2,0),IFERROR(VLOOKUP(D541,Parameter!$A$35:$C$64,2,0),"Nein"))</f>
        <v>2+3</v>
      </c>
      <c r="CD541" s="52" t="n">
        <f aca="false">IF(BZ541=0,0,IF(N(S541)&gt;0,S541,IFERROR(VLOOKUP(D541,Parameter!$A$35:$C$64,3,0)+0,0)))</f>
        <v>0</v>
      </c>
      <c r="CE541" s="48" t="n">
        <f aca="false">IF(AA541&lt;&gt;"",AA541,Z541)</f>
        <v>2</v>
      </c>
      <c r="CF541" s="48" t="str">
        <f aca="false">IF(OR(CE541=1,CE541=2,CE541=3),IF(Parameter!$E$27="Ja","LIFT",IF(CE541=1,"L1","L23")),IF(CE541="Aussen","Aussen","-"))</f>
        <v>LIFT</v>
      </c>
      <c r="CG541" s="59" t="n">
        <f aca="false">IF(N(AB541)&gt;0,AB541,0)</f>
        <v>0</v>
      </c>
      <c r="CH541" s="53" t="n">
        <f aca="false">IF(ISNUMBER(AE541),1,0)</f>
        <v>0</v>
      </c>
      <c r="CI541" s="50" t="n">
        <f aca="false">N(AE541)</f>
        <v>0</v>
      </c>
      <c r="CJ541" s="50" t="n">
        <f aca="false">N(M541)+N(N541)</f>
        <v>1</v>
      </c>
      <c r="CK541" s="50" t="n">
        <f aca="false">N(M541)</f>
        <v>0</v>
      </c>
      <c r="CL541" s="50" t="n">
        <f aca="false">N(N541)</f>
        <v>1</v>
      </c>
      <c r="CM541" s="50" t="n">
        <f aca="false">ROUNDUP(H541/BY541,0)</f>
        <v>1</v>
      </c>
      <c r="CN541" s="50" t="n">
        <f aca="false">ROUNDUP(CI541/BY541,0)</f>
        <v>0</v>
      </c>
      <c r="CO541" s="53" t="n">
        <f aca="false">IF(BZ541=1,0,IFERROR(VLOOKUP(BX541,'Gebinde-Kategorie'!$A$5:$N$45,5,0)+0,0))</f>
        <v>31</v>
      </c>
      <c r="CP541" s="53" t="n">
        <f aca="false">IFERROR(IF(OR(CE541=1,CE541=2,CE541=3),N(INDEX(Parameter!$I$5:$I$7,CE541)),0),0)</f>
        <v>0</v>
      </c>
      <c r="CQ541" s="52" t="n">
        <f aca="false">IF(AND(Parameter!$B$21="Ja",ISNUMBER(W541),N(X541)&gt;0),IFERROR(N(INDEX(Parameter!$L$5:$L$7,W541))*INDEX(Parameter!$E$5:$E$7,W541)*X541/SUMIFS($X$7:$X$1843,$W$7:$W$1843,W541),0),0)</f>
        <v>0</v>
      </c>
    </row>
    <row r="542" customFormat="false" ht="15" hidden="false" customHeight="false" outlineLevel="0" collapsed="false">
      <c r="A542" s="48" t="s">
        <v>1172</v>
      </c>
      <c r="B542" s="48" t="s">
        <v>607</v>
      </c>
      <c r="C542" s="48" t="s">
        <v>173</v>
      </c>
      <c r="D542" s="48" t="s">
        <v>193</v>
      </c>
      <c r="E542" s="48" t="s">
        <v>194</v>
      </c>
      <c r="F542" s="48" t="s">
        <v>227</v>
      </c>
      <c r="G542" s="49" t="n">
        <v>20.09</v>
      </c>
      <c r="H542" s="50" t="n">
        <f aca="false">MAX(0,IF(AND(Parameter!$B$21="Ja",ISNUMBER(Y542)),Y542,IF(Parameter!$B$20="Jahresanfang 2025 + Export",BR542+BQ542,BQ542)))</f>
        <v>102</v>
      </c>
      <c r="I542" s="50" t="n">
        <f aca="false">H542*G542</f>
        <v>2049.18</v>
      </c>
      <c r="J542" s="50" t="n">
        <f aca="false">BT542*Parameter!$B$18</f>
        <v>0</v>
      </c>
      <c r="K542" s="51" t="n">
        <v>101.5</v>
      </c>
      <c r="L542" s="52" t="n">
        <v>0</v>
      </c>
      <c r="M542" s="50" t="n">
        <v>0</v>
      </c>
      <c r="N542" s="50" t="n">
        <v>1</v>
      </c>
      <c r="O542" s="53" t="n">
        <v>28</v>
      </c>
      <c r="P542" s="48" t="s">
        <v>311</v>
      </c>
      <c r="Q542" s="50" t="n">
        <v>120</v>
      </c>
      <c r="R542" s="53" t="n">
        <f aca="false">IF(BZ542=1,0,IFERROR(VLOOKUP(BX542,'Gebinde-Kategorie'!$A$5:$N$45,13,0)+0,0))</f>
        <v>26</v>
      </c>
      <c r="S542" s="54"/>
      <c r="T542" s="55"/>
      <c r="U542" s="55"/>
      <c r="V542" s="55"/>
      <c r="W542" s="48"/>
      <c r="X542" s="50"/>
      <c r="Y542" s="50"/>
      <c r="Z542" s="48" t="n">
        <f aca="false">IF(A542="","",IF(AND(Parameter!$B$21="Ja",ISNUMBER(W542)),W542,IF(CC542="2+3",IF(ISNUMBER(SEARCH("grosser Artikel",BU542)),2,IFERROR(VLOOKUP(BX542,Parameter!$F$35:$G$64,2,0),2)),IF(OR(CC542="Nein",CC542=""),"-",CC542))))</f>
        <v>3</v>
      </c>
      <c r="AA542" s="55"/>
      <c r="AB542" s="56"/>
      <c r="AC542" s="50" t="n">
        <f aca="false">AV542</f>
        <v>1</v>
      </c>
      <c r="AD542" s="50" t="n">
        <f aca="false">MAX(AV542,H542)</f>
        <v>102</v>
      </c>
      <c r="AE542" s="57"/>
      <c r="AF542" s="50" t="n">
        <f aca="false">IF(LEFT(Cockpit!$C$5,1)="A",H542,IF(Parameter!$E$30="MAX-Bestand",IF(CH542=1,CI542,IF(LEFT(Cockpit!$C$5,1)="B",AL542,MAX(AL542,H542))),ROUNDUP(AJ542,0)))</f>
        <v>102</v>
      </c>
      <c r="AG542" s="50" t="n">
        <f aca="false">IF(BZ542=1,0,ROUNDUP(AF542/BY542,0))</f>
        <v>1</v>
      </c>
      <c r="AH542" s="52" t="n">
        <f aca="false">IF(CQ542&gt;0,CQ542*MAX(1,AF542/X542),IF(BZ542=1,IF(AF542&lt;=0,0,CD542*MAX(1,IF(H542&gt;0,AF542/H542,1))),IF(R542&gt;0,AG542/R542,0))/MAX(0.1,N(Parameter!$M$21)))</f>
        <v>0.0384615384615385</v>
      </c>
      <c r="AI542" s="50" t="n">
        <f aca="false">AH542*CB542</f>
        <v>5.96153846153846</v>
      </c>
      <c r="AJ542" s="51" t="n">
        <f aca="false">IF(LEFT(Cockpit!$C$5,1)="A",H542,IF(CH542=1,(CK542+CI542)/2,IF(LEFT(Cockpit!$C$5,1)="B",(CK542+AL542)/2,MAX((CK542+AL542)/2,H542))))</f>
        <v>102</v>
      </c>
      <c r="AK542" s="50" t="n">
        <f aca="false">AJ542*G542</f>
        <v>2049.18</v>
      </c>
      <c r="AL542" s="50" t="n">
        <f aca="false">ROUNDUP(CK542+MAX(CL542,2*(J542/IF(CG542&gt;0,CG542,MAX(0.1,N(Cockpit!$C$6)))-CK542)),0)</f>
        <v>1</v>
      </c>
      <c r="AM542" s="51" t="n">
        <f aca="false">IF(AI542&gt;0,J542/AI542,-1)</f>
        <v>0</v>
      </c>
      <c r="AN542" s="51" t="n">
        <f aca="false">IF(AND(OR(CF542="L1",CF542="L23",CF542="LIFT"),AI542&gt;0),SUMIFS($AI$7:$AI$1843,$CF$7:$CF$1843,CF542,$AM$7:$AM$1843,"&gt;"&amp;AM542)+SUMIFS($AI$7:$AI$1843,$CF$7:$CF$1843,CF542,$AM$7:$AM$1843,AM542,$BW$7:$BW$1843,"&lt;="&amp;BW542),"")</f>
        <v>28387.0990692453</v>
      </c>
      <c r="AO542" s="58" t="n">
        <f aca="false">IF(AN542="",0,MAX(0,MIN(1,(IF(CF542="L1",Parameter!$H$5,IF(CF542="L23",Parameter!$H$6+Parameter!$H$7,Parameter!$H$5+Parameter!$H$6+Parameter!$H$7))-(AN542-AI542))/AI542)))</f>
        <v>1</v>
      </c>
      <c r="AP542" s="50" t="n">
        <f aca="false">IF(LEFT(Cockpit!$I$5,1)="A",H542,IF(Parameter!$E$30="MAX-Bestand",IF(CH542=1,CI542,IF(LEFT(Cockpit!$I$5,1)="B",AV542,MAX(AV542,H542))),ROUNDUP(AT542,0)))</f>
        <v>102</v>
      </c>
      <c r="AQ542" s="50" t="n">
        <f aca="false">IF(BZ542=1,0,ROUNDUP(AP542/BY542,0))</f>
        <v>1</v>
      </c>
      <c r="AR542" s="52" t="n">
        <f aca="false">IF(CQ542&gt;0,CQ542*MAX(1,AP542/X542),IF(BZ542=1,IF(AP542&lt;=0,0,CD542*MAX(1,IF(H542&gt;0,AP542/H542,1))),IF(R542&gt;0,AQ542/R542,0))/MAX(0.1,N(Parameter!$M$21)))</f>
        <v>0.0384615384615385</v>
      </c>
      <c r="AS542" s="50" t="n">
        <f aca="false">AR542*CB542</f>
        <v>5.96153846153846</v>
      </c>
      <c r="AT542" s="51" t="n">
        <f aca="false">IF(LEFT(Cockpit!$I$5,1)="A",H542,IF(CH542=1,(CK542+CI542)/2,IF(LEFT(Cockpit!$I$5,1)="B",(CK542+AV542)/2,MAX((CK542+AV542)/2,H542))))</f>
        <v>102</v>
      </c>
      <c r="AU542" s="50" t="n">
        <f aca="false">AT542*G542</f>
        <v>2049.18</v>
      </c>
      <c r="AV542" s="50" t="n">
        <f aca="false">ROUNDUP(CK542+MAX(CL542,2*(J542/IF(CG542&gt;0,CG542,MAX(0.1,N(Cockpit!$I$6)))-CK542)),0)</f>
        <v>1</v>
      </c>
      <c r="AW542" s="51" t="n">
        <f aca="false">IF(AS542&gt;0,J542/AS542,-1)</f>
        <v>0</v>
      </c>
      <c r="AX542" s="51" t="n">
        <f aca="false">IF(AND(OR(CF542="L1",CF542="L23",CF542="LIFT"),AS542&gt;0),SUMIFS($AS$7:$AS$1843,$CF$7:$CF$1843,CF542,$AW$7:$AW$1843,"&gt;"&amp;AW542)+SUMIFS($AS$7:$AS$1843,$CF$7:$CF$1843,CF542,$AW$7:$AW$1843,AW542,$BW$7:$BW$1843,"&lt;="&amp;BW542),"")</f>
        <v>33740.2477106227</v>
      </c>
      <c r="AY542" s="58" t="n">
        <f aca="false">IF(AX542="",0,MAX(0,MIN(1,(IF(CF542="L1",Parameter!$H$5,IF(CF542="L23",Parameter!$H$6+Parameter!$H$7,Parameter!$H$5+Parameter!$H$6+Parameter!$H$7))-(AX542-AS542))/AS542)))</f>
        <v>1</v>
      </c>
      <c r="AZ542" s="50" t="n">
        <f aca="false">IF(LEFT(Cockpit!$O$5,1)="A",H542,IF(Parameter!$E$30="MAX-Bestand",IF(CH542=1,CI542,IF(LEFT(Cockpit!$O$5,1)="B",BF542,MAX(BF542,H542))),ROUNDUP(BD542,0)))</f>
        <v>1</v>
      </c>
      <c r="BA542" s="50" t="n">
        <f aca="false">IF(BZ542=1,0,ROUNDUP(AZ542/BY542,0))</f>
        <v>1</v>
      </c>
      <c r="BB542" s="52" t="n">
        <f aca="false">IF(CQ542&gt;0,CQ542*MAX(1,AZ542/X542),IF(BZ542=1,IF(AZ542&lt;=0,0,CD542*MAX(1,IF(H542&gt;0,AZ542/H542,1))),IF(R542&gt;0,BA542/R542,0))/MAX(0.1,N(Parameter!$M$21)))</f>
        <v>0.0384615384615385</v>
      </c>
      <c r="BC542" s="50" t="n">
        <f aca="false">BB542*CB542</f>
        <v>5.96153846153846</v>
      </c>
      <c r="BD542" s="51" t="n">
        <f aca="false">IF(LEFT(Cockpit!$O$5,1)="A",H542,IF(CH542=1,(CK542+CI542)/2,IF(LEFT(Cockpit!$O$5,1)="B",(CK542+BF542)/2,MAX((CK542+BF542)/2,H542))))</f>
        <v>0.5</v>
      </c>
      <c r="BE542" s="50" t="n">
        <f aca="false">BD542*G542</f>
        <v>10.045</v>
      </c>
      <c r="BF542" s="50" t="n">
        <f aca="false">ROUNDUP(CK542+MAX(CL542,2*(J542/IF(CG542&gt;0,CG542,MAX(0.1,N(Cockpit!$O$6)))-CK542)),0)</f>
        <v>1</v>
      </c>
      <c r="BG542" s="51" t="n">
        <f aca="false">IF(BC542&gt;0,J542/BC542,-1)</f>
        <v>0</v>
      </c>
      <c r="BH542" s="51" t="n">
        <f aca="false">IF(AND(OR(CF542="L1",CF542="L23",CF542="LIFT"),BC542&gt;0),SUMIFS($BC$7:$BC$1843,$CF$7:$CF$1843,CF542,$BG$7:$BG$1843,"&gt;"&amp;BG542)+SUMIFS($BC$7:$BC$1843,$CF$7:$CF$1843,CF542,$BG$7:$BG$1843,BG542,$BW$7:$BW$1843,"&lt;="&amp;BW542),"")</f>
        <v>27818.6844074005</v>
      </c>
      <c r="BI542" s="58" t="n">
        <f aca="false">IF(BH542="",0,MAX(0,MIN(1,(IF(CF542="L1",Parameter!$H$5,IF(CF542="L23",Parameter!$H$6+Parameter!$H$7,Parameter!$H$5+Parameter!$H$6+Parameter!$H$7))-(BH542-BC542))/BC542)))</f>
        <v>1</v>
      </c>
      <c r="BJ542" s="48" t="str">
        <f aca="false">IF(AI542&lt;=0,"",IF(CF542="Aussen","Aussenlager",IF(CF542="-","Nicht im Lift",IF(AO542&gt;=1,"Lift",IF(AO542&lt;=0,"Aussenlager","teilweise")))))</f>
        <v>Lift</v>
      </c>
      <c r="BK542" s="48" t="str">
        <f aca="false">IF(AS542&lt;=0,"",IF(CF542="Aussen","Aussenlager",IF(CF542="-","Nicht im Lift",IF(AY542&gt;=1,"Lift",IF(AY542&lt;=0,"Aussenlager","teilweise")))))</f>
        <v>Lift</v>
      </c>
      <c r="BL542" s="48" t="str">
        <f aca="false">IF(BC542&lt;=0,"",IF(CF542="Aussen","Aussenlager",IF(CF542="-","Nicht im Lift",IF(BI542&gt;=1,"Lift",IF(BI542&lt;=0,"Aussenlager","teilweise")))))</f>
        <v>Lift</v>
      </c>
      <c r="BM542" s="48" t="str">
        <f aca="false">IF(A542="","",IF(BV542=1,"Neu; ","")&amp;IF(AND(BV542=0,BQ542&lt;0),"negativer Bestand (Export "&amp;BQ542&amp;"); ","")&amp;IF(J542&lt;=0,"Kein Verbrauch; ","")&amp;IF(CQ542&gt;0,"Lift "&amp;W542&amp;" lt. Liftbericht (Fach "&amp;X542&amp;" Stk); ",IF(CA542=1,"Gebinde geschätzt ("&amp;T542&amp;"); ",IF(BZ542=1,"Lose – Tablare geschätzt; ","")))&amp;IF(H542&gt;AV542,"Überbestand "&amp;ROUND(H542-AV542,0)&amp;" Stk / CHF "&amp;ROUND((H542-AV542)*G542,0)&amp;"; ","")&amp;IF(AND(CH542=1,CI542&lt;CJ542),"MAX &lt; MB+LG; ","")&amp;IF(AND(CP542&gt;0,CO542*10&gt;CP542),"zu hoch für Tablar; ","")&amp;IF(AND(BV542=0,OR(CH542=1,AA542&lt;&gt;"",U542&lt;&gt;"",V542&lt;&gt;"",AB542&lt;&gt;"")),"manuell übersteuert; ","")&amp;IF(AND(BZ542=0,R542=0),"Gebinde unbekannt / Stellmass fehlt; ","")&amp;IF(AND(BZ542=0,N(V542)&lt;=0,N(Q542)&lt;=0),"Menge pro Gebinde fehlt (Ist = 1 Gebinde); ","")&amp;BU542)</f>
        <v>Kein Verbrauch; Überbestand 101 Stk / CHF 2029; Überbestand</v>
      </c>
      <c r="BN542" s="48"/>
      <c r="BO542" s="48"/>
      <c r="BP542" s="55"/>
      <c r="BQ542" s="50" t="n">
        <v>1</v>
      </c>
      <c r="BR542" s="50" t="n">
        <v>101</v>
      </c>
      <c r="BS542" s="49" t="n">
        <v>20.09</v>
      </c>
      <c r="BT542" s="50" t="n">
        <v>0</v>
      </c>
      <c r="BU542" s="48" t="s">
        <v>401</v>
      </c>
      <c r="BV542" s="53" t="n">
        <v>0</v>
      </c>
      <c r="BW542" s="53" t="n">
        <v>542</v>
      </c>
      <c r="BX542" s="48" t="str">
        <f aca="false">IF(U542&lt;&gt;"",UPPER(TRIM(U542)),IF(CA542=1,UPPER(VLOOKUP(T542,Parameter!$I$27:$K$29,2,0)),IF(P542="","LOSE",P542)))</f>
        <v>S51</v>
      </c>
      <c r="BY542" s="50" t="n">
        <f aca="false">IF(BX542="LOSE",1,IF(N(V542)&gt;0,V542,IF(CA542=1,MAX(1,N(VLOOKUP(T542,Parameter!$I$27:$K$29,3,0)),H542,N(N542)),IF(N(Q542)&gt;0,Q542,MAX(1,H542)))))</f>
        <v>120</v>
      </c>
      <c r="BZ542" s="53" t="n">
        <f aca="false">IF(BX542="LOSE",1,0)</f>
        <v>0</v>
      </c>
      <c r="CA542" s="53" t="n">
        <f aca="false">IF(AND(U542="",OR(P542="",P542="LOSE"),T542&lt;&gt;"",N(S542)&lt;=0,ISNUMBER(MATCH(T542,Parameter!$I$27:$I$29,0))),1,0)</f>
        <v>0</v>
      </c>
      <c r="CB542" s="53" t="n">
        <f aca="false">IF(CQ542&gt;0,INDEX(Parameter!$H$5:$H$7,W542)/INDEX(Parameter!$E$5:$E$7,W542),IF(AND(BZ542=0,N(IFERROR(VLOOKUP(BX542,'Gebinde-Kategorie'!$A$5:$N$45,14,0),0))&gt;0),VLOOKUP(BX542,'Gebinde-Kategorie'!$A$5:$N$45,14,0)*10+Parameter!$M$23,Parameter!$M$24))</f>
        <v>155</v>
      </c>
      <c r="CC542" s="48" t="str">
        <f aca="false">IF(AND(Parameter!$B$19="Ja",E542&lt;&gt;"",ISNUMBER(MATCH(E542,Parameter!$I$35:$I$52,0))),VLOOKUP(E542,Parameter!$I$35:$J$52,2,0),IFERROR(VLOOKUP(D542,Parameter!$A$35:$C$64,2,0),"Nein"))</f>
        <v>2+3</v>
      </c>
      <c r="CD542" s="52" t="n">
        <f aca="false">IF(BZ542=0,0,IF(N(S542)&gt;0,S542,IFERROR(VLOOKUP(D542,Parameter!$A$35:$C$64,3,0)+0,0)))</f>
        <v>0</v>
      </c>
      <c r="CE542" s="48" t="n">
        <f aca="false">IF(AA542&lt;&gt;"",AA542,Z542)</f>
        <v>3</v>
      </c>
      <c r="CF542" s="48" t="str">
        <f aca="false">IF(OR(CE542=1,CE542=2,CE542=3),IF(Parameter!$E$27="Ja","LIFT",IF(CE542=1,"L1","L23")),IF(CE542="Aussen","Aussen","-"))</f>
        <v>LIFT</v>
      </c>
      <c r="CG542" s="59" t="n">
        <f aca="false">IF(N(AB542)&gt;0,AB542,0)</f>
        <v>0</v>
      </c>
      <c r="CH542" s="53" t="n">
        <f aca="false">IF(ISNUMBER(AE542),1,0)</f>
        <v>0</v>
      </c>
      <c r="CI542" s="50" t="n">
        <f aca="false">N(AE542)</f>
        <v>0</v>
      </c>
      <c r="CJ542" s="50" t="n">
        <f aca="false">N(M542)+N(N542)</f>
        <v>1</v>
      </c>
      <c r="CK542" s="50" t="n">
        <f aca="false">N(M542)</f>
        <v>0</v>
      </c>
      <c r="CL542" s="50" t="n">
        <f aca="false">N(N542)</f>
        <v>1</v>
      </c>
      <c r="CM542" s="50" t="n">
        <f aca="false">ROUNDUP(H542/BY542,0)</f>
        <v>1</v>
      </c>
      <c r="CN542" s="50" t="n">
        <f aca="false">ROUNDUP(CI542/BY542,0)</f>
        <v>0</v>
      </c>
      <c r="CO542" s="53" t="n">
        <f aca="false">IF(BZ542=1,0,IFERROR(VLOOKUP(BX542,'Gebinde-Kategorie'!$A$5:$N$45,5,0)+0,0))</f>
        <v>11</v>
      </c>
      <c r="CP542" s="53" t="n">
        <f aca="false">IFERROR(IF(OR(CE542=1,CE542=2,CE542=3),N(INDEX(Parameter!$I$5:$I$7,CE542)),0),0)</f>
        <v>0</v>
      </c>
      <c r="CQ542" s="52" t="n">
        <f aca="false">IF(AND(Parameter!$B$21="Ja",ISNUMBER(W542),N(X542)&gt;0),IFERROR(N(INDEX(Parameter!$L$5:$L$7,W542))*INDEX(Parameter!$E$5:$E$7,W542)*X542/SUMIFS($X$7:$X$1843,$W$7:$W$1843,W542),0),0)</f>
        <v>0</v>
      </c>
    </row>
    <row r="543" customFormat="false" ht="15" hidden="false" customHeight="false" outlineLevel="0" collapsed="false">
      <c r="A543" s="48" t="s">
        <v>1173</v>
      </c>
      <c r="B543" s="48" t="s">
        <v>1174</v>
      </c>
      <c r="C543" s="48" t="s">
        <v>173</v>
      </c>
      <c r="D543" s="48" t="s">
        <v>193</v>
      </c>
      <c r="E543" s="48" t="s">
        <v>194</v>
      </c>
      <c r="F543" s="48" t="s">
        <v>227</v>
      </c>
      <c r="G543" s="49" t="n">
        <v>14.65</v>
      </c>
      <c r="H543" s="50" t="n">
        <f aca="false">MAX(0,IF(AND(Parameter!$B$21="Ja",ISNUMBER(Y543)),Y543,IF(Parameter!$B$20="Jahresanfang 2025 + Export",BR543+BQ543,BQ543)))</f>
        <v>7</v>
      </c>
      <c r="I543" s="50" t="n">
        <f aca="false">H543*G543</f>
        <v>102.55</v>
      </c>
      <c r="J543" s="50" t="n">
        <f aca="false">BT543*Parameter!$B$18</f>
        <v>6</v>
      </c>
      <c r="K543" s="51" t="n">
        <v>3.5</v>
      </c>
      <c r="L543" s="52" t="n">
        <v>1.71428571428571</v>
      </c>
      <c r="M543" s="50" t="n">
        <v>0</v>
      </c>
      <c r="N543" s="50" t="n">
        <v>5</v>
      </c>
      <c r="O543" s="53" t="n">
        <v>18</v>
      </c>
      <c r="P543" s="48" t="s">
        <v>485</v>
      </c>
      <c r="Q543" s="50" t="n">
        <v>4</v>
      </c>
      <c r="R543" s="53" t="n">
        <f aca="false">IF(BZ543=1,0,IFERROR(VLOOKUP(BX543,'Gebinde-Kategorie'!$A$5:$N$45,13,0)+0,0))</f>
        <v>52</v>
      </c>
      <c r="S543" s="54"/>
      <c r="T543" s="55"/>
      <c r="U543" s="55"/>
      <c r="V543" s="55"/>
      <c r="W543" s="48"/>
      <c r="X543" s="50"/>
      <c r="Y543" s="50"/>
      <c r="Z543" s="48" t="n">
        <f aca="false">IF(A543="","",IF(AND(Parameter!$B$21="Ja",ISNUMBER(W543)),W543,IF(CC543="2+3",IF(ISNUMBER(SEARCH("grosser Artikel",BU543)),2,IFERROR(VLOOKUP(BX543,Parameter!$F$35:$G$64,2,0),2)),IF(OR(CC543="Nein",CC543=""),"-",CC543))))</f>
        <v>3</v>
      </c>
      <c r="AA543" s="55"/>
      <c r="AB543" s="56"/>
      <c r="AC543" s="50" t="n">
        <f aca="false">AV543</f>
        <v>5</v>
      </c>
      <c r="AD543" s="50" t="n">
        <f aca="false">MAX(AV543,H543)</f>
        <v>7</v>
      </c>
      <c r="AE543" s="57"/>
      <c r="AF543" s="50" t="n">
        <f aca="false">IF(LEFT(Cockpit!$C$5,1)="A",H543,IF(Parameter!$E$30="MAX-Bestand",IF(CH543=1,CI543,IF(LEFT(Cockpit!$C$5,1)="B",AL543,MAX(AL543,H543))),ROUNDUP(AJ543,0)))</f>
        <v>7</v>
      </c>
      <c r="AG543" s="50" t="n">
        <f aca="false">IF(BZ543=1,0,ROUNDUP(AF543/BY543,0))</f>
        <v>2</v>
      </c>
      <c r="AH543" s="52" t="n">
        <f aca="false">IF(CQ543&gt;0,CQ543*MAX(1,AF543/X543),IF(BZ543=1,IF(AF543&lt;=0,0,CD543*MAX(1,IF(H543&gt;0,AF543/H543,1))),IF(R543&gt;0,AG543/R543,0))/MAX(0.1,N(Parameter!$M$21)))</f>
        <v>0.0384615384615385</v>
      </c>
      <c r="AI543" s="50" t="n">
        <f aca="false">AH543*CB543</f>
        <v>5.96153846153846</v>
      </c>
      <c r="AJ543" s="51" t="n">
        <f aca="false">IF(LEFT(Cockpit!$C$5,1)="A",H543,IF(CH543=1,(CK543+CI543)/2,IF(LEFT(Cockpit!$C$5,1)="B",(CK543+AL543)/2,MAX((CK543+AL543)/2,H543))))</f>
        <v>7</v>
      </c>
      <c r="AK543" s="50" t="n">
        <f aca="false">AJ543*G543</f>
        <v>102.55</v>
      </c>
      <c r="AL543" s="50" t="n">
        <f aca="false">ROUNDUP(CK543+MAX(CL543,2*(J543/IF(CG543&gt;0,CG543,MAX(0.1,N(Cockpit!$C$6)))-CK543)),0)</f>
        <v>5</v>
      </c>
      <c r="AM543" s="51" t="n">
        <f aca="false">IF(AI543&gt;0,J543/AI543,-1)</f>
        <v>1.00645161290323</v>
      </c>
      <c r="AN543" s="51" t="n">
        <f aca="false">IF(AND(OR(CF543="L1",CF543="L23",CF543="LIFT"),AI543&gt;0),SUMIFS($AI$7:$AI$1843,$CF$7:$CF$1843,CF543,$AM$7:$AM$1843,"&gt;"&amp;AM543)+SUMIFS($AI$7:$AI$1843,$CF$7:$CF$1843,CF543,$AM$7:$AM$1843,AM543,$BW$7:$BW$1843,"&lt;="&amp;BW543),"")</f>
        <v>7029.57738095238</v>
      </c>
      <c r="AO543" s="58" t="n">
        <f aca="false">IF(AN543="",0,MAX(0,MIN(1,(IF(CF543="L1",Parameter!$H$5,IF(CF543="L23",Parameter!$H$6+Parameter!$H$7,Parameter!$H$5+Parameter!$H$6+Parameter!$H$7))-(AN543-AI543))/AI543)))</f>
        <v>1</v>
      </c>
      <c r="AP543" s="50" t="n">
        <f aca="false">IF(LEFT(Cockpit!$I$5,1)="A",H543,IF(Parameter!$E$30="MAX-Bestand",IF(CH543=1,CI543,IF(LEFT(Cockpit!$I$5,1)="B",AV543,MAX(AV543,H543))),ROUNDUP(AT543,0)))</f>
        <v>7</v>
      </c>
      <c r="AQ543" s="50" t="n">
        <f aca="false">IF(BZ543=1,0,ROUNDUP(AP543/BY543,0))</f>
        <v>2</v>
      </c>
      <c r="AR543" s="52" t="n">
        <f aca="false">IF(CQ543&gt;0,CQ543*MAX(1,AP543/X543),IF(BZ543=1,IF(AP543&lt;=0,0,CD543*MAX(1,IF(H543&gt;0,AP543/H543,1))),IF(R543&gt;0,AQ543/R543,0))/MAX(0.1,N(Parameter!$M$21)))</f>
        <v>0.0384615384615385</v>
      </c>
      <c r="AS543" s="50" t="n">
        <f aca="false">AR543*CB543</f>
        <v>5.96153846153846</v>
      </c>
      <c r="AT543" s="51" t="n">
        <f aca="false">IF(LEFT(Cockpit!$I$5,1)="A",H543,IF(CH543=1,(CK543+CI543)/2,IF(LEFT(Cockpit!$I$5,1)="B",(CK543+AV543)/2,MAX((CK543+AV543)/2,H543))))</f>
        <v>7</v>
      </c>
      <c r="AU543" s="50" t="n">
        <f aca="false">AT543*G543</f>
        <v>102.55</v>
      </c>
      <c r="AV543" s="50" t="n">
        <f aca="false">ROUNDUP(CK543+MAX(CL543,2*(J543/IF(CG543&gt;0,CG543,MAX(0.1,N(Cockpit!$I$6)))-CK543)),0)</f>
        <v>5</v>
      </c>
      <c r="AW543" s="51" t="n">
        <f aca="false">IF(AS543&gt;0,J543/AS543,-1)</f>
        <v>1.00645161290323</v>
      </c>
      <c r="AX543" s="51" t="n">
        <f aca="false">IF(AND(OR(CF543="L1",CF543="L23",CF543="LIFT"),AS543&gt;0),SUMIFS($AS$7:$AS$1843,$CF$7:$CF$1843,CF543,$AW$7:$AW$1843,"&gt;"&amp;AW543)+SUMIFS($AS$7:$AS$1843,$CF$7:$CF$1843,CF543,$AW$7:$AW$1843,AW543,$BW$7:$BW$1843,"&lt;="&amp;BW543),"")</f>
        <v>8404.24175824176</v>
      </c>
      <c r="AY543" s="58" t="n">
        <f aca="false">IF(AX543="",0,MAX(0,MIN(1,(IF(CF543="L1",Parameter!$H$5,IF(CF543="L23",Parameter!$H$6+Parameter!$H$7,Parameter!$H$5+Parameter!$H$6+Parameter!$H$7))-(AX543-AS543))/AS543)))</f>
        <v>1</v>
      </c>
      <c r="AZ543" s="50" t="n">
        <f aca="false">IF(LEFT(Cockpit!$O$5,1)="A",H543,IF(Parameter!$E$30="MAX-Bestand",IF(CH543=1,CI543,IF(LEFT(Cockpit!$O$5,1)="B",BF543,MAX(BF543,H543))),ROUNDUP(BD543,0)))</f>
        <v>3</v>
      </c>
      <c r="BA543" s="50" t="n">
        <f aca="false">IF(BZ543=1,0,ROUNDUP(AZ543/BY543,0))</f>
        <v>1</v>
      </c>
      <c r="BB543" s="52" t="n">
        <f aca="false">IF(CQ543&gt;0,CQ543*MAX(1,AZ543/X543),IF(BZ543=1,IF(AZ543&lt;=0,0,CD543*MAX(1,IF(H543&gt;0,AZ543/H543,1))),IF(R543&gt;0,BA543/R543,0))/MAX(0.1,N(Parameter!$M$21)))</f>
        <v>0.0192307692307692</v>
      </c>
      <c r="BC543" s="50" t="n">
        <f aca="false">BB543*CB543</f>
        <v>2.98076923076923</v>
      </c>
      <c r="BD543" s="51" t="n">
        <f aca="false">IF(LEFT(Cockpit!$O$5,1)="A",H543,IF(CH543=1,(CK543+CI543)/2,IF(LEFT(Cockpit!$O$5,1)="B",(CK543+BF543)/2,MAX((CK543+BF543)/2,H543))))</f>
        <v>2.5</v>
      </c>
      <c r="BE543" s="50" t="n">
        <f aca="false">BD543*G543</f>
        <v>36.625</v>
      </c>
      <c r="BF543" s="50" t="n">
        <f aca="false">ROUNDUP(CK543+MAX(CL543,2*(J543/IF(CG543&gt;0,CG543,MAX(0.1,N(Cockpit!$O$6)))-CK543)),0)</f>
        <v>5</v>
      </c>
      <c r="BG543" s="51" t="n">
        <f aca="false">IF(BC543&gt;0,J543/BC543,-1)</f>
        <v>2.01290322580645</v>
      </c>
      <c r="BH543" s="51" t="n">
        <f aca="false">IF(AND(OR(CF543="L1",CF543="L23",CF543="LIFT"),BC543&gt;0),SUMIFS($BC$7:$BC$1843,$CF$7:$CF$1843,CF543,$BG$7:$BG$1843,"&gt;"&amp;BG543)+SUMIFS($BC$7:$BC$1843,$CF$7:$CF$1843,CF543,$BG$7:$BG$1843,BG543,$BW$7:$BW$1843,"&lt;="&amp;BW543),"")</f>
        <v>5863.60256410256</v>
      </c>
      <c r="BI543" s="58" t="n">
        <f aca="false">IF(BH543="",0,MAX(0,MIN(1,(IF(CF543="L1",Parameter!$H$5,IF(CF543="L23",Parameter!$H$6+Parameter!$H$7,Parameter!$H$5+Parameter!$H$6+Parameter!$H$7))-(BH543-BC543))/BC543)))</f>
        <v>1</v>
      </c>
      <c r="BJ543" s="48" t="str">
        <f aca="false">IF(AI543&lt;=0,"",IF(CF543="Aussen","Aussenlager",IF(CF543="-","Nicht im Lift",IF(AO543&gt;=1,"Lift",IF(AO543&lt;=0,"Aussenlager","teilweise")))))</f>
        <v>Lift</v>
      </c>
      <c r="BK543" s="48" t="str">
        <f aca="false">IF(AS543&lt;=0,"",IF(CF543="Aussen","Aussenlager",IF(CF543="-","Nicht im Lift",IF(AY543&gt;=1,"Lift",IF(AY543&lt;=0,"Aussenlager","teilweise")))))</f>
        <v>Lift</v>
      </c>
      <c r="BL543" s="48" t="str">
        <f aca="false">IF(BC543&lt;=0,"",IF(CF543="Aussen","Aussenlager",IF(CF543="-","Nicht im Lift",IF(BI543&gt;=1,"Lift",IF(BI543&lt;=0,"Aussenlager","teilweise")))))</f>
        <v>Lift</v>
      </c>
      <c r="BM543" s="48" t="str">
        <f aca="false">IF(A543="","",IF(BV543=1,"Neu; ","")&amp;IF(AND(BV543=0,BQ543&lt;0),"negativer Bestand (Export "&amp;BQ543&amp;"); ","")&amp;IF(J543&lt;=0,"Kein Verbrauch; ","")&amp;IF(CQ543&gt;0,"Lift "&amp;W543&amp;" lt. Liftbericht (Fach "&amp;X543&amp;" Stk); ",IF(CA543=1,"Gebinde geschätzt ("&amp;T543&amp;"); ",IF(BZ543=1,"Lose – Tablare geschätzt; ","")))&amp;IF(H543&gt;AV543,"Überbestand "&amp;ROUND(H543-AV543,0)&amp;" Stk / CHF "&amp;ROUND((H543-AV543)*G543,0)&amp;"; ","")&amp;IF(AND(CH543=1,CI543&lt;CJ543),"MAX &lt; MB+LG; ","")&amp;IF(AND(CP543&gt;0,CO543*10&gt;CP543),"zu hoch für Tablar; ","")&amp;IF(AND(BV543=0,OR(CH543=1,AA543&lt;&gt;"",U543&lt;&gt;"",V543&lt;&gt;"",AB543&lt;&gt;"")),"manuell übersteuert; ","")&amp;IF(AND(BZ543=0,R543=0),"Gebinde unbekannt / Stellmass fehlt; ","")&amp;IF(AND(BZ543=0,N(V543)&lt;=0,N(Q543)&lt;=0),"Menge pro Gebinde fehlt (Ist = 1 Gebinde); ","")&amp;BU543)</f>
        <v>Überbestand 2 Stk / CHF 29; </v>
      </c>
      <c r="BN543" s="48"/>
      <c r="BO543" s="48"/>
      <c r="BP543" s="55"/>
      <c r="BQ543" s="50" t="n">
        <v>2</v>
      </c>
      <c r="BR543" s="50" t="n">
        <v>5</v>
      </c>
      <c r="BS543" s="49" t="n">
        <v>19.52</v>
      </c>
      <c r="BT543" s="50" t="n">
        <v>6</v>
      </c>
      <c r="BU543" s="48"/>
      <c r="BV543" s="53" t="n">
        <v>0</v>
      </c>
      <c r="BW543" s="53" t="n">
        <v>543</v>
      </c>
      <c r="BX543" s="48" t="str">
        <f aca="false">IF(U543&lt;&gt;"",UPPER(TRIM(U543)),IF(CA543=1,UPPER(VLOOKUP(T543,Parameter!$I$27:$K$29,2,0)),IF(P543="","LOSE",P543)))</f>
        <v>S33</v>
      </c>
      <c r="BY543" s="50" t="n">
        <f aca="false">IF(BX543="LOSE",1,IF(N(V543)&gt;0,V543,IF(CA543=1,MAX(1,N(VLOOKUP(T543,Parameter!$I$27:$K$29,3,0)),H543,N(N543)),IF(N(Q543)&gt;0,Q543,MAX(1,H543)))))</f>
        <v>4</v>
      </c>
      <c r="BZ543" s="53" t="n">
        <f aca="false">IF(BX543="LOSE",1,0)</f>
        <v>0</v>
      </c>
      <c r="CA543" s="53" t="n">
        <f aca="false">IF(AND(U543="",OR(P543="",P543="LOSE"),T543&lt;&gt;"",N(S543)&lt;=0,ISNUMBER(MATCH(T543,Parameter!$I$27:$I$29,0))),1,0)</f>
        <v>0</v>
      </c>
      <c r="CB543" s="53" t="n">
        <f aca="false">IF(CQ543&gt;0,INDEX(Parameter!$H$5:$H$7,W543)/INDEX(Parameter!$E$5:$E$7,W543),IF(AND(BZ543=0,N(IFERROR(VLOOKUP(BX543,'Gebinde-Kategorie'!$A$5:$N$45,14,0),0))&gt;0),VLOOKUP(BX543,'Gebinde-Kategorie'!$A$5:$N$45,14,0)*10+Parameter!$M$23,Parameter!$M$24))</f>
        <v>155</v>
      </c>
      <c r="CC543" s="48" t="str">
        <f aca="false">IF(AND(Parameter!$B$19="Ja",E543&lt;&gt;"",ISNUMBER(MATCH(E543,Parameter!$I$35:$I$52,0))),VLOOKUP(E543,Parameter!$I$35:$J$52,2,0),IFERROR(VLOOKUP(D543,Parameter!$A$35:$C$64,2,0),"Nein"))</f>
        <v>2+3</v>
      </c>
      <c r="CD543" s="52" t="n">
        <f aca="false">IF(BZ543=0,0,IF(N(S543)&gt;0,S543,IFERROR(VLOOKUP(D543,Parameter!$A$35:$C$64,3,0)+0,0)))</f>
        <v>0</v>
      </c>
      <c r="CE543" s="48" t="n">
        <f aca="false">IF(AA543&lt;&gt;"",AA543,Z543)</f>
        <v>3</v>
      </c>
      <c r="CF543" s="48" t="str">
        <f aca="false">IF(OR(CE543=1,CE543=2,CE543=3),IF(Parameter!$E$27="Ja","LIFT",IF(CE543=1,"L1","L23")),IF(CE543="Aussen","Aussen","-"))</f>
        <v>LIFT</v>
      </c>
      <c r="CG543" s="59" t="n">
        <f aca="false">IF(N(AB543)&gt;0,AB543,0)</f>
        <v>0</v>
      </c>
      <c r="CH543" s="53" t="n">
        <f aca="false">IF(ISNUMBER(AE543),1,0)</f>
        <v>0</v>
      </c>
      <c r="CI543" s="50" t="n">
        <f aca="false">N(AE543)</f>
        <v>0</v>
      </c>
      <c r="CJ543" s="50" t="n">
        <f aca="false">N(M543)+N(N543)</f>
        <v>5</v>
      </c>
      <c r="CK543" s="50" t="n">
        <f aca="false">N(M543)</f>
        <v>0</v>
      </c>
      <c r="CL543" s="50" t="n">
        <f aca="false">N(N543)</f>
        <v>5</v>
      </c>
      <c r="CM543" s="50" t="n">
        <f aca="false">ROUNDUP(H543/BY543,0)</f>
        <v>2</v>
      </c>
      <c r="CN543" s="50" t="n">
        <f aca="false">ROUNDUP(CI543/BY543,0)</f>
        <v>0</v>
      </c>
      <c r="CO543" s="53" t="n">
        <f aca="false">IF(BZ543=1,0,IFERROR(VLOOKUP(BX543,'Gebinde-Kategorie'!$A$5:$N$45,5,0)+0,0))</f>
        <v>8</v>
      </c>
      <c r="CP543" s="53" t="n">
        <f aca="false">IFERROR(IF(OR(CE543=1,CE543=2,CE543=3),N(INDEX(Parameter!$I$5:$I$7,CE543)),0),0)</f>
        <v>0</v>
      </c>
      <c r="CQ543" s="52" t="n">
        <f aca="false">IF(AND(Parameter!$B$21="Ja",ISNUMBER(W543),N(X543)&gt;0),IFERROR(N(INDEX(Parameter!$L$5:$L$7,W543))*INDEX(Parameter!$E$5:$E$7,W543)*X543/SUMIFS($X$7:$X$1843,$W$7:$W$1843,W543),0),0)</f>
        <v>0</v>
      </c>
    </row>
    <row r="544" customFormat="false" ht="15" hidden="false" customHeight="false" outlineLevel="0" collapsed="false">
      <c r="A544" s="48" t="s">
        <v>1175</v>
      </c>
      <c r="B544" s="48" t="s">
        <v>1176</v>
      </c>
      <c r="C544" s="48" t="s">
        <v>173</v>
      </c>
      <c r="D544" s="48" t="s">
        <v>193</v>
      </c>
      <c r="E544" s="48" t="s">
        <v>194</v>
      </c>
      <c r="F544" s="48" t="s">
        <v>227</v>
      </c>
      <c r="G544" s="49" t="n">
        <v>0.06</v>
      </c>
      <c r="H544" s="50" t="n">
        <f aca="false">MAX(0,IF(AND(Parameter!$B$21="Ja",ISNUMBER(Y544)),Y544,IF(Parameter!$B$20="Jahresanfang 2025 + Export",BR544+BQ544,BQ544)))</f>
        <v>650</v>
      </c>
      <c r="I544" s="50" t="n">
        <f aca="false">H544*G544</f>
        <v>39</v>
      </c>
      <c r="J544" s="50" t="n">
        <f aca="false">BT544*Parameter!$B$18</f>
        <v>722</v>
      </c>
      <c r="K544" s="51" t="n">
        <v>322.5</v>
      </c>
      <c r="L544" s="52" t="n">
        <v>2.23875968992248</v>
      </c>
      <c r="M544" s="50" t="n">
        <v>28</v>
      </c>
      <c r="N544" s="50" t="n">
        <v>750</v>
      </c>
      <c r="O544" s="53" t="n">
        <v>14</v>
      </c>
      <c r="P544" s="48" t="s">
        <v>311</v>
      </c>
      <c r="Q544" s="50" t="n">
        <v>334</v>
      </c>
      <c r="R544" s="53" t="n">
        <f aca="false">IF(BZ544=1,0,IFERROR(VLOOKUP(BX544,'Gebinde-Kategorie'!$A$5:$N$45,13,0)+0,0))</f>
        <v>26</v>
      </c>
      <c r="S544" s="54"/>
      <c r="T544" s="55"/>
      <c r="U544" s="55"/>
      <c r="V544" s="55"/>
      <c r="W544" s="48"/>
      <c r="X544" s="50"/>
      <c r="Y544" s="50"/>
      <c r="Z544" s="48" t="n">
        <f aca="false">IF(A544="","",IF(AND(Parameter!$B$21="Ja",ISNUMBER(W544)),W544,IF(CC544="2+3",IF(ISNUMBER(SEARCH("grosser Artikel",BU544)),2,IFERROR(VLOOKUP(BX544,Parameter!$F$35:$G$64,2,0),2)),IF(OR(CC544="Nein",CC544=""),"-",CC544))))</f>
        <v>3</v>
      </c>
      <c r="AA544" s="55"/>
      <c r="AB544" s="56"/>
      <c r="AC544" s="50" t="n">
        <f aca="false">AV544</f>
        <v>778</v>
      </c>
      <c r="AD544" s="50" t="n">
        <f aca="false">MAX(AV544,H544)</f>
        <v>778</v>
      </c>
      <c r="AE544" s="57"/>
      <c r="AF544" s="50" t="n">
        <f aca="false">IF(LEFT(Cockpit!$C$5,1)="A",H544,IF(Parameter!$E$30="MAX-Bestand",IF(CH544=1,CI544,IF(LEFT(Cockpit!$C$5,1)="B",AL544,MAX(AL544,H544))),ROUNDUP(AJ544,0)))</f>
        <v>650</v>
      </c>
      <c r="AG544" s="50" t="n">
        <f aca="false">IF(BZ544=1,0,ROUNDUP(AF544/BY544,0))</f>
        <v>2</v>
      </c>
      <c r="AH544" s="52" t="n">
        <f aca="false">IF(CQ544&gt;0,CQ544*MAX(1,AF544/X544),IF(BZ544=1,IF(AF544&lt;=0,0,CD544*MAX(1,IF(H544&gt;0,AF544/H544,1))),IF(R544&gt;0,AG544/R544,0))/MAX(0.1,N(Parameter!$M$21)))</f>
        <v>0.0769230769230769</v>
      </c>
      <c r="AI544" s="50" t="n">
        <f aca="false">AH544*CB544</f>
        <v>11.9230769230769</v>
      </c>
      <c r="AJ544" s="51" t="n">
        <f aca="false">IF(LEFT(Cockpit!$C$5,1)="A",H544,IF(CH544=1,(CK544+CI544)/2,IF(LEFT(Cockpit!$C$5,1)="B",(CK544+AL544)/2,MAX((CK544+AL544)/2,H544))))</f>
        <v>650</v>
      </c>
      <c r="AK544" s="50" t="n">
        <f aca="false">AJ544*G544</f>
        <v>39</v>
      </c>
      <c r="AL544" s="50" t="n">
        <f aca="false">ROUNDUP(CK544+MAX(CL544,2*(J544/IF(CG544&gt;0,CG544,MAX(0.1,N(Cockpit!$C$6)))-CK544)),0)</f>
        <v>778</v>
      </c>
      <c r="AM544" s="51" t="n">
        <f aca="false">IF(AI544&gt;0,J544/AI544,-1)</f>
        <v>60.5548387096774</v>
      </c>
      <c r="AN544" s="51" t="n">
        <f aca="false">IF(AND(OR(CF544="L1",CF544="L23",CF544="LIFT"),AI544&gt;0),SUMIFS($AI$7:$AI$1843,$CF$7:$CF$1843,CF544,$AM$7:$AM$1843,"&gt;"&amp;AM544)+SUMIFS($AI$7:$AI$1843,$CF$7:$CF$1843,CF544,$AM$7:$AM$1843,AM544,$BW$7:$BW$1843,"&lt;="&amp;BW544),"")</f>
        <v>979.468406593407</v>
      </c>
      <c r="AO544" s="58" t="n">
        <f aca="false">IF(AN544="",0,MAX(0,MIN(1,(IF(CF544="L1",Parameter!$H$5,IF(CF544="L23",Parameter!$H$6+Parameter!$H$7,Parameter!$H$5+Parameter!$H$6+Parameter!$H$7))-(AN544-AI544))/AI544)))</f>
        <v>1</v>
      </c>
      <c r="AP544" s="50" t="n">
        <f aca="false">IF(LEFT(Cockpit!$I$5,1)="A",H544,IF(Parameter!$E$30="MAX-Bestand",IF(CH544=1,CI544,IF(LEFT(Cockpit!$I$5,1)="B",AV544,MAX(AV544,H544))),ROUNDUP(AT544,0)))</f>
        <v>650</v>
      </c>
      <c r="AQ544" s="50" t="n">
        <f aca="false">IF(BZ544=1,0,ROUNDUP(AP544/BY544,0))</f>
        <v>2</v>
      </c>
      <c r="AR544" s="52" t="n">
        <f aca="false">IF(CQ544&gt;0,CQ544*MAX(1,AP544/X544),IF(BZ544=1,IF(AP544&lt;=0,0,CD544*MAX(1,IF(H544&gt;0,AP544/H544,1))),IF(R544&gt;0,AQ544/R544,0))/MAX(0.1,N(Parameter!$M$21)))</f>
        <v>0.0769230769230769</v>
      </c>
      <c r="AS544" s="50" t="n">
        <f aca="false">AR544*CB544</f>
        <v>11.9230769230769</v>
      </c>
      <c r="AT544" s="51" t="n">
        <f aca="false">IF(LEFT(Cockpit!$I$5,1)="A",H544,IF(CH544=1,(CK544+CI544)/2,IF(LEFT(Cockpit!$I$5,1)="B",(CK544+AV544)/2,MAX((CK544+AV544)/2,H544))))</f>
        <v>650</v>
      </c>
      <c r="AU544" s="50" t="n">
        <f aca="false">AT544*G544</f>
        <v>39</v>
      </c>
      <c r="AV544" s="50" t="n">
        <f aca="false">ROUNDUP(CK544+MAX(CL544,2*(J544/IF(CG544&gt;0,CG544,MAX(0.1,N(Cockpit!$I$6)))-CK544)),0)</f>
        <v>778</v>
      </c>
      <c r="AW544" s="51" t="n">
        <f aca="false">IF(AS544&gt;0,J544/AS544,-1)</f>
        <v>60.5548387096774</v>
      </c>
      <c r="AX544" s="51" t="n">
        <f aca="false">IF(AND(OR(CF544="L1",CF544="L23",CF544="LIFT"),AS544&gt;0),SUMIFS($AS$7:$AS$1843,$CF$7:$CF$1843,CF544,$AW$7:$AW$1843,"&gt;"&amp;AW544)+SUMIFS($AS$7:$AS$1843,$CF$7:$CF$1843,CF544,$AW$7:$AW$1843,AW544,$BW$7:$BW$1843,"&lt;="&amp;BW544),"")</f>
        <v>1181.85027472527</v>
      </c>
      <c r="AY544" s="58" t="n">
        <f aca="false">IF(AX544="",0,MAX(0,MIN(1,(IF(CF544="L1",Parameter!$H$5,IF(CF544="L23",Parameter!$H$6+Parameter!$H$7,Parameter!$H$5+Parameter!$H$6+Parameter!$H$7))-(AX544-AS544))/AS544)))</f>
        <v>1</v>
      </c>
      <c r="AZ544" s="50" t="n">
        <f aca="false">IF(LEFT(Cockpit!$O$5,1)="A",H544,IF(Parameter!$E$30="MAX-Bestand",IF(CH544=1,CI544,IF(LEFT(Cockpit!$O$5,1)="B",BF544,MAX(BF544,H544))),ROUNDUP(BD544,0)))</f>
        <v>403</v>
      </c>
      <c r="BA544" s="50" t="n">
        <f aca="false">IF(BZ544=1,0,ROUNDUP(AZ544/BY544,0))</f>
        <v>2</v>
      </c>
      <c r="BB544" s="52" t="n">
        <f aca="false">IF(CQ544&gt;0,CQ544*MAX(1,AZ544/X544),IF(BZ544=1,IF(AZ544&lt;=0,0,CD544*MAX(1,IF(H544&gt;0,AZ544/H544,1))),IF(R544&gt;0,BA544/R544,0))/MAX(0.1,N(Parameter!$M$21)))</f>
        <v>0.0769230769230769</v>
      </c>
      <c r="BC544" s="50" t="n">
        <f aca="false">BB544*CB544</f>
        <v>11.9230769230769</v>
      </c>
      <c r="BD544" s="51" t="n">
        <f aca="false">IF(LEFT(Cockpit!$O$5,1)="A",H544,IF(CH544=1,(CK544+CI544)/2,IF(LEFT(Cockpit!$O$5,1)="B",(CK544+BF544)/2,MAX((CK544+BF544)/2,H544))))</f>
        <v>403</v>
      </c>
      <c r="BE544" s="50" t="n">
        <f aca="false">BD544*G544</f>
        <v>24.18</v>
      </c>
      <c r="BF544" s="50" t="n">
        <f aca="false">ROUNDUP(CK544+MAX(CL544,2*(J544/IF(CG544&gt;0,CG544,MAX(0.1,N(Cockpit!$O$6)))-CK544)),0)</f>
        <v>778</v>
      </c>
      <c r="BG544" s="51" t="n">
        <f aca="false">IF(BC544&gt;0,J544/BC544,-1)</f>
        <v>60.5548387096774</v>
      </c>
      <c r="BH544" s="51" t="n">
        <f aca="false">IF(AND(OR(CF544="L1",CF544="L23",CF544="LIFT"),BC544&gt;0),SUMIFS($BC$7:$BC$1843,$CF$7:$CF$1843,CF544,$BG$7:$BG$1843,"&gt;"&amp;BG544)+SUMIFS($BC$7:$BC$1843,$CF$7:$CF$1843,CF544,$BG$7:$BG$1843,BG544,$BW$7:$BW$1843,"&lt;="&amp;BW544),"")</f>
        <v>1111.0119047619</v>
      </c>
      <c r="BI544" s="58" t="n">
        <f aca="false">IF(BH544="",0,MAX(0,MIN(1,(IF(CF544="L1",Parameter!$H$5,IF(CF544="L23",Parameter!$H$6+Parameter!$H$7,Parameter!$H$5+Parameter!$H$6+Parameter!$H$7))-(BH544-BC544))/BC544)))</f>
        <v>1</v>
      </c>
      <c r="BJ544" s="48" t="str">
        <f aca="false">IF(AI544&lt;=0,"",IF(CF544="Aussen","Aussenlager",IF(CF544="-","Nicht im Lift",IF(AO544&gt;=1,"Lift",IF(AO544&lt;=0,"Aussenlager","teilweise")))))</f>
        <v>Lift</v>
      </c>
      <c r="BK544" s="48" t="str">
        <f aca="false">IF(AS544&lt;=0,"",IF(CF544="Aussen","Aussenlager",IF(CF544="-","Nicht im Lift",IF(AY544&gt;=1,"Lift",IF(AY544&lt;=0,"Aussenlager","teilweise")))))</f>
        <v>Lift</v>
      </c>
      <c r="BL544" s="48" t="str">
        <f aca="false">IF(BC544&lt;=0,"",IF(CF544="Aussen","Aussenlager",IF(CF544="-","Nicht im Lift",IF(BI544&gt;=1,"Lift",IF(BI544&lt;=0,"Aussenlager","teilweise")))))</f>
        <v>Lift</v>
      </c>
      <c r="BM544" s="48" t="str">
        <f aca="false">IF(A544="","",IF(BV544=1,"Neu; ","")&amp;IF(AND(BV544=0,BQ544&lt;0),"negativer Bestand (Export "&amp;BQ544&amp;"); ","")&amp;IF(J544&lt;=0,"Kein Verbrauch; ","")&amp;IF(CQ544&gt;0,"Lift "&amp;W544&amp;" lt. Liftbericht (Fach "&amp;X544&amp;" Stk); ",IF(CA544=1,"Gebinde geschätzt ("&amp;T544&amp;"); ",IF(BZ544=1,"Lose – Tablare geschätzt; ","")))&amp;IF(H544&gt;AV544,"Überbestand "&amp;ROUND(H544-AV544,0)&amp;" Stk / CHF "&amp;ROUND((H544-AV544)*G544,0)&amp;"; ","")&amp;IF(AND(CH544=1,CI544&lt;CJ544),"MAX &lt; MB+LG; ","")&amp;IF(AND(CP544&gt;0,CO544*10&gt;CP544),"zu hoch für Tablar; ","")&amp;IF(AND(BV544=0,OR(CH544=1,AA544&lt;&gt;"",U544&lt;&gt;"",V544&lt;&gt;"",AB544&lt;&gt;"")),"manuell übersteuert; ","")&amp;IF(AND(BZ544=0,R544=0),"Gebinde unbekannt / Stellmass fehlt; ","")&amp;IF(AND(BZ544=0,N(V544)&lt;=0,N(Q544)&lt;=0),"Menge pro Gebinde fehlt (Ist = 1 Gebinde); ","")&amp;BU544)</f>
        <v/>
      </c>
      <c r="BN544" s="48"/>
      <c r="BO544" s="48"/>
      <c r="BP544" s="55"/>
      <c r="BQ544" s="50" t="n">
        <v>319</v>
      </c>
      <c r="BR544" s="50" t="n">
        <v>331</v>
      </c>
      <c r="BS544" s="49" t="n">
        <v>19.14</v>
      </c>
      <c r="BT544" s="50" t="n">
        <v>722</v>
      </c>
      <c r="BU544" s="48"/>
      <c r="BV544" s="53" t="n">
        <v>0</v>
      </c>
      <c r="BW544" s="53" t="n">
        <v>544</v>
      </c>
      <c r="BX544" s="48" t="str">
        <f aca="false">IF(U544&lt;&gt;"",UPPER(TRIM(U544)),IF(CA544=1,UPPER(VLOOKUP(T544,Parameter!$I$27:$K$29,2,0)),IF(P544="","LOSE",P544)))</f>
        <v>S51</v>
      </c>
      <c r="BY544" s="50" t="n">
        <f aca="false">IF(BX544="LOSE",1,IF(N(V544)&gt;0,V544,IF(CA544=1,MAX(1,N(VLOOKUP(T544,Parameter!$I$27:$K$29,3,0)),H544,N(N544)),IF(N(Q544)&gt;0,Q544,MAX(1,H544)))))</f>
        <v>334</v>
      </c>
      <c r="BZ544" s="53" t="n">
        <f aca="false">IF(BX544="LOSE",1,0)</f>
        <v>0</v>
      </c>
      <c r="CA544" s="53" t="n">
        <f aca="false">IF(AND(U544="",OR(P544="",P544="LOSE"),T544&lt;&gt;"",N(S544)&lt;=0,ISNUMBER(MATCH(T544,Parameter!$I$27:$I$29,0))),1,0)</f>
        <v>0</v>
      </c>
      <c r="CB544" s="53" t="n">
        <f aca="false">IF(CQ544&gt;0,INDEX(Parameter!$H$5:$H$7,W544)/INDEX(Parameter!$E$5:$E$7,W544),IF(AND(BZ544=0,N(IFERROR(VLOOKUP(BX544,'Gebinde-Kategorie'!$A$5:$N$45,14,0),0))&gt;0),VLOOKUP(BX544,'Gebinde-Kategorie'!$A$5:$N$45,14,0)*10+Parameter!$M$23,Parameter!$M$24))</f>
        <v>155</v>
      </c>
      <c r="CC544" s="48" t="str">
        <f aca="false">IF(AND(Parameter!$B$19="Ja",E544&lt;&gt;"",ISNUMBER(MATCH(E544,Parameter!$I$35:$I$52,0))),VLOOKUP(E544,Parameter!$I$35:$J$52,2,0),IFERROR(VLOOKUP(D544,Parameter!$A$35:$C$64,2,0),"Nein"))</f>
        <v>2+3</v>
      </c>
      <c r="CD544" s="52" t="n">
        <f aca="false">IF(BZ544=0,0,IF(N(S544)&gt;0,S544,IFERROR(VLOOKUP(D544,Parameter!$A$35:$C$64,3,0)+0,0)))</f>
        <v>0</v>
      </c>
      <c r="CE544" s="48" t="n">
        <f aca="false">IF(AA544&lt;&gt;"",AA544,Z544)</f>
        <v>3</v>
      </c>
      <c r="CF544" s="48" t="str">
        <f aca="false">IF(OR(CE544=1,CE544=2,CE544=3),IF(Parameter!$E$27="Ja","LIFT",IF(CE544=1,"L1","L23")),IF(CE544="Aussen","Aussen","-"))</f>
        <v>LIFT</v>
      </c>
      <c r="CG544" s="59" t="n">
        <f aca="false">IF(N(AB544)&gt;0,AB544,0)</f>
        <v>0</v>
      </c>
      <c r="CH544" s="53" t="n">
        <f aca="false">IF(ISNUMBER(AE544),1,0)</f>
        <v>0</v>
      </c>
      <c r="CI544" s="50" t="n">
        <f aca="false">N(AE544)</f>
        <v>0</v>
      </c>
      <c r="CJ544" s="50" t="n">
        <f aca="false">N(M544)+N(N544)</f>
        <v>778</v>
      </c>
      <c r="CK544" s="50" t="n">
        <f aca="false">N(M544)</f>
        <v>28</v>
      </c>
      <c r="CL544" s="50" t="n">
        <f aca="false">N(N544)</f>
        <v>750</v>
      </c>
      <c r="CM544" s="50" t="n">
        <f aca="false">ROUNDUP(H544/BY544,0)</f>
        <v>2</v>
      </c>
      <c r="CN544" s="50" t="n">
        <f aca="false">ROUNDUP(CI544/BY544,0)</f>
        <v>0</v>
      </c>
      <c r="CO544" s="53" t="n">
        <f aca="false">IF(BZ544=1,0,IFERROR(VLOOKUP(BX544,'Gebinde-Kategorie'!$A$5:$N$45,5,0)+0,0))</f>
        <v>11</v>
      </c>
      <c r="CP544" s="53" t="n">
        <f aca="false">IFERROR(IF(OR(CE544=1,CE544=2,CE544=3),N(INDEX(Parameter!$I$5:$I$7,CE544)),0),0)</f>
        <v>0</v>
      </c>
      <c r="CQ544" s="52" t="n">
        <f aca="false">IF(AND(Parameter!$B$21="Ja",ISNUMBER(W544),N(X544)&gt;0),IFERROR(N(INDEX(Parameter!$L$5:$L$7,W544))*INDEX(Parameter!$E$5:$E$7,W544)*X544/SUMIFS($X$7:$X$1843,$W$7:$W$1843,W544),0),0)</f>
        <v>0</v>
      </c>
    </row>
    <row r="545" customFormat="false" ht="15" hidden="false" customHeight="false" outlineLevel="0" collapsed="false">
      <c r="A545" s="48" t="s">
        <v>1177</v>
      </c>
      <c r="B545" s="48" t="s">
        <v>764</v>
      </c>
      <c r="C545" s="48" t="s">
        <v>173</v>
      </c>
      <c r="D545" s="48" t="s">
        <v>193</v>
      </c>
      <c r="E545" s="48"/>
      <c r="F545" s="48" t="s">
        <v>227</v>
      </c>
      <c r="G545" s="49" t="n">
        <v>74.2</v>
      </c>
      <c r="H545" s="50" t="n">
        <f aca="false">MAX(0,IF(AND(Parameter!$B$21="Ja",ISNUMBER(Y545)),Y545,IF(Parameter!$B$20="Jahresanfang 2025 + Export",BR545+BQ545,BQ545)))</f>
        <v>5</v>
      </c>
      <c r="I545" s="50" t="n">
        <f aca="false">H545*G545</f>
        <v>371</v>
      </c>
      <c r="J545" s="50" t="n">
        <f aca="false">BT545*Parameter!$B$18</f>
        <v>1</v>
      </c>
      <c r="K545" s="51" t="n">
        <v>4.5</v>
      </c>
      <c r="L545" s="52" t="n">
        <v>0.222222222222222</v>
      </c>
      <c r="M545" s="50" t="n">
        <v>0</v>
      </c>
      <c r="N545" s="50" t="n">
        <v>1</v>
      </c>
      <c r="O545" s="53" t="n">
        <v>35</v>
      </c>
      <c r="P545" s="48" t="s">
        <v>435</v>
      </c>
      <c r="Q545" s="50" t="n">
        <v>6</v>
      </c>
      <c r="R545" s="53" t="n">
        <f aca="false">IF(BZ545=1,0,IFERROR(VLOOKUP(BX545,'Gebinde-Kategorie'!$A$5:$N$45,13,0)+0,0))</f>
        <v>140</v>
      </c>
      <c r="S545" s="54"/>
      <c r="T545" s="55"/>
      <c r="U545" s="55"/>
      <c r="V545" s="55"/>
      <c r="W545" s="48"/>
      <c r="X545" s="50"/>
      <c r="Y545" s="50"/>
      <c r="Z545" s="48" t="n">
        <f aca="false">IF(A545="","",IF(AND(Parameter!$B$21="Ja",ISNUMBER(W545)),W545,IF(CC545="2+3",IF(ISNUMBER(SEARCH("grosser Artikel",BU545)),2,IFERROR(VLOOKUP(BX545,Parameter!$F$35:$G$64,2,0),2)),IF(OR(CC545="Nein",CC545=""),"-",CC545))))</f>
        <v>3</v>
      </c>
      <c r="AA545" s="55"/>
      <c r="AB545" s="56"/>
      <c r="AC545" s="50" t="n">
        <f aca="false">AV545</f>
        <v>1</v>
      </c>
      <c r="AD545" s="50" t="n">
        <f aca="false">MAX(AV545,H545)</f>
        <v>5</v>
      </c>
      <c r="AE545" s="57"/>
      <c r="AF545" s="50" t="n">
        <f aca="false">IF(LEFT(Cockpit!$C$5,1)="A",H545,IF(Parameter!$E$30="MAX-Bestand",IF(CH545=1,CI545,IF(LEFT(Cockpit!$C$5,1)="B",AL545,MAX(AL545,H545))),ROUNDUP(AJ545,0)))</f>
        <v>5</v>
      </c>
      <c r="AG545" s="50" t="n">
        <f aca="false">IF(BZ545=1,0,ROUNDUP(AF545/BY545,0))</f>
        <v>1</v>
      </c>
      <c r="AH545" s="52" t="n">
        <f aca="false">IF(CQ545&gt;0,CQ545*MAX(1,AF545/X545),IF(BZ545=1,IF(AF545&lt;=0,0,CD545*MAX(1,IF(H545&gt;0,AF545/H545,1))),IF(R545&gt;0,AG545/R545,0))/MAX(0.1,N(Parameter!$M$21)))</f>
        <v>0.00714285714285714</v>
      </c>
      <c r="AI545" s="50" t="n">
        <f aca="false">AH545*CB545</f>
        <v>1.10714285714286</v>
      </c>
      <c r="AJ545" s="51" t="n">
        <f aca="false">IF(LEFT(Cockpit!$C$5,1)="A",H545,IF(CH545=1,(CK545+CI545)/2,IF(LEFT(Cockpit!$C$5,1)="B",(CK545+AL545)/2,MAX((CK545+AL545)/2,H545))))</f>
        <v>5</v>
      </c>
      <c r="AK545" s="50" t="n">
        <f aca="false">AJ545*G545</f>
        <v>371</v>
      </c>
      <c r="AL545" s="50" t="n">
        <f aca="false">ROUNDUP(CK545+MAX(CL545,2*(J545/IF(CG545&gt;0,CG545,MAX(0.1,N(Cockpit!$C$6)))-CK545)),0)</f>
        <v>1</v>
      </c>
      <c r="AM545" s="51" t="n">
        <f aca="false">IF(AI545&gt;0,J545/AI545,-1)</f>
        <v>0.903225806451613</v>
      </c>
      <c r="AN545" s="51" t="n">
        <f aca="false">IF(AND(OR(CF545="L1",CF545="L23",CF545="LIFT"),AI545&gt;0),SUMIFS($AI$7:$AI$1843,$CF$7:$CF$1843,CF545,$AM$7:$AM$1843,"&gt;"&amp;AM545)+SUMIFS($AI$7:$AI$1843,$CF$7:$CF$1843,CF545,$AM$7:$AM$1843,AM545,$BW$7:$BW$1843,"&lt;="&amp;BW545),"")</f>
        <v>7617.7413003663</v>
      </c>
      <c r="AO545" s="58" t="n">
        <f aca="false">IF(AN545="",0,MAX(0,MIN(1,(IF(CF545="L1",Parameter!$H$5,IF(CF545="L23",Parameter!$H$6+Parameter!$H$7,Parameter!$H$5+Parameter!$H$6+Parameter!$H$7))-(AN545-AI545))/AI545)))</f>
        <v>1</v>
      </c>
      <c r="AP545" s="50" t="n">
        <f aca="false">IF(LEFT(Cockpit!$I$5,1)="A",H545,IF(Parameter!$E$30="MAX-Bestand",IF(CH545=1,CI545,IF(LEFT(Cockpit!$I$5,1)="B",AV545,MAX(AV545,H545))),ROUNDUP(AT545,0)))</f>
        <v>5</v>
      </c>
      <c r="AQ545" s="50" t="n">
        <f aca="false">IF(BZ545=1,0,ROUNDUP(AP545/BY545,0))</f>
        <v>1</v>
      </c>
      <c r="AR545" s="52" t="n">
        <f aca="false">IF(CQ545&gt;0,CQ545*MAX(1,AP545/X545),IF(BZ545=1,IF(AP545&lt;=0,0,CD545*MAX(1,IF(H545&gt;0,AP545/H545,1))),IF(R545&gt;0,AQ545/R545,0))/MAX(0.1,N(Parameter!$M$21)))</f>
        <v>0.00714285714285714</v>
      </c>
      <c r="AS545" s="50" t="n">
        <f aca="false">AR545*CB545</f>
        <v>1.10714285714286</v>
      </c>
      <c r="AT545" s="51" t="n">
        <f aca="false">IF(LEFT(Cockpit!$I$5,1)="A",H545,IF(CH545=1,(CK545+CI545)/2,IF(LEFT(Cockpit!$I$5,1)="B",(CK545+AV545)/2,MAX((CK545+AV545)/2,H545))))</f>
        <v>5</v>
      </c>
      <c r="AU545" s="50" t="n">
        <f aca="false">AT545*G545</f>
        <v>371</v>
      </c>
      <c r="AV545" s="50" t="n">
        <f aca="false">ROUNDUP(CK545+MAX(CL545,2*(J545/IF(CG545&gt;0,CG545,MAX(0.1,N(Cockpit!$I$6)))-CK545)),0)</f>
        <v>1</v>
      </c>
      <c r="AW545" s="51" t="n">
        <f aca="false">IF(AS545&gt;0,J545/AS545,-1)</f>
        <v>0.903225806451613</v>
      </c>
      <c r="AX545" s="51" t="n">
        <f aca="false">IF(AND(OR(CF545="L1",CF545="L23",CF545="LIFT"),AS545&gt;0),SUMIFS($AS$7:$AS$1843,$CF$7:$CF$1843,CF545,$AW$7:$AW$1843,"&gt;"&amp;AW545)+SUMIFS($AS$7:$AS$1843,$CF$7:$CF$1843,CF545,$AW$7:$AW$1843,AW545,$BW$7:$BW$1843,"&lt;="&amp;BW545),"")</f>
        <v>9192.18131868132</v>
      </c>
      <c r="AY545" s="58" t="n">
        <f aca="false">IF(AX545="",0,MAX(0,MIN(1,(IF(CF545="L1",Parameter!$H$5,IF(CF545="L23",Parameter!$H$6+Parameter!$H$7,Parameter!$H$5+Parameter!$H$6+Parameter!$H$7))-(AX545-AS545))/AS545)))</f>
        <v>1</v>
      </c>
      <c r="AZ545" s="50" t="n">
        <f aca="false">IF(LEFT(Cockpit!$O$5,1)="A",H545,IF(Parameter!$E$30="MAX-Bestand",IF(CH545=1,CI545,IF(LEFT(Cockpit!$O$5,1)="B",BF545,MAX(BF545,H545))),ROUNDUP(BD545,0)))</f>
        <v>1</v>
      </c>
      <c r="BA545" s="50" t="n">
        <f aca="false">IF(BZ545=1,0,ROUNDUP(AZ545/BY545,0))</f>
        <v>1</v>
      </c>
      <c r="BB545" s="52" t="n">
        <f aca="false">IF(CQ545&gt;0,CQ545*MAX(1,AZ545/X545),IF(BZ545=1,IF(AZ545&lt;=0,0,CD545*MAX(1,IF(H545&gt;0,AZ545/H545,1))),IF(R545&gt;0,BA545/R545,0))/MAX(0.1,N(Parameter!$M$21)))</f>
        <v>0.00714285714285714</v>
      </c>
      <c r="BC545" s="50" t="n">
        <f aca="false">BB545*CB545</f>
        <v>1.10714285714286</v>
      </c>
      <c r="BD545" s="51" t="n">
        <f aca="false">IF(LEFT(Cockpit!$O$5,1)="A",H545,IF(CH545=1,(CK545+CI545)/2,IF(LEFT(Cockpit!$O$5,1)="B",(CK545+BF545)/2,MAX((CK545+BF545)/2,H545))))</f>
        <v>0.5</v>
      </c>
      <c r="BE545" s="50" t="n">
        <f aca="false">BD545*G545</f>
        <v>37.1</v>
      </c>
      <c r="BF545" s="50" t="n">
        <f aca="false">ROUNDUP(CK545+MAX(CL545,2*(J545/IF(CG545&gt;0,CG545,MAX(0.1,N(Cockpit!$O$6)))-CK545)),0)</f>
        <v>1</v>
      </c>
      <c r="BG545" s="51" t="n">
        <f aca="false">IF(BC545&gt;0,J545/BC545,-1)</f>
        <v>0.903225806451613</v>
      </c>
      <c r="BH545" s="51" t="n">
        <f aca="false">IF(AND(OR(CF545="L1",CF545="L23",CF545="LIFT"),BC545&gt;0),SUMIFS($BC$7:$BC$1843,$CF$7:$CF$1843,CF545,$BG$7:$BG$1843,"&gt;"&amp;BG545)+SUMIFS($BC$7:$BC$1843,$CF$7:$CF$1843,CF545,$BG$7:$BG$1843,BG545,$BW$7:$BW$1843,"&lt;="&amp;BW545),"")</f>
        <v>8242.2934981685</v>
      </c>
      <c r="BI545" s="58" t="n">
        <f aca="false">IF(BH545="",0,MAX(0,MIN(1,(IF(CF545="L1",Parameter!$H$5,IF(CF545="L23",Parameter!$H$6+Parameter!$H$7,Parameter!$H$5+Parameter!$H$6+Parameter!$H$7))-(BH545-BC545))/BC545)))</f>
        <v>1</v>
      </c>
      <c r="BJ545" s="48" t="str">
        <f aca="false">IF(AI545&lt;=0,"",IF(CF545="Aussen","Aussenlager",IF(CF545="-","Nicht im Lift",IF(AO545&gt;=1,"Lift",IF(AO545&lt;=0,"Aussenlager","teilweise")))))</f>
        <v>Lift</v>
      </c>
      <c r="BK545" s="48" t="str">
        <f aca="false">IF(AS545&lt;=0,"",IF(CF545="Aussen","Aussenlager",IF(CF545="-","Nicht im Lift",IF(AY545&gt;=1,"Lift",IF(AY545&lt;=0,"Aussenlager","teilweise")))))</f>
        <v>Lift</v>
      </c>
      <c r="BL545" s="48" t="str">
        <f aca="false">IF(BC545&lt;=0,"",IF(CF545="Aussen","Aussenlager",IF(CF545="-","Nicht im Lift",IF(BI545&gt;=1,"Lift",IF(BI545&lt;=0,"Aussenlager","teilweise")))))</f>
        <v>Lift</v>
      </c>
      <c r="BM545" s="48" t="str">
        <f aca="false">IF(A545="","",IF(BV545=1,"Neu; ","")&amp;IF(AND(BV545=0,BQ545&lt;0),"negativer Bestand (Export "&amp;BQ545&amp;"); ","")&amp;IF(J545&lt;=0,"Kein Verbrauch; ","")&amp;IF(CQ545&gt;0,"Lift "&amp;W545&amp;" lt. Liftbericht (Fach "&amp;X545&amp;" Stk); ",IF(CA545=1,"Gebinde geschätzt ("&amp;T545&amp;"); ",IF(BZ545=1,"Lose – Tablare geschätzt; ","")))&amp;IF(H545&gt;AV545,"Überbestand "&amp;ROUND(H545-AV545,0)&amp;" Stk / CHF "&amp;ROUND((H545-AV545)*G545,0)&amp;"; ","")&amp;IF(AND(CH545=1,CI545&lt;CJ545),"MAX &lt; MB+LG; ","")&amp;IF(AND(CP545&gt;0,CO545*10&gt;CP545),"zu hoch für Tablar; ","")&amp;IF(AND(BV545=0,OR(CH545=1,AA545&lt;&gt;"",U545&lt;&gt;"",V545&lt;&gt;"",AB545&lt;&gt;"")),"manuell übersteuert; ","")&amp;IF(AND(BZ545=0,R545=0),"Gebinde unbekannt / Stellmass fehlt; ","")&amp;IF(AND(BZ545=0,N(V545)&lt;=0,N(Q545)&lt;=0),"Menge pro Gebinde fehlt (Ist = 1 Gebinde); ","")&amp;BU545)</f>
        <v>Überbestand 4 Stk / CHF 297; </v>
      </c>
      <c r="BN545" s="48"/>
      <c r="BO545" s="48"/>
      <c r="BP545" s="55"/>
      <c r="BQ545" s="50" t="n">
        <v>0</v>
      </c>
      <c r="BR545" s="50" t="n">
        <v>5</v>
      </c>
      <c r="BS545" s="49" t="n">
        <v>18.75</v>
      </c>
      <c r="BT545" s="50" t="n">
        <v>1</v>
      </c>
      <c r="BU545" s="48"/>
      <c r="BV545" s="53" t="n">
        <v>0</v>
      </c>
      <c r="BW545" s="53" t="n">
        <v>545</v>
      </c>
      <c r="BX545" s="48" t="str">
        <f aca="false">IF(U545&lt;&gt;"",UPPER(TRIM(U545)),IF(CA545=1,UPPER(VLOOKUP(T545,Parameter!$I$27:$K$29,2,0)),IF(P545="","LOSE",P545)))</f>
        <v>S22</v>
      </c>
      <c r="BY545" s="50" t="n">
        <f aca="false">IF(BX545="LOSE",1,IF(N(V545)&gt;0,V545,IF(CA545=1,MAX(1,N(VLOOKUP(T545,Parameter!$I$27:$K$29,3,0)),H545,N(N545)),IF(N(Q545)&gt;0,Q545,MAX(1,H545)))))</f>
        <v>6</v>
      </c>
      <c r="BZ545" s="53" t="n">
        <f aca="false">IF(BX545="LOSE",1,0)</f>
        <v>0</v>
      </c>
      <c r="CA545" s="53" t="n">
        <f aca="false">IF(AND(U545="",OR(P545="",P545="LOSE"),T545&lt;&gt;"",N(S545)&lt;=0,ISNUMBER(MATCH(T545,Parameter!$I$27:$I$29,0))),1,0)</f>
        <v>0</v>
      </c>
      <c r="CB545" s="53" t="n">
        <f aca="false">IF(CQ545&gt;0,INDEX(Parameter!$H$5:$H$7,W545)/INDEX(Parameter!$E$5:$E$7,W545),IF(AND(BZ545=0,N(IFERROR(VLOOKUP(BX545,'Gebinde-Kategorie'!$A$5:$N$45,14,0),0))&gt;0),VLOOKUP(BX545,'Gebinde-Kategorie'!$A$5:$N$45,14,0)*10+Parameter!$M$23,Parameter!$M$24))</f>
        <v>155</v>
      </c>
      <c r="CC545" s="48" t="str">
        <f aca="false">IF(AND(Parameter!$B$19="Ja",E545&lt;&gt;"",ISNUMBER(MATCH(E545,Parameter!$I$35:$I$52,0))),VLOOKUP(E545,Parameter!$I$35:$J$52,2,0),IFERROR(VLOOKUP(D545,Parameter!$A$35:$C$64,2,0),"Nein"))</f>
        <v>2+3</v>
      </c>
      <c r="CD545" s="52" t="n">
        <f aca="false">IF(BZ545=0,0,IF(N(S545)&gt;0,S545,IFERROR(VLOOKUP(D545,Parameter!$A$35:$C$64,3,0)+0,0)))</f>
        <v>0</v>
      </c>
      <c r="CE545" s="48" t="n">
        <f aca="false">IF(AA545&lt;&gt;"",AA545,Z545)</f>
        <v>3</v>
      </c>
      <c r="CF545" s="48" t="str">
        <f aca="false">IF(OR(CE545=1,CE545=2,CE545=3),IF(Parameter!$E$27="Ja","LIFT",IF(CE545=1,"L1","L23")),IF(CE545="Aussen","Aussen","-"))</f>
        <v>LIFT</v>
      </c>
      <c r="CG545" s="59" t="n">
        <f aca="false">IF(N(AB545)&gt;0,AB545,0)</f>
        <v>0</v>
      </c>
      <c r="CH545" s="53" t="n">
        <f aca="false">IF(ISNUMBER(AE545),1,0)</f>
        <v>0</v>
      </c>
      <c r="CI545" s="50" t="n">
        <f aca="false">N(AE545)</f>
        <v>0</v>
      </c>
      <c r="CJ545" s="50" t="n">
        <f aca="false">N(M545)+N(N545)</f>
        <v>1</v>
      </c>
      <c r="CK545" s="50" t="n">
        <f aca="false">N(M545)</f>
        <v>0</v>
      </c>
      <c r="CL545" s="50" t="n">
        <f aca="false">N(N545)</f>
        <v>1</v>
      </c>
      <c r="CM545" s="50" t="n">
        <f aca="false">ROUNDUP(H545/BY545,0)</f>
        <v>1</v>
      </c>
      <c r="CN545" s="50" t="n">
        <f aca="false">ROUNDUP(CI545/BY545,0)</f>
        <v>0</v>
      </c>
      <c r="CO545" s="53" t="n">
        <f aca="false">IF(BZ545=1,0,IFERROR(VLOOKUP(BX545,'Gebinde-Kategorie'!$A$5:$N$45,5,0)+0,0))</f>
        <v>8</v>
      </c>
      <c r="CP545" s="53" t="n">
        <f aca="false">IFERROR(IF(OR(CE545=1,CE545=2,CE545=3),N(INDEX(Parameter!$I$5:$I$7,CE545)),0),0)</f>
        <v>0</v>
      </c>
      <c r="CQ545" s="52" t="n">
        <f aca="false">IF(AND(Parameter!$B$21="Ja",ISNUMBER(W545),N(X545)&gt;0),IFERROR(N(INDEX(Parameter!$L$5:$L$7,W545))*INDEX(Parameter!$E$5:$E$7,W545)*X545/SUMIFS($X$7:$X$1843,$W$7:$W$1843,W545),0),0)</f>
        <v>0</v>
      </c>
    </row>
    <row r="546" customFormat="false" ht="15" hidden="false" customHeight="false" outlineLevel="0" collapsed="false">
      <c r="A546" s="48" t="s">
        <v>1178</v>
      </c>
      <c r="B546" s="48" t="s">
        <v>1179</v>
      </c>
      <c r="C546" s="48" t="s">
        <v>173</v>
      </c>
      <c r="D546" s="48" t="s">
        <v>193</v>
      </c>
      <c r="E546" s="48" t="s">
        <v>194</v>
      </c>
      <c r="F546" s="48" t="s">
        <v>227</v>
      </c>
      <c r="G546" s="49" t="n">
        <v>3.84</v>
      </c>
      <c r="H546" s="50" t="n">
        <f aca="false">MAX(0,IF(AND(Parameter!$B$21="Ja",ISNUMBER(Y546)),Y546,IF(Parameter!$B$20="Jahresanfang 2025 + Export",BR546+BQ546,BQ546)))</f>
        <v>109</v>
      </c>
      <c r="I546" s="50" t="n">
        <f aca="false">H546*G546</f>
        <v>418.56</v>
      </c>
      <c r="J546" s="50" t="n">
        <f aca="false">BT546*Parameter!$B$18</f>
        <v>72</v>
      </c>
      <c r="K546" s="51" t="n">
        <v>73.5</v>
      </c>
      <c r="L546" s="52" t="n">
        <v>0.979591836734694</v>
      </c>
      <c r="M546" s="50" t="n">
        <v>7</v>
      </c>
      <c r="N546" s="50" t="n">
        <v>100</v>
      </c>
      <c r="O546" s="53" t="n">
        <v>35</v>
      </c>
      <c r="P546" s="48" t="s">
        <v>337</v>
      </c>
      <c r="Q546" s="50" t="n">
        <v>39</v>
      </c>
      <c r="R546" s="53" t="n">
        <f aca="false">IF(BZ546=1,0,IFERROR(VLOOKUP(BX546,'Gebinde-Kategorie'!$A$5:$N$45,13,0)+0,0))</f>
        <v>52</v>
      </c>
      <c r="S546" s="54"/>
      <c r="T546" s="55"/>
      <c r="U546" s="55"/>
      <c r="V546" s="55"/>
      <c r="W546" s="48"/>
      <c r="X546" s="50"/>
      <c r="Y546" s="50"/>
      <c r="Z546" s="48" t="n">
        <f aca="false">IF(A546="","",IF(AND(Parameter!$B$21="Ja",ISNUMBER(W546)),W546,IF(CC546="2+3",IF(ISNUMBER(SEARCH("grosser Artikel",BU546)),2,IFERROR(VLOOKUP(BX546,Parameter!$F$35:$G$64,2,0),2)),IF(OR(CC546="Nein",CC546=""),"-",CC546))))</f>
        <v>3</v>
      </c>
      <c r="AA546" s="55"/>
      <c r="AB546" s="56"/>
      <c r="AC546" s="50" t="n">
        <f aca="false">AV546</f>
        <v>107</v>
      </c>
      <c r="AD546" s="50" t="n">
        <f aca="false">MAX(AV546,H546)</f>
        <v>109</v>
      </c>
      <c r="AE546" s="57"/>
      <c r="AF546" s="50" t="n">
        <f aca="false">IF(LEFT(Cockpit!$C$5,1)="A",H546,IF(Parameter!$E$30="MAX-Bestand",IF(CH546=1,CI546,IF(LEFT(Cockpit!$C$5,1)="B",AL546,MAX(AL546,H546))),ROUNDUP(AJ546,0)))</f>
        <v>109</v>
      </c>
      <c r="AG546" s="50" t="n">
        <f aca="false">IF(BZ546=1,0,ROUNDUP(AF546/BY546,0))</f>
        <v>3</v>
      </c>
      <c r="AH546" s="52" t="n">
        <f aca="false">IF(CQ546&gt;0,CQ546*MAX(1,AF546/X546),IF(BZ546=1,IF(AF546&lt;=0,0,CD546*MAX(1,IF(H546&gt;0,AF546/H546,1))),IF(R546&gt;0,AG546/R546,0))/MAX(0.1,N(Parameter!$M$21)))</f>
        <v>0.0576923076923077</v>
      </c>
      <c r="AI546" s="50" t="n">
        <f aca="false">AH546*CB546</f>
        <v>8.94230769230769</v>
      </c>
      <c r="AJ546" s="51" t="n">
        <f aca="false">IF(LEFT(Cockpit!$C$5,1)="A",H546,IF(CH546=1,(CK546+CI546)/2,IF(LEFT(Cockpit!$C$5,1)="B",(CK546+AL546)/2,MAX((CK546+AL546)/2,H546))))</f>
        <v>109</v>
      </c>
      <c r="AK546" s="50" t="n">
        <f aca="false">AJ546*G546</f>
        <v>418.56</v>
      </c>
      <c r="AL546" s="50" t="n">
        <f aca="false">ROUNDUP(CK546+MAX(CL546,2*(J546/IF(CG546&gt;0,CG546,MAX(0.1,N(Cockpit!$C$6)))-CK546)),0)</f>
        <v>107</v>
      </c>
      <c r="AM546" s="51" t="n">
        <f aca="false">IF(AI546&gt;0,J546/AI546,-1)</f>
        <v>8.05161290322581</v>
      </c>
      <c r="AN546" s="51" t="n">
        <f aca="false">IF(AND(OR(CF546="L1",CF546="L23",CF546="LIFT"),AI546&gt;0),SUMIFS($AI$7:$AI$1843,$CF$7:$CF$1843,CF546,$AM$7:$AM$1843,"&gt;"&amp;AM546)+SUMIFS($AI$7:$AI$1843,$CF$7:$CF$1843,CF546,$AM$7:$AM$1843,AM546,$BW$7:$BW$1843,"&lt;="&amp;BW546),"")</f>
        <v>3046.6217948718</v>
      </c>
      <c r="AO546" s="58" t="n">
        <f aca="false">IF(AN546="",0,MAX(0,MIN(1,(IF(CF546="L1",Parameter!$H$5,IF(CF546="L23",Parameter!$H$6+Parameter!$H$7,Parameter!$H$5+Parameter!$H$6+Parameter!$H$7))-(AN546-AI546))/AI546)))</f>
        <v>1</v>
      </c>
      <c r="AP546" s="50" t="n">
        <f aca="false">IF(LEFT(Cockpit!$I$5,1)="A",H546,IF(Parameter!$E$30="MAX-Bestand",IF(CH546=1,CI546,IF(LEFT(Cockpit!$I$5,1)="B",AV546,MAX(AV546,H546))),ROUNDUP(AT546,0)))</f>
        <v>109</v>
      </c>
      <c r="AQ546" s="50" t="n">
        <f aca="false">IF(BZ546=1,0,ROUNDUP(AP546/BY546,0))</f>
        <v>3</v>
      </c>
      <c r="AR546" s="52" t="n">
        <f aca="false">IF(CQ546&gt;0,CQ546*MAX(1,AP546/X546),IF(BZ546=1,IF(AP546&lt;=0,0,CD546*MAX(1,IF(H546&gt;0,AP546/H546,1))),IF(R546&gt;0,AQ546/R546,0))/MAX(0.1,N(Parameter!$M$21)))</f>
        <v>0.0576923076923077</v>
      </c>
      <c r="AS546" s="50" t="n">
        <f aca="false">AR546*CB546</f>
        <v>8.94230769230769</v>
      </c>
      <c r="AT546" s="51" t="n">
        <f aca="false">IF(LEFT(Cockpit!$I$5,1)="A",H546,IF(CH546=1,(CK546+CI546)/2,IF(LEFT(Cockpit!$I$5,1)="B",(CK546+AV546)/2,MAX((CK546+AV546)/2,H546))))</f>
        <v>109</v>
      </c>
      <c r="AU546" s="50" t="n">
        <f aca="false">AT546*G546</f>
        <v>418.56</v>
      </c>
      <c r="AV546" s="50" t="n">
        <f aca="false">ROUNDUP(CK546+MAX(CL546,2*(J546/IF(CG546&gt;0,CG546,MAX(0.1,N(Cockpit!$I$6)))-CK546)),0)</f>
        <v>107</v>
      </c>
      <c r="AW546" s="51" t="n">
        <f aca="false">IF(AS546&gt;0,J546/AS546,-1)</f>
        <v>8.05161290322581</v>
      </c>
      <c r="AX546" s="51" t="n">
        <f aca="false">IF(AND(OR(CF546="L1",CF546="L23",CF546="LIFT"),AS546&gt;0),SUMIFS($AS$7:$AS$1843,$CF$7:$CF$1843,CF546,$AW$7:$AW$1843,"&gt;"&amp;AW546)+SUMIFS($AS$7:$AS$1843,$CF$7:$CF$1843,CF546,$AW$7:$AW$1843,AW546,$BW$7:$BW$1843,"&lt;="&amp;BW546),"")</f>
        <v>3670.68315018315</v>
      </c>
      <c r="AY546" s="58" t="n">
        <f aca="false">IF(AX546="",0,MAX(0,MIN(1,(IF(CF546="L1",Parameter!$H$5,IF(CF546="L23",Parameter!$H$6+Parameter!$H$7,Parameter!$H$5+Parameter!$H$6+Parameter!$H$7))-(AX546-AS546))/AS546)))</f>
        <v>1</v>
      </c>
      <c r="AZ546" s="50" t="n">
        <f aca="false">IF(LEFT(Cockpit!$O$5,1)="A",H546,IF(Parameter!$E$30="MAX-Bestand",IF(CH546=1,CI546,IF(LEFT(Cockpit!$O$5,1)="B",BF546,MAX(BF546,H546))),ROUNDUP(BD546,0)))</f>
        <v>57</v>
      </c>
      <c r="BA546" s="50" t="n">
        <f aca="false">IF(BZ546=1,0,ROUNDUP(AZ546/BY546,0))</f>
        <v>2</v>
      </c>
      <c r="BB546" s="52" t="n">
        <f aca="false">IF(CQ546&gt;0,CQ546*MAX(1,AZ546/X546),IF(BZ546=1,IF(AZ546&lt;=0,0,CD546*MAX(1,IF(H546&gt;0,AZ546/H546,1))),IF(R546&gt;0,BA546/R546,0))/MAX(0.1,N(Parameter!$M$21)))</f>
        <v>0.0384615384615385</v>
      </c>
      <c r="BC546" s="50" t="n">
        <f aca="false">BB546*CB546</f>
        <v>5.96153846153846</v>
      </c>
      <c r="BD546" s="51" t="n">
        <f aca="false">IF(LEFT(Cockpit!$O$5,1)="A",H546,IF(CH546=1,(CK546+CI546)/2,IF(LEFT(Cockpit!$O$5,1)="B",(CK546+BF546)/2,MAX((CK546+BF546)/2,H546))))</f>
        <v>57</v>
      </c>
      <c r="BE546" s="50" t="n">
        <f aca="false">BD546*G546</f>
        <v>218.88</v>
      </c>
      <c r="BF546" s="50" t="n">
        <f aca="false">ROUNDUP(CK546+MAX(CL546,2*(J546/IF(CG546&gt;0,CG546,MAX(0.1,N(Cockpit!$O$6)))-CK546)),0)</f>
        <v>107</v>
      </c>
      <c r="BG546" s="51" t="n">
        <f aca="false">IF(BC546&gt;0,J546/BC546,-1)</f>
        <v>12.0774193548387</v>
      </c>
      <c r="BH546" s="51" t="n">
        <f aca="false">IF(AND(OR(CF546="L1",CF546="L23",CF546="LIFT"),BC546&gt;0),SUMIFS($BC$7:$BC$1843,$CF$7:$CF$1843,CF546,$BG$7:$BG$1843,"&gt;"&amp;BG546)+SUMIFS($BC$7:$BC$1843,$CF$7:$CF$1843,CF546,$BG$7:$BG$1843,BG546,$BW$7:$BW$1843,"&lt;="&amp;BW546),"")</f>
        <v>2571.7326007326</v>
      </c>
      <c r="BI546" s="58" t="n">
        <f aca="false">IF(BH546="",0,MAX(0,MIN(1,(IF(CF546="L1",Parameter!$H$5,IF(CF546="L23",Parameter!$H$6+Parameter!$H$7,Parameter!$H$5+Parameter!$H$6+Parameter!$H$7))-(BH546-BC546))/BC546)))</f>
        <v>1</v>
      </c>
      <c r="BJ546" s="48" t="str">
        <f aca="false">IF(AI546&lt;=0,"",IF(CF546="Aussen","Aussenlager",IF(CF546="-","Nicht im Lift",IF(AO546&gt;=1,"Lift",IF(AO546&lt;=0,"Aussenlager","teilweise")))))</f>
        <v>Lift</v>
      </c>
      <c r="BK546" s="48" t="str">
        <f aca="false">IF(AS546&lt;=0,"",IF(CF546="Aussen","Aussenlager",IF(CF546="-","Nicht im Lift",IF(AY546&gt;=1,"Lift",IF(AY546&lt;=0,"Aussenlager","teilweise")))))</f>
        <v>Lift</v>
      </c>
      <c r="BL546" s="48" t="str">
        <f aca="false">IF(BC546&lt;=0,"",IF(CF546="Aussen","Aussenlager",IF(CF546="-","Nicht im Lift",IF(BI546&gt;=1,"Lift",IF(BI546&lt;=0,"Aussenlager","teilweise")))))</f>
        <v>Lift</v>
      </c>
      <c r="BM546" s="48" t="str">
        <f aca="false">IF(A546="","",IF(BV546=1,"Neu; ","")&amp;IF(AND(BV546=0,BQ546&lt;0),"negativer Bestand (Export "&amp;BQ546&amp;"); ","")&amp;IF(J546&lt;=0,"Kein Verbrauch; ","")&amp;IF(CQ546&gt;0,"Lift "&amp;W546&amp;" lt. Liftbericht (Fach "&amp;X546&amp;" Stk); ",IF(CA546=1,"Gebinde geschätzt ("&amp;T546&amp;"); ",IF(BZ546=1,"Lose – Tablare geschätzt; ","")))&amp;IF(H546&gt;AV546,"Überbestand "&amp;ROUND(H546-AV546,0)&amp;" Stk / CHF "&amp;ROUND((H546-AV546)*G546,0)&amp;"; ","")&amp;IF(AND(CH546=1,CI546&lt;CJ546),"MAX &lt; MB+LG; ","")&amp;IF(AND(CP546&gt;0,CO546*10&gt;CP546),"zu hoch für Tablar; ","")&amp;IF(AND(BV546=0,OR(CH546=1,AA546&lt;&gt;"",U546&lt;&gt;"",V546&lt;&gt;"",AB546&lt;&gt;"")),"manuell übersteuert; ","")&amp;IF(AND(BZ546=0,R546=0),"Gebinde unbekannt / Stellmass fehlt; ","")&amp;IF(AND(BZ546=0,N(V546)&lt;=0,N(Q546)&lt;=0),"Menge pro Gebinde fehlt (Ist = 1 Gebinde); ","")&amp;BU546)</f>
        <v>Überbestand 2 Stk / CHF 8; </v>
      </c>
      <c r="BN546" s="48"/>
      <c r="BO546" s="48"/>
      <c r="BP546" s="55"/>
      <c r="BQ546" s="50" t="n">
        <v>4</v>
      </c>
      <c r="BR546" s="50" t="n">
        <v>105</v>
      </c>
      <c r="BS546" s="49" t="n">
        <v>18.5100000000001</v>
      </c>
      <c r="BT546" s="50" t="n">
        <v>72</v>
      </c>
      <c r="BU546" s="48"/>
      <c r="BV546" s="53" t="n">
        <v>0</v>
      </c>
      <c r="BW546" s="53" t="n">
        <v>546</v>
      </c>
      <c r="BX546" s="48" t="str">
        <f aca="false">IF(U546&lt;&gt;"",UPPER(TRIM(U546)),IF(CA546=1,UPPER(VLOOKUP(T546,Parameter!$I$27:$K$29,2,0)),IF(P546="","LOSE",P546)))</f>
        <v>S41</v>
      </c>
      <c r="BY546" s="50" t="n">
        <f aca="false">IF(BX546="LOSE",1,IF(N(V546)&gt;0,V546,IF(CA546=1,MAX(1,N(VLOOKUP(T546,Parameter!$I$27:$K$29,3,0)),H546,N(N546)),IF(N(Q546)&gt;0,Q546,MAX(1,H546)))))</f>
        <v>39</v>
      </c>
      <c r="BZ546" s="53" t="n">
        <f aca="false">IF(BX546="LOSE",1,0)</f>
        <v>0</v>
      </c>
      <c r="CA546" s="53" t="n">
        <f aca="false">IF(AND(U546="",OR(P546="",P546="LOSE"),T546&lt;&gt;"",N(S546)&lt;=0,ISNUMBER(MATCH(T546,Parameter!$I$27:$I$29,0))),1,0)</f>
        <v>0</v>
      </c>
      <c r="CB546" s="53" t="n">
        <f aca="false">IF(CQ546&gt;0,INDEX(Parameter!$H$5:$H$7,W546)/INDEX(Parameter!$E$5:$E$7,W546),IF(AND(BZ546=0,N(IFERROR(VLOOKUP(BX546,'Gebinde-Kategorie'!$A$5:$N$45,14,0),0))&gt;0),VLOOKUP(BX546,'Gebinde-Kategorie'!$A$5:$N$45,14,0)*10+Parameter!$M$23,Parameter!$M$24))</f>
        <v>155</v>
      </c>
      <c r="CC546" s="48" t="str">
        <f aca="false">IF(AND(Parameter!$B$19="Ja",E546&lt;&gt;"",ISNUMBER(MATCH(E546,Parameter!$I$35:$I$52,0))),VLOOKUP(E546,Parameter!$I$35:$J$52,2,0),IFERROR(VLOOKUP(D546,Parameter!$A$35:$C$64,2,0),"Nein"))</f>
        <v>2+3</v>
      </c>
      <c r="CD546" s="52" t="n">
        <f aca="false">IF(BZ546=0,0,IF(N(S546)&gt;0,S546,IFERROR(VLOOKUP(D546,Parameter!$A$35:$C$64,3,0)+0,0)))</f>
        <v>0</v>
      </c>
      <c r="CE546" s="48" t="n">
        <f aca="false">IF(AA546&lt;&gt;"",AA546,Z546)</f>
        <v>3</v>
      </c>
      <c r="CF546" s="48" t="str">
        <f aca="false">IF(OR(CE546=1,CE546=2,CE546=3),IF(Parameter!$E$27="Ja","LIFT",IF(CE546=1,"L1","L23")),IF(CE546="Aussen","Aussen","-"))</f>
        <v>LIFT</v>
      </c>
      <c r="CG546" s="59" t="n">
        <f aca="false">IF(N(AB546)&gt;0,AB546,0)</f>
        <v>0</v>
      </c>
      <c r="CH546" s="53" t="n">
        <f aca="false">IF(ISNUMBER(AE546),1,0)</f>
        <v>0</v>
      </c>
      <c r="CI546" s="50" t="n">
        <f aca="false">N(AE546)</f>
        <v>0</v>
      </c>
      <c r="CJ546" s="50" t="n">
        <f aca="false">N(M546)+N(N546)</f>
        <v>107</v>
      </c>
      <c r="CK546" s="50" t="n">
        <f aca="false">N(M546)</f>
        <v>7</v>
      </c>
      <c r="CL546" s="50" t="n">
        <f aca="false">N(N546)</f>
        <v>100</v>
      </c>
      <c r="CM546" s="50" t="n">
        <f aca="false">ROUNDUP(H546/BY546,0)</f>
        <v>3</v>
      </c>
      <c r="CN546" s="50" t="n">
        <f aca="false">ROUNDUP(CI546/BY546,0)</f>
        <v>0</v>
      </c>
      <c r="CO546" s="53" t="n">
        <f aca="false">IF(BZ546=1,0,IFERROR(VLOOKUP(BX546,'Gebinde-Kategorie'!$A$5:$N$45,5,0)+0,0))</f>
        <v>11</v>
      </c>
      <c r="CP546" s="53" t="n">
        <f aca="false">IFERROR(IF(OR(CE546=1,CE546=2,CE546=3),N(INDEX(Parameter!$I$5:$I$7,CE546)),0),0)</f>
        <v>0</v>
      </c>
      <c r="CQ546" s="52" t="n">
        <f aca="false">IF(AND(Parameter!$B$21="Ja",ISNUMBER(W546),N(X546)&gt;0),IFERROR(N(INDEX(Parameter!$L$5:$L$7,W546))*INDEX(Parameter!$E$5:$E$7,W546)*X546/SUMIFS($X$7:$X$1843,$W$7:$W$1843,W546),0),0)</f>
        <v>0</v>
      </c>
    </row>
    <row r="547" customFormat="false" ht="15" hidden="false" customHeight="false" outlineLevel="0" collapsed="false">
      <c r="A547" s="48" t="s">
        <v>1180</v>
      </c>
      <c r="B547" s="48" t="s">
        <v>1181</v>
      </c>
      <c r="C547" s="48" t="s">
        <v>173</v>
      </c>
      <c r="D547" s="48" t="s">
        <v>193</v>
      </c>
      <c r="E547" s="48" t="s">
        <v>194</v>
      </c>
      <c r="F547" s="48" t="s">
        <v>227</v>
      </c>
      <c r="G547" s="49" t="n">
        <v>14.86</v>
      </c>
      <c r="H547" s="50" t="n">
        <f aca="false">MAX(0,IF(AND(Parameter!$B$21="Ja",ISNUMBER(Y547)),Y547,IF(Parameter!$B$20="Jahresanfang 2025 + Export",BR547+BQ547,BQ547)))</f>
        <v>12</v>
      </c>
      <c r="I547" s="50" t="n">
        <f aca="false">H547*G547</f>
        <v>178.32</v>
      </c>
      <c r="J547" s="50" t="n">
        <f aca="false">BT547*Parameter!$B$18</f>
        <v>7</v>
      </c>
      <c r="K547" s="51" t="n">
        <v>8</v>
      </c>
      <c r="L547" s="52" t="n">
        <v>0.875</v>
      </c>
      <c r="M547" s="50" t="n">
        <v>0</v>
      </c>
      <c r="N547" s="50" t="n">
        <v>5</v>
      </c>
      <c r="O547" s="53" t="n">
        <v>21</v>
      </c>
      <c r="P547" s="48" t="s">
        <v>430</v>
      </c>
      <c r="Q547" s="50" t="n">
        <v>11</v>
      </c>
      <c r="R547" s="53" t="n">
        <f aca="false">IF(BZ547=1,0,IFERROR(VLOOKUP(BX547,'Gebinde-Kategorie'!$A$5:$N$45,13,0)+0,0))</f>
        <v>104</v>
      </c>
      <c r="S547" s="54"/>
      <c r="T547" s="55"/>
      <c r="U547" s="55"/>
      <c r="V547" s="55"/>
      <c r="W547" s="48"/>
      <c r="X547" s="50"/>
      <c r="Y547" s="50"/>
      <c r="Z547" s="48" t="n">
        <f aca="false">IF(A547="","",IF(AND(Parameter!$B$21="Ja",ISNUMBER(W547)),W547,IF(CC547="2+3",IF(ISNUMBER(SEARCH("grosser Artikel",BU547)),2,IFERROR(VLOOKUP(BX547,Parameter!$F$35:$G$64,2,0),2)),IF(OR(CC547="Nein",CC547=""),"-",CC547))))</f>
        <v>3</v>
      </c>
      <c r="AA547" s="55"/>
      <c r="AB547" s="56"/>
      <c r="AC547" s="50" t="n">
        <f aca="false">AV547</f>
        <v>5</v>
      </c>
      <c r="AD547" s="50" t="n">
        <f aca="false">MAX(AV547,H547)</f>
        <v>12</v>
      </c>
      <c r="AE547" s="57"/>
      <c r="AF547" s="50" t="n">
        <f aca="false">IF(LEFT(Cockpit!$C$5,1)="A",H547,IF(Parameter!$E$30="MAX-Bestand",IF(CH547=1,CI547,IF(LEFT(Cockpit!$C$5,1)="B",AL547,MAX(AL547,H547))),ROUNDUP(AJ547,0)))</f>
        <v>12</v>
      </c>
      <c r="AG547" s="50" t="n">
        <f aca="false">IF(BZ547=1,0,ROUNDUP(AF547/BY547,0))</f>
        <v>2</v>
      </c>
      <c r="AH547" s="52" t="n">
        <f aca="false">IF(CQ547&gt;0,CQ547*MAX(1,AF547/X547),IF(BZ547=1,IF(AF547&lt;=0,0,CD547*MAX(1,IF(H547&gt;0,AF547/H547,1))),IF(R547&gt;0,AG547/R547,0))/MAX(0.1,N(Parameter!$M$21)))</f>
        <v>0.0192307692307692</v>
      </c>
      <c r="AI547" s="50" t="n">
        <f aca="false">AH547*CB547</f>
        <v>2.98076923076923</v>
      </c>
      <c r="AJ547" s="51" t="n">
        <f aca="false">IF(LEFT(Cockpit!$C$5,1)="A",H547,IF(CH547=1,(CK547+CI547)/2,IF(LEFT(Cockpit!$C$5,1)="B",(CK547+AL547)/2,MAX((CK547+AL547)/2,H547))))</f>
        <v>12</v>
      </c>
      <c r="AK547" s="50" t="n">
        <f aca="false">AJ547*G547</f>
        <v>178.32</v>
      </c>
      <c r="AL547" s="50" t="n">
        <f aca="false">ROUNDUP(CK547+MAX(CL547,2*(J547/IF(CG547&gt;0,CG547,MAX(0.1,N(Cockpit!$C$6)))-CK547)),0)</f>
        <v>5</v>
      </c>
      <c r="AM547" s="51" t="n">
        <f aca="false">IF(AI547&gt;0,J547/AI547,-1)</f>
        <v>2.34838709677419</v>
      </c>
      <c r="AN547" s="51" t="n">
        <f aca="false">IF(AND(OR(CF547="L1",CF547="L23",CF547="LIFT"),AI547&gt;0),SUMIFS($AI$7:$AI$1843,$CF$7:$CF$1843,CF547,$AM$7:$AM$1843,"&gt;"&amp;AM547)+SUMIFS($AI$7:$AI$1843,$CF$7:$CF$1843,CF547,$AM$7:$AM$1843,AM547,$BW$7:$BW$1843,"&lt;="&amp;BW547),"")</f>
        <v>5628.23763736264</v>
      </c>
      <c r="AO547" s="58" t="n">
        <f aca="false">IF(AN547="",0,MAX(0,MIN(1,(IF(CF547="L1",Parameter!$H$5,IF(CF547="L23",Parameter!$H$6+Parameter!$H$7,Parameter!$H$5+Parameter!$H$6+Parameter!$H$7))-(AN547-AI547))/AI547)))</f>
        <v>1</v>
      </c>
      <c r="AP547" s="50" t="n">
        <f aca="false">IF(LEFT(Cockpit!$I$5,1)="A",H547,IF(Parameter!$E$30="MAX-Bestand",IF(CH547=1,CI547,IF(LEFT(Cockpit!$I$5,1)="B",AV547,MAX(AV547,H547))),ROUNDUP(AT547,0)))</f>
        <v>12</v>
      </c>
      <c r="AQ547" s="50" t="n">
        <f aca="false">IF(BZ547=1,0,ROUNDUP(AP547/BY547,0))</f>
        <v>2</v>
      </c>
      <c r="AR547" s="52" t="n">
        <f aca="false">IF(CQ547&gt;0,CQ547*MAX(1,AP547/X547),IF(BZ547=1,IF(AP547&lt;=0,0,CD547*MAX(1,IF(H547&gt;0,AP547/H547,1))),IF(R547&gt;0,AQ547/R547,0))/MAX(0.1,N(Parameter!$M$21)))</f>
        <v>0.0192307692307692</v>
      </c>
      <c r="AS547" s="50" t="n">
        <f aca="false">AR547*CB547</f>
        <v>2.98076923076923</v>
      </c>
      <c r="AT547" s="51" t="n">
        <f aca="false">IF(LEFT(Cockpit!$I$5,1)="A",H547,IF(CH547=1,(CK547+CI547)/2,IF(LEFT(Cockpit!$I$5,1)="B",(CK547+AV547)/2,MAX((CK547+AV547)/2,H547))))</f>
        <v>12</v>
      </c>
      <c r="AU547" s="50" t="n">
        <f aca="false">AT547*G547</f>
        <v>178.32</v>
      </c>
      <c r="AV547" s="50" t="n">
        <f aca="false">ROUNDUP(CK547+MAX(CL547,2*(J547/IF(CG547&gt;0,CG547,MAX(0.1,N(Cockpit!$I$6)))-CK547)),0)</f>
        <v>5</v>
      </c>
      <c r="AW547" s="51" t="n">
        <f aca="false">IF(AS547&gt;0,J547/AS547,-1)</f>
        <v>2.34838709677419</v>
      </c>
      <c r="AX547" s="51" t="n">
        <f aca="false">IF(AND(OR(CF547="L1",CF547="L23",CF547="LIFT"),AS547&gt;0),SUMIFS($AS$7:$AS$1843,$CF$7:$CF$1843,CF547,$AW$7:$AW$1843,"&gt;"&amp;AW547)+SUMIFS($AS$7:$AS$1843,$CF$7:$CF$1843,CF547,$AW$7:$AW$1843,AW547,$BW$7:$BW$1843,"&lt;="&amp;BW547),"")</f>
        <v>6450.63232600733</v>
      </c>
      <c r="AY547" s="58" t="n">
        <f aca="false">IF(AX547="",0,MAX(0,MIN(1,(IF(CF547="L1",Parameter!$H$5,IF(CF547="L23",Parameter!$H$6+Parameter!$H$7,Parameter!$H$5+Parameter!$H$6+Parameter!$H$7))-(AX547-AS547))/AS547)))</f>
        <v>1</v>
      </c>
      <c r="AZ547" s="50" t="n">
        <f aca="false">IF(LEFT(Cockpit!$O$5,1)="A",H547,IF(Parameter!$E$30="MAX-Bestand",IF(CH547=1,CI547,IF(LEFT(Cockpit!$O$5,1)="B",BF547,MAX(BF547,H547))),ROUNDUP(BD547,0)))</f>
        <v>3</v>
      </c>
      <c r="BA547" s="50" t="n">
        <f aca="false">IF(BZ547=1,0,ROUNDUP(AZ547/BY547,0))</f>
        <v>1</v>
      </c>
      <c r="BB547" s="52" t="n">
        <f aca="false">IF(CQ547&gt;0,CQ547*MAX(1,AZ547/X547),IF(BZ547=1,IF(AZ547&lt;=0,0,CD547*MAX(1,IF(H547&gt;0,AZ547/H547,1))),IF(R547&gt;0,BA547/R547,0))/MAX(0.1,N(Parameter!$M$21)))</f>
        <v>0.00961538461538462</v>
      </c>
      <c r="BC547" s="50" t="n">
        <f aca="false">BB547*CB547</f>
        <v>1.49038461538462</v>
      </c>
      <c r="BD547" s="51" t="n">
        <f aca="false">IF(LEFT(Cockpit!$O$5,1)="A",H547,IF(CH547=1,(CK547+CI547)/2,IF(LEFT(Cockpit!$O$5,1)="B",(CK547+BF547)/2,MAX((CK547+BF547)/2,H547))))</f>
        <v>2.5</v>
      </c>
      <c r="BE547" s="50" t="n">
        <f aca="false">BD547*G547</f>
        <v>37.15</v>
      </c>
      <c r="BF547" s="50" t="n">
        <f aca="false">ROUNDUP(CK547+MAX(CL547,2*(J547/IF(CG547&gt;0,CG547,MAX(0.1,N(Cockpit!$O$6)))-CK547)),0)</f>
        <v>5</v>
      </c>
      <c r="BG547" s="51" t="n">
        <f aca="false">IF(BC547&gt;0,J547/BC547,-1)</f>
        <v>4.69677419354839</v>
      </c>
      <c r="BH547" s="51" t="n">
        <f aca="false">IF(AND(OR(CF547="L1",CF547="L23",CF547="LIFT"),BC547&gt;0),SUMIFS($BC$7:$BC$1843,$CF$7:$CF$1843,CF547,$BG$7:$BG$1843,"&gt;"&amp;BG547)+SUMIFS($BC$7:$BC$1843,$CF$7:$CF$1843,CF547,$BG$7:$BG$1843,BG547,$BW$7:$BW$1843,"&lt;="&amp;BW547),"")</f>
        <v>3875.4478021978</v>
      </c>
      <c r="BI547" s="58" t="n">
        <f aca="false">IF(BH547="",0,MAX(0,MIN(1,(IF(CF547="L1",Parameter!$H$5,IF(CF547="L23",Parameter!$H$6+Parameter!$H$7,Parameter!$H$5+Parameter!$H$6+Parameter!$H$7))-(BH547-BC547))/BC547)))</f>
        <v>1</v>
      </c>
      <c r="BJ547" s="48" t="str">
        <f aca="false">IF(AI547&lt;=0,"",IF(CF547="Aussen","Aussenlager",IF(CF547="-","Nicht im Lift",IF(AO547&gt;=1,"Lift",IF(AO547&lt;=0,"Aussenlager","teilweise")))))</f>
        <v>Lift</v>
      </c>
      <c r="BK547" s="48" t="str">
        <f aca="false">IF(AS547&lt;=0,"",IF(CF547="Aussen","Aussenlager",IF(CF547="-","Nicht im Lift",IF(AY547&gt;=1,"Lift",IF(AY547&lt;=0,"Aussenlager","teilweise")))))</f>
        <v>Lift</v>
      </c>
      <c r="BL547" s="48" t="str">
        <f aca="false">IF(BC547&lt;=0,"",IF(CF547="Aussen","Aussenlager",IF(CF547="-","Nicht im Lift",IF(BI547&gt;=1,"Lift",IF(BI547&lt;=0,"Aussenlager","teilweise")))))</f>
        <v>Lift</v>
      </c>
      <c r="BM547" s="48" t="str">
        <f aca="false">IF(A547="","",IF(BV547=1,"Neu; ","")&amp;IF(AND(BV547=0,BQ547&lt;0),"negativer Bestand (Export "&amp;BQ547&amp;"); ","")&amp;IF(J547&lt;=0,"Kein Verbrauch; ","")&amp;IF(CQ547&gt;0,"Lift "&amp;W547&amp;" lt. Liftbericht (Fach "&amp;X547&amp;" Stk); ",IF(CA547=1,"Gebinde geschätzt ("&amp;T547&amp;"); ",IF(BZ547=1,"Lose – Tablare geschätzt; ","")))&amp;IF(H547&gt;AV547,"Überbestand "&amp;ROUND(H547-AV547,0)&amp;" Stk / CHF "&amp;ROUND((H547-AV547)*G547,0)&amp;"; ","")&amp;IF(AND(CH547=1,CI547&lt;CJ547),"MAX &lt; MB+LG; ","")&amp;IF(AND(CP547&gt;0,CO547*10&gt;CP547),"zu hoch für Tablar; ","")&amp;IF(AND(BV547=0,OR(CH547=1,AA547&lt;&gt;"",U547&lt;&gt;"",V547&lt;&gt;"",AB547&lt;&gt;"")),"manuell übersteuert; ","")&amp;IF(AND(BZ547=0,R547=0),"Gebinde unbekannt / Stellmass fehlt; ","")&amp;IF(AND(BZ547=0,N(V547)&lt;=0,N(Q547)&lt;=0),"Menge pro Gebinde fehlt (Ist = 1 Gebinde); ","")&amp;BU547)</f>
        <v>Überbestand 7 Stk / CHF 104; </v>
      </c>
      <c r="BN547" s="48"/>
      <c r="BO547" s="48"/>
      <c r="BP547" s="55"/>
      <c r="BQ547" s="50" t="n">
        <v>0</v>
      </c>
      <c r="BR547" s="50" t="n">
        <v>12</v>
      </c>
      <c r="BS547" s="49" t="n">
        <v>18.48</v>
      </c>
      <c r="BT547" s="50" t="n">
        <v>7</v>
      </c>
      <c r="BU547" s="48"/>
      <c r="BV547" s="53" t="n">
        <v>0</v>
      </c>
      <c r="BW547" s="53" t="n">
        <v>547</v>
      </c>
      <c r="BX547" s="48" t="str">
        <f aca="false">IF(U547&lt;&gt;"",UPPER(TRIM(U547)),IF(CA547=1,UPPER(VLOOKUP(T547,Parameter!$I$27:$K$29,2,0)),IF(P547="","LOSE",P547)))</f>
        <v>S32</v>
      </c>
      <c r="BY547" s="50" t="n">
        <f aca="false">IF(BX547="LOSE",1,IF(N(V547)&gt;0,V547,IF(CA547=1,MAX(1,N(VLOOKUP(T547,Parameter!$I$27:$K$29,3,0)),H547,N(N547)),IF(N(Q547)&gt;0,Q547,MAX(1,H547)))))</f>
        <v>11</v>
      </c>
      <c r="BZ547" s="53" t="n">
        <f aca="false">IF(BX547="LOSE",1,0)</f>
        <v>0</v>
      </c>
      <c r="CA547" s="53" t="n">
        <f aca="false">IF(AND(U547="",OR(P547="",P547="LOSE"),T547&lt;&gt;"",N(S547)&lt;=0,ISNUMBER(MATCH(T547,Parameter!$I$27:$I$29,0))),1,0)</f>
        <v>0</v>
      </c>
      <c r="CB547" s="53" t="n">
        <f aca="false">IF(CQ547&gt;0,INDEX(Parameter!$H$5:$H$7,W547)/INDEX(Parameter!$E$5:$E$7,W547),IF(AND(BZ547=0,N(IFERROR(VLOOKUP(BX547,'Gebinde-Kategorie'!$A$5:$N$45,14,0),0))&gt;0),VLOOKUP(BX547,'Gebinde-Kategorie'!$A$5:$N$45,14,0)*10+Parameter!$M$23,Parameter!$M$24))</f>
        <v>155</v>
      </c>
      <c r="CC547" s="48" t="str">
        <f aca="false">IF(AND(Parameter!$B$19="Ja",E547&lt;&gt;"",ISNUMBER(MATCH(E547,Parameter!$I$35:$I$52,0))),VLOOKUP(E547,Parameter!$I$35:$J$52,2,0),IFERROR(VLOOKUP(D547,Parameter!$A$35:$C$64,2,0),"Nein"))</f>
        <v>2+3</v>
      </c>
      <c r="CD547" s="52" t="n">
        <f aca="false">IF(BZ547=0,0,IF(N(S547)&gt;0,S547,IFERROR(VLOOKUP(D547,Parameter!$A$35:$C$64,3,0)+0,0)))</f>
        <v>0</v>
      </c>
      <c r="CE547" s="48" t="n">
        <f aca="false">IF(AA547&lt;&gt;"",AA547,Z547)</f>
        <v>3</v>
      </c>
      <c r="CF547" s="48" t="str">
        <f aca="false">IF(OR(CE547=1,CE547=2,CE547=3),IF(Parameter!$E$27="Ja","LIFT",IF(CE547=1,"L1","L23")),IF(CE547="Aussen","Aussen","-"))</f>
        <v>LIFT</v>
      </c>
      <c r="CG547" s="59" t="n">
        <f aca="false">IF(N(AB547)&gt;0,AB547,0)</f>
        <v>0</v>
      </c>
      <c r="CH547" s="53" t="n">
        <f aca="false">IF(ISNUMBER(AE547),1,0)</f>
        <v>0</v>
      </c>
      <c r="CI547" s="50" t="n">
        <f aca="false">N(AE547)</f>
        <v>0</v>
      </c>
      <c r="CJ547" s="50" t="n">
        <f aca="false">N(M547)+N(N547)</f>
        <v>5</v>
      </c>
      <c r="CK547" s="50" t="n">
        <f aca="false">N(M547)</f>
        <v>0</v>
      </c>
      <c r="CL547" s="50" t="n">
        <f aca="false">N(N547)</f>
        <v>5</v>
      </c>
      <c r="CM547" s="50" t="n">
        <f aca="false">ROUNDUP(H547/BY547,0)</f>
        <v>2</v>
      </c>
      <c r="CN547" s="50" t="n">
        <f aca="false">ROUNDUP(CI547/BY547,0)</f>
        <v>0</v>
      </c>
      <c r="CO547" s="53" t="n">
        <f aca="false">IF(BZ547=1,0,IFERROR(VLOOKUP(BX547,'Gebinde-Kategorie'!$A$5:$N$45,5,0)+0,0))</f>
        <v>8</v>
      </c>
      <c r="CP547" s="53" t="n">
        <f aca="false">IFERROR(IF(OR(CE547=1,CE547=2,CE547=3),N(INDEX(Parameter!$I$5:$I$7,CE547)),0),0)</f>
        <v>0</v>
      </c>
      <c r="CQ547" s="52" t="n">
        <f aca="false">IF(AND(Parameter!$B$21="Ja",ISNUMBER(W547),N(X547)&gt;0),IFERROR(N(INDEX(Parameter!$L$5:$L$7,W547))*INDEX(Parameter!$E$5:$E$7,W547)*X547/SUMIFS($X$7:$X$1843,$W$7:$W$1843,W547),0),0)</f>
        <v>0</v>
      </c>
    </row>
    <row r="548" customFormat="false" ht="15" hidden="false" customHeight="false" outlineLevel="0" collapsed="false">
      <c r="A548" s="48" t="s">
        <v>1182</v>
      </c>
      <c r="B548" s="48" t="s">
        <v>1104</v>
      </c>
      <c r="C548" s="48" t="s">
        <v>173</v>
      </c>
      <c r="D548" s="48" t="s">
        <v>193</v>
      </c>
      <c r="E548" s="48"/>
      <c r="F548" s="48" t="s">
        <v>227</v>
      </c>
      <c r="G548" s="49" t="n">
        <v>6.05</v>
      </c>
      <c r="H548" s="50" t="n">
        <f aca="false">MAX(0,IF(AND(Parameter!$B$21="Ja",ISNUMBER(Y548)),Y548,IF(Parameter!$B$20="Jahresanfang 2025 + Export",BR548+BQ548,BQ548)))</f>
        <v>3</v>
      </c>
      <c r="I548" s="50" t="n">
        <f aca="false">H548*G548</f>
        <v>18.15</v>
      </c>
      <c r="J548" s="50" t="n">
        <f aca="false">BT548*Parameter!$B$18</f>
        <v>4</v>
      </c>
      <c r="K548" s="51" t="n">
        <v>2.5</v>
      </c>
      <c r="L548" s="52" t="n">
        <v>1.6</v>
      </c>
      <c r="M548" s="50" t="n">
        <v>0</v>
      </c>
      <c r="N548" s="50" t="n">
        <v>5</v>
      </c>
      <c r="O548" s="53" t="n">
        <v>14</v>
      </c>
      <c r="P548" s="48" t="s">
        <v>410</v>
      </c>
      <c r="Q548" s="50" t="n">
        <v>3</v>
      </c>
      <c r="R548" s="53" t="n">
        <f aca="false">IF(BZ548=1,0,IFERROR(VLOOKUP(BX548,'Gebinde-Kategorie'!$A$5:$N$45,13,0)+0,0))</f>
        <v>280</v>
      </c>
      <c r="S548" s="54"/>
      <c r="T548" s="55"/>
      <c r="U548" s="55"/>
      <c r="V548" s="55"/>
      <c r="W548" s="48"/>
      <c r="X548" s="50"/>
      <c r="Y548" s="50"/>
      <c r="Z548" s="48" t="n">
        <f aca="false">IF(A548="","",IF(AND(Parameter!$B$21="Ja",ISNUMBER(W548)),W548,IF(CC548="2+3",IF(ISNUMBER(SEARCH("grosser Artikel",BU548)),2,IFERROR(VLOOKUP(BX548,Parameter!$F$35:$G$64,2,0),2)),IF(OR(CC548="Nein",CC548=""),"-",CC548))))</f>
        <v>3</v>
      </c>
      <c r="AA548" s="55"/>
      <c r="AB548" s="56"/>
      <c r="AC548" s="50" t="n">
        <f aca="false">AV548</f>
        <v>5</v>
      </c>
      <c r="AD548" s="50" t="n">
        <f aca="false">MAX(AV548,H548)</f>
        <v>5</v>
      </c>
      <c r="AE548" s="57"/>
      <c r="AF548" s="50" t="n">
        <f aca="false">IF(LEFT(Cockpit!$C$5,1)="A",H548,IF(Parameter!$E$30="MAX-Bestand",IF(CH548=1,CI548,IF(LEFT(Cockpit!$C$5,1)="B",AL548,MAX(AL548,H548))),ROUNDUP(AJ548,0)))</f>
        <v>3</v>
      </c>
      <c r="AG548" s="50" t="n">
        <f aca="false">IF(BZ548=1,0,ROUNDUP(AF548/BY548,0))</f>
        <v>1</v>
      </c>
      <c r="AH548" s="52" t="n">
        <f aca="false">IF(CQ548&gt;0,CQ548*MAX(1,AF548/X548),IF(BZ548=1,IF(AF548&lt;=0,0,CD548*MAX(1,IF(H548&gt;0,AF548/H548,1))),IF(R548&gt;0,AG548/R548,0))/MAX(0.1,N(Parameter!$M$21)))</f>
        <v>0.00357142857142857</v>
      </c>
      <c r="AI548" s="50" t="n">
        <f aca="false">AH548*CB548</f>
        <v>0.553571428571429</v>
      </c>
      <c r="AJ548" s="51" t="n">
        <f aca="false">IF(LEFT(Cockpit!$C$5,1)="A",H548,IF(CH548=1,(CK548+CI548)/2,IF(LEFT(Cockpit!$C$5,1)="B",(CK548+AL548)/2,MAX((CK548+AL548)/2,H548))))</f>
        <v>3</v>
      </c>
      <c r="AK548" s="50" t="n">
        <f aca="false">AJ548*G548</f>
        <v>18.15</v>
      </c>
      <c r="AL548" s="50" t="n">
        <f aca="false">ROUNDUP(CK548+MAX(CL548,2*(J548/IF(CG548&gt;0,CG548,MAX(0.1,N(Cockpit!$C$6)))-CK548)),0)</f>
        <v>5</v>
      </c>
      <c r="AM548" s="51" t="n">
        <f aca="false">IF(AI548&gt;0,J548/AI548,-1)</f>
        <v>7.2258064516129</v>
      </c>
      <c r="AN548" s="51" t="n">
        <f aca="false">IF(AND(OR(CF548="L1",CF548="L23",CF548="LIFT"),AI548&gt;0),SUMIFS($AI$7:$AI$1843,$CF$7:$CF$1843,CF548,$AM$7:$AM$1843,"&gt;"&amp;AM548)+SUMIFS($AI$7:$AI$1843,$CF$7:$CF$1843,CF548,$AM$7:$AM$1843,AM548,$BW$7:$BW$1843,"&lt;="&amp;BW548),"")</f>
        <v>3155.58287545788</v>
      </c>
      <c r="AO548" s="58" t="n">
        <f aca="false">IF(AN548="",0,MAX(0,MIN(1,(IF(CF548="L1",Parameter!$H$5,IF(CF548="L23",Parameter!$H$6+Parameter!$H$7,Parameter!$H$5+Parameter!$H$6+Parameter!$H$7))-(AN548-AI548))/AI548)))</f>
        <v>1</v>
      </c>
      <c r="AP548" s="50" t="n">
        <f aca="false">IF(LEFT(Cockpit!$I$5,1)="A",H548,IF(Parameter!$E$30="MAX-Bestand",IF(CH548=1,CI548,IF(LEFT(Cockpit!$I$5,1)="B",AV548,MAX(AV548,H548))),ROUNDUP(AT548,0)))</f>
        <v>3</v>
      </c>
      <c r="AQ548" s="50" t="n">
        <f aca="false">IF(BZ548=1,0,ROUNDUP(AP548/BY548,0))</f>
        <v>1</v>
      </c>
      <c r="AR548" s="52" t="n">
        <f aca="false">IF(CQ548&gt;0,CQ548*MAX(1,AP548/X548),IF(BZ548=1,IF(AP548&lt;=0,0,CD548*MAX(1,IF(H548&gt;0,AP548/H548,1))),IF(R548&gt;0,AQ548/R548,0))/MAX(0.1,N(Parameter!$M$21)))</f>
        <v>0.00357142857142857</v>
      </c>
      <c r="AS548" s="50" t="n">
        <f aca="false">AR548*CB548</f>
        <v>0.553571428571429</v>
      </c>
      <c r="AT548" s="51" t="n">
        <f aca="false">IF(LEFT(Cockpit!$I$5,1)="A",H548,IF(CH548=1,(CK548+CI548)/2,IF(LEFT(Cockpit!$I$5,1)="B",(CK548+AV548)/2,MAX((CK548+AV548)/2,H548))))</f>
        <v>3</v>
      </c>
      <c r="AU548" s="50" t="n">
        <f aca="false">AT548*G548</f>
        <v>18.15</v>
      </c>
      <c r="AV548" s="50" t="n">
        <f aca="false">ROUNDUP(CK548+MAX(CL548,2*(J548/IF(CG548&gt;0,CG548,MAX(0.1,N(Cockpit!$I$6)))-CK548)),0)</f>
        <v>5</v>
      </c>
      <c r="AW548" s="51" t="n">
        <f aca="false">IF(AS548&gt;0,J548/AS548,-1)</f>
        <v>7.2258064516129</v>
      </c>
      <c r="AX548" s="51" t="n">
        <f aca="false">IF(AND(OR(CF548="L1",CF548="L23",CF548="LIFT"),AS548&gt;0),SUMIFS($AS$7:$AS$1843,$CF$7:$CF$1843,CF548,$AW$7:$AW$1843,"&gt;"&amp;AW548)+SUMIFS($AS$7:$AS$1843,$CF$7:$CF$1843,CF548,$AW$7:$AW$1843,AW548,$BW$7:$BW$1843,"&lt;="&amp;BW548),"")</f>
        <v>3815.89423076923</v>
      </c>
      <c r="AY548" s="58" t="n">
        <f aca="false">IF(AX548="",0,MAX(0,MIN(1,(IF(CF548="L1",Parameter!$H$5,IF(CF548="L23",Parameter!$H$6+Parameter!$H$7,Parameter!$H$5+Parameter!$H$6+Parameter!$H$7))-(AX548-AS548))/AS548)))</f>
        <v>1</v>
      </c>
      <c r="AZ548" s="50" t="n">
        <f aca="false">IF(LEFT(Cockpit!$O$5,1)="A",H548,IF(Parameter!$E$30="MAX-Bestand",IF(CH548=1,CI548,IF(LEFT(Cockpit!$O$5,1)="B",BF548,MAX(BF548,H548))),ROUNDUP(BD548,0)))</f>
        <v>3</v>
      </c>
      <c r="BA548" s="50" t="n">
        <f aca="false">IF(BZ548=1,0,ROUNDUP(AZ548/BY548,0))</f>
        <v>1</v>
      </c>
      <c r="BB548" s="52" t="n">
        <f aca="false">IF(CQ548&gt;0,CQ548*MAX(1,AZ548/X548),IF(BZ548=1,IF(AZ548&lt;=0,0,CD548*MAX(1,IF(H548&gt;0,AZ548/H548,1))),IF(R548&gt;0,BA548/R548,0))/MAX(0.1,N(Parameter!$M$21)))</f>
        <v>0.00357142857142857</v>
      </c>
      <c r="BC548" s="50" t="n">
        <f aca="false">BB548*CB548</f>
        <v>0.553571428571429</v>
      </c>
      <c r="BD548" s="51" t="n">
        <f aca="false">IF(LEFT(Cockpit!$O$5,1)="A",H548,IF(CH548=1,(CK548+CI548)/2,IF(LEFT(Cockpit!$O$5,1)="B",(CK548+BF548)/2,MAX((CK548+BF548)/2,H548))))</f>
        <v>2.5</v>
      </c>
      <c r="BE548" s="50" t="n">
        <f aca="false">BD548*G548</f>
        <v>15.125</v>
      </c>
      <c r="BF548" s="50" t="n">
        <f aca="false">ROUNDUP(CK548+MAX(CL548,2*(J548/IF(CG548&gt;0,CG548,MAX(0.1,N(Cockpit!$O$6)))-CK548)),0)</f>
        <v>5</v>
      </c>
      <c r="BG548" s="51" t="n">
        <f aca="false">IF(BC548&gt;0,J548/BC548,-1)</f>
        <v>7.2258064516129</v>
      </c>
      <c r="BH548" s="51" t="n">
        <f aca="false">IF(AND(OR(CF548="L1",CF548="L23",CF548="LIFT"),BC548&gt;0),SUMIFS($BC$7:$BC$1843,$CF$7:$CF$1843,CF548,$BG$7:$BG$1843,"&gt;"&amp;BG548)+SUMIFS($BC$7:$BC$1843,$CF$7:$CF$1843,CF548,$BG$7:$BG$1843,BG548,$BW$7:$BW$1843,"&lt;="&amp;BW548),"")</f>
        <v>3240.35210622711</v>
      </c>
      <c r="BI548" s="58" t="n">
        <f aca="false">IF(BH548="",0,MAX(0,MIN(1,(IF(CF548="L1",Parameter!$H$5,IF(CF548="L23",Parameter!$H$6+Parameter!$H$7,Parameter!$H$5+Parameter!$H$6+Parameter!$H$7))-(BH548-BC548))/BC548)))</f>
        <v>1</v>
      </c>
      <c r="BJ548" s="48" t="str">
        <f aca="false">IF(AI548&lt;=0,"",IF(CF548="Aussen","Aussenlager",IF(CF548="-","Nicht im Lift",IF(AO548&gt;=1,"Lift",IF(AO548&lt;=0,"Aussenlager","teilweise")))))</f>
        <v>Lift</v>
      </c>
      <c r="BK548" s="48" t="str">
        <f aca="false">IF(AS548&lt;=0,"",IF(CF548="Aussen","Aussenlager",IF(CF548="-","Nicht im Lift",IF(AY548&gt;=1,"Lift",IF(AY548&lt;=0,"Aussenlager","teilweise")))))</f>
        <v>Lift</v>
      </c>
      <c r="BL548" s="48" t="str">
        <f aca="false">IF(BC548&lt;=0,"",IF(CF548="Aussen","Aussenlager",IF(CF548="-","Nicht im Lift",IF(BI548&gt;=1,"Lift",IF(BI548&lt;=0,"Aussenlager","teilweise")))))</f>
        <v>Lift</v>
      </c>
      <c r="BM548" s="48" t="str">
        <f aca="false">IF(A548="","",IF(BV548=1,"Neu; ","")&amp;IF(AND(BV548=0,BQ548&lt;0),"negativer Bestand (Export "&amp;BQ548&amp;"); ","")&amp;IF(J548&lt;=0,"Kein Verbrauch; ","")&amp;IF(CQ548&gt;0,"Lift "&amp;W548&amp;" lt. Liftbericht (Fach "&amp;X548&amp;" Stk); ",IF(CA548=1,"Gebinde geschätzt ("&amp;T548&amp;"); ",IF(BZ548=1,"Lose – Tablare geschätzt; ","")))&amp;IF(H548&gt;AV548,"Überbestand "&amp;ROUND(H548-AV548,0)&amp;" Stk / CHF "&amp;ROUND((H548-AV548)*G548,0)&amp;"; ","")&amp;IF(AND(CH548=1,CI548&lt;CJ548),"MAX &lt; MB+LG; ","")&amp;IF(AND(CP548&gt;0,CO548*10&gt;CP548),"zu hoch für Tablar; ","")&amp;IF(AND(BV548=0,OR(CH548=1,AA548&lt;&gt;"",U548&lt;&gt;"",V548&lt;&gt;"",AB548&lt;&gt;"")),"manuell übersteuert; ","")&amp;IF(AND(BZ548=0,R548=0),"Gebinde unbekannt / Stellmass fehlt; ","")&amp;IF(AND(BZ548=0,N(V548)&lt;=0,N(Q548)&lt;=0),"Menge pro Gebinde fehlt (Ist = 1 Gebinde); ","")&amp;BU548)</f>
        <v/>
      </c>
      <c r="BN548" s="48"/>
      <c r="BO548" s="48"/>
      <c r="BP548" s="55"/>
      <c r="BQ548" s="50" t="n">
        <v>3</v>
      </c>
      <c r="BR548" s="50" t="n">
        <v>0</v>
      </c>
      <c r="BS548" s="49" t="n">
        <v>18.15</v>
      </c>
      <c r="BT548" s="50" t="n">
        <v>4</v>
      </c>
      <c r="BU548" s="48"/>
      <c r="BV548" s="53" t="n">
        <v>0</v>
      </c>
      <c r="BW548" s="53" t="n">
        <v>548</v>
      </c>
      <c r="BX548" s="48" t="str">
        <f aca="false">IF(U548&lt;&gt;"",UPPER(TRIM(U548)),IF(CA548=1,UPPER(VLOOKUP(T548,Parameter!$I$27:$K$29,2,0)),IF(P548="","LOSE",P548)))</f>
        <v>S21</v>
      </c>
      <c r="BY548" s="50" t="n">
        <f aca="false">IF(BX548="LOSE",1,IF(N(V548)&gt;0,V548,IF(CA548=1,MAX(1,N(VLOOKUP(T548,Parameter!$I$27:$K$29,3,0)),H548,N(N548)),IF(N(Q548)&gt;0,Q548,MAX(1,H548)))))</f>
        <v>3</v>
      </c>
      <c r="BZ548" s="53" t="n">
        <f aca="false">IF(BX548="LOSE",1,0)</f>
        <v>0</v>
      </c>
      <c r="CA548" s="53" t="n">
        <f aca="false">IF(AND(U548="",OR(P548="",P548="LOSE"),T548&lt;&gt;"",N(S548)&lt;=0,ISNUMBER(MATCH(T548,Parameter!$I$27:$I$29,0))),1,0)</f>
        <v>0</v>
      </c>
      <c r="CB548" s="53" t="n">
        <f aca="false">IF(CQ548&gt;0,INDEX(Parameter!$H$5:$H$7,W548)/INDEX(Parameter!$E$5:$E$7,W548),IF(AND(BZ548=0,N(IFERROR(VLOOKUP(BX548,'Gebinde-Kategorie'!$A$5:$N$45,14,0),0))&gt;0),VLOOKUP(BX548,'Gebinde-Kategorie'!$A$5:$N$45,14,0)*10+Parameter!$M$23,Parameter!$M$24))</f>
        <v>155</v>
      </c>
      <c r="CC548" s="48" t="str">
        <f aca="false">IF(AND(Parameter!$B$19="Ja",E548&lt;&gt;"",ISNUMBER(MATCH(E548,Parameter!$I$35:$I$52,0))),VLOOKUP(E548,Parameter!$I$35:$J$52,2,0),IFERROR(VLOOKUP(D548,Parameter!$A$35:$C$64,2,0),"Nein"))</f>
        <v>2+3</v>
      </c>
      <c r="CD548" s="52" t="n">
        <f aca="false">IF(BZ548=0,0,IF(N(S548)&gt;0,S548,IFERROR(VLOOKUP(D548,Parameter!$A$35:$C$64,3,0)+0,0)))</f>
        <v>0</v>
      </c>
      <c r="CE548" s="48" t="n">
        <f aca="false">IF(AA548&lt;&gt;"",AA548,Z548)</f>
        <v>3</v>
      </c>
      <c r="CF548" s="48" t="str">
        <f aca="false">IF(OR(CE548=1,CE548=2,CE548=3),IF(Parameter!$E$27="Ja","LIFT",IF(CE548=1,"L1","L23")),IF(CE548="Aussen","Aussen","-"))</f>
        <v>LIFT</v>
      </c>
      <c r="CG548" s="59" t="n">
        <f aca="false">IF(N(AB548)&gt;0,AB548,0)</f>
        <v>0</v>
      </c>
      <c r="CH548" s="53" t="n">
        <f aca="false">IF(ISNUMBER(AE548),1,0)</f>
        <v>0</v>
      </c>
      <c r="CI548" s="50" t="n">
        <f aca="false">N(AE548)</f>
        <v>0</v>
      </c>
      <c r="CJ548" s="50" t="n">
        <f aca="false">N(M548)+N(N548)</f>
        <v>5</v>
      </c>
      <c r="CK548" s="50" t="n">
        <f aca="false">N(M548)</f>
        <v>0</v>
      </c>
      <c r="CL548" s="50" t="n">
        <f aca="false">N(N548)</f>
        <v>5</v>
      </c>
      <c r="CM548" s="50" t="n">
        <f aca="false">ROUNDUP(H548/BY548,0)</f>
        <v>1</v>
      </c>
      <c r="CN548" s="50" t="n">
        <f aca="false">ROUNDUP(CI548/BY548,0)</f>
        <v>0</v>
      </c>
      <c r="CO548" s="53" t="n">
        <f aca="false">IF(BZ548=1,0,IFERROR(VLOOKUP(BX548,'Gebinde-Kategorie'!$A$5:$N$45,5,0)+0,0))</f>
        <v>8</v>
      </c>
      <c r="CP548" s="53" t="n">
        <f aca="false">IFERROR(IF(OR(CE548=1,CE548=2,CE548=3),N(INDEX(Parameter!$I$5:$I$7,CE548)),0),0)</f>
        <v>0</v>
      </c>
      <c r="CQ548" s="52" t="n">
        <f aca="false">IF(AND(Parameter!$B$21="Ja",ISNUMBER(W548),N(X548)&gt;0),IFERROR(N(INDEX(Parameter!$L$5:$L$7,W548))*INDEX(Parameter!$E$5:$E$7,W548)*X548/SUMIFS($X$7:$X$1843,$W$7:$W$1843,W548),0),0)</f>
        <v>0</v>
      </c>
    </row>
    <row r="549" customFormat="false" ht="15" hidden="false" customHeight="false" outlineLevel="0" collapsed="false">
      <c r="A549" s="48" t="s">
        <v>1183</v>
      </c>
      <c r="B549" s="48" t="s">
        <v>856</v>
      </c>
      <c r="C549" s="48" t="s">
        <v>173</v>
      </c>
      <c r="D549" s="48" t="s">
        <v>193</v>
      </c>
      <c r="E549" s="48" t="s">
        <v>194</v>
      </c>
      <c r="F549" s="48" t="s">
        <v>227</v>
      </c>
      <c r="G549" s="49" t="n">
        <v>15.69</v>
      </c>
      <c r="H549" s="50" t="n">
        <f aca="false">MAX(0,IF(AND(Parameter!$B$21="Ja",ISNUMBER(Y549)),Y549,IF(Parameter!$B$20="Jahresanfang 2025 + Export",BR549+BQ549,BQ549)))</f>
        <v>6</v>
      </c>
      <c r="I549" s="50" t="n">
        <f aca="false">H549*G549</f>
        <v>94.14</v>
      </c>
      <c r="J549" s="50" t="n">
        <f aca="false">BT549*Parameter!$B$18</f>
        <v>7</v>
      </c>
      <c r="K549" s="51" t="n">
        <v>6</v>
      </c>
      <c r="L549" s="52" t="n">
        <v>1.16666666666667</v>
      </c>
      <c r="M549" s="50" t="n">
        <v>0</v>
      </c>
      <c r="N549" s="50" t="n">
        <v>5</v>
      </c>
      <c r="O549" s="53" t="n">
        <v>14</v>
      </c>
      <c r="P549" s="48" t="s">
        <v>485</v>
      </c>
      <c r="Q549" s="50" t="n">
        <v>10</v>
      </c>
      <c r="R549" s="53" t="n">
        <f aca="false">IF(BZ549=1,0,IFERROR(VLOOKUP(BX549,'Gebinde-Kategorie'!$A$5:$N$45,13,0)+0,0))</f>
        <v>52</v>
      </c>
      <c r="S549" s="54"/>
      <c r="T549" s="55"/>
      <c r="U549" s="55"/>
      <c r="V549" s="55"/>
      <c r="W549" s="48"/>
      <c r="X549" s="50"/>
      <c r="Y549" s="50"/>
      <c r="Z549" s="48" t="n">
        <f aca="false">IF(A549="","",IF(AND(Parameter!$B$21="Ja",ISNUMBER(W549)),W549,IF(CC549="2+3",IF(ISNUMBER(SEARCH("grosser Artikel",BU549)),2,IFERROR(VLOOKUP(BX549,Parameter!$F$35:$G$64,2,0),2)),IF(OR(CC549="Nein",CC549=""),"-",CC549))))</f>
        <v>3</v>
      </c>
      <c r="AA549" s="55"/>
      <c r="AB549" s="56"/>
      <c r="AC549" s="50" t="n">
        <f aca="false">AV549</f>
        <v>5</v>
      </c>
      <c r="AD549" s="50" t="n">
        <f aca="false">MAX(AV549,H549)</f>
        <v>6</v>
      </c>
      <c r="AE549" s="57"/>
      <c r="AF549" s="50" t="n">
        <f aca="false">IF(LEFT(Cockpit!$C$5,1)="A",H549,IF(Parameter!$E$30="MAX-Bestand",IF(CH549=1,CI549,IF(LEFT(Cockpit!$C$5,1)="B",AL549,MAX(AL549,H549))),ROUNDUP(AJ549,0)))</f>
        <v>6</v>
      </c>
      <c r="AG549" s="50" t="n">
        <f aca="false">IF(BZ549=1,0,ROUNDUP(AF549/BY549,0))</f>
        <v>1</v>
      </c>
      <c r="AH549" s="52" t="n">
        <f aca="false">IF(CQ549&gt;0,CQ549*MAX(1,AF549/X549),IF(BZ549=1,IF(AF549&lt;=0,0,CD549*MAX(1,IF(H549&gt;0,AF549/H549,1))),IF(R549&gt;0,AG549/R549,0))/MAX(0.1,N(Parameter!$M$21)))</f>
        <v>0.0192307692307692</v>
      </c>
      <c r="AI549" s="50" t="n">
        <f aca="false">AH549*CB549</f>
        <v>2.98076923076923</v>
      </c>
      <c r="AJ549" s="51" t="n">
        <f aca="false">IF(LEFT(Cockpit!$C$5,1)="A",H549,IF(CH549=1,(CK549+CI549)/2,IF(LEFT(Cockpit!$C$5,1)="B",(CK549+AL549)/2,MAX((CK549+AL549)/2,H549))))</f>
        <v>6</v>
      </c>
      <c r="AK549" s="50" t="n">
        <f aca="false">AJ549*G549</f>
        <v>94.14</v>
      </c>
      <c r="AL549" s="50" t="n">
        <f aca="false">ROUNDUP(CK549+MAX(CL549,2*(J549/IF(CG549&gt;0,CG549,MAX(0.1,N(Cockpit!$C$6)))-CK549)),0)</f>
        <v>5</v>
      </c>
      <c r="AM549" s="51" t="n">
        <f aca="false">IF(AI549&gt;0,J549/AI549,-1)</f>
        <v>2.34838709677419</v>
      </c>
      <c r="AN549" s="51" t="n">
        <f aca="false">IF(AND(OR(CF549="L1",CF549="L23",CF549="LIFT"),AI549&gt;0),SUMIFS($AI$7:$AI$1843,$CF$7:$CF$1843,CF549,$AM$7:$AM$1843,"&gt;"&amp;AM549)+SUMIFS($AI$7:$AI$1843,$CF$7:$CF$1843,CF549,$AM$7:$AM$1843,AM549,$BW$7:$BW$1843,"&lt;="&amp;BW549),"")</f>
        <v>5631.21840659341</v>
      </c>
      <c r="AO549" s="58" t="n">
        <f aca="false">IF(AN549="",0,MAX(0,MIN(1,(IF(CF549="L1",Parameter!$H$5,IF(CF549="L23",Parameter!$H$6+Parameter!$H$7,Parameter!$H$5+Parameter!$H$6+Parameter!$H$7))-(AN549-AI549))/AI549)))</f>
        <v>1</v>
      </c>
      <c r="AP549" s="50" t="n">
        <f aca="false">IF(LEFT(Cockpit!$I$5,1)="A",H549,IF(Parameter!$E$30="MAX-Bestand",IF(CH549=1,CI549,IF(LEFT(Cockpit!$I$5,1)="B",AV549,MAX(AV549,H549))),ROUNDUP(AT549,0)))</f>
        <v>6</v>
      </c>
      <c r="AQ549" s="50" t="n">
        <f aca="false">IF(BZ549=1,0,ROUNDUP(AP549/BY549,0))</f>
        <v>1</v>
      </c>
      <c r="AR549" s="52" t="n">
        <f aca="false">IF(CQ549&gt;0,CQ549*MAX(1,AP549/X549),IF(BZ549=1,IF(AP549&lt;=0,0,CD549*MAX(1,IF(H549&gt;0,AP549/H549,1))),IF(R549&gt;0,AQ549/R549,0))/MAX(0.1,N(Parameter!$M$21)))</f>
        <v>0.0192307692307692</v>
      </c>
      <c r="AS549" s="50" t="n">
        <f aca="false">AR549*CB549</f>
        <v>2.98076923076923</v>
      </c>
      <c r="AT549" s="51" t="n">
        <f aca="false">IF(LEFT(Cockpit!$I$5,1)="A",H549,IF(CH549=1,(CK549+CI549)/2,IF(LEFT(Cockpit!$I$5,1)="B",(CK549+AV549)/2,MAX((CK549+AV549)/2,H549))))</f>
        <v>6</v>
      </c>
      <c r="AU549" s="50" t="n">
        <f aca="false">AT549*G549</f>
        <v>94.14</v>
      </c>
      <c r="AV549" s="50" t="n">
        <f aca="false">ROUNDUP(CK549+MAX(CL549,2*(J549/IF(CG549&gt;0,CG549,MAX(0.1,N(Cockpit!$I$6)))-CK549)),0)</f>
        <v>5</v>
      </c>
      <c r="AW549" s="51" t="n">
        <f aca="false">IF(AS549&gt;0,J549/AS549,-1)</f>
        <v>2.34838709677419</v>
      </c>
      <c r="AX549" s="51" t="n">
        <f aca="false">IF(AND(OR(CF549="L1",CF549="L23",CF549="LIFT"),AS549&gt;0),SUMIFS($AS$7:$AS$1843,$CF$7:$CF$1843,CF549,$AW$7:$AW$1843,"&gt;"&amp;AW549)+SUMIFS($AS$7:$AS$1843,$CF$7:$CF$1843,CF549,$AW$7:$AW$1843,AW549,$BW$7:$BW$1843,"&lt;="&amp;BW549),"")</f>
        <v>6453.6130952381</v>
      </c>
      <c r="AY549" s="58" t="n">
        <f aca="false">IF(AX549="",0,MAX(0,MIN(1,(IF(CF549="L1",Parameter!$H$5,IF(CF549="L23",Parameter!$H$6+Parameter!$H$7,Parameter!$H$5+Parameter!$H$6+Parameter!$H$7))-(AX549-AS549))/AS549)))</f>
        <v>1</v>
      </c>
      <c r="AZ549" s="50" t="n">
        <f aca="false">IF(LEFT(Cockpit!$O$5,1)="A",H549,IF(Parameter!$E$30="MAX-Bestand",IF(CH549=1,CI549,IF(LEFT(Cockpit!$O$5,1)="B",BF549,MAX(BF549,H549))),ROUNDUP(BD549,0)))</f>
        <v>3</v>
      </c>
      <c r="BA549" s="50" t="n">
        <f aca="false">IF(BZ549=1,0,ROUNDUP(AZ549/BY549,0))</f>
        <v>1</v>
      </c>
      <c r="BB549" s="52" t="n">
        <f aca="false">IF(CQ549&gt;0,CQ549*MAX(1,AZ549/X549),IF(BZ549=1,IF(AZ549&lt;=0,0,CD549*MAX(1,IF(H549&gt;0,AZ549/H549,1))),IF(R549&gt;0,BA549/R549,0))/MAX(0.1,N(Parameter!$M$21)))</f>
        <v>0.0192307692307692</v>
      </c>
      <c r="BC549" s="50" t="n">
        <f aca="false">BB549*CB549</f>
        <v>2.98076923076923</v>
      </c>
      <c r="BD549" s="51" t="n">
        <f aca="false">IF(LEFT(Cockpit!$O$5,1)="A",H549,IF(CH549=1,(CK549+CI549)/2,IF(LEFT(Cockpit!$O$5,1)="B",(CK549+BF549)/2,MAX((CK549+BF549)/2,H549))))</f>
        <v>2.5</v>
      </c>
      <c r="BE549" s="50" t="n">
        <f aca="false">BD549*G549</f>
        <v>39.225</v>
      </c>
      <c r="BF549" s="50" t="n">
        <f aca="false">ROUNDUP(CK549+MAX(CL549,2*(J549/IF(CG549&gt;0,CG549,MAX(0.1,N(Cockpit!$O$6)))-CK549)),0)</f>
        <v>5</v>
      </c>
      <c r="BG549" s="51" t="n">
        <f aca="false">IF(BC549&gt;0,J549/BC549,-1)</f>
        <v>2.34838709677419</v>
      </c>
      <c r="BH549" s="51" t="n">
        <f aca="false">IF(AND(OR(CF549="L1",CF549="L23",CF549="LIFT"),BC549&gt;0),SUMIFS($BC$7:$BC$1843,$CF$7:$CF$1843,CF549,$BG$7:$BG$1843,"&gt;"&amp;BG549)+SUMIFS($BC$7:$BC$1843,$CF$7:$CF$1843,CF549,$BG$7:$BG$1843,BG549,$BW$7:$BW$1843,"&lt;="&amp;BW549),"")</f>
        <v>5607.48076923077</v>
      </c>
      <c r="BI549" s="58" t="n">
        <f aca="false">IF(BH549="",0,MAX(0,MIN(1,(IF(CF549="L1",Parameter!$H$5,IF(CF549="L23",Parameter!$H$6+Parameter!$H$7,Parameter!$H$5+Parameter!$H$6+Parameter!$H$7))-(BH549-BC549))/BC549)))</f>
        <v>1</v>
      </c>
      <c r="BJ549" s="48" t="str">
        <f aca="false">IF(AI549&lt;=0,"",IF(CF549="Aussen","Aussenlager",IF(CF549="-","Nicht im Lift",IF(AO549&gt;=1,"Lift",IF(AO549&lt;=0,"Aussenlager","teilweise")))))</f>
        <v>Lift</v>
      </c>
      <c r="BK549" s="48" t="str">
        <f aca="false">IF(AS549&lt;=0,"",IF(CF549="Aussen","Aussenlager",IF(CF549="-","Nicht im Lift",IF(AY549&gt;=1,"Lift",IF(AY549&lt;=0,"Aussenlager","teilweise")))))</f>
        <v>Lift</v>
      </c>
      <c r="BL549" s="48" t="str">
        <f aca="false">IF(BC549&lt;=0,"",IF(CF549="Aussen","Aussenlager",IF(CF549="-","Nicht im Lift",IF(BI549&gt;=1,"Lift",IF(BI549&lt;=0,"Aussenlager","teilweise")))))</f>
        <v>Lift</v>
      </c>
      <c r="BM549" s="48" t="str">
        <f aca="false">IF(A549="","",IF(BV549=1,"Neu; ","")&amp;IF(AND(BV549=0,BQ549&lt;0),"negativer Bestand (Export "&amp;BQ549&amp;"); ","")&amp;IF(J549&lt;=0,"Kein Verbrauch; ","")&amp;IF(CQ549&gt;0,"Lift "&amp;W549&amp;" lt. Liftbericht (Fach "&amp;X549&amp;" Stk); ",IF(CA549=1,"Gebinde geschätzt ("&amp;T549&amp;"); ",IF(BZ549=1,"Lose – Tablare geschätzt; ","")))&amp;IF(H549&gt;AV549,"Überbestand "&amp;ROUND(H549-AV549,0)&amp;" Stk / CHF "&amp;ROUND((H549-AV549)*G549,0)&amp;"; ","")&amp;IF(AND(CH549=1,CI549&lt;CJ549),"MAX &lt; MB+LG; ","")&amp;IF(AND(CP549&gt;0,CO549*10&gt;CP549),"zu hoch für Tablar; ","")&amp;IF(AND(BV549=0,OR(CH549=1,AA549&lt;&gt;"",U549&lt;&gt;"",V549&lt;&gt;"",AB549&lt;&gt;"")),"manuell übersteuert; ","")&amp;IF(AND(BZ549=0,R549=0),"Gebinde unbekannt / Stellmass fehlt; ","")&amp;IF(AND(BZ549=0,N(V549)&lt;=0,N(Q549)&lt;=0),"Menge pro Gebinde fehlt (Ist = 1 Gebinde); ","")&amp;BU549)</f>
        <v>Überbestand 1 Stk / CHF 16; </v>
      </c>
      <c r="BN549" s="48"/>
      <c r="BO549" s="48"/>
      <c r="BP549" s="55"/>
      <c r="BQ549" s="50" t="n">
        <v>1</v>
      </c>
      <c r="BR549" s="50" t="n">
        <v>5</v>
      </c>
      <c r="BS549" s="49" t="n">
        <v>17.74</v>
      </c>
      <c r="BT549" s="50" t="n">
        <v>7</v>
      </c>
      <c r="BU549" s="48"/>
      <c r="BV549" s="53" t="n">
        <v>0</v>
      </c>
      <c r="BW549" s="53" t="n">
        <v>549</v>
      </c>
      <c r="BX549" s="48" t="str">
        <f aca="false">IF(U549&lt;&gt;"",UPPER(TRIM(U549)),IF(CA549=1,UPPER(VLOOKUP(T549,Parameter!$I$27:$K$29,2,0)),IF(P549="","LOSE",P549)))</f>
        <v>S33</v>
      </c>
      <c r="BY549" s="50" t="n">
        <f aca="false">IF(BX549="LOSE",1,IF(N(V549)&gt;0,V549,IF(CA549=1,MAX(1,N(VLOOKUP(T549,Parameter!$I$27:$K$29,3,0)),H549,N(N549)),IF(N(Q549)&gt;0,Q549,MAX(1,H549)))))</f>
        <v>10</v>
      </c>
      <c r="BZ549" s="53" t="n">
        <f aca="false">IF(BX549="LOSE",1,0)</f>
        <v>0</v>
      </c>
      <c r="CA549" s="53" t="n">
        <f aca="false">IF(AND(U549="",OR(P549="",P549="LOSE"),T549&lt;&gt;"",N(S549)&lt;=0,ISNUMBER(MATCH(T549,Parameter!$I$27:$I$29,0))),1,0)</f>
        <v>0</v>
      </c>
      <c r="CB549" s="53" t="n">
        <f aca="false">IF(CQ549&gt;0,INDEX(Parameter!$H$5:$H$7,W549)/INDEX(Parameter!$E$5:$E$7,W549),IF(AND(BZ549=0,N(IFERROR(VLOOKUP(BX549,'Gebinde-Kategorie'!$A$5:$N$45,14,0),0))&gt;0),VLOOKUP(BX549,'Gebinde-Kategorie'!$A$5:$N$45,14,0)*10+Parameter!$M$23,Parameter!$M$24))</f>
        <v>155</v>
      </c>
      <c r="CC549" s="48" t="str">
        <f aca="false">IF(AND(Parameter!$B$19="Ja",E549&lt;&gt;"",ISNUMBER(MATCH(E549,Parameter!$I$35:$I$52,0))),VLOOKUP(E549,Parameter!$I$35:$J$52,2,0),IFERROR(VLOOKUP(D549,Parameter!$A$35:$C$64,2,0),"Nein"))</f>
        <v>2+3</v>
      </c>
      <c r="CD549" s="52" t="n">
        <f aca="false">IF(BZ549=0,0,IF(N(S549)&gt;0,S549,IFERROR(VLOOKUP(D549,Parameter!$A$35:$C$64,3,0)+0,0)))</f>
        <v>0</v>
      </c>
      <c r="CE549" s="48" t="n">
        <f aca="false">IF(AA549&lt;&gt;"",AA549,Z549)</f>
        <v>3</v>
      </c>
      <c r="CF549" s="48" t="str">
        <f aca="false">IF(OR(CE549=1,CE549=2,CE549=3),IF(Parameter!$E$27="Ja","LIFT",IF(CE549=1,"L1","L23")),IF(CE549="Aussen","Aussen","-"))</f>
        <v>LIFT</v>
      </c>
      <c r="CG549" s="59" t="n">
        <f aca="false">IF(N(AB549)&gt;0,AB549,0)</f>
        <v>0</v>
      </c>
      <c r="CH549" s="53" t="n">
        <f aca="false">IF(ISNUMBER(AE549),1,0)</f>
        <v>0</v>
      </c>
      <c r="CI549" s="50" t="n">
        <f aca="false">N(AE549)</f>
        <v>0</v>
      </c>
      <c r="CJ549" s="50" t="n">
        <f aca="false">N(M549)+N(N549)</f>
        <v>5</v>
      </c>
      <c r="CK549" s="50" t="n">
        <f aca="false">N(M549)</f>
        <v>0</v>
      </c>
      <c r="CL549" s="50" t="n">
        <f aca="false">N(N549)</f>
        <v>5</v>
      </c>
      <c r="CM549" s="50" t="n">
        <f aca="false">ROUNDUP(H549/BY549,0)</f>
        <v>1</v>
      </c>
      <c r="CN549" s="50" t="n">
        <f aca="false">ROUNDUP(CI549/BY549,0)</f>
        <v>0</v>
      </c>
      <c r="CO549" s="53" t="n">
        <f aca="false">IF(BZ549=1,0,IFERROR(VLOOKUP(BX549,'Gebinde-Kategorie'!$A$5:$N$45,5,0)+0,0))</f>
        <v>8</v>
      </c>
      <c r="CP549" s="53" t="n">
        <f aca="false">IFERROR(IF(OR(CE549=1,CE549=2,CE549=3),N(INDEX(Parameter!$I$5:$I$7,CE549)),0),0)</f>
        <v>0</v>
      </c>
      <c r="CQ549" s="52" t="n">
        <f aca="false">IF(AND(Parameter!$B$21="Ja",ISNUMBER(W549),N(X549)&gt;0),IFERROR(N(INDEX(Parameter!$L$5:$L$7,W549))*INDEX(Parameter!$E$5:$E$7,W549)*X549/SUMIFS($X$7:$X$1843,$W$7:$W$1843,W549),0),0)</f>
        <v>0</v>
      </c>
    </row>
    <row r="550" customFormat="false" ht="15" hidden="false" customHeight="false" outlineLevel="0" collapsed="false">
      <c r="A550" s="48" t="s">
        <v>1184</v>
      </c>
      <c r="B550" s="48" t="s">
        <v>1185</v>
      </c>
      <c r="C550" s="48" t="s">
        <v>173</v>
      </c>
      <c r="D550" s="48" t="s">
        <v>193</v>
      </c>
      <c r="E550" s="48" t="s">
        <v>194</v>
      </c>
      <c r="F550" s="48" t="s">
        <v>227</v>
      </c>
      <c r="G550" s="49" t="n">
        <v>4.21</v>
      </c>
      <c r="H550" s="50" t="n">
        <f aca="false">MAX(0,IF(AND(Parameter!$B$21="Ja",ISNUMBER(Y550)),Y550,IF(Parameter!$B$20="Jahresanfang 2025 + Export",BR550+BQ550,BQ550)))</f>
        <v>21</v>
      </c>
      <c r="I550" s="50" t="n">
        <f aca="false">H550*G550</f>
        <v>88.41</v>
      </c>
      <c r="J550" s="50" t="n">
        <f aca="false">BT550*Parameter!$B$18</f>
        <v>7</v>
      </c>
      <c r="K550" s="51" t="n">
        <v>19.5</v>
      </c>
      <c r="L550" s="52" t="n">
        <v>0.358974358974359</v>
      </c>
      <c r="M550" s="50" t="n">
        <v>0</v>
      </c>
      <c r="N550" s="50" t="n">
        <v>5</v>
      </c>
      <c r="O550" s="53" t="n">
        <v>21</v>
      </c>
      <c r="P550" s="48" t="s">
        <v>195</v>
      </c>
      <c r="Q550" s="50" t="n">
        <v>29</v>
      </c>
      <c r="R550" s="53" t="n">
        <f aca="false">IF(BZ550=1,0,IFERROR(VLOOKUP(BX550,'Gebinde-Kategorie'!$A$5:$N$45,13,0)+0,0))</f>
        <v>12</v>
      </c>
      <c r="S550" s="54"/>
      <c r="T550" s="55"/>
      <c r="U550" s="55"/>
      <c r="V550" s="55"/>
      <c r="W550" s="48"/>
      <c r="X550" s="50"/>
      <c r="Y550" s="50"/>
      <c r="Z550" s="48" t="n">
        <f aca="false">IF(A550="","",IF(AND(Parameter!$B$21="Ja",ISNUMBER(W550)),W550,IF(CC550="2+3",IF(ISNUMBER(SEARCH("grosser Artikel",BU550)),2,IFERROR(VLOOKUP(BX550,Parameter!$F$35:$G$64,2,0),2)),IF(OR(CC550="Nein",CC550=""),"-",CC550))))</f>
        <v>2</v>
      </c>
      <c r="AA550" s="55"/>
      <c r="AB550" s="56"/>
      <c r="AC550" s="50" t="n">
        <f aca="false">AV550</f>
        <v>5</v>
      </c>
      <c r="AD550" s="50" t="n">
        <f aca="false">MAX(AV550,H550)</f>
        <v>21</v>
      </c>
      <c r="AE550" s="57"/>
      <c r="AF550" s="50" t="n">
        <f aca="false">IF(LEFT(Cockpit!$C$5,1)="A",H550,IF(Parameter!$E$30="MAX-Bestand",IF(CH550=1,CI550,IF(LEFT(Cockpit!$C$5,1)="B",AL550,MAX(AL550,H550))),ROUNDUP(AJ550,0)))</f>
        <v>21</v>
      </c>
      <c r="AG550" s="50" t="n">
        <f aca="false">IF(BZ550=1,0,ROUNDUP(AF550/BY550,0))</f>
        <v>1</v>
      </c>
      <c r="AH550" s="52" t="n">
        <f aca="false">IF(CQ550&gt;0,CQ550*MAX(1,AF550/X550),IF(BZ550=1,IF(AF550&lt;=0,0,CD550*MAX(1,IF(H550&gt;0,AF550/H550,1))),IF(R550&gt;0,AG550/R550,0))/MAX(0.1,N(Parameter!$M$21)))</f>
        <v>0.0833333333333333</v>
      </c>
      <c r="AI550" s="50" t="n">
        <f aca="false">AH550*CB550</f>
        <v>12.0833333333333</v>
      </c>
      <c r="AJ550" s="51" t="n">
        <f aca="false">IF(LEFT(Cockpit!$C$5,1)="A",H550,IF(CH550=1,(CK550+CI550)/2,IF(LEFT(Cockpit!$C$5,1)="B",(CK550+AL550)/2,MAX((CK550+AL550)/2,H550))))</f>
        <v>21</v>
      </c>
      <c r="AK550" s="50" t="n">
        <f aca="false">AJ550*G550</f>
        <v>88.41</v>
      </c>
      <c r="AL550" s="50" t="n">
        <f aca="false">ROUNDUP(CK550+MAX(CL550,2*(J550/IF(CG550&gt;0,CG550,MAX(0.1,N(Cockpit!$C$6)))-CK550)),0)</f>
        <v>5</v>
      </c>
      <c r="AM550" s="51" t="n">
        <f aca="false">IF(AI550&gt;0,J550/AI550,-1)</f>
        <v>0.579310344827586</v>
      </c>
      <c r="AN550" s="51" t="n">
        <f aca="false">IF(AND(OR(CF550="L1",CF550="L23",CF550="LIFT"),AI550&gt;0),SUMIFS($AI$7:$AI$1843,$CF$7:$CF$1843,CF550,$AM$7:$AM$1843,"&gt;"&amp;AM550)+SUMIFS($AI$7:$AI$1843,$CF$7:$CF$1843,CF550,$AM$7:$AM$1843,AM550,$BW$7:$BW$1843,"&lt;="&amp;BW550),"")</f>
        <v>9381.87588729538</v>
      </c>
      <c r="AO550" s="58" t="n">
        <f aca="false">IF(AN550="",0,MAX(0,MIN(1,(IF(CF550="L1",Parameter!$H$5,IF(CF550="L23",Parameter!$H$6+Parameter!$H$7,Parameter!$H$5+Parameter!$H$6+Parameter!$H$7))-(AN550-AI550))/AI550)))</f>
        <v>1</v>
      </c>
      <c r="AP550" s="50" t="n">
        <f aca="false">IF(LEFT(Cockpit!$I$5,1)="A",H550,IF(Parameter!$E$30="MAX-Bestand",IF(CH550=1,CI550,IF(LEFT(Cockpit!$I$5,1)="B",AV550,MAX(AV550,H550))),ROUNDUP(AT550,0)))</f>
        <v>21</v>
      </c>
      <c r="AQ550" s="50" t="n">
        <f aca="false">IF(BZ550=1,0,ROUNDUP(AP550/BY550,0))</f>
        <v>1</v>
      </c>
      <c r="AR550" s="52" t="n">
        <f aca="false">IF(CQ550&gt;0,CQ550*MAX(1,AP550/X550),IF(BZ550=1,IF(AP550&lt;=0,0,CD550*MAX(1,IF(H550&gt;0,AP550/H550,1))),IF(R550&gt;0,AQ550/R550,0))/MAX(0.1,N(Parameter!$M$21)))</f>
        <v>0.0833333333333333</v>
      </c>
      <c r="AS550" s="50" t="n">
        <f aca="false">AR550*CB550</f>
        <v>12.0833333333333</v>
      </c>
      <c r="AT550" s="51" t="n">
        <f aca="false">IF(LEFT(Cockpit!$I$5,1)="A",H550,IF(CH550=1,(CK550+CI550)/2,IF(LEFT(Cockpit!$I$5,1)="B",(CK550+AV550)/2,MAX((CK550+AV550)/2,H550))))</f>
        <v>21</v>
      </c>
      <c r="AU550" s="50" t="n">
        <f aca="false">AT550*G550</f>
        <v>88.41</v>
      </c>
      <c r="AV550" s="50" t="n">
        <f aca="false">ROUNDUP(CK550+MAX(CL550,2*(J550/IF(CG550&gt;0,CG550,MAX(0.1,N(Cockpit!$I$6)))-CK550)),0)</f>
        <v>5</v>
      </c>
      <c r="AW550" s="51" t="n">
        <f aca="false">IF(AS550&gt;0,J550/AS550,-1)</f>
        <v>0.579310344827586</v>
      </c>
      <c r="AX550" s="51" t="n">
        <f aca="false">IF(AND(OR(CF550="L1",CF550="L23",CF550="LIFT"),AS550&gt;0),SUMIFS($AS$7:$AS$1843,$CF$7:$CF$1843,CF550,$AW$7:$AW$1843,"&gt;"&amp;AW550)+SUMIFS($AS$7:$AS$1843,$CF$7:$CF$1843,CF550,$AW$7:$AW$1843,AW550,$BW$7:$BW$1843,"&lt;="&amp;BW550),"")</f>
        <v>11467.1227106227</v>
      </c>
      <c r="AY550" s="58" t="n">
        <f aca="false">IF(AX550="",0,MAX(0,MIN(1,(IF(CF550="L1",Parameter!$H$5,IF(CF550="L23",Parameter!$H$6+Parameter!$H$7,Parameter!$H$5+Parameter!$H$6+Parameter!$H$7))-(AX550-AS550))/AS550)))</f>
        <v>1</v>
      </c>
      <c r="AZ550" s="50" t="n">
        <f aca="false">IF(LEFT(Cockpit!$O$5,1)="A",H550,IF(Parameter!$E$30="MAX-Bestand",IF(CH550=1,CI550,IF(LEFT(Cockpit!$O$5,1)="B",BF550,MAX(BF550,H550))),ROUNDUP(BD550,0)))</f>
        <v>3</v>
      </c>
      <c r="BA550" s="50" t="n">
        <f aca="false">IF(BZ550=1,0,ROUNDUP(AZ550/BY550,0))</f>
        <v>1</v>
      </c>
      <c r="BB550" s="52" t="n">
        <f aca="false">IF(CQ550&gt;0,CQ550*MAX(1,AZ550/X550),IF(BZ550=1,IF(AZ550&lt;=0,0,CD550*MAX(1,IF(H550&gt;0,AZ550/H550,1))),IF(R550&gt;0,BA550/R550,0))/MAX(0.1,N(Parameter!$M$21)))</f>
        <v>0.0833333333333333</v>
      </c>
      <c r="BC550" s="50" t="n">
        <f aca="false">BB550*CB550</f>
        <v>12.0833333333333</v>
      </c>
      <c r="BD550" s="51" t="n">
        <f aca="false">IF(LEFT(Cockpit!$O$5,1)="A",H550,IF(CH550=1,(CK550+CI550)/2,IF(LEFT(Cockpit!$O$5,1)="B",(CK550+BF550)/2,MAX((CK550+BF550)/2,H550))))</f>
        <v>2.5</v>
      </c>
      <c r="BE550" s="50" t="n">
        <f aca="false">BD550*G550</f>
        <v>10.525</v>
      </c>
      <c r="BF550" s="50" t="n">
        <f aca="false">ROUNDUP(CK550+MAX(CL550,2*(J550/IF(CG550&gt;0,CG550,MAX(0.1,N(Cockpit!$O$6)))-CK550)),0)</f>
        <v>5</v>
      </c>
      <c r="BG550" s="51" t="n">
        <f aca="false">IF(BC550&gt;0,J550/BC550,-1)</f>
        <v>0.579310344827586</v>
      </c>
      <c r="BH550" s="51" t="n">
        <f aca="false">IF(AND(OR(CF550="L1",CF550="L23",CF550="LIFT"),BC550&gt;0),SUMIFS($BC$7:$BC$1843,$CF$7:$CF$1843,CF550,$BG$7:$BG$1843,"&gt;"&amp;BG550)+SUMIFS($BC$7:$BC$1843,$CF$7:$CF$1843,CF550,$BG$7:$BG$1843,BG550,$BW$7:$BW$1843,"&lt;="&amp;BW550),"")</f>
        <v>10089.7055860806</v>
      </c>
      <c r="BI550" s="58" t="n">
        <f aca="false">IF(BH550="",0,MAX(0,MIN(1,(IF(CF550="L1",Parameter!$H$5,IF(CF550="L23",Parameter!$H$6+Parameter!$H$7,Parameter!$H$5+Parameter!$H$6+Parameter!$H$7))-(BH550-BC550))/BC550)))</f>
        <v>1</v>
      </c>
      <c r="BJ550" s="48" t="str">
        <f aca="false">IF(AI550&lt;=0,"",IF(CF550="Aussen","Aussenlager",IF(CF550="-","Nicht im Lift",IF(AO550&gt;=1,"Lift",IF(AO550&lt;=0,"Aussenlager","teilweise")))))</f>
        <v>Lift</v>
      </c>
      <c r="BK550" s="48" t="str">
        <f aca="false">IF(AS550&lt;=0,"",IF(CF550="Aussen","Aussenlager",IF(CF550="-","Nicht im Lift",IF(AY550&gt;=1,"Lift",IF(AY550&lt;=0,"Aussenlager","teilweise")))))</f>
        <v>Lift</v>
      </c>
      <c r="BL550" s="48" t="str">
        <f aca="false">IF(BC550&lt;=0,"",IF(CF550="Aussen","Aussenlager",IF(CF550="-","Nicht im Lift",IF(BI550&gt;=1,"Lift",IF(BI550&lt;=0,"Aussenlager","teilweise")))))</f>
        <v>Lift</v>
      </c>
      <c r="BM550" s="48" t="str">
        <f aca="false">IF(A550="","",IF(BV550=1,"Neu; ","")&amp;IF(AND(BV550=0,BQ550&lt;0),"negativer Bestand (Export "&amp;BQ550&amp;"); ","")&amp;IF(J550&lt;=0,"Kein Verbrauch; ","")&amp;IF(CQ550&gt;0,"Lift "&amp;W550&amp;" lt. Liftbericht (Fach "&amp;X550&amp;" Stk); ",IF(CA550=1,"Gebinde geschätzt ("&amp;T550&amp;"); ",IF(BZ550=1,"Lose – Tablare geschätzt; ","")))&amp;IF(H550&gt;AV550,"Überbestand "&amp;ROUND(H550-AV550,0)&amp;" Stk / CHF "&amp;ROUND((H550-AV550)*G550,0)&amp;"; ","")&amp;IF(AND(CH550=1,CI550&lt;CJ550),"MAX &lt; MB+LG; ","")&amp;IF(AND(CP550&gt;0,CO550*10&gt;CP550),"zu hoch für Tablar; ","")&amp;IF(AND(BV550=0,OR(CH550=1,AA550&lt;&gt;"",U550&lt;&gt;"",V550&lt;&gt;"",AB550&lt;&gt;"")),"manuell übersteuert; ","")&amp;IF(AND(BZ550=0,R550=0),"Gebinde unbekannt / Stellmass fehlt; ","")&amp;IF(AND(BZ550=0,N(V550)&lt;=0,N(Q550)&lt;=0),"Menge pro Gebinde fehlt (Ist = 1 Gebinde); ","")&amp;BU550)</f>
        <v>Überbestand 16 Stk / CHF 67; </v>
      </c>
      <c r="BN550" s="48"/>
      <c r="BO550" s="48"/>
      <c r="BP550" s="55"/>
      <c r="BQ550" s="50" t="n">
        <v>4</v>
      </c>
      <c r="BR550" s="50" t="n">
        <v>17</v>
      </c>
      <c r="BS550" s="49" t="n">
        <v>16.84</v>
      </c>
      <c r="BT550" s="50" t="n">
        <v>7</v>
      </c>
      <c r="BU550" s="48"/>
      <c r="BV550" s="53" t="n">
        <v>0</v>
      </c>
      <c r="BW550" s="53" t="n">
        <v>550</v>
      </c>
      <c r="BX550" s="48" t="str">
        <f aca="false">IF(U550&lt;&gt;"",UPPER(TRIM(U550)),IF(CA550=1,UPPER(VLOOKUP(T550,Parameter!$I$27:$K$29,2,0)),IF(P550="","LOSE",P550)))</f>
        <v>S61</v>
      </c>
      <c r="BY550" s="50" t="n">
        <f aca="false">IF(BX550="LOSE",1,IF(N(V550)&gt;0,V550,IF(CA550=1,MAX(1,N(VLOOKUP(T550,Parameter!$I$27:$K$29,3,0)),H550,N(N550)),IF(N(Q550)&gt;0,Q550,MAX(1,H550)))))</f>
        <v>29</v>
      </c>
      <c r="BZ550" s="53" t="n">
        <f aca="false">IF(BX550="LOSE",1,0)</f>
        <v>0</v>
      </c>
      <c r="CA550" s="53" t="n">
        <f aca="false">IF(AND(U550="",OR(P550="",P550="LOSE"),T550&lt;&gt;"",N(S550)&lt;=0,ISNUMBER(MATCH(T550,Parameter!$I$27:$I$29,0))),1,0)</f>
        <v>0</v>
      </c>
      <c r="CB550" s="53" t="n">
        <f aca="false">IF(CQ550&gt;0,INDEX(Parameter!$H$5:$H$7,W550)/INDEX(Parameter!$E$5:$E$7,W550),IF(AND(BZ550=0,N(IFERROR(VLOOKUP(BX550,'Gebinde-Kategorie'!$A$5:$N$45,14,0),0))&gt;0),VLOOKUP(BX550,'Gebinde-Kategorie'!$A$5:$N$45,14,0)*10+Parameter!$M$23,Parameter!$M$24))</f>
        <v>145</v>
      </c>
      <c r="CC550" s="48" t="str">
        <f aca="false">IF(AND(Parameter!$B$19="Ja",E550&lt;&gt;"",ISNUMBER(MATCH(E550,Parameter!$I$35:$I$52,0))),VLOOKUP(E550,Parameter!$I$35:$J$52,2,0),IFERROR(VLOOKUP(D550,Parameter!$A$35:$C$64,2,0),"Nein"))</f>
        <v>2+3</v>
      </c>
      <c r="CD550" s="52" t="n">
        <f aca="false">IF(BZ550=0,0,IF(N(S550)&gt;0,S550,IFERROR(VLOOKUP(D550,Parameter!$A$35:$C$64,3,0)+0,0)))</f>
        <v>0</v>
      </c>
      <c r="CE550" s="48" t="n">
        <f aca="false">IF(AA550&lt;&gt;"",AA550,Z550)</f>
        <v>2</v>
      </c>
      <c r="CF550" s="48" t="str">
        <f aca="false">IF(OR(CE550=1,CE550=2,CE550=3),IF(Parameter!$E$27="Ja","LIFT",IF(CE550=1,"L1","L23")),IF(CE550="Aussen","Aussen","-"))</f>
        <v>LIFT</v>
      </c>
      <c r="CG550" s="59" t="n">
        <f aca="false">IF(N(AB550)&gt;0,AB550,0)</f>
        <v>0</v>
      </c>
      <c r="CH550" s="53" t="n">
        <f aca="false">IF(ISNUMBER(AE550),1,0)</f>
        <v>0</v>
      </c>
      <c r="CI550" s="50" t="n">
        <f aca="false">N(AE550)</f>
        <v>0</v>
      </c>
      <c r="CJ550" s="50" t="n">
        <f aca="false">N(M550)+N(N550)</f>
        <v>5</v>
      </c>
      <c r="CK550" s="50" t="n">
        <f aca="false">N(M550)</f>
        <v>0</v>
      </c>
      <c r="CL550" s="50" t="n">
        <f aca="false">N(N550)</f>
        <v>5</v>
      </c>
      <c r="CM550" s="50" t="n">
        <f aca="false">ROUNDUP(H550/BY550,0)</f>
        <v>1</v>
      </c>
      <c r="CN550" s="50" t="n">
        <f aca="false">ROUNDUP(CI550/BY550,0)</f>
        <v>0</v>
      </c>
      <c r="CO550" s="53" t="n">
        <f aca="false">IF(BZ550=1,0,IFERROR(VLOOKUP(BX550,'Gebinde-Kategorie'!$A$5:$N$45,5,0)+0,0))</f>
        <v>11</v>
      </c>
      <c r="CP550" s="53" t="n">
        <f aca="false">IFERROR(IF(OR(CE550=1,CE550=2,CE550=3),N(INDEX(Parameter!$I$5:$I$7,CE550)),0),0)</f>
        <v>0</v>
      </c>
      <c r="CQ550" s="52" t="n">
        <f aca="false">IF(AND(Parameter!$B$21="Ja",ISNUMBER(W550),N(X550)&gt;0),IFERROR(N(INDEX(Parameter!$L$5:$L$7,W550))*INDEX(Parameter!$E$5:$E$7,W550)*X550/SUMIFS($X$7:$X$1843,$W$7:$W$1843,W550),0),0)</f>
        <v>0</v>
      </c>
    </row>
    <row r="551" customFormat="false" ht="15" hidden="false" customHeight="false" outlineLevel="0" collapsed="false">
      <c r="A551" s="48" t="s">
        <v>1186</v>
      </c>
      <c r="B551" s="48" t="s">
        <v>956</v>
      </c>
      <c r="C551" s="48" t="s">
        <v>173</v>
      </c>
      <c r="D551" s="48" t="s">
        <v>193</v>
      </c>
      <c r="E551" s="48" t="s">
        <v>194</v>
      </c>
      <c r="F551" s="48" t="s">
        <v>227</v>
      </c>
      <c r="G551" s="49" t="n">
        <v>1.68</v>
      </c>
      <c r="H551" s="50" t="n">
        <f aca="false">MAX(0,IF(AND(Parameter!$B$21="Ja",ISNUMBER(Y551)),Y551,IF(Parameter!$B$20="Jahresanfang 2025 + Export",BR551+BQ551,BQ551)))</f>
        <v>56</v>
      </c>
      <c r="I551" s="50" t="n">
        <f aca="false">H551*G551</f>
        <v>94.08</v>
      </c>
      <c r="J551" s="50" t="n">
        <f aca="false">BT551*Parameter!$B$18</f>
        <v>151</v>
      </c>
      <c r="K551" s="51" t="n">
        <v>46.5</v>
      </c>
      <c r="L551" s="52" t="n">
        <v>3.24731182795699</v>
      </c>
      <c r="M551" s="50" t="n">
        <v>8</v>
      </c>
      <c r="N551" s="50" t="n">
        <v>150</v>
      </c>
      <c r="O551" s="53" t="n">
        <v>21</v>
      </c>
      <c r="P551" s="48" t="s">
        <v>430</v>
      </c>
      <c r="Q551" s="50" t="n">
        <v>91</v>
      </c>
      <c r="R551" s="53" t="n">
        <f aca="false">IF(BZ551=1,0,IFERROR(VLOOKUP(BX551,'Gebinde-Kategorie'!$A$5:$N$45,13,0)+0,0))</f>
        <v>104</v>
      </c>
      <c r="S551" s="54"/>
      <c r="T551" s="55"/>
      <c r="U551" s="55"/>
      <c r="V551" s="55"/>
      <c r="W551" s="48"/>
      <c r="X551" s="50"/>
      <c r="Y551" s="50"/>
      <c r="Z551" s="48" t="n">
        <f aca="false">IF(A551="","",IF(AND(Parameter!$B$21="Ja",ISNUMBER(W551)),W551,IF(CC551="2+3",IF(ISNUMBER(SEARCH("grosser Artikel",BU551)),2,IFERROR(VLOOKUP(BX551,Parameter!$F$35:$G$64,2,0),2)),IF(OR(CC551="Nein",CC551=""),"-",CC551))))</f>
        <v>3</v>
      </c>
      <c r="AA551" s="55"/>
      <c r="AB551" s="56"/>
      <c r="AC551" s="50" t="n">
        <f aca="false">AV551</f>
        <v>158</v>
      </c>
      <c r="AD551" s="50" t="n">
        <f aca="false">MAX(AV551,H551)</f>
        <v>158</v>
      </c>
      <c r="AE551" s="57"/>
      <c r="AF551" s="50" t="n">
        <f aca="false">IF(LEFT(Cockpit!$C$5,1)="A",H551,IF(Parameter!$E$30="MAX-Bestand",IF(CH551=1,CI551,IF(LEFT(Cockpit!$C$5,1)="B",AL551,MAX(AL551,H551))),ROUNDUP(AJ551,0)))</f>
        <v>56</v>
      </c>
      <c r="AG551" s="50" t="n">
        <f aca="false">IF(BZ551=1,0,ROUNDUP(AF551/BY551,0))</f>
        <v>1</v>
      </c>
      <c r="AH551" s="52" t="n">
        <f aca="false">IF(CQ551&gt;0,CQ551*MAX(1,AF551/X551),IF(BZ551=1,IF(AF551&lt;=0,0,CD551*MAX(1,IF(H551&gt;0,AF551/H551,1))),IF(R551&gt;0,AG551/R551,0))/MAX(0.1,N(Parameter!$M$21)))</f>
        <v>0.00961538461538462</v>
      </c>
      <c r="AI551" s="50" t="n">
        <f aca="false">AH551*CB551</f>
        <v>1.49038461538462</v>
      </c>
      <c r="AJ551" s="51" t="n">
        <f aca="false">IF(LEFT(Cockpit!$C$5,1)="A",H551,IF(CH551=1,(CK551+CI551)/2,IF(LEFT(Cockpit!$C$5,1)="B",(CK551+AL551)/2,MAX((CK551+AL551)/2,H551))))</f>
        <v>56</v>
      </c>
      <c r="AK551" s="50" t="n">
        <f aca="false">AJ551*G551</f>
        <v>94.08</v>
      </c>
      <c r="AL551" s="50" t="n">
        <f aca="false">ROUNDUP(CK551+MAX(CL551,2*(J551/IF(CG551&gt;0,CG551,MAX(0.1,N(Cockpit!$C$6)))-CK551)),0)</f>
        <v>158</v>
      </c>
      <c r="AM551" s="51" t="n">
        <f aca="false">IF(AI551&gt;0,J551/AI551,-1)</f>
        <v>101.316129032258</v>
      </c>
      <c r="AN551" s="51" t="n">
        <f aca="false">IF(AND(OR(CF551="L1",CF551="L23",CF551="LIFT"),AI551&gt;0),SUMIFS($AI$7:$AI$1843,$CF$7:$CF$1843,CF551,$AM$7:$AM$1843,"&gt;"&amp;AM551)+SUMIFS($AI$7:$AI$1843,$CF$7:$CF$1843,CF551,$AM$7:$AM$1843,AM551,$BW$7:$BW$1843,"&lt;="&amp;BW551),"")</f>
        <v>757.373168498169</v>
      </c>
      <c r="AO551" s="58" t="n">
        <f aca="false">IF(AN551="",0,MAX(0,MIN(1,(IF(CF551="L1",Parameter!$H$5,IF(CF551="L23",Parameter!$H$6+Parameter!$H$7,Parameter!$H$5+Parameter!$H$6+Parameter!$H$7))-(AN551-AI551))/AI551)))</f>
        <v>1</v>
      </c>
      <c r="AP551" s="50" t="n">
        <f aca="false">IF(LEFT(Cockpit!$I$5,1)="A",H551,IF(Parameter!$E$30="MAX-Bestand",IF(CH551=1,CI551,IF(LEFT(Cockpit!$I$5,1)="B",AV551,MAX(AV551,H551))),ROUNDUP(AT551,0)))</f>
        <v>83</v>
      </c>
      <c r="AQ551" s="50" t="n">
        <f aca="false">IF(BZ551=1,0,ROUNDUP(AP551/BY551,0))</f>
        <v>1</v>
      </c>
      <c r="AR551" s="52" t="n">
        <f aca="false">IF(CQ551&gt;0,CQ551*MAX(1,AP551/X551),IF(BZ551=1,IF(AP551&lt;=0,0,CD551*MAX(1,IF(H551&gt;0,AP551/H551,1))),IF(R551&gt;0,AQ551/R551,0))/MAX(0.1,N(Parameter!$M$21)))</f>
        <v>0.00961538461538462</v>
      </c>
      <c r="AS551" s="50" t="n">
        <f aca="false">AR551*CB551</f>
        <v>1.49038461538462</v>
      </c>
      <c r="AT551" s="51" t="n">
        <f aca="false">IF(LEFT(Cockpit!$I$5,1)="A",H551,IF(CH551=1,(CK551+CI551)/2,IF(LEFT(Cockpit!$I$5,1)="B",(CK551+AV551)/2,MAX((CK551+AV551)/2,H551))))</f>
        <v>83</v>
      </c>
      <c r="AU551" s="50" t="n">
        <f aca="false">AT551*G551</f>
        <v>139.44</v>
      </c>
      <c r="AV551" s="50" t="n">
        <f aca="false">ROUNDUP(CK551+MAX(CL551,2*(J551/IF(CG551&gt;0,CG551,MAX(0.1,N(Cockpit!$I$6)))-CK551)),0)</f>
        <v>158</v>
      </c>
      <c r="AW551" s="51" t="n">
        <f aca="false">IF(AS551&gt;0,J551/AS551,-1)</f>
        <v>101.316129032258</v>
      </c>
      <c r="AX551" s="51" t="n">
        <f aca="false">IF(AND(OR(CF551="L1",CF551="L23",CF551="LIFT"),AS551&gt;0),SUMIFS($AS$7:$AS$1843,$CF$7:$CF$1843,CF551,$AW$7:$AW$1843,"&gt;"&amp;AW551)+SUMIFS($AS$7:$AS$1843,$CF$7:$CF$1843,CF551,$AW$7:$AW$1843,AW551,$BW$7:$BW$1843,"&lt;="&amp;BW551),"")</f>
        <v>832.096153846154</v>
      </c>
      <c r="AY551" s="58" t="n">
        <f aca="false">IF(AX551="",0,MAX(0,MIN(1,(IF(CF551="L1",Parameter!$H$5,IF(CF551="L23",Parameter!$H$6+Parameter!$H$7,Parameter!$H$5+Parameter!$H$6+Parameter!$H$7))-(AX551-AS551))/AS551)))</f>
        <v>1</v>
      </c>
      <c r="AZ551" s="50" t="n">
        <f aca="false">IF(LEFT(Cockpit!$O$5,1)="A",H551,IF(Parameter!$E$30="MAX-Bestand",IF(CH551=1,CI551,IF(LEFT(Cockpit!$O$5,1)="B",BF551,MAX(BF551,H551))),ROUNDUP(BD551,0)))</f>
        <v>83</v>
      </c>
      <c r="BA551" s="50" t="n">
        <f aca="false">IF(BZ551=1,0,ROUNDUP(AZ551/BY551,0))</f>
        <v>1</v>
      </c>
      <c r="BB551" s="52" t="n">
        <f aca="false">IF(CQ551&gt;0,CQ551*MAX(1,AZ551/X551),IF(BZ551=1,IF(AZ551&lt;=0,0,CD551*MAX(1,IF(H551&gt;0,AZ551/H551,1))),IF(R551&gt;0,BA551/R551,0))/MAX(0.1,N(Parameter!$M$21)))</f>
        <v>0.00961538461538462</v>
      </c>
      <c r="BC551" s="50" t="n">
        <f aca="false">BB551*CB551</f>
        <v>1.49038461538462</v>
      </c>
      <c r="BD551" s="51" t="n">
        <f aca="false">IF(LEFT(Cockpit!$O$5,1)="A",H551,IF(CH551=1,(CK551+CI551)/2,IF(LEFT(Cockpit!$O$5,1)="B",(CK551+BF551)/2,MAX((CK551+BF551)/2,H551))))</f>
        <v>83</v>
      </c>
      <c r="BE551" s="50" t="n">
        <f aca="false">BD551*G551</f>
        <v>139.44</v>
      </c>
      <c r="BF551" s="50" t="n">
        <f aca="false">ROUNDUP(CK551+MAX(CL551,2*(J551/IF(CG551&gt;0,CG551,MAX(0.1,N(Cockpit!$O$6)))-CK551)),0)</f>
        <v>158</v>
      </c>
      <c r="BG551" s="51" t="n">
        <f aca="false">IF(BC551&gt;0,J551/BC551,-1)</f>
        <v>101.316129032258</v>
      </c>
      <c r="BH551" s="51" t="n">
        <f aca="false">IF(AND(OR(CF551="L1",CF551="L23",CF551="LIFT"),BC551&gt;0),SUMIFS($BC$7:$BC$1843,$CF$7:$CF$1843,CF551,$BG$7:$BG$1843,"&gt;"&amp;BG551)+SUMIFS($BC$7:$BC$1843,$CF$7:$CF$1843,CF551,$BG$7:$BG$1843,BG551,$BW$7:$BW$1843,"&lt;="&amp;BW551),"")</f>
        <v>901.836996336996</v>
      </c>
      <c r="BI551" s="58" t="n">
        <f aca="false">IF(BH551="",0,MAX(0,MIN(1,(IF(CF551="L1",Parameter!$H$5,IF(CF551="L23",Parameter!$H$6+Parameter!$H$7,Parameter!$H$5+Parameter!$H$6+Parameter!$H$7))-(BH551-BC551))/BC551)))</f>
        <v>1</v>
      </c>
      <c r="BJ551" s="48" t="str">
        <f aca="false">IF(AI551&lt;=0,"",IF(CF551="Aussen","Aussenlager",IF(CF551="-","Nicht im Lift",IF(AO551&gt;=1,"Lift",IF(AO551&lt;=0,"Aussenlager","teilweise")))))</f>
        <v>Lift</v>
      </c>
      <c r="BK551" s="48" t="str">
        <f aca="false">IF(AS551&lt;=0,"",IF(CF551="Aussen","Aussenlager",IF(CF551="-","Nicht im Lift",IF(AY551&gt;=1,"Lift",IF(AY551&lt;=0,"Aussenlager","teilweise")))))</f>
        <v>Lift</v>
      </c>
      <c r="BL551" s="48" t="str">
        <f aca="false">IF(BC551&lt;=0,"",IF(CF551="Aussen","Aussenlager",IF(CF551="-","Nicht im Lift",IF(BI551&gt;=1,"Lift",IF(BI551&lt;=0,"Aussenlager","teilweise")))))</f>
        <v>Lift</v>
      </c>
      <c r="BM551" s="48" t="str">
        <f aca="false">IF(A551="","",IF(BV551=1,"Neu; ","")&amp;IF(AND(BV551=0,BQ551&lt;0),"negativer Bestand (Export "&amp;BQ551&amp;"); ","")&amp;IF(J551&lt;=0,"Kein Verbrauch; ","")&amp;IF(CQ551&gt;0,"Lift "&amp;W551&amp;" lt. Liftbericht (Fach "&amp;X551&amp;" Stk); ",IF(CA551=1,"Gebinde geschätzt ("&amp;T551&amp;"); ",IF(BZ551=1,"Lose – Tablare geschätzt; ","")))&amp;IF(H551&gt;AV551,"Überbestand "&amp;ROUND(H551-AV551,0)&amp;" Stk / CHF "&amp;ROUND((H551-AV551)*G551,0)&amp;"; ","")&amp;IF(AND(CH551=1,CI551&lt;CJ551),"MAX &lt; MB+LG; ","")&amp;IF(AND(CP551&gt;0,CO551*10&gt;CP551),"zu hoch für Tablar; ","")&amp;IF(AND(BV551=0,OR(CH551=1,AA551&lt;&gt;"",U551&lt;&gt;"",V551&lt;&gt;"",AB551&lt;&gt;"")),"manuell übersteuert; ","")&amp;IF(AND(BZ551=0,R551=0),"Gebinde unbekannt / Stellmass fehlt; ","")&amp;IF(AND(BZ551=0,N(V551)&lt;=0,N(Q551)&lt;=0),"Menge pro Gebinde fehlt (Ist = 1 Gebinde); ","")&amp;BU551)</f>
        <v/>
      </c>
      <c r="BN551" s="48"/>
      <c r="BO551" s="48"/>
      <c r="BP551" s="55"/>
      <c r="BQ551" s="50" t="n">
        <v>9</v>
      </c>
      <c r="BR551" s="50" t="n">
        <v>47</v>
      </c>
      <c r="BS551" s="49" t="n">
        <v>16.53</v>
      </c>
      <c r="BT551" s="50" t="n">
        <v>151</v>
      </c>
      <c r="BU551" s="48"/>
      <c r="BV551" s="53" t="n">
        <v>0</v>
      </c>
      <c r="BW551" s="53" t="n">
        <v>551</v>
      </c>
      <c r="BX551" s="48" t="str">
        <f aca="false">IF(U551&lt;&gt;"",UPPER(TRIM(U551)),IF(CA551=1,UPPER(VLOOKUP(T551,Parameter!$I$27:$K$29,2,0)),IF(P551="","LOSE",P551)))</f>
        <v>S32</v>
      </c>
      <c r="BY551" s="50" t="n">
        <f aca="false">IF(BX551="LOSE",1,IF(N(V551)&gt;0,V551,IF(CA551=1,MAX(1,N(VLOOKUP(T551,Parameter!$I$27:$K$29,3,0)),H551,N(N551)),IF(N(Q551)&gt;0,Q551,MAX(1,H551)))))</f>
        <v>91</v>
      </c>
      <c r="BZ551" s="53" t="n">
        <f aca="false">IF(BX551="LOSE",1,0)</f>
        <v>0</v>
      </c>
      <c r="CA551" s="53" t="n">
        <f aca="false">IF(AND(U551="",OR(P551="",P551="LOSE"),T551&lt;&gt;"",N(S551)&lt;=0,ISNUMBER(MATCH(T551,Parameter!$I$27:$I$29,0))),1,0)</f>
        <v>0</v>
      </c>
      <c r="CB551" s="53" t="n">
        <f aca="false">IF(CQ551&gt;0,INDEX(Parameter!$H$5:$H$7,W551)/INDEX(Parameter!$E$5:$E$7,W551),IF(AND(BZ551=0,N(IFERROR(VLOOKUP(BX551,'Gebinde-Kategorie'!$A$5:$N$45,14,0),0))&gt;0),VLOOKUP(BX551,'Gebinde-Kategorie'!$A$5:$N$45,14,0)*10+Parameter!$M$23,Parameter!$M$24))</f>
        <v>155</v>
      </c>
      <c r="CC551" s="48" t="str">
        <f aca="false">IF(AND(Parameter!$B$19="Ja",E551&lt;&gt;"",ISNUMBER(MATCH(E551,Parameter!$I$35:$I$52,0))),VLOOKUP(E551,Parameter!$I$35:$J$52,2,0),IFERROR(VLOOKUP(D551,Parameter!$A$35:$C$64,2,0),"Nein"))</f>
        <v>2+3</v>
      </c>
      <c r="CD551" s="52" t="n">
        <f aca="false">IF(BZ551=0,0,IF(N(S551)&gt;0,S551,IFERROR(VLOOKUP(D551,Parameter!$A$35:$C$64,3,0)+0,0)))</f>
        <v>0</v>
      </c>
      <c r="CE551" s="48" t="n">
        <f aca="false">IF(AA551&lt;&gt;"",AA551,Z551)</f>
        <v>3</v>
      </c>
      <c r="CF551" s="48" t="str">
        <f aca="false">IF(OR(CE551=1,CE551=2,CE551=3),IF(Parameter!$E$27="Ja","LIFT",IF(CE551=1,"L1","L23")),IF(CE551="Aussen","Aussen","-"))</f>
        <v>LIFT</v>
      </c>
      <c r="CG551" s="59" t="n">
        <f aca="false">IF(N(AB551)&gt;0,AB551,0)</f>
        <v>0</v>
      </c>
      <c r="CH551" s="53" t="n">
        <f aca="false">IF(ISNUMBER(AE551),1,0)</f>
        <v>0</v>
      </c>
      <c r="CI551" s="50" t="n">
        <f aca="false">N(AE551)</f>
        <v>0</v>
      </c>
      <c r="CJ551" s="50" t="n">
        <f aca="false">N(M551)+N(N551)</f>
        <v>158</v>
      </c>
      <c r="CK551" s="50" t="n">
        <f aca="false">N(M551)</f>
        <v>8</v>
      </c>
      <c r="CL551" s="50" t="n">
        <f aca="false">N(N551)</f>
        <v>150</v>
      </c>
      <c r="CM551" s="50" t="n">
        <f aca="false">ROUNDUP(H551/BY551,0)</f>
        <v>1</v>
      </c>
      <c r="CN551" s="50" t="n">
        <f aca="false">ROUNDUP(CI551/BY551,0)</f>
        <v>0</v>
      </c>
      <c r="CO551" s="53" t="n">
        <f aca="false">IF(BZ551=1,0,IFERROR(VLOOKUP(BX551,'Gebinde-Kategorie'!$A$5:$N$45,5,0)+0,0))</f>
        <v>8</v>
      </c>
      <c r="CP551" s="53" t="n">
        <f aca="false">IFERROR(IF(OR(CE551=1,CE551=2,CE551=3),N(INDEX(Parameter!$I$5:$I$7,CE551)),0),0)</f>
        <v>0</v>
      </c>
      <c r="CQ551" s="52" t="n">
        <f aca="false">IF(AND(Parameter!$B$21="Ja",ISNUMBER(W551),N(X551)&gt;0),IFERROR(N(INDEX(Parameter!$L$5:$L$7,W551))*INDEX(Parameter!$E$5:$E$7,W551)*X551/SUMIFS($X$7:$X$1843,$W$7:$W$1843,W551),0),0)</f>
        <v>0</v>
      </c>
    </row>
    <row r="552" customFormat="false" ht="15" hidden="false" customHeight="false" outlineLevel="0" collapsed="false">
      <c r="A552" s="48" t="s">
        <v>1187</v>
      </c>
      <c r="B552" s="48" t="s">
        <v>637</v>
      </c>
      <c r="C552" s="48" t="s">
        <v>173</v>
      </c>
      <c r="D552" s="48" t="s">
        <v>193</v>
      </c>
      <c r="E552" s="48" t="s">
        <v>194</v>
      </c>
      <c r="F552" s="48" t="s">
        <v>227</v>
      </c>
      <c r="G552" s="49" t="n">
        <v>9.57</v>
      </c>
      <c r="H552" s="50" t="n">
        <f aca="false">MAX(0,IF(AND(Parameter!$B$21="Ja",ISNUMBER(Y552)),Y552,IF(Parameter!$B$20="Jahresanfang 2025 + Export",BR552+BQ552,BQ552)))</f>
        <v>10</v>
      </c>
      <c r="I552" s="50" t="n">
        <f aca="false">H552*G552</f>
        <v>95.7</v>
      </c>
      <c r="J552" s="50" t="n">
        <f aca="false">BT552*Parameter!$B$18</f>
        <v>18</v>
      </c>
      <c r="K552" s="51" t="n">
        <v>8</v>
      </c>
      <c r="L552" s="52" t="n">
        <v>2.25</v>
      </c>
      <c r="M552" s="50" t="n">
        <v>0</v>
      </c>
      <c r="N552" s="50" t="n">
        <v>5</v>
      </c>
      <c r="O552" s="53" t="n">
        <v>14</v>
      </c>
      <c r="P552" s="48" t="s">
        <v>410</v>
      </c>
      <c r="Q552" s="50" t="n">
        <v>31</v>
      </c>
      <c r="R552" s="53" t="n">
        <f aca="false">IF(BZ552=1,0,IFERROR(VLOOKUP(BX552,'Gebinde-Kategorie'!$A$5:$N$45,13,0)+0,0))</f>
        <v>280</v>
      </c>
      <c r="S552" s="54"/>
      <c r="T552" s="55"/>
      <c r="U552" s="55"/>
      <c r="V552" s="55"/>
      <c r="W552" s="48"/>
      <c r="X552" s="50"/>
      <c r="Y552" s="50"/>
      <c r="Z552" s="48" t="n">
        <f aca="false">IF(A552="","",IF(AND(Parameter!$B$21="Ja",ISNUMBER(W552)),W552,IF(CC552="2+3",IF(ISNUMBER(SEARCH("grosser Artikel",BU552)),2,IFERROR(VLOOKUP(BX552,Parameter!$F$35:$G$64,2,0),2)),IF(OR(CC552="Nein",CC552=""),"-",CC552))))</f>
        <v>3</v>
      </c>
      <c r="AA552" s="55"/>
      <c r="AB552" s="56"/>
      <c r="AC552" s="50" t="n">
        <f aca="false">AV552</f>
        <v>12</v>
      </c>
      <c r="AD552" s="50" t="n">
        <f aca="false">MAX(AV552,H552)</f>
        <v>12</v>
      </c>
      <c r="AE552" s="57"/>
      <c r="AF552" s="50" t="n">
        <f aca="false">IF(LEFT(Cockpit!$C$5,1)="A",H552,IF(Parameter!$E$30="MAX-Bestand",IF(CH552=1,CI552,IF(LEFT(Cockpit!$C$5,1)="B",AL552,MAX(AL552,H552))),ROUNDUP(AJ552,0)))</f>
        <v>10</v>
      </c>
      <c r="AG552" s="50" t="n">
        <f aca="false">IF(BZ552=1,0,ROUNDUP(AF552/BY552,0))</f>
        <v>1</v>
      </c>
      <c r="AH552" s="52" t="n">
        <f aca="false">IF(CQ552&gt;0,CQ552*MAX(1,AF552/X552),IF(BZ552=1,IF(AF552&lt;=0,0,CD552*MAX(1,IF(H552&gt;0,AF552/H552,1))),IF(R552&gt;0,AG552/R552,0))/MAX(0.1,N(Parameter!$M$21)))</f>
        <v>0.00357142857142857</v>
      </c>
      <c r="AI552" s="50" t="n">
        <f aca="false">AH552*CB552</f>
        <v>0.553571428571429</v>
      </c>
      <c r="AJ552" s="51" t="n">
        <f aca="false">IF(LEFT(Cockpit!$C$5,1)="A",H552,IF(CH552=1,(CK552+CI552)/2,IF(LEFT(Cockpit!$C$5,1)="B",(CK552+AL552)/2,MAX((CK552+AL552)/2,H552))))</f>
        <v>10</v>
      </c>
      <c r="AK552" s="50" t="n">
        <f aca="false">AJ552*G552</f>
        <v>95.7</v>
      </c>
      <c r="AL552" s="50" t="n">
        <f aca="false">ROUNDUP(CK552+MAX(CL552,2*(J552/IF(CG552&gt;0,CG552,MAX(0.1,N(Cockpit!$C$6)))-CK552)),0)</f>
        <v>12</v>
      </c>
      <c r="AM552" s="51" t="n">
        <f aca="false">IF(AI552&gt;0,J552/AI552,-1)</f>
        <v>32.5161290322581</v>
      </c>
      <c r="AN552" s="51" t="n">
        <f aca="false">IF(AND(OR(CF552="L1",CF552="L23",CF552="LIFT"),AI552&gt;0),SUMIFS($AI$7:$AI$1843,$CF$7:$CF$1843,CF552,$AM$7:$AM$1843,"&gt;"&amp;AM552)+SUMIFS($AI$7:$AI$1843,$CF$7:$CF$1843,CF552,$AM$7:$AM$1843,AM552,$BW$7:$BW$1843,"&lt;="&amp;BW552),"")</f>
        <v>1347.00274725275</v>
      </c>
      <c r="AO552" s="58" t="n">
        <f aca="false">IF(AN552="",0,MAX(0,MIN(1,(IF(CF552="L1",Parameter!$H$5,IF(CF552="L23",Parameter!$H$6+Parameter!$H$7,Parameter!$H$5+Parameter!$H$6+Parameter!$H$7))-(AN552-AI552))/AI552)))</f>
        <v>1</v>
      </c>
      <c r="AP552" s="50" t="n">
        <f aca="false">IF(LEFT(Cockpit!$I$5,1)="A",H552,IF(Parameter!$E$30="MAX-Bestand",IF(CH552=1,CI552,IF(LEFT(Cockpit!$I$5,1)="B",AV552,MAX(AV552,H552))),ROUNDUP(AT552,0)))</f>
        <v>10</v>
      </c>
      <c r="AQ552" s="50" t="n">
        <f aca="false">IF(BZ552=1,0,ROUNDUP(AP552/BY552,0))</f>
        <v>1</v>
      </c>
      <c r="AR552" s="52" t="n">
        <f aca="false">IF(CQ552&gt;0,CQ552*MAX(1,AP552/X552),IF(BZ552=1,IF(AP552&lt;=0,0,CD552*MAX(1,IF(H552&gt;0,AP552/H552,1))),IF(R552&gt;0,AQ552/R552,0))/MAX(0.1,N(Parameter!$M$21)))</f>
        <v>0.00357142857142857</v>
      </c>
      <c r="AS552" s="50" t="n">
        <f aca="false">AR552*CB552</f>
        <v>0.553571428571429</v>
      </c>
      <c r="AT552" s="51" t="n">
        <f aca="false">IF(LEFT(Cockpit!$I$5,1)="A",H552,IF(CH552=1,(CK552+CI552)/2,IF(LEFT(Cockpit!$I$5,1)="B",(CK552+AV552)/2,MAX((CK552+AV552)/2,H552))))</f>
        <v>10</v>
      </c>
      <c r="AU552" s="50" t="n">
        <f aca="false">AT552*G552</f>
        <v>95.7</v>
      </c>
      <c r="AV552" s="50" t="n">
        <f aca="false">ROUNDUP(CK552+MAX(CL552,2*(J552/IF(CG552&gt;0,CG552,MAX(0.1,N(Cockpit!$I$6)))-CK552)),0)</f>
        <v>12</v>
      </c>
      <c r="AW552" s="51" t="n">
        <f aca="false">IF(AS552&gt;0,J552/AS552,-1)</f>
        <v>32.5161290322581</v>
      </c>
      <c r="AX552" s="51" t="n">
        <f aca="false">IF(AND(OR(CF552="L1",CF552="L23",CF552="LIFT"),AS552&gt;0),SUMIFS($AS$7:$AS$1843,$CF$7:$CF$1843,CF552,$AW$7:$AW$1843,"&gt;"&amp;AW552)+SUMIFS($AS$7:$AS$1843,$CF$7:$CF$1843,CF552,$AW$7:$AW$1843,AW552,$BW$7:$BW$1843,"&lt;="&amp;BW552),"")</f>
        <v>1740.26877289377</v>
      </c>
      <c r="AY552" s="58" t="n">
        <f aca="false">IF(AX552="",0,MAX(0,MIN(1,(IF(CF552="L1",Parameter!$H$5,IF(CF552="L23",Parameter!$H$6+Parameter!$H$7,Parameter!$H$5+Parameter!$H$6+Parameter!$H$7))-(AX552-AS552))/AS552)))</f>
        <v>1</v>
      </c>
      <c r="AZ552" s="50" t="n">
        <f aca="false">IF(LEFT(Cockpit!$O$5,1)="A",H552,IF(Parameter!$E$30="MAX-Bestand",IF(CH552=1,CI552,IF(LEFT(Cockpit!$O$5,1)="B",BF552,MAX(BF552,H552))),ROUNDUP(BD552,0)))</f>
        <v>5</v>
      </c>
      <c r="BA552" s="50" t="n">
        <f aca="false">IF(BZ552=1,0,ROUNDUP(AZ552/BY552,0))</f>
        <v>1</v>
      </c>
      <c r="BB552" s="52" t="n">
        <f aca="false">IF(CQ552&gt;0,CQ552*MAX(1,AZ552/X552),IF(BZ552=1,IF(AZ552&lt;=0,0,CD552*MAX(1,IF(H552&gt;0,AZ552/H552,1))),IF(R552&gt;0,BA552/R552,0))/MAX(0.1,N(Parameter!$M$21)))</f>
        <v>0.00357142857142857</v>
      </c>
      <c r="BC552" s="50" t="n">
        <f aca="false">BB552*CB552</f>
        <v>0.553571428571429</v>
      </c>
      <c r="BD552" s="51" t="n">
        <f aca="false">IF(LEFT(Cockpit!$O$5,1)="A",H552,IF(CH552=1,(CK552+CI552)/2,IF(LEFT(Cockpit!$O$5,1)="B",(CK552+BF552)/2,MAX((CK552+BF552)/2,H552))))</f>
        <v>4.5</v>
      </c>
      <c r="BE552" s="50" t="n">
        <f aca="false">BD552*G552</f>
        <v>43.065</v>
      </c>
      <c r="BF552" s="50" t="n">
        <f aca="false">ROUNDUP(CK552+MAX(CL552,2*(J552/IF(CG552&gt;0,CG552,MAX(0.1,N(Cockpit!$O$6)))-CK552)),0)</f>
        <v>9</v>
      </c>
      <c r="BG552" s="51" t="n">
        <f aca="false">IF(BC552&gt;0,J552/BC552,-1)</f>
        <v>32.5161290322581</v>
      </c>
      <c r="BH552" s="51" t="n">
        <f aca="false">IF(AND(OR(CF552="L1",CF552="L23",CF552="LIFT"),BC552&gt;0),SUMIFS($BC$7:$BC$1843,$CF$7:$CF$1843,CF552,$BG$7:$BG$1843,"&gt;"&amp;BG552)+SUMIFS($BC$7:$BC$1843,$CF$7:$CF$1843,CF552,$BG$7:$BG$1843,BG552,$BW$7:$BW$1843,"&lt;="&amp;BW552),"")</f>
        <v>1679.9445970696</v>
      </c>
      <c r="BI552" s="58" t="n">
        <f aca="false">IF(BH552="",0,MAX(0,MIN(1,(IF(CF552="L1",Parameter!$H$5,IF(CF552="L23",Parameter!$H$6+Parameter!$H$7,Parameter!$H$5+Parameter!$H$6+Parameter!$H$7))-(BH552-BC552))/BC552)))</f>
        <v>1</v>
      </c>
      <c r="BJ552" s="48" t="str">
        <f aca="false">IF(AI552&lt;=0,"",IF(CF552="Aussen","Aussenlager",IF(CF552="-","Nicht im Lift",IF(AO552&gt;=1,"Lift",IF(AO552&lt;=0,"Aussenlager","teilweise")))))</f>
        <v>Lift</v>
      </c>
      <c r="BK552" s="48" t="str">
        <f aca="false">IF(AS552&lt;=0,"",IF(CF552="Aussen","Aussenlager",IF(CF552="-","Nicht im Lift",IF(AY552&gt;=1,"Lift",IF(AY552&lt;=0,"Aussenlager","teilweise")))))</f>
        <v>Lift</v>
      </c>
      <c r="BL552" s="48" t="str">
        <f aca="false">IF(BC552&lt;=0,"",IF(CF552="Aussen","Aussenlager",IF(CF552="-","Nicht im Lift",IF(BI552&gt;=1,"Lift",IF(BI552&lt;=0,"Aussenlager","teilweise")))))</f>
        <v>Lift</v>
      </c>
      <c r="BM552" s="48" t="str">
        <f aca="false">IF(A552="","",IF(BV552=1,"Neu; ","")&amp;IF(AND(BV552=0,BQ552&lt;0),"negativer Bestand (Export "&amp;BQ552&amp;"); ","")&amp;IF(J552&lt;=0,"Kein Verbrauch; ","")&amp;IF(CQ552&gt;0,"Lift "&amp;W552&amp;" lt. Liftbericht (Fach "&amp;X552&amp;" Stk); ",IF(CA552=1,"Gebinde geschätzt ("&amp;T552&amp;"); ",IF(BZ552=1,"Lose – Tablare geschätzt; ","")))&amp;IF(H552&gt;AV552,"Überbestand "&amp;ROUND(H552-AV552,0)&amp;" Stk / CHF "&amp;ROUND((H552-AV552)*G552,0)&amp;"; ","")&amp;IF(AND(CH552=1,CI552&lt;CJ552),"MAX &lt; MB+LG; ","")&amp;IF(AND(CP552&gt;0,CO552*10&gt;CP552),"zu hoch für Tablar; ","")&amp;IF(AND(BV552=0,OR(CH552=1,AA552&lt;&gt;"",U552&lt;&gt;"",V552&lt;&gt;"",AB552&lt;&gt;"")),"manuell übersteuert; ","")&amp;IF(AND(BZ552=0,R552=0),"Gebinde unbekannt / Stellmass fehlt; ","")&amp;IF(AND(BZ552=0,N(V552)&lt;=0,N(Q552)&lt;=0),"Menge pro Gebinde fehlt (Ist = 1 Gebinde); ","")&amp;BU552)</f>
        <v/>
      </c>
      <c r="BN552" s="48"/>
      <c r="BO552" s="48"/>
      <c r="BP552" s="55"/>
      <c r="BQ552" s="50" t="n">
        <v>3</v>
      </c>
      <c r="BR552" s="50" t="n">
        <v>7</v>
      </c>
      <c r="BS552" s="49" t="n">
        <v>16.1</v>
      </c>
      <c r="BT552" s="50" t="n">
        <v>18</v>
      </c>
      <c r="BU552" s="48"/>
      <c r="BV552" s="53" t="n">
        <v>0</v>
      </c>
      <c r="BW552" s="53" t="n">
        <v>552</v>
      </c>
      <c r="BX552" s="48" t="str">
        <f aca="false">IF(U552&lt;&gt;"",UPPER(TRIM(U552)),IF(CA552=1,UPPER(VLOOKUP(T552,Parameter!$I$27:$K$29,2,0)),IF(P552="","LOSE",P552)))</f>
        <v>S21</v>
      </c>
      <c r="BY552" s="50" t="n">
        <f aca="false">IF(BX552="LOSE",1,IF(N(V552)&gt;0,V552,IF(CA552=1,MAX(1,N(VLOOKUP(T552,Parameter!$I$27:$K$29,3,0)),H552,N(N552)),IF(N(Q552)&gt;0,Q552,MAX(1,H552)))))</f>
        <v>31</v>
      </c>
      <c r="BZ552" s="53" t="n">
        <f aca="false">IF(BX552="LOSE",1,0)</f>
        <v>0</v>
      </c>
      <c r="CA552" s="53" t="n">
        <f aca="false">IF(AND(U552="",OR(P552="",P552="LOSE"),T552&lt;&gt;"",N(S552)&lt;=0,ISNUMBER(MATCH(T552,Parameter!$I$27:$I$29,0))),1,0)</f>
        <v>0</v>
      </c>
      <c r="CB552" s="53" t="n">
        <f aca="false">IF(CQ552&gt;0,INDEX(Parameter!$H$5:$H$7,W552)/INDEX(Parameter!$E$5:$E$7,W552),IF(AND(BZ552=0,N(IFERROR(VLOOKUP(BX552,'Gebinde-Kategorie'!$A$5:$N$45,14,0),0))&gt;0),VLOOKUP(BX552,'Gebinde-Kategorie'!$A$5:$N$45,14,0)*10+Parameter!$M$23,Parameter!$M$24))</f>
        <v>155</v>
      </c>
      <c r="CC552" s="48" t="str">
        <f aca="false">IF(AND(Parameter!$B$19="Ja",E552&lt;&gt;"",ISNUMBER(MATCH(E552,Parameter!$I$35:$I$52,0))),VLOOKUP(E552,Parameter!$I$35:$J$52,2,0),IFERROR(VLOOKUP(D552,Parameter!$A$35:$C$64,2,0),"Nein"))</f>
        <v>2+3</v>
      </c>
      <c r="CD552" s="52" t="n">
        <f aca="false">IF(BZ552=0,0,IF(N(S552)&gt;0,S552,IFERROR(VLOOKUP(D552,Parameter!$A$35:$C$64,3,0)+0,0)))</f>
        <v>0</v>
      </c>
      <c r="CE552" s="48" t="n">
        <f aca="false">IF(AA552&lt;&gt;"",AA552,Z552)</f>
        <v>3</v>
      </c>
      <c r="CF552" s="48" t="str">
        <f aca="false">IF(OR(CE552=1,CE552=2,CE552=3),IF(Parameter!$E$27="Ja","LIFT",IF(CE552=1,"L1","L23")),IF(CE552="Aussen","Aussen","-"))</f>
        <v>LIFT</v>
      </c>
      <c r="CG552" s="59" t="n">
        <f aca="false">IF(N(AB552)&gt;0,AB552,0)</f>
        <v>0</v>
      </c>
      <c r="CH552" s="53" t="n">
        <f aca="false">IF(ISNUMBER(AE552),1,0)</f>
        <v>0</v>
      </c>
      <c r="CI552" s="50" t="n">
        <f aca="false">N(AE552)</f>
        <v>0</v>
      </c>
      <c r="CJ552" s="50" t="n">
        <f aca="false">N(M552)+N(N552)</f>
        <v>5</v>
      </c>
      <c r="CK552" s="50" t="n">
        <f aca="false">N(M552)</f>
        <v>0</v>
      </c>
      <c r="CL552" s="50" t="n">
        <f aca="false">N(N552)</f>
        <v>5</v>
      </c>
      <c r="CM552" s="50" t="n">
        <f aca="false">ROUNDUP(H552/BY552,0)</f>
        <v>1</v>
      </c>
      <c r="CN552" s="50" t="n">
        <f aca="false">ROUNDUP(CI552/BY552,0)</f>
        <v>0</v>
      </c>
      <c r="CO552" s="53" t="n">
        <f aca="false">IF(BZ552=1,0,IFERROR(VLOOKUP(BX552,'Gebinde-Kategorie'!$A$5:$N$45,5,0)+0,0))</f>
        <v>8</v>
      </c>
      <c r="CP552" s="53" t="n">
        <f aca="false">IFERROR(IF(OR(CE552=1,CE552=2,CE552=3),N(INDEX(Parameter!$I$5:$I$7,CE552)),0),0)</f>
        <v>0</v>
      </c>
      <c r="CQ552" s="52" t="n">
        <f aca="false">IF(AND(Parameter!$B$21="Ja",ISNUMBER(W552),N(X552)&gt;0),IFERROR(N(INDEX(Parameter!$L$5:$L$7,W552))*INDEX(Parameter!$E$5:$E$7,W552)*X552/SUMIFS($X$7:$X$1843,$W$7:$W$1843,W552),0),0)</f>
        <v>0</v>
      </c>
    </row>
    <row r="553" customFormat="false" ht="15" hidden="false" customHeight="false" outlineLevel="0" collapsed="false">
      <c r="A553" s="48" t="s">
        <v>1188</v>
      </c>
      <c r="B553" s="48" t="s">
        <v>414</v>
      </c>
      <c r="C553" s="48" t="s">
        <v>173</v>
      </c>
      <c r="D553" s="48" t="s">
        <v>182</v>
      </c>
      <c r="E553" s="48" t="s">
        <v>194</v>
      </c>
      <c r="F553" s="48" t="s">
        <v>227</v>
      </c>
      <c r="G553" s="49" t="n">
        <v>0.17</v>
      </c>
      <c r="H553" s="50" t="n">
        <f aca="false">MAX(0,IF(AND(Parameter!$B$21="Ja",ISNUMBER(Y553)),Y553,IF(Parameter!$B$20="Jahresanfang 2025 + Export",BR553+BQ553,BQ553)))</f>
        <v>804</v>
      </c>
      <c r="I553" s="50" t="n">
        <f aca="false">H553*G553</f>
        <v>136.68</v>
      </c>
      <c r="J553" s="50" t="n">
        <f aca="false">BT553*Parameter!$B$18</f>
        <v>1832</v>
      </c>
      <c r="K553" s="51" t="n">
        <v>730.5</v>
      </c>
      <c r="L553" s="52" t="n">
        <v>2.50787132101301</v>
      </c>
      <c r="M553" s="50" t="n">
        <v>340</v>
      </c>
      <c r="N553" s="50" t="n">
        <v>400</v>
      </c>
      <c r="O553" s="53" t="n">
        <v>14</v>
      </c>
      <c r="P553" s="48" t="s">
        <v>242</v>
      </c>
      <c r="Q553" s="50" t="n">
        <v>931</v>
      </c>
      <c r="R553" s="53" t="n">
        <f aca="false">IF(BZ553=1,0,IFERROR(VLOOKUP(BX553,'Gebinde-Kategorie'!$A$5:$N$45,13,0)+0,0))</f>
        <v>26</v>
      </c>
      <c r="S553" s="54"/>
      <c r="T553" s="55"/>
      <c r="U553" s="55"/>
      <c r="V553" s="55"/>
      <c r="W553" s="48"/>
      <c r="X553" s="50"/>
      <c r="Y553" s="50"/>
      <c r="Z553" s="48" t="n">
        <f aca="false">IF(A553="","",IF(AND(Parameter!$B$21="Ja",ISNUMBER(W553)),W553,IF(CC553="2+3",IF(ISNUMBER(SEARCH("grosser Artikel",BU553)),2,IFERROR(VLOOKUP(BX553,Parameter!$F$35:$G$64,2,0),2)),IF(OR(CC553="Nein",CC553=""),"-",CC553))))</f>
        <v>3</v>
      </c>
      <c r="AA553" s="55"/>
      <c r="AB553" s="56"/>
      <c r="AC553" s="50" t="n">
        <f aca="false">AV553</f>
        <v>882</v>
      </c>
      <c r="AD553" s="50" t="n">
        <f aca="false">MAX(AV553,H553)</f>
        <v>882</v>
      </c>
      <c r="AE553" s="57"/>
      <c r="AF553" s="50" t="n">
        <f aca="false">IF(LEFT(Cockpit!$C$5,1)="A",H553,IF(Parameter!$E$30="MAX-Bestand",IF(CH553=1,CI553,IF(LEFT(Cockpit!$C$5,1)="B",AL553,MAX(AL553,H553))),ROUNDUP(AJ553,0)))</f>
        <v>804</v>
      </c>
      <c r="AG553" s="50" t="n">
        <f aca="false">IF(BZ553=1,0,ROUNDUP(AF553/BY553,0))</f>
        <v>1</v>
      </c>
      <c r="AH553" s="52" t="n">
        <f aca="false">IF(CQ553&gt;0,CQ553*MAX(1,AF553/X553),IF(BZ553=1,IF(AF553&lt;=0,0,CD553*MAX(1,IF(H553&gt;0,AF553/H553,1))),IF(R553&gt;0,AG553/R553,0))/MAX(0.1,N(Parameter!$M$21)))</f>
        <v>0.0384615384615385</v>
      </c>
      <c r="AI553" s="50" t="n">
        <f aca="false">AH553*CB553</f>
        <v>9.42307692307692</v>
      </c>
      <c r="AJ553" s="51" t="n">
        <f aca="false">IF(LEFT(Cockpit!$C$5,1)="A",H553,IF(CH553=1,(CK553+CI553)/2,IF(LEFT(Cockpit!$C$5,1)="B",(CK553+AL553)/2,MAX((CK553+AL553)/2,H553))))</f>
        <v>804</v>
      </c>
      <c r="AK553" s="50" t="n">
        <f aca="false">AJ553*G553</f>
        <v>136.68</v>
      </c>
      <c r="AL553" s="50" t="n">
        <f aca="false">ROUNDUP(CK553+MAX(CL553,2*(J553/IF(CG553&gt;0,CG553,MAX(0.1,N(Cockpit!$C$6)))-CK553)),0)</f>
        <v>882</v>
      </c>
      <c r="AM553" s="51" t="n">
        <f aca="false">IF(AI553&gt;0,J553/AI553,-1)</f>
        <v>194.416326530612</v>
      </c>
      <c r="AN553" s="51" t="n">
        <f aca="false">IF(AND(OR(CF553="L1",CF553="L23",CF553="LIFT"),AI553&gt;0),SUMIFS($AI$7:$AI$1843,$CF$7:$CF$1843,CF553,$AM$7:$AM$1843,"&gt;"&amp;AM553)+SUMIFS($AI$7:$AI$1843,$CF$7:$CF$1843,CF553,$AM$7:$AM$1843,AM553,$BW$7:$BW$1843,"&lt;="&amp;BW553),"")</f>
        <v>354.889194139194</v>
      </c>
      <c r="AO553" s="58" t="n">
        <f aca="false">IF(AN553="",0,MAX(0,MIN(1,(IF(CF553="L1",Parameter!$H$5,IF(CF553="L23",Parameter!$H$6+Parameter!$H$7,Parameter!$H$5+Parameter!$H$6+Parameter!$H$7))-(AN553-AI553))/AI553)))</f>
        <v>1</v>
      </c>
      <c r="AP553" s="50" t="n">
        <f aca="false">IF(LEFT(Cockpit!$I$5,1)="A",H553,IF(Parameter!$E$30="MAX-Bestand",IF(CH553=1,CI553,IF(LEFT(Cockpit!$I$5,1)="B",AV553,MAX(AV553,H553))),ROUNDUP(AT553,0)))</f>
        <v>804</v>
      </c>
      <c r="AQ553" s="50" t="n">
        <f aca="false">IF(BZ553=1,0,ROUNDUP(AP553/BY553,0))</f>
        <v>1</v>
      </c>
      <c r="AR553" s="52" t="n">
        <f aca="false">IF(CQ553&gt;0,CQ553*MAX(1,AP553/X553),IF(BZ553=1,IF(AP553&lt;=0,0,CD553*MAX(1,IF(H553&gt;0,AP553/H553,1))),IF(R553&gt;0,AQ553/R553,0))/MAX(0.1,N(Parameter!$M$21)))</f>
        <v>0.0384615384615385</v>
      </c>
      <c r="AS553" s="50" t="n">
        <f aca="false">AR553*CB553</f>
        <v>9.42307692307692</v>
      </c>
      <c r="AT553" s="51" t="n">
        <f aca="false">IF(LEFT(Cockpit!$I$5,1)="A",H553,IF(CH553=1,(CK553+CI553)/2,IF(LEFT(Cockpit!$I$5,1)="B",(CK553+AV553)/2,MAX((CK553+AV553)/2,H553))))</f>
        <v>804</v>
      </c>
      <c r="AU553" s="50" t="n">
        <f aca="false">AT553*G553</f>
        <v>136.68</v>
      </c>
      <c r="AV553" s="50" t="n">
        <f aca="false">ROUNDUP(CK553+MAX(CL553,2*(J553/IF(CG553&gt;0,CG553,MAX(0.1,N(Cockpit!$I$6)))-CK553)),0)</f>
        <v>882</v>
      </c>
      <c r="AW553" s="51" t="n">
        <f aca="false">IF(AS553&gt;0,J553/AS553,-1)</f>
        <v>194.416326530612</v>
      </c>
      <c r="AX553" s="51" t="n">
        <f aca="false">IF(AND(OR(CF553="L1",CF553="L23",CF553="LIFT"),AS553&gt;0),SUMIFS($AS$7:$AS$1843,$CF$7:$CF$1843,CF553,$AW$7:$AW$1843,"&gt;"&amp;AW553)+SUMIFS($AS$7:$AS$1843,$CF$7:$CF$1843,CF553,$AW$7:$AW$1843,AW553,$BW$7:$BW$1843,"&lt;="&amp;BW553),"")</f>
        <v>481.949175824176</v>
      </c>
      <c r="AY553" s="58" t="n">
        <f aca="false">IF(AX553="",0,MAX(0,MIN(1,(IF(CF553="L1",Parameter!$H$5,IF(CF553="L23",Parameter!$H$6+Parameter!$H$7,Parameter!$H$5+Parameter!$H$6+Parameter!$H$7))-(AX553-AS553))/AS553)))</f>
        <v>1</v>
      </c>
      <c r="AZ553" s="50" t="n">
        <f aca="false">IF(LEFT(Cockpit!$O$5,1)="A",H553,IF(Parameter!$E$30="MAX-Bestand",IF(CH553=1,CI553,IF(LEFT(Cockpit!$O$5,1)="B",BF553,MAX(BF553,H553))),ROUNDUP(BD553,0)))</f>
        <v>540</v>
      </c>
      <c r="BA553" s="50" t="n">
        <f aca="false">IF(BZ553=1,0,ROUNDUP(AZ553/BY553,0))</f>
        <v>1</v>
      </c>
      <c r="BB553" s="52" t="n">
        <f aca="false">IF(CQ553&gt;0,CQ553*MAX(1,AZ553/X553),IF(BZ553=1,IF(AZ553&lt;=0,0,CD553*MAX(1,IF(H553&gt;0,AZ553/H553,1))),IF(R553&gt;0,BA553/R553,0))/MAX(0.1,N(Parameter!$M$21)))</f>
        <v>0.0384615384615385</v>
      </c>
      <c r="BC553" s="50" t="n">
        <f aca="false">BB553*CB553</f>
        <v>9.42307692307692</v>
      </c>
      <c r="BD553" s="51" t="n">
        <f aca="false">IF(LEFT(Cockpit!$O$5,1)="A",H553,IF(CH553=1,(CK553+CI553)/2,IF(LEFT(Cockpit!$O$5,1)="B",(CK553+BF553)/2,MAX((CK553+BF553)/2,H553))))</f>
        <v>540</v>
      </c>
      <c r="BE553" s="50" t="n">
        <f aca="false">BD553*G553</f>
        <v>91.8</v>
      </c>
      <c r="BF553" s="50" t="n">
        <f aca="false">ROUNDUP(CK553+MAX(CL553,2*(J553/IF(CG553&gt;0,CG553,MAX(0.1,N(Cockpit!$O$6)))-CK553)),0)</f>
        <v>740</v>
      </c>
      <c r="BG553" s="51" t="n">
        <f aca="false">IF(BC553&gt;0,J553/BC553,-1)</f>
        <v>194.416326530612</v>
      </c>
      <c r="BH553" s="51" t="n">
        <f aca="false">IF(AND(OR(CF553="L1",CF553="L23",CF553="LIFT"),BC553&gt;0),SUMIFS($BC$7:$BC$1843,$CF$7:$CF$1843,CF553,$BG$7:$BG$1843,"&gt;"&amp;BG553)+SUMIFS($BC$7:$BC$1843,$CF$7:$CF$1843,CF553,$BG$7:$BG$1843,BG553,$BW$7:$BW$1843,"&lt;="&amp;BW553),"")</f>
        <v>480.600274725275</v>
      </c>
      <c r="BI553" s="58" t="n">
        <f aca="false">IF(BH553="",0,MAX(0,MIN(1,(IF(CF553="L1",Parameter!$H$5,IF(CF553="L23",Parameter!$H$6+Parameter!$H$7,Parameter!$H$5+Parameter!$H$6+Parameter!$H$7))-(BH553-BC553))/BC553)))</f>
        <v>1</v>
      </c>
      <c r="BJ553" s="48" t="str">
        <f aca="false">IF(AI553&lt;=0,"",IF(CF553="Aussen","Aussenlager",IF(CF553="-","Nicht im Lift",IF(AO553&gt;=1,"Lift",IF(AO553&lt;=0,"Aussenlager","teilweise")))))</f>
        <v>Lift</v>
      </c>
      <c r="BK553" s="48" t="str">
        <f aca="false">IF(AS553&lt;=0,"",IF(CF553="Aussen","Aussenlager",IF(CF553="-","Nicht im Lift",IF(AY553&gt;=1,"Lift",IF(AY553&lt;=0,"Aussenlager","teilweise")))))</f>
        <v>Lift</v>
      </c>
      <c r="BL553" s="48" t="str">
        <f aca="false">IF(BC553&lt;=0,"",IF(CF553="Aussen","Aussenlager",IF(CF553="-","Nicht im Lift",IF(BI553&gt;=1,"Lift",IF(BI553&lt;=0,"Aussenlager","teilweise")))))</f>
        <v>Lift</v>
      </c>
      <c r="BM553" s="48" t="str">
        <f aca="false">IF(A553="","",IF(BV553=1,"Neu; ","")&amp;IF(AND(BV553=0,BQ553&lt;0),"negativer Bestand (Export "&amp;BQ553&amp;"); ","")&amp;IF(J553&lt;=0,"Kein Verbrauch; ","")&amp;IF(CQ553&gt;0,"Lift "&amp;W553&amp;" lt. Liftbericht (Fach "&amp;X553&amp;" Stk); ",IF(CA553=1,"Gebinde geschätzt ("&amp;T553&amp;"); ",IF(BZ553=1,"Lose – Tablare geschätzt; ","")))&amp;IF(H553&gt;AV553,"Überbestand "&amp;ROUND(H553-AV553,0)&amp;" Stk / CHF "&amp;ROUND((H553-AV553)*G553,0)&amp;"; ","")&amp;IF(AND(CH553=1,CI553&lt;CJ553),"MAX &lt; MB+LG; ","")&amp;IF(AND(CP553&gt;0,CO553*10&gt;CP553),"zu hoch für Tablar; ","")&amp;IF(AND(BV553=0,OR(CH553=1,AA553&lt;&gt;"",U553&lt;&gt;"",V553&lt;&gt;"",AB553&lt;&gt;"")),"manuell übersteuert; ","")&amp;IF(AND(BZ553=0,R553=0),"Gebinde unbekannt / Stellmass fehlt; ","")&amp;IF(AND(BZ553=0,N(V553)&lt;=0,N(Q553)&lt;=0),"Menge pro Gebinde fehlt (Ist = 1 Gebinde); ","")&amp;BU553)</f>
        <v/>
      </c>
      <c r="BN553" s="48"/>
      <c r="BO553" s="48"/>
      <c r="BP553" s="55"/>
      <c r="BQ553" s="50" t="n">
        <v>252</v>
      </c>
      <c r="BR553" s="50" t="n">
        <v>552</v>
      </c>
      <c r="BS553" s="49" t="n">
        <v>15.84</v>
      </c>
      <c r="BT553" s="50" t="n">
        <v>1832</v>
      </c>
      <c r="BU553" s="48"/>
      <c r="BV553" s="53" t="n">
        <v>0</v>
      </c>
      <c r="BW553" s="53" t="n">
        <v>553</v>
      </c>
      <c r="BX553" s="48" t="str">
        <f aca="false">IF(U553&lt;&gt;"",UPPER(TRIM(U553)),IF(CA553=1,UPPER(VLOOKUP(T553,Parameter!$I$27:$K$29,2,0)),IF(P553="","LOSE",P553)))</f>
        <v>S52</v>
      </c>
      <c r="BY553" s="50" t="n">
        <f aca="false">IF(BX553="LOSE",1,IF(N(V553)&gt;0,V553,IF(CA553=1,MAX(1,N(VLOOKUP(T553,Parameter!$I$27:$K$29,3,0)),H553,N(N553)),IF(N(Q553)&gt;0,Q553,MAX(1,H553)))))</f>
        <v>931</v>
      </c>
      <c r="BZ553" s="53" t="n">
        <f aca="false">IF(BX553="LOSE",1,0)</f>
        <v>0</v>
      </c>
      <c r="CA553" s="53" t="n">
        <f aca="false">IF(AND(U553="",OR(P553="",P553="LOSE"),T553&lt;&gt;"",N(S553)&lt;=0,ISNUMBER(MATCH(T553,Parameter!$I$27:$I$29,0))),1,0)</f>
        <v>0</v>
      </c>
      <c r="CB553" s="53" t="n">
        <f aca="false">IF(CQ553&gt;0,INDEX(Parameter!$H$5:$H$7,W553)/INDEX(Parameter!$E$5:$E$7,W553),IF(AND(BZ553=0,N(IFERROR(VLOOKUP(BX553,'Gebinde-Kategorie'!$A$5:$N$45,14,0),0))&gt;0),VLOOKUP(BX553,'Gebinde-Kategorie'!$A$5:$N$45,14,0)*10+Parameter!$M$23,Parameter!$M$24))</f>
        <v>245</v>
      </c>
      <c r="CC553" s="48" t="str">
        <f aca="false">IF(AND(Parameter!$B$19="Ja",E553&lt;&gt;"",ISNUMBER(MATCH(E553,Parameter!$I$35:$I$52,0))),VLOOKUP(E553,Parameter!$I$35:$J$52,2,0),IFERROR(VLOOKUP(D553,Parameter!$A$35:$C$64,2,0),"Nein"))</f>
        <v>2+3</v>
      </c>
      <c r="CD553" s="52" t="n">
        <f aca="false">IF(BZ553=0,0,IF(N(S553)&gt;0,S553,IFERROR(VLOOKUP(D553,Parameter!$A$35:$C$64,3,0)+0,0)))</f>
        <v>0</v>
      </c>
      <c r="CE553" s="48" t="n">
        <f aca="false">IF(AA553&lt;&gt;"",AA553,Z553)</f>
        <v>3</v>
      </c>
      <c r="CF553" s="48" t="str">
        <f aca="false">IF(OR(CE553=1,CE553=2,CE553=3),IF(Parameter!$E$27="Ja","LIFT",IF(CE553=1,"L1","L23")),IF(CE553="Aussen","Aussen","-"))</f>
        <v>LIFT</v>
      </c>
      <c r="CG553" s="59" t="n">
        <f aca="false">IF(N(AB553)&gt;0,AB553,0)</f>
        <v>0</v>
      </c>
      <c r="CH553" s="53" t="n">
        <f aca="false">IF(ISNUMBER(AE553),1,0)</f>
        <v>0</v>
      </c>
      <c r="CI553" s="50" t="n">
        <f aca="false">N(AE553)</f>
        <v>0</v>
      </c>
      <c r="CJ553" s="50" t="n">
        <f aca="false">N(M553)+N(N553)</f>
        <v>740</v>
      </c>
      <c r="CK553" s="50" t="n">
        <f aca="false">N(M553)</f>
        <v>340</v>
      </c>
      <c r="CL553" s="50" t="n">
        <f aca="false">N(N553)</f>
        <v>400</v>
      </c>
      <c r="CM553" s="50" t="n">
        <f aca="false">ROUNDUP(H553/BY553,0)</f>
        <v>1</v>
      </c>
      <c r="CN553" s="50" t="n">
        <f aca="false">ROUNDUP(CI553/BY553,0)</f>
        <v>0</v>
      </c>
      <c r="CO553" s="53" t="n">
        <f aca="false">IF(BZ553=1,0,IFERROR(VLOOKUP(BX553,'Gebinde-Kategorie'!$A$5:$N$45,5,0)+0,0))</f>
        <v>21</v>
      </c>
      <c r="CP553" s="53" t="n">
        <f aca="false">IFERROR(IF(OR(CE553=1,CE553=2,CE553=3),N(INDEX(Parameter!$I$5:$I$7,CE553)),0),0)</f>
        <v>0</v>
      </c>
      <c r="CQ553" s="52" t="n">
        <f aca="false">IF(AND(Parameter!$B$21="Ja",ISNUMBER(W553),N(X553)&gt;0),IFERROR(N(INDEX(Parameter!$L$5:$L$7,W553))*INDEX(Parameter!$E$5:$E$7,W553)*X553/SUMIFS($X$7:$X$1843,$W$7:$W$1843,W553),0),0)</f>
        <v>0</v>
      </c>
    </row>
    <row r="554" customFormat="false" ht="15" hidden="false" customHeight="false" outlineLevel="0" collapsed="false">
      <c r="A554" s="48" t="s">
        <v>1189</v>
      </c>
      <c r="B554" s="48" t="s">
        <v>414</v>
      </c>
      <c r="C554" s="48" t="s">
        <v>173</v>
      </c>
      <c r="D554" s="48" t="s">
        <v>193</v>
      </c>
      <c r="E554" s="48"/>
      <c r="F554" s="48" t="s">
        <v>227</v>
      </c>
      <c r="G554" s="49" t="n">
        <v>1.89</v>
      </c>
      <c r="H554" s="50" t="n">
        <f aca="false">MAX(0,IF(AND(Parameter!$B$21="Ja",ISNUMBER(Y554)),Y554,IF(Parameter!$B$20="Jahresanfang 2025 + Export",BR554+BQ554,BQ554)))</f>
        <v>197</v>
      </c>
      <c r="I554" s="50" t="n">
        <f aca="false">H554*G554</f>
        <v>372.33</v>
      </c>
      <c r="J554" s="50" t="n">
        <f aca="false">BT554*Parameter!$B$18</f>
        <v>0</v>
      </c>
      <c r="K554" s="51" t="n">
        <v>193</v>
      </c>
      <c r="L554" s="52" t="n">
        <v>0</v>
      </c>
      <c r="M554" s="50" t="n">
        <v>0</v>
      </c>
      <c r="N554" s="50" t="n">
        <v>1</v>
      </c>
      <c r="O554" s="53" t="n">
        <v>14</v>
      </c>
      <c r="P554" s="48" t="s">
        <v>242</v>
      </c>
      <c r="Q554" s="50" t="n">
        <v>250</v>
      </c>
      <c r="R554" s="53" t="n">
        <f aca="false">IF(BZ554=1,0,IFERROR(VLOOKUP(BX554,'Gebinde-Kategorie'!$A$5:$N$45,13,0)+0,0))</f>
        <v>26</v>
      </c>
      <c r="S554" s="54"/>
      <c r="T554" s="55"/>
      <c r="U554" s="55"/>
      <c r="V554" s="55"/>
      <c r="W554" s="48"/>
      <c r="X554" s="50"/>
      <c r="Y554" s="50"/>
      <c r="Z554" s="48" t="n">
        <f aca="false">IF(A554="","",IF(AND(Parameter!$B$21="Ja",ISNUMBER(W554)),W554,IF(CC554="2+3",IF(ISNUMBER(SEARCH("grosser Artikel",BU554)),2,IFERROR(VLOOKUP(BX554,Parameter!$F$35:$G$64,2,0),2)),IF(OR(CC554="Nein",CC554=""),"-",CC554))))</f>
        <v>3</v>
      </c>
      <c r="AA554" s="55"/>
      <c r="AB554" s="56"/>
      <c r="AC554" s="50" t="n">
        <f aca="false">AV554</f>
        <v>1</v>
      </c>
      <c r="AD554" s="50" t="n">
        <f aca="false">MAX(AV554,H554)</f>
        <v>197</v>
      </c>
      <c r="AE554" s="57"/>
      <c r="AF554" s="50" t="n">
        <f aca="false">IF(LEFT(Cockpit!$C$5,1)="A",H554,IF(Parameter!$E$30="MAX-Bestand",IF(CH554=1,CI554,IF(LEFT(Cockpit!$C$5,1)="B",AL554,MAX(AL554,H554))),ROUNDUP(AJ554,0)))</f>
        <v>197</v>
      </c>
      <c r="AG554" s="50" t="n">
        <f aca="false">IF(BZ554=1,0,ROUNDUP(AF554/BY554,0))</f>
        <v>1</v>
      </c>
      <c r="AH554" s="52" t="n">
        <f aca="false">IF(CQ554&gt;0,CQ554*MAX(1,AF554/X554),IF(BZ554=1,IF(AF554&lt;=0,0,CD554*MAX(1,IF(H554&gt;0,AF554/H554,1))),IF(R554&gt;0,AG554/R554,0))/MAX(0.1,N(Parameter!$M$21)))</f>
        <v>0.0384615384615385</v>
      </c>
      <c r="AI554" s="50" t="n">
        <f aca="false">AH554*CB554</f>
        <v>9.42307692307692</v>
      </c>
      <c r="AJ554" s="51" t="n">
        <f aca="false">IF(LEFT(Cockpit!$C$5,1)="A",H554,IF(CH554=1,(CK554+CI554)/2,IF(LEFT(Cockpit!$C$5,1)="B",(CK554+AL554)/2,MAX((CK554+AL554)/2,H554))))</f>
        <v>197</v>
      </c>
      <c r="AK554" s="50" t="n">
        <f aca="false">AJ554*G554</f>
        <v>372.33</v>
      </c>
      <c r="AL554" s="50" t="n">
        <f aca="false">ROUNDUP(CK554+MAX(CL554,2*(J554/IF(CG554&gt;0,CG554,MAX(0.1,N(Cockpit!$C$6)))-CK554)),0)</f>
        <v>1</v>
      </c>
      <c r="AM554" s="51" t="n">
        <f aca="false">IF(AI554&gt;0,J554/AI554,-1)</f>
        <v>0</v>
      </c>
      <c r="AN554" s="51" t="n">
        <f aca="false">IF(AND(OR(CF554="L1",CF554="L23",CF554="LIFT"),AI554&gt;0),SUMIFS($AI$7:$AI$1843,$CF$7:$CF$1843,CF554,$AM$7:$AM$1843,"&gt;"&amp;AM554)+SUMIFS($AI$7:$AI$1843,$CF$7:$CF$1843,CF554,$AM$7:$AM$1843,AM554,$BW$7:$BW$1843,"&lt;="&amp;BW554),"")</f>
        <v>28396.5221461683</v>
      </c>
      <c r="AO554" s="58" t="n">
        <f aca="false">IF(AN554="",0,MAX(0,MIN(1,(IF(CF554="L1",Parameter!$H$5,IF(CF554="L23",Parameter!$H$6+Parameter!$H$7,Parameter!$H$5+Parameter!$H$6+Parameter!$H$7))-(AN554-AI554))/AI554)))</f>
        <v>1</v>
      </c>
      <c r="AP554" s="50" t="n">
        <f aca="false">IF(LEFT(Cockpit!$I$5,1)="A",H554,IF(Parameter!$E$30="MAX-Bestand",IF(CH554=1,CI554,IF(LEFT(Cockpit!$I$5,1)="B",AV554,MAX(AV554,H554))),ROUNDUP(AT554,0)))</f>
        <v>197</v>
      </c>
      <c r="AQ554" s="50" t="n">
        <f aca="false">IF(BZ554=1,0,ROUNDUP(AP554/BY554,0))</f>
        <v>1</v>
      </c>
      <c r="AR554" s="52" t="n">
        <f aca="false">IF(CQ554&gt;0,CQ554*MAX(1,AP554/X554),IF(BZ554=1,IF(AP554&lt;=0,0,CD554*MAX(1,IF(H554&gt;0,AP554/H554,1))),IF(R554&gt;0,AQ554/R554,0))/MAX(0.1,N(Parameter!$M$21)))</f>
        <v>0.0384615384615385</v>
      </c>
      <c r="AS554" s="50" t="n">
        <f aca="false">AR554*CB554</f>
        <v>9.42307692307692</v>
      </c>
      <c r="AT554" s="51" t="n">
        <f aca="false">IF(LEFT(Cockpit!$I$5,1)="A",H554,IF(CH554=1,(CK554+CI554)/2,IF(LEFT(Cockpit!$I$5,1)="B",(CK554+AV554)/2,MAX((CK554+AV554)/2,H554))))</f>
        <v>197</v>
      </c>
      <c r="AU554" s="50" t="n">
        <f aca="false">AT554*G554</f>
        <v>372.33</v>
      </c>
      <c r="AV554" s="50" t="n">
        <f aca="false">ROUNDUP(CK554+MAX(CL554,2*(J554/IF(CG554&gt;0,CG554,MAX(0.1,N(Cockpit!$I$6)))-CK554)),0)</f>
        <v>1</v>
      </c>
      <c r="AW554" s="51" t="n">
        <f aca="false">IF(AS554&gt;0,J554/AS554,-1)</f>
        <v>0</v>
      </c>
      <c r="AX554" s="51" t="n">
        <f aca="false">IF(AND(OR(CF554="L1",CF554="L23",CF554="LIFT"),AS554&gt;0),SUMIFS($AS$7:$AS$1843,$CF$7:$CF$1843,CF554,$AW$7:$AW$1843,"&gt;"&amp;AW554)+SUMIFS($AS$7:$AS$1843,$CF$7:$CF$1843,CF554,$AW$7:$AW$1843,AW554,$BW$7:$BW$1843,"&lt;="&amp;BW554),"")</f>
        <v>33749.6707875458</v>
      </c>
      <c r="AY554" s="58" t="n">
        <f aca="false">IF(AX554="",0,MAX(0,MIN(1,(IF(CF554="L1",Parameter!$H$5,IF(CF554="L23",Parameter!$H$6+Parameter!$H$7,Parameter!$H$5+Parameter!$H$6+Parameter!$H$7))-(AX554-AS554))/AS554)))</f>
        <v>1</v>
      </c>
      <c r="AZ554" s="50" t="n">
        <f aca="false">IF(LEFT(Cockpit!$O$5,1)="A",H554,IF(Parameter!$E$30="MAX-Bestand",IF(CH554=1,CI554,IF(LEFT(Cockpit!$O$5,1)="B",BF554,MAX(BF554,H554))),ROUNDUP(BD554,0)))</f>
        <v>1</v>
      </c>
      <c r="BA554" s="50" t="n">
        <f aca="false">IF(BZ554=1,0,ROUNDUP(AZ554/BY554,0))</f>
        <v>1</v>
      </c>
      <c r="BB554" s="52" t="n">
        <f aca="false">IF(CQ554&gt;0,CQ554*MAX(1,AZ554/X554),IF(BZ554=1,IF(AZ554&lt;=0,0,CD554*MAX(1,IF(H554&gt;0,AZ554/H554,1))),IF(R554&gt;0,BA554/R554,0))/MAX(0.1,N(Parameter!$M$21)))</f>
        <v>0.0384615384615385</v>
      </c>
      <c r="BC554" s="50" t="n">
        <f aca="false">BB554*CB554</f>
        <v>9.42307692307692</v>
      </c>
      <c r="BD554" s="51" t="n">
        <f aca="false">IF(LEFT(Cockpit!$O$5,1)="A",H554,IF(CH554=1,(CK554+CI554)/2,IF(LEFT(Cockpit!$O$5,1)="B",(CK554+BF554)/2,MAX((CK554+BF554)/2,H554))))</f>
        <v>0.5</v>
      </c>
      <c r="BE554" s="50" t="n">
        <f aca="false">BD554*G554</f>
        <v>0.945</v>
      </c>
      <c r="BF554" s="50" t="n">
        <f aca="false">ROUNDUP(CK554+MAX(CL554,2*(J554/IF(CG554&gt;0,CG554,MAX(0.1,N(Cockpit!$O$6)))-CK554)),0)</f>
        <v>1</v>
      </c>
      <c r="BG554" s="51" t="n">
        <f aca="false">IF(BC554&gt;0,J554/BC554,-1)</f>
        <v>0</v>
      </c>
      <c r="BH554" s="51" t="n">
        <f aca="false">IF(AND(OR(CF554="L1",CF554="L23",CF554="LIFT"),BC554&gt;0),SUMIFS($BC$7:$BC$1843,$CF$7:$CF$1843,CF554,$BG$7:$BG$1843,"&gt;"&amp;BG554)+SUMIFS($BC$7:$BC$1843,$CF$7:$CF$1843,CF554,$BG$7:$BG$1843,BG554,$BW$7:$BW$1843,"&lt;="&amp;BW554),"")</f>
        <v>27828.1074843236</v>
      </c>
      <c r="BI554" s="58" t="n">
        <f aca="false">IF(BH554="",0,MAX(0,MIN(1,(IF(CF554="L1",Parameter!$H$5,IF(CF554="L23",Parameter!$H$6+Parameter!$H$7,Parameter!$H$5+Parameter!$H$6+Parameter!$H$7))-(BH554-BC554))/BC554)))</f>
        <v>1</v>
      </c>
      <c r="BJ554" s="48" t="str">
        <f aca="false">IF(AI554&lt;=0,"",IF(CF554="Aussen","Aussenlager",IF(CF554="-","Nicht im Lift",IF(AO554&gt;=1,"Lift",IF(AO554&lt;=0,"Aussenlager","teilweise")))))</f>
        <v>Lift</v>
      </c>
      <c r="BK554" s="48" t="str">
        <f aca="false">IF(AS554&lt;=0,"",IF(CF554="Aussen","Aussenlager",IF(CF554="-","Nicht im Lift",IF(AY554&gt;=1,"Lift",IF(AY554&lt;=0,"Aussenlager","teilweise")))))</f>
        <v>Lift</v>
      </c>
      <c r="BL554" s="48" t="str">
        <f aca="false">IF(BC554&lt;=0,"",IF(CF554="Aussen","Aussenlager",IF(CF554="-","Nicht im Lift",IF(BI554&gt;=1,"Lift",IF(BI554&lt;=0,"Aussenlager","teilweise")))))</f>
        <v>Lift</v>
      </c>
      <c r="BM554" s="48" t="str">
        <f aca="false">IF(A554="","",IF(BV554=1,"Neu; ","")&amp;IF(AND(BV554=0,BQ554&lt;0),"negativer Bestand (Export "&amp;BQ554&amp;"); ","")&amp;IF(J554&lt;=0,"Kein Verbrauch; ","")&amp;IF(CQ554&gt;0,"Lift "&amp;W554&amp;" lt. Liftbericht (Fach "&amp;X554&amp;" Stk); ",IF(CA554=1,"Gebinde geschätzt ("&amp;T554&amp;"); ",IF(BZ554=1,"Lose – Tablare geschätzt; ","")))&amp;IF(H554&gt;AV554,"Überbestand "&amp;ROUND(H554-AV554,0)&amp;" Stk / CHF "&amp;ROUND((H554-AV554)*G554,0)&amp;"; ","")&amp;IF(AND(CH554=1,CI554&lt;CJ554),"MAX &lt; MB+LG; ","")&amp;IF(AND(CP554&gt;0,CO554*10&gt;CP554),"zu hoch für Tablar; ","")&amp;IF(AND(BV554=0,OR(CH554=1,AA554&lt;&gt;"",U554&lt;&gt;"",V554&lt;&gt;"",AB554&lt;&gt;"")),"manuell übersteuert; ","")&amp;IF(AND(BZ554=0,R554=0),"Gebinde unbekannt / Stellmass fehlt; ","")&amp;IF(AND(BZ554=0,N(V554)&lt;=0,N(Q554)&lt;=0),"Menge pro Gebinde fehlt (Ist = 1 Gebinde); ","")&amp;BU554)</f>
        <v>Kein Verbrauch; Überbestand 196 Stk / CHF 370; </v>
      </c>
      <c r="BN554" s="48"/>
      <c r="BO554" s="48"/>
      <c r="BP554" s="55"/>
      <c r="BQ554" s="50" t="n">
        <v>8</v>
      </c>
      <c r="BR554" s="50" t="n">
        <v>189</v>
      </c>
      <c r="BS554" s="49" t="n">
        <v>15.12</v>
      </c>
      <c r="BT554" s="50" t="n">
        <v>0</v>
      </c>
      <c r="BU554" s="48"/>
      <c r="BV554" s="53" t="n">
        <v>0</v>
      </c>
      <c r="BW554" s="53" t="n">
        <v>554</v>
      </c>
      <c r="BX554" s="48" t="str">
        <f aca="false">IF(U554&lt;&gt;"",UPPER(TRIM(U554)),IF(CA554=1,UPPER(VLOOKUP(T554,Parameter!$I$27:$K$29,2,0)),IF(P554="","LOSE",P554)))</f>
        <v>S52</v>
      </c>
      <c r="BY554" s="50" t="n">
        <f aca="false">IF(BX554="LOSE",1,IF(N(V554)&gt;0,V554,IF(CA554=1,MAX(1,N(VLOOKUP(T554,Parameter!$I$27:$K$29,3,0)),H554,N(N554)),IF(N(Q554)&gt;0,Q554,MAX(1,H554)))))</f>
        <v>250</v>
      </c>
      <c r="BZ554" s="53" t="n">
        <f aca="false">IF(BX554="LOSE",1,0)</f>
        <v>0</v>
      </c>
      <c r="CA554" s="53" t="n">
        <f aca="false">IF(AND(U554="",OR(P554="",P554="LOSE"),T554&lt;&gt;"",N(S554)&lt;=0,ISNUMBER(MATCH(T554,Parameter!$I$27:$I$29,0))),1,0)</f>
        <v>0</v>
      </c>
      <c r="CB554" s="53" t="n">
        <f aca="false">IF(CQ554&gt;0,INDEX(Parameter!$H$5:$H$7,W554)/INDEX(Parameter!$E$5:$E$7,W554),IF(AND(BZ554=0,N(IFERROR(VLOOKUP(BX554,'Gebinde-Kategorie'!$A$5:$N$45,14,0),0))&gt;0),VLOOKUP(BX554,'Gebinde-Kategorie'!$A$5:$N$45,14,0)*10+Parameter!$M$23,Parameter!$M$24))</f>
        <v>245</v>
      </c>
      <c r="CC554" s="48" t="str">
        <f aca="false">IF(AND(Parameter!$B$19="Ja",E554&lt;&gt;"",ISNUMBER(MATCH(E554,Parameter!$I$35:$I$52,0))),VLOOKUP(E554,Parameter!$I$35:$J$52,2,0),IFERROR(VLOOKUP(D554,Parameter!$A$35:$C$64,2,0),"Nein"))</f>
        <v>2+3</v>
      </c>
      <c r="CD554" s="52" t="n">
        <f aca="false">IF(BZ554=0,0,IF(N(S554)&gt;0,S554,IFERROR(VLOOKUP(D554,Parameter!$A$35:$C$64,3,0)+0,0)))</f>
        <v>0</v>
      </c>
      <c r="CE554" s="48" t="n">
        <f aca="false">IF(AA554&lt;&gt;"",AA554,Z554)</f>
        <v>3</v>
      </c>
      <c r="CF554" s="48" t="str">
        <f aca="false">IF(OR(CE554=1,CE554=2,CE554=3),IF(Parameter!$E$27="Ja","LIFT",IF(CE554=1,"L1","L23")),IF(CE554="Aussen","Aussen","-"))</f>
        <v>LIFT</v>
      </c>
      <c r="CG554" s="59" t="n">
        <f aca="false">IF(N(AB554)&gt;0,AB554,0)</f>
        <v>0</v>
      </c>
      <c r="CH554" s="53" t="n">
        <f aca="false">IF(ISNUMBER(AE554),1,0)</f>
        <v>0</v>
      </c>
      <c r="CI554" s="50" t="n">
        <f aca="false">N(AE554)</f>
        <v>0</v>
      </c>
      <c r="CJ554" s="50" t="n">
        <f aca="false">N(M554)+N(N554)</f>
        <v>1</v>
      </c>
      <c r="CK554" s="50" t="n">
        <f aca="false">N(M554)</f>
        <v>0</v>
      </c>
      <c r="CL554" s="50" t="n">
        <f aca="false">N(N554)</f>
        <v>1</v>
      </c>
      <c r="CM554" s="50" t="n">
        <f aca="false">ROUNDUP(H554/BY554,0)</f>
        <v>1</v>
      </c>
      <c r="CN554" s="50" t="n">
        <f aca="false">ROUNDUP(CI554/BY554,0)</f>
        <v>0</v>
      </c>
      <c r="CO554" s="53" t="n">
        <f aca="false">IF(BZ554=1,0,IFERROR(VLOOKUP(BX554,'Gebinde-Kategorie'!$A$5:$N$45,5,0)+0,0))</f>
        <v>21</v>
      </c>
      <c r="CP554" s="53" t="n">
        <f aca="false">IFERROR(IF(OR(CE554=1,CE554=2,CE554=3),N(INDEX(Parameter!$I$5:$I$7,CE554)),0),0)</f>
        <v>0</v>
      </c>
      <c r="CQ554" s="52" t="n">
        <f aca="false">IF(AND(Parameter!$B$21="Ja",ISNUMBER(W554),N(X554)&gt;0),IFERROR(N(INDEX(Parameter!$L$5:$L$7,W554))*INDEX(Parameter!$E$5:$E$7,W554)*X554/SUMIFS($X$7:$X$1843,$W$7:$W$1843,W554),0),0)</f>
        <v>0</v>
      </c>
    </row>
    <row r="555" customFormat="false" ht="15" hidden="false" customHeight="false" outlineLevel="0" collapsed="false">
      <c r="A555" s="48" t="s">
        <v>1190</v>
      </c>
      <c r="B555" s="48" t="s">
        <v>866</v>
      </c>
      <c r="C555" s="48" t="s">
        <v>173</v>
      </c>
      <c r="D555" s="48" t="s">
        <v>193</v>
      </c>
      <c r="E555" s="48"/>
      <c r="F555" s="48" t="s">
        <v>227</v>
      </c>
      <c r="G555" s="49" t="n">
        <v>73.46</v>
      </c>
      <c r="H555" s="50" t="n">
        <f aca="false">MAX(0,IF(AND(Parameter!$B$21="Ja",ISNUMBER(Y555)),Y555,IF(Parameter!$B$20="Jahresanfang 2025 + Export",BR555+BQ555,BQ555)))</f>
        <v>5</v>
      </c>
      <c r="I555" s="50" t="n">
        <f aca="false">H555*G555</f>
        <v>367.3</v>
      </c>
      <c r="J555" s="50" t="n">
        <f aca="false">BT555*Parameter!$B$18</f>
        <v>1</v>
      </c>
      <c r="K555" s="51" t="n">
        <v>4.5</v>
      </c>
      <c r="L555" s="52" t="n">
        <v>0.222222222222222</v>
      </c>
      <c r="M555" s="50" t="n">
        <v>0</v>
      </c>
      <c r="N555" s="50" t="n">
        <v>1</v>
      </c>
      <c r="O555" s="53" t="n">
        <v>35</v>
      </c>
      <c r="P555" s="48" t="s">
        <v>435</v>
      </c>
      <c r="Q555" s="50" t="n">
        <v>6</v>
      </c>
      <c r="R555" s="53" t="n">
        <f aca="false">IF(BZ555=1,0,IFERROR(VLOOKUP(BX555,'Gebinde-Kategorie'!$A$5:$N$45,13,0)+0,0))</f>
        <v>140</v>
      </c>
      <c r="S555" s="54"/>
      <c r="T555" s="55"/>
      <c r="U555" s="55"/>
      <c r="V555" s="55"/>
      <c r="W555" s="48"/>
      <c r="X555" s="50"/>
      <c r="Y555" s="50"/>
      <c r="Z555" s="48" t="n">
        <f aca="false">IF(A555="","",IF(AND(Parameter!$B$21="Ja",ISNUMBER(W555)),W555,IF(CC555="2+3",IF(ISNUMBER(SEARCH("grosser Artikel",BU555)),2,IFERROR(VLOOKUP(BX555,Parameter!$F$35:$G$64,2,0),2)),IF(OR(CC555="Nein",CC555=""),"-",CC555))))</f>
        <v>3</v>
      </c>
      <c r="AA555" s="55"/>
      <c r="AB555" s="56"/>
      <c r="AC555" s="50" t="n">
        <f aca="false">AV555</f>
        <v>1</v>
      </c>
      <c r="AD555" s="50" t="n">
        <f aca="false">MAX(AV555,H555)</f>
        <v>5</v>
      </c>
      <c r="AE555" s="57"/>
      <c r="AF555" s="50" t="n">
        <f aca="false">IF(LEFT(Cockpit!$C$5,1)="A",H555,IF(Parameter!$E$30="MAX-Bestand",IF(CH555=1,CI555,IF(LEFT(Cockpit!$C$5,1)="B",AL555,MAX(AL555,H555))),ROUNDUP(AJ555,0)))</f>
        <v>5</v>
      </c>
      <c r="AG555" s="50" t="n">
        <f aca="false">IF(BZ555=1,0,ROUNDUP(AF555/BY555,0))</f>
        <v>1</v>
      </c>
      <c r="AH555" s="52" t="n">
        <f aca="false">IF(CQ555&gt;0,CQ555*MAX(1,AF555/X555),IF(BZ555=1,IF(AF555&lt;=0,0,CD555*MAX(1,IF(H555&gt;0,AF555/H555,1))),IF(R555&gt;0,AG555/R555,0))/MAX(0.1,N(Parameter!$M$21)))</f>
        <v>0.00714285714285714</v>
      </c>
      <c r="AI555" s="50" t="n">
        <f aca="false">AH555*CB555</f>
        <v>1.10714285714286</v>
      </c>
      <c r="AJ555" s="51" t="n">
        <f aca="false">IF(LEFT(Cockpit!$C$5,1)="A",H555,IF(CH555=1,(CK555+CI555)/2,IF(LEFT(Cockpit!$C$5,1)="B",(CK555+AL555)/2,MAX((CK555+AL555)/2,H555))))</f>
        <v>5</v>
      </c>
      <c r="AK555" s="50" t="n">
        <f aca="false">AJ555*G555</f>
        <v>367.3</v>
      </c>
      <c r="AL555" s="50" t="n">
        <f aca="false">ROUNDUP(CK555+MAX(CL555,2*(J555/IF(CG555&gt;0,CG555,MAX(0.1,N(Cockpit!$C$6)))-CK555)),0)</f>
        <v>1</v>
      </c>
      <c r="AM555" s="51" t="n">
        <f aca="false">IF(AI555&gt;0,J555/AI555,-1)</f>
        <v>0.903225806451613</v>
      </c>
      <c r="AN555" s="51" t="n">
        <f aca="false">IF(AND(OR(CF555="L1",CF555="L23",CF555="LIFT"),AI555&gt;0),SUMIFS($AI$7:$AI$1843,$CF$7:$CF$1843,CF555,$AM$7:$AM$1843,"&gt;"&amp;AM555)+SUMIFS($AI$7:$AI$1843,$CF$7:$CF$1843,CF555,$AM$7:$AM$1843,AM555,$BW$7:$BW$1843,"&lt;="&amp;BW555),"")</f>
        <v>7618.84844322344</v>
      </c>
      <c r="AO555" s="58" t="n">
        <f aca="false">IF(AN555="",0,MAX(0,MIN(1,(IF(CF555="L1",Parameter!$H$5,IF(CF555="L23",Parameter!$H$6+Parameter!$H$7,Parameter!$H$5+Parameter!$H$6+Parameter!$H$7))-(AN555-AI555))/AI555)))</f>
        <v>1</v>
      </c>
      <c r="AP555" s="50" t="n">
        <f aca="false">IF(LEFT(Cockpit!$I$5,1)="A",H555,IF(Parameter!$E$30="MAX-Bestand",IF(CH555=1,CI555,IF(LEFT(Cockpit!$I$5,1)="B",AV555,MAX(AV555,H555))),ROUNDUP(AT555,0)))</f>
        <v>5</v>
      </c>
      <c r="AQ555" s="50" t="n">
        <f aca="false">IF(BZ555=1,0,ROUNDUP(AP555/BY555,0))</f>
        <v>1</v>
      </c>
      <c r="AR555" s="52" t="n">
        <f aca="false">IF(CQ555&gt;0,CQ555*MAX(1,AP555/X555),IF(BZ555=1,IF(AP555&lt;=0,0,CD555*MAX(1,IF(H555&gt;0,AP555/H555,1))),IF(R555&gt;0,AQ555/R555,0))/MAX(0.1,N(Parameter!$M$21)))</f>
        <v>0.00714285714285714</v>
      </c>
      <c r="AS555" s="50" t="n">
        <f aca="false">AR555*CB555</f>
        <v>1.10714285714286</v>
      </c>
      <c r="AT555" s="51" t="n">
        <f aca="false">IF(LEFT(Cockpit!$I$5,1)="A",H555,IF(CH555=1,(CK555+CI555)/2,IF(LEFT(Cockpit!$I$5,1)="B",(CK555+AV555)/2,MAX((CK555+AV555)/2,H555))))</f>
        <v>5</v>
      </c>
      <c r="AU555" s="50" t="n">
        <f aca="false">AT555*G555</f>
        <v>367.3</v>
      </c>
      <c r="AV555" s="50" t="n">
        <f aca="false">ROUNDUP(CK555+MAX(CL555,2*(J555/IF(CG555&gt;0,CG555,MAX(0.1,N(Cockpit!$I$6)))-CK555)),0)</f>
        <v>1</v>
      </c>
      <c r="AW555" s="51" t="n">
        <f aca="false">IF(AS555&gt;0,J555/AS555,-1)</f>
        <v>0.903225806451613</v>
      </c>
      <c r="AX555" s="51" t="n">
        <f aca="false">IF(AND(OR(CF555="L1",CF555="L23",CF555="LIFT"),AS555&gt;0),SUMIFS($AS$7:$AS$1843,$CF$7:$CF$1843,CF555,$AW$7:$AW$1843,"&gt;"&amp;AW555)+SUMIFS($AS$7:$AS$1843,$CF$7:$CF$1843,CF555,$AW$7:$AW$1843,AW555,$BW$7:$BW$1843,"&lt;="&amp;BW555),"")</f>
        <v>9193.28846153846</v>
      </c>
      <c r="AY555" s="58" t="n">
        <f aca="false">IF(AX555="",0,MAX(0,MIN(1,(IF(CF555="L1",Parameter!$H$5,IF(CF555="L23",Parameter!$H$6+Parameter!$H$7,Parameter!$H$5+Parameter!$H$6+Parameter!$H$7))-(AX555-AS555))/AS555)))</f>
        <v>1</v>
      </c>
      <c r="AZ555" s="50" t="n">
        <f aca="false">IF(LEFT(Cockpit!$O$5,1)="A",H555,IF(Parameter!$E$30="MAX-Bestand",IF(CH555=1,CI555,IF(LEFT(Cockpit!$O$5,1)="B",BF555,MAX(BF555,H555))),ROUNDUP(BD555,0)))</f>
        <v>1</v>
      </c>
      <c r="BA555" s="50" t="n">
        <f aca="false">IF(BZ555=1,0,ROUNDUP(AZ555/BY555,0))</f>
        <v>1</v>
      </c>
      <c r="BB555" s="52" t="n">
        <f aca="false">IF(CQ555&gt;0,CQ555*MAX(1,AZ555/X555),IF(BZ555=1,IF(AZ555&lt;=0,0,CD555*MAX(1,IF(H555&gt;0,AZ555/H555,1))),IF(R555&gt;0,BA555/R555,0))/MAX(0.1,N(Parameter!$M$21)))</f>
        <v>0.00714285714285714</v>
      </c>
      <c r="BC555" s="50" t="n">
        <f aca="false">BB555*CB555</f>
        <v>1.10714285714286</v>
      </c>
      <c r="BD555" s="51" t="n">
        <f aca="false">IF(LEFT(Cockpit!$O$5,1)="A",H555,IF(CH555=1,(CK555+CI555)/2,IF(LEFT(Cockpit!$O$5,1)="B",(CK555+BF555)/2,MAX((CK555+BF555)/2,H555))))</f>
        <v>0.5</v>
      </c>
      <c r="BE555" s="50" t="n">
        <f aca="false">BD555*G555</f>
        <v>36.73</v>
      </c>
      <c r="BF555" s="50" t="n">
        <f aca="false">ROUNDUP(CK555+MAX(CL555,2*(J555/IF(CG555&gt;0,CG555,MAX(0.1,N(Cockpit!$O$6)))-CK555)),0)</f>
        <v>1</v>
      </c>
      <c r="BG555" s="51" t="n">
        <f aca="false">IF(BC555&gt;0,J555/BC555,-1)</f>
        <v>0.903225806451613</v>
      </c>
      <c r="BH555" s="51" t="n">
        <f aca="false">IF(AND(OR(CF555="L1",CF555="L23",CF555="LIFT"),BC555&gt;0),SUMIFS($BC$7:$BC$1843,$CF$7:$CF$1843,CF555,$BG$7:$BG$1843,"&gt;"&amp;BG555)+SUMIFS($BC$7:$BC$1843,$CF$7:$CF$1843,CF555,$BG$7:$BG$1843,BG555,$BW$7:$BW$1843,"&lt;="&amp;BW555),"")</f>
        <v>8243.40064102564</v>
      </c>
      <c r="BI555" s="58" t="n">
        <f aca="false">IF(BH555="",0,MAX(0,MIN(1,(IF(CF555="L1",Parameter!$H$5,IF(CF555="L23",Parameter!$H$6+Parameter!$H$7,Parameter!$H$5+Parameter!$H$6+Parameter!$H$7))-(BH555-BC555))/BC555)))</f>
        <v>1</v>
      </c>
      <c r="BJ555" s="48" t="str">
        <f aca="false">IF(AI555&lt;=0,"",IF(CF555="Aussen","Aussenlager",IF(CF555="-","Nicht im Lift",IF(AO555&gt;=1,"Lift",IF(AO555&lt;=0,"Aussenlager","teilweise")))))</f>
        <v>Lift</v>
      </c>
      <c r="BK555" s="48" t="str">
        <f aca="false">IF(AS555&lt;=0,"",IF(CF555="Aussen","Aussenlager",IF(CF555="-","Nicht im Lift",IF(AY555&gt;=1,"Lift",IF(AY555&lt;=0,"Aussenlager","teilweise")))))</f>
        <v>Lift</v>
      </c>
      <c r="BL555" s="48" t="str">
        <f aca="false">IF(BC555&lt;=0,"",IF(CF555="Aussen","Aussenlager",IF(CF555="-","Nicht im Lift",IF(BI555&gt;=1,"Lift",IF(BI555&lt;=0,"Aussenlager","teilweise")))))</f>
        <v>Lift</v>
      </c>
      <c r="BM555" s="48" t="str">
        <f aca="false">IF(A555="","",IF(BV555=1,"Neu; ","")&amp;IF(AND(BV555=0,BQ555&lt;0),"negativer Bestand (Export "&amp;BQ555&amp;"); ","")&amp;IF(J555&lt;=0,"Kein Verbrauch; ","")&amp;IF(CQ555&gt;0,"Lift "&amp;W555&amp;" lt. Liftbericht (Fach "&amp;X555&amp;" Stk); ",IF(CA555=1,"Gebinde geschätzt ("&amp;T555&amp;"); ",IF(BZ555=1,"Lose – Tablare geschätzt; ","")))&amp;IF(H555&gt;AV555,"Überbestand "&amp;ROUND(H555-AV555,0)&amp;" Stk / CHF "&amp;ROUND((H555-AV555)*G555,0)&amp;"; ","")&amp;IF(AND(CH555=1,CI555&lt;CJ555),"MAX &lt; MB+LG; ","")&amp;IF(AND(CP555&gt;0,CO555*10&gt;CP555),"zu hoch für Tablar; ","")&amp;IF(AND(BV555=0,OR(CH555=1,AA555&lt;&gt;"",U555&lt;&gt;"",V555&lt;&gt;"",AB555&lt;&gt;"")),"manuell übersteuert; ","")&amp;IF(AND(BZ555=0,R555=0),"Gebinde unbekannt / Stellmass fehlt; ","")&amp;IF(AND(BZ555=0,N(V555)&lt;=0,N(Q555)&lt;=0),"Menge pro Gebinde fehlt (Ist = 1 Gebinde); ","")&amp;BU555)</f>
        <v>Überbestand 4 Stk / CHF 294; </v>
      </c>
      <c r="BN555" s="48"/>
      <c r="BO555" s="48"/>
      <c r="BP555" s="55"/>
      <c r="BQ555" s="50" t="n">
        <v>0</v>
      </c>
      <c r="BR555" s="50" t="n">
        <v>5</v>
      </c>
      <c r="BS555" s="49" t="n">
        <v>15.05</v>
      </c>
      <c r="BT555" s="50" t="n">
        <v>1</v>
      </c>
      <c r="BU555" s="48"/>
      <c r="BV555" s="53" t="n">
        <v>0</v>
      </c>
      <c r="BW555" s="53" t="n">
        <v>555</v>
      </c>
      <c r="BX555" s="48" t="str">
        <f aca="false">IF(U555&lt;&gt;"",UPPER(TRIM(U555)),IF(CA555=1,UPPER(VLOOKUP(T555,Parameter!$I$27:$K$29,2,0)),IF(P555="","LOSE",P555)))</f>
        <v>S22</v>
      </c>
      <c r="BY555" s="50" t="n">
        <f aca="false">IF(BX555="LOSE",1,IF(N(V555)&gt;0,V555,IF(CA555=1,MAX(1,N(VLOOKUP(T555,Parameter!$I$27:$K$29,3,0)),H555,N(N555)),IF(N(Q555)&gt;0,Q555,MAX(1,H555)))))</f>
        <v>6</v>
      </c>
      <c r="BZ555" s="53" t="n">
        <f aca="false">IF(BX555="LOSE",1,0)</f>
        <v>0</v>
      </c>
      <c r="CA555" s="53" t="n">
        <f aca="false">IF(AND(U555="",OR(P555="",P555="LOSE"),T555&lt;&gt;"",N(S555)&lt;=0,ISNUMBER(MATCH(T555,Parameter!$I$27:$I$29,0))),1,0)</f>
        <v>0</v>
      </c>
      <c r="CB555" s="53" t="n">
        <f aca="false">IF(CQ555&gt;0,INDEX(Parameter!$H$5:$H$7,W555)/INDEX(Parameter!$E$5:$E$7,W555),IF(AND(BZ555=0,N(IFERROR(VLOOKUP(BX555,'Gebinde-Kategorie'!$A$5:$N$45,14,0),0))&gt;0),VLOOKUP(BX555,'Gebinde-Kategorie'!$A$5:$N$45,14,0)*10+Parameter!$M$23,Parameter!$M$24))</f>
        <v>155</v>
      </c>
      <c r="CC555" s="48" t="str">
        <f aca="false">IF(AND(Parameter!$B$19="Ja",E555&lt;&gt;"",ISNUMBER(MATCH(E555,Parameter!$I$35:$I$52,0))),VLOOKUP(E555,Parameter!$I$35:$J$52,2,0),IFERROR(VLOOKUP(D555,Parameter!$A$35:$C$64,2,0),"Nein"))</f>
        <v>2+3</v>
      </c>
      <c r="CD555" s="52" t="n">
        <f aca="false">IF(BZ555=0,0,IF(N(S555)&gt;0,S555,IFERROR(VLOOKUP(D555,Parameter!$A$35:$C$64,3,0)+0,0)))</f>
        <v>0</v>
      </c>
      <c r="CE555" s="48" t="n">
        <f aca="false">IF(AA555&lt;&gt;"",AA555,Z555)</f>
        <v>3</v>
      </c>
      <c r="CF555" s="48" t="str">
        <f aca="false">IF(OR(CE555=1,CE555=2,CE555=3),IF(Parameter!$E$27="Ja","LIFT",IF(CE555=1,"L1","L23")),IF(CE555="Aussen","Aussen","-"))</f>
        <v>LIFT</v>
      </c>
      <c r="CG555" s="59" t="n">
        <f aca="false">IF(N(AB555)&gt;0,AB555,0)</f>
        <v>0</v>
      </c>
      <c r="CH555" s="53" t="n">
        <f aca="false">IF(ISNUMBER(AE555),1,0)</f>
        <v>0</v>
      </c>
      <c r="CI555" s="50" t="n">
        <f aca="false">N(AE555)</f>
        <v>0</v>
      </c>
      <c r="CJ555" s="50" t="n">
        <f aca="false">N(M555)+N(N555)</f>
        <v>1</v>
      </c>
      <c r="CK555" s="50" t="n">
        <f aca="false">N(M555)</f>
        <v>0</v>
      </c>
      <c r="CL555" s="50" t="n">
        <f aca="false">N(N555)</f>
        <v>1</v>
      </c>
      <c r="CM555" s="50" t="n">
        <f aca="false">ROUNDUP(H555/BY555,0)</f>
        <v>1</v>
      </c>
      <c r="CN555" s="50" t="n">
        <f aca="false">ROUNDUP(CI555/BY555,0)</f>
        <v>0</v>
      </c>
      <c r="CO555" s="53" t="n">
        <f aca="false">IF(BZ555=1,0,IFERROR(VLOOKUP(BX555,'Gebinde-Kategorie'!$A$5:$N$45,5,0)+0,0))</f>
        <v>8</v>
      </c>
      <c r="CP555" s="53" t="n">
        <f aca="false">IFERROR(IF(OR(CE555=1,CE555=2,CE555=3),N(INDEX(Parameter!$I$5:$I$7,CE555)),0),0)</f>
        <v>0</v>
      </c>
      <c r="CQ555" s="52" t="n">
        <f aca="false">IF(AND(Parameter!$B$21="Ja",ISNUMBER(W555),N(X555)&gt;0),IFERROR(N(INDEX(Parameter!$L$5:$L$7,W555))*INDEX(Parameter!$E$5:$E$7,W555)*X555/SUMIFS($X$7:$X$1843,$W$7:$W$1843,W555),0),0)</f>
        <v>0</v>
      </c>
    </row>
    <row r="556" customFormat="false" ht="15" hidden="false" customHeight="false" outlineLevel="0" collapsed="false">
      <c r="A556" s="48" t="s">
        <v>1191</v>
      </c>
      <c r="B556" s="48" t="s">
        <v>1192</v>
      </c>
      <c r="C556" s="48" t="s">
        <v>173</v>
      </c>
      <c r="D556" s="48" t="s">
        <v>193</v>
      </c>
      <c r="E556" s="48"/>
      <c r="F556" s="48" t="s">
        <v>227</v>
      </c>
      <c r="G556" s="49" t="n">
        <v>1.06</v>
      </c>
      <c r="H556" s="50" t="n">
        <f aca="false">MAX(0,IF(AND(Parameter!$B$21="Ja",ISNUMBER(Y556)),Y556,IF(Parameter!$B$20="Jahresanfang 2025 + Export",BR556+BQ556,BQ556)))</f>
        <v>14</v>
      </c>
      <c r="I556" s="50" t="n">
        <f aca="false">H556*G556</f>
        <v>14.84</v>
      </c>
      <c r="J556" s="50" t="n">
        <f aca="false">BT556*Parameter!$B$18</f>
        <v>0</v>
      </c>
      <c r="K556" s="51" t="n">
        <v>10</v>
      </c>
      <c r="L556" s="52" t="n">
        <v>0</v>
      </c>
      <c r="M556" s="50" t="n">
        <v>0</v>
      </c>
      <c r="N556" s="50" t="n">
        <v>1</v>
      </c>
      <c r="O556" s="53" t="n">
        <v>31</v>
      </c>
      <c r="P556" s="48" t="s">
        <v>410</v>
      </c>
      <c r="Q556" s="50" t="n">
        <v>20</v>
      </c>
      <c r="R556" s="53" t="n">
        <f aca="false">IF(BZ556=1,0,IFERROR(VLOOKUP(BX556,'Gebinde-Kategorie'!$A$5:$N$45,13,0)+0,0))</f>
        <v>280</v>
      </c>
      <c r="S556" s="54"/>
      <c r="T556" s="55"/>
      <c r="U556" s="55"/>
      <c r="V556" s="55"/>
      <c r="W556" s="48"/>
      <c r="X556" s="50"/>
      <c r="Y556" s="50"/>
      <c r="Z556" s="48" t="n">
        <f aca="false">IF(A556="","",IF(AND(Parameter!$B$21="Ja",ISNUMBER(W556)),W556,IF(CC556="2+3",IF(ISNUMBER(SEARCH("grosser Artikel",BU556)),2,IFERROR(VLOOKUP(BX556,Parameter!$F$35:$G$64,2,0),2)),IF(OR(CC556="Nein",CC556=""),"-",CC556))))</f>
        <v>3</v>
      </c>
      <c r="AA556" s="55"/>
      <c r="AB556" s="56"/>
      <c r="AC556" s="50" t="n">
        <f aca="false">AV556</f>
        <v>1</v>
      </c>
      <c r="AD556" s="50" t="n">
        <f aca="false">MAX(AV556,H556)</f>
        <v>14</v>
      </c>
      <c r="AE556" s="57"/>
      <c r="AF556" s="50" t="n">
        <f aca="false">IF(LEFT(Cockpit!$C$5,1)="A",H556,IF(Parameter!$E$30="MAX-Bestand",IF(CH556=1,CI556,IF(LEFT(Cockpit!$C$5,1)="B",AL556,MAX(AL556,H556))),ROUNDUP(AJ556,0)))</f>
        <v>14</v>
      </c>
      <c r="AG556" s="50" t="n">
        <f aca="false">IF(BZ556=1,0,ROUNDUP(AF556/BY556,0))</f>
        <v>1</v>
      </c>
      <c r="AH556" s="52" t="n">
        <f aca="false">IF(CQ556&gt;0,CQ556*MAX(1,AF556/X556),IF(BZ556=1,IF(AF556&lt;=0,0,CD556*MAX(1,IF(H556&gt;0,AF556/H556,1))),IF(R556&gt;0,AG556/R556,0))/MAX(0.1,N(Parameter!$M$21)))</f>
        <v>0.00357142857142857</v>
      </c>
      <c r="AI556" s="50" t="n">
        <f aca="false">AH556*CB556</f>
        <v>0.553571428571429</v>
      </c>
      <c r="AJ556" s="51" t="n">
        <f aca="false">IF(LEFT(Cockpit!$C$5,1)="A",H556,IF(CH556=1,(CK556+CI556)/2,IF(LEFT(Cockpit!$C$5,1)="B",(CK556+AL556)/2,MAX((CK556+AL556)/2,H556))))</f>
        <v>14</v>
      </c>
      <c r="AK556" s="50" t="n">
        <f aca="false">AJ556*G556</f>
        <v>14.84</v>
      </c>
      <c r="AL556" s="50" t="n">
        <f aca="false">ROUNDUP(CK556+MAX(CL556,2*(J556/IF(CG556&gt;0,CG556,MAX(0.1,N(Cockpit!$C$6)))-CK556)),0)</f>
        <v>1</v>
      </c>
      <c r="AM556" s="51" t="n">
        <f aca="false">IF(AI556&gt;0,J556/AI556,-1)</f>
        <v>0</v>
      </c>
      <c r="AN556" s="51" t="n">
        <f aca="false">IF(AND(OR(CF556="L1",CF556="L23",CF556="LIFT"),AI556&gt;0),SUMIFS($AI$7:$AI$1843,$CF$7:$CF$1843,CF556,$AM$7:$AM$1843,"&gt;"&amp;AM556)+SUMIFS($AI$7:$AI$1843,$CF$7:$CF$1843,CF556,$AM$7:$AM$1843,AM556,$BW$7:$BW$1843,"&lt;="&amp;BW556),"")</f>
        <v>28397.0757175969</v>
      </c>
      <c r="AO556" s="58" t="n">
        <f aca="false">IF(AN556="",0,MAX(0,MIN(1,(IF(CF556="L1",Parameter!$H$5,IF(CF556="L23",Parameter!$H$6+Parameter!$H$7,Parameter!$H$5+Parameter!$H$6+Parameter!$H$7))-(AN556-AI556))/AI556)))</f>
        <v>1</v>
      </c>
      <c r="AP556" s="50" t="n">
        <f aca="false">IF(LEFT(Cockpit!$I$5,1)="A",H556,IF(Parameter!$E$30="MAX-Bestand",IF(CH556=1,CI556,IF(LEFT(Cockpit!$I$5,1)="B",AV556,MAX(AV556,H556))),ROUNDUP(AT556,0)))</f>
        <v>14</v>
      </c>
      <c r="AQ556" s="50" t="n">
        <f aca="false">IF(BZ556=1,0,ROUNDUP(AP556/BY556,0))</f>
        <v>1</v>
      </c>
      <c r="AR556" s="52" t="n">
        <f aca="false">IF(CQ556&gt;0,CQ556*MAX(1,AP556/X556),IF(BZ556=1,IF(AP556&lt;=0,0,CD556*MAX(1,IF(H556&gt;0,AP556/H556,1))),IF(R556&gt;0,AQ556/R556,0))/MAX(0.1,N(Parameter!$M$21)))</f>
        <v>0.00357142857142857</v>
      </c>
      <c r="AS556" s="50" t="n">
        <f aca="false">AR556*CB556</f>
        <v>0.553571428571429</v>
      </c>
      <c r="AT556" s="51" t="n">
        <f aca="false">IF(LEFT(Cockpit!$I$5,1)="A",H556,IF(CH556=1,(CK556+CI556)/2,IF(LEFT(Cockpit!$I$5,1)="B",(CK556+AV556)/2,MAX((CK556+AV556)/2,H556))))</f>
        <v>14</v>
      </c>
      <c r="AU556" s="50" t="n">
        <f aca="false">AT556*G556</f>
        <v>14.84</v>
      </c>
      <c r="AV556" s="50" t="n">
        <f aca="false">ROUNDUP(CK556+MAX(CL556,2*(J556/IF(CG556&gt;0,CG556,MAX(0.1,N(Cockpit!$I$6)))-CK556)),0)</f>
        <v>1</v>
      </c>
      <c r="AW556" s="51" t="n">
        <f aca="false">IF(AS556&gt;0,J556/AS556,-1)</f>
        <v>0</v>
      </c>
      <c r="AX556" s="51" t="n">
        <f aca="false">IF(AND(OR(CF556="L1",CF556="L23",CF556="LIFT"),AS556&gt;0),SUMIFS($AS$7:$AS$1843,$CF$7:$CF$1843,CF556,$AW$7:$AW$1843,"&gt;"&amp;AW556)+SUMIFS($AS$7:$AS$1843,$CF$7:$CF$1843,CF556,$AW$7:$AW$1843,AW556,$BW$7:$BW$1843,"&lt;="&amp;BW556),"")</f>
        <v>33750.2243589744</v>
      </c>
      <c r="AY556" s="58" t="n">
        <f aca="false">IF(AX556="",0,MAX(0,MIN(1,(IF(CF556="L1",Parameter!$H$5,IF(CF556="L23",Parameter!$H$6+Parameter!$H$7,Parameter!$H$5+Parameter!$H$6+Parameter!$H$7))-(AX556-AS556))/AS556)))</f>
        <v>1</v>
      </c>
      <c r="AZ556" s="50" t="n">
        <f aca="false">IF(LEFT(Cockpit!$O$5,1)="A",H556,IF(Parameter!$E$30="MAX-Bestand",IF(CH556=1,CI556,IF(LEFT(Cockpit!$O$5,1)="B",BF556,MAX(BF556,H556))),ROUNDUP(BD556,0)))</f>
        <v>1</v>
      </c>
      <c r="BA556" s="50" t="n">
        <f aca="false">IF(BZ556=1,0,ROUNDUP(AZ556/BY556,0))</f>
        <v>1</v>
      </c>
      <c r="BB556" s="52" t="n">
        <f aca="false">IF(CQ556&gt;0,CQ556*MAX(1,AZ556/X556),IF(BZ556=1,IF(AZ556&lt;=0,0,CD556*MAX(1,IF(H556&gt;0,AZ556/H556,1))),IF(R556&gt;0,BA556/R556,0))/MAX(0.1,N(Parameter!$M$21)))</f>
        <v>0.00357142857142857</v>
      </c>
      <c r="BC556" s="50" t="n">
        <f aca="false">BB556*CB556</f>
        <v>0.553571428571429</v>
      </c>
      <c r="BD556" s="51" t="n">
        <f aca="false">IF(LEFT(Cockpit!$O$5,1)="A",H556,IF(CH556=1,(CK556+CI556)/2,IF(LEFT(Cockpit!$O$5,1)="B",(CK556+BF556)/2,MAX((CK556+BF556)/2,H556))))</f>
        <v>0.5</v>
      </c>
      <c r="BE556" s="50" t="n">
        <f aca="false">BD556*G556</f>
        <v>0.53</v>
      </c>
      <c r="BF556" s="50" t="n">
        <f aca="false">ROUNDUP(CK556+MAX(CL556,2*(J556/IF(CG556&gt;0,CG556,MAX(0.1,N(Cockpit!$O$6)))-CK556)),0)</f>
        <v>1</v>
      </c>
      <c r="BG556" s="51" t="n">
        <f aca="false">IF(BC556&gt;0,J556/BC556,-1)</f>
        <v>0</v>
      </c>
      <c r="BH556" s="51" t="n">
        <f aca="false">IF(AND(OR(CF556="L1",CF556="L23",CF556="LIFT"),BC556&gt;0),SUMIFS($BC$7:$BC$1843,$CF$7:$CF$1843,CF556,$BG$7:$BG$1843,"&gt;"&amp;BG556)+SUMIFS($BC$7:$BC$1843,$CF$7:$CF$1843,CF556,$BG$7:$BG$1843,BG556,$BW$7:$BW$1843,"&lt;="&amp;BW556),"")</f>
        <v>27828.6610557522</v>
      </c>
      <c r="BI556" s="58" t="n">
        <f aca="false">IF(BH556="",0,MAX(0,MIN(1,(IF(CF556="L1",Parameter!$H$5,IF(CF556="L23",Parameter!$H$6+Parameter!$H$7,Parameter!$H$5+Parameter!$H$6+Parameter!$H$7))-(BH556-BC556))/BC556)))</f>
        <v>1</v>
      </c>
      <c r="BJ556" s="48" t="str">
        <f aca="false">IF(AI556&lt;=0,"",IF(CF556="Aussen","Aussenlager",IF(CF556="-","Nicht im Lift",IF(AO556&gt;=1,"Lift",IF(AO556&lt;=0,"Aussenlager","teilweise")))))</f>
        <v>Lift</v>
      </c>
      <c r="BK556" s="48" t="str">
        <f aca="false">IF(AS556&lt;=0,"",IF(CF556="Aussen","Aussenlager",IF(CF556="-","Nicht im Lift",IF(AY556&gt;=1,"Lift",IF(AY556&lt;=0,"Aussenlager","teilweise")))))</f>
        <v>Lift</v>
      </c>
      <c r="BL556" s="48" t="str">
        <f aca="false">IF(BC556&lt;=0,"",IF(CF556="Aussen","Aussenlager",IF(CF556="-","Nicht im Lift",IF(BI556&gt;=1,"Lift",IF(BI556&lt;=0,"Aussenlager","teilweise")))))</f>
        <v>Lift</v>
      </c>
      <c r="BM556" s="48" t="str">
        <f aca="false">IF(A556="","",IF(BV556=1,"Neu; ","")&amp;IF(AND(BV556=0,BQ556&lt;0),"negativer Bestand (Export "&amp;BQ556&amp;"); ","")&amp;IF(J556&lt;=0,"Kein Verbrauch; ","")&amp;IF(CQ556&gt;0,"Lift "&amp;W556&amp;" lt. Liftbericht (Fach "&amp;X556&amp;" Stk); ",IF(CA556=1,"Gebinde geschätzt ("&amp;T556&amp;"); ",IF(BZ556=1,"Lose – Tablare geschätzt; ","")))&amp;IF(H556&gt;AV556,"Überbestand "&amp;ROUND(H556-AV556,0)&amp;" Stk / CHF "&amp;ROUND((H556-AV556)*G556,0)&amp;"; ","")&amp;IF(AND(CH556=1,CI556&lt;CJ556),"MAX &lt; MB+LG; ","")&amp;IF(AND(CP556&gt;0,CO556*10&gt;CP556),"zu hoch für Tablar; ","")&amp;IF(AND(BV556=0,OR(CH556=1,AA556&lt;&gt;"",U556&lt;&gt;"",V556&lt;&gt;"",AB556&lt;&gt;"")),"manuell übersteuert; ","")&amp;IF(AND(BZ556=0,R556=0),"Gebinde unbekannt / Stellmass fehlt; ","")&amp;IF(AND(BZ556=0,N(V556)&lt;=0,N(Q556)&lt;=0),"Menge pro Gebinde fehlt (Ist = 1 Gebinde); ","")&amp;BU556)</f>
        <v>Kein Verbrauch; Überbestand 13 Stk / CHF 14; </v>
      </c>
      <c r="BN556" s="48"/>
      <c r="BO556" s="48"/>
      <c r="BP556" s="55"/>
      <c r="BQ556" s="50" t="n">
        <v>14</v>
      </c>
      <c r="BR556" s="50" t="n">
        <v>0</v>
      </c>
      <c r="BS556" s="49" t="n">
        <v>14.84</v>
      </c>
      <c r="BT556" s="50" t="n">
        <v>0</v>
      </c>
      <c r="BU556" s="48"/>
      <c r="BV556" s="53" t="n">
        <v>0</v>
      </c>
      <c r="BW556" s="53" t="n">
        <v>556</v>
      </c>
      <c r="BX556" s="48" t="str">
        <f aca="false">IF(U556&lt;&gt;"",UPPER(TRIM(U556)),IF(CA556=1,UPPER(VLOOKUP(T556,Parameter!$I$27:$K$29,2,0)),IF(P556="","LOSE",P556)))</f>
        <v>S21</v>
      </c>
      <c r="BY556" s="50" t="n">
        <f aca="false">IF(BX556="LOSE",1,IF(N(V556)&gt;0,V556,IF(CA556=1,MAX(1,N(VLOOKUP(T556,Parameter!$I$27:$K$29,3,0)),H556,N(N556)),IF(N(Q556)&gt;0,Q556,MAX(1,H556)))))</f>
        <v>20</v>
      </c>
      <c r="BZ556" s="53" t="n">
        <f aca="false">IF(BX556="LOSE",1,0)</f>
        <v>0</v>
      </c>
      <c r="CA556" s="53" t="n">
        <f aca="false">IF(AND(U556="",OR(P556="",P556="LOSE"),T556&lt;&gt;"",N(S556)&lt;=0,ISNUMBER(MATCH(T556,Parameter!$I$27:$I$29,0))),1,0)</f>
        <v>0</v>
      </c>
      <c r="CB556" s="53" t="n">
        <f aca="false">IF(CQ556&gt;0,INDEX(Parameter!$H$5:$H$7,W556)/INDEX(Parameter!$E$5:$E$7,W556),IF(AND(BZ556=0,N(IFERROR(VLOOKUP(BX556,'Gebinde-Kategorie'!$A$5:$N$45,14,0),0))&gt;0),VLOOKUP(BX556,'Gebinde-Kategorie'!$A$5:$N$45,14,0)*10+Parameter!$M$23,Parameter!$M$24))</f>
        <v>155</v>
      </c>
      <c r="CC556" s="48" t="str">
        <f aca="false">IF(AND(Parameter!$B$19="Ja",E556&lt;&gt;"",ISNUMBER(MATCH(E556,Parameter!$I$35:$I$52,0))),VLOOKUP(E556,Parameter!$I$35:$J$52,2,0),IFERROR(VLOOKUP(D556,Parameter!$A$35:$C$64,2,0),"Nein"))</f>
        <v>2+3</v>
      </c>
      <c r="CD556" s="52" t="n">
        <f aca="false">IF(BZ556=0,0,IF(N(S556)&gt;0,S556,IFERROR(VLOOKUP(D556,Parameter!$A$35:$C$64,3,0)+0,0)))</f>
        <v>0</v>
      </c>
      <c r="CE556" s="48" t="n">
        <f aca="false">IF(AA556&lt;&gt;"",AA556,Z556)</f>
        <v>3</v>
      </c>
      <c r="CF556" s="48" t="str">
        <f aca="false">IF(OR(CE556=1,CE556=2,CE556=3),IF(Parameter!$E$27="Ja","LIFT",IF(CE556=1,"L1","L23")),IF(CE556="Aussen","Aussen","-"))</f>
        <v>LIFT</v>
      </c>
      <c r="CG556" s="59" t="n">
        <f aca="false">IF(N(AB556)&gt;0,AB556,0)</f>
        <v>0</v>
      </c>
      <c r="CH556" s="53" t="n">
        <f aca="false">IF(ISNUMBER(AE556),1,0)</f>
        <v>0</v>
      </c>
      <c r="CI556" s="50" t="n">
        <f aca="false">N(AE556)</f>
        <v>0</v>
      </c>
      <c r="CJ556" s="50" t="n">
        <f aca="false">N(M556)+N(N556)</f>
        <v>1</v>
      </c>
      <c r="CK556" s="50" t="n">
        <f aca="false">N(M556)</f>
        <v>0</v>
      </c>
      <c r="CL556" s="50" t="n">
        <f aca="false">N(N556)</f>
        <v>1</v>
      </c>
      <c r="CM556" s="50" t="n">
        <f aca="false">ROUNDUP(H556/BY556,0)</f>
        <v>1</v>
      </c>
      <c r="CN556" s="50" t="n">
        <f aca="false">ROUNDUP(CI556/BY556,0)</f>
        <v>0</v>
      </c>
      <c r="CO556" s="53" t="n">
        <f aca="false">IF(BZ556=1,0,IFERROR(VLOOKUP(BX556,'Gebinde-Kategorie'!$A$5:$N$45,5,0)+0,0))</f>
        <v>8</v>
      </c>
      <c r="CP556" s="53" t="n">
        <f aca="false">IFERROR(IF(OR(CE556=1,CE556=2,CE556=3),N(INDEX(Parameter!$I$5:$I$7,CE556)),0),0)</f>
        <v>0</v>
      </c>
      <c r="CQ556" s="52" t="n">
        <f aca="false">IF(AND(Parameter!$B$21="Ja",ISNUMBER(W556),N(X556)&gt;0),IFERROR(N(INDEX(Parameter!$L$5:$L$7,W556))*INDEX(Parameter!$E$5:$E$7,W556)*X556/SUMIFS($X$7:$X$1843,$W$7:$W$1843,W556),0),0)</f>
        <v>0</v>
      </c>
    </row>
    <row r="557" customFormat="false" ht="15" hidden="false" customHeight="false" outlineLevel="0" collapsed="false">
      <c r="A557" s="48" t="s">
        <v>1193</v>
      </c>
      <c r="B557" s="48" t="s">
        <v>1194</v>
      </c>
      <c r="C557" s="48" t="s">
        <v>173</v>
      </c>
      <c r="D557" s="48" t="s">
        <v>182</v>
      </c>
      <c r="E557" s="48" t="s">
        <v>194</v>
      </c>
      <c r="F557" s="48" t="s">
        <v>227</v>
      </c>
      <c r="G557" s="49" t="n">
        <v>4.33</v>
      </c>
      <c r="H557" s="50" t="n">
        <f aca="false">MAX(0,IF(AND(Parameter!$B$21="Ja",ISNUMBER(Y557)),Y557,IF(Parameter!$B$20="Jahresanfang 2025 + Export",BR557+BQ557,BQ557)))</f>
        <v>32</v>
      </c>
      <c r="I557" s="50" t="n">
        <f aca="false">H557*G557</f>
        <v>138.56</v>
      </c>
      <c r="J557" s="50" t="n">
        <f aca="false">BT557*Parameter!$B$18</f>
        <v>24</v>
      </c>
      <c r="K557" s="51" t="n">
        <v>43.5</v>
      </c>
      <c r="L557" s="52" t="n">
        <v>0.551724137931035</v>
      </c>
      <c r="M557" s="50" t="n">
        <v>3</v>
      </c>
      <c r="N557" s="50" t="n">
        <v>25</v>
      </c>
      <c r="O557" s="53" t="n">
        <v>49</v>
      </c>
      <c r="P557" s="48" t="s">
        <v>183</v>
      </c>
      <c r="Q557" s="50" t="n">
        <v>48</v>
      </c>
      <c r="R557" s="53" t="n">
        <f aca="false">IF(BZ557=1,0,IFERROR(VLOOKUP(BX557,'Gebinde-Kategorie'!$A$5:$N$45,13,0)+0,0))</f>
        <v>6</v>
      </c>
      <c r="S557" s="54"/>
      <c r="T557" s="55"/>
      <c r="U557" s="55"/>
      <c r="V557" s="55"/>
      <c r="W557" s="48"/>
      <c r="X557" s="50"/>
      <c r="Y557" s="50"/>
      <c r="Z557" s="48" t="n">
        <f aca="false">IF(A557="","",IF(AND(Parameter!$B$21="Ja",ISNUMBER(W557)),W557,IF(CC557="2+3",IF(ISNUMBER(SEARCH("grosser Artikel",BU557)),2,IFERROR(VLOOKUP(BX557,Parameter!$F$35:$G$64,2,0),2)),IF(OR(CC557="Nein",CC557=""),"-",CC557))))</f>
        <v>2</v>
      </c>
      <c r="AA557" s="55"/>
      <c r="AB557" s="56"/>
      <c r="AC557" s="50" t="n">
        <f aca="false">AV557</f>
        <v>28</v>
      </c>
      <c r="AD557" s="50" t="n">
        <f aca="false">MAX(AV557,H557)</f>
        <v>32</v>
      </c>
      <c r="AE557" s="57"/>
      <c r="AF557" s="50" t="n">
        <f aca="false">IF(LEFT(Cockpit!$C$5,1)="A",H557,IF(Parameter!$E$30="MAX-Bestand",IF(CH557=1,CI557,IF(LEFT(Cockpit!$C$5,1)="B",AL557,MAX(AL557,H557))),ROUNDUP(AJ557,0)))</f>
        <v>32</v>
      </c>
      <c r="AG557" s="50" t="n">
        <f aca="false">IF(BZ557=1,0,ROUNDUP(AF557/BY557,0))</f>
        <v>1</v>
      </c>
      <c r="AH557" s="52" t="n">
        <f aca="false">IF(CQ557&gt;0,CQ557*MAX(1,AF557/X557),IF(BZ557=1,IF(AF557&lt;=0,0,CD557*MAX(1,IF(H557&gt;0,AF557/H557,1))),IF(R557&gt;0,AG557/R557,0))/MAX(0.1,N(Parameter!$M$21)))</f>
        <v>0.166666666666667</v>
      </c>
      <c r="AI557" s="50" t="n">
        <f aca="false">AH557*CB557</f>
        <v>39.1666666666667</v>
      </c>
      <c r="AJ557" s="51" t="n">
        <f aca="false">IF(LEFT(Cockpit!$C$5,1)="A",H557,IF(CH557=1,(CK557+CI557)/2,IF(LEFT(Cockpit!$C$5,1)="B",(CK557+AL557)/2,MAX((CK557+AL557)/2,H557))))</f>
        <v>32</v>
      </c>
      <c r="AK557" s="50" t="n">
        <f aca="false">AJ557*G557</f>
        <v>138.56</v>
      </c>
      <c r="AL557" s="50" t="n">
        <f aca="false">ROUNDUP(CK557+MAX(CL557,2*(J557/IF(CG557&gt;0,CG557,MAX(0.1,N(Cockpit!$C$6)))-CK557)),0)</f>
        <v>28</v>
      </c>
      <c r="AM557" s="51" t="n">
        <f aca="false">IF(AI557&gt;0,J557/AI557,-1)</f>
        <v>0.612765957446809</v>
      </c>
      <c r="AN557" s="51" t="n">
        <f aca="false">IF(AND(OR(CF557="L1",CF557="L23",CF557="LIFT"),AI557&gt;0),SUMIFS($AI$7:$AI$1843,$CF$7:$CF$1843,CF557,$AM$7:$AM$1843,"&gt;"&amp;AM557)+SUMIFS($AI$7:$AI$1843,$CF$7:$CF$1843,CF557,$AM$7:$AM$1843,AM557,$BW$7:$BW$1843,"&lt;="&amp;BW557),"")</f>
        <v>9191.2028103723</v>
      </c>
      <c r="AO557" s="58" t="n">
        <f aca="false">IF(AN557="",0,MAX(0,MIN(1,(IF(CF557="L1",Parameter!$H$5,IF(CF557="L23",Parameter!$H$6+Parameter!$H$7,Parameter!$H$5+Parameter!$H$6+Parameter!$H$7))-(AN557-AI557))/AI557)))</f>
        <v>1</v>
      </c>
      <c r="AP557" s="50" t="n">
        <f aca="false">IF(LEFT(Cockpit!$I$5,1)="A",H557,IF(Parameter!$E$30="MAX-Bestand",IF(CH557=1,CI557,IF(LEFT(Cockpit!$I$5,1)="B",AV557,MAX(AV557,H557))),ROUNDUP(AT557,0)))</f>
        <v>32</v>
      </c>
      <c r="AQ557" s="50" t="n">
        <f aca="false">IF(BZ557=1,0,ROUNDUP(AP557/BY557,0))</f>
        <v>1</v>
      </c>
      <c r="AR557" s="52" t="n">
        <f aca="false">IF(CQ557&gt;0,CQ557*MAX(1,AP557/X557),IF(BZ557=1,IF(AP557&lt;=0,0,CD557*MAX(1,IF(H557&gt;0,AP557/H557,1))),IF(R557&gt;0,AQ557/R557,0))/MAX(0.1,N(Parameter!$M$21)))</f>
        <v>0.166666666666667</v>
      </c>
      <c r="AS557" s="50" t="n">
        <f aca="false">AR557*CB557</f>
        <v>39.1666666666667</v>
      </c>
      <c r="AT557" s="51" t="n">
        <f aca="false">IF(LEFT(Cockpit!$I$5,1)="A",H557,IF(CH557=1,(CK557+CI557)/2,IF(LEFT(Cockpit!$I$5,1)="B",(CK557+AV557)/2,MAX((CK557+AV557)/2,H557))))</f>
        <v>32</v>
      </c>
      <c r="AU557" s="50" t="n">
        <f aca="false">AT557*G557</f>
        <v>138.56</v>
      </c>
      <c r="AV557" s="50" t="n">
        <f aca="false">ROUNDUP(CK557+MAX(CL557,2*(J557/IF(CG557&gt;0,CG557,MAX(0.1,N(Cockpit!$I$6)))-CK557)),0)</f>
        <v>28</v>
      </c>
      <c r="AW557" s="51" t="n">
        <f aca="false">IF(AS557&gt;0,J557/AS557,-1)</f>
        <v>0.612765957446809</v>
      </c>
      <c r="AX557" s="51" t="n">
        <f aca="false">IF(AND(OR(CF557="L1",CF557="L23",CF557="LIFT"),AS557&gt;0),SUMIFS($AS$7:$AS$1843,$CF$7:$CF$1843,CF557,$AW$7:$AW$1843,"&gt;"&amp;AW557)+SUMIFS($AS$7:$AS$1843,$CF$7:$CF$1843,CF557,$AW$7:$AW$1843,AW557,$BW$7:$BW$1843,"&lt;="&amp;BW557),"")</f>
        <v>11237.282967033</v>
      </c>
      <c r="AY557" s="58" t="n">
        <f aca="false">IF(AX557="",0,MAX(0,MIN(1,(IF(CF557="L1",Parameter!$H$5,IF(CF557="L23",Parameter!$H$6+Parameter!$H$7,Parameter!$H$5+Parameter!$H$6+Parameter!$H$7))-(AX557-AS557))/AS557)))</f>
        <v>1</v>
      </c>
      <c r="AZ557" s="50" t="n">
        <f aca="false">IF(LEFT(Cockpit!$O$5,1)="A",H557,IF(Parameter!$E$30="MAX-Bestand",IF(CH557=1,CI557,IF(LEFT(Cockpit!$O$5,1)="B",BF557,MAX(BF557,H557))),ROUNDUP(BD557,0)))</f>
        <v>16</v>
      </c>
      <c r="BA557" s="50" t="n">
        <f aca="false">IF(BZ557=1,0,ROUNDUP(AZ557/BY557,0))</f>
        <v>1</v>
      </c>
      <c r="BB557" s="52" t="n">
        <f aca="false">IF(CQ557&gt;0,CQ557*MAX(1,AZ557/X557),IF(BZ557=1,IF(AZ557&lt;=0,0,CD557*MAX(1,IF(H557&gt;0,AZ557/H557,1))),IF(R557&gt;0,BA557/R557,0))/MAX(0.1,N(Parameter!$M$21)))</f>
        <v>0.166666666666667</v>
      </c>
      <c r="BC557" s="50" t="n">
        <f aca="false">BB557*CB557</f>
        <v>39.1666666666667</v>
      </c>
      <c r="BD557" s="51" t="n">
        <f aca="false">IF(LEFT(Cockpit!$O$5,1)="A",H557,IF(CH557=1,(CK557+CI557)/2,IF(LEFT(Cockpit!$O$5,1)="B",(CK557+BF557)/2,MAX((CK557+BF557)/2,H557))))</f>
        <v>15.5</v>
      </c>
      <c r="BE557" s="50" t="n">
        <f aca="false">BD557*G557</f>
        <v>67.115</v>
      </c>
      <c r="BF557" s="50" t="n">
        <f aca="false">ROUNDUP(CK557+MAX(CL557,2*(J557/IF(CG557&gt;0,CG557,MAX(0.1,N(Cockpit!$O$6)))-CK557)),0)</f>
        <v>28</v>
      </c>
      <c r="BG557" s="51" t="n">
        <f aca="false">IF(BC557&gt;0,J557/BC557,-1)</f>
        <v>0.612765957446809</v>
      </c>
      <c r="BH557" s="51" t="n">
        <f aca="false">IF(AND(OR(CF557="L1",CF557="L23",CF557="LIFT"),BC557&gt;0),SUMIFS($BC$7:$BC$1843,$CF$7:$CF$1843,CF557,$BG$7:$BG$1843,"&gt;"&amp;BG557)+SUMIFS($BC$7:$BC$1843,$CF$7:$CF$1843,CF557,$BG$7:$BG$1843,BG557,$BW$7:$BW$1843,"&lt;="&amp;BW557),"")</f>
        <v>9929.70558608059</v>
      </c>
      <c r="BI557" s="58" t="n">
        <f aca="false">IF(BH557="",0,MAX(0,MIN(1,(IF(CF557="L1",Parameter!$H$5,IF(CF557="L23",Parameter!$H$6+Parameter!$H$7,Parameter!$H$5+Parameter!$H$6+Parameter!$H$7))-(BH557-BC557))/BC557)))</f>
        <v>1</v>
      </c>
      <c r="BJ557" s="48" t="str">
        <f aca="false">IF(AI557&lt;=0,"",IF(CF557="Aussen","Aussenlager",IF(CF557="-","Nicht im Lift",IF(AO557&gt;=1,"Lift",IF(AO557&lt;=0,"Aussenlager","teilweise")))))</f>
        <v>Lift</v>
      </c>
      <c r="BK557" s="48" t="str">
        <f aca="false">IF(AS557&lt;=0,"",IF(CF557="Aussen","Aussenlager",IF(CF557="-","Nicht im Lift",IF(AY557&gt;=1,"Lift",IF(AY557&lt;=0,"Aussenlager","teilweise")))))</f>
        <v>Lift</v>
      </c>
      <c r="BL557" s="48" t="str">
        <f aca="false">IF(BC557&lt;=0,"",IF(CF557="Aussen","Aussenlager",IF(CF557="-","Nicht im Lift",IF(BI557&gt;=1,"Lift",IF(BI557&lt;=0,"Aussenlager","teilweise")))))</f>
        <v>Lift</v>
      </c>
      <c r="BM557" s="48" t="str">
        <f aca="false">IF(A557="","",IF(BV557=1,"Neu; ","")&amp;IF(AND(BV557=0,BQ557&lt;0),"negativer Bestand (Export "&amp;BQ557&amp;"); ","")&amp;IF(J557&lt;=0,"Kein Verbrauch; ","")&amp;IF(CQ557&gt;0,"Lift "&amp;W557&amp;" lt. Liftbericht (Fach "&amp;X557&amp;" Stk); ",IF(CA557=1,"Gebinde geschätzt ("&amp;T557&amp;"); ",IF(BZ557=1,"Lose – Tablare geschätzt; ","")))&amp;IF(H557&gt;AV557,"Überbestand "&amp;ROUND(H557-AV557,0)&amp;" Stk / CHF "&amp;ROUND((H557-AV557)*G557,0)&amp;"; ","")&amp;IF(AND(CH557=1,CI557&lt;CJ557),"MAX &lt; MB+LG; ","")&amp;IF(AND(CP557&gt;0,CO557*10&gt;CP557),"zu hoch für Tablar; ","")&amp;IF(AND(BV557=0,OR(CH557=1,AA557&lt;&gt;"",U557&lt;&gt;"",V557&lt;&gt;"",AB557&lt;&gt;"")),"manuell übersteuert; ","")&amp;IF(AND(BZ557=0,R557=0),"Gebinde unbekannt / Stellmass fehlt; ","")&amp;IF(AND(BZ557=0,N(V557)&lt;=0,N(Q557)&lt;=0),"Menge pro Gebinde fehlt (Ist = 1 Gebinde); ","")&amp;BU557)</f>
        <v>Überbestand 4 Stk / CHF 17; </v>
      </c>
      <c r="BN557" s="48"/>
      <c r="BO557" s="48"/>
      <c r="BP557" s="55"/>
      <c r="BQ557" s="50" t="n">
        <v>3</v>
      </c>
      <c r="BR557" s="50" t="n">
        <v>29</v>
      </c>
      <c r="BS557" s="49" t="n">
        <v>14.7300000000001</v>
      </c>
      <c r="BT557" s="50" t="n">
        <v>24</v>
      </c>
      <c r="BU557" s="48"/>
      <c r="BV557" s="53" t="n">
        <v>0</v>
      </c>
      <c r="BW557" s="53" t="n">
        <v>557</v>
      </c>
      <c r="BX557" s="48" t="str">
        <f aca="false">IF(U557&lt;&gt;"",UPPER(TRIM(U557)),IF(CA557=1,UPPER(VLOOKUP(T557,Parameter!$I$27:$K$29,2,0)),IF(P557="","LOSE",P557)))</f>
        <v>S71</v>
      </c>
      <c r="BY557" s="50" t="n">
        <f aca="false">IF(BX557="LOSE",1,IF(N(V557)&gt;0,V557,IF(CA557=1,MAX(1,N(VLOOKUP(T557,Parameter!$I$27:$K$29,3,0)),H557,N(N557)),IF(N(Q557)&gt;0,Q557,MAX(1,H557)))))</f>
        <v>48</v>
      </c>
      <c r="BZ557" s="53" t="n">
        <f aca="false">IF(BX557="LOSE",1,0)</f>
        <v>0</v>
      </c>
      <c r="CA557" s="53" t="n">
        <f aca="false">IF(AND(U557="",OR(P557="",P557="LOSE"),T557&lt;&gt;"",N(S557)&lt;=0,ISNUMBER(MATCH(T557,Parameter!$I$27:$I$29,0))),1,0)</f>
        <v>0</v>
      </c>
      <c r="CB557" s="53" t="n">
        <f aca="false">IF(CQ557&gt;0,INDEX(Parameter!$H$5:$H$7,W557)/INDEX(Parameter!$E$5:$E$7,W557),IF(AND(BZ557=0,N(IFERROR(VLOOKUP(BX557,'Gebinde-Kategorie'!$A$5:$N$45,14,0),0))&gt;0),VLOOKUP(BX557,'Gebinde-Kategorie'!$A$5:$N$45,14,0)*10+Parameter!$M$23,Parameter!$M$24))</f>
        <v>235</v>
      </c>
      <c r="CC557" s="48" t="str">
        <f aca="false">IF(AND(Parameter!$B$19="Ja",E557&lt;&gt;"",ISNUMBER(MATCH(E557,Parameter!$I$35:$I$52,0))),VLOOKUP(E557,Parameter!$I$35:$J$52,2,0),IFERROR(VLOOKUP(D557,Parameter!$A$35:$C$64,2,0),"Nein"))</f>
        <v>2+3</v>
      </c>
      <c r="CD557" s="52" t="n">
        <f aca="false">IF(BZ557=0,0,IF(N(S557)&gt;0,S557,IFERROR(VLOOKUP(D557,Parameter!$A$35:$C$64,3,0)+0,0)))</f>
        <v>0</v>
      </c>
      <c r="CE557" s="48" t="n">
        <f aca="false">IF(AA557&lt;&gt;"",AA557,Z557)</f>
        <v>2</v>
      </c>
      <c r="CF557" s="48" t="str">
        <f aca="false">IF(OR(CE557=1,CE557=2,CE557=3),IF(Parameter!$E$27="Ja","LIFT",IF(CE557=1,"L1","L23")),IF(CE557="Aussen","Aussen","-"))</f>
        <v>LIFT</v>
      </c>
      <c r="CG557" s="59" t="n">
        <f aca="false">IF(N(AB557)&gt;0,AB557,0)</f>
        <v>0</v>
      </c>
      <c r="CH557" s="53" t="n">
        <f aca="false">IF(ISNUMBER(AE557),1,0)</f>
        <v>0</v>
      </c>
      <c r="CI557" s="50" t="n">
        <f aca="false">N(AE557)</f>
        <v>0</v>
      </c>
      <c r="CJ557" s="50" t="n">
        <f aca="false">N(M557)+N(N557)</f>
        <v>28</v>
      </c>
      <c r="CK557" s="50" t="n">
        <f aca="false">N(M557)</f>
        <v>3</v>
      </c>
      <c r="CL557" s="50" t="n">
        <f aca="false">N(N557)</f>
        <v>25</v>
      </c>
      <c r="CM557" s="50" t="n">
        <f aca="false">ROUNDUP(H557/BY557,0)</f>
        <v>1</v>
      </c>
      <c r="CN557" s="50" t="n">
        <f aca="false">ROUNDUP(CI557/BY557,0)</f>
        <v>0</v>
      </c>
      <c r="CO557" s="53" t="n">
        <f aca="false">IF(BZ557=1,0,IFERROR(VLOOKUP(BX557,'Gebinde-Kategorie'!$A$5:$N$45,5,0)+0,0))</f>
        <v>20</v>
      </c>
      <c r="CP557" s="53" t="n">
        <f aca="false">IFERROR(IF(OR(CE557=1,CE557=2,CE557=3),N(INDEX(Parameter!$I$5:$I$7,CE557)),0),0)</f>
        <v>0</v>
      </c>
      <c r="CQ557" s="52" t="n">
        <f aca="false">IF(AND(Parameter!$B$21="Ja",ISNUMBER(W557),N(X557)&gt;0),IFERROR(N(INDEX(Parameter!$L$5:$L$7,W557))*INDEX(Parameter!$E$5:$E$7,W557)*X557/SUMIFS($X$7:$X$1843,$W$7:$W$1843,W557),0),0)</f>
        <v>0</v>
      </c>
    </row>
    <row r="558" customFormat="false" ht="15" hidden="false" customHeight="false" outlineLevel="0" collapsed="false">
      <c r="A558" s="48" t="s">
        <v>1195</v>
      </c>
      <c r="B558" s="48" t="s">
        <v>1196</v>
      </c>
      <c r="C558" s="48" t="s">
        <v>173</v>
      </c>
      <c r="D558" s="48" t="s">
        <v>193</v>
      </c>
      <c r="E558" s="48" t="s">
        <v>194</v>
      </c>
      <c r="F558" s="48" t="s">
        <v>227</v>
      </c>
      <c r="G558" s="49" t="n">
        <v>3</v>
      </c>
      <c r="H558" s="50" t="n">
        <f aca="false">MAX(0,IF(AND(Parameter!$B$21="Ja",ISNUMBER(Y558)),Y558,IF(Parameter!$B$20="Jahresanfang 2025 + Export",BR558+BQ558,BQ558)))</f>
        <v>10</v>
      </c>
      <c r="I558" s="50" t="n">
        <f aca="false">H558*G558</f>
        <v>30</v>
      </c>
      <c r="J558" s="50" t="n">
        <f aca="false">BT558*Parameter!$B$18</f>
        <v>0</v>
      </c>
      <c r="K558" s="51" t="n">
        <v>8.5</v>
      </c>
      <c r="L558" s="52" t="n">
        <v>0</v>
      </c>
      <c r="M558" s="50" t="n">
        <v>0</v>
      </c>
      <c r="N558" s="50" t="n">
        <v>1</v>
      </c>
      <c r="O558" s="53" t="n">
        <v>28</v>
      </c>
      <c r="P558" s="48" t="s">
        <v>410</v>
      </c>
      <c r="Q558" s="50" t="n">
        <v>10</v>
      </c>
      <c r="R558" s="53" t="n">
        <f aca="false">IF(BZ558=1,0,IFERROR(VLOOKUP(BX558,'Gebinde-Kategorie'!$A$5:$N$45,13,0)+0,0))</f>
        <v>280</v>
      </c>
      <c r="S558" s="54"/>
      <c r="T558" s="55"/>
      <c r="U558" s="55"/>
      <c r="V558" s="55"/>
      <c r="W558" s="48"/>
      <c r="X558" s="50"/>
      <c r="Y558" s="50"/>
      <c r="Z558" s="48" t="n">
        <f aca="false">IF(A558="","",IF(AND(Parameter!$B$21="Ja",ISNUMBER(W558)),W558,IF(CC558="2+3",IF(ISNUMBER(SEARCH("grosser Artikel",BU558)),2,IFERROR(VLOOKUP(BX558,Parameter!$F$35:$G$64,2,0),2)),IF(OR(CC558="Nein",CC558=""),"-",CC558))))</f>
        <v>3</v>
      </c>
      <c r="AA558" s="55"/>
      <c r="AB558" s="56"/>
      <c r="AC558" s="50" t="n">
        <f aca="false">AV558</f>
        <v>1</v>
      </c>
      <c r="AD558" s="50" t="n">
        <f aca="false">MAX(AV558,H558)</f>
        <v>10</v>
      </c>
      <c r="AE558" s="57"/>
      <c r="AF558" s="50" t="n">
        <f aca="false">IF(LEFT(Cockpit!$C$5,1)="A",H558,IF(Parameter!$E$30="MAX-Bestand",IF(CH558=1,CI558,IF(LEFT(Cockpit!$C$5,1)="B",AL558,MAX(AL558,H558))),ROUNDUP(AJ558,0)))</f>
        <v>10</v>
      </c>
      <c r="AG558" s="50" t="n">
        <f aca="false">IF(BZ558=1,0,ROUNDUP(AF558/BY558,0))</f>
        <v>1</v>
      </c>
      <c r="AH558" s="52" t="n">
        <f aca="false">IF(CQ558&gt;0,CQ558*MAX(1,AF558/X558),IF(BZ558=1,IF(AF558&lt;=0,0,CD558*MAX(1,IF(H558&gt;0,AF558/H558,1))),IF(R558&gt;0,AG558/R558,0))/MAX(0.1,N(Parameter!$M$21)))</f>
        <v>0.00357142857142857</v>
      </c>
      <c r="AI558" s="50" t="n">
        <f aca="false">AH558*CB558</f>
        <v>0.553571428571429</v>
      </c>
      <c r="AJ558" s="51" t="n">
        <f aca="false">IF(LEFT(Cockpit!$C$5,1)="A",H558,IF(CH558=1,(CK558+CI558)/2,IF(LEFT(Cockpit!$C$5,1)="B",(CK558+AL558)/2,MAX((CK558+AL558)/2,H558))))</f>
        <v>10</v>
      </c>
      <c r="AK558" s="50" t="n">
        <f aca="false">AJ558*G558</f>
        <v>30</v>
      </c>
      <c r="AL558" s="50" t="n">
        <f aca="false">ROUNDUP(CK558+MAX(CL558,2*(J558/IF(CG558&gt;0,CG558,MAX(0.1,N(Cockpit!$C$6)))-CK558)),0)</f>
        <v>1</v>
      </c>
      <c r="AM558" s="51" t="n">
        <f aca="false">IF(AI558&gt;0,J558/AI558,-1)</f>
        <v>0</v>
      </c>
      <c r="AN558" s="51" t="n">
        <f aca="false">IF(AND(OR(CF558="L1",CF558="L23",CF558="LIFT"),AI558&gt;0),SUMIFS($AI$7:$AI$1843,$CF$7:$CF$1843,CF558,$AM$7:$AM$1843,"&gt;"&amp;AM558)+SUMIFS($AI$7:$AI$1843,$CF$7:$CF$1843,CF558,$AM$7:$AM$1843,AM558,$BW$7:$BW$1843,"&lt;="&amp;BW558),"")</f>
        <v>28397.6292890255</v>
      </c>
      <c r="AO558" s="58" t="n">
        <f aca="false">IF(AN558="",0,MAX(0,MIN(1,(IF(CF558="L1",Parameter!$H$5,IF(CF558="L23",Parameter!$H$6+Parameter!$H$7,Parameter!$H$5+Parameter!$H$6+Parameter!$H$7))-(AN558-AI558))/AI558)))</f>
        <v>1</v>
      </c>
      <c r="AP558" s="50" t="n">
        <f aca="false">IF(LEFT(Cockpit!$I$5,1)="A",H558,IF(Parameter!$E$30="MAX-Bestand",IF(CH558=1,CI558,IF(LEFT(Cockpit!$I$5,1)="B",AV558,MAX(AV558,H558))),ROUNDUP(AT558,0)))</f>
        <v>10</v>
      </c>
      <c r="AQ558" s="50" t="n">
        <f aca="false">IF(BZ558=1,0,ROUNDUP(AP558/BY558,0))</f>
        <v>1</v>
      </c>
      <c r="AR558" s="52" t="n">
        <f aca="false">IF(CQ558&gt;0,CQ558*MAX(1,AP558/X558),IF(BZ558=1,IF(AP558&lt;=0,0,CD558*MAX(1,IF(H558&gt;0,AP558/H558,1))),IF(R558&gt;0,AQ558/R558,0))/MAX(0.1,N(Parameter!$M$21)))</f>
        <v>0.00357142857142857</v>
      </c>
      <c r="AS558" s="50" t="n">
        <f aca="false">AR558*CB558</f>
        <v>0.553571428571429</v>
      </c>
      <c r="AT558" s="51" t="n">
        <f aca="false">IF(LEFT(Cockpit!$I$5,1)="A",H558,IF(CH558=1,(CK558+CI558)/2,IF(LEFT(Cockpit!$I$5,1)="B",(CK558+AV558)/2,MAX((CK558+AV558)/2,H558))))</f>
        <v>10</v>
      </c>
      <c r="AU558" s="50" t="n">
        <f aca="false">AT558*G558</f>
        <v>30</v>
      </c>
      <c r="AV558" s="50" t="n">
        <f aca="false">ROUNDUP(CK558+MAX(CL558,2*(J558/IF(CG558&gt;0,CG558,MAX(0.1,N(Cockpit!$I$6)))-CK558)),0)</f>
        <v>1</v>
      </c>
      <c r="AW558" s="51" t="n">
        <f aca="false">IF(AS558&gt;0,J558/AS558,-1)</f>
        <v>0</v>
      </c>
      <c r="AX558" s="51" t="n">
        <f aca="false">IF(AND(OR(CF558="L1",CF558="L23",CF558="LIFT"),AS558&gt;0),SUMIFS($AS$7:$AS$1843,$CF$7:$CF$1843,CF558,$AW$7:$AW$1843,"&gt;"&amp;AW558)+SUMIFS($AS$7:$AS$1843,$CF$7:$CF$1843,CF558,$AW$7:$AW$1843,AW558,$BW$7:$BW$1843,"&lt;="&amp;BW558),"")</f>
        <v>33750.7779304029</v>
      </c>
      <c r="AY558" s="58" t="n">
        <f aca="false">IF(AX558="",0,MAX(0,MIN(1,(IF(CF558="L1",Parameter!$H$5,IF(CF558="L23",Parameter!$H$6+Parameter!$H$7,Parameter!$H$5+Parameter!$H$6+Parameter!$H$7))-(AX558-AS558))/AS558)))</f>
        <v>1</v>
      </c>
      <c r="AZ558" s="50" t="n">
        <f aca="false">IF(LEFT(Cockpit!$O$5,1)="A",H558,IF(Parameter!$E$30="MAX-Bestand",IF(CH558=1,CI558,IF(LEFT(Cockpit!$O$5,1)="B",BF558,MAX(BF558,H558))),ROUNDUP(BD558,0)))</f>
        <v>1</v>
      </c>
      <c r="BA558" s="50" t="n">
        <f aca="false">IF(BZ558=1,0,ROUNDUP(AZ558/BY558,0))</f>
        <v>1</v>
      </c>
      <c r="BB558" s="52" t="n">
        <f aca="false">IF(CQ558&gt;0,CQ558*MAX(1,AZ558/X558),IF(BZ558=1,IF(AZ558&lt;=0,0,CD558*MAX(1,IF(H558&gt;0,AZ558/H558,1))),IF(R558&gt;0,BA558/R558,0))/MAX(0.1,N(Parameter!$M$21)))</f>
        <v>0.00357142857142857</v>
      </c>
      <c r="BC558" s="50" t="n">
        <f aca="false">BB558*CB558</f>
        <v>0.553571428571429</v>
      </c>
      <c r="BD558" s="51" t="n">
        <f aca="false">IF(LEFT(Cockpit!$O$5,1)="A",H558,IF(CH558=1,(CK558+CI558)/2,IF(LEFT(Cockpit!$O$5,1)="B",(CK558+BF558)/2,MAX((CK558+BF558)/2,H558))))</f>
        <v>0.5</v>
      </c>
      <c r="BE558" s="50" t="n">
        <f aca="false">BD558*G558</f>
        <v>1.5</v>
      </c>
      <c r="BF558" s="50" t="n">
        <f aca="false">ROUNDUP(CK558+MAX(CL558,2*(J558/IF(CG558&gt;0,CG558,MAX(0.1,N(Cockpit!$O$6)))-CK558)),0)</f>
        <v>1</v>
      </c>
      <c r="BG558" s="51" t="n">
        <f aca="false">IF(BC558&gt;0,J558/BC558,-1)</f>
        <v>0</v>
      </c>
      <c r="BH558" s="51" t="n">
        <f aca="false">IF(AND(OR(CF558="L1",CF558="L23",CF558="LIFT"),BC558&gt;0),SUMIFS($BC$7:$BC$1843,$CF$7:$CF$1843,CF558,$BG$7:$BG$1843,"&gt;"&amp;BG558)+SUMIFS($BC$7:$BC$1843,$CF$7:$CF$1843,CF558,$BG$7:$BG$1843,BG558,$BW$7:$BW$1843,"&lt;="&amp;BW558),"")</f>
        <v>27829.2146271807</v>
      </c>
      <c r="BI558" s="58" t="n">
        <f aca="false">IF(BH558="",0,MAX(0,MIN(1,(IF(CF558="L1",Parameter!$H$5,IF(CF558="L23",Parameter!$H$6+Parameter!$H$7,Parameter!$H$5+Parameter!$H$6+Parameter!$H$7))-(BH558-BC558))/BC558)))</f>
        <v>1</v>
      </c>
      <c r="BJ558" s="48" t="str">
        <f aca="false">IF(AI558&lt;=0,"",IF(CF558="Aussen","Aussenlager",IF(CF558="-","Nicht im Lift",IF(AO558&gt;=1,"Lift",IF(AO558&lt;=0,"Aussenlager","teilweise")))))</f>
        <v>Lift</v>
      </c>
      <c r="BK558" s="48" t="str">
        <f aca="false">IF(AS558&lt;=0,"",IF(CF558="Aussen","Aussenlager",IF(CF558="-","Nicht im Lift",IF(AY558&gt;=1,"Lift",IF(AY558&lt;=0,"Aussenlager","teilweise")))))</f>
        <v>Lift</v>
      </c>
      <c r="BL558" s="48" t="str">
        <f aca="false">IF(BC558&lt;=0,"",IF(CF558="Aussen","Aussenlager",IF(CF558="-","Nicht im Lift",IF(BI558&gt;=1,"Lift",IF(BI558&lt;=0,"Aussenlager","teilweise")))))</f>
        <v>Lift</v>
      </c>
      <c r="BM558" s="48" t="str">
        <f aca="false">IF(A558="","",IF(BV558=1,"Neu; ","")&amp;IF(AND(BV558=0,BQ558&lt;0),"negativer Bestand (Export "&amp;BQ558&amp;"); ","")&amp;IF(J558&lt;=0,"Kein Verbrauch; ","")&amp;IF(CQ558&gt;0,"Lift "&amp;W558&amp;" lt. Liftbericht (Fach "&amp;X558&amp;" Stk); ",IF(CA558=1,"Gebinde geschätzt ("&amp;T558&amp;"); ",IF(BZ558=1,"Lose – Tablare geschätzt; ","")))&amp;IF(H558&gt;AV558,"Überbestand "&amp;ROUND(H558-AV558,0)&amp;" Stk / CHF "&amp;ROUND((H558-AV558)*G558,0)&amp;"; ","")&amp;IF(AND(CH558=1,CI558&lt;CJ558),"MAX &lt; MB+LG; ","")&amp;IF(AND(CP558&gt;0,CO558*10&gt;CP558),"zu hoch für Tablar; ","")&amp;IF(AND(BV558=0,OR(CH558=1,AA558&lt;&gt;"",U558&lt;&gt;"",V558&lt;&gt;"",AB558&lt;&gt;"")),"manuell übersteuert; ","")&amp;IF(AND(BZ558=0,R558=0),"Gebinde unbekannt / Stellmass fehlt; ","")&amp;IF(AND(BZ558=0,N(V558)&lt;=0,N(Q558)&lt;=0),"Menge pro Gebinde fehlt (Ist = 1 Gebinde); ","")&amp;BU558)</f>
        <v>Kein Verbrauch; Überbestand 9 Stk / CHF 27; </v>
      </c>
      <c r="BN558" s="48"/>
      <c r="BO558" s="48"/>
      <c r="BP558" s="55"/>
      <c r="BQ558" s="50" t="n">
        <v>3</v>
      </c>
      <c r="BR558" s="50" t="n">
        <v>7</v>
      </c>
      <c r="BS558" s="49" t="n">
        <v>14.6</v>
      </c>
      <c r="BT558" s="50" t="n">
        <v>0</v>
      </c>
      <c r="BU558" s="48"/>
      <c r="BV558" s="53" t="n">
        <v>0</v>
      </c>
      <c r="BW558" s="53" t="n">
        <v>558</v>
      </c>
      <c r="BX558" s="48" t="str">
        <f aca="false">IF(U558&lt;&gt;"",UPPER(TRIM(U558)),IF(CA558=1,UPPER(VLOOKUP(T558,Parameter!$I$27:$K$29,2,0)),IF(P558="","LOSE",P558)))</f>
        <v>S21</v>
      </c>
      <c r="BY558" s="50" t="n">
        <f aca="false">IF(BX558="LOSE",1,IF(N(V558)&gt;0,V558,IF(CA558=1,MAX(1,N(VLOOKUP(T558,Parameter!$I$27:$K$29,3,0)),H558,N(N558)),IF(N(Q558)&gt;0,Q558,MAX(1,H558)))))</f>
        <v>10</v>
      </c>
      <c r="BZ558" s="53" t="n">
        <f aca="false">IF(BX558="LOSE",1,0)</f>
        <v>0</v>
      </c>
      <c r="CA558" s="53" t="n">
        <f aca="false">IF(AND(U558="",OR(P558="",P558="LOSE"),T558&lt;&gt;"",N(S558)&lt;=0,ISNUMBER(MATCH(T558,Parameter!$I$27:$I$29,0))),1,0)</f>
        <v>0</v>
      </c>
      <c r="CB558" s="53" t="n">
        <f aca="false">IF(CQ558&gt;0,INDEX(Parameter!$H$5:$H$7,W558)/INDEX(Parameter!$E$5:$E$7,W558),IF(AND(BZ558=0,N(IFERROR(VLOOKUP(BX558,'Gebinde-Kategorie'!$A$5:$N$45,14,0),0))&gt;0),VLOOKUP(BX558,'Gebinde-Kategorie'!$A$5:$N$45,14,0)*10+Parameter!$M$23,Parameter!$M$24))</f>
        <v>155</v>
      </c>
      <c r="CC558" s="48" t="str">
        <f aca="false">IF(AND(Parameter!$B$19="Ja",E558&lt;&gt;"",ISNUMBER(MATCH(E558,Parameter!$I$35:$I$52,0))),VLOOKUP(E558,Parameter!$I$35:$J$52,2,0),IFERROR(VLOOKUP(D558,Parameter!$A$35:$C$64,2,0),"Nein"))</f>
        <v>2+3</v>
      </c>
      <c r="CD558" s="52" t="n">
        <f aca="false">IF(BZ558=0,0,IF(N(S558)&gt;0,S558,IFERROR(VLOOKUP(D558,Parameter!$A$35:$C$64,3,0)+0,0)))</f>
        <v>0</v>
      </c>
      <c r="CE558" s="48" t="n">
        <f aca="false">IF(AA558&lt;&gt;"",AA558,Z558)</f>
        <v>3</v>
      </c>
      <c r="CF558" s="48" t="str">
        <f aca="false">IF(OR(CE558=1,CE558=2,CE558=3),IF(Parameter!$E$27="Ja","LIFT",IF(CE558=1,"L1","L23")),IF(CE558="Aussen","Aussen","-"))</f>
        <v>LIFT</v>
      </c>
      <c r="CG558" s="59" t="n">
        <f aca="false">IF(N(AB558)&gt;0,AB558,0)</f>
        <v>0</v>
      </c>
      <c r="CH558" s="53" t="n">
        <f aca="false">IF(ISNUMBER(AE558),1,0)</f>
        <v>0</v>
      </c>
      <c r="CI558" s="50" t="n">
        <f aca="false">N(AE558)</f>
        <v>0</v>
      </c>
      <c r="CJ558" s="50" t="n">
        <f aca="false">N(M558)+N(N558)</f>
        <v>1</v>
      </c>
      <c r="CK558" s="50" t="n">
        <f aca="false">N(M558)</f>
        <v>0</v>
      </c>
      <c r="CL558" s="50" t="n">
        <f aca="false">N(N558)</f>
        <v>1</v>
      </c>
      <c r="CM558" s="50" t="n">
        <f aca="false">ROUNDUP(H558/BY558,0)</f>
        <v>1</v>
      </c>
      <c r="CN558" s="50" t="n">
        <f aca="false">ROUNDUP(CI558/BY558,0)</f>
        <v>0</v>
      </c>
      <c r="CO558" s="53" t="n">
        <f aca="false">IF(BZ558=1,0,IFERROR(VLOOKUP(BX558,'Gebinde-Kategorie'!$A$5:$N$45,5,0)+0,0))</f>
        <v>8</v>
      </c>
      <c r="CP558" s="53" t="n">
        <f aca="false">IFERROR(IF(OR(CE558=1,CE558=2,CE558=3),N(INDEX(Parameter!$I$5:$I$7,CE558)),0),0)</f>
        <v>0</v>
      </c>
      <c r="CQ558" s="52" t="n">
        <f aca="false">IF(AND(Parameter!$B$21="Ja",ISNUMBER(W558),N(X558)&gt;0),IFERROR(N(INDEX(Parameter!$L$5:$L$7,W558))*INDEX(Parameter!$E$5:$E$7,W558)*X558/SUMIFS($X$7:$X$1843,$W$7:$W$1843,W558),0),0)</f>
        <v>0</v>
      </c>
    </row>
    <row r="559" customFormat="false" ht="15" hidden="false" customHeight="false" outlineLevel="0" collapsed="false">
      <c r="A559" s="48" t="s">
        <v>1197</v>
      </c>
      <c r="B559" s="48" t="s">
        <v>1198</v>
      </c>
      <c r="C559" s="48" t="s">
        <v>173</v>
      </c>
      <c r="D559" s="48" t="s">
        <v>193</v>
      </c>
      <c r="E559" s="48" t="s">
        <v>194</v>
      </c>
      <c r="F559" s="48" t="s">
        <v>227</v>
      </c>
      <c r="G559" s="49" t="n">
        <v>0.11</v>
      </c>
      <c r="H559" s="50" t="n">
        <f aca="false">MAX(0,IF(AND(Parameter!$B$21="Ja",ISNUMBER(Y559)),Y559,IF(Parameter!$B$20="Jahresanfang 2025 + Export",BR559+BQ559,BQ559)))</f>
        <v>555</v>
      </c>
      <c r="I559" s="50" t="n">
        <f aca="false">H559*G559</f>
        <v>61.05</v>
      </c>
      <c r="J559" s="50" t="n">
        <f aca="false">BT559*Parameter!$B$18</f>
        <v>2</v>
      </c>
      <c r="K559" s="51" t="n">
        <v>457</v>
      </c>
      <c r="L559" s="52" t="n">
        <v>0.00437636761487965</v>
      </c>
      <c r="M559" s="50" t="n">
        <v>0</v>
      </c>
      <c r="N559" s="50" t="n">
        <v>1</v>
      </c>
      <c r="O559" s="53" t="n">
        <v>21</v>
      </c>
      <c r="P559" s="48" t="s">
        <v>430</v>
      </c>
      <c r="Q559" s="50" t="n">
        <v>451</v>
      </c>
      <c r="R559" s="53" t="n">
        <f aca="false">IF(BZ559=1,0,IFERROR(VLOOKUP(BX559,'Gebinde-Kategorie'!$A$5:$N$45,13,0)+0,0))</f>
        <v>104</v>
      </c>
      <c r="S559" s="54"/>
      <c r="T559" s="55"/>
      <c r="U559" s="55"/>
      <c r="V559" s="55"/>
      <c r="W559" s="48"/>
      <c r="X559" s="50"/>
      <c r="Y559" s="50"/>
      <c r="Z559" s="48" t="n">
        <f aca="false">IF(A559="","",IF(AND(Parameter!$B$21="Ja",ISNUMBER(W559)),W559,IF(CC559="2+3",IF(ISNUMBER(SEARCH("grosser Artikel",BU559)),2,IFERROR(VLOOKUP(BX559,Parameter!$F$35:$G$64,2,0),2)),IF(OR(CC559="Nein",CC559=""),"-",CC559))))</f>
        <v>3</v>
      </c>
      <c r="AA559" s="55"/>
      <c r="AB559" s="56"/>
      <c r="AC559" s="50" t="n">
        <f aca="false">AV559</f>
        <v>2</v>
      </c>
      <c r="AD559" s="50" t="n">
        <f aca="false">MAX(AV559,H559)</f>
        <v>555</v>
      </c>
      <c r="AE559" s="57"/>
      <c r="AF559" s="50" t="n">
        <f aca="false">IF(LEFT(Cockpit!$C$5,1)="A",H559,IF(Parameter!$E$30="MAX-Bestand",IF(CH559=1,CI559,IF(LEFT(Cockpit!$C$5,1)="B",AL559,MAX(AL559,H559))),ROUNDUP(AJ559,0)))</f>
        <v>555</v>
      </c>
      <c r="AG559" s="50" t="n">
        <f aca="false">IF(BZ559=1,0,ROUNDUP(AF559/BY559,0))</f>
        <v>2</v>
      </c>
      <c r="AH559" s="52" t="n">
        <f aca="false">IF(CQ559&gt;0,CQ559*MAX(1,AF559/X559),IF(BZ559=1,IF(AF559&lt;=0,0,CD559*MAX(1,IF(H559&gt;0,AF559/H559,1))),IF(R559&gt;0,AG559/R559,0))/MAX(0.1,N(Parameter!$M$21)))</f>
        <v>0.0192307692307692</v>
      </c>
      <c r="AI559" s="50" t="n">
        <f aca="false">AH559*CB559</f>
        <v>2.98076923076923</v>
      </c>
      <c r="AJ559" s="51" t="n">
        <f aca="false">IF(LEFT(Cockpit!$C$5,1)="A",H559,IF(CH559=1,(CK559+CI559)/2,IF(LEFT(Cockpit!$C$5,1)="B",(CK559+AL559)/2,MAX((CK559+AL559)/2,H559))))</f>
        <v>555</v>
      </c>
      <c r="AK559" s="50" t="n">
        <f aca="false">AJ559*G559</f>
        <v>61.05</v>
      </c>
      <c r="AL559" s="50" t="n">
        <f aca="false">ROUNDUP(CK559+MAX(CL559,2*(J559/IF(CG559&gt;0,CG559,MAX(0.1,N(Cockpit!$C$6)))-CK559)),0)</f>
        <v>2</v>
      </c>
      <c r="AM559" s="51" t="n">
        <f aca="false">IF(AI559&gt;0,J559/AI559,-1)</f>
        <v>0.670967741935484</v>
      </c>
      <c r="AN559" s="51" t="n">
        <f aca="false">IF(AND(OR(CF559="L1",CF559="L23",CF559="LIFT"),AI559&gt;0),SUMIFS($AI$7:$AI$1843,$CF$7:$CF$1843,CF559,$AM$7:$AM$1843,"&gt;"&amp;AM559)+SUMIFS($AI$7:$AI$1843,$CF$7:$CF$1843,CF559,$AM$7:$AM$1843,AM559,$BW$7:$BW$1843,"&lt;="&amp;BW559),"")</f>
        <v>8617.60256410256</v>
      </c>
      <c r="AO559" s="58" t="n">
        <f aca="false">IF(AN559="",0,MAX(0,MIN(1,(IF(CF559="L1",Parameter!$H$5,IF(CF559="L23",Parameter!$H$6+Parameter!$H$7,Parameter!$H$5+Parameter!$H$6+Parameter!$H$7))-(AN559-AI559))/AI559)))</f>
        <v>1</v>
      </c>
      <c r="AP559" s="50" t="n">
        <f aca="false">IF(LEFT(Cockpit!$I$5,1)="A",H559,IF(Parameter!$E$30="MAX-Bestand",IF(CH559=1,CI559,IF(LEFT(Cockpit!$I$5,1)="B",AV559,MAX(AV559,H559))),ROUNDUP(AT559,0)))</f>
        <v>555</v>
      </c>
      <c r="AQ559" s="50" t="n">
        <f aca="false">IF(BZ559=1,0,ROUNDUP(AP559/BY559,0))</f>
        <v>2</v>
      </c>
      <c r="AR559" s="52" t="n">
        <f aca="false">IF(CQ559&gt;0,CQ559*MAX(1,AP559/X559),IF(BZ559=1,IF(AP559&lt;=0,0,CD559*MAX(1,IF(H559&gt;0,AP559/H559,1))),IF(R559&gt;0,AQ559/R559,0))/MAX(0.1,N(Parameter!$M$21)))</f>
        <v>0.0192307692307692</v>
      </c>
      <c r="AS559" s="50" t="n">
        <f aca="false">AR559*CB559</f>
        <v>2.98076923076923</v>
      </c>
      <c r="AT559" s="51" t="n">
        <f aca="false">IF(LEFT(Cockpit!$I$5,1)="A",H559,IF(CH559=1,(CK559+CI559)/2,IF(LEFT(Cockpit!$I$5,1)="B",(CK559+AV559)/2,MAX((CK559+AV559)/2,H559))))</f>
        <v>555</v>
      </c>
      <c r="AU559" s="50" t="n">
        <f aca="false">AT559*G559</f>
        <v>61.05</v>
      </c>
      <c r="AV559" s="50" t="n">
        <f aca="false">ROUNDUP(CK559+MAX(CL559,2*(J559/IF(CG559&gt;0,CG559,MAX(0.1,N(Cockpit!$I$6)))-CK559)),0)</f>
        <v>2</v>
      </c>
      <c r="AW559" s="51" t="n">
        <f aca="false">IF(AS559&gt;0,J559/AS559,-1)</f>
        <v>0.670967741935484</v>
      </c>
      <c r="AX559" s="51" t="n">
        <f aca="false">IF(AND(OR(CF559="L1",CF559="L23",CF559="LIFT"),AS559&gt;0),SUMIFS($AS$7:$AS$1843,$CF$7:$CF$1843,CF559,$AW$7:$AW$1843,"&gt;"&amp;AW559)+SUMIFS($AS$7:$AS$1843,$CF$7:$CF$1843,CF559,$AW$7:$AW$1843,AW559,$BW$7:$BW$1843,"&lt;="&amp;BW559),"")</f>
        <v>10901.3374542125</v>
      </c>
      <c r="AY559" s="58" t="n">
        <f aca="false">IF(AX559="",0,MAX(0,MIN(1,(IF(CF559="L1",Parameter!$H$5,IF(CF559="L23",Parameter!$H$6+Parameter!$H$7,Parameter!$H$5+Parameter!$H$6+Parameter!$H$7))-(AX559-AS559))/AS559)))</f>
        <v>1</v>
      </c>
      <c r="AZ559" s="50" t="n">
        <f aca="false">IF(LEFT(Cockpit!$O$5,1)="A",H559,IF(Parameter!$E$30="MAX-Bestand",IF(CH559=1,CI559,IF(LEFT(Cockpit!$O$5,1)="B",BF559,MAX(BF559,H559))),ROUNDUP(BD559,0)))</f>
        <v>1</v>
      </c>
      <c r="BA559" s="50" t="n">
        <f aca="false">IF(BZ559=1,0,ROUNDUP(AZ559/BY559,0))</f>
        <v>1</v>
      </c>
      <c r="BB559" s="52" t="n">
        <f aca="false">IF(CQ559&gt;0,CQ559*MAX(1,AZ559/X559),IF(BZ559=1,IF(AZ559&lt;=0,0,CD559*MAX(1,IF(H559&gt;0,AZ559/H559,1))),IF(R559&gt;0,BA559/R559,0))/MAX(0.1,N(Parameter!$M$21)))</f>
        <v>0.00961538461538462</v>
      </c>
      <c r="BC559" s="50" t="n">
        <f aca="false">BB559*CB559</f>
        <v>1.49038461538462</v>
      </c>
      <c r="BD559" s="51" t="n">
        <f aca="false">IF(LEFT(Cockpit!$O$5,1)="A",H559,IF(CH559=1,(CK559+CI559)/2,IF(LEFT(Cockpit!$O$5,1)="B",(CK559+BF559)/2,MAX((CK559+BF559)/2,H559))))</f>
        <v>0.5</v>
      </c>
      <c r="BE559" s="50" t="n">
        <f aca="false">BD559*G559</f>
        <v>0.055</v>
      </c>
      <c r="BF559" s="50" t="n">
        <f aca="false">ROUNDUP(CK559+MAX(CL559,2*(J559/IF(CG559&gt;0,CG559,MAX(0.1,N(Cockpit!$O$6)))-CK559)),0)</f>
        <v>1</v>
      </c>
      <c r="BG559" s="51" t="n">
        <f aca="false">IF(BC559&gt;0,J559/BC559,-1)</f>
        <v>1.34193548387097</v>
      </c>
      <c r="BH559" s="51" t="n">
        <f aca="false">IF(AND(OR(CF559="L1",CF559="L23",CF559="LIFT"),BC559&gt;0),SUMIFS($BC$7:$BC$1843,$CF$7:$CF$1843,CF559,$BG$7:$BG$1843,"&gt;"&amp;BG559)+SUMIFS($BC$7:$BC$1843,$CF$7:$CF$1843,CF559,$BG$7:$BG$1843,BG559,$BW$7:$BW$1843,"&lt;="&amp;BW559),"")</f>
        <v>6783.60485347985</v>
      </c>
      <c r="BI559" s="58" t="n">
        <f aca="false">IF(BH559="",0,MAX(0,MIN(1,(IF(CF559="L1",Parameter!$H$5,IF(CF559="L23",Parameter!$H$6+Parameter!$H$7,Parameter!$H$5+Parameter!$H$6+Parameter!$H$7))-(BH559-BC559))/BC559)))</f>
        <v>1</v>
      </c>
      <c r="BJ559" s="48" t="str">
        <f aca="false">IF(AI559&lt;=0,"",IF(CF559="Aussen","Aussenlager",IF(CF559="-","Nicht im Lift",IF(AO559&gt;=1,"Lift",IF(AO559&lt;=0,"Aussenlager","teilweise")))))</f>
        <v>Lift</v>
      </c>
      <c r="BK559" s="48" t="str">
        <f aca="false">IF(AS559&lt;=0,"",IF(CF559="Aussen","Aussenlager",IF(CF559="-","Nicht im Lift",IF(AY559&gt;=1,"Lift",IF(AY559&lt;=0,"Aussenlager","teilweise")))))</f>
        <v>Lift</v>
      </c>
      <c r="BL559" s="48" t="str">
        <f aca="false">IF(BC559&lt;=0,"",IF(CF559="Aussen","Aussenlager",IF(CF559="-","Nicht im Lift",IF(BI559&gt;=1,"Lift",IF(BI559&lt;=0,"Aussenlager","teilweise")))))</f>
        <v>Lift</v>
      </c>
      <c r="BM559" s="48" t="str">
        <f aca="false">IF(A559="","",IF(BV559=1,"Neu; ","")&amp;IF(AND(BV559=0,BQ559&lt;0),"negativer Bestand (Export "&amp;BQ559&amp;"); ","")&amp;IF(J559&lt;=0,"Kein Verbrauch; ","")&amp;IF(CQ559&gt;0,"Lift "&amp;W559&amp;" lt. Liftbericht (Fach "&amp;X559&amp;" Stk); ",IF(CA559=1,"Gebinde geschätzt ("&amp;T559&amp;"); ",IF(BZ559=1,"Lose – Tablare geschätzt; ","")))&amp;IF(H559&gt;AV559,"Überbestand "&amp;ROUND(H559-AV559,0)&amp;" Stk / CHF "&amp;ROUND((H559-AV559)*G559,0)&amp;"; ","")&amp;IF(AND(CH559=1,CI559&lt;CJ559),"MAX &lt; MB+LG; ","")&amp;IF(AND(CP559&gt;0,CO559*10&gt;CP559),"zu hoch für Tablar; ","")&amp;IF(AND(BV559=0,OR(CH559=1,AA559&lt;&gt;"",U559&lt;&gt;"",V559&lt;&gt;"",AB559&lt;&gt;"")),"manuell übersteuert; ","")&amp;IF(AND(BZ559=0,R559=0),"Gebinde unbekannt / Stellmass fehlt; ","")&amp;IF(AND(BZ559=0,N(V559)&lt;=0,N(Q559)&lt;=0),"Menge pro Gebinde fehlt (Ist = 1 Gebinde); ","")&amp;BU559)</f>
        <v>Überbestand 553 Stk / CHF 61; Handlager</v>
      </c>
      <c r="BN559" s="48"/>
      <c r="BO559" s="48"/>
      <c r="BP559" s="55"/>
      <c r="BQ559" s="50" t="n">
        <v>132</v>
      </c>
      <c r="BR559" s="50" t="n">
        <v>423</v>
      </c>
      <c r="BS559" s="49" t="n">
        <v>14.52</v>
      </c>
      <c r="BT559" s="50" t="n">
        <v>2</v>
      </c>
      <c r="BU559" s="48" t="s">
        <v>904</v>
      </c>
      <c r="BV559" s="53" t="n">
        <v>0</v>
      </c>
      <c r="BW559" s="53" t="n">
        <v>559</v>
      </c>
      <c r="BX559" s="48" t="str">
        <f aca="false">IF(U559&lt;&gt;"",UPPER(TRIM(U559)),IF(CA559=1,UPPER(VLOOKUP(T559,Parameter!$I$27:$K$29,2,0)),IF(P559="","LOSE",P559)))</f>
        <v>S32</v>
      </c>
      <c r="BY559" s="50" t="n">
        <f aca="false">IF(BX559="LOSE",1,IF(N(V559)&gt;0,V559,IF(CA559=1,MAX(1,N(VLOOKUP(T559,Parameter!$I$27:$K$29,3,0)),H559,N(N559)),IF(N(Q559)&gt;0,Q559,MAX(1,H559)))))</f>
        <v>451</v>
      </c>
      <c r="BZ559" s="53" t="n">
        <f aca="false">IF(BX559="LOSE",1,0)</f>
        <v>0</v>
      </c>
      <c r="CA559" s="53" t="n">
        <f aca="false">IF(AND(U559="",OR(P559="",P559="LOSE"),T559&lt;&gt;"",N(S559)&lt;=0,ISNUMBER(MATCH(T559,Parameter!$I$27:$I$29,0))),1,0)</f>
        <v>0</v>
      </c>
      <c r="CB559" s="53" t="n">
        <f aca="false">IF(CQ559&gt;0,INDEX(Parameter!$H$5:$H$7,W559)/INDEX(Parameter!$E$5:$E$7,W559),IF(AND(BZ559=0,N(IFERROR(VLOOKUP(BX559,'Gebinde-Kategorie'!$A$5:$N$45,14,0),0))&gt;0),VLOOKUP(BX559,'Gebinde-Kategorie'!$A$5:$N$45,14,0)*10+Parameter!$M$23,Parameter!$M$24))</f>
        <v>155</v>
      </c>
      <c r="CC559" s="48" t="str">
        <f aca="false">IF(AND(Parameter!$B$19="Ja",E559&lt;&gt;"",ISNUMBER(MATCH(E559,Parameter!$I$35:$I$52,0))),VLOOKUP(E559,Parameter!$I$35:$J$52,2,0),IFERROR(VLOOKUP(D559,Parameter!$A$35:$C$64,2,0),"Nein"))</f>
        <v>2+3</v>
      </c>
      <c r="CD559" s="52" t="n">
        <f aca="false">IF(BZ559=0,0,IF(N(S559)&gt;0,S559,IFERROR(VLOOKUP(D559,Parameter!$A$35:$C$64,3,0)+0,0)))</f>
        <v>0</v>
      </c>
      <c r="CE559" s="48" t="n">
        <f aca="false">IF(AA559&lt;&gt;"",AA559,Z559)</f>
        <v>3</v>
      </c>
      <c r="CF559" s="48" t="str">
        <f aca="false">IF(OR(CE559=1,CE559=2,CE559=3),IF(Parameter!$E$27="Ja","LIFT",IF(CE559=1,"L1","L23")),IF(CE559="Aussen","Aussen","-"))</f>
        <v>LIFT</v>
      </c>
      <c r="CG559" s="59" t="n">
        <f aca="false">IF(N(AB559)&gt;0,AB559,0)</f>
        <v>0</v>
      </c>
      <c r="CH559" s="53" t="n">
        <f aca="false">IF(ISNUMBER(AE559),1,0)</f>
        <v>0</v>
      </c>
      <c r="CI559" s="50" t="n">
        <f aca="false">N(AE559)</f>
        <v>0</v>
      </c>
      <c r="CJ559" s="50" t="n">
        <f aca="false">N(M559)+N(N559)</f>
        <v>1</v>
      </c>
      <c r="CK559" s="50" t="n">
        <f aca="false">N(M559)</f>
        <v>0</v>
      </c>
      <c r="CL559" s="50" t="n">
        <f aca="false">N(N559)</f>
        <v>1</v>
      </c>
      <c r="CM559" s="50" t="n">
        <f aca="false">ROUNDUP(H559/BY559,0)</f>
        <v>2</v>
      </c>
      <c r="CN559" s="50" t="n">
        <f aca="false">ROUNDUP(CI559/BY559,0)</f>
        <v>0</v>
      </c>
      <c r="CO559" s="53" t="n">
        <f aca="false">IF(BZ559=1,0,IFERROR(VLOOKUP(BX559,'Gebinde-Kategorie'!$A$5:$N$45,5,0)+0,0))</f>
        <v>8</v>
      </c>
      <c r="CP559" s="53" t="n">
        <f aca="false">IFERROR(IF(OR(CE559=1,CE559=2,CE559=3),N(INDEX(Parameter!$I$5:$I$7,CE559)),0),0)</f>
        <v>0</v>
      </c>
      <c r="CQ559" s="52" t="n">
        <f aca="false">IF(AND(Parameter!$B$21="Ja",ISNUMBER(W559),N(X559)&gt;0),IFERROR(N(INDEX(Parameter!$L$5:$L$7,W559))*INDEX(Parameter!$E$5:$E$7,W559)*X559/SUMIFS($X$7:$X$1843,$W$7:$W$1843,W559),0),0)</f>
        <v>0</v>
      </c>
    </row>
    <row r="560" customFormat="false" ht="15" hidden="false" customHeight="false" outlineLevel="0" collapsed="false">
      <c r="A560" s="48" t="s">
        <v>1199</v>
      </c>
      <c r="B560" s="48" t="s">
        <v>870</v>
      </c>
      <c r="C560" s="48" t="s">
        <v>173</v>
      </c>
      <c r="D560" s="48" t="s">
        <v>193</v>
      </c>
      <c r="E560" s="48"/>
      <c r="F560" s="48" t="s">
        <v>227</v>
      </c>
      <c r="G560" s="49" t="n">
        <v>3.55</v>
      </c>
      <c r="H560" s="50" t="n">
        <f aca="false">MAX(0,IF(AND(Parameter!$B$21="Ja",ISNUMBER(Y560)),Y560,IF(Parameter!$B$20="Jahresanfang 2025 + Export",BR560+BQ560,BQ560)))</f>
        <v>4</v>
      </c>
      <c r="I560" s="50" t="n">
        <f aca="false">H560*G560</f>
        <v>14.2</v>
      </c>
      <c r="J560" s="50" t="n">
        <f aca="false">BT560*Parameter!$B$18</f>
        <v>2</v>
      </c>
      <c r="K560" s="51" t="n">
        <v>1.5</v>
      </c>
      <c r="L560" s="52" t="n">
        <v>1.33333333333333</v>
      </c>
      <c r="M560" s="50" t="n">
        <v>0</v>
      </c>
      <c r="N560" s="50" t="n">
        <v>1</v>
      </c>
      <c r="O560" s="53" t="n">
        <v>14</v>
      </c>
      <c r="P560" s="48" t="s">
        <v>410</v>
      </c>
      <c r="Q560" s="50" t="n">
        <v>5</v>
      </c>
      <c r="R560" s="53" t="n">
        <f aca="false">IF(BZ560=1,0,IFERROR(VLOOKUP(BX560,'Gebinde-Kategorie'!$A$5:$N$45,13,0)+0,0))</f>
        <v>280</v>
      </c>
      <c r="S560" s="54"/>
      <c r="T560" s="55"/>
      <c r="U560" s="55"/>
      <c r="V560" s="55"/>
      <c r="W560" s="48"/>
      <c r="X560" s="50"/>
      <c r="Y560" s="50"/>
      <c r="Z560" s="48" t="n">
        <f aca="false">IF(A560="","",IF(AND(Parameter!$B$21="Ja",ISNUMBER(W560)),W560,IF(CC560="2+3",IF(ISNUMBER(SEARCH("grosser Artikel",BU560)),2,IFERROR(VLOOKUP(BX560,Parameter!$F$35:$G$64,2,0),2)),IF(OR(CC560="Nein",CC560=""),"-",CC560))))</f>
        <v>3</v>
      </c>
      <c r="AA560" s="55"/>
      <c r="AB560" s="56"/>
      <c r="AC560" s="50" t="n">
        <f aca="false">AV560</f>
        <v>2</v>
      </c>
      <c r="AD560" s="50" t="n">
        <f aca="false">MAX(AV560,H560)</f>
        <v>4</v>
      </c>
      <c r="AE560" s="57"/>
      <c r="AF560" s="50" t="n">
        <f aca="false">IF(LEFT(Cockpit!$C$5,1)="A",H560,IF(Parameter!$E$30="MAX-Bestand",IF(CH560=1,CI560,IF(LEFT(Cockpit!$C$5,1)="B",AL560,MAX(AL560,H560))),ROUNDUP(AJ560,0)))</f>
        <v>4</v>
      </c>
      <c r="AG560" s="50" t="n">
        <f aca="false">IF(BZ560=1,0,ROUNDUP(AF560/BY560,0))</f>
        <v>1</v>
      </c>
      <c r="AH560" s="52" t="n">
        <f aca="false">IF(CQ560&gt;0,CQ560*MAX(1,AF560/X560),IF(BZ560=1,IF(AF560&lt;=0,0,CD560*MAX(1,IF(H560&gt;0,AF560/H560,1))),IF(R560&gt;0,AG560/R560,0))/MAX(0.1,N(Parameter!$M$21)))</f>
        <v>0.00357142857142857</v>
      </c>
      <c r="AI560" s="50" t="n">
        <f aca="false">AH560*CB560</f>
        <v>0.553571428571429</v>
      </c>
      <c r="AJ560" s="51" t="n">
        <f aca="false">IF(LEFT(Cockpit!$C$5,1)="A",H560,IF(CH560=1,(CK560+CI560)/2,IF(LEFT(Cockpit!$C$5,1)="B",(CK560+AL560)/2,MAX((CK560+AL560)/2,H560))))</f>
        <v>4</v>
      </c>
      <c r="AK560" s="50" t="n">
        <f aca="false">AJ560*G560</f>
        <v>14.2</v>
      </c>
      <c r="AL560" s="50" t="n">
        <f aca="false">ROUNDUP(CK560+MAX(CL560,2*(J560/IF(CG560&gt;0,CG560,MAX(0.1,N(Cockpit!$C$6)))-CK560)),0)</f>
        <v>2</v>
      </c>
      <c r="AM560" s="51" t="n">
        <f aca="false">IF(AI560&gt;0,J560/AI560,-1)</f>
        <v>3.61290322580645</v>
      </c>
      <c r="AN560" s="51" t="n">
        <f aca="false">IF(AND(OR(CF560="L1",CF560="L23",CF560="LIFT"),AI560&gt;0),SUMIFS($AI$7:$AI$1843,$CF$7:$CF$1843,CF560,$AM$7:$AM$1843,"&gt;"&amp;AM560)+SUMIFS($AI$7:$AI$1843,$CF$7:$CF$1843,CF560,$AM$7:$AM$1843,AM560,$BW$7:$BW$1843,"&lt;="&amp;BW560),"")</f>
        <v>4826.21336996337</v>
      </c>
      <c r="AO560" s="58" t="n">
        <f aca="false">IF(AN560="",0,MAX(0,MIN(1,(IF(CF560="L1",Parameter!$H$5,IF(CF560="L23",Parameter!$H$6+Parameter!$H$7,Parameter!$H$5+Parameter!$H$6+Parameter!$H$7))-(AN560-AI560))/AI560)))</f>
        <v>1</v>
      </c>
      <c r="AP560" s="50" t="n">
        <f aca="false">IF(LEFT(Cockpit!$I$5,1)="A",H560,IF(Parameter!$E$30="MAX-Bestand",IF(CH560=1,CI560,IF(LEFT(Cockpit!$I$5,1)="B",AV560,MAX(AV560,H560))),ROUNDUP(AT560,0)))</f>
        <v>4</v>
      </c>
      <c r="AQ560" s="50" t="n">
        <f aca="false">IF(BZ560=1,0,ROUNDUP(AP560/BY560,0))</f>
        <v>1</v>
      </c>
      <c r="AR560" s="52" t="n">
        <f aca="false">IF(CQ560&gt;0,CQ560*MAX(1,AP560/X560),IF(BZ560=1,IF(AP560&lt;=0,0,CD560*MAX(1,IF(H560&gt;0,AP560/H560,1))),IF(R560&gt;0,AQ560/R560,0))/MAX(0.1,N(Parameter!$M$21)))</f>
        <v>0.00357142857142857</v>
      </c>
      <c r="AS560" s="50" t="n">
        <f aca="false">AR560*CB560</f>
        <v>0.553571428571429</v>
      </c>
      <c r="AT560" s="51" t="n">
        <f aca="false">IF(LEFT(Cockpit!$I$5,1)="A",H560,IF(CH560=1,(CK560+CI560)/2,IF(LEFT(Cockpit!$I$5,1)="B",(CK560+AV560)/2,MAX((CK560+AV560)/2,H560))))</f>
        <v>4</v>
      </c>
      <c r="AU560" s="50" t="n">
        <f aca="false">AT560*G560</f>
        <v>14.2</v>
      </c>
      <c r="AV560" s="50" t="n">
        <f aca="false">ROUNDUP(CK560+MAX(CL560,2*(J560/IF(CG560&gt;0,CG560,MAX(0.1,N(Cockpit!$I$6)))-CK560)),0)</f>
        <v>2</v>
      </c>
      <c r="AW560" s="51" t="n">
        <f aca="false">IF(AS560&gt;0,J560/AS560,-1)</f>
        <v>3.61290322580645</v>
      </c>
      <c r="AX560" s="51" t="n">
        <f aca="false">IF(AND(OR(CF560="L1",CF560="L23",CF560="LIFT"),AS560&gt;0),SUMIFS($AS$7:$AS$1843,$CF$7:$CF$1843,CF560,$AW$7:$AW$1843,"&gt;"&amp;AW560)+SUMIFS($AS$7:$AS$1843,$CF$7:$CF$1843,CF560,$AW$7:$AW$1843,AW560,$BW$7:$BW$1843,"&lt;="&amp;BW560),"")</f>
        <v>5403.80036630037</v>
      </c>
      <c r="AY560" s="58" t="n">
        <f aca="false">IF(AX560="",0,MAX(0,MIN(1,(IF(CF560="L1",Parameter!$H$5,IF(CF560="L23",Parameter!$H$6+Parameter!$H$7,Parameter!$H$5+Parameter!$H$6+Parameter!$H$7))-(AX560-AS560))/AS560)))</f>
        <v>1</v>
      </c>
      <c r="AZ560" s="50" t="n">
        <f aca="false">IF(LEFT(Cockpit!$O$5,1)="A",H560,IF(Parameter!$E$30="MAX-Bestand",IF(CH560=1,CI560,IF(LEFT(Cockpit!$O$5,1)="B",BF560,MAX(BF560,H560))),ROUNDUP(BD560,0)))</f>
        <v>1</v>
      </c>
      <c r="BA560" s="50" t="n">
        <f aca="false">IF(BZ560=1,0,ROUNDUP(AZ560/BY560,0))</f>
        <v>1</v>
      </c>
      <c r="BB560" s="52" t="n">
        <f aca="false">IF(CQ560&gt;0,CQ560*MAX(1,AZ560/X560),IF(BZ560=1,IF(AZ560&lt;=0,0,CD560*MAX(1,IF(H560&gt;0,AZ560/H560,1))),IF(R560&gt;0,BA560/R560,0))/MAX(0.1,N(Parameter!$M$21)))</f>
        <v>0.00357142857142857</v>
      </c>
      <c r="BC560" s="50" t="n">
        <f aca="false">BB560*CB560</f>
        <v>0.553571428571429</v>
      </c>
      <c r="BD560" s="51" t="n">
        <f aca="false">IF(LEFT(Cockpit!$O$5,1)="A",H560,IF(CH560=1,(CK560+CI560)/2,IF(LEFT(Cockpit!$O$5,1)="B",(CK560+BF560)/2,MAX((CK560+BF560)/2,H560))))</f>
        <v>0.5</v>
      </c>
      <c r="BE560" s="50" t="n">
        <f aca="false">BD560*G560</f>
        <v>1.775</v>
      </c>
      <c r="BF560" s="50" t="n">
        <f aca="false">ROUNDUP(CK560+MAX(CL560,2*(J560/IF(CG560&gt;0,CG560,MAX(0.1,N(Cockpit!$O$6)))-CK560)),0)</f>
        <v>1</v>
      </c>
      <c r="BG560" s="51" t="n">
        <f aca="false">IF(BC560&gt;0,J560/BC560,-1)</f>
        <v>3.61290322580645</v>
      </c>
      <c r="BH560" s="51" t="n">
        <f aca="false">IF(AND(OR(CF560="L1",CF560="L23",CF560="LIFT"),BC560&gt;0),SUMIFS($BC$7:$BC$1843,$CF$7:$CF$1843,CF560,$BG$7:$BG$1843,"&gt;"&amp;BG560)+SUMIFS($BC$7:$BC$1843,$CF$7:$CF$1843,CF560,$BG$7:$BG$1843,BG560,$BW$7:$BW$1843,"&lt;="&amp;BW560),"")</f>
        <v>4418.29716117216</v>
      </c>
      <c r="BI560" s="58" t="n">
        <f aca="false">IF(BH560="",0,MAX(0,MIN(1,(IF(CF560="L1",Parameter!$H$5,IF(CF560="L23",Parameter!$H$6+Parameter!$H$7,Parameter!$H$5+Parameter!$H$6+Parameter!$H$7))-(BH560-BC560))/BC560)))</f>
        <v>1</v>
      </c>
      <c r="BJ560" s="48" t="str">
        <f aca="false">IF(AI560&lt;=0,"",IF(CF560="Aussen","Aussenlager",IF(CF560="-","Nicht im Lift",IF(AO560&gt;=1,"Lift",IF(AO560&lt;=0,"Aussenlager","teilweise")))))</f>
        <v>Lift</v>
      </c>
      <c r="BK560" s="48" t="str">
        <f aca="false">IF(AS560&lt;=0,"",IF(CF560="Aussen","Aussenlager",IF(CF560="-","Nicht im Lift",IF(AY560&gt;=1,"Lift",IF(AY560&lt;=0,"Aussenlager","teilweise")))))</f>
        <v>Lift</v>
      </c>
      <c r="BL560" s="48" t="str">
        <f aca="false">IF(BC560&lt;=0,"",IF(CF560="Aussen","Aussenlager",IF(CF560="-","Nicht im Lift",IF(BI560&gt;=1,"Lift",IF(BI560&lt;=0,"Aussenlager","teilweise")))))</f>
        <v>Lift</v>
      </c>
      <c r="BM560" s="48" t="str">
        <f aca="false">IF(A560="","",IF(BV560=1,"Neu; ","")&amp;IF(AND(BV560=0,BQ560&lt;0),"negativer Bestand (Export "&amp;BQ560&amp;"); ","")&amp;IF(J560&lt;=0,"Kein Verbrauch; ","")&amp;IF(CQ560&gt;0,"Lift "&amp;W560&amp;" lt. Liftbericht (Fach "&amp;X560&amp;" Stk); ",IF(CA560=1,"Gebinde geschätzt ("&amp;T560&amp;"); ",IF(BZ560=1,"Lose – Tablare geschätzt; ","")))&amp;IF(H560&gt;AV560,"Überbestand "&amp;ROUND(H560-AV560,0)&amp;" Stk / CHF "&amp;ROUND((H560-AV560)*G560,0)&amp;"; ","")&amp;IF(AND(CH560=1,CI560&lt;CJ560),"MAX &lt; MB+LG; ","")&amp;IF(AND(CP560&gt;0,CO560*10&gt;CP560),"zu hoch für Tablar; ","")&amp;IF(AND(BV560=0,OR(CH560=1,AA560&lt;&gt;"",U560&lt;&gt;"",V560&lt;&gt;"",AB560&lt;&gt;"")),"manuell übersteuert; ","")&amp;IF(AND(BZ560=0,R560=0),"Gebinde unbekannt / Stellmass fehlt; ","")&amp;IF(AND(BZ560=0,N(V560)&lt;=0,N(Q560)&lt;=0),"Menge pro Gebinde fehlt (Ist = 1 Gebinde); ","")&amp;BU560)</f>
        <v>Überbestand 2 Stk / CHF 7; </v>
      </c>
      <c r="BN560" s="48"/>
      <c r="BO560" s="48"/>
      <c r="BP560" s="55"/>
      <c r="BQ560" s="50" t="n">
        <v>4</v>
      </c>
      <c r="BR560" s="50" t="n">
        <v>0</v>
      </c>
      <c r="BS560" s="49" t="n">
        <v>14.2</v>
      </c>
      <c r="BT560" s="50" t="n">
        <v>2</v>
      </c>
      <c r="BU560" s="48"/>
      <c r="BV560" s="53" t="n">
        <v>0</v>
      </c>
      <c r="BW560" s="53" t="n">
        <v>560</v>
      </c>
      <c r="BX560" s="48" t="str">
        <f aca="false">IF(U560&lt;&gt;"",UPPER(TRIM(U560)),IF(CA560=1,UPPER(VLOOKUP(T560,Parameter!$I$27:$K$29,2,0)),IF(P560="","LOSE",P560)))</f>
        <v>S21</v>
      </c>
      <c r="BY560" s="50" t="n">
        <f aca="false">IF(BX560="LOSE",1,IF(N(V560)&gt;0,V560,IF(CA560=1,MAX(1,N(VLOOKUP(T560,Parameter!$I$27:$K$29,3,0)),H560,N(N560)),IF(N(Q560)&gt;0,Q560,MAX(1,H560)))))</f>
        <v>5</v>
      </c>
      <c r="BZ560" s="53" t="n">
        <f aca="false">IF(BX560="LOSE",1,0)</f>
        <v>0</v>
      </c>
      <c r="CA560" s="53" t="n">
        <f aca="false">IF(AND(U560="",OR(P560="",P560="LOSE"),T560&lt;&gt;"",N(S560)&lt;=0,ISNUMBER(MATCH(T560,Parameter!$I$27:$I$29,0))),1,0)</f>
        <v>0</v>
      </c>
      <c r="CB560" s="53" t="n">
        <f aca="false">IF(CQ560&gt;0,INDEX(Parameter!$H$5:$H$7,W560)/INDEX(Parameter!$E$5:$E$7,W560),IF(AND(BZ560=0,N(IFERROR(VLOOKUP(BX560,'Gebinde-Kategorie'!$A$5:$N$45,14,0),0))&gt;0),VLOOKUP(BX560,'Gebinde-Kategorie'!$A$5:$N$45,14,0)*10+Parameter!$M$23,Parameter!$M$24))</f>
        <v>155</v>
      </c>
      <c r="CC560" s="48" t="str">
        <f aca="false">IF(AND(Parameter!$B$19="Ja",E560&lt;&gt;"",ISNUMBER(MATCH(E560,Parameter!$I$35:$I$52,0))),VLOOKUP(E560,Parameter!$I$35:$J$52,2,0),IFERROR(VLOOKUP(D560,Parameter!$A$35:$C$64,2,0),"Nein"))</f>
        <v>2+3</v>
      </c>
      <c r="CD560" s="52" t="n">
        <f aca="false">IF(BZ560=0,0,IF(N(S560)&gt;0,S560,IFERROR(VLOOKUP(D560,Parameter!$A$35:$C$64,3,0)+0,0)))</f>
        <v>0</v>
      </c>
      <c r="CE560" s="48" t="n">
        <f aca="false">IF(AA560&lt;&gt;"",AA560,Z560)</f>
        <v>3</v>
      </c>
      <c r="CF560" s="48" t="str">
        <f aca="false">IF(OR(CE560=1,CE560=2,CE560=3),IF(Parameter!$E$27="Ja","LIFT",IF(CE560=1,"L1","L23")),IF(CE560="Aussen","Aussen","-"))</f>
        <v>LIFT</v>
      </c>
      <c r="CG560" s="59" t="n">
        <f aca="false">IF(N(AB560)&gt;0,AB560,0)</f>
        <v>0</v>
      </c>
      <c r="CH560" s="53" t="n">
        <f aca="false">IF(ISNUMBER(AE560),1,0)</f>
        <v>0</v>
      </c>
      <c r="CI560" s="50" t="n">
        <f aca="false">N(AE560)</f>
        <v>0</v>
      </c>
      <c r="CJ560" s="50" t="n">
        <f aca="false">N(M560)+N(N560)</f>
        <v>1</v>
      </c>
      <c r="CK560" s="50" t="n">
        <f aca="false">N(M560)</f>
        <v>0</v>
      </c>
      <c r="CL560" s="50" t="n">
        <f aca="false">N(N560)</f>
        <v>1</v>
      </c>
      <c r="CM560" s="50" t="n">
        <f aca="false">ROUNDUP(H560/BY560,0)</f>
        <v>1</v>
      </c>
      <c r="CN560" s="50" t="n">
        <f aca="false">ROUNDUP(CI560/BY560,0)</f>
        <v>0</v>
      </c>
      <c r="CO560" s="53" t="n">
        <f aca="false">IF(BZ560=1,0,IFERROR(VLOOKUP(BX560,'Gebinde-Kategorie'!$A$5:$N$45,5,0)+0,0))</f>
        <v>8</v>
      </c>
      <c r="CP560" s="53" t="n">
        <f aca="false">IFERROR(IF(OR(CE560=1,CE560=2,CE560=3),N(INDEX(Parameter!$I$5:$I$7,CE560)),0),0)</f>
        <v>0</v>
      </c>
      <c r="CQ560" s="52" t="n">
        <f aca="false">IF(AND(Parameter!$B$21="Ja",ISNUMBER(W560),N(X560)&gt;0),IFERROR(N(INDEX(Parameter!$L$5:$L$7,W560))*INDEX(Parameter!$E$5:$E$7,W560)*X560/SUMIFS($X$7:$X$1843,$W$7:$W$1843,W560),0),0)</f>
        <v>0</v>
      </c>
    </row>
    <row r="561" customFormat="false" ht="15" hidden="false" customHeight="false" outlineLevel="0" collapsed="false">
      <c r="A561" s="48" t="s">
        <v>1200</v>
      </c>
      <c r="B561" s="48" t="s">
        <v>504</v>
      </c>
      <c r="C561" s="48" t="s">
        <v>173</v>
      </c>
      <c r="D561" s="48" t="s">
        <v>193</v>
      </c>
      <c r="E561" s="48" t="s">
        <v>194</v>
      </c>
      <c r="F561" s="48" t="s">
        <v>227</v>
      </c>
      <c r="G561" s="49" t="n">
        <v>0.22</v>
      </c>
      <c r="H561" s="50" t="n">
        <f aca="false">MAX(0,IF(AND(Parameter!$B$21="Ja",ISNUMBER(Y561)),Y561,IF(Parameter!$B$20="Jahresanfang 2025 + Export",BR561+BQ561,BQ561)))</f>
        <v>313</v>
      </c>
      <c r="I561" s="50" t="n">
        <f aca="false">H561*G561</f>
        <v>68.86</v>
      </c>
      <c r="J561" s="50" t="n">
        <f aca="false">BT561*Parameter!$B$18</f>
        <v>309</v>
      </c>
      <c r="K561" s="51" t="n">
        <v>143</v>
      </c>
      <c r="L561" s="52" t="n">
        <v>2.16083916083916</v>
      </c>
      <c r="M561" s="50" t="n">
        <v>18</v>
      </c>
      <c r="N561" s="50" t="n">
        <v>310</v>
      </c>
      <c r="O561" s="53" t="n">
        <v>21</v>
      </c>
      <c r="P561" s="48" t="s">
        <v>410</v>
      </c>
      <c r="Q561" s="50" t="n">
        <v>119</v>
      </c>
      <c r="R561" s="53" t="n">
        <f aca="false">IF(BZ561=1,0,IFERROR(VLOOKUP(BX561,'Gebinde-Kategorie'!$A$5:$N$45,13,0)+0,0))</f>
        <v>280</v>
      </c>
      <c r="S561" s="54"/>
      <c r="T561" s="55"/>
      <c r="U561" s="55"/>
      <c r="V561" s="55"/>
      <c r="W561" s="48"/>
      <c r="X561" s="50"/>
      <c r="Y561" s="50"/>
      <c r="Z561" s="48" t="n">
        <f aca="false">IF(A561="","",IF(AND(Parameter!$B$21="Ja",ISNUMBER(W561)),W561,IF(CC561="2+3",IF(ISNUMBER(SEARCH("grosser Artikel",BU561)),2,IFERROR(VLOOKUP(BX561,Parameter!$F$35:$G$64,2,0),2)),IF(OR(CC561="Nein",CC561=""),"-",CC561))))</f>
        <v>3</v>
      </c>
      <c r="AA561" s="55"/>
      <c r="AB561" s="56"/>
      <c r="AC561" s="50" t="n">
        <f aca="false">AV561</f>
        <v>328</v>
      </c>
      <c r="AD561" s="50" t="n">
        <f aca="false">MAX(AV561,H561)</f>
        <v>328</v>
      </c>
      <c r="AE561" s="57"/>
      <c r="AF561" s="50" t="n">
        <f aca="false">IF(LEFT(Cockpit!$C$5,1)="A",H561,IF(Parameter!$E$30="MAX-Bestand",IF(CH561=1,CI561,IF(LEFT(Cockpit!$C$5,1)="B",AL561,MAX(AL561,H561))),ROUNDUP(AJ561,0)))</f>
        <v>313</v>
      </c>
      <c r="AG561" s="50" t="n">
        <f aca="false">IF(BZ561=1,0,ROUNDUP(AF561/BY561,0))</f>
        <v>3</v>
      </c>
      <c r="AH561" s="52" t="n">
        <f aca="false">IF(CQ561&gt;0,CQ561*MAX(1,AF561/X561),IF(BZ561=1,IF(AF561&lt;=0,0,CD561*MAX(1,IF(H561&gt;0,AF561/H561,1))),IF(R561&gt;0,AG561/R561,0))/MAX(0.1,N(Parameter!$M$21)))</f>
        <v>0.0107142857142857</v>
      </c>
      <c r="AI561" s="50" t="n">
        <f aca="false">AH561*CB561</f>
        <v>1.66071428571429</v>
      </c>
      <c r="AJ561" s="51" t="n">
        <f aca="false">IF(LEFT(Cockpit!$C$5,1)="A",H561,IF(CH561=1,(CK561+CI561)/2,IF(LEFT(Cockpit!$C$5,1)="B",(CK561+AL561)/2,MAX((CK561+AL561)/2,H561))))</f>
        <v>313</v>
      </c>
      <c r="AK561" s="50" t="n">
        <f aca="false">AJ561*G561</f>
        <v>68.86</v>
      </c>
      <c r="AL561" s="50" t="n">
        <f aca="false">ROUNDUP(CK561+MAX(CL561,2*(J561/IF(CG561&gt;0,CG561,MAX(0.1,N(Cockpit!$C$6)))-CK561)),0)</f>
        <v>328</v>
      </c>
      <c r="AM561" s="51" t="n">
        <f aca="false">IF(AI561&gt;0,J561/AI561,-1)</f>
        <v>186.064516129032</v>
      </c>
      <c r="AN561" s="51" t="n">
        <f aca="false">IF(AND(OR(CF561="L1",CF561="L23",CF561="LIFT"),AI561&gt;0),SUMIFS($AI$7:$AI$1843,$CF$7:$CF$1843,CF561,$AM$7:$AM$1843,"&gt;"&amp;AM561)+SUMIFS($AI$7:$AI$1843,$CF$7:$CF$1843,CF561,$AM$7:$AM$1843,AM561,$BW$7:$BW$1843,"&lt;="&amp;BW561),"")</f>
        <v>382.878205128205</v>
      </c>
      <c r="AO561" s="58" t="n">
        <f aca="false">IF(AN561="",0,MAX(0,MIN(1,(IF(CF561="L1",Parameter!$H$5,IF(CF561="L23",Parameter!$H$6+Parameter!$H$7,Parameter!$H$5+Parameter!$H$6+Parameter!$H$7))-(AN561-AI561))/AI561)))</f>
        <v>1</v>
      </c>
      <c r="AP561" s="50" t="n">
        <f aca="false">IF(LEFT(Cockpit!$I$5,1)="A",H561,IF(Parameter!$E$30="MAX-Bestand",IF(CH561=1,CI561,IF(LEFT(Cockpit!$I$5,1)="B",AV561,MAX(AV561,H561))),ROUNDUP(AT561,0)))</f>
        <v>313</v>
      </c>
      <c r="AQ561" s="50" t="n">
        <f aca="false">IF(BZ561=1,0,ROUNDUP(AP561/BY561,0))</f>
        <v>3</v>
      </c>
      <c r="AR561" s="52" t="n">
        <f aca="false">IF(CQ561&gt;0,CQ561*MAX(1,AP561/X561),IF(BZ561=1,IF(AP561&lt;=0,0,CD561*MAX(1,IF(H561&gt;0,AP561/H561,1))),IF(R561&gt;0,AQ561/R561,0))/MAX(0.1,N(Parameter!$M$21)))</f>
        <v>0.0107142857142857</v>
      </c>
      <c r="AS561" s="50" t="n">
        <f aca="false">AR561*CB561</f>
        <v>1.66071428571429</v>
      </c>
      <c r="AT561" s="51" t="n">
        <f aca="false">IF(LEFT(Cockpit!$I$5,1)="A",H561,IF(CH561=1,(CK561+CI561)/2,IF(LEFT(Cockpit!$I$5,1)="B",(CK561+AV561)/2,MAX((CK561+AV561)/2,H561))))</f>
        <v>313</v>
      </c>
      <c r="AU561" s="50" t="n">
        <f aca="false">AT561*G561</f>
        <v>68.86</v>
      </c>
      <c r="AV561" s="50" t="n">
        <f aca="false">ROUNDUP(CK561+MAX(CL561,2*(J561/IF(CG561&gt;0,CG561,MAX(0.1,N(Cockpit!$I$6)))-CK561)),0)</f>
        <v>328</v>
      </c>
      <c r="AW561" s="51" t="n">
        <f aca="false">IF(AS561&gt;0,J561/AS561,-1)</f>
        <v>186.064516129032</v>
      </c>
      <c r="AX561" s="51" t="n">
        <f aca="false">IF(AND(OR(CF561="L1",CF561="L23",CF561="LIFT"),AS561&gt;0),SUMIFS($AS$7:$AS$1843,$CF$7:$CF$1843,CF561,$AW$7:$AW$1843,"&gt;"&amp;AW561)+SUMIFS($AS$7:$AS$1843,$CF$7:$CF$1843,CF561,$AW$7:$AW$1843,AW561,$BW$7:$BW$1843,"&lt;="&amp;BW561),"")</f>
        <v>500.51510989011</v>
      </c>
      <c r="AY561" s="58" t="n">
        <f aca="false">IF(AX561="",0,MAX(0,MIN(1,(IF(CF561="L1",Parameter!$H$5,IF(CF561="L23",Parameter!$H$6+Parameter!$H$7,Parameter!$H$5+Parameter!$H$6+Parameter!$H$7))-(AX561-AS561))/AS561)))</f>
        <v>1</v>
      </c>
      <c r="AZ561" s="50" t="n">
        <f aca="false">IF(LEFT(Cockpit!$O$5,1)="A",H561,IF(Parameter!$E$30="MAX-Bestand",IF(CH561=1,CI561,IF(LEFT(Cockpit!$O$5,1)="B",BF561,MAX(BF561,H561))),ROUNDUP(BD561,0)))</f>
        <v>173</v>
      </c>
      <c r="BA561" s="50" t="n">
        <f aca="false">IF(BZ561=1,0,ROUNDUP(AZ561/BY561,0))</f>
        <v>2</v>
      </c>
      <c r="BB561" s="52" t="n">
        <f aca="false">IF(CQ561&gt;0,CQ561*MAX(1,AZ561/X561),IF(BZ561=1,IF(AZ561&lt;=0,0,CD561*MAX(1,IF(H561&gt;0,AZ561/H561,1))),IF(R561&gt;0,BA561/R561,0))/MAX(0.1,N(Parameter!$M$21)))</f>
        <v>0.00714285714285714</v>
      </c>
      <c r="BC561" s="50" t="n">
        <f aca="false">BB561*CB561</f>
        <v>1.10714285714286</v>
      </c>
      <c r="BD561" s="51" t="n">
        <f aca="false">IF(LEFT(Cockpit!$O$5,1)="A",H561,IF(CH561=1,(CK561+CI561)/2,IF(LEFT(Cockpit!$O$5,1)="B",(CK561+BF561)/2,MAX((CK561+BF561)/2,H561))))</f>
        <v>173</v>
      </c>
      <c r="BE561" s="50" t="n">
        <f aca="false">BD561*G561</f>
        <v>38.06</v>
      </c>
      <c r="BF561" s="50" t="n">
        <f aca="false">ROUNDUP(CK561+MAX(CL561,2*(J561/IF(CG561&gt;0,CG561,MAX(0.1,N(Cockpit!$O$6)))-CK561)),0)</f>
        <v>328</v>
      </c>
      <c r="BG561" s="51" t="n">
        <f aca="false">IF(BC561&gt;0,J561/BC561,-1)</f>
        <v>279.096774193548</v>
      </c>
      <c r="BH561" s="51" t="n">
        <f aca="false">IF(AND(OR(CF561="L1",CF561="L23",CF561="LIFT"),BC561&gt;0),SUMIFS($BC$7:$BC$1843,$CF$7:$CF$1843,CF561,$BG$7:$BG$1843,"&gt;"&amp;BG561)+SUMIFS($BC$7:$BC$1843,$CF$7:$CF$1843,CF561,$BG$7:$BG$1843,BG561,$BW$7:$BW$1843,"&lt;="&amp;BW561),"")</f>
        <v>263.970238095238</v>
      </c>
      <c r="BI561" s="58" t="n">
        <f aca="false">IF(BH561="",0,MAX(0,MIN(1,(IF(CF561="L1",Parameter!$H$5,IF(CF561="L23",Parameter!$H$6+Parameter!$H$7,Parameter!$H$5+Parameter!$H$6+Parameter!$H$7))-(BH561-BC561))/BC561)))</f>
        <v>1</v>
      </c>
      <c r="BJ561" s="48" t="str">
        <f aca="false">IF(AI561&lt;=0,"",IF(CF561="Aussen","Aussenlager",IF(CF561="-","Nicht im Lift",IF(AO561&gt;=1,"Lift",IF(AO561&lt;=0,"Aussenlager","teilweise")))))</f>
        <v>Lift</v>
      </c>
      <c r="BK561" s="48" t="str">
        <f aca="false">IF(AS561&lt;=0,"",IF(CF561="Aussen","Aussenlager",IF(CF561="-","Nicht im Lift",IF(AY561&gt;=1,"Lift",IF(AY561&lt;=0,"Aussenlager","teilweise")))))</f>
        <v>Lift</v>
      </c>
      <c r="BL561" s="48" t="str">
        <f aca="false">IF(BC561&lt;=0,"",IF(CF561="Aussen","Aussenlager",IF(CF561="-","Nicht im Lift",IF(BI561&gt;=1,"Lift",IF(BI561&lt;=0,"Aussenlager","teilweise")))))</f>
        <v>Lift</v>
      </c>
      <c r="BM561" s="48" t="str">
        <f aca="false">IF(A561="","",IF(BV561=1,"Neu; ","")&amp;IF(AND(BV561=0,BQ561&lt;0),"negativer Bestand (Export "&amp;BQ561&amp;"); ","")&amp;IF(J561&lt;=0,"Kein Verbrauch; ","")&amp;IF(CQ561&gt;0,"Lift "&amp;W561&amp;" lt. Liftbericht (Fach "&amp;X561&amp;" Stk); ",IF(CA561=1,"Gebinde geschätzt ("&amp;T561&amp;"); ",IF(BZ561=1,"Lose – Tablare geschätzt; ","")))&amp;IF(H561&gt;AV561,"Überbestand "&amp;ROUND(H561-AV561,0)&amp;" Stk / CHF "&amp;ROUND((H561-AV561)*G561,0)&amp;"; ","")&amp;IF(AND(CH561=1,CI561&lt;CJ561),"MAX &lt; MB+LG; ","")&amp;IF(AND(CP561&gt;0,CO561*10&gt;CP561),"zu hoch für Tablar; ","")&amp;IF(AND(BV561=0,OR(CH561=1,AA561&lt;&gt;"",U561&lt;&gt;"",V561&lt;&gt;"",AB561&lt;&gt;"")),"manuell übersteuert; ","")&amp;IF(AND(BZ561=0,R561=0),"Gebinde unbekannt / Stellmass fehlt; ","")&amp;IF(AND(BZ561=0,N(V561)&lt;=0,N(Q561)&lt;=0),"Menge pro Gebinde fehlt (Ist = 1 Gebinde); ","")&amp;BU561)</f>
        <v/>
      </c>
      <c r="BN561" s="48"/>
      <c r="BO561" s="48"/>
      <c r="BP561" s="55"/>
      <c r="BQ561" s="50" t="n">
        <v>165</v>
      </c>
      <c r="BR561" s="50" t="n">
        <v>148</v>
      </c>
      <c r="BS561" s="49" t="n">
        <v>14.1</v>
      </c>
      <c r="BT561" s="50" t="n">
        <v>309</v>
      </c>
      <c r="BU561" s="48"/>
      <c r="BV561" s="53" t="n">
        <v>0</v>
      </c>
      <c r="BW561" s="53" t="n">
        <v>561</v>
      </c>
      <c r="BX561" s="48" t="str">
        <f aca="false">IF(U561&lt;&gt;"",UPPER(TRIM(U561)),IF(CA561=1,UPPER(VLOOKUP(T561,Parameter!$I$27:$K$29,2,0)),IF(P561="","LOSE",P561)))</f>
        <v>S21</v>
      </c>
      <c r="BY561" s="50" t="n">
        <f aca="false">IF(BX561="LOSE",1,IF(N(V561)&gt;0,V561,IF(CA561=1,MAX(1,N(VLOOKUP(T561,Parameter!$I$27:$K$29,3,0)),H561,N(N561)),IF(N(Q561)&gt;0,Q561,MAX(1,H561)))))</f>
        <v>119</v>
      </c>
      <c r="BZ561" s="53" t="n">
        <f aca="false">IF(BX561="LOSE",1,0)</f>
        <v>0</v>
      </c>
      <c r="CA561" s="53" t="n">
        <f aca="false">IF(AND(U561="",OR(P561="",P561="LOSE"),T561&lt;&gt;"",N(S561)&lt;=0,ISNUMBER(MATCH(T561,Parameter!$I$27:$I$29,0))),1,0)</f>
        <v>0</v>
      </c>
      <c r="CB561" s="53" t="n">
        <f aca="false">IF(CQ561&gt;0,INDEX(Parameter!$H$5:$H$7,W561)/INDEX(Parameter!$E$5:$E$7,W561),IF(AND(BZ561=0,N(IFERROR(VLOOKUP(BX561,'Gebinde-Kategorie'!$A$5:$N$45,14,0),0))&gt;0),VLOOKUP(BX561,'Gebinde-Kategorie'!$A$5:$N$45,14,0)*10+Parameter!$M$23,Parameter!$M$24))</f>
        <v>155</v>
      </c>
      <c r="CC561" s="48" t="str">
        <f aca="false">IF(AND(Parameter!$B$19="Ja",E561&lt;&gt;"",ISNUMBER(MATCH(E561,Parameter!$I$35:$I$52,0))),VLOOKUP(E561,Parameter!$I$35:$J$52,2,0),IFERROR(VLOOKUP(D561,Parameter!$A$35:$C$64,2,0),"Nein"))</f>
        <v>2+3</v>
      </c>
      <c r="CD561" s="52" t="n">
        <f aca="false">IF(BZ561=0,0,IF(N(S561)&gt;0,S561,IFERROR(VLOOKUP(D561,Parameter!$A$35:$C$64,3,0)+0,0)))</f>
        <v>0</v>
      </c>
      <c r="CE561" s="48" t="n">
        <f aca="false">IF(AA561&lt;&gt;"",AA561,Z561)</f>
        <v>3</v>
      </c>
      <c r="CF561" s="48" t="str">
        <f aca="false">IF(OR(CE561=1,CE561=2,CE561=3),IF(Parameter!$E$27="Ja","LIFT",IF(CE561=1,"L1","L23")),IF(CE561="Aussen","Aussen","-"))</f>
        <v>LIFT</v>
      </c>
      <c r="CG561" s="59" t="n">
        <f aca="false">IF(N(AB561)&gt;0,AB561,0)</f>
        <v>0</v>
      </c>
      <c r="CH561" s="53" t="n">
        <f aca="false">IF(ISNUMBER(AE561),1,0)</f>
        <v>0</v>
      </c>
      <c r="CI561" s="50" t="n">
        <f aca="false">N(AE561)</f>
        <v>0</v>
      </c>
      <c r="CJ561" s="50" t="n">
        <f aca="false">N(M561)+N(N561)</f>
        <v>328</v>
      </c>
      <c r="CK561" s="50" t="n">
        <f aca="false">N(M561)</f>
        <v>18</v>
      </c>
      <c r="CL561" s="50" t="n">
        <f aca="false">N(N561)</f>
        <v>310</v>
      </c>
      <c r="CM561" s="50" t="n">
        <f aca="false">ROUNDUP(H561/BY561,0)</f>
        <v>3</v>
      </c>
      <c r="CN561" s="50" t="n">
        <f aca="false">ROUNDUP(CI561/BY561,0)</f>
        <v>0</v>
      </c>
      <c r="CO561" s="53" t="n">
        <f aca="false">IF(BZ561=1,0,IFERROR(VLOOKUP(BX561,'Gebinde-Kategorie'!$A$5:$N$45,5,0)+0,0))</f>
        <v>8</v>
      </c>
      <c r="CP561" s="53" t="n">
        <f aca="false">IFERROR(IF(OR(CE561=1,CE561=2,CE561=3),N(INDEX(Parameter!$I$5:$I$7,CE561)),0),0)</f>
        <v>0</v>
      </c>
      <c r="CQ561" s="52" t="n">
        <f aca="false">IF(AND(Parameter!$B$21="Ja",ISNUMBER(W561),N(X561)&gt;0),IFERROR(N(INDEX(Parameter!$L$5:$L$7,W561))*INDEX(Parameter!$E$5:$E$7,W561)*X561/SUMIFS($X$7:$X$1843,$W$7:$W$1843,W561),0),0)</f>
        <v>0</v>
      </c>
    </row>
    <row r="562" customFormat="false" ht="15" hidden="false" customHeight="false" outlineLevel="0" collapsed="false">
      <c r="A562" s="48" t="s">
        <v>1201</v>
      </c>
      <c r="B562" s="48" t="s">
        <v>1202</v>
      </c>
      <c r="C562" s="48" t="s">
        <v>173</v>
      </c>
      <c r="D562" s="48" t="s">
        <v>193</v>
      </c>
      <c r="E562" s="48" t="s">
        <v>194</v>
      </c>
      <c r="F562" s="48" t="s">
        <v>227</v>
      </c>
      <c r="G562" s="49" t="n">
        <v>1.4</v>
      </c>
      <c r="H562" s="50" t="n">
        <f aca="false">MAX(0,IF(AND(Parameter!$B$21="Ja",ISNUMBER(Y562)),Y562,IF(Parameter!$B$20="Jahresanfang 2025 + Export",BR562+BQ562,BQ562)))</f>
        <v>15</v>
      </c>
      <c r="I562" s="50" t="n">
        <f aca="false">H562*G562</f>
        <v>21</v>
      </c>
      <c r="J562" s="50" t="n">
        <f aca="false">BT562*Parameter!$B$18</f>
        <v>15</v>
      </c>
      <c r="K562" s="51" t="n">
        <v>7.5</v>
      </c>
      <c r="L562" s="52" t="n">
        <v>2</v>
      </c>
      <c r="M562" s="50" t="n">
        <v>1</v>
      </c>
      <c r="N562" s="50" t="n">
        <v>15</v>
      </c>
      <c r="O562" s="53" t="n">
        <v>28</v>
      </c>
      <c r="P562" s="48" t="s">
        <v>430</v>
      </c>
      <c r="Q562" s="50" t="n">
        <v>27</v>
      </c>
      <c r="R562" s="53" t="n">
        <f aca="false">IF(BZ562=1,0,IFERROR(VLOOKUP(BX562,'Gebinde-Kategorie'!$A$5:$N$45,13,0)+0,0))</f>
        <v>104</v>
      </c>
      <c r="S562" s="54"/>
      <c r="T562" s="55"/>
      <c r="U562" s="55"/>
      <c r="V562" s="55"/>
      <c r="W562" s="48"/>
      <c r="X562" s="50"/>
      <c r="Y562" s="50"/>
      <c r="Z562" s="48" t="n">
        <f aca="false">IF(A562="","",IF(AND(Parameter!$B$21="Ja",ISNUMBER(W562)),W562,IF(CC562="2+3",IF(ISNUMBER(SEARCH("grosser Artikel",BU562)),2,IFERROR(VLOOKUP(BX562,Parameter!$F$35:$G$64,2,0),2)),IF(OR(CC562="Nein",CC562=""),"-",CC562))))</f>
        <v>3</v>
      </c>
      <c r="AA562" s="55"/>
      <c r="AB562" s="56"/>
      <c r="AC562" s="50" t="n">
        <f aca="false">AV562</f>
        <v>16</v>
      </c>
      <c r="AD562" s="50" t="n">
        <f aca="false">MAX(AV562,H562)</f>
        <v>16</v>
      </c>
      <c r="AE562" s="57"/>
      <c r="AF562" s="50" t="n">
        <f aca="false">IF(LEFT(Cockpit!$C$5,1)="A",H562,IF(Parameter!$E$30="MAX-Bestand",IF(CH562=1,CI562,IF(LEFT(Cockpit!$C$5,1)="B",AL562,MAX(AL562,H562))),ROUNDUP(AJ562,0)))</f>
        <v>15</v>
      </c>
      <c r="AG562" s="50" t="n">
        <f aca="false">IF(BZ562=1,0,ROUNDUP(AF562/BY562,0))</f>
        <v>1</v>
      </c>
      <c r="AH562" s="52" t="n">
        <f aca="false">IF(CQ562&gt;0,CQ562*MAX(1,AF562/X562),IF(BZ562=1,IF(AF562&lt;=0,0,CD562*MAX(1,IF(H562&gt;0,AF562/H562,1))),IF(R562&gt;0,AG562/R562,0))/MAX(0.1,N(Parameter!$M$21)))</f>
        <v>0.00961538461538462</v>
      </c>
      <c r="AI562" s="50" t="n">
        <f aca="false">AH562*CB562</f>
        <v>1.49038461538462</v>
      </c>
      <c r="AJ562" s="51" t="n">
        <f aca="false">IF(LEFT(Cockpit!$C$5,1)="A",H562,IF(CH562=1,(CK562+CI562)/2,IF(LEFT(Cockpit!$C$5,1)="B",(CK562+AL562)/2,MAX((CK562+AL562)/2,H562))))</f>
        <v>15</v>
      </c>
      <c r="AK562" s="50" t="n">
        <f aca="false">AJ562*G562</f>
        <v>21</v>
      </c>
      <c r="AL562" s="50" t="n">
        <f aca="false">ROUNDUP(CK562+MAX(CL562,2*(J562/IF(CG562&gt;0,CG562,MAX(0.1,N(Cockpit!$C$6)))-CK562)),0)</f>
        <v>16</v>
      </c>
      <c r="AM562" s="51" t="n">
        <f aca="false">IF(AI562&gt;0,J562/AI562,-1)</f>
        <v>10.0645161290323</v>
      </c>
      <c r="AN562" s="51" t="n">
        <f aca="false">IF(AND(OR(CF562="L1",CF562="L23",CF562="LIFT"),AI562&gt;0),SUMIFS($AI$7:$AI$1843,$CF$7:$CF$1843,CF562,$AM$7:$AM$1843,"&gt;"&amp;AM562)+SUMIFS($AI$7:$AI$1843,$CF$7:$CF$1843,CF562,$AM$7:$AM$1843,AM562,$BW$7:$BW$1843,"&lt;="&amp;BW562),"")</f>
        <v>2602.13232600733</v>
      </c>
      <c r="AO562" s="58" t="n">
        <f aca="false">IF(AN562="",0,MAX(0,MIN(1,(IF(CF562="L1",Parameter!$H$5,IF(CF562="L23",Parameter!$H$6+Parameter!$H$7,Parameter!$H$5+Parameter!$H$6+Parameter!$H$7))-(AN562-AI562))/AI562)))</f>
        <v>1</v>
      </c>
      <c r="AP562" s="50" t="n">
        <f aca="false">IF(LEFT(Cockpit!$I$5,1)="A",H562,IF(Parameter!$E$30="MAX-Bestand",IF(CH562=1,CI562,IF(LEFT(Cockpit!$I$5,1)="B",AV562,MAX(AV562,H562))),ROUNDUP(AT562,0)))</f>
        <v>15</v>
      </c>
      <c r="AQ562" s="50" t="n">
        <f aca="false">IF(BZ562=1,0,ROUNDUP(AP562/BY562,0))</f>
        <v>1</v>
      </c>
      <c r="AR562" s="52" t="n">
        <f aca="false">IF(CQ562&gt;0,CQ562*MAX(1,AP562/X562),IF(BZ562=1,IF(AP562&lt;=0,0,CD562*MAX(1,IF(H562&gt;0,AP562/H562,1))),IF(R562&gt;0,AQ562/R562,0))/MAX(0.1,N(Parameter!$M$21)))</f>
        <v>0.00961538461538462</v>
      </c>
      <c r="AS562" s="50" t="n">
        <f aca="false">AR562*CB562</f>
        <v>1.49038461538462</v>
      </c>
      <c r="AT562" s="51" t="n">
        <f aca="false">IF(LEFT(Cockpit!$I$5,1)="A",H562,IF(CH562=1,(CK562+CI562)/2,IF(LEFT(Cockpit!$I$5,1)="B",(CK562+AV562)/2,MAX((CK562+AV562)/2,H562))))</f>
        <v>15</v>
      </c>
      <c r="AU562" s="50" t="n">
        <f aca="false">AT562*G562</f>
        <v>21</v>
      </c>
      <c r="AV562" s="50" t="n">
        <f aca="false">ROUNDUP(CK562+MAX(CL562,2*(J562/IF(CG562&gt;0,CG562,MAX(0.1,N(Cockpit!$I$6)))-CK562)),0)</f>
        <v>16</v>
      </c>
      <c r="AW562" s="51" t="n">
        <f aca="false">IF(AS562&gt;0,J562/AS562,-1)</f>
        <v>10.0645161290323</v>
      </c>
      <c r="AX562" s="51" t="n">
        <f aca="false">IF(AND(OR(CF562="L1",CF562="L23",CF562="LIFT"),AS562&gt;0),SUMIFS($AS$7:$AS$1843,$CF$7:$CF$1843,CF562,$AW$7:$AW$1843,"&gt;"&amp;AW562)+SUMIFS($AS$7:$AS$1843,$CF$7:$CF$1843,CF562,$AW$7:$AW$1843,AW562,$BW$7:$BW$1843,"&lt;="&amp;BW562),"")</f>
        <v>3198.27426739927</v>
      </c>
      <c r="AY562" s="58" t="n">
        <f aca="false">IF(AX562="",0,MAX(0,MIN(1,(IF(CF562="L1",Parameter!$H$5,IF(CF562="L23",Parameter!$H$6+Parameter!$H$7,Parameter!$H$5+Parameter!$H$6+Parameter!$H$7))-(AX562-AS562))/AS562)))</f>
        <v>1</v>
      </c>
      <c r="AZ562" s="50" t="n">
        <f aca="false">IF(LEFT(Cockpit!$O$5,1)="A",H562,IF(Parameter!$E$30="MAX-Bestand",IF(CH562=1,CI562,IF(LEFT(Cockpit!$O$5,1)="B",BF562,MAX(BF562,H562))),ROUNDUP(BD562,0)))</f>
        <v>9</v>
      </c>
      <c r="BA562" s="50" t="n">
        <f aca="false">IF(BZ562=1,0,ROUNDUP(AZ562/BY562,0))</f>
        <v>1</v>
      </c>
      <c r="BB562" s="52" t="n">
        <f aca="false">IF(CQ562&gt;0,CQ562*MAX(1,AZ562/X562),IF(BZ562=1,IF(AZ562&lt;=0,0,CD562*MAX(1,IF(H562&gt;0,AZ562/H562,1))),IF(R562&gt;0,BA562/R562,0))/MAX(0.1,N(Parameter!$M$21)))</f>
        <v>0.00961538461538462</v>
      </c>
      <c r="BC562" s="50" t="n">
        <f aca="false">BB562*CB562</f>
        <v>1.49038461538462</v>
      </c>
      <c r="BD562" s="51" t="n">
        <f aca="false">IF(LEFT(Cockpit!$O$5,1)="A",H562,IF(CH562=1,(CK562+CI562)/2,IF(LEFT(Cockpit!$O$5,1)="B",(CK562+BF562)/2,MAX((CK562+BF562)/2,H562))))</f>
        <v>8.5</v>
      </c>
      <c r="BE562" s="50" t="n">
        <f aca="false">BD562*G562</f>
        <v>11.9</v>
      </c>
      <c r="BF562" s="50" t="n">
        <f aca="false">ROUNDUP(CK562+MAX(CL562,2*(J562/IF(CG562&gt;0,CG562,MAX(0.1,N(Cockpit!$O$6)))-CK562)),0)</f>
        <v>16</v>
      </c>
      <c r="BG562" s="51" t="n">
        <f aca="false">IF(BC562&gt;0,J562/BC562,-1)</f>
        <v>10.0645161290323</v>
      </c>
      <c r="BH562" s="51" t="n">
        <f aca="false">IF(AND(OR(CF562="L1",CF562="L23",CF562="LIFT"),BC562&gt;0),SUMIFS($BC$7:$BC$1843,$CF$7:$CF$1843,CF562,$BG$7:$BG$1843,"&gt;"&amp;BG562)+SUMIFS($BC$7:$BC$1843,$CF$7:$CF$1843,CF562,$BG$7:$BG$1843,BG562,$BW$7:$BW$1843,"&lt;="&amp;BW562),"")</f>
        <v>2671.46016483517</v>
      </c>
      <c r="BI562" s="58" t="n">
        <f aca="false">IF(BH562="",0,MAX(0,MIN(1,(IF(CF562="L1",Parameter!$H$5,IF(CF562="L23",Parameter!$H$6+Parameter!$H$7,Parameter!$H$5+Parameter!$H$6+Parameter!$H$7))-(BH562-BC562))/BC562)))</f>
        <v>1</v>
      </c>
      <c r="BJ562" s="48" t="str">
        <f aca="false">IF(AI562&lt;=0,"",IF(CF562="Aussen","Aussenlager",IF(CF562="-","Nicht im Lift",IF(AO562&gt;=1,"Lift",IF(AO562&lt;=0,"Aussenlager","teilweise")))))</f>
        <v>Lift</v>
      </c>
      <c r="BK562" s="48" t="str">
        <f aca="false">IF(AS562&lt;=0,"",IF(CF562="Aussen","Aussenlager",IF(CF562="-","Nicht im Lift",IF(AY562&gt;=1,"Lift",IF(AY562&lt;=0,"Aussenlager","teilweise")))))</f>
        <v>Lift</v>
      </c>
      <c r="BL562" s="48" t="str">
        <f aca="false">IF(BC562&lt;=0,"",IF(CF562="Aussen","Aussenlager",IF(CF562="-","Nicht im Lift",IF(BI562&gt;=1,"Lift",IF(BI562&lt;=0,"Aussenlager","teilweise")))))</f>
        <v>Lift</v>
      </c>
      <c r="BM562" s="48" t="str">
        <f aca="false">IF(A562="","",IF(BV562=1,"Neu; ","")&amp;IF(AND(BV562=0,BQ562&lt;0),"negativer Bestand (Export "&amp;BQ562&amp;"); ","")&amp;IF(J562&lt;=0,"Kein Verbrauch; ","")&amp;IF(CQ562&gt;0,"Lift "&amp;W562&amp;" lt. Liftbericht (Fach "&amp;X562&amp;" Stk); ",IF(CA562=1,"Gebinde geschätzt ("&amp;T562&amp;"); ",IF(BZ562=1,"Lose – Tablare geschätzt; ","")))&amp;IF(H562&gt;AV562,"Überbestand "&amp;ROUND(H562-AV562,0)&amp;" Stk / CHF "&amp;ROUND((H562-AV562)*G562,0)&amp;"; ","")&amp;IF(AND(CH562=1,CI562&lt;CJ562),"MAX &lt; MB+LG; ","")&amp;IF(AND(CP562&gt;0,CO562*10&gt;CP562),"zu hoch für Tablar; ","")&amp;IF(AND(BV562=0,OR(CH562=1,AA562&lt;&gt;"",U562&lt;&gt;"",V562&lt;&gt;"",AB562&lt;&gt;"")),"manuell übersteuert; ","")&amp;IF(AND(BZ562=0,R562=0),"Gebinde unbekannt / Stellmass fehlt; ","")&amp;IF(AND(BZ562=0,N(V562)&lt;=0,N(Q562)&lt;=0),"Menge pro Gebinde fehlt (Ist = 1 Gebinde); ","")&amp;BU562)</f>
        <v/>
      </c>
      <c r="BN562" s="48"/>
      <c r="BO562" s="48"/>
      <c r="BP562" s="55"/>
      <c r="BQ562" s="50" t="n">
        <v>10</v>
      </c>
      <c r="BR562" s="50" t="n">
        <v>5</v>
      </c>
      <c r="BS562" s="49" t="n">
        <v>14.1</v>
      </c>
      <c r="BT562" s="50" t="n">
        <v>15</v>
      </c>
      <c r="BU562" s="48"/>
      <c r="BV562" s="53" t="n">
        <v>0</v>
      </c>
      <c r="BW562" s="53" t="n">
        <v>562</v>
      </c>
      <c r="BX562" s="48" t="str">
        <f aca="false">IF(U562&lt;&gt;"",UPPER(TRIM(U562)),IF(CA562=1,UPPER(VLOOKUP(T562,Parameter!$I$27:$K$29,2,0)),IF(P562="","LOSE",P562)))</f>
        <v>S32</v>
      </c>
      <c r="BY562" s="50" t="n">
        <f aca="false">IF(BX562="LOSE",1,IF(N(V562)&gt;0,V562,IF(CA562=1,MAX(1,N(VLOOKUP(T562,Parameter!$I$27:$K$29,3,0)),H562,N(N562)),IF(N(Q562)&gt;0,Q562,MAX(1,H562)))))</f>
        <v>27</v>
      </c>
      <c r="BZ562" s="53" t="n">
        <f aca="false">IF(BX562="LOSE",1,0)</f>
        <v>0</v>
      </c>
      <c r="CA562" s="53" t="n">
        <f aca="false">IF(AND(U562="",OR(P562="",P562="LOSE"),T562&lt;&gt;"",N(S562)&lt;=0,ISNUMBER(MATCH(T562,Parameter!$I$27:$I$29,0))),1,0)</f>
        <v>0</v>
      </c>
      <c r="CB562" s="53" t="n">
        <f aca="false">IF(CQ562&gt;0,INDEX(Parameter!$H$5:$H$7,W562)/INDEX(Parameter!$E$5:$E$7,W562),IF(AND(BZ562=0,N(IFERROR(VLOOKUP(BX562,'Gebinde-Kategorie'!$A$5:$N$45,14,0),0))&gt;0),VLOOKUP(BX562,'Gebinde-Kategorie'!$A$5:$N$45,14,0)*10+Parameter!$M$23,Parameter!$M$24))</f>
        <v>155</v>
      </c>
      <c r="CC562" s="48" t="str">
        <f aca="false">IF(AND(Parameter!$B$19="Ja",E562&lt;&gt;"",ISNUMBER(MATCH(E562,Parameter!$I$35:$I$52,0))),VLOOKUP(E562,Parameter!$I$35:$J$52,2,0),IFERROR(VLOOKUP(D562,Parameter!$A$35:$C$64,2,0),"Nein"))</f>
        <v>2+3</v>
      </c>
      <c r="CD562" s="52" t="n">
        <f aca="false">IF(BZ562=0,0,IF(N(S562)&gt;0,S562,IFERROR(VLOOKUP(D562,Parameter!$A$35:$C$64,3,0)+0,0)))</f>
        <v>0</v>
      </c>
      <c r="CE562" s="48" t="n">
        <f aca="false">IF(AA562&lt;&gt;"",AA562,Z562)</f>
        <v>3</v>
      </c>
      <c r="CF562" s="48" t="str">
        <f aca="false">IF(OR(CE562=1,CE562=2,CE562=3),IF(Parameter!$E$27="Ja","LIFT",IF(CE562=1,"L1","L23")),IF(CE562="Aussen","Aussen","-"))</f>
        <v>LIFT</v>
      </c>
      <c r="CG562" s="59" t="n">
        <f aca="false">IF(N(AB562)&gt;0,AB562,0)</f>
        <v>0</v>
      </c>
      <c r="CH562" s="53" t="n">
        <f aca="false">IF(ISNUMBER(AE562),1,0)</f>
        <v>0</v>
      </c>
      <c r="CI562" s="50" t="n">
        <f aca="false">N(AE562)</f>
        <v>0</v>
      </c>
      <c r="CJ562" s="50" t="n">
        <f aca="false">N(M562)+N(N562)</f>
        <v>16</v>
      </c>
      <c r="CK562" s="50" t="n">
        <f aca="false">N(M562)</f>
        <v>1</v>
      </c>
      <c r="CL562" s="50" t="n">
        <f aca="false">N(N562)</f>
        <v>15</v>
      </c>
      <c r="CM562" s="50" t="n">
        <f aca="false">ROUNDUP(H562/BY562,0)</f>
        <v>1</v>
      </c>
      <c r="CN562" s="50" t="n">
        <f aca="false">ROUNDUP(CI562/BY562,0)</f>
        <v>0</v>
      </c>
      <c r="CO562" s="53" t="n">
        <f aca="false">IF(BZ562=1,0,IFERROR(VLOOKUP(BX562,'Gebinde-Kategorie'!$A$5:$N$45,5,0)+0,0))</f>
        <v>8</v>
      </c>
      <c r="CP562" s="53" t="n">
        <f aca="false">IFERROR(IF(OR(CE562=1,CE562=2,CE562=3),N(INDEX(Parameter!$I$5:$I$7,CE562)),0),0)</f>
        <v>0</v>
      </c>
      <c r="CQ562" s="52" t="n">
        <f aca="false">IF(AND(Parameter!$B$21="Ja",ISNUMBER(W562),N(X562)&gt;0),IFERROR(N(INDEX(Parameter!$L$5:$L$7,W562))*INDEX(Parameter!$E$5:$E$7,W562)*X562/SUMIFS($X$7:$X$1843,$W$7:$W$1843,W562),0),0)</f>
        <v>0</v>
      </c>
    </row>
    <row r="563" customFormat="false" ht="15" hidden="false" customHeight="false" outlineLevel="0" collapsed="false">
      <c r="A563" s="48" t="s">
        <v>1203</v>
      </c>
      <c r="B563" s="48" t="s">
        <v>1204</v>
      </c>
      <c r="C563" s="48" t="s">
        <v>173</v>
      </c>
      <c r="D563" s="48" t="s">
        <v>193</v>
      </c>
      <c r="E563" s="48" t="s">
        <v>194</v>
      </c>
      <c r="F563" s="48" t="s">
        <v>227</v>
      </c>
      <c r="G563" s="49" t="n">
        <v>2</v>
      </c>
      <c r="H563" s="50" t="n">
        <f aca="false">MAX(0,IF(AND(Parameter!$B$21="Ja",ISNUMBER(Y563)),Y563,IF(Parameter!$B$20="Jahresanfang 2025 + Export",BR563+BQ563,BQ563)))</f>
        <v>11</v>
      </c>
      <c r="I563" s="50" t="n">
        <f aca="false">H563*G563</f>
        <v>22</v>
      </c>
      <c r="J563" s="50" t="n">
        <f aca="false">BT563*Parameter!$B$18</f>
        <v>0</v>
      </c>
      <c r="K563" s="51" t="n">
        <v>7.5</v>
      </c>
      <c r="L563" s="52" t="n">
        <v>0</v>
      </c>
      <c r="M563" s="50" t="n">
        <v>0</v>
      </c>
      <c r="N563" s="50" t="n">
        <v>1</v>
      </c>
      <c r="O563" s="53" t="n">
        <v>28</v>
      </c>
      <c r="P563" s="48" t="s">
        <v>410</v>
      </c>
      <c r="Q563" s="50" t="n">
        <v>4</v>
      </c>
      <c r="R563" s="53" t="n">
        <f aca="false">IF(BZ563=1,0,IFERROR(VLOOKUP(BX563,'Gebinde-Kategorie'!$A$5:$N$45,13,0)+0,0))</f>
        <v>280</v>
      </c>
      <c r="S563" s="54"/>
      <c r="T563" s="55"/>
      <c r="U563" s="55"/>
      <c r="V563" s="55"/>
      <c r="W563" s="48"/>
      <c r="X563" s="50"/>
      <c r="Y563" s="50"/>
      <c r="Z563" s="48" t="n">
        <f aca="false">IF(A563="","",IF(AND(Parameter!$B$21="Ja",ISNUMBER(W563)),W563,IF(CC563="2+3",IF(ISNUMBER(SEARCH("grosser Artikel",BU563)),2,IFERROR(VLOOKUP(BX563,Parameter!$F$35:$G$64,2,0),2)),IF(OR(CC563="Nein",CC563=""),"-",CC563))))</f>
        <v>3</v>
      </c>
      <c r="AA563" s="55"/>
      <c r="AB563" s="56"/>
      <c r="AC563" s="50" t="n">
        <f aca="false">AV563</f>
        <v>1</v>
      </c>
      <c r="AD563" s="50" t="n">
        <f aca="false">MAX(AV563,H563)</f>
        <v>11</v>
      </c>
      <c r="AE563" s="57"/>
      <c r="AF563" s="50" t="n">
        <f aca="false">IF(LEFT(Cockpit!$C$5,1)="A",H563,IF(Parameter!$E$30="MAX-Bestand",IF(CH563=1,CI563,IF(LEFT(Cockpit!$C$5,1)="B",AL563,MAX(AL563,H563))),ROUNDUP(AJ563,0)))</f>
        <v>11</v>
      </c>
      <c r="AG563" s="50" t="n">
        <f aca="false">IF(BZ563=1,0,ROUNDUP(AF563/BY563,0))</f>
        <v>3</v>
      </c>
      <c r="AH563" s="52" t="n">
        <f aca="false">IF(CQ563&gt;0,CQ563*MAX(1,AF563/X563),IF(BZ563=1,IF(AF563&lt;=0,0,CD563*MAX(1,IF(H563&gt;0,AF563/H563,1))),IF(R563&gt;0,AG563/R563,0))/MAX(0.1,N(Parameter!$M$21)))</f>
        <v>0.0107142857142857</v>
      </c>
      <c r="AI563" s="50" t="n">
        <f aca="false">AH563*CB563</f>
        <v>1.66071428571429</v>
      </c>
      <c r="AJ563" s="51" t="n">
        <f aca="false">IF(LEFT(Cockpit!$C$5,1)="A",H563,IF(CH563=1,(CK563+CI563)/2,IF(LEFT(Cockpit!$C$5,1)="B",(CK563+AL563)/2,MAX((CK563+AL563)/2,H563))))</f>
        <v>11</v>
      </c>
      <c r="AK563" s="50" t="n">
        <f aca="false">AJ563*G563</f>
        <v>22</v>
      </c>
      <c r="AL563" s="50" t="n">
        <f aca="false">ROUNDUP(CK563+MAX(CL563,2*(J563/IF(CG563&gt;0,CG563,MAX(0.1,N(Cockpit!$C$6)))-CK563)),0)</f>
        <v>1</v>
      </c>
      <c r="AM563" s="51" t="n">
        <f aca="false">IF(AI563&gt;0,J563/AI563,-1)</f>
        <v>0</v>
      </c>
      <c r="AN563" s="51" t="n">
        <f aca="false">IF(AND(OR(CF563="L1",CF563="L23",CF563="LIFT"),AI563&gt;0),SUMIFS($AI$7:$AI$1843,$CF$7:$CF$1843,CF563,$AM$7:$AM$1843,"&gt;"&amp;AM563)+SUMIFS($AI$7:$AI$1843,$CF$7:$CF$1843,CF563,$AM$7:$AM$1843,AM563,$BW$7:$BW$1843,"&lt;="&amp;BW563),"")</f>
        <v>28399.2900033112</v>
      </c>
      <c r="AO563" s="58" t="n">
        <f aca="false">IF(AN563="",0,MAX(0,MIN(1,(IF(CF563="L1",Parameter!$H$5,IF(CF563="L23",Parameter!$H$6+Parameter!$H$7,Parameter!$H$5+Parameter!$H$6+Parameter!$H$7))-(AN563-AI563))/AI563)))</f>
        <v>1</v>
      </c>
      <c r="AP563" s="50" t="n">
        <f aca="false">IF(LEFT(Cockpit!$I$5,1)="A",H563,IF(Parameter!$E$30="MAX-Bestand",IF(CH563=1,CI563,IF(LEFT(Cockpit!$I$5,1)="B",AV563,MAX(AV563,H563))),ROUNDUP(AT563,0)))</f>
        <v>11</v>
      </c>
      <c r="AQ563" s="50" t="n">
        <f aca="false">IF(BZ563=1,0,ROUNDUP(AP563/BY563,0))</f>
        <v>3</v>
      </c>
      <c r="AR563" s="52" t="n">
        <f aca="false">IF(CQ563&gt;0,CQ563*MAX(1,AP563/X563),IF(BZ563=1,IF(AP563&lt;=0,0,CD563*MAX(1,IF(H563&gt;0,AP563/H563,1))),IF(R563&gt;0,AQ563/R563,0))/MAX(0.1,N(Parameter!$M$21)))</f>
        <v>0.0107142857142857</v>
      </c>
      <c r="AS563" s="50" t="n">
        <f aca="false">AR563*CB563</f>
        <v>1.66071428571429</v>
      </c>
      <c r="AT563" s="51" t="n">
        <f aca="false">IF(LEFT(Cockpit!$I$5,1)="A",H563,IF(CH563=1,(CK563+CI563)/2,IF(LEFT(Cockpit!$I$5,1)="B",(CK563+AV563)/2,MAX((CK563+AV563)/2,H563))))</f>
        <v>11</v>
      </c>
      <c r="AU563" s="50" t="n">
        <f aca="false">AT563*G563</f>
        <v>22</v>
      </c>
      <c r="AV563" s="50" t="n">
        <f aca="false">ROUNDUP(CK563+MAX(CL563,2*(J563/IF(CG563&gt;0,CG563,MAX(0.1,N(Cockpit!$I$6)))-CK563)),0)</f>
        <v>1</v>
      </c>
      <c r="AW563" s="51" t="n">
        <f aca="false">IF(AS563&gt;0,J563/AS563,-1)</f>
        <v>0</v>
      </c>
      <c r="AX563" s="51" t="n">
        <f aca="false">IF(AND(OR(CF563="L1",CF563="L23",CF563="LIFT"),AS563&gt;0),SUMIFS($AS$7:$AS$1843,$CF$7:$CF$1843,CF563,$AW$7:$AW$1843,"&gt;"&amp;AW563)+SUMIFS($AS$7:$AS$1843,$CF$7:$CF$1843,CF563,$AW$7:$AW$1843,AW563,$BW$7:$BW$1843,"&lt;="&amp;BW563),"")</f>
        <v>33752.4386446886</v>
      </c>
      <c r="AY563" s="58" t="n">
        <f aca="false">IF(AX563="",0,MAX(0,MIN(1,(IF(CF563="L1",Parameter!$H$5,IF(CF563="L23",Parameter!$H$6+Parameter!$H$7,Parameter!$H$5+Parameter!$H$6+Parameter!$H$7))-(AX563-AS563))/AS563)))</f>
        <v>1</v>
      </c>
      <c r="AZ563" s="50" t="n">
        <f aca="false">IF(LEFT(Cockpit!$O$5,1)="A",H563,IF(Parameter!$E$30="MAX-Bestand",IF(CH563=1,CI563,IF(LEFT(Cockpit!$O$5,1)="B",BF563,MAX(BF563,H563))),ROUNDUP(BD563,0)))</f>
        <v>1</v>
      </c>
      <c r="BA563" s="50" t="n">
        <f aca="false">IF(BZ563=1,0,ROUNDUP(AZ563/BY563,0))</f>
        <v>1</v>
      </c>
      <c r="BB563" s="52" t="n">
        <f aca="false">IF(CQ563&gt;0,CQ563*MAX(1,AZ563/X563),IF(BZ563=1,IF(AZ563&lt;=0,0,CD563*MAX(1,IF(H563&gt;0,AZ563/H563,1))),IF(R563&gt;0,BA563/R563,0))/MAX(0.1,N(Parameter!$M$21)))</f>
        <v>0.00357142857142857</v>
      </c>
      <c r="BC563" s="50" t="n">
        <f aca="false">BB563*CB563</f>
        <v>0.553571428571429</v>
      </c>
      <c r="BD563" s="51" t="n">
        <f aca="false">IF(LEFT(Cockpit!$O$5,1)="A",H563,IF(CH563=1,(CK563+CI563)/2,IF(LEFT(Cockpit!$O$5,1)="B",(CK563+BF563)/2,MAX((CK563+BF563)/2,H563))))</f>
        <v>0.5</v>
      </c>
      <c r="BE563" s="50" t="n">
        <f aca="false">BD563*G563</f>
        <v>1</v>
      </c>
      <c r="BF563" s="50" t="n">
        <f aca="false">ROUNDUP(CK563+MAX(CL563,2*(J563/IF(CG563&gt;0,CG563,MAX(0.1,N(Cockpit!$O$6)))-CK563)),0)</f>
        <v>1</v>
      </c>
      <c r="BG563" s="51" t="n">
        <f aca="false">IF(BC563&gt;0,J563/BC563,-1)</f>
        <v>0</v>
      </c>
      <c r="BH563" s="51" t="n">
        <f aca="false">IF(AND(OR(CF563="L1",CF563="L23",CF563="LIFT"),BC563&gt;0),SUMIFS($BC$7:$BC$1843,$CF$7:$CF$1843,CF563,$BG$7:$BG$1843,"&gt;"&amp;BG563)+SUMIFS($BC$7:$BC$1843,$CF$7:$CF$1843,CF563,$BG$7:$BG$1843,BG563,$BW$7:$BW$1843,"&lt;="&amp;BW563),"")</f>
        <v>27829.7681986093</v>
      </c>
      <c r="BI563" s="58" t="n">
        <f aca="false">IF(BH563="",0,MAX(0,MIN(1,(IF(CF563="L1",Parameter!$H$5,IF(CF563="L23",Parameter!$H$6+Parameter!$H$7,Parameter!$H$5+Parameter!$H$6+Parameter!$H$7))-(BH563-BC563))/BC563)))</f>
        <v>1</v>
      </c>
      <c r="BJ563" s="48" t="str">
        <f aca="false">IF(AI563&lt;=0,"",IF(CF563="Aussen","Aussenlager",IF(CF563="-","Nicht im Lift",IF(AO563&gt;=1,"Lift",IF(AO563&lt;=0,"Aussenlager","teilweise")))))</f>
        <v>Lift</v>
      </c>
      <c r="BK563" s="48" t="str">
        <f aca="false">IF(AS563&lt;=0,"",IF(CF563="Aussen","Aussenlager",IF(CF563="-","Nicht im Lift",IF(AY563&gt;=1,"Lift",IF(AY563&lt;=0,"Aussenlager","teilweise")))))</f>
        <v>Lift</v>
      </c>
      <c r="BL563" s="48" t="str">
        <f aca="false">IF(BC563&lt;=0,"",IF(CF563="Aussen","Aussenlager",IF(CF563="-","Nicht im Lift",IF(BI563&gt;=1,"Lift",IF(BI563&lt;=0,"Aussenlager","teilweise")))))</f>
        <v>Lift</v>
      </c>
      <c r="BM563" s="48" t="str">
        <f aca="false">IF(A563="","",IF(BV563=1,"Neu; ","")&amp;IF(AND(BV563=0,BQ563&lt;0),"negativer Bestand (Export "&amp;BQ563&amp;"); ","")&amp;IF(J563&lt;=0,"Kein Verbrauch; ","")&amp;IF(CQ563&gt;0,"Lift "&amp;W563&amp;" lt. Liftbericht (Fach "&amp;X563&amp;" Stk); ",IF(CA563=1,"Gebinde geschätzt ("&amp;T563&amp;"); ",IF(BZ563=1,"Lose – Tablare geschätzt; ","")))&amp;IF(H563&gt;AV563,"Überbestand "&amp;ROUND(H563-AV563,0)&amp;" Stk / CHF "&amp;ROUND((H563-AV563)*G563,0)&amp;"; ","")&amp;IF(AND(CH563=1,CI563&lt;CJ563),"MAX &lt; MB+LG; ","")&amp;IF(AND(CP563&gt;0,CO563*10&gt;CP563),"zu hoch für Tablar; ","")&amp;IF(AND(BV563=0,OR(CH563=1,AA563&lt;&gt;"",U563&lt;&gt;"",V563&lt;&gt;"",AB563&lt;&gt;"")),"manuell übersteuert; ","")&amp;IF(AND(BZ563=0,R563=0),"Gebinde unbekannt / Stellmass fehlt; ","")&amp;IF(AND(BZ563=0,N(V563)&lt;=0,N(Q563)&lt;=0),"Menge pro Gebinde fehlt (Ist = 1 Gebinde); ","")&amp;BU563)</f>
        <v>Kein Verbrauch; Überbestand 10 Stk / CHF 20; </v>
      </c>
      <c r="BN563" s="48"/>
      <c r="BO563" s="48"/>
      <c r="BP563" s="55"/>
      <c r="BQ563" s="50" t="n">
        <v>7</v>
      </c>
      <c r="BR563" s="50" t="n">
        <v>4</v>
      </c>
      <c r="BS563" s="49" t="n">
        <v>14</v>
      </c>
      <c r="BT563" s="50" t="n">
        <v>0</v>
      </c>
      <c r="BU563" s="48"/>
      <c r="BV563" s="53" t="n">
        <v>0</v>
      </c>
      <c r="BW563" s="53" t="n">
        <v>563</v>
      </c>
      <c r="BX563" s="48" t="str">
        <f aca="false">IF(U563&lt;&gt;"",UPPER(TRIM(U563)),IF(CA563=1,UPPER(VLOOKUP(T563,Parameter!$I$27:$K$29,2,0)),IF(P563="","LOSE",P563)))</f>
        <v>S21</v>
      </c>
      <c r="BY563" s="50" t="n">
        <f aca="false">IF(BX563="LOSE",1,IF(N(V563)&gt;0,V563,IF(CA563=1,MAX(1,N(VLOOKUP(T563,Parameter!$I$27:$K$29,3,0)),H563,N(N563)),IF(N(Q563)&gt;0,Q563,MAX(1,H563)))))</f>
        <v>4</v>
      </c>
      <c r="BZ563" s="53" t="n">
        <f aca="false">IF(BX563="LOSE",1,0)</f>
        <v>0</v>
      </c>
      <c r="CA563" s="53" t="n">
        <f aca="false">IF(AND(U563="",OR(P563="",P563="LOSE"),T563&lt;&gt;"",N(S563)&lt;=0,ISNUMBER(MATCH(T563,Parameter!$I$27:$I$29,0))),1,0)</f>
        <v>0</v>
      </c>
      <c r="CB563" s="53" t="n">
        <f aca="false">IF(CQ563&gt;0,INDEX(Parameter!$H$5:$H$7,W563)/INDEX(Parameter!$E$5:$E$7,W563),IF(AND(BZ563=0,N(IFERROR(VLOOKUP(BX563,'Gebinde-Kategorie'!$A$5:$N$45,14,0),0))&gt;0),VLOOKUP(BX563,'Gebinde-Kategorie'!$A$5:$N$45,14,0)*10+Parameter!$M$23,Parameter!$M$24))</f>
        <v>155</v>
      </c>
      <c r="CC563" s="48" t="str">
        <f aca="false">IF(AND(Parameter!$B$19="Ja",E563&lt;&gt;"",ISNUMBER(MATCH(E563,Parameter!$I$35:$I$52,0))),VLOOKUP(E563,Parameter!$I$35:$J$52,2,0),IFERROR(VLOOKUP(D563,Parameter!$A$35:$C$64,2,0),"Nein"))</f>
        <v>2+3</v>
      </c>
      <c r="CD563" s="52" t="n">
        <f aca="false">IF(BZ563=0,0,IF(N(S563)&gt;0,S563,IFERROR(VLOOKUP(D563,Parameter!$A$35:$C$64,3,0)+0,0)))</f>
        <v>0</v>
      </c>
      <c r="CE563" s="48" t="n">
        <f aca="false">IF(AA563&lt;&gt;"",AA563,Z563)</f>
        <v>3</v>
      </c>
      <c r="CF563" s="48" t="str">
        <f aca="false">IF(OR(CE563=1,CE563=2,CE563=3),IF(Parameter!$E$27="Ja","LIFT",IF(CE563=1,"L1","L23")),IF(CE563="Aussen","Aussen","-"))</f>
        <v>LIFT</v>
      </c>
      <c r="CG563" s="59" t="n">
        <f aca="false">IF(N(AB563)&gt;0,AB563,0)</f>
        <v>0</v>
      </c>
      <c r="CH563" s="53" t="n">
        <f aca="false">IF(ISNUMBER(AE563),1,0)</f>
        <v>0</v>
      </c>
      <c r="CI563" s="50" t="n">
        <f aca="false">N(AE563)</f>
        <v>0</v>
      </c>
      <c r="CJ563" s="50" t="n">
        <f aca="false">N(M563)+N(N563)</f>
        <v>1</v>
      </c>
      <c r="CK563" s="50" t="n">
        <f aca="false">N(M563)</f>
        <v>0</v>
      </c>
      <c r="CL563" s="50" t="n">
        <f aca="false">N(N563)</f>
        <v>1</v>
      </c>
      <c r="CM563" s="50" t="n">
        <f aca="false">ROUNDUP(H563/BY563,0)</f>
        <v>3</v>
      </c>
      <c r="CN563" s="50" t="n">
        <f aca="false">ROUNDUP(CI563/BY563,0)</f>
        <v>0</v>
      </c>
      <c r="CO563" s="53" t="n">
        <f aca="false">IF(BZ563=1,0,IFERROR(VLOOKUP(BX563,'Gebinde-Kategorie'!$A$5:$N$45,5,0)+0,0))</f>
        <v>8</v>
      </c>
      <c r="CP563" s="53" t="n">
        <f aca="false">IFERROR(IF(OR(CE563=1,CE563=2,CE563=3),N(INDEX(Parameter!$I$5:$I$7,CE563)),0),0)</f>
        <v>0</v>
      </c>
      <c r="CQ563" s="52" t="n">
        <f aca="false">IF(AND(Parameter!$B$21="Ja",ISNUMBER(W563),N(X563)&gt;0),IFERROR(N(INDEX(Parameter!$L$5:$L$7,W563))*INDEX(Parameter!$E$5:$E$7,W563)*X563/SUMIFS($X$7:$X$1843,$W$7:$W$1843,W563),0),0)</f>
        <v>0</v>
      </c>
    </row>
    <row r="564" customFormat="false" ht="15" hidden="false" customHeight="false" outlineLevel="0" collapsed="false">
      <c r="A564" s="48" t="s">
        <v>1205</v>
      </c>
      <c r="B564" s="48" t="s">
        <v>663</v>
      </c>
      <c r="C564" s="48" t="s">
        <v>173</v>
      </c>
      <c r="D564" s="48" t="s">
        <v>193</v>
      </c>
      <c r="E564" s="48" t="s">
        <v>194</v>
      </c>
      <c r="F564" s="48" t="s">
        <v>227</v>
      </c>
      <c r="G564" s="49" t="n">
        <v>0.06</v>
      </c>
      <c r="H564" s="50" t="n">
        <f aca="false">MAX(0,IF(AND(Parameter!$B$21="Ja",ISNUMBER(Y564)),Y564,IF(Parameter!$B$20="Jahresanfang 2025 + Export",BR564+BQ564,BQ564)))</f>
        <v>545</v>
      </c>
      <c r="I564" s="50" t="n">
        <f aca="false">H564*G564</f>
        <v>32.7</v>
      </c>
      <c r="J564" s="50" t="n">
        <f aca="false">BT564*Parameter!$B$18</f>
        <v>382</v>
      </c>
      <c r="K564" s="51" t="n">
        <v>289</v>
      </c>
      <c r="L564" s="52" t="n">
        <v>1.32179930795848</v>
      </c>
      <c r="M564" s="50" t="n">
        <v>22</v>
      </c>
      <c r="N564" s="50" t="n">
        <v>500</v>
      </c>
      <c r="O564" s="53" t="n">
        <v>21</v>
      </c>
      <c r="P564" s="48" t="s">
        <v>311</v>
      </c>
      <c r="Q564" s="50" t="n">
        <v>437</v>
      </c>
      <c r="R564" s="53" t="n">
        <f aca="false">IF(BZ564=1,0,IFERROR(VLOOKUP(BX564,'Gebinde-Kategorie'!$A$5:$N$45,13,0)+0,0))</f>
        <v>26</v>
      </c>
      <c r="S564" s="54"/>
      <c r="T564" s="55"/>
      <c r="U564" s="55"/>
      <c r="V564" s="55"/>
      <c r="W564" s="48"/>
      <c r="X564" s="50"/>
      <c r="Y564" s="50"/>
      <c r="Z564" s="48" t="n">
        <f aca="false">IF(A564="","",IF(AND(Parameter!$B$21="Ja",ISNUMBER(W564)),W564,IF(CC564="2+3",IF(ISNUMBER(SEARCH("grosser Artikel",BU564)),2,IFERROR(VLOOKUP(BX564,Parameter!$F$35:$G$64,2,0),2)),IF(OR(CC564="Nein",CC564=""),"-",CC564))))</f>
        <v>3</v>
      </c>
      <c r="AA564" s="55"/>
      <c r="AB564" s="56"/>
      <c r="AC564" s="50" t="n">
        <f aca="false">AV564</f>
        <v>522</v>
      </c>
      <c r="AD564" s="50" t="n">
        <f aca="false">MAX(AV564,H564)</f>
        <v>545</v>
      </c>
      <c r="AE564" s="57"/>
      <c r="AF564" s="50" t="n">
        <f aca="false">IF(LEFT(Cockpit!$C$5,1)="A",H564,IF(Parameter!$E$30="MAX-Bestand",IF(CH564=1,CI564,IF(LEFT(Cockpit!$C$5,1)="B",AL564,MAX(AL564,H564))),ROUNDUP(AJ564,0)))</f>
        <v>545</v>
      </c>
      <c r="AG564" s="50" t="n">
        <f aca="false">IF(BZ564=1,0,ROUNDUP(AF564/BY564,0))</f>
        <v>2</v>
      </c>
      <c r="AH564" s="52" t="n">
        <f aca="false">IF(CQ564&gt;0,CQ564*MAX(1,AF564/X564),IF(BZ564=1,IF(AF564&lt;=0,0,CD564*MAX(1,IF(H564&gt;0,AF564/H564,1))),IF(R564&gt;0,AG564/R564,0))/MAX(0.1,N(Parameter!$M$21)))</f>
        <v>0.0769230769230769</v>
      </c>
      <c r="AI564" s="50" t="n">
        <f aca="false">AH564*CB564</f>
        <v>11.9230769230769</v>
      </c>
      <c r="AJ564" s="51" t="n">
        <f aca="false">IF(LEFT(Cockpit!$C$5,1)="A",H564,IF(CH564=1,(CK564+CI564)/2,IF(LEFT(Cockpit!$C$5,1)="B",(CK564+AL564)/2,MAX((CK564+AL564)/2,H564))))</f>
        <v>545</v>
      </c>
      <c r="AK564" s="50" t="n">
        <f aca="false">AJ564*G564</f>
        <v>32.7</v>
      </c>
      <c r="AL564" s="50" t="n">
        <f aca="false">ROUNDUP(CK564+MAX(CL564,2*(J564/IF(CG564&gt;0,CG564,MAX(0.1,N(Cockpit!$C$6)))-CK564)),0)</f>
        <v>522</v>
      </c>
      <c r="AM564" s="51" t="n">
        <f aca="false">IF(AI564&gt;0,J564/AI564,-1)</f>
        <v>32.0387096774194</v>
      </c>
      <c r="AN564" s="51" t="n">
        <f aca="false">IF(AND(OR(CF564="L1",CF564="L23",CF564="LIFT"),AI564&gt;0),SUMIFS($AI$7:$AI$1843,$CF$7:$CF$1843,CF564,$AM$7:$AM$1843,"&gt;"&amp;AM564)+SUMIFS($AI$7:$AI$1843,$CF$7:$CF$1843,CF564,$AM$7:$AM$1843,AM564,$BW$7:$BW$1843,"&lt;="&amp;BW564),"")</f>
        <v>1367.10164835165</v>
      </c>
      <c r="AO564" s="58" t="n">
        <f aca="false">IF(AN564="",0,MAX(0,MIN(1,(IF(CF564="L1",Parameter!$H$5,IF(CF564="L23",Parameter!$H$6+Parameter!$H$7,Parameter!$H$5+Parameter!$H$6+Parameter!$H$7))-(AN564-AI564))/AI564)))</f>
        <v>1</v>
      </c>
      <c r="AP564" s="50" t="n">
        <f aca="false">IF(LEFT(Cockpit!$I$5,1)="A",H564,IF(Parameter!$E$30="MAX-Bestand",IF(CH564=1,CI564,IF(LEFT(Cockpit!$I$5,1)="B",AV564,MAX(AV564,H564))),ROUNDUP(AT564,0)))</f>
        <v>545</v>
      </c>
      <c r="AQ564" s="50" t="n">
        <f aca="false">IF(BZ564=1,0,ROUNDUP(AP564/BY564,0))</f>
        <v>2</v>
      </c>
      <c r="AR564" s="52" t="n">
        <f aca="false">IF(CQ564&gt;0,CQ564*MAX(1,AP564/X564),IF(BZ564=1,IF(AP564&lt;=0,0,CD564*MAX(1,IF(H564&gt;0,AP564/H564,1))),IF(R564&gt;0,AQ564/R564,0))/MAX(0.1,N(Parameter!$M$21)))</f>
        <v>0.0769230769230769</v>
      </c>
      <c r="AS564" s="50" t="n">
        <f aca="false">AR564*CB564</f>
        <v>11.9230769230769</v>
      </c>
      <c r="AT564" s="51" t="n">
        <f aca="false">IF(LEFT(Cockpit!$I$5,1)="A",H564,IF(CH564=1,(CK564+CI564)/2,IF(LEFT(Cockpit!$I$5,1)="B",(CK564+AV564)/2,MAX((CK564+AV564)/2,H564))))</f>
        <v>545</v>
      </c>
      <c r="AU564" s="50" t="n">
        <f aca="false">AT564*G564</f>
        <v>32.7</v>
      </c>
      <c r="AV564" s="50" t="n">
        <f aca="false">ROUNDUP(CK564+MAX(CL564,2*(J564/IF(CG564&gt;0,CG564,MAX(0.1,N(Cockpit!$I$6)))-CK564)),0)</f>
        <v>522</v>
      </c>
      <c r="AW564" s="51" t="n">
        <f aca="false">IF(AS564&gt;0,J564/AS564,-1)</f>
        <v>32.0387096774194</v>
      </c>
      <c r="AX564" s="51" t="n">
        <f aca="false">IF(AND(OR(CF564="L1",CF564="L23",CF564="LIFT"),AS564&gt;0),SUMIFS($AS$7:$AS$1843,$CF$7:$CF$1843,CF564,$AW$7:$AW$1843,"&gt;"&amp;AW564)+SUMIFS($AS$7:$AS$1843,$CF$7:$CF$1843,CF564,$AW$7:$AW$1843,AW564,$BW$7:$BW$1843,"&lt;="&amp;BW564),"")</f>
        <v>1760.36767399267</v>
      </c>
      <c r="AY564" s="58" t="n">
        <f aca="false">IF(AX564="",0,MAX(0,MIN(1,(IF(CF564="L1",Parameter!$H$5,IF(CF564="L23",Parameter!$H$6+Parameter!$H$7,Parameter!$H$5+Parameter!$H$6+Parameter!$H$7))-(AX564-AS564))/AS564)))</f>
        <v>1</v>
      </c>
      <c r="AZ564" s="50" t="n">
        <f aca="false">IF(LEFT(Cockpit!$O$5,1)="A",H564,IF(Parameter!$E$30="MAX-Bestand",IF(CH564=1,CI564,IF(LEFT(Cockpit!$O$5,1)="B",BF564,MAX(BF564,H564))),ROUNDUP(BD564,0)))</f>
        <v>272</v>
      </c>
      <c r="BA564" s="50" t="n">
        <f aca="false">IF(BZ564=1,0,ROUNDUP(AZ564/BY564,0))</f>
        <v>1</v>
      </c>
      <c r="BB564" s="52" t="n">
        <f aca="false">IF(CQ564&gt;0,CQ564*MAX(1,AZ564/X564),IF(BZ564=1,IF(AZ564&lt;=0,0,CD564*MAX(1,IF(H564&gt;0,AZ564/H564,1))),IF(R564&gt;0,BA564/R564,0))/MAX(0.1,N(Parameter!$M$21)))</f>
        <v>0.0384615384615385</v>
      </c>
      <c r="BC564" s="50" t="n">
        <f aca="false">BB564*CB564</f>
        <v>5.96153846153846</v>
      </c>
      <c r="BD564" s="51" t="n">
        <f aca="false">IF(LEFT(Cockpit!$O$5,1)="A",H564,IF(CH564=1,(CK564+CI564)/2,IF(LEFT(Cockpit!$O$5,1)="B",(CK564+BF564)/2,MAX((CK564+BF564)/2,H564))))</f>
        <v>272</v>
      </c>
      <c r="BE564" s="50" t="n">
        <f aca="false">BD564*G564</f>
        <v>16.32</v>
      </c>
      <c r="BF564" s="50" t="n">
        <f aca="false">ROUNDUP(CK564+MAX(CL564,2*(J564/IF(CG564&gt;0,CG564,MAX(0.1,N(Cockpit!$O$6)))-CK564)),0)</f>
        <v>522</v>
      </c>
      <c r="BG564" s="51" t="n">
        <f aca="false">IF(BC564&gt;0,J564/BC564,-1)</f>
        <v>64.0774193548387</v>
      </c>
      <c r="BH564" s="51" t="n">
        <f aca="false">IF(AND(OR(CF564="L1",CF564="L23",CF564="LIFT"),BC564&gt;0),SUMIFS($BC$7:$BC$1843,$CF$7:$CF$1843,CF564,$BG$7:$BG$1843,"&gt;"&amp;BG564)+SUMIFS($BC$7:$BC$1843,$CF$7:$CF$1843,CF564,$BG$7:$BG$1843,BG564,$BW$7:$BW$1843,"&lt;="&amp;BW564),"")</f>
        <v>1058.89652014652</v>
      </c>
      <c r="BI564" s="58" t="n">
        <f aca="false">IF(BH564="",0,MAX(0,MIN(1,(IF(CF564="L1",Parameter!$H$5,IF(CF564="L23",Parameter!$H$6+Parameter!$H$7,Parameter!$H$5+Parameter!$H$6+Parameter!$H$7))-(BH564-BC564))/BC564)))</f>
        <v>1</v>
      </c>
      <c r="BJ564" s="48" t="str">
        <f aca="false">IF(AI564&lt;=0,"",IF(CF564="Aussen","Aussenlager",IF(CF564="-","Nicht im Lift",IF(AO564&gt;=1,"Lift",IF(AO564&lt;=0,"Aussenlager","teilweise")))))</f>
        <v>Lift</v>
      </c>
      <c r="BK564" s="48" t="str">
        <f aca="false">IF(AS564&lt;=0,"",IF(CF564="Aussen","Aussenlager",IF(CF564="-","Nicht im Lift",IF(AY564&gt;=1,"Lift",IF(AY564&lt;=0,"Aussenlager","teilweise")))))</f>
        <v>Lift</v>
      </c>
      <c r="BL564" s="48" t="str">
        <f aca="false">IF(BC564&lt;=0,"",IF(CF564="Aussen","Aussenlager",IF(CF564="-","Nicht im Lift",IF(BI564&gt;=1,"Lift",IF(BI564&lt;=0,"Aussenlager","teilweise")))))</f>
        <v>Lift</v>
      </c>
      <c r="BM564" s="48" t="str">
        <f aca="false">IF(A564="","",IF(BV564=1,"Neu; ","")&amp;IF(AND(BV564=0,BQ564&lt;0),"negativer Bestand (Export "&amp;BQ564&amp;"); ","")&amp;IF(J564&lt;=0,"Kein Verbrauch; ","")&amp;IF(CQ564&gt;0,"Lift "&amp;W564&amp;" lt. Liftbericht (Fach "&amp;X564&amp;" Stk); ",IF(CA564=1,"Gebinde geschätzt ("&amp;T564&amp;"); ",IF(BZ564=1,"Lose – Tablare geschätzt; ","")))&amp;IF(H564&gt;AV564,"Überbestand "&amp;ROUND(H564-AV564,0)&amp;" Stk / CHF "&amp;ROUND((H564-AV564)*G564,0)&amp;"; ","")&amp;IF(AND(CH564=1,CI564&lt;CJ564),"MAX &lt; MB+LG; ","")&amp;IF(AND(CP564&gt;0,CO564*10&gt;CP564),"zu hoch für Tablar; ","")&amp;IF(AND(BV564=0,OR(CH564=1,AA564&lt;&gt;"",U564&lt;&gt;"",V564&lt;&gt;"",AB564&lt;&gt;"")),"manuell übersteuert; ","")&amp;IF(AND(BZ564=0,R564=0),"Gebinde unbekannt / Stellmass fehlt; ","")&amp;IF(AND(BZ564=0,N(V564)&lt;=0,N(Q564)&lt;=0),"Menge pro Gebinde fehlt (Ist = 1 Gebinde); ","")&amp;BU564)</f>
        <v>Überbestand 23 Stk / CHF 1; </v>
      </c>
      <c r="BN564" s="48"/>
      <c r="BO564" s="48"/>
      <c r="BP564" s="55"/>
      <c r="BQ564" s="50" t="n">
        <v>233</v>
      </c>
      <c r="BR564" s="50" t="n">
        <v>312</v>
      </c>
      <c r="BS564" s="49" t="n">
        <v>13.98</v>
      </c>
      <c r="BT564" s="50" t="n">
        <v>382</v>
      </c>
      <c r="BU564" s="48"/>
      <c r="BV564" s="53" t="n">
        <v>0</v>
      </c>
      <c r="BW564" s="53" t="n">
        <v>564</v>
      </c>
      <c r="BX564" s="48" t="str">
        <f aca="false">IF(U564&lt;&gt;"",UPPER(TRIM(U564)),IF(CA564=1,UPPER(VLOOKUP(T564,Parameter!$I$27:$K$29,2,0)),IF(P564="","LOSE",P564)))</f>
        <v>S51</v>
      </c>
      <c r="BY564" s="50" t="n">
        <f aca="false">IF(BX564="LOSE",1,IF(N(V564)&gt;0,V564,IF(CA564=1,MAX(1,N(VLOOKUP(T564,Parameter!$I$27:$K$29,3,0)),H564,N(N564)),IF(N(Q564)&gt;0,Q564,MAX(1,H564)))))</f>
        <v>437</v>
      </c>
      <c r="BZ564" s="53" t="n">
        <f aca="false">IF(BX564="LOSE",1,0)</f>
        <v>0</v>
      </c>
      <c r="CA564" s="53" t="n">
        <f aca="false">IF(AND(U564="",OR(P564="",P564="LOSE"),T564&lt;&gt;"",N(S564)&lt;=0,ISNUMBER(MATCH(T564,Parameter!$I$27:$I$29,0))),1,0)</f>
        <v>0</v>
      </c>
      <c r="CB564" s="53" t="n">
        <f aca="false">IF(CQ564&gt;0,INDEX(Parameter!$H$5:$H$7,W564)/INDEX(Parameter!$E$5:$E$7,W564),IF(AND(BZ564=0,N(IFERROR(VLOOKUP(BX564,'Gebinde-Kategorie'!$A$5:$N$45,14,0),0))&gt;0),VLOOKUP(BX564,'Gebinde-Kategorie'!$A$5:$N$45,14,0)*10+Parameter!$M$23,Parameter!$M$24))</f>
        <v>155</v>
      </c>
      <c r="CC564" s="48" t="str">
        <f aca="false">IF(AND(Parameter!$B$19="Ja",E564&lt;&gt;"",ISNUMBER(MATCH(E564,Parameter!$I$35:$I$52,0))),VLOOKUP(E564,Parameter!$I$35:$J$52,2,0),IFERROR(VLOOKUP(D564,Parameter!$A$35:$C$64,2,0),"Nein"))</f>
        <v>2+3</v>
      </c>
      <c r="CD564" s="52" t="n">
        <f aca="false">IF(BZ564=0,0,IF(N(S564)&gt;0,S564,IFERROR(VLOOKUP(D564,Parameter!$A$35:$C$64,3,0)+0,0)))</f>
        <v>0</v>
      </c>
      <c r="CE564" s="48" t="n">
        <f aca="false">IF(AA564&lt;&gt;"",AA564,Z564)</f>
        <v>3</v>
      </c>
      <c r="CF564" s="48" t="str">
        <f aca="false">IF(OR(CE564=1,CE564=2,CE564=3),IF(Parameter!$E$27="Ja","LIFT",IF(CE564=1,"L1","L23")),IF(CE564="Aussen","Aussen","-"))</f>
        <v>LIFT</v>
      </c>
      <c r="CG564" s="59" t="n">
        <f aca="false">IF(N(AB564)&gt;0,AB564,0)</f>
        <v>0</v>
      </c>
      <c r="CH564" s="53" t="n">
        <f aca="false">IF(ISNUMBER(AE564),1,0)</f>
        <v>0</v>
      </c>
      <c r="CI564" s="50" t="n">
        <f aca="false">N(AE564)</f>
        <v>0</v>
      </c>
      <c r="CJ564" s="50" t="n">
        <f aca="false">N(M564)+N(N564)</f>
        <v>522</v>
      </c>
      <c r="CK564" s="50" t="n">
        <f aca="false">N(M564)</f>
        <v>22</v>
      </c>
      <c r="CL564" s="50" t="n">
        <f aca="false">N(N564)</f>
        <v>500</v>
      </c>
      <c r="CM564" s="50" t="n">
        <f aca="false">ROUNDUP(H564/BY564,0)</f>
        <v>2</v>
      </c>
      <c r="CN564" s="50" t="n">
        <f aca="false">ROUNDUP(CI564/BY564,0)</f>
        <v>0</v>
      </c>
      <c r="CO564" s="53" t="n">
        <f aca="false">IF(BZ564=1,0,IFERROR(VLOOKUP(BX564,'Gebinde-Kategorie'!$A$5:$N$45,5,0)+0,0))</f>
        <v>11</v>
      </c>
      <c r="CP564" s="53" t="n">
        <f aca="false">IFERROR(IF(OR(CE564=1,CE564=2,CE564=3),N(INDEX(Parameter!$I$5:$I$7,CE564)),0),0)</f>
        <v>0</v>
      </c>
      <c r="CQ564" s="52" t="n">
        <f aca="false">IF(AND(Parameter!$B$21="Ja",ISNUMBER(W564),N(X564)&gt;0),IFERROR(N(INDEX(Parameter!$L$5:$L$7,W564))*INDEX(Parameter!$E$5:$E$7,W564)*X564/SUMIFS($X$7:$X$1843,$W$7:$W$1843,W564),0),0)</f>
        <v>0</v>
      </c>
    </row>
    <row r="565" customFormat="false" ht="15" hidden="false" customHeight="false" outlineLevel="0" collapsed="false">
      <c r="A565" s="48" t="s">
        <v>1206</v>
      </c>
      <c r="B565" s="48" t="s">
        <v>414</v>
      </c>
      <c r="C565" s="48" t="s">
        <v>173</v>
      </c>
      <c r="D565" s="48" t="s">
        <v>193</v>
      </c>
      <c r="E565" s="48" t="s">
        <v>194</v>
      </c>
      <c r="F565" s="48" t="s">
        <v>227</v>
      </c>
      <c r="G565" s="49" t="n">
        <v>0.06</v>
      </c>
      <c r="H565" s="50" t="n">
        <f aca="false">MAX(0,IF(AND(Parameter!$B$21="Ja",ISNUMBER(Y565)),Y565,IF(Parameter!$B$20="Jahresanfang 2025 + Export",BR565+BQ565,BQ565)))</f>
        <v>375</v>
      </c>
      <c r="I565" s="50" t="n">
        <f aca="false">H565*G565</f>
        <v>22.5</v>
      </c>
      <c r="J565" s="50" t="n">
        <f aca="false">BT565*Parameter!$B$18</f>
        <v>295</v>
      </c>
      <c r="K565" s="51" t="n">
        <v>144.5</v>
      </c>
      <c r="L565" s="52" t="n">
        <v>2.04152249134948</v>
      </c>
      <c r="M565" s="50" t="n">
        <v>17</v>
      </c>
      <c r="N565" s="50" t="n">
        <v>400</v>
      </c>
      <c r="O565" s="53" t="n">
        <v>21</v>
      </c>
      <c r="P565" s="48" t="s">
        <v>430</v>
      </c>
      <c r="Q565" s="50" t="n">
        <v>150</v>
      </c>
      <c r="R565" s="53" t="n">
        <f aca="false">IF(BZ565=1,0,IFERROR(VLOOKUP(BX565,'Gebinde-Kategorie'!$A$5:$N$45,13,0)+0,0))</f>
        <v>104</v>
      </c>
      <c r="S565" s="54"/>
      <c r="T565" s="55"/>
      <c r="U565" s="55"/>
      <c r="V565" s="55"/>
      <c r="W565" s="48"/>
      <c r="X565" s="50"/>
      <c r="Y565" s="50"/>
      <c r="Z565" s="48" t="n">
        <f aca="false">IF(A565="","",IF(AND(Parameter!$B$21="Ja",ISNUMBER(W565)),W565,IF(CC565="2+3",IF(ISNUMBER(SEARCH("grosser Artikel",BU565)),2,IFERROR(VLOOKUP(BX565,Parameter!$F$35:$G$64,2,0),2)),IF(OR(CC565="Nein",CC565=""),"-",CC565))))</f>
        <v>3</v>
      </c>
      <c r="AA565" s="55"/>
      <c r="AB565" s="56"/>
      <c r="AC565" s="50" t="n">
        <f aca="false">AV565</f>
        <v>417</v>
      </c>
      <c r="AD565" s="50" t="n">
        <f aca="false">MAX(AV565,H565)</f>
        <v>417</v>
      </c>
      <c r="AE565" s="57"/>
      <c r="AF565" s="50" t="n">
        <f aca="false">IF(LEFT(Cockpit!$C$5,1)="A",H565,IF(Parameter!$E$30="MAX-Bestand",IF(CH565=1,CI565,IF(LEFT(Cockpit!$C$5,1)="B",AL565,MAX(AL565,H565))),ROUNDUP(AJ565,0)))</f>
        <v>375</v>
      </c>
      <c r="AG565" s="50" t="n">
        <f aca="false">IF(BZ565=1,0,ROUNDUP(AF565/BY565,0))</f>
        <v>3</v>
      </c>
      <c r="AH565" s="52" t="n">
        <f aca="false">IF(CQ565&gt;0,CQ565*MAX(1,AF565/X565),IF(BZ565=1,IF(AF565&lt;=0,0,CD565*MAX(1,IF(H565&gt;0,AF565/H565,1))),IF(R565&gt;0,AG565/R565,0))/MAX(0.1,N(Parameter!$M$21)))</f>
        <v>0.0288461538461538</v>
      </c>
      <c r="AI565" s="50" t="n">
        <f aca="false">AH565*CB565</f>
        <v>4.47115384615385</v>
      </c>
      <c r="AJ565" s="51" t="n">
        <f aca="false">IF(LEFT(Cockpit!$C$5,1)="A",H565,IF(CH565=1,(CK565+CI565)/2,IF(LEFT(Cockpit!$C$5,1)="B",(CK565+AL565)/2,MAX((CK565+AL565)/2,H565))))</f>
        <v>375</v>
      </c>
      <c r="AK565" s="50" t="n">
        <f aca="false">AJ565*G565</f>
        <v>22.5</v>
      </c>
      <c r="AL565" s="50" t="n">
        <f aca="false">ROUNDUP(CK565+MAX(CL565,2*(J565/IF(CG565&gt;0,CG565,MAX(0.1,N(Cockpit!$C$6)))-CK565)),0)</f>
        <v>417</v>
      </c>
      <c r="AM565" s="51" t="n">
        <f aca="false">IF(AI565&gt;0,J565/AI565,-1)</f>
        <v>65.9784946236559</v>
      </c>
      <c r="AN565" s="51" t="n">
        <f aca="false">IF(AND(OR(CF565="L1",CF565="L23",CF565="LIFT"),AI565&gt;0),SUMIFS($AI$7:$AI$1843,$CF$7:$CF$1843,CF565,$AM$7:$AM$1843,"&gt;"&amp;AM565)+SUMIFS($AI$7:$AI$1843,$CF$7:$CF$1843,CF565,$AM$7:$AM$1843,AM565,$BW$7:$BW$1843,"&lt;="&amp;BW565),"")</f>
        <v>922.778846153846</v>
      </c>
      <c r="AO565" s="58" t="n">
        <f aca="false">IF(AN565="",0,MAX(0,MIN(1,(IF(CF565="L1",Parameter!$H$5,IF(CF565="L23",Parameter!$H$6+Parameter!$H$7,Parameter!$H$5+Parameter!$H$6+Parameter!$H$7))-(AN565-AI565))/AI565)))</f>
        <v>1</v>
      </c>
      <c r="AP565" s="50" t="n">
        <f aca="false">IF(LEFT(Cockpit!$I$5,1)="A",H565,IF(Parameter!$E$30="MAX-Bestand",IF(CH565=1,CI565,IF(LEFT(Cockpit!$I$5,1)="B",AV565,MAX(AV565,H565))),ROUNDUP(AT565,0)))</f>
        <v>375</v>
      </c>
      <c r="AQ565" s="50" t="n">
        <f aca="false">IF(BZ565=1,0,ROUNDUP(AP565/BY565,0))</f>
        <v>3</v>
      </c>
      <c r="AR565" s="52" t="n">
        <f aca="false">IF(CQ565&gt;0,CQ565*MAX(1,AP565/X565),IF(BZ565=1,IF(AP565&lt;=0,0,CD565*MAX(1,IF(H565&gt;0,AP565/H565,1))),IF(R565&gt;0,AQ565/R565,0))/MAX(0.1,N(Parameter!$M$21)))</f>
        <v>0.0288461538461538</v>
      </c>
      <c r="AS565" s="50" t="n">
        <f aca="false">AR565*CB565</f>
        <v>4.47115384615385</v>
      </c>
      <c r="AT565" s="51" t="n">
        <f aca="false">IF(LEFT(Cockpit!$I$5,1)="A",H565,IF(CH565=1,(CK565+CI565)/2,IF(LEFT(Cockpit!$I$5,1)="B",(CK565+AV565)/2,MAX((CK565+AV565)/2,H565))))</f>
        <v>375</v>
      </c>
      <c r="AU565" s="50" t="n">
        <f aca="false">AT565*G565</f>
        <v>22.5</v>
      </c>
      <c r="AV565" s="50" t="n">
        <f aca="false">ROUNDUP(CK565+MAX(CL565,2*(J565/IF(CG565&gt;0,CG565,MAX(0.1,N(Cockpit!$I$6)))-CK565)),0)</f>
        <v>417</v>
      </c>
      <c r="AW565" s="51" t="n">
        <f aca="false">IF(AS565&gt;0,J565/AS565,-1)</f>
        <v>65.9784946236559</v>
      </c>
      <c r="AX565" s="51" t="n">
        <f aca="false">IF(AND(OR(CF565="L1",CF565="L23",CF565="LIFT"),AS565&gt;0),SUMIFS($AS$7:$AS$1843,$CF$7:$CF$1843,CF565,$AW$7:$AW$1843,"&gt;"&amp;AW565)+SUMIFS($AS$7:$AS$1843,$CF$7:$CF$1843,CF565,$AW$7:$AW$1843,AW565,$BW$7:$BW$1843,"&lt;="&amp;BW565),"")</f>
        <v>1134.58379120879</v>
      </c>
      <c r="AY565" s="58" t="n">
        <f aca="false">IF(AX565="",0,MAX(0,MIN(1,(IF(CF565="L1",Parameter!$H$5,IF(CF565="L23",Parameter!$H$6+Parameter!$H$7,Parameter!$H$5+Parameter!$H$6+Parameter!$H$7))-(AX565-AS565))/AS565)))</f>
        <v>1</v>
      </c>
      <c r="AZ565" s="50" t="n">
        <f aca="false">IF(LEFT(Cockpit!$O$5,1)="A",H565,IF(Parameter!$E$30="MAX-Bestand",IF(CH565=1,CI565,IF(LEFT(Cockpit!$O$5,1)="B",BF565,MAX(BF565,H565))),ROUNDUP(BD565,0)))</f>
        <v>217</v>
      </c>
      <c r="BA565" s="50" t="n">
        <f aca="false">IF(BZ565=1,0,ROUNDUP(AZ565/BY565,0))</f>
        <v>2</v>
      </c>
      <c r="BB565" s="52" t="n">
        <f aca="false">IF(CQ565&gt;0,CQ565*MAX(1,AZ565/X565),IF(BZ565=1,IF(AZ565&lt;=0,0,CD565*MAX(1,IF(H565&gt;0,AZ565/H565,1))),IF(R565&gt;0,BA565/R565,0))/MAX(0.1,N(Parameter!$M$21)))</f>
        <v>0.0192307692307692</v>
      </c>
      <c r="BC565" s="50" t="n">
        <f aca="false">BB565*CB565</f>
        <v>2.98076923076923</v>
      </c>
      <c r="BD565" s="51" t="n">
        <f aca="false">IF(LEFT(Cockpit!$O$5,1)="A",H565,IF(CH565=1,(CK565+CI565)/2,IF(LEFT(Cockpit!$O$5,1)="B",(CK565+BF565)/2,MAX((CK565+BF565)/2,H565))))</f>
        <v>217</v>
      </c>
      <c r="BE565" s="50" t="n">
        <f aca="false">BD565*G565</f>
        <v>13.02</v>
      </c>
      <c r="BF565" s="50" t="n">
        <f aca="false">ROUNDUP(CK565+MAX(CL565,2*(J565/IF(CG565&gt;0,CG565,MAX(0.1,N(Cockpit!$O$6)))-CK565)),0)</f>
        <v>417</v>
      </c>
      <c r="BG565" s="51" t="n">
        <f aca="false">IF(BC565&gt;0,J565/BC565,-1)</f>
        <v>98.9677419354839</v>
      </c>
      <c r="BH565" s="51" t="n">
        <f aca="false">IF(AND(OR(CF565="L1",CF565="L23",CF565="LIFT"),BC565&gt;0),SUMIFS($BC$7:$BC$1843,$CF$7:$CF$1843,CF565,$BG$7:$BG$1843,"&gt;"&amp;BG565)+SUMIFS($BC$7:$BC$1843,$CF$7:$CF$1843,CF565,$BG$7:$BG$1843,BG565,$BW$7:$BW$1843,"&lt;="&amp;BW565),"")</f>
        <v>911.886446886447</v>
      </c>
      <c r="BI565" s="58" t="n">
        <f aca="false">IF(BH565="",0,MAX(0,MIN(1,(IF(CF565="L1",Parameter!$H$5,IF(CF565="L23",Parameter!$H$6+Parameter!$H$7,Parameter!$H$5+Parameter!$H$6+Parameter!$H$7))-(BH565-BC565))/BC565)))</f>
        <v>1</v>
      </c>
      <c r="BJ565" s="48" t="str">
        <f aca="false">IF(AI565&lt;=0,"",IF(CF565="Aussen","Aussenlager",IF(CF565="-","Nicht im Lift",IF(AO565&gt;=1,"Lift",IF(AO565&lt;=0,"Aussenlager","teilweise")))))</f>
        <v>Lift</v>
      </c>
      <c r="BK565" s="48" t="str">
        <f aca="false">IF(AS565&lt;=0,"",IF(CF565="Aussen","Aussenlager",IF(CF565="-","Nicht im Lift",IF(AY565&gt;=1,"Lift",IF(AY565&lt;=0,"Aussenlager","teilweise")))))</f>
        <v>Lift</v>
      </c>
      <c r="BL565" s="48" t="str">
        <f aca="false">IF(BC565&lt;=0,"",IF(CF565="Aussen","Aussenlager",IF(CF565="-","Nicht im Lift",IF(BI565&gt;=1,"Lift",IF(BI565&lt;=0,"Aussenlager","teilweise")))))</f>
        <v>Lift</v>
      </c>
      <c r="BM565" s="48" t="str">
        <f aca="false">IF(A565="","",IF(BV565=1,"Neu; ","")&amp;IF(AND(BV565=0,BQ565&lt;0),"negativer Bestand (Export "&amp;BQ565&amp;"); ","")&amp;IF(J565&lt;=0,"Kein Verbrauch; ","")&amp;IF(CQ565&gt;0,"Lift "&amp;W565&amp;" lt. Liftbericht (Fach "&amp;X565&amp;" Stk); ",IF(CA565=1,"Gebinde geschätzt ("&amp;T565&amp;"); ",IF(BZ565=1,"Lose – Tablare geschätzt; ","")))&amp;IF(H565&gt;AV565,"Überbestand "&amp;ROUND(H565-AV565,0)&amp;" Stk / CHF "&amp;ROUND((H565-AV565)*G565,0)&amp;"; ","")&amp;IF(AND(CH565=1,CI565&lt;CJ565),"MAX &lt; MB+LG; ","")&amp;IF(AND(CP565&gt;0,CO565*10&gt;CP565),"zu hoch für Tablar; ","")&amp;IF(AND(BV565=0,OR(CH565=1,AA565&lt;&gt;"",U565&lt;&gt;"",V565&lt;&gt;"",AB565&lt;&gt;"")),"manuell übersteuert; ","")&amp;IF(AND(BZ565=0,R565=0),"Gebinde unbekannt / Stellmass fehlt; ","")&amp;IF(AND(BZ565=0,N(V565)&lt;=0,N(Q565)&lt;=0),"Menge pro Gebinde fehlt (Ist = 1 Gebinde); ","")&amp;BU565)</f>
        <v>nicht im KTL vorhanden</v>
      </c>
      <c r="BN565" s="48"/>
      <c r="BO565" s="48"/>
      <c r="BP565" s="55"/>
      <c r="BQ565" s="50" t="n">
        <v>259</v>
      </c>
      <c r="BR565" s="50" t="n">
        <v>116</v>
      </c>
      <c r="BS565" s="49" t="n">
        <v>13.22</v>
      </c>
      <c r="BT565" s="50" t="n">
        <v>295</v>
      </c>
      <c r="BU565" s="48" t="s">
        <v>239</v>
      </c>
      <c r="BV565" s="53" t="n">
        <v>0</v>
      </c>
      <c r="BW565" s="53" t="n">
        <v>565</v>
      </c>
      <c r="BX565" s="48" t="str">
        <f aca="false">IF(U565&lt;&gt;"",UPPER(TRIM(U565)),IF(CA565=1,UPPER(VLOOKUP(T565,Parameter!$I$27:$K$29,2,0)),IF(P565="","LOSE",P565)))</f>
        <v>S32</v>
      </c>
      <c r="BY565" s="50" t="n">
        <f aca="false">IF(BX565="LOSE",1,IF(N(V565)&gt;0,V565,IF(CA565=1,MAX(1,N(VLOOKUP(T565,Parameter!$I$27:$K$29,3,0)),H565,N(N565)),IF(N(Q565)&gt;0,Q565,MAX(1,H565)))))</f>
        <v>150</v>
      </c>
      <c r="BZ565" s="53" t="n">
        <f aca="false">IF(BX565="LOSE",1,0)</f>
        <v>0</v>
      </c>
      <c r="CA565" s="53" t="n">
        <f aca="false">IF(AND(U565="",OR(P565="",P565="LOSE"),T565&lt;&gt;"",N(S565)&lt;=0,ISNUMBER(MATCH(T565,Parameter!$I$27:$I$29,0))),1,0)</f>
        <v>0</v>
      </c>
      <c r="CB565" s="53" t="n">
        <f aca="false">IF(CQ565&gt;0,INDEX(Parameter!$H$5:$H$7,W565)/INDEX(Parameter!$E$5:$E$7,W565),IF(AND(BZ565=0,N(IFERROR(VLOOKUP(BX565,'Gebinde-Kategorie'!$A$5:$N$45,14,0),0))&gt;0),VLOOKUP(BX565,'Gebinde-Kategorie'!$A$5:$N$45,14,0)*10+Parameter!$M$23,Parameter!$M$24))</f>
        <v>155</v>
      </c>
      <c r="CC565" s="48" t="str">
        <f aca="false">IF(AND(Parameter!$B$19="Ja",E565&lt;&gt;"",ISNUMBER(MATCH(E565,Parameter!$I$35:$I$52,0))),VLOOKUP(E565,Parameter!$I$35:$J$52,2,0),IFERROR(VLOOKUP(D565,Parameter!$A$35:$C$64,2,0),"Nein"))</f>
        <v>2+3</v>
      </c>
      <c r="CD565" s="52" t="n">
        <f aca="false">IF(BZ565=0,0,IF(N(S565)&gt;0,S565,IFERROR(VLOOKUP(D565,Parameter!$A$35:$C$64,3,0)+0,0)))</f>
        <v>0</v>
      </c>
      <c r="CE565" s="48" t="n">
        <f aca="false">IF(AA565&lt;&gt;"",AA565,Z565)</f>
        <v>3</v>
      </c>
      <c r="CF565" s="48" t="str">
        <f aca="false">IF(OR(CE565=1,CE565=2,CE565=3),IF(Parameter!$E$27="Ja","LIFT",IF(CE565=1,"L1","L23")),IF(CE565="Aussen","Aussen","-"))</f>
        <v>LIFT</v>
      </c>
      <c r="CG565" s="59" t="n">
        <f aca="false">IF(N(AB565)&gt;0,AB565,0)</f>
        <v>0</v>
      </c>
      <c r="CH565" s="53" t="n">
        <f aca="false">IF(ISNUMBER(AE565),1,0)</f>
        <v>0</v>
      </c>
      <c r="CI565" s="50" t="n">
        <f aca="false">N(AE565)</f>
        <v>0</v>
      </c>
      <c r="CJ565" s="50" t="n">
        <f aca="false">N(M565)+N(N565)</f>
        <v>417</v>
      </c>
      <c r="CK565" s="50" t="n">
        <f aca="false">N(M565)</f>
        <v>17</v>
      </c>
      <c r="CL565" s="50" t="n">
        <f aca="false">N(N565)</f>
        <v>400</v>
      </c>
      <c r="CM565" s="50" t="n">
        <f aca="false">ROUNDUP(H565/BY565,0)</f>
        <v>3</v>
      </c>
      <c r="CN565" s="50" t="n">
        <f aca="false">ROUNDUP(CI565/BY565,0)</f>
        <v>0</v>
      </c>
      <c r="CO565" s="53" t="n">
        <f aca="false">IF(BZ565=1,0,IFERROR(VLOOKUP(BX565,'Gebinde-Kategorie'!$A$5:$N$45,5,0)+0,0))</f>
        <v>8</v>
      </c>
      <c r="CP565" s="53" t="n">
        <f aca="false">IFERROR(IF(OR(CE565=1,CE565=2,CE565=3),N(INDEX(Parameter!$I$5:$I$7,CE565)),0),0)</f>
        <v>0</v>
      </c>
      <c r="CQ565" s="52" t="n">
        <f aca="false">IF(AND(Parameter!$B$21="Ja",ISNUMBER(W565),N(X565)&gt;0),IFERROR(N(INDEX(Parameter!$L$5:$L$7,W565))*INDEX(Parameter!$E$5:$E$7,W565)*X565/SUMIFS($X$7:$X$1843,$W$7:$W$1843,W565),0),0)</f>
        <v>0</v>
      </c>
    </row>
    <row r="566" customFormat="false" ht="15" hidden="false" customHeight="false" outlineLevel="0" collapsed="false">
      <c r="A566" s="48" t="s">
        <v>1207</v>
      </c>
      <c r="B566" s="48" t="s">
        <v>414</v>
      </c>
      <c r="C566" s="48" t="s">
        <v>173</v>
      </c>
      <c r="D566" s="48" t="s">
        <v>193</v>
      </c>
      <c r="E566" s="48" t="s">
        <v>194</v>
      </c>
      <c r="F566" s="48" t="s">
        <v>227</v>
      </c>
      <c r="G566" s="49" t="n">
        <v>0.03</v>
      </c>
      <c r="H566" s="50" t="n">
        <f aca="false">MAX(0,IF(AND(Parameter!$B$21="Ja",ISNUMBER(Y566)),Y566,IF(Parameter!$B$20="Jahresanfang 2025 + Export",BR566+BQ566,BQ566)))</f>
        <v>1021</v>
      </c>
      <c r="I566" s="50" t="n">
        <f aca="false">H566*G566</f>
        <v>30.63</v>
      </c>
      <c r="J566" s="50" t="n">
        <f aca="false">BT566*Parameter!$B$18</f>
        <v>604</v>
      </c>
      <c r="K566" s="51" t="n">
        <v>521.5</v>
      </c>
      <c r="L566" s="52" t="n">
        <v>1.1581975071908</v>
      </c>
      <c r="M566" s="50" t="n">
        <v>35</v>
      </c>
      <c r="N566" s="50" t="n">
        <v>500</v>
      </c>
      <c r="O566" s="53" t="n">
        <v>21</v>
      </c>
      <c r="P566" s="48" t="s">
        <v>430</v>
      </c>
      <c r="Q566" s="50" t="n">
        <v>504</v>
      </c>
      <c r="R566" s="53" t="n">
        <f aca="false">IF(BZ566=1,0,IFERROR(VLOOKUP(BX566,'Gebinde-Kategorie'!$A$5:$N$45,13,0)+0,0))</f>
        <v>104</v>
      </c>
      <c r="S566" s="54"/>
      <c r="T566" s="55"/>
      <c r="U566" s="55"/>
      <c r="V566" s="55"/>
      <c r="W566" s="48"/>
      <c r="X566" s="50"/>
      <c r="Y566" s="50"/>
      <c r="Z566" s="48" t="n">
        <f aca="false">IF(A566="","",IF(AND(Parameter!$B$21="Ja",ISNUMBER(W566)),W566,IF(CC566="2+3",IF(ISNUMBER(SEARCH("grosser Artikel",BU566)),2,IFERROR(VLOOKUP(BX566,Parameter!$F$35:$G$64,2,0),2)),IF(OR(CC566="Nein",CC566=""),"-",CC566))))</f>
        <v>3</v>
      </c>
      <c r="AA566" s="55"/>
      <c r="AB566" s="56"/>
      <c r="AC566" s="50" t="n">
        <f aca="false">AV566</f>
        <v>535</v>
      </c>
      <c r="AD566" s="50" t="n">
        <f aca="false">MAX(AV566,H566)</f>
        <v>1021</v>
      </c>
      <c r="AE566" s="57"/>
      <c r="AF566" s="50" t="n">
        <f aca="false">IF(LEFT(Cockpit!$C$5,1)="A",H566,IF(Parameter!$E$30="MAX-Bestand",IF(CH566=1,CI566,IF(LEFT(Cockpit!$C$5,1)="B",AL566,MAX(AL566,H566))),ROUNDUP(AJ566,0)))</f>
        <v>1021</v>
      </c>
      <c r="AG566" s="50" t="n">
        <f aca="false">IF(BZ566=1,0,ROUNDUP(AF566/BY566,0))</f>
        <v>3</v>
      </c>
      <c r="AH566" s="52" t="n">
        <f aca="false">IF(CQ566&gt;0,CQ566*MAX(1,AF566/X566),IF(BZ566=1,IF(AF566&lt;=0,0,CD566*MAX(1,IF(H566&gt;0,AF566/H566,1))),IF(R566&gt;0,AG566/R566,0))/MAX(0.1,N(Parameter!$M$21)))</f>
        <v>0.0288461538461538</v>
      </c>
      <c r="AI566" s="50" t="n">
        <f aca="false">AH566*CB566</f>
        <v>4.47115384615385</v>
      </c>
      <c r="AJ566" s="51" t="n">
        <f aca="false">IF(LEFT(Cockpit!$C$5,1)="A",H566,IF(CH566=1,(CK566+CI566)/2,IF(LEFT(Cockpit!$C$5,1)="B",(CK566+AL566)/2,MAX((CK566+AL566)/2,H566))))</f>
        <v>1021</v>
      </c>
      <c r="AK566" s="50" t="n">
        <f aca="false">AJ566*G566</f>
        <v>30.63</v>
      </c>
      <c r="AL566" s="50" t="n">
        <f aca="false">ROUNDUP(CK566+MAX(CL566,2*(J566/IF(CG566&gt;0,CG566,MAX(0.1,N(Cockpit!$C$6)))-CK566)),0)</f>
        <v>535</v>
      </c>
      <c r="AM566" s="51" t="n">
        <f aca="false">IF(AI566&gt;0,J566/AI566,-1)</f>
        <v>135.088172043011</v>
      </c>
      <c r="AN566" s="51" t="n">
        <f aca="false">IF(AND(OR(CF566="L1",CF566="L23",CF566="LIFT"),AI566&gt;0),SUMIFS($AI$7:$AI$1843,$CF$7:$CF$1843,CF566,$AM$7:$AM$1843,"&gt;"&amp;AM566)+SUMIFS($AI$7:$AI$1843,$CF$7:$CF$1843,CF566,$AM$7:$AM$1843,AM566,$BW$7:$BW$1843,"&lt;="&amp;BW566),"")</f>
        <v>544.327380952381</v>
      </c>
      <c r="AO566" s="58" t="n">
        <f aca="false">IF(AN566="",0,MAX(0,MIN(1,(IF(CF566="L1",Parameter!$H$5,IF(CF566="L23",Parameter!$H$6+Parameter!$H$7,Parameter!$H$5+Parameter!$H$6+Parameter!$H$7))-(AN566-AI566))/AI566)))</f>
        <v>1</v>
      </c>
      <c r="AP566" s="50" t="n">
        <f aca="false">IF(LEFT(Cockpit!$I$5,1)="A",H566,IF(Parameter!$E$30="MAX-Bestand",IF(CH566=1,CI566,IF(LEFT(Cockpit!$I$5,1)="B",AV566,MAX(AV566,H566))),ROUNDUP(AT566,0)))</f>
        <v>1021</v>
      </c>
      <c r="AQ566" s="50" t="n">
        <f aca="false">IF(BZ566=1,0,ROUNDUP(AP566/BY566,0))</f>
        <v>3</v>
      </c>
      <c r="AR566" s="52" t="n">
        <f aca="false">IF(CQ566&gt;0,CQ566*MAX(1,AP566/X566),IF(BZ566=1,IF(AP566&lt;=0,0,CD566*MAX(1,IF(H566&gt;0,AP566/H566,1))),IF(R566&gt;0,AQ566/R566,0))/MAX(0.1,N(Parameter!$M$21)))</f>
        <v>0.0288461538461538</v>
      </c>
      <c r="AS566" s="50" t="n">
        <f aca="false">AR566*CB566</f>
        <v>4.47115384615385</v>
      </c>
      <c r="AT566" s="51" t="n">
        <f aca="false">IF(LEFT(Cockpit!$I$5,1)="A",H566,IF(CH566=1,(CK566+CI566)/2,IF(LEFT(Cockpit!$I$5,1)="B",(CK566+AV566)/2,MAX((CK566+AV566)/2,H566))))</f>
        <v>1021</v>
      </c>
      <c r="AU566" s="50" t="n">
        <f aca="false">AT566*G566</f>
        <v>30.63</v>
      </c>
      <c r="AV566" s="50" t="n">
        <f aca="false">ROUNDUP(CK566+MAX(CL566,2*(J566/IF(CG566&gt;0,CG566,MAX(0.1,N(Cockpit!$I$6)))-CK566)),0)</f>
        <v>535</v>
      </c>
      <c r="AW566" s="51" t="n">
        <f aca="false">IF(AS566&gt;0,J566/AS566,-1)</f>
        <v>135.088172043011</v>
      </c>
      <c r="AX566" s="51" t="n">
        <f aca="false">IF(AND(OR(CF566="L1",CF566="L23",CF566="LIFT"),AS566&gt;0),SUMIFS($AS$7:$AS$1843,$CF$7:$CF$1843,CF566,$AW$7:$AW$1843,"&gt;"&amp;AW566)+SUMIFS($AS$7:$AS$1843,$CF$7:$CF$1843,CF566,$AW$7:$AW$1843,AW566,$BW$7:$BW$1843,"&lt;="&amp;BW566),"")</f>
        <v>661.964285714286</v>
      </c>
      <c r="AY566" s="58" t="n">
        <f aca="false">IF(AX566="",0,MAX(0,MIN(1,(IF(CF566="L1",Parameter!$H$5,IF(CF566="L23",Parameter!$H$6+Parameter!$H$7,Parameter!$H$5+Parameter!$H$6+Parameter!$H$7))-(AX566-AS566))/AS566)))</f>
        <v>1</v>
      </c>
      <c r="AZ566" s="50" t="n">
        <f aca="false">IF(LEFT(Cockpit!$O$5,1)="A",H566,IF(Parameter!$E$30="MAX-Bestand",IF(CH566=1,CI566,IF(LEFT(Cockpit!$O$5,1)="B",BF566,MAX(BF566,H566))),ROUNDUP(BD566,0)))</f>
        <v>285</v>
      </c>
      <c r="BA566" s="50" t="n">
        <f aca="false">IF(BZ566=1,0,ROUNDUP(AZ566/BY566,0))</f>
        <v>1</v>
      </c>
      <c r="BB566" s="52" t="n">
        <f aca="false">IF(CQ566&gt;0,CQ566*MAX(1,AZ566/X566),IF(BZ566=1,IF(AZ566&lt;=0,0,CD566*MAX(1,IF(H566&gt;0,AZ566/H566,1))),IF(R566&gt;0,BA566/R566,0))/MAX(0.1,N(Parameter!$M$21)))</f>
        <v>0.00961538461538462</v>
      </c>
      <c r="BC566" s="50" t="n">
        <f aca="false">BB566*CB566</f>
        <v>1.49038461538462</v>
      </c>
      <c r="BD566" s="51" t="n">
        <f aca="false">IF(LEFT(Cockpit!$O$5,1)="A",H566,IF(CH566=1,(CK566+CI566)/2,IF(LEFT(Cockpit!$O$5,1)="B",(CK566+BF566)/2,MAX((CK566+BF566)/2,H566))))</f>
        <v>285</v>
      </c>
      <c r="BE566" s="50" t="n">
        <f aca="false">BD566*G566</f>
        <v>8.55</v>
      </c>
      <c r="BF566" s="50" t="n">
        <f aca="false">ROUNDUP(CK566+MAX(CL566,2*(J566/IF(CG566&gt;0,CG566,MAX(0.1,N(Cockpit!$O$6)))-CK566)),0)</f>
        <v>535</v>
      </c>
      <c r="BG566" s="51" t="n">
        <f aca="false">IF(BC566&gt;0,J566/BC566,-1)</f>
        <v>405.264516129032</v>
      </c>
      <c r="BH566" s="51" t="n">
        <f aca="false">IF(AND(OR(CF566="L1",CF566="L23",CF566="LIFT"),BC566&gt;0),SUMIFS($BC$7:$BC$1843,$CF$7:$CF$1843,CF566,$BG$7:$BG$1843,"&gt;"&amp;BG566)+SUMIFS($BC$7:$BC$1843,$CF$7:$CF$1843,CF566,$BG$7:$BG$1843,BG566,$BW$7:$BW$1843,"&lt;="&amp;BW566),"")</f>
        <v>180.421703296703</v>
      </c>
      <c r="BI566" s="58" t="n">
        <f aca="false">IF(BH566="",0,MAX(0,MIN(1,(IF(CF566="L1",Parameter!$H$5,IF(CF566="L23",Parameter!$H$6+Parameter!$H$7,Parameter!$H$5+Parameter!$H$6+Parameter!$H$7))-(BH566-BC566))/BC566)))</f>
        <v>1</v>
      </c>
      <c r="BJ566" s="48" t="str">
        <f aca="false">IF(AI566&lt;=0,"",IF(CF566="Aussen","Aussenlager",IF(CF566="-","Nicht im Lift",IF(AO566&gt;=1,"Lift",IF(AO566&lt;=0,"Aussenlager","teilweise")))))</f>
        <v>Lift</v>
      </c>
      <c r="BK566" s="48" t="str">
        <f aca="false">IF(AS566&lt;=0,"",IF(CF566="Aussen","Aussenlager",IF(CF566="-","Nicht im Lift",IF(AY566&gt;=1,"Lift",IF(AY566&lt;=0,"Aussenlager","teilweise")))))</f>
        <v>Lift</v>
      </c>
      <c r="BL566" s="48" t="str">
        <f aca="false">IF(BC566&lt;=0,"",IF(CF566="Aussen","Aussenlager",IF(CF566="-","Nicht im Lift",IF(BI566&gt;=1,"Lift",IF(BI566&lt;=0,"Aussenlager","teilweise")))))</f>
        <v>Lift</v>
      </c>
      <c r="BM566" s="48" t="str">
        <f aca="false">IF(A566="","",IF(BV566=1,"Neu; ","")&amp;IF(AND(BV566=0,BQ566&lt;0),"negativer Bestand (Export "&amp;BQ566&amp;"); ","")&amp;IF(J566&lt;=0,"Kein Verbrauch; ","")&amp;IF(CQ566&gt;0,"Lift "&amp;W566&amp;" lt. Liftbericht (Fach "&amp;X566&amp;" Stk); ",IF(CA566=1,"Gebinde geschätzt ("&amp;T566&amp;"); ",IF(BZ566=1,"Lose – Tablare geschätzt; ","")))&amp;IF(H566&gt;AV566,"Überbestand "&amp;ROUND(H566-AV566,0)&amp;" Stk / CHF "&amp;ROUND((H566-AV566)*G566,0)&amp;"; ","")&amp;IF(AND(CH566=1,CI566&lt;CJ566),"MAX &lt; MB+LG; ","")&amp;IF(AND(CP566&gt;0,CO566*10&gt;CP566),"zu hoch für Tablar; ","")&amp;IF(AND(BV566=0,OR(CH566=1,AA566&lt;&gt;"",U566&lt;&gt;"",V566&lt;&gt;"",AB566&lt;&gt;"")),"manuell übersteuert; ","")&amp;IF(AND(BZ566=0,R566=0),"Gebinde unbekannt / Stellmass fehlt; ","")&amp;IF(AND(BZ566=0,N(V566)&lt;=0,N(Q566)&lt;=0),"Menge pro Gebinde fehlt (Ist = 1 Gebinde); ","")&amp;BU566)</f>
        <v>Überbestand 486 Stk / CHF 15; </v>
      </c>
      <c r="BN566" s="48"/>
      <c r="BO566" s="48"/>
      <c r="BP566" s="55"/>
      <c r="BQ566" s="50" t="n">
        <v>439</v>
      </c>
      <c r="BR566" s="50" t="n">
        <v>582</v>
      </c>
      <c r="BS566" s="49" t="n">
        <v>13.17</v>
      </c>
      <c r="BT566" s="50" t="n">
        <v>604</v>
      </c>
      <c r="BU566" s="48"/>
      <c r="BV566" s="53" t="n">
        <v>0</v>
      </c>
      <c r="BW566" s="53" t="n">
        <v>566</v>
      </c>
      <c r="BX566" s="48" t="str">
        <f aca="false">IF(U566&lt;&gt;"",UPPER(TRIM(U566)),IF(CA566=1,UPPER(VLOOKUP(T566,Parameter!$I$27:$K$29,2,0)),IF(P566="","LOSE",P566)))</f>
        <v>S32</v>
      </c>
      <c r="BY566" s="50" t="n">
        <f aca="false">IF(BX566="LOSE",1,IF(N(V566)&gt;0,V566,IF(CA566=1,MAX(1,N(VLOOKUP(T566,Parameter!$I$27:$K$29,3,0)),H566,N(N566)),IF(N(Q566)&gt;0,Q566,MAX(1,H566)))))</f>
        <v>504</v>
      </c>
      <c r="BZ566" s="53" t="n">
        <f aca="false">IF(BX566="LOSE",1,0)</f>
        <v>0</v>
      </c>
      <c r="CA566" s="53" t="n">
        <f aca="false">IF(AND(U566="",OR(P566="",P566="LOSE"),T566&lt;&gt;"",N(S566)&lt;=0,ISNUMBER(MATCH(T566,Parameter!$I$27:$I$29,0))),1,0)</f>
        <v>0</v>
      </c>
      <c r="CB566" s="53" t="n">
        <f aca="false">IF(CQ566&gt;0,INDEX(Parameter!$H$5:$H$7,W566)/INDEX(Parameter!$E$5:$E$7,W566),IF(AND(BZ566=0,N(IFERROR(VLOOKUP(BX566,'Gebinde-Kategorie'!$A$5:$N$45,14,0),0))&gt;0),VLOOKUP(BX566,'Gebinde-Kategorie'!$A$5:$N$45,14,0)*10+Parameter!$M$23,Parameter!$M$24))</f>
        <v>155</v>
      </c>
      <c r="CC566" s="48" t="str">
        <f aca="false">IF(AND(Parameter!$B$19="Ja",E566&lt;&gt;"",ISNUMBER(MATCH(E566,Parameter!$I$35:$I$52,0))),VLOOKUP(E566,Parameter!$I$35:$J$52,2,0),IFERROR(VLOOKUP(D566,Parameter!$A$35:$C$64,2,0),"Nein"))</f>
        <v>2+3</v>
      </c>
      <c r="CD566" s="52" t="n">
        <f aca="false">IF(BZ566=0,0,IF(N(S566)&gt;0,S566,IFERROR(VLOOKUP(D566,Parameter!$A$35:$C$64,3,0)+0,0)))</f>
        <v>0</v>
      </c>
      <c r="CE566" s="48" t="n">
        <f aca="false">IF(AA566&lt;&gt;"",AA566,Z566)</f>
        <v>3</v>
      </c>
      <c r="CF566" s="48" t="str">
        <f aca="false">IF(OR(CE566=1,CE566=2,CE566=3),IF(Parameter!$E$27="Ja","LIFT",IF(CE566=1,"L1","L23")),IF(CE566="Aussen","Aussen","-"))</f>
        <v>LIFT</v>
      </c>
      <c r="CG566" s="59" t="n">
        <f aca="false">IF(N(AB566)&gt;0,AB566,0)</f>
        <v>0</v>
      </c>
      <c r="CH566" s="53" t="n">
        <f aca="false">IF(ISNUMBER(AE566),1,0)</f>
        <v>0</v>
      </c>
      <c r="CI566" s="50" t="n">
        <f aca="false">N(AE566)</f>
        <v>0</v>
      </c>
      <c r="CJ566" s="50" t="n">
        <f aca="false">N(M566)+N(N566)</f>
        <v>535</v>
      </c>
      <c r="CK566" s="50" t="n">
        <f aca="false">N(M566)</f>
        <v>35</v>
      </c>
      <c r="CL566" s="50" t="n">
        <f aca="false">N(N566)</f>
        <v>500</v>
      </c>
      <c r="CM566" s="50" t="n">
        <f aca="false">ROUNDUP(H566/BY566,0)</f>
        <v>3</v>
      </c>
      <c r="CN566" s="50" t="n">
        <f aca="false">ROUNDUP(CI566/BY566,0)</f>
        <v>0</v>
      </c>
      <c r="CO566" s="53" t="n">
        <f aca="false">IF(BZ566=1,0,IFERROR(VLOOKUP(BX566,'Gebinde-Kategorie'!$A$5:$N$45,5,0)+0,0))</f>
        <v>8</v>
      </c>
      <c r="CP566" s="53" t="n">
        <f aca="false">IFERROR(IF(OR(CE566=1,CE566=2,CE566=3),N(INDEX(Parameter!$I$5:$I$7,CE566)),0),0)</f>
        <v>0</v>
      </c>
      <c r="CQ566" s="52" t="n">
        <f aca="false">IF(AND(Parameter!$B$21="Ja",ISNUMBER(W566),N(X566)&gt;0),IFERROR(N(INDEX(Parameter!$L$5:$L$7,W566))*INDEX(Parameter!$E$5:$E$7,W566)*X566/SUMIFS($X$7:$X$1843,$W$7:$W$1843,W566),0),0)</f>
        <v>0</v>
      </c>
    </row>
    <row r="567" customFormat="false" ht="15" hidden="false" customHeight="false" outlineLevel="0" collapsed="false">
      <c r="A567" s="48" t="s">
        <v>1208</v>
      </c>
      <c r="B567" s="48" t="s">
        <v>958</v>
      </c>
      <c r="C567" s="48" t="s">
        <v>173</v>
      </c>
      <c r="D567" s="48" t="s">
        <v>193</v>
      </c>
      <c r="E567" s="48" t="s">
        <v>194</v>
      </c>
      <c r="F567" s="48" t="s">
        <v>227</v>
      </c>
      <c r="G567" s="49" t="n">
        <v>3.84</v>
      </c>
      <c r="H567" s="50" t="n">
        <f aca="false">MAX(0,IF(AND(Parameter!$B$21="Ja",ISNUMBER(Y567)),Y567,IF(Parameter!$B$20="Jahresanfang 2025 + Export",BR567+BQ567,BQ567)))</f>
        <v>205</v>
      </c>
      <c r="I567" s="50" t="n">
        <f aca="false">H567*G567</f>
        <v>787.2</v>
      </c>
      <c r="J567" s="50" t="n">
        <f aca="false">BT567*Parameter!$B$18</f>
        <v>106</v>
      </c>
      <c r="K567" s="51" t="n">
        <v>140.5</v>
      </c>
      <c r="L567" s="52" t="n">
        <v>0.754448398576513</v>
      </c>
      <c r="M567" s="50" t="n">
        <v>16</v>
      </c>
      <c r="N567" s="50" t="n">
        <v>105</v>
      </c>
      <c r="O567" s="53" t="n">
        <v>56</v>
      </c>
      <c r="P567" s="48" t="s">
        <v>430</v>
      </c>
      <c r="Q567" s="50" t="n">
        <v>88</v>
      </c>
      <c r="R567" s="53" t="n">
        <f aca="false">IF(BZ567=1,0,IFERROR(VLOOKUP(BX567,'Gebinde-Kategorie'!$A$5:$N$45,13,0)+0,0))</f>
        <v>104</v>
      </c>
      <c r="S567" s="54"/>
      <c r="T567" s="55"/>
      <c r="U567" s="55"/>
      <c r="V567" s="55"/>
      <c r="W567" s="48"/>
      <c r="X567" s="50"/>
      <c r="Y567" s="50"/>
      <c r="Z567" s="48" t="n">
        <f aca="false">IF(A567="","",IF(AND(Parameter!$B$21="Ja",ISNUMBER(W567)),W567,IF(CC567="2+3",IF(ISNUMBER(SEARCH("grosser Artikel",BU567)),2,IFERROR(VLOOKUP(BX567,Parameter!$F$35:$G$64,2,0),2)),IF(OR(CC567="Nein",CC567=""),"-",CC567))))</f>
        <v>3</v>
      </c>
      <c r="AA567" s="55"/>
      <c r="AB567" s="56"/>
      <c r="AC567" s="50" t="n">
        <f aca="false">AV567</f>
        <v>121</v>
      </c>
      <c r="AD567" s="50" t="n">
        <f aca="false">MAX(AV567,H567)</f>
        <v>205</v>
      </c>
      <c r="AE567" s="57"/>
      <c r="AF567" s="50" t="n">
        <f aca="false">IF(LEFT(Cockpit!$C$5,1)="A",H567,IF(Parameter!$E$30="MAX-Bestand",IF(CH567=1,CI567,IF(LEFT(Cockpit!$C$5,1)="B",AL567,MAX(AL567,H567))),ROUNDUP(AJ567,0)))</f>
        <v>205</v>
      </c>
      <c r="AG567" s="50" t="n">
        <f aca="false">IF(BZ567=1,0,ROUNDUP(AF567/BY567,0))</f>
        <v>3</v>
      </c>
      <c r="AH567" s="52" t="n">
        <f aca="false">IF(CQ567&gt;0,CQ567*MAX(1,AF567/X567),IF(BZ567=1,IF(AF567&lt;=0,0,CD567*MAX(1,IF(H567&gt;0,AF567/H567,1))),IF(R567&gt;0,AG567/R567,0))/MAX(0.1,N(Parameter!$M$21)))</f>
        <v>0.0288461538461538</v>
      </c>
      <c r="AI567" s="50" t="n">
        <f aca="false">AH567*CB567</f>
        <v>4.47115384615385</v>
      </c>
      <c r="AJ567" s="51" t="n">
        <f aca="false">IF(LEFT(Cockpit!$C$5,1)="A",H567,IF(CH567=1,(CK567+CI567)/2,IF(LEFT(Cockpit!$C$5,1)="B",(CK567+AL567)/2,MAX((CK567+AL567)/2,H567))))</f>
        <v>205</v>
      </c>
      <c r="AK567" s="50" t="n">
        <f aca="false">AJ567*G567</f>
        <v>787.2</v>
      </c>
      <c r="AL567" s="50" t="n">
        <f aca="false">ROUNDUP(CK567+MAX(CL567,2*(J567/IF(CG567&gt;0,CG567,MAX(0.1,N(Cockpit!$C$6)))-CK567)),0)</f>
        <v>121</v>
      </c>
      <c r="AM567" s="51" t="n">
        <f aca="false">IF(AI567&gt;0,J567/AI567,-1)</f>
        <v>23.7075268817204</v>
      </c>
      <c r="AN567" s="51" t="n">
        <f aca="false">IF(AND(OR(CF567="L1",CF567="L23",CF567="LIFT"),AI567&gt;0),SUMIFS($AI$7:$AI$1843,$CF$7:$CF$1843,CF567,$AM$7:$AM$1843,"&gt;"&amp;AM567)+SUMIFS($AI$7:$AI$1843,$CF$7:$CF$1843,CF567,$AM$7:$AM$1843,AM567,$BW$7:$BW$1843,"&lt;="&amp;BW567),"")</f>
        <v>1563.97344322344</v>
      </c>
      <c r="AO567" s="58" t="n">
        <f aca="false">IF(AN567="",0,MAX(0,MIN(1,(IF(CF567="L1",Parameter!$H$5,IF(CF567="L23",Parameter!$H$6+Parameter!$H$7,Parameter!$H$5+Parameter!$H$6+Parameter!$H$7))-(AN567-AI567))/AI567)))</f>
        <v>1</v>
      </c>
      <c r="AP567" s="50" t="n">
        <f aca="false">IF(LEFT(Cockpit!$I$5,1)="A",H567,IF(Parameter!$E$30="MAX-Bestand",IF(CH567=1,CI567,IF(LEFT(Cockpit!$I$5,1)="B",AV567,MAX(AV567,H567))),ROUNDUP(AT567,0)))</f>
        <v>205</v>
      </c>
      <c r="AQ567" s="50" t="n">
        <f aca="false">IF(BZ567=1,0,ROUNDUP(AP567/BY567,0))</f>
        <v>3</v>
      </c>
      <c r="AR567" s="52" t="n">
        <f aca="false">IF(CQ567&gt;0,CQ567*MAX(1,AP567/X567),IF(BZ567=1,IF(AP567&lt;=0,0,CD567*MAX(1,IF(H567&gt;0,AP567/H567,1))),IF(R567&gt;0,AQ567/R567,0))/MAX(0.1,N(Parameter!$M$21)))</f>
        <v>0.0288461538461538</v>
      </c>
      <c r="AS567" s="50" t="n">
        <f aca="false">AR567*CB567</f>
        <v>4.47115384615385</v>
      </c>
      <c r="AT567" s="51" t="n">
        <f aca="false">IF(LEFT(Cockpit!$I$5,1)="A",H567,IF(CH567=1,(CK567+CI567)/2,IF(LEFT(Cockpit!$I$5,1)="B",(CK567+AV567)/2,MAX((CK567+AV567)/2,H567))))</f>
        <v>205</v>
      </c>
      <c r="AU567" s="50" t="n">
        <f aca="false">AT567*G567</f>
        <v>787.2</v>
      </c>
      <c r="AV567" s="50" t="n">
        <f aca="false">ROUNDUP(CK567+MAX(CL567,2*(J567/IF(CG567&gt;0,CG567,MAX(0.1,N(Cockpit!$I$6)))-CK567)),0)</f>
        <v>121</v>
      </c>
      <c r="AW567" s="51" t="n">
        <f aca="false">IF(AS567&gt;0,J567/AS567,-1)</f>
        <v>23.7075268817204</v>
      </c>
      <c r="AX567" s="51" t="n">
        <f aca="false">IF(AND(OR(CF567="L1",CF567="L23",CF567="LIFT"),AS567&gt;0),SUMIFS($AS$7:$AS$1843,$CF$7:$CF$1843,CF567,$AW$7:$AW$1843,"&gt;"&amp;AW567)+SUMIFS($AS$7:$AS$1843,$CF$7:$CF$1843,CF567,$AW$7:$AW$1843,AW567,$BW$7:$BW$1843,"&lt;="&amp;BW567),"")</f>
        <v>2189.81227106227</v>
      </c>
      <c r="AY567" s="58" t="n">
        <f aca="false">IF(AX567="",0,MAX(0,MIN(1,(IF(CF567="L1",Parameter!$H$5,IF(CF567="L23",Parameter!$H$6+Parameter!$H$7,Parameter!$H$5+Parameter!$H$6+Parameter!$H$7))-(AX567-AS567))/AS567)))</f>
        <v>1</v>
      </c>
      <c r="AZ567" s="50" t="n">
        <f aca="false">IF(LEFT(Cockpit!$O$5,1)="A",H567,IF(Parameter!$E$30="MAX-Bestand",IF(CH567=1,CI567,IF(LEFT(Cockpit!$O$5,1)="B",BF567,MAX(BF567,H567))),ROUNDUP(BD567,0)))</f>
        <v>69</v>
      </c>
      <c r="BA567" s="50" t="n">
        <f aca="false">IF(BZ567=1,0,ROUNDUP(AZ567/BY567,0))</f>
        <v>1</v>
      </c>
      <c r="BB567" s="52" t="n">
        <f aca="false">IF(CQ567&gt;0,CQ567*MAX(1,AZ567/X567),IF(BZ567=1,IF(AZ567&lt;=0,0,CD567*MAX(1,IF(H567&gt;0,AZ567/H567,1))),IF(R567&gt;0,BA567/R567,0))/MAX(0.1,N(Parameter!$M$21)))</f>
        <v>0.00961538461538462</v>
      </c>
      <c r="BC567" s="50" t="n">
        <f aca="false">BB567*CB567</f>
        <v>1.49038461538462</v>
      </c>
      <c r="BD567" s="51" t="n">
        <f aca="false">IF(LEFT(Cockpit!$O$5,1)="A",H567,IF(CH567=1,(CK567+CI567)/2,IF(LEFT(Cockpit!$O$5,1)="B",(CK567+BF567)/2,MAX((CK567+BF567)/2,H567))))</f>
        <v>68.5</v>
      </c>
      <c r="BE567" s="50" t="n">
        <f aca="false">BD567*G567</f>
        <v>263.04</v>
      </c>
      <c r="BF567" s="50" t="n">
        <f aca="false">ROUNDUP(CK567+MAX(CL567,2*(J567/IF(CG567&gt;0,CG567,MAX(0.1,N(Cockpit!$O$6)))-CK567)),0)</f>
        <v>121</v>
      </c>
      <c r="BG567" s="51" t="n">
        <f aca="false">IF(BC567&gt;0,J567/BC567,-1)</f>
        <v>71.1225806451613</v>
      </c>
      <c r="BH567" s="51" t="n">
        <f aca="false">IF(AND(OR(CF567="L1",CF567="L23",CF567="LIFT"),BC567&gt;0),SUMIFS($BC$7:$BC$1843,$CF$7:$CF$1843,CF567,$BG$7:$BG$1843,"&gt;"&amp;BG567)+SUMIFS($BC$7:$BC$1843,$CF$7:$CF$1843,CF567,$BG$7:$BG$1843,BG567,$BW$7:$BW$1843,"&lt;="&amp;BW567),"")</f>
        <v>1018.48580586081</v>
      </c>
      <c r="BI567" s="58" t="n">
        <f aca="false">IF(BH567="",0,MAX(0,MIN(1,(IF(CF567="L1",Parameter!$H$5,IF(CF567="L23",Parameter!$H$6+Parameter!$H$7,Parameter!$H$5+Parameter!$H$6+Parameter!$H$7))-(BH567-BC567))/BC567)))</f>
        <v>1</v>
      </c>
      <c r="BJ567" s="48" t="str">
        <f aca="false">IF(AI567&lt;=0,"",IF(CF567="Aussen","Aussenlager",IF(CF567="-","Nicht im Lift",IF(AO567&gt;=1,"Lift",IF(AO567&lt;=0,"Aussenlager","teilweise")))))</f>
        <v>Lift</v>
      </c>
      <c r="BK567" s="48" t="str">
        <f aca="false">IF(AS567&lt;=0,"",IF(CF567="Aussen","Aussenlager",IF(CF567="-","Nicht im Lift",IF(AY567&gt;=1,"Lift",IF(AY567&lt;=0,"Aussenlager","teilweise")))))</f>
        <v>Lift</v>
      </c>
      <c r="BL567" s="48" t="str">
        <f aca="false">IF(BC567&lt;=0,"",IF(CF567="Aussen","Aussenlager",IF(CF567="-","Nicht im Lift",IF(BI567&gt;=1,"Lift",IF(BI567&lt;=0,"Aussenlager","teilweise")))))</f>
        <v>Lift</v>
      </c>
      <c r="BM567" s="48" t="str">
        <f aca="false">IF(A567="","",IF(BV567=1,"Neu; ","")&amp;IF(AND(BV567=0,BQ567&lt;0),"negativer Bestand (Export "&amp;BQ567&amp;"); ","")&amp;IF(J567&lt;=0,"Kein Verbrauch; ","")&amp;IF(CQ567&gt;0,"Lift "&amp;W567&amp;" lt. Liftbericht (Fach "&amp;X567&amp;" Stk); ",IF(CA567=1,"Gebinde geschätzt ("&amp;T567&amp;"); ",IF(BZ567=1,"Lose – Tablare geschätzt; ","")))&amp;IF(H567&gt;AV567,"Überbestand "&amp;ROUND(H567-AV567,0)&amp;" Stk / CHF "&amp;ROUND((H567-AV567)*G567,0)&amp;"; ","")&amp;IF(AND(CH567=1,CI567&lt;CJ567),"MAX &lt; MB+LG; ","")&amp;IF(AND(CP567&gt;0,CO567*10&gt;CP567),"zu hoch für Tablar; ","")&amp;IF(AND(BV567=0,OR(CH567=1,AA567&lt;&gt;"",U567&lt;&gt;"",V567&lt;&gt;"",AB567&lt;&gt;"")),"manuell übersteuert; ","")&amp;IF(AND(BZ567=0,R567=0),"Gebinde unbekannt / Stellmass fehlt; ","")&amp;IF(AND(BZ567=0,N(V567)&lt;=0,N(Q567)&lt;=0),"Menge pro Gebinde fehlt (Ist = 1 Gebinde); ","")&amp;BU567)</f>
        <v>Überbestand 84 Stk / CHF 323; </v>
      </c>
      <c r="BN567" s="48"/>
      <c r="BO567" s="48"/>
      <c r="BP567" s="55"/>
      <c r="BQ567" s="50" t="n">
        <v>11</v>
      </c>
      <c r="BR567" s="50" t="n">
        <v>194</v>
      </c>
      <c r="BS567" s="49" t="n">
        <v>13.1399999999993</v>
      </c>
      <c r="BT567" s="50" t="n">
        <v>106</v>
      </c>
      <c r="BU567" s="48"/>
      <c r="BV567" s="53" t="n">
        <v>0</v>
      </c>
      <c r="BW567" s="53" t="n">
        <v>567</v>
      </c>
      <c r="BX567" s="48" t="str">
        <f aca="false">IF(U567&lt;&gt;"",UPPER(TRIM(U567)),IF(CA567=1,UPPER(VLOOKUP(T567,Parameter!$I$27:$K$29,2,0)),IF(P567="","LOSE",P567)))</f>
        <v>S32</v>
      </c>
      <c r="BY567" s="50" t="n">
        <f aca="false">IF(BX567="LOSE",1,IF(N(V567)&gt;0,V567,IF(CA567=1,MAX(1,N(VLOOKUP(T567,Parameter!$I$27:$K$29,3,0)),H567,N(N567)),IF(N(Q567)&gt;0,Q567,MAX(1,H567)))))</f>
        <v>88</v>
      </c>
      <c r="BZ567" s="53" t="n">
        <f aca="false">IF(BX567="LOSE",1,0)</f>
        <v>0</v>
      </c>
      <c r="CA567" s="53" t="n">
        <f aca="false">IF(AND(U567="",OR(P567="",P567="LOSE"),T567&lt;&gt;"",N(S567)&lt;=0,ISNUMBER(MATCH(T567,Parameter!$I$27:$I$29,0))),1,0)</f>
        <v>0</v>
      </c>
      <c r="CB567" s="53" t="n">
        <f aca="false">IF(CQ567&gt;0,INDEX(Parameter!$H$5:$H$7,W567)/INDEX(Parameter!$E$5:$E$7,W567),IF(AND(BZ567=0,N(IFERROR(VLOOKUP(BX567,'Gebinde-Kategorie'!$A$5:$N$45,14,0),0))&gt;0),VLOOKUP(BX567,'Gebinde-Kategorie'!$A$5:$N$45,14,0)*10+Parameter!$M$23,Parameter!$M$24))</f>
        <v>155</v>
      </c>
      <c r="CC567" s="48" t="str">
        <f aca="false">IF(AND(Parameter!$B$19="Ja",E567&lt;&gt;"",ISNUMBER(MATCH(E567,Parameter!$I$35:$I$52,0))),VLOOKUP(E567,Parameter!$I$35:$J$52,2,0),IFERROR(VLOOKUP(D567,Parameter!$A$35:$C$64,2,0),"Nein"))</f>
        <v>2+3</v>
      </c>
      <c r="CD567" s="52" t="n">
        <f aca="false">IF(BZ567=0,0,IF(N(S567)&gt;0,S567,IFERROR(VLOOKUP(D567,Parameter!$A$35:$C$64,3,0)+0,0)))</f>
        <v>0</v>
      </c>
      <c r="CE567" s="48" t="n">
        <f aca="false">IF(AA567&lt;&gt;"",AA567,Z567)</f>
        <v>3</v>
      </c>
      <c r="CF567" s="48" t="str">
        <f aca="false">IF(OR(CE567=1,CE567=2,CE567=3),IF(Parameter!$E$27="Ja","LIFT",IF(CE567=1,"L1","L23")),IF(CE567="Aussen","Aussen","-"))</f>
        <v>LIFT</v>
      </c>
      <c r="CG567" s="59" t="n">
        <f aca="false">IF(N(AB567)&gt;0,AB567,0)</f>
        <v>0</v>
      </c>
      <c r="CH567" s="53" t="n">
        <f aca="false">IF(ISNUMBER(AE567),1,0)</f>
        <v>0</v>
      </c>
      <c r="CI567" s="50" t="n">
        <f aca="false">N(AE567)</f>
        <v>0</v>
      </c>
      <c r="CJ567" s="50" t="n">
        <f aca="false">N(M567)+N(N567)</f>
        <v>121</v>
      </c>
      <c r="CK567" s="50" t="n">
        <f aca="false">N(M567)</f>
        <v>16</v>
      </c>
      <c r="CL567" s="50" t="n">
        <f aca="false">N(N567)</f>
        <v>105</v>
      </c>
      <c r="CM567" s="50" t="n">
        <f aca="false">ROUNDUP(H567/BY567,0)</f>
        <v>3</v>
      </c>
      <c r="CN567" s="50" t="n">
        <f aca="false">ROUNDUP(CI567/BY567,0)</f>
        <v>0</v>
      </c>
      <c r="CO567" s="53" t="n">
        <f aca="false">IF(BZ567=1,0,IFERROR(VLOOKUP(BX567,'Gebinde-Kategorie'!$A$5:$N$45,5,0)+0,0))</f>
        <v>8</v>
      </c>
      <c r="CP567" s="53" t="n">
        <f aca="false">IFERROR(IF(OR(CE567=1,CE567=2,CE567=3),N(INDEX(Parameter!$I$5:$I$7,CE567)),0),0)</f>
        <v>0</v>
      </c>
      <c r="CQ567" s="52" t="n">
        <f aca="false">IF(AND(Parameter!$B$21="Ja",ISNUMBER(W567),N(X567)&gt;0),IFERROR(N(INDEX(Parameter!$L$5:$L$7,W567))*INDEX(Parameter!$E$5:$E$7,W567)*X567/SUMIFS($X$7:$X$1843,$W$7:$W$1843,W567),0),0)</f>
        <v>0</v>
      </c>
    </row>
    <row r="568" customFormat="false" ht="15" hidden="false" customHeight="false" outlineLevel="0" collapsed="false">
      <c r="A568" s="48" t="s">
        <v>1209</v>
      </c>
      <c r="B568" s="48" t="s">
        <v>477</v>
      </c>
      <c r="C568" s="48" t="s">
        <v>173</v>
      </c>
      <c r="D568" s="48" t="s">
        <v>193</v>
      </c>
      <c r="E568" s="48" t="s">
        <v>194</v>
      </c>
      <c r="F568" s="48" t="s">
        <v>227</v>
      </c>
      <c r="G568" s="49" t="n">
        <v>0.14</v>
      </c>
      <c r="H568" s="50" t="n">
        <f aca="false">MAX(0,IF(AND(Parameter!$B$21="Ja",ISNUMBER(Y568)),Y568,IF(Parameter!$B$20="Jahresanfang 2025 + Export",BR568+BQ568,BQ568)))</f>
        <v>235</v>
      </c>
      <c r="I568" s="50" t="n">
        <f aca="false">H568*G568</f>
        <v>32.9</v>
      </c>
      <c r="J568" s="50" t="n">
        <f aca="false">BT568*Parameter!$B$18</f>
        <v>222</v>
      </c>
      <c r="K568" s="51" t="n">
        <v>129.5</v>
      </c>
      <c r="L568" s="52" t="n">
        <v>1.71428571428571</v>
      </c>
      <c r="M568" s="50" t="n">
        <v>8</v>
      </c>
      <c r="N568" s="50" t="n">
        <v>220</v>
      </c>
      <c r="O568" s="53" t="n">
        <v>14</v>
      </c>
      <c r="P568" s="48" t="s">
        <v>410</v>
      </c>
      <c r="Q568" s="50" t="n">
        <v>210</v>
      </c>
      <c r="R568" s="53" t="n">
        <f aca="false">IF(BZ568=1,0,IFERROR(VLOOKUP(BX568,'Gebinde-Kategorie'!$A$5:$N$45,13,0)+0,0))</f>
        <v>280</v>
      </c>
      <c r="S568" s="54"/>
      <c r="T568" s="55"/>
      <c r="U568" s="55"/>
      <c r="V568" s="55"/>
      <c r="W568" s="48"/>
      <c r="X568" s="50"/>
      <c r="Y568" s="50"/>
      <c r="Z568" s="48" t="n">
        <f aca="false">IF(A568="","",IF(AND(Parameter!$B$21="Ja",ISNUMBER(W568)),W568,IF(CC568="2+3",IF(ISNUMBER(SEARCH("grosser Artikel",BU568)),2,IFERROR(VLOOKUP(BX568,Parameter!$F$35:$G$64,2,0),2)),IF(OR(CC568="Nein",CC568=""),"-",CC568))))</f>
        <v>3</v>
      </c>
      <c r="AA568" s="55"/>
      <c r="AB568" s="56"/>
      <c r="AC568" s="50" t="n">
        <f aca="false">AV568</f>
        <v>228</v>
      </c>
      <c r="AD568" s="50" t="n">
        <f aca="false">MAX(AV568,H568)</f>
        <v>235</v>
      </c>
      <c r="AE568" s="57"/>
      <c r="AF568" s="50" t="n">
        <f aca="false">IF(LEFT(Cockpit!$C$5,1)="A",H568,IF(Parameter!$E$30="MAX-Bestand",IF(CH568=1,CI568,IF(LEFT(Cockpit!$C$5,1)="B",AL568,MAX(AL568,H568))),ROUNDUP(AJ568,0)))</f>
        <v>235</v>
      </c>
      <c r="AG568" s="50" t="n">
        <f aca="false">IF(BZ568=1,0,ROUNDUP(AF568/BY568,0))</f>
        <v>2</v>
      </c>
      <c r="AH568" s="52" t="n">
        <f aca="false">IF(CQ568&gt;0,CQ568*MAX(1,AF568/X568),IF(BZ568=1,IF(AF568&lt;=0,0,CD568*MAX(1,IF(H568&gt;0,AF568/H568,1))),IF(R568&gt;0,AG568/R568,0))/MAX(0.1,N(Parameter!$M$21)))</f>
        <v>0.00714285714285714</v>
      </c>
      <c r="AI568" s="50" t="n">
        <f aca="false">AH568*CB568</f>
        <v>1.10714285714286</v>
      </c>
      <c r="AJ568" s="51" t="n">
        <f aca="false">IF(LEFT(Cockpit!$C$5,1)="A",H568,IF(CH568=1,(CK568+CI568)/2,IF(LEFT(Cockpit!$C$5,1)="B",(CK568+AL568)/2,MAX((CK568+AL568)/2,H568))))</f>
        <v>235</v>
      </c>
      <c r="AK568" s="50" t="n">
        <f aca="false">AJ568*G568</f>
        <v>32.9</v>
      </c>
      <c r="AL568" s="50" t="n">
        <f aca="false">ROUNDUP(CK568+MAX(CL568,2*(J568/IF(CG568&gt;0,CG568,MAX(0.1,N(Cockpit!$C$6)))-CK568)),0)</f>
        <v>228</v>
      </c>
      <c r="AM568" s="51" t="n">
        <f aca="false">IF(AI568&gt;0,J568/AI568,-1)</f>
        <v>200.516129032258</v>
      </c>
      <c r="AN568" s="51" t="n">
        <f aca="false">IF(AND(OR(CF568="L1",CF568="L23",CF568="LIFT"),AI568&gt;0),SUMIFS($AI$7:$AI$1843,$CF$7:$CF$1843,CF568,$AM$7:$AM$1843,"&gt;"&amp;AM568)+SUMIFS($AI$7:$AI$1843,$CF$7:$CF$1843,CF568,$AM$7:$AM$1843,AM568,$BW$7:$BW$1843,"&lt;="&amp;BW568),"")</f>
        <v>345.466117216117</v>
      </c>
      <c r="AO568" s="58" t="n">
        <f aca="false">IF(AN568="",0,MAX(0,MIN(1,(IF(CF568="L1",Parameter!$H$5,IF(CF568="L23",Parameter!$H$6+Parameter!$H$7,Parameter!$H$5+Parameter!$H$6+Parameter!$H$7))-(AN568-AI568))/AI568)))</f>
        <v>1</v>
      </c>
      <c r="AP568" s="50" t="n">
        <f aca="false">IF(LEFT(Cockpit!$I$5,1)="A",H568,IF(Parameter!$E$30="MAX-Bestand",IF(CH568=1,CI568,IF(LEFT(Cockpit!$I$5,1)="B",AV568,MAX(AV568,H568))),ROUNDUP(AT568,0)))</f>
        <v>235</v>
      </c>
      <c r="AQ568" s="50" t="n">
        <f aca="false">IF(BZ568=1,0,ROUNDUP(AP568/BY568,0))</f>
        <v>2</v>
      </c>
      <c r="AR568" s="52" t="n">
        <f aca="false">IF(CQ568&gt;0,CQ568*MAX(1,AP568/X568),IF(BZ568=1,IF(AP568&lt;=0,0,CD568*MAX(1,IF(H568&gt;0,AP568/H568,1))),IF(R568&gt;0,AQ568/R568,0))/MAX(0.1,N(Parameter!$M$21)))</f>
        <v>0.00714285714285714</v>
      </c>
      <c r="AS568" s="50" t="n">
        <f aca="false">AR568*CB568</f>
        <v>1.10714285714286</v>
      </c>
      <c r="AT568" s="51" t="n">
        <f aca="false">IF(LEFT(Cockpit!$I$5,1)="A",H568,IF(CH568=1,(CK568+CI568)/2,IF(LEFT(Cockpit!$I$5,1)="B",(CK568+AV568)/2,MAX((CK568+AV568)/2,H568))))</f>
        <v>235</v>
      </c>
      <c r="AU568" s="50" t="n">
        <f aca="false">AT568*G568</f>
        <v>32.9</v>
      </c>
      <c r="AV568" s="50" t="n">
        <f aca="false">ROUNDUP(CK568+MAX(CL568,2*(J568/IF(CG568&gt;0,CG568,MAX(0.1,N(Cockpit!$I$6)))-CK568)),0)</f>
        <v>228</v>
      </c>
      <c r="AW568" s="51" t="n">
        <f aca="false">IF(AS568&gt;0,J568/AS568,-1)</f>
        <v>200.516129032258</v>
      </c>
      <c r="AX568" s="51" t="n">
        <f aca="false">IF(AND(OR(CF568="L1",CF568="L23",CF568="LIFT"),AS568&gt;0),SUMIFS($AS$7:$AS$1843,$CF$7:$CF$1843,CF568,$AW$7:$AW$1843,"&gt;"&amp;AW568)+SUMIFS($AS$7:$AS$1843,$CF$7:$CF$1843,CF568,$AW$7:$AW$1843,AW568,$BW$7:$BW$1843,"&lt;="&amp;BW568),"")</f>
        <v>454.641483516484</v>
      </c>
      <c r="AY568" s="58" t="n">
        <f aca="false">IF(AX568="",0,MAX(0,MIN(1,(IF(CF568="L1",Parameter!$H$5,IF(CF568="L23",Parameter!$H$6+Parameter!$H$7,Parameter!$H$5+Parameter!$H$6+Parameter!$H$7))-(AX568-AS568))/AS568)))</f>
        <v>1</v>
      </c>
      <c r="AZ568" s="50" t="n">
        <f aca="false">IF(LEFT(Cockpit!$O$5,1)="A",H568,IF(Parameter!$E$30="MAX-Bestand",IF(CH568=1,CI568,IF(LEFT(Cockpit!$O$5,1)="B",BF568,MAX(BF568,H568))),ROUNDUP(BD568,0)))</f>
        <v>118</v>
      </c>
      <c r="BA568" s="50" t="n">
        <f aca="false">IF(BZ568=1,0,ROUNDUP(AZ568/BY568,0))</f>
        <v>1</v>
      </c>
      <c r="BB568" s="52" t="n">
        <f aca="false">IF(CQ568&gt;0,CQ568*MAX(1,AZ568/X568),IF(BZ568=1,IF(AZ568&lt;=0,0,CD568*MAX(1,IF(H568&gt;0,AZ568/H568,1))),IF(R568&gt;0,BA568/R568,0))/MAX(0.1,N(Parameter!$M$21)))</f>
        <v>0.00357142857142857</v>
      </c>
      <c r="BC568" s="50" t="n">
        <f aca="false">BB568*CB568</f>
        <v>0.553571428571429</v>
      </c>
      <c r="BD568" s="51" t="n">
        <f aca="false">IF(LEFT(Cockpit!$O$5,1)="A",H568,IF(CH568=1,(CK568+CI568)/2,IF(LEFT(Cockpit!$O$5,1)="B",(CK568+BF568)/2,MAX((CK568+BF568)/2,H568))))</f>
        <v>118</v>
      </c>
      <c r="BE568" s="50" t="n">
        <f aca="false">BD568*G568</f>
        <v>16.52</v>
      </c>
      <c r="BF568" s="50" t="n">
        <f aca="false">ROUNDUP(CK568+MAX(CL568,2*(J568/IF(CG568&gt;0,CG568,MAX(0.1,N(Cockpit!$O$6)))-CK568)),0)</f>
        <v>228</v>
      </c>
      <c r="BG568" s="51" t="n">
        <f aca="false">IF(BC568&gt;0,J568/BC568,-1)</f>
        <v>401.032258064516</v>
      </c>
      <c r="BH568" s="51" t="n">
        <f aca="false">IF(AND(OR(CF568="L1",CF568="L23",CF568="LIFT"),BC568&gt;0),SUMIFS($BC$7:$BC$1843,$CF$7:$CF$1843,CF568,$BG$7:$BG$1843,"&gt;"&amp;BG568)+SUMIFS($BC$7:$BC$1843,$CF$7:$CF$1843,CF568,$BG$7:$BG$1843,BG568,$BW$7:$BW$1843,"&lt;="&amp;BW568),"")</f>
        <v>180.975274725275</v>
      </c>
      <c r="BI568" s="58" t="n">
        <f aca="false">IF(BH568="",0,MAX(0,MIN(1,(IF(CF568="L1",Parameter!$H$5,IF(CF568="L23",Parameter!$H$6+Parameter!$H$7,Parameter!$H$5+Parameter!$H$6+Parameter!$H$7))-(BH568-BC568))/BC568)))</f>
        <v>1</v>
      </c>
      <c r="BJ568" s="48" t="str">
        <f aca="false">IF(AI568&lt;=0,"",IF(CF568="Aussen","Aussenlager",IF(CF568="-","Nicht im Lift",IF(AO568&gt;=1,"Lift",IF(AO568&lt;=0,"Aussenlager","teilweise")))))</f>
        <v>Lift</v>
      </c>
      <c r="BK568" s="48" t="str">
        <f aca="false">IF(AS568&lt;=0,"",IF(CF568="Aussen","Aussenlager",IF(CF568="-","Nicht im Lift",IF(AY568&gt;=1,"Lift",IF(AY568&lt;=0,"Aussenlager","teilweise")))))</f>
        <v>Lift</v>
      </c>
      <c r="BL568" s="48" t="str">
        <f aca="false">IF(BC568&lt;=0,"",IF(CF568="Aussen","Aussenlager",IF(CF568="-","Nicht im Lift",IF(BI568&gt;=1,"Lift",IF(BI568&lt;=0,"Aussenlager","teilweise")))))</f>
        <v>Lift</v>
      </c>
      <c r="BM568" s="48" t="str">
        <f aca="false">IF(A568="","",IF(BV568=1,"Neu; ","")&amp;IF(AND(BV568=0,BQ568&lt;0),"negativer Bestand (Export "&amp;BQ568&amp;"); ","")&amp;IF(J568&lt;=0,"Kein Verbrauch; ","")&amp;IF(CQ568&gt;0,"Lift "&amp;W568&amp;" lt. Liftbericht (Fach "&amp;X568&amp;" Stk); ",IF(CA568=1,"Gebinde geschätzt ("&amp;T568&amp;"); ",IF(BZ568=1,"Lose – Tablare geschätzt; ","")))&amp;IF(H568&gt;AV568,"Überbestand "&amp;ROUND(H568-AV568,0)&amp;" Stk / CHF "&amp;ROUND((H568-AV568)*G568,0)&amp;"; ","")&amp;IF(AND(CH568=1,CI568&lt;CJ568),"MAX &lt; MB+LG; ","")&amp;IF(AND(CP568&gt;0,CO568*10&gt;CP568),"zu hoch für Tablar; ","")&amp;IF(AND(BV568=0,OR(CH568=1,AA568&lt;&gt;"",U568&lt;&gt;"",V568&lt;&gt;"",AB568&lt;&gt;"")),"manuell übersteuert; ","")&amp;IF(AND(BZ568=0,R568=0),"Gebinde unbekannt / Stellmass fehlt; ","")&amp;IF(AND(BZ568=0,N(V568)&lt;=0,N(Q568)&lt;=0),"Menge pro Gebinde fehlt (Ist = 1 Gebinde); ","")&amp;BU568)</f>
        <v>Überbestand 7 Stk / CHF 1; </v>
      </c>
      <c r="BN568" s="48"/>
      <c r="BO568" s="48"/>
      <c r="BP568" s="55"/>
      <c r="BQ568" s="50" t="n">
        <v>92</v>
      </c>
      <c r="BR568" s="50" t="n">
        <v>143</v>
      </c>
      <c r="BS568" s="49" t="n">
        <v>12.88</v>
      </c>
      <c r="BT568" s="50" t="n">
        <v>222</v>
      </c>
      <c r="BU568" s="48"/>
      <c r="BV568" s="53" t="n">
        <v>0</v>
      </c>
      <c r="BW568" s="53" t="n">
        <v>568</v>
      </c>
      <c r="BX568" s="48" t="str">
        <f aca="false">IF(U568&lt;&gt;"",UPPER(TRIM(U568)),IF(CA568=1,UPPER(VLOOKUP(T568,Parameter!$I$27:$K$29,2,0)),IF(P568="","LOSE",P568)))</f>
        <v>S21</v>
      </c>
      <c r="BY568" s="50" t="n">
        <f aca="false">IF(BX568="LOSE",1,IF(N(V568)&gt;0,V568,IF(CA568=1,MAX(1,N(VLOOKUP(T568,Parameter!$I$27:$K$29,3,0)),H568,N(N568)),IF(N(Q568)&gt;0,Q568,MAX(1,H568)))))</f>
        <v>210</v>
      </c>
      <c r="BZ568" s="53" t="n">
        <f aca="false">IF(BX568="LOSE",1,0)</f>
        <v>0</v>
      </c>
      <c r="CA568" s="53" t="n">
        <f aca="false">IF(AND(U568="",OR(P568="",P568="LOSE"),T568&lt;&gt;"",N(S568)&lt;=0,ISNUMBER(MATCH(T568,Parameter!$I$27:$I$29,0))),1,0)</f>
        <v>0</v>
      </c>
      <c r="CB568" s="53" t="n">
        <f aca="false">IF(CQ568&gt;0,INDEX(Parameter!$H$5:$H$7,W568)/INDEX(Parameter!$E$5:$E$7,W568),IF(AND(BZ568=0,N(IFERROR(VLOOKUP(BX568,'Gebinde-Kategorie'!$A$5:$N$45,14,0),0))&gt;0),VLOOKUP(BX568,'Gebinde-Kategorie'!$A$5:$N$45,14,0)*10+Parameter!$M$23,Parameter!$M$24))</f>
        <v>155</v>
      </c>
      <c r="CC568" s="48" t="str">
        <f aca="false">IF(AND(Parameter!$B$19="Ja",E568&lt;&gt;"",ISNUMBER(MATCH(E568,Parameter!$I$35:$I$52,0))),VLOOKUP(E568,Parameter!$I$35:$J$52,2,0),IFERROR(VLOOKUP(D568,Parameter!$A$35:$C$64,2,0),"Nein"))</f>
        <v>2+3</v>
      </c>
      <c r="CD568" s="52" t="n">
        <f aca="false">IF(BZ568=0,0,IF(N(S568)&gt;0,S568,IFERROR(VLOOKUP(D568,Parameter!$A$35:$C$64,3,0)+0,0)))</f>
        <v>0</v>
      </c>
      <c r="CE568" s="48" t="n">
        <f aca="false">IF(AA568&lt;&gt;"",AA568,Z568)</f>
        <v>3</v>
      </c>
      <c r="CF568" s="48" t="str">
        <f aca="false">IF(OR(CE568=1,CE568=2,CE568=3),IF(Parameter!$E$27="Ja","LIFT",IF(CE568=1,"L1","L23")),IF(CE568="Aussen","Aussen","-"))</f>
        <v>LIFT</v>
      </c>
      <c r="CG568" s="59" t="n">
        <f aca="false">IF(N(AB568)&gt;0,AB568,0)</f>
        <v>0</v>
      </c>
      <c r="CH568" s="53" t="n">
        <f aca="false">IF(ISNUMBER(AE568),1,0)</f>
        <v>0</v>
      </c>
      <c r="CI568" s="50" t="n">
        <f aca="false">N(AE568)</f>
        <v>0</v>
      </c>
      <c r="CJ568" s="50" t="n">
        <f aca="false">N(M568)+N(N568)</f>
        <v>228</v>
      </c>
      <c r="CK568" s="50" t="n">
        <f aca="false">N(M568)</f>
        <v>8</v>
      </c>
      <c r="CL568" s="50" t="n">
        <f aca="false">N(N568)</f>
        <v>220</v>
      </c>
      <c r="CM568" s="50" t="n">
        <f aca="false">ROUNDUP(H568/BY568,0)</f>
        <v>2</v>
      </c>
      <c r="CN568" s="50" t="n">
        <f aca="false">ROUNDUP(CI568/BY568,0)</f>
        <v>0</v>
      </c>
      <c r="CO568" s="53" t="n">
        <f aca="false">IF(BZ568=1,0,IFERROR(VLOOKUP(BX568,'Gebinde-Kategorie'!$A$5:$N$45,5,0)+0,0))</f>
        <v>8</v>
      </c>
      <c r="CP568" s="53" t="n">
        <f aca="false">IFERROR(IF(OR(CE568=1,CE568=2,CE568=3),N(INDEX(Parameter!$I$5:$I$7,CE568)),0),0)</f>
        <v>0</v>
      </c>
      <c r="CQ568" s="52" t="n">
        <f aca="false">IF(AND(Parameter!$B$21="Ja",ISNUMBER(W568),N(X568)&gt;0),IFERROR(N(INDEX(Parameter!$L$5:$L$7,W568))*INDEX(Parameter!$E$5:$E$7,W568)*X568/SUMIFS($X$7:$X$1843,$W$7:$W$1843,W568),0),0)</f>
        <v>0</v>
      </c>
    </row>
    <row r="569" customFormat="false" ht="15" hidden="false" customHeight="false" outlineLevel="0" collapsed="false">
      <c r="A569" s="48" t="s">
        <v>1210</v>
      </c>
      <c r="B569" s="48" t="s">
        <v>600</v>
      </c>
      <c r="C569" s="48" t="s">
        <v>173</v>
      </c>
      <c r="D569" s="48" t="s">
        <v>193</v>
      </c>
      <c r="E569" s="48" t="s">
        <v>194</v>
      </c>
      <c r="F569" s="48" t="s">
        <v>227</v>
      </c>
      <c r="G569" s="49" t="n">
        <v>27.68</v>
      </c>
      <c r="H569" s="50" t="n">
        <f aca="false">MAX(0,IF(AND(Parameter!$B$21="Ja",ISNUMBER(Y569)),Y569,IF(Parameter!$B$20="Jahresanfang 2025 + Export",BR569+BQ569,BQ569)))</f>
        <v>83</v>
      </c>
      <c r="I569" s="50" t="n">
        <f aca="false">H569*G569</f>
        <v>2297.44</v>
      </c>
      <c r="J569" s="50" t="n">
        <f aca="false">BT569*Parameter!$B$18</f>
        <v>13</v>
      </c>
      <c r="K569" s="51" t="n">
        <v>88.5</v>
      </c>
      <c r="L569" s="52" t="n">
        <v>0.146892655367232</v>
      </c>
      <c r="M569" s="50" t="n">
        <v>2</v>
      </c>
      <c r="N569" s="50" t="n">
        <v>30</v>
      </c>
      <c r="O569" s="53" t="n">
        <v>21</v>
      </c>
      <c r="P569" s="48" t="s">
        <v>311</v>
      </c>
      <c r="Q569" s="50" t="n">
        <v>75</v>
      </c>
      <c r="R569" s="53" t="n">
        <f aca="false">IF(BZ569=1,0,IFERROR(VLOOKUP(BX569,'Gebinde-Kategorie'!$A$5:$N$45,13,0)+0,0))</f>
        <v>26</v>
      </c>
      <c r="S569" s="54"/>
      <c r="T569" s="55"/>
      <c r="U569" s="55"/>
      <c r="V569" s="55"/>
      <c r="W569" s="48"/>
      <c r="X569" s="50"/>
      <c r="Y569" s="50"/>
      <c r="Z569" s="48" t="n">
        <f aca="false">IF(A569="","",IF(AND(Parameter!$B$21="Ja",ISNUMBER(W569)),W569,IF(CC569="2+3",IF(ISNUMBER(SEARCH("grosser Artikel",BU569)),2,IFERROR(VLOOKUP(BX569,Parameter!$F$35:$G$64,2,0),2)),IF(OR(CC569="Nein",CC569=""),"-",CC569))))</f>
        <v>3</v>
      </c>
      <c r="AA569" s="55"/>
      <c r="AB569" s="56"/>
      <c r="AC569" s="50" t="n">
        <f aca="false">AV569</f>
        <v>32</v>
      </c>
      <c r="AD569" s="50" t="n">
        <f aca="false">MAX(AV569,H569)</f>
        <v>83</v>
      </c>
      <c r="AE569" s="57"/>
      <c r="AF569" s="50" t="n">
        <f aca="false">IF(LEFT(Cockpit!$C$5,1)="A",H569,IF(Parameter!$E$30="MAX-Bestand",IF(CH569=1,CI569,IF(LEFT(Cockpit!$C$5,1)="B",AL569,MAX(AL569,H569))),ROUNDUP(AJ569,0)))</f>
        <v>83</v>
      </c>
      <c r="AG569" s="50" t="n">
        <f aca="false">IF(BZ569=1,0,ROUNDUP(AF569/BY569,0))</f>
        <v>2</v>
      </c>
      <c r="AH569" s="52" t="n">
        <f aca="false">IF(CQ569&gt;0,CQ569*MAX(1,AF569/X569),IF(BZ569=1,IF(AF569&lt;=0,0,CD569*MAX(1,IF(H569&gt;0,AF569/H569,1))),IF(R569&gt;0,AG569/R569,0))/MAX(0.1,N(Parameter!$M$21)))</f>
        <v>0.0769230769230769</v>
      </c>
      <c r="AI569" s="50" t="n">
        <f aca="false">AH569*CB569</f>
        <v>11.9230769230769</v>
      </c>
      <c r="AJ569" s="51" t="n">
        <f aca="false">IF(LEFT(Cockpit!$C$5,1)="A",H569,IF(CH569=1,(CK569+CI569)/2,IF(LEFT(Cockpit!$C$5,1)="B",(CK569+AL569)/2,MAX((CK569+AL569)/2,H569))))</f>
        <v>83</v>
      </c>
      <c r="AK569" s="50" t="n">
        <f aca="false">AJ569*G569</f>
        <v>2297.44</v>
      </c>
      <c r="AL569" s="50" t="n">
        <f aca="false">ROUNDUP(CK569+MAX(CL569,2*(J569/IF(CG569&gt;0,CG569,MAX(0.1,N(Cockpit!$C$6)))-CK569)),0)</f>
        <v>32</v>
      </c>
      <c r="AM569" s="51" t="n">
        <f aca="false">IF(AI569&gt;0,J569/AI569,-1)</f>
        <v>1.09032258064516</v>
      </c>
      <c r="AN569" s="51" t="n">
        <f aca="false">IF(AND(OR(CF569="L1",CF569="L23",CF569="LIFT"),AI569&gt;0),SUMIFS($AI$7:$AI$1843,$CF$7:$CF$1843,CF569,$AM$7:$AM$1843,"&gt;"&amp;AM569)+SUMIFS($AI$7:$AI$1843,$CF$7:$CF$1843,CF569,$AM$7:$AM$1843,AM569,$BW$7:$BW$1843,"&lt;="&amp;BW569),"")</f>
        <v>6853.96840659341</v>
      </c>
      <c r="AO569" s="58" t="n">
        <f aca="false">IF(AN569="",0,MAX(0,MIN(1,(IF(CF569="L1",Parameter!$H$5,IF(CF569="L23",Parameter!$H$6+Parameter!$H$7,Parameter!$H$5+Parameter!$H$6+Parameter!$H$7))-(AN569-AI569))/AI569)))</f>
        <v>1</v>
      </c>
      <c r="AP569" s="50" t="n">
        <f aca="false">IF(LEFT(Cockpit!$I$5,1)="A",H569,IF(Parameter!$E$30="MAX-Bestand",IF(CH569=1,CI569,IF(LEFT(Cockpit!$I$5,1)="B",AV569,MAX(AV569,H569))),ROUNDUP(AT569,0)))</f>
        <v>83</v>
      </c>
      <c r="AQ569" s="50" t="n">
        <f aca="false">IF(BZ569=1,0,ROUNDUP(AP569/BY569,0))</f>
        <v>2</v>
      </c>
      <c r="AR569" s="52" t="n">
        <f aca="false">IF(CQ569&gt;0,CQ569*MAX(1,AP569/X569),IF(BZ569=1,IF(AP569&lt;=0,0,CD569*MAX(1,IF(H569&gt;0,AP569/H569,1))),IF(R569&gt;0,AQ569/R569,0))/MAX(0.1,N(Parameter!$M$21)))</f>
        <v>0.0769230769230769</v>
      </c>
      <c r="AS569" s="50" t="n">
        <f aca="false">AR569*CB569</f>
        <v>11.9230769230769</v>
      </c>
      <c r="AT569" s="51" t="n">
        <f aca="false">IF(LEFT(Cockpit!$I$5,1)="A",H569,IF(CH569=1,(CK569+CI569)/2,IF(LEFT(Cockpit!$I$5,1)="B",(CK569+AV569)/2,MAX((CK569+AV569)/2,H569))))</f>
        <v>83</v>
      </c>
      <c r="AU569" s="50" t="n">
        <f aca="false">AT569*G569</f>
        <v>2297.44</v>
      </c>
      <c r="AV569" s="50" t="n">
        <f aca="false">ROUNDUP(CK569+MAX(CL569,2*(J569/IF(CG569&gt;0,CG569,MAX(0.1,N(Cockpit!$I$6)))-CK569)),0)</f>
        <v>32</v>
      </c>
      <c r="AW569" s="51" t="n">
        <f aca="false">IF(AS569&gt;0,J569/AS569,-1)</f>
        <v>1.09032258064516</v>
      </c>
      <c r="AX569" s="51" t="n">
        <f aca="false">IF(AND(OR(CF569="L1",CF569="L23",CF569="LIFT"),AS569&gt;0),SUMIFS($AS$7:$AS$1843,$CF$7:$CF$1843,CF569,$AW$7:$AW$1843,"&gt;"&amp;AW569)+SUMIFS($AS$7:$AS$1843,$CF$7:$CF$1843,CF569,$AW$7:$AW$1843,AW569,$BW$7:$BW$1843,"&lt;="&amp;BW569),"")</f>
        <v>8233.21611721612</v>
      </c>
      <c r="AY569" s="58" t="n">
        <f aca="false">IF(AX569="",0,MAX(0,MIN(1,(IF(CF569="L1",Parameter!$H$5,IF(CF569="L23",Parameter!$H$6+Parameter!$H$7,Parameter!$H$5+Parameter!$H$6+Parameter!$H$7))-(AX569-AS569))/AS569)))</f>
        <v>1</v>
      </c>
      <c r="AZ569" s="50" t="n">
        <f aca="false">IF(LEFT(Cockpit!$O$5,1)="A",H569,IF(Parameter!$E$30="MAX-Bestand",IF(CH569=1,CI569,IF(LEFT(Cockpit!$O$5,1)="B",BF569,MAX(BF569,H569))),ROUNDUP(BD569,0)))</f>
        <v>17</v>
      </c>
      <c r="BA569" s="50" t="n">
        <f aca="false">IF(BZ569=1,0,ROUNDUP(AZ569/BY569,0))</f>
        <v>1</v>
      </c>
      <c r="BB569" s="52" t="n">
        <f aca="false">IF(CQ569&gt;0,CQ569*MAX(1,AZ569/X569),IF(BZ569=1,IF(AZ569&lt;=0,0,CD569*MAX(1,IF(H569&gt;0,AZ569/H569,1))),IF(R569&gt;0,BA569/R569,0))/MAX(0.1,N(Parameter!$M$21)))</f>
        <v>0.0384615384615385</v>
      </c>
      <c r="BC569" s="50" t="n">
        <f aca="false">BB569*CB569</f>
        <v>5.96153846153846</v>
      </c>
      <c r="BD569" s="51" t="n">
        <f aca="false">IF(LEFT(Cockpit!$O$5,1)="A",H569,IF(CH569=1,(CK569+CI569)/2,IF(LEFT(Cockpit!$O$5,1)="B",(CK569+BF569)/2,MAX((CK569+BF569)/2,H569))))</f>
        <v>17</v>
      </c>
      <c r="BE569" s="50" t="n">
        <f aca="false">BD569*G569</f>
        <v>470.56</v>
      </c>
      <c r="BF569" s="50" t="n">
        <f aca="false">ROUNDUP(CK569+MAX(CL569,2*(J569/IF(CG569&gt;0,CG569,MAX(0.1,N(Cockpit!$O$6)))-CK569)),0)</f>
        <v>32</v>
      </c>
      <c r="BG569" s="51" t="n">
        <f aca="false">IF(BC569&gt;0,J569/BC569,-1)</f>
        <v>2.18064516129032</v>
      </c>
      <c r="BH569" s="51" t="n">
        <f aca="false">IF(AND(OR(CF569="L1",CF569="L23",CF569="LIFT"),BC569&gt;0),SUMIFS($BC$7:$BC$1843,$CF$7:$CF$1843,CF569,$BG$7:$BG$1843,"&gt;"&amp;BG569)+SUMIFS($BC$7:$BC$1843,$CF$7:$CF$1843,CF569,$BG$7:$BG$1843,BG569,$BW$7:$BW$1843,"&lt;="&amp;BW569),"")</f>
        <v>5705.36538461538</v>
      </c>
      <c r="BI569" s="58" t="n">
        <f aca="false">IF(BH569="",0,MAX(0,MIN(1,(IF(CF569="L1",Parameter!$H$5,IF(CF569="L23",Parameter!$H$6+Parameter!$H$7,Parameter!$H$5+Parameter!$H$6+Parameter!$H$7))-(BH569-BC569))/BC569)))</f>
        <v>1</v>
      </c>
      <c r="BJ569" s="48" t="str">
        <f aca="false">IF(AI569&lt;=0,"",IF(CF569="Aussen","Aussenlager",IF(CF569="-","Nicht im Lift",IF(AO569&gt;=1,"Lift",IF(AO569&lt;=0,"Aussenlager","teilweise")))))</f>
        <v>Lift</v>
      </c>
      <c r="BK569" s="48" t="str">
        <f aca="false">IF(AS569&lt;=0,"",IF(CF569="Aussen","Aussenlager",IF(CF569="-","Nicht im Lift",IF(AY569&gt;=1,"Lift",IF(AY569&lt;=0,"Aussenlager","teilweise")))))</f>
        <v>Lift</v>
      </c>
      <c r="BL569" s="48" t="str">
        <f aca="false">IF(BC569&lt;=0,"",IF(CF569="Aussen","Aussenlager",IF(CF569="-","Nicht im Lift",IF(BI569&gt;=1,"Lift",IF(BI569&lt;=0,"Aussenlager","teilweise")))))</f>
        <v>Lift</v>
      </c>
      <c r="BM569" s="48" t="str">
        <f aca="false">IF(A569="","",IF(BV569=1,"Neu; ","")&amp;IF(AND(BV569=0,BQ569&lt;0),"negativer Bestand (Export "&amp;BQ569&amp;"); ","")&amp;IF(J569&lt;=0,"Kein Verbrauch; ","")&amp;IF(CQ569&gt;0,"Lift "&amp;W569&amp;" lt. Liftbericht (Fach "&amp;X569&amp;" Stk); ",IF(CA569=1,"Gebinde geschätzt ("&amp;T569&amp;"); ",IF(BZ569=1,"Lose – Tablare geschätzt; ","")))&amp;IF(H569&gt;AV569,"Überbestand "&amp;ROUND(H569-AV569,0)&amp;" Stk / CHF "&amp;ROUND((H569-AV569)*G569,0)&amp;"; ","")&amp;IF(AND(CH569=1,CI569&lt;CJ569),"MAX &lt; MB+LG; ","")&amp;IF(AND(CP569&gt;0,CO569*10&gt;CP569),"zu hoch für Tablar; ","")&amp;IF(AND(BV569=0,OR(CH569=1,AA569&lt;&gt;"",U569&lt;&gt;"",V569&lt;&gt;"",AB569&lt;&gt;"")),"manuell übersteuert; ","")&amp;IF(AND(BZ569=0,R569=0),"Gebinde unbekannt / Stellmass fehlt; ","")&amp;IF(AND(BZ569=0,N(V569)&lt;=0,N(Q569)&lt;=0),"Menge pro Gebinde fehlt (Ist = 1 Gebinde); ","")&amp;BU569)</f>
        <v>Überbestand 51 Stk / CHF 1412; Neu</v>
      </c>
      <c r="BN569" s="48"/>
      <c r="BO569" s="48"/>
      <c r="BP569" s="55"/>
      <c r="BQ569" s="50" t="n">
        <v>3</v>
      </c>
      <c r="BR569" s="50" t="n">
        <v>80</v>
      </c>
      <c r="BS569" s="49" t="n">
        <v>12.64</v>
      </c>
      <c r="BT569" s="50" t="n">
        <v>13</v>
      </c>
      <c r="BU569" s="48" t="s">
        <v>635</v>
      </c>
      <c r="BV569" s="53" t="n">
        <v>0</v>
      </c>
      <c r="BW569" s="53" t="n">
        <v>569</v>
      </c>
      <c r="BX569" s="48" t="str">
        <f aca="false">IF(U569&lt;&gt;"",UPPER(TRIM(U569)),IF(CA569=1,UPPER(VLOOKUP(T569,Parameter!$I$27:$K$29,2,0)),IF(P569="","LOSE",P569)))</f>
        <v>S51</v>
      </c>
      <c r="BY569" s="50" t="n">
        <f aca="false">IF(BX569="LOSE",1,IF(N(V569)&gt;0,V569,IF(CA569=1,MAX(1,N(VLOOKUP(T569,Parameter!$I$27:$K$29,3,0)),H569,N(N569)),IF(N(Q569)&gt;0,Q569,MAX(1,H569)))))</f>
        <v>75</v>
      </c>
      <c r="BZ569" s="53" t="n">
        <f aca="false">IF(BX569="LOSE",1,0)</f>
        <v>0</v>
      </c>
      <c r="CA569" s="53" t="n">
        <f aca="false">IF(AND(U569="",OR(P569="",P569="LOSE"),T569&lt;&gt;"",N(S569)&lt;=0,ISNUMBER(MATCH(T569,Parameter!$I$27:$I$29,0))),1,0)</f>
        <v>0</v>
      </c>
      <c r="CB569" s="53" t="n">
        <f aca="false">IF(CQ569&gt;0,INDEX(Parameter!$H$5:$H$7,W569)/INDEX(Parameter!$E$5:$E$7,W569),IF(AND(BZ569=0,N(IFERROR(VLOOKUP(BX569,'Gebinde-Kategorie'!$A$5:$N$45,14,0),0))&gt;0),VLOOKUP(BX569,'Gebinde-Kategorie'!$A$5:$N$45,14,0)*10+Parameter!$M$23,Parameter!$M$24))</f>
        <v>155</v>
      </c>
      <c r="CC569" s="48" t="str">
        <f aca="false">IF(AND(Parameter!$B$19="Ja",E569&lt;&gt;"",ISNUMBER(MATCH(E569,Parameter!$I$35:$I$52,0))),VLOOKUP(E569,Parameter!$I$35:$J$52,2,0),IFERROR(VLOOKUP(D569,Parameter!$A$35:$C$64,2,0),"Nein"))</f>
        <v>2+3</v>
      </c>
      <c r="CD569" s="52" t="n">
        <f aca="false">IF(BZ569=0,0,IF(N(S569)&gt;0,S569,IFERROR(VLOOKUP(D569,Parameter!$A$35:$C$64,3,0)+0,0)))</f>
        <v>0</v>
      </c>
      <c r="CE569" s="48" t="n">
        <f aca="false">IF(AA569&lt;&gt;"",AA569,Z569)</f>
        <v>3</v>
      </c>
      <c r="CF569" s="48" t="str">
        <f aca="false">IF(OR(CE569=1,CE569=2,CE569=3),IF(Parameter!$E$27="Ja","LIFT",IF(CE569=1,"L1","L23")),IF(CE569="Aussen","Aussen","-"))</f>
        <v>LIFT</v>
      </c>
      <c r="CG569" s="59" t="n">
        <f aca="false">IF(N(AB569)&gt;0,AB569,0)</f>
        <v>0</v>
      </c>
      <c r="CH569" s="53" t="n">
        <f aca="false">IF(ISNUMBER(AE569),1,0)</f>
        <v>0</v>
      </c>
      <c r="CI569" s="50" t="n">
        <f aca="false">N(AE569)</f>
        <v>0</v>
      </c>
      <c r="CJ569" s="50" t="n">
        <f aca="false">N(M569)+N(N569)</f>
        <v>32</v>
      </c>
      <c r="CK569" s="50" t="n">
        <f aca="false">N(M569)</f>
        <v>2</v>
      </c>
      <c r="CL569" s="50" t="n">
        <f aca="false">N(N569)</f>
        <v>30</v>
      </c>
      <c r="CM569" s="50" t="n">
        <f aca="false">ROUNDUP(H569/BY569,0)</f>
        <v>2</v>
      </c>
      <c r="CN569" s="50" t="n">
        <f aca="false">ROUNDUP(CI569/BY569,0)</f>
        <v>0</v>
      </c>
      <c r="CO569" s="53" t="n">
        <f aca="false">IF(BZ569=1,0,IFERROR(VLOOKUP(BX569,'Gebinde-Kategorie'!$A$5:$N$45,5,0)+0,0))</f>
        <v>11</v>
      </c>
      <c r="CP569" s="53" t="n">
        <f aca="false">IFERROR(IF(OR(CE569=1,CE569=2,CE569=3),N(INDEX(Parameter!$I$5:$I$7,CE569)),0),0)</f>
        <v>0</v>
      </c>
      <c r="CQ569" s="52" t="n">
        <f aca="false">IF(AND(Parameter!$B$21="Ja",ISNUMBER(W569),N(X569)&gt;0),IFERROR(N(INDEX(Parameter!$L$5:$L$7,W569))*INDEX(Parameter!$E$5:$E$7,W569)*X569/SUMIFS($X$7:$X$1843,$W$7:$W$1843,W569),0),0)</f>
        <v>0</v>
      </c>
    </row>
    <row r="570" customFormat="false" ht="15" hidden="false" customHeight="false" outlineLevel="0" collapsed="false">
      <c r="A570" s="48" t="s">
        <v>1211</v>
      </c>
      <c r="B570" s="48" t="s">
        <v>414</v>
      </c>
      <c r="C570" s="48" t="s">
        <v>173</v>
      </c>
      <c r="D570" s="48" t="s">
        <v>193</v>
      </c>
      <c r="E570" s="48" t="s">
        <v>194</v>
      </c>
      <c r="F570" s="48" t="s">
        <v>227</v>
      </c>
      <c r="G570" s="49" t="n">
        <v>0.11</v>
      </c>
      <c r="H570" s="50" t="n">
        <f aca="false">MAX(0,IF(AND(Parameter!$B$21="Ja",ISNUMBER(Y570)),Y570,IF(Parameter!$B$20="Jahresanfang 2025 + Export",BR570+BQ570,BQ570)))</f>
        <v>194</v>
      </c>
      <c r="I570" s="50" t="n">
        <f aca="false">H570*G570</f>
        <v>21.34</v>
      </c>
      <c r="J570" s="50" t="n">
        <f aca="false">BT570*Parameter!$B$18</f>
        <v>198</v>
      </c>
      <c r="K570" s="51" t="n">
        <v>164</v>
      </c>
      <c r="L570" s="52" t="n">
        <v>1.20731707317073</v>
      </c>
      <c r="M570" s="50" t="n">
        <v>11</v>
      </c>
      <c r="N570" s="50" t="n">
        <v>200</v>
      </c>
      <c r="O570" s="53" t="n">
        <v>21</v>
      </c>
      <c r="P570" s="48" t="s">
        <v>430</v>
      </c>
      <c r="Q570" s="50" t="n">
        <v>304</v>
      </c>
      <c r="R570" s="53" t="n">
        <f aca="false">IF(BZ570=1,0,IFERROR(VLOOKUP(BX570,'Gebinde-Kategorie'!$A$5:$N$45,13,0)+0,0))</f>
        <v>104</v>
      </c>
      <c r="S570" s="54"/>
      <c r="T570" s="55"/>
      <c r="U570" s="55"/>
      <c r="V570" s="55"/>
      <c r="W570" s="48"/>
      <c r="X570" s="50"/>
      <c r="Y570" s="50"/>
      <c r="Z570" s="48" t="n">
        <f aca="false">IF(A570="","",IF(AND(Parameter!$B$21="Ja",ISNUMBER(W570)),W570,IF(CC570="2+3",IF(ISNUMBER(SEARCH("grosser Artikel",BU570)),2,IFERROR(VLOOKUP(BX570,Parameter!$F$35:$G$64,2,0),2)),IF(OR(CC570="Nein",CC570=""),"-",CC570))))</f>
        <v>3</v>
      </c>
      <c r="AA570" s="55"/>
      <c r="AB570" s="56"/>
      <c r="AC570" s="50" t="n">
        <f aca="false">AV570</f>
        <v>211</v>
      </c>
      <c r="AD570" s="50" t="n">
        <f aca="false">MAX(AV570,H570)</f>
        <v>211</v>
      </c>
      <c r="AE570" s="57"/>
      <c r="AF570" s="50" t="n">
        <f aca="false">IF(LEFT(Cockpit!$C$5,1)="A",H570,IF(Parameter!$E$30="MAX-Bestand",IF(CH570=1,CI570,IF(LEFT(Cockpit!$C$5,1)="B",AL570,MAX(AL570,H570))),ROUNDUP(AJ570,0)))</f>
        <v>194</v>
      </c>
      <c r="AG570" s="50" t="n">
        <f aca="false">IF(BZ570=1,0,ROUNDUP(AF570/BY570,0))</f>
        <v>1</v>
      </c>
      <c r="AH570" s="52" t="n">
        <f aca="false">IF(CQ570&gt;0,CQ570*MAX(1,AF570/X570),IF(BZ570=1,IF(AF570&lt;=0,0,CD570*MAX(1,IF(H570&gt;0,AF570/H570,1))),IF(R570&gt;0,AG570/R570,0))/MAX(0.1,N(Parameter!$M$21)))</f>
        <v>0.00961538461538462</v>
      </c>
      <c r="AI570" s="50" t="n">
        <f aca="false">AH570*CB570</f>
        <v>1.49038461538462</v>
      </c>
      <c r="AJ570" s="51" t="n">
        <f aca="false">IF(LEFT(Cockpit!$C$5,1)="A",H570,IF(CH570=1,(CK570+CI570)/2,IF(LEFT(Cockpit!$C$5,1)="B",(CK570+AL570)/2,MAX((CK570+AL570)/2,H570))))</f>
        <v>194</v>
      </c>
      <c r="AK570" s="50" t="n">
        <f aca="false">AJ570*G570</f>
        <v>21.34</v>
      </c>
      <c r="AL570" s="50" t="n">
        <f aca="false">ROUNDUP(CK570+MAX(CL570,2*(J570/IF(CG570&gt;0,CG570,MAX(0.1,N(Cockpit!$C$6)))-CK570)),0)</f>
        <v>211</v>
      </c>
      <c r="AM570" s="51" t="n">
        <f aca="false">IF(AI570&gt;0,J570/AI570,-1)</f>
        <v>132.851612903226</v>
      </c>
      <c r="AN570" s="51" t="n">
        <f aca="false">IF(AND(OR(CF570="L1",CF570="L23",CF570="LIFT"),AI570&gt;0),SUMIFS($AI$7:$AI$1843,$CF$7:$CF$1843,CF570,$AM$7:$AM$1843,"&gt;"&amp;AM570)+SUMIFS($AI$7:$AI$1843,$CF$7:$CF$1843,CF570,$AM$7:$AM$1843,AM570,$BW$7:$BW$1843,"&lt;="&amp;BW570),"")</f>
        <v>545.817765567766</v>
      </c>
      <c r="AO570" s="58" t="n">
        <f aca="false">IF(AN570="",0,MAX(0,MIN(1,(IF(CF570="L1",Parameter!$H$5,IF(CF570="L23",Parameter!$H$6+Parameter!$H$7,Parameter!$H$5+Parameter!$H$6+Parameter!$H$7))-(AN570-AI570))/AI570)))</f>
        <v>1</v>
      </c>
      <c r="AP570" s="50" t="n">
        <f aca="false">IF(LEFT(Cockpit!$I$5,1)="A",H570,IF(Parameter!$E$30="MAX-Bestand",IF(CH570=1,CI570,IF(LEFT(Cockpit!$I$5,1)="B",AV570,MAX(AV570,H570))),ROUNDUP(AT570,0)))</f>
        <v>194</v>
      </c>
      <c r="AQ570" s="50" t="n">
        <f aca="false">IF(BZ570=1,0,ROUNDUP(AP570/BY570,0))</f>
        <v>1</v>
      </c>
      <c r="AR570" s="52" t="n">
        <f aca="false">IF(CQ570&gt;0,CQ570*MAX(1,AP570/X570),IF(BZ570=1,IF(AP570&lt;=0,0,CD570*MAX(1,IF(H570&gt;0,AP570/H570,1))),IF(R570&gt;0,AQ570/R570,0))/MAX(0.1,N(Parameter!$M$21)))</f>
        <v>0.00961538461538462</v>
      </c>
      <c r="AS570" s="50" t="n">
        <f aca="false">AR570*CB570</f>
        <v>1.49038461538462</v>
      </c>
      <c r="AT570" s="51" t="n">
        <f aca="false">IF(LEFT(Cockpit!$I$5,1)="A",H570,IF(CH570=1,(CK570+CI570)/2,IF(LEFT(Cockpit!$I$5,1)="B",(CK570+AV570)/2,MAX((CK570+AV570)/2,H570))))</f>
        <v>194</v>
      </c>
      <c r="AU570" s="50" t="n">
        <f aca="false">AT570*G570</f>
        <v>21.34</v>
      </c>
      <c r="AV570" s="50" t="n">
        <f aca="false">ROUNDUP(CK570+MAX(CL570,2*(J570/IF(CG570&gt;0,CG570,MAX(0.1,N(Cockpit!$I$6)))-CK570)),0)</f>
        <v>211</v>
      </c>
      <c r="AW570" s="51" t="n">
        <f aca="false">IF(AS570&gt;0,J570/AS570,-1)</f>
        <v>132.851612903226</v>
      </c>
      <c r="AX570" s="51" t="n">
        <f aca="false">IF(AND(OR(CF570="L1",CF570="L23",CF570="LIFT"),AS570&gt;0),SUMIFS($AS$7:$AS$1843,$CF$7:$CF$1843,CF570,$AW$7:$AW$1843,"&gt;"&amp;AW570)+SUMIFS($AS$7:$AS$1843,$CF$7:$CF$1843,CF570,$AW$7:$AW$1843,AW570,$BW$7:$BW$1843,"&lt;="&amp;BW570),"")</f>
        <v>663.45467032967</v>
      </c>
      <c r="AY570" s="58" t="n">
        <f aca="false">IF(AX570="",0,MAX(0,MIN(1,(IF(CF570="L1",Parameter!$H$5,IF(CF570="L23",Parameter!$H$6+Parameter!$H$7,Parameter!$H$5+Parameter!$H$6+Parameter!$H$7))-(AX570-AS570))/AS570)))</f>
        <v>1</v>
      </c>
      <c r="AZ570" s="50" t="n">
        <f aca="false">IF(LEFT(Cockpit!$O$5,1)="A",H570,IF(Parameter!$E$30="MAX-Bestand",IF(CH570=1,CI570,IF(LEFT(Cockpit!$O$5,1)="B",BF570,MAX(BF570,H570))),ROUNDUP(BD570,0)))</f>
        <v>111</v>
      </c>
      <c r="BA570" s="50" t="n">
        <f aca="false">IF(BZ570=1,0,ROUNDUP(AZ570/BY570,0))</f>
        <v>1</v>
      </c>
      <c r="BB570" s="52" t="n">
        <f aca="false">IF(CQ570&gt;0,CQ570*MAX(1,AZ570/X570),IF(BZ570=1,IF(AZ570&lt;=0,0,CD570*MAX(1,IF(H570&gt;0,AZ570/H570,1))),IF(R570&gt;0,BA570/R570,0))/MAX(0.1,N(Parameter!$M$21)))</f>
        <v>0.00961538461538462</v>
      </c>
      <c r="BC570" s="50" t="n">
        <f aca="false">BB570*CB570</f>
        <v>1.49038461538462</v>
      </c>
      <c r="BD570" s="51" t="n">
        <f aca="false">IF(LEFT(Cockpit!$O$5,1)="A",H570,IF(CH570=1,(CK570+CI570)/2,IF(LEFT(Cockpit!$O$5,1)="B",(CK570+BF570)/2,MAX((CK570+BF570)/2,H570))))</f>
        <v>111</v>
      </c>
      <c r="BE570" s="50" t="n">
        <f aca="false">BD570*G570</f>
        <v>12.21</v>
      </c>
      <c r="BF570" s="50" t="n">
        <f aca="false">ROUNDUP(CK570+MAX(CL570,2*(J570/IF(CG570&gt;0,CG570,MAX(0.1,N(Cockpit!$O$6)))-CK570)),0)</f>
        <v>211</v>
      </c>
      <c r="BG570" s="51" t="n">
        <f aca="false">IF(BC570&gt;0,J570/BC570,-1)</f>
        <v>132.851612903226</v>
      </c>
      <c r="BH570" s="51" t="n">
        <f aca="false">IF(AND(OR(CF570="L1",CF570="L23",CF570="LIFT"),BC570&gt;0),SUMIFS($BC$7:$BC$1843,$CF$7:$CF$1843,CF570,$BG$7:$BG$1843,"&gt;"&amp;BG570)+SUMIFS($BC$7:$BC$1843,$CF$7:$CF$1843,CF570,$BG$7:$BG$1843,BG570,$BW$7:$BW$1843,"&lt;="&amp;BW570),"")</f>
        <v>597.806318681319</v>
      </c>
      <c r="BI570" s="58" t="n">
        <f aca="false">IF(BH570="",0,MAX(0,MIN(1,(IF(CF570="L1",Parameter!$H$5,IF(CF570="L23",Parameter!$H$6+Parameter!$H$7,Parameter!$H$5+Parameter!$H$6+Parameter!$H$7))-(BH570-BC570))/BC570)))</f>
        <v>1</v>
      </c>
      <c r="BJ570" s="48" t="str">
        <f aca="false">IF(AI570&lt;=0,"",IF(CF570="Aussen","Aussenlager",IF(CF570="-","Nicht im Lift",IF(AO570&gt;=1,"Lift",IF(AO570&lt;=0,"Aussenlager","teilweise")))))</f>
        <v>Lift</v>
      </c>
      <c r="BK570" s="48" t="str">
        <f aca="false">IF(AS570&lt;=0,"",IF(CF570="Aussen","Aussenlager",IF(CF570="-","Nicht im Lift",IF(AY570&gt;=1,"Lift",IF(AY570&lt;=0,"Aussenlager","teilweise")))))</f>
        <v>Lift</v>
      </c>
      <c r="BL570" s="48" t="str">
        <f aca="false">IF(BC570&lt;=0,"",IF(CF570="Aussen","Aussenlager",IF(CF570="-","Nicht im Lift",IF(BI570&gt;=1,"Lift",IF(BI570&lt;=0,"Aussenlager","teilweise")))))</f>
        <v>Lift</v>
      </c>
      <c r="BM570" s="48" t="str">
        <f aca="false">IF(A570="","",IF(BV570=1,"Neu; ","")&amp;IF(AND(BV570=0,BQ570&lt;0),"negativer Bestand (Export "&amp;BQ570&amp;"); ","")&amp;IF(J570&lt;=0,"Kein Verbrauch; ","")&amp;IF(CQ570&gt;0,"Lift "&amp;W570&amp;" lt. Liftbericht (Fach "&amp;X570&amp;" Stk); ",IF(CA570=1,"Gebinde geschätzt ("&amp;T570&amp;"); ",IF(BZ570=1,"Lose – Tablare geschätzt; ","")))&amp;IF(H570&gt;AV570,"Überbestand "&amp;ROUND(H570-AV570,0)&amp;" Stk / CHF "&amp;ROUND((H570-AV570)*G570,0)&amp;"; ","")&amp;IF(AND(CH570=1,CI570&lt;CJ570),"MAX &lt; MB+LG; ","")&amp;IF(AND(CP570&gt;0,CO570*10&gt;CP570),"zu hoch für Tablar; ","")&amp;IF(AND(BV570=0,OR(CH570=1,AA570&lt;&gt;"",U570&lt;&gt;"",V570&lt;&gt;"",AB570&lt;&gt;"")),"manuell übersteuert; ","")&amp;IF(AND(BZ570=0,R570=0),"Gebinde unbekannt / Stellmass fehlt; ","")&amp;IF(AND(BZ570=0,N(V570)&lt;=0,N(Q570)&lt;=0),"Menge pro Gebinde fehlt (Ist = 1 Gebinde); ","")&amp;BU570)</f>
        <v/>
      </c>
      <c r="BN570" s="48"/>
      <c r="BO570" s="48"/>
      <c r="BP570" s="55"/>
      <c r="BQ570" s="50" t="n">
        <v>34</v>
      </c>
      <c r="BR570" s="50" t="n">
        <v>160</v>
      </c>
      <c r="BS570" s="49" t="n">
        <v>11.74</v>
      </c>
      <c r="BT570" s="50" t="n">
        <v>198</v>
      </c>
      <c r="BU570" s="48"/>
      <c r="BV570" s="53" t="n">
        <v>0</v>
      </c>
      <c r="BW570" s="53" t="n">
        <v>570</v>
      </c>
      <c r="BX570" s="48" t="str">
        <f aca="false">IF(U570&lt;&gt;"",UPPER(TRIM(U570)),IF(CA570=1,UPPER(VLOOKUP(T570,Parameter!$I$27:$K$29,2,0)),IF(P570="","LOSE",P570)))</f>
        <v>S32</v>
      </c>
      <c r="BY570" s="50" t="n">
        <f aca="false">IF(BX570="LOSE",1,IF(N(V570)&gt;0,V570,IF(CA570=1,MAX(1,N(VLOOKUP(T570,Parameter!$I$27:$K$29,3,0)),H570,N(N570)),IF(N(Q570)&gt;0,Q570,MAX(1,H570)))))</f>
        <v>304</v>
      </c>
      <c r="BZ570" s="53" t="n">
        <f aca="false">IF(BX570="LOSE",1,0)</f>
        <v>0</v>
      </c>
      <c r="CA570" s="53" t="n">
        <f aca="false">IF(AND(U570="",OR(P570="",P570="LOSE"),T570&lt;&gt;"",N(S570)&lt;=0,ISNUMBER(MATCH(T570,Parameter!$I$27:$I$29,0))),1,0)</f>
        <v>0</v>
      </c>
      <c r="CB570" s="53" t="n">
        <f aca="false">IF(CQ570&gt;0,INDEX(Parameter!$H$5:$H$7,W570)/INDEX(Parameter!$E$5:$E$7,W570),IF(AND(BZ570=0,N(IFERROR(VLOOKUP(BX570,'Gebinde-Kategorie'!$A$5:$N$45,14,0),0))&gt;0),VLOOKUP(BX570,'Gebinde-Kategorie'!$A$5:$N$45,14,0)*10+Parameter!$M$23,Parameter!$M$24))</f>
        <v>155</v>
      </c>
      <c r="CC570" s="48" t="str">
        <f aca="false">IF(AND(Parameter!$B$19="Ja",E570&lt;&gt;"",ISNUMBER(MATCH(E570,Parameter!$I$35:$I$52,0))),VLOOKUP(E570,Parameter!$I$35:$J$52,2,0),IFERROR(VLOOKUP(D570,Parameter!$A$35:$C$64,2,0),"Nein"))</f>
        <v>2+3</v>
      </c>
      <c r="CD570" s="52" t="n">
        <f aca="false">IF(BZ570=0,0,IF(N(S570)&gt;0,S570,IFERROR(VLOOKUP(D570,Parameter!$A$35:$C$64,3,0)+0,0)))</f>
        <v>0</v>
      </c>
      <c r="CE570" s="48" t="n">
        <f aca="false">IF(AA570&lt;&gt;"",AA570,Z570)</f>
        <v>3</v>
      </c>
      <c r="CF570" s="48" t="str">
        <f aca="false">IF(OR(CE570=1,CE570=2,CE570=3),IF(Parameter!$E$27="Ja","LIFT",IF(CE570=1,"L1","L23")),IF(CE570="Aussen","Aussen","-"))</f>
        <v>LIFT</v>
      </c>
      <c r="CG570" s="59" t="n">
        <f aca="false">IF(N(AB570)&gt;0,AB570,0)</f>
        <v>0</v>
      </c>
      <c r="CH570" s="53" t="n">
        <f aca="false">IF(ISNUMBER(AE570),1,0)</f>
        <v>0</v>
      </c>
      <c r="CI570" s="50" t="n">
        <f aca="false">N(AE570)</f>
        <v>0</v>
      </c>
      <c r="CJ570" s="50" t="n">
        <f aca="false">N(M570)+N(N570)</f>
        <v>211</v>
      </c>
      <c r="CK570" s="50" t="n">
        <f aca="false">N(M570)</f>
        <v>11</v>
      </c>
      <c r="CL570" s="50" t="n">
        <f aca="false">N(N570)</f>
        <v>200</v>
      </c>
      <c r="CM570" s="50" t="n">
        <f aca="false">ROUNDUP(H570/BY570,0)</f>
        <v>1</v>
      </c>
      <c r="CN570" s="50" t="n">
        <f aca="false">ROUNDUP(CI570/BY570,0)</f>
        <v>0</v>
      </c>
      <c r="CO570" s="53" t="n">
        <f aca="false">IF(BZ570=1,0,IFERROR(VLOOKUP(BX570,'Gebinde-Kategorie'!$A$5:$N$45,5,0)+0,0))</f>
        <v>8</v>
      </c>
      <c r="CP570" s="53" t="n">
        <f aca="false">IFERROR(IF(OR(CE570=1,CE570=2,CE570=3),N(INDEX(Parameter!$I$5:$I$7,CE570)),0),0)</f>
        <v>0</v>
      </c>
      <c r="CQ570" s="52" t="n">
        <f aca="false">IF(AND(Parameter!$B$21="Ja",ISNUMBER(W570),N(X570)&gt;0),IFERROR(N(INDEX(Parameter!$L$5:$L$7,W570))*INDEX(Parameter!$E$5:$E$7,W570)*X570/SUMIFS($X$7:$X$1843,$W$7:$W$1843,W570),0),0)</f>
        <v>0</v>
      </c>
    </row>
    <row r="571" customFormat="false" ht="15" hidden="false" customHeight="false" outlineLevel="0" collapsed="false">
      <c r="A571" s="48" t="s">
        <v>1212</v>
      </c>
      <c r="B571" s="48" t="s">
        <v>414</v>
      </c>
      <c r="C571" s="48" t="s">
        <v>173</v>
      </c>
      <c r="D571" s="48" t="s">
        <v>193</v>
      </c>
      <c r="E571" s="48" t="s">
        <v>194</v>
      </c>
      <c r="F571" s="48" t="s">
        <v>227</v>
      </c>
      <c r="G571" s="49" t="n">
        <v>0.15</v>
      </c>
      <c r="H571" s="50" t="n">
        <f aca="false">MAX(0,IF(AND(Parameter!$B$21="Ja",ISNUMBER(Y571)),Y571,IF(Parameter!$B$20="Jahresanfang 2025 + Export",BR571+BQ571,BQ571)))</f>
        <v>378</v>
      </c>
      <c r="I571" s="50" t="n">
        <f aca="false">H571*G571</f>
        <v>56.7</v>
      </c>
      <c r="J571" s="50" t="n">
        <f aca="false">BT571*Parameter!$B$18</f>
        <v>368</v>
      </c>
      <c r="K571" s="51" t="n">
        <v>177</v>
      </c>
      <c r="L571" s="52" t="n">
        <v>2.07909604519774</v>
      </c>
      <c r="M571" s="50" t="n">
        <v>14</v>
      </c>
      <c r="N571" s="50" t="n">
        <v>400</v>
      </c>
      <c r="O571" s="53" t="n">
        <v>14</v>
      </c>
      <c r="P571" s="48" t="s">
        <v>242</v>
      </c>
      <c r="Q571" s="50" t="n">
        <v>400</v>
      </c>
      <c r="R571" s="53" t="n">
        <f aca="false">IF(BZ571=1,0,IFERROR(VLOOKUP(BX571,'Gebinde-Kategorie'!$A$5:$N$45,13,0)+0,0))</f>
        <v>26</v>
      </c>
      <c r="S571" s="54"/>
      <c r="T571" s="55"/>
      <c r="U571" s="55"/>
      <c r="V571" s="55"/>
      <c r="W571" s="48"/>
      <c r="X571" s="50"/>
      <c r="Y571" s="50"/>
      <c r="Z571" s="48" t="n">
        <f aca="false">IF(A571="","",IF(AND(Parameter!$B$21="Ja",ISNUMBER(W571)),W571,IF(CC571="2+3",IF(ISNUMBER(SEARCH("grosser Artikel",BU571)),2,IFERROR(VLOOKUP(BX571,Parameter!$F$35:$G$64,2,0),2)),IF(OR(CC571="Nein",CC571=""),"-",CC571))))</f>
        <v>3</v>
      </c>
      <c r="AA571" s="55"/>
      <c r="AB571" s="56"/>
      <c r="AC571" s="50" t="n">
        <f aca="false">AV571</f>
        <v>414</v>
      </c>
      <c r="AD571" s="50" t="n">
        <f aca="false">MAX(AV571,H571)</f>
        <v>414</v>
      </c>
      <c r="AE571" s="57"/>
      <c r="AF571" s="50" t="n">
        <f aca="false">IF(LEFT(Cockpit!$C$5,1)="A",H571,IF(Parameter!$E$30="MAX-Bestand",IF(CH571=1,CI571,IF(LEFT(Cockpit!$C$5,1)="B",AL571,MAX(AL571,H571))),ROUNDUP(AJ571,0)))</f>
        <v>378</v>
      </c>
      <c r="AG571" s="50" t="n">
        <f aca="false">IF(BZ571=1,0,ROUNDUP(AF571/BY571,0))</f>
        <v>1</v>
      </c>
      <c r="AH571" s="52" t="n">
        <f aca="false">IF(CQ571&gt;0,CQ571*MAX(1,AF571/X571),IF(BZ571=1,IF(AF571&lt;=0,0,CD571*MAX(1,IF(H571&gt;0,AF571/H571,1))),IF(R571&gt;0,AG571/R571,0))/MAX(0.1,N(Parameter!$M$21)))</f>
        <v>0.0384615384615385</v>
      </c>
      <c r="AI571" s="50" t="n">
        <f aca="false">AH571*CB571</f>
        <v>9.42307692307692</v>
      </c>
      <c r="AJ571" s="51" t="n">
        <f aca="false">IF(LEFT(Cockpit!$C$5,1)="A",H571,IF(CH571=1,(CK571+CI571)/2,IF(LEFT(Cockpit!$C$5,1)="B",(CK571+AL571)/2,MAX((CK571+AL571)/2,H571))))</f>
        <v>378</v>
      </c>
      <c r="AK571" s="50" t="n">
        <f aca="false">AJ571*G571</f>
        <v>56.7</v>
      </c>
      <c r="AL571" s="50" t="n">
        <f aca="false">ROUNDUP(CK571+MAX(CL571,2*(J571/IF(CG571&gt;0,CG571,MAX(0.1,N(Cockpit!$C$6)))-CK571)),0)</f>
        <v>414</v>
      </c>
      <c r="AM571" s="51" t="n">
        <f aca="false">IF(AI571&gt;0,J571/AI571,-1)</f>
        <v>39.0530612244898</v>
      </c>
      <c r="AN571" s="51" t="n">
        <f aca="false">IF(AND(OR(CF571="L1",CF571="L23",CF571="LIFT"),AI571&gt;0),SUMIFS($AI$7:$AI$1843,$CF$7:$CF$1843,CF571,$AM$7:$AM$1843,"&gt;"&amp;AM571)+SUMIFS($AI$7:$AI$1843,$CF$7:$CF$1843,CF571,$AM$7:$AM$1843,AM571,$BW$7:$BW$1843,"&lt;="&amp;BW571),"")</f>
        <v>1199.88461538462</v>
      </c>
      <c r="AO571" s="58" t="n">
        <f aca="false">IF(AN571="",0,MAX(0,MIN(1,(IF(CF571="L1",Parameter!$H$5,IF(CF571="L23",Parameter!$H$6+Parameter!$H$7,Parameter!$H$5+Parameter!$H$6+Parameter!$H$7))-(AN571-AI571))/AI571)))</f>
        <v>1</v>
      </c>
      <c r="AP571" s="50" t="n">
        <f aca="false">IF(LEFT(Cockpit!$I$5,1)="A",H571,IF(Parameter!$E$30="MAX-Bestand",IF(CH571=1,CI571,IF(LEFT(Cockpit!$I$5,1)="B",AV571,MAX(AV571,H571))),ROUNDUP(AT571,0)))</f>
        <v>378</v>
      </c>
      <c r="AQ571" s="50" t="n">
        <f aca="false">IF(BZ571=1,0,ROUNDUP(AP571/BY571,0))</f>
        <v>1</v>
      </c>
      <c r="AR571" s="52" t="n">
        <f aca="false">IF(CQ571&gt;0,CQ571*MAX(1,AP571/X571),IF(BZ571=1,IF(AP571&lt;=0,0,CD571*MAX(1,IF(H571&gt;0,AP571/H571,1))),IF(R571&gt;0,AQ571/R571,0))/MAX(0.1,N(Parameter!$M$21)))</f>
        <v>0.0384615384615385</v>
      </c>
      <c r="AS571" s="50" t="n">
        <f aca="false">AR571*CB571</f>
        <v>9.42307692307692</v>
      </c>
      <c r="AT571" s="51" t="n">
        <f aca="false">IF(LEFT(Cockpit!$I$5,1)="A",H571,IF(CH571=1,(CK571+CI571)/2,IF(LEFT(Cockpit!$I$5,1)="B",(CK571+AV571)/2,MAX((CK571+AV571)/2,H571))))</f>
        <v>378</v>
      </c>
      <c r="AU571" s="50" t="n">
        <f aca="false">AT571*G571</f>
        <v>56.7</v>
      </c>
      <c r="AV571" s="50" t="n">
        <f aca="false">ROUNDUP(CK571+MAX(CL571,2*(J571/IF(CG571&gt;0,CG571,MAX(0.1,N(Cockpit!$I$6)))-CK571)),0)</f>
        <v>414</v>
      </c>
      <c r="AW571" s="51" t="n">
        <f aca="false">IF(AS571&gt;0,J571/AS571,-1)</f>
        <v>39.0530612244898</v>
      </c>
      <c r="AX571" s="51" t="n">
        <f aca="false">IF(AND(OR(CF571="L1",CF571="L23",CF571="LIFT"),AS571&gt;0),SUMIFS($AS$7:$AS$1843,$CF$7:$CF$1843,CF571,$AW$7:$AW$1843,"&gt;"&amp;AW571)+SUMIFS($AS$7:$AS$1843,$CF$7:$CF$1843,CF571,$AW$7:$AW$1843,AW571,$BW$7:$BW$1843,"&lt;="&amp;BW571),"")</f>
        <v>1518.43635531136</v>
      </c>
      <c r="AY571" s="58" t="n">
        <f aca="false">IF(AX571="",0,MAX(0,MIN(1,(IF(CF571="L1",Parameter!$H$5,IF(CF571="L23",Parameter!$H$6+Parameter!$H$7,Parameter!$H$5+Parameter!$H$6+Parameter!$H$7))-(AX571-AS571))/AS571)))</f>
        <v>1</v>
      </c>
      <c r="AZ571" s="50" t="n">
        <f aca="false">IF(LEFT(Cockpit!$O$5,1)="A",H571,IF(Parameter!$E$30="MAX-Bestand",IF(CH571=1,CI571,IF(LEFT(Cockpit!$O$5,1)="B",BF571,MAX(BF571,H571))),ROUNDUP(BD571,0)))</f>
        <v>214</v>
      </c>
      <c r="BA571" s="50" t="n">
        <f aca="false">IF(BZ571=1,0,ROUNDUP(AZ571/BY571,0))</f>
        <v>1</v>
      </c>
      <c r="BB571" s="52" t="n">
        <f aca="false">IF(CQ571&gt;0,CQ571*MAX(1,AZ571/X571),IF(BZ571=1,IF(AZ571&lt;=0,0,CD571*MAX(1,IF(H571&gt;0,AZ571/H571,1))),IF(R571&gt;0,BA571/R571,0))/MAX(0.1,N(Parameter!$M$21)))</f>
        <v>0.0384615384615385</v>
      </c>
      <c r="BC571" s="50" t="n">
        <f aca="false">BB571*CB571</f>
        <v>9.42307692307692</v>
      </c>
      <c r="BD571" s="51" t="n">
        <f aca="false">IF(LEFT(Cockpit!$O$5,1)="A",H571,IF(CH571=1,(CK571+CI571)/2,IF(LEFT(Cockpit!$O$5,1)="B",(CK571+BF571)/2,MAX((CK571+BF571)/2,H571))))</f>
        <v>214</v>
      </c>
      <c r="BE571" s="50" t="n">
        <f aca="false">BD571*G571</f>
        <v>32.1</v>
      </c>
      <c r="BF571" s="50" t="n">
        <f aca="false">ROUNDUP(CK571+MAX(CL571,2*(J571/IF(CG571&gt;0,CG571,MAX(0.1,N(Cockpit!$O$6)))-CK571)),0)</f>
        <v>414</v>
      </c>
      <c r="BG571" s="51" t="n">
        <f aca="false">IF(BC571&gt;0,J571/BC571,-1)</f>
        <v>39.0530612244898</v>
      </c>
      <c r="BH571" s="51" t="n">
        <f aca="false">IF(AND(OR(CF571="L1",CF571="L23",CF571="LIFT"),BC571&gt;0),SUMIFS($BC$7:$BC$1843,$CF$7:$CF$1843,CF571,$BG$7:$BG$1843,"&gt;"&amp;BG571)+SUMIFS($BC$7:$BC$1843,$CF$7:$CF$1843,CF571,$BG$7:$BG$1843,BG571,$BW$7:$BW$1843,"&lt;="&amp;BW571),"")</f>
        <v>1271.85073260073</v>
      </c>
      <c r="BI571" s="58" t="n">
        <f aca="false">IF(BH571="",0,MAX(0,MIN(1,(IF(CF571="L1",Parameter!$H$5,IF(CF571="L23",Parameter!$H$6+Parameter!$H$7,Parameter!$H$5+Parameter!$H$6+Parameter!$H$7))-(BH571-BC571))/BC571)))</f>
        <v>1</v>
      </c>
      <c r="BJ571" s="48" t="str">
        <f aca="false">IF(AI571&lt;=0,"",IF(CF571="Aussen","Aussenlager",IF(CF571="-","Nicht im Lift",IF(AO571&gt;=1,"Lift",IF(AO571&lt;=0,"Aussenlager","teilweise")))))</f>
        <v>Lift</v>
      </c>
      <c r="BK571" s="48" t="str">
        <f aca="false">IF(AS571&lt;=0,"",IF(CF571="Aussen","Aussenlager",IF(CF571="-","Nicht im Lift",IF(AY571&gt;=1,"Lift",IF(AY571&lt;=0,"Aussenlager","teilweise")))))</f>
        <v>Lift</v>
      </c>
      <c r="BL571" s="48" t="str">
        <f aca="false">IF(BC571&lt;=0,"",IF(CF571="Aussen","Aussenlager",IF(CF571="-","Nicht im Lift",IF(BI571&gt;=1,"Lift",IF(BI571&lt;=0,"Aussenlager","teilweise")))))</f>
        <v>Lift</v>
      </c>
      <c r="BM571" s="48" t="str">
        <f aca="false">IF(A571="","",IF(BV571=1,"Neu; ","")&amp;IF(AND(BV571=0,BQ571&lt;0),"negativer Bestand (Export "&amp;BQ571&amp;"); ","")&amp;IF(J571&lt;=0,"Kein Verbrauch; ","")&amp;IF(CQ571&gt;0,"Lift "&amp;W571&amp;" lt. Liftbericht (Fach "&amp;X571&amp;" Stk); ",IF(CA571=1,"Gebinde geschätzt ("&amp;T571&amp;"); ",IF(BZ571=1,"Lose – Tablare geschätzt; ","")))&amp;IF(H571&gt;AV571,"Überbestand "&amp;ROUND(H571-AV571,0)&amp;" Stk / CHF "&amp;ROUND((H571-AV571)*G571,0)&amp;"; ","")&amp;IF(AND(CH571=1,CI571&lt;CJ571),"MAX &lt; MB+LG; ","")&amp;IF(AND(CP571&gt;0,CO571*10&gt;CP571),"zu hoch für Tablar; ","")&amp;IF(AND(BV571=0,OR(CH571=1,AA571&lt;&gt;"",U571&lt;&gt;"",V571&lt;&gt;"",AB571&lt;&gt;"")),"manuell übersteuert; ","")&amp;IF(AND(BZ571=0,R571=0),"Gebinde unbekannt / Stellmass fehlt; ","")&amp;IF(AND(BZ571=0,N(V571)&lt;=0,N(Q571)&lt;=0),"Menge pro Gebinde fehlt (Ist = 1 Gebinde); ","")&amp;BU571)</f>
        <v>nicht im KTL vorhanden</v>
      </c>
      <c r="BN571" s="48"/>
      <c r="BO571" s="48"/>
      <c r="BP571" s="55"/>
      <c r="BQ571" s="50" t="n">
        <v>77</v>
      </c>
      <c r="BR571" s="50" t="n">
        <v>301</v>
      </c>
      <c r="BS571" s="49" t="n">
        <v>11.55</v>
      </c>
      <c r="BT571" s="50" t="n">
        <v>368</v>
      </c>
      <c r="BU571" s="48" t="s">
        <v>239</v>
      </c>
      <c r="BV571" s="53" t="n">
        <v>0</v>
      </c>
      <c r="BW571" s="53" t="n">
        <v>571</v>
      </c>
      <c r="BX571" s="48" t="str">
        <f aca="false">IF(U571&lt;&gt;"",UPPER(TRIM(U571)),IF(CA571=1,UPPER(VLOOKUP(T571,Parameter!$I$27:$K$29,2,0)),IF(P571="","LOSE",P571)))</f>
        <v>S52</v>
      </c>
      <c r="BY571" s="50" t="n">
        <f aca="false">IF(BX571="LOSE",1,IF(N(V571)&gt;0,V571,IF(CA571=1,MAX(1,N(VLOOKUP(T571,Parameter!$I$27:$K$29,3,0)),H571,N(N571)),IF(N(Q571)&gt;0,Q571,MAX(1,H571)))))</f>
        <v>400</v>
      </c>
      <c r="BZ571" s="53" t="n">
        <f aca="false">IF(BX571="LOSE",1,0)</f>
        <v>0</v>
      </c>
      <c r="CA571" s="53" t="n">
        <f aca="false">IF(AND(U571="",OR(P571="",P571="LOSE"),T571&lt;&gt;"",N(S571)&lt;=0,ISNUMBER(MATCH(T571,Parameter!$I$27:$I$29,0))),1,0)</f>
        <v>0</v>
      </c>
      <c r="CB571" s="53" t="n">
        <f aca="false">IF(CQ571&gt;0,INDEX(Parameter!$H$5:$H$7,W571)/INDEX(Parameter!$E$5:$E$7,W571),IF(AND(BZ571=0,N(IFERROR(VLOOKUP(BX571,'Gebinde-Kategorie'!$A$5:$N$45,14,0),0))&gt;0),VLOOKUP(BX571,'Gebinde-Kategorie'!$A$5:$N$45,14,0)*10+Parameter!$M$23,Parameter!$M$24))</f>
        <v>245</v>
      </c>
      <c r="CC571" s="48" t="str">
        <f aca="false">IF(AND(Parameter!$B$19="Ja",E571&lt;&gt;"",ISNUMBER(MATCH(E571,Parameter!$I$35:$I$52,0))),VLOOKUP(E571,Parameter!$I$35:$J$52,2,0),IFERROR(VLOOKUP(D571,Parameter!$A$35:$C$64,2,0),"Nein"))</f>
        <v>2+3</v>
      </c>
      <c r="CD571" s="52" t="n">
        <f aca="false">IF(BZ571=0,0,IF(N(S571)&gt;0,S571,IFERROR(VLOOKUP(D571,Parameter!$A$35:$C$64,3,0)+0,0)))</f>
        <v>0</v>
      </c>
      <c r="CE571" s="48" t="n">
        <f aca="false">IF(AA571&lt;&gt;"",AA571,Z571)</f>
        <v>3</v>
      </c>
      <c r="CF571" s="48" t="str">
        <f aca="false">IF(OR(CE571=1,CE571=2,CE571=3),IF(Parameter!$E$27="Ja","LIFT",IF(CE571=1,"L1","L23")),IF(CE571="Aussen","Aussen","-"))</f>
        <v>LIFT</v>
      </c>
      <c r="CG571" s="59" t="n">
        <f aca="false">IF(N(AB571)&gt;0,AB571,0)</f>
        <v>0</v>
      </c>
      <c r="CH571" s="53" t="n">
        <f aca="false">IF(ISNUMBER(AE571),1,0)</f>
        <v>0</v>
      </c>
      <c r="CI571" s="50" t="n">
        <f aca="false">N(AE571)</f>
        <v>0</v>
      </c>
      <c r="CJ571" s="50" t="n">
        <f aca="false">N(M571)+N(N571)</f>
        <v>414</v>
      </c>
      <c r="CK571" s="50" t="n">
        <f aca="false">N(M571)</f>
        <v>14</v>
      </c>
      <c r="CL571" s="50" t="n">
        <f aca="false">N(N571)</f>
        <v>400</v>
      </c>
      <c r="CM571" s="50" t="n">
        <f aca="false">ROUNDUP(H571/BY571,0)</f>
        <v>1</v>
      </c>
      <c r="CN571" s="50" t="n">
        <f aca="false">ROUNDUP(CI571/BY571,0)</f>
        <v>0</v>
      </c>
      <c r="CO571" s="53" t="n">
        <f aca="false">IF(BZ571=1,0,IFERROR(VLOOKUP(BX571,'Gebinde-Kategorie'!$A$5:$N$45,5,0)+0,0))</f>
        <v>21</v>
      </c>
      <c r="CP571" s="53" t="n">
        <f aca="false">IFERROR(IF(OR(CE571=1,CE571=2,CE571=3),N(INDEX(Parameter!$I$5:$I$7,CE571)),0),0)</f>
        <v>0</v>
      </c>
      <c r="CQ571" s="52" t="n">
        <f aca="false">IF(AND(Parameter!$B$21="Ja",ISNUMBER(W571),N(X571)&gt;0),IFERROR(N(INDEX(Parameter!$L$5:$L$7,W571))*INDEX(Parameter!$E$5:$E$7,W571)*X571/SUMIFS($X$7:$X$1843,$W$7:$W$1843,W571),0),0)</f>
        <v>0</v>
      </c>
    </row>
    <row r="572" customFormat="false" ht="15" hidden="false" customHeight="false" outlineLevel="0" collapsed="false">
      <c r="A572" s="48" t="s">
        <v>1213</v>
      </c>
      <c r="B572" s="48" t="s">
        <v>1214</v>
      </c>
      <c r="C572" s="48" t="s">
        <v>173</v>
      </c>
      <c r="D572" s="48" t="s">
        <v>193</v>
      </c>
      <c r="E572" s="48" t="s">
        <v>194</v>
      </c>
      <c r="F572" s="48" t="s">
        <v>227</v>
      </c>
      <c r="G572" s="49" t="n">
        <v>0.05</v>
      </c>
      <c r="H572" s="50" t="n">
        <f aca="false">MAX(0,IF(AND(Parameter!$B$21="Ja",ISNUMBER(Y572)),Y572,IF(Parameter!$B$20="Jahresanfang 2025 + Export",BR572+BQ572,BQ572)))</f>
        <v>703</v>
      </c>
      <c r="I572" s="50" t="n">
        <f aca="false">H572*G572</f>
        <v>35.15</v>
      </c>
      <c r="J572" s="50" t="n">
        <f aca="false">BT572*Parameter!$B$18</f>
        <v>500</v>
      </c>
      <c r="K572" s="51" t="n">
        <v>959.5</v>
      </c>
      <c r="L572" s="52" t="n">
        <v>0.521104742053153</v>
      </c>
      <c r="M572" s="50" t="n">
        <v>29</v>
      </c>
      <c r="N572" s="50" t="n">
        <v>500</v>
      </c>
      <c r="O572" s="53" t="n">
        <v>21</v>
      </c>
      <c r="P572" s="48" t="s">
        <v>435</v>
      </c>
      <c r="Q572" s="50" t="n">
        <v>415</v>
      </c>
      <c r="R572" s="53" t="n">
        <f aca="false">IF(BZ572=1,0,IFERROR(VLOOKUP(BX572,'Gebinde-Kategorie'!$A$5:$N$45,13,0)+0,0))</f>
        <v>140</v>
      </c>
      <c r="S572" s="54"/>
      <c r="T572" s="55"/>
      <c r="U572" s="55"/>
      <c r="V572" s="55"/>
      <c r="W572" s="48"/>
      <c r="X572" s="50"/>
      <c r="Y572" s="50"/>
      <c r="Z572" s="48" t="n">
        <f aca="false">IF(A572="","",IF(AND(Parameter!$B$21="Ja",ISNUMBER(W572)),W572,IF(CC572="2+3",IF(ISNUMBER(SEARCH("grosser Artikel",BU572)),2,IFERROR(VLOOKUP(BX572,Parameter!$F$35:$G$64,2,0),2)),IF(OR(CC572="Nein",CC572=""),"-",CC572))))</f>
        <v>3</v>
      </c>
      <c r="AA572" s="55"/>
      <c r="AB572" s="56"/>
      <c r="AC572" s="50" t="n">
        <f aca="false">AV572</f>
        <v>529</v>
      </c>
      <c r="AD572" s="50" t="n">
        <f aca="false">MAX(AV572,H572)</f>
        <v>703</v>
      </c>
      <c r="AE572" s="57"/>
      <c r="AF572" s="50" t="n">
        <f aca="false">IF(LEFT(Cockpit!$C$5,1)="A",H572,IF(Parameter!$E$30="MAX-Bestand",IF(CH572=1,CI572,IF(LEFT(Cockpit!$C$5,1)="B",AL572,MAX(AL572,H572))),ROUNDUP(AJ572,0)))</f>
        <v>703</v>
      </c>
      <c r="AG572" s="50" t="n">
        <f aca="false">IF(BZ572=1,0,ROUNDUP(AF572/BY572,0))</f>
        <v>2</v>
      </c>
      <c r="AH572" s="52" t="n">
        <f aca="false">IF(CQ572&gt;0,CQ572*MAX(1,AF572/X572),IF(BZ572=1,IF(AF572&lt;=0,0,CD572*MAX(1,IF(H572&gt;0,AF572/H572,1))),IF(R572&gt;0,AG572/R572,0))/MAX(0.1,N(Parameter!$M$21)))</f>
        <v>0.0142857142857143</v>
      </c>
      <c r="AI572" s="50" t="n">
        <f aca="false">AH572*CB572</f>
        <v>2.21428571428571</v>
      </c>
      <c r="AJ572" s="51" t="n">
        <f aca="false">IF(LEFT(Cockpit!$C$5,1)="A",H572,IF(CH572=1,(CK572+CI572)/2,IF(LEFT(Cockpit!$C$5,1)="B",(CK572+AL572)/2,MAX((CK572+AL572)/2,H572))))</f>
        <v>703</v>
      </c>
      <c r="AK572" s="50" t="n">
        <f aca="false">AJ572*G572</f>
        <v>35.15</v>
      </c>
      <c r="AL572" s="50" t="n">
        <f aca="false">ROUNDUP(CK572+MAX(CL572,2*(J572/IF(CG572&gt;0,CG572,MAX(0.1,N(Cockpit!$C$6)))-CK572)),0)</f>
        <v>529</v>
      </c>
      <c r="AM572" s="51" t="n">
        <f aca="false">IF(AI572&gt;0,J572/AI572,-1)</f>
        <v>225.806451612903</v>
      </c>
      <c r="AN572" s="51" t="n">
        <f aca="false">IF(AND(OR(CF572="L1",CF572="L23",CF572="LIFT"),AI572&gt;0),SUMIFS($AI$7:$AI$1843,$CF$7:$CF$1843,CF572,$AM$7:$AM$1843,"&gt;"&amp;AM572)+SUMIFS($AI$7:$AI$1843,$CF$7:$CF$1843,CF572,$AM$7:$AM$1843,AM572,$BW$7:$BW$1843,"&lt;="&amp;BW572),"")</f>
        <v>308.705128205128</v>
      </c>
      <c r="AO572" s="58" t="n">
        <f aca="false">IF(AN572="",0,MAX(0,MIN(1,(IF(CF572="L1",Parameter!$H$5,IF(CF572="L23",Parameter!$H$6+Parameter!$H$7,Parameter!$H$5+Parameter!$H$6+Parameter!$H$7))-(AN572-AI572))/AI572)))</f>
        <v>1</v>
      </c>
      <c r="AP572" s="50" t="n">
        <f aca="false">IF(LEFT(Cockpit!$I$5,1)="A",H572,IF(Parameter!$E$30="MAX-Bestand",IF(CH572=1,CI572,IF(LEFT(Cockpit!$I$5,1)="B",AV572,MAX(AV572,H572))),ROUNDUP(AT572,0)))</f>
        <v>703</v>
      </c>
      <c r="AQ572" s="50" t="n">
        <f aca="false">IF(BZ572=1,0,ROUNDUP(AP572/BY572,0))</f>
        <v>2</v>
      </c>
      <c r="AR572" s="52" t="n">
        <f aca="false">IF(CQ572&gt;0,CQ572*MAX(1,AP572/X572),IF(BZ572=1,IF(AP572&lt;=0,0,CD572*MAX(1,IF(H572&gt;0,AP572/H572,1))),IF(R572&gt;0,AQ572/R572,0))/MAX(0.1,N(Parameter!$M$21)))</f>
        <v>0.0142857142857143</v>
      </c>
      <c r="AS572" s="50" t="n">
        <f aca="false">AR572*CB572</f>
        <v>2.21428571428571</v>
      </c>
      <c r="AT572" s="51" t="n">
        <f aca="false">IF(LEFT(Cockpit!$I$5,1)="A",H572,IF(CH572=1,(CK572+CI572)/2,IF(LEFT(Cockpit!$I$5,1)="B",(CK572+AV572)/2,MAX((CK572+AV572)/2,H572))))</f>
        <v>703</v>
      </c>
      <c r="AU572" s="50" t="n">
        <f aca="false">AT572*G572</f>
        <v>35.15</v>
      </c>
      <c r="AV572" s="50" t="n">
        <f aca="false">ROUNDUP(CK572+MAX(CL572,2*(J572/IF(CG572&gt;0,CG572,MAX(0.1,N(Cockpit!$I$6)))-CK572)),0)</f>
        <v>529</v>
      </c>
      <c r="AW572" s="51" t="n">
        <f aca="false">IF(AS572&gt;0,J572/AS572,-1)</f>
        <v>225.806451612903</v>
      </c>
      <c r="AX572" s="51" t="n">
        <f aca="false">IF(AND(OR(CF572="L1",CF572="L23",CF572="LIFT"),AS572&gt;0),SUMIFS($AS$7:$AS$1843,$CF$7:$CF$1843,CF572,$AW$7:$AW$1843,"&gt;"&amp;AW572)+SUMIFS($AS$7:$AS$1843,$CF$7:$CF$1843,CF572,$AW$7:$AW$1843,AW572,$BW$7:$BW$1843,"&lt;="&amp;BW572),"")</f>
        <v>339.547161172161</v>
      </c>
      <c r="AY572" s="58" t="n">
        <f aca="false">IF(AX572="",0,MAX(0,MIN(1,(IF(CF572="L1",Parameter!$H$5,IF(CF572="L23",Parameter!$H$6+Parameter!$H$7,Parameter!$H$5+Parameter!$H$6+Parameter!$H$7))-(AX572-AS572))/AS572)))</f>
        <v>1</v>
      </c>
      <c r="AZ572" s="50" t="n">
        <f aca="false">IF(LEFT(Cockpit!$O$5,1)="A",H572,IF(Parameter!$E$30="MAX-Bestand",IF(CH572=1,CI572,IF(LEFT(Cockpit!$O$5,1)="B",BF572,MAX(BF572,H572))),ROUNDUP(BD572,0)))</f>
        <v>279</v>
      </c>
      <c r="BA572" s="50" t="n">
        <f aca="false">IF(BZ572=1,0,ROUNDUP(AZ572/BY572,0))</f>
        <v>1</v>
      </c>
      <c r="BB572" s="52" t="n">
        <f aca="false">IF(CQ572&gt;0,CQ572*MAX(1,AZ572/X572),IF(BZ572=1,IF(AZ572&lt;=0,0,CD572*MAX(1,IF(H572&gt;0,AZ572/H572,1))),IF(R572&gt;0,BA572/R572,0))/MAX(0.1,N(Parameter!$M$21)))</f>
        <v>0.00714285714285714</v>
      </c>
      <c r="BC572" s="50" t="n">
        <f aca="false">BB572*CB572</f>
        <v>1.10714285714286</v>
      </c>
      <c r="BD572" s="51" t="n">
        <f aca="false">IF(LEFT(Cockpit!$O$5,1)="A",H572,IF(CH572=1,(CK572+CI572)/2,IF(LEFT(Cockpit!$O$5,1)="B",(CK572+BF572)/2,MAX((CK572+BF572)/2,H572))))</f>
        <v>279</v>
      </c>
      <c r="BE572" s="50" t="n">
        <f aca="false">BD572*G572</f>
        <v>13.95</v>
      </c>
      <c r="BF572" s="50" t="n">
        <f aca="false">ROUNDUP(CK572+MAX(CL572,2*(J572/IF(CG572&gt;0,CG572,MAX(0.1,N(Cockpit!$O$6)))-CK572)),0)</f>
        <v>529</v>
      </c>
      <c r="BG572" s="51" t="n">
        <f aca="false">IF(BC572&gt;0,J572/BC572,-1)</f>
        <v>451.612903225806</v>
      </c>
      <c r="BH572" s="51" t="n">
        <f aca="false">IF(AND(OR(CF572="L1",CF572="L23",CF572="LIFT"),BC572&gt;0),SUMIFS($BC$7:$BC$1843,$CF$7:$CF$1843,CF572,$BG$7:$BG$1843,"&gt;"&amp;BG572)+SUMIFS($BC$7:$BC$1843,$CF$7:$CF$1843,CF572,$BG$7:$BG$1843,BG572,$BW$7:$BW$1843,"&lt;="&amp;BW572),"")</f>
        <v>134.016025641026</v>
      </c>
      <c r="BI572" s="58" t="n">
        <f aca="false">IF(BH572="",0,MAX(0,MIN(1,(IF(CF572="L1",Parameter!$H$5,IF(CF572="L23",Parameter!$H$6+Parameter!$H$7,Parameter!$H$5+Parameter!$H$6+Parameter!$H$7))-(BH572-BC572))/BC572)))</f>
        <v>1</v>
      </c>
      <c r="BJ572" s="48" t="str">
        <f aca="false">IF(AI572&lt;=0,"",IF(CF572="Aussen","Aussenlager",IF(CF572="-","Nicht im Lift",IF(AO572&gt;=1,"Lift",IF(AO572&lt;=0,"Aussenlager","teilweise")))))</f>
        <v>Lift</v>
      </c>
      <c r="BK572" s="48" t="str">
        <f aca="false">IF(AS572&lt;=0,"",IF(CF572="Aussen","Aussenlager",IF(CF572="-","Nicht im Lift",IF(AY572&gt;=1,"Lift",IF(AY572&lt;=0,"Aussenlager","teilweise")))))</f>
        <v>Lift</v>
      </c>
      <c r="BL572" s="48" t="str">
        <f aca="false">IF(BC572&lt;=0,"",IF(CF572="Aussen","Aussenlager",IF(CF572="-","Nicht im Lift",IF(BI572&gt;=1,"Lift",IF(BI572&lt;=0,"Aussenlager","teilweise")))))</f>
        <v>Lift</v>
      </c>
      <c r="BM572" s="48" t="str">
        <f aca="false">IF(A572="","",IF(BV572=1,"Neu; ","")&amp;IF(AND(BV572=0,BQ572&lt;0),"negativer Bestand (Export "&amp;BQ572&amp;"); ","")&amp;IF(J572&lt;=0,"Kein Verbrauch; ","")&amp;IF(CQ572&gt;0,"Lift "&amp;W572&amp;" lt. Liftbericht (Fach "&amp;X572&amp;" Stk); ",IF(CA572=1,"Gebinde geschätzt ("&amp;T572&amp;"); ",IF(BZ572=1,"Lose – Tablare geschätzt; ","")))&amp;IF(H572&gt;AV572,"Überbestand "&amp;ROUND(H572-AV572,0)&amp;" Stk / CHF "&amp;ROUND((H572-AV572)*G572,0)&amp;"; ","")&amp;IF(AND(CH572=1,CI572&lt;CJ572),"MAX &lt; MB+LG; ","")&amp;IF(AND(CP572&gt;0,CO572*10&gt;CP572),"zu hoch für Tablar; ","")&amp;IF(AND(BV572=0,OR(CH572=1,AA572&lt;&gt;"",U572&lt;&gt;"",V572&lt;&gt;"",AB572&lt;&gt;"")),"manuell übersteuert; ","")&amp;IF(AND(BZ572=0,R572=0),"Gebinde unbekannt / Stellmass fehlt; ","")&amp;IF(AND(BZ572=0,N(V572)&lt;=0,N(Q572)&lt;=0),"Menge pro Gebinde fehlt (Ist = 1 Gebinde); ","")&amp;BU572)</f>
        <v>negativer Bestand (Export -101); Überbestand 174 Stk / CHF 9; </v>
      </c>
      <c r="BN572" s="48"/>
      <c r="BO572" s="48"/>
      <c r="BP572" s="55"/>
      <c r="BQ572" s="50" t="n">
        <v>-101</v>
      </c>
      <c r="BR572" s="50" t="n">
        <v>804</v>
      </c>
      <c r="BS572" s="49" t="n">
        <v>11.03</v>
      </c>
      <c r="BT572" s="50" t="n">
        <v>500</v>
      </c>
      <c r="BU572" s="48"/>
      <c r="BV572" s="53" t="n">
        <v>0</v>
      </c>
      <c r="BW572" s="53" t="n">
        <v>572</v>
      </c>
      <c r="BX572" s="48" t="str">
        <f aca="false">IF(U572&lt;&gt;"",UPPER(TRIM(U572)),IF(CA572=1,UPPER(VLOOKUP(T572,Parameter!$I$27:$K$29,2,0)),IF(P572="","LOSE",P572)))</f>
        <v>S22</v>
      </c>
      <c r="BY572" s="50" t="n">
        <f aca="false">IF(BX572="LOSE",1,IF(N(V572)&gt;0,V572,IF(CA572=1,MAX(1,N(VLOOKUP(T572,Parameter!$I$27:$K$29,3,0)),H572,N(N572)),IF(N(Q572)&gt;0,Q572,MAX(1,H572)))))</f>
        <v>415</v>
      </c>
      <c r="BZ572" s="53" t="n">
        <f aca="false">IF(BX572="LOSE",1,0)</f>
        <v>0</v>
      </c>
      <c r="CA572" s="53" t="n">
        <f aca="false">IF(AND(U572="",OR(P572="",P572="LOSE"),T572&lt;&gt;"",N(S572)&lt;=0,ISNUMBER(MATCH(T572,Parameter!$I$27:$I$29,0))),1,0)</f>
        <v>0</v>
      </c>
      <c r="CB572" s="53" t="n">
        <f aca="false">IF(CQ572&gt;0,INDEX(Parameter!$H$5:$H$7,W572)/INDEX(Parameter!$E$5:$E$7,W572),IF(AND(BZ572=0,N(IFERROR(VLOOKUP(BX572,'Gebinde-Kategorie'!$A$5:$N$45,14,0),0))&gt;0),VLOOKUP(BX572,'Gebinde-Kategorie'!$A$5:$N$45,14,0)*10+Parameter!$M$23,Parameter!$M$24))</f>
        <v>155</v>
      </c>
      <c r="CC572" s="48" t="str">
        <f aca="false">IF(AND(Parameter!$B$19="Ja",E572&lt;&gt;"",ISNUMBER(MATCH(E572,Parameter!$I$35:$I$52,0))),VLOOKUP(E572,Parameter!$I$35:$J$52,2,0),IFERROR(VLOOKUP(D572,Parameter!$A$35:$C$64,2,0),"Nein"))</f>
        <v>2+3</v>
      </c>
      <c r="CD572" s="52" t="n">
        <f aca="false">IF(BZ572=0,0,IF(N(S572)&gt;0,S572,IFERROR(VLOOKUP(D572,Parameter!$A$35:$C$64,3,0)+0,0)))</f>
        <v>0</v>
      </c>
      <c r="CE572" s="48" t="n">
        <f aca="false">IF(AA572&lt;&gt;"",AA572,Z572)</f>
        <v>3</v>
      </c>
      <c r="CF572" s="48" t="str">
        <f aca="false">IF(OR(CE572=1,CE572=2,CE572=3),IF(Parameter!$E$27="Ja","LIFT",IF(CE572=1,"L1","L23")),IF(CE572="Aussen","Aussen","-"))</f>
        <v>LIFT</v>
      </c>
      <c r="CG572" s="59" t="n">
        <f aca="false">IF(N(AB572)&gt;0,AB572,0)</f>
        <v>0</v>
      </c>
      <c r="CH572" s="53" t="n">
        <f aca="false">IF(ISNUMBER(AE572),1,0)</f>
        <v>0</v>
      </c>
      <c r="CI572" s="50" t="n">
        <f aca="false">N(AE572)</f>
        <v>0</v>
      </c>
      <c r="CJ572" s="50" t="n">
        <f aca="false">N(M572)+N(N572)</f>
        <v>529</v>
      </c>
      <c r="CK572" s="50" t="n">
        <f aca="false">N(M572)</f>
        <v>29</v>
      </c>
      <c r="CL572" s="50" t="n">
        <f aca="false">N(N572)</f>
        <v>500</v>
      </c>
      <c r="CM572" s="50" t="n">
        <f aca="false">ROUNDUP(H572/BY572,0)</f>
        <v>2</v>
      </c>
      <c r="CN572" s="50" t="n">
        <f aca="false">ROUNDUP(CI572/BY572,0)</f>
        <v>0</v>
      </c>
      <c r="CO572" s="53" t="n">
        <f aca="false">IF(BZ572=1,0,IFERROR(VLOOKUP(BX572,'Gebinde-Kategorie'!$A$5:$N$45,5,0)+0,0))</f>
        <v>8</v>
      </c>
      <c r="CP572" s="53" t="n">
        <f aca="false">IFERROR(IF(OR(CE572=1,CE572=2,CE572=3),N(INDEX(Parameter!$I$5:$I$7,CE572)),0),0)</f>
        <v>0</v>
      </c>
      <c r="CQ572" s="52" t="n">
        <f aca="false">IF(AND(Parameter!$B$21="Ja",ISNUMBER(W572),N(X572)&gt;0),IFERROR(N(INDEX(Parameter!$L$5:$L$7,W572))*INDEX(Parameter!$E$5:$E$7,W572)*X572/SUMIFS($X$7:$X$1843,$W$7:$W$1843,W572),0),0)</f>
        <v>0</v>
      </c>
    </row>
    <row r="573" customFormat="false" ht="15" hidden="false" customHeight="false" outlineLevel="0" collapsed="false">
      <c r="A573" s="48" t="s">
        <v>1215</v>
      </c>
      <c r="B573" s="48" t="s">
        <v>1216</v>
      </c>
      <c r="C573" s="48" t="s">
        <v>173</v>
      </c>
      <c r="D573" s="48" t="s">
        <v>182</v>
      </c>
      <c r="E573" s="48"/>
      <c r="F573" s="48" t="s">
        <v>227</v>
      </c>
      <c r="G573" s="49" t="n">
        <v>10.5</v>
      </c>
      <c r="H573" s="50" t="n">
        <f aca="false">MAX(0,IF(AND(Parameter!$B$21="Ja",ISNUMBER(Y573)),Y573,IF(Parameter!$B$20="Jahresanfang 2025 + Export",BR573+BQ573,BQ573)))</f>
        <v>1</v>
      </c>
      <c r="I573" s="50" t="n">
        <f aca="false">H573*G573</f>
        <v>10.5</v>
      </c>
      <c r="J573" s="50" t="n">
        <f aca="false">BT573*Parameter!$B$18</f>
        <v>0</v>
      </c>
      <c r="K573" s="51" t="n">
        <v>0</v>
      </c>
      <c r="L573" s="52" t="n">
        <v>0</v>
      </c>
      <c r="M573" s="50" t="n">
        <v>0</v>
      </c>
      <c r="N573" s="50" t="n">
        <v>1</v>
      </c>
      <c r="O573" s="53" t="n">
        <v>21</v>
      </c>
      <c r="P573" s="48" t="s">
        <v>177</v>
      </c>
      <c r="Q573" s="50"/>
      <c r="R573" s="53" t="n">
        <f aca="false">IF(BZ573=1,0,IFERROR(VLOOKUP(BX573,'Gebinde-Kategorie'!$A$5:$N$45,13,0)+0,0))</f>
        <v>4</v>
      </c>
      <c r="S573" s="54"/>
      <c r="T573" s="55" t="s">
        <v>198</v>
      </c>
      <c r="U573" s="55"/>
      <c r="V573" s="55"/>
      <c r="W573" s="48"/>
      <c r="X573" s="50"/>
      <c r="Y573" s="50"/>
      <c r="Z573" s="48" t="n">
        <f aca="false">IF(A573="","",IF(AND(Parameter!$B$21="Ja",ISNUMBER(W573)),W573,IF(CC573="2+3",IF(ISNUMBER(SEARCH("grosser Artikel",BU573)),2,IFERROR(VLOOKUP(BX573,Parameter!$F$35:$G$64,2,0),2)),IF(OR(CC573="Nein",CC573=""),"-",CC573))))</f>
        <v>2</v>
      </c>
      <c r="AA573" s="55"/>
      <c r="AB573" s="56"/>
      <c r="AC573" s="50" t="n">
        <f aca="false">AV573</f>
        <v>1</v>
      </c>
      <c r="AD573" s="50" t="n">
        <f aca="false">MAX(AV573,H573)</f>
        <v>1</v>
      </c>
      <c r="AE573" s="57"/>
      <c r="AF573" s="50" t="n">
        <f aca="false">IF(LEFT(Cockpit!$C$5,1)="A",H573,IF(Parameter!$E$30="MAX-Bestand",IF(CH573=1,CI573,IF(LEFT(Cockpit!$C$5,1)="B",AL573,MAX(AL573,H573))),ROUNDUP(AJ573,0)))</f>
        <v>1</v>
      </c>
      <c r="AG573" s="50" t="n">
        <f aca="false">IF(BZ573=1,0,ROUNDUP(AF573/BY573,0))</f>
        <v>1</v>
      </c>
      <c r="AH573" s="52" t="n">
        <f aca="false">IF(CQ573&gt;0,CQ573*MAX(1,AF573/X573),IF(BZ573=1,IF(AF573&lt;=0,0,CD573*MAX(1,IF(H573&gt;0,AF573/H573,1))),IF(R573&gt;0,AG573/R573,0))/MAX(0.1,N(Parameter!$M$21)))</f>
        <v>0.25</v>
      </c>
      <c r="AI573" s="50" t="n">
        <f aca="false">AH573*CB573</f>
        <v>58.75</v>
      </c>
      <c r="AJ573" s="51" t="n">
        <f aca="false">IF(LEFT(Cockpit!$C$5,1)="A",H573,IF(CH573=1,(CK573+CI573)/2,IF(LEFT(Cockpit!$C$5,1)="B",(CK573+AL573)/2,MAX((CK573+AL573)/2,H573))))</f>
        <v>1</v>
      </c>
      <c r="AK573" s="50" t="n">
        <f aca="false">AJ573*G573</f>
        <v>10.5</v>
      </c>
      <c r="AL573" s="50" t="n">
        <f aca="false">ROUNDUP(CK573+MAX(CL573,2*(J573/IF(CG573&gt;0,CG573,MAX(0.1,N(Cockpit!$C$6)))-CK573)),0)</f>
        <v>1</v>
      </c>
      <c r="AM573" s="51" t="n">
        <f aca="false">IF(AI573&gt;0,J573/AI573,-1)</f>
        <v>0</v>
      </c>
      <c r="AN573" s="51" t="n">
        <f aca="false">IF(AND(OR(CF573="L1",CF573="L23",CF573="LIFT"),AI573&gt;0),SUMIFS($AI$7:$AI$1843,$CF$7:$CF$1843,CF573,$AM$7:$AM$1843,"&gt;"&amp;AM573)+SUMIFS($AI$7:$AI$1843,$CF$7:$CF$1843,CF573,$AM$7:$AM$1843,AM573,$BW$7:$BW$1843,"&lt;="&amp;BW573),"")</f>
        <v>28458.0400033112</v>
      </c>
      <c r="AO573" s="58" t="n">
        <f aca="false">IF(AN573="",0,MAX(0,MIN(1,(IF(CF573="L1",Parameter!$H$5,IF(CF573="L23",Parameter!$H$6+Parameter!$H$7,Parameter!$H$5+Parameter!$H$6+Parameter!$H$7))-(AN573-AI573))/AI573)))</f>
        <v>1</v>
      </c>
      <c r="AP573" s="50" t="n">
        <f aca="false">IF(LEFT(Cockpit!$I$5,1)="A",H573,IF(Parameter!$E$30="MAX-Bestand",IF(CH573=1,CI573,IF(LEFT(Cockpit!$I$5,1)="B",AV573,MAX(AV573,H573))),ROUNDUP(AT573,0)))</f>
        <v>1</v>
      </c>
      <c r="AQ573" s="50" t="n">
        <f aca="false">IF(BZ573=1,0,ROUNDUP(AP573/BY573,0))</f>
        <v>1</v>
      </c>
      <c r="AR573" s="52" t="n">
        <f aca="false">IF(CQ573&gt;0,CQ573*MAX(1,AP573/X573),IF(BZ573=1,IF(AP573&lt;=0,0,CD573*MAX(1,IF(H573&gt;0,AP573/H573,1))),IF(R573&gt;0,AQ573/R573,0))/MAX(0.1,N(Parameter!$M$21)))</f>
        <v>0.25</v>
      </c>
      <c r="AS573" s="50" t="n">
        <f aca="false">AR573*CB573</f>
        <v>58.75</v>
      </c>
      <c r="AT573" s="51" t="n">
        <f aca="false">IF(LEFT(Cockpit!$I$5,1)="A",H573,IF(CH573=1,(CK573+CI573)/2,IF(LEFT(Cockpit!$I$5,1)="B",(CK573+AV573)/2,MAX((CK573+AV573)/2,H573))))</f>
        <v>1</v>
      </c>
      <c r="AU573" s="50" t="n">
        <f aca="false">AT573*G573</f>
        <v>10.5</v>
      </c>
      <c r="AV573" s="50" t="n">
        <f aca="false">ROUNDUP(CK573+MAX(CL573,2*(J573/IF(CG573&gt;0,CG573,MAX(0.1,N(Cockpit!$I$6)))-CK573)),0)</f>
        <v>1</v>
      </c>
      <c r="AW573" s="51" t="n">
        <f aca="false">IF(AS573&gt;0,J573/AS573,-1)</f>
        <v>0</v>
      </c>
      <c r="AX573" s="51" t="n">
        <f aca="false">IF(AND(OR(CF573="L1",CF573="L23",CF573="LIFT"),AS573&gt;0),SUMIFS($AS$7:$AS$1843,$CF$7:$CF$1843,CF573,$AW$7:$AW$1843,"&gt;"&amp;AW573)+SUMIFS($AS$7:$AS$1843,$CF$7:$CF$1843,CF573,$AW$7:$AW$1843,AW573,$BW$7:$BW$1843,"&lt;="&amp;BW573),"")</f>
        <v>33811.1886446886</v>
      </c>
      <c r="AY573" s="58" t="n">
        <f aca="false">IF(AX573="",0,MAX(0,MIN(1,(IF(CF573="L1",Parameter!$H$5,IF(CF573="L23",Parameter!$H$6+Parameter!$H$7,Parameter!$H$5+Parameter!$H$6+Parameter!$H$7))-(AX573-AS573))/AS573)))</f>
        <v>1</v>
      </c>
      <c r="AZ573" s="50" t="n">
        <f aca="false">IF(LEFT(Cockpit!$O$5,1)="A",H573,IF(Parameter!$E$30="MAX-Bestand",IF(CH573=1,CI573,IF(LEFT(Cockpit!$O$5,1)="B",BF573,MAX(BF573,H573))),ROUNDUP(BD573,0)))</f>
        <v>1</v>
      </c>
      <c r="BA573" s="50" t="n">
        <f aca="false">IF(BZ573=1,0,ROUNDUP(AZ573/BY573,0))</f>
        <v>1</v>
      </c>
      <c r="BB573" s="52" t="n">
        <f aca="false">IF(CQ573&gt;0,CQ573*MAX(1,AZ573/X573),IF(BZ573=1,IF(AZ573&lt;=0,0,CD573*MAX(1,IF(H573&gt;0,AZ573/H573,1))),IF(R573&gt;0,BA573/R573,0))/MAX(0.1,N(Parameter!$M$21)))</f>
        <v>0.25</v>
      </c>
      <c r="BC573" s="50" t="n">
        <f aca="false">BB573*CB573</f>
        <v>58.75</v>
      </c>
      <c r="BD573" s="51" t="n">
        <f aca="false">IF(LEFT(Cockpit!$O$5,1)="A",H573,IF(CH573=1,(CK573+CI573)/2,IF(LEFT(Cockpit!$O$5,1)="B",(CK573+BF573)/2,MAX((CK573+BF573)/2,H573))))</f>
        <v>0.5</v>
      </c>
      <c r="BE573" s="50" t="n">
        <f aca="false">BD573*G573</f>
        <v>5.25</v>
      </c>
      <c r="BF573" s="50" t="n">
        <f aca="false">ROUNDUP(CK573+MAX(CL573,2*(J573/IF(CG573&gt;0,CG573,MAX(0.1,N(Cockpit!$O$6)))-CK573)),0)</f>
        <v>1</v>
      </c>
      <c r="BG573" s="51" t="n">
        <f aca="false">IF(BC573&gt;0,J573/BC573,-1)</f>
        <v>0</v>
      </c>
      <c r="BH573" s="51" t="n">
        <f aca="false">IF(AND(OR(CF573="L1",CF573="L23",CF573="LIFT"),BC573&gt;0),SUMIFS($BC$7:$BC$1843,$CF$7:$CF$1843,CF573,$BG$7:$BG$1843,"&gt;"&amp;BG573)+SUMIFS($BC$7:$BC$1843,$CF$7:$CF$1843,CF573,$BG$7:$BG$1843,BG573,$BW$7:$BW$1843,"&lt;="&amp;BW573),"")</f>
        <v>27888.5181986093</v>
      </c>
      <c r="BI573" s="58" t="n">
        <f aca="false">IF(BH573="",0,MAX(0,MIN(1,(IF(CF573="L1",Parameter!$H$5,IF(CF573="L23",Parameter!$H$6+Parameter!$H$7,Parameter!$H$5+Parameter!$H$6+Parameter!$H$7))-(BH573-BC573))/BC573)))</f>
        <v>1</v>
      </c>
      <c r="BJ573" s="48" t="str">
        <f aca="false">IF(AI573&lt;=0,"",IF(CF573="Aussen","Aussenlager",IF(CF573="-","Nicht im Lift",IF(AO573&gt;=1,"Lift",IF(AO573&lt;=0,"Aussenlager","teilweise")))))</f>
        <v>Lift</v>
      </c>
      <c r="BK573" s="48" t="str">
        <f aca="false">IF(AS573&lt;=0,"",IF(CF573="Aussen","Aussenlager",IF(CF573="-","Nicht im Lift",IF(AY573&gt;=1,"Lift",IF(AY573&lt;=0,"Aussenlager","teilweise")))))</f>
        <v>Lift</v>
      </c>
      <c r="BL573" s="48" t="str">
        <f aca="false">IF(BC573&lt;=0,"",IF(CF573="Aussen","Aussenlager",IF(CF573="-","Nicht im Lift",IF(BI573&gt;=1,"Lift",IF(BI573&lt;=0,"Aussenlager","teilweise")))))</f>
        <v>Lift</v>
      </c>
      <c r="BM573" s="48" t="str">
        <f aca="false">IF(A573="","",IF(BV573=1,"Neu; ","")&amp;IF(AND(BV573=0,BQ573&lt;0),"negativer Bestand (Export "&amp;BQ573&amp;"); ","")&amp;IF(J573&lt;=0,"Kein Verbrauch; ","")&amp;IF(CQ573&gt;0,"Lift "&amp;W573&amp;" lt. Liftbericht (Fach "&amp;X573&amp;" Stk); ",IF(CA573=1,"Gebinde geschätzt ("&amp;T573&amp;"); ",IF(BZ573=1,"Lose – Tablare geschätzt; ","")))&amp;IF(H573&gt;AV573,"Überbestand "&amp;ROUND(H573-AV573,0)&amp;" Stk / CHF "&amp;ROUND((H573-AV573)*G573,0)&amp;"; ","")&amp;IF(AND(CH573=1,CI573&lt;CJ573),"MAX &lt; MB+LG; ","")&amp;IF(AND(CP573&gt;0,CO573*10&gt;CP573),"zu hoch für Tablar; ","")&amp;IF(AND(BV573=0,OR(CH573=1,AA573&lt;&gt;"",U573&lt;&gt;"",V573&lt;&gt;"",AB573&lt;&gt;"")),"manuell übersteuert; ","")&amp;IF(AND(BZ573=0,R573=0),"Gebinde unbekannt / Stellmass fehlt; ","")&amp;IF(AND(BZ573=0,N(V573)&lt;=0,N(Q573)&lt;=0),"Menge pro Gebinde fehlt (Ist = 1 Gebinde); ","")&amp;BU573)</f>
        <v>Kein Verbrauch; Gebinde geschätzt (Gross); Menge pro Gebinde fehlt (Ist = 1 Gebinde); </v>
      </c>
      <c r="BN573" s="48"/>
      <c r="BO573" s="48"/>
      <c r="BP573" s="55"/>
      <c r="BQ573" s="50" t="n">
        <v>1</v>
      </c>
      <c r="BR573" s="50" t="n">
        <v>0</v>
      </c>
      <c r="BS573" s="49" t="n">
        <v>10.5</v>
      </c>
      <c r="BT573" s="50" t="n">
        <v>0</v>
      </c>
      <c r="BU573" s="48"/>
      <c r="BV573" s="53" t="n">
        <v>0</v>
      </c>
      <c r="BW573" s="53" t="n">
        <v>573</v>
      </c>
      <c r="BX573" s="48" t="str">
        <f aca="false">IF(U573&lt;&gt;"",UPPER(TRIM(U573)),IF(CA573=1,UPPER(VLOOKUP(T573,Parameter!$I$27:$K$29,2,0)),IF(P573="","LOSE",P573)))</f>
        <v>S81</v>
      </c>
      <c r="BY573" s="50" t="n">
        <f aca="false">IF(BX573="LOSE",1,IF(N(V573)&gt;0,V573,IF(CA573=1,MAX(1,N(VLOOKUP(T573,Parameter!$I$27:$K$29,3,0)),H573,N(N573)),IF(N(Q573)&gt;0,Q573,MAX(1,H573)))))</f>
        <v>2</v>
      </c>
      <c r="BZ573" s="53" t="n">
        <f aca="false">IF(BX573="LOSE",1,0)</f>
        <v>0</v>
      </c>
      <c r="CA573" s="53" t="n">
        <f aca="false">IF(AND(U573="",OR(P573="",P573="LOSE"),T573&lt;&gt;"",N(S573)&lt;=0,ISNUMBER(MATCH(T573,Parameter!$I$27:$I$29,0))),1,0)</f>
        <v>1</v>
      </c>
      <c r="CB573" s="53" t="n">
        <f aca="false">IF(CQ573&gt;0,INDEX(Parameter!$H$5:$H$7,W573)/INDEX(Parameter!$E$5:$E$7,W573),IF(AND(BZ573=0,N(IFERROR(VLOOKUP(BX573,'Gebinde-Kategorie'!$A$5:$N$45,14,0),0))&gt;0),VLOOKUP(BX573,'Gebinde-Kategorie'!$A$5:$N$45,14,0)*10+Parameter!$M$23,Parameter!$M$24))</f>
        <v>235</v>
      </c>
      <c r="CC573" s="48" t="str">
        <f aca="false">IF(AND(Parameter!$B$19="Ja",E573&lt;&gt;"",ISNUMBER(MATCH(E573,Parameter!$I$35:$I$52,0))),VLOOKUP(E573,Parameter!$I$35:$J$52,2,0),IFERROR(VLOOKUP(D573,Parameter!$A$35:$C$64,2,0),"Nein"))</f>
        <v>2+3</v>
      </c>
      <c r="CD573" s="52" t="n">
        <f aca="false">IF(BZ573=0,0,IF(N(S573)&gt;0,S573,IFERROR(VLOOKUP(D573,Parameter!$A$35:$C$64,3,0)+0,0)))</f>
        <v>0</v>
      </c>
      <c r="CE573" s="48" t="n">
        <f aca="false">IF(AA573&lt;&gt;"",AA573,Z573)</f>
        <v>2</v>
      </c>
      <c r="CF573" s="48" t="str">
        <f aca="false">IF(OR(CE573=1,CE573=2,CE573=3),IF(Parameter!$E$27="Ja","LIFT",IF(CE573=1,"L1","L23")),IF(CE573="Aussen","Aussen","-"))</f>
        <v>LIFT</v>
      </c>
      <c r="CG573" s="59" t="n">
        <f aca="false">IF(N(AB573)&gt;0,AB573,0)</f>
        <v>0</v>
      </c>
      <c r="CH573" s="53" t="n">
        <f aca="false">IF(ISNUMBER(AE573),1,0)</f>
        <v>0</v>
      </c>
      <c r="CI573" s="50" t="n">
        <f aca="false">N(AE573)</f>
        <v>0</v>
      </c>
      <c r="CJ573" s="50" t="n">
        <f aca="false">N(M573)+N(N573)</f>
        <v>1</v>
      </c>
      <c r="CK573" s="50" t="n">
        <f aca="false">N(M573)</f>
        <v>0</v>
      </c>
      <c r="CL573" s="50" t="n">
        <f aca="false">N(N573)</f>
        <v>1</v>
      </c>
      <c r="CM573" s="50" t="n">
        <f aca="false">ROUNDUP(H573/BY573,0)</f>
        <v>1</v>
      </c>
      <c r="CN573" s="50" t="n">
        <f aca="false">ROUNDUP(CI573/BY573,0)</f>
        <v>0</v>
      </c>
      <c r="CO573" s="53" t="n">
        <f aca="false">IF(BZ573=1,0,IFERROR(VLOOKUP(BX573,'Gebinde-Kategorie'!$A$5:$N$45,5,0)+0,0))</f>
        <v>20</v>
      </c>
      <c r="CP573" s="53" t="n">
        <f aca="false">IFERROR(IF(OR(CE573=1,CE573=2,CE573=3),N(INDEX(Parameter!$I$5:$I$7,CE573)),0),0)</f>
        <v>0</v>
      </c>
      <c r="CQ573" s="52" t="n">
        <f aca="false">IF(AND(Parameter!$B$21="Ja",ISNUMBER(W573),N(X573)&gt;0),IFERROR(N(INDEX(Parameter!$L$5:$L$7,W573))*INDEX(Parameter!$E$5:$E$7,W573)*X573/SUMIFS($X$7:$X$1843,$W$7:$W$1843,W573),0),0)</f>
        <v>0</v>
      </c>
    </row>
    <row r="574" customFormat="false" ht="15" hidden="false" customHeight="false" outlineLevel="0" collapsed="false">
      <c r="A574" s="48" t="s">
        <v>1217</v>
      </c>
      <c r="B574" s="48" t="s">
        <v>1218</v>
      </c>
      <c r="C574" s="48" t="s">
        <v>173</v>
      </c>
      <c r="D574" s="48" t="s">
        <v>193</v>
      </c>
      <c r="E574" s="48" t="s">
        <v>194</v>
      </c>
      <c r="F574" s="48" t="s">
        <v>227</v>
      </c>
      <c r="G574" s="49" t="n">
        <v>0.05</v>
      </c>
      <c r="H574" s="50" t="n">
        <f aca="false">MAX(0,IF(AND(Parameter!$B$21="Ja",ISNUMBER(Y574)),Y574,IF(Parameter!$B$20="Jahresanfang 2025 + Export",BR574+BQ574,BQ574)))</f>
        <v>810</v>
      </c>
      <c r="I574" s="50" t="n">
        <f aca="false">H574*G574</f>
        <v>40.5</v>
      </c>
      <c r="J574" s="50" t="n">
        <f aca="false">BT574*Parameter!$B$18</f>
        <v>0</v>
      </c>
      <c r="K574" s="51" t="n">
        <v>705</v>
      </c>
      <c r="L574" s="52" t="n">
        <v>0</v>
      </c>
      <c r="M574" s="50" t="n">
        <v>0</v>
      </c>
      <c r="N574" s="50" t="n">
        <v>1</v>
      </c>
      <c r="O574" s="53" t="n">
        <v>14</v>
      </c>
      <c r="P574" s="48" t="s">
        <v>410</v>
      </c>
      <c r="Q574" s="50" t="n">
        <v>512</v>
      </c>
      <c r="R574" s="53" t="n">
        <f aca="false">IF(BZ574=1,0,IFERROR(VLOOKUP(BX574,'Gebinde-Kategorie'!$A$5:$N$45,13,0)+0,0))</f>
        <v>280</v>
      </c>
      <c r="S574" s="54"/>
      <c r="T574" s="55"/>
      <c r="U574" s="55"/>
      <c r="V574" s="55"/>
      <c r="W574" s="48"/>
      <c r="X574" s="50"/>
      <c r="Y574" s="50"/>
      <c r="Z574" s="48" t="n">
        <f aca="false">IF(A574="","",IF(AND(Parameter!$B$21="Ja",ISNUMBER(W574)),W574,IF(CC574="2+3",IF(ISNUMBER(SEARCH("grosser Artikel",BU574)),2,IFERROR(VLOOKUP(BX574,Parameter!$F$35:$G$64,2,0),2)),IF(OR(CC574="Nein",CC574=""),"-",CC574))))</f>
        <v>3</v>
      </c>
      <c r="AA574" s="55"/>
      <c r="AB574" s="56"/>
      <c r="AC574" s="50" t="n">
        <f aca="false">AV574</f>
        <v>1</v>
      </c>
      <c r="AD574" s="50" t="n">
        <f aca="false">MAX(AV574,H574)</f>
        <v>810</v>
      </c>
      <c r="AE574" s="57"/>
      <c r="AF574" s="50" t="n">
        <f aca="false">IF(LEFT(Cockpit!$C$5,1)="A",H574,IF(Parameter!$E$30="MAX-Bestand",IF(CH574=1,CI574,IF(LEFT(Cockpit!$C$5,1)="B",AL574,MAX(AL574,H574))),ROUNDUP(AJ574,0)))</f>
        <v>810</v>
      </c>
      <c r="AG574" s="50" t="n">
        <f aca="false">IF(BZ574=1,0,ROUNDUP(AF574/BY574,0))</f>
        <v>2</v>
      </c>
      <c r="AH574" s="52" t="n">
        <f aca="false">IF(CQ574&gt;0,CQ574*MAX(1,AF574/X574),IF(BZ574=1,IF(AF574&lt;=0,0,CD574*MAX(1,IF(H574&gt;0,AF574/H574,1))),IF(R574&gt;0,AG574/R574,0))/MAX(0.1,N(Parameter!$M$21)))</f>
        <v>0.00714285714285714</v>
      </c>
      <c r="AI574" s="50" t="n">
        <f aca="false">AH574*CB574</f>
        <v>1.10714285714286</v>
      </c>
      <c r="AJ574" s="51" t="n">
        <f aca="false">IF(LEFT(Cockpit!$C$5,1)="A",H574,IF(CH574=1,(CK574+CI574)/2,IF(LEFT(Cockpit!$C$5,1)="B",(CK574+AL574)/2,MAX((CK574+AL574)/2,H574))))</f>
        <v>810</v>
      </c>
      <c r="AK574" s="50" t="n">
        <f aca="false">AJ574*G574</f>
        <v>40.5</v>
      </c>
      <c r="AL574" s="50" t="n">
        <f aca="false">ROUNDUP(CK574+MAX(CL574,2*(J574/IF(CG574&gt;0,CG574,MAX(0.1,N(Cockpit!$C$6)))-CK574)),0)</f>
        <v>1</v>
      </c>
      <c r="AM574" s="51" t="n">
        <f aca="false">IF(AI574&gt;0,J574/AI574,-1)</f>
        <v>0</v>
      </c>
      <c r="AN574" s="51" t="n">
        <f aca="false">IF(AND(OR(CF574="L1",CF574="L23",CF574="LIFT"),AI574&gt;0),SUMIFS($AI$7:$AI$1843,$CF$7:$CF$1843,CF574,$AM$7:$AM$1843,"&gt;"&amp;AM574)+SUMIFS($AI$7:$AI$1843,$CF$7:$CF$1843,CF574,$AM$7:$AM$1843,AM574,$BW$7:$BW$1843,"&lt;="&amp;BW574),"")</f>
        <v>28459.1471461683</v>
      </c>
      <c r="AO574" s="58" t="n">
        <f aca="false">IF(AN574="",0,MAX(0,MIN(1,(IF(CF574="L1",Parameter!$H$5,IF(CF574="L23",Parameter!$H$6+Parameter!$H$7,Parameter!$H$5+Parameter!$H$6+Parameter!$H$7))-(AN574-AI574))/AI574)))</f>
        <v>1</v>
      </c>
      <c r="AP574" s="50" t="n">
        <f aca="false">IF(LEFT(Cockpit!$I$5,1)="A",H574,IF(Parameter!$E$30="MAX-Bestand",IF(CH574=1,CI574,IF(LEFT(Cockpit!$I$5,1)="B",AV574,MAX(AV574,H574))),ROUNDUP(AT574,0)))</f>
        <v>810</v>
      </c>
      <c r="AQ574" s="50" t="n">
        <f aca="false">IF(BZ574=1,0,ROUNDUP(AP574/BY574,0))</f>
        <v>2</v>
      </c>
      <c r="AR574" s="52" t="n">
        <f aca="false">IF(CQ574&gt;0,CQ574*MAX(1,AP574/X574),IF(BZ574=1,IF(AP574&lt;=0,0,CD574*MAX(1,IF(H574&gt;0,AP574/H574,1))),IF(R574&gt;0,AQ574/R574,0))/MAX(0.1,N(Parameter!$M$21)))</f>
        <v>0.00714285714285714</v>
      </c>
      <c r="AS574" s="50" t="n">
        <f aca="false">AR574*CB574</f>
        <v>1.10714285714286</v>
      </c>
      <c r="AT574" s="51" t="n">
        <f aca="false">IF(LEFT(Cockpit!$I$5,1)="A",H574,IF(CH574=1,(CK574+CI574)/2,IF(LEFT(Cockpit!$I$5,1)="B",(CK574+AV574)/2,MAX((CK574+AV574)/2,H574))))</f>
        <v>810</v>
      </c>
      <c r="AU574" s="50" t="n">
        <f aca="false">AT574*G574</f>
        <v>40.5</v>
      </c>
      <c r="AV574" s="50" t="n">
        <f aca="false">ROUNDUP(CK574+MAX(CL574,2*(J574/IF(CG574&gt;0,CG574,MAX(0.1,N(Cockpit!$I$6)))-CK574)),0)</f>
        <v>1</v>
      </c>
      <c r="AW574" s="51" t="n">
        <f aca="false">IF(AS574&gt;0,J574/AS574,-1)</f>
        <v>0</v>
      </c>
      <c r="AX574" s="51" t="n">
        <f aca="false">IF(AND(OR(CF574="L1",CF574="L23",CF574="LIFT"),AS574&gt;0),SUMIFS($AS$7:$AS$1843,$CF$7:$CF$1843,CF574,$AW$7:$AW$1843,"&gt;"&amp;AW574)+SUMIFS($AS$7:$AS$1843,$CF$7:$CF$1843,CF574,$AW$7:$AW$1843,AW574,$BW$7:$BW$1843,"&lt;="&amp;BW574),"")</f>
        <v>33812.2957875458</v>
      </c>
      <c r="AY574" s="58" t="n">
        <f aca="false">IF(AX574="",0,MAX(0,MIN(1,(IF(CF574="L1",Parameter!$H$5,IF(CF574="L23",Parameter!$H$6+Parameter!$H$7,Parameter!$H$5+Parameter!$H$6+Parameter!$H$7))-(AX574-AS574))/AS574)))</f>
        <v>1</v>
      </c>
      <c r="AZ574" s="50" t="n">
        <f aca="false">IF(LEFT(Cockpit!$O$5,1)="A",H574,IF(Parameter!$E$30="MAX-Bestand",IF(CH574=1,CI574,IF(LEFT(Cockpit!$O$5,1)="B",BF574,MAX(BF574,H574))),ROUNDUP(BD574,0)))</f>
        <v>1</v>
      </c>
      <c r="BA574" s="50" t="n">
        <f aca="false">IF(BZ574=1,0,ROUNDUP(AZ574/BY574,0))</f>
        <v>1</v>
      </c>
      <c r="BB574" s="52" t="n">
        <f aca="false">IF(CQ574&gt;0,CQ574*MAX(1,AZ574/X574),IF(BZ574=1,IF(AZ574&lt;=0,0,CD574*MAX(1,IF(H574&gt;0,AZ574/H574,1))),IF(R574&gt;0,BA574/R574,0))/MAX(0.1,N(Parameter!$M$21)))</f>
        <v>0.00357142857142857</v>
      </c>
      <c r="BC574" s="50" t="n">
        <f aca="false">BB574*CB574</f>
        <v>0.553571428571429</v>
      </c>
      <c r="BD574" s="51" t="n">
        <f aca="false">IF(LEFT(Cockpit!$O$5,1)="A",H574,IF(CH574=1,(CK574+CI574)/2,IF(LEFT(Cockpit!$O$5,1)="B",(CK574+BF574)/2,MAX((CK574+BF574)/2,H574))))</f>
        <v>0.5</v>
      </c>
      <c r="BE574" s="50" t="n">
        <f aca="false">BD574*G574</f>
        <v>0.025</v>
      </c>
      <c r="BF574" s="50" t="n">
        <f aca="false">ROUNDUP(CK574+MAX(CL574,2*(J574/IF(CG574&gt;0,CG574,MAX(0.1,N(Cockpit!$O$6)))-CK574)),0)</f>
        <v>1</v>
      </c>
      <c r="BG574" s="51" t="n">
        <f aca="false">IF(BC574&gt;0,J574/BC574,-1)</f>
        <v>0</v>
      </c>
      <c r="BH574" s="51" t="n">
        <f aca="false">IF(AND(OR(CF574="L1",CF574="L23",CF574="LIFT"),BC574&gt;0),SUMIFS($BC$7:$BC$1843,$CF$7:$CF$1843,CF574,$BG$7:$BG$1843,"&gt;"&amp;BG574)+SUMIFS($BC$7:$BC$1843,$CF$7:$CF$1843,CF574,$BG$7:$BG$1843,BG574,$BW$7:$BW$1843,"&lt;="&amp;BW574),"")</f>
        <v>27889.0717700379</v>
      </c>
      <c r="BI574" s="58" t="n">
        <f aca="false">IF(BH574="",0,MAX(0,MIN(1,(IF(CF574="L1",Parameter!$H$5,IF(CF574="L23",Parameter!$H$6+Parameter!$H$7,Parameter!$H$5+Parameter!$H$6+Parameter!$H$7))-(BH574-BC574))/BC574)))</f>
        <v>1</v>
      </c>
      <c r="BJ574" s="48" t="str">
        <f aca="false">IF(AI574&lt;=0,"",IF(CF574="Aussen","Aussenlager",IF(CF574="-","Nicht im Lift",IF(AO574&gt;=1,"Lift",IF(AO574&lt;=0,"Aussenlager","teilweise")))))</f>
        <v>Lift</v>
      </c>
      <c r="BK574" s="48" t="str">
        <f aca="false">IF(AS574&lt;=0,"",IF(CF574="Aussen","Aussenlager",IF(CF574="-","Nicht im Lift",IF(AY574&gt;=1,"Lift",IF(AY574&lt;=0,"Aussenlager","teilweise")))))</f>
        <v>Lift</v>
      </c>
      <c r="BL574" s="48" t="str">
        <f aca="false">IF(BC574&lt;=0,"",IF(CF574="Aussen","Aussenlager",IF(CF574="-","Nicht im Lift",IF(BI574&gt;=1,"Lift",IF(BI574&lt;=0,"Aussenlager","teilweise")))))</f>
        <v>Lift</v>
      </c>
      <c r="BM574" s="48" t="str">
        <f aca="false">IF(A574="","",IF(BV574=1,"Neu; ","")&amp;IF(AND(BV574=0,BQ574&lt;0),"negativer Bestand (Export "&amp;BQ574&amp;"); ","")&amp;IF(J574&lt;=0,"Kein Verbrauch; ","")&amp;IF(CQ574&gt;0,"Lift "&amp;W574&amp;" lt. Liftbericht (Fach "&amp;X574&amp;" Stk); ",IF(CA574=1,"Gebinde geschätzt ("&amp;T574&amp;"); ",IF(BZ574=1,"Lose – Tablare geschätzt; ","")))&amp;IF(H574&gt;AV574,"Überbestand "&amp;ROUND(H574-AV574,0)&amp;" Stk / CHF "&amp;ROUND((H574-AV574)*G574,0)&amp;"; ","")&amp;IF(AND(CH574=1,CI574&lt;CJ574),"MAX &lt; MB+LG; ","")&amp;IF(AND(CP574&gt;0,CO574*10&gt;CP574),"zu hoch für Tablar; ","")&amp;IF(AND(BV574=0,OR(CH574=1,AA574&lt;&gt;"",U574&lt;&gt;"",V574&lt;&gt;"",AB574&lt;&gt;"")),"manuell übersteuert; ","")&amp;IF(AND(BZ574=0,R574=0),"Gebinde unbekannt / Stellmass fehlt; ","")&amp;IF(AND(BZ574=0,N(V574)&lt;=0,N(Q574)&lt;=0),"Menge pro Gebinde fehlt (Ist = 1 Gebinde); ","")&amp;BU574)</f>
        <v>Kein Verbrauch; Überbestand 809 Stk / CHF 40; Handlager</v>
      </c>
      <c r="BN574" s="48"/>
      <c r="BO574" s="48"/>
      <c r="BP574" s="55"/>
      <c r="BQ574" s="50" t="n">
        <v>210</v>
      </c>
      <c r="BR574" s="50" t="n">
        <v>600</v>
      </c>
      <c r="BS574" s="49" t="n">
        <v>10.5</v>
      </c>
      <c r="BT574" s="50" t="n">
        <v>0</v>
      </c>
      <c r="BU574" s="48" t="s">
        <v>904</v>
      </c>
      <c r="BV574" s="53" t="n">
        <v>0</v>
      </c>
      <c r="BW574" s="53" t="n">
        <v>574</v>
      </c>
      <c r="BX574" s="48" t="str">
        <f aca="false">IF(U574&lt;&gt;"",UPPER(TRIM(U574)),IF(CA574=1,UPPER(VLOOKUP(T574,Parameter!$I$27:$K$29,2,0)),IF(P574="","LOSE",P574)))</f>
        <v>S21</v>
      </c>
      <c r="BY574" s="50" t="n">
        <f aca="false">IF(BX574="LOSE",1,IF(N(V574)&gt;0,V574,IF(CA574=1,MAX(1,N(VLOOKUP(T574,Parameter!$I$27:$K$29,3,0)),H574,N(N574)),IF(N(Q574)&gt;0,Q574,MAX(1,H574)))))</f>
        <v>512</v>
      </c>
      <c r="BZ574" s="53" t="n">
        <f aca="false">IF(BX574="LOSE",1,0)</f>
        <v>0</v>
      </c>
      <c r="CA574" s="53" t="n">
        <f aca="false">IF(AND(U574="",OR(P574="",P574="LOSE"),T574&lt;&gt;"",N(S574)&lt;=0,ISNUMBER(MATCH(T574,Parameter!$I$27:$I$29,0))),1,0)</f>
        <v>0</v>
      </c>
      <c r="CB574" s="53" t="n">
        <f aca="false">IF(CQ574&gt;0,INDEX(Parameter!$H$5:$H$7,W574)/INDEX(Parameter!$E$5:$E$7,W574),IF(AND(BZ574=0,N(IFERROR(VLOOKUP(BX574,'Gebinde-Kategorie'!$A$5:$N$45,14,0),0))&gt;0),VLOOKUP(BX574,'Gebinde-Kategorie'!$A$5:$N$45,14,0)*10+Parameter!$M$23,Parameter!$M$24))</f>
        <v>155</v>
      </c>
      <c r="CC574" s="48" t="str">
        <f aca="false">IF(AND(Parameter!$B$19="Ja",E574&lt;&gt;"",ISNUMBER(MATCH(E574,Parameter!$I$35:$I$52,0))),VLOOKUP(E574,Parameter!$I$35:$J$52,2,0),IFERROR(VLOOKUP(D574,Parameter!$A$35:$C$64,2,0),"Nein"))</f>
        <v>2+3</v>
      </c>
      <c r="CD574" s="52" t="n">
        <f aca="false">IF(BZ574=0,0,IF(N(S574)&gt;0,S574,IFERROR(VLOOKUP(D574,Parameter!$A$35:$C$64,3,0)+0,0)))</f>
        <v>0</v>
      </c>
      <c r="CE574" s="48" t="n">
        <f aca="false">IF(AA574&lt;&gt;"",AA574,Z574)</f>
        <v>3</v>
      </c>
      <c r="CF574" s="48" t="str">
        <f aca="false">IF(OR(CE574=1,CE574=2,CE574=3),IF(Parameter!$E$27="Ja","LIFT",IF(CE574=1,"L1","L23")),IF(CE574="Aussen","Aussen","-"))</f>
        <v>LIFT</v>
      </c>
      <c r="CG574" s="59" t="n">
        <f aca="false">IF(N(AB574)&gt;0,AB574,0)</f>
        <v>0</v>
      </c>
      <c r="CH574" s="53" t="n">
        <f aca="false">IF(ISNUMBER(AE574),1,0)</f>
        <v>0</v>
      </c>
      <c r="CI574" s="50" t="n">
        <f aca="false">N(AE574)</f>
        <v>0</v>
      </c>
      <c r="CJ574" s="50" t="n">
        <f aca="false">N(M574)+N(N574)</f>
        <v>1</v>
      </c>
      <c r="CK574" s="50" t="n">
        <f aca="false">N(M574)</f>
        <v>0</v>
      </c>
      <c r="CL574" s="50" t="n">
        <f aca="false">N(N574)</f>
        <v>1</v>
      </c>
      <c r="CM574" s="50" t="n">
        <f aca="false">ROUNDUP(H574/BY574,0)</f>
        <v>2</v>
      </c>
      <c r="CN574" s="50" t="n">
        <f aca="false">ROUNDUP(CI574/BY574,0)</f>
        <v>0</v>
      </c>
      <c r="CO574" s="53" t="n">
        <f aca="false">IF(BZ574=1,0,IFERROR(VLOOKUP(BX574,'Gebinde-Kategorie'!$A$5:$N$45,5,0)+0,0))</f>
        <v>8</v>
      </c>
      <c r="CP574" s="53" t="n">
        <f aca="false">IFERROR(IF(OR(CE574=1,CE574=2,CE574=3),N(INDEX(Parameter!$I$5:$I$7,CE574)),0),0)</f>
        <v>0</v>
      </c>
      <c r="CQ574" s="52" t="n">
        <f aca="false">IF(AND(Parameter!$B$21="Ja",ISNUMBER(W574),N(X574)&gt;0),IFERROR(N(INDEX(Parameter!$L$5:$L$7,W574))*INDEX(Parameter!$E$5:$E$7,W574)*X574/SUMIFS($X$7:$X$1843,$W$7:$W$1843,W574),0),0)</f>
        <v>0</v>
      </c>
    </row>
    <row r="575" customFormat="false" ht="15" hidden="false" customHeight="false" outlineLevel="0" collapsed="false">
      <c r="A575" s="48" t="s">
        <v>1219</v>
      </c>
      <c r="B575" s="48" t="s">
        <v>1220</v>
      </c>
      <c r="C575" s="48" t="s">
        <v>173</v>
      </c>
      <c r="D575" s="48" t="s">
        <v>193</v>
      </c>
      <c r="E575" s="48" t="s">
        <v>194</v>
      </c>
      <c r="F575" s="48" t="s">
        <v>227</v>
      </c>
      <c r="G575" s="49" t="n">
        <v>2.8</v>
      </c>
      <c r="H575" s="50" t="n">
        <f aca="false">MAX(0,IF(AND(Parameter!$B$21="Ja",ISNUMBER(Y575)),Y575,IF(Parameter!$B$20="Jahresanfang 2025 + Export",BR575+BQ575,BQ575)))</f>
        <v>20</v>
      </c>
      <c r="I575" s="50" t="n">
        <f aca="false">H575*G575</f>
        <v>56</v>
      </c>
      <c r="J575" s="50" t="n">
        <f aca="false">BT575*Parameter!$B$18</f>
        <v>0</v>
      </c>
      <c r="K575" s="51" t="n">
        <v>19</v>
      </c>
      <c r="L575" s="52" t="n">
        <v>0</v>
      </c>
      <c r="M575" s="50" t="n">
        <v>0</v>
      </c>
      <c r="N575" s="50" t="n">
        <v>1</v>
      </c>
      <c r="O575" s="53" t="n">
        <v>42</v>
      </c>
      <c r="P575" s="48" t="s">
        <v>430</v>
      </c>
      <c r="Q575" s="50" t="n">
        <v>18</v>
      </c>
      <c r="R575" s="53" t="n">
        <f aca="false">IF(BZ575=1,0,IFERROR(VLOOKUP(BX575,'Gebinde-Kategorie'!$A$5:$N$45,13,0)+0,0))</f>
        <v>104</v>
      </c>
      <c r="S575" s="54"/>
      <c r="T575" s="55"/>
      <c r="U575" s="55"/>
      <c r="V575" s="55"/>
      <c r="W575" s="48"/>
      <c r="X575" s="50"/>
      <c r="Y575" s="50"/>
      <c r="Z575" s="48" t="n">
        <f aca="false">IF(A575="","",IF(AND(Parameter!$B$21="Ja",ISNUMBER(W575)),W575,IF(CC575="2+3",IF(ISNUMBER(SEARCH("grosser Artikel",BU575)),2,IFERROR(VLOOKUP(BX575,Parameter!$F$35:$G$64,2,0),2)),IF(OR(CC575="Nein",CC575=""),"-",CC575))))</f>
        <v>3</v>
      </c>
      <c r="AA575" s="55"/>
      <c r="AB575" s="56"/>
      <c r="AC575" s="50" t="n">
        <f aca="false">AV575</f>
        <v>1</v>
      </c>
      <c r="AD575" s="50" t="n">
        <f aca="false">MAX(AV575,H575)</f>
        <v>20</v>
      </c>
      <c r="AE575" s="57"/>
      <c r="AF575" s="50" t="n">
        <f aca="false">IF(LEFT(Cockpit!$C$5,1)="A",H575,IF(Parameter!$E$30="MAX-Bestand",IF(CH575=1,CI575,IF(LEFT(Cockpit!$C$5,1)="B",AL575,MAX(AL575,H575))),ROUNDUP(AJ575,0)))</f>
        <v>20</v>
      </c>
      <c r="AG575" s="50" t="n">
        <f aca="false">IF(BZ575=1,0,ROUNDUP(AF575/BY575,0))</f>
        <v>2</v>
      </c>
      <c r="AH575" s="52" t="n">
        <f aca="false">IF(CQ575&gt;0,CQ575*MAX(1,AF575/X575),IF(BZ575=1,IF(AF575&lt;=0,0,CD575*MAX(1,IF(H575&gt;0,AF575/H575,1))),IF(R575&gt;0,AG575/R575,0))/MAX(0.1,N(Parameter!$M$21)))</f>
        <v>0.0192307692307692</v>
      </c>
      <c r="AI575" s="50" t="n">
        <f aca="false">AH575*CB575</f>
        <v>2.98076923076923</v>
      </c>
      <c r="AJ575" s="51" t="n">
        <f aca="false">IF(LEFT(Cockpit!$C$5,1)="A",H575,IF(CH575=1,(CK575+CI575)/2,IF(LEFT(Cockpit!$C$5,1)="B",(CK575+AL575)/2,MAX((CK575+AL575)/2,H575))))</f>
        <v>20</v>
      </c>
      <c r="AK575" s="50" t="n">
        <f aca="false">AJ575*G575</f>
        <v>56</v>
      </c>
      <c r="AL575" s="50" t="n">
        <f aca="false">ROUNDUP(CK575+MAX(CL575,2*(J575/IF(CG575&gt;0,CG575,MAX(0.1,N(Cockpit!$C$6)))-CK575)),0)</f>
        <v>1</v>
      </c>
      <c r="AM575" s="51" t="n">
        <f aca="false">IF(AI575&gt;0,J575/AI575,-1)</f>
        <v>0</v>
      </c>
      <c r="AN575" s="51" t="n">
        <f aca="false">IF(AND(OR(CF575="L1",CF575="L23",CF575="LIFT"),AI575&gt;0),SUMIFS($AI$7:$AI$1843,$CF$7:$CF$1843,CF575,$AM$7:$AM$1843,"&gt;"&amp;AM575)+SUMIFS($AI$7:$AI$1843,$CF$7:$CF$1843,CF575,$AM$7:$AM$1843,AM575,$BW$7:$BW$1843,"&lt;="&amp;BW575),"")</f>
        <v>28462.1279153991</v>
      </c>
      <c r="AO575" s="58" t="n">
        <f aca="false">IF(AN575="",0,MAX(0,MIN(1,(IF(CF575="L1",Parameter!$H$5,IF(CF575="L23",Parameter!$H$6+Parameter!$H$7,Parameter!$H$5+Parameter!$H$6+Parameter!$H$7))-(AN575-AI575))/AI575)))</f>
        <v>1</v>
      </c>
      <c r="AP575" s="50" t="n">
        <f aca="false">IF(LEFT(Cockpit!$I$5,1)="A",H575,IF(Parameter!$E$30="MAX-Bestand",IF(CH575=1,CI575,IF(LEFT(Cockpit!$I$5,1)="B",AV575,MAX(AV575,H575))),ROUNDUP(AT575,0)))</f>
        <v>20</v>
      </c>
      <c r="AQ575" s="50" t="n">
        <f aca="false">IF(BZ575=1,0,ROUNDUP(AP575/BY575,0))</f>
        <v>2</v>
      </c>
      <c r="AR575" s="52" t="n">
        <f aca="false">IF(CQ575&gt;0,CQ575*MAX(1,AP575/X575),IF(BZ575=1,IF(AP575&lt;=0,0,CD575*MAX(1,IF(H575&gt;0,AP575/H575,1))),IF(R575&gt;0,AQ575/R575,0))/MAX(0.1,N(Parameter!$M$21)))</f>
        <v>0.0192307692307692</v>
      </c>
      <c r="AS575" s="50" t="n">
        <f aca="false">AR575*CB575</f>
        <v>2.98076923076923</v>
      </c>
      <c r="AT575" s="51" t="n">
        <f aca="false">IF(LEFT(Cockpit!$I$5,1)="A",H575,IF(CH575=1,(CK575+CI575)/2,IF(LEFT(Cockpit!$I$5,1)="B",(CK575+AV575)/2,MAX((CK575+AV575)/2,H575))))</f>
        <v>20</v>
      </c>
      <c r="AU575" s="50" t="n">
        <f aca="false">AT575*G575</f>
        <v>56</v>
      </c>
      <c r="AV575" s="50" t="n">
        <f aca="false">ROUNDUP(CK575+MAX(CL575,2*(J575/IF(CG575&gt;0,CG575,MAX(0.1,N(Cockpit!$I$6)))-CK575)),0)</f>
        <v>1</v>
      </c>
      <c r="AW575" s="51" t="n">
        <f aca="false">IF(AS575&gt;0,J575/AS575,-1)</f>
        <v>0</v>
      </c>
      <c r="AX575" s="51" t="n">
        <f aca="false">IF(AND(OR(CF575="L1",CF575="L23",CF575="LIFT"),AS575&gt;0),SUMIFS($AS$7:$AS$1843,$CF$7:$CF$1843,CF575,$AW$7:$AW$1843,"&gt;"&amp;AW575)+SUMIFS($AS$7:$AS$1843,$CF$7:$CF$1843,CF575,$AW$7:$AW$1843,AW575,$BW$7:$BW$1843,"&lt;="&amp;BW575),"")</f>
        <v>33815.2765567766</v>
      </c>
      <c r="AY575" s="58" t="n">
        <f aca="false">IF(AX575="",0,MAX(0,MIN(1,(IF(CF575="L1",Parameter!$H$5,IF(CF575="L23",Parameter!$H$6+Parameter!$H$7,Parameter!$H$5+Parameter!$H$6+Parameter!$H$7))-(AX575-AS575))/AS575)))</f>
        <v>1</v>
      </c>
      <c r="AZ575" s="50" t="n">
        <f aca="false">IF(LEFT(Cockpit!$O$5,1)="A",H575,IF(Parameter!$E$30="MAX-Bestand",IF(CH575=1,CI575,IF(LEFT(Cockpit!$O$5,1)="B",BF575,MAX(BF575,H575))),ROUNDUP(BD575,0)))</f>
        <v>1</v>
      </c>
      <c r="BA575" s="50" t="n">
        <f aca="false">IF(BZ575=1,0,ROUNDUP(AZ575/BY575,0))</f>
        <v>1</v>
      </c>
      <c r="BB575" s="52" t="n">
        <f aca="false">IF(CQ575&gt;0,CQ575*MAX(1,AZ575/X575),IF(BZ575=1,IF(AZ575&lt;=0,0,CD575*MAX(1,IF(H575&gt;0,AZ575/H575,1))),IF(R575&gt;0,BA575/R575,0))/MAX(0.1,N(Parameter!$M$21)))</f>
        <v>0.00961538461538462</v>
      </c>
      <c r="BC575" s="50" t="n">
        <f aca="false">BB575*CB575</f>
        <v>1.49038461538462</v>
      </c>
      <c r="BD575" s="51" t="n">
        <f aca="false">IF(LEFT(Cockpit!$O$5,1)="A",H575,IF(CH575=1,(CK575+CI575)/2,IF(LEFT(Cockpit!$O$5,1)="B",(CK575+BF575)/2,MAX((CK575+BF575)/2,H575))))</f>
        <v>0.5</v>
      </c>
      <c r="BE575" s="50" t="n">
        <f aca="false">BD575*G575</f>
        <v>1.4</v>
      </c>
      <c r="BF575" s="50" t="n">
        <f aca="false">ROUNDUP(CK575+MAX(CL575,2*(J575/IF(CG575&gt;0,CG575,MAX(0.1,N(Cockpit!$O$6)))-CK575)),0)</f>
        <v>1</v>
      </c>
      <c r="BG575" s="51" t="n">
        <f aca="false">IF(BC575&gt;0,J575/BC575,-1)</f>
        <v>0</v>
      </c>
      <c r="BH575" s="51" t="n">
        <f aca="false">IF(AND(OR(CF575="L1",CF575="L23",CF575="LIFT"),BC575&gt;0),SUMIFS($BC$7:$BC$1843,$CF$7:$CF$1843,CF575,$BG$7:$BG$1843,"&gt;"&amp;BG575)+SUMIFS($BC$7:$BC$1843,$CF$7:$CF$1843,CF575,$BG$7:$BG$1843,BG575,$BW$7:$BW$1843,"&lt;="&amp;BW575),"")</f>
        <v>27890.5621546533</v>
      </c>
      <c r="BI575" s="58" t="n">
        <f aca="false">IF(BH575="",0,MAX(0,MIN(1,(IF(CF575="L1",Parameter!$H$5,IF(CF575="L23",Parameter!$H$6+Parameter!$H$7,Parameter!$H$5+Parameter!$H$6+Parameter!$H$7))-(BH575-BC575))/BC575)))</f>
        <v>1</v>
      </c>
      <c r="BJ575" s="48" t="str">
        <f aca="false">IF(AI575&lt;=0,"",IF(CF575="Aussen","Aussenlager",IF(CF575="-","Nicht im Lift",IF(AO575&gt;=1,"Lift",IF(AO575&lt;=0,"Aussenlager","teilweise")))))</f>
        <v>Lift</v>
      </c>
      <c r="BK575" s="48" t="str">
        <f aca="false">IF(AS575&lt;=0,"",IF(CF575="Aussen","Aussenlager",IF(CF575="-","Nicht im Lift",IF(AY575&gt;=1,"Lift",IF(AY575&lt;=0,"Aussenlager","teilweise")))))</f>
        <v>Lift</v>
      </c>
      <c r="BL575" s="48" t="str">
        <f aca="false">IF(BC575&lt;=0,"",IF(CF575="Aussen","Aussenlager",IF(CF575="-","Nicht im Lift",IF(BI575&gt;=1,"Lift",IF(BI575&lt;=0,"Aussenlager","teilweise")))))</f>
        <v>Lift</v>
      </c>
      <c r="BM575" s="48" t="str">
        <f aca="false">IF(A575="","",IF(BV575=1,"Neu; ","")&amp;IF(AND(BV575=0,BQ575&lt;0),"negativer Bestand (Export "&amp;BQ575&amp;"); ","")&amp;IF(J575&lt;=0,"Kein Verbrauch; ","")&amp;IF(CQ575&gt;0,"Lift "&amp;W575&amp;" lt. Liftbericht (Fach "&amp;X575&amp;" Stk); ",IF(CA575=1,"Gebinde geschätzt ("&amp;T575&amp;"); ",IF(BZ575=1,"Lose – Tablare geschätzt; ","")))&amp;IF(H575&gt;AV575,"Überbestand "&amp;ROUND(H575-AV575,0)&amp;" Stk / CHF "&amp;ROUND((H575-AV575)*G575,0)&amp;"; ","")&amp;IF(AND(CH575=1,CI575&lt;CJ575),"MAX &lt; MB+LG; ","")&amp;IF(AND(CP575&gt;0,CO575*10&gt;CP575),"zu hoch für Tablar; ","")&amp;IF(AND(BV575=0,OR(CH575=1,AA575&lt;&gt;"",U575&lt;&gt;"",V575&lt;&gt;"",AB575&lt;&gt;"")),"manuell übersteuert; ","")&amp;IF(AND(BZ575=0,R575=0),"Gebinde unbekannt / Stellmass fehlt; ","")&amp;IF(AND(BZ575=0,N(V575)&lt;=0,N(Q575)&lt;=0),"Menge pro Gebinde fehlt (Ist = 1 Gebinde); ","")&amp;BU575)</f>
        <v>Kein Verbrauch; Überbestand 19 Stk / CHF 53; Überbestand</v>
      </c>
      <c r="BN575" s="48"/>
      <c r="BO575" s="48"/>
      <c r="BP575" s="55"/>
      <c r="BQ575" s="50" t="n">
        <v>2</v>
      </c>
      <c r="BR575" s="50" t="n">
        <v>18</v>
      </c>
      <c r="BS575" s="49" t="n">
        <v>10.1</v>
      </c>
      <c r="BT575" s="50" t="n">
        <v>0</v>
      </c>
      <c r="BU575" s="48" t="s">
        <v>401</v>
      </c>
      <c r="BV575" s="53" t="n">
        <v>0</v>
      </c>
      <c r="BW575" s="53" t="n">
        <v>575</v>
      </c>
      <c r="BX575" s="48" t="str">
        <f aca="false">IF(U575&lt;&gt;"",UPPER(TRIM(U575)),IF(CA575=1,UPPER(VLOOKUP(T575,Parameter!$I$27:$K$29,2,0)),IF(P575="","LOSE",P575)))</f>
        <v>S32</v>
      </c>
      <c r="BY575" s="50" t="n">
        <f aca="false">IF(BX575="LOSE",1,IF(N(V575)&gt;0,V575,IF(CA575=1,MAX(1,N(VLOOKUP(T575,Parameter!$I$27:$K$29,3,0)),H575,N(N575)),IF(N(Q575)&gt;0,Q575,MAX(1,H575)))))</f>
        <v>18</v>
      </c>
      <c r="BZ575" s="53" t="n">
        <f aca="false">IF(BX575="LOSE",1,0)</f>
        <v>0</v>
      </c>
      <c r="CA575" s="53" t="n">
        <f aca="false">IF(AND(U575="",OR(P575="",P575="LOSE"),T575&lt;&gt;"",N(S575)&lt;=0,ISNUMBER(MATCH(T575,Parameter!$I$27:$I$29,0))),1,0)</f>
        <v>0</v>
      </c>
      <c r="CB575" s="53" t="n">
        <f aca="false">IF(CQ575&gt;0,INDEX(Parameter!$H$5:$H$7,W575)/INDEX(Parameter!$E$5:$E$7,W575),IF(AND(BZ575=0,N(IFERROR(VLOOKUP(BX575,'Gebinde-Kategorie'!$A$5:$N$45,14,0),0))&gt;0),VLOOKUP(BX575,'Gebinde-Kategorie'!$A$5:$N$45,14,0)*10+Parameter!$M$23,Parameter!$M$24))</f>
        <v>155</v>
      </c>
      <c r="CC575" s="48" t="str">
        <f aca="false">IF(AND(Parameter!$B$19="Ja",E575&lt;&gt;"",ISNUMBER(MATCH(E575,Parameter!$I$35:$I$52,0))),VLOOKUP(E575,Parameter!$I$35:$J$52,2,0),IFERROR(VLOOKUP(D575,Parameter!$A$35:$C$64,2,0),"Nein"))</f>
        <v>2+3</v>
      </c>
      <c r="CD575" s="52" t="n">
        <f aca="false">IF(BZ575=0,0,IF(N(S575)&gt;0,S575,IFERROR(VLOOKUP(D575,Parameter!$A$35:$C$64,3,0)+0,0)))</f>
        <v>0</v>
      </c>
      <c r="CE575" s="48" t="n">
        <f aca="false">IF(AA575&lt;&gt;"",AA575,Z575)</f>
        <v>3</v>
      </c>
      <c r="CF575" s="48" t="str">
        <f aca="false">IF(OR(CE575=1,CE575=2,CE575=3),IF(Parameter!$E$27="Ja","LIFT",IF(CE575=1,"L1","L23")),IF(CE575="Aussen","Aussen","-"))</f>
        <v>LIFT</v>
      </c>
      <c r="CG575" s="59" t="n">
        <f aca="false">IF(N(AB575)&gt;0,AB575,0)</f>
        <v>0</v>
      </c>
      <c r="CH575" s="53" t="n">
        <f aca="false">IF(ISNUMBER(AE575),1,0)</f>
        <v>0</v>
      </c>
      <c r="CI575" s="50" t="n">
        <f aca="false">N(AE575)</f>
        <v>0</v>
      </c>
      <c r="CJ575" s="50" t="n">
        <f aca="false">N(M575)+N(N575)</f>
        <v>1</v>
      </c>
      <c r="CK575" s="50" t="n">
        <f aca="false">N(M575)</f>
        <v>0</v>
      </c>
      <c r="CL575" s="50" t="n">
        <f aca="false">N(N575)</f>
        <v>1</v>
      </c>
      <c r="CM575" s="50" t="n">
        <f aca="false">ROUNDUP(H575/BY575,0)</f>
        <v>2</v>
      </c>
      <c r="CN575" s="50" t="n">
        <f aca="false">ROUNDUP(CI575/BY575,0)</f>
        <v>0</v>
      </c>
      <c r="CO575" s="53" t="n">
        <f aca="false">IF(BZ575=1,0,IFERROR(VLOOKUP(BX575,'Gebinde-Kategorie'!$A$5:$N$45,5,0)+0,0))</f>
        <v>8</v>
      </c>
      <c r="CP575" s="53" t="n">
        <f aca="false">IFERROR(IF(OR(CE575=1,CE575=2,CE575=3),N(INDEX(Parameter!$I$5:$I$7,CE575)),0),0)</f>
        <v>0</v>
      </c>
      <c r="CQ575" s="52" t="n">
        <f aca="false">IF(AND(Parameter!$B$21="Ja",ISNUMBER(W575),N(X575)&gt;0),IFERROR(N(INDEX(Parameter!$L$5:$L$7,W575))*INDEX(Parameter!$E$5:$E$7,W575)*X575/SUMIFS($X$7:$X$1843,$W$7:$W$1843,W575),0),0)</f>
        <v>0</v>
      </c>
    </row>
    <row r="576" customFormat="false" ht="15" hidden="false" customHeight="false" outlineLevel="0" collapsed="false">
      <c r="A576" s="48" t="s">
        <v>1221</v>
      </c>
      <c r="B576" s="48" t="s">
        <v>752</v>
      </c>
      <c r="C576" s="48" t="s">
        <v>173</v>
      </c>
      <c r="D576" s="48" t="s">
        <v>193</v>
      </c>
      <c r="E576" s="48" t="s">
        <v>194</v>
      </c>
      <c r="F576" s="48" t="s">
        <v>227</v>
      </c>
      <c r="G576" s="49" t="n">
        <v>35.51</v>
      </c>
      <c r="H576" s="50" t="n">
        <f aca="false">MAX(0,IF(AND(Parameter!$B$21="Ja",ISNUMBER(Y576)),Y576,IF(Parameter!$B$20="Jahresanfang 2025 + Export",BR576+BQ576,BQ576)))</f>
        <v>22</v>
      </c>
      <c r="I576" s="50" t="n">
        <f aca="false">H576*G576</f>
        <v>781.22</v>
      </c>
      <c r="J576" s="50" t="n">
        <f aca="false">BT576*Parameter!$B$18</f>
        <v>29</v>
      </c>
      <c r="K576" s="51" t="n">
        <v>25.5</v>
      </c>
      <c r="L576" s="52" t="n">
        <v>1.13725490196078</v>
      </c>
      <c r="M576" s="50" t="n">
        <v>2</v>
      </c>
      <c r="N576" s="50" t="n">
        <v>30</v>
      </c>
      <c r="O576" s="53" t="n">
        <v>28</v>
      </c>
      <c r="P576" s="48" t="s">
        <v>242</v>
      </c>
      <c r="Q576" s="50" t="n">
        <v>30</v>
      </c>
      <c r="R576" s="53" t="n">
        <f aca="false">IF(BZ576=1,0,IFERROR(VLOOKUP(BX576,'Gebinde-Kategorie'!$A$5:$N$45,13,0)+0,0))</f>
        <v>26</v>
      </c>
      <c r="S576" s="54"/>
      <c r="T576" s="55"/>
      <c r="U576" s="55"/>
      <c r="V576" s="55"/>
      <c r="W576" s="48"/>
      <c r="X576" s="50"/>
      <c r="Y576" s="50"/>
      <c r="Z576" s="48" t="n">
        <f aca="false">IF(A576="","",IF(AND(Parameter!$B$21="Ja",ISNUMBER(W576)),W576,IF(CC576="2+3",IF(ISNUMBER(SEARCH("grosser Artikel",BU576)),2,IFERROR(VLOOKUP(BX576,Parameter!$F$35:$G$64,2,0),2)),IF(OR(CC576="Nein",CC576=""),"-",CC576))))</f>
        <v>3</v>
      </c>
      <c r="AA576" s="55"/>
      <c r="AB576" s="56"/>
      <c r="AC576" s="50" t="n">
        <f aca="false">AV576</f>
        <v>32</v>
      </c>
      <c r="AD576" s="50" t="n">
        <f aca="false">MAX(AV576,H576)</f>
        <v>32</v>
      </c>
      <c r="AE576" s="57"/>
      <c r="AF576" s="50" t="n">
        <f aca="false">IF(LEFT(Cockpit!$C$5,1)="A",H576,IF(Parameter!$E$30="MAX-Bestand",IF(CH576=1,CI576,IF(LEFT(Cockpit!$C$5,1)="B",AL576,MAX(AL576,H576))),ROUNDUP(AJ576,0)))</f>
        <v>22</v>
      </c>
      <c r="AG576" s="50" t="n">
        <f aca="false">IF(BZ576=1,0,ROUNDUP(AF576/BY576,0))</f>
        <v>1</v>
      </c>
      <c r="AH576" s="52" t="n">
        <f aca="false">IF(CQ576&gt;0,CQ576*MAX(1,AF576/X576),IF(BZ576=1,IF(AF576&lt;=0,0,CD576*MAX(1,IF(H576&gt;0,AF576/H576,1))),IF(R576&gt;0,AG576/R576,0))/MAX(0.1,N(Parameter!$M$21)))</f>
        <v>0.0384615384615385</v>
      </c>
      <c r="AI576" s="50" t="n">
        <f aca="false">AH576*CB576</f>
        <v>9.42307692307692</v>
      </c>
      <c r="AJ576" s="51" t="n">
        <f aca="false">IF(LEFT(Cockpit!$C$5,1)="A",H576,IF(CH576=1,(CK576+CI576)/2,IF(LEFT(Cockpit!$C$5,1)="B",(CK576+AL576)/2,MAX((CK576+AL576)/2,H576))))</f>
        <v>22</v>
      </c>
      <c r="AK576" s="50" t="n">
        <f aca="false">AJ576*G576</f>
        <v>781.22</v>
      </c>
      <c r="AL576" s="50" t="n">
        <f aca="false">ROUNDUP(CK576+MAX(CL576,2*(J576/IF(CG576&gt;0,CG576,MAX(0.1,N(Cockpit!$C$6)))-CK576)),0)</f>
        <v>32</v>
      </c>
      <c r="AM576" s="51" t="n">
        <f aca="false">IF(AI576&gt;0,J576/AI576,-1)</f>
        <v>3.07755102040816</v>
      </c>
      <c r="AN576" s="51" t="n">
        <f aca="false">IF(AND(OR(CF576="L1",CF576="L23",CF576="LIFT"),AI576&gt;0),SUMIFS($AI$7:$AI$1843,$CF$7:$CF$1843,CF576,$AM$7:$AM$1843,"&gt;"&amp;AM576)+SUMIFS($AI$7:$AI$1843,$CF$7:$CF$1843,CF576,$AM$7:$AM$1843,AM576,$BW$7:$BW$1843,"&lt;="&amp;BW576),"")</f>
        <v>5003.3923992674</v>
      </c>
      <c r="AO576" s="58" t="n">
        <f aca="false">IF(AN576="",0,MAX(0,MIN(1,(IF(CF576="L1",Parameter!$H$5,IF(CF576="L23",Parameter!$H$6+Parameter!$H$7,Parameter!$H$5+Parameter!$H$6+Parameter!$H$7))-(AN576-AI576))/AI576)))</f>
        <v>1</v>
      </c>
      <c r="AP576" s="50" t="n">
        <f aca="false">IF(LEFT(Cockpit!$I$5,1)="A",H576,IF(Parameter!$E$30="MAX-Bestand",IF(CH576=1,CI576,IF(LEFT(Cockpit!$I$5,1)="B",AV576,MAX(AV576,H576))),ROUNDUP(AT576,0)))</f>
        <v>22</v>
      </c>
      <c r="AQ576" s="50" t="n">
        <f aca="false">IF(BZ576=1,0,ROUNDUP(AP576/BY576,0))</f>
        <v>1</v>
      </c>
      <c r="AR576" s="52" t="n">
        <f aca="false">IF(CQ576&gt;0,CQ576*MAX(1,AP576/X576),IF(BZ576=1,IF(AP576&lt;=0,0,CD576*MAX(1,IF(H576&gt;0,AP576/H576,1))),IF(R576&gt;0,AQ576/R576,0))/MAX(0.1,N(Parameter!$M$21)))</f>
        <v>0.0384615384615385</v>
      </c>
      <c r="AS576" s="50" t="n">
        <f aca="false">AR576*CB576</f>
        <v>9.42307692307692</v>
      </c>
      <c r="AT576" s="51" t="n">
        <f aca="false">IF(LEFT(Cockpit!$I$5,1)="A",H576,IF(CH576=1,(CK576+CI576)/2,IF(LEFT(Cockpit!$I$5,1)="B",(CK576+AV576)/2,MAX((CK576+AV576)/2,H576))))</f>
        <v>22</v>
      </c>
      <c r="AU576" s="50" t="n">
        <f aca="false">AT576*G576</f>
        <v>781.22</v>
      </c>
      <c r="AV576" s="50" t="n">
        <f aca="false">ROUNDUP(CK576+MAX(CL576,2*(J576/IF(CG576&gt;0,CG576,MAX(0.1,N(Cockpit!$I$6)))-CK576)),0)</f>
        <v>32</v>
      </c>
      <c r="AW576" s="51" t="n">
        <f aca="false">IF(AS576&gt;0,J576/AS576,-1)</f>
        <v>3.07755102040816</v>
      </c>
      <c r="AX576" s="51" t="n">
        <f aca="false">IF(AND(OR(CF576="L1",CF576="L23",CF576="LIFT"),AS576&gt;0),SUMIFS($AS$7:$AS$1843,$CF$7:$CF$1843,CF576,$AW$7:$AW$1843,"&gt;"&amp;AW576)+SUMIFS($AS$7:$AS$1843,$CF$7:$CF$1843,CF576,$AW$7:$AW$1843,AW576,$BW$7:$BW$1843,"&lt;="&amp;BW576),"")</f>
        <v>5759.44093406593</v>
      </c>
      <c r="AY576" s="58" t="n">
        <f aca="false">IF(AX576="",0,MAX(0,MIN(1,(IF(CF576="L1",Parameter!$H$5,IF(CF576="L23",Parameter!$H$6+Parameter!$H$7,Parameter!$H$5+Parameter!$H$6+Parameter!$H$7))-(AX576-AS576))/AS576)))</f>
        <v>1</v>
      </c>
      <c r="AZ576" s="50" t="n">
        <f aca="false">IF(LEFT(Cockpit!$O$5,1)="A",H576,IF(Parameter!$E$30="MAX-Bestand",IF(CH576=1,CI576,IF(LEFT(Cockpit!$O$5,1)="B",BF576,MAX(BF576,H576))),ROUNDUP(BD576,0)))</f>
        <v>17</v>
      </c>
      <c r="BA576" s="50" t="n">
        <f aca="false">IF(BZ576=1,0,ROUNDUP(AZ576/BY576,0))</f>
        <v>1</v>
      </c>
      <c r="BB576" s="52" t="n">
        <f aca="false">IF(CQ576&gt;0,CQ576*MAX(1,AZ576/X576),IF(BZ576=1,IF(AZ576&lt;=0,0,CD576*MAX(1,IF(H576&gt;0,AZ576/H576,1))),IF(R576&gt;0,BA576/R576,0))/MAX(0.1,N(Parameter!$M$21)))</f>
        <v>0.0384615384615385</v>
      </c>
      <c r="BC576" s="50" t="n">
        <f aca="false">BB576*CB576</f>
        <v>9.42307692307692</v>
      </c>
      <c r="BD576" s="51" t="n">
        <f aca="false">IF(LEFT(Cockpit!$O$5,1)="A",H576,IF(CH576=1,(CK576+CI576)/2,IF(LEFT(Cockpit!$O$5,1)="B",(CK576+BF576)/2,MAX((CK576+BF576)/2,H576))))</f>
        <v>17</v>
      </c>
      <c r="BE576" s="50" t="n">
        <f aca="false">BD576*G576</f>
        <v>603.67</v>
      </c>
      <c r="BF576" s="50" t="n">
        <f aca="false">ROUNDUP(CK576+MAX(CL576,2*(J576/IF(CG576&gt;0,CG576,MAX(0.1,N(Cockpit!$O$6)))-CK576)),0)</f>
        <v>32</v>
      </c>
      <c r="BG576" s="51" t="n">
        <f aca="false">IF(BC576&gt;0,J576/BC576,-1)</f>
        <v>3.07755102040816</v>
      </c>
      <c r="BH576" s="51" t="n">
        <f aca="false">IF(AND(OR(CF576="L1",CF576="L23",CF576="LIFT"),BC576&gt;0),SUMIFS($BC$7:$BC$1843,$CF$7:$CF$1843,CF576,$BG$7:$BG$1843,"&gt;"&amp;BG576)+SUMIFS($BC$7:$BC$1843,$CF$7:$CF$1843,CF576,$BG$7:$BG$1843,BG576,$BW$7:$BW$1843,"&lt;="&amp;BW576),"")</f>
        <v>4722.70375457875</v>
      </c>
      <c r="BI576" s="58" t="n">
        <f aca="false">IF(BH576="",0,MAX(0,MIN(1,(IF(CF576="L1",Parameter!$H$5,IF(CF576="L23",Parameter!$H$6+Parameter!$H$7,Parameter!$H$5+Parameter!$H$6+Parameter!$H$7))-(BH576-BC576))/BC576)))</f>
        <v>1</v>
      </c>
      <c r="BJ576" s="48" t="str">
        <f aca="false">IF(AI576&lt;=0,"",IF(CF576="Aussen","Aussenlager",IF(CF576="-","Nicht im Lift",IF(AO576&gt;=1,"Lift",IF(AO576&lt;=0,"Aussenlager","teilweise")))))</f>
        <v>Lift</v>
      </c>
      <c r="BK576" s="48" t="str">
        <f aca="false">IF(AS576&lt;=0,"",IF(CF576="Aussen","Aussenlager",IF(CF576="-","Nicht im Lift",IF(AY576&gt;=1,"Lift",IF(AY576&lt;=0,"Aussenlager","teilweise")))))</f>
        <v>Lift</v>
      </c>
      <c r="BL576" s="48" t="str">
        <f aca="false">IF(BC576&lt;=0,"",IF(CF576="Aussen","Aussenlager",IF(CF576="-","Nicht im Lift",IF(BI576&gt;=1,"Lift",IF(BI576&lt;=0,"Aussenlager","teilweise")))))</f>
        <v>Lift</v>
      </c>
      <c r="BM576" s="48" t="str">
        <f aca="false">IF(A576="","",IF(BV576=1,"Neu; ","")&amp;IF(AND(BV576=0,BQ576&lt;0),"negativer Bestand (Export "&amp;BQ576&amp;"); ","")&amp;IF(J576&lt;=0,"Kein Verbrauch; ","")&amp;IF(CQ576&gt;0,"Lift "&amp;W576&amp;" lt. Liftbericht (Fach "&amp;X576&amp;" Stk); ",IF(CA576=1,"Gebinde geschätzt ("&amp;T576&amp;"); ",IF(BZ576=1,"Lose – Tablare geschätzt; ","")))&amp;IF(H576&gt;AV576,"Überbestand "&amp;ROUND(H576-AV576,0)&amp;" Stk / CHF "&amp;ROUND((H576-AV576)*G576,0)&amp;"; ","")&amp;IF(AND(CH576=1,CI576&lt;CJ576),"MAX &lt; MB+LG; ","")&amp;IF(AND(CP576&gt;0,CO576*10&gt;CP576),"zu hoch für Tablar; ","")&amp;IF(AND(BV576=0,OR(CH576=1,AA576&lt;&gt;"",U576&lt;&gt;"",V576&lt;&gt;"",AB576&lt;&gt;"")),"manuell übersteuert; ","")&amp;IF(AND(BZ576=0,R576=0),"Gebinde unbekannt / Stellmass fehlt; ","")&amp;IF(AND(BZ576=0,N(V576)&lt;=0,N(Q576)&lt;=0),"Menge pro Gebinde fehlt (Ist = 1 Gebinde); ","")&amp;BU576)</f>
        <v/>
      </c>
      <c r="BN576" s="48"/>
      <c r="BO576" s="48"/>
      <c r="BP576" s="55"/>
      <c r="BQ576" s="50" t="n">
        <v>2</v>
      </c>
      <c r="BR576" s="50" t="n">
        <v>20</v>
      </c>
      <c r="BS576" s="49" t="n">
        <v>10.0200000000007</v>
      </c>
      <c r="BT576" s="50" t="n">
        <v>29</v>
      </c>
      <c r="BU576" s="48"/>
      <c r="BV576" s="53" t="n">
        <v>0</v>
      </c>
      <c r="BW576" s="53" t="n">
        <v>576</v>
      </c>
      <c r="BX576" s="48" t="str">
        <f aca="false">IF(U576&lt;&gt;"",UPPER(TRIM(U576)),IF(CA576=1,UPPER(VLOOKUP(T576,Parameter!$I$27:$K$29,2,0)),IF(P576="","LOSE",P576)))</f>
        <v>S52</v>
      </c>
      <c r="BY576" s="50" t="n">
        <f aca="false">IF(BX576="LOSE",1,IF(N(V576)&gt;0,V576,IF(CA576=1,MAX(1,N(VLOOKUP(T576,Parameter!$I$27:$K$29,3,0)),H576,N(N576)),IF(N(Q576)&gt;0,Q576,MAX(1,H576)))))</f>
        <v>30</v>
      </c>
      <c r="BZ576" s="53" t="n">
        <f aca="false">IF(BX576="LOSE",1,0)</f>
        <v>0</v>
      </c>
      <c r="CA576" s="53" t="n">
        <f aca="false">IF(AND(U576="",OR(P576="",P576="LOSE"),T576&lt;&gt;"",N(S576)&lt;=0,ISNUMBER(MATCH(T576,Parameter!$I$27:$I$29,0))),1,0)</f>
        <v>0</v>
      </c>
      <c r="CB576" s="53" t="n">
        <f aca="false">IF(CQ576&gt;0,INDEX(Parameter!$H$5:$H$7,W576)/INDEX(Parameter!$E$5:$E$7,W576),IF(AND(BZ576=0,N(IFERROR(VLOOKUP(BX576,'Gebinde-Kategorie'!$A$5:$N$45,14,0),0))&gt;0),VLOOKUP(BX576,'Gebinde-Kategorie'!$A$5:$N$45,14,0)*10+Parameter!$M$23,Parameter!$M$24))</f>
        <v>245</v>
      </c>
      <c r="CC576" s="48" t="str">
        <f aca="false">IF(AND(Parameter!$B$19="Ja",E576&lt;&gt;"",ISNUMBER(MATCH(E576,Parameter!$I$35:$I$52,0))),VLOOKUP(E576,Parameter!$I$35:$J$52,2,0),IFERROR(VLOOKUP(D576,Parameter!$A$35:$C$64,2,0),"Nein"))</f>
        <v>2+3</v>
      </c>
      <c r="CD576" s="52" t="n">
        <f aca="false">IF(BZ576=0,0,IF(N(S576)&gt;0,S576,IFERROR(VLOOKUP(D576,Parameter!$A$35:$C$64,3,0)+0,0)))</f>
        <v>0</v>
      </c>
      <c r="CE576" s="48" t="n">
        <f aca="false">IF(AA576&lt;&gt;"",AA576,Z576)</f>
        <v>3</v>
      </c>
      <c r="CF576" s="48" t="str">
        <f aca="false">IF(OR(CE576=1,CE576=2,CE576=3),IF(Parameter!$E$27="Ja","LIFT",IF(CE576=1,"L1","L23")),IF(CE576="Aussen","Aussen","-"))</f>
        <v>LIFT</v>
      </c>
      <c r="CG576" s="59" t="n">
        <f aca="false">IF(N(AB576)&gt;0,AB576,0)</f>
        <v>0</v>
      </c>
      <c r="CH576" s="53" t="n">
        <f aca="false">IF(ISNUMBER(AE576),1,0)</f>
        <v>0</v>
      </c>
      <c r="CI576" s="50" t="n">
        <f aca="false">N(AE576)</f>
        <v>0</v>
      </c>
      <c r="CJ576" s="50" t="n">
        <f aca="false">N(M576)+N(N576)</f>
        <v>32</v>
      </c>
      <c r="CK576" s="50" t="n">
        <f aca="false">N(M576)</f>
        <v>2</v>
      </c>
      <c r="CL576" s="50" t="n">
        <f aca="false">N(N576)</f>
        <v>30</v>
      </c>
      <c r="CM576" s="50" t="n">
        <f aca="false">ROUNDUP(H576/BY576,0)</f>
        <v>1</v>
      </c>
      <c r="CN576" s="50" t="n">
        <f aca="false">ROUNDUP(CI576/BY576,0)</f>
        <v>0</v>
      </c>
      <c r="CO576" s="53" t="n">
        <f aca="false">IF(BZ576=1,0,IFERROR(VLOOKUP(BX576,'Gebinde-Kategorie'!$A$5:$N$45,5,0)+0,0))</f>
        <v>21</v>
      </c>
      <c r="CP576" s="53" t="n">
        <f aca="false">IFERROR(IF(OR(CE576=1,CE576=2,CE576=3),N(INDEX(Parameter!$I$5:$I$7,CE576)),0),0)</f>
        <v>0</v>
      </c>
      <c r="CQ576" s="52" t="n">
        <f aca="false">IF(AND(Parameter!$B$21="Ja",ISNUMBER(W576),N(X576)&gt;0),IFERROR(N(INDEX(Parameter!$L$5:$L$7,W576))*INDEX(Parameter!$E$5:$E$7,W576)*X576/SUMIFS($X$7:$X$1843,$W$7:$W$1843,W576),0),0)</f>
        <v>0</v>
      </c>
    </row>
    <row r="577" customFormat="false" ht="15" hidden="false" customHeight="false" outlineLevel="0" collapsed="false">
      <c r="A577" s="48" t="s">
        <v>1222</v>
      </c>
      <c r="B577" s="48" t="s">
        <v>1223</v>
      </c>
      <c r="C577" s="48" t="s">
        <v>173</v>
      </c>
      <c r="D577" s="48" t="s">
        <v>193</v>
      </c>
      <c r="E577" s="48" t="s">
        <v>194</v>
      </c>
      <c r="F577" s="48" t="s">
        <v>227</v>
      </c>
      <c r="G577" s="49" t="n">
        <v>0.05</v>
      </c>
      <c r="H577" s="50" t="n">
        <f aca="false">MAX(0,IF(AND(Parameter!$B$21="Ja",ISNUMBER(Y577)),Y577,IF(Parameter!$B$20="Jahresanfang 2025 + Export",BR577+BQ577,BQ577)))</f>
        <v>791</v>
      </c>
      <c r="I577" s="50" t="n">
        <f aca="false">H577*G577</f>
        <v>39.55</v>
      </c>
      <c r="J577" s="50" t="n">
        <f aca="false">BT577*Parameter!$B$18</f>
        <v>670</v>
      </c>
      <c r="K577" s="51" t="n">
        <v>867</v>
      </c>
      <c r="L577" s="52" t="n">
        <v>0.77277970011534</v>
      </c>
      <c r="M577" s="50" t="n">
        <v>52</v>
      </c>
      <c r="N577" s="50" t="n">
        <v>670</v>
      </c>
      <c r="O577" s="53" t="n">
        <v>28</v>
      </c>
      <c r="P577" s="48" t="s">
        <v>410</v>
      </c>
      <c r="Q577" s="50" t="n">
        <v>773</v>
      </c>
      <c r="R577" s="53" t="n">
        <f aca="false">IF(BZ577=1,0,IFERROR(VLOOKUP(BX577,'Gebinde-Kategorie'!$A$5:$N$45,13,0)+0,0))</f>
        <v>280</v>
      </c>
      <c r="S577" s="54"/>
      <c r="T577" s="55"/>
      <c r="U577" s="55"/>
      <c r="V577" s="55"/>
      <c r="W577" s="48"/>
      <c r="X577" s="50"/>
      <c r="Y577" s="50"/>
      <c r="Z577" s="48" t="n">
        <f aca="false">IF(A577="","",IF(AND(Parameter!$B$21="Ja",ISNUMBER(W577)),W577,IF(CC577="2+3",IF(ISNUMBER(SEARCH("grosser Artikel",BU577)),2,IFERROR(VLOOKUP(BX577,Parameter!$F$35:$G$64,2,0),2)),IF(OR(CC577="Nein",CC577=""),"-",CC577))))</f>
        <v>3</v>
      </c>
      <c r="AA577" s="55"/>
      <c r="AB577" s="56"/>
      <c r="AC577" s="50" t="n">
        <f aca="false">AV577</f>
        <v>722</v>
      </c>
      <c r="AD577" s="50" t="n">
        <f aca="false">MAX(AV577,H577)</f>
        <v>791</v>
      </c>
      <c r="AE577" s="57"/>
      <c r="AF577" s="50" t="n">
        <f aca="false">IF(LEFT(Cockpit!$C$5,1)="A",H577,IF(Parameter!$E$30="MAX-Bestand",IF(CH577=1,CI577,IF(LEFT(Cockpit!$C$5,1)="B",AL577,MAX(AL577,H577))),ROUNDUP(AJ577,0)))</f>
        <v>791</v>
      </c>
      <c r="AG577" s="50" t="n">
        <f aca="false">IF(BZ577=1,0,ROUNDUP(AF577/BY577,0))</f>
        <v>2</v>
      </c>
      <c r="AH577" s="52" t="n">
        <f aca="false">IF(CQ577&gt;0,CQ577*MAX(1,AF577/X577),IF(BZ577=1,IF(AF577&lt;=0,0,CD577*MAX(1,IF(H577&gt;0,AF577/H577,1))),IF(R577&gt;0,AG577/R577,0))/MAX(0.1,N(Parameter!$M$21)))</f>
        <v>0.00714285714285714</v>
      </c>
      <c r="AI577" s="50" t="n">
        <f aca="false">AH577*CB577</f>
        <v>1.10714285714286</v>
      </c>
      <c r="AJ577" s="51" t="n">
        <f aca="false">IF(LEFT(Cockpit!$C$5,1)="A",H577,IF(CH577=1,(CK577+CI577)/2,IF(LEFT(Cockpit!$C$5,1)="B",(CK577+AL577)/2,MAX((CK577+AL577)/2,H577))))</f>
        <v>791</v>
      </c>
      <c r="AK577" s="50" t="n">
        <f aca="false">AJ577*G577</f>
        <v>39.55</v>
      </c>
      <c r="AL577" s="50" t="n">
        <f aca="false">ROUNDUP(CK577+MAX(CL577,2*(J577/IF(CG577&gt;0,CG577,MAX(0.1,N(Cockpit!$C$6)))-CK577)),0)</f>
        <v>722</v>
      </c>
      <c r="AM577" s="51" t="n">
        <f aca="false">IF(AI577&gt;0,J577/AI577,-1)</f>
        <v>605.161290322581</v>
      </c>
      <c r="AN577" s="51" t="n">
        <f aca="false">IF(AND(OR(CF577="L1",CF577="L23",CF577="LIFT"),AI577&gt;0),SUMIFS($AI$7:$AI$1843,$CF$7:$CF$1843,CF577,$AM$7:$AM$1843,"&gt;"&amp;AM577)+SUMIFS($AI$7:$AI$1843,$CF$7:$CF$1843,CF577,$AM$7:$AM$1843,AM577,$BW$7:$BW$1843,"&lt;="&amp;BW577),"")</f>
        <v>36.9739010989011</v>
      </c>
      <c r="AO577" s="58" t="n">
        <f aca="false">IF(AN577="",0,MAX(0,MIN(1,(IF(CF577="L1",Parameter!$H$5,IF(CF577="L23",Parameter!$H$6+Parameter!$H$7,Parameter!$H$5+Parameter!$H$6+Parameter!$H$7))-(AN577-AI577))/AI577)))</f>
        <v>1</v>
      </c>
      <c r="AP577" s="50" t="n">
        <f aca="false">IF(LEFT(Cockpit!$I$5,1)="A",H577,IF(Parameter!$E$30="MAX-Bestand",IF(CH577=1,CI577,IF(LEFT(Cockpit!$I$5,1)="B",AV577,MAX(AV577,H577))),ROUNDUP(AT577,0)))</f>
        <v>791</v>
      </c>
      <c r="AQ577" s="50" t="n">
        <f aca="false">IF(BZ577=1,0,ROUNDUP(AP577/BY577,0))</f>
        <v>2</v>
      </c>
      <c r="AR577" s="52" t="n">
        <f aca="false">IF(CQ577&gt;0,CQ577*MAX(1,AP577/X577),IF(BZ577=1,IF(AP577&lt;=0,0,CD577*MAX(1,IF(H577&gt;0,AP577/H577,1))),IF(R577&gt;0,AQ577/R577,0))/MAX(0.1,N(Parameter!$M$21)))</f>
        <v>0.00714285714285714</v>
      </c>
      <c r="AS577" s="50" t="n">
        <f aca="false">AR577*CB577</f>
        <v>1.10714285714286</v>
      </c>
      <c r="AT577" s="51" t="n">
        <f aca="false">IF(LEFT(Cockpit!$I$5,1)="A",H577,IF(CH577=1,(CK577+CI577)/2,IF(LEFT(Cockpit!$I$5,1)="B",(CK577+AV577)/2,MAX((CK577+AV577)/2,H577))))</f>
        <v>791</v>
      </c>
      <c r="AU577" s="50" t="n">
        <f aca="false">AT577*G577</f>
        <v>39.55</v>
      </c>
      <c r="AV577" s="50" t="n">
        <f aca="false">ROUNDUP(CK577+MAX(CL577,2*(J577/IF(CG577&gt;0,CG577,MAX(0.1,N(Cockpit!$I$6)))-CK577)),0)</f>
        <v>722</v>
      </c>
      <c r="AW577" s="51" t="n">
        <f aca="false">IF(AS577&gt;0,J577/AS577,-1)</f>
        <v>605.161290322581</v>
      </c>
      <c r="AX577" s="51" t="n">
        <f aca="false">IF(AND(OR(CF577="L1",CF577="L23",CF577="LIFT"),AS577&gt;0),SUMIFS($AS$7:$AS$1843,$CF$7:$CF$1843,CF577,$AW$7:$AW$1843,"&gt;"&amp;AW577)+SUMIFS($AS$7:$AS$1843,$CF$7:$CF$1843,CF577,$AW$7:$AW$1843,AW577,$BW$7:$BW$1843,"&lt;="&amp;BW577),"")</f>
        <v>29.978021978022</v>
      </c>
      <c r="AY577" s="58" t="n">
        <f aca="false">IF(AX577="",0,MAX(0,MIN(1,(IF(CF577="L1",Parameter!$H$5,IF(CF577="L23",Parameter!$H$6+Parameter!$H$7,Parameter!$H$5+Parameter!$H$6+Parameter!$H$7))-(AX577-AS577))/AS577)))</f>
        <v>1</v>
      </c>
      <c r="AZ577" s="50" t="n">
        <f aca="false">IF(LEFT(Cockpit!$O$5,1)="A",H577,IF(Parameter!$E$30="MAX-Bestand",IF(CH577=1,CI577,IF(LEFT(Cockpit!$O$5,1)="B",BF577,MAX(BF577,H577))),ROUNDUP(BD577,0)))</f>
        <v>387</v>
      </c>
      <c r="BA577" s="50" t="n">
        <f aca="false">IF(BZ577=1,0,ROUNDUP(AZ577/BY577,0))</f>
        <v>1</v>
      </c>
      <c r="BB577" s="52" t="n">
        <f aca="false">IF(CQ577&gt;0,CQ577*MAX(1,AZ577/X577),IF(BZ577=1,IF(AZ577&lt;=0,0,CD577*MAX(1,IF(H577&gt;0,AZ577/H577,1))),IF(R577&gt;0,BA577/R577,0))/MAX(0.1,N(Parameter!$M$21)))</f>
        <v>0.00357142857142857</v>
      </c>
      <c r="BC577" s="50" t="n">
        <f aca="false">BB577*CB577</f>
        <v>0.553571428571429</v>
      </c>
      <c r="BD577" s="51" t="n">
        <f aca="false">IF(LEFT(Cockpit!$O$5,1)="A",H577,IF(CH577=1,(CK577+CI577)/2,IF(LEFT(Cockpit!$O$5,1)="B",(CK577+BF577)/2,MAX((CK577+BF577)/2,H577))))</f>
        <v>387</v>
      </c>
      <c r="BE577" s="50" t="n">
        <f aca="false">BD577*G577</f>
        <v>19.35</v>
      </c>
      <c r="BF577" s="50" t="n">
        <f aca="false">ROUNDUP(CK577+MAX(CL577,2*(J577/IF(CG577&gt;0,CG577,MAX(0.1,N(Cockpit!$O$6)))-CK577)),0)</f>
        <v>722</v>
      </c>
      <c r="BG577" s="51" t="n">
        <f aca="false">IF(BC577&gt;0,J577/BC577,-1)</f>
        <v>1210.32258064516</v>
      </c>
      <c r="BH577" s="51" t="n">
        <f aca="false">IF(AND(OR(CF577="L1",CF577="L23",CF577="LIFT"),BC577&gt;0),SUMIFS($BC$7:$BC$1843,$CF$7:$CF$1843,CF577,$BG$7:$BG$1843,"&gt;"&amp;BG577)+SUMIFS($BC$7:$BC$1843,$CF$7:$CF$1843,CF577,$BG$7:$BG$1843,BG577,$BW$7:$BW$1843,"&lt;="&amp;BW577),"")</f>
        <v>8.00549450549451</v>
      </c>
      <c r="BI577" s="58" t="n">
        <f aca="false">IF(BH577="",0,MAX(0,MIN(1,(IF(CF577="L1",Parameter!$H$5,IF(CF577="L23",Parameter!$H$6+Parameter!$H$7,Parameter!$H$5+Parameter!$H$6+Parameter!$H$7))-(BH577-BC577))/BC577)))</f>
        <v>1</v>
      </c>
      <c r="BJ577" s="48" t="str">
        <f aca="false">IF(AI577&lt;=0,"",IF(CF577="Aussen","Aussenlager",IF(CF577="-","Nicht im Lift",IF(AO577&gt;=1,"Lift",IF(AO577&lt;=0,"Aussenlager","teilweise")))))</f>
        <v>Lift</v>
      </c>
      <c r="BK577" s="48" t="str">
        <f aca="false">IF(AS577&lt;=0,"",IF(CF577="Aussen","Aussenlager",IF(CF577="-","Nicht im Lift",IF(AY577&gt;=1,"Lift",IF(AY577&lt;=0,"Aussenlager","teilweise")))))</f>
        <v>Lift</v>
      </c>
      <c r="BL577" s="48" t="str">
        <f aca="false">IF(BC577&lt;=0,"",IF(CF577="Aussen","Aussenlager",IF(CF577="-","Nicht im Lift",IF(BI577&gt;=1,"Lift",IF(BI577&lt;=0,"Aussenlager","teilweise")))))</f>
        <v>Lift</v>
      </c>
      <c r="BM577" s="48" t="str">
        <f aca="false">IF(A577="","",IF(BV577=1,"Neu; ","")&amp;IF(AND(BV577=0,BQ577&lt;0),"negativer Bestand (Export "&amp;BQ577&amp;"); ","")&amp;IF(J577&lt;=0,"Kein Verbrauch; ","")&amp;IF(CQ577&gt;0,"Lift "&amp;W577&amp;" lt. Liftbericht (Fach "&amp;X577&amp;" Stk); ",IF(CA577=1,"Gebinde geschätzt ("&amp;T577&amp;"); ",IF(BZ577=1,"Lose – Tablare geschätzt; ","")))&amp;IF(H577&gt;AV577,"Überbestand "&amp;ROUND(H577-AV577,0)&amp;" Stk / CHF "&amp;ROUND((H577-AV577)*G577,0)&amp;"; ","")&amp;IF(AND(CH577=1,CI577&lt;CJ577),"MAX &lt; MB+LG; ","")&amp;IF(AND(CP577&gt;0,CO577*10&gt;CP577),"zu hoch für Tablar; ","")&amp;IF(AND(BV577=0,OR(CH577=1,AA577&lt;&gt;"",U577&lt;&gt;"",V577&lt;&gt;"",AB577&lt;&gt;"")),"manuell übersteuert; ","")&amp;IF(AND(BZ577=0,R577=0),"Gebinde unbekannt / Stellmass fehlt; ","")&amp;IF(AND(BZ577=0,N(V577)&lt;=0,N(Q577)&lt;=0),"Menge pro Gebinde fehlt (Ist = 1 Gebinde); ","")&amp;BU577)</f>
        <v>Überbestand 69 Stk / CHF 3; Handlager</v>
      </c>
      <c r="BN577" s="48"/>
      <c r="BO577" s="48"/>
      <c r="BP577" s="55"/>
      <c r="BQ577" s="50" t="n">
        <v>86</v>
      </c>
      <c r="BR577" s="50" t="n">
        <v>705</v>
      </c>
      <c r="BS577" s="49" t="n">
        <v>10</v>
      </c>
      <c r="BT577" s="50" t="n">
        <v>670</v>
      </c>
      <c r="BU577" s="48" t="s">
        <v>904</v>
      </c>
      <c r="BV577" s="53" t="n">
        <v>0</v>
      </c>
      <c r="BW577" s="53" t="n">
        <v>577</v>
      </c>
      <c r="BX577" s="48" t="str">
        <f aca="false">IF(U577&lt;&gt;"",UPPER(TRIM(U577)),IF(CA577=1,UPPER(VLOOKUP(T577,Parameter!$I$27:$K$29,2,0)),IF(P577="","LOSE",P577)))</f>
        <v>S21</v>
      </c>
      <c r="BY577" s="50" t="n">
        <f aca="false">IF(BX577="LOSE",1,IF(N(V577)&gt;0,V577,IF(CA577=1,MAX(1,N(VLOOKUP(T577,Parameter!$I$27:$K$29,3,0)),H577,N(N577)),IF(N(Q577)&gt;0,Q577,MAX(1,H577)))))</f>
        <v>773</v>
      </c>
      <c r="BZ577" s="53" t="n">
        <f aca="false">IF(BX577="LOSE",1,0)</f>
        <v>0</v>
      </c>
      <c r="CA577" s="53" t="n">
        <f aca="false">IF(AND(U577="",OR(P577="",P577="LOSE"),T577&lt;&gt;"",N(S577)&lt;=0,ISNUMBER(MATCH(T577,Parameter!$I$27:$I$29,0))),1,0)</f>
        <v>0</v>
      </c>
      <c r="CB577" s="53" t="n">
        <f aca="false">IF(CQ577&gt;0,INDEX(Parameter!$H$5:$H$7,W577)/INDEX(Parameter!$E$5:$E$7,W577),IF(AND(BZ577=0,N(IFERROR(VLOOKUP(BX577,'Gebinde-Kategorie'!$A$5:$N$45,14,0),0))&gt;0),VLOOKUP(BX577,'Gebinde-Kategorie'!$A$5:$N$45,14,0)*10+Parameter!$M$23,Parameter!$M$24))</f>
        <v>155</v>
      </c>
      <c r="CC577" s="48" t="str">
        <f aca="false">IF(AND(Parameter!$B$19="Ja",E577&lt;&gt;"",ISNUMBER(MATCH(E577,Parameter!$I$35:$I$52,0))),VLOOKUP(E577,Parameter!$I$35:$J$52,2,0),IFERROR(VLOOKUP(D577,Parameter!$A$35:$C$64,2,0),"Nein"))</f>
        <v>2+3</v>
      </c>
      <c r="CD577" s="52" t="n">
        <f aca="false">IF(BZ577=0,0,IF(N(S577)&gt;0,S577,IFERROR(VLOOKUP(D577,Parameter!$A$35:$C$64,3,0)+0,0)))</f>
        <v>0</v>
      </c>
      <c r="CE577" s="48" t="n">
        <f aca="false">IF(AA577&lt;&gt;"",AA577,Z577)</f>
        <v>3</v>
      </c>
      <c r="CF577" s="48" t="str">
        <f aca="false">IF(OR(CE577=1,CE577=2,CE577=3),IF(Parameter!$E$27="Ja","LIFT",IF(CE577=1,"L1","L23")),IF(CE577="Aussen","Aussen","-"))</f>
        <v>LIFT</v>
      </c>
      <c r="CG577" s="59" t="n">
        <f aca="false">IF(N(AB577)&gt;0,AB577,0)</f>
        <v>0</v>
      </c>
      <c r="CH577" s="53" t="n">
        <f aca="false">IF(ISNUMBER(AE577),1,0)</f>
        <v>0</v>
      </c>
      <c r="CI577" s="50" t="n">
        <f aca="false">N(AE577)</f>
        <v>0</v>
      </c>
      <c r="CJ577" s="50" t="n">
        <f aca="false">N(M577)+N(N577)</f>
        <v>722</v>
      </c>
      <c r="CK577" s="50" t="n">
        <f aca="false">N(M577)</f>
        <v>52</v>
      </c>
      <c r="CL577" s="50" t="n">
        <f aca="false">N(N577)</f>
        <v>670</v>
      </c>
      <c r="CM577" s="50" t="n">
        <f aca="false">ROUNDUP(H577/BY577,0)</f>
        <v>2</v>
      </c>
      <c r="CN577" s="50" t="n">
        <f aca="false">ROUNDUP(CI577/BY577,0)</f>
        <v>0</v>
      </c>
      <c r="CO577" s="53" t="n">
        <f aca="false">IF(BZ577=1,0,IFERROR(VLOOKUP(BX577,'Gebinde-Kategorie'!$A$5:$N$45,5,0)+0,0))</f>
        <v>8</v>
      </c>
      <c r="CP577" s="53" t="n">
        <f aca="false">IFERROR(IF(OR(CE577=1,CE577=2,CE577=3),N(INDEX(Parameter!$I$5:$I$7,CE577)),0),0)</f>
        <v>0</v>
      </c>
      <c r="CQ577" s="52" t="n">
        <f aca="false">IF(AND(Parameter!$B$21="Ja",ISNUMBER(W577),N(X577)&gt;0),IFERROR(N(INDEX(Parameter!$L$5:$L$7,W577))*INDEX(Parameter!$E$5:$E$7,W577)*X577/SUMIFS($X$7:$X$1843,$W$7:$W$1843,W577),0),0)</f>
        <v>0</v>
      </c>
    </row>
    <row r="578" customFormat="false" ht="15" hidden="false" customHeight="false" outlineLevel="0" collapsed="false">
      <c r="A578" s="48" t="s">
        <v>1224</v>
      </c>
      <c r="B578" s="48" t="s">
        <v>663</v>
      </c>
      <c r="C578" s="48" t="s">
        <v>173</v>
      </c>
      <c r="D578" s="48" t="s">
        <v>193</v>
      </c>
      <c r="E578" s="48"/>
      <c r="F578" s="48" t="s">
        <v>227</v>
      </c>
      <c r="G578" s="49" t="n">
        <v>0.07</v>
      </c>
      <c r="H578" s="50" t="n">
        <f aca="false">MAX(0,IF(AND(Parameter!$B$21="Ja",ISNUMBER(Y578)),Y578,IF(Parameter!$B$20="Jahresanfang 2025 + Export",BR578+BQ578,BQ578)))</f>
        <v>198</v>
      </c>
      <c r="I578" s="50" t="n">
        <f aca="false">H578*G578</f>
        <v>13.86</v>
      </c>
      <c r="J578" s="50" t="n">
        <f aca="false">BT578*Parameter!$B$18</f>
        <v>140</v>
      </c>
      <c r="K578" s="51" t="n">
        <v>129.5</v>
      </c>
      <c r="L578" s="52" t="n">
        <v>1.08108108108108</v>
      </c>
      <c r="M578" s="50" t="n">
        <v>8</v>
      </c>
      <c r="N578" s="50" t="n">
        <v>200</v>
      </c>
      <c r="O578" s="53" t="n">
        <v>21</v>
      </c>
      <c r="P578" s="48" t="s">
        <v>410</v>
      </c>
      <c r="Q578" s="50" t="n">
        <v>250</v>
      </c>
      <c r="R578" s="53" t="n">
        <f aca="false">IF(BZ578=1,0,IFERROR(VLOOKUP(BX578,'Gebinde-Kategorie'!$A$5:$N$45,13,0)+0,0))</f>
        <v>280</v>
      </c>
      <c r="S578" s="54"/>
      <c r="T578" s="55"/>
      <c r="U578" s="55"/>
      <c r="V578" s="55"/>
      <c r="W578" s="48"/>
      <c r="X578" s="50"/>
      <c r="Y578" s="50"/>
      <c r="Z578" s="48" t="n">
        <f aca="false">IF(A578="","",IF(AND(Parameter!$B$21="Ja",ISNUMBER(W578)),W578,IF(CC578="2+3",IF(ISNUMBER(SEARCH("grosser Artikel",BU578)),2,IFERROR(VLOOKUP(BX578,Parameter!$F$35:$G$64,2,0),2)),IF(OR(CC578="Nein",CC578=""),"-",CC578))))</f>
        <v>3</v>
      </c>
      <c r="AA578" s="55"/>
      <c r="AB578" s="56"/>
      <c r="AC578" s="50" t="n">
        <f aca="false">AV578</f>
        <v>208</v>
      </c>
      <c r="AD578" s="50" t="n">
        <f aca="false">MAX(AV578,H578)</f>
        <v>208</v>
      </c>
      <c r="AE578" s="57"/>
      <c r="AF578" s="50" t="n">
        <f aca="false">IF(LEFT(Cockpit!$C$5,1)="A",H578,IF(Parameter!$E$30="MAX-Bestand",IF(CH578=1,CI578,IF(LEFT(Cockpit!$C$5,1)="B",AL578,MAX(AL578,H578))),ROUNDUP(AJ578,0)))</f>
        <v>198</v>
      </c>
      <c r="AG578" s="50" t="n">
        <f aca="false">IF(BZ578=1,0,ROUNDUP(AF578/BY578,0))</f>
        <v>1</v>
      </c>
      <c r="AH578" s="52" t="n">
        <f aca="false">IF(CQ578&gt;0,CQ578*MAX(1,AF578/X578),IF(BZ578=1,IF(AF578&lt;=0,0,CD578*MAX(1,IF(H578&gt;0,AF578/H578,1))),IF(R578&gt;0,AG578/R578,0))/MAX(0.1,N(Parameter!$M$21)))</f>
        <v>0.00357142857142857</v>
      </c>
      <c r="AI578" s="50" t="n">
        <f aca="false">AH578*CB578</f>
        <v>0.553571428571429</v>
      </c>
      <c r="AJ578" s="51" t="n">
        <f aca="false">IF(LEFT(Cockpit!$C$5,1)="A",H578,IF(CH578=1,(CK578+CI578)/2,IF(LEFT(Cockpit!$C$5,1)="B",(CK578+AL578)/2,MAX((CK578+AL578)/2,H578))))</f>
        <v>198</v>
      </c>
      <c r="AK578" s="50" t="n">
        <f aca="false">AJ578*G578</f>
        <v>13.86</v>
      </c>
      <c r="AL578" s="50" t="n">
        <f aca="false">ROUNDUP(CK578+MAX(CL578,2*(J578/IF(CG578&gt;0,CG578,MAX(0.1,N(Cockpit!$C$6)))-CK578)),0)</f>
        <v>208</v>
      </c>
      <c r="AM578" s="51" t="n">
        <f aca="false">IF(AI578&gt;0,J578/AI578,-1)</f>
        <v>252.903225806452</v>
      </c>
      <c r="AN578" s="51" t="n">
        <f aca="false">IF(AND(OR(CF578="L1",CF578="L23",CF578="LIFT"),AI578&gt;0),SUMIFS($AI$7:$AI$1843,$CF$7:$CF$1843,CF578,$AM$7:$AM$1843,"&gt;"&amp;AM578)+SUMIFS($AI$7:$AI$1843,$CF$7:$CF$1843,CF578,$AM$7:$AM$1843,AM578,$BW$7:$BW$1843,"&lt;="&amp;BW578),"")</f>
        <v>273.677655677656</v>
      </c>
      <c r="AO578" s="58" t="n">
        <f aca="false">IF(AN578="",0,MAX(0,MIN(1,(IF(CF578="L1",Parameter!$H$5,IF(CF578="L23",Parameter!$H$6+Parameter!$H$7,Parameter!$H$5+Parameter!$H$6+Parameter!$H$7))-(AN578-AI578))/AI578)))</f>
        <v>1</v>
      </c>
      <c r="AP578" s="50" t="n">
        <f aca="false">IF(LEFT(Cockpit!$I$5,1)="A",H578,IF(Parameter!$E$30="MAX-Bestand",IF(CH578=1,CI578,IF(LEFT(Cockpit!$I$5,1)="B",AV578,MAX(AV578,H578))),ROUNDUP(AT578,0)))</f>
        <v>198</v>
      </c>
      <c r="AQ578" s="50" t="n">
        <f aca="false">IF(BZ578=1,0,ROUNDUP(AP578/BY578,0))</f>
        <v>1</v>
      </c>
      <c r="AR578" s="52" t="n">
        <f aca="false">IF(CQ578&gt;0,CQ578*MAX(1,AP578/X578),IF(BZ578=1,IF(AP578&lt;=0,0,CD578*MAX(1,IF(H578&gt;0,AP578/H578,1))),IF(R578&gt;0,AQ578/R578,0))/MAX(0.1,N(Parameter!$M$21)))</f>
        <v>0.00357142857142857</v>
      </c>
      <c r="AS578" s="50" t="n">
        <f aca="false">AR578*CB578</f>
        <v>0.553571428571429</v>
      </c>
      <c r="AT578" s="51" t="n">
        <f aca="false">IF(LEFT(Cockpit!$I$5,1)="A",H578,IF(CH578=1,(CK578+CI578)/2,IF(LEFT(Cockpit!$I$5,1)="B",(CK578+AV578)/2,MAX((CK578+AV578)/2,H578))))</f>
        <v>198</v>
      </c>
      <c r="AU578" s="50" t="n">
        <f aca="false">AT578*G578</f>
        <v>13.86</v>
      </c>
      <c r="AV578" s="50" t="n">
        <f aca="false">ROUNDUP(CK578+MAX(CL578,2*(J578/IF(CG578&gt;0,CG578,MAX(0.1,N(Cockpit!$I$6)))-CK578)),0)</f>
        <v>208</v>
      </c>
      <c r="AW578" s="51" t="n">
        <f aca="false">IF(AS578&gt;0,J578/AS578,-1)</f>
        <v>252.903225806452</v>
      </c>
      <c r="AX578" s="51" t="n">
        <f aca="false">IF(AND(OR(CF578="L1",CF578="L23",CF578="LIFT"),AS578&gt;0),SUMIFS($AS$7:$AS$1843,$CF$7:$CF$1843,CF578,$AW$7:$AW$1843,"&gt;"&amp;AW578)+SUMIFS($AS$7:$AS$1843,$CF$7:$CF$1843,CF578,$AW$7:$AW$1843,AW578,$BW$7:$BW$1843,"&lt;="&amp;BW578),"")</f>
        <v>226.739926739927</v>
      </c>
      <c r="AY578" s="58" t="n">
        <f aca="false">IF(AX578="",0,MAX(0,MIN(1,(IF(CF578="L1",Parameter!$H$5,IF(CF578="L23",Parameter!$H$6+Parameter!$H$7,Parameter!$H$5+Parameter!$H$6+Parameter!$H$7))-(AX578-AS578))/AS578)))</f>
        <v>1</v>
      </c>
      <c r="AZ578" s="50" t="n">
        <f aca="false">IF(LEFT(Cockpit!$O$5,1)="A",H578,IF(Parameter!$E$30="MAX-Bestand",IF(CH578=1,CI578,IF(LEFT(Cockpit!$O$5,1)="B",BF578,MAX(BF578,H578))),ROUNDUP(BD578,0)))</f>
        <v>108</v>
      </c>
      <c r="BA578" s="50" t="n">
        <f aca="false">IF(BZ578=1,0,ROUNDUP(AZ578/BY578,0))</f>
        <v>1</v>
      </c>
      <c r="BB578" s="52" t="n">
        <f aca="false">IF(CQ578&gt;0,CQ578*MAX(1,AZ578/X578),IF(BZ578=1,IF(AZ578&lt;=0,0,CD578*MAX(1,IF(H578&gt;0,AZ578/H578,1))),IF(R578&gt;0,BA578/R578,0))/MAX(0.1,N(Parameter!$M$21)))</f>
        <v>0.00357142857142857</v>
      </c>
      <c r="BC578" s="50" t="n">
        <f aca="false">BB578*CB578</f>
        <v>0.553571428571429</v>
      </c>
      <c r="BD578" s="51" t="n">
        <f aca="false">IF(LEFT(Cockpit!$O$5,1)="A",H578,IF(CH578=1,(CK578+CI578)/2,IF(LEFT(Cockpit!$O$5,1)="B",(CK578+BF578)/2,MAX((CK578+BF578)/2,H578))))</f>
        <v>108</v>
      </c>
      <c r="BE578" s="50" t="n">
        <f aca="false">BD578*G578</f>
        <v>7.56</v>
      </c>
      <c r="BF578" s="50" t="n">
        <f aca="false">ROUNDUP(CK578+MAX(CL578,2*(J578/IF(CG578&gt;0,CG578,MAX(0.1,N(Cockpit!$O$6)))-CK578)),0)</f>
        <v>208</v>
      </c>
      <c r="BG578" s="51" t="n">
        <f aca="false">IF(BC578&gt;0,J578/BC578,-1)</f>
        <v>252.903225806452</v>
      </c>
      <c r="BH578" s="51" t="n">
        <f aca="false">IF(AND(OR(CF578="L1",CF578="L23",CF578="LIFT"),BC578&gt;0),SUMIFS($BC$7:$BC$1843,$CF$7:$CF$1843,CF578,$BG$7:$BG$1843,"&gt;"&amp;BG578)+SUMIFS($BC$7:$BC$1843,$CF$7:$CF$1843,CF578,$BG$7:$BG$1843,BG578,$BW$7:$BW$1843,"&lt;="&amp;BW578),"")</f>
        <v>300.896062271062</v>
      </c>
      <c r="BI578" s="58" t="n">
        <f aca="false">IF(BH578="",0,MAX(0,MIN(1,(IF(CF578="L1",Parameter!$H$5,IF(CF578="L23",Parameter!$H$6+Parameter!$H$7,Parameter!$H$5+Parameter!$H$6+Parameter!$H$7))-(BH578-BC578))/BC578)))</f>
        <v>1</v>
      </c>
      <c r="BJ578" s="48" t="str">
        <f aca="false">IF(AI578&lt;=0,"",IF(CF578="Aussen","Aussenlager",IF(CF578="-","Nicht im Lift",IF(AO578&gt;=1,"Lift",IF(AO578&lt;=0,"Aussenlager","teilweise")))))</f>
        <v>Lift</v>
      </c>
      <c r="BK578" s="48" t="str">
        <f aca="false">IF(AS578&lt;=0,"",IF(CF578="Aussen","Aussenlager",IF(CF578="-","Nicht im Lift",IF(AY578&gt;=1,"Lift",IF(AY578&lt;=0,"Aussenlager","teilweise")))))</f>
        <v>Lift</v>
      </c>
      <c r="BL578" s="48" t="str">
        <f aca="false">IF(BC578&lt;=0,"",IF(CF578="Aussen","Aussenlager",IF(CF578="-","Nicht im Lift",IF(BI578&gt;=1,"Lift",IF(BI578&lt;=0,"Aussenlager","teilweise")))))</f>
        <v>Lift</v>
      </c>
      <c r="BM578" s="48" t="str">
        <f aca="false">IF(A578="","",IF(BV578=1,"Neu; ","")&amp;IF(AND(BV578=0,BQ578&lt;0),"negativer Bestand (Export "&amp;BQ578&amp;"); ","")&amp;IF(J578&lt;=0,"Kein Verbrauch; ","")&amp;IF(CQ578&gt;0,"Lift "&amp;W578&amp;" lt. Liftbericht (Fach "&amp;X578&amp;" Stk); ",IF(CA578=1,"Gebinde geschätzt ("&amp;T578&amp;"); ",IF(BZ578=1,"Lose – Tablare geschätzt; ","")))&amp;IF(H578&gt;AV578,"Überbestand "&amp;ROUND(H578-AV578,0)&amp;" Stk / CHF "&amp;ROUND((H578-AV578)*G578,0)&amp;"; ","")&amp;IF(AND(CH578=1,CI578&lt;CJ578),"MAX &lt; MB+LG; ","")&amp;IF(AND(CP578&gt;0,CO578*10&gt;CP578),"zu hoch für Tablar; ","")&amp;IF(AND(BV578=0,OR(CH578=1,AA578&lt;&gt;"",U578&lt;&gt;"",V578&lt;&gt;"",AB578&lt;&gt;"")),"manuell übersteuert; ","")&amp;IF(AND(BZ578=0,R578=0),"Gebinde unbekannt / Stellmass fehlt; ","")&amp;IF(AND(BZ578=0,N(V578)&lt;=0,N(Q578)&lt;=0),"Menge pro Gebinde fehlt (Ist = 1 Gebinde); ","")&amp;BU578)</f>
        <v>negativer Bestand (Export -1); </v>
      </c>
      <c r="BN578" s="48"/>
      <c r="BO578" s="48"/>
      <c r="BP578" s="55"/>
      <c r="BQ578" s="50" t="n">
        <v>-1</v>
      </c>
      <c r="BR578" s="50" t="n">
        <v>199</v>
      </c>
      <c r="BS578" s="49" t="n">
        <v>9.88</v>
      </c>
      <c r="BT578" s="50" t="n">
        <v>140</v>
      </c>
      <c r="BU578" s="48"/>
      <c r="BV578" s="53" t="n">
        <v>0</v>
      </c>
      <c r="BW578" s="53" t="n">
        <v>578</v>
      </c>
      <c r="BX578" s="48" t="str">
        <f aca="false">IF(U578&lt;&gt;"",UPPER(TRIM(U578)),IF(CA578=1,UPPER(VLOOKUP(T578,Parameter!$I$27:$K$29,2,0)),IF(P578="","LOSE",P578)))</f>
        <v>S21</v>
      </c>
      <c r="BY578" s="50" t="n">
        <f aca="false">IF(BX578="LOSE",1,IF(N(V578)&gt;0,V578,IF(CA578=1,MAX(1,N(VLOOKUP(T578,Parameter!$I$27:$K$29,3,0)),H578,N(N578)),IF(N(Q578)&gt;0,Q578,MAX(1,H578)))))</f>
        <v>250</v>
      </c>
      <c r="BZ578" s="53" t="n">
        <f aca="false">IF(BX578="LOSE",1,0)</f>
        <v>0</v>
      </c>
      <c r="CA578" s="53" t="n">
        <f aca="false">IF(AND(U578="",OR(P578="",P578="LOSE"),T578&lt;&gt;"",N(S578)&lt;=0,ISNUMBER(MATCH(T578,Parameter!$I$27:$I$29,0))),1,0)</f>
        <v>0</v>
      </c>
      <c r="CB578" s="53" t="n">
        <f aca="false">IF(CQ578&gt;0,INDEX(Parameter!$H$5:$H$7,W578)/INDEX(Parameter!$E$5:$E$7,W578),IF(AND(BZ578=0,N(IFERROR(VLOOKUP(BX578,'Gebinde-Kategorie'!$A$5:$N$45,14,0),0))&gt;0),VLOOKUP(BX578,'Gebinde-Kategorie'!$A$5:$N$45,14,0)*10+Parameter!$M$23,Parameter!$M$24))</f>
        <v>155</v>
      </c>
      <c r="CC578" s="48" t="str">
        <f aca="false">IF(AND(Parameter!$B$19="Ja",E578&lt;&gt;"",ISNUMBER(MATCH(E578,Parameter!$I$35:$I$52,0))),VLOOKUP(E578,Parameter!$I$35:$J$52,2,0),IFERROR(VLOOKUP(D578,Parameter!$A$35:$C$64,2,0),"Nein"))</f>
        <v>2+3</v>
      </c>
      <c r="CD578" s="52" t="n">
        <f aca="false">IF(BZ578=0,0,IF(N(S578)&gt;0,S578,IFERROR(VLOOKUP(D578,Parameter!$A$35:$C$64,3,0)+0,0)))</f>
        <v>0</v>
      </c>
      <c r="CE578" s="48" t="n">
        <f aca="false">IF(AA578&lt;&gt;"",AA578,Z578)</f>
        <v>3</v>
      </c>
      <c r="CF578" s="48" t="str">
        <f aca="false">IF(OR(CE578=1,CE578=2,CE578=3),IF(Parameter!$E$27="Ja","LIFT",IF(CE578=1,"L1","L23")),IF(CE578="Aussen","Aussen","-"))</f>
        <v>LIFT</v>
      </c>
      <c r="CG578" s="59" t="n">
        <f aca="false">IF(N(AB578)&gt;0,AB578,0)</f>
        <v>0</v>
      </c>
      <c r="CH578" s="53" t="n">
        <f aca="false">IF(ISNUMBER(AE578),1,0)</f>
        <v>0</v>
      </c>
      <c r="CI578" s="50" t="n">
        <f aca="false">N(AE578)</f>
        <v>0</v>
      </c>
      <c r="CJ578" s="50" t="n">
        <f aca="false">N(M578)+N(N578)</f>
        <v>208</v>
      </c>
      <c r="CK578" s="50" t="n">
        <f aca="false">N(M578)</f>
        <v>8</v>
      </c>
      <c r="CL578" s="50" t="n">
        <f aca="false">N(N578)</f>
        <v>200</v>
      </c>
      <c r="CM578" s="50" t="n">
        <f aca="false">ROUNDUP(H578/BY578,0)</f>
        <v>1</v>
      </c>
      <c r="CN578" s="50" t="n">
        <f aca="false">ROUNDUP(CI578/BY578,0)</f>
        <v>0</v>
      </c>
      <c r="CO578" s="53" t="n">
        <f aca="false">IF(BZ578=1,0,IFERROR(VLOOKUP(BX578,'Gebinde-Kategorie'!$A$5:$N$45,5,0)+0,0))</f>
        <v>8</v>
      </c>
      <c r="CP578" s="53" t="n">
        <f aca="false">IFERROR(IF(OR(CE578=1,CE578=2,CE578=3),N(INDEX(Parameter!$I$5:$I$7,CE578)),0),0)</f>
        <v>0</v>
      </c>
      <c r="CQ578" s="52" t="n">
        <f aca="false">IF(AND(Parameter!$B$21="Ja",ISNUMBER(W578),N(X578)&gt;0),IFERROR(N(INDEX(Parameter!$L$5:$L$7,W578))*INDEX(Parameter!$E$5:$E$7,W578)*X578/SUMIFS($X$7:$X$1843,$W$7:$W$1843,W578),0),0)</f>
        <v>0</v>
      </c>
    </row>
    <row r="579" customFormat="false" ht="15" hidden="false" customHeight="false" outlineLevel="0" collapsed="false">
      <c r="A579" s="48" t="s">
        <v>1225</v>
      </c>
      <c r="B579" s="48" t="s">
        <v>1226</v>
      </c>
      <c r="C579" s="48" t="s">
        <v>173</v>
      </c>
      <c r="D579" s="48" t="s">
        <v>182</v>
      </c>
      <c r="E579" s="48"/>
      <c r="F579" s="48" t="s">
        <v>227</v>
      </c>
      <c r="G579" s="49" t="n">
        <v>9.55</v>
      </c>
      <c r="H579" s="50" t="n">
        <f aca="false">MAX(0,IF(AND(Parameter!$B$21="Ja",ISNUMBER(Y579)),Y579,IF(Parameter!$B$20="Jahresanfang 2025 + Export",BR579+BQ579,BQ579)))</f>
        <v>1</v>
      </c>
      <c r="I579" s="50" t="n">
        <f aca="false">H579*G579</f>
        <v>9.55</v>
      </c>
      <c r="J579" s="50" t="n">
        <f aca="false">BT579*Parameter!$B$18</f>
        <v>0</v>
      </c>
      <c r="K579" s="51" t="n">
        <v>0</v>
      </c>
      <c r="L579" s="52" t="n">
        <v>0</v>
      </c>
      <c r="M579" s="50" t="n">
        <v>0</v>
      </c>
      <c r="N579" s="50" t="n">
        <v>1</v>
      </c>
      <c r="O579" s="53" t="n">
        <v>21</v>
      </c>
      <c r="P579" s="48" t="s">
        <v>177</v>
      </c>
      <c r="Q579" s="50"/>
      <c r="R579" s="53" t="n">
        <f aca="false">IF(BZ579=1,0,IFERROR(VLOOKUP(BX579,'Gebinde-Kategorie'!$A$5:$N$45,13,0)+0,0))</f>
        <v>12</v>
      </c>
      <c r="S579" s="54"/>
      <c r="T579" s="55" t="s">
        <v>188</v>
      </c>
      <c r="U579" s="55"/>
      <c r="V579" s="55"/>
      <c r="W579" s="48"/>
      <c r="X579" s="50"/>
      <c r="Y579" s="50"/>
      <c r="Z579" s="48" t="n">
        <f aca="false">IF(A579="","",IF(AND(Parameter!$B$21="Ja",ISNUMBER(W579)),W579,IF(CC579="2+3",IF(ISNUMBER(SEARCH("grosser Artikel",BU579)),2,IFERROR(VLOOKUP(BX579,Parameter!$F$35:$G$64,2,0),2)),IF(OR(CC579="Nein",CC579=""),"-",CC579))))</f>
        <v>2</v>
      </c>
      <c r="AA579" s="55"/>
      <c r="AB579" s="56"/>
      <c r="AC579" s="50" t="n">
        <f aca="false">AV579</f>
        <v>1</v>
      </c>
      <c r="AD579" s="50" t="n">
        <f aca="false">MAX(AV579,H579)</f>
        <v>1</v>
      </c>
      <c r="AE579" s="57"/>
      <c r="AF579" s="50" t="n">
        <f aca="false">IF(LEFT(Cockpit!$C$5,1)="A",H579,IF(Parameter!$E$30="MAX-Bestand",IF(CH579=1,CI579,IF(LEFT(Cockpit!$C$5,1)="B",AL579,MAX(AL579,H579))),ROUNDUP(AJ579,0)))</f>
        <v>1</v>
      </c>
      <c r="AG579" s="50" t="n">
        <f aca="false">IF(BZ579=1,0,ROUNDUP(AF579/BY579,0))</f>
        <v>1</v>
      </c>
      <c r="AH579" s="52" t="n">
        <f aca="false">IF(CQ579&gt;0,CQ579*MAX(1,AF579/X579),IF(BZ579=1,IF(AF579&lt;=0,0,CD579*MAX(1,IF(H579&gt;0,AF579/H579,1))),IF(R579&gt;0,AG579/R579,0))/MAX(0.1,N(Parameter!$M$21)))</f>
        <v>0.0833333333333333</v>
      </c>
      <c r="AI579" s="50" t="n">
        <f aca="false">AH579*CB579</f>
        <v>12.0833333333333</v>
      </c>
      <c r="AJ579" s="51" t="n">
        <f aca="false">IF(LEFT(Cockpit!$C$5,1)="A",H579,IF(CH579=1,(CK579+CI579)/2,IF(LEFT(Cockpit!$C$5,1)="B",(CK579+AL579)/2,MAX((CK579+AL579)/2,H579))))</f>
        <v>1</v>
      </c>
      <c r="AK579" s="50" t="n">
        <f aca="false">AJ579*G579</f>
        <v>9.55</v>
      </c>
      <c r="AL579" s="50" t="n">
        <f aca="false">ROUNDUP(CK579+MAX(CL579,2*(J579/IF(CG579&gt;0,CG579,MAX(0.1,N(Cockpit!$C$6)))-CK579)),0)</f>
        <v>1</v>
      </c>
      <c r="AM579" s="51" t="n">
        <f aca="false">IF(AI579&gt;0,J579/AI579,-1)</f>
        <v>0</v>
      </c>
      <c r="AN579" s="51" t="n">
        <f aca="false">IF(AND(OR(CF579="L1",CF579="L23",CF579="LIFT"),AI579&gt;0),SUMIFS($AI$7:$AI$1843,$CF$7:$CF$1843,CF579,$AM$7:$AM$1843,"&gt;"&amp;AM579)+SUMIFS($AI$7:$AI$1843,$CF$7:$CF$1843,CF579,$AM$7:$AM$1843,AM579,$BW$7:$BW$1843,"&lt;="&amp;BW579),"")</f>
        <v>28474.2112487324</v>
      </c>
      <c r="AO579" s="58" t="n">
        <f aca="false">IF(AN579="",0,MAX(0,MIN(1,(IF(CF579="L1",Parameter!$H$5,IF(CF579="L23",Parameter!$H$6+Parameter!$H$7,Parameter!$H$5+Parameter!$H$6+Parameter!$H$7))-(AN579-AI579))/AI579)))</f>
        <v>1</v>
      </c>
      <c r="AP579" s="50" t="n">
        <f aca="false">IF(LEFT(Cockpit!$I$5,1)="A",H579,IF(Parameter!$E$30="MAX-Bestand",IF(CH579=1,CI579,IF(LEFT(Cockpit!$I$5,1)="B",AV579,MAX(AV579,H579))),ROUNDUP(AT579,0)))</f>
        <v>1</v>
      </c>
      <c r="AQ579" s="50" t="n">
        <f aca="false">IF(BZ579=1,0,ROUNDUP(AP579/BY579,0))</f>
        <v>1</v>
      </c>
      <c r="AR579" s="52" t="n">
        <f aca="false">IF(CQ579&gt;0,CQ579*MAX(1,AP579/X579),IF(BZ579=1,IF(AP579&lt;=0,0,CD579*MAX(1,IF(H579&gt;0,AP579/H579,1))),IF(R579&gt;0,AQ579/R579,0))/MAX(0.1,N(Parameter!$M$21)))</f>
        <v>0.0833333333333333</v>
      </c>
      <c r="AS579" s="50" t="n">
        <f aca="false">AR579*CB579</f>
        <v>12.0833333333333</v>
      </c>
      <c r="AT579" s="51" t="n">
        <f aca="false">IF(LEFT(Cockpit!$I$5,1)="A",H579,IF(CH579=1,(CK579+CI579)/2,IF(LEFT(Cockpit!$I$5,1)="B",(CK579+AV579)/2,MAX((CK579+AV579)/2,H579))))</f>
        <v>1</v>
      </c>
      <c r="AU579" s="50" t="n">
        <f aca="false">AT579*G579</f>
        <v>9.55</v>
      </c>
      <c r="AV579" s="50" t="n">
        <f aca="false">ROUNDUP(CK579+MAX(CL579,2*(J579/IF(CG579&gt;0,CG579,MAX(0.1,N(Cockpit!$I$6)))-CK579)),0)</f>
        <v>1</v>
      </c>
      <c r="AW579" s="51" t="n">
        <f aca="false">IF(AS579&gt;0,J579/AS579,-1)</f>
        <v>0</v>
      </c>
      <c r="AX579" s="51" t="n">
        <f aca="false">IF(AND(OR(CF579="L1",CF579="L23",CF579="LIFT"),AS579&gt;0),SUMIFS($AS$7:$AS$1843,$CF$7:$CF$1843,CF579,$AW$7:$AW$1843,"&gt;"&amp;AW579)+SUMIFS($AS$7:$AS$1843,$CF$7:$CF$1843,CF579,$AW$7:$AW$1843,AW579,$BW$7:$BW$1843,"&lt;="&amp;BW579),"")</f>
        <v>33827.3598901099</v>
      </c>
      <c r="AY579" s="58" t="n">
        <f aca="false">IF(AX579="",0,MAX(0,MIN(1,(IF(CF579="L1",Parameter!$H$5,IF(CF579="L23",Parameter!$H$6+Parameter!$H$7,Parameter!$H$5+Parameter!$H$6+Parameter!$H$7))-(AX579-AS579))/AS579)))</f>
        <v>1</v>
      </c>
      <c r="AZ579" s="50" t="n">
        <f aca="false">IF(LEFT(Cockpit!$O$5,1)="A",H579,IF(Parameter!$E$30="MAX-Bestand",IF(CH579=1,CI579,IF(LEFT(Cockpit!$O$5,1)="B",BF579,MAX(BF579,H579))),ROUNDUP(BD579,0)))</f>
        <v>1</v>
      </c>
      <c r="BA579" s="50" t="n">
        <f aca="false">IF(BZ579=1,0,ROUNDUP(AZ579/BY579,0))</f>
        <v>1</v>
      </c>
      <c r="BB579" s="52" t="n">
        <f aca="false">IF(CQ579&gt;0,CQ579*MAX(1,AZ579/X579),IF(BZ579=1,IF(AZ579&lt;=0,0,CD579*MAX(1,IF(H579&gt;0,AZ579/H579,1))),IF(R579&gt;0,BA579/R579,0))/MAX(0.1,N(Parameter!$M$21)))</f>
        <v>0.0833333333333333</v>
      </c>
      <c r="BC579" s="50" t="n">
        <f aca="false">BB579*CB579</f>
        <v>12.0833333333333</v>
      </c>
      <c r="BD579" s="51" t="n">
        <f aca="false">IF(LEFT(Cockpit!$O$5,1)="A",H579,IF(CH579=1,(CK579+CI579)/2,IF(LEFT(Cockpit!$O$5,1)="B",(CK579+BF579)/2,MAX((CK579+BF579)/2,H579))))</f>
        <v>0.5</v>
      </c>
      <c r="BE579" s="50" t="n">
        <f aca="false">BD579*G579</f>
        <v>4.775</v>
      </c>
      <c r="BF579" s="50" t="n">
        <f aca="false">ROUNDUP(CK579+MAX(CL579,2*(J579/IF(CG579&gt;0,CG579,MAX(0.1,N(Cockpit!$O$6)))-CK579)),0)</f>
        <v>1</v>
      </c>
      <c r="BG579" s="51" t="n">
        <f aca="false">IF(BC579&gt;0,J579/BC579,-1)</f>
        <v>0</v>
      </c>
      <c r="BH579" s="51" t="n">
        <f aca="false">IF(AND(OR(CF579="L1",CF579="L23",CF579="LIFT"),BC579&gt;0),SUMIFS($BC$7:$BC$1843,$CF$7:$CF$1843,CF579,$BG$7:$BG$1843,"&gt;"&amp;BG579)+SUMIFS($BC$7:$BC$1843,$CF$7:$CF$1843,CF579,$BG$7:$BG$1843,BG579,$BW$7:$BW$1843,"&lt;="&amp;BW579),"")</f>
        <v>27902.6454879866</v>
      </c>
      <c r="BI579" s="58" t="n">
        <f aca="false">IF(BH579="",0,MAX(0,MIN(1,(IF(CF579="L1",Parameter!$H$5,IF(CF579="L23",Parameter!$H$6+Parameter!$H$7,Parameter!$H$5+Parameter!$H$6+Parameter!$H$7))-(BH579-BC579))/BC579)))</f>
        <v>1</v>
      </c>
      <c r="BJ579" s="48" t="str">
        <f aca="false">IF(AI579&lt;=0,"",IF(CF579="Aussen","Aussenlager",IF(CF579="-","Nicht im Lift",IF(AO579&gt;=1,"Lift",IF(AO579&lt;=0,"Aussenlager","teilweise")))))</f>
        <v>Lift</v>
      </c>
      <c r="BK579" s="48" t="str">
        <f aca="false">IF(AS579&lt;=0,"",IF(CF579="Aussen","Aussenlager",IF(CF579="-","Nicht im Lift",IF(AY579&gt;=1,"Lift",IF(AY579&lt;=0,"Aussenlager","teilweise")))))</f>
        <v>Lift</v>
      </c>
      <c r="BL579" s="48" t="str">
        <f aca="false">IF(BC579&lt;=0,"",IF(CF579="Aussen","Aussenlager",IF(CF579="-","Nicht im Lift",IF(BI579&gt;=1,"Lift",IF(BI579&lt;=0,"Aussenlager","teilweise")))))</f>
        <v>Lift</v>
      </c>
      <c r="BM579" s="48" t="str">
        <f aca="false">IF(A579="","",IF(BV579=1,"Neu; ","")&amp;IF(AND(BV579=0,BQ579&lt;0),"negativer Bestand (Export "&amp;BQ579&amp;"); ","")&amp;IF(J579&lt;=0,"Kein Verbrauch; ","")&amp;IF(CQ579&gt;0,"Lift "&amp;W579&amp;" lt. Liftbericht (Fach "&amp;X579&amp;" Stk); ",IF(CA579=1,"Gebinde geschätzt ("&amp;T579&amp;"); ",IF(BZ579=1,"Lose – Tablare geschätzt; ","")))&amp;IF(H579&gt;AV579,"Überbestand "&amp;ROUND(H579-AV579,0)&amp;" Stk / CHF "&amp;ROUND((H579-AV579)*G579,0)&amp;"; ","")&amp;IF(AND(CH579=1,CI579&lt;CJ579),"MAX &lt; MB+LG; ","")&amp;IF(AND(CP579&gt;0,CO579*10&gt;CP579),"zu hoch für Tablar; ","")&amp;IF(AND(BV579=0,OR(CH579=1,AA579&lt;&gt;"",U579&lt;&gt;"",V579&lt;&gt;"",AB579&lt;&gt;"")),"manuell übersteuert; ","")&amp;IF(AND(BZ579=0,R579=0),"Gebinde unbekannt / Stellmass fehlt; ","")&amp;IF(AND(BZ579=0,N(V579)&lt;=0,N(Q579)&lt;=0),"Menge pro Gebinde fehlt (Ist = 1 Gebinde); ","")&amp;BU579)</f>
        <v>Kein Verbrauch; Gebinde geschätzt (Mittel); Menge pro Gebinde fehlt (Ist = 1 Gebinde); </v>
      </c>
      <c r="BN579" s="48"/>
      <c r="BO579" s="48"/>
      <c r="BP579" s="55"/>
      <c r="BQ579" s="50" t="n">
        <v>1</v>
      </c>
      <c r="BR579" s="50" t="n">
        <v>0</v>
      </c>
      <c r="BS579" s="49" t="n">
        <v>9.55</v>
      </c>
      <c r="BT579" s="50" t="n">
        <v>0</v>
      </c>
      <c r="BU579" s="48"/>
      <c r="BV579" s="53" t="n">
        <v>0</v>
      </c>
      <c r="BW579" s="53" t="n">
        <v>579</v>
      </c>
      <c r="BX579" s="48" t="str">
        <f aca="false">IF(U579&lt;&gt;"",UPPER(TRIM(U579)),IF(CA579=1,UPPER(VLOOKUP(T579,Parameter!$I$27:$K$29,2,0)),IF(P579="","LOSE",P579)))</f>
        <v>S61</v>
      </c>
      <c r="BY579" s="50" t="n">
        <f aca="false">IF(BX579="LOSE",1,IF(N(V579)&gt;0,V579,IF(CA579=1,MAX(1,N(VLOOKUP(T579,Parameter!$I$27:$K$29,3,0)),H579,N(N579)),IF(N(Q579)&gt;0,Q579,MAX(1,H579)))))</f>
        <v>4</v>
      </c>
      <c r="BZ579" s="53" t="n">
        <f aca="false">IF(BX579="LOSE",1,0)</f>
        <v>0</v>
      </c>
      <c r="CA579" s="53" t="n">
        <f aca="false">IF(AND(U579="",OR(P579="",P579="LOSE"),T579&lt;&gt;"",N(S579)&lt;=0,ISNUMBER(MATCH(T579,Parameter!$I$27:$I$29,0))),1,0)</f>
        <v>1</v>
      </c>
      <c r="CB579" s="53" t="n">
        <f aca="false">IF(CQ579&gt;0,INDEX(Parameter!$H$5:$H$7,W579)/INDEX(Parameter!$E$5:$E$7,W579),IF(AND(BZ579=0,N(IFERROR(VLOOKUP(BX579,'Gebinde-Kategorie'!$A$5:$N$45,14,0),0))&gt;0),VLOOKUP(BX579,'Gebinde-Kategorie'!$A$5:$N$45,14,0)*10+Parameter!$M$23,Parameter!$M$24))</f>
        <v>145</v>
      </c>
      <c r="CC579" s="48" t="str">
        <f aca="false">IF(AND(Parameter!$B$19="Ja",E579&lt;&gt;"",ISNUMBER(MATCH(E579,Parameter!$I$35:$I$52,0))),VLOOKUP(E579,Parameter!$I$35:$J$52,2,0),IFERROR(VLOOKUP(D579,Parameter!$A$35:$C$64,2,0),"Nein"))</f>
        <v>2+3</v>
      </c>
      <c r="CD579" s="52" t="n">
        <f aca="false">IF(BZ579=0,0,IF(N(S579)&gt;0,S579,IFERROR(VLOOKUP(D579,Parameter!$A$35:$C$64,3,0)+0,0)))</f>
        <v>0</v>
      </c>
      <c r="CE579" s="48" t="n">
        <f aca="false">IF(AA579&lt;&gt;"",AA579,Z579)</f>
        <v>2</v>
      </c>
      <c r="CF579" s="48" t="str">
        <f aca="false">IF(OR(CE579=1,CE579=2,CE579=3),IF(Parameter!$E$27="Ja","LIFT",IF(CE579=1,"L1","L23")),IF(CE579="Aussen","Aussen","-"))</f>
        <v>LIFT</v>
      </c>
      <c r="CG579" s="59" t="n">
        <f aca="false">IF(N(AB579)&gt;0,AB579,0)</f>
        <v>0</v>
      </c>
      <c r="CH579" s="53" t="n">
        <f aca="false">IF(ISNUMBER(AE579),1,0)</f>
        <v>0</v>
      </c>
      <c r="CI579" s="50" t="n">
        <f aca="false">N(AE579)</f>
        <v>0</v>
      </c>
      <c r="CJ579" s="50" t="n">
        <f aca="false">N(M579)+N(N579)</f>
        <v>1</v>
      </c>
      <c r="CK579" s="50" t="n">
        <f aca="false">N(M579)</f>
        <v>0</v>
      </c>
      <c r="CL579" s="50" t="n">
        <f aca="false">N(N579)</f>
        <v>1</v>
      </c>
      <c r="CM579" s="50" t="n">
        <f aca="false">ROUNDUP(H579/BY579,0)</f>
        <v>1</v>
      </c>
      <c r="CN579" s="50" t="n">
        <f aca="false">ROUNDUP(CI579/BY579,0)</f>
        <v>0</v>
      </c>
      <c r="CO579" s="53" t="n">
        <f aca="false">IF(BZ579=1,0,IFERROR(VLOOKUP(BX579,'Gebinde-Kategorie'!$A$5:$N$45,5,0)+0,0))</f>
        <v>11</v>
      </c>
      <c r="CP579" s="53" t="n">
        <f aca="false">IFERROR(IF(OR(CE579=1,CE579=2,CE579=3),N(INDEX(Parameter!$I$5:$I$7,CE579)),0),0)</f>
        <v>0</v>
      </c>
      <c r="CQ579" s="52" t="n">
        <f aca="false">IF(AND(Parameter!$B$21="Ja",ISNUMBER(W579),N(X579)&gt;0),IFERROR(N(INDEX(Parameter!$L$5:$L$7,W579))*INDEX(Parameter!$E$5:$E$7,W579)*X579/SUMIFS($X$7:$X$1843,$W$7:$W$1843,W579),0),0)</f>
        <v>0</v>
      </c>
    </row>
    <row r="580" customFormat="false" ht="15" hidden="false" customHeight="false" outlineLevel="0" collapsed="false">
      <c r="A580" s="48" t="s">
        <v>1227</v>
      </c>
      <c r="B580" s="48" t="s">
        <v>1174</v>
      </c>
      <c r="C580" s="48" t="s">
        <v>173</v>
      </c>
      <c r="D580" s="48" t="s">
        <v>182</v>
      </c>
      <c r="E580" s="48"/>
      <c r="F580" s="48" t="s">
        <v>227</v>
      </c>
      <c r="G580" s="49" t="n">
        <v>9.5</v>
      </c>
      <c r="H580" s="50" t="n">
        <f aca="false">MAX(0,IF(AND(Parameter!$B$21="Ja",ISNUMBER(Y580)),Y580,IF(Parameter!$B$20="Jahresanfang 2025 + Export",BR580+BQ580,BQ580)))</f>
        <v>1</v>
      </c>
      <c r="I580" s="50" t="n">
        <f aca="false">H580*G580</f>
        <v>9.5</v>
      </c>
      <c r="J580" s="50" t="n">
        <f aca="false">BT580*Parameter!$B$18</f>
        <v>0</v>
      </c>
      <c r="K580" s="51" t="n">
        <v>0</v>
      </c>
      <c r="L580" s="52" t="n">
        <v>0</v>
      </c>
      <c r="M580" s="50" t="n">
        <v>0</v>
      </c>
      <c r="N580" s="50" t="n">
        <v>1</v>
      </c>
      <c r="O580" s="53" t="n">
        <v>21</v>
      </c>
      <c r="P580" s="48" t="s">
        <v>177</v>
      </c>
      <c r="Q580" s="50"/>
      <c r="R580" s="53" t="n">
        <f aca="false">IF(BZ580=1,0,IFERROR(VLOOKUP(BX580,'Gebinde-Kategorie'!$A$5:$N$45,13,0)+0,0))</f>
        <v>26</v>
      </c>
      <c r="S580" s="54"/>
      <c r="T580" s="55" t="s">
        <v>284</v>
      </c>
      <c r="U580" s="55"/>
      <c r="V580" s="55"/>
      <c r="W580" s="48"/>
      <c r="X580" s="50"/>
      <c r="Y580" s="50"/>
      <c r="Z580" s="48" t="n">
        <f aca="false">IF(A580="","",IF(AND(Parameter!$B$21="Ja",ISNUMBER(W580)),W580,IF(CC580="2+3",IF(ISNUMBER(SEARCH("grosser Artikel",BU580)),2,IFERROR(VLOOKUP(BX580,Parameter!$F$35:$G$64,2,0),2)),IF(OR(CC580="Nein",CC580=""),"-",CC580))))</f>
        <v>3</v>
      </c>
      <c r="AA580" s="55"/>
      <c r="AB580" s="56"/>
      <c r="AC580" s="50" t="n">
        <f aca="false">AV580</f>
        <v>1</v>
      </c>
      <c r="AD580" s="50" t="n">
        <f aca="false">MAX(AV580,H580)</f>
        <v>1</v>
      </c>
      <c r="AE580" s="57"/>
      <c r="AF580" s="50" t="n">
        <f aca="false">IF(LEFT(Cockpit!$C$5,1)="A",H580,IF(Parameter!$E$30="MAX-Bestand",IF(CH580=1,CI580,IF(LEFT(Cockpit!$C$5,1)="B",AL580,MAX(AL580,H580))),ROUNDUP(AJ580,0)))</f>
        <v>1</v>
      </c>
      <c r="AG580" s="50" t="n">
        <f aca="false">IF(BZ580=1,0,ROUNDUP(AF580/BY580,0))</f>
        <v>1</v>
      </c>
      <c r="AH580" s="52" t="n">
        <f aca="false">IF(CQ580&gt;0,CQ580*MAX(1,AF580/X580),IF(BZ580=1,IF(AF580&lt;=0,0,CD580*MAX(1,IF(H580&gt;0,AF580/H580,1))),IF(R580&gt;0,AG580/R580,0))/MAX(0.1,N(Parameter!$M$21)))</f>
        <v>0.0384615384615385</v>
      </c>
      <c r="AI580" s="50" t="n">
        <f aca="false">AH580*CB580</f>
        <v>5.96153846153846</v>
      </c>
      <c r="AJ580" s="51" t="n">
        <f aca="false">IF(LEFT(Cockpit!$C$5,1)="A",H580,IF(CH580=1,(CK580+CI580)/2,IF(LEFT(Cockpit!$C$5,1)="B",(CK580+AL580)/2,MAX((CK580+AL580)/2,H580))))</f>
        <v>1</v>
      </c>
      <c r="AK580" s="50" t="n">
        <f aca="false">AJ580*G580</f>
        <v>9.5</v>
      </c>
      <c r="AL580" s="50" t="n">
        <f aca="false">ROUNDUP(CK580+MAX(CL580,2*(J580/IF(CG580&gt;0,CG580,MAX(0.1,N(Cockpit!$C$6)))-CK580)),0)</f>
        <v>1</v>
      </c>
      <c r="AM580" s="51" t="n">
        <f aca="false">IF(AI580&gt;0,J580/AI580,-1)</f>
        <v>0</v>
      </c>
      <c r="AN580" s="51" t="n">
        <f aca="false">IF(AND(OR(CF580="L1",CF580="L23",CF580="LIFT"),AI580&gt;0),SUMIFS($AI$7:$AI$1843,$CF$7:$CF$1843,CF580,$AM$7:$AM$1843,"&gt;"&amp;AM580)+SUMIFS($AI$7:$AI$1843,$CF$7:$CF$1843,CF580,$AM$7:$AM$1843,AM580,$BW$7:$BW$1843,"&lt;="&amp;BW580),"")</f>
        <v>28480.172787194</v>
      </c>
      <c r="AO580" s="58" t="n">
        <f aca="false">IF(AN580="",0,MAX(0,MIN(1,(IF(CF580="L1",Parameter!$H$5,IF(CF580="L23",Parameter!$H$6+Parameter!$H$7,Parameter!$H$5+Parameter!$H$6+Parameter!$H$7))-(AN580-AI580))/AI580)))</f>
        <v>1</v>
      </c>
      <c r="AP580" s="50" t="n">
        <f aca="false">IF(LEFT(Cockpit!$I$5,1)="A",H580,IF(Parameter!$E$30="MAX-Bestand",IF(CH580=1,CI580,IF(LEFT(Cockpit!$I$5,1)="B",AV580,MAX(AV580,H580))),ROUNDUP(AT580,0)))</f>
        <v>1</v>
      </c>
      <c r="AQ580" s="50" t="n">
        <f aca="false">IF(BZ580=1,0,ROUNDUP(AP580/BY580,0))</f>
        <v>1</v>
      </c>
      <c r="AR580" s="52" t="n">
        <f aca="false">IF(CQ580&gt;0,CQ580*MAX(1,AP580/X580),IF(BZ580=1,IF(AP580&lt;=0,0,CD580*MAX(1,IF(H580&gt;0,AP580/H580,1))),IF(R580&gt;0,AQ580/R580,0))/MAX(0.1,N(Parameter!$M$21)))</f>
        <v>0.0384615384615385</v>
      </c>
      <c r="AS580" s="50" t="n">
        <f aca="false">AR580*CB580</f>
        <v>5.96153846153846</v>
      </c>
      <c r="AT580" s="51" t="n">
        <f aca="false">IF(LEFT(Cockpit!$I$5,1)="A",H580,IF(CH580=1,(CK580+CI580)/2,IF(LEFT(Cockpit!$I$5,1)="B",(CK580+AV580)/2,MAX((CK580+AV580)/2,H580))))</f>
        <v>1</v>
      </c>
      <c r="AU580" s="50" t="n">
        <f aca="false">AT580*G580</f>
        <v>9.5</v>
      </c>
      <c r="AV580" s="50" t="n">
        <f aca="false">ROUNDUP(CK580+MAX(CL580,2*(J580/IF(CG580&gt;0,CG580,MAX(0.1,N(Cockpit!$I$6)))-CK580)),0)</f>
        <v>1</v>
      </c>
      <c r="AW580" s="51" t="n">
        <f aca="false">IF(AS580&gt;0,J580/AS580,-1)</f>
        <v>0</v>
      </c>
      <c r="AX580" s="51" t="n">
        <f aca="false">IF(AND(OR(CF580="L1",CF580="L23",CF580="LIFT"),AS580&gt;0),SUMIFS($AS$7:$AS$1843,$CF$7:$CF$1843,CF580,$AW$7:$AW$1843,"&gt;"&amp;AW580)+SUMIFS($AS$7:$AS$1843,$CF$7:$CF$1843,CF580,$AW$7:$AW$1843,AW580,$BW$7:$BW$1843,"&lt;="&amp;BW580),"")</f>
        <v>33833.3214285714</v>
      </c>
      <c r="AY580" s="58" t="n">
        <f aca="false">IF(AX580="",0,MAX(0,MIN(1,(IF(CF580="L1",Parameter!$H$5,IF(CF580="L23",Parameter!$H$6+Parameter!$H$7,Parameter!$H$5+Parameter!$H$6+Parameter!$H$7))-(AX580-AS580))/AS580)))</f>
        <v>1</v>
      </c>
      <c r="AZ580" s="50" t="n">
        <f aca="false">IF(LEFT(Cockpit!$O$5,1)="A",H580,IF(Parameter!$E$30="MAX-Bestand",IF(CH580=1,CI580,IF(LEFT(Cockpit!$O$5,1)="B",BF580,MAX(BF580,H580))),ROUNDUP(BD580,0)))</f>
        <v>1</v>
      </c>
      <c r="BA580" s="50" t="n">
        <f aca="false">IF(BZ580=1,0,ROUNDUP(AZ580/BY580,0))</f>
        <v>1</v>
      </c>
      <c r="BB580" s="52" t="n">
        <f aca="false">IF(CQ580&gt;0,CQ580*MAX(1,AZ580/X580),IF(BZ580=1,IF(AZ580&lt;=0,0,CD580*MAX(1,IF(H580&gt;0,AZ580/H580,1))),IF(R580&gt;0,BA580/R580,0))/MAX(0.1,N(Parameter!$M$21)))</f>
        <v>0.0384615384615385</v>
      </c>
      <c r="BC580" s="50" t="n">
        <f aca="false">BB580*CB580</f>
        <v>5.96153846153846</v>
      </c>
      <c r="BD580" s="51" t="n">
        <f aca="false">IF(LEFT(Cockpit!$O$5,1)="A",H580,IF(CH580=1,(CK580+CI580)/2,IF(LEFT(Cockpit!$O$5,1)="B",(CK580+BF580)/2,MAX((CK580+BF580)/2,H580))))</f>
        <v>0.5</v>
      </c>
      <c r="BE580" s="50" t="n">
        <f aca="false">BD580*G580</f>
        <v>4.75</v>
      </c>
      <c r="BF580" s="50" t="n">
        <f aca="false">ROUNDUP(CK580+MAX(CL580,2*(J580/IF(CG580&gt;0,CG580,MAX(0.1,N(Cockpit!$O$6)))-CK580)),0)</f>
        <v>1</v>
      </c>
      <c r="BG580" s="51" t="n">
        <f aca="false">IF(BC580&gt;0,J580/BC580,-1)</f>
        <v>0</v>
      </c>
      <c r="BH580" s="51" t="n">
        <f aca="false">IF(AND(OR(CF580="L1",CF580="L23",CF580="LIFT"),BC580&gt;0),SUMIFS($BC$7:$BC$1843,$CF$7:$CF$1843,CF580,$BG$7:$BG$1843,"&gt;"&amp;BG580)+SUMIFS($BC$7:$BC$1843,$CF$7:$CF$1843,CF580,$BG$7:$BG$1843,BG580,$BW$7:$BW$1843,"&lt;="&amp;BW580),"")</f>
        <v>27908.6070264481</v>
      </c>
      <c r="BI580" s="58" t="n">
        <f aca="false">IF(BH580="",0,MAX(0,MIN(1,(IF(CF580="L1",Parameter!$H$5,IF(CF580="L23",Parameter!$H$6+Parameter!$H$7,Parameter!$H$5+Parameter!$H$6+Parameter!$H$7))-(BH580-BC580))/BC580)))</f>
        <v>1</v>
      </c>
      <c r="BJ580" s="48" t="str">
        <f aca="false">IF(AI580&lt;=0,"",IF(CF580="Aussen","Aussenlager",IF(CF580="-","Nicht im Lift",IF(AO580&gt;=1,"Lift",IF(AO580&lt;=0,"Aussenlager","teilweise")))))</f>
        <v>Lift</v>
      </c>
      <c r="BK580" s="48" t="str">
        <f aca="false">IF(AS580&lt;=0,"",IF(CF580="Aussen","Aussenlager",IF(CF580="-","Nicht im Lift",IF(AY580&gt;=1,"Lift",IF(AY580&lt;=0,"Aussenlager","teilweise")))))</f>
        <v>Lift</v>
      </c>
      <c r="BL580" s="48" t="str">
        <f aca="false">IF(BC580&lt;=0,"",IF(CF580="Aussen","Aussenlager",IF(CF580="-","Nicht im Lift",IF(BI580&gt;=1,"Lift",IF(BI580&lt;=0,"Aussenlager","teilweise")))))</f>
        <v>Lift</v>
      </c>
      <c r="BM580" s="48" t="str">
        <f aca="false">IF(A580="","",IF(BV580=1,"Neu; ","")&amp;IF(AND(BV580=0,BQ580&lt;0),"negativer Bestand (Export "&amp;BQ580&amp;"); ","")&amp;IF(J580&lt;=0,"Kein Verbrauch; ","")&amp;IF(CQ580&gt;0,"Lift "&amp;W580&amp;" lt. Liftbericht (Fach "&amp;X580&amp;" Stk); ",IF(CA580=1,"Gebinde geschätzt ("&amp;T580&amp;"); ",IF(BZ580=1,"Lose – Tablare geschätzt; ","")))&amp;IF(H580&gt;AV580,"Überbestand "&amp;ROUND(H580-AV580,0)&amp;" Stk / CHF "&amp;ROUND((H580-AV580)*G580,0)&amp;"; ","")&amp;IF(AND(CH580=1,CI580&lt;CJ580),"MAX &lt; MB+LG; ","")&amp;IF(AND(CP580&gt;0,CO580*10&gt;CP580),"zu hoch für Tablar; ","")&amp;IF(AND(BV580=0,OR(CH580=1,AA580&lt;&gt;"",U580&lt;&gt;"",V580&lt;&gt;"",AB580&lt;&gt;"")),"manuell übersteuert; ","")&amp;IF(AND(BZ580=0,R580=0),"Gebinde unbekannt / Stellmass fehlt; ","")&amp;IF(AND(BZ580=0,N(V580)&lt;=0,N(Q580)&lt;=0),"Menge pro Gebinde fehlt (Ist = 1 Gebinde); ","")&amp;BU580)</f>
        <v>Kein Verbrauch; Gebinde geschätzt (Klein); Menge pro Gebinde fehlt (Ist = 1 Gebinde); </v>
      </c>
      <c r="BN580" s="48"/>
      <c r="BO580" s="48"/>
      <c r="BP580" s="55"/>
      <c r="BQ580" s="50" t="n">
        <v>1</v>
      </c>
      <c r="BR580" s="50" t="n">
        <v>0</v>
      </c>
      <c r="BS580" s="49" t="n">
        <v>9.5</v>
      </c>
      <c r="BT580" s="50" t="n">
        <v>0</v>
      </c>
      <c r="BU580" s="48"/>
      <c r="BV580" s="53" t="n">
        <v>0</v>
      </c>
      <c r="BW580" s="53" t="n">
        <v>580</v>
      </c>
      <c r="BX580" s="48" t="str">
        <f aca="false">IF(U580&lt;&gt;"",UPPER(TRIM(U580)),IF(CA580=1,UPPER(VLOOKUP(T580,Parameter!$I$27:$K$29,2,0)),IF(P580="","LOSE",P580)))</f>
        <v>S51</v>
      </c>
      <c r="BY580" s="50" t="n">
        <f aca="false">IF(BX580="LOSE",1,IF(N(V580)&gt;0,V580,IF(CA580=1,MAX(1,N(VLOOKUP(T580,Parameter!$I$27:$K$29,3,0)),H580,N(N580)),IF(N(Q580)&gt;0,Q580,MAX(1,H580)))))</f>
        <v>20</v>
      </c>
      <c r="BZ580" s="53" t="n">
        <f aca="false">IF(BX580="LOSE",1,0)</f>
        <v>0</v>
      </c>
      <c r="CA580" s="53" t="n">
        <f aca="false">IF(AND(U580="",OR(P580="",P580="LOSE"),T580&lt;&gt;"",N(S580)&lt;=0,ISNUMBER(MATCH(T580,Parameter!$I$27:$I$29,0))),1,0)</f>
        <v>1</v>
      </c>
      <c r="CB580" s="53" t="n">
        <f aca="false">IF(CQ580&gt;0,INDEX(Parameter!$H$5:$H$7,W580)/INDEX(Parameter!$E$5:$E$7,W580),IF(AND(BZ580=0,N(IFERROR(VLOOKUP(BX580,'Gebinde-Kategorie'!$A$5:$N$45,14,0),0))&gt;0),VLOOKUP(BX580,'Gebinde-Kategorie'!$A$5:$N$45,14,0)*10+Parameter!$M$23,Parameter!$M$24))</f>
        <v>155</v>
      </c>
      <c r="CC580" s="48" t="str">
        <f aca="false">IF(AND(Parameter!$B$19="Ja",E580&lt;&gt;"",ISNUMBER(MATCH(E580,Parameter!$I$35:$I$52,0))),VLOOKUP(E580,Parameter!$I$35:$J$52,2,0),IFERROR(VLOOKUP(D580,Parameter!$A$35:$C$64,2,0),"Nein"))</f>
        <v>2+3</v>
      </c>
      <c r="CD580" s="52" t="n">
        <f aca="false">IF(BZ580=0,0,IF(N(S580)&gt;0,S580,IFERROR(VLOOKUP(D580,Parameter!$A$35:$C$64,3,0)+0,0)))</f>
        <v>0</v>
      </c>
      <c r="CE580" s="48" t="n">
        <f aca="false">IF(AA580&lt;&gt;"",AA580,Z580)</f>
        <v>3</v>
      </c>
      <c r="CF580" s="48" t="str">
        <f aca="false">IF(OR(CE580=1,CE580=2,CE580=3),IF(Parameter!$E$27="Ja","LIFT",IF(CE580=1,"L1","L23")),IF(CE580="Aussen","Aussen","-"))</f>
        <v>LIFT</v>
      </c>
      <c r="CG580" s="59" t="n">
        <f aca="false">IF(N(AB580)&gt;0,AB580,0)</f>
        <v>0</v>
      </c>
      <c r="CH580" s="53" t="n">
        <f aca="false">IF(ISNUMBER(AE580),1,0)</f>
        <v>0</v>
      </c>
      <c r="CI580" s="50" t="n">
        <f aca="false">N(AE580)</f>
        <v>0</v>
      </c>
      <c r="CJ580" s="50" t="n">
        <f aca="false">N(M580)+N(N580)</f>
        <v>1</v>
      </c>
      <c r="CK580" s="50" t="n">
        <f aca="false">N(M580)</f>
        <v>0</v>
      </c>
      <c r="CL580" s="50" t="n">
        <f aca="false">N(N580)</f>
        <v>1</v>
      </c>
      <c r="CM580" s="50" t="n">
        <f aca="false">ROUNDUP(H580/BY580,0)</f>
        <v>1</v>
      </c>
      <c r="CN580" s="50" t="n">
        <f aca="false">ROUNDUP(CI580/BY580,0)</f>
        <v>0</v>
      </c>
      <c r="CO580" s="53" t="n">
        <f aca="false">IF(BZ580=1,0,IFERROR(VLOOKUP(BX580,'Gebinde-Kategorie'!$A$5:$N$45,5,0)+0,0))</f>
        <v>11</v>
      </c>
      <c r="CP580" s="53" t="n">
        <f aca="false">IFERROR(IF(OR(CE580=1,CE580=2,CE580=3),N(INDEX(Parameter!$I$5:$I$7,CE580)),0),0)</f>
        <v>0</v>
      </c>
      <c r="CQ580" s="52" t="n">
        <f aca="false">IF(AND(Parameter!$B$21="Ja",ISNUMBER(W580),N(X580)&gt;0),IFERROR(N(INDEX(Parameter!$L$5:$L$7,W580))*INDEX(Parameter!$E$5:$E$7,W580)*X580/SUMIFS($X$7:$X$1843,$W$7:$W$1843,W580),0),0)</f>
        <v>0</v>
      </c>
    </row>
    <row r="581" customFormat="false" ht="15" hidden="false" customHeight="false" outlineLevel="0" collapsed="false">
      <c r="A581" s="48" t="s">
        <v>1228</v>
      </c>
      <c r="B581" s="48" t="s">
        <v>870</v>
      </c>
      <c r="C581" s="48" t="s">
        <v>173</v>
      </c>
      <c r="D581" s="48" t="s">
        <v>193</v>
      </c>
      <c r="E581" s="48"/>
      <c r="F581" s="48" t="s">
        <v>227</v>
      </c>
      <c r="G581" s="49" t="n">
        <v>3.15</v>
      </c>
      <c r="H581" s="50" t="n">
        <f aca="false">MAX(0,IF(AND(Parameter!$B$21="Ja",ISNUMBER(Y581)),Y581,IF(Parameter!$B$20="Jahresanfang 2025 + Export",BR581+BQ581,BQ581)))</f>
        <v>3</v>
      </c>
      <c r="I581" s="50" t="n">
        <f aca="false">H581*G581</f>
        <v>9.45</v>
      </c>
      <c r="J581" s="50" t="n">
        <f aca="false">BT581*Parameter!$B$18</f>
        <v>4</v>
      </c>
      <c r="K581" s="51" t="n">
        <v>3</v>
      </c>
      <c r="L581" s="52" t="n">
        <v>1.33333333333333</v>
      </c>
      <c r="M581" s="50" t="n">
        <v>0</v>
      </c>
      <c r="N581" s="50" t="n">
        <v>5</v>
      </c>
      <c r="O581" s="53" t="n">
        <v>14</v>
      </c>
      <c r="P581" s="48" t="s">
        <v>410</v>
      </c>
      <c r="Q581" s="50" t="n">
        <v>3</v>
      </c>
      <c r="R581" s="53" t="n">
        <f aca="false">IF(BZ581=1,0,IFERROR(VLOOKUP(BX581,'Gebinde-Kategorie'!$A$5:$N$45,13,0)+0,0))</f>
        <v>280</v>
      </c>
      <c r="S581" s="54"/>
      <c r="T581" s="55"/>
      <c r="U581" s="55"/>
      <c r="V581" s="55"/>
      <c r="W581" s="48"/>
      <c r="X581" s="50"/>
      <c r="Y581" s="50"/>
      <c r="Z581" s="48" t="n">
        <f aca="false">IF(A581="","",IF(AND(Parameter!$B$21="Ja",ISNUMBER(W581)),W581,IF(CC581="2+3",IF(ISNUMBER(SEARCH("grosser Artikel",BU581)),2,IFERROR(VLOOKUP(BX581,Parameter!$F$35:$G$64,2,0),2)),IF(OR(CC581="Nein",CC581=""),"-",CC581))))</f>
        <v>3</v>
      </c>
      <c r="AA581" s="55"/>
      <c r="AB581" s="56"/>
      <c r="AC581" s="50" t="n">
        <f aca="false">AV581</f>
        <v>5</v>
      </c>
      <c r="AD581" s="50" t="n">
        <f aca="false">MAX(AV581,H581)</f>
        <v>5</v>
      </c>
      <c r="AE581" s="57"/>
      <c r="AF581" s="50" t="n">
        <f aca="false">IF(LEFT(Cockpit!$C$5,1)="A",H581,IF(Parameter!$E$30="MAX-Bestand",IF(CH581=1,CI581,IF(LEFT(Cockpit!$C$5,1)="B",AL581,MAX(AL581,H581))),ROUNDUP(AJ581,0)))</f>
        <v>3</v>
      </c>
      <c r="AG581" s="50" t="n">
        <f aca="false">IF(BZ581=1,0,ROUNDUP(AF581/BY581,0))</f>
        <v>1</v>
      </c>
      <c r="AH581" s="52" t="n">
        <f aca="false">IF(CQ581&gt;0,CQ581*MAX(1,AF581/X581),IF(BZ581=1,IF(AF581&lt;=0,0,CD581*MAX(1,IF(H581&gt;0,AF581/H581,1))),IF(R581&gt;0,AG581/R581,0))/MAX(0.1,N(Parameter!$M$21)))</f>
        <v>0.00357142857142857</v>
      </c>
      <c r="AI581" s="50" t="n">
        <f aca="false">AH581*CB581</f>
        <v>0.553571428571429</v>
      </c>
      <c r="AJ581" s="51" t="n">
        <f aca="false">IF(LEFT(Cockpit!$C$5,1)="A",H581,IF(CH581=1,(CK581+CI581)/2,IF(LEFT(Cockpit!$C$5,1)="B",(CK581+AL581)/2,MAX((CK581+AL581)/2,H581))))</f>
        <v>3</v>
      </c>
      <c r="AK581" s="50" t="n">
        <f aca="false">AJ581*G581</f>
        <v>9.45</v>
      </c>
      <c r="AL581" s="50" t="n">
        <f aca="false">ROUNDUP(CK581+MAX(CL581,2*(J581/IF(CG581&gt;0,CG581,MAX(0.1,N(Cockpit!$C$6)))-CK581)),0)</f>
        <v>5</v>
      </c>
      <c r="AM581" s="51" t="n">
        <f aca="false">IF(AI581&gt;0,J581/AI581,-1)</f>
        <v>7.2258064516129</v>
      </c>
      <c r="AN581" s="51" t="n">
        <f aca="false">IF(AND(OR(CF581="L1",CF581="L23",CF581="LIFT"),AI581&gt;0),SUMIFS($AI$7:$AI$1843,$CF$7:$CF$1843,CF581,$AM$7:$AM$1843,"&gt;"&amp;AM581)+SUMIFS($AI$7:$AI$1843,$CF$7:$CF$1843,CF581,$AM$7:$AM$1843,AM581,$BW$7:$BW$1843,"&lt;="&amp;BW581),"")</f>
        <v>3156.13644688645</v>
      </c>
      <c r="AO581" s="58" t="n">
        <f aca="false">IF(AN581="",0,MAX(0,MIN(1,(IF(CF581="L1",Parameter!$H$5,IF(CF581="L23",Parameter!$H$6+Parameter!$H$7,Parameter!$H$5+Parameter!$H$6+Parameter!$H$7))-(AN581-AI581))/AI581)))</f>
        <v>1</v>
      </c>
      <c r="AP581" s="50" t="n">
        <f aca="false">IF(LEFT(Cockpit!$I$5,1)="A",H581,IF(Parameter!$E$30="MAX-Bestand",IF(CH581=1,CI581,IF(LEFT(Cockpit!$I$5,1)="B",AV581,MAX(AV581,H581))),ROUNDUP(AT581,0)))</f>
        <v>3</v>
      </c>
      <c r="AQ581" s="50" t="n">
        <f aca="false">IF(BZ581=1,0,ROUNDUP(AP581/BY581,0))</f>
        <v>1</v>
      </c>
      <c r="AR581" s="52" t="n">
        <f aca="false">IF(CQ581&gt;0,CQ581*MAX(1,AP581/X581),IF(BZ581=1,IF(AP581&lt;=0,0,CD581*MAX(1,IF(H581&gt;0,AP581/H581,1))),IF(R581&gt;0,AQ581/R581,0))/MAX(0.1,N(Parameter!$M$21)))</f>
        <v>0.00357142857142857</v>
      </c>
      <c r="AS581" s="50" t="n">
        <f aca="false">AR581*CB581</f>
        <v>0.553571428571429</v>
      </c>
      <c r="AT581" s="51" t="n">
        <f aca="false">IF(LEFT(Cockpit!$I$5,1)="A",H581,IF(CH581=1,(CK581+CI581)/2,IF(LEFT(Cockpit!$I$5,1)="B",(CK581+AV581)/2,MAX((CK581+AV581)/2,H581))))</f>
        <v>3</v>
      </c>
      <c r="AU581" s="50" t="n">
        <f aca="false">AT581*G581</f>
        <v>9.45</v>
      </c>
      <c r="AV581" s="50" t="n">
        <f aca="false">ROUNDUP(CK581+MAX(CL581,2*(J581/IF(CG581&gt;0,CG581,MAX(0.1,N(Cockpit!$I$6)))-CK581)),0)</f>
        <v>5</v>
      </c>
      <c r="AW581" s="51" t="n">
        <f aca="false">IF(AS581&gt;0,J581/AS581,-1)</f>
        <v>7.2258064516129</v>
      </c>
      <c r="AX581" s="51" t="n">
        <f aca="false">IF(AND(OR(CF581="L1",CF581="L23",CF581="LIFT"),AS581&gt;0),SUMIFS($AS$7:$AS$1843,$CF$7:$CF$1843,CF581,$AW$7:$AW$1843,"&gt;"&amp;AW581)+SUMIFS($AS$7:$AS$1843,$CF$7:$CF$1843,CF581,$AW$7:$AW$1843,AW581,$BW$7:$BW$1843,"&lt;="&amp;BW581),"")</f>
        <v>3816.4478021978</v>
      </c>
      <c r="AY581" s="58" t="n">
        <f aca="false">IF(AX581="",0,MAX(0,MIN(1,(IF(CF581="L1",Parameter!$H$5,IF(CF581="L23",Parameter!$H$6+Parameter!$H$7,Parameter!$H$5+Parameter!$H$6+Parameter!$H$7))-(AX581-AS581))/AS581)))</f>
        <v>1</v>
      </c>
      <c r="AZ581" s="50" t="n">
        <f aca="false">IF(LEFT(Cockpit!$O$5,1)="A",H581,IF(Parameter!$E$30="MAX-Bestand",IF(CH581=1,CI581,IF(LEFT(Cockpit!$O$5,1)="B",BF581,MAX(BF581,H581))),ROUNDUP(BD581,0)))</f>
        <v>3</v>
      </c>
      <c r="BA581" s="50" t="n">
        <f aca="false">IF(BZ581=1,0,ROUNDUP(AZ581/BY581,0))</f>
        <v>1</v>
      </c>
      <c r="BB581" s="52" t="n">
        <f aca="false">IF(CQ581&gt;0,CQ581*MAX(1,AZ581/X581),IF(BZ581=1,IF(AZ581&lt;=0,0,CD581*MAX(1,IF(H581&gt;0,AZ581/H581,1))),IF(R581&gt;0,BA581/R581,0))/MAX(0.1,N(Parameter!$M$21)))</f>
        <v>0.00357142857142857</v>
      </c>
      <c r="BC581" s="50" t="n">
        <f aca="false">BB581*CB581</f>
        <v>0.553571428571429</v>
      </c>
      <c r="BD581" s="51" t="n">
        <f aca="false">IF(LEFT(Cockpit!$O$5,1)="A",H581,IF(CH581=1,(CK581+CI581)/2,IF(LEFT(Cockpit!$O$5,1)="B",(CK581+BF581)/2,MAX((CK581+BF581)/2,H581))))</f>
        <v>2.5</v>
      </c>
      <c r="BE581" s="50" t="n">
        <f aca="false">BD581*G581</f>
        <v>7.875</v>
      </c>
      <c r="BF581" s="50" t="n">
        <f aca="false">ROUNDUP(CK581+MAX(CL581,2*(J581/IF(CG581&gt;0,CG581,MAX(0.1,N(Cockpit!$O$6)))-CK581)),0)</f>
        <v>5</v>
      </c>
      <c r="BG581" s="51" t="n">
        <f aca="false">IF(BC581&gt;0,J581/BC581,-1)</f>
        <v>7.2258064516129</v>
      </c>
      <c r="BH581" s="51" t="n">
        <f aca="false">IF(AND(OR(CF581="L1",CF581="L23",CF581="LIFT"),BC581&gt;0),SUMIFS($BC$7:$BC$1843,$CF$7:$CF$1843,CF581,$BG$7:$BG$1843,"&gt;"&amp;BG581)+SUMIFS($BC$7:$BC$1843,$CF$7:$CF$1843,CF581,$BG$7:$BG$1843,BG581,$BW$7:$BW$1843,"&lt;="&amp;BW581),"")</f>
        <v>3240.90567765568</v>
      </c>
      <c r="BI581" s="58" t="n">
        <f aca="false">IF(BH581="",0,MAX(0,MIN(1,(IF(CF581="L1",Parameter!$H$5,IF(CF581="L23",Parameter!$H$6+Parameter!$H$7,Parameter!$H$5+Parameter!$H$6+Parameter!$H$7))-(BH581-BC581))/BC581)))</f>
        <v>1</v>
      </c>
      <c r="BJ581" s="48" t="str">
        <f aca="false">IF(AI581&lt;=0,"",IF(CF581="Aussen","Aussenlager",IF(CF581="-","Nicht im Lift",IF(AO581&gt;=1,"Lift",IF(AO581&lt;=0,"Aussenlager","teilweise")))))</f>
        <v>Lift</v>
      </c>
      <c r="BK581" s="48" t="str">
        <f aca="false">IF(AS581&lt;=0,"",IF(CF581="Aussen","Aussenlager",IF(CF581="-","Nicht im Lift",IF(AY581&gt;=1,"Lift",IF(AY581&lt;=0,"Aussenlager","teilweise")))))</f>
        <v>Lift</v>
      </c>
      <c r="BL581" s="48" t="str">
        <f aca="false">IF(BC581&lt;=0,"",IF(CF581="Aussen","Aussenlager",IF(CF581="-","Nicht im Lift",IF(BI581&gt;=1,"Lift",IF(BI581&lt;=0,"Aussenlager","teilweise")))))</f>
        <v>Lift</v>
      </c>
      <c r="BM581" s="48" t="str">
        <f aca="false">IF(A581="","",IF(BV581=1,"Neu; ","")&amp;IF(AND(BV581=0,BQ581&lt;0),"negativer Bestand (Export "&amp;BQ581&amp;"); ","")&amp;IF(J581&lt;=0,"Kein Verbrauch; ","")&amp;IF(CQ581&gt;0,"Lift "&amp;W581&amp;" lt. Liftbericht (Fach "&amp;X581&amp;" Stk); ",IF(CA581=1,"Gebinde geschätzt ("&amp;T581&amp;"); ",IF(BZ581=1,"Lose – Tablare geschätzt; ","")))&amp;IF(H581&gt;AV581,"Überbestand "&amp;ROUND(H581-AV581,0)&amp;" Stk / CHF "&amp;ROUND((H581-AV581)*G581,0)&amp;"; ","")&amp;IF(AND(CH581=1,CI581&lt;CJ581),"MAX &lt; MB+LG; ","")&amp;IF(AND(CP581&gt;0,CO581*10&gt;CP581),"zu hoch für Tablar; ","")&amp;IF(AND(BV581=0,OR(CH581=1,AA581&lt;&gt;"",U581&lt;&gt;"",V581&lt;&gt;"",AB581&lt;&gt;"")),"manuell übersteuert; ","")&amp;IF(AND(BZ581=0,R581=0),"Gebinde unbekannt / Stellmass fehlt; ","")&amp;IF(AND(BZ581=0,N(V581)&lt;=0,N(Q581)&lt;=0),"Menge pro Gebinde fehlt (Ist = 1 Gebinde); ","")&amp;BU581)</f>
        <v/>
      </c>
      <c r="BN581" s="48"/>
      <c r="BO581" s="48"/>
      <c r="BP581" s="55"/>
      <c r="BQ581" s="50" t="n">
        <v>3</v>
      </c>
      <c r="BR581" s="50" t="n">
        <v>0</v>
      </c>
      <c r="BS581" s="49" t="n">
        <v>9.45</v>
      </c>
      <c r="BT581" s="50" t="n">
        <v>4</v>
      </c>
      <c r="BU581" s="48"/>
      <c r="BV581" s="53" t="n">
        <v>0</v>
      </c>
      <c r="BW581" s="53" t="n">
        <v>581</v>
      </c>
      <c r="BX581" s="48" t="str">
        <f aca="false">IF(U581&lt;&gt;"",UPPER(TRIM(U581)),IF(CA581=1,UPPER(VLOOKUP(T581,Parameter!$I$27:$K$29,2,0)),IF(P581="","LOSE",P581)))</f>
        <v>S21</v>
      </c>
      <c r="BY581" s="50" t="n">
        <f aca="false">IF(BX581="LOSE",1,IF(N(V581)&gt;0,V581,IF(CA581=1,MAX(1,N(VLOOKUP(T581,Parameter!$I$27:$K$29,3,0)),H581,N(N581)),IF(N(Q581)&gt;0,Q581,MAX(1,H581)))))</f>
        <v>3</v>
      </c>
      <c r="BZ581" s="53" t="n">
        <f aca="false">IF(BX581="LOSE",1,0)</f>
        <v>0</v>
      </c>
      <c r="CA581" s="53" t="n">
        <f aca="false">IF(AND(U581="",OR(P581="",P581="LOSE"),T581&lt;&gt;"",N(S581)&lt;=0,ISNUMBER(MATCH(T581,Parameter!$I$27:$I$29,0))),1,0)</f>
        <v>0</v>
      </c>
      <c r="CB581" s="53" t="n">
        <f aca="false">IF(CQ581&gt;0,INDEX(Parameter!$H$5:$H$7,W581)/INDEX(Parameter!$E$5:$E$7,W581),IF(AND(BZ581=0,N(IFERROR(VLOOKUP(BX581,'Gebinde-Kategorie'!$A$5:$N$45,14,0),0))&gt;0),VLOOKUP(BX581,'Gebinde-Kategorie'!$A$5:$N$45,14,0)*10+Parameter!$M$23,Parameter!$M$24))</f>
        <v>155</v>
      </c>
      <c r="CC581" s="48" t="str">
        <f aca="false">IF(AND(Parameter!$B$19="Ja",E581&lt;&gt;"",ISNUMBER(MATCH(E581,Parameter!$I$35:$I$52,0))),VLOOKUP(E581,Parameter!$I$35:$J$52,2,0),IFERROR(VLOOKUP(D581,Parameter!$A$35:$C$64,2,0),"Nein"))</f>
        <v>2+3</v>
      </c>
      <c r="CD581" s="52" t="n">
        <f aca="false">IF(BZ581=0,0,IF(N(S581)&gt;0,S581,IFERROR(VLOOKUP(D581,Parameter!$A$35:$C$64,3,0)+0,0)))</f>
        <v>0</v>
      </c>
      <c r="CE581" s="48" t="n">
        <f aca="false">IF(AA581&lt;&gt;"",AA581,Z581)</f>
        <v>3</v>
      </c>
      <c r="CF581" s="48" t="str">
        <f aca="false">IF(OR(CE581=1,CE581=2,CE581=3),IF(Parameter!$E$27="Ja","LIFT",IF(CE581=1,"L1","L23")),IF(CE581="Aussen","Aussen","-"))</f>
        <v>LIFT</v>
      </c>
      <c r="CG581" s="59" t="n">
        <f aca="false">IF(N(AB581)&gt;0,AB581,0)</f>
        <v>0</v>
      </c>
      <c r="CH581" s="53" t="n">
        <f aca="false">IF(ISNUMBER(AE581),1,0)</f>
        <v>0</v>
      </c>
      <c r="CI581" s="50" t="n">
        <f aca="false">N(AE581)</f>
        <v>0</v>
      </c>
      <c r="CJ581" s="50" t="n">
        <f aca="false">N(M581)+N(N581)</f>
        <v>5</v>
      </c>
      <c r="CK581" s="50" t="n">
        <f aca="false">N(M581)</f>
        <v>0</v>
      </c>
      <c r="CL581" s="50" t="n">
        <f aca="false">N(N581)</f>
        <v>5</v>
      </c>
      <c r="CM581" s="50" t="n">
        <f aca="false">ROUNDUP(H581/BY581,0)</f>
        <v>1</v>
      </c>
      <c r="CN581" s="50" t="n">
        <f aca="false">ROUNDUP(CI581/BY581,0)</f>
        <v>0</v>
      </c>
      <c r="CO581" s="53" t="n">
        <f aca="false">IF(BZ581=1,0,IFERROR(VLOOKUP(BX581,'Gebinde-Kategorie'!$A$5:$N$45,5,0)+0,0))</f>
        <v>8</v>
      </c>
      <c r="CP581" s="53" t="n">
        <f aca="false">IFERROR(IF(OR(CE581=1,CE581=2,CE581=3),N(INDEX(Parameter!$I$5:$I$7,CE581)),0),0)</f>
        <v>0</v>
      </c>
      <c r="CQ581" s="52" t="n">
        <f aca="false">IF(AND(Parameter!$B$21="Ja",ISNUMBER(W581),N(X581)&gt;0),IFERROR(N(INDEX(Parameter!$L$5:$L$7,W581))*INDEX(Parameter!$E$5:$E$7,W581)*X581/SUMIFS($X$7:$X$1843,$W$7:$W$1843,W581),0),0)</f>
        <v>0</v>
      </c>
    </row>
    <row r="582" customFormat="false" ht="15" hidden="false" customHeight="false" outlineLevel="0" collapsed="false">
      <c r="A582" s="48" t="s">
        <v>1229</v>
      </c>
      <c r="B582" s="48" t="s">
        <v>659</v>
      </c>
      <c r="C582" s="48" t="s">
        <v>173</v>
      </c>
      <c r="D582" s="48" t="s">
        <v>193</v>
      </c>
      <c r="E582" s="48" t="s">
        <v>194</v>
      </c>
      <c r="F582" s="48" t="s">
        <v>227</v>
      </c>
      <c r="G582" s="49" t="n">
        <v>9.27</v>
      </c>
      <c r="H582" s="50" t="n">
        <f aca="false">MAX(0,IF(AND(Parameter!$B$21="Ja",ISNUMBER(Y582)),Y582,IF(Parameter!$B$20="Jahresanfang 2025 + Export",BR582+BQ582,BQ582)))</f>
        <v>110</v>
      </c>
      <c r="I582" s="50" t="n">
        <f aca="false">H582*G582</f>
        <v>1019.7</v>
      </c>
      <c r="J582" s="50" t="n">
        <f aca="false">BT582*Parameter!$B$18</f>
        <v>1</v>
      </c>
      <c r="K582" s="51" t="n">
        <v>110.5</v>
      </c>
      <c r="L582" s="52" t="n">
        <v>0.00904977375565611</v>
      </c>
      <c r="M582" s="50" t="n">
        <v>0</v>
      </c>
      <c r="N582" s="50" t="n">
        <v>1</v>
      </c>
      <c r="O582" s="53" t="n">
        <v>28</v>
      </c>
      <c r="P582" s="48" t="s">
        <v>311</v>
      </c>
      <c r="Q582" s="50" t="n">
        <v>23</v>
      </c>
      <c r="R582" s="53" t="n">
        <f aca="false">IF(BZ582=1,0,IFERROR(VLOOKUP(BX582,'Gebinde-Kategorie'!$A$5:$N$45,13,0)+0,0))</f>
        <v>26</v>
      </c>
      <c r="S582" s="54"/>
      <c r="T582" s="55"/>
      <c r="U582" s="55"/>
      <c r="V582" s="55"/>
      <c r="W582" s="48"/>
      <c r="X582" s="50"/>
      <c r="Y582" s="50"/>
      <c r="Z582" s="48" t="n">
        <f aca="false">IF(A582="","",IF(AND(Parameter!$B$21="Ja",ISNUMBER(W582)),W582,IF(CC582="2+3",IF(ISNUMBER(SEARCH("grosser Artikel",BU582)),2,IFERROR(VLOOKUP(BX582,Parameter!$F$35:$G$64,2,0),2)),IF(OR(CC582="Nein",CC582=""),"-",CC582))))</f>
        <v>3</v>
      </c>
      <c r="AA582" s="55"/>
      <c r="AB582" s="56"/>
      <c r="AC582" s="50" t="n">
        <f aca="false">AV582</f>
        <v>1</v>
      </c>
      <c r="AD582" s="50" t="n">
        <f aca="false">MAX(AV582,H582)</f>
        <v>110</v>
      </c>
      <c r="AE582" s="57"/>
      <c r="AF582" s="50" t="n">
        <f aca="false">IF(LEFT(Cockpit!$C$5,1)="A",H582,IF(Parameter!$E$30="MAX-Bestand",IF(CH582=1,CI582,IF(LEFT(Cockpit!$C$5,1)="B",AL582,MAX(AL582,H582))),ROUNDUP(AJ582,0)))</f>
        <v>110</v>
      </c>
      <c r="AG582" s="50" t="n">
        <f aca="false">IF(BZ582=1,0,ROUNDUP(AF582/BY582,0))</f>
        <v>5</v>
      </c>
      <c r="AH582" s="52" t="n">
        <f aca="false">IF(CQ582&gt;0,CQ582*MAX(1,AF582/X582),IF(BZ582=1,IF(AF582&lt;=0,0,CD582*MAX(1,IF(H582&gt;0,AF582/H582,1))),IF(R582&gt;0,AG582/R582,0))/MAX(0.1,N(Parameter!$M$21)))</f>
        <v>0.192307692307692</v>
      </c>
      <c r="AI582" s="50" t="n">
        <f aca="false">AH582*CB582</f>
        <v>29.8076923076923</v>
      </c>
      <c r="AJ582" s="51" t="n">
        <f aca="false">IF(LEFT(Cockpit!$C$5,1)="A",H582,IF(CH582=1,(CK582+CI582)/2,IF(LEFT(Cockpit!$C$5,1)="B",(CK582+AL582)/2,MAX((CK582+AL582)/2,H582))))</f>
        <v>110</v>
      </c>
      <c r="AK582" s="50" t="n">
        <f aca="false">AJ582*G582</f>
        <v>1019.7</v>
      </c>
      <c r="AL582" s="50" t="n">
        <f aca="false">ROUNDUP(CK582+MAX(CL582,2*(J582/IF(CG582&gt;0,CG582,MAX(0.1,N(Cockpit!$C$6)))-CK582)),0)</f>
        <v>1</v>
      </c>
      <c r="AM582" s="51" t="n">
        <f aca="false">IF(AI582&gt;0,J582/AI582,-1)</f>
        <v>0.0335483870967742</v>
      </c>
      <c r="AN582" s="51" t="n">
        <f aca="false">IF(AND(OR(CF582="L1",CF582="L23",CF582="LIFT"),AI582&gt;0),SUMIFS($AI$7:$AI$1843,$CF$7:$CF$1843,CF582,$AM$7:$AM$1843,"&gt;"&amp;AM582)+SUMIFS($AI$7:$AI$1843,$CF$7:$CF$1843,CF582,$AM$7:$AM$1843,AM582,$BW$7:$BW$1843,"&lt;="&amp;BW582),"")</f>
        <v>20391.9079566855</v>
      </c>
      <c r="AO582" s="58" t="n">
        <f aca="false">IF(AN582="",0,MAX(0,MIN(1,(IF(CF582="L1",Parameter!$H$5,IF(CF582="L23",Parameter!$H$6+Parameter!$H$7,Parameter!$H$5+Parameter!$H$6+Parameter!$H$7))-(AN582-AI582))/AI582)))</f>
        <v>1</v>
      </c>
      <c r="AP582" s="50" t="n">
        <f aca="false">IF(LEFT(Cockpit!$I$5,1)="A",H582,IF(Parameter!$E$30="MAX-Bestand",IF(CH582=1,CI582,IF(LEFT(Cockpit!$I$5,1)="B",AV582,MAX(AV582,H582))),ROUNDUP(AT582,0)))</f>
        <v>110</v>
      </c>
      <c r="AQ582" s="50" t="n">
        <f aca="false">IF(BZ582=1,0,ROUNDUP(AP582/BY582,0))</f>
        <v>5</v>
      </c>
      <c r="AR582" s="52" t="n">
        <f aca="false">IF(CQ582&gt;0,CQ582*MAX(1,AP582/X582),IF(BZ582=1,IF(AP582&lt;=0,0,CD582*MAX(1,IF(H582&gt;0,AP582/H582,1))),IF(R582&gt;0,AQ582/R582,0))/MAX(0.1,N(Parameter!$M$21)))</f>
        <v>0.192307692307692</v>
      </c>
      <c r="AS582" s="50" t="n">
        <f aca="false">AR582*CB582</f>
        <v>29.8076923076923</v>
      </c>
      <c r="AT582" s="51" t="n">
        <f aca="false">IF(LEFT(Cockpit!$I$5,1)="A",H582,IF(CH582=1,(CK582+CI582)/2,IF(LEFT(Cockpit!$I$5,1)="B",(CK582+AV582)/2,MAX((CK582+AV582)/2,H582))))</f>
        <v>110</v>
      </c>
      <c r="AU582" s="50" t="n">
        <f aca="false">AT582*G582</f>
        <v>1019.7</v>
      </c>
      <c r="AV582" s="50" t="n">
        <f aca="false">ROUNDUP(CK582+MAX(CL582,2*(J582/IF(CG582&gt;0,CG582,MAX(0.1,N(Cockpit!$I$6)))-CK582)),0)</f>
        <v>1</v>
      </c>
      <c r="AW582" s="51" t="n">
        <f aca="false">IF(AS582&gt;0,J582/AS582,-1)</f>
        <v>0.0335483870967742</v>
      </c>
      <c r="AX582" s="51" t="n">
        <f aca="false">IF(AND(OR(CF582="L1",CF582="L23",CF582="LIFT"),AS582&gt;0),SUMIFS($AS$7:$AS$1843,$CF$7:$CF$1843,CF582,$AW$7:$AW$1843,"&gt;"&amp;AW582)+SUMIFS($AS$7:$AS$1843,$CF$7:$CF$1843,CF582,$AW$7:$AW$1843,AW582,$BW$7:$BW$1843,"&lt;="&amp;BW582),"")</f>
        <v>25510.056598063</v>
      </c>
      <c r="AY582" s="58" t="n">
        <f aca="false">IF(AX582="",0,MAX(0,MIN(1,(IF(CF582="L1",Parameter!$H$5,IF(CF582="L23",Parameter!$H$6+Parameter!$H$7,Parameter!$H$5+Parameter!$H$6+Parameter!$H$7))-(AX582-AS582))/AS582)))</f>
        <v>1</v>
      </c>
      <c r="AZ582" s="50" t="n">
        <f aca="false">IF(LEFT(Cockpit!$O$5,1)="A",H582,IF(Parameter!$E$30="MAX-Bestand",IF(CH582=1,CI582,IF(LEFT(Cockpit!$O$5,1)="B",BF582,MAX(BF582,H582))),ROUNDUP(BD582,0)))</f>
        <v>1</v>
      </c>
      <c r="BA582" s="50" t="n">
        <f aca="false">IF(BZ582=1,0,ROUNDUP(AZ582/BY582,0))</f>
        <v>1</v>
      </c>
      <c r="BB582" s="52" t="n">
        <f aca="false">IF(CQ582&gt;0,CQ582*MAX(1,AZ582/X582),IF(BZ582=1,IF(AZ582&lt;=0,0,CD582*MAX(1,IF(H582&gt;0,AZ582/H582,1))),IF(R582&gt;0,BA582/R582,0))/MAX(0.1,N(Parameter!$M$21)))</f>
        <v>0.0384615384615385</v>
      </c>
      <c r="BC582" s="50" t="n">
        <f aca="false">BB582*CB582</f>
        <v>5.96153846153846</v>
      </c>
      <c r="BD582" s="51" t="n">
        <f aca="false">IF(LEFT(Cockpit!$O$5,1)="A",H582,IF(CH582=1,(CK582+CI582)/2,IF(LEFT(Cockpit!$O$5,1)="B",(CK582+BF582)/2,MAX((CK582+BF582)/2,H582))))</f>
        <v>0.5</v>
      </c>
      <c r="BE582" s="50" t="n">
        <f aca="false">BD582*G582</f>
        <v>4.635</v>
      </c>
      <c r="BF582" s="50" t="n">
        <f aca="false">ROUNDUP(CK582+MAX(CL582,2*(J582/IF(CG582&gt;0,CG582,MAX(0.1,N(Cockpit!$O$6)))-CK582)),0)</f>
        <v>1</v>
      </c>
      <c r="BG582" s="51" t="n">
        <f aca="false">IF(BC582&gt;0,J582/BC582,-1)</f>
        <v>0.167741935483871</v>
      </c>
      <c r="BH582" s="51" t="n">
        <f aca="false">IF(AND(OR(CF582="L1",CF582="L23",CF582="LIFT"),BC582&gt;0),SUMIFS($BC$7:$BC$1843,$CF$7:$CF$1843,CF582,$BG$7:$BG$1843,"&gt;"&amp;BG582)+SUMIFS($BC$7:$BC$1843,$CF$7:$CF$1843,CF582,$BG$7:$BG$1843,BG582,$BW$7:$BW$1843,"&lt;="&amp;BW582),"")</f>
        <v>13428.598820906</v>
      </c>
      <c r="BI582" s="58" t="n">
        <f aca="false">IF(BH582="",0,MAX(0,MIN(1,(IF(CF582="L1",Parameter!$H$5,IF(CF582="L23",Parameter!$H$6+Parameter!$H$7,Parameter!$H$5+Parameter!$H$6+Parameter!$H$7))-(BH582-BC582))/BC582)))</f>
        <v>1</v>
      </c>
      <c r="BJ582" s="48" t="str">
        <f aca="false">IF(AI582&lt;=0,"",IF(CF582="Aussen","Aussenlager",IF(CF582="-","Nicht im Lift",IF(AO582&gt;=1,"Lift",IF(AO582&lt;=0,"Aussenlager","teilweise")))))</f>
        <v>Lift</v>
      </c>
      <c r="BK582" s="48" t="str">
        <f aca="false">IF(AS582&lt;=0,"",IF(CF582="Aussen","Aussenlager",IF(CF582="-","Nicht im Lift",IF(AY582&gt;=1,"Lift",IF(AY582&lt;=0,"Aussenlager","teilweise")))))</f>
        <v>Lift</v>
      </c>
      <c r="BL582" s="48" t="str">
        <f aca="false">IF(BC582&lt;=0,"",IF(CF582="Aussen","Aussenlager",IF(CF582="-","Nicht im Lift",IF(BI582&gt;=1,"Lift",IF(BI582&lt;=0,"Aussenlager","teilweise")))))</f>
        <v>Lift</v>
      </c>
      <c r="BM582" s="48" t="str">
        <f aca="false">IF(A582="","",IF(BV582=1,"Neu; ","")&amp;IF(AND(BV582=0,BQ582&lt;0),"negativer Bestand (Export "&amp;BQ582&amp;"); ","")&amp;IF(J582&lt;=0,"Kein Verbrauch; ","")&amp;IF(CQ582&gt;0,"Lift "&amp;W582&amp;" lt. Liftbericht (Fach "&amp;X582&amp;" Stk); ",IF(CA582=1,"Gebinde geschätzt ("&amp;T582&amp;"); ",IF(BZ582=1,"Lose – Tablare geschätzt; ","")))&amp;IF(H582&gt;AV582,"Überbestand "&amp;ROUND(H582-AV582,0)&amp;" Stk / CHF "&amp;ROUND((H582-AV582)*G582,0)&amp;"; ","")&amp;IF(AND(CH582=1,CI582&lt;CJ582),"MAX &lt; MB+LG; ","")&amp;IF(AND(CP582&gt;0,CO582*10&gt;CP582),"zu hoch für Tablar; ","")&amp;IF(AND(BV582=0,OR(CH582=1,AA582&lt;&gt;"",U582&lt;&gt;"",V582&lt;&gt;"",AB582&lt;&gt;"")),"manuell übersteuert; ","")&amp;IF(AND(BZ582=0,R582=0),"Gebinde unbekannt / Stellmass fehlt; ","")&amp;IF(AND(BZ582=0,N(V582)&lt;=0,N(Q582)&lt;=0),"Menge pro Gebinde fehlt (Ist = 1 Gebinde); ","")&amp;BU582)</f>
        <v>Überbestand 109 Stk / CHF 1010; </v>
      </c>
      <c r="BN582" s="48"/>
      <c r="BO582" s="48"/>
      <c r="BP582" s="55"/>
      <c r="BQ582" s="50" t="n">
        <v>1</v>
      </c>
      <c r="BR582" s="50" t="n">
        <v>109</v>
      </c>
      <c r="BS582" s="49" t="n">
        <v>9.27</v>
      </c>
      <c r="BT582" s="50" t="n">
        <v>1</v>
      </c>
      <c r="BU582" s="48"/>
      <c r="BV582" s="53" t="n">
        <v>0</v>
      </c>
      <c r="BW582" s="53" t="n">
        <v>582</v>
      </c>
      <c r="BX582" s="48" t="str">
        <f aca="false">IF(U582&lt;&gt;"",UPPER(TRIM(U582)),IF(CA582=1,UPPER(VLOOKUP(T582,Parameter!$I$27:$K$29,2,0)),IF(P582="","LOSE",P582)))</f>
        <v>S51</v>
      </c>
      <c r="BY582" s="50" t="n">
        <f aca="false">IF(BX582="LOSE",1,IF(N(V582)&gt;0,V582,IF(CA582=1,MAX(1,N(VLOOKUP(T582,Parameter!$I$27:$K$29,3,0)),H582,N(N582)),IF(N(Q582)&gt;0,Q582,MAX(1,H582)))))</f>
        <v>23</v>
      </c>
      <c r="BZ582" s="53" t="n">
        <f aca="false">IF(BX582="LOSE",1,0)</f>
        <v>0</v>
      </c>
      <c r="CA582" s="53" t="n">
        <f aca="false">IF(AND(U582="",OR(P582="",P582="LOSE"),T582&lt;&gt;"",N(S582)&lt;=0,ISNUMBER(MATCH(T582,Parameter!$I$27:$I$29,0))),1,0)</f>
        <v>0</v>
      </c>
      <c r="CB582" s="53" t="n">
        <f aca="false">IF(CQ582&gt;0,INDEX(Parameter!$H$5:$H$7,W582)/INDEX(Parameter!$E$5:$E$7,W582),IF(AND(BZ582=0,N(IFERROR(VLOOKUP(BX582,'Gebinde-Kategorie'!$A$5:$N$45,14,0),0))&gt;0),VLOOKUP(BX582,'Gebinde-Kategorie'!$A$5:$N$45,14,0)*10+Parameter!$M$23,Parameter!$M$24))</f>
        <v>155</v>
      </c>
      <c r="CC582" s="48" t="str">
        <f aca="false">IF(AND(Parameter!$B$19="Ja",E582&lt;&gt;"",ISNUMBER(MATCH(E582,Parameter!$I$35:$I$52,0))),VLOOKUP(E582,Parameter!$I$35:$J$52,2,0),IFERROR(VLOOKUP(D582,Parameter!$A$35:$C$64,2,0),"Nein"))</f>
        <v>2+3</v>
      </c>
      <c r="CD582" s="52" t="n">
        <f aca="false">IF(BZ582=0,0,IF(N(S582)&gt;0,S582,IFERROR(VLOOKUP(D582,Parameter!$A$35:$C$64,3,0)+0,0)))</f>
        <v>0</v>
      </c>
      <c r="CE582" s="48" t="n">
        <f aca="false">IF(AA582&lt;&gt;"",AA582,Z582)</f>
        <v>3</v>
      </c>
      <c r="CF582" s="48" t="str">
        <f aca="false">IF(OR(CE582=1,CE582=2,CE582=3),IF(Parameter!$E$27="Ja","LIFT",IF(CE582=1,"L1","L23")),IF(CE582="Aussen","Aussen","-"))</f>
        <v>LIFT</v>
      </c>
      <c r="CG582" s="59" t="n">
        <f aca="false">IF(N(AB582)&gt;0,AB582,0)</f>
        <v>0</v>
      </c>
      <c r="CH582" s="53" t="n">
        <f aca="false">IF(ISNUMBER(AE582),1,0)</f>
        <v>0</v>
      </c>
      <c r="CI582" s="50" t="n">
        <f aca="false">N(AE582)</f>
        <v>0</v>
      </c>
      <c r="CJ582" s="50" t="n">
        <f aca="false">N(M582)+N(N582)</f>
        <v>1</v>
      </c>
      <c r="CK582" s="50" t="n">
        <f aca="false">N(M582)</f>
        <v>0</v>
      </c>
      <c r="CL582" s="50" t="n">
        <f aca="false">N(N582)</f>
        <v>1</v>
      </c>
      <c r="CM582" s="50" t="n">
        <f aca="false">ROUNDUP(H582/BY582,0)</f>
        <v>5</v>
      </c>
      <c r="CN582" s="50" t="n">
        <f aca="false">ROUNDUP(CI582/BY582,0)</f>
        <v>0</v>
      </c>
      <c r="CO582" s="53" t="n">
        <f aca="false">IF(BZ582=1,0,IFERROR(VLOOKUP(BX582,'Gebinde-Kategorie'!$A$5:$N$45,5,0)+0,0))</f>
        <v>11</v>
      </c>
      <c r="CP582" s="53" t="n">
        <f aca="false">IFERROR(IF(OR(CE582=1,CE582=2,CE582=3),N(INDEX(Parameter!$I$5:$I$7,CE582)),0),0)</f>
        <v>0</v>
      </c>
      <c r="CQ582" s="52" t="n">
        <f aca="false">IF(AND(Parameter!$B$21="Ja",ISNUMBER(W582),N(X582)&gt;0),IFERROR(N(INDEX(Parameter!$L$5:$L$7,W582))*INDEX(Parameter!$E$5:$E$7,W582)*X582/SUMIFS($X$7:$X$1843,$W$7:$W$1843,W582),0),0)</f>
        <v>0</v>
      </c>
    </row>
    <row r="583" customFormat="false" ht="15" hidden="false" customHeight="false" outlineLevel="0" collapsed="false">
      <c r="A583" s="48" t="s">
        <v>1230</v>
      </c>
      <c r="B583" s="48" t="s">
        <v>1231</v>
      </c>
      <c r="C583" s="48" t="s">
        <v>173</v>
      </c>
      <c r="D583" s="48" t="s">
        <v>182</v>
      </c>
      <c r="E583" s="48"/>
      <c r="F583" s="48" t="s">
        <v>227</v>
      </c>
      <c r="G583" s="49" t="n">
        <v>0.53</v>
      </c>
      <c r="H583" s="50" t="n">
        <f aca="false">MAX(0,IF(AND(Parameter!$B$21="Ja",ISNUMBER(Y583)),Y583,IF(Parameter!$B$20="Jahresanfang 2025 + Export",BR583+BQ583,BQ583)))</f>
        <v>17</v>
      </c>
      <c r="I583" s="50" t="n">
        <f aca="false">H583*G583</f>
        <v>9.01</v>
      </c>
      <c r="J583" s="50" t="n">
        <f aca="false">BT583*Parameter!$B$18</f>
        <v>2</v>
      </c>
      <c r="K583" s="51" t="n">
        <v>0</v>
      </c>
      <c r="L583" s="52" t="n">
        <v>0</v>
      </c>
      <c r="M583" s="50" t="n">
        <v>0</v>
      </c>
      <c r="N583" s="50" t="n">
        <v>1</v>
      </c>
      <c r="O583" s="53" t="n">
        <v>31</v>
      </c>
      <c r="P583" s="48" t="s">
        <v>177</v>
      </c>
      <c r="Q583" s="50"/>
      <c r="R583" s="53" t="n">
        <f aca="false">IF(BZ583=1,0,IFERROR(VLOOKUP(BX583,'Gebinde-Kategorie'!$A$5:$N$45,13,0)+0,0))</f>
        <v>12</v>
      </c>
      <c r="S583" s="54"/>
      <c r="T583" s="55" t="s">
        <v>188</v>
      </c>
      <c r="U583" s="55"/>
      <c r="V583" s="55"/>
      <c r="W583" s="48"/>
      <c r="X583" s="50"/>
      <c r="Y583" s="50"/>
      <c r="Z583" s="48" t="n">
        <f aca="false">IF(A583="","",IF(AND(Parameter!$B$21="Ja",ISNUMBER(W583)),W583,IF(CC583="2+3",IF(ISNUMBER(SEARCH("grosser Artikel",BU583)),2,IFERROR(VLOOKUP(BX583,Parameter!$F$35:$G$64,2,0),2)),IF(OR(CC583="Nein",CC583=""),"-",CC583))))</f>
        <v>2</v>
      </c>
      <c r="AA583" s="55"/>
      <c r="AB583" s="56"/>
      <c r="AC583" s="50" t="n">
        <f aca="false">AV583</f>
        <v>2</v>
      </c>
      <c r="AD583" s="50" t="n">
        <f aca="false">MAX(AV583,H583)</f>
        <v>17</v>
      </c>
      <c r="AE583" s="57"/>
      <c r="AF583" s="50" t="n">
        <f aca="false">IF(LEFT(Cockpit!$C$5,1)="A",H583,IF(Parameter!$E$30="MAX-Bestand",IF(CH583=1,CI583,IF(LEFT(Cockpit!$C$5,1)="B",AL583,MAX(AL583,H583))),ROUNDUP(AJ583,0)))</f>
        <v>17</v>
      </c>
      <c r="AG583" s="50" t="n">
        <f aca="false">IF(BZ583=1,0,ROUNDUP(AF583/BY583,0))</f>
        <v>1</v>
      </c>
      <c r="AH583" s="52" t="n">
        <f aca="false">IF(CQ583&gt;0,CQ583*MAX(1,AF583/X583),IF(BZ583=1,IF(AF583&lt;=0,0,CD583*MAX(1,IF(H583&gt;0,AF583/H583,1))),IF(R583&gt;0,AG583/R583,0))/MAX(0.1,N(Parameter!$M$21)))</f>
        <v>0.0833333333333333</v>
      </c>
      <c r="AI583" s="50" t="n">
        <f aca="false">AH583*CB583</f>
        <v>12.0833333333333</v>
      </c>
      <c r="AJ583" s="51" t="n">
        <f aca="false">IF(LEFT(Cockpit!$C$5,1)="A",H583,IF(CH583=1,(CK583+CI583)/2,IF(LEFT(Cockpit!$C$5,1)="B",(CK583+AL583)/2,MAX((CK583+AL583)/2,H583))))</f>
        <v>17</v>
      </c>
      <c r="AK583" s="50" t="n">
        <f aca="false">AJ583*G583</f>
        <v>9.01</v>
      </c>
      <c r="AL583" s="50" t="n">
        <f aca="false">ROUNDUP(CK583+MAX(CL583,2*(J583/IF(CG583&gt;0,CG583,MAX(0.1,N(Cockpit!$C$6)))-CK583)),0)</f>
        <v>2</v>
      </c>
      <c r="AM583" s="51" t="n">
        <f aca="false">IF(AI583&gt;0,J583/AI583,-1)</f>
        <v>0.16551724137931</v>
      </c>
      <c r="AN583" s="51" t="n">
        <f aca="false">IF(AND(OR(CF583="L1",CF583="L23",CF583="LIFT"),AI583&gt;0),SUMIFS($AI$7:$AI$1843,$CF$7:$CF$1843,CF583,$AM$7:$AM$1843,"&gt;"&amp;AM583)+SUMIFS($AI$7:$AI$1843,$CF$7:$CF$1843,CF583,$AM$7:$AM$1843,AM583,$BW$7:$BW$1843,"&lt;="&amp;BW583),"")</f>
        <v>12817.4901311024</v>
      </c>
      <c r="AO583" s="58" t="n">
        <f aca="false">IF(AN583="",0,MAX(0,MIN(1,(IF(CF583="L1",Parameter!$H$5,IF(CF583="L23",Parameter!$H$6+Parameter!$H$7,Parameter!$H$5+Parameter!$H$6+Parameter!$H$7))-(AN583-AI583))/AI583)))</f>
        <v>1</v>
      </c>
      <c r="AP583" s="50" t="n">
        <f aca="false">IF(LEFT(Cockpit!$I$5,1)="A",H583,IF(Parameter!$E$30="MAX-Bestand",IF(CH583=1,CI583,IF(LEFT(Cockpit!$I$5,1)="B",AV583,MAX(AV583,H583))),ROUNDUP(AT583,0)))</f>
        <v>17</v>
      </c>
      <c r="AQ583" s="50" t="n">
        <f aca="false">IF(BZ583=1,0,ROUNDUP(AP583/BY583,0))</f>
        <v>1</v>
      </c>
      <c r="AR583" s="52" t="n">
        <f aca="false">IF(CQ583&gt;0,CQ583*MAX(1,AP583/X583),IF(BZ583=1,IF(AP583&lt;=0,0,CD583*MAX(1,IF(H583&gt;0,AP583/H583,1))),IF(R583&gt;0,AQ583/R583,0))/MAX(0.1,N(Parameter!$M$21)))</f>
        <v>0.0833333333333333</v>
      </c>
      <c r="AS583" s="50" t="n">
        <f aca="false">AR583*CB583</f>
        <v>12.0833333333333</v>
      </c>
      <c r="AT583" s="51" t="n">
        <f aca="false">IF(LEFT(Cockpit!$I$5,1)="A",H583,IF(CH583=1,(CK583+CI583)/2,IF(LEFT(Cockpit!$I$5,1)="B",(CK583+AV583)/2,MAX((CK583+AV583)/2,H583))))</f>
        <v>17</v>
      </c>
      <c r="AU583" s="50" t="n">
        <f aca="false">AT583*G583</f>
        <v>9.01</v>
      </c>
      <c r="AV583" s="50" t="n">
        <f aca="false">ROUNDUP(CK583+MAX(CL583,2*(J583/IF(CG583&gt;0,CG583,MAX(0.1,N(Cockpit!$I$6)))-CK583)),0)</f>
        <v>2</v>
      </c>
      <c r="AW583" s="51" t="n">
        <f aca="false">IF(AS583&gt;0,J583/AS583,-1)</f>
        <v>0.16551724137931</v>
      </c>
      <c r="AX583" s="51" t="n">
        <f aca="false">IF(AND(OR(CF583="L1",CF583="L23",CF583="LIFT"),AS583&gt;0),SUMIFS($AS$7:$AS$1843,$CF$7:$CF$1843,CF583,$AW$7:$AW$1843,"&gt;"&amp;AW583)+SUMIFS($AS$7:$AS$1843,$CF$7:$CF$1843,CF583,$AW$7:$AW$1843,AW583,$BW$7:$BW$1843,"&lt;="&amp;BW583),"")</f>
        <v>15746.1707875458</v>
      </c>
      <c r="AY583" s="58" t="n">
        <f aca="false">IF(AX583="",0,MAX(0,MIN(1,(IF(CF583="L1",Parameter!$H$5,IF(CF583="L23",Parameter!$H$6+Parameter!$H$7,Parameter!$H$5+Parameter!$H$6+Parameter!$H$7))-(AX583-AS583))/AS583)))</f>
        <v>1</v>
      </c>
      <c r="AZ583" s="50" t="n">
        <f aca="false">IF(LEFT(Cockpit!$O$5,1)="A",H583,IF(Parameter!$E$30="MAX-Bestand",IF(CH583=1,CI583,IF(LEFT(Cockpit!$O$5,1)="B",BF583,MAX(BF583,H583))),ROUNDUP(BD583,0)))</f>
        <v>1</v>
      </c>
      <c r="BA583" s="50" t="n">
        <f aca="false">IF(BZ583=1,0,ROUNDUP(AZ583/BY583,0))</f>
        <v>1</v>
      </c>
      <c r="BB583" s="52" t="n">
        <f aca="false">IF(CQ583&gt;0,CQ583*MAX(1,AZ583/X583),IF(BZ583=1,IF(AZ583&lt;=0,0,CD583*MAX(1,IF(H583&gt;0,AZ583/H583,1))),IF(R583&gt;0,BA583/R583,0))/MAX(0.1,N(Parameter!$M$21)))</f>
        <v>0.0833333333333333</v>
      </c>
      <c r="BC583" s="50" t="n">
        <f aca="false">BB583*CB583</f>
        <v>12.0833333333333</v>
      </c>
      <c r="BD583" s="51" t="n">
        <f aca="false">IF(LEFT(Cockpit!$O$5,1)="A",H583,IF(CH583=1,(CK583+CI583)/2,IF(LEFT(Cockpit!$O$5,1)="B",(CK583+BF583)/2,MAX((CK583+BF583)/2,H583))))</f>
        <v>0.5</v>
      </c>
      <c r="BE583" s="50" t="n">
        <f aca="false">BD583*G583</f>
        <v>0.265</v>
      </c>
      <c r="BF583" s="50" t="n">
        <f aca="false">ROUNDUP(CK583+MAX(CL583,2*(J583/IF(CG583&gt;0,CG583,MAX(0.1,N(Cockpit!$O$6)))-CK583)),0)</f>
        <v>1</v>
      </c>
      <c r="BG583" s="51" t="n">
        <f aca="false">IF(BC583&gt;0,J583/BC583,-1)</f>
        <v>0.16551724137931</v>
      </c>
      <c r="BH583" s="51" t="n">
        <f aca="false">IF(AND(OR(CF583="L1",CF583="L23",CF583="LIFT"),BC583&gt;0),SUMIFS($BC$7:$BC$1843,$CF$7:$CF$1843,CF583,$BG$7:$BG$1843,"&gt;"&amp;BG583)+SUMIFS($BC$7:$BC$1843,$CF$7:$CF$1843,CF583,$BG$7:$BG$1843,BG583,$BW$7:$BW$1843,"&lt;="&amp;BW583),"")</f>
        <v>13560.5539491112</v>
      </c>
      <c r="BI583" s="58" t="n">
        <f aca="false">IF(BH583="",0,MAX(0,MIN(1,(IF(CF583="L1",Parameter!$H$5,IF(CF583="L23",Parameter!$H$6+Parameter!$H$7,Parameter!$H$5+Parameter!$H$6+Parameter!$H$7))-(BH583-BC583))/BC583)))</f>
        <v>1</v>
      </c>
      <c r="BJ583" s="48" t="str">
        <f aca="false">IF(AI583&lt;=0,"",IF(CF583="Aussen","Aussenlager",IF(CF583="-","Nicht im Lift",IF(AO583&gt;=1,"Lift",IF(AO583&lt;=0,"Aussenlager","teilweise")))))</f>
        <v>Lift</v>
      </c>
      <c r="BK583" s="48" t="str">
        <f aca="false">IF(AS583&lt;=0,"",IF(CF583="Aussen","Aussenlager",IF(CF583="-","Nicht im Lift",IF(AY583&gt;=1,"Lift",IF(AY583&lt;=0,"Aussenlager","teilweise")))))</f>
        <v>Lift</v>
      </c>
      <c r="BL583" s="48" t="str">
        <f aca="false">IF(BC583&lt;=0,"",IF(CF583="Aussen","Aussenlager",IF(CF583="-","Nicht im Lift",IF(BI583&gt;=1,"Lift",IF(BI583&lt;=0,"Aussenlager","teilweise")))))</f>
        <v>Lift</v>
      </c>
      <c r="BM583" s="48" t="str">
        <f aca="false">IF(A583="","",IF(BV583=1,"Neu; ","")&amp;IF(AND(BV583=0,BQ583&lt;0),"negativer Bestand (Export "&amp;BQ583&amp;"); ","")&amp;IF(J583&lt;=0,"Kein Verbrauch; ","")&amp;IF(CQ583&gt;0,"Lift "&amp;W583&amp;" lt. Liftbericht (Fach "&amp;X583&amp;" Stk); ",IF(CA583=1,"Gebinde geschätzt ("&amp;T583&amp;"); ",IF(BZ583=1,"Lose – Tablare geschätzt; ","")))&amp;IF(H583&gt;AV583,"Überbestand "&amp;ROUND(H583-AV583,0)&amp;" Stk / CHF "&amp;ROUND((H583-AV583)*G583,0)&amp;"; ","")&amp;IF(AND(CH583=1,CI583&lt;CJ583),"MAX &lt; MB+LG; ","")&amp;IF(AND(CP583&gt;0,CO583*10&gt;CP583),"zu hoch für Tablar; ","")&amp;IF(AND(BV583=0,OR(CH583=1,AA583&lt;&gt;"",U583&lt;&gt;"",V583&lt;&gt;"",AB583&lt;&gt;"")),"manuell übersteuert; ","")&amp;IF(AND(BZ583=0,R583=0),"Gebinde unbekannt / Stellmass fehlt; ","")&amp;IF(AND(BZ583=0,N(V583)&lt;=0,N(Q583)&lt;=0),"Menge pro Gebinde fehlt (Ist = 1 Gebinde); ","")&amp;BU583)</f>
        <v>Gebinde geschätzt (Mittel); Überbestand 15 Stk / CHF 8; Menge pro Gebinde fehlt (Ist = 1 Gebinde); </v>
      </c>
      <c r="BN583" s="48"/>
      <c r="BO583" s="48"/>
      <c r="BP583" s="55"/>
      <c r="BQ583" s="50" t="n">
        <v>17</v>
      </c>
      <c r="BR583" s="50" t="n">
        <v>0</v>
      </c>
      <c r="BS583" s="49" t="n">
        <v>9.01</v>
      </c>
      <c r="BT583" s="50" t="n">
        <v>2</v>
      </c>
      <c r="BU583" s="48"/>
      <c r="BV583" s="53" t="n">
        <v>0</v>
      </c>
      <c r="BW583" s="53" t="n">
        <v>583</v>
      </c>
      <c r="BX583" s="48" t="str">
        <f aca="false">IF(U583&lt;&gt;"",UPPER(TRIM(U583)),IF(CA583=1,UPPER(VLOOKUP(T583,Parameter!$I$27:$K$29,2,0)),IF(P583="","LOSE",P583)))</f>
        <v>S61</v>
      </c>
      <c r="BY583" s="50" t="n">
        <f aca="false">IF(BX583="LOSE",1,IF(N(V583)&gt;0,V583,IF(CA583=1,MAX(1,N(VLOOKUP(T583,Parameter!$I$27:$K$29,3,0)),H583,N(N583)),IF(N(Q583)&gt;0,Q583,MAX(1,H583)))))</f>
        <v>17</v>
      </c>
      <c r="BZ583" s="53" t="n">
        <f aca="false">IF(BX583="LOSE",1,0)</f>
        <v>0</v>
      </c>
      <c r="CA583" s="53" t="n">
        <f aca="false">IF(AND(U583="",OR(P583="",P583="LOSE"),T583&lt;&gt;"",N(S583)&lt;=0,ISNUMBER(MATCH(T583,Parameter!$I$27:$I$29,0))),1,0)</f>
        <v>1</v>
      </c>
      <c r="CB583" s="53" t="n">
        <f aca="false">IF(CQ583&gt;0,INDEX(Parameter!$H$5:$H$7,W583)/INDEX(Parameter!$E$5:$E$7,W583),IF(AND(BZ583=0,N(IFERROR(VLOOKUP(BX583,'Gebinde-Kategorie'!$A$5:$N$45,14,0),0))&gt;0),VLOOKUP(BX583,'Gebinde-Kategorie'!$A$5:$N$45,14,0)*10+Parameter!$M$23,Parameter!$M$24))</f>
        <v>145</v>
      </c>
      <c r="CC583" s="48" t="str">
        <f aca="false">IF(AND(Parameter!$B$19="Ja",E583&lt;&gt;"",ISNUMBER(MATCH(E583,Parameter!$I$35:$I$52,0))),VLOOKUP(E583,Parameter!$I$35:$J$52,2,0),IFERROR(VLOOKUP(D583,Parameter!$A$35:$C$64,2,0),"Nein"))</f>
        <v>2+3</v>
      </c>
      <c r="CD583" s="52" t="n">
        <f aca="false">IF(BZ583=0,0,IF(N(S583)&gt;0,S583,IFERROR(VLOOKUP(D583,Parameter!$A$35:$C$64,3,0)+0,0)))</f>
        <v>0</v>
      </c>
      <c r="CE583" s="48" t="n">
        <f aca="false">IF(AA583&lt;&gt;"",AA583,Z583)</f>
        <v>2</v>
      </c>
      <c r="CF583" s="48" t="str">
        <f aca="false">IF(OR(CE583=1,CE583=2,CE583=3),IF(Parameter!$E$27="Ja","LIFT",IF(CE583=1,"L1","L23")),IF(CE583="Aussen","Aussen","-"))</f>
        <v>LIFT</v>
      </c>
      <c r="CG583" s="59" t="n">
        <f aca="false">IF(N(AB583)&gt;0,AB583,0)</f>
        <v>0</v>
      </c>
      <c r="CH583" s="53" t="n">
        <f aca="false">IF(ISNUMBER(AE583),1,0)</f>
        <v>0</v>
      </c>
      <c r="CI583" s="50" t="n">
        <f aca="false">N(AE583)</f>
        <v>0</v>
      </c>
      <c r="CJ583" s="50" t="n">
        <f aca="false">N(M583)+N(N583)</f>
        <v>1</v>
      </c>
      <c r="CK583" s="50" t="n">
        <f aca="false">N(M583)</f>
        <v>0</v>
      </c>
      <c r="CL583" s="50" t="n">
        <f aca="false">N(N583)</f>
        <v>1</v>
      </c>
      <c r="CM583" s="50" t="n">
        <f aca="false">ROUNDUP(H583/BY583,0)</f>
        <v>1</v>
      </c>
      <c r="CN583" s="50" t="n">
        <f aca="false">ROUNDUP(CI583/BY583,0)</f>
        <v>0</v>
      </c>
      <c r="CO583" s="53" t="n">
        <f aca="false">IF(BZ583=1,0,IFERROR(VLOOKUP(BX583,'Gebinde-Kategorie'!$A$5:$N$45,5,0)+0,0))</f>
        <v>11</v>
      </c>
      <c r="CP583" s="53" t="n">
        <f aca="false">IFERROR(IF(OR(CE583=1,CE583=2,CE583=3),N(INDEX(Parameter!$I$5:$I$7,CE583)),0),0)</f>
        <v>0</v>
      </c>
      <c r="CQ583" s="52" t="n">
        <f aca="false">IF(AND(Parameter!$B$21="Ja",ISNUMBER(W583),N(X583)&gt;0),IFERROR(N(INDEX(Parameter!$L$5:$L$7,W583))*INDEX(Parameter!$E$5:$E$7,W583)*X583/SUMIFS($X$7:$X$1843,$W$7:$W$1843,W583),0),0)</f>
        <v>0</v>
      </c>
    </row>
    <row r="584" customFormat="false" ht="15" hidden="false" customHeight="false" outlineLevel="0" collapsed="false">
      <c r="A584" s="48" t="s">
        <v>1232</v>
      </c>
      <c r="B584" s="48" t="s">
        <v>477</v>
      </c>
      <c r="C584" s="48" t="s">
        <v>173</v>
      </c>
      <c r="D584" s="48" t="s">
        <v>193</v>
      </c>
      <c r="E584" s="48" t="s">
        <v>194</v>
      </c>
      <c r="F584" s="48" t="s">
        <v>227</v>
      </c>
      <c r="G584" s="49" t="n">
        <v>0.1</v>
      </c>
      <c r="H584" s="50" t="n">
        <f aca="false">MAX(0,IF(AND(Parameter!$B$21="Ja",ISNUMBER(Y584)),Y584,IF(Parameter!$B$20="Jahresanfang 2025 + Export",BR584+BQ584,BQ584)))</f>
        <v>389</v>
      </c>
      <c r="I584" s="50" t="n">
        <f aca="false">H584*G584</f>
        <v>38.9</v>
      </c>
      <c r="J584" s="50" t="n">
        <f aca="false">BT584*Parameter!$B$18</f>
        <v>620</v>
      </c>
      <c r="K584" s="51" t="n">
        <v>480.5</v>
      </c>
      <c r="L584" s="52" t="n">
        <v>1.29032258064516</v>
      </c>
      <c r="M584" s="50" t="n">
        <v>48</v>
      </c>
      <c r="N584" s="50" t="n">
        <v>620</v>
      </c>
      <c r="O584" s="53" t="n">
        <v>28</v>
      </c>
      <c r="P584" s="48" t="s">
        <v>435</v>
      </c>
      <c r="Q584" s="50" t="n">
        <v>177</v>
      </c>
      <c r="R584" s="53" t="n">
        <f aca="false">IF(BZ584=1,0,IFERROR(VLOOKUP(BX584,'Gebinde-Kategorie'!$A$5:$N$45,13,0)+0,0))</f>
        <v>140</v>
      </c>
      <c r="S584" s="54"/>
      <c r="T584" s="55"/>
      <c r="U584" s="55"/>
      <c r="V584" s="55"/>
      <c r="W584" s="48"/>
      <c r="X584" s="50"/>
      <c r="Y584" s="50"/>
      <c r="Z584" s="48" t="n">
        <f aca="false">IF(A584="","",IF(AND(Parameter!$B$21="Ja",ISNUMBER(W584)),W584,IF(CC584="2+3",IF(ISNUMBER(SEARCH("grosser Artikel",BU584)),2,IFERROR(VLOOKUP(BX584,Parameter!$F$35:$G$64,2,0),2)),IF(OR(CC584="Nein",CC584=""),"-",CC584))))</f>
        <v>3</v>
      </c>
      <c r="AA584" s="55"/>
      <c r="AB584" s="56"/>
      <c r="AC584" s="50" t="n">
        <f aca="false">AV584</f>
        <v>668</v>
      </c>
      <c r="AD584" s="50" t="n">
        <f aca="false">MAX(AV584,H584)</f>
        <v>668</v>
      </c>
      <c r="AE584" s="57"/>
      <c r="AF584" s="50" t="n">
        <f aca="false">IF(LEFT(Cockpit!$C$5,1)="A",H584,IF(Parameter!$E$30="MAX-Bestand",IF(CH584=1,CI584,IF(LEFT(Cockpit!$C$5,1)="B",AL584,MAX(AL584,H584))),ROUNDUP(AJ584,0)))</f>
        <v>389</v>
      </c>
      <c r="AG584" s="50" t="n">
        <f aca="false">IF(BZ584=1,0,ROUNDUP(AF584/BY584,0))</f>
        <v>3</v>
      </c>
      <c r="AH584" s="52" t="n">
        <f aca="false">IF(CQ584&gt;0,CQ584*MAX(1,AF584/X584),IF(BZ584=1,IF(AF584&lt;=0,0,CD584*MAX(1,IF(H584&gt;0,AF584/H584,1))),IF(R584&gt;0,AG584/R584,0))/MAX(0.1,N(Parameter!$M$21)))</f>
        <v>0.0214285714285714</v>
      </c>
      <c r="AI584" s="50" t="n">
        <f aca="false">AH584*CB584</f>
        <v>3.32142857142857</v>
      </c>
      <c r="AJ584" s="51" t="n">
        <f aca="false">IF(LEFT(Cockpit!$C$5,1)="A",H584,IF(CH584=1,(CK584+CI584)/2,IF(LEFT(Cockpit!$C$5,1)="B",(CK584+AL584)/2,MAX((CK584+AL584)/2,H584))))</f>
        <v>389</v>
      </c>
      <c r="AK584" s="50" t="n">
        <f aca="false">AJ584*G584</f>
        <v>38.9</v>
      </c>
      <c r="AL584" s="50" t="n">
        <f aca="false">ROUNDUP(CK584+MAX(CL584,2*(J584/IF(CG584&gt;0,CG584,MAX(0.1,N(Cockpit!$C$6)))-CK584)),0)</f>
        <v>668</v>
      </c>
      <c r="AM584" s="51" t="n">
        <f aca="false">IF(AI584&gt;0,J584/AI584,-1)</f>
        <v>186.666666666667</v>
      </c>
      <c r="AN584" s="51" t="n">
        <f aca="false">IF(AND(OR(CF584="L1",CF584="L23",CF584="LIFT"),AI584&gt;0),SUMIFS($AI$7:$AI$1843,$CF$7:$CF$1843,CF584,$AM$7:$AM$1843,"&gt;"&amp;AM584)+SUMIFS($AI$7:$AI$1843,$CF$7:$CF$1843,CF584,$AM$7:$AM$1843,AM584,$BW$7:$BW$1843,"&lt;="&amp;BW584),"")</f>
        <v>379.556776556777</v>
      </c>
      <c r="AO584" s="58" t="n">
        <f aca="false">IF(AN584="",0,MAX(0,MIN(1,(IF(CF584="L1",Parameter!$H$5,IF(CF584="L23",Parameter!$H$6+Parameter!$H$7,Parameter!$H$5+Parameter!$H$6+Parameter!$H$7))-(AN584-AI584))/AI584)))</f>
        <v>1</v>
      </c>
      <c r="AP584" s="50" t="n">
        <f aca="false">IF(LEFT(Cockpit!$I$5,1)="A",H584,IF(Parameter!$E$30="MAX-Bestand",IF(CH584=1,CI584,IF(LEFT(Cockpit!$I$5,1)="B",AV584,MAX(AV584,H584))),ROUNDUP(AT584,0)))</f>
        <v>389</v>
      </c>
      <c r="AQ584" s="50" t="n">
        <f aca="false">IF(BZ584=1,0,ROUNDUP(AP584/BY584,0))</f>
        <v>3</v>
      </c>
      <c r="AR584" s="52" t="n">
        <f aca="false">IF(CQ584&gt;0,CQ584*MAX(1,AP584/X584),IF(BZ584=1,IF(AP584&lt;=0,0,CD584*MAX(1,IF(H584&gt;0,AP584/H584,1))),IF(R584&gt;0,AQ584/R584,0))/MAX(0.1,N(Parameter!$M$21)))</f>
        <v>0.0214285714285714</v>
      </c>
      <c r="AS584" s="50" t="n">
        <f aca="false">AR584*CB584</f>
        <v>3.32142857142857</v>
      </c>
      <c r="AT584" s="51" t="n">
        <f aca="false">IF(LEFT(Cockpit!$I$5,1)="A",H584,IF(CH584=1,(CK584+CI584)/2,IF(LEFT(Cockpit!$I$5,1)="B",(CK584+AV584)/2,MAX((CK584+AV584)/2,H584))))</f>
        <v>389</v>
      </c>
      <c r="AU584" s="50" t="n">
        <f aca="false">AT584*G584</f>
        <v>38.9</v>
      </c>
      <c r="AV584" s="50" t="n">
        <f aca="false">ROUNDUP(CK584+MAX(CL584,2*(J584/IF(CG584&gt;0,CG584,MAX(0.1,N(Cockpit!$I$6)))-CK584)),0)</f>
        <v>668</v>
      </c>
      <c r="AW584" s="51" t="n">
        <f aca="false">IF(AS584&gt;0,J584/AS584,-1)</f>
        <v>186.666666666667</v>
      </c>
      <c r="AX584" s="51" t="n">
        <f aca="false">IF(AND(OR(CF584="L1",CF584="L23",CF584="LIFT"),AS584&gt;0),SUMIFS($AS$7:$AS$1843,$CF$7:$CF$1843,CF584,$AW$7:$AW$1843,"&gt;"&amp;AW584)+SUMIFS($AS$7:$AS$1843,$CF$7:$CF$1843,CF584,$AW$7:$AW$1843,AW584,$BW$7:$BW$1843,"&lt;="&amp;BW584),"")</f>
        <v>497.193681318681</v>
      </c>
      <c r="AY584" s="58" t="n">
        <f aca="false">IF(AX584="",0,MAX(0,MIN(1,(IF(CF584="L1",Parameter!$H$5,IF(CF584="L23",Parameter!$H$6+Parameter!$H$7,Parameter!$H$5+Parameter!$H$6+Parameter!$H$7))-(AX584-AS584))/AS584)))</f>
        <v>1</v>
      </c>
      <c r="AZ584" s="50" t="n">
        <f aca="false">IF(LEFT(Cockpit!$O$5,1)="A",H584,IF(Parameter!$E$30="MAX-Bestand",IF(CH584=1,CI584,IF(LEFT(Cockpit!$O$5,1)="B",BF584,MAX(BF584,H584))),ROUNDUP(BD584,0)))</f>
        <v>358</v>
      </c>
      <c r="BA584" s="50" t="n">
        <f aca="false">IF(BZ584=1,0,ROUNDUP(AZ584/BY584,0))</f>
        <v>3</v>
      </c>
      <c r="BB584" s="52" t="n">
        <f aca="false">IF(CQ584&gt;0,CQ584*MAX(1,AZ584/X584),IF(BZ584=1,IF(AZ584&lt;=0,0,CD584*MAX(1,IF(H584&gt;0,AZ584/H584,1))),IF(R584&gt;0,BA584/R584,0))/MAX(0.1,N(Parameter!$M$21)))</f>
        <v>0.0214285714285714</v>
      </c>
      <c r="BC584" s="50" t="n">
        <f aca="false">BB584*CB584</f>
        <v>3.32142857142857</v>
      </c>
      <c r="BD584" s="51" t="n">
        <f aca="false">IF(LEFT(Cockpit!$O$5,1)="A",H584,IF(CH584=1,(CK584+CI584)/2,IF(LEFT(Cockpit!$O$5,1)="B",(CK584+BF584)/2,MAX((CK584+BF584)/2,H584))))</f>
        <v>358</v>
      </c>
      <c r="BE584" s="50" t="n">
        <f aca="false">BD584*G584</f>
        <v>35.8</v>
      </c>
      <c r="BF584" s="50" t="n">
        <f aca="false">ROUNDUP(CK584+MAX(CL584,2*(J584/IF(CG584&gt;0,CG584,MAX(0.1,N(Cockpit!$O$6)))-CK584)),0)</f>
        <v>668</v>
      </c>
      <c r="BG584" s="51" t="n">
        <f aca="false">IF(BC584&gt;0,J584/BC584,-1)</f>
        <v>186.666666666667</v>
      </c>
      <c r="BH584" s="51" t="n">
        <f aca="false">IF(AND(OR(CF584="L1",CF584="L23",CF584="LIFT"),BC584&gt;0),SUMIFS($BC$7:$BC$1843,$CF$7:$CF$1843,CF584,$BG$7:$BG$1843,"&gt;"&amp;BG584)+SUMIFS($BC$7:$BC$1843,$CF$7:$CF$1843,CF584,$BG$7:$BG$1843,BG584,$BW$7:$BW$1843,"&lt;="&amp;BW584),"")</f>
        <v>489.883241758242</v>
      </c>
      <c r="BI584" s="58" t="n">
        <f aca="false">IF(BH584="",0,MAX(0,MIN(1,(IF(CF584="L1",Parameter!$H$5,IF(CF584="L23",Parameter!$H$6+Parameter!$H$7,Parameter!$H$5+Parameter!$H$6+Parameter!$H$7))-(BH584-BC584))/BC584)))</f>
        <v>1</v>
      </c>
      <c r="BJ584" s="48" t="str">
        <f aca="false">IF(AI584&lt;=0,"",IF(CF584="Aussen","Aussenlager",IF(CF584="-","Nicht im Lift",IF(AO584&gt;=1,"Lift",IF(AO584&lt;=0,"Aussenlager","teilweise")))))</f>
        <v>Lift</v>
      </c>
      <c r="BK584" s="48" t="str">
        <f aca="false">IF(AS584&lt;=0,"",IF(CF584="Aussen","Aussenlager",IF(CF584="-","Nicht im Lift",IF(AY584&gt;=1,"Lift",IF(AY584&lt;=0,"Aussenlager","teilweise")))))</f>
        <v>Lift</v>
      </c>
      <c r="BL584" s="48" t="str">
        <f aca="false">IF(BC584&lt;=0,"",IF(CF584="Aussen","Aussenlager",IF(CF584="-","Nicht im Lift",IF(BI584&gt;=1,"Lift",IF(BI584&lt;=0,"Aussenlager","teilweise")))))</f>
        <v>Lift</v>
      </c>
      <c r="BM584" s="48" t="str">
        <f aca="false">IF(A584="","",IF(BV584=1,"Neu; ","")&amp;IF(AND(BV584=0,BQ584&lt;0),"negativer Bestand (Export "&amp;BQ584&amp;"); ","")&amp;IF(J584&lt;=0,"Kein Verbrauch; ","")&amp;IF(CQ584&gt;0,"Lift "&amp;W584&amp;" lt. Liftbericht (Fach "&amp;X584&amp;" Stk); ",IF(CA584=1,"Gebinde geschätzt ("&amp;T584&amp;"); ",IF(BZ584=1,"Lose – Tablare geschätzt; ","")))&amp;IF(H584&gt;AV584,"Überbestand "&amp;ROUND(H584-AV584,0)&amp;" Stk / CHF "&amp;ROUND((H584-AV584)*G584,0)&amp;"; ","")&amp;IF(AND(CH584=1,CI584&lt;CJ584),"MAX &lt; MB+LG; ","")&amp;IF(AND(CP584&gt;0,CO584*10&gt;CP584),"zu hoch für Tablar; ","")&amp;IF(AND(BV584=0,OR(CH584=1,AA584&lt;&gt;"",U584&lt;&gt;"",V584&lt;&gt;"",AB584&lt;&gt;"")),"manuell übersteuert; ","")&amp;IF(AND(BZ584=0,R584=0),"Gebinde unbekannt / Stellmass fehlt; ","")&amp;IF(AND(BZ584=0,N(V584)&lt;=0,N(Q584)&lt;=0),"Menge pro Gebinde fehlt (Ist = 1 Gebinde); ","")&amp;BU584)</f>
        <v/>
      </c>
      <c r="BN584" s="48"/>
      <c r="BO584" s="48"/>
      <c r="BP584" s="55"/>
      <c r="BQ584" s="50" t="n">
        <v>88</v>
      </c>
      <c r="BR584" s="50" t="n">
        <v>301</v>
      </c>
      <c r="BS584" s="49" t="n">
        <v>8.8</v>
      </c>
      <c r="BT584" s="50" t="n">
        <v>620</v>
      </c>
      <c r="BU584" s="48"/>
      <c r="BV584" s="53" t="n">
        <v>0</v>
      </c>
      <c r="BW584" s="53" t="n">
        <v>584</v>
      </c>
      <c r="BX584" s="48" t="str">
        <f aca="false">IF(U584&lt;&gt;"",UPPER(TRIM(U584)),IF(CA584=1,UPPER(VLOOKUP(T584,Parameter!$I$27:$K$29,2,0)),IF(P584="","LOSE",P584)))</f>
        <v>S22</v>
      </c>
      <c r="BY584" s="50" t="n">
        <f aca="false">IF(BX584="LOSE",1,IF(N(V584)&gt;0,V584,IF(CA584=1,MAX(1,N(VLOOKUP(T584,Parameter!$I$27:$K$29,3,0)),H584,N(N584)),IF(N(Q584)&gt;0,Q584,MAX(1,H584)))))</f>
        <v>177</v>
      </c>
      <c r="BZ584" s="53" t="n">
        <f aca="false">IF(BX584="LOSE",1,0)</f>
        <v>0</v>
      </c>
      <c r="CA584" s="53" t="n">
        <f aca="false">IF(AND(U584="",OR(P584="",P584="LOSE"),T584&lt;&gt;"",N(S584)&lt;=0,ISNUMBER(MATCH(T584,Parameter!$I$27:$I$29,0))),1,0)</f>
        <v>0</v>
      </c>
      <c r="CB584" s="53" t="n">
        <f aca="false">IF(CQ584&gt;0,INDEX(Parameter!$H$5:$H$7,W584)/INDEX(Parameter!$E$5:$E$7,W584),IF(AND(BZ584=0,N(IFERROR(VLOOKUP(BX584,'Gebinde-Kategorie'!$A$5:$N$45,14,0),0))&gt;0),VLOOKUP(BX584,'Gebinde-Kategorie'!$A$5:$N$45,14,0)*10+Parameter!$M$23,Parameter!$M$24))</f>
        <v>155</v>
      </c>
      <c r="CC584" s="48" t="str">
        <f aca="false">IF(AND(Parameter!$B$19="Ja",E584&lt;&gt;"",ISNUMBER(MATCH(E584,Parameter!$I$35:$I$52,0))),VLOOKUP(E584,Parameter!$I$35:$J$52,2,0),IFERROR(VLOOKUP(D584,Parameter!$A$35:$C$64,2,0),"Nein"))</f>
        <v>2+3</v>
      </c>
      <c r="CD584" s="52" t="n">
        <f aca="false">IF(BZ584=0,0,IF(N(S584)&gt;0,S584,IFERROR(VLOOKUP(D584,Parameter!$A$35:$C$64,3,0)+0,0)))</f>
        <v>0</v>
      </c>
      <c r="CE584" s="48" t="n">
        <f aca="false">IF(AA584&lt;&gt;"",AA584,Z584)</f>
        <v>3</v>
      </c>
      <c r="CF584" s="48" t="str">
        <f aca="false">IF(OR(CE584=1,CE584=2,CE584=3),IF(Parameter!$E$27="Ja","LIFT",IF(CE584=1,"L1","L23")),IF(CE584="Aussen","Aussen","-"))</f>
        <v>LIFT</v>
      </c>
      <c r="CG584" s="59" t="n">
        <f aca="false">IF(N(AB584)&gt;0,AB584,0)</f>
        <v>0</v>
      </c>
      <c r="CH584" s="53" t="n">
        <f aca="false">IF(ISNUMBER(AE584),1,0)</f>
        <v>0</v>
      </c>
      <c r="CI584" s="50" t="n">
        <f aca="false">N(AE584)</f>
        <v>0</v>
      </c>
      <c r="CJ584" s="50" t="n">
        <f aca="false">N(M584)+N(N584)</f>
        <v>668</v>
      </c>
      <c r="CK584" s="50" t="n">
        <f aca="false">N(M584)</f>
        <v>48</v>
      </c>
      <c r="CL584" s="50" t="n">
        <f aca="false">N(N584)</f>
        <v>620</v>
      </c>
      <c r="CM584" s="50" t="n">
        <f aca="false">ROUNDUP(H584/BY584,0)</f>
        <v>3</v>
      </c>
      <c r="CN584" s="50" t="n">
        <f aca="false">ROUNDUP(CI584/BY584,0)</f>
        <v>0</v>
      </c>
      <c r="CO584" s="53" t="n">
        <f aca="false">IF(BZ584=1,0,IFERROR(VLOOKUP(BX584,'Gebinde-Kategorie'!$A$5:$N$45,5,0)+0,0))</f>
        <v>8</v>
      </c>
      <c r="CP584" s="53" t="n">
        <f aca="false">IFERROR(IF(OR(CE584=1,CE584=2,CE584=3),N(INDEX(Parameter!$I$5:$I$7,CE584)),0),0)</f>
        <v>0</v>
      </c>
      <c r="CQ584" s="52" t="n">
        <f aca="false">IF(AND(Parameter!$B$21="Ja",ISNUMBER(W584),N(X584)&gt;0),IFERROR(N(INDEX(Parameter!$L$5:$L$7,W584))*INDEX(Parameter!$E$5:$E$7,W584)*X584/SUMIFS($X$7:$X$1843,$W$7:$W$1843,W584),0),0)</f>
        <v>0</v>
      </c>
    </row>
    <row r="585" customFormat="false" ht="15" hidden="false" customHeight="false" outlineLevel="0" collapsed="false">
      <c r="A585" s="48" t="s">
        <v>1233</v>
      </c>
      <c r="B585" s="48" t="s">
        <v>1234</v>
      </c>
      <c r="C585" s="48" t="s">
        <v>173</v>
      </c>
      <c r="D585" s="48" t="s">
        <v>193</v>
      </c>
      <c r="E585" s="48"/>
      <c r="F585" s="48" t="s">
        <v>227</v>
      </c>
      <c r="G585" s="49" t="n">
        <v>8.61</v>
      </c>
      <c r="H585" s="50" t="n">
        <f aca="false">MAX(0,IF(AND(Parameter!$B$21="Ja",ISNUMBER(Y585)),Y585,IF(Parameter!$B$20="Jahresanfang 2025 + Export",BR585+BQ585,BQ585)))</f>
        <v>39</v>
      </c>
      <c r="I585" s="50" t="n">
        <f aca="false">H585*G585</f>
        <v>335.79</v>
      </c>
      <c r="J585" s="50" t="n">
        <f aca="false">BT585*Parameter!$B$18</f>
        <v>0</v>
      </c>
      <c r="K585" s="51" t="n">
        <v>39</v>
      </c>
      <c r="L585" s="52" t="n">
        <v>0</v>
      </c>
      <c r="M585" s="50" t="n">
        <v>0</v>
      </c>
      <c r="N585" s="50" t="n">
        <v>1</v>
      </c>
      <c r="O585" s="53" t="n">
        <v>28</v>
      </c>
      <c r="P585" s="48" t="s">
        <v>302</v>
      </c>
      <c r="Q585" s="50" t="n">
        <v>40</v>
      </c>
      <c r="R585" s="53" t="n">
        <f aca="false">IF(BZ585=1,0,IFERROR(VLOOKUP(BX585,'Gebinde-Kategorie'!$A$5:$N$45,13,0)+0,0))</f>
        <v>12</v>
      </c>
      <c r="S585" s="54"/>
      <c r="T585" s="55"/>
      <c r="U585" s="55"/>
      <c r="V585" s="55"/>
      <c r="W585" s="48"/>
      <c r="X585" s="50"/>
      <c r="Y585" s="50"/>
      <c r="Z585" s="48" t="n">
        <f aca="false">IF(A585="","",IF(AND(Parameter!$B$21="Ja",ISNUMBER(W585)),W585,IF(CC585="2+3",IF(ISNUMBER(SEARCH("grosser Artikel",BU585)),2,IFERROR(VLOOKUP(BX585,Parameter!$F$35:$G$64,2,0),2)),IF(OR(CC585="Nein",CC585=""),"-",CC585))))</f>
        <v>2</v>
      </c>
      <c r="AA585" s="55"/>
      <c r="AB585" s="56"/>
      <c r="AC585" s="50" t="n">
        <f aca="false">AV585</f>
        <v>1</v>
      </c>
      <c r="AD585" s="50" t="n">
        <f aca="false">MAX(AV585,H585)</f>
        <v>39</v>
      </c>
      <c r="AE585" s="57"/>
      <c r="AF585" s="50" t="n">
        <f aca="false">IF(LEFT(Cockpit!$C$5,1)="A",H585,IF(Parameter!$E$30="MAX-Bestand",IF(CH585=1,CI585,IF(LEFT(Cockpit!$C$5,1)="B",AL585,MAX(AL585,H585))),ROUNDUP(AJ585,0)))</f>
        <v>39</v>
      </c>
      <c r="AG585" s="50" t="n">
        <f aca="false">IF(BZ585=1,0,ROUNDUP(AF585/BY585,0))</f>
        <v>1</v>
      </c>
      <c r="AH585" s="52" t="n">
        <f aca="false">IF(CQ585&gt;0,CQ585*MAX(1,AF585/X585),IF(BZ585=1,IF(AF585&lt;=0,0,CD585*MAX(1,IF(H585&gt;0,AF585/H585,1))),IF(R585&gt;0,AG585/R585,0))/MAX(0.1,N(Parameter!$M$21)))</f>
        <v>0.0833333333333333</v>
      </c>
      <c r="AI585" s="50" t="n">
        <f aca="false">AH585*CB585</f>
        <v>20.4166666666667</v>
      </c>
      <c r="AJ585" s="51" t="n">
        <f aca="false">IF(LEFT(Cockpit!$C$5,1)="A",H585,IF(CH585=1,(CK585+CI585)/2,IF(LEFT(Cockpit!$C$5,1)="B",(CK585+AL585)/2,MAX((CK585+AL585)/2,H585))))</f>
        <v>39</v>
      </c>
      <c r="AK585" s="50" t="n">
        <f aca="false">AJ585*G585</f>
        <v>335.79</v>
      </c>
      <c r="AL585" s="50" t="n">
        <f aca="false">ROUNDUP(CK585+MAX(CL585,2*(J585/IF(CG585&gt;0,CG585,MAX(0.1,N(Cockpit!$C$6)))-CK585)),0)</f>
        <v>1</v>
      </c>
      <c r="AM585" s="51" t="n">
        <f aca="false">IF(AI585&gt;0,J585/AI585,-1)</f>
        <v>0</v>
      </c>
      <c r="AN585" s="51" t="n">
        <f aca="false">IF(AND(OR(CF585="L1",CF585="L23",CF585="LIFT"),AI585&gt;0),SUMIFS($AI$7:$AI$1843,$CF$7:$CF$1843,CF585,$AM$7:$AM$1843,"&gt;"&amp;AM585)+SUMIFS($AI$7:$AI$1843,$CF$7:$CF$1843,CF585,$AM$7:$AM$1843,AM585,$BW$7:$BW$1843,"&lt;="&amp;BW585),"")</f>
        <v>28500.5894538606</v>
      </c>
      <c r="AO585" s="58" t="n">
        <f aca="false">IF(AN585="",0,MAX(0,MIN(1,(IF(CF585="L1",Parameter!$H$5,IF(CF585="L23",Parameter!$H$6+Parameter!$H$7,Parameter!$H$5+Parameter!$H$6+Parameter!$H$7))-(AN585-AI585))/AI585)))</f>
        <v>1</v>
      </c>
      <c r="AP585" s="50" t="n">
        <f aca="false">IF(LEFT(Cockpit!$I$5,1)="A",H585,IF(Parameter!$E$30="MAX-Bestand",IF(CH585=1,CI585,IF(LEFT(Cockpit!$I$5,1)="B",AV585,MAX(AV585,H585))),ROUNDUP(AT585,0)))</f>
        <v>39</v>
      </c>
      <c r="AQ585" s="50" t="n">
        <f aca="false">IF(BZ585=1,0,ROUNDUP(AP585/BY585,0))</f>
        <v>1</v>
      </c>
      <c r="AR585" s="52" t="n">
        <f aca="false">IF(CQ585&gt;0,CQ585*MAX(1,AP585/X585),IF(BZ585=1,IF(AP585&lt;=0,0,CD585*MAX(1,IF(H585&gt;0,AP585/H585,1))),IF(R585&gt;0,AQ585/R585,0))/MAX(0.1,N(Parameter!$M$21)))</f>
        <v>0.0833333333333333</v>
      </c>
      <c r="AS585" s="50" t="n">
        <f aca="false">AR585*CB585</f>
        <v>20.4166666666667</v>
      </c>
      <c r="AT585" s="51" t="n">
        <f aca="false">IF(LEFT(Cockpit!$I$5,1)="A",H585,IF(CH585=1,(CK585+CI585)/2,IF(LEFT(Cockpit!$I$5,1)="B",(CK585+AV585)/2,MAX((CK585+AV585)/2,H585))))</f>
        <v>39</v>
      </c>
      <c r="AU585" s="50" t="n">
        <f aca="false">AT585*G585</f>
        <v>335.79</v>
      </c>
      <c r="AV585" s="50" t="n">
        <f aca="false">ROUNDUP(CK585+MAX(CL585,2*(J585/IF(CG585&gt;0,CG585,MAX(0.1,N(Cockpit!$I$6)))-CK585)),0)</f>
        <v>1</v>
      </c>
      <c r="AW585" s="51" t="n">
        <f aca="false">IF(AS585&gt;0,J585/AS585,-1)</f>
        <v>0</v>
      </c>
      <c r="AX585" s="51" t="n">
        <f aca="false">IF(AND(OR(CF585="L1",CF585="L23",CF585="LIFT"),AS585&gt;0),SUMIFS($AS$7:$AS$1843,$CF$7:$CF$1843,CF585,$AW$7:$AW$1843,"&gt;"&amp;AW585)+SUMIFS($AS$7:$AS$1843,$CF$7:$CF$1843,CF585,$AW$7:$AW$1843,AW585,$BW$7:$BW$1843,"&lt;="&amp;BW585),"")</f>
        <v>33853.7380952381</v>
      </c>
      <c r="AY585" s="58" t="n">
        <f aca="false">IF(AX585="",0,MAX(0,MIN(1,(IF(CF585="L1",Parameter!$H$5,IF(CF585="L23",Parameter!$H$6+Parameter!$H$7,Parameter!$H$5+Parameter!$H$6+Parameter!$H$7))-(AX585-AS585))/AS585)))</f>
        <v>1</v>
      </c>
      <c r="AZ585" s="50" t="n">
        <f aca="false">IF(LEFT(Cockpit!$O$5,1)="A",H585,IF(Parameter!$E$30="MAX-Bestand",IF(CH585=1,CI585,IF(LEFT(Cockpit!$O$5,1)="B",BF585,MAX(BF585,H585))),ROUNDUP(BD585,0)))</f>
        <v>1</v>
      </c>
      <c r="BA585" s="50" t="n">
        <f aca="false">IF(BZ585=1,0,ROUNDUP(AZ585/BY585,0))</f>
        <v>1</v>
      </c>
      <c r="BB585" s="52" t="n">
        <f aca="false">IF(CQ585&gt;0,CQ585*MAX(1,AZ585/X585),IF(BZ585=1,IF(AZ585&lt;=0,0,CD585*MAX(1,IF(H585&gt;0,AZ585/H585,1))),IF(R585&gt;0,BA585/R585,0))/MAX(0.1,N(Parameter!$M$21)))</f>
        <v>0.0833333333333333</v>
      </c>
      <c r="BC585" s="50" t="n">
        <f aca="false">BB585*CB585</f>
        <v>20.4166666666667</v>
      </c>
      <c r="BD585" s="51" t="n">
        <f aca="false">IF(LEFT(Cockpit!$O$5,1)="A",H585,IF(CH585=1,(CK585+CI585)/2,IF(LEFT(Cockpit!$O$5,1)="B",(CK585+BF585)/2,MAX((CK585+BF585)/2,H585))))</f>
        <v>0.5</v>
      </c>
      <c r="BE585" s="50" t="n">
        <f aca="false">BD585*G585</f>
        <v>4.305</v>
      </c>
      <c r="BF585" s="50" t="n">
        <f aca="false">ROUNDUP(CK585+MAX(CL585,2*(J585/IF(CG585&gt;0,CG585,MAX(0.1,N(Cockpit!$O$6)))-CK585)),0)</f>
        <v>1</v>
      </c>
      <c r="BG585" s="51" t="n">
        <f aca="false">IF(BC585&gt;0,J585/BC585,-1)</f>
        <v>0</v>
      </c>
      <c r="BH585" s="51" t="n">
        <f aca="false">IF(AND(OR(CF585="L1",CF585="L23",CF585="LIFT"),BC585&gt;0),SUMIFS($BC$7:$BC$1843,$CF$7:$CF$1843,CF585,$BG$7:$BG$1843,"&gt;"&amp;BG585)+SUMIFS($BC$7:$BC$1843,$CF$7:$CF$1843,CF585,$BG$7:$BG$1843,BG585,$BW$7:$BW$1843,"&lt;="&amp;BW585),"")</f>
        <v>27929.0236931148</v>
      </c>
      <c r="BI585" s="58" t="n">
        <f aca="false">IF(BH585="",0,MAX(0,MIN(1,(IF(CF585="L1",Parameter!$H$5,IF(CF585="L23",Parameter!$H$6+Parameter!$H$7,Parameter!$H$5+Parameter!$H$6+Parameter!$H$7))-(BH585-BC585))/BC585)))</f>
        <v>1</v>
      </c>
      <c r="BJ585" s="48" t="str">
        <f aca="false">IF(AI585&lt;=0,"",IF(CF585="Aussen","Aussenlager",IF(CF585="-","Nicht im Lift",IF(AO585&gt;=1,"Lift",IF(AO585&lt;=0,"Aussenlager","teilweise")))))</f>
        <v>Lift</v>
      </c>
      <c r="BK585" s="48" t="str">
        <f aca="false">IF(AS585&lt;=0,"",IF(CF585="Aussen","Aussenlager",IF(CF585="-","Nicht im Lift",IF(AY585&gt;=1,"Lift",IF(AY585&lt;=0,"Aussenlager","teilweise")))))</f>
        <v>Lift</v>
      </c>
      <c r="BL585" s="48" t="str">
        <f aca="false">IF(BC585&lt;=0,"",IF(CF585="Aussen","Aussenlager",IF(CF585="-","Nicht im Lift",IF(BI585&gt;=1,"Lift",IF(BI585&lt;=0,"Aussenlager","teilweise")))))</f>
        <v>Lift</v>
      </c>
      <c r="BM585" s="48" t="str">
        <f aca="false">IF(A585="","",IF(BV585=1,"Neu; ","")&amp;IF(AND(BV585=0,BQ585&lt;0),"negativer Bestand (Export "&amp;BQ585&amp;"); ","")&amp;IF(J585&lt;=0,"Kein Verbrauch; ","")&amp;IF(CQ585&gt;0,"Lift "&amp;W585&amp;" lt. Liftbericht (Fach "&amp;X585&amp;" Stk); ",IF(CA585=1,"Gebinde geschätzt ("&amp;T585&amp;"); ",IF(BZ585=1,"Lose – Tablare geschätzt; ","")))&amp;IF(H585&gt;AV585,"Überbestand "&amp;ROUND(H585-AV585,0)&amp;" Stk / CHF "&amp;ROUND((H585-AV585)*G585,0)&amp;"; ","")&amp;IF(AND(CH585=1,CI585&lt;CJ585),"MAX &lt; MB+LG; ","")&amp;IF(AND(CP585&gt;0,CO585*10&gt;CP585),"zu hoch für Tablar; ","")&amp;IF(AND(BV585=0,OR(CH585=1,AA585&lt;&gt;"",U585&lt;&gt;"",V585&lt;&gt;"",AB585&lt;&gt;"")),"manuell übersteuert; ","")&amp;IF(AND(BZ585=0,R585=0),"Gebinde unbekannt / Stellmass fehlt; ","")&amp;IF(AND(BZ585=0,N(V585)&lt;=0,N(Q585)&lt;=0),"Menge pro Gebinde fehlt (Ist = 1 Gebinde); ","")&amp;BU585)</f>
        <v>Kein Verbrauch; Überbestand 38 Stk / CHF 327; </v>
      </c>
      <c r="BN585" s="48"/>
      <c r="BO585" s="48"/>
      <c r="BP585" s="55"/>
      <c r="BQ585" s="50" t="n">
        <v>1</v>
      </c>
      <c r="BR585" s="50" t="n">
        <v>38</v>
      </c>
      <c r="BS585" s="49" t="n">
        <v>8.61</v>
      </c>
      <c r="BT585" s="50" t="n">
        <v>0</v>
      </c>
      <c r="BU585" s="48"/>
      <c r="BV585" s="53" t="n">
        <v>0</v>
      </c>
      <c r="BW585" s="53" t="n">
        <v>585</v>
      </c>
      <c r="BX585" s="48" t="str">
        <f aca="false">IF(U585&lt;&gt;"",UPPER(TRIM(U585)),IF(CA585=1,UPPER(VLOOKUP(T585,Parameter!$I$27:$K$29,2,0)),IF(P585="","LOSE",P585)))</f>
        <v>S62</v>
      </c>
      <c r="BY585" s="50" t="n">
        <f aca="false">IF(BX585="LOSE",1,IF(N(V585)&gt;0,V585,IF(CA585=1,MAX(1,N(VLOOKUP(T585,Parameter!$I$27:$K$29,3,0)),H585,N(N585)),IF(N(Q585)&gt;0,Q585,MAX(1,H585)))))</f>
        <v>40</v>
      </c>
      <c r="BZ585" s="53" t="n">
        <f aca="false">IF(BX585="LOSE",1,0)</f>
        <v>0</v>
      </c>
      <c r="CA585" s="53" t="n">
        <f aca="false">IF(AND(U585="",OR(P585="",P585="LOSE"),T585&lt;&gt;"",N(S585)&lt;=0,ISNUMBER(MATCH(T585,Parameter!$I$27:$I$29,0))),1,0)</f>
        <v>0</v>
      </c>
      <c r="CB585" s="53" t="n">
        <f aca="false">IF(CQ585&gt;0,INDEX(Parameter!$H$5:$H$7,W585)/INDEX(Parameter!$E$5:$E$7,W585),IF(AND(BZ585=0,N(IFERROR(VLOOKUP(BX585,'Gebinde-Kategorie'!$A$5:$N$45,14,0),0))&gt;0),VLOOKUP(BX585,'Gebinde-Kategorie'!$A$5:$N$45,14,0)*10+Parameter!$M$23,Parameter!$M$24))</f>
        <v>245</v>
      </c>
      <c r="CC585" s="48" t="str">
        <f aca="false">IF(AND(Parameter!$B$19="Ja",E585&lt;&gt;"",ISNUMBER(MATCH(E585,Parameter!$I$35:$I$52,0))),VLOOKUP(E585,Parameter!$I$35:$J$52,2,0),IFERROR(VLOOKUP(D585,Parameter!$A$35:$C$64,2,0),"Nein"))</f>
        <v>2+3</v>
      </c>
      <c r="CD585" s="52" t="n">
        <f aca="false">IF(BZ585=0,0,IF(N(S585)&gt;0,S585,IFERROR(VLOOKUP(D585,Parameter!$A$35:$C$64,3,0)+0,0)))</f>
        <v>0</v>
      </c>
      <c r="CE585" s="48" t="n">
        <f aca="false">IF(AA585&lt;&gt;"",AA585,Z585)</f>
        <v>2</v>
      </c>
      <c r="CF585" s="48" t="str">
        <f aca="false">IF(OR(CE585=1,CE585=2,CE585=3),IF(Parameter!$E$27="Ja","LIFT",IF(CE585=1,"L1","L23")),IF(CE585="Aussen","Aussen","-"))</f>
        <v>LIFT</v>
      </c>
      <c r="CG585" s="59" t="n">
        <f aca="false">IF(N(AB585)&gt;0,AB585,0)</f>
        <v>0</v>
      </c>
      <c r="CH585" s="53" t="n">
        <f aca="false">IF(ISNUMBER(AE585),1,0)</f>
        <v>0</v>
      </c>
      <c r="CI585" s="50" t="n">
        <f aca="false">N(AE585)</f>
        <v>0</v>
      </c>
      <c r="CJ585" s="50" t="n">
        <f aca="false">N(M585)+N(N585)</f>
        <v>1</v>
      </c>
      <c r="CK585" s="50" t="n">
        <f aca="false">N(M585)</f>
        <v>0</v>
      </c>
      <c r="CL585" s="50" t="n">
        <f aca="false">N(N585)</f>
        <v>1</v>
      </c>
      <c r="CM585" s="50" t="n">
        <f aca="false">ROUNDUP(H585/BY585,0)</f>
        <v>1</v>
      </c>
      <c r="CN585" s="50" t="n">
        <f aca="false">ROUNDUP(CI585/BY585,0)</f>
        <v>0</v>
      </c>
      <c r="CO585" s="53" t="n">
        <f aca="false">IF(BZ585=1,0,IFERROR(VLOOKUP(BX585,'Gebinde-Kategorie'!$A$5:$N$45,5,0)+0,0))</f>
        <v>21</v>
      </c>
      <c r="CP585" s="53" t="n">
        <f aca="false">IFERROR(IF(OR(CE585=1,CE585=2,CE585=3),N(INDEX(Parameter!$I$5:$I$7,CE585)),0),0)</f>
        <v>0</v>
      </c>
      <c r="CQ585" s="52" t="n">
        <f aca="false">IF(AND(Parameter!$B$21="Ja",ISNUMBER(W585),N(X585)&gt;0),IFERROR(N(INDEX(Parameter!$L$5:$L$7,W585))*INDEX(Parameter!$E$5:$E$7,W585)*X585/SUMIFS($X$7:$X$1843,$W$7:$W$1843,W585),0),0)</f>
        <v>0</v>
      </c>
    </row>
    <row r="586" customFormat="false" ht="15" hidden="false" customHeight="false" outlineLevel="0" collapsed="false">
      <c r="A586" s="48" t="s">
        <v>1235</v>
      </c>
      <c r="B586" s="48" t="s">
        <v>958</v>
      </c>
      <c r="C586" s="48" t="s">
        <v>173</v>
      </c>
      <c r="D586" s="48" t="s">
        <v>193</v>
      </c>
      <c r="E586" s="48" t="s">
        <v>194</v>
      </c>
      <c r="F586" s="48" t="s">
        <v>227</v>
      </c>
      <c r="G586" s="49" t="n">
        <v>0.05</v>
      </c>
      <c r="H586" s="50" t="n">
        <f aca="false">MAX(0,IF(AND(Parameter!$B$21="Ja",ISNUMBER(Y586)),Y586,IF(Parameter!$B$20="Jahresanfang 2025 + Export",BR586+BQ586,BQ586)))</f>
        <v>440</v>
      </c>
      <c r="I586" s="50" t="n">
        <f aca="false">H586*G586</f>
        <v>22</v>
      </c>
      <c r="J586" s="50" t="n">
        <f aca="false">BT586*Parameter!$B$18</f>
        <v>424</v>
      </c>
      <c r="K586" s="51" t="n">
        <v>206</v>
      </c>
      <c r="L586" s="52" t="n">
        <v>2.05825242718447</v>
      </c>
      <c r="M586" s="50" t="n">
        <v>24</v>
      </c>
      <c r="N586" s="50" t="n">
        <v>500</v>
      </c>
      <c r="O586" s="53" t="n">
        <v>21</v>
      </c>
      <c r="P586" s="48" t="s">
        <v>311</v>
      </c>
      <c r="Q586" s="50" t="n">
        <v>133</v>
      </c>
      <c r="R586" s="53" t="n">
        <f aca="false">IF(BZ586=1,0,IFERROR(VLOOKUP(BX586,'Gebinde-Kategorie'!$A$5:$N$45,13,0)+0,0))</f>
        <v>26</v>
      </c>
      <c r="S586" s="54"/>
      <c r="T586" s="55"/>
      <c r="U586" s="55"/>
      <c r="V586" s="55"/>
      <c r="W586" s="48"/>
      <c r="X586" s="50"/>
      <c r="Y586" s="50"/>
      <c r="Z586" s="48" t="n">
        <f aca="false">IF(A586="","",IF(AND(Parameter!$B$21="Ja",ISNUMBER(W586)),W586,IF(CC586="2+3",IF(ISNUMBER(SEARCH("grosser Artikel",BU586)),2,IFERROR(VLOOKUP(BX586,Parameter!$F$35:$G$64,2,0),2)),IF(OR(CC586="Nein",CC586=""),"-",CC586))))</f>
        <v>3</v>
      </c>
      <c r="AA586" s="55"/>
      <c r="AB586" s="56"/>
      <c r="AC586" s="50" t="n">
        <f aca="false">AV586</f>
        <v>524</v>
      </c>
      <c r="AD586" s="50" t="n">
        <f aca="false">MAX(AV586,H586)</f>
        <v>524</v>
      </c>
      <c r="AE586" s="57"/>
      <c r="AF586" s="50" t="n">
        <f aca="false">IF(LEFT(Cockpit!$C$5,1)="A",H586,IF(Parameter!$E$30="MAX-Bestand",IF(CH586=1,CI586,IF(LEFT(Cockpit!$C$5,1)="B",AL586,MAX(AL586,H586))),ROUNDUP(AJ586,0)))</f>
        <v>440</v>
      </c>
      <c r="AG586" s="50" t="n">
        <f aca="false">IF(BZ586=1,0,ROUNDUP(AF586/BY586,0))</f>
        <v>4</v>
      </c>
      <c r="AH586" s="52" t="n">
        <f aca="false">IF(CQ586&gt;0,CQ586*MAX(1,AF586/X586),IF(BZ586=1,IF(AF586&lt;=0,0,CD586*MAX(1,IF(H586&gt;0,AF586/H586,1))),IF(R586&gt;0,AG586/R586,0))/MAX(0.1,N(Parameter!$M$21)))</f>
        <v>0.153846153846154</v>
      </c>
      <c r="AI586" s="50" t="n">
        <f aca="false">AH586*CB586</f>
        <v>23.8461538461538</v>
      </c>
      <c r="AJ586" s="51" t="n">
        <f aca="false">IF(LEFT(Cockpit!$C$5,1)="A",H586,IF(CH586=1,(CK586+CI586)/2,IF(LEFT(Cockpit!$C$5,1)="B",(CK586+AL586)/2,MAX((CK586+AL586)/2,H586))))</f>
        <v>440</v>
      </c>
      <c r="AK586" s="50" t="n">
        <f aca="false">AJ586*G586</f>
        <v>22</v>
      </c>
      <c r="AL586" s="50" t="n">
        <f aca="false">ROUNDUP(CK586+MAX(CL586,2*(J586/IF(CG586&gt;0,CG586,MAX(0.1,N(Cockpit!$C$6)))-CK586)),0)</f>
        <v>524</v>
      </c>
      <c r="AM586" s="51" t="n">
        <f aca="false">IF(AI586&gt;0,J586/AI586,-1)</f>
        <v>17.7806451612903</v>
      </c>
      <c r="AN586" s="51" t="n">
        <f aca="false">IF(AND(OR(CF586="L1",CF586="L23",CF586="LIFT"),AI586&gt;0),SUMIFS($AI$7:$AI$1843,$CF$7:$CF$1843,CF586,$AM$7:$AM$1843,"&gt;"&amp;AM586)+SUMIFS($AI$7:$AI$1843,$CF$7:$CF$1843,CF586,$AM$7:$AM$1843,AM586,$BW$7:$BW$1843,"&lt;="&amp;BW586),"")</f>
        <v>1940.58287545788</v>
      </c>
      <c r="AO586" s="58" t="n">
        <f aca="false">IF(AN586="",0,MAX(0,MIN(1,(IF(CF586="L1",Parameter!$H$5,IF(CF586="L23",Parameter!$H$6+Parameter!$H$7,Parameter!$H$5+Parameter!$H$6+Parameter!$H$7))-(AN586-AI586))/AI586)))</f>
        <v>1</v>
      </c>
      <c r="AP586" s="50" t="n">
        <f aca="false">IF(LEFT(Cockpit!$I$5,1)="A",H586,IF(Parameter!$E$30="MAX-Bestand",IF(CH586=1,CI586,IF(LEFT(Cockpit!$I$5,1)="B",AV586,MAX(AV586,H586))),ROUNDUP(AT586,0)))</f>
        <v>440</v>
      </c>
      <c r="AQ586" s="50" t="n">
        <f aca="false">IF(BZ586=1,0,ROUNDUP(AP586/BY586,0))</f>
        <v>4</v>
      </c>
      <c r="AR586" s="52" t="n">
        <f aca="false">IF(CQ586&gt;0,CQ586*MAX(1,AP586/X586),IF(BZ586=1,IF(AP586&lt;=0,0,CD586*MAX(1,IF(H586&gt;0,AP586/H586,1))),IF(R586&gt;0,AQ586/R586,0))/MAX(0.1,N(Parameter!$M$21)))</f>
        <v>0.153846153846154</v>
      </c>
      <c r="AS586" s="50" t="n">
        <f aca="false">AR586*CB586</f>
        <v>23.8461538461538</v>
      </c>
      <c r="AT586" s="51" t="n">
        <f aca="false">IF(LEFT(Cockpit!$I$5,1)="A",H586,IF(CH586=1,(CK586+CI586)/2,IF(LEFT(Cockpit!$I$5,1)="B",(CK586+AV586)/2,MAX((CK586+AV586)/2,H586))))</f>
        <v>440</v>
      </c>
      <c r="AU586" s="50" t="n">
        <f aca="false">AT586*G586</f>
        <v>22</v>
      </c>
      <c r="AV586" s="50" t="n">
        <f aca="false">ROUNDUP(CK586+MAX(CL586,2*(J586/IF(CG586&gt;0,CG586,MAX(0.1,N(Cockpit!$I$6)))-CK586)),0)</f>
        <v>524</v>
      </c>
      <c r="AW586" s="51" t="n">
        <f aca="false">IF(AS586&gt;0,J586/AS586,-1)</f>
        <v>17.7806451612903</v>
      </c>
      <c r="AX586" s="51" t="n">
        <f aca="false">IF(AND(OR(CF586="L1",CF586="L23",CF586="LIFT"),AS586&gt;0),SUMIFS($AS$7:$AS$1843,$CF$7:$CF$1843,CF586,$AW$7:$AW$1843,"&gt;"&amp;AW586)+SUMIFS($AS$7:$AS$1843,$CF$7:$CF$1843,CF586,$AW$7:$AW$1843,AW586,$BW$7:$BW$1843,"&lt;="&amp;BW586),"")</f>
        <v>2577.70375457875</v>
      </c>
      <c r="AY586" s="58" t="n">
        <f aca="false">IF(AX586="",0,MAX(0,MIN(1,(IF(CF586="L1",Parameter!$H$5,IF(CF586="L23",Parameter!$H$6+Parameter!$H$7,Parameter!$H$5+Parameter!$H$6+Parameter!$H$7))-(AX586-AS586))/AS586)))</f>
        <v>1</v>
      </c>
      <c r="AZ586" s="50" t="n">
        <f aca="false">IF(LEFT(Cockpit!$O$5,1)="A",H586,IF(Parameter!$E$30="MAX-Bestand",IF(CH586=1,CI586,IF(LEFT(Cockpit!$O$5,1)="B",BF586,MAX(BF586,H586))),ROUNDUP(BD586,0)))</f>
        <v>274</v>
      </c>
      <c r="BA586" s="50" t="n">
        <f aca="false">IF(BZ586=1,0,ROUNDUP(AZ586/BY586,0))</f>
        <v>3</v>
      </c>
      <c r="BB586" s="52" t="n">
        <f aca="false">IF(CQ586&gt;0,CQ586*MAX(1,AZ586/X586),IF(BZ586=1,IF(AZ586&lt;=0,0,CD586*MAX(1,IF(H586&gt;0,AZ586/H586,1))),IF(R586&gt;0,BA586/R586,0))/MAX(0.1,N(Parameter!$M$21)))</f>
        <v>0.115384615384615</v>
      </c>
      <c r="BC586" s="50" t="n">
        <f aca="false">BB586*CB586</f>
        <v>17.8846153846154</v>
      </c>
      <c r="BD586" s="51" t="n">
        <f aca="false">IF(LEFT(Cockpit!$O$5,1)="A",H586,IF(CH586=1,(CK586+CI586)/2,IF(LEFT(Cockpit!$O$5,1)="B",(CK586+BF586)/2,MAX((CK586+BF586)/2,H586))))</f>
        <v>274</v>
      </c>
      <c r="BE586" s="50" t="n">
        <f aca="false">BD586*G586</f>
        <v>13.7</v>
      </c>
      <c r="BF586" s="50" t="n">
        <f aca="false">ROUNDUP(CK586+MAX(CL586,2*(J586/IF(CG586&gt;0,CG586,MAX(0.1,N(Cockpit!$O$6)))-CK586)),0)</f>
        <v>524</v>
      </c>
      <c r="BG586" s="51" t="n">
        <f aca="false">IF(BC586&gt;0,J586/BC586,-1)</f>
        <v>23.7075268817204</v>
      </c>
      <c r="BH586" s="51" t="n">
        <f aca="false">IF(AND(OR(CF586="L1",CF586="L23",CF586="LIFT"),BC586&gt;0),SUMIFS($BC$7:$BC$1843,$CF$7:$CF$1843,CF586,$BG$7:$BG$1843,"&gt;"&amp;BG586)+SUMIFS($BC$7:$BC$1843,$CF$7:$CF$1843,CF586,$BG$7:$BG$1843,BG586,$BW$7:$BW$1843,"&lt;="&amp;BW586),"")</f>
        <v>2127.14285714286</v>
      </c>
      <c r="BI586" s="58" t="n">
        <f aca="false">IF(BH586="",0,MAX(0,MIN(1,(IF(CF586="L1",Parameter!$H$5,IF(CF586="L23",Parameter!$H$6+Parameter!$H$7,Parameter!$H$5+Parameter!$H$6+Parameter!$H$7))-(BH586-BC586))/BC586)))</f>
        <v>1</v>
      </c>
      <c r="BJ586" s="48" t="str">
        <f aca="false">IF(AI586&lt;=0,"",IF(CF586="Aussen","Aussenlager",IF(CF586="-","Nicht im Lift",IF(AO586&gt;=1,"Lift",IF(AO586&lt;=0,"Aussenlager","teilweise")))))</f>
        <v>Lift</v>
      </c>
      <c r="BK586" s="48" t="str">
        <f aca="false">IF(AS586&lt;=0,"",IF(CF586="Aussen","Aussenlager",IF(CF586="-","Nicht im Lift",IF(AY586&gt;=1,"Lift",IF(AY586&lt;=0,"Aussenlager","teilweise")))))</f>
        <v>Lift</v>
      </c>
      <c r="BL586" s="48" t="str">
        <f aca="false">IF(BC586&lt;=0,"",IF(CF586="Aussen","Aussenlager",IF(CF586="-","Nicht im Lift",IF(BI586&gt;=1,"Lift",IF(BI586&lt;=0,"Aussenlager","teilweise")))))</f>
        <v>Lift</v>
      </c>
      <c r="BM586" s="48" t="str">
        <f aca="false">IF(A586="","",IF(BV586=1,"Neu; ","")&amp;IF(AND(BV586=0,BQ586&lt;0),"negativer Bestand (Export "&amp;BQ586&amp;"); ","")&amp;IF(J586&lt;=0,"Kein Verbrauch; ","")&amp;IF(CQ586&gt;0,"Lift "&amp;W586&amp;" lt. Liftbericht (Fach "&amp;X586&amp;" Stk); ",IF(CA586=1,"Gebinde geschätzt ("&amp;T586&amp;"); ",IF(BZ586=1,"Lose – Tablare geschätzt; ","")))&amp;IF(H586&gt;AV586,"Überbestand "&amp;ROUND(H586-AV586,0)&amp;" Stk / CHF "&amp;ROUND((H586-AV586)*G586,0)&amp;"; ","")&amp;IF(AND(CH586=1,CI586&lt;CJ586),"MAX &lt; MB+LG; ","")&amp;IF(AND(CP586&gt;0,CO586*10&gt;CP586),"zu hoch für Tablar; ","")&amp;IF(AND(BV586=0,OR(CH586=1,AA586&lt;&gt;"",U586&lt;&gt;"",V586&lt;&gt;"",AB586&lt;&gt;"")),"manuell übersteuert; ","")&amp;IF(AND(BZ586=0,R586=0),"Gebinde unbekannt / Stellmass fehlt; ","")&amp;IF(AND(BZ586=0,N(V586)&lt;=0,N(Q586)&lt;=0),"Menge pro Gebinde fehlt (Ist = 1 Gebinde); ","")&amp;BU586)</f>
        <v/>
      </c>
      <c r="BN586" s="48"/>
      <c r="BO586" s="48"/>
      <c r="BP586" s="55"/>
      <c r="BQ586" s="50" t="n">
        <v>168</v>
      </c>
      <c r="BR586" s="50" t="n">
        <v>272</v>
      </c>
      <c r="BS586" s="49" t="n">
        <v>8.4</v>
      </c>
      <c r="BT586" s="50" t="n">
        <v>424</v>
      </c>
      <c r="BU586" s="48"/>
      <c r="BV586" s="53" t="n">
        <v>0</v>
      </c>
      <c r="BW586" s="53" t="n">
        <v>586</v>
      </c>
      <c r="BX586" s="48" t="str">
        <f aca="false">IF(U586&lt;&gt;"",UPPER(TRIM(U586)),IF(CA586=1,UPPER(VLOOKUP(T586,Parameter!$I$27:$K$29,2,0)),IF(P586="","LOSE",P586)))</f>
        <v>S51</v>
      </c>
      <c r="BY586" s="50" t="n">
        <f aca="false">IF(BX586="LOSE",1,IF(N(V586)&gt;0,V586,IF(CA586=1,MAX(1,N(VLOOKUP(T586,Parameter!$I$27:$K$29,3,0)),H586,N(N586)),IF(N(Q586)&gt;0,Q586,MAX(1,H586)))))</f>
        <v>133</v>
      </c>
      <c r="BZ586" s="53" t="n">
        <f aca="false">IF(BX586="LOSE",1,0)</f>
        <v>0</v>
      </c>
      <c r="CA586" s="53" t="n">
        <f aca="false">IF(AND(U586="",OR(P586="",P586="LOSE"),T586&lt;&gt;"",N(S586)&lt;=0,ISNUMBER(MATCH(T586,Parameter!$I$27:$I$29,0))),1,0)</f>
        <v>0</v>
      </c>
      <c r="CB586" s="53" t="n">
        <f aca="false">IF(CQ586&gt;0,INDEX(Parameter!$H$5:$H$7,W586)/INDEX(Parameter!$E$5:$E$7,W586),IF(AND(BZ586=0,N(IFERROR(VLOOKUP(BX586,'Gebinde-Kategorie'!$A$5:$N$45,14,0),0))&gt;0),VLOOKUP(BX586,'Gebinde-Kategorie'!$A$5:$N$45,14,0)*10+Parameter!$M$23,Parameter!$M$24))</f>
        <v>155</v>
      </c>
      <c r="CC586" s="48" t="str">
        <f aca="false">IF(AND(Parameter!$B$19="Ja",E586&lt;&gt;"",ISNUMBER(MATCH(E586,Parameter!$I$35:$I$52,0))),VLOOKUP(E586,Parameter!$I$35:$J$52,2,0),IFERROR(VLOOKUP(D586,Parameter!$A$35:$C$64,2,0),"Nein"))</f>
        <v>2+3</v>
      </c>
      <c r="CD586" s="52" t="n">
        <f aca="false">IF(BZ586=0,0,IF(N(S586)&gt;0,S586,IFERROR(VLOOKUP(D586,Parameter!$A$35:$C$64,3,0)+0,0)))</f>
        <v>0</v>
      </c>
      <c r="CE586" s="48" t="n">
        <f aca="false">IF(AA586&lt;&gt;"",AA586,Z586)</f>
        <v>3</v>
      </c>
      <c r="CF586" s="48" t="str">
        <f aca="false">IF(OR(CE586=1,CE586=2,CE586=3),IF(Parameter!$E$27="Ja","LIFT",IF(CE586=1,"L1","L23")),IF(CE586="Aussen","Aussen","-"))</f>
        <v>LIFT</v>
      </c>
      <c r="CG586" s="59" t="n">
        <f aca="false">IF(N(AB586)&gt;0,AB586,0)</f>
        <v>0</v>
      </c>
      <c r="CH586" s="53" t="n">
        <f aca="false">IF(ISNUMBER(AE586),1,0)</f>
        <v>0</v>
      </c>
      <c r="CI586" s="50" t="n">
        <f aca="false">N(AE586)</f>
        <v>0</v>
      </c>
      <c r="CJ586" s="50" t="n">
        <f aca="false">N(M586)+N(N586)</f>
        <v>524</v>
      </c>
      <c r="CK586" s="50" t="n">
        <f aca="false">N(M586)</f>
        <v>24</v>
      </c>
      <c r="CL586" s="50" t="n">
        <f aca="false">N(N586)</f>
        <v>500</v>
      </c>
      <c r="CM586" s="50" t="n">
        <f aca="false">ROUNDUP(H586/BY586,0)</f>
        <v>4</v>
      </c>
      <c r="CN586" s="50" t="n">
        <f aca="false">ROUNDUP(CI586/BY586,0)</f>
        <v>0</v>
      </c>
      <c r="CO586" s="53" t="n">
        <f aca="false">IF(BZ586=1,0,IFERROR(VLOOKUP(BX586,'Gebinde-Kategorie'!$A$5:$N$45,5,0)+0,0))</f>
        <v>11</v>
      </c>
      <c r="CP586" s="53" t="n">
        <f aca="false">IFERROR(IF(OR(CE586=1,CE586=2,CE586=3),N(INDEX(Parameter!$I$5:$I$7,CE586)),0),0)</f>
        <v>0</v>
      </c>
      <c r="CQ586" s="52" t="n">
        <f aca="false">IF(AND(Parameter!$B$21="Ja",ISNUMBER(W586),N(X586)&gt;0),IFERROR(N(INDEX(Parameter!$L$5:$L$7,W586))*INDEX(Parameter!$E$5:$E$7,W586)*X586/SUMIFS($X$7:$X$1843,$W$7:$W$1843,W586),0),0)</f>
        <v>0</v>
      </c>
    </row>
    <row r="587" customFormat="false" ht="15" hidden="false" customHeight="false" outlineLevel="0" collapsed="false">
      <c r="A587" s="48" t="s">
        <v>1236</v>
      </c>
      <c r="B587" s="48" t="s">
        <v>1101</v>
      </c>
      <c r="C587" s="48" t="s">
        <v>173</v>
      </c>
      <c r="D587" s="48" t="s">
        <v>182</v>
      </c>
      <c r="E587" s="48"/>
      <c r="F587" s="48" t="s">
        <v>227</v>
      </c>
      <c r="G587" s="49" t="n">
        <v>8.3</v>
      </c>
      <c r="H587" s="50" t="n">
        <f aca="false">MAX(0,IF(AND(Parameter!$B$21="Ja",ISNUMBER(Y587)),Y587,IF(Parameter!$B$20="Jahresanfang 2025 + Export",BR587+BQ587,BQ587)))</f>
        <v>1</v>
      </c>
      <c r="I587" s="50" t="n">
        <f aca="false">H587*G587</f>
        <v>8.3</v>
      </c>
      <c r="J587" s="50" t="n">
        <f aca="false">BT587*Parameter!$B$18</f>
        <v>0</v>
      </c>
      <c r="K587" s="51" t="n">
        <v>0</v>
      </c>
      <c r="L587" s="52" t="n">
        <v>0</v>
      </c>
      <c r="M587" s="50" t="n">
        <v>0</v>
      </c>
      <c r="N587" s="50" t="n">
        <v>1</v>
      </c>
      <c r="O587" s="53" t="n">
        <v>21</v>
      </c>
      <c r="P587" s="48" t="s">
        <v>177</v>
      </c>
      <c r="Q587" s="50"/>
      <c r="R587" s="53" t="n">
        <f aca="false">IF(BZ587=1,0,IFERROR(VLOOKUP(BX587,'Gebinde-Kategorie'!$A$5:$N$45,13,0)+0,0))</f>
        <v>26</v>
      </c>
      <c r="S587" s="54"/>
      <c r="T587" s="55" t="s">
        <v>284</v>
      </c>
      <c r="U587" s="55"/>
      <c r="V587" s="55"/>
      <c r="W587" s="48"/>
      <c r="X587" s="50"/>
      <c r="Y587" s="50"/>
      <c r="Z587" s="48" t="n">
        <f aca="false">IF(A587="","",IF(AND(Parameter!$B$21="Ja",ISNUMBER(W587)),W587,IF(CC587="2+3",IF(ISNUMBER(SEARCH("grosser Artikel",BU587)),2,IFERROR(VLOOKUP(BX587,Parameter!$F$35:$G$64,2,0),2)),IF(OR(CC587="Nein",CC587=""),"-",CC587))))</f>
        <v>3</v>
      </c>
      <c r="AA587" s="55"/>
      <c r="AB587" s="56"/>
      <c r="AC587" s="50" t="n">
        <f aca="false">AV587</f>
        <v>1</v>
      </c>
      <c r="AD587" s="50" t="n">
        <f aca="false">MAX(AV587,H587)</f>
        <v>1</v>
      </c>
      <c r="AE587" s="57"/>
      <c r="AF587" s="50" t="n">
        <f aca="false">IF(LEFT(Cockpit!$C$5,1)="A",H587,IF(Parameter!$E$30="MAX-Bestand",IF(CH587=1,CI587,IF(LEFT(Cockpit!$C$5,1)="B",AL587,MAX(AL587,H587))),ROUNDUP(AJ587,0)))</f>
        <v>1</v>
      </c>
      <c r="AG587" s="50" t="n">
        <f aca="false">IF(BZ587=1,0,ROUNDUP(AF587/BY587,0))</f>
        <v>1</v>
      </c>
      <c r="AH587" s="52" t="n">
        <f aca="false">IF(CQ587&gt;0,CQ587*MAX(1,AF587/X587),IF(BZ587=1,IF(AF587&lt;=0,0,CD587*MAX(1,IF(H587&gt;0,AF587/H587,1))),IF(R587&gt;0,AG587/R587,0))/MAX(0.1,N(Parameter!$M$21)))</f>
        <v>0.0384615384615385</v>
      </c>
      <c r="AI587" s="50" t="n">
        <f aca="false">AH587*CB587</f>
        <v>5.96153846153846</v>
      </c>
      <c r="AJ587" s="51" t="n">
        <f aca="false">IF(LEFT(Cockpit!$C$5,1)="A",H587,IF(CH587=1,(CK587+CI587)/2,IF(LEFT(Cockpit!$C$5,1)="B",(CK587+AL587)/2,MAX((CK587+AL587)/2,H587))))</f>
        <v>1</v>
      </c>
      <c r="AK587" s="50" t="n">
        <f aca="false">AJ587*G587</f>
        <v>8.3</v>
      </c>
      <c r="AL587" s="50" t="n">
        <f aca="false">ROUNDUP(CK587+MAX(CL587,2*(J587/IF(CG587&gt;0,CG587,MAX(0.1,N(Cockpit!$C$6)))-CK587)),0)</f>
        <v>1</v>
      </c>
      <c r="AM587" s="51" t="n">
        <f aca="false">IF(AI587&gt;0,J587/AI587,-1)</f>
        <v>0</v>
      </c>
      <c r="AN587" s="51" t="n">
        <f aca="false">IF(AND(OR(CF587="L1",CF587="L23",CF587="LIFT"),AI587&gt;0),SUMIFS($AI$7:$AI$1843,$CF$7:$CF$1843,CF587,$AM$7:$AM$1843,"&gt;"&amp;AM587)+SUMIFS($AI$7:$AI$1843,$CF$7:$CF$1843,CF587,$AM$7:$AM$1843,AM587,$BW$7:$BW$1843,"&lt;="&amp;BW587),"")</f>
        <v>28506.5509923222</v>
      </c>
      <c r="AO587" s="58" t="n">
        <f aca="false">IF(AN587="",0,MAX(0,MIN(1,(IF(CF587="L1",Parameter!$H$5,IF(CF587="L23",Parameter!$H$6+Parameter!$H$7,Parameter!$H$5+Parameter!$H$6+Parameter!$H$7))-(AN587-AI587))/AI587)))</f>
        <v>1</v>
      </c>
      <c r="AP587" s="50" t="n">
        <f aca="false">IF(LEFT(Cockpit!$I$5,1)="A",H587,IF(Parameter!$E$30="MAX-Bestand",IF(CH587=1,CI587,IF(LEFT(Cockpit!$I$5,1)="B",AV587,MAX(AV587,H587))),ROUNDUP(AT587,0)))</f>
        <v>1</v>
      </c>
      <c r="AQ587" s="50" t="n">
        <f aca="false">IF(BZ587=1,0,ROUNDUP(AP587/BY587,0))</f>
        <v>1</v>
      </c>
      <c r="AR587" s="52" t="n">
        <f aca="false">IF(CQ587&gt;0,CQ587*MAX(1,AP587/X587),IF(BZ587=1,IF(AP587&lt;=0,0,CD587*MAX(1,IF(H587&gt;0,AP587/H587,1))),IF(R587&gt;0,AQ587/R587,0))/MAX(0.1,N(Parameter!$M$21)))</f>
        <v>0.0384615384615385</v>
      </c>
      <c r="AS587" s="50" t="n">
        <f aca="false">AR587*CB587</f>
        <v>5.96153846153846</v>
      </c>
      <c r="AT587" s="51" t="n">
        <f aca="false">IF(LEFT(Cockpit!$I$5,1)="A",H587,IF(CH587=1,(CK587+CI587)/2,IF(LEFT(Cockpit!$I$5,1)="B",(CK587+AV587)/2,MAX((CK587+AV587)/2,H587))))</f>
        <v>1</v>
      </c>
      <c r="AU587" s="50" t="n">
        <f aca="false">AT587*G587</f>
        <v>8.3</v>
      </c>
      <c r="AV587" s="50" t="n">
        <f aca="false">ROUNDUP(CK587+MAX(CL587,2*(J587/IF(CG587&gt;0,CG587,MAX(0.1,N(Cockpit!$I$6)))-CK587)),0)</f>
        <v>1</v>
      </c>
      <c r="AW587" s="51" t="n">
        <f aca="false">IF(AS587&gt;0,J587/AS587,-1)</f>
        <v>0</v>
      </c>
      <c r="AX587" s="51" t="n">
        <f aca="false">IF(AND(OR(CF587="L1",CF587="L23",CF587="LIFT"),AS587&gt;0),SUMIFS($AS$7:$AS$1843,$CF$7:$CF$1843,CF587,$AW$7:$AW$1843,"&gt;"&amp;AW587)+SUMIFS($AS$7:$AS$1843,$CF$7:$CF$1843,CF587,$AW$7:$AW$1843,AW587,$BW$7:$BW$1843,"&lt;="&amp;BW587),"")</f>
        <v>33859.6996336996</v>
      </c>
      <c r="AY587" s="58" t="n">
        <f aca="false">IF(AX587="",0,MAX(0,MIN(1,(IF(CF587="L1",Parameter!$H$5,IF(CF587="L23",Parameter!$H$6+Parameter!$H$7,Parameter!$H$5+Parameter!$H$6+Parameter!$H$7))-(AX587-AS587))/AS587)))</f>
        <v>1</v>
      </c>
      <c r="AZ587" s="50" t="n">
        <f aca="false">IF(LEFT(Cockpit!$O$5,1)="A",H587,IF(Parameter!$E$30="MAX-Bestand",IF(CH587=1,CI587,IF(LEFT(Cockpit!$O$5,1)="B",BF587,MAX(BF587,H587))),ROUNDUP(BD587,0)))</f>
        <v>1</v>
      </c>
      <c r="BA587" s="50" t="n">
        <f aca="false">IF(BZ587=1,0,ROUNDUP(AZ587/BY587,0))</f>
        <v>1</v>
      </c>
      <c r="BB587" s="52" t="n">
        <f aca="false">IF(CQ587&gt;0,CQ587*MAX(1,AZ587/X587),IF(BZ587=1,IF(AZ587&lt;=0,0,CD587*MAX(1,IF(H587&gt;0,AZ587/H587,1))),IF(R587&gt;0,BA587/R587,0))/MAX(0.1,N(Parameter!$M$21)))</f>
        <v>0.0384615384615385</v>
      </c>
      <c r="BC587" s="50" t="n">
        <f aca="false">BB587*CB587</f>
        <v>5.96153846153846</v>
      </c>
      <c r="BD587" s="51" t="n">
        <f aca="false">IF(LEFT(Cockpit!$O$5,1)="A",H587,IF(CH587=1,(CK587+CI587)/2,IF(LEFT(Cockpit!$O$5,1)="B",(CK587+BF587)/2,MAX((CK587+BF587)/2,H587))))</f>
        <v>0.5</v>
      </c>
      <c r="BE587" s="50" t="n">
        <f aca="false">BD587*G587</f>
        <v>4.15</v>
      </c>
      <c r="BF587" s="50" t="n">
        <f aca="false">ROUNDUP(CK587+MAX(CL587,2*(J587/IF(CG587&gt;0,CG587,MAX(0.1,N(Cockpit!$O$6)))-CK587)),0)</f>
        <v>1</v>
      </c>
      <c r="BG587" s="51" t="n">
        <f aca="false">IF(BC587&gt;0,J587/BC587,-1)</f>
        <v>0</v>
      </c>
      <c r="BH587" s="51" t="n">
        <f aca="false">IF(AND(OR(CF587="L1",CF587="L23",CF587="LIFT"),BC587&gt;0),SUMIFS($BC$7:$BC$1843,$CF$7:$CF$1843,CF587,$BG$7:$BG$1843,"&gt;"&amp;BG587)+SUMIFS($BC$7:$BC$1843,$CF$7:$CF$1843,CF587,$BG$7:$BG$1843,BG587,$BW$7:$BW$1843,"&lt;="&amp;BW587),"")</f>
        <v>27934.9852315763</v>
      </c>
      <c r="BI587" s="58" t="n">
        <f aca="false">IF(BH587="",0,MAX(0,MIN(1,(IF(CF587="L1",Parameter!$H$5,IF(CF587="L23",Parameter!$H$6+Parameter!$H$7,Parameter!$H$5+Parameter!$H$6+Parameter!$H$7))-(BH587-BC587))/BC587)))</f>
        <v>1</v>
      </c>
      <c r="BJ587" s="48" t="str">
        <f aca="false">IF(AI587&lt;=0,"",IF(CF587="Aussen","Aussenlager",IF(CF587="-","Nicht im Lift",IF(AO587&gt;=1,"Lift",IF(AO587&lt;=0,"Aussenlager","teilweise")))))</f>
        <v>Lift</v>
      </c>
      <c r="BK587" s="48" t="str">
        <f aca="false">IF(AS587&lt;=0,"",IF(CF587="Aussen","Aussenlager",IF(CF587="-","Nicht im Lift",IF(AY587&gt;=1,"Lift",IF(AY587&lt;=0,"Aussenlager","teilweise")))))</f>
        <v>Lift</v>
      </c>
      <c r="BL587" s="48" t="str">
        <f aca="false">IF(BC587&lt;=0,"",IF(CF587="Aussen","Aussenlager",IF(CF587="-","Nicht im Lift",IF(BI587&gt;=1,"Lift",IF(BI587&lt;=0,"Aussenlager","teilweise")))))</f>
        <v>Lift</v>
      </c>
      <c r="BM587" s="48" t="str">
        <f aca="false">IF(A587="","",IF(BV587=1,"Neu; ","")&amp;IF(AND(BV587=0,BQ587&lt;0),"negativer Bestand (Export "&amp;BQ587&amp;"); ","")&amp;IF(J587&lt;=0,"Kein Verbrauch; ","")&amp;IF(CQ587&gt;0,"Lift "&amp;W587&amp;" lt. Liftbericht (Fach "&amp;X587&amp;" Stk); ",IF(CA587=1,"Gebinde geschätzt ("&amp;T587&amp;"); ",IF(BZ587=1,"Lose – Tablare geschätzt; ","")))&amp;IF(H587&gt;AV587,"Überbestand "&amp;ROUND(H587-AV587,0)&amp;" Stk / CHF "&amp;ROUND((H587-AV587)*G587,0)&amp;"; ","")&amp;IF(AND(CH587=1,CI587&lt;CJ587),"MAX &lt; MB+LG; ","")&amp;IF(AND(CP587&gt;0,CO587*10&gt;CP587),"zu hoch für Tablar; ","")&amp;IF(AND(BV587=0,OR(CH587=1,AA587&lt;&gt;"",U587&lt;&gt;"",V587&lt;&gt;"",AB587&lt;&gt;"")),"manuell übersteuert; ","")&amp;IF(AND(BZ587=0,R587=0),"Gebinde unbekannt / Stellmass fehlt; ","")&amp;IF(AND(BZ587=0,N(V587)&lt;=0,N(Q587)&lt;=0),"Menge pro Gebinde fehlt (Ist = 1 Gebinde); ","")&amp;BU587)</f>
        <v>Kein Verbrauch; Gebinde geschätzt (Klein); Menge pro Gebinde fehlt (Ist = 1 Gebinde); </v>
      </c>
      <c r="BN587" s="48"/>
      <c r="BO587" s="48"/>
      <c r="BP587" s="55"/>
      <c r="BQ587" s="50" t="n">
        <v>1</v>
      </c>
      <c r="BR587" s="50" t="n">
        <v>0</v>
      </c>
      <c r="BS587" s="49" t="n">
        <v>8.3</v>
      </c>
      <c r="BT587" s="50" t="n">
        <v>0</v>
      </c>
      <c r="BU587" s="48"/>
      <c r="BV587" s="53" t="n">
        <v>0</v>
      </c>
      <c r="BW587" s="53" t="n">
        <v>587</v>
      </c>
      <c r="BX587" s="48" t="str">
        <f aca="false">IF(U587&lt;&gt;"",UPPER(TRIM(U587)),IF(CA587=1,UPPER(VLOOKUP(T587,Parameter!$I$27:$K$29,2,0)),IF(P587="","LOSE",P587)))</f>
        <v>S51</v>
      </c>
      <c r="BY587" s="50" t="n">
        <f aca="false">IF(BX587="LOSE",1,IF(N(V587)&gt;0,V587,IF(CA587=1,MAX(1,N(VLOOKUP(T587,Parameter!$I$27:$K$29,3,0)),H587,N(N587)),IF(N(Q587)&gt;0,Q587,MAX(1,H587)))))</f>
        <v>20</v>
      </c>
      <c r="BZ587" s="53" t="n">
        <f aca="false">IF(BX587="LOSE",1,0)</f>
        <v>0</v>
      </c>
      <c r="CA587" s="53" t="n">
        <f aca="false">IF(AND(U587="",OR(P587="",P587="LOSE"),T587&lt;&gt;"",N(S587)&lt;=0,ISNUMBER(MATCH(T587,Parameter!$I$27:$I$29,0))),1,0)</f>
        <v>1</v>
      </c>
      <c r="CB587" s="53" t="n">
        <f aca="false">IF(CQ587&gt;0,INDEX(Parameter!$H$5:$H$7,W587)/INDEX(Parameter!$E$5:$E$7,W587),IF(AND(BZ587=0,N(IFERROR(VLOOKUP(BX587,'Gebinde-Kategorie'!$A$5:$N$45,14,0),0))&gt;0),VLOOKUP(BX587,'Gebinde-Kategorie'!$A$5:$N$45,14,0)*10+Parameter!$M$23,Parameter!$M$24))</f>
        <v>155</v>
      </c>
      <c r="CC587" s="48" t="str">
        <f aca="false">IF(AND(Parameter!$B$19="Ja",E587&lt;&gt;"",ISNUMBER(MATCH(E587,Parameter!$I$35:$I$52,0))),VLOOKUP(E587,Parameter!$I$35:$J$52,2,0),IFERROR(VLOOKUP(D587,Parameter!$A$35:$C$64,2,0),"Nein"))</f>
        <v>2+3</v>
      </c>
      <c r="CD587" s="52" t="n">
        <f aca="false">IF(BZ587=0,0,IF(N(S587)&gt;0,S587,IFERROR(VLOOKUP(D587,Parameter!$A$35:$C$64,3,0)+0,0)))</f>
        <v>0</v>
      </c>
      <c r="CE587" s="48" t="n">
        <f aca="false">IF(AA587&lt;&gt;"",AA587,Z587)</f>
        <v>3</v>
      </c>
      <c r="CF587" s="48" t="str">
        <f aca="false">IF(OR(CE587=1,CE587=2,CE587=3),IF(Parameter!$E$27="Ja","LIFT",IF(CE587=1,"L1","L23")),IF(CE587="Aussen","Aussen","-"))</f>
        <v>LIFT</v>
      </c>
      <c r="CG587" s="59" t="n">
        <f aca="false">IF(N(AB587)&gt;0,AB587,0)</f>
        <v>0</v>
      </c>
      <c r="CH587" s="53" t="n">
        <f aca="false">IF(ISNUMBER(AE587),1,0)</f>
        <v>0</v>
      </c>
      <c r="CI587" s="50" t="n">
        <f aca="false">N(AE587)</f>
        <v>0</v>
      </c>
      <c r="CJ587" s="50" t="n">
        <f aca="false">N(M587)+N(N587)</f>
        <v>1</v>
      </c>
      <c r="CK587" s="50" t="n">
        <f aca="false">N(M587)</f>
        <v>0</v>
      </c>
      <c r="CL587" s="50" t="n">
        <f aca="false">N(N587)</f>
        <v>1</v>
      </c>
      <c r="CM587" s="50" t="n">
        <f aca="false">ROUNDUP(H587/BY587,0)</f>
        <v>1</v>
      </c>
      <c r="CN587" s="50" t="n">
        <f aca="false">ROUNDUP(CI587/BY587,0)</f>
        <v>0</v>
      </c>
      <c r="CO587" s="53" t="n">
        <f aca="false">IF(BZ587=1,0,IFERROR(VLOOKUP(BX587,'Gebinde-Kategorie'!$A$5:$N$45,5,0)+0,0))</f>
        <v>11</v>
      </c>
      <c r="CP587" s="53" t="n">
        <f aca="false">IFERROR(IF(OR(CE587=1,CE587=2,CE587=3),N(INDEX(Parameter!$I$5:$I$7,CE587)),0),0)</f>
        <v>0</v>
      </c>
      <c r="CQ587" s="52" t="n">
        <f aca="false">IF(AND(Parameter!$B$21="Ja",ISNUMBER(W587),N(X587)&gt;0),IFERROR(N(INDEX(Parameter!$L$5:$L$7,W587))*INDEX(Parameter!$E$5:$E$7,W587)*X587/SUMIFS($X$7:$X$1843,$W$7:$W$1843,W587),0),0)</f>
        <v>0</v>
      </c>
    </row>
    <row r="588" customFormat="false" ht="15" hidden="false" customHeight="false" outlineLevel="0" collapsed="false">
      <c r="A588" s="48" t="s">
        <v>1237</v>
      </c>
      <c r="B588" s="48" t="s">
        <v>1007</v>
      </c>
      <c r="C588" s="48" t="s">
        <v>173</v>
      </c>
      <c r="D588" s="48" t="s">
        <v>193</v>
      </c>
      <c r="E588" s="48"/>
      <c r="F588" s="48" t="s">
        <v>227</v>
      </c>
      <c r="G588" s="49" t="n">
        <v>0.68</v>
      </c>
      <c r="H588" s="50" t="n">
        <f aca="false">MAX(0,IF(AND(Parameter!$B$21="Ja",ISNUMBER(Y588)),Y588,IF(Parameter!$B$20="Jahresanfang 2025 + Export",BR588+BQ588,BQ588)))</f>
        <v>84</v>
      </c>
      <c r="I588" s="50" t="n">
        <f aca="false">H588*G588</f>
        <v>57.12</v>
      </c>
      <c r="J588" s="50" t="n">
        <f aca="false">BT588*Parameter!$B$18</f>
        <v>0</v>
      </c>
      <c r="K588" s="51" t="n">
        <v>78</v>
      </c>
      <c r="L588" s="52" t="n">
        <v>0</v>
      </c>
      <c r="M588" s="50" t="n">
        <v>0</v>
      </c>
      <c r="N588" s="50" t="n">
        <v>1</v>
      </c>
      <c r="O588" s="53" t="n">
        <v>21</v>
      </c>
      <c r="P588" s="48" t="s">
        <v>410</v>
      </c>
      <c r="Q588" s="50" t="n">
        <v>100</v>
      </c>
      <c r="R588" s="53" t="n">
        <f aca="false">IF(BZ588=1,0,IFERROR(VLOOKUP(BX588,'Gebinde-Kategorie'!$A$5:$N$45,13,0)+0,0))</f>
        <v>280</v>
      </c>
      <c r="S588" s="54"/>
      <c r="T588" s="55"/>
      <c r="U588" s="55"/>
      <c r="V588" s="55"/>
      <c r="W588" s="48"/>
      <c r="X588" s="50"/>
      <c r="Y588" s="50"/>
      <c r="Z588" s="48" t="n">
        <f aca="false">IF(A588="","",IF(AND(Parameter!$B$21="Ja",ISNUMBER(W588)),W588,IF(CC588="2+3",IF(ISNUMBER(SEARCH("grosser Artikel",BU588)),2,IFERROR(VLOOKUP(BX588,Parameter!$F$35:$G$64,2,0),2)),IF(OR(CC588="Nein",CC588=""),"-",CC588))))</f>
        <v>3</v>
      </c>
      <c r="AA588" s="55"/>
      <c r="AB588" s="56"/>
      <c r="AC588" s="50" t="n">
        <f aca="false">AV588</f>
        <v>1</v>
      </c>
      <c r="AD588" s="50" t="n">
        <f aca="false">MAX(AV588,H588)</f>
        <v>84</v>
      </c>
      <c r="AE588" s="57"/>
      <c r="AF588" s="50" t="n">
        <f aca="false">IF(LEFT(Cockpit!$C$5,1)="A",H588,IF(Parameter!$E$30="MAX-Bestand",IF(CH588=1,CI588,IF(LEFT(Cockpit!$C$5,1)="B",AL588,MAX(AL588,H588))),ROUNDUP(AJ588,0)))</f>
        <v>84</v>
      </c>
      <c r="AG588" s="50" t="n">
        <f aca="false">IF(BZ588=1,0,ROUNDUP(AF588/BY588,0))</f>
        <v>1</v>
      </c>
      <c r="AH588" s="52" t="n">
        <f aca="false">IF(CQ588&gt;0,CQ588*MAX(1,AF588/X588),IF(BZ588=1,IF(AF588&lt;=0,0,CD588*MAX(1,IF(H588&gt;0,AF588/H588,1))),IF(R588&gt;0,AG588/R588,0))/MAX(0.1,N(Parameter!$M$21)))</f>
        <v>0.00357142857142857</v>
      </c>
      <c r="AI588" s="50" t="n">
        <f aca="false">AH588*CB588</f>
        <v>0.553571428571429</v>
      </c>
      <c r="AJ588" s="51" t="n">
        <f aca="false">IF(LEFT(Cockpit!$C$5,1)="A",H588,IF(CH588=1,(CK588+CI588)/2,IF(LEFT(Cockpit!$C$5,1)="B",(CK588+AL588)/2,MAX((CK588+AL588)/2,H588))))</f>
        <v>84</v>
      </c>
      <c r="AK588" s="50" t="n">
        <f aca="false">AJ588*G588</f>
        <v>57.12</v>
      </c>
      <c r="AL588" s="50" t="n">
        <f aca="false">ROUNDUP(CK588+MAX(CL588,2*(J588/IF(CG588&gt;0,CG588,MAX(0.1,N(Cockpit!$C$6)))-CK588)),0)</f>
        <v>1</v>
      </c>
      <c r="AM588" s="51" t="n">
        <f aca="false">IF(AI588&gt;0,J588/AI588,-1)</f>
        <v>0</v>
      </c>
      <c r="AN588" s="51" t="n">
        <f aca="false">IF(AND(OR(CF588="L1",CF588="L23",CF588="LIFT"),AI588&gt;0),SUMIFS($AI$7:$AI$1843,$CF$7:$CF$1843,CF588,$AM$7:$AM$1843,"&gt;"&amp;AM588)+SUMIFS($AI$7:$AI$1843,$CF$7:$CF$1843,CF588,$AM$7:$AM$1843,AM588,$BW$7:$BW$1843,"&lt;="&amp;BW588),"")</f>
        <v>28507.1045637508</v>
      </c>
      <c r="AO588" s="58" t="n">
        <f aca="false">IF(AN588="",0,MAX(0,MIN(1,(IF(CF588="L1",Parameter!$H$5,IF(CF588="L23",Parameter!$H$6+Parameter!$H$7,Parameter!$H$5+Parameter!$H$6+Parameter!$H$7))-(AN588-AI588))/AI588)))</f>
        <v>1</v>
      </c>
      <c r="AP588" s="50" t="n">
        <f aca="false">IF(LEFT(Cockpit!$I$5,1)="A",H588,IF(Parameter!$E$30="MAX-Bestand",IF(CH588=1,CI588,IF(LEFT(Cockpit!$I$5,1)="B",AV588,MAX(AV588,H588))),ROUNDUP(AT588,0)))</f>
        <v>84</v>
      </c>
      <c r="AQ588" s="50" t="n">
        <f aca="false">IF(BZ588=1,0,ROUNDUP(AP588/BY588,0))</f>
        <v>1</v>
      </c>
      <c r="AR588" s="52" t="n">
        <f aca="false">IF(CQ588&gt;0,CQ588*MAX(1,AP588/X588),IF(BZ588=1,IF(AP588&lt;=0,0,CD588*MAX(1,IF(H588&gt;0,AP588/H588,1))),IF(R588&gt;0,AQ588/R588,0))/MAX(0.1,N(Parameter!$M$21)))</f>
        <v>0.00357142857142857</v>
      </c>
      <c r="AS588" s="50" t="n">
        <f aca="false">AR588*CB588</f>
        <v>0.553571428571429</v>
      </c>
      <c r="AT588" s="51" t="n">
        <f aca="false">IF(LEFT(Cockpit!$I$5,1)="A",H588,IF(CH588=1,(CK588+CI588)/2,IF(LEFT(Cockpit!$I$5,1)="B",(CK588+AV588)/2,MAX((CK588+AV588)/2,H588))))</f>
        <v>84</v>
      </c>
      <c r="AU588" s="50" t="n">
        <f aca="false">AT588*G588</f>
        <v>57.12</v>
      </c>
      <c r="AV588" s="50" t="n">
        <f aca="false">ROUNDUP(CK588+MAX(CL588,2*(J588/IF(CG588&gt;0,CG588,MAX(0.1,N(Cockpit!$I$6)))-CK588)),0)</f>
        <v>1</v>
      </c>
      <c r="AW588" s="51" t="n">
        <f aca="false">IF(AS588&gt;0,J588/AS588,-1)</f>
        <v>0</v>
      </c>
      <c r="AX588" s="51" t="n">
        <f aca="false">IF(AND(OR(CF588="L1",CF588="L23",CF588="LIFT"),AS588&gt;0),SUMIFS($AS$7:$AS$1843,$CF$7:$CF$1843,CF588,$AW$7:$AW$1843,"&gt;"&amp;AW588)+SUMIFS($AS$7:$AS$1843,$CF$7:$CF$1843,CF588,$AW$7:$AW$1843,AW588,$BW$7:$BW$1843,"&lt;="&amp;BW588),"")</f>
        <v>33860.2532051282</v>
      </c>
      <c r="AY588" s="58" t="n">
        <f aca="false">IF(AX588="",0,MAX(0,MIN(1,(IF(CF588="L1",Parameter!$H$5,IF(CF588="L23",Parameter!$H$6+Parameter!$H$7,Parameter!$H$5+Parameter!$H$6+Parameter!$H$7))-(AX588-AS588))/AS588)))</f>
        <v>1</v>
      </c>
      <c r="AZ588" s="50" t="n">
        <f aca="false">IF(LEFT(Cockpit!$O$5,1)="A",H588,IF(Parameter!$E$30="MAX-Bestand",IF(CH588=1,CI588,IF(LEFT(Cockpit!$O$5,1)="B",BF588,MAX(BF588,H588))),ROUNDUP(BD588,0)))</f>
        <v>1</v>
      </c>
      <c r="BA588" s="50" t="n">
        <f aca="false">IF(BZ588=1,0,ROUNDUP(AZ588/BY588,0))</f>
        <v>1</v>
      </c>
      <c r="BB588" s="52" t="n">
        <f aca="false">IF(CQ588&gt;0,CQ588*MAX(1,AZ588/X588),IF(BZ588=1,IF(AZ588&lt;=0,0,CD588*MAX(1,IF(H588&gt;0,AZ588/H588,1))),IF(R588&gt;0,BA588/R588,0))/MAX(0.1,N(Parameter!$M$21)))</f>
        <v>0.00357142857142857</v>
      </c>
      <c r="BC588" s="50" t="n">
        <f aca="false">BB588*CB588</f>
        <v>0.553571428571429</v>
      </c>
      <c r="BD588" s="51" t="n">
        <f aca="false">IF(LEFT(Cockpit!$O$5,1)="A",H588,IF(CH588=1,(CK588+CI588)/2,IF(LEFT(Cockpit!$O$5,1)="B",(CK588+BF588)/2,MAX((CK588+BF588)/2,H588))))</f>
        <v>0.5</v>
      </c>
      <c r="BE588" s="50" t="n">
        <f aca="false">BD588*G588</f>
        <v>0.34</v>
      </c>
      <c r="BF588" s="50" t="n">
        <f aca="false">ROUNDUP(CK588+MAX(CL588,2*(J588/IF(CG588&gt;0,CG588,MAX(0.1,N(Cockpit!$O$6)))-CK588)),0)</f>
        <v>1</v>
      </c>
      <c r="BG588" s="51" t="n">
        <f aca="false">IF(BC588&gt;0,J588/BC588,-1)</f>
        <v>0</v>
      </c>
      <c r="BH588" s="51" t="n">
        <f aca="false">IF(AND(OR(CF588="L1",CF588="L23",CF588="LIFT"),BC588&gt;0),SUMIFS($BC$7:$BC$1843,$CF$7:$CF$1843,CF588,$BG$7:$BG$1843,"&gt;"&amp;BG588)+SUMIFS($BC$7:$BC$1843,$CF$7:$CF$1843,CF588,$BG$7:$BG$1843,BG588,$BW$7:$BW$1843,"&lt;="&amp;BW588),"")</f>
        <v>27935.5388030049</v>
      </c>
      <c r="BI588" s="58" t="n">
        <f aca="false">IF(BH588="",0,MAX(0,MIN(1,(IF(CF588="L1",Parameter!$H$5,IF(CF588="L23",Parameter!$H$6+Parameter!$H$7,Parameter!$H$5+Parameter!$H$6+Parameter!$H$7))-(BH588-BC588))/BC588)))</f>
        <v>1</v>
      </c>
      <c r="BJ588" s="48" t="str">
        <f aca="false">IF(AI588&lt;=0,"",IF(CF588="Aussen","Aussenlager",IF(CF588="-","Nicht im Lift",IF(AO588&gt;=1,"Lift",IF(AO588&lt;=0,"Aussenlager","teilweise")))))</f>
        <v>Lift</v>
      </c>
      <c r="BK588" s="48" t="str">
        <f aca="false">IF(AS588&lt;=0,"",IF(CF588="Aussen","Aussenlager",IF(CF588="-","Nicht im Lift",IF(AY588&gt;=1,"Lift",IF(AY588&lt;=0,"Aussenlager","teilweise")))))</f>
        <v>Lift</v>
      </c>
      <c r="BL588" s="48" t="str">
        <f aca="false">IF(BC588&lt;=0,"",IF(CF588="Aussen","Aussenlager",IF(CF588="-","Nicht im Lift",IF(BI588&gt;=1,"Lift",IF(BI588&lt;=0,"Aussenlager","teilweise")))))</f>
        <v>Lift</v>
      </c>
      <c r="BM588" s="48" t="str">
        <f aca="false">IF(A588="","",IF(BV588=1,"Neu; ","")&amp;IF(AND(BV588=0,BQ588&lt;0),"negativer Bestand (Export "&amp;BQ588&amp;"); ","")&amp;IF(J588&lt;=0,"Kein Verbrauch; ","")&amp;IF(CQ588&gt;0,"Lift "&amp;W588&amp;" lt. Liftbericht (Fach "&amp;X588&amp;" Stk); ",IF(CA588=1,"Gebinde geschätzt ("&amp;T588&amp;"); ",IF(BZ588=1,"Lose – Tablare geschätzt; ","")))&amp;IF(H588&gt;AV588,"Überbestand "&amp;ROUND(H588-AV588,0)&amp;" Stk / CHF "&amp;ROUND((H588-AV588)*G588,0)&amp;"; ","")&amp;IF(AND(CH588=1,CI588&lt;CJ588),"MAX &lt; MB+LG; ","")&amp;IF(AND(CP588&gt;0,CO588*10&gt;CP588),"zu hoch für Tablar; ","")&amp;IF(AND(BV588=0,OR(CH588=1,AA588&lt;&gt;"",U588&lt;&gt;"",V588&lt;&gt;"",AB588&lt;&gt;"")),"manuell übersteuert; ","")&amp;IF(AND(BZ588=0,R588=0),"Gebinde unbekannt / Stellmass fehlt; ","")&amp;IF(AND(BZ588=0,N(V588)&lt;=0,N(Q588)&lt;=0),"Menge pro Gebinde fehlt (Ist = 1 Gebinde); ","")&amp;BU588)</f>
        <v>Kein Verbrauch; Überbestand 83 Stk / CHF 56; Neuer Art.</v>
      </c>
      <c r="BN588" s="48"/>
      <c r="BO588" s="48"/>
      <c r="BP588" s="55"/>
      <c r="BQ588" s="50" t="n">
        <v>12</v>
      </c>
      <c r="BR588" s="50" t="n">
        <v>72</v>
      </c>
      <c r="BS588" s="49" t="n">
        <v>8.16</v>
      </c>
      <c r="BT588" s="50" t="n">
        <v>0</v>
      </c>
      <c r="BU588" s="48" t="s">
        <v>521</v>
      </c>
      <c r="BV588" s="53" t="n">
        <v>0</v>
      </c>
      <c r="BW588" s="53" t="n">
        <v>588</v>
      </c>
      <c r="BX588" s="48" t="str">
        <f aca="false">IF(U588&lt;&gt;"",UPPER(TRIM(U588)),IF(CA588=1,UPPER(VLOOKUP(T588,Parameter!$I$27:$K$29,2,0)),IF(P588="","LOSE",P588)))</f>
        <v>S21</v>
      </c>
      <c r="BY588" s="50" t="n">
        <f aca="false">IF(BX588="LOSE",1,IF(N(V588)&gt;0,V588,IF(CA588=1,MAX(1,N(VLOOKUP(T588,Parameter!$I$27:$K$29,3,0)),H588,N(N588)),IF(N(Q588)&gt;0,Q588,MAX(1,H588)))))</f>
        <v>100</v>
      </c>
      <c r="BZ588" s="53" t="n">
        <f aca="false">IF(BX588="LOSE",1,0)</f>
        <v>0</v>
      </c>
      <c r="CA588" s="53" t="n">
        <f aca="false">IF(AND(U588="",OR(P588="",P588="LOSE"),T588&lt;&gt;"",N(S588)&lt;=0,ISNUMBER(MATCH(T588,Parameter!$I$27:$I$29,0))),1,0)</f>
        <v>0</v>
      </c>
      <c r="CB588" s="53" t="n">
        <f aca="false">IF(CQ588&gt;0,INDEX(Parameter!$H$5:$H$7,W588)/INDEX(Parameter!$E$5:$E$7,W588),IF(AND(BZ588=0,N(IFERROR(VLOOKUP(BX588,'Gebinde-Kategorie'!$A$5:$N$45,14,0),0))&gt;0),VLOOKUP(BX588,'Gebinde-Kategorie'!$A$5:$N$45,14,0)*10+Parameter!$M$23,Parameter!$M$24))</f>
        <v>155</v>
      </c>
      <c r="CC588" s="48" t="str">
        <f aca="false">IF(AND(Parameter!$B$19="Ja",E588&lt;&gt;"",ISNUMBER(MATCH(E588,Parameter!$I$35:$I$52,0))),VLOOKUP(E588,Parameter!$I$35:$J$52,2,0),IFERROR(VLOOKUP(D588,Parameter!$A$35:$C$64,2,0),"Nein"))</f>
        <v>2+3</v>
      </c>
      <c r="CD588" s="52" t="n">
        <f aca="false">IF(BZ588=0,0,IF(N(S588)&gt;0,S588,IFERROR(VLOOKUP(D588,Parameter!$A$35:$C$64,3,0)+0,0)))</f>
        <v>0</v>
      </c>
      <c r="CE588" s="48" t="n">
        <f aca="false">IF(AA588&lt;&gt;"",AA588,Z588)</f>
        <v>3</v>
      </c>
      <c r="CF588" s="48" t="str">
        <f aca="false">IF(OR(CE588=1,CE588=2,CE588=3),IF(Parameter!$E$27="Ja","LIFT",IF(CE588=1,"L1","L23")),IF(CE588="Aussen","Aussen","-"))</f>
        <v>LIFT</v>
      </c>
      <c r="CG588" s="59" t="n">
        <f aca="false">IF(N(AB588)&gt;0,AB588,0)</f>
        <v>0</v>
      </c>
      <c r="CH588" s="53" t="n">
        <f aca="false">IF(ISNUMBER(AE588),1,0)</f>
        <v>0</v>
      </c>
      <c r="CI588" s="50" t="n">
        <f aca="false">N(AE588)</f>
        <v>0</v>
      </c>
      <c r="CJ588" s="50" t="n">
        <f aca="false">N(M588)+N(N588)</f>
        <v>1</v>
      </c>
      <c r="CK588" s="50" t="n">
        <f aca="false">N(M588)</f>
        <v>0</v>
      </c>
      <c r="CL588" s="50" t="n">
        <f aca="false">N(N588)</f>
        <v>1</v>
      </c>
      <c r="CM588" s="50" t="n">
        <f aca="false">ROUNDUP(H588/BY588,0)</f>
        <v>1</v>
      </c>
      <c r="CN588" s="50" t="n">
        <f aca="false">ROUNDUP(CI588/BY588,0)</f>
        <v>0</v>
      </c>
      <c r="CO588" s="53" t="n">
        <f aca="false">IF(BZ588=1,0,IFERROR(VLOOKUP(BX588,'Gebinde-Kategorie'!$A$5:$N$45,5,0)+0,0))</f>
        <v>8</v>
      </c>
      <c r="CP588" s="53" t="n">
        <f aca="false">IFERROR(IF(OR(CE588=1,CE588=2,CE588=3),N(INDEX(Parameter!$I$5:$I$7,CE588)),0),0)</f>
        <v>0</v>
      </c>
      <c r="CQ588" s="52" t="n">
        <f aca="false">IF(AND(Parameter!$B$21="Ja",ISNUMBER(W588),N(X588)&gt;0),IFERROR(N(INDEX(Parameter!$L$5:$L$7,W588))*INDEX(Parameter!$E$5:$E$7,W588)*X588/SUMIFS($X$7:$X$1843,$W$7:$W$1843,W588),0),0)</f>
        <v>0</v>
      </c>
    </row>
    <row r="589" customFormat="false" ht="15" hidden="false" customHeight="false" outlineLevel="0" collapsed="false">
      <c r="A589" s="48" t="s">
        <v>1238</v>
      </c>
      <c r="B589" s="48" t="s">
        <v>607</v>
      </c>
      <c r="C589" s="48" t="s">
        <v>173</v>
      </c>
      <c r="D589" s="48" t="s">
        <v>193</v>
      </c>
      <c r="E589" s="48" t="s">
        <v>194</v>
      </c>
      <c r="F589" s="48" t="s">
        <v>227</v>
      </c>
      <c r="G589" s="49" t="n">
        <v>43.93</v>
      </c>
      <c r="H589" s="50" t="n">
        <f aca="false">MAX(0,IF(AND(Parameter!$B$21="Ja",ISNUMBER(Y589)),Y589,IF(Parameter!$B$20="Jahresanfang 2025 + Export",BR589+BQ589,BQ589)))</f>
        <v>8</v>
      </c>
      <c r="I589" s="50" t="n">
        <f aca="false">H589*G589</f>
        <v>351.44</v>
      </c>
      <c r="J589" s="50" t="n">
        <f aca="false">BT589*Parameter!$B$18</f>
        <v>12</v>
      </c>
      <c r="K589" s="51" t="n">
        <v>7.5</v>
      </c>
      <c r="L589" s="52" t="n">
        <v>1.6</v>
      </c>
      <c r="M589" s="50" t="n">
        <v>1</v>
      </c>
      <c r="N589" s="50" t="n">
        <v>10</v>
      </c>
      <c r="O589" s="53" t="n">
        <v>35</v>
      </c>
      <c r="P589" s="48" t="s">
        <v>485</v>
      </c>
      <c r="Q589" s="50" t="n">
        <v>27</v>
      </c>
      <c r="R589" s="53" t="n">
        <f aca="false">IF(BZ589=1,0,IFERROR(VLOOKUP(BX589,'Gebinde-Kategorie'!$A$5:$N$45,13,0)+0,0))</f>
        <v>52</v>
      </c>
      <c r="S589" s="54"/>
      <c r="T589" s="55"/>
      <c r="U589" s="55"/>
      <c r="V589" s="55"/>
      <c r="W589" s="48"/>
      <c r="X589" s="50"/>
      <c r="Y589" s="50"/>
      <c r="Z589" s="48" t="n">
        <f aca="false">IF(A589="","",IF(AND(Parameter!$B$21="Ja",ISNUMBER(W589)),W589,IF(CC589="2+3",IF(ISNUMBER(SEARCH("grosser Artikel",BU589)),2,IFERROR(VLOOKUP(BX589,Parameter!$F$35:$G$64,2,0),2)),IF(OR(CC589="Nein",CC589=""),"-",CC589))))</f>
        <v>3</v>
      </c>
      <c r="AA589" s="55"/>
      <c r="AB589" s="56"/>
      <c r="AC589" s="50" t="n">
        <f aca="false">AV589</f>
        <v>11</v>
      </c>
      <c r="AD589" s="50" t="n">
        <f aca="false">MAX(AV589,H589)</f>
        <v>11</v>
      </c>
      <c r="AE589" s="57"/>
      <c r="AF589" s="50" t="n">
        <f aca="false">IF(LEFT(Cockpit!$C$5,1)="A",H589,IF(Parameter!$E$30="MAX-Bestand",IF(CH589=1,CI589,IF(LEFT(Cockpit!$C$5,1)="B",AL589,MAX(AL589,H589))),ROUNDUP(AJ589,0)))</f>
        <v>8</v>
      </c>
      <c r="AG589" s="50" t="n">
        <f aca="false">IF(BZ589=1,0,ROUNDUP(AF589/BY589,0))</f>
        <v>1</v>
      </c>
      <c r="AH589" s="52" t="n">
        <f aca="false">IF(CQ589&gt;0,CQ589*MAX(1,AF589/X589),IF(BZ589=1,IF(AF589&lt;=0,0,CD589*MAX(1,IF(H589&gt;0,AF589/H589,1))),IF(R589&gt;0,AG589/R589,0))/MAX(0.1,N(Parameter!$M$21)))</f>
        <v>0.0192307692307692</v>
      </c>
      <c r="AI589" s="50" t="n">
        <f aca="false">AH589*CB589</f>
        <v>2.98076923076923</v>
      </c>
      <c r="AJ589" s="51" t="n">
        <f aca="false">IF(LEFT(Cockpit!$C$5,1)="A",H589,IF(CH589=1,(CK589+CI589)/2,IF(LEFT(Cockpit!$C$5,1)="B",(CK589+AL589)/2,MAX((CK589+AL589)/2,H589))))</f>
        <v>8</v>
      </c>
      <c r="AK589" s="50" t="n">
        <f aca="false">AJ589*G589</f>
        <v>351.44</v>
      </c>
      <c r="AL589" s="50" t="n">
        <f aca="false">ROUNDUP(CK589+MAX(CL589,2*(J589/IF(CG589&gt;0,CG589,MAX(0.1,N(Cockpit!$C$6)))-CK589)),0)</f>
        <v>11</v>
      </c>
      <c r="AM589" s="51" t="n">
        <f aca="false">IF(AI589&gt;0,J589/AI589,-1)</f>
        <v>4.0258064516129</v>
      </c>
      <c r="AN589" s="51" t="n">
        <f aca="false">IF(AND(OR(CF589="L1",CF589="L23",CF589="LIFT"),AI589&gt;0),SUMIFS($AI$7:$AI$1843,$CF$7:$CF$1843,CF589,$AM$7:$AM$1843,"&gt;"&amp;AM589)+SUMIFS($AI$7:$AI$1843,$CF$7:$CF$1843,CF589,$AM$7:$AM$1843,AM589,$BW$7:$BW$1843,"&lt;="&amp;BW589),"")</f>
        <v>4342.29487179487</v>
      </c>
      <c r="AO589" s="58" t="n">
        <f aca="false">IF(AN589="",0,MAX(0,MIN(1,(IF(CF589="L1",Parameter!$H$5,IF(CF589="L23",Parameter!$H$6+Parameter!$H$7,Parameter!$H$5+Parameter!$H$6+Parameter!$H$7))-(AN589-AI589))/AI589)))</f>
        <v>1</v>
      </c>
      <c r="AP589" s="50" t="n">
        <f aca="false">IF(LEFT(Cockpit!$I$5,1)="A",H589,IF(Parameter!$E$30="MAX-Bestand",IF(CH589=1,CI589,IF(LEFT(Cockpit!$I$5,1)="B",AV589,MAX(AV589,H589))),ROUNDUP(AT589,0)))</f>
        <v>8</v>
      </c>
      <c r="AQ589" s="50" t="n">
        <f aca="false">IF(BZ589=1,0,ROUNDUP(AP589/BY589,0))</f>
        <v>1</v>
      </c>
      <c r="AR589" s="52" t="n">
        <f aca="false">IF(CQ589&gt;0,CQ589*MAX(1,AP589/X589),IF(BZ589=1,IF(AP589&lt;=0,0,CD589*MAX(1,IF(H589&gt;0,AP589/H589,1))),IF(R589&gt;0,AQ589/R589,0))/MAX(0.1,N(Parameter!$M$21)))</f>
        <v>0.0192307692307692</v>
      </c>
      <c r="AS589" s="50" t="n">
        <f aca="false">AR589*CB589</f>
        <v>2.98076923076923</v>
      </c>
      <c r="AT589" s="51" t="n">
        <f aca="false">IF(LEFT(Cockpit!$I$5,1)="A",H589,IF(CH589=1,(CK589+CI589)/2,IF(LEFT(Cockpit!$I$5,1)="B",(CK589+AV589)/2,MAX((CK589+AV589)/2,H589))))</f>
        <v>8</v>
      </c>
      <c r="AU589" s="50" t="n">
        <f aca="false">AT589*G589</f>
        <v>351.44</v>
      </c>
      <c r="AV589" s="50" t="n">
        <f aca="false">ROUNDUP(CK589+MAX(CL589,2*(J589/IF(CG589&gt;0,CG589,MAX(0.1,N(Cockpit!$I$6)))-CK589)),0)</f>
        <v>11</v>
      </c>
      <c r="AW589" s="51" t="n">
        <f aca="false">IF(AS589&gt;0,J589/AS589,-1)</f>
        <v>4.0258064516129</v>
      </c>
      <c r="AX589" s="51" t="n">
        <f aca="false">IF(AND(OR(CF589="L1",CF589="L23",CF589="LIFT"),AS589&gt;0),SUMIFS($AS$7:$AS$1843,$CF$7:$CF$1843,CF589,$AW$7:$AW$1843,"&gt;"&amp;AW589)+SUMIFS($AS$7:$AS$1843,$CF$7:$CF$1843,CF589,$AW$7:$AW$1843,AW589,$BW$7:$BW$1843,"&lt;="&amp;BW589),"")</f>
        <v>4939.36904761905</v>
      </c>
      <c r="AY589" s="58" t="n">
        <f aca="false">IF(AX589="",0,MAX(0,MIN(1,(IF(CF589="L1",Parameter!$H$5,IF(CF589="L23",Parameter!$H$6+Parameter!$H$7,Parameter!$H$5+Parameter!$H$6+Parameter!$H$7))-(AX589-AS589))/AS589)))</f>
        <v>1</v>
      </c>
      <c r="AZ589" s="50" t="n">
        <f aca="false">IF(LEFT(Cockpit!$O$5,1)="A",H589,IF(Parameter!$E$30="MAX-Bestand",IF(CH589=1,CI589,IF(LEFT(Cockpit!$O$5,1)="B",BF589,MAX(BF589,H589))),ROUNDUP(BD589,0)))</f>
        <v>6</v>
      </c>
      <c r="BA589" s="50" t="n">
        <f aca="false">IF(BZ589=1,0,ROUNDUP(AZ589/BY589,0))</f>
        <v>1</v>
      </c>
      <c r="BB589" s="52" t="n">
        <f aca="false">IF(CQ589&gt;0,CQ589*MAX(1,AZ589/X589),IF(BZ589=1,IF(AZ589&lt;=0,0,CD589*MAX(1,IF(H589&gt;0,AZ589/H589,1))),IF(R589&gt;0,BA589/R589,0))/MAX(0.1,N(Parameter!$M$21)))</f>
        <v>0.0192307692307692</v>
      </c>
      <c r="BC589" s="50" t="n">
        <f aca="false">BB589*CB589</f>
        <v>2.98076923076923</v>
      </c>
      <c r="BD589" s="51" t="n">
        <f aca="false">IF(LEFT(Cockpit!$O$5,1)="A",H589,IF(CH589=1,(CK589+CI589)/2,IF(LEFT(Cockpit!$O$5,1)="B",(CK589+BF589)/2,MAX((CK589+BF589)/2,H589))))</f>
        <v>6</v>
      </c>
      <c r="BE589" s="50" t="n">
        <f aca="false">BD589*G589</f>
        <v>263.58</v>
      </c>
      <c r="BF589" s="50" t="n">
        <f aca="false">ROUNDUP(CK589+MAX(CL589,2*(J589/IF(CG589&gt;0,CG589,MAX(0.1,N(Cockpit!$O$6)))-CK589)),0)</f>
        <v>11</v>
      </c>
      <c r="BG589" s="51" t="n">
        <f aca="false">IF(BC589&gt;0,J589/BC589,-1)</f>
        <v>4.0258064516129</v>
      </c>
      <c r="BH589" s="51" t="n">
        <f aca="false">IF(AND(OR(CF589="L1",CF589="L23",CF589="LIFT"),BC589&gt;0),SUMIFS($BC$7:$BC$1843,$CF$7:$CF$1843,CF589,$BG$7:$BG$1843,"&gt;"&amp;BG589)+SUMIFS($BC$7:$BC$1843,$CF$7:$CF$1843,CF589,$BG$7:$BG$1843,BG589,$BW$7:$BW$1843,"&lt;="&amp;BW589),"")</f>
        <v>4050.97802197802</v>
      </c>
      <c r="BI589" s="58" t="n">
        <f aca="false">IF(BH589="",0,MAX(0,MIN(1,(IF(CF589="L1",Parameter!$H$5,IF(CF589="L23",Parameter!$H$6+Parameter!$H$7,Parameter!$H$5+Parameter!$H$6+Parameter!$H$7))-(BH589-BC589))/BC589)))</f>
        <v>1</v>
      </c>
      <c r="BJ589" s="48" t="str">
        <f aca="false">IF(AI589&lt;=0,"",IF(CF589="Aussen","Aussenlager",IF(CF589="-","Nicht im Lift",IF(AO589&gt;=1,"Lift",IF(AO589&lt;=0,"Aussenlager","teilweise")))))</f>
        <v>Lift</v>
      </c>
      <c r="BK589" s="48" t="str">
        <f aca="false">IF(AS589&lt;=0,"",IF(CF589="Aussen","Aussenlager",IF(CF589="-","Nicht im Lift",IF(AY589&gt;=1,"Lift",IF(AY589&lt;=0,"Aussenlager","teilweise")))))</f>
        <v>Lift</v>
      </c>
      <c r="BL589" s="48" t="str">
        <f aca="false">IF(BC589&lt;=0,"",IF(CF589="Aussen","Aussenlager",IF(CF589="-","Nicht im Lift",IF(BI589&gt;=1,"Lift",IF(BI589&lt;=0,"Aussenlager","teilweise")))))</f>
        <v>Lift</v>
      </c>
      <c r="BM589" s="48" t="str">
        <f aca="false">IF(A589="","",IF(BV589=1,"Neu; ","")&amp;IF(AND(BV589=0,BQ589&lt;0),"negativer Bestand (Export "&amp;BQ589&amp;"); ","")&amp;IF(J589&lt;=0,"Kein Verbrauch; ","")&amp;IF(CQ589&gt;0,"Lift "&amp;W589&amp;" lt. Liftbericht (Fach "&amp;X589&amp;" Stk); ",IF(CA589=1,"Gebinde geschätzt ("&amp;T589&amp;"); ",IF(BZ589=1,"Lose – Tablare geschätzt; ","")))&amp;IF(H589&gt;AV589,"Überbestand "&amp;ROUND(H589-AV589,0)&amp;" Stk / CHF "&amp;ROUND((H589-AV589)*G589,0)&amp;"; ","")&amp;IF(AND(CH589=1,CI589&lt;CJ589),"MAX &lt; MB+LG; ","")&amp;IF(AND(CP589&gt;0,CO589*10&gt;CP589),"zu hoch für Tablar; ","")&amp;IF(AND(BV589=0,OR(CH589=1,AA589&lt;&gt;"",U589&lt;&gt;"",V589&lt;&gt;"",AB589&lt;&gt;"")),"manuell übersteuert; ","")&amp;IF(AND(BZ589=0,R589=0),"Gebinde unbekannt / Stellmass fehlt; ","")&amp;IF(AND(BZ589=0,N(V589)&lt;=0,N(Q589)&lt;=0),"Menge pro Gebinde fehlt (Ist = 1 Gebinde); ","")&amp;BU589)</f>
        <v/>
      </c>
      <c r="BN589" s="48"/>
      <c r="BO589" s="48"/>
      <c r="BP589" s="55"/>
      <c r="BQ589" s="50" t="n">
        <v>0</v>
      </c>
      <c r="BR589" s="50" t="n">
        <v>8</v>
      </c>
      <c r="BS589" s="49" t="n">
        <v>8.15999999999988</v>
      </c>
      <c r="BT589" s="50" t="n">
        <v>12</v>
      </c>
      <c r="BU589" s="48"/>
      <c r="BV589" s="53" t="n">
        <v>0</v>
      </c>
      <c r="BW589" s="53" t="n">
        <v>589</v>
      </c>
      <c r="BX589" s="48" t="str">
        <f aca="false">IF(U589&lt;&gt;"",UPPER(TRIM(U589)),IF(CA589=1,UPPER(VLOOKUP(T589,Parameter!$I$27:$K$29,2,0)),IF(P589="","LOSE",P589)))</f>
        <v>S33</v>
      </c>
      <c r="BY589" s="50" t="n">
        <f aca="false">IF(BX589="LOSE",1,IF(N(V589)&gt;0,V589,IF(CA589=1,MAX(1,N(VLOOKUP(T589,Parameter!$I$27:$K$29,3,0)),H589,N(N589)),IF(N(Q589)&gt;0,Q589,MAX(1,H589)))))</f>
        <v>27</v>
      </c>
      <c r="BZ589" s="53" t="n">
        <f aca="false">IF(BX589="LOSE",1,0)</f>
        <v>0</v>
      </c>
      <c r="CA589" s="53" t="n">
        <f aca="false">IF(AND(U589="",OR(P589="",P589="LOSE"),T589&lt;&gt;"",N(S589)&lt;=0,ISNUMBER(MATCH(T589,Parameter!$I$27:$I$29,0))),1,0)</f>
        <v>0</v>
      </c>
      <c r="CB589" s="53" t="n">
        <f aca="false">IF(CQ589&gt;0,INDEX(Parameter!$H$5:$H$7,W589)/INDEX(Parameter!$E$5:$E$7,W589),IF(AND(BZ589=0,N(IFERROR(VLOOKUP(BX589,'Gebinde-Kategorie'!$A$5:$N$45,14,0),0))&gt;0),VLOOKUP(BX589,'Gebinde-Kategorie'!$A$5:$N$45,14,0)*10+Parameter!$M$23,Parameter!$M$24))</f>
        <v>155</v>
      </c>
      <c r="CC589" s="48" t="str">
        <f aca="false">IF(AND(Parameter!$B$19="Ja",E589&lt;&gt;"",ISNUMBER(MATCH(E589,Parameter!$I$35:$I$52,0))),VLOOKUP(E589,Parameter!$I$35:$J$52,2,0),IFERROR(VLOOKUP(D589,Parameter!$A$35:$C$64,2,0),"Nein"))</f>
        <v>2+3</v>
      </c>
      <c r="CD589" s="52" t="n">
        <f aca="false">IF(BZ589=0,0,IF(N(S589)&gt;0,S589,IFERROR(VLOOKUP(D589,Parameter!$A$35:$C$64,3,0)+0,0)))</f>
        <v>0</v>
      </c>
      <c r="CE589" s="48" t="n">
        <f aca="false">IF(AA589&lt;&gt;"",AA589,Z589)</f>
        <v>3</v>
      </c>
      <c r="CF589" s="48" t="str">
        <f aca="false">IF(OR(CE589=1,CE589=2,CE589=3),IF(Parameter!$E$27="Ja","LIFT",IF(CE589=1,"L1","L23")),IF(CE589="Aussen","Aussen","-"))</f>
        <v>LIFT</v>
      </c>
      <c r="CG589" s="59" t="n">
        <f aca="false">IF(N(AB589)&gt;0,AB589,0)</f>
        <v>0</v>
      </c>
      <c r="CH589" s="53" t="n">
        <f aca="false">IF(ISNUMBER(AE589),1,0)</f>
        <v>0</v>
      </c>
      <c r="CI589" s="50" t="n">
        <f aca="false">N(AE589)</f>
        <v>0</v>
      </c>
      <c r="CJ589" s="50" t="n">
        <f aca="false">N(M589)+N(N589)</f>
        <v>11</v>
      </c>
      <c r="CK589" s="50" t="n">
        <f aca="false">N(M589)</f>
        <v>1</v>
      </c>
      <c r="CL589" s="50" t="n">
        <f aca="false">N(N589)</f>
        <v>10</v>
      </c>
      <c r="CM589" s="50" t="n">
        <f aca="false">ROUNDUP(H589/BY589,0)</f>
        <v>1</v>
      </c>
      <c r="CN589" s="50" t="n">
        <f aca="false">ROUNDUP(CI589/BY589,0)</f>
        <v>0</v>
      </c>
      <c r="CO589" s="53" t="n">
        <f aca="false">IF(BZ589=1,0,IFERROR(VLOOKUP(BX589,'Gebinde-Kategorie'!$A$5:$N$45,5,0)+0,0))</f>
        <v>8</v>
      </c>
      <c r="CP589" s="53" t="n">
        <f aca="false">IFERROR(IF(OR(CE589=1,CE589=2,CE589=3),N(INDEX(Parameter!$I$5:$I$7,CE589)),0),0)</f>
        <v>0</v>
      </c>
      <c r="CQ589" s="52" t="n">
        <f aca="false">IF(AND(Parameter!$B$21="Ja",ISNUMBER(W589),N(X589)&gt;0),IFERROR(N(INDEX(Parameter!$L$5:$L$7,W589))*INDEX(Parameter!$E$5:$E$7,W589)*X589/SUMIFS($X$7:$X$1843,$W$7:$W$1843,W589),0),0)</f>
        <v>0</v>
      </c>
    </row>
    <row r="590" customFormat="false" ht="15" hidden="false" customHeight="false" outlineLevel="0" collapsed="false">
      <c r="A590" s="48" t="s">
        <v>1239</v>
      </c>
      <c r="B590" s="48" t="s">
        <v>640</v>
      </c>
      <c r="C590" s="48" t="s">
        <v>173</v>
      </c>
      <c r="D590" s="48" t="s">
        <v>193</v>
      </c>
      <c r="E590" s="48"/>
      <c r="F590" s="48" t="s">
        <v>227</v>
      </c>
      <c r="G590" s="49" t="n">
        <v>2.6</v>
      </c>
      <c r="H590" s="50" t="n">
        <f aca="false">MAX(0,IF(AND(Parameter!$B$21="Ja",ISNUMBER(Y590)),Y590,IF(Parameter!$B$20="Jahresanfang 2025 + Export",BR590+BQ590,BQ590)))</f>
        <v>70</v>
      </c>
      <c r="I590" s="50" t="n">
        <f aca="false">H590*G590</f>
        <v>182</v>
      </c>
      <c r="J590" s="50" t="n">
        <f aca="false">BT590*Parameter!$B$18</f>
        <v>0</v>
      </c>
      <c r="K590" s="51" t="n">
        <v>68.5</v>
      </c>
      <c r="L590" s="52" t="n">
        <v>0</v>
      </c>
      <c r="M590" s="50" t="n">
        <v>0</v>
      </c>
      <c r="N590" s="50" t="n">
        <v>1</v>
      </c>
      <c r="O590" s="53" t="n">
        <v>28</v>
      </c>
      <c r="P590" s="48" t="s">
        <v>410</v>
      </c>
      <c r="Q590" s="50" t="n">
        <v>100</v>
      </c>
      <c r="R590" s="53" t="n">
        <f aca="false">IF(BZ590=1,0,IFERROR(VLOOKUP(BX590,'Gebinde-Kategorie'!$A$5:$N$45,13,0)+0,0))</f>
        <v>280</v>
      </c>
      <c r="S590" s="54"/>
      <c r="T590" s="55"/>
      <c r="U590" s="55"/>
      <c r="V590" s="55"/>
      <c r="W590" s="48"/>
      <c r="X590" s="50"/>
      <c r="Y590" s="50"/>
      <c r="Z590" s="48" t="n">
        <f aca="false">IF(A590="","",IF(AND(Parameter!$B$21="Ja",ISNUMBER(W590)),W590,IF(CC590="2+3",IF(ISNUMBER(SEARCH("grosser Artikel",BU590)),2,IFERROR(VLOOKUP(BX590,Parameter!$F$35:$G$64,2,0),2)),IF(OR(CC590="Nein",CC590=""),"-",CC590))))</f>
        <v>3</v>
      </c>
      <c r="AA590" s="55"/>
      <c r="AB590" s="56"/>
      <c r="AC590" s="50" t="n">
        <f aca="false">AV590</f>
        <v>1</v>
      </c>
      <c r="AD590" s="50" t="n">
        <f aca="false">MAX(AV590,H590)</f>
        <v>70</v>
      </c>
      <c r="AE590" s="57"/>
      <c r="AF590" s="50" t="n">
        <f aca="false">IF(LEFT(Cockpit!$C$5,1)="A",H590,IF(Parameter!$E$30="MAX-Bestand",IF(CH590=1,CI590,IF(LEFT(Cockpit!$C$5,1)="B",AL590,MAX(AL590,H590))),ROUNDUP(AJ590,0)))</f>
        <v>70</v>
      </c>
      <c r="AG590" s="50" t="n">
        <f aca="false">IF(BZ590=1,0,ROUNDUP(AF590/BY590,0))</f>
        <v>1</v>
      </c>
      <c r="AH590" s="52" t="n">
        <f aca="false">IF(CQ590&gt;0,CQ590*MAX(1,AF590/X590),IF(BZ590=1,IF(AF590&lt;=0,0,CD590*MAX(1,IF(H590&gt;0,AF590/H590,1))),IF(R590&gt;0,AG590/R590,0))/MAX(0.1,N(Parameter!$M$21)))</f>
        <v>0.00357142857142857</v>
      </c>
      <c r="AI590" s="50" t="n">
        <f aca="false">AH590*CB590</f>
        <v>0.553571428571429</v>
      </c>
      <c r="AJ590" s="51" t="n">
        <f aca="false">IF(LEFT(Cockpit!$C$5,1)="A",H590,IF(CH590=1,(CK590+CI590)/2,IF(LEFT(Cockpit!$C$5,1)="B",(CK590+AL590)/2,MAX((CK590+AL590)/2,H590))))</f>
        <v>70</v>
      </c>
      <c r="AK590" s="50" t="n">
        <f aca="false">AJ590*G590</f>
        <v>182</v>
      </c>
      <c r="AL590" s="50" t="n">
        <f aca="false">ROUNDUP(CK590+MAX(CL590,2*(J590/IF(CG590&gt;0,CG590,MAX(0.1,N(Cockpit!$C$6)))-CK590)),0)</f>
        <v>1</v>
      </c>
      <c r="AM590" s="51" t="n">
        <f aca="false">IF(AI590&gt;0,J590/AI590,-1)</f>
        <v>0</v>
      </c>
      <c r="AN590" s="51" t="n">
        <f aca="false">IF(AND(OR(CF590="L1",CF590="L23",CF590="LIFT"),AI590&gt;0),SUMIFS($AI$7:$AI$1843,$CF$7:$CF$1843,CF590,$AM$7:$AM$1843,"&gt;"&amp;AM590)+SUMIFS($AI$7:$AI$1843,$CF$7:$CF$1843,CF590,$AM$7:$AM$1843,AM590,$BW$7:$BW$1843,"&lt;="&amp;BW590),"")</f>
        <v>28507.6581351793</v>
      </c>
      <c r="AO590" s="58" t="n">
        <f aca="false">IF(AN590="",0,MAX(0,MIN(1,(IF(CF590="L1",Parameter!$H$5,IF(CF590="L23",Parameter!$H$6+Parameter!$H$7,Parameter!$H$5+Parameter!$H$6+Parameter!$H$7))-(AN590-AI590))/AI590)))</f>
        <v>1</v>
      </c>
      <c r="AP590" s="50" t="n">
        <f aca="false">IF(LEFT(Cockpit!$I$5,1)="A",H590,IF(Parameter!$E$30="MAX-Bestand",IF(CH590=1,CI590,IF(LEFT(Cockpit!$I$5,1)="B",AV590,MAX(AV590,H590))),ROUNDUP(AT590,0)))</f>
        <v>70</v>
      </c>
      <c r="AQ590" s="50" t="n">
        <f aca="false">IF(BZ590=1,0,ROUNDUP(AP590/BY590,0))</f>
        <v>1</v>
      </c>
      <c r="AR590" s="52" t="n">
        <f aca="false">IF(CQ590&gt;0,CQ590*MAX(1,AP590/X590),IF(BZ590=1,IF(AP590&lt;=0,0,CD590*MAX(1,IF(H590&gt;0,AP590/H590,1))),IF(R590&gt;0,AQ590/R590,0))/MAX(0.1,N(Parameter!$M$21)))</f>
        <v>0.00357142857142857</v>
      </c>
      <c r="AS590" s="50" t="n">
        <f aca="false">AR590*CB590</f>
        <v>0.553571428571429</v>
      </c>
      <c r="AT590" s="51" t="n">
        <f aca="false">IF(LEFT(Cockpit!$I$5,1)="A",H590,IF(CH590=1,(CK590+CI590)/2,IF(LEFT(Cockpit!$I$5,1)="B",(CK590+AV590)/2,MAX((CK590+AV590)/2,H590))))</f>
        <v>70</v>
      </c>
      <c r="AU590" s="50" t="n">
        <f aca="false">AT590*G590</f>
        <v>182</v>
      </c>
      <c r="AV590" s="50" t="n">
        <f aca="false">ROUNDUP(CK590+MAX(CL590,2*(J590/IF(CG590&gt;0,CG590,MAX(0.1,N(Cockpit!$I$6)))-CK590)),0)</f>
        <v>1</v>
      </c>
      <c r="AW590" s="51" t="n">
        <f aca="false">IF(AS590&gt;0,J590/AS590,-1)</f>
        <v>0</v>
      </c>
      <c r="AX590" s="51" t="n">
        <f aca="false">IF(AND(OR(CF590="L1",CF590="L23",CF590="LIFT"),AS590&gt;0),SUMIFS($AS$7:$AS$1843,$CF$7:$CF$1843,CF590,$AW$7:$AW$1843,"&gt;"&amp;AW590)+SUMIFS($AS$7:$AS$1843,$CF$7:$CF$1843,CF590,$AW$7:$AW$1843,AW590,$BW$7:$BW$1843,"&lt;="&amp;BW590),"")</f>
        <v>33860.8067765568</v>
      </c>
      <c r="AY590" s="58" t="n">
        <f aca="false">IF(AX590="",0,MAX(0,MIN(1,(IF(CF590="L1",Parameter!$H$5,IF(CF590="L23",Parameter!$H$6+Parameter!$H$7,Parameter!$H$5+Parameter!$H$6+Parameter!$H$7))-(AX590-AS590))/AS590)))</f>
        <v>1</v>
      </c>
      <c r="AZ590" s="50" t="n">
        <f aca="false">IF(LEFT(Cockpit!$O$5,1)="A",H590,IF(Parameter!$E$30="MAX-Bestand",IF(CH590=1,CI590,IF(LEFT(Cockpit!$O$5,1)="B",BF590,MAX(BF590,H590))),ROUNDUP(BD590,0)))</f>
        <v>1</v>
      </c>
      <c r="BA590" s="50" t="n">
        <f aca="false">IF(BZ590=1,0,ROUNDUP(AZ590/BY590,0))</f>
        <v>1</v>
      </c>
      <c r="BB590" s="52" t="n">
        <f aca="false">IF(CQ590&gt;0,CQ590*MAX(1,AZ590/X590),IF(BZ590=1,IF(AZ590&lt;=0,0,CD590*MAX(1,IF(H590&gt;0,AZ590/H590,1))),IF(R590&gt;0,BA590/R590,0))/MAX(0.1,N(Parameter!$M$21)))</f>
        <v>0.00357142857142857</v>
      </c>
      <c r="BC590" s="50" t="n">
        <f aca="false">BB590*CB590</f>
        <v>0.553571428571429</v>
      </c>
      <c r="BD590" s="51" t="n">
        <f aca="false">IF(LEFT(Cockpit!$O$5,1)="A",H590,IF(CH590=1,(CK590+CI590)/2,IF(LEFT(Cockpit!$O$5,1)="B",(CK590+BF590)/2,MAX((CK590+BF590)/2,H590))))</f>
        <v>0.5</v>
      </c>
      <c r="BE590" s="50" t="n">
        <f aca="false">BD590*G590</f>
        <v>1.3</v>
      </c>
      <c r="BF590" s="50" t="n">
        <f aca="false">ROUNDUP(CK590+MAX(CL590,2*(J590/IF(CG590&gt;0,CG590,MAX(0.1,N(Cockpit!$O$6)))-CK590)),0)</f>
        <v>1</v>
      </c>
      <c r="BG590" s="51" t="n">
        <f aca="false">IF(BC590&gt;0,J590/BC590,-1)</f>
        <v>0</v>
      </c>
      <c r="BH590" s="51" t="n">
        <f aca="false">IF(AND(OR(CF590="L1",CF590="L23",CF590="LIFT"),BC590&gt;0),SUMIFS($BC$7:$BC$1843,$CF$7:$CF$1843,CF590,$BG$7:$BG$1843,"&gt;"&amp;BG590)+SUMIFS($BC$7:$BC$1843,$CF$7:$CF$1843,CF590,$BG$7:$BG$1843,BG590,$BW$7:$BW$1843,"&lt;="&amp;BW590),"")</f>
        <v>27936.0923744335</v>
      </c>
      <c r="BI590" s="58" t="n">
        <f aca="false">IF(BH590="",0,MAX(0,MIN(1,(IF(CF590="L1",Parameter!$H$5,IF(CF590="L23",Parameter!$H$6+Parameter!$H$7,Parameter!$H$5+Parameter!$H$6+Parameter!$H$7))-(BH590-BC590))/BC590)))</f>
        <v>1</v>
      </c>
      <c r="BJ590" s="48" t="str">
        <f aca="false">IF(AI590&lt;=0,"",IF(CF590="Aussen","Aussenlager",IF(CF590="-","Nicht im Lift",IF(AO590&gt;=1,"Lift",IF(AO590&lt;=0,"Aussenlager","teilweise")))))</f>
        <v>Lift</v>
      </c>
      <c r="BK590" s="48" t="str">
        <f aca="false">IF(AS590&lt;=0,"",IF(CF590="Aussen","Aussenlager",IF(CF590="-","Nicht im Lift",IF(AY590&gt;=1,"Lift",IF(AY590&lt;=0,"Aussenlager","teilweise")))))</f>
        <v>Lift</v>
      </c>
      <c r="BL590" s="48" t="str">
        <f aca="false">IF(BC590&lt;=0,"",IF(CF590="Aussen","Aussenlager",IF(CF590="-","Nicht im Lift",IF(BI590&gt;=1,"Lift",IF(BI590&lt;=0,"Aussenlager","teilweise")))))</f>
        <v>Lift</v>
      </c>
      <c r="BM590" s="48" t="str">
        <f aca="false">IF(A590="","",IF(BV590=1,"Neu; ","")&amp;IF(AND(BV590=0,BQ590&lt;0),"negativer Bestand (Export "&amp;BQ590&amp;"); ","")&amp;IF(J590&lt;=0,"Kein Verbrauch; ","")&amp;IF(CQ590&gt;0,"Lift "&amp;W590&amp;" lt. Liftbericht (Fach "&amp;X590&amp;" Stk); ",IF(CA590=1,"Gebinde geschätzt ("&amp;T590&amp;"); ",IF(BZ590=1,"Lose – Tablare geschätzt; ","")))&amp;IF(H590&gt;AV590,"Überbestand "&amp;ROUND(H590-AV590,0)&amp;" Stk / CHF "&amp;ROUND((H590-AV590)*G590,0)&amp;"; ","")&amp;IF(AND(CH590=1,CI590&lt;CJ590),"MAX &lt; MB+LG; ","")&amp;IF(AND(CP590&gt;0,CO590*10&gt;CP590),"zu hoch für Tablar; ","")&amp;IF(AND(BV590=0,OR(CH590=1,AA590&lt;&gt;"",U590&lt;&gt;"",V590&lt;&gt;"",AB590&lt;&gt;"")),"manuell übersteuert; ","")&amp;IF(AND(BZ590=0,R590=0),"Gebinde unbekannt / Stellmass fehlt; ","")&amp;IF(AND(BZ590=0,N(V590)&lt;=0,N(Q590)&lt;=0),"Menge pro Gebinde fehlt (Ist = 1 Gebinde); ","")&amp;BU590)</f>
        <v>Kein Verbrauch; Überbestand 69 Stk / CHF 179; </v>
      </c>
      <c r="BN590" s="48"/>
      <c r="BO590" s="48"/>
      <c r="BP590" s="55"/>
      <c r="BQ590" s="50" t="n">
        <v>3</v>
      </c>
      <c r="BR590" s="50" t="n">
        <v>67</v>
      </c>
      <c r="BS590" s="49" t="n">
        <v>7.8</v>
      </c>
      <c r="BT590" s="50" t="n">
        <v>0</v>
      </c>
      <c r="BU590" s="48"/>
      <c r="BV590" s="53" t="n">
        <v>0</v>
      </c>
      <c r="BW590" s="53" t="n">
        <v>590</v>
      </c>
      <c r="BX590" s="48" t="str">
        <f aca="false">IF(U590&lt;&gt;"",UPPER(TRIM(U590)),IF(CA590=1,UPPER(VLOOKUP(T590,Parameter!$I$27:$K$29,2,0)),IF(P590="","LOSE",P590)))</f>
        <v>S21</v>
      </c>
      <c r="BY590" s="50" t="n">
        <f aca="false">IF(BX590="LOSE",1,IF(N(V590)&gt;0,V590,IF(CA590=1,MAX(1,N(VLOOKUP(T590,Parameter!$I$27:$K$29,3,0)),H590,N(N590)),IF(N(Q590)&gt;0,Q590,MAX(1,H590)))))</f>
        <v>100</v>
      </c>
      <c r="BZ590" s="53" t="n">
        <f aca="false">IF(BX590="LOSE",1,0)</f>
        <v>0</v>
      </c>
      <c r="CA590" s="53" t="n">
        <f aca="false">IF(AND(U590="",OR(P590="",P590="LOSE"),T590&lt;&gt;"",N(S590)&lt;=0,ISNUMBER(MATCH(T590,Parameter!$I$27:$I$29,0))),1,0)</f>
        <v>0</v>
      </c>
      <c r="CB590" s="53" t="n">
        <f aca="false">IF(CQ590&gt;0,INDEX(Parameter!$H$5:$H$7,W590)/INDEX(Parameter!$E$5:$E$7,W590),IF(AND(BZ590=0,N(IFERROR(VLOOKUP(BX590,'Gebinde-Kategorie'!$A$5:$N$45,14,0),0))&gt;0),VLOOKUP(BX590,'Gebinde-Kategorie'!$A$5:$N$45,14,0)*10+Parameter!$M$23,Parameter!$M$24))</f>
        <v>155</v>
      </c>
      <c r="CC590" s="48" t="str">
        <f aca="false">IF(AND(Parameter!$B$19="Ja",E590&lt;&gt;"",ISNUMBER(MATCH(E590,Parameter!$I$35:$I$52,0))),VLOOKUP(E590,Parameter!$I$35:$J$52,2,0),IFERROR(VLOOKUP(D590,Parameter!$A$35:$C$64,2,0),"Nein"))</f>
        <v>2+3</v>
      </c>
      <c r="CD590" s="52" t="n">
        <f aca="false">IF(BZ590=0,0,IF(N(S590)&gt;0,S590,IFERROR(VLOOKUP(D590,Parameter!$A$35:$C$64,3,0)+0,0)))</f>
        <v>0</v>
      </c>
      <c r="CE590" s="48" t="n">
        <f aca="false">IF(AA590&lt;&gt;"",AA590,Z590)</f>
        <v>3</v>
      </c>
      <c r="CF590" s="48" t="str">
        <f aca="false">IF(OR(CE590=1,CE590=2,CE590=3),IF(Parameter!$E$27="Ja","LIFT",IF(CE590=1,"L1","L23")),IF(CE590="Aussen","Aussen","-"))</f>
        <v>LIFT</v>
      </c>
      <c r="CG590" s="59" t="n">
        <f aca="false">IF(N(AB590)&gt;0,AB590,0)</f>
        <v>0</v>
      </c>
      <c r="CH590" s="53" t="n">
        <f aca="false">IF(ISNUMBER(AE590),1,0)</f>
        <v>0</v>
      </c>
      <c r="CI590" s="50" t="n">
        <f aca="false">N(AE590)</f>
        <v>0</v>
      </c>
      <c r="CJ590" s="50" t="n">
        <f aca="false">N(M590)+N(N590)</f>
        <v>1</v>
      </c>
      <c r="CK590" s="50" t="n">
        <f aca="false">N(M590)</f>
        <v>0</v>
      </c>
      <c r="CL590" s="50" t="n">
        <f aca="false">N(N590)</f>
        <v>1</v>
      </c>
      <c r="CM590" s="50" t="n">
        <f aca="false">ROUNDUP(H590/BY590,0)</f>
        <v>1</v>
      </c>
      <c r="CN590" s="50" t="n">
        <f aca="false">ROUNDUP(CI590/BY590,0)</f>
        <v>0</v>
      </c>
      <c r="CO590" s="53" t="n">
        <f aca="false">IF(BZ590=1,0,IFERROR(VLOOKUP(BX590,'Gebinde-Kategorie'!$A$5:$N$45,5,0)+0,0))</f>
        <v>8</v>
      </c>
      <c r="CP590" s="53" t="n">
        <f aca="false">IFERROR(IF(OR(CE590=1,CE590=2,CE590=3),N(INDEX(Parameter!$I$5:$I$7,CE590)),0),0)</f>
        <v>0</v>
      </c>
      <c r="CQ590" s="52" t="n">
        <f aca="false">IF(AND(Parameter!$B$21="Ja",ISNUMBER(W590),N(X590)&gt;0),IFERROR(N(INDEX(Parameter!$L$5:$L$7,W590))*INDEX(Parameter!$E$5:$E$7,W590)*X590/SUMIFS($X$7:$X$1843,$W$7:$W$1843,W590),0),0)</f>
        <v>0</v>
      </c>
    </row>
    <row r="591" customFormat="false" ht="15" hidden="false" customHeight="false" outlineLevel="0" collapsed="false">
      <c r="A591" s="48" t="s">
        <v>1240</v>
      </c>
      <c r="B591" s="48" t="s">
        <v>598</v>
      </c>
      <c r="C591" s="48" t="s">
        <v>173</v>
      </c>
      <c r="D591" s="48" t="s">
        <v>193</v>
      </c>
      <c r="E591" s="48"/>
      <c r="F591" s="48" t="s">
        <v>227</v>
      </c>
      <c r="G591" s="49" t="n">
        <v>2.6</v>
      </c>
      <c r="H591" s="50" t="n">
        <f aca="false">MAX(0,IF(AND(Parameter!$B$21="Ja",ISNUMBER(Y591)),Y591,IF(Parameter!$B$20="Jahresanfang 2025 + Export",BR591+BQ591,BQ591)))</f>
        <v>3</v>
      </c>
      <c r="I591" s="50" t="n">
        <f aca="false">H591*G591</f>
        <v>7.8</v>
      </c>
      <c r="J591" s="50" t="n">
        <f aca="false">BT591*Parameter!$B$18</f>
        <v>2</v>
      </c>
      <c r="K591" s="51" t="n">
        <v>9</v>
      </c>
      <c r="L591" s="52" t="n">
        <v>0.222222222222222</v>
      </c>
      <c r="M591" s="50" t="n">
        <v>0</v>
      </c>
      <c r="N591" s="50" t="n">
        <v>10</v>
      </c>
      <c r="O591" s="53" t="n">
        <v>14</v>
      </c>
      <c r="P591" s="48" t="s">
        <v>410</v>
      </c>
      <c r="Q591" s="50" t="n">
        <v>20</v>
      </c>
      <c r="R591" s="53" t="n">
        <f aca="false">IF(BZ591=1,0,IFERROR(VLOOKUP(BX591,'Gebinde-Kategorie'!$A$5:$N$45,13,0)+0,0))</f>
        <v>280</v>
      </c>
      <c r="S591" s="54"/>
      <c r="T591" s="55"/>
      <c r="U591" s="55"/>
      <c r="V591" s="55"/>
      <c r="W591" s="48"/>
      <c r="X591" s="50"/>
      <c r="Y591" s="50"/>
      <c r="Z591" s="48" t="n">
        <f aca="false">IF(A591="","",IF(AND(Parameter!$B$21="Ja",ISNUMBER(W591)),W591,IF(CC591="2+3",IF(ISNUMBER(SEARCH("grosser Artikel",BU591)),2,IFERROR(VLOOKUP(BX591,Parameter!$F$35:$G$64,2,0),2)),IF(OR(CC591="Nein",CC591=""),"-",CC591))))</f>
        <v>3</v>
      </c>
      <c r="AA591" s="55"/>
      <c r="AB591" s="56"/>
      <c r="AC591" s="50" t="n">
        <f aca="false">AV591</f>
        <v>10</v>
      </c>
      <c r="AD591" s="50" t="n">
        <f aca="false">MAX(AV591,H591)</f>
        <v>10</v>
      </c>
      <c r="AE591" s="57"/>
      <c r="AF591" s="50" t="n">
        <f aca="false">IF(LEFT(Cockpit!$C$5,1)="A",H591,IF(Parameter!$E$30="MAX-Bestand",IF(CH591=1,CI591,IF(LEFT(Cockpit!$C$5,1)="B",AL591,MAX(AL591,H591))),ROUNDUP(AJ591,0)))</f>
        <v>3</v>
      </c>
      <c r="AG591" s="50" t="n">
        <f aca="false">IF(BZ591=1,0,ROUNDUP(AF591/BY591,0))</f>
        <v>1</v>
      </c>
      <c r="AH591" s="52" t="n">
        <f aca="false">IF(CQ591&gt;0,CQ591*MAX(1,AF591/X591),IF(BZ591=1,IF(AF591&lt;=0,0,CD591*MAX(1,IF(H591&gt;0,AF591/H591,1))),IF(R591&gt;0,AG591/R591,0))/MAX(0.1,N(Parameter!$M$21)))</f>
        <v>0.00357142857142857</v>
      </c>
      <c r="AI591" s="50" t="n">
        <f aca="false">AH591*CB591</f>
        <v>0.553571428571429</v>
      </c>
      <c r="AJ591" s="51" t="n">
        <f aca="false">IF(LEFT(Cockpit!$C$5,1)="A",H591,IF(CH591=1,(CK591+CI591)/2,IF(LEFT(Cockpit!$C$5,1)="B",(CK591+AL591)/2,MAX((CK591+AL591)/2,H591))))</f>
        <v>3</v>
      </c>
      <c r="AK591" s="50" t="n">
        <f aca="false">AJ591*G591</f>
        <v>7.8</v>
      </c>
      <c r="AL591" s="50" t="n">
        <f aca="false">ROUNDUP(CK591+MAX(CL591,2*(J591/IF(CG591&gt;0,CG591,MAX(0.1,N(Cockpit!$C$6)))-CK591)),0)</f>
        <v>10</v>
      </c>
      <c r="AM591" s="51" t="n">
        <f aca="false">IF(AI591&gt;0,J591/AI591,-1)</f>
        <v>3.61290322580645</v>
      </c>
      <c r="AN591" s="51" t="n">
        <f aca="false">IF(AND(OR(CF591="L1",CF591="L23",CF591="LIFT"),AI591&gt;0),SUMIFS($AI$7:$AI$1843,$CF$7:$CF$1843,CF591,$AM$7:$AM$1843,"&gt;"&amp;AM591)+SUMIFS($AI$7:$AI$1843,$CF$7:$CF$1843,CF591,$AM$7:$AM$1843,AM591,$BW$7:$BW$1843,"&lt;="&amp;BW591),"")</f>
        <v>4826.76694139194</v>
      </c>
      <c r="AO591" s="58" t="n">
        <f aca="false">IF(AN591="",0,MAX(0,MIN(1,(IF(CF591="L1",Parameter!$H$5,IF(CF591="L23",Parameter!$H$6+Parameter!$H$7,Parameter!$H$5+Parameter!$H$6+Parameter!$H$7))-(AN591-AI591))/AI591)))</f>
        <v>1</v>
      </c>
      <c r="AP591" s="50" t="n">
        <f aca="false">IF(LEFT(Cockpit!$I$5,1)="A",H591,IF(Parameter!$E$30="MAX-Bestand",IF(CH591=1,CI591,IF(LEFT(Cockpit!$I$5,1)="B",AV591,MAX(AV591,H591))),ROUNDUP(AT591,0)))</f>
        <v>5</v>
      </c>
      <c r="AQ591" s="50" t="n">
        <f aca="false">IF(BZ591=1,0,ROUNDUP(AP591/BY591,0))</f>
        <v>1</v>
      </c>
      <c r="AR591" s="52" t="n">
        <f aca="false">IF(CQ591&gt;0,CQ591*MAX(1,AP591/X591),IF(BZ591=1,IF(AP591&lt;=0,0,CD591*MAX(1,IF(H591&gt;0,AP591/H591,1))),IF(R591&gt;0,AQ591/R591,0))/MAX(0.1,N(Parameter!$M$21)))</f>
        <v>0.00357142857142857</v>
      </c>
      <c r="AS591" s="50" t="n">
        <f aca="false">AR591*CB591</f>
        <v>0.553571428571429</v>
      </c>
      <c r="AT591" s="51" t="n">
        <f aca="false">IF(LEFT(Cockpit!$I$5,1)="A",H591,IF(CH591=1,(CK591+CI591)/2,IF(LEFT(Cockpit!$I$5,1)="B",(CK591+AV591)/2,MAX((CK591+AV591)/2,H591))))</f>
        <v>5</v>
      </c>
      <c r="AU591" s="50" t="n">
        <f aca="false">AT591*G591</f>
        <v>13</v>
      </c>
      <c r="AV591" s="50" t="n">
        <f aca="false">ROUNDUP(CK591+MAX(CL591,2*(J591/IF(CG591&gt;0,CG591,MAX(0.1,N(Cockpit!$I$6)))-CK591)),0)</f>
        <v>10</v>
      </c>
      <c r="AW591" s="51" t="n">
        <f aca="false">IF(AS591&gt;0,J591/AS591,-1)</f>
        <v>3.61290322580645</v>
      </c>
      <c r="AX591" s="51" t="n">
        <f aca="false">IF(AND(OR(CF591="L1",CF591="L23",CF591="LIFT"),AS591&gt;0),SUMIFS($AS$7:$AS$1843,$CF$7:$CF$1843,CF591,$AW$7:$AW$1843,"&gt;"&amp;AW591)+SUMIFS($AS$7:$AS$1843,$CF$7:$CF$1843,CF591,$AW$7:$AW$1843,AW591,$BW$7:$BW$1843,"&lt;="&amp;BW591),"")</f>
        <v>5404.35393772894</v>
      </c>
      <c r="AY591" s="58" t="n">
        <f aca="false">IF(AX591="",0,MAX(0,MIN(1,(IF(CF591="L1",Parameter!$H$5,IF(CF591="L23",Parameter!$H$6+Parameter!$H$7,Parameter!$H$5+Parameter!$H$6+Parameter!$H$7))-(AX591-AS591))/AS591)))</f>
        <v>1</v>
      </c>
      <c r="AZ591" s="50" t="n">
        <f aca="false">IF(LEFT(Cockpit!$O$5,1)="A",H591,IF(Parameter!$E$30="MAX-Bestand",IF(CH591=1,CI591,IF(LEFT(Cockpit!$O$5,1)="B",BF591,MAX(BF591,H591))),ROUNDUP(BD591,0)))</f>
        <v>5</v>
      </c>
      <c r="BA591" s="50" t="n">
        <f aca="false">IF(BZ591=1,0,ROUNDUP(AZ591/BY591,0))</f>
        <v>1</v>
      </c>
      <c r="BB591" s="52" t="n">
        <f aca="false">IF(CQ591&gt;0,CQ591*MAX(1,AZ591/X591),IF(BZ591=1,IF(AZ591&lt;=0,0,CD591*MAX(1,IF(H591&gt;0,AZ591/H591,1))),IF(R591&gt;0,BA591/R591,0))/MAX(0.1,N(Parameter!$M$21)))</f>
        <v>0.00357142857142857</v>
      </c>
      <c r="BC591" s="50" t="n">
        <f aca="false">BB591*CB591</f>
        <v>0.553571428571429</v>
      </c>
      <c r="BD591" s="51" t="n">
        <f aca="false">IF(LEFT(Cockpit!$O$5,1)="A",H591,IF(CH591=1,(CK591+CI591)/2,IF(LEFT(Cockpit!$O$5,1)="B",(CK591+BF591)/2,MAX((CK591+BF591)/2,H591))))</f>
        <v>5</v>
      </c>
      <c r="BE591" s="50" t="n">
        <f aca="false">BD591*G591</f>
        <v>13</v>
      </c>
      <c r="BF591" s="50" t="n">
        <f aca="false">ROUNDUP(CK591+MAX(CL591,2*(J591/IF(CG591&gt;0,CG591,MAX(0.1,N(Cockpit!$O$6)))-CK591)),0)</f>
        <v>10</v>
      </c>
      <c r="BG591" s="51" t="n">
        <f aca="false">IF(BC591&gt;0,J591/BC591,-1)</f>
        <v>3.61290322580645</v>
      </c>
      <c r="BH591" s="51" t="n">
        <f aca="false">IF(AND(OR(CF591="L1",CF591="L23",CF591="LIFT"),BC591&gt;0),SUMIFS($BC$7:$BC$1843,$CF$7:$CF$1843,CF591,$BG$7:$BG$1843,"&gt;"&amp;BG591)+SUMIFS($BC$7:$BC$1843,$CF$7:$CF$1843,CF591,$BG$7:$BG$1843,BG591,$BW$7:$BW$1843,"&lt;="&amp;BW591),"")</f>
        <v>4418.85073260073</v>
      </c>
      <c r="BI591" s="58" t="n">
        <f aca="false">IF(BH591="",0,MAX(0,MIN(1,(IF(CF591="L1",Parameter!$H$5,IF(CF591="L23",Parameter!$H$6+Parameter!$H$7,Parameter!$H$5+Parameter!$H$6+Parameter!$H$7))-(BH591-BC591))/BC591)))</f>
        <v>1</v>
      </c>
      <c r="BJ591" s="48" t="str">
        <f aca="false">IF(AI591&lt;=0,"",IF(CF591="Aussen","Aussenlager",IF(CF591="-","Nicht im Lift",IF(AO591&gt;=1,"Lift",IF(AO591&lt;=0,"Aussenlager","teilweise")))))</f>
        <v>Lift</v>
      </c>
      <c r="BK591" s="48" t="str">
        <f aca="false">IF(AS591&lt;=0,"",IF(CF591="Aussen","Aussenlager",IF(CF591="-","Nicht im Lift",IF(AY591&gt;=1,"Lift",IF(AY591&lt;=0,"Aussenlager","teilweise")))))</f>
        <v>Lift</v>
      </c>
      <c r="BL591" s="48" t="str">
        <f aca="false">IF(BC591&lt;=0,"",IF(CF591="Aussen","Aussenlager",IF(CF591="-","Nicht im Lift",IF(BI591&gt;=1,"Lift",IF(BI591&lt;=0,"Aussenlager","teilweise")))))</f>
        <v>Lift</v>
      </c>
      <c r="BM591" s="48" t="str">
        <f aca="false">IF(A591="","",IF(BV591=1,"Neu; ","")&amp;IF(AND(BV591=0,BQ591&lt;0),"negativer Bestand (Export "&amp;BQ591&amp;"); ","")&amp;IF(J591&lt;=0,"Kein Verbrauch; ","")&amp;IF(CQ591&gt;0,"Lift "&amp;W591&amp;" lt. Liftbericht (Fach "&amp;X591&amp;" Stk); ",IF(CA591=1,"Gebinde geschätzt ("&amp;T591&amp;"); ",IF(BZ591=1,"Lose – Tablare geschätzt; ","")))&amp;IF(H591&gt;AV591,"Überbestand "&amp;ROUND(H591-AV591,0)&amp;" Stk / CHF "&amp;ROUND((H591-AV591)*G591,0)&amp;"; ","")&amp;IF(AND(CH591=1,CI591&lt;CJ591),"MAX &lt; MB+LG; ","")&amp;IF(AND(CP591&gt;0,CO591*10&gt;CP591),"zu hoch für Tablar; ","")&amp;IF(AND(BV591=0,OR(CH591=1,AA591&lt;&gt;"",U591&lt;&gt;"",V591&lt;&gt;"",AB591&lt;&gt;"")),"manuell übersteuert; ","")&amp;IF(AND(BZ591=0,R591=0),"Gebinde unbekannt / Stellmass fehlt; ","")&amp;IF(AND(BZ591=0,N(V591)&lt;=0,N(Q591)&lt;=0),"Menge pro Gebinde fehlt (Ist = 1 Gebinde); ","")&amp;BU591)</f>
        <v/>
      </c>
      <c r="BN591" s="48"/>
      <c r="BO591" s="48"/>
      <c r="BP591" s="55"/>
      <c r="BQ591" s="50" t="n">
        <v>3</v>
      </c>
      <c r="BR591" s="50" t="n">
        <v>0</v>
      </c>
      <c r="BS591" s="49" t="n">
        <v>7.8</v>
      </c>
      <c r="BT591" s="50" t="n">
        <v>2</v>
      </c>
      <c r="BU591" s="48"/>
      <c r="BV591" s="53" t="n">
        <v>0</v>
      </c>
      <c r="BW591" s="53" t="n">
        <v>591</v>
      </c>
      <c r="BX591" s="48" t="str">
        <f aca="false">IF(U591&lt;&gt;"",UPPER(TRIM(U591)),IF(CA591=1,UPPER(VLOOKUP(T591,Parameter!$I$27:$K$29,2,0)),IF(P591="","LOSE",P591)))</f>
        <v>S21</v>
      </c>
      <c r="BY591" s="50" t="n">
        <f aca="false">IF(BX591="LOSE",1,IF(N(V591)&gt;0,V591,IF(CA591=1,MAX(1,N(VLOOKUP(T591,Parameter!$I$27:$K$29,3,0)),H591,N(N591)),IF(N(Q591)&gt;0,Q591,MAX(1,H591)))))</f>
        <v>20</v>
      </c>
      <c r="BZ591" s="53" t="n">
        <f aca="false">IF(BX591="LOSE",1,0)</f>
        <v>0</v>
      </c>
      <c r="CA591" s="53" t="n">
        <f aca="false">IF(AND(U591="",OR(P591="",P591="LOSE"),T591&lt;&gt;"",N(S591)&lt;=0,ISNUMBER(MATCH(T591,Parameter!$I$27:$I$29,0))),1,0)</f>
        <v>0</v>
      </c>
      <c r="CB591" s="53" t="n">
        <f aca="false">IF(CQ591&gt;0,INDEX(Parameter!$H$5:$H$7,W591)/INDEX(Parameter!$E$5:$E$7,W591),IF(AND(BZ591=0,N(IFERROR(VLOOKUP(BX591,'Gebinde-Kategorie'!$A$5:$N$45,14,0),0))&gt;0),VLOOKUP(BX591,'Gebinde-Kategorie'!$A$5:$N$45,14,0)*10+Parameter!$M$23,Parameter!$M$24))</f>
        <v>155</v>
      </c>
      <c r="CC591" s="48" t="str">
        <f aca="false">IF(AND(Parameter!$B$19="Ja",E591&lt;&gt;"",ISNUMBER(MATCH(E591,Parameter!$I$35:$I$52,0))),VLOOKUP(E591,Parameter!$I$35:$J$52,2,0),IFERROR(VLOOKUP(D591,Parameter!$A$35:$C$64,2,0),"Nein"))</f>
        <v>2+3</v>
      </c>
      <c r="CD591" s="52" t="n">
        <f aca="false">IF(BZ591=0,0,IF(N(S591)&gt;0,S591,IFERROR(VLOOKUP(D591,Parameter!$A$35:$C$64,3,0)+0,0)))</f>
        <v>0</v>
      </c>
      <c r="CE591" s="48" t="n">
        <f aca="false">IF(AA591&lt;&gt;"",AA591,Z591)</f>
        <v>3</v>
      </c>
      <c r="CF591" s="48" t="str">
        <f aca="false">IF(OR(CE591=1,CE591=2,CE591=3),IF(Parameter!$E$27="Ja","LIFT",IF(CE591=1,"L1","L23")),IF(CE591="Aussen","Aussen","-"))</f>
        <v>LIFT</v>
      </c>
      <c r="CG591" s="59" t="n">
        <f aca="false">IF(N(AB591)&gt;0,AB591,0)</f>
        <v>0</v>
      </c>
      <c r="CH591" s="53" t="n">
        <f aca="false">IF(ISNUMBER(AE591),1,0)</f>
        <v>0</v>
      </c>
      <c r="CI591" s="50" t="n">
        <f aca="false">N(AE591)</f>
        <v>0</v>
      </c>
      <c r="CJ591" s="50" t="n">
        <f aca="false">N(M591)+N(N591)</f>
        <v>10</v>
      </c>
      <c r="CK591" s="50" t="n">
        <f aca="false">N(M591)</f>
        <v>0</v>
      </c>
      <c r="CL591" s="50" t="n">
        <f aca="false">N(N591)</f>
        <v>10</v>
      </c>
      <c r="CM591" s="50" t="n">
        <f aca="false">ROUNDUP(H591/BY591,0)</f>
        <v>1</v>
      </c>
      <c r="CN591" s="50" t="n">
        <f aca="false">ROUNDUP(CI591/BY591,0)</f>
        <v>0</v>
      </c>
      <c r="CO591" s="53" t="n">
        <f aca="false">IF(BZ591=1,0,IFERROR(VLOOKUP(BX591,'Gebinde-Kategorie'!$A$5:$N$45,5,0)+0,0))</f>
        <v>8</v>
      </c>
      <c r="CP591" s="53" t="n">
        <f aca="false">IFERROR(IF(OR(CE591=1,CE591=2,CE591=3),N(INDEX(Parameter!$I$5:$I$7,CE591)),0),0)</f>
        <v>0</v>
      </c>
      <c r="CQ591" s="52" t="n">
        <f aca="false">IF(AND(Parameter!$B$21="Ja",ISNUMBER(W591),N(X591)&gt;0),IFERROR(N(INDEX(Parameter!$L$5:$L$7,W591))*INDEX(Parameter!$E$5:$E$7,W591)*X591/SUMIFS($X$7:$X$1843,$W$7:$W$1843,W591),0),0)</f>
        <v>0</v>
      </c>
    </row>
    <row r="592" customFormat="false" ht="15" hidden="false" customHeight="false" outlineLevel="0" collapsed="false">
      <c r="A592" s="48" t="s">
        <v>1241</v>
      </c>
      <c r="B592" s="48" t="s">
        <v>1242</v>
      </c>
      <c r="C592" s="48" t="s">
        <v>173</v>
      </c>
      <c r="D592" s="48" t="s">
        <v>193</v>
      </c>
      <c r="E592" s="48"/>
      <c r="F592" s="48" t="s">
        <v>227</v>
      </c>
      <c r="G592" s="49" t="n">
        <v>7.76</v>
      </c>
      <c r="H592" s="50" t="n">
        <f aca="false">MAX(0,IF(AND(Parameter!$B$21="Ja",ISNUMBER(Y592)),Y592,IF(Parameter!$B$20="Jahresanfang 2025 + Export",BR592+BQ592,BQ592)))</f>
        <v>3</v>
      </c>
      <c r="I592" s="50" t="n">
        <f aca="false">H592*G592</f>
        <v>23.28</v>
      </c>
      <c r="J592" s="50" t="n">
        <f aca="false">BT592*Parameter!$B$18</f>
        <v>0</v>
      </c>
      <c r="K592" s="51" t="n">
        <v>2.5</v>
      </c>
      <c r="L592" s="52" t="n">
        <v>0</v>
      </c>
      <c r="M592" s="50" t="n">
        <v>0</v>
      </c>
      <c r="N592" s="50" t="n">
        <v>1</v>
      </c>
      <c r="O592" s="53" t="n">
        <v>14</v>
      </c>
      <c r="P592" s="48" t="s">
        <v>485</v>
      </c>
      <c r="Q592" s="50" t="n">
        <v>30</v>
      </c>
      <c r="R592" s="53" t="n">
        <f aca="false">IF(BZ592=1,0,IFERROR(VLOOKUP(BX592,'Gebinde-Kategorie'!$A$5:$N$45,13,0)+0,0))</f>
        <v>52</v>
      </c>
      <c r="S592" s="54"/>
      <c r="T592" s="55"/>
      <c r="U592" s="55"/>
      <c r="V592" s="55"/>
      <c r="W592" s="48"/>
      <c r="X592" s="50"/>
      <c r="Y592" s="50"/>
      <c r="Z592" s="48" t="n">
        <f aca="false">IF(A592="","",IF(AND(Parameter!$B$21="Ja",ISNUMBER(W592)),W592,IF(CC592="2+3",IF(ISNUMBER(SEARCH("grosser Artikel",BU592)),2,IFERROR(VLOOKUP(BX592,Parameter!$F$35:$G$64,2,0),2)),IF(OR(CC592="Nein",CC592=""),"-",CC592))))</f>
        <v>3</v>
      </c>
      <c r="AA592" s="55"/>
      <c r="AB592" s="56"/>
      <c r="AC592" s="50" t="n">
        <f aca="false">AV592</f>
        <v>1</v>
      </c>
      <c r="AD592" s="50" t="n">
        <f aca="false">MAX(AV592,H592)</f>
        <v>3</v>
      </c>
      <c r="AE592" s="57"/>
      <c r="AF592" s="50" t="n">
        <f aca="false">IF(LEFT(Cockpit!$C$5,1)="A",H592,IF(Parameter!$E$30="MAX-Bestand",IF(CH592=1,CI592,IF(LEFT(Cockpit!$C$5,1)="B",AL592,MAX(AL592,H592))),ROUNDUP(AJ592,0)))</f>
        <v>3</v>
      </c>
      <c r="AG592" s="50" t="n">
        <f aca="false">IF(BZ592=1,0,ROUNDUP(AF592/BY592,0))</f>
        <v>1</v>
      </c>
      <c r="AH592" s="52" t="n">
        <f aca="false">IF(CQ592&gt;0,CQ592*MAX(1,AF592/X592),IF(BZ592=1,IF(AF592&lt;=0,0,CD592*MAX(1,IF(H592&gt;0,AF592/H592,1))),IF(R592&gt;0,AG592/R592,0))/MAX(0.1,N(Parameter!$M$21)))</f>
        <v>0.0192307692307692</v>
      </c>
      <c r="AI592" s="50" t="n">
        <f aca="false">AH592*CB592</f>
        <v>2.98076923076923</v>
      </c>
      <c r="AJ592" s="51" t="n">
        <f aca="false">IF(LEFT(Cockpit!$C$5,1)="A",H592,IF(CH592=1,(CK592+CI592)/2,IF(LEFT(Cockpit!$C$5,1)="B",(CK592+AL592)/2,MAX((CK592+AL592)/2,H592))))</f>
        <v>3</v>
      </c>
      <c r="AK592" s="50" t="n">
        <f aca="false">AJ592*G592</f>
        <v>23.28</v>
      </c>
      <c r="AL592" s="50" t="n">
        <f aca="false">ROUNDUP(CK592+MAX(CL592,2*(J592/IF(CG592&gt;0,CG592,MAX(0.1,N(Cockpit!$C$6)))-CK592)),0)</f>
        <v>1</v>
      </c>
      <c r="AM592" s="51" t="n">
        <f aca="false">IF(AI592&gt;0,J592/AI592,-1)</f>
        <v>0</v>
      </c>
      <c r="AN592" s="51" t="n">
        <f aca="false">IF(AND(OR(CF592="L1",CF592="L23",CF592="LIFT"),AI592&gt;0),SUMIFS($AI$7:$AI$1843,$CF$7:$CF$1843,CF592,$AM$7:$AM$1843,"&gt;"&amp;AM592)+SUMIFS($AI$7:$AI$1843,$CF$7:$CF$1843,CF592,$AM$7:$AM$1843,AM592,$BW$7:$BW$1843,"&lt;="&amp;BW592),"")</f>
        <v>28510.6389044101</v>
      </c>
      <c r="AO592" s="58" t="n">
        <f aca="false">IF(AN592="",0,MAX(0,MIN(1,(IF(CF592="L1",Parameter!$H$5,IF(CF592="L23",Parameter!$H$6+Parameter!$H$7,Parameter!$H$5+Parameter!$H$6+Parameter!$H$7))-(AN592-AI592))/AI592)))</f>
        <v>1</v>
      </c>
      <c r="AP592" s="50" t="n">
        <f aca="false">IF(LEFT(Cockpit!$I$5,1)="A",H592,IF(Parameter!$E$30="MAX-Bestand",IF(CH592=1,CI592,IF(LEFT(Cockpit!$I$5,1)="B",AV592,MAX(AV592,H592))),ROUNDUP(AT592,0)))</f>
        <v>3</v>
      </c>
      <c r="AQ592" s="50" t="n">
        <f aca="false">IF(BZ592=1,0,ROUNDUP(AP592/BY592,0))</f>
        <v>1</v>
      </c>
      <c r="AR592" s="52" t="n">
        <f aca="false">IF(CQ592&gt;0,CQ592*MAX(1,AP592/X592),IF(BZ592=1,IF(AP592&lt;=0,0,CD592*MAX(1,IF(H592&gt;0,AP592/H592,1))),IF(R592&gt;0,AQ592/R592,0))/MAX(0.1,N(Parameter!$M$21)))</f>
        <v>0.0192307692307692</v>
      </c>
      <c r="AS592" s="50" t="n">
        <f aca="false">AR592*CB592</f>
        <v>2.98076923076923</v>
      </c>
      <c r="AT592" s="51" t="n">
        <f aca="false">IF(LEFT(Cockpit!$I$5,1)="A",H592,IF(CH592=1,(CK592+CI592)/2,IF(LEFT(Cockpit!$I$5,1)="B",(CK592+AV592)/2,MAX((CK592+AV592)/2,H592))))</f>
        <v>3</v>
      </c>
      <c r="AU592" s="50" t="n">
        <f aca="false">AT592*G592</f>
        <v>23.28</v>
      </c>
      <c r="AV592" s="50" t="n">
        <f aca="false">ROUNDUP(CK592+MAX(CL592,2*(J592/IF(CG592&gt;0,CG592,MAX(0.1,N(Cockpit!$I$6)))-CK592)),0)</f>
        <v>1</v>
      </c>
      <c r="AW592" s="51" t="n">
        <f aca="false">IF(AS592&gt;0,J592/AS592,-1)</f>
        <v>0</v>
      </c>
      <c r="AX592" s="51" t="n">
        <f aca="false">IF(AND(OR(CF592="L1",CF592="L23",CF592="LIFT"),AS592&gt;0),SUMIFS($AS$7:$AS$1843,$CF$7:$CF$1843,CF592,$AW$7:$AW$1843,"&gt;"&amp;AW592)+SUMIFS($AS$7:$AS$1843,$CF$7:$CF$1843,CF592,$AW$7:$AW$1843,AW592,$BW$7:$BW$1843,"&lt;="&amp;BW592),"")</f>
        <v>33863.7875457875</v>
      </c>
      <c r="AY592" s="58" t="n">
        <f aca="false">IF(AX592="",0,MAX(0,MIN(1,(IF(CF592="L1",Parameter!$H$5,IF(CF592="L23",Parameter!$H$6+Parameter!$H$7,Parameter!$H$5+Parameter!$H$6+Parameter!$H$7))-(AX592-AS592))/AS592)))</f>
        <v>1</v>
      </c>
      <c r="AZ592" s="50" t="n">
        <f aca="false">IF(LEFT(Cockpit!$O$5,1)="A",H592,IF(Parameter!$E$30="MAX-Bestand",IF(CH592=1,CI592,IF(LEFT(Cockpit!$O$5,1)="B",BF592,MAX(BF592,H592))),ROUNDUP(BD592,0)))</f>
        <v>1</v>
      </c>
      <c r="BA592" s="50" t="n">
        <f aca="false">IF(BZ592=1,0,ROUNDUP(AZ592/BY592,0))</f>
        <v>1</v>
      </c>
      <c r="BB592" s="52" t="n">
        <f aca="false">IF(CQ592&gt;0,CQ592*MAX(1,AZ592/X592),IF(BZ592=1,IF(AZ592&lt;=0,0,CD592*MAX(1,IF(H592&gt;0,AZ592/H592,1))),IF(R592&gt;0,BA592/R592,0))/MAX(0.1,N(Parameter!$M$21)))</f>
        <v>0.0192307692307692</v>
      </c>
      <c r="BC592" s="50" t="n">
        <f aca="false">BB592*CB592</f>
        <v>2.98076923076923</v>
      </c>
      <c r="BD592" s="51" t="n">
        <f aca="false">IF(LEFT(Cockpit!$O$5,1)="A",H592,IF(CH592=1,(CK592+CI592)/2,IF(LEFT(Cockpit!$O$5,1)="B",(CK592+BF592)/2,MAX((CK592+BF592)/2,H592))))</f>
        <v>0.5</v>
      </c>
      <c r="BE592" s="50" t="n">
        <f aca="false">BD592*G592</f>
        <v>3.88</v>
      </c>
      <c r="BF592" s="50" t="n">
        <f aca="false">ROUNDUP(CK592+MAX(CL592,2*(J592/IF(CG592&gt;0,CG592,MAX(0.1,N(Cockpit!$O$6)))-CK592)),0)</f>
        <v>1</v>
      </c>
      <c r="BG592" s="51" t="n">
        <f aca="false">IF(BC592&gt;0,J592/BC592,-1)</f>
        <v>0</v>
      </c>
      <c r="BH592" s="51" t="n">
        <f aca="false">IF(AND(OR(CF592="L1",CF592="L23",CF592="LIFT"),BC592&gt;0),SUMIFS($BC$7:$BC$1843,$CF$7:$CF$1843,CF592,$BG$7:$BG$1843,"&gt;"&amp;BG592)+SUMIFS($BC$7:$BC$1843,$CF$7:$CF$1843,CF592,$BG$7:$BG$1843,BG592,$BW$7:$BW$1843,"&lt;="&amp;BW592),"")</f>
        <v>27939.0731436642</v>
      </c>
      <c r="BI592" s="58" t="n">
        <f aca="false">IF(BH592="",0,MAX(0,MIN(1,(IF(CF592="L1",Parameter!$H$5,IF(CF592="L23",Parameter!$H$6+Parameter!$H$7,Parameter!$H$5+Parameter!$H$6+Parameter!$H$7))-(BH592-BC592))/BC592)))</f>
        <v>1</v>
      </c>
      <c r="BJ592" s="48" t="str">
        <f aca="false">IF(AI592&lt;=0,"",IF(CF592="Aussen","Aussenlager",IF(CF592="-","Nicht im Lift",IF(AO592&gt;=1,"Lift",IF(AO592&lt;=0,"Aussenlager","teilweise")))))</f>
        <v>Lift</v>
      </c>
      <c r="BK592" s="48" t="str">
        <f aca="false">IF(AS592&lt;=0,"",IF(CF592="Aussen","Aussenlager",IF(CF592="-","Nicht im Lift",IF(AY592&gt;=1,"Lift",IF(AY592&lt;=0,"Aussenlager","teilweise")))))</f>
        <v>Lift</v>
      </c>
      <c r="BL592" s="48" t="str">
        <f aca="false">IF(BC592&lt;=0,"",IF(CF592="Aussen","Aussenlager",IF(CF592="-","Nicht im Lift",IF(BI592&gt;=1,"Lift",IF(BI592&lt;=0,"Aussenlager","teilweise")))))</f>
        <v>Lift</v>
      </c>
      <c r="BM592" s="48" t="str">
        <f aca="false">IF(A592="","",IF(BV592=1,"Neu; ","")&amp;IF(AND(BV592=0,BQ592&lt;0),"negativer Bestand (Export "&amp;BQ592&amp;"); ","")&amp;IF(J592&lt;=0,"Kein Verbrauch; ","")&amp;IF(CQ592&gt;0,"Lift "&amp;W592&amp;" lt. Liftbericht (Fach "&amp;X592&amp;" Stk); ",IF(CA592=1,"Gebinde geschätzt ("&amp;T592&amp;"); ",IF(BZ592=1,"Lose – Tablare geschätzt; ","")))&amp;IF(H592&gt;AV592,"Überbestand "&amp;ROUND(H592-AV592,0)&amp;" Stk / CHF "&amp;ROUND((H592-AV592)*G592,0)&amp;"; ","")&amp;IF(AND(CH592=1,CI592&lt;CJ592),"MAX &lt; MB+LG; ","")&amp;IF(AND(CP592&gt;0,CO592*10&gt;CP592),"zu hoch für Tablar; ","")&amp;IF(AND(BV592=0,OR(CH592=1,AA592&lt;&gt;"",U592&lt;&gt;"",V592&lt;&gt;"",AB592&lt;&gt;"")),"manuell übersteuert; ","")&amp;IF(AND(BZ592=0,R592=0),"Gebinde unbekannt / Stellmass fehlt; ","")&amp;IF(AND(BZ592=0,N(V592)&lt;=0,N(Q592)&lt;=0),"Menge pro Gebinde fehlt (Ist = 1 Gebinde); ","")&amp;BU592)</f>
        <v>Kein Verbrauch; Überbestand 2 Stk / CHF 16; </v>
      </c>
      <c r="BN592" s="48"/>
      <c r="BO592" s="48"/>
      <c r="BP592" s="55"/>
      <c r="BQ592" s="50" t="n">
        <v>1</v>
      </c>
      <c r="BR592" s="50" t="n">
        <v>2</v>
      </c>
      <c r="BS592" s="49" t="n">
        <v>7.76</v>
      </c>
      <c r="BT592" s="50" t="n">
        <v>0</v>
      </c>
      <c r="BU592" s="48"/>
      <c r="BV592" s="53" t="n">
        <v>0</v>
      </c>
      <c r="BW592" s="53" t="n">
        <v>592</v>
      </c>
      <c r="BX592" s="48" t="str">
        <f aca="false">IF(U592&lt;&gt;"",UPPER(TRIM(U592)),IF(CA592=1,UPPER(VLOOKUP(T592,Parameter!$I$27:$K$29,2,0)),IF(P592="","LOSE",P592)))</f>
        <v>S33</v>
      </c>
      <c r="BY592" s="50" t="n">
        <f aca="false">IF(BX592="LOSE",1,IF(N(V592)&gt;0,V592,IF(CA592=1,MAX(1,N(VLOOKUP(T592,Parameter!$I$27:$K$29,3,0)),H592,N(N592)),IF(N(Q592)&gt;0,Q592,MAX(1,H592)))))</f>
        <v>30</v>
      </c>
      <c r="BZ592" s="53" t="n">
        <f aca="false">IF(BX592="LOSE",1,0)</f>
        <v>0</v>
      </c>
      <c r="CA592" s="53" t="n">
        <f aca="false">IF(AND(U592="",OR(P592="",P592="LOSE"),T592&lt;&gt;"",N(S592)&lt;=0,ISNUMBER(MATCH(T592,Parameter!$I$27:$I$29,0))),1,0)</f>
        <v>0</v>
      </c>
      <c r="CB592" s="53" t="n">
        <f aca="false">IF(CQ592&gt;0,INDEX(Parameter!$H$5:$H$7,W592)/INDEX(Parameter!$E$5:$E$7,W592),IF(AND(BZ592=0,N(IFERROR(VLOOKUP(BX592,'Gebinde-Kategorie'!$A$5:$N$45,14,0),0))&gt;0),VLOOKUP(BX592,'Gebinde-Kategorie'!$A$5:$N$45,14,0)*10+Parameter!$M$23,Parameter!$M$24))</f>
        <v>155</v>
      </c>
      <c r="CC592" s="48" t="str">
        <f aca="false">IF(AND(Parameter!$B$19="Ja",E592&lt;&gt;"",ISNUMBER(MATCH(E592,Parameter!$I$35:$I$52,0))),VLOOKUP(E592,Parameter!$I$35:$J$52,2,0),IFERROR(VLOOKUP(D592,Parameter!$A$35:$C$64,2,0),"Nein"))</f>
        <v>2+3</v>
      </c>
      <c r="CD592" s="52" t="n">
        <f aca="false">IF(BZ592=0,0,IF(N(S592)&gt;0,S592,IFERROR(VLOOKUP(D592,Parameter!$A$35:$C$64,3,0)+0,0)))</f>
        <v>0</v>
      </c>
      <c r="CE592" s="48" t="n">
        <f aca="false">IF(AA592&lt;&gt;"",AA592,Z592)</f>
        <v>3</v>
      </c>
      <c r="CF592" s="48" t="str">
        <f aca="false">IF(OR(CE592=1,CE592=2,CE592=3),IF(Parameter!$E$27="Ja","LIFT",IF(CE592=1,"L1","L23")),IF(CE592="Aussen","Aussen","-"))</f>
        <v>LIFT</v>
      </c>
      <c r="CG592" s="59" t="n">
        <f aca="false">IF(N(AB592)&gt;0,AB592,0)</f>
        <v>0</v>
      </c>
      <c r="CH592" s="53" t="n">
        <f aca="false">IF(ISNUMBER(AE592),1,0)</f>
        <v>0</v>
      </c>
      <c r="CI592" s="50" t="n">
        <f aca="false">N(AE592)</f>
        <v>0</v>
      </c>
      <c r="CJ592" s="50" t="n">
        <f aca="false">N(M592)+N(N592)</f>
        <v>1</v>
      </c>
      <c r="CK592" s="50" t="n">
        <f aca="false">N(M592)</f>
        <v>0</v>
      </c>
      <c r="CL592" s="50" t="n">
        <f aca="false">N(N592)</f>
        <v>1</v>
      </c>
      <c r="CM592" s="50" t="n">
        <f aca="false">ROUNDUP(H592/BY592,0)</f>
        <v>1</v>
      </c>
      <c r="CN592" s="50" t="n">
        <f aca="false">ROUNDUP(CI592/BY592,0)</f>
        <v>0</v>
      </c>
      <c r="CO592" s="53" t="n">
        <f aca="false">IF(BZ592=1,0,IFERROR(VLOOKUP(BX592,'Gebinde-Kategorie'!$A$5:$N$45,5,0)+0,0))</f>
        <v>8</v>
      </c>
      <c r="CP592" s="53" t="n">
        <f aca="false">IFERROR(IF(OR(CE592=1,CE592=2,CE592=3),N(INDEX(Parameter!$I$5:$I$7,CE592)),0),0)</f>
        <v>0</v>
      </c>
      <c r="CQ592" s="52" t="n">
        <f aca="false">IF(AND(Parameter!$B$21="Ja",ISNUMBER(W592),N(X592)&gt;0),IFERROR(N(INDEX(Parameter!$L$5:$L$7,W592))*INDEX(Parameter!$E$5:$E$7,W592)*X592/SUMIFS($X$7:$X$1843,$W$7:$W$1843,W592),0),0)</f>
        <v>0</v>
      </c>
    </row>
    <row r="593" customFormat="false" ht="15" hidden="false" customHeight="false" outlineLevel="0" collapsed="false">
      <c r="A593" s="48" t="s">
        <v>1243</v>
      </c>
      <c r="B593" s="48" t="s">
        <v>414</v>
      </c>
      <c r="C593" s="48" t="s">
        <v>173</v>
      </c>
      <c r="D593" s="48" t="s">
        <v>193</v>
      </c>
      <c r="E593" s="48" t="s">
        <v>194</v>
      </c>
      <c r="F593" s="48" t="s">
        <v>227</v>
      </c>
      <c r="G593" s="49" t="n">
        <v>1.23</v>
      </c>
      <c r="H593" s="50" t="n">
        <f aca="false">MAX(0,IF(AND(Parameter!$B$21="Ja",ISNUMBER(Y593)),Y593,IF(Parameter!$B$20="Jahresanfang 2025 + Export",BR593+BQ593,BQ593)))</f>
        <v>266</v>
      </c>
      <c r="I593" s="50" t="n">
        <f aca="false">H593*G593</f>
        <v>327.18</v>
      </c>
      <c r="J593" s="50" t="n">
        <f aca="false">BT593*Parameter!$B$18</f>
        <v>0</v>
      </c>
      <c r="K593" s="51" t="n">
        <v>263</v>
      </c>
      <c r="L593" s="52" t="n">
        <v>0</v>
      </c>
      <c r="M593" s="50" t="n">
        <v>0</v>
      </c>
      <c r="N593" s="50" t="n">
        <v>1</v>
      </c>
      <c r="O593" s="53" t="n">
        <v>21</v>
      </c>
      <c r="P593" s="48" t="s">
        <v>242</v>
      </c>
      <c r="Q593" s="50" t="n">
        <v>286</v>
      </c>
      <c r="R593" s="53" t="n">
        <f aca="false">IF(BZ593=1,0,IFERROR(VLOOKUP(BX593,'Gebinde-Kategorie'!$A$5:$N$45,13,0)+0,0))</f>
        <v>26</v>
      </c>
      <c r="S593" s="54"/>
      <c r="T593" s="55"/>
      <c r="U593" s="55"/>
      <c r="V593" s="55"/>
      <c r="W593" s="48"/>
      <c r="X593" s="50"/>
      <c r="Y593" s="50"/>
      <c r="Z593" s="48" t="n">
        <f aca="false">IF(A593="","",IF(AND(Parameter!$B$21="Ja",ISNUMBER(W593)),W593,IF(CC593="2+3",IF(ISNUMBER(SEARCH("grosser Artikel",BU593)),2,IFERROR(VLOOKUP(BX593,Parameter!$F$35:$G$64,2,0),2)),IF(OR(CC593="Nein",CC593=""),"-",CC593))))</f>
        <v>3</v>
      </c>
      <c r="AA593" s="55"/>
      <c r="AB593" s="56"/>
      <c r="AC593" s="50" t="n">
        <f aca="false">AV593</f>
        <v>1</v>
      </c>
      <c r="AD593" s="50" t="n">
        <f aca="false">MAX(AV593,H593)</f>
        <v>266</v>
      </c>
      <c r="AE593" s="57"/>
      <c r="AF593" s="50" t="n">
        <f aca="false">IF(LEFT(Cockpit!$C$5,1)="A",H593,IF(Parameter!$E$30="MAX-Bestand",IF(CH593=1,CI593,IF(LEFT(Cockpit!$C$5,1)="B",AL593,MAX(AL593,H593))),ROUNDUP(AJ593,0)))</f>
        <v>266</v>
      </c>
      <c r="AG593" s="50" t="n">
        <f aca="false">IF(BZ593=1,0,ROUNDUP(AF593/BY593,0))</f>
        <v>1</v>
      </c>
      <c r="AH593" s="52" t="n">
        <f aca="false">IF(CQ593&gt;0,CQ593*MAX(1,AF593/X593),IF(BZ593=1,IF(AF593&lt;=0,0,CD593*MAX(1,IF(H593&gt;0,AF593/H593,1))),IF(R593&gt;0,AG593/R593,0))/MAX(0.1,N(Parameter!$M$21)))</f>
        <v>0.0384615384615385</v>
      </c>
      <c r="AI593" s="50" t="n">
        <f aca="false">AH593*CB593</f>
        <v>9.42307692307692</v>
      </c>
      <c r="AJ593" s="51" t="n">
        <f aca="false">IF(LEFT(Cockpit!$C$5,1)="A",H593,IF(CH593=1,(CK593+CI593)/2,IF(LEFT(Cockpit!$C$5,1)="B",(CK593+AL593)/2,MAX((CK593+AL593)/2,H593))))</f>
        <v>266</v>
      </c>
      <c r="AK593" s="50" t="n">
        <f aca="false">AJ593*G593</f>
        <v>327.18</v>
      </c>
      <c r="AL593" s="50" t="n">
        <f aca="false">ROUNDUP(CK593+MAX(CL593,2*(J593/IF(CG593&gt;0,CG593,MAX(0.1,N(Cockpit!$C$6)))-CK593)),0)</f>
        <v>1</v>
      </c>
      <c r="AM593" s="51" t="n">
        <f aca="false">IF(AI593&gt;0,J593/AI593,-1)</f>
        <v>0</v>
      </c>
      <c r="AN593" s="51" t="n">
        <f aca="false">IF(AND(OR(CF593="L1",CF593="L23",CF593="LIFT"),AI593&gt;0),SUMIFS($AI$7:$AI$1843,$CF$7:$CF$1843,CF593,$AM$7:$AM$1843,"&gt;"&amp;AM593)+SUMIFS($AI$7:$AI$1843,$CF$7:$CF$1843,CF593,$AM$7:$AM$1843,AM593,$BW$7:$BW$1843,"&lt;="&amp;BW593),"")</f>
        <v>28520.0619813332</v>
      </c>
      <c r="AO593" s="58" t="n">
        <f aca="false">IF(AN593="",0,MAX(0,MIN(1,(IF(CF593="L1",Parameter!$H$5,IF(CF593="L23",Parameter!$H$6+Parameter!$H$7,Parameter!$H$5+Parameter!$H$6+Parameter!$H$7))-(AN593-AI593))/AI593)))</f>
        <v>1</v>
      </c>
      <c r="AP593" s="50" t="n">
        <f aca="false">IF(LEFT(Cockpit!$I$5,1)="A",H593,IF(Parameter!$E$30="MAX-Bestand",IF(CH593=1,CI593,IF(LEFT(Cockpit!$I$5,1)="B",AV593,MAX(AV593,H593))),ROUNDUP(AT593,0)))</f>
        <v>266</v>
      </c>
      <c r="AQ593" s="50" t="n">
        <f aca="false">IF(BZ593=1,0,ROUNDUP(AP593/BY593,0))</f>
        <v>1</v>
      </c>
      <c r="AR593" s="52" t="n">
        <f aca="false">IF(CQ593&gt;0,CQ593*MAX(1,AP593/X593),IF(BZ593=1,IF(AP593&lt;=0,0,CD593*MAX(1,IF(H593&gt;0,AP593/H593,1))),IF(R593&gt;0,AQ593/R593,0))/MAX(0.1,N(Parameter!$M$21)))</f>
        <v>0.0384615384615385</v>
      </c>
      <c r="AS593" s="50" t="n">
        <f aca="false">AR593*CB593</f>
        <v>9.42307692307692</v>
      </c>
      <c r="AT593" s="51" t="n">
        <f aca="false">IF(LEFT(Cockpit!$I$5,1)="A",H593,IF(CH593=1,(CK593+CI593)/2,IF(LEFT(Cockpit!$I$5,1)="B",(CK593+AV593)/2,MAX((CK593+AV593)/2,H593))))</f>
        <v>266</v>
      </c>
      <c r="AU593" s="50" t="n">
        <f aca="false">AT593*G593</f>
        <v>327.18</v>
      </c>
      <c r="AV593" s="50" t="n">
        <f aca="false">ROUNDUP(CK593+MAX(CL593,2*(J593/IF(CG593&gt;0,CG593,MAX(0.1,N(Cockpit!$I$6)))-CK593)),0)</f>
        <v>1</v>
      </c>
      <c r="AW593" s="51" t="n">
        <f aca="false">IF(AS593&gt;0,J593/AS593,-1)</f>
        <v>0</v>
      </c>
      <c r="AX593" s="51" t="n">
        <f aca="false">IF(AND(OR(CF593="L1",CF593="L23",CF593="LIFT"),AS593&gt;0),SUMIFS($AS$7:$AS$1843,$CF$7:$CF$1843,CF593,$AW$7:$AW$1843,"&gt;"&amp;AW593)+SUMIFS($AS$7:$AS$1843,$CF$7:$CF$1843,CF593,$AW$7:$AW$1843,AW593,$BW$7:$BW$1843,"&lt;="&amp;BW593),"")</f>
        <v>33873.2106227106</v>
      </c>
      <c r="AY593" s="58" t="n">
        <f aca="false">IF(AX593="",0,MAX(0,MIN(1,(IF(CF593="L1",Parameter!$H$5,IF(CF593="L23",Parameter!$H$6+Parameter!$H$7,Parameter!$H$5+Parameter!$H$6+Parameter!$H$7))-(AX593-AS593))/AS593)))</f>
        <v>1</v>
      </c>
      <c r="AZ593" s="50" t="n">
        <f aca="false">IF(LEFT(Cockpit!$O$5,1)="A",H593,IF(Parameter!$E$30="MAX-Bestand",IF(CH593=1,CI593,IF(LEFT(Cockpit!$O$5,1)="B",BF593,MAX(BF593,H593))),ROUNDUP(BD593,0)))</f>
        <v>1</v>
      </c>
      <c r="BA593" s="50" t="n">
        <f aca="false">IF(BZ593=1,0,ROUNDUP(AZ593/BY593,0))</f>
        <v>1</v>
      </c>
      <c r="BB593" s="52" t="n">
        <f aca="false">IF(CQ593&gt;0,CQ593*MAX(1,AZ593/X593),IF(BZ593=1,IF(AZ593&lt;=0,0,CD593*MAX(1,IF(H593&gt;0,AZ593/H593,1))),IF(R593&gt;0,BA593/R593,0))/MAX(0.1,N(Parameter!$M$21)))</f>
        <v>0.0384615384615385</v>
      </c>
      <c r="BC593" s="50" t="n">
        <f aca="false">BB593*CB593</f>
        <v>9.42307692307692</v>
      </c>
      <c r="BD593" s="51" t="n">
        <f aca="false">IF(LEFT(Cockpit!$O$5,1)="A",H593,IF(CH593=1,(CK593+CI593)/2,IF(LEFT(Cockpit!$O$5,1)="B",(CK593+BF593)/2,MAX((CK593+BF593)/2,H593))))</f>
        <v>0.5</v>
      </c>
      <c r="BE593" s="50" t="n">
        <f aca="false">BD593*G593</f>
        <v>0.615</v>
      </c>
      <c r="BF593" s="50" t="n">
        <f aca="false">ROUNDUP(CK593+MAX(CL593,2*(J593/IF(CG593&gt;0,CG593,MAX(0.1,N(Cockpit!$O$6)))-CK593)),0)</f>
        <v>1</v>
      </c>
      <c r="BG593" s="51" t="n">
        <f aca="false">IF(BC593&gt;0,J593/BC593,-1)</f>
        <v>0</v>
      </c>
      <c r="BH593" s="51" t="n">
        <f aca="false">IF(AND(OR(CF593="L1",CF593="L23",CF593="LIFT"),BC593&gt;0),SUMIFS($BC$7:$BC$1843,$CF$7:$CF$1843,CF593,$BG$7:$BG$1843,"&gt;"&amp;BG593)+SUMIFS($BC$7:$BC$1843,$CF$7:$CF$1843,CF593,$BG$7:$BG$1843,BG593,$BW$7:$BW$1843,"&lt;="&amp;BW593),"")</f>
        <v>27948.4962205873</v>
      </c>
      <c r="BI593" s="58" t="n">
        <f aca="false">IF(BH593="",0,MAX(0,MIN(1,(IF(CF593="L1",Parameter!$H$5,IF(CF593="L23",Parameter!$H$6+Parameter!$H$7,Parameter!$H$5+Parameter!$H$6+Parameter!$H$7))-(BH593-BC593))/BC593)))</f>
        <v>1</v>
      </c>
      <c r="BJ593" s="48" t="str">
        <f aca="false">IF(AI593&lt;=0,"",IF(CF593="Aussen","Aussenlager",IF(CF593="-","Nicht im Lift",IF(AO593&gt;=1,"Lift",IF(AO593&lt;=0,"Aussenlager","teilweise")))))</f>
        <v>Lift</v>
      </c>
      <c r="BK593" s="48" t="str">
        <f aca="false">IF(AS593&lt;=0,"",IF(CF593="Aussen","Aussenlager",IF(CF593="-","Nicht im Lift",IF(AY593&gt;=1,"Lift",IF(AY593&lt;=0,"Aussenlager","teilweise")))))</f>
        <v>Lift</v>
      </c>
      <c r="BL593" s="48" t="str">
        <f aca="false">IF(BC593&lt;=0,"",IF(CF593="Aussen","Aussenlager",IF(CF593="-","Nicht im Lift",IF(BI593&gt;=1,"Lift",IF(BI593&lt;=0,"Aussenlager","teilweise")))))</f>
        <v>Lift</v>
      </c>
      <c r="BM593" s="48" t="str">
        <f aca="false">IF(A593="","",IF(BV593=1,"Neu; ","")&amp;IF(AND(BV593=0,BQ593&lt;0),"negativer Bestand (Export "&amp;BQ593&amp;"); ","")&amp;IF(J593&lt;=0,"Kein Verbrauch; ","")&amp;IF(CQ593&gt;0,"Lift "&amp;W593&amp;" lt. Liftbericht (Fach "&amp;X593&amp;" Stk); ",IF(CA593=1,"Gebinde geschätzt ("&amp;T593&amp;"); ",IF(BZ593=1,"Lose – Tablare geschätzt; ","")))&amp;IF(H593&gt;AV593,"Überbestand "&amp;ROUND(H593-AV593,0)&amp;" Stk / CHF "&amp;ROUND((H593-AV593)*G593,0)&amp;"; ","")&amp;IF(AND(CH593=1,CI593&lt;CJ593),"MAX &lt; MB+LG; ","")&amp;IF(AND(CP593&gt;0,CO593*10&gt;CP593),"zu hoch für Tablar; ","")&amp;IF(AND(BV593=0,OR(CH593=1,AA593&lt;&gt;"",U593&lt;&gt;"",V593&lt;&gt;"",AB593&lt;&gt;"")),"manuell übersteuert; ","")&amp;IF(AND(BZ593=0,R593=0),"Gebinde unbekannt / Stellmass fehlt; ","")&amp;IF(AND(BZ593=0,N(V593)&lt;=0,N(Q593)&lt;=0),"Menge pro Gebinde fehlt (Ist = 1 Gebinde); ","")&amp;BU593)</f>
        <v>Kein Verbrauch; Überbestand 265 Stk / CHF 326; Überbestand</v>
      </c>
      <c r="BN593" s="48"/>
      <c r="BO593" s="48"/>
      <c r="BP593" s="55"/>
      <c r="BQ593" s="50" t="n">
        <v>6</v>
      </c>
      <c r="BR593" s="50" t="n">
        <v>260</v>
      </c>
      <c r="BS593" s="49" t="n">
        <v>7.38</v>
      </c>
      <c r="BT593" s="50" t="n">
        <v>0</v>
      </c>
      <c r="BU593" s="48" t="s">
        <v>401</v>
      </c>
      <c r="BV593" s="53" t="n">
        <v>0</v>
      </c>
      <c r="BW593" s="53" t="n">
        <v>593</v>
      </c>
      <c r="BX593" s="48" t="str">
        <f aca="false">IF(U593&lt;&gt;"",UPPER(TRIM(U593)),IF(CA593=1,UPPER(VLOOKUP(T593,Parameter!$I$27:$K$29,2,0)),IF(P593="","LOSE",P593)))</f>
        <v>S52</v>
      </c>
      <c r="BY593" s="50" t="n">
        <f aca="false">IF(BX593="LOSE",1,IF(N(V593)&gt;0,V593,IF(CA593=1,MAX(1,N(VLOOKUP(T593,Parameter!$I$27:$K$29,3,0)),H593,N(N593)),IF(N(Q593)&gt;0,Q593,MAX(1,H593)))))</f>
        <v>286</v>
      </c>
      <c r="BZ593" s="53" t="n">
        <f aca="false">IF(BX593="LOSE",1,0)</f>
        <v>0</v>
      </c>
      <c r="CA593" s="53" t="n">
        <f aca="false">IF(AND(U593="",OR(P593="",P593="LOSE"),T593&lt;&gt;"",N(S593)&lt;=0,ISNUMBER(MATCH(T593,Parameter!$I$27:$I$29,0))),1,0)</f>
        <v>0</v>
      </c>
      <c r="CB593" s="53" t="n">
        <f aca="false">IF(CQ593&gt;0,INDEX(Parameter!$H$5:$H$7,W593)/INDEX(Parameter!$E$5:$E$7,W593),IF(AND(BZ593=0,N(IFERROR(VLOOKUP(BX593,'Gebinde-Kategorie'!$A$5:$N$45,14,0),0))&gt;0),VLOOKUP(BX593,'Gebinde-Kategorie'!$A$5:$N$45,14,0)*10+Parameter!$M$23,Parameter!$M$24))</f>
        <v>245</v>
      </c>
      <c r="CC593" s="48" t="str">
        <f aca="false">IF(AND(Parameter!$B$19="Ja",E593&lt;&gt;"",ISNUMBER(MATCH(E593,Parameter!$I$35:$I$52,0))),VLOOKUP(E593,Parameter!$I$35:$J$52,2,0),IFERROR(VLOOKUP(D593,Parameter!$A$35:$C$64,2,0),"Nein"))</f>
        <v>2+3</v>
      </c>
      <c r="CD593" s="52" t="n">
        <f aca="false">IF(BZ593=0,0,IF(N(S593)&gt;0,S593,IFERROR(VLOOKUP(D593,Parameter!$A$35:$C$64,3,0)+0,0)))</f>
        <v>0</v>
      </c>
      <c r="CE593" s="48" t="n">
        <f aca="false">IF(AA593&lt;&gt;"",AA593,Z593)</f>
        <v>3</v>
      </c>
      <c r="CF593" s="48" t="str">
        <f aca="false">IF(OR(CE593=1,CE593=2,CE593=3),IF(Parameter!$E$27="Ja","LIFT",IF(CE593=1,"L1","L23")),IF(CE593="Aussen","Aussen","-"))</f>
        <v>LIFT</v>
      </c>
      <c r="CG593" s="59" t="n">
        <f aca="false">IF(N(AB593)&gt;0,AB593,0)</f>
        <v>0</v>
      </c>
      <c r="CH593" s="53" t="n">
        <f aca="false">IF(ISNUMBER(AE593),1,0)</f>
        <v>0</v>
      </c>
      <c r="CI593" s="50" t="n">
        <f aca="false">N(AE593)</f>
        <v>0</v>
      </c>
      <c r="CJ593" s="50" t="n">
        <f aca="false">N(M593)+N(N593)</f>
        <v>1</v>
      </c>
      <c r="CK593" s="50" t="n">
        <f aca="false">N(M593)</f>
        <v>0</v>
      </c>
      <c r="CL593" s="50" t="n">
        <f aca="false">N(N593)</f>
        <v>1</v>
      </c>
      <c r="CM593" s="50" t="n">
        <f aca="false">ROUNDUP(H593/BY593,0)</f>
        <v>1</v>
      </c>
      <c r="CN593" s="50" t="n">
        <f aca="false">ROUNDUP(CI593/BY593,0)</f>
        <v>0</v>
      </c>
      <c r="CO593" s="53" t="n">
        <f aca="false">IF(BZ593=1,0,IFERROR(VLOOKUP(BX593,'Gebinde-Kategorie'!$A$5:$N$45,5,0)+0,0))</f>
        <v>21</v>
      </c>
      <c r="CP593" s="53" t="n">
        <f aca="false">IFERROR(IF(OR(CE593=1,CE593=2,CE593=3),N(INDEX(Parameter!$I$5:$I$7,CE593)),0),0)</f>
        <v>0</v>
      </c>
      <c r="CQ593" s="52" t="n">
        <f aca="false">IF(AND(Parameter!$B$21="Ja",ISNUMBER(W593),N(X593)&gt;0),IFERROR(N(INDEX(Parameter!$L$5:$L$7,W593))*INDEX(Parameter!$E$5:$E$7,W593)*X593/SUMIFS($X$7:$X$1843,$W$7:$W$1843,W593),0),0)</f>
        <v>0</v>
      </c>
    </row>
    <row r="594" customFormat="false" ht="15" hidden="false" customHeight="false" outlineLevel="0" collapsed="false">
      <c r="A594" s="48" t="s">
        <v>1244</v>
      </c>
      <c r="B594" s="48" t="s">
        <v>1245</v>
      </c>
      <c r="C594" s="48" t="s">
        <v>173</v>
      </c>
      <c r="D594" s="48" t="s">
        <v>193</v>
      </c>
      <c r="E594" s="48" t="s">
        <v>194</v>
      </c>
      <c r="F594" s="48" t="s">
        <v>227</v>
      </c>
      <c r="G594" s="49" t="n">
        <v>0.01</v>
      </c>
      <c r="H594" s="50" t="n">
        <f aca="false">MAX(0,IF(AND(Parameter!$B$21="Ja",ISNUMBER(Y594)),Y594,IF(Parameter!$B$20="Jahresanfang 2025 + Export",BR594+BQ594,BQ594)))</f>
        <v>1954</v>
      </c>
      <c r="I594" s="50" t="n">
        <f aca="false">H594*G594</f>
        <v>19.54</v>
      </c>
      <c r="J594" s="50" t="n">
        <f aca="false">BT594*Parameter!$B$18</f>
        <v>1359</v>
      </c>
      <c r="K594" s="51" t="n">
        <v>1235</v>
      </c>
      <c r="L594" s="52" t="n">
        <v>1.1004048582996</v>
      </c>
      <c r="M594" s="50" t="n">
        <v>79</v>
      </c>
      <c r="N594" s="50" t="n">
        <v>1000</v>
      </c>
      <c r="O594" s="53" t="n">
        <v>21</v>
      </c>
      <c r="P594" s="48" t="s">
        <v>430</v>
      </c>
      <c r="Q594" s="50" t="n">
        <v>326</v>
      </c>
      <c r="R594" s="53" t="n">
        <f aca="false">IF(BZ594=1,0,IFERROR(VLOOKUP(BX594,'Gebinde-Kategorie'!$A$5:$N$45,13,0)+0,0))</f>
        <v>104</v>
      </c>
      <c r="S594" s="54"/>
      <c r="T594" s="55"/>
      <c r="U594" s="55"/>
      <c r="V594" s="55"/>
      <c r="W594" s="48"/>
      <c r="X594" s="50"/>
      <c r="Y594" s="50"/>
      <c r="Z594" s="48" t="n">
        <f aca="false">IF(A594="","",IF(AND(Parameter!$B$21="Ja",ISNUMBER(W594)),W594,IF(CC594="2+3",IF(ISNUMBER(SEARCH("grosser Artikel",BU594)),2,IFERROR(VLOOKUP(BX594,Parameter!$F$35:$G$64,2,0),2)),IF(OR(CC594="Nein",CC594=""),"-",CC594))))</f>
        <v>3</v>
      </c>
      <c r="AA594" s="55"/>
      <c r="AB594" s="56"/>
      <c r="AC594" s="50" t="n">
        <f aca="false">AV594</f>
        <v>1079</v>
      </c>
      <c r="AD594" s="50" t="n">
        <f aca="false">MAX(AV594,H594)</f>
        <v>1954</v>
      </c>
      <c r="AE594" s="57"/>
      <c r="AF594" s="50" t="n">
        <f aca="false">IF(LEFT(Cockpit!$C$5,1)="A",H594,IF(Parameter!$E$30="MAX-Bestand",IF(CH594=1,CI594,IF(LEFT(Cockpit!$C$5,1)="B",AL594,MAX(AL594,H594))),ROUNDUP(AJ594,0)))</f>
        <v>1954</v>
      </c>
      <c r="AG594" s="50" t="n">
        <f aca="false">IF(BZ594=1,0,ROUNDUP(AF594/BY594,0))</f>
        <v>6</v>
      </c>
      <c r="AH594" s="52" t="n">
        <f aca="false">IF(CQ594&gt;0,CQ594*MAX(1,AF594/X594),IF(BZ594=1,IF(AF594&lt;=0,0,CD594*MAX(1,IF(H594&gt;0,AF594/H594,1))),IF(R594&gt;0,AG594/R594,0))/MAX(0.1,N(Parameter!$M$21)))</f>
        <v>0.0576923076923077</v>
      </c>
      <c r="AI594" s="50" t="n">
        <f aca="false">AH594*CB594</f>
        <v>8.94230769230769</v>
      </c>
      <c r="AJ594" s="51" t="n">
        <f aca="false">IF(LEFT(Cockpit!$C$5,1)="A",H594,IF(CH594=1,(CK594+CI594)/2,IF(LEFT(Cockpit!$C$5,1)="B",(CK594+AL594)/2,MAX((CK594+AL594)/2,H594))))</f>
        <v>1954</v>
      </c>
      <c r="AK594" s="50" t="n">
        <f aca="false">AJ594*G594</f>
        <v>19.54</v>
      </c>
      <c r="AL594" s="50" t="n">
        <f aca="false">ROUNDUP(CK594+MAX(CL594,2*(J594/IF(CG594&gt;0,CG594,MAX(0.1,N(Cockpit!$C$6)))-CK594)),0)</f>
        <v>1079</v>
      </c>
      <c r="AM594" s="51" t="n">
        <f aca="false">IF(AI594&gt;0,J594/AI594,-1)</f>
        <v>151.974193548387</v>
      </c>
      <c r="AN594" s="51" t="n">
        <f aca="false">IF(AND(OR(CF594="L1",CF594="L23",CF594="LIFT"),AI594&gt;0),SUMIFS($AI$7:$AI$1843,$CF$7:$CF$1843,CF594,$AM$7:$AM$1843,"&gt;"&amp;AM594)+SUMIFS($AI$7:$AI$1843,$CF$7:$CF$1843,CF594,$AM$7:$AM$1843,AM594,$BW$7:$BW$1843,"&lt;="&amp;BW594),"")</f>
        <v>466.126831501832</v>
      </c>
      <c r="AO594" s="58" t="n">
        <f aca="false">IF(AN594="",0,MAX(0,MIN(1,(IF(CF594="L1",Parameter!$H$5,IF(CF594="L23",Parameter!$H$6+Parameter!$H$7,Parameter!$H$5+Parameter!$H$6+Parameter!$H$7))-(AN594-AI594))/AI594)))</f>
        <v>1</v>
      </c>
      <c r="AP594" s="50" t="n">
        <f aca="false">IF(LEFT(Cockpit!$I$5,1)="A",H594,IF(Parameter!$E$30="MAX-Bestand",IF(CH594=1,CI594,IF(LEFT(Cockpit!$I$5,1)="B",AV594,MAX(AV594,H594))),ROUNDUP(AT594,0)))</f>
        <v>1954</v>
      </c>
      <c r="AQ594" s="50" t="n">
        <f aca="false">IF(BZ594=1,0,ROUNDUP(AP594/BY594,0))</f>
        <v>6</v>
      </c>
      <c r="AR594" s="52" t="n">
        <f aca="false">IF(CQ594&gt;0,CQ594*MAX(1,AP594/X594),IF(BZ594=1,IF(AP594&lt;=0,0,CD594*MAX(1,IF(H594&gt;0,AP594/H594,1))),IF(R594&gt;0,AQ594/R594,0))/MAX(0.1,N(Parameter!$M$21)))</f>
        <v>0.0576923076923077</v>
      </c>
      <c r="AS594" s="50" t="n">
        <f aca="false">AR594*CB594</f>
        <v>8.94230769230769</v>
      </c>
      <c r="AT594" s="51" t="n">
        <f aca="false">IF(LEFT(Cockpit!$I$5,1)="A",H594,IF(CH594=1,(CK594+CI594)/2,IF(LEFT(Cockpit!$I$5,1)="B",(CK594+AV594)/2,MAX((CK594+AV594)/2,H594))))</f>
        <v>1954</v>
      </c>
      <c r="AU594" s="50" t="n">
        <f aca="false">AT594*G594</f>
        <v>19.54</v>
      </c>
      <c r="AV594" s="50" t="n">
        <f aca="false">ROUNDUP(CK594+MAX(CL594,2*(J594/IF(CG594&gt;0,CG594,MAX(0.1,N(Cockpit!$I$6)))-CK594)),0)</f>
        <v>1079</v>
      </c>
      <c r="AW594" s="51" t="n">
        <f aca="false">IF(AS594&gt;0,J594/AS594,-1)</f>
        <v>151.974193548387</v>
      </c>
      <c r="AX594" s="51" t="n">
        <f aca="false">IF(AND(OR(CF594="L1",CF594="L23",CF594="LIFT"),AS594&gt;0),SUMIFS($AS$7:$AS$1843,$CF$7:$CF$1843,CF594,$AW$7:$AW$1843,"&gt;"&amp;AW594)+SUMIFS($AS$7:$AS$1843,$CF$7:$CF$1843,CF594,$AW$7:$AW$1843,AW594,$BW$7:$BW$1843,"&lt;="&amp;BW594),"")</f>
        <v>583.763736263736</v>
      </c>
      <c r="AY594" s="58" t="n">
        <f aca="false">IF(AX594="",0,MAX(0,MIN(1,(IF(CF594="L1",Parameter!$H$5,IF(CF594="L23",Parameter!$H$6+Parameter!$H$7,Parameter!$H$5+Parameter!$H$6+Parameter!$H$7))-(AX594-AS594))/AS594)))</f>
        <v>1</v>
      </c>
      <c r="AZ594" s="50" t="n">
        <f aca="false">IF(LEFT(Cockpit!$O$5,1)="A",H594,IF(Parameter!$E$30="MAX-Bestand",IF(CH594=1,CI594,IF(LEFT(Cockpit!$O$5,1)="B",BF594,MAX(BF594,H594))),ROUNDUP(BD594,0)))</f>
        <v>579</v>
      </c>
      <c r="BA594" s="50" t="n">
        <f aca="false">IF(BZ594=1,0,ROUNDUP(AZ594/BY594,0))</f>
        <v>2</v>
      </c>
      <c r="BB594" s="52" t="n">
        <f aca="false">IF(CQ594&gt;0,CQ594*MAX(1,AZ594/X594),IF(BZ594=1,IF(AZ594&lt;=0,0,CD594*MAX(1,IF(H594&gt;0,AZ594/H594,1))),IF(R594&gt;0,BA594/R594,0))/MAX(0.1,N(Parameter!$M$21)))</f>
        <v>0.0192307692307692</v>
      </c>
      <c r="BC594" s="50" t="n">
        <f aca="false">BB594*CB594</f>
        <v>2.98076923076923</v>
      </c>
      <c r="BD594" s="51" t="n">
        <f aca="false">IF(LEFT(Cockpit!$O$5,1)="A",H594,IF(CH594=1,(CK594+CI594)/2,IF(LEFT(Cockpit!$O$5,1)="B",(CK594+BF594)/2,MAX((CK594+BF594)/2,H594))))</f>
        <v>579</v>
      </c>
      <c r="BE594" s="50" t="n">
        <f aca="false">BD594*G594</f>
        <v>5.79</v>
      </c>
      <c r="BF594" s="50" t="n">
        <f aca="false">ROUNDUP(CK594+MAX(CL594,2*(J594/IF(CG594&gt;0,CG594,MAX(0.1,N(Cockpit!$O$6)))-CK594)),0)</f>
        <v>1079</v>
      </c>
      <c r="BG594" s="51" t="n">
        <f aca="false">IF(BC594&gt;0,J594/BC594,-1)</f>
        <v>455.922580645161</v>
      </c>
      <c r="BH594" s="51" t="n">
        <f aca="false">IF(AND(OR(CF594="L1",CF594="L23",CF594="LIFT"),BC594&gt;0),SUMIFS($BC$7:$BC$1843,$CF$7:$CF$1843,CF594,$BG$7:$BG$1843,"&gt;"&amp;BG594)+SUMIFS($BC$7:$BC$1843,$CF$7:$CF$1843,CF594,$BG$7:$BG$1843,BG594,$BW$7:$BW$1843,"&lt;="&amp;BW594),"")</f>
        <v>132.908882783883</v>
      </c>
      <c r="BI594" s="58" t="n">
        <f aca="false">IF(BH594="",0,MAX(0,MIN(1,(IF(CF594="L1",Parameter!$H$5,IF(CF594="L23",Parameter!$H$6+Parameter!$H$7,Parameter!$H$5+Parameter!$H$6+Parameter!$H$7))-(BH594-BC594))/BC594)))</f>
        <v>1</v>
      </c>
      <c r="BJ594" s="48" t="str">
        <f aca="false">IF(AI594&lt;=0,"",IF(CF594="Aussen","Aussenlager",IF(CF594="-","Nicht im Lift",IF(AO594&gt;=1,"Lift",IF(AO594&lt;=0,"Aussenlager","teilweise")))))</f>
        <v>Lift</v>
      </c>
      <c r="BK594" s="48" t="str">
        <f aca="false">IF(AS594&lt;=0,"",IF(CF594="Aussen","Aussenlager",IF(CF594="-","Nicht im Lift",IF(AY594&gt;=1,"Lift",IF(AY594&lt;=0,"Aussenlager","teilweise")))))</f>
        <v>Lift</v>
      </c>
      <c r="BL594" s="48" t="str">
        <f aca="false">IF(BC594&lt;=0,"",IF(CF594="Aussen","Aussenlager",IF(CF594="-","Nicht im Lift",IF(BI594&gt;=1,"Lift",IF(BI594&lt;=0,"Aussenlager","teilweise")))))</f>
        <v>Lift</v>
      </c>
      <c r="BM594" s="48" t="str">
        <f aca="false">IF(A594="","",IF(BV594=1,"Neu; ","")&amp;IF(AND(BV594=0,BQ594&lt;0),"negativer Bestand (Export "&amp;BQ594&amp;"); ","")&amp;IF(J594&lt;=0,"Kein Verbrauch; ","")&amp;IF(CQ594&gt;0,"Lift "&amp;W594&amp;" lt. Liftbericht (Fach "&amp;X594&amp;" Stk); ",IF(CA594=1,"Gebinde geschätzt ("&amp;T594&amp;"); ",IF(BZ594=1,"Lose – Tablare geschätzt; ","")))&amp;IF(H594&gt;AV594,"Überbestand "&amp;ROUND(H594-AV594,0)&amp;" Stk / CHF "&amp;ROUND((H594-AV594)*G594,0)&amp;"; ","")&amp;IF(AND(CH594=1,CI594&lt;CJ594),"MAX &lt; MB+LG; ","")&amp;IF(AND(CP594&gt;0,CO594*10&gt;CP594),"zu hoch für Tablar; ","")&amp;IF(AND(BV594=0,OR(CH594=1,AA594&lt;&gt;"",U594&lt;&gt;"",V594&lt;&gt;"",AB594&lt;&gt;"")),"manuell übersteuert; ","")&amp;IF(AND(BZ594=0,R594=0),"Gebinde unbekannt / Stellmass fehlt; ","")&amp;IF(AND(BZ594=0,N(V594)&lt;=0,N(Q594)&lt;=0),"Menge pro Gebinde fehlt (Ist = 1 Gebinde); ","")&amp;BU594)</f>
        <v>Überbestand 875 Stk / CHF 9; </v>
      </c>
      <c r="BN594" s="48"/>
      <c r="BO594" s="48"/>
      <c r="BP594" s="55"/>
      <c r="BQ594" s="50" t="n">
        <v>738</v>
      </c>
      <c r="BR594" s="50" t="n">
        <v>1216</v>
      </c>
      <c r="BS594" s="49" t="n">
        <v>7.37999999999999</v>
      </c>
      <c r="BT594" s="50" t="n">
        <v>1359</v>
      </c>
      <c r="BU594" s="48"/>
      <c r="BV594" s="53" t="n">
        <v>0</v>
      </c>
      <c r="BW594" s="53" t="n">
        <v>594</v>
      </c>
      <c r="BX594" s="48" t="str">
        <f aca="false">IF(U594&lt;&gt;"",UPPER(TRIM(U594)),IF(CA594=1,UPPER(VLOOKUP(T594,Parameter!$I$27:$K$29,2,0)),IF(P594="","LOSE",P594)))</f>
        <v>S32</v>
      </c>
      <c r="BY594" s="50" t="n">
        <f aca="false">IF(BX594="LOSE",1,IF(N(V594)&gt;0,V594,IF(CA594=1,MAX(1,N(VLOOKUP(T594,Parameter!$I$27:$K$29,3,0)),H594,N(N594)),IF(N(Q594)&gt;0,Q594,MAX(1,H594)))))</f>
        <v>326</v>
      </c>
      <c r="BZ594" s="53" t="n">
        <f aca="false">IF(BX594="LOSE",1,0)</f>
        <v>0</v>
      </c>
      <c r="CA594" s="53" t="n">
        <f aca="false">IF(AND(U594="",OR(P594="",P594="LOSE"),T594&lt;&gt;"",N(S594)&lt;=0,ISNUMBER(MATCH(T594,Parameter!$I$27:$I$29,0))),1,0)</f>
        <v>0</v>
      </c>
      <c r="CB594" s="53" t="n">
        <f aca="false">IF(CQ594&gt;0,INDEX(Parameter!$H$5:$H$7,W594)/INDEX(Parameter!$E$5:$E$7,W594),IF(AND(BZ594=0,N(IFERROR(VLOOKUP(BX594,'Gebinde-Kategorie'!$A$5:$N$45,14,0),0))&gt;0),VLOOKUP(BX594,'Gebinde-Kategorie'!$A$5:$N$45,14,0)*10+Parameter!$M$23,Parameter!$M$24))</f>
        <v>155</v>
      </c>
      <c r="CC594" s="48" t="str">
        <f aca="false">IF(AND(Parameter!$B$19="Ja",E594&lt;&gt;"",ISNUMBER(MATCH(E594,Parameter!$I$35:$I$52,0))),VLOOKUP(E594,Parameter!$I$35:$J$52,2,0),IFERROR(VLOOKUP(D594,Parameter!$A$35:$C$64,2,0),"Nein"))</f>
        <v>2+3</v>
      </c>
      <c r="CD594" s="52" t="n">
        <f aca="false">IF(BZ594=0,0,IF(N(S594)&gt;0,S594,IFERROR(VLOOKUP(D594,Parameter!$A$35:$C$64,3,0)+0,0)))</f>
        <v>0</v>
      </c>
      <c r="CE594" s="48" t="n">
        <f aca="false">IF(AA594&lt;&gt;"",AA594,Z594)</f>
        <v>3</v>
      </c>
      <c r="CF594" s="48" t="str">
        <f aca="false">IF(OR(CE594=1,CE594=2,CE594=3),IF(Parameter!$E$27="Ja","LIFT",IF(CE594=1,"L1","L23")),IF(CE594="Aussen","Aussen","-"))</f>
        <v>LIFT</v>
      </c>
      <c r="CG594" s="59" t="n">
        <f aca="false">IF(N(AB594)&gt;0,AB594,0)</f>
        <v>0</v>
      </c>
      <c r="CH594" s="53" t="n">
        <f aca="false">IF(ISNUMBER(AE594),1,0)</f>
        <v>0</v>
      </c>
      <c r="CI594" s="50" t="n">
        <f aca="false">N(AE594)</f>
        <v>0</v>
      </c>
      <c r="CJ594" s="50" t="n">
        <f aca="false">N(M594)+N(N594)</f>
        <v>1079</v>
      </c>
      <c r="CK594" s="50" t="n">
        <f aca="false">N(M594)</f>
        <v>79</v>
      </c>
      <c r="CL594" s="50" t="n">
        <f aca="false">N(N594)</f>
        <v>1000</v>
      </c>
      <c r="CM594" s="50" t="n">
        <f aca="false">ROUNDUP(H594/BY594,0)</f>
        <v>6</v>
      </c>
      <c r="CN594" s="50" t="n">
        <f aca="false">ROUNDUP(CI594/BY594,0)</f>
        <v>0</v>
      </c>
      <c r="CO594" s="53" t="n">
        <f aca="false">IF(BZ594=1,0,IFERROR(VLOOKUP(BX594,'Gebinde-Kategorie'!$A$5:$N$45,5,0)+0,0))</f>
        <v>8</v>
      </c>
      <c r="CP594" s="53" t="n">
        <f aca="false">IFERROR(IF(OR(CE594=1,CE594=2,CE594=3),N(INDEX(Parameter!$I$5:$I$7,CE594)),0),0)</f>
        <v>0</v>
      </c>
      <c r="CQ594" s="52" t="n">
        <f aca="false">IF(AND(Parameter!$B$21="Ja",ISNUMBER(W594),N(X594)&gt;0),IFERROR(N(INDEX(Parameter!$L$5:$L$7,W594))*INDEX(Parameter!$E$5:$E$7,W594)*X594/SUMIFS($X$7:$X$1843,$W$7:$W$1843,W594),0),0)</f>
        <v>0</v>
      </c>
    </row>
    <row r="595" customFormat="false" ht="15" hidden="false" customHeight="false" outlineLevel="0" collapsed="false">
      <c r="A595" s="48" t="s">
        <v>1246</v>
      </c>
      <c r="B595" s="48" t="s">
        <v>1247</v>
      </c>
      <c r="C595" s="48" t="s">
        <v>173</v>
      </c>
      <c r="D595" s="48" t="s">
        <v>193</v>
      </c>
      <c r="E595" s="48" t="s">
        <v>194</v>
      </c>
      <c r="F595" s="48" t="s">
        <v>227</v>
      </c>
      <c r="G595" s="49" t="n">
        <v>0.17</v>
      </c>
      <c r="H595" s="50" t="n">
        <f aca="false">MAX(0,IF(AND(Parameter!$B$21="Ja",ISNUMBER(Y595)),Y595,IF(Parameter!$B$20="Jahresanfang 2025 + Export",BR595+BQ595,BQ595)))</f>
        <v>711</v>
      </c>
      <c r="I595" s="50" t="n">
        <f aca="false">H595*G595</f>
        <v>120.87</v>
      </c>
      <c r="J595" s="50" t="n">
        <f aca="false">BT595*Parameter!$B$18</f>
        <v>1680</v>
      </c>
      <c r="K595" s="51" t="n">
        <v>832</v>
      </c>
      <c r="L595" s="52" t="n">
        <v>2.01923076923077</v>
      </c>
      <c r="M595" s="50" t="n">
        <v>65</v>
      </c>
      <c r="N595" s="50" t="n">
        <v>2000</v>
      </c>
      <c r="O595" s="53" t="n">
        <v>14</v>
      </c>
      <c r="P595" s="48" t="s">
        <v>311</v>
      </c>
      <c r="Q595" s="50" t="n">
        <v>2303</v>
      </c>
      <c r="R595" s="53" t="n">
        <f aca="false">IF(BZ595=1,0,IFERROR(VLOOKUP(BX595,'Gebinde-Kategorie'!$A$5:$N$45,13,0)+0,0))</f>
        <v>26</v>
      </c>
      <c r="S595" s="54"/>
      <c r="T595" s="55"/>
      <c r="U595" s="55"/>
      <c r="V595" s="55"/>
      <c r="W595" s="48"/>
      <c r="X595" s="50"/>
      <c r="Y595" s="50"/>
      <c r="Z595" s="48" t="n">
        <f aca="false">IF(A595="","",IF(AND(Parameter!$B$21="Ja",ISNUMBER(W595)),W595,IF(CC595="2+3",IF(ISNUMBER(SEARCH("grosser Artikel",BU595)),2,IFERROR(VLOOKUP(BX595,Parameter!$F$35:$G$64,2,0),2)),IF(OR(CC595="Nein",CC595=""),"-",CC595))))</f>
        <v>3</v>
      </c>
      <c r="AA595" s="55"/>
      <c r="AB595" s="56"/>
      <c r="AC595" s="50" t="n">
        <f aca="false">AV595</f>
        <v>2065</v>
      </c>
      <c r="AD595" s="50" t="n">
        <f aca="false">MAX(AV595,H595)</f>
        <v>2065</v>
      </c>
      <c r="AE595" s="57"/>
      <c r="AF595" s="50" t="n">
        <f aca="false">IF(LEFT(Cockpit!$C$5,1)="A",H595,IF(Parameter!$E$30="MAX-Bestand",IF(CH595=1,CI595,IF(LEFT(Cockpit!$C$5,1)="B",AL595,MAX(AL595,H595))),ROUNDUP(AJ595,0)))</f>
        <v>711</v>
      </c>
      <c r="AG595" s="50" t="n">
        <f aca="false">IF(BZ595=1,0,ROUNDUP(AF595/BY595,0))</f>
        <v>1</v>
      </c>
      <c r="AH595" s="52" t="n">
        <f aca="false">IF(CQ595&gt;0,CQ595*MAX(1,AF595/X595),IF(BZ595=1,IF(AF595&lt;=0,0,CD595*MAX(1,IF(H595&gt;0,AF595/H595,1))),IF(R595&gt;0,AG595/R595,0))/MAX(0.1,N(Parameter!$M$21)))</f>
        <v>0.0384615384615385</v>
      </c>
      <c r="AI595" s="50" t="n">
        <f aca="false">AH595*CB595</f>
        <v>5.96153846153846</v>
      </c>
      <c r="AJ595" s="51" t="n">
        <f aca="false">IF(LEFT(Cockpit!$C$5,1)="A",H595,IF(CH595=1,(CK595+CI595)/2,IF(LEFT(Cockpit!$C$5,1)="B",(CK595+AL595)/2,MAX((CK595+AL595)/2,H595))))</f>
        <v>711</v>
      </c>
      <c r="AK595" s="50" t="n">
        <f aca="false">AJ595*G595</f>
        <v>120.87</v>
      </c>
      <c r="AL595" s="50" t="n">
        <f aca="false">ROUNDUP(CK595+MAX(CL595,2*(J595/IF(CG595&gt;0,CG595,MAX(0.1,N(Cockpit!$C$6)))-CK595)),0)</f>
        <v>2065</v>
      </c>
      <c r="AM595" s="51" t="n">
        <f aca="false">IF(AI595&gt;0,J595/AI595,-1)</f>
        <v>281.806451612903</v>
      </c>
      <c r="AN595" s="51" t="n">
        <f aca="false">IF(AND(OR(CF595="L1",CF595="L23",CF595="LIFT"),AI595&gt;0),SUMIFS($AI$7:$AI$1843,$CF$7:$CF$1843,CF595,$AM$7:$AM$1843,"&gt;"&amp;AM595)+SUMIFS($AI$7:$AI$1843,$CF$7:$CF$1843,CF595,$AM$7:$AM$1843,AM595,$BW$7:$BW$1843,"&lt;="&amp;BW595),"")</f>
        <v>270.356227106227</v>
      </c>
      <c r="AO595" s="58" t="n">
        <f aca="false">IF(AN595="",0,MAX(0,MIN(1,(IF(CF595="L1",Parameter!$H$5,IF(CF595="L23",Parameter!$H$6+Parameter!$H$7,Parameter!$H$5+Parameter!$H$6+Parameter!$H$7))-(AN595-AI595))/AI595)))</f>
        <v>1</v>
      </c>
      <c r="AP595" s="50" t="n">
        <f aca="false">IF(LEFT(Cockpit!$I$5,1)="A",H595,IF(Parameter!$E$30="MAX-Bestand",IF(CH595=1,CI595,IF(LEFT(Cockpit!$I$5,1)="B",AV595,MAX(AV595,H595))),ROUNDUP(AT595,0)))</f>
        <v>1065</v>
      </c>
      <c r="AQ595" s="50" t="n">
        <f aca="false">IF(BZ595=1,0,ROUNDUP(AP595/BY595,0))</f>
        <v>1</v>
      </c>
      <c r="AR595" s="52" t="n">
        <f aca="false">IF(CQ595&gt;0,CQ595*MAX(1,AP595/X595),IF(BZ595=1,IF(AP595&lt;=0,0,CD595*MAX(1,IF(H595&gt;0,AP595/H595,1))),IF(R595&gt;0,AQ595/R595,0))/MAX(0.1,N(Parameter!$M$21)))</f>
        <v>0.0384615384615385</v>
      </c>
      <c r="AS595" s="50" t="n">
        <f aca="false">AR595*CB595</f>
        <v>5.96153846153846</v>
      </c>
      <c r="AT595" s="51" t="n">
        <f aca="false">IF(LEFT(Cockpit!$I$5,1)="A",H595,IF(CH595=1,(CK595+CI595)/2,IF(LEFT(Cockpit!$I$5,1)="B",(CK595+AV595)/2,MAX((CK595+AV595)/2,H595))))</f>
        <v>1065</v>
      </c>
      <c r="AU595" s="50" t="n">
        <f aca="false">AT595*G595</f>
        <v>181.05</v>
      </c>
      <c r="AV595" s="50" t="n">
        <f aca="false">ROUNDUP(CK595+MAX(CL595,2*(J595/IF(CG595&gt;0,CG595,MAX(0.1,N(Cockpit!$I$6)))-CK595)),0)</f>
        <v>2065</v>
      </c>
      <c r="AW595" s="51" t="n">
        <f aca="false">IF(AS595&gt;0,J595/AS595,-1)</f>
        <v>281.806451612903</v>
      </c>
      <c r="AX595" s="51" t="n">
        <f aca="false">IF(AND(OR(CF595="L1",CF595="L23",CF595="LIFT"),AS595&gt;0),SUMIFS($AS$7:$AS$1843,$CF$7:$CF$1843,CF595,$AW$7:$AW$1843,"&gt;"&amp;AW595)+SUMIFS($AS$7:$AS$1843,$CF$7:$CF$1843,CF595,$AW$7:$AW$1843,AW595,$BW$7:$BW$1843,"&lt;="&amp;BW595),"")</f>
        <v>223.418498168498</v>
      </c>
      <c r="AY595" s="58" t="n">
        <f aca="false">IF(AX595="",0,MAX(0,MIN(1,(IF(CF595="L1",Parameter!$H$5,IF(CF595="L23",Parameter!$H$6+Parameter!$H$7,Parameter!$H$5+Parameter!$H$6+Parameter!$H$7))-(AX595-AS595))/AS595)))</f>
        <v>1</v>
      </c>
      <c r="AZ595" s="50" t="n">
        <f aca="false">IF(LEFT(Cockpit!$O$5,1)="A",H595,IF(Parameter!$E$30="MAX-Bestand",IF(CH595=1,CI595,IF(LEFT(Cockpit!$O$5,1)="B",BF595,MAX(BF595,H595))),ROUNDUP(BD595,0)))</f>
        <v>1065</v>
      </c>
      <c r="BA595" s="50" t="n">
        <f aca="false">IF(BZ595=1,0,ROUNDUP(AZ595/BY595,0))</f>
        <v>1</v>
      </c>
      <c r="BB595" s="52" t="n">
        <f aca="false">IF(CQ595&gt;0,CQ595*MAX(1,AZ595/X595),IF(BZ595=1,IF(AZ595&lt;=0,0,CD595*MAX(1,IF(H595&gt;0,AZ595/H595,1))),IF(R595&gt;0,BA595/R595,0))/MAX(0.1,N(Parameter!$M$21)))</f>
        <v>0.0384615384615385</v>
      </c>
      <c r="BC595" s="50" t="n">
        <f aca="false">BB595*CB595</f>
        <v>5.96153846153846</v>
      </c>
      <c r="BD595" s="51" t="n">
        <f aca="false">IF(LEFT(Cockpit!$O$5,1)="A",H595,IF(CH595=1,(CK595+CI595)/2,IF(LEFT(Cockpit!$O$5,1)="B",(CK595+BF595)/2,MAX((CK595+BF595)/2,H595))))</f>
        <v>1065</v>
      </c>
      <c r="BE595" s="50" t="n">
        <f aca="false">BD595*G595</f>
        <v>181.05</v>
      </c>
      <c r="BF595" s="50" t="n">
        <f aca="false">ROUNDUP(CK595+MAX(CL595,2*(J595/IF(CG595&gt;0,CG595,MAX(0.1,N(Cockpit!$O$6)))-CK595)),0)</f>
        <v>2065</v>
      </c>
      <c r="BG595" s="51" t="n">
        <f aca="false">IF(BC595&gt;0,J595/BC595,-1)</f>
        <v>281.806451612903</v>
      </c>
      <c r="BH595" s="51" t="n">
        <f aca="false">IF(AND(OR(CF595="L1",CF595="L23",CF595="LIFT"),BC595&gt;0),SUMIFS($BC$7:$BC$1843,$CF$7:$CF$1843,CF595,$BG$7:$BG$1843,"&gt;"&amp;BG595)+SUMIFS($BC$7:$BC$1843,$CF$7:$CF$1843,CF595,$BG$7:$BG$1843,BG595,$BW$7:$BW$1843,"&lt;="&amp;BW595),"")</f>
        <v>261.755952380952</v>
      </c>
      <c r="BI595" s="58" t="n">
        <f aca="false">IF(BH595="",0,MAX(0,MIN(1,(IF(CF595="L1",Parameter!$H$5,IF(CF595="L23",Parameter!$H$6+Parameter!$H$7,Parameter!$H$5+Parameter!$H$6+Parameter!$H$7))-(BH595-BC595))/BC595)))</f>
        <v>1</v>
      </c>
      <c r="BJ595" s="48" t="str">
        <f aca="false">IF(AI595&lt;=0,"",IF(CF595="Aussen","Aussenlager",IF(CF595="-","Nicht im Lift",IF(AO595&gt;=1,"Lift",IF(AO595&lt;=0,"Aussenlager","teilweise")))))</f>
        <v>Lift</v>
      </c>
      <c r="BK595" s="48" t="str">
        <f aca="false">IF(AS595&lt;=0,"",IF(CF595="Aussen","Aussenlager",IF(CF595="-","Nicht im Lift",IF(AY595&gt;=1,"Lift",IF(AY595&lt;=0,"Aussenlager","teilweise")))))</f>
        <v>Lift</v>
      </c>
      <c r="BL595" s="48" t="str">
        <f aca="false">IF(BC595&lt;=0,"",IF(CF595="Aussen","Aussenlager",IF(CF595="-","Nicht im Lift",IF(BI595&gt;=1,"Lift",IF(BI595&lt;=0,"Aussenlager","teilweise")))))</f>
        <v>Lift</v>
      </c>
      <c r="BM595" s="48" t="str">
        <f aca="false">IF(A595="","",IF(BV595=1,"Neu; ","")&amp;IF(AND(BV595=0,BQ595&lt;0),"negativer Bestand (Export "&amp;BQ595&amp;"); ","")&amp;IF(J595&lt;=0,"Kein Verbrauch; ","")&amp;IF(CQ595&gt;0,"Lift "&amp;W595&amp;" lt. Liftbericht (Fach "&amp;X595&amp;" Stk); ",IF(CA595=1,"Gebinde geschätzt ("&amp;T595&amp;"); ",IF(BZ595=1,"Lose – Tablare geschätzt; ","")))&amp;IF(H595&gt;AV595,"Überbestand "&amp;ROUND(H595-AV595,0)&amp;" Stk / CHF "&amp;ROUND((H595-AV595)*G595,0)&amp;"; ","")&amp;IF(AND(CH595=1,CI595&lt;CJ595),"MAX &lt; MB+LG; ","")&amp;IF(AND(CP595&gt;0,CO595*10&gt;CP595),"zu hoch für Tablar; ","")&amp;IF(AND(BV595=0,OR(CH595=1,AA595&lt;&gt;"",U595&lt;&gt;"",V595&lt;&gt;"",AB595&lt;&gt;"")),"manuell übersteuert; ","")&amp;IF(AND(BZ595=0,R595=0),"Gebinde unbekannt / Stellmass fehlt; ","")&amp;IF(AND(BZ595=0,N(V595)&lt;=0,N(Q595)&lt;=0),"Menge pro Gebinde fehlt (Ist = 1 Gebinde); ","")&amp;BU595)</f>
        <v/>
      </c>
      <c r="BN595" s="48"/>
      <c r="BO595" s="48"/>
      <c r="BP595" s="55"/>
      <c r="BQ595" s="50" t="n">
        <v>42</v>
      </c>
      <c r="BR595" s="50" t="n">
        <v>669</v>
      </c>
      <c r="BS595" s="49" t="n">
        <v>7.14</v>
      </c>
      <c r="BT595" s="50" t="n">
        <v>1680</v>
      </c>
      <c r="BU595" s="48"/>
      <c r="BV595" s="53" t="n">
        <v>0</v>
      </c>
      <c r="BW595" s="53" t="n">
        <v>595</v>
      </c>
      <c r="BX595" s="48" t="str">
        <f aca="false">IF(U595&lt;&gt;"",UPPER(TRIM(U595)),IF(CA595=1,UPPER(VLOOKUP(T595,Parameter!$I$27:$K$29,2,0)),IF(P595="","LOSE",P595)))</f>
        <v>S51</v>
      </c>
      <c r="BY595" s="50" t="n">
        <f aca="false">IF(BX595="LOSE",1,IF(N(V595)&gt;0,V595,IF(CA595=1,MAX(1,N(VLOOKUP(T595,Parameter!$I$27:$K$29,3,0)),H595,N(N595)),IF(N(Q595)&gt;0,Q595,MAX(1,H595)))))</f>
        <v>2303</v>
      </c>
      <c r="BZ595" s="53" t="n">
        <f aca="false">IF(BX595="LOSE",1,0)</f>
        <v>0</v>
      </c>
      <c r="CA595" s="53" t="n">
        <f aca="false">IF(AND(U595="",OR(P595="",P595="LOSE"),T595&lt;&gt;"",N(S595)&lt;=0,ISNUMBER(MATCH(T595,Parameter!$I$27:$I$29,0))),1,0)</f>
        <v>0</v>
      </c>
      <c r="CB595" s="53" t="n">
        <f aca="false">IF(CQ595&gt;0,INDEX(Parameter!$H$5:$H$7,W595)/INDEX(Parameter!$E$5:$E$7,W595),IF(AND(BZ595=0,N(IFERROR(VLOOKUP(BX595,'Gebinde-Kategorie'!$A$5:$N$45,14,0),0))&gt;0),VLOOKUP(BX595,'Gebinde-Kategorie'!$A$5:$N$45,14,0)*10+Parameter!$M$23,Parameter!$M$24))</f>
        <v>155</v>
      </c>
      <c r="CC595" s="48" t="str">
        <f aca="false">IF(AND(Parameter!$B$19="Ja",E595&lt;&gt;"",ISNUMBER(MATCH(E595,Parameter!$I$35:$I$52,0))),VLOOKUP(E595,Parameter!$I$35:$J$52,2,0),IFERROR(VLOOKUP(D595,Parameter!$A$35:$C$64,2,0),"Nein"))</f>
        <v>2+3</v>
      </c>
      <c r="CD595" s="52" t="n">
        <f aca="false">IF(BZ595=0,0,IF(N(S595)&gt;0,S595,IFERROR(VLOOKUP(D595,Parameter!$A$35:$C$64,3,0)+0,0)))</f>
        <v>0</v>
      </c>
      <c r="CE595" s="48" t="n">
        <f aca="false">IF(AA595&lt;&gt;"",AA595,Z595)</f>
        <v>3</v>
      </c>
      <c r="CF595" s="48" t="str">
        <f aca="false">IF(OR(CE595=1,CE595=2,CE595=3),IF(Parameter!$E$27="Ja","LIFT",IF(CE595=1,"L1","L23")),IF(CE595="Aussen","Aussen","-"))</f>
        <v>LIFT</v>
      </c>
      <c r="CG595" s="59" t="n">
        <f aca="false">IF(N(AB595)&gt;0,AB595,0)</f>
        <v>0</v>
      </c>
      <c r="CH595" s="53" t="n">
        <f aca="false">IF(ISNUMBER(AE595),1,0)</f>
        <v>0</v>
      </c>
      <c r="CI595" s="50" t="n">
        <f aca="false">N(AE595)</f>
        <v>0</v>
      </c>
      <c r="CJ595" s="50" t="n">
        <f aca="false">N(M595)+N(N595)</f>
        <v>2065</v>
      </c>
      <c r="CK595" s="50" t="n">
        <f aca="false">N(M595)</f>
        <v>65</v>
      </c>
      <c r="CL595" s="50" t="n">
        <f aca="false">N(N595)</f>
        <v>2000</v>
      </c>
      <c r="CM595" s="50" t="n">
        <f aca="false">ROUNDUP(H595/BY595,0)</f>
        <v>1</v>
      </c>
      <c r="CN595" s="50" t="n">
        <f aca="false">ROUNDUP(CI595/BY595,0)</f>
        <v>0</v>
      </c>
      <c r="CO595" s="53" t="n">
        <f aca="false">IF(BZ595=1,0,IFERROR(VLOOKUP(BX595,'Gebinde-Kategorie'!$A$5:$N$45,5,0)+0,0))</f>
        <v>11</v>
      </c>
      <c r="CP595" s="53" t="n">
        <f aca="false">IFERROR(IF(OR(CE595=1,CE595=2,CE595=3),N(INDEX(Parameter!$I$5:$I$7,CE595)),0),0)</f>
        <v>0</v>
      </c>
      <c r="CQ595" s="52" t="n">
        <f aca="false">IF(AND(Parameter!$B$21="Ja",ISNUMBER(W595),N(X595)&gt;0),IFERROR(N(INDEX(Parameter!$L$5:$L$7,W595))*INDEX(Parameter!$E$5:$E$7,W595)*X595/SUMIFS($X$7:$X$1843,$W$7:$W$1843,W595),0),0)</f>
        <v>0</v>
      </c>
    </row>
    <row r="596" customFormat="false" ht="15" hidden="false" customHeight="false" outlineLevel="0" collapsed="false">
      <c r="A596" s="48" t="s">
        <v>1248</v>
      </c>
      <c r="B596" s="48" t="s">
        <v>383</v>
      </c>
      <c r="C596" s="48" t="s">
        <v>173</v>
      </c>
      <c r="D596" s="48" t="s">
        <v>193</v>
      </c>
      <c r="E596" s="48" t="s">
        <v>194</v>
      </c>
      <c r="F596" s="48" t="s">
        <v>227</v>
      </c>
      <c r="G596" s="49" t="n">
        <v>0.15</v>
      </c>
      <c r="H596" s="50" t="n">
        <f aca="false">MAX(0,IF(AND(Parameter!$B$21="Ja",ISNUMBER(Y596)),Y596,IF(Parameter!$B$20="Jahresanfang 2025 + Export",BR596+BQ596,BQ596)))</f>
        <v>446</v>
      </c>
      <c r="I596" s="50" t="n">
        <f aca="false">H596*G596</f>
        <v>66.9</v>
      </c>
      <c r="J596" s="50" t="n">
        <f aca="false">BT596*Parameter!$B$18</f>
        <v>0</v>
      </c>
      <c r="K596" s="51" t="n">
        <v>423</v>
      </c>
      <c r="L596" s="52" t="n">
        <v>0</v>
      </c>
      <c r="M596" s="50" t="n">
        <v>0</v>
      </c>
      <c r="N596" s="50" t="n">
        <v>1</v>
      </c>
      <c r="O596" s="53" t="n">
        <v>21</v>
      </c>
      <c r="P596" s="48" t="s">
        <v>430</v>
      </c>
      <c r="Q596" s="50" t="n">
        <v>406</v>
      </c>
      <c r="R596" s="53" t="n">
        <f aca="false">IF(BZ596=1,0,IFERROR(VLOOKUP(BX596,'Gebinde-Kategorie'!$A$5:$N$45,13,0)+0,0))</f>
        <v>104</v>
      </c>
      <c r="S596" s="54"/>
      <c r="T596" s="55"/>
      <c r="U596" s="55"/>
      <c r="V596" s="55"/>
      <c r="W596" s="48"/>
      <c r="X596" s="50"/>
      <c r="Y596" s="50"/>
      <c r="Z596" s="48" t="n">
        <f aca="false">IF(A596="","",IF(AND(Parameter!$B$21="Ja",ISNUMBER(W596)),W596,IF(CC596="2+3",IF(ISNUMBER(SEARCH("grosser Artikel",BU596)),2,IFERROR(VLOOKUP(BX596,Parameter!$F$35:$G$64,2,0),2)),IF(OR(CC596="Nein",CC596=""),"-",CC596))))</f>
        <v>3</v>
      </c>
      <c r="AA596" s="55"/>
      <c r="AB596" s="56"/>
      <c r="AC596" s="50" t="n">
        <f aca="false">AV596</f>
        <v>1</v>
      </c>
      <c r="AD596" s="50" t="n">
        <f aca="false">MAX(AV596,H596)</f>
        <v>446</v>
      </c>
      <c r="AE596" s="57"/>
      <c r="AF596" s="50" t="n">
        <f aca="false">IF(LEFT(Cockpit!$C$5,1)="A",H596,IF(Parameter!$E$30="MAX-Bestand",IF(CH596=1,CI596,IF(LEFT(Cockpit!$C$5,1)="B",AL596,MAX(AL596,H596))),ROUNDUP(AJ596,0)))</f>
        <v>446</v>
      </c>
      <c r="AG596" s="50" t="n">
        <f aca="false">IF(BZ596=1,0,ROUNDUP(AF596/BY596,0))</f>
        <v>2</v>
      </c>
      <c r="AH596" s="52" t="n">
        <f aca="false">IF(CQ596&gt;0,CQ596*MAX(1,AF596/X596),IF(BZ596=1,IF(AF596&lt;=0,0,CD596*MAX(1,IF(H596&gt;0,AF596/H596,1))),IF(R596&gt;0,AG596/R596,0))/MAX(0.1,N(Parameter!$M$21)))</f>
        <v>0.0192307692307692</v>
      </c>
      <c r="AI596" s="50" t="n">
        <f aca="false">AH596*CB596</f>
        <v>2.98076923076923</v>
      </c>
      <c r="AJ596" s="51" t="n">
        <f aca="false">IF(LEFT(Cockpit!$C$5,1)="A",H596,IF(CH596=1,(CK596+CI596)/2,IF(LEFT(Cockpit!$C$5,1)="B",(CK596+AL596)/2,MAX((CK596+AL596)/2,H596))))</f>
        <v>446</v>
      </c>
      <c r="AK596" s="50" t="n">
        <f aca="false">AJ596*G596</f>
        <v>66.9</v>
      </c>
      <c r="AL596" s="50" t="n">
        <f aca="false">ROUNDUP(CK596+MAX(CL596,2*(J596/IF(CG596&gt;0,CG596,MAX(0.1,N(Cockpit!$C$6)))-CK596)),0)</f>
        <v>1</v>
      </c>
      <c r="AM596" s="51" t="n">
        <f aca="false">IF(AI596&gt;0,J596/AI596,-1)</f>
        <v>0</v>
      </c>
      <c r="AN596" s="51" t="n">
        <f aca="false">IF(AND(OR(CF596="L1",CF596="L23",CF596="LIFT"),AI596&gt;0),SUMIFS($AI$7:$AI$1843,$CF$7:$CF$1843,CF596,$AM$7:$AM$1843,"&gt;"&amp;AM596)+SUMIFS($AI$7:$AI$1843,$CF$7:$CF$1843,CF596,$AM$7:$AM$1843,AM596,$BW$7:$BW$1843,"&lt;="&amp;BW596),"")</f>
        <v>28523.0427505639</v>
      </c>
      <c r="AO596" s="58" t="n">
        <f aca="false">IF(AN596="",0,MAX(0,MIN(1,(IF(CF596="L1",Parameter!$H$5,IF(CF596="L23",Parameter!$H$6+Parameter!$H$7,Parameter!$H$5+Parameter!$H$6+Parameter!$H$7))-(AN596-AI596))/AI596)))</f>
        <v>1</v>
      </c>
      <c r="AP596" s="50" t="n">
        <f aca="false">IF(LEFT(Cockpit!$I$5,1)="A",H596,IF(Parameter!$E$30="MAX-Bestand",IF(CH596=1,CI596,IF(LEFT(Cockpit!$I$5,1)="B",AV596,MAX(AV596,H596))),ROUNDUP(AT596,0)))</f>
        <v>446</v>
      </c>
      <c r="AQ596" s="50" t="n">
        <f aca="false">IF(BZ596=1,0,ROUNDUP(AP596/BY596,0))</f>
        <v>2</v>
      </c>
      <c r="AR596" s="52" t="n">
        <f aca="false">IF(CQ596&gt;0,CQ596*MAX(1,AP596/X596),IF(BZ596=1,IF(AP596&lt;=0,0,CD596*MAX(1,IF(H596&gt;0,AP596/H596,1))),IF(R596&gt;0,AQ596/R596,0))/MAX(0.1,N(Parameter!$M$21)))</f>
        <v>0.0192307692307692</v>
      </c>
      <c r="AS596" s="50" t="n">
        <f aca="false">AR596*CB596</f>
        <v>2.98076923076923</v>
      </c>
      <c r="AT596" s="51" t="n">
        <f aca="false">IF(LEFT(Cockpit!$I$5,1)="A",H596,IF(CH596=1,(CK596+CI596)/2,IF(LEFT(Cockpit!$I$5,1)="B",(CK596+AV596)/2,MAX((CK596+AV596)/2,H596))))</f>
        <v>446</v>
      </c>
      <c r="AU596" s="50" t="n">
        <f aca="false">AT596*G596</f>
        <v>66.9</v>
      </c>
      <c r="AV596" s="50" t="n">
        <f aca="false">ROUNDUP(CK596+MAX(CL596,2*(J596/IF(CG596&gt;0,CG596,MAX(0.1,N(Cockpit!$I$6)))-CK596)),0)</f>
        <v>1</v>
      </c>
      <c r="AW596" s="51" t="n">
        <f aca="false">IF(AS596&gt;0,J596/AS596,-1)</f>
        <v>0</v>
      </c>
      <c r="AX596" s="51" t="n">
        <f aca="false">IF(AND(OR(CF596="L1",CF596="L23",CF596="LIFT"),AS596&gt;0),SUMIFS($AS$7:$AS$1843,$CF$7:$CF$1843,CF596,$AW$7:$AW$1843,"&gt;"&amp;AW596)+SUMIFS($AS$7:$AS$1843,$CF$7:$CF$1843,CF596,$AW$7:$AW$1843,AW596,$BW$7:$BW$1843,"&lt;="&amp;BW596),"")</f>
        <v>33876.1913919414</v>
      </c>
      <c r="AY596" s="58" t="n">
        <f aca="false">IF(AX596="",0,MAX(0,MIN(1,(IF(CF596="L1",Parameter!$H$5,IF(CF596="L23",Parameter!$H$6+Parameter!$H$7,Parameter!$H$5+Parameter!$H$6+Parameter!$H$7))-(AX596-AS596))/AS596)))</f>
        <v>1</v>
      </c>
      <c r="AZ596" s="50" t="n">
        <f aca="false">IF(LEFT(Cockpit!$O$5,1)="A",H596,IF(Parameter!$E$30="MAX-Bestand",IF(CH596=1,CI596,IF(LEFT(Cockpit!$O$5,1)="B",BF596,MAX(BF596,H596))),ROUNDUP(BD596,0)))</f>
        <v>1</v>
      </c>
      <c r="BA596" s="50" t="n">
        <f aca="false">IF(BZ596=1,0,ROUNDUP(AZ596/BY596,0))</f>
        <v>1</v>
      </c>
      <c r="BB596" s="52" t="n">
        <f aca="false">IF(CQ596&gt;0,CQ596*MAX(1,AZ596/X596),IF(BZ596=1,IF(AZ596&lt;=0,0,CD596*MAX(1,IF(H596&gt;0,AZ596/H596,1))),IF(R596&gt;0,BA596/R596,0))/MAX(0.1,N(Parameter!$M$21)))</f>
        <v>0.00961538461538462</v>
      </c>
      <c r="BC596" s="50" t="n">
        <f aca="false">BB596*CB596</f>
        <v>1.49038461538462</v>
      </c>
      <c r="BD596" s="51" t="n">
        <f aca="false">IF(LEFT(Cockpit!$O$5,1)="A",H596,IF(CH596=1,(CK596+CI596)/2,IF(LEFT(Cockpit!$O$5,1)="B",(CK596+BF596)/2,MAX((CK596+BF596)/2,H596))))</f>
        <v>0.5</v>
      </c>
      <c r="BE596" s="50" t="n">
        <f aca="false">BD596*G596</f>
        <v>0.075</v>
      </c>
      <c r="BF596" s="50" t="n">
        <f aca="false">ROUNDUP(CK596+MAX(CL596,2*(J596/IF(CG596&gt;0,CG596,MAX(0.1,N(Cockpit!$O$6)))-CK596)),0)</f>
        <v>1</v>
      </c>
      <c r="BG596" s="51" t="n">
        <f aca="false">IF(BC596&gt;0,J596/BC596,-1)</f>
        <v>0</v>
      </c>
      <c r="BH596" s="51" t="n">
        <f aca="false">IF(AND(OR(CF596="L1",CF596="L23",CF596="LIFT"),BC596&gt;0),SUMIFS($BC$7:$BC$1843,$CF$7:$CF$1843,CF596,$BG$7:$BG$1843,"&gt;"&amp;BG596)+SUMIFS($BC$7:$BC$1843,$CF$7:$CF$1843,CF596,$BG$7:$BG$1843,BG596,$BW$7:$BW$1843,"&lt;="&amp;BW596),"")</f>
        <v>27949.9866052027</v>
      </c>
      <c r="BI596" s="58" t="n">
        <f aca="false">IF(BH596="",0,MAX(0,MIN(1,(IF(CF596="L1",Parameter!$H$5,IF(CF596="L23",Parameter!$H$6+Parameter!$H$7,Parameter!$H$5+Parameter!$H$6+Parameter!$H$7))-(BH596-BC596))/BC596)))</f>
        <v>1</v>
      </c>
      <c r="BJ596" s="48" t="str">
        <f aca="false">IF(AI596&lt;=0,"",IF(CF596="Aussen","Aussenlager",IF(CF596="-","Nicht im Lift",IF(AO596&gt;=1,"Lift",IF(AO596&lt;=0,"Aussenlager","teilweise")))))</f>
        <v>Lift</v>
      </c>
      <c r="BK596" s="48" t="str">
        <f aca="false">IF(AS596&lt;=0,"",IF(CF596="Aussen","Aussenlager",IF(CF596="-","Nicht im Lift",IF(AY596&gt;=1,"Lift",IF(AY596&lt;=0,"Aussenlager","teilweise")))))</f>
        <v>Lift</v>
      </c>
      <c r="BL596" s="48" t="str">
        <f aca="false">IF(BC596&lt;=0,"",IF(CF596="Aussen","Aussenlager",IF(CF596="-","Nicht im Lift",IF(BI596&gt;=1,"Lift",IF(BI596&lt;=0,"Aussenlager","teilweise")))))</f>
        <v>Lift</v>
      </c>
      <c r="BM596" s="48" t="str">
        <f aca="false">IF(A596="","",IF(BV596=1,"Neu; ","")&amp;IF(AND(BV596=0,BQ596&lt;0),"negativer Bestand (Export "&amp;BQ596&amp;"); ","")&amp;IF(J596&lt;=0,"Kein Verbrauch; ","")&amp;IF(CQ596&gt;0,"Lift "&amp;W596&amp;" lt. Liftbericht (Fach "&amp;X596&amp;" Stk); ",IF(CA596=1,"Gebinde geschätzt ("&amp;T596&amp;"); ",IF(BZ596=1,"Lose – Tablare geschätzt; ","")))&amp;IF(H596&gt;AV596,"Überbestand "&amp;ROUND(H596-AV596,0)&amp;" Stk / CHF "&amp;ROUND((H596-AV596)*G596,0)&amp;"; ","")&amp;IF(AND(CH596=1,CI596&lt;CJ596),"MAX &lt; MB+LG; ","")&amp;IF(AND(CP596&gt;0,CO596*10&gt;CP596),"zu hoch für Tablar; ","")&amp;IF(AND(BV596=0,OR(CH596=1,AA596&lt;&gt;"",U596&lt;&gt;"",V596&lt;&gt;"",AB596&lt;&gt;"")),"manuell übersteuert; ","")&amp;IF(AND(BZ596=0,R596=0),"Gebinde unbekannt / Stellmass fehlt; ","")&amp;IF(AND(BZ596=0,N(V596)&lt;=0,N(Q596)&lt;=0),"Menge pro Gebinde fehlt (Ist = 1 Gebinde); ","")&amp;BU596)</f>
        <v>Kein Verbrauch; Überbestand 445 Stk / CHF 67; Neu</v>
      </c>
      <c r="BN596" s="48"/>
      <c r="BO596" s="48"/>
      <c r="BP596" s="55"/>
      <c r="BQ596" s="50" t="n">
        <v>46</v>
      </c>
      <c r="BR596" s="50" t="n">
        <v>400</v>
      </c>
      <c r="BS596" s="49" t="n">
        <v>6.9</v>
      </c>
      <c r="BT596" s="50" t="n">
        <v>0</v>
      </c>
      <c r="BU596" s="48" t="s">
        <v>635</v>
      </c>
      <c r="BV596" s="53" t="n">
        <v>0</v>
      </c>
      <c r="BW596" s="53" t="n">
        <v>596</v>
      </c>
      <c r="BX596" s="48" t="str">
        <f aca="false">IF(U596&lt;&gt;"",UPPER(TRIM(U596)),IF(CA596=1,UPPER(VLOOKUP(T596,Parameter!$I$27:$K$29,2,0)),IF(P596="","LOSE",P596)))</f>
        <v>S32</v>
      </c>
      <c r="BY596" s="50" t="n">
        <f aca="false">IF(BX596="LOSE",1,IF(N(V596)&gt;0,V596,IF(CA596=1,MAX(1,N(VLOOKUP(T596,Parameter!$I$27:$K$29,3,0)),H596,N(N596)),IF(N(Q596)&gt;0,Q596,MAX(1,H596)))))</f>
        <v>406</v>
      </c>
      <c r="BZ596" s="53" t="n">
        <f aca="false">IF(BX596="LOSE",1,0)</f>
        <v>0</v>
      </c>
      <c r="CA596" s="53" t="n">
        <f aca="false">IF(AND(U596="",OR(P596="",P596="LOSE"),T596&lt;&gt;"",N(S596)&lt;=0,ISNUMBER(MATCH(T596,Parameter!$I$27:$I$29,0))),1,0)</f>
        <v>0</v>
      </c>
      <c r="CB596" s="53" t="n">
        <f aca="false">IF(CQ596&gt;0,INDEX(Parameter!$H$5:$H$7,W596)/INDEX(Parameter!$E$5:$E$7,W596),IF(AND(BZ596=0,N(IFERROR(VLOOKUP(BX596,'Gebinde-Kategorie'!$A$5:$N$45,14,0),0))&gt;0),VLOOKUP(BX596,'Gebinde-Kategorie'!$A$5:$N$45,14,0)*10+Parameter!$M$23,Parameter!$M$24))</f>
        <v>155</v>
      </c>
      <c r="CC596" s="48" t="str">
        <f aca="false">IF(AND(Parameter!$B$19="Ja",E596&lt;&gt;"",ISNUMBER(MATCH(E596,Parameter!$I$35:$I$52,0))),VLOOKUP(E596,Parameter!$I$35:$J$52,2,0),IFERROR(VLOOKUP(D596,Parameter!$A$35:$C$64,2,0),"Nein"))</f>
        <v>2+3</v>
      </c>
      <c r="CD596" s="52" t="n">
        <f aca="false">IF(BZ596=0,0,IF(N(S596)&gt;0,S596,IFERROR(VLOOKUP(D596,Parameter!$A$35:$C$64,3,0)+0,0)))</f>
        <v>0</v>
      </c>
      <c r="CE596" s="48" t="n">
        <f aca="false">IF(AA596&lt;&gt;"",AA596,Z596)</f>
        <v>3</v>
      </c>
      <c r="CF596" s="48" t="str">
        <f aca="false">IF(OR(CE596=1,CE596=2,CE596=3),IF(Parameter!$E$27="Ja","LIFT",IF(CE596=1,"L1","L23")),IF(CE596="Aussen","Aussen","-"))</f>
        <v>LIFT</v>
      </c>
      <c r="CG596" s="59" t="n">
        <f aca="false">IF(N(AB596)&gt;0,AB596,0)</f>
        <v>0</v>
      </c>
      <c r="CH596" s="53" t="n">
        <f aca="false">IF(ISNUMBER(AE596),1,0)</f>
        <v>0</v>
      </c>
      <c r="CI596" s="50" t="n">
        <f aca="false">N(AE596)</f>
        <v>0</v>
      </c>
      <c r="CJ596" s="50" t="n">
        <f aca="false">N(M596)+N(N596)</f>
        <v>1</v>
      </c>
      <c r="CK596" s="50" t="n">
        <f aca="false">N(M596)</f>
        <v>0</v>
      </c>
      <c r="CL596" s="50" t="n">
        <f aca="false">N(N596)</f>
        <v>1</v>
      </c>
      <c r="CM596" s="50" t="n">
        <f aca="false">ROUNDUP(H596/BY596,0)</f>
        <v>2</v>
      </c>
      <c r="CN596" s="50" t="n">
        <f aca="false">ROUNDUP(CI596/BY596,0)</f>
        <v>0</v>
      </c>
      <c r="CO596" s="53" t="n">
        <f aca="false">IF(BZ596=1,0,IFERROR(VLOOKUP(BX596,'Gebinde-Kategorie'!$A$5:$N$45,5,0)+0,0))</f>
        <v>8</v>
      </c>
      <c r="CP596" s="53" t="n">
        <f aca="false">IFERROR(IF(OR(CE596=1,CE596=2,CE596=3),N(INDEX(Parameter!$I$5:$I$7,CE596)),0),0)</f>
        <v>0</v>
      </c>
      <c r="CQ596" s="52" t="n">
        <f aca="false">IF(AND(Parameter!$B$21="Ja",ISNUMBER(W596),N(X596)&gt;0),IFERROR(N(INDEX(Parameter!$L$5:$L$7,W596))*INDEX(Parameter!$E$5:$E$7,W596)*X596/SUMIFS($X$7:$X$1843,$W$7:$W$1843,W596),0),0)</f>
        <v>0</v>
      </c>
    </row>
    <row r="597" customFormat="false" ht="15" hidden="false" customHeight="false" outlineLevel="0" collapsed="false">
      <c r="A597" s="48" t="s">
        <v>1249</v>
      </c>
      <c r="B597" s="48" t="s">
        <v>1174</v>
      </c>
      <c r="C597" s="48" t="s">
        <v>173</v>
      </c>
      <c r="D597" s="48" t="s">
        <v>182</v>
      </c>
      <c r="E597" s="48"/>
      <c r="F597" s="48" t="s">
        <v>227</v>
      </c>
      <c r="G597" s="49" t="n">
        <v>6.8</v>
      </c>
      <c r="H597" s="50" t="n">
        <f aca="false">MAX(0,IF(AND(Parameter!$B$21="Ja",ISNUMBER(Y597)),Y597,IF(Parameter!$B$20="Jahresanfang 2025 + Export",BR597+BQ597,BQ597)))</f>
        <v>1</v>
      </c>
      <c r="I597" s="50" t="n">
        <f aca="false">H597*G597</f>
        <v>6.8</v>
      </c>
      <c r="J597" s="50" t="n">
        <f aca="false">BT597*Parameter!$B$18</f>
        <v>0</v>
      </c>
      <c r="K597" s="51" t="n">
        <v>0</v>
      </c>
      <c r="L597" s="52" t="n">
        <v>0</v>
      </c>
      <c r="M597" s="50" t="n">
        <v>0</v>
      </c>
      <c r="N597" s="50" t="n">
        <v>1</v>
      </c>
      <c r="O597" s="53" t="n">
        <v>21</v>
      </c>
      <c r="P597" s="48" t="s">
        <v>177</v>
      </c>
      <c r="Q597" s="50"/>
      <c r="R597" s="53" t="n">
        <f aca="false">IF(BZ597=1,0,IFERROR(VLOOKUP(BX597,'Gebinde-Kategorie'!$A$5:$N$45,13,0)+0,0))</f>
        <v>26</v>
      </c>
      <c r="S597" s="54"/>
      <c r="T597" s="55" t="s">
        <v>284</v>
      </c>
      <c r="U597" s="55"/>
      <c r="V597" s="55"/>
      <c r="W597" s="48"/>
      <c r="X597" s="50"/>
      <c r="Y597" s="50"/>
      <c r="Z597" s="48" t="n">
        <f aca="false">IF(A597="","",IF(AND(Parameter!$B$21="Ja",ISNUMBER(W597)),W597,IF(CC597="2+3",IF(ISNUMBER(SEARCH("grosser Artikel",BU597)),2,IFERROR(VLOOKUP(BX597,Parameter!$F$35:$G$64,2,0),2)),IF(OR(CC597="Nein",CC597=""),"-",CC597))))</f>
        <v>3</v>
      </c>
      <c r="AA597" s="55"/>
      <c r="AB597" s="56"/>
      <c r="AC597" s="50" t="n">
        <f aca="false">AV597</f>
        <v>1</v>
      </c>
      <c r="AD597" s="50" t="n">
        <f aca="false">MAX(AV597,H597)</f>
        <v>1</v>
      </c>
      <c r="AE597" s="57"/>
      <c r="AF597" s="50" t="n">
        <f aca="false">IF(LEFT(Cockpit!$C$5,1)="A",H597,IF(Parameter!$E$30="MAX-Bestand",IF(CH597=1,CI597,IF(LEFT(Cockpit!$C$5,1)="B",AL597,MAX(AL597,H597))),ROUNDUP(AJ597,0)))</f>
        <v>1</v>
      </c>
      <c r="AG597" s="50" t="n">
        <f aca="false">IF(BZ597=1,0,ROUNDUP(AF597/BY597,0))</f>
        <v>1</v>
      </c>
      <c r="AH597" s="52" t="n">
        <f aca="false">IF(CQ597&gt;0,CQ597*MAX(1,AF597/X597),IF(BZ597=1,IF(AF597&lt;=0,0,CD597*MAX(1,IF(H597&gt;0,AF597/H597,1))),IF(R597&gt;0,AG597/R597,0))/MAX(0.1,N(Parameter!$M$21)))</f>
        <v>0.0384615384615385</v>
      </c>
      <c r="AI597" s="50" t="n">
        <f aca="false">AH597*CB597</f>
        <v>5.96153846153846</v>
      </c>
      <c r="AJ597" s="51" t="n">
        <f aca="false">IF(LEFT(Cockpit!$C$5,1)="A",H597,IF(CH597=1,(CK597+CI597)/2,IF(LEFT(Cockpit!$C$5,1)="B",(CK597+AL597)/2,MAX((CK597+AL597)/2,H597))))</f>
        <v>1</v>
      </c>
      <c r="AK597" s="50" t="n">
        <f aca="false">AJ597*G597</f>
        <v>6.8</v>
      </c>
      <c r="AL597" s="50" t="n">
        <f aca="false">ROUNDUP(CK597+MAX(CL597,2*(J597/IF(CG597&gt;0,CG597,MAX(0.1,N(Cockpit!$C$6)))-CK597)),0)</f>
        <v>1</v>
      </c>
      <c r="AM597" s="51" t="n">
        <f aca="false">IF(AI597&gt;0,J597/AI597,-1)</f>
        <v>0</v>
      </c>
      <c r="AN597" s="51" t="n">
        <f aca="false">IF(AND(OR(CF597="L1",CF597="L23",CF597="LIFT"),AI597&gt;0),SUMIFS($AI$7:$AI$1843,$CF$7:$CF$1843,CF597,$AM$7:$AM$1843,"&gt;"&amp;AM597)+SUMIFS($AI$7:$AI$1843,$CF$7:$CF$1843,CF597,$AM$7:$AM$1843,AM597,$BW$7:$BW$1843,"&lt;="&amp;BW597),"")</f>
        <v>28529.0042890255</v>
      </c>
      <c r="AO597" s="58" t="n">
        <f aca="false">IF(AN597="",0,MAX(0,MIN(1,(IF(CF597="L1",Parameter!$H$5,IF(CF597="L23",Parameter!$H$6+Parameter!$H$7,Parameter!$H$5+Parameter!$H$6+Parameter!$H$7))-(AN597-AI597))/AI597)))</f>
        <v>1</v>
      </c>
      <c r="AP597" s="50" t="n">
        <f aca="false">IF(LEFT(Cockpit!$I$5,1)="A",H597,IF(Parameter!$E$30="MAX-Bestand",IF(CH597=1,CI597,IF(LEFT(Cockpit!$I$5,1)="B",AV597,MAX(AV597,H597))),ROUNDUP(AT597,0)))</f>
        <v>1</v>
      </c>
      <c r="AQ597" s="50" t="n">
        <f aca="false">IF(BZ597=1,0,ROUNDUP(AP597/BY597,0))</f>
        <v>1</v>
      </c>
      <c r="AR597" s="52" t="n">
        <f aca="false">IF(CQ597&gt;0,CQ597*MAX(1,AP597/X597),IF(BZ597=1,IF(AP597&lt;=0,0,CD597*MAX(1,IF(H597&gt;0,AP597/H597,1))),IF(R597&gt;0,AQ597/R597,0))/MAX(0.1,N(Parameter!$M$21)))</f>
        <v>0.0384615384615385</v>
      </c>
      <c r="AS597" s="50" t="n">
        <f aca="false">AR597*CB597</f>
        <v>5.96153846153846</v>
      </c>
      <c r="AT597" s="51" t="n">
        <f aca="false">IF(LEFT(Cockpit!$I$5,1)="A",H597,IF(CH597=1,(CK597+CI597)/2,IF(LEFT(Cockpit!$I$5,1)="B",(CK597+AV597)/2,MAX((CK597+AV597)/2,H597))))</f>
        <v>1</v>
      </c>
      <c r="AU597" s="50" t="n">
        <f aca="false">AT597*G597</f>
        <v>6.8</v>
      </c>
      <c r="AV597" s="50" t="n">
        <f aca="false">ROUNDUP(CK597+MAX(CL597,2*(J597/IF(CG597&gt;0,CG597,MAX(0.1,N(Cockpit!$I$6)))-CK597)),0)</f>
        <v>1</v>
      </c>
      <c r="AW597" s="51" t="n">
        <f aca="false">IF(AS597&gt;0,J597/AS597,-1)</f>
        <v>0</v>
      </c>
      <c r="AX597" s="51" t="n">
        <f aca="false">IF(AND(OR(CF597="L1",CF597="L23",CF597="LIFT"),AS597&gt;0),SUMIFS($AS$7:$AS$1843,$CF$7:$CF$1843,CF597,$AW$7:$AW$1843,"&gt;"&amp;AW597)+SUMIFS($AS$7:$AS$1843,$CF$7:$CF$1843,CF597,$AW$7:$AW$1843,AW597,$BW$7:$BW$1843,"&lt;="&amp;BW597),"")</f>
        <v>33882.1529304029</v>
      </c>
      <c r="AY597" s="58" t="n">
        <f aca="false">IF(AX597="",0,MAX(0,MIN(1,(IF(CF597="L1",Parameter!$H$5,IF(CF597="L23",Parameter!$H$6+Parameter!$H$7,Parameter!$H$5+Parameter!$H$6+Parameter!$H$7))-(AX597-AS597))/AS597)))</f>
        <v>1</v>
      </c>
      <c r="AZ597" s="50" t="n">
        <f aca="false">IF(LEFT(Cockpit!$O$5,1)="A",H597,IF(Parameter!$E$30="MAX-Bestand",IF(CH597=1,CI597,IF(LEFT(Cockpit!$O$5,1)="B",BF597,MAX(BF597,H597))),ROUNDUP(BD597,0)))</f>
        <v>1</v>
      </c>
      <c r="BA597" s="50" t="n">
        <f aca="false">IF(BZ597=1,0,ROUNDUP(AZ597/BY597,0))</f>
        <v>1</v>
      </c>
      <c r="BB597" s="52" t="n">
        <f aca="false">IF(CQ597&gt;0,CQ597*MAX(1,AZ597/X597),IF(BZ597=1,IF(AZ597&lt;=0,0,CD597*MAX(1,IF(H597&gt;0,AZ597/H597,1))),IF(R597&gt;0,BA597/R597,0))/MAX(0.1,N(Parameter!$M$21)))</f>
        <v>0.0384615384615385</v>
      </c>
      <c r="BC597" s="50" t="n">
        <f aca="false">BB597*CB597</f>
        <v>5.96153846153846</v>
      </c>
      <c r="BD597" s="51" t="n">
        <f aca="false">IF(LEFT(Cockpit!$O$5,1)="A",H597,IF(CH597=1,(CK597+CI597)/2,IF(LEFT(Cockpit!$O$5,1)="B",(CK597+BF597)/2,MAX((CK597+BF597)/2,H597))))</f>
        <v>0.5</v>
      </c>
      <c r="BE597" s="50" t="n">
        <f aca="false">BD597*G597</f>
        <v>3.4</v>
      </c>
      <c r="BF597" s="50" t="n">
        <f aca="false">ROUNDUP(CK597+MAX(CL597,2*(J597/IF(CG597&gt;0,CG597,MAX(0.1,N(Cockpit!$O$6)))-CK597)),0)</f>
        <v>1</v>
      </c>
      <c r="BG597" s="51" t="n">
        <f aca="false">IF(BC597&gt;0,J597/BC597,-1)</f>
        <v>0</v>
      </c>
      <c r="BH597" s="51" t="n">
        <f aca="false">IF(AND(OR(CF597="L1",CF597="L23",CF597="LIFT"),BC597&gt;0),SUMIFS($BC$7:$BC$1843,$CF$7:$CF$1843,CF597,$BG$7:$BG$1843,"&gt;"&amp;BG597)+SUMIFS($BC$7:$BC$1843,$CF$7:$CF$1843,CF597,$BG$7:$BG$1843,BG597,$BW$7:$BW$1843,"&lt;="&amp;BW597),"")</f>
        <v>27955.9481436642</v>
      </c>
      <c r="BI597" s="58" t="n">
        <f aca="false">IF(BH597="",0,MAX(0,MIN(1,(IF(CF597="L1",Parameter!$H$5,IF(CF597="L23",Parameter!$H$6+Parameter!$H$7,Parameter!$H$5+Parameter!$H$6+Parameter!$H$7))-(BH597-BC597))/BC597)))</f>
        <v>1</v>
      </c>
      <c r="BJ597" s="48" t="str">
        <f aca="false">IF(AI597&lt;=0,"",IF(CF597="Aussen","Aussenlager",IF(CF597="-","Nicht im Lift",IF(AO597&gt;=1,"Lift",IF(AO597&lt;=0,"Aussenlager","teilweise")))))</f>
        <v>Lift</v>
      </c>
      <c r="BK597" s="48" t="str">
        <f aca="false">IF(AS597&lt;=0,"",IF(CF597="Aussen","Aussenlager",IF(CF597="-","Nicht im Lift",IF(AY597&gt;=1,"Lift",IF(AY597&lt;=0,"Aussenlager","teilweise")))))</f>
        <v>Lift</v>
      </c>
      <c r="BL597" s="48" t="str">
        <f aca="false">IF(BC597&lt;=0,"",IF(CF597="Aussen","Aussenlager",IF(CF597="-","Nicht im Lift",IF(BI597&gt;=1,"Lift",IF(BI597&lt;=0,"Aussenlager","teilweise")))))</f>
        <v>Lift</v>
      </c>
      <c r="BM597" s="48" t="str">
        <f aca="false">IF(A597="","",IF(BV597=1,"Neu; ","")&amp;IF(AND(BV597=0,BQ597&lt;0),"negativer Bestand (Export "&amp;BQ597&amp;"); ","")&amp;IF(J597&lt;=0,"Kein Verbrauch; ","")&amp;IF(CQ597&gt;0,"Lift "&amp;W597&amp;" lt. Liftbericht (Fach "&amp;X597&amp;" Stk); ",IF(CA597=1,"Gebinde geschätzt ("&amp;T597&amp;"); ",IF(BZ597=1,"Lose – Tablare geschätzt; ","")))&amp;IF(H597&gt;AV597,"Überbestand "&amp;ROUND(H597-AV597,0)&amp;" Stk / CHF "&amp;ROUND((H597-AV597)*G597,0)&amp;"; ","")&amp;IF(AND(CH597=1,CI597&lt;CJ597),"MAX &lt; MB+LG; ","")&amp;IF(AND(CP597&gt;0,CO597*10&gt;CP597),"zu hoch für Tablar; ","")&amp;IF(AND(BV597=0,OR(CH597=1,AA597&lt;&gt;"",U597&lt;&gt;"",V597&lt;&gt;"",AB597&lt;&gt;"")),"manuell übersteuert; ","")&amp;IF(AND(BZ597=0,R597=0),"Gebinde unbekannt / Stellmass fehlt; ","")&amp;IF(AND(BZ597=0,N(V597)&lt;=0,N(Q597)&lt;=0),"Menge pro Gebinde fehlt (Ist = 1 Gebinde); ","")&amp;BU597)</f>
        <v>Kein Verbrauch; Gebinde geschätzt (Klein); Menge pro Gebinde fehlt (Ist = 1 Gebinde); </v>
      </c>
      <c r="BN597" s="48"/>
      <c r="BO597" s="48"/>
      <c r="BP597" s="55"/>
      <c r="BQ597" s="50" t="n">
        <v>1</v>
      </c>
      <c r="BR597" s="50" t="n">
        <v>0</v>
      </c>
      <c r="BS597" s="49" t="n">
        <v>6.8</v>
      </c>
      <c r="BT597" s="50" t="n">
        <v>0</v>
      </c>
      <c r="BU597" s="48"/>
      <c r="BV597" s="53" t="n">
        <v>0</v>
      </c>
      <c r="BW597" s="53" t="n">
        <v>597</v>
      </c>
      <c r="BX597" s="48" t="str">
        <f aca="false">IF(U597&lt;&gt;"",UPPER(TRIM(U597)),IF(CA597=1,UPPER(VLOOKUP(T597,Parameter!$I$27:$K$29,2,0)),IF(P597="","LOSE",P597)))</f>
        <v>S51</v>
      </c>
      <c r="BY597" s="50" t="n">
        <f aca="false">IF(BX597="LOSE",1,IF(N(V597)&gt;0,V597,IF(CA597=1,MAX(1,N(VLOOKUP(T597,Parameter!$I$27:$K$29,3,0)),H597,N(N597)),IF(N(Q597)&gt;0,Q597,MAX(1,H597)))))</f>
        <v>20</v>
      </c>
      <c r="BZ597" s="53" t="n">
        <f aca="false">IF(BX597="LOSE",1,0)</f>
        <v>0</v>
      </c>
      <c r="CA597" s="53" t="n">
        <f aca="false">IF(AND(U597="",OR(P597="",P597="LOSE"),T597&lt;&gt;"",N(S597)&lt;=0,ISNUMBER(MATCH(T597,Parameter!$I$27:$I$29,0))),1,0)</f>
        <v>1</v>
      </c>
      <c r="CB597" s="53" t="n">
        <f aca="false">IF(CQ597&gt;0,INDEX(Parameter!$H$5:$H$7,W597)/INDEX(Parameter!$E$5:$E$7,W597),IF(AND(BZ597=0,N(IFERROR(VLOOKUP(BX597,'Gebinde-Kategorie'!$A$5:$N$45,14,0),0))&gt;0),VLOOKUP(BX597,'Gebinde-Kategorie'!$A$5:$N$45,14,0)*10+Parameter!$M$23,Parameter!$M$24))</f>
        <v>155</v>
      </c>
      <c r="CC597" s="48" t="str">
        <f aca="false">IF(AND(Parameter!$B$19="Ja",E597&lt;&gt;"",ISNUMBER(MATCH(E597,Parameter!$I$35:$I$52,0))),VLOOKUP(E597,Parameter!$I$35:$J$52,2,0),IFERROR(VLOOKUP(D597,Parameter!$A$35:$C$64,2,0),"Nein"))</f>
        <v>2+3</v>
      </c>
      <c r="CD597" s="52" t="n">
        <f aca="false">IF(BZ597=0,0,IF(N(S597)&gt;0,S597,IFERROR(VLOOKUP(D597,Parameter!$A$35:$C$64,3,0)+0,0)))</f>
        <v>0</v>
      </c>
      <c r="CE597" s="48" t="n">
        <f aca="false">IF(AA597&lt;&gt;"",AA597,Z597)</f>
        <v>3</v>
      </c>
      <c r="CF597" s="48" t="str">
        <f aca="false">IF(OR(CE597=1,CE597=2,CE597=3),IF(Parameter!$E$27="Ja","LIFT",IF(CE597=1,"L1","L23")),IF(CE597="Aussen","Aussen","-"))</f>
        <v>LIFT</v>
      </c>
      <c r="CG597" s="59" t="n">
        <f aca="false">IF(N(AB597)&gt;0,AB597,0)</f>
        <v>0</v>
      </c>
      <c r="CH597" s="53" t="n">
        <f aca="false">IF(ISNUMBER(AE597),1,0)</f>
        <v>0</v>
      </c>
      <c r="CI597" s="50" t="n">
        <f aca="false">N(AE597)</f>
        <v>0</v>
      </c>
      <c r="CJ597" s="50" t="n">
        <f aca="false">N(M597)+N(N597)</f>
        <v>1</v>
      </c>
      <c r="CK597" s="50" t="n">
        <f aca="false">N(M597)</f>
        <v>0</v>
      </c>
      <c r="CL597" s="50" t="n">
        <f aca="false">N(N597)</f>
        <v>1</v>
      </c>
      <c r="CM597" s="50" t="n">
        <f aca="false">ROUNDUP(H597/BY597,0)</f>
        <v>1</v>
      </c>
      <c r="CN597" s="50" t="n">
        <f aca="false">ROUNDUP(CI597/BY597,0)</f>
        <v>0</v>
      </c>
      <c r="CO597" s="53" t="n">
        <f aca="false">IF(BZ597=1,0,IFERROR(VLOOKUP(BX597,'Gebinde-Kategorie'!$A$5:$N$45,5,0)+0,0))</f>
        <v>11</v>
      </c>
      <c r="CP597" s="53" t="n">
        <f aca="false">IFERROR(IF(OR(CE597=1,CE597=2,CE597=3),N(INDEX(Parameter!$I$5:$I$7,CE597)),0),0)</f>
        <v>0</v>
      </c>
      <c r="CQ597" s="52" t="n">
        <f aca="false">IF(AND(Parameter!$B$21="Ja",ISNUMBER(W597),N(X597)&gt;0),IFERROR(N(INDEX(Parameter!$L$5:$L$7,W597))*INDEX(Parameter!$E$5:$E$7,W597)*X597/SUMIFS($X$7:$X$1843,$W$7:$W$1843,W597),0),0)</f>
        <v>0</v>
      </c>
    </row>
    <row r="598" customFormat="false" ht="15" hidden="false" customHeight="false" outlineLevel="0" collapsed="false">
      <c r="A598" s="48" t="s">
        <v>1250</v>
      </c>
      <c r="B598" s="48" t="s">
        <v>477</v>
      </c>
      <c r="C598" s="48" t="s">
        <v>173</v>
      </c>
      <c r="D598" s="48" t="s">
        <v>193</v>
      </c>
      <c r="E598" s="48"/>
      <c r="F598" s="48" t="s">
        <v>227</v>
      </c>
      <c r="G598" s="49" t="n">
        <v>0.37</v>
      </c>
      <c r="H598" s="50" t="n">
        <f aca="false">MAX(0,IF(AND(Parameter!$B$21="Ja",ISNUMBER(Y598)),Y598,IF(Parameter!$B$20="Jahresanfang 2025 + Export",BR598+BQ598,BQ598)))</f>
        <v>18</v>
      </c>
      <c r="I598" s="50" t="n">
        <f aca="false">H598*G598</f>
        <v>6.66</v>
      </c>
      <c r="J598" s="50" t="n">
        <f aca="false">BT598*Parameter!$B$18</f>
        <v>20</v>
      </c>
      <c r="K598" s="51" t="n">
        <v>24</v>
      </c>
      <c r="L598" s="52" t="n">
        <v>0.833333333333333</v>
      </c>
      <c r="M598" s="50" t="n">
        <v>1</v>
      </c>
      <c r="N598" s="50" t="n">
        <v>20</v>
      </c>
      <c r="O598" s="53" t="n">
        <v>35</v>
      </c>
      <c r="P598" s="48" t="s">
        <v>410</v>
      </c>
      <c r="Q598" s="50" t="n">
        <v>30</v>
      </c>
      <c r="R598" s="53" t="n">
        <f aca="false">IF(BZ598=1,0,IFERROR(VLOOKUP(BX598,'Gebinde-Kategorie'!$A$5:$N$45,13,0)+0,0))</f>
        <v>280</v>
      </c>
      <c r="S598" s="54"/>
      <c r="T598" s="55"/>
      <c r="U598" s="55"/>
      <c r="V598" s="55"/>
      <c r="W598" s="48"/>
      <c r="X598" s="50"/>
      <c r="Y598" s="50"/>
      <c r="Z598" s="48" t="n">
        <f aca="false">IF(A598="","",IF(AND(Parameter!$B$21="Ja",ISNUMBER(W598)),W598,IF(CC598="2+3",IF(ISNUMBER(SEARCH("grosser Artikel",BU598)),2,IFERROR(VLOOKUP(BX598,Parameter!$F$35:$G$64,2,0),2)),IF(OR(CC598="Nein",CC598=""),"-",CC598))))</f>
        <v>3</v>
      </c>
      <c r="AA598" s="55"/>
      <c r="AB598" s="56"/>
      <c r="AC598" s="50" t="n">
        <f aca="false">AV598</f>
        <v>21</v>
      </c>
      <c r="AD598" s="50" t="n">
        <f aca="false">MAX(AV598,H598)</f>
        <v>21</v>
      </c>
      <c r="AE598" s="57"/>
      <c r="AF598" s="50" t="n">
        <f aca="false">IF(LEFT(Cockpit!$C$5,1)="A",H598,IF(Parameter!$E$30="MAX-Bestand",IF(CH598=1,CI598,IF(LEFT(Cockpit!$C$5,1)="B",AL598,MAX(AL598,H598))),ROUNDUP(AJ598,0)))</f>
        <v>18</v>
      </c>
      <c r="AG598" s="50" t="n">
        <f aca="false">IF(BZ598=1,0,ROUNDUP(AF598/BY598,0))</f>
        <v>1</v>
      </c>
      <c r="AH598" s="52" t="n">
        <f aca="false">IF(CQ598&gt;0,CQ598*MAX(1,AF598/X598),IF(BZ598=1,IF(AF598&lt;=0,0,CD598*MAX(1,IF(H598&gt;0,AF598/H598,1))),IF(R598&gt;0,AG598/R598,0))/MAX(0.1,N(Parameter!$M$21)))</f>
        <v>0.00357142857142857</v>
      </c>
      <c r="AI598" s="50" t="n">
        <f aca="false">AH598*CB598</f>
        <v>0.553571428571429</v>
      </c>
      <c r="AJ598" s="51" t="n">
        <f aca="false">IF(LEFT(Cockpit!$C$5,1)="A",H598,IF(CH598=1,(CK598+CI598)/2,IF(LEFT(Cockpit!$C$5,1)="B",(CK598+AL598)/2,MAX((CK598+AL598)/2,H598))))</f>
        <v>18</v>
      </c>
      <c r="AK598" s="50" t="n">
        <f aca="false">AJ598*G598</f>
        <v>6.66</v>
      </c>
      <c r="AL598" s="50" t="n">
        <f aca="false">ROUNDUP(CK598+MAX(CL598,2*(J598/IF(CG598&gt;0,CG598,MAX(0.1,N(Cockpit!$C$6)))-CK598)),0)</f>
        <v>21</v>
      </c>
      <c r="AM598" s="51" t="n">
        <f aca="false">IF(AI598&gt;0,J598/AI598,-1)</f>
        <v>36.1290322580645</v>
      </c>
      <c r="AN598" s="51" t="n">
        <f aca="false">IF(AND(OR(CF598="L1",CF598="L23",CF598="LIFT"),AI598&gt;0),SUMIFS($AI$7:$AI$1843,$CF$7:$CF$1843,CF598,$AM$7:$AM$1843,"&gt;"&amp;AM598)+SUMIFS($AI$7:$AI$1843,$CF$7:$CF$1843,CF598,$AM$7:$AM$1843,AM598,$BW$7:$BW$1843,"&lt;="&amp;BW598),"")</f>
        <v>1283.85302197802</v>
      </c>
      <c r="AO598" s="58" t="n">
        <f aca="false">IF(AN598="",0,MAX(0,MIN(1,(IF(CF598="L1",Parameter!$H$5,IF(CF598="L23",Parameter!$H$6+Parameter!$H$7,Parameter!$H$5+Parameter!$H$6+Parameter!$H$7))-(AN598-AI598))/AI598)))</f>
        <v>1</v>
      </c>
      <c r="AP598" s="50" t="n">
        <f aca="false">IF(LEFT(Cockpit!$I$5,1)="A",H598,IF(Parameter!$E$30="MAX-Bestand",IF(CH598=1,CI598,IF(LEFT(Cockpit!$I$5,1)="B",AV598,MAX(AV598,H598))),ROUNDUP(AT598,0)))</f>
        <v>18</v>
      </c>
      <c r="AQ598" s="50" t="n">
        <f aca="false">IF(BZ598=1,0,ROUNDUP(AP598/BY598,0))</f>
        <v>1</v>
      </c>
      <c r="AR598" s="52" t="n">
        <f aca="false">IF(CQ598&gt;0,CQ598*MAX(1,AP598/X598),IF(BZ598=1,IF(AP598&lt;=0,0,CD598*MAX(1,IF(H598&gt;0,AP598/H598,1))),IF(R598&gt;0,AQ598/R598,0))/MAX(0.1,N(Parameter!$M$21)))</f>
        <v>0.00357142857142857</v>
      </c>
      <c r="AS598" s="50" t="n">
        <f aca="false">AR598*CB598</f>
        <v>0.553571428571429</v>
      </c>
      <c r="AT598" s="51" t="n">
        <f aca="false">IF(LEFT(Cockpit!$I$5,1)="A",H598,IF(CH598=1,(CK598+CI598)/2,IF(LEFT(Cockpit!$I$5,1)="B",(CK598+AV598)/2,MAX((CK598+AV598)/2,H598))))</f>
        <v>18</v>
      </c>
      <c r="AU598" s="50" t="n">
        <f aca="false">AT598*G598</f>
        <v>6.66</v>
      </c>
      <c r="AV598" s="50" t="n">
        <f aca="false">ROUNDUP(CK598+MAX(CL598,2*(J598/IF(CG598&gt;0,CG598,MAX(0.1,N(Cockpit!$I$6)))-CK598)),0)</f>
        <v>21</v>
      </c>
      <c r="AW598" s="51" t="n">
        <f aca="false">IF(AS598&gt;0,J598/AS598,-1)</f>
        <v>36.1290322580645</v>
      </c>
      <c r="AX598" s="51" t="n">
        <f aca="false">IF(AND(OR(CF598="L1",CF598="L23",CF598="LIFT"),AS598&gt;0),SUMIFS($AS$7:$AS$1843,$CF$7:$CF$1843,CF598,$AW$7:$AW$1843,"&gt;"&amp;AW598)+SUMIFS($AS$7:$AS$1843,$CF$7:$CF$1843,CF598,$AW$7:$AW$1843,AW598,$BW$7:$BW$1843,"&lt;="&amp;BW598),"")</f>
        <v>1602.40476190476</v>
      </c>
      <c r="AY598" s="58" t="n">
        <f aca="false">IF(AX598="",0,MAX(0,MIN(1,(IF(CF598="L1",Parameter!$H$5,IF(CF598="L23",Parameter!$H$6+Parameter!$H$7,Parameter!$H$5+Parameter!$H$6+Parameter!$H$7))-(AX598-AS598))/AS598)))</f>
        <v>1</v>
      </c>
      <c r="AZ598" s="50" t="n">
        <f aca="false">IF(LEFT(Cockpit!$O$5,1)="A",H598,IF(Parameter!$E$30="MAX-Bestand",IF(CH598=1,CI598,IF(LEFT(Cockpit!$O$5,1)="B",BF598,MAX(BF598,H598))),ROUNDUP(BD598,0)))</f>
        <v>11</v>
      </c>
      <c r="BA598" s="50" t="n">
        <f aca="false">IF(BZ598=1,0,ROUNDUP(AZ598/BY598,0))</f>
        <v>1</v>
      </c>
      <c r="BB598" s="52" t="n">
        <f aca="false">IF(CQ598&gt;0,CQ598*MAX(1,AZ598/X598),IF(BZ598=1,IF(AZ598&lt;=0,0,CD598*MAX(1,IF(H598&gt;0,AZ598/H598,1))),IF(R598&gt;0,BA598/R598,0))/MAX(0.1,N(Parameter!$M$21)))</f>
        <v>0.00357142857142857</v>
      </c>
      <c r="BC598" s="50" t="n">
        <f aca="false">BB598*CB598</f>
        <v>0.553571428571429</v>
      </c>
      <c r="BD598" s="51" t="n">
        <f aca="false">IF(LEFT(Cockpit!$O$5,1)="A",H598,IF(CH598=1,(CK598+CI598)/2,IF(LEFT(Cockpit!$O$5,1)="B",(CK598+BF598)/2,MAX((CK598+BF598)/2,H598))))</f>
        <v>11</v>
      </c>
      <c r="BE598" s="50" t="n">
        <f aca="false">BD598*G598</f>
        <v>4.07</v>
      </c>
      <c r="BF598" s="50" t="n">
        <f aca="false">ROUNDUP(CK598+MAX(CL598,2*(J598/IF(CG598&gt;0,CG598,MAX(0.1,N(Cockpit!$O$6)))-CK598)),0)</f>
        <v>21</v>
      </c>
      <c r="BG598" s="51" t="n">
        <f aca="false">IF(BC598&gt;0,J598/BC598,-1)</f>
        <v>36.1290322580645</v>
      </c>
      <c r="BH598" s="51" t="n">
        <f aca="false">IF(AND(OR(CF598="L1",CF598="L23",CF598="LIFT"),BC598&gt;0),SUMIFS($BC$7:$BC$1843,$CF$7:$CF$1843,CF598,$BG$7:$BG$1843,"&gt;"&amp;BG598)+SUMIFS($BC$7:$BC$1843,$CF$7:$CF$1843,CF598,$BG$7:$BG$1843,BG598,$BW$7:$BW$1843,"&lt;="&amp;BW598),"")</f>
        <v>1530.60622710623</v>
      </c>
      <c r="BI598" s="58" t="n">
        <f aca="false">IF(BH598="",0,MAX(0,MIN(1,(IF(CF598="L1",Parameter!$H$5,IF(CF598="L23",Parameter!$H$6+Parameter!$H$7,Parameter!$H$5+Parameter!$H$6+Parameter!$H$7))-(BH598-BC598))/BC598)))</f>
        <v>1</v>
      </c>
      <c r="BJ598" s="48" t="str">
        <f aca="false">IF(AI598&lt;=0,"",IF(CF598="Aussen","Aussenlager",IF(CF598="-","Nicht im Lift",IF(AO598&gt;=1,"Lift",IF(AO598&lt;=0,"Aussenlager","teilweise")))))</f>
        <v>Lift</v>
      </c>
      <c r="BK598" s="48" t="str">
        <f aca="false">IF(AS598&lt;=0,"",IF(CF598="Aussen","Aussenlager",IF(CF598="-","Nicht im Lift",IF(AY598&gt;=1,"Lift",IF(AY598&lt;=0,"Aussenlager","teilweise")))))</f>
        <v>Lift</v>
      </c>
      <c r="BL598" s="48" t="str">
        <f aca="false">IF(BC598&lt;=0,"",IF(CF598="Aussen","Aussenlager",IF(CF598="-","Nicht im Lift",IF(BI598&gt;=1,"Lift",IF(BI598&lt;=0,"Aussenlager","teilweise")))))</f>
        <v>Lift</v>
      </c>
      <c r="BM598" s="48" t="str">
        <f aca="false">IF(A598="","",IF(BV598=1,"Neu; ","")&amp;IF(AND(BV598=0,BQ598&lt;0),"negativer Bestand (Export "&amp;BQ598&amp;"); ","")&amp;IF(J598&lt;=0,"Kein Verbrauch; ","")&amp;IF(CQ598&gt;0,"Lift "&amp;W598&amp;" lt. Liftbericht (Fach "&amp;X598&amp;" Stk); ",IF(CA598=1,"Gebinde geschätzt ("&amp;T598&amp;"); ",IF(BZ598=1,"Lose – Tablare geschätzt; ","")))&amp;IF(H598&gt;AV598,"Überbestand "&amp;ROUND(H598-AV598,0)&amp;" Stk / CHF "&amp;ROUND((H598-AV598)*G598,0)&amp;"; ","")&amp;IF(AND(CH598=1,CI598&lt;CJ598),"MAX &lt; MB+LG; ","")&amp;IF(AND(CP598&gt;0,CO598*10&gt;CP598),"zu hoch für Tablar; ","")&amp;IF(AND(BV598=0,OR(CH598=1,AA598&lt;&gt;"",U598&lt;&gt;"",V598&lt;&gt;"",AB598&lt;&gt;"")),"manuell übersteuert; ","")&amp;IF(AND(BZ598=0,R598=0),"Gebinde unbekannt / Stellmass fehlt; ","")&amp;IF(AND(BZ598=0,N(V598)&lt;=0,N(Q598)&lt;=0),"Menge pro Gebinde fehlt (Ist = 1 Gebinde); ","")&amp;BU598)</f>
        <v/>
      </c>
      <c r="BN598" s="48"/>
      <c r="BO598" s="48"/>
      <c r="BP598" s="55"/>
      <c r="BQ598" s="50" t="n">
        <v>18</v>
      </c>
      <c r="BR598" s="50" t="n">
        <v>0</v>
      </c>
      <c r="BS598" s="49" t="n">
        <v>6.66</v>
      </c>
      <c r="BT598" s="50" t="n">
        <v>20</v>
      </c>
      <c r="BU598" s="48"/>
      <c r="BV598" s="53" t="n">
        <v>0</v>
      </c>
      <c r="BW598" s="53" t="n">
        <v>598</v>
      </c>
      <c r="BX598" s="48" t="str">
        <f aca="false">IF(U598&lt;&gt;"",UPPER(TRIM(U598)),IF(CA598=1,UPPER(VLOOKUP(T598,Parameter!$I$27:$K$29,2,0)),IF(P598="","LOSE",P598)))</f>
        <v>S21</v>
      </c>
      <c r="BY598" s="50" t="n">
        <f aca="false">IF(BX598="LOSE",1,IF(N(V598)&gt;0,V598,IF(CA598=1,MAX(1,N(VLOOKUP(T598,Parameter!$I$27:$K$29,3,0)),H598,N(N598)),IF(N(Q598)&gt;0,Q598,MAX(1,H598)))))</f>
        <v>30</v>
      </c>
      <c r="BZ598" s="53" t="n">
        <f aca="false">IF(BX598="LOSE",1,0)</f>
        <v>0</v>
      </c>
      <c r="CA598" s="53" t="n">
        <f aca="false">IF(AND(U598="",OR(P598="",P598="LOSE"),T598&lt;&gt;"",N(S598)&lt;=0,ISNUMBER(MATCH(T598,Parameter!$I$27:$I$29,0))),1,0)</f>
        <v>0</v>
      </c>
      <c r="CB598" s="53" t="n">
        <f aca="false">IF(CQ598&gt;0,INDEX(Parameter!$H$5:$H$7,W598)/INDEX(Parameter!$E$5:$E$7,W598),IF(AND(BZ598=0,N(IFERROR(VLOOKUP(BX598,'Gebinde-Kategorie'!$A$5:$N$45,14,0),0))&gt;0),VLOOKUP(BX598,'Gebinde-Kategorie'!$A$5:$N$45,14,0)*10+Parameter!$M$23,Parameter!$M$24))</f>
        <v>155</v>
      </c>
      <c r="CC598" s="48" t="str">
        <f aca="false">IF(AND(Parameter!$B$19="Ja",E598&lt;&gt;"",ISNUMBER(MATCH(E598,Parameter!$I$35:$I$52,0))),VLOOKUP(E598,Parameter!$I$35:$J$52,2,0),IFERROR(VLOOKUP(D598,Parameter!$A$35:$C$64,2,0),"Nein"))</f>
        <v>2+3</v>
      </c>
      <c r="CD598" s="52" t="n">
        <f aca="false">IF(BZ598=0,0,IF(N(S598)&gt;0,S598,IFERROR(VLOOKUP(D598,Parameter!$A$35:$C$64,3,0)+0,0)))</f>
        <v>0</v>
      </c>
      <c r="CE598" s="48" t="n">
        <f aca="false">IF(AA598&lt;&gt;"",AA598,Z598)</f>
        <v>3</v>
      </c>
      <c r="CF598" s="48" t="str">
        <f aca="false">IF(OR(CE598=1,CE598=2,CE598=3),IF(Parameter!$E$27="Ja","LIFT",IF(CE598=1,"L1","L23")),IF(CE598="Aussen","Aussen","-"))</f>
        <v>LIFT</v>
      </c>
      <c r="CG598" s="59" t="n">
        <f aca="false">IF(N(AB598)&gt;0,AB598,0)</f>
        <v>0</v>
      </c>
      <c r="CH598" s="53" t="n">
        <f aca="false">IF(ISNUMBER(AE598),1,0)</f>
        <v>0</v>
      </c>
      <c r="CI598" s="50" t="n">
        <f aca="false">N(AE598)</f>
        <v>0</v>
      </c>
      <c r="CJ598" s="50" t="n">
        <f aca="false">N(M598)+N(N598)</f>
        <v>21</v>
      </c>
      <c r="CK598" s="50" t="n">
        <f aca="false">N(M598)</f>
        <v>1</v>
      </c>
      <c r="CL598" s="50" t="n">
        <f aca="false">N(N598)</f>
        <v>20</v>
      </c>
      <c r="CM598" s="50" t="n">
        <f aca="false">ROUNDUP(H598/BY598,0)</f>
        <v>1</v>
      </c>
      <c r="CN598" s="50" t="n">
        <f aca="false">ROUNDUP(CI598/BY598,0)</f>
        <v>0</v>
      </c>
      <c r="CO598" s="53" t="n">
        <f aca="false">IF(BZ598=1,0,IFERROR(VLOOKUP(BX598,'Gebinde-Kategorie'!$A$5:$N$45,5,0)+0,0))</f>
        <v>8</v>
      </c>
      <c r="CP598" s="53" t="n">
        <f aca="false">IFERROR(IF(OR(CE598=1,CE598=2,CE598=3),N(INDEX(Parameter!$I$5:$I$7,CE598)),0),0)</f>
        <v>0</v>
      </c>
      <c r="CQ598" s="52" t="n">
        <f aca="false">IF(AND(Parameter!$B$21="Ja",ISNUMBER(W598),N(X598)&gt;0),IFERROR(N(INDEX(Parameter!$L$5:$L$7,W598))*INDEX(Parameter!$E$5:$E$7,W598)*X598/SUMIFS($X$7:$X$1843,$W$7:$W$1843,W598),0),0)</f>
        <v>0</v>
      </c>
    </row>
    <row r="599" customFormat="false" ht="15" hidden="false" customHeight="false" outlineLevel="0" collapsed="false">
      <c r="A599" s="48" t="s">
        <v>1251</v>
      </c>
      <c r="B599" s="48" t="s">
        <v>1018</v>
      </c>
      <c r="C599" s="48" t="s">
        <v>173</v>
      </c>
      <c r="D599" s="48" t="s">
        <v>193</v>
      </c>
      <c r="E599" s="48"/>
      <c r="F599" s="48" t="s">
        <v>227</v>
      </c>
      <c r="G599" s="49" t="n">
        <v>6.65</v>
      </c>
      <c r="H599" s="50" t="n">
        <f aca="false">MAX(0,IF(AND(Parameter!$B$21="Ja",ISNUMBER(Y599)),Y599,IF(Parameter!$B$20="Jahresanfang 2025 + Export",BR599+BQ599,BQ599)))</f>
        <v>51</v>
      </c>
      <c r="I599" s="50" t="n">
        <f aca="false">H599*G599</f>
        <v>339.15</v>
      </c>
      <c r="J599" s="50" t="n">
        <f aca="false">BT599*Parameter!$B$18</f>
        <v>0</v>
      </c>
      <c r="K599" s="51" t="n">
        <v>50.5</v>
      </c>
      <c r="L599" s="52" t="n">
        <v>0</v>
      </c>
      <c r="M599" s="50" t="n">
        <v>0</v>
      </c>
      <c r="N599" s="50" t="n">
        <v>1</v>
      </c>
      <c r="O599" s="53" t="n">
        <v>70</v>
      </c>
      <c r="P599" s="48" t="s">
        <v>485</v>
      </c>
      <c r="Q599" s="50" t="n">
        <v>55</v>
      </c>
      <c r="R599" s="53" t="n">
        <f aca="false">IF(BZ599=1,0,IFERROR(VLOOKUP(BX599,'Gebinde-Kategorie'!$A$5:$N$45,13,0)+0,0))</f>
        <v>52</v>
      </c>
      <c r="S599" s="54"/>
      <c r="T599" s="55"/>
      <c r="U599" s="55"/>
      <c r="V599" s="55"/>
      <c r="W599" s="48"/>
      <c r="X599" s="50"/>
      <c r="Y599" s="50"/>
      <c r="Z599" s="48" t="n">
        <f aca="false">IF(A599="","",IF(AND(Parameter!$B$21="Ja",ISNUMBER(W599)),W599,IF(CC599="2+3",IF(ISNUMBER(SEARCH("grosser Artikel",BU599)),2,IFERROR(VLOOKUP(BX599,Parameter!$F$35:$G$64,2,0),2)),IF(OR(CC599="Nein",CC599=""),"-",CC599))))</f>
        <v>3</v>
      </c>
      <c r="AA599" s="55"/>
      <c r="AB599" s="56"/>
      <c r="AC599" s="50" t="n">
        <f aca="false">AV599</f>
        <v>1</v>
      </c>
      <c r="AD599" s="50" t="n">
        <f aca="false">MAX(AV599,H599)</f>
        <v>51</v>
      </c>
      <c r="AE599" s="57"/>
      <c r="AF599" s="50" t="n">
        <f aca="false">IF(LEFT(Cockpit!$C$5,1)="A",H599,IF(Parameter!$E$30="MAX-Bestand",IF(CH599=1,CI599,IF(LEFT(Cockpit!$C$5,1)="B",AL599,MAX(AL599,H599))),ROUNDUP(AJ599,0)))</f>
        <v>51</v>
      </c>
      <c r="AG599" s="50" t="n">
        <f aca="false">IF(BZ599=1,0,ROUNDUP(AF599/BY599,0))</f>
        <v>1</v>
      </c>
      <c r="AH599" s="52" t="n">
        <f aca="false">IF(CQ599&gt;0,CQ599*MAX(1,AF599/X599),IF(BZ599=1,IF(AF599&lt;=0,0,CD599*MAX(1,IF(H599&gt;0,AF599/H599,1))),IF(R599&gt;0,AG599/R599,0))/MAX(0.1,N(Parameter!$M$21)))</f>
        <v>0.0192307692307692</v>
      </c>
      <c r="AI599" s="50" t="n">
        <f aca="false">AH599*CB599</f>
        <v>2.98076923076923</v>
      </c>
      <c r="AJ599" s="51" t="n">
        <f aca="false">IF(LEFT(Cockpit!$C$5,1)="A",H599,IF(CH599=1,(CK599+CI599)/2,IF(LEFT(Cockpit!$C$5,1)="B",(CK599+AL599)/2,MAX((CK599+AL599)/2,H599))))</f>
        <v>51</v>
      </c>
      <c r="AK599" s="50" t="n">
        <f aca="false">AJ599*G599</f>
        <v>339.15</v>
      </c>
      <c r="AL599" s="50" t="n">
        <f aca="false">ROUNDUP(CK599+MAX(CL599,2*(J599/IF(CG599&gt;0,CG599,MAX(0.1,N(Cockpit!$C$6)))-CK599)),0)</f>
        <v>1</v>
      </c>
      <c r="AM599" s="51" t="n">
        <f aca="false">IF(AI599&gt;0,J599/AI599,-1)</f>
        <v>0</v>
      </c>
      <c r="AN599" s="51" t="n">
        <f aca="false">IF(AND(OR(CF599="L1",CF599="L23",CF599="LIFT"),AI599&gt;0),SUMIFS($AI$7:$AI$1843,$CF$7:$CF$1843,CF599,$AM$7:$AM$1843,"&gt;"&amp;AM599)+SUMIFS($AI$7:$AI$1843,$CF$7:$CF$1843,CF599,$AM$7:$AM$1843,AM599,$BW$7:$BW$1843,"&lt;="&amp;BW599),"")</f>
        <v>28531.9850582562</v>
      </c>
      <c r="AO599" s="58" t="n">
        <f aca="false">IF(AN599="",0,MAX(0,MIN(1,(IF(CF599="L1",Parameter!$H$5,IF(CF599="L23",Parameter!$H$6+Parameter!$H$7,Parameter!$H$5+Parameter!$H$6+Parameter!$H$7))-(AN599-AI599))/AI599)))</f>
        <v>1</v>
      </c>
      <c r="AP599" s="50" t="n">
        <f aca="false">IF(LEFT(Cockpit!$I$5,1)="A",H599,IF(Parameter!$E$30="MAX-Bestand",IF(CH599=1,CI599,IF(LEFT(Cockpit!$I$5,1)="B",AV599,MAX(AV599,H599))),ROUNDUP(AT599,0)))</f>
        <v>51</v>
      </c>
      <c r="AQ599" s="50" t="n">
        <f aca="false">IF(BZ599=1,0,ROUNDUP(AP599/BY599,0))</f>
        <v>1</v>
      </c>
      <c r="AR599" s="52" t="n">
        <f aca="false">IF(CQ599&gt;0,CQ599*MAX(1,AP599/X599),IF(BZ599=1,IF(AP599&lt;=0,0,CD599*MAX(1,IF(H599&gt;0,AP599/H599,1))),IF(R599&gt;0,AQ599/R599,0))/MAX(0.1,N(Parameter!$M$21)))</f>
        <v>0.0192307692307692</v>
      </c>
      <c r="AS599" s="50" t="n">
        <f aca="false">AR599*CB599</f>
        <v>2.98076923076923</v>
      </c>
      <c r="AT599" s="51" t="n">
        <f aca="false">IF(LEFT(Cockpit!$I$5,1)="A",H599,IF(CH599=1,(CK599+CI599)/2,IF(LEFT(Cockpit!$I$5,1)="B",(CK599+AV599)/2,MAX((CK599+AV599)/2,H599))))</f>
        <v>51</v>
      </c>
      <c r="AU599" s="50" t="n">
        <f aca="false">AT599*G599</f>
        <v>339.15</v>
      </c>
      <c r="AV599" s="50" t="n">
        <f aca="false">ROUNDUP(CK599+MAX(CL599,2*(J599/IF(CG599&gt;0,CG599,MAX(0.1,N(Cockpit!$I$6)))-CK599)),0)</f>
        <v>1</v>
      </c>
      <c r="AW599" s="51" t="n">
        <f aca="false">IF(AS599&gt;0,J599/AS599,-1)</f>
        <v>0</v>
      </c>
      <c r="AX599" s="51" t="n">
        <f aca="false">IF(AND(OR(CF599="L1",CF599="L23",CF599="LIFT"),AS599&gt;0),SUMIFS($AS$7:$AS$1843,$CF$7:$CF$1843,CF599,$AW$7:$AW$1843,"&gt;"&amp;AW599)+SUMIFS($AS$7:$AS$1843,$CF$7:$CF$1843,CF599,$AW$7:$AW$1843,AW599,$BW$7:$BW$1843,"&lt;="&amp;BW599),"")</f>
        <v>33885.1336996337</v>
      </c>
      <c r="AY599" s="58" t="n">
        <f aca="false">IF(AX599="",0,MAX(0,MIN(1,(IF(CF599="L1",Parameter!$H$5,IF(CF599="L23",Parameter!$H$6+Parameter!$H$7,Parameter!$H$5+Parameter!$H$6+Parameter!$H$7))-(AX599-AS599))/AS599)))</f>
        <v>1</v>
      </c>
      <c r="AZ599" s="50" t="n">
        <f aca="false">IF(LEFT(Cockpit!$O$5,1)="A",H599,IF(Parameter!$E$30="MAX-Bestand",IF(CH599=1,CI599,IF(LEFT(Cockpit!$O$5,1)="B",BF599,MAX(BF599,H599))),ROUNDUP(BD599,0)))</f>
        <v>1</v>
      </c>
      <c r="BA599" s="50" t="n">
        <f aca="false">IF(BZ599=1,0,ROUNDUP(AZ599/BY599,0))</f>
        <v>1</v>
      </c>
      <c r="BB599" s="52" t="n">
        <f aca="false">IF(CQ599&gt;0,CQ599*MAX(1,AZ599/X599),IF(BZ599=1,IF(AZ599&lt;=0,0,CD599*MAX(1,IF(H599&gt;0,AZ599/H599,1))),IF(R599&gt;0,BA599/R599,0))/MAX(0.1,N(Parameter!$M$21)))</f>
        <v>0.0192307692307692</v>
      </c>
      <c r="BC599" s="50" t="n">
        <f aca="false">BB599*CB599</f>
        <v>2.98076923076923</v>
      </c>
      <c r="BD599" s="51" t="n">
        <f aca="false">IF(LEFT(Cockpit!$O$5,1)="A",H599,IF(CH599=1,(CK599+CI599)/2,IF(LEFT(Cockpit!$O$5,1)="B",(CK599+BF599)/2,MAX((CK599+BF599)/2,H599))))</f>
        <v>0.5</v>
      </c>
      <c r="BE599" s="50" t="n">
        <f aca="false">BD599*G599</f>
        <v>3.325</v>
      </c>
      <c r="BF599" s="50" t="n">
        <f aca="false">ROUNDUP(CK599+MAX(CL599,2*(J599/IF(CG599&gt;0,CG599,MAX(0.1,N(Cockpit!$O$6)))-CK599)),0)</f>
        <v>1</v>
      </c>
      <c r="BG599" s="51" t="n">
        <f aca="false">IF(BC599&gt;0,J599/BC599,-1)</f>
        <v>0</v>
      </c>
      <c r="BH599" s="51" t="n">
        <f aca="false">IF(AND(OR(CF599="L1",CF599="L23",CF599="LIFT"),BC599&gt;0),SUMIFS($BC$7:$BC$1843,$CF$7:$CF$1843,CF599,$BG$7:$BG$1843,"&gt;"&amp;BG599)+SUMIFS($BC$7:$BC$1843,$CF$7:$CF$1843,CF599,$BG$7:$BG$1843,BG599,$BW$7:$BW$1843,"&lt;="&amp;BW599),"")</f>
        <v>27958.928912895</v>
      </c>
      <c r="BI599" s="58" t="n">
        <f aca="false">IF(BH599="",0,MAX(0,MIN(1,(IF(CF599="L1",Parameter!$H$5,IF(CF599="L23",Parameter!$H$6+Parameter!$H$7,Parameter!$H$5+Parameter!$H$6+Parameter!$H$7))-(BH599-BC599))/BC599)))</f>
        <v>1</v>
      </c>
      <c r="BJ599" s="48" t="str">
        <f aca="false">IF(AI599&lt;=0,"",IF(CF599="Aussen","Aussenlager",IF(CF599="-","Nicht im Lift",IF(AO599&gt;=1,"Lift",IF(AO599&lt;=0,"Aussenlager","teilweise")))))</f>
        <v>Lift</v>
      </c>
      <c r="BK599" s="48" t="str">
        <f aca="false">IF(AS599&lt;=0,"",IF(CF599="Aussen","Aussenlager",IF(CF599="-","Nicht im Lift",IF(AY599&gt;=1,"Lift",IF(AY599&lt;=0,"Aussenlager","teilweise")))))</f>
        <v>Lift</v>
      </c>
      <c r="BL599" s="48" t="str">
        <f aca="false">IF(BC599&lt;=0,"",IF(CF599="Aussen","Aussenlager",IF(CF599="-","Nicht im Lift",IF(BI599&gt;=1,"Lift",IF(BI599&lt;=0,"Aussenlager","teilweise")))))</f>
        <v>Lift</v>
      </c>
      <c r="BM599" s="48" t="str">
        <f aca="false">IF(A599="","",IF(BV599=1,"Neu; ","")&amp;IF(AND(BV599=0,BQ599&lt;0),"negativer Bestand (Export "&amp;BQ599&amp;"); ","")&amp;IF(J599&lt;=0,"Kein Verbrauch; ","")&amp;IF(CQ599&gt;0,"Lift "&amp;W599&amp;" lt. Liftbericht (Fach "&amp;X599&amp;" Stk); ",IF(CA599=1,"Gebinde geschätzt ("&amp;T599&amp;"); ",IF(BZ599=1,"Lose – Tablare geschätzt; ","")))&amp;IF(H599&gt;AV599,"Überbestand "&amp;ROUND(H599-AV599,0)&amp;" Stk / CHF "&amp;ROUND((H599-AV599)*G599,0)&amp;"; ","")&amp;IF(AND(CH599=1,CI599&lt;CJ599),"MAX &lt; MB+LG; ","")&amp;IF(AND(CP599&gt;0,CO599*10&gt;CP599),"zu hoch für Tablar; ","")&amp;IF(AND(BV599=0,OR(CH599=1,AA599&lt;&gt;"",U599&lt;&gt;"",V599&lt;&gt;"",AB599&lt;&gt;"")),"manuell übersteuert; ","")&amp;IF(AND(BZ599=0,R599=0),"Gebinde unbekannt / Stellmass fehlt; ","")&amp;IF(AND(BZ599=0,N(V599)&lt;=0,N(Q599)&lt;=0),"Menge pro Gebinde fehlt (Ist = 1 Gebinde); ","")&amp;BU599)</f>
        <v>Kein Verbrauch; Überbestand 50 Stk / CHF 333; </v>
      </c>
      <c r="BN599" s="48"/>
      <c r="BO599" s="48"/>
      <c r="BP599" s="55"/>
      <c r="BQ599" s="50" t="n">
        <v>1</v>
      </c>
      <c r="BR599" s="50" t="n">
        <v>50</v>
      </c>
      <c r="BS599" s="49" t="n">
        <v>6.65</v>
      </c>
      <c r="BT599" s="50" t="n">
        <v>0</v>
      </c>
      <c r="BU599" s="48"/>
      <c r="BV599" s="53" t="n">
        <v>0</v>
      </c>
      <c r="BW599" s="53" t="n">
        <v>599</v>
      </c>
      <c r="BX599" s="48" t="str">
        <f aca="false">IF(U599&lt;&gt;"",UPPER(TRIM(U599)),IF(CA599=1,UPPER(VLOOKUP(T599,Parameter!$I$27:$K$29,2,0)),IF(P599="","LOSE",P599)))</f>
        <v>S33</v>
      </c>
      <c r="BY599" s="50" t="n">
        <f aca="false">IF(BX599="LOSE",1,IF(N(V599)&gt;0,V599,IF(CA599=1,MAX(1,N(VLOOKUP(T599,Parameter!$I$27:$K$29,3,0)),H599,N(N599)),IF(N(Q599)&gt;0,Q599,MAX(1,H599)))))</f>
        <v>55</v>
      </c>
      <c r="BZ599" s="53" t="n">
        <f aca="false">IF(BX599="LOSE",1,0)</f>
        <v>0</v>
      </c>
      <c r="CA599" s="53" t="n">
        <f aca="false">IF(AND(U599="",OR(P599="",P599="LOSE"),T599&lt;&gt;"",N(S599)&lt;=0,ISNUMBER(MATCH(T599,Parameter!$I$27:$I$29,0))),1,0)</f>
        <v>0</v>
      </c>
      <c r="CB599" s="53" t="n">
        <f aca="false">IF(CQ599&gt;0,INDEX(Parameter!$H$5:$H$7,W599)/INDEX(Parameter!$E$5:$E$7,W599),IF(AND(BZ599=0,N(IFERROR(VLOOKUP(BX599,'Gebinde-Kategorie'!$A$5:$N$45,14,0),0))&gt;0),VLOOKUP(BX599,'Gebinde-Kategorie'!$A$5:$N$45,14,0)*10+Parameter!$M$23,Parameter!$M$24))</f>
        <v>155</v>
      </c>
      <c r="CC599" s="48" t="str">
        <f aca="false">IF(AND(Parameter!$B$19="Ja",E599&lt;&gt;"",ISNUMBER(MATCH(E599,Parameter!$I$35:$I$52,0))),VLOOKUP(E599,Parameter!$I$35:$J$52,2,0),IFERROR(VLOOKUP(D599,Parameter!$A$35:$C$64,2,0),"Nein"))</f>
        <v>2+3</v>
      </c>
      <c r="CD599" s="52" t="n">
        <f aca="false">IF(BZ599=0,0,IF(N(S599)&gt;0,S599,IFERROR(VLOOKUP(D599,Parameter!$A$35:$C$64,3,0)+0,0)))</f>
        <v>0</v>
      </c>
      <c r="CE599" s="48" t="n">
        <f aca="false">IF(AA599&lt;&gt;"",AA599,Z599)</f>
        <v>3</v>
      </c>
      <c r="CF599" s="48" t="str">
        <f aca="false">IF(OR(CE599=1,CE599=2,CE599=3),IF(Parameter!$E$27="Ja","LIFT",IF(CE599=1,"L1","L23")),IF(CE599="Aussen","Aussen","-"))</f>
        <v>LIFT</v>
      </c>
      <c r="CG599" s="59" t="n">
        <f aca="false">IF(N(AB599)&gt;0,AB599,0)</f>
        <v>0</v>
      </c>
      <c r="CH599" s="53" t="n">
        <f aca="false">IF(ISNUMBER(AE599),1,0)</f>
        <v>0</v>
      </c>
      <c r="CI599" s="50" t="n">
        <f aca="false">N(AE599)</f>
        <v>0</v>
      </c>
      <c r="CJ599" s="50" t="n">
        <f aca="false">N(M599)+N(N599)</f>
        <v>1</v>
      </c>
      <c r="CK599" s="50" t="n">
        <f aca="false">N(M599)</f>
        <v>0</v>
      </c>
      <c r="CL599" s="50" t="n">
        <f aca="false">N(N599)</f>
        <v>1</v>
      </c>
      <c r="CM599" s="50" t="n">
        <f aca="false">ROUNDUP(H599/BY599,0)</f>
        <v>1</v>
      </c>
      <c r="CN599" s="50" t="n">
        <f aca="false">ROUNDUP(CI599/BY599,0)</f>
        <v>0</v>
      </c>
      <c r="CO599" s="53" t="n">
        <f aca="false">IF(BZ599=1,0,IFERROR(VLOOKUP(BX599,'Gebinde-Kategorie'!$A$5:$N$45,5,0)+0,0))</f>
        <v>8</v>
      </c>
      <c r="CP599" s="53" t="n">
        <f aca="false">IFERROR(IF(OR(CE599=1,CE599=2,CE599=3),N(INDEX(Parameter!$I$5:$I$7,CE599)),0),0)</f>
        <v>0</v>
      </c>
      <c r="CQ599" s="52" t="n">
        <f aca="false">IF(AND(Parameter!$B$21="Ja",ISNUMBER(W599),N(X599)&gt;0),IFERROR(N(INDEX(Parameter!$L$5:$L$7,W599))*INDEX(Parameter!$E$5:$E$7,W599)*X599/SUMIFS($X$7:$X$1843,$W$7:$W$1843,W599),0),0)</f>
        <v>0</v>
      </c>
    </row>
    <row r="600" customFormat="false" ht="15" hidden="false" customHeight="false" outlineLevel="0" collapsed="false">
      <c r="A600" s="48" t="s">
        <v>1252</v>
      </c>
      <c r="B600" s="48" t="s">
        <v>1253</v>
      </c>
      <c r="C600" s="48" t="s">
        <v>173</v>
      </c>
      <c r="D600" s="48" t="s">
        <v>193</v>
      </c>
      <c r="E600" s="48" t="s">
        <v>194</v>
      </c>
      <c r="F600" s="48" t="s">
        <v>227</v>
      </c>
      <c r="G600" s="49" t="n">
        <v>0.14</v>
      </c>
      <c r="H600" s="50" t="n">
        <f aca="false">MAX(0,IF(AND(Parameter!$B$21="Ja",ISNUMBER(Y600)),Y600,IF(Parameter!$B$20="Jahresanfang 2025 + Export",BR600+BQ600,BQ600)))</f>
        <v>150</v>
      </c>
      <c r="I600" s="50" t="n">
        <f aca="false">H600*G600</f>
        <v>21</v>
      </c>
      <c r="J600" s="50" t="n">
        <f aca="false">BT600*Parameter!$B$18</f>
        <v>51</v>
      </c>
      <c r="K600" s="51" t="n">
        <v>200</v>
      </c>
      <c r="L600" s="52" t="n">
        <v>0.255</v>
      </c>
      <c r="M600" s="50" t="n">
        <v>2</v>
      </c>
      <c r="N600" s="50" t="n">
        <v>500</v>
      </c>
      <c r="O600" s="53" t="n">
        <v>21</v>
      </c>
      <c r="P600" s="48" t="s">
        <v>311</v>
      </c>
      <c r="Q600" s="50" t="n">
        <v>600</v>
      </c>
      <c r="R600" s="53" t="n">
        <f aca="false">IF(BZ600=1,0,IFERROR(VLOOKUP(BX600,'Gebinde-Kategorie'!$A$5:$N$45,13,0)+0,0))</f>
        <v>26</v>
      </c>
      <c r="S600" s="54"/>
      <c r="T600" s="55"/>
      <c r="U600" s="55"/>
      <c r="V600" s="55"/>
      <c r="W600" s="48"/>
      <c r="X600" s="50"/>
      <c r="Y600" s="50"/>
      <c r="Z600" s="48" t="n">
        <f aca="false">IF(A600="","",IF(AND(Parameter!$B$21="Ja",ISNUMBER(W600)),W600,IF(CC600="2+3",IF(ISNUMBER(SEARCH("grosser Artikel",BU600)),2,IFERROR(VLOOKUP(BX600,Parameter!$F$35:$G$64,2,0),2)),IF(OR(CC600="Nein",CC600=""),"-",CC600))))</f>
        <v>3</v>
      </c>
      <c r="AA600" s="55"/>
      <c r="AB600" s="56"/>
      <c r="AC600" s="50" t="n">
        <f aca="false">AV600</f>
        <v>502</v>
      </c>
      <c r="AD600" s="50" t="n">
        <f aca="false">MAX(AV600,H600)</f>
        <v>502</v>
      </c>
      <c r="AE600" s="57"/>
      <c r="AF600" s="50" t="n">
        <f aca="false">IF(LEFT(Cockpit!$C$5,1)="A",H600,IF(Parameter!$E$30="MAX-Bestand",IF(CH600=1,CI600,IF(LEFT(Cockpit!$C$5,1)="B",AL600,MAX(AL600,H600))),ROUNDUP(AJ600,0)))</f>
        <v>150</v>
      </c>
      <c r="AG600" s="50" t="n">
        <f aca="false">IF(BZ600=1,0,ROUNDUP(AF600/BY600,0))</f>
        <v>1</v>
      </c>
      <c r="AH600" s="52" t="n">
        <f aca="false">IF(CQ600&gt;0,CQ600*MAX(1,AF600/X600),IF(BZ600=1,IF(AF600&lt;=0,0,CD600*MAX(1,IF(H600&gt;0,AF600/H600,1))),IF(R600&gt;0,AG600/R600,0))/MAX(0.1,N(Parameter!$M$21)))</f>
        <v>0.0384615384615385</v>
      </c>
      <c r="AI600" s="50" t="n">
        <f aca="false">AH600*CB600</f>
        <v>5.96153846153846</v>
      </c>
      <c r="AJ600" s="51" t="n">
        <f aca="false">IF(LEFT(Cockpit!$C$5,1)="A",H600,IF(CH600=1,(CK600+CI600)/2,IF(LEFT(Cockpit!$C$5,1)="B",(CK600+AL600)/2,MAX((CK600+AL600)/2,H600))))</f>
        <v>150</v>
      </c>
      <c r="AK600" s="50" t="n">
        <f aca="false">AJ600*G600</f>
        <v>21</v>
      </c>
      <c r="AL600" s="50" t="n">
        <f aca="false">ROUNDUP(CK600+MAX(CL600,2*(J600/IF(CG600&gt;0,CG600,MAX(0.1,N(Cockpit!$C$6)))-CK600)),0)</f>
        <v>502</v>
      </c>
      <c r="AM600" s="51" t="n">
        <f aca="false">IF(AI600&gt;0,J600/AI600,-1)</f>
        <v>8.55483870967742</v>
      </c>
      <c r="AN600" s="51" t="n">
        <f aca="false">IF(AND(OR(CF600="L1",CF600="L23",CF600="LIFT"),AI600&gt;0),SUMIFS($AI$7:$AI$1843,$CF$7:$CF$1843,CF600,$AM$7:$AM$1843,"&gt;"&amp;AM600)+SUMIFS($AI$7:$AI$1843,$CF$7:$CF$1843,CF600,$AM$7:$AM$1843,AM600,$BW$7:$BW$1843,"&lt;="&amp;BW600),"")</f>
        <v>2990.83653846154</v>
      </c>
      <c r="AO600" s="58" t="n">
        <f aca="false">IF(AN600="",0,MAX(0,MIN(1,(IF(CF600="L1",Parameter!$H$5,IF(CF600="L23",Parameter!$H$6+Parameter!$H$7,Parameter!$H$5+Parameter!$H$6+Parameter!$H$7))-(AN600-AI600))/AI600)))</f>
        <v>1</v>
      </c>
      <c r="AP600" s="50" t="n">
        <f aca="false">IF(LEFT(Cockpit!$I$5,1)="A",H600,IF(Parameter!$E$30="MAX-Bestand",IF(CH600=1,CI600,IF(LEFT(Cockpit!$I$5,1)="B",AV600,MAX(AV600,H600))),ROUNDUP(AT600,0)))</f>
        <v>252</v>
      </c>
      <c r="AQ600" s="50" t="n">
        <f aca="false">IF(BZ600=1,0,ROUNDUP(AP600/BY600,0))</f>
        <v>1</v>
      </c>
      <c r="AR600" s="52" t="n">
        <f aca="false">IF(CQ600&gt;0,CQ600*MAX(1,AP600/X600),IF(BZ600=1,IF(AP600&lt;=0,0,CD600*MAX(1,IF(H600&gt;0,AP600/H600,1))),IF(R600&gt;0,AQ600/R600,0))/MAX(0.1,N(Parameter!$M$21)))</f>
        <v>0.0384615384615385</v>
      </c>
      <c r="AS600" s="50" t="n">
        <f aca="false">AR600*CB600</f>
        <v>5.96153846153846</v>
      </c>
      <c r="AT600" s="51" t="n">
        <f aca="false">IF(LEFT(Cockpit!$I$5,1)="A",H600,IF(CH600=1,(CK600+CI600)/2,IF(LEFT(Cockpit!$I$5,1)="B",(CK600+AV600)/2,MAX((CK600+AV600)/2,H600))))</f>
        <v>252</v>
      </c>
      <c r="AU600" s="50" t="n">
        <f aca="false">AT600*G600</f>
        <v>35.28</v>
      </c>
      <c r="AV600" s="50" t="n">
        <f aca="false">ROUNDUP(CK600+MAX(CL600,2*(J600/IF(CG600&gt;0,CG600,MAX(0.1,N(Cockpit!$I$6)))-CK600)),0)</f>
        <v>502</v>
      </c>
      <c r="AW600" s="51" t="n">
        <f aca="false">IF(AS600&gt;0,J600/AS600,-1)</f>
        <v>8.55483870967742</v>
      </c>
      <c r="AX600" s="51" t="n">
        <f aca="false">IF(AND(OR(CF600="L1",CF600="L23",CF600="LIFT"),AS600&gt;0),SUMIFS($AS$7:$AS$1843,$CF$7:$CF$1843,CF600,$AW$7:$AW$1843,"&gt;"&amp;AW600)+SUMIFS($AS$7:$AS$1843,$CF$7:$CF$1843,CF600,$AW$7:$AW$1843,AW600,$BW$7:$BW$1843,"&lt;="&amp;BW600),"")</f>
        <v>3577.07463369963</v>
      </c>
      <c r="AY600" s="58" t="n">
        <f aca="false">IF(AX600="",0,MAX(0,MIN(1,(IF(CF600="L1",Parameter!$H$5,IF(CF600="L23",Parameter!$H$6+Parameter!$H$7,Parameter!$H$5+Parameter!$H$6+Parameter!$H$7))-(AX600-AS600))/AS600)))</f>
        <v>1</v>
      </c>
      <c r="AZ600" s="50" t="n">
        <f aca="false">IF(LEFT(Cockpit!$O$5,1)="A",H600,IF(Parameter!$E$30="MAX-Bestand",IF(CH600=1,CI600,IF(LEFT(Cockpit!$O$5,1)="B",BF600,MAX(BF600,H600))),ROUNDUP(BD600,0)))</f>
        <v>252</v>
      </c>
      <c r="BA600" s="50" t="n">
        <f aca="false">IF(BZ600=1,0,ROUNDUP(AZ600/BY600,0))</f>
        <v>1</v>
      </c>
      <c r="BB600" s="52" t="n">
        <f aca="false">IF(CQ600&gt;0,CQ600*MAX(1,AZ600/X600),IF(BZ600=1,IF(AZ600&lt;=0,0,CD600*MAX(1,IF(H600&gt;0,AZ600/H600,1))),IF(R600&gt;0,BA600/R600,0))/MAX(0.1,N(Parameter!$M$21)))</f>
        <v>0.0384615384615385</v>
      </c>
      <c r="BC600" s="50" t="n">
        <f aca="false">BB600*CB600</f>
        <v>5.96153846153846</v>
      </c>
      <c r="BD600" s="51" t="n">
        <f aca="false">IF(LEFT(Cockpit!$O$5,1)="A",H600,IF(CH600=1,(CK600+CI600)/2,IF(LEFT(Cockpit!$O$5,1)="B",(CK600+BF600)/2,MAX((CK600+BF600)/2,H600))))</f>
        <v>252</v>
      </c>
      <c r="BE600" s="50" t="n">
        <f aca="false">BD600*G600</f>
        <v>35.28</v>
      </c>
      <c r="BF600" s="50" t="n">
        <f aca="false">ROUNDUP(CK600+MAX(CL600,2*(J600/IF(CG600&gt;0,CG600,MAX(0.1,N(Cockpit!$O$6)))-CK600)),0)</f>
        <v>502</v>
      </c>
      <c r="BG600" s="51" t="n">
        <f aca="false">IF(BC600&gt;0,J600/BC600,-1)</f>
        <v>8.55483870967742</v>
      </c>
      <c r="BH600" s="51" t="n">
        <f aca="false">IF(AND(OR(CF600="L1",CF600="L23",CF600="LIFT"),BC600&gt;0),SUMIFS($BC$7:$BC$1843,$CF$7:$CF$1843,CF600,$BG$7:$BG$1843,"&gt;"&amp;BG600)+SUMIFS($BC$7:$BC$1843,$CF$7:$CF$1843,CF600,$BG$7:$BG$1843,BG600,$BW$7:$BW$1843,"&lt;="&amp;BW600),"")</f>
        <v>2929.87042124542</v>
      </c>
      <c r="BI600" s="58" t="n">
        <f aca="false">IF(BH600="",0,MAX(0,MIN(1,(IF(CF600="L1",Parameter!$H$5,IF(CF600="L23",Parameter!$H$6+Parameter!$H$7,Parameter!$H$5+Parameter!$H$6+Parameter!$H$7))-(BH600-BC600))/BC600)))</f>
        <v>1</v>
      </c>
      <c r="BJ600" s="48" t="str">
        <f aca="false">IF(AI600&lt;=0,"",IF(CF600="Aussen","Aussenlager",IF(CF600="-","Nicht im Lift",IF(AO600&gt;=1,"Lift",IF(AO600&lt;=0,"Aussenlager","teilweise")))))</f>
        <v>Lift</v>
      </c>
      <c r="BK600" s="48" t="str">
        <f aca="false">IF(AS600&lt;=0,"",IF(CF600="Aussen","Aussenlager",IF(CF600="-","Nicht im Lift",IF(AY600&gt;=1,"Lift",IF(AY600&lt;=0,"Aussenlager","teilweise")))))</f>
        <v>Lift</v>
      </c>
      <c r="BL600" s="48" t="str">
        <f aca="false">IF(BC600&lt;=0,"",IF(CF600="Aussen","Aussenlager",IF(CF600="-","Nicht im Lift",IF(BI600&gt;=1,"Lift",IF(BI600&lt;=0,"Aussenlager","teilweise")))))</f>
        <v>Lift</v>
      </c>
      <c r="BM600" s="48" t="str">
        <f aca="false">IF(A600="","",IF(BV600=1,"Neu; ","")&amp;IF(AND(BV600=0,BQ600&lt;0),"negativer Bestand (Export "&amp;BQ600&amp;"); ","")&amp;IF(J600&lt;=0,"Kein Verbrauch; ","")&amp;IF(CQ600&gt;0,"Lift "&amp;W600&amp;" lt. Liftbericht (Fach "&amp;X600&amp;" Stk); ",IF(CA600=1,"Gebinde geschätzt ("&amp;T600&amp;"); ",IF(BZ600=1,"Lose – Tablare geschätzt; ","")))&amp;IF(H600&gt;AV600,"Überbestand "&amp;ROUND(H600-AV600,0)&amp;" Stk / CHF "&amp;ROUND((H600-AV600)*G600,0)&amp;"; ","")&amp;IF(AND(CH600=1,CI600&lt;CJ600),"MAX &lt; MB+LG; ","")&amp;IF(AND(CP600&gt;0,CO600*10&gt;CP600),"zu hoch für Tablar; ","")&amp;IF(AND(BV600=0,OR(CH600=1,AA600&lt;&gt;"",U600&lt;&gt;"",V600&lt;&gt;"",AB600&lt;&gt;"")),"manuell übersteuert; ","")&amp;IF(AND(BZ600=0,R600=0),"Gebinde unbekannt / Stellmass fehlt; ","")&amp;IF(AND(BZ600=0,N(V600)&lt;=0,N(Q600)&lt;=0),"Menge pro Gebinde fehlt (Ist = 1 Gebinde); ","")&amp;BU600)</f>
        <v/>
      </c>
      <c r="BN600" s="48"/>
      <c r="BO600" s="48"/>
      <c r="BP600" s="55"/>
      <c r="BQ600" s="50" t="n">
        <v>50</v>
      </c>
      <c r="BR600" s="50" t="n">
        <v>100</v>
      </c>
      <c r="BS600" s="49" t="n">
        <v>5.99999999999999</v>
      </c>
      <c r="BT600" s="50" t="n">
        <v>51</v>
      </c>
      <c r="BU600" s="48"/>
      <c r="BV600" s="53" t="n">
        <v>0</v>
      </c>
      <c r="BW600" s="53" t="n">
        <v>600</v>
      </c>
      <c r="BX600" s="48" t="str">
        <f aca="false">IF(U600&lt;&gt;"",UPPER(TRIM(U600)),IF(CA600=1,UPPER(VLOOKUP(T600,Parameter!$I$27:$K$29,2,0)),IF(P600="","LOSE",P600)))</f>
        <v>S51</v>
      </c>
      <c r="BY600" s="50" t="n">
        <f aca="false">IF(BX600="LOSE",1,IF(N(V600)&gt;0,V600,IF(CA600=1,MAX(1,N(VLOOKUP(T600,Parameter!$I$27:$K$29,3,0)),H600,N(N600)),IF(N(Q600)&gt;0,Q600,MAX(1,H600)))))</f>
        <v>600</v>
      </c>
      <c r="BZ600" s="53" t="n">
        <f aca="false">IF(BX600="LOSE",1,0)</f>
        <v>0</v>
      </c>
      <c r="CA600" s="53" t="n">
        <f aca="false">IF(AND(U600="",OR(P600="",P600="LOSE"),T600&lt;&gt;"",N(S600)&lt;=0,ISNUMBER(MATCH(T600,Parameter!$I$27:$I$29,0))),1,0)</f>
        <v>0</v>
      </c>
      <c r="CB600" s="53" t="n">
        <f aca="false">IF(CQ600&gt;0,INDEX(Parameter!$H$5:$H$7,W600)/INDEX(Parameter!$E$5:$E$7,W600),IF(AND(BZ600=0,N(IFERROR(VLOOKUP(BX600,'Gebinde-Kategorie'!$A$5:$N$45,14,0),0))&gt;0),VLOOKUP(BX600,'Gebinde-Kategorie'!$A$5:$N$45,14,0)*10+Parameter!$M$23,Parameter!$M$24))</f>
        <v>155</v>
      </c>
      <c r="CC600" s="48" t="str">
        <f aca="false">IF(AND(Parameter!$B$19="Ja",E600&lt;&gt;"",ISNUMBER(MATCH(E600,Parameter!$I$35:$I$52,0))),VLOOKUP(E600,Parameter!$I$35:$J$52,2,0),IFERROR(VLOOKUP(D600,Parameter!$A$35:$C$64,2,0),"Nein"))</f>
        <v>2+3</v>
      </c>
      <c r="CD600" s="52" t="n">
        <f aca="false">IF(BZ600=0,0,IF(N(S600)&gt;0,S600,IFERROR(VLOOKUP(D600,Parameter!$A$35:$C$64,3,0)+0,0)))</f>
        <v>0</v>
      </c>
      <c r="CE600" s="48" t="n">
        <f aca="false">IF(AA600&lt;&gt;"",AA600,Z600)</f>
        <v>3</v>
      </c>
      <c r="CF600" s="48" t="str">
        <f aca="false">IF(OR(CE600=1,CE600=2,CE600=3),IF(Parameter!$E$27="Ja","LIFT",IF(CE600=1,"L1","L23")),IF(CE600="Aussen","Aussen","-"))</f>
        <v>LIFT</v>
      </c>
      <c r="CG600" s="59" t="n">
        <f aca="false">IF(N(AB600)&gt;0,AB600,0)</f>
        <v>0</v>
      </c>
      <c r="CH600" s="53" t="n">
        <f aca="false">IF(ISNUMBER(AE600),1,0)</f>
        <v>0</v>
      </c>
      <c r="CI600" s="50" t="n">
        <f aca="false">N(AE600)</f>
        <v>0</v>
      </c>
      <c r="CJ600" s="50" t="n">
        <f aca="false">N(M600)+N(N600)</f>
        <v>502</v>
      </c>
      <c r="CK600" s="50" t="n">
        <f aca="false">N(M600)</f>
        <v>2</v>
      </c>
      <c r="CL600" s="50" t="n">
        <f aca="false">N(N600)</f>
        <v>500</v>
      </c>
      <c r="CM600" s="50" t="n">
        <f aca="false">ROUNDUP(H600/BY600,0)</f>
        <v>1</v>
      </c>
      <c r="CN600" s="50" t="n">
        <f aca="false">ROUNDUP(CI600/BY600,0)</f>
        <v>0</v>
      </c>
      <c r="CO600" s="53" t="n">
        <f aca="false">IF(BZ600=1,0,IFERROR(VLOOKUP(BX600,'Gebinde-Kategorie'!$A$5:$N$45,5,0)+0,0))</f>
        <v>11</v>
      </c>
      <c r="CP600" s="53" t="n">
        <f aca="false">IFERROR(IF(OR(CE600=1,CE600=2,CE600=3),N(INDEX(Parameter!$I$5:$I$7,CE600)),0),0)</f>
        <v>0</v>
      </c>
      <c r="CQ600" s="52" t="n">
        <f aca="false">IF(AND(Parameter!$B$21="Ja",ISNUMBER(W600),N(X600)&gt;0),IFERROR(N(INDEX(Parameter!$L$5:$L$7,W600))*INDEX(Parameter!$E$5:$E$7,W600)*X600/SUMIFS($X$7:$X$1843,$W$7:$W$1843,W600),0),0)</f>
        <v>0</v>
      </c>
    </row>
    <row r="601" customFormat="false" ht="15" hidden="false" customHeight="false" outlineLevel="0" collapsed="false">
      <c r="A601" s="48" t="s">
        <v>1254</v>
      </c>
      <c r="B601" s="48" t="s">
        <v>1255</v>
      </c>
      <c r="C601" s="48" t="s">
        <v>173</v>
      </c>
      <c r="D601" s="48" t="s">
        <v>193</v>
      </c>
      <c r="E601" s="48" t="s">
        <v>194</v>
      </c>
      <c r="F601" s="48" t="s">
        <v>227</v>
      </c>
      <c r="G601" s="49" t="n">
        <v>4.65</v>
      </c>
      <c r="H601" s="50" t="n">
        <f aca="false">MAX(0,IF(AND(Parameter!$B$21="Ja",ISNUMBER(Y601)),Y601,IF(Parameter!$B$20="Jahresanfang 2025 + Export",BR601+BQ601,BQ601)))</f>
        <v>9</v>
      </c>
      <c r="I601" s="50" t="n">
        <f aca="false">H601*G601</f>
        <v>41.85</v>
      </c>
      <c r="J601" s="50" t="n">
        <f aca="false">BT601*Parameter!$B$18</f>
        <v>8</v>
      </c>
      <c r="K601" s="51" t="n">
        <v>11.5</v>
      </c>
      <c r="L601" s="52" t="n">
        <v>0.695652173913044</v>
      </c>
      <c r="M601" s="50" t="n">
        <v>0</v>
      </c>
      <c r="N601" s="50" t="n">
        <v>10</v>
      </c>
      <c r="O601" s="53" t="n">
        <v>14</v>
      </c>
      <c r="P601" s="48" t="s">
        <v>430</v>
      </c>
      <c r="Q601" s="50" t="n">
        <v>7</v>
      </c>
      <c r="R601" s="53" t="n">
        <f aca="false">IF(BZ601=1,0,IFERROR(VLOOKUP(BX601,'Gebinde-Kategorie'!$A$5:$N$45,13,0)+0,0))</f>
        <v>104</v>
      </c>
      <c r="S601" s="54"/>
      <c r="T601" s="55"/>
      <c r="U601" s="55"/>
      <c r="V601" s="55"/>
      <c r="W601" s="48"/>
      <c r="X601" s="50"/>
      <c r="Y601" s="50"/>
      <c r="Z601" s="48" t="n">
        <f aca="false">IF(A601="","",IF(AND(Parameter!$B$21="Ja",ISNUMBER(W601)),W601,IF(CC601="2+3",IF(ISNUMBER(SEARCH("grosser Artikel",BU601)),2,IFERROR(VLOOKUP(BX601,Parameter!$F$35:$G$64,2,0),2)),IF(OR(CC601="Nein",CC601=""),"-",CC601))))</f>
        <v>3</v>
      </c>
      <c r="AA601" s="55"/>
      <c r="AB601" s="56"/>
      <c r="AC601" s="50" t="n">
        <f aca="false">AV601</f>
        <v>10</v>
      </c>
      <c r="AD601" s="50" t="n">
        <f aca="false">MAX(AV601,H601)</f>
        <v>10</v>
      </c>
      <c r="AE601" s="57"/>
      <c r="AF601" s="50" t="n">
        <f aca="false">IF(LEFT(Cockpit!$C$5,1)="A",H601,IF(Parameter!$E$30="MAX-Bestand",IF(CH601=1,CI601,IF(LEFT(Cockpit!$C$5,1)="B",AL601,MAX(AL601,H601))),ROUNDUP(AJ601,0)))</f>
        <v>9</v>
      </c>
      <c r="AG601" s="50" t="n">
        <f aca="false">IF(BZ601=1,0,ROUNDUP(AF601/BY601,0))</f>
        <v>2</v>
      </c>
      <c r="AH601" s="52" t="n">
        <f aca="false">IF(CQ601&gt;0,CQ601*MAX(1,AF601/X601),IF(BZ601=1,IF(AF601&lt;=0,0,CD601*MAX(1,IF(H601&gt;0,AF601/H601,1))),IF(R601&gt;0,AG601/R601,0))/MAX(0.1,N(Parameter!$M$21)))</f>
        <v>0.0192307692307692</v>
      </c>
      <c r="AI601" s="50" t="n">
        <f aca="false">AH601*CB601</f>
        <v>2.98076923076923</v>
      </c>
      <c r="AJ601" s="51" t="n">
        <f aca="false">IF(LEFT(Cockpit!$C$5,1)="A",H601,IF(CH601=1,(CK601+CI601)/2,IF(LEFT(Cockpit!$C$5,1)="B",(CK601+AL601)/2,MAX((CK601+AL601)/2,H601))))</f>
        <v>9</v>
      </c>
      <c r="AK601" s="50" t="n">
        <f aca="false">AJ601*G601</f>
        <v>41.85</v>
      </c>
      <c r="AL601" s="50" t="n">
        <f aca="false">ROUNDUP(CK601+MAX(CL601,2*(J601/IF(CG601&gt;0,CG601,MAX(0.1,N(Cockpit!$C$6)))-CK601)),0)</f>
        <v>10</v>
      </c>
      <c r="AM601" s="51" t="n">
        <f aca="false">IF(AI601&gt;0,J601/AI601,-1)</f>
        <v>2.68387096774194</v>
      </c>
      <c r="AN601" s="51" t="n">
        <f aca="false">IF(AND(OR(CF601="L1",CF601="L23",CF601="LIFT"),AI601&gt;0),SUMIFS($AI$7:$AI$1843,$CF$7:$CF$1843,CF601,$AM$7:$AM$1843,"&gt;"&amp;AM601)+SUMIFS($AI$7:$AI$1843,$CF$7:$CF$1843,CF601,$AM$7:$AM$1843,AM601,$BW$7:$BW$1843,"&lt;="&amp;BW601),"")</f>
        <v>5324.94826007326</v>
      </c>
      <c r="AO601" s="58" t="n">
        <f aca="false">IF(AN601="",0,MAX(0,MIN(1,(IF(CF601="L1",Parameter!$H$5,IF(CF601="L23",Parameter!$H$6+Parameter!$H$7,Parameter!$H$5+Parameter!$H$6+Parameter!$H$7))-(AN601-AI601))/AI601)))</f>
        <v>1</v>
      </c>
      <c r="AP601" s="50" t="n">
        <f aca="false">IF(LEFT(Cockpit!$I$5,1)="A",H601,IF(Parameter!$E$30="MAX-Bestand",IF(CH601=1,CI601,IF(LEFT(Cockpit!$I$5,1)="B",AV601,MAX(AV601,H601))),ROUNDUP(AT601,0)))</f>
        <v>9</v>
      </c>
      <c r="AQ601" s="50" t="n">
        <f aca="false">IF(BZ601=1,0,ROUNDUP(AP601/BY601,0))</f>
        <v>2</v>
      </c>
      <c r="AR601" s="52" t="n">
        <f aca="false">IF(CQ601&gt;0,CQ601*MAX(1,AP601/X601),IF(BZ601=1,IF(AP601&lt;=0,0,CD601*MAX(1,IF(H601&gt;0,AP601/H601,1))),IF(R601&gt;0,AQ601/R601,0))/MAX(0.1,N(Parameter!$M$21)))</f>
        <v>0.0192307692307692</v>
      </c>
      <c r="AS601" s="50" t="n">
        <f aca="false">AR601*CB601</f>
        <v>2.98076923076923</v>
      </c>
      <c r="AT601" s="51" t="n">
        <f aca="false">IF(LEFT(Cockpit!$I$5,1)="A",H601,IF(CH601=1,(CK601+CI601)/2,IF(LEFT(Cockpit!$I$5,1)="B",(CK601+AV601)/2,MAX((CK601+AV601)/2,H601))))</f>
        <v>9</v>
      </c>
      <c r="AU601" s="50" t="n">
        <f aca="false">AT601*G601</f>
        <v>41.85</v>
      </c>
      <c r="AV601" s="50" t="n">
        <f aca="false">ROUNDUP(CK601+MAX(CL601,2*(J601/IF(CG601&gt;0,CG601,MAX(0.1,N(Cockpit!$I$6)))-CK601)),0)</f>
        <v>10</v>
      </c>
      <c r="AW601" s="51" t="n">
        <f aca="false">IF(AS601&gt;0,J601/AS601,-1)</f>
        <v>2.68387096774194</v>
      </c>
      <c r="AX601" s="51" t="n">
        <f aca="false">IF(AND(OR(CF601="L1",CF601="L23",CF601="LIFT"),AS601&gt;0),SUMIFS($AS$7:$AS$1843,$CF$7:$CF$1843,CF601,$AW$7:$AW$1843,"&gt;"&amp;AW601)+SUMIFS($AS$7:$AS$1843,$CF$7:$CF$1843,CF601,$AW$7:$AW$1843,AW601,$BW$7:$BW$1843,"&lt;="&amp;BW601),"")</f>
        <v>6159.42628205128</v>
      </c>
      <c r="AY601" s="58" t="n">
        <f aca="false">IF(AX601="",0,MAX(0,MIN(1,(IF(CF601="L1",Parameter!$H$5,IF(CF601="L23",Parameter!$H$6+Parameter!$H$7,Parameter!$H$5+Parameter!$H$6+Parameter!$H$7))-(AX601-AS601))/AS601)))</f>
        <v>1</v>
      </c>
      <c r="AZ601" s="50" t="n">
        <f aca="false">IF(LEFT(Cockpit!$O$5,1)="A",H601,IF(Parameter!$E$30="MAX-Bestand",IF(CH601=1,CI601,IF(LEFT(Cockpit!$O$5,1)="B",BF601,MAX(BF601,H601))),ROUNDUP(BD601,0)))</f>
        <v>5</v>
      </c>
      <c r="BA601" s="50" t="n">
        <f aca="false">IF(BZ601=1,0,ROUNDUP(AZ601/BY601,0))</f>
        <v>1</v>
      </c>
      <c r="BB601" s="52" t="n">
        <f aca="false">IF(CQ601&gt;0,CQ601*MAX(1,AZ601/X601),IF(BZ601=1,IF(AZ601&lt;=0,0,CD601*MAX(1,IF(H601&gt;0,AZ601/H601,1))),IF(R601&gt;0,BA601/R601,0))/MAX(0.1,N(Parameter!$M$21)))</f>
        <v>0.00961538461538462</v>
      </c>
      <c r="BC601" s="50" t="n">
        <f aca="false">BB601*CB601</f>
        <v>1.49038461538462</v>
      </c>
      <c r="BD601" s="51" t="n">
        <f aca="false">IF(LEFT(Cockpit!$O$5,1)="A",H601,IF(CH601=1,(CK601+CI601)/2,IF(LEFT(Cockpit!$O$5,1)="B",(CK601+BF601)/2,MAX((CK601+BF601)/2,H601))))</f>
        <v>5</v>
      </c>
      <c r="BE601" s="50" t="n">
        <f aca="false">BD601*G601</f>
        <v>23.25</v>
      </c>
      <c r="BF601" s="50" t="n">
        <f aca="false">ROUNDUP(CK601+MAX(CL601,2*(J601/IF(CG601&gt;0,CG601,MAX(0.1,N(Cockpit!$O$6)))-CK601)),0)</f>
        <v>10</v>
      </c>
      <c r="BG601" s="51" t="n">
        <f aca="false">IF(BC601&gt;0,J601/BC601,-1)</f>
        <v>5.36774193548387</v>
      </c>
      <c r="BH601" s="51" t="n">
        <f aca="false">IF(AND(OR(CF601="L1",CF601="L23",CF601="LIFT"),BC601&gt;0),SUMIFS($BC$7:$BC$1843,$CF$7:$CF$1843,CF601,$BG$7:$BG$1843,"&gt;"&amp;BG601)+SUMIFS($BC$7:$BC$1843,$CF$7:$CF$1843,CF601,$BG$7:$BG$1843,BG601,$BW$7:$BW$1843,"&lt;="&amp;BW601),"")</f>
        <v>3689.98305860806</v>
      </c>
      <c r="BI601" s="58" t="n">
        <f aca="false">IF(BH601="",0,MAX(0,MIN(1,(IF(CF601="L1",Parameter!$H$5,IF(CF601="L23",Parameter!$H$6+Parameter!$H$7,Parameter!$H$5+Parameter!$H$6+Parameter!$H$7))-(BH601-BC601))/BC601)))</f>
        <v>1</v>
      </c>
      <c r="BJ601" s="48" t="str">
        <f aca="false">IF(AI601&lt;=0,"",IF(CF601="Aussen","Aussenlager",IF(CF601="-","Nicht im Lift",IF(AO601&gt;=1,"Lift",IF(AO601&lt;=0,"Aussenlager","teilweise")))))</f>
        <v>Lift</v>
      </c>
      <c r="BK601" s="48" t="str">
        <f aca="false">IF(AS601&lt;=0,"",IF(CF601="Aussen","Aussenlager",IF(CF601="-","Nicht im Lift",IF(AY601&gt;=1,"Lift",IF(AY601&lt;=0,"Aussenlager","teilweise")))))</f>
        <v>Lift</v>
      </c>
      <c r="BL601" s="48" t="str">
        <f aca="false">IF(BC601&lt;=0,"",IF(CF601="Aussen","Aussenlager",IF(CF601="-","Nicht im Lift",IF(BI601&gt;=1,"Lift",IF(BI601&lt;=0,"Aussenlager","teilweise")))))</f>
        <v>Lift</v>
      </c>
      <c r="BM601" s="48" t="str">
        <f aca="false">IF(A601="","",IF(BV601=1,"Neu; ","")&amp;IF(AND(BV601=0,BQ601&lt;0),"negativer Bestand (Export "&amp;BQ601&amp;"); ","")&amp;IF(J601&lt;=0,"Kein Verbrauch; ","")&amp;IF(CQ601&gt;0,"Lift "&amp;W601&amp;" lt. Liftbericht (Fach "&amp;X601&amp;" Stk); ",IF(CA601=1,"Gebinde geschätzt ("&amp;T601&amp;"); ",IF(BZ601=1,"Lose – Tablare geschätzt; ","")))&amp;IF(H601&gt;AV601,"Überbestand "&amp;ROUND(H601-AV601,0)&amp;" Stk / CHF "&amp;ROUND((H601-AV601)*G601,0)&amp;"; ","")&amp;IF(AND(CH601=1,CI601&lt;CJ601),"MAX &lt; MB+LG; ","")&amp;IF(AND(CP601&gt;0,CO601*10&gt;CP601),"zu hoch für Tablar; ","")&amp;IF(AND(BV601=0,OR(CH601=1,AA601&lt;&gt;"",U601&lt;&gt;"",V601&lt;&gt;"",AB601&lt;&gt;"")),"manuell übersteuert; ","")&amp;IF(AND(BZ601=0,R601=0),"Gebinde unbekannt / Stellmass fehlt; ","")&amp;IF(AND(BZ601=0,N(V601)&lt;=0,N(Q601)&lt;=0),"Menge pro Gebinde fehlt (Ist = 1 Gebinde); ","")&amp;BU601)</f>
        <v/>
      </c>
      <c r="BN601" s="48"/>
      <c r="BO601" s="48"/>
      <c r="BP601" s="55"/>
      <c r="BQ601" s="50" t="n">
        <v>2</v>
      </c>
      <c r="BR601" s="50" t="n">
        <v>7</v>
      </c>
      <c r="BS601" s="49" t="n">
        <v>5.66</v>
      </c>
      <c r="BT601" s="50" t="n">
        <v>8</v>
      </c>
      <c r="BU601" s="48"/>
      <c r="BV601" s="53" t="n">
        <v>0</v>
      </c>
      <c r="BW601" s="53" t="n">
        <v>601</v>
      </c>
      <c r="BX601" s="48" t="str">
        <f aca="false">IF(U601&lt;&gt;"",UPPER(TRIM(U601)),IF(CA601=1,UPPER(VLOOKUP(T601,Parameter!$I$27:$K$29,2,0)),IF(P601="","LOSE",P601)))</f>
        <v>S32</v>
      </c>
      <c r="BY601" s="50" t="n">
        <f aca="false">IF(BX601="LOSE",1,IF(N(V601)&gt;0,V601,IF(CA601=1,MAX(1,N(VLOOKUP(T601,Parameter!$I$27:$K$29,3,0)),H601,N(N601)),IF(N(Q601)&gt;0,Q601,MAX(1,H601)))))</f>
        <v>7</v>
      </c>
      <c r="BZ601" s="53" t="n">
        <f aca="false">IF(BX601="LOSE",1,0)</f>
        <v>0</v>
      </c>
      <c r="CA601" s="53" t="n">
        <f aca="false">IF(AND(U601="",OR(P601="",P601="LOSE"),T601&lt;&gt;"",N(S601)&lt;=0,ISNUMBER(MATCH(T601,Parameter!$I$27:$I$29,0))),1,0)</f>
        <v>0</v>
      </c>
      <c r="CB601" s="53" t="n">
        <f aca="false">IF(CQ601&gt;0,INDEX(Parameter!$H$5:$H$7,W601)/INDEX(Parameter!$E$5:$E$7,W601),IF(AND(BZ601=0,N(IFERROR(VLOOKUP(BX601,'Gebinde-Kategorie'!$A$5:$N$45,14,0),0))&gt;0),VLOOKUP(BX601,'Gebinde-Kategorie'!$A$5:$N$45,14,0)*10+Parameter!$M$23,Parameter!$M$24))</f>
        <v>155</v>
      </c>
      <c r="CC601" s="48" t="str">
        <f aca="false">IF(AND(Parameter!$B$19="Ja",E601&lt;&gt;"",ISNUMBER(MATCH(E601,Parameter!$I$35:$I$52,0))),VLOOKUP(E601,Parameter!$I$35:$J$52,2,0),IFERROR(VLOOKUP(D601,Parameter!$A$35:$C$64,2,0),"Nein"))</f>
        <v>2+3</v>
      </c>
      <c r="CD601" s="52" t="n">
        <f aca="false">IF(BZ601=0,0,IF(N(S601)&gt;0,S601,IFERROR(VLOOKUP(D601,Parameter!$A$35:$C$64,3,0)+0,0)))</f>
        <v>0</v>
      </c>
      <c r="CE601" s="48" t="n">
        <f aca="false">IF(AA601&lt;&gt;"",AA601,Z601)</f>
        <v>3</v>
      </c>
      <c r="CF601" s="48" t="str">
        <f aca="false">IF(OR(CE601=1,CE601=2,CE601=3),IF(Parameter!$E$27="Ja","LIFT",IF(CE601=1,"L1","L23")),IF(CE601="Aussen","Aussen","-"))</f>
        <v>LIFT</v>
      </c>
      <c r="CG601" s="59" t="n">
        <f aca="false">IF(N(AB601)&gt;0,AB601,0)</f>
        <v>0</v>
      </c>
      <c r="CH601" s="53" t="n">
        <f aca="false">IF(ISNUMBER(AE601),1,0)</f>
        <v>0</v>
      </c>
      <c r="CI601" s="50" t="n">
        <f aca="false">N(AE601)</f>
        <v>0</v>
      </c>
      <c r="CJ601" s="50" t="n">
        <f aca="false">N(M601)+N(N601)</f>
        <v>10</v>
      </c>
      <c r="CK601" s="50" t="n">
        <f aca="false">N(M601)</f>
        <v>0</v>
      </c>
      <c r="CL601" s="50" t="n">
        <f aca="false">N(N601)</f>
        <v>10</v>
      </c>
      <c r="CM601" s="50" t="n">
        <f aca="false">ROUNDUP(H601/BY601,0)</f>
        <v>2</v>
      </c>
      <c r="CN601" s="50" t="n">
        <f aca="false">ROUNDUP(CI601/BY601,0)</f>
        <v>0</v>
      </c>
      <c r="CO601" s="53" t="n">
        <f aca="false">IF(BZ601=1,0,IFERROR(VLOOKUP(BX601,'Gebinde-Kategorie'!$A$5:$N$45,5,0)+0,0))</f>
        <v>8</v>
      </c>
      <c r="CP601" s="53" t="n">
        <f aca="false">IFERROR(IF(OR(CE601=1,CE601=2,CE601=3),N(INDEX(Parameter!$I$5:$I$7,CE601)),0),0)</f>
        <v>0</v>
      </c>
      <c r="CQ601" s="52" t="n">
        <f aca="false">IF(AND(Parameter!$B$21="Ja",ISNUMBER(W601),N(X601)&gt;0),IFERROR(N(INDEX(Parameter!$L$5:$L$7,W601))*INDEX(Parameter!$E$5:$E$7,W601)*X601/SUMIFS($X$7:$X$1843,$W$7:$W$1843,W601),0),0)</f>
        <v>0</v>
      </c>
    </row>
    <row r="602" customFormat="false" ht="15" hidden="false" customHeight="false" outlineLevel="0" collapsed="false">
      <c r="A602" s="48" t="s">
        <v>1256</v>
      </c>
      <c r="B602" s="48" t="s">
        <v>870</v>
      </c>
      <c r="C602" s="48" t="s">
        <v>173</v>
      </c>
      <c r="D602" s="48" t="s">
        <v>1004</v>
      </c>
      <c r="E602" s="48"/>
      <c r="F602" s="48" t="s">
        <v>227</v>
      </c>
      <c r="G602" s="49" t="n">
        <v>2.8</v>
      </c>
      <c r="H602" s="50" t="n">
        <f aca="false">MAX(0,IF(AND(Parameter!$B$21="Ja",ISNUMBER(Y602)),Y602,IF(Parameter!$B$20="Jahresanfang 2025 + Export",BR602+BQ602,BQ602)))</f>
        <v>2</v>
      </c>
      <c r="I602" s="50" t="n">
        <f aca="false">H602*G602</f>
        <v>5.6</v>
      </c>
      <c r="J602" s="50" t="n">
        <f aca="false">BT602*Parameter!$B$18</f>
        <v>23</v>
      </c>
      <c r="K602" s="51" t="n">
        <v>1</v>
      </c>
      <c r="L602" s="52" t="n">
        <v>23</v>
      </c>
      <c r="M602" s="50" t="n">
        <v>0</v>
      </c>
      <c r="N602" s="50" t="n">
        <v>10</v>
      </c>
      <c r="O602" s="53" t="n">
        <v>14</v>
      </c>
      <c r="P602" s="48" t="s">
        <v>177</v>
      </c>
      <c r="Q602" s="50"/>
      <c r="R602" s="53" t="n">
        <f aca="false">IF(BZ602=1,0,IFERROR(VLOOKUP(BX602,'Gebinde-Kategorie'!$A$5:$N$45,13,0)+0,0))</f>
        <v>0</v>
      </c>
      <c r="S602" s="54"/>
      <c r="T602" s="55"/>
      <c r="U602" s="55"/>
      <c r="V602" s="55"/>
      <c r="W602" s="48"/>
      <c r="X602" s="50"/>
      <c r="Y602" s="50"/>
      <c r="Z602" s="48" t="str">
        <f aca="false">IF(A602="","",IF(AND(Parameter!$B$21="Ja",ISNUMBER(W602)),W602,IF(CC602="2+3",IF(ISNUMBER(SEARCH("grosser Artikel",BU602)),2,IFERROR(VLOOKUP(BX602,Parameter!$F$35:$G$64,2,0),2)),IF(OR(CC602="Nein",CC602=""),"-",CC602))))</f>
        <v>-</v>
      </c>
      <c r="AA602" s="55"/>
      <c r="AB602" s="56"/>
      <c r="AC602" s="50" t="n">
        <f aca="false">AV602</f>
        <v>16</v>
      </c>
      <c r="AD602" s="50" t="n">
        <f aca="false">MAX(AV602,H602)</f>
        <v>16</v>
      </c>
      <c r="AE602" s="57"/>
      <c r="AF602" s="50" t="n">
        <f aca="false">IF(LEFT(Cockpit!$C$5,1)="A",H602,IF(Parameter!$E$30="MAX-Bestand",IF(CH602=1,CI602,IF(LEFT(Cockpit!$C$5,1)="B",AL602,MAX(AL602,H602))),ROUNDUP(AJ602,0)))</f>
        <v>2</v>
      </c>
      <c r="AG602" s="50" t="n">
        <f aca="false">IF(BZ602=1,0,ROUNDUP(AF602/BY602,0))</f>
        <v>0</v>
      </c>
      <c r="AH602" s="52" t="n">
        <f aca="false">IF(CQ602&gt;0,CQ602*MAX(1,AF602/X602),IF(BZ602=1,IF(AF602&lt;=0,0,CD602*MAX(1,IF(H602&gt;0,AF602/H602,1))),IF(R602&gt;0,AG602/R602,0))/MAX(0.1,N(Parameter!$M$21)))</f>
        <v>0.15</v>
      </c>
      <c r="AI602" s="50" t="n">
        <f aca="false">AH602*CB602</f>
        <v>35.25</v>
      </c>
      <c r="AJ602" s="51" t="n">
        <f aca="false">IF(LEFT(Cockpit!$C$5,1)="A",H602,IF(CH602=1,(CK602+CI602)/2,IF(LEFT(Cockpit!$C$5,1)="B",(CK602+AL602)/2,MAX((CK602+AL602)/2,H602))))</f>
        <v>2</v>
      </c>
      <c r="AK602" s="50" t="n">
        <f aca="false">AJ602*G602</f>
        <v>5.6</v>
      </c>
      <c r="AL602" s="50" t="n">
        <f aca="false">ROUNDUP(CK602+MAX(CL602,2*(J602/IF(CG602&gt;0,CG602,MAX(0.1,N(Cockpit!$C$6)))-CK602)),0)</f>
        <v>16</v>
      </c>
      <c r="AM602" s="51" t="n">
        <f aca="false">IF(AI602&gt;0,J602/AI602,-1)</f>
        <v>0.652482269503546</v>
      </c>
      <c r="AN602" s="51" t="str">
        <f aca="false">IF(AND(OR(CF602="L1",CF602="L23",CF602="LIFT"),AI602&gt;0),SUMIFS($AI$7:$AI$1843,$CF$7:$CF$1843,CF602,$AM$7:$AM$1843,"&gt;"&amp;AM602)+SUMIFS($AI$7:$AI$1843,$CF$7:$CF$1843,CF602,$AM$7:$AM$1843,AM602,$BW$7:$BW$1843,"&lt;="&amp;BW602),"")</f>
        <v/>
      </c>
      <c r="AO602" s="58" t="n">
        <f aca="false">IF(AN602="",0,MAX(0,MIN(1,(IF(CF602="L1",Parameter!$H$5,IF(CF602="L23",Parameter!$H$6+Parameter!$H$7,Parameter!$H$5+Parameter!$H$6+Parameter!$H$7))-(AN602-AI602))/AI602)))</f>
        <v>0</v>
      </c>
      <c r="AP602" s="50" t="n">
        <f aca="false">IF(LEFT(Cockpit!$I$5,1)="A",H602,IF(Parameter!$E$30="MAX-Bestand",IF(CH602=1,CI602,IF(LEFT(Cockpit!$I$5,1)="B",AV602,MAX(AV602,H602))),ROUNDUP(AT602,0)))</f>
        <v>8</v>
      </c>
      <c r="AQ602" s="50" t="n">
        <f aca="false">IF(BZ602=1,0,ROUNDUP(AP602/BY602,0))</f>
        <v>0</v>
      </c>
      <c r="AR602" s="52" t="n">
        <f aca="false">IF(CQ602&gt;0,CQ602*MAX(1,AP602/X602),IF(BZ602=1,IF(AP602&lt;=0,0,CD602*MAX(1,IF(H602&gt;0,AP602/H602,1))),IF(R602&gt;0,AQ602/R602,0))/MAX(0.1,N(Parameter!$M$21)))</f>
        <v>0.6</v>
      </c>
      <c r="AS602" s="50" t="n">
        <f aca="false">AR602*CB602</f>
        <v>141</v>
      </c>
      <c r="AT602" s="51" t="n">
        <f aca="false">IF(LEFT(Cockpit!$I$5,1)="A",H602,IF(CH602=1,(CK602+CI602)/2,IF(LEFT(Cockpit!$I$5,1)="B",(CK602+AV602)/2,MAX((CK602+AV602)/2,H602))))</f>
        <v>8</v>
      </c>
      <c r="AU602" s="50" t="n">
        <f aca="false">AT602*G602</f>
        <v>22.4</v>
      </c>
      <c r="AV602" s="50" t="n">
        <f aca="false">ROUNDUP(CK602+MAX(CL602,2*(J602/IF(CG602&gt;0,CG602,MAX(0.1,N(Cockpit!$I$6)))-CK602)),0)</f>
        <v>16</v>
      </c>
      <c r="AW602" s="51" t="n">
        <f aca="false">IF(AS602&gt;0,J602/AS602,-1)</f>
        <v>0.163120567375887</v>
      </c>
      <c r="AX602" s="51" t="str">
        <f aca="false">IF(AND(OR(CF602="L1",CF602="L23",CF602="LIFT"),AS602&gt;0),SUMIFS($AS$7:$AS$1843,$CF$7:$CF$1843,CF602,$AW$7:$AW$1843,"&gt;"&amp;AW602)+SUMIFS($AS$7:$AS$1843,$CF$7:$CF$1843,CF602,$AW$7:$AW$1843,AW602,$BW$7:$BW$1843,"&lt;="&amp;BW602),"")</f>
        <v/>
      </c>
      <c r="AY602" s="58" t="n">
        <f aca="false">IF(AX602="",0,MAX(0,MIN(1,(IF(CF602="L1",Parameter!$H$5,IF(CF602="L23",Parameter!$H$6+Parameter!$H$7,Parameter!$H$5+Parameter!$H$6+Parameter!$H$7))-(AX602-AS602))/AS602)))</f>
        <v>0</v>
      </c>
      <c r="AZ602" s="50" t="n">
        <f aca="false">IF(LEFT(Cockpit!$O$5,1)="A",H602,IF(Parameter!$E$30="MAX-Bestand",IF(CH602=1,CI602,IF(LEFT(Cockpit!$O$5,1)="B",BF602,MAX(BF602,H602))),ROUNDUP(BD602,0)))</f>
        <v>6</v>
      </c>
      <c r="BA602" s="50" t="n">
        <f aca="false">IF(BZ602=1,0,ROUNDUP(AZ602/BY602,0))</f>
        <v>0</v>
      </c>
      <c r="BB602" s="52" t="n">
        <f aca="false">IF(CQ602&gt;0,CQ602*MAX(1,AZ602/X602),IF(BZ602=1,IF(AZ602&lt;=0,0,CD602*MAX(1,IF(H602&gt;0,AZ602/H602,1))),IF(R602&gt;0,BA602/R602,0))/MAX(0.1,N(Parameter!$M$21)))</f>
        <v>0.45</v>
      </c>
      <c r="BC602" s="50" t="n">
        <f aca="false">BB602*CB602</f>
        <v>105.75</v>
      </c>
      <c r="BD602" s="51" t="n">
        <f aca="false">IF(LEFT(Cockpit!$O$5,1)="A",H602,IF(CH602=1,(CK602+CI602)/2,IF(LEFT(Cockpit!$O$5,1)="B",(CK602+BF602)/2,MAX((CK602+BF602)/2,H602))))</f>
        <v>6</v>
      </c>
      <c r="BE602" s="50" t="n">
        <f aca="false">BD602*G602</f>
        <v>16.8</v>
      </c>
      <c r="BF602" s="50" t="n">
        <f aca="false">ROUNDUP(CK602+MAX(CL602,2*(J602/IF(CG602&gt;0,CG602,MAX(0.1,N(Cockpit!$O$6)))-CK602)),0)</f>
        <v>12</v>
      </c>
      <c r="BG602" s="51" t="n">
        <f aca="false">IF(BC602&gt;0,J602/BC602,-1)</f>
        <v>0.217494089834515</v>
      </c>
      <c r="BH602" s="51" t="str">
        <f aca="false">IF(AND(OR(CF602="L1",CF602="L23",CF602="LIFT"),BC602&gt;0),SUMIFS($BC$7:$BC$1843,$CF$7:$CF$1843,CF602,$BG$7:$BG$1843,"&gt;"&amp;BG602)+SUMIFS($BC$7:$BC$1843,$CF$7:$CF$1843,CF602,$BG$7:$BG$1843,BG602,$BW$7:$BW$1843,"&lt;="&amp;BW602),"")</f>
        <v/>
      </c>
      <c r="BI602" s="58" t="n">
        <f aca="false">IF(BH602="",0,MAX(0,MIN(1,(IF(CF602="L1",Parameter!$H$5,IF(CF602="L23",Parameter!$H$6+Parameter!$H$7,Parameter!$H$5+Parameter!$H$6+Parameter!$H$7))-(BH602-BC602))/BC602)))</f>
        <v>0</v>
      </c>
      <c r="BJ602" s="48" t="str">
        <f aca="false">IF(AI602&lt;=0,"",IF(CF602="Aussen","Aussenlager",IF(CF602="-","Nicht im Lift",IF(AO602&gt;=1,"Lift",IF(AO602&lt;=0,"Aussenlager","teilweise")))))</f>
        <v>Nicht im Lift</v>
      </c>
      <c r="BK602" s="48" t="str">
        <f aca="false">IF(AS602&lt;=0,"",IF(CF602="Aussen","Aussenlager",IF(CF602="-","Nicht im Lift",IF(AY602&gt;=1,"Lift",IF(AY602&lt;=0,"Aussenlager","teilweise")))))</f>
        <v>Nicht im Lift</v>
      </c>
      <c r="BL602" s="48" t="str">
        <f aca="false">IF(BC602&lt;=0,"",IF(CF602="Aussen","Aussenlager",IF(CF602="-","Nicht im Lift",IF(BI602&gt;=1,"Lift",IF(BI602&lt;=0,"Aussenlager","teilweise")))))</f>
        <v>Nicht im Lift</v>
      </c>
      <c r="BM602" s="48" t="str">
        <f aca="false">IF(A602="","",IF(BV602=1,"Neu; ","")&amp;IF(AND(BV602=0,BQ602&lt;0),"negativer Bestand (Export "&amp;BQ602&amp;"); ","")&amp;IF(J602&lt;=0,"Kein Verbrauch; ","")&amp;IF(CQ602&gt;0,"Lift "&amp;W602&amp;" lt. Liftbericht (Fach "&amp;X602&amp;" Stk); ",IF(CA602=1,"Gebinde geschätzt ("&amp;T602&amp;"); ",IF(BZ602=1,"Lose – Tablare geschätzt; ","")))&amp;IF(H602&gt;AV602,"Überbestand "&amp;ROUND(H602-AV602,0)&amp;" Stk / CHF "&amp;ROUND((H602-AV602)*G602,0)&amp;"; ","")&amp;IF(AND(CH602=1,CI602&lt;CJ602),"MAX &lt; MB+LG; ","")&amp;IF(AND(CP602&gt;0,CO602*10&gt;CP602),"zu hoch für Tablar; ","")&amp;IF(AND(BV602=0,OR(CH602=1,AA602&lt;&gt;"",U602&lt;&gt;"",V602&lt;&gt;"",AB602&lt;&gt;"")),"manuell übersteuert; ","")&amp;IF(AND(BZ602=0,R602=0),"Gebinde unbekannt / Stellmass fehlt; ","")&amp;IF(AND(BZ602=0,N(V602)&lt;=0,N(Q602)&lt;=0),"Menge pro Gebinde fehlt (Ist = 1 Gebinde); ","")&amp;BU602)</f>
        <v>Lose – Tablare geschätzt; </v>
      </c>
      <c r="BN602" s="48"/>
      <c r="BO602" s="48"/>
      <c r="BP602" s="55"/>
      <c r="BQ602" s="50" t="n">
        <v>2</v>
      </c>
      <c r="BR602" s="50" t="n">
        <v>0</v>
      </c>
      <c r="BS602" s="49" t="n">
        <v>5.59999999999999</v>
      </c>
      <c r="BT602" s="50" t="n">
        <v>23</v>
      </c>
      <c r="BU602" s="48"/>
      <c r="BV602" s="53" t="n">
        <v>0</v>
      </c>
      <c r="BW602" s="53" t="n">
        <v>602</v>
      </c>
      <c r="BX602" s="48" t="str">
        <f aca="false">IF(U602&lt;&gt;"",UPPER(TRIM(U602)),IF(CA602=1,UPPER(VLOOKUP(T602,Parameter!$I$27:$K$29,2,0)),IF(P602="","LOSE",P602)))</f>
        <v>LOSE</v>
      </c>
      <c r="BY602" s="50" t="n">
        <f aca="false">IF(BX602="LOSE",1,IF(N(V602)&gt;0,V602,IF(CA602=1,MAX(1,N(VLOOKUP(T602,Parameter!$I$27:$K$29,3,0)),H602,N(N602)),IF(N(Q602)&gt;0,Q602,MAX(1,H602)))))</f>
        <v>1</v>
      </c>
      <c r="BZ602" s="53" t="n">
        <f aca="false">IF(BX602="LOSE",1,0)</f>
        <v>1</v>
      </c>
      <c r="CA602" s="53" t="n">
        <f aca="false">IF(AND(U602="",OR(P602="",P602="LOSE"),T602&lt;&gt;"",N(S602)&lt;=0,ISNUMBER(MATCH(T602,Parameter!$I$27:$I$29,0))),1,0)</f>
        <v>0</v>
      </c>
      <c r="CB602" s="53" t="n">
        <f aca="false">IF(CQ602&gt;0,INDEX(Parameter!$H$5:$H$7,W602)/INDEX(Parameter!$E$5:$E$7,W602),IF(AND(BZ602=0,N(IFERROR(VLOOKUP(BX602,'Gebinde-Kategorie'!$A$5:$N$45,14,0),0))&gt;0),VLOOKUP(BX602,'Gebinde-Kategorie'!$A$5:$N$45,14,0)*10+Parameter!$M$23,Parameter!$M$24))</f>
        <v>235</v>
      </c>
      <c r="CC602" s="48" t="str">
        <f aca="false">IF(AND(Parameter!$B$19="Ja",E602&lt;&gt;"",ISNUMBER(MATCH(E602,Parameter!$I$35:$I$52,0))),VLOOKUP(E602,Parameter!$I$35:$J$52,2,0),IFERROR(VLOOKUP(D602,Parameter!$A$35:$C$64,2,0),"Nein"))</f>
        <v>Nein</v>
      </c>
      <c r="CD602" s="52" t="n">
        <f aca="false">IF(BZ602=0,0,IF(N(S602)&gt;0,S602,IFERROR(VLOOKUP(D602,Parameter!$A$35:$C$64,3,0)+0,0)))</f>
        <v>0.15</v>
      </c>
      <c r="CE602" s="48" t="str">
        <f aca="false">IF(AA602&lt;&gt;"",AA602,Z602)</f>
        <v>-</v>
      </c>
      <c r="CF602" s="48" t="str">
        <f aca="false">IF(OR(CE602=1,CE602=2,CE602=3),IF(Parameter!$E$27="Ja","LIFT",IF(CE602=1,"L1","L23")),IF(CE602="Aussen","Aussen","-"))</f>
        <v>-</v>
      </c>
      <c r="CG602" s="59" t="n">
        <f aca="false">IF(N(AB602)&gt;0,AB602,0)</f>
        <v>0</v>
      </c>
      <c r="CH602" s="53" t="n">
        <f aca="false">IF(ISNUMBER(AE602),1,0)</f>
        <v>0</v>
      </c>
      <c r="CI602" s="50" t="n">
        <f aca="false">N(AE602)</f>
        <v>0</v>
      </c>
      <c r="CJ602" s="50" t="n">
        <f aca="false">N(M602)+N(N602)</f>
        <v>10</v>
      </c>
      <c r="CK602" s="50" t="n">
        <f aca="false">N(M602)</f>
        <v>0</v>
      </c>
      <c r="CL602" s="50" t="n">
        <f aca="false">N(N602)</f>
        <v>10</v>
      </c>
      <c r="CM602" s="50" t="n">
        <f aca="false">ROUNDUP(H602/BY602,0)</f>
        <v>2</v>
      </c>
      <c r="CN602" s="50" t="n">
        <f aca="false">ROUNDUP(CI602/BY602,0)</f>
        <v>0</v>
      </c>
      <c r="CO602" s="53" t="n">
        <f aca="false">IF(BZ602=1,0,IFERROR(VLOOKUP(BX602,'Gebinde-Kategorie'!$A$5:$N$45,5,0)+0,0))</f>
        <v>0</v>
      </c>
      <c r="CP602" s="53" t="n">
        <f aca="false">IFERROR(IF(OR(CE602=1,CE602=2,CE602=3),N(INDEX(Parameter!$I$5:$I$7,CE602)),0),0)</f>
        <v>0</v>
      </c>
      <c r="CQ602" s="52" t="n">
        <f aca="false">IF(AND(Parameter!$B$21="Ja",ISNUMBER(W602),N(X602)&gt;0),IFERROR(N(INDEX(Parameter!$L$5:$L$7,W602))*INDEX(Parameter!$E$5:$E$7,W602)*X602/SUMIFS($X$7:$X$1843,$W$7:$W$1843,W602),0),0)</f>
        <v>0</v>
      </c>
    </row>
    <row r="603" customFormat="false" ht="15" hidden="false" customHeight="false" outlineLevel="0" collapsed="false">
      <c r="A603" s="48" t="s">
        <v>1257</v>
      </c>
      <c r="B603" s="48" t="s">
        <v>1258</v>
      </c>
      <c r="C603" s="48" t="s">
        <v>173</v>
      </c>
      <c r="D603" s="48" t="s">
        <v>193</v>
      </c>
      <c r="E603" s="48"/>
      <c r="F603" s="48" t="s">
        <v>227</v>
      </c>
      <c r="G603" s="49" t="n">
        <v>4.15</v>
      </c>
      <c r="H603" s="50" t="n">
        <f aca="false">MAX(0,IF(AND(Parameter!$B$21="Ja",ISNUMBER(Y603)),Y603,IF(Parameter!$B$20="Jahresanfang 2025 + Export",BR603+BQ603,BQ603)))</f>
        <v>8</v>
      </c>
      <c r="I603" s="50" t="n">
        <f aca="false">H603*G603</f>
        <v>33.2</v>
      </c>
      <c r="J603" s="50" t="n">
        <f aca="false">BT603*Parameter!$B$18</f>
        <v>1</v>
      </c>
      <c r="K603" s="51" t="n">
        <v>8</v>
      </c>
      <c r="L603" s="52" t="n">
        <v>0.125</v>
      </c>
      <c r="M603" s="50" t="n">
        <v>0</v>
      </c>
      <c r="N603" s="50" t="n">
        <v>1</v>
      </c>
      <c r="O603" s="53" t="n">
        <v>14</v>
      </c>
      <c r="P603" s="48" t="s">
        <v>337</v>
      </c>
      <c r="Q603" s="50" t="n">
        <v>10</v>
      </c>
      <c r="R603" s="53" t="n">
        <f aca="false">IF(BZ603=1,0,IFERROR(VLOOKUP(BX603,'Gebinde-Kategorie'!$A$5:$N$45,13,0)+0,0))</f>
        <v>52</v>
      </c>
      <c r="S603" s="54"/>
      <c r="T603" s="55"/>
      <c r="U603" s="55"/>
      <c r="V603" s="55"/>
      <c r="W603" s="48"/>
      <c r="X603" s="50"/>
      <c r="Y603" s="50"/>
      <c r="Z603" s="48" t="n">
        <f aca="false">IF(A603="","",IF(AND(Parameter!$B$21="Ja",ISNUMBER(W603)),W603,IF(CC603="2+3",IF(ISNUMBER(SEARCH("grosser Artikel",BU603)),2,IFERROR(VLOOKUP(BX603,Parameter!$F$35:$G$64,2,0),2)),IF(OR(CC603="Nein",CC603=""),"-",CC603))))</f>
        <v>3</v>
      </c>
      <c r="AA603" s="55"/>
      <c r="AB603" s="56"/>
      <c r="AC603" s="50" t="n">
        <f aca="false">AV603</f>
        <v>1</v>
      </c>
      <c r="AD603" s="50" t="n">
        <f aca="false">MAX(AV603,H603)</f>
        <v>8</v>
      </c>
      <c r="AE603" s="57"/>
      <c r="AF603" s="50" t="n">
        <f aca="false">IF(LEFT(Cockpit!$C$5,1)="A",H603,IF(Parameter!$E$30="MAX-Bestand",IF(CH603=1,CI603,IF(LEFT(Cockpit!$C$5,1)="B",AL603,MAX(AL603,H603))),ROUNDUP(AJ603,0)))</f>
        <v>8</v>
      </c>
      <c r="AG603" s="50" t="n">
        <f aca="false">IF(BZ603=1,0,ROUNDUP(AF603/BY603,0))</f>
        <v>1</v>
      </c>
      <c r="AH603" s="52" t="n">
        <f aca="false">IF(CQ603&gt;0,CQ603*MAX(1,AF603/X603),IF(BZ603=1,IF(AF603&lt;=0,0,CD603*MAX(1,IF(H603&gt;0,AF603/H603,1))),IF(R603&gt;0,AG603/R603,0))/MAX(0.1,N(Parameter!$M$21)))</f>
        <v>0.0192307692307692</v>
      </c>
      <c r="AI603" s="50" t="n">
        <f aca="false">AH603*CB603</f>
        <v>2.98076923076923</v>
      </c>
      <c r="AJ603" s="51" t="n">
        <f aca="false">IF(LEFT(Cockpit!$C$5,1)="A",H603,IF(CH603=1,(CK603+CI603)/2,IF(LEFT(Cockpit!$C$5,1)="B",(CK603+AL603)/2,MAX((CK603+AL603)/2,H603))))</f>
        <v>8</v>
      </c>
      <c r="AK603" s="50" t="n">
        <f aca="false">AJ603*G603</f>
        <v>33.2</v>
      </c>
      <c r="AL603" s="50" t="n">
        <f aca="false">ROUNDUP(CK603+MAX(CL603,2*(J603/IF(CG603&gt;0,CG603,MAX(0.1,N(Cockpit!$C$6)))-CK603)),0)</f>
        <v>1</v>
      </c>
      <c r="AM603" s="51" t="n">
        <f aca="false">IF(AI603&gt;0,J603/AI603,-1)</f>
        <v>0.335483870967742</v>
      </c>
      <c r="AN603" s="51" t="n">
        <f aca="false">IF(AND(OR(CF603="L1",CF603="L23",CF603="LIFT"),AI603&gt;0),SUMIFS($AI$7:$AI$1843,$CF$7:$CF$1843,CF603,$AM$7:$AM$1843,"&gt;"&amp;AM603)+SUMIFS($AI$7:$AI$1843,$CF$7:$CF$1843,CF603,$AM$7:$AM$1843,AM603,$BW$7:$BW$1843,"&lt;="&amp;BW603),"")</f>
        <v>11186.0193471782</v>
      </c>
      <c r="AO603" s="58" t="n">
        <f aca="false">IF(AN603="",0,MAX(0,MIN(1,(IF(CF603="L1",Parameter!$H$5,IF(CF603="L23",Parameter!$H$6+Parameter!$H$7,Parameter!$H$5+Parameter!$H$6+Parameter!$H$7))-(AN603-AI603))/AI603)))</f>
        <v>1</v>
      </c>
      <c r="AP603" s="50" t="n">
        <f aca="false">IF(LEFT(Cockpit!$I$5,1)="A",H603,IF(Parameter!$E$30="MAX-Bestand",IF(CH603=1,CI603,IF(LEFT(Cockpit!$I$5,1)="B",AV603,MAX(AV603,H603))),ROUNDUP(AT603,0)))</f>
        <v>8</v>
      </c>
      <c r="AQ603" s="50" t="n">
        <f aca="false">IF(BZ603=1,0,ROUNDUP(AP603/BY603,0))</f>
        <v>1</v>
      </c>
      <c r="AR603" s="52" t="n">
        <f aca="false">IF(CQ603&gt;0,CQ603*MAX(1,AP603/X603),IF(BZ603=1,IF(AP603&lt;=0,0,CD603*MAX(1,IF(H603&gt;0,AP603/H603,1))),IF(R603&gt;0,AQ603/R603,0))/MAX(0.1,N(Parameter!$M$21)))</f>
        <v>0.0192307692307692</v>
      </c>
      <c r="AS603" s="50" t="n">
        <f aca="false">AR603*CB603</f>
        <v>2.98076923076923</v>
      </c>
      <c r="AT603" s="51" t="n">
        <f aca="false">IF(LEFT(Cockpit!$I$5,1)="A",H603,IF(CH603=1,(CK603+CI603)/2,IF(LEFT(Cockpit!$I$5,1)="B",(CK603+AV603)/2,MAX((CK603+AV603)/2,H603))))</f>
        <v>8</v>
      </c>
      <c r="AU603" s="50" t="n">
        <f aca="false">AT603*G603</f>
        <v>33.2</v>
      </c>
      <c r="AV603" s="50" t="n">
        <f aca="false">ROUNDUP(CK603+MAX(CL603,2*(J603/IF(CG603&gt;0,CG603,MAX(0.1,N(Cockpit!$I$6)))-CK603)),0)</f>
        <v>1</v>
      </c>
      <c r="AW603" s="51" t="n">
        <f aca="false">IF(AS603&gt;0,J603/AS603,-1)</f>
        <v>0.335483870967742</v>
      </c>
      <c r="AX603" s="51" t="n">
        <f aca="false">IF(AND(OR(CF603="L1",CF603="L23",CF603="LIFT"),AS603&gt;0),SUMIFS($AS$7:$AS$1843,$CF$7:$CF$1843,CF603,$AW$7:$AW$1843,"&gt;"&amp;AW603)+SUMIFS($AS$7:$AS$1843,$CF$7:$CF$1843,CF603,$AW$7:$AW$1843,AW603,$BW$7:$BW$1843,"&lt;="&amp;BW603),"")</f>
        <v>13708.233974359</v>
      </c>
      <c r="AY603" s="58" t="n">
        <f aca="false">IF(AX603="",0,MAX(0,MIN(1,(IF(CF603="L1",Parameter!$H$5,IF(CF603="L23",Parameter!$H$6+Parameter!$H$7,Parameter!$H$5+Parameter!$H$6+Parameter!$H$7))-(AX603-AS603))/AS603)))</f>
        <v>1</v>
      </c>
      <c r="AZ603" s="50" t="n">
        <f aca="false">IF(LEFT(Cockpit!$O$5,1)="A",H603,IF(Parameter!$E$30="MAX-Bestand",IF(CH603=1,CI603,IF(LEFT(Cockpit!$O$5,1)="B",BF603,MAX(BF603,H603))),ROUNDUP(BD603,0)))</f>
        <v>1</v>
      </c>
      <c r="BA603" s="50" t="n">
        <f aca="false">IF(BZ603=1,0,ROUNDUP(AZ603/BY603,0))</f>
        <v>1</v>
      </c>
      <c r="BB603" s="52" t="n">
        <f aca="false">IF(CQ603&gt;0,CQ603*MAX(1,AZ603/X603),IF(BZ603=1,IF(AZ603&lt;=0,0,CD603*MAX(1,IF(H603&gt;0,AZ603/H603,1))),IF(R603&gt;0,BA603/R603,0))/MAX(0.1,N(Parameter!$M$21)))</f>
        <v>0.0192307692307692</v>
      </c>
      <c r="BC603" s="50" t="n">
        <f aca="false">BB603*CB603</f>
        <v>2.98076923076923</v>
      </c>
      <c r="BD603" s="51" t="n">
        <f aca="false">IF(LEFT(Cockpit!$O$5,1)="A",H603,IF(CH603=1,(CK603+CI603)/2,IF(LEFT(Cockpit!$O$5,1)="B",(CK603+BF603)/2,MAX((CK603+BF603)/2,H603))))</f>
        <v>0.5</v>
      </c>
      <c r="BE603" s="50" t="n">
        <f aca="false">BD603*G603</f>
        <v>2.075</v>
      </c>
      <c r="BF603" s="50" t="n">
        <f aca="false">ROUNDUP(CK603+MAX(CL603,2*(J603/IF(CG603&gt;0,CG603,MAX(0.1,N(Cockpit!$O$6)))-CK603)),0)</f>
        <v>1</v>
      </c>
      <c r="BG603" s="51" t="n">
        <f aca="false">IF(BC603&gt;0,J603/BC603,-1)</f>
        <v>0.335483870967742</v>
      </c>
      <c r="BH603" s="51" t="n">
        <f aca="false">IF(AND(OR(CF603="L1",CF603="L23",CF603="LIFT"),BC603&gt;0),SUMIFS($BC$7:$BC$1843,$CF$7:$CF$1843,CF603,$BG$7:$BG$1843,"&gt;"&amp;BG603)+SUMIFS($BC$7:$BC$1843,$CF$7:$CF$1843,CF603,$BG$7:$BG$1843,BG603,$BW$7:$BW$1843,"&lt;="&amp;BW603),"")</f>
        <v>11562.1735347985</v>
      </c>
      <c r="BI603" s="58" t="n">
        <f aca="false">IF(BH603="",0,MAX(0,MIN(1,(IF(CF603="L1",Parameter!$H$5,IF(CF603="L23",Parameter!$H$6+Parameter!$H$7,Parameter!$H$5+Parameter!$H$6+Parameter!$H$7))-(BH603-BC603))/BC603)))</f>
        <v>1</v>
      </c>
      <c r="BJ603" s="48" t="str">
        <f aca="false">IF(AI603&lt;=0,"",IF(CF603="Aussen","Aussenlager",IF(CF603="-","Nicht im Lift",IF(AO603&gt;=1,"Lift",IF(AO603&lt;=0,"Aussenlager","teilweise")))))</f>
        <v>Lift</v>
      </c>
      <c r="BK603" s="48" t="str">
        <f aca="false">IF(AS603&lt;=0,"",IF(CF603="Aussen","Aussenlager",IF(CF603="-","Nicht im Lift",IF(AY603&gt;=1,"Lift",IF(AY603&lt;=0,"Aussenlager","teilweise")))))</f>
        <v>Lift</v>
      </c>
      <c r="BL603" s="48" t="str">
        <f aca="false">IF(BC603&lt;=0,"",IF(CF603="Aussen","Aussenlager",IF(CF603="-","Nicht im Lift",IF(BI603&gt;=1,"Lift",IF(BI603&lt;=0,"Aussenlager","teilweise")))))</f>
        <v>Lift</v>
      </c>
      <c r="BM603" s="48" t="str">
        <f aca="false">IF(A603="","",IF(BV603=1,"Neu; ","")&amp;IF(AND(BV603=0,BQ603&lt;0),"negativer Bestand (Export "&amp;BQ603&amp;"); ","")&amp;IF(J603&lt;=0,"Kein Verbrauch; ","")&amp;IF(CQ603&gt;0,"Lift "&amp;W603&amp;" lt. Liftbericht (Fach "&amp;X603&amp;" Stk); ",IF(CA603=1,"Gebinde geschätzt ("&amp;T603&amp;"); ",IF(BZ603=1,"Lose – Tablare geschätzt; ","")))&amp;IF(H603&gt;AV603,"Überbestand "&amp;ROUND(H603-AV603,0)&amp;" Stk / CHF "&amp;ROUND((H603-AV603)*G603,0)&amp;"; ","")&amp;IF(AND(CH603=1,CI603&lt;CJ603),"MAX &lt; MB+LG; ","")&amp;IF(AND(CP603&gt;0,CO603*10&gt;CP603),"zu hoch für Tablar; ","")&amp;IF(AND(BV603=0,OR(CH603=1,AA603&lt;&gt;"",U603&lt;&gt;"",V603&lt;&gt;"",AB603&lt;&gt;"")),"manuell übersteuert; ","")&amp;IF(AND(BZ603=0,R603=0),"Gebinde unbekannt / Stellmass fehlt; ","")&amp;IF(AND(BZ603=0,N(V603)&lt;=0,N(Q603)&lt;=0),"Menge pro Gebinde fehlt (Ist = 1 Gebinde); ","")&amp;BU603)</f>
        <v>Überbestand 7 Stk / CHF 29; überbestand</v>
      </c>
      <c r="BN603" s="48"/>
      <c r="BO603" s="48"/>
      <c r="BP603" s="55"/>
      <c r="BQ603" s="50" t="n">
        <v>1</v>
      </c>
      <c r="BR603" s="50" t="n">
        <v>7</v>
      </c>
      <c r="BS603" s="49" t="n">
        <v>5.48</v>
      </c>
      <c r="BT603" s="50" t="n">
        <v>1</v>
      </c>
      <c r="BU603" s="48" t="s">
        <v>1259</v>
      </c>
      <c r="BV603" s="53" t="n">
        <v>0</v>
      </c>
      <c r="BW603" s="53" t="n">
        <v>603</v>
      </c>
      <c r="BX603" s="48" t="str">
        <f aca="false">IF(U603&lt;&gt;"",UPPER(TRIM(U603)),IF(CA603=1,UPPER(VLOOKUP(T603,Parameter!$I$27:$K$29,2,0)),IF(P603="","LOSE",P603)))</f>
        <v>S41</v>
      </c>
      <c r="BY603" s="50" t="n">
        <f aca="false">IF(BX603="LOSE",1,IF(N(V603)&gt;0,V603,IF(CA603=1,MAX(1,N(VLOOKUP(T603,Parameter!$I$27:$K$29,3,0)),H603,N(N603)),IF(N(Q603)&gt;0,Q603,MAX(1,H603)))))</f>
        <v>10</v>
      </c>
      <c r="BZ603" s="53" t="n">
        <f aca="false">IF(BX603="LOSE",1,0)</f>
        <v>0</v>
      </c>
      <c r="CA603" s="53" t="n">
        <f aca="false">IF(AND(U603="",OR(P603="",P603="LOSE"),T603&lt;&gt;"",N(S603)&lt;=0,ISNUMBER(MATCH(T603,Parameter!$I$27:$I$29,0))),1,0)</f>
        <v>0</v>
      </c>
      <c r="CB603" s="53" t="n">
        <f aca="false">IF(CQ603&gt;0,INDEX(Parameter!$H$5:$H$7,W603)/INDEX(Parameter!$E$5:$E$7,W603),IF(AND(BZ603=0,N(IFERROR(VLOOKUP(BX603,'Gebinde-Kategorie'!$A$5:$N$45,14,0),0))&gt;0),VLOOKUP(BX603,'Gebinde-Kategorie'!$A$5:$N$45,14,0)*10+Parameter!$M$23,Parameter!$M$24))</f>
        <v>155</v>
      </c>
      <c r="CC603" s="48" t="str">
        <f aca="false">IF(AND(Parameter!$B$19="Ja",E603&lt;&gt;"",ISNUMBER(MATCH(E603,Parameter!$I$35:$I$52,0))),VLOOKUP(E603,Parameter!$I$35:$J$52,2,0),IFERROR(VLOOKUP(D603,Parameter!$A$35:$C$64,2,0),"Nein"))</f>
        <v>2+3</v>
      </c>
      <c r="CD603" s="52" t="n">
        <f aca="false">IF(BZ603=0,0,IF(N(S603)&gt;0,S603,IFERROR(VLOOKUP(D603,Parameter!$A$35:$C$64,3,0)+0,0)))</f>
        <v>0</v>
      </c>
      <c r="CE603" s="48" t="n">
        <f aca="false">IF(AA603&lt;&gt;"",AA603,Z603)</f>
        <v>3</v>
      </c>
      <c r="CF603" s="48" t="str">
        <f aca="false">IF(OR(CE603=1,CE603=2,CE603=3),IF(Parameter!$E$27="Ja","LIFT",IF(CE603=1,"L1","L23")),IF(CE603="Aussen","Aussen","-"))</f>
        <v>LIFT</v>
      </c>
      <c r="CG603" s="59" t="n">
        <f aca="false">IF(N(AB603)&gt;0,AB603,0)</f>
        <v>0</v>
      </c>
      <c r="CH603" s="53" t="n">
        <f aca="false">IF(ISNUMBER(AE603),1,0)</f>
        <v>0</v>
      </c>
      <c r="CI603" s="50" t="n">
        <f aca="false">N(AE603)</f>
        <v>0</v>
      </c>
      <c r="CJ603" s="50" t="n">
        <f aca="false">N(M603)+N(N603)</f>
        <v>1</v>
      </c>
      <c r="CK603" s="50" t="n">
        <f aca="false">N(M603)</f>
        <v>0</v>
      </c>
      <c r="CL603" s="50" t="n">
        <f aca="false">N(N603)</f>
        <v>1</v>
      </c>
      <c r="CM603" s="50" t="n">
        <f aca="false">ROUNDUP(H603/BY603,0)</f>
        <v>1</v>
      </c>
      <c r="CN603" s="50" t="n">
        <f aca="false">ROUNDUP(CI603/BY603,0)</f>
        <v>0</v>
      </c>
      <c r="CO603" s="53" t="n">
        <f aca="false">IF(BZ603=1,0,IFERROR(VLOOKUP(BX603,'Gebinde-Kategorie'!$A$5:$N$45,5,0)+0,0))</f>
        <v>11</v>
      </c>
      <c r="CP603" s="53" t="n">
        <f aca="false">IFERROR(IF(OR(CE603=1,CE603=2,CE603=3),N(INDEX(Parameter!$I$5:$I$7,CE603)),0),0)</f>
        <v>0</v>
      </c>
      <c r="CQ603" s="52" t="n">
        <f aca="false">IF(AND(Parameter!$B$21="Ja",ISNUMBER(W603),N(X603)&gt;0),IFERROR(N(INDEX(Parameter!$L$5:$L$7,W603))*INDEX(Parameter!$E$5:$E$7,W603)*X603/SUMIFS($X$7:$X$1843,$W$7:$W$1843,W603),0),0)</f>
        <v>0</v>
      </c>
    </row>
    <row r="604" customFormat="false" ht="15" hidden="false" customHeight="false" outlineLevel="0" collapsed="false">
      <c r="A604" s="48" t="s">
        <v>1260</v>
      </c>
      <c r="B604" s="48" t="s">
        <v>958</v>
      </c>
      <c r="C604" s="48" t="s">
        <v>173</v>
      </c>
      <c r="D604" s="48" t="s">
        <v>193</v>
      </c>
      <c r="E604" s="48" t="s">
        <v>194</v>
      </c>
      <c r="F604" s="48" t="s">
        <v>227</v>
      </c>
      <c r="G604" s="49" t="n">
        <v>0.01</v>
      </c>
      <c r="H604" s="50" t="n">
        <f aca="false">MAX(0,IF(AND(Parameter!$B$21="Ja",ISNUMBER(Y604)),Y604,IF(Parameter!$B$20="Jahresanfang 2025 + Export",BR604+BQ604,BQ604)))</f>
        <v>741</v>
      </c>
      <c r="I604" s="50" t="n">
        <f aca="false">H604*G604</f>
        <v>7.41</v>
      </c>
      <c r="J604" s="50" t="n">
        <f aca="false">BT604*Parameter!$B$18</f>
        <v>110</v>
      </c>
      <c r="K604" s="51" t="n">
        <v>152.5</v>
      </c>
      <c r="L604" s="52" t="n">
        <v>0.721311475409836</v>
      </c>
      <c r="M604" s="50" t="n">
        <v>6</v>
      </c>
      <c r="N604" s="50" t="n">
        <v>110</v>
      </c>
      <c r="O604" s="53" t="n">
        <v>21</v>
      </c>
      <c r="P604" s="48" t="s">
        <v>485</v>
      </c>
      <c r="Q604" s="50" t="n">
        <v>1831</v>
      </c>
      <c r="R604" s="53" t="n">
        <f aca="false">IF(BZ604=1,0,IFERROR(VLOOKUP(BX604,'Gebinde-Kategorie'!$A$5:$N$45,13,0)+0,0))</f>
        <v>52</v>
      </c>
      <c r="S604" s="54"/>
      <c r="T604" s="55"/>
      <c r="U604" s="55"/>
      <c r="V604" s="55"/>
      <c r="W604" s="48"/>
      <c r="X604" s="50"/>
      <c r="Y604" s="50"/>
      <c r="Z604" s="48" t="n">
        <f aca="false">IF(A604="","",IF(AND(Parameter!$B$21="Ja",ISNUMBER(W604)),W604,IF(CC604="2+3",IF(ISNUMBER(SEARCH("grosser Artikel",BU604)),2,IFERROR(VLOOKUP(BX604,Parameter!$F$35:$G$64,2,0),2)),IF(OR(CC604="Nein",CC604=""),"-",CC604))))</f>
        <v>3</v>
      </c>
      <c r="AA604" s="55"/>
      <c r="AB604" s="56"/>
      <c r="AC604" s="50" t="n">
        <f aca="false">AV604</f>
        <v>116</v>
      </c>
      <c r="AD604" s="50" t="n">
        <f aca="false">MAX(AV604,H604)</f>
        <v>741</v>
      </c>
      <c r="AE604" s="57"/>
      <c r="AF604" s="50" t="n">
        <f aca="false">IF(LEFT(Cockpit!$C$5,1)="A",H604,IF(Parameter!$E$30="MAX-Bestand",IF(CH604=1,CI604,IF(LEFT(Cockpit!$C$5,1)="B",AL604,MAX(AL604,H604))),ROUNDUP(AJ604,0)))</f>
        <v>741</v>
      </c>
      <c r="AG604" s="50" t="n">
        <f aca="false">IF(BZ604=1,0,ROUNDUP(AF604/BY604,0))</f>
        <v>1</v>
      </c>
      <c r="AH604" s="52" t="n">
        <f aca="false">IF(CQ604&gt;0,CQ604*MAX(1,AF604/X604),IF(BZ604=1,IF(AF604&lt;=0,0,CD604*MAX(1,IF(H604&gt;0,AF604/H604,1))),IF(R604&gt;0,AG604/R604,0))/MAX(0.1,N(Parameter!$M$21)))</f>
        <v>0.0192307692307692</v>
      </c>
      <c r="AI604" s="50" t="n">
        <f aca="false">AH604*CB604</f>
        <v>2.98076923076923</v>
      </c>
      <c r="AJ604" s="51" t="n">
        <f aca="false">IF(LEFT(Cockpit!$C$5,1)="A",H604,IF(CH604=1,(CK604+CI604)/2,IF(LEFT(Cockpit!$C$5,1)="B",(CK604+AL604)/2,MAX((CK604+AL604)/2,H604))))</f>
        <v>741</v>
      </c>
      <c r="AK604" s="50" t="n">
        <f aca="false">AJ604*G604</f>
        <v>7.41</v>
      </c>
      <c r="AL604" s="50" t="n">
        <f aca="false">ROUNDUP(CK604+MAX(CL604,2*(J604/IF(CG604&gt;0,CG604,MAX(0.1,N(Cockpit!$C$6)))-CK604)),0)</f>
        <v>116</v>
      </c>
      <c r="AM604" s="51" t="n">
        <f aca="false">IF(AI604&gt;0,J604/AI604,-1)</f>
        <v>36.9032258064516</v>
      </c>
      <c r="AN604" s="51" t="n">
        <f aca="false">IF(AND(OR(CF604="L1",CF604="L23",CF604="LIFT"),AI604&gt;0),SUMIFS($AI$7:$AI$1843,$CF$7:$CF$1843,CF604,$AM$7:$AM$1843,"&gt;"&amp;AM604)+SUMIFS($AI$7:$AI$1843,$CF$7:$CF$1843,CF604,$AM$7:$AM$1843,AM604,$BW$7:$BW$1843,"&lt;="&amp;BW604),"")</f>
        <v>1260.36538461538</v>
      </c>
      <c r="AO604" s="58" t="n">
        <f aca="false">IF(AN604="",0,MAX(0,MIN(1,(IF(CF604="L1",Parameter!$H$5,IF(CF604="L23",Parameter!$H$6+Parameter!$H$7,Parameter!$H$5+Parameter!$H$6+Parameter!$H$7))-(AN604-AI604))/AI604)))</f>
        <v>1</v>
      </c>
      <c r="AP604" s="50" t="n">
        <f aca="false">IF(LEFT(Cockpit!$I$5,1)="A",H604,IF(Parameter!$E$30="MAX-Bestand",IF(CH604=1,CI604,IF(LEFT(Cockpit!$I$5,1)="B",AV604,MAX(AV604,H604))),ROUNDUP(AT604,0)))</f>
        <v>741</v>
      </c>
      <c r="AQ604" s="50" t="n">
        <f aca="false">IF(BZ604=1,0,ROUNDUP(AP604/BY604,0))</f>
        <v>1</v>
      </c>
      <c r="AR604" s="52" t="n">
        <f aca="false">IF(CQ604&gt;0,CQ604*MAX(1,AP604/X604),IF(BZ604=1,IF(AP604&lt;=0,0,CD604*MAX(1,IF(H604&gt;0,AP604/H604,1))),IF(R604&gt;0,AQ604/R604,0))/MAX(0.1,N(Parameter!$M$21)))</f>
        <v>0.0192307692307692</v>
      </c>
      <c r="AS604" s="50" t="n">
        <f aca="false">AR604*CB604</f>
        <v>2.98076923076923</v>
      </c>
      <c r="AT604" s="51" t="n">
        <f aca="false">IF(LEFT(Cockpit!$I$5,1)="A",H604,IF(CH604=1,(CK604+CI604)/2,IF(LEFT(Cockpit!$I$5,1)="B",(CK604+AV604)/2,MAX((CK604+AV604)/2,H604))))</f>
        <v>741</v>
      </c>
      <c r="AU604" s="50" t="n">
        <f aca="false">AT604*G604</f>
        <v>7.41</v>
      </c>
      <c r="AV604" s="50" t="n">
        <f aca="false">ROUNDUP(CK604+MAX(CL604,2*(J604/IF(CG604&gt;0,CG604,MAX(0.1,N(Cockpit!$I$6)))-CK604)),0)</f>
        <v>116</v>
      </c>
      <c r="AW604" s="51" t="n">
        <f aca="false">IF(AS604&gt;0,J604/AS604,-1)</f>
        <v>36.9032258064516</v>
      </c>
      <c r="AX604" s="51" t="n">
        <f aca="false">IF(AND(OR(CF604="L1",CF604="L23",CF604="LIFT"),AS604&gt;0),SUMIFS($AS$7:$AS$1843,$CF$7:$CF$1843,CF604,$AW$7:$AW$1843,"&gt;"&amp;AW604)+SUMIFS($AS$7:$AS$1843,$CF$7:$CF$1843,CF604,$AW$7:$AW$1843,AW604,$BW$7:$BW$1843,"&lt;="&amp;BW604),"")</f>
        <v>1578.91712454212</v>
      </c>
      <c r="AY604" s="58" t="n">
        <f aca="false">IF(AX604="",0,MAX(0,MIN(1,(IF(CF604="L1",Parameter!$H$5,IF(CF604="L23",Parameter!$H$6+Parameter!$H$7,Parameter!$H$5+Parameter!$H$6+Parameter!$H$7))-(AX604-AS604))/AS604)))</f>
        <v>1</v>
      </c>
      <c r="AZ604" s="50" t="n">
        <f aca="false">IF(LEFT(Cockpit!$O$5,1)="A",H604,IF(Parameter!$E$30="MAX-Bestand",IF(CH604=1,CI604,IF(LEFT(Cockpit!$O$5,1)="B",BF604,MAX(BF604,H604))),ROUNDUP(BD604,0)))</f>
        <v>61</v>
      </c>
      <c r="BA604" s="50" t="n">
        <f aca="false">IF(BZ604=1,0,ROUNDUP(AZ604/BY604,0))</f>
        <v>1</v>
      </c>
      <c r="BB604" s="52" t="n">
        <f aca="false">IF(CQ604&gt;0,CQ604*MAX(1,AZ604/X604),IF(BZ604=1,IF(AZ604&lt;=0,0,CD604*MAX(1,IF(H604&gt;0,AZ604/H604,1))),IF(R604&gt;0,BA604/R604,0))/MAX(0.1,N(Parameter!$M$21)))</f>
        <v>0.0192307692307692</v>
      </c>
      <c r="BC604" s="50" t="n">
        <f aca="false">BB604*CB604</f>
        <v>2.98076923076923</v>
      </c>
      <c r="BD604" s="51" t="n">
        <f aca="false">IF(LEFT(Cockpit!$O$5,1)="A",H604,IF(CH604=1,(CK604+CI604)/2,IF(LEFT(Cockpit!$O$5,1)="B",(CK604+BF604)/2,MAX((CK604+BF604)/2,H604))))</f>
        <v>61</v>
      </c>
      <c r="BE604" s="50" t="n">
        <f aca="false">BD604*G604</f>
        <v>0.61</v>
      </c>
      <c r="BF604" s="50" t="n">
        <f aca="false">ROUNDUP(CK604+MAX(CL604,2*(J604/IF(CG604&gt;0,CG604,MAX(0.1,N(Cockpit!$O$6)))-CK604)),0)</f>
        <v>116</v>
      </c>
      <c r="BG604" s="51" t="n">
        <f aca="false">IF(BC604&gt;0,J604/BC604,-1)</f>
        <v>36.9032258064516</v>
      </c>
      <c r="BH604" s="51" t="n">
        <f aca="false">IF(AND(OR(CF604="L1",CF604="L23",CF604="LIFT"),BC604&gt;0),SUMIFS($BC$7:$BC$1843,$CF$7:$CF$1843,CF604,$BG$7:$BG$1843,"&gt;"&amp;BG604)+SUMIFS($BC$7:$BC$1843,$CF$7:$CF$1843,CF604,$BG$7:$BG$1843,BG604,$BW$7:$BW$1843,"&lt;="&amp;BW604),"")</f>
        <v>1507.11858974359</v>
      </c>
      <c r="BI604" s="58" t="n">
        <f aca="false">IF(BH604="",0,MAX(0,MIN(1,(IF(CF604="L1",Parameter!$H$5,IF(CF604="L23",Parameter!$H$6+Parameter!$H$7,Parameter!$H$5+Parameter!$H$6+Parameter!$H$7))-(BH604-BC604))/BC604)))</f>
        <v>1</v>
      </c>
      <c r="BJ604" s="48" t="str">
        <f aca="false">IF(AI604&lt;=0,"",IF(CF604="Aussen","Aussenlager",IF(CF604="-","Nicht im Lift",IF(AO604&gt;=1,"Lift",IF(AO604&lt;=0,"Aussenlager","teilweise")))))</f>
        <v>Lift</v>
      </c>
      <c r="BK604" s="48" t="str">
        <f aca="false">IF(AS604&lt;=0,"",IF(CF604="Aussen","Aussenlager",IF(CF604="-","Nicht im Lift",IF(AY604&gt;=1,"Lift",IF(AY604&lt;=0,"Aussenlager","teilweise")))))</f>
        <v>Lift</v>
      </c>
      <c r="BL604" s="48" t="str">
        <f aca="false">IF(BC604&lt;=0,"",IF(CF604="Aussen","Aussenlager",IF(CF604="-","Nicht im Lift",IF(BI604&gt;=1,"Lift",IF(BI604&lt;=0,"Aussenlager","teilweise")))))</f>
        <v>Lift</v>
      </c>
      <c r="BM604" s="48" t="str">
        <f aca="false">IF(A604="","",IF(BV604=1,"Neu; ","")&amp;IF(AND(BV604=0,BQ604&lt;0),"negativer Bestand (Export "&amp;BQ604&amp;"); ","")&amp;IF(J604&lt;=0,"Kein Verbrauch; ","")&amp;IF(CQ604&gt;0,"Lift "&amp;W604&amp;" lt. Liftbericht (Fach "&amp;X604&amp;" Stk); ",IF(CA604=1,"Gebinde geschätzt ("&amp;T604&amp;"); ",IF(BZ604=1,"Lose – Tablare geschätzt; ","")))&amp;IF(H604&gt;AV604,"Überbestand "&amp;ROUND(H604-AV604,0)&amp;" Stk / CHF "&amp;ROUND((H604-AV604)*G604,0)&amp;"; ","")&amp;IF(AND(CH604=1,CI604&lt;CJ604),"MAX &lt; MB+LG; ","")&amp;IF(AND(CP604&gt;0,CO604*10&gt;CP604),"zu hoch für Tablar; ","")&amp;IF(AND(BV604=0,OR(CH604=1,AA604&lt;&gt;"",U604&lt;&gt;"",V604&lt;&gt;"",AB604&lt;&gt;"")),"manuell übersteuert; ","")&amp;IF(AND(BZ604=0,R604=0),"Gebinde unbekannt / Stellmass fehlt; ","")&amp;IF(AND(BZ604=0,N(V604)&lt;=0,N(Q604)&lt;=0),"Menge pro Gebinde fehlt (Ist = 1 Gebinde); ","")&amp;BU604)</f>
        <v>Überbestand 625 Stk / CHF 6; Überbestand</v>
      </c>
      <c r="BN604" s="48"/>
      <c r="BO604" s="48"/>
      <c r="BP604" s="55"/>
      <c r="BQ604" s="50" t="n">
        <v>534</v>
      </c>
      <c r="BR604" s="50" t="n">
        <v>207</v>
      </c>
      <c r="BS604" s="49" t="n">
        <v>5.34</v>
      </c>
      <c r="BT604" s="50" t="n">
        <v>110</v>
      </c>
      <c r="BU604" s="48" t="s">
        <v>401</v>
      </c>
      <c r="BV604" s="53" t="n">
        <v>0</v>
      </c>
      <c r="BW604" s="53" t="n">
        <v>604</v>
      </c>
      <c r="BX604" s="48" t="str">
        <f aca="false">IF(U604&lt;&gt;"",UPPER(TRIM(U604)),IF(CA604=1,UPPER(VLOOKUP(T604,Parameter!$I$27:$K$29,2,0)),IF(P604="","LOSE",P604)))</f>
        <v>S33</v>
      </c>
      <c r="BY604" s="50" t="n">
        <f aca="false">IF(BX604="LOSE",1,IF(N(V604)&gt;0,V604,IF(CA604=1,MAX(1,N(VLOOKUP(T604,Parameter!$I$27:$K$29,3,0)),H604,N(N604)),IF(N(Q604)&gt;0,Q604,MAX(1,H604)))))</f>
        <v>1831</v>
      </c>
      <c r="BZ604" s="53" t="n">
        <f aca="false">IF(BX604="LOSE",1,0)</f>
        <v>0</v>
      </c>
      <c r="CA604" s="53" t="n">
        <f aca="false">IF(AND(U604="",OR(P604="",P604="LOSE"),T604&lt;&gt;"",N(S604)&lt;=0,ISNUMBER(MATCH(T604,Parameter!$I$27:$I$29,0))),1,0)</f>
        <v>0</v>
      </c>
      <c r="CB604" s="53" t="n">
        <f aca="false">IF(CQ604&gt;0,INDEX(Parameter!$H$5:$H$7,W604)/INDEX(Parameter!$E$5:$E$7,W604),IF(AND(BZ604=0,N(IFERROR(VLOOKUP(BX604,'Gebinde-Kategorie'!$A$5:$N$45,14,0),0))&gt;0),VLOOKUP(BX604,'Gebinde-Kategorie'!$A$5:$N$45,14,0)*10+Parameter!$M$23,Parameter!$M$24))</f>
        <v>155</v>
      </c>
      <c r="CC604" s="48" t="str">
        <f aca="false">IF(AND(Parameter!$B$19="Ja",E604&lt;&gt;"",ISNUMBER(MATCH(E604,Parameter!$I$35:$I$52,0))),VLOOKUP(E604,Parameter!$I$35:$J$52,2,0),IFERROR(VLOOKUP(D604,Parameter!$A$35:$C$64,2,0),"Nein"))</f>
        <v>2+3</v>
      </c>
      <c r="CD604" s="52" t="n">
        <f aca="false">IF(BZ604=0,0,IF(N(S604)&gt;0,S604,IFERROR(VLOOKUP(D604,Parameter!$A$35:$C$64,3,0)+0,0)))</f>
        <v>0</v>
      </c>
      <c r="CE604" s="48" t="n">
        <f aca="false">IF(AA604&lt;&gt;"",AA604,Z604)</f>
        <v>3</v>
      </c>
      <c r="CF604" s="48" t="str">
        <f aca="false">IF(OR(CE604=1,CE604=2,CE604=3),IF(Parameter!$E$27="Ja","LIFT",IF(CE604=1,"L1","L23")),IF(CE604="Aussen","Aussen","-"))</f>
        <v>LIFT</v>
      </c>
      <c r="CG604" s="59" t="n">
        <f aca="false">IF(N(AB604)&gt;0,AB604,0)</f>
        <v>0</v>
      </c>
      <c r="CH604" s="53" t="n">
        <f aca="false">IF(ISNUMBER(AE604),1,0)</f>
        <v>0</v>
      </c>
      <c r="CI604" s="50" t="n">
        <f aca="false">N(AE604)</f>
        <v>0</v>
      </c>
      <c r="CJ604" s="50" t="n">
        <f aca="false">N(M604)+N(N604)</f>
        <v>116</v>
      </c>
      <c r="CK604" s="50" t="n">
        <f aca="false">N(M604)</f>
        <v>6</v>
      </c>
      <c r="CL604" s="50" t="n">
        <f aca="false">N(N604)</f>
        <v>110</v>
      </c>
      <c r="CM604" s="50" t="n">
        <f aca="false">ROUNDUP(H604/BY604,0)</f>
        <v>1</v>
      </c>
      <c r="CN604" s="50" t="n">
        <f aca="false">ROUNDUP(CI604/BY604,0)</f>
        <v>0</v>
      </c>
      <c r="CO604" s="53" t="n">
        <f aca="false">IF(BZ604=1,0,IFERROR(VLOOKUP(BX604,'Gebinde-Kategorie'!$A$5:$N$45,5,0)+0,0))</f>
        <v>8</v>
      </c>
      <c r="CP604" s="53" t="n">
        <f aca="false">IFERROR(IF(OR(CE604=1,CE604=2,CE604=3),N(INDEX(Parameter!$I$5:$I$7,CE604)),0),0)</f>
        <v>0</v>
      </c>
      <c r="CQ604" s="52" t="n">
        <f aca="false">IF(AND(Parameter!$B$21="Ja",ISNUMBER(W604),N(X604)&gt;0),IFERROR(N(INDEX(Parameter!$L$5:$L$7,W604))*INDEX(Parameter!$E$5:$E$7,W604)*X604/SUMIFS($X$7:$X$1843,$W$7:$W$1843,W604),0),0)</f>
        <v>0</v>
      </c>
    </row>
    <row r="605" customFormat="false" ht="15" hidden="false" customHeight="false" outlineLevel="0" collapsed="false">
      <c r="A605" s="48" t="s">
        <v>1261</v>
      </c>
      <c r="B605" s="48" t="s">
        <v>477</v>
      </c>
      <c r="C605" s="48" t="s">
        <v>173</v>
      </c>
      <c r="D605" s="48" t="s">
        <v>193</v>
      </c>
      <c r="E605" s="48" t="s">
        <v>194</v>
      </c>
      <c r="F605" s="48" t="s">
        <v>227</v>
      </c>
      <c r="G605" s="49" t="n">
        <v>0.09</v>
      </c>
      <c r="H605" s="50" t="n">
        <f aca="false">MAX(0,IF(AND(Parameter!$B$21="Ja",ISNUMBER(Y605)),Y605,IF(Parameter!$B$20="Jahresanfang 2025 + Export",BR605+BQ605,BQ605)))</f>
        <v>444</v>
      </c>
      <c r="I605" s="50" t="n">
        <f aca="false">H605*G605</f>
        <v>39.96</v>
      </c>
      <c r="J605" s="50" t="n">
        <f aca="false">BT605*Parameter!$B$18</f>
        <v>466</v>
      </c>
      <c r="K605" s="51" t="n">
        <v>549</v>
      </c>
      <c r="L605" s="52" t="n">
        <v>0.848816029143898</v>
      </c>
      <c r="M605" s="50" t="n">
        <v>18</v>
      </c>
      <c r="N605" s="50" t="n">
        <v>465</v>
      </c>
      <c r="O605" s="53" t="n">
        <v>14</v>
      </c>
      <c r="P605" s="48" t="s">
        <v>435</v>
      </c>
      <c r="Q605" s="50" t="n">
        <v>783</v>
      </c>
      <c r="R605" s="53" t="n">
        <f aca="false">IF(BZ605=1,0,IFERROR(VLOOKUP(BX605,'Gebinde-Kategorie'!$A$5:$N$45,13,0)+0,0))</f>
        <v>140</v>
      </c>
      <c r="S605" s="54"/>
      <c r="T605" s="55"/>
      <c r="U605" s="55"/>
      <c r="V605" s="55"/>
      <c r="W605" s="48"/>
      <c r="X605" s="50"/>
      <c r="Y605" s="50"/>
      <c r="Z605" s="48" t="n">
        <f aca="false">IF(A605="","",IF(AND(Parameter!$B$21="Ja",ISNUMBER(W605)),W605,IF(CC605="2+3",IF(ISNUMBER(SEARCH("grosser Artikel",BU605)),2,IFERROR(VLOOKUP(BX605,Parameter!$F$35:$G$64,2,0),2)),IF(OR(CC605="Nein",CC605=""),"-",CC605))))</f>
        <v>3</v>
      </c>
      <c r="AA605" s="55"/>
      <c r="AB605" s="56"/>
      <c r="AC605" s="50" t="n">
        <f aca="false">AV605</f>
        <v>483</v>
      </c>
      <c r="AD605" s="50" t="n">
        <f aca="false">MAX(AV605,H605)</f>
        <v>483</v>
      </c>
      <c r="AE605" s="57"/>
      <c r="AF605" s="50" t="n">
        <f aca="false">IF(LEFT(Cockpit!$C$5,1)="A",H605,IF(Parameter!$E$30="MAX-Bestand",IF(CH605=1,CI605,IF(LEFT(Cockpit!$C$5,1)="B",AL605,MAX(AL605,H605))),ROUNDUP(AJ605,0)))</f>
        <v>444</v>
      </c>
      <c r="AG605" s="50" t="n">
        <f aca="false">IF(BZ605=1,0,ROUNDUP(AF605/BY605,0))</f>
        <v>1</v>
      </c>
      <c r="AH605" s="52" t="n">
        <f aca="false">IF(CQ605&gt;0,CQ605*MAX(1,AF605/X605),IF(BZ605=1,IF(AF605&lt;=0,0,CD605*MAX(1,IF(H605&gt;0,AF605/H605,1))),IF(R605&gt;0,AG605/R605,0))/MAX(0.1,N(Parameter!$M$21)))</f>
        <v>0.00714285714285714</v>
      </c>
      <c r="AI605" s="50" t="n">
        <f aca="false">AH605*CB605</f>
        <v>1.10714285714286</v>
      </c>
      <c r="AJ605" s="51" t="n">
        <f aca="false">IF(LEFT(Cockpit!$C$5,1)="A",H605,IF(CH605=1,(CK605+CI605)/2,IF(LEFT(Cockpit!$C$5,1)="B",(CK605+AL605)/2,MAX((CK605+AL605)/2,H605))))</f>
        <v>444</v>
      </c>
      <c r="AK605" s="50" t="n">
        <f aca="false">AJ605*G605</f>
        <v>39.96</v>
      </c>
      <c r="AL605" s="50" t="n">
        <f aca="false">ROUNDUP(CK605+MAX(CL605,2*(J605/IF(CG605&gt;0,CG605,MAX(0.1,N(Cockpit!$C$6)))-CK605)),0)</f>
        <v>483</v>
      </c>
      <c r="AM605" s="51" t="n">
        <f aca="false">IF(AI605&gt;0,J605/AI605,-1)</f>
        <v>420.903225806452</v>
      </c>
      <c r="AN605" s="51" t="n">
        <f aca="false">IF(AND(OR(CF605="L1",CF605="L23",CF605="LIFT"),AI605&gt;0),SUMIFS($AI$7:$AI$1843,$CF$7:$CF$1843,CF605,$AM$7:$AM$1843,"&gt;"&amp;AM605)+SUMIFS($AI$7:$AI$1843,$CF$7:$CF$1843,CF605,$AM$7:$AM$1843,AM605,$BW$7:$BW$1843,"&lt;="&amp;BW605),"")</f>
        <v>170.075091575092</v>
      </c>
      <c r="AO605" s="58" t="n">
        <f aca="false">IF(AN605="",0,MAX(0,MIN(1,(IF(CF605="L1",Parameter!$H$5,IF(CF605="L23",Parameter!$H$6+Parameter!$H$7,Parameter!$H$5+Parameter!$H$6+Parameter!$H$7))-(AN605-AI605))/AI605)))</f>
        <v>1</v>
      </c>
      <c r="AP605" s="50" t="n">
        <f aca="false">IF(LEFT(Cockpit!$I$5,1)="A",H605,IF(Parameter!$E$30="MAX-Bestand",IF(CH605=1,CI605,IF(LEFT(Cockpit!$I$5,1)="B",AV605,MAX(AV605,H605))),ROUNDUP(AT605,0)))</f>
        <v>444</v>
      </c>
      <c r="AQ605" s="50" t="n">
        <f aca="false">IF(BZ605=1,0,ROUNDUP(AP605/BY605,0))</f>
        <v>1</v>
      </c>
      <c r="AR605" s="52" t="n">
        <f aca="false">IF(CQ605&gt;0,CQ605*MAX(1,AP605/X605),IF(BZ605=1,IF(AP605&lt;=0,0,CD605*MAX(1,IF(H605&gt;0,AP605/H605,1))),IF(R605&gt;0,AQ605/R605,0))/MAX(0.1,N(Parameter!$M$21)))</f>
        <v>0.00714285714285714</v>
      </c>
      <c r="AS605" s="50" t="n">
        <f aca="false">AR605*CB605</f>
        <v>1.10714285714286</v>
      </c>
      <c r="AT605" s="51" t="n">
        <f aca="false">IF(LEFT(Cockpit!$I$5,1)="A",H605,IF(CH605=1,(CK605+CI605)/2,IF(LEFT(Cockpit!$I$5,1)="B",(CK605+AV605)/2,MAX((CK605+AV605)/2,H605))))</f>
        <v>444</v>
      </c>
      <c r="AU605" s="50" t="n">
        <f aca="false">AT605*G605</f>
        <v>39.96</v>
      </c>
      <c r="AV605" s="50" t="n">
        <f aca="false">ROUNDUP(CK605+MAX(CL605,2*(J605/IF(CG605&gt;0,CG605,MAX(0.1,N(Cockpit!$I$6)))-CK605)),0)</f>
        <v>483</v>
      </c>
      <c r="AW605" s="51" t="n">
        <f aca="false">IF(AS605&gt;0,J605/AS605,-1)</f>
        <v>420.903225806452</v>
      </c>
      <c r="AX605" s="51" t="n">
        <f aca="false">IF(AND(OR(CF605="L1",CF605="L23",CF605="LIFT"),AS605&gt;0),SUMIFS($AS$7:$AS$1843,$CF$7:$CF$1843,CF605,$AW$7:$AW$1843,"&gt;"&amp;AW605)+SUMIFS($AS$7:$AS$1843,$CF$7:$CF$1843,CF605,$AW$7:$AW$1843,AW605,$BW$7:$BW$1843,"&lt;="&amp;BW605),"")</f>
        <v>102.630494505495</v>
      </c>
      <c r="AY605" s="58" t="n">
        <f aca="false">IF(AX605="",0,MAX(0,MIN(1,(IF(CF605="L1",Parameter!$H$5,IF(CF605="L23",Parameter!$H$6+Parameter!$H$7,Parameter!$H$5+Parameter!$H$6+Parameter!$H$7))-(AX605-AS605))/AS605)))</f>
        <v>1</v>
      </c>
      <c r="AZ605" s="50" t="n">
        <f aca="false">IF(LEFT(Cockpit!$O$5,1)="A",H605,IF(Parameter!$E$30="MAX-Bestand",IF(CH605=1,CI605,IF(LEFT(Cockpit!$O$5,1)="B",BF605,MAX(BF605,H605))),ROUNDUP(BD605,0)))</f>
        <v>251</v>
      </c>
      <c r="BA605" s="50" t="n">
        <f aca="false">IF(BZ605=1,0,ROUNDUP(AZ605/BY605,0))</f>
        <v>1</v>
      </c>
      <c r="BB605" s="52" t="n">
        <f aca="false">IF(CQ605&gt;0,CQ605*MAX(1,AZ605/X605),IF(BZ605=1,IF(AZ605&lt;=0,0,CD605*MAX(1,IF(H605&gt;0,AZ605/H605,1))),IF(R605&gt;0,BA605/R605,0))/MAX(0.1,N(Parameter!$M$21)))</f>
        <v>0.00714285714285714</v>
      </c>
      <c r="BC605" s="50" t="n">
        <f aca="false">BB605*CB605</f>
        <v>1.10714285714286</v>
      </c>
      <c r="BD605" s="51" t="n">
        <f aca="false">IF(LEFT(Cockpit!$O$5,1)="A",H605,IF(CH605=1,(CK605+CI605)/2,IF(LEFT(Cockpit!$O$5,1)="B",(CK605+BF605)/2,MAX((CK605+BF605)/2,H605))))</f>
        <v>250.5</v>
      </c>
      <c r="BE605" s="50" t="n">
        <f aca="false">BD605*G605</f>
        <v>22.545</v>
      </c>
      <c r="BF605" s="50" t="n">
        <f aca="false">ROUNDUP(CK605+MAX(CL605,2*(J605/IF(CG605&gt;0,CG605,MAX(0.1,N(Cockpit!$O$6)))-CK605)),0)</f>
        <v>483</v>
      </c>
      <c r="BG605" s="51" t="n">
        <f aca="false">IF(BC605&gt;0,J605/BC605,-1)</f>
        <v>420.903225806452</v>
      </c>
      <c r="BH605" s="51" t="n">
        <f aca="false">IF(AND(OR(CF605="L1",CF605="L23",CF605="LIFT"),BC605&gt;0),SUMIFS($BC$7:$BC$1843,$CF$7:$CF$1843,CF605,$BG$7:$BG$1843,"&gt;"&amp;BG605)+SUMIFS($BC$7:$BC$1843,$CF$7:$CF$1843,CF605,$BG$7:$BG$1843,BG605,$BW$7:$BW$1843,"&lt;="&amp;BW605),"")</f>
        <v>174.289835164835</v>
      </c>
      <c r="BI605" s="58" t="n">
        <f aca="false">IF(BH605="",0,MAX(0,MIN(1,(IF(CF605="L1",Parameter!$H$5,IF(CF605="L23",Parameter!$H$6+Parameter!$H$7,Parameter!$H$5+Parameter!$H$6+Parameter!$H$7))-(BH605-BC605))/BC605)))</f>
        <v>1</v>
      </c>
      <c r="BJ605" s="48" t="str">
        <f aca="false">IF(AI605&lt;=0,"",IF(CF605="Aussen","Aussenlager",IF(CF605="-","Nicht im Lift",IF(AO605&gt;=1,"Lift",IF(AO605&lt;=0,"Aussenlager","teilweise")))))</f>
        <v>Lift</v>
      </c>
      <c r="BK605" s="48" t="str">
        <f aca="false">IF(AS605&lt;=0,"",IF(CF605="Aussen","Aussenlager",IF(CF605="-","Nicht im Lift",IF(AY605&gt;=1,"Lift",IF(AY605&lt;=0,"Aussenlager","teilweise")))))</f>
        <v>Lift</v>
      </c>
      <c r="BL605" s="48" t="str">
        <f aca="false">IF(BC605&lt;=0,"",IF(CF605="Aussen","Aussenlager",IF(CF605="-","Nicht im Lift",IF(BI605&gt;=1,"Lift",IF(BI605&lt;=0,"Aussenlager","teilweise")))))</f>
        <v>Lift</v>
      </c>
      <c r="BM605" s="48" t="str">
        <f aca="false">IF(A605="","",IF(BV605=1,"Neu; ","")&amp;IF(AND(BV605=0,BQ605&lt;0),"negativer Bestand (Export "&amp;BQ605&amp;"); ","")&amp;IF(J605&lt;=0,"Kein Verbrauch; ","")&amp;IF(CQ605&gt;0,"Lift "&amp;W605&amp;" lt. Liftbericht (Fach "&amp;X605&amp;" Stk); ",IF(CA605=1,"Gebinde geschätzt ("&amp;T605&amp;"); ",IF(BZ605=1,"Lose – Tablare geschätzt; ","")))&amp;IF(H605&gt;AV605,"Überbestand "&amp;ROUND(H605-AV605,0)&amp;" Stk / CHF "&amp;ROUND((H605-AV605)*G605,0)&amp;"; ","")&amp;IF(AND(CH605=1,CI605&lt;CJ605),"MAX &lt; MB+LG; ","")&amp;IF(AND(CP605&gt;0,CO605*10&gt;CP605),"zu hoch für Tablar; ","")&amp;IF(AND(BV605=0,OR(CH605=1,AA605&lt;&gt;"",U605&lt;&gt;"",V605&lt;&gt;"",AB605&lt;&gt;"")),"manuell übersteuert; ","")&amp;IF(AND(BZ605=0,R605=0),"Gebinde unbekannt / Stellmass fehlt; ","")&amp;IF(AND(BZ605=0,N(V605)&lt;=0,N(Q605)&lt;=0),"Menge pro Gebinde fehlt (Ist = 1 Gebinde); ","")&amp;BU605)</f>
        <v/>
      </c>
      <c r="BN605" s="48"/>
      <c r="BO605" s="48"/>
      <c r="BP605" s="55"/>
      <c r="BQ605" s="50" t="n">
        <v>18</v>
      </c>
      <c r="BR605" s="50" t="n">
        <v>426</v>
      </c>
      <c r="BS605" s="49" t="n">
        <v>5.33999999999999</v>
      </c>
      <c r="BT605" s="50" t="n">
        <v>466</v>
      </c>
      <c r="BU605" s="48"/>
      <c r="BV605" s="53" t="n">
        <v>0</v>
      </c>
      <c r="BW605" s="53" t="n">
        <v>605</v>
      </c>
      <c r="BX605" s="48" t="str">
        <f aca="false">IF(U605&lt;&gt;"",UPPER(TRIM(U605)),IF(CA605=1,UPPER(VLOOKUP(T605,Parameter!$I$27:$K$29,2,0)),IF(P605="","LOSE",P605)))</f>
        <v>S22</v>
      </c>
      <c r="BY605" s="50" t="n">
        <f aca="false">IF(BX605="LOSE",1,IF(N(V605)&gt;0,V605,IF(CA605=1,MAX(1,N(VLOOKUP(T605,Parameter!$I$27:$K$29,3,0)),H605,N(N605)),IF(N(Q605)&gt;0,Q605,MAX(1,H605)))))</f>
        <v>783</v>
      </c>
      <c r="BZ605" s="53" t="n">
        <f aca="false">IF(BX605="LOSE",1,0)</f>
        <v>0</v>
      </c>
      <c r="CA605" s="53" t="n">
        <f aca="false">IF(AND(U605="",OR(P605="",P605="LOSE"),T605&lt;&gt;"",N(S605)&lt;=0,ISNUMBER(MATCH(T605,Parameter!$I$27:$I$29,0))),1,0)</f>
        <v>0</v>
      </c>
      <c r="CB605" s="53" t="n">
        <f aca="false">IF(CQ605&gt;0,INDEX(Parameter!$H$5:$H$7,W605)/INDEX(Parameter!$E$5:$E$7,W605),IF(AND(BZ605=0,N(IFERROR(VLOOKUP(BX605,'Gebinde-Kategorie'!$A$5:$N$45,14,0),0))&gt;0),VLOOKUP(BX605,'Gebinde-Kategorie'!$A$5:$N$45,14,0)*10+Parameter!$M$23,Parameter!$M$24))</f>
        <v>155</v>
      </c>
      <c r="CC605" s="48" t="str">
        <f aca="false">IF(AND(Parameter!$B$19="Ja",E605&lt;&gt;"",ISNUMBER(MATCH(E605,Parameter!$I$35:$I$52,0))),VLOOKUP(E605,Parameter!$I$35:$J$52,2,0),IFERROR(VLOOKUP(D605,Parameter!$A$35:$C$64,2,0),"Nein"))</f>
        <v>2+3</v>
      </c>
      <c r="CD605" s="52" t="n">
        <f aca="false">IF(BZ605=0,0,IF(N(S605)&gt;0,S605,IFERROR(VLOOKUP(D605,Parameter!$A$35:$C$64,3,0)+0,0)))</f>
        <v>0</v>
      </c>
      <c r="CE605" s="48" t="n">
        <f aca="false">IF(AA605&lt;&gt;"",AA605,Z605)</f>
        <v>3</v>
      </c>
      <c r="CF605" s="48" t="str">
        <f aca="false">IF(OR(CE605=1,CE605=2,CE605=3),IF(Parameter!$E$27="Ja","LIFT",IF(CE605=1,"L1","L23")),IF(CE605="Aussen","Aussen","-"))</f>
        <v>LIFT</v>
      </c>
      <c r="CG605" s="59" t="n">
        <f aca="false">IF(N(AB605)&gt;0,AB605,0)</f>
        <v>0</v>
      </c>
      <c r="CH605" s="53" t="n">
        <f aca="false">IF(ISNUMBER(AE605),1,0)</f>
        <v>0</v>
      </c>
      <c r="CI605" s="50" t="n">
        <f aca="false">N(AE605)</f>
        <v>0</v>
      </c>
      <c r="CJ605" s="50" t="n">
        <f aca="false">N(M605)+N(N605)</f>
        <v>483</v>
      </c>
      <c r="CK605" s="50" t="n">
        <f aca="false">N(M605)</f>
        <v>18</v>
      </c>
      <c r="CL605" s="50" t="n">
        <f aca="false">N(N605)</f>
        <v>465</v>
      </c>
      <c r="CM605" s="50" t="n">
        <f aca="false">ROUNDUP(H605/BY605,0)</f>
        <v>1</v>
      </c>
      <c r="CN605" s="50" t="n">
        <f aca="false">ROUNDUP(CI605/BY605,0)</f>
        <v>0</v>
      </c>
      <c r="CO605" s="53" t="n">
        <f aca="false">IF(BZ605=1,0,IFERROR(VLOOKUP(BX605,'Gebinde-Kategorie'!$A$5:$N$45,5,0)+0,0))</f>
        <v>8</v>
      </c>
      <c r="CP605" s="53" t="n">
        <f aca="false">IFERROR(IF(OR(CE605=1,CE605=2,CE605=3),N(INDEX(Parameter!$I$5:$I$7,CE605)),0),0)</f>
        <v>0</v>
      </c>
      <c r="CQ605" s="52" t="n">
        <f aca="false">IF(AND(Parameter!$B$21="Ja",ISNUMBER(W605),N(X605)&gt;0),IFERROR(N(INDEX(Parameter!$L$5:$L$7,W605))*INDEX(Parameter!$E$5:$E$7,W605)*X605/SUMIFS($X$7:$X$1843,$W$7:$W$1843,W605),0),0)</f>
        <v>0</v>
      </c>
    </row>
    <row r="606" customFormat="false" ht="15" hidden="false" customHeight="false" outlineLevel="0" collapsed="false">
      <c r="A606" s="48" t="s">
        <v>1262</v>
      </c>
      <c r="B606" s="48" t="s">
        <v>1263</v>
      </c>
      <c r="C606" s="48" t="s">
        <v>173</v>
      </c>
      <c r="D606" s="48" t="s">
        <v>193</v>
      </c>
      <c r="E606" s="48" t="s">
        <v>194</v>
      </c>
      <c r="F606" s="48" t="s">
        <v>227</v>
      </c>
      <c r="G606" s="49" t="n">
        <v>0.03</v>
      </c>
      <c r="H606" s="50" t="n">
        <f aca="false">MAX(0,IF(AND(Parameter!$B$21="Ja",ISNUMBER(Y606)),Y606,IF(Parameter!$B$20="Jahresanfang 2025 + Export",BR606+BQ606,BQ606)))</f>
        <v>448</v>
      </c>
      <c r="I606" s="50" t="n">
        <f aca="false">H606*G606</f>
        <v>13.44</v>
      </c>
      <c r="J606" s="50" t="n">
        <f aca="false">BT606*Parameter!$B$18</f>
        <v>302</v>
      </c>
      <c r="K606" s="51" t="n">
        <v>220.5</v>
      </c>
      <c r="L606" s="52" t="n">
        <v>1.36961451247166</v>
      </c>
      <c r="M606" s="50" t="n">
        <v>17</v>
      </c>
      <c r="N606" s="50" t="n">
        <v>500</v>
      </c>
      <c r="O606" s="53" t="n">
        <v>21</v>
      </c>
      <c r="P606" s="48" t="s">
        <v>435</v>
      </c>
      <c r="Q606" s="50" t="n">
        <v>300</v>
      </c>
      <c r="R606" s="53" t="n">
        <f aca="false">IF(BZ606=1,0,IFERROR(VLOOKUP(BX606,'Gebinde-Kategorie'!$A$5:$N$45,13,0)+0,0))</f>
        <v>140</v>
      </c>
      <c r="S606" s="54"/>
      <c r="T606" s="55"/>
      <c r="U606" s="55"/>
      <c r="V606" s="55"/>
      <c r="W606" s="48"/>
      <c r="X606" s="50"/>
      <c r="Y606" s="50"/>
      <c r="Z606" s="48" t="n">
        <f aca="false">IF(A606="","",IF(AND(Parameter!$B$21="Ja",ISNUMBER(W606)),W606,IF(CC606="2+3",IF(ISNUMBER(SEARCH("grosser Artikel",BU606)),2,IFERROR(VLOOKUP(BX606,Parameter!$F$35:$G$64,2,0),2)),IF(OR(CC606="Nein",CC606=""),"-",CC606))))</f>
        <v>3</v>
      </c>
      <c r="AA606" s="55"/>
      <c r="AB606" s="56"/>
      <c r="AC606" s="50" t="n">
        <f aca="false">AV606</f>
        <v>517</v>
      </c>
      <c r="AD606" s="50" t="n">
        <f aca="false">MAX(AV606,H606)</f>
        <v>517</v>
      </c>
      <c r="AE606" s="57"/>
      <c r="AF606" s="50" t="n">
        <f aca="false">IF(LEFT(Cockpit!$C$5,1)="A",H606,IF(Parameter!$E$30="MAX-Bestand",IF(CH606=1,CI606,IF(LEFT(Cockpit!$C$5,1)="B",AL606,MAX(AL606,H606))),ROUNDUP(AJ606,0)))</f>
        <v>448</v>
      </c>
      <c r="AG606" s="50" t="n">
        <f aca="false">IF(BZ606=1,0,ROUNDUP(AF606/BY606,0))</f>
        <v>2</v>
      </c>
      <c r="AH606" s="52" t="n">
        <f aca="false">IF(CQ606&gt;0,CQ606*MAX(1,AF606/X606),IF(BZ606=1,IF(AF606&lt;=0,0,CD606*MAX(1,IF(H606&gt;0,AF606/H606,1))),IF(R606&gt;0,AG606/R606,0))/MAX(0.1,N(Parameter!$M$21)))</f>
        <v>0.0142857142857143</v>
      </c>
      <c r="AI606" s="50" t="n">
        <f aca="false">AH606*CB606</f>
        <v>2.21428571428571</v>
      </c>
      <c r="AJ606" s="51" t="n">
        <f aca="false">IF(LEFT(Cockpit!$C$5,1)="A",H606,IF(CH606=1,(CK606+CI606)/2,IF(LEFT(Cockpit!$C$5,1)="B",(CK606+AL606)/2,MAX((CK606+AL606)/2,H606))))</f>
        <v>448</v>
      </c>
      <c r="AK606" s="50" t="n">
        <f aca="false">AJ606*G606</f>
        <v>13.44</v>
      </c>
      <c r="AL606" s="50" t="n">
        <f aca="false">ROUNDUP(CK606+MAX(CL606,2*(J606/IF(CG606&gt;0,CG606,MAX(0.1,N(Cockpit!$C$6)))-CK606)),0)</f>
        <v>517</v>
      </c>
      <c r="AM606" s="51" t="n">
        <f aca="false">IF(AI606&gt;0,J606/AI606,-1)</f>
        <v>136.387096774194</v>
      </c>
      <c r="AN606" s="51" t="n">
        <f aca="false">IF(AND(OR(CF606="L1",CF606="L23",CF606="LIFT"),AI606&gt;0),SUMIFS($AI$7:$AI$1843,$CF$7:$CF$1843,CF606,$AM$7:$AM$1843,"&gt;"&amp;AM606)+SUMIFS($AI$7:$AI$1843,$CF$7:$CF$1843,CF606,$AM$7:$AM$1843,AM606,$BW$7:$BW$1843,"&lt;="&amp;BW606),"")</f>
        <v>535.385073260073</v>
      </c>
      <c r="AO606" s="58" t="n">
        <f aca="false">IF(AN606="",0,MAX(0,MIN(1,(IF(CF606="L1",Parameter!$H$5,IF(CF606="L23",Parameter!$H$6+Parameter!$H$7,Parameter!$H$5+Parameter!$H$6+Parameter!$H$7))-(AN606-AI606))/AI606)))</f>
        <v>1</v>
      </c>
      <c r="AP606" s="50" t="n">
        <f aca="false">IF(LEFT(Cockpit!$I$5,1)="A",H606,IF(Parameter!$E$30="MAX-Bestand",IF(CH606=1,CI606,IF(LEFT(Cockpit!$I$5,1)="B",AV606,MAX(AV606,H606))),ROUNDUP(AT606,0)))</f>
        <v>448</v>
      </c>
      <c r="AQ606" s="50" t="n">
        <f aca="false">IF(BZ606=1,0,ROUNDUP(AP606/BY606,0))</f>
        <v>2</v>
      </c>
      <c r="AR606" s="52" t="n">
        <f aca="false">IF(CQ606&gt;0,CQ606*MAX(1,AP606/X606),IF(BZ606=1,IF(AP606&lt;=0,0,CD606*MAX(1,IF(H606&gt;0,AP606/H606,1))),IF(R606&gt;0,AQ606/R606,0))/MAX(0.1,N(Parameter!$M$21)))</f>
        <v>0.0142857142857143</v>
      </c>
      <c r="AS606" s="50" t="n">
        <f aca="false">AR606*CB606</f>
        <v>2.21428571428571</v>
      </c>
      <c r="AT606" s="51" t="n">
        <f aca="false">IF(LEFT(Cockpit!$I$5,1)="A",H606,IF(CH606=1,(CK606+CI606)/2,IF(LEFT(Cockpit!$I$5,1)="B",(CK606+AV606)/2,MAX((CK606+AV606)/2,H606))))</f>
        <v>448</v>
      </c>
      <c r="AU606" s="50" t="n">
        <f aca="false">AT606*G606</f>
        <v>13.44</v>
      </c>
      <c r="AV606" s="50" t="n">
        <f aca="false">ROUNDUP(CK606+MAX(CL606,2*(J606/IF(CG606&gt;0,CG606,MAX(0.1,N(Cockpit!$I$6)))-CK606)),0)</f>
        <v>517</v>
      </c>
      <c r="AW606" s="51" t="n">
        <f aca="false">IF(AS606&gt;0,J606/AS606,-1)</f>
        <v>136.387096774194</v>
      </c>
      <c r="AX606" s="51" t="n">
        <f aca="false">IF(AND(OR(CF606="L1",CF606="L23",CF606="LIFT"),AS606&gt;0),SUMIFS($AS$7:$AS$1843,$CF$7:$CF$1843,CF606,$AW$7:$AW$1843,"&gt;"&amp;AW606)+SUMIFS($AS$7:$AS$1843,$CF$7:$CF$1843,CF606,$AW$7:$AW$1843,AW606,$BW$7:$BW$1843,"&lt;="&amp;BW606),"")</f>
        <v>653.021978021978</v>
      </c>
      <c r="AY606" s="58" t="n">
        <f aca="false">IF(AX606="",0,MAX(0,MIN(1,(IF(CF606="L1",Parameter!$H$5,IF(CF606="L23",Parameter!$H$6+Parameter!$H$7,Parameter!$H$5+Parameter!$H$6+Parameter!$H$7))-(AX606-AS606))/AS606)))</f>
        <v>1</v>
      </c>
      <c r="AZ606" s="50" t="n">
        <f aca="false">IF(LEFT(Cockpit!$O$5,1)="A",H606,IF(Parameter!$E$30="MAX-Bestand",IF(CH606=1,CI606,IF(LEFT(Cockpit!$O$5,1)="B",BF606,MAX(BF606,H606))),ROUNDUP(BD606,0)))</f>
        <v>267</v>
      </c>
      <c r="BA606" s="50" t="n">
        <f aca="false">IF(BZ606=1,0,ROUNDUP(AZ606/BY606,0))</f>
        <v>1</v>
      </c>
      <c r="BB606" s="52" t="n">
        <f aca="false">IF(CQ606&gt;0,CQ606*MAX(1,AZ606/X606),IF(BZ606=1,IF(AZ606&lt;=0,0,CD606*MAX(1,IF(H606&gt;0,AZ606/H606,1))),IF(R606&gt;0,BA606/R606,0))/MAX(0.1,N(Parameter!$M$21)))</f>
        <v>0.00714285714285714</v>
      </c>
      <c r="BC606" s="50" t="n">
        <f aca="false">BB606*CB606</f>
        <v>1.10714285714286</v>
      </c>
      <c r="BD606" s="51" t="n">
        <f aca="false">IF(LEFT(Cockpit!$O$5,1)="A",H606,IF(CH606=1,(CK606+CI606)/2,IF(LEFT(Cockpit!$O$5,1)="B",(CK606+BF606)/2,MAX((CK606+BF606)/2,H606))))</f>
        <v>267</v>
      </c>
      <c r="BE606" s="50" t="n">
        <f aca="false">BD606*G606</f>
        <v>8.01</v>
      </c>
      <c r="BF606" s="50" t="n">
        <f aca="false">ROUNDUP(CK606+MAX(CL606,2*(J606/IF(CG606&gt;0,CG606,MAX(0.1,N(Cockpit!$O$6)))-CK606)),0)</f>
        <v>517</v>
      </c>
      <c r="BG606" s="51" t="n">
        <f aca="false">IF(BC606&gt;0,J606/BC606,-1)</f>
        <v>272.774193548387</v>
      </c>
      <c r="BH606" s="51" t="n">
        <f aca="false">IF(AND(OR(CF606="L1",CF606="L23",CF606="LIFT"),BC606&gt;0),SUMIFS($BC$7:$BC$1843,$CF$7:$CF$1843,CF606,$BG$7:$BG$1843,"&gt;"&amp;BG606)+SUMIFS($BC$7:$BC$1843,$CF$7:$CF$1843,CF606,$BG$7:$BG$1843,BG606,$BW$7:$BW$1843,"&lt;="&amp;BW606),"")</f>
        <v>271.038919413919</v>
      </c>
      <c r="BI606" s="58" t="n">
        <f aca="false">IF(BH606="",0,MAX(0,MIN(1,(IF(CF606="L1",Parameter!$H$5,IF(CF606="L23",Parameter!$H$6+Parameter!$H$7,Parameter!$H$5+Parameter!$H$6+Parameter!$H$7))-(BH606-BC606))/BC606)))</f>
        <v>1</v>
      </c>
      <c r="BJ606" s="48" t="str">
        <f aca="false">IF(AI606&lt;=0,"",IF(CF606="Aussen","Aussenlager",IF(CF606="-","Nicht im Lift",IF(AO606&gt;=1,"Lift",IF(AO606&lt;=0,"Aussenlager","teilweise")))))</f>
        <v>Lift</v>
      </c>
      <c r="BK606" s="48" t="str">
        <f aca="false">IF(AS606&lt;=0,"",IF(CF606="Aussen","Aussenlager",IF(CF606="-","Nicht im Lift",IF(AY606&gt;=1,"Lift",IF(AY606&lt;=0,"Aussenlager","teilweise")))))</f>
        <v>Lift</v>
      </c>
      <c r="BL606" s="48" t="str">
        <f aca="false">IF(BC606&lt;=0,"",IF(CF606="Aussen","Aussenlager",IF(CF606="-","Nicht im Lift",IF(BI606&gt;=1,"Lift",IF(BI606&lt;=0,"Aussenlager","teilweise")))))</f>
        <v>Lift</v>
      </c>
      <c r="BM606" s="48" t="str">
        <f aca="false">IF(A606="","",IF(BV606=1,"Neu; ","")&amp;IF(AND(BV606=0,BQ606&lt;0),"negativer Bestand (Export "&amp;BQ606&amp;"); ","")&amp;IF(J606&lt;=0,"Kein Verbrauch; ","")&amp;IF(CQ606&gt;0,"Lift "&amp;W606&amp;" lt. Liftbericht (Fach "&amp;X606&amp;" Stk); ",IF(CA606=1,"Gebinde geschätzt ("&amp;T606&amp;"); ",IF(BZ606=1,"Lose – Tablare geschätzt; ","")))&amp;IF(H606&gt;AV606,"Überbestand "&amp;ROUND(H606-AV606,0)&amp;" Stk / CHF "&amp;ROUND((H606-AV606)*G606,0)&amp;"; ","")&amp;IF(AND(CH606=1,CI606&lt;CJ606),"MAX &lt; MB+LG; ","")&amp;IF(AND(CP606&gt;0,CO606*10&gt;CP606),"zu hoch für Tablar; ","")&amp;IF(AND(BV606=0,OR(CH606=1,AA606&lt;&gt;"",U606&lt;&gt;"",V606&lt;&gt;"",AB606&lt;&gt;"")),"manuell übersteuert; ","")&amp;IF(AND(BZ606=0,R606=0),"Gebinde unbekannt / Stellmass fehlt; ","")&amp;IF(AND(BZ606=0,N(V606)&lt;=0,N(Q606)&lt;=0),"Menge pro Gebinde fehlt (Ist = 1 Gebinde); ","")&amp;BU606)</f>
        <v>nicht im KTL vorhanden</v>
      </c>
      <c r="BN606" s="48"/>
      <c r="BO606" s="48"/>
      <c r="BP606" s="55"/>
      <c r="BQ606" s="50" t="n">
        <v>175</v>
      </c>
      <c r="BR606" s="50" t="n">
        <v>273</v>
      </c>
      <c r="BS606" s="49" t="n">
        <v>5.25</v>
      </c>
      <c r="BT606" s="50" t="n">
        <v>302</v>
      </c>
      <c r="BU606" s="48" t="s">
        <v>239</v>
      </c>
      <c r="BV606" s="53" t="n">
        <v>0</v>
      </c>
      <c r="BW606" s="53" t="n">
        <v>606</v>
      </c>
      <c r="BX606" s="48" t="str">
        <f aca="false">IF(U606&lt;&gt;"",UPPER(TRIM(U606)),IF(CA606=1,UPPER(VLOOKUP(T606,Parameter!$I$27:$K$29,2,0)),IF(P606="","LOSE",P606)))</f>
        <v>S22</v>
      </c>
      <c r="BY606" s="50" t="n">
        <f aca="false">IF(BX606="LOSE",1,IF(N(V606)&gt;0,V606,IF(CA606=1,MAX(1,N(VLOOKUP(T606,Parameter!$I$27:$K$29,3,0)),H606,N(N606)),IF(N(Q606)&gt;0,Q606,MAX(1,H606)))))</f>
        <v>300</v>
      </c>
      <c r="BZ606" s="53" t="n">
        <f aca="false">IF(BX606="LOSE",1,0)</f>
        <v>0</v>
      </c>
      <c r="CA606" s="53" t="n">
        <f aca="false">IF(AND(U606="",OR(P606="",P606="LOSE"),T606&lt;&gt;"",N(S606)&lt;=0,ISNUMBER(MATCH(T606,Parameter!$I$27:$I$29,0))),1,0)</f>
        <v>0</v>
      </c>
      <c r="CB606" s="53" t="n">
        <f aca="false">IF(CQ606&gt;0,INDEX(Parameter!$H$5:$H$7,W606)/INDEX(Parameter!$E$5:$E$7,W606),IF(AND(BZ606=0,N(IFERROR(VLOOKUP(BX606,'Gebinde-Kategorie'!$A$5:$N$45,14,0),0))&gt;0),VLOOKUP(BX606,'Gebinde-Kategorie'!$A$5:$N$45,14,0)*10+Parameter!$M$23,Parameter!$M$24))</f>
        <v>155</v>
      </c>
      <c r="CC606" s="48" t="str">
        <f aca="false">IF(AND(Parameter!$B$19="Ja",E606&lt;&gt;"",ISNUMBER(MATCH(E606,Parameter!$I$35:$I$52,0))),VLOOKUP(E606,Parameter!$I$35:$J$52,2,0),IFERROR(VLOOKUP(D606,Parameter!$A$35:$C$64,2,0),"Nein"))</f>
        <v>2+3</v>
      </c>
      <c r="CD606" s="52" t="n">
        <f aca="false">IF(BZ606=0,0,IF(N(S606)&gt;0,S606,IFERROR(VLOOKUP(D606,Parameter!$A$35:$C$64,3,0)+0,0)))</f>
        <v>0</v>
      </c>
      <c r="CE606" s="48" t="n">
        <f aca="false">IF(AA606&lt;&gt;"",AA606,Z606)</f>
        <v>3</v>
      </c>
      <c r="CF606" s="48" t="str">
        <f aca="false">IF(OR(CE606=1,CE606=2,CE606=3),IF(Parameter!$E$27="Ja","LIFT",IF(CE606=1,"L1","L23")),IF(CE606="Aussen","Aussen","-"))</f>
        <v>LIFT</v>
      </c>
      <c r="CG606" s="59" t="n">
        <f aca="false">IF(N(AB606)&gt;0,AB606,0)</f>
        <v>0</v>
      </c>
      <c r="CH606" s="53" t="n">
        <f aca="false">IF(ISNUMBER(AE606),1,0)</f>
        <v>0</v>
      </c>
      <c r="CI606" s="50" t="n">
        <f aca="false">N(AE606)</f>
        <v>0</v>
      </c>
      <c r="CJ606" s="50" t="n">
        <f aca="false">N(M606)+N(N606)</f>
        <v>517</v>
      </c>
      <c r="CK606" s="50" t="n">
        <f aca="false">N(M606)</f>
        <v>17</v>
      </c>
      <c r="CL606" s="50" t="n">
        <f aca="false">N(N606)</f>
        <v>500</v>
      </c>
      <c r="CM606" s="50" t="n">
        <f aca="false">ROUNDUP(H606/BY606,0)</f>
        <v>2</v>
      </c>
      <c r="CN606" s="50" t="n">
        <f aca="false">ROUNDUP(CI606/BY606,0)</f>
        <v>0</v>
      </c>
      <c r="CO606" s="53" t="n">
        <f aca="false">IF(BZ606=1,0,IFERROR(VLOOKUP(BX606,'Gebinde-Kategorie'!$A$5:$N$45,5,0)+0,0))</f>
        <v>8</v>
      </c>
      <c r="CP606" s="53" t="n">
        <f aca="false">IFERROR(IF(OR(CE606=1,CE606=2,CE606=3),N(INDEX(Parameter!$I$5:$I$7,CE606)),0),0)</f>
        <v>0</v>
      </c>
      <c r="CQ606" s="52" t="n">
        <f aca="false">IF(AND(Parameter!$B$21="Ja",ISNUMBER(W606),N(X606)&gt;0),IFERROR(N(INDEX(Parameter!$L$5:$L$7,W606))*INDEX(Parameter!$E$5:$E$7,W606)*X606/SUMIFS($X$7:$X$1843,$W$7:$W$1843,W606),0),0)</f>
        <v>0</v>
      </c>
    </row>
    <row r="607" customFormat="false" ht="15" hidden="false" customHeight="false" outlineLevel="0" collapsed="false">
      <c r="A607" s="48" t="s">
        <v>1264</v>
      </c>
      <c r="B607" s="48" t="s">
        <v>477</v>
      </c>
      <c r="C607" s="48" t="s">
        <v>173</v>
      </c>
      <c r="D607" s="48" t="s">
        <v>193</v>
      </c>
      <c r="E607" s="48" t="s">
        <v>194</v>
      </c>
      <c r="F607" s="48" t="s">
        <v>227</v>
      </c>
      <c r="G607" s="49" t="n">
        <v>0.2</v>
      </c>
      <c r="H607" s="50" t="n">
        <f aca="false">MAX(0,IF(AND(Parameter!$B$21="Ja",ISNUMBER(Y607)),Y607,IF(Parameter!$B$20="Jahresanfang 2025 + Export",BR607+BQ607,BQ607)))</f>
        <v>155</v>
      </c>
      <c r="I607" s="50" t="n">
        <f aca="false">H607*G607</f>
        <v>31</v>
      </c>
      <c r="J607" s="50" t="n">
        <f aca="false">BT607*Parameter!$B$18</f>
        <v>266</v>
      </c>
      <c r="K607" s="51" t="n">
        <v>114.5</v>
      </c>
      <c r="L607" s="52" t="n">
        <v>2.32314410480349</v>
      </c>
      <c r="M607" s="50" t="n">
        <v>10</v>
      </c>
      <c r="N607" s="50" t="n">
        <v>265</v>
      </c>
      <c r="O607" s="53" t="n">
        <v>14</v>
      </c>
      <c r="P607" s="48" t="s">
        <v>430</v>
      </c>
      <c r="Q607" s="50" t="n">
        <v>612</v>
      </c>
      <c r="R607" s="53" t="n">
        <f aca="false">IF(BZ607=1,0,IFERROR(VLOOKUP(BX607,'Gebinde-Kategorie'!$A$5:$N$45,13,0)+0,0))</f>
        <v>104</v>
      </c>
      <c r="S607" s="54"/>
      <c r="T607" s="55"/>
      <c r="U607" s="55"/>
      <c r="V607" s="55"/>
      <c r="W607" s="48"/>
      <c r="X607" s="50"/>
      <c r="Y607" s="50"/>
      <c r="Z607" s="48" t="n">
        <f aca="false">IF(A607="","",IF(AND(Parameter!$B$21="Ja",ISNUMBER(W607)),W607,IF(CC607="2+3",IF(ISNUMBER(SEARCH("grosser Artikel",BU607)),2,IFERROR(VLOOKUP(BX607,Parameter!$F$35:$G$64,2,0),2)),IF(OR(CC607="Nein",CC607=""),"-",CC607))))</f>
        <v>3</v>
      </c>
      <c r="AA607" s="55"/>
      <c r="AB607" s="56"/>
      <c r="AC607" s="50" t="n">
        <f aca="false">AV607</f>
        <v>275</v>
      </c>
      <c r="AD607" s="50" t="n">
        <f aca="false">MAX(AV607,H607)</f>
        <v>275</v>
      </c>
      <c r="AE607" s="57"/>
      <c r="AF607" s="50" t="n">
        <f aca="false">IF(LEFT(Cockpit!$C$5,1)="A",H607,IF(Parameter!$E$30="MAX-Bestand",IF(CH607=1,CI607,IF(LEFT(Cockpit!$C$5,1)="B",AL607,MAX(AL607,H607))),ROUNDUP(AJ607,0)))</f>
        <v>155</v>
      </c>
      <c r="AG607" s="50" t="n">
        <f aca="false">IF(BZ607=1,0,ROUNDUP(AF607/BY607,0))</f>
        <v>1</v>
      </c>
      <c r="AH607" s="52" t="n">
        <f aca="false">IF(CQ607&gt;0,CQ607*MAX(1,AF607/X607),IF(BZ607=1,IF(AF607&lt;=0,0,CD607*MAX(1,IF(H607&gt;0,AF607/H607,1))),IF(R607&gt;0,AG607/R607,0))/MAX(0.1,N(Parameter!$M$21)))</f>
        <v>0.00961538461538462</v>
      </c>
      <c r="AI607" s="50" t="n">
        <f aca="false">AH607*CB607</f>
        <v>1.49038461538462</v>
      </c>
      <c r="AJ607" s="51" t="n">
        <f aca="false">IF(LEFT(Cockpit!$C$5,1)="A",H607,IF(CH607=1,(CK607+CI607)/2,IF(LEFT(Cockpit!$C$5,1)="B",(CK607+AL607)/2,MAX((CK607+AL607)/2,H607))))</f>
        <v>155</v>
      </c>
      <c r="AK607" s="50" t="n">
        <f aca="false">AJ607*G607</f>
        <v>31</v>
      </c>
      <c r="AL607" s="50" t="n">
        <f aca="false">ROUNDUP(CK607+MAX(CL607,2*(J607/IF(CG607&gt;0,CG607,MAX(0.1,N(Cockpit!$C$6)))-CK607)),0)</f>
        <v>275</v>
      </c>
      <c r="AM607" s="51" t="n">
        <f aca="false">IF(AI607&gt;0,J607/AI607,-1)</f>
        <v>178.477419354839</v>
      </c>
      <c r="AN607" s="51" t="n">
        <f aca="false">IF(AND(OR(CF607="L1",CF607="L23",CF607="LIFT"),AI607&gt;0),SUMIFS($AI$7:$AI$1843,$CF$7:$CF$1843,CF607,$AM$7:$AM$1843,"&gt;"&amp;AM607)+SUMIFS($AI$7:$AI$1843,$CF$7:$CF$1843,CF607,$AM$7:$AM$1843,AM607,$BW$7:$BW$1843,"&lt;="&amp;BW607),"")</f>
        <v>399.272435897436</v>
      </c>
      <c r="AO607" s="58" t="n">
        <f aca="false">IF(AN607="",0,MAX(0,MIN(1,(IF(CF607="L1",Parameter!$H$5,IF(CF607="L23",Parameter!$H$6+Parameter!$H$7,Parameter!$H$5+Parameter!$H$6+Parameter!$H$7))-(AN607-AI607))/AI607)))</f>
        <v>1</v>
      </c>
      <c r="AP607" s="50" t="n">
        <f aca="false">IF(LEFT(Cockpit!$I$5,1)="A",H607,IF(Parameter!$E$30="MAX-Bestand",IF(CH607=1,CI607,IF(LEFT(Cockpit!$I$5,1)="B",AV607,MAX(AV607,H607))),ROUNDUP(AT607,0)))</f>
        <v>155</v>
      </c>
      <c r="AQ607" s="50" t="n">
        <f aca="false">IF(BZ607=1,0,ROUNDUP(AP607/BY607,0))</f>
        <v>1</v>
      </c>
      <c r="AR607" s="52" t="n">
        <f aca="false">IF(CQ607&gt;0,CQ607*MAX(1,AP607/X607),IF(BZ607=1,IF(AP607&lt;=0,0,CD607*MAX(1,IF(H607&gt;0,AP607/H607,1))),IF(R607&gt;0,AQ607/R607,0))/MAX(0.1,N(Parameter!$M$21)))</f>
        <v>0.00961538461538462</v>
      </c>
      <c r="AS607" s="50" t="n">
        <f aca="false">AR607*CB607</f>
        <v>1.49038461538462</v>
      </c>
      <c r="AT607" s="51" t="n">
        <f aca="false">IF(LEFT(Cockpit!$I$5,1)="A",H607,IF(CH607=1,(CK607+CI607)/2,IF(LEFT(Cockpit!$I$5,1)="B",(CK607+AV607)/2,MAX((CK607+AV607)/2,H607))))</f>
        <v>155</v>
      </c>
      <c r="AU607" s="50" t="n">
        <f aca="false">AT607*G607</f>
        <v>31</v>
      </c>
      <c r="AV607" s="50" t="n">
        <f aca="false">ROUNDUP(CK607+MAX(CL607,2*(J607/IF(CG607&gt;0,CG607,MAX(0.1,N(Cockpit!$I$6)))-CK607)),0)</f>
        <v>275</v>
      </c>
      <c r="AW607" s="51" t="n">
        <f aca="false">IF(AS607&gt;0,J607/AS607,-1)</f>
        <v>178.477419354839</v>
      </c>
      <c r="AX607" s="51" t="n">
        <f aca="false">IF(AND(OR(CF607="L1",CF607="L23",CF607="LIFT"),AS607&gt;0),SUMIFS($AS$7:$AS$1843,$CF$7:$CF$1843,CF607,$AW$7:$AW$1843,"&gt;"&amp;AW607)+SUMIFS($AS$7:$AS$1843,$CF$7:$CF$1843,CF607,$AW$7:$AW$1843,AW607,$BW$7:$BW$1843,"&lt;="&amp;BW607),"")</f>
        <v>516.909340659341</v>
      </c>
      <c r="AY607" s="58" t="n">
        <f aca="false">IF(AX607="",0,MAX(0,MIN(1,(IF(CF607="L1",Parameter!$H$5,IF(CF607="L23",Parameter!$H$6+Parameter!$H$7,Parameter!$H$5+Parameter!$H$6+Parameter!$H$7))-(AX607-AS607))/AS607)))</f>
        <v>1</v>
      </c>
      <c r="AZ607" s="50" t="n">
        <f aca="false">IF(LEFT(Cockpit!$O$5,1)="A",H607,IF(Parameter!$E$30="MAX-Bestand",IF(CH607=1,CI607,IF(LEFT(Cockpit!$O$5,1)="B",BF607,MAX(BF607,H607))),ROUNDUP(BD607,0)))</f>
        <v>143</v>
      </c>
      <c r="BA607" s="50" t="n">
        <f aca="false">IF(BZ607=1,0,ROUNDUP(AZ607/BY607,0))</f>
        <v>1</v>
      </c>
      <c r="BB607" s="52" t="n">
        <f aca="false">IF(CQ607&gt;0,CQ607*MAX(1,AZ607/X607),IF(BZ607=1,IF(AZ607&lt;=0,0,CD607*MAX(1,IF(H607&gt;0,AZ607/H607,1))),IF(R607&gt;0,BA607/R607,0))/MAX(0.1,N(Parameter!$M$21)))</f>
        <v>0.00961538461538462</v>
      </c>
      <c r="BC607" s="50" t="n">
        <f aca="false">BB607*CB607</f>
        <v>1.49038461538462</v>
      </c>
      <c r="BD607" s="51" t="n">
        <f aca="false">IF(LEFT(Cockpit!$O$5,1)="A",H607,IF(CH607=1,(CK607+CI607)/2,IF(LEFT(Cockpit!$O$5,1)="B",(CK607+BF607)/2,MAX((CK607+BF607)/2,H607))))</f>
        <v>142.5</v>
      </c>
      <c r="BE607" s="50" t="n">
        <f aca="false">BD607*G607</f>
        <v>28.5</v>
      </c>
      <c r="BF607" s="50" t="n">
        <f aca="false">ROUNDUP(CK607+MAX(CL607,2*(J607/IF(CG607&gt;0,CG607,MAX(0.1,N(Cockpit!$O$6)))-CK607)),0)</f>
        <v>275</v>
      </c>
      <c r="BG607" s="51" t="n">
        <f aca="false">IF(BC607&gt;0,J607/BC607,-1)</f>
        <v>178.477419354839</v>
      </c>
      <c r="BH607" s="51" t="n">
        <f aca="false">IF(AND(OR(CF607="L1",CF607="L23",CF607="LIFT"),BC607&gt;0),SUMIFS($BC$7:$BC$1843,$CF$7:$CF$1843,CF607,$BG$7:$BG$1843,"&gt;"&amp;BG607)+SUMIFS($BC$7:$BC$1843,$CF$7:$CF$1843,CF607,$BG$7:$BG$1843,BG607,$BW$7:$BW$1843,"&lt;="&amp;BW607),"")</f>
        <v>509.598901098901</v>
      </c>
      <c r="BI607" s="58" t="n">
        <f aca="false">IF(BH607="",0,MAX(0,MIN(1,(IF(CF607="L1",Parameter!$H$5,IF(CF607="L23",Parameter!$H$6+Parameter!$H$7,Parameter!$H$5+Parameter!$H$6+Parameter!$H$7))-(BH607-BC607))/BC607)))</f>
        <v>1</v>
      </c>
      <c r="BJ607" s="48" t="str">
        <f aca="false">IF(AI607&lt;=0,"",IF(CF607="Aussen","Aussenlager",IF(CF607="-","Nicht im Lift",IF(AO607&gt;=1,"Lift",IF(AO607&lt;=0,"Aussenlager","teilweise")))))</f>
        <v>Lift</v>
      </c>
      <c r="BK607" s="48" t="str">
        <f aca="false">IF(AS607&lt;=0,"",IF(CF607="Aussen","Aussenlager",IF(CF607="-","Nicht im Lift",IF(AY607&gt;=1,"Lift",IF(AY607&lt;=0,"Aussenlager","teilweise")))))</f>
        <v>Lift</v>
      </c>
      <c r="BL607" s="48" t="str">
        <f aca="false">IF(BC607&lt;=0,"",IF(CF607="Aussen","Aussenlager",IF(CF607="-","Nicht im Lift",IF(BI607&gt;=1,"Lift",IF(BI607&lt;=0,"Aussenlager","teilweise")))))</f>
        <v>Lift</v>
      </c>
      <c r="BM607" s="48" t="str">
        <f aca="false">IF(A607="","",IF(BV607=1,"Neu; ","")&amp;IF(AND(BV607=0,BQ607&lt;0),"negativer Bestand (Export "&amp;BQ607&amp;"); ","")&amp;IF(J607&lt;=0,"Kein Verbrauch; ","")&amp;IF(CQ607&gt;0,"Lift "&amp;W607&amp;" lt. Liftbericht (Fach "&amp;X607&amp;" Stk); ",IF(CA607=1,"Gebinde geschätzt ("&amp;T607&amp;"); ",IF(BZ607=1,"Lose – Tablare geschätzt; ","")))&amp;IF(H607&gt;AV607,"Überbestand "&amp;ROUND(H607-AV607,0)&amp;" Stk / CHF "&amp;ROUND((H607-AV607)*G607,0)&amp;"; ","")&amp;IF(AND(CH607=1,CI607&lt;CJ607),"MAX &lt; MB+LG; ","")&amp;IF(AND(CP607&gt;0,CO607*10&gt;CP607),"zu hoch für Tablar; ","")&amp;IF(AND(BV607=0,OR(CH607=1,AA607&lt;&gt;"",U607&lt;&gt;"",V607&lt;&gt;"",AB607&lt;&gt;"")),"manuell übersteuert; ","")&amp;IF(AND(BZ607=0,R607=0),"Gebinde unbekannt / Stellmass fehlt; ","")&amp;IF(AND(BZ607=0,N(V607)&lt;=0,N(Q607)&lt;=0),"Menge pro Gebinde fehlt (Ist = 1 Gebinde); ","")&amp;BU607)</f>
        <v/>
      </c>
      <c r="BN607" s="48"/>
      <c r="BO607" s="48"/>
      <c r="BP607" s="55"/>
      <c r="BQ607" s="50" t="n">
        <v>26</v>
      </c>
      <c r="BR607" s="50" t="n">
        <v>129</v>
      </c>
      <c r="BS607" s="49" t="n">
        <v>5.19999999999998</v>
      </c>
      <c r="BT607" s="50" t="n">
        <v>266</v>
      </c>
      <c r="BU607" s="48"/>
      <c r="BV607" s="53" t="n">
        <v>0</v>
      </c>
      <c r="BW607" s="53" t="n">
        <v>607</v>
      </c>
      <c r="BX607" s="48" t="str">
        <f aca="false">IF(U607&lt;&gt;"",UPPER(TRIM(U607)),IF(CA607=1,UPPER(VLOOKUP(T607,Parameter!$I$27:$K$29,2,0)),IF(P607="","LOSE",P607)))</f>
        <v>S32</v>
      </c>
      <c r="BY607" s="50" t="n">
        <f aca="false">IF(BX607="LOSE",1,IF(N(V607)&gt;0,V607,IF(CA607=1,MAX(1,N(VLOOKUP(T607,Parameter!$I$27:$K$29,3,0)),H607,N(N607)),IF(N(Q607)&gt;0,Q607,MAX(1,H607)))))</f>
        <v>612</v>
      </c>
      <c r="BZ607" s="53" t="n">
        <f aca="false">IF(BX607="LOSE",1,0)</f>
        <v>0</v>
      </c>
      <c r="CA607" s="53" t="n">
        <f aca="false">IF(AND(U607="",OR(P607="",P607="LOSE"),T607&lt;&gt;"",N(S607)&lt;=0,ISNUMBER(MATCH(T607,Parameter!$I$27:$I$29,0))),1,0)</f>
        <v>0</v>
      </c>
      <c r="CB607" s="53" t="n">
        <f aca="false">IF(CQ607&gt;0,INDEX(Parameter!$H$5:$H$7,W607)/INDEX(Parameter!$E$5:$E$7,W607),IF(AND(BZ607=0,N(IFERROR(VLOOKUP(BX607,'Gebinde-Kategorie'!$A$5:$N$45,14,0),0))&gt;0),VLOOKUP(BX607,'Gebinde-Kategorie'!$A$5:$N$45,14,0)*10+Parameter!$M$23,Parameter!$M$24))</f>
        <v>155</v>
      </c>
      <c r="CC607" s="48" t="str">
        <f aca="false">IF(AND(Parameter!$B$19="Ja",E607&lt;&gt;"",ISNUMBER(MATCH(E607,Parameter!$I$35:$I$52,0))),VLOOKUP(E607,Parameter!$I$35:$J$52,2,0),IFERROR(VLOOKUP(D607,Parameter!$A$35:$C$64,2,0),"Nein"))</f>
        <v>2+3</v>
      </c>
      <c r="CD607" s="52" t="n">
        <f aca="false">IF(BZ607=0,0,IF(N(S607)&gt;0,S607,IFERROR(VLOOKUP(D607,Parameter!$A$35:$C$64,3,0)+0,0)))</f>
        <v>0</v>
      </c>
      <c r="CE607" s="48" t="n">
        <f aca="false">IF(AA607&lt;&gt;"",AA607,Z607)</f>
        <v>3</v>
      </c>
      <c r="CF607" s="48" t="str">
        <f aca="false">IF(OR(CE607=1,CE607=2,CE607=3),IF(Parameter!$E$27="Ja","LIFT",IF(CE607=1,"L1","L23")),IF(CE607="Aussen","Aussen","-"))</f>
        <v>LIFT</v>
      </c>
      <c r="CG607" s="59" t="n">
        <f aca="false">IF(N(AB607)&gt;0,AB607,0)</f>
        <v>0</v>
      </c>
      <c r="CH607" s="53" t="n">
        <f aca="false">IF(ISNUMBER(AE607),1,0)</f>
        <v>0</v>
      </c>
      <c r="CI607" s="50" t="n">
        <f aca="false">N(AE607)</f>
        <v>0</v>
      </c>
      <c r="CJ607" s="50" t="n">
        <f aca="false">N(M607)+N(N607)</f>
        <v>275</v>
      </c>
      <c r="CK607" s="50" t="n">
        <f aca="false">N(M607)</f>
        <v>10</v>
      </c>
      <c r="CL607" s="50" t="n">
        <f aca="false">N(N607)</f>
        <v>265</v>
      </c>
      <c r="CM607" s="50" t="n">
        <f aca="false">ROUNDUP(H607/BY607,0)</f>
        <v>1</v>
      </c>
      <c r="CN607" s="50" t="n">
        <f aca="false">ROUNDUP(CI607/BY607,0)</f>
        <v>0</v>
      </c>
      <c r="CO607" s="53" t="n">
        <f aca="false">IF(BZ607=1,0,IFERROR(VLOOKUP(BX607,'Gebinde-Kategorie'!$A$5:$N$45,5,0)+0,0))</f>
        <v>8</v>
      </c>
      <c r="CP607" s="53" t="n">
        <f aca="false">IFERROR(IF(OR(CE607=1,CE607=2,CE607=3),N(INDEX(Parameter!$I$5:$I$7,CE607)),0),0)</f>
        <v>0</v>
      </c>
      <c r="CQ607" s="52" t="n">
        <f aca="false">IF(AND(Parameter!$B$21="Ja",ISNUMBER(W607),N(X607)&gt;0),IFERROR(N(INDEX(Parameter!$L$5:$L$7,W607))*INDEX(Parameter!$E$5:$E$7,W607)*X607/SUMIFS($X$7:$X$1843,$W$7:$W$1843,W607),0),0)</f>
        <v>0</v>
      </c>
    </row>
    <row r="608" customFormat="false" ht="15" hidden="false" customHeight="false" outlineLevel="0" collapsed="false">
      <c r="A608" s="48" t="s">
        <v>1265</v>
      </c>
      <c r="B608" s="48" t="s">
        <v>1220</v>
      </c>
      <c r="C608" s="48" t="s">
        <v>173</v>
      </c>
      <c r="D608" s="48" t="s">
        <v>193</v>
      </c>
      <c r="E608" s="48" t="s">
        <v>194</v>
      </c>
      <c r="F608" s="48" t="s">
        <v>227</v>
      </c>
      <c r="G608" s="49" t="n">
        <v>0.85</v>
      </c>
      <c r="H608" s="50" t="n">
        <f aca="false">MAX(0,IF(AND(Parameter!$B$21="Ja",ISNUMBER(Y608)),Y608,IF(Parameter!$B$20="Jahresanfang 2025 + Export",BR608+BQ608,BQ608)))</f>
        <v>20</v>
      </c>
      <c r="I608" s="50" t="n">
        <f aca="false">H608*G608</f>
        <v>17</v>
      </c>
      <c r="J608" s="50" t="n">
        <f aca="false">BT608*Parameter!$B$18</f>
        <v>0</v>
      </c>
      <c r="K608" s="51" t="n">
        <v>18</v>
      </c>
      <c r="L608" s="52" t="n">
        <v>0</v>
      </c>
      <c r="M608" s="50" t="n">
        <v>0</v>
      </c>
      <c r="N608" s="50" t="n">
        <v>1</v>
      </c>
      <c r="O608" s="53" t="n">
        <v>42</v>
      </c>
      <c r="P608" s="48" t="s">
        <v>430</v>
      </c>
      <c r="Q608" s="50" t="n">
        <v>16</v>
      </c>
      <c r="R608" s="53" t="n">
        <f aca="false">IF(BZ608=1,0,IFERROR(VLOOKUP(BX608,'Gebinde-Kategorie'!$A$5:$N$45,13,0)+0,0))</f>
        <v>104</v>
      </c>
      <c r="S608" s="54"/>
      <c r="T608" s="55"/>
      <c r="U608" s="55"/>
      <c r="V608" s="55"/>
      <c r="W608" s="48"/>
      <c r="X608" s="50"/>
      <c r="Y608" s="50"/>
      <c r="Z608" s="48" t="n">
        <f aca="false">IF(A608="","",IF(AND(Parameter!$B$21="Ja",ISNUMBER(W608)),W608,IF(CC608="2+3",IF(ISNUMBER(SEARCH("grosser Artikel",BU608)),2,IFERROR(VLOOKUP(BX608,Parameter!$F$35:$G$64,2,0),2)),IF(OR(CC608="Nein",CC608=""),"-",CC608))))</f>
        <v>3</v>
      </c>
      <c r="AA608" s="55"/>
      <c r="AB608" s="56"/>
      <c r="AC608" s="50" t="n">
        <f aca="false">AV608</f>
        <v>1</v>
      </c>
      <c r="AD608" s="50" t="n">
        <f aca="false">MAX(AV608,H608)</f>
        <v>20</v>
      </c>
      <c r="AE608" s="57"/>
      <c r="AF608" s="50" t="n">
        <f aca="false">IF(LEFT(Cockpit!$C$5,1)="A",H608,IF(Parameter!$E$30="MAX-Bestand",IF(CH608=1,CI608,IF(LEFT(Cockpit!$C$5,1)="B",AL608,MAX(AL608,H608))),ROUNDUP(AJ608,0)))</f>
        <v>20</v>
      </c>
      <c r="AG608" s="50" t="n">
        <f aca="false">IF(BZ608=1,0,ROUNDUP(AF608/BY608,0))</f>
        <v>2</v>
      </c>
      <c r="AH608" s="52" t="n">
        <f aca="false">IF(CQ608&gt;0,CQ608*MAX(1,AF608/X608),IF(BZ608=1,IF(AF608&lt;=0,0,CD608*MAX(1,IF(H608&gt;0,AF608/H608,1))),IF(R608&gt;0,AG608/R608,0))/MAX(0.1,N(Parameter!$M$21)))</f>
        <v>0.0192307692307692</v>
      </c>
      <c r="AI608" s="50" t="n">
        <f aca="false">AH608*CB608</f>
        <v>2.98076923076923</v>
      </c>
      <c r="AJ608" s="51" t="n">
        <f aca="false">IF(LEFT(Cockpit!$C$5,1)="A",H608,IF(CH608=1,(CK608+CI608)/2,IF(LEFT(Cockpit!$C$5,1)="B",(CK608+AL608)/2,MAX((CK608+AL608)/2,H608))))</f>
        <v>20</v>
      </c>
      <c r="AK608" s="50" t="n">
        <f aca="false">AJ608*G608</f>
        <v>17</v>
      </c>
      <c r="AL608" s="50" t="n">
        <f aca="false">ROUNDUP(CK608+MAX(CL608,2*(J608/IF(CG608&gt;0,CG608,MAX(0.1,N(Cockpit!$C$6)))-CK608)),0)</f>
        <v>1</v>
      </c>
      <c r="AM608" s="51" t="n">
        <f aca="false">IF(AI608&gt;0,J608/AI608,-1)</f>
        <v>0</v>
      </c>
      <c r="AN608" s="51" t="n">
        <f aca="false">IF(AND(OR(CF608="L1",CF608="L23",CF608="LIFT"),AI608&gt;0),SUMIFS($AI$7:$AI$1843,$CF$7:$CF$1843,CF608,$AM$7:$AM$1843,"&gt;"&amp;AM608)+SUMIFS($AI$7:$AI$1843,$CF$7:$CF$1843,CF608,$AM$7:$AM$1843,AM608,$BW$7:$BW$1843,"&lt;="&amp;BW608),"")</f>
        <v>28534.965827487</v>
      </c>
      <c r="AO608" s="58" t="n">
        <f aca="false">IF(AN608="",0,MAX(0,MIN(1,(IF(CF608="L1",Parameter!$H$5,IF(CF608="L23",Parameter!$H$6+Parameter!$H$7,Parameter!$H$5+Parameter!$H$6+Parameter!$H$7))-(AN608-AI608))/AI608)))</f>
        <v>1</v>
      </c>
      <c r="AP608" s="50" t="n">
        <f aca="false">IF(LEFT(Cockpit!$I$5,1)="A",H608,IF(Parameter!$E$30="MAX-Bestand",IF(CH608=1,CI608,IF(LEFT(Cockpit!$I$5,1)="B",AV608,MAX(AV608,H608))),ROUNDUP(AT608,0)))</f>
        <v>20</v>
      </c>
      <c r="AQ608" s="50" t="n">
        <f aca="false">IF(BZ608=1,0,ROUNDUP(AP608/BY608,0))</f>
        <v>2</v>
      </c>
      <c r="AR608" s="52" t="n">
        <f aca="false">IF(CQ608&gt;0,CQ608*MAX(1,AP608/X608),IF(BZ608=1,IF(AP608&lt;=0,0,CD608*MAX(1,IF(H608&gt;0,AP608/H608,1))),IF(R608&gt;0,AQ608/R608,0))/MAX(0.1,N(Parameter!$M$21)))</f>
        <v>0.0192307692307692</v>
      </c>
      <c r="AS608" s="50" t="n">
        <f aca="false">AR608*CB608</f>
        <v>2.98076923076923</v>
      </c>
      <c r="AT608" s="51" t="n">
        <f aca="false">IF(LEFT(Cockpit!$I$5,1)="A",H608,IF(CH608=1,(CK608+CI608)/2,IF(LEFT(Cockpit!$I$5,1)="B",(CK608+AV608)/2,MAX((CK608+AV608)/2,H608))))</f>
        <v>20</v>
      </c>
      <c r="AU608" s="50" t="n">
        <f aca="false">AT608*G608</f>
        <v>17</v>
      </c>
      <c r="AV608" s="50" t="n">
        <f aca="false">ROUNDUP(CK608+MAX(CL608,2*(J608/IF(CG608&gt;0,CG608,MAX(0.1,N(Cockpit!$I$6)))-CK608)),0)</f>
        <v>1</v>
      </c>
      <c r="AW608" s="51" t="n">
        <f aca="false">IF(AS608&gt;0,J608/AS608,-1)</f>
        <v>0</v>
      </c>
      <c r="AX608" s="51" t="n">
        <f aca="false">IF(AND(OR(CF608="L1",CF608="L23",CF608="LIFT"),AS608&gt;0),SUMIFS($AS$7:$AS$1843,$CF$7:$CF$1843,CF608,$AW$7:$AW$1843,"&gt;"&amp;AW608)+SUMIFS($AS$7:$AS$1843,$CF$7:$CF$1843,CF608,$AW$7:$AW$1843,AW608,$BW$7:$BW$1843,"&lt;="&amp;BW608),"")</f>
        <v>33888.1144688645</v>
      </c>
      <c r="AY608" s="58" t="n">
        <f aca="false">IF(AX608="",0,MAX(0,MIN(1,(IF(CF608="L1",Parameter!$H$5,IF(CF608="L23",Parameter!$H$6+Parameter!$H$7,Parameter!$H$5+Parameter!$H$6+Parameter!$H$7))-(AX608-AS608))/AS608)))</f>
        <v>1</v>
      </c>
      <c r="AZ608" s="50" t="n">
        <f aca="false">IF(LEFT(Cockpit!$O$5,1)="A",H608,IF(Parameter!$E$30="MAX-Bestand",IF(CH608=1,CI608,IF(LEFT(Cockpit!$O$5,1)="B",BF608,MAX(BF608,H608))),ROUNDUP(BD608,0)))</f>
        <v>1</v>
      </c>
      <c r="BA608" s="50" t="n">
        <f aca="false">IF(BZ608=1,0,ROUNDUP(AZ608/BY608,0))</f>
        <v>1</v>
      </c>
      <c r="BB608" s="52" t="n">
        <f aca="false">IF(CQ608&gt;0,CQ608*MAX(1,AZ608/X608),IF(BZ608=1,IF(AZ608&lt;=0,0,CD608*MAX(1,IF(H608&gt;0,AZ608/H608,1))),IF(R608&gt;0,BA608/R608,0))/MAX(0.1,N(Parameter!$M$21)))</f>
        <v>0.00961538461538462</v>
      </c>
      <c r="BC608" s="50" t="n">
        <f aca="false">BB608*CB608</f>
        <v>1.49038461538462</v>
      </c>
      <c r="BD608" s="51" t="n">
        <f aca="false">IF(LEFT(Cockpit!$O$5,1)="A",H608,IF(CH608=1,(CK608+CI608)/2,IF(LEFT(Cockpit!$O$5,1)="B",(CK608+BF608)/2,MAX((CK608+BF608)/2,H608))))</f>
        <v>0.5</v>
      </c>
      <c r="BE608" s="50" t="n">
        <f aca="false">BD608*G608</f>
        <v>0.425</v>
      </c>
      <c r="BF608" s="50" t="n">
        <f aca="false">ROUNDUP(CK608+MAX(CL608,2*(J608/IF(CG608&gt;0,CG608,MAX(0.1,N(Cockpit!$O$6)))-CK608)),0)</f>
        <v>1</v>
      </c>
      <c r="BG608" s="51" t="n">
        <f aca="false">IF(BC608&gt;0,J608/BC608,-1)</f>
        <v>0</v>
      </c>
      <c r="BH608" s="51" t="n">
        <f aca="false">IF(AND(OR(CF608="L1",CF608="L23",CF608="LIFT"),BC608&gt;0),SUMIFS($BC$7:$BC$1843,$CF$7:$CF$1843,CF608,$BG$7:$BG$1843,"&gt;"&amp;BG608)+SUMIFS($BC$7:$BC$1843,$CF$7:$CF$1843,CF608,$BG$7:$BG$1843,BG608,$BW$7:$BW$1843,"&lt;="&amp;BW608),"")</f>
        <v>27960.4192975104</v>
      </c>
      <c r="BI608" s="58" t="n">
        <f aca="false">IF(BH608="",0,MAX(0,MIN(1,(IF(CF608="L1",Parameter!$H$5,IF(CF608="L23",Parameter!$H$6+Parameter!$H$7,Parameter!$H$5+Parameter!$H$6+Parameter!$H$7))-(BH608-BC608))/BC608)))</f>
        <v>1</v>
      </c>
      <c r="BJ608" s="48" t="str">
        <f aca="false">IF(AI608&lt;=0,"",IF(CF608="Aussen","Aussenlager",IF(CF608="-","Nicht im Lift",IF(AO608&gt;=1,"Lift",IF(AO608&lt;=0,"Aussenlager","teilweise")))))</f>
        <v>Lift</v>
      </c>
      <c r="BK608" s="48" t="str">
        <f aca="false">IF(AS608&lt;=0,"",IF(CF608="Aussen","Aussenlager",IF(CF608="-","Nicht im Lift",IF(AY608&gt;=1,"Lift",IF(AY608&lt;=0,"Aussenlager","teilweise")))))</f>
        <v>Lift</v>
      </c>
      <c r="BL608" s="48" t="str">
        <f aca="false">IF(BC608&lt;=0,"",IF(CF608="Aussen","Aussenlager",IF(CF608="-","Nicht im Lift",IF(BI608&gt;=1,"Lift",IF(BI608&lt;=0,"Aussenlager","teilweise")))))</f>
        <v>Lift</v>
      </c>
      <c r="BM608" s="48" t="str">
        <f aca="false">IF(A608="","",IF(BV608=1,"Neu; ","")&amp;IF(AND(BV608=0,BQ608&lt;0),"negativer Bestand (Export "&amp;BQ608&amp;"); ","")&amp;IF(J608&lt;=0,"Kein Verbrauch; ","")&amp;IF(CQ608&gt;0,"Lift "&amp;W608&amp;" lt. Liftbericht (Fach "&amp;X608&amp;" Stk); ",IF(CA608=1,"Gebinde geschätzt ("&amp;T608&amp;"); ",IF(BZ608=1,"Lose – Tablare geschätzt; ","")))&amp;IF(H608&gt;AV608,"Überbestand "&amp;ROUND(H608-AV608,0)&amp;" Stk / CHF "&amp;ROUND((H608-AV608)*G608,0)&amp;"; ","")&amp;IF(AND(CH608=1,CI608&lt;CJ608),"MAX &lt; MB+LG; ","")&amp;IF(AND(CP608&gt;0,CO608*10&gt;CP608),"zu hoch für Tablar; ","")&amp;IF(AND(BV608=0,OR(CH608=1,AA608&lt;&gt;"",U608&lt;&gt;"",V608&lt;&gt;"",AB608&lt;&gt;"")),"manuell übersteuert; ","")&amp;IF(AND(BZ608=0,R608=0),"Gebinde unbekannt / Stellmass fehlt; ","")&amp;IF(AND(BZ608=0,N(V608)&lt;=0,N(Q608)&lt;=0),"Menge pro Gebinde fehlt (Ist = 1 Gebinde); ","")&amp;BU608)</f>
        <v>Kein Verbrauch; Überbestand 19 Stk / CHF 16; Überbestand</v>
      </c>
      <c r="BN608" s="48"/>
      <c r="BO608" s="48"/>
      <c r="BP608" s="55"/>
      <c r="BQ608" s="50" t="n">
        <v>4</v>
      </c>
      <c r="BR608" s="50" t="n">
        <v>16</v>
      </c>
      <c r="BS608" s="49" t="n">
        <v>5</v>
      </c>
      <c r="BT608" s="50" t="n">
        <v>0</v>
      </c>
      <c r="BU608" s="48" t="s">
        <v>401</v>
      </c>
      <c r="BV608" s="53" t="n">
        <v>0</v>
      </c>
      <c r="BW608" s="53" t="n">
        <v>608</v>
      </c>
      <c r="BX608" s="48" t="str">
        <f aca="false">IF(U608&lt;&gt;"",UPPER(TRIM(U608)),IF(CA608=1,UPPER(VLOOKUP(T608,Parameter!$I$27:$K$29,2,0)),IF(P608="","LOSE",P608)))</f>
        <v>S32</v>
      </c>
      <c r="BY608" s="50" t="n">
        <f aca="false">IF(BX608="LOSE",1,IF(N(V608)&gt;0,V608,IF(CA608=1,MAX(1,N(VLOOKUP(T608,Parameter!$I$27:$K$29,3,0)),H608,N(N608)),IF(N(Q608)&gt;0,Q608,MAX(1,H608)))))</f>
        <v>16</v>
      </c>
      <c r="BZ608" s="53" t="n">
        <f aca="false">IF(BX608="LOSE",1,0)</f>
        <v>0</v>
      </c>
      <c r="CA608" s="53" t="n">
        <f aca="false">IF(AND(U608="",OR(P608="",P608="LOSE"),T608&lt;&gt;"",N(S608)&lt;=0,ISNUMBER(MATCH(T608,Parameter!$I$27:$I$29,0))),1,0)</f>
        <v>0</v>
      </c>
      <c r="CB608" s="53" t="n">
        <f aca="false">IF(CQ608&gt;0,INDEX(Parameter!$H$5:$H$7,W608)/INDEX(Parameter!$E$5:$E$7,W608),IF(AND(BZ608=0,N(IFERROR(VLOOKUP(BX608,'Gebinde-Kategorie'!$A$5:$N$45,14,0),0))&gt;0),VLOOKUP(BX608,'Gebinde-Kategorie'!$A$5:$N$45,14,0)*10+Parameter!$M$23,Parameter!$M$24))</f>
        <v>155</v>
      </c>
      <c r="CC608" s="48" t="str">
        <f aca="false">IF(AND(Parameter!$B$19="Ja",E608&lt;&gt;"",ISNUMBER(MATCH(E608,Parameter!$I$35:$I$52,0))),VLOOKUP(E608,Parameter!$I$35:$J$52,2,0),IFERROR(VLOOKUP(D608,Parameter!$A$35:$C$64,2,0),"Nein"))</f>
        <v>2+3</v>
      </c>
      <c r="CD608" s="52" t="n">
        <f aca="false">IF(BZ608=0,0,IF(N(S608)&gt;0,S608,IFERROR(VLOOKUP(D608,Parameter!$A$35:$C$64,3,0)+0,0)))</f>
        <v>0</v>
      </c>
      <c r="CE608" s="48" t="n">
        <f aca="false">IF(AA608&lt;&gt;"",AA608,Z608)</f>
        <v>3</v>
      </c>
      <c r="CF608" s="48" t="str">
        <f aca="false">IF(OR(CE608=1,CE608=2,CE608=3),IF(Parameter!$E$27="Ja","LIFT",IF(CE608=1,"L1","L23")),IF(CE608="Aussen","Aussen","-"))</f>
        <v>LIFT</v>
      </c>
      <c r="CG608" s="59" t="n">
        <f aca="false">IF(N(AB608)&gt;0,AB608,0)</f>
        <v>0</v>
      </c>
      <c r="CH608" s="53" t="n">
        <f aca="false">IF(ISNUMBER(AE608),1,0)</f>
        <v>0</v>
      </c>
      <c r="CI608" s="50" t="n">
        <f aca="false">N(AE608)</f>
        <v>0</v>
      </c>
      <c r="CJ608" s="50" t="n">
        <f aca="false">N(M608)+N(N608)</f>
        <v>1</v>
      </c>
      <c r="CK608" s="50" t="n">
        <f aca="false">N(M608)</f>
        <v>0</v>
      </c>
      <c r="CL608" s="50" t="n">
        <f aca="false">N(N608)</f>
        <v>1</v>
      </c>
      <c r="CM608" s="50" t="n">
        <f aca="false">ROUNDUP(H608/BY608,0)</f>
        <v>2</v>
      </c>
      <c r="CN608" s="50" t="n">
        <f aca="false">ROUNDUP(CI608/BY608,0)</f>
        <v>0</v>
      </c>
      <c r="CO608" s="53" t="n">
        <f aca="false">IF(BZ608=1,0,IFERROR(VLOOKUP(BX608,'Gebinde-Kategorie'!$A$5:$N$45,5,0)+0,0))</f>
        <v>8</v>
      </c>
      <c r="CP608" s="53" t="n">
        <f aca="false">IFERROR(IF(OR(CE608=1,CE608=2,CE608=3),N(INDEX(Parameter!$I$5:$I$7,CE608)),0),0)</f>
        <v>0</v>
      </c>
      <c r="CQ608" s="52" t="n">
        <f aca="false">IF(AND(Parameter!$B$21="Ja",ISNUMBER(W608),N(X608)&gt;0),IFERROR(N(INDEX(Parameter!$L$5:$L$7,W608))*INDEX(Parameter!$E$5:$E$7,W608)*X608/SUMIFS($X$7:$X$1843,$W$7:$W$1843,W608),0),0)</f>
        <v>0</v>
      </c>
    </row>
    <row r="609" customFormat="false" ht="15" hidden="false" customHeight="false" outlineLevel="0" collapsed="false">
      <c r="A609" s="48" t="s">
        <v>1266</v>
      </c>
      <c r="B609" s="48" t="s">
        <v>663</v>
      </c>
      <c r="C609" s="48" t="s">
        <v>173</v>
      </c>
      <c r="D609" s="48" t="s">
        <v>193</v>
      </c>
      <c r="E609" s="48" t="s">
        <v>194</v>
      </c>
      <c r="F609" s="48" t="s">
        <v>227</v>
      </c>
      <c r="G609" s="49" t="n">
        <v>0.01</v>
      </c>
      <c r="H609" s="50" t="n">
        <f aca="false">MAX(0,IF(AND(Parameter!$B$21="Ja",ISNUMBER(Y609)),Y609,IF(Parameter!$B$20="Jahresanfang 2025 + Export",BR609+BQ609,BQ609)))</f>
        <v>579</v>
      </c>
      <c r="I609" s="50" t="n">
        <f aca="false">H609*G609</f>
        <v>5.79</v>
      </c>
      <c r="J609" s="50" t="n">
        <f aca="false">BT609*Parameter!$B$18</f>
        <v>530</v>
      </c>
      <c r="K609" s="51" t="n">
        <v>95.5</v>
      </c>
      <c r="L609" s="52" t="n">
        <v>5.54973821989529</v>
      </c>
      <c r="M609" s="50" t="n">
        <v>30</v>
      </c>
      <c r="N609" s="50" t="n">
        <v>600</v>
      </c>
      <c r="O609" s="53" t="n">
        <v>21</v>
      </c>
      <c r="P609" s="48" t="s">
        <v>485</v>
      </c>
      <c r="Q609" s="50" t="n">
        <v>885</v>
      </c>
      <c r="R609" s="53" t="n">
        <f aca="false">IF(BZ609=1,0,IFERROR(VLOOKUP(BX609,'Gebinde-Kategorie'!$A$5:$N$45,13,0)+0,0))</f>
        <v>52</v>
      </c>
      <c r="S609" s="54"/>
      <c r="T609" s="55"/>
      <c r="U609" s="55"/>
      <c r="V609" s="55"/>
      <c r="W609" s="48"/>
      <c r="X609" s="50"/>
      <c r="Y609" s="50"/>
      <c r="Z609" s="48" t="n">
        <f aca="false">IF(A609="","",IF(AND(Parameter!$B$21="Ja",ISNUMBER(W609)),W609,IF(CC609="2+3",IF(ISNUMBER(SEARCH("grosser Artikel",BU609)),2,IFERROR(VLOOKUP(BX609,Parameter!$F$35:$G$64,2,0),2)),IF(OR(CC609="Nein",CC609=""),"-",CC609))))</f>
        <v>3</v>
      </c>
      <c r="AA609" s="55"/>
      <c r="AB609" s="56"/>
      <c r="AC609" s="50" t="n">
        <f aca="false">AV609</f>
        <v>630</v>
      </c>
      <c r="AD609" s="50" t="n">
        <f aca="false">MAX(AV609,H609)</f>
        <v>630</v>
      </c>
      <c r="AE609" s="57"/>
      <c r="AF609" s="50" t="n">
        <f aca="false">IF(LEFT(Cockpit!$C$5,1)="A",H609,IF(Parameter!$E$30="MAX-Bestand",IF(CH609=1,CI609,IF(LEFT(Cockpit!$C$5,1)="B",AL609,MAX(AL609,H609))),ROUNDUP(AJ609,0)))</f>
        <v>579</v>
      </c>
      <c r="AG609" s="50" t="n">
        <f aca="false">IF(BZ609=1,0,ROUNDUP(AF609/BY609,0))</f>
        <v>1</v>
      </c>
      <c r="AH609" s="52" t="n">
        <f aca="false">IF(CQ609&gt;0,CQ609*MAX(1,AF609/X609),IF(BZ609=1,IF(AF609&lt;=0,0,CD609*MAX(1,IF(H609&gt;0,AF609/H609,1))),IF(R609&gt;0,AG609/R609,0))/MAX(0.1,N(Parameter!$M$21)))</f>
        <v>0.0192307692307692</v>
      </c>
      <c r="AI609" s="50" t="n">
        <f aca="false">AH609*CB609</f>
        <v>2.98076923076923</v>
      </c>
      <c r="AJ609" s="51" t="n">
        <f aca="false">IF(LEFT(Cockpit!$C$5,1)="A",H609,IF(CH609=1,(CK609+CI609)/2,IF(LEFT(Cockpit!$C$5,1)="B",(CK609+AL609)/2,MAX((CK609+AL609)/2,H609))))</f>
        <v>579</v>
      </c>
      <c r="AK609" s="50" t="n">
        <f aca="false">AJ609*G609</f>
        <v>5.79</v>
      </c>
      <c r="AL609" s="50" t="n">
        <f aca="false">ROUNDUP(CK609+MAX(CL609,2*(J609/IF(CG609&gt;0,CG609,MAX(0.1,N(Cockpit!$C$6)))-CK609)),0)</f>
        <v>630</v>
      </c>
      <c r="AM609" s="51" t="n">
        <f aca="false">IF(AI609&gt;0,J609/AI609,-1)</f>
        <v>177.806451612903</v>
      </c>
      <c r="AN609" s="51" t="n">
        <f aca="false">IF(AND(OR(CF609="L1",CF609="L23",CF609="LIFT"),AI609&gt;0),SUMIFS($AI$7:$AI$1843,$CF$7:$CF$1843,CF609,$AM$7:$AM$1843,"&gt;"&amp;AM609)+SUMIFS($AI$7:$AI$1843,$CF$7:$CF$1843,CF609,$AM$7:$AM$1843,AM609,$BW$7:$BW$1843,"&lt;="&amp;BW609),"")</f>
        <v>402.253205128205</v>
      </c>
      <c r="AO609" s="58" t="n">
        <f aca="false">IF(AN609="",0,MAX(0,MIN(1,(IF(CF609="L1",Parameter!$H$5,IF(CF609="L23",Parameter!$H$6+Parameter!$H$7,Parameter!$H$5+Parameter!$H$6+Parameter!$H$7))-(AN609-AI609))/AI609)))</f>
        <v>1</v>
      </c>
      <c r="AP609" s="50" t="n">
        <f aca="false">IF(LEFT(Cockpit!$I$5,1)="A",H609,IF(Parameter!$E$30="MAX-Bestand",IF(CH609=1,CI609,IF(LEFT(Cockpit!$I$5,1)="B",AV609,MAX(AV609,H609))),ROUNDUP(AT609,0)))</f>
        <v>579</v>
      </c>
      <c r="AQ609" s="50" t="n">
        <f aca="false">IF(BZ609=1,0,ROUNDUP(AP609/BY609,0))</f>
        <v>1</v>
      </c>
      <c r="AR609" s="52" t="n">
        <f aca="false">IF(CQ609&gt;0,CQ609*MAX(1,AP609/X609),IF(BZ609=1,IF(AP609&lt;=0,0,CD609*MAX(1,IF(H609&gt;0,AP609/H609,1))),IF(R609&gt;0,AQ609/R609,0))/MAX(0.1,N(Parameter!$M$21)))</f>
        <v>0.0192307692307692</v>
      </c>
      <c r="AS609" s="50" t="n">
        <f aca="false">AR609*CB609</f>
        <v>2.98076923076923</v>
      </c>
      <c r="AT609" s="51" t="n">
        <f aca="false">IF(LEFT(Cockpit!$I$5,1)="A",H609,IF(CH609=1,(CK609+CI609)/2,IF(LEFT(Cockpit!$I$5,1)="B",(CK609+AV609)/2,MAX((CK609+AV609)/2,H609))))</f>
        <v>579</v>
      </c>
      <c r="AU609" s="50" t="n">
        <f aca="false">AT609*G609</f>
        <v>5.79</v>
      </c>
      <c r="AV609" s="50" t="n">
        <f aca="false">ROUNDUP(CK609+MAX(CL609,2*(J609/IF(CG609&gt;0,CG609,MAX(0.1,N(Cockpit!$I$6)))-CK609)),0)</f>
        <v>630</v>
      </c>
      <c r="AW609" s="51" t="n">
        <f aca="false">IF(AS609&gt;0,J609/AS609,-1)</f>
        <v>177.806451612903</v>
      </c>
      <c r="AX609" s="51" t="n">
        <f aca="false">IF(AND(OR(CF609="L1",CF609="L23",CF609="LIFT"),AS609&gt;0),SUMIFS($AS$7:$AS$1843,$CF$7:$CF$1843,CF609,$AW$7:$AW$1843,"&gt;"&amp;AW609)+SUMIFS($AS$7:$AS$1843,$CF$7:$CF$1843,CF609,$AW$7:$AW$1843,AW609,$BW$7:$BW$1843,"&lt;="&amp;BW609),"")</f>
        <v>519.89010989011</v>
      </c>
      <c r="AY609" s="58" t="n">
        <f aca="false">IF(AX609="",0,MAX(0,MIN(1,(IF(CF609="L1",Parameter!$H$5,IF(CF609="L23",Parameter!$H$6+Parameter!$H$7,Parameter!$H$5+Parameter!$H$6+Parameter!$H$7))-(AX609-AS609))/AS609)))</f>
        <v>1</v>
      </c>
      <c r="AZ609" s="50" t="n">
        <f aca="false">IF(LEFT(Cockpit!$O$5,1)="A",H609,IF(Parameter!$E$30="MAX-Bestand",IF(CH609=1,CI609,IF(LEFT(Cockpit!$O$5,1)="B",BF609,MAX(BF609,H609))),ROUNDUP(BD609,0)))</f>
        <v>330</v>
      </c>
      <c r="BA609" s="50" t="n">
        <f aca="false">IF(BZ609=1,0,ROUNDUP(AZ609/BY609,0))</f>
        <v>1</v>
      </c>
      <c r="BB609" s="52" t="n">
        <f aca="false">IF(CQ609&gt;0,CQ609*MAX(1,AZ609/X609),IF(BZ609=1,IF(AZ609&lt;=0,0,CD609*MAX(1,IF(H609&gt;0,AZ609/H609,1))),IF(R609&gt;0,BA609/R609,0))/MAX(0.1,N(Parameter!$M$21)))</f>
        <v>0.0192307692307692</v>
      </c>
      <c r="BC609" s="50" t="n">
        <f aca="false">BB609*CB609</f>
        <v>2.98076923076923</v>
      </c>
      <c r="BD609" s="51" t="n">
        <f aca="false">IF(LEFT(Cockpit!$O$5,1)="A",H609,IF(CH609=1,(CK609+CI609)/2,IF(LEFT(Cockpit!$O$5,1)="B",(CK609+BF609)/2,MAX((CK609+BF609)/2,H609))))</f>
        <v>330</v>
      </c>
      <c r="BE609" s="50" t="n">
        <f aca="false">BD609*G609</f>
        <v>3.3</v>
      </c>
      <c r="BF609" s="50" t="n">
        <f aca="false">ROUNDUP(CK609+MAX(CL609,2*(J609/IF(CG609&gt;0,CG609,MAX(0.1,N(Cockpit!$O$6)))-CK609)),0)</f>
        <v>630</v>
      </c>
      <c r="BG609" s="51" t="n">
        <f aca="false">IF(BC609&gt;0,J609/BC609,-1)</f>
        <v>177.806451612903</v>
      </c>
      <c r="BH609" s="51" t="n">
        <f aca="false">IF(AND(OR(CF609="L1",CF609="L23",CF609="LIFT"),BC609&gt;0),SUMIFS($BC$7:$BC$1843,$CF$7:$CF$1843,CF609,$BG$7:$BG$1843,"&gt;"&amp;BG609)+SUMIFS($BC$7:$BC$1843,$CF$7:$CF$1843,CF609,$BG$7:$BG$1843,BG609,$BW$7:$BW$1843,"&lt;="&amp;BW609),"")</f>
        <v>512.57967032967</v>
      </c>
      <c r="BI609" s="58" t="n">
        <f aca="false">IF(BH609="",0,MAX(0,MIN(1,(IF(CF609="L1",Parameter!$H$5,IF(CF609="L23",Parameter!$H$6+Parameter!$H$7,Parameter!$H$5+Parameter!$H$6+Parameter!$H$7))-(BH609-BC609))/BC609)))</f>
        <v>1</v>
      </c>
      <c r="BJ609" s="48" t="str">
        <f aca="false">IF(AI609&lt;=0,"",IF(CF609="Aussen","Aussenlager",IF(CF609="-","Nicht im Lift",IF(AO609&gt;=1,"Lift",IF(AO609&lt;=0,"Aussenlager","teilweise")))))</f>
        <v>Lift</v>
      </c>
      <c r="BK609" s="48" t="str">
        <f aca="false">IF(AS609&lt;=0,"",IF(CF609="Aussen","Aussenlager",IF(CF609="-","Nicht im Lift",IF(AY609&gt;=1,"Lift",IF(AY609&lt;=0,"Aussenlager","teilweise")))))</f>
        <v>Lift</v>
      </c>
      <c r="BL609" s="48" t="str">
        <f aca="false">IF(BC609&lt;=0,"",IF(CF609="Aussen","Aussenlager",IF(CF609="-","Nicht im Lift",IF(BI609&gt;=1,"Lift",IF(BI609&lt;=0,"Aussenlager","teilweise")))))</f>
        <v>Lift</v>
      </c>
      <c r="BM609" s="48" t="str">
        <f aca="false">IF(A609="","",IF(BV609=1,"Neu; ","")&amp;IF(AND(BV609=0,BQ609&lt;0),"negativer Bestand (Export "&amp;BQ609&amp;"); ","")&amp;IF(J609&lt;=0,"Kein Verbrauch; ","")&amp;IF(CQ609&gt;0,"Lift "&amp;W609&amp;" lt. Liftbericht (Fach "&amp;X609&amp;" Stk); ",IF(CA609=1,"Gebinde geschätzt ("&amp;T609&amp;"); ",IF(BZ609=1,"Lose – Tablare geschätzt; ","")))&amp;IF(H609&gt;AV609,"Überbestand "&amp;ROUND(H609-AV609,0)&amp;" Stk / CHF "&amp;ROUND((H609-AV609)*G609,0)&amp;"; ","")&amp;IF(AND(CH609=1,CI609&lt;CJ609),"MAX &lt; MB+LG; ","")&amp;IF(AND(CP609&gt;0,CO609*10&gt;CP609),"zu hoch für Tablar; ","")&amp;IF(AND(BV609=0,OR(CH609=1,AA609&lt;&gt;"",U609&lt;&gt;"",V609&lt;&gt;"",AB609&lt;&gt;"")),"manuell übersteuert; ","")&amp;IF(AND(BZ609=0,R609=0),"Gebinde unbekannt / Stellmass fehlt; ","")&amp;IF(AND(BZ609=0,N(V609)&lt;=0,N(Q609)&lt;=0),"Menge pro Gebinde fehlt (Ist = 1 Gebinde); ","")&amp;BU609)</f>
        <v/>
      </c>
      <c r="BN609" s="48"/>
      <c r="BO609" s="48"/>
      <c r="BP609" s="55"/>
      <c r="BQ609" s="50" t="n">
        <v>495</v>
      </c>
      <c r="BR609" s="50" t="n">
        <v>84</v>
      </c>
      <c r="BS609" s="49" t="n">
        <v>4.95</v>
      </c>
      <c r="BT609" s="50" t="n">
        <v>530</v>
      </c>
      <c r="BU609" s="48"/>
      <c r="BV609" s="53" t="n">
        <v>0</v>
      </c>
      <c r="BW609" s="53" t="n">
        <v>609</v>
      </c>
      <c r="BX609" s="48" t="str">
        <f aca="false">IF(U609&lt;&gt;"",UPPER(TRIM(U609)),IF(CA609=1,UPPER(VLOOKUP(T609,Parameter!$I$27:$K$29,2,0)),IF(P609="","LOSE",P609)))</f>
        <v>S33</v>
      </c>
      <c r="BY609" s="50" t="n">
        <f aca="false">IF(BX609="LOSE",1,IF(N(V609)&gt;0,V609,IF(CA609=1,MAX(1,N(VLOOKUP(T609,Parameter!$I$27:$K$29,3,0)),H609,N(N609)),IF(N(Q609)&gt;0,Q609,MAX(1,H609)))))</f>
        <v>885</v>
      </c>
      <c r="BZ609" s="53" t="n">
        <f aca="false">IF(BX609="LOSE",1,0)</f>
        <v>0</v>
      </c>
      <c r="CA609" s="53" t="n">
        <f aca="false">IF(AND(U609="",OR(P609="",P609="LOSE"),T609&lt;&gt;"",N(S609)&lt;=0,ISNUMBER(MATCH(T609,Parameter!$I$27:$I$29,0))),1,0)</f>
        <v>0</v>
      </c>
      <c r="CB609" s="53" t="n">
        <f aca="false">IF(CQ609&gt;0,INDEX(Parameter!$H$5:$H$7,W609)/INDEX(Parameter!$E$5:$E$7,W609),IF(AND(BZ609=0,N(IFERROR(VLOOKUP(BX609,'Gebinde-Kategorie'!$A$5:$N$45,14,0),0))&gt;0),VLOOKUP(BX609,'Gebinde-Kategorie'!$A$5:$N$45,14,0)*10+Parameter!$M$23,Parameter!$M$24))</f>
        <v>155</v>
      </c>
      <c r="CC609" s="48" t="str">
        <f aca="false">IF(AND(Parameter!$B$19="Ja",E609&lt;&gt;"",ISNUMBER(MATCH(E609,Parameter!$I$35:$I$52,0))),VLOOKUP(E609,Parameter!$I$35:$J$52,2,0),IFERROR(VLOOKUP(D609,Parameter!$A$35:$C$64,2,0),"Nein"))</f>
        <v>2+3</v>
      </c>
      <c r="CD609" s="52" t="n">
        <f aca="false">IF(BZ609=0,0,IF(N(S609)&gt;0,S609,IFERROR(VLOOKUP(D609,Parameter!$A$35:$C$64,3,0)+0,0)))</f>
        <v>0</v>
      </c>
      <c r="CE609" s="48" t="n">
        <f aca="false">IF(AA609&lt;&gt;"",AA609,Z609)</f>
        <v>3</v>
      </c>
      <c r="CF609" s="48" t="str">
        <f aca="false">IF(OR(CE609=1,CE609=2,CE609=3),IF(Parameter!$E$27="Ja","LIFT",IF(CE609=1,"L1","L23")),IF(CE609="Aussen","Aussen","-"))</f>
        <v>LIFT</v>
      </c>
      <c r="CG609" s="59" t="n">
        <f aca="false">IF(N(AB609)&gt;0,AB609,0)</f>
        <v>0</v>
      </c>
      <c r="CH609" s="53" t="n">
        <f aca="false">IF(ISNUMBER(AE609),1,0)</f>
        <v>0</v>
      </c>
      <c r="CI609" s="50" t="n">
        <f aca="false">N(AE609)</f>
        <v>0</v>
      </c>
      <c r="CJ609" s="50" t="n">
        <f aca="false">N(M609)+N(N609)</f>
        <v>630</v>
      </c>
      <c r="CK609" s="50" t="n">
        <f aca="false">N(M609)</f>
        <v>30</v>
      </c>
      <c r="CL609" s="50" t="n">
        <f aca="false">N(N609)</f>
        <v>600</v>
      </c>
      <c r="CM609" s="50" t="n">
        <f aca="false">ROUNDUP(H609/BY609,0)</f>
        <v>1</v>
      </c>
      <c r="CN609" s="50" t="n">
        <f aca="false">ROUNDUP(CI609/BY609,0)</f>
        <v>0</v>
      </c>
      <c r="CO609" s="53" t="n">
        <f aca="false">IF(BZ609=1,0,IFERROR(VLOOKUP(BX609,'Gebinde-Kategorie'!$A$5:$N$45,5,0)+0,0))</f>
        <v>8</v>
      </c>
      <c r="CP609" s="53" t="n">
        <f aca="false">IFERROR(IF(OR(CE609=1,CE609=2,CE609=3),N(INDEX(Parameter!$I$5:$I$7,CE609)),0),0)</f>
        <v>0</v>
      </c>
      <c r="CQ609" s="52" t="n">
        <f aca="false">IF(AND(Parameter!$B$21="Ja",ISNUMBER(W609),N(X609)&gt;0),IFERROR(N(INDEX(Parameter!$L$5:$L$7,W609))*INDEX(Parameter!$E$5:$E$7,W609)*X609/SUMIFS($X$7:$X$1843,$W$7:$W$1843,W609),0),0)</f>
        <v>0</v>
      </c>
    </row>
    <row r="610" customFormat="false" ht="15" hidden="false" customHeight="false" outlineLevel="0" collapsed="false">
      <c r="A610" s="48" t="s">
        <v>1267</v>
      </c>
      <c r="B610" s="48" t="s">
        <v>1268</v>
      </c>
      <c r="C610" s="48" t="s">
        <v>173</v>
      </c>
      <c r="D610" s="48" t="s">
        <v>182</v>
      </c>
      <c r="E610" s="48"/>
      <c r="F610" s="48" t="s">
        <v>227</v>
      </c>
      <c r="G610" s="49" t="n">
        <v>0.33</v>
      </c>
      <c r="H610" s="50" t="n">
        <f aca="false">MAX(0,IF(AND(Parameter!$B$21="Ja",ISNUMBER(Y610)),Y610,IF(Parameter!$B$20="Jahresanfang 2025 + Export",BR610+BQ610,BQ610)))</f>
        <v>15</v>
      </c>
      <c r="I610" s="50" t="n">
        <f aca="false">H610*G610</f>
        <v>4.95</v>
      </c>
      <c r="J610" s="50" t="n">
        <f aca="false">BT610*Parameter!$B$18</f>
        <v>6</v>
      </c>
      <c r="K610" s="51" t="n">
        <v>0</v>
      </c>
      <c r="L610" s="52" t="n">
        <v>0</v>
      </c>
      <c r="M610" s="50" t="n">
        <v>0</v>
      </c>
      <c r="N610" s="50" t="n">
        <v>5</v>
      </c>
      <c r="O610" s="53" t="n">
        <v>21</v>
      </c>
      <c r="P610" s="48" t="s">
        <v>177</v>
      </c>
      <c r="Q610" s="50"/>
      <c r="R610" s="53" t="n">
        <f aca="false">IF(BZ610=1,0,IFERROR(VLOOKUP(BX610,'Gebinde-Kategorie'!$A$5:$N$45,13,0)+0,0))</f>
        <v>12</v>
      </c>
      <c r="S610" s="54"/>
      <c r="T610" s="55" t="s">
        <v>188</v>
      </c>
      <c r="U610" s="55"/>
      <c r="V610" s="55"/>
      <c r="W610" s="48"/>
      <c r="X610" s="50"/>
      <c r="Y610" s="50"/>
      <c r="Z610" s="48" t="n">
        <f aca="false">IF(A610="","",IF(AND(Parameter!$B$21="Ja",ISNUMBER(W610)),W610,IF(CC610="2+3",IF(ISNUMBER(SEARCH("grosser Artikel",BU610)),2,IFERROR(VLOOKUP(BX610,Parameter!$F$35:$G$64,2,0),2)),IF(OR(CC610="Nein",CC610=""),"-",CC610))))</f>
        <v>2</v>
      </c>
      <c r="AA610" s="55"/>
      <c r="AB610" s="56"/>
      <c r="AC610" s="50" t="n">
        <f aca="false">AV610</f>
        <v>5</v>
      </c>
      <c r="AD610" s="50" t="n">
        <f aca="false">MAX(AV610,H610)</f>
        <v>15</v>
      </c>
      <c r="AE610" s="57"/>
      <c r="AF610" s="50" t="n">
        <f aca="false">IF(LEFT(Cockpit!$C$5,1)="A",H610,IF(Parameter!$E$30="MAX-Bestand",IF(CH610=1,CI610,IF(LEFT(Cockpit!$C$5,1)="B",AL610,MAX(AL610,H610))),ROUNDUP(AJ610,0)))</f>
        <v>15</v>
      </c>
      <c r="AG610" s="50" t="n">
        <f aca="false">IF(BZ610=1,0,ROUNDUP(AF610/BY610,0))</f>
        <v>1</v>
      </c>
      <c r="AH610" s="52" t="n">
        <f aca="false">IF(CQ610&gt;0,CQ610*MAX(1,AF610/X610),IF(BZ610=1,IF(AF610&lt;=0,0,CD610*MAX(1,IF(H610&gt;0,AF610/H610,1))),IF(R610&gt;0,AG610/R610,0))/MAX(0.1,N(Parameter!$M$21)))</f>
        <v>0.0833333333333333</v>
      </c>
      <c r="AI610" s="50" t="n">
        <f aca="false">AH610*CB610</f>
        <v>12.0833333333333</v>
      </c>
      <c r="AJ610" s="51" t="n">
        <f aca="false">IF(LEFT(Cockpit!$C$5,1)="A",H610,IF(CH610=1,(CK610+CI610)/2,IF(LEFT(Cockpit!$C$5,1)="B",(CK610+AL610)/2,MAX((CK610+AL610)/2,H610))))</f>
        <v>15</v>
      </c>
      <c r="AK610" s="50" t="n">
        <f aca="false">AJ610*G610</f>
        <v>4.95</v>
      </c>
      <c r="AL610" s="50" t="n">
        <f aca="false">ROUNDUP(CK610+MAX(CL610,2*(J610/IF(CG610&gt;0,CG610,MAX(0.1,N(Cockpit!$C$6)))-CK610)),0)</f>
        <v>5</v>
      </c>
      <c r="AM610" s="51" t="n">
        <f aca="false">IF(AI610&gt;0,J610/AI610,-1)</f>
        <v>0.496551724137931</v>
      </c>
      <c r="AN610" s="51" t="n">
        <f aca="false">IF(AND(OR(CF610="L1",CF610="L23",CF610="LIFT"),AI610&gt;0),SUMIFS($AI$7:$AI$1843,$CF$7:$CF$1843,CF610,$AM$7:$AM$1843,"&gt;"&amp;AM610)+SUMIFS($AI$7:$AI$1843,$CF$7:$CF$1843,CF610,$AM$7:$AM$1843,AM610,$BW$7:$BW$1843,"&lt;="&amp;BW610),"")</f>
        <v>9610.17716934666</v>
      </c>
      <c r="AO610" s="58" t="n">
        <f aca="false">IF(AN610="",0,MAX(0,MIN(1,(IF(CF610="L1",Parameter!$H$5,IF(CF610="L23",Parameter!$H$6+Parameter!$H$7,Parameter!$H$5+Parameter!$H$6+Parameter!$H$7))-(AN610-AI610))/AI610)))</f>
        <v>1</v>
      </c>
      <c r="AP610" s="50" t="n">
        <f aca="false">IF(LEFT(Cockpit!$I$5,1)="A",H610,IF(Parameter!$E$30="MAX-Bestand",IF(CH610=1,CI610,IF(LEFT(Cockpit!$I$5,1)="B",AV610,MAX(AV610,H610))),ROUNDUP(AT610,0)))</f>
        <v>15</v>
      </c>
      <c r="AQ610" s="50" t="n">
        <f aca="false">IF(BZ610=1,0,ROUNDUP(AP610/BY610,0))</f>
        <v>1</v>
      </c>
      <c r="AR610" s="52" t="n">
        <f aca="false">IF(CQ610&gt;0,CQ610*MAX(1,AP610/X610),IF(BZ610=1,IF(AP610&lt;=0,0,CD610*MAX(1,IF(H610&gt;0,AP610/H610,1))),IF(R610&gt;0,AQ610/R610,0))/MAX(0.1,N(Parameter!$M$21)))</f>
        <v>0.0833333333333333</v>
      </c>
      <c r="AS610" s="50" t="n">
        <f aca="false">AR610*CB610</f>
        <v>12.0833333333333</v>
      </c>
      <c r="AT610" s="51" t="n">
        <f aca="false">IF(LEFT(Cockpit!$I$5,1)="A",H610,IF(CH610=1,(CK610+CI610)/2,IF(LEFT(Cockpit!$I$5,1)="B",(CK610+AV610)/2,MAX((CK610+AV610)/2,H610))))</f>
        <v>15</v>
      </c>
      <c r="AU610" s="50" t="n">
        <f aca="false">AT610*G610</f>
        <v>4.95</v>
      </c>
      <c r="AV610" s="50" t="n">
        <f aca="false">ROUNDUP(CK610+MAX(CL610,2*(J610/IF(CG610&gt;0,CG610,MAX(0.1,N(Cockpit!$I$6)))-CK610)),0)</f>
        <v>5</v>
      </c>
      <c r="AW610" s="51" t="n">
        <f aca="false">IF(AS610&gt;0,J610/AS610,-1)</f>
        <v>0.496551724137931</v>
      </c>
      <c r="AX610" s="51" t="n">
        <f aca="false">IF(AND(OR(CF610="L1",CF610="L23",CF610="LIFT"),AS610&gt;0),SUMIFS($AS$7:$AS$1843,$CF$7:$CF$1843,CF610,$AW$7:$AW$1843,"&gt;"&amp;AW610)+SUMIFS($AS$7:$AS$1843,$CF$7:$CF$1843,CF610,$AW$7:$AW$1843,AW610,$BW$7:$BW$1843,"&lt;="&amp;BW610),"")</f>
        <v>12024.0137362637</v>
      </c>
      <c r="AY610" s="58" t="n">
        <f aca="false">IF(AX610="",0,MAX(0,MIN(1,(IF(CF610="L1",Parameter!$H$5,IF(CF610="L23",Parameter!$H$6+Parameter!$H$7,Parameter!$H$5+Parameter!$H$6+Parameter!$H$7))-(AX610-AS610))/AS610)))</f>
        <v>1</v>
      </c>
      <c r="AZ610" s="50" t="n">
        <f aca="false">IF(LEFT(Cockpit!$O$5,1)="A",H610,IF(Parameter!$E$30="MAX-Bestand",IF(CH610=1,CI610,IF(LEFT(Cockpit!$O$5,1)="B",BF610,MAX(BF610,H610))),ROUNDUP(BD610,0)))</f>
        <v>3</v>
      </c>
      <c r="BA610" s="50" t="n">
        <f aca="false">IF(BZ610=1,0,ROUNDUP(AZ610/BY610,0))</f>
        <v>1</v>
      </c>
      <c r="BB610" s="52" t="n">
        <f aca="false">IF(CQ610&gt;0,CQ610*MAX(1,AZ610/X610),IF(BZ610=1,IF(AZ610&lt;=0,0,CD610*MAX(1,IF(H610&gt;0,AZ610/H610,1))),IF(R610&gt;0,BA610/R610,0))/MAX(0.1,N(Parameter!$M$21)))</f>
        <v>0.0833333333333333</v>
      </c>
      <c r="BC610" s="50" t="n">
        <f aca="false">BB610*CB610</f>
        <v>12.0833333333333</v>
      </c>
      <c r="BD610" s="51" t="n">
        <f aca="false">IF(LEFT(Cockpit!$O$5,1)="A",H610,IF(CH610=1,(CK610+CI610)/2,IF(LEFT(Cockpit!$O$5,1)="B",(CK610+BF610)/2,MAX((CK610+BF610)/2,H610))))</f>
        <v>2.5</v>
      </c>
      <c r="BE610" s="50" t="n">
        <f aca="false">BD610*G610</f>
        <v>0.825</v>
      </c>
      <c r="BF610" s="50" t="n">
        <f aca="false">ROUNDUP(CK610+MAX(CL610,2*(J610/IF(CG610&gt;0,CG610,MAX(0.1,N(Cockpit!$O$6)))-CK610)),0)</f>
        <v>5</v>
      </c>
      <c r="BG610" s="51" t="n">
        <f aca="false">IF(BC610&gt;0,J610/BC610,-1)</f>
        <v>0.496551724137931</v>
      </c>
      <c r="BH610" s="51" t="n">
        <f aca="false">IF(AND(OR(CF610="L1",CF610="L23",CF610="LIFT"),BC610&gt;0),SUMIFS($BC$7:$BC$1843,$CF$7:$CF$1843,CF610,$BG$7:$BG$1843,"&gt;"&amp;BG610)+SUMIFS($BC$7:$BC$1843,$CF$7:$CF$1843,CF610,$BG$7:$BG$1843,BG610,$BW$7:$BW$1843,"&lt;="&amp;BW610),"")</f>
        <v>10387.4299450549</v>
      </c>
      <c r="BI610" s="58" t="n">
        <f aca="false">IF(BH610="",0,MAX(0,MIN(1,(IF(CF610="L1",Parameter!$H$5,IF(CF610="L23",Parameter!$H$6+Parameter!$H$7,Parameter!$H$5+Parameter!$H$6+Parameter!$H$7))-(BH610-BC610))/BC610)))</f>
        <v>1</v>
      </c>
      <c r="BJ610" s="48" t="str">
        <f aca="false">IF(AI610&lt;=0,"",IF(CF610="Aussen","Aussenlager",IF(CF610="-","Nicht im Lift",IF(AO610&gt;=1,"Lift",IF(AO610&lt;=0,"Aussenlager","teilweise")))))</f>
        <v>Lift</v>
      </c>
      <c r="BK610" s="48" t="str">
        <f aca="false">IF(AS610&lt;=0,"",IF(CF610="Aussen","Aussenlager",IF(CF610="-","Nicht im Lift",IF(AY610&gt;=1,"Lift",IF(AY610&lt;=0,"Aussenlager","teilweise")))))</f>
        <v>Lift</v>
      </c>
      <c r="BL610" s="48" t="str">
        <f aca="false">IF(BC610&lt;=0,"",IF(CF610="Aussen","Aussenlager",IF(CF610="-","Nicht im Lift",IF(BI610&gt;=1,"Lift",IF(BI610&lt;=0,"Aussenlager","teilweise")))))</f>
        <v>Lift</v>
      </c>
      <c r="BM610" s="48" t="str">
        <f aca="false">IF(A610="","",IF(BV610=1,"Neu; ","")&amp;IF(AND(BV610=0,BQ610&lt;0),"negativer Bestand (Export "&amp;BQ610&amp;"); ","")&amp;IF(J610&lt;=0,"Kein Verbrauch; ","")&amp;IF(CQ610&gt;0,"Lift "&amp;W610&amp;" lt. Liftbericht (Fach "&amp;X610&amp;" Stk); ",IF(CA610=1,"Gebinde geschätzt ("&amp;T610&amp;"); ",IF(BZ610=1,"Lose – Tablare geschätzt; ","")))&amp;IF(H610&gt;AV610,"Überbestand "&amp;ROUND(H610-AV610,0)&amp;" Stk / CHF "&amp;ROUND((H610-AV610)*G610,0)&amp;"; ","")&amp;IF(AND(CH610=1,CI610&lt;CJ610),"MAX &lt; MB+LG; ","")&amp;IF(AND(CP610&gt;0,CO610*10&gt;CP610),"zu hoch für Tablar; ","")&amp;IF(AND(BV610=0,OR(CH610=1,AA610&lt;&gt;"",U610&lt;&gt;"",V610&lt;&gt;"",AB610&lt;&gt;"")),"manuell übersteuert; ","")&amp;IF(AND(BZ610=0,R610=0),"Gebinde unbekannt / Stellmass fehlt; ","")&amp;IF(AND(BZ610=0,N(V610)&lt;=0,N(Q610)&lt;=0),"Menge pro Gebinde fehlt (Ist = 1 Gebinde); ","")&amp;BU610)</f>
        <v>Gebinde geschätzt (Mittel); Überbestand 10 Stk / CHF 3; Menge pro Gebinde fehlt (Ist = 1 Gebinde); </v>
      </c>
      <c r="BN610" s="48"/>
      <c r="BO610" s="48"/>
      <c r="BP610" s="55"/>
      <c r="BQ610" s="50" t="n">
        <v>15</v>
      </c>
      <c r="BR610" s="50" t="n">
        <v>0</v>
      </c>
      <c r="BS610" s="49" t="n">
        <v>4.95</v>
      </c>
      <c r="BT610" s="50" t="n">
        <v>6</v>
      </c>
      <c r="BU610" s="48"/>
      <c r="BV610" s="53" t="n">
        <v>0</v>
      </c>
      <c r="BW610" s="53" t="n">
        <v>610</v>
      </c>
      <c r="BX610" s="48" t="str">
        <f aca="false">IF(U610&lt;&gt;"",UPPER(TRIM(U610)),IF(CA610=1,UPPER(VLOOKUP(T610,Parameter!$I$27:$K$29,2,0)),IF(P610="","LOSE",P610)))</f>
        <v>S61</v>
      </c>
      <c r="BY610" s="50" t="n">
        <f aca="false">IF(BX610="LOSE",1,IF(N(V610)&gt;0,V610,IF(CA610=1,MAX(1,N(VLOOKUP(T610,Parameter!$I$27:$K$29,3,0)),H610,N(N610)),IF(N(Q610)&gt;0,Q610,MAX(1,H610)))))</f>
        <v>15</v>
      </c>
      <c r="BZ610" s="53" t="n">
        <f aca="false">IF(BX610="LOSE",1,0)</f>
        <v>0</v>
      </c>
      <c r="CA610" s="53" t="n">
        <f aca="false">IF(AND(U610="",OR(P610="",P610="LOSE"),T610&lt;&gt;"",N(S610)&lt;=0,ISNUMBER(MATCH(T610,Parameter!$I$27:$I$29,0))),1,0)</f>
        <v>1</v>
      </c>
      <c r="CB610" s="53" t="n">
        <f aca="false">IF(CQ610&gt;0,INDEX(Parameter!$H$5:$H$7,W610)/INDEX(Parameter!$E$5:$E$7,W610),IF(AND(BZ610=0,N(IFERROR(VLOOKUP(BX610,'Gebinde-Kategorie'!$A$5:$N$45,14,0),0))&gt;0),VLOOKUP(BX610,'Gebinde-Kategorie'!$A$5:$N$45,14,0)*10+Parameter!$M$23,Parameter!$M$24))</f>
        <v>145</v>
      </c>
      <c r="CC610" s="48" t="str">
        <f aca="false">IF(AND(Parameter!$B$19="Ja",E610&lt;&gt;"",ISNUMBER(MATCH(E610,Parameter!$I$35:$I$52,0))),VLOOKUP(E610,Parameter!$I$35:$J$52,2,0),IFERROR(VLOOKUP(D610,Parameter!$A$35:$C$64,2,0),"Nein"))</f>
        <v>2+3</v>
      </c>
      <c r="CD610" s="52" t="n">
        <f aca="false">IF(BZ610=0,0,IF(N(S610)&gt;0,S610,IFERROR(VLOOKUP(D610,Parameter!$A$35:$C$64,3,0)+0,0)))</f>
        <v>0</v>
      </c>
      <c r="CE610" s="48" t="n">
        <f aca="false">IF(AA610&lt;&gt;"",AA610,Z610)</f>
        <v>2</v>
      </c>
      <c r="CF610" s="48" t="str">
        <f aca="false">IF(OR(CE610=1,CE610=2,CE610=3),IF(Parameter!$E$27="Ja","LIFT",IF(CE610=1,"L1","L23")),IF(CE610="Aussen","Aussen","-"))</f>
        <v>LIFT</v>
      </c>
      <c r="CG610" s="59" t="n">
        <f aca="false">IF(N(AB610)&gt;0,AB610,0)</f>
        <v>0</v>
      </c>
      <c r="CH610" s="53" t="n">
        <f aca="false">IF(ISNUMBER(AE610),1,0)</f>
        <v>0</v>
      </c>
      <c r="CI610" s="50" t="n">
        <f aca="false">N(AE610)</f>
        <v>0</v>
      </c>
      <c r="CJ610" s="50" t="n">
        <f aca="false">N(M610)+N(N610)</f>
        <v>5</v>
      </c>
      <c r="CK610" s="50" t="n">
        <f aca="false">N(M610)</f>
        <v>0</v>
      </c>
      <c r="CL610" s="50" t="n">
        <f aca="false">N(N610)</f>
        <v>5</v>
      </c>
      <c r="CM610" s="50" t="n">
        <f aca="false">ROUNDUP(H610/BY610,0)</f>
        <v>1</v>
      </c>
      <c r="CN610" s="50" t="n">
        <f aca="false">ROUNDUP(CI610/BY610,0)</f>
        <v>0</v>
      </c>
      <c r="CO610" s="53" t="n">
        <f aca="false">IF(BZ610=1,0,IFERROR(VLOOKUP(BX610,'Gebinde-Kategorie'!$A$5:$N$45,5,0)+0,0))</f>
        <v>11</v>
      </c>
      <c r="CP610" s="53" t="n">
        <f aca="false">IFERROR(IF(OR(CE610=1,CE610=2,CE610=3),N(INDEX(Parameter!$I$5:$I$7,CE610)),0),0)</f>
        <v>0</v>
      </c>
      <c r="CQ610" s="52" t="n">
        <f aca="false">IF(AND(Parameter!$B$21="Ja",ISNUMBER(W610),N(X610)&gt;0),IFERROR(N(INDEX(Parameter!$L$5:$L$7,W610))*INDEX(Parameter!$E$5:$E$7,W610)*X610/SUMIFS($X$7:$X$1843,$W$7:$W$1843,W610),0),0)</f>
        <v>0</v>
      </c>
    </row>
    <row r="611" customFormat="false" ht="15" hidden="false" customHeight="false" outlineLevel="0" collapsed="false">
      <c r="A611" s="48" t="s">
        <v>1269</v>
      </c>
      <c r="B611" s="48" t="s">
        <v>414</v>
      </c>
      <c r="C611" s="48" t="s">
        <v>173</v>
      </c>
      <c r="D611" s="48" t="s">
        <v>193</v>
      </c>
      <c r="E611" s="48" t="s">
        <v>194</v>
      </c>
      <c r="F611" s="48" t="s">
        <v>227</v>
      </c>
      <c r="G611" s="49" t="n">
        <v>0.06</v>
      </c>
      <c r="H611" s="50" t="n">
        <f aca="false">MAX(0,IF(AND(Parameter!$B$21="Ja",ISNUMBER(Y611)),Y611,IF(Parameter!$B$20="Jahresanfang 2025 + Export",BR611+BQ611,BQ611)))</f>
        <v>277</v>
      </c>
      <c r="I611" s="50" t="n">
        <f aca="false">H611*G611</f>
        <v>16.62</v>
      </c>
      <c r="J611" s="50" t="n">
        <f aca="false">BT611*Parameter!$B$18</f>
        <v>638</v>
      </c>
      <c r="K611" s="51" t="n">
        <v>267.5</v>
      </c>
      <c r="L611" s="52" t="n">
        <v>2.38504672897196</v>
      </c>
      <c r="M611" s="50" t="n">
        <v>37</v>
      </c>
      <c r="N611" s="50" t="n">
        <v>800</v>
      </c>
      <c r="O611" s="53" t="n">
        <v>21</v>
      </c>
      <c r="P611" s="48" t="s">
        <v>485</v>
      </c>
      <c r="Q611" s="50" t="n">
        <v>605</v>
      </c>
      <c r="R611" s="53" t="n">
        <f aca="false">IF(BZ611=1,0,IFERROR(VLOOKUP(BX611,'Gebinde-Kategorie'!$A$5:$N$45,13,0)+0,0))</f>
        <v>52</v>
      </c>
      <c r="S611" s="54"/>
      <c r="T611" s="55"/>
      <c r="U611" s="55"/>
      <c r="V611" s="55"/>
      <c r="W611" s="48"/>
      <c r="X611" s="50"/>
      <c r="Y611" s="50"/>
      <c r="Z611" s="48" t="n">
        <f aca="false">IF(A611="","",IF(AND(Parameter!$B$21="Ja",ISNUMBER(W611)),W611,IF(CC611="2+3",IF(ISNUMBER(SEARCH("grosser Artikel",BU611)),2,IFERROR(VLOOKUP(BX611,Parameter!$F$35:$G$64,2,0),2)),IF(OR(CC611="Nein",CC611=""),"-",CC611))))</f>
        <v>3</v>
      </c>
      <c r="AA611" s="55"/>
      <c r="AB611" s="56"/>
      <c r="AC611" s="50" t="n">
        <f aca="false">AV611</f>
        <v>837</v>
      </c>
      <c r="AD611" s="50" t="n">
        <f aca="false">MAX(AV611,H611)</f>
        <v>837</v>
      </c>
      <c r="AE611" s="57"/>
      <c r="AF611" s="50" t="n">
        <f aca="false">IF(LEFT(Cockpit!$C$5,1)="A",H611,IF(Parameter!$E$30="MAX-Bestand",IF(CH611=1,CI611,IF(LEFT(Cockpit!$C$5,1)="B",AL611,MAX(AL611,H611))),ROUNDUP(AJ611,0)))</f>
        <v>277</v>
      </c>
      <c r="AG611" s="50" t="n">
        <f aca="false">IF(BZ611=1,0,ROUNDUP(AF611/BY611,0))</f>
        <v>1</v>
      </c>
      <c r="AH611" s="52" t="n">
        <f aca="false">IF(CQ611&gt;0,CQ611*MAX(1,AF611/X611),IF(BZ611=1,IF(AF611&lt;=0,0,CD611*MAX(1,IF(H611&gt;0,AF611/H611,1))),IF(R611&gt;0,AG611/R611,0))/MAX(0.1,N(Parameter!$M$21)))</f>
        <v>0.0192307692307692</v>
      </c>
      <c r="AI611" s="50" t="n">
        <f aca="false">AH611*CB611</f>
        <v>2.98076923076923</v>
      </c>
      <c r="AJ611" s="51" t="n">
        <f aca="false">IF(LEFT(Cockpit!$C$5,1)="A",H611,IF(CH611=1,(CK611+CI611)/2,IF(LEFT(Cockpit!$C$5,1)="B",(CK611+AL611)/2,MAX((CK611+AL611)/2,H611))))</f>
        <v>277</v>
      </c>
      <c r="AK611" s="50" t="n">
        <f aca="false">AJ611*G611</f>
        <v>16.62</v>
      </c>
      <c r="AL611" s="50" t="n">
        <f aca="false">ROUNDUP(CK611+MAX(CL611,2*(J611/IF(CG611&gt;0,CG611,MAX(0.1,N(Cockpit!$C$6)))-CK611)),0)</f>
        <v>837</v>
      </c>
      <c r="AM611" s="51" t="n">
        <f aca="false">IF(AI611&gt;0,J611/AI611,-1)</f>
        <v>214.038709677419</v>
      </c>
      <c r="AN611" s="51" t="n">
        <f aca="false">IF(AND(OR(CF611="L1",CF611="L23",CF611="LIFT"),AI611&gt;0),SUMIFS($AI$7:$AI$1843,$CF$7:$CF$1843,CF611,$AM$7:$AM$1843,"&gt;"&amp;AM611)+SUMIFS($AI$7:$AI$1843,$CF$7:$CF$1843,CF611,$AM$7:$AM$1843,AM611,$BW$7:$BW$1843,"&lt;="&amp;BW611),"")</f>
        <v>322.459249084249</v>
      </c>
      <c r="AO611" s="58" t="n">
        <f aca="false">IF(AN611="",0,MAX(0,MIN(1,(IF(CF611="L1",Parameter!$H$5,IF(CF611="L23",Parameter!$H$6+Parameter!$H$7,Parameter!$H$5+Parameter!$H$6+Parameter!$H$7))-(AN611-AI611))/AI611)))</f>
        <v>1</v>
      </c>
      <c r="AP611" s="50" t="n">
        <f aca="false">IF(LEFT(Cockpit!$I$5,1)="A",H611,IF(Parameter!$E$30="MAX-Bestand",IF(CH611=1,CI611,IF(LEFT(Cockpit!$I$5,1)="B",AV611,MAX(AV611,H611))),ROUNDUP(AT611,0)))</f>
        <v>437</v>
      </c>
      <c r="AQ611" s="50" t="n">
        <f aca="false">IF(BZ611=1,0,ROUNDUP(AP611/BY611,0))</f>
        <v>1</v>
      </c>
      <c r="AR611" s="52" t="n">
        <f aca="false">IF(CQ611&gt;0,CQ611*MAX(1,AP611/X611),IF(BZ611=1,IF(AP611&lt;=0,0,CD611*MAX(1,IF(H611&gt;0,AP611/H611,1))),IF(R611&gt;0,AQ611/R611,0))/MAX(0.1,N(Parameter!$M$21)))</f>
        <v>0.0192307692307692</v>
      </c>
      <c r="AS611" s="50" t="n">
        <f aca="false">AR611*CB611</f>
        <v>2.98076923076923</v>
      </c>
      <c r="AT611" s="51" t="n">
        <f aca="false">IF(LEFT(Cockpit!$I$5,1)="A",H611,IF(CH611=1,(CK611+CI611)/2,IF(LEFT(Cockpit!$I$5,1)="B",(CK611+AV611)/2,MAX((CK611+AV611)/2,H611))))</f>
        <v>437</v>
      </c>
      <c r="AU611" s="50" t="n">
        <f aca="false">AT611*G611</f>
        <v>26.22</v>
      </c>
      <c r="AV611" s="50" t="n">
        <f aca="false">ROUNDUP(CK611+MAX(CL611,2*(J611/IF(CG611&gt;0,CG611,MAX(0.1,N(Cockpit!$I$6)))-CK611)),0)</f>
        <v>837</v>
      </c>
      <c r="AW611" s="51" t="n">
        <f aca="false">IF(AS611&gt;0,J611/AS611,-1)</f>
        <v>214.038709677419</v>
      </c>
      <c r="AX611" s="51" t="n">
        <f aca="false">IF(AND(OR(CF611="L1",CF611="L23",CF611="LIFT"),AS611&gt;0),SUMIFS($AS$7:$AS$1843,$CF$7:$CF$1843,CF611,$AW$7:$AW$1843,"&gt;"&amp;AW611)+SUMIFS($AS$7:$AS$1843,$CF$7:$CF$1843,CF611,$AW$7:$AW$1843,AW611,$BW$7:$BW$1843,"&lt;="&amp;BW611),"")</f>
        <v>431.634615384615</v>
      </c>
      <c r="AY611" s="58" t="n">
        <f aca="false">IF(AX611="",0,MAX(0,MIN(1,(IF(CF611="L1",Parameter!$H$5,IF(CF611="L23",Parameter!$H$6+Parameter!$H$7,Parameter!$H$5+Parameter!$H$6+Parameter!$H$7))-(AX611-AS611))/AS611)))</f>
        <v>1</v>
      </c>
      <c r="AZ611" s="50" t="n">
        <f aca="false">IF(LEFT(Cockpit!$O$5,1)="A",H611,IF(Parameter!$E$30="MAX-Bestand",IF(CH611=1,CI611,IF(LEFT(Cockpit!$O$5,1)="B",BF611,MAX(BF611,H611))),ROUNDUP(BD611,0)))</f>
        <v>437</v>
      </c>
      <c r="BA611" s="50" t="n">
        <f aca="false">IF(BZ611=1,0,ROUNDUP(AZ611/BY611,0))</f>
        <v>1</v>
      </c>
      <c r="BB611" s="52" t="n">
        <f aca="false">IF(CQ611&gt;0,CQ611*MAX(1,AZ611/X611),IF(BZ611=1,IF(AZ611&lt;=0,0,CD611*MAX(1,IF(H611&gt;0,AZ611/H611,1))),IF(R611&gt;0,BA611/R611,0))/MAX(0.1,N(Parameter!$M$21)))</f>
        <v>0.0192307692307692</v>
      </c>
      <c r="BC611" s="50" t="n">
        <f aca="false">BB611*CB611</f>
        <v>2.98076923076923</v>
      </c>
      <c r="BD611" s="51" t="n">
        <f aca="false">IF(LEFT(Cockpit!$O$5,1)="A",H611,IF(CH611=1,(CK611+CI611)/2,IF(LEFT(Cockpit!$O$5,1)="B",(CK611+BF611)/2,MAX((CK611+BF611)/2,H611))))</f>
        <v>437</v>
      </c>
      <c r="BE611" s="50" t="n">
        <f aca="false">BD611*G611</f>
        <v>26.22</v>
      </c>
      <c r="BF611" s="50" t="n">
        <f aca="false">ROUNDUP(CK611+MAX(CL611,2*(J611/IF(CG611&gt;0,CG611,MAX(0.1,N(Cockpit!$O$6)))-CK611)),0)</f>
        <v>837</v>
      </c>
      <c r="BG611" s="51" t="n">
        <f aca="false">IF(BC611&gt;0,J611/BC611,-1)</f>
        <v>214.038709677419</v>
      </c>
      <c r="BH611" s="51" t="n">
        <f aca="false">IF(AND(OR(CF611="L1",CF611="L23",CF611="LIFT"),BC611&gt;0),SUMIFS($BC$7:$BC$1843,$CF$7:$CF$1843,CF611,$BG$7:$BG$1843,"&gt;"&amp;BG611)+SUMIFS($BC$7:$BC$1843,$CF$7:$CF$1843,CF611,$BG$7:$BG$1843,BG611,$BW$7:$BW$1843,"&lt;="&amp;BW611),"")</f>
        <v>407.546703296703</v>
      </c>
      <c r="BI611" s="58" t="n">
        <f aca="false">IF(BH611="",0,MAX(0,MIN(1,(IF(CF611="L1",Parameter!$H$5,IF(CF611="L23",Parameter!$H$6+Parameter!$H$7,Parameter!$H$5+Parameter!$H$6+Parameter!$H$7))-(BH611-BC611))/BC611)))</f>
        <v>1</v>
      </c>
      <c r="BJ611" s="48" t="str">
        <f aca="false">IF(AI611&lt;=0,"",IF(CF611="Aussen","Aussenlager",IF(CF611="-","Nicht im Lift",IF(AO611&gt;=1,"Lift",IF(AO611&lt;=0,"Aussenlager","teilweise")))))</f>
        <v>Lift</v>
      </c>
      <c r="BK611" s="48" t="str">
        <f aca="false">IF(AS611&lt;=0,"",IF(CF611="Aussen","Aussenlager",IF(CF611="-","Nicht im Lift",IF(AY611&gt;=1,"Lift",IF(AY611&lt;=0,"Aussenlager","teilweise")))))</f>
        <v>Lift</v>
      </c>
      <c r="BL611" s="48" t="str">
        <f aca="false">IF(BC611&lt;=0,"",IF(CF611="Aussen","Aussenlager",IF(CF611="-","Nicht im Lift",IF(BI611&gt;=1,"Lift",IF(BI611&lt;=0,"Aussenlager","teilweise")))))</f>
        <v>Lift</v>
      </c>
      <c r="BM611" s="48" t="str">
        <f aca="false">IF(A611="","",IF(BV611=1,"Neu; ","")&amp;IF(AND(BV611=0,BQ611&lt;0),"negativer Bestand (Export "&amp;BQ611&amp;"); ","")&amp;IF(J611&lt;=0,"Kein Verbrauch; ","")&amp;IF(CQ611&gt;0,"Lift "&amp;W611&amp;" lt. Liftbericht (Fach "&amp;X611&amp;" Stk); ",IF(CA611=1,"Gebinde geschätzt ("&amp;T611&amp;"); ",IF(BZ611=1,"Lose – Tablare geschätzt; ","")))&amp;IF(H611&gt;AV611,"Überbestand "&amp;ROUND(H611-AV611,0)&amp;" Stk / CHF "&amp;ROUND((H611-AV611)*G611,0)&amp;"; ","")&amp;IF(AND(CH611=1,CI611&lt;CJ611),"MAX &lt; MB+LG; ","")&amp;IF(AND(CP611&gt;0,CO611*10&gt;CP611),"zu hoch für Tablar; ","")&amp;IF(AND(BV611=0,OR(CH611=1,AA611&lt;&gt;"",U611&lt;&gt;"",V611&lt;&gt;"",AB611&lt;&gt;"")),"manuell übersteuert; ","")&amp;IF(AND(BZ611=0,R611=0),"Gebinde unbekannt / Stellmass fehlt; ","")&amp;IF(AND(BZ611=0,N(V611)&lt;=0,N(Q611)&lt;=0),"Menge pro Gebinde fehlt (Ist = 1 Gebinde); ","")&amp;BU611)</f>
        <v/>
      </c>
      <c r="BN611" s="48"/>
      <c r="BO611" s="48"/>
      <c r="BP611" s="55"/>
      <c r="BQ611" s="50" t="n">
        <v>81</v>
      </c>
      <c r="BR611" s="50" t="n">
        <v>196</v>
      </c>
      <c r="BS611" s="49" t="n">
        <v>4.86000000000001</v>
      </c>
      <c r="BT611" s="50" t="n">
        <v>638</v>
      </c>
      <c r="BU611" s="48"/>
      <c r="BV611" s="53" t="n">
        <v>0</v>
      </c>
      <c r="BW611" s="53" t="n">
        <v>611</v>
      </c>
      <c r="BX611" s="48" t="str">
        <f aca="false">IF(U611&lt;&gt;"",UPPER(TRIM(U611)),IF(CA611=1,UPPER(VLOOKUP(T611,Parameter!$I$27:$K$29,2,0)),IF(P611="","LOSE",P611)))</f>
        <v>S33</v>
      </c>
      <c r="BY611" s="50" t="n">
        <f aca="false">IF(BX611="LOSE",1,IF(N(V611)&gt;0,V611,IF(CA611=1,MAX(1,N(VLOOKUP(T611,Parameter!$I$27:$K$29,3,0)),H611,N(N611)),IF(N(Q611)&gt;0,Q611,MAX(1,H611)))))</f>
        <v>605</v>
      </c>
      <c r="BZ611" s="53" t="n">
        <f aca="false">IF(BX611="LOSE",1,0)</f>
        <v>0</v>
      </c>
      <c r="CA611" s="53" t="n">
        <f aca="false">IF(AND(U611="",OR(P611="",P611="LOSE"),T611&lt;&gt;"",N(S611)&lt;=0,ISNUMBER(MATCH(T611,Parameter!$I$27:$I$29,0))),1,0)</f>
        <v>0</v>
      </c>
      <c r="CB611" s="53" t="n">
        <f aca="false">IF(CQ611&gt;0,INDEX(Parameter!$H$5:$H$7,W611)/INDEX(Parameter!$E$5:$E$7,W611),IF(AND(BZ611=0,N(IFERROR(VLOOKUP(BX611,'Gebinde-Kategorie'!$A$5:$N$45,14,0),0))&gt;0),VLOOKUP(BX611,'Gebinde-Kategorie'!$A$5:$N$45,14,0)*10+Parameter!$M$23,Parameter!$M$24))</f>
        <v>155</v>
      </c>
      <c r="CC611" s="48" t="str">
        <f aca="false">IF(AND(Parameter!$B$19="Ja",E611&lt;&gt;"",ISNUMBER(MATCH(E611,Parameter!$I$35:$I$52,0))),VLOOKUP(E611,Parameter!$I$35:$J$52,2,0),IFERROR(VLOOKUP(D611,Parameter!$A$35:$C$64,2,0),"Nein"))</f>
        <v>2+3</v>
      </c>
      <c r="CD611" s="52" t="n">
        <f aca="false">IF(BZ611=0,0,IF(N(S611)&gt;0,S611,IFERROR(VLOOKUP(D611,Parameter!$A$35:$C$64,3,0)+0,0)))</f>
        <v>0</v>
      </c>
      <c r="CE611" s="48" t="n">
        <f aca="false">IF(AA611&lt;&gt;"",AA611,Z611)</f>
        <v>3</v>
      </c>
      <c r="CF611" s="48" t="str">
        <f aca="false">IF(OR(CE611=1,CE611=2,CE611=3),IF(Parameter!$E$27="Ja","LIFT",IF(CE611=1,"L1","L23")),IF(CE611="Aussen","Aussen","-"))</f>
        <v>LIFT</v>
      </c>
      <c r="CG611" s="59" t="n">
        <f aca="false">IF(N(AB611)&gt;0,AB611,0)</f>
        <v>0</v>
      </c>
      <c r="CH611" s="53" t="n">
        <f aca="false">IF(ISNUMBER(AE611),1,0)</f>
        <v>0</v>
      </c>
      <c r="CI611" s="50" t="n">
        <f aca="false">N(AE611)</f>
        <v>0</v>
      </c>
      <c r="CJ611" s="50" t="n">
        <f aca="false">N(M611)+N(N611)</f>
        <v>837</v>
      </c>
      <c r="CK611" s="50" t="n">
        <f aca="false">N(M611)</f>
        <v>37</v>
      </c>
      <c r="CL611" s="50" t="n">
        <f aca="false">N(N611)</f>
        <v>800</v>
      </c>
      <c r="CM611" s="50" t="n">
        <f aca="false">ROUNDUP(H611/BY611,0)</f>
        <v>1</v>
      </c>
      <c r="CN611" s="50" t="n">
        <f aca="false">ROUNDUP(CI611/BY611,0)</f>
        <v>0</v>
      </c>
      <c r="CO611" s="53" t="n">
        <f aca="false">IF(BZ611=1,0,IFERROR(VLOOKUP(BX611,'Gebinde-Kategorie'!$A$5:$N$45,5,0)+0,0))</f>
        <v>8</v>
      </c>
      <c r="CP611" s="53" t="n">
        <f aca="false">IFERROR(IF(OR(CE611=1,CE611=2,CE611=3),N(INDEX(Parameter!$I$5:$I$7,CE611)),0),0)</f>
        <v>0</v>
      </c>
      <c r="CQ611" s="52" t="n">
        <f aca="false">IF(AND(Parameter!$B$21="Ja",ISNUMBER(W611),N(X611)&gt;0),IFERROR(N(INDEX(Parameter!$L$5:$L$7,W611))*INDEX(Parameter!$E$5:$E$7,W611)*X611/SUMIFS($X$7:$X$1843,$W$7:$W$1843,W611),0),0)</f>
        <v>0</v>
      </c>
    </row>
    <row r="612" customFormat="false" ht="15" hidden="false" customHeight="false" outlineLevel="0" collapsed="false">
      <c r="A612" s="48" t="s">
        <v>1270</v>
      </c>
      <c r="B612" s="48" t="s">
        <v>1271</v>
      </c>
      <c r="C612" s="48" t="s">
        <v>173</v>
      </c>
      <c r="D612" s="48" t="s">
        <v>193</v>
      </c>
      <c r="E612" s="48" t="s">
        <v>194</v>
      </c>
      <c r="F612" s="48" t="s">
        <v>227</v>
      </c>
      <c r="G612" s="49" t="n">
        <v>0.05</v>
      </c>
      <c r="H612" s="50" t="n">
        <f aca="false">MAX(0,IF(AND(Parameter!$B$21="Ja",ISNUMBER(Y612)),Y612,IF(Parameter!$B$20="Jahresanfang 2025 + Export",BR612+BQ612,BQ612)))</f>
        <v>100</v>
      </c>
      <c r="I612" s="50" t="n">
        <f aca="false">H612*G612</f>
        <v>5</v>
      </c>
      <c r="J612" s="50" t="n">
        <f aca="false">BT612*Parameter!$B$18</f>
        <v>0</v>
      </c>
      <c r="K612" s="51" t="n">
        <v>52</v>
      </c>
      <c r="L612" s="52" t="n">
        <v>0</v>
      </c>
      <c r="M612" s="50" t="n">
        <v>0</v>
      </c>
      <c r="N612" s="50" t="n">
        <v>10</v>
      </c>
      <c r="O612" s="53" t="n">
        <v>14</v>
      </c>
      <c r="P612" s="48" t="s">
        <v>435</v>
      </c>
      <c r="Q612" s="50" t="n">
        <v>100</v>
      </c>
      <c r="R612" s="53" t="n">
        <f aca="false">IF(BZ612=1,0,IFERROR(VLOOKUP(BX612,'Gebinde-Kategorie'!$A$5:$N$45,13,0)+0,0))</f>
        <v>140</v>
      </c>
      <c r="S612" s="54"/>
      <c r="T612" s="55"/>
      <c r="U612" s="55"/>
      <c r="V612" s="55"/>
      <c r="W612" s="48"/>
      <c r="X612" s="50"/>
      <c r="Y612" s="50"/>
      <c r="Z612" s="48" t="n">
        <f aca="false">IF(A612="","",IF(AND(Parameter!$B$21="Ja",ISNUMBER(W612)),W612,IF(CC612="2+3",IF(ISNUMBER(SEARCH("grosser Artikel",BU612)),2,IFERROR(VLOOKUP(BX612,Parameter!$F$35:$G$64,2,0),2)),IF(OR(CC612="Nein",CC612=""),"-",CC612))))</f>
        <v>3</v>
      </c>
      <c r="AA612" s="55"/>
      <c r="AB612" s="56"/>
      <c r="AC612" s="50" t="n">
        <f aca="false">AV612</f>
        <v>10</v>
      </c>
      <c r="AD612" s="50" t="n">
        <f aca="false">MAX(AV612,H612)</f>
        <v>100</v>
      </c>
      <c r="AE612" s="57"/>
      <c r="AF612" s="50" t="n">
        <f aca="false">IF(LEFT(Cockpit!$C$5,1)="A",H612,IF(Parameter!$E$30="MAX-Bestand",IF(CH612=1,CI612,IF(LEFT(Cockpit!$C$5,1)="B",AL612,MAX(AL612,H612))),ROUNDUP(AJ612,0)))</f>
        <v>100</v>
      </c>
      <c r="AG612" s="50" t="n">
        <f aca="false">IF(BZ612=1,0,ROUNDUP(AF612/BY612,0))</f>
        <v>1</v>
      </c>
      <c r="AH612" s="52" t="n">
        <f aca="false">IF(CQ612&gt;0,CQ612*MAX(1,AF612/X612),IF(BZ612=1,IF(AF612&lt;=0,0,CD612*MAX(1,IF(H612&gt;0,AF612/H612,1))),IF(R612&gt;0,AG612/R612,0))/MAX(0.1,N(Parameter!$M$21)))</f>
        <v>0.00714285714285714</v>
      </c>
      <c r="AI612" s="50" t="n">
        <f aca="false">AH612*CB612</f>
        <v>1.10714285714286</v>
      </c>
      <c r="AJ612" s="51" t="n">
        <f aca="false">IF(LEFT(Cockpit!$C$5,1)="A",H612,IF(CH612=1,(CK612+CI612)/2,IF(LEFT(Cockpit!$C$5,1)="B",(CK612+AL612)/2,MAX((CK612+AL612)/2,H612))))</f>
        <v>100</v>
      </c>
      <c r="AK612" s="50" t="n">
        <f aca="false">AJ612*G612</f>
        <v>5</v>
      </c>
      <c r="AL612" s="50" t="n">
        <f aca="false">ROUNDUP(CK612+MAX(CL612,2*(J612/IF(CG612&gt;0,CG612,MAX(0.1,N(Cockpit!$C$6)))-CK612)),0)</f>
        <v>10</v>
      </c>
      <c r="AM612" s="51" t="n">
        <f aca="false">IF(AI612&gt;0,J612/AI612,-1)</f>
        <v>0</v>
      </c>
      <c r="AN612" s="51" t="n">
        <f aca="false">IF(AND(OR(CF612="L1",CF612="L23",CF612="LIFT"),AI612&gt;0),SUMIFS($AI$7:$AI$1843,$CF$7:$CF$1843,CF612,$AM$7:$AM$1843,"&gt;"&amp;AM612)+SUMIFS($AI$7:$AI$1843,$CF$7:$CF$1843,CF612,$AM$7:$AM$1843,AM612,$BW$7:$BW$1843,"&lt;="&amp;BW612),"")</f>
        <v>28536.0729703442</v>
      </c>
      <c r="AO612" s="58" t="n">
        <f aca="false">IF(AN612="",0,MAX(0,MIN(1,(IF(CF612="L1",Parameter!$H$5,IF(CF612="L23",Parameter!$H$6+Parameter!$H$7,Parameter!$H$5+Parameter!$H$6+Parameter!$H$7))-(AN612-AI612))/AI612)))</f>
        <v>1</v>
      </c>
      <c r="AP612" s="50" t="n">
        <f aca="false">IF(LEFT(Cockpit!$I$5,1)="A",H612,IF(Parameter!$E$30="MAX-Bestand",IF(CH612=1,CI612,IF(LEFT(Cockpit!$I$5,1)="B",AV612,MAX(AV612,H612))),ROUNDUP(AT612,0)))</f>
        <v>100</v>
      </c>
      <c r="AQ612" s="50" t="n">
        <f aca="false">IF(BZ612=1,0,ROUNDUP(AP612/BY612,0))</f>
        <v>1</v>
      </c>
      <c r="AR612" s="52" t="n">
        <f aca="false">IF(CQ612&gt;0,CQ612*MAX(1,AP612/X612),IF(BZ612=1,IF(AP612&lt;=0,0,CD612*MAX(1,IF(H612&gt;0,AP612/H612,1))),IF(R612&gt;0,AQ612/R612,0))/MAX(0.1,N(Parameter!$M$21)))</f>
        <v>0.00714285714285714</v>
      </c>
      <c r="AS612" s="50" t="n">
        <f aca="false">AR612*CB612</f>
        <v>1.10714285714286</v>
      </c>
      <c r="AT612" s="51" t="n">
        <f aca="false">IF(LEFT(Cockpit!$I$5,1)="A",H612,IF(CH612=1,(CK612+CI612)/2,IF(LEFT(Cockpit!$I$5,1)="B",(CK612+AV612)/2,MAX((CK612+AV612)/2,H612))))</f>
        <v>100</v>
      </c>
      <c r="AU612" s="50" t="n">
        <f aca="false">AT612*G612</f>
        <v>5</v>
      </c>
      <c r="AV612" s="50" t="n">
        <f aca="false">ROUNDUP(CK612+MAX(CL612,2*(J612/IF(CG612&gt;0,CG612,MAX(0.1,N(Cockpit!$I$6)))-CK612)),0)</f>
        <v>10</v>
      </c>
      <c r="AW612" s="51" t="n">
        <f aca="false">IF(AS612&gt;0,J612/AS612,-1)</f>
        <v>0</v>
      </c>
      <c r="AX612" s="51" t="n">
        <f aca="false">IF(AND(OR(CF612="L1",CF612="L23",CF612="LIFT"),AS612&gt;0),SUMIFS($AS$7:$AS$1843,$CF$7:$CF$1843,CF612,$AW$7:$AW$1843,"&gt;"&amp;AW612)+SUMIFS($AS$7:$AS$1843,$CF$7:$CF$1843,CF612,$AW$7:$AW$1843,AW612,$BW$7:$BW$1843,"&lt;="&amp;BW612),"")</f>
        <v>33889.2216117216</v>
      </c>
      <c r="AY612" s="58" t="n">
        <f aca="false">IF(AX612="",0,MAX(0,MIN(1,(IF(CF612="L1",Parameter!$H$5,IF(CF612="L23",Parameter!$H$6+Parameter!$H$7,Parameter!$H$5+Parameter!$H$6+Parameter!$H$7))-(AX612-AS612))/AS612)))</f>
        <v>1</v>
      </c>
      <c r="AZ612" s="50" t="n">
        <f aca="false">IF(LEFT(Cockpit!$O$5,1)="A",H612,IF(Parameter!$E$30="MAX-Bestand",IF(CH612=1,CI612,IF(LEFT(Cockpit!$O$5,1)="B",BF612,MAX(BF612,H612))),ROUNDUP(BD612,0)))</f>
        <v>5</v>
      </c>
      <c r="BA612" s="50" t="n">
        <f aca="false">IF(BZ612=1,0,ROUNDUP(AZ612/BY612,0))</f>
        <v>1</v>
      </c>
      <c r="BB612" s="52" t="n">
        <f aca="false">IF(CQ612&gt;0,CQ612*MAX(1,AZ612/X612),IF(BZ612=1,IF(AZ612&lt;=0,0,CD612*MAX(1,IF(H612&gt;0,AZ612/H612,1))),IF(R612&gt;0,BA612/R612,0))/MAX(0.1,N(Parameter!$M$21)))</f>
        <v>0.00714285714285714</v>
      </c>
      <c r="BC612" s="50" t="n">
        <f aca="false">BB612*CB612</f>
        <v>1.10714285714286</v>
      </c>
      <c r="BD612" s="51" t="n">
        <f aca="false">IF(LEFT(Cockpit!$O$5,1)="A",H612,IF(CH612=1,(CK612+CI612)/2,IF(LEFT(Cockpit!$O$5,1)="B",(CK612+BF612)/2,MAX((CK612+BF612)/2,H612))))</f>
        <v>5</v>
      </c>
      <c r="BE612" s="50" t="n">
        <f aca="false">BD612*G612</f>
        <v>0.25</v>
      </c>
      <c r="BF612" s="50" t="n">
        <f aca="false">ROUNDUP(CK612+MAX(CL612,2*(J612/IF(CG612&gt;0,CG612,MAX(0.1,N(Cockpit!$O$6)))-CK612)),0)</f>
        <v>10</v>
      </c>
      <c r="BG612" s="51" t="n">
        <f aca="false">IF(BC612&gt;0,J612/BC612,-1)</f>
        <v>0</v>
      </c>
      <c r="BH612" s="51" t="n">
        <f aca="false">IF(AND(OR(CF612="L1",CF612="L23",CF612="LIFT"),BC612&gt;0),SUMIFS($BC$7:$BC$1843,$CF$7:$CF$1843,CF612,$BG$7:$BG$1843,"&gt;"&amp;BG612)+SUMIFS($BC$7:$BC$1843,$CF$7:$CF$1843,CF612,$BG$7:$BG$1843,BG612,$BW$7:$BW$1843,"&lt;="&amp;BW612),"")</f>
        <v>27961.5264403675</v>
      </c>
      <c r="BI612" s="58" t="n">
        <f aca="false">IF(BH612="",0,MAX(0,MIN(1,(IF(CF612="L1",Parameter!$H$5,IF(CF612="L23",Parameter!$H$6+Parameter!$H$7,Parameter!$H$5+Parameter!$H$6+Parameter!$H$7))-(BH612-BC612))/BC612)))</f>
        <v>1</v>
      </c>
      <c r="BJ612" s="48" t="str">
        <f aca="false">IF(AI612&lt;=0,"",IF(CF612="Aussen","Aussenlager",IF(CF612="-","Nicht im Lift",IF(AO612&gt;=1,"Lift",IF(AO612&lt;=0,"Aussenlager","teilweise")))))</f>
        <v>Lift</v>
      </c>
      <c r="BK612" s="48" t="str">
        <f aca="false">IF(AS612&lt;=0,"",IF(CF612="Aussen","Aussenlager",IF(CF612="-","Nicht im Lift",IF(AY612&gt;=1,"Lift",IF(AY612&lt;=0,"Aussenlager","teilweise")))))</f>
        <v>Lift</v>
      </c>
      <c r="BL612" s="48" t="str">
        <f aca="false">IF(BC612&lt;=0,"",IF(CF612="Aussen","Aussenlager",IF(CF612="-","Nicht im Lift",IF(BI612&gt;=1,"Lift",IF(BI612&lt;=0,"Aussenlager","teilweise")))))</f>
        <v>Lift</v>
      </c>
      <c r="BM612" s="48" t="str">
        <f aca="false">IF(A612="","",IF(BV612=1,"Neu; ","")&amp;IF(AND(BV612=0,BQ612&lt;0),"negativer Bestand (Export "&amp;BQ612&amp;"); ","")&amp;IF(J612&lt;=0,"Kein Verbrauch; ","")&amp;IF(CQ612&gt;0,"Lift "&amp;W612&amp;" lt. Liftbericht (Fach "&amp;X612&amp;" Stk); ",IF(CA612=1,"Gebinde geschätzt ("&amp;T612&amp;"); ",IF(BZ612=1,"Lose – Tablare geschätzt; ","")))&amp;IF(H612&gt;AV612,"Überbestand "&amp;ROUND(H612-AV612,0)&amp;" Stk / CHF "&amp;ROUND((H612-AV612)*G612,0)&amp;"; ","")&amp;IF(AND(CH612=1,CI612&lt;CJ612),"MAX &lt; MB+LG; ","")&amp;IF(AND(CP612&gt;0,CO612*10&gt;CP612),"zu hoch für Tablar; ","")&amp;IF(AND(BV612=0,OR(CH612=1,AA612&lt;&gt;"",U612&lt;&gt;"",V612&lt;&gt;"",AB612&lt;&gt;"")),"manuell übersteuert; ","")&amp;IF(AND(BZ612=0,R612=0),"Gebinde unbekannt / Stellmass fehlt; ","")&amp;IF(AND(BZ612=0,N(V612)&lt;=0,N(Q612)&lt;=0),"Menge pro Gebinde fehlt (Ist = 1 Gebinde); ","")&amp;BU612)</f>
        <v>Kein Verbrauch; Überbestand 90 Stk / CHF 5; </v>
      </c>
      <c r="BN612" s="48"/>
      <c r="BO612" s="48"/>
      <c r="BP612" s="55"/>
      <c r="BQ612" s="50" t="n">
        <v>96</v>
      </c>
      <c r="BR612" s="50" t="n">
        <v>4</v>
      </c>
      <c r="BS612" s="49" t="n">
        <v>4.8</v>
      </c>
      <c r="BT612" s="50" t="n">
        <v>0</v>
      </c>
      <c r="BU612" s="48"/>
      <c r="BV612" s="53" t="n">
        <v>0</v>
      </c>
      <c r="BW612" s="53" t="n">
        <v>612</v>
      </c>
      <c r="BX612" s="48" t="str">
        <f aca="false">IF(U612&lt;&gt;"",UPPER(TRIM(U612)),IF(CA612=1,UPPER(VLOOKUP(T612,Parameter!$I$27:$K$29,2,0)),IF(P612="","LOSE",P612)))</f>
        <v>S22</v>
      </c>
      <c r="BY612" s="50" t="n">
        <f aca="false">IF(BX612="LOSE",1,IF(N(V612)&gt;0,V612,IF(CA612=1,MAX(1,N(VLOOKUP(T612,Parameter!$I$27:$K$29,3,0)),H612,N(N612)),IF(N(Q612)&gt;0,Q612,MAX(1,H612)))))</f>
        <v>100</v>
      </c>
      <c r="BZ612" s="53" t="n">
        <f aca="false">IF(BX612="LOSE",1,0)</f>
        <v>0</v>
      </c>
      <c r="CA612" s="53" t="n">
        <f aca="false">IF(AND(U612="",OR(P612="",P612="LOSE"),T612&lt;&gt;"",N(S612)&lt;=0,ISNUMBER(MATCH(T612,Parameter!$I$27:$I$29,0))),1,0)</f>
        <v>0</v>
      </c>
      <c r="CB612" s="53" t="n">
        <f aca="false">IF(CQ612&gt;0,INDEX(Parameter!$H$5:$H$7,W612)/INDEX(Parameter!$E$5:$E$7,W612),IF(AND(BZ612=0,N(IFERROR(VLOOKUP(BX612,'Gebinde-Kategorie'!$A$5:$N$45,14,0),0))&gt;0),VLOOKUP(BX612,'Gebinde-Kategorie'!$A$5:$N$45,14,0)*10+Parameter!$M$23,Parameter!$M$24))</f>
        <v>155</v>
      </c>
      <c r="CC612" s="48" t="str">
        <f aca="false">IF(AND(Parameter!$B$19="Ja",E612&lt;&gt;"",ISNUMBER(MATCH(E612,Parameter!$I$35:$I$52,0))),VLOOKUP(E612,Parameter!$I$35:$J$52,2,0),IFERROR(VLOOKUP(D612,Parameter!$A$35:$C$64,2,0),"Nein"))</f>
        <v>2+3</v>
      </c>
      <c r="CD612" s="52" t="n">
        <f aca="false">IF(BZ612=0,0,IF(N(S612)&gt;0,S612,IFERROR(VLOOKUP(D612,Parameter!$A$35:$C$64,3,0)+0,0)))</f>
        <v>0</v>
      </c>
      <c r="CE612" s="48" t="n">
        <f aca="false">IF(AA612&lt;&gt;"",AA612,Z612)</f>
        <v>3</v>
      </c>
      <c r="CF612" s="48" t="str">
        <f aca="false">IF(OR(CE612=1,CE612=2,CE612=3),IF(Parameter!$E$27="Ja","LIFT",IF(CE612=1,"L1","L23")),IF(CE612="Aussen","Aussen","-"))</f>
        <v>LIFT</v>
      </c>
      <c r="CG612" s="59" t="n">
        <f aca="false">IF(N(AB612)&gt;0,AB612,0)</f>
        <v>0</v>
      </c>
      <c r="CH612" s="53" t="n">
        <f aca="false">IF(ISNUMBER(AE612),1,0)</f>
        <v>0</v>
      </c>
      <c r="CI612" s="50" t="n">
        <f aca="false">N(AE612)</f>
        <v>0</v>
      </c>
      <c r="CJ612" s="50" t="n">
        <f aca="false">N(M612)+N(N612)</f>
        <v>10</v>
      </c>
      <c r="CK612" s="50" t="n">
        <f aca="false">N(M612)</f>
        <v>0</v>
      </c>
      <c r="CL612" s="50" t="n">
        <f aca="false">N(N612)</f>
        <v>10</v>
      </c>
      <c r="CM612" s="50" t="n">
        <f aca="false">ROUNDUP(H612/BY612,0)</f>
        <v>1</v>
      </c>
      <c r="CN612" s="50" t="n">
        <f aca="false">ROUNDUP(CI612/BY612,0)</f>
        <v>0</v>
      </c>
      <c r="CO612" s="53" t="n">
        <f aca="false">IF(BZ612=1,0,IFERROR(VLOOKUP(BX612,'Gebinde-Kategorie'!$A$5:$N$45,5,0)+0,0))</f>
        <v>8</v>
      </c>
      <c r="CP612" s="53" t="n">
        <f aca="false">IFERROR(IF(OR(CE612=1,CE612=2,CE612=3),N(INDEX(Parameter!$I$5:$I$7,CE612)),0),0)</f>
        <v>0</v>
      </c>
      <c r="CQ612" s="52" t="n">
        <f aca="false">IF(AND(Parameter!$B$21="Ja",ISNUMBER(W612),N(X612)&gt;0),IFERROR(N(INDEX(Parameter!$L$5:$L$7,W612))*INDEX(Parameter!$E$5:$E$7,W612)*X612/SUMIFS($X$7:$X$1843,$W$7:$W$1843,W612),0),0)</f>
        <v>0</v>
      </c>
    </row>
    <row r="613" customFormat="false" ht="15" hidden="false" customHeight="false" outlineLevel="0" collapsed="false">
      <c r="A613" s="48" t="s">
        <v>1272</v>
      </c>
      <c r="B613" s="48" t="s">
        <v>1273</v>
      </c>
      <c r="C613" s="48" t="s">
        <v>173</v>
      </c>
      <c r="D613" s="48" t="s">
        <v>193</v>
      </c>
      <c r="E613" s="48"/>
      <c r="F613" s="48" t="s">
        <v>227</v>
      </c>
      <c r="G613" s="49" t="n">
        <v>2.38</v>
      </c>
      <c r="H613" s="50" t="n">
        <f aca="false">MAX(0,IF(AND(Parameter!$B$21="Ja",ISNUMBER(Y613)),Y613,IF(Parameter!$B$20="Jahresanfang 2025 + Export",BR613+BQ613,BQ613)))</f>
        <v>110</v>
      </c>
      <c r="I613" s="50" t="n">
        <f aca="false">H613*G613</f>
        <v>261.8</v>
      </c>
      <c r="J613" s="50" t="n">
        <f aca="false">BT613*Parameter!$B$18</f>
        <v>0</v>
      </c>
      <c r="K613" s="51" t="n">
        <v>109</v>
      </c>
      <c r="L613" s="52" t="n">
        <v>0</v>
      </c>
      <c r="M613" s="50" t="n">
        <v>0</v>
      </c>
      <c r="N613" s="50" t="n">
        <v>50</v>
      </c>
      <c r="O613" s="53" t="n">
        <v>28</v>
      </c>
      <c r="P613" s="48" t="s">
        <v>485</v>
      </c>
      <c r="Q613" s="50" t="n">
        <v>110</v>
      </c>
      <c r="R613" s="53" t="n">
        <f aca="false">IF(BZ613=1,0,IFERROR(VLOOKUP(BX613,'Gebinde-Kategorie'!$A$5:$N$45,13,0)+0,0))</f>
        <v>52</v>
      </c>
      <c r="S613" s="54"/>
      <c r="T613" s="55"/>
      <c r="U613" s="55"/>
      <c r="V613" s="55"/>
      <c r="W613" s="48"/>
      <c r="X613" s="50"/>
      <c r="Y613" s="50"/>
      <c r="Z613" s="48" t="n">
        <f aca="false">IF(A613="","",IF(AND(Parameter!$B$21="Ja",ISNUMBER(W613)),W613,IF(CC613="2+3",IF(ISNUMBER(SEARCH("grosser Artikel",BU613)),2,IFERROR(VLOOKUP(BX613,Parameter!$F$35:$G$64,2,0),2)),IF(OR(CC613="Nein",CC613=""),"-",CC613))))</f>
        <v>3</v>
      </c>
      <c r="AA613" s="55"/>
      <c r="AB613" s="56"/>
      <c r="AC613" s="50" t="n">
        <f aca="false">AV613</f>
        <v>50</v>
      </c>
      <c r="AD613" s="50" t="n">
        <f aca="false">MAX(AV613,H613)</f>
        <v>110</v>
      </c>
      <c r="AE613" s="57"/>
      <c r="AF613" s="50" t="n">
        <f aca="false">IF(LEFT(Cockpit!$C$5,1)="A",H613,IF(Parameter!$E$30="MAX-Bestand",IF(CH613=1,CI613,IF(LEFT(Cockpit!$C$5,1)="B",AL613,MAX(AL613,H613))),ROUNDUP(AJ613,0)))</f>
        <v>110</v>
      </c>
      <c r="AG613" s="50" t="n">
        <f aca="false">IF(BZ613=1,0,ROUNDUP(AF613/BY613,0))</f>
        <v>1</v>
      </c>
      <c r="AH613" s="52" t="n">
        <f aca="false">IF(CQ613&gt;0,CQ613*MAX(1,AF613/X613),IF(BZ613=1,IF(AF613&lt;=0,0,CD613*MAX(1,IF(H613&gt;0,AF613/H613,1))),IF(R613&gt;0,AG613/R613,0))/MAX(0.1,N(Parameter!$M$21)))</f>
        <v>0.0192307692307692</v>
      </c>
      <c r="AI613" s="50" t="n">
        <f aca="false">AH613*CB613</f>
        <v>2.98076923076923</v>
      </c>
      <c r="AJ613" s="51" t="n">
        <f aca="false">IF(LEFT(Cockpit!$C$5,1)="A",H613,IF(CH613=1,(CK613+CI613)/2,IF(LEFT(Cockpit!$C$5,1)="B",(CK613+AL613)/2,MAX((CK613+AL613)/2,H613))))</f>
        <v>110</v>
      </c>
      <c r="AK613" s="50" t="n">
        <f aca="false">AJ613*G613</f>
        <v>261.8</v>
      </c>
      <c r="AL613" s="50" t="n">
        <f aca="false">ROUNDUP(CK613+MAX(CL613,2*(J613/IF(CG613&gt;0,CG613,MAX(0.1,N(Cockpit!$C$6)))-CK613)),0)</f>
        <v>50</v>
      </c>
      <c r="AM613" s="51" t="n">
        <f aca="false">IF(AI613&gt;0,J613/AI613,-1)</f>
        <v>0</v>
      </c>
      <c r="AN613" s="51" t="n">
        <f aca="false">IF(AND(OR(CF613="L1",CF613="L23",CF613="LIFT"),AI613&gt;0),SUMIFS($AI$7:$AI$1843,$CF$7:$CF$1843,CF613,$AM$7:$AM$1843,"&gt;"&amp;AM613)+SUMIFS($AI$7:$AI$1843,$CF$7:$CF$1843,CF613,$AM$7:$AM$1843,AM613,$BW$7:$BW$1843,"&lt;="&amp;BW613),"")</f>
        <v>28539.0537395749</v>
      </c>
      <c r="AO613" s="58" t="n">
        <f aca="false">IF(AN613="",0,MAX(0,MIN(1,(IF(CF613="L1",Parameter!$H$5,IF(CF613="L23",Parameter!$H$6+Parameter!$H$7,Parameter!$H$5+Parameter!$H$6+Parameter!$H$7))-(AN613-AI613))/AI613)))</f>
        <v>1</v>
      </c>
      <c r="AP613" s="50" t="n">
        <f aca="false">IF(LEFT(Cockpit!$I$5,1)="A",H613,IF(Parameter!$E$30="MAX-Bestand",IF(CH613=1,CI613,IF(LEFT(Cockpit!$I$5,1)="B",AV613,MAX(AV613,H613))),ROUNDUP(AT613,0)))</f>
        <v>110</v>
      </c>
      <c r="AQ613" s="50" t="n">
        <f aca="false">IF(BZ613=1,0,ROUNDUP(AP613/BY613,0))</f>
        <v>1</v>
      </c>
      <c r="AR613" s="52" t="n">
        <f aca="false">IF(CQ613&gt;0,CQ613*MAX(1,AP613/X613),IF(BZ613=1,IF(AP613&lt;=0,0,CD613*MAX(1,IF(H613&gt;0,AP613/H613,1))),IF(R613&gt;0,AQ613/R613,0))/MAX(0.1,N(Parameter!$M$21)))</f>
        <v>0.0192307692307692</v>
      </c>
      <c r="AS613" s="50" t="n">
        <f aca="false">AR613*CB613</f>
        <v>2.98076923076923</v>
      </c>
      <c r="AT613" s="51" t="n">
        <f aca="false">IF(LEFT(Cockpit!$I$5,1)="A",H613,IF(CH613=1,(CK613+CI613)/2,IF(LEFT(Cockpit!$I$5,1)="B",(CK613+AV613)/2,MAX((CK613+AV613)/2,H613))))</f>
        <v>110</v>
      </c>
      <c r="AU613" s="50" t="n">
        <f aca="false">AT613*G613</f>
        <v>261.8</v>
      </c>
      <c r="AV613" s="50" t="n">
        <f aca="false">ROUNDUP(CK613+MAX(CL613,2*(J613/IF(CG613&gt;0,CG613,MAX(0.1,N(Cockpit!$I$6)))-CK613)),0)</f>
        <v>50</v>
      </c>
      <c r="AW613" s="51" t="n">
        <f aca="false">IF(AS613&gt;0,J613/AS613,-1)</f>
        <v>0</v>
      </c>
      <c r="AX613" s="51" t="n">
        <f aca="false">IF(AND(OR(CF613="L1",CF613="L23",CF613="LIFT"),AS613&gt;0),SUMIFS($AS$7:$AS$1843,$CF$7:$CF$1843,CF613,$AW$7:$AW$1843,"&gt;"&amp;AW613)+SUMIFS($AS$7:$AS$1843,$CF$7:$CF$1843,CF613,$AW$7:$AW$1843,AW613,$BW$7:$BW$1843,"&lt;="&amp;BW613),"")</f>
        <v>33892.2023809524</v>
      </c>
      <c r="AY613" s="58" t="n">
        <f aca="false">IF(AX613="",0,MAX(0,MIN(1,(IF(CF613="L1",Parameter!$H$5,IF(CF613="L23",Parameter!$H$6+Parameter!$H$7,Parameter!$H$5+Parameter!$H$6+Parameter!$H$7))-(AX613-AS613))/AS613)))</f>
        <v>1</v>
      </c>
      <c r="AZ613" s="50" t="n">
        <f aca="false">IF(LEFT(Cockpit!$O$5,1)="A",H613,IF(Parameter!$E$30="MAX-Bestand",IF(CH613=1,CI613,IF(LEFT(Cockpit!$O$5,1)="B",BF613,MAX(BF613,H613))),ROUNDUP(BD613,0)))</f>
        <v>25</v>
      </c>
      <c r="BA613" s="50" t="n">
        <f aca="false">IF(BZ613=1,0,ROUNDUP(AZ613/BY613,0))</f>
        <v>1</v>
      </c>
      <c r="BB613" s="52" t="n">
        <f aca="false">IF(CQ613&gt;0,CQ613*MAX(1,AZ613/X613),IF(BZ613=1,IF(AZ613&lt;=0,0,CD613*MAX(1,IF(H613&gt;0,AZ613/H613,1))),IF(R613&gt;0,BA613/R613,0))/MAX(0.1,N(Parameter!$M$21)))</f>
        <v>0.0192307692307692</v>
      </c>
      <c r="BC613" s="50" t="n">
        <f aca="false">BB613*CB613</f>
        <v>2.98076923076923</v>
      </c>
      <c r="BD613" s="51" t="n">
        <f aca="false">IF(LEFT(Cockpit!$O$5,1)="A",H613,IF(CH613=1,(CK613+CI613)/2,IF(LEFT(Cockpit!$O$5,1)="B",(CK613+BF613)/2,MAX((CK613+BF613)/2,H613))))</f>
        <v>25</v>
      </c>
      <c r="BE613" s="50" t="n">
        <f aca="false">BD613*G613</f>
        <v>59.5</v>
      </c>
      <c r="BF613" s="50" t="n">
        <f aca="false">ROUNDUP(CK613+MAX(CL613,2*(J613/IF(CG613&gt;0,CG613,MAX(0.1,N(Cockpit!$O$6)))-CK613)),0)</f>
        <v>50</v>
      </c>
      <c r="BG613" s="51" t="n">
        <f aca="false">IF(BC613&gt;0,J613/BC613,-1)</f>
        <v>0</v>
      </c>
      <c r="BH613" s="51" t="n">
        <f aca="false">IF(AND(OR(CF613="L1",CF613="L23",CF613="LIFT"),BC613&gt;0),SUMIFS($BC$7:$BC$1843,$CF$7:$CF$1843,CF613,$BG$7:$BG$1843,"&gt;"&amp;BG613)+SUMIFS($BC$7:$BC$1843,$CF$7:$CF$1843,CF613,$BG$7:$BG$1843,BG613,$BW$7:$BW$1843,"&lt;="&amp;BW613),"")</f>
        <v>27964.5072095983</v>
      </c>
      <c r="BI613" s="58" t="n">
        <f aca="false">IF(BH613="",0,MAX(0,MIN(1,(IF(CF613="L1",Parameter!$H$5,IF(CF613="L23",Parameter!$H$6+Parameter!$H$7,Parameter!$H$5+Parameter!$H$6+Parameter!$H$7))-(BH613-BC613))/BC613)))</f>
        <v>1</v>
      </c>
      <c r="BJ613" s="48" t="str">
        <f aca="false">IF(AI613&lt;=0,"",IF(CF613="Aussen","Aussenlager",IF(CF613="-","Nicht im Lift",IF(AO613&gt;=1,"Lift",IF(AO613&lt;=0,"Aussenlager","teilweise")))))</f>
        <v>Lift</v>
      </c>
      <c r="BK613" s="48" t="str">
        <f aca="false">IF(AS613&lt;=0,"",IF(CF613="Aussen","Aussenlager",IF(CF613="-","Nicht im Lift",IF(AY613&gt;=1,"Lift",IF(AY613&lt;=0,"Aussenlager","teilweise")))))</f>
        <v>Lift</v>
      </c>
      <c r="BL613" s="48" t="str">
        <f aca="false">IF(BC613&lt;=0,"",IF(CF613="Aussen","Aussenlager",IF(CF613="-","Nicht im Lift",IF(BI613&gt;=1,"Lift",IF(BI613&lt;=0,"Aussenlager","teilweise")))))</f>
        <v>Lift</v>
      </c>
      <c r="BM613" s="48" t="str">
        <f aca="false">IF(A613="","",IF(BV613=1,"Neu; ","")&amp;IF(AND(BV613=0,BQ613&lt;0),"negativer Bestand (Export "&amp;BQ613&amp;"); ","")&amp;IF(J613&lt;=0,"Kein Verbrauch; ","")&amp;IF(CQ613&gt;0,"Lift "&amp;W613&amp;" lt. Liftbericht (Fach "&amp;X613&amp;" Stk); ",IF(CA613=1,"Gebinde geschätzt ("&amp;T613&amp;"); ",IF(BZ613=1,"Lose – Tablare geschätzt; ","")))&amp;IF(H613&gt;AV613,"Überbestand "&amp;ROUND(H613-AV613,0)&amp;" Stk / CHF "&amp;ROUND((H613-AV613)*G613,0)&amp;"; ","")&amp;IF(AND(CH613=1,CI613&lt;CJ613),"MAX &lt; MB+LG; ","")&amp;IF(AND(CP613&gt;0,CO613*10&gt;CP613),"zu hoch für Tablar; ","")&amp;IF(AND(BV613=0,OR(CH613=1,AA613&lt;&gt;"",U613&lt;&gt;"",V613&lt;&gt;"",AB613&lt;&gt;"")),"manuell übersteuert; ","")&amp;IF(AND(BZ613=0,R613=0),"Gebinde unbekannt / Stellmass fehlt; ","")&amp;IF(AND(BZ613=0,N(V613)&lt;=0,N(Q613)&lt;=0),"Menge pro Gebinde fehlt (Ist = 1 Gebinde); ","")&amp;BU613)</f>
        <v>Kein Verbrauch; Überbestand 60 Stk / CHF 143; </v>
      </c>
      <c r="BN613" s="48"/>
      <c r="BO613" s="48"/>
      <c r="BP613" s="55"/>
      <c r="BQ613" s="50" t="n">
        <v>2</v>
      </c>
      <c r="BR613" s="50" t="n">
        <v>108</v>
      </c>
      <c r="BS613" s="49" t="n">
        <v>4.76</v>
      </c>
      <c r="BT613" s="50" t="n">
        <v>0</v>
      </c>
      <c r="BU613" s="48"/>
      <c r="BV613" s="53" t="n">
        <v>0</v>
      </c>
      <c r="BW613" s="53" t="n">
        <v>613</v>
      </c>
      <c r="BX613" s="48" t="str">
        <f aca="false">IF(U613&lt;&gt;"",UPPER(TRIM(U613)),IF(CA613=1,UPPER(VLOOKUP(T613,Parameter!$I$27:$K$29,2,0)),IF(P613="","LOSE",P613)))</f>
        <v>S33</v>
      </c>
      <c r="BY613" s="50" t="n">
        <f aca="false">IF(BX613="LOSE",1,IF(N(V613)&gt;0,V613,IF(CA613=1,MAX(1,N(VLOOKUP(T613,Parameter!$I$27:$K$29,3,0)),H613,N(N613)),IF(N(Q613)&gt;0,Q613,MAX(1,H613)))))</f>
        <v>110</v>
      </c>
      <c r="BZ613" s="53" t="n">
        <f aca="false">IF(BX613="LOSE",1,0)</f>
        <v>0</v>
      </c>
      <c r="CA613" s="53" t="n">
        <f aca="false">IF(AND(U613="",OR(P613="",P613="LOSE"),T613&lt;&gt;"",N(S613)&lt;=0,ISNUMBER(MATCH(T613,Parameter!$I$27:$I$29,0))),1,0)</f>
        <v>0</v>
      </c>
      <c r="CB613" s="53" t="n">
        <f aca="false">IF(CQ613&gt;0,INDEX(Parameter!$H$5:$H$7,W613)/INDEX(Parameter!$E$5:$E$7,W613),IF(AND(BZ613=0,N(IFERROR(VLOOKUP(BX613,'Gebinde-Kategorie'!$A$5:$N$45,14,0),0))&gt;0),VLOOKUP(BX613,'Gebinde-Kategorie'!$A$5:$N$45,14,0)*10+Parameter!$M$23,Parameter!$M$24))</f>
        <v>155</v>
      </c>
      <c r="CC613" s="48" t="str">
        <f aca="false">IF(AND(Parameter!$B$19="Ja",E613&lt;&gt;"",ISNUMBER(MATCH(E613,Parameter!$I$35:$I$52,0))),VLOOKUP(E613,Parameter!$I$35:$J$52,2,0),IFERROR(VLOOKUP(D613,Parameter!$A$35:$C$64,2,0),"Nein"))</f>
        <v>2+3</v>
      </c>
      <c r="CD613" s="52" t="n">
        <f aca="false">IF(BZ613=0,0,IF(N(S613)&gt;0,S613,IFERROR(VLOOKUP(D613,Parameter!$A$35:$C$64,3,0)+0,0)))</f>
        <v>0</v>
      </c>
      <c r="CE613" s="48" t="n">
        <f aca="false">IF(AA613&lt;&gt;"",AA613,Z613)</f>
        <v>3</v>
      </c>
      <c r="CF613" s="48" t="str">
        <f aca="false">IF(OR(CE613=1,CE613=2,CE613=3),IF(Parameter!$E$27="Ja","LIFT",IF(CE613=1,"L1","L23")),IF(CE613="Aussen","Aussen","-"))</f>
        <v>LIFT</v>
      </c>
      <c r="CG613" s="59" t="n">
        <f aca="false">IF(N(AB613)&gt;0,AB613,0)</f>
        <v>0</v>
      </c>
      <c r="CH613" s="53" t="n">
        <f aca="false">IF(ISNUMBER(AE613),1,0)</f>
        <v>0</v>
      </c>
      <c r="CI613" s="50" t="n">
        <f aca="false">N(AE613)</f>
        <v>0</v>
      </c>
      <c r="CJ613" s="50" t="n">
        <f aca="false">N(M613)+N(N613)</f>
        <v>50</v>
      </c>
      <c r="CK613" s="50" t="n">
        <f aca="false">N(M613)</f>
        <v>0</v>
      </c>
      <c r="CL613" s="50" t="n">
        <f aca="false">N(N613)</f>
        <v>50</v>
      </c>
      <c r="CM613" s="50" t="n">
        <f aca="false">ROUNDUP(H613/BY613,0)</f>
        <v>1</v>
      </c>
      <c r="CN613" s="50" t="n">
        <f aca="false">ROUNDUP(CI613/BY613,0)</f>
        <v>0</v>
      </c>
      <c r="CO613" s="53" t="n">
        <f aca="false">IF(BZ613=1,0,IFERROR(VLOOKUP(BX613,'Gebinde-Kategorie'!$A$5:$N$45,5,0)+0,0))</f>
        <v>8</v>
      </c>
      <c r="CP613" s="53" t="n">
        <f aca="false">IFERROR(IF(OR(CE613=1,CE613=2,CE613=3),N(INDEX(Parameter!$I$5:$I$7,CE613)),0),0)</f>
        <v>0</v>
      </c>
      <c r="CQ613" s="52" t="n">
        <f aca="false">IF(AND(Parameter!$B$21="Ja",ISNUMBER(W613),N(X613)&gt;0),IFERROR(N(INDEX(Parameter!$L$5:$L$7,W613))*INDEX(Parameter!$E$5:$E$7,W613)*X613/SUMIFS($X$7:$X$1843,$W$7:$W$1843,W613),0),0)</f>
        <v>0</v>
      </c>
    </row>
    <row r="614" customFormat="false" ht="15" hidden="false" customHeight="false" outlineLevel="0" collapsed="false">
      <c r="A614" s="48" t="s">
        <v>1274</v>
      </c>
      <c r="B614" s="48" t="s">
        <v>1275</v>
      </c>
      <c r="C614" s="48" t="s">
        <v>173</v>
      </c>
      <c r="D614" s="48" t="s">
        <v>1004</v>
      </c>
      <c r="E614" s="48"/>
      <c r="F614" s="48" t="s">
        <v>227</v>
      </c>
      <c r="G614" s="49" t="n">
        <v>0.29</v>
      </c>
      <c r="H614" s="50" t="n">
        <f aca="false">MAX(0,IF(AND(Parameter!$B$21="Ja",ISNUMBER(Y614)),Y614,IF(Parameter!$B$20="Jahresanfang 2025 + Export",BR614+BQ614,BQ614)))</f>
        <v>16</v>
      </c>
      <c r="I614" s="50" t="n">
        <f aca="false">H614*G614</f>
        <v>4.64</v>
      </c>
      <c r="J614" s="50" t="n">
        <f aca="false">BT614*Parameter!$B$18</f>
        <v>34</v>
      </c>
      <c r="K614" s="51" t="n">
        <v>8</v>
      </c>
      <c r="L614" s="52" t="n">
        <v>4.25</v>
      </c>
      <c r="M614" s="50" t="n">
        <v>0</v>
      </c>
      <c r="N614" s="50" t="n">
        <v>50</v>
      </c>
      <c r="O614" s="53" t="n">
        <v>21</v>
      </c>
      <c r="P614" s="48" t="s">
        <v>177</v>
      </c>
      <c r="Q614" s="50"/>
      <c r="R614" s="53" t="n">
        <f aca="false">IF(BZ614=1,0,IFERROR(VLOOKUP(BX614,'Gebinde-Kategorie'!$A$5:$N$45,13,0)+0,0))</f>
        <v>0</v>
      </c>
      <c r="S614" s="54"/>
      <c r="T614" s="55"/>
      <c r="U614" s="55"/>
      <c r="V614" s="55"/>
      <c r="W614" s="48"/>
      <c r="X614" s="50"/>
      <c r="Y614" s="50"/>
      <c r="Z614" s="48" t="str">
        <f aca="false">IF(A614="","",IF(AND(Parameter!$B$21="Ja",ISNUMBER(W614)),W614,IF(CC614="2+3",IF(ISNUMBER(SEARCH("grosser Artikel",BU614)),2,IFERROR(VLOOKUP(BX614,Parameter!$F$35:$G$64,2,0),2)),IF(OR(CC614="Nein",CC614=""),"-",CC614))))</f>
        <v>-</v>
      </c>
      <c r="AA614" s="55"/>
      <c r="AB614" s="56"/>
      <c r="AC614" s="50" t="n">
        <f aca="false">AV614</f>
        <v>50</v>
      </c>
      <c r="AD614" s="50" t="n">
        <f aca="false">MAX(AV614,H614)</f>
        <v>50</v>
      </c>
      <c r="AE614" s="57"/>
      <c r="AF614" s="50" t="n">
        <f aca="false">IF(LEFT(Cockpit!$C$5,1)="A",H614,IF(Parameter!$E$30="MAX-Bestand",IF(CH614=1,CI614,IF(LEFT(Cockpit!$C$5,1)="B",AL614,MAX(AL614,H614))),ROUNDUP(AJ614,0)))</f>
        <v>16</v>
      </c>
      <c r="AG614" s="50" t="n">
        <f aca="false">IF(BZ614=1,0,ROUNDUP(AF614/BY614,0))</f>
        <v>0</v>
      </c>
      <c r="AH614" s="52" t="n">
        <f aca="false">IF(CQ614&gt;0,CQ614*MAX(1,AF614/X614),IF(BZ614=1,IF(AF614&lt;=0,0,CD614*MAX(1,IF(H614&gt;0,AF614/H614,1))),IF(R614&gt;0,AG614/R614,0))/MAX(0.1,N(Parameter!$M$21)))</f>
        <v>0.15</v>
      </c>
      <c r="AI614" s="50" t="n">
        <f aca="false">AH614*CB614</f>
        <v>35.25</v>
      </c>
      <c r="AJ614" s="51" t="n">
        <f aca="false">IF(LEFT(Cockpit!$C$5,1)="A",H614,IF(CH614=1,(CK614+CI614)/2,IF(LEFT(Cockpit!$C$5,1)="B",(CK614+AL614)/2,MAX((CK614+AL614)/2,H614))))</f>
        <v>16</v>
      </c>
      <c r="AK614" s="50" t="n">
        <f aca="false">AJ614*G614</f>
        <v>4.64</v>
      </c>
      <c r="AL614" s="50" t="n">
        <f aca="false">ROUNDUP(CK614+MAX(CL614,2*(J614/IF(CG614&gt;0,CG614,MAX(0.1,N(Cockpit!$C$6)))-CK614)),0)</f>
        <v>50</v>
      </c>
      <c r="AM614" s="51" t="n">
        <f aca="false">IF(AI614&gt;0,J614/AI614,-1)</f>
        <v>0.964539007092199</v>
      </c>
      <c r="AN614" s="51" t="str">
        <f aca="false">IF(AND(OR(CF614="L1",CF614="L23",CF614="LIFT"),AI614&gt;0),SUMIFS($AI$7:$AI$1843,$CF$7:$CF$1843,CF614,$AM$7:$AM$1843,"&gt;"&amp;AM614)+SUMIFS($AI$7:$AI$1843,$CF$7:$CF$1843,CF614,$AM$7:$AM$1843,AM614,$BW$7:$BW$1843,"&lt;="&amp;BW614),"")</f>
        <v/>
      </c>
      <c r="AO614" s="58" t="n">
        <f aca="false">IF(AN614="",0,MAX(0,MIN(1,(IF(CF614="L1",Parameter!$H$5,IF(CF614="L23",Parameter!$H$6+Parameter!$H$7,Parameter!$H$5+Parameter!$H$6+Parameter!$H$7))-(AN614-AI614))/AI614)))</f>
        <v>0</v>
      </c>
      <c r="AP614" s="50" t="n">
        <f aca="false">IF(LEFT(Cockpit!$I$5,1)="A",H614,IF(Parameter!$E$30="MAX-Bestand",IF(CH614=1,CI614,IF(LEFT(Cockpit!$I$5,1)="B",AV614,MAX(AV614,H614))),ROUNDUP(AT614,0)))</f>
        <v>25</v>
      </c>
      <c r="AQ614" s="50" t="n">
        <f aca="false">IF(BZ614=1,0,ROUNDUP(AP614/BY614,0))</f>
        <v>0</v>
      </c>
      <c r="AR614" s="52" t="n">
        <f aca="false">IF(CQ614&gt;0,CQ614*MAX(1,AP614/X614),IF(BZ614=1,IF(AP614&lt;=0,0,CD614*MAX(1,IF(H614&gt;0,AP614/H614,1))),IF(R614&gt;0,AQ614/R614,0))/MAX(0.1,N(Parameter!$M$21)))</f>
        <v>0.234375</v>
      </c>
      <c r="AS614" s="50" t="n">
        <f aca="false">AR614*CB614</f>
        <v>55.078125</v>
      </c>
      <c r="AT614" s="51" t="n">
        <f aca="false">IF(LEFT(Cockpit!$I$5,1)="A",H614,IF(CH614=1,(CK614+CI614)/2,IF(LEFT(Cockpit!$I$5,1)="B",(CK614+AV614)/2,MAX((CK614+AV614)/2,H614))))</f>
        <v>25</v>
      </c>
      <c r="AU614" s="50" t="n">
        <f aca="false">AT614*G614</f>
        <v>7.25</v>
      </c>
      <c r="AV614" s="50" t="n">
        <f aca="false">ROUNDUP(CK614+MAX(CL614,2*(J614/IF(CG614&gt;0,CG614,MAX(0.1,N(Cockpit!$I$6)))-CK614)),0)</f>
        <v>50</v>
      </c>
      <c r="AW614" s="51" t="n">
        <f aca="false">IF(AS614&gt;0,J614/AS614,-1)</f>
        <v>0.617304964539007</v>
      </c>
      <c r="AX614" s="51" t="str">
        <f aca="false">IF(AND(OR(CF614="L1",CF614="L23",CF614="LIFT"),AS614&gt;0),SUMIFS($AS$7:$AS$1843,$CF$7:$CF$1843,CF614,$AW$7:$AW$1843,"&gt;"&amp;AW614)+SUMIFS($AS$7:$AS$1843,$CF$7:$CF$1843,CF614,$AW$7:$AW$1843,AW614,$BW$7:$BW$1843,"&lt;="&amp;BW614),"")</f>
        <v/>
      </c>
      <c r="AY614" s="58" t="n">
        <f aca="false">IF(AX614="",0,MAX(0,MIN(1,(IF(CF614="L1",Parameter!$H$5,IF(CF614="L23",Parameter!$H$6+Parameter!$H$7,Parameter!$H$5+Parameter!$H$6+Parameter!$H$7))-(AX614-AS614))/AS614)))</f>
        <v>0</v>
      </c>
      <c r="AZ614" s="50" t="n">
        <f aca="false">IF(LEFT(Cockpit!$O$5,1)="A",H614,IF(Parameter!$E$30="MAX-Bestand",IF(CH614=1,CI614,IF(LEFT(Cockpit!$O$5,1)="B",BF614,MAX(BF614,H614))),ROUNDUP(BD614,0)))</f>
        <v>25</v>
      </c>
      <c r="BA614" s="50" t="n">
        <f aca="false">IF(BZ614=1,0,ROUNDUP(AZ614/BY614,0))</f>
        <v>0</v>
      </c>
      <c r="BB614" s="52" t="n">
        <f aca="false">IF(CQ614&gt;0,CQ614*MAX(1,AZ614/X614),IF(BZ614=1,IF(AZ614&lt;=0,0,CD614*MAX(1,IF(H614&gt;0,AZ614/H614,1))),IF(R614&gt;0,BA614/R614,0))/MAX(0.1,N(Parameter!$M$21)))</f>
        <v>0.234375</v>
      </c>
      <c r="BC614" s="50" t="n">
        <f aca="false">BB614*CB614</f>
        <v>55.078125</v>
      </c>
      <c r="BD614" s="51" t="n">
        <f aca="false">IF(LEFT(Cockpit!$O$5,1)="A",H614,IF(CH614=1,(CK614+CI614)/2,IF(LEFT(Cockpit!$O$5,1)="B",(CK614+BF614)/2,MAX((CK614+BF614)/2,H614))))</f>
        <v>25</v>
      </c>
      <c r="BE614" s="50" t="n">
        <f aca="false">BD614*G614</f>
        <v>7.25</v>
      </c>
      <c r="BF614" s="50" t="n">
        <f aca="false">ROUNDUP(CK614+MAX(CL614,2*(J614/IF(CG614&gt;0,CG614,MAX(0.1,N(Cockpit!$O$6)))-CK614)),0)</f>
        <v>50</v>
      </c>
      <c r="BG614" s="51" t="n">
        <f aca="false">IF(BC614&gt;0,J614/BC614,-1)</f>
        <v>0.617304964539007</v>
      </c>
      <c r="BH614" s="51" t="str">
        <f aca="false">IF(AND(OR(CF614="L1",CF614="L23",CF614="LIFT"),BC614&gt;0),SUMIFS($BC$7:$BC$1843,$CF$7:$CF$1843,CF614,$BG$7:$BG$1843,"&gt;"&amp;BG614)+SUMIFS($BC$7:$BC$1843,$CF$7:$CF$1843,CF614,$BG$7:$BG$1843,BG614,$BW$7:$BW$1843,"&lt;="&amp;BW614),"")</f>
        <v/>
      </c>
      <c r="BI614" s="58" t="n">
        <f aca="false">IF(BH614="",0,MAX(0,MIN(1,(IF(CF614="L1",Parameter!$H$5,IF(CF614="L23",Parameter!$H$6+Parameter!$H$7,Parameter!$H$5+Parameter!$H$6+Parameter!$H$7))-(BH614-BC614))/BC614)))</f>
        <v>0</v>
      </c>
      <c r="BJ614" s="48" t="str">
        <f aca="false">IF(AI614&lt;=0,"",IF(CF614="Aussen","Aussenlager",IF(CF614="-","Nicht im Lift",IF(AO614&gt;=1,"Lift",IF(AO614&lt;=0,"Aussenlager","teilweise")))))</f>
        <v>Nicht im Lift</v>
      </c>
      <c r="BK614" s="48" t="str">
        <f aca="false">IF(AS614&lt;=0,"",IF(CF614="Aussen","Aussenlager",IF(CF614="-","Nicht im Lift",IF(AY614&gt;=1,"Lift",IF(AY614&lt;=0,"Aussenlager","teilweise")))))</f>
        <v>Nicht im Lift</v>
      </c>
      <c r="BL614" s="48" t="str">
        <f aca="false">IF(BC614&lt;=0,"",IF(CF614="Aussen","Aussenlager",IF(CF614="-","Nicht im Lift",IF(BI614&gt;=1,"Lift",IF(BI614&lt;=0,"Aussenlager","teilweise")))))</f>
        <v>Nicht im Lift</v>
      </c>
      <c r="BM614" s="48" t="str">
        <f aca="false">IF(A614="","",IF(BV614=1,"Neu; ","")&amp;IF(AND(BV614=0,BQ614&lt;0),"negativer Bestand (Export "&amp;BQ614&amp;"); ","")&amp;IF(J614&lt;=0,"Kein Verbrauch; ","")&amp;IF(CQ614&gt;0,"Lift "&amp;W614&amp;" lt. Liftbericht (Fach "&amp;X614&amp;" Stk); ",IF(CA614=1,"Gebinde geschätzt ("&amp;T614&amp;"); ",IF(BZ614=1,"Lose – Tablare geschätzt; ","")))&amp;IF(H614&gt;AV614,"Überbestand "&amp;ROUND(H614-AV614,0)&amp;" Stk / CHF "&amp;ROUND((H614-AV614)*G614,0)&amp;"; ","")&amp;IF(AND(CH614=1,CI614&lt;CJ614),"MAX &lt; MB+LG; ","")&amp;IF(AND(CP614&gt;0,CO614*10&gt;CP614),"zu hoch für Tablar; ","")&amp;IF(AND(BV614=0,OR(CH614=1,AA614&lt;&gt;"",U614&lt;&gt;"",V614&lt;&gt;"",AB614&lt;&gt;"")),"manuell übersteuert; ","")&amp;IF(AND(BZ614=0,R614=0),"Gebinde unbekannt / Stellmass fehlt; ","")&amp;IF(AND(BZ614=0,N(V614)&lt;=0,N(Q614)&lt;=0),"Menge pro Gebinde fehlt (Ist = 1 Gebinde); ","")&amp;BU614)</f>
        <v>Lose – Tablare geschätzt; </v>
      </c>
      <c r="BN614" s="48"/>
      <c r="BO614" s="48"/>
      <c r="BP614" s="55"/>
      <c r="BQ614" s="50" t="n">
        <v>16</v>
      </c>
      <c r="BR614" s="50" t="n">
        <v>0</v>
      </c>
      <c r="BS614" s="49" t="n">
        <v>4.64</v>
      </c>
      <c r="BT614" s="50" t="n">
        <v>34</v>
      </c>
      <c r="BU614" s="48"/>
      <c r="BV614" s="53" t="n">
        <v>0</v>
      </c>
      <c r="BW614" s="53" t="n">
        <v>614</v>
      </c>
      <c r="BX614" s="48" t="str">
        <f aca="false">IF(U614&lt;&gt;"",UPPER(TRIM(U614)),IF(CA614=1,UPPER(VLOOKUP(T614,Parameter!$I$27:$K$29,2,0)),IF(P614="","LOSE",P614)))</f>
        <v>LOSE</v>
      </c>
      <c r="BY614" s="50" t="n">
        <f aca="false">IF(BX614="LOSE",1,IF(N(V614)&gt;0,V614,IF(CA614=1,MAX(1,N(VLOOKUP(T614,Parameter!$I$27:$K$29,3,0)),H614,N(N614)),IF(N(Q614)&gt;0,Q614,MAX(1,H614)))))</f>
        <v>1</v>
      </c>
      <c r="BZ614" s="53" t="n">
        <f aca="false">IF(BX614="LOSE",1,0)</f>
        <v>1</v>
      </c>
      <c r="CA614" s="53" t="n">
        <f aca="false">IF(AND(U614="",OR(P614="",P614="LOSE"),T614&lt;&gt;"",N(S614)&lt;=0,ISNUMBER(MATCH(T614,Parameter!$I$27:$I$29,0))),1,0)</f>
        <v>0</v>
      </c>
      <c r="CB614" s="53" t="n">
        <f aca="false">IF(CQ614&gt;0,INDEX(Parameter!$H$5:$H$7,W614)/INDEX(Parameter!$E$5:$E$7,W614),IF(AND(BZ614=0,N(IFERROR(VLOOKUP(BX614,'Gebinde-Kategorie'!$A$5:$N$45,14,0),0))&gt;0),VLOOKUP(BX614,'Gebinde-Kategorie'!$A$5:$N$45,14,0)*10+Parameter!$M$23,Parameter!$M$24))</f>
        <v>235</v>
      </c>
      <c r="CC614" s="48" t="str">
        <f aca="false">IF(AND(Parameter!$B$19="Ja",E614&lt;&gt;"",ISNUMBER(MATCH(E614,Parameter!$I$35:$I$52,0))),VLOOKUP(E614,Parameter!$I$35:$J$52,2,0),IFERROR(VLOOKUP(D614,Parameter!$A$35:$C$64,2,0),"Nein"))</f>
        <v>Nein</v>
      </c>
      <c r="CD614" s="52" t="n">
        <f aca="false">IF(BZ614=0,0,IF(N(S614)&gt;0,S614,IFERROR(VLOOKUP(D614,Parameter!$A$35:$C$64,3,0)+0,0)))</f>
        <v>0.15</v>
      </c>
      <c r="CE614" s="48" t="str">
        <f aca="false">IF(AA614&lt;&gt;"",AA614,Z614)</f>
        <v>-</v>
      </c>
      <c r="CF614" s="48" t="str">
        <f aca="false">IF(OR(CE614=1,CE614=2,CE614=3),IF(Parameter!$E$27="Ja","LIFT",IF(CE614=1,"L1","L23")),IF(CE614="Aussen","Aussen","-"))</f>
        <v>-</v>
      </c>
      <c r="CG614" s="59" t="n">
        <f aca="false">IF(N(AB614)&gt;0,AB614,0)</f>
        <v>0</v>
      </c>
      <c r="CH614" s="53" t="n">
        <f aca="false">IF(ISNUMBER(AE614),1,0)</f>
        <v>0</v>
      </c>
      <c r="CI614" s="50" t="n">
        <f aca="false">N(AE614)</f>
        <v>0</v>
      </c>
      <c r="CJ614" s="50" t="n">
        <f aca="false">N(M614)+N(N614)</f>
        <v>50</v>
      </c>
      <c r="CK614" s="50" t="n">
        <f aca="false">N(M614)</f>
        <v>0</v>
      </c>
      <c r="CL614" s="50" t="n">
        <f aca="false">N(N614)</f>
        <v>50</v>
      </c>
      <c r="CM614" s="50" t="n">
        <f aca="false">ROUNDUP(H614/BY614,0)</f>
        <v>16</v>
      </c>
      <c r="CN614" s="50" t="n">
        <f aca="false">ROUNDUP(CI614/BY614,0)</f>
        <v>0</v>
      </c>
      <c r="CO614" s="53" t="n">
        <f aca="false">IF(BZ614=1,0,IFERROR(VLOOKUP(BX614,'Gebinde-Kategorie'!$A$5:$N$45,5,0)+0,0))</f>
        <v>0</v>
      </c>
      <c r="CP614" s="53" t="n">
        <f aca="false">IFERROR(IF(OR(CE614=1,CE614=2,CE614=3),N(INDEX(Parameter!$I$5:$I$7,CE614)),0),0)</f>
        <v>0</v>
      </c>
      <c r="CQ614" s="52" t="n">
        <f aca="false">IF(AND(Parameter!$B$21="Ja",ISNUMBER(W614),N(X614)&gt;0),IFERROR(N(INDEX(Parameter!$L$5:$L$7,W614))*INDEX(Parameter!$E$5:$E$7,W614)*X614/SUMIFS($X$7:$X$1843,$W$7:$W$1843,W614),0),0)</f>
        <v>0</v>
      </c>
    </row>
    <row r="615" customFormat="false" ht="15" hidden="false" customHeight="false" outlineLevel="0" collapsed="false">
      <c r="A615" s="48" t="s">
        <v>1276</v>
      </c>
      <c r="B615" s="48" t="s">
        <v>1277</v>
      </c>
      <c r="C615" s="48" t="s">
        <v>173</v>
      </c>
      <c r="D615" s="48" t="s">
        <v>193</v>
      </c>
      <c r="E615" s="48" t="s">
        <v>194</v>
      </c>
      <c r="F615" s="48" t="s">
        <v>227</v>
      </c>
      <c r="G615" s="49" t="n">
        <v>0.58</v>
      </c>
      <c r="H615" s="50" t="n">
        <f aca="false">MAX(0,IF(AND(Parameter!$B$21="Ja",ISNUMBER(Y615)),Y615,IF(Parameter!$B$20="Jahresanfang 2025 + Export",BR615+BQ615,BQ615)))</f>
        <v>114</v>
      </c>
      <c r="I615" s="50" t="n">
        <f aca="false">H615*G615</f>
        <v>66.12</v>
      </c>
      <c r="J615" s="50" t="n">
        <f aca="false">BT615*Parameter!$B$18</f>
        <v>0</v>
      </c>
      <c r="K615" s="51" t="n">
        <v>110.5</v>
      </c>
      <c r="L615" s="52" t="n">
        <v>0</v>
      </c>
      <c r="M615" s="50" t="n">
        <v>0</v>
      </c>
      <c r="N615" s="50" t="n">
        <v>1</v>
      </c>
      <c r="O615" s="53" t="n">
        <v>21</v>
      </c>
      <c r="P615" s="48" t="s">
        <v>430</v>
      </c>
      <c r="Q615" s="50" t="n">
        <v>123</v>
      </c>
      <c r="R615" s="53" t="n">
        <f aca="false">IF(BZ615=1,0,IFERROR(VLOOKUP(BX615,'Gebinde-Kategorie'!$A$5:$N$45,13,0)+0,0))</f>
        <v>104</v>
      </c>
      <c r="S615" s="54"/>
      <c r="T615" s="55"/>
      <c r="U615" s="55"/>
      <c r="V615" s="55"/>
      <c r="W615" s="48"/>
      <c r="X615" s="50"/>
      <c r="Y615" s="50"/>
      <c r="Z615" s="48" t="n">
        <f aca="false">IF(A615="","",IF(AND(Parameter!$B$21="Ja",ISNUMBER(W615)),W615,IF(CC615="2+3",IF(ISNUMBER(SEARCH("grosser Artikel",BU615)),2,IFERROR(VLOOKUP(BX615,Parameter!$F$35:$G$64,2,0),2)),IF(OR(CC615="Nein",CC615=""),"-",CC615))))</f>
        <v>3</v>
      </c>
      <c r="AA615" s="55"/>
      <c r="AB615" s="56"/>
      <c r="AC615" s="50" t="n">
        <f aca="false">AV615</f>
        <v>1</v>
      </c>
      <c r="AD615" s="50" t="n">
        <f aca="false">MAX(AV615,H615)</f>
        <v>114</v>
      </c>
      <c r="AE615" s="57"/>
      <c r="AF615" s="50" t="n">
        <f aca="false">IF(LEFT(Cockpit!$C$5,1)="A",H615,IF(Parameter!$E$30="MAX-Bestand",IF(CH615=1,CI615,IF(LEFT(Cockpit!$C$5,1)="B",AL615,MAX(AL615,H615))),ROUNDUP(AJ615,0)))</f>
        <v>114</v>
      </c>
      <c r="AG615" s="50" t="n">
        <f aca="false">IF(BZ615=1,0,ROUNDUP(AF615/BY615,0))</f>
        <v>1</v>
      </c>
      <c r="AH615" s="52" t="n">
        <f aca="false">IF(CQ615&gt;0,CQ615*MAX(1,AF615/X615),IF(BZ615=1,IF(AF615&lt;=0,0,CD615*MAX(1,IF(H615&gt;0,AF615/H615,1))),IF(R615&gt;0,AG615/R615,0))/MAX(0.1,N(Parameter!$M$21)))</f>
        <v>0.00961538461538462</v>
      </c>
      <c r="AI615" s="50" t="n">
        <f aca="false">AH615*CB615</f>
        <v>1.49038461538462</v>
      </c>
      <c r="AJ615" s="51" t="n">
        <f aca="false">IF(LEFT(Cockpit!$C$5,1)="A",H615,IF(CH615=1,(CK615+CI615)/2,IF(LEFT(Cockpit!$C$5,1)="B",(CK615+AL615)/2,MAX((CK615+AL615)/2,H615))))</f>
        <v>114</v>
      </c>
      <c r="AK615" s="50" t="n">
        <f aca="false">AJ615*G615</f>
        <v>66.12</v>
      </c>
      <c r="AL615" s="50" t="n">
        <f aca="false">ROUNDUP(CK615+MAX(CL615,2*(J615/IF(CG615&gt;0,CG615,MAX(0.1,N(Cockpit!$C$6)))-CK615)),0)</f>
        <v>1</v>
      </c>
      <c r="AM615" s="51" t="n">
        <f aca="false">IF(AI615&gt;0,J615/AI615,-1)</f>
        <v>0</v>
      </c>
      <c r="AN615" s="51" t="n">
        <f aca="false">IF(AND(OR(CF615="L1",CF615="L23",CF615="LIFT"),AI615&gt;0),SUMIFS($AI$7:$AI$1843,$CF$7:$CF$1843,CF615,$AM$7:$AM$1843,"&gt;"&amp;AM615)+SUMIFS($AI$7:$AI$1843,$CF$7:$CF$1843,CF615,$AM$7:$AM$1843,AM615,$BW$7:$BW$1843,"&lt;="&amp;BW615),"")</f>
        <v>28540.5441241903</v>
      </c>
      <c r="AO615" s="58" t="n">
        <f aca="false">IF(AN615="",0,MAX(0,MIN(1,(IF(CF615="L1",Parameter!$H$5,IF(CF615="L23",Parameter!$H$6+Parameter!$H$7,Parameter!$H$5+Parameter!$H$6+Parameter!$H$7))-(AN615-AI615))/AI615)))</f>
        <v>1</v>
      </c>
      <c r="AP615" s="50" t="n">
        <f aca="false">IF(LEFT(Cockpit!$I$5,1)="A",H615,IF(Parameter!$E$30="MAX-Bestand",IF(CH615=1,CI615,IF(LEFT(Cockpit!$I$5,1)="B",AV615,MAX(AV615,H615))),ROUNDUP(AT615,0)))</f>
        <v>114</v>
      </c>
      <c r="AQ615" s="50" t="n">
        <f aca="false">IF(BZ615=1,0,ROUNDUP(AP615/BY615,0))</f>
        <v>1</v>
      </c>
      <c r="AR615" s="52" t="n">
        <f aca="false">IF(CQ615&gt;0,CQ615*MAX(1,AP615/X615),IF(BZ615=1,IF(AP615&lt;=0,0,CD615*MAX(1,IF(H615&gt;0,AP615/H615,1))),IF(R615&gt;0,AQ615/R615,0))/MAX(0.1,N(Parameter!$M$21)))</f>
        <v>0.00961538461538462</v>
      </c>
      <c r="AS615" s="50" t="n">
        <f aca="false">AR615*CB615</f>
        <v>1.49038461538462</v>
      </c>
      <c r="AT615" s="51" t="n">
        <f aca="false">IF(LEFT(Cockpit!$I$5,1)="A",H615,IF(CH615=1,(CK615+CI615)/2,IF(LEFT(Cockpit!$I$5,1)="B",(CK615+AV615)/2,MAX((CK615+AV615)/2,H615))))</f>
        <v>114</v>
      </c>
      <c r="AU615" s="50" t="n">
        <f aca="false">AT615*G615</f>
        <v>66.12</v>
      </c>
      <c r="AV615" s="50" t="n">
        <f aca="false">ROUNDUP(CK615+MAX(CL615,2*(J615/IF(CG615&gt;0,CG615,MAX(0.1,N(Cockpit!$I$6)))-CK615)),0)</f>
        <v>1</v>
      </c>
      <c r="AW615" s="51" t="n">
        <f aca="false">IF(AS615&gt;0,J615/AS615,-1)</f>
        <v>0</v>
      </c>
      <c r="AX615" s="51" t="n">
        <f aca="false">IF(AND(OR(CF615="L1",CF615="L23",CF615="LIFT"),AS615&gt;0),SUMIFS($AS$7:$AS$1843,$CF$7:$CF$1843,CF615,$AW$7:$AW$1843,"&gt;"&amp;AW615)+SUMIFS($AS$7:$AS$1843,$CF$7:$CF$1843,CF615,$AW$7:$AW$1843,AW615,$BW$7:$BW$1843,"&lt;="&amp;BW615),"")</f>
        <v>33893.6927655678</v>
      </c>
      <c r="AY615" s="58" t="n">
        <f aca="false">IF(AX615="",0,MAX(0,MIN(1,(IF(CF615="L1",Parameter!$H$5,IF(CF615="L23",Parameter!$H$6+Parameter!$H$7,Parameter!$H$5+Parameter!$H$6+Parameter!$H$7))-(AX615-AS615))/AS615)))</f>
        <v>1</v>
      </c>
      <c r="AZ615" s="50" t="n">
        <f aca="false">IF(LEFT(Cockpit!$O$5,1)="A",H615,IF(Parameter!$E$30="MAX-Bestand",IF(CH615=1,CI615,IF(LEFT(Cockpit!$O$5,1)="B",BF615,MAX(BF615,H615))),ROUNDUP(BD615,0)))</f>
        <v>1</v>
      </c>
      <c r="BA615" s="50" t="n">
        <f aca="false">IF(BZ615=1,0,ROUNDUP(AZ615/BY615,0))</f>
        <v>1</v>
      </c>
      <c r="BB615" s="52" t="n">
        <f aca="false">IF(CQ615&gt;0,CQ615*MAX(1,AZ615/X615),IF(BZ615=1,IF(AZ615&lt;=0,0,CD615*MAX(1,IF(H615&gt;0,AZ615/H615,1))),IF(R615&gt;0,BA615/R615,0))/MAX(0.1,N(Parameter!$M$21)))</f>
        <v>0.00961538461538462</v>
      </c>
      <c r="BC615" s="50" t="n">
        <f aca="false">BB615*CB615</f>
        <v>1.49038461538462</v>
      </c>
      <c r="BD615" s="51" t="n">
        <f aca="false">IF(LEFT(Cockpit!$O$5,1)="A",H615,IF(CH615=1,(CK615+CI615)/2,IF(LEFT(Cockpit!$O$5,1)="B",(CK615+BF615)/2,MAX((CK615+BF615)/2,H615))))</f>
        <v>0.5</v>
      </c>
      <c r="BE615" s="50" t="n">
        <f aca="false">BD615*G615</f>
        <v>0.29</v>
      </c>
      <c r="BF615" s="50" t="n">
        <f aca="false">ROUNDUP(CK615+MAX(CL615,2*(J615/IF(CG615&gt;0,CG615,MAX(0.1,N(Cockpit!$O$6)))-CK615)),0)</f>
        <v>1</v>
      </c>
      <c r="BG615" s="51" t="n">
        <f aca="false">IF(BC615&gt;0,J615/BC615,-1)</f>
        <v>0</v>
      </c>
      <c r="BH615" s="51" t="n">
        <f aca="false">IF(AND(OR(CF615="L1",CF615="L23",CF615="LIFT"),BC615&gt;0),SUMIFS($BC$7:$BC$1843,$CF$7:$CF$1843,CF615,$BG$7:$BG$1843,"&gt;"&amp;BG615)+SUMIFS($BC$7:$BC$1843,$CF$7:$CF$1843,CF615,$BG$7:$BG$1843,BG615,$BW$7:$BW$1843,"&lt;="&amp;BW615),"")</f>
        <v>27965.9975942137</v>
      </c>
      <c r="BI615" s="58" t="n">
        <f aca="false">IF(BH615="",0,MAX(0,MIN(1,(IF(CF615="L1",Parameter!$H$5,IF(CF615="L23",Parameter!$H$6+Parameter!$H$7,Parameter!$H$5+Parameter!$H$6+Parameter!$H$7))-(BH615-BC615))/BC615)))</f>
        <v>1</v>
      </c>
      <c r="BJ615" s="48" t="str">
        <f aca="false">IF(AI615&lt;=0,"",IF(CF615="Aussen","Aussenlager",IF(CF615="-","Nicht im Lift",IF(AO615&gt;=1,"Lift",IF(AO615&lt;=0,"Aussenlager","teilweise")))))</f>
        <v>Lift</v>
      </c>
      <c r="BK615" s="48" t="str">
        <f aca="false">IF(AS615&lt;=0,"",IF(CF615="Aussen","Aussenlager",IF(CF615="-","Nicht im Lift",IF(AY615&gt;=1,"Lift",IF(AY615&lt;=0,"Aussenlager","teilweise")))))</f>
        <v>Lift</v>
      </c>
      <c r="BL615" s="48" t="str">
        <f aca="false">IF(BC615&lt;=0,"",IF(CF615="Aussen","Aussenlager",IF(CF615="-","Nicht im Lift",IF(BI615&gt;=1,"Lift",IF(BI615&lt;=0,"Aussenlager","teilweise")))))</f>
        <v>Lift</v>
      </c>
      <c r="BM615" s="48" t="str">
        <f aca="false">IF(A615="","",IF(BV615=1,"Neu; ","")&amp;IF(AND(BV615=0,BQ615&lt;0),"negativer Bestand (Export "&amp;BQ615&amp;"); ","")&amp;IF(J615&lt;=0,"Kein Verbrauch; ","")&amp;IF(CQ615&gt;0,"Lift "&amp;W615&amp;" lt. Liftbericht (Fach "&amp;X615&amp;" Stk); ",IF(CA615=1,"Gebinde geschätzt ("&amp;T615&amp;"); ",IF(BZ615=1,"Lose – Tablare geschätzt; ","")))&amp;IF(H615&gt;AV615,"Überbestand "&amp;ROUND(H615-AV615,0)&amp;" Stk / CHF "&amp;ROUND((H615-AV615)*G615,0)&amp;"; ","")&amp;IF(AND(CH615=1,CI615&lt;CJ615),"MAX &lt; MB+LG; ","")&amp;IF(AND(CP615&gt;0,CO615*10&gt;CP615),"zu hoch für Tablar; ","")&amp;IF(AND(BV615=0,OR(CH615=1,AA615&lt;&gt;"",U615&lt;&gt;"",V615&lt;&gt;"",AB615&lt;&gt;"")),"manuell übersteuert; ","")&amp;IF(AND(BZ615=0,R615=0),"Gebinde unbekannt / Stellmass fehlt; ","")&amp;IF(AND(BZ615=0,N(V615)&lt;=0,N(Q615)&lt;=0),"Menge pro Gebinde fehlt (Ist = 1 Gebinde); ","")&amp;BU615)</f>
        <v>Kein Verbrauch; Überbestand 113 Stk / CHF 66; Überbestand</v>
      </c>
      <c r="BN615" s="48"/>
      <c r="BO615" s="48"/>
      <c r="BP615" s="55"/>
      <c r="BQ615" s="50" t="n">
        <v>8</v>
      </c>
      <c r="BR615" s="50" t="n">
        <v>106</v>
      </c>
      <c r="BS615" s="49" t="n">
        <v>4.64</v>
      </c>
      <c r="BT615" s="50" t="n">
        <v>0</v>
      </c>
      <c r="BU615" s="48" t="s">
        <v>401</v>
      </c>
      <c r="BV615" s="53" t="n">
        <v>0</v>
      </c>
      <c r="BW615" s="53" t="n">
        <v>615</v>
      </c>
      <c r="BX615" s="48" t="str">
        <f aca="false">IF(U615&lt;&gt;"",UPPER(TRIM(U615)),IF(CA615=1,UPPER(VLOOKUP(T615,Parameter!$I$27:$K$29,2,0)),IF(P615="","LOSE",P615)))</f>
        <v>S32</v>
      </c>
      <c r="BY615" s="50" t="n">
        <f aca="false">IF(BX615="LOSE",1,IF(N(V615)&gt;0,V615,IF(CA615=1,MAX(1,N(VLOOKUP(T615,Parameter!$I$27:$K$29,3,0)),H615,N(N615)),IF(N(Q615)&gt;0,Q615,MAX(1,H615)))))</f>
        <v>123</v>
      </c>
      <c r="BZ615" s="53" t="n">
        <f aca="false">IF(BX615="LOSE",1,0)</f>
        <v>0</v>
      </c>
      <c r="CA615" s="53" t="n">
        <f aca="false">IF(AND(U615="",OR(P615="",P615="LOSE"),T615&lt;&gt;"",N(S615)&lt;=0,ISNUMBER(MATCH(T615,Parameter!$I$27:$I$29,0))),1,0)</f>
        <v>0</v>
      </c>
      <c r="CB615" s="53" t="n">
        <f aca="false">IF(CQ615&gt;0,INDEX(Parameter!$H$5:$H$7,W615)/INDEX(Parameter!$E$5:$E$7,W615),IF(AND(BZ615=0,N(IFERROR(VLOOKUP(BX615,'Gebinde-Kategorie'!$A$5:$N$45,14,0),0))&gt;0),VLOOKUP(BX615,'Gebinde-Kategorie'!$A$5:$N$45,14,0)*10+Parameter!$M$23,Parameter!$M$24))</f>
        <v>155</v>
      </c>
      <c r="CC615" s="48" t="str">
        <f aca="false">IF(AND(Parameter!$B$19="Ja",E615&lt;&gt;"",ISNUMBER(MATCH(E615,Parameter!$I$35:$I$52,0))),VLOOKUP(E615,Parameter!$I$35:$J$52,2,0),IFERROR(VLOOKUP(D615,Parameter!$A$35:$C$64,2,0),"Nein"))</f>
        <v>2+3</v>
      </c>
      <c r="CD615" s="52" t="n">
        <f aca="false">IF(BZ615=0,0,IF(N(S615)&gt;0,S615,IFERROR(VLOOKUP(D615,Parameter!$A$35:$C$64,3,0)+0,0)))</f>
        <v>0</v>
      </c>
      <c r="CE615" s="48" t="n">
        <f aca="false">IF(AA615&lt;&gt;"",AA615,Z615)</f>
        <v>3</v>
      </c>
      <c r="CF615" s="48" t="str">
        <f aca="false">IF(OR(CE615=1,CE615=2,CE615=3),IF(Parameter!$E$27="Ja","LIFT",IF(CE615=1,"L1","L23")),IF(CE615="Aussen","Aussen","-"))</f>
        <v>LIFT</v>
      </c>
      <c r="CG615" s="59" t="n">
        <f aca="false">IF(N(AB615)&gt;0,AB615,0)</f>
        <v>0</v>
      </c>
      <c r="CH615" s="53" t="n">
        <f aca="false">IF(ISNUMBER(AE615),1,0)</f>
        <v>0</v>
      </c>
      <c r="CI615" s="50" t="n">
        <f aca="false">N(AE615)</f>
        <v>0</v>
      </c>
      <c r="CJ615" s="50" t="n">
        <f aca="false">N(M615)+N(N615)</f>
        <v>1</v>
      </c>
      <c r="CK615" s="50" t="n">
        <f aca="false">N(M615)</f>
        <v>0</v>
      </c>
      <c r="CL615" s="50" t="n">
        <f aca="false">N(N615)</f>
        <v>1</v>
      </c>
      <c r="CM615" s="50" t="n">
        <f aca="false">ROUNDUP(H615/BY615,0)</f>
        <v>1</v>
      </c>
      <c r="CN615" s="50" t="n">
        <f aca="false">ROUNDUP(CI615/BY615,0)</f>
        <v>0</v>
      </c>
      <c r="CO615" s="53" t="n">
        <f aca="false">IF(BZ615=1,0,IFERROR(VLOOKUP(BX615,'Gebinde-Kategorie'!$A$5:$N$45,5,0)+0,0))</f>
        <v>8</v>
      </c>
      <c r="CP615" s="53" t="n">
        <f aca="false">IFERROR(IF(OR(CE615=1,CE615=2,CE615=3),N(INDEX(Parameter!$I$5:$I$7,CE615)),0),0)</f>
        <v>0</v>
      </c>
      <c r="CQ615" s="52" t="n">
        <f aca="false">IF(AND(Parameter!$B$21="Ja",ISNUMBER(W615),N(X615)&gt;0),IFERROR(N(INDEX(Parameter!$L$5:$L$7,W615))*INDEX(Parameter!$E$5:$E$7,W615)*X615/SUMIFS($X$7:$X$1843,$W$7:$W$1843,W615),0),0)</f>
        <v>0</v>
      </c>
    </row>
    <row r="616" customFormat="false" ht="15" hidden="false" customHeight="false" outlineLevel="0" collapsed="false">
      <c r="A616" s="48" t="s">
        <v>1278</v>
      </c>
      <c r="B616" s="48" t="s">
        <v>414</v>
      </c>
      <c r="C616" s="48" t="s">
        <v>173</v>
      </c>
      <c r="D616" s="48" t="s">
        <v>182</v>
      </c>
      <c r="E616" s="48" t="s">
        <v>194</v>
      </c>
      <c r="F616" s="48" t="s">
        <v>227</v>
      </c>
      <c r="G616" s="49" t="n">
        <v>0.46</v>
      </c>
      <c r="H616" s="50" t="n">
        <f aca="false">MAX(0,IF(AND(Parameter!$B$21="Ja",ISNUMBER(Y616)),Y616,IF(Parameter!$B$20="Jahresanfang 2025 + Export",BR616+BQ616,BQ616)))</f>
        <v>3394</v>
      </c>
      <c r="I616" s="50" t="n">
        <f aca="false">H616*G616</f>
        <v>1561.24</v>
      </c>
      <c r="J616" s="50" t="n">
        <f aca="false">BT616*Parameter!$B$18</f>
        <v>48</v>
      </c>
      <c r="K616" s="51" t="n">
        <v>3393</v>
      </c>
      <c r="L616" s="52" t="n">
        <v>0.0141467727674624</v>
      </c>
      <c r="M616" s="50" t="n">
        <v>2</v>
      </c>
      <c r="N616" s="50" t="n">
        <v>50</v>
      </c>
      <c r="O616" s="53" t="n">
        <v>21</v>
      </c>
      <c r="P616" s="48" t="s">
        <v>183</v>
      </c>
      <c r="Q616" s="50" t="n">
        <v>1000</v>
      </c>
      <c r="R616" s="53" t="n">
        <f aca="false">IF(BZ616=1,0,IFERROR(VLOOKUP(BX616,'Gebinde-Kategorie'!$A$5:$N$45,13,0)+0,0))</f>
        <v>6</v>
      </c>
      <c r="S616" s="54"/>
      <c r="T616" s="55"/>
      <c r="U616" s="55"/>
      <c r="V616" s="55"/>
      <c r="W616" s="48"/>
      <c r="X616" s="50"/>
      <c r="Y616" s="50"/>
      <c r="Z616" s="48" t="n">
        <f aca="false">IF(A616="","",IF(AND(Parameter!$B$21="Ja",ISNUMBER(W616)),W616,IF(CC616="2+3",IF(ISNUMBER(SEARCH("grosser Artikel",BU616)),2,IFERROR(VLOOKUP(BX616,Parameter!$F$35:$G$64,2,0),2)),IF(OR(CC616="Nein",CC616=""),"-",CC616))))</f>
        <v>2</v>
      </c>
      <c r="AA616" s="55"/>
      <c r="AB616" s="56"/>
      <c r="AC616" s="50" t="n">
        <f aca="false">AV616</f>
        <v>52</v>
      </c>
      <c r="AD616" s="50" t="n">
        <f aca="false">MAX(AV616,H616)</f>
        <v>3394</v>
      </c>
      <c r="AE616" s="57"/>
      <c r="AF616" s="50" t="n">
        <f aca="false">IF(LEFT(Cockpit!$C$5,1)="A",H616,IF(Parameter!$E$30="MAX-Bestand",IF(CH616=1,CI616,IF(LEFT(Cockpit!$C$5,1)="B",AL616,MAX(AL616,H616))),ROUNDUP(AJ616,0)))</f>
        <v>3394</v>
      </c>
      <c r="AG616" s="50" t="n">
        <f aca="false">IF(BZ616=1,0,ROUNDUP(AF616/BY616,0))</f>
        <v>4</v>
      </c>
      <c r="AH616" s="52" t="n">
        <f aca="false">IF(CQ616&gt;0,CQ616*MAX(1,AF616/X616),IF(BZ616=1,IF(AF616&lt;=0,0,CD616*MAX(1,IF(H616&gt;0,AF616/H616,1))),IF(R616&gt;0,AG616/R616,0))/MAX(0.1,N(Parameter!$M$21)))</f>
        <v>0.666666666666667</v>
      </c>
      <c r="AI616" s="50" t="n">
        <f aca="false">AH616*CB616</f>
        <v>156.666666666667</v>
      </c>
      <c r="AJ616" s="51" t="n">
        <f aca="false">IF(LEFT(Cockpit!$C$5,1)="A",H616,IF(CH616=1,(CK616+CI616)/2,IF(LEFT(Cockpit!$C$5,1)="B",(CK616+AL616)/2,MAX((CK616+AL616)/2,H616))))</f>
        <v>3394</v>
      </c>
      <c r="AK616" s="50" t="n">
        <f aca="false">AJ616*G616</f>
        <v>1561.24</v>
      </c>
      <c r="AL616" s="50" t="n">
        <f aca="false">ROUNDUP(CK616+MAX(CL616,2*(J616/IF(CG616&gt;0,CG616,MAX(0.1,N(Cockpit!$C$6)))-CK616)),0)</f>
        <v>52</v>
      </c>
      <c r="AM616" s="51" t="n">
        <f aca="false">IF(AI616&gt;0,J616/AI616,-1)</f>
        <v>0.306382978723404</v>
      </c>
      <c r="AN616" s="51" t="n">
        <f aca="false">IF(AND(OR(CF616="L1",CF616="L23",CF616="LIFT"),AI616&gt;0),SUMIFS($AI$7:$AI$1843,$CF$7:$CF$1843,CF616,$AM$7:$AM$1843,"&gt;"&amp;AM616)+SUMIFS($AI$7:$AI$1843,$CF$7:$CF$1843,CF616,$AM$7:$AM$1843,AM616,$BW$7:$BW$1843,"&lt;="&amp;BW616),"")</f>
        <v>11444.4488343577</v>
      </c>
      <c r="AO616" s="58" t="n">
        <f aca="false">IF(AN616="",0,MAX(0,MIN(1,(IF(CF616="L1",Parameter!$H$5,IF(CF616="L23",Parameter!$H$6+Parameter!$H$7,Parameter!$H$5+Parameter!$H$6+Parameter!$H$7))-(AN616-AI616))/AI616)))</f>
        <v>1</v>
      </c>
      <c r="AP616" s="50" t="n">
        <f aca="false">IF(LEFT(Cockpit!$I$5,1)="A",H616,IF(Parameter!$E$30="MAX-Bestand",IF(CH616=1,CI616,IF(LEFT(Cockpit!$I$5,1)="B",AV616,MAX(AV616,H616))),ROUNDUP(AT616,0)))</f>
        <v>3394</v>
      </c>
      <c r="AQ616" s="50" t="n">
        <f aca="false">IF(BZ616=1,0,ROUNDUP(AP616/BY616,0))</f>
        <v>4</v>
      </c>
      <c r="AR616" s="52" t="n">
        <f aca="false">IF(CQ616&gt;0,CQ616*MAX(1,AP616/X616),IF(BZ616=1,IF(AP616&lt;=0,0,CD616*MAX(1,IF(H616&gt;0,AP616/H616,1))),IF(R616&gt;0,AQ616/R616,0))/MAX(0.1,N(Parameter!$M$21)))</f>
        <v>0.666666666666667</v>
      </c>
      <c r="AS616" s="50" t="n">
        <f aca="false">AR616*CB616</f>
        <v>156.666666666667</v>
      </c>
      <c r="AT616" s="51" t="n">
        <f aca="false">IF(LEFT(Cockpit!$I$5,1)="A",H616,IF(CH616=1,(CK616+CI616)/2,IF(LEFT(Cockpit!$I$5,1)="B",(CK616+AV616)/2,MAX((CK616+AV616)/2,H616))))</f>
        <v>3394</v>
      </c>
      <c r="AU616" s="50" t="n">
        <f aca="false">AT616*G616</f>
        <v>1561.24</v>
      </c>
      <c r="AV616" s="50" t="n">
        <f aca="false">ROUNDUP(CK616+MAX(CL616,2*(J616/IF(CG616&gt;0,CG616,MAX(0.1,N(Cockpit!$I$6)))-CK616)),0)</f>
        <v>52</v>
      </c>
      <c r="AW616" s="51" t="n">
        <f aca="false">IF(AS616&gt;0,J616/AS616,-1)</f>
        <v>0.306382978723404</v>
      </c>
      <c r="AX616" s="51" t="n">
        <f aca="false">IF(AND(OR(CF616="L1",CF616="L23",CF616="LIFT"),AS616&gt;0),SUMIFS($AS$7:$AS$1843,$CF$7:$CF$1843,CF616,$AW$7:$AW$1843,"&gt;"&amp;AW616)+SUMIFS($AS$7:$AS$1843,$CF$7:$CF$1843,CF616,$AW$7:$AW$1843,AW616,$BW$7:$BW$1843,"&lt;="&amp;BW616),"")</f>
        <v>14012.1762820513</v>
      </c>
      <c r="AY616" s="58" t="n">
        <f aca="false">IF(AX616="",0,MAX(0,MIN(1,(IF(CF616="L1",Parameter!$H$5,IF(CF616="L23",Parameter!$H$6+Parameter!$H$7,Parameter!$H$5+Parameter!$H$6+Parameter!$H$7))-(AX616-AS616))/AS616)))</f>
        <v>1</v>
      </c>
      <c r="AZ616" s="50" t="n">
        <f aca="false">IF(LEFT(Cockpit!$O$5,1)="A",H616,IF(Parameter!$E$30="MAX-Bestand",IF(CH616=1,CI616,IF(LEFT(Cockpit!$O$5,1)="B",BF616,MAX(BF616,H616))),ROUNDUP(BD616,0)))</f>
        <v>27</v>
      </c>
      <c r="BA616" s="50" t="n">
        <f aca="false">IF(BZ616=1,0,ROUNDUP(AZ616/BY616,0))</f>
        <v>1</v>
      </c>
      <c r="BB616" s="52" t="n">
        <f aca="false">IF(CQ616&gt;0,CQ616*MAX(1,AZ616/X616),IF(BZ616=1,IF(AZ616&lt;=0,0,CD616*MAX(1,IF(H616&gt;0,AZ616/H616,1))),IF(R616&gt;0,BA616/R616,0))/MAX(0.1,N(Parameter!$M$21)))</f>
        <v>0.166666666666667</v>
      </c>
      <c r="BC616" s="50" t="n">
        <f aca="false">BB616*CB616</f>
        <v>39.1666666666667</v>
      </c>
      <c r="BD616" s="51" t="n">
        <f aca="false">IF(LEFT(Cockpit!$O$5,1)="A",H616,IF(CH616=1,(CK616+CI616)/2,IF(LEFT(Cockpit!$O$5,1)="B",(CK616+BF616)/2,MAX((CK616+BF616)/2,H616))))</f>
        <v>27</v>
      </c>
      <c r="BE616" s="50" t="n">
        <f aca="false">BD616*G616</f>
        <v>12.42</v>
      </c>
      <c r="BF616" s="50" t="n">
        <f aca="false">ROUNDUP(CK616+MAX(CL616,2*(J616/IF(CG616&gt;0,CG616,MAX(0.1,N(Cockpit!$O$6)))-CK616)),0)</f>
        <v>52</v>
      </c>
      <c r="BG616" s="51" t="n">
        <f aca="false">IF(BC616&gt;0,J616/BC616,-1)</f>
        <v>1.22553191489362</v>
      </c>
      <c r="BH616" s="51" t="n">
        <f aca="false">IF(AND(OR(CF616="L1",CF616="L23",CF616="LIFT"),BC616&gt;0),SUMIFS($BC$7:$BC$1843,$CF$7:$CF$1843,CF616,$BG$7:$BG$1843,"&gt;"&amp;BG616)+SUMIFS($BC$7:$BC$1843,$CF$7:$CF$1843,CF616,$BG$7:$BG$1843,BG616,$BW$7:$BW$1843,"&lt;="&amp;BW616),"")</f>
        <v>7040.75228937729</v>
      </c>
      <c r="BI616" s="58" t="n">
        <f aca="false">IF(BH616="",0,MAX(0,MIN(1,(IF(CF616="L1",Parameter!$H$5,IF(CF616="L23",Parameter!$H$6+Parameter!$H$7,Parameter!$H$5+Parameter!$H$6+Parameter!$H$7))-(BH616-BC616))/BC616)))</f>
        <v>1</v>
      </c>
      <c r="BJ616" s="48" t="str">
        <f aca="false">IF(AI616&lt;=0,"",IF(CF616="Aussen","Aussenlager",IF(CF616="-","Nicht im Lift",IF(AO616&gt;=1,"Lift",IF(AO616&lt;=0,"Aussenlager","teilweise")))))</f>
        <v>Lift</v>
      </c>
      <c r="BK616" s="48" t="str">
        <f aca="false">IF(AS616&lt;=0,"",IF(CF616="Aussen","Aussenlager",IF(CF616="-","Nicht im Lift",IF(AY616&gt;=1,"Lift",IF(AY616&lt;=0,"Aussenlager","teilweise")))))</f>
        <v>Lift</v>
      </c>
      <c r="BL616" s="48" t="str">
        <f aca="false">IF(BC616&lt;=0,"",IF(CF616="Aussen","Aussenlager",IF(CF616="-","Nicht im Lift",IF(BI616&gt;=1,"Lift",IF(BI616&lt;=0,"Aussenlager","teilweise")))))</f>
        <v>Lift</v>
      </c>
      <c r="BM616" s="48" t="str">
        <f aca="false">IF(A616="","",IF(BV616=1,"Neu; ","")&amp;IF(AND(BV616=0,BQ616&lt;0),"negativer Bestand (Export "&amp;BQ616&amp;"); ","")&amp;IF(J616&lt;=0,"Kein Verbrauch; ","")&amp;IF(CQ616&gt;0,"Lift "&amp;W616&amp;" lt. Liftbericht (Fach "&amp;X616&amp;" Stk); ",IF(CA616=1,"Gebinde geschätzt ("&amp;T616&amp;"); ",IF(BZ616=1,"Lose – Tablare geschätzt; ","")))&amp;IF(H616&gt;AV616,"Überbestand "&amp;ROUND(H616-AV616,0)&amp;" Stk / CHF "&amp;ROUND((H616-AV616)*G616,0)&amp;"; ","")&amp;IF(AND(CH616=1,CI616&lt;CJ616),"MAX &lt; MB+LG; ","")&amp;IF(AND(CP616&gt;0,CO616*10&gt;CP616),"zu hoch für Tablar; ","")&amp;IF(AND(BV616=0,OR(CH616=1,AA616&lt;&gt;"",U616&lt;&gt;"",V616&lt;&gt;"",AB616&lt;&gt;"")),"manuell übersteuert; ","")&amp;IF(AND(BZ616=0,R616=0),"Gebinde unbekannt / Stellmass fehlt; ","")&amp;IF(AND(BZ616=0,N(V616)&lt;=0,N(Q616)&lt;=0),"Menge pro Gebinde fehlt (Ist = 1 Gebinde); ","")&amp;BU616)</f>
        <v>Überbestand 3342 Stk / CHF 1537; Twin; grosse  Artikelmenge</v>
      </c>
      <c r="BN616" s="48"/>
      <c r="BO616" s="48"/>
      <c r="BP616" s="55"/>
      <c r="BQ616" s="50" t="n">
        <v>10</v>
      </c>
      <c r="BR616" s="50" t="n">
        <v>3384</v>
      </c>
      <c r="BS616" s="49" t="n">
        <v>4.6</v>
      </c>
      <c r="BT616" s="50" t="n">
        <v>48</v>
      </c>
      <c r="BU616" s="48" t="s">
        <v>1279</v>
      </c>
      <c r="BV616" s="53" t="n">
        <v>0</v>
      </c>
      <c r="BW616" s="53" t="n">
        <v>616</v>
      </c>
      <c r="BX616" s="48" t="str">
        <f aca="false">IF(U616&lt;&gt;"",UPPER(TRIM(U616)),IF(CA616=1,UPPER(VLOOKUP(T616,Parameter!$I$27:$K$29,2,0)),IF(P616="","LOSE",P616)))</f>
        <v>S71</v>
      </c>
      <c r="BY616" s="50" t="n">
        <f aca="false">IF(BX616="LOSE",1,IF(N(V616)&gt;0,V616,IF(CA616=1,MAX(1,N(VLOOKUP(T616,Parameter!$I$27:$K$29,3,0)),H616,N(N616)),IF(N(Q616)&gt;0,Q616,MAX(1,H616)))))</f>
        <v>1000</v>
      </c>
      <c r="BZ616" s="53" t="n">
        <f aca="false">IF(BX616="LOSE",1,0)</f>
        <v>0</v>
      </c>
      <c r="CA616" s="53" t="n">
        <f aca="false">IF(AND(U616="",OR(P616="",P616="LOSE"),T616&lt;&gt;"",N(S616)&lt;=0,ISNUMBER(MATCH(T616,Parameter!$I$27:$I$29,0))),1,0)</f>
        <v>0</v>
      </c>
      <c r="CB616" s="53" t="n">
        <f aca="false">IF(CQ616&gt;0,INDEX(Parameter!$H$5:$H$7,W616)/INDEX(Parameter!$E$5:$E$7,W616),IF(AND(BZ616=0,N(IFERROR(VLOOKUP(BX616,'Gebinde-Kategorie'!$A$5:$N$45,14,0),0))&gt;0),VLOOKUP(BX616,'Gebinde-Kategorie'!$A$5:$N$45,14,0)*10+Parameter!$M$23,Parameter!$M$24))</f>
        <v>235</v>
      </c>
      <c r="CC616" s="48" t="str">
        <f aca="false">IF(AND(Parameter!$B$19="Ja",E616&lt;&gt;"",ISNUMBER(MATCH(E616,Parameter!$I$35:$I$52,0))),VLOOKUP(E616,Parameter!$I$35:$J$52,2,0),IFERROR(VLOOKUP(D616,Parameter!$A$35:$C$64,2,0),"Nein"))</f>
        <v>2+3</v>
      </c>
      <c r="CD616" s="52" t="n">
        <f aca="false">IF(BZ616=0,0,IF(N(S616)&gt;0,S616,IFERROR(VLOOKUP(D616,Parameter!$A$35:$C$64,3,0)+0,0)))</f>
        <v>0</v>
      </c>
      <c r="CE616" s="48" t="n">
        <f aca="false">IF(AA616&lt;&gt;"",AA616,Z616)</f>
        <v>2</v>
      </c>
      <c r="CF616" s="48" t="str">
        <f aca="false">IF(OR(CE616=1,CE616=2,CE616=3),IF(Parameter!$E$27="Ja","LIFT",IF(CE616=1,"L1","L23")),IF(CE616="Aussen","Aussen","-"))</f>
        <v>LIFT</v>
      </c>
      <c r="CG616" s="59" t="n">
        <f aca="false">IF(N(AB616)&gt;0,AB616,0)</f>
        <v>0</v>
      </c>
      <c r="CH616" s="53" t="n">
        <f aca="false">IF(ISNUMBER(AE616),1,0)</f>
        <v>0</v>
      </c>
      <c r="CI616" s="50" t="n">
        <f aca="false">N(AE616)</f>
        <v>0</v>
      </c>
      <c r="CJ616" s="50" t="n">
        <f aca="false">N(M616)+N(N616)</f>
        <v>52</v>
      </c>
      <c r="CK616" s="50" t="n">
        <f aca="false">N(M616)</f>
        <v>2</v>
      </c>
      <c r="CL616" s="50" t="n">
        <f aca="false">N(N616)</f>
        <v>50</v>
      </c>
      <c r="CM616" s="50" t="n">
        <f aca="false">ROUNDUP(H616/BY616,0)</f>
        <v>4</v>
      </c>
      <c r="CN616" s="50" t="n">
        <f aca="false">ROUNDUP(CI616/BY616,0)</f>
        <v>0</v>
      </c>
      <c r="CO616" s="53" t="n">
        <f aca="false">IF(BZ616=1,0,IFERROR(VLOOKUP(BX616,'Gebinde-Kategorie'!$A$5:$N$45,5,0)+0,0))</f>
        <v>20</v>
      </c>
      <c r="CP616" s="53" t="n">
        <f aca="false">IFERROR(IF(OR(CE616=1,CE616=2,CE616=3),N(INDEX(Parameter!$I$5:$I$7,CE616)),0),0)</f>
        <v>0</v>
      </c>
      <c r="CQ616" s="52" t="n">
        <f aca="false">IF(AND(Parameter!$B$21="Ja",ISNUMBER(W616),N(X616)&gt;0),IFERROR(N(INDEX(Parameter!$L$5:$L$7,W616))*INDEX(Parameter!$E$5:$E$7,W616)*X616/SUMIFS($X$7:$X$1843,$W$7:$W$1843,W616),0),0)</f>
        <v>0</v>
      </c>
    </row>
    <row r="617" customFormat="false" ht="15" hidden="false" customHeight="false" outlineLevel="0" collapsed="false">
      <c r="A617" s="48" t="s">
        <v>1280</v>
      </c>
      <c r="B617" s="48" t="s">
        <v>1271</v>
      </c>
      <c r="C617" s="48" t="s">
        <v>173</v>
      </c>
      <c r="D617" s="48" t="s">
        <v>193</v>
      </c>
      <c r="E617" s="48" t="s">
        <v>194</v>
      </c>
      <c r="F617" s="48" t="s">
        <v>227</v>
      </c>
      <c r="G617" s="49" t="n">
        <v>0.05</v>
      </c>
      <c r="H617" s="50" t="n">
        <f aca="false">MAX(0,IF(AND(Parameter!$B$21="Ja",ISNUMBER(Y617)),Y617,IF(Parameter!$B$20="Jahresanfang 2025 + Export",BR617+BQ617,BQ617)))</f>
        <v>188</v>
      </c>
      <c r="I617" s="50" t="n">
        <f aca="false">H617*G617</f>
        <v>9.4</v>
      </c>
      <c r="J617" s="50" t="n">
        <f aca="false">BT617*Parameter!$B$18</f>
        <v>38</v>
      </c>
      <c r="K617" s="51" t="n">
        <v>145.5</v>
      </c>
      <c r="L617" s="52" t="n">
        <v>0.261168384879725</v>
      </c>
      <c r="M617" s="50" t="n">
        <v>0</v>
      </c>
      <c r="N617" s="50" t="n">
        <v>40</v>
      </c>
      <c r="O617" s="53" t="n">
        <v>14</v>
      </c>
      <c r="P617" s="48" t="s">
        <v>410</v>
      </c>
      <c r="Q617" s="50" t="n">
        <v>190</v>
      </c>
      <c r="R617" s="53" t="n">
        <f aca="false">IF(BZ617=1,0,IFERROR(VLOOKUP(BX617,'Gebinde-Kategorie'!$A$5:$N$45,13,0)+0,0))</f>
        <v>280</v>
      </c>
      <c r="S617" s="54"/>
      <c r="T617" s="55"/>
      <c r="U617" s="55"/>
      <c r="V617" s="55"/>
      <c r="W617" s="48"/>
      <c r="X617" s="50"/>
      <c r="Y617" s="50"/>
      <c r="Z617" s="48" t="n">
        <f aca="false">IF(A617="","",IF(AND(Parameter!$B$21="Ja",ISNUMBER(W617)),W617,IF(CC617="2+3",IF(ISNUMBER(SEARCH("grosser Artikel",BU617)),2,IFERROR(VLOOKUP(BX617,Parameter!$F$35:$G$64,2,0),2)),IF(OR(CC617="Nein",CC617=""),"-",CC617))))</f>
        <v>3</v>
      </c>
      <c r="AA617" s="55"/>
      <c r="AB617" s="56"/>
      <c r="AC617" s="50" t="n">
        <f aca="false">AV617</f>
        <v>40</v>
      </c>
      <c r="AD617" s="50" t="n">
        <f aca="false">MAX(AV617,H617)</f>
        <v>188</v>
      </c>
      <c r="AE617" s="57"/>
      <c r="AF617" s="50" t="n">
        <f aca="false">IF(LEFT(Cockpit!$C$5,1)="A",H617,IF(Parameter!$E$30="MAX-Bestand",IF(CH617=1,CI617,IF(LEFT(Cockpit!$C$5,1)="B",AL617,MAX(AL617,H617))),ROUNDUP(AJ617,0)))</f>
        <v>188</v>
      </c>
      <c r="AG617" s="50" t="n">
        <f aca="false">IF(BZ617=1,0,ROUNDUP(AF617/BY617,0))</f>
        <v>1</v>
      </c>
      <c r="AH617" s="52" t="n">
        <f aca="false">IF(CQ617&gt;0,CQ617*MAX(1,AF617/X617),IF(BZ617=1,IF(AF617&lt;=0,0,CD617*MAX(1,IF(H617&gt;0,AF617/H617,1))),IF(R617&gt;0,AG617/R617,0))/MAX(0.1,N(Parameter!$M$21)))</f>
        <v>0.00357142857142857</v>
      </c>
      <c r="AI617" s="50" t="n">
        <f aca="false">AH617*CB617</f>
        <v>0.553571428571429</v>
      </c>
      <c r="AJ617" s="51" t="n">
        <f aca="false">IF(LEFT(Cockpit!$C$5,1)="A",H617,IF(CH617=1,(CK617+CI617)/2,IF(LEFT(Cockpit!$C$5,1)="B",(CK617+AL617)/2,MAX((CK617+AL617)/2,H617))))</f>
        <v>188</v>
      </c>
      <c r="AK617" s="50" t="n">
        <f aca="false">AJ617*G617</f>
        <v>9.4</v>
      </c>
      <c r="AL617" s="50" t="n">
        <f aca="false">ROUNDUP(CK617+MAX(CL617,2*(J617/IF(CG617&gt;0,CG617,MAX(0.1,N(Cockpit!$C$6)))-CK617)),0)</f>
        <v>40</v>
      </c>
      <c r="AM617" s="51" t="n">
        <f aca="false">IF(AI617&gt;0,J617/AI617,-1)</f>
        <v>68.6451612903226</v>
      </c>
      <c r="AN617" s="51" t="n">
        <f aca="false">IF(AND(OR(CF617="L1",CF617="L23",CF617="LIFT"),AI617&gt;0),SUMIFS($AI$7:$AI$1843,$CF$7:$CF$1843,CF617,$AM$7:$AM$1843,"&gt;"&amp;AM617)+SUMIFS($AI$7:$AI$1843,$CF$7:$CF$1843,CF617,$AM$7:$AM$1843,AM617,$BW$7:$BW$1843,"&lt;="&amp;BW617),"")</f>
        <v>915.326923076923</v>
      </c>
      <c r="AO617" s="58" t="n">
        <f aca="false">IF(AN617="",0,MAX(0,MIN(1,(IF(CF617="L1",Parameter!$H$5,IF(CF617="L23",Parameter!$H$6+Parameter!$H$7,Parameter!$H$5+Parameter!$H$6+Parameter!$H$7))-(AN617-AI617))/AI617)))</f>
        <v>1</v>
      </c>
      <c r="AP617" s="50" t="n">
        <f aca="false">IF(LEFT(Cockpit!$I$5,1)="A",H617,IF(Parameter!$E$30="MAX-Bestand",IF(CH617=1,CI617,IF(LEFT(Cockpit!$I$5,1)="B",AV617,MAX(AV617,H617))),ROUNDUP(AT617,0)))</f>
        <v>188</v>
      </c>
      <c r="AQ617" s="50" t="n">
        <f aca="false">IF(BZ617=1,0,ROUNDUP(AP617/BY617,0))</f>
        <v>1</v>
      </c>
      <c r="AR617" s="52" t="n">
        <f aca="false">IF(CQ617&gt;0,CQ617*MAX(1,AP617/X617),IF(BZ617=1,IF(AP617&lt;=0,0,CD617*MAX(1,IF(H617&gt;0,AP617/H617,1))),IF(R617&gt;0,AQ617/R617,0))/MAX(0.1,N(Parameter!$M$21)))</f>
        <v>0.00357142857142857</v>
      </c>
      <c r="AS617" s="50" t="n">
        <f aca="false">AR617*CB617</f>
        <v>0.553571428571429</v>
      </c>
      <c r="AT617" s="51" t="n">
        <f aca="false">IF(LEFT(Cockpit!$I$5,1)="A",H617,IF(CH617=1,(CK617+CI617)/2,IF(LEFT(Cockpit!$I$5,1)="B",(CK617+AV617)/2,MAX((CK617+AV617)/2,H617))))</f>
        <v>188</v>
      </c>
      <c r="AU617" s="50" t="n">
        <f aca="false">AT617*G617</f>
        <v>9.4</v>
      </c>
      <c r="AV617" s="50" t="n">
        <f aca="false">ROUNDUP(CK617+MAX(CL617,2*(J617/IF(CG617&gt;0,CG617,MAX(0.1,N(Cockpit!$I$6)))-CK617)),0)</f>
        <v>40</v>
      </c>
      <c r="AW617" s="51" t="n">
        <f aca="false">IF(AS617&gt;0,J617/AS617,-1)</f>
        <v>68.6451612903226</v>
      </c>
      <c r="AX617" s="51" t="n">
        <f aca="false">IF(AND(OR(CF617="L1",CF617="L23",CF617="LIFT"),AS617&gt;0),SUMIFS($AS$7:$AS$1843,$CF$7:$CF$1843,CF617,$AW$7:$AW$1843,"&gt;"&amp;AW617)+SUMIFS($AS$7:$AS$1843,$CF$7:$CF$1843,CF617,$AW$7:$AW$1843,AW617,$BW$7:$BW$1843,"&lt;="&amp;BW617),"")</f>
        <v>1127.13186813187</v>
      </c>
      <c r="AY617" s="58" t="n">
        <f aca="false">IF(AX617="",0,MAX(0,MIN(1,(IF(CF617="L1",Parameter!$H$5,IF(CF617="L23",Parameter!$H$6+Parameter!$H$7,Parameter!$H$5+Parameter!$H$6+Parameter!$H$7))-(AX617-AS617))/AS617)))</f>
        <v>1</v>
      </c>
      <c r="AZ617" s="50" t="n">
        <f aca="false">IF(LEFT(Cockpit!$O$5,1)="A",H617,IF(Parameter!$E$30="MAX-Bestand",IF(CH617=1,CI617,IF(LEFT(Cockpit!$O$5,1)="B",BF617,MAX(BF617,H617))),ROUNDUP(BD617,0)))</f>
        <v>20</v>
      </c>
      <c r="BA617" s="50" t="n">
        <f aca="false">IF(BZ617=1,0,ROUNDUP(AZ617/BY617,0))</f>
        <v>1</v>
      </c>
      <c r="BB617" s="52" t="n">
        <f aca="false">IF(CQ617&gt;0,CQ617*MAX(1,AZ617/X617),IF(BZ617=1,IF(AZ617&lt;=0,0,CD617*MAX(1,IF(H617&gt;0,AZ617/H617,1))),IF(R617&gt;0,BA617/R617,0))/MAX(0.1,N(Parameter!$M$21)))</f>
        <v>0.00357142857142857</v>
      </c>
      <c r="BC617" s="50" t="n">
        <f aca="false">BB617*CB617</f>
        <v>0.553571428571429</v>
      </c>
      <c r="BD617" s="51" t="n">
        <f aca="false">IF(LEFT(Cockpit!$O$5,1)="A",H617,IF(CH617=1,(CK617+CI617)/2,IF(LEFT(Cockpit!$O$5,1)="B",(CK617+BF617)/2,MAX((CK617+BF617)/2,H617))))</f>
        <v>20</v>
      </c>
      <c r="BE617" s="50" t="n">
        <f aca="false">BD617*G617</f>
        <v>1</v>
      </c>
      <c r="BF617" s="50" t="n">
        <f aca="false">ROUNDUP(CK617+MAX(CL617,2*(J617/IF(CG617&gt;0,CG617,MAX(0.1,N(Cockpit!$O$6)))-CK617)),0)</f>
        <v>40</v>
      </c>
      <c r="BG617" s="51" t="n">
        <f aca="false">IF(BC617&gt;0,J617/BC617,-1)</f>
        <v>68.6451612903226</v>
      </c>
      <c r="BH617" s="51" t="n">
        <f aca="false">IF(AND(OR(CF617="L1",CF617="L23",CF617="LIFT"),BC617&gt;0),SUMIFS($BC$7:$BC$1843,$CF$7:$CF$1843,CF617,$BG$7:$BG$1843,"&gt;"&amp;BG617)+SUMIFS($BC$7:$BC$1843,$CF$7:$CF$1843,CF617,$BG$7:$BG$1843,BG617,$BW$7:$BW$1843,"&lt;="&amp;BW617),"")</f>
        <v>1030.96245421245</v>
      </c>
      <c r="BI617" s="58" t="n">
        <f aca="false">IF(BH617="",0,MAX(0,MIN(1,(IF(CF617="L1",Parameter!$H$5,IF(CF617="L23",Parameter!$H$6+Parameter!$H$7,Parameter!$H$5+Parameter!$H$6+Parameter!$H$7))-(BH617-BC617))/BC617)))</f>
        <v>1</v>
      </c>
      <c r="BJ617" s="48" t="str">
        <f aca="false">IF(AI617&lt;=0,"",IF(CF617="Aussen","Aussenlager",IF(CF617="-","Nicht im Lift",IF(AO617&gt;=1,"Lift",IF(AO617&lt;=0,"Aussenlager","teilweise")))))</f>
        <v>Lift</v>
      </c>
      <c r="BK617" s="48" t="str">
        <f aca="false">IF(AS617&lt;=0,"",IF(CF617="Aussen","Aussenlager",IF(CF617="-","Nicht im Lift",IF(AY617&gt;=1,"Lift",IF(AY617&lt;=0,"Aussenlager","teilweise")))))</f>
        <v>Lift</v>
      </c>
      <c r="BL617" s="48" t="str">
        <f aca="false">IF(BC617&lt;=0,"",IF(CF617="Aussen","Aussenlager",IF(CF617="-","Nicht im Lift",IF(BI617&gt;=1,"Lift",IF(BI617&lt;=0,"Aussenlager","teilweise")))))</f>
        <v>Lift</v>
      </c>
      <c r="BM617" s="48" t="str">
        <f aca="false">IF(A617="","",IF(BV617=1,"Neu; ","")&amp;IF(AND(BV617=0,BQ617&lt;0),"negativer Bestand (Export "&amp;BQ617&amp;"); ","")&amp;IF(J617&lt;=0,"Kein Verbrauch; ","")&amp;IF(CQ617&gt;0,"Lift "&amp;W617&amp;" lt. Liftbericht (Fach "&amp;X617&amp;" Stk); ",IF(CA617=1,"Gebinde geschätzt ("&amp;T617&amp;"); ",IF(BZ617=1,"Lose – Tablare geschätzt; ","")))&amp;IF(H617&gt;AV617,"Überbestand "&amp;ROUND(H617-AV617,0)&amp;" Stk / CHF "&amp;ROUND((H617-AV617)*G617,0)&amp;"; ","")&amp;IF(AND(CH617=1,CI617&lt;CJ617),"MAX &lt; MB+LG; ","")&amp;IF(AND(CP617&gt;0,CO617*10&gt;CP617),"zu hoch für Tablar; ","")&amp;IF(AND(BV617=0,OR(CH617=1,AA617&lt;&gt;"",U617&lt;&gt;"",V617&lt;&gt;"",AB617&lt;&gt;"")),"manuell übersteuert; ","")&amp;IF(AND(BZ617=0,R617=0),"Gebinde unbekannt / Stellmass fehlt; ","")&amp;IF(AND(BZ617=0,N(V617)&lt;=0,N(Q617)&lt;=0),"Menge pro Gebinde fehlt (Ist = 1 Gebinde); ","")&amp;BU617)</f>
        <v>Überbestand 148 Stk / CHF 7; </v>
      </c>
      <c r="BN617" s="48"/>
      <c r="BO617" s="48"/>
      <c r="BP617" s="55"/>
      <c r="BQ617" s="50" t="n">
        <v>91</v>
      </c>
      <c r="BR617" s="50" t="n">
        <v>97</v>
      </c>
      <c r="BS617" s="49" t="n">
        <v>4.55</v>
      </c>
      <c r="BT617" s="50" t="n">
        <v>38</v>
      </c>
      <c r="BU617" s="48"/>
      <c r="BV617" s="53" t="n">
        <v>0</v>
      </c>
      <c r="BW617" s="53" t="n">
        <v>617</v>
      </c>
      <c r="BX617" s="48" t="str">
        <f aca="false">IF(U617&lt;&gt;"",UPPER(TRIM(U617)),IF(CA617=1,UPPER(VLOOKUP(T617,Parameter!$I$27:$K$29,2,0)),IF(P617="","LOSE",P617)))</f>
        <v>S21</v>
      </c>
      <c r="BY617" s="50" t="n">
        <f aca="false">IF(BX617="LOSE",1,IF(N(V617)&gt;0,V617,IF(CA617=1,MAX(1,N(VLOOKUP(T617,Parameter!$I$27:$K$29,3,0)),H617,N(N617)),IF(N(Q617)&gt;0,Q617,MAX(1,H617)))))</f>
        <v>190</v>
      </c>
      <c r="BZ617" s="53" t="n">
        <f aca="false">IF(BX617="LOSE",1,0)</f>
        <v>0</v>
      </c>
      <c r="CA617" s="53" t="n">
        <f aca="false">IF(AND(U617="",OR(P617="",P617="LOSE"),T617&lt;&gt;"",N(S617)&lt;=0,ISNUMBER(MATCH(T617,Parameter!$I$27:$I$29,0))),1,0)</f>
        <v>0</v>
      </c>
      <c r="CB617" s="53" t="n">
        <f aca="false">IF(CQ617&gt;0,INDEX(Parameter!$H$5:$H$7,W617)/INDEX(Parameter!$E$5:$E$7,W617),IF(AND(BZ617=0,N(IFERROR(VLOOKUP(BX617,'Gebinde-Kategorie'!$A$5:$N$45,14,0),0))&gt;0),VLOOKUP(BX617,'Gebinde-Kategorie'!$A$5:$N$45,14,0)*10+Parameter!$M$23,Parameter!$M$24))</f>
        <v>155</v>
      </c>
      <c r="CC617" s="48" t="str">
        <f aca="false">IF(AND(Parameter!$B$19="Ja",E617&lt;&gt;"",ISNUMBER(MATCH(E617,Parameter!$I$35:$I$52,0))),VLOOKUP(E617,Parameter!$I$35:$J$52,2,0),IFERROR(VLOOKUP(D617,Parameter!$A$35:$C$64,2,0),"Nein"))</f>
        <v>2+3</v>
      </c>
      <c r="CD617" s="52" t="n">
        <f aca="false">IF(BZ617=0,0,IF(N(S617)&gt;0,S617,IFERROR(VLOOKUP(D617,Parameter!$A$35:$C$64,3,0)+0,0)))</f>
        <v>0</v>
      </c>
      <c r="CE617" s="48" t="n">
        <f aca="false">IF(AA617&lt;&gt;"",AA617,Z617)</f>
        <v>3</v>
      </c>
      <c r="CF617" s="48" t="str">
        <f aca="false">IF(OR(CE617=1,CE617=2,CE617=3),IF(Parameter!$E$27="Ja","LIFT",IF(CE617=1,"L1","L23")),IF(CE617="Aussen","Aussen","-"))</f>
        <v>LIFT</v>
      </c>
      <c r="CG617" s="59" t="n">
        <f aca="false">IF(N(AB617)&gt;0,AB617,0)</f>
        <v>0</v>
      </c>
      <c r="CH617" s="53" t="n">
        <f aca="false">IF(ISNUMBER(AE617),1,0)</f>
        <v>0</v>
      </c>
      <c r="CI617" s="50" t="n">
        <f aca="false">N(AE617)</f>
        <v>0</v>
      </c>
      <c r="CJ617" s="50" t="n">
        <f aca="false">N(M617)+N(N617)</f>
        <v>40</v>
      </c>
      <c r="CK617" s="50" t="n">
        <f aca="false">N(M617)</f>
        <v>0</v>
      </c>
      <c r="CL617" s="50" t="n">
        <f aca="false">N(N617)</f>
        <v>40</v>
      </c>
      <c r="CM617" s="50" t="n">
        <f aca="false">ROUNDUP(H617/BY617,0)</f>
        <v>1</v>
      </c>
      <c r="CN617" s="50" t="n">
        <f aca="false">ROUNDUP(CI617/BY617,0)</f>
        <v>0</v>
      </c>
      <c r="CO617" s="53" t="n">
        <f aca="false">IF(BZ617=1,0,IFERROR(VLOOKUP(BX617,'Gebinde-Kategorie'!$A$5:$N$45,5,0)+0,0))</f>
        <v>8</v>
      </c>
      <c r="CP617" s="53" t="n">
        <f aca="false">IFERROR(IF(OR(CE617=1,CE617=2,CE617=3),N(INDEX(Parameter!$I$5:$I$7,CE617)),0),0)</f>
        <v>0</v>
      </c>
      <c r="CQ617" s="52" t="n">
        <f aca="false">IF(AND(Parameter!$B$21="Ja",ISNUMBER(W617),N(X617)&gt;0),IFERROR(N(INDEX(Parameter!$L$5:$L$7,W617))*INDEX(Parameter!$E$5:$E$7,W617)*X617/SUMIFS($X$7:$X$1843,$W$7:$W$1843,W617),0),0)</f>
        <v>0</v>
      </c>
    </row>
    <row r="618" customFormat="false" ht="15" hidden="false" customHeight="false" outlineLevel="0" collapsed="false">
      <c r="A618" s="48" t="s">
        <v>1281</v>
      </c>
      <c r="B618" s="48" t="s">
        <v>1282</v>
      </c>
      <c r="C618" s="48" t="s">
        <v>173</v>
      </c>
      <c r="D618" s="48" t="s">
        <v>182</v>
      </c>
      <c r="E618" s="48"/>
      <c r="F618" s="48" t="s">
        <v>227</v>
      </c>
      <c r="G618" s="49" t="n">
        <v>0.05</v>
      </c>
      <c r="H618" s="50" t="n">
        <f aca="false">MAX(0,IF(AND(Parameter!$B$21="Ja",ISNUMBER(Y618)),Y618,IF(Parameter!$B$20="Jahresanfang 2025 + Export",BR618+BQ618,BQ618)))</f>
        <v>93</v>
      </c>
      <c r="I618" s="50" t="n">
        <f aca="false">H618*G618</f>
        <v>4.65</v>
      </c>
      <c r="J618" s="50" t="n">
        <f aca="false">BT618*Parameter!$B$18</f>
        <v>0</v>
      </c>
      <c r="K618" s="51" t="n">
        <v>45.5</v>
      </c>
      <c r="L618" s="52" t="n">
        <v>0</v>
      </c>
      <c r="M618" s="50" t="n">
        <v>4</v>
      </c>
      <c r="N618" s="50" t="n">
        <v>125</v>
      </c>
      <c r="O618" s="53" t="n">
        <v>14</v>
      </c>
      <c r="P618" s="48" t="s">
        <v>177</v>
      </c>
      <c r="Q618" s="50"/>
      <c r="R618" s="53" t="n">
        <f aca="false">IF(BZ618=1,0,IFERROR(VLOOKUP(BX618,'Gebinde-Kategorie'!$A$5:$N$45,13,0)+0,0))</f>
        <v>26</v>
      </c>
      <c r="S618" s="54"/>
      <c r="T618" s="55" t="s">
        <v>284</v>
      </c>
      <c r="U618" s="55"/>
      <c r="V618" s="55"/>
      <c r="W618" s="48"/>
      <c r="X618" s="50"/>
      <c r="Y618" s="50"/>
      <c r="Z618" s="48" t="n">
        <f aca="false">IF(A618="","",IF(AND(Parameter!$B$21="Ja",ISNUMBER(W618)),W618,IF(CC618="2+3",IF(ISNUMBER(SEARCH("grosser Artikel",BU618)),2,IFERROR(VLOOKUP(BX618,Parameter!$F$35:$G$64,2,0),2)),IF(OR(CC618="Nein",CC618=""),"-",CC618))))</f>
        <v>3</v>
      </c>
      <c r="AA618" s="55"/>
      <c r="AB618" s="56"/>
      <c r="AC618" s="50" t="n">
        <f aca="false">AV618</f>
        <v>129</v>
      </c>
      <c r="AD618" s="50" t="n">
        <f aca="false">MAX(AV618,H618)</f>
        <v>129</v>
      </c>
      <c r="AE618" s="57"/>
      <c r="AF618" s="50" t="n">
        <f aca="false">IF(LEFT(Cockpit!$C$5,1)="A",H618,IF(Parameter!$E$30="MAX-Bestand",IF(CH618=1,CI618,IF(LEFT(Cockpit!$C$5,1)="B",AL618,MAX(AL618,H618))),ROUNDUP(AJ618,0)))</f>
        <v>93</v>
      </c>
      <c r="AG618" s="50" t="n">
        <f aca="false">IF(BZ618=1,0,ROUNDUP(AF618/BY618,0))</f>
        <v>1</v>
      </c>
      <c r="AH618" s="52" t="n">
        <f aca="false">IF(CQ618&gt;0,CQ618*MAX(1,AF618/X618),IF(BZ618=1,IF(AF618&lt;=0,0,CD618*MAX(1,IF(H618&gt;0,AF618/H618,1))),IF(R618&gt;0,AG618/R618,0))/MAX(0.1,N(Parameter!$M$21)))</f>
        <v>0.0384615384615385</v>
      </c>
      <c r="AI618" s="50" t="n">
        <f aca="false">AH618*CB618</f>
        <v>5.96153846153846</v>
      </c>
      <c r="AJ618" s="51" t="n">
        <f aca="false">IF(LEFT(Cockpit!$C$5,1)="A",H618,IF(CH618=1,(CK618+CI618)/2,IF(LEFT(Cockpit!$C$5,1)="B",(CK618+AL618)/2,MAX((CK618+AL618)/2,H618))))</f>
        <v>93</v>
      </c>
      <c r="AK618" s="50" t="n">
        <f aca="false">AJ618*G618</f>
        <v>4.65</v>
      </c>
      <c r="AL618" s="50" t="n">
        <f aca="false">ROUNDUP(CK618+MAX(CL618,2*(J618/IF(CG618&gt;0,CG618,MAX(0.1,N(Cockpit!$C$6)))-CK618)),0)</f>
        <v>129</v>
      </c>
      <c r="AM618" s="51" t="n">
        <f aca="false">IF(AI618&gt;0,J618/AI618,-1)</f>
        <v>0</v>
      </c>
      <c r="AN618" s="51" t="n">
        <f aca="false">IF(AND(OR(CF618="L1",CF618="L23",CF618="LIFT"),AI618&gt;0),SUMIFS($AI$7:$AI$1843,$CF$7:$CF$1843,CF618,$AM$7:$AM$1843,"&gt;"&amp;AM618)+SUMIFS($AI$7:$AI$1843,$CF$7:$CF$1843,CF618,$AM$7:$AM$1843,AM618,$BW$7:$BW$1843,"&lt;="&amp;BW618),"")</f>
        <v>28546.5056626519</v>
      </c>
      <c r="AO618" s="58" t="n">
        <f aca="false">IF(AN618="",0,MAX(0,MIN(1,(IF(CF618="L1",Parameter!$H$5,IF(CF618="L23",Parameter!$H$6+Parameter!$H$7,Parameter!$H$5+Parameter!$H$6+Parameter!$H$7))-(AN618-AI618))/AI618)))</f>
        <v>1</v>
      </c>
      <c r="AP618" s="50" t="n">
        <f aca="false">IF(LEFT(Cockpit!$I$5,1)="A",H618,IF(Parameter!$E$30="MAX-Bestand",IF(CH618=1,CI618,IF(LEFT(Cockpit!$I$5,1)="B",AV618,MAX(AV618,H618))),ROUNDUP(AT618,0)))</f>
        <v>93</v>
      </c>
      <c r="AQ618" s="50" t="n">
        <f aca="false">IF(BZ618=1,0,ROUNDUP(AP618/BY618,0))</f>
        <v>1</v>
      </c>
      <c r="AR618" s="52" t="n">
        <f aca="false">IF(CQ618&gt;0,CQ618*MAX(1,AP618/X618),IF(BZ618=1,IF(AP618&lt;=0,0,CD618*MAX(1,IF(H618&gt;0,AP618/H618,1))),IF(R618&gt;0,AQ618/R618,0))/MAX(0.1,N(Parameter!$M$21)))</f>
        <v>0.0384615384615385</v>
      </c>
      <c r="AS618" s="50" t="n">
        <f aca="false">AR618*CB618</f>
        <v>5.96153846153846</v>
      </c>
      <c r="AT618" s="51" t="n">
        <f aca="false">IF(LEFT(Cockpit!$I$5,1)="A",H618,IF(CH618=1,(CK618+CI618)/2,IF(LEFT(Cockpit!$I$5,1)="B",(CK618+AV618)/2,MAX((CK618+AV618)/2,H618))))</f>
        <v>93</v>
      </c>
      <c r="AU618" s="50" t="n">
        <f aca="false">AT618*G618</f>
        <v>4.65</v>
      </c>
      <c r="AV618" s="50" t="n">
        <f aca="false">ROUNDUP(CK618+MAX(CL618,2*(J618/IF(CG618&gt;0,CG618,MAX(0.1,N(Cockpit!$I$6)))-CK618)),0)</f>
        <v>129</v>
      </c>
      <c r="AW618" s="51" t="n">
        <f aca="false">IF(AS618&gt;0,J618/AS618,-1)</f>
        <v>0</v>
      </c>
      <c r="AX618" s="51" t="n">
        <f aca="false">IF(AND(OR(CF618="L1",CF618="L23",CF618="LIFT"),AS618&gt;0),SUMIFS($AS$7:$AS$1843,$CF$7:$CF$1843,CF618,$AW$7:$AW$1843,"&gt;"&amp;AW618)+SUMIFS($AS$7:$AS$1843,$CF$7:$CF$1843,CF618,$AW$7:$AW$1843,AW618,$BW$7:$BW$1843,"&lt;="&amp;BW618),"")</f>
        <v>33899.6543040293</v>
      </c>
      <c r="AY618" s="58" t="n">
        <f aca="false">IF(AX618="",0,MAX(0,MIN(1,(IF(CF618="L1",Parameter!$H$5,IF(CF618="L23",Parameter!$H$6+Parameter!$H$7,Parameter!$H$5+Parameter!$H$6+Parameter!$H$7))-(AX618-AS618))/AS618)))</f>
        <v>1</v>
      </c>
      <c r="AZ618" s="50" t="n">
        <f aca="false">IF(LEFT(Cockpit!$O$5,1)="A",H618,IF(Parameter!$E$30="MAX-Bestand",IF(CH618=1,CI618,IF(LEFT(Cockpit!$O$5,1)="B",BF618,MAX(BF618,H618))),ROUNDUP(BD618,0)))</f>
        <v>67</v>
      </c>
      <c r="BA618" s="50" t="n">
        <f aca="false">IF(BZ618=1,0,ROUNDUP(AZ618/BY618,0))</f>
        <v>1</v>
      </c>
      <c r="BB618" s="52" t="n">
        <f aca="false">IF(CQ618&gt;0,CQ618*MAX(1,AZ618/X618),IF(BZ618=1,IF(AZ618&lt;=0,0,CD618*MAX(1,IF(H618&gt;0,AZ618/H618,1))),IF(R618&gt;0,BA618/R618,0))/MAX(0.1,N(Parameter!$M$21)))</f>
        <v>0.0384615384615385</v>
      </c>
      <c r="BC618" s="50" t="n">
        <f aca="false">BB618*CB618</f>
        <v>5.96153846153846</v>
      </c>
      <c r="BD618" s="51" t="n">
        <f aca="false">IF(LEFT(Cockpit!$O$5,1)="A",H618,IF(CH618=1,(CK618+CI618)/2,IF(LEFT(Cockpit!$O$5,1)="B",(CK618+BF618)/2,MAX((CK618+BF618)/2,H618))))</f>
        <v>66.5</v>
      </c>
      <c r="BE618" s="50" t="n">
        <f aca="false">BD618*G618</f>
        <v>3.325</v>
      </c>
      <c r="BF618" s="50" t="n">
        <f aca="false">ROUNDUP(CK618+MAX(CL618,2*(J618/IF(CG618&gt;0,CG618,MAX(0.1,N(Cockpit!$O$6)))-CK618)),0)</f>
        <v>129</v>
      </c>
      <c r="BG618" s="51" t="n">
        <f aca="false">IF(BC618&gt;0,J618/BC618,-1)</f>
        <v>0</v>
      </c>
      <c r="BH618" s="51" t="n">
        <f aca="false">IF(AND(OR(CF618="L1",CF618="L23",CF618="LIFT"),BC618&gt;0),SUMIFS($BC$7:$BC$1843,$CF$7:$CF$1843,CF618,$BG$7:$BG$1843,"&gt;"&amp;BG618)+SUMIFS($BC$7:$BC$1843,$CF$7:$CF$1843,CF618,$BG$7:$BG$1843,BG618,$BW$7:$BW$1843,"&lt;="&amp;BW618),"")</f>
        <v>27971.9591326752</v>
      </c>
      <c r="BI618" s="58" t="n">
        <f aca="false">IF(BH618="",0,MAX(0,MIN(1,(IF(CF618="L1",Parameter!$H$5,IF(CF618="L23",Parameter!$H$6+Parameter!$H$7,Parameter!$H$5+Parameter!$H$6+Parameter!$H$7))-(BH618-BC618))/BC618)))</f>
        <v>1</v>
      </c>
      <c r="BJ618" s="48" t="str">
        <f aca="false">IF(AI618&lt;=0,"",IF(CF618="Aussen","Aussenlager",IF(CF618="-","Nicht im Lift",IF(AO618&gt;=1,"Lift",IF(AO618&lt;=0,"Aussenlager","teilweise")))))</f>
        <v>Lift</v>
      </c>
      <c r="BK618" s="48" t="str">
        <f aca="false">IF(AS618&lt;=0,"",IF(CF618="Aussen","Aussenlager",IF(CF618="-","Nicht im Lift",IF(AY618&gt;=1,"Lift",IF(AY618&lt;=0,"Aussenlager","teilweise")))))</f>
        <v>Lift</v>
      </c>
      <c r="BL618" s="48" t="str">
        <f aca="false">IF(BC618&lt;=0,"",IF(CF618="Aussen","Aussenlager",IF(CF618="-","Nicht im Lift",IF(BI618&gt;=1,"Lift",IF(BI618&lt;=0,"Aussenlager","teilweise")))))</f>
        <v>Lift</v>
      </c>
      <c r="BM618" s="48" t="str">
        <f aca="false">IF(A618="","",IF(BV618=1,"Neu; ","")&amp;IF(AND(BV618=0,BQ618&lt;0),"negativer Bestand (Export "&amp;BQ618&amp;"); ","")&amp;IF(J618&lt;=0,"Kein Verbrauch; ","")&amp;IF(CQ618&gt;0,"Lift "&amp;W618&amp;" lt. Liftbericht (Fach "&amp;X618&amp;" Stk); ",IF(CA618=1,"Gebinde geschätzt ("&amp;T618&amp;"); ",IF(BZ618=1,"Lose – Tablare geschätzt; ","")))&amp;IF(H618&gt;AV618,"Überbestand "&amp;ROUND(H618-AV618,0)&amp;" Stk / CHF "&amp;ROUND((H618-AV618)*G618,0)&amp;"; ","")&amp;IF(AND(CH618=1,CI618&lt;CJ618),"MAX &lt; MB+LG; ","")&amp;IF(AND(CP618&gt;0,CO618*10&gt;CP618),"zu hoch für Tablar; ","")&amp;IF(AND(BV618=0,OR(CH618=1,AA618&lt;&gt;"",U618&lt;&gt;"",V618&lt;&gt;"",AB618&lt;&gt;"")),"manuell übersteuert; ","")&amp;IF(AND(BZ618=0,R618=0),"Gebinde unbekannt / Stellmass fehlt; ","")&amp;IF(AND(BZ618=0,N(V618)&lt;=0,N(Q618)&lt;=0),"Menge pro Gebinde fehlt (Ist = 1 Gebinde); ","")&amp;BU618)</f>
        <v>Kein Verbrauch; Gebinde geschätzt (Klein); Menge pro Gebinde fehlt (Ist = 1 Gebinde); </v>
      </c>
      <c r="BN618" s="48"/>
      <c r="BO618" s="48"/>
      <c r="BP618" s="55"/>
      <c r="BQ618" s="50" t="n">
        <v>88</v>
      </c>
      <c r="BR618" s="50" t="n">
        <v>5</v>
      </c>
      <c r="BS618" s="49" t="n">
        <v>4.4</v>
      </c>
      <c r="BT618" s="50" t="n">
        <v>0</v>
      </c>
      <c r="BU618" s="48"/>
      <c r="BV618" s="53" t="n">
        <v>0</v>
      </c>
      <c r="BW618" s="53" t="n">
        <v>618</v>
      </c>
      <c r="BX618" s="48" t="str">
        <f aca="false">IF(U618&lt;&gt;"",UPPER(TRIM(U618)),IF(CA618=1,UPPER(VLOOKUP(T618,Parameter!$I$27:$K$29,2,0)),IF(P618="","LOSE",P618)))</f>
        <v>S51</v>
      </c>
      <c r="BY618" s="50" t="n">
        <f aca="false">IF(BX618="LOSE",1,IF(N(V618)&gt;0,V618,IF(CA618=1,MAX(1,N(VLOOKUP(T618,Parameter!$I$27:$K$29,3,0)),H618,N(N618)),IF(N(Q618)&gt;0,Q618,MAX(1,H618)))))</f>
        <v>125</v>
      </c>
      <c r="BZ618" s="53" t="n">
        <f aca="false">IF(BX618="LOSE",1,0)</f>
        <v>0</v>
      </c>
      <c r="CA618" s="53" t="n">
        <f aca="false">IF(AND(U618="",OR(P618="",P618="LOSE"),T618&lt;&gt;"",N(S618)&lt;=0,ISNUMBER(MATCH(T618,Parameter!$I$27:$I$29,0))),1,0)</f>
        <v>1</v>
      </c>
      <c r="CB618" s="53" t="n">
        <f aca="false">IF(CQ618&gt;0,INDEX(Parameter!$H$5:$H$7,W618)/INDEX(Parameter!$E$5:$E$7,W618),IF(AND(BZ618=0,N(IFERROR(VLOOKUP(BX618,'Gebinde-Kategorie'!$A$5:$N$45,14,0),0))&gt;0),VLOOKUP(BX618,'Gebinde-Kategorie'!$A$5:$N$45,14,0)*10+Parameter!$M$23,Parameter!$M$24))</f>
        <v>155</v>
      </c>
      <c r="CC618" s="48" t="str">
        <f aca="false">IF(AND(Parameter!$B$19="Ja",E618&lt;&gt;"",ISNUMBER(MATCH(E618,Parameter!$I$35:$I$52,0))),VLOOKUP(E618,Parameter!$I$35:$J$52,2,0),IFERROR(VLOOKUP(D618,Parameter!$A$35:$C$64,2,0),"Nein"))</f>
        <v>2+3</v>
      </c>
      <c r="CD618" s="52" t="n">
        <f aca="false">IF(BZ618=0,0,IF(N(S618)&gt;0,S618,IFERROR(VLOOKUP(D618,Parameter!$A$35:$C$64,3,0)+0,0)))</f>
        <v>0</v>
      </c>
      <c r="CE618" s="48" t="n">
        <f aca="false">IF(AA618&lt;&gt;"",AA618,Z618)</f>
        <v>3</v>
      </c>
      <c r="CF618" s="48" t="str">
        <f aca="false">IF(OR(CE618=1,CE618=2,CE618=3),IF(Parameter!$E$27="Ja","LIFT",IF(CE618=1,"L1","L23")),IF(CE618="Aussen","Aussen","-"))</f>
        <v>LIFT</v>
      </c>
      <c r="CG618" s="59" t="n">
        <f aca="false">IF(N(AB618)&gt;0,AB618,0)</f>
        <v>0</v>
      </c>
      <c r="CH618" s="53" t="n">
        <f aca="false">IF(ISNUMBER(AE618),1,0)</f>
        <v>0</v>
      </c>
      <c r="CI618" s="50" t="n">
        <f aca="false">N(AE618)</f>
        <v>0</v>
      </c>
      <c r="CJ618" s="50" t="n">
        <f aca="false">N(M618)+N(N618)</f>
        <v>129</v>
      </c>
      <c r="CK618" s="50" t="n">
        <f aca="false">N(M618)</f>
        <v>4</v>
      </c>
      <c r="CL618" s="50" t="n">
        <f aca="false">N(N618)</f>
        <v>125</v>
      </c>
      <c r="CM618" s="50" t="n">
        <f aca="false">ROUNDUP(H618/BY618,0)</f>
        <v>1</v>
      </c>
      <c r="CN618" s="50" t="n">
        <f aca="false">ROUNDUP(CI618/BY618,0)</f>
        <v>0</v>
      </c>
      <c r="CO618" s="53" t="n">
        <f aca="false">IF(BZ618=1,0,IFERROR(VLOOKUP(BX618,'Gebinde-Kategorie'!$A$5:$N$45,5,0)+0,0))</f>
        <v>11</v>
      </c>
      <c r="CP618" s="53" t="n">
        <f aca="false">IFERROR(IF(OR(CE618=1,CE618=2,CE618=3),N(INDEX(Parameter!$I$5:$I$7,CE618)),0),0)</f>
        <v>0</v>
      </c>
      <c r="CQ618" s="52" t="n">
        <f aca="false">IF(AND(Parameter!$B$21="Ja",ISNUMBER(W618),N(X618)&gt;0),IFERROR(N(INDEX(Parameter!$L$5:$L$7,W618))*INDEX(Parameter!$E$5:$E$7,W618)*X618/SUMIFS($X$7:$X$1843,$W$7:$W$1843,W618),0),0)</f>
        <v>0</v>
      </c>
    </row>
    <row r="619" customFormat="false" ht="15" hidden="false" customHeight="false" outlineLevel="0" collapsed="false">
      <c r="A619" s="48" t="s">
        <v>1283</v>
      </c>
      <c r="B619" s="48" t="s">
        <v>416</v>
      </c>
      <c r="C619" s="48" t="s">
        <v>173</v>
      </c>
      <c r="D619" s="48" t="s">
        <v>1004</v>
      </c>
      <c r="E619" s="48"/>
      <c r="F619" s="48" t="s">
        <v>227</v>
      </c>
      <c r="G619" s="49" t="n">
        <v>3.25</v>
      </c>
      <c r="H619" s="50" t="n">
        <f aca="false">MAX(0,IF(AND(Parameter!$B$21="Ja",ISNUMBER(Y619)),Y619,IF(Parameter!$B$20="Jahresanfang 2025 + Export",BR619+BQ619,BQ619)))</f>
        <v>1</v>
      </c>
      <c r="I619" s="50" t="n">
        <f aca="false">H619*G619</f>
        <v>3.25</v>
      </c>
      <c r="J619" s="50" t="n">
        <f aca="false">BT619*Parameter!$B$18</f>
        <v>60</v>
      </c>
      <c r="K619" s="51" t="n">
        <v>0.5</v>
      </c>
      <c r="L619" s="52" t="n">
        <v>120</v>
      </c>
      <c r="M619" s="50" t="n">
        <v>0</v>
      </c>
      <c r="N619" s="50" t="n">
        <v>100</v>
      </c>
      <c r="O619" s="53" t="n">
        <v>28</v>
      </c>
      <c r="P619" s="48" t="s">
        <v>177</v>
      </c>
      <c r="Q619" s="50"/>
      <c r="R619" s="53" t="n">
        <f aca="false">IF(BZ619=1,0,IFERROR(VLOOKUP(BX619,'Gebinde-Kategorie'!$A$5:$N$45,13,0)+0,0))</f>
        <v>0</v>
      </c>
      <c r="S619" s="54"/>
      <c r="T619" s="55"/>
      <c r="U619" s="55"/>
      <c r="V619" s="55"/>
      <c r="W619" s="48"/>
      <c r="X619" s="50"/>
      <c r="Y619" s="50"/>
      <c r="Z619" s="48" t="str">
        <f aca="false">IF(A619="","",IF(AND(Parameter!$B$21="Ja",ISNUMBER(W619)),W619,IF(CC619="2+3",IF(ISNUMBER(SEARCH("grosser Artikel",BU619)),2,IFERROR(VLOOKUP(BX619,Parameter!$F$35:$G$64,2,0),2)),IF(OR(CC619="Nein",CC619=""),"-",CC619))))</f>
        <v>-</v>
      </c>
      <c r="AA619" s="55"/>
      <c r="AB619" s="56"/>
      <c r="AC619" s="50" t="n">
        <f aca="false">AV619</f>
        <v>100</v>
      </c>
      <c r="AD619" s="50" t="n">
        <f aca="false">MAX(AV619,H619)</f>
        <v>100</v>
      </c>
      <c r="AE619" s="57"/>
      <c r="AF619" s="50" t="n">
        <f aca="false">IF(LEFT(Cockpit!$C$5,1)="A",H619,IF(Parameter!$E$30="MAX-Bestand",IF(CH619=1,CI619,IF(LEFT(Cockpit!$C$5,1)="B",AL619,MAX(AL619,H619))),ROUNDUP(AJ619,0)))</f>
        <v>1</v>
      </c>
      <c r="AG619" s="50" t="n">
        <f aca="false">IF(BZ619=1,0,ROUNDUP(AF619/BY619,0))</f>
        <v>0</v>
      </c>
      <c r="AH619" s="52" t="n">
        <f aca="false">IF(CQ619&gt;0,CQ619*MAX(1,AF619/X619),IF(BZ619=1,IF(AF619&lt;=0,0,CD619*MAX(1,IF(H619&gt;0,AF619/H619,1))),IF(R619&gt;0,AG619/R619,0))/MAX(0.1,N(Parameter!$M$21)))</f>
        <v>0.15</v>
      </c>
      <c r="AI619" s="50" t="n">
        <f aca="false">AH619*CB619</f>
        <v>35.25</v>
      </c>
      <c r="AJ619" s="51" t="n">
        <f aca="false">IF(LEFT(Cockpit!$C$5,1)="A",H619,IF(CH619=1,(CK619+CI619)/2,IF(LEFT(Cockpit!$C$5,1)="B",(CK619+AL619)/2,MAX((CK619+AL619)/2,H619))))</f>
        <v>1</v>
      </c>
      <c r="AK619" s="50" t="n">
        <f aca="false">AJ619*G619</f>
        <v>3.25</v>
      </c>
      <c r="AL619" s="50" t="n">
        <f aca="false">ROUNDUP(CK619+MAX(CL619,2*(J619/IF(CG619&gt;0,CG619,MAX(0.1,N(Cockpit!$C$6)))-CK619)),0)</f>
        <v>100</v>
      </c>
      <c r="AM619" s="51" t="n">
        <f aca="false">IF(AI619&gt;0,J619/AI619,-1)</f>
        <v>1.70212765957447</v>
      </c>
      <c r="AN619" s="51" t="str">
        <f aca="false">IF(AND(OR(CF619="L1",CF619="L23",CF619="LIFT"),AI619&gt;0),SUMIFS($AI$7:$AI$1843,$CF$7:$CF$1843,CF619,$AM$7:$AM$1843,"&gt;"&amp;AM619)+SUMIFS($AI$7:$AI$1843,$CF$7:$CF$1843,CF619,$AM$7:$AM$1843,AM619,$BW$7:$BW$1843,"&lt;="&amp;BW619),"")</f>
        <v/>
      </c>
      <c r="AO619" s="58" t="n">
        <f aca="false">IF(AN619="",0,MAX(0,MIN(1,(IF(CF619="L1",Parameter!$H$5,IF(CF619="L23",Parameter!$H$6+Parameter!$H$7,Parameter!$H$5+Parameter!$H$6+Parameter!$H$7))-(AN619-AI619))/AI619)))</f>
        <v>0</v>
      </c>
      <c r="AP619" s="50" t="n">
        <f aca="false">IF(LEFT(Cockpit!$I$5,1)="A",H619,IF(Parameter!$E$30="MAX-Bestand",IF(CH619=1,CI619,IF(LEFT(Cockpit!$I$5,1)="B",AV619,MAX(AV619,H619))),ROUNDUP(AT619,0)))</f>
        <v>50</v>
      </c>
      <c r="AQ619" s="50" t="n">
        <f aca="false">IF(BZ619=1,0,ROUNDUP(AP619/BY619,0))</f>
        <v>0</v>
      </c>
      <c r="AR619" s="52" t="n">
        <f aca="false">IF(CQ619&gt;0,CQ619*MAX(1,AP619/X619),IF(BZ619=1,IF(AP619&lt;=0,0,CD619*MAX(1,IF(H619&gt;0,AP619/H619,1))),IF(R619&gt;0,AQ619/R619,0))/MAX(0.1,N(Parameter!$M$21)))</f>
        <v>7.5</v>
      </c>
      <c r="AS619" s="50" t="n">
        <f aca="false">AR619*CB619</f>
        <v>1762.5</v>
      </c>
      <c r="AT619" s="51" t="n">
        <f aca="false">IF(LEFT(Cockpit!$I$5,1)="A",H619,IF(CH619=1,(CK619+CI619)/2,IF(LEFT(Cockpit!$I$5,1)="B",(CK619+AV619)/2,MAX((CK619+AV619)/2,H619))))</f>
        <v>50</v>
      </c>
      <c r="AU619" s="50" t="n">
        <f aca="false">AT619*G619</f>
        <v>162.5</v>
      </c>
      <c r="AV619" s="50" t="n">
        <f aca="false">ROUNDUP(CK619+MAX(CL619,2*(J619/IF(CG619&gt;0,CG619,MAX(0.1,N(Cockpit!$I$6)))-CK619)),0)</f>
        <v>100</v>
      </c>
      <c r="AW619" s="51" t="n">
        <f aca="false">IF(AS619&gt;0,J619/AS619,-1)</f>
        <v>0.0340425531914894</v>
      </c>
      <c r="AX619" s="51" t="str">
        <f aca="false">IF(AND(OR(CF619="L1",CF619="L23",CF619="LIFT"),AS619&gt;0),SUMIFS($AS$7:$AS$1843,$CF$7:$CF$1843,CF619,$AW$7:$AW$1843,"&gt;"&amp;AW619)+SUMIFS($AS$7:$AS$1843,$CF$7:$CF$1843,CF619,$AW$7:$AW$1843,AW619,$BW$7:$BW$1843,"&lt;="&amp;BW619),"")</f>
        <v/>
      </c>
      <c r="AY619" s="58" t="n">
        <f aca="false">IF(AX619="",0,MAX(0,MIN(1,(IF(CF619="L1",Parameter!$H$5,IF(CF619="L23",Parameter!$H$6+Parameter!$H$7,Parameter!$H$5+Parameter!$H$6+Parameter!$H$7))-(AX619-AS619))/AS619)))</f>
        <v>0</v>
      </c>
      <c r="AZ619" s="50" t="n">
        <f aca="false">IF(LEFT(Cockpit!$O$5,1)="A",H619,IF(Parameter!$E$30="MAX-Bestand",IF(CH619=1,CI619,IF(LEFT(Cockpit!$O$5,1)="B",BF619,MAX(BF619,H619))),ROUNDUP(BD619,0)))</f>
        <v>50</v>
      </c>
      <c r="BA619" s="50" t="n">
        <f aca="false">IF(BZ619=1,0,ROUNDUP(AZ619/BY619,0))</f>
        <v>0</v>
      </c>
      <c r="BB619" s="52" t="n">
        <f aca="false">IF(CQ619&gt;0,CQ619*MAX(1,AZ619/X619),IF(BZ619=1,IF(AZ619&lt;=0,0,CD619*MAX(1,IF(H619&gt;0,AZ619/H619,1))),IF(R619&gt;0,BA619/R619,0))/MAX(0.1,N(Parameter!$M$21)))</f>
        <v>7.5</v>
      </c>
      <c r="BC619" s="50" t="n">
        <f aca="false">BB619*CB619</f>
        <v>1762.5</v>
      </c>
      <c r="BD619" s="51" t="n">
        <f aca="false">IF(LEFT(Cockpit!$O$5,1)="A",H619,IF(CH619=1,(CK619+CI619)/2,IF(LEFT(Cockpit!$O$5,1)="B",(CK619+BF619)/2,MAX((CK619+BF619)/2,H619))))</f>
        <v>50</v>
      </c>
      <c r="BE619" s="50" t="n">
        <f aca="false">BD619*G619</f>
        <v>162.5</v>
      </c>
      <c r="BF619" s="50" t="n">
        <f aca="false">ROUNDUP(CK619+MAX(CL619,2*(J619/IF(CG619&gt;0,CG619,MAX(0.1,N(Cockpit!$O$6)))-CK619)),0)</f>
        <v>100</v>
      </c>
      <c r="BG619" s="51" t="n">
        <f aca="false">IF(BC619&gt;0,J619/BC619,-1)</f>
        <v>0.0340425531914894</v>
      </c>
      <c r="BH619" s="51" t="str">
        <f aca="false">IF(AND(OR(CF619="L1",CF619="L23",CF619="LIFT"),BC619&gt;0),SUMIFS($BC$7:$BC$1843,$CF$7:$CF$1843,CF619,$BG$7:$BG$1843,"&gt;"&amp;BG619)+SUMIFS($BC$7:$BC$1843,$CF$7:$CF$1843,CF619,$BG$7:$BG$1843,BG619,$BW$7:$BW$1843,"&lt;="&amp;BW619),"")</f>
        <v/>
      </c>
      <c r="BI619" s="58" t="n">
        <f aca="false">IF(BH619="",0,MAX(0,MIN(1,(IF(CF619="L1",Parameter!$H$5,IF(CF619="L23",Parameter!$H$6+Parameter!$H$7,Parameter!$H$5+Parameter!$H$6+Parameter!$H$7))-(BH619-BC619))/BC619)))</f>
        <v>0</v>
      </c>
      <c r="BJ619" s="48" t="str">
        <f aca="false">IF(AI619&lt;=0,"",IF(CF619="Aussen","Aussenlager",IF(CF619="-","Nicht im Lift",IF(AO619&gt;=1,"Lift",IF(AO619&lt;=0,"Aussenlager","teilweise")))))</f>
        <v>Nicht im Lift</v>
      </c>
      <c r="BK619" s="48" t="str">
        <f aca="false">IF(AS619&lt;=0,"",IF(CF619="Aussen","Aussenlager",IF(CF619="-","Nicht im Lift",IF(AY619&gt;=1,"Lift",IF(AY619&lt;=0,"Aussenlager","teilweise")))))</f>
        <v>Nicht im Lift</v>
      </c>
      <c r="BL619" s="48" t="str">
        <f aca="false">IF(BC619&lt;=0,"",IF(CF619="Aussen","Aussenlager",IF(CF619="-","Nicht im Lift",IF(BI619&gt;=1,"Lift",IF(BI619&lt;=0,"Aussenlager","teilweise")))))</f>
        <v>Nicht im Lift</v>
      </c>
      <c r="BM619" s="48" t="str">
        <f aca="false">IF(A619="","",IF(BV619=1,"Neu; ","")&amp;IF(AND(BV619=0,BQ619&lt;0),"negativer Bestand (Export "&amp;BQ619&amp;"); ","")&amp;IF(J619&lt;=0,"Kein Verbrauch; ","")&amp;IF(CQ619&gt;0,"Lift "&amp;W619&amp;" lt. Liftbericht (Fach "&amp;X619&amp;" Stk); ",IF(CA619=1,"Gebinde geschätzt ("&amp;T619&amp;"); ",IF(BZ619=1,"Lose – Tablare geschätzt; ","")))&amp;IF(H619&gt;AV619,"Überbestand "&amp;ROUND(H619-AV619,0)&amp;" Stk / CHF "&amp;ROUND((H619-AV619)*G619,0)&amp;"; ","")&amp;IF(AND(CH619=1,CI619&lt;CJ619),"MAX &lt; MB+LG; ","")&amp;IF(AND(CP619&gt;0,CO619*10&gt;CP619),"zu hoch für Tablar; ","")&amp;IF(AND(BV619=0,OR(CH619=1,AA619&lt;&gt;"",U619&lt;&gt;"",V619&lt;&gt;"",AB619&lt;&gt;"")),"manuell übersteuert; ","")&amp;IF(AND(BZ619=0,R619=0),"Gebinde unbekannt / Stellmass fehlt; ","")&amp;IF(AND(BZ619=0,N(V619)&lt;=0,N(Q619)&lt;=0),"Menge pro Gebinde fehlt (Ist = 1 Gebinde); ","")&amp;BU619)</f>
        <v>Lose – Tablare geschätzt; </v>
      </c>
      <c r="BN619" s="48"/>
      <c r="BO619" s="48"/>
      <c r="BP619" s="55"/>
      <c r="BQ619" s="50" t="n">
        <v>1</v>
      </c>
      <c r="BR619" s="50" t="n">
        <v>0</v>
      </c>
      <c r="BS619" s="49" t="n">
        <v>3.25</v>
      </c>
      <c r="BT619" s="50" t="n">
        <v>60</v>
      </c>
      <c r="BU619" s="48"/>
      <c r="BV619" s="53" t="n">
        <v>0</v>
      </c>
      <c r="BW619" s="53" t="n">
        <v>619</v>
      </c>
      <c r="BX619" s="48" t="str">
        <f aca="false">IF(U619&lt;&gt;"",UPPER(TRIM(U619)),IF(CA619=1,UPPER(VLOOKUP(T619,Parameter!$I$27:$K$29,2,0)),IF(P619="","LOSE",P619)))</f>
        <v>LOSE</v>
      </c>
      <c r="BY619" s="50" t="n">
        <f aca="false">IF(BX619="LOSE",1,IF(N(V619)&gt;0,V619,IF(CA619=1,MAX(1,N(VLOOKUP(T619,Parameter!$I$27:$K$29,3,0)),H619,N(N619)),IF(N(Q619)&gt;0,Q619,MAX(1,H619)))))</f>
        <v>1</v>
      </c>
      <c r="BZ619" s="53" t="n">
        <f aca="false">IF(BX619="LOSE",1,0)</f>
        <v>1</v>
      </c>
      <c r="CA619" s="53" t="n">
        <f aca="false">IF(AND(U619="",OR(P619="",P619="LOSE"),T619&lt;&gt;"",N(S619)&lt;=0,ISNUMBER(MATCH(T619,Parameter!$I$27:$I$29,0))),1,0)</f>
        <v>0</v>
      </c>
      <c r="CB619" s="53" t="n">
        <f aca="false">IF(CQ619&gt;0,INDEX(Parameter!$H$5:$H$7,W619)/INDEX(Parameter!$E$5:$E$7,W619),IF(AND(BZ619=0,N(IFERROR(VLOOKUP(BX619,'Gebinde-Kategorie'!$A$5:$N$45,14,0),0))&gt;0),VLOOKUP(BX619,'Gebinde-Kategorie'!$A$5:$N$45,14,0)*10+Parameter!$M$23,Parameter!$M$24))</f>
        <v>235</v>
      </c>
      <c r="CC619" s="48" t="str">
        <f aca="false">IF(AND(Parameter!$B$19="Ja",E619&lt;&gt;"",ISNUMBER(MATCH(E619,Parameter!$I$35:$I$52,0))),VLOOKUP(E619,Parameter!$I$35:$J$52,2,0),IFERROR(VLOOKUP(D619,Parameter!$A$35:$C$64,2,0),"Nein"))</f>
        <v>Nein</v>
      </c>
      <c r="CD619" s="52" t="n">
        <f aca="false">IF(BZ619=0,0,IF(N(S619)&gt;0,S619,IFERROR(VLOOKUP(D619,Parameter!$A$35:$C$64,3,0)+0,0)))</f>
        <v>0.15</v>
      </c>
      <c r="CE619" s="48" t="str">
        <f aca="false">IF(AA619&lt;&gt;"",AA619,Z619)</f>
        <v>-</v>
      </c>
      <c r="CF619" s="48" t="str">
        <f aca="false">IF(OR(CE619=1,CE619=2,CE619=3),IF(Parameter!$E$27="Ja","LIFT",IF(CE619=1,"L1","L23")),IF(CE619="Aussen","Aussen","-"))</f>
        <v>-</v>
      </c>
      <c r="CG619" s="59" t="n">
        <f aca="false">IF(N(AB619)&gt;0,AB619,0)</f>
        <v>0</v>
      </c>
      <c r="CH619" s="53" t="n">
        <f aca="false">IF(ISNUMBER(AE619),1,0)</f>
        <v>0</v>
      </c>
      <c r="CI619" s="50" t="n">
        <f aca="false">N(AE619)</f>
        <v>0</v>
      </c>
      <c r="CJ619" s="50" t="n">
        <f aca="false">N(M619)+N(N619)</f>
        <v>100</v>
      </c>
      <c r="CK619" s="50" t="n">
        <f aca="false">N(M619)</f>
        <v>0</v>
      </c>
      <c r="CL619" s="50" t="n">
        <f aca="false">N(N619)</f>
        <v>100</v>
      </c>
      <c r="CM619" s="50" t="n">
        <f aca="false">ROUNDUP(H619/BY619,0)</f>
        <v>1</v>
      </c>
      <c r="CN619" s="50" t="n">
        <f aca="false">ROUNDUP(CI619/BY619,0)</f>
        <v>0</v>
      </c>
      <c r="CO619" s="53" t="n">
        <f aca="false">IF(BZ619=1,0,IFERROR(VLOOKUP(BX619,'Gebinde-Kategorie'!$A$5:$N$45,5,0)+0,0))</f>
        <v>0</v>
      </c>
      <c r="CP619" s="53" t="n">
        <f aca="false">IFERROR(IF(OR(CE619=1,CE619=2,CE619=3),N(INDEX(Parameter!$I$5:$I$7,CE619)),0),0)</f>
        <v>0</v>
      </c>
      <c r="CQ619" s="52" t="n">
        <f aca="false">IF(AND(Parameter!$B$21="Ja",ISNUMBER(W619),N(X619)&gt;0),IFERROR(N(INDEX(Parameter!$L$5:$L$7,W619))*INDEX(Parameter!$E$5:$E$7,W619)*X619/SUMIFS($X$7:$X$1843,$W$7:$W$1843,W619),0),0)</f>
        <v>0</v>
      </c>
    </row>
    <row r="620" customFormat="false" ht="15" hidden="false" customHeight="false" outlineLevel="0" collapsed="false">
      <c r="A620" s="48" t="s">
        <v>1284</v>
      </c>
      <c r="B620" s="48" t="s">
        <v>1285</v>
      </c>
      <c r="C620" s="48" t="s">
        <v>173</v>
      </c>
      <c r="D620" s="48" t="s">
        <v>193</v>
      </c>
      <c r="E620" s="48"/>
      <c r="F620" s="48" t="s">
        <v>227</v>
      </c>
      <c r="G620" s="49" t="n">
        <v>1.52</v>
      </c>
      <c r="H620" s="50" t="n">
        <f aca="false">MAX(0,IF(AND(Parameter!$B$21="Ja",ISNUMBER(Y620)),Y620,IF(Parameter!$B$20="Jahresanfang 2025 + Export",BR620+BQ620,BQ620)))</f>
        <v>2</v>
      </c>
      <c r="I620" s="50" t="n">
        <f aca="false">H620*G620</f>
        <v>3.04</v>
      </c>
      <c r="J620" s="50" t="n">
        <f aca="false">BT620*Parameter!$B$18</f>
        <v>0</v>
      </c>
      <c r="K620" s="51" t="n">
        <v>0</v>
      </c>
      <c r="L620" s="52" t="n">
        <v>0</v>
      </c>
      <c r="M620" s="50" t="n">
        <v>0</v>
      </c>
      <c r="N620" s="50" t="n">
        <v>1</v>
      </c>
      <c r="O620" s="53" t="n">
        <v>21</v>
      </c>
      <c r="P620" s="48" t="s">
        <v>435</v>
      </c>
      <c r="Q620" s="50" t="n">
        <v>10</v>
      </c>
      <c r="R620" s="53" t="n">
        <f aca="false">IF(BZ620=1,0,IFERROR(VLOOKUP(BX620,'Gebinde-Kategorie'!$A$5:$N$45,13,0)+0,0))</f>
        <v>140</v>
      </c>
      <c r="S620" s="54"/>
      <c r="T620" s="55"/>
      <c r="U620" s="55"/>
      <c r="V620" s="55"/>
      <c r="W620" s="48"/>
      <c r="X620" s="50"/>
      <c r="Y620" s="50"/>
      <c r="Z620" s="48" t="n">
        <f aca="false">IF(A620="","",IF(AND(Parameter!$B$21="Ja",ISNUMBER(W620)),W620,IF(CC620="2+3",IF(ISNUMBER(SEARCH("grosser Artikel",BU620)),2,IFERROR(VLOOKUP(BX620,Parameter!$F$35:$G$64,2,0),2)),IF(OR(CC620="Nein",CC620=""),"-",CC620))))</f>
        <v>3</v>
      </c>
      <c r="AA620" s="55"/>
      <c r="AB620" s="56"/>
      <c r="AC620" s="50" t="n">
        <f aca="false">AV620</f>
        <v>1</v>
      </c>
      <c r="AD620" s="50" t="n">
        <f aca="false">MAX(AV620,H620)</f>
        <v>2</v>
      </c>
      <c r="AE620" s="57"/>
      <c r="AF620" s="50" t="n">
        <f aca="false">IF(LEFT(Cockpit!$C$5,1)="A",H620,IF(Parameter!$E$30="MAX-Bestand",IF(CH620=1,CI620,IF(LEFT(Cockpit!$C$5,1)="B",AL620,MAX(AL620,H620))),ROUNDUP(AJ620,0)))</f>
        <v>2</v>
      </c>
      <c r="AG620" s="50" t="n">
        <f aca="false">IF(BZ620=1,0,ROUNDUP(AF620/BY620,0))</f>
        <v>1</v>
      </c>
      <c r="AH620" s="52" t="n">
        <f aca="false">IF(CQ620&gt;0,CQ620*MAX(1,AF620/X620),IF(BZ620=1,IF(AF620&lt;=0,0,CD620*MAX(1,IF(H620&gt;0,AF620/H620,1))),IF(R620&gt;0,AG620/R620,0))/MAX(0.1,N(Parameter!$M$21)))</f>
        <v>0.00714285714285714</v>
      </c>
      <c r="AI620" s="50" t="n">
        <f aca="false">AH620*CB620</f>
        <v>1.10714285714286</v>
      </c>
      <c r="AJ620" s="51" t="n">
        <f aca="false">IF(LEFT(Cockpit!$C$5,1)="A",H620,IF(CH620=1,(CK620+CI620)/2,IF(LEFT(Cockpit!$C$5,1)="B",(CK620+AL620)/2,MAX((CK620+AL620)/2,H620))))</f>
        <v>2</v>
      </c>
      <c r="AK620" s="50" t="n">
        <f aca="false">AJ620*G620</f>
        <v>3.04</v>
      </c>
      <c r="AL620" s="50" t="n">
        <f aca="false">ROUNDUP(CK620+MAX(CL620,2*(J620/IF(CG620&gt;0,CG620,MAX(0.1,N(Cockpit!$C$6)))-CK620)),0)</f>
        <v>1</v>
      </c>
      <c r="AM620" s="51" t="n">
        <f aca="false">IF(AI620&gt;0,J620/AI620,-1)</f>
        <v>0</v>
      </c>
      <c r="AN620" s="51" t="n">
        <f aca="false">IF(AND(OR(CF620="L1",CF620="L23",CF620="LIFT"),AI620&gt;0),SUMIFS($AI$7:$AI$1843,$CF$7:$CF$1843,CF620,$AM$7:$AM$1843,"&gt;"&amp;AM620)+SUMIFS($AI$7:$AI$1843,$CF$7:$CF$1843,CF620,$AM$7:$AM$1843,AM620,$BW$7:$BW$1843,"&lt;="&amp;BW620),"")</f>
        <v>28547.612805509</v>
      </c>
      <c r="AO620" s="58" t="n">
        <f aca="false">IF(AN620="",0,MAX(0,MIN(1,(IF(CF620="L1",Parameter!$H$5,IF(CF620="L23",Parameter!$H$6+Parameter!$H$7,Parameter!$H$5+Parameter!$H$6+Parameter!$H$7))-(AN620-AI620))/AI620)))</f>
        <v>1</v>
      </c>
      <c r="AP620" s="50" t="n">
        <f aca="false">IF(LEFT(Cockpit!$I$5,1)="A",H620,IF(Parameter!$E$30="MAX-Bestand",IF(CH620=1,CI620,IF(LEFT(Cockpit!$I$5,1)="B",AV620,MAX(AV620,H620))),ROUNDUP(AT620,0)))</f>
        <v>2</v>
      </c>
      <c r="AQ620" s="50" t="n">
        <f aca="false">IF(BZ620=1,0,ROUNDUP(AP620/BY620,0))</f>
        <v>1</v>
      </c>
      <c r="AR620" s="52" t="n">
        <f aca="false">IF(CQ620&gt;0,CQ620*MAX(1,AP620/X620),IF(BZ620=1,IF(AP620&lt;=0,0,CD620*MAX(1,IF(H620&gt;0,AP620/H620,1))),IF(R620&gt;0,AQ620/R620,0))/MAX(0.1,N(Parameter!$M$21)))</f>
        <v>0.00714285714285714</v>
      </c>
      <c r="AS620" s="50" t="n">
        <f aca="false">AR620*CB620</f>
        <v>1.10714285714286</v>
      </c>
      <c r="AT620" s="51" t="n">
        <f aca="false">IF(LEFT(Cockpit!$I$5,1)="A",H620,IF(CH620=1,(CK620+CI620)/2,IF(LEFT(Cockpit!$I$5,1)="B",(CK620+AV620)/2,MAX((CK620+AV620)/2,H620))))</f>
        <v>2</v>
      </c>
      <c r="AU620" s="50" t="n">
        <f aca="false">AT620*G620</f>
        <v>3.04</v>
      </c>
      <c r="AV620" s="50" t="n">
        <f aca="false">ROUNDUP(CK620+MAX(CL620,2*(J620/IF(CG620&gt;0,CG620,MAX(0.1,N(Cockpit!$I$6)))-CK620)),0)</f>
        <v>1</v>
      </c>
      <c r="AW620" s="51" t="n">
        <f aca="false">IF(AS620&gt;0,J620/AS620,-1)</f>
        <v>0</v>
      </c>
      <c r="AX620" s="51" t="n">
        <f aca="false">IF(AND(OR(CF620="L1",CF620="L23",CF620="LIFT"),AS620&gt;0),SUMIFS($AS$7:$AS$1843,$CF$7:$CF$1843,CF620,$AW$7:$AW$1843,"&gt;"&amp;AW620)+SUMIFS($AS$7:$AS$1843,$CF$7:$CF$1843,CF620,$AW$7:$AW$1843,AW620,$BW$7:$BW$1843,"&lt;="&amp;BW620),"")</f>
        <v>33900.7614468865</v>
      </c>
      <c r="AY620" s="58" t="n">
        <f aca="false">IF(AX620="",0,MAX(0,MIN(1,(IF(CF620="L1",Parameter!$H$5,IF(CF620="L23",Parameter!$H$6+Parameter!$H$7,Parameter!$H$5+Parameter!$H$6+Parameter!$H$7))-(AX620-AS620))/AS620)))</f>
        <v>1</v>
      </c>
      <c r="AZ620" s="50" t="n">
        <f aca="false">IF(LEFT(Cockpit!$O$5,1)="A",H620,IF(Parameter!$E$30="MAX-Bestand",IF(CH620=1,CI620,IF(LEFT(Cockpit!$O$5,1)="B",BF620,MAX(BF620,H620))),ROUNDUP(BD620,0)))</f>
        <v>1</v>
      </c>
      <c r="BA620" s="50" t="n">
        <f aca="false">IF(BZ620=1,0,ROUNDUP(AZ620/BY620,0))</f>
        <v>1</v>
      </c>
      <c r="BB620" s="52" t="n">
        <f aca="false">IF(CQ620&gt;0,CQ620*MAX(1,AZ620/X620),IF(BZ620=1,IF(AZ620&lt;=0,0,CD620*MAX(1,IF(H620&gt;0,AZ620/H620,1))),IF(R620&gt;0,BA620/R620,0))/MAX(0.1,N(Parameter!$M$21)))</f>
        <v>0.00714285714285714</v>
      </c>
      <c r="BC620" s="50" t="n">
        <f aca="false">BB620*CB620</f>
        <v>1.10714285714286</v>
      </c>
      <c r="BD620" s="51" t="n">
        <f aca="false">IF(LEFT(Cockpit!$O$5,1)="A",H620,IF(CH620=1,(CK620+CI620)/2,IF(LEFT(Cockpit!$O$5,1)="B",(CK620+BF620)/2,MAX((CK620+BF620)/2,H620))))</f>
        <v>0.5</v>
      </c>
      <c r="BE620" s="50" t="n">
        <f aca="false">BD620*G620</f>
        <v>0.76</v>
      </c>
      <c r="BF620" s="50" t="n">
        <f aca="false">ROUNDUP(CK620+MAX(CL620,2*(J620/IF(CG620&gt;0,CG620,MAX(0.1,N(Cockpit!$O$6)))-CK620)),0)</f>
        <v>1</v>
      </c>
      <c r="BG620" s="51" t="n">
        <f aca="false">IF(BC620&gt;0,J620/BC620,-1)</f>
        <v>0</v>
      </c>
      <c r="BH620" s="51" t="n">
        <f aca="false">IF(AND(OR(CF620="L1",CF620="L23",CF620="LIFT"),BC620&gt;0),SUMIFS($BC$7:$BC$1843,$CF$7:$CF$1843,CF620,$BG$7:$BG$1843,"&gt;"&amp;BG620)+SUMIFS($BC$7:$BC$1843,$CF$7:$CF$1843,CF620,$BG$7:$BG$1843,BG620,$BW$7:$BW$1843,"&lt;="&amp;BW620),"")</f>
        <v>27973.0662755324</v>
      </c>
      <c r="BI620" s="58" t="n">
        <f aca="false">IF(BH620="",0,MAX(0,MIN(1,(IF(CF620="L1",Parameter!$H$5,IF(CF620="L23",Parameter!$H$6+Parameter!$H$7,Parameter!$H$5+Parameter!$H$6+Parameter!$H$7))-(BH620-BC620))/BC620)))</f>
        <v>1</v>
      </c>
      <c r="BJ620" s="48" t="str">
        <f aca="false">IF(AI620&lt;=0,"",IF(CF620="Aussen","Aussenlager",IF(CF620="-","Nicht im Lift",IF(AO620&gt;=1,"Lift",IF(AO620&lt;=0,"Aussenlager","teilweise")))))</f>
        <v>Lift</v>
      </c>
      <c r="BK620" s="48" t="str">
        <f aca="false">IF(AS620&lt;=0,"",IF(CF620="Aussen","Aussenlager",IF(CF620="-","Nicht im Lift",IF(AY620&gt;=1,"Lift",IF(AY620&lt;=0,"Aussenlager","teilweise")))))</f>
        <v>Lift</v>
      </c>
      <c r="BL620" s="48" t="str">
        <f aca="false">IF(BC620&lt;=0,"",IF(CF620="Aussen","Aussenlager",IF(CF620="-","Nicht im Lift",IF(BI620&gt;=1,"Lift",IF(BI620&lt;=0,"Aussenlager","teilweise")))))</f>
        <v>Lift</v>
      </c>
      <c r="BM620" s="48" t="str">
        <f aca="false">IF(A620="","",IF(BV620=1,"Neu; ","")&amp;IF(AND(BV620=0,BQ620&lt;0),"negativer Bestand (Export "&amp;BQ620&amp;"); ","")&amp;IF(J620&lt;=0,"Kein Verbrauch; ","")&amp;IF(CQ620&gt;0,"Lift "&amp;W620&amp;" lt. Liftbericht (Fach "&amp;X620&amp;" Stk); ",IF(CA620=1,"Gebinde geschätzt ("&amp;T620&amp;"); ",IF(BZ620=1,"Lose – Tablare geschätzt; ","")))&amp;IF(H620&gt;AV620,"Überbestand "&amp;ROUND(H620-AV620,0)&amp;" Stk / CHF "&amp;ROUND((H620-AV620)*G620,0)&amp;"; ","")&amp;IF(AND(CH620=1,CI620&lt;CJ620),"MAX &lt; MB+LG; ","")&amp;IF(AND(CP620&gt;0,CO620*10&gt;CP620),"zu hoch für Tablar; ","")&amp;IF(AND(BV620=0,OR(CH620=1,AA620&lt;&gt;"",U620&lt;&gt;"",V620&lt;&gt;"",AB620&lt;&gt;"")),"manuell übersteuert; ","")&amp;IF(AND(BZ620=0,R620=0),"Gebinde unbekannt / Stellmass fehlt; ","")&amp;IF(AND(BZ620=0,N(V620)&lt;=0,N(Q620)&lt;=0),"Menge pro Gebinde fehlt (Ist = 1 Gebinde); ","")&amp;BU620)</f>
        <v>Kein Verbrauch; Überbestand 1 Stk / CHF 2; </v>
      </c>
      <c r="BN620" s="48"/>
      <c r="BO620" s="48"/>
      <c r="BP620" s="55"/>
      <c r="BQ620" s="50" t="n">
        <v>2</v>
      </c>
      <c r="BR620" s="50" t="n">
        <v>0</v>
      </c>
      <c r="BS620" s="49" t="n">
        <v>3.04000000000001</v>
      </c>
      <c r="BT620" s="50" t="n">
        <v>0</v>
      </c>
      <c r="BU620" s="48"/>
      <c r="BV620" s="53" t="n">
        <v>0</v>
      </c>
      <c r="BW620" s="53" t="n">
        <v>620</v>
      </c>
      <c r="BX620" s="48" t="str">
        <f aca="false">IF(U620&lt;&gt;"",UPPER(TRIM(U620)),IF(CA620=1,UPPER(VLOOKUP(T620,Parameter!$I$27:$K$29,2,0)),IF(P620="","LOSE",P620)))</f>
        <v>S22</v>
      </c>
      <c r="BY620" s="50" t="n">
        <f aca="false">IF(BX620="LOSE",1,IF(N(V620)&gt;0,V620,IF(CA620=1,MAX(1,N(VLOOKUP(T620,Parameter!$I$27:$K$29,3,0)),H620,N(N620)),IF(N(Q620)&gt;0,Q620,MAX(1,H620)))))</f>
        <v>10</v>
      </c>
      <c r="BZ620" s="53" t="n">
        <f aca="false">IF(BX620="LOSE",1,0)</f>
        <v>0</v>
      </c>
      <c r="CA620" s="53" t="n">
        <f aca="false">IF(AND(U620="",OR(P620="",P620="LOSE"),T620&lt;&gt;"",N(S620)&lt;=0,ISNUMBER(MATCH(T620,Parameter!$I$27:$I$29,0))),1,0)</f>
        <v>0</v>
      </c>
      <c r="CB620" s="53" t="n">
        <f aca="false">IF(CQ620&gt;0,INDEX(Parameter!$H$5:$H$7,W620)/INDEX(Parameter!$E$5:$E$7,W620),IF(AND(BZ620=0,N(IFERROR(VLOOKUP(BX620,'Gebinde-Kategorie'!$A$5:$N$45,14,0),0))&gt;0),VLOOKUP(BX620,'Gebinde-Kategorie'!$A$5:$N$45,14,0)*10+Parameter!$M$23,Parameter!$M$24))</f>
        <v>155</v>
      </c>
      <c r="CC620" s="48" t="str">
        <f aca="false">IF(AND(Parameter!$B$19="Ja",E620&lt;&gt;"",ISNUMBER(MATCH(E620,Parameter!$I$35:$I$52,0))),VLOOKUP(E620,Parameter!$I$35:$J$52,2,0),IFERROR(VLOOKUP(D620,Parameter!$A$35:$C$64,2,0),"Nein"))</f>
        <v>2+3</v>
      </c>
      <c r="CD620" s="52" t="n">
        <f aca="false">IF(BZ620=0,0,IF(N(S620)&gt;0,S620,IFERROR(VLOOKUP(D620,Parameter!$A$35:$C$64,3,0)+0,0)))</f>
        <v>0</v>
      </c>
      <c r="CE620" s="48" t="n">
        <f aca="false">IF(AA620&lt;&gt;"",AA620,Z620)</f>
        <v>3</v>
      </c>
      <c r="CF620" s="48" t="str">
        <f aca="false">IF(OR(CE620=1,CE620=2,CE620=3),IF(Parameter!$E$27="Ja","LIFT",IF(CE620=1,"L1","L23")),IF(CE620="Aussen","Aussen","-"))</f>
        <v>LIFT</v>
      </c>
      <c r="CG620" s="59" t="n">
        <f aca="false">IF(N(AB620)&gt;0,AB620,0)</f>
        <v>0</v>
      </c>
      <c r="CH620" s="53" t="n">
        <f aca="false">IF(ISNUMBER(AE620),1,0)</f>
        <v>0</v>
      </c>
      <c r="CI620" s="50" t="n">
        <f aca="false">N(AE620)</f>
        <v>0</v>
      </c>
      <c r="CJ620" s="50" t="n">
        <f aca="false">N(M620)+N(N620)</f>
        <v>1</v>
      </c>
      <c r="CK620" s="50" t="n">
        <f aca="false">N(M620)</f>
        <v>0</v>
      </c>
      <c r="CL620" s="50" t="n">
        <f aca="false">N(N620)</f>
        <v>1</v>
      </c>
      <c r="CM620" s="50" t="n">
        <f aca="false">ROUNDUP(H620/BY620,0)</f>
        <v>1</v>
      </c>
      <c r="CN620" s="50" t="n">
        <f aca="false">ROUNDUP(CI620/BY620,0)</f>
        <v>0</v>
      </c>
      <c r="CO620" s="53" t="n">
        <f aca="false">IF(BZ620=1,0,IFERROR(VLOOKUP(BX620,'Gebinde-Kategorie'!$A$5:$N$45,5,0)+0,0))</f>
        <v>8</v>
      </c>
      <c r="CP620" s="53" t="n">
        <f aca="false">IFERROR(IF(OR(CE620=1,CE620=2,CE620=3),N(INDEX(Parameter!$I$5:$I$7,CE620)),0),0)</f>
        <v>0</v>
      </c>
      <c r="CQ620" s="52" t="n">
        <f aca="false">IF(AND(Parameter!$B$21="Ja",ISNUMBER(W620),N(X620)&gt;0),IFERROR(N(INDEX(Parameter!$L$5:$L$7,W620))*INDEX(Parameter!$E$5:$E$7,W620)*X620/SUMIFS($X$7:$X$1843,$W$7:$W$1843,W620),0),0)</f>
        <v>0</v>
      </c>
    </row>
    <row r="621" customFormat="false" ht="15" hidden="false" customHeight="false" outlineLevel="0" collapsed="false">
      <c r="A621" s="48" t="s">
        <v>1286</v>
      </c>
      <c r="B621" s="48" t="s">
        <v>1145</v>
      </c>
      <c r="C621" s="48" t="s">
        <v>173</v>
      </c>
      <c r="D621" s="48" t="s">
        <v>182</v>
      </c>
      <c r="E621" s="48"/>
      <c r="F621" s="48" t="s">
        <v>227</v>
      </c>
      <c r="G621" s="49" t="n">
        <v>3.02</v>
      </c>
      <c r="H621" s="50" t="n">
        <f aca="false">MAX(0,IF(AND(Parameter!$B$21="Ja",ISNUMBER(Y621)),Y621,IF(Parameter!$B$20="Jahresanfang 2025 + Export",BR621+BQ621,BQ621)))</f>
        <v>12</v>
      </c>
      <c r="I621" s="50" t="n">
        <f aca="false">H621*G621</f>
        <v>36.24</v>
      </c>
      <c r="J621" s="50" t="n">
        <f aca="false">BT621*Parameter!$B$18</f>
        <v>0</v>
      </c>
      <c r="K621" s="51" t="n">
        <v>11.5</v>
      </c>
      <c r="L621" s="52" t="n">
        <v>0</v>
      </c>
      <c r="M621" s="50" t="n">
        <v>0</v>
      </c>
      <c r="N621" s="50" t="n">
        <v>1</v>
      </c>
      <c r="O621" s="53" t="n">
        <v>14</v>
      </c>
      <c r="P621" s="48" t="s">
        <v>177</v>
      </c>
      <c r="Q621" s="50"/>
      <c r="R621" s="53" t="n">
        <f aca="false">IF(BZ621=1,0,IFERROR(VLOOKUP(BX621,'Gebinde-Kategorie'!$A$5:$N$45,13,0)+0,0))</f>
        <v>12</v>
      </c>
      <c r="S621" s="54"/>
      <c r="T621" s="55" t="s">
        <v>188</v>
      </c>
      <c r="U621" s="55"/>
      <c r="V621" s="55"/>
      <c r="W621" s="48"/>
      <c r="X621" s="50"/>
      <c r="Y621" s="50"/>
      <c r="Z621" s="48" t="n">
        <f aca="false">IF(A621="","",IF(AND(Parameter!$B$21="Ja",ISNUMBER(W621)),W621,IF(CC621="2+3",IF(ISNUMBER(SEARCH("grosser Artikel",BU621)),2,IFERROR(VLOOKUP(BX621,Parameter!$F$35:$G$64,2,0),2)),IF(OR(CC621="Nein",CC621=""),"-",CC621))))</f>
        <v>2</v>
      </c>
      <c r="AA621" s="55"/>
      <c r="AB621" s="56"/>
      <c r="AC621" s="50" t="n">
        <f aca="false">AV621</f>
        <v>1</v>
      </c>
      <c r="AD621" s="50" t="n">
        <f aca="false">MAX(AV621,H621)</f>
        <v>12</v>
      </c>
      <c r="AE621" s="57"/>
      <c r="AF621" s="50" t="n">
        <f aca="false">IF(LEFT(Cockpit!$C$5,1)="A",H621,IF(Parameter!$E$30="MAX-Bestand",IF(CH621=1,CI621,IF(LEFT(Cockpit!$C$5,1)="B",AL621,MAX(AL621,H621))),ROUNDUP(AJ621,0)))</f>
        <v>12</v>
      </c>
      <c r="AG621" s="50" t="n">
        <f aca="false">IF(BZ621=1,0,ROUNDUP(AF621/BY621,0))</f>
        <v>1</v>
      </c>
      <c r="AH621" s="52" t="n">
        <f aca="false">IF(CQ621&gt;0,CQ621*MAX(1,AF621/X621),IF(BZ621=1,IF(AF621&lt;=0,0,CD621*MAX(1,IF(H621&gt;0,AF621/H621,1))),IF(R621&gt;0,AG621/R621,0))/MAX(0.1,N(Parameter!$M$21)))</f>
        <v>0.0833333333333333</v>
      </c>
      <c r="AI621" s="50" t="n">
        <f aca="false">AH621*CB621</f>
        <v>12.0833333333333</v>
      </c>
      <c r="AJ621" s="51" t="n">
        <f aca="false">IF(LEFT(Cockpit!$C$5,1)="A",H621,IF(CH621=1,(CK621+CI621)/2,IF(LEFT(Cockpit!$C$5,1)="B",(CK621+AL621)/2,MAX((CK621+AL621)/2,H621))))</f>
        <v>12</v>
      </c>
      <c r="AK621" s="50" t="n">
        <f aca="false">AJ621*G621</f>
        <v>36.24</v>
      </c>
      <c r="AL621" s="50" t="n">
        <f aca="false">ROUNDUP(CK621+MAX(CL621,2*(J621/IF(CG621&gt;0,CG621,MAX(0.1,N(Cockpit!$C$6)))-CK621)),0)</f>
        <v>1</v>
      </c>
      <c r="AM621" s="51" t="n">
        <f aca="false">IF(AI621&gt;0,J621/AI621,-1)</f>
        <v>0</v>
      </c>
      <c r="AN621" s="51" t="n">
        <f aca="false">IF(AND(OR(CF621="L1",CF621="L23",CF621="LIFT"),AI621&gt;0),SUMIFS($AI$7:$AI$1843,$CF$7:$CF$1843,CF621,$AM$7:$AM$1843,"&gt;"&amp;AM621)+SUMIFS($AI$7:$AI$1843,$CF$7:$CF$1843,CF621,$AM$7:$AM$1843,AM621,$BW$7:$BW$1843,"&lt;="&amp;BW621),"")</f>
        <v>28559.6961388423</v>
      </c>
      <c r="AO621" s="58" t="n">
        <f aca="false">IF(AN621="",0,MAX(0,MIN(1,(IF(CF621="L1",Parameter!$H$5,IF(CF621="L23",Parameter!$H$6+Parameter!$H$7,Parameter!$H$5+Parameter!$H$6+Parameter!$H$7))-(AN621-AI621))/AI621)))</f>
        <v>1</v>
      </c>
      <c r="AP621" s="50" t="n">
        <f aca="false">IF(LEFT(Cockpit!$I$5,1)="A",H621,IF(Parameter!$E$30="MAX-Bestand",IF(CH621=1,CI621,IF(LEFT(Cockpit!$I$5,1)="B",AV621,MAX(AV621,H621))),ROUNDUP(AT621,0)))</f>
        <v>12</v>
      </c>
      <c r="AQ621" s="50" t="n">
        <f aca="false">IF(BZ621=1,0,ROUNDUP(AP621/BY621,0))</f>
        <v>1</v>
      </c>
      <c r="AR621" s="52" t="n">
        <f aca="false">IF(CQ621&gt;0,CQ621*MAX(1,AP621/X621),IF(BZ621=1,IF(AP621&lt;=0,0,CD621*MAX(1,IF(H621&gt;0,AP621/H621,1))),IF(R621&gt;0,AQ621/R621,0))/MAX(0.1,N(Parameter!$M$21)))</f>
        <v>0.0833333333333333</v>
      </c>
      <c r="AS621" s="50" t="n">
        <f aca="false">AR621*CB621</f>
        <v>12.0833333333333</v>
      </c>
      <c r="AT621" s="51" t="n">
        <f aca="false">IF(LEFT(Cockpit!$I$5,1)="A",H621,IF(CH621=1,(CK621+CI621)/2,IF(LEFT(Cockpit!$I$5,1)="B",(CK621+AV621)/2,MAX((CK621+AV621)/2,H621))))</f>
        <v>12</v>
      </c>
      <c r="AU621" s="50" t="n">
        <f aca="false">AT621*G621</f>
        <v>36.24</v>
      </c>
      <c r="AV621" s="50" t="n">
        <f aca="false">ROUNDUP(CK621+MAX(CL621,2*(J621/IF(CG621&gt;0,CG621,MAX(0.1,N(Cockpit!$I$6)))-CK621)),0)</f>
        <v>1</v>
      </c>
      <c r="AW621" s="51" t="n">
        <f aca="false">IF(AS621&gt;0,J621/AS621,-1)</f>
        <v>0</v>
      </c>
      <c r="AX621" s="51" t="n">
        <f aca="false">IF(AND(OR(CF621="L1",CF621="L23",CF621="LIFT"),AS621&gt;0),SUMIFS($AS$7:$AS$1843,$CF$7:$CF$1843,CF621,$AW$7:$AW$1843,"&gt;"&amp;AW621)+SUMIFS($AS$7:$AS$1843,$CF$7:$CF$1843,CF621,$AW$7:$AW$1843,AW621,$BW$7:$BW$1843,"&lt;="&amp;BW621),"")</f>
        <v>33912.8447802198</v>
      </c>
      <c r="AY621" s="58" t="n">
        <f aca="false">IF(AX621="",0,MAX(0,MIN(1,(IF(CF621="L1",Parameter!$H$5,IF(CF621="L23",Parameter!$H$6+Parameter!$H$7,Parameter!$H$5+Parameter!$H$6+Parameter!$H$7))-(AX621-AS621))/AS621)))</f>
        <v>1</v>
      </c>
      <c r="AZ621" s="50" t="n">
        <f aca="false">IF(LEFT(Cockpit!$O$5,1)="A",H621,IF(Parameter!$E$30="MAX-Bestand",IF(CH621=1,CI621,IF(LEFT(Cockpit!$O$5,1)="B",BF621,MAX(BF621,H621))),ROUNDUP(BD621,0)))</f>
        <v>1</v>
      </c>
      <c r="BA621" s="50" t="n">
        <f aca="false">IF(BZ621=1,0,ROUNDUP(AZ621/BY621,0))</f>
        <v>1</v>
      </c>
      <c r="BB621" s="52" t="n">
        <f aca="false">IF(CQ621&gt;0,CQ621*MAX(1,AZ621/X621),IF(BZ621=1,IF(AZ621&lt;=0,0,CD621*MAX(1,IF(H621&gt;0,AZ621/H621,1))),IF(R621&gt;0,BA621/R621,0))/MAX(0.1,N(Parameter!$M$21)))</f>
        <v>0.0833333333333333</v>
      </c>
      <c r="BC621" s="50" t="n">
        <f aca="false">BB621*CB621</f>
        <v>12.0833333333333</v>
      </c>
      <c r="BD621" s="51" t="n">
        <f aca="false">IF(LEFT(Cockpit!$O$5,1)="A",H621,IF(CH621=1,(CK621+CI621)/2,IF(LEFT(Cockpit!$O$5,1)="B",(CK621+BF621)/2,MAX((CK621+BF621)/2,H621))))</f>
        <v>0.5</v>
      </c>
      <c r="BE621" s="50" t="n">
        <f aca="false">BD621*G621</f>
        <v>1.51</v>
      </c>
      <c r="BF621" s="50" t="n">
        <f aca="false">ROUNDUP(CK621+MAX(CL621,2*(J621/IF(CG621&gt;0,CG621,MAX(0.1,N(Cockpit!$O$6)))-CK621)),0)</f>
        <v>1</v>
      </c>
      <c r="BG621" s="51" t="n">
        <f aca="false">IF(BC621&gt;0,J621/BC621,-1)</f>
        <v>0</v>
      </c>
      <c r="BH621" s="51" t="n">
        <f aca="false">IF(AND(OR(CF621="L1",CF621="L23",CF621="LIFT"),BC621&gt;0),SUMIFS($BC$7:$BC$1843,$CF$7:$CF$1843,CF621,$BG$7:$BG$1843,"&gt;"&amp;BG621)+SUMIFS($BC$7:$BC$1843,$CF$7:$CF$1843,CF621,$BG$7:$BG$1843,BG621,$BW$7:$BW$1843,"&lt;="&amp;BW621),"")</f>
        <v>27985.1496088657</v>
      </c>
      <c r="BI621" s="58" t="n">
        <f aca="false">IF(BH621="",0,MAX(0,MIN(1,(IF(CF621="L1",Parameter!$H$5,IF(CF621="L23",Parameter!$H$6+Parameter!$H$7,Parameter!$H$5+Parameter!$H$6+Parameter!$H$7))-(BH621-BC621))/BC621)))</f>
        <v>1</v>
      </c>
      <c r="BJ621" s="48" t="str">
        <f aca="false">IF(AI621&lt;=0,"",IF(CF621="Aussen","Aussenlager",IF(CF621="-","Nicht im Lift",IF(AO621&gt;=1,"Lift",IF(AO621&lt;=0,"Aussenlager","teilweise")))))</f>
        <v>Lift</v>
      </c>
      <c r="BK621" s="48" t="str">
        <f aca="false">IF(AS621&lt;=0,"",IF(CF621="Aussen","Aussenlager",IF(CF621="-","Nicht im Lift",IF(AY621&gt;=1,"Lift",IF(AY621&lt;=0,"Aussenlager","teilweise")))))</f>
        <v>Lift</v>
      </c>
      <c r="BL621" s="48" t="str">
        <f aca="false">IF(BC621&lt;=0,"",IF(CF621="Aussen","Aussenlager",IF(CF621="-","Nicht im Lift",IF(BI621&gt;=1,"Lift",IF(BI621&lt;=0,"Aussenlager","teilweise")))))</f>
        <v>Lift</v>
      </c>
      <c r="BM621" s="48" t="str">
        <f aca="false">IF(A621="","",IF(BV621=1,"Neu; ","")&amp;IF(AND(BV621=0,BQ621&lt;0),"negativer Bestand (Export "&amp;BQ621&amp;"); ","")&amp;IF(J621&lt;=0,"Kein Verbrauch; ","")&amp;IF(CQ621&gt;0,"Lift "&amp;W621&amp;" lt. Liftbericht (Fach "&amp;X621&amp;" Stk); ",IF(CA621=1,"Gebinde geschätzt ("&amp;T621&amp;"); ",IF(BZ621=1,"Lose – Tablare geschätzt; ","")))&amp;IF(H621&gt;AV621,"Überbestand "&amp;ROUND(H621-AV621,0)&amp;" Stk / CHF "&amp;ROUND((H621-AV621)*G621,0)&amp;"; ","")&amp;IF(AND(CH621=1,CI621&lt;CJ621),"MAX &lt; MB+LG; ","")&amp;IF(AND(CP621&gt;0,CO621*10&gt;CP621),"zu hoch für Tablar; ","")&amp;IF(AND(BV621=0,OR(CH621=1,AA621&lt;&gt;"",U621&lt;&gt;"",V621&lt;&gt;"",AB621&lt;&gt;"")),"manuell übersteuert; ","")&amp;IF(AND(BZ621=0,R621=0),"Gebinde unbekannt / Stellmass fehlt; ","")&amp;IF(AND(BZ621=0,N(V621)&lt;=0,N(Q621)&lt;=0),"Menge pro Gebinde fehlt (Ist = 1 Gebinde); ","")&amp;BU621)</f>
        <v>Kein Verbrauch; Gebinde geschätzt (Mittel); Überbestand 11 Stk / CHF 33; Menge pro Gebinde fehlt (Ist = 1 Gebinde); Überbestand</v>
      </c>
      <c r="BN621" s="48"/>
      <c r="BO621" s="48"/>
      <c r="BP621" s="55"/>
      <c r="BQ621" s="50" t="n">
        <v>1</v>
      </c>
      <c r="BR621" s="50" t="n">
        <v>11</v>
      </c>
      <c r="BS621" s="49" t="n">
        <v>3.02</v>
      </c>
      <c r="BT621" s="50" t="n">
        <v>0</v>
      </c>
      <c r="BU621" s="48" t="s">
        <v>401</v>
      </c>
      <c r="BV621" s="53" t="n">
        <v>0</v>
      </c>
      <c r="BW621" s="53" t="n">
        <v>621</v>
      </c>
      <c r="BX621" s="48" t="str">
        <f aca="false">IF(U621&lt;&gt;"",UPPER(TRIM(U621)),IF(CA621=1,UPPER(VLOOKUP(T621,Parameter!$I$27:$K$29,2,0)),IF(P621="","LOSE",P621)))</f>
        <v>S61</v>
      </c>
      <c r="BY621" s="50" t="n">
        <f aca="false">IF(BX621="LOSE",1,IF(N(V621)&gt;0,V621,IF(CA621=1,MAX(1,N(VLOOKUP(T621,Parameter!$I$27:$K$29,3,0)),H621,N(N621)),IF(N(Q621)&gt;0,Q621,MAX(1,H621)))))</f>
        <v>12</v>
      </c>
      <c r="BZ621" s="53" t="n">
        <f aca="false">IF(BX621="LOSE",1,0)</f>
        <v>0</v>
      </c>
      <c r="CA621" s="53" t="n">
        <f aca="false">IF(AND(U621="",OR(P621="",P621="LOSE"),T621&lt;&gt;"",N(S621)&lt;=0,ISNUMBER(MATCH(T621,Parameter!$I$27:$I$29,0))),1,0)</f>
        <v>1</v>
      </c>
      <c r="CB621" s="53" t="n">
        <f aca="false">IF(CQ621&gt;0,INDEX(Parameter!$H$5:$H$7,W621)/INDEX(Parameter!$E$5:$E$7,W621),IF(AND(BZ621=0,N(IFERROR(VLOOKUP(BX621,'Gebinde-Kategorie'!$A$5:$N$45,14,0),0))&gt;0),VLOOKUP(BX621,'Gebinde-Kategorie'!$A$5:$N$45,14,0)*10+Parameter!$M$23,Parameter!$M$24))</f>
        <v>145</v>
      </c>
      <c r="CC621" s="48" t="str">
        <f aca="false">IF(AND(Parameter!$B$19="Ja",E621&lt;&gt;"",ISNUMBER(MATCH(E621,Parameter!$I$35:$I$52,0))),VLOOKUP(E621,Parameter!$I$35:$J$52,2,0),IFERROR(VLOOKUP(D621,Parameter!$A$35:$C$64,2,0),"Nein"))</f>
        <v>2+3</v>
      </c>
      <c r="CD621" s="52" t="n">
        <f aca="false">IF(BZ621=0,0,IF(N(S621)&gt;0,S621,IFERROR(VLOOKUP(D621,Parameter!$A$35:$C$64,3,0)+0,0)))</f>
        <v>0</v>
      </c>
      <c r="CE621" s="48" t="n">
        <f aca="false">IF(AA621&lt;&gt;"",AA621,Z621)</f>
        <v>2</v>
      </c>
      <c r="CF621" s="48" t="str">
        <f aca="false">IF(OR(CE621=1,CE621=2,CE621=3),IF(Parameter!$E$27="Ja","LIFT",IF(CE621=1,"L1","L23")),IF(CE621="Aussen","Aussen","-"))</f>
        <v>LIFT</v>
      </c>
      <c r="CG621" s="59" t="n">
        <f aca="false">IF(N(AB621)&gt;0,AB621,0)</f>
        <v>0</v>
      </c>
      <c r="CH621" s="53" t="n">
        <f aca="false">IF(ISNUMBER(AE621),1,0)</f>
        <v>0</v>
      </c>
      <c r="CI621" s="50" t="n">
        <f aca="false">N(AE621)</f>
        <v>0</v>
      </c>
      <c r="CJ621" s="50" t="n">
        <f aca="false">N(M621)+N(N621)</f>
        <v>1</v>
      </c>
      <c r="CK621" s="50" t="n">
        <f aca="false">N(M621)</f>
        <v>0</v>
      </c>
      <c r="CL621" s="50" t="n">
        <f aca="false">N(N621)</f>
        <v>1</v>
      </c>
      <c r="CM621" s="50" t="n">
        <f aca="false">ROUNDUP(H621/BY621,0)</f>
        <v>1</v>
      </c>
      <c r="CN621" s="50" t="n">
        <f aca="false">ROUNDUP(CI621/BY621,0)</f>
        <v>0</v>
      </c>
      <c r="CO621" s="53" t="n">
        <f aca="false">IF(BZ621=1,0,IFERROR(VLOOKUP(BX621,'Gebinde-Kategorie'!$A$5:$N$45,5,0)+0,0))</f>
        <v>11</v>
      </c>
      <c r="CP621" s="53" t="n">
        <f aca="false">IFERROR(IF(OR(CE621=1,CE621=2,CE621=3),N(INDEX(Parameter!$I$5:$I$7,CE621)),0),0)</f>
        <v>0</v>
      </c>
      <c r="CQ621" s="52" t="n">
        <f aca="false">IF(AND(Parameter!$B$21="Ja",ISNUMBER(W621),N(X621)&gt;0),IFERROR(N(INDEX(Parameter!$L$5:$L$7,W621))*INDEX(Parameter!$E$5:$E$7,W621)*X621/SUMIFS($X$7:$X$1843,$W$7:$W$1843,W621),0),0)</f>
        <v>0</v>
      </c>
    </row>
    <row r="622" customFormat="false" ht="15" hidden="false" customHeight="false" outlineLevel="0" collapsed="false">
      <c r="A622" s="48" t="s">
        <v>1287</v>
      </c>
      <c r="B622" s="48" t="s">
        <v>1288</v>
      </c>
      <c r="C622" s="48" t="s">
        <v>173</v>
      </c>
      <c r="D622" s="48" t="s">
        <v>193</v>
      </c>
      <c r="E622" s="48" t="s">
        <v>194</v>
      </c>
      <c r="F622" s="48" t="s">
        <v>227</v>
      </c>
      <c r="G622" s="49" t="n">
        <v>2.97</v>
      </c>
      <c r="H622" s="50" t="n">
        <f aca="false">MAX(0,IF(AND(Parameter!$B$21="Ja",ISNUMBER(Y622)),Y622,IF(Parameter!$B$20="Jahresanfang 2025 + Export",BR622+BQ622,BQ622)))</f>
        <v>1</v>
      </c>
      <c r="I622" s="50" t="n">
        <f aca="false">H622*G622</f>
        <v>2.97</v>
      </c>
      <c r="J622" s="50" t="n">
        <f aca="false">BT622*Parameter!$B$18</f>
        <v>0</v>
      </c>
      <c r="K622" s="51" t="n">
        <v>0.5</v>
      </c>
      <c r="L622" s="52" t="n">
        <v>0</v>
      </c>
      <c r="M622" s="50" t="n">
        <v>0</v>
      </c>
      <c r="N622" s="50" t="n">
        <v>1</v>
      </c>
      <c r="O622" s="53" t="n">
        <v>14</v>
      </c>
      <c r="P622" s="48" t="s">
        <v>410</v>
      </c>
      <c r="Q622" s="50" t="n">
        <v>20</v>
      </c>
      <c r="R622" s="53" t="n">
        <f aca="false">IF(BZ622=1,0,IFERROR(VLOOKUP(BX622,'Gebinde-Kategorie'!$A$5:$N$45,13,0)+0,0))</f>
        <v>280</v>
      </c>
      <c r="S622" s="54"/>
      <c r="T622" s="55"/>
      <c r="U622" s="55"/>
      <c r="V622" s="55"/>
      <c r="W622" s="48"/>
      <c r="X622" s="50"/>
      <c r="Y622" s="50"/>
      <c r="Z622" s="48" t="n">
        <f aca="false">IF(A622="","",IF(AND(Parameter!$B$21="Ja",ISNUMBER(W622)),W622,IF(CC622="2+3",IF(ISNUMBER(SEARCH("grosser Artikel",BU622)),2,IFERROR(VLOOKUP(BX622,Parameter!$F$35:$G$64,2,0),2)),IF(OR(CC622="Nein",CC622=""),"-",CC622))))</f>
        <v>3</v>
      </c>
      <c r="AA622" s="55"/>
      <c r="AB622" s="56"/>
      <c r="AC622" s="50" t="n">
        <f aca="false">AV622</f>
        <v>1</v>
      </c>
      <c r="AD622" s="50" t="n">
        <f aca="false">MAX(AV622,H622)</f>
        <v>1</v>
      </c>
      <c r="AE622" s="57"/>
      <c r="AF622" s="50" t="n">
        <f aca="false">IF(LEFT(Cockpit!$C$5,1)="A",H622,IF(Parameter!$E$30="MAX-Bestand",IF(CH622=1,CI622,IF(LEFT(Cockpit!$C$5,1)="B",AL622,MAX(AL622,H622))),ROUNDUP(AJ622,0)))</f>
        <v>1</v>
      </c>
      <c r="AG622" s="50" t="n">
        <f aca="false">IF(BZ622=1,0,ROUNDUP(AF622/BY622,0))</f>
        <v>1</v>
      </c>
      <c r="AH622" s="52" t="n">
        <f aca="false">IF(CQ622&gt;0,CQ622*MAX(1,AF622/X622),IF(BZ622=1,IF(AF622&lt;=0,0,CD622*MAX(1,IF(H622&gt;0,AF622/H622,1))),IF(R622&gt;0,AG622/R622,0))/MAX(0.1,N(Parameter!$M$21)))</f>
        <v>0.00357142857142857</v>
      </c>
      <c r="AI622" s="50" t="n">
        <f aca="false">AH622*CB622</f>
        <v>0.553571428571429</v>
      </c>
      <c r="AJ622" s="51" t="n">
        <f aca="false">IF(LEFT(Cockpit!$C$5,1)="A",H622,IF(CH622=1,(CK622+CI622)/2,IF(LEFT(Cockpit!$C$5,1)="B",(CK622+AL622)/2,MAX((CK622+AL622)/2,H622))))</f>
        <v>1</v>
      </c>
      <c r="AK622" s="50" t="n">
        <f aca="false">AJ622*G622</f>
        <v>2.97</v>
      </c>
      <c r="AL622" s="50" t="n">
        <f aca="false">ROUNDUP(CK622+MAX(CL622,2*(J622/IF(CG622&gt;0,CG622,MAX(0.1,N(Cockpit!$C$6)))-CK622)),0)</f>
        <v>1</v>
      </c>
      <c r="AM622" s="51" t="n">
        <f aca="false">IF(AI622&gt;0,J622/AI622,-1)</f>
        <v>0</v>
      </c>
      <c r="AN622" s="51" t="n">
        <f aca="false">IF(AND(OR(CF622="L1",CF622="L23",CF622="LIFT"),AI622&gt;0),SUMIFS($AI$7:$AI$1843,$CF$7:$CF$1843,CF622,$AM$7:$AM$1843,"&gt;"&amp;AM622)+SUMIFS($AI$7:$AI$1843,$CF$7:$CF$1843,CF622,$AM$7:$AM$1843,AM622,$BW$7:$BW$1843,"&lt;="&amp;BW622),"")</f>
        <v>28560.2497102709</v>
      </c>
      <c r="AO622" s="58" t="n">
        <f aca="false">IF(AN622="",0,MAX(0,MIN(1,(IF(CF622="L1",Parameter!$H$5,IF(CF622="L23",Parameter!$H$6+Parameter!$H$7,Parameter!$H$5+Parameter!$H$6+Parameter!$H$7))-(AN622-AI622))/AI622)))</f>
        <v>1</v>
      </c>
      <c r="AP622" s="50" t="n">
        <f aca="false">IF(LEFT(Cockpit!$I$5,1)="A",H622,IF(Parameter!$E$30="MAX-Bestand",IF(CH622=1,CI622,IF(LEFT(Cockpit!$I$5,1)="B",AV622,MAX(AV622,H622))),ROUNDUP(AT622,0)))</f>
        <v>1</v>
      </c>
      <c r="AQ622" s="50" t="n">
        <f aca="false">IF(BZ622=1,0,ROUNDUP(AP622/BY622,0))</f>
        <v>1</v>
      </c>
      <c r="AR622" s="52" t="n">
        <f aca="false">IF(CQ622&gt;0,CQ622*MAX(1,AP622/X622),IF(BZ622=1,IF(AP622&lt;=0,0,CD622*MAX(1,IF(H622&gt;0,AP622/H622,1))),IF(R622&gt;0,AQ622/R622,0))/MAX(0.1,N(Parameter!$M$21)))</f>
        <v>0.00357142857142857</v>
      </c>
      <c r="AS622" s="50" t="n">
        <f aca="false">AR622*CB622</f>
        <v>0.553571428571429</v>
      </c>
      <c r="AT622" s="51" t="n">
        <f aca="false">IF(LEFT(Cockpit!$I$5,1)="A",H622,IF(CH622=1,(CK622+CI622)/2,IF(LEFT(Cockpit!$I$5,1)="B",(CK622+AV622)/2,MAX((CK622+AV622)/2,H622))))</f>
        <v>1</v>
      </c>
      <c r="AU622" s="50" t="n">
        <f aca="false">AT622*G622</f>
        <v>2.97</v>
      </c>
      <c r="AV622" s="50" t="n">
        <f aca="false">ROUNDUP(CK622+MAX(CL622,2*(J622/IF(CG622&gt;0,CG622,MAX(0.1,N(Cockpit!$I$6)))-CK622)),0)</f>
        <v>1</v>
      </c>
      <c r="AW622" s="51" t="n">
        <f aca="false">IF(AS622&gt;0,J622/AS622,-1)</f>
        <v>0</v>
      </c>
      <c r="AX622" s="51" t="n">
        <f aca="false">IF(AND(OR(CF622="L1",CF622="L23",CF622="LIFT"),AS622&gt;0),SUMIFS($AS$7:$AS$1843,$CF$7:$CF$1843,CF622,$AW$7:$AW$1843,"&gt;"&amp;AW622)+SUMIFS($AS$7:$AS$1843,$CF$7:$CF$1843,CF622,$AW$7:$AW$1843,AW622,$BW$7:$BW$1843,"&lt;="&amp;BW622),"")</f>
        <v>33913.3983516484</v>
      </c>
      <c r="AY622" s="58" t="n">
        <f aca="false">IF(AX622="",0,MAX(0,MIN(1,(IF(CF622="L1",Parameter!$H$5,IF(CF622="L23",Parameter!$H$6+Parameter!$H$7,Parameter!$H$5+Parameter!$H$6+Parameter!$H$7))-(AX622-AS622))/AS622)))</f>
        <v>1</v>
      </c>
      <c r="AZ622" s="50" t="n">
        <f aca="false">IF(LEFT(Cockpit!$O$5,1)="A",H622,IF(Parameter!$E$30="MAX-Bestand",IF(CH622=1,CI622,IF(LEFT(Cockpit!$O$5,1)="B",BF622,MAX(BF622,H622))),ROUNDUP(BD622,0)))</f>
        <v>1</v>
      </c>
      <c r="BA622" s="50" t="n">
        <f aca="false">IF(BZ622=1,0,ROUNDUP(AZ622/BY622,0))</f>
        <v>1</v>
      </c>
      <c r="BB622" s="52" t="n">
        <f aca="false">IF(CQ622&gt;0,CQ622*MAX(1,AZ622/X622),IF(BZ622=1,IF(AZ622&lt;=0,0,CD622*MAX(1,IF(H622&gt;0,AZ622/H622,1))),IF(R622&gt;0,BA622/R622,0))/MAX(0.1,N(Parameter!$M$21)))</f>
        <v>0.00357142857142857</v>
      </c>
      <c r="BC622" s="50" t="n">
        <f aca="false">BB622*CB622</f>
        <v>0.553571428571429</v>
      </c>
      <c r="BD622" s="51" t="n">
        <f aca="false">IF(LEFT(Cockpit!$O$5,1)="A",H622,IF(CH622=1,(CK622+CI622)/2,IF(LEFT(Cockpit!$O$5,1)="B",(CK622+BF622)/2,MAX((CK622+BF622)/2,H622))))</f>
        <v>0.5</v>
      </c>
      <c r="BE622" s="50" t="n">
        <f aca="false">BD622*G622</f>
        <v>1.485</v>
      </c>
      <c r="BF622" s="50" t="n">
        <f aca="false">ROUNDUP(CK622+MAX(CL622,2*(J622/IF(CG622&gt;0,CG622,MAX(0.1,N(Cockpit!$O$6)))-CK622)),0)</f>
        <v>1</v>
      </c>
      <c r="BG622" s="51" t="n">
        <f aca="false">IF(BC622&gt;0,J622/BC622,-1)</f>
        <v>0</v>
      </c>
      <c r="BH622" s="51" t="n">
        <f aca="false">IF(AND(OR(CF622="L1",CF622="L23",CF622="LIFT"),BC622&gt;0),SUMIFS($BC$7:$BC$1843,$CF$7:$CF$1843,CF622,$BG$7:$BG$1843,"&gt;"&amp;BG622)+SUMIFS($BC$7:$BC$1843,$CF$7:$CF$1843,CF622,$BG$7:$BG$1843,BG622,$BW$7:$BW$1843,"&lt;="&amp;BW622),"")</f>
        <v>27985.7031802943</v>
      </c>
      <c r="BI622" s="58" t="n">
        <f aca="false">IF(BH622="",0,MAX(0,MIN(1,(IF(CF622="L1",Parameter!$H$5,IF(CF622="L23",Parameter!$H$6+Parameter!$H$7,Parameter!$H$5+Parameter!$H$6+Parameter!$H$7))-(BH622-BC622))/BC622)))</f>
        <v>1</v>
      </c>
      <c r="BJ622" s="48" t="str">
        <f aca="false">IF(AI622&lt;=0,"",IF(CF622="Aussen","Aussenlager",IF(CF622="-","Nicht im Lift",IF(AO622&gt;=1,"Lift",IF(AO622&lt;=0,"Aussenlager","teilweise")))))</f>
        <v>Lift</v>
      </c>
      <c r="BK622" s="48" t="str">
        <f aca="false">IF(AS622&lt;=0,"",IF(CF622="Aussen","Aussenlager",IF(CF622="-","Nicht im Lift",IF(AY622&gt;=1,"Lift",IF(AY622&lt;=0,"Aussenlager","teilweise")))))</f>
        <v>Lift</v>
      </c>
      <c r="BL622" s="48" t="str">
        <f aca="false">IF(BC622&lt;=0,"",IF(CF622="Aussen","Aussenlager",IF(CF622="-","Nicht im Lift",IF(BI622&gt;=1,"Lift",IF(BI622&lt;=0,"Aussenlager","teilweise")))))</f>
        <v>Lift</v>
      </c>
      <c r="BM622" s="48" t="str">
        <f aca="false">IF(A622="","",IF(BV622=1,"Neu; ","")&amp;IF(AND(BV622=0,BQ622&lt;0),"negativer Bestand (Export "&amp;BQ622&amp;"); ","")&amp;IF(J622&lt;=0,"Kein Verbrauch; ","")&amp;IF(CQ622&gt;0,"Lift "&amp;W622&amp;" lt. Liftbericht (Fach "&amp;X622&amp;" Stk); ",IF(CA622=1,"Gebinde geschätzt ("&amp;T622&amp;"); ",IF(BZ622=1,"Lose – Tablare geschätzt; ","")))&amp;IF(H622&gt;AV622,"Überbestand "&amp;ROUND(H622-AV622,0)&amp;" Stk / CHF "&amp;ROUND((H622-AV622)*G622,0)&amp;"; ","")&amp;IF(AND(CH622=1,CI622&lt;CJ622),"MAX &lt; MB+LG; ","")&amp;IF(AND(CP622&gt;0,CO622*10&gt;CP622),"zu hoch für Tablar; ","")&amp;IF(AND(BV622=0,OR(CH622=1,AA622&lt;&gt;"",U622&lt;&gt;"",V622&lt;&gt;"",AB622&lt;&gt;"")),"manuell übersteuert; ","")&amp;IF(AND(BZ622=0,R622=0),"Gebinde unbekannt / Stellmass fehlt; ","")&amp;IF(AND(BZ622=0,N(V622)&lt;=0,N(Q622)&lt;=0),"Menge pro Gebinde fehlt (Ist = 1 Gebinde); ","")&amp;BU622)</f>
        <v>Kein Verbrauch; Verb.Lager</v>
      </c>
      <c r="BN622" s="48"/>
      <c r="BO622" s="48"/>
      <c r="BP622" s="55"/>
      <c r="BQ622" s="50" t="n">
        <v>1</v>
      </c>
      <c r="BR622" s="50" t="n">
        <v>0</v>
      </c>
      <c r="BS622" s="49" t="n">
        <v>2.97</v>
      </c>
      <c r="BT622" s="50" t="n">
        <v>0</v>
      </c>
      <c r="BU622" s="48" t="s">
        <v>1039</v>
      </c>
      <c r="BV622" s="53" t="n">
        <v>0</v>
      </c>
      <c r="BW622" s="53" t="n">
        <v>622</v>
      </c>
      <c r="BX622" s="48" t="str">
        <f aca="false">IF(U622&lt;&gt;"",UPPER(TRIM(U622)),IF(CA622=1,UPPER(VLOOKUP(T622,Parameter!$I$27:$K$29,2,0)),IF(P622="","LOSE",P622)))</f>
        <v>S21</v>
      </c>
      <c r="BY622" s="50" t="n">
        <f aca="false">IF(BX622="LOSE",1,IF(N(V622)&gt;0,V622,IF(CA622=1,MAX(1,N(VLOOKUP(T622,Parameter!$I$27:$K$29,3,0)),H622,N(N622)),IF(N(Q622)&gt;0,Q622,MAX(1,H622)))))</f>
        <v>20</v>
      </c>
      <c r="BZ622" s="53" t="n">
        <f aca="false">IF(BX622="LOSE",1,0)</f>
        <v>0</v>
      </c>
      <c r="CA622" s="53" t="n">
        <f aca="false">IF(AND(U622="",OR(P622="",P622="LOSE"),T622&lt;&gt;"",N(S622)&lt;=0,ISNUMBER(MATCH(T622,Parameter!$I$27:$I$29,0))),1,0)</f>
        <v>0</v>
      </c>
      <c r="CB622" s="53" t="n">
        <f aca="false">IF(CQ622&gt;0,INDEX(Parameter!$H$5:$H$7,W622)/INDEX(Parameter!$E$5:$E$7,W622),IF(AND(BZ622=0,N(IFERROR(VLOOKUP(BX622,'Gebinde-Kategorie'!$A$5:$N$45,14,0),0))&gt;0),VLOOKUP(BX622,'Gebinde-Kategorie'!$A$5:$N$45,14,0)*10+Parameter!$M$23,Parameter!$M$24))</f>
        <v>155</v>
      </c>
      <c r="CC622" s="48" t="str">
        <f aca="false">IF(AND(Parameter!$B$19="Ja",E622&lt;&gt;"",ISNUMBER(MATCH(E622,Parameter!$I$35:$I$52,0))),VLOOKUP(E622,Parameter!$I$35:$J$52,2,0),IFERROR(VLOOKUP(D622,Parameter!$A$35:$C$64,2,0),"Nein"))</f>
        <v>2+3</v>
      </c>
      <c r="CD622" s="52" t="n">
        <f aca="false">IF(BZ622=0,0,IF(N(S622)&gt;0,S622,IFERROR(VLOOKUP(D622,Parameter!$A$35:$C$64,3,0)+0,0)))</f>
        <v>0</v>
      </c>
      <c r="CE622" s="48" t="n">
        <f aca="false">IF(AA622&lt;&gt;"",AA622,Z622)</f>
        <v>3</v>
      </c>
      <c r="CF622" s="48" t="str">
        <f aca="false">IF(OR(CE622=1,CE622=2,CE622=3),IF(Parameter!$E$27="Ja","LIFT",IF(CE622=1,"L1","L23")),IF(CE622="Aussen","Aussen","-"))</f>
        <v>LIFT</v>
      </c>
      <c r="CG622" s="59" t="n">
        <f aca="false">IF(N(AB622)&gt;0,AB622,0)</f>
        <v>0</v>
      </c>
      <c r="CH622" s="53" t="n">
        <f aca="false">IF(ISNUMBER(AE622),1,0)</f>
        <v>0</v>
      </c>
      <c r="CI622" s="50" t="n">
        <f aca="false">N(AE622)</f>
        <v>0</v>
      </c>
      <c r="CJ622" s="50" t="n">
        <f aca="false">N(M622)+N(N622)</f>
        <v>1</v>
      </c>
      <c r="CK622" s="50" t="n">
        <f aca="false">N(M622)</f>
        <v>0</v>
      </c>
      <c r="CL622" s="50" t="n">
        <f aca="false">N(N622)</f>
        <v>1</v>
      </c>
      <c r="CM622" s="50" t="n">
        <f aca="false">ROUNDUP(H622/BY622,0)</f>
        <v>1</v>
      </c>
      <c r="CN622" s="50" t="n">
        <f aca="false">ROUNDUP(CI622/BY622,0)</f>
        <v>0</v>
      </c>
      <c r="CO622" s="53" t="n">
        <f aca="false">IF(BZ622=1,0,IFERROR(VLOOKUP(BX622,'Gebinde-Kategorie'!$A$5:$N$45,5,0)+0,0))</f>
        <v>8</v>
      </c>
      <c r="CP622" s="53" t="n">
        <f aca="false">IFERROR(IF(OR(CE622=1,CE622=2,CE622=3),N(INDEX(Parameter!$I$5:$I$7,CE622)),0),0)</f>
        <v>0</v>
      </c>
      <c r="CQ622" s="52" t="n">
        <f aca="false">IF(AND(Parameter!$B$21="Ja",ISNUMBER(W622),N(X622)&gt;0),IFERROR(N(INDEX(Parameter!$L$5:$L$7,W622))*INDEX(Parameter!$E$5:$E$7,W622)*X622/SUMIFS($X$7:$X$1843,$W$7:$W$1843,W622),0),0)</f>
        <v>0</v>
      </c>
    </row>
    <row r="623" customFormat="false" ht="15" hidden="false" customHeight="false" outlineLevel="0" collapsed="false">
      <c r="A623" s="48" t="s">
        <v>1289</v>
      </c>
      <c r="B623" s="48" t="s">
        <v>1290</v>
      </c>
      <c r="C623" s="48" t="s">
        <v>173</v>
      </c>
      <c r="D623" s="48" t="s">
        <v>193</v>
      </c>
      <c r="E623" s="48" t="s">
        <v>194</v>
      </c>
      <c r="F623" s="48" t="s">
        <v>227</v>
      </c>
      <c r="G623" s="49" t="n">
        <v>0.72</v>
      </c>
      <c r="H623" s="50" t="n">
        <f aca="false">MAX(0,IF(AND(Parameter!$B$21="Ja",ISNUMBER(Y623)),Y623,IF(Parameter!$B$20="Jahresanfang 2025 + Export",BR623+BQ623,BQ623)))</f>
        <v>119</v>
      </c>
      <c r="I623" s="50" t="n">
        <f aca="false">H623*G623</f>
        <v>85.68</v>
      </c>
      <c r="J623" s="50" t="n">
        <f aca="false">BT623*Parameter!$B$18</f>
        <v>0</v>
      </c>
      <c r="K623" s="51" t="n">
        <v>117.5</v>
      </c>
      <c r="L623" s="52" t="n">
        <v>0</v>
      </c>
      <c r="M623" s="50" t="n">
        <v>0</v>
      </c>
      <c r="N623" s="50" t="n">
        <v>1</v>
      </c>
      <c r="O623" s="53" t="n">
        <v>21</v>
      </c>
      <c r="P623" s="48" t="s">
        <v>430</v>
      </c>
      <c r="Q623" s="50" t="n">
        <v>132</v>
      </c>
      <c r="R623" s="53" t="n">
        <f aca="false">IF(BZ623=1,0,IFERROR(VLOOKUP(BX623,'Gebinde-Kategorie'!$A$5:$N$45,13,0)+0,0))</f>
        <v>104</v>
      </c>
      <c r="S623" s="54"/>
      <c r="T623" s="55"/>
      <c r="U623" s="55"/>
      <c r="V623" s="55"/>
      <c r="W623" s="48"/>
      <c r="X623" s="50"/>
      <c r="Y623" s="50"/>
      <c r="Z623" s="48" t="n">
        <f aca="false">IF(A623="","",IF(AND(Parameter!$B$21="Ja",ISNUMBER(W623)),W623,IF(CC623="2+3",IF(ISNUMBER(SEARCH("grosser Artikel",BU623)),2,IFERROR(VLOOKUP(BX623,Parameter!$F$35:$G$64,2,0),2)),IF(OR(CC623="Nein",CC623=""),"-",CC623))))</f>
        <v>3</v>
      </c>
      <c r="AA623" s="55"/>
      <c r="AB623" s="56"/>
      <c r="AC623" s="50" t="n">
        <f aca="false">AV623</f>
        <v>1</v>
      </c>
      <c r="AD623" s="50" t="n">
        <f aca="false">MAX(AV623,H623)</f>
        <v>119</v>
      </c>
      <c r="AE623" s="57"/>
      <c r="AF623" s="50" t="n">
        <f aca="false">IF(LEFT(Cockpit!$C$5,1)="A",H623,IF(Parameter!$E$30="MAX-Bestand",IF(CH623=1,CI623,IF(LEFT(Cockpit!$C$5,1)="B",AL623,MAX(AL623,H623))),ROUNDUP(AJ623,0)))</f>
        <v>119</v>
      </c>
      <c r="AG623" s="50" t="n">
        <f aca="false">IF(BZ623=1,0,ROUNDUP(AF623/BY623,0))</f>
        <v>1</v>
      </c>
      <c r="AH623" s="52" t="n">
        <f aca="false">IF(CQ623&gt;0,CQ623*MAX(1,AF623/X623),IF(BZ623=1,IF(AF623&lt;=0,0,CD623*MAX(1,IF(H623&gt;0,AF623/H623,1))),IF(R623&gt;0,AG623/R623,0))/MAX(0.1,N(Parameter!$M$21)))</f>
        <v>0.00961538461538462</v>
      </c>
      <c r="AI623" s="50" t="n">
        <f aca="false">AH623*CB623</f>
        <v>1.49038461538462</v>
      </c>
      <c r="AJ623" s="51" t="n">
        <f aca="false">IF(LEFT(Cockpit!$C$5,1)="A",H623,IF(CH623=1,(CK623+CI623)/2,IF(LEFT(Cockpit!$C$5,1)="B",(CK623+AL623)/2,MAX((CK623+AL623)/2,H623))))</f>
        <v>119</v>
      </c>
      <c r="AK623" s="50" t="n">
        <f aca="false">AJ623*G623</f>
        <v>85.68</v>
      </c>
      <c r="AL623" s="50" t="n">
        <f aca="false">ROUNDUP(CK623+MAX(CL623,2*(J623/IF(CG623&gt;0,CG623,MAX(0.1,N(Cockpit!$C$6)))-CK623)),0)</f>
        <v>1</v>
      </c>
      <c r="AM623" s="51" t="n">
        <f aca="false">IF(AI623&gt;0,J623/AI623,-1)</f>
        <v>0</v>
      </c>
      <c r="AN623" s="51" t="n">
        <f aca="false">IF(AND(OR(CF623="L1",CF623="L23",CF623="LIFT"),AI623&gt;0),SUMIFS($AI$7:$AI$1843,$CF$7:$CF$1843,CF623,$AM$7:$AM$1843,"&gt;"&amp;AM623)+SUMIFS($AI$7:$AI$1843,$CF$7:$CF$1843,CF623,$AM$7:$AM$1843,AM623,$BW$7:$BW$1843,"&lt;="&amp;BW623),"")</f>
        <v>28561.7400948863</v>
      </c>
      <c r="AO623" s="58" t="n">
        <f aca="false">IF(AN623="",0,MAX(0,MIN(1,(IF(CF623="L1",Parameter!$H$5,IF(CF623="L23",Parameter!$H$6+Parameter!$H$7,Parameter!$H$5+Parameter!$H$6+Parameter!$H$7))-(AN623-AI623))/AI623)))</f>
        <v>1</v>
      </c>
      <c r="AP623" s="50" t="n">
        <f aca="false">IF(LEFT(Cockpit!$I$5,1)="A",H623,IF(Parameter!$E$30="MAX-Bestand",IF(CH623=1,CI623,IF(LEFT(Cockpit!$I$5,1)="B",AV623,MAX(AV623,H623))),ROUNDUP(AT623,0)))</f>
        <v>119</v>
      </c>
      <c r="AQ623" s="50" t="n">
        <f aca="false">IF(BZ623=1,0,ROUNDUP(AP623/BY623,0))</f>
        <v>1</v>
      </c>
      <c r="AR623" s="52" t="n">
        <f aca="false">IF(CQ623&gt;0,CQ623*MAX(1,AP623/X623),IF(BZ623=1,IF(AP623&lt;=0,0,CD623*MAX(1,IF(H623&gt;0,AP623/H623,1))),IF(R623&gt;0,AQ623/R623,0))/MAX(0.1,N(Parameter!$M$21)))</f>
        <v>0.00961538461538462</v>
      </c>
      <c r="AS623" s="50" t="n">
        <f aca="false">AR623*CB623</f>
        <v>1.49038461538462</v>
      </c>
      <c r="AT623" s="51" t="n">
        <f aca="false">IF(LEFT(Cockpit!$I$5,1)="A",H623,IF(CH623=1,(CK623+CI623)/2,IF(LEFT(Cockpit!$I$5,1)="B",(CK623+AV623)/2,MAX((CK623+AV623)/2,H623))))</f>
        <v>119</v>
      </c>
      <c r="AU623" s="50" t="n">
        <f aca="false">AT623*G623</f>
        <v>85.68</v>
      </c>
      <c r="AV623" s="50" t="n">
        <f aca="false">ROUNDUP(CK623+MAX(CL623,2*(J623/IF(CG623&gt;0,CG623,MAX(0.1,N(Cockpit!$I$6)))-CK623)),0)</f>
        <v>1</v>
      </c>
      <c r="AW623" s="51" t="n">
        <f aca="false">IF(AS623&gt;0,J623/AS623,-1)</f>
        <v>0</v>
      </c>
      <c r="AX623" s="51" t="n">
        <f aca="false">IF(AND(OR(CF623="L1",CF623="L23",CF623="LIFT"),AS623&gt;0),SUMIFS($AS$7:$AS$1843,$CF$7:$CF$1843,CF623,$AW$7:$AW$1843,"&gt;"&amp;AW623)+SUMIFS($AS$7:$AS$1843,$CF$7:$CF$1843,CF623,$AW$7:$AW$1843,AW623,$BW$7:$BW$1843,"&lt;="&amp;BW623),"")</f>
        <v>33914.8887362637</v>
      </c>
      <c r="AY623" s="58" t="n">
        <f aca="false">IF(AX623="",0,MAX(0,MIN(1,(IF(CF623="L1",Parameter!$H$5,IF(CF623="L23",Parameter!$H$6+Parameter!$H$7,Parameter!$H$5+Parameter!$H$6+Parameter!$H$7))-(AX623-AS623))/AS623)))</f>
        <v>1</v>
      </c>
      <c r="AZ623" s="50" t="n">
        <f aca="false">IF(LEFT(Cockpit!$O$5,1)="A",H623,IF(Parameter!$E$30="MAX-Bestand",IF(CH623=1,CI623,IF(LEFT(Cockpit!$O$5,1)="B",BF623,MAX(BF623,H623))),ROUNDUP(BD623,0)))</f>
        <v>1</v>
      </c>
      <c r="BA623" s="50" t="n">
        <f aca="false">IF(BZ623=1,0,ROUNDUP(AZ623/BY623,0))</f>
        <v>1</v>
      </c>
      <c r="BB623" s="52" t="n">
        <f aca="false">IF(CQ623&gt;0,CQ623*MAX(1,AZ623/X623),IF(BZ623=1,IF(AZ623&lt;=0,0,CD623*MAX(1,IF(H623&gt;0,AZ623/H623,1))),IF(R623&gt;0,BA623/R623,0))/MAX(0.1,N(Parameter!$M$21)))</f>
        <v>0.00961538461538462</v>
      </c>
      <c r="BC623" s="50" t="n">
        <f aca="false">BB623*CB623</f>
        <v>1.49038461538462</v>
      </c>
      <c r="BD623" s="51" t="n">
        <f aca="false">IF(LEFT(Cockpit!$O$5,1)="A",H623,IF(CH623=1,(CK623+CI623)/2,IF(LEFT(Cockpit!$O$5,1)="B",(CK623+BF623)/2,MAX((CK623+BF623)/2,H623))))</f>
        <v>0.5</v>
      </c>
      <c r="BE623" s="50" t="n">
        <f aca="false">BD623*G623</f>
        <v>0.36</v>
      </c>
      <c r="BF623" s="50" t="n">
        <f aca="false">ROUNDUP(CK623+MAX(CL623,2*(J623/IF(CG623&gt;0,CG623,MAX(0.1,N(Cockpit!$O$6)))-CK623)),0)</f>
        <v>1</v>
      </c>
      <c r="BG623" s="51" t="n">
        <f aca="false">IF(BC623&gt;0,J623/BC623,-1)</f>
        <v>0</v>
      </c>
      <c r="BH623" s="51" t="n">
        <f aca="false">IF(AND(OR(CF623="L1",CF623="L23",CF623="LIFT"),BC623&gt;0),SUMIFS($BC$7:$BC$1843,$CF$7:$CF$1843,CF623,$BG$7:$BG$1843,"&gt;"&amp;BG623)+SUMIFS($BC$7:$BC$1843,$CF$7:$CF$1843,CF623,$BG$7:$BG$1843,BG623,$BW$7:$BW$1843,"&lt;="&amp;BW623),"")</f>
        <v>27987.1935649097</v>
      </c>
      <c r="BI623" s="58" t="n">
        <f aca="false">IF(BH623="",0,MAX(0,MIN(1,(IF(CF623="L1",Parameter!$H$5,IF(CF623="L23",Parameter!$H$6+Parameter!$H$7,Parameter!$H$5+Parameter!$H$6+Parameter!$H$7))-(BH623-BC623))/BC623)))</f>
        <v>1</v>
      </c>
      <c r="BJ623" s="48" t="str">
        <f aca="false">IF(AI623&lt;=0,"",IF(CF623="Aussen","Aussenlager",IF(CF623="-","Nicht im Lift",IF(AO623&gt;=1,"Lift",IF(AO623&lt;=0,"Aussenlager","teilweise")))))</f>
        <v>Lift</v>
      </c>
      <c r="BK623" s="48" t="str">
        <f aca="false">IF(AS623&lt;=0,"",IF(CF623="Aussen","Aussenlager",IF(CF623="-","Nicht im Lift",IF(AY623&gt;=1,"Lift",IF(AY623&lt;=0,"Aussenlager","teilweise")))))</f>
        <v>Lift</v>
      </c>
      <c r="BL623" s="48" t="str">
        <f aca="false">IF(BC623&lt;=0,"",IF(CF623="Aussen","Aussenlager",IF(CF623="-","Nicht im Lift",IF(BI623&gt;=1,"Lift",IF(BI623&lt;=0,"Aussenlager","teilweise")))))</f>
        <v>Lift</v>
      </c>
      <c r="BM623" s="48" t="str">
        <f aca="false">IF(A623="","",IF(BV623=1,"Neu; ","")&amp;IF(AND(BV623=0,BQ623&lt;0),"negativer Bestand (Export "&amp;BQ623&amp;"); ","")&amp;IF(J623&lt;=0,"Kein Verbrauch; ","")&amp;IF(CQ623&gt;0,"Lift "&amp;W623&amp;" lt. Liftbericht (Fach "&amp;X623&amp;" Stk); ",IF(CA623=1,"Gebinde geschätzt ("&amp;T623&amp;"); ",IF(BZ623=1,"Lose – Tablare geschätzt; ","")))&amp;IF(H623&gt;AV623,"Überbestand "&amp;ROUND(H623-AV623,0)&amp;" Stk / CHF "&amp;ROUND((H623-AV623)*G623,0)&amp;"; ","")&amp;IF(AND(CH623=1,CI623&lt;CJ623),"MAX &lt; MB+LG; ","")&amp;IF(AND(CP623&gt;0,CO623*10&gt;CP623),"zu hoch für Tablar; ","")&amp;IF(AND(BV623=0,OR(CH623=1,AA623&lt;&gt;"",U623&lt;&gt;"",V623&lt;&gt;"",AB623&lt;&gt;"")),"manuell übersteuert; ","")&amp;IF(AND(BZ623=0,R623=0),"Gebinde unbekannt / Stellmass fehlt; ","")&amp;IF(AND(BZ623=0,N(V623)&lt;=0,N(Q623)&lt;=0),"Menge pro Gebinde fehlt (Ist = 1 Gebinde); ","")&amp;BU623)</f>
        <v>Kein Verbrauch; Überbestand 118 Stk / CHF 85; </v>
      </c>
      <c r="BN623" s="48"/>
      <c r="BO623" s="48"/>
      <c r="BP623" s="55"/>
      <c r="BQ623" s="50" t="n">
        <v>4</v>
      </c>
      <c r="BR623" s="50" t="n">
        <v>115</v>
      </c>
      <c r="BS623" s="49" t="n">
        <v>2.88</v>
      </c>
      <c r="BT623" s="50" t="n">
        <v>0</v>
      </c>
      <c r="BU623" s="48"/>
      <c r="BV623" s="53" t="n">
        <v>0</v>
      </c>
      <c r="BW623" s="53" t="n">
        <v>623</v>
      </c>
      <c r="BX623" s="48" t="str">
        <f aca="false">IF(U623&lt;&gt;"",UPPER(TRIM(U623)),IF(CA623=1,UPPER(VLOOKUP(T623,Parameter!$I$27:$K$29,2,0)),IF(P623="","LOSE",P623)))</f>
        <v>S32</v>
      </c>
      <c r="BY623" s="50" t="n">
        <f aca="false">IF(BX623="LOSE",1,IF(N(V623)&gt;0,V623,IF(CA623=1,MAX(1,N(VLOOKUP(T623,Parameter!$I$27:$K$29,3,0)),H623,N(N623)),IF(N(Q623)&gt;0,Q623,MAX(1,H623)))))</f>
        <v>132</v>
      </c>
      <c r="BZ623" s="53" t="n">
        <f aca="false">IF(BX623="LOSE",1,0)</f>
        <v>0</v>
      </c>
      <c r="CA623" s="53" t="n">
        <f aca="false">IF(AND(U623="",OR(P623="",P623="LOSE"),T623&lt;&gt;"",N(S623)&lt;=0,ISNUMBER(MATCH(T623,Parameter!$I$27:$I$29,0))),1,0)</f>
        <v>0</v>
      </c>
      <c r="CB623" s="53" t="n">
        <f aca="false">IF(CQ623&gt;0,INDEX(Parameter!$H$5:$H$7,W623)/INDEX(Parameter!$E$5:$E$7,W623),IF(AND(BZ623=0,N(IFERROR(VLOOKUP(BX623,'Gebinde-Kategorie'!$A$5:$N$45,14,0),0))&gt;0),VLOOKUP(BX623,'Gebinde-Kategorie'!$A$5:$N$45,14,0)*10+Parameter!$M$23,Parameter!$M$24))</f>
        <v>155</v>
      </c>
      <c r="CC623" s="48" t="str">
        <f aca="false">IF(AND(Parameter!$B$19="Ja",E623&lt;&gt;"",ISNUMBER(MATCH(E623,Parameter!$I$35:$I$52,0))),VLOOKUP(E623,Parameter!$I$35:$J$52,2,0),IFERROR(VLOOKUP(D623,Parameter!$A$35:$C$64,2,0),"Nein"))</f>
        <v>2+3</v>
      </c>
      <c r="CD623" s="52" t="n">
        <f aca="false">IF(BZ623=0,0,IF(N(S623)&gt;0,S623,IFERROR(VLOOKUP(D623,Parameter!$A$35:$C$64,3,0)+0,0)))</f>
        <v>0</v>
      </c>
      <c r="CE623" s="48" t="n">
        <f aca="false">IF(AA623&lt;&gt;"",AA623,Z623)</f>
        <v>3</v>
      </c>
      <c r="CF623" s="48" t="str">
        <f aca="false">IF(OR(CE623=1,CE623=2,CE623=3),IF(Parameter!$E$27="Ja","LIFT",IF(CE623=1,"L1","L23")),IF(CE623="Aussen","Aussen","-"))</f>
        <v>LIFT</v>
      </c>
      <c r="CG623" s="59" t="n">
        <f aca="false">IF(N(AB623)&gt;0,AB623,0)</f>
        <v>0</v>
      </c>
      <c r="CH623" s="53" t="n">
        <f aca="false">IF(ISNUMBER(AE623),1,0)</f>
        <v>0</v>
      </c>
      <c r="CI623" s="50" t="n">
        <f aca="false">N(AE623)</f>
        <v>0</v>
      </c>
      <c r="CJ623" s="50" t="n">
        <f aca="false">N(M623)+N(N623)</f>
        <v>1</v>
      </c>
      <c r="CK623" s="50" t="n">
        <f aca="false">N(M623)</f>
        <v>0</v>
      </c>
      <c r="CL623" s="50" t="n">
        <f aca="false">N(N623)</f>
        <v>1</v>
      </c>
      <c r="CM623" s="50" t="n">
        <f aca="false">ROUNDUP(H623/BY623,0)</f>
        <v>1</v>
      </c>
      <c r="CN623" s="50" t="n">
        <f aca="false">ROUNDUP(CI623/BY623,0)</f>
        <v>0</v>
      </c>
      <c r="CO623" s="53" t="n">
        <f aca="false">IF(BZ623=1,0,IFERROR(VLOOKUP(BX623,'Gebinde-Kategorie'!$A$5:$N$45,5,0)+0,0))</f>
        <v>8</v>
      </c>
      <c r="CP623" s="53" t="n">
        <f aca="false">IFERROR(IF(OR(CE623=1,CE623=2,CE623=3),N(INDEX(Parameter!$I$5:$I$7,CE623)),0),0)</f>
        <v>0</v>
      </c>
      <c r="CQ623" s="52" t="n">
        <f aca="false">IF(AND(Parameter!$B$21="Ja",ISNUMBER(W623),N(X623)&gt;0),IFERROR(N(INDEX(Parameter!$L$5:$L$7,W623))*INDEX(Parameter!$E$5:$E$7,W623)*X623/SUMIFS($X$7:$X$1843,$W$7:$W$1843,W623),0),0)</f>
        <v>0</v>
      </c>
    </row>
    <row r="624" customFormat="false" ht="15" hidden="false" customHeight="false" outlineLevel="0" collapsed="false">
      <c r="A624" s="48" t="s">
        <v>1291</v>
      </c>
      <c r="B624" s="48" t="s">
        <v>1271</v>
      </c>
      <c r="C624" s="48" t="s">
        <v>173</v>
      </c>
      <c r="D624" s="48" t="s">
        <v>193</v>
      </c>
      <c r="E624" s="48"/>
      <c r="F624" s="48" t="s">
        <v>227</v>
      </c>
      <c r="G624" s="49" t="n">
        <v>0.05</v>
      </c>
      <c r="H624" s="50" t="n">
        <f aca="false">MAX(0,IF(AND(Parameter!$B$21="Ja",ISNUMBER(Y624)),Y624,IF(Parameter!$B$20="Jahresanfang 2025 + Export",BR624+BQ624,BQ624)))</f>
        <v>66</v>
      </c>
      <c r="I624" s="50" t="n">
        <f aca="false">H624*G624</f>
        <v>3.3</v>
      </c>
      <c r="J624" s="50" t="n">
        <f aca="false">BT624*Parameter!$B$18</f>
        <v>0</v>
      </c>
      <c r="K624" s="51" t="n">
        <v>51.5</v>
      </c>
      <c r="L624" s="52" t="n">
        <v>0</v>
      </c>
      <c r="M624" s="50" t="n">
        <v>0</v>
      </c>
      <c r="N624" s="50" t="n">
        <v>25</v>
      </c>
      <c r="O624" s="53" t="n">
        <v>14</v>
      </c>
      <c r="P624" s="48" t="s">
        <v>410</v>
      </c>
      <c r="Q624" s="50" t="n">
        <v>100</v>
      </c>
      <c r="R624" s="53" t="n">
        <f aca="false">IF(BZ624=1,0,IFERROR(VLOOKUP(BX624,'Gebinde-Kategorie'!$A$5:$N$45,13,0)+0,0))</f>
        <v>280</v>
      </c>
      <c r="S624" s="54"/>
      <c r="T624" s="55"/>
      <c r="U624" s="55"/>
      <c r="V624" s="55"/>
      <c r="W624" s="48"/>
      <c r="X624" s="50"/>
      <c r="Y624" s="50"/>
      <c r="Z624" s="48" t="n">
        <f aca="false">IF(A624="","",IF(AND(Parameter!$B$21="Ja",ISNUMBER(W624)),W624,IF(CC624="2+3",IF(ISNUMBER(SEARCH("grosser Artikel",BU624)),2,IFERROR(VLOOKUP(BX624,Parameter!$F$35:$G$64,2,0),2)),IF(OR(CC624="Nein",CC624=""),"-",CC624))))</f>
        <v>3</v>
      </c>
      <c r="AA624" s="55"/>
      <c r="AB624" s="56"/>
      <c r="AC624" s="50" t="n">
        <f aca="false">AV624</f>
        <v>25</v>
      </c>
      <c r="AD624" s="50" t="n">
        <f aca="false">MAX(AV624,H624)</f>
        <v>66</v>
      </c>
      <c r="AE624" s="57"/>
      <c r="AF624" s="50" t="n">
        <f aca="false">IF(LEFT(Cockpit!$C$5,1)="A",H624,IF(Parameter!$E$30="MAX-Bestand",IF(CH624=1,CI624,IF(LEFT(Cockpit!$C$5,1)="B",AL624,MAX(AL624,H624))),ROUNDUP(AJ624,0)))</f>
        <v>66</v>
      </c>
      <c r="AG624" s="50" t="n">
        <f aca="false">IF(BZ624=1,0,ROUNDUP(AF624/BY624,0))</f>
        <v>1</v>
      </c>
      <c r="AH624" s="52" t="n">
        <f aca="false">IF(CQ624&gt;0,CQ624*MAX(1,AF624/X624),IF(BZ624=1,IF(AF624&lt;=0,0,CD624*MAX(1,IF(H624&gt;0,AF624/H624,1))),IF(R624&gt;0,AG624/R624,0))/MAX(0.1,N(Parameter!$M$21)))</f>
        <v>0.00357142857142857</v>
      </c>
      <c r="AI624" s="50" t="n">
        <f aca="false">AH624*CB624</f>
        <v>0.553571428571429</v>
      </c>
      <c r="AJ624" s="51" t="n">
        <f aca="false">IF(LEFT(Cockpit!$C$5,1)="A",H624,IF(CH624=1,(CK624+CI624)/2,IF(LEFT(Cockpit!$C$5,1)="B",(CK624+AL624)/2,MAX((CK624+AL624)/2,H624))))</f>
        <v>66</v>
      </c>
      <c r="AK624" s="50" t="n">
        <f aca="false">AJ624*G624</f>
        <v>3.3</v>
      </c>
      <c r="AL624" s="50" t="n">
        <f aca="false">ROUNDUP(CK624+MAX(CL624,2*(J624/IF(CG624&gt;0,CG624,MAX(0.1,N(Cockpit!$C$6)))-CK624)),0)</f>
        <v>25</v>
      </c>
      <c r="AM624" s="51" t="n">
        <f aca="false">IF(AI624&gt;0,J624/AI624,-1)</f>
        <v>0</v>
      </c>
      <c r="AN624" s="51" t="n">
        <f aca="false">IF(AND(OR(CF624="L1",CF624="L23",CF624="LIFT"),AI624&gt;0),SUMIFS($AI$7:$AI$1843,$CF$7:$CF$1843,CF624,$AM$7:$AM$1843,"&gt;"&amp;AM624)+SUMIFS($AI$7:$AI$1843,$CF$7:$CF$1843,CF624,$AM$7:$AM$1843,AM624,$BW$7:$BW$1843,"&lt;="&amp;BW624),"")</f>
        <v>28562.2936663149</v>
      </c>
      <c r="AO624" s="58" t="n">
        <f aca="false">IF(AN624="",0,MAX(0,MIN(1,(IF(CF624="L1",Parameter!$H$5,IF(CF624="L23",Parameter!$H$6+Parameter!$H$7,Parameter!$H$5+Parameter!$H$6+Parameter!$H$7))-(AN624-AI624))/AI624)))</f>
        <v>1</v>
      </c>
      <c r="AP624" s="50" t="n">
        <f aca="false">IF(LEFT(Cockpit!$I$5,1)="A",H624,IF(Parameter!$E$30="MAX-Bestand",IF(CH624=1,CI624,IF(LEFT(Cockpit!$I$5,1)="B",AV624,MAX(AV624,H624))),ROUNDUP(AT624,0)))</f>
        <v>66</v>
      </c>
      <c r="AQ624" s="50" t="n">
        <f aca="false">IF(BZ624=1,0,ROUNDUP(AP624/BY624,0))</f>
        <v>1</v>
      </c>
      <c r="AR624" s="52" t="n">
        <f aca="false">IF(CQ624&gt;0,CQ624*MAX(1,AP624/X624),IF(BZ624=1,IF(AP624&lt;=0,0,CD624*MAX(1,IF(H624&gt;0,AP624/H624,1))),IF(R624&gt;0,AQ624/R624,0))/MAX(0.1,N(Parameter!$M$21)))</f>
        <v>0.00357142857142857</v>
      </c>
      <c r="AS624" s="50" t="n">
        <f aca="false">AR624*CB624</f>
        <v>0.553571428571429</v>
      </c>
      <c r="AT624" s="51" t="n">
        <f aca="false">IF(LEFT(Cockpit!$I$5,1)="A",H624,IF(CH624=1,(CK624+CI624)/2,IF(LEFT(Cockpit!$I$5,1)="B",(CK624+AV624)/2,MAX((CK624+AV624)/2,H624))))</f>
        <v>66</v>
      </c>
      <c r="AU624" s="50" t="n">
        <f aca="false">AT624*G624</f>
        <v>3.3</v>
      </c>
      <c r="AV624" s="50" t="n">
        <f aca="false">ROUNDUP(CK624+MAX(CL624,2*(J624/IF(CG624&gt;0,CG624,MAX(0.1,N(Cockpit!$I$6)))-CK624)),0)</f>
        <v>25</v>
      </c>
      <c r="AW624" s="51" t="n">
        <f aca="false">IF(AS624&gt;0,J624/AS624,-1)</f>
        <v>0</v>
      </c>
      <c r="AX624" s="51" t="n">
        <f aca="false">IF(AND(OR(CF624="L1",CF624="L23",CF624="LIFT"),AS624&gt;0),SUMIFS($AS$7:$AS$1843,$CF$7:$CF$1843,CF624,$AW$7:$AW$1843,"&gt;"&amp;AW624)+SUMIFS($AS$7:$AS$1843,$CF$7:$CF$1843,CF624,$AW$7:$AW$1843,AW624,$BW$7:$BW$1843,"&lt;="&amp;BW624),"")</f>
        <v>33915.4423076923</v>
      </c>
      <c r="AY624" s="58" t="n">
        <f aca="false">IF(AX624="",0,MAX(0,MIN(1,(IF(CF624="L1",Parameter!$H$5,IF(CF624="L23",Parameter!$H$6+Parameter!$H$7,Parameter!$H$5+Parameter!$H$6+Parameter!$H$7))-(AX624-AS624))/AS624)))</f>
        <v>1</v>
      </c>
      <c r="AZ624" s="50" t="n">
        <f aca="false">IF(LEFT(Cockpit!$O$5,1)="A",H624,IF(Parameter!$E$30="MAX-Bestand",IF(CH624=1,CI624,IF(LEFT(Cockpit!$O$5,1)="B",BF624,MAX(BF624,H624))),ROUNDUP(BD624,0)))</f>
        <v>13</v>
      </c>
      <c r="BA624" s="50" t="n">
        <f aca="false">IF(BZ624=1,0,ROUNDUP(AZ624/BY624,0))</f>
        <v>1</v>
      </c>
      <c r="BB624" s="52" t="n">
        <f aca="false">IF(CQ624&gt;0,CQ624*MAX(1,AZ624/X624),IF(BZ624=1,IF(AZ624&lt;=0,0,CD624*MAX(1,IF(H624&gt;0,AZ624/H624,1))),IF(R624&gt;0,BA624/R624,0))/MAX(0.1,N(Parameter!$M$21)))</f>
        <v>0.00357142857142857</v>
      </c>
      <c r="BC624" s="50" t="n">
        <f aca="false">BB624*CB624</f>
        <v>0.553571428571429</v>
      </c>
      <c r="BD624" s="51" t="n">
        <f aca="false">IF(LEFT(Cockpit!$O$5,1)="A",H624,IF(CH624=1,(CK624+CI624)/2,IF(LEFT(Cockpit!$O$5,1)="B",(CK624+BF624)/2,MAX((CK624+BF624)/2,H624))))</f>
        <v>12.5</v>
      </c>
      <c r="BE624" s="50" t="n">
        <f aca="false">BD624*G624</f>
        <v>0.625</v>
      </c>
      <c r="BF624" s="50" t="n">
        <f aca="false">ROUNDUP(CK624+MAX(CL624,2*(J624/IF(CG624&gt;0,CG624,MAX(0.1,N(Cockpit!$O$6)))-CK624)),0)</f>
        <v>25</v>
      </c>
      <c r="BG624" s="51" t="n">
        <f aca="false">IF(BC624&gt;0,J624/BC624,-1)</f>
        <v>0</v>
      </c>
      <c r="BH624" s="51" t="n">
        <f aca="false">IF(AND(OR(CF624="L1",CF624="L23",CF624="LIFT"),BC624&gt;0),SUMIFS($BC$7:$BC$1843,$CF$7:$CF$1843,CF624,$BG$7:$BG$1843,"&gt;"&amp;BG624)+SUMIFS($BC$7:$BC$1843,$CF$7:$CF$1843,CF624,$BG$7:$BG$1843,BG624,$BW$7:$BW$1843,"&lt;="&amp;BW624),"")</f>
        <v>27987.7471363382</v>
      </c>
      <c r="BI624" s="58" t="n">
        <f aca="false">IF(BH624="",0,MAX(0,MIN(1,(IF(CF624="L1",Parameter!$H$5,IF(CF624="L23",Parameter!$H$6+Parameter!$H$7,Parameter!$H$5+Parameter!$H$6+Parameter!$H$7))-(BH624-BC624))/BC624)))</f>
        <v>1</v>
      </c>
      <c r="BJ624" s="48" t="str">
        <f aca="false">IF(AI624&lt;=0,"",IF(CF624="Aussen","Aussenlager",IF(CF624="-","Nicht im Lift",IF(AO624&gt;=1,"Lift",IF(AO624&lt;=0,"Aussenlager","teilweise")))))</f>
        <v>Lift</v>
      </c>
      <c r="BK624" s="48" t="str">
        <f aca="false">IF(AS624&lt;=0,"",IF(CF624="Aussen","Aussenlager",IF(CF624="-","Nicht im Lift",IF(AY624&gt;=1,"Lift",IF(AY624&lt;=0,"Aussenlager","teilweise")))))</f>
        <v>Lift</v>
      </c>
      <c r="BL624" s="48" t="str">
        <f aca="false">IF(BC624&lt;=0,"",IF(CF624="Aussen","Aussenlager",IF(CF624="-","Nicht im Lift",IF(BI624&gt;=1,"Lift",IF(BI624&lt;=0,"Aussenlager","teilweise")))))</f>
        <v>Lift</v>
      </c>
      <c r="BM624" s="48" t="str">
        <f aca="false">IF(A624="","",IF(BV624=1,"Neu; ","")&amp;IF(AND(BV624=0,BQ624&lt;0),"negativer Bestand (Export "&amp;BQ624&amp;"); ","")&amp;IF(J624&lt;=0,"Kein Verbrauch; ","")&amp;IF(CQ624&gt;0,"Lift "&amp;W624&amp;" lt. Liftbericht (Fach "&amp;X624&amp;" Stk); ",IF(CA624=1,"Gebinde geschätzt ("&amp;T624&amp;"); ",IF(BZ624=1,"Lose – Tablare geschätzt; ","")))&amp;IF(H624&gt;AV624,"Überbestand "&amp;ROUND(H624-AV624,0)&amp;" Stk / CHF "&amp;ROUND((H624-AV624)*G624,0)&amp;"; ","")&amp;IF(AND(CH624=1,CI624&lt;CJ624),"MAX &lt; MB+LG; ","")&amp;IF(AND(CP624&gt;0,CO624*10&gt;CP624),"zu hoch für Tablar; ","")&amp;IF(AND(BV624=0,OR(CH624=1,AA624&lt;&gt;"",U624&lt;&gt;"",V624&lt;&gt;"",AB624&lt;&gt;"")),"manuell übersteuert; ","")&amp;IF(AND(BZ624=0,R624=0),"Gebinde unbekannt / Stellmass fehlt; ","")&amp;IF(AND(BZ624=0,N(V624)&lt;=0,N(Q624)&lt;=0),"Menge pro Gebinde fehlt (Ist = 1 Gebinde); ","")&amp;BU624)</f>
        <v>Kein Verbrauch; Überbestand 41 Stk / CHF 2; </v>
      </c>
      <c r="BN624" s="48"/>
      <c r="BO624" s="48"/>
      <c r="BP624" s="55"/>
      <c r="BQ624" s="50" t="n">
        <v>56</v>
      </c>
      <c r="BR624" s="50" t="n">
        <v>10</v>
      </c>
      <c r="BS624" s="49" t="n">
        <v>2.8</v>
      </c>
      <c r="BT624" s="50" t="n">
        <v>0</v>
      </c>
      <c r="BU624" s="48"/>
      <c r="BV624" s="53" t="n">
        <v>0</v>
      </c>
      <c r="BW624" s="53" t="n">
        <v>624</v>
      </c>
      <c r="BX624" s="48" t="str">
        <f aca="false">IF(U624&lt;&gt;"",UPPER(TRIM(U624)),IF(CA624=1,UPPER(VLOOKUP(T624,Parameter!$I$27:$K$29,2,0)),IF(P624="","LOSE",P624)))</f>
        <v>S21</v>
      </c>
      <c r="BY624" s="50" t="n">
        <f aca="false">IF(BX624="LOSE",1,IF(N(V624)&gt;0,V624,IF(CA624=1,MAX(1,N(VLOOKUP(T624,Parameter!$I$27:$K$29,3,0)),H624,N(N624)),IF(N(Q624)&gt;0,Q624,MAX(1,H624)))))</f>
        <v>100</v>
      </c>
      <c r="BZ624" s="53" t="n">
        <f aca="false">IF(BX624="LOSE",1,0)</f>
        <v>0</v>
      </c>
      <c r="CA624" s="53" t="n">
        <f aca="false">IF(AND(U624="",OR(P624="",P624="LOSE"),T624&lt;&gt;"",N(S624)&lt;=0,ISNUMBER(MATCH(T624,Parameter!$I$27:$I$29,0))),1,0)</f>
        <v>0</v>
      </c>
      <c r="CB624" s="53" t="n">
        <f aca="false">IF(CQ624&gt;0,INDEX(Parameter!$H$5:$H$7,W624)/INDEX(Parameter!$E$5:$E$7,W624),IF(AND(BZ624=0,N(IFERROR(VLOOKUP(BX624,'Gebinde-Kategorie'!$A$5:$N$45,14,0),0))&gt;0),VLOOKUP(BX624,'Gebinde-Kategorie'!$A$5:$N$45,14,0)*10+Parameter!$M$23,Parameter!$M$24))</f>
        <v>155</v>
      </c>
      <c r="CC624" s="48" t="str">
        <f aca="false">IF(AND(Parameter!$B$19="Ja",E624&lt;&gt;"",ISNUMBER(MATCH(E624,Parameter!$I$35:$I$52,0))),VLOOKUP(E624,Parameter!$I$35:$J$52,2,0),IFERROR(VLOOKUP(D624,Parameter!$A$35:$C$64,2,0),"Nein"))</f>
        <v>2+3</v>
      </c>
      <c r="CD624" s="52" t="n">
        <f aca="false">IF(BZ624=0,0,IF(N(S624)&gt;0,S624,IFERROR(VLOOKUP(D624,Parameter!$A$35:$C$64,3,0)+0,0)))</f>
        <v>0</v>
      </c>
      <c r="CE624" s="48" t="n">
        <f aca="false">IF(AA624&lt;&gt;"",AA624,Z624)</f>
        <v>3</v>
      </c>
      <c r="CF624" s="48" t="str">
        <f aca="false">IF(OR(CE624=1,CE624=2,CE624=3),IF(Parameter!$E$27="Ja","LIFT",IF(CE624=1,"L1","L23")),IF(CE624="Aussen","Aussen","-"))</f>
        <v>LIFT</v>
      </c>
      <c r="CG624" s="59" t="n">
        <f aca="false">IF(N(AB624)&gt;0,AB624,0)</f>
        <v>0</v>
      </c>
      <c r="CH624" s="53" t="n">
        <f aca="false">IF(ISNUMBER(AE624),1,0)</f>
        <v>0</v>
      </c>
      <c r="CI624" s="50" t="n">
        <f aca="false">N(AE624)</f>
        <v>0</v>
      </c>
      <c r="CJ624" s="50" t="n">
        <f aca="false">N(M624)+N(N624)</f>
        <v>25</v>
      </c>
      <c r="CK624" s="50" t="n">
        <f aca="false">N(M624)</f>
        <v>0</v>
      </c>
      <c r="CL624" s="50" t="n">
        <f aca="false">N(N624)</f>
        <v>25</v>
      </c>
      <c r="CM624" s="50" t="n">
        <f aca="false">ROUNDUP(H624/BY624,0)</f>
        <v>1</v>
      </c>
      <c r="CN624" s="50" t="n">
        <f aca="false">ROUNDUP(CI624/BY624,0)</f>
        <v>0</v>
      </c>
      <c r="CO624" s="53" t="n">
        <f aca="false">IF(BZ624=1,0,IFERROR(VLOOKUP(BX624,'Gebinde-Kategorie'!$A$5:$N$45,5,0)+0,0))</f>
        <v>8</v>
      </c>
      <c r="CP624" s="53" t="n">
        <f aca="false">IFERROR(IF(OR(CE624=1,CE624=2,CE624=3),N(INDEX(Parameter!$I$5:$I$7,CE624)),0),0)</f>
        <v>0</v>
      </c>
      <c r="CQ624" s="52" t="n">
        <f aca="false">IF(AND(Parameter!$B$21="Ja",ISNUMBER(W624),N(X624)&gt;0),IFERROR(N(INDEX(Parameter!$L$5:$L$7,W624))*INDEX(Parameter!$E$5:$E$7,W624)*X624/SUMIFS($X$7:$X$1843,$W$7:$W$1843,W624),0),0)</f>
        <v>0</v>
      </c>
    </row>
    <row r="625" customFormat="false" ht="15" hidden="false" customHeight="false" outlineLevel="0" collapsed="false">
      <c r="A625" s="48" t="s">
        <v>1292</v>
      </c>
      <c r="B625" s="48" t="s">
        <v>958</v>
      </c>
      <c r="C625" s="48" t="s">
        <v>173</v>
      </c>
      <c r="D625" s="48" t="s">
        <v>1004</v>
      </c>
      <c r="E625" s="48"/>
      <c r="F625" s="48" t="s">
        <v>227</v>
      </c>
      <c r="G625" s="49" t="n">
        <v>0.54</v>
      </c>
      <c r="H625" s="50" t="n">
        <f aca="false">MAX(0,IF(AND(Parameter!$B$21="Ja",ISNUMBER(Y625)),Y625,IF(Parameter!$B$20="Jahresanfang 2025 + Export",BR625+BQ625,BQ625)))</f>
        <v>4</v>
      </c>
      <c r="I625" s="50" t="n">
        <f aca="false">H625*G625</f>
        <v>2.16</v>
      </c>
      <c r="J625" s="50" t="n">
        <f aca="false">BT625*Parameter!$B$18</f>
        <v>96</v>
      </c>
      <c r="K625" s="51" t="n">
        <v>2</v>
      </c>
      <c r="L625" s="52" t="n">
        <v>48</v>
      </c>
      <c r="M625" s="50" t="n">
        <v>0</v>
      </c>
      <c r="N625" s="50" t="n">
        <v>100</v>
      </c>
      <c r="O625" s="53" t="n">
        <v>21</v>
      </c>
      <c r="P625" s="48" t="s">
        <v>177</v>
      </c>
      <c r="Q625" s="50"/>
      <c r="R625" s="53" t="n">
        <f aca="false">IF(BZ625=1,0,IFERROR(VLOOKUP(BX625,'Gebinde-Kategorie'!$A$5:$N$45,13,0)+0,0))</f>
        <v>0</v>
      </c>
      <c r="S625" s="54"/>
      <c r="T625" s="55"/>
      <c r="U625" s="55"/>
      <c r="V625" s="55"/>
      <c r="W625" s="48"/>
      <c r="X625" s="50"/>
      <c r="Y625" s="50"/>
      <c r="Z625" s="48" t="str">
        <f aca="false">IF(A625="","",IF(AND(Parameter!$B$21="Ja",ISNUMBER(W625)),W625,IF(CC625="2+3",IF(ISNUMBER(SEARCH("grosser Artikel",BU625)),2,IFERROR(VLOOKUP(BX625,Parameter!$F$35:$G$64,2,0),2)),IF(OR(CC625="Nein",CC625=""),"-",CC625))))</f>
        <v>-</v>
      </c>
      <c r="AA625" s="55"/>
      <c r="AB625" s="56"/>
      <c r="AC625" s="50" t="n">
        <f aca="false">AV625</f>
        <v>100</v>
      </c>
      <c r="AD625" s="50" t="n">
        <f aca="false">MAX(AV625,H625)</f>
        <v>100</v>
      </c>
      <c r="AE625" s="57"/>
      <c r="AF625" s="50" t="n">
        <f aca="false">IF(LEFT(Cockpit!$C$5,1)="A",H625,IF(Parameter!$E$30="MAX-Bestand",IF(CH625=1,CI625,IF(LEFT(Cockpit!$C$5,1)="B",AL625,MAX(AL625,H625))),ROUNDUP(AJ625,0)))</f>
        <v>4</v>
      </c>
      <c r="AG625" s="50" t="n">
        <f aca="false">IF(BZ625=1,0,ROUNDUP(AF625/BY625,0))</f>
        <v>0</v>
      </c>
      <c r="AH625" s="52" t="n">
        <f aca="false">IF(CQ625&gt;0,CQ625*MAX(1,AF625/X625),IF(BZ625=1,IF(AF625&lt;=0,0,CD625*MAX(1,IF(H625&gt;0,AF625/H625,1))),IF(R625&gt;0,AG625/R625,0))/MAX(0.1,N(Parameter!$M$21)))</f>
        <v>0.15</v>
      </c>
      <c r="AI625" s="50" t="n">
        <f aca="false">AH625*CB625</f>
        <v>35.25</v>
      </c>
      <c r="AJ625" s="51" t="n">
        <f aca="false">IF(LEFT(Cockpit!$C$5,1)="A",H625,IF(CH625=1,(CK625+CI625)/2,IF(LEFT(Cockpit!$C$5,1)="B",(CK625+AL625)/2,MAX((CK625+AL625)/2,H625))))</f>
        <v>4</v>
      </c>
      <c r="AK625" s="50" t="n">
        <f aca="false">AJ625*G625</f>
        <v>2.16</v>
      </c>
      <c r="AL625" s="50" t="n">
        <f aca="false">ROUNDUP(CK625+MAX(CL625,2*(J625/IF(CG625&gt;0,CG625,MAX(0.1,N(Cockpit!$C$6)))-CK625)),0)</f>
        <v>100</v>
      </c>
      <c r="AM625" s="51" t="n">
        <f aca="false">IF(AI625&gt;0,J625/AI625,-1)</f>
        <v>2.72340425531915</v>
      </c>
      <c r="AN625" s="51" t="str">
        <f aca="false">IF(AND(OR(CF625="L1",CF625="L23",CF625="LIFT"),AI625&gt;0),SUMIFS($AI$7:$AI$1843,$CF$7:$CF$1843,CF625,$AM$7:$AM$1843,"&gt;"&amp;AM625)+SUMIFS($AI$7:$AI$1843,$CF$7:$CF$1843,CF625,$AM$7:$AM$1843,AM625,$BW$7:$BW$1843,"&lt;="&amp;BW625),"")</f>
        <v/>
      </c>
      <c r="AO625" s="58" t="n">
        <f aca="false">IF(AN625="",0,MAX(0,MIN(1,(IF(CF625="L1",Parameter!$H$5,IF(CF625="L23",Parameter!$H$6+Parameter!$H$7,Parameter!$H$5+Parameter!$H$6+Parameter!$H$7))-(AN625-AI625))/AI625)))</f>
        <v>0</v>
      </c>
      <c r="AP625" s="50" t="n">
        <f aca="false">IF(LEFT(Cockpit!$I$5,1)="A",H625,IF(Parameter!$E$30="MAX-Bestand",IF(CH625=1,CI625,IF(LEFT(Cockpit!$I$5,1)="B",AV625,MAX(AV625,H625))),ROUNDUP(AT625,0)))</f>
        <v>50</v>
      </c>
      <c r="AQ625" s="50" t="n">
        <f aca="false">IF(BZ625=1,0,ROUNDUP(AP625/BY625,0))</f>
        <v>0</v>
      </c>
      <c r="AR625" s="52" t="n">
        <f aca="false">IF(CQ625&gt;0,CQ625*MAX(1,AP625/X625),IF(BZ625=1,IF(AP625&lt;=0,0,CD625*MAX(1,IF(H625&gt;0,AP625/H625,1))),IF(R625&gt;0,AQ625/R625,0))/MAX(0.1,N(Parameter!$M$21)))</f>
        <v>1.875</v>
      </c>
      <c r="AS625" s="50" t="n">
        <f aca="false">AR625*CB625</f>
        <v>440.625</v>
      </c>
      <c r="AT625" s="51" t="n">
        <f aca="false">IF(LEFT(Cockpit!$I$5,1)="A",H625,IF(CH625=1,(CK625+CI625)/2,IF(LEFT(Cockpit!$I$5,1)="B",(CK625+AV625)/2,MAX((CK625+AV625)/2,H625))))</f>
        <v>50</v>
      </c>
      <c r="AU625" s="50" t="n">
        <f aca="false">AT625*G625</f>
        <v>27</v>
      </c>
      <c r="AV625" s="50" t="n">
        <f aca="false">ROUNDUP(CK625+MAX(CL625,2*(J625/IF(CG625&gt;0,CG625,MAX(0.1,N(Cockpit!$I$6)))-CK625)),0)</f>
        <v>100</v>
      </c>
      <c r="AW625" s="51" t="n">
        <f aca="false">IF(AS625&gt;0,J625/AS625,-1)</f>
        <v>0.217872340425532</v>
      </c>
      <c r="AX625" s="51" t="str">
        <f aca="false">IF(AND(OR(CF625="L1",CF625="L23",CF625="LIFT"),AS625&gt;0),SUMIFS($AS$7:$AS$1843,$CF$7:$CF$1843,CF625,$AW$7:$AW$1843,"&gt;"&amp;AW625)+SUMIFS($AS$7:$AS$1843,$CF$7:$CF$1843,CF625,$AW$7:$AW$1843,AW625,$BW$7:$BW$1843,"&lt;="&amp;BW625),"")</f>
        <v/>
      </c>
      <c r="AY625" s="58" t="n">
        <f aca="false">IF(AX625="",0,MAX(0,MIN(1,(IF(CF625="L1",Parameter!$H$5,IF(CF625="L23",Parameter!$H$6+Parameter!$H$7,Parameter!$H$5+Parameter!$H$6+Parameter!$H$7))-(AX625-AS625))/AS625)))</f>
        <v>0</v>
      </c>
      <c r="AZ625" s="50" t="n">
        <f aca="false">IF(LEFT(Cockpit!$O$5,1)="A",H625,IF(Parameter!$E$30="MAX-Bestand",IF(CH625=1,CI625,IF(LEFT(Cockpit!$O$5,1)="B",BF625,MAX(BF625,H625))),ROUNDUP(BD625,0)))</f>
        <v>50</v>
      </c>
      <c r="BA625" s="50" t="n">
        <f aca="false">IF(BZ625=1,0,ROUNDUP(AZ625/BY625,0))</f>
        <v>0</v>
      </c>
      <c r="BB625" s="52" t="n">
        <f aca="false">IF(CQ625&gt;0,CQ625*MAX(1,AZ625/X625),IF(BZ625=1,IF(AZ625&lt;=0,0,CD625*MAX(1,IF(H625&gt;0,AZ625/H625,1))),IF(R625&gt;0,BA625/R625,0))/MAX(0.1,N(Parameter!$M$21)))</f>
        <v>1.875</v>
      </c>
      <c r="BC625" s="50" t="n">
        <f aca="false">BB625*CB625</f>
        <v>440.625</v>
      </c>
      <c r="BD625" s="51" t="n">
        <f aca="false">IF(LEFT(Cockpit!$O$5,1)="A",H625,IF(CH625=1,(CK625+CI625)/2,IF(LEFT(Cockpit!$O$5,1)="B",(CK625+BF625)/2,MAX((CK625+BF625)/2,H625))))</f>
        <v>50</v>
      </c>
      <c r="BE625" s="50" t="n">
        <f aca="false">BD625*G625</f>
        <v>27</v>
      </c>
      <c r="BF625" s="50" t="n">
        <f aca="false">ROUNDUP(CK625+MAX(CL625,2*(J625/IF(CG625&gt;0,CG625,MAX(0.1,N(Cockpit!$O$6)))-CK625)),0)</f>
        <v>100</v>
      </c>
      <c r="BG625" s="51" t="n">
        <f aca="false">IF(BC625&gt;0,J625/BC625,-1)</f>
        <v>0.217872340425532</v>
      </c>
      <c r="BH625" s="51" t="str">
        <f aca="false">IF(AND(OR(CF625="L1",CF625="L23",CF625="LIFT"),BC625&gt;0),SUMIFS($BC$7:$BC$1843,$CF$7:$CF$1843,CF625,$BG$7:$BG$1843,"&gt;"&amp;BG625)+SUMIFS($BC$7:$BC$1843,$CF$7:$CF$1843,CF625,$BG$7:$BG$1843,BG625,$BW$7:$BW$1843,"&lt;="&amp;BW625),"")</f>
        <v/>
      </c>
      <c r="BI625" s="58" t="n">
        <f aca="false">IF(BH625="",0,MAX(0,MIN(1,(IF(CF625="L1",Parameter!$H$5,IF(CF625="L23",Parameter!$H$6+Parameter!$H$7,Parameter!$H$5+Parameter!$H$6+Parameter!$H$7))-(BH625-BC625))/BC625)))</f>
        <v>0</v>
      </c>
      <c r="BJ625" s="48" t="str">
        <f aca="false">IF(AI625&lt;=0,"",IF(CF625="Aussen","Aussenlager",IF(CF625="-","Nicht im Lift",IF(AO625&gt;=1,"Lift",IF(AO625&lt;=0,"Aussenlager","teilweise")))))</f>
        <v>Nicht im Lift</v>
      </c>
      <c r="BK625" s="48" t="str">
        <f aca="false">IF(AS625&lt;=0,"",IF(CF625="Aussen","Aussenlager",IF(CF625="-","Nicht im Lift",IF(AY625&gt;=1,"Lift",IF(AY625&lt;=0,"Aussenlager","teilweise")))))</f>
        <v>Nicht im Lift</v>
      </c>
      <c r="BL625" s="48" t="str">
        <f aca="false">IF(BC625&lt;=0,"",IF(CF625="Aussen","Aussenlager",IF(CF625="-","Nicht im Lift",IF(BI625&gt;=1,"Lift",IF(BI625&lt;=0,"Aussenlager","teilweise")))))</f>
        <v>Nicht im Lift</v>
      </c>
      <c r="BM625" s="48" t="str">
        <f aca="false">IF(A625="","",IF(BV625=1,"Neu; ","")&amp;IF(AND(BV625=0,BQ625&lt;0),"negativer Bestand (Export "&amp;BQ625&amp;"); ","")&amp;IF(J625&lt;=0,"Kein Verbrauch; ","")&amp;IF(CQ625&gt;0,"Lift "&amp;W625&amp;" lt. Liftbericht (Fach "&amp;X625&amp;" Stk); ",IF(CA625=1,"Gebinde geschätzt ("&amp;T625&amp;"); ",IF(BZ625=1,"Lose – Tablare geschätzt; ","")))&amp;IF(H625&gt;AV625,"Überbestand "&amp;ROUND(H625-AV625,0)&amp;" Stk / CHF "&amp;ROUND((H625-AV625)*G625,0)&amp;"; ","")&amp;IF(AND(CH625=1,CI625&lt;CJ625),"MAX &lt; MB+LG; ","")&amp;IF(AND(CP625&gt;0,CO625*10&gt;CP625),"zu hoch für Tablar; ","")&amp;IF(AND(BV625=0,OR(CH625=1,AA625&lt;&gt;"",U625&lt;&gt;"",V625&lt;&gt;"",AB625&lt;&gt;"")),"manuell übersteuert; ","")&amp;IF(AND(BZ625=0,R625=0),"Gebinde unbekannt / Stellmass fehlt; ","")&amp;IF(AND(BZ625=0,N(V625)&lt;=0,N(Q625)&lt;=0),"Menge pro Gebinde fehlt (Ist = 1 Gebinde); ","")&amp;BU625)</f>
        <v>Lose – Tablare geschätzt; </v>
      </c>
      <c r="BN625" s="48"/>
      <c r="BO625" s="48"/>
      <c r="BP625" s="55"/>
      <c r="BQ625" s="50" t="n">
        <v>4</v>
      </c>
      <c r="BR625" s="50" t="n">
        <v>0</v>
      </c>
      <c r="BS625" s="49" t="n">
        <v>2.16</v>
      </c>
      <c r="BT625" s="50" t="n">
        <v>96</v>
      </c>
      <c r="BU625" s="48"/>
      <c r="BV625" s="53" t="n">
        <v>0</v>
      </c>
      <c r="BW625" s="53" t="n">
        <v>625</v>
      </c>
      <c r="BX625" s="48" t="str">
        <f aca="false">IF(U625&lt;&gt;"",UPPER(TRIM(U625)),IF(CA625=1,UPPER(VLOOKUP(T625,Parameter!$I$27:$K$29,2,0)),IF(P625="","LOSE",P625)))</f>
        <v>LOSE</v>
      </c>
      <c r="BY625" s="50" t="n">
        <f aca="false">IF(BX625="LOSE",1,IF(N(V625)&gt;0,V625,IF(CA625=1,MAX(1,N(VLOOKUP(T625,Parameter!$I$27:$K$29,3,0)),H625,N(N625)),IF(N(Q625)&gt;0,Q625,MAX(1,H625)))))</f>
        <v>1</v>
      </c>
      <c r="BZ625" s="53" t="n">
        <f aca="false">IF(BX625="LOSE",1,0)</f>
        <v>1</v>
      </c>
      <c r="CA625" s="53" t="n">
        <f aca="false">IF(AND(U625="",OR(P625="",P625="LOSE"),T625&lt;&gt;"",N(S625)&lt;=0,ISNUMBER(MATCH(T625,Parameter!$I$27:$I$29,0))),1,0)</f>
        <v>0</v>
      </c>
      <c r="CB625" s="53" t="n">
        <f aca="false">IF(CQ625&gt;0,INDEX(Parameter!$H$5:$H$7,W625)/INDEX(Parameter!$E$5:$E$7,W625),IF(AND(BZ625=0,N(IFERROR(VLOOKUP(BX625,'Gebinde-Kategorie'!$A$5:$N$45,14,0),0))&gt;0),VLOOKUP(BX625,'Gebinde-Kategorie'!$A$5:$N$45,14,0)*10+Parameter!$M$23,Parameter!$M$24))</f>
        <v>235</v>
      </c>
      <c r="CC625" s="48" t="str">
        <f aca="false">IF(AND(Parameter!$B$19="Ja",E625&lt;&gt;"",ISNUMBER(MATCH(E625,Parameter!$I$35:$I$52,0))),VLOOKUP(E625,Parameter!$I$35:$J$52,2,0),IFERROR(VLOOKUP(D625,Parameter!$A$35:$C$64,2,0),"Nein"))</f>
        <v>Nein</v>
      </c>
      <c r="CD625" s="52" t="n">
        <f aca="false">IF(BZ625=0,0,IF(N(S625)&gt;0,S625,IFERROR(VLOOKUP(D625,Parameter!$A$35:$C$64,3,0)+0,0)))</f>
        <v>0.15</v>
      </c>
      <c r="CE625" s="48" t="str">
        <f aca="false">IF(AA625&lt;&gt;"",AA625,Z625)</f>
        <v>-</v>
      </c>
      <c r="CF625" s="48" t="str">
        <f aca="false">IF(OR(CE625=1,CE625=2,CE625=3),IF(Parameter!$E$27="Ja","LIFT",IF(CE625=1,"L1","L23")),IF(CE625="Aussen","Aussen","-"))</f>
        <v>-</v>
      </c>
      <c r="CG625" s="59" t="n">
        <f aca="false">IF(N(AB625)&gt;0,AB625,0)</f>
        <v>0</v>
      </c>
      <c r="CH625" s="53" t="n">
        <f aca="false">IF(ISNUMBER(AE625),1,0)</f>
        <v>0</v>
      </c>
      <c r="CI625" s="50" t="n">
        <f aca="false">N(AE625)</f>
        <v>0</v>
      </c>
      <c r="CJ625" s="50" t="n">
        <f aca="false">N(M625)+N(N625)</f>
        <v>100</v>
      </c>
      <c r="CK625" s="50" t="n">
        <f aca="false">N(M625)</f>
        <v>0</v>
      </c>
      <c r="CL625" s="50" t="n">
        <f aca="false">N(N625)</f>
        <v>100</v>
      </c>
      <c r="CM625" s="50" t="n">
        <f aca="false">ROUNDUP(H625/BY625,0)</f>
        <v>4</v>
      </c>
      <c r="CN625" s="50" t="n">
        <f aca="false">ROUNDUP(CI625/BY625,0)</f>
        <v>0</v>
      </c>
      <c r="CO625" s="53" t="n">
        <f aca="false">IF(BZ625=1,0,IFERROR(VLOOKUP(BX625,'Gebinde-Kategorie'!$A$5:$N$45,5,0)+0,0))</f>
        <v>0</v>
      </c>
      <c r="CP625" s="53" t="n">
        <f aca="false">IFERROR(IF(OR(CE625=1,CE625=2,CE625=3),N(INDEX(Parameter!$I$5:$I$7,CE625)),0),0)</f>
        <v>0</v>
      </c>
      <c r="CQ625" s="52" t="n">
        <f aca="false">IF(AND(Parameter!$B$21="Ja",ISNUMBER(W625),N(X625)&gt;0),IFERROR(N(INDEX(Parameter!$L$5:$L$7,W625))*INDEX(Parameter!$E$5:$E$7,W625)*X625/SUMIFS($X$7:$X$1843,$W$7:$W$1843,W625),0),0)</f>
        <v>0</v>
      </c>
    </row>
    <row r="626" customFormat="false" ht="15" hidden="false" customHeight="false" outlineLevel="0" collapsed="false">
      <c r="A626" s="48" t="s">
        <v>1293</v>
      </c>
      <c r="B626" s="48" t="s">
        <v>958</v>
      </c>
      <c r="C626" s="48" t="s">
        <v>173</v>
      </c>
      <c r="D626" s="48" t="s">
        <v>193</v>
      </c>
      <c r="E626" s="48" t="s">
        <v>194</v>
      </c>
      <c r="F626" s="48" t="s">
        <v>227</v>
      </c>
      <c r="G626" s="49" t="n">
        <v>0.01</v>
      </c>
      <c r="H626" s="50" t="n">
        <f aca="false">MAX(0,IF(AND(Parameter!$B$21="Ja",ISNUMBER(Y626)),Y626,IF(Parameter!$B$20="Jahresanfang 2025 + Export",BR626+BQ626,BQ626)))</f>
        <v>3584</v>
      </c>
      <c r="I626" s="50" t="n">
        <f aca="false">H626*G626</f>
        <v>35.84</v>
      </c>
      <c r="J626" s="50" t="n">
        <f aca="false">BT626*Parameter!$B$18</f>
        <v>604</v>
      </c>
      <c r="K626" s="51" t="n">
        <v>3704</v>
      </c>
      <c r="L626" s="52" t="n">
        <v>0.163066954643629</v>
      </c>
      <c r="M626" s="50" t="n">
        <v>35</v>
      </c>
      <c r="N626" s="50" t="n">
        <v>605</v>
      </c>
      <c r="O626" s="53" t="n">
        <v>21</v>
      </c>
      <c r="P626" s="48" t="s">
        <v>485</v>
      </c>
      <c r="Q626" s="50" t="n">
        <v>6007</v>
      </c>
      <c r="R626" s="53" t="n">
        <f aca="false">IF(BZ626=1,0,IFERROR(VLOOKUP(BX626,'Gebinde-Kategorie'!$A$5:$N$45,13,0)+0,0))</f>
        <v>52</v>
      </c>
      <c r="S626" s="54"/>
      <c r="T626" s="55"/>
      <c r="U626" s="55"/>
      <c r="V626" s="55"/>
      <c r="W626" s="48"/>
      <c r="X626" s="50"/>
      <c r="Y626" s="50"/>
      <c r="Z626" s="48" t="n">
        <f aca="false">IF(A626="","",IF(AND(Parameter!$B$21="Ja",ISNUMBER(W626)),W626,IF(CC626="2+3",IF(ISNUMBER(SEARCH("grosser Artikel",BU626)),2,IFERROR(VLOOKUP(BX626,Parameter!$F$35:$G$64,2,0),2)),IF(OR(CC626="Nein",CC626=""),"-",CC626))))</f>
        <v>3</v>
      </c>
      <c r="AA626" s="55"/>
      <c r="AB626" s="56"/>
      <c r="AC626" s="50" t="n">
        <f aca="false">AV626</f>
        <v>640</v>
      </c>
      <c r="AD626" s="50" t="n">
        <f aca="false">MAX(AV626,H626)</f>
        <v>3584</v>
      </c>
      <c r="AE626" s="57"/>
      <c r="AF626" s="50" t="n">
        <f aca="false">IF(LEFT(Cockpit!$C$5,1)="A",H626,IF(Parameter!$E$30="MAX-Bestand",IF(CH626=1,CI626,IF(LEFT(Cockpit!$C$5,1)="B",AL626,MAX(AL626,H626))),ROUNDUP(AJ626,0)))</f>
        <v>3584</v>
      </c>
      <c r="AG626" s="50" t="n">
        <f aca="false">IF(BZ626=1,0,ROUNDUP(AF626/BY626,0))</f>
        <v>1</v>
      </c>
      <c r="AH626" s="52" t="n">
        <f aca="false">IF(CQ626&gt;0,CQ626*MAX(1,AF626/X626),IF(BZ626=1,IF(AF626&lt;=0,0,CD626*MAX(1,IF(H626&gt;0,AF626/H626,1))),IF(R626&gt;0,AG626/R626,0))/MAX(0.1,N(Parameter!$M$21)))</f>
        <v>0.0192307692307692</v>
      </c>
      <c r="AI626" s="50" t="n">
        <f aca="false">AH626*CB626</f>
        <v>2.98076923076923</v>
      </c>
      <c r="AJ626" s="51" t="n">
        <f aca="false">IF(LEFT(Cockpit!$C$5,1)="A",H626,IF(CH626=1,(CK626+CI626)/2,IF(LEFT(Cockpit!$C$5,1)="B",(CK626+AL626)/2,MAX((CK626+AL626)/2,H626))))</f>
        <v>3584</v>
      </c>
      <c r="AK626" s="50" t="n">
        <f aca="false">AJ626*G626</f>
        <v>35.84</v>
      </c>
      <c r="AL626" s="50" t="n">
        <f aca="false">ROUNDUP(CK626+MAX(CL626,2*(J626/IF(CG626&gt;0,CG626,MAX(0.1,N(Cockpit!$C$6)))-CK626)),0)</f>
        <v>640</v>
      </c>
      <c r="AM626" s="51" t="n">
        <f aca="false">IF(AI626&gt;0,J626/AI626,-1)</f>
        <v>202.632258064516</v>
      </c>
      <c r="AN626" s="51" t="n">
        <f aca="false">IF(AND(OR(CF626="L1",CF626="L23",CF626="LIFT"),AI626&gt;0),SUMIFS($AI$7:$AI$1843,$CF$7:$CF$1843,CF626,$AM$7:$AM$1843,"&gt;"&amp;AM626)+SUMIFS($AI$7:$AI$1843,$CF$7:$CF$1843,CF626,$AM$7:$AM$1843,AM626,$BW$7:$BW$1843,"&lt;="&amp;BW626),"")</f>
        <v>344.358974358974</v>
      </c>
      <c r="AO626" s="58" t="n">
        <f aca="false">IF(AN626="",0,MAX(0,MIN(1,(IF(CF626="L1",Parameter!$H$5,IF(CF626="L23",Parameter!$H$6+Parameter!$H$7,Parameter!$H$5+Parameter!$H$6+Parameter!$H$7))-(AN626-AI626))/AI626)))</f>
        <v>1</v>
      </c>
      <c r="AP626" s="50" t="n">
        <f aca="false">IF(LEFT(Cockpit!$I$5,1)="A",H626,IF(Parameter!$E$30="MAX-Bestand",IF(CH626=1,CI626,IF(LEFT(Cockpit!$I$5,1)="B",AV626,MAX(AV626,H626))),ROUNDUP(AT626,0)))</f>
        <v>3584</v>
      </c>
      <c r="AQ626" s="50" t="n">
        <f aca="false">IF(BZ626=1,0,ROUNDUP(AP626/BY626,0))</f>
        <v>1</v>
      </c>
      <c r="AR626" s="52" t="n">
        <f aca="false">IF(CQ626&gt;0,CQ626*MAX(1,AP626/X626),IF(BZ626=1,IF(AP626&lt;=0,0,CD626*MAX(1,IF(H626&gt;0,AP626/H626,1))),IF(R626&gt;0,AQ626/R626,0))/MAX(0.1,N(Parameter!$M$21)))</f>
        <v>0.0192307692307692</v>
      </c>
      <c r="AS626" s="50" t="n">
        <f aca="false">AR626*CB626</f>
        <v>2.98076923076923</v>
      </c>
      <c r="AT626" s="51" t="n">
        <f aca="false">IF(LEFT(Cockpit!$I$5,1)="A",H626,IF(CH626=1,(CK626+CI626)/2,IF(LEFT(Cockpit!$I$5,1)="B",(CK626+AV626)/2,MAX((CK626+AV626)/2,H626))))</f>
        <v>3584</v>
      </c>
      <c r="AU626" s="50" t="n">
        <f aca="false">AT626*G626</f>
        <v>35.84</v>
      </c>
      <c r="AV626" s="50" t="n">
        <f aca="false">ROUNDUP(CK626+MAX(CL626,2*(J626/IF(CG626&gt;0,CG626,MAX(0.1,N(Cockpit!$I$6)))-CK626)),0)</f>
        <v>640</v>
      </c>
      <c r="AW626" s="51" t="n">
        <f aca="false">IF(AS626&gt;0,J626/AS626,-1)</f>
        <v>202.632258064516</v>
      </c>
      <c r="AX626" s="51" t="n">
        <f aca="false">IF(AND(OR(CF626="L1",CF626="L23",CF626="LIFT"),AS626&gt;0),SUMIFS($AS$7:$AS$1843,$CF$7:$CF$1843,CF626,$AW$7:$AW$1843,"&gt;"&amp;AW626)+SUMIFS($AS$7:$AS$1843,$CF$7:$CF$1843,CF626,$AW$7:$AW$1843,AW626,$BW$7:$BW$1843,"&lt;="&amp;BW626),"")</f>
        <v>453.534340659341</v>
      </c>
      <c r="AY626" s="58" t="n">
        <f aca="false">IF(AX626="",0,MAX(0,MIN(1,(IF(CF626="L1",Parameter!$H$5,IF(CF626="L23",Parameter!$H$6+Parameter!$H$7,Parameter!$H$5+Parameter!$H$6+Parameter!$H$7))-(AX626-AS626))/AS626)))</f>
        <v>1</v>
      </c>
      <c r="AZ626" s="50" t="n">
        <f aca="false">IF(LEFT(Cockpit!$O$5,1)="A",H626,IF(Parameter!$E$30="MAX-Bestand",IF(CH626=1,CI626,IF(LEFT(Cockpit!$O$5,1)="B",BF626,MAX(BF626,H626))),ROUNDUP(BD626,0)))</f>
        <v>338</v>
      </c>
      <c r="BA626" s="50" t="n">
        <f aca="false">IF(BZ626=1,0,ROUNDUP(AZ626/BY626,0))</f>
        <v>1</v>
      </c>
      <c r="BB626" s="52" t="n">
        <f aca="false">IF(CQ626&gt;0,CQ626*MAX(1,AZ626/X626),IF(BZ626=1,IF(AZ626&lt;=0,0,CD626*MAX(1,IF(H626&gt;0,AZ626/H626,1))),IF(R626&gt;0,BA626/R626,0))/MAX(0.1,N(Parameter!$M$21)))</f>
        <v>0.0192307692307692</v>
      </c>
      <c r="BC626" s="50" t="n">
        <f aca="false">BB626*CB626</f>
        <v>2.98076923076923</v>
      </c>
      <c r="BD626" s="51" t="n">
        <f aca="false">IF(LEFT(Cockpit!$O$5,1)="A",H626,IF(CH626=1,(CK626+CI626)/2,IF(LEFT(Cockpit!$O$5,1)="B",(CK626+BF626)/2,MAX((CK626+BF626)/2,H626))))</f>
        <v>337.5</v>
      </c>
      <c r="BE626" s="50" t="n">
        <f aca="false">BD626*G626</f>
        <v>3.375</v>
      </c>
      <c r="BF626" s="50" t="n">
        <f aca="false">ROUNDUP(CK626+MAX(CL626,2*(J626/IF(CG626&gt;0,CG626,MAX(0.1,N(Cockpit!$O$6)))-CK626)),0)</f>
        <v>640</v>
      </c>
      <c r="BG626" s="51" t="n">
        <f aca="false">IF(BC626&gt;0,J626/BC626,-1)</f>
        <v>202.632258064516</v>
      </c>
      <c r="BH626" s="51" t="n">
        <f aca="false">IF(AND(OR(CF626="L1",CF626="L23",CF626="LIFT"),BC626&gt;0),SUMIFS($BC$7:$BC$1843,$CF$7:$CF$1843,CF626,$BG$7:$BG$1843,"&gt;"&amp;BG626)+SUMIFS($BC$7:$BC$1843,$CF$7:$CF$1843,CF626,$BG$7:$BG$1843,BG626,$BW$7:$BW$1843,"&lt;="&amp;BW626),"")</f>
        <v>453.292582417582</v>
      </c>
      <c r="BI626" s="58" t="n">
        <f aca="false">IF(BH626="",0,MAX(0,MIN(1,(IF(CF626="L1",Parameter!$H$5,IF(CF626="L23",Parameter!$H$6+Parameter!$H$7,Parameter!$H$5+Parameter!$H$6+Parameter!$H$7))-(BH626-BC626))/BC626)))</f>
        <v>1</v>
      </c>
      <c r="BJ626" s="48" t="str">
        <f aca="false">IF(AI626&lt;=0,"",IF(CF626="Aussen","Aussenlager",IF(CF626="-","Nicht im Lift",IF(AO626&gt;=1,"Lift",IF(AO626&lt;=0,"Aussenlager","teilweise")))))</f>
        <v>Lift</v>
      </c>
      <c r="BK626" s="48" t="str">
        <f aca="false">IF(AS626&lt;=0,"",IF(CF626="Aussen","Aussenlager",IF(CF626="-","Nicht im Lift",IF(AY626&gt;=1,"Lift",IF(AY626&lt;=0,"Aussenlager","teilweise")))))</f>
        <v>Lift</v>
      </c>
      <c r="BL626" s="48" t="str">
        <f aca="false">IF(BC626&lt;=0,"",IF(CF626="Aussen","Aussenlager",IF(CF626="-","Nicht im Lift",IF(BI626&gt;=1,"Lift",IF(BI626&lt;=0,"Aussenlager","teilweise")))))</f>
        <v>Lift</v>
      </c>
      <c r="BM626" s="48" t="str">
        <f aca="false">IF(A626="","",IF(BV626=1,"Neu; ","")&amp;IF(AND(BV626=0,BQ626&lt;0),"negativer Bestand (Export "&amp;BQ626&amp;"); ","")&amp;IF(J626&lt;=0,"Kein Verbrauch; ","")&amp;IF(CQ626&gt;0,"Lift "&amp;W626&amp;" lt. Liftbericht (Fach "&amp;X626&amp;" Stk); ",IF(CA626=1,"Gebinde geschätzt ("&amp;T626&amp;"); ",IF(BZ626=1,"Lose – Tablare geschätzt; ","")))&amp;IF(H626&gt;AV626,"Überbestand "&amp;ROUND(H626-AV626,0)&amp;" Stk / CHF "&amp;ROUND((H626-AV626)*G626,0)&amp;"; ","")&amp;IF(AND(CH626=1,CI626&lt;CJ626),"MAX &lt; MB+LG; ","")&amp;IF(AND(CP626&gt;0,CO626*10&gt;CP626),"zu hoch für Tablar; ","")&amp;IF(AND(BV626=0,OR(CH626=1,AA626&lt;&gt;"",U626&lt;&gt;"",V626&lt;&gt;"",AB626&lt;&gt;"")),"manuell übersteuert; ","")&amp;IF(AND(BZ626=0,R626=0),"Gebinde unbekannt / Stellmass fehlt; ","")&amp;IF(AND(BZ626=0,N(V626)&lt;=0,N(Q626)&lt;=0),"Menge pro Gebinde fehlt (Ist = 1 Gebinde); ","")&amp;BU626)</f>
        <v>Überbestand 2944 Stk / CHF 29; Überbestand</v>
      </c>
      <c r="BN626" s="48"/>
      <c r="BO626" s="48"/>
      <c r="BP626" s="55"/>
      <c r="BQ626" s="50" t="n">
        <v>200</v>
      </c>
      <c r="BR626" s="50" t="n">
        <v>3384</v>
      </c>
      <c r="BS626" s="49" t="n">
        <v>2</v>
      </c>
      <c r="BT626" s="50" t="n">
        <v>604</v>
      </c>
      <c r="BU626" s="48" t="s">
        <v>401</v>
      </c>
      <c r="BV626" s="53" t="n">
        <v>0</v>
      </c>
      <c r="BW626" s="53" t="n">
        <v>626</v>
      </c>
      <c r="BX626" s="48" t="str">
        <f aca="false">IF(U626&lt;&gt;"",UPPER(TRIM(U626)),IF(CA626=1,UPPER(VLOOKUP(T626,Parameter!$I$27:$K$29,2,0)),IF(P626="","LOSE",P626)))</f>
        <v>S33</v>
      </c>
      <c r="BY626" s="50" t="n">
        <f aca="false">IF(BX626="LOSE",1,IF(N(V626)&gt;0,V626,IF(CA626=1,MAX(1,N(VLOOKUP(T626,Parameter!$I$27:$K$29,3,0)),H626,N(N626)),IF(N(Q626)&gt;0,Q626,MAX(1,H626)))))</f>
        <v>6007</v>
      </c>
      <c r="BZ626" s="53" t="n">
        <f aca="false">IF(BX626="LOSE",1,0)</f>
        <v>0</v>
      </c>
      <c r="CA626" s="53" t="n">
        <f aca="false">IF(AND(U626="",OR(P626="",P626="LOSE"),T626&lt;&gt;"",N(S626)&lt;=0,ISNUMBER(MATCH(T626,Parameter!$I$27:$I$29,0))),1,0)</f>
        <v>0</v>
      </c>
      <c r="CB626" s="53" t="n">
        <f aca="false">IF(CQ626&gt;0,INDEX(Parameter!$H$5:$H$7,W626)/INDEX(Parameter!$E$5:$E$7,W626),IF(AND(BZ626=0,N(IFERROR(VLOOKUP(BX626,'Gebinde-Kategorie'!$A$5:$N$45,14,0),0))&gt;0),VLOOKUP(BX626,'Gebinde-Kategorie'!$A$5:$N$45,14,0)*10+Parameter!$M$23,Parameter!$M$24))</f>
        <v>155</v>
      </c>
      <c r="CC626" s="48" t="str">
        <f aca="false">IF(AND(Parameter!$B$19="Ja",E626&lt;&gt;"",ISNUMBER(MATCH(E626,Parameter!$I$35:$I$52,0))),VLOOKUP(E626,Parameter!$I$35:$J$52,2,0),IFERROR(VLOOKUP(D626,Parameter!$A$35:$C$64,2,0),"Nein"))</f>
        <v>2+3</v>
      </c>
      <c r="CD626" s="52" t="n">
        <f aca="false">IF(BZ626=0,0,IF(N(S626)&gt;0,S626,IFERROR(VLOOKUP(D626,Parameter!$A$35:$C$64,3,0)+0,0)))</f>
        <v>0</v>
      </c>
      <c r="CE626" s="48" t="n">
        <f aca="false">IF(AA626&lt;&gt;"",AA626,Z626)</f>
        <v>3</v>
      </c>
      <c r="CF626" s="48" t="str">
        <f aca="false">IF(OR(CE626=1,CE626=2,CE626=3),IF(Parameter!$E$27="Ja","LIFT",IF(CE626=1,"L1","L23")),IF(CE626="Aussen","Aussen","-"))</f>
        <v>LIFT</v>
      </c>
      <c r="CG626" s="59" t="n">
        <f aca="false">IF(N(AB626)&gt;0,AB626,0)</f>
        <v>0</v>
      </c>
      <c r="CH626" s="53" t="n">
        <f aca="false">IF(ISNUMBER(AE626),1,0)</f>
        <v>0</v>
      </c>
      <c r="CI626" s="50" t="n">
        <f aca="false">N(AE626)</f>
        <v>0</v>
      </c>
      <c r="CJ626" s="50" t="n">
        <f aca="false">N(M626)+N(N626)</f>
        <v>640</v>
      </c>
      <c r="CK626" s="50" t="n">
        <f aca="false">N(M626)</f>
        <v>35</v>
      </c>
      <c r="CL626" s="50" t="n">
        <f aca="false">N(N626)</f>
        <v>605</v>
      </c>
      <c r="CM626" s="50" t="n">
        <f aca="false">ROUNDUP(H626/BY626,0)</f>
        <v>1</v>
      </c>
      <c r="CN626" s="50" t="n">
        <f aca="false">ROUNDUP(CI626/BY626,0)</f>
        <v>0</v>
      </c>
      <c r="CO626" s="53" t="n">
        <f aca="false">IF(BZ626=1,0,IFERROR(VLOOKUP(BX626,'Gebinde-Kategorie'!$A$5:$N$45,5,0)+0,0))</f>
        <v>8</v>
      </c>
      <c r="CP626" s="53" t="n">
        <f aca="false">IFERROR(IF(OR(CE626=1,CE626=2,CE626=3),N(INDEX(Parameter!$I$5:$I$7,CE626)),0),0)</f>
        <v>0</v>
      </c>
      <c r="CQ626" s="52" t="n">
        <f aca="false">IF(AND(Parameter!$B$21="Ja",ISNUMBER(W626),N(X626)&gt;0),IFERROR(N(INDEX(Parameter!$L$5:$L$7,W626))*INDEX(Parameter!$E$5:$E$7,W626)*X626/SUMIFS($X$7:$X$1843,$W$7:$W$1843,W626),0),0)</f>
        <v>0</v>
      </c>
    </row>
    <row r="627" customFormat="false" ht="15" hidden="false" customHeight="false" outlineLevel="0" collapsed="false">
      <c r="A627" s="48" t="s">
        <v>1294</v>
      </c>
      <c r="B627" s="48" t="s">
        <v>1271</v>
      </c>
      <c r="C627" s="48" t="s">
        <v>173</v>
      </c>
      <c r="D627" s="48" t="s">
        <v>193</v>
      </c>
      <c r="E627" s="48" t="s">
        <v>194</v>
      </c>
      <c r="F627" s="48" t="s">
        <v>227</v>
      </c>
      <c r="G627" s="49" t="n">
        <v>0.05</v>
      </c>
      <c r="H627" s="50" t="n">
        <f aca="false">MAX(0,IF(AND(Parameter!$B$21="Ja",ISNUMBER(Y627)),Y627,IF(Parameter!$B$20="Jahresanfang 2025 + Export",BR627+BQ627,BQ627)))</f>
        <v>85</v>
      </c>
      <c r="I627" s="50" t="n">
        <f aca="false">H627*G627</f>
        <v>4.25</v>
      </c>
      <c r="J627" s="50" t="n">
        <f aca="false">BT627*Parameter!$B$18</f>
        <v>0</v>
      </c>
      <c r="K627" s="51" t="n">
        <v>67</v>
      </c>
      <c r="L627" s="52" t="n">
        <v>0</v>
      </c>
      <c r="M627" s="50" t="n">
        <v>0</v>
      </c>
      <c r="N627" s="50" t="n">
        <v>1</v>
      </c>
      <c r="O627" s="53" t="n">
        <v>14</v>
      </c>
      <c r="P627" s="48" t="s">
        <v>410</v>
      </c>
      <c r="Q627" s="50" t="n">
        <v>91</v>
      </c>
      <c r="R627" s="53" t="n">
        <f aca="false">IF(BZ627=1,0,IFERROR(VLOOKUP(BX627,'Gebinde-Kategorie'!$A$5:$N$45,13,0)+0,0))</f>
        <v>280</v>
      </c>
      <c r="S627" s="54"/>
      <c r="T627" s="55"/>
      <c r="U627" s="55"/>
      <c r="V627" s="55"/>
      <c r="W627" s="48"/>
      <c r="X627" s="50"/>
      <c r="Y627" s="50"/>
      <c r="Z627" s="48" t="n">
        <f aca="false">IF(A627="","",IF(AND(Parameter!$B$21="Ja",ISNUMBER(W627)),W627,IF(CC627="2+3",IF(ISNUMBER(SEARCH("grosser Artikel",BU627)),2,IFERROR(VLOOKUP(BX627,Parameter!$F$35:$G$64,2,0),2)),IF(OR(CC627="Nein",CC627=""),"-",CC627))))</f>
        <v>3</v>
      </c>
      <c r="AA627" s="55"/>
      <c r="AB627" s="56"/>
      <c r="AC627" s="50" t="n">
        <f aca="false">AV627</f>
        <v>1</v>
      </c>
      <c r="AD627" s="50" t="n">
        <f aca="false">MAX(AV627,H627)</f>
        <v>85</v>
      </c>
      <c r="AE627" s="57"/>
      <c r="AF627" s="50" t="n">
        <f aca="false">IF(LEFT(Cockpit!$C$5,1)="A",H627,IF(Parameter!$E$30="MAX-Bestand",IF(CH627=1,CI627,IF(LEFT(Cockpit!$C$5,1)="B",AL627,MAX(AL627,H627))),ROUNDUP(AJ627,0)))</f>
        <v>85</v>
      </c>
      <c r="AG627" s="50" t="n">
        <f aca="false">IF(BZ627=1,0,ROUNDUP(AF627/BY627,0))</f>
        <v>1</v>
      </c>
      <c r="AH627" s="52" t="n">
        <f aca="false">IF(CQ627&gt;0,CQ627*MAX(1,AF627/X627),IF(BZ627=1,IF(AF627&lt;=0,0,CD627*MAX(1,IF(H627&gt;0,AF627/H627,1))),IF(R627&gt;0,AG627/R627,0))/MAX(0.1,N(Parameter!$M$21)))</f>
        <v>0.00357142857142857</v>
      </c>
      <c r="AI627" s="50" t="n">
        <f aca="false">AH627*CB627</f>
        <v>0.553571428571429</v>
      </c>
      <c r="AJ627" s="51" t="n">
        <f aca="false">IF(LEFT(Cockpit!$C$5,1)="A",H627,IF(CH627=1,(CK627+CI627)/2,IF(LEFT(Cockpit!$C$5,1)="B",(CK627+AL627)/2,MAX((CK627+AL627)/2,H627))))</f>
        <v>85</v>
      </c>
      <c r="AK627" s="50" t="n">
        <f aca="false">AJ627*G627</f>
        <v>4.25</v>
      </c>
      <c r="AL627" s="50" t="n">
        <f aca="false">ROUNDUP(CK627+MAX(CL627,2*(J627/IF(CG627&gt;0,CG627,MAX(0.1,N(Cockpit!$C$6)))-CK627)),0)</f>
        <v>1</v>
      </c>
      <c r="AM627" s="51" t="n">
        <f aca="false">IF(AI627&gt;0,J627/AI627,-1)</f>
        <v>0</v>
      </c>
      <c r="AN627" s="51" t="n">
        <f aca="false">IF(AND(OR(CF627="L1",CF627="L23",CF627="LIFT"),AI627&gt;0),SUMIFS($AI$7:$AI$1843,$CF$7:$CF$1843,CF627,$AM$7:$AM$1843,"&gt;"&amp;AM627)+SUMIFS($AI$7:$AI$1843,$CF$7:$CF$1843,CF627,$AM$7:$AM$1843,AM627,$BW$7:$BW$1843,"&lt;="&amp;BW627),"")</f>
        <v>28562.8472377434</v>
      </c>
      <c r="AO627" s="58" t="n">
        <f aca="false">IF(AN627="",0,MAX(0,MIN(1,(IF(CF627="L1",Parameter!$H$5,IF(CF627="L23",Parameter!$H$6+Parameter!$H$7,Parameter!$H$5+Parameter!$H$6+Parameter!$H$7))-(AN627-AI627))/AI627)))</f>
        <v>1</v>
      </c>
      <c r="AP627" s="50" t="n">
        <f aca="false">IF(LEFT(Cockpit!$I$5,1)="A",H627,IF(Parameter!$E$30="MAX-Bestand",IF(CH627=1,CI627,IF(LEFT(Cockpit!$I$5,1)="B",AV627,MAX(AV627,H627))),ROUNDUP(AT627,0)))</f>
        <v>85</v>
      </c>
      <c r="AQ627" s="50" t="n">
        <f aca="false">IF(BZ627=1,0,ROUNDUP(AP627/BY627,0))</f>
        <v>1</v>
      </c>
      <c r="AR627" s="52" t="n">
        <f aca="false">IF(CQ627&gt;0,CQ627*MAX(1,AP627/X627),IF(BZ627=1,IF(AP627&lt;=0,0,CD627*MAX(1,IF(H627&gt;0,AP627/H627,1))),IF(R627&gt;0,AQ627/R627,0))/MAX(0.1,N(Parameter!$M$21)))</f>
        <v>0.00357142857142857</v>
      </c>
      <c r="AS627" s="50" t="n">
        <f aca="false">AR627*CB627</f>
        <v>0.553571428571429</v>
      </c>
      <c r="AT627" s="51" t="n">
        <f aca="false">IF(LEFT(Cockpit!$I$5,1)="A",H627,IF(CH627=1,(CK627+CI627)/2,IF(LEFT(Cockpit!$I$5,1)="B",(CK627+AV627)/2,MAX((CK627+AV627)/2,H627))))</f>
        <v>85</v>
      </c>
      <c r="AU627" s="50" t="n">
        <f aca="false">AT627*G627</f>
        <v>4.25</v>
      </c>
      <c r="AV627" s="50" t="n">
        <f aca="false">ROUNDUP(CK627+MAX(CL627,2*(J627/IF(CG627&gt;0,CG627,MAX(0.1,N(Cockpit!$I$6)))-CK627)),0)</f>
        <v>1</v>
      </c>
      <c r="AW627" s="51" t="n">
        <f aca="false">IF(AS627&gt;0,J627/AS627,-1)</f>
        <v>0</v>
      </c>
      <c r="AX627" s="51" t="n">
        <f aca="false">IF(AND(OR(CF627="L1",CF627="L23",CF627="LIFT"),AS627&gt;0),SUMIFS($AS$7:$AS$1843,$CF$7:$CF$1843,CF627,$AW$7:$AW$1843,"&gt;"&amp;AW627)+SUMIFS($AS$7:$AS$1843,$CF$7:$CF$1843,CF627,$AW$7:$AW$1843,AW627,$BW$7:$BW$1843,"&lt;="&amp;BW627),"")</f>
        <v>33915.9958791209</v>
      </c>
      <c r="AY627" s="58" t="n">
        <f aca="false">IF(AX627="",0,MAX(0,MIN(1,(IF(CF627="L1",Parameter!$H$5,IF(CF627="L23",Parameter!$H$6+Parameter!$H$7,Parameter!$H$5+Parameter!$H$6+Parameter!$H$7))-(AX627-AS627))/AS627)))</f>
        <v>1</v>
      </c>
      <c r="AZ627" s="50" t="n">
        <f aca="false">IF(LEFT(Cockpit!$O$5,1)="A",H627,IF(Parameter!$E$30="MAX-Bestand",IF(CH627=1,CI627,IF(LEFT(Cockpit!$O$5,1)="B",BF627,MAX(BF627,H627))),ROUNDUP(BD627,0)))</f>
        <v>1</v>
      </c>
      <c r="BA627" s="50" t="n">
        <f aca="false">IF(BZ627=1,0,ROUNDUP(AZ627/BY627,0))</f>
        <v>1</v>
      </c>
      <c r="BB627" s="52" t="n">
        <f aca="false">IF(CQ627&gt;0,CQ627*MAX(1,AZ627/X627),IF(BZ627=1,IF(AZ627&lt;=0,0,CD627*MAX(1,IF(H627&gt;0,AZ627/H627,1))),IF(R627&gt;0,BA627/R627,0))/MAX(0.1,N(Parameter!$M$21)))</f>
        <v>0.00357142857142857</v>
      </c>
      <c r="BC627" s="50" t="n">
        <f aca="false">BB627*CB627</f>
        <v>0.553571428571429</v>
      </c>
      <c r="BD627" s="51" t="n">
        <f aca="false">IF(LEFT(Cockpit!$O$5,1)="A",H627,IF(CH627=1,(CK627+CI627)/2,IF(LEFT(Cockpit!$O$5,1)="B",(CK627+BF627)/2,MAX((CK627+BF627)/2,H627))))</f>
        <v>0.5</v>
      </c>
      <c r="BE627" s="50" t="n">
        <f aca="false">BD627*G627</f>
        <v>0.025</v>
      </c>
      <c r="BF627" s="50" t="n">
        <f aca="false">ROUNDUP(CK627+MAX(CL627,2*(J627/IF(CG627&gt;0,CG627,MAX(0.1,N(Cockpit!$O$6)))-CK627)),0)</f>
        <v>1</v>
      </c>
      <c r="BG627" s="51" t="n">
        <f aca="false">IF(BC627&gt;0,J627/BC627,-1)</f>
        <v>0</v>
      </c>
      <c r="BH627" s="51" t="n">
        <f aca="false">IF(AND(OR(CF627="L1",CF627="L23",CF627="LIFT"),BC627&gt;0),SUMIFS($BC$7:$BC$1843,$CF$7:$CF$1843,CF627,$BG$7:$BG$1843,"&gt;"&amp;BG627)+SUMIFS($BC$7:$BC$1843,$CF$7:$CF$1843,CF627,$BG$7:$BG$1843,BG627,$BW$7:$BW$1843,"&lt;="&amp;BW627),"")</f>
        <v>27988.3007077668</v>
      </c>
      <c r="BI627" s="58" t="n">
        <f aca="false">IF(BH627="",0,MAX(0,MIN(1,(IF(CF627="L1",Parameter!$H$5,IF(CF627="L23",Parameter!$H$6+Parameter!$H$7,Parameter!$H$5+Parameter!$H$6+Parameter!$H$7))-(BH627-BC627))/BC627)))</f>
        <v>1</v>
      </c>
      <c r="BJ627" s="48" t="str">
        <f aca="false">IF(AI627&lt;=0,"",IF(CF627="Aussen","Aussenlager",IF(CF627="-","Nicht im Lift",IF(AO627&gt;=1,"Lift",IF(AO627&lt;=0,"Aussenlager","teilweise")))))</f>
        <v>Lift</v>
      </c>
      <c r="BK627" s="48" t="str">
        <f aca="false">IF(AS627&lt;=0,"",IF(CF627="Aussen","Aussenlager",IF(CF627="-","Nicht im Lift",IF(AY627&gt;=1,"Lift",IF(AY627&lt;=0,"Aussenlager","teilweise")))))</f>
        <v>Lift</v>
      </c>
      <c r="BL627" s="48" t="str">
        <f aca="false">IF(BC627&lt;=0,"",IF(CF627="Aussen","Aussenlager",IF(CF627="-","Nicht im Lift",IF(BI627&gt;=1,"Lift",IF(BI627&lt;=0,"Aussenlager","teilweise")))))</f>
        <v>Lift</v>
      </c>
      <c r="BM627" s="48" t="str">
        <f aca="false">IF(A627="","",IF(BV627=1,"Neu; ","")&amp;IF(AND(BV627=0,BQ627&lt;0),"negativer Bestand (Export "&amp;BQ627&amp;"); ","")&amp;IF(J627&lt;=0,"Kein Verbrauch; ","")&amp;IF(CQ627&gt;0,"Lift "&amp;W627&amp;" lt. Liftbericht (Fach "&amp;X627&amp;" Stk); ",IF(CA627=1,"Gebinde geschätzt ("&amp;T627&amp;"); ",IF(BZ627=1,"Lose – Tablare geschätzt; ","")))&amp;IF(H627&gt;AV627,"Überbestand "&amp;ROUND(H627-AV627,0)&amp;" Stk / CHF "&amp;ROUND((H627-AV627)*G627,0)&amp;"; ","")&amp;IF(AND(CH627=1,CI627&lt;CJ627),"MAX &lt; MB+LG; ","")&amp;IF(AND(CP627&gt;0,CO627*10&gt;CP627),"zu hoch für Tablar; ","")&amp;IF(AND(BV627=0,OR(CH627=1,AA627&lt;&gt;"",U627&lt;&gt;"",V627&lt;&gt;"",AB627&lt;&gt;"")),"manuell übersteuert; ","")&amp;IF(AND(BZ627=0,R627=0),"Gebinde unbekannt / Stellmass fehlt; ","")&amp;IF(AND(BZ627=0,N(V627)&lt;=0,N(Q627)&lt;=0),"Menge pro Gebinde fehlt (Ist = 1 Gebinde); ","")&amp;BU627)</f>
        <v>Kein Verbrauch; Überbestand 84 Stk / CHF 4; </v>
      </c>
      <c r="BN627" s="48"/>
      <c r="BO627" s="48"/>
      <c r="BP627" s="55"/>
      <c r="BQ627" s="50" t="n">
        <v>36</v>
      </c>
      <c r="BR627" s="50" t="n">
        <v>49</v>
      </c>
      <c r="BS627" s="49" t="n">
        <v>1.8</v>
      </c>
      <c r="BT627" s="50" t="n">
        <v>0</v>
      </c>
      <c r="BU627" s="48"/>
      <c r="BV627" s="53" t="n">
        <v>0</v>
      </c>
      <c r="BW627" s="53" t="n">
        <v>627</v>
      </c>
      <c r="BX627" s="48" t="str">
        <f aca="false">IF(U627&lt;&gt;"",UPPER(TRIM(U627)),IF(CA627=1,UPPER(VLOOKUP(T627,Parameter!$I$27:$K$29,2,0)),IF(P627="","LOSE",P627)))</f>
        <v>S21</v>
      </c>
      <c r="BY627" s="50" t="n">
        <f aca="false">IF(BX627="LOSE",1,IF(N(V627)&gt;0,V627,IF(CA627=1,MAX(1,N(VLOOKUP(T627,Parameter!$I$27:$K$29,3,0)),H627,N(N627)),IF(N(Q627)&gt;0,Q627,MAX(1,H627)))))</f>
        <v>91</v>
      </c>
      <c r="BZ627" s="53" t="n">
        <f aca="false">IF(BX627="LOSE",1,0)</f>
        <v>0</v>
      </c>
      <c r="CA627" s="53" t="n">
        <f aca="false">IF(AND(U627="",OR(P627="",P627="LOSE"),T627&lt;&gt;"",N(S627)&lt;=0,ISNUMBER(MATCH(T627,Parameter!$I$27:$I$29,0))),1,0)</f>
        <v>0</v>
      </c>
      <c r="CB627" s="53" t="n">
        <f aca="false">IF(CQ627&gt;0,INDEX(Parameter!$H$5:$H$7,W627)/INDEX(Parameter!$E$5:$E$7,W627),IF(AND(BZ627=0,N(IFERROR(VLOOKUP(BX627,'Gebinde-Kategorie'!$A$5:$N$45,14,0),0))&gt;0),VLOOKUP(BX627,'Gebinde-Kategorie'!$A$5:$N$45,14,0)*10+Parameter!$M$23,Parameter!$M$24))</f>
        <v>155</v>
      </c>
      <c r="CC627" s="48" t="str">
        <f aca="false">IF(AND(Parameter!$B$19="Ja",E627&lt;&gt;"",ISNUMBER(MATCH(E627,Parameter!$I$35:$I$52,0))),VLOOKUP(E627,Parameter!$I$35:$J$52,2,0),IFERROR(VLOOKUP(D627,Parameter!$A$35:$C$64,2,0),"Nein"))</f>
        <v>2+3</v>
      </c>
      <c r="CD627" s="52" t="n">
        <f aca="false">IF(BZ627=0,0,IF(N(S627)&gt;0,S627,IFERROR(VLOOKUP(D627,Parameter!$A$35:$C$64,3,0)+0,0)))</f>
        <v>0</v>
      </c>
      <c r="CE627" s="48" t="n">
        <f aca="false">IF(AA627&lt;&gt;"",AA627,Z627)</f>
        <v>3</v>
      </c>
      <c r="CF627" s="48" t="str">
        <f aca="false">IF(OR(CE627=1,CE627=2,CE627=3),IF(Parameter!$E$27="Ja","LIFT",IF(CE627=1,"L1","L23")),IF(CE627="Aussen","Aussen","-"))</f>
        <v>LIFT</v>
      </c>
      <c r="CG627" s="59" t="n">
        <f aca="false">IF(N(AB627)&gt;0,AB627,0)</f>
        <v>0</v>
      </c>
      <c r="CH627" s="53" t="n">
        <f aca="false">IF(ISNUMBER(AE627),1,0)</f>
        <v>0</v>
      </c>
      <c r="CI627" s="50" t="n">
        <f aca="false">N(AE627)</f>
        <v>0</v>
      </c>
      <c r="CJ627" s="50" t="n">
        <f aca="false">N(M627)+N(N627)</f>
        <v>1</v>
      </c>
      <c r="CK627" s="50" t="n">
        <f aca="false">N(M627)</f>
        <v>0</v>
      </c>
      <c r="CL627" s="50" t="n">
        <f aca="false">N(N627)</f>
        <v>1</v>
      </c>
      <c r="CM627" s="50" t="n">
        <f aca="false">ROUNDUP(H627/BY627,0)</f>
        <v>1</v>
      </c>
      <c r="CN627" s="50" t="n">
        <f aca="false">ROUNDUP(CI627/BY627,0)</f>
        <v>0</v>
      </c>
      <c r="CO627" s="53" t="n">
        <f aca="false">IF(BZ627=1,0,IFERROR(VLOOKUP(BX627,'Gebinde-Kategorie'!$A$5:$N$45,5,0)+0,0))</f>
        <v>8</v>
      </c>
      <c r="CP627" s="53" t="n">
        <f aca="false">IFERROR(IF(OR(CE627=1,CE627=2,CE627=3),N(INDEX(Parameter!$I$5:$I$7,CE627)),0),0)</f>
        <v>0</v>
      </c>
      <c r="CQ627" s="52" t="n">
        <f aca="false">IF(AND(Parameter!$B$21="Ja",ISNUMBER(W627),N(X627)&gt;0),IFERROR(N(INDEX(Parameter!$L$5:$L$7,W627))*INDEX(Parameter!$E$5:$E$7,W627)*X627/SUMIFS($X$7:$X$1843,$W$7:$W$1843,W627),0),0)</f>
        <v>0</v>
      </c>
    </row>
    <row r="628" customFormat="false" ht="15" hidden="false" customHeight="false" outlineLevel="0" collapsed="false">
      <c r="A628" s="48" t="s">
        <v>1295</v>
      </c>
      <c r="B628" s="48" t="s">
        <v>1145</v>
      </c>
      <c r="C628" s="48" t="s">
        <v>173</v>
      </c>
      <c r="D628" s="48" t="s">
        <v>193</v>
      </c>
      <c r="E628" s="48" t="s">
        <v>194</v>
      </c>
      <c r="F628" s="48" t="s">
        <v>227</v>
      </c>
      <c r="G628" s="49" t="n">
        <v>8.01</v>
      </c>
      <c r="H628" s="50" t="n">
        <f aca="false">MAX(0,IF(AND(Parameter!$B$21="Ja",ISNUMBER(Y628)),Y628,IF(Parameter!$B$20="Jahresanfang 2025 + Export",BR628+BQ628,BQ628)))</f>
        <v>4</v>
      </c>
      <c r="I628" s="50" t="n">
        <f aca="false">H628*G628</f>
        <v>32.04</v>
      </c>
      <c r="J628" s="50" t="n">
        <f aca="false">BT628*Parameter!$B$18</f>
        <v>2</v>
      </c>
      <c r="K628" s="51" t="n">
        <v>3.5</v>
      </c>
      <c r="L628" s="52" t="n">
        <v>0.571428571428571</v>
      </c>
      <c r="M628" s="50" t="n">
        <v>0</v>
      </c>
      <c r="N628" s="50" t="n">
        <v>1</v>
      </c>
      <c r="O628" s="53" t="n">
        <v>14</v>
      </c>
      <c r="P628" s="48" t="s">
        <v>337</v>
      </c>
      <c r="Q628" s="50" t="n">
        <v>1</v>
      </c>
      <c r="R628" s="53" t="n">
        <f aca="false">IF(BZ628=1,0,IFERROR(VLOOKUP(BX628,'Gebinde-Kategorie'!$A$5:$N$45,13,0)+0,0))</f>
        <v>52</v>
      </c>
      <c r="S628" s="54"/>
      <c r="T628" s="55"/>
      <c r="U628" s="55"/>
      <c r="V628" s="55"/>
      <c r="W628" s="48"/>
      <c r="X628" s="50"/>
      <c r="Y628" s="50"/>
      <c r="Z628" s="48" t="n">
        <f aca="false">IF(A628="","",IF(AND(Parameter!$B$21="Ja",ISNUMBER(W628)),W628,IF(CC628="2+3",IF(ISNUMBER(SEARCH("grosser Artikel",BU628)),2,IFERROR(VLOOKUP(BX628,Parameter!$F$35:$G$64,2,0),2)),IF(OR(CC628="Nein",CC628=""),"-",CC628))))</f>
        <v>3</v>
      </c>
      <c r="AA628" s="55"/>
      <c r="AB628" s="56"/>
      <c r="AC628" s="50" t="n">
        <f aca="false">AV628</f>
        <v>2</v>
      </c>
      <c r="AD628" s="50" t="n">
        <f aca="false">MAX(AV628,H628)</f>
        <v>4</v>
      </c>
      <c r="AE628" s="57"/>
      <c r="AF628" s="50" t="n">
        <f aca="false">IF(LEFT(Cockpit!$C$5,1)="A",H628,IF(Parameter!$E$30="MAX-Bestand",IF(CH628=1,CI628,IF(LEFT(Cockpit!$C$5,1)="B",AL628,MAX(AL628,H628))),ROUNDUP(AJ628,0)))</f>
        <v>4</v>
      </c>
      <c r="AG628" s="50" t="n">
        <f aca="false">IF(BZ628=1,0,ROUNDUP(AF628/BY628,0))</f>
        <v>4</v>
      </c>
      <c r="AH628" s="52" t="n">
        <f aca="false">IF(CQ628&gt;0,CQ628*MAX(1,AF628/X628),IF(BZ628=1,IF(AF628&lt;=0,0,CD628*MAX(1,IF(H628&gt;0,AF628/H628,1))),IF(R628&gt;0,AG628/R628,0))/MAX(0.1,N(Parameter!$M$21)))</f>
        <v>0.0769230769230769</v>
      </c>
      <c r="AI628" s="50" t="n">
        <f aca="false">AH628*CB628</f>
        <v>11.9230769230769</v>
      </c>
      <c r="AJ628" s="51" t="n">
        <f aca="false">IF(LEFT(Cockpit!$C$5,1)="A",H628,IF(CH628=1,(CK628+CI628)/2,IF(LEFT(Cockpit!$C$5,1)="B",(CK628+AL628)/2,MAX((CK628+AL628)/2,H628))))</f>
        <v>4</v>
      </c>
      <c r="AK628" s="50" t="n">
        <f aca="false">AJ628*G628</f>
        <v>32.04</v>
      </c>
      <c r="AL628" s="50" t="n">
        <f aca="false">ROUNDUP(CK628+MAX(CL628,2*(J628/IF(CG628&gt;0,CG628,MAX(0.1,N(Cockpit!$C$6)))-CK628)),0)</f>
        <v>2</v>
      </c>
      <c r="AM628" s="51" t="n">
        <f aca="false">IF(AI628&gt;0,J628/AI628,-1)</f>
        <v>0.167741935483871</v>
      </c>
      <c r="AN628" s="51" t="n">
        <f aca="false">IF(AND(OR(CF628="L1",CF628="L23",CF628="LIFT"),AI628&gt;0),SUMIFS($AI$7:$AI$1843,$CF$7:$CF$1843,CF628,$AM$7:$AM$1843,"&gt;"&amp;AM628)+SUMIFS($AI$7:$AI$1843,$CF$7:$CF$1843,CF628,$AM$7:$AM$1843,AM628,$BW$7:$BW$1843,"&lt;="&amp;BW628),"")</f>
        <v>12709.5414131537</v>
      </c>
      <c r="AO628" s="58" t="n">
        <f aca="false">IF(AN628="",0,MAX(0,MIN(1,(IF(CF628="L1",Parameter!$H$5,IF(CF628="L23",Parameter!$H$6+Parameter!$H$7,Parameter!$H$5+Parameter!$H$6+Parameter!$H$7))-(AN628-AI628))/AI628)))</f>
        <v>1</v>
      </c>
      <c r="AP628" s="50" t="n">
        <f aca="false">IF(LEFT(Cockpit!$I$5,1)="A",H628,IF(Parameter!$E$30="MAX-Bestand",IF(CH628=1,CI628,IF(LEFT(Cockpit!$I$5,1)="B",AV628,MAX(AV628,H628))),ROUNDUP(AT628,0)))</f>
        <v>4</v>
      </c>
      <c r="AQ628" s="50" t="n">
        <f aca="false">IF(BZ628=1,0,ROUNDUP(AP628/BY628,0))</f>
        <v>4</v>
      </c>
      <c r="AR628" s="52" t="n">
        <f aca="false">IF(CQ628&gt;0,CQ628*MAX(1,AP628/X628),IF(BZ628=1,IF(AP628&lt;=0,0,CD628*MAX(1,IF(H628&gt;0,AP628/H628,1))),IF(R628&gt;0,AQ628/R628,0))/MAX(0.1,N(Parameter!$M$21)))</f>
        <v>0.0769230769230769</v>
      </c>
      <c r="AS628" s="50" t="n">
        <f aca="false">AR628*CB628</f>
        <v>11.9230769230769</v>
      </c>
      <c r="AT628" s="51" t="n">
        <f aca="false">IF(LEFT(Cockpit!$I$5,1)="A",H628,IF(CH628=1,(CK628+CI628)/2,IF(LEFT(Cockpit!$I$5,1)="B",(CK628+AV628)/2,MAX((CK628+AV628)/2,H628))))</f>
        <v>4</v>
      </c>
      <c r="AU628" s="50" t="n">
        <f aca="false">AT628*G628</f>
        <v>32.04</v>
      </c>
      <c r="AV628" s="50" t="n">
        <f aca="false">ROUNDUP(CK628+MAX(CL628,2*(J628/IF(CG628&gt;0,CG628,MAX(0.1,N(Cockpit!$I$6)))-CK628)),0)</f>
        <v>2</v>
      </c>
      <c r="AW628" s="51" t="n">
        <f aca="false">IF(AS628&gt;0,J628/AS628,-1)</f>
        <v>0.167741935483871</v>
      </c>
      <c r="AX628" s="51" t="n">
        <f aca="false">IF(AND(OR(CF628="L1",CF628="L23",CF628="LIFT"),AS628&gt;0),SUMIFS($AS$7:$AS$1843,$CF$7:$CF$1843,CF628,$AW$7:$AW$1843,"&gt;"&amp;AW628)+SUMIFS($AS$7:$AS$1843,$CF$7:$CF$1843,CF628,$AW$7:$AW$1843,AW628,$BW$7:$BW$1843,"&lt;="&amp;BW628),"")</f>
        <v>15626.298992674</v>
      </c>
      <c r="AY628" s="58" t="n">
        <f aca="false">IF(AX628="",0,MAX(0,MIN(1,(IF(CF628="L1",Parameter!$H$5,IF(CF628="L23",Parameter!$H$6+Parameter!$H$7,Parameter!$H$5+Parameter!$H$6+Parameter!$H$7))-(AX628-AS628))/AS628)))</f>
        <v>1</v>
      </c>
      <c r="AZ628" s="50" t="n">
        <f aca="false">IF(LEFT(Cockpit!$O$5,1)="A",H628,IF(Parameter!$E$30="MAX-Bestand",IF(CH628=1,CI628,IF(LEFT(Cockpit!$O$5,1)="B",BF628,MAX(BF628,H628))),ROUNDUP(BD628,0)))</f>
        <v>1</v>
      </c>
      <c r="BA628" s="50" t="n">
        <f aca="false">IF(BZ628=1,0,ROUNDUP(AZ628/BY628,0))</f>
        <v>1</v>
      </c>
      <c r="BB628" s="52" t="n">
        <f aca="false">IF(CQ628&gt;0,CQ628*MAX(1,AZ628/X628),IF(BZ628=1,IF(AZ628&lt;=0,0,CD628*MAX(1,IF(H628&gt;0,AZ628/H628,1))),IF(R628&gt;0,BA628/R628,0))/MAX(0.1,N(Parameter!$M$21)))</f>
        <v>0.0192307692307692</v>
      </c>
      <c r="BC628" s="50" t="n">
        <f aca="false">BB628*CB628</f>
        <v>2.98076923076923</v>
      </c>
      <c r="BD628" s="51" t="n">
        <f aca="false">IF(LEFT(Cockpit!$O$5,1)="A",H628,IF(CH628=1,(CK628+CI628)/2,IF(LEFT(Cockpit!$O$5,1)="B",(CK628+BF628)/2,MAX((CK628+BF628)/2,H628))))</f>
        <v>0.5</v>
      </c>
      <c r="BE628" s="50" t="n">
        <f aca="false">BD628*G628</f>
        <v>4.005</v>
      </c>
      <c r="BF628" s="50" t="n">
        <f aca="false">ROUNDUP(CK628+MAX(CL628,2*(J628/IF(CG628&gt;0,CG628,MAX(0.1,N(Cockpit!$O$6)))-CK628)),0)</f>
        <v>1</v>
      </c>
      <c r="BG628" s="51" t="n">
        <f aca="false">IF(BC628&gt;0,J628/BC628,-1)</f>
        <v>0.670967741935484</v>
      </c>
      <c r="BH628" s="51" t="n">
        <f aca="false">IF(AND(OR(CF628="L1",CF628="L23",CF628="LIFT"),BC628&gt;0),SUMIFS($BC$7:$BC$1843,$CF$7:$CF$1843,CF628,$BG$7:$BG$1843,"&gt;"&amp;BG628)+SUMIFS($BC$7:$BC$1843,$CF$7:$CF$1843,CF628,$BG$7:$BG$1843,BG628,$BW$7:$BW$1843,"&lt;="&amp;BW628),"")</f>
        <v>9509.48122710623</v>
      </c>
      <c r="BI628" s="58" t="n">
        <f aca="false">IF(BH628="",0,MAX(0,MIN(1,(IF(CF628="L1",Parameter!$H$5,IF(CF628="L23",Parameter!$H$6+Parameter!$H$7,Parameter!$H$5+Parameter!$H$6+Parameter!$H$7))-(BH628-BC628))/BC628)))</f>
        <v>1</v>
      </c>
      <c r="BJ628" s="48" t="str">
        <f aca="false">IF(AI628&lt;=0,"",IF(CF628="Aussen","Aussenlager",IF(CF628="-","Nicht im Lift",IF(AO628&gt;=1,"Lift",IF(AO628&lt;=0,"Aussenlager","teilweise")))))</f>
        <v>Lift</v>
      </c>
      <c r="BK628" s="48" t="str">
        <f aca="false">IF(AS628&lt;=0,"",IF(CF628="Aussen","Aussenlager",IF(CF628="-","Nicht im Lift",IF(AY628&gt;=1,"Lift",IF(AY628&lt;=0,"Aussenlager","teilweise")))))</f>
        <v>Lift</v>
      </c>
      <c r="BL628" s="48" t="str">
        <f aca="false">IF(BC628&lt;=0,"",IF(CF628="Aussen","Aussenlager",IF(CF628="-","Nicht im Lift",IF(BI628&gt;=1,"Lift",IF(BI628&lt;=0,"Aussenlager","teilweise")))))</f>
        <v>Lift</v>
      </c>
      <c r="BM628" s="48" t="str">
        <f aca="false">IF(A628="","",IF(BV628=1,"Neu; ","")&amp;IF(AND(BV628=0,BQ628&lt;0),"negativer Bestand (Export "&amp;BQ628&amp;"); ","")&amp;IF(J628&lt;=0,"Kein Verbrauch; ","")&amp;IF(CQ628&gt;0,"Lift "&amp;W628&amp;" lt. Liftbericht (Fach "&amp;X628&amp;" Stk); ",IF(CA628=1,"Gebinde geschätzt ("&amp;T628&amp;"); ",IF(BZ628=1,"Lose – Tablare geschätzt; ","")))&amp;IF(H628&gt;AV628,"Überbestand "&amp;ROUND(H628-AV628,0)&amp;" Stk / CHF "&amp;ROUND((H628-AV628)*G628,0)&amp;"; ","")&amp;IF(AND(CH628=1,CI628&lt;CJ628),"MAX &lt; MB+LG; ","")&amp;IF(AND(CP628&gt;0,CO628*10&gt;CP628),"zu hoch für Tablar; ","")&amp;IF(AND(BV628=0,OR(CH628=1,AA628&lt;&gt;"",U628&lt;&gt;"",V628&lt;&gt;"",AB628&lt;&gt;"")),"manuell übersteuert; ","")&amp;IF(AND(BZ628=0,R628=0),"Gebinde unbekannt / Stellmass fehlt; ","")&amp;IF(AND(BZ628=0,N(V628)&lt;=0,N(Q628)&lt;=0),"Menge pro Gebinde fehlt (Ist = 1 Gebinde); ","")&amp;BU628)</f>
        <v>Überbestand 2 Stk / CHF 16; </v>
      </c>
      <c r="BN628" s="48"/>
      <c r="BO628" s="48"/>
      <c r="BP628" s="55"/>
      <c r="BQ628" s="50" t="n">
        <v>1</v>
      </c>
      <c r="BR628" s="50" t="n">
        <v>3</v>
      </c>
      <c r="BS628" s="49" t="n">
        <v>1.8</v>
      </c>
      <c r="BT628" s="50" t="n">
        <v>2</v>
      </c>
      <c r="BU628" s="48"/>
      <c r="BV628" s="53" t="n">
        <v>0</v>
      </c>
      <c r="BW628" s="53" t="n">
        <v>628</v>
      </c>
      <c r="BX628" s="48" t="str">
        <f aca="false">IF(U628&lt;&gt;"",UPPER(TRIM(U628)),IF(CA628=1,UPPER(VLOOKUP(T628,Parameter!$I$27:$K$29,2,0)),IF(P628="","LOSE",P628)))</f>
        <v>S41</v>
      </c>
      <c r="BY628" s="50" t="n">
        <f aca="false">IF(BX628="LOSE",1,IF(N(V628)&gt;0,V628,IF(CA628=1,MAX(1,N(VLOOKUP(T628,Parameter!$I$27:$K$29,3,0)),H628,N(N628)),IF(N(Q628)&gt;0,Q628,MAX(1,H628)))))</f>
        <v>1</v>
      </c>
      <c r="BZ628" s="53" t="n">
        <f aca="false">IF(BX628="LOSE",1,0)</f>
        <v>0</v>
      </c>
      <c r="CA628" s="53" t="n">
        <f aca="false">IF(AND(U628="",OR(P628="",P628="LOSE"),T628&lt;&gt;"",N(S628)&lt;=0,ISNUMBER(MATCH(T628,Parameter!$I$27:$I$29,0))),1,0)</f>
        <v>0</v>
      </c>
      <c r="CB628" s="53" t="n">
        <f aca="false">IF(CQ628&gt;0,INDEX(Parameter!$H$5:$H$7,W628)/INDEX(Parameter!$E$5:$E$7,W628),IF(AND(BZ628=0,N(IFERROR(VLOOKUP(BX628,'Gebinde-Kategorie'!$A$5:$N$45,14,0),0))&gt;0),VLOOKUP(BX628,'Gebinde-Kategorie'!$A$5:$N$45,14,0)*10+Parameter!$M$23,Parameter!$M$24))</f>
        <v>155</v>
      </c>
      <c r="CC628" s="48" t="str">
        <f aca="false">IF(AND(Parameter!$B$19="Ja",E628&lt;&gt;"",ISNUMBER(MATCH(E628,Parameter!$I$35:$I$52,0))),VLOOKUP(E628,Parameter!$I$35:$J$52,2,0),IFERROR(VLOOKUP(D628,Parameter!$A$35:$C$64,2,0),"Nein"))</f>
        <v>2+3</v>
      </c>
      <c r="CD628" s="52" t="n">
        <f aca="false">IF(BZ628=0,0,IF(N(S628)&gt;0,S628,IFERROR(VLOOKUP(D628,Parameter!$A$35:$C$64,3,0)+0,0)))</f>
        <v>0</v>
      </c>
      <c r="CE628" s="48" t="n">
        <f aca="false">IF(AA628&lt;&gt;"",AA628,Z628)</f>
        <v>3</v>
      </c>
      <c r="CF628" s="48" t="str">
        <f aca="false">IF(OR(CE628=1,CE628=2,CE628=3),IF(Parameter!$E$27="Ja","LIFT",IF(CE628=1,"L1","L23")),IF(CE628="Aussen","Aussen","-"))</f>
        <v>LIFT</v>
      </c>
      <c r="CG628" s="59" t="n">
        <f aca="false">IF(N(AB628)&gt;0,AB628,0)</f>
        <v>0</v>
      </c>
      <c r="CH628" s="53" t="n">
        <f aca="false">IF(ISNUMBER(AE628),1,0)</f>
        <v>0</v>
      </c>
      <c r="CI628" s="50" t="n">
        <f aca="false">N(AE628)</f>
        <v>0</v>
      </c>
      <c r="CJ628" s="50" t="n">
        <f aca="false">N(M628)+N(N628)</f>
        <v>1</v>
      </c>
      <c r="CK628" s="50" t="n">
        <f aca="false">N(M628)</f>
        <v>0</v>
      </c>
      <c r="CL628" s="50" t="n">
        <f aca="false">N(N628)</f>
        <v>1</v>
      </c>
      <c r="CM628" s="50" t="n">
        <f aca="false">ROUNDUP(H628/BY628,0)</f>
        <v>4</v>
      </c>
      <c r="CN628" s="50" t="n">
        <f aca="false">ROUNDUP(CI628/BY628,0)</f>
        <v>0</v>
      </c>
      <c r="CO628" s="53" t="n">
        <f aca="false">IF(BZ628=1,0,IFERROR(VLOOKUP(BX628,'Gebinde-Kategorie'!$A$5:$N$45,5,0)+0,0))</f>
        <v>11</v>
      </c>
      <c r="CP628" s="53" t="n">
        <f aca="false">IFERROR(IF(OR(CE628=1,CE628=2,CE628=3),N(INDEX(Parameter!$I$5:$I$7,CE628)),0),0)</f>
        <v>0</v>
      </c>
      <c r="CQ628" s="52" t="n">
        <f aca="false">IF(AND(Parameter!$B$21="Ja",ISNUMBER(W628),N(X628)&gt;0),IFERROR(N(INDEX(Parameter!$L$5:$L$7,W628))*INDEX(Parameter!$E$5:$E$7,W628)*X628/SUMIFS($X$7:$X$1843,$W$7:$W$1843,W628),0),0)</f>
        <v>0</v>
      </c>
    </row>
    <row r="629" customFormat="false" ht="15" hidden="false" customHeight="false" outlineLevel="0" collapsed="false">
      <c r="A629" s="48" t="s">
        <v>1296</v>
      </c>
      <c r="B629" s="48" t="s">
        <v>1297</v>
      </c>
      <c r="C629" s="48" t="s">
        <v>173</v>
      </c>
      <c r="D629" s="48" t="s">
        <v>193</v>
      </c>
      <c r="E629" s="48" t="s">
        <v>194</v>
      </c>
      <c r="F629" s="48" t="s">
        <v>227</v>
      </c>
      <c r="G629" s="49" t="n">
        <v>5.5</v>
      </c>
      <c r="H629" s="50" t="n">
        <f aca="false">MAX(0,IF(AND(Parameter!$B$21="Ja",ISNUMBER(Y629)),Y629,IF(Parameter!$B$20="Jahresanfang 2025 + Export",BR629+BQ629,BQ629)))</f>
        <v>3</v>
      </c>
      <c r="I629" s="50" t="n">
        <f aca="false">H629*G629</f>
        <v>16.5</v>
      </c>
      <c r="J629" s="50" t="n">
        <f aca="false">BT629*Parameter!$B$18</f>
        <v>6</v>
      </c>
      <c r="K629" s="51" t="n">
        <v>4.5</v>
      </c>
      <c r="L629" s="52" t="n">
        <v>1.33333333333333</v>
      </c>
      <c r="M629" s="50" t="n">
        <v>0</v>
      </c>
      <c r="N629" s="50" t="n">
        <v>5</v>
      </c>
      <c r="O629" s="53" t="n">
        <v>14</v>
      </c>
      <c r="P629" s="48" t="s">
        <v>430</v>
      </c>
      <c r="Q629" s="50" t="n">
        <v>5</v>
      </c>
      <c r="R629" s="53" t="n">
        <f aca="false">IF(BZ629=1,0,IFERROR(VLOOKUP(BX629,'Gebinde-Kategorie'!$A$5:$N$45,13,0)+0,0))</f>
        <v>104</v>
      </c>
      <c r="S629" s="54"/>
      <c r="T629" s="55"/>
      <c r="U629" s="55"/>
      <c r="V629" s="55"/>
      <c r="W629" s="48"/>
      <c r="X629" s="50"/>
      <c r="Y629" s="50"/>
      <c r="Z629" s="48" t="n">
        <f aca="false">IF(A629="","",IF(AND(Parameter!$B$21="Ja",ISNUMBER(W629)),W629,IF(CC629="2+3",IF(ISNUMBER(SEARCH("grosser Artikel",BU629)),2,IFERROR(VLOOKUP(BX629,Parameter!$F$35:$G$64,2,0),2)),IF(OR(CC629="Nein",CC629=""),"-",CC629))))</f>
        <v>3</v>
      </c>
      <c r="AA629" s="55"/>
      <c r="AB629" s="56"/>
      <c r="AC629" s="50" t="n">
        <f aca="false">AV629</f>
        <v>5</v>
      </c>
      <c r="AD629" s="50" t="n">
        <f aca="false">MAX(AV629,H629)</f>
        <v>5</v>
      </c>
      <c r="AE629" s="57"/>
      <c r="AF629" s="50" t="n">
        <f aca="false">IF(LEFT(Cockpit!$C$5,1)="A",H629,IF(Parameter!$E$30="MAX-Bestand",IF(CH629=1,CI629,IF(LEFT(Cockpit!$C$5,1)="B",AL629,MAX(AL629,H629))),ROUNDUP(AJ629,0)))</f>
        <v>3</v>
      </c>
      <c r="AG629" s="50" t="n">
        <f aca="false">IF(BZ629=1,0,ROUNDUP(AF629/BY629,0))</f>
        <v>1</v>
      </c>
      <c r="AH629" s="52" t="n">
        <f aca="false">IF(CQ629&gt;0,CQ629*MAX(1,AF629/X629),IF(BZ629=1,IF(AF629&lt;=0,0,CD629*MAX(1,IF(H629&gt;0,AF629/H629,1))),IF(R629&gt;0,AG629/R629,0))/MAX(0.1,N(Parameter!$M$21)))</f>
        <v>0.00961538461538462</v>
      </c>
      <c r="AI629" s="50" t="n">
        <f aca="false">AH629*CB629</f>
        <v>1.49038461538462</v>
      </c>
      <c r="AJ629" s="51" t="n">
        <f aca="false">IF(LEFT(Cockpit!$C$5,1)="A",H629,IF(CH629=1,(CK629+CI629)/2,IF(LEFT(Cockpit!$C$5,1)="B",(CK629+AL629)/2,MAX((CK629+AL629)/2,H629))))</f>
        <v>3</v>
      </c>
      <c r="AK629" s="50" t="n">
        <f aca="false">AJ629*G629</f>
        <v>16.5</v>
      </c>
      <c r="AL629" s="50" t="n">
        <f aca="false">ROUNDUP(CK629+MAX(CL629,2*(J629/IF(CG629&gt;0,CG629,MAX(0.1,N(Cockpit!$C$6)))-CK629)),0)</f>
        <v>5</v>
      </c>
      <c r="AM629" s="51" t="n">
        <f aca="false">IF(AI629&gt;0,J629/AI629,-1)</f>
        <v>4.0258064516129</v>
      </c>
      <c r="AN629" s="51" t="n">
        <f aca="false">IF(AND(OR(CF629="L1",CF629="L23",CF629="LIFT"),AI629&gt;0),SUMIFS($AI$7:$AI$1843,$CF$7:$CF$1843,CF629,$AM$7:$AM$1843,"&gt;"&amp;AM629)+SUMIFS($AI$7:$AI$1843,$CF$7:$CF$1843,CF629,$AM$7:$AM$1843,AM629,$BW$7:$BW$1843,"&lt;="&amp;BW629),"")</f>
        <v>4343.78525641026</v>
      </c>
      <c r="AO629" s="58" t="n">
        <f aca="false">IF(AN629="",0,MAX(0,MIN(1,(IF(CF629="L1",Parameter!$H$5,IF(CF629="L23",Parameter!$H$6+Parameter!$H$7,Parameter!$H$5+Parameter!$H$6+Parameter!$H$7))-(AN629-AI629))/AI629)))</f>
        <v>1</v>
      </c>
      <c r="AP629" s="50" t="n">
        <f aca="false">IF(LEFT(Cockpit!$I$5,1)="A",H629,IF(Parameter!$E$30="MAX-Bestand",IF(CH629=1,CI629,IF(LEFT(Cockpit!$I$5,1)="B",AV629,MAX(AV629,H629))),ROUNDUP(AT629,0)))</f>
        <v>3</v>
      </c>
      <c r="AQ629" s="50" t="n">
        <f aca="false">IF(BZ629=1,0,ROUNDUP(AP629/BY629,0))</f>
        <v>1</v>
      </c>
      <c r="AR629" s="52" t="n">
        <f aca="false">IF(CQ629&gt;0,CQ629*MAX(1,AP629/X629),IF(BZ629=1,IF(AP629&lt;=0,0,CD629*MAX(1,IF(H629&gt;0,AP629/H629,1))),IF(R629&gt;0,AQ629/R629,0))/MAX(0.1,N(Parameter!$M$21)))</f>
        <v>0.00961538461538462</v>
      </c>
      <c r="AS629" s="50" t="n">
        <f aca="false">AR629*CB629</f>
        <v>1.49038461538462</v>
      </c>
      <c r="AT629" s="51" t="n">
        <f aca="false">IF(LEFT(Cockpit!$I$5,1)="A",H629,IF(CH629=1,(CK629+CI629)/2,IF(LEFT(Cockpit!$I$5,1)="B",(CK629+AV629)/2,MAX((CK629+AV629)/2,H629))))</f>
        <v>3</v>
      </c>
      <c r="AU629" s="50" t="n">
        <f aca="false">AT629*G629</f>
        <v>16.5</v>
      </c>
      <c r="AV629" s="50" t="n">
        <f aca="false">ROUNDUP(CK629+MAX(CL629,2*(J629/IF(CG629&gt;0,CG629,MAX(0.1,N(Cockpit!$I$6)))-CK629)),0)</f>
        <v>5</v>
      </c>
      <c r="AW629" s="51" t="n">
        <f aca="false">IF(AS629&gt;0,J629/AS629,-1)</f>
        <v>4.0258064516129</v>
      </c>
      <c r="AX629" s="51" t="n">
        <f aca="false">IF(AND(OR(CF629="L1",CF629="L23",CF629="LIFT"),AS629&gt;0),SUMIFS($AS$7:$AS$1843,$CF$7:$CF$1843,CF629,$AW$7:$AW$1843,"&gt;"&amp;AW629)+SUMIFS($AS$7:$AS$1843,$CF$7:$CF$1843,CF629,$AW$7:$AW$1843,AW629,$BW$7:$BW$1843,"&lt;="&amp;BW629),"")</f>
        <v>4940.85943223443</v>
      </c>
      <c r="AY629" s="58" t="n">
        <f aca="false">IF(AX629="",0,MAX(0,MIN(1,(IF(CF629="L1",Parameter!$H$5,IF(CF629="L23",Parameter!$H$6+Parameter!$H$7,Parameter!$H$5+Parameter!$H$6+Parameter!$H$7))-(AX629-AS629))/AS629)))</f>
        <v>1</v>
      </c>
      <c r="AZ629" s="50" t="n">
        <f aca="false">IF(LEFT(Cockpit!$O$5,1)="A",H629,IF(Parameter!$E$30="MAX-Bestand",IF(CH629=1,CI629,IF(LEFT(Cockpit!$O$5,1)="B",BF629,MAX(BF629,H629))),ROUNDUP(BD629,0)))</f>
        <v>3</v>
      </c>
      <c r="BA629" s="50" t="n">
        <f aca="false">IF(BZ629=1,0,ROUNDUP(AZ629/BY629,0))</f>
        <v>1</v>
      </c>
      <c r="BB629" s="52" t="n">
        <f aca="false">IF(CQ629&gt;0,CQ629*MAX(1,AZ629/X629),IF(BZ629=1,IF(AZ629&lt;=0,0,CD629*MAX(1,IF(H629&gt;0,AZ629/H629,1))),IF(R629&gt;0,BA629/R629,0))/MAX(0.1,N(Parameter!$M$21)))</f>
        <v>0.00961538461538462</v>
      </c>
      <c r="BC629" s="50" t="n">
        <f aca="false">BB629*CB629</f>
        <v>1.49038461538462</v>
      </c>
      <c r="BD629" s="51" t="n">
        <f aca="false">IF(LEFT(Cockpit!$O$5,1)="A",H629,IF(CH629=1,(CK629+CI629)/2,IF(LEFT(Cockpit!$O$5,1)="B",(CK629+BF629)/2,MAX((CK629+BF629)/2,H629))))</f>
        <v>2.5</v>
      </c>
      <c r="BE629" s="50" t="n">
        <f aca="false">BD629*G629</f>
        <v>13.75</v>
      </c>
      <c r="BF629" s="50" t="n">
        <f aca="false">ROUNDUP(CK629+MAX(CL629,2*(J629/IF(CG629&gt;0,CG629,MAX(0.1,N(Cockpit!$O$6)))-CK629)),0)</f>
        <v>5</v>
      </c>
      <c r="BG629" s="51" t="n">
        <f aca="false">IF(BC629&gt;0,J629/BC629,-1)</f>
        <v>4.0258064516129</v>
      </c>
      <c r="BH629" s="51" t="n">
        <f aca="false">IF(AND(OR(CF629="L1",CF629="L23",CF629="LIFT"),BC629&gt;0),SUMIFS($BC$7:$BC$1843,$CF$7:$CF$1843,CF629,$BG$7:$BG$1843,"&gt;"&amp;BG629)+SUMIFS($BC$7:$BC$1843,$CF$7:$CF$1843,CF629,$BG$7:$BG$1843,BG629,$BW$7:$BW$1843,"&lt;="&amp;BW629),"")</f>
        <v>4052.46840659341</v>
      </c>
      <c r="BI629" s="58" t="n">
        <f aca="false">IF(BH629="",0,MAX(0,MIN(1,(IF(CF629="L1",Parameter!$H$5,IF(CF629="L23",Parameter!$H$6+Parameter!$H$7,Parameter!$H$5+Parameter!$H$6+Parameter!$H$7))-(BH629-BC629))/BC629)))</f>
        <v>1</v>
      </c>
      <c r="BJ629" s="48" t="str">
        <f aca="false">IF(AI629&lt;=0,"",IF(CF629="Aussen","Aussenlager",IF(CF629="-","Nicht im Lift",IF(AO629&gt;=1,"Lift",IF(AO629&lt;=0,"Aussenlager","teilweise")))))</f>
        <v>Lift</v>
      </c>
      <c r="BK629" s="48" t="str">
        <f aca="false">IF(AS629&lt;=0,"",IF(CF629="Aussen","Aussenlager",IF(CF629="-","Nicht im Lift",IF(AY629&gt;=1,"Lift",IF(AY629&lt;=0,"Aussenlager","teilweise")))))</f>
        <v>Lift</v>
      </c>
      <c r="BL629" s="48" t="str">
        <f aca="false">IF(BC629&lt;=0,"",IF(CF629="Aussen","Aussenlager",IF(CF629="-","Nicht im Lift",IF(BI629&gt;=1,"Lift",IF(BI629&lt;=0,"Aussenlager","teilweise")))))</f>
        <v>Lift</v>
      </c>
      <c r="BM629" s="48" t="str">
        <f aca="false">IF(A629="","",IF(BV629=1,"Neu; ","")&amp;IF(AND(BV629=0,BQ629&lt;0),"negativer Bestand (Export "&amp;BQ629&amp;"); ","")&amp;IF(J629&lt;=0,"Kein Verbrauch; ","")&amp;IF(CQ629&gt;0,"Lift "&amp;W629&amp;" lt. Liftbericht (Fach "&amp;X629&amp;" Stk); ",IF(CA629=1,"Gebinde geschätzt ("&amp;T629&amp;"); ",IF(BZ629=1,"Lose – Tablare geschätzt; ","")))&amp;IF(H629&gt;AV629,"Überbestand "&amp;ROUND(H629-AV629,0)&amp;" Stk / CHF "&amp;ROUND((H629-AV629)*G629,0)&amp;"; ","")&amp;IF(AND(CH629=1,CI629&lt;CJ629),"MAX &lt; MB+LG; ","")&amp;IF(AND(CP629&gt;0,CO629*10&gt;CP629),"zu hoch für Tablar; ","")&amp;IF(AND(BV629=0,OR(CH629=1,AA629&lt;&gt;"",U629&lt;&gt;"",V629&lt;&gt;"",AB629&lt;&gt;"")),"manuell übersteuert; ","")&amp;IF(AND(BZ629=0,R629=0),"Gebinde unbekannt / Stellmass fehlt; ","")&amp;IF(AND(BZ629=0,N(V629)&lt;=0,N(Q629)&lt;=0),"Menge pro Gebinde fehlt (Ist = 1 Gebinde); ","")&amp;BU629)</f>
        <v/>
      </c>
      <c r="BN629" s="48"/>
      <c r="BO629" s="48"/>
      <c r="BP629" s="55"/>
      <c r="BQ629" s="50" t="n">
        <v>0</v>
      </c>
      <c r="BR629" s="50" t="n">
        <v>3</v>
      </c>
      <c r="BS629" s="49" t="n">
        <v>1.70999999999999</v>
      </c>
      <c r="BT629" s="50" t="n">
        <v>6</v>
      </c>
      <c r="BU629" s="48"/>
      <c r="BV629" s="53" t="n">
        <v>0</v>
      </c>
      <c r="BW629" s="53" t="n">
        <v>629</v>
      </c>
      <c r="BX629" s="48" t="str">
        <f aca="false">IF(U629&lt;&gt;"",UPPER(TRIM(U629)),IF(CA629=1,UPPER(VLOOKUP(T629,Parameter!$I$27:$K$29,2,0)),IF(P629="","LOSE",P629)))</f>
        <v>S32</v>
      </c>
      <c r="BY629" s="50" t="n">
        <f aca="false">IF(BX629="LOSE",1,IF(N(V629)&gt;0,V629,IF(CA629=1,MAX(1,N(VLOOKUP(T629,Parameter!$I$27:$K$29,3,0)),H629,N(N629)),IF(N(Q629)&gt;0,Q629,MAX(1,H629)))))</f>
        <v>5</v>
      </c>
      <c r="BZ629" s="53" t="n">
        <f aca="false">IF(BX629="LOSE",1,0)</f>
        <v>0</v>
      </c>
      <c r="CA629" s="53" t="n">
        <f aca="false">IF(AND(U629="",OR(P629="",P629="LOSE"),T629&lt;&gt;"",N(S629)&lt;=0,ISNUMBER(MATCH(T629,Parameter!$I$27:$I$29,0))),1,0)</f>
        <v>0</v>
      </c>
      <c r="CB629" s="53" t="n">
        <f aca="false">IF(CQ629&gt;0,INDEX(Parameter!$H$5:$H$7,W629)/INDEX(Parameter!$E$5:$E$7,W629),IF(AND(BZ629=0,N(IFERROR(VLOOKUP(BX629,'Gebinde-Kategorie'!$A$5:$N$45,14,0),0))&gt;0),VLOOKUP(BX629,'Gebinde-Kategorie'!$A$5:$N$45,14,0)*10+Parameter!$M$23,Parameter!$M$24))</f>
        <v>155</v>
      </c>
      <c r="CC629" s="48" t="str">
        <f aca="false">IF(AND(Parameter!$B$19="Ja",E629&lt;&gt;"",ISNUMBER(MATCH(E629,Parameter!$I$35:$I$52,0))),VLOOKUP(E629,Parameter!$I$35:$J$52,2,0),IFERROR(VLOOKUP(D629,Parameter!$A$35:$C$64,2,0),"Nein"))</f>
        <v>2+3</v>
      </c>
      <c r="CD629" s="52" t="n">
        <f aca="false">IF(BZ629=0,0,IF(N(S629)&gt;0,S629,IFERROR(VLOOKUP(D629,Parameter!$A$35:$C$64,3,0)+0,0)))</f>
        <v>0</v>
      </c>
      <c r="CE629" s="48" t="n">
        <f aca="false">IF(AA629&lt;&gt;"",AA629,Z629)</f>
        <v>3</v>
      </c>
      <c r="CF629" s="48" t="str">
        <f aca="false">IF(OR(CE629=1,CE629=2,CE629=3),IF(Parameter!$E$27="Ja","LIFT",IF(CE629=1,"L1","L23")),IF(CE629="Aussen","Aussen","-"))</f>
        <v>LIFT</v>
      </c>
      <c r="CG629" s="59" t="n">
        <f aca="false">IF(N(AB629)&gt;0,AB629,0)</f>
        <v>0</v>
      </c>
      <c r="CH629" s="53" t="n">
        <f aca="false">IF(ISNUMBER(AE629),1,0)</f>
        <v>0</v>
      </c>
      <c r="CI629" s="50" t="n">
        <f aca="false">N(AE629)</f>
        <v>0</v>
      </c>
      <c r="CJ629" s="50" t="n">
        <f aca="false">N(M629)+N(N629)</f>
        <v>5</v>
      </c>
      <c r="CK629" s="50" t="n">
        <f aca="false">N(M629)</f>
        <v>0</v>
      </c>
      <c r="CL629" s="50" t="n">
        <f aca="false">N(N629)</f>
        <v>5</v>
      </c>
      <c r="CM629" s="50" t="n">
        <f aca="false">ROUNDUP(H629/BY629,0)</f>
        <v>1</v>
      </c>
      <c r="CN629" s="50" t="n">
        <f aca="false">ROUNDUP(CI629/BY629,0)</f>
        <v>0</v>
      </c>
      <c r="CO629" s="53" t="n">
        <f aca="false">IF(BZ629=1,0,IFERROR(VLOOKUP(BX629,'Gebinde-Kategorie'!$A$5:$N$45,5,0)+0,0))</f>
        <v>8</v>
      </c>
      <c r="CP629" s="53" t="n">
        <f aca="false">IFERROR(IF(OR(CE629=1,CE629=2,CE629=3),N(INDEX(Parameter!$I$5:$I$7,CE629)),0),0)</f>
        <v>0</v>
      </c>
      <c r="CQ629" s="52" t="n">
        <f aca="false">IF(AND(Parameter!$B$21="Ja",ISNUMBER(W629),N(X629)&gt;0),IFERROR(N(INDEX(Parameter!$L$5:$L$7,W629))*INDEX(Parameter!$E$5:$E$7,W629)*X629/SUMIFS($X$7:$X$1843,$W$7:$W$1843,W629),0),0)</f>
        <v>0</v>
      </c>
    </row>
    <row r="630" customFormat="false" ht="15" hidden="false" customHeight="false" outlineLevel="0" collapsed="false">
      <c r="A630" s="48" t="s">
        <v>1298</v>
      </c>
      <c r="B630" s="48" t="s">
        <v>1299</v>
      </c>
      <c r="C630" s="48" t="s">
        <v>173</v>
      </c>
      <c r="D630" s="48" t="s">
        <v>193</v>
      </c>
      <c r="E630" s="48" t="s">
        <v>194</v>
      </c>
      <c r="F630" s="48" t="s">
        <v>227</v>
      </c>
      <c r="G630" s="49" t="n">
        <v>0.34</v>
      </c>
      <c r="H630" s="50" t="n">
        <f aca="false">MAX(0,IF(AND(Parameter!$B$21="Ja",ISNUMBER(Y630)),Y630,IF(Parameter!$B$20="Jahresanfang 2025 + Export",BR630+BQ630,BQ630)))</f>
        <v>880</v>
      </c>
      <c r="I630" s="50" t="n">
        <f aca="false">H630*G630</f>
        <v>299.2</v>
      </c>
      <c r="J630" s="50" t="n">
        <f aca="false">BT630*Parameter!$B$18</f>
        <v>0</v>
      </c>
      <c r="K630" s="51" t="n">
        <v>877.5</v>
      </c>
      <c r="L630" s="52" t="n">
        <v>0</v>
      </c>
      <c r="M630" s="50" t="n">
        <v>0</v>
      </c>
      <c r="N630" s="50" t="n">
        <v>1</v>
      </c>
      <c r="O630" s="53" t="n">
        <v>21</v>
      </c>
      <c r="P630" s="48" t="s">
        <v>311</v>
      </c>
      <c r="Q630" s="50" t="n">
        <v>827</v>
      </c>
      <c r="R630" s="53" t="n">
        <f aca="false">IF(BZ630=1,0,IFERROR(VLOOKUP(BX630,'Gebinde-Kategorie'!$A$5:$N$45,13,0)+0,0))</f>
        <v>26</v>
      </c>
      <c r="S630" s="54"/>
      <c r="T630" s="55"/>
      <c r="U630" s="55"/>
      <c r="V630" s="55"/>
      <c r="W630" s="48"/>
      <c r="X630" s="50"/>
      <c r="Y630" s="50"/>
      <c r="Z630" s="48" t="n">
        <f aca="false">IF(A630="","",IF(AND(Parameter!$B$21="Ja",ISNUMBER(W630)),W630,IF(CC630="2+3",IF(ISNUMBER(SEARCH("grosser Artikel",BU630)),2,IFERROR(VLOOKUP(BX630,Parameter!$F$35:$G$64,2,0),2)),IF(OR(CC630="Nein",CC630=""),"-",CC630))))</f>
        <v>3</v>
      </c>
      <c r="AA630" s="55"/>
      <c r="AB630" s="56"/>
      <c r="AC630" s="50" t="n">
        <f aca="false">AV630</f>
        <v>1</v>
      </c>
      <c r="AD630" s="50" t="n">
        <f aca="false">MAX(AV630,H630)</f>
        <v>880</v>
      </c>
      <c r="AE630" s="57"/>
      <c r="AF630" s="50" t="n">
        <f aca="false">IF(LEFT(Cockpit!$C$5,1)="A",H630,IF(Parameter!$E$30="MAX-Bestand",IF(CH630=1,CI630,IF(LEFT(Cockpit!$C$5,1)="B",AL630,MAX(AL630,H630))),ROUNDUP(AJ630,0)))</f>
        <v>880</v>
      </c>
      <c r="AG630" s="50" t="n">
        <f aca="false">IF(BZ630=1,0,ROUNDUP(AF630/BY630,0))</f>
        <v>2</v>
      </c>
      <c r="AH630" s="52" t="n">
        <f aca="false">IF(CQ630&gt;0,CQ630*MAX(1,AF630/X630),IF(BZ630=1,IF(AF630&lt;=0,0,CD630*MAX(1,IF(H630&gt;0,AF630/H630,1))),IF(R630&gt;0,AG630/R630,0))/MAX(0.1,N(Parameter!$M$21)))</f>
        <v>0.0769230769230769</v>
      </c>
      <c r="AI630" s="50" t="n">
        <f aca="false">AH630*CB630</f>
        <v>11.9230769230769</v>
      </c>
      <c r="AJ630" s="51" t="n">
        <f aca="false">IF(LEFT(Cockpit!$C$5,1)="A",H630,IF(CH630=1,(CK630+CI630)/2,IF(LEFT(Cockpit!$C$5,1)="B",(CK630+AL630)/2,MAX((CK630+AL630)/2,H630))))</f>
        <v>880</v>
      </c>
      <c r="AK630" s="50" t="n">
        <f aca="false">AJ630*G630</f>
        <v>299.2</v>
      </c>
      <c r="AL630" s="50" t="n">
        <f aca="false">ROUNDUP(CK630+MAX(CL630,2*(J630/IF(CG630&gt;0,CG630,MAX(0.1,N(Cockpit!$C$6)))-CK630)),0)</f>
        <v>1</v>
      </c>
      <c r="AM630" s="51" t="n">
        <f aca="false">IF(AI630&gt;0,J630/AI630,-1)</f>
        <v>0</v>
      </c>
      <c r="AN630" s="51" t="n">
        <f aca="false">IF(AND(OR(CF630="L1",CF630="L23",CF630="LIFT"),AI630&gt;0),SUMIFS($AI$7:$AI$1843,$CF$7:$CF$1843,CF630,$AM$7:$AM$1843,"&gt;"&amp;AM630)+SUMIFS($AI$7:$AI$1843,$CF$7:$CF$1843,CF630,$AM$7:$AM$1843,AM630,$BW$7:$BW$1843,"&lt;="&amp;BW630),"")</f>
        <v>28574.7703146665</v>
      </c>
      <c r="AO630" s="58" t="n">
        <f aca="false">IF(AN630="",0,MAX(0,MIN(1,(IF(CF630="L1",Parameter!$H$5,IF(CF630="L23",Parameter!$H$6+Parameter!$H$7,Parameter!$H$5+Parameter!$H$6+Parameter!$H$7))-(AN630-AI630))/AI630)))</f>
        <v>1</v>
      </c>
      <c r="AP630" s="50" t="n">
        <f aca="false">IF(LEFT(Cockpit!$I$5,1)="A",H630,IF(Parameter!$E$30="MAX-Bestand",IF(CH630=1,CI630,IF(LEFT(Cockpit!$I$5,1)="B",AV630,MAX(AV630,H630))),ROUNDUP(AT630,0)))</f>
        <v>880</v>
      </c>
      <c r="AQ630" s="50" t="n">
        <f aca="false">IF(BZ630=1,0,ROUNDUP(AP630/BY630,0))</f>
        <v>2</v>
      </c>
      <c r="AR630" s="52" t="n">
        <f aca="false">IF(CQ630&gt;0,CQ630*MAX(1,AP630/X630),IF(BZ630=1,IF(AP630&lt;=0,0,CD630*MAX(1,IF(H630&gt;0,AP630/H630,1))),IF(R630&gt;0,AQ630/R630,0))/MAX(0.1,N(Parameter!$M$21)))</f>
        <v>0.0769230769230769</v>
      </c>
      <c r="AS630" s="50" t="n">
        <f aca="false">AR630*CB630</f>
        <v>11.9230769230769</v>
      </c>
      <c r="AT630" s="51" t="n">
        <f aca="false">IF(LEFT(Cockpit!$I$5,1)="A",H630,IF(CH630=1,(CK630+CI630)/2,IF(LEFT(Cockpit!$I$5,1)="B",(CK630+AV630)/2,MAX((CK630+AV630)/2,H630))))</f>
        <v>880</v>
      </c>
      <c r="AU630" s="50" t="n">
        <f aca="false">AT630*G630</f>
        <v>299.2</v>
      </c>
      <c r="AV630" s="50" t="n">
        <f aca="false">ROUNDUP(CK630+MAX(CL630,2*(J630/IF(CG630&gt;0,CG630,MAX(0.1,N(Cockpit!$I$6)))-CK630)),0)</f>
        <v>1</v>
      </c>
      <c r="AW630" s="51" t="n">
        <f aca="false">IF(AS630&gt;0,J630/AS630,-1)</f>
        <v>0</v>
      </c>
      <c r="AX630" s="51" t="n">
        <f aca="false">IF(AND(OR(CF630="L1",CF630="L23",CF630="LIFT"),AS630&gt;0),SUMIFS($AS$7:$AS$1843,$CF$7:$CF$1843,CF630,$AW$7:$AW$1843,"&gt;"&amp;AW630)+SUMIFS($AS$7:$AS$1843,$CF$7:$CF$1843,CF630,$AW$7:$AW$1843,AW630,$BW$7:$BW$1843,"&lt;="&amp;BW630),"")</f>
        <v>33927.918956044</v>
      </c>
      <c r="AY630" s="58" t="n">
        <f aca="false">IF(AX630="",0,MAX(0,MIN(1,(IF(CF630="L1",Parameter!$H$5,IF(CF630="L23",Parameter!$H$6+Parameter!$H$7,Parameter!$H$5+Parameter!$H$6+Parameter!$H$7))-(AX630-AS630))/AS630)))</f>
        <v>1</v>
      </c>
      <c r="AZ630" s="50" t="n">
        <f aca="false">IF(LEFT(Cockpit!$O$5,1)="A",H630,IF(Parameter!$E$30="MAX-Bestand",IF(CH630=1,CI630,IF(LEFT(Cockpit!$O$5,1)="B",BF630,MAX(BF630,H630))),ROUNDUP(BD630,0)))</f>
        <v>1</v>
      </c>
      <c r="BA630" s="50" t="n">
        <f aca="false">IF(BZ630=1,0,ROUNDUP(AZ630/BY630,0))</f>
        <v>1</v>
      </c>
      <c r="BB630" s="52" t="n">
        <f aca="false">IF(CQ630&gt;0,CQ630*MAX(1,AZ630/X630),IF(BZ630=1,IF(AZ630&lt;=0,0,CD630*MAX(1,IF(H630&gt;0,AZ630/H630,1))),IF(R630&gt;0,BA630/R630,0))/MAX(0.1,N(Parameter!$M$21)))</f>
        <v>0.0384615384615385</v>
      </c>
      <c r="BC630" s="50" t="n">
        <f aca="false">BB630*CB630</f>
        <v>5.96153846153846</v>
      </c>
      <c r="BD630" s="51" t="n">
        <f aca="false">IF(LEFT(Cockpit!$O$5,1)="A",H630,IF(CH630=1,(CK630+CI630)/2,IF(LEFT(Cockpit!$O$5,1)="B",(CK630+BF630)/2,MAX((CK630+BF630)/2,H630))))</f>
        <v>0.5</v>
      </c>
      <c r="BE630" s="50" t="n">
        <f aca="false">BD630*G630</f>
        <v>0.17</v>
      </c>
      <c r="BF630" s="50" t="n">
        <f aca="false">ROUNDUP(CK630+MAX(CL630,2*(J630/IF(CG630&gt;0,CG630,MAX(0.1,N(Cockpit!$O$6)))-CK630)),0)</f>
        <v>1</v>
      </c>
      <c r="BG630" s="51" t="n">
        <f aca="false">IF(BC630&gt;0,J630/BC630,-1)</f>
        <v>0</v>
      </c>
      <c r="BH630" s="51" t="n">
        <f aca="false">IF(AND(OR(CF630="L1",CF630="L23",CF630="LIFT"),BC630&gt;0),SUMIFS($BC$7:$BC$1843,$CF$7:$CF$1843,CF630,$BG$7:$BG$1843,"&gt;"&amp;BG630)+SUMIFS($BC$7:$BC$1843,$CF$7:$CF$1843,CF630,$BG$7:$BG$1843,BG630,$BW$7:$BW$1843,"&lt;="&amp;BW630),"")</f>
        <v>27994.2622462283</v>
      </c>
      <c r="BI630" s="58" t="n">
        <f aca="false">IF(BH630="",0,MAX(0,MIN(1,(IF(CF630="L1",Parameter!$H$5,IF(CF630="L23",Parameter!$H$6+Parameter!$H$7,Parameter!$H$5+Parameter!$H$6+Parameter!$H$7))-(BH630-BC630))/BC630)))</f>
        <v>1</v>
      </c>
      <c r="BJ630" s="48" t="str">
        <f aca="false">IF(AI630&lt;=0,"",IF(CF630="Aussen","Aussenlager",IF(CF630="-","Nicht im Lift",IF(AO630&gt;=1,"Lift",IF(AO630&lt;=0,"Aussenlager","teilweise")))))</f>
        <v>Lift</v>
      </c>
      <c r="BK630" s="48" t="str">
        <f aca="false">IF(AS630&lt;=0,"",IF(CF630="Aussen","Aussenlager",IF(CF630="-","Nicht im Lift",IF(AY630&gt;=1,"Lift",IF(AY630&lt;=0,"Aussenlager","teilweise")))))</f>
        <v>Lift</v>
      </c>
      <c r="BL630" s="48" t="str">
        <f aca="false">IF(BC630&lt;=0,"",IF(CF630="Aussen","Aussenlager",IF(CF630="-","Nicht im Lift",IF(BI630&gt;=1,"Lift",IF(BI630&lt;=0,"Aussenlager","teilweise")))))</f>
        <v>Lift</v>
      </c>
      <c r="BM630" s="48" t="str">
        <f aca="false">IF(A630="","",IF(BV630=1,"Neu; ","")&amp;IF(AND(BV630=0,BQ630&lt;0),"negativer Bestand (Export "&amp;BQ630&amp;"); ","")&amp;IF(J630&lt;=0,"Kein Verbrauch; ","")&amp;IF(CQ630&gt;0,"Lift "&amp;W630&amp;" lt. Liftbericht (Fach "&amp;X630&amp;" Stk); ",IF(CA630=1,"Gebinde geschätzt ("&amp;T630&amp;"); ",IF(BZ630=1,"Lose – Tablare geschätzt; ","")))&amp;IF(H630&gt;AV630,"Überbestand "&amp;ROUND(H630-AV630,0)&amp;" Stk / CHF "&amp;ROUND((H630-AV630)*G630,0)&amp;"; ","")&amp;IF(AND(CH630=1,CI630&lt;CJ630),"MAX &lt; MB+LG; ","")&amp;IF(AND(CP630&gt;0,CO630*10&gt;CP630),"zu hoch für Tablar; ","")&amp;IF(AND(BV630=0,OR(CH630=1,AA630&lt;&gt;"",U630&lt;&gt;"",V630&lt;&gt;"",AB630&lt;&gt;"")),"manuell übersteuert; ","")&amp;IF(AND(BZ630=0,R630=0),"Gebinde unbekannt / Stellmass fehlt; ","")&amp;IF(AND(BZ630=0,N(V630)&lt;=0,N(Q630)&lt;=0),"Menge pro Gebinde fehlt (Ist = 1 Gebinde); ","")&amp;BU630)</f>
        <v>Kein Verbrauch; Überbestand 879 Stk / CHF 299; Handlager</v>
      </c>
      <c r="BN630" s="48"/>
      <c r="BO630" s="48"/>
      <c r="BP630" s="55"/>
      <c r="BQ630" s="50" t="n">
        <v>5</v>
      </c>
      <c r="BR630" s="50" t="n">
        <v>875</v>
      </c>
      <c r="BS630" s="49" t="n">
        <v>1.7</v>
      </c>
      <c r="BT630" s="50" t="n">
        <v>0</v>
      </c>
      <c r="BU630" s="48" t="s">
        <v>904</v>
      </c>
      <c r="BV630" s="53" t="n">
        <v>0</v>
      </c>
      <c r="BW630" s="53" t="n">
        <v>630</v>
      </c>
      <c r="BX630" s="48" t="str">
        <f aca="false">IF(U630&lt;&gt;"",UPPER(TRIM(U630)),IF(CA630=1,UPPER(VLOOKUP(T630,Parameter!$I$27:$K$29,2,0)),IF(P630="","LOSE",P630)))</f>
        <v>S51</v>
      </c>
      <c r="BY630" s="50" t="n">
        <f aca="false">IF(BX630="LOSE",1,IF(N(V630)&gt;0,V630,IF(CA630=1,MAX(1,N(VLOOKUP(T630,Parameter!$I$27:$K$29,3,0)),H630,N(N630)),IF(N(Q630)&gt;0,Q630,MAX(1,H630)))))</f>
        <v>827</v>
      </c>
      <c r="BZ630" s="53" t="n">
        <f aca="false">IF(BX630="LOSE",1,0)</f>
        <v>0</v>
      </c>
      <c r="CA630" s="53" t="n">
        <f aca="false">IF(AND(U630="",OR(P630="",P630="LOSE"),T630&lt;&gt;"",N(S630)&lt;=0,ISNUMBER(MATCH(T630,Parameter!$I$27:$I$29,0))),1,0)</f>
        <v>0</v>
      </c>
      <c r="CB630" s="53" t="n">
        <f aca="false">IF(CQ630&gt;0,INDEX(Parameter!$H$5:$H$7,W630)/INDEX(Parameter!$E$5:$E$7,W630),IF(AND(BZ630=0,N(IFERROR(VLOOKUP(BX630,'Gebinde-Kategorie'!$A$5:$N$45,14,0),0))&gt;0),VLOOKUP(BX630,'Gebinde-Kategorie'!$A$5:$N$45,14,0)*10+Parameter!$M$23,Parameter!$M$24))</f>
        <v>155</v>
      </c>
      <c r="CC630" s="48" t="str">
        <f aca="false">IF(AND(Parameter!$B$19="Ja",E630&lt;&gt;"",ISNUMBER(MATCH(E630,Parameter!$I$35:$I$52,0))),VLOOKUP(E630,Parameter!$I$35:$J$52,2,0),IFERROR(VLOOKUP(D630,Parameter!$A$35:$C$64,2,0),"Nein"))</f>
        <v>2+3</v>
      </c>
      <c r="CD630" s="52" t="n">
        <f aca="false">IF(BZ630=0,0,IF(N(S630)&gt;0,S630,IFERROR(VLOOKUP(D630,Parameter!$A$35:$C$64,3,0)+0,0)))</f>
        <v>0</v>
      </c>
      <c r="CE630" s="48" t="n">
        <f aca="false">IF(AA630&lt;&gt;"",AA630,Z630)</f>
        <v>3</v>
      </c>
      <c r="CF630" s="48" t="str">
        <f aca="false">IF(OR(CE630=1,CE630=2,CE630=3),IF(Parameter!$E$27="Ja","LIFT",IF(CE630=1,"L1","L23")),IF(CE630="Aussen","Aussen","-"))</f>
        <v>LIFT</v>
      </c>
      <c r="CG630" s="59" t="n">
        <f aca="false">IF(N(AB630)&gt;0,AB630,0)</f>
        <v>0</v>
      </c>
      <c r="CH630" s="53" t="n">
        <f aca="false">IF(ISNUMBER(AE630),1,0)</f>
        <v>0</v>
      </c>
      <c r="CI630" s="50" t="n">
        <f aca="false">N(AE630)</f>
        <v>0</v>
      </c>
      <c r="CJ630" s="50" t="n">
        <f aca="false">N(M630)+N(N630)</f>
        <v>1</v>
      </c>
      <c r="CK630" s="50" t="n">
        <f aca="false">N(M630)</f>
        <v>0</v>
      </c>
      <c r="CL630" s="50" t="n">
        <f aca="false">N(N630)</f>
        <v>1</v>
      </c>
      <c r="CM630" s="50" t="n">
        <f aca="false">ROUNDUP(H630/BY630,0)</f>
        <v>2</v>
      </c>
      <c r="CN630" s="50" t="n">
        <f aca="false">ROUNDUP(CI630/BY630,0)</f>
        <v>0</v>
      </c>
      <c r="CO630" s="53" t="n">
        <f aca="false">IF(BZ630=1,0,IFERROR(VLOOKUP(BX630,'Gebinde-Kategorie'!$A$5:$N$45,5,0)+0,0))</f>
        <v>11</v>
      </c>
      <c r="CP630" s="53" t="n">
        <f aca="false">IFERROR(IF(OR(CE630=1,CE630=2,CE630=3),N(INDEX(Parameter!$I$5:$I$7,CE630)),0),0)</f>
        <v>0</v>
      </c>
      <c r="CQ630" s="52" t="n">
        <f aca="false">IF(AND(Parameter!$B$21="Ja",ISNUMBER(W630),N(X630)&gt;0),IFERROR(N(INDEX(Parameter!$L$5:$L$7,W630))*INDEX(Parameter!$E$5:$E$7,W630)*X630/SUMIFS($X$7:$X$1843,$W$7:$W$1843,W630),0),0)</f>
        <v>0</v>
      </c>
    </row>
    <row r="631" customFormat="false" ht="15" hidden="false" customHeight="false" outlineLevel="0" collapsed="false">
      <c r="A631" s="48" t="s">
        <v>1300</v>
      </c>
      <c r="B631" s="48" t="s">
        <v>412</v>
      </c>
      <c r="C631" s="48" t="s">
        <v>173</v>
      </c>
      <c r="D631" s="48" t="s">
        <v>1004</v>
      </c>
      <c r="E631" s="48"/>
      <c r="F631" s="48" t="s">
        <v>227</v>
      </c>
      <c r="G631" s="49" t="n">
        <v>0.41</v>
      </c>
      <c r="H631" s="50" t="n">
        <f aca="false">MAX(0,IF(AND(Parameter!$B$21="Ja",ISNUMBER(Y631)),Y631,IF(Parameter!$B$20="Jahresanfang 2025 + Export",BR631+BQ631,BQ631)))</f>
        <v>4</v>
      </c>
      <c r="I631" s="50" t="n">
        <f aca="false">H631*G631</f>
        <v>1.64</v>
      </c>
      <c r="J631" s="50" t="n">
        <f aca="false">BT631*Parameter!$B$18</f>
        <v>96</v>
      </c>
      <c r="K631" s="51" t="n">
        <v>2</v>
      </c>
      <c r="L631" s="52" t="n">
        <v>48</v>
      </c>
      <c r="M631" s="50" t="n">
        <v>0</v>
      </c>
      <c r="N631" s="50" t="n">
        <v>100</v>
      </c>
      <c r="O631" s="53" t="n">
        <v>21</v>
      </c>
      <c r="P631" s="48" t="s">
        <v>177</v>
      </c>
      <c r="Q631" s="50"/>
      <c r="R631" s="53" t="n">
        <f aca="false">IF(BZ631=1,0,IFERROR(VLOOKUP(BX631,'Gebinde-Kategorie'!$A$5:$N$45,13,0)+0,0))</f>
        <v>0</v>
      </c>
      <c r="S631" s="54"/>
      <c r="T631" s="55"/>
      <c r="U631" s="55"/>
      <c r="V631" s="55"/>
      <c r="W631" s="48"/>
      <c r="X631" s="50"/>
      <c r="Y631" s="50"/>
      <c r="Z631" s="48" t="str">
        <f aca="false">IF(A631="","",IF(AND(Parameter!$B$21="Ja",ISNUMBER(W631)),W631,IF(CC631="2+3",IF(ISNUMBER(SEARCH("grosser Artikel",BU631)),2,IFERROR(VLOOKUP(BX631,Parameter!$F$35:$G$64,2,0),2)),IF(OR(CC631="Nein",CC631=""),"-",CC631))))</f>
        <v>-</v>
      </c>
      <c r="AA631" s="55"/>
      <c r="AB631" s="56"/>
      <c r="AC631" s="50" t="n">
        <f aca="false">AV631</f>
        <v>100</v>
      </c>
      <c r="AD631" s="50" t="n">
        <f aca="false">MAX(AV631,H631)</f>
        <v>100</v>
      </c>
      <c r="AE631" s="57"/>
      <c r="AF631" s="50" t="n">
        <f aca="false">IF(LEFT(Cockpit!$C$5,1)="A",H631,IF(Parameter!$E$30="MAX-Bestand",IF(CH631=1,CI631,IF(LEFT(Cockpit!$C$5,1)="B",AL631,MAX(AL631,H631))),ROUNDUP(AJ631,0)))</f>
        <v>4</v>
      </c>
      <c r="AG631" s="50" t="n">
        <f aca="false">IF(BZ631=1,0,ROUNDUP(AF631/BY631,0))</f>
        <v>0</v>
      </c>
      <c r="AH631" s="52" t="n">
        <f aca="false">IF(CQ631&gt;0,CQ631*MAX(1,AF631/X631),IF(BZ631=1,IF(AF631&lt;=0,0,CD631*MAX(1,IF(H631&gt;0,AF631/H631,1))),IF(R631&gt;0,AG631/R631,0))/MAX(0.1,N(Parameter!$M$21)))</f>
        <v>0.15</v>
      </c>
      <c r="AI631" s="50" t="n">
        <f aca="false">AH631*CB631</f>
        <v>35.25</v>
      </c>
      <c r="AJ631" s="51" t="n">
        <f aca="false">IF(LEFT(Cockpit!$C$5,1)="A",H631,IF(CH631=1,(CK631+CI631)/2,IF(LEFT(Cockpit!$C$5,1)="B",(CK631+AL631)/2,MAX((CK631+AL631)/2,H631))))</f>
        <v>4</v>
      </c>
      <c r="AK631" s="50" t="n">
        <f aca="false">AJ631*G631</f>
        <v>1.64</v>
      </c>
      <c r="AL631" s="50" t="n">
        <f aca="false">ROUNDUP(CK631+MAX(CL631,2*(J631/IF(CG631&gt;0,CG631,MAX(0.1,N(Cockpit!$C$6)))-CK631)),0)</f>
        <v>100</v>
      </c>
      <c r="AM631" s="51" t="n">
        <f aca="false">IF(AI631&gt;0,J631/AI631,-1)</f>
        <v>2.72340425531915</v>
      </c>
      <c r="AN631" s="51" t="str">
        <f aca="false">IF(AND(OR(CF631="L1",CF631="L23",CF631="LIFT"),AI631&gt;0),SUMIFS($AI$7:$AI$1843,$CF$7:$CF$1843,CF631,$AM$7:$AM$1843,"&gt;"&amp;AM631)+SUMIFS($AI$7:$AI$1843,$CF$7:$CF$1843,CF631,$AM$7:$AM$1843,AM631,$BW$7:$BW$1843,"&lt;="&amp;BW631),"")</f>
        <v/>
      </c>
      <c r="AO631" s="58" t="n">
        <f aca="false">IF(AN631="",0,MAX(0,MIN(1,(IF(CF631="L1",Parameter!$H$5,IF(CF631="L23",Parameter!$H$6+Parameter!$H$7,Parameter!$H$5+Parameter!$H$6+Parameter!$H$7))-(AN631-AI631))/AI631)))</f>
        <v>0</v>
      </c>
      <c r="AP631" s="50" t="n">
        <f aca="false">IF(LEFT(Cockpit!$I$5,1)="A",H631,IF(Parameter!$E$30="MAX-Bestand",IF(CH631=1,CI631,IF(LEFT(Cockpit!$I$5,1)="B",AV631,MAX(AV631,H631))),ROUNDUP(AT631,0)))</f>
        <v>50</v>
      </c>
      <c r="AQ631" s="50" t="n">
        <f aca="false">IF(BZ631=1,0,ROUNDUP(AP631/BY631,0))</f>
        <v>0</v>
      </c>
      <c r="AR631" s="52" t="n">
        <f aca="false">IF(CQ631&gt;0,CQ631*MAX(1,AP631/X631),IF(BZ631=1,IF(AP631&lt;=0,0,CD631*MAX(1,IF(H631&gt;0,AP631/H631,1))),IF(R631&gt;0,AQ631/R631,0))/MAX(0.1,N(Parameter!$M$21)))</f>
        <v>1.875</v>
      </c>
      <c r="AS631" s="50" t="n">
        <f aca="false">AR631*CB631</f>
        <v>440.625</v>
      </c>
      <c r="AT631" s="51" t="n">
        <f aca="false">IF(LEFT(Cockpit!$I$5,1)="A",H631,IF(CH631=1,(CK631+CI631)/2,IF(LEFT(Cockpit!$I$5,1)="B",(CK631+AV631)/2,MAX((CK631+AV631)/2,H631))))</f>
        <v>50</v>
      </c>
      <c r="AU631" s="50" t="n">
        <f aca="false">AT631*G631</f>
        <v>20.5</v>
      </c>
      <c r="AV631" s="50" t="n">
        <f aca="false">ROUNDUP(CK631+MAX(CL631,2*(J631/IF(CG631&gt;0,CG631,MAX(0.1,N(Cockpit!$I$6)))-CK631)),0)</f>
        <v>100</v>
      </c>
      <c r="AW631" s="51" t="n">
        <f aca="false">IF(AS631&gt;0,J631/AS631,-1)</f>
        <v>0.217872340425532</v>
      </c>
      <c r="AX631" s="51" t="str">
        <f aca="false">IF(AND(OR(CF631="L1",CF631="L23",CF631="LIFT"),AS631&gt;0),SUMIFS($AS$7:$AS$1843,$CF$7:$CF$1843,CF631,$AW$7:$AW$1843,"&gt;"&amp;AW631)+SUMIFS($AS$7:$AS$1843,$CF$7:$CF$1843,CF631,$AW$7:$AW$1843,AW631,$BW$7:$BW$1843,"&lt;="&amp;BW631),"")</f>
        <v/>
      </c>
      <c r="AY631" s="58" t="n">
        <f aca="false">IF(AX631="",0,MAX(0,MIN(1,(IF(CF631="L1",Parameter!$H$5,IF(CF631="L23",Parameter!$H$6+Parameter!$H$7,Parameter!$H$5+Parameter!$H$6+Parameter!$H$7))-(AX631-AS631))/AS631)))</f>
        <v>0</v>
      </c>
      <c r="AZ631" s="50" t="n">
        <f aca="false">IF(LEFT(Cockpit!$O$5,1)="A",H631,IF(Parameter!$E$30="MAX-Bestand",IF(CH631=1,CI631,IF(LEFT(Cockpit!$O$5,1)="B",BF631,MAX(BF631,H631))),ROUNDUP(BD631,0)))</f>
        <v>50</v>
      </c>
      <c r="BA631" s="50" t="n">
        <f aca="false">IF(BZ631=1,0,ROUNDUP(AZ631/BY631,0))</f>
        <v>0</v>
      </c>
      <c r="BB631" s="52" t="n">
        <f aca="false">IF(CQ631&gt;0,CQ631*MAX(1,AZ631/X631),IF(BZ631=1,IF(AZ631&lt;=0,0,CD631*MAX(1,IF(H631&gt;0,AZ631/H631,1))),IF(R631&gt;0,BA631/R631,0))/MAX(0.1,N(Parameter!$M$21)))</f>
        <v>1.875</v>
      </c>
      <c r="BC631" s="50" t="n">
        <f aca="false">BB631*CB631</f>
        <v>440.625</v>
      </c>
      <c r="BD631" s="51" t="n">
        <f aca="false">IF(LEFT(Cockpit!$O$5,1)="A",H631,IF(CH631=1,(CK631+CI631)/2,IF(LEFT(Cockpit!$O$5,1)="B",(CK631+BF631)/2,MAX((CK631+BF631)/2,H631))))</f>
        <v>50</v>
      </c>
      <c r="BE631" s="50" t="n">
        <f aca="false">BD631*G631</f>
        <v>20.5</v>
      </c>
      <c r="BF631" s="50" t="n">
        <f aca="false">ROUNDUP(CK631+MAX(CL631,2*(J631/IF(CG631&gt;0,CG631,MAX(0.1,N(Cockpit!$O$6)))-CK631)),0)</f>
        <v>100</v>
      </c>
      <c r="BG631" s="51" t="n">
        <f aca="false">IF(BC631&gt;0,J631/BC631,-1)</f>
        <v>0.217872340425532</v>
      </c>
      <c r="BH631" s="51" t="str">
        <f aca="false">IF(AND(OR(CF631="L1",CF631="L23",CF631="LIFT"),BC631&gt;0),SUMIFS($BC$7:$BC$1843,$CF$7:$CF$1843,CF631,$BG$7:$BG$1843,"&gt;"&amp;BG631)+SUMIFS($BC$7:$BC$1843,$CF$7:$CF$1843,CF631,$BG$7:$BG$1843,BG631,$BW$7:$BW$1843,"&lt;="&amp;BW631),"")</f>
        <v/>
      </c>
      <c r="BI631" s="58" t="n">
        <f aca="false">IF(BH631="",0,MAX(0,MIN(1,(IF(CF631="L1",Parameter!$H$5,IF(CF631="L23",Parameter!$H$6+Parameter!$H$7,Parameter!$H$5+Parameter!$H$6+Parameter!$H$7))-(BH631-BC631))/BC631)))</f>
        <v>0</v>
      </c>
      <c r="BJ631" s="48" t="str">
        <f aca="false">IF(AI631&lt;=0,"",IF(CF631="Aussen","Aussenlager",IF(CF631="-","Nicht im Lift",IF(AO631&gt;=1,"Lift",IF(AO631&lt;=0,"Aussenlager","teilweise")))))</f>
        <v>Nicht im Lift</v>
      </c>
      <c r="BK631" s="48" t="str">
        <f aca="false">IF(AS631&lt;=0,"",IF(CF631="Aussen","Aussenlager",IF(CF631="-","Nicht im Lift",IF(AY631&gt;=1,"Lift",IF(AY631&lt;=0,"Aussenlager","teilweise")))))</f>
        <v>Nicht im Lift</v>
      </c>
      <c r="BL631" s="48" t="str">
        <f aca="false">IF(BC631&lt;=0,"",IF(CF631="Aussen","Aussenlager",IF(CF631="-","Nicht im Lift",IF(BI631&gt;=1,"Lift",IF(BI631&lt;=0,"Aussenlager","teilweise")))))</f>
        <v>Nicht im Lift</v>
      </c>
      <c r="BM631" s="48" t="str">
        <f aca="false">IF(A631="","",IF(BV631=1,"Neu; ","")&amp;IF(AND(BV631=0,BQ631&lt;0),"negativer Bestand (Export "&amp;BQ631&amp;"); ","")&amp;IF(J631&lt;=0,"Kein Verbrauch; ","")&amp;IF(CQ631&gt;0,"Lift "&amp;W631&amp;" lt. Liftbericht (Fach "&amp;X631&amp;" Stk); ",IF(CA631=1,"Gebinde geschätzt ("&amp;T631&amp;"); ",IF(BZ631=1,"Lose – Tablare geschätzt; ","")))&amp;IF(H631&gt;AV631,"Überbestand "&amp;ROUND(H631-AV631,0)&amp;" Stk / CHF "&amp;ROUND((H631-AV631)*G631,0)&amp;"; ","")&amp;IF(AND(CH631=1,CI631&lt;CJ631),"MAX &lt; MB+LG; ","")&amp;IF(AND(CP631&gt;0,CO631*10&gt;CP631),"zu hoch für Tablar; ","")&amp;IF(AND(BV631=0,OR(CH631=1,AA631&lt;&gt;"",U631&lt;&gt;"",V631&lt;&gt;"",AB631&lt;&gt;"")),"manuell übersteuert; ","")&amp;IF(AND(BZ631=0,R631=0),"Gebinde unbekannt / Stellmass fehlt; ","")&amp;IF(AND(BZ631=0,N(V631)&lt;=0,N(Q631)&lt;=0),"Menge pro Gebinde fehlt (Ist = 1 Gebinde); ","")&amp;BU631)</f>
        <v>Lose – Tablare geschätzt; </v>
      </c>
      <c r="BN631" s="48"/>
      <c r="BO631" s="48"/>
      <c r="BP631" s="55"/>
      <c r="BQ631" s="50" t="n">
        <v>4</v>
      </c>
      <c r="BR631" s="50" t="n">
        <v>0</v>
      </c>
      <c r="BS631" s="49" t="n">
        <v>1.64</v>
      </c>
      <c r="BT631" s="50" t="n">
        <v>96</v>
      </c>
      <c r="BU631" s="48"/>
      <c r="BV631" s="53" t="n">
        <v>0</v>
      </c>
      <c r="BW631" s="53" t="n">
        <v>631</v>
      </c>
      <c r="BX631" s="48" t="str">
        <f aca="false">IF(U631&lt;&gt;"",UPPER(TRIM(U631)),IF(CA631=1,UPPER(VLOOKUP(T631,Parameter!$I$27:$K$29,2,0)),IF(P631="","LOSE",P631)))</f>
        <v>LOSE</v>
      </c>
      <c r="BY631" s="50" t="n">
        <f aca="false">IF(BX631="LOSE",1,IF(N(V631)&gt;0,V631,IF(CA631=1,MAX(1,N(VLOOKUP(T631,Parameter!$I$27:$K$29,3,0)),H631,N(N631)),IF(N(Q631)&gt;0,Q631,MAX(1,H631)))))</f>
        <v>1</v>
      </c>
      <c r="BZ631" s="53" t="n">
        <f aca="false">IF(BX631="LOSE",1,0)</f>
        <v>1</v>
      </c>
      <c r="CA631" s="53" t="n">
        <f aca="false">IF(AND(U631="",OR(P631="",P631="LOSE"),T631&lt;&gt;"",N(S631)&lt;=0,ISNUMBER(MATCH(T631,Parameter!$I$27:$I$29,0))),1,0)</f>
        <v>0</v>
      </c>
      <c r="CB631" s="53" t="n">
        <f aca="false">IF(CQ631&gt;0,INDEX(Parameter!$H$5:$H$7,W631)/INDEX(Parameter!$E$5:$E$7,W631),IF(AND(BZ631=0,N(IFERROR(VLOOKUP(BX631,'Gebinde-Kategorie'!$A$5:$N$45,14,0),0))&gt;0),VLOOKUP(BX631,'Gebinde-Kategorie'!$A$5:$N$45,14,0)*10+Parameter!$M$23,Parameter!$M$24))</f>
        <v>235</v>
      </c>
      <c r="CC631" s="48" t="str">
        <f aca="false">IF(AND(Parameter!$B$19="Ja",E631&lt;&gt;"",ISNUMBER(MATCH(E631,Parameter!$I$35:$I$52,0))),VLOOKUP(E631,Parameter!$I$35:$J$52,2,0),IFERROR(VLOOKUP(D631,Parameter!$A$35:$C$64,2,0),"Nein"))</f>
        <v>Nein</v>
      </c>
      <c r="CD631" s="52" t="n">
        <f aca="false">IF(BZ631=0,0,IF(N(S631)&gt;0,S631,IFERROR(VLOOKUP(D631,Parameter!$A$35:$C$64,3,0)+0,0)))</f>
        <v>0.15</v>
      </c>
      <c r="CE631" s="48" t="str">
        <f aca="false">IF(AA631&lt;&gt;"",AA631,Z631)</f>
        <v>-</v>
      </c>
      <c r="CF631" s="48" t="str">
        <f aca="false">IF(OR(CE631=1,CE631=2,CE631=3),IF(Parameter!$E$27="Ja","LIFT",IF(CE631=1,"L1","L23")),IF(CE631="Aussen","Aussen","-"))</f>
        <v>-</v>
      </c>
      <c r="CG631" s="59" t="n">
        <f aca="false">IF(N(AB631)&gt;0,AB631,0)</f>
        <v>0</v>
      </c>
      <c r="CH631" s="53" t="n">
        <f aca="false">IF(ISNUMBER(AE631),1,0)</f>
        <v>0</v>
      </c>
      <c r="CI631" s="50" t="n">
        <f aca="false">N(AE631)</f>
        <v>0</v>
      </c>
      <c r="CJ631" s="50" t="n">
        <f aca="false">N(M631)+N(N631)</f>
        <v>100</v>
      </c>
      <c r="CK631" s="50" t="n">
        <f aca="false">N(M631)</f>
        <v>0</v>
      </c>
      <c r="CL631" s="50" t="n">
        <f aca="false">N(N631)</f>
        <v>100</v>
      </c>
      <c r="CM631" s="50" t="n">
        <f aca="false">ROUNDUP(H631/BY631,0)</f>
        <v>4</v>
      </c>
      <c r="CN631" s="50" t="n">
        <f aca="false">ROUNDUP(CI631/BY631,0)</f>
        <v>0</v>
      </c>
      <c r="CO631" s="53" t="n">
        <f aca="false">IF(BZ631=1,0,IFERROR(VLOOKUP(BX631,'Gebinde-Kategorie'!$A$5:$N$45,5,0)+0,0))</f>
        <v>0</v>
      </c>
      <c r="CP631" s="53" t="n">
        <f aca="false">IFERROR(IF(OR(CE631=1,CE631=2,CE631=3),N(INDEX(Parameter!$I$5:$I$7,CE631)),0),0)</f>
        <v>0</v>
      </c>
      <c r="CQ631" s="52" t="n">
        <f aca="false">IF(AND(Parameter!$B$21="Ja",ISNUMBER(W631),N(X631)&gt;0),IFERROR(N(INDEX(Parameter!$L$5:$L$7,W631))*INDEX(Parameter!$E$5:$E$7,W631)*X631/SUMIFS($X$7:$X$1843,$W$7:$W$1843,W631),0),0)</f>
        <v>0</v>
      </c>
    </row>
    <row r="632" customFormat="false" ht="15" hidden="false" customHeight="false" outlineLevel="0" collapsed="false">
      <c r="A632" s="48" t="s">
        <v>1301</v>
      </c>
      <c r="B632" s="48" t="s">
        <v>1302</v>
      </c>
      <c r="C632" s="48" t="s">
        <v>173</v>
      </c>
      <c r="D632" s="48" t="s">
        <v>193</v>
      </c>
      <c r="E632" s="48"/>
      <c r="F632" s="48" t="s">
        <v>227</v>
      </c>
      <c r="G632" s="49" t="n">
        <v>1.25</v>
      </c>
      <c r="H632" s="50" t="n">
        <f aca="false">MAX(0,IF(AND(Parameter!$B$21="Ja",ISNUMBER(Y632)),Y632,IF(Parameter!$B$20="Jahresanfang 2025 + Export",BR632+BQ632,BQ632)))</f>
        <v>14</v>
      </c>
      <c r="I632" s="50" t="n">
        <f aca="false">H632*G632</f>
        <v>17.5</v>
      </c>
      <c r="J632" s="50" t="n">
        <f aca="false">BT632*Parameter!$B$18</f>
        <v>22</v>
      </c>
      <c r="K632" s="51" t="n">
        <v>11.5</v>
      </c>
      <c r="L632" s="52" t="n">
        <v>1.91304347826087</v>
      </c>
      <c r="M632" s="50" t="n">
        <v>0</v>
      </c>
      <c r="N632" s="50" t="n">
        <v>20</v>
      </c>
      <c r="O632" s="53" t="n">
        <v>14</v>
      </c>
      <c r="P632" s="48" t="s">
        <v>435</v>
      </c>
      <c r="Q632" s="50" t="n">
        <v>22</v>
      </c>
      <c r="R632" s="53" t="n">
        <f aca="false">IF(BZ632=1,0,IFERROR(VLOOKUP(BX632,'Gebinde-Kategorie'!$A$5:$N$45,13,0)+0,0))</f>
        <v>140</v>
      </c>
      <c r="S632" s="54"/>
      <c r="T632" s="55"/>
      <c r="U632" s="55"/>
      <c r="V632" s="55"/>
      <c r="W632" s="48"/>
      <c r="X632" s="50"/>
      <c r="Y632" s="50"/>
      <c r="Z632" s="48" t="n">
        <f aca="false">IF(A632="","",IF(AND(Parameter!$B$21="Ja",ISNUMBER(W632)),W632,IF(CC632="2+3",IF(ISNUMBER(SEARCH("grosser Artikel",BU632)),2,IFERROR(VLOOKUP(BX632,Parameter!$F$35:$G$64,2,0),2)),IF(OR(CC632="Nein",CC632=""),"-",CC632))))</f>
        <v>3</v>
      </c>
      <c r="AA632" s="55"/>
      <c r="AB632" s="56"/>
      <c r="AC632" s="50" t="n">
        <f aca="false">AV632</f>
        <v>20</v>
      </c>
      <c r="AD632" s="50" t="n">
        <f aca="false">MAX(AV632,H632)</f>
        <v>20</v>
      </c>
      <c r="AE632" s="57"/>
      <c r="AF632" s="50" t="n">
        <f aca="false">IF(LEFT(Cockpit!$C$5,1)="A",H632,IF(Parameter!$E$30="MAX-Bestand",IF(CH632=1,CI632,IF(LEFT(Cockpit!$C$5,1)="B",AL632,MAX(AL632,H632))),ROUNDUP(AJ632,0)))</f>
        <v>14</v>
      </c>
      <c r="AG632" s="50" t="n">
        <f aca="false">IF(BZ632=1,0,ROUNDUP(AF632/BY632,0))</f>
        <v>1</v>
      </c>
      <c r="AH632" s="52" t="n">
        <f aca="false">IF(CQ632&gt;0,CQ632*MAX(1,AF632/X632),IF(BZ632=1,IF(AF632&lt;=0,0,CD632*MAX(1,IF(H632&gt;0,AF632/H632,1))),IF(R632&gt;0,AG632/R632,0))/MAX(0.1,N(Parameter!$M$21)))</f>
        <v>0.00714285714285714</v>
      </c>
      <c r="AI632" s="50" t="n">
        <f aca="false">AH632*CB632</f>
        <v>1.10714285714286</v>
      </c>
      <c r="AJ632" s="51" t="n">
        <f aca="false">IF(LEFT(Cockpit!$C$5,1)="A",H632,IF(CH632=1,(CK632+CI632)/2,IF(LEFT(Cockpit!$C$5,1)="B",(CK632+AL632)/2,MAX((CK632+AL632)/2,H632))))</f>
        <v>14</v>
      </c>
      <c r="AK632" s="50" t="n">
        <f aca="false">AJ632*G632</f>
        <v>17.5</v>
      </c>
      <c r="AL632" s="50" t="n">
        <f aca="false">ROUNDUP(CK632+MAX(CL632,2*(J632/IF(CG632&gt;0,CG632,MAX(0.1,N(Cockpit!$C$6)))-CK632)),0)</f>
        <v>20</v>
      </c>
      <c r="AM632" s="51" t="n">
        <f aca="false">IF(AI632&gt;0,J632/AI632,-1)</f>
        <v>19.8709677419355</v>
      </c>
      <c r="AN632" s="51" t="n">
        <f aca="false">IF(AND(OR(CF632="L1",CF632="L23",CF632="LIFT"),AI632&gt;0),SUMIFS($AI$7:$AI$1843,$CF$7:$CF$1843,CF632,$AM$7:$AM$1843,"&gt;"&amp;AM632)+SUMIFS($AI$7:$AI$1843,$CF$7:$CF$1843,CF632,$AM$7:$AM$1843,AM632,$BW$7:$BW$1843,"&lt;="&amp;BW632),"")</f>
        <v>1657.83974358974</v>
      </c>
      <c r="AO632" s="58" t="n">
        <f aca="false">IF(AN632="",0,MAX(0,MIN(1,(IF(CF632="L1",Parameter!$H$5,IF(CF632="L23",Parameter!$H$6+Parameter!$H$7,Parameter!$H$5+Parameter!$H$6+Parameter!$H$7))-(AN632-AI632))/AI632)))</f>
        <v>1</v>
      </c>
      <c r="AP632" s="50" t="n">
        <f aca="false">IF(LEFT(Cockpit!$I$5,1)="A",H632,IF(Parameter!$E$30="MAX-Bestand",IF(CH632=1,CI632,IF(LEFT(Cockpit!$I$5,1)="B",AV632,MAX(AV632,H632))),ROUNDUP(AT632,0)))</f>
        <v>14</v>
      </c>
      <c r="AQ632" s="50" t="n">
        <f aca="false">IF(BZ632=1,0,ROUNDUP(AP632/BY632,0))</f>
        <v>1</v>
      </c>
      <c r="AR632" s="52" t="n">
        <f aca="false">IF(CQ632&gt;0,CQ632*MAX(1,AP632/X632),IF(BZ632=1,IF(AP632&lt;=0,0,CD632*MAX(1,IF(H632&gt;0,AP632/H632,1))),IF(R632&gt;0,AQ632/R632,0))/MAX(0.1,N(Parameter!$M$21)))</f>
        <v>0.00714285714285714</v>
      </c>
      <c r="AS632" s="50" t="n">
        <f aca="false">AR632*CB632</f>
        <v>1.10714285714286</v>
      </c>
      <c r="AT632" s="51" t="n">
        <f aca="false">IF(LEFT(Cockpit!$I$5,1)="A",H632,IF(CH632=1,(CK632+CI632)/2,IF(LEFT(Cockpit!$I$5,1)="B",(CK632+AV632)/2,MAX((CK632+AV632)/2,H632))))</f>
        <v>14</v>
      </c>
      <c r="AU632" s="50" t="n">
        <f aca="false">AT632*G632</f>
        <v>17.5</v>
      </c>
      <c r="AV632" s="50" t="n">
        <f aca="false">ROUNDUP(CK632+MAX(CL632,2*(J632/IF(CG632&gt;0,CG632,MAX(0.1,N(Cockpit!$I$6)))-CK632)),0)</f>
        <v>20</v>
      </c>
      <c r="AW632" s="51" t="n">
        <f aca="false">IF(AS632&gt;0,J632/AS632,-1)</f>
        <v>19.8709677419355</v>
      </c>
      <c r="AX632" s="51" t="n">
        <f aca="false">IF(AND(OR(CF632="L1",CF632="L23",CF632="LIFT"),AS632&gt;0),SUMIFS($AS$7:$AS$1843,$CF$7:$CF$1843,CF632,$AW$7:$AW$1843,"&gt;"&amp;AW632)+SUMIFS($AS$7:$AS$1843,$CF$7:$CF$1843,CF632,$AW$7:$AW$1843,AW632,$BW$7:$BW$1843,"&lt;="&amp;BW632),"")</f>
        <v>2294.96062271062</v>
      </c>
      <c r="AY632" s="58" t="n">
        <f aca="false">IF(AX632="",0,MAX(0,MIN(1,(IF(CF632="L1",Parameter!$H$5,IF(CF632="L23",Parameter!$H$6+Parameter!$H$7,Parameter!$H$5+Parameter!$H$6+Parameter!$H$7))-(AX632-AS632))/AS632)))</f>
        <v>1</v>
      </c>
      <c r="AZ632" s="50" t="n">
        <f aca="false">IF(LEFT(Cockpit!$O$5,1)="A",H632,IF(Parameter!$E$30="MAX-Bestand",IF(CH632=1,CI632,IF(LEFT(Cockpit!$O$5,1)="B",BF632,MAX(BF632,H632))),ROUNDUP(BD632,0)))</f>
        <v>10</v>
      </c>
      <c r="BA632" s="50" t="n">
        <f aca="false">IF(BZ632=1,0,ROUNDUP(AZ632/BY632,0))</f>
        <v>1</v>
      </c>
      <c r="BB632" s="52" t="n">
        <f aca="false">IF(CQ632&gt;0,CQ632*MAX(1,AZ632/X632),IF(BZ632=1,IF(AZ632&lt;=0,0,CD632*MAX(1,IF(H632&gt;0,AZ632/H632,1))),IF(R632&gt;0,BA632/R632,0))/MAX(0.1,N(Parameter!$M$21)))</f>
        <v>0.00714285714285714</v>
      </c>
      <c r="BC632" s="50" t="n">
        <f aca="false">BB632*CB632</f>
        <v>1.10714285714286</v>
      </c>
      <c r="BD632" s="51" t="n">
        <f aca="false">IF(LEFT(Cockpit!$O$5,1)="A",H632,IF(CH632=1,(CK632+CI632)/2,IF(LEFT(Cockpit!$O$5,1)="B",(CK632+BF632)/2,MAX((CK632+BF632)/2,H632))))</f>
        <v>10</v>
      </c>
      <c r="BE632" s="50" t="n">
        <f aca="false">BD632*G632</f>
        <v>12.5</v>
      </c>
      <c r="BF632" s="50" t="n">
        <f aca="false">ROUNDUP(CK632+MAX(CL632,2*(J632/IF(CG632&gt;0,CG632,MAX(0.1,N(Cockpit!$O$6)))-CK632)),0)</f>
        <v>20</v>
      </c>
      <c r="BG632" s="51" t="n">
        <f aca="false">IF(BC632&gt;0,J632/BC632,-1)</f>
        <v>19.8709677419355</v>
      </c>
      <c r="BH632" s="51" t="n">
        <f aca="false">IF(AND(OR(CF632="L1",CF632="L23",CF632="LIFT"),BC632&gt;0),SUMIFS($BC$7:$BC$1843,$CF$7:$CF$1843,CF632,$BG$7:$BG$1843,"&gt;"&amp;BG632)+SUMIFS($BC$7:$BC$1843,$CF$7:$CF$1843,CF632,$BG$7:$BG$1843,BG632,$BW$7:$BW$1843,"&lt;="&amp;BW632),"")</f>
        <v>2226.28159340659</v>
      </c>
      <c r="BI632" s="58" t="n">
        <f aca="false">IF(BH632="",0,MAX(0,MIN(1,(IF(CF632="L1",Parameter!$H$5,IF(CF632="L23",Parameter!$H$6+Parameter!$H$7,Parameter!$H$5+Parameter!$H$6+Parameter!$H$7))-(BH632-BC632))/BC632)))</f>
        <v>1</v>
      </c>
      <c r="BJ632" s="48" t="str">
        <f aca="false">IF(AI632&lt;=0,"",IF(CF632="Aussen","Aussenlager",IF(CF632="-","Nicht im Lift",IF(AO632&gt;=1,"Lift",IF(AO632&lt;=0,"Aussenlager","teilweise")))))</f>
        <v>Lift</v>
      </c>
      <c r="BK632" s="48" t="str">
        <f aca="false">IF(AS632&lt;=0,"",IF(CF632="Aussen","Aussenlager",IF(CF632="-","Nicht im Lift",IF(AY632&gt;=1,"Lift",IF(AY632&lt;=0,"Aussenlager","teilweise")))))</f>
        <v>Lift</v>
      </c>
      <c r="BL632" s="48" t="str">
        <f aca="false">IF(BC632&lt;=0,"",IF(CF632="Aussen","Aussenlager",IF(CF632="-","Nicht im Lift",IF(BI632&gt;=1,"Lift",IF(BI632&lt;=0,"Aussenlager","teilweise")))))</f>
        <v>Lift</v>
      </c>
      <c r="BM632" s="48" t="str">
        <f aca="false">IF(A632="","",IF(BV632=1,"Neu; ","")&amp;IF(AND(BV632=0,BQ632&lt;0),"negativer Bestand (Export "&amp;BQ632&amp;"); ","")&amp;IF(J632&lt;=0,"Kein Verbrauch; ","")&amp;IF(CQ632&gt;0,"Lift "&amp;W632&amp;" lt. Liftbericht (Fach "&amp;X632&amp;" Stk); ",IF(CA632=1,"Gebinde geschätzt ("&amp;T632&amp;"); ",IF(BZ632=1,"Lose – Tablare geschätzt; ","")))&amp;IF(H632&gt;AV632,"Überbestand "&amp;ROUND(H632-AV632,0)&amp;" Stk / CHF "&amp;ROUND((H632-AV632)*G632,0)&amp;"; ","")&amp;IF(AND(CH632=1,CI632&lt;CJ632),"MAX &lt; MB+LG; ","")&amp;IF(AND(CP632&gt;0,CO632*10&gt;CP632),"zu hoch für Tablar; ","")&amp;IF(AND(BV632=0,OR(CH632=1,AA632&lt;&gt;"",U632&lt;&gt;"",V632&lt;&gt;"",AB632&lt;&gt;"")),"manuell übersteuert; ","")&amp;IF(AND(BZ632=0,R632=0),"Gebinde unbekannt / Stellmass fehlt; ","")&amp;IF(AND(BZ632=0,N(V632)&lt;=0,N(Q632)&lt;=0),"Menge pro Gebinde fehlt (Ist = 1 Gebinde); ","")&amp;BU632)</f>
        <v/>
      </c>
      <c r="BN632" s="48"/>
      <c r="BO632" s="48"/>
      <c r="BP632" s="55"/>
      <c r="BQ632" s="50" t="n">
        <v>1</v>
      </c>
      <c r="BR632" s="50" t="n">
        <v>13</v>
      </c>
      <c r="BS632" s="49" t="n">
        <v>1.64</v>
      </c>
      <c r="BT632" s="50" t="n">
        <v>22</v>
      </c>
      <c r="BU632" s="48"/>
      <c r="BV632" s="53" t="n">
        <v>0</v>
      </c>
      <c r="BW632" s="53" t="n">
        <v>632</v>
      </c>
      <c r="BX632" s="48" t="str">
        <f aca="false">IF(U632&lt;&gt;"",UPPER(TRIM(U632)),IF(CA632=1,UPPER(VLOOKUP(T632,Parameter!$I$27:$K$29,2,0)),IF(P632="","LOSE",P632)))</f>
        <v>S22</v>
      </c>
      <c r="BY632" s="50" t="n">
        <f aca="false">IF(BX632="LOSE",1,IF(N(V632)&gt;0,V632,IF(CA632=1,MAX(1,N(VLOOKUP(T632,Parameter!$I$27:$K$29,3,0)),H632,N(N632)),IF(N(Q632)&gt;0,Q632,MAX(1,H632)))))</f>
        <v>22</v>
      </c>
      <c r="BZ632" s="53" t="n">
        <f aca="false">IF(BX632="LOSE",1,0)</f>
        <v>0</v>
      </c>
      <c r="CA632" s="53" t="n">
        <f aca="false">IF(AND(U632="",OR(P632="",P632="LOSE"),T632&lt;&gt;"",N(S632)&lt;=0,ISNUMBER(MATCH(T632,Parameter!$I$27:$I$29,0))),1,0)</f>
        <v>0</v>
      </c>
      <c r="CB632" s="53" t="n">
        <f aca="false">IF(CQ632&gt;0,INDEX(Parameter!$H$5:$H$7,W632)/INDEX(Parameter!$E$5:$E$7,W632),IF(AND(BZ632=0,N(IFERROR(VLOOKUP(BX632,'Gebinde-Kategorie'!$A$5:$N$45,14,0),0))&gt;0),VLOOKUP(BX632,'Gebinde-Kategorie'!$A$5:$N$45,14,0)*10+Parameter!$M$23,Parameter!$M$24))</f>
        <v>155</v>
      </c>
      <c r="CC632" s="48" t="str">
        <f aca="false">IF(AND(Parameter!$B$19="Ja",E632&lt;&gt;"",ISNUMBER(MATCH(E632,Parameter!$I$35:$I$52,0))),VLOOKUP(E632,Parameter!$I$35:$J$52,2,0),IFERROR(VLOOKUP(D632,Parameter!$A$35:$C$64,2,0),"Nein"))</f>
        <v>2+3</v>
      </c>
      <c r="CD632" s="52" t="n">
        <f aca="false">IF(BZ632=0,0,IF(N(S632)&gt;0,S632,IFERROR(VLOOKUP(D632,Parameter!$A$35:$C$64,3,0)+0,0)))</f>
        <v>0</v>
      </c>
      <c r="CE632" s="48" t="n">
        <f aca="false">IF(AA632&lt;&gt;"",AA632,Z632)</f>
        <v>3</v>
      </c>
      <c r="CF632" s="48" t="str">
        <f aca="false">IF(OR(CE632=1,CE632=2,CE632=3),IF(Parameter!$E$27="Ja","LIFT",IF(CE632=1,"L1","L23")),IF(CE632="Aussen","Aussen","-"))</f>
        <v>LIFT</v>
      </c>
      <c r="CG632" s="59" t="n">
        <f aca="false">IF(N(AB632)&gt;0,AB632,0)</f>
        <v>0</v>
      </c>
      <c r="CH632" s="53" t="n">
        <f aca="false">IF(ISNUMBER(AE632),1,0)</f>
        <v>0</v>
      </c>
      <c r="CI632" s="50" t="n">
        <f aca="false">N(AE632)</f>
        <v>0</v>
      </c>
      <c r="CJ632" s="50" t="n">
        <f aca="false">N(M632)+N(N632)</f>
        <v>20</v>
      </c>
      <c r="CK632" s="50" t="n">
        <f aca="false">N(M632)</f>
        <v>0</v>
      </c>
      <c r="CL632" s="50" t="n">
        <f aca="false">N(N632)</f>
        <v>20</v>
      </c>
      <c r="CM632" s="50" t="n">
        <f aca="false">ROUNDUP(H632/BY632,0)</f>
        <v>1</v>
      </c>
      <c r="CN632" s="50" t="n">
        <f aca="false">ROUNDUP(CI632/BY632,0)</f>
        <v>0</v>
      </c>
      <c r="CO632" s="53" t="n">
        <f aca="false">IF(BZ632=1,0,IFERROR(VLOOKUP(BX632,'Gebinde-Kategorie'!$A$5:$N$45,5,0)+0,0))</f>
        <v>8</v>
      </c>
      <c r="CP632" s="53" t="n">
        <f aca="false">IFERROR(IF(OR(CE632=1,CE632=2,CE632=3),N(INDEX(Parameter!$I$5:$I$7,CE632)),0),0)</f>
        <v>0</v>
      </c>
      <c r="CQ632" s="52" t="n">
        <f aca="false">IF(AND(Parameter!$B$21="Ja",ISNUMBER(W632),N(X632)&gt;0),IFERROR(N(INDEX(Parameter!$L$5:$L$7,W632))*INDEX(Parameter!$E$5:$E$7,W632)*X632/SUMIFS($X$7:$X$1843,$W$7:$W$1843,W632),0),0)</f>
        <v>0</v>
      </c>
    </row>
    <row r="633" customFormat="false" ht="15" hidden="false" customHeight="false" outlineLevel="0" collapsed="false">
      <c r="A633" s="48" t="s">
        <v>1303</v>
      </c>
      <c r="B633" s="48" t="s">
        <v>1299</v>
      </c>
      <c r="C633" s="48" t="s">
        <v>173</v>
      </c>
      <c r="D633" s="48" t="s">
        <v>193</v>
      </c>
      <c r="E633" s="48" t="s">
        <v>194</v>
      </c>
      <c r="F633" s="48" t="s">
        <v>227</v>
      </c>
      <c r="G633" s="49" t="n">
        <v>0.85</v>
      </c>
      <c r="H633" s="50" t="n">
        <f aca="false">MAX(0,IF(AND(Parameter!$B$21="Ja",ISNUMBER(Y633)),Y633,IF(Parameter!$B$20="Jahresanfang 2025 + Export",BR633+BQ633,BQ633)))</f>
        <v>23</v>
      </c>
      <c r="I633" s="50" t="n">
        <f aca="false">H633*G633</f>
        <v>19.55</v>
      </c>
      <c r="J633" s="50" t="n">
        <f aca="false">BT633*Parameter!$B$18</f>
        <v>72</v>
      </c>
      <c r="K633" s="51" t="n">
        <v>40</v>
      </c>
      <c r="L633" s="52" t="n">
        <v>1.8</v>
      </c>
      <c r="M633" s="50" t="n">
        <v>2</v>
      </c>
      <c r="N633" s="50" t="n">
        <v>70</v>
      </c>
      <c r="O633" s="53" t="n">
        <v>14</v>
      </c>
      <c r="P633" s="48" t="s">
        <v>242</v>
      </c>
      <c r="Q633" s="50" t="n">
        <v>88</v>
      </c>
      <c r="R633" s="53" t="n">
        <f aca="false">IF(BZ633=1,0,IFERROR(VLOOKUP(BX633,'Gebinde-Kategorie'!$A$5:$N$45,13,0)+0,0))</f>
        <v>26</v>
      </c>
      <c r="S633" s="54"/>
      <c r="T633" s="55"/>
      <c r="U633" s="55"/>
      <c r="V633" s="55"/>
      <c r="W633" s="48"/>
      <c r="X633" s="50"/>
      <c r="Y633" s="50"/>
      <c r="Z633" s="48" t="n">
        <f aca="false">IF(A633="","",IF(AND(Parameter!$B$21="Ja",ISNUMBER(W633)),W633,IF(CC633="2+3",IF(ISNUMBER(SEARCH("grosser Artikel",BU633)),2,IFERROR(VLOOKUP(BX633,Parameter!$F$35:$G$64,2,0),2)),IF(OR(CC633="Nein",CC633=""),"-",CC633))))</f>
        <v>3</v>
      </c>
      <c r="AA633" s="55"/>
      <c r="AB633" s="56"/>
      <c r="AC633" s="50" t="n">
        <f aca="false">AV633</f>
        <v>72</v>
      </c>
      <c r="AD633" s="50" t="n">
        <f aca="false">MAX(AV633,H633)</f>
        <v>72</v>
      </c>
      <c r="AE633" s="57"/>
      <c r="AF633" s="50" t="n">
        <f aca="false">IF(LEFT(Cockpit!$C$5,1)="A",H633,IF(Parameter!$E$30="MAX-Bestand",IF(CH633=1,CI633,IF(LEFT(Cockpit!$C$5,1)="B",AL633,MAX(AL633,H633))),ROUNDUP(AJ633,0)))</f>
        <v>23</v>
      </c>
      <c r="AG633" s="50" t="n">
        <f aca="false">IF(BZ633=1,0,ROUNDUP(AF633/BY633,0))</f>
        <v>1</v>
      </c>
      <c r="AH633" s="52" t="n">
        <f aca="false">IF(CQ633&gt;0,CQ633*MAX(1,AF633/X633),IF(BZ633=1,IF(AF633&lt;=0,0,CD633*MAX(1,IF(H633&gt;0,AF633/H633,1))),IF(R633&gt;0,AG633/R633,0))/MAX(0.1,N(Parameter!$M$21)))</f>
        <v>0.0384615384615385</v>
      </c>
      <c r="AI633" s="50" t="n">
        <f aca="false">AH633*CB633</f>
        <v>9.42307692307692</v>
      </c>
      <c r="AJ633" s="51" t="n">
        <f aca="false">IF(LEFT(Cockpit!$C$5,1)="A",H633,IF(CH633=1,(CK633+CI633)/2,IF(LEFT(Cockpit!$C$5,1)="B",(CK633+AL633)/2,MAX((CK633+AL633)/2,H633))))</f>
        <v>23</v>
      </c>
      <c r="AK633" s="50" t="n">
        <f aca="false">AJ633*G633</f>
        <v>19.55</v>
      </c>
      <c r="AL633" s="50" t="n">
        <f aca="false">ROUNDUP(CK633+MAX(CL633,2*(J633/IF(CG633&gt;0,CG633,MAX(0.1,N(Cockpit!$C$6)))-CK633)),0)</f>
        <v>72</v>
      </c>
      <c r="AM633" s="51" t="n">
        <f aca="false">IF(AI633&gt;0,J633/AI633,-1)</f>
        <v>7.64081632653061</v>
      </c>
      <c r="AN633" s="51" t="n">
        <f aca="false">IF(AND(OR(CF633="L1",CF633="L23",CF633="LIFT"),AI633&gt;0),SUMIFS($AI$7:$AI$1843,$CF$7:$CF$1843,CF633,$AM$7:$AM$1843,"&gt;"&amp;AM633)+SUMIFS($AI$7:$AI$1843,$CF$7:$CF$1843,CF633,$AM$7:$AM$1843,AM633,$BW$7:$BW$1843,"&lt;="&amp;BW633),"")</f>
        <v>3128.48076923077</v>
      </c>
      <c r="AO633" s="58" t="n">
        <f aca="false">IF(AN633="",0,MAX(0,MIN(1,(IF(CF633="L1",Parameter!$H$5,IF(CF633="L23",Parameter!$H$6+Parameter!$H$7,Parameter!$H$5+Parameter!$H$6+Parameter!$H$7))-(AN633-AI633))/AI633)))</f>
        <v>1</v>
      </c>
      <c r="AP633" s="50" t="n">
        <f aca="false">IF(LEFT(Cockpit!$I$5,1)="A",H633,IF(Parameter!$E$30="MAX-Bestand",IF(CH633=1,CI633,IF(LEFT(Cockpit!$I$5,1)="B",AV633,MAX(AV633,H633))),ROUNDUP(AT633,0)))</f>
        <v>37</v>
      </c>
      <c r="AQ633" s="50" t="n">
        <f aca="false">IF(BZ633=1,0,ROUNDUP(AP633/BY633,0))</f>
        <v>1</v>
      </c>
      <c r="AR633" s="52" t="n">
        <f aca="false">IF(CQ633&gt;0,CQ633*MAX(1,AP633/X633),IF(BZ633=1,IF(AP633&lt;=0,0,CD633*MAX(1,IF(H633&gt;0,AP633/H633,1))),IF(R633&gt;0,AQ633/R633,0))/MAX(0.1,N(Parameter!$M$21)))</f>
        <v>0.0384615384615385</v>
      </c>
      <c r="AS633" s="50" t="n">
        <f aca="false">AR633*CB633</f>
        <v>9.42307692307692</v>
      </c>
      <c r="AT633" s="51" t="n">
        <f aca="false">IF(LEFT(Cockpit!$I$5,1)="A",H633,IF(CH633=1,(CK633+CI633)/2,IF(LEFT(Cockpit!$I$5,1)="B",(CK633+AV633)/2,MAX((CK633+AV633)/2,H633))))</f>
        <v>37</v>
      </c>
      <c r="AU633" s="50" t="n">
        <f aca="false">AT633*G633</f>
        <v>31.45</v>
      </c>
      <c r="AV633" s="50" t="n">
        <f aca="false">ROUNDUP(CK633+MAX(CL633,2*(J633/IF(CG633&gt;0,CG633,MAX(0.1,N(Cockpit!$I$6)))-CK633)),0)</f>
        <v>72</v>
      </c>
      <c r="AW633" s="51" t="n">
        <f aca="false">IF(AS633&gt;0,J633/AS633,-1)</f>
        <v>7.64081632653061</v>
      </c>
      <c r="AX633" s="51" t="n">
        <f aca="false">IF(AND(OR(CF633="L1",CF633="L23",CF633="LIFT"),AS633&gt;0),SUMIFS($AS$7:$AS$1843,$CF$7:$CF$1843,CF633,$AW$7:$AW$1843,"&gt;"&amp;AW633)+SUMIFS($AS$7:$AS$1843,$CF$7:$CF$1843,CF633,$AW$7:$AW$1843,AW633,$BW$7:$BW$1843,"&lt;="&amp;BW633),"")</f>
        <v>3752.54212454213</v>
      </c>
      <c r="AY633" s="58" t="n">
        <f aca="false">IF(AX633="",0,MAX(0,MIN(1,(IF(CF633="L1",Parameter!$H$5,IF(CF633="L23",Parameter!$H$6+Parameter!$H$7,Parameter!$H$5+Parameter!$H$6+Parameter!$H$7))-(AX633-AS633))/AS633)))</f>
        <v>1</v>
      </c>
      <c r="AZ633" s="50" t="n">
        <f aca="false">IF(LEFT(Cockpit!$O$5,1)="A",H633,IF(Parameter!$E$30="MAX-Bestand",IF(CH633=1,CI633,IF(LEFT(Cockpit!$O$5,1)="B",BF633,MAX(BF633,H633))),ROUNDUP(BD633,0)))</f>
        <v>37</v>
      </c>
      <c r="BA633" s="50" t="n">
        <f aca="false">IF(BZ633=1,0,ROUNDUP(AZ633/BY633,0))</f>
        <v>1</v>
      </c>
      <c r="BB633" s="52" t="n">
        <f aca="false">IF(CQ633&gt;0,CQ633*MAX(1,AZ633/X633),IF(BZ633=1,IF(AZ633&lt;=0,0,CD633*MAX(1,IF(H633&gt;0,AZ633/H633,1))),IF(R633&gt;0,BA633/R633,0))/MAX(0.1,N(Parameter!$M$21)))</f>
        <v>0.0384615384615385</v>
      </c>
      <c r="BC633" s="50" t="n">
        <f aca="false">BB633*CB633</f>
        <v>9.42307692307692</v>
      </c>
      <c r="BD633" s="51" t="n">
        <f aca="false">IF(LEFT(Cockpit!$O$5,1)="A",H633,IF(CH633=1,(CK633+CI633)/2,IF(LEFT(Cockpit!$O$5,1)="B",(CK633+BF633)/2,MAX((CK633+BF633)/2,H633))))</f>
        <v>37</v>
      </c>
      <c r="BE633" s="50" t="n">
        <f aca="false">BD633*G633</f>
        <v>31.45</v>
      </c>
      <c r="BF633" s="50" t="n">
        <f aca="false">ROUNDUP(CK633+MAX(CL633,2*(J633/IF(CG633&gt;0,CG633,MAX(0.1,N(Cockpit!$O$6)))-CK633)),0)</f>
        <v>72</v>
      </c>
      <c r="BG633" s="51" t="n">
        <f aca="false">IF(BC633&gt;0,J633/BC633,-1)</f>
        <v>7.64081632653061</v>
      </c>
      <c r="BH633" s="51" t="n">
        <f aca="false">IF(AND(OR(CF633="L1",CF633="L23",CF633="LIFT"),BC633&gt;0),SUMIFS($BC$7:$BC$1843,$CF$7:$CF$1843,CF633,$BG$7:$BG$1843,"&gt;"&amp;BG633)+SUMIFS($BC$7:$BC$1843,$CF$7:$CF$1843,CF633,$BG$7:$BG$1843,BG633,$BW$7:$BW$1843,"&lt;="&amp;BW633),"")</f>
        <v>3171.41163003663</v>
      </c>
      <c r="BI633" s="58" t="n">
        <f aca="false">IF(BH633="",0,MAX(0,MIN(1,(IF(CF633="L1",Parameter!$H$5,IF(CF633="L23",Parameter!$H$6+Parameter!$H$7,Parameter!$H$5+Parameter!$H$6+Parameter!$H$7))-(BH633-BC633))/BC633)))</f>
        <v>1</v>
      </c>
      <c r="BJ633" s="48" t="str">
        <f aca="false">IF(AI633&lt;=0,"",IF(CF633="Aussen","Aussenlager",IF(CF633="-","Nicht im Lift",IF(AO633&gt;=1,"Lift",IF(AO633&lt;=0,"Aussenlager","teilweise")))))</f>
        <v>Lift</v>
      </c>
      <c r="BK633" s="48" t="str">
        <f aca="false">IF(AS633&lt;=0,"",IF(CF633="Aussen","Aussenlager",IF(CF633="-","Nicht im Lift",IF(AY633&gt;=1,"Lift",IF(AY633&lt;=0,"Aussenlager","teilweise")))))</f>
        <v>Lift</v>
      </c>
      <c r="BL633" s="48" t="str">
        <f aca="false">IF(BC633&lt;=0,"",IF(CF633="Aussen","Aussenlager",IF(CF633="-","Nicht im Lift",IF(BI633&gt;=1,"Lift",IF(BI633&lt;=0,"Aussenlager","teilweise")))))</f>
        <v>Lift</v>
      </c>
      <c r="BM633" s="48" t="str">
        <f aca="false">IF(A633="","",IF(BV633=1,"Neu; ","")&amp;IF(AND(BV633=0,BQ633&lt;0),"negativer Bestand (Export "&amp;BQ633&amp;"); ","")&amp;IF(J633&lt;=0,"Kein Verbrauch; ","")&amp;IF(CQ633&gt;0,"Lift "&amp;W633&amp;" lt. Liftbericht (Fach "&amp;X633&amp;" Stk); ",IF(CA633=1,"Gebinde geschätzt ("&amp;T633&amp;"); ",IF(BZ633=1,"Lose – Tablare geschätzt; ","")))&amp;IF(H633&gt;AV633,"Überbestand "&amp;ROUND(H633-AV633,0)&amp;" Stk / CHF "&amp;ROUND((H633-AV633)*G633,0)&amp;"; ","")&amp;IF(AND(CH633=1,CI633&lt;CJ633),"MAX &lt; MB+LG; ","")&amp;IF(AND(CP633&gt;0,CO633*10&gt;CP633),"zu hoch für Tablar; ","")&amp;IF(AND(BV633=0,OR(CH633=1,AA633&lt;&gt;"",U633&lt;&gt;"",V633&lt;&gt;"",AB633&lt;&gt;"")),"manuell übersteuert; ","")&amp;IF(AND(BZ633=0,R633=0),"Gebinde unbekannt / Stellmass fehlt; ","")&amp;IF(AND(BZ633=0,N(V633)&lt;=0,N(Q633)&lt;=0),"Menge pro Gebinde fehlt (Ist = 1 Gebinde); ","")&amp;BU633)</f>
        <v/>
      </c>
      <c r="BN633" s="48"/>
      <c r="BO633" s="48"/>
      <c r="BP633" s="55"/>
      <c r="BQ633" s="50" t="n">
        <v>1</v>
      </c>
      <c r="BR633" s="50" t="n">
        <v>22</v>
      </c>
      <c r="BS633" s="49" t="n">
        <v>1.50999999999997</v>
      </c>
      <c r="BT633" s="50" t="n">
        <v>72</v>
      </c>
      <c r="BU633" s="48"/>
      <c r="BV633" s="53" t="n">
        <v>0</v>
      </c>
      <c r="BW633" s="53" t="n">
        <v>633</v>
      </c>
      <c r="BX633" s="48" t="str">
        <f aca="false">IF(U633&lt;&gt;"",UPPER(TRIM(U633)),IF(CA633=1,UPPER(VLOOKUP(T633,Parameter!$I$27:$K$29,2,0)),IF(P633="","LOSE",P633)))</f>
        <v>S52</v>
      </c>
      <c r="BY633" s="50" t="n">
        <f aca="false">IF(BX633="LOSE",1,IF(N(V633)&gt;0,V633,IF(CA633=1,MAX(1,N(VLOOKUP(T633,Parameter!$I$27:$K$29,3,0)),H633,N(N633)),IF(N(Q633)&gt;0,Q633,MAX(1,H633)))))</f>
        <v>88</v>
      </c>
      <c r="BZ633" s="53" t="n">
        <f aca="false">IF(BX633="LOSE",1,0)</f>
        <v>0</v>
      </c>
      <c r="CA633" s="53" t="n">
        <f aca="false">IF(AND(U633="",OR(P633="",P633="LOSE"),T633&lt;&gt;"",N(S633)&lt;=0,ISNUMBER(MATCH(T633,Parameter!$I$27:$I$29,0))),1,0)</f>
        <v>0</v>
      </c>
      <c r="CB633" s="53" t="n">
        <f aca="false">IF(CQ633&gt;0,INDEX(Parameter!$H$5:$H$7,W633)/INDEX(Parameter!$E$5:$E$7,W633),IF(AND(BZ633=0,N(IFERROR(VLOOKUP(BX633,'Gebinde-Kategorie'!$A$5:$N$45,14,0),0))&gt;0),VLOOKUP(BX633,'Gebinde-Kategorie'!$A$5:$N$45,14,0)*10+Parameter!$M$23,Parameter!$M$24))</f>
        <v>245</v>
      </c>
      <c r="CC633" s="48" t="str">
        <f aca="false">IF(AND(Parameter!$B$19="Ja",E633&lt;&gt;"",ISNUMBER(MATCH(E633,Parameter!$I$35:$I$52,0))),VLOOKUP(E633,Parameter!$I$35:$J$52,2,0),IFERROR(VLOOKUP(D633,Parameter!$A$35:$C$64,2,0),"Nein"))</f>
        <v>2+3</v>
      </c>
      <c r="CD633" s="52" t="n">
        <f aca="false">IF(BZ633=0,0,IF(N(S633)&gt;0,S633,IFERROR(VLOOKUP(D633,Parameter!$A$35:$C$64,3,0)+0,0)))</f>
        <v>0</v>
      </c>
      <c r="CE633" s="48" t="n">
        <f aca="false">IF(AA633&lt;&gt;"",AA633,Z633)</f>
        <v>3</v>
      </c>
      <c r="CF633" s="48" t="str">
        <f aca="false">IF(OR(CE633=1,CE633=2,CE633=3),IF(Parameter!$E$27="Ja","LIFT",IF(CE633=1,"L1","L23")),IF(CE633="Aussen","Aussen","-"))</f>
        <v>LIFT</v>
      </c>
      <c r="CG633" s="59" t="n">
        <f aca="false">IF(N(AB633)&gt;0,AB633,0)</f>
        <v>0</v>
      </c>
      <c r="CH633" s="53" t="n">
        <f aca="false">IF(ISNUMBER(AE633),1,0)</f>
        <v>0</v>
      </c>
      <c r="CI633" s="50" t="n">
        <f aca="false">N(AE633)</f>
        <v>0</v>
      </c>
      <c r="CJ633" s="50" t="n">
        <f aca="false">N(M633)+N(N633)</f>
        <v>72</v>
      </c>
      <c r="CK633" s="50" t="n">
        <f aca="false">N(M633)</f>
        <v>2</v>
      </c>
      <c r="CL633" s="50" t="n">
        <f aca="false">N(N633)</f>
        <v>70</v>
      </c>
      <c r="CM633" s="50" t="n">
        <f aca="false">ROUNDUP(H633/BY633,0)</f>
        <v>1</v>
      </c>
      <c r="CN633" s="50" t="n">
        <f aca="false">ROUNDUP(CI633/BY633,0)</f>
        <v>0</v>
      </c>
      <c r="CO633" s="53" t="n">
        <f aca="false">IF(BZ633=1,0,IFERROR(VLOOKUP(BX633,'Gebinde-Kategorie'!$A$5:$N$45,5,0)+0,0))</f>
        <v>21</v>
      </c>
      <c r="CP633" s="53" t="n">
        <f aca="false">IFERROR(IF(OR(CE633=1,CE633=2,CE633=3),N(INDEX(Parameter!$I$5:$I$7,CE633)),0),0)</f>
        <v>0</v>
      </c>
      <c r="CQ633" s="52" t="n">
        <f aca="false">IF(AND(Parameter!$B$21="Ja",ISNUMBER(W633),N(X633)&gt;0),IFERROR(N(INDEX(Parameter!$L$5:$L$7,W633))*INDEX(Parameter!$E$5:$E$7,W633)*X633/SUMIFS($X$7:$X$1843,$W$7:$W$1843,W633),0),0)</f>
        <v>0</v>
      </c>
    </row>
    <row r="634" customFormat="false" ht="15" hidden="false" customHeight="false" outlineLevel="0" collapsed="false">
      <c r="A634" s="48" t="s">
        <v>1304</v>
      </c>
      <c r="B634" s="48" t="s">
        <v>901</v>
      </c>
      <c r="C634" s="48" t="s">
        <v>173</v>
      </c>
      <c r="D634" s="48" t="s">
        <v>193</v>
      </c>
      <c r="E634" s="48" t="s">
        <v>194</v>
      </c>
      <c r="F634" s="48" t="s">
        <v>227</v>
      </c>
      <c r="G634" s="49" t="n">
        <v>0.66</v>
      </c>
      <c r="H634" s="50" t="n">
        <f aca="false">MAX(0,IF(AND(Parameter!$B$21="Ja",ISNUMBER(Y634)),Y634,IF(Parameter!$B$20="Jahresanfang 2025 + Export",BR634+BQ634,BQ634)))</f>
        <v>23</v>
      </c>
      <c r="I634" s="50" t="n">
        <f aca="false">H634*G634</f>
        <v>15.18</v>
      </c>
      <c r="J634" s="50" t="n">
        <f aca="false">BT634*Parameter!$B$18</f>
        <v>1</v>
      </c>
      <c r="K634" s="51" t="n">
        <v>15</v>
      </c>
      <c r="L634" s="52" t="n">
        <v>0.0666666666666667</v>
      </c>
      <c r="M634" s="50" t="n">
        <v>0</v>
      </c>
      <c r="N634" s="50" t="n">
        <v>1</v>
      </c>
      <c r="O634" s="53" t="n">
        <v>28</v>
      </c>
      <c r="P634" s="48" t="s">
        <v>435</v>
      </c>
      <c r="Q634" s="50" t="n">
        <v>11</v>
      </c>
      <c r="R634" s="53" t="n">
        <f aca="false">IF(BZ634=1,0,IFERROR(VLOOKUP(BX634,'Gebinde-Kategorie'!$A$5:$N$45,13,0)+0,0))</f>
        <v>140</v>
      </c>
      <c r="S634" s="54"/>
      <c r="T634" s="55"/>
      <c r="U634" s="55"/>
      <c r="V634" s="55"/>
      <c r="W634" s="48"/>
      <c r="X634" s="50"/>
      <c r="Y634" s="50"/>
      <c r="Z634" s="48" t="n">
        <f aca="false">IF(A634="","",IF(AND(Parameter!$B$21="Ja",ISNUMBER(W634)),W634,IF(CC634="2+3",IF(ISNUMBER(SEARCH("grosser Artikel",BU634)),2,IFERROR(VLOOKUP(BX634,Parameter!$F$35:$G$64,2,0),2)),IF(OR(CC634="Nein",CC634=""),"-",CC634))))</f>
        <v>3</v>
      </c>
      <c r="AA634" s="55"/>
      <c r="AB634" s="56"/>
      <c r="AC634" s="50" t="n">
        <f aca="false">AV634</f>
        <v>1</v>
      </c>
      <c r="AD634" s="50" t="n">
        <f aca="false">MAX(AV634,H634)</f>
        <v>23</v>
      </c>
      <c r="AE634" s="57"/>
      <c r="AF634" s="50" t="n">
        <f aca="false">IF(LEFT(Cockpit!$C$5,1)="A",H634,IF(Parameter!$E$30="MAX-Bestand",IF(CH634=1,CI634,IF(LEFT(Cockpit!$C$5,1)="B",AL634,MAX(AL634,H634))),ROUNDUP(AJ634,0)))</f>
        <v>23</v>
      </c>
      <c r="AG634" s="50" t="n">
        <f aca="false">IF(BZ634=1,0,ROUNDUP(AF634/BY634,0))</f>
        <v>3</v>
      </c>
      <c r="AH634" s="52" t="n">
        <f aca="false">IF(CQ634&gt;0,CQ634*MAX(1,AF634/X634),IF(BZ634=1,IF(AF634&lt;=0,0,CD634*MAX(1,IF(H634&gt;0,AF634/H634,1))),IF(R634&gt;0,AG634/R634,0))/MAX(0.1,N(Parameter!$M$21)))</f>
        <v>0.0214285714285714</v>
      </c>
      <c r="AI634" s="50" t="n">
        <f aca="false">AH634*CB634</f>
        <v>3.32142857142857</v>
      </c>
      <c r="AJ634" s="51" t="n">
        <f aca="false">IF(LEFT(Cockpit!$C$5,1)="A",H634,IF(CH634=1,(CK634+CI634)/2,IF(LEFT(Cockpit!$C$5,1)="B",(CK634+AL634)/2,MAX((CK634+AL634)/2,H634))))</f>
        <v>23</v>
      </c>
      <c r="AK634" s="50" t="n">
        <f aca="false">AJ634*G634</f>
        <v>15.18</v>
      </c>
      <c r="AL634" s="50" t="n">
        <f aca="false">ROUNDUP(CK634+MAX(CL634,2*(J634/IF(CG634&gt;0,CG634,MAX(0.1,N(Cockpit!$C$6)))-CK634)),0)</f>
        <v>1</v>
      </c>
      <c r="AM634" s="51" t="n">
        <f aca="false">IF(AI634&gt;0,J634/AI634,-1)</f>
        <v>0.301075268817204</v>
      </c>
      <c r="AN634" s="51" t="n">
        <f aca="false">IF(AND(OR(CF634="L1",CF634="L23",CF634="LIFT"),AI634&gt;0),SUMIFS($AI$7:$AI$1843,$CF$7:$CF$1843,CF634,$AM$7:$AM$1843,"&gt;"&amp;AM634)+SUMIFS($AI$7:$AI$1843,$CF$7:$CF$1843,CF634,$AM$7:$AM$1843,AM634,$BW$7:$BW$1843,"&lt;="&amp;BW634),"")</f>
        <v>11447.7702629292</v>
      </c>
      <c r="AO634" s="58" t="n">
        <f aca="false">IF(AN634="",0,MAX(0,MIN(1,(IF(CF634="L1",Parameter!$H$5,IF(CF634="L23",Parameter!$H$6+Parameter!$H$7,Parameter!$H$5+Parameter!$H$6+Parameter!$H$7))-(AN634-AI634))/AI634)))</f>
        <v>1</v>
      </c>
      <c r="AP634" s="50" t="n">
        <f aca="false">IF(LEFT(Cockpit!$I$5,1)="A",H634,IF(Parameter!$E$30="MAX-Bestand",IF(CH634=1,CI634,IF(LEFT(Cockpit!$I$5,1)="B",AV634,MAX(AV634,H634))),ROUNDUP(AT634,0)))</f>
        <v>23</v>
      </c>
      <c r="AQ634" s="50" t="n">
        <f aca="false">IF(BZ634=1,0,ROUNDUP(AP634/BY634,0))</f>
        <v>3</v>
      </c>
      <c r="AR634" s="52" t="n">
        <f aca="false">IF(CQ634&gt;0,CQ634*MAX(1,AP634/X634),IF(BZ634=1,IF(AP634&lt;=0,0,CD634*MAX(1,IF(H634&gt;0,AP634/H634,1))),IF(R634&gt;0,AQ634/R634,0))/MAX(0.1,N(Parameter!$M$21)))</f>
        <v>0.0214285714285714</v>
      </c>
      <c r="AS634" s="50" t="n">
        <f aca="false">AR634*CB634</f>
        <v>3.32142857142857</v>
      </c>
      <c r="AT634" s="51" t="n">
        <f aca="false">IF(LEFT(Cockpit!$I$5,1)="A",H634,IF(CH634=1,(CK634+CI634)/2,IF(LEFT(Cockpit!$I$5,1)="B",(CK634+AV634)/2,MAX((CK634+AV634)/2,H634))))</f>
        <v>23</v>
      </c>
      <c r="AU634" s="50" t="n">
        <f aca="false">AT634*G634</f>
        <v>15.18</v>
      </c>
      <c r="AV634" s="50" t="n">
        <f aca="false">ROUNDUP(CK634+MAX(CL634,2*(J634/IF(CG634&gt;0,CG634,MAX(0.1,N(Cockpit!$I$6)))-CK634)),0)</f>
        <v>1</v>
      </c>
      <c r="AW634" s="51" t="n">
        <f aca="false">IF(AS634&gt;0,J634/AS634,-1)</f>
        <v>0.301075268817204</v>
      </c>
      <c r="AX634" s="51" t="n">
        <f aca="false">IF(AND(OR(CF634="L1",CF634="L23",CF634="LIFT"),AS634&gt;0),SUMIFS($AS$7:$AS$1843,$CF$7:$CF$1843,CF634,$AW$7:$AW$1843,"&gt;"&amp;AW634)+SUMIFS($AS$7:$AS$1843,$CF$7:$CF$1843,CF634,$AW$7:$AW$1843,AW634,$BW$7:$BW$1843,"&lt;="&amp;BW634),"")</f>
        <v>14093.831043956</v>
      </c>
      <c r="AY634" s="58" t="n">
        <f aca="false">IF(AX634="",0,MAX(0,MIN(1,(IF(CF634="L1",Parameter!$H$5,IF(CF634="L23",Parameter!$H$6+Parameter!$H$7,Parameter!$H$5+Parameter!$H$6+Parameter!$H$7))-(AX634-AS634))/AS634)))</f>
        <v>1</v>
      </c>
      <c r="AZ634" s="50" t="n">
        <f aca="false">IF(LEFT(Cockpit!$O$5,1)="A",H634,IF(Parameter!$E$30="MAX-Bestand",IF(CH634=1,CI634,IF(LEFT(Cockpit!$O$5,1)="B",BF634,MAX(BF634,H634))),ROUNDUP(BD634,0)))</f>
        <v>1</v>
      </c>
      <c r="BA634" s="50" t="n">
        <f aca="false">IF(BZ634=1,0,ROUNDUP(AZ634/BY634,0))</f>
        <v>1</v>
      </c>
      <c r="BB634" s="52" t="n">
        <f aca="false">IF(CQ634&gt;0,CQ634*MAX(1,AZ634/X634),IF(BZ634=1,IF(AZ634&lt;=0,0,CD634*MAX(1,IF(H634&gt;0,AZ634/H634,1))),IF(R634&gt;0,BA634/R634,0))/MAX(0.1,N(Parameter!$M$21)))</f>
        <v>0.00714285714285714</v>
      </c>
      <c r="BC634" s="50" t="n">
        <f aca="false">BB634*CB634</f>
        <v>1.10714285714286</v>
      </c>
      <c r="BD634" s="51" t="n">
        <f aca="false">IF(LEFT(Cockpit!$O$5,1)="A",H634,IF(CH634=1,(CK634+CI634)/2,IF(LEFT(Cockpit!$O$5,1)="B",(CK634+BF634)/2,MAX((CK634+BF634)/2,H634))))</f>
        <v>0.5</v>
      </c>
      <c r="BE634" s="50" t="n">
        <f aca="false">BD634*G634</f>
        <v>0.33</v>
      </c>
      <c r="BF634" s="50" t="n">
        <f aca="false">ROUNDUP(CK634+MAX(CL634,2*(J634/IF(CG634&gt;0,CG634,MAX(0.1,N(Cockpit!$O$6)))-CK634)),0)</f>
        <v>1</v>
      </c>
      <c r="BG634" s="51" t="n">
        <f aca="false">IF(BC634&gt;0,J634/BC634,-1)</f>
        <v>0.903225806451613</v>
      </c>
      <c r="BH634" s="51" t="n">
        <f aca="false">IF(AND(OR(CF634="L1",CF634="L23",CF634="LIFT"),BC634&gt;0),SUMIFS($BC$7:$BC$1843,$CF$7:$CF$1843,CF634,$BG$7:$BG$1843,"&gt;"&amp;BG634)+SUMIFS($BC$7:$BC$1843,$CF$7:$CF$1843,CF634,$BG$7:$BG$1843,BG634,$BW$7:$BW$1843,"&lt;="&amp;BW634),"")</f>
        <v>8244.50778388278</v>
      </c>
      <c r="BI634" s="58" t="n">
        <f aca="false">IF(BH634="",0,MAX(0,MIN(1,(IF(CF634="L1",Parameter!$H$5,IF(CF634="L23",Parameter!$H$6+Parameter!$H$7,Parameter!$H$5+Parameter!$H$6+Parameter!$H$7))-(BH634-BC634))/BC634)))</f>
        <v>1</v>
      </c>
      <c r="BJ634" s="48" t="str">
        <f aca="false">IF(AI634&lt;=0,"",IF(CF634="Aussen","Aussenlager",IF(CF634="-","Nicht im Lift",IF(AO634&gt;=1,"Lift",IF(AO634&lt;=0,"Aussenlager","teilweise")))))</f>
        <v>Lift</v>
      </c>
      <c r="BK634" s="48" t="str">
        <f aca="false">IF(AS634&lt;=0,"",IF(CF634="Aussen","Aussenlager",IF(CF634="-","Nicht im Lift",IF(AY634&gt;=1,"Lift",IF(AY634&lt;=0,"Aussenlager","teilweise")))))</f>
        <v>Lift</v>
      </c>
      <c r="BL634" s="48" t="str">
        <f aca="false">IF(BC634&lt;=0,"",IF(CF634="Aussen","Aussenlager",IF(CF634="-","Nicht im Lift",IF(BI634&gt;=1,"Lift",IF(BI634&lt;=0,"Aussenlager","teilweise")))))</f>
        <v>Lift</v>
      </c>
      <c r="BM634" s="48" t="str">
        <f aca="false">IF(A634="","",IF(BV634=1,"Neu; ","")&amp;IF(AND(BV634=0,BQ634&lt;0),"negativer Bestand (Export "&amp;BQ634&amp;"); ","")&amp;IF(J634&lt;=0,"Kein Verbrauch; ","")&amp;IF(CQ634&gt;0,"Lift "&amp;W634&amp;" lt. Liftbericht (Fach "&amp;X634&amp;" Stk); ",IF(CA634=1,"Gebinde geschätzt ("&amp;T634&amp;"); ",IF(BZ634=1,"Lose – Tablare geschätzt; ","")))&amp;IF(H634&gt;AV634,"Überbestand "&amp;ROUND(H634-AV634,0)&amp;" Stk / CHF "&amp;ROUND((H634-AV634)*G634,0)&amp;"; ","")&amp;IF(AND(CH634=1,CI634&lt;CJ634),"MAX &lt; MB+LG; ","")&amp;IF(AND(CP634&gt;0,CO634*10&gt;CP634),"zu hoch für Tablar; ","")&amp;IF(AND(BV634=0,OR(CH634=1,AA634&lt;&gt;"",U634&lt;&gt;"",V634&lt;&gt;"",AB634&lt;&gt;"")),"manuell übersteuert; ","")&amp;IF(AND(BZ634=0,R634=0),"Gebinde unbekannt / Stellmass fehlt; ","")&amp;IF(AND(BZ634=0,N(V634)&lt;=0,N(Q634)&lt;=0),"Menge pro Gebinde fehlt (Ist = 1 Gebinde); ","")&amp;BU634)</f>
        <v>Überbestand 22 Stk / CHF 15; </v>
      </c>
      <c r="BN634" s="48"/>
      <c r="BO634" s="48"/>
      <c r="BP634" s="55"/>
      <c r="BQ634" s="50" t="n">
        <v>17</v>
      </c>
      <c r="BR634" s="50" t="n">
        <v>6</v>
      </c>
      <c r="BS634" s="49" t="n">
        <v>1.38</v>
      </c>
      <c r="BT634" s="50" t="n">
        <v>1</v>
      </c>
      <c r="BU634" s="48"/>
      <c r="BV634" s="53" t="n">
        <v>0</v>
      </c>
      <c r="BW634" s="53" t="n">
        <v>634</v>
      </c>
      <c r="BX634" s="48" t="str">
        <f aca="false">IF(U634&lt;&gt;"",UPPER(TRIM(U634)),IF(CA634=1,UPPER(VLOOKUP(T634,Parameter!$I$27:$K$29,2,0)),IF(P634="","LOSE",P634)))</f>
        <v>S22</v>
      </c>
      <c r="BY634" s="50" t="n">
        <f aca="false">IF(BX634="LOSE",1,IF(N(V634)&gt;0,V634,IF(CA634=1,MAX(1,N(VLOOKUP(T634,Parameter!$I$27:$K$29,3,0)),H634,N(N634)),IF(N(Q634)&gt;0,Q634,MAX(1,H634)))))</f>
        <v>11</v>
      </c>
      <c r="BZ634" s="53" t="n">
        <f aca="false">IF(BX634="LOSE",1,0)</f>
        <v>0</v>
      </c>
      <c r="CA634" s="53" t="n">
        <f aca="false">IF(AND(U634="",OR(P634="",P634="LOSE"),T634&lt;&gt;"",N(S634)&lt;=0,ISNUMBER(MATCH(T634,Parameter!$I$27:$I$29,0))),1,0)</f>
        <v>0</v>
      </c>
      <c r="CB634" s="53" t="n">
        <f aca="false">IF(CQ634&gt;0,INDEX(Parameter!$H$5:$H$7,W634)/INDEX(Parameter!$E$5:$E$7,W634),IF(AND(BZ634=0,N(IFERROR(VLOOKUP(BX634,'Gebinde-Kategorie'!$A$5:$N$45,14,0),0))&gt;0),VLOOKUP(BX634,'Gebinde-Kategorie'!$A$5:$N$45,14,0)*10+Parameter!$M$23,Parameter!$M$24))</f>
        <v>155</v>
      </c>
      <c r="CC634" s="48" t="str">
        <f aca="false">IF(AND(Parameter!$B$19="Ja",E634&lt;&gt;"",ISNUMBER(MATCH(E634,Parameter!$I$35:$I$52,0))),VLOOKUP(E634,Parameter!$I$35:$J$52,2,0),IFERROR(VLOOKUP(D634,Parameter!$A$35:$C$64,2,0),"Nein"))</f>
        <v>2+3</v>
      </c>
      <c r="CD634" s="52" t="n">
        <f aca="false">IF(BZ634=0,0,IF(N(S634)&gt;0,S634,IFERROR(VLOOKUP(D634,Parameter!$A$35:$C$64,3,0)+0,0)))</f>
        <v>0</v>
      </c>
      <c r="CE634" s="48" t="n">
        <f aca="false">IF(AA634&lt;&gt;"",AA634,Z634)</f>
        <v>3</v>
      </c>
      <c r="CF634" s="48" t="str">
        <f aca="false">IF(OR(CE634=1,CE634=2,CE634=3),IF(Parameter!$E$27="Ja","LIFT",IF(CE634=1,"L1","L23")),IF(CE634="Aussen","Aussen","-"))</f>
        <v>LIFT</v>
      </c>
      <c r="CG634" s="59" t="n">
        <f aca="false">IF(N(AB634)&gt;0,AB634,0)</f>
        <v>0</v>
      </c>
      <c r="CH634" s="53" t="n">
        <f aca="false">IF(ISNUMBER(AE634),1,0)</f>
        <v>0</v>
      </c>
      <c r="CI634" s="50" t="n">
        <f aca="false">N(AE634)</f>
        <v>0</v>
      </c>
      <c r="CJ634" s="50" t="n">
        <f aca="false">N(M634)+N(N634)</f>
        <v>1</v>
      </c>
      <c r="CK634" s="50" t="n">
        <f aca="false">N(M634)</f>
        <v>0</v>
      </c>
      <c r="CL634" s="50" t="n">
        <f aca="false">N(N634)</f>
        <v>1</v>
      </c>
      <c r="CM634" s="50" t="n">
        <f aca="false">ROUNDUP(H634/BY634,0)</f>
        <v>3</v>
      </c>
      <c r="CN634" s="50" t="n">
        <f aca="false">ROUNDUP(CI634/BY634,0)</f>
        <v>0</v>
      </c>
      <c r="CO634" s="53" t="n">
        <f aca="false">IF(BZ634=1,0,IFERROR(VLOOKUP(BX634,'Gebinde-Kategorie'!$A$5:$N$45,5,0)+0,0))</f>
        <v>8</v>
      </c>
      <c r="CP634" s="53" t="n">
        <f aca="false">IFERROR(IF(OR(CE634=1,CE634=2,CE634=3),N(INDEX(Parameter!$I$5:$I$7,CE634)),0),0)</f>
        <v>0</v>
      </c>
      <c r="CQ634" s="52" t="n">
        <f aca="false">IF(AND(Parameter!$B$21="Ja",ISNUMBER(W634),N(X634)&gt;0),IFERROR(N(INDEX(Parameter!$L$5:$L$7,W634))*INDEX(Parameter!$E$5:$E$7,W634)*X634/SUMIFS($X$7:$X$1843,$W$7:$W$1843,W634),0),0)</f>
        <v>0</v>
      </c>
    </row>
    <row r="635" customFormat="false" ht="15" hidden="false" customHeight="false" outlineLevel="0" collapsed="false">
      <c r="A635" s="48" t="s">
        <v>1305</v>
      </c>
      <c r="B635" s="48" t="s">
        <v>1271</v>
      </c>
      <c r="C635" s="48" t="s">
        <v>173</v>
      </c>
      <c r="D635" s="48" t="s">
        <v>193</v>
      </c>
      <c r="E635" s="48" t="s">
        <v>194</v>
      </c>
      <c r="F635" s="48" t="s">
        <v>227</v>
      </c>
      <c r="G635" s="49" t="n">
        <v>0.05</v>
      </c>
      <c r="H635" s="50" t="n">
        <f aca="false">MAX(0,IF(AND(Parameter!$B$21="Ja",ISNUMBER(Y635)),Y635,IF(Parameter!$B$20="Jahresanfang 2025 + Export",BR635+BQ635,BQ635)))</f>
        <v>29</v>
      </c>
      <c r="I635" s="50" t="n">
        <f aca="false">H635*G635</f>
        <v>1.45</v>
      </c>
      <c r="J635" s="50" t="n">
        <f aca="false">BT635*Parameter!$B$18</f>
        <v>0</v>
      </c>
      <c r="K635" s="51" t="n">
        <v>30.5</v>
      </c>
      <c r="L635" s="52" t="n">
        <v>0</v>
      </c>
      <c r="M635" s="50" t="n">
        <v>1</v>
      </c>
      <c r="N635" s="50" t="n">
        <v>50</v>
      </c>
      <c r="O635" s="53" t="n">
        <v>14</v>
      </c>
      <c r="P635" s="48" t="s">
        <v>410</v>
      </c>
      <c r="Q635" s="50" t="n">
        <v>38</v>
      </c>
      <c r="R635" s="53" t="n">
        <f aca="false">IF(BZ635=1,0,IFERROR(VLOOKUP(BX635,'Gebinde-Kategorie'!$A$5:$N$45,13,0)+0,0))</f>
        <v>280</v>
      </c>
      <c r="S635" s="54"/>
      <c r="T635" s="55"/>
      <c r="U635" s="55"/>
      <c r="V635" s="55"/>
      <c r="W635" s="48"/>
      <c r="X635" s="50"/>
      <c r="Y635" s="50"/>
      <c r="Z635" s="48" t="n">
        <f aca="false">IF(A635="","",IF(AND(Parameter!$B$21="Ja",ISNUMBER(W635)),W635,IF(CC635="2+3",IF(ISNUMBER(SEARCH("grosser Artikel",BU635)),2,IFERROR(VLOOKUP(BX635,Parameter!$F$35:$G$64,2,0),2)),IF(OR(CC635="Nein",CC635=""),"-",CC635))))</f>
        <v>3</v>
      </c>
      <c r="AA635" s="55"/>
      <c r="AB635" s="56"/>
      <c r="AC635" s="50" t="n">
        <f aca="false">AV635</f>
        <v>51</v>
      </c>
      <c r="AD635" s="50" t="n">
        <f aca="false">MAX(AV635,H635)</f>
        <v>51</v>
      </c>
      <c r="AE635" s="57"/>
      <c r="AF635" s="50" t="n">
        <f aca="false">IF(LEFT(Cockpit!$C$5,1)="A",H635,IF(Parameter!$E$30="MAX-Bestand",IF(CH635=1,CI635,IF(LEFT(Cockpit!$C$5,1)="B",AL635,MAX(AL635,H635))),ROUNDUP(AJ635,0)))</f>
        <v>29</v>
      </c>
      <c r="AG635" s="50" t="n">
        <f aca="false">IF(BZ635=1,0,ROUNDUP(AF635/BY635,0))</f>
        <v>1</v>
      </c>
      <c r="AH635" s="52" t="n">
        <f aca="false">IF(CQ635&gt;0,CQ635*MAX(1,AF635/X635),IF(BZ635=1,IF(AF635&lt;=0,0,CD635*MAX(1,IF(H635&gt;0,AF635/H635,1))),IF(R635&gt;0,AG635/R635,0))/MAX(0.1,N(Parameter!$M$21)))</f>
        <v>0.00357142857142857</v>
      </c>
      <c r="AI635" s="50" t="n">
        <f aca="false">AH635*CB635</f>
        <v>0.553571428571429</v>
      </c>
      <c r="AJ635" s="51" t="n">
        <f aca="false">IF(LEFT(Cockpit!$C$5,1)="A",H635,IF(CH635=1,(CK635+CI635)/2,IF(LEFT(Cockpit!$C$5,1)="B",(CK635+AL635)/2,MAX((CK635+AL635)/2,H635))))</f>
        <v>29</v>
      </c>
      <c r="AK635" s="50" t="n">
        <f aca="false">AJ635*G635</f>
        <v>1.45</v>
      </c>
      <c r="AL635" s="50" t="n">
        <f aca="false">ROUNDUP(CK635+MAX(CL635,2*(J635/IF(CG635&gt;0,CG635,MAX(0.1,N(Cockpit!$C$6)))-CK635)),0)</f>
        <v>51</v>
      </c>
      <c r="AM635" s="51" t="n">
        <f aca="false">IF(AI635&gt;0,J635/AI635,-1)</f>
        <v>0</v>
      </c>
      <c r="AN635" s="51" t="n">
        <f aca="false">IF(AND(OR(CF635="L1",CF635="L23",CF635="LIFT"),AI635&gt;0),SUMIFS($AI$7:$AI$1843,$CF$7:$CF$1843,CF635,$AM$7:$AM$1843,"&gt;"&amp;AM635)+SUMIFS($AI$7:$AI$1843,$CF$7:$CF$1843,CF635,$AM$7:$AM$1843,AM635,$BW$7:$BW$1843,"&lt;="&amp;BW635),"")</f>
        <v>28575.3238860951</v>
      </c>
      <c r="AO635" s="58" t="n">
        <f aca="false">IF(AN635="",0,MAX(0,MIN(1,(IF(CF635="L1",Parameter!$H$5,IF(CF635="L23",Parameter!$H$6+Parameter!$H$7,Parameter!$H$5+Parameter!$H$6+Parameter!$H$7))-(AN635-AI635))/AI635)))</f>
        <v>1</v>
      </c>
      <c r="AP635" s="50" t="n">
        <f aca="false">IF(LEFT(Cockpit!$I$5,1)="A",H635,IF(Parameter!$E$30="MAX-Bestand",IF(CH635=1,CI635,IF(LEFT(Cockpit!$I$5,1)="B",AV635,MAX(AV635,H635))),ROUNDUP(AT635,0)))</f>
        <v>29</v>
      </c>
      <c r="AQ635" s="50" t="n">
        <f aca="false">IF(BZ635=1,0,ROUNDUP(AP635/BY635,0))</f>
        <v>1</v>
      </c>
      <c r="AR635" s="52" t="n">
        <f aca="false">IF(CQ635&gt;0,CQ635*MAX(1,AP635/X635),IF(BZ635=1,IF(AP635&lt;=0,0,CD635*MAX(1,IF(H635&gt;0,AP635/H635,1))),IF(R635&gt;0,AQ635/R635,0))/MAX(0.1,N(Parameter!$M$21)))</f>
        <v>0.00357142857142857</v>
      </c>
      <c r="AS635" s="50" t="n">
        <f aca="false">AR635*CB635</f>
        <v>0.553571428571429</v>
      </c>
      <c r="AT635" s="51" t="n">
        <f aca="false">IF(LEFT(Cockpit!$I$5,1)="A",H635,IF(CH635=1,(CK635+CI635)/2,IF(LEFT(Cockpit!$I$5,1)="B",(CK635+AV635)/2,MAX((CK635+AV635)/2,H635))))</f>
        <v>29</v>
      </c>
      <c r="AU635" s="50" t="n">
        <f aca="false">AT635*G635</f>
        <v>1.45</v>
      </c>
      <c r="AV635" s="50" t="n">
        <f aca="false">ROUNDUP(CK635+MAX(CL635,2*(J635/IF(CG635&gt;0,CG635,MAX(0.1,N(Cockpit!$I$6)))-CK635)),0)</f>
        <v>51</v>
      </c>
      <c r="AW635" s="51" t="n">
        <f aca="false">IF(AS635&gt;0,J635/AS635,-1)</f>
        <v>0</v>
      </c>
      <c r="AX635" s="51" t="n">
        <f aca="false">IF(AND(OR(CF635="L1",CF635="L23",CF635="LIFT"),AS635&gt;0),SUMIFS($AS$7:$AS$1843,$CF$7:$CF$1843,CF635,$AW$7:$AW$1843,"&gt;"&amp;AW635)+SUMIFS($AS$7:$AS$1843,$CF$7:$CF$1843,CF635,$AW$7:$AW$1843,AW635,$BW$7:$BW$1843,"&lt;="&amp;BW635),"")</f>
        <v>33928.4725274725</v>
      </c>
      <c r="AY635" s="58" t="n">
        <f aca="false">IF(AX635="",0,MAX(0,MIN(1,(IF(CF635="L1",Parameter!$H$5,IF(CF635="L23",Parameter!$H$6+Parameter!$H$7,Parameter!$H$5+Parameter!$H$6+Parameter!$H$7))-(AX635-AS635))/AS635)))</f>
        <v>1</v>
      </c>
      <c r="AZ635" s="50" t="n">
        <f aca="false">IF(LEFT(Cockpit!$O$5,1)="A",H635,IF(Parameter!$E$30="MAX-Bestand",IF(CH635=1,CI635,IF(LEFT(Cockpit!$O$5,1)="B",BF635,MAX(BF635,H635))),ROUNDUP(BD635,0)))</f>
        <v>26</v>
      </c>
      <c r="BA635" s="50" t="n">
        <f aca="false">IF(BZ635=1,0,ROUNDUP(AZ635/BY635,0))</f>
        <v>1</v>
      </c>
      <c r="BB635" s="52" t="n">
        <f aca="false">IF(CQ635&gt;0,CQ635*MAX(1,AZ635/X635),IF(BZ635=1,IF(AZ635&lt;=0,0,CD635*MAX(1,IF(H635&gt;0,AZ635/H635,1))),IF(R635&gt;0,BA635/R635,0))/MAX(0.1,N(Parameter!$M$21)))</f>
        <v>0.00357142857142857</v>
      </c>
      <c r="BC635" s="50" t="n">
        <f aca="false">BB635*CB635</f>
        <v>0.553571428571429</v>
      </c>
      <c r="BD635" s="51" t="n">
        <f aca="false">IF(LEFT(Cockpit!$O$5,1)="A",H635,IF(CH635=1,(CK635+CI635)/2,IF(LEFT(Cockpit!$O$5,1)="B",(CK635+BF635)/2,MAX((CK635+BF635)/2,H635))))</f>
        <v>26</v>
      </c>
      <c r="BE635" s="50" t="n">
        <f aca="false">BD635*G635</f>
        <v>1.3</v>
      </c>
      <c r="BF635" s="50" t="n">
        <f aca="false">ROUNDUP(CK635+MAX(CL635,2*(J635/IF(CG635&gt;0,CG635,MAX(0.1,N(Cockpit!$O$6)))-CK635)),0)</f>
        <v>51</v>
      </c>
      <c r="BG635" s="51" t="n">
        <f aca="false">IF(BC635&gt;0,J635/BC635,-1)</f>
        <v>0</v>
      </c>
      <c r="BH635" s="51" t="n">
        <f aca="false">IF(AND(OR(CF635="L1",CF635="L23",CF635="LIFT"),BC635&gt;0),SUMIFS($BC$7:$BC$1843,$CF$7:$CF$1843,CF635,$BG$7:$BG$1843,"&gt;"&amp;BG635)+SUMIFS($BC$7:$BC$1843,$CF$7:$CF$1843,CF635,$BG$7:$BG$1843,BG635,$BW$7:$BW$1843,"&lt;="&amp;BW635),"")</f>
        <v>27994.8158176569</v>
      </c>
      <c r="BI635" s="58" t="n">
        <f aca="false">IF(BH635="",0,MAX(0,MIN(1,(IF(CF635="L1",Parameter!$H$5,IF(CF635="L23",Parameter!$H$6+Parameter!$H$7,Parameter!$H$5+Parameter!$H$6+Parameter!$H$7))-(BH635-BC635))/BC635)))</f>
        <v>1</v>
      </c>
      <c r="BJ635" s="48" t="str">
        <f aca="false">IF(AI635&lt;=0,"",IF(CF635="Aussen","Aussenlager",IF(CF635="-","Nicht im Lift",IF(AO635&gt;=1,"Lift",IF(AO635&lt;=0,"Aussenlager","teilweise")))))</f>
        <v>Lift</v>
      </c>
      <c r="BK635" s="48" t="str">
        <f aca="false">IF(AS635&lt;=0,"",IF(CF635="Aussen","Aussenlager",IF(CF635="-","Nicht im Lift",IF(AY635&gt;=1,"Lift",IF(AY635&lt;=0,"Aussenlager","teilweise")))))</f>
        <v>Lift</v>
      </c>
      <c r="BL635" s="48" t="str">
        <f aca="false">IF(BC635&lt;=0,"",IF(CF635="Aussen","Aussenlager",IF(CF635="-","Nicht im Lift",IF(BI635&gt;=1,"Lift",IF(BI635&lt;=0,"Aussenlager","teilweise")))))</f>
        <v>Lift</v>
      </c>
      <c r="BM635" s="48" t="str">
        <f aca="false">IF(A635="","",IF(BV635=1,"Neu; ","")&amp;IF(AND(BV635=0,BQ635&lt;0),"negativer Bestand (Export "&amp;BQ635&amp;"); ","")&amp;IF(J635&lt;=0,"Kein Verbrauch; ","")&amp;IF(CQ635&gt;0,"Lift "&amp;W635&amp;" lt. Liftbericht (Fach "&amp;X635&amp;" Stk); ",IF(CA635=1,"Gebinde geschätzt ("&amp;T635&amp;"); ",IF(BZ635=1,"Lose – Tablare geschätzt; ","")))&amp;IF(H635&gt;AV635,"Überbestand "&amp;ROUND(H635-AV635,0)&amp;" Stk / CHF "&amp;ROUND((H635-AV635)*G635,0)&amp;"; ","")&amp;IF(AND(CH635=1,CI635&lt;CJ635),"MAX &lt; MB+LG; ","")&amp;IF(AND(CP635&gt;0,CO635*10&gt;CP635),"zu hoch für Tablar; ","")&amp;IF(AND(BV635=0,OR(CH635=1,AA635&lt;&gt;"",U635&lt;&gt;"",V635&lt;&gt;"",AB635&lt;&gt;"")),"manuell übersteuert; ","")&amp;IF(AND(BZ635=0,R635=0),"Gebinde unbekannt / Stellmass fehlt; ","")&amp;IF(AND(BZ635=0,N(V635)&lt;=0,N(Q635)&lt;=0),"Menge pro Gebinde fehlt (Ist = 1 Gebinde); ","")&amp;BU635)</f>
        <v>Kein Verbrauch; </v>
      </c>
      <c r="BN635" s="48"/>
      <c r="BO635" s="48"/>
      <c r="BP635" s="55"/>
      <c r="BQ635" s="50" t="n">
        <v>24</v>
      </c>
      <c r="BR635" s="50" t="n">
        <v>5</v>
      </c>
      <c r="BS635" s="49" t="n">
        <v>1.2</v>
      </c>
      <c r="BT635" s="50" t="n">
        <v>0</v>
      </c>
      <c r="BU635" s="48"/>
      <c r="BV635" s="53" t="n">
        <v>0</v>
      </c>
      <c r="BW635" s="53" t="n">
        <v>635</v>
      </c>
      <c r="BX635" s="48" t="str">
        <f aca="false">IF(U635&lt;&gt;"",UPPER(TRIM(U635)),IF(CA635=1,UPPER(VLOOKUP(T635,Parameter!$I$27:$K$29,2,0)),IF(P635="","LOSE",P635)))</f>
        <v>S21</v>
      </c>
      <c r="BY635" s="50" t="n">
        <f aca="false">IF(BX635="LOSE",1,IF(N(V635)&gt;0,V635,IF(CA635=1,MAX(1,N(VLOOKUP(T635,Parameter!$I$27:$K$29,3,0)),H635,N(N635)),IF(N(Q635)&gt;0,Q635,MAX(1,H635)))))</f>
        <v>38</v>
      </c>
      <c r="BZ635" s="53" t="n">
        <f aca="false">IF(BX635="LOSE",1,0)</f>
        <v>0</v>
      </c>
      <c r="CA635" s="53" t="n">
        <f aca="false">IF(AND(U635="",OR(P635="",P635="LOSE"),T635&lt;&gt;"",N(S635)&lt;=0,ISNUMBER(MATCH(T635,Parameter!$I$27:$I$29,0))),1,0)</f>
        <v>0</v>
      </c>
      <c r="CB635" s="53" t="n">
        <f aca="false">IF(CQ635&gt;0,INDEX(Parameter!$H$5:$H$7,W635)/INDEX(Parameter!$E$5:$E$7,W635),IF(AND(BZ635=0,N(IFERROR(VLOOKUP(BX635,'Gebinde-Kategorie'!$A$5:$N$45,14,0),0))&gt;0),VLOOKUP(BX635,'Gebinde-Kategorie'!$A$5:$N$45,14,0)*10+Parameter!$M$23,Parameter!$M$24))</f>
        <v>155</v>
      </c>
      <c r="CC635" s="48" t="str">
        <f aca="false">IF(AND(Parameter!$B$19="Ja",E635&lt;&gt;"",ISNUMBER(MATCH(E635,Parameter!$I$35:$I$52,0))),VLOOKUP(E635,Parameter!$I$35:$J$52,2,0),IFERROR(VLOOKUP(D635,Parameter!$A$35:$C$64,2,0),"Nein"))</f>
        <v>2+3</v>
      </c>
      <c r="CD635" s="52" t="n">
        <f aca="false">IF(BZ635=0,0,IF(N(S635)&gt;0,S635,IFERROR(VLOOKUP(D635,Parameter!$A$35:$C$64,3,0)+0,0)))</f>
        <v>0</v>
      </c>
      <c r="CE635" s="48" t="n">
        <f aca="false">IF(AA635&lt;&gt;"",AA635,Z635)</f>
        <v>3</v>
      </c>
      <c r="CF635" s="48" t="str">
        <f aca="false">IF(OR(CE635=1,CE635=2,CE635=3),IF(Parameter!$E$27="Ja","LIFT",IF(CE635=1,"L1","L23")),IF(CE635="Aussen","Aussen","-"))</f>
        <v>LIFT</v>
      </c>
      <c r="CG635" s="59" t="n">
        <f aca="false">IF(N(AB635)&gt;0,AB635,0)</f>
        <v>0</v>
      </c>
      <c r="CH635" s="53" t="n">
        <f aca="false">IF(ISNUMBER(AE635),1,0)</f>
        <v>0</v>
      </c>
      <c r="CI635" s="50" t="n">
        <f aca="false">N(AE635)</f>
        <v>0</v>
      </c>
      <c r="CJ635" s="50" t="n">
        <f aca="false">N(M635)+N(N635)</f>
        <v>51</v>
      </c>
      <c r="CK635" s="50" t="n">
        <f aca="false">N(M635)</f>
        <v>1</v>
      </c>
      <c r="CL635" s="50" t="n">
        <f aca="false">N(N635)</f>
        <v>50</v>
      </c>
      <c r="CM635" s="50" t="n">
        <f aca="false">ROUNDUP(H635/BY635,0)</f>
        <v>1</v>
      </c>
      <c r="CN635" s="50" t="n">
        <f aca="false">ROUNDUP(CI635/BY635,0)</f>
        <v>0</v>
      </c>
      <c r="CO635" s="53" t="n">
        <f aca="false">IF(BZ635=1,0,IFERROR(VLOOKUP(BX635,'Gebinde-Kategorie'!$A$5:$N$45,5,0)+0,0))</f>
        <v>8</v>
      </c>
      <c r="CP635" s="53" t="n">
        <f aca="false">IFERROR(IF(OR(CE635=1,CE635=2,CE635=3),N(INDEX(Parameter!$I$5:$I$7,CE635)),0),0)</f>
        <v>0</v>
      </c>
      <c r="CQ635" s="52" t="n">
        <f aca="false">IF(AND(Parameter!$B$21="Ja",ISNUMBER(W635),N(X635)&gt;0),IFERROR(N(INDEX(Parameter!$L$5:$L$7,W635))*INDEX(Parameter!$E$5:$E$7,W635)*X635/SUMIFS($X$7:$X$1843,$W$7:$W$1843,W635),0),0)</f>
        <v>0</v>
      </c>
    </row>
    <row r="636" customFormat="false" ht="15" hidden="false" customHeight="false" outlineLevel="0" collapsed="false">
      <c r="A636" s="48" t="s">
        <v>1306</v>
      </c>
      <c r="B636" s="48" t="s">
        <v>414</v>
      </c>
      <c r="C636" s="48" t="s">
        <v>173</v>
      </c>
      <c r="D636" s="48" t="s">
        <v>193</v>
      </c>
      <c r="E636" s="48" t="s">
        <v>194</v>
      </c>
      <c r="F636" s="48" t="s">
        <v>227</v>
      </c>
      <c r="G636" s="49" t="n">
        <v>0.12</v>
      </c>
      <c r="H636" s="50" t="n">
        <f aca="false">MAX(0,IF(AND(Parameter!$B$21="Ja",ISNUMBER(Y636)),Y636,IF(Parameter!$B$20="Jahresanfang 2025 + Export",BR636+BQ636,BQ636)))</f>
        <v>739</v>
      </c>
      <c r="I636" s="50" t="n">
        <f aca="false">H636*G636</f>
        <v>88.68</v>
      </c>
      <c r="J636" s="50" t="n">
        <f aca="false">BT636*Parameter!$B$18</f>
        <v>1971</v>
      </c>
      <c r="K636" s="51" t="n">
        <v>593.5</v>
      </c>
      <c r="L636" s="52" t="n">
        <v>3.32097725358046</v>
      </c>
      <c r="M636" s="50" t="n">
        <v>114</v>
      </c>
      <c r="N636" s="50" t="n">
        <v>500</v>
      </c>
      <c r="O636" s="53" t="n">
        <v>21</v>
      </c>
      <c r="P636" s="48" t="s">
        <v>242</v>
      </c>
      <c r="Q636" s="50" t="n">
        <v>976</v>
      </c>
      <c r="R636" s="53" t="n">
        <f aca="false">IF(BZ636=1,0,IFERROR(VLOOKUP(BX636,'Gebinde-Kategorie'!$A$5:$N$45,13,0)+0,0))</f>
        <v>26</v>
      </c>
      <c r="S636" s="54"/>
      <c r="T636" s="55"/>
      <c r="U636" s="55"/>
      <c r="V636" s="55"/>
      <c r="W636" s="48"/>
      <c r="X636" s="50"/>
      <c r="Y636" s="50"/>
      <c r="Z636" s="48" t="n">
        <f aca="false">IF(A636="","",IF(AND(Parameter!$B$21="Ja",ISNUMBER(W636)),W636,IF(CC636="2+3",IF(ISNUMBER(SEARCH("grosser Artikel",BU636)),2,IFERROR(VLOOKUP(BX636,Parameter!$F$35:$G$64,2,0),2)),IF(OR(CC636="Nein",CC636=""),"-",CC636))))</f>
        <v>3</v>
      </c>
      <c r="AA636" s="55"/>
      <c r="AB636" s="56"/>
      <c r="AC636" s="50" t="n">
        <f aca="false">AV636</f>
        <v>1200</v>
      </c>
      <c r="AD636" s="50" t="n">
        <f aca="false">MAX(AV636,H636)</f>
        <v>1200</v>
      </c>
      <c r="AE636" s="57"/>
      <c r="AF636" s="50" t="n">
        <f aca="false">IF(LEFT(Cockpit!$C$5,1)="A",H636,IF(Parameter!$E$30="MAX-Bestand",IF(CH636=1,CI636,IF(LEFT(Cockpit!$C$5,1)="B",AL636,MAX(AL636,H636))),ROUNDUP(AJ636,0)))</f>
        <v>739</v>
      </c>
      <c r="AG636" s="50" t="n">
        <f aca="false">IF(BZ636=1,0,ROUNDUP(AF636/BY636,0))</f>
        <v>1</v>
      </c>
      <c r="AH636" s="52" t="n">
        <f aca="false">IF(CQ636&gt;0,CQ636*MAX(1,AF636/X636),IF(BZ636=1,IF(AF636&lt;=0,0,CD636*MAX(1,IF(H636&gt;0,AF636/H636,1))),IF(R636&gt;0,AG636/R636,0))/MAX(0.1,N(Parameter!$M$21)))</f>
        <v>0.0384615384615385</v>
      </c>
      <c r="AI636" s="50" t="n">
        <f aca="false">AH636*CB636</f>
        <v>9.42307692307692</v>
      </c>
      <c r="AJ636" s="51" t="n">
        <f aca="false">IF(LEFT(Cockpit!$C$5,1)="A",H636,IF(CH636=1,(CK636+CI636)/2,IF(LEFT(Cockpit!$C$5,1)="B",(CK636+AL636)/2,MAX((CK636+AL636)/2,H636))))</f>
        <v>739</v>
      </c>
      <c r="AK636" s="50" t="n">
        <f aca="false">AJ636*G636</f>
        <v>88.68</v>
      </c>
      <c r="AL636" s="50" t="n">
        <f aca="false">ROUNDUP(CK636+MAX(CL636,2*(J636/IF(CG636&gt;0,CG636,MAX(0.1,N(Cockpit!$C$6)))-CK636)),0)</f>
        <v>1200</v>
      </c>
      <c r="AM636" s="51" t="n">
        <f aca="false">IF(AI636&gt;0,J636/AI636,-1)</f>
        <v>209.167346938776</v>
      </c>
      <c r="AN636" s="51" t="n">
        <f aca="false">IF(AND(OR(CF636="L1",CF636="L23",CF636="LIFT"),AI636&gt;0),SUMIFS($AI$7:$AI$1843,$CF$7:$CF$1843,CF636,$AM$7:$AM$1843,"&gt;"&amp;AM636)+SUMIFS($AI$7:$AI$1843,$CF$7:$CF$1843,CF636,$AM$7:$AM$1843,AM636,$BW$7:$BW$1843,"&lt;="&amp;BW636),"")</f>
        <v>338.397435897436</v>
      </c>
      <c r="AO636" s="58" t="n">
        <f aca="false">IF(AN636="",0,MAX(0,MIN(1,(IF(CF636="L1",Parameter!$H$5,IF(CF636="L23",Parameter!$H$6+Parameter!$H$7,Parameter!$H$5+Parameter!$H$6+Parameter!$H$7))-(AN636-AI636))/AI636)))</f>
        <v>1</v>
      </c>
      <c r="AP636" s="50" t="n">
        <f aca="false">IF(LEFT(Cockpit!$I$5,1)="A",H636,IF(Parameter!$E$30="MAX-Bestand",IF(CH636=1,CI636,IF(LEFT(Cockpit!$I$5,1)="B",AV636,MAX(AV636,H636))),ROUNDUP(AT636,0)))</f>
        <v>739</v>
      </c>
      <c r="AQ636" s="50" t="n">
        <f aca="false">IF(BZ636=1,0,ROUNDUP(AP636/BY636,0))</f>
        <v>1</v>
      </c>
      <c r="AR636" s="52" t="n">
        <f aca="false">IF(CQ636&gt;0,CQ636*MAX(1,AP636/X636),IF(BZ636=1,IF(AP636&lt;=0,0,CD636*MAX(1,IF(H636&gt;0,AP636/H636,1))),IF(R636&gt;0,AQ636/R636,0))/MAX(0.1,N(Parameter!$M$21)))</f>
        <v>0.0384615384615385</v>
      </c>
      <c r="AS636" s="50" t="n">
        <f aca="false">AR636*CB636</f>
        <v>9.42307692307692</v>
      </c>
      <c r="AT636" s="51" t="n">
        <f aca="false">IF(LEFT(Cockpit!$I$5,1)="A",H636,IF(CH636=1,(CK636+CI636)/2,IF(LEFT(Cockpit!$I$5,1)="B",(CK636+AV636)/2,MAX((CK636+AV636)/2,H636))))</f>
        <v>739</v>
      </c>
      <c r="AU636" s="50" t="n">
        <f aca="false">AT636*G636</f>
        <v>88.68</v>
      </c>
      <c r="AV636" s="50" t="n">
        <f aca="false">ROUNDUP(CK636+MAX(CL636,2*(J636/IF(CG636&gt;0,CG636,MAX(0.1,N(Cockpit!$I$6)))-CK636)),0)</f>
        <v>1200</v>
      </c>
      <c r="AW636" s="51" t="n">
        <f aca="false">IF(AS636&gt;0,J636/AS636,-1)</f>
        <v>209.167346938776</v>
      </c>
      <c r="AX636" s="51" t="n">
        <f aca="false">IF(AND(OR(CF636="L1",CF636="L23",CF636="LIFT"),AS636&gt;0),SUMIFS($AS$7:$AS$1843,$CF$7:$CF$1843,CF636,$AW$7:$AW$1843,"&gt;"&amp;AW636)+SUMIFS($AS$7:$AS$1843,$CF$7:$CF$1843,CF636,$AW$7:$AW$1843,AW636,$BW$7:$BW$1843,"&lt;="&amp;BW636),"")</f>
        <v>447.572802197802</v>
      </c>
      <c r="AY636" s="58" t="n">
        <f aca="false">IF(AX636="",0,MAX(0,MIN(1,(IF(CF636="L1",Parameter!$H$5,IF(CF636="L23",Parameter!$H$6+Parameter!$H$7,Parameter!$H$5+Parameter!$H$6+Parameter!$H$7))-(AX636-AS636))/AS636)))</f>
        <v>1</v>
      </c>
      <c r="AZ636" s="50" t="n">
        <f aca="false">IF(LEFT(Cockpit!$O$5,1)="A",H636,IF(Parameter!$E$30="MAX-Bestand",IF(CH636=1,CI636,IF(LEFT(Cockpit!$O$5,1)="B",BF636,MAX(BF636,H636))),ROUNDUP(BD636,0)))</f>
        <v>493</v>
      </c>
      <c r="BA636" s="50" t="n">
        <f aca="false">IF(BZ636=1,0,ROUNDUP(AZ636/BY636,0))</f>
        <v>1</v>
      </c>
      <c r="BB636" s="52" t="n">
        <f aca="false">IF(CQ636&gt;0,CQ636*MAX(1,AZ636/X636),IF(BZ636=1,IF(AZ636&lt;=0,0,CD636*MAX(1,IF(H636&gt;0,AZ636/H636,1))),IF(R636&gt;0,BA636/R636,0))/MAX(0.1,N(Parameter!$M$21)))</f>
        <v>0.0384615384615385</v>
      </c>
      <c r="BC636" s="50" t="n">
        <f aca="false">BB636*CB636</f>
        <v>9.42307692307692</v>
      </c>
      <c r="BD636" s="51" t="n">
        <f aca="false">IF(LEFT(Cockpit!$O$5,1)="A",H636,IF(CH636=1,(CK636+CI636)/2,IF(LEFT(Cockpit!$O$5,1)="B",(CK636+BF636)/2,MAX((CK636+BF636)/2,H636))))</f>
        <v>493</v>
      </c>
      <c r="BE636" s="50" t="n">
        <f aca="false">BD636*G636</f>
        <v>59.16</v>
      </c>
      <c r="BF636" s="50" t="n">
        <f aca="false">ROUNDUP(CK636+MAX(CL636,2*(J636/IF(CG636&gt;0,CG636,MAX(0.1,N(Cockpit!$O$6)))-CK636)),0)</f>
        <v>872</v>
      </c>
      <c r="BG636" s="51" t="n">
        <f aca="false">IF(BC636&gt;0,J636/BC636,-1)</f>
        <v>209.167346938776</v>
      </c>
      <c r="BH636" s="51" t="n">
        <f aca="false">IF(AND(OR(CF636="L1",CF636="L23",CF636="LIFT"),BC636&gt;0),SUMIFS($BC$7:$BC$1843,$CF$7:$CF$1843,CF636,$BG$7:$BG$1843,"&gt;"&amp;BG636)+SUMIFS($BC$7:$BC$1843,$CF$7:$CF$1843,CF636,$BG$7:$BG$1843,BG636,$BW$7:$BW$1843,"&lt;="&amp;BW636),"")</f>
        <v>423.48489010989</v>
      </c>
      <c r="BI636" s="58" t="n">
        <f aca="false">IF(BH636="",0,MAX(0,MIN(1,(IF(CF636="L1",Parameter!$H$5,IF(CF636="L23",Parameter!$H$6+Parameter!$H$7,Parameter!$H$5+Parameter!$H$6+Parameter!$H$7))-(BH636-BC636))/BC636)))</f>
        <v>1</v>
      </c>
      <c r="BJ636" s="48" t="str">
        <f aca="false">IF(AI636&lt;=0,"",IF(CF636="Aussen","Aussenlager",IF(CF636="-","Nicht im Lift",IF(AO636&gt;=1,"Lift",IF(AO636&lt;=0,"Aussenlager","teilweise")))))</f>
        <v>Lift</v>
      </c>
      <c r="BK636" s="48" t="str">
        <f aca="false">IF(AS636&lt;=0,"",IF(CF636="Aussen","Aussenlager",IF(CF636="-","Nicht im Lift",IF(AY636&gt;=1,"Lift",IF(AY636&lt;=0,"Aussenlager","teilweise")))))</f>
        <v>Lift</v>
      </c>
      <c r="BL636" s="48" t="str">
        <f aca="false">IF(BC636&lt;=0,"",IF(CF636="Aussen","Aussenlager",IF(CF636="-","Nicht im Lift",IF(BI636&gt;=1,"Lift",IF(BI636&lt;=0,"Aussenlager","teilweise")))))</f>
        <v>Lift</v>
      </c>
      <c r="BM636" s="48" t="str">
        <f aca="false">IF(A636="","",IF(BV636=1,"Neu; ","")&amp;IF(AND(BV636=0,BQ636&lt;0),"negativer Bestand (Export "&amp;BQ636&amp;"); ","")&amp;IF(J636&lt;=0,"Kein Verbrauch; ","")&amp;IF(CQ636&gt;0,"Lift "&amp;W636&amp;" lt. Liftbericht (Fach "&amp;X636&amp;" Stk); ",IF(CA636=1,"Gebinde geschätzt ("&amp;T636&amp;"); ",IF(BZ636=1,"Lose – Tablare geschätzt; ","")))&amp;IF(H636&gt;AV636,"Überbestand "&amp;ROUND(H636-AV636,0)&amp;" Stk / CHF "&amp;ROUND((H636-AV636)*G636,0)&amp;"; ","")&amp;IF(AND(CH636=1,CI636&lt;CJ636),"MAX &lt; MB+LG; ","")&amp;IF(AND(CP636&gt;0,CO636*10&gt;CP636),"zu hoch für Tablar; ","")&amp;IF(AND(BV636=0,OR(CH636=1,AA636&lt;&gt;"",U636&lt;&gt;"",V636&lt;&gt;"",AB636&lt;&gt;"")),"manuell übersteuert; ","")&amp;IF(AND(BZ636=0,R636=0),"Gebinde unbekannt / Stellmass fehlt; ","")&amp;IF(AND(BZ636=0,N(V636)&lt;=0,N(Q636)&lt;=0),"Menge pro Gebinde fehlt (Ist = 1 Gebinde); ","")&amp;BU636)</f>
        <v/>
      </c>
      <c r="BN636" s="48"/>
      <c r="BO636" s="48"/>
      <c r="BP636" s="55"/>
      <c r="BQ636" s="50" t="n">
        <v>9</v>
      </c>
      <c r="BR636" s="50" t="n">
        <v>730</v>
      </c>
      <c r="BS636" s="49" t="n">
        <v>1.07999999999998</v>
      </c>
      <c r="BT636" s="50" t="n">
        <v>1971</v>
      </c>
      <c r="BU636" s="48"/>
      <c r="BV636" s="53" t="n">
        <v>0</v>
      </c>
      <c r="BW636" s="53" t="n">
        <v>636</v>
      </c>
      <c r="BX636" s="48" t="str">
        <f aca="false">IF(U636&lt;&gt;"",UPPER(TRIM(U636)),IF(CA636=1,UPPER(VLOOKUP(T636,Parameter!$I$27:$K$29,2,0)),IF(P636="","LOSE",P636)))</f>
        <v>S52</v>
      </c>
      <c r="BY636" s="50" t="n">
        <f aca="false">IF(BX636="LOSE",1,IF(N(V636)&gt;0,V636,IF(CA636=1,MAX(1,N(VLOOKUP(T636,Parameter!$I$27:$K$29,3,0)),H636,N(N636)),IF(N(Q636)&gt;0,Q636,MAX(1,H636)))))</f>
        <v>976</v>
      </c>
      <c r="BZ636" s="53" t="n">
        <f aca="false">IF(BX636="LOSE",1,0)</f>
        <v>0</v>
      </c>
      <c r="CA636" s="53" t="n">
        <f aca="false">IF(AND(U636="",OR(P636="",P636="LOSE"),T636&lt;&gt;"",N(S636)&lt;=0,ISNUMBER(MATCH(T636,Parameter!$I$27:$I$29,0))),1,0)</f>
        <v>0</v>
      </c>
      <c r="CB636" s="53" t="n">
        <f aca="false">IF(CQ636&gt;0,INDEX(Parameter!$H$5:$H$7,W636)/INDEX(Parameter!$E$5:$E$7,W636),IF(AND(BZ636=0,N(IFERROR(VLOOKUP(BX636,'Gebinde-Kategorie'!$A$5:$N$45,14,0),0))&gt;0),VLOOKUP(BX636,'Gebinde-Kategorie'!$A$5:$N$45,14,0)*10+Parameter!$M$23,Parameter!$M$24))</f>
        <v>245</v>
      </c>
      <c r="CC636" s="48" t="str">
        <f aca="false">IF(AND(Parameter!$B$19="Ja",E636&lt;&gt;"",ISNUMBER(MATCH(E636,Parameter!$I$35:$I$52,0))),VLOOKUP(E636,Parameter!$I$35:$J$52,2,0),IFERROR(VLOOKUP(D636,Parameter!$A$35:$C$64,2,0),"Nein"))</f>
        <v>2+3</v>
      </c>
      <c r="CD636" s="52" t="n">
        <f aca="false">IF(BZ636=0,0,IF(N(S636)&gt;0,S636,IFERROR(VLOOKUP(D636,Parameter!$A$35:$C$64,3,0)+0,0)))</f>
        <v>0</v>
      </c>
      <c r="CE636" s="48" t="n">
        <f aca="false">IF(AA636&lt;&gt;"",AA636,Z636)</f>
        <v>3</v>
      </c>
      <c r="CF636" s="48" t="str">
        <f aca="false">IF(OR(CE636=1,CE636=2,CE636=3),IF(Parameter!$E$27="Ja","LIFT",IF(CE636=1,"L1","L23")),IF(CE636="Aussen","Aussen","-"))</f>
        <v>LIFT</v>
      </c>
      <c r="CG636" s="59" t="n">
        <f aca="false">IF(N(AB636)&gt;0,AB636,0)</f>
        <v>0</v>
      </c>
      <c r="CH636" s="53" t="n">
        <f aca="false">IF(ISNUMBER(AE636),1,0)</f>
        <v>0</v>
      </c>
      <c r="CI636" s="50" t="n">
        <f aca="false">N(AE636)</f>
        <v>0</v>
      </c>
      <c r="CJ636" s="50" t="n">
        <f aca="false">N(M636)+N(N636)</f>
        <v>614</v>
      </c>
      <c r="CK636" s="50" t="n">
        <f aca="false">N(M636)</f>
        <v>114</v>
      </c>
      <c r="CL636" s="50" t="n">
        <f aca="false">N(N636)</f>
        <v>500</v>
      </c>
      <c r="CM636" s="50" t="n">
        <f aca="false">ROUNDUP(H636/BY636,0)</f>
        <v>1</v>
      </c>
      <c r="CN636" s="50" t="n">
        <f aca="false">ROUNDUP(CI636/BY636,0)</f>
        <v>0</v>
      </c>
      <c r="CO636" s="53" t="n">
        <f aca="false">IF(BZ636=1,0,IFERROR(VLOOKUP(BX636,'Gebinde-Kategorie'!$A$5:$N$45,5,0)+0,0))</f>
        <v>21</v>
      </c>
      <c r="CP636" s="53" t="n">
        <f aca="false">IFERROR(IF(OR(CE636=1,CE636=2,CE636=3),N(INDEX(Parameter!$I$5:$I$7,CE636)),0),0)</f>
        <v>0</v>
      </c>
      <c r="CQ636" s="52" t="n">
        <f aca="false">IF(AND(Parameter!$B$21="Ja",ISNUMBER(W636),N(X636)&gt;0),IFERROR(N(INDEX(Parameter!$L$5:$L$7,W636))*INDEX(Parameter!$E$5:$E$7,W636)*X636/SUMIFS($X$7:$X$1843,$W$7:$W$1843,W636),0),0)</f>
        <v>0</v>
      </c>
    </row>
    <row r="637" customFormat="false" ht="15" hidden="false" customHeight="false" outlineLevel="0" collapsed="false">
      <c r="A637" s="48" t="s">
        <v>1307</v>
      </c>
      <c r="B637" s="48" t="s">
        <v>1308</v>
      </c>
      <c r="C637" s="48" t="s">
        <v>173</v>
      </c>
      <c r="D637" s="48" t="s">
        <v>182</v>
      </c>
      <c r="E637" s="48"/>
      <c r="F637" s="48" t="s">
        <v>227</v>
      </c>
      <c r="G637" s="49" t="n">
        <v>0.01</v>
      </c>
      <c r="H637" s="50" t="n">
        <f aca="false">MAX(0,IF(AND(Parameter!$B$21="Ja",ISNUMBER(Y637)),Y637,IF(Parameter!$B$20="Jahresanfang 2025 + Export",BR637+BQ637,BQ637)))</f>
        <v>59</v>
      </c>
      <c r="I637" s="50" t="n">
        <f aca="false">H637*G637</f>
        <v>0.59</v>
      </c>
      <c r="J637" s="50" t="n">
        <f aca="false">BT637*Parameter!$B$18</f>
        <v>0</v>
      </c>
      <c r="K637" s="51" t="n">
        <v>0</v>
      </c>
      <c r="L637" s="52" t="n">
        <v>0</v>
      </c>
      <c r="M637" s="50" t="n">
        <v>0</v>
      </c>
      <c r="N637" s="50" t="n">
        <v>1</v>
      </c>
      <c r="O637" s="53" t="n">
        <v>14</v>
      </c>
      <c r="P637" s="48" t="s">
        <v>177</v>
      </c>
      <c r="Q637" s="50"/>
      <c r="R637" s="53" t="n">
        <f aca="false">IF(BZ637=1,0,IFERROR(VLOOKUP(BX637,'Gebinde-Kategorie'!$A$5:$N$45,13,0)+0,0))</f>
        <v>26</v>
      </c>
      <c r="S637" s="54"/>
      <c r="T637" s="55" t="s">
        <v>284</v>
      </c>
      <c r="U637" s="55"/>
      <c r="V637" s="55"/>
      <c r="W637" s="48"/>
      <c r="X637" s="50"/>
      <c r="Y637" s="50"/>
      <c r="Z637" s="48" t="n">
        <f aca="false">IF(A637="","",IF(AND(Parameter!$B$21="Ja",ISNUMBER(W637)),W637,IF(CC637="2+3",IF(ISNUMBER(SEARCH("grosser Artikel",BU637)),2,IFERROR(VLOOKUP(BX637,Parameter!$F$35:$G$64,2,0),2)),IF(OR(CC637="Nein",CC637=""),"-",CC637))))</f>
        <v>3</v>
      </c>
      <c r="AA637" s="55"/>
      <c r="AB637" s="56"/>
      <c r="AC637" s="50" t="n">
        <f aca="false">AV637</f>
        <v>1</v>
      </c>
      <c r="AD637" s="50" t="n">
        <f aca="false">MAX(AV637,H637)</f>
        <v>59</v>
      </c>
      <c r="AE637" s="57"/>
      <c r="AF637" s="50" t="n">
        <f aca="false">IF(LEFT(Cockpit!$C$5,1)="A",H637,IF(Parameter!$E$30="MAX-Bestand",IF(CH637=1,CI637,IF(LEFT(Cockpit!$C$5,1)="B",AL637,MAX(AL637,H637))),ROUNDUP(AJ637,0)))</f>
        <v>59</v>
      </c>
      <c r="AG637" s="50" t="n">
        <f aca="false">IF(BZ637=1,0,ROUNDUP(AF637/BY637,0))</f>
        <v>1</v>
      </c>
      <c r="AH637" s="52" t="n">
        <f aca="false">IF(CQ637&gt;0,CQ637*MAX(1,AF637/X637),IF(BZ637=1,IF(AF637&lt;=0,0,CD637*MAX(1,IF(H637&gt;0,AF637/H637,1))),IF(R637&gt;0,AG637/R637,0))/MAX(0.1,N(Parameter!$M$21)))</f>
        <v>0.0384615384615385</v>
      </c>
      <c r="AI637" s="50" t="n">
        <f aca="false">AH637*CB637</f>
        <v>5.96153846153846</v>
      </c>
      <c r="AJ637" s="51" t="n">
        <f aca="false">IF(LEFT(Cockpit!$C$5,1)="A",H637,IF(CH637=1,(CK637+CI637)/2,IF(LEFT(Cockpit!$C$5,1)="B",(CK637+AL637)/2,MAX((CK637+AL637)/2,H637))))</f>
        <v>59</v>
      </c>
      <c r="AK637" s="50" t="n">
        <f aca="false">AJ637*G637</f>
        <v>0.59</v>
      </c>
      <c r="AL637" s="50" t="n">
        <f aca="false">ROUNDUP(CK637+MAX(CL637,2*(J637/IF(CG637&gt;0,CG637,MAX(0.1,N(Cockpit!$C$6)))-CK637)),0)</f>
        <v>1</v>
      </c>
      <c r="AM637" s="51" t="n">
        <f aca="false">IF(AI637&gt;0,J637/AI637,-1)</f>
        <v>0</v>
      </c>
      <c r="AN637" s="51" t="n">
        <f aca="false">IF(AND(OR(CF637="L1",CF637="L23",CF637="LIFT"),AI637&gt;0),SUMIFS($AI$7:$AI$1843,$CF$7:$CF$1843,CF637,$AM$7:$AM$1843,"&gt;"&amp;AM637)+SUMIFS($AI$7:$AI$1843,$CF$7:$CF$1843,CF637,$AM$7:$AM$1843,AM637,$BW$7:$BW$1843,"&lt;="&amp;BW637),"")</f>
        <v>28581.2854245566</v>
      </c>
      <c r="AO637" s="58" t="n">
        <f aca="false">IF(AN637="",0,MAX(0,MIN(1,(IF(CF637="L1",Parameter!$H$5,IF(CF637="L23",Parameter!$H$6+Parameter!$H$7,Parameter!$H$5+Parameter!$H$6+Parameter!$H$7))-(AN637-AI637))/AI637)))</f>
        <v>1</v>
      </c>
      <c r="AP637" s="50" t="n">
        <f aca="false">IF(LEFT(Cockpit!$I$5,1)="A",H637,IF(Parameter!$E$30="MAX-Bestand",IF(CH637=1,CI637,IF(LEFT(Cockpit!$I$5,1)="B",AV637,MAX(AV637,H637))),ROUNDUP(AT637,0)))</f>
        <v>59</v>
      </c>
      <c r="AQ637" s="50" t="n">
        <f aca="false">IF(BZ637=1,0,ROUNDUP(AP637/BY637,0))</f>
        <v>1</v>
      </c>
      <c r="AR637" s="52" t="n">
        <f aca="false">IF(CQ637&gt;0,CQ637*MAX(1,AP637/X637),IF(BZ637=1,IF(AP637&lt;=0,0,CD637*MAX(1,IF(H637&gt;0,AP637/H637,1))),IF(R637&gt;0,AQ637/R637,0))/MAX(0.1,N(Parameter!$M$21)))</f>
        <v>0.0384615384615385</v>
      </c>
      <c r="AS637" s="50" t="n">
        <f aca="false">AR637*CB637</f>
        <v>5.96153846153846</v>
      </c>
      <c r="AT637" s="51" t="n">
        <f aca="false">IF(LEFT(Cockpit!$I$5,1)="A",H637,IF(CH637=1,(CK637+CI637)/2,IF(LEFT(Cockpit!$I$5,1)="B",(CK637+AV637)/2,MAX((CK637+AV637)/2,H637))))</f>
        <v>59</v>
      </c>
      <c r="AU637" s="50" t="n">
        <f aca="false">AT637*G637</f>
        <v>0.59</v>
      </c>
      <c r="AV637" s="50" t="n">
        <f aca="false">ROUNDUP(CK637+MAX(CL637,2*(J637/IF(CG637&gt;0,CG637,MAX(0.1,N(Cockpit!$I$6)))-CK637)),0)</f>
        <v>1</v>
      </c>
      <c r="AW637" s="51" t="n">
        <f aca="false">IF(AS637&gt;0,J637/AS637,-1)</f>
        <v>0</v>
      </c>
      <c r="AX637" s="51" t="n">
        <f aca="false">IF(AND(OR(CF637="L1",CF637="L23",CF637="LIFT"),AS637&gt;0),SUMIFS($AS$7:$AS$1843,$CF$7:$CF$1843,CF637,$AW$7:$AW$1843,"&gt;"&amp;AW637)+SUMIFS($AS$7:$AS$1843,$CF$7:$CF$1843,CF637,$AW$7:$AW$1843,AW637,$BW$7:$BW$1843,"&lt;="&amp;BW637),"")</f>
        <v>33934.4340659341</v>
      </c>
      <c r="AY637" s="58" t="n">
        <f aca="false">IF(AX637="",0,MAX(0,MIN(1,(IF(CF637="L1",Parameter!$H$5,IF(CF637="L23",Parameter!$H$6+Parameter!$H$7,Parameter!$H$5+Parameter!$H$6+Parameter!$H$7))-(AX637-AS637))/AS637)))</f>
        <v>1</v>
      </c>
      <c r="AZ637" s="50" t="n">
        <f aca="false">IF(LEFT(Cockpit!$O$5,1)="A",H637,IF(Parameter!$E$30="MAX-Bestand",IF(CH637=1,CI637,IF(LEFT(Cockpit!$O$5,1)="B",BF637,MAX(BF637,H637))),ROUNDUP(BD637,0)))</f>
        <v>1</v>
      </c>
      <c r="BA637" s="50" t="n">
        <f aca="false">IF(BZ637=1,0,ROUNDUP(AZ637/BY637,0))</f>
        <v>1</v>
      </c>
      <c r="BB637" s="52" t="n">
        <f aca="false">IF(CQ637&gt;0,CQ637*MAX(1,AZ637/X637),IF(BZ637=1,IF(AZ637&lt;=0,0,CD637*MAX(1,IF(H637&gt;0,AZ637/H637,1))),IF(R637&gt;0,BA637/R637,0))/MAX(0.1,N(Parameter!$M$21)))</f>
        <v>0.0384615384615385</v>
      </c>
      <c r="BC637" s="50" t="n">
        <f aca="false">BB637*CB637</f>
        <v>5.96153846153846</v>
      </c>
      <c r="BD637" s="51" t="n">
        <f aca="false">IF(LEFT(Cockpit!$O$5,1)="A",H637,IF(CH637=1,(CK637+CI637)/2,IF(LEFT(Cockpit!$O$5,1)="B",(CK637+BF637)/2,MAX((CK637+BF637)/2,H637))))</f>
        <v>0.5</v>
      </c>
      <c r="BE637" s="50" t="n">
        <f aca="false">BD637*G637</f>
        <v>0.005</v>
      </c>
      <c r="BF637" s="50" t="n">
        <f aca="false">ROUNDUP(CK637+MAX(CL637,2*(J637/IF(CG637&gt;0,CG637,MAX(0.1,N(Cockpit!$O$6)))-CK637)),0)</f>
        <v>1</v>
      </c>
      <c r="BG637" s="51" t="n">
        <f aca="false">IF(BC637&gt;0,J637/BC637,-1)</f>
        <v>0</v>
      </c>
      <c r="BH637" s="51" t="n">
        <f aca="false">IF(AND(OR(CF637="L1",CF637="L23",CF637="LIFT"),BC637&gt;0),SUMIFS($BC$7:$BC$1843,$CF$7:$CF$1843,CF637,$BG$7:$BG$1843,"&gt;"&amp;BG637)+SUMIFS($BC$7:$BC$1843,$CF$7:$CF$1843,CF637,$BG$7:$BG$1843,BG637,$BW$7:$BW$1843,"&lt;="&amp;BW637),"")</f>
        <v>28000.7773561185</v>
      </c>
      <c r="BI637" s="58" t="n">
        <f aca="false">IF(BH637="",0,MAX(0,MIN(1,(IF(CF637="L1",Parameter!$H$5,IF(CF637="L23",Parameter!$H$6+Parameter!$H$7,Parameter!$H$5+Parameter!$H$6+Parameter!$H$7))-(BH637-BC637))/BC637)))</f>
        <v>1</v>
      </c>
      <c r="BJ637" s="48" t="str">
        <f aca="false">IF(AI637&lt;=0,"",IF(CF637="Aussen","Aussenlager",IF(CF637="-","Nicht im Lift",IF(AO637&gt;=1,"Lift",IF(AO637&lt;=0,"Aussenlager","teilweise")))))</f>
        <v>Lift</v>
      </c>
      <c r="BK637" s="48" t="str">
        <f aca="false">IF(AS637&lt;=0,"",IF(CF637="Aussen","Aussenlager",IF(CF637="-","Nicht im Lift",IF(AY637&gt;=1,"Lift",IF(AY637&lt;=0,"Aussenlager","teilweise")))))</f>
        <v>Lift</v>
      </c>
      <c r="BL637" s="48" t="str">
        <f aca="false">IF(BC637&lt;=0,"",IF(CF637="Aussen","Aussenlager",IF(CF637="-","Nicht im Lift",IF(BI637&gt;=1,"Lift",IF(BI637&lt;=0,"Aussenlager","teilweise")))))</f>
        <v>Lift</v>
      </c>
      <c r="BM637" s="48" t="str">
        <f aca="false">IF(A637="","",IF(BV637=1,"Neu; ","")&amp;IF(AND(BV637=0,BQ637&lt;0),"negativer Bestand (Export "&amp;BQ637&amp;"); ","")&amp;IF(J637&lt;=0,"Kein Verbrauch; ","")&amp;IF(CQ637&gt;0,"Lift "&amp;W637&amp;" lt. Liftbericht (Fach "&amp;X637&amp;" Stk); ",IF(CA637=1,"Gebinde geschätzt ("&amp;T637&amp;"); ",IF(BZ637=1,"Lose – Tablare geschätzt; ","")))&amp;IF(H637&gt;AV637,"Überbestand "&amp;ROUND(H637-AV637,0)&amp;" Stk / CHF "&amp;ROUND((H637-AV637)*G637,0)&amp;"; ","")&amp;IF(AND(CH637=1,CI637&lt;CJ637),"MAX &lt; MB+LG; ","")&amp;IF(AND(CP637&gt;0,CO637*10&gt;CP637),"zu hoch für Tablar; ","")&amp;IF(AND(BV637=0,OR(CH637=1,AA637&lt;&gt;"",U637&lt;&gt;"",V637&lt;&gt;"",AB637&lt;&gt;"")),"manuell übersteuert; ","")&amp;IF(AND(BZ637=0,R637=0),"Gebinde unbekannt / Stellmass fehlt; ","")&amp;IF(AND(BZ637=0,N(V637)&lt;=0,N(Q637)&lt;=0),"Menge pro Gebinde fehlt (Ist = 1 Gebinde); ","")&amp;BU637)</f>
        <v>Kein Verbrauch; Gebinde geschätzt (Klein); Überbestand 58 Stk / CHF 1; Menge pro Gebinde fehlt (Ist = 1 Gebinde); </v>
      </c>
      <c r="BN637" s="48"/>
      <c r="BO637" s="48"/>
      <c r="BP637" s="55"/>
      <c r="BQ637" s="50" t="n">
        <v>59</v>
      </c>
      <c r="BR637" s="50" t="n">
        <v>0</v>
      </c>
      <c r="BS637" s="49" t="n">
        <v>0.59</v>
      </c>
      <c r="BT637" s="50" t="n">
        <v>0</v>
      </c>
      <c r="BU637" s="48"/>
      <c r="BV637" s="53" t="n">
        <v>0</v>
      </c>
      <c r="BW637" s="53" t="n">
        <v>637</v>
      </c>
      <c r="BX637" s="48" t="str">
        <f aca="false">IF(U637&lt;&gt;"",UPPER(TRIM(U637)),IF(CA637=1,UPPER(VLOOKUP(T637,Parameter!$I$27:$K$29,2,0)),IF(P637="","LOSE",P637)))</f>
        <v>S51</v>
      </c>
      <c r="BY637" s="50" t="n">
        <f aca="false">IF(BX637="LOSE",1,IF(N(V637)&gt;0,V637,IF(CA637=1,MAX(1,N(VLOOKUP(T637,Parameter!$I$27:$K$29,3,0)),H637,N(N637)),IF(N(Q637)&gt;0,Q637,MAX(1,H637)))))</f>
        <v>59</v>
      </c>
      <c r="BZ637" s="53" t="n">
        <f aca="false">IF(BX637="LOSE",1,0)</f>
        <v>0</v>
      </c>
      <c r="CA637" s="53" t="n">
        <f aca="false">IF(AND(U637="",OR(P637="",P637="LOSE"),T637&lt;&gt;"",N(S637)&lt;=0,ISNUMBER(MATCH(T637,Parameter!$I$27:$I$29,0))),1,0)</f>
        <v>1</v>
      </c>
      <c r="CB637" s="53" t="n">
        <f aca="false">IF(CQ637&gt;0,INDEX(Parameter!$H$5:$H$7,W637)/INDEX(Parameter!$E$5:$E$7,W637),IF(AND(BZ637=0,N(IFERROR(VLOOKUP(BX637,'Gebinde-Kategorie'!$A$5:$N$45,14,0),0))&gt;0),VLOOKUP(BX637,'Gebinde-Kategorie'!$A$5:$N$45,14,0)*10+Parameter!$M$23,Parameter!$M$24))</f>
        <v>155</v>
      </c>
      <c r="CC637" s="48" t="str">
        <f aca="false">IF(AND(Parameter!$B$19="Ja",E637&lt;&gt;"",ISNUMBER(MATCH(E637,Parameter!$I$35:$I$52,0))),VLOOKUP(E637,Parameter!$I$35:$J$52,2,0),IFERROR(VLOOKUP(D637,Parameter!$A$35:$C$64,2,0),"Nein"))</f>
        <v>2+3</v>
      </c>
      <c r="CD637" s="52" t="n">
        <f aca="false">IF(BZ637=0,0,IF(N(S637)&gt;0,S637,IFERROR(VLOOKUP(D637,Parameter!$A$35:$C$64,3,0)+0,0)))</f>
        <v>0</v>
      </c>
      <c r="CE637" s="48" t="n">
        <f aca="false">IF(AA637&lt;&gt;"",AA637,Z637)</f>
        <v>3</v>
      </c>
      <c r="CF637" s="48" t="str">
        <f aca="false">IF(OR(CE637=1,CE637=2,CE637=3),IF(Parameter!$E$27="Ja","LIFT",IF(CE637=1,"L1","L23")),IF(CE637="Aussen","Aussen","-"))</f>
        <v>LIFT</v>
      </c>
      <c r="CG637" s="59" t="n">
        <f aca="false">IF(N(AB637)&gt;0,AB637,0)</f>
        <v>0</v>
      </c>
      <c r="CH637" s="53" t="n">
        <f aca="false">IF(ISNUMBER(AE637),1,0)</f>
        <v>0</v>
      </c>
      <c r="CI637" s="50" t="n">
        <f aca="false">N(AE637)</f>
        <v>0</v>
      </c>
      <c r="CJ637" s="50" t="n">
        <f aca="false">N(M637)+N(N637)</f>
        <v>1</v>
      </c>
      <c r="CK637" s="50" t="n">
        <f aca="false">N(M637)</f>
        <v>0</v>
      </c>
      <c r="CL637" s="50" t="n">
        <f aca="false">N(N637)</f>
        <v>1</v>
      </c>
      <c r="CM637" s="50" t="n">
        <f aca="false">ROUNDUP(H637/BY637,0)</f>
        <v>1</v>
      </c>
      <c r="CN637" s="50" t="n">
        <f aca="false">ROUNDUP(CI637/BY637,0)</f>
        <v>0</v>
      </c>
      <c r="CO637" s="53" t="n">
        <f aca="false">IF(BZ637=1,0,IFERROR(VLOOKUP(BX637,'Gebinde-Kategorie'!$A$5:$N$45,5,0)+0,0))</f>
        <v>11</v>
      </c>
      <c r="CP637" s="53" t="n">
        <f aca="false">IFERROR(IF(OR(CE637=1,CE637=2,CE637=3),N(INDEX(Parameter!$I$5:$I$7,CE637)),0),0)</f>
        <v>0</v>
      </c>
      <c r="CQ637" s="52" t="n">
        <f aca="false">IF(AND(Parameter!$B$21="Ja",ISNUMBER(W637),N(X637)&gt;0),IFERROR(N(INDEX(Parameter!$L$5:$L$7,W637))*INDEX(Parameter!$E$5:$E$7,W637)*X637/SUMIFS($X$7:$X$1843,$W$7:$W$1843,W637),0),0)</f>
        <v>0</v>
      </c>
    </row>
    <row r="638" customFormat="false" ht="15" hidden="false" customHeight="false" outlineLevel="0" collapsed="false">
      <c r="A638" s="48" t="s">
        <v>1309</v>
      </c>
      <c r="B638" s="48" t="s">
        <v>1310</v>
      </c>
      <c r="C638" s="48" t="s">
        <v>173</v>
      </c>
      <c r="D638" s="48" t="s">
        <v>182</v>
      </c>
      <c r="E638" s="48"/>
      <c r="F638" s="48" t="s">
        <v>227</v>
      </c>
      <c r="G638" s="49" t="n">
        <v>0.01</v>
      </c>
      <c r="H638" s="50" t="n">
        <f aca="false">MAX(0,IF(AND(Parameter!$B$21="Ja",ISNUMBER(Y638)),Y638,IF(Parameter!$B$20="Jahresanfang 2025 + Export",BR638+BQ638,BQ638)))</f>
        <v>43</v>
      </c>
      <c r="I638" s="50" t="n">
        <f aca="false">H638*G638</f>
        <v>0.43</v>
      </c>
      <c r="J638" s="50" t="n">
        <f aca="false">BT638*Parameter!$B$18</f>
        <v>0</v>
      </c>
      <c r="K638" s="51" t="n">
        <v>0</v>
      </c>
      <c r="L638" s="52" t="n">
        <v>0</v>
      </c>
      <c r="M638" s="50" t="n">
        <v>0</v>
      </c>
      <c r="N638" s="50" t="n">
        <v>1</v>
      </c>
      <c r="O638" s="53" t="n">
        <v>999</v>
      </c>
      <c r="P638" s="48" t="s">
        <v>177</v>
      </c>
      <c r="Q638" s="50"/>
      <c r="R638" s="53" t="n">
        <f aca="false">IF(BZ638=1,0,IFERROR(VLOOKUP(BX638,'Gebinde-Kategorie'!$A$5:$N$45,13,0)+0,0))</f>
        <v>26</v>
      </c>
      <c r="S638" s="54"/>
      <c r="T638" s="55" t="s">
        <v>284</v>
      </c>
      <c r="U638" s="55"/>
      <c r="V638" s="55"/>
      <c r="W638" s="48"/>
      <c r="X638" s="50"/>
      <c r="Y638" s="50"/>
      <c r="Z638" s="48" t="n">
        <f aca="false">IF(A638="","",IF(AND(Parameter!$B$21="Ja",ISNUMBER(W638)),W638,IF(CC638="2+3",IF(ISNUMBER(SEARCH("grosser Artikel",BU638)),2,IFERROR(VLOOKUP(BX638,Parameter!$F$35:$G$64,2,0),2)),IF(OR(CC638="Nein",CC638=""),"-",CC638))))</f>
        <v>3</v>
      </c>
      <c r="AA638" s="55"/>
      <c r="AB638" s="56"/>
      <c r="AC638" s="50" t="n">
        <f aca="false">AV638</f>
        <v>1</v>
      </c>
      <c r="AD638" s="50" t="n">
        <f aca="false">MAX(AV638,H638)</f>
        <v>43</v>
      </c>
      <c r="AE638" s="57"/>
      <c r="AF638" s="50" t="n">
        <f aca="false">IF(LEFT(Cockpit!$C$5,1)="A",H638,IF(Parameter!$E$30="MAX-Bestand",IF(CH638=1,CI638,IF(LEFT(Cockpit!$C$5,1)="B",AL638,MAX(AL638,H638))),ROUNDUP(AJ638,0)))</f>
        <v>43</v>
      </c>
      <c r="AG638" s="50" t="n">
        <f aca="false">IF(BZ638=1,0,ROUNDUP(AF638/BY638,0))</f>
        <v>1</v>
      </c>
      <c r="AH638" s="52" t="n">
        <f aca="false">IF(CQ638&gt;0,CQ638*MAX(1,AF638/X638),IF(BZ638=1,IF(AF638&lt;=0,0,CD638*MAX(1,IF(H638&gt;0,AF638/H638,1))),IF(R638&gt;0,AG638/R638,0))/MAX(0.1,N(Parameter!$M$21)))</f>
        <v>0.0384615384615385</v>
      </c>
      <c r="AI638" s="50" t="n">
        <f aca="false">AH638*CB638</f>
        <v>5.96153846153846</v>
      </c>
      <c r="AJ638" s="51" t="n">
        <f aca="false">IF(LEFT(Cockpit!$C$5,1)="A",H638,IF(CH638=1,(CK638+CI638)/2,IF(LEFT(Cockpit!$C$5,1)="B",(CK638+AL638)/2,MAX((CK638+AL638)/2,H638))))</f>
        <v>43</v>
      </c>
      <c r="AK638" s="50" t="n">
        <f aca="false">AJ638*G638</f>
        <v>0.43</v>
      </c>
      <c r="AL638" s="50" t="n">
        <f aca="false">ROUNDUP(CK638+MAX(CL638,2*(J638/IF(CG638&gt;0,CG638,MAX(0.1,N(Cockpit!$C$6)))-CK638)),0)</f>
        <v>1</v>
      </c>
      <c r="AM638" s="51" t="n">
        <f aca="false">IF(AI638&gt;0,J638/AI638,-1)</f>
        <v>0</v>
      </c>
      <c r="AN638" s="51" t="n">
        <f aca="false">IF(AND(OR(CF638="L1",CF638="L23",CF638="LIFT"),AI638&gt;0),SUMIFS($AI$7:$AI$1843,$CF$7:$CF$1843,CF638,$AM$7:$AM$1843,"&gt;"&amp;AM638)+SUMIFS($AI$7:$AI$1843,$CF$7:$CF$1843,CF638,$AM$7:$AM$1843,AM638,$BW$7:$BW$1843,"&lt;="&amp;BW638),"")</f>
        <v>28587.2469630181</v>
      </c>
      <c r="AO638" s="58" t="n">
        <f aca="false">IF(AN638="",0,MAX(0,MIN(1,(IF(CF638="L1",Parameter!$H$5,IF(CF638="L23",Parameter!$H$6+Parameter!$H$7,Parameter!$H$5+Parameter!$H$6+Parameter!$H$7))-(AN638-AI638))/AI638)))</f>
        <v>1</v>
      </c>
      <c r="AP638" s="50" t="n">
        <f aca="false">IF(LEFT(Cockpit!$I$5,1)="A",H638,IF(Parameter!$E$30="MAX-Bestand",IF(CH638=1,CI638,IF(LEFT(Cockpit!$I$5,1)="B",AV638,MAX(AV638,H638))),ROUNDUP(AT638,0)))</f>
        <v>43</v>
      </c>
      <c r="AQ638" s="50" t="n">
        <f aca="false">IF(BZ638=1,0,ROUNDUP(AP638/BY638,0))</f>
        <v>1</v>
      </c>
      <c r="AR638" s="52" t="n">
        <f aca="false">IF(CQ638&gt;0,CQ638*MAX(1,AP638/X638),IF(BZ638=1,IF(AP638&lt;=0,0,CD638*MAX(1,IF(H638&gt;0,AP638/H638,1))),IF(R638&gt;0,AQ638/R638,0))/MAX(0.1,N(Parameter!$M$21)))</f>
        <v>0.0384615384615385</v>
      </c>
      <c r="AS638" s="50" t="n">
        <f aca="false">AR638*CB638</f>
        <v>5.96153846153846</v>
      </c>
      <c r="AT638" s="51" t="n">
        <f aca="false">IF(LEFT(Cockpit!$I$5,1)="A",H638,IF(CH638=1,(CK638+CI638)/2,IF(LEFT(Cockpit!$I$5,1)="B",(CK638+AV638)/2,MAX((CK638+AV638)/2,H638))))</f>
        <v>43</v>
      </c>
      <c r="AU638" s="50" t="n">
        <f aca="false">AT638*G638</f>
        <v>0.43</v>
      </c>
      <c r="AV638" s="50" t="n">
        <f aca="false">ROUNDUP(CK638+MAX(CL638,2*(J638/IF(CG638&gt;0,CG638,MAX(0.1,N(Cockpit!$I$6)))-CK638)),0)</f>
        <v>1</v>
      </c>
      <c r="AW638" s="51" t="n">
        <f aca="false">IF(AS638&gt;0,J638/AS638,-1)</f>
        <v>0</v>
      </c>
      <c r="AX638" s="51" t="n">
        <f aca="false">IF(AND(OR(CF638="L1",CF638="L23",CF638="LIFT"),AS638&gt;0),SUMIFS($AS$7:$AS$1843,$CF$7:$CF$1843,CF638,$AW$7:$AW$1843,"&gt;"&amp;AW638)+SUMIFS($AS$7:$AS$1843,$CF$7:$CF$1843,CF638,$AW$7:$AW$1843,AW638,$BW$7:$BW$1843,"&lt;="&amp;BW638),"")</f>
        <v>33940.3956043956</v>
      </c>
      <c r="AY638" s="58" t="n">
        <f aca="false">IF(AX638="",0,MAX(0,MIN(1,(IF(CF638="L1",Parameter!$H$5,IF(CF638="L23",Parameter!$H$6+Parameter!$H$7,Parameter!$H$5+Parameter!$H$6+Parameter!$H$7))-(AX638-AS638))/AS638)))</f>
        <v>1</v>
      </c>
      <c r="AZ638" s="50" t="n">
        <f aca="false">IF(LEFT(Cockpit!$O$5,1)="A",H638,IF(Parameter!$E$30="MAX-Bestand",IF(CH638=1,CI638,IF(LEFT(Cockpit!$O$5,1)="B",BF638,MAX(BF638,H638))),ROUNDUP(BD638,0)))</f>
        <v>1</v>
      </c>
      <c r="BA638" s="50" t="n">
        <f aca="false">IF(BZ638=1,0,ROUNDUP(AZ638/BY638,0))</f>
        <v>1</v>
      </c>
      <c r="BB638" s="52" t="n">
        <f aca="false">IF(CQ638&gt;0,CQ638*MAX(1,AZ638/X638),IF(BZ638=1,IF(AZ638&lt;=0,0,CD638*MAX(1,IF(H638&gt;0,AZ638/H638,1))),IF(R638&gt;0,BA638/R638,0))/MAX(0.1,N(Parameter!$M$21)))</f>
        <v>0.0384615384615385</v>
      </c>
      <c r="BC638" s="50" t="n">
        <f aca="false">BB638*CB638</f>
        <v>5.96153846153846</v>
      </c>
      <c r="BD638" s="51" t="n">
        <f aca="false">IF(LEFT(Cockpit!$O$5,1)="A",H638,IF(CH638=1,(CK638+CI638)/2,IF(LEFT(Cockpit!$O$5,1)="B",(CK638+BF638)/2,MAX((CK638+BF638)/2,H638))))</f>
        <v>0.5</v>
      </c>
      <c r="BE638" s="50" t="n">
        <f aca="false">BD638*G638</f>
        <v>0.005</v>
      </c>
      <c r="BF638" s="50" t="n">
        <f aca="false">ROUNDUP(CK638+MAX(CL638,2*(J638/IF(CG638&gt;0,CG638,MAX(0.1,N(Cockpit!$O$6)))-CK638)),0)</f>
        <v>1</v>
      </c>
      <c r="BG638" s="51" t="n">
        <f aca="false">IF(BC638&gt;0,J638/BC638,-1)</f>
        <v>0</v>
      </c>
      <c r="BH638" s="51" t="n">
        <f aca="false">IF(AND(OR(CF638="L1",CF638="L23",CF638="LIFT"),BC638&gt;0),SUMIFS($BC$7:$BC$1843,$CF$7:$CF$1843,CF638,$BG$7:$BG$1843,"&gt;"&amp;BG638)+SUMIFS($BC$7:$BC$1843,$CF$7:$CF$1843,CF638,$BG$7:$BG$1843,BG638,$BW$7:$BW$1843,"&lt;="&amp;BW638),"")</f>
        <v>28006.73889458</v>
      </c>
      <c r="BI638" s="58" t="n">
        <f aca="false">IF(BH638="",0,MAX(0,MIN(1,(IF(CF638="L1",Parameter!$H$5,IF(CF638="L23",Parameter!$H$6+Parameter!$H$7,Parameter!$H$5+Parameter!$H$6+Parameter!$H$7))-(BH638-BC638))/BC638)))</f>
        <v>1</v>
      </c>
      <c r="BJ638" s="48" t="str">
        <f aca="false">IF(AI638&lt;=0,"",IF(CF638="Aussen","Aussenlager",IF(CF638="-","Nicht im Lift",IF(AO638&gt;=1,"Lift",IF(AO638&lt;=0,"Aussenlager","teilweise")))))</f>
        <v>Lift</v>
      </c>
      <c r="BK638" s="48" t="str">
        <f aca="false">IF(AS638&lt;=0,"",IF(CF638="Aussen","Aussenlager",IF(CF638="-","Nicht im Lift",IF(AY638&gt;=1,"Lift",IF(AY638&lt;=0,"Aussenlager","teilweise")))))</f>
        <v>Lift</v>
      </c>
      <c r="BL638" s="48" t="str">
        <f aca="false">IF(BC638&lt;=0,"",IF(CF638="Aussen","Aussenlager",IF(CF638="-","Nicht im Lift",IF(BI638&gt;=1,"Lift",IF(BI638&lt;=0,"Aussenlager","teilweise")))))</f>
        <v>Lift</v>
      </c>
      <c r="BM638" s="48" t="str">
        <f aca="false">IF(A638="","",IF(BV638=1,"Neu; ","")&amp;IF(AND(BV638=0,BQ638&lt;0),"negativer Bestand (Export "&amp;BQ638&amp;"); ","")&amp;IF(J638&lt;=0,"Kein Verbrauch; ","")&amp;IF(CQ638&gt;0,"Lift "&amp;W638&amp;" lt. Liftbericht (Fach "&amp;X638&amp;" Stk); ",IF(CA638=1,"Gebinde geschätzt ("&amp;T638&amp;"); ",IF(BZ638=1,"Lose – Tablare geschätzt; ","")))&amp;IF(H638&gt;AV638,"Überbestand "&amp;ROUND(H638-AV638,0)&amp;" Stk / CHF "&amp;ROUND((H638-AV638)*G638,0)&amp;"; ","")&amp;IF(AND(CH638=1,CI638&lt;CJ638),"MAX &lt; MB+LG; ","")&amp;IF(AND(CP638&gt;0,CO638*10&gt;CP638),"zu hoch für Tablar; ","")&amp;IF(AND(BV638=0,OR(CH638=1,AA638&lt;&gt;"",U638&lt;&gt;"",V638&lt;&gt;"",AB638&lt;&gt;"")),"manuell übersteuert; ","")&amp;IF(AND(BZ638=0,R638=0),"Gebinde unbekannt / Stellmass fehlt; ","")&amp;IF(AND(BZ638=0,N(V638)&lt;=0,N(Q638)&lt;=0),"Menge pro Gebinde fehlt (Ist = 1 Gebinde); ","")&amp;BU638)</f>
        <v>Kein Verbrauch; Gebinde geschätzt (Klein); Überbestand 42 Stk / CHF 0; Menge pro Gebinde fehlt (Ist = 1 Gebinde); </v>
      </c>
      <c r="BN638" s="48"/>
      <c r="BO638" s="48"/>
      <c r="BP638" s="55"/>
      <c r="BQ638" s="50" t="n">
        <v>43</v>
      </c>
      <c r="BR638" s="50" t="n">
        <v>0</v>
      </c>
      <c r="BS638" s="49" t="n">
        <v>0.43</v>
      </c>
      <c r="BT638" s="50" t="n">
        <v>0</v>
      </c>
      <c r="BU638" s="48"/>
      <c r="BV638" s="53" t="n">
        <v>0</v>
      </c>
      <c r="BW638" s="53" t="n">
        <v>638</v>
      </c>
      <c r="BX638" s="48" t="str">
        <f aca="false">IF(U638&lt;&gt;"",UPPER(TRIM(U638)),IF(CA638=1,UPPER(VLOOKUP(T638,Parameter!$I$27:$K$29,2,0)),IF(P638="","LOSE",P638)))</f>
        <v>S51</v>
      </c>
      <c r="BY638" s="50" t="n">
        <f aca="false">IF(BX638="LOSE",1,IF(N(V638)&gt;0,V638,IF(CA638=1,MAX(1,N(VLOOKUP(T638,Parameter!$I$27:$K$29,3,0)),H638,N(N638)),IF(N(Q638)&gt;0,Q638,MAX(1,H638)))))</f>
        <v>43</v>
      </c>
      <c r="BZ638" s="53" t="n">
        <f aca="false">IF(BX638="LOSE",1,0)</f>
        <v>0</v>
      </c>
      <c r="CA638" s="53" t="n">
        <f aca="false">IF(AND(U638="",OR(P638="",P638="LOSE"),T638&lt;&gt;"",N(S638)&lt;=0,ISNUMBER(MATCH(T638,Parameter!$I$27:$I$29,0))),1,0)</f>
        <v>1</v>
      </c>
      <c r="CB638" s="53" t="n">
        <f aca="false">IF(CQ638&gt;0,INDEX(Parameter!$H$5:$H$7,W638)/INDEX(Parameter!$E$5:$E$7,W638),IF(AND(BZ638=0,N(IFERROR(VLOOKUP(BX638,'Gebinde-Kategorie'!$A$5:$N$45,14,0),0))&gt;0),VLOOKUP(BX638,'Gebinde-Kategorie'!$A$5:$N$45,14,0)*10+Parameter!$M$23,Parameter!$M$24))</f>
        <v>155</v>
      </c>
      <c r="CC638" s="48" t="str">
        <f aca="false">IF(AND(Parameter!$B$19="Ja",E638&lt;&gt;"",ISNUMBER(MATCH(E638,Parameter!$I$35:$I$52,0))),VLOOKUP(E638,Parameter!$I$35:$J$52,2,0),IFERROR(VLOOKUP(D638,Parameter!$A$35:$C$64,2,0),"Nein"))</f>
        <v>2+3</v>
      </c>
      <c r="CD638" s="52" t="n">
        <f aca="false">IF(BZ638=0,0,IF(N(S638)&gt;0,S638,IFERROR(VLOOKUP(D638,Parameter!$A$35:$C$64,3,0)+0,0)))</f>
        <v>0</v>
      </c>
      <c r="CE638" s="48" t="n">
        <f aca="false">IF(AA638&lt;&gt;"",AA638,Z638)</f>
        <v>3</v>
      </c>
      <c r="CF638" s="48" t="str">
        <f aca="false">IF(OR(CE638=1,CE638=2,CE638=3),IF(Parameter!$E$27="Ja","LIFT",IF(CE638=1,"L1","L23")),IF(CE638="Aussen","Aussen","-"))</f>
        <v>LIFT</v>
      </c>
      <c r="CG638" s="59" t="n">
        <f aca="false">IF(N(AB638)&gt;0,AB638,0)</f>
        <v>0</v>
      </c>
      <c r="CH638" s="53" t="n">
        <f aca="false">IF(ISNUMBER(AE638),1,0)</f>
        <v>0</v>
      </c>
      <c r="CI638" s="50" t="n">
        <f aca="false">N(AE638)</f>
        <v>0</v>
      </c>
      <c r="CJ638" s="50" t="n">
        <f aca="false">N(M638)+N(N638)</f>
        <v>1</v>
      </c>
      <c r="CK638" s="50" t="n">
        <f aca="false">N(M638)</f>
        <v>0</v>
      </c>
      <c r="CL638" s="50" t="n">
        <f aca="false">N(N638)</f>
        <v>1</v>
      </c>
      <c r="CM638" s="50" t="n">
        <f aca="false">ROUNDUP(H638/BY638,0)</f>
        <v>1</v>
      </c>
      <c r="CN638" s="50" t="n">
        <f aca="false">ROUNDUP(CI638/BY638,0)</f>
        <v>0</v>
      </c>
      <c r="CO638" s="53" t="n">
        <f aca="false">IF(BZ638=1,0,IFERROR(VLOOKUP(BX638,'Gebinde-Kategorie'!$A$5:$N$45,5,0)+0,0))</f>
        <v>11</v>
      </c>
      <c r="CP638" s="53" t="n">
        <f aca="false">IFERROR(IF(OR(CE638=1,CE638=2,CE638=3),N(INDEX(Parameter!$I$5:$I$7,CE638)),0),0)</f>
        <v>0</v>
      </c>
      <c r="CQ638" s="52" t="n">
        <f aca="false">IF(AND(Parameter!$B$21="Ja",ISNUMBER(W638),N(X638)&gt;0),IFERROR(N(INDEX(Parameter!$L$5:$L$7,W638))*INDEX(Parameter!$E$5:$E$7,W638)*X638/SUMIFS($X$7:$X$1843,$W$7:$W$1843,W638),0),0)</f>
        <v>0</v>
      </c>
    </row>
    <row r="639" customFormat="false" ht="15" hidden="false" customHeight="false" outlineLevel="0" collapsed="false">
      <c r="A639" s="48" t="s">
        <v>1311</v>
      </c>
      <c r="B639" s="48" t="s">
        <v>958</v>
      </c>
      <c r="C639" s="48" t="s">
        <v>173</v>
      </c>
      <c r="D639" s="48" t="s">
        <v>193</v>
      </c>
      <c r="E639" s="48" t="s">
        <v>194</v>
      </c>
      <c r="F639" s="48" t="s">
        <v>227</v>
      </c>
      <c r="G639" s="49" t="n">
        <v>0.38</v>
      </c>
      <c r="H639" s="50" t="n">
        <f aca="false">MAX(0,IF(AND(Parameter!$B$21="Ja",ISNUMBER(Y639)),Y639,IF(Parameter!$B$20="Jahresanfang 2025 + Export",BR639+BQ639,BQ639)))</f>
        <v>14</v>
      </c>
      <c r="I639" s="50" t="n">
        <f aca="false">H639*G639</f>
        <v>5.32</v>
      </c>
      <c r="J639" s="50" t="n">
        <f aca="false">BT639*Parameter!$B$18</f>
        <v>2</v>
      </c>
      <c r="K639" s="51" t="n">
        <v>12.5</v>
      </c>
      <c r="L639" s="52" t="n">
        <v>0.16</v>
      </c>
      <c r="M639" s="50" t="n">
        <v>0</v>
      </c>
      <c r="N639" s="50" t="n">
        <v>1</v>
      </c>
      <c r="O639" s="53" t="n">
        <v>21</v>
      </c>
      <c r="P639" s="48" t="s">
        <v>435</v>
      </c>
      <c r="Q639" s="50" t="n">
        <v>36</v>
      </c>
      <c r="R639" s="53" t="n">
        <f aca="false">IF(BZ639=1,0,IFERROR(VLOOKUP(BX639,'Gebinde-Kategorie'!$A$5:$N$45,13,0)+0,0))</f>
        <v>140</v>
      </c>
      <c r="S639" s="54"/>
      <c r="T639" s="55"/>
      <c r="U639" s="55"/>
      <c r="V639" s="55"/>
      <c r="W639" s="48"/>
      <c r="X639" s="50"/>
      <c r="Y639" s="50"/>
      <c r="Z639" s="48" t="n">
        <f aca="false">IF(A639="","",IF(AND(Parameter!$B$21="Ja",ISNUMBER(W639)),W639,IF(CC639="2+3",IF(ISNUMBER(SEARCH("grosser Artikel",BU639)),2,IFERROR(VLOOKUP(BX639,Parameter!$F$35:$G$64,2,0),2)),IF(OR(CC639="Nein",CC639=""),"-",CC639))))</f>
        <v>3</v>
      </c>
      <c r="AA639" s="55"/>
      <c r="AB639" s="56"/>
      <c r="AC639" s="50" t="n">
        <f aca="false">AV639</f>
        <v>2</v>
      </c>
      <c r="AD639" s="50" t="n">
        <f aca="false">MAX(AV639,H639)</f>
        <v>14</v>
      </c>
      <c r="AE639" s="57"/>
      <c r="AF639" s="50" t="n">
        <f aca="false">IF(LEFT(Cockpit!$C$5,1)="A",H639,IF(Parameter!$E$30="MAX-Bestand",IF(CH639=1,CI639,IF(LEFT(Cockpit!$C$5,1)="B",AL639,MAX(AL639,H639))),ROUNDUP(AJ639,0)))</f>
        <v>14</v>
      </c>
      <c r="AG639" s="50" t="n">
        <f aca="false">IF(BZ639=1,0,ROUNDUP(AF639/BY639,0))</f>
        <v>1</v>
      </c>
      <c r="AH639" s="52" t="n">
        <f aca="false">IF(CQ639&gt;0,CQ639*MAX(1,AF639/X639),IF(BZ639=1,IF(AF639&lt;=0,0,CD639*MAX(1,IF(H639&gt;0,AF639/H639,1))),IF(R639&gt;0,AG639/R639,0))/MAX(0.1,N(Parameter!$M$21)))</f>
        <v>0.00714285714285714</v>
      </c>
      <c r="AI639" s="50" t="n">
        <f aca="false">AH639*CB639</f>
        <v>1.10714285714286</v>
      </c>
      <c r="AJ639" s="51" t="n">
        <f aca="false">IF(LEFT(Cockpit!$C$5,1)="A",H639,IF(CH639=1,(CK639+CI639)/2,IF(LEFT(Cockpit!$C$5,1)="B",(CK639+AL639)/2,MAX((CK639+AL639)/2,H639))))</f>
        <v>14</v>
      </c>
      <c r="AK639" s="50" t="n">
        <f aca="false">AJ639*G639</f>
        <v>5.32</v>
      </c>
      <c r="AL639" s="50" t="n">
        <f aca="false">ROUNDUP(CK639+MAX(CL639,2*(J639/IF(CG639&gt;0,CG639,MAX(0.1,N(Cockpit!$C$6)))-CK639)),0)</f>
        <v>2</v>
      </c>
      <c r="AM639" s="51" t="n">
        <f aca="false">IF(AI639&gt;0,J639/AI639,-1)</f>
        <v>1.80645161290323</v>
      </c>
      <c r="AN639" s="51" t="n">
        <f aca="false">IF(AND(OR(CF639="L1",CF639="L23",CF639="LIFT"),AI639&gt;0),SUMIFS($AI$7:$AI$1843,$CF$7:$CF$1843,CF639,$AM$7:$AM$1843,"&gt;"&amp;AM639)+SUMIFS($AI$7:$AI$1843,$CF$7:$CF$1843,CF639,$AM$7:$AM$1843,AM639,$BW$7:$BW$1843,"&lt;="&amp;BW639),"")</f>
        <v>5964.23672161172</v>
      </c>
      <c r="AO639" s="58" t="n">
        <f aca="false">IF(AN639="",0,MAX(0,MIN(1,(IF(CF639="L1",Parameter!$H$5,IF(CF639="L23",Parameter!$H$6+Parameter!$H$7,Parameter!$H$5+Parameter!$H$6+Parameter!$H$7))-(AN639-AI639))/AI639)))</f>
        <v>1</v>
      </c>
      <c r="AP639" s="50" t="n">
        <f aca="false">IF(LEFT(Cockpit!$I$5,1)="A",H639,IF(Parameter!$E$30="MAX-Bestand",IF(CH639=1,CI639,IF(LEFT(Cockpit!$I$5,1)="B",AV639,MAX(AV639,H639))),ROUNDUP(AT639,0)))</f>
        <v>14</v>
      </c>
      <c r="AQ639" s="50" t="n">
        <f aca="false">IF(BZ639=1,0,ROUNDUP(AP639/BY639,0))</f>
        <v>1</v>
      </c>
      <c r="AR639" s="52" t="n">
        <f aca="false">IF(CQ639&gt;0,CQ639*MAX(1,AP639/X639),IF(BZ639=1,IF(AP639&lt;=0,0,CD639*MAX(1,IF(H639&gt;0,AP639/H639,1))),IF(R639&gt;0,AQ639/R639,0))/MAX(0.1,N(Parameter!$M$21)))</f>
        <v>0.00714285714285714</v>
      </c>
      <c r="AS639" s="50" t="n">
        <f aca="false">AR639*CB639</f>
        <v>1.10714285714286</v>
      </c>
      <c r="AT639" s="51" t="n">
        <f aca="false">IF(LEFT(Cockpit!$I$5,1)="A",H639,IF(CH639=1,(CK639+CI639)/2,IF(LEFT(Cockpit!$I$5,1)="B",(CK639+AV639)/2,MAX((CK639+AV639)/2,H639))))</f>
        <v>14</v>
      </c>
      <c r="AU639" s="50" t="n">
        <f aca="false">AT639*G639</f>
        <v>5.32</v>
      </c>
      <c r="AV639" s="50" t="n">
        <f aca="false">ROUNDUP(CK639+MAX(CL639,2*(J639/IF(CG639&gt;0,CG639,MAX(0.1,N(Cockpit!$I$6)))-CK639)),0)</f>
        <v>2</v>
      </c>
      <c r="AW639" s="51" t="n">
        <f aca="false">IF(AS639&gt;0,J639/AS639,-1)</f>
        <v>1.80645161290323</v>
      </c>
      <c r="AX639" s="51" t="n">
        <f aca="false">IF(AND(OR(CF639="L1",CF639="L23",CF639="LIFT"),AS639&gt;0),SUMIFS($AS$7:$AS$1843,$CF$7:$CF$1843,CF639,$AW$7:$AW$1843,"&gt;"&amp;AW639)+SUMIFS($AS$7:$AS$1843,$CF$7:$CF$1843,CF639,$AW$7:$AW$1843,AW639,$BW$7:$BW$1843,"&lt;="&amp;BW639),"")</f>
        <v>7401.75961538462</v>
      </c>
      <c r="AY639" s="58" t="n">
        <f aca="false">IF(AX639="",0,MAX(0,MIN(1,(IF(CF639="L1",Parameter!$H$5,IF(CF639="L23",Parameter!$H$6+Parameter!$H$7,Parameter!$H$5+Parameter!$H$6+Parameter!$H$7))-(AX639-AS639))/AS639)))</f>
        <v>1</v>
      </c>
      <c r="AZ639" s="50" t="n">
        <f aca="false">IF(LEFT(Cockpit!$O$5,1)="A",H639,IF(Parameter!$E$30="MAX-Bestand",IF(CH639=1,CI639,IF(LEFT(Cockpit!$O$5,1)="B",BF639,MAX(BF639,H639))),ROUNDUP(BD639,0)))</f>
        <v>1</v>
      </c>
      <c r="BA639" s="50" t="n">
        <f aca="false">IF(BZ639=1,0,ROUNDUP(AZ639/BY639,0))</f>
        <v>1</v>
      </c>
      <c r="BB639" s="52" t="n">
        <f aca="false">IF(CQ639&gt;0,CQ639*MAX(1,AZ639/X639),IF(BZ639=1,IF(AZ639&lt;=0,0,CD639*MAX(1,IF(H639&gt;0,AZ639/H639,1))),IF(R639&gt;0,BA639/R639,0))/MAX(0.1,N(Parameter!$M$21)))</f>
        <v>0.00714285714285714</v>
      </c>
      <c r="BC639" s="50" t="n">
        <f aca="false">BB639*CB639</f>
        <v>1.10714285714286</v>
      </c>
      <c r="BD639" s="51" t="n">
        <f aca="false">IF(LEFT(Cockpit!$O$5,1)="A",H639,IF(CH639=1,(CK639+CI639)/2,IF(LEFT(Cockpit!$O$5,1)="B",(CK639+BF639)/2,MAX((CK639+BF639)/2,H639))))</f>
        <v>0.5</v>
      </c>
      <c r="BE639" s="50" t="n">
        <f aca="false">BD639*G639</f>
        <v>0.19</v>
      </c>
      <c r="BF639" s="50" t="n">
        <f aca="false">ROUNDUP(CK639+MAX(CL639,2*(J639/IF(CG639&gt;0,CG639,MAX(0.1,N(Cockpit!$O$6)))-CK639)),0)</f>
        <v>1</v>
      </c>
      <c r="BG639" s="51" t="n">
        <f aca="false">IF(BC639&gt;0,J639/BC639,-1)</f>
        <v>1.80645161290323</v>
      </c>
      <c r="BH639" s="51" t="n">
        <f aca="false">IF(AND(OR(CF639="L1",CF639="L23",CF639="LIFT"),BC639&gt;0),SUMIFS($BC$7:$BC$1843,$CF$7:$CF$1843,CF639,$BG$7:$BG$1843,"&gt;"&amp;BG639)+SUMIFS($BC$7:$BC$1843,$CF$7:$CF$1843,CF639,$BG$7:$BG$1843,BG639,$BW$7:$BW$1843,"&lt;="&amp;BW639),"")</f>
        <v>6089.6804029304</v>
      </c>
      <c r="BI639" s="58" t="n">
        <f aca="false">IF(BH639="",0,MAX(0,MIN(1,(IF(CF639="L1",Parameter!$H$5,IF(CF639="L23",Parameter!$H$6+Parameter!$H$7,Parameter!$H$5+Parameter!$H$6+Parameter!$H$7))-(BH639-BC639))/BC639)))</f>
        <v>1</v>
      </c>
      <c r="BJ639" s="48" t="str">
        <f aca="false">IF(AI639&lt;=0,"",IF(CF639="Aussen","Aussenlager",IF(CF639="-","Nicht im Lift",IF(AO639&gt;=1,"Lift",IF(AO639&lt;=0,"Aussenlager","teilweise")))))</f>
        <v>Lift</v>
      </c>
      <c r="BK639" s="48" t="str">
        <f aca="false">IF(AS639&lt;=0,"",IF(CF639="Aussen","Aussenlager",IF(CF639="-","Nicht im Lift",IF(AY639&gt;=1,"Lift",IF(AY639&lt;=0,"Aussenlager","teilweise")))))</f>
        <v>Lift</v>
      </c>
      <c r="BL639" s="48" t="str">
        <f aca="false">IF(BC639&lt;=0,"",IF(CF639="Aussen","Aussenlager",IF(CF639="-","Nicht im Lift",IF(BI639&gt;=1,"Lift",IF(BI639&lt;=0,"Aussenlager","teilweise")))))</f>
        <v>Lift</v>
      </c>
      <c r="BM639" s="48" t="str">
        <f aca="false">IF(A639="","",IF(BV639=1,"Neu; ","")&amp;IF(AND(BV639=0,BQ639&lt;0),"negativer Bestand (Export "&amp;BQ639&amp;"); ","")&amp;IF(J639&lt;=0,"Kein Verbrauch; ","")&amp;IF(CQ639&gt;0,"Lift "&amp;W639&amp;" lt. Liftbericht (Fach "&amp;X639&amp;" Stk); ",IF(CA639=1,"Gebinde geschätzt ("&amp;T639&amp;"); ",IF(BZ639=1,"Lose – Tablare geschätzt; ","")))&amp;IF(H639&gt;AV639,"Überbestand "&amp;ROUND(H639-AV639,0)&amp;" Stk / CHF "&amp;ROUND((H639-AV639)*G639,0)&amp;"; ","")&amp;IF(AND(CH639=1,CI639&lt;CJ639),"MAX &lt; MB+LG; ","")&amp;IF(AND(CP639&gt;0,CO639*10&gt;CP639),"zu hoch für Tablar; ","")&amp;IF(AND(BV639=0,OR(CH639=1,AA639&lt;&gt;"",U639&lt;&gt;"",V639&lt;&gt;"",AB639&lt;&gt;"")),"manuell übersteuert; ","")&amp;IF(AND(BZ639=0,R639=0),"Gebinde unbekannt / Stellmass fehlt; ","")&amp;IF(AND(BZ639=0,N(V639)&lt;=0,N(Q639)&lt;=0),"Menge pro Gebinde fehlt (Ist = 1 Gebinde); ","")&amp;BU639)</f>
        <v>Überbestand 12 Stk / CHF 5; Überbestand</v>
      </c>
      <c r="BN639" s="48"/>
      <c r="BO639" s="48"/>
      <c r="BP639" s="55"/>
      <c r="BQ639" s="50" t="n">
        <v>1</v>
      </c>
      <c r="BR639" s="50" t="n">
        <v>13</v>
      </c>
      <c r="BS639" s="49" t="n">
        <v>0.38</v>
      </c>
      <c r="BT639" s="50" t="n">
        <v>2</v>
      </c>
      <c r="BU639" s="48" t="s">
        <v>401</v>
      </c>
      <c r="BV639" s="53" t="n">
        <v>0</v>
      </c>
      <c r="BW639" s="53" t="n">
        <v>639</v>
      </c>
      <c r="BX639" s="48" t="str">
        <f aca="false">IF(U639&lt;&gt;"",UPPER(TRIM(U639)),IF(CA639=1,UPPER(VLOOKUP(T639,Parameter!$I$27:$K$29,2,0)),IF(P639="","LOSE",P639)))</f>
        <v>S22</v>
      </c>
      <c r="BY639" s="50" t="n">
        <f aca="false">IF(BX639="LOSE",1,IF(N(V639)&gt;0,V639,IF(CA639=1,MAX(1,N(VLOOKUP(T639,Parameter!$I$27:$K$29,3,0)),H639,N(N639)),IF(N(Q639)&gt;0,Q639,MAX(1,H639)))))</f>
        <v>36</v>
      </c>
      <c r="BZ639" s="53" t="n">
        <f aca="false">IF(BX639="LOSE",1,0)</f>
        <v>0</v>
      </c>
      <c r="CA639" s="53" t="n">
        <f aca="false">IF(AND(U639="",OR(P639="",P639="LOSE"),T639&lt;&gt;"",N(S639)&lt;=0,ISNUMBER(MATCH(T639,Parameter!$I$27:$I$29,0))),1,0)</f>
        <v>0</v>
      </c>
      <c r="CB639" s="53" t="n">
        <f aca="false">IF(CQ639&gt;0,INDEX(Parameter!$H$5:$H$7,W639)/INDEX(Parameter!$E$5:$E$7,W639),IF(AND(BZ639=0,N(IFERROR(VLOOKUP(BX639,'Gebinde-Kategorie'!$A$5:$N$45,14,0),0))&gt;0),VLOOKUP(BX639,'Gebinde-Kategorie'!$A$5:$N$45,14,0)*10+Parameter!$M$23,Parameter!$M$24))</f>
        <v>155</v>
      </c>
      <c r="CC639" s="48" t="str">
        <f aca="false">IF(AND(Parameter!$B$19="Ja",E639&lt;&gt;"",ISNUMBER(MATCH(E639,Parameter!$I$35:$I$52,0))),VLOOKUP(E639,Parameter!$I$35:$J$52,2,0),IFERROR(VLOOKUP(D639,Parameter!$A$35:$C$64,2,0),"Nein"))</f>
        <v>2+3</v>
      </c>
      <c r="CD639" s="52" t="n">
        <f aca="false">IF(BZ639=0,0,IF(N(S639)&gt;0,S639,IFERROR(VLOOKUP(D639,Parameter!$A$35:$C$64,3,0)+0,0)))</f>
        <v>0</v>
      </c>
      <c r="CE639" s="48" t="n">
        <f aca="false">IF(AA639&lt;&gt;"",AA639,Z639)</f>
        <v>3</v>
      </c>
      <c r="CF639" s="48" t="str">
        <f aca="false">IF(OR(CE639=1,CE639=2,CE639=3),IF(Parameter!$E$27="Ja","LIFT",IF(CE639=1,"L1","L23")),IF(CE639="Aussen","Aussen","-"))</f>
        <v>LIFT</v>
      </c>
      <c r="CG639" s="59" t="n">
        <f aca="false">IF(N(AB639)&gt;0,AB639,0)</f>
        <v>0</v>
      </c>
      <c r="CH639" s="53" t="n">
        <f aca="false">IF(ISNUMBER(AE639),1,0)</f>
        <v>0</v>
      </c>
      <c r="CI639" s="50" t="n">
        <f aca="false">N(AE639)</f>
        <v>0</v>
      </c>
      <c r="CJ639" s="50" t="n">
        <f aca="false">N(M639)+N(N639)</f>
        <v>1</v>
      </c>
      <c r="CK639" s="50" t="n">
        <f aca="false">N(M639)</f>
        <v>0</v>
      </c>
      <c r="CL639" s="50" t="n">
        <f aca="false">N(N639)</f>
        <v>1</v>
      </c>
      <c r="CM639" s="50" t="n">
        <f aca="false">ROUNDUP(H639/BY639,0)</f>
        <v>1</v>
      </c>
      <c r="CN639" s="50" t="n">
        <f aca="false">ROUNDUP(CI639/BY639,0)</f>
        <v>0</v>
      </c>
      <c r="CO639" s="53" t="n">
        <f aca="false">IF(BZ639=1,0,IFERROR(VLOOKUP(BX639,'Gebinde-Kategorie'!$A$5:$N$45,5,0)+0,0))</f>
        <v>8</v>
      </c>
      <c r="CP639" s="53" t="n">
        <f aca="false">IFERROR(IF(OR(CE639=1,CE639=2,CE639=3),N(INDEX(Parameter!$I$5:$I$7,CE639)),0),0)</f>
        <v>0</v>
      </c>
      <c r="CQ639" s="52" t="n">
        <f aca="false">IF(AND(Parameter!$B$21="Ja",ISNUMBER(W639),N(X639)&gt;0),IFERROR(N(INDEX(Parameter!$L$5:$L$7,W639))*INDEX(Parameter!$E$5:$E$7,W639)*X639/SUMIFS($X$7:$X$1843,$W$7:$W$1843,W639),0),0)</f>
        <v>0</v>
      </c>
    </row>
    <row r="640" customFormat="false" ht="15" hidden="false" customHeight="false" outlineLevel="0" collapsed="false">
      <c r="A640" s="48" t="s">
        <v>1312</v>
      </c>
      <c r="B640" s="48" t="s">
        <v>1313</v>
      </c>
      <c r="C640" s="48" t="s">
        <v>173</v>
      </c>
      <c r="D640" s="48" t="s">
        <v>182</v>
      </c>
      <c r="E640" s="48"/>
      <c r="F640" s="48" t="s">
        <v>227</v>
      </c>
      <c r="G640" s="49" t="n">
        <v>0.01</v>
      </c>
      <c r="H640" s="50" t="n">
        <f aca="false">MAX(0,IF(AND(Parameter!$B$21="Ja",ISNUMBER(Y640)),Y640,IF(Parameter!$B$20="Jahresanfang 2025 + Export",BR640+BQ640,BQ640)))</f>
        <v>37</v>
      </c>
      <c r="I640" s="50" t="n">
        <f aca="false">H640*G640</f>
        <v>0.37</v>
      </c>
      <c r="J640" s="50" t="n">
        <f aca="false">BT640*Parameter!$B$18</f>
        <v>0</v>
      </c>
      <c r="K640" s="51" t="n">
        <v>0</v>
      </c>
      <c r="L640" s="52" t="n">
        <v>0</v>
      </c>
      <c r="M640" s="50" t="n">
        <v>0</v>
      </c>
      <c r="N640" s="50" t="n">
        <v>1</v>
      </c>
      <c r="O640" s="53" t="n">
        <v>999</v>
      </c>
      <c r="P640" s="48" t="s">
        <v>177</v>
      </c>
      <c r="Q640" s="50"/>
      <c r="R640" s="53" t="n">
        <f aca="false">IF(BZ640=1,0,IFERROR(VLOOKUP(BX640,'Gebinde-Kategorie'!$A$5:$N$45,13,0)+0,0))</f>
        <v>26</v>
      </c>
      <c r="S640" s="54"/>
      <c r="T640" s="55" t="s">
        <v>284</v>
      </c>
      <c r="U640" s="55"/>
      <c r="V640" s="55"/>
      <c r="W640" s="48"/>
      <c r="X640" s="50"/>
      <c r="Y640" s="50"/>
      <c r="Z640" s="48" t="n">
        <f aca="false">IF(A640="","",IF(AND(Parameter!$B$21="Ja",ISNUMBER(W640)),W640,IF(CC640="2+3",IF(ISNUMBER(SEARCH("grosser Artikel",BU640)),2,IFERROR(VLOOKUP(BX640,Parameter!$F$35:$G$64,2,0),2)),IF(OR(CC640="Nein",CC640=""),"-",CC640))))</f>
        <v>3</v>
      </c>
      <c r="AA640" s="55"/>
      <c r="AB640" s="56"/>
      <c r="AC640" s="50" t="n">
        <f aca="false">AV640</f>
        <v>1</v>
      </c>
      <c r="AD640" s="50" t="n">
        <f aca="false">MAX(AV640,H640)</f>
        <v>37</v>
      </c>
      <c r="AE640" s="57"/>
      <c r="AF640" s="50" t="n">
        <f aca="false">IF(LEFT(Cockpit!$C$5,1)="A",H640,IF(Parameter!$E$30="MAX-Bestand",IF(CH640=1,CI640,IF(LEFT(Cockpit!$C$5,1)="B",AL640,MAX(AL640,H640))),ROUNDUP(AJ640,0)))</f>
        <v>37</v>
      </c>
      <c r="AG640" s="50" t="n">
        <f aca="false">IF(BZ640=1,0,ROUNDUP(AF640/BY640,0))</f>
        <v>1</v>
      </c>
      <c r="AH640" s="52" t="n">
        <f aca="false">IF(CQ640&gt;0,CQ640*MAX(1,AF640/X640),IF(BZ640=1,IF(AF640&lt;=0,0,CD640*MAX(1,IF(H640&gt;0,AF640/H640,1))),IF(R640&gt;0,AG640/R640,0))/MAX(0.1,N(Parameter!$M$21)))</f>
        <v>0.0384615384615385</v>
      </c>
      <c r="AI640" s="50" t="n">
        <f aca="false">AH640*CB640</f>
        <v>5.96153846153846</v>
      </c>
      <c r="AJ640" s="51" t="n">
        <f aca="false">IF(LEFT(Cockpit!$C$5,1)="A",H640,IF(CH640=1,(CK640+CI640)/2,IF(LEFT(Cockpit!$C$5,1)="B",(CK640+AL640)/2,MAX((CK640+AL640)/2,H640))))</f>
        <v>37</v>
      </c>
      <c r="AK640" s="50" t="n">
        <f aca="false">AJ640*G640</f>
        <v>0.37</v>
      </c>
      <c r="AL640" s="50" t="n">
        <f aca="false">ROUNDUP(CK640+MAX(CL640,2*(J640/IF(CG640&gt;0,CG640,MAX(0.1,N(Cockpit!$C$6)))-CK640)),0)</f>
        <v>1</v>
      </c>
      <c r="AM640" s="51" t="n">
        <f aca="false">IF(AI640&gt;0,J640/AI640,-1)</f>
        <v>0</v>
      </c>
      <c r="AN640" s="51" t="n">
        <f aca="false">IF(AND(OR(CF640="L1",CF640="L23",CF640="LIFT"),AI640&gt;0),SUMIFS($AI$7:$AI$1843,$CF$7:$CF$1843,CF640,$AM$7:$AM$1843,"&gt;"&amp;AM640)+SUMIFS($AI$7:$AI$1843,$CF$7:$CF$1843,CF640,$AM$7:$AM$1843,AM640,$BW$7:$BW$1843,"&lt;="&amp;BW640),"")</f>
        <v>28593.2085014797</v>
      </c>
      <c r="AO640" s="58" t="n">
        <f aca="false">IF(AN640="",0,MAX(0,MIN(1,(IF(CF640="L1",Parameter!$H$5,IF(CF640="L23",Parameter!$H$6+Parameter!$H$7,Parameter!$H$5+Parameter!$H$6+Parameter!$H$7))-(AN640-AI640))/AI640)))</f>
        <v>1</v>
      </c>
      <c r="AP640" s="50" t="n">
        <f aca="false">IF(LEFT(Cockpit!$I$5,1)="A",H640,IF(Parameter!$E$30="MAX-Bestand",IF(CH640=1,CI640,IF(LEFT(Cockpit!$I$5,1)="B",AV640,MAX(AV640,H640))),ROUNDUP(AT640,0)))</f>
        <v>37</v>
      </c>
      <c r="AQ640" s="50" t="n">
        <f aca="false">IF(BZ640=1,0,ROUNDUP(AP640/BY640,0))</f>
        <v>1</v>
      </c>
      <c r="AR640" s="52" t="n">
        <f aca="false">IF(CQ640&gt;0,CQ640*MAX(1,AP640/X640),IF(BZ640=1,IF(AP640&lt;=0,0,CD640*MAX(1,IF(H640&gt;0,AP640/H640,1))),IF(R640&gt;0,AQ640/R640,0))/MAX(0.1,N(Parameter!$M$21)))</f>
        <v>0.0384615384615385</v>
      </c>
      <c r="AS640" s="50" t="n">
        <f aca="false">AR640*CB640</f>
        <v>5.96153846153846</v>
      </c>
      <c r="AT640" s="51" t="n">
        <f aca="false">IF(LEFT(Cockpit!$I$5,1)="A",H640,IF(CH640=1,(CK640+CI640)/2,IF(LEFT(Cockpit!$I$5,1)="B",(CK640+AV640)/2,MAX((CK640+AV640)/2,H640))))</f>
        <v>37</v>
      </c>
      <c r="AU640" s="50" t="n">
        <f aca="false">AT640*G640</f>
        <v>0.37</v>
      </c>
      <c r="AV640" s="50" t="n">
        <f aca="false">ROUNDUP(CK640+MAX(CL640,2*(J640/IF(CG640&gt;0,CG640,MAX(0.1,N(Cockpit!$I$6)))-CK640)),0)</f>
        <v>1</v>
      </c>
      <c r="AW640" s="51" t="n">
        <f aca="false">IF(AS640&gt;0,J640/AS640,-1)</f>
        <v>0</v>
      </c>
      <c r="AX640" s="51" t="n">
        <f aca="false">IF(AND(OR(CF640="L1",CF640="L23",CF640="LIFT"),AS640&gt;0),SUMIFS($AS$7:$AS$1843,$CF$7:$CF$1843,CF640,$AW$7:$AW$1843,"&gt;"&amp;AW640)+SUMIFS($AS$7:$AS$1843,$CF$7:$CF$1843,CF640,$AW$7:$AW$1843,AW640,$BW$7:$BW$1843,"&lt;="&amp;BW640),"")</f>
        <v>33946.3571428571</v>
      </c>
      <c r="AY640" s="58" t="n">
        <f aca="false">IF(AX640="",0,MAX(0,MIN(1,(IF(CF640="L1",Parameter!$H$5,IF(CF640="L23",Parameter!$H$6+Parameter!$H$7,Parameter!$H$5+Parameter!$H$6+Parameter!$H$7))-(AX640-AS640))/AS640)))</f>
        <v>1</v>
      </c>
      <c r="AZ640" s="50" t="n">
        <f aca="false">IF(LEFT(Cockpit!$O$5,1)="A",H640,IF(Parameter!$E$30="MAX-Bestand",IF(CH640=1,CI640,IF(LEFT(Cockpit!$O$5,1)="B",BF640,MAX(BF640,H640))),ROUNDUP(BD640,0)))</f>
        <v>1</v>
      </c>
      <c r="BA640" s="50" t="n">
        <f aca="false">IF(BZ640=1,0,ROUNDUP(AZ640/BY640,0))</f>
        <v>1</v>
      </c>
      <c r="BB640" s="52" t="n">
        <f aca="false">IF(CQ640&gt;0,CQ640*MAX(1,AZ640/X640),IF(BZ640=1,IF(AZ640&lt;=0,0,CD640*MAX(1,IF(H640&gt;0,AZ640/H640,1))),IF(R640&gt;0,BA640/R640,0))/MAX(0.1,N(Parameter!$M$21)))</f>
        <v>0.0384615384615385</v>
      </c>
      <c r="BC640" s="50" t="n">
        <f aca="false">BB640*CB640</f>
        <v>5.96153846153846</v>
      </c>
      <c r="BD640" s="51" t="n">
        <f aca="false">IF(LEFT(Cockpit!$O$5,1)="A",H640,IF(CH640=1,(CK640+CI640)/2,IF(LEFT(Cockpit!$O$5,1)="B",(CK640+BF640)/2,MAX((CK640+BF640)/2,H640))))</f>
        <v>0.5</v>
      </c>
      <c r="BE640" s="50" t="n">
        <f aca="false">BD640*G640</f>
        <v>0.005</v>
      </c>
      <c r="BF640" s="50" t="n">
        <f aca="false">ROUNDUP(CK640+MAX(CL640,2*(J640/IF(CG640&gt;0,CG640,MAX(0.1,N(Cockpit!$O$6)))-CK640)),0)</f>
        <v>1</v>
      </c>
      <c r="BG640" s="51" t="n">
        <f aca="false">IF(BC640&gt;0,J640/BC640,-1)</f>
        <v>0</v>
      </c>
      <c r="BH640" s="51" t="n">
        <f aca="false">IF(AND(OR(CF640="L1",CF640="L23",CF640="LIFT"),BC640&gt;0),SUMIFS($BC$7:$BC$1843,$CF$7:$CF$1843,CF640,$BG$7:$BG$1843,"&gt;"&amp;BG640)+SUMIFS($BC$7:$BC$1843,$CF$7:$CF$1843,CF640,$BG$7:$BG$1843,BG640,$BW$7:$BW$1843,"&lt;="&amp;BW640),"")</f>
        <v>28012.7004330415</v>
      </c>
      <c r="BI640" s="58" t="n">
        <f aca="false">IF(BH640="",0,MAX(0,MIN(1,(IF(CF640="L1",Parameter!$H$5,IF(CF640="L23",Parameter!$H$6+Parameter!$H$7,Parameter!$H$5+Parameter!$H$6+Parameter!$H$7))-(BH640-BC640))/BC640)))</f>
        <v>1</v>
      </c>
      <c r="BJ640" s="48" t="str">
        <f aca="false">IF(AI640&lt;=0,"",IF(CF640="Aussen","Aussenlager",IF(CF640="-","Nicht im Lift",IF(AO640&gt;=1,"Lift",IF(AO640&lt;=0,"Aussenlager","teilweise")))))</f>
        <v>Lift</v>
      </c>
      <c r="BK640" s="48" t="str">
        <f aca="false">IF(AS640&lt;=0,"",IF(CF640="Aussen","Aussenlager",IF(CF640="-","Nicht im Lift",IF(AY640&gt;=1,"Lift",IF(AY640&lt;=0,"Aussenlager","teilweise")))))</f>
        <v>Lift</v>
      </c>
      <c r="BL640" s="48" t="str">
        <f aca="false">IF(BC640&lt;=0,"",IF(CF640="Aussen","Aussenlager",IF(CF640="-","Nicht im Lift",IF(BI640&gt;=1,"Lift",IF(BI640&lt;=0,"Aussenlager","teilweise")))))</f>
        <v>Lift</v>
      </c>
      <c r="BM640" s="48" t="str">
        <f aca="false">IF(A640="","",IF(BV640=1,"Neu; ","")&amp;IF(AND(BV640=0,BQ640&lt;0),"negativer Bestand (Export "&amp;BQ640&amp;"); ","")&amp;IF(J640&lt;=0,"Kein Verbrauch; ","")&amp;IF(CQ640&gt;0,"Lift "&amp;W640&amp;" lt. Liftbericht (Fach "&amp;X640&amp;" Stk); ",IF(CA640=1,"Gebinde geschätzt ("&amp;T640&amp;"); ",IF(BZ640=1,"Lose – Tablare geschätzt; ","")))&amp;IF(H640&gt;AV640,"Überbestand "&amp;ROUND(H640-AV640,0)&amp;" Stk / CHF "&amp;ROUND((H640-AV640)*G640,0)&amp;"; ","")&amp;IF(AND(CH640=1,CI640&lt;CJ640),"MAX &lt; MB+LG; ","")&amp;IF(AND(CP640&gt;0,CO640*10&gt;CP640),"zu hoch für Tablar; ","")&amp;IF(AND(BV640=0,OR(CH640=1,AA640&lt;&gt;"",U640&lt;&gt;"",V640&lt;&gt;"",AB640&lt;&gt;"")),"manuell übersteuert; ","")&amp;IF(AND(BZ640=0,R640=0),"Gebinde unbekannt / Stellmass fehlt; ","")&amp;IF(AND(BZ640=0,N(V640)&lt;=0,N(Q640)&lt;=0),"Menge pro Gebinde fehlt (Ist = 1 Gebinde); ","")&amp;BU640)</f>
        <v>Kein Verbrauch; Gebinde geschätzt (Klein); Überbestand 36 Stk / CHF 0; Menge pro Gebinde fehlt (Ist = 1 Gebinde); </v>
      </c>
      <c r="BN640" s="48"/>
      <c r="BO640" s="48"/>
      <c r="BP640" s="55"/>
      <c r="BQ640" s="50" t="n">
        <v>37</v>
      </c>
      <c r="BR640" s="50" t="n">
        <v>0</v>
      </c>
      <c r="BS640" s="49" t="n">
        <v>0.37</v>
      </c>
      <c r="BT640" s="50" t="n">
        <v>0</v>
      </c>
      <c r="BU640" s="48"/>
      <c r="BV640" s="53" t="n">
        <v>0</v>
      </c>
      <c r="BW640" s="53" t="n">
        <v>640</v>
      </c>
      <c r="BX640" s="48" t="str">
        <f aca="false">IF(U640&lt;&gt;"",UPPER(TRIM(U640)),IF(CA640=1,UPPER(VLOOKUP(T640,Parameter!$I$27:$K$29,2,0)),IF(P640="","LOSE",P640)))</f>
        <v>S51</v>
      </c>
      <c r="BY640" s="50" t="n">
        <f aca="false">IF(BX640="LOSE",1,IF(N(V640)&gt;0,V640,IF(CA640=1,MAX(1,N(VLOOKUP(T640,Parameter!$I$27:$K$29,3,0)),H640,N(N640)),IF(N(Q640)&gt;0,Q640,MAX(1,H640)))))</f>
        <v>37</v>
      </c>
      <c r="BZ640" s="53" t="n">
        <f aca="false">IF(BX640="LOSE",1,0)</f>
        <v>0</v>
      </c>
      <c r="CA640" s="53" t="n">
        <f aca="false">IF(AND(U640="",OR(P640="",P640="LOSE"),T640&lt;&gt;"",N(S640)&lt;=0,ISNUMBER(MATCH(T640,Parameter!$I$27:$I$29,0))),1,0)</f>
        <v>1</v>
      </c>
      <c r="CB640" s="53" t="n">
        <f aca="false">IF(CQ640&gt;0,INDEX(Parameter!$H$5:$H$7,W640)/INDEX(Parameter!$E$5:$E$7,W640),IF(AND(BZ640=0,N(IFERROR(VLOOKUP(BX640,'Gebinde-Kategorie'!$A$5:$N$45,14,0),0))&gt;0),VLOOKUP(BX640,'Gebinde-Kategorie'!$A$5:$N$45,14,0)*10+Parameter!$M$23,Parameter!$M$24))</f>
        <v>155</v>
      </c>
      <c r="CC640" s="48" t="str">
        <f aca="false">IF(AND(Parameter!$B$19="Ja",E640&lt;&gt;"",ISNUMBER(MATCH(E640,Parameter!$I$35:$I$52,0))),VLOOKUP(E640,Parameter!$I$35:$J$52,2,0),IFERROR(VLOOKUP(D640,Parameter!$A$35:$C$64,2,0),"Nein"))</f>
        <v>2+3</v>
      </c>
      <c r="CD640" s="52" t="n">
        <f aca="false">IF(BZ640=0,0,IF(N(S640)&gt;0,S640,IFERROR(VLOOKUP(D640,Parameter!$A$35:$C$64,3,0)+0,0)))</f>
        <v>0</v>
      </c>
      <c r="CE640" s="48" t="n">
        <f aca="false">IF(AA640&lt;&gt;"",AA640,Z640)</f>
        <v>3</v>
      </c>
      <c r="CF640" s="48" t="str">
        <f aca="false">IF(OR(CE640=1,CE640=2,CE640=3),IF(Parameter!$E$27="Ja","LIFT",IF(CE640=1,"L1","L23")),IF(CE640="Aussen","Aussen","-"))</f>
        <v>LIFT</v>
      </c>
      <c r="CG640" s="59" t="n">
        <f aca="false">IF(N(AB640)&gt;0,AB640,0)</f>
        <v>0</v>
      </c>
      <c r="CH640" s="53" t="n">
        <f aca="false">IF(ISNUMBER(AE640),1,0)</f>
        <v>0</v>
      </c>
      <c r="CI640" s="50" t="n">
        <f aca="false">N(AE640)</f>
        <v>0</v>
      </c>
      <c r="CJ640" s="50" t="n">
        <f aca="false">N(M640)+N(N640)</f>
        <v>1</v>
      </c>
      <c r="CK640" s="50" t="n">
        <f aca="false">N(M640)</f>
        <v>0</v>
      </c>
      <c r="CL640" s="50" t="n">
        <f aca="false">N(N640)</f>
        <v>1</v>
      </c>
      <c r="CM640" s="50" t="n">
        <f aca="false">ROUNDUP(H640/BY640,0)</f>
        <v>1</v>
      </c>
      <c r="CN640" s="50" t="n">
        <f aca="false">ROUNDUP(CI640/BY640,0)</f>
        <v>0</v>
      </c>
      <c r="CO640" s="53" t="n">
        <f aca="false">IF(BZ640=1,0,IFERROR(VLOOKUP(BX640,'Gebinde-Kategorie'!$A$5:$N$45,5,0)+0,0))</f>
        <v>11</v>
      </c>
      <c r="CP640" s="53" t="n">
        <f aca="false">IFERROR(IF(OR(CE640=1,CE640=2,CE640=3),N(INDEX(Parameter!$I$5:$I$7,CE640)),0),0)</f>
        <v>0</v>
      </c>
      <c r="CQ640" s="52" t="n">
        <f aca="false">IF(AND(Parameter!$B$21="Ja",ISNUMBER(W640),N(X640)&gt;0),IFERROR(N(INDEX(Parameter!$L$5:$L$7,W640))*INDEX(Parameter!$E$5:$E$7,W640)*X640/SUMIFS($X$7:$X$1843,$W$7:$W$1843,W640),0),0)</f>
        <v>0</v>
      </c>
    </row>
    <row r="641" customFormat="false" ht="15" hidden="false" customHeight="false" outlineLevel="0" collapsed="false">
      <c r="A641" s="48" t="s">
        <v>1314</v>
      </c>
      <c r="B641" s="48" t="s">
        <v>1315</v>
      </c>
      <c r="C641" s="48" t="s">
        <v>173</v>
      </c>
      <c r="D641" s="48" t="s">
        <v>193</v>
      </c>
      <c r="E641" s="48" t="s">
        <v>194</v>
      </c>
      <c r="F641" s="48" t="s">
        <v>227</v>
      </c>
      <c r="G641" s="49" t="n">
        <v>0.01</v>
      </c>
      <c r="H641" s="50" t="n">
        <f aca="false">MAX(0,IF(AND(Parameter!$B$21="Ja",ISNUMBER(Y641)),Y641,IF(Parameter!$B$20="Jahresanfang 2025 + Export",BR641+BQ641,BQ641)))</f>
        <v>76</v>
      </c>
      <c r="I641" s="50" t="n">
        <f aca="false">H641*G641</f>
        <v>0.76</v>
      </c>
      <c r="J641" s="50" t="n">
        <f aca="false">BT641*Parameter!$B$18</f>
        <v>56</v>
      </c>
      <c r="K641" s="51" t="n">
        <v>59</v>
      </c>
      <c r="L641" s="52" t="n">
        <v>0.949152542372881</v>
      </c>
      <c r="M641" s="50" t="n">
        <v>3</v>
      </c>
      <c r="N641" s="50" t="n">
        <v>100</v>
      </c>
      <c r="O641" s="53" t="n">
        <v>21</v>
      </c>
      <c r="P641" s="48" t="s">
        <v>435</v>
      </c>
      <c r="Q641" s="50" t="n">
        <v>161</v>
      </c>
      <c r="R641" s="53" t="n">
        <f aca="false">IF(BZ641=1,0,IFERROR(VLOOKUP(BX641,'Gebinde-Kategorie'!$A$5:$N$45,13,0)+0,0))</f>
        <v>140</v>
      </c>
      <c r="S641" s="54"/>
      <c r="T641" s="55"/>
      <c r="U641" s="55"/>
      <c r="V641" s="55"/>
      <c r="W641" s="48"/>
      <c r="X641" s="50"/>
      <c r="Y641" s="50"/>
      <c r="Z641" s="48" t="n">
        <f aca="false">IF(A641="","",IF(AND(Parameter!$B$21="Ja",ISNUMBER(W641)),W641,IF(CC641="2+3",IF(ISNUMBER(SEARCH("grosser Artikel",BU641)),2,IFERROR(VLOOKUP(BX641,Parameter!$F$35:$G$64,2,0),2)),IF(OR(CC641="Nein",CC641=""),"-",CC641))))</f>
        <v>3</v>
      </c>
      <c r="AA641" s="55"/>
      <c r="AB641" s="56"/>
      <c r="AC641" s="50" t="n">
        <f aca="false">AV641</f>
        <v>103</v>
      </c>
      <c r="AD641" s="50" t="n">
        <f aca="false">MAX(AV641,H641)</f>
        <v>103</v>
      </c>
      <c r="AE641" s="57"/>
      <c r="AF641" s="50" t="n">
        <f aca="false">IF(LEFT(Cockpit!$C$5,1)="A",H641,IF(Parameter!$E$30="MAX-Bestand",IF(CH641=1,CI641,IF(LEFT(Cockpit!$C$5,1)="B",AL641,MAX(AL641,H641))),ROUNDUP(AJ641,0)))</f>
        <v>76</v>
      </c>
      <c r="AG641" s="50" t="n">
        <f aca="false">IF(BZ641=1,0,ROUNDUP(AF641/BY641,0))</f>
        <v>1</v>
      </c>
      <c r="AH641" s="52" t="n">
        <f aca="false">IF(CQ641&gt;0,CQ641*MAX(1,AF641/X641),IF(BZ641=1,IF(AF641&lt;=0,0,CD641*MAX(1,IF(H641&gt;0,AF641/H641,1))),IF(R641&gt;0,AG641/R641,0))/MAX(0.1,N(Parameter!$M$21)))</f>
        <v>0.00714285714285714</v>
      </c>
      <c r="AI641" s="50" t="n">
        <f aca="false">AH641*CB641</f>
        <v>1.10714285714286</v>
      </c>
      <c r="AJ641" s="51" t="n">
        <f aca="false">IF(LEFT(Cockpit!$C$5,1)="A",H641,IF(CH641=1,(CK641+CI641)/2,IF(LEFT(Cockpit!$C$5,1)="B",(CK641+AL641)/2,MAX((CK641+AL641)/2,H641))))</f>
        <v>76</v>
      </c>
      <c r="AK641" s="50" t="n">
        <f aca="false">AJ641*G641</f>
        <v>0.76</v>
      </c>
      <c r="AL641" s="50" t="n">
        <f aca="false">ROUNDUP(CK641+MAX(CL641,2*(J641/IF(CG641&gt;0,CG641,MAX(0.1,N(Cockpit!$C$6)))-CK641)),0)</f>
        <v>103</v>
      </c>
      <c r="AM641" s="51" t="n">
        <f aca="false">IF(AI641&gt;0,J641/AI641,-1)</f>
        <v>50.5806451612903</v>
      </c>
      <c r="AN641" s="51" t="n">
        <f aca="false">IF(AND(OR(CF641="L1",CF641="L23",CF641="LIFT"),AI641&gt;0),SUMIFS($AI$7:$AI$1843,$CF$7:$CF$1843,CF641,$AM$7:$AM$1843,"&gt;"&amp;AM641)+SUMIFS($AI$7:$AI$1843,$CF$7:$CF$1843,CF641,$AM$7:$AM$1843,AM641,$BW$7:$BW$1843,"&lt;="&amp;BW641),"")</f>
        <v>1027.98214285714</v>
      </c>
      <c r="AO641" s="58" t="n">
        <f aca="false">IF(AN641="",0,MAX(0,MIN(1,(IF(CF641="L1",Parameter!$H$5,IF(CF641="L23",Parameter!$H$6+Parameter!$H$7,Parameter!$H$5+Parameter!$H$6+Parameter!$H$7))-(AN641-AI641))/AI641)))</f>
        <v>1</v>
      </c>
      <c r="AP641" s="50" t="n">
        <f aca="false">IF(LEFT(Cockpit!$I$5,1)="A",H641,IF(Parameter!$E$30="MAX-Bestand",IF(CH641=1,CI641,IF(LEFT(Cockpit!$I$5,1)="B",AV641,MAX(AV641,H641))),ROUNDUP(AT641,0)))</f>
        <v>76</v>
      </c>
      <c r="AQ641" s="50" t="n">
        <f aca="false">IF(BZ641=1,0,ROUNDUP(AP641/BY641,0))</f>
        <v>1</v>
      </c>
      <c r="AR641" s="52" t="n">
        <f aca="false">IF(CQ641&gt;0,CQ641*MAX(1,AP641/X641),IF(BZ641=1,IF(AP641&lt;=0,0,CD641*MAX(1,IF(H641&gt;0,AP641/H641,1))),IF(R641&gt;0,AQ641/R641,0))/MAX(0.1,N(Parameter!$M$21)))</f>
        <v>0.00714285714285714</v>
      </c>
      <c r="AS641" s="50" t="n">
        <f aca="false">AR641*CB641</f>
        <v>1.10714285714286</v>
      </c>
      <c r="AT641" s="51" t="n">
        <f aca="false">IF(LEFT(Cockpit!$I$5,1)="A",H641,IF(CH641=1,(CK641+CI641)/2,IF(LEFT(Cockpit!$I$5,1)="B",(CK641+AV641)/2,MAX((CK641+AV641)/2,H641))))</f>
        <v>76</v>
      </c>
      <c r="AU641" s="50" t="n">
        <f aca="false">AT641*G641</f>
        <v>0.76</v>
      </c>
      <c r="AV641" s="50" t="n">
        <f aca="false">ROUNDUP(CK641+MAX(CL641,2*(J641/IF(CG641&gt;0,CG641,MAX(0.1,N(Cockpit!$I$6)))-CK641)),0)</f>
        <v>103</v>
      </c>
      <c r="AW641" s="51" t="n">
        <f aca="false">IF(AS641&gt;0,J641/AS641,-1)</f>
        <v>50.5806451612903</v>
      </c>
      <c r="AX641" s="51" t="n">
        <f aca="false">IF(AND(OR(CF641="L1",CF641="L23",CF641="LIFT"),AS641&gt;0),SUMIFS($AS$7:$AS$1843,$CF$7:$CF$1843,CF641,$AW$7:$AW$1843,"&gt;"&amp;AW641)+SUMIFS($AS$7:$AS$1843,$CF$7:$CF$1843,CF641,$AW$7:$AW$1843,AW641,$BW$7:$BW$1843,"&lt;="&amp;BW641),"")</f>
        <v>1311.67811355311</v>
      </c>
      <c r="AY641" s="58" t="n">
        <f aca="false">IF(AX641="",0,MAX(0,MIN(1,(IF(CF641="L1",Parameter!$H$5,IF(CF641="L23",Parameter!$H$6+Parameter!$H$7,Parameter!$H$5+Parameter!$H$6+Parameter!$H$7))-(AX641-AS641))/AS641)))</f>
        <v>1</v>
      </c>
      <c r="AZ641" s="50" t="n">
        <f aca="false">IF(LEFT(Cockpit!$O$5,1)="A",H641,IF(Parameter!$E$30="MAX-Bestand",IF(CH641=1,CI641,IF(LEFT(Cockpit!$O$5,1)="B",BF641,MAX(BF641,H641))),ROUNDUP(BD641,0)))</f>
        <v>53</v>
      </c>
      <c r="BA641" s="50" t="n">
        <f aca="false">IF(BZ641=1,0,ROUNDUP(AZ641/BY641,0))</f>
        <v>1</v>
      </c>
      <c r="BB641" s="52" t="n">
        <f aca="false">IF(CQ641&gt;0,CQ641*MAX(1,AZ641/X641),IF(BZ641=1,IF(AZ641&lt;=0,0,CD641*MAX(1,IF(H641&gt;0,AZ641/H641,1))),IF(R641&gt;0,BA641/R641,0))/MAX(0.1,N(Parameter!$M$21)))</f>
        <v>0.00714285714285714</v>
      </c>
      <c r="BC641" s="50" t="n">
        <f aca="false">BB641*CB641</f>
        <v>1.10714285714286</v>
      </c>
      <c r="BD641" s="51" t="n">
        <f aca="false">IF(LEFT(Cockpit!$O$5,1)="A",H641,IF(CH641=1,(CK641+CI641)/2,IF(LEFT(Cockpit!$O$5,1)="B",(CK641+BF641)/2,MAX((CK641+BF641)/2,H641))))</f>
        <v>53</v>
      </c>
      <c r="BE641" s="50" t="n">
        <f aca="false">BD641*G641</f>
        <v>0.53</v>
      </c>
      <c r="BF641" s="50" t="n">
        <f aca="false">ROUNDUP(CK641+MAX(CL641,2*(J641/IF(CG641&gt;0,CG641,MAX(0.1,N(Cockpit!$O$6)))-CK641)),0)</f>
        <v>103</v>
      </c>
      <c r="BG641" s="51" t="n">
        <f aca="false">IF(BC641&gt;0,J641/BC641,-1)</f>
        <v>50.5806451612903</v>
      </c>
      <c r="BH641" s="51" t="n">
        <f aca="false">IF(AND(OR(CF641="L1",CF641="L23",CF641="LIFT"),BC641&gt;0),SUMIFS($BC$7:$BC$1843,$CF$7:$CF$1843,CF641,$BG$7:$BG$1843,"&gt;"&amp;BG641)+SUMIFS($BC$7:$BC$1843,$CF$7:$CF$1843,CF641,$BG$7:$BG$1843,BG641,$BW$7:$BW$1843,"&lt;="&amp;BW641),"")</f>
        <v>1202.15384615385</v>
      </c>
      <c r="BI641" s="58" t="n">
        <f aca="false">IF(BH641="",0,MAX(0,MIN(1,(IF(CF641="L1",Parameter!$H$5,IF(CF641="L23",Parameter!$H$6+Parameter!$H$7,Parameter!$H$5+Parameter!$H$6+Parameter!$H$7))-(BH641-BC641))/BC641)))</f>
        <v>1</v>
      </c>
      <c r="BJ641" s="48" t="str">
        <f aca="false">IF(AI641&lt;=0,"",IF(CF641="Aussen","Aussenlager",IF(CF641="-","Nicht im Lift",IF(AO641&gt;=1,"Lift",IF(AO641&lt;=0,"Aussenlager","teilweise")))))</f>
        <v>Lift</v>
      </c>
      <c r="BK641" s="48" t="str">
        <f aca="false">IF(AS641&lt;=0,"",IF(CF641="Aussen","Aussenlager",IF(CF641="-","Nicht im Lift",IF(AY641&gt;=1,"Lift",IF(AY641&lt;=0,"Aussenlager","teilweise")))))</f>
        <v>Lift</v>
      </c>
      <c r="BL641" s="48" t="str">
        <f aca="false">IF(BC641&lt;=0,"",IF(CF641="Aussen","Aussenlager",IF(CF641="-","Nicht im Lift",IF(BI641&gt;=1,"Lift",IF(BI641&lt;=0,"Aussenlager","teilweise")))))</f>
        <v>Lift</v>
      </c>
      <c r="BM641" s="48" t="str">
        <f aca="false">IF(A641="","",IF(BV641=1,"Neu; ","")&amp;IF(AND(BV641=0,BQ641&lt;0),"negativer Bestand (Export "&amp;BQ641&amp;"); ","")&amp;IF(J641&lt;=0,"Kein Verbrauch; ","")&amp;IF(CQ641&gt;0,"Lift "&amp;W641&amp;" lt. Liftbericht (Fach "&amp;X641&amp;" Stk); ",IF(CA641=1,"Gebinde geschätzt ("&amp;T641&amp;"); ",IF(BZ641=1,"Lose – Tablare geschätzt; ","")))&amp;IF(H641&gt;AV641,"Überbestand "&amp;ROUND(H641-AV641,0)&amp;" Stk / CHF "&amp;ROUND((H641-AV641)*G641,0)&amp;"; ","")&amp;IF(AND(CH641=1,CI641&lt;CJ641),"MAX &lt; MB+LG; ","")&amp;IF(AND(CP641&gt;0,CO641*10&gt;CP641),"zu hoch für Tablar; ","")&amp;IF(AND(BV641=0,OR(CH641=1,AA641&lt;&gt;"",U641&lt;&gt;"",V641&lt;&gt;"",AB641&lt;&gt;"")),"manuell übersteuert; ","")&amp;IF(AND(BZ641=0,R641=0),"Gebinde unbekannt / Stellmass fehlt; ","")&amp;IF(AND(BZ641=0,N(V641)&lt;=0,N(Q641)&lt;=0),"Menge pro Gebinde fehlt (Ist = 1 Gebinde); ","")&amp;BU641)</f>
        <v/>
      </c>
      <c r="BN641" s="48"/>
      <c r="BO641" s="48"/>
      <c r="BP641" s="55"/>
      <c r="BQ641" s="50" t="n">
        <v>37</v>
      </c>
      <c r="BR641" s="50" t="n">
        <v>39</v>
      </c>
      <c r="BS641" s="49" t="n">
        <v>0.369999999999999</v>
      </c>
      <c r="BT641" s="50" t="n">
        <v>56</v>
      </c>
      <c r="BU641" s="48"/>
      <c r="BV641" s="53" t="n">
        <v>0</v>
      </c>
      <c r="BW641" s="53" t="n">
        <v>641</v>
      </c>
      <c r="BX641" s="48" t="str">
        <f aca="false">IF(U641&lt;&gt;"",UPPER(TRIM(U641)),IF(CA641=1,UPPER(VLOOKUP(T641,Parameter!$I$27:$K$29,2,0)),IF(P641="","LOSE",P641)))</f>
        <v>S22</v>
      </c>
      <c r="BY641" s="50" t="n">
        <f aca="false">IF(BX641="LOSE",1,IF(N(V641)&gt;0,V641,IF(CA641=1,MAX(1,N(VLOOKUP(T641,Parameter!$I$27:$K$29,3,0)),H641,N(N641)),IF(N(Q641)&gt;0,Q641,MAX(1,H641)))))</f>
        <v>161</v>
      </c>
      <c r="BZ641" s="53" t="n">
        <f aca="false">IF(BX641="LOSE",1,0)</f>
        <v>0</v>
      </c>
      <c r="CA641" s="53" t="n">
        <f aca="false">IF(AND(U641="",OR(P641="",P641="LOSE"),T641&lt;&gt;"",N(S641)&lt;=0,ISNUMBER(MATCH(T641,Parameter!$I$27:$I$29,0))),1,0)</f>
        <v>0</v>
      </c>
      <c r="CB641" s="53" t="n">
        <f aca="false">IF(CQ641&gt;0,INDEX(Parameter!$H$5:$H$7,W641)/INDEX(Parameter!$E$5:$E$7,W641),IF(AND(BZ641=0,N(IFERROR(VLOOKUP(BX641,'Gebinde-Kategorie'!$A$5:$N$45,14,0),0))&gt;0),VLOOKUP(BX641,'Gebinde-Kategorie'!$A$5:$N$45,14,0)*10+Parameter!$M$23,Parameter!$M$24))</f>
        <v>155</v>
      </c>
      <c r="CC641" s="48" t="str">
        <f aca="false">IF(AND(Parameter!$B$19="Ja",E641&lt;&gt;"",ISNUMBER(MATCH(E641,Parameter!$I$35:$I$52,0))),VLOOKUP(E641,Parameter!$I$35:$J$52,2,0),IFERROR(VLOOKUP(D641,Parameter!$A$35:$C$64,2,0),"Nein"))</f>
        <v>2+3</v>
      </c>
      <c r="CD641" s="52" t="n">
        <f aca="false">IF(BZ641=0,0,IF(N(S641)&gt;0,S641,IFERROR(VLOOKUP(D641,Parameter!$A$35:$C$64,3,0)+0,0)))</f>
        <v>0</v>
      </c>
      <c r="CE641" s="48" t="n">
        <f aca="false">IF(AA641&lt;&gt;"",AA641,Z641)</f>
        <v>3</v>
      </c>
      <c r="CF641" s="48" t="str">
        <f aca="false">IF(OR(CE641=1,CE641=2,CE641=3),IF(Parameter!$E$27="Ja","LIFT",IF(CE641=1,"L1","L23")),IF(CE641="Aussen","Aussen","-"))</f>
        <v>LIFT</v>
      </c>
      <c r="CG641" s="59" t="n">
        <f aca="false">IF(N(AB641)&gt;0,AB641,0)</f>
        <v>0</v>
      </c>
      <c r="CH641" s="53" t="n">
        <f aca="false">IF(ISNUMBER(AE641),1,0)</f>
        <v>0</v>
      </c>
      <c r="CI641" s="50" t="n">
        <f aca="false">N(AE641)</f>
        <v>0</v>
      </c>
      <c r="CJ641" s="50" t="n">
        <f aca="false">N(M641)+N(N641)</f>
        <v>103</v>
      </c>
      <c r="CK641" s="50" t="n">
        <f aca="false">N(M641)</f>
        <v>3</v>
      </c>
      <c r="CL641" s="50" t="n">
        <f aca="false">N(N641)</f>
        <v>100</v>
      </c>
      <c r="CM641" s="50" t="n">
        <f aca="false">ROUNDUP(H641/BY641,0)</f>
        <v>1</v>
      </c>
      <c r="CN641" s="50" t="n">
        <f aca="false">ROUNDUP(CI641/BY641,0)</f>
        <v>0</v>
      </c>
      <c r="CO641" s="53" t="n">
        <f aca="false">IF(BZ641=1,0,IFERROR(VLOOKUP(BX641,'Gebinde-Kategorie'!$A$5:$N$45,5,0)+0,0))</f>
        <v>8</v>
      </c>
      <c r="CP641" s="53" t="n">
        <f aca="false">IFERROR(IF(OR(CE641=1,CE641=2,CE641=3),N(INDEX(Parameter!$I$5:$I$7,CE641)),0),0)</f>
        <v>0</v>
      </c>
      <c r="CQ641" s="52" t="n">
        <f aca="false">IF(AND(Parameter!$B$21="Ja",ISNUMBER(W641),N(X641)&gt;0),IFERROR(N(INDEX(Parameter!$L$5:$L$7,W641))*INDEX(Parameter!$E$5:$E$7,W641)*X641/SUMIFS($X$7:$X$1843,$W$7:$W$1843,W641),0),0)</f>
        <v>0</v>
      </c>
    </row>
    <row r="642" customFormat="false" ht="15" hidden="false" customHeight="false" outlineLevel="0" collapsed="false">
      <c r="A642" s="48" t="s">
        <v>1316</v>
      </c>
      <c r="B642" s="48" t="s">
        <v>1317</v>
      </c>
      <c r="C642" s="48" t="s">
        <v>173</v>
      </c>
      <c r="D642" s="48" t="s">
        <v>182</v>
      </c>
      <c r="E642" s="48"/>
      <c r="F642" s="48" t="s">
        <v>227</v>
      </c>
      <c r="G642" s="49" t="n">
        <v>0.01</v>
      </c>
      <c r="H642" s="50" t="n">
        <f aca="false">MAX(0,IF(AND(Parameter!$B$21="Ja",ISNUMBER(Y642)),Y642,IF(Parameter!$B$20="Jahresanfang 2025 + Export",BR642+BQ642,BQ642)))</f>
        <v>36</v>
      </c>
      <c r="I642" s="50" t="n">
        <f aca="false">H642*G642</f>
        <v>0.36</v>
      </c>
      <c r="J642" s="50" t="n">
        <f aca="false">BT642*Parameter!$B$18</f>
        <v>0</v>
      </c>
      <c r="K642" s="51" t="n">
        <v>0</v>
      </c>
      <c r="L642" s="52" t="n">
        <v>0</v>
      </c>
      <c r="M642" s="50" t="n">
        <v>0</v>
      </c>
      <c r="N642" s="50" t="n">
        <v>1</v>
      </c>
      <c r="O642" s="53" t="n">
        <v>0</v>
      </c>
      <c r="P642" s="48" t="s">
        <v>177</v>
      </c>
      <c r="Q642" s="50"/>
      <c r="R642" s="53" t="n">
        <f aca="false">IF(BZ642=1,0,IFERROR(VLOOKUP(BX642,'Gebinde-Kategorie'!$A$5:$N$45,13,0)+0,0))</f>
        <v>26</v>
      </c>
      <c r="S642" s="54"/>
      <c r="T642" s="55" t="s">
        <v>284</v>
      </c>
      <c r="U642" s="55"/>
      <c r="V642" s="55"/>
      <c r="W642" s="48"/>
      <c r="X642" s="50"/>
      <c r="Y642" s="50"/>
      <c r="Z642" s="48" t="n">
        <f aca="false">IF(A642="","",IF(AND(Parameter!$B$21="Ja",ISNUMBER(W642)),W642,IF(CC642="2+3",IF(ISNUMBER(SEARCH("grosser Artikel",BU642)),2,IFERROR(VLOOKUP(BX642,Parameter!$F$35:$G$64,2,0),2)),IF(OR(CC642="Nein",CC642=""),"-",CC642))))</f>
        <v>3</v>
      </c>
      <c r="AA642" s="55"/>
      <c r="AB642" s="56"/>
      <c r="AC642" s="50" t="n">
        <f aca="false">AV642</f>
        <v>1</v>
      </c>
      <c r="AD642" s="50" t="n">
        <f aca="false">MAX(AV642,H642)</f>
        <v>36</v>
      </c>
      <c r="AE642" s="57"/>
      <c r="AF642" s="50" t="n">
        <f aca="false">IF(LEFT(Cockpit!$C$5,1)="A",H642,IF(Parameter!$E$30="MAX-Bestand",IF(CH642=1,CI642,IF(LEFT(Cockpit!$C$5,1)="B",AL642,MAX(AL642,H642))),ROUNDUP(AJ642,0)))</f>
        <v>36</v>
      </c>
      <c r="AG642" s="50" t="n">
        <f aca="false">IF(BZ642=1,0,ROUNDUP(AF642/BY642,0))</f>
        <v>1</v>
      </c>
      <c r="AH642" s="52" t="n">
        <f aca="false">IF(CQ642&gt;0,CQ642*MAX(1,AF642/X642),IF(BZ642=1,IF(AF642&lt;=0,0,CD642*MAX(1,IF(H642&gt;0,AF642/H642,1))),IF(R642&gt;0,AG642/R642,0))/MAX(0.1,N(Parameter!$M$21)))</f>
        <v>0.0384615384615385</v>
      </c>
      <c r="AI642" s="50" t="n">
        <f aca="false">AH642*CB642</f>
        <v>5.96153846153846</v>
      </c>
      <c r="AJ642" s="51" t="n">
        <f aca="false">IF(LEFT(Cockpit!$C$5,1)="A",H642,IF(CH642=1,(CK642+CI642)/2,IF(LEFT(Cockpit!$C$5,1)="B",(CK642+AL642)/2,MAX((CK642+AL642)/2,H642))))</f>
        <v>36</v>
      </c>
      <c r="AK642" s="50" t="n">
        <f aca="false">AJ642*G642</f>
        <v>0.36</v>
      </c>
      <c r="AL642" s="50" t="n">
        <f aca="false">ROUNDUP(CK642+MAX(CL642,2*(J642/IF(CG642&gt;0,CG642,MAX(0.1,N(Cockpit!$C$6)))-CK642)),0)</f>
        <v>1</v>
      </c>
      <c r="AM642" s="51" t="n">
        <f aca="false">IF(AI642&gt;0,J642/AI642,-1)</f>
        <v>0</v>
      </c>
      <c r="AN642" s="51" t="n">
        <f aca="false">IF(AND(OR(CF642="L1",CF642="L23",CF642="LIFT"),AI642&gt;0),SUMIFS($AI$7:$AI$1843,$CF$7:$CF$1843,CF642,$AM$7:$AM$1843,"&gt;"&amp;AM642)+SUMIFS($AI$7:$AI$1843,$CF$7:$CF$1843,CF642,$AM$7:$AM$1843,AM642,$BW$7:$BW$1843,"&lt;="&amp;BW642),"")</f>
        <v>28599.1700399412</v>
      </c>
      <c r="AO642" s="58" t="n">
        <f aca="false">IF(AN642="",0,MAX(0,MIN(1,(IF(CF642="L1",Parameter!$H$5,IF(CF642="L23",Parameter!$H$6+Parameter!$H$7,Parameter!$H$5+Parameter!$H$6+Parameter!$H$7))-(AN642-AI642))/AI642)))</f>
        <v>1</v>
      </c>
      <c r="AP642" s="50" t="n">
        <f aca="false">IF(LEFT(Cockpit!$I$5,1)="A",H642,IF(Parameter!$E$30="MAX-Bestand",IF(CH642=1,CI642,IF(LEFT(Cockpit!$I$5,1)="B",AV642,MAX(AV642,H642))),ROUNDUP(AT642,0)))</f>
        <v>36</v>
      </c>
      <c r="AQ642" s="50" t="n">
        <f aca="false">IF(BZ642=1,0,ROUNDUP(AP642/BY642,0))</f>
        <v>1</v>
      </c>
      <c r="AR642" s="52" t="n">
        <f aca="false">IF(CQ642&gt;0,CQ642*MAX(1,AP642/X642),IF(BZ642=1,IF(AP642&lt;=0,0,CD642*MAX(1,IF(H642&gt;0,AP642/H642,1))),IF(R642&gt;0,AQ642/R642,0))/MAX(0.1,N(Parameter!$M$21)))</f>
        <v>0.0384615384615385</v>
      </c>
      <c r="AS642" s="50" t="n">
        <f aca="false">AR642*CB642</f>
        <v>5.96153846153846</v>
      </c>
      <c r="AT642" s="51" t="n">
        <f aca="false">IF(LEFT(Cockpit!$I$5,1)="A",H642,IF(CH642=1,(CK642+CI642)/2,IF(LEFT(Cockpit!$I$5,1)="B",(CK642+AV642)/2,MAX((CK642+AV642)/2,H642))))</f>
        <v>36</v>
      </c>
      <c r="AU642" s="50" t="n">
        <f aca="false">AT642*G642</f>
        <v>0.36</v>
      </c>
      <c r="AV642" s="50" t="n">
        <f aca="false">ROUNDUP(CK642+MAX(CL642,2*(J642/IF(CG642&gt;0,CG642,MAX(0.1,N(Cockpit!$I$6)))-CK642)),0)</f>
        <v>1</v>
      </c>
      <c r="AW642" s="51" t="n">
        <f aca="false">IF(AS642&gt;0,J642/AS642,-1)</f>
        <v>0</v>
      </c>
      <c r="AX642" s="51" t="n">
        <f aca="false">IF(AND(OR(CF642="L1",CF642="L23",CF642="LIFT"),AS642&gt;0),SUMIFS($AS$7:$AS$1843,$CF$7:$CF$1843,CF642,$AW$7:$AW$1843,"&gt;"&amp;AW642)+SUMIFS($AS$7:$AS$1843,$CF$7:$CF$1843,CF642,$AW$7:$AW$1843,AW642,$BW$7:$BW$1843,"&lt;="&amp;BW642),"")</f>
        <v>33952.3186813187</v>
      </c>
      <c r="AY642" s="58" t="n">
        <f aca="false">IF(AX642="",0,MAX(0,MIN(1,(IF(CF642="L1",Parameter!$H$5,IF(CF642="L23",Parameter!$H$6+Parameter!$H$7,Parameter!$H$5+Parameter!$H$6+Parameter!$H$7))-(AX642-AS642))/AS642)))</f>
        <v>1</v>
      </c>
      <c r="AZ642" s="50" t="n">
        <f aca="false">IF(LEFT(Cockpit!$O$5,1)="A",H642,IF(Parameter!$E$30="MAX-Bestand",IF(CH642=1,CI642,IF(LEFT(Cockpit!$O$5,1)="B",BF642,MAX(BF642,H642))),ROUNDUP(BD642,0)))</f>
        <v>1</v>
      </c>
      <c r="BA642" s="50" t="n">
        <f aca="false">IF(BZ642=1,0,ROUNDUP(AZ642/BY642,0))</f>
        <v>1</v>
      </c>
      <c r="BB642" s="52" t="n">
        <f aca="false">IF(CQ642&gt;0,CQ642*MAX(1,AZ642/X642),IF(BZ642=1,IF(AZ642&lt;=0,0,CD642*MAX(1,IF(H642&gt;0,AZ642/H642,1))),IF(R642&gt;0,BA642/R642,0))/MAX(0.1,N(Parameter!$M$21)))</f>
        <v>0.0384615384615385</v>
      </c>
      <c r="BC642" s="50" t="n">
        <f aca="false">BB642*CB642</f>
        <v>5.96153846153846</v>
      </c>
      <c r="BD642" s="51" t="n">
        <f aca="false">IF(LEFT(Cockpit!$O$5,1)="A",H642,IF(CH642=1,(CK642+CI642)/2,IF(LEFT(Cockpit!$O$5,1)="B",(CK642+BF642)/2,MAX((CK642+BF642)/2,H642))))</f>
        <v>0.5</v>
      </c>
      <c r="BE642" s="50" t="n">
        <f aca="false">BD642*G642</f>
        <v>0.005</v>
      </c>
      <c r="BF642" s="50" t="n">
        <f aca="false">ROUNDUP(CK642+MAX(CL642,2*(J642/IF(CG642&gt;0,CG642,MAX(0.1,N(Cockpit!$O$6)))-CK642)),0)</f>
        <v>1</v>
      </c>
      <c r="BG642" s="51" t="n">
        <f aca="false">IF(BC642&gt;0,J642/BC642,-1)</f>
        <v>0</v>
      </c>
      <c r="BH642" s="51" t="n">
        <f aca="false">IF(AND(OR(CF642="L1",CF642="L23",CF642="LIFT"),BC642&gt;0),SUMIFS($BC$7:$BC$1843,$CF$7:$CF$1843,CF642,$BG$7:$BG$1843,"&gt;"&amp;BG642)+SUMIFS($BC$7:$BC$1843,$CF$7:$CF$1843,CF642,$BG$7:$BG$1843,BG642,$BW$7:$BW$1843,"&lt;="&amp;BW642),"")</f>
        <v>28018.6619715031</v>
      </c>
      <c r="BI642" s="58" t="n">
        <f aca="false">IF(BH642="",0,MAX(0,MIN(1,(IF(CF642="L1",Parameter!$H$5,IF(CF642="L23",Parameter!$H$6+Parameter!$H$7,Parameter!$H$5+Parameter!$H$6+Parameter!$H$7))-(BH642-BC642))/BC642)))</f>
        <v>1</v>
      </c>
      <c r="BJ642" s="48" t="str">
        <f aca="false">IF(AI642&lt;=0,"",IF(CF642="Aussen","Aussenlager",IF(CF642="-","Nicht im Lift",IF(AO642&gt;=1,"Lift",IF(AO642&lt;=0,"Aussenlager","teilweise")))))</f>
        <v>Lift</v>
      </c>
      <c r="BK642" s="48" t="str">
        <f aca="false">IF(AS642&lt;=0,"",IF(CF642="Aussen","Aussenlager",IF(CF642="-","Nicht im Lift",IF(AY642&gt;=1,"Lift",IF(AY642&lt;=0,"Aussenlager","teilweise")))))</f>
        <v>Lift</v>
      </c>
      <c r="BL642" s="48" t="str">
        <f aca="false">IF(BC642&lt;=0,"",IF(CF642="Aussen","Aussenlager",IF(CF642="-","Nicht im Lift",IF(BI642&gt;=1,"Lift",IF(BI642&lt;=0,"Aussenlager","teilweise")))))</f>
        <v>Lift</v>
      </c>
      <c r="BM642" s="48" t="str">
        <f aca="false">IF(A642="","",IF(BV642=1,"Neu; ","")&amp;IF(AND(BV642=0,BQ642&lt;0),"negativer Bestand (Export "&amp;BQ642&amp;"); ","")&amp;IF(J642&lt;=0,"Kein Verbrauch; ","")&amp;IF(CQ642&gt;0,"Lift "&amp;W642&amp;" lt. Liftbericht (Fach "&amp;X642&amp;" Stk); ",IF(CA642=1,"Gebinde geschätzt ("&amp;T642&amp;"); ",IF(BZ642=1,"Lose – Tablare geschätzt; ","")))&amp;IF(H642&gt;AV642,"Überbestand "&amp;ROUND(H642-AV642,0)&amp;" Stk / CHF "&amp;ROUND((H642-AV642)*G642,0)&amp;"; ","")&amp;IF(AND(CH642=1,CI642&lt;CJ642),"MAX &lt; MB+LG; ","")&amp;IF(AND(CP642&gt;0,CO642*10&gt;CP642),"zu hoch für Tablar; ","")&amp;IF(AND(BV642=0,OR(CH642=1,AA642&lt;&gt;"",U642&lt;&gt;"",V642&lt;&gt;"",AB642&lt;&gt;"")),"manuell übersteuert; ","")&amp;IF(AND(BZ642=0,R642=0),"Gebinde unbekannt / Stellmass fehlt; ","")&amp;IF(AND(BZ642=0,N(V642)&lt;=0,N(Q642)&lt;=0),"Menge pro Gebinde fehlt (Ist = 1 Gebinde); ","")&amp;BU642)</f>
        <v>Kein Verbrauch; Gebinde geschätzt (Klein); Überbestand 35 Stk / CHF 0; Menge pro Gebinde fehlt (Ist = 1 Gebinde); </v>
      </c>
      <c r="BN642" s="48"/>
      <c r="BO642" s="48"/>
      <c r="BP642" s="55"/>
      <c r="BQ642" s="50" t="n">
        <v>36</v>
      </c>
      <c r="BR642" s="50" t="n">
        <v>0</v>
      </c>
      <c r="BS642" s="49" t="n">
        <v>0.36</v>
      </c>
      <c r="BT642" s="50" t="n">
        <v>0</v>
      </c>
      <c r="BU642" s="48"/>
      <c r="BV642" s="53" t="n">
        <v>0</v>
      </c>
      <c r="BW642" s="53" t="n">
        <v>642</v>
      </c>
      <c r="BX642" s="48" t="str">
        <f aca="false">IF(U642&lt;&gt;"",UPPER(TRIM(U642)),IF(CA642=1,UPPER(VLOOKUP(T642,Parameter!$I$27:$K$29,2,0)),IF(P642="","LOSE",P642)))</f>
        <v>S51</v>
      </c>
      <c r="BY642" s="50" t="n">
        <f aca="false">IF(BX642="LOSE",1,IF(N(V642)&gt;0,V642,IF(CA642=1,MAX(1,N(VLOOKUP(T642,Parameter!$I$27:$K$29,3,0)),H642,N(N642)),IF(N(Q642)&gt;0,Q642,MAX(1,H642)))))</f>
        <v>36</v>
      </c>
      <c r="BZ642" s="53" t="n">
        <f aca="false">IF(BX642="LOSE",1,0)</f>
        <v>0</v>
      </c>
      <c r="CA642" s="53" t="n">
        <f aca="false">IF(AND(U642="",OR(P642="",P642="LOSE"),T642&lt;&gt;"",N(S642)&lt;=0,ISNUMBER(MATCH(T642,Parameter!$I$27:$I$29,0))),1,0)</f>
        <v>1</v>
      </c>
      <c r="CB642" s="53" t="n">
        <f aca="false">IF(CQ642&gt;0,INDEX(Parameter!$H$5:$H$7,W642)/INDEX(Parameter!$E$5:$E$7,W642),IF(AND(BZ642=0,N(IFERROR(VLOOKUP(BX642,'Gebinde-Kategorie'!$A$5:$N$45,14,0),0))&gt;0),VLOOKUP(BX642,'Gebinde-Kategorie'!$A$5:$N$45,14,0)*10+Parameter!$M$23,Parameter!$M$24))</f>
        <v>155</v>
      </c>
      <c r="CC642" s="48" t="str">
        <f aca="false">IF(AND(Parameter!$B$19="Ja",E642&lt;&gt;"",ISNUMBER(MATCH(E642,Parameter!$I$35:$I$52,0))),VLOOKUP(E642,Parameter!$I$35:$J$52,2,0),IFERROR(VLOOKUP(D642,Parameter!$A$35:$C$64,2,0),"Nein"))</f>
        <v>2+3</v>
      </c>
      <c r="CD642" s="52" t="n">
        <f aca="false">IF(BZ642=0,0,IF(N(S642)&gt;0,S642,IFERROR(VLOOKUP(D642,Parameter!$A$35:$C$64,3,0)+0,0)))</f>
        <v>0</v>
      </c>
      <c r="CE642" s="48" t="n">
        <f aca="false">IF(AA642&lt;&gt;"",AA642,Z642)</f>
        <v>3</v>
      </c>
      <c r="CF642" s="48" t="str">
        <f aca="false">IF(OR(CE642=1,CE642=2,CE642=3),IF(Parameter!$E$27="Ja","LIFT",IF(CE642=1,"L1","L23")),IF(CE642="Aussen","Aussen","-"))</f>
        <v>LIFT</v>
      </c>
      <c r="CG642" s="59" t="n">
        <f aca="false">IF(N(AB642)&gt;0,AB642,0)</f>
        <v>0</v>
      </c>
      <c r="CH642" s="53" t="n">
        <f aca="false">IF(ISNUMBER(AE642),1,0)</f>
        <v>0</v>
      </c>
      <c r="CI642" s="50" t="n">
        <f aca="false">N(AE642)</f>
        <v>0</v>
      </c>
      <c r="CJ642" s="50" t="n">
        <f aca="false">N(M642)+N(N642)</f>
        <v>1</v>
      </c>
      <c r="CK642" s="50" t="n">
        <f aca="false">N(M642)</f>
        <v>0</v>
      </c>
      <c r="CL642" s="50" t="n">
        <f aca="false">N(N642)</f>
        <v>1</v>
      </c>
      <c r="CM642" s="50" t="n">
        <f aca="false">ROUNDUP(H642/BY642,0)</f>
        <v>1</v>
      </c>
      <c r="CN642" s="50" t="n">
        <f aca="false">ROUNDUP(CI642/BY642,0)</f>
        <v>0</v>
      </c>
      <c r="CO642" s="53" t="n">
        <f aca="false">IF(BZ642=1,0,IFERROR(VLOOKUP(BX642,'Gebinde-Kategorie'!$A$5:$N$45,5,0)+0,0))</f>
        <v>11</v>
      </c>
      <c r="CP642" s="53" t="n">
        <f aca="false">IFERROR(IF(OR(CE642=1,CE642=2,CE642=3),N(INDEX(Parameter!$I$5:$I$7,CE642)),0),0)</f>
        <v>0</v>
      </c>
      <c r="CQ642" s="52" t="n">
        <f aca="false">IF(AND(Parameter!$B$21="Ja",ISNUMBER(W642),N(X642)&gt;0),IFERROR(N(INDEX(Parameter!$L$5:$L$7,W642))*INDEX(Parameter!$E$5:$E$7,W642)*X642/SUMIFS($X$7:$X$1843,$W$7:$W$1843,W642),0),0)</f>
        <v>0</v>
      </c>
    </row>
    <row r="643" customFormat="false" ht="15" hidden="false" customHeight="false" outlineLevel="0" collapsed="false">
      <c r="A643" s="48" t="s">
        <v>1318</v>
      </c>
      <c r="B643" s="48" t="s">
        <v>414</v>
      </c>
      <c r="C643" s="48" t="s">
        <v>173</v>
      </c>
      <c r="D643" s="48" t="s">
        <v>193</v>
      </c>
      <c r="E643" s="48" t="s">
        <v>194</v>
      </c>
      <c r="F643" s="48" t="s">
        <v>227</v>
      </c>
      <c r="G643" s="49" t="n">
        <v>0.09</v>
      </c>
      <c r="H643" s="50" t="n">
        <f aca="false">MAX(0,IF(AND(Parameter!$B$21="Ja",ISNUMBER(Y643)),Y643,IF(Parameter!$B$20="Jahresanfang 2025 + Export",BR643+BQ643,BQ643)))</f>
        <v>266</v>
      </c>
      <c r="I643" s="50" t="n">
        <f aca="false">H643*G643</f>
        <v>23.94</v>
      </c>
      <c r="J643" s="50" t="n">
        <f aca="false">BT643*Parameter!$B$18</f>
        <v>0</v>
      </c>
      <c r="K643" s="51" t="n">
        <v>264</v>
      </c>
      <c r="L643" s="52" t="n">
        <v>0</v>
      </c>
      <c r="M643" s="50" t="n">
        <v>0</v>
      </c>
      <c r="N643" s="50" t="n">
        <v>1</v>
      </c>
      <c r="O643" s="53" t="n">
        <v>14</v>
      </c>
      <c r="P643" s="48" t="s">
        <v>410</v>
      </c>
      <c r="Q643" s="50" t="n">
        <v>94</v>
      </c>
      <c r="R643" s="53" t="n">
        <f aca="false">IF(BZ643=1,0,IFERROR(VLOOKUP(BX643,'Gebinde-Kategorie'!$A$5:$N$45,13,0)+0,0))</f>
        <v>280</v>
      </c>
      <c r="S643" s="54"/>
      <c r="T643" s="55"/>
      <c r="U643" s="55"/>
      <c r="V643" s="55"/>
      <c r="W643" s="48"/>
      <c r="X643" s="50"/>
      <c r="Y643" s="50"/>
      <c r="Z643" s="48" t="n">
        <f aca="false">IF(A643="","",IF(AND(Parameter!$B$21="Ja",ISNUMBER(W643)),W643,IF(CC643="2+3",IF(ISNUMBER(SEARCH("grosser Artikel",BU643)),2,IFERROR(VLOOKUP(BX643,Parameter!$F$35:$G$64,2,0),2)),IF(OR(CC643="Nein",CC643=""),"-",CC643))))</f>
        <v>3</v>
      </c>
      <c r="AA643" s="55"/>
      <c r="AB643" s="56"/>
      <c r="AC643" s="50" t="n">
        <f aca="false">AV643</f>
        <v>1</v>
      </c>
      <c r="AD643" s="50" t="n">
        <f aca="false">MAX(AV643,H643)</f>
        <v>266</v>
      </c>
      <c r="AE643" s="57"/>
      <c r="AF643" s="50" t="n">
        <f aca="false">IF(LEFT(Cockpit!$C$5,1)="A",H643,IF(Parameter!$E$30="MAX-Bestand",IF(CH643=1,CI643,IF(LEFT(Cockpit!$C$5,1)="B",AL643,MAX(AL643,H643))),ROUNDUP(AJ643,0)))</f>
        <v>266</v>
      </c>
      <c r="AG643" s="50" t="n">
        <f aca="false">IF(BZ643=1,0,ROUNDUP(AF643/BY643,0))</f>
        <v>3</v>
      </c>
      <c r="AH643" s="52" t="n">
        <f aca="false">IF(CQ643&gt;0,CQ643*MAX(1,AF643/X643),IF(BZ643=1,IF(AF643&lt;=0,0,CD643*MAX(1,IF(H643&gt;0,AF643/H643,1))),IF(R643&gt;0,AG643/R643,0))/MAX(0.1,N(Parameter!$M$21)))</f>
        <v>0.0107142857142857</v>
      </c>
      <c r="AI643" s="50" t="n">
        <f aca="false">AH643*CB643</f>
        <v>1.66071428571429</v>
      </c>
      <c r="AJ643" s="51" t="n">
        <f aca="false">IF(LEFT(Cockpit!$C$5,1)="A",H643,IF(CH643=1,(CK643+CI643)/2,IF(LEFT(Cockpit!$C$5,1)="B",(CK643+AL643)/2,MAX((CK643+AL643)/2,H643))))</f>
        <v>266</v>
      </c>
      <c r="AK643" s="50" t="n">
        <f aca="false">AJ643*G643</f>
        <v>23.94</v>
      </c>
      <c r="AL643" s="50" t="n">
        <f aca="false">ROUNDUP(CK643+MAX(CL643,2*(J643/IF(CG643&gt;0,CG643,MAX(0.1,N(Cockpit!$C$6)))-CK643)),0)</f>
        <v>1</v>
      </c>
      <c r="AM643" s="51" t="n">
        <f aca="false">IF(AI643&gt;0,J643/AI643,-1)</f>
        <v>0</v>
      </c>
      <c r="AN643" s="51" t="n">
        <f aca="false">IF(AND(OR(CF643="L1",CF643="L23",CF643="LIFT"),AI643&gt;0),SUMIFS($AI$7:$AI$1843,$CF$7:$CF$1843,CF643,$AM$7:$AM$1843,"&gt;"&amp;AM643)+SUMIFS($AI$7:$AI$1843,$CF$7:$CF$1843,CF643,$AM$7:$AM$1843,AM643,$BW$7:$BW$1843,"&lt;="&amp;BW643),"")</f>
        <v>28600.8307542269</v>
      </c>
      <c r="AO643" s="58" t="n">
        <f aca="false">IF(AN643="",0,MAX(0,MIN(1,(IF(CF643="L1",Parameter!$H$5,IF(CF643="L23",Parameter!$H$6+Parameter!$H$7,Parameter!$H$5+Parameter!$H$6+Parameter!$H$7))-(AN643-AI643))/AI643)))</f>
        <v>1</v>
      </c>
      <c r="AP643" s="50" t="n">
        <f aca="false">IF(LEFT(Cockpit!$I$5,1)="A",H643,IF(Parameter!$E$30="MAX-Bestand",IF(CH643=1,CI643,IF(LEFT(Cockpit!$I$5,1)="B",AV643,MAX(AV643,H643))),ROUNDUP(AT643,0)))</f>
        <v>266</v>
      </c>
      <c r="AQ643" s="50" t="n">
        <f aca="false">IF(BZ643=1,0,ROUNDUP(AP643/BY643,0))</f>
        <v>3</v>
      </c>
      <c r="AR643" s="52" t="n">
        <f aca="false">IF(CQ643&gt;0,CQ643*MAX(1,AP643/X643),IF(BZ643=1,IF(AP643&lt;=0,0,CD643*MAX(1,IF(H643&gt;0,AP643/H643,1))),IF(R643&gt;0,AQ643/R643,0))/MAX(0.1,N(Parameter!$M$21)))</f>
        <v>0.0107142857142857</v>
      </c>
      <c r="AS643" s="50" t="n">
        <f aca="false">AR643*CB643</f>
        <v>1.66071428571429</v>
      </c>
      <c r="AT643" s="51" t="n">
        <f aca="false">IF(LEFT(Cockpit!$I$5,1)="A",H643,IF(CH643=1,(CK643+CI643)/2,IF(LEFT(Cockpit!$I$5,1)="B",(CK643+AV643)/2,MAX((CK643+AV643)/2,H643))))</f>
        <v>266</v>
      </c>
      <c r="AU643" s="50" t="n">
        <f aca="false">AT643*G643</f>
        <v>23.94</v>
      </c>
      <c r="AV643" s="50" t="n">
        <f aca="false">ROUNDUP(CK643+MAX(CL643,2*(J643/IF(CG643&gt;0,CG643,MAX(0.1,N(Cockpit!$I$6)))-CK643)),0)</f>
        <v>1</v>
      </c>
      <c r="AW643" s="51" t="n">
        <f aca="false">IF(AS643&gt;0,J643/AS643,-1)</f>
        <v>0</v>
      </c>
      <c r="AX643" s="51" t="n">
        <f aca="false">IF(AND(OR(CF643="L1",CF643="L23",CF643="LIFT"),AS643&gt;0),SUMIFS($AS$7:$AS$1843,$CF$7:$CF$1843,CF643,$AW$7:$AW$1843,"&gt;"&amp;AW643)+SUMIFS($AS$7:$AS$1843,$CF$7:$CF$1843,CF643,$AW$7:$AW$1843,AW643,$BW$7:$BW$1843,"&lt;="&amp;BW643),"")</f>
        <v>33953.9793956044</v>
      </c>
      <c r="AY643" s="58" t="n">
        <f aca="false">IF(AX643="",0,MAX(0,MIN(1,(IF(CF643="L1",Parameter!$H$5,IF(CF643="L23",Parameter!$H$6+Parameter!$H$7,Parameter!$H$5+Parameter!$H$6+Parameter!$H$7))-(AX643-AS643))/AS643)))</f>
        <v>1</v>
      </c>
      <c r="AZ643" s="50" t="n">
        <f aca="false">IF(LEFT(Cockpit!$O$5,1)="A",H643,IF(Parameter!$E$30="MAX-Bestand",IF(CH643=1,CI643,IF(LEFT(Cockpit!$O$5,1)="B",BF643,MAX(BF643,H643))),ROUNDUP(BD643,0)))</f>
        <v>1</v>
      </c>
      <c r="BA643" s="50" t="n">
        <f aca="false">IF(BZ643=1,0,ROUNDUP(AZ643/BY643,0))</f>
        <v>1</v>
      </c>
      <c r="BB643" s="52" t="n">
        <f aca="false">IF(CQ643&gt;0,CQ643*MAX(1,AZ643/X643),IF(BZ643=1,IF(AZ643&lt;=0,0,CD643*MAX(1,IF(H643&gt;0,AZ643/H643,1))),IF(R643&gt;0,BA643/R643,0))/MAX(0.1,N(Parameter!$M$21)))</f>
        <v>0.00357142857142857</v>
      </c>
      <c r="BC643" s="50" t="n">
        <f aca="false">BB643*CB643</f>
        <v>0.553571428571429</v>
      </c>
      <c r="BD643" s="51" t="n">
        <f aca="false">IF(LEFT(Cockpit!$O$5,1)="A",H643,IF(CH643=1,(CK643+CI643)/2,IF(LEFT(Cockpit!$O$5,1)="B",(CK643+BF643)/2,MAX((CK643+BF643)/2,H643))))</f>
        <v>0.5</v>
      </c>
      <c r="BE643" s="50" t="n">
        <f aca="false">BD643*G643</f>
        <v>0.045</v>
      </c>
      <c r="BF643" s="50" t="n">
        <f aca="false">ROUNDUP(CK643+MAX(CL643,2*(J643/IF(CG643&gt;0,CG643,MAX(0.1,N(Cockpit!$O$6)))-CK643)),0)</f>
        <v>1</v>
      </c>
      <c r="BG643" s="51" t="n">
        <f aca="false">IF(BC643&gt;0,J643/BC643,-1)</f>
        <v>0</v>
      </c>
      <c r="BH643" s="51" t="n">
        <f aca="false">IF(AND(OR(CF643="L1",CF643="L23",CF643="LIFT"),BC643&gt;0),SUMIFS($BC$7:$BC$1843,$CF$7:$CF$1843,CF643,$BG$7:$BG$1843,"&gt;"&amp;BG643)+SUMIFS($BC$7:$BC$1843,$CF$7:$CF$1843,CF643,$BG$7:$BG$1843,BG643,$BW$7:$BW$1843,"&lt;="&amp;BW643),"")</f>
        <v>28019.2155429316</v>
      </c>
      <c r="BI643" s="58" t="n">
        <f aca="false">IF(BH643="",0,MAX(0,MIN(1,(IF(CF643="L1",Parameter!$H$5,IF(CF643="L23",Parameter!$H$6+Parameter!$H$7,Parameter!$H$5+Parameter!$H$6+Parameter!$H$7))-(BH643-BC643))/BC643)))</f>
        <v>1</v>
      </c>
      <c r="BJ643" s="48" t="str">
        <f aca="false">IF(AI643&lt;=0,"",IF(CF643="Aussen","Aussenlager",IF(CF643="-","Nicht im Lift",IF(AO643&gt;=1,"Lift",IF(AO643&lt;=0,"Aussenlager","teilweise")))))</f>
        <v>Lift</v>
      </c>
      <c r="BK643" s="48" t="str">
        <f aca="false">IF(AS643&lt;=0,"",IF(CF643="Aussen","Aussenlager",IF(CF643="-","Nicht im Lift",IF(AY643&gt;=1,"Lift",IF(AY643&lt;=0,"Aussenlager","teilweise")))))</f>
        <v>Lift</v>
      </c>
      <c r="BL643" s="48" t="str">
        <f aca="false">IF(BC643&lt;=0,"",IF(CF643="Aussen","Aussenlager",IF(CF643="-","Nicht im Lift",IF(BI643&gt;=1,"Lift",IF(BI643&lt;=0,"Aussenlager","teilweise")))))</f>
        <v>Lift</v>
      </c>
      <c r="BM643" s="48" t="str">
        <f aca="false">IF(A643="","",IF(BV643=1,"Neu; ","")&amp;IF(AND(BV643=0,BQ643&lt;0),"negativer Bestand (Export "&amp;BQ643&amp;"); ","")&amp;IF(J643&lt;=0,"Kein Verbrauch; ","")&amp;IF(CQ643&gt;0,"Lift "&amp;W643&amp;" lt. Liftbericht (Fach "&amp;X643&amp;" Stk); ",IF(CA643=1,"Gebinde geschätzt ("&amp;T643&amp;"); ",IF(BZ643=1,"Lose – Tablare geschätzt; ","")))&amp;IF(H643&gt;AV643,"Überbestand "&amp;ROUND(H643-AV643,0)&amp;" Stk / CHF "&amp;ROUND((H643-AV643)*G643,0)&amp;"; ","")&amp;IF(AND(CH643=1,CI643&lt;CJ643),"MAX &lt; MB+LG; ","")&amp;IF(AND(CP643&gt;0,CO643*10&gt;CP643),"zu hoch für Tablar; ","")&amp;IF(AND(BV643=0,OR(CH643=1,AA643&lt;&gt;"",U643&lt;&gt;"",V643&lt;&gt;"",AB643&lt;&gt;"")),"manuell übersteuert; ","")&amp;IF(AND(BZ643=0,R643=0),"Gebinde unbekannt / Stellmass fehlt; ","")&amp;IF(AND(BZ643=0,N(V643)&lt;=0,N(Q643)&lt;=0),"Menge pro Gebinde fehlt (Ist = 1 Gebinde); ","")&amp;BU643)</f>
        <v>Kein Verbrauch; Überbestand 265 Stk / CHF 24; Überbestand</v>
      </c>
      <c r="BN643" s="48"/>
      <c r="BO643" s="48"/>
      <c r="BP643" s="55"/>
      <c r="BQ643" s="50" t="n">
        <v>4</v>
      </c>
      <c r="BR643" s="50" t="n">
        <v>262</v>
      </c>
      <c r="BS643" s="49" t="n">
        <v>0.36</v>
      </c>
      <c r="BT643" s="50" t="n">
        <v>0</v>
      </c>
      <c r="BU643" s="48" t="s">
        <v>401</v>
      </c>
      <c r="BV643" s="53" t="n">
        <v>0</v>
      </c>
      <c r="BW643" s="53" t="n">
        <v>643</v>
      </c>
      <c r="BX643" s="48" t="str">
        <f aca="false">IF(U643&lt;&gt;"",UPPER(TRIM(U643)),IF(CA643=1,UPPER(VLOOKUP(T643,Parameter!$I$27:$K$29,2,0)),IF(P643="","LOSE",P643)))</f>
        <v>S21</v>
      </c>
      <c r="BY643" s="50" t="n">
        <f aca="false">IF(BX643="LOSE",1,IF(N(V643)&gt;0,V643,IF(CA643=1,MAX(1,N(VLOOKUP(T643,Parameter!$I$27:$K$29,3,0)),H643,N(N643)),IF(N(Q643)&gt;0,Q643,MAX(1,H643)))))</f>
        <v>94</v>
      </c>
      <c r="BZ643" s="53" t="n">
        <f aca="false">IF(BX643="LOSE",1,0)</f>
        <v>0</v>
      </c>
      <c r="CA643" s="53" t="n">
        <f aca="false">IF(AND(U643="",OR(P643="",P643="LOSE"),T643&lt;&gt;"",N(S643)&lt;=0,ISNUMBER(MATCH(T643,Parameter!$I$27:$I$29,0))),1,0)</f>
        <v>0</v>
      </c>
      <c r="CB643" s="53" t="n">
        <f aca="false">IF(CQ643&gt;0,INDEX(Parameter!$H$5:$H$7,W643)/INDEX(Parameter!$E$5:$E$7,W643),IF(AND(BZ643=0,N(IFERROR(VLOOKUP(BX643,'Gebinde-Kategorie'!$A$5:$N$45,14,0),0))&gt;0),VLOOKUP(BX643,'Gebinde-Kategorie'!$A$5:$N$45,14,0)*10+Parameter!$M$23,Parameter!$M$24))</f>
        <v>155</v>
      </c>
      <c r="CC643" s="48" t="str">
        <f aca="false">IF(AND(Parameter!$B$19="Ja",E643&lt;&gt;"",ISNUMBER(MATCH(E643,Parameter!$I$35:$I$52,0))),VLOOKUP(E643,Parameter!$I$35:$J$52,2,0),IFERROR(VLOOKUP(D643,Parameter!$A$35:$C$64,2,0),"Nein"))</f>
        <v>2+3</v>
      </c>
      <c r="CD643" s="52" t="n">
        <f aca="false">IF(BZ643=0,0,IF(N(S643)&gt;0,S643,IFERROR(VLOOKUP(D643,Parameter!$A$35:$C$64,3,0)+0,0)))</f>
        <v>0</v>
      </c>
      <c r="CE643" s="48" t="n">
        <f aca="false">IF(AA643&lt;&gt;"",AA643,Z643)</f>
        <v>3</v>
      </c>
      <c r="CF643" s="48" t="str">
        <f aca="false">IF(OR(CE643=1,CE643=2,CE643=3),IF(Parameter!$E$27="Ja","LIFT",IF(CE643=1,"L1","L23")),IF(CE643="Aussen","Aussen","-"))</f>
        <v>LIFT</v>
      </c>
      <c r="CG643" s="59" t="n">
        <f aca="false">IF(N(AB643)&gt;0,AB643,0)</f>
        <v>0</v>
      </c>
      <c r="CH643" s="53" t="n">
        <f aca="false">IF(ISNUMBER(AE643),1,0)</f>
        <v>0</v>
      </c>
      <c r="CI643" s="50" t="n">
        <f aca="false">N(AE643)</f>
        <v>0</v>
      </c>
      <c r="CJ643" s="50" t="n">
        <f aca="false">N(M643)+N(N643)</f>
        <v>1</v>
      </c>
      <c r="CK643" s="50" t="n">
        <f aca="false">N(M643)</f>
        <v>0</v>
      </c>
      <c r="CL643" s="50" t="n">
        <f aca="false">N(N643)</f>
        <v>1</v>
      </c>
      <c r="CM643" s="50" t="n">
        <f aca="false">ROUNDUP(H643/BY643,0)</f>
        <v>3</v>
      </c>
      <c r="CN643" s="50" t="n">
        <f aca="false">ROUNDUP(CI643/BY643,0)</f>
        <v>0</v>
      </c>
      <c r="CO643" s="53" t="n">
        <f aca="false">IF(BZ643=1,0,IFERROR(VLOOKUP(BX643,'Gebinde-Kategorie'!$A$5:$N$45,5,0)+0,0))</f>
        <v>8</v>
      </c>
      <c r="CP643" s="53" t="n">
        <f aca="false">IFERROR(IF(OR(CE643=1,CE643=2,CE643=3),N(INDEX(Parameter!$I$5:$I$7,CE643)),0),0)</f>
        <v>0</v>
      </c>
      <c r="CQ643" s="52" t="n">
        <f aca="false">IF(AND(Parameter!$B$21="Ja",ISNUMBER(W643),N(X643)&gt;0),IFERROR(N(INDEX(Parameter!$L$5:$L$7,W643))*INDEX(Parameter!$E$5:$E$7,W643)*X643/SUMIFS($X$7:$X$1843,$W$7:$W$1843,W643),0),0)</f>
        <v>0</v>
      </c>
    </row>
    <row r="644" customFormat="false" ht="15" hidden="false" customHeight="false" outlineLevel="0" collapsed="false">
      <c r="A644" s="48" t="s">
        <v>1319</v>
      </c>
      <c r="B644" s="48" t="s">
        <v>1245</v>
      </c>
      <c r="C644" s="48" t="s">
        <v>173</v>
      </c>
      <c r="D644" s="48" t="s">
        <v>193</v>
      </c>
      <c r="E644" s="48" t="s">
        <v>194</v>
      </c>
      <c r="F644" s="48" t="s">
        <v>227</v>
      </c>
      <c r="G644" s="49" t="n">
        <v>0.04</v>
      </c>
      <c r="H644" s="50" t="n">
        <f aca="false">MAX(0,IF(AND(Parameter!$B$21="Ja",ISNUMBER(Y644)),Y644,IF(Parameter!$B$20="Jahresanfang 2025 + Export",BR644+BQ644,BQ644)))</f>
        <v>166</v>
      </c>
      <c r="I644" s="50" t="n">
        <f aca="false">H644*G644</f>
        <v>6.64</v>
      </c>
      <c r="J644" s="50" t="n">
        <f aca="false">BT644*Parameter!$B$18</f>
        <v>4</v>
      </c>
      <c r="K644" s="51" t="n">
        <v>162</v>
      </c>
      <c r="L644" s="52" t="n">
        <v>0.0246913580246914</v>
      </c>
      <c r="M644" s="50" t="n">
        <v>0</v>
      </c>
      <c r="N644" s="50" t="n">
        <v>5</v>
      </c>
      <c r="O644" s="53" t="n">
        <v>21</v>
      </c>
      <c r="P644" s="48" t="s">
        <v>410</v>
      </c>
      <c r="Q644" s="50" t="n">
        <v>169</v>
      </c>
      <c r="R644" s="53" t="n">
        <f aca="false">IF(BZ644=1,0,IFERROR(VLOOKUP(BX644,'Gebinde-Kategorie'!$A$5:$N$45,13,0)+0,0))</f>
        <v>280</v>
      </c>
      <c r="S644" s="54"/>
      <c r="T644" s="55"/>
      <c r="U644" s="55"/>
      <c r="V644" s="55"/>
      <c r="W644" s="48"/>
      <c r="X644" s="50"/>
      <c r="Y644" s="50"/>
      <c r="Z644" s="48" t="n">
        <f aca="false">IF(A644="","",IF(AND(Parameter!$B$21="Ja",ISNUMBER(W644)),W644,IF(CC644="2+3",IF(ISNUMBER(SEARCH("grosser Artikel",BU644)),2,IFERROR(VLOOKUP(BX644,Parameter!$F$35:$G$64,2,0),2)),IF(OR(CC644="Nein",CC644=""),"-",CC644))))</f>
        <v>3</v>
      </c>
      <c r="AA644" s="55"/>
      <c r="AB644" s="56"/>
      <c r="AC644" s="50" t="n">
        <f aca="false">AV644</f>
        <v>5</v>
      </c>
      <c r="AD644" s="50" t="n">
        <f aca="false">MAX(AV644,H644)</f>
        <v>166</v>
      </c>
      <c r="AE644" s="57"/>
      <c r="AF644" s="50" t="n">
        <f aca="false">IF(LEFT(Cockpit!$C$5,1)="A",H644,IF(Parameter!$E$30="MAX-Bestand",IF(CH644=1,CI644,IF(LEFT(Cockpit!$C$5,1)="B",AL644,MAX(AL644,H644))),ROUNDUP(AJ644,0)))</f>
        <v>166</v>
      </c>
      <c r="AG644" s="50" t="n">
        <f aca="false">IF(BZ644=1,0,ROUNDUP(AF644/BY644,0))</f>
        <v>1</v>
      </c>
      <c r="AH644" s="52" t="n">
        <f aca="false">IF(CQ644&gt;0,CQ644*MAX(1,AF644/X644),IF(BZ644=1,IF(AF644&lt;=0,0,CD644*MAX(1,IF(H644&gt;0,AF644/H644,1))),IF(R644&gt;0,AG644/R644,0))/MAX(0.1,N(Parameter!$M$21)))</f>
        <v>0.00357142857142857</v>
      </c>
      <c r="AI644" s="50" t="n">
        <f aca="false">AH644*CB644</f>
        <v>0.553571428571429</v>
      </c>
      <c r="AJ644" s="51" t="n">
        <f aca="false">IF(LEFT(Cockpit!$C$5,1)="A",H644,IF(CH644=1,(CK644+CI644)/2,IF(LEFT(Cockpit!$C$5,1)="B",(CK644+AL644)/2,MAX((CK644+AL644)/2,H644))))</f>
        <v>166</v>
      </c>
      <c r="AK644" s="50" t="n">
        <f aca="false">AJ644*G644</f>
        <v>6.64</v>
      </c>
      <c r="AL644" s="50" t="n">
        <f aca="false">ROUNDUP(CK644+MAX(CL644,2*(J644/IF(CG644&gt;0,CG644,MAX(0.1,N(Cockpit!$C$6)))-CK644)),0)</f>
        <v>5</v>
      </c>
      <c r="AM644" s="51" t="n">
        <f aca="false">IF(AI644&gt;0,J644/AI644,-1)</f>
        <v>7.2258064516129</v>
      </c>
      <c r="AN644" s="51" t="n">
        <f aca="false">IF(AND(OR(CF644="L1",CF644="L23",CF644="LIFT"),AI644&gt;0),SUMIFS($AI$7:$AI$1843,$CF$7:$CF$1843,CF644,$AM$7:$AM$1843,"&gt;"&amp;AM644)+SUMIFS($AI$7:$AI$1843,$CF$7:$CF$1843,CF644,$AM$7:$AM$1843,AM644,$BW$7:$BW$1843,"&lt;="&amp;BW644),"")</f>
        <v>3156.69001831502</v>
      </c>
      <c r="AO644" s="58" t="n">
        <f aca="false">IF(AN644="",0,MAX(0,MIN(1,(IF(CF644="L1",Parameter!$H$5,IF(CF644="L23",Parameter!$H$6+Parameter!$H$7,Parameter!$H$5+Parameter!$H$6+Parameter!$H$7))-(AN644-AI644))/AI644)))</f>
        <v>1</v>
      </c>
      <c r="AP644" s="50" t="n">
        <f aca="false">IF(LEFT(Cockpit!$I$5,1)="A",H644,IF(Parameter!$E$30="MAX-Bestand",IF(CH644=1,CI644,IF(LEFT(Cockpit!$I$5,1)="B",AV644,MAX(AV644,H644))),ROUNDUP(AT644,0)))</f>
        <v>166</v>
      </c>
      <c r="AQ644" s="50" t="n">
        <f aca="false">IF(BZ644=1,0,ROUNDUP(AP644/BY644,0))</f>
        <v>1</v>
      </c>
      <c r="AR644" s="52" t="n">
        <f aca="false">IF(CQ644&gt;0,CQ644*MAX(1,AP644/X644),IF(BZ644=1,IF(AP644&lt;=0,0,CD644*MAX(1,IF(H644&gt;0,AP644/H644,1))),IF(R644&gt;0,AQ644/R644,0))/MAX(0.1,N(Parameter!$M$21)))</f>
        <v>0.00357142857142857</v>
      </c>
      <c r="AS644" s="50" t="n">
        <f aca="false">AR644*CB644</f>
        <v>0.553571428571429</v>
      </c>
      <c r="AT644" s="51" t="n">
        <f aca="false">IF(LEFT(Cockpit!$I$5,1)="A",H644,IF(CH644=1,(CK644+CI644)/2,IF(LEFT(Cockpit!$I$5,1)="B",(CK644+AV644)/2,MAX((CK644+AV644)/2,H644))))</f>
        <v>166</v>
      </c>
      <c r="AU644" s="50" t="n">
        <f aca="false">AT644*G644</f>
        <v>6.64</v>
      </c>
      <c r="AV644" s="50" t="n">
        <f aca="false">ROUNDUP(CK644+MAX(CL644,2*(J644/IF(CG644&gt;0,CG644,MAX(0.1,N(Cockpit!$I$6)))-CK644)),0)</f>
        <v>5</v>
      </c>
      <c r="AW644" s="51" t="n">
        <f aca="false">IF(AS644&gt;0,J644/AS644,-1)</f>
        <v>7.2258064516129</v>
      </c>
      <c r="AX644" s="51" t="n">
        <f aca="false">IF(AND(OR(CF644="L1",CF644="L23",CF644="LIFT"),AS644&gt;0),SUMIFS($AS$7:$AS$1843,$CF$7:$CF$1843,CF644,$AW$7:$AW$1843,"&gt;"&amp;AW644)+SUMIFS($AS$7:$AS$1843,$CF$7:$CF$1843,CF644,$AW$7:$AW$1843,AW644,$BW$7:$BW$1843,"&lt;="&amp;BW644),"")</f>
        <v>3817.00137362637</v>
      </c>
      <c r="AY644" s="58" t="n">
        <f aca="false">IF(AX644="",0,MAX(0,MIN(1,(IF(CF644="L1",Parameter!$H$5,IF(CF644="L23",Parameter!$H$6+Parameter!$H$7,Parameter!$H$5+Parameter!$H$6+Parameter!$H$7))-(AX644-AS644))/AS644)))</f>
        <v>1</v>
      </c>
      <c r="AZ644" s="50" t="n">
        <f aca="false">IF(LEFT(Cockpit!$O$5,1)="A",H644,IF(Parameter!$E$30="MAX-Bestand",IF(CH644=1,CI644,IF(LEFT(Cockpit!$O$5,1)="B",BF644,MAX(BF644,H644))),ROUNDUP(BD644,0)))</f>
        <v>3</v>
      </c>
      <c r="BA644" s="50" t="n">
        <f aca="false">IF(BZ644=1,0,ROUNDUP(AZ644/BY644,0))</f>
        <v>1</v>
      </c>
      <c r="BB644" s="52" t="n">
        <f aca="false">IF(CQ644&gt;0,CQ644*MAX(1,AZ644/X644),IF(BZ644=1,IF(AZ644&lt;=0,0,CD644*MAX(1,IF(H644&gt;0,AZ644/H644,1))),IF(R644&gt;0,BA644/R644,0))/MAX(0.1,N(Parameter!$M$21)))</f>
        <v>0.00357142857142857</v>
      </c>
      <c r="BC644" s="50" t="n">
        <f aca="false">BB644*CB644</f>
        <v>0.553571428571429</v>
      </c>
      <c r="BD644" s="51" t="n">
        <f aca="false">IF(LEFT(Cockpit!$O$5,1)="A",H644,IF(CH644=1,(CK644+CI644)/2,IF(LEFT(Cockpit!$O$5,1)="B",(CK644+BF644)/2,MAX((CK644+BF644)/2,H644))))</f>
        <v>2.5</v>
      </c>
      <c r="BE644" s="50" t="n">
        <f aca="false">BD644*G644</f>
        <v>0.1</v>
      </c>
      <c r="BF644" s="50" t="n">
        <f aca="false">ROUNDUP(CK644+MAX(CL644,2*(J644/IF(CG644&gt;0,CG644,MAX(0.1,N(Cockpit!$O$6)))-CK644)),0)</f>
        <v>5</v>
      </c>
      <c r="BG644" s="51" t="n">
        <f aca="false">IF(BC644&gt;0,J644/BC644,-1)</f>
        <v>7.2258064516129</v>
      </c>
      <c r="BH644" s="51" t="n">
        <f aca="false">IF(AND(OR(CF644="L1",CF644="L23",CF644="LIFT"),BC644&gt;0),SUMIFS($BC$7:$BC$1843,$CF$7:$CF$1843,CF644,$BG$7:$BG$1843,"&gt;"&amp;BG644)+SUMIFS($BC$7:$BC$1843,$CF$7:$CF$1843,CF644,$BG$7:$BG$1843,BG644,$BW$7:$BW$1843,"&lt;="&amp;BW644),"")</f>
        <v>3241.45924908425</v>
      </c>
      <c r="BI644" s="58" t="n">
        <f aca="false">IF(BH644="",0,MAX(0,MIN(1,(IF(CF644="L1",Parameter!$H$5,IF(CF644="L23",Parameter!$H$6+Parameter!$H$7,Parameter!$H$5+Parameter!$H$6+Parameter!$H$7))-(BH644-BC644))/BC644)))</f>
        <v>1</v>
      </c>
      <c r="BJ644" s="48" t="str">
        <f aca="false">IF(AI644&lt;=0,"",IF(CF644="Aussen","Aussenlager",IF(CF644="-","Nicht im Lift",IF(AO644&gt;=1,"Lift",IF(AO644&lt;=0,"Aussenlager","teilweise")))))</f>
        <v>Lift</v>
      </c>
      <c r="BK644" s="48" t="str">
        <f aca="false">IF(AS644&lt;=0,"",IF(CF644="Aussen","Aussenlager",IF(CF644="-","Nicht im Lift",IF(AY644&gt;=1,"Lift",IF(AY644&lt;=0,"Aussenlager","teilweise")))))</f>
        <v>Lift</v>
      </c>
      <c r="BL644" s="48" t="str">
        <f aca="false">IF(BC644&lt;=0,"",IF(CF644="Aussen","Aussenlager",IF(CF644="-","Nicht im Lift",IF(BI644&gt;=1,"Lift",IF(BI644&lt;=0,"Aussenlager","teilweise")))))</f>
        <v>Lift</v>
      </c>
      <c r="BM644" s="48" t="str">
        <f aca="false">IF(A644="","",IF(BV644=1,"Neu; ","")&amp;IF(AND(BV644=0,BQ644&lt;0),"negativer Bestand (Export "&amp;BQ644&amp;"); ","")&amp;IF(J644&lt;=0,"Kein Verbrauch; ","")&amp;IF(CQ644&gt;0,"Lift "&amp;W644&amp;" lt. Liftbericht (Fach "&amp;X644&amp;" Stk); ",IF(CA644=1,"Gebinde geschätzt ("&amp;T644&amp;"); ",IF(BZ644=1,"Lose – Tablare geschätzt; ","")))&amp;IF(H644&gt;AV644,"Überbestand "&amp;ROUND(H644-AV644,0)&amp;" Stk / CHF "&amp;ROUND((H644-AV644)*G644,0)&amp;"; ","")&amp;IF(AND(CH644=1,CI644&lt;CJ644),"MAX &lt; MB+LG; ","")&amp;IF(AND(CP644&gt;0,CO644*10&gt;CP644),"zu hoch für Tablar; ","")&amp;IF(AND(BV644=0,OR(CH644=1,AA644&lt;&gt;"",U644&lt;&gt;"",V644&lt;&gt;"",AB644&lt;&gt;"")),"manuell übersteuert; ","")&amp;IF(AND(BZ644=0,R644=0),"Gebinde unbekannt / Stellmass fehlt; ","")&amp;IF(AND(BZ644=0,N(V644)&lt;=0,N(Q644)&lt;=0),"Menge pro Gebinde fehlt (Ist = 1 Gebinde); ","")&amp;BU644)</f>
        <v>Überbestand 161 Stk / CHF 6; Überbestand</v>
      </c>
      <c r="BN644" s="48"/>
      <c r="BO644" s="48"/>
      <c r="BP644" s="55"/>
      <c r="BQ644" s="50" t="n">
        <v>7</v>
      </c>
      <c r="BR644" s="50" t="n">
        <v>159</v>
      </c>
      <c r="BS644" s="49" t="n">
        <v>0.28</v>
      </c>
      <c r="BT644" s="50" t="n">
        <v>4</v>
      </c>
      <c r="BU644" s="48" t="s">
        <v>401</v>
      </c>
      <c r="BV644" s="53" t="n">
        <v>0</v>
      </c>
      <c r="BW644" s="53" t="n">
        <v>644</v>
      </c>
      <c r="BX644" s="48" t="str">
        <f aca="false">IF(U644&lt;&gt;"",UPPER(TRIM(U644)),IF(CA644=1,UPPER(VLOOKUP(T644,Parameter!$I$27:$K$29,2,0)),IF(P644="","LOSE",P644)))</f>
        <v>S21</v>
      </c>
      <c r="BY644" s="50" t="n">
        <f aca="false">IF(BX644="LOSE",1,IF(N(V644)&gt;0,V644,IF(CA644=1,MAX(1,N(VLOOKUP(T644,Parameter!$I$27:$K$29,3,0)),H644,N(N644)),IF(N(Q644)&gt;0,Q644,MAX(1,H644)))))</f>
        <v>169</v>
      </c>
      <c r="BZ644" s="53" t="n">
        <f aca="false">IF(BX644="LOSE",1,0)</f>
        <v>0</v>
      </c>
      <c r="CA644" s="53" t="n">
        <f aca="false">IF(AND(U644="",OR(P644="",P644="LOSE"),T644&lt;&gt;"",N(S644)&lt;=0,ISNUMBER(MATCH(T644,Parameter!$I$27:$I$29,0))),1,0)</f>
        <v>0</v>
      </c>
      <c r="CB644" s="53" t="n">
        <f aca="false">IF(CQ644&gt;0,INDEX(Parameter!$H$5:$H$7,W644)/INDEX(Parameter!$E$5:$E$7,W644),IF(AND(BZ644=0,N(IFERROR(VLOOKUP(BX644,'Gebinde-Kategorie'!$A$5:$N$45,14,0),0))&gt;0),VLOOKUP(BX644,'Gebinde-Kategorie'!$A$5:$N$45,14,0)*10+Parameter!$M$23,Parameter!$M$24))</f>
        <v>155</v>
      </c>
      <c r="CC644" s="48" t="str">
        <f aca="false">IF(AND(Parameter!$B$19="Ja",E644&lt;&gt;"",ISNUMBER(MATCH(E644,Parameter!$I$35:$I$52,0))),VLOOKUP(E644,Parameter!$I$35:$J$52,2,0),IFERROR(VLOOKUP(D644,Parameter!$A$35:$C$64,2,0),"Nein"))</f>
        <v>2+3</v>
      </c>
      <c r="CD644" s="52" t="n">
        <f aca="false">IF(BZ644=0,0,IF(N(S644)&gt;0,S644,IFERROR(VLOOKUP(D644,Parameter!$A$35:$C$64,3,0)+0,0)))</f>
        <v>0</v>
      </c>
      <c r="CE644" s="48" t="n">
        <f aca="false">IF(AA644&lt;&gt;"",AA644,Z644)</f>
        <v>3</v>
      </c>
      <c r="CF644" s="48" t="str">
        <f aca="false">IF(OR(CE644=1,CE644=2,CE644=3),IF(Parameter!$E$27="Ja","LIFT",IF(CE644=1,"L1","L23")),IF(CE644="Aussen","Aussen","-"))</f>
        <v>LIFT</v>
      </c>
      <c r="CG644" s="59" t="n">
        <f aca="false">IF(N(AB644)&gt;0,AB644,0)</f>
        <v>0</v>
      </c>
      <c r="CH644" s="53" t="n">
        <f aca="false">IF(ISNUMBER(AE644),1,0)</f>
        <v>0</v>
      </c>
      <c r="CI644" s="50" t="n">
        <f aca="false">N(AE644)</f>
        <v>0</v>
      </c>
      <c r="CJ644" s="50" t="n">
        <f aca="false">N(M644)+N(N644)</f>
        <v>5</v>
      </c>
      <c r="CK644" s="50" t="n">
        <f aca="false">N(M644)</f>
        <v>0</v>
      </c>
      <c r="CL644" s="50" t="n">
        <f aca="false">N(N644)</f>
        <v>5</v>
      </c>
      <c r="CM644" s="50" t="n">
        <f aca="false">ROUNDUP(H644/BY644,0)</f>
        <v>1</v>
      </c>
      <c r="CN644" s="50" t="n">
        <f aca="false">ROUNDUP(CI644/BY644,0)</f>
        <v>0</v>
      </c>
      <c r="CO644" s="53" t="n">
        <f aca="false">IF(BZ644=1,0,IFERROR(VLOOKUP(BX644,'Gebinde-Kategorie'!$A$5:$N$45,5,0)+0,0))</f>
        <v>8</v>
      </c>
      <c r="CP644" s="53" t="n">
        <f aca="false">IFERROR(IF(OR(CE644=1,CE644=2,CE644=3),N(INDEX(Parameter!$I$5:$I$7,CE644)),0),0)</f>
        <v>0</v>
      </c>
      <c r="CQ644" s="52" t="n">
        <f aca="false">IF(AND(Parameter!$B$21="Ja",ISNUMBER(W644),N(X644)&gt;0),IFERROR(N(INDEX(Parameter!$L$5:$L$7,W644))*INDEX(Parameter!$E$5:$E$7,W644)*X644/SUMIFS($X$7:$X$1843,$W$7:$W$1843,W644),0),0)</f>
        <v>0</v>
      </c>
    </row>
    <row r="645" customFormat="false" ht="15" hidden="false" customHeight="false" outlineLevel="0" collapsed="false">
      <c r="A645" s="48" t="s">
        <v>1320</v>
      </c>
      <c r="B645" s="48" t="s">
        <v>958</v>
      </c>
      <c r="C645" s="48" t="s">
        <v>173</v>
      </c>
      <c r="D645" s="48" t="s">
        <v>1004</v>
      </c>
      <c r="E645" s="48"/>
      <c r="F645" s="48" t="s">
        <v>227</v>
      </c>
      <c r="G645" s="49" t="n">
        <v>0.07</v>
      </c>
      <c r="H645" s="50" t="n">
        <f aca="false">MAX(0,IF(AND(Parameter!$B$21="Ja",ISNUMBER(Y645)),Y645,IF(Parameter!$B$20="Jahresanfang 2025 + Export",BR645+BQ645,BQ645)))</f>
        <v>3</v>
      </c>
      <c r="I645" s="50" t="n">
        <f aca="false">H645*G645</f>
        <v>0.21</v>
      </c>
      <c r="J645" s="50" t="n">
        <f aca="false">BT645*Parameter!$B$18</f>
        <v>96</v>
      </c>
      <c r="K645" s="51" t="n">
        <v>1.5</v>
      </c>
      <c r="L645" s="52" t="n">
        <v>64</v>
      </c>
      <c r="M645" s="50" t="n">
        <v>0</v>
      </c>
      <c r="N645" s="50" t="n">
        <v>100</v>
      </c>
      <c r="O645" s="53" t="n">
        <v>21</v>
      </c>
      <c r="P645" s="48" t="s">
        <v>177</v>
      </c>
      <c r="Q645" s="50"/>
      <c r="R645" s="53" t="n">
        <f aca="false">IF(BZ645=1,0,IFERROR(VLOOKUP(BX645,'Gebinde-Kategorie'!$A$5:$N$45,13,0)+0,0))</f>
        <v>0</v>
      </c>
      <c r="S645" s="54"/>
      <c r="T645" s="55"/>
      <c r="U645" s="55"/>
      <c r="V645" s="55"/>
      <c r="W645" s="48"/>
      <c r="X645" s="50"/>
      <c r="Y645" s="50"/>
      <c r="Z645" s="48" t="str">
        <f aca="false">IF(A645="","",IF(AND(Parameter!$B$21="Ja",ISNUMBER(W645)),W645,IF(CC645="2+3",IF(ISNUMBER(SEARCH("grosser Artikel",BU645)),2,IFERROR(VLOOKUP(BX645,Parameter!$F$35:$G$64,2,0),2)),IF(OR(CC645="Nein",CC645=""),"-",CC645))))</f>
        <v>-</v>
      </c>
      <c r="AA645" s="55"/>
      <c r="AB645" s="56"/>
      <c r="AC645" s="50" t="n">
        <f aca="false">AV645</f>
        <v>100</v>
      </c>
      <c r="AD645" s="50" t="n">
        <f aca="false">MAX(AV645,H645)</f>
        <v>100</v>
      </c>
      <c r="AE645" s="57"/>
      <c r="AF645" s="50" t="n">
        <f aca="false">IF(LEFT(Cockpit!$C$5,1)="A",H645,IF(Parameter!$E$30="MAX-Bestand",IF(CH645=1,CI645,IF(LEFT(Cockpit!$C$5,1)="B",AL645,MAX(AL645,H645))),ROUNDUP(AJ645,0)))</f>
        <v>3</v>
      </c>
      <c r="AG645" s="50" t="n">
        <f aca="false">IF(BZ645=1,0,ROUNDUP(AF645/BY645,0))</f>
        <v>0</v>
      </c>
      <c r="AH645" s="52" t="n">
        <f aca="false">IF(CQ645&gt;0,CQ645*MAX(1,AF645/X645),IF(BZ645=1,IF(AF645&lt;=0,0,CD645*MAX(1,IF(H645&gt;0,AF645/H645,1))),IF(R645&gt;0,AG645/R645,0))/MAX(0.1,N(Parameter!$M$21)))</f>
        <v>0.15</v>
      </c>
      <c r="AI645" s="50" t="n">
        <f aca="false">AH645*CB645</f>
        <v>35.25</v>
      </c>
      <c r="AJ645" s="51" t="n">
        <f aca="false">IF(LEFT(Cockpit!$C$5,1)="A",H645,IF(CH645=1,(CK645+CI645)/2,IF(LEFT(Cockpit!$C$5,1)="B",(CK645+AL645)/2,MAX((CK645+AL645)/2,H645))))</f>
        <v>3</v>
      </c>
      <c r="AK645" s="50" t="n">
        <f aca="false">AJ645*G645</f>
        <v>0.21</v>
      </c>
      <c r="AL645" s="50" t="n">
        <f aca="false">ROUNDUP(CK645+MAX(CL645,2*(J645/IF(CG645&gt;0,CG645,MAX(0.1,N(Cockpit!$C$6)))-CK645)),0)</f>
        <v>100</v>
      </c>
      <c r="AM645" s="51" t="n">
        <f aca="false">IF(AI645&gt;0,J645/AI645,-1)</f>
        <v>2.72340425531915</v>
      </c>
      <c r="AN645" s="51" t="str">
        <f aca="false">IF(AND(OR(CF645="L1",CF645="L23",CF645="LIFT"),AI645&gt;0),SUMIFS($AI$7:$AI$1843,$CF$7:$CF$1843,CF645,$AM$7:$AM$1843,"&gt;"&amp;AM645)+SUMIFS($AI$7:$AI$1843,$CF$7:$CF$1843,CF645,$AM$7:$AM$1843,AM645,$BW$7:$BW$1843,"&lt;="&amp;BW645),"")</f>
        <v/>
      </c>
      <c r="AO645" s="58" t="n">
        <f aca="false">IF(AN645="",0,MAX(0,MIN(1,(IF(CF645="L1",Parameter!$H$5,IF(CF645="L23",Parameter!$H$6+Parameter!$H$7,Parameter!$H$5+Parameter!$H$6+Parameter!$H$7))-(AN645-AI645))/AI645)))</f>
        <v>0</v>
      </c>
      <c r="AP645" s="50" t="n">
        <f aca="false">IF(LEFT(Cockpit!$I$5,1)="A",H645,IF(Parameter!$E$30="MAX-Bestand",IF(CH645=1,CI645,IF(LEFT(Cockpit!$I$5,1)="B",AV645,MAX(AV645,H645))),ROUNDUP(AT645,0)))</f>
        <v>50</v>
      </c>
      <c r="AQ645" s="50" t="n">
        <f aca="false">IF(BZ645=1,0,ROUNDUP(AP645/BY645,0))</f>
        <v>0</v>
      </c>
      <c r="AR645" s="52" t="n">
        <f aca="false">IF(CQ645&gt;0,CQ645*MAX(1,AP645/X645),IF(BZ645=1,IF(AP645&lt;=0,0,CD645*MAX(1,IF(H645&gt;0,AP645/H645,1))),IF(R645&gt;0,AQ645/R645,0))/MAX(0.1,N(Parameter!$M$21)))</f>
        <v>2.5</v>
      </c>
      <c r="AS645" s="50" t="n">
        <f aca="false">AR645*CB645</f>
        <v>587.5</v>
      </c>
      <c r="AT645" s="51" t="n">
        <f aca="false">IF(LEFT(Cockpit!$I$5,1)="A",H645,IF(CH645=1,(CK645+CI645)/2,IF(LEFT(Cockpit!$I$5,1)="B",(CK645+AV645)/2,MAX((CK645+AV645)/2,H645))))</f>
        <v>50</v>
      </c>
      <c r="AU645" s="50" t="n">
        <f aca="false">AT645*G645</f>
        <v>3.5</v>
      </c>
      <c r="AV645" s="50" t="n">
        <f aca="false">ROUNDUP(CK645+MAX(CL645,2*(J645/IF(CG645&gt;0,CG645,MAX(0.1,N(Cockpit!$I$6)))-CK645)),0)</f>
        <v>100</v>
      </c>
      <c r="AW645" s="51" t="n">
        <f aca="false">IF(AS645&gt;0,J645/AS645,-1)</f>
        <v>0.163404255319149</v>
      </c>
      <c r="AX645" s="51" t="str">
        <f aca="false">IF(AND(OR(CF645="L1",CF645="L23",CF645="LIFT"),AS645&gt;0),SUMIFS($AS$7:$AS$1843,$CF$7:$CF$1843,CF645,$AW$7:$AW$1843,"&gt;"&amp;AW645)+SUMIFS($AS$7:$AS$1843,$CF$7:$CF$1843,CF645,$AW$7:$AW$1843,AW645,$BW$7:$BW$1843,"&lt;="&amp;BW645),"")</f>
        <v/>
      </c>
      <c r="AY645" s="58" t="n">
        <f aca="false">IF(AX645="",0,MAX(0,MIN(1,(IF(CF645="L1",Parameter!$H$5,IF(CF645="L23",Parameter!$H$6+Parameter!$H$7,Parameter!$H$5+Parameter!$H$6+Parameter!$H$7))-(AX645-AS645))/AS645)))</f>
        <v>0</v>
      </c>
      <c r="AZ645" s="50" t="n">
        <f aca="false">IF(LEFT(Cockpit!$O$5,1)="A",H645,IF(Parameter!$E$30="MAX-Bestand",IF(CH645=1,CI645,IF(LEFT(Cockpit!$O$5,1)="B",BF645,MAX(BF645,H645))),ROUNDUP(BD645,0)))</f>
        <v>50</v>
      </c>
      <c r="BA645" s="50" t="n">
        <f aca="false">IF(BZ645=1,0,ROUNDUP(AZ645/BY645,0))</f>
        <v>0</v>
      </c>
      <c r="BB645" s="52" t="n">
        <f aca="false">IF(CQ645&gt;0,CQ645*MAX(1,AZ645/X645),IF(BZ645=1,IF(AZ645&lt;=0,0,CD645*MAX(1,IF(H645&gt;0,AZ645/H645,1))),IF(R645&gt;0,BA645/R645,0))/MAX(0.1,N(Parameter!$M$21)))</f>
        <v>2.5</v>
      </c>
      <c r="BC645" s="50" t="n">
        <f aca="false">BB645*CB645</f>
        <v>587.5</v>
      </c>
      <c r="BD645" s="51" t="n">
        <f aca="false">IF(LEFT(Cockpit!$O$5,1)="A",H645,IF(CH645=1,(CK645+CI645)/2,IF(LEFT(Cockpit!$O$5,1)="B",(CK645+BF645)/2,MAX((CK645+BF645)/2,H645))))</f>
        <v>50</v>
      </c>
      <c r="BE645" s="50" t="n">
        <f aca="false">BD645*G645</f>
        <v>3.5</v>
      </c>
      <c r="BF645" s="50" t="n">
        <f aca="false">ROUNDUP(CK645+MAX(CL645,2*(J645/IF(CG645&gt;0,CG645,MAX(0.1,N(Cockpit!$O$6)))-CK645)),0)</f>
        <v>100</v>
      </c>
      <c r="BG645" s="51" t="n">
        <f aca="false">IF(BC645&gt;0,J645/BC645,-1)</f>
        <v>0.163404255319149</v>
      </c>
      <c r="BH645" s="51" t="str">
        <f aca="false">IF(AND(OR(CF645="L1",CF645="L23",CF645="LIFT"),BC645&gt;0),SUMIFS($BC$7:$BC$1843,$CF$7:$CF$1843,CF645,$BG$7:$BG$1843,"&gt;"&amp;BG645)+SUMIFS($BC$7:$BC$1843,$CF$7:$CF$1843,CF645,$BG$7:$BG$1843,BG645,$BW$7:$BW$1843,"&lt;="&amp;BW645),"")</f>
        <v/>
      </c>
      <c r="BI645" s="58" t="n">
        <f aca="false">IF(BH645="",0,MAX(0,MIN(1,(IF(CF645="L1",Parameter!$H$5,IF(CF645="L23",Parameter!$H$6+Parameter!$H$7,Parameter!$H$5+Parameter!$H$6+Parameter!$H$7))-(BH645-BC645))/BC645)))</f>
        <v>0</v>
      </c>
      <c r="BJ645" s="48" t="str">
        <f aca="false">IF(AI645&lt;=0,"",IF(CF645="Aussen","Aussenlager",IF(CF645="-","Nicht im Lift",IF(AO645&gt;=1,"Lift",IF(AO645&lt;=0,"Aussenlager","teilweise")))))</f>
        <v>Nicht im Lift</v>
      </c>
      <c r="BK645" s="48" t="str">
        <f aca="false">IF(AS645&lt;=0,"",IF(CF645="Aussen","Aussenlager",IF(CF645="-","Nicht im Lift",IF(AY645&gt;=1,"Lift",IF(AY645&lt;=0,"Aussenlager","teilweise")))))</f>
        <v>Nicht im Lift</v>
      </c>
      <c r="BL645" s="48" t="str">
        <f aca="false">IF(BC645&lt;=0,"",IF(CF645="Aussen","Aussenlager",IF(CF645="-","Nicht im Lift",IF(BI645&gt;=1,"Lift",IF(BI645&lt;=0,"Aussenlager","teilweise")))))</f>
        <v>Nicht im Lift</v>
      </c>
      <c r="BM645" s="48" t="str">
        <f aca="false">IF(A645="","",IF(BV645=1,"Neu; ","")&amp;IF(AND(BV645=0,BQ645&lt;0),"negativer Bestand (Export "&amp;BQ645&amp;"); ","")&amp;IF(J645&lt;=0,"Kein Verbrauch; ","")&amp;IF(CQ645&gt;0,"Lift "&amp;W645&amp;" lt. Liftbericht (Fach "&amp;X645&amp;" Stk); ",IF(CA645=1,"Gebinde geschätzt ("&amp;T645&amp;"); ",IF(BZ645=1,"Lose – Tablare geschätzt; ","")))&amp;IF(H645&gt;AV645,"Überbestand "&amp;ROUND(H645-AV645,0)&amp;" Stk / CHF "&amp;ROUND((H645-AV645)*G645,0)&amp;"; ","")&amp;IF(AND(CH645=1,CI645&lt;CJ645),"MAX &lt; MB+LG; ","")&amp;IF(AND(CP645&gt;0,CO645*10&gt;CP645),"zu hoch für Tablar; ","")&amp;IF(AND(BV645=0,OR(CH645=1,AA645&lt;&gt;"",U645&lt;&gt;"",V645&lt;&gt;"",AB645&lt;&gt;"")),"manuell übersteuert; ","")&amp;IF(AND(BZ645=0,R645=0),"Gebinde unbekannt / Stellmass fehlt; ","")&amp;IF(AND(BZ645=0,N(V645)&lt;=0,N(Q645)&lt;=0),"Menge pro Gebinde fehlt (Ist = 1 Gebinde); ","")&amp;BU645)</f>
        <v>Lose – Tablare geschätzt; </v>
      </c>
      <c r="BN645" s="48"/>
      <c r="BO645" s="48"/>
      <c r="BP645" s="55"/>
      <c r="BQ645" s="50" t="n">
        <v>3</v>
      </c>
      <c r="BR645" s="50" t="n">
        <v>0</v>
      </c>
      <c r="BS645" s="49" t="n">
        <v>0.21</v>
      </c>
      <c r="BT645" s="50" t="n">
        <v>96</v>
      </c>
      <c r="BU645" s="48"/>
      <c r="BV645" s="53" t="n">
        <v>0</v>
      </c>
      <c r="BW645" s="53" t="n">
        <v>645</v>
      </c>
      <c r="BX645" s="48" t="str">
        <f aca="false">IF(U645&lt;&gt;"",UPPER(TRIM(U645)),IF(CA645=1,UPPER(VLOOKUP(T645,Parameter!$I$27:$K$29,2,0)),IF(P645="","LOSE",P645)))</f>
        <v>LOSE</v>
      </c>
      <c r="BY645" s="50" t="n">
        <f aca="false">IF(BX645="LOSE",1,IF(N(V645)&gt;0,V645,IF(CA645=1,MAX(1,N(VLOOKUP(T645,Parameter!$I$27:$K$29,3,0)),H645,N(N645)),IF(N(Q645)&gt;0,Q645,MAX(1,H645)))))</f>
        <v>1</v>
      </c>
      <c r="BZ645" s="53" t="n">
        <f aca="false">IF(BX645="LOSE",1,0)</f>
        <v>1</v>
      </c>
      <c r="CA645" s="53" t="n">
        <f aca="false">IF(AND(U645="",OR(P645="",P645="LOSE"),T645&lt;&gt;"",N(S645)&lt;=0,ISNUMBER(MATCH(T645,Parameter!$I$27:$I$29,0))),1,0)</f>
        <v>0</v>
      </c>
      <c r="CB645" s="53" t="n">
        <f aca="false">IF(CQ645&gt;0,INDEX(Parameter!$H$5:$H$7,W645)/INDEX(Parameter!$E$5:$E$7,W645),IF(AND(BZ645=0,N(IFERROR(VLOOKUP(BX645,'Gebinde-Kategorie'!$A$5:$N$45,14,0),0))&gt;0),VLOOKUP(BX645,'Gebinde-Kategorie'!$A$5:$N$45,14,0)*10+Parameter!$M$23,Parameter!$M$24))</f>
        <v>235</v>
      </c>
      <c r="CC645" s="48" t="str">
        <f aca="false">IF(AND(Parameter!$B$19="Ja",E645&lt;&gt;"",ISNUMBER(MATCH(E645,Parameter!$I$35:$I$52,0))),VLOOKUP(E645,Parameter!$I$35:$J$52,2,0),IFERROR(VLOOKUP(D645,Parameter!$A$35:$C$64,2,0),"Nein"))</f>
        <v>Nein</v>
      </c>
      <c r="CD645" s="52" t="n">
        <f aca="false">IF(BZ645=0,0,IF(N(S645)&gt;0,S645,IFERROR(VLOOKUP(D645,Parameter!$A$35:$C$64,3,0)+0,0)))</f>
        <v>0.15</v>
      </c>
      <c r="CE645" s="48" t="str">
        <f aca="false">IF(AA645&lt;&gt;"",AA645,Z645)</f>
        <v>-</v>
      </c>
      <c r="CF645" s="48" t="str">
        <f aca="false">IF(OR(CE645=1,CE645=2,CE645=3),IF(Parameter!$E$27="Ja","LIFT",IF(CE645=1,"L1","L23")),IF(CE645="Aussen","Aussen","-"))</f>
        <v>-</v>
      </c>
      <c r="CG645" s="59" t="n">
        <f aca="false">IF(N(AB645)&gt;0,AB645,0)</f>
        <v>0</v>
      </c>
      <c r="CH645" s="53" t="n">
        <f aca="false">IF(ISNUMBER(AE645),1,0)</f>
        <v>0</v>
      </c>
      <c r="CI645" s="50" t="n">
        <f aca="false">N(AE645)</f>
        <v>0</v>
      </c>
      <c r="CJ645" s="50" t="n">
        <f aca="false">N(M645)+N(N645)</f>
        <v>100</v>
      </c>
      <c r="CK645" s="50" t="n">
        <f aca="false">N(M645)</f>
        <v>0</v>
      </c>
      <c r="CL645" s="50" t="n">
        <f aca="false">N(N645)</f>
        <v>100</v>
      </c>
      <c r="CM645" s="50" t="n">
        <f aca="false">ROUNDUP(H645/BY645,0)</f>
        <v>3</v>
      </c>
      <c r="CN645" s="50" t="n">
        <f aca="false">ROUNDUP(CI645/BY645,0)</f>
        <v>0</v>
      </c>
      <c r="CO645" s="53" t="n">
        <f aca="false">IF(BZ645=1,0,IFERROR(VLOOKUP(BX645,'Gebinde-Kategorie'!$A$5:$N$45,5,0)+0,0))</f>
        <v>0</v>
      </c>
      <c r="CP645" s="53" t="n">
        <f aca="false">IFERROR(IF(OR(CE645=1,CE645=2,CE645=3),N(INDEX(Parameter!$I$5:$I$7,CE645)),0),0)</f>
        <v>0</v>
      </c>
      <c r="CQ645" s="52" t="n">
        <f aca="false">IF(AND(Parameter!$B$21="Ja",ISNUMBER(W645),N(X645)&gt;0),IFERROR(N(INDEX(Parameter!$L$5:$L$7,W645))*INDEX(Parameter!$E$5:$E$7,W645)*X645/SUMIFS($X$7:$X$1843,$W$7:$W$1843,W645),0),0)</f>
        <v>0</v>
      </c>
    </row>
    <row r="646" customFormat="false" ht="15" hidden="false" customHeight="false" outlineLevel="0" collapsed="false">
      <c r="A646" s="48" t="s">
        <v>1321</v>
      </c>
      <c r="B646" s="48" t="s">
        <v>1322</v>
      </c>
      <c r="C646" s="48" t="s">
        <v>173</v>
      </c>
      <c r="D646" s="48" t="s">
        <v>182</v>
      </c>
      <c r="E646" s="48"/>
      <c r="F646" s="48" t="s">
        <v>227</v>
      </c>
      <c r="G646" s="49" t="n">
        <v>0.01</v>
      </c>
      <c r="H646" s="50" t="n">
        <f aca="false">MAX(0,IF(AND(Parameter!$B$21="Ja",ISNUMBER(Y646)),Y646,IF(Parameter!$B$20="Jahresanfang 2025 + Export",BR646+BQ646,BQ646)))</f>
        <v>17</v>
      </c>
      <c r="I646" s="50" t="n">
        <f aca="false">H646*G646</f>
        <v>0.17</v>
      </c>
      <c r="J646" s="50" t="n">
        <f aca="false">BT646*Parameter!$B$18</f>
        <v>0</v>
      </c>
      <c r="K646" s="51" t="n">
        <v>0</v>
      </c>
      <c r="L646" s="52" t="n">
        <v>0</v>
      </c>
      <c r="M646" s="50" t="n">
        <v>0</v>
      </c>
      <c r="N646" s="50" t="n">
        <v>1</v>
      </c>
      <c r="O646" s="53" t="n">
        <v>999</v>
      </c>
      <c r="P646" s="48" t="s">
        <v>177</v>
      </c>
      <c r="Q646" s="50"/>
      <c r="R646" s="53" t="n">
        <f aca="false">IF(BZ646=1,0,IFERROR(VLOOKUP(BX646,'Gebinde-Kategorie'!$A$5:$N$45,13,0)+0,0))</f>
        <v>26</v>
      </c>
      <c r="S646" s="54"/>
      <c r="T646" s="55" t="s">
        <v>284</v>
      </c>
      <c r="U646" s="55"/>
      <c r="V646" s="55"/>
      <c r="W646" s="48"/>
      <c r="X646" s="50"/>
      <c r="Y646" s="50"/>
      <c r="Z646" s="48" t="n">
        <f aca="false">IF(A646="","",IF(AND(Parameter!$B$21="Ja",ISNUMBER(W646)),W646,IF(CC646="2+3",IF(ISNUMBER(SEARCH("grosser Artikel",BU646)),2,IFERROR(VLOOKUP(BX646,Parameter!$F$35:$G$64,2,0),2)),IF(OR(CC646="Nein",CC646=""),"-",CC646))))</f>
        <v>3</v>
      </c>
      <c r="AA646" s="55"/>
      <c r="AB646" s="56"/>
      <c r="AC646" s="50" t="n">
        <f aca="false">AV646</f>
        <v>1</v>
      </c>
      <c r="AD646" s="50" t="n">
        <f aca="false">MAX(AV646,H646)</f>
        <v>17</v>
      </c>
      <c r="AE646" s="57"/>
      <c r="AF646" s="50" t="n">
        <f aca="false">IF(LEFT(Cockpit!$C$5,1)="A",H646,IF(Parameter!$E$30="MAX-Bestand",IF(CH646=1,CI646,IF(LEFT(Cockpit!$C$5,1)="B",AL646,MAX(AL646,H646))),ROUNDUP(AJ646,0)))</f>
        <v>17</v>
      </c>
      <c r="AG646" s="50" t="n">
        <f aca="false">IF(BZ646=1,0,ROUNDUP(AF646/BY646,0))</f>
        <v>1</v>
      </c>
      <c r="AH646" s="52" t="n">
        <f aca="false">IF(CQ646&gt;0,CQ646*MAX(1,AF646/X646),IF(BZ646=1,IF(AF646&lt;=0,0,CD646*MAX(1,IF(H646&gt;0,AF646/H646,1))),IF(R646&gt;0,AG646/R646,0))/MAX(0.1,N(Parameter!$M$21)))</f>
        <v>0.0384615384615385</v>
      </c>
      <c r="AI646" s="50" t="n">
        <f aca="false">AH646*CB646</f>
        <v>5.96153846153846</v>
      </c>
      <c r="AJ646" s="51" t="n">
        <f aca="false">IF(LEFT(Cockpit!$C$5,1)="A",H646,IF(CH646=1,(CK646+CI646)/2,IF(LEFT(Cockpit!$C$5,1)="B",(CK646+AL646)/2,MAX((CK646+AL646)/2,H646))))</f>
        <v>17</v>
      </c>
      <c r="AK646" s="50" t="n">
        <f aca="false">AJ646*G646</f>
        <v>0.17</v>
      </c>
      <c r="AL646" s="50" t="n">
        <f aca="false">ROUNDUP(CK646+MAX(CL646,2*(J646/IF(CG646&gt;0,CG646,MAX(0.1,N(Cockpit!$C$6)))-CK646)),0)</f>
        <v>1</v>
      </c>
      <c r="AM646" s="51" t="n">
        <f aca="false">IF(AI646&gt;0,J646/AI646,-1)</f>
        <v>0</v>
      </c>
      <c r="AN646" s="51" t="n">
        <f aca="false">IF(AND(OR(CF646="L1",CF646="L23",CF646="LIFT"),AI646&gt;0),SUMIFS($AI$7:$AI$1843,$CF$7:$CF$1843,CF646,$AM$7:$AM$1843,"&gt;"&amp;AM646)+SUMIFS($AI$7:$AI$1843,$CF$7:$CF$1843,CF646,$AM$7:$AM$1843,AM646,$BW$7:$BW$1843,"&lt;="&amp;BW646),"")</f>
        <v>28606.7922926885</v>
      </c>
      <c r="AO646" s="58" t="n">
        <f aca="false">IF(AN646="",0,MAX(0,MIN(1,(IF(CF646="L1",Parameter!$H$5,IF(CF646="L23",Parameter!$H$6+Parameter!$H$7,Parameter!$H$5+Parameter!$H$6+Parameter!$H$7))-(AN646-AI646))/AI646)))</f>
        <v>1</v>
      </c>
      <c r="AP646" s="50" t="n">
        <f aca="false">IF(LEFT(Cockpit!$I$5,1)="A",H646,IF(Parameter!$E$30="MAX-Bestand",IF(CH646=1,CI646,IF(LEFT(Cockpit!$I$5,1)="B",AV646,MAX(AV646,H646))),ROUNDUP(AT646,0)))</f>
        <v>17</v>
      </c>
      <c r="AQ646" s="50" t="n">
        <f aca="false">IF(BZ646=1,0,ROUNDUP(AP646/BY646,0))</f>
        <v>1</v>
      </c>
      <c r="AR646" s="52" t="n">
        <f aca="false">IF(CQ646&gt;0,CQ646*MAX(1,AP646/X646),IF(BZ646=1,IF(AP646&lt;=0,0,CD646*MAX(1,IF(H646&gt;0,AP646/H646,1))),IF(R646&gt;0,AQ646/R646,0))/MAX(0.1,N(Parameter!$M$21)))</f>
        <v>0.0384615384615385</v>
      </c>
      <c r="AS646" s="50" t="n">
        <f aca="false">AR646*CB646</f>
        <v>5.96153846153846</v>
      </c>
      <c r="AT646" s="51" t="n">
        <f aca="false">IF(LEFT(Cockpit!$I$5,1)="A",H646,IF(CH646=1,(CK646+CI646)/2,IF(LEFT(Cockpit!$I$5,1)="B",(CK646+AV646)/2,MAX((CK646+AV646)/2,H646))))</f>
        <v>17</v>
      </c>
      <c r="AU646" s="50" t="n">
        <f aca="false">AT646*G646</f>
        <v>0.17</v>
      </c>
      <c r="AV646" s="50" t="n">
        <f aca="false">ROUNDUP(CK646+MAX(CL646,2*(J646/IF(CG646&gt;0,CG646,MAX(0.1,N(Cockpit!$I$6)))-CK646)),0)</f>
        <v>1</v>
      </c>
      <c r="AW646" s="51" t="n">
        <f aca="false">IF(AS646&gt;0,J646/AS646,-1)</f>
        <v>0</v>
      </c>
      <c r="AX646" s="51" t="n">
        <f aca="false">IF(AND(OR(CF646="L1",CF646="L23",CF646="LIFT"),AS646&gt;0),SUMIFS($AS$7:$AS$1843,$CF$7:$CF$1843,CF646,$AW$7:$AW$1843,"&gt;"&amp;AW646)+SUMIFS($AS$7:$AS$1843,$CF$7:$CF$1843,CF646,$AW$7:$AW$1843,AW646,$BW$7:$BW$1843,"&lt;="&amp;BW646),"")</f>
        <v>33959.9409340659</v>
      </c>
      <c r="AY646" s="58" t="n">
        <f aca="false">IF(AX646="",0,MAX(0,MIN(1,(IF(CF646="L1",Parameter!$H$5,IF(CF646="L23",Parameter!$H$6+Parameter!$H$7,Parameter!$H$5+Parameter!$H$6+Parameter!$H$7))-(AX646-AS646))/AS646)))</f>
        <v>1</v>
      </c>
      <c r="AZ646" s="50" t="n">
        <f aca="false">IF(LEFT(Cockpit!$O$5,1)="A",H646,IF(Parameter!$E$30="MAX-Bestand",IF(CH646=1,CI646,IF(LEFT(Cockpit!$O$5,1)="B",BF646,MAX(BF646,H646))),ROUNDUP(BD646,0)))</f>
        <v>1</v>
      </c>
      <c r="BA646" s="50" t="n">
        <f aca="false">IF(BZ646=1,0,ROUNDUP(AZ646/BY646,0))</f>
        <v>1</v>
      </c>
      <c r="BB646" s="52" t="n">
        <f aca="false">IF(CQ646&gt;0,CQ646*MAX(1,AZ646/X646),IF(BZ646=1,IF(AZ646&lt;=0,0,CD646*MAX(1,IF(H646&gt;0,AZ646/H646,1))),IF(R646&gt;0,BA646/R646,0))/MAX(0.1,N(Parameter!$M$21)))</f>
        <v>0.0384615384615385</v>
      </c>
      <c r="BC646" s="50" t="n">
        <f aca="false">BB646*CB646</f>
        <v>5.96153846153846</v>
      </c>
      <c r="BD646" s="51" t="n">
        <f aca="false">IF(LEFT(Cockpit!$O$5,1)="A",H646,IF(CH646=1,(CK646+CI646)/2,IF(LEFT(Cockpit!$O$5,1)="B",(CK646+BF646)/2,MAX((CK646+BF646)/2,H646))))</f>
        <v>0.5</v>
      </c>
      <c r="BE646" s="50" t="n">
        <f aca="false">BD646*G646</f>
        <v>0.005</v>
      </c>
      <c r="BF646" s="50" t="n">
        <f aca="false">ROUNDUP(CK646+MAX(CL646,2*(J646/IF(CG646&gt;0,CG646,MAX(0.1,N(Cockpit!$O$6)))-CK646)),0)</f>
        <v>1</v>
      </c>
      <c r="BG646" s="51" t="n">
        <f aca="false">IF(BC646&gt;0,J646/BC646,-1)</f>
        <v>0</v>
      </c>
      <c r="BH646" s="51" t="n">
        <f aca="false">IF(AND(OR(CF646="L1",CF646="L23",CF646="LIFT"),BC646&gt;0),SUMIFS($BC$7:$BC$1843,$CF$7:$CF$1843,CF646,$BG$7:$BG$1843,"&gt;"&amp;BG646)+SUMIFS($BC$7:$BC$1843,$CF$7:$CF$1843,CF646,$BG$7:$BG$1843,BG646,$BW$7:$BW$1843,"&lt;="&amp;BW646),"")</f>
        <v>28025.1770813932</v>
      </c>
      <c r="BI646" s="58" t="n">
        <f aca="false">IF(BH646="",0,MAX(0,MIN(1,(IF(CF646="L1",Parameter!$H$5,IF(CF646="L23",Parameter!$H$6+Parameter!$H$7,Parameter!$H$5+Parameter!$H$6+Parameter!$H$7))-(BH646-BC646))/BC646)))</f>
        <v>1</v>
      </c>
      <c r="BJ646" s="48" t="str">
        <f aca="false">IF(AI646&lt;=0,"",IF(CF646="Aussen","Aussenlager",IF(CF646="-","Nicht im Lift",IF(AO646&gt;=1,"Lift",IF(AO646&lt;=0,"Aussenlager","teilweise")))))</f>
        <v>Lift</v>
      </c>
      <c r="BK646" s="48" t="str">
        <f aca="false">IF(AS646&lt;=0,"",IF(CF646="Aussen","Aussenlager",IF(CF646="-","Nicht im Lift",IF(AY646&gt;=1,"Lift",IF(AY646&lt;=0,"Aussenlager","teilweise")))))</f>
        <v>Lift</v>
      </c>
      <c r="BL646" s="48" t="str">
        <f aca="false">IF(BC646&lt;=0,"",IF(CF646="Aussen","Aussenlager",IF(CF646="-","Nicht im Lift",IF(BI646&gt;=1,"Lift",IF(BI646&lt;=0,"Aussenlager","teilweise")))))</f>
        <v>Lift</v>
      </c>
      <c r="BM646" s="48" t="str">
        <f aca="false">IF(A646="","",IF(BV646=1,"Neu; ","")&amp;IF(AND(BV646=0,BQ646&lt;0),"negativer Bestand (Export "&amp;BQ646&amp;"); ","")&amp;IF(J646&lt;=0,"Kein Verbrauch; ","")&amp;IF(CQ646&gt;0,"Lift "&amp;W646&amp;" lt. Liftbericht (Fach "&amp;X646&amp;" Stk); ",IF(CA646=1,"Gebinde geschätzt ("&amp;T646&amp;"); ",IF(BZ646=1,"Lose – Tablare geschätzt; ","")))&amp;IF(H646&gt;AV646,"Überbestand "&amp;ROUND(H646-AV646,0)&amp;" Stk / CHF "&amp;ROUND((H646-AV646)*G646,0)&amp;"; ","")&amp;IF(AND(CH646=1,CI646&lt;CJ646),"MAX &lt; MB+LG; ","")&amp;IF(AND(CP646&gt;0,CO646*10&gt;CP646),"zu hoch für Tablar; ","")&amp;IF(AND(BV646=0,OR(CH646=1,AA646&lt;&gt;"",U646&lt;&gt;"",V646&lt;&gt;"",AB646&lt;&gt;"")),"manuell übersteuert; ","")&amp;IF(AND(BZ646=0,R646=0),"Gebinde unbekannt / Stellmass fehlt; ","")&amp;IF(AND(BZ646=0,N(V646)&lt;=0,N(Q646)&lt;=0),"Menge pro Gebinde fehlt (Ist = 1 Gebinde); ","")&amp;BU646)</f>
        <v>Kein Verbrauch; Gebinde geschätzt (Klein); Überbestand 16 Stk / CHF 0; Menge pro Gebinde fehlt (Ist = 1 Gebinde); </v>
      </c>
      <c r="BN646" s="48"/>
      <c r="BO646" s="48"/>
      <c r="BP646" s="55"/>
      <c r="BQ646" s="50" t="n">
        <v>17</v>
      </c>
      <c r="BR646" s="50" t="n">
        <v>0</v>
      </c>
      <c r="BS646" s="49" t="n">
        <v>0.17</v>
      </c>
      <c r="BT646" s="50" t="n">
        <v>0</v>
      </c>
      <c r="BU646" s="48"/>
      <c r="BV646" s="53" t="n">
        <v>0</v>
      </c>
      <c r="BW646" s="53" t="n">
        <v>646</v>
      </c>
      <c r="BX646" s="48" t="str">
        <f aca="false">IF(U646&lt;&gt;"",UPPER(TRIM(U646)),IF(CA646=1,UPPER(VLOOKUP(T646,Parameter!$I$27:$K$29,2,0)),IF(P646="","LOSE",P646)))</f>
        <v>S51</v>
      </c>
      <c r="BY646" s="50" t="n">
        <f aca="false">IF(BX646="LOSE",1,IF(N(V646)&gt;0,V646,IF(CA646=1,MAX(1,N(VLOOKUP(T646,Parameter!$I$27:$K$29,3,0)),H646,N(N646)),IF(N(Q646)&gt;0,Q646,MAX(1,H646)))))</f>
        <v>20</v>
      </c>
      <c r="BZ646" s="53" t="n">
        <f aca="false">IF(BX646="LOSE",1,0)</f>
        <v>0</v>
      </c>
      <c r="CA646" s="53" t="n">
        <f aca="false">IF(AND(U646="",OR(P646="",P646="LOSE"),T646&lt;&gt;"",N(S646)&lt;=0,ISNUMBER(MATCH(T646,Parameter!$I$27:$I$29,0))),1,0)</f>
        <v>1</v>
      </c>
      <c r="CB646" s="53" t="n">
        <f aca="false">IF(CQ646&gt;0,INDEX(Parameter!$H$5:$H$7,W646)/INDEX(Parameter!$E$5:$E$7,W646),IF(AND(BZ646=0,N(IFERROR(VLOOKUP(BX646,'Gebinde-Kategorie'!$A$5:$N$45,14,0),0))&gt;0),VLOOKUP(BX646,'Gebinde-Kategorie'!$A$5:$N$45,14,0)*10+Parameter!$M$23,Parameter!$M$24))</f>
        <v>155</v>
      </c>
      <c r="CC646" s="48" t="str">
        <f aca="false">IF(AND(Parameter!$B$19="Ja",E646&lt;&gt;"",ISNUMBER(MATCH(E646,Parameter!$I$35:$I$52,0))),VLOOKUP(E646,Parameter!$I$35:$J$52,2,0),IFERROR(VLOOKUP(D646,Parameter!$A$35:$C$64,2,0),"Nein"))</f>
        <v>2+3</v>
      </c>
      <c r="CD646" s="52" t="n">
        <f aca="false">IF(BZ646=0,0,IF(N(S646)&gt;0,S646,IFERROR(VLOOKUP(D646,Parameter!$A$35:$C$64,3,0)+0,0)))</f>
        <v>0</v>
      </c>
      <c r="CE646" s="48" t="n">
        <f aca="false">IF(AA646&lt;&gt;"",AA646,Z646)</f>
        <v>3</v>
      </c>
      <c r="CF646" s="48" t="str">
        <f aca="false">IF(OR(CE646=1,CE646=2,CE646=3),IF(Parameter!$E$27="Ja","LIFT",IF(CE646=1,"L1","L23")),IF(CE646="Aussen","Aussen","-"))</f>
        <v>LIFT</v>
      </c>
      <c r="CG646" s="59" t="n">
        <f aca="false">IF(N(AB646)&gt;0,AB646,0)</f>
        <v>0</v>
      </c>
      <c r="CH646" s="53" t="n">
        <f aca="false">IF(ISNUMBER(AE646),1,0)</f>
        <v>0</v>
      </c>
      <c r="CI646" s="50" t="n">
        <f aca="false">N(AE646)</f>
        <v>0</v>
      </c>
      <c r="CJ646" s="50" t="n">
        <f aca="false">N(M646)+N(N646)</f>
        <v>1</v>
      </c>
      <c r="CK646" s="50" t="n">
        <f aca="false">N(M646)</f>
        <v>0</v>
      </c>
      <c r="CL646" s="50" t="n">
        <f aca="false">N(N646)</f>
        <v>1</v>
      </c>
      <c r="CM646" s="50" t="n">
        <f aca="false">ROUNDUP(H646/BY646,0)</f>
        <v>1</v>
      </c>
      <c r="CN646" s="50" t="n">
        <f aca="false">ROUNDUP(CI646/BY646,0)</f>
        <v>0</v>
      </c>
      <c r="CO646" s="53" t="n">
        <f aca="false">IF(BZ646=1,0,IFERROR(VLOOKUP(BX646,'Gebinde-Kategorie'!$A$5:$N$45,5,0)+0,0))</f>
        <v>11</v>
      </c>
      <c r="CP646" s="53" t="n">
        <f aca="false">IFERROR(IF(OR(CE646=1,CE646=2,CE646=3),N(INDEX(Parameter!$I$5:$I$7,CE646)),0),0)</f>
        <v>0</v>
      </c>
      <c r="CQ646" s="52" t="n">
        <f aca="false">IF(AND(Parameter!$B$21="Ja",ISNUMBER(W646),N(X646)&gt;0),IFERROR(N(INDEX(Parameter!$L$5:$L$7,W646))*INDEX(Parameter!$E$5:$E$7,W646)*X646/SUMIFS($X$7:$X$1843,$W$7:$W$1843,W646),0),0)</f>
        <v>0</v>
      </c>
    </row>
    <row r="647" customFormat="false" ht="15" hidden="false" customHeight="false" outlineLevel="0" collapsed="false">
      <c r="A647" s="48" t="s">
        <v>1323</v>
      </c>
      <c r="B647" s="48" t="s">
        <v>414</v>
      </c>
      <c r="C647" s="48" t="s">
        <v>173</v>
      </c>
      <c r="D647" s="48" t="s">
        <v>193</v>
      </c>
      <c r="E647" s="48" t="s">
        <v>194</v>
      </c>
      <c r="F647" s="48" t="s">
        <v>227</v>
      </c>
      <c r="G647" s="49" t="n">
        <v>0.1</v>
      </c>
      <c r="H647" s="50" t="n">
        <f aca="false">MAX(0,IF(AND(Parameter!$B$21="Ja",ISNUMBER(Y647)),Y647,IF(Parameter!$B$20="Jahresanfang 2025 + Export",BR647+BQ647,BQ647)))</f>
        <v>184</v>
      </c>
      <c r="I647" s="50" t="n">
        <f aca="false">H647*G647</f>
        <v>18.4</v>
      </c>
      <c r="J647" s="50" t="n">
        <f aca="false">BT647*Parameter!$B$18</f>
        <v>0</v>
      </c>
      <c r="K647" s="51" t="n">
        <v>183.5</v>
      </c>
      <c r="L647" s="52" t="n">
        <v>0</v>
      </c>
      <c r="M647" s="50" t="n">
        <v>0</v>
      </c>
      <c r="N647" s="50" t="n">
        <v>1</v>
      </c>
      <c r="O647" s="53" t="n">
        <v>21</v>
      </c>
      <c r="P647" s="48" t="s">
        <v>430</v>
      </c>
      <c r="Q647" s="50" t="n">
        <v>198</v>
      </c>
      <c r="R647" s="53" t="n">
        <f aca="false">IF(BZ647=1,0,IFERROR(VLOOKUP(BX647,'Gebinde-Kategorie'!$A$5:$N$45,13,0)+0,0))</f>
        <v>104</v>
      </c>
      <c r="S647" s="54"/>
      <c r="T647" s="55"/>
      <c r="U647" s="55"/>
      <c r="V647" s="55"/>
      <c r="W647" s="48"/>
      <c r="X647" s="50"/>
      <c r="Y647" s="50"/>
      <c r="Z647" s="48" t="n">
        <f aca="false">IF(A647="","",IF(AND(Parameter!$B$21="Ja",ISNUMBER(W647)),W647,IF(CC647="2+3",IF(ISNUMBER(SEARCH("grosser Artikel",BU647)),2,IFERROR(VLOOKUP(BX647,Parameter!$F$35:$G$64,2,0),2)),IF(OR(CC647="Nein",CC647=""),"-",CC647))))</f>
        <v>3</v>
      </c>
      <c r="AA647" s="55"/>
      <c r="AB647" s="56"/>
      <c r="AC647" s="50" t="n">
        <f aca="false">AV647</f>
        <v>1</v>
      </c>
      <c r="AD647" s="50" t="n">
        <f aca="false">MAX(AV647,H647)</f>
        <v>184</v>
      </c>
      <c r="AE647" s="57"/>
      <c r="AF647" s="50" t="n">
        <f aca="false">IF(LEFT(Cockpit!$C$5,1)="A",H647,IF(Parameter!$E$30="MAX-Bestand",IF(CH647=1,CI647,IF(LEFT(Cockpit!$C$5,1)="B",AL647,MAX(AL647,H647))),ROUNDUP(AJ647,0)))</f>
        <v>184</v>
      </c>
      <c r="AG647" s="50" t="n">
        <f aca="false">IF(BZ647=1,0,ROUNDUP(AF647/BY647,0))</f>
        <v>1</v>
      </c>
      <c r="AH647" s="52" t="n">
        <f aca="false">IF(CQ647&gt;0,CQ647*MAX(1,AF647/X647),IF(BZ647=1,IF(AF647&lt;=0,0,CD647*MAX(1,IF(H647&gt;0,AF647/H647,1))),IF(R647&gt;0,AG647/R647,0))/MAX(0.1,N(Parameter!$M$21)))</f>
        <v>0.00961538461538462</v>
      </c>
      <c r="AI647" s="50" t="n">
        <f aca="false">AH647*CB647</f>
        <v>1.49038461538462</v>
      </c>
      <c r="AJ647" s="51" t="n">
        <f aca="false">IF(LEFT(Cockpit!$C$5,1)="A",H647,IF(CH647=1,(CK647+CI647)/2,IF(LEFT(Cockpit!$C$5,1)="B",(CK647+AL647)/2,MAX((CK647+AL647)/2,H647))))</f>
        <v>184</v>
      </c>
      <c r="AK647" s="50" t="n">
        <f aca="false">AJ647*G647</f>
        <v>18.4</v>
      </c>
      <c r="AL647" s="50" t="n">
        <f aca="false">ROUNDUP(CK647+MAX(CL647,2*(J647/IF(CG647&gt;0,CG647,MAX(0.1,N(Cockpit!$C$6)))-CK647)),0)</f>
        <v>1</v>
      </c>
      <c r="AM647" s="51" t="n">
        <f aca="false">IF(AI647&gt;0,J647/AI647,-1)</f>
        <v>0</v>
      </c>
      <c r="AN647" s="51" t="n">
        <f aca="false">IF(AND(OR(CF647="L1",CF647="L23",CF647="LIFT"),AI647&gt;0),SUMIFS($AI$7:$AI$1843,$CF$7:$CF$1843,CF647,$AM$7:$AM$1843,"&gt;"&amp;AM647)+SUMIFS($AI$7:$AI$1843,$CF$7:$CF$1843,CF647,$AM$7:$AM$1843,AM647,$BW$7:$BW$1843,"&lt;="&amp;BW647),"")</f>
        <v>28608.2826773039</v>
      </c>
      <c r="AO647" s="58" t="n">
        <f aca="false">IF(AN647="",0,MAX(0,MIN(1,(IF(CF647="L1",Parameter!$H$5,IF(CF647="L23",Parameter!$H$6+Parameter!$H$7,Parameter!$H$5+Parameter!$H$6+Parameter!$H$7))-(AN647-AI647))/AI647)))</f>
        <v>1</v>
      </c>
      <c r="AP647" s="50" t="n">
        <f aca="false">IF(LEFT(Cockpit!$I$5,1)="A",H647,IF(Parameter!$E$30="MAX-Bestand",IF(CH647=1,CI647,IF(LEFT(Cockpit!$I$5,1)="B",AV647,MAX(AV647,H647))),ROUNDUP(AT647,0)))</f>
        <v>184</v>
      </c>
      <c r="AQ647" s="50" t="n">
        <f aca="false">IF(BZ647=1,0,ROUNDUP(AP647/BY647,0))</f>
        <v>1</v>
      </c>
      <c r="AR647" s="52" t="n">
        <f aca="false">IF(CQ647&gt;0,CQ647*MAX(1,AP647/X647),IF(BZ647=1,IF(AP647&lt;=0,0,CD647*MAX(1,IF(H647&gt;0,AP647/H647,1))),IF(R647&gt;0,AQ647/R647,0))/MAX(0.1,N(Parameter!$M$21)))</f>
        <v>0.00961538461538462</v>
      </c>
      <c r="AS647" s="50" t="n">
        <f aca="false">AR647*CB647</f>
        <v>1.49038461538462</v>
      </c>
      <c r="AT647" s="51" t="n">
        <f aca="false">IF(LEFT(Cockpit!$I$5,1)="A",H647,IF(CH647=1,(CK647+CI647)/2,IF(LEFT(Cockpit!$I$5,1)="B",(CK647+AV647)/2,MAX((CK647+AV647)/2,H647))))</f>
        <v>184</v>
      </c>
      <c r="AU647" s="50" t="n">
        <f aca="false">AT647*G647</f>
        <v>18.4</v>
      </c>
      <c r="AV647" s="50" t="n">
        <f aca="false">ROUNDUP(CK647+MAX(CL647,2*(J647/IF(CG647&gt;0,CG647,MAX(0.1,N(Cockpit!$I$6)))-CK647)),0)</f>
        <v>1</v>
      </c>
      <c r="AW647" s="51" t="n">
        <f aca="false">IF(AS647&gt;0,J647/AS647,-1)</f>
        <v>0</v>
      </c>
      <c r="AX647" s="51" t="n">
        <f aca="false">IF(AND(OR(CF647="L1",CF647="L23",CF647="LIFT"),AS647&gt;0),SUMIFS($AS$7:$AS$1843,$CF$7:$CF$1843,CF647,$AW$7:$AW$1843,"&gt;"&amp;AW647)+SUMIFS($AS$7:$AS$1843,$CF$7:$CF$1843,CF647,$AW$7:$AW$1843,AW647,$BW$7:$BW$1843,"&lt;="&amp;BW647),"")</f>
        <v>33961.4313186813</v>
      </c>
      <c r="AY647" s="58" t="n">
        <f aca="false">IF(AX647="",0,MAX(0,MIN(1,(IF(CF647="L1",Parameter!$H$5,IF(CF647="L23",Parameter!$H$6+Parameter!$H$7,Parameter!$H$5+Parameter!$H$6+Parameter!$H$7))-(AX647-AS647))/AS647)))</f>
        <v>1</v>
      </c>
      <c r="AZ647" s="50" t="n">
        <f aca="false">IF(LEFT(Cockpit!$O$5,1)="A",H647,IF(Parameter!$E$30="MAX-Bestand",IF(CH647=1,CI647,IF(LEFT(Cockpit!$O$5,1)="B",BF647,MAX(BF647,H647))),ROUNDUP(BD647,0)))</f>
        <v>1</v>
      </c>
      <c r="BA647" s="50" t="n">
        <f aca="false">IF(BZ647=1,0,ROUNDUP(AZ647/BY647,0))</f>
        <v>1</v>
      </c>
      <c r="BB647" s="52" t="n">
        <f aca="false">IF(CQ647&gt;0,CQ647*MAX(1,AZ647/X647),IF(BZ647=1,IF(AZ647&lt;=0,0,CD647*MAX(1,IF(H647&gt;0,AZ647/H647,1))),IF(R647&gt;0,BA647/R647,0))/MAX(0.1,N(Parameter!$M$21)))</f>
        <v>0.00961538461538462</v>
      </c>
      <c r="BC647" s="50" t="n">
        <f aca="false">BB647*CB647</f>
        <v>1.49038461538462</v>
      </c>
      <c r="BD647" s="51" t="n">
        <f aca="false">IF(LEFT(Cockpit!$O$5,1)="A",H647,IF(CH647=1,(CK647+CI647)/2,IF(LEFT(Cockpit!$O$5,1)="B",(CK647+BF647)/2,MAX((CK647+BF647)/2,H647))))</f>
        <v>0.5</v>
      </c>
      <c r="BE647" s="50" t="n">
        <f aca="false">BD647*G647</f>
        <v>0.05</v>
      </c>
      <c r="BF647" s="50" t="n">
        <f aca="false">ROUNDUP(CK647+MAX(CL647,2*(J647/IF(CG647&gt;0,CG647,MAX(0.1,N(Cockpit!$O$6)))-CK647)),0)</f>
        <v>1</v>
      </c>
      <c r="BG647" s="51" t="n">
        <f aca="false">IF(BC647&gt;0,J647/BC647,-1)</f>
        <v>0</v>
      </c>
      <c r="BH647" s="51" t="n">
        <f aca="false">IF(AND(OR(CF647="L1",CF647="L23",CF647="LIFT"),BC647&gt;0),SUMIFS($BC$7:$BC$1843,$CF$7:$CF$1843,CF647,$BG$7:$BG$1843,"&gt;"&amp;BG647)+SUMIFS($BC$7:$BC$1843,$CF$7:$CF$1843,CF647,$BG$7:$BG$1843,BG647,$BW$7:$BW$1843,"&lt;="&amp;BW647),"")</f>
        <v>28026.6674660086</v>
      </c>
      <c r="BI647" s="58" t="n">
        <f aca="false">IF(BH647="",0,MAX(0,MIN(1,(IF(CF647="L1",Parameter!$H$5,IF(CF647="L23",Parameter!$H$6+Parameter!$H$7,Parameter!$H$5+Parameter!$H$6+Parameter!$H$7))-(BH647-BC647))/BC647)))</f>
        <v>1</v>
      </c>
      <c r="BJ647" s="48" t="str">
        <f aca="false">IF(AI647&lt;=0,"",IF(CF647="Aussen","Aussenlager",IF(CF647="-","Nicht im Lift",IF(AO647&gt;=1,"Lift",IF(AO647&lt;=0,"Aussenlager","teilweise")))))</f>
        <v>Lift</v>
      </c>
      <c r="BK647" s="48" t="str">
        <f aca="false">IF(AS647&lt;=0,"",IF(CF647="Aussen","Aussenlager",IF(CF647="-","Nicht im Lift",IF(AY647&gt;=1,"Lift",IF(AY647&lt;=0,"Aussenlager","teilweise")))))</f>
        <v>Lift</v>
      </c>
      <c r="BL647" s="48" t="str">
        <f aca="false">IF(BC647&lt;=0,"",IF(CF647="Aussen","Aussenlager",IF(CF647="-","Nicht im Lift",IF(BI647&gt;=1,"Lift",IF(BI647&lt;=0,"Aussenlager","teilweise")))))</f>
        <v>Lift</v>
      </c>
      <c r="BM647" s="48" t="str">
        <f aca="false">IF(A647="","",IF(BV647=1,"Neu; ","")&amp;IF(AND(BV647=0,BQ647&lt;0),"negativer Bestand (Export "&amp;BQ647&amp;"); ","")&amp;IF(J647&lt;=0,"Kein Verbrauch; ","")&amp;IF(CQ647&gt;0,"Lift "&amp;W647&amp;" lt. Liftbericht (Fach "&amp;X647&amp;" Stk); ",IF(CA647=1,"Gebinde geschätzt ("&amp;T647&amp;"); ",IF(BZ647=1,"Lose – Tablare geschätzt; ","")))&amp;IF(H647&gt;AV647,"Überbestand "&amp;ROUND(H647-AV647,0)&amp;" Stk / CHF "&amp;ROUND((H647-AV647)*G647,0)&amp;"; ","")&amp;IF(AND(CH647=1,CI647&lt;CJ647),"MAX &lt; MB+LG; ","")&amp;IF(AND(CP647&gt;0,CO647*10&gt;CP647),"zu hoch für Tablar; ","")&amp;IF(AND(BV647=0,OR(CH647=1,AA647&lt;&gt;"",U647&lt;&gt;"",V647&lt;&gt;"",AB647&lt;&gt;"")),"manuell übersteuert; ","")&amp;IF(AND(BZ647=0,R647=0),"Gebinde unbekannt / Stellmass fehlt; ","")&amp;IF(AND(BZ647=0,N(V647)&lt;=0,N(Q647)&lt;=0),"Menge pro Gebinde fehlt (Ist = 1 Gebinde); ","")&amp;BU647)</f>
        <v>Kein Verbrauch; Überbestand 183 Stk / CHF 18; Neu</v>
      </c>
      <c r="BN647" s="48"/>
      <c r="BO647" s="48"/>
      <c r="BP647" s="55"/>
      <c r="BQ647" s="50" t="n">
        <v>1</v>
      </c>
      <c r="BR647" s="50" t="n">
        <v>183</v>
      </c>
      <c r="BS647" s="49" t="n">
        <v>0.1</v>
      </c>
      <c r="BT647" s="50" t="n">
        <v>0</v>
      </c>
      <c r="BU647" s="48" t="s">
        <v>635</v>
      </c>
      <c r="BV647" s="53" t="n">
        <v>0</v>
      </c>
      <c r="BW647" s="53" t="n">
        <v>647</v>
      </c>
      <c r="BX647" s="48" t="str">
        <f aca="false">IF(U647&lt;&gt;"",UPPER(TRIM(U647)),IF(CA647=1,UPPER(VLOOKUP(T647,Parameter!$I$27:$K$29,2,0)),IF(P647="","LOSE",P647)))</f>
        <v>S32</v>
      </c>
      <c r="BY647" s="50" t="n">
        <f aca="false">IF(BX647="LOSE",1,IF(N(V647)&gt;0,V647,IF(CA647=1,MAX(1,N(VLOOKUP(T647,Parameter!$I$27:$K$29,3,0)),H647,N(N647)),IF(N(Q647)&gt;0,Q647,MAX(1,H647)))))</f>
        <v>198</v>
      </c>
      <c r="BZ647" s="53" t="n">
        <f aca="false">IF(BX647="LOSE",1,0)</f>
        <v>0</v>
      </c>
      <c r="CA647" s="53" t="n">
        <f aca="false">IF(AND(U647="",OR(P647="",P647="LOSE"),T647&lt;&gt;"",N(S647)&lt;=0,ISNUMBER(MATCH(T647,Parameter!$I$27:$I$29,0))),1,0)</f>
        <v>0</v>
      </c>
      <c r="CB647" s="53" t="n">
        <f aca="false">IF(CQ647&gt;0,INDEX(Parameter!$H$5:$H$7,W647)/INDEX(Parameter!$E$5:$E$7,W647),IF(AND(BZ647=0,N(IFERROR(VLOOKUP(BX647,'Gebinde-Kategorie'!$A$5:$N$45,14,0),0))&gt;0),VLOOKUP(BX647,'Gebinde-Kategorie'!$A$5:$N$45,14,0)*10+Parameter!$M$23,Parameter!$M$24))</f>
        <v>155</v>
      </c>
      <c r="CC647" s="48" t="str">
        <f aca="false">IF(AND(Parameter!$B$19="Ja",E647&lt;&gt;"",ISNUMBER(MATCH(E647,Parameter!$I$35:$I$52,0))),VLOOKUP(E647,Parameter!$I$35:$J$52,2,0),IFERROR(VLOOKUP(D647,Parameter!$A$35:$C$64,2,0),"Nein"))</f>
        <v>2+3</v>
      </c>
      <c r="CD647" s="52" t="n">
        <f aca="false">IF(BZ647=0,0,IF(N(S647)&gt;0,S647,IFERROR(VLOOKUP(D647,Parameter!$A$35:$C$64,3,0)+0,0)))</f>
        <v>0</v>
      </c>
      <c r="CE647" s="48" t="n">
        <f aca="false">IF(AA647&lt;&gt;"",AA647,Z647)</f>
        <v>3</v>
      </c>
      <c r="CF647" s="48" t="str">
        <f aca="false">IF(OR(CE647=1,CE647=2,CE647=3),IF(Parameter!$E$27="Ja","LIFT",IF(CE647=1,"L1","L23")),IF(CE647="Aussen","Aussen","-"))</f>
        <v>LIFT</v>
      </c>
      <c r="CG647" s="59" t="n">
        <f aca="false">IF(N(AB647)&gt;0,AB647,0)</f>
        <v>0</v>
      </c>
      <c r="CH647" s="53" t="n">
        <f aca="false">IF(ISNUMBER(AE647),1,0)</f>
        <v>0</v>
      </c>
      <c r="CI647" s="50" t="n">
        <f aca="false">N(AE647)</f>
        <v>0</v>
      </c>
      <c r="CJ647" s="50" t="n">
        <f aca="false">N(M647)+N(N647)</f>
        <v>1</v>
      </c>
      <c r="CK647" s="50" t="n">
        <f aca="false">N(M647)</f>
        <v>0</v>
      </c>
      <c r="CL647" s="50" t="n">
        <f aca="false">N(N647)</f>
        <v>1</v>
      </c>
      <c r="CM647" s="50" t="n">
        <f aca="false">ROUNDUP(H647/BY647,0)</f>
        <v>1</v>
      </c>
      <c r="CN647" s="50" t="n">
        <f aca="false">ROUNDUP(CI647/BY647,0)</f>
        <v>0</v>
      </c>
      <c r="CO647" s="53" t="n">
        <f aca="false">IF(BZ647=1,0,IFERROR(VLOOKUP(BX647,'Gebinde-Kategorie'!$A$5:$N$45,5,0)+0,0))</f>
        <v>8</v>
      </c>
      <c r="CP647" s="53" t="n">
        <f aca="false">IFERROR(IF(OR(CE647=1,CE647=2,CE647=3),N(INDEX(Parameter!$I$5:$I$7,CE647)),0),0)</f>
        <v>0</v>
      </c>
      <c r="CQ647" s="52" t="n">
        <f aca="false">IF(AND(Parameter!$B$21="Ja",ISNUMBER(W647),N(X647)&gt;0),IFERROR(N(INDEX(Parameter!$L$5:$L$7,W647))*INDEX(Parameter!$E$5:$E$7,W647)*X647/SUMIFS($X$7:$X$1843,$W$7:$W$1843,W647),0),0)</f>
        <v>0</v>
      </c>
    </row>
    <row r="648" customFormat="false" ht="15" hidden="false" customHeight="false" outlineLevel="0" collapsed="false">
      <c r="A648" s="48" t="s">
        <v>1324</v>
      </c>
      <c r="B648" s="48" t="s">
        <v>663</v>
      </c>
      <c r="C648" s="48" t="s">
        <v>173</v>
      </c>
      <c r="D648" s="48" t="s">
        <v>193</v>
      </c>
      <c r="E648" s="48" t="s">
        <v>194</v>
      </c>
      <c r="F648" s="48" t="s">
        <v>227</v>
      </c>
      <c r="G648" s="49" t="n">
        <v>0.01</v>
      </c>
      <c r="H648" s="50" t="n">
        <f aca="false">MAX(0,IF(AND(Parameter!$B$21="Ja",ISNUMBER(Y648)),Y648,IF(Parameter!$B$20="Jahresanfang 2025 + Export",BR648+BQ648,BQ648)))</f>
        <v>942</v>
      </c>
      <c r="I648" s="50" t="n">
        <f aca="false">H648*G648</f>
        <v>9.42</v>
      </c>
      <c r="J648" s="50" t="n">
        <f aca="false">BT648*Parameter!$B$18</f>
        <v>2</v>
      </c>
      <c r="K648" s="51" t="n">
        <v>940.5</v>
      </c>
      <c r="L648" s="52" t="n">
        <v>0.00212652844231792</v>
      </c>
      <c r="M648" s="50" t="n">
        <v>0</v>
      </c>
      <c r="N648" s="50" t="n">
        <v>1</v>
      </c>
      <c r="O648" s="53" t="n">
        <v>21</v>
      </c>
      <c r="P648" s="48" t="s">
        <v>430</v>
      </c>
      <c r="Q648" s="50" t="n">
        <v>977</v>
      </c>
      <c r="R648" s="53" t="n">
        <f aca="false">IF(BZ648=1,0,IFERROR(VLOOKUP(BX648,'Gebinde-Kategorie'!$A$5:$N$45,13,0)+0,0))</f>
        <v>104</v>
      </c>
      <c r="S648" s="54"/>
      <c r="T648" s="55"/>
      <c r="U648" s="55"/>
      <c r="V648" s="55"/>
      <c r="W648" s="48"/>
      <c r="X648" s="50"/>
      <c r="Y648" s="50"/>
      <c r="Z648" s="48" t="n">
        <f aca="false">IF(A648="","",IF(AND(Parameter!$B$21="Ja",ISNUMBER(W648)),W648,IF(CC648="2+3",IF(ISNUMBER(SEARCH("grosser Artikel",BU648)),2,IFERROR(VLOOKUP(BX648,Parameter!$F$35:$G$64,2,0),2)),IF(OR(CC648="Nein",CC648=""),"-",CC648))))</f>
        <v>3</v>
      </c>
      <c r="AA648" s="55"/>
      <c r="AB648" s="56"/>
      <c r="AC648" s="50" t="n">
        <f aca="false">AV648</f>
        <v>2</v>
      </c>
      <c r="AD648" s="50" t="n">
        <f aca="false">MAX(AV648,H648)</f>
        <v>942</v>
      </c>
      <c r="AE648" s="57"/>
      <c r="AF648" s="50" t="n">
        <f aca="false">IF(LEFT(Cockpit!$C$5,1)="A",H648,IF(Parameter!$E$30="MAX-Bestand",IF(CH648=1,CI648,IF(LEFT(Cockpit!$C$5,1)="B",AL648,MAX(AL648,H648))),ROUNDUP(AJ648,0)))</f>
        <v>942</v>
      </c>
      <c r="AG648" s="50" t="n">
        <f aca="false">IF(BZ648=1,0,ROUNDUP(AF648/BY648,0))</f>
        <v>1</v>
      </c>
      <c r="AH648" s="52" t="n">
        <f aca="false">IF(CQ648&gt;0,CQ648*MAX(1,AF648/X648),IF(BZ648=1,IF(AF648&lt;=0,0,CD648*MAX(1,IF(H648&gt;0,AF648/H648,1))),IF(R648&gt;0,AG648/R648,0))/MAX(0.1,N(Parameter!$M$21)))</f>
        <v>0.00961538461538462</v>
      </c>
      <c r="AI648" s="50" t="n">
        <f aca="false">AH648*CB648</f>
        <v>1.49038461538462</v>
      </c>
      <c r="AJ648" s="51" t="n">
        <f aca="false">IF(LEFT(Cockpit!$C$5,1)="A",H648,IF(CH648=1,(CK648+CI648)/2,IF(LEFT(Cockpit!$C$5,1)="B",(CK648+AL648)/2,MAX((CK648+AL648)/2,H648))))</f>
        <v>942</v>
      </c>
      <c r="AK648" s="50" t="n">
        <f aca="false">AJ648*G648</f>
        <v>9.42</v>
      </c>
      <c r="AL648" s="50" t="n">
        <f aca="false">ROUNDUP(CK648+MAX(CL648,2*(J648/IF(CG648&gt;0,CG648,MAX(0.1,N(Cockpit!$C$6)))-CK648)),0)</f>
        <v>2</v>
      </c>
      <c r="AM648" s="51" t="n">
        <f aca="false">IF(AI648&gt;0,J648/AI648,-1)</f>
        <v>1.34193548387097</v>
      </c>
      <c r="AN648" s="51" t="n">
        <f aca="false">IF(AND(OR(CF648="L1",CF648="L23",CF648="LIFT"),AI648&gt;0),SUMIFS($AI$7:$AI$1843,$CF$7:$CF$1843,CF648,$AM$7:$AM$1843,"&gt;"&amp;AM648)+SUMIFS($AI$7:$AI$1843,$CF$7:$CF$1843,CF648,$AM$7:$AM$1843,AM648,$BW$7:$BW$1843,"&lt;="&amp;BW648),"")</f>
        <v>6329.65750915751</v>
      </c>
      <c r="AO648" s="58" t="n">
        <f aca="false">IF(AN648="",0,MAX(0,MIN(1,(IF(CF648="L1",Parameter!$H$5,IF(CF648="L23",Parameter!$H$6+Parameter!$H$7,Parameter!$H$5+Parameter!$H$6+Parameter!$H$7))-(AN648-AI648))/AI648)))</f>
        <v>1</v>
      </c>
      <c r="AP648" s="50" t="n">
        <f aca="false">IF(LEFT(Cockpit!$I$5,1)="A",H648,IF(Parameter!$E$30="MAX-Bestand",IF(CH648=1,CI648,IF(LEFT(Cockpit!$I$5,1)="B",AV648,MAX(AV648,H648))),ROUNDUP(AT648,0)))</f>
        <v>942</v>
      </c>
      <c r="AQ648" s="50" t="n">
        <f aca="false">IF(BZ648=1,0,ROUNDUP(AP648/BY648,0))</f>
        <v>1</v>
      </c>
      <c r="AR648" s="52" t="n">
        <f aca="false">IF(CQ648&gt;0,CQ648*MAX(1,AP648/X648),IF(BZ648=1,IF(AP648&lt;=0,0,CD648*MAX(1,IF(H648&gt;0,AP648/H648,1))),IF(R648&gt;0,AQ648/R648,0))/MAX(0.1,N(Parameter!$M$21)))</f>
        <v>0.00961538461538462</v>
      </c>
      <c r="AS648" s="50" t="n">
        <f aca="false">AR648*CB648</f>
        <v>1.49038461538462</v>
      </c>
      <c r="AT648" s="51" t="n">
        <f aca="false">IF(LEFT(Cockpit!$I$5,1)="A",H648,IF(CH648=1,(CK648+CI648)/2,IF(LEFT(Cockpit!$I$5,1)="B",(CK648+AV648)/2,MAX((CK648+AV648)/2,H648))))</f>
        <v>942</v>
      </c>
      <c r="AU648" s="50" t="n">
        <f aca="false">AT648*G648</f>
        <v>9.42</v>
      </c>
      <c r="AV648" s="50" t="n">
        <f aca="false">ROUNDUP(CK648+MAX(CL648,2*(J648/IF(CG648&gt;0,CG648,MAX(0.1,N(Cockpit!$I$6)))-CK648)),0)</f>
        <v>2</v>
      </c>
      <c r="AW648" s="51" t="n">
        <f aca="false">IF(AS648&gt;0,J648/AS648,-1)</f>
        <v>1.34193548387097</v>
      </c>
      <c r="AX648" s="51" t="n">
        <f aca="false">IF(AND(OR(CF648="L1",CF648="L23",CF648="LIFT"),AS648&gt;0),SUMIFS($AS$7:$AS$1843,$CF$7:$CF$1843,CF648,$AW$7:$AW$1843,"&gt;"&amp;AW648)+SUMIFS($AS$7:$AS$1843,$CF$7:$CF$1843,CF648,$AW$7:$AW$1843,AW648,$BW$7:$BW$1843,"&lt;="&amp;BW648),"")</f>
        <v>7847.87957875458</v>
      </c>
      <c r="AY648" s="58" t="n">
        <f aca="false">IF(AX648="",0,MAX(0,MIN(1,(IF(CF648="L1",Parameter!$H$5,IF(CF648="L23",Parameter!$H$6+Parameter!$H$7,Parameter!$H$5+Parameter!$H$6+Parameter!$H$7))-(AX648-AS648))/AS648)))</f>
        <v>1</v>
      </c>
      <c r="AZ648" s="50" t="n">
        <f aca="false">IF(LEFT(Cockpit!$O$5,1)="A",H648,IF(Parameter!$E$30="MAX-Bestand",IF(CH648=1,CI648,IF(LEFT(Cockpit!$O$5,1)="B",BF648,MAX(BF648,H648))),ROUNDUP(BD648,0)))</f>
        <v>1</v>
      </c>
      <c r="BA648" s="50" t="n">
        <f aca="false">IF(BZ648=1,0,ROUNDUP(AZ648/BY648,0))</f>
        <v>1</v>
      </c>
      <c r="BB648" s="52" t="n">
        <f aca="false">IF(CQ648&gt;0,CQ648*MAX(1,AZ648/X648),IF(BZ648=1,IF(AZ648&lt;=0,0,CD648*MAX(1,IF(H648&gt;0,AZ648/H648,1))),IF(R648&gt;0,BA648/R648,0))/MAX(0.1,N(Parameter!$M$21)))</f>
        <v>0.00961538461538462</v>
      </c>
      <c r="BC648" s="50" t="n">
        <f aca="false">BB648*CB648</f>
        <v>1.49038461538462</v>
      </c>
      <c r="BD648" s="51" t="n">
        <f aca="false">IF(LEFT(Cockpit!$O$5,1)="A",H648,IF(CH648=1,(CK648+CI648)/2,IF(LEFT(Cockpit!$O$5,1)="B",(CK648+BF648)/2,MAX((CK648+BF648)/2,H648))))</f>
        <v>0.5</v>
      </c>
      <c r="BE648" s="50" t="n">
        <f aca="false">BD648*G648</f>
        <v>0.005</v>
      </c>
      <c r="BF648" s="50" t="n">
        <f aca="false">ROUNDUP(CK648+MAX(CL648,2*(J648/IF(CG648&gt;0,CG648,MAX(0.1,N(Cockpit!$O$6)))-CK648)),0)</f>
        <v>1</v>
      </c>
      <c r="BG648" s="51" t="n">
        <f aca="false">IF(BC648&gt;0,J648/BC648,-1)</f>
        <v>1.34193548387097</v>
      </c>
      <c r="BH648" s="51" t="n">
        <f aca="false">IF(AND(OR(CF648="L1",CF648="L23",CF648="LIFT"),BC648&gt;0),SUMIFS($BC$7:$BC$1843,$CF$7:$CF$1843,CF648,$BG$7:$BG$1843,"&gt;"&amp;BG648)+SUMIFS($BC$7:$BC$1843,$CF$7:$CF$1843,CF648,$BG$7:$BG$1843,BG648,$BW$7:$BW$1843,"&lt;="&amp;BW648),"")</f>
        <v>6785.09523809524</v>
      </c>
      <c r="BI648" s="58" t="n">
        <f aca="false">IF(BH648="",0,MAX(0,MIN(1,(IF(CF648="L1",Parameter!$H$5,IF(CF648="L23",Parameter!$H$6+Parameter!$H$7,Parameter!$H$5+Parameter!$H$6+Parameter!$H$7))-(BH648-BC648))/BC648)))</f>
        <v>1</v>
      </c>
      <c r="BJ648" s="48" t="str">
        <f aca="false">IF(AI648&lt;=0,"",IF(CF648="Aussen","Aussenlager",IF(CF648="-","Nicht im Lift",IF(AO648&gt;=1,"Lift",IF(AO648&lt;=0,"Aussenlager","teilweise")))))</f>
        <v>Lift</v>
      </c>
      <c r="BK648" s="48" t="str">
        <f aca="false">IF(AS648&lt;=0,"",IF(CF648="Aussen","Aussenlager",IF(CF648="-","Nicht im Lift",IF(AY648&gt;=1,"Lift",IF(AY648&lt;=0,"Aussenlager","teilweise")))))</f>
        <v>Lift</v>
      </c>
      <c r="BL648" s="48" t="str">
        <f aca="false">IF(BC648&lt;=0,"",IF(CF648="Aussen","Aussenlager",IF(CF648="-","Nicht im Lift",IF(BI648&gt;=1,"Lift",IF(BI648&lt;=0,"Aussenlager","teilweise")))))</f>
        <v>Lift</v>
      </c>
      <c r="BM648" s="48" t="str">
        <f aca="false">IF(A648="","",IF(BV648=1,"Neu; ","")&amp;IF(AND(BV648=0,BQ648&lt;0),"negativer Bestand (Export "&amp;BQ648&amp;"); ","")&amp;IF(J648&lt;=0,"Kein Verbrauch; ","")&amp;IF(CQ648&gt;0,"Lift "&amp;W648&amp;" lt. Liftbericht (Fach "&amp;X648&amp;" Stk); ",IF(CA648=1,"Gebinde geschätzt ("&amp;T648&amp;"); ",IF(BZ648=1,"Lose – Tablare geschätzt; ","")))&amp;IF(H648&gt;AV648,"Überbestand "&amp;ROUND(H648-AV648,0)&amp;" Stk / CHF "&amp;ROUND((H648-AV648)*G648,0)&amp;"; ","")&amp;IF(AND(CH648=1,CI648&lt;CJ648),"MAX &lt; MB+LG; ","")&amp;IF(AND(CP648&gt;0,CO648*10&gt;CP648),"zu hoch für Tablar; ","")&amp;IF(AND(BV648=0,OR(CH648=1,AA648&lt;&gt;"",U648&lt;&gt;"",V648&lt;&gt;"",AB648&lt;&gt;"")),"manuell übersteuert; ","")&amp;IF(AND(BZ648=0,R648=0),"Gebinde unbekannt / Stellmass fehlt; ","")&amp;IF(AND(BZ648=0,N(V648)&lt;=0,N(Q648)&lt;=0),"Menge pro Gebinde fehlt (Ist = 1 Gebinde); ","")&amp;BU648)</f>
        <v>Überbestand 940 Stk / CHF 9; Überbestand</v>
      </c>
      <c r="BN648" s="48"/>
      <c r="BO648" s="48"/>
      <c r="BP648" s="55"/>
      <c r="BQ648" s="50" t="n">
        <v>3</v>
      </c>
      <c r="BR648" s="50" t="n">
        <v>939</v>
      </c>
      <c r="BS648" s="49" t="n">
        <v>0.03</v>
      </c>
      <c r="BT648" s="50" t="n">
        <v>2</v>
      </c>
      <c r="BU648" s="48" t="s">
        <v>401</v>
      </c>
      <c r="BV648" s="53" t="n">
        <v>0</v>
      </c>
      <c r="BW648" s="53" t="n">
        <v>648</v>
      </c>
      <c r="BX648" s="48" t="str">
        <f aca="false">IF(U648&lt;&gt;"",UPPER(TRIM(U648)),IF(CA648=1,UPPER(VLOOKUP(T648,Parameter!$I$27:$K$29,2,0)),IF(P648="","LOSE",P648)))</f>
        <v>S32</v>
      </c>
      <c r="BY648" s="50" t="n">
        <f aca="false">IF(BX648="LOSE",1,IF(N(V648)&gt;0,V648,IF(CA648=1,MAX(1,N(VLOOKUP(T648,Parameter!$I$27:$K$29,3,0)),H648,N(N648)),IF(N(Q648)&gt;0,Q648,MAX(1,H648)))))</f>
        <v>977</v>
      </c>
      <c r="BZ648" s="53" t="n">
        <f aca="false">IF(BX648="LOSE",1,0)</f>
        <v>0</v>
      </c>
      <c r="CA648" s="53" t="n">
        <f aca="false">IF(AND(U648="",OR(P648="",P648="LOSE"),T648&lt;&gt;"",N(S648)&lt;=0,ISNUMBER(MATCH(T648,Parameter!$I$27:$I$29,0))),1,0)</f>
        <v>0</v>
      </c>
      <c r="CB648" s="53" t="n">
        <f aca="false">IF(CQ648&gt;0,INDEX(Parameter!$H$5:$H$7,W648)/INDEX(Parameter!$E$5:$E$7,W648),IF(AND(BZ648=0,N(IFERROR(VLOOKUP(BX648,'Gebinde-Kategorie'!$A$5:$N$45,14,0),0))&gt;0),VLOOKUP(BX648,'Gebinde-Kategorie'!$A$5:$N$45,14,0)*10+Parameter!$M$23,Parameter!$M$24))</f>
        <v>155</v>
      </c>
      <c r="CC648" s="48" t="str">
        <f aca="false">IF(AND(Parameter!$B$19="Ja",E648&lt;&gt;"",ISNUMBER(MATCH(E648,Parameter!$I$35:$I$52,0))),VLOOKUP(E648,Parameter!$I$35:$J$52,2,0),IFERROR(VLOOKUP(D648,Parameter!$A$35:$C$64,2,0),"Nein"))</f>
        <v>2+3</v>
      </c>
      <c r="CD648" s="52" t="n">
        <f aca="false">IF(BZ648=0,0,IF(N(S648)&gt;0,S648,IFERROR(VLOOKUP(D648,Parameter!$A$35:$C$64,3,0)+0,0)))</f>
        <v>0</v>
      </c>
      <c r="CE648" s="48" t="n">
        <f aca="false">IF(AA648&lt;&gt;"",AA648,Z648)</f>
        <v>3</v>
      </c>
      <c r="CF648" s="48" t="str">
        <f aca="false">IF(OR(CE648=1,CE648=2,CE648=3),IF(Parameter!$E$27="Ja","LIFT",IF(CE648=1,"L1","L23")),IF(CE648="Aussen","Aussen","-"))</f>
        <v>LIFT</v>
      </c>
      <c r="CG648" s="59" t="n">
        <f aca="false">IF(N(AB648)&gt;0,AB648,0)</f>
        <v>0</v>
      </c>
      <c r="CH648" s="53" t="n">
        <f aca="false">IF(ISNUMBER(AE648),1,0)</f>
        <v>0</v>
      </c>
      <c r="CI648" s="50" t="n">
        <f aca="false">N(AE648)</f>
        <v>0</v>
      </c>
      <c r="CJ648" s="50" t="n">
        <f aca="false">N(M648)+N(N648)</f>
        <v>1</v>
      </c>
      <c r="CK648" s="50" t="n">
        <f aca="false">N(M648)</f>
        <v>0</v>
      </c>
      <c r="CL648" s="50" t="n">
        <f aca="false">N(N648)</f>
        <v>1</v>
      </c>
      <c r="CM648" s="50" t="n">
        <f aca="false">ROUNDUP(H648/BY648,0)</f>
        <v>1</v>
      </c>
      <c r="CN648" s="50" t="n">
        <f aca="false">ROUNDUP(CI648/BY648,0)</f>
        <v>0</v>
      </c>
      <c r="CO648" s="53" t="n">
        <f aca="false">IF(BZ648=1,0,IFERROR(VLOOKUP(BX648,'Gebinde-Kategorie'!$A$5:$N$45,5,0)+0,0))</f>
        <v>8</v>
      </c>
      <c r="CP648" s="53" t="n">
        <f aca="false">IFERROR(IF(OR(CE648=1,CE648=2,CE648=3),N(INDEX(Parameter!$I$5:$I$7,CE648)),0),0)</f>
        <v>0</v>
      </c>
      <c r="CQ648" s="52" t="n">
        <f aca="false">IF(AND(Parameter!$B$21="Ja",ISNUMBER(W648),N(X648)&gt;0),IFERROR(N(INDEX(Parameter!$L$5:$L$7,W648))*INDEX(Parameter!$E$5:$E$7,W648)*X648/SUMIFS($X$7:$X$1843,$W$7:$W$1843,W648),0),0)</f>
        <v>0</v>
      </c>
    </row>
    <row r="649" customFormat="false" ht="15" hidden="false" customHeight="false" outlineLevel="0" collapsed="false">
      <c r="A649" s="48" t="s">
        <v>1325</v>
      </c>
      <c r="B649" s="48" t="s">
        <v>958</v>
      </c>
      <c r="C649" s="48" t="s">
        <v>173</v>
      </c>
      <c r="D649" s="48" t="s">
        <v>193</v>
      </c>
      <c r="E649" s="48"/>
      <c r="F649" s="48" t="s">
        <v>227</v>
      </c>
      <c r="G649" s="49" t="n">
        <v>0.01</v>
      </c>
      <c r="H649" s="50" t="n">
        <f aca="false">MAX(0,IF(AND(Parameter!$B$21="Ja",ISNUMBER(Y649)),Y649,IF(Parameter!$B$20="Jahresanfang 2025 + Export",BR649+BQ649,BQ649)))</f>
        <v>278</v>
      </c>
      <c r="I649" s="50" t="n">
        <f aca="false">H649*G649</f>
        <v>2.78</v>
      </c>
      <c r="J649" s="50" t="n">
        <f aca="false">BT649*Parameter!$B$18</f>
        <v>0</v>
      </c>
      <c r="K649" s="51" t="n">
        <v>276.5</v>
      </c>
      <c r="L649" s="52" t="n">
        <v>0</v>
      </c>
      <c r="M649" s="50" t="n">
        <v>0</v>
      </c>
      <c r="N649" s="50" t="n">
        <v>1</v>
      </c>
      <c r="O649" s="53" t="n">
        <v>14</v>
      </c>
      <c r="P649" s="48" t="s">
        <v>410</v>
      </c>
      <c r="Q649" s="50" t="n">
        <v>280</v>
      </c>
      <c r="R649" s="53" t="n">
        <f aca="false">IF(BZ649=1,0,IFERROR(VLOOKUP(BX649,'Gebinde-Kategorie'!$A$5:$N$45,13,0)+0,0))</f>
        <v>280</v>
      </c>
      <c r="S649" s="54"/>
      <c r="T649" s="55"/>
      <c r="U649" s="55"/>
      <c r="V649" s="55"/>
      <c r="W649" s="48"/>
      <c r="X649" s="50"/>
      <c r="Y649" s="50"/>
      <c r="Z649" s="48" t="n">
        <f aca="false">IF(A649="","",IF(AND(Parameter!$B$21="Ja",ISNUMBER(W649)),W649,IF(CC649="2+3",IF(ISNUMBER(SEARCH("grosser Artikel",BU649)),2,IFERROR(VLOOKUP(BX649,Parameter!$F$35:$G$64,2,0),2)),IF(OR(CC649="Nein",CC649=""),"-",CC649))))</f>
        <v>3</v>
      </c>
      <c r="AA649" s="55"/>
      <c r="AB649" s="56"/>
      <c r="AC649" s="50" t="n">
        <f aca="false">AV649</f>
        <v>1</v>
      </c>
      <c r="AD649" s="50" t="n">
        <f aca="false">MAX(AV649,H649)</f>
        <v>278</v>
      </c>
      <c r="AE649" s="57"/>
      <c r="AF649" s="50" t="n">
        <f aca="false">IF(LEFT(Cockpit!$C$5,1)="A",H649,IF(Parameter!$E$30="MAX-Bestand",IF(CH649=1,CI649,IF(LEFT(Cockpit!$C$5,1)="B",AL649,MAX(AL649,H649))),ROUNDUP(AJ649,0)))</f>
        <v>278</v>
      </c>
      <c r="AG649" s="50" t="n">
        <f aca="false">IF(BZ649=1,0,ROUNDUP(AF649/BY649,0))</f>
        <v>1</v>
      </c>
      <c r="AH649" s="52" t="n">
        <f aca="false">IF(CQ649&gt;0,CQ649*MAX(1,AF649/X649),IF(BZ649=1,IF(AF649&lt;=0,0,CD649*MAX(1,IF(H649&gt;0,AF649/H649,1))),IF(R649&gt;0,AG649/R649,0))/MAX(0.1,N(Parameter!$M$21)))</f>
        <v>0.00357142857142857</v>
      </c>
      <c r="AI649" s="50" t="n">
        <f aca="false">AH649*CB649</f>
        <v>0.553571428571429</v>
      </c>
      <c r="AJ649" s="51" t="n">
        <f aca="false">IF(LEFT(Cockpit!$C$5,1)="A",H649,IF(CH649=1,(CK649+CI649)/2,IF(LEFT(Cockpit!$C$5,1)="B",(CK649+AL649)/2,MAX((CK649+AL649)/2,H649))))</f>
        <v>278</v>
      </c>
      <c r="AK649" s="50" t="n">
        <f aca="false">AJ649*G649</f>
        <v>2.78</v>
      </c>
      <c r="AL649" s="50" t="n">
        <f aca="false">ROUNDUP(CK649+MAX(CL649,2*(J649/IF(CG649&gt;0,CG649,MAX(0.1,N(Cockpit!$C$6)))-CK649)),0)</f>
        <v>1</v>
      </c>
      <c r="AM649" s="51" t="n">
        <f aca="false">IF(AI649&gt;0,J649/AI649,-1)</f>
        <v>0</v>
      </c>
      <c r="AN649" s="51" t="n">
        <f aca="false">IF(AND(OR(CF649="L1",CF649="L23",CF649="LIFT"),AI649&gt;0),SUMIFS($AI$7:$AI$1843,$CF$7:$CF$1843,CF649,$AM$7:$AM$1843,"&gt;"&amp;AM649)+SUMIFS($AI$7:$AI$1843,$CF$7:$CF$1843,CF649,$AM$7:$AM$1843,AM649,$BW$7:$BW$1843,"&lt;="&amp;BW649),"")</f>
        <v>28608.8362487324</v>
      </c>
      <c r="AO649" s="58" t="n">
        <f aca="false">IF(AN649="",0,MAX(0,MIN(1,(IF(CF649="L1",Parameter!$H$5,IF(CF649="L23",Parameter!$H$6+Parameter!$H$7,Parameter!$H$5+Parameter!$H$6+Parameter!$H$7))-(AN649-AI649))/AI649)))</f>
        <v>1</v>
      </c>
      <c r="AP649" s="50" t="n">
        <f aca="false">IF(LEFT(Cockpit!$I$5,1)="A",H649,IF(Parameter!$E$30="MAX-Bestand",IF(CH649=1,CI649,IF(LEFT(Cockpit!$I$5,1)="B",AV649,MAX(AV649,H649))),ROUNDUP(AT649,0)))</f>
        <v>278</v>
      </c>
      <c r="AQ649" s="50" t="n">
        <f aca="false">IF(BZ649=1,0,ROUNDUP(AP649/BY649,0))</f>
        <v>1</v>
      </c>
      <c r="AR649" s="52" t="n">
        <f aca="false">IF(CQ649&gt;0,CQ649*MAX(1,AP649/X649),IF(BZ649=1,IF(AP649&lt;=0,0,CD649*MAX(1,IF(H649&gt;0,AP649/H649,1))),IF(R649&gt;0,AQ649/R649,0))/MAX(0.1,N(Parameter!$M$21)))</f>
        <v>0.00357142857142857</v>
      </c>
      <c r="AS649" s="50" t="n">
        <f aca="false">AR649*CB649</f>
        <v>0.553571428571429</v>
      </c>
      <c r="AT649" s="51" t="n">
        <f aca="false">IF(LEFT(Cockpit!$I$5,1)="A",H649,IF(CH649=1,(CK649+CI649)/2,IF(LEFT(Cockpit!$I$5,1)="B",(CK649+AV649)/2,MAX((CK649+AV649)/2,H649))))</f>
        <v>278</v>
      </c>
      <c r="AU649" s="50" t="n">
        <f aca="false">AT649*G649</f>
        <v>2.78</v>
      </c>
      <c r="AV649" s="50" t="n">
        <f aca="false">ROUNDUP(CK649+MAX(CL649,2*(J649/IF(CG649&gt;0,CG649,MAX(0.1,N(Cockpit!$I$6)))-CK649)),0)</f>
        <v>1</v>
      </c>
      <c r="AW649" s="51" t="n">
        <f aca="false">IF(AS649&gt;0,J649/AS649,-1)</f>
        <v>0</v>
      </c>
      <c r="AX649" s="51" t="n">
        <f aca="false">IF(AND(OR(CF649="L1",CF649="L23",CF649="LIFT"),AS649&gt;0),SUMIFS($AS$7:$AS$1843,$CF$7:$CF$1843,CF649,$AW$7:$AW$1843,"&gt;"&amp;AW649)+SUMIFS($AS$7:$AS$1843,$CF$7:$CF$1843,CF649,$AW$7:$AW$1843,AW649,$BW$7:$BW$1843,"&lt;="&amp;BW649),"")</f>
        <v>33961.9848901099</v>
      </c>
      <c r="AY649" s="58" t="n">
        <f aca="false">IF(AX649="",0,MAX(0,MIN(1,(IF(CF649="L1",Parameter!$H$5,IF(CF649="L23",Parameter!$H$6+Parameter!$H$7,Parameter!$H$5+Parameter!$H$6+Parameter!$H$7))-(AX649-AS649))/AS649)))</f>
        <v>1</v>
      </c>
      <c r="AZ649" s="50" t="n">
        <f aca="false">IF(LEFT(Cockpit!$O$5,1)="A",H649,IF(Parameter!$E$30="MAX-Bestand",IF(CH649=1,CI649,IF(LEFT(Cockpit!$O$5,1)="B",BF649,MAX(BF649,H649))),ROUNDUP(BD649,0)))</f>
        <v>1</v>
      </c>
      <c r="BA649" s="50" t="n">
        <f aca="false">IF(BZ649=1,0,ROUNDUP(AZ649/BY649,0))</f>
        <v>1</v>
      </c>
      <c r="BB649" s="52" t="n">
        <f aca="false">IF(CQ649&gt;0,CQ649*MAX(1,AZ649/X649),IF(BZ649=1,IF(AZ649&lt;=0,0,CD649*MAX(1,IF(H649&gt;0,AZ649/H649,1))),IF(R649&gt;0,BA649/R649,0))/MAX(0.1,N(Parameter!$M$21)))</f>
        <v>0.00357142857142857</v>
      </c>
      <c r="BC649" s="50" t="n">
        <f aca="false">BB649*CB649</f>
        <v>0.553571428571429</v>
      </c>
      <c r="BD649" s="51" t="n">
        <f aca="false">IF(LEFT(Cockpit!$O$5,1)="A",H649,IF(CH649=1,(CK649+CI649)/2,IF(LEFT(Cockpit!$O$5,1)="B",(CK649+BF649)/2,MAX((CK649+BF649)/2,H649))))</f>
        <v>0.5</v>
      </c>
      <c r="BE649" s="50" t="n">
        <f aca="false">BD649*G649</f>
        <v>0.005</v>
      </c>
      <c r="BF649" s="50" t="n">
        <f aca="false">ROUNDUP(CK649+MAX(CL649,2*(J649/IF(CG649&gt;0,CG649,MAX(0.1,N(Cockpit!$O$6)))-CK649)),0)</f>
        <v>1</v>
      </c>
      <c r="BG649" s="51" t="n">
        <f aca="false">IF(BC649&gt;0,J649/BC649,-1)</f>
        <v>0</v>
      </c>
      <c r="BH649" s="51" t="n">
        <f aca="false">IF(AND(OR(CF649="L1",CF649="L23",CF649="LIFT"),BC649&gt;0),SUMIFS($BC$7:$BC$1843,$CF$7:$CF$1843,CF649,$BG$7:$BG$1843,"&gt;"&amp;BG649)+SUMIFS($BC$7:$BC$1843,$CF$7:$CF$1843,CF649,$BG$7:$BG$1843,BG649,$BW$7:$BW$1843,"&lt;="&amp;BW649),"")</f>
        <v>28027.2210374371</v>
      </c>
      <c r="BI649" s="58" t="n">
        <f aca="false">IF(BH649="",0,MAX(0,MIN(1,(IF(CF649="L1",Parameter!$H$5,IF(CF649="L23",Parameter!$H$6+Parameter!$H$7,Parameter!$H$5+Parameter!$H$6+Parameter!$H$7))-(BH649-BC649))/BC649)))</f>
        <v>1</v>
      </c>
      <c r="BJ649" s="48" t="str">
        <f aca="false">IF(AI649&lt;=0,"",IF(CF649="Aussen","Aussenlager",IF(CF649="-","Nicht im Lift",IF(AO649&gt;=1,"Lift",IF(AO649&lt;=0,"Aussenlager","teilweise")))))</f>
        <v>Lift</v>
      </c>
      <c r="BK649" s="48" t="str">
        <f aca="false">IF(AS649&lt;=0,"",IF(CF649="Aussen","Aussenlager",IF(CF649="-","Nicht im Lift",IF(AY649&gt;=1,"Lift",IF(AY649&lt;=0,"Aussenlager","teilweise")))))</f>
        <v>Lift</v>
      </c>
      <c r="BL649" s="48" t="str">
        <f aca="false">IF(BC649&lt;=0,"",IF(CF649="Aussen","Aussenlager",IF(CF649="-","Nicht im Lift",IF(BI649&gt;=1,"Lift",IF(BI649&lt;=0,"Aussenlager","teilweise")))))</f>
        <v>Lift</v>
      </c>
      <c r="BM649" s="48" t="str">
        <f aca="false">IF(A649="","",IF(BV649=1,"Neu; ","")&amp;IF(AND(BV649=0,BQ649&lt;0),"negativer Bestand (Export "&amp;BQ649&amp;"); ","")&amp;IF(J649&lt;=0,"Kein Verbrauch; ","")&amp;IF(CQ649&gt;0,"Lift "&amp;W649&amp;" lt. Liftbericht (Fach "&amp;X649&amp;" Stk); ",IF(CA649=1,"Gebinde geschätzt ("&amp;T649&amp;"); ",IF(BZ649=1,"Lose – Tablare geschätzt; ","")))&amp;IF(H649&gt;AV649,"Überbestand "&amp;ROUND(H649-AV649,0)&amp;" Stk / CHF "&amp;ROUND((H649-AV649)*G649,0)&amp;"; ","")&amp;IF(AND(CH649=1,CI649&lt;CJ649),"MAX &lt; MB+LG; ","")&amp;IF(AND(CP649&gt;0,CO649*10&gt;CP649),"zu hoch für Tablar; ","")&amp;IF(AND(BV649=0,OR(CH649=1,AA649&lt;&gt;"",U649&lt;&gt;"",V649&lt;&gt;"",AB649&lt;&gt;"")),"manuell übersteuert; ","")&amp;IF(AND(BZ649=0,R649=0),"Gebinde unbekannt / Stellmass fehlt; ","")&amp;IF(AND(BZ649=0,N(V649)&lt;=0,N(Q649)&lt;=0),"Menge pro Gebinde fehlt (Ist = 1 Gebinde); ","")&amp;BU649)</f>
        <v>Kein Verbrauch; Überbestand 277 Stk / CHF 3; </v>
      </c>
      <c r="BN649" s="48"/>
      <c r="BO649" s="48"/>
      <c r="BP649" s="55"/>
      <c r="BQ649" s="50" t="n">
        <v>3</v>
      </c>
      <c r="BR649" s="50" t="n">
        <v>275</v>
      </c>
      <c r="BS649" s="49" t="n">
        <v>0.03</v>
      </c>
      <c r="BT649" s="50" t="n">
        <v>0</v>
      </c>
      <c r="BU649" s="48"/>
      <c r="BV649" s="53" t="n">
        <v>0</v>
      </c>
      <c r="BW649" s="53" t="n">
        <v>649</v>
      </c>
      <c r="BX649" s="48" t="str">
        <f aca="false">IF(U649&lt;&gt;"",UPPER(TRIM(U649)),IF(CA649=1,UPPER(VLOOKUP(T649,Parameter!$I$27:$K$29,2,0)),IF(P649="","LOSE",P649)))</f>
        <v>S21</v>
      </c>
      <c r="BY649" s="50" t="n">
        <f aca="false">IF(BX649="LOSE",1,IF(N(V649)&gt;0,V649,IF(CA649=1,MAX(1,N(VLOOKUP(T649,Parameter!$I$27:$K$29,3,0)),H649,N(N649)),IF(N(Q649)&gt;0,Q649,MAX(1,H649)))))</f>
        <v>280</v>
      </c>
      <c r="BZ649" s="53" t="n">
        <f aca="false">IF(BX649="LOSE",1,0)</f>
        <v>0</v>
      </c>
      <c r="CA649" s="53" t="n">
        <f aca="false">IF(AND(U649="",OR(P649="",P649="LOSE"),T649&lt;&gt;"",N(S649)&lt;=0,ISNUMBER(MATCH(T649,Parameter!$I$27:$I$29,0))),1,0)</f>
        <v>0</v>
      </c>
      <c r="CB649" s="53" t="n">
        <f aca="false">IF(CQ649&gt;0,INDEX(Parameter!$H$5:$H$7,W649)/INDEX(Parameter!$E$5:$E$7,W649),IF(AND(BZ649=0,N(IFERROR(VLOOKUP(BX649,'Gebinde-Kategorie'!$A$5:$N$45,14,0),0))&gt;0),VLOOKUP(BX649,'Gebinde-Kategorie'!$A$5:$N$45,14,0)*10+Parameter!$M$23,Parameter!$M$24))</f>
        <v>155</v>
      </c>
      <c r="CC649" s="48" t="str">
        <f aca="false">IF(AND(Parameter!$B$19="Ja",E649&lt;&gt;"",ISNUMBER(MATCH(E649,Parameter!$I$35:$I$52,0))),VLOOKUP(E649,Parameter!$I$35:$J$52,2,0),IFERROR(VLOOKUP(D649,Parameter!$A$35:$C$64,2,0),"Nein"))</f>
        <v>2+3</v>
      </c>
      <c r="CD649" s="52" t="n">
        <f aca="false">IF(BZ649=0,0,IF(N(S649)&gt;0,S649,IFERROR(VLOOKUP(D649,Parameter!$A$35:$C$64,3,0)+0,0)))</f>
        <v>0</v>
      </c>
      <c r="CE649" s="48" t="n">
        <f aca="false">IF(AA649&lt;&gt;"",AA649,Z649)</f>
        <v>3</v>
      </c>
      <c r="CF649" s="48" t="str">
        <f aca="false">IF(OR(CE649=1,CE649=2,CE649=3),IF(Parameter!$E$27="Ja","LIFT",IF(CE649=1,"L1","L23")),IF(CE649="Aussen","Aussen","-"))</f>
        <v>LIFT</v>
      </c>
      <c r="CG649" s="59" t="n">
        <f aca="false">IF(N(AB649)&gt;0,AB649,0)</f>
        <v>0</v>
      </c>
      <c r="CH649" s="53" t="n">
        <f aca="false">IF(ISNUMBER(AE649),1,0)</f>
        <v>0</v>
      </c>
      <c r="CI649" s="50" t="n">
        <f aca="false">N(AE649)</f>
        <v>0</v>
      </c>
      <c r="CJ649" s="50" t="n">
        <f aca="false">N(M649)+N(N649)</f>
        <v>1</v>
      </c>
      <c r="CK649" s="50" t="n">
        <f aca="false">N(M649)</f>
        <v>0</v>
      </c>
      <c r="CL649" s="50" t="n">
        <f aca="false">N(N649)</f>
        <v>1</v>
      </c>
      <c r="CM649" s="50" t="n">
        <f aca="false">ROUNDUP(H649/BY649,0)</f>
        <v>1</v>
      </c>
      <c r="CN649" s="50" t="n">
        <f aca="false">ROUNDUP(CI649/BY649,0)</f>
        <v>0</v>
      </c>
      <c r="CO649" s="53" t="n">
        <f aca="false">IF(BZ649=1,0,IFERROR(VLOOKUP(BX649,'Gebinde-Kategorie'!$A$5:$N$45,5,0)+0,0))</f>
        <v>8</v>
      </c>
      <c r="CP649" s="53" t="n">
        <f aca="false">IFERROR(IF(OR(CE649=1,CE649=2,CE649=3),N(INDEX(Parameter!$I$5:$I$7,CE649)),0),0)</f>
        <v>0</v>
      </c>
      <c r="CQ649" s="52" t="n">
        <f aca="false">IF(AND(Parameter!$B$21="Ja",ISNUMBER(W649),N(X649)&gt;0),IFERROR(N(INDEX(Parameter!$L$5:$L$7,W649))*INDEX(Parameter!$E$5:$E$7,W649)*X649/SUMIFS($X$7:$X$1843,$W$7:$W$1843,W649),0),0)</f>
        <v>0</v>
      </c>
    </row>
    <row r="650" customFormat="false" ht="15" hidden="false" customHeight="false" outlineLevel="0" collapsed="false">
      <c r="A650" s="48" t="s">
        <v>1326</v>
      </c>
      <c r="B650" s="48" t="s">
        <v>663</v>
      </c>
      <c r="C650" s="48" t="s">
        <v>173</v>
      </c>
      <c r="D650" s="48" t="s">
        <v>193</v>
      </c>
      <c r="E650" s="48"/>
      <c r="F650" s="48" t="s">
        <v>227</v>
      </c>
      <c r="G650" s="49" t="n">
        <v>0.02</v>
      </c>
      <c r="H650" s="50" t="n">
        <f aca="false">MAX(0,IF(AND(Parameter!$B$21="Ja",ISNUMBER(Y650)),Y650,IF(Parameter!$B$20="Jahresanfang 2025 + Export",BR650+BQ650,BQ650)))</f>
        <v>470</v>
      </c>
      <c r="I650" s="50" t="n">
        <f aca="false">H650*G650</f>
        <v>9.4</v>
      </c>
      <c r="J650" s="50" t="n">
        <f aca="false">BT650*Parameter!$B$18</f>
        <v>0</v>
      </c>
      <c r="K650" s="51" t="n">
        <v>469.5</v>
      </c>
      <c r="L650" s="52" t="n">
        <v>0</v>
      </c>
      <c r="M650" s="50" t="n">
        <v>0</v>
      </c>
      <c r="N650" s="50" t="n">
        <v>1</v>
      </c>
      <c r="O650" s="53" t="n">
        <v>14</v>
      </c>
      <c r="P650" s="48" t="s">
        <v>435</v>
      </c>
      <c r="Q650" s="50" t="n">
        <v>300</v>
      </c>
      <c r="R650" s="53" t="n">
        <f aca="false">IF(BZ650=1,0,IFERROR(VLOOKUP(BX650,'Gebinde-Kategorie'!$A$5:$N$45,13,0)+0,0))</f>
        <v>140</v>
      </c>
      <c r="S650" s="54"/>
      <c r="T650" s="55"/>
      <c r="U650" s="55"/>
      <c r="V650" s="55"/>
      <c r="W650" s="48"/>
      <c r="X650" s="50"/>
      <c r="Y650" s="50"/>
      <c r="Z650" s="48" t="n">
        <f aca="false">IF(A650="","",IF(AND(Parameter!$B$21="Ja",ISNUMBER(W650)),W650,IF(CC650="2+3",IF(ISNUMBER(SEARCH("grosser Artikel",BU650)),2,IFERROR(VLOOKUP(BX650,Parameter!$F$35:$G$64,2,0),2)),IF(OR(CC650="Nein",CC650=""),"-",CC650))))</f>
        <v>3</v>
      </c>
      <c r="AA650" s="55"/>
      <c r="AB650" s="56"/>
      <c r="AC650" s="50" t="n">
        <f aca="false">AV650</f>
        <v>1</v>
      </c>
      <c r="AD650" s="50" t="n">
        <f aca="false">MAX(AV650,H650)</f>
        <v>470</v>
      </c>
      <c r="AE650" s="57"/>
      <c r="AF650" s="50" t="n">
        <f aca="false">IF(LEFT(Cockpit!$C$5,1)="A",H650,IF(Parameter!$E$30="MAX-Bestand",IF(CH650=1,CI650,IF(LEFT(Cockpit!$C$5,1)="B",AL650,MAX(AL650,H650))),ROUNDUP(AJ650,0)))</f>
        <v>470</v>
      </c>
      <c r="AG650" s="50" t="n">
        <f aca="false">IF(BZ650=1,0,ROUNDUP(AF650/BY650,0))</f>
        <v>2</v>
      </c>
      <c r="AH650" s="52" t="n">
        <f aca="false">IF(CQ650&gt;0,CQ650*MAX(1,AF650/X650),IF(BZ650=1,IF(AF650&lt;=0,0,CD650*MAX(1,IF(H650&gt;0,AF650/H650,1))),IF(R650&gt;0,AG650/R650,0))/MAX(0.1,N(Parameter!$M$21)))</f>
        <v>0.0142857142857143</v>
      </c>
      <c r="AI650" s="50" t="n">
        <f aca="false">AH650*CB650</f>
        <v>2.21428571428571</v>
      </c>
      <c r="AJ650" s="51" t="n">
        <f aca="false">IF(LEFT(Cockpit!$C$5,1)="A",H650,IF(CH650=1,(CK650+CI650)/2,IF(LEFT(Cockpit!$C$5,1)="B",(CK650+AL650)/2,MAX((CK650+AL650)/2,H650))))</f>
        <v>470</v>
      </c>
      <c r="AK650" s="50" t="n">
        <f aca="false">AJ650*G650</f>
        <v>9.4</v>
      </c>
      <c r="AL650" s="50" t="n">
        <f aca="false">ROUNDUP(CK650+MAX(CL650,2*(J650/IF(CG650&gt;0,CG650,MAX(0.1,N(Cockpit!$C$6)))-CK650)),0)</f>
        <v>1</v>
      </c>
      <c r="AM650" s="51" t="n">
        <f aca="false">IF(AI650&gt;0,J650/AI650,-1)</f>
        <v>0</v>
      </c>
      <c r="AN650" s="51" t="n">
        <f aca="false">IF(AND(OR(CF650="L1",CF650="L23",CF650="LIFT"),AI650&gt;0),SUMIFS($AI$7:$AI$1843,$CF$7:$CF$1843,CF650,$AM$7:$AM$1843,"&gt;"&amp;AM650)+SUMIFS($AI$7:$AI$1843,$CF$7:$CF$1843,CF650,$AM$7:$AM$1843,AM650,$BW$7:$BW$1843,"&lt;="&amp;BW650),"")</f>
        <v>28611.0505344467</v>
      </c>
      <c r="AO650" s="58" t="n">
        <f aca="false">IF(AN650="",0,MAX(0,MIN(1,(IF(CF650="L1",Parameter!$H$5,IF(CF650="L23",Parameter!$H$6+Parameter!$H$7,Parameter!$H$5+Parameter!$H$6+Parameter!$H$7))-(AN650-AI650))/AI650)))</f>
        <v>1</v>
      </c>
      <c r="AP650" s="50" t="n">
        <f aca="false">IF(LEFT(Cockpit!$I$5,1)="A",H650,IF(Parameter!$E$30="MAX-Bestand",IF(CH650=1,CI650,IF(LEFT(Cockpit!$I$5,1)="B",AV650,MAX(AV650,H650))),ROUNDUP(AT650,0)))</f>
        <v>470</v>
      </c>
      <c r="AQ650" s="50" t="n">
        <f aca="false">IF(BZ650=1,0,ROUNDUP(AP650/BY650,0))</f>
        <v>2</v>
      </c>
      <c r="AR650" s="52" t="n">
        <f aca="false">IF(CQ650&gt;0,CQ650*MAX(1,AP650/X650),IF(BZ650=1,IF(AP650&lt;=0,0,CD650*MAX(1,IF(H650&gt;0,AP650/H650,1))),IF(R650&gt;0,AQ650/R650,0))/MAX(0.1,N(Parameter!$M$21)))</f>
        <v>0.0142857142857143</v>
      </c>
      <c r="AS650" s="50" t="n">
        <f aca="false">AR650*CB650</f>
        <v>2.21428571428571</v>
      </c>
      <c r="AT650" s="51" t="n">
        <f aca="false">IF(LEFT(Cockpit!$I$5,1)="A",H650,IF(CH650=1,(CK650+CI650)/2,IF(LEFT(Cockpit!$I$5,1)="B",(CK650+AV650)/2,MAX((CK650+AV650)/2,H650))))</f>
        <v>470</v>
      </c>
      <c r="AU650" s="50" t="n">
        <f aca="false">AT650*G650</f>
        <v>9.4</v>
      </c>
      <c r="AV650" s="50" t="n">
        <f aca="false">ROUNDUP(CK650+MAX(CL650,2*(J650/IF(CG650&gt;0,CG650,MAX(0.1,N(Cockpit!$I$6)))-CK650)),0)</f>
        <v>1</v>
      </c>
      <c r="AW650" s="51" t="n">
        <f aca="false">IF(AS650&gt;0,J650/AS650,-1)</f>
        <v>0</v>
      </c>
      <c r="AX650" s="51" t="n">
        <f aca="false">IF(AND(OR(CF650="L1",CF650="L23",CF650="LIFT"),AS650&gt;0),SUMIFS($AS$7:$AS$1843,$CF$7:$CF$1843,CF650,$AW$7:$AW$1843,"&gt;"&amp;AW650)+SUMIFS($AS$7:$AS$1843,$CF$7:$CF$1843,CF650,$AW$7:$AW$1843,AW650,$BW$7:$BW$1843,"&lt;="&amp;BW650),"")</f>
        <v>33964.1991758242</v>
      </c>
      <c r="AY650" s="58" t="n">
        <f aca="false">IF(AX650="",0,MAX(0,MIN(1,(IF(CF650="L1",Parameter!$H$5,IF(CF650="L23",Parameter!$H$6+Parameter!$H$7,Parameter!$H$5+Parameter!$H$6+Parameter!$H$7))-(AX650-AS650))/AS650)))</f>
        <v>1</v>
      </c>
      <c r="AZ650" s="50" t="n">
        <f aca="false">IF(LEFT(Cockpit!$O$5,1)="A",H650,IF(Parameter!$E$30="MAX-Bestand",IF(CH650=1,CI650,IF(LEFT(Cockpit!$O$5,1)="B",BF650,MAX(BF650,H650))),ROUNDUP(BD650,0)))</f>
        <v>1</v>
      </c>
      <c r="BA650" s="50" t="n">
        <f aca="false">IF(BZ650=1,0,ROUNDUP(AZ650/BY650,0))</f>
        <v>1</v>
      </c>
      <c r="BB650" s="52" t="n">
        <f aca="false">IF(CQ650&gt;0,CQ650*MAX(1,AZ650/X650),IF(BZ650=1,IF(AZ650&lt;=0,0,CD650*MAX(1,IF(H650&gt;0,AZ650/H650,1))),IF(R650&gt;0,BA650/R650,0))/MAX(0.1,N(Parameter!$M$21)))</f>
        <v>0.00714285714285714</v>
      </c>
      <c r="BC650" s="50" t="n">
        <f aca="false">BB650*CB650</f>
        <v>1.10714285714286</v>
      </c>
      <c r="BD650" s="51" t="n">
        <f aca="false">IF(LEFT(Cockpit!$O$5,1)="A",H650,IF(CH650=1,(CK650+CI650)/2,IF(LEFT(Cockpit!$O$5,1)="B",(CK650+BF650)/2,MAX((CK650+BF650)/2,H650))))</f>
        <v>0.5</v>
      </c>
      <c r="BE650" s="50" t="n">
        <f aca="false">BD650*G650</f>
        <v>0.01</v>
      </c>
      <c r="BF650" s="50" t="n">
        <f aca="false">ROUNDUP(CK650+MAX(CL650,2*(J650/IF(CG650&gt;0,CG650,MAX(0.1,N(Cockpit!$O$6)))-CK650)),0)</f>
        <v>1</v>
      </c>
      <c r="BG650" s="51" t="n">
        <f aca="false">IF(BC650&gt;0,J650/BC650,-1)</f>
        <v>0</v>
      </c>
      <c r="BH650" s="51" t="n">
        <f aca="false">IF(AND(OR(CF650="L1",CF650="L23",CF650="LIFT"),BC650&gt;0),SUMIFS($BC$7:$BC$1843,$CF$7:$CF$1843,CF650,$BG$7:$BG$1843,"&gt;"&amp;BG650)+SUMIFS($BC$7:$BC$1843,$CF$7:$CF$1843,CF650,$BG$7:$BG$1843,BG650,$BW$7:$BW$1843,"&lt;="&amp;BW650),"")</f>
        <v>28028.3281802943</v>
      </c>
      <c r="BI650" s="58" t="n">
        <f aca="false">IF(BH650="",0,MAX(0,MIN(1,(IF(CF650="L1",Parameter!$H$5,IF(CF650="L23",Parameter!$H$6+Parameter!$H$7,Parameter!$H$5+Parameter!$H$6+Parameter!$H$7))-(BH650-BC650))/BC650)))</f>
        <v>1</v>
      </c>
      <c r="BJ650" s="48" t="str">
        <f aca="false">IF(AI650&lt;=0,"",IF(CF650="Aussen","Aussenlager",IF(CF650="-","Nicht im Lift",IF(AO650&gt;=1,"Lift",IF(AO650&lt;=0,"Aussenlager","teilweise")))))</f>
        <v>Lift</v>
      </c>
      <c r="BK650" s="48" t="str">
        <f aca="false">IF(AS650&lt;=0,"",IF(CF650="Aussen","Aussenlager",IF(CF650="-","Nicht im Lift",IF(AY650&gt;=1,"Lift",IF(AY650&lt;=0,"Aussenlager","teilweise")))))</f>
        <v>Lift</v>
      </c>
      <c r="BL650" s="48" t="str">
        <f aca="false">IF(BC650&lt;=0,"",IF(CF650="Aussen","Aussenlager",IF(CF650="-","Nicht im Lift",IF(BI650&gt;=1,"Lift",IF(BI650&lt;=0,"Aussenlager","teilweise")))))</f>
        <v>Lift</v>
      </c>
      <c r="BM650" s="48" t="str">
        <f aca="false">IF(A650="","",IF(BV650=1,"Neu; ","")&amp;IF(AND(BV650=0,BQ650&lt;0),"negativer Bestand (Export "&amp;BQ650&amp;"); ","")&amp;IF(J650&lt;=0,"Kein Verbrauch; ","")&amp;IF(CQ650&gt;0,"Lift "&amp;W650&amp;" lt. Liftbericht (Fach "&amp;X650&amp;" Stk); ",IF(CA650=1,"Gebinde geschätzt ("&amp;T650&amp;"); ",IF(BZ650=1,"Lose – Tablare geschätzt; ","")))&amp;IF(H650&gt;AV650,"Überbestand "&amp;ROUND(H650-AV650,0)&amp;" Stk / CHF "&amp;ROUND((H650-AV650)*G650,0)&amp;"; ","")&amp;IF(AND(CH650=1,CI650&lt;CJ650),"MAX &lt; MB+LG; ","")&amp;IF(AND(CP650&gt;0,CO650*10&gt;CP650),"zu hoch für Tablar; ","")&amp;IF(AND(BV650=0,OR(CH650=1,AA650&lt;&gt;"",U650&lt;&gt;"",V650&lt;&gt;"",AB650&lt;&gt;"")),"manuell übersteuert; ","")&amp;IF(AND(BZ650=0,R650=0),"Gebinde unbekannt / Stellmass fehlt; ","")&amp;IF(AND(BZ650=0,N(V650)&lt;=0,N(Q650)&lt;=0),"Menge pro Gebinde fehlt (Ist = 1 Gebinde); ","")&amp;BU650)</f>
        <v>Kein Verbrauch; Überbestand 469 Stk / CHF 9; Überbestand</v>
      </c>
      <c r="BN650" s="48"/>
      <c r="BO650" s="48"/>
      <c r="BP650" s="55"/>
      <c r="BQ650" s="50" t="n">
        <v>1</v>
      </c>
      <c r="BR650" s="50" t="n">
        <v>469</v>
      </c>
      <c r="BS650" s="49" t="n">
        <v>0.02</v>
      </c>
      <c r="BT650" s="50" t="n">
        <v>0</v>
      </c>
      <c r="BU650" s="48" t="s">
        <v>401</v>
      </c>
      <c r="BV650" s="53" t="n">
        <v>0</v>
      </c>
      <c r="BW650" s="53" t="n">
        <v>650</v>
      </c>
      <c r="BX650" s="48" t="str">
        <f aca="false">IF(U650&lt;&gt;"",UPPER(TRIM(U650)),IF(CA650=1,UPPER(VLOOKUP(T650,Parameter!$I$27:$K$29,2,0)),IF(P650="","LOSE",P650)))</f>
        <v>S22</v>
      </c>
      <c r="BY650" s="50" t="n">
        <f aca="false">IF(BX650="LOSE",1,IF(N(V650)&gt;0,V650,IF(CA650=1,MAX(1,N(VLOOKUP(T650,Parameter!$I$27:$K$29,3,0)),H650,N(N650)),IF(N(Q650)&gt;0,Q650,MAX(1,H650)))))</f>
        <v>300</v>
      </c>
      <c r="BZ650" s="53" t="n">
        <f aca="false">IF(BX650="LOSE",1,0)</f>
        <v>0</v>
      </c>
      <c r="CA650" s="53" t="n">
        <f aca="false">IF(AND(U650="",OR(P650="",P650="LOSE"),T650&lt;&gt;"",N(S650)&lt;=0,ISNUMBER(MATCH(T650,Parameter!$I$27:$I$29,0))),1,0)</f>
        <v>0</v>
      </c>
      <c r="CB650" s="53" t="n">
        <f aca="false">IF(CQ650&gt;0,INDEX(Parameter!$H$5:$H$7,W650)/INDEX(Parameter!$E$5:$E$7,W650),IF(AND(BZ650=0,N(IFERROR(VLOOKUP(BX650,'Gebinde-Kategorie'!$A$5:$N$45,14,0),0))&gt;0),VLOOKUP(BX650,'Gebinde-Kategorie'!$A$5:$N$45,14,0)*10+Parameter!$M$23,Parameter!$M$24))</f>
        <v>155</v>
      </c>
      <c r="CC650" s="48" t="str">
        <f aca="false">IF(AND(Parameter!$B$19="Ja",E650&lt;&gt;"",ISNUMBER(MATCH(E650,Parameter!$I$35:$I$52,0))),VLOOKUP(E650,Parameter!$I$35:$J$52,2,0),IFERROR(VLOOKUP(D650,Parameter!$A$35:$C$64,2,0),"Nein"))</f>
        <v>2+3</v>
      </c>
      <c r="CD650" s="52" t="n">
        <f aca="false">IF(BZ650=0,0,IF(N(S650)&gt;0,S650,IFERROR(VLOOKUP(D650,Parameter!$A$35:$C$64,3,0)+0,0)))</f>
        <v>0</v>
      </c>
      <c r="CE650" s="48" t="n">
        <f aca="false">IF(AA650&lt;&gt;"",AA650,Z650)</f>
        <v>3</v>
      </c>
      <c r="CF650" s="48" t="str">
        <f aca="false">IF(OR(CE650=1,CE650=2,CE650=3),IF(Parameter!$E$27="Ja","LIFT",IF(CE650=1,"L1","L23")),IF(CE650="Aussen","Aussen","-"))</f>
        <v>LIFT</v>
      </c>
      <c r="CG650" s="59" t="n">
        <f aca="false">IF(N(AB650)&gt;0,AB650,0)</f>
        <v>0</v>
      </c>
      <c r="CH650" s="53" t="n">
        <f aca="false">IF(ISNUMBER(AE650),1,0)</f>
        <v>0</v>
      </c>
      <c r="CI650" s="50" t="n">
        <f aca="false">N(AE650)</f>
        <v>0</v>
      </c>
      <c r="CJ650" s="50" t="n">
        <f aca="false">N(M650)+N(N650)</f>
        <v>1</v>
      </c>
      <c r="CK650" s="50" t="n">
        <f aca="false">N(M650)</f>
        <v>0</v>
      </c>
      <c r="CL650" s="50" t="n">
        <f aca="false">N(N650)</f>
        <v>1</v>
      </c>
      <c r="CM650" s="50" t="n">
        <f aca="false">ROUNDUP(H650/BY650,0)</f>
        <v>2</v>
      </c>
      <c r="CN650" s="50" t="n">
        <f aca="false">ROUNDUP(CI650/BY650,0)</f>
        <v>0</v>
      </c>
      <c r="CO650" s="53" t="n">
        <f aca="false">IF(BZ650=1,0,IFERROR(VLOOKUP(BX650,'Gebinde-Kategorie'!$A$5:$N$45,5,0)+0,0))</f>
        <v>8</v>
      </c>
      <c r="CP650" s="53" t="n">
        <f aca="false">IFERROR(IF(OR(CE650=1,CE650=2,CE650=3),N(INDEX(Parameter!$I$5:$I$7,CE650)),0),0)</f>
        <v>0</v>
      </c>
      <c r="CQ650" s="52" t="n">
        <f aca="false">IF(AND(Parameter!$B$21="Ja",ISNUMBER(W650),N(X650)&gt;0),IFERROR(N(INDEX(Parameter!$L$5:$L$7,W650))*INDEX(Parameter!$E$5:$E$7,W650)*X650/SUMIFS($X$7:$X$1843,$W$7:$W$1843,W650),0),0)</f>
        <v>0</v>
      </c>
    </row>
    <row r="651" customFormat="false" ht="15" hidden="false" customHeight="false" outlineLevel="0" collapsed="false">
      <c r="A651" s="48" t="s">
        <v>1327</v>
      </c>
      <c r="B651" s="48" t="s">
        <v>958</v>
      </c>
      <c r="C651" s="48" t="s">
        <v>173</v>
      </c>
      <c r="D651" s="48" t="s">
        <v>193</v>
      </c>
      <c r="E651" s="48" t="s">
        <v>194</v>
      </c>
      <c r="F651" s="48" t="s">
        <v>227</v>
      </c>
      <c r="G651" s="49" t="n">
        <v>0.01</v>
      </c>
      <c r="H651" s="50" t="n">
        <f aca="false">MAX(0,IF(AND(Parameter!$B$21="Ja",ISNUMBER(Y651)),Y651,IF(Parameter!$B$20="Jahresanfang 2025 + Export",BR651+BQ651,BQ651)))</f>
        <v>179</v>
      </c>
      <c r="I651" s="50" t="n">
        <f aca="false">H651*G651</f>
        <v>1.79</v>
      </c>
      <c r="J651" s="50" t="n">
        <f aca="false">BT651*Parameter!$B$18</f>
        <v>0</v>
      </c>
      <c r="K651" s="51" t="n">
        <v>178.5</v>
      </c>
      <c r="L651" s="52" t="n">
        <v>0</v>
      </c>
      <c r="M651" s="50" t="n">
        <v>0</v>
      </c>
      <c r="N651" s="50" t="n">
        <v>1</v>
      </c>
      <c r="O651" s="53" t="n">
        <v>14</v>
      </c>
      <c r="P651" s="48" t="s">
        <v>410</v>
      </c>
      <c r="Q651" s="50" t="n">
        <v>180</v>
      </c>
      <c r="R651" s="53" t="n">
        <f aca="false">IF(BZ651=1,0,IFERROR(VLOOKUP(BX651,'Gebinde-Kategorie'!$A$5:$N$45,13,0)+0,0))</f>
        <v>280</v>
      </c>
      <c r="S651" s="54"/>
      <c r="T651" s="55"/>
      <c r="U651" s="55"/>
      <c r="V651" s="55"/>
      <c r="W651" s="48"/>
      <c r="X651" s="50"/>
      <c r="Y651" s="50"/>
      <c r="Z651" s="48" t="n">
        <f aca="false">IF(A651="","",IF(AND(Parameter!$B$21="Ja",ISNUMBER(W651)),W651,IF(CC651="2+3",IF(ISNUMBER(SEARCH("grosser Artikel",BU651)),2,IFERROR(VLOOKUP(BX651,Parameter!$F$35:$G$64,2,0),2)),IF(OR(CC651="Nein",CC651=""),"-",CC651))))</f>
        <v>3</v>
      </c>
      <c r="AA651" s="55"/>
      <c r="AB651" s="56"/>
      <c r="AC651" s="50" t="n">
        <f aca="false">AV651</f>
        <v>1</v>
      </c>
      <c r="AD651" s="50" t="n">
        <f aca="false">MAX(AV651,H651)</f>
        <v>179</v>
      </c>
      <c r="AE651" s="57"/>
      <c r="AF651" s="50" t="n">
        <f aca="false">IF(LEFT(Cockpit!$C$5,1)="A",H651,IF(Parameter!$E$30="MAX-Bestand",IF(CH651=1,CI651,IF(LEFT(Cockpit!$C$5,1)="B",AL651,MAX(AL651,H651))),ROUNDUP(AJ651,0)))</f>
        <v>179</v>
      </c>
      <c r="AG651" s="50" t="n">
        <f aca="false">IF(BZ651=1,0,ROUNDUP(AF651/BY651,0))</f>
        <v>1</v>
      </c>
      <c r="AH651" s="52" t="n">
        <f aca="false">IF(CQ651&gt;0,CQ651*MAX(1,AF651/X651),IF(BZ651=1,IF(AF651&lt;=0,0,CD651*MAX(1,IF(H651&gt;0,AF651/H651,1))),IF(R651&gt;0,AG651/R651,0))/MAX(0.1,N(Parameter!$M$21)))</f>
        <v>0.00357142857142857</v>
      </c>
      <c r="AI651" s="50" t="n">
        <f aca="false">AH651*CB651</f>
        <v>0.553571428571429</v>
      </c>
      <c r="AJ651" s="51" t="n">
        <f aca="false">IF(LEFT(Cockpit!$C$5,1)="A",H651,IF(CH651=1,(CK651+CI651)/2,IF(LEFT(Cockpit!$C$5,1)="B",(CK651+AL651)/2,MAX((CK651+AL651)/2,H651))))</f>
        <v>179</v>
      </c>
      <c r="AK651" s="50" t="n">
        <f aca="false">AJ651*G651</f>
        <v>1.79</v>
      </c>
      <c r="AL651" s="50" t="n">
        <f aca="false">ROUNDUP(CK651+MAX(CL651,2*(J651/IF(CG651&gt;0,CG651,MAX(0.1,N(Cockpit!$C$6)))-CK651)),0)</f>
        <v>1</v>
      </c>
      <c r="AM651" s="51" t="n">
        <f aca="false">IF(AI651&gt;0,J651/AI651,-1)</f>
        <v>0</v>
      </c>
      <c r="AN651" s="51" t="n">
        <f aca="false">IF(AND(OR(CF651="L1",CF651="L23",CF651="LIFT"),AI651&gt;0),SUMIFS($AI$7:$AI$1843,$CF$7:$CF$1843,CF651,$AM$7:$AM$1843,"&gt;"&amp;AM651)+SUMIFS($AI$7:$AI$1843,$CF$7:$CF$1843,CF651,$AM$7:$AM$1843,AM651,$BW$7:$BW$1843,"&lt;="&amp;BW651),"")</f>
        <v>28611.6041058753</v>
      </c>
      <c r="AO651" s="58" t="n">
        <f aca="false">IF(AN651="",0,MAX(0,MIN(1,(IF(CF651="L1",Parameter!$H$5,IF(CF651="L23",Parameter!$H$6+Parameter!$H$7,Parameter!$H$5+Parameter!$H$6+Parameter!$H$7))-(AN651-AI651))/AI651)))</f>
        <v>1</v>
      </c>
      <c r="AP651" s="50" t="n">
        <f aca="false">IF(LEFT(Cockpit!$I$5,1)="A",H651,IF(Parameter!$E$30="MAX-Bestand",IF(CH651=1,CI651,IF(LEFT(Cockpit!$I$5,1)="B",AV651,MAX(AV651,H651))),ROUNDUP(AT651,0)))</f>
        <v>179</v>
      </c>
      <c r="AQ651" s="50" t="n">
        <f aca="false">IF(BZ651=1,0,ROUNDUP(AP651/BY651,0))</f>
        <v>1</v>
      </c>
      <c r="AR651" s="52" t="n">
        <f aca="false">IF(CQ651&gt;0,CQ651*MAX(1,AP651/X651),IF(BZ651=1,IF(AP651&lt;=0,0,CD651*MAX(1,IF(H651&gt;0,AP651/H651,1))),IF(R651&gt;0,AQ651/R651,0))/MAX(0.1,N(Parameter!$M$21)))</f>
        <v>0.00357142857142857</v>
      </c>
      <c r="AS651" s="50" t="n">
        <f aca="false">AR651*CB651</f>
        <v>0.553571428571429</v>
      </c>
      <c r="AT651" s="51" t="n">
        <f aca="false">IF(LEFT(Cockpit!$I$5,1)="A",H651,IF(CH651=1,(CK651+CI651)/2,IF(LEFT(Cockpit!$I$5,1)="B",(CK651+AV651)/2,MAX((CK651+AV651)/2,H651))))</f>
        <v>179</v>
      </c>
      <c r="AU651" s="50" t="n">
        <f aca="false">AT651*G651</f>
        <v>1.79</v>
      </c>
      <c r="AV651" s="50" t="n">
        <f aca="false">ROUNDUP(CK651+MAX(CL651,2*(J651/IF(CG651&gt;0,CG651,MAX(0.1,N(Cockpit!$I$6)))-CK651)),0)</f>
        <v>1</v>
      </c>
      <c r="AW651" s="51" t="n">
        <f aca="false">IF(AS651&gt;0,J651/AS651,-1)</f>
        <v>0</v>
      </c>
      <c r="AX651" s="51" t="n">
        <f aca="false">IF(AND(OR(CF651="L1",CF651="L23",CF651="LIFT"),AS651&gt;0),SUMIFS($AS$7:$AS$1843,$CF$7:$CF$1843,CF651,$AW$7:$AW$1843,"&gt;"&amp;AW651)+SUMIFS($AS$7:$AS$1843,$CF$7:$CF$1843,CF651,$AW$7:$AW$1843,AW651,$BW$7:$BW$1843,"&lt;="&amp;BW651),"")</f>
        <v>33964.7527472527</v>
      </c>
      <c r="AY651" s="58" t="n">
        <f aca="false">IF(AX651="",0,MAX(0,MIN(1,(IF(CF651="L1",Parameter!$H$5,IF(CF651="L23",Parameter!$H$6+Parameter!$H$7,Parameter!$H$5+Parameter!$H$6+Parameter!$H$7))-(AX651-AS651))/AS651)))</f>
        <v>1</v>
      </c>
      <c r="AZ651" s="50" t="n">
        <f aca="false">IF(LEFT(Cockpit!$O$5,1)="A",H651,IF(Parameter!$E$30="MAX-Bestand",IF(CH651=1,CI651,IF(LEFT(Cockpit!$O$5,1)="B",BF651,MAX(BF651,H651))),ROUNDUP(BD651,0)))</f>
        <v>1</v>
      </c>
      <c r="BA651" s="50" t="n">
        <f aca="false">IF(BZ651=1,0,ROUNDUP(AZ651/BY651,0))</f>
        <v>1</v>
      </c>
      <c r="BB651" s="52" t="n">
        <f aca="false">IF(CQ651&gt;0,CQ651*MAX(1,AZ651/X651),IF(BZ651=1,IF(AZ651&lt;=0,0,CD651*MAX(1,IF(H651&gt;0,AZ651/H651,1))),IF(R651&gt;0,BA651/R651,0))/MAX(0.1,N(Parameter!$M$21)))</f>
        <v>0.00357142857142857</v>
      </c>
      <c r="BC651" s="50" t="n">
        <f aca="false">BB651*CB651</f>
        <v>0.553571428571429</v>
      </c>
      <c r="BD651" s="51" t="n">
        <f aca="false">IF(LEFT(Cockpit!$O$5,1)="A",H651,IF(CH651=1,(CK651+CI651)/2,IF(LEFT(Cockpit!$O$5,1)="B",(CK651+BF651)/2,MAX((CK651+BF651)/2,H651))))</f>
        <v>0.5</v>
      </c>
      <c r="BE651" s="50" t="n">
        <f aca="false">BD651*G651</f>
        <v>0.005</v>
      </c>
      <c r="BF651" s="50" t="n">
        <f aca="false">ROUNDUP(CK651+MAX(CL651,2*(J651/IF(CG651&gt;0,CG651,MAX(0.1,N(Cockpit!$O$6)))-CK651)),0)</f>
        <v>1</v>
      </c>
      <c r="BG651" s="51" t="n">
        <f aca="false">IF(BC651&gt;0,J651/BC651,-1)</f>
        <v>0</v>
      </c>
      <c r="BH651" s="51" t="n">
        <f aca="false">IF(AND(OR(CF651="L1",CF651="L23",CF651="LIFT"),BC651&gt;0),SUMIFS($BC$7:$BC$1843,$CF$7:$CF$1843,CF651,$BG$7:$BG$1843,"&gt;"&amp;BG651)+SUMIFS($BC$7:$BC$1843,$CF$7:$CF$1843,CF651,$BG$7:$BG$1843,BG651,$BW$7:$BW$1843,"&lt;="&amp;BW651),"")</f>
        <v>28028.8817517229</v>
      </c>
      <c r="BI651" s="58" t="n">
        <f aca="false">IF(BH651="",0,MAX(0,MIN(1,(IF(CF651="L1",Parameter!$H$5,IF(CF651="L23",Parameter!$H$6+Parameter!$H$7,Parameter!$H$5+Parameter!$H$6+Parameter!$H$7))-(BH651-BC651))/BC651)))</f>
        <v>1</v>
      </c>
      <c r="BJ651" s="48" t="str">
        <f aca="false">IF(AI651&lt;=0,"",IF(CF651="Aussen","Aussenlager",IF(CF651="-","Nicht im Lift",IF(AO651&gt;=1,"Lift",IF(AO651&lt;=0,"Aussenlager","teilweise")))))</f>
        <v>Lift</v>
      </c>
      <c r="BK651" s="48" t="str">
        <f aca="false">IF(AS651&lt;=0,"",IF(CF651="Aussen","Aussenlager",IF(CF651="-","Nicht im Lift",IF(AY651&gt;=1,"Lift",IF(AY651&lt;=0,"Aussenlager","teilweise")))))</f>
        <v>Lift</v>
      </c>
      <c r="BL651" s="48" t="str">
        <f aca="false">IF(BC651&lt;=0,"",IF(CF651="Aussen","Aussenlager",IF(CF651="-","Nicht im Lift",IF(BI651&gt;=1,"Lift",IF(BI651&lt;=0,"Aussenlager","teilweise")))))</f>
        <v>Lift</v>
      </c>
      <c r="BM651" s="48" t="str">
        <f aca="false">IF(A651="","",IF(BV651=1,"Neu; ","")&amp;IF(AND(BV651=0,BQ651&lt;0),"negativer Bestand (Export "&amp;BQ651&amp;"); ","")&amp;IF(J651&lt;=0,"Kein Verbrauch; ","")&amp;IF(CQ651&gt;0,"Lift "&amp;W651&amp;" lt. Liftbericht (Fach "&amp;X651&amp;" Stk); ",IF(CA651=1,"Gebinde geschätzt ("&amp;T651&amp;"); ",IF(BZ651=1,"Lose – Tablare geschätzt; ","")))&amp;IF(H651&gt;AV651,"Überbestand "&amp;ROUND(H651-AV651,0)&amp;" Stk / CHF "&amp;ROUND((H651-AV651)*G651,0)&amp;"; ","")&amp;IF(AND(CH651=1,CI651&lt;CJ651),"MAX &lt; MB+LG; ","")&amp;IF(AND(CP651&gt;0,CO651*10&gt;CP651),"zu hoch für Tablar; ","")&amp;IF(AND(BV651=0,OR(CH651=1,AA651&lt;&gt;"",U651&lt;&gt;"",V651&lt;&gt;"",AB651&lt;&gt;"")),"manuell übersteuert; ","")&amp;IF(AND(BZ651=0,R651=0),"Gebinde unbekannt / Stellmass fehlt; ","")&amp;IF(AND(BZ651=0,N(V651)&lt;=0,N(Q651)&lt;=0),"Menge pro Gebinde fehlt (Ist = 1 Gebinde); ","")&amp;BU651)</f>
        <v>Kein Verbrauch; Überbestand 178 Stk / CHF 2; Überbestand</v>
      </c>
      <c r="BN651" s="48"/>
      <c r="BO651" s="48"/>
      <c r="BP651" s="55"/>
      <c r="BQ651" s="50" t="n">
        <v>1</v>
      </c>
      <c r="BR651" s="50" t="n">
        <v>178</v>
      </c>
      <c r="BS651" s="49" t="n">
        <v>0.01</v>
      </c>
      <c r="BT651" s="50" t="n">
        <v>0</v>
      </c>
      <c r="BU651" s="48" t="s">
        <v>401</v>
      </c>
      <c r="BV651" s="53" t="n">
        <v>0</v>
      </c>
      <c r="BW651" s="53" t="n">
        <v>651</v>
      </c>
      <c r="BX651" s="48" t="str">
        <f aca="false">IF(U651&lt;&gt;"",UPPER(TRIM(U651)),IF(CA651=1,UPPER(VLOOKUP(T651,Parameter!$I$27:$K$29,2,0)),IF(P651="","LOSE",P651)))</f>
        <v>S21</v>
      </c>
      <c r="BY651" s="50" t="n">
        <f aca="false">IF(BX651="LOSE",1,IF(N(V651)&gt;0,V651,IF(CA651=1,MAX(1,N(VLOOKUP(T651,Parameter!$I$27:$K$29,3,0)),H651,N(N651)),IF(N(Q651)&gt;0,Q651,MAX(1,H651)))))</f>
        <v>180</v>
      </c>
      <c r="BZ651" s="53" t="n">
        <f aca="false">IF(BX651="LOSE",1,0)</f>
        <v>0</v>
      </c>
      <c r="CA651" s="53" t="n">
        <f aca="false">IF(AND(U651="",OR(P651="",P651="LOSE"),T651&lt;&gt;"",N(S651)&lt;=0,ISNUMBER(MATCH(T651,Parameter!$I$27:$I$29,0))),1,0)</f>
        <v>0</v>
      </c>
      <c r="CB651" s="53" t="n">
        <f aca="false">IF(CQ651&gt;0,INDEX(Parameter!$H$5:$H$7,W651)/INDEX(Parameter!$E$5:$E$7,W651),IF(AND(BZ651=0,N(IFERROR(VLOOKUP(BX651,'Gebinde-Kategorie'!$A$5:$N$45,14,0),0))&gt;0),VLOOKUP(BX651,'Gebinde-Kategorie'!$A$5:$N$45,14,0)*10+Parameter!$M$23,Parameter!$M$24))</f>
        <v>155</v>
      </c>
      <c r="CC651" s="48" t="str">
        <f aca="false">IF(AND(Parameter!$B$19="Ja",E651&lt;&gt;"",ISNUMBER(MATCH(E651,Parameter!$I$35:$I$52,0))),VLOOKUP(E651,Parameter!$I$35:$J$52,2,0),IFERROR(VLOOKUP(D651,Parameter!$A$35:$C$64,2,0),"Nein"))</f>
        <v>2+3</v>
      </c>
      <c r="CD651" s="52" t="n">
        <f aca="false">IF(BZ651=0,0,IF(N(S651)&gt;0,S651,IFERROR(VLOOKUP(D651,Parameter!$A$35:$C$64,3,0)+0,0)))</f>
        <v>0</v>
      </c>
      <c r="CE651" s="48" t="n">
        <f aca="false">IF(AA651&lt;&gt;"",AA651,Z651)</f>
        <v>3</v>
      </c>
      <c r="CF651" s="48" t="str">
        <f aca="false">IF(OR(CE651=1,CE651=2,CE651=3),IF(Parameter!$E$27="Ja","LIFT",IF(CE651=1,"L1","L23")),IF(CE651="Aussen","Aussen","-"))</f>
        <v>LIFT</v>
      </c>
      <c r="CG651" s="59" t="n">
        <f aca="false">IF(N(AB651)&gt;0,AB651,0)</f>
        <v>0</v>
      </c>
      <c r="CH651" s="53" t="n">
        <f aca="false">IF(ISNUMBER(AE651),1,0)</f>
        <v>0</v>
      </c>
      <c r="CI651" s="50" t="n">
        <f aca="false">N(AE651)</f>
        <v>0</v>
      </c>
      <c r="CJ651" s="50" t="n">
        <f aca="false">N(M651)+N(N651)</f>
        <v>1</v>
      </c>
      <c r="CK651" s="50" t="n">
        <f aca="false">N(M651)</f>
        <v>0</v>
      </c>
      <c r="CL651" s="50" t="n">
        <f aca="false">N(N651)</f>
        <v>1</v>
      </c>
      <c r="CM651" s="50" t="n">
        <f aca="false">ROUNDUP(H651/BY651,0)</f>
        <v>1</v>
      </c>
      <c r="CN651" s="50" t="n">
        <f aca="false">ROUNDUP(CI651/BY651,0)</f>
        <v>0</v>
      </c>
      <c r="CO651" s="53" t="n">
        <f aca="false">IF(BZ651=1,0,IFERROR(VLOOKUP(BX651,'Gebinde-Kategorie'!$A$5:$N$45,5,0)+0,0))</f>
        <v>8</v>
      </c>
      <c r="CP651" s="53" t="n">
        <f aca="false">IFERROR(IF(OR(CE651=1,CE651=2,CE651=3),N(INDEX(Parameter!$I$5:$I$7,CE651)),0),0)</f>
        <v>0</v>
      </c>
      <c r="CQ651" s="52" t="n">
        <f aca="false">IF(AND(Parameter!$B$21="Ja",ISNUMBER(W651),N(X651)&gt;0),IFERROR(N(INDEX(Parameter!$L$5:$L$7,W651))*INDEX(Parameter!$E$5:$E$7,W651)*X651/SUMIFS($X$7:$X$1843,$W$7:$W$1843,W651),0),0)</f>
        <v>0</v>
      </c>
    </row>
    <row r="652" customFormat="false" ht="15" hidden="false" customHeight="false" outlineLevel="0" collapsed="false">
      <c r="A652" s="48" t="s">
        <v>1328</v>
      </c>
      <c r="B652" s="48" t="s">
        <v>246</v>
      </c>
      <c r="C652" s="48" t="s">
        <v>173</v>
      </c>
      <c r="D652" s="48" t="s">
        <v>182</v>
      </c>
      <c r="E652" s="48"/>
      <c r="F652" s="48" t="s">
        <v>227</v>
      </c>
      <c r="G652" s="49" t="n">
        <v>162.29</v>
      </c>
      <c r="H652" s="50" t="n">
        <f aca="false">MAX(0,IF(AND(Parameter!$B$21="Ja",ISNUMBER(Y652)),Y652,IF(Parameter!$B$20="Jahresanfang 2025 + Export",BR652+BQ652,BQ652)))</f>
        <v>0</v>
      </c>
      <c r="I652" s="50" t="n">
        <f aca="false">H652*G652</f>
        <v>0</v>
      </c>
      <c r="J652" s="50" t="n">
        <f aca="false">BT652*Parameter!$B$18</f>
        <v>14</v>
      </c>
      <c r="K652" s="51" t="n">
        <v>1</v>
      </c>
      <c r="L652" s="52" t="n">
        <v>14</v>
      </c>
      <c r="M652" s="50" t="n">
        <v>0</v>
      </c>
      <c r="N652" s="50" t="n">
        <v>15</v>
      </c>
      <c r="O652" s="53" t="n">
        <v>14</v>
      </c>
      <c r="P652" s="48" t="s">
        <v>177</v>
      </c>
      <c r="Q652" s="50"/>
      <c r="R652" s="53" t="n">
        <f aca="false">IF(BZ652=1,0,IFERROR(VLOOKUP(BX652,'Gebinde-Kategorie'!$A$5:$N$45,13,0)+0,0))</f>
        <v>12</v>
      </c>
      <c r="S652" s="54"/>
      <c r="T652" s="55" t="s">
        <v>188</v>
      </c>
      <c r="U652" s="55"/>
      <c r="V652" s="55"/>
      <c r="W652" s="48"/>
      <c r="X652" s="50"/>
      <c r="Y652" s="50"/>
      <c r="Z652" s="48" t="n">
        <f aca="false">IF(A652="","",IF(AND(Parameter!$B$21="Ja",ISNUMBER(W652)),W652,IF(CC652="2+3",IF(ISNUMBER(SEARCH("grosser Artikel",BU652)),2,IFERROR(VLOOKUP(BX652,Parameter!$F$35:$G$64,2,0),2)),IF(OR(CC652="Nein",CC652=""),"-",CC652))))</f>
        <v>2</v>
      </c>
      <c r="AA652" s="55"/>
      <c r="AB652" s="56"/>
      <c r="AC652" s="50" t="n">
        <f aca="false">AV652</f>
        <v>15</v>
      </c>
      <c r="AD652" s="50" t="n">
        <f aca="false">MAX(AV652,H652)</f>
        <v>15</v>
      </c>
      <c r="AE652" s="57"/>
      <c r="AF652" s="50" t="n">
        <f aca="false">IF(LEFT(Cockpit!$C$5,1)="A",H652,IF(Parameter!$E$30="MAX-Bestand",IF(CH652=1,CI652,IF(LEFT(Cockpit!$C$5,1)="B",AL652,MAX(AL652,H652))),ROUNDUP(AJ652,0)))</f>
        <v>0</v>
      </c>
      <c r="AG652" s="50" t="n">
        <f aca="false">IF(BZ652=1,0,ROUNDUP(AF652/BY652,0))</f>
        <v>0</v>
      </c>
      <c r="AH652" s="52" t="n">
        <f aca="false">IF(CQ652&gt;0,CQ652*MAX(1,AF652/X652),IF(BZ652=1,IF(AF652&lt;=0,0,CD652*MAX(1,IF(H652&gt;0,AF652/H652,1))),IF(R652&gt;0,AG652/R652,0))/MAX(0.1,N(Parameter!$M$21)))</f>
        <v>0</v>
      </c>
      <c r="AI652" s="50" t="n">
        <f aca="false">AH652*CB652</f>
        <v>0</v>
      </c>
      <c r="AJ652" s="51" t="n">
        <f aca="false">IF(LEFT(Cockpit!$C$5,1)="A",H652,IF(CH652=1,(CK652+CI652)/2,IF(LEFT(Cockpit!$C$5,1)="B",(CK652+AL652)/2,MAX((CK652+AL652)/2,H652))))</f>
        <v>0</v>
      </c>
      <c r="AK652" s="50" t="n">
        <f aca="false">AJ652*G652</f>
        <v>0</v>
      </c>
      <c r="AL652" s="50" t="n">
        <f aca="false">ROUNDUP(CK652+MAX(CL652,2*(J652/IF(CG652&gt;0,CG652,MAX(0.1,N(Cockpit!$C$6)))-CK652)),0)</f>
        <v>15</v>
      </c>
      <c r="AM652" s="51" t="n">
        <f aca="false">IF(AI652&gt;0,J652/AI652,-1)</f>
        <v>-1</v>
      </c>
      <c r="AN652" s="51" t="str">
        <f aca="false">IF(AND(OR(CF652="L1",CF652="L23",CF652="LIFT"),AI652&gt;0),SUMIFS($AI$7:$AI$1843,$CF$7:$CF$1843,CF652,$AM$7:$AM$1843,"&gt;"&amp;AM652)+SUMIFS($AI$7:$AI$1843,$CF$7:$CF$1843,CF652,$AM$7:$AM$1843,AM652,$BW$7:$BW$1843,"&lt;="&amp;BW652),"")</f>
        <v/>
      </c>
      <c r="AO652" s="58" t="n">
        <f aca="false">IF(AN652="",0,MAX(0,MIN(1,(IF(CF652="L1",Parameter!$H$5,IF(CF652="L23",Parameter!$H$6+Parameter!$H$7,Parameter!$H$5+Parameter!$H$6+Parameter!$H$7))-(AN652-AI652))/AI652)))</f>
        <v>0</v>
      </c>
      <c r="AP652" s="50" t="n">
        <f aca="false">IF(LEFT(Cockpit!$I$5,1)="A",H652,IF(Parameter!$E$30="MAX-Bestand",IF(CH652=1,CI652,IF(LEFT(Cockpit!$I$5,1)="B",AV652,MAX(AV652,H652))),ROUNDUP(AT652,0)))</f>
        <v>8</v>
      </c>
      <c r="AQ652" s="50" t="n">
        <f aca="false">IF(BZ652=1,0,ROUNDUP(AP652/BY652,0))</f>
        <v>1</v>
      </c>
      <c r="AR652" s="52" t="n">
        <f aca="false">IF(CQ652&gt;0,CQ652*MAX(1,AP652/X652),IF(BZ652=1,IF(AP652&lt;=0,0,CD652*MAX(1,IF(H652&gt;0,AP652/H652,1))),IF(R652&gt;0,AQ652/R652,0))/MAX(0.1,N(Parameter!$M$21)))</f>
        <v>0.0833333333333333</v>
      </c>
      <c r="AS652" s="50" t="n">
        <f aca="false">AR652*CB652</f>
        <v>12.0833333333333</v>
      </c>
      <c r="AT652" s="51" t="n">
        <f aca="false">IF(LEFT(Cockpit!$I$5,1)="A",H652,IF(CH652=1,(CK652+CI652)/2,IF(LEFT(Cockpit!$I$5,1)="B",(CK652+AV652)/2,MAX((CK652+AV652)/2,H652))))</f>
        <v>7.5</v>
      </c>
      <c r="AU652" s="50" t="n">
        <f aca="false">AT652*G652</f>
        <v>1217.175</v>
      </c>
      <c r="AV652" s="50" t="n">
        <f aca="false">ROUNDUP(CK652+MAX(CL652,2*(J652/IF(CG652&gt;0,CG652,MAX(0.1,N(Cockpit!$I$6)))-CK652)),0)</f>
        <v>15</v>
      </c>
      <c r="AW652" s="51" t="n">
        <f aca="false">IF(AS652&gt;0,J652/AS652,-1)</f>
        <v>1.15862068965517</v>
      </c>
      <c r="AX652" s="51" t="n">
        <f aca="false">IF(AND(OR(CF652="L1",CF652="L23",CF652="LIFT"),AS652&gt;0),SUMIFS($AS$7:$AS$1843,$CF$7:$CF$1843,CF652,$AW$7:$AW$1843,"&gt;"&amp;AW652)+SUMIFS($AS$7:$AS$1843,$CF$7:$CF$1843,CF652,$AW$7:$AW$1843,AW652,$BW$7:$BW$1843,"&lt;="&amp;BW652),"")</f>
        <v>8161.10073260073</v>
      </c>
      <c r="AY652" s="58" t="n">
        <f aca="false">IF(AX652="",0,MAX(0,MIN(1,(IF(CF652="L1",Parameter!$H$5,IF(CF652="L23",Parameter!$H$6+Parameter!$H$7,Parameter!$H$5+Parameter!$H$6+Parameter!$H$7))-(AX652-AS652))/AS652)))</f>
        <v>1</v>
      </c>
      <c r="AZ652" s="50" t="n">
        <f aca="false">IF(LEFT(Cockpit!$O$5,1)="A",H652,IF(Parameter!$E$30="MAX-Bestand",IF(CH652=1,CI652,IF(LEFT(Cockpit!$O$5,1)="B",BF652,MAX(BF652,H652))),ROUNDUP(BD652,0)))</f>
        <v>8</v>
      </c>
      <c r="BA652" s="50" t="n">
        <f aca="false">IF(BZ652=1,0,ROUNDUP(AZ652/BY652,0))</f>
        <v>1</v>
      </c>
      <c r="BB652" s="52" t="n">
        <f aca="false">IF(CQ652&gt;0,CQ652*MAX(1,AZ652/X652),IF(BZ652=1,IF(AZ652&lt;=0,0,CD652*MAX(1,IF(H652&gt;0,AZ652/H652,1))),IF(R652&gt;0,BA652/R652,0))/MAX(0.1,N(Parameter!$M$21)))</f>
        <v>0.0833333333333333</v>
      </c>
      <c r="BC652" s="50" t="n">
        <f aca="false">BB652*CB652</f>
        <v>12.0833333333333</v>
      </c>
      <c r="BD652" s="51" t="n">
        <f aca="false">IF(LEFT(Cockpit!$O$5,1)="A",H652,IF(CH652=1,(CK652+CI652)/2,IF(LEFT(Cockpit!$O$5,1)="B",(CK652+BF652)/2,MAX((CK652+BF652)/2,H652))))</f>
        <v>7.5</v>
      </c>
      <c r="BE652" s="50" t="n">
        <f aca="false">BD652*G652</f>
        <v>1217.175</v>
      </c>
      <c r="BF652" s="50" t="n">
        <f aca="false">ROUNDUP(CK652+MAX(CL652,2*(J652/IF(CG652&gt;0,CG652,MAX(0.1,N(Cockpit!$O$6)))-CK652)),0)</f>
        <v>15</v>
      </c>
      <c r="BG652" s="51" t="n">
        <f aca="false">IF(BC652&gt;0,J652/BC652,-1)</f>
        <v>1.15862068965517</v>
      </c>
      <c r="BH652" s="51" t="n">
        <f aca="false">IF(AND(OR(CF652="L1",CF652="L23",CF652="LIFT"),BC652&gt;0),SUMIFS($BC$7:$BC$1843,$CF$7:$CF$1843,CF652,$BG$7:$BG$1843,"&gt;"&amp;BG652)+SUMIFS($BC$7:$BC$1843,$CF$7:$CF$1843,CF652,$BG$7:$BG$1843,BG652,$BW$7:$BW$1843,"&lt;="&amp;BW652),"")</f>
        <v>7212.38690476191</v>
      </c>
      <c r="BI652" s="58" t="n">
        <f aca="false">IF(BH652="",0,MAX(0,MIN(1,(IF(CF652="L1",Parameter!$H$5,IF(CF652="L23",Parameter!$H$6+Parameter!$H$7,Parameter!$H$5+Parameter!$H$6+Parameter!$H$7))-(BH652-BC652))/BC652)))</f>
        <v>1</v>
      </c>
      <c r="BJ652" s="48" t="str">
        <f aca="false">IF(AI652&lt;=0,"",IF(CF652="Aussen","Aussenlager",IF(CF652="-","Nicht im Lift",IF(AO652&gt;=1,"Lift",IF(AO652&lt;=0,"Aussenlager","teilweise")))))</f>
        <v/>
      </c>
      <c r="BK652" s="48" t="str">
        <f aca="false">IF(AS652&lt;=0,"",IF(CF652="Aussen","Aussenlager",IF(CF652="-","Nicht im Lift",IF(AY652&gt;=1,"Lift",IF(AY652&lt;=0,"Aussenlager","teilweise")))))</f>
        <v>Lift</v>
      </c>
      <c r="BL652" s="48" t="str">
        <f aca="false">IF(BC652&lt;=0,"",IF(CF652="Aussen","Aussenlager",IF(CF652="-","Nicht im Lift",IF(BI652&gt;=1,"Lift",IF(BI652&lt;=0,"Aussenlager","teilweise")))))</f>
        <v>Lift</v>
      </c>
      <c r="BM652" s="48" t="str">
        <f aca="false">IF(A652="","",IF(BV652=1,"Neu; ","")&amp;IF(AND(BV652=0,BQ652&lt;0),"negativer Bestand (Export "&amp;BQ652&amp;"); ","")&amp;IF(J652&lt;=0,"Kein Verbrauch; ","")&amp;IF(CQ652&gt;0,"Lift "&amp;W652&amp;" lt. Liftbericht (Fach "&amp;X652&amp;" Stk); ",IF(CA652=1,"Gebinde geschätzt ("&amp;T652&amp;"); ",IF(BZ652=1,"Lose – Tablare geschätzt; ","")))&amp;IF(H652&gt;AV652,"Überbestand "&amp;ROUND(H652-AV652,0)&amp;" Stk / CHF "&amp;ROUND((H652-AV652)*G652,0)&amp;"; ","")&amp;IF(AND(CH652=1,CI652&lt;CJ652),"MAX &lt; MB+LG; ","")&amp;IF(AND(CP652&gt;0,CO652*10&gt;CP652),"zu hoch für Tablar; ","")&amp;IF(AND(BV652=0,OR(CH652=1,AA652&lt;&gt;"",U652&lt;&gt;"",V652&lt;&gt;"",AB652&lt;&gt;"")),"manuell übersteuert; ","")&amp;IF(AND(BZ652=0,R652=0),"Gebinde unbekannt / Stellmass fehlt; ","")&amp;IF(AND(BZ652=0,N(V652)&lt;=0,N(Q652)&lt;=0),"Menge pro Gebinde fehlt (Ist = 1 Gebinde); ","")&amp;BU652)</f>
        <v>Gebinde geschätzt (Mittel); Menge pro Gebinde fehlt (Ist = 1 Gebinde); </v>
      </c>
      <c r="BN652" s="48"/>
      <c r="BO652" s="48"/>
      <c r="BP652" s="55"/>
      <c r="BQ652" s="50" t="n">
        <v>0</v>
      </c>
      <c r="BR652" s="50" t="n">
        <v>0</v>
      </c>
      <c r="BS652" s="49" t="n">
        <v>5.6843418860808E-013</v>
      </c>
      <c r="BT652" s="50" t="n">
        <v>14</v>
      </c>
      <c r="BU652" s="48"/>
      <c r="BV652" s="53" t="n">
        <v>0</v>
      </c>
      <c r="BW652" s="53" t="n">
        <v>652</v>
      </c>
      <c r="BX652" s="48" t="str">
        <f aca="false">IF(U652&lt;&gt;"",UPPER(TRIM(U652)),IF(CA652=1,UPPER(VLOOKUP(T652,Parameter!$I$27:$K$29,2,0)),IF(P652="","LOSE",P652)))</f>
        <v>S61</v>
      </c>
      <c r="BY652" s="50" t="n">
        <f aca="false">IF(BX652="LOSE",1,IF(N(V652)&gt;0,V652,IF(CA652=1,MAX(1,N(VLOOKUP(T652,Parameter!$I$27:$K$29,3,0)),H652,N(N652)),IF(N(Q652)&gt;0,Q652,MAX(1,H652)))))</f>
        <v>15</v>
      </c>
      <c r="BZ652" s="53" t="n">
        <f aca="false">IF(BX652="LOSE",1,0)</f>
        <v>0</v>
      </c>
      <c r="CA652" s="53" t="n">
        <f aca="false">IF(AND(U652="",OR(P652="",P652="LOSE"),T652&lt;&gt;"",N(S652)&lt;=0,ISNUMBER(MATCH(T652,Parameter!$I$27:$I$29,0))),1,0)</f>
        <v>1</v>
      </c>
      <c r="CB652" s="53" t="n">
        <f aca="false">IF(CQ652&gt;0,INDEX(Parameter!$H$5:$H$7,W652)/INDEX(Parameter!$E$5:$E$7,W652),IF(AND(BZ652=0,N(IFERROR(VLOOKUP(BX652,'Gebinde-Kategorie'!$A$5:$N$45,14,0),0))&gt;0),VLOOKUP(BX652,'Gebinde-Kategorie'!$A$5:$N$45,14,0)*10+Parameter!$M$23,Parameter!$M$24))</f>
        <v>145</v>
      </c>
      <c r="CC652" s="48" t="str">
        <f aca="false">IF(AND(Parameter!$B$19="Ja",E652&lt;&gt;"",ISNUMBER(MATCH(E652,Parameter!$I$35:$I$52,0))),VLOOKUP(E652,Parameter!$I$35:$J$52,2,0),IFERROR(VLOOKUP(D652,Parameter!$A$35:$C$64,2,0),"Nein"))</f>
        <v>2+3</v>
      </c>
      <c r="CD652" s="52" t="n">
        <f aca="false">IF(BZ652=0,0,IF(N(S652)&gt;0,S652,IFERROR(VLOOKUP(D652,Parameter!$A$35:$C$64,3,0)+0,0)))</f>
        <v>0</v>
      </c>
      <c r="CE652" s="48" t="n">
        <f aca="false">IF(AA652&lt;&gt;"",AA652,Z652)</f>
        <v>2</v>
      </c>
      <c r="CF652" s="48" t="str">
        <f aca="false">IF(OR(CE652=1,CE652=2,CE652=3),IF(Parameter!$E$27="Ja","LIFT",IF(CE652=1,"L1","L23")),IF(CE652="Aussen","Aussen","-"))</f>
        <v>LIFT</v>
      </c>
      <c r="CG652" s="59" t="n">
        <f aca="false">IF(N(AB652)&gt;0,AB652,0)</f>
        <v>0</v>
      </c>
      <c r="CH652" s="53" t="n">
        <f aca="false">IF(ISNUMBER(AE652),1,0)</f>
        <v>0</v>
      </c>
      <c r="CI652" s="50" t="n">
        <f aca="false">N(AE652)</f>
        <v>0</v>
      </c>
      <c r="CJ652" s="50" t="n">
        <f aca="false">N(M652)+N(N652)</f>
        <v>15</v>
      </c>
      <c r="CK652" s="50" t="n">
        <f aca="false">N(M652)</f>
        <v>0</v>
      </c>
      <c r="CL652" s="50" t="n">
        <f aca="false">N(N652)</f>
        <v>15</v>
      </c>
      <c r="CM652" s="50" t="n">
        <f aca="false">ROUNDUP(H652/BY652,0)</f>
        <v>0</v>
      </c>
      <c r="CN652" s="50" t="n">
        <f aca="false">ROUNDUP(CI652/BY652,0)</f>
        <v>0</v>
      </c>
      <c r="CO652" s="53" t="n">
        <f aca="false">IF(BZ652=1,0,IFERROR(VLOOKUP(BX652,'Gebinde-Kategorie'!$A$5:$N$45,5,0)+0,0))</f>
        <v>11</v>
      </c>
      <c r="CP652" s="53" t="n">
        <f aca="false">IFERROR(IF(OR(CE652=1,CE652=2,CE652=3),N(INDEX(Parameter!$I$5:$I$7,CE652)),0),0)</f>
        <v>0</v>
      </c>
      <c r="CQ652" s="52" t="n">
        <f aca="false">IF(AND(Parameter!$B$21="Ja",ISNUMBER(W652),N(X652)&gt;0),IFERROR(N(INDEX(Parameter!$L$5:$L$7,W652))*INDEX(Parameter!$E$5:$E$7,W652)*X652/SUMIFS($X$7:$X$1843,$W$7:$W$1843,W652),0),0)</f>
        <v>0</v>
      </c>
    </row>
    <row r="653" customFormat="false" ht="15" hidden="false" customHeight="false" outlineLevel="0" collapsed="false">
      <c r="A653" s="48" t="s">
        <v>1329</v>
      </c>
      <c r="B653" s="48" t="s">
        <v>1330</v>
      </c>
      <c r="C653" s="48" t="s">
        <v>173</v>
      </c>
      <c r="D653" s="48" t="s">
        <v>182</v>
      </c>
      <c r="E653" s="48"/>
      <c r="F653" s="48" t="s">
        <v>227</v>
      </c>
      <c r="G653" s="49" t="n">
        <v>14462.68</v>
      </c>
      <c r="H653" s="50" t="n">
        <f aca="false">MAX(0,IF(AND(Parameter!$B$21="Ja",ISNUMBER(Y653)),Y653,IF(Parameter!$B$20="Jahresanfang 2025 + Export",BR653+BQ653,BQ653)))</f>
        <v>0</v>
      </c>
      <c r="I653" s="50" t="n">
        <f aca="false">H653*G653</f>
        <v>0</v>
      </c>
      <c r="J653" s="50" t="n">
        <f aca="false">BT653*Parameter!$B$18</f>
        <v>4</v>
      </c>
      <c r="K653" s="51" t="n">
        <v>0</v>
      </c>
      <c r="L653" s="52" t="n">
        <v>0</v>
      </c>
      <c r="M653" s="50" t="n">
        <v>0</v>
      </c>
      <c r="N653" s="50" t="n">
        <v>1</v>
      </c>
      <c r="O653" s="53" t="n">
        <v>90</v>
      </c>
      <c r="P653" s="48" t="s">
        <v>177</v>
      </c>
      <c r="Q653" s="50"/>
      <c r="R653" s="53" t="n">
        <f aca="false">IF(BZ653=1,0,IFERROR(VLOOKUP(BX653,'Gebinde-Kategorie'!$A$5:$N$45,13,0)+0,0))</f>
        <v>12</v>
      </c>
      <c r="S653" s="54"/>
      <c r="T653" s="55" t="s">
        <v>188</v>
      </c>
      <c r="U653" s="55"/>
      <c r="V653" s="55"/>
      <c r="W653" s="48"/>
      <c r="X653" s="50"/>
      <c r="Y653" s="50"/>
      <c r="Z653" s="48" t="n">
        <f aca="false">IF(A653="","",IF(AND(Parameter!$B$21="Ja",ISNUMBER(W653)),W653,IF(CC653="2+3",IF(ISNUMBER(SEARCH("grosser Artikel",BU653)),2,IFERROR(VLOOKUP(BX653,Parameter!$F$35:$G$64,2,0),2)),IF(OR(CC653="Nein",CC653=""),"-",CC653))))</f>
        <v>2</v>
      </c>
      <c r="AA653" s="55"/>
      <c r="AB653" s="56"/>
      <c r="AC653" s="50" t="n">
        <f aca="false">AV653</f>
        <v>3</v>
      </c>
      <c r="AD653" s="50" t="n">
        <f aca="false">MAX(AV653,H653)</f>
        <v>3</v>
      </c>
      <c r="AE653" s="57"/>
      <c r="AF653" s="50" t="n">
        <f aca="false">IF(LEFT(Cockpit!$C$5,1)="A",H653,IF(Parameter!$E$30="MAX-Bestand",IF(CH653=1,CI653,IF(LEFT(Cockpit!$C$5,1)="B",AL653,MAX(AL653,H653))),ROUNDUP(AJ653,0)))</f>
        <v>0</v>
      </c>
      <c r="AG653" s="50" t="n">
        <f aca="false">IF(BZ653=1,0,ROUNDUP(AF653/BY653,0))</f>
        <v>0</v>
      </c>
      <c r="AH653" s="52" t="n">
        <f aca="false">IF(CQ653&gt;0,CQ653*MAX(1,AF653/X653),IF(BZ653=1,IF(AF653&lt;=0,0,CD653*MAX(1,IF(H653&gt;0,AF653/H653,1))),IF(R653&gt;0,AG653/R653,0))/MAX(0.1,N(Parameter!$M$21)))</f>
        <v>0</v>
      </c>
      <c r="AI653" s="50" t="n">
        <f aca="false">AH653*CB653</f>
        <v>0</v>
      </c>
      <c r="AJ653" s="51" t="n">
        <f aca="false">IF(LEFT(Cockpit!$C$5,1)="A",H653,IF(CH653=1,(CK653+CI653)/2,IF(LEFT(Cockpit!$C$5,1)="B",(CK653+AL653)/2,MAX((CK653+AL653)/2,H653))))</f>
        <v>0</v>
      </c>
      <c r="AK653" s="50" t="n">
        <f aca="false">AJ653*G653</f>
        <v>0</v>
      </c>
      <c r="AL653" s="50" t="n">
        <f aca="false">ROUNDUP(CK653+MAX(CL653,2*(J653/IF(CG653&gt;0,CG653,MAX(0.1,N(Cockpit!$C$6)))-CK653)),0)</f>
        <v>3</v>
      </c>
      <c r="AM653" s="51" t="n">
        <f aca="false">IF(AI653&gt;0,J653/AI653,-1)</f>
        <v>-1</v>
      </c>
      <c r="AN653" s="51" t="str">
        <f aca="false">IF(AND(OR(CF653="L1",CF653="L23",CF653="LIFT"),AI653&gt;0),SUMIFS($AI$7:$AI$1843,$CF$7:$CF$1843,CF653,$AM$7:$AM$1843,"&gt;"&amp;AM653)+SUMIFS($AI$7:$AI$1843,$CF$7:$CF$1843,CF653,$AM$7:$AM$1843,AM653,$BW$7:$BW$1843,"&lt;="&amp;BW653),"")</f>
        <v/>
      </c>
      <c r="AO653" s="58" t="n">
        <f aca="false">IF(AN653="",0,MAX(0,MIN(1,(IF(CF653="L1",Parameter!$H$5,IF(CF653="L23",Parameter!$H$6+Parameter!$H$7,Parameter!$H$5+Parameter!$H$6+Parameter!$H$7))-(AN653-AI653))/AI653)))</f>
        <v>0</v>
      </c>
      <c r="AP653" s="50" t="n">
        <f aca="false">IF(LEFT(Cockpit!$I$5,1)="A",H653,IF(Parameter!$E$30="MAX-Bestand",IF(CH653=1,CI653,IF(LEFT(Cockpit!$I$5,1)="B",AV653,MAX(AV653,H653))),ROUNDUP(AT653,0)))</f>
        <v>2</v>
      </c>
      <c r="AQ653" s="50" t="n">
        <f aca="false">IF(BZ653=1,0,ROUNDUP(AP653/BY653,0))</f>
        <v>1</v>
      </c>
      <c r="AR653" s="52" t="n">
        <f aca="false">IF(CQ653&gt;0,CQ653*MAX(1,AP653/X653),IF(BZ653=1,IF(AP653&lt;=0,0,CD653*MAX(1,IF(H653&gt;0,AP653/H653,1))),IF(R653&gt;0,AQ653/R653,0))/MAX(0.1,N(Parameter!$M$21)))</f>
        <v>0.0833333333333333</v>
      </c>
      <c r="AS653" s="50" t="n">
        <f aca="false">AR653*CB653</f>
        <v>12.0833333333333</v>
      </c>
      <c r="AT653" s="51" t="n">
        <f aca="false">IF(LEFT(Cockpit!$I$5,1)="A",H653,IF(CH653=1,(CK653+CI653)/2,IF(LEFT(Cockpit!$I$5,1)="B",(CK653+AV653)/2,MAX((CK653+AV653)/2,H653))))</f>
        <v>1.5</v>
      </c>
      <c r="AU653" s="50" t="n">
        <f aca="false">AT653*G653</f>
        <v>21694.02</v>
      </c>
      <c r="AV653" s="50" t="n">
        <f aca="false">ROUNDUP(CK653+MAX(CL653,2*(J653/IF(CG653&gt;0,CG653,MAX(0.1,N(Cockpit!$I$6)))-CK653)),0)</f>
        <v>3</v>
      </c>
      <c r="AW653" s="51" t="n">
        <f aca="false">IF(AS653&gt;0,J653/AS653,-1)</f>
        <v>0.331034482758621</v>
      </c>
      <c r="AX653" s="51" t="n">
        <f aca="false">IF(AND(OR(CF653="L1",CF653="L23",CF653="LIFT"),AS653&gt;0),SUMIFS($AS$7:$AS$1843,$CF$7:$CF$1843,CF653,$AW$7:$AW$1843,"&gt;"&amp;AW653)+SUMIFS($AS$7:$AS$1843,$CF$7:$CF$1843,CF653,$AW$7:$AW$1843,AW653,$BW$7:$BW$1843,"&lt;="&amp;BW653),"")</f>
        <v>13794.8365384615</v>
      </c>
      <c r="AY653" s="58" t="n">
        <f aca="false">IF(AX653="",0,MAX(0,MIN(1,(IF(CF653="L1",Parameter!$H$5,IF(CF653="L23",Parameter!$H$6+Parameter!$H$7,Parameter!$H$5+Parameter!$H$6+Parameter!$H$7))-(AX653-AS653))/AS653)))</f>
        <v>1</v>
      </c>
      <c r="AZ653" s="50" t="n">
        <f aca="false">IF(LEFT(Cockpit!$O$5,1)="A",H653,IF(Parameter!$E$30="MAX-Bestand",IF(CH653=1,CI653,IF(LEFT(Cockpit!$O$5,1)="B",BF653,MAX(BF653,H653))),ROUNDUP(BD653,0)))</f>
        <v>1</v>
      </c>
      <c r="BA653" s="50" t="n">
        <f aca="false">IF(BZ653=1,0,ROUNDUP(AZ653/BY653,0))</f>
        <v>1</v>
      </c>
      <c r="BB653" s="52" t="n">
        <f aca="false">IF(CQ653&gt;0,CQ653*MAX(1,AZ653/X653),IF(BZ653=1,IF(AZ653&lt;=0,0,CD653*MAX(1,IF(H653&gt;0,AZ653/H653,1))),IF(R653&gt;0,BA653/R653,0))/MAX(0.1,N(Parameter!$M$21)))</f>
        <v>0.0833333333333333</v>
      </c>
      <c r="BC653" s="50" t="n">
        <f aca="false">BB653*CB653</f>
        <v>12.0833333333333</v>
      </c>
      <c r="BD653" s="51" t="n">
        <f aca="false">IF(LEFT(Cockpit!$O$5,1)="A",H653,IF(CH653=1,(CK653+CI653)/2,IF(LEFT(Cockpit!$O$5,1)="B",(CK653+BF653)/2,MAX((CK653+BF653)/2,H653))))</f>
        <v>1</v>
      </c>
      <c r="BE653" s="50" t="n">
        <f aca="false">BD653*G653</f>
        <v>14462.68</v>
      </c>
      <c r="BF653" s="50" t="n">
        <f aca="false">ROUNDUP(CK653+MAX(CL653,2*(J653/IF(CG653&gt;0,CG653,MAX(0.1,N(Cockpit!$O$6)))-CK653)),0)</f>
        <v>2</v>
      </c>
      <c r="BG653" s="51" t="n">
        <f aca="false">IF(BC653&gt;0,J653/BC653,-1)</f>
        <v>0.331034482758621</v>
      </c>
      <c r="BH653" s="51" t="n">
        <f aca="false">IF(AND(OR(CF653="L1",CF653="L23",CF653="LIFT"),BC653&gt;0),SUMIFS($BC$7:$BC$1843,$CF$7:$CF$1843,CF653,$BG$7:$BG$1843,"&gt;"&amp;BG653)+SUMIFS($BC$7:$BC$1843,$CF$7:$CF$1843,CF653,$BG$7:$BG$1843,BG653,$BW$7:$BW$1843,"&lt;="&amp;BW653),"")</f>
        <v>11645.7953296703</v>
      </c>
      <c r="BI653" s="58" t="n">
        <f aca="false">IF(BH653="",0,MAX(0,MIN(1,(IF(CF653="L1",Parameter!$H$5,IF(CF653="L23",Parameter!$H$6+Parameter!$H$7,Parameter!$H$5+Parameter!$H$6+Parameter!$H$7))-(BH653-BC653))/BC653)))</f>
        <v>1</v>
      </c>
      <c r="BJ653" s="48" t="str">
        <f aca="false">IF(AI653&lt;=0,"",IF(CF653="Aussen","Aussenlager",IF(CF653="-","Nicht im Lift",IF(AO653&gt;=1,"Lift",IF(AO653&lt;=0,"Aussenlager","teilweise")))))</f>
        <v/>
      </c>
      <c r="BK653" s="48" t="str">
        <f aca="false">IF(AS653&lt;=0,"",IF(CF653="Aussen","Aussenlager",IF(CF653="-","Nicht im Lift",IF(AY653&gt;=1,"Lift",IF(AY653&lt;=0,"Aussenlager","teilweise")))))</f>
        <v>Lift</v>
      </c>
      <c r="BL653" s="48" t="str">
        <f aca="false">IF(BC653&lt;=0,"",IF(CF653="Aussen","Aussenlager",IF(CF653="-","Nicht im Lift",IF(BI653&gt;=1,"Lift",IF(BI653&lt;=0,"Aussenlager","teilweise")))))</f>
        <v>Lift</v>
      </c>
      <c r="BM653" s="48" t="str">
        <f aca="false">IF(A653="","",IF(BV653=1,"Neu; ","")&amp;IF(AND(BV653=0,BQ653&lt;0),"negativer Bestand (Export "&amp;BQ653&amp;"); ","")&amp;IF(J653&lt;=0,"Kein Verbrauch; ","")&amp;IF(CQ653&gt;0,"Lift "&amp;W653&amp;" lt. Liftbericht (Fach "&amp;X653&amp;" Stk); ",IF(CA653=1,"Gebinde geschätzt ("&amp;T653&amp;"); ",IF(BZ653=1,"Lose – Tablare geschätzt; ","")))&amp;IF(H653&gt;AV653,"Überbestand "&amp;ROUND(H653-AV653,0)&amp;" Stk / CHF "&amp;ROUND((H653-AV653)*G653,0)&amp;"; ","")&amp;IF(AND(CH653=1,CI653&lt;CJ653),"MAX &lt; MB+LG; ","")&amp;IF(AND(CP653&gt;0,CO653*10&gt;CP653),"zu hoch für Tablar; ","")&amp;IF(AND(BV653=0,OR(CH653=1,AA653&lt;&gt;"",U653&lt;&gt;"",V653&lt;&gt;"",AB653&lt;&gt;"")),"manuell übersteuert; ","")&amp;IF(AND(BZ653=0,R653=0),"Gebinde unbekannt / Stellmass fehlt; ","")&amp;IF(AND(BZ653=0,N(V653)&lt;=0,N(Q653)&lt;=0),"Menge pro Gebinde fehlt (Ist = 1 Gebinde); ","")&amp;BU653)</f>
        <v>Gebinde geschätzt (Mittel); Menge pro Gebinde fehlt (Ist = 1 Gebinde); </v>
      </c>
      <c r="BN653" s="48"/>
      <c r="BO653" s="48"/>
      <c r="BP653" s="55"/>
      <c r="BQ653" s="50" t="n">
        <v>0</v>
      </c>
      <c r="BR653" s="50" t="n">
        <v>0</v>
      </c>
      <c r="BS653" s="49" t="n">
        <v>4.36557040517371E-013</v>
      </c>
      <c r="BT653" s="50" t="n">
        <v>4</v>
      </c>
      <c r="BU653" s="48"/>
      <c r="BV653" s="53" t="n">
        <v>0</v>
      </c>
      <c r="BW653" s="53" t="n">
        <v>653</v>
      </c>
      <c r="BX653" s="48" t="str">
        <f aca="false">IF(U653&lt;&gt;"",UPPER(TRIM(U653)),IF(CA653=1,UPPER(VLOOKUP(T653,Parameter!$I$27:$K$29,2,0)),IF(P653="","LOSE",P653)))</f>
        <v>S61</v>
      </c>
      <c r="BY653" s="50" t="n">
        <f aca="false">IF(BX653="LOSE",1,IF(N(V653)&gt;0,V653,IF(CA653=1,MAX(1,N(VLOOKUP(T653,Parameter!$I$27:$K$29,3,0)),H653,N(N653)),IF(N(Q653)&gt;0,Q653,MAX(1,H653)))))</f>
        <v>4</v>
      </c>
      <c r="BZ653" s="53" t="n">
        <f aca="false">IF(BX653="LOSE",1,0)</f>
        <v>0</v>
      </c>
      <c r="CA653" s="53" t="n">
        <f aca="false">IF(AND(U653="",OR(P653="",P653="LOSE"),T653&lt;&gt;"",N(S653)&lt;=0,ISNUMBER(MATCH(T653,Parameter!$I$27:$I$29,0))),1,0)</f>
        <v>1</v>
      </c>
      <c r="CB653" s="53" t="n">
        <f aca="false">IF(CQ653&gt;0,INDEX(Parameter!$H$5:$H$7,W653)/INDEX(Parameter!$E$5:$E$7,W653),IF(AND(BZ653=0,N(IFERROR(VLOOKUP(BX653,'Gebinde-Kategorie'!$A$5:$N$45,14,0),0))&gt;0),VLOOKUP(BX653,'Gebinde-Kategorie'!$A$5:$N$45,14,0)*10+Parameter!$M$23,Parameter!$M$24))</f>
        <v>145</v>
      </c>
      <c r="CC653" s="48" t="str">
        <f aca="false">IF(AND(Parameter!$B$19="Ja",E653&lt;&gt;"",ISNUMBER(MATCH(E653,Parameter!$I$35:$I$52,0))),VLOOKUP(E653,Parameter!$I$35:$J$52,2,0),IFERROR(VLOOKUP(D653,Parameter!$A$35:$C$64,2,0),"Nein"))</f>
        <v>2+3</v>
      </c>
      <c r="CD653" s="52" t="n">
        <f aca="false">IF(BZ653=0,0,IF(N(S653)&gt;0,S653,IFERROR(VLOOKUP(D653,Parameter!$A$35:$C$64,3,0)+0,0)))</f>
        <v>0</v>
      </c>
      <c r="CE653" s="48" t="n">
        <f aca="false">IF(AA653&lt;&gt;"",AA653,Z653)</f>
        <v>2</v>
      </c>
      <c r="CF653" s="48" t="str">
        <f aca="false">IF(OR(CE653=1,CE653=2,CE653=3),IF(Parameter!$E$27="Ja","LIFT",IF(CE653=1,"L1","L23")),IF(CE653="Aussen","Aussen","-"))</f>
        <v>LIFT</v>
      </c>
      <c r="CG653" s="59" t="n">
        <f aca="false">IF(N(AB653)&gt;0,AB653,0)</f>
        <v>0</v>
      </c>
      <c r="CH653" s="53" t="n">
        <f aca="false">IF(ISNUMBER(AE653),1,0)</f>
        <v>0</v>
      </c>
      <c r="CI653" s="50" t="n">
        <f aca="false">N(AE653)</f>
        <v>0</v>
      </c>
      <c r="CJ653" s="50" t="n">
        <f aca="false">N(M653)+N(N653)</f>
        <v>1</v>
      </c>
      <c r="CK653" s="50" t="n">
        <f aca="false">N(M653)</f>
        <v>0</v>
      </c>
      <c r="CL653" s="50" t="n">
        <f aca="false">N(N653)</f>
        <v>1</v>
      </c>
      <c r="CM653" s="50" t="n">
        <f aca="false">ROUNDUP(H653/BY653,0)</f>
        <v>0</v>
      </c>
      <c r="CN653" s="50" t="n">
        <f aca="false">ROUNDUP(CI653/BY653,0)</f>
        <v>0</v>
      </c>
      <c r="CO653" s="53" t="n">
        <f aca="false">IF(BZ653=1,0,IFERROR(VLOOKUP(BX653,'Gebinde-Kategorie'!$A$5:$N$45,5,0)+0,0))</f>
        <v>11</v>
      </c>
      <c r="CP653" s="53" t="n">
        <f aca="false">IFERROR(IF(OR(CE653=1,CE653=2,CE653=3),N(INDEX(Parameter!$I$5:$I$7,CE653)),0),0)</f>
        <v>0</v>
      </c>
      <c r="CQ653" s="52" t="n">
        <f aca="false">IF(AND(Parameter!$B$21="Ja",ISNUMBER(W653),N(X653)&gt;0),IFERROR(N(INDEX(Parameter!$L$5:$L$7,W653))*INDEX(Parameter!$E$5:$E$7,W653)*X653/SUMIFS($X$7:$X$1843,$W$7:$W$1843,W653),0),0)</f>
        <v>0</v>
      </c>
    </row>
    <row r="654" customFormat="false" ht="15" hidden="false" customHeight="false" outlineLevel="0" collapsed="false">
      <c r="A654" s="48" t="s">
        <v>1331</v>
      </c>
      <c r="B654" s="48" t="s">
        <v>1007</v>
      </c>
      <c r="C654" s="48" t="s">
        <v>173</v>
      </c>
      <c r="D654" s="48" t="s">
        <v>1004</v>
      </c>
      <c r="E654" s="48"/>
      <c r="F654" s="48" t="s">
        <v>227</v>
      </c>
      <c r="G654" s="49" t="n">
        <v>163.77</v>
      </c>
      <c r="H654" s="50" t="n">
        <f aca="false">MAX(0,IF(AND(Parameter!$B$21="Ja",ISNUMBER(Y654)),Y654,IF(Parameter!$B$20="Jahresanfang 2025 + Export",BR654+BQ654,BQ654)))</f>
        <v>0</v>
      </c>
      <c r="I654" s="50" t="n">
        <f aca="false">H654*G654</f>
        <v>0</v>
      </c>
      <c r="J654" s="50" t="n">
        <f aca="false">BT654*Parameter!$B$18</f>
        <v>8</v>
      </c>
      <c r="K654" s="51" t="n">
        <v>0</v>
      </c>
      <c r="L654" s="52" t="n">
        <v>0</v>
      </c>
      <c r="M654" s="50" t="n">
        <v>0</v>
      </c>
      <c r="N654" s="50" t="n">
        <v>1</v>
      </c>
      <c r="O654" s="53" t="n">
        <v>105</v>
      </c>
      <c r="P654" s="48" t="s">
        <v>177</v>
      </c>
      <c r="Q654" s="50"/>
      <c r="R654" s="53" t="n">
        <f aca="false">IF(BZ654=1,0,IFERROR(VLOOKUP(BX654,'Gebinde-Kategorie'!$A$5:$N$45,13,0)+0,0))</f>
        <v>0</v>
      </c>
      <c r="S654" s="54"/>
      <c r="T654" s="55"/>
      <c r="U654" s="55"/>
      <c r="V654" s="55"/>
      <c r="W654" s="48"/>
      <c r="X654" s="50"/>
      <c r="Y654" s="50"/>
      <c r="Z654" s="48" t="str">
        <f aca="false">IF(A654="","",IF(AND(Parameter!$B$21="Ja",ISNUMBER(W654)),W654,IF(CC654="2+3",IF(ISNUMBER(SEARCH("grosser Artikel",BU654)),2,IFERROR(VLOOKUP(BX654,Parameter!$F$35:$G$64,2,0),2)),IF(OR(CC654="Nein",CC654=""),"-",CC654))))</f>
        <v>-</v>
      </c>
      <c r="AA654" s="55"/>
      <c r="AB654" s="56"/>
      <c r="AC654" s="50" t="n">
        <f aca="false">AV654</f>
        <v>6</v>
      </c>
      <c r="AD654" s="50" t="n">
        <f aca="false">MAX(AV654,H654)</f>
        <v>6</v>
      </c>
      <c r="AE654" s="57"/>
      <c r="AF654" s="50" t="n">
        <f aca="false">IF(LEFT(Cockpit!$C$5,1)="A",H654,IF(Parameter!$E$30="MAX-Bestand",IF(CH654=1,CI654,IF(LEFT(Cockpit!$C$5,1)="B",AL654,MAX(AL654,H654))),ROUNDUP(AJ654,0)))</f>
        <v>0</v>
      </c>
      <c r="AG654" s="50" t="n">
        <f aca="false">IF(BZ654=1,0,ROUNDUP(AF654/BY654,0))</f>
        <v>0</v>
      </c>
      <c r="AH654" s="52" t="n">
        <f aca="false">IF(CQ654&gt;0,CQ654*MAX(1,AF654/X654),IF(BZ654=1,IF(AF654&lt;=0,0,CD654*MAX(1,IF(H654&gt;0,AF654/H654,1))),IF(R654&gt;0,AG654/R654,0))/MAX(0.1,N(Parameter!$M$21)))</f>
        <v>0</v>
      </c>
      <c r="AI654" s="50" t="n">
        <f aca="false">AH654*CB654</f>
        <v>0</v>
      </c>
      <c r="AJ654" s="51" t="n">
        <f aca="false">IF(LEFT(Cockpit!$C$5,1)="A",H654,IF(CH654=1,(CK654+CI654)/2,IF(LEFT(Cockpit!$C$5,1)="B",(CK654+AL654)/2,MAX((CK654+AL654)/2,H654))))</f>
        <v>0</v>
      </c>
      <c r="AK654" s="50" t="n">
        <f aca="false">AJ654*G654</f>
        <v>0</v>
      </c>
      <c r="AL654" s="50" t="n">
        <f aca="false">ROUNDUP(CK654+MAX(CL654,2*(J654/IF(CG654&gt;0,CG654,MAX(0.1,N(Cockpit!$C$6)))-CK654)),0)</f>
        <v>6</v>
      </c>
      <c r="AM654" s="51" t="n">
        <f aca="false">IF(AI654&gt;0,J654/AI654,-1)</f>
        <v>-1</v>
      </c>
      <c r="AN654" s="51" t="str">
        <f aca="false">IF(AND(OR(CF654="L1",CF654="L23",CF654="LIFT"),AI654&gt;0),SUMIFS($AI$7:$AI$1843,$CF$7:$CF$1843,CF654,$AM$7:$AM$1843,"&gt;"&amp;AM654)+SUMIFS($AI$7:$AI$1843,$CF$7:$CF$1843,CF654,$AM$7:$AM$1843,AM654,$BW$7:$BW$1843,"&lt;="&amp;BW654),"")</f>
        <v/>
      </c>
      <c r="AO654" s="58" t="n">
        <f aca="false">IF(AN654="",0,MAX(0,MIN(1,(IF(CF654="L1",Parameter!$H$5,IF(CF654="L23",Parameter!$H$6+Parameter!$H$7,Parameter!$H$5+Parameter!$H$6+Parameter!$H$7))-(AN654-AI654))/AI654)))</f>
        <v>0</v>
      </c>
      <c r="AP654" s="50" t="n">
        <f aca="false">IF(LEFT(Cockpit!$I$5,1)="A",H654,IF(Parameter!$E$30="MAX-Bestand",IF(CH654=1,CI654,IF(LEFT(Cockpit!$I$5,1)="B",AV654,MAX(AV654,H654))),ROUNDUP(AT654,0)))</f>
        <v>3</v>
      </c>
      <c r="AQ654" s="50" t="n">
        <f aca="false">IF(BZ654=1,0,ROUNDUP(AP654/BY654,0))</f>
        <v>0</v>
      </c>
      <c r="AR654" s="52" t="n">
        <f aca="false">IF(CQ654&gt;0,CQ654*MAX(1,AP654/X654),IF(BZ654=1,IF(AP654&lt;=0,0,CD654*MAX(1,IF(H654&gt;0,AP654/H654,1))),IF(R654&gt;0,AQ654/R654,0))/MAX(0.1,N(Parameter!$M$21)))</f>
        <v>0.15</v>
      </c>
      <c r="AS654" s="50" t="n">
        <f aca="false">AR654*CB654</f>
        <v>35.25</v>
      </c>
      <c r="AT654" s="51" t="n">
        <f aca="false">IF(LEFT(Cockpit!$I$5,1)="A",H654,IF(CH654=1,(CK654+CI654)/2,IF(LEFT(Cockpit!$I$5,1)="B",(CK654+AV654)/2,MAX((CK654+AV654)/2,H654))))</f>
        <v>3</v>
      </c>
      <c r="AU654" s="50" t="n">
        <f aca="false">AT654*G654</f>
        <v>491.31</v>
      </c>
      <c r="AV654" s="50" t="n">
        <f aca="false">ROUNDUP(CK654+MAX(CL654,2*(J654/IF(CG654&gt;0,CG654,MAX(0.1,N(Cockpit!$I$6)))-CK654)),0)</f>
        <v>6</v>
      </c>
      <c r="AW654" s="51" t="n">
        <f aca="false">IF(AS654&gt;0,J654/AS654,-1)</f>
        <v>0.226950354609929</v>
      </c>
      <c r="AX654" s="51" t="str">
        <f aca="false">IF(AND(OR(CF654="L1",CF654="L23",CF654="LIFT"),AS654&gt;0),SUMIFS($AS$7:$AS$1843,$CF$7:$CF$1843,CF654,$AW$7:$AW$1843,"&gt;"&amp;AW654)+SUMIFS($AS$7:$AS$1843,$CF$7:$CF$1843,CF654,$AW$7:$AW$1843,AW654,$BW$7:$BW$1843,"&lt;="&amp;BW654),"")</f>
        <v/>
      </c>
      <c r="AY654" s="58" t="n">
        <f aca="false">IF(AX654="",0,MAX(0,MIN(1,(IF(CF654="L1",Parameter!$H$5,IF(CF654="L23",Parameter!$H$6+Parameter!$H$7,Parameter!$H$5+Parameter!$H$6+Parameter!$H$7))-(AX654-AS654))/AS654)))</f>
        <v>0</v>
      </c>
      <c r="AZ654" s="50" t="n">
        <f aca="false">IF(LEFT(Cockpit!$O$5,1)="A",H654,IF(Parameter!$E$30="MAX-Bestand",IF(CH654=1,CI654,IF(LEFT(Cockpit!$O$5,1)="B",BF654,MAX(BF654,H654))),ROUNDUP(BD654,0)))</f>
        <v>2</v>
      </c>
      <c r="BA654" s="50" t="n">
        <f aca="false">IF(BZ654=1,0,ROUNDUP(AZ654/BY654,0))</f>
        <v>0</v>
      </c>
      <c r="BB654" s="52" t="n">
        <f aca="false">IF(CQ654&gt;0,CQ654*MAX(1,AZ654/X654),IF(BZ654=1,IF(AZ654&lt;=0,0,CD654*MAX(1,IF(H654&gt;0,AZ654/H654,1))),IF(R654&gt;0,BA654/R654,0))/MAX(0.1,N(Parameter!$M$21)))</f>
        <v>0.15</v>
      </c>
      <c r="BC654" s="50" t="n">
        <f aca="false">BB654*CB654</f>
        <v>35.25</v>
      </c>
      <c r="BD654" s="51" t="n">
        <f aca="false">IF(LEFT(Cockpit!$O$5,1)="A",H654,IF(CH654=1,(CK654+CI654)/2,IF(LEFT(Cockpit!$O$5,1)="B",(CK654+BF654)/2,MAX((CK654+BF654)/2,H654))))</f>
        <v>2</v>
      </c>
      <c r="BE654" s="50" t="n">
        <f aca="false">BD654*G654</f>
        <v>327.54</v>
      </c>
      <c r="BF654" s="50" t="n">
        <f aca="false">ROUNDUP(CK654+MAX(CL654,2*(J654/IF(CG654&gt;0,CG654,MAX(0.1,N(Cockpit!$O$6)))-CK654)),0)</f>
        <v>4</v>
      </c>
      <c r="BG654" s="51" t="n">
        <f aca="false">IF(BC654&gt;0,J654/BC654,-1)</f>
        <v>0.226950354609929</v>
      </c>
      <c r="BH654" s="51" t="str">
        <f aca="false">IF(AND(OR(CF654="L1",CF654="L23",CF654="LIFT"),BC654&gt;0),SUMIFS($BC$7:$BC$1843,$CF$7:$CF$1843,CF654,$BG$7:$BG$1843,"&gt;"&amp;BG654)+SUMIFS($BC$7:$BC$1843,$CF$7:$CF$1843,CF654,$BG$7:$BG$1843,BG654,$BW$7:$BW$1843,"&lt;="&amp;BW654),"")</f>
        <v/>
      </c>
      <c r="BI654" s="58" t="n">
        <f aca="false">IF(BH654="",0,MAX(0,MIN(1,(IF(CF654="L1",Parameter!$H$5,IF(CF654="L23",Parameter!$H$6+Parameter!$H$7,Parameter!$H$5+Parameter!$H$6+Parameter!$H$7))-(BH654-BC654))/BC654)))</f>
        <v>0</v>
      </c>
      <c r="BJ654" s="48" t="str">
        <f aca="false">IF(AI654&lt;=0,"",IF(CF654="Aussen","Aussenlager",IF(CF654="-","Nicht im Lift",IF(AO654&gt;=1,"Lift",IF(AO654&lt;=0,"Aussenlager","teilweise")))))</f>
        <v/>
      </c>
      <c r="BK654" s="48" t="str">
        <f aca="false">IF(AS654&lt;=0,"",IF(CF654="Aussen","Aussenlager",IF(CF654="-","Nicht im Lift",IF(AY654&gt;=1,"Lift",IF(AY654&lt;=0,"Aussenlager","teilweise")))))</f>
        <v>Nicht im Lift</v>
      </c>
      <c r="BL654" s="48" t="str">
        <f aca="false">IF(BC654&lt;=0,"",IF(CF654="Aussen","Aussenlager",IF(CF654="-","Nicht im Lift",IF(BI654&gt;=1,"Lift",IF(BI654&lt;=0,"Aussenlager","teilweise")))))</f>
        <v>Nicht im Lift</v>
      </c>
      <c r="BM654" s="48" t="str">
        <f aca="false">IF(A654="","",IF(BV654=1,"Neu; ","")&amp;IF(AND(BV654=0,BQ654&lt;0),"negativer Bestand (Export "&amp;BQ654&amp;"); ","")&amp;IF(J654&lt;=0,"Kein Verbrauch; ","")&amp;IF(CQ654&gt;0,"Lift "&amp;W654&amp;" lt. Liftbericht (Fach "&amp;X654&amp;" Stk); ",IF(CA654=1,"Gebinde geschätzt ("&amp;T654&amp;"); ",IF(BZ654=1,"Lose – Tablare geschätzt; ","")))&amp;IF(H654&gt;AV654,"Überbestand "&amp;ROUND(H654-AV654,0)&amp;" Stk / CHF "&amp;ROUND((H654-AV654)*G654,0)&amp;"; ","")&amp;IF(AND(CH654=1,CI654&lt;CJ654),"MAX &lt; MB+LG; ","")&amp;IF(AND(CP654&gt;0,CO654*10&gt;CP654),"zu hoch für Tablar; ","")&amp;IF(AND(BV654=0,OR(CH654=1,AA654&lt;&gt;"",U654&lt;&gt;"",V654&lt;&gt;"",AB654&lt;&gt;"")),"manuell übersteuert; ","")&amp;IF(AND(BZ654=0,R654=0),"Gebinde unbekannt / Stellmass fehlt; ","")&amp;IF(AND(BZ654=0,N(V654)&lt;=0,N(Q654)&lt;=0),"Menge pro Gebinde fehlt (Ist = 1 Gebinde); ","")&amp;BU654)</f>
        <v>Lose – Tablare geschätzt; </v>
      </c>
      <c r="BN654" s="48"/>
      <c r="BO654" s="48"/>
      <c r="BP654" s="55"/>
      <c r="BQ654" s="50" t="n">
        <v>0</v>
      </c>
      <c r="BR654" s="50" t="n">
        <v>0</v>
      </c>
      <c r="BS654" s="49" t="n">
        <v>1.31877148090709E-013</v>
      </c>
      <c r="BT654" s="50" t="n">
        <v>8</v>
      </c>
      <c r="BU654" s="48"/>
      <c r="BV654" s="53" t="n">
        <v>0</v>
      </c>
      <c r="BW654" s="53" t="n">
        <v>654</v>
      </c>
      <c r="BX654" s="48" t="str">
        <f aca="false">IF(U654&lt;&gt;"",UPPER(TRIM(U654)),IF(CA654=1,UPPER(VLOOKUP(T654,Parameter!$I$27:$K$29,2,0)),IF(P654="","LOSE",P654)))</f>
        <v>LOSE</v>
      </c>
      <c r="BY654" s="50" t="n">
        <f aca="false">IF(BX654="LOSE",1,IF(N(V654)&gt;0,V654,IF(CA654=1,MAX(1,N(VLOOKUP(T654,Parameter!$I$27:$K$29,3,0)),H654,N(N654)),IF(N(Q654)&gt;0,Q654,MAX(1,H654)))))</f>
        <v>1</v>
      </c>
      <c r="BZ654" s="53" t="n">
        <f aca="false">IF(BX654="LOSE",1,0)</f>
        <v>1</v>
      </c>
      <c r="CA654" s="53" t="n">
        <f aca="false">IF(AND(U654="",OR(P654="",P654="LOSE"),T654&lt;&gt;"",N(S654)&lt;=0,ISNUMBER(MATCH(T654,Parameter!$I$27:$I$29,0))),1,0)</f>
        <v>0</v>
      </c>
      <c r="CB654" s="53" t="n">
        <f aca="false">IF(CQ654&gt;0,INDEX(Parameter!$H$5:$H$7,W654)/INDEX(Parameter!$E$5:$E$7,W654),IF(AND(BZ654=0,N(IFERROR(VLOOKUP(BX654,'Gebinde-Kategorie'!$A$5:$N$45,14,0),0))&gt;0),VLOOKUP(BX654,'Gebinde-Kategorie'!$A$5:$N$45,14,0)*10+Parameter!$M$23,Parameter!$M$24))</f>
        <v>235</v>
      </c>
      <c r="CC654" s="48" t="str">
        <f aca="false">IF(AND(Parameter!$B$19="Ja",E654&lt;&gt;"",ISNUMBER(MATCH(E654,Parameter!$I$35:$I$52,0))),VLOOKUP(E654,Parameter!$I$35:$J$52,2,0),IFERROR(VLOOKUP(D654,Parameter!$A$35:$C$64,2,0),"Nein"))</f>
        <v>Nein</v>
      </c>
      <c r="CD654" s="52" t="n">
        <f aca="false">IF(BZ654=0,0,IF(N(S654)&gt;0,S654,IFERROR(VLOOKUP(D654,Parameter!$A$35:$C$64,3,0)+0,0)))</f>
        <v>0.15</v>
      </c>
      <c r="CE654" s="48" t="str">
        <f aca="false">IF(AA654&lt;&gt;"",AA654,Z654)</f>
        <v>-</v>
      </c>
      <c r="CF654" s="48" t="str">
        <f aca="false">IF(OR(CE654=1,CE654=2,CE654=3),IF(Parameter!$E$27="Ja","LIFT",IF(CE654=1,"L1","L23")),IF(CE654="Aussen","Aussen","-"))</f>
        <v>-</v>
      </c>
      <c r="CG654" s="59" t="n">
        <f aca="false">IF(N(AB654)&gt;0,AB654,0)</f>
        <v>0</v>
      </c>
      <c r="CH654" s="53" t="n">
        <f aca="false">IF(ISNUMBER(AE654),1,0)</f>
        <v>0</v>
      </c>
      <c r="CI654" s="50" t="n">
        <f aca="false">N(AE654)</f>
        <v>0</v>
      </c>
      <c r="CJ654" s="50" t="n">
        <f aca="false">N(M654)+N(N654)</f>
        <v>1</v>
      </c>
      <c r="CK654" s="50" t="n">
        <f aca="false">N(M654)</f>
        <v>0</v>
      </c>
      <c r="CL654" s="50" t="n">
        <f aca="false">N(N654)</f>
        <v>1</v>
      </c>
      <c r="CM654" s="50" t="n">
        <f aca="false">ROUNDUP(H654/BY654,0)</f>
        <v>0</v>
      </c>
      <c r="CN654" s="50" t="n">
        <f aca="false">ROUNDUP(CI654/BY654,0)</f>
        <v>0</v>
      </c>
      <c r="CO654" s="53" t="n">
        <f aca="false">IF(BZ654=1,0,IFERROR(VLOOKUP(BX654,'Gebinde-Kategorie'!$A$5:$N$45,5,0)+0,0))</f>
        <v>0</v>
      </c>
      <c r="CP654" s="53" t="n">
        <f aca="false">IFERROR(IF(OR(CE654=1,CE654=2,CE654=3),N(INDEX(Parameter!$I$5:$I$7,CE654)),0),0)</f>
        <v>0</v>
      </c>
      <c r="CQ654" s="52" t="n">
        <f aca="false">IF(AND(Parameter!$B$21="Ja",ISNUMBER(W654),N(X654)&gt;0),IFERROR(N(INDEX(Parameter!$L$5:$L$7,W654))*INDEX(Parameter!$E$5:$E$7,W654)*X654/SUMIFS($X$7:$X$1843,$W$7:$W$1843,W654),0),0)</f>
        <v>0</v>
      </c>
    </row>
    <row r="655" customFormat="false" ht="15" hidden="false" customHeight="false" outlineLevel="0" collapsed="false">
      <c r="A655" s="48" t="s">
        <v>1332</v>
      </c>
      <c r="B655" s="48" t="s">
        <v>1333</v>
      </c>
      <c r="C655" s="48" t="s">
        <v>173</v>
      </c>
      <c r="D655" s="48" t="s">
        <v>193</v>
      </c>
      <c r="E655" s="48"/>
      <c r="F655" s="48" t="s">
        <v>227</v>
      </c>
      <c r="G655" s="49" t="n">
        <v>42.14</v>
      </c>
      <c r="H655" s="50" t="n">
        <f aca="false">MAX(0,IF(AND(Parameter!$B$21="Ja",ISNUMBER(Y655)),Y655,IF(Parameter!$B$20="Jahresanfang 2025 + Export",BR655+BQ655,BQ655)))</f>
        <v>0</v>
      </c>
      <c r="I655" s="50" t="n">
        <f aca="false">H655*G655</f>
        <v>0</v>
      </c>
      <c r="J655" s="50" t="n">
        <f aca="false">BT655*Parameter!$B$18</f>
        <v>2</v>
      </c>
      <c r="K655" s="51" t="n">
        <v>3</v>
      </c>
      <c r="L655" s="52" t="n">
        <v>0.666666666666667</v>
      </c>
      <c r="M655" s="50" t="n">
        <v>0</v>
      </c>
      <c r="N655" s="50" t="n">
        <v>1</v>
      </c>
      <c r="O655" s="53" t="n">
        <v>21</v>
      </c>
      <c r="P655" s="48" t="s">
        <v>177</v>
      </c>
      <c r="Q655" s="50"/>
      <c r="R655" s="53" t="n">
        <f aca="false">IF(BZ655=1,0,IFERROR(VLOOKUP(BX655,'Gebinde-Kategorie'!$A$5:$N$45,13,0)+0,0))</f>
        <v>26</v>
      </c>
      <c r="S655" s="54"/>
      <c r="T655" s="55" t="s">
        <v>284</v>
      </c>
      <c r="U655" s="55"/>
      <c r="V655" s="55"/>
      <c r="W655" s="48"/>
      <c r="X655" s="50"/>
      <c r="Y655" s="50"/>
      <c r="Z655" s="48" t="n">
        <f aca="false">IF(A655="","",IF(AND(Parameter!$B$21="Ja",ISNUMBER(W655)),W655,IF(CC655="2+3",IF(ISNUMBER(SEARCH("grosser Artikel",BU655)),2,IFERROR(VLOOKUP(BX655,Parameter!$F$35:$G$64,2,0),2)),IF(OR(CC655="Nein",CC655=""),"-",CC655))))</f>
        <v>3</v>
      </c>
      <c r="AA655" s="55"/>
      <c r="AB655" s="56"/>
      <c r="AC655" s="50" t="n">
        <f aca="false">AV655</f>
        <v>2</v>
      </c>
      <c r="AD655" s="50" t="n">
        <f aca="false">MAX(AV655,H655)</f>
        <v>2</v>
      </c>
      <c r="AE655" s="57"/>
      <c r="AF655" s="50" t="n">
        <f aca="false">IF(LEFT(Cockpit!$C$5,1)="A",H655,IF(Parameter!$E$30="MAX-Bestand",IF(CH655=1,CI655,IF(LEFT(Cockpit!$C$5,1)="B",AL655,MAX(AL655,H655))),ROUNDUP(AJ655,0)))</f>
        <v>0</v>
      </c>
      <c r="AG655" s="50" t="n">
        <f aca="false">IF(BZ655=1,0,ROUNDUP(AF655/BY655,0))</f>
        <v>0</v>
      </c>
      <c r="AH655" s="52" t="n">
        <f aca="false">IF(CQ655&gt;0,CQ655*MAX(1,AF655/X655),IF(BZ655=1,IF(AF655&lt;=0,0,CD655*MAX(1,IF(H655&gt;0,AF655/H655,1))),IF(R655&gt;0,AG655/R655,0))/MAX(0.1,N(Parameter!$M$21)))</f>
        <v>0</v>
      </c>
      <c r="AI655" s="50" t="n">
        <f aca="false">AH655*CB655</f>
        <v>0</v>
      </c>
      <c r="AJ655" s="51" t="n">
        <f aca="false">IF(LEFT(Cockpit!$C$5,1)="A",H655,IF(CH655=1,(CK655+CI655)/2,IF(LEFT(Cockpit!$C$5,1)="B",(CK655+AL655)/2,MAX((CK655+AL655)/2,H655))))</f>
        <v>0</v>
      </c>
      <c r="AK655" s="50" t="n">
        <f aca="false">AJ655*G655</f>
        <v>0</v>
      </c>
      <c r="AL655" s="50" t="n">
        <f aca="false">ROUNDUP(CK655+MAX(CL655,2*(J655/IF(CG655&gt;0,CG655,MAX(0.1,N(Cockpit!$C$6)))-CK655)),0)</f>
        <v>2</v>
      </c>
      <c r="AM655" s="51" t="n">
        <f aca="false">IF(AI655&gt;0,J655/AI655,-1)</f>
        <v>-1</v>
      </c>
      <c r="AN655" s="51" t="str">
        <f aca="false">IF(AND(OR(CF655="L1",CF655="L23",CF655="LIFT"),AI655&gt;0),SUMIFS($AI$7:$AI$1843,$CF$7:$CF$1843,CF655,$AM$7:$AM$1843,"&gt;"&amp;AM655)+SUMIFS($AI$7:$AI$1843,$CF$7:$CF$1843,CF655,$AM$7:$AM$1843,AM655,$BW$7:$BW$1843,"&lt;="&amp;BW655),"")</f>
        <v/>
      </c>
      <c r="AO655" s="58" t="n">
        <f aca="false">IF(AN655="",0,MAX(0,MIN(1,(IF(CF655="L1",Parameter!$H$5,IF(CF655="L23",Parameter!$H$6+Parameter!$H$7,Parameter!$H$5+Parameter!$H$6+Parameter!$H$7))-(AN655-AI655))/AI655)))</f>
        <v>0</v>
      </c>
      <c r="AP655" s="50" t="n">
        <f aca="false">IF(LEFT(Cockpit!$I$5,1)="A",H655,IF(Parameter!$E$30="MAX-Bestand",IF(CH655=1,CI655,IF(LEFT(Cockpit!$I$5,1)="B",AV655,MAX(AV655,H655))),ROUNDUP(AT655,0)))</f>
        <v>1</v>
      </c>
      <c r="AQ655" s="50" t="n">
        <f aca="false">IF(BZ655=1,0,ROUNDUP(AP655/BY655,0))</f>
        <v>1</v>
      </c>
      <c r="AR655" s="52" t="n">
        <f aca="false">IF(CQ655&gt;0,CQ655*MAX(1,AP655/X655),IF(BZ655=1,IF(AP655&lt;=0,0,CD655*MAX(1,IF(H655&gt;0,AP655/H655,1))),IF(R655&gt;0,AQ655/R655,0))/MAX(0.1,N(Parameter!$M$21)))</f>
        <v>0.0384615384615385</v>
      </c>
      <c r="AS655" s="50" t="n">
        <f aca="false">AR655*CB655</f>
        <v>5.96153846153846</v>
      </c>
      <c r="AT655" s="51" t="n">
        <f aca="false">IF(LEFT(Cockpit!$I$5,1)="A",H655,IF(CH655=1,(CK655+CI655)/2,IF(LEFT(Cockpit!$I$5,1)="B",(CK655+AV655)/2,MAX((CK655+AV655)/2,H655))))</f>
        <v>1</v>
      </c>
      <c r="AU655" s="50" t="n">
        <f aca="false">AT655*G655</f>
        <v>42.14</v>
      </c>
      <c r="AV655" s="50" t="n">
        <f aca="false">ROUNDUP(CK655+MAX(CL655,2*(J655/IF(CG655&gt;0,CG655,MAX(0.1,N(Cockpit!$I$6)))-CK655)),0)</f>
        <v>2</v>
      </c>
      <c r="AW655" s="51" t="n">
        <f aca="false">IF(AS655&gt;0,J655/AS655,-1)</f>
        <v>0.335483870967742</v>
      </c>
      <c r="AX655" s="51" t="n">
        <f aca="false">IF(AND(OR(CF655="L1",CF655="L23",CF655="LIFT"),AS655&gt;0),SUMIFS($AS$7:$AS$1843,$CF$7:$CF$1843,CF655,$AW$7:$AW$1843,"&gt;"&amp;AW655)+SUMIFS($AS$7:$AS$1843,$CF$7:$CF$1843,CF655,$AW$7:$AW$1843,AW655,$BW$7:$BW$1843,"&lt;="&amp;BW655),"")</f>
        <v>13714.1955128205</v>
      </c>
      <c r="AY655" s="58" t="n">
        <f aca="false">IF(AX655="",0,MAX(0,MIN(1,(IF(CF655="L1",Parameter!$H$5,IF(CF655="L23",Parameter!$H$6+Parameter!$H$7,Parameter!$H$5+Parameter!$H$6+Parameter!$H$7))-(AX655-AS655))/AS655)))</f>
        <v>1</v>
      </c>
      <c r="AZ655" s="50" t="n">
        <f aca="false">IF(LEFT(Cockpit!$O$5,1)="A",H655,IF(Parameter!$E$30="MAX-Bestand",IF(CH655=1,CI655,IF(LEFT(Cockpit!$O$5,1)="B",BF655,MAX(BF655,H655))),ROUNDUP(BD655,0)))</f>
        <v>1</v>
      </c>
      <c r="BA655" s="50" t="n">
        <f aca="false">IF(BZ655=1,0,ROUNDUP(AZ655/BY655,0))</f>
        <v>1</v>
      </c>
      <c r="BB655" s="52" t="n">
        <f aca="false">IF(CQ655&gt;0,CQ655*MAX(1,AZ655/X655),IF(BZ655=1,IF(AZ655&lt;=0,0,CD655*MAX(1,IF(H655&gt;0,AZ655/H655,1))),IF(R655&gt;0,BA655/R655,0))/MAX(0.1,N(Parameter!$M$21)))</f>
        <v>0.0384615384615385</v>
      </c>
      <c r="BC655" s="50" t="n">
        <f aca="false">BB655*CB655</f>
        <v>5.96153846153846</v>
      </c>
      <c r="BD655" s="51" t="n">
        <f aca="false">IF(LEFT(Cockpit!$O$5,1)="A",H655,IF(CH655=1,(CK655+CI655)/2,IF(LEFT(Cockpit!$O$5,1)="B",(CK655+BF655)/2,MAX((CK655+BF655)/2,H655))))</f>
        <v>0.5</v>
      </c>
      <c r="BE655" s="50" t="n">
        <f aca="false">BD655*G655</f>
        <v>21.07</v>
      </c>
      <c r="BF655" s="50" t="n">
        <f aca="false">ROUNDUP(CK655+MAX(CL655,2*(J655/IF(CG655&gt;0,CG655,MAX(0.1,N(Cockpit!$O$6)))-CK655)),0)</f>
        <v>1</v>
      </c>
      <c r="BG655" s="51" t="n">
        <f aca="false">IF(BC655&gt;0,J655/BC655,-1)</f>
        <v>0.335483870967742</v>
      </c>
      <c r="BH655" s="51" t="n">
        <f aca="false">IF(AND(OR(CF655="L1",CF655="L23",CF655="LIFT"),BC655&gt;0),SUMIFS($BC$7:$BC$1843,$CF$7:$CF$1843,CF655,$BG$7:$BG$1843,"&gt;"&amp;BG655)+SUMIFS($BC$7:$BC$1843,$CF$7:$CF$1843,CF655,$BG$7:$BG$1843,BG655,$BW$7:$BW$1843,"&lt;="&amp;BW655),"")</f>
        <v>11568.1350732601</v>
      </c>
      <c r="BI655" s="58" t="n">
        <f aca="false">IF(BH655="",0,MAX(0,MIN(1,(IF(CF655="L1",Parameter!$H$5,IF(CF655="L23",Parameter!$H$6+Parameter!$H$7,Parameter!$H$5+Parameter!$H$6+Parameter!$H$7))-(BH655-BC655))/BC655)))</f>
        <v>1</v>
      </c>
      <c r="BJ655" s="48" t="str">
        <f aca="false">IF(AI655&lt;=0,"",IF(CF655="Aussen","Aussenlager",IF(CF655="-","Nicht im Lift",IF(AO655&gt;=1,"Lift",IF(AO655&lt;=0,"Aussenlager","teilweise")))))</f>
        <v/>
      </c>
      <c r="BK655" s="48" t="str">
        <f aca="false">IF(AS655&lt;=0,"",IF(CF655="Aussen","Aussenlager",IF(CF655="-","Nicht im Lift",IF(AY655&gt;=1,"Lift",IF(AY655&lt;=0,"Aussenlager","teilweise")))))</f>
        <v>Lift</v>
      </c>
      <c r="BL655" s="48" t="str">
        <f aca="false">IF(BC655&lt;=0,"",IF(CF655="Aussen","Aussenlager",IF(CF655="-","Nicht im Lift",IF(BI655&gt;=1,"Lift",IF(BI655&lt;=0,"Aussenlager","teilweise")))))</f>
        <v>Lift</v>
      </c>
      <c r="BM655" s="48" t="str">
        <f aca="false">IF(A655="","",IF(BV655=1,"Neu; ","")&amp;IF(AND(BV655=0,BQ655&lt;0),"negativer Bestand (Export "&amp;BQ655&amp;"); ","")&amp;IF(J655&lt;=0,"Kein Verbrauch; ","")&amp;IF(CQ655&gt;0,"Lift "&amp;W655&amp;" lt. Liftbericht (Fach "&amp;X655&amp;" Stk); ",IF(CA655=1,"Gebinde geschätzt ("&amp;T655&amp;"); ",IF(BZ655=1,"Lose – Tablare geschätzt; ","")))&amp;IF(H655&gt;AV655,"Überbestand "&amp;ROUND(H655-AV655,0)&amp;" Stk / CHF "&amp;ROUND((H655-AV655)*G655,0)&amp;"; ","")&amp;IF(AND(CH655=1,CI655&lt;CJ655),"MAX &lt; MB+LG; ","")&amp;IF(AND(CP655&gt;0,CO655*10&gt;CP655),"zu hoch für Tablar; ","")&amp;IF(AND(BV655=0,OR(CH655=1,AA655&lt;&gt;"",U655&lt;&gt;"",V655&lt;&gt;"",AB655&lt;&gt;"")),"manuell übersteuert; ","")&amp;IF(AND(BZ655=0,R655=0),"Gebinde unbekannt / Stellmass fehlt; ","")&amp;IF(AND(BZ655=0,N(V655)&lt;=0,N(Q655)&lt;=0),"Menge pro Gebinde fehlt (Ist = 1 Gebinde); ","")&amp;BU655)</f>
        <v>Gebinde geschätzt (Klein); Menge pro Gebinde fehlt (Ist = 1 Gebinde); </v>
      </c>
      <c r="BN655" s="48"/>
      <c r="BO655" s="48"/>
      <c r="BP655" s="55"/>
      <c r="BQ655" s="50" t="n">
        <v>0</v>
      </c>
      <c r="BR655" s="50" t="n">
        <v>0</v>
      </c>
      <c r="BS655" s="49" t="n">
        <v>1.13686837721616E-013</v>
      </c>
      <c r="BT655" s="50" t="n">
        <v>2</v>
      </c>
      <c r="BU655" s="48"/>
      <c r="BV655" s="53" t="n">
        <v>0</v>
      </c>
      <c r="BW655" s="53" t="n">
        <v>655</v>
      </c>
      <c r="BX655" s="48" t="str">
        <f aca="false">IF(U655&lt;&gt;"",UPPER(TRIM(U655)),IF(CA655=1,UPPER(VLOOKUP(T655,Parameter!$I$27:$K$29,2,0)),IF(P655="","LOSE",P655)))</f>
        <v>S51</v>
      </c>
      <c r="BY655" s="50" t="n">
        <f aca="false">IF(BX655="LOSE",1,IF(N(V655)&gt;0,V655,IF(CA655=1,MAX(1,N(VLOOKUP(T655,Parameter!$I$27:$K$29,3,0)),H655,N(N655)),IF(N(Q655)&gt;0,Q655,MAX(1,H655)))))</f>
        <v>20</v>
      </c>
      <c r="BZ655" s="53" t="n">
        <f aca="false">IF(BX655="LOSE",1,0)</f>
        <v>0</v>
      </c>
      <c r="CA655" s="53" t="n">
        <f aca="false">IF(AND(U655="",OR(P655="",P655="LOSE"),T655&lt;&gt;"",N(S655)&lt;=0,ISNUMBER(MATCH(T655,Parameter!$I$27:$I$29,0))),1,0)</f>
        <v>1</v>
      </c>
      <c r="CB655" s="53" t="n">
        <f aca="false">IF(CQ655&gt;0,INDEX(Parameter!$H$5:$H$7,W655)/INDEX(Parameter!$E$5:$E$7,W655),IF(AND(BZ655=0,N(IFERROR(VLOOKUP(BX655,'Gebinde-Kategorie'!$A$5:$N$45,14,0),0))&gt;0),VLOOKUP(BX655,'Gebinde-Kategorie'!$A$5:$N$45,14,0)*10+Parameter!$M$23,Parameter!$M$24))</f>
        <v>155</v>
      </c>
      <c r="CC655" s="48" t="str">
        <f aca="false">IF(AND(Parameter!$B$19="Ja",E655&lt;&gt;"",ISNUMBER(MATCH(E655,Parameter!$I$35:$I$52,0))),VLOOKUP(E655,Parameter!$I$35:$J$52,2,0),IFERROR(VLOOKUP(D655,Parameter!$A$35:$C$64,2,0),"Nein"))</f>
        <v>2+3</v>
      </c>
      <c r="CD655" s="52" t="n">
        <f aca="false">IF(BZ655=0,0,IF(N(S655)&gt;0,S655,IFERROR(VLOOKUP(D655,Parameter!$A$35:$C$64,3,0)+0,0)))</f>
        <v>0</v>
      </c>
      <c r="CE655" s="48" t="n">
        <f aca="false">IF(AA655&lt;&gt;"",AA655,Z655)</f>
        <v>3</v>
      </c>
      <c r="CF655" s="48" t="str">
        <f aca="false">IF(OR(CE655=1,CE655=2,CE655=3),IF(Parameter!$E$27="Ja","LIFT",IF(CE655=1,"L1","L23")),IF(CE655="Aussen","Aussen","-"))</f>
        <v>LIFT</v>
      </c>
      <c r="CG655" s="59" t="n">
        <f aca="false">IF(N(AB655)&gt;0,AB655,0)</f>
        <v>0</v>
      </c>
      <c r="CH655" s="53" t="n">
        <f aca="false">IF(ISNUMBER(AE655),1,0)</f>
        <v>0</v>
      </c>
      <c r="CI655" s="50" t="n">
        <f aca="false">N(AE655)</f>
        <v>0</v>
      </c>
      <c r="CJ655" s="50" t="n">
        <f aca="false">N(M655)+N(N655)</f>
        <v>1</v>
      </c>
      <c r="CK655" s="50" t="n">
        <f aca="false">N(M655)</f>
        <v>0</v>
      </c>
      <c r="CL655" s="50" t="n">
        <f aca="false">N(N655)</f>
        <v>1</v>
      </c>
      <c r="CM655" s="50" t="n">
        <f aca="false">ROUNDUP(H655/BY655,0)</f>
        <v>0</v>
      </c>
      <c r="CN655" s="50" t="n">
        <f aca="false">ROUNDUP(CI655/BY655,0)</f>
        <v>0</v>
      </c>
      <c r="CO655" s="53" t="n">
        <f aca="false">IF(BZ655=1,0,IFERROR(VLOOKUP(BX655,'Gebinde-Kategorie'!$A$5:$N$45,5,0)+0,0))</f>
        <v>11</v>
      </c>
      <c r="CP655" s="53" t="n">
        <f aca="false">IFERROR(IF(OR(CE655=1,CE655=2,CE655=3),N(INDEX(Parameter!$I$5:$I$7,CE655)),0),0)</f>
        <v>0</v>
      </c>
      <c r="CQ655" s="52" t="n">
        <f aca="false">IF(AND(Parameter!$B$21="Ja",ISNUMBER(W655),N(X655)&gt;0),IFERROR(N(INDEX(Parameter!$L$5:$L$7,W655))*INDEX(Parameter!$E$5:$E$7,W655)*X655/SUMIFS($X$7:$X$1843,$W$7:$W$1843,W655),0),0)</f>
        <v>0</v>
      </c>
    </row>
    <row r="656" customFormat="false" ht="15" hidden="false" customHeight="false" outlineLevel="0" collapsed="false">
      <c r="A656" s="48" t="s">
        <v>1334</v>
      </c>
      <c r="B656" s="48" t="s">
        <v>518</v>
      </c>
      <c r="C656" s="48" t="s">
        <v>173</v>
      </c>
      <c r="D656" s="48" t="s">
        <v>182</v>
      </c>
      <c r="E656" s="48" t="s">
        <v>182</v>
      </c>
      <c r="F656" s="48" t="s">
        <v>227</v>
      </c>
      <c r="G656" s="49" t="n">
        <v>444.6</v>
      </c>
      <c r="H656" s="50" t="n">
        <f aca="false">MAX(0,IF(AND(Parameter!$B$21="Ja",ISNUMBER(Y656)),Y656,IF(Parameter!$B$20="Jahresanfang 2025 + Export",BR656+BQ656,BQ656)))</f>
        <v>0</v>
      </c>
      <c r="I656" s="50" t="n">
        <f aca="false">H656*G656</f>
        <v>0</v>
      </c>
      <c r="J656" s="50" t="n">
        <f aca="false">BT656*Parameter!$B$18</f>
        <v>2</v>
      </c>
      <c r="K656" s="51" t="n">
        <v>0</v>
      </c>
      <c r="L656" s="52" t="n">
        <v>0</v>
      </c>
      <c r="M656" s="50" t="n">
        <v>0</v>
      </c>
      <c r="N656" s="50" t="n">
        <v>1</v>
      </c>
      <c r="O656" s="53" t="n">
        <v>42</v>
      </c>
      <c r="P656" s="48" t="s">
        <v>177</v>
      </c>
      <c r="Q656" s="50"/>
      <c r="R656" s="53" t="n">
        <f aca="false">IF(BZ656=1,0,IFERROR(VLOOKUP(BX656,'Gebinde-Kategorie'!$A$5:$N$45,13,0)+0,0))</f>
        <v>12</v>
      </c>
      <c r="S656" s="54"/>
      <c r="T656" s="55" t="s">
        <v>188</v>
      </c>
      <c r="U656" s="55"/>
      <c r="V656" s="55"/>
      <c r="W656" s="48"/>
      <c r="X656" s="50"/>
      <c r="Y656" s="50"/>
      <c r="Z656" s="48" t="str">
        <f aca="false">IF(A656="","",IF(AND(Parameter!$B$21="Ja",ISNUMBER(W656)),W656,IF(CC656="2+3",IF(ISNUMBER(SEARCH("grosser Artikel",BU656)),2,IFERROR(VLOOKUP(BX656,Parameter!$F$35:$G$64,2,0),2)),IF(OR(CC656="Nein",CC656=""),"-",CC656))))</f>
        <v>-</v>
      </c>
      <c r="AA656" s="55"/>
      <c r="AB656" s="56"/>
      <c r="AC656" s="50" t="n">
        <f aca="false">AV656</f>
        <v>2</v>
      </c>
      <c r="AD656" s="50" t="n">
        <f aca="false">MAX(AV656,H656)</f>
        <v>2</v>
      </c>
      <c r="AE656" s="57"/>
      <c r="AF656" s="50" t="n">
        <f aca="false">IF(LEFT(Cockpit!$C$5,1)="A",H656,IF(Parameter!$E$30="MAX-Bestand",IF(CH656=1,CI656,IF(LEFT(Cockpit!$C$5,1)="B",AL656,MAX(AL656,H656))),ROUNDUP(AJ656,0)))</f>
        <v>0</v>
      </c>
      <c r="AG656" s="50" t="n">
        <f aca="false">IF(BZ656=1,0,ROUNDUP(AF656/BY656,0))</f>
        <v>0</v>
      </c>
      <c r="AH656" s="52" t="n">
        <f aca="false">IF(CQ656&gt;0,CQ656*MAX(1,AF656/X656),IF(BZ656=1,IF(AF656&lt;=0,0,CD656*MAX(1,IF(H656&gt;0,AF656/H656,1))),IF(R656&gt;0,AG656/R656,0))/MAX(0.1,N(Parameter!$M$21)))</f>
        <v>0</v>
      </c>
      <c r="AI656" s="50" t="n">
        <f aca="false">AH656*CB656</f>
        <v>0</v>
      </c>
      <c r="AJ656" s="51" t="n">
        <f aca="false">IF(LEFT(Cockpit!$C$5,1)="A",H656,IF(CH656=1,(CK656+CI656)/2,IF(LEFT(Cockpit!$C$5,1)="B",(CK656+AL656)/2,MAX((CK656+AL656)/2,H656))))</f>
        <v>0</v>
      </c>
      <c r="AK656" s="50" t="n">
        <f aca="false">AJ656*G656</f>
        <v>0</v>
      </c>
      <c r="AL656" s="50" t="n">
        <f aca="false">ROUNDUP(CK656+MAX(CL656,2*(J656/IF(CG656&gt;0,CG656,MAX(0.1,N(Cockpit!$C$6)))-CK656)),0)</f>
        <v>2</v>
      </c>
      <c r="AM656" s="51" t="n">
        <f aca="false">IF(AI656&gt;0,J656/AI656,-1)</f>
        <v>-1</v>
      </c>
      <c r="AN656" s="51" t="str">
        <f aca="false">IF(AND(OR(CF656="L1",CF656="L23",CF656="LIFT"),AI656&gt;0),SUMIFS($AI$7:$AI$1843,$CF$7:$CF$1843,CF656,$AM$7:$AM$1843,"&gt;"&amp;AM656)+SUMIFS($AI$7:$AI$1843,$CF$7:$CF$1843,CF656,$AM$7:$AM$1843,AM656,$BW$7:$BW$1843,"&lt;="&amp;BW656),"")</f>
        <v/>
      </c>
      <c r="AO656" s="58" t="n">
        <f aca="false">IF(AN656="",0,MAX(0,MIN(1,(IF(CF656="L1",Parameter!$H$5,IF(CF656="L23",Parameter!$H$6+Parameter!$H$7,Parameter!$H$5+Parameter!$H$6+Parameter!$H$7))-(AN656-AI656))/AI656)))</f>
        <v>0</v>
      </c>
      <c r="AP656" s="50" t="n">
        <f aca="false">IF(LEFT(Cockpit!$I$5,1)="A",H656,IF(Parameter!$E$30="MAX-Bestand",IF(CH656=1,CI656,IF(LEFT(Cockpit!$I$5,1)="B",AV656,MAX(AV656,H656))),ROUNDUP(AT656,0)))</f>
        <v>1</v>
      </c>
      <c r="AQ656" s="50" t="n">
        <f aca="false">IF(BZ656=1,0,ROUNDUP(AP656/BY656,0))</f>
        <v>1</v>
      </c>
      <c r="AR656" s="52" t="n">
        <f aca="false">IF(CQ656&gt;0,CQ656*MAX(1,AP656/X656),IF(BZ656=1,IF(AP656&lt;=0,0,CD656*MAX(1,IF(H656&gt;0,AP656/H656,1))),IF(R656&gt;0,AQ656/R656,0))/MAX(0.1,N(Parameter!$M$21)))</f>
        <v>0.0833333333333333</v>
      </c>
      <c r="AS656" s="50" t="n">
        <f aca="false">AR656*CB656</f>
        <v>12.0833333333333</v>
      </c>
      <c r="AT656" s="51" t="n">
        <f aca="false">IF(LEFT(Cockpit!$I$5,1)="A",H656,IF(CH656=1,(CK656+CI656)/2,IF(LEFT(Cockpit!$I$5,1)="B",(CK656+AV656)/2,MAX((CK656+AV656)/2,H656))))</f>
        <v>1</v>
      </c>
      <c r="AU656" s="50" t="n">
        <f aca="false">AT656*G656</f>
        <v>444.6</v>
      </c>
      <c r="AV656" s="50" t="n">
        <f aca="false">ROUNDUP(CK656+MAX(CL656,2*(J656/IF(CG656&gt;0,CG656,MAX(0.1,N(Cockpit!$I$6)))-CK656)),0)</f>
        <v>2</v>
      </c>
      <c r="AW656" s="51" t="n">
        <f aca="false">IF(AS656&gt;0,J656/AS656,-1)</f>
        <v>0.16551724137931</v>
      </c>
      <c r="AX656" s="51" t="str">
        <f aca="false">IF(AND(OR(CF656="L1",CF656="L23",CF656="LIFT"),AS656&gt;0),SUMIFS($AS$7:$AS$1843,$CF$7:$CF$1843,CF656,$AW$7:$AW$1843,"&gt;"&amp;AW656)+SUMIFS($AS$7:$AS$1843,$CF$7:$CF$1843,CF656,$AW$7:$AW$1843,AW656,$BW$7:$BW$1843,"&lt;="&amp;BW656),"")</f>
        <v/>
      </c>
      <c r="AY656" s="58" t="n">
        <f aca="false">IF(AX656="",0,MAX(0,MIN(1,(IF(CF656="L1",Parameter!$H$5,IF(CF656="L23",Parameter!$H$6+Parameter!$H$7,Parameter!$H$5+Parameter!$H$6+Parameter!$H$7))-(AX656-AS656))/AS656)))</f>
        <v>0</v>
      </c>
      <c r="AZ656" s="50" t="n">
        <f aca="false">IF(LEFT(Cockpit!$O$5,1)="A",H656,IF(Parameter!$E$30="MAX-Bestand",IF(CH656=1,CI656,IF(LEFT(Cockpit!$O$5,1)="B",BF656,MAX(BF656,H656))),ROUNDUP(BD656,0)))</f>
        <v>1</v>
      </c>
      <c r="BA656" s="50" t="n">
        <f aca="false">IF(BZ656=1,0,ROUNDUP(AZ656/BY656,0))</f>
        <v>1</v>
      </c>
      <c r="BB656" s="52" t="n">
        <f aca="false">IF(CQ656&gt;0,CQ656*MAX(1,AZ656/X656),IF(BZ656=1,IF(AZ656&lt;=0,0,CD656*MAX(1,IF(H656&gt;0,AZ656/H656,1))),IF(R656&gt;0,BA656/R656,0))/MAX(0.1,N(Parameter!$M$21)))</f>
        <v>0.0833333333333333</v>
      </c>
      <c r="BC656" s="50" t="n">
        <f aca="false">BB656*CB656</f>
        <v>12.0833333333333</v>
      </c>
      <c r="BD656" s="51" t="n">
        <f aca="false">IF(LEFT(Cockpit!$O$5,1)="A",H656,IF(CH656=1,(CK656+CI656)/2,IF(LEFT(Cockpit!$O$5,1)="B",(CK656+BF656)/2,MAX((CK656+BF656)/2,H656))))</f>
        <v>0.5</v>
      </c>
      <c r="BE656" s="50" t="n">
        <f aca="false">BD656*G656</f>
        <v>222.3</v>
      </c>
      <c r="BF656" s="50" t="n">
        <f aca="false">ROUNDUP(CK656+MAX(CL656,2*(J656/IF(CG656&gt;0,CG656,MAX(0.1,N(Cockpit!$O$6)))-CK656)),0)</f>
        <v>1</v>
      </c>
      <c r="BG656" s="51" t="n">
        <f aca="false">IF(BC656&gt;0,J656/BC656,-1)</f>
        <v>0.16551724137931</v>
      </c>
      <c r="BH656" s="51" t="str">
        <f aca="false">IF(AND(OR(CF656="L1",CF656="L23",CF656="LIFT"),BC656&gt;0),SUMIFS($BC$7:$BC$1843,$CF$7:$CF$1843,CF656,$BG$7:$BG$1843,"&gt;"&amp;BG656)+SUMIFS($BC$7:$BC$1843,$CF$7:$CF$1843,CF656,$BG$7:$BG$1843,BG656,$BW$7:$BW$1843,"&lt;="&amp;BW656),"")</f>
        <v/>
      </c>
      <c r="BI656" s="58" t="n">
        <f aca="false">IF(BH656="",0,MAX(0,MIN(1,(IF(CF656="L1",Parameter!$H$5,IF(CF656="L23",Parameter!$H$6+Parameter!$H$7,Parameter!$H$5+Parameter!$H$6+Parameter!$H$7))-(BH656-BC656))/BC656)))</f>
        <v>0</v>
      </c>
      <c r="BJ656" s="48" t="str">
        <f aca="false">IF(AI656&lt;=0,"",IF(CF656="Aussen","Aussenlager",IF(CF656="-","Nicht im Lift",IF(AO656&gt;=1,"Lift",IF(AO656&lt;=0,"Aussenlager","teilweise")))))</f>
        <v/>
      </c>
      <c r="BK656" s="48" t="str">
        <f aca="false">IF(AS656&lt;=0,"",IF(CF656="Aussen","Aussenlager",IF(CF656="-","Nicht im Lift",IF(AY656&gt;=1,"Lift",IF(AY656&lt;=0,"Aussenlager","teilweise")))))</f>
        <v>Nicht im Lift</v>
      </c>
      <c r="BL656" s="48" t="str">
        <f aca="false">IF(BC656&lt;=0,"",IF(CF656="Aussen","Aussenlager",IF(CF656="-","Nicht im Lift",IF(BI656&gt;=1,"Lift",IF(BI656&lt;=0,"Aussenlager","teilweise")))))</f>
        <v>Nicht im Lift</v>
      </c>
      <c r="BM656" s="48" t="str">
        <f aca="false">IF(A656="","",IF(BV656=1,"Neu; ","")&amp;IF(AND(BV656=0,BQ656&lt;0),"negativer Bestand (Export "&amp;BQ656&amp;"); ","")&amp;IF(J656&lt;=0,"Kein Verbrauch; ","")&amp;IF(CQ656&gt;0,"Lift "&amp;W656&amp;" lt. Liftbericht (Fach "&amp;X656&amp;" Stk); ",IF(CA656=1,"Gebinde geschätzt ("&amp;T656&amp;"); ",IF(BZ656=1,"Lose – Tablare geschätzt; ","")))&amp;IF(H656&gt;AV656,"Überbestand "&amp;ROUND(H656-AV656,0)&amp;" Stk / CHF "&amp;ROUND((H656-AV656)*G656,0)&amp;"; ","")&amp;IF(AND(CH656=1,CI656&lt;CJ656),"MAX &lt; MB+LG; ","")&amp;IF(AND(CP656&gt;0,CO656*10&gt;CP656),"zu hoch für Tablar; ","")&amp;IF(AND(BV656=0,OR(CH656=1,AA656&lt;&gt;"",U656&lt;&gt;"",V656&lt;&gt;"",AB656&lt;&gt;"")),"manuell übersteuert; ","")&amp;IF(AND(BZ656=0,R656=0),"Gebinde unbekannt / Stellmass fehlt; ","")&amp;IF(AND(BZ656=0,N(V656)&lt;=0,N(Q656)&lt;=0),"Menge pro Gebinde fehlt (Ist = 1 Gebinde); ","")&amp;BU656)</f>
        <v>Gebinde geschätzt (Mittel); Menge pro Gebinde fehlt (Ist = 1 Gebinde); </v>
      </c>
      <c r="BN656" s="48"/>
      <c r="BO656" s="48"/>
      <c r="BP656" s="55"/>
      <c r="BQ656" s="50" t="n">
        <v>0</v>
      </c>
      <c r="BR656" s="50" t="n">
        <v>0</v>
      </c>
      <c r="BS656" s="49" t="n">
        <v>1.13686837721616E-013</v>
      </c>
      <c r="BT656" s="50" t="n">
        <v>2</v>
      </c>
      <c r="BU656" s="48"/>
      <c r="BV656" s="53" t="n">
        <v>0</v>
      </c>
      <c r="BW656" s="53" t="n">
        <v>656</v>
      </c>
      <c r="BX656" s="48" t="str">
        <f aca="false">IF(U656&lt;&gt;"",UPPER(TRIM(U656)),IF(CA656=1,UPPER(VLOOKUP(T656,Parameter!$I$27:$K$29,2,0)),IF(P656="","LOSE",P656)))</f>
        <v>S61</v>
      </c>
      <c r="BY656" s="50" t="n">
        <f aca="false">IF(BX656="LOSE",1,IF(N(V656)&gt;0,V656,IF(CA656=1,MAX(1,N(VLOOKUP(T656,Parameter!$I$27:$K$29,3,0)),H656,N(N656)),IF(N(Q656)&gt;0,Q656,MAX(1,H656)))))</f>
        <v>4</v>
      </c>
      <c r="BZ656" s="53" t="n">
        <f aca="false">IF(BX656="LOSE",1,0)</f>
        <v>0</v>
      </c>
      <c r="CA656" s="53" t="n">
        <f aca="false">IF(AND(U656="",OR(P656="",P656="LOSE"),T656&lt;&gt;"",N(S656)&lt;=0,ISNUMBER(MATCH(T656,Parameter!$I$27:$I$29,0))),1,0)</f>
        <v>1</v>
      </c>
      <c r="CB656" s="53" t="n">
        <f aca="false">IF(CQ656&gt;0,INDEX(Parameter!$H$5:$H$7,W656)/INDEX(Parameter!$E$5:$E$7,W656),IF(AND(BZ656=0,N(IFERROR(VLOOKUP(BX656,'Gebinde-Kategorie'!$A$5:$N$45,14,0),0))&gt;0),VLOOKUP(BX656,'Gebinde-Kategorie'!$A$5:$N$45,14,0)*10+Parameter!$M$23,Parameter!$M$24))</f>
        <v>145</v>
      </c>
      <c r="CC656" s="48" t="str">
        <f aca="false">IF(AND(Parameter!$B$19="Ja",E656&lt;&gt;"",ISNUMBER(MATCH(E656,Parameter!$I$35:$I$52,0))),VLOOKUP(E656,Parameter!$I$35:$J$52,2,0),IFERROR(VLOOKUP(D656,Parameter!$A$35:$C$64,2,0),"Nein"))</f>
        <v>Nein</v>
      </c>
      <c r="CD656" s="52" t="n">
        <f aca="false">IF(BZ656=0,0,IF(N(S656)&gt;0,S656,IFERROR(VLOOKUP(D656,Parameter!$A$35:$C$64,3,0)+0,0)))</f>
        <v>0</v>
      </c>
      <c r="CE656" s="48" t="str">
        <f aca="false">IF(AA656&lt;&gt;"",AA656,Z656)</f>
        <v>-</v>
      </c>
      <c r="CF656" s="48" t="str">
        <f aca="false">IF(OR(CE656=1,CE656=2,CE656=3),IF(Parameter!$E$27="Ja","LIFT",IF(CE656=1,"L1","L23")),IF(CE656="Aussen","Aussen","-"))</f>
        <v>-</v>
      </c>
      <c r="CG656" s="59" t="n">
        <f aca="false">IF(N(AB656)&gt;0,AB656,0)</f>
        <v>0</v>
      </c>
      <c r="CH656" s="53" t="n">
        <f aca="false">IF(ISNUMBER(AE656),1,0)</f>
        <v>0</v>
      </c>
      <c r="CI656" s="50" t="n">
        <f aca="false">N(AE656)</f>
        <v>0</v>
      </c>
      <c r="CJ656" s="50" t="n">
        <f aca="false">N(M656)+N(N656)</f>
        <v>1</v>
      </c>
      <c r="CK656" s="50" t="n">
        <f aca="false">N(M656)</f>
        <v>0</v>
      </c>
      <c r="CL656" s="50" t="n">
        <f aca="false">N(N656)</f>
        <v>1</v>
      </c>
      <c r="CM656" s="50" t="n">
        <f aca="false">ROUNDUP(H656/BY656,0)</f>
        <v>0</v>
      </c>
      <c r="CN656" s="50" t="n">
        <f aca="false">ROUNDUP(CI656/BY656,0)</f>
        <v>0</v>
      </c>
      <c r="CO656" s="53" t="n">
        <f aca="false">IF(BZ656=1,0,IFERROR(VLOOKUP(BX656,'Gebinde-Kategorie'!$A$5:$N$45,5,0)+0,0))</f>
        <v>11</v>
      </c>
      <c r="CP656" s="53" t="n">
        <f aca="false">IFERROR(IF(OR(CE656=1,CE656=2,CE656=3),N(INDEX(Parameter!$I$5:$I$7,CE656)),0),0)</f>
        <v>0</v>
      </c>
      <c r="CQ656" s="52" t="n">
        <f aca="false">IF(AND(Parameter!$B$21="Ja",ISNUMBER(W656),N(X656)&gt;0),IFERROR(N(INDEX(Parameter!$L$5:$L$7,W656))*INDEX(Parameter!$E$5:$E$7,W656)*X656/SUMIFS($X$7:$X$1843,$W$7:$W$1843,W656),0),0)</f>
        <v>0</v>
      </c>
    </row>
    <row r="657" customFormat="false" ht="15" hidden="false" customHeight="false" outlineLevel="0" collapsed="false">
      <c r="A657" s="48" t="s">
        <v>1335</v>
      </c>
      <c r="B657" s="48" t="s">
        <v>707</v>
      </c>
      <c r="C657" s="48" t="s">
        <v>173</v>
      </c>
      <c r="D657" s="48" t="s">
        <v>182</v>
      </c>
      <c r="E657" s="48" t="s">
        <v>182</v>
      </c>
      <c r="F657" s="48" t="s">
        <v>227</v>
      </c>
      <c r="G657" s="49" t="n">
        <v>444.6</v>
      </c>
      <c r="H657" s="50" t="n">
        <f aca="false">MAX(0,IF(AND(Parameter!$B$21="Ja",ISNUMBER(Y657)),Y657,IF(Parameter!$B$20="Jahresanfang 2025 + Export",BR657+BQ657,BQ657)))</f>
        <v>0</v>
      </c>
      <c r="I657" s="50" t="n">
        <f aca="false">H657*G657</f>
        <v>0</v>
      </c>
      <c r="J657" s="50" t="n">
        <f aca="false">BT657*Parameter!$B$18</f>
        <v>2</v>
      </c>
      <c r="K657" s="51" t="n">
        <v>0</v>
      </c>
      <c r="L657" s="52" t="n">
        <v>0</v>
      </c>
      <c r="M657" s="50" t="n">
        <v>0</v>
      </c>
      <c r="N657" s="50" t="n">
        <v>1</v>
      </c>
      <c r="O657" s="53" t="n">
        <v>42</v>
      </c>
      <c r="P657" s="48" t="s">
        <v>177</v>
      </c>
      <c r="Q657" s="50"/>
      <c r="R657" s="53" t="n">
        <f aca="false">IF(BZ657=1,0,IFERROR(VLOOKUP(BX657,'Gebinde-Kategorie'!$A$5:$N$45,13,0)+0,0))</f>
        <v>12</v>
      </c>
      <c r="S657" s="54"/>
      <c r="T657" s="55" t="s">
        <v>188</v>
      </c>
      <c r="U657" s="55"/>
      <c r="V657" s="55"/>
      <c r="W657" s="48"/>
      <c r="X657" s="50"/>
      <c r="Y657" s="50"/>
      <c r="Z657" s="48" t="str">
        <f aca="false">IF(A657="","",IF(AND(Parameter!$B$21="Ja",ISNUMBER(W657)),W657,IF(CC657="2+3",IF(ISNUMBER(SEARCH("grosser Artikel",BU657)),2,IFERROR(VLOOKUP(BX657,Parameter!$F$35:$G$64,2,0),2)),IF(OR(CC657="Nein",CC657=""),"-",CC657))))</f>
        <v>-</v>
      </c>
      <c r="AA657" s="55"/>
      <c r="AB657" s="56"/>
      <c r="AC657" s="50" t="n">
        <f aca="false">AV657</f>
        <v>2</v>
      </c>
      <c r="AD657" s="50" t="n">
        <f aca="false">MAX(AV657,H657)</f>
        <v>2</v>
      </c>
      <c r="AE657" s="57"/>
      <c r="AF657" s="50" t="n">
        <f aca="false">IF(LEFT(Cockpit!$C$5,1)="A",H657,IF(Parameter!$E$30="MAX-Bestand",IF(CH657=1,CI657,IF(LEFT(Cockpit!$C$5,1)="B",AL657,MAX(AL657,H657))),ROUNDUP(AJ657,0)))</f>
        <v>0</v>
      </c>
      <c r="AG657" s="50" t="n">
        <f aca="false">IF(BZ657=1,0,ROUNDUP(AF657/BY657,0))</f>
        <v>0</v>
      </c>
      <c r="AH657" s="52" t="n">
        <f aca="false">IF(CQ657&gt;0,CQ657*MAX(1,AF657/X657),IF(BZ657=1,IF(AF657&lt;=0,0,CD657*MAX(1,IF(H657&gt;0,AF657/H657,1))),IF(R657&gt;0,AG657/R657,0))/MAX(0.1,N(Parameter!$M$21)))</f>
        <v>0</v>
      </c>
      <c r="AI657" s="50" t="n">
        <f aca="false">AH657*CB657</f>
        <v>0</v>
      </c>
      <c r="AJ657" s="51" t="n">
        <f aca="false">IF(LEFT(Cockpit!$C$5,1)="A",H657,IF(CH657=1,(CK657+CI657)/2,IF(LEFT(Cockpit!$C$5,1)="B",(CK657+AL657)/2,MAX((CK657+AL657)/2,H657))))</f>
        <v>0</v>
      </c>
      <c r="AK657" s="50" t="n">
        <f aca="false">AJ657*G657</f>
        <v>0</v>
      </c>
      <c r="AL657" s="50" t="n">
        <f aca="false">ROUNDUP(CK657+MAX(CL657,2*(J657/IF(CG657&gt;0,CG657,MAX(0.1,N(Cockpit!$C$6)))-CK657)),0)</f>
        <v>2</v>
      </c>
      <c r="AM657" s="51" t="n">
        <f aca="false">IF(AI657&gt;0,J657/AI657,-1)</f>
        <v>-1</v>
      </c>
      <c r="AN657" s="51" t="str">
        <f aca="false">IF(AND(OR(CF657="L1",CF657="L23",CF657="LIFT"),AI657&gt;0),SUMIFS($AI$7:$AI$1843,$CF$7:$CF$1843,CF657,$AM$7:$AM$1843,"&gt;"&amp;AM657)+SUMIFS($AI$7:$AI$1843,$CF$7:$CF$1843,CF657,$AM$7:$AM$1843,AM657,$BW$7:$BW$1843,"&lt;="&amp;BW657),"")</f>
        <v/>
      </c>
      <c r="AO657" s="58" t="n">
        <f aca="false">IF(AN657="",0,MAX(0,MIN(1,(IF(CF657="L1",Parameter!$H$5,IF(CF657="L23",Parameter!$H$6+Parameter!$H$7,Parameter!$H$5+Parameter!$H$6+Parameter!$H$7))-(AN657-AI657))/AI657)))</f>
        <v>0</v>
      </c>
      <c r="AP657" s="50" t="n">
        <f aca="false">IF(LEFT(Cockpit!$I$5,1)="A",H657,IF(Parameter!$E$30="MAX-Bestand",IF(CH657=1,CI657,IF(LEFT(Cockpit!$I$5,1)="B",AV657,MAX(AV657,H657))),ROUNDUP(AT657,0)))</f>
        <v>1</v>
      </c>
      <c r="AQ657" s="50" t="n">
        <f aca="false">IF(BZ657=1,0,ROUNDUP(AP657/BY657,0))</f>
        <v>1</v>
      </c>
      <c r="AR657" s="52" t="n">
        <f aca="false">IF(CQ657&gt;0,CQ657*MAX(1,AP657/X657),IF(BZ657=1,IF(AP657&lt;=0,0,CD657*MAX(1,IF(H657&gt;0,AP657/H657,1))),IF(R657&gt;0,AQ657/R657,0))/MAX(0.1,N(Parameter!$M$21)))</f>
        <v>0.0833333333333333</v>
      </c>
      <c r="AS657" s="50" t="n">
        <f aca="false">AR657*CB657</f>
        <v>12.0833333333333</v>
      </c>
      <c r="AT657" s="51" t="n">
        <f aca="false">IF(LEFT(Cockpit!$I$5,1)="A",H657,IF(CH657=1,(CK657+CI657)/2,IF(LEFT(Cockpit!$I$5,1)="B",(CK657+AV657)/2,MAX((CK657+AV657)/2,H657))))</f>
        <v>1</v>
      </c>
      <c r="AU657" s="50" t="n">
        <f aca="false">AT657*G657</f>
        <v>444.6</v>
      </c>
      <c r="AV657" s="50" t="n">
        <f aca="false">ROUNDUP(CK657+MAX(CL657,2*(J657/IF(CG657&gt;0,CG657,MAX(0.1,N(Cockpit!$I$6)))-CK657)),0)</f>
        <v>2</v>
      </c>
      <c r="AW657" s="51" t="n">
        <f aca="false">IF(AS657&gt;0,J657/AS657,-1)</f>
        <v>0.16551724137931</v>
      </c>
      <c r="AX657" s="51" t="str">
        <f aca="false">IF(AND(OR(CF657="L1",CF657="L23",CF657="LIFT"),AS657&gt;0),SUMIFS($AS$7:$AS$1843,$CF$7:$CF$1843,CF657,$AW$7:$AW$1843,"&gt;"&amp;AW657)+SUMIFS($AS$7:$AS$1843,$CF$7:$CF$1843,CF657,$AW$7:$AW$1843,AW657,$BW$7:$BW$1843,"&lt;="&amp;BW657),"")</f>
        <v/>
      </c>
      <c r="AY657" s="58" t="n">
        <f aca="false">IF(AX657="",0,MAX(0,MIN(1,(IF(CF657="L1",Parameter!$H$5,IF(CF657="L23",Parameter!$H$6+Parameter!$H$7,Parameter!$H$5+Parameter!$H$6+Parameter!$H$7))-(AX657-AS657))/AS657)))</f>
        <v>0</v>
      </c>
      <c r="AZ657" s="50" t="n">
        <f aca="false">IF(LEFT(Cockpit!$O$5,1)="A",H657,IF(Parameter!$E$30="MAX-Bestand",IF(CH657=1,CI657,IF(LEFT(Cockpit!$O$5,1)="B",BF657,MAX(BF657,H657))),ROUNDUP(BD657,0)))</f>
        <v>1</v>
      </c>
      <c r="BA657" s="50" t="n">
        <f aca="false">IF(BZ657=1,0,ROUNDUP(AZ657/BY657,0))</f>
        <v>1</v>
      </c>
      <c r="BB657" s="52" t="n">
        <f aca="false">IF(CQ657&gt;0,CQ657*MAX(1,AZ657/X657),IF(BZ657=1,IF(AZ657&lt;=0,0,CD657*MAX(1,IF(H657&gt;0,AZ657/H657,1))),IF(R657&gt;0,BA657/R657,0))/MAX(0.1,N(Parameter!$M$21)))</f>
        <v>0.0833333333333333</v>
      </c>
      <c r="BC657" s="50" t="n">
        <f aca="false">BB657*CB657</f>
        <v>12.0833333333333</v>
      </c>
      <c r="BD657" s="51" t="n">
        <f aca="false">IF(LEFT(Cockpit!$O$5,1)="A",H657,IF(CH657=1,(CK657+CI657)/2,IF(LEFT(Cockpit!$O$5,1)="B",(CK657+BF657)/2,MAX((CK657+BF657)/2,H657))))</f>
        <v>0.5</v>
      </c>
      <c r="BE657" s="50" t="n">
        <f aca="false">BD657*G657</f>
        <v>222.3</v>
      </c>
      <c r="BF657" s="50" t="n">
        <f aca="false">ROUNDUP(CK657+MAX(CL657,2*(J657/IF(CG657&gt;0,CG657,MAX(0.1,N(Cockpit!$O$6)))-CK657)),0)</f>
        <v>1</v>
      </c>
      <c r="BG657" s="51" t="n">
        <f aca="false">IF(BC657&gt;0,J657/BC657,-1)</f>
        <v>0.16551724137931</v>
      </c>
      <c r="BH657" s="51" t="str">
        <f aca="false">IF(AND(OR(CF657="L1",CF657="L23",CF657="LIFT"),BC657&gt;0),SUMIFS($BC$7:$BC$1843,$CF$7:$CF$1843,CF657,$BG$7:$BG$1843,"&gt;"&amp;BG657)+SUMIFS($BC$7:$BC$1843,$CF$7:$CF$1843,CF657,$BG$7:$BG$1843,BG657,$BW$7:$BW$1843,"&lt;="&amp;BW657),"")</f>
        <v/>
      </c>
      <c r="BI657" s="58" t="n">
        <f aca="false">IF(BH657="",0,MAX(0,MIN(1,(IF(CF657="L1",Parameter!$H$5,IF(CF657="L23",Parameter!$H$6+Parameter!$H$7,Parameter!$H$5+Parameter!$H$6+Parameter!$H$7))-(BH657-BC657))/BC657)))</f>
        <v>0</v>
      </c>
      <c r="BJ657" s="48" t="str">
        <f aca="false">IF(AI657&lt;=0,"",IF(CF657="Aussen","Aussenlager",IF(CF657="-","Nicht im Lift",IF(AO657&gt;=1,"Lift",IF(AO657&lt;=0,"Aussenlager","teilweise")))))</f>
        <v/>
      </c>
      <c r="BK657" s="48" t="str">
        <f aca="false">IF(AS657&lt;=0,"",IF(CF657="Aussen","Aussenlager",IF(CF657="-","Nicht im Lift",IF(AY657&gt;=1,"Lift",IF(AY657&lt;=0,"Aussenlager","teilweise")))))</f>
        <v>Nicht im Lift</v>
      </c>
      <c r="BL657" s="48" t="str">
        <f aca="false">IF(BC657&lt;=0,"",IF(CF657="Aussen","Aussenlager",IF(CF657="-","Nicht im Lift",IF(BI657&gt;=1,"Lift",IF(BI657&lt;=0,"Aussenlager","teilweise")))))</f>
        <v>Nicht im Lift</v>
      </c>
      <c r="BM657" s="48" t="str">
        <f aca="false">IF(A657="","",IF(BV657=1,"Neu; ","")&amp;IF(AND(BV657=0,BQ657&lt;0),"negativer Bestand (Export "&amp;BQ657&amp;"); ","")&amp;IF(J657&lt;=0,"Kein Verbrauch; ","")&amp;IF(CQ657&gt;0,"Lift "&amp;W657&amp;" lt. Liftbericht (Fach "&amp;X657&amp;" Stk); ",IF(CA657=1,"Gebinde geschätzt ("&amp;T657&amp;"); ",IF(BZ657=1,"Lose – Tablare geschätzt; ","")))&amp;IF(H657&gt;AV657,"Überbestand "&amp;ROUND(H657-AV657,0)&amp;" Stk / CHF "&amp;ROUND((H657-AV657)*G657,0)&amp;"; ","")&amp;IF(AND(CH657=1,CI657&lt;CJ657),"MAX &lt; MB+LG; ","")&amp;IF(AND(CP657&gt;0,CO657*10&gt;CP657),"zu hoch für Tablar; ","")&amp;IF(AND(BV657=0,OR(CH657=1,AA657&lt;&gt;"",U657&lt;&gt;"",V657&lt;&gt;"",AB657&lt;&gt;"")),"manuell übersteuert; ","")&amp;IF(AND(BZ657=0,R657=0),"Gebinde unbekannt / Stellmass fehlt; ","")&amp;IF(AND(BZ657=0,N(V657)&lt;=0,N(Q657)&lt;=0),"Menge pro Gebinde fehlt (Ist = 1 Gebinde); ","")&amp;BU657)</f>
        <v>Gebinde geschätzt (Mittel); Menge pro Gebinde fehlt (Ist = 1 Gebinde); </v>
      </c>
      <c r="BN657" s="48"/>
      <c r="BO657" s="48"/>
      <c r="BP657" s="55"/>
      <c r="BQ657" s="50" t="n">
        <v>0</v>
      </c>
      <c r="BR657" s="50" t="n">
        <v>0</v>
      </c>
      <c r="BS657" s="49" t="n">
        <v>1.13686837721616E-013</v>
      </c>
      <c r="BT657" s="50" t="n">
        <v>2</v>
      </c>
      <c r="BU657" s="48"/>
      <c r="BV657" s="53" t="n">
        <v>0</v>
      </c>
      <c r="BW657" s="53" t="n">
        <v>657</v>
      </c>
      <c r="BX657" s="48" t="str">
        <f aca="false">IF(U657&lt;&gt;"",UPPER(TRIM(U657)),IF(CA657=1,UPPER(VLOOKUP(T657,Parameter!$I$27:$K$29,2,0)),IF(P657="","LOSE",P657)))</f>
        <v>S61</v>
      </c>
      <c r="BY657" s="50" t="n">
        <f aca="false">IF(BX657="LOSE",1,IF(N(V657)&gt;0,V657,IF(CA657=1,MAX(1,N(VLOOKUP(T657,Parameter!$I$27:$K$29,3,0)),H657,N(N657)),IF(N(Q657)&gt;0,Q657,MAX(1,H657)))))</f>
        <v>4</v>
      </c>
      <c r="BZ657" s="53" t="n">
        <f aca="false">IF(BX657="LOSE",1,0)</f>
        <v>0</v>
      </c>
      <c r="CA657" s="53" t="n">
        <f aca="false">IF(AND(U657="",OR(P657="",P657="LOSE"),T657&lt;&gt;"",N(S657)&lt;=0,ISNUMBER(MATCH(T657,Parameter!$I$27:$I$29,0))),1,0)</f>
        <v>1</v>
      </c>
      <c r="CB657" s="53" t="n">
        <f aca="false">IF(CQ657&gt;0,INDEX(Parameter!$H$5:$H$7,W657)/INDEX(Parameter!$E$5:$E$7,W657),IF(AND(BZ657=0,N(IFERROR(VLOOKUP(BX657,'Gebinde-Kategorie'!$A$5:$N$45,14,0),0))&gt;0),VLOOKUP(BX657,'Gebinde-Kategorie'!$A$5:$N$45,14,0)*10+Parameter!$M$23,Parameter!$M$24))</f>
        <v>145</v>
      </c>
      <c r="CC657" s="48" t="str">
        <f aca="false">IF(AND(Parameter!$B$19="Ja",E657&lt;&gt;"",ISNUMBER(MATCH(E657,Parameter!$I$35:$I$52,0))),VLOOKUP(E657,Parameter!$I$35:$J$52,2,0),IFERROR(VLOOKUP(D657,Parameter!$A$35:$C$64,2,0),"Nein"))</f>
        <v>Nein</v>
      </c>
      <c r="CD657" s="52" t="n">
        <f aca="false">IF(BZ657=0,0,IF(N(S657)&gt;0,S657,IFERROR(VLOOKUP(D657,Parameter!$A$35:$C$64,3,0)+0,0)))</f>
        <v>0</v>
      </c>
      <c r="CE657" s="48" t="str">
        <f aca="false">IF(AA657&lt;&gt;"",AA657,Z657)</f>
        <v>-</v>
      </c>
      <c r="CF657" s="48" t="str">
        <f aca="false">IF(OR(CE657=1,CE657=2,CE657=3),IF(Parameter!$E$27="Ja","LIFT",IF(CE657=1,"L1","L23")),IF(CE657="Aussen","Aussen","-"))</f>
        <v>-</v>
      </c>
      <c r="CG657" s="59" t="n">
        <f aca="false">IF(N(AB657)&gt;0,AB657,0)</f>
        <v>0</v>
      </c>
      <c r="CH657" s="53" t="n">
        <f aca="false">IF(ISNUMBER(AE657),1,0)</f>
        <v>0</v>
      </c>
      <c r="CI657" s="50" t="n">
        <f aca="false">N(AE657)</f>
        <v>0</v>
      </c>
      <c r="CJ657" s="50" t="n">
        <f aca="false">N(M657)+N(N657)</f>
        <v>1</v>
      </c>
      <c r="CK657" s="50" t="n">
        <f aca="false">N(M657)</f>
        <v>0</v>
      </c>
      <c r="CL657" s="50" t="n">
        <f aca="false">N(N657)</f>
        <v>1</v>
      </c>
      <c r="CM657" s="50" t="n">
        <f aca="false">ROUNDUP(H657/BY657,0)</f>
        <v>0</v>
      </c>
      <c r="CN657" s="50" t="n">
        <f aca="false">ROUNDUP(CI657/BY657,0)</f>
        <v>0</v>
      </c>
      <c r="CO657" s="53" t="n">
        <f aca="false">IF(BZ657=1,0,IFERROR(VLOOKUP(BX657,'Gebinde-Kategorie'!$A$5:$N$45,5,0)+0,0))</f>
        <v>11</v>
      </c>
      <c r="CP657" s="53" t="n">
        <f aca="false">IFERROR(IF(OR(CE657=1,CE657=2,CE657=3),N(INDEX(Parameter!$I$5:$I$7,CE657)),0),0)</f>
        <v>0</v>
      </c>
      <c r="CQ657" s="52" t="n">
        <f aca="false">IF(AND(Parameter!$B$21="Ja",ISNUMBER(W657),N(X657)&gt;0),IFERROR(N(INDEX(Parameter!$L$5:$L$7,W657))*INDEX(Parameter!$E$5:$E$7,W657)*X657/SUMIFS($X$7:$X$1843,$W$7:$W$1843,W657),0),0)</f>
        <v>0</v>
      </c>
    </row>
    <row r="658" customFormat="false" ht="15" hidden="false" customHeight="false" outlineLevel="0" collapsed="false">
      <c r="A658" s="48" t="s">
        <v>1336</v>
      </c>
      <c r="B658" s="48" t="s">
        <v>1337</v>
      </c>
      <c r="C658" s="48" t="s">
        <v>173</v>
      </c>
      <c r="D658" s="48" t="s">
        <v>1004</v>
      </c>
      <c r="E658" s="48"/>
      <c r="F658" s="48" t="s">
        <v>227</v>
      </c>
      <c r="G658" s="49" t="n">
        <v>20.47</v>
      </c>
      <c r="H658" s="50" t="n">
        <f aca="false">MAX(0,IF(AND(Parameter!$B$21="Ja",ISNUMBER(Y658)),Y658,IF(Parameter!$B$20="Jahresanfang 2025 + Export",BR658+BQ658,BQ658)))</f>
        <v>0</v>
      </c>
      <c r="I658" s="50" t="n">
        <f aca="false">H658*G658</f>
        <v>0</v>
      </c>
      <c r="J658" s="50" t="n">
        <f aca="false">BT658*Parameter!$B$18</f>
        <v>60</v>
      </c>
      <c r="K658" s="51" t="n">
        <v>0</v>
      </c>
      <c r="L658" s="52" t="n">
        <v>0</v>
      </c>
      <c r="M658" s="50" t="n">
        <v>0</v>
      </c>
      <c r="N658" s="50" t="n">
        <v>10</v>
      </c>
      <c r="O658" s="53" t="n">
        <v>28</v>
      </c>
      <c r="P658" s="48" t="s">
        <v>177</v>
      </c>
      <c r="Q658" s="50"/>
      <c r="R658" s="53" t="n">
        <f aca="false">IF(BZ658=1,0,IFERROR(VLOOKUP(BX658,'Gebinde-Kategorie'!$A$5:$N$45,13,0)+0,0))</f>
        <v>0</v>
      </c>
      <c r="S658" s="54"/>
      <c r="T658" s="55"/>
      <c r="U658" s="55"/>
      <c r="V658" s="55"/>
      <c r="W658" s="48"/>
      <c r="X658" s="50"/>
      <c r="Y658" s="50"/>
      <c r="Z658" s="48" t="str">
        <f aca="false">IF(A658="","",IF(AND(Parameter!$B$21="Ja",ISNUMBER(W658)),W658,IF(CC658="2+3",IF(ISNUMBER(SEARCH("grosser Artikel",BU658)),2,IFERROR(VLOOKUP(BX658,Parameter!$F$35:$G$64,2,0),2)),IF(OR(CC658="Nein",CC658=""),"-",CC658))))</f>
        <v>-</v>
      </c>
      <c r="AA658" s="55"/>
      <c r="AB658" s="56"/>
      <c r="AC658" s="50" t="n">
        <f aca="false">AV658</f>
        <v>40</v>
      </c>
      <c r="AD658" s="50" t="n">
        <f aca="false">MAX(AV658,H658)</f>
        <v>40</v>
      </c>
      <c r="AE658" s="57"/>
      <c r="AF658" s="50" t="n">
        <f aca="false">IF(LEFT(Cockpit!$C$5,1)="A",H658,IF(Parameter!$E$30="MAX-Bestand",IF(CH658=1,CI658,IF(LEFT(Cockpit!$C$5,1)="B",AL658,MAX(AL658,H658))),ROUNDUP(AJ658,0)))</f>
        <v>0</v>
      </c>
      <c r="AG658" s="50" t="n">
        <f aca="false">IF(BZ658=1,0,ROUNDUP(AF658/BY658,0))</f>
        <v>0</v>
      </c>
      <c r="AH658" s="52" t="n">
        <f aca="false">IF(CQ658&gt;0,CQ658*MAX(1,AF658/X658),IF(BZ658=1,IF(AF658&lt;=0,0,CD658*MAX(1,IF(H658&gt;0,AF658/H658,1))),IF(R658&gt;0,AG658/R658,0))/MAX(0.1,N(Parameter!$M$21)))</f>
        <v>0</v>
      </c>
      <c r="AI658" s="50" t="n">
        <f aca="false">AH658*CB658</f>
        <v>0</v>
      </c>
      <c r="AJ658" s="51" t="n">
        <f aca="false">IF(LEFT(Cockpit!$C$5,1)="A",H658,IF(CH658=1,(CK658+CI658)/2,IF(LEFT(Cockpit!$C$5,1)="B",(CK658+AL658)/2,MAX((CK658+AL658)/2,H658))))</f>
        <v>0</v>
      </c>
      <c r="AK658" s="50" t="n">
        <f aca="false">AJ658*G658</f>
        <v>0</v>
      </c>
      <c r="AL658" s="50" t="n">
        <f aca="false">ROUNDUP(CK658+MAX(CL658,2*(J658/IF(CG658&gt;0,CG658,MAX(0.1,N(Cockpit!$C$6)))-CK658)),0)</f>
        <v>40</v>
      </c>
      <c r="AM658" s="51" t="n">
        <f aca="false">IF(AI658&gt;0,J658/AI658,-1)</f>
        <v>-1</v>
      </c>
      <c r="AN658" s="51" t="str">
        <f aca="false">IF(AND(OR(CF658="L1",CF658="L23",CF658="LIFT"),AI658&gt;0),SUMIFS($AI$7:$AI$1843,$CF$7:$CF$1843,CF658,$AM$7:$AM$1843,"&gt;"&amp;AM658)+SUMIFS($AI$7:$AI$1843,$CF$7:$CF$1843,CF658,$AM$7:$AM$1843,AM658,$BW$7:$BW$1843,"&lt;="&amp;BW658),"")</f>
        <v/>
      </c>
      <c r="AO658" s="58" t="n">
        <f aca="false">IF(AN658="",0,MAX(0,MIN(1,(IF(CF658="L1",Parameter!$H$5,IF(CF658="L23",Parameter!$H$6+Parameter!$H$7,Parameter!$H$5+Parameter!$H$6+Parameter!$H$7))-(AN658-AI658))/AI658)))</f>
        <v>0</v>
      </c>
      <c r="AP658" s="50" t="n">
        <f aca="false">IF(LEFT(Cockpit!$I$5,1)="A",H658,IF(Parameter!$E$30="MAX-Bestand",IF(CH658=1,CI658,IF(LEFT(Cockpit!$I$5,1)="B",AV658,MAX(AV658,H658))),ROUNDUP(AT658,0)))</f>
        <v>20</v>
      </c>
      <c r="AQ658" s="50" t="n">
        <f aca="false">IF(BZ658=1,0,ROUNDUP(AP658/BY658,0))</f>
        <v>0</v>
      </c>
      <c r="AR658" s="52" t="n">
        <f aca="false">IF(CQ658&gt;0,CQ658*MAX(1,AP658/X658),IF(BZ658=1,IF(AP658&lt;=0,0,CD658*MAX(1,IF(H658&gt;0,AP658/H658,1))),IF(R658&gt;0,AQ658/R658,0))/MAX(0.1,N(Parameter!$M$21)))</f>
        <v>0.15</v>
      </c>
      <c r="AS658" s="50" t="n">
        <f aca="false">AR658*CB658</f>
        <v>35.25</v>
      </c>
      <c r="AT658" s="51" t="n">
        <f aca="false">IF(LEFT(Cockpit!$I$5,1)="A",H658,IF(CH658=1,(CK658+CI658)/2,IF(LEFT(Cockpit!$I$5,1)="B",(CK658+AV658)/2,MAX((CK658+AV658)/2,H658))))</f>
        <v>20</v>
      </c>
      <c r="AU658" s="50" t="n">
        <f aca="false">AT658*G658</f>
        <v>409.4</v>
      </c>
      <c r="AV658" s="50" t="n">
        <f aca="false">ROUNDUP(CK658+MAX(CL658,2*(J658/IF(CG658&gt;0,CG658,MAX(0.1,N(Cockpit!$I$6)))-CK658)),0)</f>
        <v>40</v>
      </c>
      <c r="AW658" s="51" t="n">
        <f aca="false">IF(AS658&gt;0,J658/AS658,-1)</f>
        <v>1.70212765957447</v>
      </c>
      <c r="AX658" s="51" t="str">
        <f aca="false">IF(AND(OR(CF658="L1",CF658="L23",CF658="LIFT"),AS658&gt;0),SUMIFS($AS$7:$AS$1843,$CF$7:$CF$1843,CF658,$AW$7:$AW$1843,"&gt;"&amp;AW658)+SUMIFS($AS$7:$AS$1843,$CF$7:$CF$1843,CF658,$AW$7:$AW$1843,AW658,$BW$7:$BW$1843,"&lt;="&amp;BW658),"")</f>
        <v/>
      </c>
      <c r="AY658" s="58" t="n">
        <f aca="false">IF(AX658="",0,MAX(0,MIN(1,(IF(CF658="L1",Parameter!$H$5,IF(CF658="L23",Parameter!$H$6+Parameter!$H$7,Parameter!$H$5+Parameter!$H$6+Parameter!$H$7))-(AX658-AS658))/AS658)))</f>
        <v>0</v>
      </c>
      <c r="AZ658" s="50" t="n">
        <f aca="false">IF(LEFT(Cockpit!$O$5,1)="A",H658,IF(Parameter!$E$30="MAX-Bestand",IF(CH658=1,CI658,IF(LEFT(Cockpit!$O$5,1)="B",BF658,MAX(BF658,H658))),ROUNDUP(BD658,0)))</f>
        <v>15</v>
      </c>
      <c r="BA658" s="50" t="n">
        <f aca="false">IF(BZ658=1,0,ROUNDUP(AZ658/BY658,0))</f>
        <v>0</v>
      </c>
      <c r="BB658" s="52" t="n">
        <f aca="false">IF(CQ658&gt;0,CQ658*MAX(1,AZ658/X658),IF(BZ658=1,IF(AZ658&lt;=0,0,CD658*MAX(1,IF(H658&gt;0,AZ658/H658,1))),IF(R658&gt;0,BA658/R658,0))/MAX(0.1,N(Parameter!$M$21)))</f>
        <v>0.15</v>
      </c>
      <c r="BC658" s="50" t="n">
        <f aca="false">BB658*CB658</f>
        <v>35.25</v>
      </c>
      <c r="BD658" s="51" t="n">
        <f aca="false">IF(LEFT(Cockpit!$O$5,1)="A",H658,IF(CH658=1,(CK658+CI658)/2,IF(LEFT(Cockpit!$O$5,1)="B",(CK658+BF658)/2,MAX((CK658+BF658)/2,H658))))</f>
        <v>15</v>
      </c>
      <c r="BE658" s="50" t="n">
        <f aca="false">BD658*G658</f>
        <v>307.05</v>
      </c>
      <c r="BF658" s="50" t="n">
        <f aca="false">ROUNDUP(CK658+MAX(CL658,2*(J658/IF(CG658&gt;0,CG658,MAX(0.1,N(Cockpit!$O$6)))-CK658)),0)</f>
        <v>30</v>
      </c>
      <c r="BG658" s="51" t="n">
        <f aca="false">IF(BC658&gt;0,J658/BC658,-1)</f>
        <v>1.70212765957447</v>
      </c>
      <c r="BH658" s="51" t="str">
        <f aca="false">IF(AND(OR(CF658="L1",CF658="L23",CF658="LIFT"),BC658&gt;0),SUMIFS($BC$7:$BC$1843,$CF$7:$CF$1843,CF658,$BG$7:$BG$1843,"&gt;"&amp;BG658)+SUMIFS($BC$7:$BC$1843,$CF$7:$CF$1843,CF658,$BG$7:$BG$1843,BG658,$BW$7:$BW$1843,"&lt;="&amp;BW658),"")</f>
        <v/>
      </c>
      <c r="BI658" s="58" t="n">
        <f aca="false">IF(BH658="",0,MAX(0,MIN(1,(IF(CF658="L1",Parameter!$H$5,IF(CF658="L23",Parameter!$H$6+Parameter!$H$7,Parameter!$H$5+Parameter!$H$6+Parameter!$H$7))-(BH658-BC658))/BC658)))</f>
        <v>0</v>
      </c>
      <c r="BJ658" s="48" t="str">
        <f aca="false">IF(AI658&lt;=0,"",IF(CF658="Aussen","Aussenlager",IF(CF658="-","Nicht im Lift",IF(AO658&gt;=1,"Lift",IF(AO658&lt;=0,"Aussenlager","teilweise")))))</f>
        <v/>
      </c>
      <c r="BK658" s="48" t="str">
        <f aca="false">IF(AS658&lt;=0,"",IF(CF658="Aussen","Aussenlager",IF(CF658="-","Nicht im Lift",IF(AY658&gt;=1,"Lift",IF(AY658&lt;=0,"Aussenlager","teilweise")))))</f>
        <v>Nicht im Lift</v>
      </c>
      <c r="BL658" s="48" t="str">
        <f aca="false">IF(BC658&lt;=0,"",IF(CF658="Aussen","Aussenlager",IF(CF658="-","Nicht im Lift",IF(BI658&gt;=1,"Lift",IF(BI658&lt;=0,"Aussenlager","teilweise")))))</f>
        <v>Nicht im Lift</v>
      </c>
      <c r="BM658" s="48" t="str">
        <f aca="false">IF(A658="","",IF(BV658=1,"Neu; ","")&amp;IF(AND(BV658=0,BQ658&lt;0),"negativer Bestand (Export "&amp;BQ658&amp;"); ","")&amp;IF(J658&lt;=0,"Kein Verbrauch; ","")&amp;IF(CQ658&gt;0,"Lift "&amp;W658&amp;" lt. Liftbericht (Fach "&amp;X658&amp;" Stk); ",IF(CA658=1,"Gebinde geschätzt ("&amp;T658&amp;"); ",IF(BZ658=1,"Lose – Tablare geschätzt; ","")))&amp;IF(H658&gt;AV658,"Überbestand "&amp;ROUND(H658-AV658,0)&amp;" Stk / CHF "&amp;ROUND((H658-AV658)*G658,0)&amp;"; ","")&amp;IF(AND(CH658=1,CI658&lt;CJ658),"MAX &lt; MB+LG; ","")&amp;IF(AND(CP658&gt;0,CO658*10&gt;CP658),"zu hoch für Tablar; ","")&amp;IF(AND(BV658=0,OR(CH658=1,AA658&lt;&gt;"",U658&lt;&gt;"",V658&lt;&gt;"",AB658&lt;&gt;"")),"manuell übersteuert; ","")&amp;IF(AND(BZ658=0,R658=0),"Gebinde unbekannt / Stellmass fehlt; ","")&amp;IF(AND(BZ658=0,N(V658)&lt;=0,N(Q658)&lt;=0),"Menge pro Gebinde fehlt (Ist = 1 Gebinde); ","")&amp;BU658)</f>
        <v>Lose – Tablare geschätzt; </v>
      </c>
      <c r="BN658" s="48"/>
      <c r="BO658" s="48"/>
      <c r="BP658" s="55"/>
      <c r="BQ658" s="50" t="n">
        <v>0</v>
      </c>
      <c r="BR658" s="50" t="n">
        <v>0</v>
      </c>
      <c r="BS658" s="49" t="n">
        <v>5.6843418860808E-014</v>
      </c>
      <c r="BT658" s="50" t="n">
        <v>60</v>
      </c>
      <c r="BU658" s="48"/>
      <c r="BV658" s="53" t="n">
        <v>0</v>
      </c>
      <c r="BW658" s="53" t="n">
        <v>658</v>
      </c>
      <c r="BX658" s="48" t="str">
        <f aca="false">IF(U658&lt;&gt;"",UPPER(TRIM(U658)),IF(CA658=1,UPPER(VLOOKUP(T658,Parameter!$I$27:$K$29,2,0)),IF(P658="","LOSE",P658)))</f>
        <v>LOSE</v>
      </c>
      <c r="BY658" s="50" t="n">
        <f aca="false">IF(BX658="LOSE",1,IF(N(V658)&gt;0,V658,IF(CA658=1,MAX(1,N(VLOOKUP(T658,Parameter!$I$27:$K$29,3,0)),H658,N(N658)),IF(N(Q658)&gt;0,Q658,MAX(1,H658)))))</f>
        <v>1</v>
      </c>
      <c r="BZ658" s="53" t="n">
        <f aca="false">IF(BX658="LOSE",1,0)</f>
        <v>1</v>
      </c>
      <c r="CA658" s="53" t="n">
        <f aca="false">IF(AND(U658="",OR(P658="",P658="LOSE"),T658&lt;&gt;"",N(S658)&lt;=0,ISNUMBER(MATCH(T658,Parameter!$I$27:$I$29,0))),1,0)</f>
        <v>0</v>
      </c>
      <c r="CB658" s="53" t="n">
        <f aca="false">IF(CQ658&gt;0,INDEX(Parameter!$H$5:$H$7,W658)/INDEX(Parameter!$E$5:$E$7,W658),IF(AND(BZ658=0,N(IFERROR(VLOOKUP(BX658,'Gebinde-Kategorie'!$A$5:$N$45,14,0),0))&gt;0),VLOOKUP(BX658,'Gebinde-Kategorie'!$A$5:$N$45,14,0)*10+Parameter!$M$23,Parameter!$M$24))</f>
        <v>235</v>
      </c>
      <c r="CC658" s="48" t="str">
        <f aca="false">IF(AND(Parameter!$B$19="Ja",E658&lt;&gt;"",ISNUMBER(MATCH(E658,Parameter!$I$35:$I$52,0))),VLOOKUP(E658,Parameter!$I$35:$J$52,2,0),IFERROR(VLOOKUP(D658,Parameter!$A$35:$C$64,2,0),"Nein"))</f>
        <v>Nein</v>
      </c>
      <c r="CD658" s="52" t="n">
        <f aca="false">IF(BZ658=0,0,IF(N(S658)&gt;0,S658,IFERROR(VLOOKUP(D658,Parameter!$A$35:$C$64,3,0)+0,0)))</f>
        <v>0.15</v>
      </c>
      <c r="CE658" s="48" t="str">
        <f aca="false">IF(AA658&lt;&gt;"",AA658,Z658)</f>
        <v>-</v>
      </c>
      <c r="CF658" s="48" t="str">
        <f aca="false">IF(OR(CE658=1,CE658=2,CE658=3),IF(Parameter!$E$27="Ja","LIFT",IF(CE658=1,"L1","L23")),IF(CE658="Aussen","Aussen","-"))</f>
        <v>-</v>
      </c>
      <c r="CG658" s="59" t="n">
        <f aca="false">IF(N(AB658)&gt;0,AB658,0)</f>
        <v>0</v>
      </c>
      <c r="CH658" s="53" t="n">
        <f aca="false">IF(ISNUMBER(AE658),1,0)</f>
        <v>0</v>
      </c>
      <c r="CI658" s="50" t="n">
        <f aca="false">N(AE658)</f>
        <v>0</v>
      </c>
      <c r="CJ658" s="50" t="n">
        <f aca="false">N(M658)+N(N658)</f>
        <v>10</v>
      </c>
      <c r="CK658" s="50" t="n">
        <f aca="false">N(M658)</f>
        <v>0</v>
      </c>
      <c r="CL658" s="50" t="n">
        <f aca="false">N(N658)</f>
        <v>10</v>
      </c>
      <c r="CM658" s="50" t="n">
        <f aca="false">ROUNDUP(H658/BY658,0)</f>
        <v>0</v>
      </c>
      <c r="CN658" s="50" t="n">
        <f aca="false">ROUNDUP(CI658/BY658,0)</f>
        <v>0</v>
      </c>
      <c r="CO658" s="53" t="n">
        <f aca="false">IF(BZ658=1,0,IFERROR(VLOOKUP(BX658,'Gebinde-Kategorie'!$A$5:$N$45,5,0)+0,0))</f>
        <v>0</v>
      </c>
      <c r="CP658" s="53" t="n">
        <f aca="false">IFERROR(IF(OR(CE658=1,CE658=2,CE658=3),N(INDEX(Parameter!$I$5:$I$7,CE658)),0),0)</f>
        <v>0</v>
      </c>
      <c r="CQ658" s="52" t="n">
        <f aca="false">IF(AND(Parameter!$B$21="Ja",ISNUMBER(W658),N(X658)&gt;0),IFERROR(N(INDEX(Parameter!$L$5:$L$7,W658))*INDEX(Parameter!$E$5:$E$7,W658)*X658/SUMIFS($X$7:$X$1843,$W$7:$W$1843,W658),0),0)</f>
        <v>0</v>
      </c>
    </row>
    <row r="659" customFormat="false" ht="15" hidden="false" customHeight="false" outlineLevel="0" collapsed="false">
      <c r="A659" s="48" t="s">
        <v>1338</v>
      </c>
      <c r="B659" s="48" t="s">
        <v>1339</v>
      </c>
      <c r="C659" s="48" t="s">
        <v>173</v>
      </c>
      <c r="D659" s="48" t="s">
        <v>193</v>
      </c>
      <c r="E659" s="48"/>
      <c r="F659" s="48" t="s">
        <v>227</v>
      </c>
      <c r="G659" s="49" t="n">
        <v>10.02</v>
      </c>
      <c r="H659" s="50" t="n">
        <f aca="false">MAX(0,IF(AND(Parameter!$B$21="Ja",ISNUMBER(Y659)),Y659,IF(Parameter!$B$20="Jahresanfang 2025 + Export",BR659+BQ659,BQ659)))</f>
        <v>0</v>
      </c>
      <c r="I659" s="50" t="n">
        <f aca="false">H659*G659</f>
        <v>0</v>
      </c>
      <c r="J659" s="50" t="n">
        <f aca="false">BT659*Parameter!$B$18</f>
        <v>2</v>
      </c>
      <c r="K659" s="51" t="n">
        <v>3</v>
      </c>
      <c r="L659" s="52" t="n">
        <v>0.666666666666667</v>
      </c>
      <c r="M659" s="50" t="n">
        <v>0</v>
      </c>
      <c r="N659" s="50" t="n">
        <v>1</v>
      </c>
      <c r="O659" s="53" t="n">
        <v>21</v>
      </c>
      <c r="P659" s="48" t="s">
        <v>337</v>
      </c>
      <c r="Q659" s="50" t="n">
        <v>5</v>
      </c>
      <c r="R659" s="53" t="n">
        <f aca="false">IF(BZ659=1,0,IFERROR(VLOOKUP(BX659,'Gebinde-Kategorie'!$A$5:$N$45,13,0)+0,0))</f>
        <v>52</v>
      </c>
      <c r="S659" s="54"/>
      <c r="T659" s="55"/>
      <c r="U659" s="55"/>
      <c r="V659" s="55"/>
      <c r="W659" s="48"/>
      <c r="X659" s="50"/>
      <c r="Y659" s="50"/>
      <c r="Z659" s="48" t="n">
        <f aca="false">IF(A659="","",IF(AND(Parameter!$B$21="Ja",ISNUMBER(W659)),W659,IF(CC659="2+3",IF(ISNUMBER(SEARCH("grosser Artikel",BU659)),2,IFERROR(VLOOKUP(BX659,Parameter!$F$35:$G$64,2,0),2)),IF(OR(CC659="Nein",CC659=""),"-",CC659))))</f>
        <v>3</v>
      </c>
      <c r="AA659" s="55"/>
      <c r="AB659" s="56"/>
      <c r="AC659" s="50" t="n">
        <f aca="false">AV659</f>
        <v>2</v>
      </c>
      <c r="AD659" s="50" t="n">
        <f aca="false">MAX(AV659,H659)</f>
        <v>2</v>
      </c>
      <c r="AE659" s="57"/>
      <c r="AF659" s="50" t="n">
        <f aca="false">IF(LEFT(Cockpit!$C$5,1)="A",H659,IF(Parameter!$E$30="MAX-Bestand",IF(CH659=1,CI659,IF(LEFT(Cockpit!$C$5,1)="B",AL659,MAX(AL659,H659))),ROUNDUP(AJ659,0)))</f>
        <v>0</v>
      </c>
      <c r="AG659" s="50" t="n">
        <f aca="false">IF(BZ659=1,0,ROUNDUP(AF659/BY659,0))</f>
        <v>0</v>
      </c>
      <c r="AH659" s="52" t="n">
        <f aca="false">IF(CQ659&gt;0,CQ659*MAX(1,AF659/X659),IF(BZ659=1,IF(AF659&lt;=0,0,CD659*MAX(1,IF(H659&gt;0,AF659/H659,1))),IF(R659&gt;0,AG659/R659,0))/MAX(0.1,N(Parameter!$M$21)))</f>
        <v>0</v>
      </c>
      <c r="AI659" s="50" t="n">
        <f aca="false">AH659*CB659</f>
        <v>0</v>
      </c>
      <c r="AJ659" s="51" t="n">
        <f aca="false">IF(LEFT(Cockpit!$C$5,1)="A",H659,IF(CH659=1,(CK659+CI659)/2,IF(LEFT(Cockpit!$C$5,1)="B",(CK659+AL659)/2,MAX((CK659+AL659)/2,H659))))</f>
        <v>0</v>
      </c>
      <c r="AK659" s="50" t="n">
        <f aca="false">AJ659*G659</f>
        <v>0</v>
      </c>
      <c r="AL659" s="50" t="n">
        <f aca="false">ROUNDUP(CK659+MAX(CL659,2*(J659/IF(CG659&gt;0,CG659,MAX(0.1,N(Cockpit!$C$6)))-CK659)),0)</f>
        <v>2</v>
      </c>
      <c r="AM659" s="51" t="n">
        <f aca="false">IF(AI659&gt;0,J659/AI659,-1)</f>
        <v>-1</v>
      </c>
      <c r="AN659" s="51" t="str">
        <f aca="false">IF(AND(OR(CF659="L1",CF659="L23",CF659="LIFT"),AI659&gt;0),SUMIFS($AI$7:$AI$1843,$CF$7:$CF$1843,CF659,$AM$7:$AM$1843,"&gt;"&amp;AM659)+SUMIFS($AI$7:$AI$1843,$CF$7:$CF$1843,CF659,$AM$7:$AM$1843,AM659,$BW$7:$BW$1843,"&lt;="&amp;BW659),"")</f>
        <v/>
      </c>
      <c r="AO659" s="58" t="n">
        <f aca="false">IF(AN659="",0,MAX(0,MIN(1,(IF(CF659="L1",Parameter!$H$5,IF(CF659="L23",Parameter!$H$6+Parameter!$H$7,Parameter!$H$5+Parameter!$H$6+Parameter!$H$7))-(AN659-AI659))/AI659)))</f>
        <v>0</v>
      </c>
      <c r="AP659" s="50" t="n">
        <f aca="false">IF(LEFT(Cockpit!$I$5,1)="A",H659,IF(Parameter!$E$30="MAX-Bestand",IF(CH659=1,CI659,IF(LEFT(Cockpit!$I$5,1)="B",AV659,MAX(AV659,H659))),ROUNDUP(AT659,0)))</f>
        <v>1</v>
      </c>
      <c r="AQ659" s="50" t="n">
        <f aca="false">IF(BZ659=1,0,ROUNDUP(AP659/BY659,0))</f>
        <v>1</v>
      </c>
      <c r="AR659" s="52" t="n">
        <f aca="false">IF(CQ659&gt;0,CQ659*MAX(1,AP659/X659),IF(BZ659=1,IF(AP659&lt;=0,0,CD659*MAX(1,IF(H659&gt;0,AP659/H659,1))),IF(R659&gt;0,AQ659/R659,0))/MAX(0.1,N(Parameter!$M$21)))</f>
        <v>0.0192307692307692</v>
      </c>
      <c r="AS659" s="50" t="n">
        <f aca="false">AR659*CB659</f>
        <v>2.98076923076923</v>
      </c>
      <c r="AT659" s="51" t="n">
        <f aca="false">IF(LEFT(Cockpit!$I$5,1)="A",H659,IF(CH659=1,(CK659+CI659)/2,IF(LEFT(Cockpit!$I$5,1)="B",(CK659+AV659)/2,MAX((CK659+AV659)/2,H659))))</f>
        <v>1</v>
      </c>
      <c r="AU659" s="50" t="n">
        <f aca="false">AT659*G659</f>
        <v>10.02</v>
      </c>
      <c r="AV659" s="50" t="n">
        <f aca="false">ROUNDUP(CK659+MAX(CL659,2*(J659/IF(CG659&gt;0,CG659,MAX(0.1,N(Cockpit!$I$6)))-CK659)),0)</f>
        <v>2</v>
      </c>
      <c r="AW659" s="51" t="n">
        <f aca="false">IF(AS659&gt;0,J659/AS659,-1)</f>
        <v>0.670967741935484</v>
      </c>
      <c r="AX659" s="51" t="n">
        <f aca="false">IF(AND(OR(CF659="L1",CF659="L23",CF659="LIFT"),AS659&gt;0),SUMIFS($AS$7:$AS$1843,$CF$7:$CF$1843,CF659,$AW$7:$AW$1843,"&gt;"&amp;AW659)+SUMIFS($AS$7:$AS$1843,$CF$7:$CF$1843,CF659,$AW$7:$AW$1843,AW659,$BW$7:$BW$1843,"&lt;="&amp;BW659),"")</f>
        <v>10904.3182234432</v>
      </c>
      <c r="AY659" s="58" t="n">
        <f aca="false">IF(AX659="",0,MAX(0,MIN(1,(IF(CF659="L1",Parameter!$H$5,IF(CF659="L23",Parameter!$H$6+Parameter!$H$7,Parameter!$H$5+Parameter!$H$6+Parameter!$H$7))-(AX659-AS659))/AS659)))</f>
        <v>1</v>
      </c>
      <c r="AZ659" s="50" t="n">
        <f aca="false">IF(LEFT(Cockpit!$O$5,1)="A",H659,IF(Parameter!$E$30="MAX-Bestand",IF(CH659=1,CI659,IF(LEFT(Cockpit!$O$5,1)="B",BF659,MAX(BF659,H659))),ROUNDUP(BD659,0)))</f>
        <v>1</v>
      </c>
      <c r="BA659" s="50" t="n">
        <f aca="false">IF(BZ659=1,0,ROUNDUP(AZ659/BY659,0))</f>
        <v>1</v>
      </c>
      <c r="BB659" s="52" t="n">
        <f aca="false">IF(CQ659&gt;0,CQ659*MAX(1,AZ659/X659),IF(BZ659=1,IF(AZ659&lt;=0,0,CD659*MAX(1,IF(H659&gt;0,AZ659/H659,1))),IF(R659&gt;0,BA659/R659,0))/MAX(0.1,N(Parameter!$M$21)))</f>
        <v>0.0192307692307692</v>
      </c>
      <c r="BC659" s="50" t="n">
        <f aca="false">BB659*CB659</f>
        <v>2.98076923076923</v>
      </c>
      <c r="BD659" s="51" t="n">
        <f aca="false">IF(LEFT(Cockpit!$O$5,1)="A",H659,IF(CH659=1,(CK659+CI659)/2,IF(LEFT(Cockpit!$O$5,1)="B",(CK659+BF659)/2,MAX((CK659+BF659)/2,H659))))</f>
        <v>0.5</v>
      </c>
      <c r="BE659" s="50" t="n">
        <f aca="false">BD659*G659</f>
        <v>5.01</v>
      </c>
      <c r="BF659" s="50" t="n">
        <f aca="false">ROUNDUP(CK659+MAX(CL659,2*(J659/IF(CG659&gt;0,CG659,MAX(0.1,N(Cockpit!$O$6)))-CK659)),0)</f>
        <v>1</v>
      </c>
      <c r="BG659" s="51" t="n">
        <f aca="false">IF(BC659&gt;0,J659/BC659,-1)</f>
        <v>0.670967741935484</v>
      </c>
      <c r="BH659" s="51" t="n">
        <f aca="false">IF(AND(OR(CF659="L1",CF659="L23",CF659="LIFT"),BC659&gt;0),SUMIFS($BC$7:$BC$1843,$CF$7:$CF$1843,CF659,$BG$7:$BG$1843,"&gt;"&amp;BG659)+SUMIFS($BC$7:$BC$1843,$CF$7:$CF$1843,CF659,$BG$7:$BG$1843,BG659,$BW$7:$BW$1843,"&lt;="&amp;BW659),"")</f>
        <v>9512.461996337</v>
      </c>
      <c r="BI659" s="58" t="n">
        <f aca="false">IF(BH659="",0,MAX(0,MIN(1,(IF(CF659="L1",Parameter!$H$5,IF(CF659="L23",Parameter!$H$6+Parameter!$H$7,Parameter!$H$5+Parameter!$H$6+Parameter!$H$7))-(BH659-BC659))/BC659)))</f>
        <v>1</v>
      </c>
      <c r="BJ659" s="48" t="str">
        <f aca="false">IF(AI659&lt;=0,"",IF(CF659="Aussen","Aussenlager",IF(CF659="-","Nicht im Lift",IF(AO659&gt;=1,"Lift",IF(AO659&lt;=0,"Aussenlager","teilweise")))))</f>
        <v/>
      </c>
      <c r="BK659" s="48" t="str">
        <f aca="false">IF(AS659&lt;=0,"",IF(CF659="Aussen","Aussenlager",IF(CF659="-","Nicht im Lift",IF(AY659&gt;=1,"Lift",IF(AY659&lt;=0,"Aussenlager","teilweise")))))</f>
        <v>Lift</v>
      </c>
      <c r="BL659" s="48" t="str">
        <f aca="false">IF(BC659&lt;=0,"",IF(CF659="Aussen","Aussenlager",IF(CF659="-","Nicht im Lift",IF(BI659&gt;=1,"Lift",IF(BI659&lt;=0,"Aussenlager","teilweise")))))</f>
        <v>Lift</v>
      </c>
      <c r="BM659" s="48" t="str">
        <f aca="false">IF(A659="","",IF(BV659=1,"Neu; ","")&amp;IF(AND(BV659=0,BQ659&lt;0),"negativer Bestand (Export "&amp;BQ659&amp;"); ","")&amp;IF(J659&lt;=0,"Kein Verbrauch; ","")&amp;IF(CQ659&gt;0,"Lift "&amp;W659&amp;" lt. Liftbericht (Fach "&amp;X659&amp;" Stk); ",IF(CA659=1,"Gebinde geschätzt ("&amp;T659&amp;"); ",IF(BZ659=1,"Lose – Tablare geschätzt; ","")))&amp;IF(H659&gt;AV659,"Überbestand "&amp;ROUND(H659-AV659,0)&amp;" Stk / CHF "&amp;ROUND((H659-AV659)*G659,0)&amp;"; ","")&amp;IF(AND(CH659=1,CI659&lt;CJ659),"MAX &lt; MB+LG; ","")&amp;IF(AND(CP659&gt;0,CO659*10&gt;CP659),"zu hoch für Tablar; ","")&amp;IF(AND(BV659=0,OR(CH659=1,AA659&lt;&gt;"",U659&lt;&gt;"",V659&lt;&gt;"",AB659&lt;&gt;"")),"manuell übersteuert; ","")&amp;IF(AND(BZ659=0,R659=0),"Gebinde unbekannt / Stellmass fehlt; ","")&amp;IF(AND(BZ659=0,N(V659)&lt;=0,N(Q659)&lt;=0),"Menge pro Gebinde fehlt (Ist = 1 Gebinde); ","")&amp;BU659)</f>
        <v/>
      </c>
      <c r="BN659" s="48"/>
      <c r="BO659" s="48"/>
      <c r="BP659" s="55"/>
      <c r="BQ659" s="50" t="n">
        <v>0</v>
      </c>
      <c r="BR659" s="50" t="n">
        <v>0</v>
      </c>
      <c r="BS659" s="49" t="n">
        <v>2.8421709430404E-014</v>
      </c>
      <c r="BT659" s="50" t="n">
        <v>2</v>
      </c>
      <c r="BU659" s="48"/>
      <c r="BV659" s="53" t="n">
        <v>0</v>
      </c>
      <c r="BW659" s="53" t="n">
        <v>659</v>
      </c>
      <c r="BX659" s="48" t="str">
        <f aca="false">IF(U659&lt;&gt;"",UPPER(TRIM(U659)),IF(CA659=1,UPPER(VLOOKUP(T659,Parameter!$I$27:$K$29,2,0)),IF(P659="","LOSE",P659)))</f>
        <v>S41</v>
      </c>
      <c r="BY659" s="50" t="n">
        <f aca="false">IF(BX659="LOSE",1,IF(N(V659)&gt;0,V659,IF(CA659=1,MAX(1,N(VLOOKUP(T659,Parameter!$I$27:$K$29,3,0)),H659,N(N659)),IF(N(Q659)&gt;0,Q659,MAX(1,H659)))))</f>
        <v>5</v>
      </c>
      <c r="BZ659" s="53" t="n">
        <f aca="false">IF(BX659="LOSE",1,0)</f>
        <v>0</v>
      </c>
      <c r="CA659" s="53" t="n">
        <f aca="false">IF(AND(U659="",OR(P659="",P659="LOSE"),T659&lt;&gt;"",N(S659)&lt;=0,ISNUMBER(MATCH(T659,Parameter!$I$27:$I$29,0))),1,0)</f>
        <v>0</v>
      </c>
      <c r="CB659" s="53" t="n">
        <f aca="false">IF(CQ659&gt;0,INDEX(Parameter!$H$5:$H$7,W659)/INDEX(Parameter!$E$5:$E$7,W659),IF(AND(BZ659=0,N(IFERROR(VLOOKUP(BX659,'Gebinde-Kategorie'!$A$5:$N$45,14,0),0))&gt;0),VLOOKUP(BX659,'Gebinde-Kategorie'!$A$5:$N$45,14,0)*10+Parameter!$M$23,Parameter!$M$24))</f>
        <v>155</v>
      </c>
      <c r="CC659" s="48" t="str">
        <f aca="false">IF(AND(Parameter!$B$19="Ja",E659&lt;&gt;"",ISNUMBER(MATCH(E659,Parameter!$I$35:$I$52,0))),VLOOKUP(E659,Parameter!$I$35:$J$52,2,0),IFERROR(VLOOKUP(D659,Parameter!$A$35:$C$64,2,0),"Nein"))</f>
        <v>2+3</v>
      </c>
      <c r="CD659" s="52" t="n">
        <f aca="false">IF(BZ659=0,0,IF(N(S659)&gt;0,S659,IFERROR(VLOOKUP(D659,Parameter!$A$35:$C$64,3,0)+0,0)))</f>
        <v>0</v>
      </c>
      <c r="CE659" s="48" t="n">
        <f aca="false">IF(AA659&lt;&gt;"",AA659,Z659)</f>
        <v>3</v>
      </c>
      <c r="CF659" s="48" t="str">
        <f aca="false">IF(OR(CE659=1,CE659=2,CE659=3),IF(Parameter!$E$27="Ja","LIFT",IF(CE659=1,"L1","L23")),IF(CE659="Aussen","Aussen","-"))</f>
        <v>LIFT</v>
      </c>
      <c r="CG659" s="59" t="n">
        <f aca="false">IF(N(AB659)&gt;0,AB659,0)</f>
        <v>0</v>
      </c>
      <c r="CH659" s="53" t="n">
        <f aca="false">IF(ISNUMBER(AE659),1,0)</f>
        <v>0</v>
      </c>
      <c r="CI659" s="50" t="n">
        <f aca="false">N(AE659)</f>
        <v>0</v>
      </c>
      <c r="CJ659" s="50" t="n">
        <f aca="false">N(M659)+N(N659)</f>
        <v>1</v>
      </c>
      <c r="CK659" s="50" t="n">
        <f aca="false">N(M659)</f>
        <v>0</v>
      </c>
      <c r="CL659" s="50" t="n">
        <f aca="false">N(N659)</f>
        <v>1</v>
      </c>
      <c r="CM659" s="50" t="n">
        <f aca="false">ROUNDUP(H659/BY659,0)</f>
        <v>0</v>
      </c>
      <c r="CN659" s="50" t="n">
        <f aca="false">ROUNDUP(CI659/BY659,0)</f>
        <v>0</v>
      </c>
      <c r="CO659" s="53" t="n">
        <f aca="false">IF(BZ659=1,0,IFERROR(VLOOKUP(BX659,'Gebinde-Kategorie'!$A$5:$N$45,5,0)+0,0))</f>
        <v>11</v>
      </c>
      <c r="CP659" s="53" t="n">
        <f aca="false">IFERROR(IF(OR(CE659=1,CE659=2,CE659=3),N(INDEX(Parameter!$I$5:$I$7,CE659)),0),0)</f>
        <v>0</v>
      </c>
      <c r="CQ659" s="52" t="n">
        <f aca="false">IF(AND(Parameter!$B$21="Ja",ISNUMBER(W659),N(X659)&gt;0),IFERROR(N(INDEX(Parameter!$L$5:$L$7,W659))*INDEX(Parameter!$E$5:$E$7,W659)*X659/SUMIFS($X$7:$X$1843,$W$7:$W$1843,W659),0),0)</f>
        <v>0</v>
      </c>
    </row>
    <row r="660" customFormat="false" ht="15" hidden="false" customHeight="false" outlineLevel="0" collapsed="false">
      <c r="A660" s="48" t="s">
        <v>1340</v>
      </c>
      <c r="B660" s="48" t="s">
        <v>1339</v>
      </c>
      <c r="C660" s="48" t="s">
        <v>173</v>
      </c>
      <c r="D660" s="48" t="s">
        <v>193</v>
      </c>
      <c r="E660" s="48"/>
      <c r="F660" s="48" t="s">
        <v>227</v>
      </c>
      <c r="G660" s="49" t="n">
        <v>10.02</v>
      </c>
      <c r="H660" s="50" t="n">
        <f aca="false">MAX(0,IF(AND(Parameter!$B$21="Ja",ISNUMBER(Y660)),Y660,IF(Parameter!$B$20="Jahresanfang 2025 + Export",BR660+BQ660,BQ660)))</f>
        <v>0</v>
      </c>
      <c r="I660" s="50" t="n">
        <f aca="false">H660*G660</f>
        <v>0</v>
      </c>
      <c r="J660" s="50" t="n">
        <f aca="false">BT660*Parameter!$B$18</f>
        <v>2</v>
      </c>
      <c r="K660" s="51" t="n">
        <v>3</v>
      </c>
      <c r="L660" s="52" t="n">
        <v>0.666666666666667</v>
      </c>
      <c r="M660" s="50" t="n">
        <v>0</v>
      </c>
      <c r="N660" s="50" t="n">
        <v>1</v>
      </c>
      <c r="O660" s="53" t="n">
        <v>21</v>
      </c>
      <c r="P660" s="48" t="s">
        <v>337</v>
      </c>
      <c r="Q660" s="50" t="n">
        <v>5</v>
      </c>
      <c r="R660" s="53" t="n">
        <f aca="false">IF(BZ660=1,0,IFERROR(VLOOKUP(BX660,'Gebinde-Kategorie'!$A$5:$N$45,13,0)+0,0))</f>
        <v>52</v>
      </c>
      <c r="S660" s="54"/>
      <c r="T660" s="55"/>
      <c r="U660" s="55"/>
      <c r="V660" s="55"/>
      <c r="W660" s="48"/>
      <c r="X660" s="50"/>
      <c r="Y660" s="50"/>
      <c r="Z660" s="48" t="n">
        <f aca="false">IF(A660="","",IF(AND(Parameter!$B$21="Ja",ISNUMBER(W660)),W660,IF(CC660="2+3",IF(ISNUMBER(SEARCH("grosser Artikel",BU660)),2,IFERROR(VLOOKUP(BX660,Parameter!$F$35:$G$64,2,0),2)),IF(OR(CC660="Nein",CC660=""),"-",CC660))))</f>
        <v>3</v>
      </c>
      <c r="AA660" s="55"/>
      <c r="AB660" s="56"/>
      <c r="AC660" s="50" t="n">
        <f aca="false">AV660</f>
        <v>2</v>
      </c>
      <c r="AD660" s="50" t="n">
        <f aca="false">MAX(AV660,H660)</f>
        <v>2</v>
      </c>
      <c r="AE660" s="57"/>
      <c r="AF660" s="50" t="n">
        <f aca="false">IF(LEFT(Cockpit!$C$5,1)="A",H660,IF(Parameter!$E$30="MAX-Bestand",IF(CH660=1,CI660,IF(LEFT(Cockpit!$C$5,1)="B",AL660,MAX(AL660,H660))),ROUNDUP(AJ660,0)))</f>
        <v>0</v>
      </c>
      <c r="AG660" s="50" t="n">
        <f aca="false">IF(BZ660=1,0,ROUNDUP(AF660/BY660,0))</f>
        <v>0</v>
      </c>
      <c r="AH660" s="52" t="n">
        <f aca="false">IF(CQ660&gt;0,CQ660*MAX(1,AF660/X660),IF(BZ660=1,IF(AF660&lt;=0,0,CD660*MAX(1,IF(H660&gt;0,AF660/H660,1))),IF(R660&gt;0,AG660/R660,0))/MAX(0.1,N(Parameter!$M$21)))</f>
        <v>0</v>
      </c>
      <c r="AI660" s="50" t="n">
        <f aca="false">AH660*CB660</f>
        <v>0</v>
      </c>
      <c r="AJ660" s="51" t="n">
        <f aca="false">IF(LEFT(Cockpit!$C$5,1)="A",H660,IF(CH660=1,(CK660+CI660)/2,IF(LEFT(Cockpit!$C$5,1)="B",(CK660+AL660)/2,MAX((CK660+AL660)/2,H660))))</f>
        <v>0</v>
      </c>
      <c r="AK660" s="50" t="n">
        <f aca="false">AJ660*G660</f>
        <v>0</v>
      </c>
      <c r="AL660" s="50" t="n">
        <f aca="false">ROUNDUP(CK660+MAX(CL660,2*(J660/IF(CG660&gt;0,CG660,MAX(0.1,N(Cockpit!$C$6)))-CK660)),0)</f>
        <v>2</v>
      </c>
      <c r="AM660" s="51" t="n">
        <f aca="false">IF(AI660&gt;0,J660/AI660,-1)</f>
        <v>-1</v>
      </c>
      <c r="AN660" s="51" t="str">
        <f aca="false">IF(AND(OR(CF660="L1",CF660="L23",CF660="LIFT"),AI660&gt;0),SUMIFS($AI$7:$AI$1843,$CF$7:$CF$1843,CF660,$AM$7:$AM$1843,"&gt;"&amp;AM660)+SUMIFS($AI$7:$AI$1843,$CF$7:$CF$1843,CF660,$AM$7:$AM$1843,AM660,$BW$7:$BW$1843,"&lt;="&amp;BW660),"")</f>
        <v/>
      </c>
      <c r="AO660" s="58" t="n">
        <f aca="false">IF(AN660="",0,MAX(0,MIN(1,(IF(CF660="L1",Parameter!$H$5,IF(CF660="L23",Parameter!$H$6+Parameter!$H$7,Parameter!$H$5+Parameter!$H$6+Parameter!$H$7))-(AN660-AI660))/AI660)))</f>
        <v>0</v>
      </c>
      <c r="AP660" s="50" t="n">
        <f aca="false">IF(LEFT(Cockpit!$I$5,1)="A",H660,IF(Parameter!$E$30="MAX-Bestand",IF(CH660=1,CI660,IF(LEFT(Cockpit!$I$5,1)="B",AV660,MAX(AV660,H660))),ROUNDUP(AT660,0)))</f>
        <v>1</v>
      </c>
      <c r="AQ660" s="50" t="n">
        <f aca="false">IF(BZ660=1,0,ROUNDUP(AP660/BY660,0))</f>
        <v>1</v>
      </c>
      <c r="AR660" s="52" t="n">
        <f aca="false">IF(CQ660&gt;0,CQ660*MAX(1,AP660/X660),IF(BZ660=1,IF(AP660&lt;=0,0,CD660*MAX(1,IF(H660&gt;0,AP660/H660,1))),IF(R660&gt;0,AQ660/R660,0))/MAX(0.1,N(Parameter!$M$21)))</f>
        <v>0.0192307692307692</v>
      </c>
      <c r="AS660" s="50" t="n">
        <f aca="false">AR660*CB660</f>
        <v>2.98076923076923</v>
      </c>
      <c r="AT660" s="51" t="n">
        <f aca="false">IF(LEFT(Cockpit!$I$5,1)="A",H660,IF(CH660=1,(CK660+CI660)/2,IF(LEFT(Cockpit!$I$5,1)="B",(CK660+AV660)/2,MAX((CK660+AV660)/2,H660))))</f>
        <v>1</v>
      </c>
      <c r="AU660" s="50" t="n">
        <f aca="false">AT660*G660</f>
        <v>10.02</v>
      </c>
      <c r="AV660" s="50" t="n">
        <f aca="false">ROUNDUP(CK660+MAX(CL660,2*(J660/IF(CG660&gt;0,CG660,MAX(0.1,N(Cockpit!$I$6)))-CK660)),0)</f>
        <v>2</v>
      </c>
      <c r="AW660" s="51" t="n">
        <f aca="false">IF(AS660&gt;0,J660/AS660,-1)</f>
        <v>0.670967741935484</v>
      </c>
      <c r="AX660" s="51" t="n">
        <f aca="false">IF(AND(OR(CF660="L1",CF660="L23",CF660="LIFT"),AS660&gt;0),SUMIFS($AS$7:$AS$1843,$CF$7:$CF$1843,CF660,$AW$7:$AW$1843,"&gt;"&amp;AW660)+SUMIFS($AS$7:$AS$1843,$CF$7:$CF$1843,CF660,$AW$7:$AW$1843,AW660,$BW$7:$BW$1843,"&lt;="&amp;BW660),"")</f>
        <v>10907.298992674</v>
      </c>
      <c r="AY660" s="58" t="n">
        <f aca="false">IF(AX660="",0,MAX(0,MIN(1,(IF(CF660="L1",Parameter!$H$5,IF(CF660="L23",Parameter!$H$6+Parameter!$H$7,Parameter!$H$5+Parameter!$H$6+Parameter!$H$7))-(AX660-AS660))/AS660)))</f>
        <v>1</v>
      </c>
      <c r="AZ660" s="50" t="n">
        <f aca="false">IF(LEFT(Cockpit!$O$5,1)="A",H660,IF(Parameter!$E$30="MAX-Bestand",IF(CH660=1,CI660,IF(LEFT(Cockpit!$O$5,1)="B",BF660,MAX(BF660,H660))),ROUNDUP(BD660,0)))</f>
        <v>1</v>
      </c>
      <c r="BA660" s="50" t="n">
        <f aca="false">IF(BZ660=1,0,ROUNDUP(AZ660/BY660,0))</f>
        <v>1</v>
      </c>
      <c r="BB660" s="52" t="n">
        <f aca="false">IF(CQ660&gt;0,CQ660*MAX(1,AZ660/X660),IF(BZ660=1,IF(AZ660&lt;=0,0,CD660*MAX(1,IF(H660&gt;0,AZ660/H660,1))),IF(R660&gt;0,BA660/R660,0))/MAX(0.1,N(Parameter!$M$21)))</f>
        <v>0.0192307692307692</v>
      </c>
      <c r="BC660" s="50" t="n">
        <f aca="false">BB660*CB660</f>
        <v>2.98076923076923</v>
      </c>
      <c r="BD660" s="51" t="n">
        <f aca="false">IF(LEFT(Cockpit!$O$5,1)="A",H660,IF(CH660=1,(CK660+CI660)/2,IF(LEFT(Cockpit!$O$5,1)="B",(CK660+BF660)/2,MAX((CK660+BF660)/2,H660))))</f>
        <v>0.5</v>
      </c>
      <c r="BE660" s="50" t="n">
        <f aca="false">BD660*G660</f>
        <v>5.01</v>
      </c>
      <c r="BF660" s="50" t="n">
        <f aca="false">ROUNDUP(CK660+MAX(CL660,2*(J660/IF(CG660&gt;0,CG660,MAX(0.1,N(Cockpit!$O$6)))-CK660)),0)</f>
        <v>1</v>
      </c>
      <c r="BG660" s="51" t="n">
        <f aca="false">IF(BC660&gt;0,J660/BC660,-1)</f>
        <v>0.670967741935484</v>
      </c>
      <c r="BH660" s="51" t="n">
        <f aca="false">IF(AND(OR(CF660="L1",CF660="L23",CF660="LIFT"),BC660&gt;0),SUMIFS($BC$7:$BC$1843,$CF$7:$CF$1843,CF660,$BG$7:$BG$1843,"&gt;"&amp;BG660)+SUMIFS($BC$7:$BC$1843,$CF$7:$CF$1843,CF660,$BG$7:$BG$1843,BG660,$BW$7:$BW$1843,"&lt;="&amp;BW660),"")</f>
        <v>9515.44276556777</v>
      </c>
      <c r="BI660" s="58" t="n">
        <f aca="false">IF(BH660="",0,MAX(0,MIN(1,(IF(CF660="L1",Parameter!$H$5,IF(CF660="L23",Parameter!$H$6+Parameter!$H$7,Parameter!$H$5+Parameter!$H$6+Parameter!$H$7))-(BH660-BC660))/BC660)))</f>
        <v>1</v>
      </c>
      <c r="BJ660" s="48" t="str">
        <f aca="false">IF(AI660&lt;=0,"",IF(CF660="Aussen","Aussenlager",IF(CF660="-","Nicht im Lift",IF(AO660&gt;=1,"Lift",IF(AO660&lt;=0,"Aussenlager","teilweise")))))</f>
        <v/>
      </c>
      <c r="BK660" s="48" t="str">
        <f aca="false">IF(AS660&lt;=0,"",IF(CF660="Aussen","Aussenlager",IF(CF660="-","Nicht im Lift",IF(AY660&gt;=1,"Lift",IF(AY660&lt;=0,"Aussenlager","teilweise")))))</f>
        <v>Lift</v>
      </c>
      <c r="BL660" s="48" t="str">
        <f aca="false">IF(BC660&lt;=0,"",IF(CF660="Aussen","Aussenlager",IF(CF660="-","Nicht im Lift",IF(BI660&gt;=1,"Lift",IF(BI660&lt;=0,"Aussenlager","teilweise")))))</f>
        <v>Lift</v>
      </c>
      <c r="BM660" s="48" t="str">
        <f aca="false">IF(A660="","",IF(BV660=1,"Neu; ","")&amp;IF(AND(BV660=0,BQ660&lt;0),"negativer Bestand (Export "&amp;BQ660&amp;"); ","")&amp;IF(J660&lt;=0,"Kein Verbrauch; ","")&amp;IF(CQ660&gt;0,"Lift "&amp;W660&amp;" lt. Liftbericht (Fach "&amp;X660&amp;" Stk); ",IF(CA660=1,"Gebinde geschätzt ("&amp;T660&amp;"); ",IF(BZ660=1,"Lose – Tablare geschätzt; ","")))&amp;IF(H660&gt;AV660,"Überbestand "&amp;ROUND(H660-AV660,0)&amp;" Stk / CHF "&amp;ROUND((H660-AV660)*G660,0)&amp;"; ","")&amp;IF(AND(CH660=1,CI660&lt;CJ660),"MAX &lt; MB+LG; ","")&amp;IF(AND(CP660&gt;0,CO660*10&gt;CP660),"zu hoch für Tablar; ","")&amp;IF(AND(BV660=0,OR(CH660=1,AA660&lt;&gt;"",U660&lt;&gt;"",V660&lt;&gt;"",AB660&lt;&gt;"")),"manuell übersteuert; ","")&amp;IF(AND(BZ660=0,R660=0),"Gebinde unbekannt / Stellmass fehlt; ","")&amp;IF(AND(BZ660=0,N(V660)&lt;=0,N(Q660)&lt;=0),"Menge pro Gebinde fehlt (Ist = 1 Gebinde); ","")&amp;BU660)</f>
        <v/>
      </c>
      <c r="BN660" s="48"/>
      <c r="BO660" s="48"/>
      <c r="BP660" s="55"/>
      <c r="BQ660" s="50" t="n">
        <v>0</v>
      </c>
      <c r="BR660" s="50" t="n">
        <v>0</v>
      </c>
      <c r="BS660" s="49" t="n">
        <v>2.8421709430404E-014</v>
      </c>
      <c r="BT660" s="50" t="n">
        <v>2</v>
      </c>
      <c r="BU660" s="48"/>
      <c r="BV660" s="53" t="n">
        <v>0</v>
      </c>
      <c r="BW660" s="53" t="n">
        <v>660</v>
      </c>
      <c r="BX660" s="48" t="str">
        <f aca="false">IF(U660&lt;&gt;"",UPPER(TRIM(U660)),IF(CA660=1,UPPER(VLOOKUP(T660,Parameter!$I$27:$K$29,2,0)),IF(P660="","LOSE",P660)))</f>
        <v>S41</v>
      </c>
      <c r="BY660" s="50" t="n">
        <f aca="false">IF(BX660="LOSE",1,IF(N(V660)&gt;0,V660,IF(CA660=1,MAX(1,N(VLOOKUP(T660,Parameter!$I$27:$K$29,3,0)),H660,N(N660)),IF(N(Q660)&gt;0,Q660,MAX(1,H660)))))</f>
        <v>5</v>
      </c>
      <c r="BZ660" s="53" t="n">
        <f aca="false">IF(BX660="LOSE",1,0)</f>
        <v>0</v>
      </c>
      <c r="CA660" s="53" t="n">
        <f aca="false">IF(AND(U660="",OR(P660="",P660="LOSE"),T660&lt;&gt;"",N(S660)&lt;=0,ISNUMBER(MATCH(T660,Parameter!$I$27:$I$29,0))),1,0)</f>
        <v>0</v>
      </c>
      <c r="CB660" s="53" t="n">
        <f aca="false">IF(CQ660&gt;0,INDEX(Parameter!$H$5:$H$7,W660)/INDEX(Parameter!$E$5:$E$7,W660),IF(AND(BZ660=0,N(IFERROR(VLOOKUP(BX660,'Gebinde-Kategorie'!$A$5:$N$45,14,0),0))&gt;0),VLOOKUP(BX660,'Gebinde-Kategorie'!$A$5:$N$45,14,0)*10+Parameter!$M$23,Parameter!$M$24))</f>
        <v>155</v>
      </c>
      <c r="CC660" s="48" t="str">
        <f aca="false">IF(AND(Parameter!$B$19="Ja",E660&lt;&gt;"",ISNUMBER(MATCH(E660,Parameter!$I$35:$I$52,0))),VLOOKUP(E660,Parameter!$I$35:$J$52,2,0),IFERROR(VLOOKUP(D660,Parameter!$A$35:$C$64,2,0),"Nein"))</f>
        <v>2+3</v>
      </c>
      <c r="CD660" s="52" t="n">
        <f aca="false">IF(BZ660=0,0,IF(N(S660)&gt;0,S660,IFERROR(VLOOKUP(D660,Parameter!$A$35:$C$64,3,0)+0,0)))</f>
        <v>0</v>
      </c>
      <c r="CE660" s="48" t="n">
        <f aca="false">IF(AA660&lt;&gt;"",AA660,Z660)</f>
        <v>3</v>
      </c>
      <c r="CF660" s="48" t="str">
        <f aca="false">IF(OR(CE660=1,CE660=2,CE660=3),IF(Parameter!$E$27="Ja","LIFT",IF(CE660=1,"L1","L23")),IF(CE660="Aussen","Aussen","-"))</f>
        <v>LIFT</v>
      </c>
      <c r="CG660" s="59" t="n">
        <f aca="false">IF(N(AB660)&gt;0,AB660,0)</f>
        <v>0</v>
      </c>
      <c r="CH660" s="53" t="n">
        <f aca="false">IF(ISNUMBER(AE660),1,0)</f>
        <v>0</v>
      </c>
      <c r="CI660" s="50" t="n">
        <f aca="false">N(AE660)</f>
        <v>0</v>
      </c>
      <c r="CJ660" s="50" t="n">
        <f aca="false">N(M660)+N(N660)</f>
        <v>1</v>
      </c>
      <c r="CK660" s="50" t="n">
        <f aca="false">N(M660)</f>
        <v>0</v>
      </c>
      <c r="CL660" s="50" t="n">
        <f aca="false">N(N660)</f>
        <v>1</v>
      </c>
      <c r="CM660" s="50" t="n">
        <f aca="false">ROUNDUP(H660/BY660,0)</f>
        <v>0</v>
      </c>
      <c r="CN660" s="50" t="n">
        <f aca="false">ROUNDUP(CI660/BY660,0)</f>
        <v>0</v>
      </c>
      <c r="CO660" s="53" t="n">
        <f aca="false">IF(BZ660=1,0,IFERROR(VLOOKUP(BX660,'Gebinde-Kategorie'!$A$5:$N$45,5,0)+0,0))</f>
        <v>11</v>
      </c>
      <c r="CP660" s="53" t="n">
        <f aca="false">IFERROR(IF(OR(CE660=1,CE660=2,CE660=3),N(INDEX(Parameter!$I$5:$I$7,CE660)),0),0)</f>
        <v>0</v>
      </c>
      <c r="CQ660" s="52" t="n">
        <f aca="false">IF(AND(Parameter!$B$21="Ja",ISNUMBER(W660),N(X660)&gt;0),IFERROR(N(INDEX(Parameter!$L$5:$L$7,W660))*INDEX(Parameter!$E$5:$E$7,W660)*X660/SUMIFS($X$7:$X$1843,$W$7:$W$1843,W660),0),0)</f>
        <v>0</v>
      </c>
    </row>
    <row r="661" customFormat="false" ht="15" hidden="false" customHeight="false" outlineLevel="0" collapsed="false">
      <c r="A661" s="48" t="s">
        <v>1341</v>
      </c>
      <c r="B661" s="48" t="s">
        <v>1007</v>
      </c>
      <c r="C661" s="48" t="s">
        <v>173</v>
      </c>
      <c r="D661" s="48" t="s">
        <v>1004</v>
      </c>
      <c r="E661" s="48"/>
      <c r="F661" s="48" t="s">
        <v>227</v>
      </c>
      <c r="G661" s="49" t="n">
        <v>161.29</v>
      </c>
      <c r="H661" s="50" t="n">
        <f aca="false">MAX(0,IF(AND(Parameter!$B$21="Ja",ISNUMBER(Y661)),Y661,IF(Parameter!$B$20="Jahresanfang 2025 + Export",BR661+BQ661,BQ661)))</f>
        <v>0</v>
      </c>
      <c r="I661" s="50" t="n">
        <f aca="false">H661*G661</f>
        <v>0</v>
      </c>
      <c r="J661" s="50" t="n">
        <f aca="false">BT661*Parameter!$B$18</f>
        <v>4</v>
      </c>
      <c r="K661" s="51" t="n">
        <v>0</v>
      </c>
      <c r="L661" s="52" t="n">
        <v>0</v>
      </c>
      <c r="M661" s="50" t="n">
        <v>0</v>
      </c>
      <c r="N661" s="50" t="n">
        <v>1</v>
      </c>
      <c r="O661" s="53" t="n">
        <v>105</v>
      </c>
      <c r="P661" s="48" t="s">
        <v>177</v>
      </c>
      <c r="Q661" s="50"/>
      <c r="R661" s="53" t="n">
        <f aca="false">IF(BZ661=1,0,IFERROR(VLOOKUP(BX661,'Gebinde-Kategorie'!$A$5:$N$45,13,0)+0,0))</f>
        <v>0</v>
      </c>
      <c r="S661" s="54"/>
      <c r="T661" s="55"/>
      <c r="U661" s="55"/>
      <c r="V661" s="55"/>
      <c r="W661" s="48"/>
      <c r="X661" s="50"/>
      <c r="Y661" s="50"/>
      <c r="Z661" s="48" t="str">
        <f aca="false">IF(A661="","",IF(AND(Parameter!$B$21="Ja",ISNUMBER(W661)),W661,IF(CC661="2+3",IF(ISNUMBER(SEARCH("grosser Artikel",BU661)),2,IFERROR(VLOOKUP(BX661,Parameter!$F$35:$G$64,2,0),2)),IF(OR(CC661="Nein",CC661=""),"-",CC661))))</f>
        <v>-</v>
      </c>
      <c r="AA661" s="55"/>
      <c r="AB661" s="56"/>
      <c r="AC661" s="50" t="n">
        <f aca="false">AV661</f>
        <v>3</v>
      </c>
      <c r="AD661" s="50" t="n">
        <f aca="false">MAX(AV661,H661)</f>
        <v>3</v>
      </c>
      <c r="AE661" s="57"/>
      <c r="AF661" s="50" t="n">
        <f aca="false">IF(LEFT(Cockpit!$C$5,1)="A",H661,IF(Parameter!$E$30="MAX-Bestand",IF(CH661=1,CI661,IF(LEFT(Cockpit!$C$5,1)="B",AL661,MAX(AL661,H661))),ROUNDUP(AJ661,0)))</f>
        <v>0</v>
      </c>
      <c r="AG661" s="50" t="n">
        <f aca="false">IF(BZ661=1,0,ROUNDUP(AF661/BY661,0))</f>
        <v>0</v>
      </c>
      <c r="AH661" s="52" t="n">
        <f aca="false">IF(CQ661&gt;0,CQ661*MAX(1,AF661/X661),IF(BZ661=1,IF(AF661&lt;=0,0,CD661*MAX(1,IF(H661&gt;0,AF661/H661,1))),IF(R661&gt;0,AG661/R661,0))/MAX(0.1,N(Parameter!$M$21)))</f>
        <v>0</v>
      </c>
      <c r="AI661" s="50" t="n">
        <f aca="false">AH661*CB661</f>
        <v>0</v>
      </c>
      <c r="AJ661" s="51" t="n">
        <f aca="false">IF(LEFT(Cockpit!$C$5,1)="A",H661,IF(CH661=1,(CK661+CI661)/2,IF(LEFT(Cockpit!$C$5,1)="B",(CK661+AL661)/2,MAX((CK661+AL661)/2,H661))))</f>
        <v>0</v>
      </c>
      <c r="AK661" s="50" t="n">
        <f aca="false">AJ661*G661</f>
        <v>0</v>
      </c>
      <c r="AL661" s="50" t="n">
        <f aca="false">ROUNDUP(CK661+MAX(CL661,2*(J661/IF(CG661&gt;0,CG661,MAX(0.1,N(Cockpit!$C$6)))-CK661)),0)</f>
        <v>3</v>
      </c>
      <c r="AM661" s="51" t="n">
        <f aca="false">IF(AI661&gt;0,J661/AI661,-1)</f>
        <v>-1</v>
      </c>
      <c r="AN661" s="51" t="str">
        <f aca="false">IF(AND(OR(CF661="L1",CF661="L23",CF661="LIFT"),AI661&gt;0),SUMIFS($AI$7:$AI$1843,$CF$7:$CF$1843,CF661,$AM$7:$AM$1843,"&gt;"&amp;AM661)+SUMIFS($AI$7:$AI$1843,$CF$7:$CF$1843,CF661,$AM$7:$AM$1843,AM661,$BW$7:$BW$1843,"&lt;="&amp;BW661),"")</f>
        <v/>
      </c>
      <c r="AO661" s="58" t="n">
        <f aca="false">IF(AN661="",0,MAX(0,MIN(1,(IF(CF661="L1",Parameter!$H$5,IF(CF661="L23",Parameter!$H$6+Parameter!$H$7,Parameter!$H$5+Parameter!$H$6+Parameter!$H$7))-(AN661-AI661))/AI661)))</f>
        <v>0</v>
      </c>
      <c r="AP661" s="50" t="n">
        <f aca="false">IF(LEFT(Cockpit!$I$5,1)="A",H661,IF(Parameter!$E$30="MAX-Bestand",IF(CH661=1,CI661,IF(LEFT(Cockpit!$I$5,1)="B",AV661,MAX(AV661,H661))),ROUNDUP(AT661,0)))</f>
        <v>2</v>
      </c>
      <c r="AQ661" s="50" t="n">
        <f aca="false">IF(BZ661=1,0,ROUNDUP(AP661/BY661,0))</f>
        <v>0</v>
      </c>
      <c r="AR661" s="52" t="n">
        <f aca="false">IF(CQ661&gt;0,CQ661*MAX(1,AP661/X661),IF(BZ661=1,IF(AP661&lt;=0,0,CD661*MAX(1,IF(H661&gt;0,AP661/H661,1))),IF(R661&gt;0,AQ661/R661,0))/MAX(0.1,N(Parameter!$M$21)))</f>
        <v>0.15</v>
      </c>
      <c r="AS661" s="50" t="n">
        <f aca="false">AR661*CB661</f>
        <v>35.25</v>
      </c>
      <c r="AT661" s="51" t="n">
        <f aca="false">IF(LEFT(Cockpit!$I$5,1)="A",H661,IF(CH661=1,(CK661+CI661)/2,IF(LEFT(Cockpit!$I$5,1)="B",(CK661+AV661)/2,MAX((CK661+AV661)/2,H661))))</f>
        <v>1.5</v>
      </c>
      <c r="AU661" s="50" t="n">
        <f aca="false">AT661*G661</f>
        <v>241.935</v>
      </c>
      <c r="AV661" s="50" t="n">
        <f aca="false">ROUNDUP(CK661+MAX(CL661,2*(J661/IF(CG661&gt;0,CG661,MAX(0.1,N(Cockpit!$I$6)))-CK661)),0)</f>
        <v>3</v>
      </c>
      <c r="AW661" s="51" t="n">
        <f aca="false">IF(AS661&gt;0,J661/AS661,-1)</f>
        <v>0.113475177304965</v>
      </c>
      <c r="AX661" s="51" t="str">
        <f aca="false">IF(AND(OR(CF661="L1",CF661="L23",CF661="LIFT"),AS661&gt;0),SUMIFS($AS$7:$AS$1843,$CF$7:$CF$1843,CF661,$AW$7:$AW$1843,"&gt;"&amp;AW661)+SUMIFS($AS$7:$AS$1843,$CF$7:$CF$1843,CF661,$AW$7:$AW$1843,AW661,$BW$7:$BW$1843,"&lt;="&amp;BW661),"")</f>
        <v/>
      </c>
      <c r="AY661" s="58" t="n">
        <f aca="false">IF(AX661="",0,MAX(0,MIN(1,(IF(CF661="L1",Parameter!$H$5,IF(CF661="L23",Parameter!$H$6+Parameter!$H$7,Parameter!$H$5+Parameter!$H$6+Parameter!$H$7))-(AX661-AS661))/AS661)))</f>
        <v>0</v>
      </c>
      <c r="AZ661" s="50" t="n">
        <f aca="false">IF(LEFT(Cockpit!$O$5,1)="A",H661,IF(Parameter!$E$30="MAX-Bestand",IF(CH661=1,CI661,IF(LEFT(Cockpit!$O$5,1)="B",BF661,MAX(BF661,H661))),ROUNDUP(BD661,0)))</f>
        <v>1</v>
      </c>
      <c r="BA661" s="50" t="n">
        <f aca="false">IF(BZ661=1,0,ROUNDUP(AZ661/BY661,0))</f>
        <v>0</v>
      </c>
      <c r="BB661" s="52" t="n">
        <f aca="false">IF(CQ661&gt;0,CQ661*MAX(1,AZ661/X661),IF(BZ661=1,IF(AZ661&lt;=0,0,CD661*MAX(1,IF(H661&gt;0,AZ661/H661,1))),IF(R661&gt;0,BA661/R661,0))/MAX(0.1,N(Parameter!$M$21)))</f>
        <v>0.15</v>
      </c>
      <c r="BC661" s="50" t="n">
        <f aca="false">BB661*CB661</f>
        <v>35.25</v>
      </c>
      <c r="BD661" s="51" t="n">
        <f aca="false">IF(LEFT(Cockpit!$O$5,1)="A",H661,IF(CH661=1,(CK661+CI661)/2,IF(LEFT(Cockpit!$O$5,1)="B",(CK661+BF661)/2,MAX((CK661+BF661)/2,H661))))</f>
        <v>1</v>
      </c>
      <c r="BE661" s="50" t="n">
        <f aca="false">BD661*G661</f>
        <v>161.29</v>
      </c>
      <c r="BF661" s="50" t="n">
        <f aca="false">ROUNDUP(CK661+MAX(CL661,2*(J661/IF(CG661&gt;0,CG661,MAX(0.1,N(Cockpit!$O$6)))-CK661)),0)</f>
        <v>2</v>
      </c>
      <c r="BG661" s="51" t="n">
        <f aca="false">IF(BC661&gt;0,J661/BC661,-1)</f>
        <v>0.113475177304965</v>
      </c>
      <c r="BH661" s="51" t="str">
        <f aca="false">IF(AND(OR(CF661="L1",CF661="L23",CF661="LIFT"),BC661&gt;0),SUMIFS($BC$7:$BC$1843,$CF$7:$CF$1843,CF661,$BG$7:$BG$1843,"&gt;"&amp;BG661)+SUMIFS($BC$7:$BC$1843,$CF$7:$CF$1843,CF661,$BG$7:$BG$1843,BG661,$BW$7:$BW$1843,"&lt;="&amp;BW661),"")</f>
        <v/>
      </c>
      <c r="BI661" s="58" t="n">
        <f aca="false">IF(BH661="",0,MAX(0,MIN(1,(IF(CF661="L1",Parameter!$H$5,IF(CF661="L23",Parameter!$H$6+Parameter!$H$7,Parameter!$H$5+Parameter!$H$6+Parameter!$H$7))-(BH661-BC661))/BC661)))</f>
        <v>0</v>
      </c>
      <c r="BJ661" s="48" t="str">
        <f aca="false">IF(AI661&lt;=0,"",IF(CF661="Aussen","Aussenlager",IF(CF661="-","Nicht im Lift",IF(AO661&gt;=1,"Lift",IF(AO661&lt;=0,"Aussenlager","teilweise")))))</f>
        <v/>
      </c>
      <c r="BK661" s="48" t="str">
        <f aca="false">IF(AS661&lt;=0,"",IF(CF661="Aussen","Aussenlager",IF(CF661="-","Nicht im Lift",IF(AY661&gt;=1,"Lift",IF(AY661&lt;=0,"Aussenlager","teilweise")))))</f>
        <v>Nicht im Lift</v>
      </c>
      <c r="BL661" s="48" t="str">
        <f aca="false">IF(BC661&lt;=0,"",IF(CF661="Aussen","Aussenlager",IF(CF661="-","Nicht im Lift",IF(BI661&gt;=1,"Lift",IF(BI661&lt;=0,"Aussenlager","teilweise")))))</f>
        <v>Nicht im Lift</v>
      </c>
      <c r="BM661" s="48" t="str">
        <f aca="false">IF(A661="","",IF(BV661=1,"Neu; ","")&amp;IF(AND(BV661=0,BQ661&lt;0),"negativer Bestand (Export "&amp;BQ661&amp;"); ","")&amp;IF(J661&lt;=0,"Kein Verbrauch; ","")&amp;IF(CQ661&gt;0,"Lift "&amp;W661&amp;" lt. Liftbericht (Fach "&amp;X661&amp;" Stk); ",IF(CA661=1,"Gebinde geschätzt ("&amp;T661&amp;"); ",IF(BZ661=1,"Lose – Tablare geschätzt; ","")))&amp;IF(H661&gt;AV661,"Überbestand "&amp;ROUND(H661-AV661,0)&amp;" Stk / CHF "&amp;ROUND((H661-AV661)*G661,0)&amp;"; ","")&amp;IF(AND(CH661=1,CI661&lt;CJ661),"MAX &lt; MB+LG; ","")&amp;IF(AND(CP661&gt;0,CO661*10&gt;CP661),"zu hoch für Tablar; ","")&amp;IF(AND(BV661=0,OR(CH661=1,AA661&lt;&gt;"",U661&lt;&gt;"",V661&lt;&gt;"",AB661&lt;&gt;"")),"manuell übersteuert; ","")&amp;IF(AND(BZ661=0,R661=0),"Gebinde unbekannt / Stellmass fehlt; ","")&amp;IF(AND(BZ661=0,N(V661)&lt;=0,N(Q661)&lt;=0),"Menge pro Gebinde fehlt (Ist = 1 Gebinde); ","")&amp;BU661)</f>
        <v>Lose – Tablare geschätzt; </v>
      </c>
      <c r="BN661" s="48"/>
      <c r="BO661" s="48"/>
      <c r="BP661" s="55"/>
      <c r="BQ661" s="50" t="n">
        <v>0</v>
      </c>
      <c r="BR661" s="50" t="n">
        <v>0</v>
      </c>
      <c r="BS661" s="49" t="n">
        <v>1.81903103690928E-014</v>
      </c>
      <c r="BT661" s="50" t="n">
        <v>4</v>
      </c>
      <c r="BU661" s="48"/>
      <c r="BV661" s="53" t="n">
        <v>0</v>
      </c>
      <c r="BW661" s="53" t="n">
        <v>661</v>
      </c>
      <c r="BX661" s="48" t="str">
        <f aca="false">IF(U661&lt;&gt;"",UPPER(TRIM(U661)),IF(CA661=1,UPPER(VLOOKUP(T661,Parameter!$I$27:$K$29,2,0)),IF(P661="","LOSE",P661)))</f>
        <v>LOSE</v>
      </c>
      <c r="BY661" s="50" t="n">
        <f aca="false">IF(BX661="LOSE",1,IF(N(V661)&gt;0,V661,IF(CA661=1,MAX(1,N(VLOOKUP(T661,Parameter!$I$27:$K$29,3,0)),H661,N(N661)),IF(N(Q661)&gt;0,Q661,MAX(1,H661)))))</f>
        <v>1</v>
      </c>
      <c r="BZ661" s="53" t="n">
        <f aca="false">IF(BX661="LOSE",1,0)</f>
        <v>1</v>
      </c>
      <c r="CA661" s="53" t="n">
        <f aca="false">IF(AND(U661="",OR(P661="",P661="LOSE"),T661&lt;&gt;"",N(S661)&lt;=0,ISNUMBER(MATCH(T661,Parameter!$I$27:$I$29,0))),1,0)</f>
        <v>0</v>
      </c>
      <c r="CB661" s="53" t="n">
        <f aca="false">IF(CQ661&gt;0,INDEX(Parameter!$H$5:$H$7,W661)/INDEX(Parameter!$E$5:$E$7,W661),IF(AND(BZ661=0,N(IFERROR(VLOOKUP(BX661,'Gebinde-Kategorie'!$A$5:$N$45,14,0),0))&gt;0),VLOOKUP(BX661,'Gebinde-Kategorie'!$A$5:$N$45,14,0)*10+Parameter!$M$23,Parameter!$M$24))</f>
        <v>235</v>
      </c>
      <c r="CC661" s="48" t="str">
        <f aca="false">IF(AND(Parameter!$B$19="Ja",E661&lt;&gt;"",ISNUMBER(MATCH(E661,Parameter!$I$35:$I$52,0))),VLOOKUP(E661,Parameter!$I$35:$J$52,2,0),IFERROR(VLOOKUP(D661,Parameter!$A$35:$C$64,2,0),"Nein"))</f>
        <v>Nein</v>
      </c>
      <c r="CD661" s="52" t="n">
        <f aca="false">IF(BZ661=0,0,IF(N(S661)&gt;0,S661,IFERROR(VLOOKUP(D661,Parameter!$A$35:$C$64,3,0)+0,0)))</f>
        <v>0.15</v>
      </c>
      <c r="CE661" s="48" t="str">
        <f aca="false">IF(AA661&lt;&gt;"",AA661,Z661)</f>
        <v>-</v>
      </c>
      <c r="CF661" s="48" t="str">
        <f aca="false">IF(OR(CE661=1,CE661=2,CE661=3),IF(Parameter!$E$27="Ja","LIFT",IF(CE661=1,"L1","L23")),IF(CE661="Aussen","Aussen","-"))</f>
        <v>-</v>
      </c>
      <c r="CG661" s="59" t="n">
        <f aca="false">IF(N(AB661)&gt;0,AB661,0)</f>
        <v>0</v>
      </c>
      <c r="CH661" s="53" t="n">
        <f aca="false">IF(ISNUMBER(AE661),1,0)</f>
        <v>0</v>
      </c>
      <c r="CI661" s="50" t="n">
        <f aca="false">N(AE661)</f>
        <v>0</v>
      </c>
      <c r="CJ661" s="50" t="n">
        <f aca="false">N(M661)+N(N661)</f>
        <v>1</v>
      </c>
      <c r="CK661" s="50" t="n">
        <f aca="false">N(M661)</f>
        <v>0</v>
      </c>
      <c r="CL661" s="50" t="n">
        <f aca="false">N(N661)</f>
        <v>1</v>
      </c>
      <c r="CM661" s="50" t="n">
        <f aca="false">ROUNDUP(H661/BY661,0)</f>
        <v>0</v>
      </c>
      <c r="CN661" s="50" t="n">
        <f aca="false">ROUNDUP(CI661/BY661,0)</f>
        <v>0</v>
      </c>
      <c r="CO661" s="53" t="n">
        <f aca="false">IF(BZ661=1,0,IFERROR(VLOOKUP(BX661,'Gebinde-Kategorie'!$A$5:$N$45,5,0)+0,0))</f>
        <v>0</v>
      </c>
      <c r="CP661" s="53" t="n">
        <f aca="false">IFERROR(IF(OR(CE661=1,CE661=2,CE661=3),N(INDEX(Parameter!$I$5:$I$7,CE661)),0),0)</f>
        <v>0</v>
      </c>
      <c r="CQ661" s="52" t="n">
        <f aca="false">IF(AND(Parameter!$B$21="Ja",ISNUMBER(W661),N(X661)&gt;0),IFERROR(N(INDEX(Parameter!$L$5:$L$7,W661))*INDEX(Parameter!$E$5:$E$7,W661)*X661/SUMIFS($X$7:$X$1843,$W$7:$W$1843,W661),0),0)</f>
        <v>0</v>
      </c>
    </row>
    <row r="662" customFormat="false" ht="15" hidden="false" customHeight="false" outlineLevel="0" collapsed="false">
      <c r="A662" s="48" t="s">
        <v>1342</v>
      </c>
      <c r="B662" s="48" t="s">
        <v>663</v>
      </c>
      <c r="C662" s="48" t="s">
        <v>173</v>
      </c>
      <c r="D662" s="48" t="s">
        <v>1004</v>
      </c>
      <c r="E662" s="48"/>
      <c r="F662" s="48" t="s">
        <v>227</v>
      </c>
      <c r="G662" s="49" t="n">
        <v>0.27</v>
      </c>
      <c r="H662" s="50" t="n">
        <f aca="false">MAX(0,IF(AND(Parameter!$B$21="Ja",ISNUMBER(Y662)),Y662,IF(Parameter!$B$20="Jahresanfang 2025 + Export",BR662+BQ662,BQ662)))</f>
        <v>0</v>
      </c>
      <c r="I662" s="50" t="n">
        <f aca="false">H662*G662</f>
        <v>0</v>
      </c>
      <c r="J662" s="50" t="n">
        <f aca="false">BT662*Parameter!$B$18</f>
        <v>60</v>
      </c>
      <c r="K662" s="51" t="n">
        <v>0</v>
      </c>
      <c r="L662" s="52" t="n">
        <v>0</v>
      </c>
      <c r="M662" s="50" t="n">
        <v>0</v>
      </c>
      <c r="N662" s="50" t="n">
        <v>1</v>
      </c>
      <c r="O662" s="53" t="n">
        <v>28</v>
      </c>
      <c r="P662" s="48" t="s">
        <v>177</v>
      </c>
      <c r="Q662" s="50"/>
      <c r="R662" s="53" t="n">
        <f aca="false">IF(BZ662=1,0,IFERROR(VLOOKUP(BX662,'Gebinde-Kategorie'!$A$5:$N$45,13,0)+0,0))</f>
        <v>0</v>
      </c>
      <c r="S662" s="54"/>
      <c r="T662" s="55"/>
      <c r="U662" s="55"/>
      <c r="V662" s="55"/>
      <c r="W662" s="48"/>
      <c r="X662" s="50"/>
      <c r="Y662" s="50"/>
      <c r="Z662" s="48" t="str">
        <f aca="false">IF(A662="","",IF(AND(Parameter!$B$21="Ja",ISNUMBER(W662)),W662,IF(CC662="2+3",IF(ISNUMBER(SEARCH("grosser Artikel",BU662)),2,IFERROR(VLOOKUP(BX662,Parameter!$F$35:$G$64,2,0),2)),IF(OR(CC662="Nein",CC662=""),"-",CC662))))</f>
        <v>-</v>
      </c>
      <c r="AA662" s="55"/>
      <c r="AB662" s="56"/>
      <c r="AC662" s="50" t="n">
        <f aca="false">AV662</f>
        <v>40</v>
      </c>
      <c r="AD662" s="50" t="n">
        <f aca="false">MAX(AV662,H662)</f>
        <v>40</v>
      </c>
      <c r="AE662" s="57"/>
      <c r="AF662" s="50" t="n">
        <f aca="false">IF(LEFT(Cockpit!$C$5,1)="A",H662,IF(Parameter!$E$30="MAX-Bestand",IF(CH662=1,CI662,IF(LEFT(Cockpit!$C$5,1)="B",AL662,MAX(AL662,H662))),ROUNDUP(AJ662,0)))</f>
        <v>0</v>
      </c>
      <c r="AG662" s="50" t="n">
        <f aca="false">IF(BZ662=1,0,ROUNDUP(AF662/BY662,0))</f>
        <v>0</v>
      </c>
      <c r="AH662" s="52" t="n">
        <f aca="false">IF(CQ662&gt;0,CQ662*MAX(1,AF662/X662),IF(BZ662=1,IF(AF662&lt;=0,0,CD662*MAX(1,IF(H662&gt;0,AF662/H662,1))),IF(R662&gt;0,AG662/R662,0))/MAX(0.1,N(Parameter!$M$21)))</f>
        <v>0</v>
      </c>
      <c r="AI662" s="50" t="n">
        <f aca="false">AH662*CB662</f>
        <v>0</v>
      </c>
      <c r="AJ662" s="51" t="n">
        <f aca="false">IF(LEFT(Cockpit!$C$5,1)="A",H662,IF(CH662=1,(CK662+CI662)/2,IF(LEFT(Cockpit!$C$5,1)="B",(CK662+AL662)/2,MAX((CK662+AL662)/2,H662))))</f>
        <v>0</v>
      </c>
      <c r="AK662" s="50" t="n">
        <f aca="false">AJ662*G662</f>
        <v>0</v>
      </c>
      <c r="AL662" s="50" t="n">
        <f aca="false">ROUNDUP(CK662+MAX(CL662,2*(J662/IF(CG662&gt;0,CG662,MAX(0.1,N(Cockpit!$C$6)))-CK662)),0)</f>
        <v>40</v>
      </c>
      <c r="AM662" s="51" t="n">
        <f aca="false">IF(AI662&gt;0,J662/AI662,-1)</f>
        <v>-1</v>
      </c>
      <c r="AN662" s="51" t="str">
        <f aca="false">IF(AND(OR(CF662="L1",CF662="L23",CF662="LIFT"),AI662&gt;0),SUMIFS($AI$7:$AI$1843,$CF$7:$CF$1843,CF662,$AM$7:$AM$1843,"&gt;"&amp;AM662)+SUMIFS($AI$7:$AI$1843,$CF$7:$CF$1843,CF662,$AM$7:$AM$1843,AM662,$BW$7:$BW$1843,"&lt;="&amp;BW662),"")</f>
        <v/>
      </c>
      <c r="AO662" s="58" t="n">
        <f aca="false">IF(AN662="",0,MAX(0,MIN(1,(IF(CF662="L1",Parameter!$H$5,IF(CF662="L23",Parameter!$H$6+Parameter!$H$7,Parameter!$H$5+Parameter!$H$6+Parameter!$H$7))-(AN662-AI662))/AI662)))</f>
        <v>0</v>
      </c>
      <c r="AP662" s="50" t="n">
        <f aca="false">IF(LEFT(Cockpit!$I$5,1)="A",H662,IF(Parameter!$E$30="MAX-Bestand",IF(CH662=1,CI662,IF(LEFT(Cockpit!$I$5,1)="B",AV662,MAX(AV662,H662))),ROUNDUP(AT662,0)))</f>
        <v>20</v>
      </c>
      <c r="AQ662" s="50" t="n">
        <f aca="false">IF(BZ662=1,0,ROUNDUP(AP662/BY662,0))</f>
        <v>0</v>
      </c>
      <c r="AR662" s="52" t="n">
        <f aca="false">IF(CQ662&gt;0,CQ662*MAX(1,AP662/X662),IF(BZ662=1,IF(AP662&lt;=0,0,CD662*MAX(1,IF(H662&gt;0,AP662/H662,1))),IF(R662&gt;0,AQ662/R662,0))/MAX(0.1,N(Parameter!$M$21)))</f>
        <v>0.15</v>
      </c>
      <c r="AS662" s="50" t="n">
        <f aca="false">AR662*CB662</f>
        <v>35.25</v>
      </c>
      <c r="AT662" s="51" t="n">
        <f aca="false">IF(LEFT(Cockpit!$I$5,1)="A",H662,IF(CH662=1,(CK662+CI662)/2,IF(LEFT(Cockpit!$I$5,1)="B",(CK662+AV662)/2,MAX((CK662+AV662)/2,H662))))</f>
        <v>20</v>
      </c>
      <c r="AU662" s="50" t="n">
        <f aca="false">AT662*G662</f>
        <v>5.4</v>
      </c>
      <c r="AV662" s="50" t="n">
        <f aca="false">ROUNDUP(CK662+MAX(CL662,2*(J662/IF(CG662&gt;0,CG662,MAX(0.1,N(Cockpit!$I$6)))-CK662)),0)</f>
        <v>40</v>
      </c>
      <c r="AW662" s="51" t="n">
        <f aca="false">IF(AS662&gt;0,J662/AS662,-1)</f>
        <v>1.70212765957447</v>
      </c>
      <c r="AX662" s="51" t="str">
        <f aca="false">IF(AND(OR(CF662="L1",CF662="L23",CF662="LIFT"),AS662&gt;0),SUMIFS($AS$7:$AS$1843,$CF$7:$CF$1843,CF662,$AW$7:$AW$1843,"&gt;"&amp;AW662)+SUMIFS($AS$7:$AS$1843,$CF$7:$CF$1843,CF662,$AW$7:$AW$1843,AW662,$BW$7:$BW$1843,"&lt;="&amp;BW662),"")</f>
        <v/>
      </c>
      <c r="AY662" s="58" t="n">
        <f aca="false">IF(AX662="",0,MAX(0,MIN(1,(IF(CF662="L1",Parameter!$H$5,IF(CF662="L23",Parameter!$H$6+Parameter!$H$7,Parameter!$H$5+Parameter!$H$6+Parameter!$H$7))-(AX662-AS662))/AS662)))</f>
        <v>0</v>
      </c>
      <c r="AZ662" s="50" t="n">
        <f aca="false">IF(LEFT(Cockpit!$O$5,1)="A",H662,IF(Parameter!$E$30="MAX-Bestand",IF(CH662=1,CI662,IF(LEFT(Cockpit!$O$5,1)="B",BF662,MAX(BF662,H662))),ROUNDUP(BD662,0)))</f>
        <v>15</v>
      </c>
      <c r="BA662" s="50" t="n">
        <f aca="false">IF(BZ662=1,0,ROUNDUP(AZ662/BY662,0))</f>
        <v>0</v>
      </c>
      <c r="BB662" s="52" t="n">
        <f aca="false">IF(CQ662&gt;0,CQ662*MAX(1,AZ662/X662),IF(BZ662=1,IF(AZ662&lt;=0,0,CD662*MAX(1,IF(H662&gt;0,AZ662/H662,1))),IF(R662&gt;0,BA662/R662,0))/MAX(0.1,N(Parameter!$M$21)))</f>
        <v>0.15</v>
      </c>
      <c r="BC662" s="50" t="n">
        <f aca="false">BB662*CB662</f>
        <v>35.25</v>
      </c>
      <c r="BD662" s="51" t="n">
        <f aca="false">IF(LEFT(Cockpit!$O$5,1)="A",H662,IF(CH662=1,(CK662+CI662)/2,IF(LEFT(Cockpit!$O$5,1)="B",(CK662+BF662)/2,MAX((CK662+BF662)/2,H662))))</f>
        <v>15</v>
      </c>
      <c r="BE662" s="50" t="n">
        <f aca="false">BD662*G662</f>
        <v>4.05</v>
      </c>
      <c r="BF662" s="50" t="n">
        <f aca="false">ROUNDUP(CK662+MAX(CL662,2*(J662/IF(CG662&gt;0,CG662,MAX(0.1,N(Cockpit!$O$6)))-CK662)),0)</f>
        <v>30</v>
      </c>
      <c r="BG662" s="51" t="n">
        <f aca="false">IF(BC662&gt;0,J662/BC662,-1)</f>
        <v>1.70212765957447</v>
      </c>
      <c r="BH662" s="51" t="str">
        <f aca="false">IF(AND(OR(CF662="L1",CF662="L23",CF662="LIFT"),BC662&gt;0),SUMIFS($BC$7:$BC$1843,$CF$7:$CF$1843,CF662,$BG$7:$BG$1843,"&gt;"&amp;BG662)+SUMIFS($BC$7:$BC$1843,$CF$7:$CF$1843,CF662,$BG$7:$BG$1843,BG662,$BW$7:$BW$1843,"&lt;="&amp;BW662),"")</f>
        <v/>
      </c>
      <c r="BI662" s="58" t="n">
        <f aca="false">IF(BH662="",0,MAX(0,MIN(1,(IF(CF662="L1",Parameter!$H$5,IF(CF662="L23",Parameter!$H$6+Parameter!$H$7,Parameter!$H$5+Parameter!$H$6+Parameter!$H$7))-(BH662-BC662))/BC662)))</f>
        <v>0</v>
      </c>
      <c r="BJ662" s="48" t="str">
        <f aca="false">IF(AI662&lt;=0,"",IF(CF662="Aussen","Aussenlager",IF(CF662="-","Nicht im Lift",IF(AO662&gt;=1,"Lift",IF(AO662&lt;=0,"Aussenlager","teilweise")))))</f>
        <v/>
      </c>
      <c r="BK662" s="48" t="str">
        <f aca="false">IF(AS662&lt;=0,"",IF(CF662="Aussen","Aussenlager",IF(CF662="-","Nicht im Lift",IF(AY662&gt;=1,"Lift",IF(AY662&lt;=0,"Aussenlager","teilweise")))))</f>
        <v>Nicht im Lift</v>
      </c>
      <c r="BL662" s="48" t="str">
        <f aca="false">IF(BC662&lt;=0,"",IF(CF662="Aussen","Aussenlager",IF(CF662="-","Nicht im Lift",IF(BI662&gt;=1,"Lift",IF(BI662&lt;=0,"Aussenlager","teilweise")))))</f>
        <v>Nicht im Lift</v>
      </c>
      <c r="BM662" s="48" t="str">
        <f aca="false">IF(A662="","",IF(BV662=1,"Neu; ","")&amp;IF(AND(BV662=0,BQ662&lt;0),"negativer Bestand (Export "&amp;BQ662&amp;"); ","")&amp;IF(J662&lt;=0,"Kein Verbrauch; ","")&amp;IF(CQ662&gt;0,"Lift "&amp;W662&amp;" lt. Liftbericht (Fach "&amp;X662&amp;" Stk); ",IF(CA662=1,"Gebinde geschätzt ("&amp;T662&amp;"); ",IF(BZ662=1,"Lose – Tablare geschätzt; ","")))&amp;IF(H662&gt;AV662,"Überbestand "&amp;ROUND(H662-AV662,0)&amp;" Stk / CHF "&amp;ROUND((H662-AV662)*G662,0)&amp;"; ","")&amp;IF(AND(CH662=1,CI662&lt;CJ662),"MAX &lt; MB+LG; ","")&amp;IF(AND(CP662&gt;0,CO662*10&gt;CP662),"zu hoch für Tablar; ","")&amp;IF(AND(BV662=0,OR(CH662=1,AA662&lt;&gt;"",U662&lt;&gt;"",V662&lt;&gt;"",AB662&lt;&gt;"")),"manuell übersteuert; ","")&amp;IF(AND(BZ662=0,R662=0),"Gebinde unbekannt / Stellmass fehlt; ","")&amp;IF(AND(BZ662=0,N(V662)&lt;=0,N(Q662)&lt;=0),"Menge pro Gebinde fehlt (Ist = 1 Gebinde); ","")&amp;BU662)</f>
        <v>Lose – Tablare geschätzt; </v>
      </c>
      <c r="BN662" s="48"/>
      <c r="BO662" s="48"/>
      <c r="BP662" s="55"/>
      <c r="BQ662" s="50" t="n">
        <v>0</v>
      </c>
      <c r="BR662" s="50" t="n">
        <v>0</v>
      </c>
      <c r="BS662" s="49" t="n">
        <v>8.88178419700125E-016</v>
      </c>
      <c r="BT662" s="50" t="n">
        <v>60</v>
      </c>
      <c r="BU662" s="48"/>
      <c r="BV662" s="53" t="n">
        <v>0</v>
      </c>
      <c r="BW662" s="53" t="n">
        <v>662</v>
      </c>
      <c r="BX662" s="48" t="str">
        <f aca="false">IF(U662&lt;&gt;"",UPPER(TRIM(U662)),IF(CA662=1,UPPER(VLOOKUP(T662,Parameter!$I$27:$K$29,2,0)),IF(P662="","LOSE",P662)))</f>
        <v>LOSE</v>
      </c>
      <c r="BY662" s="50" t="n">
        <f aca="false">IF(BX662="LOSE",1,IF(N(V662)&gt;0,V662,IF(CA662=1,MAX(1,N(VLOOKUP(T662,Parameter!$I$27:$K$29,3,0)),H662,N(N662)),IF(N(Q662)&gt;0,Q662,MAX(1,H662)))))</f>
        <v>1</v>
      </c>
      <c r="BZ662" s="53" t="n">
        <f aca="false">IF(BX662="LOSE",1,0)</f>
        <v>1</v>
      </c>
      <c r="CA662" s="53" t="n">
        <f aca="false">IF(AND(U662="",OR(P662="",P662="LOSE"),T662&lt;&gt;"",N(S662)&lt;=0,ISNUMBER(MATCH(T662,Parameter!$I$27:$I$29,0))),1,0)</f>
        <v>0</v>
      </c>
      <c r="CB662" s="53" t="n">
        <f aca="false">IF(CQ662&gt;0,INDEX(Parameter!$H$5:$H$7,W662)/INDEX(Parameter!$E$5:$E$7,W662),IF(AND(BZ662=0,N(IFERROR(VLOOKUP(BX662,'Gebinde-Kategorie'!$A$5:$N$45,14,0),0))&gt;0),VLOOKUP(BX662,'Gebinde-Kategorie'!$A$5:$N$45,14,0)*10+Parameter!$M$23,Parameter!$M$24))</f>
        <v>235</v>
      </c>
      <c r="CC662" s="48" t="str">
        <f aca="false">IF(AND(Parameter!$B$19="Ja",E662&lt;&gt;"",ISNUMBER(MATCH(E662,Parameter!$I$35:$I$52,0))),VLOOKUP(E662,Parameter!$I$35:$J$52,2,0),IFERROR(VLOOKUP(D662,Parameter!$A$35:$C$64,2,0),"Nein"))</f>
        <v>Nein</v>
      </c>
      <c r="CD662" s="52" t="n">
        <f aca="false">IF(BZ662=0,0,IF(N(S662)&gt;0,S662,IFERROR(VLOOKUP(D662,Parameter!$A$35:$C$64,3,0)+0,0)))</f>
        <v>0.15</v>
      </c>
      <c r="CE662" s="48" t="str">
        <f aca="false">IF(AA662&lt;&gt;"",AA662,Z662)</f>
        <v>-</v>
      </c>
      <c r="CF662" s="48" t="str">
        <f aca="false">IF(OR(CE662=1,CE662=2,CE662=3),IF(Parameter!$E$27="Ja","LIFT",IF(CE662=1,"L1","L23")),IF(CE662="Aussen","Aussen","-"))</f>
        <v>-</v>
      </c>
      <c r="CG662" s="59" t="n">
        <f aca="false">IF(N(AB662)&gt;0,AB662,0)</f>
        <v>0</v>
      </c>
      <c r="CH662" s="53" t="n">
        <f aca="false">IF(ISNUMBER(AE662),1,0)</f>
        <v>0</v>
      </c>
      <c r="CI662" s="50" t="n">
        <f aca="false">N(AE662)</f>
        <v>0</v>
      </c>
      <c r="CJ662" s="50" t="n">
        <f aca="false">N(M662)+N(N662)</f>
        <v>1</v>
      </c>
      <c r="CK662" s="50" t="n">
        <f aca="false">N(M662)</f>
        <v>0</v>
      </c>
      <c r="CL662" s="50" t="n">
        <f aca="false">N(N662)</f>
        <v>1</v>
      </c>
      <c r="CM662" s="50" t="n">
        <f aca="false">ROUNDUP(H662/BY662,0)</f>
        <v>0</v>
      </c>
      <c r="CN662" s="50" t="n">
        <f aca="false">ROUNDUP(CI662/BY662,0)</f>
        <v>0</v>
      </c>
      <c r="CO662" s="53" t="n">
        <f aca="false">IF(BZ662=1,0,IFERROR(VLOOKUP(BX662,'Gebinde-Kategorie'!$A$5:$N$45,5,0)+0,0))</f>
        <v>0</v>
      </c>
      <c r="CP662" s="53" t="n">
        <f aca="false">IFERROR(IF(OR(CE662=1,CE662=2,CE662=3),N(INDEX(Parameter!$I$5:$I$7,CE662)),0),0)</f>
        <v>0</v>
      </c>
      <c r="CQ662" s="52" t="n">
        <f aca="false">IF(AND(Parameter!$B$21="Ja",ISNUMBER(W662),N(X662)&gt;0),IFERROR(N(INDEX(Parameter!$L$5:$L$7,W662))*INDEX(Parameter!$E$5:$E$7,W662)*X662/SUMIFS($X$7:$X$1843,$W$7:$W$1843,W662),0),0)</f>
        <v>0</v>
      </c>
    </row>
    <row r="663" customFormat="false" ht="15" hidden="false" customHeight="false" outlineLevel="0" collapsed="false">
      <c r="A663" s="48" t="s">
        <v>1343</v>
      </c>
      <c r="B663" s="48" t="s">
        <v>1344</v>
      </c>
      <c r="C663" s="48" t="s">
        <v>173</v>
      </c>
      <c r="D663" s="48" t="s">
        <v>182</v>
      </c>
      <c r="E663" s="48"/>
      <c r="F663" s="48" t="s">
        <v>227</v>
      </c>
      <c r="G663" s="49" t="n">
        <v>0.01</v>
      </c>
      <c r="H663" s="50" t="n">
        <f aca="false">MAX(0,IF(AND(Parameter!$B$21="Ja",ISNUMBER(Y663)),Y663,IF(Parameter!$B$20="Jahresanfang 2025 + Export",BR663+BQ663,BQ663)))</f>
        <v>0</v>
      </c>
      <c r="I663" s="50" t="n">
        <f aca="false">H663*G663</f>
        <v>0</v>
      </c>
      <c r="J663" s="50" t="n">
        <f aca="false">BT663*Parameter!$B$18</f>
        <v>31</v>
      </c>
      <c r="K663" s="51" t="n">
        <v>50</v>
      </c>
      <c r="L663" s="52" t="n">
        <v>0.62</v>
      </c>
      <c r="M663" s="50" t="n">
        <v>0</v>
      </c>
      <c r="N663" s="50" t="n">
        <v>1</v>
      </c>
      <c r="O663" s="53" t="n">
        <v>0</v>
      </c>
      <c r="P663" s="48" t="s">
        <v>177</v>
      </c>
      <c r="Q663" s="50"/>
      <c r="R663" s="53" t="n">
        <f aca="false">IF(BZ663=1,0,IFERROR(VLOOKUP(BX663,'Gebinde-Kategorie'!$A$5:$N$45,13,0)+0,0))</f>
        <v>12</v>
      </c>
      <c r="S663" s="54"/>
      <c r="T663" s="55" t="s">
        <v>188</v>
      </c>
      <c r="U663" s="55"/>
      <c r="V663" s="55"/>
      <c r="W663" s="48"/>
      <c r="X663" s="50"/>
      <c r="Y663" s="50"/>
      <c r="Z663" s="48" t="n">
        <f aca="false">IF(A663="","",IF(AND(Parameter!$B$21="Ja",ISNUMBER(W663)),W663,IF(CC663="2+3",IF(ISNUMBER(SEARCH("grosser Artikel",BU663)),2,IFERROR(VLOOKUP(BX663,Parameter!$F$35:$G$64,2,0),2)),IF(OR(CC663="Nein",CC663=""),"-",CC663))))</f>
        <v>2</v>
      </c>
      <c r="AA663" s="55"/>
      <c r="AB663" s="56"/>
      <c r="AC663" s="50" t="n">
        <f aca="false">AV663</f>
        <v>21</v>
      </c>
      <c r="AD663" s="50" t="n">
        <f aca="false">MAX(AV663,H663)</f>
        <v>21</v>
      </c>
      <c r="AE663" s="57"/>
      <c r="AF663" s="50" t="n">
        <f aca="false">IF(LEFT(Cockpit!$C$5,1)="A",H663,IF(Parameter!$E$30="MAX-Bestand",IF(CH663=1,CI663,IF(LEFT(Cockpit!$C$5,1)="B",AL663,MAX(AL663,H663))),ROUNDUP(AJ663,0)))</f>
        <v>0</v>
      </c>
      <c r="AG663" s="50" t="n">
        <f aca="false">IF(BZ663=1,0,ROUNDUP(AF663/BY663,0))</f>
        <v>0</v>
      </c>
      <c r="AH663" s="52" t="n">
        <f aca="false">IF(CQ663&gt;0,CQ663*MAX(1,AF663/X663),IF(BZ663=1,IF(AF663&lt;=0,0,CD663*MAX(1,IF(H663&gt;0,AF663/H663,1))),IF(R663&gt;0,AG663/R663,0))/MAX(0.1,N(Parameter!$M$21)))</f>
        <v>0</v>
      </c>
      <c r="AI663" s="50" t="n">
        <f aca="false">AH663*CB663</f>
        <v>0</v>
      </c>
      <c r="AJ663" s="51" t="n">
        <f aca="false">IF(LEFT(Cockpit!$C$5,1)="A",H663,IF(CH663=1,(CK663+CI663)/2,IF(LEFT(Cockpit!$C$5,1)="B",(CK663+AL663)/2,MAX((CK663+AL663)/2,H663))))</f>
        <v>0</v>
      </c>
      <c r="AK663" s="50" t="n">
        <f aca="false">AJ663*G663</f>
        <v>0</v>
      </c>
      <c r="AL663" s="50" t="n">
        <f aca="false">ROUNDUP(CK663+MAX(CL663,2*(J663/IF(CG663&gt;0,CG663,MAX(0.1,N(Cockpit!$C$6)))-CK663)),0)</f>
        <v>21</v>
      </c>
      <c r="AM663" s="51" t="n">
        <f aca="false">IF(AI663&gt;0,J663/AI663,-1)</f>
        <v>-1</v>
      </c>
      <c r="AN663" s="51" t="str">
        <f aca="false">IF(AND(OR(CF663="L1",CF663="L23",CF663="LIFT"),AI663&gt;0),SUMIFS($AI$7:$AI$1843,$CF$7:$CF$1843,CF663,$AM$7:$AM$1843,"&gt;"&amp;AM663)+SUMIFS($AI$7:$AI$1843,$CF$7:$CF$1843,CF663,$AM$7:$AM$1843,AM663,$BW$7:$BW$1843,"&lt;="&amp;BW663),"")</f>
        <v/>
      </c>
      <c r="AO663" s="58" t="n">
        <f aca="false">IF(AN663="",0,MAX(0,MIN(1,(IF(CF663="L1",Parameter!$H$5,IF(CF663="L23",Parameter!$H$6+Parameter!$H$7,Parameter!$H$5+Parameter!$H$6+Parameter!$H$7))-(AN663-AI663))/AI663)))</f>
        <v>0</v>
      </c>
      <c r="AP663" s="50" t="n">
        <f aca="false">IF(LEFT(Cockpit!$I$5,1)="A",H663,IF(Parameter!$E$30="MAX-Bestand",IF(CH663=1,CI663,IF(LEFT(Cockpit!$I$5,1)="B",AV663,MAX(AV663,H663))),ROUNDUP(AT663,0)))</f>
        <v>11</v>
      </c>
      <c r="AQ663" s="50" t="n">
        <f aca="false">IF(BZ663=1,0,ROUNDUP(AP663/BY663,0))</f>
        <v>3</v>
      </c>
      <c r="AR663" s="52" t="n">
        <f aca="false">IF(CQ663&gt;0,CQ663*MAX(1,AP663/X663),IF(BZ663=1,IF(AP663&lt;=0,0,CD663*MAX(1,IF(H663&gt;0,AP663/H663,1))),IF(R663&gt;0,AQ663/R663,0))/MAX(0.1,N(Parameter!$M$21)))</f>
        <v>0.25</v>
      </c>
      <c r="AS663" s="50" t="n">
        <f aca="false">AR663*CB663</f>
        <v>36.25</v>
      </c>
      <c r="AT663" s="51" t="n">
        <f aca="false">IF(LEFT(Cockpit!$I$5,1)="A",H663,IF(CH663=1,(CK663+CI663)/2,IF(LEFT(Cockpit!$I$5,1)="B",(CK663+AV663)/2,MAX((CK663+AV663)/2,H663))))</f>
        <v>10.5</v>
      </c>
      <c r="AU663" s="50" t="n">
        <f aca="false">AT663*G663</f>
        <v>0.105</v>
      </c>
      <c r="AV663" s="50" t="n">
        <f aca="false">ROUNDUP(CK663+MAX(CL663,2*(J663/IF(CG663&gt;0,CG663,MAX(0.1,N(Cockpit!$I$6)))-CK663)),0)</f>
        <v>21</v>
      </c>
      <c r="AW663" s="51" t="n">
        <f aca="false">IF(AS663&gt;0,J663/AS663,-1)</f>
        <v>0.855172413793104</v>
      </c>
      <c r="AX663" s="51" t="n">
        <f aca="false">IF(AND(OR(CF663="L1",CF663="L23",CF663="LIFT"),AS663&gt;0),SUMIFS($AS$7:$AS$1843,$CF$7:$CF$1843,CF663,$AW$7:$AW$1843,"&gt;"&amp;AW663)+SUMIFS($AS$7:$AS$1843,$CF$7:$CF$1843,CF663,$AW$7:$AW$1843,AW663,$BW$7:$BW$1843,"&lt;="&amp;BW663),"")</f>
        <v>9554.78296703297</v>
      </c>
      <c r="AY663" s="58" t="n">
        <f aca="false">IF(AX663="",0,MAX(0,MIN(1,(IF(CF663="L1",Parameter!$H$5,IF(CF663="L23",Parameter!$H$6+Parameter!$H$7,Parameter!$H$5+Parameter!$H$6+Parameter!$H$7))-(AX663-AS663))/AS663)))</f>
        <v>1</v>
      </c>
      <c r="AZ663" s="50" t="n">
        <f aca="false">IF(LEFT(Cockpit!$O$5,1)="A",H663,IF(Parameter!$E$30="MAX-Bestand",IF(CH663=1,CI663,IF(LEFT(Cockpit!$O$5,1)="B",BF663,MAX(BF663,H663))),ROUNDUP(BD663,0)))</f>
        <v>8</v>
      </c>
      <c r="BA663" s="50" t="n">
        <f aca="false">IF(BZ663=1,0,ROUNDUP(AZ663/BY663,0))</f>
        <v>2</v>
      </c>
      <c r="BB663" s="52" t="n">
        <f aca="false">IF(CQ663&gt;0,CQ663*MAX(1,AZ663/X663),IF(BZ663=1,IF(AZ663&lt;=0,0,CD663*MAX(1,IF(H663&gt;0,AZ663/H663,1))),IF(R663&gt;0,BA663/R663,0))/MAX(0.1,N(Parameter!$M$21)))</f>
        <v>0.166666666666667</v>
      </c>
      <c r="BC663" s="50" t="n">
        <f aca="false">BB663*CB663</f>
        <v>24.1666666666667</v>
      </c>
      <c r="BD663" s="51" t="n">
        <f aca="false">IF(LEFT(Cockpit!$O$5,1)="A",H663,IF(CH663=1,(CK663+CI663)/2,IF(LEFT(Cockpit!$O$5,1)="B",(CK663+BF663)/2,MAX((CK663+BF663)/2,H663))))</f>
        <v>8</v>
      </c>
      <c r="BE663" s="50" t="n">
        <f aca="false">BD663*G663</f>
        <v>0.08</v>
      </c>
      <c r="BF663" s="50" t="n">
        <f aca="false">ROUNDUP(CK663+MAX(CL663,2*(J663/IF(CG663&gt;0,CG663,MAX(0.1,N(Cockpit!$O$6)))-CK663)),0)</f>
        <v>16</v>
      </c>
      <c r="BG663" s="51" t="n">
        <f aca="false">IF(BC663&gt;0,J663/BC663,-1)</f>
        <v>1.28275862068966</v>
      </c>
      <c r="BH663" s="51" t="n">
        <f aca="false">IF(AND(OR(CF663="L1",CF663="L23",CF663="LIFT"),BC663&gt;0),SUMIFS($BC$7:$BC$1843,$CF$7:$CF$1843,CF663,$BG$7:$BG$1843,"&gt;"&amp;BG663)+SUMIFS($BC$7:$BC$1843,$CF$7:$CF$1843,CF663,$BG$7:$BG$1843,BG663,$BW$7:$BW$1843,"&lt;="&amp;BW663),"")</f>
        <v>6852.48305860806</v>
      </c>
      <c r="BI663" s="58" t="n">
        <f aca="false">IF(BH663="",0,MAX(0,MIN(1,(IF(CF663="L1",Parameter!$H$5,IF(CF663="L23",Parameter!$H$6+Parameter!$H$7,Parameter!$H$5+Parameter!$H$6+Parameter!$H$7))-(BH663-BC663))/BC663)))</f>
        <v>1</v>
      </c>
      <c r="BJ663" s="48" t="str">
        <f aca="false">IF(AI663&lt;=0,"",IF(CF663="Aussen","Aussenlager",IF(CF663="-","Nicht im Lift",IF(AO663&gt;=1,"Lift",IF(AO663&lt;=0,"Aussenlager","teilweise")))))</f>
        <v/>
      </c>
      <c r="BK663" s="48" t="str">
        <f aca="false">IF(AS663&lt;=0,"",IF(CF663="Aussen","Aussenlager",IF(CF663="-","Nicht im Lift",IF(AY663&gt;=1,"Lift",IF(AY663&lt;=0,"Aussenlager","teilweise")))))</f>
        <v>Lift</v>
      </c>
      <c r="BL663" s="48" t="str">
        <f aca="false">IF(BC663&lt;=0,"",IF(CF663="Aussen","Aussenlager",IF(CF663="-","Nicht im Lift",IF(BI663&gt;=1,"Lift",IF(BI663&lt;=0,"Aussenlager","teilweise")))))</f>
        <v>Lift</v>
      </c>
      <c r="BM663" s="48" t="str">
        <f aca="false">IF(A663="","",IF(BV663=1,"Neu; ","")&amp;IF(AND(BV663=0,BQ663&lt;0),"negativer Bestand (Export "&amp;BQ663&amp;"); ","")&amp;IF(J663&lt;=0,"Kein Verbrauch; ","")&amp;IF(CQ663&gt;0,"Lift "&amp;W663&amp;" lt. Liftbericht (Fach "&amp;X663&amp;" Stk); ",IF(CA663=1,"Gebinde geschätzt ("&amp;T663&amp;"); ",IF(BZ663=1,"Lose – Tablare geschätzt; ","")))&amp;IF(H663&gt;AV663,"Überbestand "&amp;ROUND(H663-AV663,0)&amp;" Stk / CHF "&amp;ROUND((H663-AV663)*G663,0)&amp;"; ","")&amp;IF(AND(CH663=1,CI663&lt;CJ663),"MAX &lt; MB+LG; ","")&amp;IF(AND(CP663&gt;0,CO663*10&gt;CP663),"zu hoch für Tablar; ","")&amp;IF(AND(BV663=0,OR(CH663=1,AA663&lt;&gt;"",U663&lt;&gt;"",V663&lt;&gt;"",AB663&lt;&gt;"")),"manuell übersteuert; ","")&amp;IF(AND(BZ663=0,R663=0),"Gebinde unbekannt / Stellmass fehlt; ","")&amp;IF(AND(BZ663=0,N(V663)&lt;=0,N(Q663)&lt;=0),"Menge pro Gebinde fehlt (Ist = 1 Gebinde); ","")&amp;BU663)</f>
        <v>negativer Bestand (Export -100); Gebinde geschätzt (Mittel); Menge pro Gebinde fehlt (Ist = 1 Gebinde); </v>
      </c>
      <c r="BN663" s="48"/>
      <c r="BO663" s="48"/>
      <c r="BP663" s="55"/>
      <c r="BQ663" s="50" t="n">
        <v>-100</v>
      </c>
      <c r="BR663" s="50" t="n">
        <v>100</v>
      </c>
      <c r="BS663" s="49" t="n">
        <v>1.11022302462516E-016</v>
      </c>
      <c r="BT663" s="50" t="n">
        <v>31</v>
      </c>
      <c r="BU663" s="48"/>
      <c r="BV663" s="53" t="n">
        <v>0</v>
      </c>
      <c r="BW663" s="53" t="n">
        <v>663</v>
      </c>
      <c r="BX663" s="48" t="str">
        <f aca="false">IF(U663&lt;&gt;"",UPPER(TRIM(U663)),IF(CA663=1,UPPER(VLOOKUP(T663,Parameter!$I$27:$K$29,2,0)),IF(P663="","LOSE",P663)))</f>
        <v>S61</v>
      </c>
      <c r="BY663" s="50" t="n">
        <f aca="false">IF(BX663="LOSE",1,IF(N(V663)&gt;0,V663,IF(CA663=1,MAX(1,N(VLOOKUP(T663,Parameter!$I$27:$K$29,3,0)),H663,N(N663)),IF(N(Q663)&gt;0,Q663,MAX(1,H663)))))</f>
        <v>4</v>
      </c>
      <c r="BZ663" s="53" t="n">
        <f aca="false">IF(BX663="LOSE",1,0)</f>
        <v>0</v>
      </c>
      <c r="CA663" s="53" t="n">
        <f aca="false">IF(AND(U663="",OR(P663="",P663="LOSE"),T663&lt;&gt;"",N(S663)&lt;=0,ISNUMBER(MATCH(T663,Parameter!$I$27:$I$29,0))),1,0)</f>
        <v>1</v>
      </c>
      <c r="CB663" s="53" t="n">
        <f aca="false">IF(CQ663&gt;0,INDEX(Parameter!$H$5:$H$7,W663)/INDEX(Parameter!$E$5:$E$7,W663),IF(AND(BZ663=0,N(IFERROR(VLOOKUP(BX663,'Gebinde-Kategorie'!$A$5:$N$45,14,0),0))&gt;0),VLOOKUP(BX663,'Gebinde-Kategorie'!$A$5:$N$45,14,0)*10+Parameter!$M$23,Parameter!$M$24))</f>
        <v>145</v>
      </c>
      <c r="CC663" s="48" t="str">
        <f aca="false">IF(AND(Parameter!$B$19="Ja",E663&lt;&gt;"",ISNUMBER(MATCH(E663,Parameter!$I$35:$I$52,0))),VLOOKUP(E663,Parameter!$I$35:$J$52,2,0),IFERROR(VLOOKUP(D663,Parameter!$A$35:$C$64,2,0),"Nein"))</f>
        <v>2+3</v>
      </c>
      <c r="CD663" s="52" t="n">
        <f aca="false">IF(BZ663=0,0,IF(N(S663)&gt;0,S663,IFERROR(VLOOKUP(D663,Parameter!$A$35:$C$64,3,0)+0,0)))</f>
        <v>0</v>
      </c>
      <c r="CE663" s="48" t="n">
        <f aca="false">IF(AA663&lt;&gt;"",AA663,Z663)</f>
        <v>2</v>
      </c>
      <c r="CF663" s="48" t="str">
        <f aca="false">IF(OR(CE663=1,CE663=2,CE663=3),IF(Parameter!$E$27="Ja","LIFT",IF(CE663=1,"L1","L23")),IF(CE663="Aussen","Aussen","-"))</f>
        <v>LIFT</v>
      </c>
      <c r="CG663" s="59" t="n">
        <f aca="false">IF(N(AB663)&gt;0,AB663,0)</f>
        <v>0</v>
      </c>
      <c r="CH663" s="53" t="n">
        <f aca="false">IF(ISNUMBER(AE663),1,0)</f>
        <v>0</v>
      </c>
      <c r="CI663" s="50" t="n">
        <f aca="false">N(AE663)</f>
        <v>0</v>
      </c>
      <c r="CJ663" s="50" t="n">
        <f aca="false">N(M663)+N(N663)</f>
        <v>1</v>
      </c>
      <c r="CK663" s="50" t="n">
        <f aca="false">N(M663)</f>
        <v>0</v>
      </c>
      <c r="CL663" s="50" t="n">
        <f aca="false">N(N663)</f>
        <v>1</v>
      </c>
      <c r="CM663" s="50" t="n">
        <f aca="false">ROUNDUP(H663/BY663,0)</f>
        <v>0</v>
      </c>
      <c r="CN663" s="50" t="n">
        <f aca="false">ROUNDUP(CI663/BY663,0)</f>
        <v>0</v>
      </c>
      <c r="CO663" s="53" t="n">
        <f aca="false">IF(BZ663=1,0,IFERROR(VLOOKUP(BX663,'Gebinde-Kategorie'!$A$5:$N$45,5,0)+0,0))</f>
        <v>11</v>
      </c>
      <c r="CP663" s="53" t="n">
        <f aca="false">IFERROR(IF(OR(CE663=1,CE663=2,CE663=3),N(INDEX(Parameter!$I$5:$I$7,CE663)),0),0)</f>
        <v>0</v>
      </c>
      <c r="CQ663" s="52" t="n">
        <f aca="false">IF(AND(Parameter!$B$21="Ja",ISNUMBER(W663),N(X663)&gt;0),IFERROR(N(INDEX(Parameter!$L$5:$L$7,W663))*INDEX(Parameter!$E$5:$E$7,W663)*X663/SUMIFS($X$7:$X$1843,$W$7:$W$1843,W663),0),0)</f>
        <v>0</v>
      </c>
    </row>
    <row r="664" customFormat="false" ht="15" hidden="false" customHeight="false" outlineLevel="0" collapsed="false">
      <c r="A664" s="48" t="s">
        <v>1345</v>
      </c>
      <c r="B664" s="48" t="s">
        <v>1007</v>
      </c>
      <c r="C664" s="48" t="s">
        <v>173</v>
      </c>
      <c r="D664" s="48" t="s">
        <v>1004</v>
      </c>
      <c r="E664" s="48"/>
      <c r="F664" s="48" t="s">
        <v>227</v>
      </c>
      <c r="G664" s="49" t="n">
        <v>144.62</v>
      </c>
      <c r="H664" s="50" t="n">
        <f aca="false">MAX(0,IF(AND(Parameter!$B$21="Ja",ISNUMBER(Y664)),Y664,IF(Parameter!$B$20="Jahresanfang 2025 + Export",BR664+BQ664,BQ664)))</f>
        <v>0</v>
      </c>
      <c r="I664" s="50" t="n">
        <f aca="false">H664*G664</f>
        <v>0</v>
      </c>
      <c r="J664" s="50" t="n">
        <f aca="false">BT664*Parameter!$B$18</f>
        <v>8</v>
      </c>
      <c r="K664" s="51" t="n">
        <v>0</v>
      </c>
      <c r="L664" s="52" t="n">
        <v>0</v>
      </c>
      <c r="M664" s="50" t="n">
        <v>0</v>
      </c>
      <c r="N664" s="50" t="n">
        <v>1</v>
      </c>
      <c r="O664" s="53" t="n">
        <v>105</v>
      </c>
      <c r="P664" s="48" t="s">
        <v>177</v>
      </c>
      <c r="Q664" s="50"/>
      <c r="R664" s="53" t="n">
        <f aca="false">IF(BZ664=1,0,IFERROR(VLOOKUP(BX664,'Gebinde-Kategorie'!$A$5:$N$45,13,0)+0,0))</f>
        <v>0</v>
      </c>
      <c r="S664" s="54"/>
      <c r="T664" s="55"/>
      <c r="U664" s="55"/>
      <c r="V664" s="55"/>
      <c r="W664" s="48"/>
      <c r="X664" s="50"/>
      <c r="Y664" s="50"/>
      <c r="Z664" s="48" t="str">
        <f aca="false">IF(A664="","",IF(AND(Parameter!$B$21="Ja",ISNUMBER(W664)),W664,IF(CC664="2+3",IF(ISNUMBER(SEARCH("grosser Artikel",BU664)),2,IFERROR(VLOOKUP(BX664,Parameter!$F$35:$G$64,2,0),2)),IF(OR(CC664="Nein",CC664=""),"-",CC664))))</f>
        <v>-</v>
      </c>
      <c r="AA664" s="55"/>
      <c r="AB664" s="56"/>
      <c r="AC664" s="50" t="n">
        <f aca="false">AV664</f>
        <v>6</v>
      </c>
      <c r="AD664" s="50" t="n">
        <f aca="false">MAX(AV664,H664)</f>
        <v>6</v>
      </c>
      <c r="AE664" s="57"/>
      <c r="AF664" s="50" t="n">
        <f aca="false">IF(LEFT(Cockpit!$C$5,1)="A",H664,IF(Parameter!$E$30="MAX-Bestand",IF(CH664=1,CI664,IF(LEFT(Cockpit!$C$5,1)="B",AL664,MAX(AL664,H664))),ROUNDUP(AJ664,0)))</f>
        <v>0</v>
      </c>
      <c r="AG664" s="50" t="n">
        <f aca="false">IF(BZ664=1,0,ROUNDUP(AF664/BY664,0))</f>
        <v>0</v>
      </c>
      <c r="AH664" s="52" t="n">
        <f aca="false">IF(CQ664&gt;0,CQ664*MAX(1,AF664/X664),IF(BZ664=1,IF(AF664&lt;=0,0,CD664*MAX(1,IF(H664&gt;0,AF664/H664,1))),IF(R664&gt;0,AG664/R664,0))/MAX(0.1,N(Parameter!$M$21)))</f>
        <v>0</v>
      </c>
      <c r="AI664" s="50" t="n">
        <f aca="false">AH664*CB664</f>
        <v>0</v>
      </c>
      <c r="AJ664" s="51" t="n">
        <f aca="false">IF(LEFT(Cockpit!$C$5,1)="A",H664,IF(CH664=1,(CK664+CI664)/2,IF(LEFT(Cockpit!$C$5,1)="B",(CK664+AL664)/2,MAX((CK664+AL664)/2,H664))))</f>
        <v>0</v>
      </c>
      <c r="AK664" s="50" t="n">
        <f aca="false">AJ664*G664</f>
        <v>0</v>
      </c>
      <c r="AL664" s="50" t="n">
        <f aca="false">ROUNDUP(CK664+MAX(CL664,2*(J664/IF(CG664&gt;0,CG664,MAX(0.1,N(Cockpit!$C$6)))-CK664)),0)</f>
        <v>6</v>
      </c>
      <c r="AM664" s="51" t="n">
        <f aca="false">IF(AI664&gt;0,J664/AI664,-1)</f>
        <v>-1</v>
      </c>
      <c r="AN664" s="51" t="str">
        <f aca="false">IF(AND(OR(CF664="L1",CF664="L23",CF664="LIFT"),AI664&gt;0),SUMIFS($AI$7:$AI$1843,$CF$7:$CF$1843,CF664,$AM$7:$AM$1843,"&gt;"&amp;AM664)+SUMIFS($AI$7:$AI$1843,$CF$7:$CF$1843,CF664,$AM$7:$AM$1843,AM664,$BW$7:$BW$1843,"&lt;="&amp;BW664),"")</f>
        <v/>
      </c>
      <c r="AO664" s="58" t="n">
        <f aca="false">IF(AN664="",0,MAX(0,MIN(1,(IF(CF664="L1",Parameter!$H$5,IF(CF664="L23",Parameter!$H$6+Parameter!$H$7,Parameter!$H$5+Parameter!$H$6+Parameter!$H$7))-(AN664-AI664))/AI664)))</f>
        <v>0</v>
      </c>
      <c r="AP664" s="50" t="n">
        <f aca="false">IF(LEFT(Cockpit!$I$5,1)="A",H664,IF(Parameter!$E$30="MAX-Bestand",IF(CH664=1,CI664,IF(LEFT(Cockpit!$I$5,1)="B",AV664,MAX(AV664,H664))),ROUNDUP(AT664,0)))</f>
        <v>3</v>
      </c>
      <c r="AQ664" s="50" t="n">
        <f aca="false">IF(BZ664=1,0,ROUNDUP(AP664/BY664,0))</f>
        <v>0</v>
      </c>
      <c r="AR664" s="52" t="n">
        <f aca="false">IF(CQ664&gt;0,CQ664*MAX(1,AP664/X664),IF(BZ664=1,IF(AP664&lt;=0,0,CD664*MAX(1,IF(H664&gt;0,AP664/H664,1))),IF(R664&gt;0,AQ664/R664,0))/MAX(0.1,N(Parameter!$M$21)))</f>
        <v>0.15</v>
      </c>
      <c r="AS664" s="50" t="n">
        <f aca="false">AR664*CB664</f>
        <v>35.25</v>
      </c>
      <c r="AT664" s="51" t="n">
        <f aca="false">IF(LEFT(Cockpit!$I$5,1)="A",H664,IF(CH664=1,(CK664+CI664)/2,IF(LEFT(Cockpit!$I$5,1)="B",(CK664+AV664)/2,MAX((CK664+AV664)/2,H664))))</f>
        <v>3</v>
      </c>
      <c r="AU664" s="50" t="n">
        <f aca="false">AT664*G664</f>
        <v>433.86</v>
      </c>
      <c r="AV664" s="50" t="n">
        <f aca="false">ROUNDUP(CK664+MAX(CL664,2*(J664/IF(CG664&gt;0,CG664,MAX(0.1,N(Cockpit!$I$6)))-CK664)),0)</f>
        <v>6</v>
      </c>
      <c r="AW664" s="51" t="n">
        <f aca="false">IF(AS664&gt;0,J664/AS664,-1)</f>
        <v>0.226950354609929</v>
      </c>
      <c r="AX664" s="51" t="str">
        <f aca="false">IF(AND(OR(CF664="L1",CF664="L23",CF664="LIFT"),AS664&gt;0),SUMIFS($AS$7:$AS$1843,$CF$7:$CF$1843,CF664,$AW$7:$AW$1843,"&gt;"&amp;AW664)+SUMIFS($AS$7:$AS$1843,$CF$7:$CF$1843,CF664,$AW$7:$AW$1843,AW664,$BW$7:$BW$1843,"&lt;="&amp;BW664),"")</f>
        <v/>
      </c>
      <c r="AY664" s="58" t="n">
        <f aca="false">IF(AX664="",0,MAX(0,MIN(1,(IF(CF664="L1",Parameter!$H$5,IF(CF664="L23",Parameter!$H$6+Parameter!$H$7,Parameter!$H$5+Parameter!$H$6+Parameter!$H$7))-(AX664-AS664))/AS664)))</f>
        <v>0</v>
      </c>
      <c r="AZ664" s="50" t="n">
        <f aca="false">IF(LEFT(Cockpit!$O$5,1)="A",H664,IF(Parameter!$E$30="MAX-Bestand",IF(CH664=1,CI664,IF(LEFT(Cockpit!$O$5,1)="B",BF664,MAX(BF664,H664))),ROUNDUP(BD664,0)))</f>
        <v>2</v>
      </c>
      <c r="BA664" s="50" t="n">
        <f aca="false">IF(BZ664=1,0,ROUNDUP(AZ664/BY664,0))</f>
        <v>0</v>
      </c>
      <c r="BB664" s="52" t="n">
        <f aca="false">IF(CQ664&gt;0,CQ664*MAX(1,AZ664/X664),IF(BZ664=1,IF(AZ664&lt;=0,0,CD664*MAX(1,IF(H664&gt;0,AZ664/H664,1))),IF(R664&gt;0,BA664/R664,0))/MAX(0.1,N(Parameter!$M$21)))</f>
        <v>0.15</v>
      </c>
      <c r="BC664" s="50" t="n">
        <f aca="false">BB664*CB664</f>
        <v>35.25</v>
      </c>
      <c r="BD664" s="51" t="n">
        <f aca="false">IF(LEFT(Cockpit!$O$5,1)="A",H664,IF(CH664=1,(CK664+CI664)/2,IF(LEFT(Cockpit!$O$5,1)="B",(CK664+BF664)/2,MAX((CK664+BF664)/2,H664))))</f>
        <v>2</v>
      </c>
      <c r="BE664" s="50" t="n">
        <f aca="false">BD664*G664</f>
        <v>289.24</v>
      </c>
      <c r="BF664" s="50" t="n">
        <f aca="false">ROUNDUP(CK664+MAX(CL664,2*(J664/IF(CG664&gt;0,CG664,MAX(0.1,N(Cockpit!$O$6)))-CK664)),0)</f>
        <v>4</v>
      </c>
      <c r="BG664" s="51" t="n">
        <f aca="false">IF(BC664&gt;0,J664/BC664,-1)</f>
        <v>0.226950354609929</v>
      </c>
      <c r="BH664" s="51" t="str">
        <f aca="false">IF(AND(OR(CF664="L1",CF664="L23",CF664="LIFT"),BC664&gt;0),SUMIFS($BC$7:$BC$1843,$CF$7:$CF$1843,CF664,$BG$7:$BG$1843,"&gt;"&amp;BG664)+SUMIFS($BC$7:$BC$1843,$CF$7:$CF$1843,CF664,$BG$7:$BG$1843,BG664,$BW$7:$BW$1843,"&lt;="&amp;BW664),"")</f>
        <v/>
      </c>
      <c r="BI664" s="58" t="n">
        <f aca="false">IF(BH664="",0,MAX(0,MIN(1,(IF(CF664="L1",Parameter!$H$5,IF(CF664="L23",Parameter!$H$6+Parameter!$H$7,Parameter!$H$5+Parameter!$H$6+Parameter!$H$7))-(BH664-BC664))/BC664)))</f>
        <v>0</v>
      </c>
      <c r="BJ664" s="48" t="str">
        <f aca="false">IF(AI664&lt;=0,"",IF(CF664="Aussen","Aussenlager",IF(CF664="-","Nicht im Lift",IF(AO664&gt;=1,"Lift",IF(AO664&lt;=0,"Aussenlager","teilweise")))))</f>
        <v/>
      </c>
      <c r="BK664" s="48" t="str">
        <f aca="false">IF(AS664&lt;=0,"",IF(CF664="Aussen","Aussenlager",IF(CF664="-","Nicht im Lift",IF(AY664&gt;=1,"Lift",IF(AY664&lt;=0,"Aussenlager","teilweise")))))</f>
        <v>Nicht im Lift</v>
      </c>
      <c r="BL664" s="48" t="str">
        <f aca="false">IF(BC664&lt;=0,"",IF(CF664="Aussen","Aussenlager",IF(CF664="-","Nicht im Lift",IF(BI664&gt;=1,"Lift",IF(BI664&lt;=0,"Aussenlager","teilweise")))))</f>
        <v>Nicht im Lift</v>
      </c>
      <c r="BM664" s="48" t="str">
        <f aca="false">IF(A664="","",IF(BV664=1,"Neu; ","")&amp;IF(AND(BV664=0,BQ664&lt;0),"negativer Bestand (Export "&amp;BQ664&amp;"); ","")&amp;IF(J664&lt;=0,"Kein Verbrauch; ","")&amp;IF(CQ664&gt;0,"Lift "&amp;W664&amp;" lt. Liftbericht (Fach "&amp;X664&amp;" Stk); ",IF(CA664=1,"Gebinde geschätzt ("&amp;T664&amp;"); ",IF(BZ664=1,"Lose – Tablare geschätzt; ","")))&amp;IF(H664&gt;AV664,"Überbestand "&amp;ROUND(H664-AV664,0)&amp;" Stk / CHF "&amp;ROUND((H664-AV664)*G664,0)&amp;"; ","")&amp;IF(AND(CH664=1,CI664&lt;CJ664),"MAX &lt; MB+LG; ","")&amp;IF(AND(CP664&gt;0,CO664*10&gt;CP664),"zu hoch für Tablar; ","")&amp;IF(AND(BV664=0,OR(CH664=1,AA664&lt;&gt;"",U664&lt;&gt;"",V664&lt;&gt;"",AB664&lt;&gt;"")),"manuell übersteuert; ","")&amp;IF(AND(BZ664=0,R664=0),"Gebinde unbekannt / Stellmass fehlt; ","")&amp;IF(AND(BZ664=0,N(V664)&lt;=0,N(Q664)&lt;=0),"Menge pro Gebinde fehlt (Ist = 1 Gebinde); ","")&amp;BU664)</f>
        <v>Lose – Tablare geschätzt; </v>
      </c>
      <c r="BN664" s="48"/>
      <c r="BO664" s="48"/>
      <c r="BP664" s="55"/>
      <c r="BQ664" s="50" t="n">
        <v>0</v>
      </c>
      <c r="BR664" s="50" t="n">
        <v>0</v>
      </c>
      <c r="BS664" s="49" t="n">
        <v>0</v>
      </c>
      <c r="BT664" s="50" t="n">
        <v>8</v>
      </c>
      <c r="BU664" s="48"/>
      <c r="BV664" s="53" t="n">
        <v>0</v>
      </c>
      <c r="BW664" s="53" t="n">
        <v>664</v>
      </c>
      <c r="BX664" s="48" t="str">
        <f aca="false">IF(U664&lt;&gt;"",UPPER(TRIM(U664)),IF(CA664=1,UPPER(VLOOKUP(T664,Parameter!$I$27:$K$29,2,0)),IF(P664="","LOSE",P664)))</f>
        <v>LOSE</v>
      </c>
      <c r="BY664" s="50" t="n">
        <f aca="false">IF(BX664="LOSE",1,IF(N(V664)&gt;0,V664,IF(CA664=1,MAX(1,N(VLOOKUP(T664,Parameter!$I$27:$K$29,3,0)),H664,N(N664)),IF(N(Q664)&gt;0,Q664,MAX(1,H664)))))</f>
        <v>1</v>
      </c>
      <c r="BZ664" s="53" t="n">
        <f aca="false">IF(BX664="LOSE",1,0)</f>
        <v>1</v>
      </c>
      <c r="CA664" s="53" t="n">
        <f aca="false">IF(AND(U664="",OR(P664="",P664="LOSE"),T664&lt;&gt;"",N(S664)&lt;=0,ISNUMBER(MATCH(T664,Parameter!$I$27:$I$29,0))),1,0)</f>
        <v>0</v>
      </c>
      <c r="CB664" s="53" t="n">
        <f aca="false">IF(CQ664&gt;0,INDEX(Parameter!$H$5:$H$7,W664)/INDEX(Parameter!$E$5:$E$7,W664),IF(AND(BZ664=0,N(IFERROR(VLOOKUP(BX664,'Gebinde-Kategorie'!$A$5:$N$45,14,0),0))&gt;0),VLOOKUP(BX664,'Gebinde-Kategorie'!$A$5:$N$45,14,0)*10+Parameter!$M$23,Parameter!$M$24))</f>
        <v>235</v>
      </c>
      <c r="CC664" s="48" t="str">
        <f aca="false">IF(AND(Parameter!$B$19="Ja",E664&lt;&gt;"",ISNUMBER(MATCH(E664,Parameter!$I$35:$I$52,0))),VLOOKUP(E664,Parameter!$I$35:$J$52,2,0),IFERROR(VLOOKUP(D664,Parameter!$A$35:$C$64,2,0),"Nein"))</f>
        <v>Nein</v>
      </c>
      <c r="CD664" s="52" t="n">
        <f aca="false">IF(BZ664=0,0,IF(N(S664)&gt;0,S664,IFERROR(VLOOKUP(D664,Parameter!$A$35:$C$64,3,0)+0,0)))</f>
        <v>0.15</v>
      </c>
      <c r="CE664" s="48" t="str">
        <f aca="false">IF(AA664&lt;&gt;"",AA664,Z664)</f>
        <v>-</v>
      </c>
      <c r="CF664" s="48" t="str">
        <f aca="false">IF(OR(CE664=1,CE664=2,CE664=3),IF(Parameter!$E$27="Ja","LIFT",IF(CE664=1,"L1","L23")),IF(CE664="Aussen","Aussen","-"))</f>
        <v>-</v>
      </c>
      <c r="CG664" s="59" t="n">
        <f aca="false">IF(N(AB664)&gt;0,AB664,0)</f>
        <v>0</v>
      </c>
      <c r="CH664" s="53" t="n">
        <f aca="false">IF(ISNUMBER(AE664),1,0)</f>
        <v>0</v>
      </c>
      <c r="CI664" s="50" t="n">
        <f aca="false">N(AE664)</f>
        <v>0</v>
      </c>
      <c r="CJ664" s="50" t="n">
        <f aca="false">N(M664)+N(N664)</f>
        <v>1</v>
      </c>
      <c r="CK664" s="50" t="n">
        <f aca="false">N(M664)</f>
        <v>0</v>
      </c>
      <c r="CL664" s="50" t="n">
        <f aca="false">N(N664)</f>
        <v>1</v>
      </c>
      <c r="CM664" s="50" t="n">
        <f aca="false">ROUNDUP(H664/BY664,0)</f>
        <v>0</v>
      </c>
      <c r="CN664" s="50" t="n">
        <f aca="false">ROUNDUP(CI664/BY664,0)</f>
        <v>0</v>
      </c>
      <c r="CO664" s="53" t="n">
        <f aca="false">IF(BZ664=1,0,IFERROR(VLOOKUP(BX664,'Gebinde-Kategorie'!$A$5:$N$45,5,0)+0,0))</f>
        <v>0</v>
      </c>
      <c r="CP664" s="53" t="n">
        <f aca="false">IFERROR(IF(OR(CE664=1,CE664=2,CE664=3),N(INDEX(Parameter!$I$5:$I$7,CE664)),0),0)</f>
        <v>0</v>
      </c>
      <c r="CQ664" s="52" t="n">
        <f aca="false">IF(AND(Parameter!$B$21="Ja",ISNUMBER(W664),N(X664)&gt;0),IFERROR(N(INDEX(Parameter!$L$5:$L$7,W664))*INDEX(Parameter!$E$5:$E$7,W664)*X664/SUMIFS($X$7:$X$1843,$W$7:$W$1843,W664),0),0)</f>
        <v>0</v>
      </c>
    </row>
    <row r="665" customFormat="false" ht="15" hidden="false" customHeight="false" outlineLevel="0" collapsed="false">
      <c r="A665" s="48" t="s">
        <v>1346</v>
      </c>
      <c r="B665" s="48" t="s">
        <v>1347</v>
      </c>
      <c r="C665" s="48" t="s">
        <v>173</v>
      </c>
      <c r="D665" s="48" t="s">
        <v>1348</v>
      </c>
      <c r="E665" s="48"/>
      <c r="F665" s="48" t="s">
        <v>227</v>
      </c>
      <c r="G665" s="49" t="n">
        <v>0.65</v>
      </c>
      <c r="H665" s="50" t="n">
        <f aca="false">MAX(0,IF(AND(Parameter!$B$21="Ja",ISNUMBER(Y665)),Y665,IF(Parameter!$B$20="Jahresanfang 2025 + Export",BR665+BQ665,BQ665)))</f>
        <v>0</v>
      </c>
      <c r="I665" s="50" t="n">
        <f aca="false">H665*G665</f>
        <v>0</v>
      </c>
      <c r="J665" s="50" t="n">
        <f aca="false">BT665*Parameter!$B$18</f>
        <v>0</v>
      </c>
      <c r="K665" s="51" t="n">
        <v>0</v>
      </c>
      <c r="L665" s="52" t="n">
        <v>0</v>
      </c>
      <c r="M665" s="50" t="n">
        <v>0</v>
      </c>
      <c r="N665" s="50" t="n">
        <v>1050</v>
      </c>
      <c r="O665" s="53" t="n">
        <v>21</v>
      </c>
      <c r="P665" s="48" t="s">
        <v>177</v>
      </c>
      <c r="Q665" s="50"/>
      <c r="R665" s="53" t="n">
        <f aca="false">IF(BZ665=1,0,IFERROR(VLOOKUP(BX665,'Gebinde-Kategorie'!$A$5:$N$45,13,0)+0,0))</f>
        <v>0</v>
      </c>
      <c r="S665" s="54"/>
      <c r="T665" s="55"/>
      <c r="U665" s="55"/>
      <c r="V665" s="55"/>
      <c r="W665" s="48"/>
      <c r="X665" s="50"/>
      <c r="Y665" s="50"/>
      <c r="Z665" s="48" t="str">
        <f aca="false">IF(A665="","",IF(AND(Parameter!$B$21="Ja",ISNUMBER(W665)),W665,IF(CC665="2+3",IF(ISNUMBER(SEARCH("grosser Artikel",BU665)),2,IFERROR(VLOOKUP(BX665,Parameter!$F$35:$G$64,2,0),2)),IF(OR(CC665="Nein",CC665=""),"-",CC665))))</f>
        <v>-</v>
      </c>
      <c r="AA665" s="55"/>
      <c r="AB665" s="56"/>
      <c r="AC665" s="50" t="n">
        <f aca="false">AV665</f>
        <v>1050</v>
      </c>
      <c r="AD665" s="50" t="n">
        <f aca="false">MAX(AV665,H665)</f>
        <v>1050</v>
      </c>
      <c r="AE665" s="57"/>
      <c r="AF665" s="50" t="n">
        <f aca="false">IF(LEFT(Cockpit!$C$5,1)="A",H665,IF(Parameter!$E$30="MAX-Bestand",IF(CH665=1,CI665,IF(LEFT(Cockpit!$C$5,1)="B",AL665,MAX(AL665,H665))),ROUNDUP(AJ665,0)))</f>
        <v>0</v>
      </c>
      <c r="AG665" s="50" t="n">
        <f aca="false">IF(BZ665=1,0,ROUNDUP(AF665/BY665,0))</f>
        <v>0</v>
      </c>
      <c r="AH665" s="52" t="n">
        <f aca="false">IF(CQ665&gt;0,CQ665*MAX(1,AF665/X665),IF(BZ665=1,IF(AF665&lt;=0,0,CD665*MAX(1,IF(H665&gt;0,AF665/H665,1))),IF(R665&gt;0,AG665/R665,0))/MAX(0.1,N(Parameter!$M$21)))</f>
        <v>0</v>
      </c>
      <c r="AI665" s="50" t="n">
        <f aca="false">AH665*CB665</f>
        <v>0</v>
      </c>
      <c r="AJ665" s="51" t="n">
        <f aca="false">IF(LEFT(Cockpit!$C$5,1)="A",H665,IF(CH665=1,(CK665+CI665)/2,IF(LEFT(Cockpit!$C$5,1)="B",(CK665+AL665)/2,MAX((CK665+AL665)/2,H665))))</f>
        <v>0</v>
      </c>
      <c r="AK665" s="50" t="n">
        <f aca="false">AJ665*G665</f>
        <v>0</v>
      </c>
      <c r="AL665" s="50" t="n">
        <f aca="false">ROUNDUP(CK665+MAX(CL665,2*(J665/IF(CG665&gt;0,CG665,MAX(0.1,N(Cockpit!$C$6)))-CK665)),0)</f>
        <v>1050</v>
      </c>
      <c r="AM665" s="51" t="n">
        <f aca="false">IF(AI665&gt;0,J665/AI665,-1)</f>
        <v>-1</v>
      </c>
      <c r="AN665" s="51" t="str">
        <f aca="false">IF(AND(OR(CF665="L1",CF665="L23",CF665="LIFT"),AI665&gt;0),SUMIFS($AI$7:$AI$1843,$CF$7:$CF$1843,CF665,$AM$7:$AM$1843,"&gt;"&amp;AM665)+SUMIFS($AI$7:$AI$1843,$CF$7:$CF$1843,CF665,$AM$7:$AM$1843,AM665,$BW$7:$BW$1843,"&lt;="&amp;BW665),"")</f>
        <v/>
      </c>
      <c r="AO665" s="58" t="n">
        <f aca="false">IF(AN665="",0,MAX(0,MIN(1,(IF(CF665="L1",Parameter!$H$5,IF(CF665="L23",Parameter!$H$6+Parameter!$H$7,Parameter!$H$5+Parameter!$H$6+Parameter!$H$7))-(AN665-AI665))/AI665)))</f>
        <v>0</v>
      </c>
      <c r="AP665" s="50" t="n">
        <f aca="false">IF(LEFT(Cockpit!$I$5,1)="A",H665,IF(Parameter!$E$30="MAX-Bestand",IF(CH665=1,CI665,IF(LEFT(Cockpit!$I$5,1)="B",AV665,MAX(AV665,H665))),ROUNDUP(AT665,0)))</f>
        <v>525</v>
      </c>
      <c r="AQ665" s="50" t="n">
        <f aca="false">IF(BZ665=1,0,ROUNDUP(AP665/BY665,0))</f>
        <v>0</v>
      </c>
      <c r="AR665" s="52" t="n">
        <f aca="false">IF(CQ665&gt;0,CQ665*MAX(1,AP665/X665),IF(BZ665=1,IF(AP665&lt;=0,0,CD665*MAX(1,IF(H665&gt;0,AP665/H665,1))),IF(R665&gt;0,AQ665/R665,0))/MAX(0.1,N(Parameter!$M$21)))</f>
        <v>0.15</v>
      </c>
      <c r="AS665" s="50" t="n">
        <f aca="false">AR665*CB665</f>
        <v>35.25</v>
      </c>
      <c r="AT665" s="51" t="n">
        <f aca="false">IF(LEFT(Cockpit!$I$5,1)="A",H665,IF(CH665=1,(CK665+CI665)/2,IF(LEFT(Cockpit!$I$5,1)="B",(CK665+AV665)/2,MAX((CK665+AV665)/2,H665))))</f>
        <v>525</v>
      </c>
      <c r="AU665" s="50" t="n">
        <f aca="false">AT665*G665</f>
        <v>341.25</v>
      </c>
      <c r="AV665" s="50" t="n">
        <f aca="false">ROUNDUP(CK665+MAX(CL665,2*(J665/IF(CG665&gt;0,CG665,MAX(0.1,N(Cockpit!$I$6)))-CK665)),0)</f>
        <v>1050</v>
      </c>
      <c r="AW665" s="51" t="n">
        <f aca="false">IF(AS665&gt;0,J665/AS665,-1)</f>
        <v>0</v>
      </c>
      <c r="AX665" s="51" t="str">
        <f aca="false">IF(AND(OR(CF665="L1",CF665="L23",CF665="LIFT"),AS665&gt;0),SUMIFS($AS$7:$AS$1843,$CF$7:$CF$1843,CF665,$AW$7:$AW$1843,"&gt;"&amp;AW665)+SUMIFS($AS$7:$AS$1843,$CF$7:$CF$1843,CF665,$AW$7:$AW$1843,AW665,$BW$7:$BW$1843,"&lt;="&amp;BW665),"")</f>
        <v/>
      </c>
      <c r="AY665" s="58" t="n">
        <f aca="false">IF(AX665="",0,MAX(0,MIN(1,(IF(CF665="L1",Parameter!$H$5,IF(CF665="L23",Parameter!$H$6+Parameter!$H$7,Parameter!$H$5+Parameter!$H$6+Parameter!$H$7))-(AX665-AS665))/AS665)))</f>
        <v>0</v>
      </c>
      <c r="AZ665" s="50" t="n">
        <f aca="false">IF(LEFT(Cockpit!$O$5,1)="A",H665,IF(Parameter!$E$30="MAX-Bestand",IF(CH665=1,CI665,IF(LEFT(Cockpit!$O$5,1)="B",BF665,MAX(BF665,H665))),ROUNDUP(BD665,0)))</f>
        <v>525</v>
      </c>
      <c r="BA665" s="50" t="n">
        <f aca="false">IF(BZ665=1,0,ROUNDUP(AZ665/BY665,0))</f>
        <v>0</v>
      </c>
      <c r="BB665" s="52" t="n">
        <f aca="false">IF(CQ665&gt;0,CQ665*MAX(1,AZ665/X665),IF(BZ665=1,IF(AZ665&lt;=0,0,CD665*MAX(1,IF(H665&gt;0,AZ665/H665,1))),IF(R665&gt;0,BA665/R665,0))/MAX(0.1,N(Parameter!$M$21)))</f>
        <v>0.15</v>
      </c>
      <c r="BC665" s="50" t="n">
        <f aca="false">BB665*CB665</f>
        <v>35.25</v>
      </c>
      <c r="BD665" s="51" t="n">
        <f aca="false">IF(LEFT(Cockpit!$O$5,1)="A",H665,IF(CH665=1,(CK665+CI665)/2,IF(LEFT(Cockpit!$O$5,1)="B",(CK665+BF665)/2,MAX((CK665+BF665)/2,H665))))</f>
        <v>525</v>
      </c>
      <c r="BE665" s="50" t="n">
        <f aca="false">BD665*G665</f>
        <v>341.25</v>
      </c>
      <c r="BF665" s="50" t="n">
        <f aca="false">ROUNDUP(CK665+MAX(CL665,2*(J665/IF(CG665&gt;0,CG665,MAX(0.1,N(Cockpit!$O$6)))-CK665)),0)</f>
        <v>1050</v>
      </c>
      <c r="BG665" s="51" t="n">
        <f aca="false">IF(BC665&gt;0,J665/BC665,-1)</f>
        <v>0</v>
      </c>
      <c r="BH665" s="51" t="str">
        <f aca="false">IF(AND(OR(CF665="L1",CF665="L23",CF665="LIFT"),BC665&gt;0),SUMIFS($BC$7:$BC$1843,$CF$7:$CF$1843,CF665,$BG$7:$BG$1843,"&gt;"&amp;BG665)+SUMIFS($BC$7:$BC$1843,$CF$7:$CF$1843,CF665,$BG$7:$BG$1843,BG665,$BW$7:$BW$1843,"&lt;="&amp;BW665),"")</f>
        <v/>
      </c>
      <c r="BI665" s="58" t="n">
        <f aca="false">IF(BH665="",0,MAX(0,MIN(1,(IF(CF665="L1",Parameter!$H$5,IF(CF665="L23",Parameter!$H$6+Parameter!$H$7,Parameter!$H$5+Parameter!$H$6+Parameter!$H$7))-(BH665-BC665))/BC665)))</f>
        <v>0</v>
      </c>
      <c r="BJ665" s="48" t="str">
        <f aca="false">IF(AI665&lt;=0,"",IF(CF665="Aussen","Aussenlager",IF(CF665="-","Nicht im Lift",IF(AO665&gt;=1,"Lift",IF(AO665&lt;=0,"Aussenlager","teilweise")))))</f>
        <v/>
      </c>
      <c r="BK665" s="48" t="str">
        <f aca="false">IF(AS665&lt;=0,"",IF(CF665="Aussen","Aussenlager",IF(CF665="-","Nicht im Lift",IF(AY665&gt;=1,"Lift",IF(AY665&lt;=0,"Aussenlager","teilweise")))))</f>
        <v>Nicht im Lift</v>
      </c>
      <c r="BL665" s="48" t="str">
        <f aca="false">IF(BC665&lt;=0,"",IF(CF665="Aussen","Aussenlager",IF(CF665="-","Nicht im Lift",IF(BI665&gt;=1,"Lift",IF(BI665&lt;=0,"Aussenlager","teilweise")))))</f>
        <v>Nicht im Lift</v>
      </c>
      <c r="BM665" s="48" t="str">
        <f aca="false">IF(A665="","",IF(BV665=1,"Neu; ","")&amp;IF(AND(BV665=0,BQ665&lt;0),"negativer Bestand (Export "&amp;BQ665&amp;"); ","")&amp;IF(J665&lt;=0,"Kein Verbrauch; ","")&amp;IF(CQ665&gt;0,"Lift "&amp;W665&amp;" lt. Liftbericht (Fach "&amp;X665&amp;" Stk); ",IF(CA665=1,"Gebinde geschätzt ("&amp;T665&amp;"); ",IF(BZ665=1,"Lose – Tablare geschätzt; ","")))&amp;IF(H665&gt;AV665,"Überbestand "&amp;ROUND(H665-AV665,0)&amp;" Stk / CHF "&amp;ROUND((H665-AV665)*G665,0)&amp;"; ","")&amp;IF(AND(CH665=1,CI665&lt;CJ665),"MAX &lt; MB+LG; ","")&amp;IF(AND(CP665&gt;0,CO665*10&gt;CP665),"zu hoch für Tablar; ","")&amp;IF(AND(BV665=0,OR(CH665=1,AA665&lt;&gt;"",U665&lt;&gt;"",V665&lt;&gt;"",AB665&lt;&gt;"")),"manuell übersteuert; ","")&amp;IF(AND(BZ665=0,R665=0),"Gebinde unbekannt / Stellmass fehlt; ","")&amp;IF(AND(BZ665=0,N(V665)&lt;=0,N(Q665)&lt;=0),"Menge pro Gebinde fehlt (Ist = 1 Gebinde); ","")&amp;BU665)</f>
        <v>Kein Verbrauch; Lose – Tablare geschätzt; </v>
      </c>
      <c r="BN665" s="48"/>
      <c r="BO665" s="48"/>
      <c r="BP665" s="55"/>
      <c r="BQ665" s="50" t="n">
        <v>0</v>
      </c>
      <c r="BR665" s="50" t="n">
        <v>0</v>
      </c>
      <c r="BS665" s="49" t="n">
        <v>0</v>
      </c>
      <c r="BT665" s="50" t="n">
        <v>0</v>
      </c>
      <c r="BU665" s="48"/>
      <c r="BV665" s="53" t="n">
        <v>0</v>
      </c>
      <c r="BW665" s="53" t="n">
        <v>665</v>
      </c>
      <c r="BX665" s="48" t="str">
        <f aca="false">IF(U665&lt;&gt;"",UPPER(TRIM(U665)),IF(CA665=1,UPPER(VLOOKUP(T665,Parameter!$I$27:$K$29,2,0)),IF(P665="","LOSE",P665)))</f>
        <v>LOSE</v>
      </c>
      <c r="BY665" s="50" t="n">
        <f aca="false">IF(BX665="LOSE",1,IF(N(V665)&gt;0,V665,IF(CA665=1,MAX(1,N(VLOOKUP(T665,Parameter!$I$27:$K$29,3,0)),H665,N(N665)),IF(N(Q665)&gt;0,Q665,MAX(1,H665)))))</f>
        <v>1</v>
      </c>
      <c r="BZ665" s="53" t="n">
        <f aca="false">IF(BX665="LOSE",1,0)</f>
        <v>1</v>
      </c>
      <c r="CA665" s="53" t="n">
        <f aca="false">IF(AND(U665="",OR(P665="",P665="LOSE"),T665&lt;&gt;"",N(S665)&lt;=0,ISNUMBER(MATCH(T665,Parameter!$I$27:$I$29,0))),1,0)</f>
        <v>0</v>
      </c>
      <c r="CB665" s="53" t="n">
        <f aca="false">IF(CQ665&gt;0,INDEX(Parameter!$H$5:$H$7,W665)/INDEX(Parameter!$E$5:$E$7,W665),IF(AND(BZ665=0,N(IFERROR(VLOOKUP(BX665,'Gebinde-Kategorie'!$A$5:$N$45,14,0),0))&gt;0),VLOOKUP(BX665,'Gebinde-Kategorie'!$A$5:$N$45,14,0)*10+Parameter!$M$23,Parameter!$M$24))</f>
        <v>235</v>
      </c>
      <c r="CC665" s="48" t="str">
        <f aca="false">IF(AND(Parameter!$B$19="Ja",E665&lt;&gt;"",ISNUMBER(MATCH(E665,Parameter!$I$35:$I$52,0))),VLOOKUP(E665,Parameter!$I$35:$J$52,2,0),IFERROR(VLOOKUP(D665,Parameter!$A$35:$C$64,2,0),"Nein"))</f>
        <v>Nein</v>
      </c>
      <c r="CD665" s="52" t="n">
        <f aca="false">IF(BZ665=0,0,IF(N(S665)&gt;0,S665,IFERROR(VLOOKUP(D665,Parameter!$A$35:$C$64,3,0)+0,0)))</f>
        <v>0.15</v>
      </c>
      <c r="CE665" s="48" t="str">
        <f aca="false">IF(AA665&lt;&gt;"",AA665,Z665)</f>
        <v>-</v>
      </c>
      <c r="CF665" s="48" t="str">
        <f aca="false">IF(OR(CE665=1,CE665=2,CE665=3),IF(Parameter!$E$27="Ja","LIFT",IF(CE665=1,"L1","L23")),IF(CE665="Aussen","Aussen","-"))</f>
        <v>-</v>
      </c>
      <c r="CG665" s="59" t="n">
        <f aca="false">IF(N(AB665)&gt;0,AB665,0)</f>
        <v>0</v>
      </c>
      <c r="CH665" s="53" t="n">
        <f aca="false">IF(ISNUMBER(AE665),1,0)</f>
        <v>0</v>
      </c>
      <c r="CI665" s="50" t="n">
        <f aca="false">N(AE665)</f>
        <v>0</v>
      </c>
      <c r="CJ665" s="50" t="n">
        <f aca="false">N(M665)+N(N665)</f>
        <v>1050</v>
      </c>
      <c r="CK665" s="50" t="n">
        <f aca="false">N(M665)</f>
        <v>0</v>
      </c>
      <c r="CL665" s="50" t="n">
        <f aca="false">N(N665)</f>
        <v>1050</v>
      </c>
      <c r="CM665" s="50" t="n">
        <f aca="false">ROUNDUP(H665/BY665,0)</f>
        <v>0</v>
      </c>
      <c r="CN665" s="50" t="n">
        <f aca="false">ROUNDUP(CI665/BY665,0)</f>
        <v>0</v>
      </c>
      <c r="CO665" s="53" t="n">
        <f aca="false">IF(BZ665=1,0,IFERROR(VLOOKUP(BX665,'Gebinde-Kategorie'!$A$5:$N$45,5,0)+0,0))</f>
        <v>0</v>
      </c>
      <c r="CP665" s="53" t="n">
        <f aca="false">IFERROR(IF(OR(CE665=1,CE665=2,CE665=3),N(INDEX(Parameter!$I$5:$I$7,CE665)),0),0)</f>
        <v>0</v>
      </c>
      <c r="CQ665" s="52" t="n">
        <f aca="false">IF(AND(Parameter!$B$21="Ja",ISNUMBER(W665),N(X665)&gt;0),IFERROR(N(INDEX(Parameter!$L$5:$L$7,W665))*INDEX(Parameter!$E$5:$E$7,W665)*X665/SUMIFS($X$7:$X$1843,$W$7:$W$1843,W665),0),0)</f>
        <v>0</v>
      </c>
    </row>
    <row r="666" customFormat="false" ht="15" hidden="false" customHeight="false" outlineLevel="0" collapsed="false">
      <c r="A666" s="48" t="s">
        <v>1349</v>
      </c>
      <c r="B666" s="48" t="s">
        <v>1350</v>
      </c>
      <c r="C666" s="48" t="s">
        <v>173</v>
      </c>
      <c r="D666" s="48" t="s">
        <v>859</v>
      </c>
      <c r="E666" s="48"/>
      <c r="F666" s="48" t="s">
        <v>227</v>
      </c>
      <c r="G666" s="49" t="n">
        <v>5.8</v>
      </c>
      <c r="H666" s="50" t="n">
        <f aca="false">MAX(0,IF(AND(Parameter!$B$21="Ja",ISNUMBER(Y666)),Y666,IF(Parameter!$B$20="Jahresanfang 2025 + Export",BR666+BQ666,BQ666)))</f>
        <v>0</v>
      </c>
      <c r="I666" s="50" t="n">
        <f aca="false">H666*G666</f>
        <v>0</v>
      </c>
      <c r="J666" s="50" t="n">
        <f aca="false">BT666*Parameter!$B$18</f>
        <v>0</v>
      </c>
      <c r="K666" s="51" t="n">
        <v>0</v>
      </c>
      <c r="L666" s="52" t="n">
        <v>0</v>
      </c>
      <c r="M666" s="50" t="n">
        <v>0</v>
      </c>
      <c r="N666" s="50" t="n">
        <v>1</v>
      </c>
      <c r="O666" s="53" t="n">
        <v>7</v>
      </c>
      <c r="P666" s="48" t="s">
        <v>177</v>
      </c>
      <c r="Q666" s="50"/>
      <c r="R666" s="53" t="n">
        <f aca="false">IF(BZ666=1,0,IFERROR(VLOOKUP(BX666,'Gebinde-Kategorie'!$A$5:$N$45,13,0)+0,0))</f>
        <v>0</v>
      </c>
      <c r="S666" s="54"/>
      <c r="T666" s="55"/>
      <c r="U666" s="55"/>
      <c r="V666" s="55"/>
      <c r="W666" s="48"/>
      <c r="X666" s="50"/>
      <c r="Y666" s="50"/>
      <c r="Z666" s="48" t="str">
        <f aca="false">IF(A666="","",IF(AND(Parameter!$B$21="Ja",ISNUMBER(W666)),W666,IF(CC666="2+3",IF(ISNUMBER(SEARCH("grosser Artikel",BU666)),2,IFERROR(VLOOKUP(BX666,Parameter!$F$35:$G$64,2,0),2)),IF(OR(CC666="Nein",CC666=""),"-",CC666))))</f>
        <v>-</v>
      </c>
      <c r="AA666" s="55"/>
      <c r="AB666" s="56"/>
      <c r="AC666" s="50" t="n">
        <f aca="false">AV666</f>
        <v>1</v>
      </c>
      <c r="AD666" s="50" t="n">
        <f aca="false">MAX(AV666,H666)</f>
        <v>1</v>
      </c>
      <c r="AE666" s="57"/>
      <c r="AF666" s="50" t="n">
        <f aca="false">IF(LEFT(Cockpit!$C$5,1)="A",H666,IF(Parameter!$E$30="MAX-Bestand",IF(CH666=1,CI666,IF(LEFT(Cockpit!$C$5,1)="B",AL666,MAX(AL666,H666))),ROUNDUP(AJ666,0)))</f>
        <v>0</v>
      </c>
      <c r="AG666" s="50" t="n">
        <f aca="false">IF(BZ666=1,0,ROUNDUP(AF666/BY666,0))</f>
        <v>0</v>
      </c>
      <c r="AH666" s="52" t="n">
        <f aca="false">IF(CQ666&gt;0,CQ666*MAX(1,AF666/X666),IF(BZ666=1,IF(AF666&lt;=0,0,CD666*MAX(1,IF(H666&gt;0,AF666/H666,1))),IF(R666&gt;0,AG666/R666,0))/MAX(0.1,N(Parameter!$M$21)))</f>
        <v>0</v>
      </c>
      <c r="AI666" s="50" t="n">
        <f aca="false">AH666*CB666</f>
        <v>0</v>
      </c>
      <c r="AJ666" s="51" t="n">
        <f aca="false">IF(LEFT(Cockpit!$C$5,1)="A",H666,IF(CH666=1,(CK666+CI666)/2,IF(LEFT(Cockpit!$C$5,1)="B",(CK666+AL666)/2,MAX((CK666+AL666)/2,H666))))</f>
        <v>0</v>
      </c>
      <c r="AK666" s="50" t="n">
        <f aca="false">AJ666*G666</f>
        <v>0</v>
      </c>
      <c r="AL666" s="50" t="n">
        <f aca="false">ROUNDUP(CK666+MAX(CL666,2*(J666/IF(CG666&gt;0,CG666,MAX(0.1,N(Cockpit!$C$6)))-CK666)),0)</f>
        <v>1</v>
      </c>
      <c r="AM666" s="51" t="n">
        <f aca="false">IF(AI666&gt;0,J666/AI666,-1)</f>
        <v>-1</v>
      </c>
      <c r="AN666" s="51" t="str">
        <f aca="false">IF(AND(OR(CF666="L1",CF666="L23",CF666="LIFT"),AI666&gt;0),SUMIFS($AI$7:$AI$1843,$CF$7:$CF$1843,CF666,$AM$7:$AM$1843,"&gt;"&amp;AM666)+SUMIFS($AI$7:$AI$1843,$CF$7:$CF$1843,CF666,$AM$7:$AM$1843,AM666,$BW$7:$BW$1843,"&lt;="&amp;BW666),"")</f>
        <v/>
      </c>
      <c r="AO666" s="58" t="n">
        <f aca="false">IF(AN666="",0,MAX(0,MIN(1,(IF(CF666="L1",Parameter!$H$5,IF(CF666="L23",Parameter!$H$6+Parameter!$H$7,Parameter!$H$5+Parameter!$H$6+Parameter!$H$7))-(AN666-AI666))/AI666)))</f>
        <v>0</v>
      </c>
      <c r="AP666" s="50" t="n">
        <f aca="false">IF(LEFT(Cockpit!$I$5,1)="A",H666,IF(Parameter!$E$30="MAX-Bestand",IF(CH666=1,CI666,IF(LEFT(Cockpit!$I$5,1)="B",AV666,MAX(AV666,H666))),ROUNDUP(AT666,0)))</f>
        <v>1</v>
      </c>
      <c r="AQ666" s="50" t="n">
        <f aca="false">IF(BZ666=1,0,ROUNDUP(AP666/BY666,0))</f>
        <v>0</v>
      </c>
      <c r="AR666" s="52" t="n">
        <f aca="false">IF(CQ666&gt;0,CQ666*MAX(1,AP666/X666),IF(BZ666=1,IF(AP666&lt;=0,0,CD666*MAX(1,IF(H666&gt;0,AP666/H666,1))),IF(R666&gt;0,AQ666/R666,0))/MAX(0.1,N(Parameter!$M$21)))</f>
        <v>0.15</v>
      </c>
      <c r="AS666" s="50" t="n">
        <f aca="false">AR666*CB666</f>
        <v>35.25</v>
      </c>
      <c r="AT666" s="51" t="n">
        <f aca="false">IF(LEFT(Cockpit!$I$5,1)="A",H666,IF(CH666=1,(CK666+CI666)/2,IF(LEFT(Cockpit!$I$5,1)="B",(CK666+AV666)/2,MAX((CK666+AV666)/2,H666))))</f>
        <v>0.5</v>
      </c>
      <c r="AU666" s="50" t="n">
        <f aca="false">AT666*G666</f>
        <v>2.9</v>
      </c>
      <c r="AV666" s="50" t="n">
        <f aca="false">ROUNDUP(CK666+MAX(CL666,2*(J666/IF(CG666&gt;0,CG666,MAX(0.1,N(Cockpit!$I$6)))-CK666)),0)</f>
        <v>1</v>
      </c>
      <c r="AW666" s="51" t="n">
        <f aca="false">IF(AS666&gt;0,J666/AS666,-1)</f>
        <v>0</v>
      </c>
      <c r="AX666" s="51" t="str">
        <f aca="false">IF(AND(OR(CF666="L1",CF666="L23",CF666="LIFT"),AS666&gt;0),SUMIFS($AS$7:$AS$1843,$CF$7:$CF$1843,CF666,$AW$7:$AW$1843,"&gt;"&amp;AW666)+SUMIFS($AS$7:$AS$1843,$CF$7:$CF$1843,CF666,$AW$7:$AW$1843,AW666,$BW$7:$BW$1843,"&lt;="&amp;BW666),"")</f>
        <v/>
      </c>
      <c r="AY666" s="58" t="n">
        <f aca="false">IF(AX666="",0,MAX(0,MIN(1,(IF(CF666="L1",Parameter!$H$5,IF(CF666="L23",Parameter!$H$6+Parameter!$H$7,Parameter!$H$5+Parameter!$H$6+Parameter!$H$7))-(AX666-AS666))/AS666)))</f>
        <v>0</v>
      </c>
      <c r="AZ666" s="50" t="n">
        <f aca="false">IF(LEFT(Cockpit!$O$5,1)="A",H666,IF(Parameter!$E$30="MAX-Bestand",IF(CH666=1,CI666,IF(LEFT(Cockpit!$O$5,1)="B",BF666,MAX(BF666,H666))),ROUNDUP(BD666,0)))</f>
        <v>1</v>
      </c>
      <c r="BA666" s="50" t="n">
        <f aca="false">IF(BZ666=1,0,ROUNDUP(AZ666/BY666,0))</f>
        <v>0</v>
      </c>
      <c r="BB666" s="52" t="n">
        <f aca="false">IF(CQ666&gt;0,CQ666*MAX(1,AZ666/X666),IF(BZ666=1,IF(AZ666&lt;=0,0,CD666*MAX(1,IF(H666&gt;0,AZ666/H666,1))),IF(R666&gt;0,BA666/R666,0))/MAX(0.1,N(Parameter!$M$21)))</f>
        <v>0.15</v>
      </c>
      <c r="BC666" s="50" t="n">
        <f aca="false">BB666*CB666</f>
        <v>35.25</v>
      </c>
      <c r="BD666" s="51" t="n">
        <f aca="false">IF(LEFT(Cockpit!$O$5,1)="A",H666,IF(CH666=1,(CK666+CI666)/2,IF(LEFT(Cockpit!$O$5,1)="B",(CK666+BF666)/2,MAX((CK666+BF666)/2,H666))))</f>
        <v>0.5</v>
      </c>
      <c r="BE666" s="50" t="n">
        <f aca="false">BD666*G666</f>
        <v>2.9</v>
      </c>
      <c r="BF666" s="50" t="n">
        <f aca="false">ROUNDUP(CK666+MAX(CL666,2*(J666/IF(CG666&gt;0,CG666,MAX(0.1,N(Cockpit!$O$6)))-CK666)),0)</f>
        <v>1</v>
      </c>
      <c r="BG666" s="51" t="n">
        <f aca="false">IF(BC666&gt;0,J666/BC666,-1)</f>
        <v>0</v>
      </c>
      <c r="BH666" s="51" t="str">
        <f aca="false">IF(AND(OR(CF666="L1",CF666="L23",CF666="LIFT"),BC666&gt;0),SUMIFS($BC$7:$BC$1843,$CF$7:$CF$1843,CF666,$BG$7:$BG$1843,"&gt;"&amp;BG666)+SUMIFS($BC$7:$BC$1843,$CF$7:$CF$1843,CF666,$BG$7:$BG$1843,BG666,$BW$7:$BW$1843,"&lt;="&amp;BW666),"")</f>
        <v/>
      </c>
      <c r="BI666" s="58" t="n">
        <f aca="false">IF(BH666="",0,MAX(0,MIN(1,(IF(CF666="L1",Parameter!$H$5,IF(CF666="L23",Parameter!$H$6+Parameter!$H$7,Parameter!$H$5+Parameter!$H$6+Parameter!$H$7))-(BH666-BC666))/BC666)))</f>
        <v>0</v>
      </c>
      <c r="BJ666" s="48" t="str">
        <f aca="false">IF(AI666&lt;=0,"",IF(CF666="Aussen","Aussenlager",IF(CF666="-","Nicht im Lift",IF(AO666&gt;=1,"Lift",IF(AO666&lt;=0,"Aussenlager","teilweise")))))</f>
        <v/>
      </c>
      <c r="BK666" s="48" t="str">
        <f aca="false">IF(AS666&lt;=0,"",IF(CF666="Aussen","Aussenlager",IF(CF666="-","Nicht im Lift",IF(AY666&gt;=1,"Lift",IF(AY666&lt;=0,"Aussenlager","teilweise")))))</f>
        <v>Nicht im Lift</v>
      </c>
      <c r="BL666" s="48" t="str">
        <f aca="false">IF(BC666&lt;=0,"",IF(CF666="Aussen","Aussenlager",IF(CF666="-","Nicht im Lift",IF(BI666&gt;=1,"Lift",IF(BI666&lt;=0,"Aussenlager","teilweise")))))</f>
        <v>Nicht im Lift</v>
      </c>
      <c r="BM666" s="48" t="str">
        <f aca="false">IF(A666="","",IF(BV666=1,"Neu; ","")&amp;IF(AND(BV666=0,BQ666&lt;0),"negativer Bestand (Export "&amp;BQ666&amp;"); ","")&amp;IF(J666&lt;=0,"Kein Verbrauch; ","")&amp;IF(CQ666&gt;0,"Lift "&amp;W666&amp;" lt. Liftbericht (Fach "&amp;X666&amp;" Stk); ",IF(CA666=1,"Gebinde geschätzt ("&amp;T666&amp;"); ",IF(BZ666=1,"Lose – Tablare geschätzt; ","")))&amp;IF(H666&gt;AV666,"Überbestand "&amp;ROUND(H666-AV666,0)&amp;" Stk / CHF "&amp;ROUND((H666-AV666)*G666,0)&amp;"; ","")&amp;IF(AND(CH666=1,CI666&lt;CJ666),"MAX &lt; MB+LG; ","")&amp;IF(AND(CP666&gt;0,CO666*10&gt;CP666),"zu hoch für Tablar; ","")&amp;IF(AND(BV666=0,OR(CH666=1,AA666&lt;&gt;"",U666&lt;&gt;"",V666&lt;&gt;"",AB666&lt;&gt;"")),"manuell übersteuert; ","")&amp;IF(AND(BZ666=0,R666=0),"Gebinde unbekannt / Stellmass fehlt; ","")&amp;IF(AND(BZ666=0,N(V666)&lt;=0,N(Q666)&lt;=0),"Menge pro Gebinde fehlt (Ist = 1 Gebinde); ","")&amp;BU666)</f>
        <v>Kein Verbrauch; Lose – Tablare geschätzt; </v>
      </c>
      <c r="BN666" s="48"/>
      <c r="BO666" s="48"/>
      <c r="BP666" s="55"/>
      <c r="BQ666" s="50" t="n">
        <v>0</v>
      </c>
      <c r="BR666" s="50" t="n">
        <v>0</v>
      </c>
      <c r="BS666" s="49" t="n">
        <v>0</v>
      </c>
      <c r="BT666" s="50" t="n">
        <v>0</v>
      </c>
      <c r="BU666" s="48"/>
      <c r="BV666" s="53" t="n">
        <v>0</v>
      </c>
      <c r="BW666" s="53" t="n">
        <v>666</v>
      </c>
      <c r="BX666" s="48" t="str">
        <f aca="false">IF(U666&lt;&gt;"",UPPER(TRIM(U666)),IF(CA666=1,UPPER(VLOOKUP(T666,Parameter!$I$27:$K$29,2,0)),IF(P666="","LOSE",P666)))</f>
        <v>LOSE</v>
      </c>
      <c r="BY666" s="50" t="n">
        <f aca="false">IF(BX666="LOSE",1,IF(N(V666)&gt;0,V666,IF(CA666=1,MAX(1,N(VLOOKUP(T666,Parameter!$I$27:$K$29,3,0)),H666,N(N666)),IF(N(Q666)&gt;0,Q666,MAX(1,H666)))))</f>
        <v>1</v>
      </c>
      <c r="BZ666" s="53" t="n">
        <f aca="false">IF(BX666="LOSE",1,0)</f>
        <v>1</v>
      </c>
      <c r="CA666" s="53" t="n">
        <f aca="false">IF(AND(U666="",OR(P666="",P666="LOSE"),T666&lt;&gt;"",N(S666)&lt;=0,ISNUMBER(MATCH(T666,Parameter!$I$27:$I$29,0))),1,0)</f>
        <v>0</v>
      </c>
      <c r="CB666" s="53" t="n">
        <f aca="false">IF(CQ666&gt;0,INDEX(Parameter!$H$5:$H$7,W666)/INDEX(Parameter!$E$5:$E$7,W666),IF(AND(BZ666=0,N(IFERROR(VLOOKUP(BX666,'Gebinde-Kategorie'!$A$5:$N$45,14,0),0))&gt;0),VLOOKUP(BX666,'Gebinde-Kategorie'!$A$5:$N$45,14,0)*10+Parameter!$M$23,Parameter!$M$24))</f>
        <v>235</v>
      </c>
      <c r="CC666" s="48" t="str">
        <f aca="false">IF(AND(Parameter!$B$19="Ja",E666&lt;&gt;"",ISNUMBER(MATCH(E666,Parameter!$I$35:$I$52,0))),VLOOKUP(E666,Parameter!$I$35:$J$52,2,0),IFERROR(VLOOKUP(D666,Parameter!$A$35:$C$64,2,0),"Nein"))</f>
        <v>Nein</v>
      </c>
      <c r="CD666" s="52" t="n">
        <f aca="false">IF(BZ666=0,0,IF(N(S666)&gt;0,S666,IFERROR(VLOOKUP(D666,Parameter!$A$35:$C$64,3,0)+0,0)))</f>
        <v>0.15</v>
      </c>
      <c r="CE666" s="48" t="str">
        <f aca="false">IF(AA666&lt;&gt;"",AA666,Z666)</f>
        <v>-</v>
      </c>
      <c r="CF666" s="48" t="str">
        <f aca="false">IF(OR(CE666=1,CE666=2,CE666=3),IF(Parameter!$E$27="Ja","LIFT",IF(CE666=1,"L1","L23")),IF(CE666="Aussen","Aussen","-"))</f>
        <v>-</v>
      </c>
      <c r="CG666" s="59" t="n">
        <f aca="false">IF(N(AB666)&gt;0,AB666,0)</f>
        <v>0</v>
      </c>
      <c r="CH666" s="53" t="n">
        <f aca="false">IF(ISNUMBER(AE666),1,0)</f>
        <v>0</v>
      </c>
      <c r="CI666" s="50" t="n">
        <f aca="false">N(AE666)</f>
        <v>0</v>
      </c>
      <c r="CJ666" s="50" t="n">
        <f aca="false">N(M666)+N(N666)</f>
        <v>1</v>
      </c>
      <c r="CK666" s="50" t="n">
        <f aca="false">N(M666)</f>
        <v>0</v>
      </c>
      <c r="CL666" s="50" t="n">
        <f aca="false">N(N666)</f>
        <v>1</v>
      </c>
      <c r="CM666" s="50" t="n">
        <f aca="false">ROUNDUP(H666/BY666,0)</f>
        <v>0</v>
      </c>
      <c r="CN666" s="50" t="n">
        <f aca="false">ROUNDUP(CI666/BY666,0)</f>
        <v>0</v>
      </c>
      <c r="CO666" s="53" t="n">
        <f aca="false">IF(BZ666=1,0,IFERROR(VLOOKUP(BX666,'Gebinde-Kategorie'!$A$5:$N$45,5,0)+0,0))</f>
        <v>0</v>
      </c>
      <c r="CP666" s="53" t="n">
        <f aca="false">IFERROR(IF(OR(CE666=1,CE666=2,CE666=3),N(INDEX(Parameter!$I$5:$I$7,CE666)),0),0)</f>
        <v>0</v>
      </c>
      <c r="CQ666" s="52" t="n">
        <f aca="false">IF(AND(Parameter!$B$21="Ja",ISNUMBER(W666),N(X666)&gt;0),IFERROR(N(INDEX(Parameter!$L$5:$L$7,W666))*INDEX(Parameter!$E$5:$E$7,W666)*X666/SUMIFS($X$7:$X$1843,$W$7:$W$1843,W666),0),0)</f>
        <v>0</v>
      </c>
    </row>
    <row r="667" customFormat="false" ht="15" hidden="false" customHeight="false" outlineLevel="0" collapsed="false">
      <c r="A667" s="48" t="s">
        <v>1351</v>
      </c>
      <c r="B667" s="48" t="s">
        <v>663</v>
      </c>
      <c r="C667" s="48" t="s">
        <v>173</v>
      </c>
      <c r="D667" s="48" t="s">
        <v>1004</v>
      </c>
      <c r="E667" s="48"/>
      <c r="F667" s="48" t="s">
        <v>227</v>
      </c>
      <c r="G667" s="49" t="n">
        <v>0.61</v>
      </c>
      <c r="H667" s="50" t="n">
        <f aca="false">MAX(0,IF(AND(Parameter!$B$21="Ja",ISNUMBER(Y667)),Y667,IF(Parameter!$B$20="Jahresanfang 2025 + Export",BR667+BQ667,BQ667)))</f>
        <v>0</v>
      </c>
      <c r="I667" s="50" t="n">
        <f aca="false">H667*G667</f>
        <v>0</v>
      </c>
      <c r="J667" s="50" t="n">
        <f aca="false">BT667*Parameter!$B$18</f>
        <v>60</v>
      </c>
      <c r="K667" s="51" t="n">
        <v>0</v>
      </c>
      <c r="L667" s="52" t="n">
        <v>0</v>
      </c>
      <c r="M667" s="50" t="n">
        <v>0</v>
      </c>
      <c r="N667" s="50" t="n">
        <v>1</v>
      </c>
      <c r="O667" s="53" t="n">
        <v>28</v>
      </c>
      <c r="P667" s="48" t="s">
        <v>177</v>
      </c>
      <c r="Q667" s="50"/>
      <c r="R667" s="53" t="n">
        <f aca="false">IF(BZ667=1,0,IFERROR(VLOOKUP(BX667,'Gebinde-Kategorie'!$A$5:$N$45,13,0)+0,0))</f>
        <v>0</v>
      </c>
      <c r="S667" s="54"/>
      <c r="T667" s="55"/>
      <c r="U667" s="55"/>
      <c r="V667" s="55"/>
      <c r="W667" s="48"/>
      <c r="X667" s="50"/>
      <c r="Y667" s="50"/>
      <c r="Z667" s="48" t="str">
        <f aca="false">IF(A667="","",IF(AND(Parameter!$B$21="Ja",ISNUMBER(W667)),W667,IF(CC667="2+3",IF(ISNUMBER(SEARCH("grosser Artikel",BU667)),2,IFERROR(VLOOKUP(BX667,Parameter!$F$35:$G$64,2,0),2)),IF(OR(CC667="Nein",CC667=""),"-",CC667))))</f>
        <v>-</v>
      </c>
      <c r="AA667" s="55"/>
      <c r="AB667" s="56"/>
      <c r="AC667" s="50" t="n">
        <f aca="false">AV667</f>
        <v>40</v>
      </c>
      <c r="AD667" s="50" t="n">
        <f aca="false">MAX(AV667,H667)</f>
        <v>40</v>
      </c>
      <c r="AE667" s="57"/>
      <c r="AF667" s="50" t="n">
        <f aca="false">IF(LEFT(Cockpit!$C$5,1)="A",H667,IF(Parameter!$E$30="MAX-Bestand",IF(CH667=1,CI667,IF(LEFT(Cockpit!$C$5,1)="B",AL667,MAX(AL667,H667))),ROUNDUP(AJ667,0)))</f>
        <v>0</v>
      </c>
      <c r="AG667" s="50" t="n">
        <f aca="false">IF(BZ667=1,0,ROUNDUP(AF667/BY667,0))</f>
        <v>0</v>
      </c>
      <c r="AH667" s="52" t="n">
        <f aca="false">IF(CQ667&gt;0,CQ667*MAX(1,AF667/X667),IF(BZ667=1,IF(AF667&lt;=0,0,CD667*MAX(1,IF(H667&gt;0,AF667/H667,1))),IF(R667&gt;0,AG667/R667,0))/MAX(0.1,N(Parameter!$M$21)))</f>
        <v>0</v>
      </c>
      <c r="AI667" s="50" t="n">
        <f aca="false">AH667*CB667</f>
        <v>0</v>
      </c>
      <c r="AJ667" s="51" t="n">
        <f aca="false">IF(LEFT(Cockpit!$C$5,1)="A",H667,IF(CH667=1,(CK667+CI667)/2,IF(LEFT(Cockpit!$C$5,1)="B",(CK667+AL667)/2,MAX((CK667+AL667)/2,H667))))</f>
        <v>0</v>
      </c>
      <c r="AK667" s="50" t="n">
        <f aca="false">AJ667*G667</f>
        <v>0</v>
      </c>
      <c r="AL667" s="50" t="n">
        <f aca="false">ROUNDUP(CK667+MAX(CL667,2*(J667/IF(CG667&gt;0,CG667,MAX(0.1,N(Cockpit!$C$6)))-CK667)),0)</f>
        <v>40</v>
      </c>
      <c r="AM667" s="51" t="n">
        <f aca="false">IF(AI667&gt;0,J667/AI667,-1)</f>
        <v>-1</v>
      </c>
      <c r="AN667" s="51" t="str">
        <f aca="false">IF(AND(OR(CF667="L1",CF667="L23",CF667="LIFT"),AI667&gt;0),SUMIFS($AI$7:$AI$1843,$CF$7:$CF$1843,CF667,$AM$7:$AM$1843,"&gt;"&amp;AM667)+SUMIFS($AI$7:$AI$1843,$CF$7:$CF$1843,CF667,$AM$7:$AM$1843,AM667,$BW$7:$BW$1843,"&lt;="&amp;BW667),"")</f>
        <v/>
      </c>
      <c r="AO667" s="58" t="n">
        <f aca="false">IF(AN667="",0,MAX(0,MIN(1,(IF(CF667="L1",Parameter!$H$5,IF(CF667="L23",Parameter!$H$6+Parameter!$H$7,Parameter!$H$5+Parameter!$H$6+Parameter!$H$7))-(AN667-AI667))/AI667)))</f>
        <v>0</v>
      </c>
      <c r="AP667" s="50" t="n">
        <f aca="false">IF(LEFT(Cockpit!$I$5,1)="A",H667,IF(Parameter!$E$30="MAX-Bestand",IF(CH667=1,CI667,IF(LEFT(Cockpit!$I$5,1)="B",AV667,MAX(AV667,H667))),ROUNDUP(AT667,0)))</f>
        <v>20</v>
      </c>
      <c r="AQ667" s="50" t="n">
        <f aca="false">IF(BZ667=1,0,ROUNDUP(AP667/BY667,0))</f>
        <v>0</v>
      </c>
      <c r="AR667" s="52" t="n">
        <f aca="false">IF(CQ667&gt;0,CQ667*MAX(1,AP667/X667),IF(BZ667=1,IF(AP667&lt;=0,0,CD667*MAX(1,IF(H667&gt;0,AP667/H667,1))),IF(R667&gt;0,AQ667/R667,0))/MAX(0.1,N(Parameter!$M$21)))</f>
        <v>0.15</v>
      </c>
      <c r="AS667" s="50" t="n">
        <f aca="false">AR667*CB667</f>
        <v>35.25</v>
      </c>
      <c r="AT667" s="51" t="n">
        <f aca="false">IF(LEFT(Cockpit!$I$5,1)="A",H667,IF(CH667=1,(CK667+CI667)/2,IF(LEFT(Cockpit!$I$5,1)="B",(CK667+AV667)/2,MAX((CK667+AV667)/2,H667))))</f>
        <v>20</v>
      </c>
      <c r="AU667" s="50" t="n">
        <f aca="false">AT667*G667</f>
        <v>12.2</v>
      </c>
      <c r="AV667" s="50" t="n">
        <f aca="false">ROUNDUP(CK667+MAX(CL667,2*(J667/IF(CG667&gt;0,CG667,MAX(0.1,N(Cockpit!$I$6)))-CK667)),0)</f>
        <v>40</v>
      </c>
      <c r="AW667" s="51" t="n">
        <f aca="false">IF(AS667&gt;0,J667/AS667,-1)</f>
        <v>1.70212765957447</v>
      </c>
      <c r="AX667" s="51" t="str">
        <f aca="false">IF(AND(OR(CF667="L1",CF667="L23",CF667="LIFT"),AS667&gt;0),SUMIFS($AS$7:$AS$1843,$CF$7:$CF$1843,CF667,$AW$7:$AW$1843,"&gt;"&amp;AW667)+SUMIFS($AS$7:$AS$1843,$CF$7:$CF$1843,CF667,$AW$7:$AW$1843,AW667,$BW$7:$BW$1843,"&lt;="&amp;BW667),"")</f>
        <v/>
      </c>
      <c r="AY667" s="58" t="n">
        <f aca="false">IF(AX667="",0,MAX(0,MIN(1,(IF(CF667="L1",Parameter!$H$5,IF(CF667="L23",Parameter!$H$6+Parameter!$H$7,Parameter!$H$5+Parameter!$H$6+Parameter!$H$7))-(AX667-AS667))/AS667)))</f>
        <v>0</v>
      </c>
      <c r="AZ667" s="50" t="n">
        <f aca="false">IF(LEFT(Cockpit!$O$5,1)="A",H667,IF(Parameter!$E$30="MAX-Bestand",IF(CH667=1,CI667,IF(LEFT(Cockpit!$O$5,1)="B",BF667,MAX(BF667,H667))),ROUNDUP(BD667,0)))</f>
        <v>15</v>
      </c>
      <c r="BA667" s="50" t="n">
        <f aca="false">IF(BZ667=1,0,ROUNDUP(AZ667/BY667,0))</f>
        <v>0</v>
      </c>
      <c r="BB667" s="52" t="n">
        <f aca="false">IF(CQ667&gt;0,CQ667*MAX(1,AZ667/X667),IF(BZ667=1,IF(AZ667&lt;=0,0,CD667*MAX(1,IF(H667&gt;0,AZ667/H667,1))),IF(R667&gt;0,BA667/R667,0))/MAX(0.1,N(Parameter!$M$21)))</f>
        <v>0.15</v>
      </c>
      <c r="BC667" s="50" t="n">
        <f aca="false">BB667*CB667</f>
        <v>35.25</v>
      </c>
      <c r="BD667" s="51" t="n">
        <f aca="false">IF(LEFT(Cockpit!$O$5,1)="A",H667,IF(CH667=1,(CK667+CI667)/2,IF(LEFT(Cockpit!$O$5,1)="B",(CK667+BF667)/2,MAX((CK667+BF667)/2,H667))))</f>
        <v>15</v>
      </c>
      <c r="BE667" s="50" t="n">
        <f aca="false">BD667*G667</f>
        <v>9.15</v>
      </c>
      <c r="BF667" s="50" t="n">
        <f aca="false">ROUNDUP(CK667+MAX(CL667,2*(J667/IF(CG667&gt;0,CG667,MAX(0.1,N(Cockpit!$O$6)))-CK667)),0)</f>
        <v>30</v>
      </c>
      <c r="BG667" s="51" t="n">
        <f aca="false">IF(BC667&gt;0,J667/BC667,-1)</f>
        <v>1.70212765957447</v>
      </c>
      <c r="BH667" s="51" t="str">
        <f aca="false">IF(AND(OR(CF667="L1",CF667="L23",CF667="LIFT"),BC667&gt;0),SUMIFS($BC$7:$BC$1843,$CF$7:$CF$1843,CF667,$BG$7:$BG$1843,"&gt;"&amp;BG667)+SUMIFS($BC$7:$BC$1843,$CF$7:$CF$1843,CF667,$BG$7:$BG$1843,BG667,$BW$7:$BW$1843,"&lt;="&amp;BW667),"")</f>
        <v/>
      </c>
      <c r="BI667" s="58" t="n">
        <f aca="false">IF(BH667="",0,MAX(0,MIN(1,(IF(CF667="L1",Parameter!$H$5,IF(CF667="L23",Parameter!$H$6+Parameter!$H$7,Parameter!$H$5+Parameter!$H$6+Parameter!$H$7))-(BH667-BC667))/BC667)))</f>
        <v>0</v>
      </c>
      <c r="BJ667" s="48" t="str">
        <f aca="false">IF(AI667&lt;=0,"",IF(CF667="Aussen","Aussenlager",IF(CF667="-","Nicht im Lift",IF(AO667&gt;=1,"Lift",IF(AO667&lt;=0,"Aussenlager","teilweise")))))</f>
        <v/>
      </c>
      <c r="BK667" s="48" t="str">
        <f aca="false">IF(AS667&lt;=0,"",IF(CF667="Aussen","Aussenlager",IF(CF667="-","Nicht im Lift",IF(AY667&gt;=1,"Lift",IF(AY667&lt;=0,"Aussenlager","teilweise")))))</f>
        <v>Nicht im Lift</v>
      </c>
      <c r="BL667" s="48" t="str">
        <f aca="false">IF(BC667&lt;=0,"",IF(CF667="Aussen","Aussenlager",IF(CF667="-","Nicht im Lift",IF(BI667&gt;=1,"Lift",IF(BI667&lt;=0,"Aussenlager","teilweise")))))</f>
        <v>Nicht im Lift</v>
      </c>
      <c r="BM667" s="48" t="str">
        <f aca="false">IF(A667="","",IF(BV667=1,"Neu; ","")&amp;IF(AND(BV667=0,BQ667&lt;0),"negativer Bestand (Export "&amp;BQ667&amp;"); ","")&amp;IF(J667&lt;=0,"Kein Verbrauch; ","")&amp;IF(CQ667&gt;0,"Lift "&amp;W667&amp;" lt. Liftbericht (Fach "&amp;X667&amp;" Stk); ",IF(CA667=1,"Gebinde geschätzt ("&amp;T667&amp;"); ",IF(BZ667=1,"Lose – Tablare geschätzt; ","")))&amp;IF(H667&gt;AV667,"Überbestand "&amp;ROUND(H667-AV667,0)&amp;" Stk / CHF "&amp;ROUND((H667-AV667)*G667,0)&amp;"; ","")&amp;IF(AND(CH667=1,CI667&lt;CJ667),"MAX &lt; MB+LG; ","")&amp;IF(AND(CP667&gt;0,CO667*10&gt;CP667),"zu hoch für Tablar; ","")&amp;IF(AND(BV667=0,OR(CH667=1,AA667&lt;&gt;"",U667&lt;&gt;"",V667&lt;&gt;"",AB667&lt;&gt;"")),"manuell übersteuert; ","")&amp;IF(AND(BZ667=0,R667=0),"Gebinde unbekannt / Stellmass fehlt; ","")&amp;IF(AND(BZ667=0,N(V667)&lt;=0,N(Q667)&lt;=0),"Menge pro Gebinde fehlt (Ist = 1 Gebinde); ","")&amp;BU667)</f>
        <v>Lose – Tablare geschätzt; </v>
      </c>
      <c r="BN667" s="48"/>
      <c r="BO667" s="48"/>
      <c r="BP667" s="55"/>
      <c r="BQ667" s="50" t="n">
        <v>0</v>
      </c>
      <c r="BR667" s="50" t="n">
        <v>0</v>
      </c>
      <c r="BS667" s="49" t="n">
        <v>0</v>
      </c>
      <c r="BT667" s="50" t="n">
        <v>60</v>
      </c>
      <c r="BU667" s="48"/>
      <c r="BV667" s="53" t="n">
        <v>0</v>
      </c>
      <c r="BW667" s="53" t="n">
        <v>667</v>
      </c>
      <c r="BX667" s="48" t="str">
        <f aca="false">IF(U667&lt;&gt;"",UPPER(TRIM(U667)),IF(CA667=1,UPPER(VLOOKUP(T667,Parameter!$I$27:$K$29,2,0)),IF(P667="","LOSE",P667)))</f>
        <v>LOSE</v>
      </c>
      <c r="BY667" s="50" t="n">
        <f aca="false">IF(BX667="LOSE",1,IF(N(V667)&gt;0,V667,IF(CA667=1,MAX(1,N(VLOOKUP(T667,Parameter!$I$27:$K$29,3,0)),H667,N(N667)),IF(N(Q667)&gt;0,Q667,MAX(1,H667)))))</f>
        <v>1</v>
      </c>
      <c r="BZ667" s="53" t="n">
        <f aca="false">IF(BX667="LOSE",1,0)</f>
        <v>1</v>
      </c>
      <c r="CA667" s="53" t="n">
        <f aca="false">IF(AND(U667="",OR(P667="",P667="LOSE"),T667&lt;&gt;"",N(S667)&lt;=0,ISNUMBER(MATCH(T667,Parameter!$I$27:$I$29,0))),1,0)</f>
        <v>0</v>
      </c>
      <c r="CB667" s="53" t="n">
        <f aca="false">IF(CQ667&gt;0,INDEX(Parameter!$H$5:$H$7,W667)/INDEX(Parameter!$E$5:$E$7,W667),IF(AND(BZ667=0,N(IFERROR(VLOOKUP(BX667,'Gebinde-Kategorie'!$A$5:$N$45,14,0),0))&gt;0),VLOOKUP(BX667,'Gebinde-Kategorie'!$A$5:$N$45,14,0)*10+Parameter!$M$23,Parameter!$M$24))</f>
        <v>235</v>
      </c>
      <c r="CC667" s="48" t="str">
        <f aca="false">IF(AND(Parameter!$B$19="Ja",E667&lt;&gt;"",ISNUMBER(MATCH(E667,Parameter!$I$35:$I$52,0))),VLOOKUP(E667,Parameter!$I$35:$J$52,2,0),IFERROR(VLOOKUP(D667,Parameter!$A$35:$C$64,2,0),"Nein"))</f>
        <v>Nein</v>
      </c>
      <c r="CD667" s="52" t="n">
        <f aca="false">IF(BZ667=0,0,IF(N(S667)&gt;0,S667,IFERROR(VLOOKUP(D667,Parameter!$A$35:$C$64,3,0)+0,0)))</f>
        <v>0.15</v>
      </c>
      <c r="CE667" s="48" t="str">
        <f aca="false">IF(AA667&lt;&gt;"",AA667,Z667)</f>
        <v>-</v>
      </c>
      <c r="CF667" s="48" t="str">
        <f aca="false">IF(OR(CE667=1,CE667=2,CE667=3),IF(Parameter!$E$27="Ja","LIFT",IF(CE667=1,"L1","L23")),IF(CE667="Aussen","Aussen","-"))</f>
        <v>-</v>
      </c>
      <c r="CG667" s="59" t="n">
        <f aca="false">IF(N(AB667)&gt;0,AB667,0)</f>
        <v>0</v>
      </c>
      <c r="CH667" s="53" t="n">
        <f aca="false">IF(ISNUMBER(AE667),1,0)</f>
        <v>0</v>
      </c>
      <c r="CI667" s="50" t="n">
        <f aca="false">N(AE667)</f>
        <v>0</v>
      </c>
      <c r="CJ667" s="50" t="n">
        <f aca="false">N(M667)+N(N667)</f>
        <v>1</v>
      </c>
      <c r="CK667" s="50" t="n">
        <f aca="false">N(M667)</f>
        <v>0</v>
      </c>
      <c r="CL667" s="50" t="n">
        <f aca="false">N(N667)</f>
        <v>1</v>
      </c>
      <c r="CM667" s="50" t="n">
        <f aca="false">ROUNDUP(H667/BY667,0)</f>
        <v>0</v>
      </c>
      <c r="CN667" s="50" t="n">
        <f aca="false">ROUNDUP(CI667/BY667,0)</f>
        <v>0</v>
      </c>
      <c r="CO667" s="53" t="n">
        <f aca="false">IF(BZ667=1,0,IFERROR(VLOOKUP(BX667,'Gebinde-Kategorie'!$A$5:$N$45,5,0)+0,0))</f>
        <v>0</v>
      </c>
      <c r="CP667" s="53" t="n">
        <f aca="false">IFERROR(IF(OR(CE667=1,CE667=2,CE667=3),N(INDEX(Parameter!$I$5:$I$7,CE667)),0),0)</f>
        <v>0</v>
      </c>
      <c r="CQ667" s="52" t="n">
        <f aca="false">IF(AND(Parameter!$B$21="Ja",ISNUMBER(W667),N(X667)&gt;0),IFERROR(N(INDEX(Parameter!$L$5:$L$7,W667))*INDEX(Parameter!$E$5:$E$7,W667)*X667/SUMIFS($X$7:$X$1843,$W$7:$W$1843,W667),0),0)</f>
        <v>0</v>
      </c>
    </row>
    <row r="668" customFormat="false" ht="15" hidden="false" customHeight="false" outlineLevel="0" collapsed="false">
      <c r="A668" s="48" t="s">
        <v>1352</v>
      </c>
      <c r="B668" s="48" t="s">
        <v>1353</v>
      </c>
      <c r="C668" s="48" t="s">
        <v>173</v>
      </c>
      <c r="D668" s="48" t="s">
        <v>1004</v>
      </c>
      <c r="E668" s="48"/>
      <c r="F668" s="48" t="s">
        <v>227</v>
      </c>
      <c r="G668" s="49" t="n">
        <v>2344.22</v>
      </c>
      <c r="H668" s="50" t="n">
        <f aca="false">MAX(0,IF(AND(Parameter!$B$21="Ja",ISNUMBER(Y668)),Y668,IF(Parameter!$B$20="Jahresanfang 2025 + Export",BR668+BQ668,BQ668)))</f>
        <v>0</v>
      </c>
      <c r="I668" s="50" t="n">
        <f aca="false">H668*G668</f>
        <v>0</v>
      </c>
      <c r="J668" s="50" t="n">
        <f aca="false">BT668*Parameter!$B$18</f>
        <v>4</v>
      </c>
      <c r="K668" s="51" t="n">
        <v>0</v>
      </c>
      <c r="L668" s="52" t="n">
        <v>0</v>
      </c>
      <c r="M668" s="50" t="n">
        <v>0</v>
      </c>
      <c r="N668" s="50" t="n">
        <v>1</v>
      </c>
      <c r="O668" s="53" t="n">
        <v>70</v>
      </c>
      <c r="P668" s="48" t="s">
        <v>177</v>
      </c>
      <c r="Q668" s="50"/>
      <c r="R668" s="53" t="n">
        <f aca="false">IF(BZ668=1,0,IFERROR(VLOOKUP(BX668,'Gebinde-Kategorie'!$A$5:$N$45,13,0)+0,0))</f>
        <v>0</v>
      </c>
      <c r="S668" s="54"/>
      <c r="T668" s="55"/>
      <c r="U668" s="55"/>
      <c r="V668" s="55"/>
      <c r="W668" s="48"/>
      <c r="X668" s="50"/>
      <c r="Y668" s="50"/>
      <c r="Z668" s="48" t="str">
        <f aca="false">IF(A668="","",IF(AND(Parameter!$B$21="Ja",ISNUMBER(W668)),W668,IF(CC668="2+3",IF(ISNUMBER(SEARCH("grosser Artikel",BU668)),2,IFERROR(VLOOKUP(BX668,Parameter!$F$35:$G$64,2,0),2)),IF(OR(CC668="Nein",CC668=""),"-",CC668))))</f>
        <v>-</v>
      </c>
      <c r="AA668" s="55"/>
      <c r="AB668" s="56"/>
      <c r="AC668" s="50" t="n">
        <f aca="false">AV668</f>
        <v>3</v>
      </c>
      <c r="AD668" s="50" t="n">
        <f aca="false">MAX(AV668,H668)</f>
        <v>3</v>
      </c>
      <c r="AE668" s="57"/>
      <c r="AF668" s="50" t="n">
        <f aca="false">IF(LEFT(Cockpit!$C$5,1)="A",H668,IF(Parameter!$E$30="MAX-Bestand",IF(CH668=1,CI668,IF(LEFT(Cockpit!$C$5,1)="B",AL668,MAX(AL668,H668))),ROUNDUP(AJ668,0)))</f>
        <v>0</v>
      </c>
      <c r="AG668" s="50" t="n">
        <f aca="false">IF(BZ668=1,0,ROUNDUP(AF668/BY668,0))</f>
        <v>0</v>
      </c>
      <c r="AH668" s="52" t="n">
        <f aca="false">IF(CQ668&gt;0,CQ668*MAX(1,AF668/X668),IF(BZ668=1,IF(AF668&lt;=0,0,CD668*MAX(1,IF(H668&gt;0,AF668/H668,1))),IF(R668&gt;0,AG668/R668,0))/MAX(0.1,N(Parameter!$M$21)))</f>
        <v>0</v>
      </c>
      <c r="AI668" s="50" t="n">
        <f aca="false">AH668*CB668</f>
        <v>0</v>
      </c>
      <c r="AJ668" s="51" t="n">
        <f aca="false">IF(LEFT(Cockpit!$C$5,1)="A",H668,IF(CH668=1,(CK668+CI668)/2,IF(LEFT(Cockpit!$C$5,1)="B",(CK668+AL668)/2,MAX((CK668+AL668)/2,H668))))</f>
        <v>0</v>
      </c>
      <c r="AK668" s="50" t="n">
        <f aca="false">AJ668*G668</f>
        <v>0</v>
      </c>
      <c r="AL668" s="50" t="n">
        <f aca="false">ROUNDUP(CK668+MAX(CL668,2*(J668/IF(CG668&gt;0,CG668,MAX(0.1,N(Cockpit!$C$6)))-CK668)),0)</f>
        <v>3</v>
      </c>
      <c r="AM668" s="51" t="n">
        <f aca="false">IF(AI668&gt;0,J668/AI668,-1)</f>
        <v>-1</v>
      </c>
      <c r="AN668" s="51" t="str">
        <f aca="false">IF(AND(OR(CF668="L1",CF668="L23",CF668="LIFT"),AI668&gt;0),SUMIFS($AI$7:$AI$1843,$CF$7:$CF$1843,CF668,$AM$7:$AM$1843,"&gt;"&amp;AM668)+SUMIFS($AI$7:$AI$1843,$CF$7:$CF$1843,CF668,$AM$7:$AM$1843,AM668,$BW$7:$BW$1843,"&lt;="&amp;BW668),"")</f>
        <v/>
      </c>
      <c r="AO668" s="58" t="n">
        <f aca="false">IF(AN668="",0,MAX(0,MIN(1,(IF(CF668="L1",Parameter!$H$5,IF(CF668="L23",Parameter!$H$6+Parameter!$H$7,Parameter!$H$5+Parameter!$H$6+Parameter!$H$7))-(AN668-AI668))/AI668)))</f>
        <v>0</v>
      </c>
      <c r="AP668" s="50" t="n">
        <f aca="false">IF(LEFT(Cockpit!$I$5,1)="A",H668,IF(Parameter!$E$30="MAX-Bestand",IF(CH668=1,CI668,IF(LEFT(Cockpit!$I$5,1)="B",AV668,MAX(AV668,H668))),ROUNDUP(AT668,0)))</f>
        <v>2</v>
      </c>
      <c r="AQ668" s="50" t="n">
        <f aca="false">IF(BZ668=1,0,ROUNDUP(AP668/BY668,0))</f>
        <v>0</v>
      </c>
      <c r="AR668" s="52" t="n">
        <f aca="false">IF(CQ668&gt;0,CQ668*MAX(1,AP668/X668),IF(BZ668=1,IF(AP668&lt;=0,0,CD668*MAX(1,IF(H668&gt;0,AP668/H668,1))),IF(R668&gt;0,AQ668/R668,0))/MAX(0.1,N(Parameter!$M$21)))</f>
        <v>0.15</v>
      </c>
      <c r="AS668" s="50" t="n">
        <f aca="false">AR668*CB668</f>
        <v>35.25</v>
      </c>
      <c r="AT668" s="51" t="n">
        <f aca="false">IF(LEFT(Cockpit!$I$5,1)="A",H668,IF(CH668=1,(CK668+CI668)/2,IF(LEFT(Cockpit!$I$5,1)="B",(CK668+AV668)/2,MAX((CK668+AV668)/2,H668))))</f>
        <v>1.5</v>
      </c>
      <c r="AU668" s="50" t="n">
        <f aca="false">AT668*G668</f>
        <v>3516.33</v>
      </c>
      <c r="AV668" s="50" t="n">
        <f aca="false">ROUNDUP(CK668+MAX(CL668,2*(J668/IF(CG668&gt;0,CG668,MAX(0.1,N(Cockpit!$I$6)))-CK668)),0)</f>
        <v>3</v>
      </c>
      <c r="AW668" s="51" t="n">
        <f aca="false">IF(AS668&gt;0,J668/AS668,-1)</f>
        <v>0.113475177304965</v>
      </c>
      <c r="AX668" s="51" t="str">
        <f aca="false">IF(AND(OR(CF668="L1",CF668="L23",CF668="LIFT"),AS668&gt;0),SUMIFS($AS$7:$AS$1843,$CF$7:$CF$1843,CF668,$AW$7:$AW$1843,"&gt;"&amp;AW668)+SUMIFS($AS$7:$AS$1843,$CF$7:$CF$1843,CF668,$AW$7:$AW$1843,AW668,$BW$7:$BW$1843,"&lt;="&amp;BW668),"")</f>
        <v/>
      </c>
      <c r="AY668" s="58" t="n">
        <f aca="false">IF(AX668="",0,MAX(0,MIN(1,(IF(CF668="L1",Parameter!$H$5,IF(CF668="L23",Parameter!$H$6+Parameter!$H$7,Parameter!$H$5+Parameter!$H$6+Parameter!$H$7))-(AX668-AS668))/AS668)))</f>
        <v>0</v>
      </c>
      <c r="AZ668" s="50" t="n">
        <f aca="false">IF(LEFT(Cockpit!$O$5,1)="A",H668,IF(Parameter!$E$30="MAX-Bestand",IF(CH668=1,CI668,IF(LEFT(Cockpit!$O$5,1)="B",BF668,MAX(BF668,H668))),ROUNDUP(BD668,0)))</f>
        <v>1</v>
      </c>
      <c r="BA668" s="50" t="n">
        <f aca="false">IF(BZ668=1,0,ROUNDUP(AZ668/BY668,0))</f>
        <v>0</v>
      </c>
      <c r="BB668" s="52" t="n">
        <f aca="false">IF(CQ668&gt;0,CQ668*MAX(1,AZ668/X668),IF(BZ668=1,IF(AZ668&lt;=0,0,CD668*MAX(1,IF(H668&gt;0,AZ668/H668,1))),IF(R668&gt;0,BA668/R668,0))/MAX(0.1,N(Parameter!$M$21)))</f>
        <v>0.15</v>
      </c>
      <c r="BC668" s="50" t="n">
        <f aca="false">BB668*CB668</f>
        <v>35.25</v>
      </c>
      <c r="BD668" s="51" t="n">
        <f aca="false">IF(LEFT(Cockpit!$O$5,1)="A",H668,IF(CH668=1,(CK668+CI668)/2,IF(LEFT(Cockpit!$O$5,1)="B",(CK668+BF668)/2,MAX((CK668+BF668)/2,H668))))</f>
        <v>1</v>
      </c>
      <c r="BE668" s="50" t="n">
        <f aca="false">BD668*G668</f>
        <v>2344.22</v>
      </c>
      <c r="BF668" s="50" t="n">
        <f aca="false">ROUNDUP(CK668+MAX(CL668,2*(J668/IF(CG668&gt;0,CG668,MAX(0.1,N(Cockpit!$O$6)))-CK668)),0)</f>
        <v>2</v>
      </c>
      <c r="BG668" s="51" t="n">
        <f aca="false">IF(BC668&gt;0,J668/BC668,-1)</f>
        <v>0.113475177304965</v>
      </c>
      <c r="BH668" s="51" t="str">
        <f aca="false">IF(AND(OR(CF668="L1",CF668="L23",CF668="LIFT"),BC668&gt;0),SUMIFS($BC$7:$BC$1843,$CF$7:$CF$1843,CF668,$BG$7:$BG$1843,"&gt;"&amp;BG668)+SUMIFS($BC$7:$BC$1843,$CF$7:$CF$1843,CF668,$BG$7:$BG$1843,BG668,$BW$7:$BW$1843,"&lt;="&amp;BW668),"")</f>
        <v/>
      </c>
      <c r="BI668" s="58" t="n">
        <f aca="false">IF(BH668="",0,MAX(0,MIN(1,(IF(CF668="L1",Parameter!$H$5,IF(CF668="L23",Parameter!$H$6+Parameter!$H$7,Parameter!$H$5+Parameter!$H$6+Parameter!$H$7))-(BH668-BC668))/BC668)))</f>
        <v>0</v>
      </c>
      <c r="BJ668" s="48" t="str">
        <f aca="false">IF(AI668&lt;=0,"",IF(CF668="Aussen","Aussenlager",IF(CF668="-","Nicht im Lift",IF(AO668&gt;=1,"Lift",IF(AO668&lt;=0,"Aussenlager","teilweise")))))</f>
        <v/>
      </c>
      <c r="BK668" s="48" t="str">
        <f aca="false">IF(AS668&lt;=0,"",IF(CF668="Aussen","Aussenlager",IF(CF668="-","Nicht im Lift",IF(AY668&gt;=1,"Lift",IF(AY668&lt;=0,"Aussenlager","teilweise")))))</f>
        <v>Nicht im Lift</v>
      </c>
      <c r="BL668" s="48" t="str">
        <f aca="false">IF(BC668&lt;=0,"",IF(CF668="Aussen","Aussenlager",IF(CF668="-","Nicht im Lift",IF(BI668&gt;=1,"Lift",IF(BI668&lt;=0,"Aussenlager","teilweise")))))</f>
        <v>Nicht im Lift</v>
      </c>
      <c r="BM668" s="48" t="str">
        <f aca="false">IF(A668="","",IF(BV668=1,"Neu; ","")&amp;IF(AND(BV668=0,BQ668&lt;0),"negativer Bestand (Export "&amp;BQ668&amp;"); ","")&amp;IF(J668&lt;=0,"Kein Verbrauch; ","")&amp;IF(CQ668&gt;0,"Lift "&amp;W668&amp;" lt. Liftbericht (Fach "&amp;X668&amp;" Stk); ",IF(CA668=1,"Gebinde geschätzt ("&amp;T668&amp;"); ",IF(BZ668=1,"Lose – Tablare geschätzt; ","")))&amp;IF(H668&gt;AV668,"Überbestand "&amp;ROUND(H668-AV668,0)&amp;" Stk / CHF "&amp;ROUND((H668-AV668)*G668,0)&amp;"; ","")&amp;IF(AND(CH668=1,CI668&lt;CJ668),"MAX &lt; MB+LG; ","")&amp;IF(AND(CP668&gt;0,CO668*10&gt;CP668),"zu hoch für Tablar; ","")&amp;IF(AND(BV668=0,OR(CH668=1,AA668&lt;&gt;"",U668&lt;&gt;"",V668&lt;&gt;"",AB668&lt;&gt;"")),"manuell übersteuert; ","")&amp;IF(AND(BZ668=0,R668=0),"Gebinde unbekannt / Stellmass fehlt; ","")&amp;IF(AND(BZ668=0,N(V668)&lt;=0,N(Q668)&lt;=0),"Menge pro Gebinde fehlt (Ist = 1 Gebinde); ","")&amp;BU668)</f>
        <v>Lose – Tablare geschätzt; </v>
      </c>
      <c r="BN668" s="48"/>
      <c r="BO668" s="48"/>
      <c r="BP668" s="55"/>
      <c r="BQ668" s="50" t="n">
        <v>0</v>
      </c>
      <c r="BR668" s="50" t="n">
        <v>0</v>
      </c>
      <c r="BS668" s="49" t="n">
        <v>0</v>
      </c>
      <c r="BT668" s="50" t="n">
        <v>4</v>
      </c>
      <c r="BU668" s="48"/>
      <c r="BV668" s="53" t="n">
        <v>0</v>
      </c>
      <c r="BW668" s="53" t="n">
        <v>668</v>
      </c>
      <c r="BX668" s="48" t="str">
        <f aca="false">IF(U668&lt;&gt;"",UPPER(TRIM(U668)),IF(CA668=1,UPPER(VLOOKUP(T668,Parameter!$I$27:$K$29,2,0)),IF(P668="","LOSE",P668)))</f>
        <v>LOSE</v>
      </c>
      <c r="BY668" s="50" t="n">
        <f aca="false">IF(BX668="LOSE",1,IF(N(V668)&gt;0,V668,IF(CA668=1,MAX(1,N(VLOOKUP(T668,Parameter!$I$27:$K$29,3,0)),H668,N(N668)),IF(N(Q668)&gt;0,Q668,MAX(1,H668)))))</f>
        <v>1</v>
      </c>
      <c r="BZ668" s="53" t="n">
        <f aca="false">IF(BX668="LOSE",1,0)</f>
        <v>1</v>
      </c>
      <c r="CA668" s="53" t="n">
        <f aca="false">IF(AND(U668="",OR(P668="",P668="LOSE"),T668&lt;&gt;"",N(S668)&lt;=0,ISNUMBER(MATCH(T668,Parameter!$I$27:$I$29,0))),1,0)</f>
        <v>0</v>
      </c>
      <c r="CB668" s="53" t="n">
        <f aca="false">IF(CQ668&gt;0,INDEX(Parameter!$H$5:$H$7,W668)/INDEX(Parameter!$E$5:$E$7,W668),IF(AND(BZ668=0,N(IFERROR(VLOOKUP(BX668,'Gebinde-Kategorie'!$A$5:$N$45,14,0),0))&gt;0),VLOOKUP(BX668,'Gebinde-Kategorie'!$A$5:$N$45,14,0)*10+Parameter!$M$23,Parameter!$M$24))</f>
        <v>235</v>
      </c>
      <c r="CC668" s="48" t="str">
        <f aca="false">IF(AND(Parameter!$B$19="Ja",E668&lt;&gt;"",ISNUMBER(MATCH(E668,Parameter!$I$35:$I$52,0))),VLOOKUP(E668,Parameter!$I$35:$J$52,2,0),IFERROR(VLOOKUP(D668,Parameter!$A$35:$C$64,2,0),"Nein"))</f>
        <v>Nein</v>
      </c>
      <c r="CD668" s="52" t="n">
        <f aca="false">IF(BZ668=0,0,IF(N(S668)&gt;0,S668,IFERROR(VLOOKUP(D668,Parameter!$A$35:$C$64,3,0)+0,0)))</f>
        <v>0.15</v>
      </c>
      <c r="CE668" s="48" t="str">
        <f aca="false">IF(AA668&lt;&gt;"",AA668,Z668)</f>
        <v>-</v>
      </c>
      <c r="CF668" s="48" t="str">
        <f aca="false">IF(OR(CE668=1,CE668=2,CE668=3),IF(Parameter!$E$27="Ja","LIFT",IF(CE668=1,"L1","L23")),IF(CE668="Aussen","Aussen","-"))</f>
        <v>-</v>
      </c>
      <c r="CG668" s="59" t="n">
        <f aca="false">IF(N(AB668)&gt;0,AB668,0)</f>
        <v>0</v>
      </c>
      <c r="CH668" s="53" t="n">
        <f aca="false">IF(ISNUMBER(AE668),1,0)</f>
        <v>0</v>
      </c>
      <c r="CI668" s="50" t="n">
        <f aca="false">N(AE668)</f>
        <v>0</v>
      </c>
      <c r="CJ668" s="50" t="n">
        <f aca="false">N(M668)+N(N668)</f>
        <v>1</v>
      </c>
      <c r="CK668" s="50" t="n">
        <f aca="false">N(M668)</f>
        <v>0</v>
      </c>
      <c r="CL668" s="50" t="n">
        <f aca="false">N(N668)</f>
        <v>1</v>
      </c>
      <c r="CM668" s="50" t="n">
        <f aca="false">ROUNDUP(H668/BY668,0)</f>
        <v>0</v>
      </c>
      <c r="CN668" s="50" t="n">
        <f aca="false">ROUNDUP(CI668/BY668,0)</f>
        <v>0</v>
      </c>
      <c r="CO668" s="53" t="n">
        <f aca="false">IF(BZ668=1,0,IFERROR(VLOOKUP(BX668,'Gebinde-Kategorie'!$A$5:$N$45,5,0)+0,0))</f>
        <v>0</v>
      </c>
      <c r="CP668" s="53" t="n">
        <f aca="false">IFERROR(IF(OR(CE668=1,CE668=2,CE668=3),N(INDEX(Parameter!$I$5:$I$7,CE668)),0),0)</f>
        <v>0</v>
      </c>
      <c r="CQ668" s="52" t="n">
        <f aca="false">IF(AND(Parameter!$B$21="Ja",ISNUMBER(W668),N(X668)&gt;0),IFERROR(N(INDEX(Parameter!$L$5:$L$7,W668))*INDEX(Parameter!$E$5:$E$7,W668)*X668/SUMIFS($X$7:$X$1843,$W$7:$W$1843,W668),0),0)</f>
        <v>0</v>
      </c>
    </row>
    <row r="669" customFormat="false" ht="15" hidden="false" customHeight="false" outlineLevel="0" collapsed="false">
      <c r="A669" s="48" t="s">
        <v>1354</v>
      </c>
      <c r="B669" s="48" t="s">
        <v>215</v>
      </c>
      <c r="C669" s="48" t="s">
        <v>173</v>
      </c>
      <c r="D669" s="48" t="s">
        <v>1004</v>
      </c>
      <c r="E669" s="48"/>
      <c r="F669" s="48" t="s">
        <v>227</v>
      </c>
      <c r="G669" s="49" t="n">
        <v>4681.1</v>
      </c>
      <c r="H669" s="50" t="n">
        <f aca="false">MAX(0,IF(AND(Parameter!$B$21="Ja",ISNUMBER(Y669)),Y669,IF(Parameter!$B$20="Jahresanfang 2025 + Export",BR669+BQ669,BQ669)))</f>
        <v>0</v>
      </c>
      <c r="I669" s="50" t="n">
        <f aca="false">H669*G669</f>
        <v>0</v>
      </c>
      <c r="J669" s="50" t="n">
        <f aca="false">BT669*Parameter!$B$18</f>
        <v>3</v>
      </c>
      <c r="K669" s="51" t="n">
        <v>0</v>
      </c>
      <c r="L669" s="52" t="n">
        <v>0</v>
      </c>
      <c r="M669" s="50" t="n">
        <v>0</v>
      </c>
      <c r="N669" s="50" t="n">
        <v>1</v>
      </c>
      <c r="O669" s="53" t="n">
        <v>70</v>
      </c>
      <c r="P669" s="48" t="s">
        <v>177</v>
      </c>
      <c r="Q669" s="50"/>
      <c r="R669" s="53" t="n">
        <f aca="false">IF(BZ669=1,0,IFERROR(VLOOKUP(BX669,'Gebinde-Kategorie'!$A$5:$N$45,13,0)+0,0))</f>
        <v>0</v>
      </c>
      <c r="S669" s="54"/>
      <c r="T669" s="55"/>
      <c r="U669" s="55"/>
      <c r="V669" s="55"/>
      <c r="W669" s="48"/>
      <c r="X669" s="50"/>
      <c r="Y669" s="50"/>
      <c r="Z669" s="48" t="str">
        <f aca="false">IF(A669="","",IF(AND(Parameter!$B$21="Ja",ISNUMBER(W669)),W669,IF(CC669="2+3",IF(ISNUMBER(SEARCH("grosser Artikel",BU669)),2,IFERROR(VLOOKUP(BX669,Parameter!$F$35:$G$64,2,0),2)),IF(OR(CC669="Nein",CC669=""),"-",CC669))))</f>
        <v>-</v>
      </c>
      <c r="AA669" s="55"/>
      <c r="AB669" s="56"/>
      <c r="AC669" s="50" t="n">
        <f aca="false">AV669</f>
        <v>2</v>
      </c>
      <c r="AD669" s="50" t="n">
        <f aca="false">MAX(AV669,H669)</f>
        <v>2</v>
      </c>
      <c r="AE669" s="57"/>
      <c r="AF669" s="50" t="n">
        <f aca="false">IF(LEFT(Cockpit!$C$5,1)="A",H669,IF(Parameter!$E$30="MAX-Bestand",IF(CH669=1,CI669,IF(LEFT(Cockpit!$C$5,1)="B",AL669,MAX(AL669,H669))),ROUNDUP(AJ669,0)))</f>
        <v>0</v>
      </c>
      <c r="AG669" s="50" t="n">
        <f aca="false">IF(BZ669=1,0,ROUNDUP(AF669/BY669,0))</f>
        <v>0</v>
      </c>
      <c r="AH669" s="52" t="n">
        <f aca="false">IF(CQ669&gt;0,CQ669*MAX(1,AF669/X669),IF(BZ669=1,IF(AF669&lt;=0,0,CD669*MAX(1,IF(H669&gt;0,AF669/H669,1))),IF(R669&gt;0,AG669/R669,0))/MAX(0.1,N(Parameter!$M$21)))</f>
        <v>0</v>
      </c>
      <c r="AI669" s="50" t="n">
        <f aca="false">AH669*CB669</f>
        <v>0</v>
      </c>
      <c r="AJ669" s="51" t="n">
        <f aca="false">IF(LEFT(Cockpit!$C$5,1)="A",H669,IF(CH669=1,(CK669+CI669)/2,IF(LEFT(Cockpit!$C$5,1)="B",(CK669+AL669)/2,MAX((CK669+AL669)/2,H669))))</f>
        <v>0</v>
      </c>
      <c r="AK669" s="50" t="n">
        <f aca="false">AJ669*G669</f>
        <v>0</v>
      </c>
      <c r="AL669" s="50" t="n">
        <f aca="false">ROUNDUP(CK669+MAX(CL669,2*(J669/IF(CG669&gt;0,CG669,MAX(0.1,N(Cockpit!$C$6)))-CK669)),0)</f>
        <v>2</v>
      </c>
      <c r="AM669" s="51" t="n">
        <f aca="false">IF(AI669&gt;0,J669/AI669,-1)</f>
        <v>-1</v>
      </c>
      <c r="AN669" s="51" t="str">
        <f aca="false">IF(AND(OR(CF669="L1",CF669="L23",CF669="LIFT"),AI669&gt;0),SUMIFS($AI$7:$AI$1843,$CF$7:$CF$1843,CF669,$AM$7:$AM$1843,"&gt;"&amp;AM669)+SUMIFS($AI$7:$AI$1843,$CF$7:$CF$1843,CF669,$AM$7:$AM$1843,AM669,$BW$7:$BW$1843,"&lt;="&amp;BW669),"")</f>
        <v/>
      </c>
      <c r="AO669" s="58" t="n">
        <f aca="false">IF(AN669="",0,MAX(0,MIN(1,(IF(CF669="L1",Parameter!$H$5,IF(CF669="L23",Parameter!$H$6+Parameter!$H$7,Parameter!$H$5+Parameter!$H$6+Parameter!$H$7))-(AN669-AI669))/AI669)))</f>
        <v>0</v>
      </c>
      <c r="AP669" s="50" t="n">
        <f aca="false">IF(LEFT(Cockpit!$I$5,1)="A",H669,IF(Parameter!$E$30="MAX-Bestand",IF(CH669=1,CI669,IF(LEFT(Cockpit!$I$5,1)="B",AV669,MAX(AV669,H669))),ROUNDUP(AT669,0)))</f>
        <v>1</v>
      </c>
      <c r="AQ669" s="50" t="n">
        <f aca="false">IF(BZ669=1,0,ROUNDUP(AP669/BY669,0))</f>
        <v>0</v>
      </c>
      <c r="AR669" s="52" t="n">
        <f aca="false">IF(CQ669&gt;0,CQ669*MAX(1,AP669/X669),IF(BZ669=1,IF(AP669&lt;=0,0,CD669*MAX(1,IF(H669&gt;0,AP669/H669,1))),IF(R669&gt;0,AQ669/R669,0))/MAX(0.1,N(Parameter!$M$21)))</f>
        <v>0.15</v>
      </c>
      <c r="AS669" s="50" t="n">
        <f aca="false">AR669*CB669</f>
        <v>35.25</v>
      </c>
      <c r="AT669" s="51" t="n">
        <f aca="false">IF(LEFT(Cockpit!$I$5,1)="A",H669,IF(CH669=1,(CK669+CI669)/2,IF(LEFT(Cockpit!$I$5,1)="B",(CK669+AV669)/2,MAX((CK669+AV669)/2,H669))))</f>
        <v>1</v>
      </c>
      <c r="AU669" s="50" t="n">
        <f aca="false">AT669*G669</f>
        <v>4681.1</v>
      </c>
      <c r="AV669" s="50" t="n">
        <f aca="false">ROUNDUP(CK669+MAX(CL669,2*(J669/IF(CG669&gt;0,CG669,MAX(0.1,N(Cockpit!$I$6)))-CK669)),0)</f>
        <v>2</v>
      </c>
      <c r="AW669" s="51" t="n">
        <f aca="false">IF(AS669&gt;0,J669/AS669,-1)</f>
        <v>0.0851063829787234</v>
      </c>
      <c r="AX669" s="51" t="str">
        <f aca="false">IF(AND(OR(CF669="L1",CF669="L23",CF669="LIFT"),AS669&gt;0),SUMIFS($AS$7:$AS$1843,$CF$7:$CF$1843,CF669,$AW$7:$AW$1843,"&gt;"&amp;AW669)+SUMIFS($AS$7:$AS$1843,$CF$7:$CF$1843,CF669,$AW$7:$AW$1843,AW669,$BW$7:$BW$1843,"&lt;="&amp;BW669),"")</f>
        <v/>
      </c>
      <c r="AY669" s="58" t="n">
        <f aca="false">IF(AX669="",0,MAX(0,MIN(1,(IF(CF669="L1",Parameter!$H$5,IF(CF669="L23",Parameter!$H$6+Parameter!$H$7,Parameter!$H$5+Parameter!$H$6+Parameter!$H$7))-(AX669-AS669))/AS669)))</f>
        <v>0</v>
      </c>
      <c r="AZ669" s="50" t="n">
        <f aca="false">IF(LEFT(Cockpit!$O$5,1)="A",H669,IF(Parameter!$E$30="MAX-Bestand",IF(CH669=1,CI669,IF(LEFT(Cockpit!$O$5,1)="B",BF669,MAX(BF669,H669))),ROUNDUP(BD669,0)))</f>
        <v>1</v>
      </c>
      <c r="BA669" s="50" t="n">
        <f aca="false">IF(BZ669=1,0,ROUNDUP(AZ669/BY669,0))</f>
        <v>0</v>
      </c>
      <c r="BB669" s="52" t="n">
        <f aca="false">IF(CQ669&gt;0,CQ669*MAX(1,AZ669/X669),IF(BZ669=1,IF(AZ669&lt;=0,0,CD669*MAX(1,IF(H669&gt;0,AZ669/H669,1))),IF(R669&gt;0,BA669/R669,0))/MAX(0.1,N(Parameter!$M$21)))</f>
        <v>0.15</v>
      </c>
      <c r="BC669" s="50" t="n">
        <f aca="false">BB669*CB669</f>
        <v>35.25</v>
      </c>
      <c r="BD669" s="51" t="n">
        <f aca="false">IF(LEFT(Cockpit!$O$5,1)="A",H669,IF(CH669=1,(CK669+CI669)/2,IF(LEFT(Cockpit!$O$5,1)="B",(CK669+BF669)/2,MAX((CK669+BF669)/2,H669))))</f>
        <v>1</v>
      </c>
      <c r="BE669" s="50" t="n">
        <f aca="false">BD669*G669</f>
        <v>4681.1</v>
      </c>
      <c r="BF669" s="50" t="n">
        <f aca="false">ROUNDUP(CK669+MAX(CL669,2*(J669/IF(CG669&gt;0,CG669,MAX(0.1,N(Cockpit!$O$6)))-CK669)),0)</f>
        <v>2</v>
      </c>
      <c r="BG669" s="51" t="n">
        <f aca="false">IF(BC669&gt;0,J669/BC669,-1)</f>
        <v>0.0851063829787234</v>
      </c>
      <c r="BH669" s="51" t="str">
        <f aca="false">IF(AND(OR(CF669="L1",CF669="L23",CF669="LIFT"),BC669&gt;0),SUMIFS($BC$7:$BC$1843,$CF$7:$CF$1843,CF669,$BG$7:$BG$1843,"&gt;"&amp;BG669)+SUMIFS($BC$7:$BC$1843,$CF$7:$CF$1843,CF669,$BG$7:$BG$1843,BG669,$BW$7:$BW$1843,"&lt;="&amp;BW669),"")</f>
        <v/>
      </c>
      <c r="BI669" s="58" t="n">
        <f aca="false">IF(BH669="",0,MAX(0,MIN(1,(IF(CF669="L1",Parameter!$H$5,IF(CF669="L23",Parameter!$H$6+Parameter!$H$7,Parameter!$H$5+Parameter!$H$6+Parameter!$H$7))-(BH669-BC669))/BC669)))</f>
        <v>0</v>
      </c>
      <c r="BJ669" s="48" t="str">
        <f aca="false">IF(AI669&lt;=0,"",IF(CF669="Aussen","Aussenlager",IF(CF669="-","Nicht im Lift",IF(AO669&gt;=1,"Lift",IF(AO669&lt;=0,"Aussenlager","teilweise")))))</f>
        <v/>
      </c>
      <c r="BK669" s="48" t="str">
        <f aca="false">IF(AS669&lt;=0,"",IF(CF669="Aussen","Aussenlager",IF(CF669="-","Nicht im Lift",IF(AY669&gt;=1,"Lift",IF(AY669&lt;=0,"Aussenlager","teilweise")))))</f>
        <v>Nicht im Lift</v>
      </c>
      <c r="BL669" s="48" t="str">
        <f aca="false">IF(BC669&lt;=0,"",IF(CF669="Aussen","Aussenlager",IF(CF669="-","Nicht im Lift",IF(BI669&gt;=1,"Lift",IF(BI669&lt;=0,"Aussenlager","teilweise")))))</f>
        <v>Nicht im Lift</v>
      </c>
      <c r="BM669" s="48" t="str">
        <f aca="false">IF(A669="","",IF(BV669=1,"Neu; ","")&amp;IF(AND(BV669=0,BQ669&lt;0),"negativer Bestand (Export "&amp;BQ669&amp;"); ","")&amp;IF(J669&lt;=0,"Kein Verbrauch; ","")&amp;IF(CQ669&gt;0,"Lift "&amp;W669&amp;" lt. Liftbericht (Fach "&amp;X669&amp;" Stk); ",IF(CA669=1,"Gebinde geschätzt ("&amp;T669&amp;"); ",IF(BZ669=1,"Lose – Tablare geschätzt; ","")))&amp;IF(H669&gt;AV669,"Überbestand "&amp;ROUND(H669-AV669,0)&amp;" Stk / CHF "&amp;ROUND((H669-AV669)*G669,0)&amp;"; ","")&amp;IF(AND(CH669=1,CI669&lt;CJ669),"MAX &lt; MB+LG; ","")&amp;IF(AND(CP669&gt;0,CO669*10&gt;CP669),"zu hoch für Tablar; ","")&amp;IF(AND(BV669=0,OR(CH669=1,AA669&lt;&gt;"",U669&lt;&gt;"",V669&lt;&gt;"",AB669&lt;&gt;"")),"manuell übersteuert; ","")&amp;IF(AND(BZ669=0,R669=0),"Gebinde unbekannt / Stellmass fehlt; ","")&amp;IF(AND(BZ669=0,N(V669)&lt;=0,N(Q669)&lt;=0),"Menge pro Gebinde fehlt (Ist = 1 Gebinde); ","")&amp;BU669)</f>
        <v>Lose – Tablare geschätzt; </v>
      </c>
      <c r="BN669" s="48"/>
      <c r="BO669" s="48"/>
      <c r="BP669" s="55"/>
      <c r="BQ669" s="50" t="n">
        <v>0</v>
      </c>
      <c r="BR669" s="50" t="n">
        <v>0</v>
      </c>
      <c r="BS669" s="49" t="n">
        <v>0</v>
      </c>
      <c r="BT669" s="50" t="n">
        <v>3</v>
      </c>
      <c r="BU669" s="48"/>
      <c r="BV669" s="53" t="n">
        <v>0</v>
      </c>
      <c r="BW669" s="53" t="n">
        <v>669</v>
      </c>
      <c r="BX669" s="48" t="str">
        <f aca="false">IF(U669&lt;&gt;"",UPPER(TRIM(U669)),IF(CA669=1,UPPER(VLOOKUP(T669,Parameter!$I$27:$K$29,2,0)),IF(P669="","LOSE",P669)))</f>
        <v>LOSE</v>
      </c>
      <c r="BY669" s="50" t="n">
        <f aca="false">IF(BX669="LOSE",1,IF(N(V669)&gt;0,V669,IF(CA669=1,MAX(1,N(VLOOKUP(T669,Parameter!$I$27:$K$29,3,0)),H669,N(N669)),IF(N(Q669)&gt;0,Q669,MAX(1,H669)))))</f>
        <v>1</v>
      </c>
      <c r="BZ669" s="53" t="n">
        <f aca="false">IF(BX669="LOSE",1,0)</f>
        <v>1</v>
      </c>
      <c r="CA669" s="53" t="n">
        <f aca="false">IF(AND(U669="",OR(P669="",P669="LOSE"),T669&lt;&gt;"",N(S669)&lt;=0,ISNUMBER(MATCH(T669,Parameter!$I$27:$I$29,0))),1,0)</f>
        <v>0</v>
      </c>
      <c r="CB669" s="53" t="n">
        <f aca="false">IF(CQ669&gt;0,INDEX(Parameter!$H$5:$H$7,W669)/INDEX(Parameter!$E$5:$E$7,W669),IF(AND(BZ669=0,N(IFERROR(VLOOKUP(BX669,'Gebinde-Kategorie'!$A$5:$N$45,14,0),0))&gt;0),VLOOKUP(BX669,'Gebinde-Kategorie'!$A$5:$N$45,14,0)*10+Parameter!$M$23,Parameter!$M$24))</f>
        <v>235</v>
      </c>
      <c r="CC669" s="48" t="str">
        <f aca="false">IF(AND(Parameter!$B$19="Ja",E669&lt;&gt;"",ISNUMBER(MATCH(E669,Parameter!$I$35:$I$52,0))),VLOOKUP(E669,Parameter!$I$35:$J$52,2,0),IFERROR(VLOOKUP(D669,Parameter!$A$35:$C$64,2,0),"Nein"))</f>
        <v>Nein</v>
      </c>
      <c r="CD669" s="52" t="n">
        <f aca="false">IF(BZ669=0,0,IF(N(S669)&gt;0,S669,IFERROR(VLOOKUP(D669,Parameter!$A$35:$C$64,3,0)+0,0)))</f>
        <v>0.15</v>
      </c>
      <c r="CE669" s="48" t="str">
        <f aca="false">IF(AA669&lt;&gt;"",AA669,Z669)</f>
        <v>-</v>
      </c>
      <c r="CF669" s="48" t="str">
        <f aca="false">IF(OR(CE669=1,CE669=2,CE669=3),IF(Parameter!$E$27="Ja","LIFT",IF(CE669=1,"L1","L23")),IF(CE669="Aussen","Aussen","-"))</f>
        <v>-</v>
      </c>
      <c r="CG669" s="59" t="n">
        <f aca="false">IF(N(AB669)&gt;0,AB669,0)</f>
        <v>0</v>
      </c>
      <c r="CH669" s="53" t="n">
        <f aca="false">IF(ISNUMBER(AE669),1,0)</f>
        <v>0</v>
      </c>
      <c r="CI669" s="50" t="n">
        <f aca="false">N(AE669)</f>
        <v>0</v>
      </c>
      <c r="CJ669" s="50" t="n">
        <f aca="false">N(M669)+N(N669)</f>
        <v>1</v>
      </c>
      <c r="CK669" s="50" t="n">
        <f aca="false">N(M669)</f>
        <v>0</v>
      </c>
      <c r="CL669" s="50" t="n">
        <f aca="false">N(N669)</f>
        <v>1</v>
      </c>
      <c r="CM669" s="50" t="n">
        <f aca="false">ROUNDUP(H669/BY669,0)</f>
        <v>0</v>
      </c>
      <c r="CN669" s="50" t="n">
        <f aca="false">ROUNDUP(CI669/BY669,0)</f>
        <v>0</v>
      </c>
      <c r="CO669" s="53" t="n">
        <f aca="false">IF(BZ669=1,0,IFERROR(VLOOKUP(BX669,'Gebinde-Kategorie'!$A$5:$N$45,5,0)+0,0))</f>
        <v>0</v>
      </c>
      <c r="CP669" s="53" t="n">
        <f aca="false">IFERROR(IF(OR(CE669=1,CE669=2,CE669=3),N(INDEX(Parameter!$I$5:$I$7,CE669)),0),0)</f>
        <v>0</v>
      </c>
      <c r="CQ669" s="52" t="n">
        <f aca="false">IF(AND(Parameter!$B$21="Ja",ISNUMBER(W669),N(X669)&gt;0),IFERROR(N(INDEX(Parameter!$L$5:$L$7,W669))*INDEX(Parameter!$E$5:$E$7,W669)*X669/SUMIFS($X$7:$X$1843,$W$7:$W$1843,W669),0),0)</f>
        <v>0</v>
      </c>
    </row>
    <row r="670" customFormat="false" ht="15" hidden="false" customHeight="false" outlineLevel="0" collapsed="false">
      <c r="A670" s="48" t="s">
        <v>1355</v>
      </c>
      <c r="B670" s="48" t="s">
        <v>1356</v>
      </c>
      <c r="C670" s="48" t="s">
        <v>173</v>
      </c>
      <c r="D670" s="48" t="s">
        <v>1004</v>
      </c>
      <c r="E670" s="48"/>
      <c r="F670" s="48" t="s">
        <v>227</v>
      </c>
      <c r="G670" s="49" t="n">
        <v>171.76</v>
      </c>
      <c r="H670" s="50" t="n">
        <f aca="false">MAX(0,IF(AND(Parameter!$B$21="Ja",ISNUMBER(Y670)),Y670,IF(Parameter!$B$20="Jahresanfang 2025 + Export",BR670+BQ670,BQ670)))</f>
        <v>0</v>
      </c>
      <c r="I670" s="50" t="n">
        <f aca="false">H670*G670</f>
        <v>0</v>
      </c>
      <c r="J670" s="50" t="n">
        <f aca="false">BT670*Parameter!$B$18</f>
        <v>1</v>
      </c>
      <c r="K670" s="51" t="n">
        <v>0</v>
      </c>
      <c r="L670" s="52" t="n">
        <v>0</v>
      </c>
      <c r="M670" s="50" t="n">
        <v>0</v>
      </c>
      <c r="N670" s="50" t="n">
        <v>1</v>
      </c>
      <c r="O670" s="53" t="n">
        <v>105</v>
      </c>
      <c r="P670" s="48" t="s">
        <v>177</v>
      </c>
      <c r="Q670" s="50"/>
      <c r="R670" s="53" t="n">
        <f aca="false">IF(BZ670=1,0,IFERROR(VLOOKUP(BX670,'Gebinde-Kategorie'!$A$5:$N$45,13,0)+0,0))</f>
        <v>0</v>
      </c>
      <c r="S670" s="54"/>
      <c r="T670" s="55"/>
      <c r="U670" s="55"/>
      <c r="V670" s="55"/>
      <c r="W670" s="48"/>
      <c r="X670" s="50"/>
      <c r="Y670" s="50"/>
      <c r="Z670" s="48" t="str">
        <f aca="false">IF(A670="","",IF(AND(Parameter!$B$21="Ja",ISNUMBER(W670)),W670,IF(CC670="2+3",IF(ISNUMBER(SEARCH("grosser Artikel",BU670)),2,IFERROR(VLOOKUP(BX670,Parameter!$F$35:$G$64,2,0),2)),IF(OR(CC670="Nein",CC670=""),"-",CC670))))</f>
        <v>-</v>
      </c>
      <c r="AA670" s="55"/>
      <c r="AB670" s="56"/>
      <c r="AC670" s="50" t="n">
        <f aca="false">AV670</f>
        <v>1</v>
      </c>
      <c r="AD670" s="50" t="n">
        <f aca="false">MAX(AV670,H670)</f>
        <v>1</v>
      </c>
      <c r="AE670" s="57"/>
      <c r="AF670" s="50" t="n">
        <f aca="false">IF(LEFT(Cockpit!$C$5,1)="A",H670,IF(Parameter!$E$30="MAX-Bestand",IF(CH670=1,CI670,IF(LEFT(Cockpit!$C$5,1)="B",AL670,MAX(AL670,H670))),ROUNDUP(AJ670,0)))</f>
        <v>0</v>
      </c>
      <c r="AG670" s="50" t="n">
        <f aca="false">IF(BZ670=1,0,ROUNDUP(AF670/BY670,0))</f>
        <v>0</v>
      </c>
      <c r="AH670" s="52" t="n">
        <f aca="false">IF(CQ670&gt;0,CQ670*MAX(1,AF670/X670),IF(BZ670=1,IF(AF670&lt;=0,0,CD670*MAX(1,IF(H670&gt;0,AF670/H670,1))),IF(R670&gt;0,AG670/R670,0))/MAX(0.1,N(Parameter!$M$21)))</f>
        <v>0</v>
      </c>
      <c r="AI670" s="50" t="n">
        <f aca="false">AH670*CB670</f>
        <v>0</v>
      </c>
      <c r="AJ670" s="51" t="n">
        <f aca="false">IF(LEFT(Cockpit!$C$5,1)="A",H670,IF(CH670=1,(CK670+CI670)/2,IF(LEFT(Cockpit!$C$5,1)="B",(CK670+AL670)/2,MAX((CK670+AL670)/2,H670))))</f>
        <v>0</v>
      </c>
      <c r="AK670" s="50" t="n">
        <f aca="false">AJ670*G670</f>
        <v>0</v>
      </c>
      <c r="AL670" s="50" t="n">
        <f aca="false">ROUNDUP(CK670+MAX(CL670,2*(J670/IF(CG670&gt;0,CG670,MAX(0.1,N(Cockpit!$C$6)))-CK670)),0)</f>
        <v>1</v>
      </c>
      <c r="AM670" s="51" t="n">
        <f aca="false">IF(AI670&gt;0,J670/AI670,-1)</f>
        <v>-1</v>
      </c>
      <c r="AN670" s="51" t="str">
        <f aca="false">IF(AND(OR(CF670="L1",CF670="L23",CF670="LIFT"),AI670&gt;0),SUMIFS($AI$7:$AI$1843,$CF$7:$CF$1843,CF670,$AM$7:$AM$1843,"&gt;"&amp;AM670)+SUMIFS($AI$7:$AI$1843,$CF$7:$CF$1843,CF670,$AM$7:$AM$1843,AM670,$BW$7:$BW$1843,"&lt;="&amp;BW670),"")</f>
        <v/>
      </c>
      <c r="AO670" s="58" t="n">
        <f aca="false">IF(AN670="",0,MAX(0,MIN(1,(IF(CF670="L1",Parameter!$H$5,IF(CF670="L23",Parameter!$H$6+Parameter!$H$7,Parameter!$H$5+Parameter!$H$6+Parameter!$H$7))-(AN670-AI670))/AI670)))</f>
        <v>0</v>
      </c>
      <c r="AP670" s="50" t="n">
        <f aca="false">IF(LEFT(Cockpit!$I$5,1)="A",H670,IF(Parameter!$E$30="MAX-Bestand",IF(CH670=1,CI670,IF(LEFT(Cockpit!$I$5,1)="B",AV670,MAX(AV670,H670))),ROUNDUP(AT670,0)))</f>
        <v>1</v>
      </c>
      <c r="AQ670" s="50" t="n">
        <f aca="false">IF(BZ670=1,0,ROUNDUP(AP670/BY670,0))</f>
        <v>0</v>
      </c>
      <c r="AR670" s="52" t="n">
        <f aca="false">IF(CQ670&gt;0,CQ670*MAX(1,AP670/X670),IF(BZ670=1,IF(AP670&lt;=0,0,CD670*MAX(1,IF(H670&gt;0,AP670/H670,1))),IF(R670&gt;0,AQ670/R670,0))/MAX(0.1,N(Parameter!$M$21)))</f>
        <v>0.15</v>
      </c>
      <c r="AS670" s="50" t="n">
        <f aca="false">AR670*CB670</f>
        <v>35.25</v>
      </c>
      <c r="AT670" s="51" t="n">
        <f aca="false">IF(LEFT(Cockpit!$I$5,1)="A",H670,IF(CH670=1,(CK670+CI670)/2,IF(LEFT(Cockpit!$I$5,1)="B",(CK670+AV670)/2,MAX((CK670+AV670)/2,H670))))</f>
        <v>0.5</v>
      </c>
      <c r="AU670" s="50" t="n">
        <f aca="false">AT670*G670</f>
        <v>85.88</v>
      </c>
      <c r="AV670" s="50" t="n">
        <f aca="false">ROUNDUP(CK670+MAX(CL670,2*(J670/IF(CG670&gt;0,CG670,MAX(0.1,N(Cockpit!$I$6)))-CK670)),0)</f>
        <v>1</v>
      </c>
      <c r="AW670" s="51" t="n">
        <f aca="false">IF(AS670&gt;0,J670/AS670,-1)</f>
        <v>0.0283687943262411</v>
      </c>
      <c r="AX670" s="51" t="str">
        <f aca="false">IF(AND(OR(CF670="L1",CF670="L23",CF670="LIFT"),AS670&gt;0),SUMIFS($AS$7:$AS$1843,$CF$7:$CF$1843,CF670,$AW$7:$AW$1843,"&gt;"&amp;AW670)+SUMIFS($AS$7:$AS$1843,$CF$7:$CF$1843,CF670,$AW$7:$AW$1843,AW670,$BW$7:$BW$1843,"&lt;="&amp;BW670),"")</f>
        <v/>
      </c>
      <c r="AY670" s="58" t="n">
        <f aca="false">IF(AX670="",0,MAX(0,MIN(1,(IF(CF670="L1",Parameter!$H$5,IF(CF670="L23",Parameter!$H$6+Parameter!$H$7,Parameter!$H$5+Parameter!$H$6+Parameter!$H$7))-(AX670-AS670))/AS670)))</f>
        <v>0</v>
      </c>
      <c r="AZ670" s="50" t="n">
        <f aca="false">IF(LEFT(Cockpit!$O$5,1)="A",H670,IF(Parameter!$E$30="MAX-Bestand",IF(CH670=1,CI670,IF(LEFT(Cockpit!$O$5,1)="B",BF670,MAX(BF670,H670))),ROUNDUP(BD670,0)))</f>
        <v>1</v>
      </c>
      <c r="BA670" s="50" t="n">
        <f aca="false">IF(BZ670=1,0,ROUNDUP(AZ670/BY670,0))</f>
        <v>0</v>
      </c>
      <c r="BB670" s="52" t="n">
        <f aca="false">IF(CQ670&gt;0,CQ670*MAX(1,AZ670/X670),IF(BZ670=1,IF(AZ670&lt;=0,0,CD670*MAX(1,IF(H670&gt;0,AZ670/H670,1))),IF(R670&gt;0,BA670/R670,0))/MAX(0.1,N(Parameter!$M$21)))</f>
        <v>0.15</v>
      </c>
      <c r="BC670" s="50" t="n">
        <f aca="false">BB670*CB670</f>
        <v>35.25</v>
      </c>
      <c r="BD670" s="51" t="n">
        <f aca="false">IF(LEFT(Cockpit!$O$5,1)="A",H670,IF(CH670=1,(CK670+CI670)/2,IF(LEFT(Cockpit!$O$5,1)="B",(CK670+BF670)/2,MAX((CK670+BF670)/2,H670))))</f>
        <v>0.5</v>
      </c>
      <c r="BE670" s="50" t="n">
        <f aca="false">BD670*G670</f>
        <v>85.88</v>
      </c>
      <c r="BF670" s="50" t="n">
        <f aca="false">ROUNDUP(CK670+MAX(CL670,2*(J670/IF(CG670&gt;0,CG670,MAX(0.1,N(Cockpit!$O$6)))-CK670)),0)</f>
        <v>1</v>
      </c>
      <c r="BG670" s="51" t="n">
        <f aca="false">IF(BC670&gt;0,J670/BC670,-1)</f>
        <v>0.0283687943262411</v>
      </c>
      <c r="BH670" s="51" t="str">
        <f aca="false">IF(AND(OR(CF670="L1",CF670="L23",CF670="LIFT"),BC670&gt;0),SUMIFS($BC$7:$BC$1843,$CF$7:$CF$1843,CF670,$BG$7:$BG$1843,"&gt;"&amp;BG670)+SUMIFS($BC$7:$BC$1843,$CF$7:$CF$1843,CF670,$BG$7:$BG$1843,BG670,$BW$7:$BW$1843,"&lt;="&amp;BW670),"")</f>
        <v/>
      </c>
      <c r="BI670" s="58" t="n">
        <f aca="false">IF(BH670="",0,MAX(0,MIN(1,(IF(CF670="L1",Parameter!$H$5,IF(CF670="L23",Parameter!$H$6+Parameter!$H$7,Parameter!$H$5+Parameter!$H$6+Parameter!$H$7))-(BH670-BC670))/BC670)))</f>
        <v>0</v>
      </c>
      <c r="BJ670" s="48" t="str">
        <f aca="false">IF(AI670&lt;=0,"",IF(CF670="Aussen","Aussenlager",IF(CF670="-","Nicht im Lift",IF(AO670&gt;=1,"Lift",IF(AO670&lt;=0,"Aussenlager","teilweise")))))</f>
        <v/>
      </c>
      <c r="BK670" s="48" t="str">
        <f aca="false">IF(AS670&lt;=0,"",IF(CF670="Aussen","Aussenlager",IF(CF670="-","Nicht im Lift",IF(AY670&gt;=1,"Lift",IF(AY670&lt;=0,"Aussenlager","teilweise")))))</f>
        <v>Nicht im Lift</v>
      </c>
      <c r="BL670" s="48" t="str">
        <f aca="false">IF(BC670&lt;=0,"",IF(CF670="Aussen","Aussenlager",IF(CF670="-","Nicht im Lift",IF(BI670&gt;=1,"Lift",IF(BI670&lt;=0,"Aussenlager","teilweise")))))</f>
        <v>Nicht im Lift</v>
      </c>
      <c r="BM670" s="48" t="str">
        <f aca="false">IF(A670="","",IF(BV670=1,"Neu; ","")&amp;IF(AND(BV670=0,BQ670&lt;0),"negativer Bestand (Export "&amp;BQ670&amp;"); ","")&amp;IF(J670&lt;=0,"Kein Verbrauch; ","")&amp;IF(CQ670&gt;0,"Lift "&amp;W670&amp;" lt. Liftbericht (Fach "&amp;X670&amp;" Stk); ",IF(CA670=1,"Gebinde geschätzt ("&amp;T670&amp;"); ",IF(BZ670=1,"Lose – Tablare geschätzt; ","")))&amp;IF(H670&gt;AV670,"Überbestand "&amp;ROUND(H670-AV670,0)&amp;" Stk / CHF "&amp;ROUND((H670-AV670)*G670,0)&amp;"; ","")&amp;IF(AND(CH670=1,CI670&lt;CJ670),"MAX &lt; MB+LG; ","")&amp;IF(AND(CP670&gt;0,CO670*10&gt;CP670),"zu hoch für Tablar; ","")&amp;IF(AND(BV670=0,OR(CH670=1,AA670&lt;&gt;"",U670&lt;&gt;"",V670&lt;&gt;"",AB670&lt;&gt;"")),"manuell übersteuert; ","")&amp;IF(AND(BZ670=0,R670=0),"Gebinde unbekannt / Stellmass fehlt; ","")&amp;IF(AND(BZ670=0,N(V670)&lt;=0,N(Q670)&lt;=0),"Menge pro Gebinde fehlt (Ist = 1 Gebinde); ","")&amp;BU670)</f>
        <v>Lose – Tablare geschätzt; </v>
      </c>
      <c r="BN670" s="48"/>
      <c r="BO670" s="48"/>
      <c r="BP670" s="55"/>
      <c r="BQ670" s="50" t="n">
        <v>0</v>
      </c>
      <c r="BR670" s="50" t="n">
        <v>0</v>
      </c>
      <c r="BS670" s="49" t="n">
        <v>0</v>
      </c>
      <c r="BT670" s="50" t="n">
        <v>1</v>
      </c>
      <c r="BU670" s="48"/>
      <c r="BV670" s="53" t="n">
        <v>0</v>
      </c>
      <c r="BW670" s="53" t="n">
        <v>670</v>
      </c>
      <c r="BX670" s="48" t="str">
        <f aca="false">IF(U670&lt;&gt;"",UPPER(TRIM(U670)),IF(CA670=1,UPPER(VLOOKUP(T670,Parameter!$I$27:$K$29,2,0)),IF(P670="","LOSE",P670)))</f>
        <v>LOSE</v>
      </c>
      <c r="BY670" s="50" t="n">
        <f aca="false">IF(BX670="LOSE",1,IF(N(V670)&gt;0,V670,IF(CA670=1,MAX(1,N(VLOOKUP(T670,Parameter!$I$27:$K$29,3,0)),H670,N(N670)),IF(N(Q670)&gt;0,Q670,MAX(1,H670)))))</f>
        <v>1</v>
      </c>
      <c r="BZ670" s="53" t="n">
        <f aca="false">IF(BX670="LOSE",1,0)</f>
        <v>1</v>
      </c>
      <c r="CA670" s="53" t="n">
        <f aca="false">IF(AND(U670="",OR(P670="",P670="LOSE"),T670&lt;&gt;"",N(S670)&lt;=0,ISNUMBER(MATCH(T670,Parameter!$I$27:$I$29,0))),1,0)</f>
        <v>0</v>
      </c>
      <c r="CB670" s="53" t="n">
        <f aca="false">IF(CQ670&gt;0,INDEX(Parameter!$H$5:$H$7,W670)/INDEX(Parameter!$E$5:$E$7,W670),IF(AND(BZ670=0,N(IFERROR(VLOOKUP(BX670,'Gebinde-Kategorie'!$A$5:$N$45,14,0),0))&gt;0),VLOOKUP(BX670,'Gebinde-Kategorie'!$A$5:$N$45,14,0)*10+Parameter!$M$23,Parameter!$M$24))</f>
        <v>235</v>
      </c>
      <c r="CC670" s="48" t="str">
        <f aca="false">IF(AND(Parameter!$B$19="Ja",E670&lt;&gt;"",ISNUMBER(MATCH(E670,Parameter!$I$35:$I$52,0))),VLOOKUP(E670,Parameter!$I$35:$J$52,2,0),IFERROR(VLOOKUP(D670,Parameter!$A$35:$C$64,2,0),"Nein"))</f>
        <v>Nein</v>
      </c>
      <c r="CD670" s="52" t="n">
        <f aca="false">IF(BZ670=0,0,IF(N(S670)&gt;0,S670,IFERROR(VLOOKUP(D670,Parameter!$A$35:$C$64,3,0)+0,0)))</f>
        <v>0.15</v>
      </c>
      <c r="CE670" s="48" t="str">
        <f aca="false">IF(AA670&lt;&gt;"",AA670,Z670)</f>
        <v>-</v>
      </c>
      <c r="CF670" s="48" t="str">
        <f aca="false">IF(OR(CE670=1,CE670=2,CE670=3),IF(Parameter!$E$27="Ja","LIFT",IF(CE670=1,"L1","L23")),IF(CE670="Aussen","Aussen","-"))</f>
        <v>-</v>
      </c>
      <c r="CG670" s="59" t="n">
        <f aca="false">IF(N(AB670)&gt;0,AB670,0)</f>
        <v>0</v>
      </c>
      <c r="CH670" s="53" t="n">
        <f aca="false">IF(ISNUMBER(AE670),1,0)</f>
        <v>0</v>
      </c>
      <c r="CI670" s="50" t="n">
        <f aca="false">N(AE670)</f>
        <v>0</v>
      </c>
      <c r="CJ670" s="50" t="n">
        <f aca="false">N(M670)+N(N670)</f>
        <v>1</v>
      </c>
      <c r="CK670" s="50" t="n">
        <f aca="false">N(M670)</f>
        <v>0</v>
      </c>
      <c r="CL670" s="50" t="n">
        <f aca="false">N(N670)</f>
        <v>1</v>
      </c>
      <c r="CM670" s="50" t="n">
        <f aca="false">ROUNDUP(H670/BY670,0)</f>
        <v>0</v>
      </c>
      <c r="CN670" s="50" t="n">
        <f aca="false">ROUNDUP(CI670/BY670,0)</f>
        <v>0</v>
      </c>
      <c r="CO670" s="53" t="n">
        <f aca="false">IF(BZ670=1,0,IFERROR(VLOOKUP(BX670,'Gebinde-Kategorie'!$A$5:$N$45,5,0)+0,0))</f>
        <v>0</v>
      </c>
      <c r="CP670" s="53" t="n">
        <f aca="false">IFERROR(IF(OR(CE670=1,CE670=2,CE670=3),N(INDEX(Parameter!$I$5:$I$7,CE670)),0),0)</f>
        <v>0</v>
      </c>
      <c r="CQ670" s="52" t="n">
        <f aca="false">IF(AND(Parameter!$B$21="Ja",ISNUMBER(W670),N(X670)&gt;0),IFERROR(N(INDEX(Parameter!$L$5:$L$7,W670))*INDEX(Parameter!$E$5:$E$7,W670)*X670/SUMIFS($X$7:$X$1843,$W$7:$W$1843,W670),0),0)</f>
        <v>0</v>
      </c>
    </row>
    <row r="671" customFormat="false" ht="15" hidden="false" customHeight="false" outlineLevel="0" collapsed="false">
      <c r="A671" s="48" t="s">
        <v>1357</v>
      </c>
      <c r="B671" s="48" t="s">
        <v>1358</v>
      </c>
      <c r="C671" s="48" t="s">
        <v>173</v>
      </c>
      <c r="D671" s="48" t="s">
        <v>1004</v>
      </c>
      <c r="E671" s="48"/>
      <c r="F671" s="48" t="s">
        <v>227</v>
      </c>
      <c r="G671" s="49" t="n">
        <v>154.75</v>
      </c>
      <c r="H671" s="50" t="n">
        <f aca="false">MAX(0,IF(AND(Parameter!$B$21="Ja",ISNUMBER(Y671)),Y671,IF(Parameter!$B$20="Jahresanfang 2025 + Export",BR671+BQ671,BQ671)))</f>
        <v>0</v>
      </c>
      <c r="I671" s="50" t="n">
        <f aca="false">H671*G671</f>
        <v>0</v>
      </c>
      <c r="J671" s="50" t="n">
        <f aca="false">BT671*Parameter!$B$18</f>
        <v>4</v>
      </c>
      <c r="K671" s="51" t="n">
        <v>0</v>
      </c>
      <c r="L671" s="52" t="n">
        <v>0</v>
      </c>
      <c r="M671" s="50" t="n">
        <v>0</v>
      </c>
      <c r="N671" s="50" t="n">
        <v>1</v>
      </c>
      <c r="O671" s="53" t="n">
        <v>105</v>
      </c>
      <c r="P671" s="48" t="s">
        <v>177</v>
      </c>
      <c r="Q671" s="50"/>
      <c r="R671" s="53" t="n">
        <f aca="false">IF(BZ671=1,0,IFERROR(VLOOKUP(BX671,'Gebinde-Kategorie'!$A$5:$N$45,13,0)+0,0))</f>
        <v>0</v>
      </c>
      <c r="S671" s="54"/>
      <c r="T671" s="55"/>
      <c r="U671" s="55"/>
      <c r="V671" s="55"/>
      <c r="W671" s="48"/>
      <c r="X671" s="50"/>
      <c r="Y671" s="50"/>
      <c r="Z671" s="48" t="str">
        <f aca="false">IF(A671="","",IF(AND(Parameter!$B$21="Ja",ISNUMBER(W671)),W671,IF(CC671="2+3",IF(ISNUMBER(SEARCH("grosser Artikel",BU671)),2,IFERROR(VLOOKUP(BX671,Parameter!$F$35:$G$64,2,0),2)),IF(OR(CC671="Nein",CC671=""),"-",CC671))))</f>
        <v>-</v>
      </c>
      <c r="AA671" s="55"/>
      <c r="AB671" s="56"/>
      <c r="AC671" s="50" t="n">
        <f aca="false">AV671</f>
        <v>3</v>
      </c>
      <c r="AD671" s="50" t="n">
        <f aca="false">MAX(AV671,H671)</f>
        <v>3</v>
      </c>
      <c r="AE671" s="57"/>
      <c r="AF671" s="50" t="n">
        <f aca="false">IF(LEFT(Cockpit!$C$5,1)="A",H671,IF(Parameter!$E$30="MAX-Bestand",IF(CH671=1,CI671,IF(LEFT(Cockpit!$C$5,1)="B",AL671,MAX(AL671,H671))),ROUNDUP(AJ671,0)))</f>
        <v>0</v>
      </c>
      <c r="AG671" s="50" t="n">
        <f aca="false">IF(BZ671=1,0,ROUNDUP(AF671/BY671,0))</f>
        <v>0</v>
      </c>
      <c r="AH671" s="52" t="n">
        <f aca="false">IF(CQ671&gt;0,CQ671*MAX(1,AF671/X671),IF(BZ671=1,IF(AF671&lt;=0,0,CD671*MAX(1,IF(H671&gt;0,AF671/H671,1))),IF(R671&gt;0,AG671/R671,0))/MAX(0.1,N(Parameter!$M$21)))</f>
        <v>0</v>
      </c>
      <c r="AI671" s="50" t="n">
        <f aca="false">AH671*CB671</f>
        <v>0</v>
      </c>
      <c r="AJ671" s="51" t="n">
        <f aca="false">IF(LEFT(Cockpit!$C$5,1)="A",H671,IF(CH671=1,(CK671+CI671)/2,IF(LEFT(Cockpit!$C$5,1)="B",(CK671+AL671)/2,MAX((CK671+AL671)/2,H671))))</f>
        <v>0</v>
      </c>
      <c r="AK671" s="50" t="n">
        <f aca="false">AJ671*G671</f>
        <v>0</v>
      </c>
      <c r="AL671" s="50" t="n">
        <f aca="false">ROUNDUP(CK671+MAX(CL671,2*(J671/IF(CG671&gt;0,CG671,MAX(0.1,N(Cockpit!$C$6)))-CK671)),0)</f>
        <v>3</v>
      </c>
      <c r="AM671" s="51" t="n">
        <f aca="false">IF(AI671&gt;0,J671/AI671,-1)</f>
        <v>-1</v>
      </c>
      <c r="AN671" s="51" t="str">
        <f aca="false">IF(AND(OR(CF671="L1",CF671="L23",CF671="LIFT"),AI671&gt;0),SUMIFS($AI$7:$AI$1843,$CF$7:$CF$1843,CF671,$AM$7:$AM$1843,"&gt;"&amp;AM671)+SUMIFS($AI$7:$AI$1843,$CF$7:$CF$1843,CF671,$AM$7:$AM$1843,AM671,$BW$7:$BW$1843,"&lt;="&amp;BW671),"")</f>
        <v/>
      </c>
      <c r="AO671" s="58" t="n">
        <f aca="false">IF(AN671="",0,MAX(0,MIN(1,(IF(CF671="L1",Parameter!$H$5,IF(CF671="L23",Parameter!$H$6+Parameter!$H$7,Parameter!$H$5+Parameter!$H$6+Parameter!$H$7))-(AN671-AI671))/AI671)))</f>
        <v>0</v>
      </c>
      <c r="AP671" s="50" t="n">
        <f aca="false">IF(LEFT(Cockpit!$I$5,1)="A",H671,IF(Parameter!$E$30="MAX-Bestand",IF(CH671=1,CI671,IF(LEFT(Cockpit!$I$5,1)="B",AV671,MAX(AV671,H671))),ROUNDUP(AT671,0)))</f>
        <v>2</v>
      </c>
      <c r="AQ671" s="50" t="n">
        <f aca="false">IF(BZ671=1,0,ROUNDUP(AP671/BY671,0))</f>
        <v>0</v>
      </c>
      <c r="AR671" s="52" t="n">
        <f aca="false">IF(CQ671&gt;0,CQ671*MAX(1,AP671/X671),IF(BZ671=1,IF(AP671&lt;=0,0,CD671*MAX(1,IF(H671&gt;0,AP671/H671,1))),IF(R671&gt;0,AQ671/R671,0))/MAX(0.1,N(Parameter!$M$21)))</f>
        <v>0.15</v>
      </c>
      <c r="AS671" s="50" t="n">
        <f aca="false">AR671*CB671</f>
        <v>35.25</v>
      </c>
      <c r="AT671" s="51" t="n">
        <f aca="false">IF(LEFT(Cockpit!$I$5,1)="A",H671,IF(CH671=1,(CK671+CI671)/2,IF(LEFT(Cockpit!$I$5,1)="B",(CK671+AV671)/2,MAX((CK671+AV671)/2,H671))))</f>
        <v>1.5</v>
      </c>
      <c r="AU671" s="50" t="n">
        <f aca="false">AT671*G671</f>
        <v>232.125</v>
      </c>
      <c r="AV671" s="50" t="n">
        <f aca="false">ROUNDUP(CK671+MAX(CL671,2*(J671/IF(CG671&gt;0,CG671,MAX(0.1,N(Cockpit!$I$6)))-CK671)),0)</f>
        <v>3</v>
      </c>
      <c r="AW671" s="51" t="n">
        <f aca="false">IF(AS671&gt;0,J671/AS671,-1)</f>
        <v>0.113475177304965</v>
      </c>
      <c r="AX671" s="51" t="str">
        <f aca="false">IF(AND(OR(CF671="L1",CF671="L23",CF671="LIFT"),AS671&gt;0),SUMIFS($AS$7:$AS$1843,$CF$7:$CF$1843,CF671,$AW$7:$AW$1843,"&gt;"&amp;AW671)+SUMIFS($AS$7:$AS$1843,$CF$7:$CF$1843,CF671,$AW$7:$AW$1843,AW671,$BW$7:$BW$1843,"&lt;="&amp;BW671),"")</f>
        <v/>
      </c>
      <c r="AY671" s="58" t="n">
        <f aca="false">IF(AX671="",0,MAX(0,MIN(1,(IF(CF671="L1",Parameter!$H$5,IF(CF671="L23",Parameter!$H$6+Parameter!$H$7,Parameter!$H$5+Parameter!$H$6+Parameter!$H$7))-(AX671-AS671))/AS671)))</f>
        <v>0</v>
      </c>
      <c r="AZ671" s="50" t="n">
        <f aca="false">IF(LEFT(Cockpit!$O$5,1)="A",H671,IF(Parameter!$E$30="MAX-Bestand",IF(CH671=1,CI671,IF(LEFT(Cockpit!$O$5,1)="B",BF671,MAX(BF671,H671))),ROUNDUP(BD671,0)))</f>
        <v>1</v>
      </c>
      <c r="BA671" s="50" t="n">
        <f aca="false">IF(BZ671=1,0,ROUNDUP(AZ671/BY671,0))</f>
        <v>0</v>
      </c>
      <c r="BB671" s="52" t="n">
        <f aca="false">IF(CQ671&gt;0,CQ671*MAX(1,AZ671/X671),IF(BZ671=1,IF(AZ671&lt;=0,0,CD671*MAX(1,IF(H671&gt;0,AZ671/H671,1))),IF(R671&gt;0,BA671/R671,0))/MAX(0.1,N(Parameter!$M$21)))</f>
        <v>0.15</v>
      </c>
      <c r="BC671" s="50" t="n">
        <f aca="false">BB671*CB671</f>
        <v>35.25</v>
      </c>
      <c r="BD671" s="51" t="n">
        <f aca="false">IF(LEFT(Cockpit!$O$5,1)="A",H671,IF(CH671=1,(CK671+CI671)/2,IF(LEFT(Cockpit!$O$5,1)="B",(CK671+BF671)/2,MAX((CK671+BF671)/2,H671))))</f>
        <v>1</v>
      </c>
      <c r="BE671" s="50" t="n">
        <f aca="false">BD671*G671</f>
        <v>154.75</v>
      </c>
      <c r="BF671" s="50" t="n">
        <f aca="false">ROUNDUP(CK671+MAX(CL671,2*(J671/IF(CG671&gt;0,CG671,MAX(0.1,N(Cockpit!$O$6)))-CK671)),0)</f>
        <v>2</v>
      </c>
      <c r="BG671" s="51" t="n">
        <f aca="false">IF(BC671&gt;0,J671/BC671,-1)</f>
        <v>0.113475177304965</v>
      </c>
      <c r="BH671" s="51" t="str">
        <f aca="false">IF(AND(OR(CF671="L1",CF671="L23",CF671="LIFT"),BC671&gt;0),SUMIFS($BC$7:$BC$1843,$CF$7:$CF$1843,CF671,$BG$7:$BG$1843,"&gt;"&amp;BG671)+SUMIFS($BC$7:$BC$1843,$CF$7:$CF$1843,CF671,$BG$7:$BG$1843,BG671,$BW$7:$BW$1843,"&lt;="&amp;BW671),"")</f>
        <v/>
      </c>
      <c r="BI671" s="58" t="n">
        <f aca="false">IF(BH671="",0,MAX(0,MIN(1,(IF(CF671="L1",Parameter!$H$5,IF(CF671="L23",Parameter!$H$6+Parameter!$H$7,Parameter!$H$5+Parameter!$H$6+Parameter!$H$7))-(BH671-BC671))/BC671)))</f>
        <v>0</v>
      </c>
      <c r="BJ671" s="48" t="str">
        <f aca="false">IF(AI671&lt;=0,"",IF(CF671="Aussen","Aussenlager",IF(CF671="-","Nicht im Lift",IF(AO671&gt;=1,"Lift",IF(AO671&lt;=0,"Aussenlager","teilweise")))))</f>
        <v/>
      </c>
      <c r="BK671" s="48" t="str">
        <f aca="false">IF(AS671&lt;=0,"",IF(CF671="Aussen","Aussenlager",IF(CF671="-","Nicht im Lift",IF(AY671&gt;=1,"Lift",IF(AY671&lt;=0,"Aussenlager","teilweise")))))</f>
        <v>Nicht im Lift</v>
      </c>
      <c r="BL671" s="48" t="str">
        <f aca="false">IF(BC671&lt;=0,"",IF(CF671="Aussen","Aussenlager",IF(CF671="-","Nicht im Lift",IF(BI671&gt;=1,"Lift",IF(BI671&lt;=0,"Aussenlager","teilweise")))))</f>
        <v>Nicht im Lift</v>
      </c>
      <c r="BM671" s="48" t="str">
        <f aca="false">IF(A671="","",IF(BV671=1,"Neu; ","")&amp;IF(AND(BV671=0,BQ671&lt;0),"negativer Bestand (Export "&amp;BQ671&amp;"); ","")&amp;IF(J671&lt;=0,"Kein Verbrauch; ","")&amp;IF(CQ671&gt;0,"Lift "&amp;W671&amp;" lt. Liftbericht (Fach "&amp;X671&amp;" Stk); ",IF(CA671=1,"Gebinde geschätzt ("&amp;T671&amp;"); ",IF(BZ671=1,"Lose – Tablare geschätzt; ","")))&amp;IF(H671&gt;AV671,"Überbestand "&amp;ROUND(H671-AV671,0)&amp;" Stk / CHF "&amp;ROUND((H671-AV671)*G671,0)&amp;"; ","")&amp;IF(AND(CH671=1,CI671&lt;CJ671),"MAX &lt; MB+LG; ","")&amp;IF(AND(CP671&gt;0,CO671*10&gt;CP671),"zu hoch für Tablar; ","")&amp;IF(AND(BV671=0,OR(CH671=1,AA671&lt;&gt;"",U671&lt;&gt;"",V671&lt;&gt;"",AB671&lt;&gt;"")),"manuell übersteuert; ","")&amp;IF(AND(BZ671=0,R671=0),"Gebinde unbekannt / Stellmass fehlt; ","")&amp;IF(AND(BZ671=0,N(V671)&lt;=0,N(Q671)&lt;=0),"Menge pro Gebinde fehlt (Ist = 1 Gebinde); ","")&amp;BU671)</f>
        <v>Lose – Tablare geschätzt; </v>
      </c>
      <c r="BN671" s="48"/>
      <c r="BO671" s="48"/>
      <c r="BP671" s="55"/>
      <c r="BQ671" s="50" t="n">
        <v>0</v>
      </c>
      <c r="BR671" s="50" t="n">
        <v>0</v>
      </c>
      <c r="BS671" s="49" t="n">
        <v>0</v>
      </c>
      <c r="BT671" s="50" t="n">
        <v>4</v>
      </c>
      <c r="BU671" s="48"/>
      <c r="BV671" s="53" t="n">
        <v>0</v>
      </c>
      <c r="BW671" s="53" t="n">
        <v>671</v>
      </c>
      <c r="BX671" s="48" t="str">
        <f aca="false">IF(U671&lt;&gt;"",UPPER(TRIM(U671)),IF(CA671=1,UPPER(VLOOKUP(T671,Parameter!$I$27:$K$29,2,0)),IF(P671="","LOSE",P671)))</f>
        <v>LOSE</v>
      </c>
      <c r="BY671" s="50" t="n">
        <f aca="false">IF(BX671="LOSE",1,IF(N(V671)&gt;0,V671,IF(CA671=1,MAX(1,N(VLOOKUP(T671,Parameter!$I$27:$K$29,3,0)),H671,N(N671)),IF(N(Q671)&gt;0,Q671,MAX(1,H671)))))</f>
        <v>1</v>
      </c>
      <c r="BZ671" s="53" t="n">
        <f aca="false">IF(BX671="LOSE",1,0)</f>
        <v>1</v>
      </c>
      <c r="CA671" s="53" t="n">
        <f aca="false">IF(AND(U671="",OR(P671="",P671="LOSE"),T671&lt;&gt;"",N(S671)&lt;=0,ISNUMBER(MATCH(T671,Parameter!$I$27:$I$29,0))),1,0)</f>
        <v>0</v>
      </c>
      <c r="CB671" s="53" t="n">
        <f aca="false">IF(CQ671&gt;0,INDEX(Parameter!$H$5:$H$7,W671)/INDEX(Parameter!$E$5:$E$7,W671),IF(AND(BZ671=0,N(IFERROR(VLOOKUP(BX671,'Gebinde-Kategorie'!$A$5:$N$45,14,0),0))&gt;0),VLOOKUP(BX671,'Gebinde-Kategorie'!$A$5:$N$45,14,0)*10+Parameter!$M$23,Parameter!$M$24))</f>
        <v>235</v>
      </c>
      <c r="CC671" s="48" t="str">
        <f aca="false">IF(AND(Parameter!$B$19="Ja",E671&lt;&gt;"",ISNUMBER(MATCH(E671,Parameter!$I$35:$I$52,0))),VLOOKUP(E671,Parameter!$I$35:$J$52,2,0),IFERROR(VLOOKUP(D671,Parameter!$A$35:$C$64,2,0),"Nein"))</f>
        <v>Nein</v>
      </c>
      <c r="CD671" s="52" t="n">
        <f aca="false">IF(BZ671=0,0,IF(N(S671)&gt;0,S671,IFERROR(VLOOKUP(D671,Parameter!$A$35:$C$64,3,0)+0,0)))</f>
        <v>0.15</v>
      </c>
      <c r="CE671" s="48" t="str">
        <f aca="false">IF(AA671&lt;&gt;"",AA671,Z671)</f>
        <v>-</v>
      </c>
      <c r="CF671" s="48" t="str">
        <f aca="false">IF(OR(CE671=1,CE671=2,CE671=3),IF(Parameter!$E$27="Ja","LIFT",IF(CE671=1,"L1","L23")),IF(CE671="Aussen","Aussen","-"))</f>
        <v>-</v>
      </c>
      <c r="CG671" s="59" t="n">
        <f aca="false">IF(N(AB671)&gt;0,AB671,0)</f>
        <v>0</v>
      </c>
      <c r="CH671" s="53" t="n">
        <f aca="false">IF(ISNUMBER(AE671),1,0)</f>
        <v>0</v>
      </c>
      <c r="CI671" s="50" t="n">
        <f aca="false">N(AE671)</f>
        <v>0</v>
      </c>
      <c r="CJ671" s="50" t="n">
        <f aca="false">N(M671)+N(N671)</f>
        <v>1</v>
      </c>
      <c r="CK671" s="50" t="n">
        <f aca="false">N(M671)</f>
        <v>0</v>
      </c>
      <c r="CL671" s="50" t="n">
        <f aca="false">N(N671)</f>
        <v>1</v>
      </c>
      <c r="CM671" s="50" t="n">
        <f aca="false">ROUNDUP(H671/BY671,0)</f>
        <v>0</v>
      </c>
      <c r="CN671" s="50" t="n">
        <f aca="false">ROUNDUP(CI671/BY671,0)</f>
        <v>0</v>
      </c>
      <c r="CO671" s="53" t="n">
        <f aca="false">IF(BZ671=1,0,IFERROR(VLOOKUP(BX671,'Gebinde-Kategorie'!$A$5:$N$45,5,0)+0,0))</f>
        <v>0</v>
      </c>
      <c r="CP671" s="53" t="n">
        <f aca="false">IFERROR(IF(OR(CE671=1,CE671=2,CE671=3),N(INDEX(Parameter!$I$5:$I$7,CE671)),0),0)</f>
        <v>0</v>
      </c>
      <c r="CQ671" s="52" t="n">
        <f aca="false">IF(AND(Parameter!$B$21="Ja",ISNUMBER(W671),N(X671)&gt;0),IFERROR(N(INDEX(Parameter!$L$5:$L$7,W671))*INDEX(Parameter!$E$5:$E$7,W671)*X671/SUMIFS($X$7:$X$1843,$W$7:$W$1843,W671),0),0)</f>
        <v>0</v>
      </c>
    </row>
    <row r="672" customFormat="false" ht="15" hidden="false" customHeight="false" outlineLevel="0" collapsed="false">
      <c r="A672" s="48" t="s">
        <v>1359</v>
      </c>
      <c r="B672" s="48" t="s">
        <v>190</v>
      </c>
      <c r="C672" s="48" t="s">
        <v>173</v>
      </c>
      <c r="D672" s="48" t="s">
        <v>182</v>
      </c>
      <c r="E672" s="48"/>
      <c r="F672" s="48" t="s">
        <v>227</v>
      </c>
      <c r="G672" s="49" t="n">
        <v>5409.17</v>
      </c>
      <c r="H672" s="50" t="n">
        <f aca="false">MAX(0,IF(AND(Parameter!$B$21="Ja",ISNUMBER(Y672)),Y672,IF(Parameter!$B$20="Jahresanfang 2025 + Export",BR672+BQ672,BQ672)))</f>
        <v>0</v>
      </c>
      <c r="I672" s="50" t="n">
        <f aca="false">H672*G672</f>
        <v>0</v>
      </c>
      <c r="J672" s="50" t="n">
        <f aca="false">BT672*Parameter!$B$18</f>
        <v>1</v>
      </c>
      <c r="K672" s="51" t="n">
        <v>0</v>
      </c>
      <c r="L672" s="52" t="n">
        <v>0</v>
      </c>
      <c r="M672" s="50" t="n">
        <v>0</v>
      </c>
      <c r="N672" s="50" t="n">
        <v>1</v>
      </c>
      <c r="O672" s="53" t="n">
        <v>115</v>
      </c>
      <c r="P672" s="48" t="s">
        <v>177</v>
      </c>
      <c r="Q672" s="50"/>
      <c r="R672" s="53" t="n">
        <f aca="false">IF(BZ672=1,0,IFERROR(VLOOKUP(BX672,'Gebinde-Kategorie'!$A$5:$N$45,13,0)+0,0))</f>
        <v>12</v>
      </c>
      <c r="S672" s="54"/>
      <c r="T672" s="55" t="s">
        <v>188</v>
      </c>
      <c r="U672" s="55"/>
      <c r="V672" s="55"/>
      <c r="W672" s="48"/>
      <c r="X672" s="50"/>
      <c r="Y672" s="50"/>
      <c r="Z672" s="48" t="n">
        <f aca="false">IF(A672="","",IF(AND(Parameter!$B$21="Ja",ISNUMBER(W672)),W672,IF(CC672="2+3",IF(ISNUMBER(SEARCH("grosser Artikel",BU672)),2,IFERROR(VLOOKUP(BX672,Parameter!$F$35:$G$64,2,0),2)),IF(OR(CC672="Nein",CC672=""),"-",CC672))))</f>
        <v>2</v>
      </c>
      <c r="AA672" s="55"/>
      <c r="AB672" s="56"/>
      <c r="AC672" s="50" t="n">
        <f aca="false">AV672</f>
        <v>1</v>
      </c>
      <c r="AD672" s="50" t="n">
        <f aca="false">MAX(AV672,H672)</f>
        <v>1</v>
      </c>
      <c r="AE672" s="57"/>
      <c r="AF672" s="50" t="n">
        <f aca="false">IF(LEFT(Cockpit!$C$5,1)="A",H672,IF(Parameter!$E$30="MAX-Bestand",IF(CH672=1,CI672,IF(LEFT(Cockpit!$C$5,1)="B",AL672,MAX(AL672,H672))),ROUNDUP(AJ672,0)))</f>
        <v>0</v>
      </c>
      <c r="AG672" s="50" t="n">
        <f aca="false">IF(BZ672=1,0,ROUNDUP(AF672/BY672,0))</f>
        <v>0</v>
      </c>
      <c r="AH672" s="52" t="n">
        <f aca="false">IF(CQ672&gt;0,CQ672*MAX(1,AF672/X672),IF(BZ672=1,IF(AF672&lt;=0,0,CD672*MAX(1,IF(H672&gt;0,AF672/H672,1))),IF(R672&gt;0,AG672/R672,0))/MAX(0.1,N(Parameter!$M$21)))</f>
        <v>0</v>
      </c>
      <c r="AI672" s="50" t="n">
        <f aca="false">AH672*CB672</f>
        <v>0</v>
      </c>
      <c r="AJ672" s="51" t="n">
        <f aca="false">IF(LEFT(Cockpit!$C$5,1)="A",H672,IF(CH672=1,(CK672+CI672)/2,IF(LEFT(Cockpit!$C$5,1)="B",(CK672+AL672)/2,MAX((CK672+AL672)/2,H672))))</f>
        <v>0</v>
      </c>
      <c r="AK672" s="50" t="n">
        <f aca="false">AJ672*G672</f>
        <v>0</v>
      </c>
      <c r="AL672" s="50" t="n">
        <f aca="false">ROUNDUP(CK672+MAX(CL672,2*(J672/IF(CG672&gt;0,CG672,MAX(0.1,N(Cockpit!$C$6)))-CK672)),0)</f>
        <v>1</v>
      </c>
      <c r="AM672" s="51" t="n">
        <f aca="false">IF(AI672&gt;0,J672/AI672,-1)</f>
        <v>-1</v>
      </c>
      <c r="AN672" s="51" t="str">
        <f aca="false">IF(AND(OR(CF672="L1",CF672="L23",CF672="LIFT"),AI672&gt;0),SUMIFS($AI$7:$AI$1843,$CF$7:$CF$1843,CF672,$AM$7:$AM$1843,"&gt;"&amp;AM672)+SUMIFS($AI$7:$AI$1843,$CF$7:$CF$1843,CF672,$AM$7:$AM$1843,AM672,$BW$7:$BW$1843,"&lt;="&amp;BW672),"")</f>
        <v/>
      </c>
      <c r="AO672" s="58" t="n">
        <f aca="false">IF(AN672="",0,MAX(0,MIN(1,(IF(CF672="L1",Parameter!$H$5,IF(CF672="L23",Parameter!$H$6+Parameter!$H$7,Parameter!$H$5+Parameter!$H$6+Parameter!$H$7))-(AN672-AI672))/AI672)))</f>
        <v>0</v>
      </c>
      <c r="AP672" s="50" t="n">
        <f aca="false">IF(LEFT(Cockpit!$I$5,1)="A",H672,IF(Parameter!$E$30="MAX-Bestand",IF(CH672=1,CI672,IF(LEFT(Cockpit!$I$5,1)="B",AV672,MAX(AV672,H672))),ROUNDUP(AT672,0)))</f>
        <v>1</v>
      </c>
      <c r="AQ672" s="50" t="n">
        <f aca="false">IF(BZ672=1,0,ROUNDUP(AP672/BY672,0))</f>
        <v>1</v>
      </c>
      <c r="AR672" s="52" t="n">
        <f aca="false">IF(CQ672&gt;0,CQ672*MAX(1,AP672/X672),IF(BZ672=1,IF(AP672&lt;=0,0,CD672*MAX(1,IF(H672&gt;0,AP672/H672,1))),IF(R672&gt;0,AQ672/R672,0))/MAX(0.1,N(Parameter!$M$21)))</f>
        <v>0.0833333333333333</v>
      </c>
      <c r="AS672" s="50" t="n">
        <f aca="false">AR672*CB672</f>
        <v>12.0833333333333</v>
      </c>
      <c r="AT672" s="51" t="n">
        <f aca="false">IF(LEFT(Cockpit!$I$5,1)="A",H672,IF(CH672=1,(CK672+CI672)/2,IF(LEFT(Cockpit!$I$5,1)="B",(CK672+AV672)/2,MAX((CK672+AV672)/2,H672))))</f>
        <v>0.5</v>
      </c>
      <c r="AU672" s="50" t="n">
        <f aca="false">AT672*G672</f>
        <v>2704.585</v>
      </c>
      <c r="AV672" s="50" t="n">
        <f aca="false">ROUNDUP(CK672+MAX(CL672,2*(J672/IF(CG672&gt;0,CG672,MAX(0.1,N(Cockpit!$I$6)))-CK672)),0)</f>
        <v>1</v>
      </c>
      <c r="AW672" s="51" t="n">
        <f aca="false">IF(AS672&gt;0,J672/AS672,-1)</f>
        <v>0.0827586206896552</v>
      </c>
      <c r="AX672" s="51" t="n">
        <f aca="false">IF(AND(OR(CF672="L1",CF672="L23",CF672="LIFT"),AS672&gt;0),SUMIFS($AS$7:$AS$1843,$CF$7:$CF$1843,CF672,$AW$7:$AW$1843,"&gt;"&amp;AW672)+SUMIFS($AS$7:$AS$1843,$CF$7:$CF$1843,CF672,$AW$7:$AW$1843,AW672,$BW$7:$BW$1843,"&lt;="&amp;BW672),"")</f>
        <v>21748.8393736678</v>
      </c>
      <c r="AY672" s="58" t="n">
        <f aca="false">IF(AX672="",0,MAX(0,MIN(1,(IF(CF672="L1",Parameter!$H$5,IF(CF672="L23",Parameter!$H$6+Parameter!$H$7,Parameter!$H$5+Parameter!$H$6+Parameter!$H$7))-(AX672-AS672))/AS672)))</f>
        <v>1</v>
      </c>
      <c r="AZ672" s="50" t="n">
        <f aca="false">IF(LEFT(Cockpit!$O$5,1)="A",H672,IF(Parameter!$E$30="MAX-Bestand",IF(CH672=1,CI672,IF(LEFT(Cockpit!$O$5,1)="B",BF672,MAX(BF672,H672))),ROUNDUP(BD672,0)))</f>
        <v>1</v>
      </c>
      <c r="BA672" s="50" t="n">
        <f aca="false">IF(BZ672=1,0,ROUNDUP(AZ672/BY672,0))</f>
        <v>1</v>
      </c>
      <c r="BB672" s="52" t="n">
        <f aca="false">IF(CQ672&gt;0,CQ672*MAX(1,AZ672/X672),IF(BZ672=1,IF(AZ672&lt;=0,0,CD672*MAX(1,IF(H672&gt;0,AZ672/H672,1))),IF(R672&gt;0,BA672/R672,0))/MAX(0.1,N(Parameter!$M$21)))</f>
        <v>0.0833333333333333</v>
      </c>
      <c r="BC672" s="50" t="n">
        <f aca="false">BB672*CB672</f>
        <v>12.0833333333333</v>
      </c>
      <c r="BD672" s="51" t="n">
        <f aca="false">IF(LEFT(Cockpit!$O$5,1)="A",H672,IF(CH672=1,(CK672+CI672)/2,IF(LEFT(Cockpit!$O$5,1)="B",(CK672+BF672)/2,MAX((CK672+BF672)/2,H672))))</f>
        <v>0.5</v>
      </c>
      <c r="BE672" s="50" t="n">
        <f aca="false">BD672*G672</f>
        <v>2704.585</v>
      </c>
      <c r="BF672" s="50" t="n">
        <f aca="false">ROUNDUP(CK672+MAX(CL672,2*(J672/IF(CG672&gt;0,CG672,MAX(0.1,N(Cockpit!$O$6)))-CK672)),0)</f>
        <v>1</v>
      </c>
      <c r="BG672" s="51" t="n">
        <f aca="false">IF(BC672&gt;0,J672/BC672,-1)</f>
        <v>0.0827586206896552</v>
      </c>
      <c r="BH672" s="51" t="n">
        <f aca="false">IF(AND(OR(CF672="L1",CF672="L23",CF672="LIFT"),BC672&gt;0),SUMIFS($BC$7:$BC$1843,$CF$7:$CF$1843,CF672,$BG$7:$BG$1843,"&gt;"&amp;BG672)+SUMIFS($BC$7:$BC$1843,$CF$7:$CF$1843,CF672,$BG$7:$BG$1843,BG672,$BW$7:$BW$1843,"&lt;="&amp;BW672),"")</f>
        <v>18286.8955759401</v>
      </c>
      <c r="BI672" s="58" t="n">
        <f aca="false">IF(BH672="",0,MAX(0,MIN(1,(IF(CF672="L1",Parameter!$H$5,IF(CF672="L23",Parameter!$H$6+Parameter!$H$7,Parameter!$H$5+Parameter!$H$6+Parameter!$H$7))-(BH672-BC672))/BC672)))</f>
        <v>1</v>
      </c>
      <c r="BJ672" s="48" t="str">
        <f aca="false">IF(AI672&lt;=0,"",IF(CF672="Aussen","Aussenlager",IF(CF672="-","Nicht im Lift",IF(AO672&gt;=1,"Lift",IF(AO672&lt;=0,"Aussenlager","teilweise")))))</f>
        <v/>
      </c>
      <c r="BK672" s="48" t="str">
        <f aca="false">IF(AS672&lt;=0,"",IF(CF672="Aussen","Aussenlager",IF(CF672="-","Nicht im Lift",IF(AY672&gt;=1,"Lift",IF(AY672&lt;=0,"Aussenlager","teilweise")))))</f>
        <v>Lift</v>
      </c>
      <c r="BL672" s="48" t="str">
        <f aca="false">IF(BC672&lt;=0,"",IF(CF672="Aussen","Aussenlager",IF(CF672="-","Nicht im Lift",IF(BI672&gt;=1,"Lift",IF(BI672&lt;=0,"Aussenlager","teilweise")))))</f>
        <v>Lift</v>
      </c>
      <c r="BM672" s="48" t="str">
        <f aca="false">IF(A672="","",IF(BV672=1,"Neu; ","")&amp;IF(AND(BV672=0,BQ672&lt;0),"negativer Bestand (Export "&amp;BQ672&amp;"); ","")&amp;IF(J672&lt;=0,"Kein Verbrauch; ","")&amp;IF(CQ672&gt;0,"Lift "&amp;W672&amp;" lt. Liftbericht (Fach "&amp;X672&amp;" Stk); ",IF(CA672=1,"Gebinde geschätzt ("&amp;T672&amp;"); ",IF(BZ672=1,"Lose – Tablare geschätzt; ","")))&amp;IF(H672&gt;AV672,"Überbestand "&amp;ROUND(H672-AV672,0)&amp;" Stk / CHF "&amp;ROUND((H672-AV672)*G672,0)&amp;"; ","")&amp;IF(AND(CH672=1,CI672&lt;CJ672),"MAX &lt; MB+LG; ","")&amp;IF(AND(CP672&gt;0,CO672*10&gt;CP672),"zu hoch für Tablar; ","")&amp;IF(AND(BV672=0,OR(CH672=1,AA672&lt;&gt;"",U672&lt;&gt;"",V672&lt;&gt;"",AB672&lt;&gt;"")),"manuell übersteuert; ","")&amp;IF(AND(BZ672=0,R672=0),"Gebinde unbekannt / Stellmass fehlt; ","")&amp;IF(AND(BZ672=0,N(V672)&lt;=0,N(Q672)&lt;=0),"Menge pro Gebinde fehlt (Ist = 1 Gebinde); ","")&amp;BU672)</f>
        <v>Gebinde geschätzt (Mittel); Menge pro Gebinde fehlt (Ist = 1 Gebinde); </v>
      </c>
      <c r="BN672" s="48"/>
      <c r="BO672" s="48"/>
      <c r="BP672" s="55"/>
      <c r="BQ672" s="50" t="n">
        <v>0</v>
      </c>
      <c r="BR672" s="50" t="n">
        <v>0</v>
      </c>
      <c r="BS672" s="49" t="n">
        <v>0</v>
      </c>
      <c r="BT672" s="50" t="n">
        <v>1</v>
      </c>
      <c r="BU672" s="48"/>
      <c r="BV672" s="53" t="n">
        <v>0</v>
      </c>
      <c r="BW672" s="53" t="n">
        <v>672</v>
      </c>
      <c r="BX672" s="48" t="str">
        <f aca="false">IF(U672&lt;&gt;"",UPPER(TRIM(U672)),IF(CA672=1,UPPER(VLOOKUP(T672,Parameter!$I$27:$K$29,2,0)),IF(P672="","LOSE",P672)))</f>
        <v>S61</v>
      </c>
      <c r="BY672" s="50" t="n">
        <f aca="false">IF(BX672="LOSE",1,IF(N(V672)&gt;0,V672,IF(CA672=1,MAX(1,N(VLOOKUP(T672,Parameter!$I$27:$K$29,3,0)),H672,N(N672)),IF(N(Q672)&gt;0,Q672,MAX(1,H672)))))</f>
        <v>4</v>
      </c>
      <c r="BZ672" s="53" t="n">
        <f aca="false">IF(BX672="LOSE",1,0)</f>
        <v>0</v>
      </c>
      <c r="CA672" s="53" t="n">
        <f aca="false">IF(AND(U672="",OR(P672="",P672="LOSE"),T672&lt;&gt;"",N(S672)&lt;=0,ISNUMBER(MATCH(T672,Parameter!$I$27:$I$29,0))),1,0)</f>
        <v>1</v>
      </c>
      <c r="CB672" s="53" t="n">
        <f aca="false">IF(CQ672&gt;0,INDEX(Parameter!$H$5:$H$7,W672)/INDEX(Parameter!$E$5:$E$7,W672),IF(AND(BZ672=0,N(IFERROR(VLOOKUP(BX672,'Gebinde-Kategorie'!$A$5:$N$45,14,0),0))&gt;0),VLOOKUP(BX672,'Gebinde-Kategorie'!$A$5:$N$45,14,0)*10+Parameter!$M$23,Parameter!$M$24))</f>
        <v>145</v>
      </c>
      <c r="CC672" s="48" t="str">
        <f aca="false">IF(AND(Parameter!$B$19="Ja",E672&lt;&gt;"",ISNUMBER(MATCH(E672,Parameter!$I$35:$I$52,0))),VLOOKUP(E672,Parameter!$I$35:$J$52,2,0),IFERROR(VLOOKUP(D672,Parameter!$A$35:$C$64,2,0),"Nein"))</f>
        <v>2+3</v>
      </c>
      <c r="CD672" s="52" t="n">
        <f aca="false">IF(BZ672=0,0,IF(N(S672)&gt;0,S672,IFERROR(VLOOKUP(D672,Parameter!$A$35:$C$64,3,0)+0,0)))</f>
        <v>0</v>
      </c>
      <c r="CE672" s="48" t="n">
        <f aca="false">IF(AA672&lt;&gt;"",AA672,Z672)</f>
        <v>2</v>
      </c>
      <c r="CF672" s="48" t="str">
        <f aca="false">IF(OR(CE672=1,CE672=2,CE672=3),IF(Parameter!$E$27="Ja","LIFT",IF(CE672=1,"L1","L23")),IF(CE672="Aussen","Aussen","-"))</f>
        <v>LIFT</v>
      </c>
      <c r="CG672" s="59" t="n">
        <f aca="false">IF(N(AB672)&gt;0,AB672,0)</f>
        <v>0</v>
      </c>
      <c r="CH672" s="53" t="n">
        <f aca="false">IF(ISNUMBER(AE672),1,0)</f>
        <v>0</v>
      </c>
      <c r="CI672" s="50" t="n">
        <f aca="false">N(AE672)</f>
        <v>0</v>
      </c>
      <c r="CJ672" s="50" t="n">
        <f aca="false">N(M672)+N(N672)</f>
        <v>1</v>
      </c>
      <c r="CK672" s="50" t="n">
        <f aca="false">N(M672)</f>
        <v>0</v>
      </c>
      <c r="CL672" s="50" t="n">
        <f aca="false">N(N672)</f>
        <v>1</v>
      </c>
      <c r="CM672" s="50" t="n">
        <f aca="false">ROUNDUP(H672/BY672,0)</f>
        <v>0</v>
      </c>
      <c r="CN672" s="50" t="n">
        <f aca="false">ROUNDUP(CI672/BY672,0)</f>
        <v>0</v>
      </c>
      <c r="CO672" s="53" t="n">
        <f aca="false">IF(BZ672=1,0,IFERROR(VLOOKUP(BX672,'Gebinde-Kategorie'!$A$5:$N$45,5,0)+0,0))</f>
        <v>11</v>
      </c>
      <c r="CP672" s="53" t="n">
        <f aca="false">IFERROR(IF(OR(CE672=1,CE672=2,CE672=3),N(INDEX(Parameter!$I$5:$I$7,CE672)),0),0)</f>
        <v>0</v>
      </c>
      <c r="CQ672" s="52" t="n">
        <f aca="false">IF(AND(Parameter!$B$21="Ja",ISNUMBER(W672),N(X672)&gt;0),IFERROR(N(INDEX(Parameter!$L$5:$L$7,W672))*INDEX(Parameter!$E$5:$E$7,W672)*X672/SUMIFS($X$7:$X$1843,$W$7:$W$1843,W672),0),0)</f>
        <v>0</v>
      </c>
    </row>
    <row r="673" customFormat="false" ht="15" hidden="false" customHeight="false" outlineLevel="0" collapsed="false">
      <c r="A673" s="48" t="s">
        <v>1360</v>
      </c>
      <c r="B673" s="48" t="s">
        <v>1361</v>
      </c>
      <c r="C673" s="48" t="s">
        <v>173</v>
      </c>
      <c r="D673" s="48" t="s">
        <v>1004</v>
      </c>
      <c r="E673" s="48"/>
      <c r="F673" s="48" t="s">
        <v>227</v>
      </c>
      <c r="G673" s="49" t="n">
        <v>0</v>
      </c>
      <c r="H673" s="50" t="n">
        <f aca="false">MAX(0,IF(AND(Parameter!$B$21="Ja",ISNUMBER(Y673)),Y673,IF(Parameter!$B$20="Jahresanfang 2025 + Export",BR673+BQ673,BQ673)))</f>
        <v>0</v>
      </c>
      <c r="I673" s="50" t="n">
        <f aca="false">H673*G673</f>
        <v>0</v>
      </c>
      <c r="J673" s="50" t="n">
        <f aca="false">BT673*Parameter!$B$18</f>
        <v>0</v>
      </c>
      <c r="K673" s="51" t="n">
        <v>0.5</v>
      </c>
      <c r="L673" s="52" t="n">
        <v>0</v>
      </c>
      <c r="M673" s="50" t="n">
        <v>0</v>
      </c>
      <c r="N673" s="50" t="n">
        <v>1</v>
      </c>
      <c r="O673" s="53" t="n">
        <v>28</v>
      </c>
      <c r="P673" s="48" t="s">
        <v>177</v>
      </c>
      <c r="Q673" s="50"/>
      <c r="R673" s="53" t="n">
        <f aca="false">IF(BZ673=1,0,IFERROR(VLOOKUP(BX673,'Gebinde-Kategorie'!$A$5:$N$45,13,0)+0,0))</f>
        <v>0</v>
      </c>
      <c r="S673" s="54"/>
      <c r="T673" s="55"/>
      <c r="U673" s="55"/>
      <c r="V673" s="55"/>
      <c r="W673" s="48"/>
      <c r="X673" s="50"/>
      <c r="Y673" s="50"/>
      <c r="Z673" s="48" t="str">
        <f aca="false">IF(A673="","",IF(AND(Parameter!$B$21="Ja",ISNUMBER(W673)),W673,IF(CC673="2+3",IF(ISNUMBER(SEARCH("grosser Artikel",BU673)),2,IFERROR(VLOOKUP(BX673,Parameter!$F$35:$G$64,2,0),2)),IF(OR(CC673="Nein",CC673=""),"-",CC673))))</f>
        <v>-</v>
      </c>
      <c r="AA673" s="55"/>
      <c r="AB673" s="56"/>
      <c r="AC673" s="50" t="n">
        <f aca="false">AV673</f>
        <v>1</v>
      </c>
      <c r="AD673" s="50" t="n">
        <f aca="false">MAX(AV673,H673)</f>
        <v>1</v>
      </c>
      <c r="AE673" s="57"/>
      <c r="AF673" s="50" t="n">
        <f aca="false">IF(LEFT(Cockpit!$C$5,1)="A",H673,IF(Parameter!$E$30="MAX-Bestand",IF(CH673=1,CI673,IF(LEFT(Cockpit!$C$5,1)="B",AL673,MAX(AL673,H673))),ROUNDUP(AJ673,0)))</f>
        <v>0</v>
      </c>
      <c r="AG673" s="50" t="n">
        <f aca="false">IF(BZ673=1,0,ROUNDUP(AF673/BY673,0))</f>
        <v>0</v>
      </c>
      <c r="AH673" s="52" t="n">
        <f aca="false">IF(CQ673&gt;0,CQ673*MAX(1,AF673/X673),IF(BZ673=1,IF(AF673&lt;=0,0,CD673*MAX(1,IF(H673&gt;0,AF673/H673,1))),IF(R673&gt;0,AG673/R673,0))/MAX(0.1,N(Parameter!$M$21)))</f>
        <v>0</v>
      </c>
      <c r="AI673" s="50" t="n">
        <f aca="false">AH673*CB673</f>
        <v>0</v>
      </c>
      <c r="AJ673" s="51" t="n">
        <f aca="false">IF(LEFT(Cockpit!$C$5,1)="A",H673,IF(CH673=1,(CK673+CI673)/2,IF(LEFT(Cockpit!$C$5,1)="B",(CK673+AL673)/2,MAX((CK673+AL673)/2,H673))))</f>
        <v>0</v>
      </c>
      <c r="AK673" s="50" t="n">
        <f aca="false">AJ673*G673</f>
        <v>0</v>
      </c>
      <c r="AL673" s="50" t="n">
        <f aca="false">ROUNDUP(CK673+MAX(CL673,2*(J673/IF(CG673&gt;0,CG673,MAX(0.1,N(Cockpit!$C$6)))-CK673)),0)</f>
        <v>1</v>
      </c>
      <c r="AM673" s="51" t="n">
        <f aca="false">IF(AI673&gt;0,J673/AI673,-1)</f>
        <v>-1</v>
      </c>
      <c r="AN673" s="51" t="str">
        <f aca="false">IF(AND(OR(CF673="L1",CF673="L23",CF673="LIFT"),AI673&gt;0),SUMIFS($AI$7:$AI$1843,$CF$7:$CF$1843,CF673,$AM$7:$AM$1843,"&gt;"&amp;AM673)+SUMIFS($AI$7:$AI$1843,$CF$7:$CF$1843,CF673,$AM$7:$AM$1843,AM673,$BW$7:$BW$1843,"&lt;="&amp;BW673),"")</f>
        <v/>
      </c>
      <c r="AO673" s="58" t="n">
        <f aca="false">IF(AN673="",0,MAX(0,MIN(1,(IF(CF673="L1",Parameter!$H$5,IF(CF673="L23",Parameter!$H$6+Parameter!$H$7,Parameter!$H$5+Parameter!$H$6+Parameter!$H$7))-(AN673-AI673))/AI673)))</f>
        <v>0</v>
      </c>
      <c r="AP673" s="50" t="n">
        <f aca="false">IF(LEFT(Cockpit!$I$5,1)="A",H673,IF(Parameter!$E$30="MAX-Bestand",IF(CH673=1,CI673,IF(LEFT(Cockpit!$I$5,1)="B",AV673,MAX(AV673,H673))),ROUNDUP(AT673,0)))</f>
        <v>1</v>
      </c>
      <c r="AQ673" s="50" t="n">
        <f aca="false">IF(BZ673=1,0,ROUNDUP(AP673/BY673,0))</f>
        <v>0</v>
      </c>
      <c r="AR673" s="52" t="n">
        <f aca="false">IF(CQ673&gt;0,CQ673*MAX(1,AP673/X673),IF(BZ673=1,IF(AP673&lt;=0,0,CD673*MAX(1,IF(H673&gt;0,AP673/H673,1))),IF(R673&gt;0,AQ673/R673,0))/MAX(0.1,N(Parameter!$M$21)))</f>
        <v>0.15</v>
      </c>
      <c r="AS673" s="50" t="n">
        <f aca="false">AR673*CB673</f>
        <v>35.25</v>
      </c>
      <c r="AT673" s="51" t="n">
        <f aca="false">IF(LEFT(Cockpit!$I$5,1)="A",H673,IF(CH673=1,(CK673+CI673)/2,IF(LEFT(Cockpit!$I$5,1)="B",(CK673+AV673)/2,MAX((CK673+AV673)/2,H673))))</f>
        <v>0.5</v>
      </c>
      <c r="AU673" s="50" t="n">
        <f aca="false">AT673*G673</f>
        <v>0</v>
      </c>
      <c r="AV673" s="50" t="n">
        <f aca="false">ROUNDUP(CK673+MAX(CL673,2*(J673/IF(CG673&gt;0,CG673,MAX(0.1,N(Cockpit!$I$6)))-CK673)),0)</f>
        <v>1</v>
      </c>
      <c r="AW673" s="51" t="n">
        <f aca="false">IF(AS673&gt;0,J673/AS673,-1)</f>
        <v>0</v>
      </c>
      <c r="AX673" s="51" t="str">
        <f aca="false">IF(AND(OR(CF673="L1",CF673="L23",CF673="LIFT"),AS673&gt;0),SUMIFS($AS$7:$AS$1843,$CF$7:$CF$1843,CF673,$AW$7:$AW$1843,"&gt;"&amp;AW673)+SUMIFS($AS$7:$AS$1843,$CF$7:$CF$1843,CF673,$AW$7:$AW$1843,AW673,$BW$7:$BW$1843,"&lt;="&amp;BW673),"")</f>
        <v/>
      </c>
      <c r="AY673" s="58" t="n">
        <f aca="false">IF(AX673="",0,MAX(0,MIN(1,(IF(CF673="L1",Parameter!$H$5,IF(CF673="L23",Parameter!$H$6+Parameter!$H$7,Parameter!$H$5+Parameter!$H$6+Parameter!$H$7))-(AX673-AS673))/AS673)))</f>
        <v>0</v>
      </c>
      <c r="AZ673" s="50" t="n">
        <f aca="false">IF(LEFT(Cockpit!$O$5,1)="A",H673,IF(Parameter!$E$30="MAX-Bestand",IF(CH673=1,CI673,IF(LEFT(Cockpit!$O$5,1)="B",BF673,MAX(BF673,H673))),ROUNDUP(BD673,0)))</f>
        <v>1</v>
      </c>
      <c r="BA673" s="50" t="n">
        <f aca="false">IF(BZ673=1,0,ROUNDUP(AZ673/BY673,0))</f>
        <v>0</v>
      </c>
      <c r="BB673" s="52" t="n">
        <f aca="false">IF(CQ673&gt;0,CQ673*MAX(1,AZ673/X673),IF(BZ673=1,IF(AZ673&lt;=0,0,CD673*MAX(1,IF(H673&gt;0,AZ673/H673,1))),IF(R673&gt;0,BA673/R673,0))/MAX(0.1,N(Parameter!$M$21)))</f>
        <v>0.15</v>
      </c>
      <c r="BC673" s="50" t="n">
        <f aca="false">BB673*CB673</f>
        <v>35.25</v>
      </c>
      <c r="BD673" s="51" t="n">
        <f aca="false">IF(LEFT(Cockpit!$O$5,1)="A",H673,IF(CH673=1,(CK673+CI673)/2,IF(LEFT(Cockpit!$O$5,1)="B",(CK673+BF673)/2,MAX((CK673+BF673)/2,H673))))</f>
        <v>0.5</v>
      </c>
      <c r="BE673" s="50" t="n">
        <f aca="false">BD673*G673</f>
        <v>0</v>
      </c>
      <c r="BF673" s="50" t="n">
        <f aca="false">ROUNDUP(CK673+MAX(CL673,2*(J673/IF(CG673&gt;0,CG673,MAX(0.1,N(Cockpit!$O$6)))-CK673)),0)</f>
        <v>1</v>
      </c>
      <c r="BG673" s="51" t="n">
        <f aca="false">IF(BC673&gt;0,J673/BC673,-1)</f>
        <v>0</v>
      </c>
      <c r="BH673" s="51" t="str">
        <f aca="false">IF(AND(OR(CF673="L1",CF673="L23",CF673="LIFT"),BC673&gt;0),SUMIFS($BC$7:$BC$1843,$CF$7:$CF$1843,CF673,$BG$7:$BG$1843,"&gt;"&amp;BG673)+SUMIFS($BC$7:$BC$1843,$CF$7:$CF$1843,CF673,$BG$7:$BG$1843,BG673,$BW$7:$BW$1843,"&lt;="&amp;BW673),"")</f>
        <v/>
      </c>
      <c r="BI673" s="58" t="n">
        <f aca="false">IF(BH673="",0,MAX(0,MIN(1,(IF(CF673="L1",Parameter!$H$5,IF(CF673="L23",Parameter!$H$6+Parameter!$H$7,Parameter!$H$5+Parameter!$H$6+Parameter!$H$7))-(BH673-BC673))/BC673)))</f>
        <v>0</v>
      </c>
      <c r="BJ673" s="48" t="str">
        <f aca="false">IF(AI673&lt;=0,"",IF(CF673="Aussen","Aussenlager",IF(CF673="-","Nicht im Lift",IF(AO673&gt;=1,"Lift",IF(AO673&lt;=0,"Aussenlager","teilweise")))))</f>
        <v/>
      </c>
      <c r="BK673" s="48" t="str">
        <f aca="false">IF(AS673&lt;=0,"",IF(CF673="Aussen","Aussenlager",IF(CF673="-","Nicht im Lift",IF(AY673&gt;=1,"Lift",IF(AY673&lt;=0,"Aussenlager","teilweise")))))</f>
        <v>Nicht im Lift</v>
      </c>
      <c r="BL673" s="48" t="str">
        <f aca="false">IF(BC673&lt;=0,"",IF(CF673="Aussen","Aussenlager",IF(CF673="-","Nicht im Lift",IF(BI673&gt;=1,"Lift",IF(BI673&lt;=0,"Aussenlager","teilweise")))))</f>
        <v>Nicht im Lift</v>
      </c>
      <c r="BM673" s="48" t="str">
        <f aca="false">IF(A673="","",IF(BV673=1,"Neu; ","")&amp;IF(AND(BV673=0,BQ673&lt;0),"negativer Bestand (Export "&amp;BQ673&amp;"); ","")&amp;IF(J673&lt;=0,"Kein Verbrauch; ","")&amp;IF(CQ673&gt;0,"Lift "&amp;W673&amp;" lt. Liftbericht (Fach "&amp;X673&amp;" Stk); ",IF(CA673=1,"Gebinde geschätzt ("&amp;T673&amp;"); ",IF(BZ673=1,"Lose – Tablare geschätzt; ","")))&amp;IF(H673&gt;AV673,"Überbestand "&amp;ROUND(H673-AV673,0)&amp;" Stk / CHF "&amp;ROUND((H673-AV673)*G673,0)&amp;"; ","")&amp;IF(AND(CH673=1,CI673&lt;CJ673),"MAX &lt; MB+LG; ","")&amp;IF(AND(CP673&gt;0,CO673*10&gt;CP673),"zu hoch für Tablar; ","")&amp;IF(AND(BV673=0,OR(CH673=1,AA673&lt;&gt;"",U673&lt;&gt;"",V673&lt;&gt;"",AB673&lt;&gt;"")),"manuell übersteuert; ","")&amp;IF(AND(BZ673=0,R673=0),"Gebinde unbekannt / Stellmass fehlt; ","")&amp;IF(AND(BZ673=0,N(V673)&lt;=0,N(Q673)&lt;=0),"Menge pro Gebinde fehlt (Ist = 1 Gebinde); ","")&amp;BU673)</f>
        <v>Kein Verbrauch; Lose – Tablare geschätzt; </v>
      </c>
      <c r="BN673" s="48"/>
      <c r="BO673" s="48"/>
      <c r="BP673" s="55"/>
      <c r="BQ673" s="50" t="n">
        <v>0</v>
      </c>
      <c r="BR673" s="50" t="n">
        <v>0</v>
      </c>
      <c r="BS673" s="49" t="n">
        <v>0</v>
      </c>
      <c r="BT673" s="50" t="n">
        <v>0</v>
      </c>
      <c r="BU673" s="48"/>
      <c r="BV673" s="53" t="n">
        <v>0</v>
      </c>
      <c r="BW673" s="53" t="n">
        <v>673</v>
      </c>
      <c r="BX673" s="48" t="str">
        <f aca="false">IF(U673&lt;&gt;"",UPPER(TRIM(U673)),IF(CA673=1,UPPER(VLOOKUP(T673,Parameter!$I$27:$K$29,2,0)),IF(P673="","LOSE",P673)))</f>
        <v>LOSE</v>
      </c>
      <c r="BY673" s="50" t="n">
        <f aca="false">IF(BX673="LOSE",1,IF(N(V673)&gt;0,V673,IF(CA673=1,MAX(1,N(VLOOKUP(T673,Parameter!$I$27:$K$29,3,0)),H673,N(N673)),IF(N(Q673)&gt;0,Q673,MAX(1,H673)))))</f>
        <v>1</v>
      </c>
      <c r="BZ673" s="53" t="n">
        <f aca="false">IF(BX673="LOSE",1,0)</f>
        <v>1</v>
      </c>
      <c r="CA673" s="53" t="n">
        <f aca="false">IF(AND(U673="",OR(P673="",P673="LOSE"),T673&lt;&gt;"",N(S673)&lt;=0,ISNUMBER(MATCH(T673,Parameter!$I$27:$I$29,0))),1,0)</f>
        <v>0</v>
      </c>
      <c r="CB673" s="53" t="n">
        <f aca="false">IF(CQ673&gt;0,INDEX(Parameter!$H$5:$H$7,W673)/INDEX(Parameter!$E$5:$E$7,W673),IF(AND(BZ673=0,N(IFERROR(VLOOKUP(BX673,'Gebinde-Kategorie'!$A$5:$N$45,14,0),0))&gt;0),VLOOKUP(BX673,'Gebinde-Kategorie'!$A$5:$N$45,14,0)*10+Parameter!$M$23,Parameter!$M$24))</f>
        <v>235</v>
      </c>
      <c r="CC673" s="48" t="str">
        <f aca="false">IF(AND(Parameter!$B$19="Ja",E673&lt;&gt;"",ISNUMBER(MATCH(E673,Parameter!$I$35:$I$52,0))),VLOOKUP(E673,Parameter!$I$35:$J$52,2,0),IFERROR(VLOOKUP(D673,Parameter!$A$35:$C$64,2,0),"Nein"))</f>
        <v>Nein</v>
      </c>
      <c r="CD673" s="52" t="n">
        <f aca="false">IF(BZ673=0,0,IF(N(S673)&gt;0,S673,IFERROR(VLOOKUP(D673,Parameter!$A$35:$C$64,3,0)+0,0)))</f>
        <v>0.15</v>
      </c>
      <c r="CE673" s="48" t="str">
        <f aca="false">IF(AA673&lt;&gt;"",AA673,Z673)</f>
        <v>-</v>
      </c>
      <c r="CF673" s="48" t="str">
        <f aca="false">IF(OR(CE673=1,CE673=2,CE673=3),IF(Parameter!$E$27="Ja","LIFT",IF(CE673=1,"L1","L23")),IF(CE673="Aussen","Aussen","-"))</f>
        <v>-</v>
      </c>
      <c r="CG673" s="59" t="n">
        <f aca="false">IF(N(AB673)&gt;0,AB673,0)</f>
        <v>0</v>
      </c>
      <c r="CH673" s="53" t="n">
        <f aca="false">IF(ISNUMBER(AE673),1,0)</f>
        <v>0</v>
      </c>
      <c r="CI673" s="50" t="n">
        <f aca="false">N(AE673)</f>
        <v>0</v>
      </c>
      <c r="CJ673" s="50" t="n">
        <f aca="false">N(M673)+N(N673)</f>
        <v>1</v>
      </c>
      <c r="CK673" s="50" t="n">
        <f aca="false">N(M673)</f>
        <v>0</v>
      </c>
      <c r="CL673" s="50" t="n">
        <f aca="false">N(N673)</f>
        <v>1</v>
      </c>
      <c r="CM673" s="50" t="n">
        <f aca="false">ROUNDUP(H673/BY673,0)</f>
        <v>0</v>
      </c>
      <c r="CN673" s="50" t="n">
        <f aca="false">ROUNDUP(CI673/BY673,0)</f>
        <v>0</v>
      </c>
      <c r="CO673" s="53" t="n">
        <f aca="false">IF(BZ673=1,0,IFERROR(VLOOKUP(BX673,'Gebinde-Kategorie'!$A$5:$N$45,5,0)+0,0))</f>
        <v>0</v>
      </c>
      <c r="CP673" s="53" t="n">
        <f aca="false">IFERROR(IF(OR(CE673=1,CE673=2,CE673=3),N(INDEX(Parameter!$I$5:$I$7,CE673)),0),0)</f>
        <v>0</v>
      </c>
      <c r="CQ673" s="52" t="n">
        <f aca="false">IF(AND(Parameter!$B$21="Ja",ISNUMBER(W673),N(X673)&gt;0),IFERROR(N(INDEX(Parameter!$L$5:$L$7,W673))*INDEX(Parameter!$E$5:$E$7,W673)*X673/SUMIFS($X$7:$X$1843,$W$7:$W$1843,W673),0),0)</f>
        <v>0</v>
      </c>
    </row>
    <row r="674" customFormat="false" ht="15" hidden="false" customHeight="false" outlineLevel="0" collapsed="false">
      <c r="A674" s="48" t="s">
        <v>1362</v>
      </c>
      <c r="B674" s="48" t="s">
        <v>1007</v>
      </c>
      <c r="C674" s="48" t="s">
        <v>173</v>
      </c>
      <c r="D674" s="48" t="s">
        <v>1004</v>
      </c>
      <c r="E674" s="48"/>
      <c r="F674" s="48" t="s">
        <v>227</v>
      </c>
      <c r="G674" s="49" t="n">
        <v>177.69</v>
      </c>
      <c r="H674" s="50" t="n">
        <f aca="false">MAX(0,IF(AND(Parameter!$B$21="Ja",ISNUMBER(Y674)),Y674,IF(Parameter!$B$20="Jahresanfang 2025 + Export",BR674+BQ674,BQ674)))</f>
        <v>0</v>
      </c>
      <c r="I674" s="50" t="n">
        <f aca="false">H674*G674</f>
        <v>0</v>
      </c>
      <c r="J674" s="50" t="n">
        <f aca="false">BT674*Parameter!$B$18</f>
        <v>4</v>
      </c>
      <c r="K674" s="51" t="n">
        <v>0</v>
      </c>
      <c r="L674" s="52" t="n">
        <v>0</v>
      </c>
      <c r="M674" s="50" t="n">
        <v>0</v>
      </c>
      <c r="N674" s="50" t="n">
        <v>1</v>
      </c>
      <c r="O674" s="53" t="n">
        <v>105</v>
      </c>
      <c r="P674" s="48" t="s">
        <v>177</v>
      </c>
      <c r="Q674" s="50"/>
      <c r="R674" s="53" t="n">
        <f aca="false">IF(BZ674=1,0,IFERROR(VLOOKUP(BX674,'Gebinde-Kategorie'!$A$5:$N$45,13,0)+0,0))</f>
        <v>0</v>
      </c>
      <c r="S674" s="54"/>
      <c r="T674" s="55"/>
      <c r="U674" s="55"/>
      <c r="V674" s="55"/>
      <c r="W674" s="48"/>
      <c r="X674" s="50"/>
      <c r="Y674" s="50"/>
      <c r="Z674" s="48" t="str">
        <f aca="false">IF(A674="","",IF(AND(Parameter!$B$21="Ja",ISNUMBER(W674)),W674,IF(CC674="2+3",IF(ISNUMBER(SEARCH("grosser Artikel",BU674)),2,IFERROR(VLOOKUP(BX674,Parameter!$F$35:$G$64,2,0),2)),IF(OR(CC674="Nein",CC674=""),"-",CC674))))</f>
        <v>-</v>
      </c>
      <c r="AA674" s="55"/>
      <c r="AB674" s="56"/>
      <c r="AC674" s="50" t="n">
        <f aca="false">AV674</f>
        <v>3</v>
      </c>
      <c r="AD674" s="50" t="n">
        <f aca="false">MAX(AV674,H674)</f>
        <v>3</v>
      </c>
      <c r="AE674" s="57"/>
      <c r="AF674" s="50" t="n">
        <f aca="false">IF(LEFT(Cockpit!$C$5,1)="A",H674,IF(Parameter!$E$30="MAX-Bestand",IF(CH674=1,CI674,IF(LEFT(Cockpit!$C$5,1)="B",AL674,MAX(AL674,H674))),ROUNDUP(AJ674,0)))</f>
        <v>0</v>
      </c>
      <c r="AG674" s="50" t="n">
        <f aca="false">IF(BZ674=1,0,ROUNDUP(AF674/BY674,0))</f>
        <v>0</v>
      </c>
      <c r="AH674" s="52" t="n">
        <f aca="false">IF(CQ674&gt;0,CQ674*MAX(1,AF674/X674),IF(BZ674=1,IF(AF674&lt;=0,0,CD674*MAX(1,IF(H674&gt;0,AF674/H674,1))),IF(R674&gt;0,AG674/R674,0))/MAX(0.1,N(Parameter!$M$21)))</f>
        <v>0</v>
      </c>
      <c r="AI674" s="50" t="n">
        <f aca="false">AH674*CB674</f>
        <v>0</v>
      </c>
      <c r="AJ674" s="51" t="n">
        <f aca="false">IF(LEFT(Cockpit!$C$5,1)="A",H674,IF(CH674=1,(CK674+CI674)/2,IF(LEFT(Cockpit!$C$5,1)="B",(CK674+AL674)/2,MAX((CK674+AL674)/2,H674))))</f>
        <v>0</v>
      </c>
      <c r="AK674" s="50" t="n">
        <f aca="false">AJ674*G674</f>
        <v>0</v>
      </c>
      <c r="AL674" s="50" t="n">
        <f aca="false">ROUNDUP(CK674+MAX(CL674,2*(J674/IF(CG674&gt;0,CG674,MAX(0.1,N(Cockpit!$C$6)))-CK674)),0)</f>
        <v>3</v>
      </c>
      <c r="AM674" s="51" t="n">
        <f aca="false">IF(AI674&gt;0,J674/AI674,-1)</f>
        <v>-1</v>
      </c>
      <c r="AN674" s="51" t="str">
        <f aca="false">IF(AND(OR(CF674="L1",CF674="L23",CF674="LIFT"),AI674&gt;0),SUMIFS($AI$7:$AI$1843,$CF$7:$CF$1843,CF674,$AM$7:$AM$1843,"&gt;"&amp;AM674)+SUMIFS($AI$7:$AI$1843,$CF$7:$CF$1843,CF674,$AM$7:$AM$1843,AM674,$BW$7:$BW$1843,"&lt;="&amp;BW674),"")</f>
        <v/>
      </c>
      <c r="AO674" s="58" t="n">
        <f aca="false">IF(AN674="",0,MAX(0,MIN(1,(IF(CF674="L1",Parameter!$H$5,IF(CF674="L23",Parameter!$H$6+Parameter!$H$7,Parameter!$H$5+Parameter!$H$6+Parameter!$H$7))-(AN674-AI674))/AI674)))</f>
        <v>0</v>
      </c>
      <c r="AP674" s="50" t="n">
        <f aca="false">IF(LEFT(Cockpit!$I$5,1)="A",H674,IF(Parameter!$E$30="MAX-Bestand",IF(CH674=1,CI674,IF(LEFT(Cockpit!$I$5,1)="B",AV674,MAX(AV674,H674))),ROUNDUP(AT674,0)))</f>
        <v>2</v>
      </c>
      <c r="AQ674" s="50" t="n">
        <f aca="false">IF(BZ674=1,0,ROUNDUP(AP674/BY674,0))</f>
        <v>0</v>
      </c>
      <c r="AR674" s="52" t="n">
        <f aca="false">IF(CQ674&gt;0,CQ674*MAX(1,AP674/X674),IF(BZ674=1,IF(AP674&lt;=0,0,CD674*MAX(1,IF(H674&gt;0,AP674/H674,1))),IF(R674&gt;0,AQ674/R674,0))/MAX(0.1,N(Parameter!$M$21)))</f>
        <v>0.15</v>
      </c>
      <c r="AS674" s="50" t="n">
        <f aca="false">AR674*CB674</f>
        <v>35.25</v>
      </c>
      <c r="AT674" s="51" t="n">
        <f aca="false">IF(LEFT(Cockpit!$I$5,1)="A",H674,IF(CH674=1,(CK674+CI674)/2,IF(LEFT(Cockpit!$I$5,1)="B",(CK674+AV674)/2,MAX((CK674+AV674)/2,H674))))</f>
        <v>1.5</v>
      </c>
      <c r="AU674" s="50" t="n">
        <f aca="false">AT674*G674</f>
        <v>266.535</v>
      </c>
      <c r="AV674" s="50" t="n">
        <f aca="false">ROUNDUP(CK674+MAX(CL674,2*(J674/IF(CG674&gt;0,CG674,MAX(0.1,N(Cockpit!$I$6)))-CK674)),0)</f>
        <v>3</v>
      </c>
      <c r="AW674" s="51" t="n">
        <f aca="false">IF(AS674&gt;0,J674/AS674,-1)</f>
        <v>0.113475177304965</v>
      </c>
      <c r="AX674" s="51" t="str">
        <f aca="false">IF(AND(OR(CF674="L1",CF674="L23",CF674="LIFT"),AS674&gt;0),SUMIFS($AS$7:$AS$1843,$CF$7:$CF$1843,CF674,$AW$7:$AW$1843,"&gt;"&amp;AW674)+SUMIFS($AS$7:$AS$1843,$CF$7:$CF$1843,CF674,$AW$7:$AW$1843,AW674,$BW$7:$BW$1843,"&lt;="&amp;BW674),"")</f>
        <v/>
      </c>
      <c r="AY674" s="58" t="n">
        <f aca="false">IF(AX674="",0,MAX(0,MIN(1,(IF(CF674="L1",Parameter!$H$5,IF(CF674="L23",Parameter!$H$6+Parameter!$H$7,Parameter!$H$5+Parameter!$H$6+Parameter!$H$7))-(AX674-AS674))/AS674)))</f>
        <v>0</v>
      </c>
      <c r="AZ674" s="50" t="n">
        <f aca="false">IF(LEFT(Cockpit!$O$5,1)="A",H674,IF(Parameter!$E$30="MAX-Bestand",IF(CH674=1,CI674,IF(LEFT(Cockpit!$O$5,1)="B",BF674,MAX(BF674,H674))),ROUNDUP(BD674,0)))</f>
        <v>1</v>
      </c>
      <c r="BA674" s="50" t="n">
        <f aca="false">IF(BZ674=1,0,ROUNDUP(AZ674/BY674,0))</f>
        <v>0</v>
      </c>
      <c r="BB674" s="52" t="n">
        <f aca="false">IF(CQ674&gt;0,CQ674*MAX(1,AZ674/X674),IF(BZ674=1,IF(AZ674&lt;=0,0,CD674*MAX(1,IF(H674&gt;0,AZ674/H674,1))),IF(R674&gt;0,BA674/R674,0))/MAX(0.1,N(Parameter!$M$21)))</f>
        <v>0.15</v>
      </c>
      <c r="BC674" s="50" t="n">
        <f aca="false">BB674*CB674</f>
        <v>35.25</v>
      </c>
      <c r="BD674" s="51" t="n">
        <f aca="false">IF(LEFT(Cockpit!$O$5,1)="A",H674,IF(CH674=1,(CK674+CI674)/2,IF(LEFT(Cockpit!$O$5,1)="B",(CK674+BF674)/2,MAX((CK674+BF674)/2,H674))))</f>
        <v>1</v>
      </c>
      <c r="BE674" s="50" t="n">
        <f aca="false">BD674*G674</f>
        <v>177.69</v>
      </c>
      <c r="BF674" s="50" t="n">
        <f aca="false">ROUNDUP(CK674+MAX(CL674,2*(J674/IF(CG674&gt;0,CG674,MAX(0.1,N(Cockpit!$O$6)))-CK674)),0)</f>
        <v>2</v>
      </c>
      <c r="BG674" s="51" t="n">
        <f aca="false">IF(BC674&gt;0,J674/BC674,-1)</f>
        <v>0.113475177304965</v>
      </c>
      <c r="BH674" s="51" t="str">
        <f aca="false">IF(AND(OR(CF674="L1",CF674="L23",CF674="LIFT"),BC674&gt;0),SUMIFS($BC$7:$BC$1843,$CF$7:$CF$1843,CF674,$BG$7:$BG$1843,"&gt;"&amp;BG674)+SUMIFS($BC$7:$BC$1843,$CF$7:$CF$1843,CF674,$BG$7:$BG$1843,BG674,$BW$7:$BW$1843,"&lt;="&amp;BW674),"")</f>
        <v/>
      </c>
      <c r="BI674" s="58" t="n">
        <f aca="false">IF(BH674="",0,MAX(0,MIN(1,(IF(CF674="L1",Parameter!$H$5,IF(CF674="L23",Parameter!$H$6+Parameter!$H$7,Parameter!$H$5+Parameter!$H$6+Parameter!$H$7))-(BH674-BC674))/BC674)))</f>
        <v>0</v>
      </c>
      <c r="BJ674" s="48" t="str">
        <f aca="false">IF(AI674&lt;=0,"",IF(CF674="Aussen","Aussenlager",IF(CF674="-","Nicht im Lift",IF(AO674&gt;=1,"Lift",IF(AO674&lt;=0,"Aussenlager","teilweise")))))</f>
        <v/>
      </c>
      <c r="BK674" s="48" t="str">
        <f aca="false">IF(AS674&lt;=0,"",IF(CF674="Aussen","Aussenlager",IF(CF674="-","Nicht im Lift",IF(AY674&gt;=1,"Lift",IF(AY674&lt;=0,"Aussenlager","teilweise")))))</f>
        <v>Nicht im Lift</v>
      </c>
      <c r="BL674" s="48" t="str">
        <f aca="false">IF(BC674&lt;=0,"",IF(CF674="Aussen","Aussenlager",IF(CF674="-","Nicht im Lift",IF(BI674&gt;=1,"Lift",IF(BI674&lt;=0,"Aussenlager","teilweise")))))</f>
        <v>Nicht im Lift</v>
      </c>
      <c r="BM674" s="48" t="str">
        <f aca="false">IF(A674="","",IF(BV674=1,"Neu; ","")&amp;IF(AND(BV674=0,BQ674&lt;0),"negativer Bestand (Export "&amp;BQ674&amp;"); ","")&amp;IF(J674&lt;=0,"Kein Verbrauch; ","")&amp;IF(CQ674&gt;0,"Lift "&amp;W674&amp;" lt. Liftbericht (Fach "&amp;X674&amp;" Stk); ",IF(CA674=1,"Gebinde geschätzt ("&amp;T674&amp;"); ",IF(BZ674=1,"Lose – Tablare geschätzt; ","")))&amp;IF(H674&gt;AV674,"Überbestand "&amp;ROUND(H674-AV674,0)&amp;" Stk / CHF "&amp;ROUND((H674-AV674)*G674,0)&amp;"; ","")&amp;IF(AND(CH674=1,CI674&lt;CJ674),"MAX &lt; MB+LG; ","")&amp;IF(AND(CP674&gt;0,CO674*10&gt;CP674),"zu hoch für Tablar; ","")&amp;IF(AND(BV674=0,OR(CH674=1,AA674&lt;&gt;"",U674&lt;&gt;"",V674&lt;&gt;"",AB674&lt;&gt;"")),"manuell übersteuert; ","")&amp;IF(AND(BZ674=0,R674=0),"Gebinde unbekannt / Stellmass fehlt; ","")&amp;IF(AND(BZ674=0,N(V674)&lt;=0,N(Q674)&lt;=0),"Menge pro Gebinde fehlt (Ist = 1 Gebinde); ","")&amp;BU674)</f>
        <v>Lose – Tablare geschätzt; </v>
      </c>
      <c r="BN674" s="48"/>
      <c r="BO674" s="48"/>
      <c r="BP674" s="55"/>
      <c r="BQ674" s="50" t="n">
        <v>0</v>
      </c>
      <c r="BR674" s="50" t="n">
        <v>0</v>
      </c>
      <c r="BS674" s="49" t="n">
        <v>0</v>
      </c>
      <c r="BT674" s="50" t="n">
        <v>4</v>
      </c>
      <c r="BU674" s="48"/>
      <c r="BV674" s="53" t="n">
        <v>0</v>
      </c>
      <c r="BW674" s="53" t="n">
        <v>674</v>
      </c>
      <c r="BX674" s="48" t="str">
        <f aca="false">IF(U674&lt;&gt;"",UPPER(TRIM(U674)),IF(CA674=1,UPPER(VLOOKUP(T674,Parameter!$I$27:$K$29,2,0)),IF(P674="","LOSE",P674)))</f>
        <v>LOSE</v>
      </c>
      <c r="BY674" s="50" t="n">
        <f aca="false">IF(BX674="LOSE",1,IF(N(V674)&gt;0,V674,IF(CA674=1,MAX(1,N(VLOOKUP(T674,Parameter!$I$27:$K$29,3,0)),H674,N(N674)),IF(N(Q674)&gt;0,Q674,MAX(1,H674)))))</f>
        <v>1</v>
      </c>
      <c r="BZ674" s="53" t="n">
        <f aca="false">IF(BX674="LOSE",1,0)</f>
        <v>1</v>
      </c>
      <c r="CA674" s="53" t="n">
        <f aca="false">IF(AND(U674="",OR(P674="",P674="LOSE"),T674&lt;&gt;"",N(S674)&lt;=0,ISNUMBER(MATCH(T674,Parameter!$I$27:$I$29,0))),1,0)</f>
        <v>0</v>
      </c>
      <c r="CB674" s="53" t="n">
        <f aca="false">IF(CQ674&gt;0,INDEX(Parameter!$H$5:$H$7,W674)/INDEX(Parameter!$E$5:$E$7,W674),IF(AND(BZ674=0,N(IFERROR(VLOOKUP(BX674,'Gebinde-Kategorie'!$A$5:$N$45,14,0),0))&gt;0),VLOOKUP(BX674,'Gebinde-Kategorie'!$A$5:$N$45,14,0)*10+Parameter!$M$23,Parameter!$M$24))</f>
        <v>235</v>
      </c>
      <c r="CC674" s="48" t="str">
        <f aca="false">IF(AND(Parameter!$B$19="Ja",E674&lt;&gt;"",ISNUMBER(MATCH(E674,Parameter!$I$35:$I$52,0))),VLOOKUP(E674,Parameter!$I$35:$J$52,2,0),IFERROR(VLOOKUP(D674,Parameter!$A$35:$C$64,2,0),"Nein"))</f>
        <v>Nein</v>
      </c>
      <c r="CD674" s="52" t="n">
        <f aca="false">IF(BZ674=0,0,IF(N(S674)&gt;0,S674,IFERROR(VLOOKUP(D674,Parameter!$A$35:$C$64,3,0)+0,0)))</f>
        <v>0.15</v>
      </c>
      <c r="CE674" s="48" t="str">
        <f aca="false">IF(AA674&lt;&gt;"",AA674,Z674)</f>
        <v>-</v>
      </c>
      <c r="CF674" s="48" t="str">
        <f aca="false">IF(OR(CE674=1,CE674=2,CE674=3),IF(Parameter!$E$27="Ja","LIFT",IF(CE674=1,"L1","L23")),IF(CE674="Aussen","Aussen","-"))</f>
        <v>-</v>
      </c>
      <c r="CG674" s="59" t="n">
        <f aca="false">IF(N(AB674)&gt;0,AB674,0)</f>
        <v>0</v>
      </c>
      <c r="CH674" s="53" t="n">
        <f aca="false">IF(ISNUMBER(AE674),1,0)</f>
        <v>0</v>
      </c>
      <c r="CI674" s="50" t="n">
        <f aca="false">N(AE674)</f>
        <v>0</v>
      </c>
      <c r="CJ674" s="50" t="n">
        <f aca="false">N(M674)+N(N674)</f>
        <v>1</v>
      </c>
      <c r="CK674" s="50" t="n">
        <f aca="false">N(M674)</f>
        <v>0</v>
      </c>
      <c r="CL674" s="50" t="n">
        <f aca="false">N(N674)</f>
        <v>1</v>
      </c>
      <c r="CM674" s="50" t="n">
        <f aca="false">ROUNDUP(H674/BY674,0)</f>
        <v>0</v>
      </c>
      <c r="CN674" s="50" t="n">
        <f aca="false">ROUNDUP(CI674/BY674,0)</f>
        <v>0</v>
      </c>
      <c r="CO674" s="53" t="n">
        <f aca="false">IF(BZ674=1,0,IFERROR(VLOOKUP(BX674,'Gebinde-Kategorie'!$A$5:$N$45,5,0)+0,0))</f>
        <v>0</v>
      </c>
      <c r="CP674" s="53" t="n">
        <f aca="false">IFERROR(IF(OR(CE674=1,CE674=2,CE674=3),N(INDEX(Parameter!$I$5:$I$7,CE674)),0),0)</f>
        <v>0</v>
      </c>
      <c r="CQ674" s="52" t="n">
        <f aca="false">IF(AND(Parameter!$B$21="Ja",ISNUMBER(W674),N(X674)&gt;0),IFERROR(N(INDEX(Parameter!$L$5:$L$7,W674))*INDEX(Parameter!$E$5:$E$7,W674)*X674/SUMIFS($X$7:$X$1843,$W$7:$W$1843,W674),0),0)</f>
        <v>0</v>
      </c>
    </row>
    <row r="675" customFormat="false" ht="15" hidden="false" customHeight="false" outlineLevel="0" collapsed="false">
      <c r="A675" s="48" t="s">
        <v>1363</v>
      </c>
      <c r="B675" s="48" t="s">
        <v>1364</v>
      </c>
      <c r="C675" s="48" t="s">
        <v>173</v>
      </c>
      <c r="D675" s="48" t="s">
        <v>182</v>
      </c>
      <c r="E675" s="48"/>
      <c r="F675" s="48" t="s">
        <v>227</v>
      </c>
      <c r="G675" s="49" t="n">
        <v>245</v>
      </c>
      <c r="H675" s="50" t="n">
        <f aca="false">MAX(0,IF(AND(Parameter!$B$21="Ja",ISNUMBER(Y675)),Y675,IF(Parameter!$B$20="Jahresanfang 2025 + Export",BR675+BQ675,BQ675)))</f>
        <v>0</v>
      </c>
      <c r="I675" s="50" t="n">
        <f aca="false">H675*G675</f>
        <v>0</v>
      </c>
      <c r="J675" s="50" t="n">
        <f aca="false">BT675*Parameter!$B$18</f>
        <v>0</v>
      </c>
      <c r="K675" s="51" t="n">
        <v>0</v>
      </c>
      <c r="L675" s="52" t="n">
        <v>0</v>
      </c>
      <c r="M675" s="50" t="n">
        <v>0</v>
      </c>
      <c r="N675" s="50" t="n">
        <v>1</v>
      </c>
      <c r="O675" s="53" t="n">
        <v>999</v>
      </c>
      <c r="P675" s="48" t="s">
        <v>183</v>
      </c>
      <c r="Q675" s="50"/>
      <c r="R675" s="53" t="n">
        <f aca="false">IF(BZ675=1,0,IFERROR(VLOOKUP(BX675,'Gebinde-Kategorie'!$A$5:$N$45,13,0)+0,0))</f>
        <v>6</v>
      </c>
      <c r="S675" s="54"/>
      <c r="T675" s="55"/>
      <c r="U675" s="55"/>
      <c r="V675" s="55"/>
      <c r="W675" s="48"/>
      <c r="X675" s="50"/>
      <c r="Y675" s="50"/>
      <c r="Z675" s="48" t="n">
        <f aca="false">IF(A675="","",IF(AND(Parameter!$B$21="Ja",ISNUMBER(W675)),W675,IF(CC675="2+3",IF(ISNUMBER(SEARCH("grosser Artikel",BU675)),2,IFERROR(VLOOKUP(BX675,Parameter!$F$35:$G$64,2,0),2)),IF(OR(CC675="Nein",CC675=""),"-",CC675))))</f>
        <v>2</v>
      </c>
      <c r="AA675" s="55"/>
      <c r="AB675" s="56"/>
      <c r="AC675" s="50" t="n">
        <f aca="false">AV675</f>
        <v>1</v>
      </c>
      <c r="AD675" s="50" t="n">
        <f aca="false">MAX(AV675,H675)</f>
        <v>1</v>
      </c>
      <c r="AE675" s="57"/>
      <c r="AF675" s="50" t="n">
        <f aca="false">IF(LEFT(Cockpit!$C$5,1)="A",H675,IF(Parameter!$E$30="MAX-Bestand",IF(CH675=1,CI675,IF(LEFT(Cockpit!$C$5,1)="B",AL675,MAX(AL675,H675))),ROUNDUP(AJ675,0)))</f>
        <v>0</v>
      </c>
      <c r="AG675" s="50" t="n">
        <f aca="false">IF(BZ675=1,0,ROUNDUP(AF675/BY675,0))</f>
        <v>0</v>
      </c>
      <c r="AH675" s="52" t="n">
        <f aca="false">IF(CQ675&gt;0,CQ675*MAX(1,AF675/X675),IF(BZ675=1,IF(AF675&lt;=0,0,CD675*MAX(1,IF(H675&gt;0,AF675/H675,1))),IF(R675&gt;0,AG675/R675,0))/MAX(0.1,N(Parameter!$M$21)))</f>
        <v>0</v>
      </c>
      <c r="AI675" s="50" t="n">
        <f aca="false">AH675*CB675</f>
        <v>0</v>
      </c>
      <c r="AJ675" s="51" t="n">
        <f aca="false">IF(LEFT(Cockpit!$C$5,1)="A",H675,IF(CH675=1,(CK675+CI675)/2,IF(LEFT(Cockpit!$C$5,1)="B",(CK675+AL675)/2,MAX((CK675+AL675)/2,H675))))</f>
        <v>0</v>
      </c>
      <c r="AK675" s="50" t="n">
        <f aca="false">AJ675*G675</f>
        <v>0</v>
      </c>
      <c r="AL675" s="50" t="n">
        <f aca="false">ROUNDUP(CK675+MAX(CL675,2*(J675/IF(CG675&gt;0,CG675,MAX(0.1,N(Cockpit!$C$6)))-CK675)),0)</f>
        <v>1</v>
      </c>
      <c r="AM675" s="51" t="n">
        <f aca="false">IF(AI675&gt;0,J675/AI675,-1)</f>
        <v>-1</v>
      </c>
      <c r="AN675" s="51" t="str">
        <f aca="false">IF(AND(OR(CF675="L1",CF675="L23",CF675="LIFT"),AI675&gt;0),SUMIFS($AI$7:$AI$1843,$CF$7:$CF$1843,CF675,$AM$7:$AM$1843,"&gt;"&amp;AM675)+SUMIFS($AI$7:$AI$1843,$CF$7:$CF$1843,CF675,$AM$7:$AM$1843,AM675,$BW$7:$BW$1843,"&lt;="&amp;BW675),"")</f>
        <v/>
      </c>
      <c r="AO675" s="58" t="n">
        <f aca="false">IF(AN675="",0,MAX(0,MIN(1,(IF(CF675="L1",Parameter!$H$5,IF(CF675="L23",Parameter!$H$6+Parameter!$H$7,Parameter!$H$5+Parameter!$H$6+Parameter!$H$7))-(AN675-AI675))/AI675)))</f>
        <v>0</v>
      </c>
      <c r="AP675" s="50" t="n">
        <f aca="false">IF(LEFT(Cockpit!$I$5,1)="A",H675,IF(Parameter!$E$30="MAX-Bestand",IF(CH675=1,CI675,IF(LEFT(Cockpit!$I$5,1)="B",AV675,MAX(AV675,H675))),ROUNDUP(AT675,0)))</f>
        <v>1</v>
      </c>
      <c r="AQ675" s="50" t="n">
        <f aca="false">IF(BZ675=1,0,ROUNDUP(AP675/BY675,0))</f>
        <v>1</v>
      </c>
      <c r="AR675" s="52" t="n">
        <f aca="false">IF(CQ675&gt;0,CQ675*MAX(1,AP675/X675),IF(BZ675=1,IF(AP675&lt;=0,0,CD675*MAX(1,IF(H675&gt;0,AP675/H675,1))),IF(R675&gt;0,AQ675/R675,0))/MAX(0.1,N(Parameter!$M$21)))</f>
        <v>0.166666666666667</v>
      </c>
      <c r="AS675" s="50" t="n">
        <f aca="false">AR675*CB675</f>
        <v>39.1666666666667</v>
      </c>
      <c r="AT675" s="51" t="n">
        <f aca="false">IF(LEFT(Cockpit!$I$5,1)="A",H675,IF(CH675=1,(CK675+CI675)/2,IF(LEFT(Cockpit!$I$5,1)="B",(CK675+AV675)/2,MAX((CK675+AV675)/2,H675))))</f>
        <v>0.5</v>
      </c>
      <c r="AU675" s="50" t="n">
        <f aca="false">AT675*G675</f>
        <v>122.5</v>
      </c>
      <c r="AV675" s="50" t="n">
        <f aca="false">ROUNDUP(CK675+MAX(CL675,2*(J675/IF(CG675&gt;0,CG675,MAX(0.1,N(Cockpit!$I$6)))-CK675)),0)</f>
        <v>1</v>
      </c>
      <c r="AW675" s="51" t="n">
        <f aca="false">IF(AS675&gt;0,J675/AS675,-1)</f>
        <v>0</v>
      </c>
      <c r="AX675" s="51" t="n">
        <f aca="false">IF(AND(OR(CF675="L1",CF675="L23",CF675="LIFT"),AS675&gt;0),SUMIFS($AS$7:$AS$1843,$CF$7:$CF$1843,CF675,$AW$7:$AW$1843,"&gt;"&amp;AW675)+SUMIFS($AS$7:$AS$1843,$CF$7:$CF$1843,CF675,$AW$7:$AW$1843,AW675,$BW$7:$BW$1843,"&lt;="&amp;BW675),"")</f>
        <v>34003.9194139194</v>
      </c>
      <c r="AY675" s="58" t="n">
        <f aca="false">IF(AX675="",0,MAX(0,MIN(1,(IF(CF675="L1",Parameter!$H$5,IF(CF675="L23",Parameter!$H$6+Parameter!$H$7,Parameter!$H$5+Parameter!$H$6+Parameter!$H$7))-(AX675-AS675))/AS675)))</f>
        <v>1</v>
      </c>
      <c r="AZ675" s="50" t="n">
        <f aca="false">IF(LEFT(Cockpit!$O$5,1)="A",H675,IF(Parameter!$E$30="MAX-Bestand",IF(CH675=1,CI675,IF(LEFT(Cockpit!$O$5,1)="B",BF675,MAX(BF675,H675))),ROUNDUP(BD675,0)))</f>
        <v>1</v>
      </c>
      <c r="BA675" s="50" t="n">
        <f aca="false">IF(BZ675=1,0,ROUNDUP(AZ675/BY675,0))</f>
        <v>1</v>
      </c>
      <c r="BB675" s="52" t="n">
        <f aca="false">IF(CQ675&gt;0,CQ675*MAX(1,AZ675/X675),IF(BZ675=1,IF(AZ675&lt;=0,0,CD675*MAX(1,IF(H675&gt;0,AZ675/H675,1))),IF(R675&gt;0,BA675/R675,0))/MAX(0.1,N(Parameter!$M$21)))</f>
        <v>0.166666666666667</v>
      </c>
      <c r="BC675" s="50" t="n">
        <f aca="false">BB675*CB675</f>
        <v>39.1666666666667</v>
      </c>
      <c r="BD675" s="51" t="n">
        <f aca="false">IF(LEFT(Cockpit!$O$5,1)="A",H675,IF(CH675=1,(CK675+CI675)/2,IF(LEFT(Cockpit!$O$5,1)="B",(CK675+BF675)/2,MAX((CK675+BF675)/2,H675))))</f>
        <v>0.5</v>
      </c>
      <c r="BE675" s="50" t="n">
        <f aca="false">BD675*G675</f>
        <v>122.5</v>
      </c>
      <c r="BF675" s="50" t="n">
        <f aca="false">ROUNDUP(CK675+MAX(CL675,2*(J675/IF(CG675&gt;0,CG675,MAX(0.1,N(Cockpit!$O$6)))-CK675)),0)</f>
        <v>1</v>
      </c>
      <c r="BG675" s="51" t="n">
        <f aca="false">IF(BC675&gt;0,J675/BC675,-1)</f>
        <v>0</v>
      </c>
      <c r="BH675" s="51" t="n">
        <f aca="false">IF(AND(OR(CF675="L1",CF675="L23",CF675="LIFT"),BC675&gt;0),SUMIFS($BC$7:$BC$1843,$CF$7:$CF$1843,CF675,$BG$7:$BG$1843,"&gt;"&amp;BG675)+SUMIFS($BC$7:$BC$1843,$CF$7:$CF$1843,CF675,$BG$7:$BG$1843,BG675,$BW$7:$BW$1843,"&lt;="&amp;BW675),"")</f>
        <v>28068.0484183895</v>
      </c>
      <c r="BI675" s="58" t="n">
        <f aca="false">IF(BH675="",0,MAX(0,MIN(1,(IF(CF675="L1",Parameter!$H$5,IF(CF675="L23",Parameter!$H$6+Parameter!$H$7,Parameter!$H$5+Parameter!$H$6+Parameter!$H$7))-(BH675-BC675))/BC675)))</f>
        <v>1</v>
      </c>
      <c r="BJ675" s="48" t="str">
        <f aca="false">IF(AI675&lt;=0,"",IF(CF675="Aussen","Aussenlager",IF(CF675="-","Nicht im Lift",IF(AO675&gt;=1,"Lift",IF(AO675&lt;=0,"Aussenlager","teilweise")))))</f>
        <v/>
      </c>
      <c r="BK675" s="48" t="str">
        <f aca="false">IF(AS675&lt;=0,"",IF(CF675="Aussen","Aussenlager",IF(CF675="-","Nicht im Lift",IF(AY675&gt;=1,"Lift",IF(AY675&lt;=0,"Aussenlager","teilweise")))))</f>
        <v>Lift</v>
      </c>
      <c r="BL675" s="48" t="str">
        <f aca="false">IF(BC675&lt;=0,"",IF(CF675="Aussen","Aussenlager",IF(CF675="-","Nicht im Lift",IF(BI675&gt;=1,"Lift",IF(BI675&lt;=0,"Aussenlager","teilweise")))))</f>
        <v>Lift</v>
      </c>
      <c r="BM675" s="48" t="str">
        <f aca="false">IF(A675="","",IF(BV675=1,"Neu; ","")&amp;IF(AND(BV675=0,BQ675&lt;0),"negativer Bestand (Export "&amp;BQ675&amp;"); ","")&amp;IF(J675&lt;=0,"Kein Verbrauch; ","")&amp;IF(CQ675&gt;0,"Lift "&amp;W675&amp;" lt. Liftbericht (Fach "&amp;X675&amp;" Stk); ",IF(CA675=1,"Gebinde geschätzt ("&amp;T675&amp;"); ",IF(BZ675=1,"Lose – Tablare geschätzt; ","")))&amp;IF(H675&gt;AV675,"Überbestand "&amp;ROUND(H675-AV675,0)&amp;" Stk / CHF "&amp;ROUND((H675-AV675)*G675,0)&amp;"; ","")&amp;IF(AND(CH675=1,CI675&lt;CJ675),"MAX &lt; MB+LG; ","")&amp;IF(AND(CP675&gt;0,CO675*10&gt;CP675),"zu hoch für Tablar; ","")&amp;IF(AND(BV675=0,OR(CH675=1,AA675&lt;&gt;"",U675&lt;&gt;"",V675&lt;&gt;"",AB675&lt;&gt;"")),"manuell übersteuert; ","")&amp;IF(AND(BZ675=0,R675=0),"Gebinde unbekannt / Stellmass fehlt; ","")&amp;IF(AND(BZ675=0,N(V675)&lt;=0,N(Q675)&lt;=0),"Menge pro Gebinde fehlt (Ist = 1 Gebinde); ","")&amp;BU675)</f>
        <v>Kein Verbrauch; Menge pro Gebinde fehlt (Ist = 1 Gebinde); </v>
      </c>
      <c r="BN675" s="48"/>
      <c r="BO675" s="48"/>
      <c r="BP675" s="55"/>
      <c r="BQ675" s="50" t="n">
        <v>0</v>
      </c>
      <c r="BR675" s="50" t="n">
        <v>0</v>
      </c>
      <c r="BS675" s="49" t="n">
        <v>0</v>
      </c>
      <c r="BT675" s="50" t="n">
        <v>0</v>
      </c>
      <c r="BU675" s="48"/>
      <c r="BV675" s="53" t="n">
        <v>0</v>
      </c>
      <c r="BW675" s="53" t="n">
        <v>675</v>
      </c>
      <c r="BX675" s="48" t="str">
        <f aca="false">IF(U675&lt;&gt;"",UPPER(TRIM(U675)),IF(CA675=1,UPPER(VLOOKUP(T675,Parameter!$I$27:$K$29,2,0)),IF(P675="","LOSE",P675)))</f>
        <v>S71</v>
      </c>
      <c r="BY675" s="50" t="n">
        <f aca="false">IF(BX675="LOSE",1,IF(N(V675)&gt;0,V675,IF(CA675=1,MAX(1,N(VLOOKUP(T675,Parameter!$I$27:$K$29,3,0)),H675,N(N675)),IF(N(Q675)&gt;0,Q675,MAX(1,H675)))))</f>
        <v>1</v>
      </c>
      <c r="BZ675" s="53" t="n">
        <f aca="false">IF(BX675="LOSE",1,0)</f>
        <v>0</v>
      </c>
      <c r="CA675" s="53" t="n">
        <f aca="false">IF(AND(U675="",OR(P675="",P675="LOSE"),T675&lt;&gt;"",N(S675)&lt;=0,ISNUMBER(MATCH(T675,Parameter!$I$27:$I$29,0))),1,0)</f>
        <v>0</v>
      </c>
      <c r="CB675" s="53" t="n">
        <f aca="false">IF(CQ675&gt;0,INDEX(Parameter!$H$5:$H$7,W675)/INDEX(Parameter!$E$5:$E$7,W675),IF(AND(BZ675=0,N(IFERROR(VLOOKUP(BX675,'Gebinde-Kategorie'!$A$5:$N$45,14,0),0))&gt;0),VLOOKUP(BX675,'Gebinde-Kategorie'!$A$5:$N$45,14,0)*10+Parameter!$M$23,Parameter!$M$24))</f>
        <v>235</v>
      </c>
      <c r="CC675" s="48" t="str">
        <f aca="false">IF(AND(Parameter!$B$19="Ja",E675&lt;&gt;"",ISNUMBER(MATCH(E675,Parameter!$I$35:$I$52,0))),VLOOKUP(E675,Parameter!$I$35:$J$52,2,0),IFERROR(VLOOKUP(D675,Parameter!$A$35:$C$64,2,0),"Nein"))</f>
        <v>2+3</v>
      </c>
      <c r="CD675" s="52" t="n">
        <f aca="false">IF(BZ675=0,0,IF(N(S675)&gt;0,S675,IFERROR(VLOOKUP(D675,Parameter!$A$35:$C$64,3,0)+0,0)))</f>
        <v>0</v>
      </c>
      <c r="CE675" s="48" t="n">
        <f aca="false">IF(AA675&lt;&gt;"",AA675,Z675)</f>
        <v>2</v>
      </c>
      <c r="CF675" s="48" t="str">
        <f aca="false">IF(OR(CE675=1,CE675=2,CE675=3),IF(Parameter!$E$27="Ja","LIFT",IF(CE675=1,"L1","L23")),IF(CE675="Aussen","Aussen","-"))</f>
        <v>LIFT</v>
      </c>
      <c r="CG675" s="59" t="n">
        <f aca="false">IF(N(AB675)&gt;0,AB675,0)</f>
        <v>0</v>
      </c>
      <c r="CH675" s="53" t="n">
        <f aca="false">IF(ISNUMBER(AE675),1,0)</f>
        <v>0</v>
      </c>
      <c r="CI675" s="50" t="n">
        <f aca="false">N(AE675)</f>
        <v>0</v>
      </c>
      <c r="CJ675" s="50" t="n">
        <f aca="false">N(M675)+N(N675)</f>
        <v>1</v>
      </c>
      <c r="CK675" s="50" t="n">
        <f aca="false">N(M675)</f>
        <v>0</v>
      </c>
      <c r="CL675" s="50" t="n">
        <f aca="false">N(N675)</f>
        <v>1</v>
      </c>
      <c r="CM675" s="50" t="n">
        <f aca="false">ROUNDUP(H675/BY675,0)</f>
        <v>0</v>
      </c>
      <c r="CN675" s="50" t="n">
        <f aca="false">ROUNDUP(CI675/BY675,0)</f>
        <v>0</v>
      </c>
      <c r="CO675" s="53" t="n">
        <f aca="false">IF(BZ675=1,0,IFERROR(VLOOKUP(BX675,'Gebinde-Kategorie'!$A$5:$N$45,5,0)+0,0))</f>
        <v>20</v>
      </c>
      <c r="CP675" s="53" t="n">
        <f aca="false">IFERROR(IF(OR(CE675=1,CE675=2,CE675=3),N(INDEX(Parameter!$I$5:$I$7,CE675)),0),0)</f>
        <v>0</v>
      </c>
      <c r="CQ675" s="52" t="n">
        <f aca="false">IF(AND(Parameter!$B$21="Ja",ISNUMBER(W675),N(X675)&gt;0),IFERROR(N(INDEX(Parameter!$L$5:$L$7,W675))*INDEX(Parameter!$E$5:$E$7,W675)*X675/SUMIFS($X$7:$X$1843,$W$7:$W$1843,W675),0),0)</f>
        <v>0</v>
      </c>
    </row>
    <row r="676" customFormat="false" ht="15" hidden="false" customHeight="false" outlineLevel="0" collapsed="false">
      <c r="A676" s="48" t="s">
        <v>1365</v>
      </c>
      <c r="B676" s="48" t="s">
        <v>1366</v>
      </c>
      <c r="C676" s="48" t="s">
        <v>173</v>
      </c>
      <c r="D676" s="48" t="s">
        <v>1004</v>
      </c>
      <c r="E676" s="48"/>
      <c r="F676" s="48" t="s">
        <v>227</v>
      </c>
      <c r="G676" s="49" t="n">
        <v>3157.44</v>
      </c>
      <c r="H676" s="50" t="n">
        <f aca="false">MAX(0,IF(AND(Parameter!$B$21="Ja",ISNUMBER(Y676)),Y676,IF(Parameter!$B$20="Jahresanfang 2025 + Export",BR676+BQ676,BQ676)))</f>
        <v>0</v>
      </c>
      <c r="I676" s="50" t="n">
        <f aca="false">H676*G676</f>
        <v>0</v>
      </c>
      <c r="J676" s="50" t="n">
        <f aca="false">BT676*Parameter!$B$18</f>
        <v>4</v>
      </c>
      <c r="K676" s="51" t="n">
        <v>0</v>
      </c>
      <c r="L676" s="52" t="n">
        <v>0</v>
      </c>
      <c r="M676" s="50" t="n">
        <v>0</v>
      </c>
      <c r="N676" s="50" t="n">
        <v>1</v>
      </c>
      <c r="O676" s="53" t="n">
        <v>90</v>
      </c>
      <c r="P676" s="48" t="s">
        <v>177</v>
      </c>
      <c r="Q676" s="50"/>
      <c r="R676" s="53" t="n">
        <f aca="false">IF(BZ676=1,0,IFERROR(VLOOKUP(BX676,'Gebinde-Kategorie'!$A$5:$N$45,13,0)+0,0))</f>
        <v>0</v>
      </c>
      <c r="S676" s="54"/>
      <c r="T676" s="55"/>
      <c r="U676" s="55"/>
      <c r="V676" s="55"/>
      <c r="W676" s="48"/>
      <c r="X676" s="50"/>
      <c r="Y676" s="50"/>
      <c r="Z676" s="48" t="str">
        <f aca="false">IF(A676="","",IF(AND(Parameter!$B$21="Ja",ISNUMBER(W676)),W676,IF(CC676="2+3",IF(ISNUMBER(SEARCH("grosser Artikel",BU676)),2,IFERROR(VLOOKUP(BX676,Parameter!$F$35:$G$64,2,0),2)),IF(OR(CC676="Nein",CC676=""),"-",CC676))))</f>
        <v>-</v>
      </c>
      <c r="AA676" s="55"/>
      <c r="AB676" s="56"/>
      <c r="AC676" s="50" t="n">
        <f aca="false">AV676</f>
        <v>3</v>
      </c>
      <c r="AD676" s="50" t="n">
        <f aca="false">MAX(AV676,H676)</f>
        <v>3</v>
      </c>
      <c r="AE676" s="57"/>
      <c r="AF676" s="50" t="n">
        <f aca="false">IF(LEFT(Cockpit!$C$5,1)="A",H676,IF(Parameter!$E$30="MAX-Bestand",IF(CH676=1,CI676,IF(LEFT(Cockpit!$C$5,1)="B",AL676,MAX(AL676,H676))),ROUNDUP(AJ676,0)))</f>
        <v>0</v>
      </c>
      <c r="AG676" s="50" t="n">
        <f aca="false">IF(BZ676=1,0,ROUNDUP(AF676/BY676,0))</f>
        <v>0</v>
      </c>
      <c r="AH676" s="52" t="n">
        <f aca="false">IF(CQ676&gt;0,CQ676*MAX(1,AF676/X676),IF(BZ676=1,IF(AF676&lt;=0,0,CD676*MAX(1,IF(H676&gt;0,AF676/H676,1))),IF(R676&gt;0,AG676/R676,0))/MAX(0.1,N(Parameter!$M$21)))</f>
        <v>0</v>
      </c>
      <c r="AI676" s="50" t="n">
        <f aca="false">AH676*CB676</f>
        <v>0</v>
      </c>
      <c r="AJ676" s="51" t="n">
        <f aca="false">IF(LEFT(Cockpit!$C$5,1)="A",H676,IF(CH676=1,(CK676+CI676)/2,IF(LEFT(Cockpit!$C$5,1)="B",(CK676+AL676)/2,MAX((CK676+AL676)/2,H676))))</f>
        <v>0</v>
      </c>
      <c r="AK676" s="50" t="n">
        <f aca="false">AJ676*G676</f>
        <v>0</v>
      </c>
      <c r="AL676" s="50" t="n">
        <f aca="false">ROUNDUP(CK676+MAX(CL676,2*(J676/IF(CG676&gt;0,CG676,MAX(0.1,N(Cockpit!$C$6)))-CK676)),0)</f>
        <v>3</v>
      </c>
      <c r="AM676" s="51" t="n">
        <f aca="false">IF(AI676&gt;0,J676/AI676,-1)</f>
        <v>-1</v>
      </c>
      <c r="AN676" s="51" t="str">
        <f aca="false">IF(AND(OR(CF676="L1",CF676="L23",CF676="LIFT"),AI676&gt;0),SUMIFS($AI$7:$AI$1843,$CF$7:$CF$1843,CF676,$AM$7:$AM$1843,"&gt;"&amp;AM676)+SUMIFS($AI$7:$AI$1843,$CF$7:$CF$1843,CF676,$AM$7:$AM$1843,AM676,$BW$7:$BW$1843,"&lt;="&amp;BW676),"")</f>
        <v/>
      </c>
      <c r="AO676" s="58" t="n">
        <f aca="false">IF(AN676="",0,MAX(0,MIN(1,(IF(CF676="L1",Parameter!$H$5,IF(CF676="L23",Parameter!$H$6+Parameter!$H$7,Parameter!$H$5+Parameter!$H$6+Parameter!$H$7))-(AN676-AI676))/AI676)))</f>
        <v>0</v>
      </c>
      <c r="AP676" s="50" t="n">
        <f aca="false">IF(LEFT(Cockpit!$I$5,1)="A",H676,IF(Parameter!$E$30="MAX-Bestand",IF(CH676=1,CI676,IF(LEFT(Cockpit!$I$5,1)="B",AV676,MAX(AV676,H676))),ROUNDUP(AT676,0)))</f>
        <v>2</v>
      </c>
      <c r="AQ676" s="50" t="n">
        <f aca="false">IF(BZ676=1,0,ROUNDUP(AP676/BY676,0))</f>
        <v>0</v>
      </c>
      <c r="AR676" s="52" t="n">
        <f aca="false">IF(CQ676&gt;0,CQ676*MAX(1,AP676/X676),IF(BZ676=1,IF(AP676&lt;=0,0,CD676*MAX(1,IF(H676&gt;0,AP676/H676,1))),IF(R676&gt;0,AQ676/R676,0))/MAX(0.1,N(Parameter!$M$21)))</f>
        <v>0.15</v>
      </c>
      <c r="AS676" s="50" t="n">
        <f aca="false">AR676*CB676</f>
        <v>35.25</v>
      </c>
      <c r="AT676" s="51" t="n">
        <f aca="false">IF(LEFT(Cockpit!$I$5,1)="A",H676,IF(CH676=1,(CK676+CI676)/2,IF(LEFT(Cockpit!$I$5,1)="B",(CK676+AV676)/2,MAX((CK676+AV676)/2,H676))))</f>
        <v>1.5</v>
      </c>
      <c r="AU676" s="50" t="n">
        <f aca="false">AT676*G676</f>
        <v>4736.16</v>
      </c>
      <c r="AV676" s="50" t="n">
        <f aca="false">ROUNDUP(CK676+MAX(CL676,2*(J676/IF(CG676&gt;0,CG676,MAX(0.1,N(Cockpit!$I$6)))-CK676)),0)</f>
        <v>3</v>
      </c>
      <c r="AW676" s="51" t="n">
        <f aca="false">IF(AS676&gt;0,J676/AS676,-1)</f>
        <v>0.113475177304965</v>
      </c>
      <c r="AX676" s="51" t="str">
        <f aca="false">IF(AND(OR(CF676="L1",CF676="L23",CF676="LIFT"),AS676&gt;0),SUMIFS($AS$7:$AS$1843,$CF$7:$CF$1843,CF676,$AW$7:$AW$1843,"&gt;"&amp;AW676)+SUMIFS($AS$7:$AS$1843,$CF$7:$CF$1843,CF676,$AW$7:$AW$1843,AW676,$BW$7:$BW$1843,"&lt;="&amp;BW676),"")</f>
        <v/>
      </c>
      <c r="AY676" s="58" t="n">
        <f aca="false">IF(AX676="",0,MAX(0,MIN(1,(IF(CF676="L1",Parameter!$H$5,IF(CF676="L23",Parameter!$H$6+Parameter!$H$7,Parameter!$H$5+Parameter!$H$6+Parameter!$H$7))-(AX676-AS676))/AS676)))</f>
        <v>0</v>
      </c>
      <c r="AZ676" s="50" t="n">
        <f aca="false">IF(LEFT(Cockpit!$O$5,1)="A",H676,IF(Parameter!$E$30="MAX-Bestand",IF(CH676=1,CI676,IF(LEFT(Cockpit!$O$5,1)="B",BF676,MAX(BF676,H676))),ROUNDUP(BD676,0)))</f>
        <v>1</v>
      </c>
      <c r="BA676" s="50" t="n">
        <f aca="false">IF(BZ676=1,0,ROUNDUP(AZ676/BY676,0))</f>
        <v>0</v>
      </c>
      <c r="BB676" s="52" t="n">
        <f aca="false">IF(CQ676&gt;0,CQ676*MAX(1,AZ676/X676),IF(BZ676=1,IF(AZ676&lt;=0,0,CD676*MAX(1,IF(H676&gt;0,AZ676/H676,1))),IF(R676&gt;0,BA676/R676,0))/MAX(0.1,N(Parameter!$M$21)))</f>
        <v>0.15</v>
      </c>
      <c r="BC676" s="50" t="n">
        <f aca="false">BB676*CB676</f>
        <v>35.25</v>
      </c>
      <c r="BD676" s="51" t="n">
        <f aca="false">IF(LEFT(Cockpit!$O$5,1)="A",H676,IF(CH676=1,(CK676+CI676)/2,IF(LEFT(Cockpit!$O$5,1)="B",(CK676+BF676)/2,MAX((CK676+BF676)/2,H676))))</f>
        <v>1</v>
      </c>
      <c r="BE676" s="50" t="n">
        <f aca="false">BD676*G676</f>
        <v>3157.44</v>
      </c>
      <c r="BF676" s="50" t="n">
        <f aca="false">ROUNDUP(CK676+MAX(CL676,2*(J676/IF(CG676&gt;0,CG676,MAX(0.1,N(Cockpit!$O$6)))-CK676)),0)</f>
        <v>2</v>
      </c>
      <c r="BG676" s="51" t="n">
        <f aca="false">IF(BC676&gt;0,J676/BC676,-1)</f>
        <v>0.113475177304965</v>
      </c>
      <c r="BH676" s="51" t="str">
        <f aca="false">IF(AND(OR(CF676="L1",CF676="L23",CF676="LIFT"),BC676&gt;0),SUMIFS($BC$7:$BC$1843,$CF$7:$CF$1843,CF676,$BG$7:$BG$1843,"&gt;"&amp;BG676)+SUMIFS($BC$7:$BC$1843,$CF$7:$CF$1843,CF676,$BG$7:$BG$1843,BG676,$BW$7:$BW$1843,"&lt;="&amp;BW676),"")</f>
        <v/>
      </c>
      <c r="BI676" s="58" t="n">
        <f aca="false">IF(BH676="",0,MAX(0,MIN(1,(IF(CF676="L1",Parameter!$H$5,IF(CF676="L23",Parameter!$H$6+Parameter!$H$7,Parameter!$H$5+Parameter!$H$6+Parameter!$H$7))-(BH676-BC676))/BC676)))</f>
        <v>0</v>
      </c>
      <c r="BJ676" s="48" t="str">
        <f aca="false">IF(AI676&lt;=0,"",IF(CF676="Aussen","Aussenlager",IF(CF676="-","Nicht im Lift",IF(AO676&gt;=1,"Lift",IF(AO676&lt;=0,"Aussenlager","teilweise")))))</f>
        <v/>
      </c>
      <c r="BK676" s="48" t="str">
        <f aca="false">IF(AS676&lt;=0,"",IF(CF676="Aussen","Aussenlager",IF(CF676="-","Nicht im Lift",IF(AY676&gt;=1,"Lift",IF(AY676&lt;=0,"Aussenlager","teilweise")))))</f>
        <v>Nicht im Lift</v>
      </c>
      <c r="BL676" s="48" t="str">
        <f aca="false">IF(BC676&lt;=0,"",IF(CF676="Aussen","Aussenlager",IF(CF676="-","Nicht im Lift",IF(BI676&gt;=1,"Lift",IF(BI676&lt;=0,"Aussenlager","teilweise")))))</f>
        <v>Nicht im Lift</v>
      </c>
      <c r="BM676" s="48" t="str">
        <f aca="false">IF(A676="","",IF(BV676=1,"Neu; ","")&amp;IF(AND(BV676=0,BQ676&lt;0),"negativer Bestand (Export "&amp;BQ676&amp;"); ","")&amp;IF(J676&lt;=0,"Kein Verbrauch; ","")&amp;IF(CQ676&gt;0,"Lift "&amp;W676&amp;" lt. Liftbericht (Fach "&amp;X676&amp;" Stk); ",IF(CA676=1,"Gebinde geschätzt ("&amp;T676&amp;"); ",IF(BZ676=1,"Lose – Tablare geschätzt; ","")))&amp;IF(H676&gt;AV676,"Überbestand "&amp;ROUND(H676-AV676,0)&amp;" Stk / CHF "&amp;ROUND((H676-AV676)*G676,0)&amp;"; ","")&amp;IF(AND(CH676=1,CI676&lt;CJ676),"MAX &lt; MB+LG; ","")&amp;IF(AND(CP676&gt;0,CO676*10&gt;CP676),"zu hoch für Tablar; ","")&amp;IF(AND(BV676=0,OR(CH676=1,AA676&lt;&gt;"",U676&lt;&gt;"",V676&lt;&gt;"",AB676&lt;&gt;"")),"manuell übersteuert; ","")&amp;IF(AND(BZ676=0,R676=0),"Gebinde unbekannt / Stellmass fehlt; ","")&amp;IF(AND(BZ676=0,N(V676)&lt;=0,N(Q676)&lt;=0),"Menge pro Gebinde fehlt (Ist = 1 Gebinde); ","")&amp;BU676)</f>
        <v>Lose – Tablare geschätzt; </v>
      </c>
      <c r="BN676" s="48"/>
      <c r="BO676" s="48"/>
      <c r="BP676" s="55"/>
      <c r="BQ676" s="50" t="n">
        <v>0</v>
      </c>
      <c r="BR676" s="50" t="n">
        <v>0</v>
      </c>
      <c r="BS676" s="49" t="n">
        <v>0</v>
      </c>
      <c r="BT676" s="50" t="n">
        <v>4</v>
      </c>
      <c r="BU676" s="48"/>
      <c r="BV676" s="53" t="n">
        <v>0</v>
      </c>
      <c r="BW676" s="53" t="n">
        <v>676</v>
      </c>
      <c r="BX676" s="48" t="str">
        <f aca="false">IF(U676&lt;&gt;"",UPPER(TRIM(U676)),IF(CA676=1,UPPER(VLOOKUP(T676,Parameter!$I$27:$K$29,2,0)),IF(P676="","LOSE",P676)))</f>
        <v>LOSE</v>
      </c>
      <c r="BY676" s="50" t="n">
        <f aca="false">IF(BX676="LOSE",1,IF(N(V676)&gt;0,V676,IF(CA676=1,MAX(1,N(VLOOKUP(T676,Parameter!$I$27:$K$29,3,0)),H676,N(N676)),IF(N(Q676)&gt;0,Q676,MAX(1,H676)))))</f>
        <v>1</v>
      </c>
      <c r="BZ676" s="53" t="n">
        <f aca="false">IF(BX676="LOSE",1,0)</f>
        <v>1</v>
      </c>
      <c r="CA676" s="53" t="n">
        <f aca="false">IF(AND(U676="",OR(P676="",P676="LOSE"),T676&lt;&gt;"",N(S676)&lt;=0,ISNUMBER(MATCH(T676,Parameter!$I$27:$I$29,0))),1,0)</f>
        <v>0</v>
      </c>
      <c r="CB676" s="53" t="n">
        <f aca="false">IF(CQ676&gt;0,INDEX(Parameter!$H$5:$H$7,W676)/INDEX(Parameter!$E$5:$E$7,W676),IF(AND(BZ676=0,N(IFERROR(VLOOKUP(BX676,'Gebinde-Kategorie'!$A$5:$N$45,14,0),0))&gt;0),VLOOKUP(BX676,'Gebinde-Kategorie'!$A$5:$N$45,14,0)*10+Parameter!$M$23,Parameter!$M$24))</f>
        <v>235</v>
      </c>
      <c r="CC676" s="48" t="str">
        <f aca="false">IF(AND(Parameter!$B$19="Ja",E676&lt;&gt;"",ISNUMBER(MATCH(E676,Parameter!$I$35:$I$52,0))),VLOOKUP(E676,Parameter!$I$35:$J$52,2,0),IFERROR(VLOOKUP(D676,Parameter!$A$35:$C$64,2,0),"Nein"))</f>
        <v>Nein</v>
      </c>
      <c r="CD676" s="52" t="n">
        <f aca="false">IF(BZ676=0,0,IF(N(S676)&gt;0,S676,IFERROR(VLOOKUP(D676,Parameter!$A$35:$C$64,3,0)+0,0)))</f>
        <v>0.15</v>
      </c>
      <c r="CE676" s="48" t="str">
        <f aca="false">IF(AA676&lt;&gt;"",AA676,Z676)</f>
        <v>-</v>
      </c>
      <c r="CF676" s="48" t="str">
        <f aca="false">IF(OR(CE676=1,CE676=2,CE676=3),IF(Parameter!$E$27="Ja","LIFT",IF(CE676=1,"L1","L23")),IF(CE676="Aussen","Aussen","-"))</f>
        <v>-</v>
      </c>
      <c r="CG676" s="59" t="n">
        <f aca="false">IF(N(AB676)&gt;0,AB676,0)</f>
        <v>0</v>
      </c>
      <c r="CH676" s="53" t="n">
        <f aca="false">IF(ISNUMBER(AE676),1,0)</f>
        <v>0</v>
      </c>
      <c r="CI676" s="50" t="n">
        <f aca="false">N(AE676)</f>
        <v>0</v>
      </c>
      <c r="CJ676" s="50" t="n">
        <f aca="false">N(M676)+N(N676)</f>
        <v>1</v>
      </c>
      <c r="CK676" s="50" t="n">
        <f aca="false">N(M676)</f>
        <v>0</v>
      </c>
      <c r="CL676" s="50" t="n">
        <f aca="false">N(N676)</f>
        <v>1</v>
      </c>
      <c r="CM676" s="50" t="n">
        <f aca="false">ROUNDUP(H676/BY676,0)</f>
        <v>0</v>
      </c>
      <c r="CN676" s="50" t="n">
        <f aca="false">ROUNDUP(CI676/BY676,0)</f>
        <v>0</v>
      </c>
      <c r="CO676" s="53" t="n">
        <f aca="false">IF(BZ676=1,0,IFERROR(VLOOKUP(BX676,'Gebinde-Kategorie'!$A$5:$N$45,5,0)+0,0))</f>
        <v>0</v>
      </c>
      <c r="CP676" s="53" t="n">
        <f aca="false">IFERROR(IF(OR(CE676=1,CE676=2,CE676=3),N(INDEX(Parameter!$I$5:$I$7,CE676)),0),0)</f>
        <v>0</v>
      </c>
      <c r="CQ676" s="52" t="n">
        <f aca="false">IF(AND(Parameter!$B$21="Ja",ISNUMBER(W676),N(X676)&gt;0),IFERROR(N(INDEX(Parameter!$L$5:$L$7,W676))*INDEX(Parameter!$E$5:$E$7,W676)*X676/SUMIFS($X$7:$X$1843,$W$7:$W$1843,W676),0),0)</f>
        <v>0</v>
      </c>
    </row>
    <row r="677" customFormat="false" ht="15" hidden="false" customHeight="false" outlineLevel="0" collapsed="false">
      <c r="A677" s="48" t="s">
        <v>1367</v>
      </c>
      <c r="B677" s="48" t="s">
        <v>1368</v>
      </c>
      <c r="C677" s="48" t="s">
        <v>173</v>
      </c>
      <c r="D677" s="48" t="s">
        <v>1004</v>
      </c>
      <c r="E677" s="48"/>
      <c r="F677" s="48" t="s">
        <v>227</v>
      </c>
      <c r="G677" s="49" t="n">
        <v>12854.39</v>
      </c>
      <c r="H677" s="50" t="n">
        <f aca="false">MAX(0,IF(AND(Parameter!$B$21="Ja",ISNUMBER(Y677)),Y677,IF(Parameter!$B$20="Jahresanfang 2025 + Export",BR677+BQ677,BQ677)))</f>
        <v>0</v>
      </c>
      <c r="I677" s="50" t="n">
        <f aca="false">H677*G677</f>
        <v>0</v>
      </c>
      <c r="J677" s="50" t="n">
        <f aca="false">BT677*Parameter!$B$18</f>
        <v>4</v>
      </c>
      <c r="K677" s="51" t="n">
        <v>0</v>
      </c>
      <c r="L677" s="52" t="n">
        <v>0</v>
      </c>
      <c r="M677" s="50" t="n">
        <v>0</v>
      </c>
      <c r="N677" s="50" t="n">
        <v>1</v>
      </c>
      <c r="O677" s="53" t="n">
        <v>90</v>
      </c>
      <c r="P677" s="48" t="s">
        <v>177</v>
      </c>
      <c r="Q677" s="50"/>
      <c r="R677" s="53" t="n">
        <f aca="false">IF(BZ677=1,0,IFERROR(VLOOKUP(BX677,'Gebinde-Kategorie'!$A$5:$N$45,13,0)+0,0))</f>
        <v>0</v>
      </c>
      <c r="S677" s="54"/>
      <c r="T677" s="55"/>
      <c r="U677" s="55"/>
      <c r="V677" s="55"/>
      <c r="W677" s="48"/>
      <c r="X677" s="50"/>
      <c r="Y677" s="50"/>
      <c r="Z677" s="48" t="str">
        <f aca="false">IF(A677="","",IF(AND(Parameter!$B$21="Ja",ISNUMBER(W677)),W677,IF(CC677="2+3",IF(ISNUMBER(SEARCH("grosser Artikel",BU677)),2,IFERROR(VLOOKUP(BX677,Parameter!$F$35:$G$64,2,0),2)),IF(OR(CC677="Nein",CC677=""),"-",CC677))))</f>
        <v>-</v>
      </c>
      <c r="AA677" s="55"/>
      <c r="AB677" s="56"/>
      <c r="AC677" s="50" t="n">
        <f aca="false">AV677</f>
        <v>3</v>
      </c>
      <c r="AD677" s="50" t="n">
        <f aca="false">MAX(AV677,H677)</f>
        <v>3</v>
      </c>
      <c r="AE677" s="57"/>
      <c r="AF677" s="50" t="n">
        <f aca="false">IF(LEFT(Cockpit!$C$5,1)="A",H677,IF(Parameter!$E$30="MAX-Bestand",IF(CH677=1,CI677,IF(LEFT(Cockpit!$C$5,1)="B",AL677,MAX(AL677,H677))),ROUNDUP(AJ677,0)))</f>
        <v>0</v>
      </c>
      <c r="AG677" s="50" t="n">
        <f aca="false">IF(BZ677=1,0,ROUNDUP(AF677/BY677,0))</f>
        <v>0</v>
      </c>
      <c r="AH677" s="52" t="n">
        <f aca="false">IF(CQ677&gt;0,CQ677*MAX(1,AF677/X677),IF(BZ677=1,IF(AF677&lt;=0,0,CD677*MAX(1,IF(H677&gt;0,AF677/H677,1))),IF(R677&gt;0,AG677/R677,0))/MAX(0.1,N(Parameter!$M$21)))</f>
        <v>0</v>
      </c>
      <c r="AI677" s="50" t="n">
        <f aca="false">AH677*CB677</f>
        <v>0</v>
      </c>
      <c r="AJ677" s="51" t="n">
        <f aca="false">IF(LEFT(Cockpit!$C$5,1)="A",H677,IF(CH677=1,(CK677+CI677)/2,IF(LEFT(Cockpit!$C$5,1)="B",(CK677+AL677)/2,MAX((CK677+AL677)/2,H677))))</f>
        <v>0</v>
      </c>
      <c r="AK677" s="50" t="n">
        <f aca="false">AJ677*G677</f>
        <v>0</v>
      </c>
      <c r="AL677" s="50" t="n">
        <f aca="false">ROUNDUP(CK677+MAX(CL677,2*(J677/IF(CG677&gt;0,CG677,MAX(0.1,N(Cockpit!$C$6)))-CK677)),0)</f>
        <v>3</v>
      </c>
      <c r="AM677" s="51" t="n">
        <f aca="false">IF(AI677&gt;0,J677/AI677,-1)</f>
        <v>-1</v>
      </c>
      <c r="AN677" s="51" t="str">
        <f aca="false">IF(AND(OR(CF677="L1",CF677="L23",CF677="LIFT"),AI677&gt;0),SUMIFS($AI$7:$AI$1843,$CF$7:$CF$1843,CF677,$AM$7:$AM$1843,"&gt;"&amp;AM677)+SUMIFS($AI$7:$AI$1843,$CF$7:$CF$1843,CF677,$AM$7:$AM$1843,AM677,$BW$7:$BW$1843,"&lt;="&amp;BW677),"")</f>
        <v/>
      </c>
      <c r="AO677" s="58" t="n">
        <f aca="false">IF(AN677="",0,MAX(0,MIN(1,(IF(CF677="L1",Parameter!$H$5,IF(CF677="L23",Parameter!$H$6+Parameter!$H$7,Parameter!$H$5+Parameter!$H$6+Parameter!$H$7))-(AN677-AI677))/AI677)))</f>
        <v>0</v>
      </c>
      <c r="AP677" s="50" t="n">
        <f aca="false">IF(LEFT(Cockpit!$I$5,1)="A",H677,IF(Parameter!$E$30="MAX-Bestand",IF(CH677=1,CI677,IF(LEFT(Cockpit!$I$5,1)="B",AV677,MAX(AV677,H677))),ROUNDUP(AT677,0)))</f>
        <v>2</v>
      </c>
      <c r="AQ677" s="50" t="n">
        <f aca="false">IF(BZ677=1,0,ROUNDUP(AP677/BY677,0))</f>
        <v>0</v>
      </c>
      <c r="AR677" s="52" t="n">
        <f aca="false">IF(CQ677&gt;0,CQ677*MAX(1,AP677/X677),IF(BZ677=1,IF(AP677&lt;=0,0,CD677*MAX(1,IF(H677&gt;0,AP677/H677,1))),IF(R677&gt;0,AQ677/R677,0))/MAX(0.1,N(Parameter!$M$21)))</f>
        <v>0.15</v>
      </c>
      <c r="AS677" s="50" t="n">
        <f aca="false">AR677*CB677</f>
        <v>35.25</v>
      </c>
      <c r="AT677" s="51" t="n">
        <f aca="false">IF(LEFT(Cockpit!$I$5,1)="A",H677,IF(CH677=1,(CK677+CI677)/2,IF(LEFT(Cockpit!$I$5,1)="B",(CK677+AV677)/2,MAX((CK677+AV677)/2,H677))))</f>
        <v>1.5</v>
      </c>
      <c r="AU677" s="50" t="n">
        <f aca="false">AT677*G677</f>
        <v>19281.585</v>
      </c>
      <c r="AV677" s="50" t="n">
        <f aca="false">ROUNDUP(CK677+MAX(CL677,2*(J677/IF(CG677&gt;0,CG677,MAX(0.1,N(Cockpit!$I$6)))-CK677)),0)</f>
        <v>3</v>
      </c>
      <c r="AW677" s="51" t="n">
        <f aca="false">IF(AS677&gt;0,J677/AS677,-1)</f>
        <v>0.113475177304965</v>
      </c>
      <c r="AX677" s="51" t="str">
        <f aca="false">IF(AND(OR(CF677="L1",CF677="L23",CF677="LIFT"),AS677&gt;0),SUMIFS($AS$7:$AS$1843,$CF$7:$CF$1843,CF677,$AW$7:$AW$1843,"&gt;"&amp;AW677)+SUMIFS($AS$7:$AS$1843,$CF$7:$CF$1843,CF677,$AW$7:$AW$1843,AW677,$BW$7:$BW$1843,"&lt;="&amp;BW677),"")</f>
        <v/>
      </c>
      <c r="AY677" s="58" t="n">
        <f aca="false">IF(AX677="",0,MAX(0,MIN(1,(IF(CF677="L1",Parameter!$H$5,IF(CF677="L23",Parameter!$H$6+Parameter!$H$7,Parameter!$H$5+Parameter!$H$6+Parameter!$H$7))-(AX677-AS677))/AS677)))</f>
        <v>0</v>
      </c>
      <c r="AZ677" s="50" t="n">
        <f aca="false">IF(LEFT(Cockpit!$O$5,1)="A",H677,IF(Parameter!$E$30="MAX-Bestand",IF(CH677=1,CI677,IF(LEFT(Cockpit!$O$5,1)="B",BF677,MAX(BF677,H677))),ROUNDUP(BD677,0)))</f>
        <v>1</v>
      </c>
      <c r="BA677" s="50" t="n">
        <f aca="false">IF(BZ677=1,0,ROUNDUP(AZ677/BY677,0))</f>
        <v>0</v>
      </c>
      <c r="BB677" s="52" t="n">
        <f aca="false">IF(CQ677&gt;0,CQ677*MAX(1,AZ677/X677),IF(BZ677=1,IF(AZ677&lt;=0,0,CD677*MAX(1,IF(H677&gt;0,AZ677/H677,1))),IF(R677&gt;0,BA677/R677,0))/MAX(0.1,N(Parameter!$M$21)))</f>
        <v>0.15</v>
      </c>
      <c r="BC677" s="50" t="n">
        <f aca="false">BB677*CB677</f>
        <v>35.25</v>
      </c>
      <c r="BD677" s="51" t="n">
        <f aca="false">IF(LEFT(Cockpit!$O$5,1)="A",H677,IF(CH677=1,(CK677+CI677)/2,IF(LEFT(Cockpit!$O$5,1)="B",(CK677+BF677)/2,MAX((CK677+BF677)/2,H677))))</f>
        <v>1</v>
      </c>
      <c r="BE677" s="50" t="n">
        <f aca="false">BD677*G677</f>
        <v>12854.39</v>
      </c>
      <c r="BF677" s="50" t="n">
        <f aca="false">ROUNDUP(CK677+MAX(CL677,2*(J677/IF(CG677&gt;0,CG677,MAX(0.1,N(Cockpit!$O$6)))-CK677)),0)</f>
        <v>2</v>
      </c>
      <c r="BG677" s="51" t="n">
        <f aca="false">IF(BC677&gt;0,J677/BC677,-1)</f>
        <v>0.113475177304965</v>
      </c>
      <c r="BH677" s="51" t="str">
        <f aca="false">IF(AND(OR(CF677="L1",CF677="L23",CF677="LIFT"),BC677&gt;0),SUMIFS($BC$7:$BC$1843,$CF$7:$CF$1843,CF677,$BG$7:$BG$1843,"&gt;"&amp;BG677)+SUMIFS($BC$7:$BC$1843,$CF$7:$CF$1843,CF677,$BG$7:$BG$1843,BG677,$BW$7:$BW$1843,"&lt;="&amp;BW677),"")</f>
        <v/>
      </c>
      <c r="BI677" s="58" t="n">
        <f aca="false">IF(BH677="",0,MAX(0,MIN(1,(IF(CF677="L1",Parameter!$H$5,IF(CF677="L23",Parameter!$H$6+Parameter!$H$7,Parameter!$H$5+Parameter!$H$6+Parameter!$H$7))-(BH677-BC677))/BC677)))</f>
        <v>0</v>
      </c>
      <c r="BJ677" s="48" t="str">
        <f aca="false">IF(AI677&lt;=0,"",IF(CF677="Aussen","Aussenlager",IF(CF677="-","Nicht im Lift",IF(AO677&gt;=1,"Lift",IF(AO677&lt;=0,"Aussenlager","teilweise")))))</f>
        <v/>
      </c>
      <c r="BK677" s="48" t="str">
        <f aca="false">IF(AS677&lt;=0,"",IF(CF677="Aussen","Aussenlager",IF(CF677="-","Nicht im Lift",IF(AY677&gt;=1,"Lift",IF(AY677&lt;=0,"Aussenlager","teilweise")))))</f>
        <v>Nicht im Lift</v>
      </c>
      <c r="BL677" s="48" t="str">
        <f aca="false">IF(BC677&lt;=0,"",IF(CF677="Aussen","Aussenlager",IF(CF677="-","Nicht im Lift",IF(BI677&gt;=1,"Lift",IF(BI677&lt;=0,"Aussenlager","teilweise")))))</f>
        <v>Nicht im Lift</v>
      </c>
      <c r="BM677" s="48" t="str">
        <f aca="false">IF(A677="","",IF(BV677=1,"Neu; ","")&amp;IF(AND(BV677=0,BQ677&lt;0),"negativer Bestand (Export "&amp;BQ677&amp;"); ","")&amp;IF(J677&lt;=0,"Kein Verbrauch; ","")&amp;IF(CQ677&gt;0,"Lift "&amp;W677&amp;" lt. Liftbericht (Fach "&amp;X677&amp;" Stk); ",IF(CA677=1,"Gebinde geschätzt ("&amp;T677&amp;"); ",IF(BZ677=1,"Lose – Tablare geschätzt; ","")))&amp;IF(H677&gt;AV677,"Überbestand "&amp;ROUND(H677-AV677,0)&amp;" Stk / CHF "&amp;ROUND((H677-AV677)*G677,0)&amp;"; ","")&amp;IF(AND(CH677=1,CI677&lt;CJ677),"MAX &lt; MB+LG; ","")&amp;IF(AND(CP677&gt;0,CO677*10&gt;CP677),"zu hoch für Tablar; ","")&amp;IF(AND(BV677=0,OR(CH677=1,AA677&lt;&gt;"",U677&lt;&gt;"",V677&lt;&gt;"",AB677&lt;&gt;"")),"manuell übersteuert; ","")&amp;IF(AND(BZ677=0,R677=0),"Gebinde unbekannt / Stellmass fehlt; ","")&amp;IF(AND(BZ677=0,N(V677)&lt;=0,N(Q677)&lt;=0),"Menge pro Gebinde fehlt (Ist = 1 Gebinde); ","")&amp;BU677)</f>
        <v>Lose – Tablare geschätzt; </v>
      </c>
      <c r="BN677" s="48"/>
      <c r="BO677" s="48"/>
      <c r="BP677" s="55"/>
      <c r="BQ677" s="50" t="n">
        <v>0</v>
      </c>
      <c r="BR677" s="50" t="n">
        <v>0</v>
      </c>
      <c r="BS677" s="49" t="n">
        <v>0</v>
      </c>
      <c r="BT677" s="50" t="n">
        <v>4</v>
      </c>
      <c r="BU677" s="48"/>
      <c r="BV677" s="53" t="n">
        <v>0</v>
      </c>
      <c r="BW677" s="53" t="n">
        <v>677</v>
      </c>
      <c r="BX677" s="48" t="str">
        <f aca="false">IF(U677&lt;&gt;"",UPPER(TRIM(U677)),IF(CA677=1,UPPER(VLOOKUP(T677,Parameter!$I$27:$K$29,2,0)),IF(P677="","LOSE",P677)))</f>
        <v>LOSE</v>
      </c>
      <c r="BY677" s="50" t="n">
        <f aca="false">IF(BX677="LOSE",1,IF(N(V677)&gt;0,V677,IF(CA677=1,MAX(1,N(VLOOKUP(T677,Parameter!$I$27:$K$29,3,0)),H677,N(N677)),IF(N(Q677)&gt;0,Q677,MAX(1,H677)))))</f>
        <v>1</v>
      </c>
      <c r="BZ677" s="53" t="n">
        <f aca="false">IF(BX677="LOSE",1,0)</f>
        <v>1</v>
      </c>
      <c r="CA677" s="53" t="n">
        <f aca="false">IF(AND(U677="",OR(P677="",P677="LOSE"),T677&lt;&gt;"",N(S677)&lt;=0,ISNUMBER(MATCH(T677,Parameter!$I$27:$I$29,0))),1,0)</f>
        <v>0</v>
      </c>
      <c r="CB677" s="53" t="n">
        <f aca="false">IF(CQ677&gt;0,INDEX(Parameter!$H$5:$H$7,W677)/INDEX(Parameter!$E$5:$E$7,W677),IF(AND(BZ677=0,N(IFERROR(VLOOKUP(BX677,'Gebinde-Kategorie'!$A$5:$N$45,14,0),0))&gt;0),VLOOKUP(BX677,'Gebinde-Kategorie'!$A$5:$N$45,14,0)*10+Parameter!$M$23,Parameter!$M$24))</f>
        <v>235</v>
      </c>
      <c r="CC677" s="48" t="str">
        <f aca="false">IF(AND(Parameter!$B$19="Ja",E677&lt;&gt;"",ISNUMBER(MATCH(E677,Parameter!$I$35:$I$52,0))),VLOOKUP(E677,Parameter!$I$35:$J$52,2,0),IFERROR(VLOOKUP(D677,Parameter!$A$35:$C$64,2,0),"Nein"))</f>
        <v>Nein</v>
      </c>
      <c r="CD677" s="52" t="n">
        <f aca="false">IF(BZ677=0,0,IF(N(S677)&gt;0,S677,IFERROR(VLOOKUP(D677,Parameter!$A$35:$C$64,3,0)+0,0)))</f>
        <v>0.15</v>
      </c>
      <c r="CE677" s="48" t="str">
        <f aca="false">IF(AA677&lt;&gt;"",AA677,Z677)</f>
        <v>-</v>
      </c>
      <c r="CF677" s="48" t="str">
        <f aca="false">IF(OR(CE677=1,CE677=2,CE677=3),IF(Parameter!$E$27="Ja","LIFT",IF(CE677=1,"L1","L23")),IF(CE677="Aussen","Aussen","-"))</f>
        <v>-</v>
      </c>
      <c r="CG677" s="59" t="n">
        <f aca="false">IF(N(AB677)&gt;0,AB677,0)</f>
        <v>0</v>
      </c>
      <c r="CH677" s="53" t="n">
        <f aca="false">IF(ISNUMBER(AE677),1,0)</f>
        <v>0</v>
      </c>
      <c r="CI677" s="50" t="n">
        <f aca="false">N(AE677)</f>
        <v>0</v>
      </c>
      <c r="CJ677" s="50" t="n">
        <f aca="false">N(M677)+N(N677)</f>
        <v>1</v>
      </c>
      <c r="CK677" s="50" t="n">
        <f aca="false">N(M677)</f>
        <v>0</v>
      </c>
      <c r="CL677" s="50" t="n">
        <f aca="false">N(N677)</f>
        <v>1</v>
      </c>
      <c r="CM677" s="50" t="n">
        <f aca="false">ROUNDUP(H677/BY677,0)</f>
        <v>0</v>
      </c>
      <c r="CN677" s="50" t="n">
        <f aca="false">ROUNDUP(CI677/BY677,0)</f>
        <v>0</v>
      </c>
      <c r="CO677" s="53" t="n">
        <f aca="false">IF(BZ677=1,0,IFERROR(VLOOKUP(BX677,'Gebinde-Kategorie'!$A$5:$N$45,5,0)+0,0))</f>
        <v>0</v>
      </c>
      <c r="CP677" s="53" t="n">
        <f aca="false">IFERROR(IF(OR(CE677=1,CE677=2,CE677=3),N(INDEX(Parameter!$I$5:$I$7,CE677)),0),0)</f>
        <v>0</v>
      </c>
      <c r="CQ677" s="52" t="n">
        <f aca="false">IF(AND(Parameter!$B$21="Ja",ISNUMBER(W677),N(X677)&gt;0),IFERROR(N(INDEX(Parameter!$L$5:$L$7,W677))*INDEX(Parameter!$E$5:$E$7,W677)*X677/SUMIFS($X$7:$X$1843,$W$7:$W$1843,W677),0),0)</f>
        <v>0</v>
      </c>
    </row>
    <row r="678" customFormat="false" ht="15" hidden="false" customHeight="false" outlineLevel="0" collapsed="false">
      <c r="A678" s="48" t="s">
        <v>1369</v>
      </c>
      <c r="B678" s="48" t="s">
        <v>205</v>
      </c>
      <c r="C678" s="48" t="s">
        <v>173</v>
      </c>
      <c r="D678" s="48" t="s">
        <v>182</v>
      </c>
      <c r="E678" s="48"/>
      <c r="F678" s="48" t="s">
        <v>227</v>
      </c>
      <c r="G678" s="49" t="n">
        <v>5018.88</v>
      </c>
      <c r="H678" s="50" t="n">
        <f aca="false">MAX(0,IF(AND(Parameter!$B$21="Ja",ISNUMBER(Y678)),Y678,IF(Parameter!$B$20="Jahresanfang 2025 + Export",BR678+BQ678,BQ678)))</f>
        <v>0</v>
      </c>
      <c r="I678" s="50" t="n">
        <f aca="false">H678*G678</f>
        <v>0</v>
      </c>
      <c r="J678" s="50" t="n">
        <f aca="false">BT678*Parameter!$B$18</f>
        <v>1</v>
      </c>
      <c r="K678" s="51" t="n">
        <v>0</v>
      </c>
      <c r="L678" s="52" t="n">
        <v>0</v>
      </c>
      <c r="M678" s="50" t="n">
        <v>0</v>
      </c>
      <c r="N678" s="50" t="n">
        <v>1</v>
      </c>
      <c r="O678" s="53" t="n">
        <v>115</v>
      </c>
      <c r="P678" s="48" t="s">
        <v>177</v>
      </c>
      <c r="Q678" s="50"/>
      <c r="R678" s="53" t="n">
        <f aca="false">IF(BZ678=1,0,IFERROR(VLOOKUP(BX678,'Gebinde-Kategorie'!$A$5:$N$45,13,0)+0,0))</f>
        <v>12</v>
      </c>
      <c r="S678" s="54"/>
      <c r="T678" s="55" t="s">
        <v>188</v>
      </c>
      <c r="U678" s="55"/>
      <c r="V678" s="55"/>
      <c r="W678" s="48"/>
      <c r="X678" s="50"/>
      <c r="Y678" s="50"/>
      <c r="Z678" s="48" t="n">
        <f aca="false">IF(A678="","",IF(AND(Parameter!$B$21="Ja",ISNUMBER(W678)),W678,IF(CC678="2+3",IF(ISNUMBER(SEARCH("grosser Artikel",BU678)),2,IFERROR(VLOOKUP(BX678,Parameter!$F$35:$G$64,2,0),2)),IF(OR(CC678="Nein",CC678=""),"-",CC678))))</f>
        <v>2</v>
      </c>
      <c r="AA678" s="55"/>
      <c r="AB678" s="56"/>
      <c r="AC678" s="50" t="n">
        <f aca="false">AV678</f>
        <v>1</v>
      </c>
      <c r="AD678" s="50" t="n">
        <f aca="false">MAX(AV678,H678)</f>
        <v>1</v>
      </c>
      <c r="AE678" s="57"/>
      <c r="AF678" s="50" t="n">
        <f aca="false">IF(LEFT(Cockpit!$C$5,1)="A",H678,IF(Parameter!$E$30="MAX-Bestand",IF(CH678=1,CI678,IF(LEFT(Cockpit!$C$5,1)="B",AL678,MAX(AL678,H678))),ROUNDUP(AJ678,0)))</f>
        <v>0</v>
      </c>
      <c r="AG678" s="50" t="n">
        <f aca="false">IF(BZ678=1,0,ROUNDUP(AF678/BY678,0))</f>
        <v>0</v>
      </c>
      <c r="AH678" s="52" t="n">
        <f aca="false">IF(CQ678&gt;0,CQ678*MAX(1,AF678/X678),IF(BZ678=1,IF(AF678&lt;=0,0,CD678*MAX(1,IF(H678&gt;0,AF678/H678,1))),IF(R678&gt;0,AG678/R678,0))/MAX(0.1,N(Parameter!$M$21)))</f>
        <v>0</v>
      </c>
      <c r="AI678" s="50" t="n">
        <f aca="false">AH678*CB678</f>
        <v>0</v>
      </c>
      <c r="AJ678" s="51" t="n">
        <f aca="false">IF(LEFT(Cockpit!$C$5,1)="A",H678,IF(CH678=1,(CK678+CI678)/2,IF(LEFT(Cockpit!$C$5,1)="B",(CK678+AL678)/2,MAX((CK678+AL678)/2,H678))))</f>
        <v>0</v>
      </c>
      <c r="AK678" s="50" t="n">
        <f aca="false">AJ678*G678</f>
        <v>0</v>
      </c>
      <c r="AL678" s="50" t="n">
        <f aca="false">ROUNDUP(CK678+MAX(CL678,2*(J678/IF(CG678&gt;0,CG678,MAX(0.1,N(Cockpit!$C$6)))-CK678)),0)</f>
        <v>1</v>
      </c>
      <c r="AM678" s="51" t="n">
        <f aca="false">IF(AI678&gt;0,J678/AI678,-1)</f>
        <v>-1</v>
      </c>
      <c r="AN678" s="51" t="str">
        <f aca="false">IF(AND(OR(CF678="L1",CF678="L23",CF678="LIFT"),AI678&gt;0),SUMIFS($AI$7:$AI$1843,$CF$7:$CF$1843,CF678,$AM$7:$AM$1843,"&gt;"&amp;AM678)+SUMIFS($AI$7:$AI$1843,$CF$7:$CF$1843,CF678,$AM$7:$AM$1843,AM678,$BW$7:$BW$1843,"&lt;="&amp;BW678),"")</f>
        <v/>
      </c>
      <c r="AO678" s="58" t="n">
        <f aca="false">IF(AN678="",0,MAX(0,MIN(1,(IF(CF678="L1",Parameter!$H$5,IF(CF678="L23",Parameter!$H$6+Parameter!$H$7,Parameter!$H$5+Parameter!$H$6+Parameter!$H$7))-(AN678-AI678))/AI678)))</f>
        <v>0</v>
      </c>
      <c r="AP678" s="50" t="n">
        <f aca="false">IF(LEFT(Cockpit!$I$5,1)="A",H678,IF(Parameter!$E$30="MAX-Bestand",IF(CH678=1,CI678,IF(LEFT(Cockpit!$I$5,1)="B",AV678,MAX(AV678,H678))),ROUNDUP(AT678,0)))</f>
        <v>1</v>
      </c>
      <c r="AQ678" s="50" t="n">
        <f aca="false">IF(BZ678=1,0,ROUNDUP(AP678/BY678,0))</f>
        <v>1</v>
      </c>
      <c r="AR678" s="52" t="n">
        <f aca="false">IF(CQ678&gt;0,CQ678*MAX(1,AP678/X678),IF(BZ678=1,IF(AP678&lt;=0,0,CD678*MAX(1,IF(H678&gt;0,AP678/H678,1))),IF(R678&gt;0,AQ678/R678,0))/MAX(0.1,N(Parameter!$M$21)))</f>
        <v>0.0833333333333333</v>
      </c>
      <c r="AS678" s="50" t="n">
        <f aca="false">AR678*CB678</f>
        <v>12.0833333333333</v>
      </c>
      <c r="AT678" s="51" t="n">
        <f aca="false">IF(LEFT(Cockpit!$I$5,1)="A",H678,IF(CH678=1,(CK678+CI678)/2,IF(LEFT(Cockpit!$I$5,1)="B",(CK678+AV678)/2,MAX((CK678+AV678)/2,H678))))</f>
        <v>0.5</v>
      </c>
      <c r="AU678" s="50" t="n">
        <f aca="false">AT678*G678</f>
        <v>2509.44</v>
      </c>
      <c r="AV678" s="50" t="n">
        <f aca="false">ROUNDUP(CK678+MAX(CL678,2*(J678/IF(CG678&gt;0,CG678,MAX(0.1,N(Cockpit!$I$6)))-CK678)),0)</f>
        <v>1</v>
      </c>
      <c r="AW678" s="51" t="n">
        <f aca="false">IF(AS678&gt;0,J678/AS678,-1)</f>
        <v>0.0827586206896552</v>
      </c>
      <c r="AX678" s="51" t="n">
        <f aca="false">IF(AND(OR(CF678="L1",CF678="L23",CF678="LIFT"),AS678&gt;0),SUMIFS($AS$7:$AS$1843,$CF$7:$CF$1843,CF678,$AW$7:$AW$1843,"&gt;"&amp;AW678)+SUMIFS($AS$7:$AS$1843,$CF$7:$CF$1843,CF678,$AW$7:$AW$1843,AW678,$BW$7:$BW$1843,"&lt;="&amp;BW678),"")</f>
        <v>21760.9227070011</v>
      </c>
      <c r="AY678" s="58" t="n">
        <f aca="false">IF(AX678="",0,MAX(0,MIN(1,(IF(CF678="L1",Parameter!$H$5,IF(CF678="L23",Parameter!$H$6+Parameter!$H$7,Parameter!$H$5+Parameter!$H$6+Parameter!$H$7))-(AX678-AS678))/AS678)))</f>
        <v>1</v>
      </c>
      <c r="AZ678" s="50" t="n">
        <f aca="false">IF(LEFT(Cockpit!$O$5,1)="A",H678,IF(Parameter!$E$30="MAX-Bestand",IF(CH678=1,CI678,IF(LEFT(Cockpit!$O$5,1)="B",BF678,MAX(BF678,H678))),ROUNDUP(BD678,0)))</f>
        <v>1</v>
      </c>
      <c r="BA678" s="50" t="n">
        <f aca="false">IF(BZ678=1,0,ROUNDUP(AZ678/BY678,0))</f>
        <v>1</v>
      </c>
      <c r="BB678" s="52" t="n">
        <f aca="false">IF(CQ678&gt;0,CQ678*MAX(1,AZ678/X678),IF(BZ678=1,IF(AZ678&lt;=0,0,CD678*MAX(1,IF(H678&gt;0,AZ678/H678,1))),IF(R678&gt;0,BA678/R678,0))/MAX(0.1,N(Parameter!$M$21)))</f>
        <v>0.0833333333333333</v>
      </c>
      <c r="BC678" s="50" t="n">
        <f aca="false">BB678*CB678</f>
        <v>12.0833333333333</v>
      </c>
      <c r="BD678" s="51" t="n">
        <f aca="false">IF(LEFT(Cockpit!$O$5,1)="A",H678,IF(CH678=1,(CK678+CI678)/2,IF(LEFT(Cockpit!$O$5,1)="B",(CK678+BF678)/2,MAX((CK678+BF678)/2,H678))))</f>
        <v>0.5</v>
      </c>
      <c r="BE678" s="50" t="n">
        <f aca="false">BD678*G678</f>
        <v>2509.44</v>
      </c>
      <c r="BF678" s="50" t="n">
        <f aca="false">ROUNDUP(CK678+MAX(CL678,2*(J678/IF(CG678&gt;0,CG678,MAX(0.1,N(Cockpit!$O$6)))-CK678)),0)</f>
        <v>1</v>
      </c>
      <c r="BG678" s="51" t="n">
        <f aca="false">IF(BC678&gt;0,J678/BC678,-1)</f>
        <v>0.0827586206896552</v>
      </c>
      <c r="BH678" s="51" t="n">
        <f aca="false">IF(AND(OR(CF678="L1",CF678="L23",CF678="LIFT"),BC678&gt;0),SUMIFS($BC$7:$BC$1843,$CF$7:$CF$1843,CF678,$BG$7:$BG$1843,"&gt;"&amp;BG678)+SUMIFS($BC$7:$BC$1843,$CF$7:$CF$1843,CF678,$BG$7:$BG$1843,BG678,$BW$7:$BW$1843,"&lt;="&amp;BW678),"")</f>
        <v>18298.9789092734</v>
      </c>
      <c r="BI678" s="58" t="n">
        <f aca="false">IF(BH678="",0,MAX(0,MIN(1,(IF(CF678="L1",Parameter!$H$5,IF(CF678="L23",Parameter!$H$6+Parameter!$H$7,Parameter!$H$5+Parameter!$H$6+Parameter!$H$7))-(BH678-BC678))/BC678)))</f>
        <v>1</v>
      </c>
      <c r="BJ678" s="48" t="str">
        <f aca="false">IF(AI678&lt;=0,"",IF(CF678="Aussen","Aussenlager",IF(CF678="-","Nicht im Lift",IF(AO678&gt;=1,"Lift",IF(AO678&lt;=0,"Aussenlager","teilweise")))))</f>
        <v/>
      </c>
      <c r="BK678" s="48" t="str">
        <f aca="false">IF(AS678&lt;=0,"",IF(CF678="Aussen","Aussenlager",IF(CF678="-","Nicht im Lift",IF(AY678&gt;=1,"Lift",IF(AY678&lt;=0,"Aussenlager","teilweise")))))</f>
        <v>Lift</v>
      </c>
      <c r="BL678" s="48" t="str">
        <f aca="false">IF(BC678&lt;=0,"",IF(CF678="Aussen","Aussenlager",IF(CF678="-","Nicht im Lift",IF(BI678&gt;=1,"Lift",IF(BI678&lt;=0,"Aussenlager","teilweise")))))</f>
        <v>Lift</v>
      </c>
      <c r="BM678" s="48" t="str">
        <f aca="false">IF(A678="","",IF(BV678=1,"Neu; ","")&amp;IF(AND(BV678=0,BQ678&lt;0),"negativer Bestand (Export "&amp;BQ678&amp;"); ","")&amp;IF(J678&lt;=0,"Kein Verbrauch; ","")&amp;IF(CQ678&gt;0,"Lift "&amp;W678&amp;" lt. Liftbericht (Fach "&amp;X678&amp;" Stk); ",IF(CA678=1,"Gebinde geschätzt ("&amp;T678&amp;"); ",IF(BZ678=1,"Lose – Tablare geschätzt; ","")))&amp;IF(H678&gt;AV678,"Überbestand "&amp;ROUND(H678-AV678,0)&amp;" Stk / CHF "&amp;ROUND((H678-AV678)*G678,0)&amp;"; ","")&amp;IF(AND(CH678=1,CI678&lt;CJ678),"MAX &lt; MB+LG; ","")&amp;IF(AND(CP678&gt;0,CO678*10&gt;CP678),"zu hoch für Tablar; ","")&amp;IF(AND(BV678=0,OR(CH678=1,AA678&lt;&gt;"",U678&lt;&gt;"",V678&lt;&gt;"",AB678&lt;&gt;"")),"manuell übersteuert; ","")&amp;IF(AND(BZ678=0,R678=0),"Gebinde unbekannt / Stellmass fehlt; ","")&amp;IF(AND(BZ678=0,N(V678)&lt;=0,N(Q678)&lt;=0),"Menge pro Gebinde fehlt (Ist = 1 Gebinde); ","")&amp;BU678)</f>
        <v>Gebinde geschätzt (Mittel); Menge pro Gebinde fehlt (Ist = 1 Gebinde); </v>
      </c>
      <c r="BN678" s="48"/>
      <c r="BO678" s="48"/>
      <c r="BP678" s="55"/>
      <c r="BQ678" s="50" t="n">
        <v>0</v>
      </c>
      <c r="BR678" s="50" t="n">
        <v>0</v>
      </c>
      <c r="BS678" s="49" t="n">
        <v>0</v>
      </c>
      <c r="BT678" s="50" t="n">
        <v>1</v>
      </c>
      <c r="BU678" s="48"/>
      <c r="BV678" s="53" t="n">
        <v>0</v>
      </c>
      <c r="BW678" s="53" t="n">
        <v>678</v>
      </c>
      <c r="BX678" s="48" t="str">
        <f aca="false">IF(U678&lt;&gt;"",UPPER(TRIM(U678)),IF(CA678=1,UPPER(VLOOKUP(T678,Parameter!$I$27:$K$29,2,0)),IF(P678="","LOSE",P678)))</f>
        <v>S61</v>
      </c>
      <c r="BY678" s="50" t="n">
        <f aca="false">IF(BX678="LOSE",1,IF(N(V678)&gt;0,V678,IF(CA678=1,MAX(1,N(VLOOKUP(T678,Parameter!$I$27:$K$29,3,0)),H678,N(N678)),IF(N(Q678)&gt;0,Q678,MAX(1,H678)))))</f>
        <v>4</v>
      </c>
      <c r="BZ678" s="53" t="n">
        <f aca="false">IF(BX678="LOSE",1,0)</f>
        <v>0</v>
      </c>
      <c r="CA678" s="53" t="n">
        <f aca="false">IF(AND(U678="",OR(P678="",P678="LOSE"),T678&lt;&gt;"",N(S678)&lt;=0,ISNUMBER(MATCH(T678,Parameter!$I$27:$I$29,0))),1,0)</f>
        <v>1</v>
      </c>
      <c r="CB678" s="53" t="n">
        <f aca="false">IF(CQ678&gt;0,INDEX(Parameter!$H$5:$H$7,W678)/INDEX(Parameter!$E$5:$E$7,W678),IF(AND(BZ678=0,N(IFERROR(VLOOKUP(BX678,'Gebinde-Kategorie'!$A$5:$N$45,14,0),0))&gt;0),VLOOKUP(BX678,'Gebinde-Kategorie'!$A$5:$N$45,14,0)*10+Parameter!$M$23,Parameter!$M$24))</f>
        <v>145</v>
      </c>
      <c r="CC678" s="48" t="str">
        <f aca="false">IF(AND(Parameter!$B$19="Ja",E678&lt;&gt;"",ISNUMBER(MATCH(E678,Parameter!$I$35:$I$52,0))),VLOOKUP(E678,Parameter!$I$35:$J$52,2,0),IFERROR(VLOOKUP(D678,Parameter!$A$35:$C$64,2,0),"Nein"))</f>
        <v>2+3</v>
      </c>
      <c r="CD678" s="52" t="n">
        <f aca="false">IF(BZ678=0,0,IF(N(S678)&gt;0,S678,IFERROR(VLOOKUP(D678,Parameter!$A$35:$C$64,3,0)+0,0)))</f>
        <v>0</v>
      </c>
      <c r="CE678" s="48" t="n">
        <f aca="false">IF(AA678&lt;&gt;"",AA678,Z678)</f>
        <v>2</v>
      </c>
      <c r="CF678" s="48" t="str">
        <f aca="false">IF(OR(CE678=1,CE678=2,CE678=3),IF(Parameter!$E$27="Ja","LIFT",IF(CE678=1,"L1","L23")),IF(CE678="Aussen","Aussen","-"))</f>
        <v>LIFT</v>
      </c>
      <c r="CG678" s="59" t="n">
        <f aca="false">IF(N(AB678)&gt;0,AB678,0)</f>
        <v>0</v>
      </c>
      <c r="CH678" s="53" t="n">
        <f aca="false">IF(ISNUMBER(AE678),1,0)</f>
        <v>0</v>
      </c>
      <c r="CI678" s="50" t="n">
        <f aca="false">N(AE678)</f>
        <v>0</v>
      </c>
      <c r="CJ678" s="50" t="n">
        <f aca="false">N(M678)+N(N678)</f>
        <v>1</v>
      </c>
      <c r="CK678" s="50" t="n">
        <f aca="false">N(M678)</f>
        <v>0</v>
      </c>
      <c r="CL678" s="50" t="n">
        <f aca="false">N(N678)</f>
        <v>1</v>
      </c>
      <c r="CM678" s="50" t="n">
        <f aca="false">ROUNDUP(H678/BY678,0)</f>
        <v>0</v>
      </c>
      <c r="CN678" s="50" t="n">
        <f aca="false">ROUNDUP(CI678/BY678,0)</f>
        <v>0</v>
      </c>
      <c r="CO678" s="53" t="n">
        <f aca="false">IF(BZ678=1,0,IFERROR(VLOOKUP(BX678,'Gebinde-Kategorie'!$A$5:$N$45,5,0)+0,0))</f>
        <v>11</v>
      </c>
      <c r="CP678" s="53" t="n">
        <f aca="false">IFERROR(IF(OR(CE678=1,CE678=2,CE678=3),N(INDEX(Parameter!$I$5:$I$7,CE678)),0),0)</f>
        <v>0</v>
      </c>
      <c r="CQ678" s="52" t="n">
        <f aca="false">IF(AND(Parameter!$B$21="Ja",ISNUMBER(W678),N(X678)&gt;0),IFERROR(N(INDEX(Parameter!$L$5:$L$7,W678))*INDEX(Parameter!$E$5:$E$7,W678)*X678/SUMIFS($X$7:$X$1843,$W$7:$W$1843,W678),0),0)</f>
        <v>0</v>
      </c>
    </row>
    <row r="679" customFormat="false" ht="15" hidden="false" customHeight="false" outlineLevel="0" collapsed="false">
      <c r="A679" s="48" t="s">
        <v>1370</v>
      </c>
      <c r="B679" s="48" t="s">
        <v>1371</v>
      </c>
      <c r="C679" s="48" t="s">
        <v>173</v>
      </c>
      <c r="D679" s="48" t="s">
        <v>1004</v>
      </c>
      <c r="E679" s="48"/>
      <c r="F679" s="48" t="s">
        <v>227</v>
      </c>
      <c r="G679" s="49" t="n">
        <v>3620.46</v>
      </c>
      <c r="H679" s="50" t="n">
        <f aca="false">MAX(0,IF(AND(Parameter!$B$21="Ja",ISNUMBER(Y679)),Y679,IF(Parameter!$B$20="Jahresanfang 2025 + Export",BR679+BQ679,BQ679)))</f>
        <v>0</v>
      </c>
      <c r="I679" s="50" t="n">
        <f aca="false">H679*G679</f>
        <v>0</v>
      </c>
      <c r="J679" s="50" t="n">
        <f aca="false">BT679*Parameter!$B$18</f>
        <v>1</v>
      </c>
      <c r="K679" s="51" t="n">
        <v>0</v>
      </c>
      <c r="L679" s="52" t="n">
        <v>0</v>
      </c>
      <c r="M679" s="50" t="n">
        <v>0</v>
      </c>
      <c r="N679" s="50" t="n">
        <v>1</v>
      </c>
      <c r="O679" s="53" t="n">
        <v>70</v>
      </c>
      <c r="P679" s="48" t="s">
        <v>177</v>
      </c>
      <c r="Q679" s="50"/>
      <c r="R679" s="53" t="n">
        <f aca="false">IF(BZ679=1,0,IFERROR(VLOOKUP(BX679,'Gebinde-Kategorie'!$A$5:$N$45,13,0)+0,0))</f>
        <v>0</v>
      </c>
      <c r="S679" s="54"/>
      <c r="T679" s="55"/>
      <c r="U679" s="55"/>
      <c r="V679" s="55"/>
      <c r="W679" s="48"/>
      <c r="X679" s="50"/>
      <c r="Y679" s="50"/>
      <c r="Z679" s="48" t="str">
        <f aca="false">IF(A679="","",IF(AND(Parameter!$B$21="Ja",ISNUMBER(W679)),W679,IF(CC679="2+3",IF(ISNUMBER(SEARCH("grosser Artikel",BU679)),2,IFERROR(VLOOKUP(BX679,Parameter!$F$35:$G$64,2,0),2)),IF(OR(CC679="Nein",CC679=""),"-",CC679))))</f>
        <v>-</v>
      </c>
      <c r="AA679" s="55"/>
      <c r="AB679" s="56"/>
      <c r="AC679" s="50" t="n">
        <f aca="false">AV679</f>
        <v>1</v>
      </c>
      <c r="AD679" s="50" t="n">
        <f aca="false">MAX(AV679,H679)</f>
        <v>1</v>
      </c>
      <c r="AE679" s="57"/>
      <c r="AF679" s="50" t="n">
        <f aca="false">IF(LEFT(Cockpit!$C$5,1)="A",H679,IF(Parameter!$E$30="MAX-Bestand",IF(CH679=1,CI679,IF(LEFT(Cockpit!$C$5,1)="B",AL679,MAX(AL679,H679))),ROUNDUP(AJ679,0)))</f>
        <v>0</v>
      </c>
      <c r="AG679" s="50" t="n">
        <f aca="false">IF(BZ679=1,0,ROUNDUP(AF679/BY679,0))</f>
        <v>0</v>
      </c>
      <c r="AH679" s="52" t="n">
        <f aca="false">IF(CQ679&gt;0,CQ679*MAX(1,AF679/X679),IF(BZ679=1,IF(AF679&lt;=0,0,CD679*MAX(1,IF(H679&gt;0,AF679/H679,1))),IF(R679&gt;0,AG679/R679,0))/MAX(0.1,N(Parameter!$M$21)))</f>
        <v>0</v>
      </c>
      <c r="AI679" s="50" t="n">
        <f aca="false">AH679*CB679</f>
        <v>0</v>
      </c>
      <c r="AJ679" s="51" t="n">
        <f aca="false">IF(LEFT(Cockpit!$C$5,1)="A",H679,IF(CH679=1,(CK679+CI679)/2,IF(LEFT(Cockpit!$C$5,1)="B",(CK679+AL679)/2,MAX((CK679+AL679)/2,H679))))</f>
        <v>0</v>
      </c>
      <c r="AK679" s="50" t="n">
        <f aca="false">AJ679*G679</f>
        <v>0</v>
      </c>
      <c r="AL679" s="50" t="n">
        <f aca="false">ROUNDUP(CK679+MAX(CL679,2*(J679/IF(CG679&gt;0,CG679,MAX(0.1,N(Cockpit!$C$6)))-CK679)),0)</f>
        <v>1</v>
      </c>
      <c r="AM679" s="51" t="n">
        <f aca="false">IF(AI679&gt;0,J679/AI679,-1)</f>
        <v>-1</v>
      </c>
      <c r="AN679" s="51" t="str">
        <f aca="false">IF(AND(OR(CF679="L1",CF679="L23",CF679="LIFT"),AI679&gt;0),SUMIFS($AI$7:$AI$1843,$CF$7:$CF$1843,CF679,$AM$7:$AM$1843,"&gt;"&amp;AM679)+SUMIFS($AI$7:$AI$1843,$CF$7:$CF$1843,CF679,$AM$7:$AM$1843,AM679,$BW$7:$BW$1843,"&lt;="&amp;BW679),"")</f>
        <v/>
      </c>
      <c r="AO679" s="58" t="n">
        <f aca="false">IF(AN679="",0,MAX(0,MIN(1,(IF(CF679="L1",Parameter!$H$5,IF(CF679="L23",Parameter!$H$6+Parameter!$H$7,Parameter!$H$5+Parameter!$H$6+Parameter!$H$7))-(AN679-AI679))/AI679)))</f>
        <v>0</v>
      </c>
      <c r="AP679" s="50" t="n">
        <f aca="false">IF(LEFT(Cockpit!$I$5,1)="A",H679,IF(Parameter!$E$30="MAX-Bestand",IF(CH679=1,CI679,IF(LEFT(Cockpit!$I$5,1)="B",AV679,MAX(AV679,H679))),ROUNDUP(AT679,0)))</f>
        <v>1</v>
      </c>
      <c r="AQ679" s="50" t="n">
        <f aca="false">IF(BZ679=1,0,ROUNDUP(AP679/BY679,0))</f>
        <v>0</v>
      </c>
      <c r="AR679" s="52" t="n">
        <f aca="false">IF(CQ679&gt;0,CQ679*MAX(1,AP679/X679),IF(BZ679=1,IF(AP679&lt;=0,0,CD679*MAX(1,IF(H679&gt;0,AP679/H679,1))),IF(R679&gt;0,AQ679/R679,0))/MAX(0.1,N(Parameter!$M$21)))</f>
        <v>0.15</v>
      </c>
      <c r="AS679" s="50" t="n">
        <f aca="false">AR679*CB679</f>
        <v>35.25</v>
      </c>
      <c r="AT679" s="51" t="n">
        <f aca="false">IF(LEFT(Cockpit!$I$5,1)="A",H679,IF(CH679=1,(CK679+CI679)/2,IF(LEFT(Cockpit!$I$5,1)="B",(CK679+AV679)/2,MAX((CK679+AV679)/2,H679))))</f>
        <v>0.5</v>
      </c>
      <c r="AU679" s="50" t="n">
        <f aca="false">AT679*G679</f>
        <v>1810.23</v>
      </c>
      <c r="AV679" s="50" t="n">
        <f aca="false">ROUNDUP(CK679+MAX(CL679,2*(J679/IF(CG679&gt;0,CG679,MAX(0.1,N(Cockpit!$I$6)))-CK679)),0)</f>
        <v>1</v>
      </c>
      <c r="AW679" s="51" t="n">
        <f aca="false">IF(AS679&gt;0,J679/AS679,-1)</f>
        <v>0.0283687943262411</v>
      </c>
      <c r="AX679" s="51" t="str">
        <f aca="false">IF(AND(OR(CF679="L1",CF679="L23",CF679="LIFT"),AS679&gt;0),SUMIFS($AS$7:$AS$1843,$CF$7:$CF$1843,CF679,$AW$7:$AW$1843,"&gt;"&amp;AW679)+SUMIFS($AS$7:$AS$1843,$CF$7:$CF$1843,CF679,$AW$7:$AW$1843,AW679,$BW$7:$BW$1843,"&lt;="&amp;BW679),"")</f>
        <v/>
      </c>
      <c r="AY679" s="58" t="n">
        <f aca="false">IF(AX679="",0,MAX(0,MIN(1,(IF(CF679="L1",Parameter!$H$5,IF(CF679="L23",Parameter!$H$6+Parameter!$H$7,Parameter!$H$5+Parameter!$H$6+Parameter!$H$7))-(AX679-AS679))/AS679)))</f>
        <v>0</v>
      </c>
      <c r="AZ679" s="50" t="n">
        <f aca="false">IF(LEFT(Cockpit!$O$5,1)="A",H679,IF(Parameter!$E$30="MAX-Bestand",IF(CH679=1,CI679,IF(LEFT(Cockpit!$O$5,1)="B",BF679,MAX(BF679,H679))),ROUNDUP(BD679,0)))</f>
        <v>1</v>
      </c>
      <c r="BA679" s="50" t="n">
        <f aca="false">IF(BZ679=1,0,ROUNDUP(AZ679/BY679,0))</f>
        <v>0</v>
      </c>
      <c r="BB679" s="52" t="n">
        <f aca="false">IF(CQ679&gt;0,CQ679*MAX(1,AZ679/X679),IF(BZ679=1,IF(AZ679&lt;=0,0,CD679*MAX(1,IF(H679&gt;0,AZ679/H679,1))),IF(R679&gt;0,BA679/R679,0))/MAX(0.1,N(Parameter!$M$21)))</f>
        <v>0.15</v>
      </c>
      <c r="BC679" s="50" t="n">
        <f aca="false">BB679*CB679</f>
        <v>35.25</v>
      </c>
      <c r="BD679" s="51" t="n">
        <f aca="false">IF(LEFT(Cockpit!$O$5,1)="A",H679,IF(CH679=1,(CK679+CI679)/2,IF(LEFT(Cockpit!$O$5,1)="B",(CK679+BF679)/2,MAX((CK679+BF679)/2,H679))))</f>
        <v>0.5</v>
      </c>
      <c r="BE679" s="50" t="n">
        <f aca="false">BD679*G679</f>
        <v>1810.23</v>
      </c>
      <c r="BF679" s="50" t="n">
        <f aca="false">ROUNDUP(CK679+MAX(CL679,2*(J679/IF(CG679&gt;0,CG679,MAX(0.1,N(Cockpit!$O$6)))-CK679)),0)</f>
        <v>1</v>
      </c>
      <c r="BG679" s="51" t="n">
        <f aca="false">IF(BC679&gt;0,J679/BC679,-1)</f>
        <v>0.0283687943262411</v>
      </c>
      <c r="BH679" s="51" t="str">
        <f aca="false">IF(AND(OR(CF679="L1",CF679="L23",CF679="LIFT"),BC679&gt;0),SUMIFS($BC$7:$BC$1843,$CF$7:$CF$1843,CF679,$BG$7:$BG$1843,"&gt;"&amp;BG679)+SUMIFS($BC$7:$BC$1843,$CF$7:$CF$1843,CF679,$BG$7:$BG$1843,BG679,$BW$7:$BW$1843,"&lt;="&amp;BW679),"")</f>
        <v/>
      </c>
      <c r="BI679" s="58" t="n">
        <f aca="false">IF(BH679="",0,MAX(0,MIN(1,(IF(CF679="L1",Parameter!$H$5,IF(CF679="L23",Parameter!$H$6+Parameter!$H$7,Parameter!$H$5+Parameter!$H$6+Parameter!$H$7))-(BH679-BC679))/BC679)))</f>
        <v>0</v>
      </c>
      <c r="BJ679" s="48" t="str">
        <f aca="false">IF(AI679&lt;=0,"",IF(CF679="Aussen","Aussenlager",IF(CF679="-","Nicht im Lift",IF(AO679&gt;=1,"Lift",IF(AO679&lt;=0,"Aussenlager","teilweise")))))</f>
        <v/>
      </c>
      <c r="BK679" s="48" t="str">
        <f aca="false">IF(AS679&lt;=0,"",IF(CF679="Aussen","Aussenlager",IF(CF679="-","Nicht im Lift",IF(AY679&gt;=1,"Lift",IF(AY679&lt;=0,"Aussenlager","teilweise")))))</f>
        <v>Nicht im Lift</v>
      </c>
      <c r="BL679" s="48" t="str">
        <f aca="false">IF(BC679&lt;=0,"",IF(CF679="Aussen","Aussenlager",IF(CF679="-","Nicht im Lift",IF(BI679&gt;=1,"Lift",IF(BI679&lt;=0,"Aussenlager","teilweise")))))</f>
        <v>Nicht im Lift</v>
      </c>
      <c r="BM679" s="48" t="str">
        <f aca="false">IF(A679="","",IF(BV679=1,"Neu; ","")&amp;IF(AND(BV679=0,BQ679&lt;0),"negativer Bestand (Export "&amp;BQ679&amp;"); ","")&amp;IF(J679&lt;=0,"Kein Verbrauch; ","")&amp;IF(CQ679&gt;0,"Lift "&amp;W679&amp;" lt. Liftbericht (Fach "&amp;X679&amp;" Stk); ",IF(CA679=1,"Gebinde geschätzt ("&amp;T679&amp;"); ",IF(BZ679=1,"Lose – Tablare geschätzt; ","")))&amp;IF(H679&gt;AV679,"Überbestand "&amp;ROUND(H679-AV679,0)&amp;" Stk / CHF "&amp;ROUND((H679-AV679)*G679,0)&amp;"; ","")&amp;IF(AND(CH679=1,CI679&lt;CJ679),"MAX &lt; MB+LG; ","")&amp;IF(AND(CP679&gt;0,CO679*10&gt;CP679),"zu hoch für Tablar; ","")&amp;IF(AND(BV679=0,OR(CH679=1,AA679&lt;&gt;"",U679&lt;&gt;"",V679&lt;&gt;"",AB679&lt;&gt;"")),"manuell übersteuert; ","")&amp;IF(AND(BZ679=0,R679=0),"Gebinde unbekannt / Stellmass fehlt; ","")&amp;IF(AND(BZ679=0,N(V679)&lt;=0,N(Q679)&lt;=0),"Menge pro Gebinde fehlt (Ist = 1 Gebinde); ","")&amp;BU679)</f>
        <v>Lose – Tablare geschätzt; </v>
      </c>
      <c r="BN679" s="48"/>
      <c r="BO679" s="48"/>
      <c r="BP679" s="55"/>
      <c r="BQ679" s="50" t="n">
        <v>0</v>
      </c>
      <c r="BR679" s="50" t="n">
        <v>0</v>
      </c>
      <c r="BS679" s="49" t="n">
        <v>0</v>
      </c>
      <c r="BT679" s="50" t="n">
        <v>1</v>
      </c>
      <c r="BU679" s="48"/>
      <c r="BV679" s="53" t="n">
        <v>0</v>
      </c>
      <c r="BW679" s="53" t="n">
        <v>679</v>
      </c>
      <c r="BX679" s="48" t="str">
        <f aca="false">IF(U679&lt;&gt;"",UPPER(TRIM(U679)),IF(CA679=1,UPPER(VLOOKUP(T679,Parameter!$I$27:$K$29,2,0)),IF(P679="","LOSE",P679)))</f>
        <v>LOSE</v>
      </c>
      <c r="BY679" s="50" t="n">
        <f aca="false">IF(BX679="LOSE",1,IF(N(V679)&gt;0,V679,IF(CA679=1,MAX(1,N(VLOOKUP(T679,Parameter!$I$27:$K$29,3,0)),H679,N(N679)),IF(N(Q679)&gt;0,Q679,MAX(1,H679)))))</f>
        <v>1</v>
      </c>
      <c r="BZ679" s="53" t="n">
        <f aca="false">IF(BX679="LOSE",1,0)</f>
        <v>1</v>
      </c>
      <c r="CA679" s="53" t="n">
        <f aca="false">IF(AND(U679="",OR(P679="",P679="LOSE"),T679&lt;&gt;"",N(S679)&lt;=0,ISNUMBER(MATCH(T679,Parameter!$I$27:$I$29,0))),1,0)</f>
        <v>0</v>
      </c>
      <c r="CB679" s="53" t="n">
        <f aca="false">IF(CQ679&gt;0,INDEX(Parameter!$H$5:$H$7,W679)/INDEX(Parameter!$E$5:$E$7,W679),IF(AND(BZ679=0,N(IFERROR(VLOOKUP(BX679,'Gebinde-Kategorie'!$A$5:$N$45,14,0),0))&gt;0),VLOOKUP(BX679,'Gebinde-Kategorie'!$A$5:$N$45,14,0)*10+Parameter!$M$23,Parameter!$M$24))</f>
        <v>235</v>
      </c>
      <c r="CC679" s="48" t="str">
        <f aca="false">IF(AND(Parameter!$B$19="Ja",E679&lt;&gt;"",ISNUMBER(MATCH(E679,Parameter!$I$35:$I$52,0))),VLOOKUP(E679,Parameter!$I$35:$J$52,2,0),IFERROR(VLOOKUP(D679,Parameter!$A$35:$C$64,2,0),"Nein"))</f>
        <v>Nein</v>
      </c>
      <c r="CD679" s="52" t="n">
        <f aca="false">IF(BZ679=0,0,IF(N(S679)&gt;0,S679,IFERROR(VLOOKUP(D679,Parameter!$A$35:$C$64,3,0)+0,0)))</f>
        <v>0.15</v>
      </c>
      <c r="CE679" s="48" t="str">
        <f aca="false">IF(AA679&lt;&gt;"",AA679,Z679)</f>
        <v>-</v>
      </c>
      <c r="CF679" s="48" t="str">
        <f aca="false">IF(OR(CE679=1,CE679=2,CE679=3),IF(Parameter!$E$27="Ja","LIFT",IF(CE679=1,"L1","L23")),IF(CE679="Aussen","Aussen","-"))</f>
        <v>-</v>
      </c>
      <c r="CG679" s="59" t="n">
        <f aca="false">IF(N(AB679)&gt;0,AB679,0)</f>
        <v>0</v>
      </c>
      <c r="CH679" s="53" t="n">
        <f aca="false">IF(ISNUMBER(AE679),1,0)</f>
        <v>0</v>
      </c>
      <c r="CI679" s="50" t="n">
        <f aca="false">N(AE679)</f>
        <v>0</v>
      </c>
      <c r="CJ679" s="50" t="n">
        <f aca="false">N(M679)+N(N679)</f>
        <v>1</v>
      </c>
      <c r="CK679" s="50" t="n">
        <f aca="false">N(M679)</f>
        <v>0</v>
      </c>
      <c r="CL679" s="50" t="n">
        <f aca="false">N(N679)</f>
        <v>1</v>
      </c>
      <c r="CM679" s="50" t="n">
        <f aca="false">ROUNDUP(H679/BY679,0)</f>
        <v>0</v>
      </c>
      <c r="CN679" s="50" t="n">
        <f aca="false">ROUNDUP(CI679/BY679,0)</f>
        <v>0</v>
      </c>
      <c r="CO679" s="53" t="n">
        <f aca="false">IF(BZ679=1,0,IFERROR(VLOOKUP(BX679,'Gebinde-Kategorie'!$A$5:$N$45,5,0)+0,0))</f>
        <v>0</v>
      </c>
      <c r="CP679" s="53" t="n">
        <f aca="false">IFERROR(IF(OR(CE679=1,CE679=2,CE679=3),N(INDEX(Parameter!$I$5:$I$7,CE679)),0),0)</f>
        <v>0</v>
      </c>
      <c r="CQ679" s="52" t="n">
        <f aca="false">IF(AND(Parameter!$B$21="Ja",ISNUMBER(W679),N(X679)&gt;0),IFERROR(N(INDEX(Parameter!$L$5:$L$7,W679))*INDEX(Parameter!$E$5:$E$7,W679)*X679/SUMIFS($X$7:$X$1843,$W$7:$W$1843,W679),0),0)</f>
        <v>0</v>
      </c>
    </row>
    <row r="680" customFormat="false" ht="15" hidden="false" customHeight="false" outlineLevel="0" collapsed="false">
      <c r="A680" s="48" t="s">
        <v>1372</v>
      </c>
      <c r="B680" s="48" t="s">
        <v>1356</v>
      </c>
      <c r="C680" s="48" t="s">
        <v>173</v>
      </c>
      <c r="D680" s="48" t="s">
        <v>1004</v>
      </c>
      <c r="E680" s="48"/>
      <c r="F680" s="48" t="s">
        <v>227</v>
      </c>
      <c r="G680" s="49" t="n">
        <v>164.77</v>
      </c>
      <c r="H680" s="50" t="n">
        <f aca="false">MAX(0,IF(AND(Parameter!$B$21="Ja",ISNUMBER(Y680)),Y680,IF(Parameter!$B$20="Jahresanfang 2025 + Export",BR680+BQ680,BQ680)))</f>
        <v>0</v>
      </c>
      <c r="I680" s="50" t="n">
        <f aca="false">H680*G680</f>
        <v>0</v>
      </c>
      <c r="J680" s="50" t="n">
        <f aca="false">BT680*Parameter!$B$18</f>
        <v>3</v>
      </c>
      <c r="K680" s="51" t="n">
        <v>0</v>
      </c>
      <c r="L680" s="52" t="n">
        <v>0</v>
      </c>
      <c r="M680" s="50" t="n">
        <v>0</v>
      </c>
      <c r="N680" s="50" t="n">
        <v>1</v>
      </c>
      <c r="O680" s="53" t="n">
        <v>105</v>
      </c>
      <c r="P680" s="48" t="s">
        <v>177</v>
      </c>
      <c r="Q680" s="50"/>
      <c r="R680" s="53" t="n">
        <f aca="false">IF(BZ680=1,0,IFERROR(VLOOKUP(BX680,'Gebinde-Kategorie'!$A$5:$N$45,13,0)+0,0))</f>
        <v>0</v>
      </c>
      <c r="S680" s="54"/>
      <c r="T680" s="55"/>
      <c r="U680" s="55"/>
      <c r="V680" s="55"/>
      <c r="W680" s="48"/>
      <c r="X680" s="50"/>
      <c r="Y680" s="50"/>
      <c r="Z680" s="48" t="str">
        <f aca="false">IF(A680="","",IF(AND(Parameter!$B$21="Ja",ISNUMBER(W680)),W680,IF(CC680="2+3",IF(ISNUMBER(SEARCH("grosser Artikel",BU680)),2,IFERROR(VLOOKUP(BX680,Parameter!$F$35:$G$64,2,0),2)),IF(OR(CC680="Nein",CC680=""),"-",CC680))))</f>
        <v>-</v>
      </c>
      <c r="AA680" s="55"/>
      <c r="AB680" s="56"/>
      <c r="AC680" s="50" t="n">
        <f aca="false">AV680</f>
        <v>2</v>
      </c>
      <c r="AD680" s="50" t="n">
        <f aca="false">MAX(AV680,H680)</f>
        <v>2</v>
      </c>
      <c r="AE680" s="57"/>
      <c r="AF680" s="50" t="n">
        <f aca="false">IF(LEFT(Cockpit!$C$5,1)="A",H680,IF(Parameter!$E$30="MAX-Bestand",IF(CH680=1,CI680,IF(LEFT(Cockpit!$C$5,1)="B",AL680,MAX(AL680,H680))),ROUNDUP(AJ680,0)))</f>
        <v>0</v>
      </c>
      <c r="AG680" s="50" t="n">
        <f aca="false">IF(BZ680=1,0,ROUNDUP(AF680/BY680,0))</f>
        <v>0</v>
      </c>
      <c r="AH680" s="52" t="n">
        <f aca="false">IF(CQ680&gt;0,CQ680*MAX(1,AF680/X680),IF(BZ680=1,IF(AF680&lt;=0,0,CD680*MAX(1,IF(H680&gt;0,AF680/H680,1))),IF(R680&gt;0,AG680/R680,0))/MAX(0.1,N(Parameter!$M$21)))</f>
        <v>0</v>
      </c>
      <c r="AI680" s="50" t="n">
        <f aca="false">AH680*CB680</f>
        <v>0</v>
      </c>
      <c r="AJ680" s="51" t="n">
        <f aca="false">IF(LEFT(Cockpit!$C$5,1)="A",H680,IF(CH680=1,(CK680+CI680)/2,IF(LEFT(Cockpit!$C$5,1)="B",(CK680+AL680)/2,MAX((CK680+AL680)/2,H680))))</f>
        <v>0</v>
      </c>
      <c r="AK680" s="50" t="n">
        <f aca="false">AJ680*G680</f>
        <v>0</v>
      </c>
      <c r="AL680" s="50" t="n">
        <f aca="false">ROUNDUP(CK680+MAX(CL680,2*(J680/IF(CG680&gt;0,CG680,MAX(0.1,N(Cockpit!$C$6)))-CK680)),0)</f>
        <v>2</v>
      </c>
      <c r="AM680" s="51" t="n">
        <f aca="false">IF(AI680&gt;0,J680/AI680,-1)</f>
        <v>-1</v>
      </c>
      <c r="AN680" s="51" t="str">
        <f aca="false">IF(AND(OR(CF680="L1",CF680="L23",CF680="LIFT"),AI680&gt;0),SUMIFS($AI$7:$AI$1843,$CF$7:$CF$1843,CF680,$AM$7:$AM$1843,"&gt;"&amp;AM680)+SUMIFS($AI$7:$AI$1843,$CF$7:$CF$1843,CF680,$AM$7:$AM$1843,AM680,$BW$7:$BW$1843,"&lt;="&amp;BW680),"")</f>
        <v/>
      </c>
      <c r="AO680" s="58" t="n">
        <f aca="false">IF(AN680="",0,MAX(0,MIN(1,(IF(CF680="L1",Parameter!$H$5,IF(CF680="L23",Parameter!$H$6+Parameter!$H$7,Parameter!$H$5+Parameter!$H$6+Parameter!$H$7))-(AN680-AI680))/AI680)))</f>
        <v>0</v>
      </c>
      <c r="AP680" s="50" t="n">
        <f aca="false">IF(LEFT(Cockpit!$I$5,1)="A",H680,IF(Parameter!$E$30="MAX-Bestand",IF(CH680=1,CI680,IF(LEFT(Cockpit!$I$5,1)="B",AV680,MAX(AV680,H680))),ROUNDUP(AT680,0)))</f>
        <v>1</v>
      </c>
      <c r="AQ680" s="50" t="n">
        <f aca="false">IF(BZ680=1,0,ROUNDUP(AP680/BY680,0))</f>
        <v>0</v>
      </c>
      <c r="AR680" s="52" t="n">
        <f aca="false">IF(CQ680&gt;0,CQ680*MAX(1,AP680/X680),IF(BZ680=1,IF(AP680&lt;=0,0,CD680*MAX(1,IF(H680&gt;0,AP680/H680,1))),IF(R680&gt;0,AQ680/R680,0))/MAX(0.1,N(Parameter!$M$21)))</f>
        <v>0.15</v>
      </c>
      <c r="AS680" s="50" t="n">
        <f aca="false">AR680*CB680</f>
        <v>35.25</v>
      </c>
      <c r="AT680" s="51" t="n">
        <f aca="false">IF(LEFT(Cockpit!$I$5,1)="A",H680,IF(CH680=1,(CK680+CI680)/2,IF(LEFT(Cockpit!$I$5,1)="B",(CK680+AV680)/2,MAX((CK680+AV680)/2,H680))))</f>
        <v>1</v>
      </c>
      <c r="AU680" s="50" t="n">
        <f aca="false">AT680*G680</f>
        <v>164.77</v>
      </c>
      <c r="AV680" s="50" t="n">
        <f aca="false">ROUNDUP(CK680+MAX(CL680,2*(J680/IF(CG680&gt;0,CG680,MAX(0.1,N(Cockpit!$I$6)))-CK680)),0)</f>
        <v>2</v>
      </c>
      <c r="AW680" s="51" t="n">
        <f aca="false">IF(AS680&gt;0,J680/AS680,-1)</f>
        <v>0.0851063829787234</v>
      </c>
      <c r="AX680" s="51" t="str">
        <f aca="false">IF(AND(OR(CF680="L1",CF680="L23",CF680="LIFT"),AS680&gt;0),SUMIFS($AS$7:$AS$1843,$CF$7:$CF$1843,CF680,$AW$7:$AW$1843,"&gt;"&amp;AW680)+SUMIFS($AS$7:$AS$1843,$CF$7:$CF$1843,CF680,$AW$7:$AW$1843,AW680,$BW$7:$BW$1843,"&lt;="&amp;BW680),"")</f>
        <v/>
      </c>
      <c r="AY680" s="58" t="n">
        <f aca="false">IF(AX680="",0,MAX(0,MIN(1,(IF(CF680="L1",Parameter!$H$5,IF(CF680="L23",Parameter!$H$6+Parameter!$H$7,Parameter!$H$5+Parameter!$H$6+Parameter!$H$7))-(AX680-AS680))/AS680)))</f>
        <v>0</v>
      </c>
      <c r="AZ680" s="50" t="n">
        <f aca="false">IF(LEFT(Cockpit!$O$5,1)="A",H680,IF(Parameter!$E$30="MAX-Bestand",IF(CH680=1,CI680,IF(LEFT(Cockpit!$O$5,1)="B",BF680,MAX(BF680,H680))),ROUNDUP(BD680,0)))</f>
        <v>1</v>
      </c>
      <c r="BA680" s="50" t="n">
        <f aca="false">IF(BZ680=1,0,ROUNDUP(AZ680/BY680,0))</f>
        <v>0</v>
      </c>
      <c r="BB680" s="52" t="n">
        <f aca="false">IF(CQ680&gt;0,CQ680*MAX(1,AZ680/X680),IF(BZ680=1,IF(AZ680&lt;=0,0,CD680*MAX(1,IF(H680&gt;0,AZ680/H680,1))),IF(R680&gt;0,BA680/R680,0))/MAX(0.1,N(Parameter!$M$21)))</f>
        <v>0.15</v>
      </c>
      <c r="BC680" s="50" t="n">
        <f aca="false">BB680*CB680</f>
        <v>35.25</v>
      </c>
      <c r="BD680" s="51" t="n">
        <f aca="false">IF(LEFT(Cockpit!$O$5,1)="A",H680,IF(CH680=1,(CK680+CI680)/2,IF(LEFT(Cockpit!$O$5,1)="B",(CK680+BF680)/2,MAX((CK680+BF680)/2,H680))))</f>
        <v>1</v>
      </c>
      <c r="BE680" s="50" t="n">
        <f aca="false">BD680*G680</f>
        <v>164.77</v>
      </c>
      <c r="BF680" s="50" t="n">
        <f aca="false">ROUNDUP(CK680+MAX(CL680,2*(J680/IF(CG680&gt;0,CG680,MAX(0.1,N(Cockpit!$O$6)))-CK680)),0)</f>
        <v>2</v>
      </c>
      <c r="BG680" s="51" t="n">
        <f aca="false">IF(BC680&gt;0,J680/BC680,-1)</f>
        <v>0.0851063829787234</v>
      </c>
      <c r="BH680" s="51" t="str">
        <f aca="false">IF(AND(OR(CF680="L1",CF680="L23",CF680="LIFT"),BC680&gt;0),SUMIFS($BC$7:$BC$1843,$CF$7:$CF$1843,CF680,$BG$7:$BG$1843,"&gt;"&amp;BG680)+SUMIFS($BC$7:$BC$1843,$CF$7:$CF$1843,CF680,$BG$7:$BG$1843,BG680,$BW$7:$BW$1843,"&lt;="&amp;BW680),"")</f>
        <v/>
      </c>
      <c r="BI680" s="58" t="n">
        <f aca="false">IF(BH680="",0,MAX(0,MIN(1,(IF(CF680="L1",Parameter!$H$5,IF(CF680="L23",Parameter!$H$6+Parameter!$H$7,Parameter!$H$5+Parameter!$H$6+Parameter!$H$7))-(BH680-BC680))/BC680)))</f>
        <v>0</v>
      </c>
      <c r="BJ680" s="48" t="str">
        <f aca="false">IF(AI680&lt;=0,"",IF(CF680="Aussen","Aussenlager",IF(CF680="-","Nicht im Lift",IF(AO680&gt;=1,"Lift",IF(AO680&lt;=0,"Aussenlager","teilweise")))))</f>
        <v/>
      </c>
      <c r="BK680" s="48" t="str">
        <f aca="false">IF(AS680&lt;=0,"",IF(CF680="Aussen","Aussenlager",IF(CF680="-","Nicht im Lift",IF(AY680&gt;=1,"Lift",IF(AY680&lt;=0,"Aussenlager","teilweise")))))</f>
        <v>Nicht im Lift</v>
      </c>
      <c r="BL680" s="48" t="str">
        <f aca="false">IF(BC680&lt;=0,"",IF(CF680="Aussen","Aussenlager",IF(CF680="-","Nicht im Lift",IF(BI680&gt;=1,"Lift",IF(BI680&lt;=0,"Aussenlager","teilweise")))))</f>
        <v>Nicht im Lift</v>
      </c>
      <c r="BM680" s="48" t="str">
        <f aca="false">IF(A680="","",IF(BV680=1,"Neu; ","")&amp;IF(AND(BV680=0,BQ680&lt;0),"negativer Bestand (Export "&amp;BQ680&amp;"); ","")&amp;IF(J680&lt;=0,"Kein Verbrauch; ","")&amp;IF(CQ680&gt;0,"Lift "&amp;W680&amp;" lt. Liftbericht (Fach "&amp;X680&amp;" Stk); ",IF(CA680=1,"Gebinde geschätzt ("&amp;T680&amp;"); ",IF(BZ680=1,"Lose – Tablare geschätzt; ","")))&amp;IF(H680&gt;AV680,"Überbestand "&amp;ROUND(H680-AV680,0)&amp;" Stk / CHF "&amp;ROUND((H680-AV680)*G680,0)&amp;"; ","")&amp;IF(AND(CH680=1,CI680&lt;CJ680),"MAX &lt; MB+LG; ","")&amp;IF(AND(CP680&gt;0,CO680*10&gt;CP680),"zu hoch für Tablar; ","")&amp;IF(AND(BV680=0,OR(CH680=1,AA680&lt;&gt;"",U680&lt;&gt;"",V680&lt;&gt;"",AB680&lt;&gt;"")),"manuell übersteuert; ","")&amp;IF(AND(BZ680=0,R680=0),"Gebinde unbekannt / Stellmass fehlt; ","")&amp;IF(AND(BZ680=0,N(V680)&lt;=0,N(Q680)&lt;=0),"Menge pro Gebinde fehlt (Ist = 1 Gebinde); ","")&amp;BU680)</f>
        <v>Lose – Tablare geschätzt; </v>
      </c>
      <c r="BN680" s="48"/>
      <c r="BO680" s="48"/>
      <c r="BP680" s="55"/>
      <c r="BQ680" s="50" t="n">
        <v>0</v>
      </c>
      <c r="BR680" s="50" t="n">
        <v>0</v>
      </c>
      <c r="BS680" s="49" t="n">
        <v>0</v>
      </c>
      <c r="BT680" s="50" t="n">
        <v>3</v>
      </c>
      <c r="BU680" s="48"/>
      <c r="BV680" s="53" t="n">
        <v>0</v>
      </c>
      <c r="BW680" s="53" t="n">
        <v>680</v>
      </c>
      <c r="BX680" s="48" t="str">
        <f aca="false">IF(U680&lt;&gt;"",UPPER(TRIM(U680)),IF(CA680=1,UPPER(VLOOKUP(T680,Parameter!$I$27:$K$29,2,0)),IF(P680="","LOSE",P680)))</f>
        <v>LOSE</v>
      </c>
      <c r="BY680" s="50" t="n">
        <f aca="false">IF(BX680="LOSE",1,IF(N(V680)&gt;0,V680,IF(CA680=1,MAX(1,N(VLOOKUP(T680,Parameter!$I$27:$K$29,3,0)),H680,N(N680)),IF(N(Q680)&gt;0,Q680,MAX(1,H680)))))</f>
        <v>1</v>
      </c>
      <c r="BZ680" s="53" t="n">
        <f aca="false">IF(BX680="LOSE",1,0)</f>
        <v>1</v>
      </c>
      <c r="CA680" s="53" t="n">
        <f aca="false">IF(AND(U680="",OR(P680="",P680="LOSE"),T680&lt;&gt;"",N(S680)&lt;=0,ISNUMBER(MATCH(T680,Parameter!$I$27:$I$29,0))),1,0)</f>
        <v>0</v>
      </c>
      <c r="CB680" s="53" t="n">
        <f aca="false">IF(CQ680&gt;0,INDEX(Parameter!$H$5:$H$7,W680)/INDEX(Parameter!$E$5:$E$7,W680),IF(AND(BZ680=0,N(IFERROR(VLOOKUP(BX680,'Gebinde-Kategorie'!$A$5:$N$45,14,0),0))&gt;0),VLOOKUP(BX680,'Gebinde-Kategorie'!$A$5:$N$45,14,0)*10+Parameter!$M$23,Parameter!$M$24))</f>
        <v>235</v>
      </c>
      <c r="CC680" s="48" t="str">
        <f aca="false">IF(AND(Parameter!$B$19="Ja",E680&lt;&gt;"",ISNUMBER(MATCH(E680,Parameter!$I$35:$I$52,0))),VLOOKUP(E680,Parameter!$I$35:$J$52,2,0),IFERROR(VLOOKUP(D680,Parameter!$A$35:$C$64,2,0),"Nein"))</f>
        <v>Nein</v>
      </c>
      <c r="CD680" s="52" t="n">
        <f aca="false">IF(BZ680=0,0,IF(N(S680)&gt;0,S680,IFERROR(VLOOKUP(D680,Parameter!$A$35:$C$64,3,0)+0,0)))</f>
        <v>0.15</v>
      </c>
      <c r="CE680" s="48" t="str">
        <f aca="false">IF(AA680&lt;&gt;"",AA680,Z680)</f>
        <v>-</v>
      </c>
      <c r="CF680" s="48" t="str">
        <f aca="false">IF(OR(CE680=1,CE680=2,CE680=3),IF(Parameter!$E$27="Ja","LIFT",IF(CE680=1,"L1","L23")),IF(CE680="Aussen","Aussen","-"))</f>
        <v>-</v>
      </c>
      <c r="CG680" s="59" t="n">
        <f aca="false">IF(N(AB680)&gt;0,AB680,0)</f>
        <v>0</v>
      </c>
      <c r="CH680" s="53" t="n">
        <f aca="false">IF(ISNUMBER(AE680),1,0)</f>
        <v>0</v>
      </c>
      <c r="CI680" s="50" t="n">
        <f aca="false">N(AE680)</f>
        <v>0</v>
      </c>
      <c r="CJ680" s="50" t="n">
        <f aca="false">N(M680)+N(N680)</f>
        <v>1</v>
      </c>
      <c r="CK680" s="50" t="n">
        <f aca="false">N(M680)</f>
        <v>0</v>
      </c>
      <c r="CL680" s="50" t="n">
        <f aca="false">N(N680)</f>
        <v>1</v>
      </c>
      <c r="CM680" s="50" t="n">
        <f aca="false">ROUNDUP(H680/BY680,0)</f>
        <v>0</v>
      </c>
      <c r="CN680" s="50" t="n">
        <f aca="false">ROUNDUP(CI680/BY680,0)</f>
        <v>0</v>
      </c>
      <c r="CO680" s="53" t="n">
        <f aca="false">IF(BZ680=1,0,IFERROR(VLOOKUP(BX680,'Gebinde-Kategorie'!$A$5:$N$45,5,0)+0,0))</f>
        <v>0</v>
      </c>
      <c r="CP680" s="53" t="n">
        <f aca="false">IFERROR(IF(OR(CE680=1,CE680=2,CE680=3),N(INDEX(Parameter!$I$5:$I$7,CE680)),0),0)</f>
        <v>0</v>
      </c>
      <c r="CQ680" s="52" t="n">
        <f aca="false">IF(AND(Parameter!$B$21="Ja",ISNUMBER(W680),N(X680)&gt;0),IFERROR(N(INDEX(Parameter!$L$5:$L$7,W680))*INDEX(Parameter!$E$5:$E$7,W680)*X680/SUMIFS($X$7:$X$1843,$W$7:$W$1843,W680),0),0)</f>
        <v>0</v>
      </c>
    </row>
    <row r="681" customFormat="false" ht="15" hidden="false" customHeight="false" outlineLevel="0" collapsed="false">
      <c r="A681" s="48" t="s">
        <v>1373</v>
      </c>
      <c r="B681" s="48" t="s">
        <v>1374</v>
      </c>
      <c r="C681" s="48" t="s">
        <v>173</v>
      </c>
      <c r="D681" s="48" t="s">
        <v>193</v>
      </c>
      <c r="E681" s="48"/>
      <c r="F681" s="48" t="s">
        <v>227</v>
      </c>
      <c r="G681" s="49" t="n">
        <v>106.32</v>
      </c>
      <c r="H681" s="50" t="n">
        <f aca="false">MAX(0,IF(AND(Parameter!$B$21="Ja",ISNUMBER(Y681)),Y681,IF(Parameter!$B$20="Jahresanfang 2025 + Export",BR681+BQ681,BQ681)))</f>
        <v>0</v>
      </c>
      <c r="I681" s="50" t="n">
        <f aca="false">H681*G681</f>
        <v>0</v>
      </c>
      <c r="J681" s="50" t="n">
        <f aca="false">BT681*Parameter!$B$18</f>
        <v>2</v>
      </c>
      <c r="K681" s="51" t="n">
        <v>0</v>
      </c>
      <c r="L681" s="52" t="n">
        <v>0</v>
      </c>
      <c r="M681" s="50" t="n">
        <v>0</v>
      </c>
      <c r="N681" s="50" t="n">
        <v>1</v>
      </c>
      <c r="O681" s="53" t="n">
        <v>28</v>
      </c>
      <c r="P681" s="48" t="s">
        <v>177</v>
      </c>
      <c r="Q681" s="50"/>
      <c r="R681" s="53" t="n">
        <f aca="false">IF(BZ681=1,0,IFERROR(VLOOKUP(BX681,'Gebinde-Kategorie'!$A$5:$N$45,13,0)+0,0))</f>
        <v>26</v>
      </c>
      <c r="S681" s="54"/>
      <c r="T681" s="55" t="s">
        <v>284</v>
      </c>
      <c r="U681" s="55"/>
      <c r="V681" s="55"/>
      <c r="W681" s="48"/>
      <c r="X681" s="50"/>
      <c r="Y681" s="50"/>
      <c r="Z681" s="48" t="n">
        <f aca="false">IF(A681="","",IF(AND(Parameter!$B$21="Ja",ISNUMBER(W681)),W681,IF(CC681="2+3",IF(ISNUMBER(SEARCH("grosser Artikel",BU681)),2,IFERROR(VLOOKUP(BX681,Parameter!$F$35:$G$64,2,0),2)),IF(OR(CC681="Nein",CC681=""),"-",CC681))))</f>
        <v>3</v>
      </c>
      <c r="AA681" s="55"/>
      <c r="AB681" s="56"/>
      <c r="AC681" s="50" t="n">
        <f aca="false">AV681</f>
        <v>2</v>
      </c>
      <c r="AD681" s="50" t="n">
        <f aca="false">MAX(AV681,H681)</f>
        <v>2</v>
      </c>
      <c r="AE681" s="57"/>
      <c r="AF681" s="50" t="n">
        <f aca="false">IF(LEFT(Cockpit!$C$5,1)="A",H681,IF(Parameter!$E$30="MAX-Bestand",IF(CH681=1,CI681,IF(LEFT(Cockpit!$C$5,1)="B",AL681,MAX(AL681,H681))),ROUNDUP(AJ681,0)))</f>
        <v>0</v>
      </c>
      <c r="AG681" s="50" t="n">
        <f aca="false">IF(BZ681=1,0,ROUNDUP(AF681/BY681,0))</f>
        <v>0</v>
      </c>
      <c r="AH681" s="52" t="n">
        <f aca="false">IF(CQ681&gt;0,CQ681*MAX(1,AF681/X681),IF(BZ681=1,IF(AF681&lt;=0,0,CD681*MAX(1,IF(H681&gt;0,AF681/H681,1))),IF(R681&gt;0,AG681/R681,0))/MAX(0.1,N(Parameter!$M$21)))</f>
        <v>0</v>
      </c>
      <c r="AI681" s="50" t="n">
        <f aca="false">AH681*CB681</f>
        <v>0</v>
      </c>
      <c r="AJ681" s="51" t="n">
        <f aca="false">IF(LEFT(Cockpit!$C$5,1)="A",H681,IF(CH681=1,(CK681+CI681)/2,IF(LEFT(Cockpit!$C$5,1)="B",(CK681+AL681)/2,MAX((CK681+AL681)/2,H681))))</f>
        <v>0</v>
      </c>
      <c r="AK681" s="50" t="n">
        <f aca="false">AJ681*G681</f>
        <v>0</v>
      </c>
      <c r="AL681" s="50" t="n">
        <f aca="false">ROUNDUP(CK681+MAX(CL681,2*(J681/IF(CG681&gt;0,CG681,MAX(0.1,N(Cockpit!$C$6)))-CK681)),0)</f>
        <v>2</v>
      </c>
      <c r="AM681" s="51" t="n">
        <f aca="false">IF(AI681&gt;0,J681/AI681,-1)</f>
        <v>-1</v>
      </c>
      <c r="AN681" s="51" t="str">
        <f aca="false">IF(AND(OR(CF681="L1",CF681="L23",CF681="LIFT"),AI681&gt;0),SUMIFS($AI$7:$AI$1843,$CF$7:$CF$1843,CF681,$AM$7:$AM$1843,"&gt;"&amp;AM681)+SUMIFS($AI$7:$AI$1843,$CF$7:$CF$1843,CF681,$AM$7:$AM$1843,AM681,$BW$7:$BW$1843,"&lt;="&amp;BW681),"")</f>
        <v/>
      </c>
      <c r="AO681" s="58" t="n">
        <f aca="false">IF(AN681="",0,MAX(0,MIN(1,(IF(CF681="L1",Parameter!$H$5,IF(CF681="L23",Parameter!$H$6+Parameter!$H$7,Parameter!$H$5+Parameter!$H$6+Parameter!$H$7))-(AN681-AI681))/AI681)))</f>
        <v>0</v>
      </c>
      <c r="AP681" s="50" t="n">
        <f aca="false">IF(LEFT(Cockpit!$I$5,1)="A",H681,IF(Parameter!$E$30="MAX-Bestand",IF(CH681=1,CI681,IF(LEFT(Cockpit!$I$5,1)="B",AV681,MAX(AV681,H681))),ROUNDUP(AT681,0)))</f>
        <v>1</v>
      </c>
      <c r="AQ681" s="50" t="n">
        <f aca="false">IF(BZ681=1,0,ROUNDUP(AP681/BY681,0))</f>
        <v>1</v>
      </c>
      <c r="AR681" s="52" t="n">
        <f aca="false">IF(CQ681&gt;0,CQ681*MAX(1,AP681/X681),IF(BZ681=1,IF(AP681&lt;=0,0,CD681*MAX(1,IF(H681&gt;0,AP681/H681,1))),IF(R681&gt;0,AQ681/R681,0))/MAX(0.1,N(Parameter!$M$21)))</f>
        <v>0.0384615384615385</v>
      </c>
      <c r="AS681" s="50" t="n">
        <f aca="false">AR681*CB681</f>
        <v>5.96153846153846</v>
      </c>
      <c r="AT681" s="51" t="n">
        <f aca="false">IF(LEFT(Cockpit!$I$5,1)="A",H681,IF(CH681=1,(CK681+CI681)/2,IF(LEFT(Cockpit!$I$5,1)="B",(CK681+AV681)/2,MAX((CK681+AV681)/2,H681))))</f>
        <v>1</v>
      </c>
      <c r="AU681" s="50" t="n">
        <f aca="false">AT681*G681</f>
        <v>106.32</v>
      </c>
      <c r="AV681" s="50" t="n">
        <f aca="false">ROUNDUP(CK681+MAX(CL681,2*(J681/IF(CG681&gt;0,CG681,MAX(0.1,N(Cockpit!$I$6)))-CK681)),0)</f>
        <v>2</v>
      </c>
      <c r="AW681" s="51" t="n">
        <f aca="false">IF(AS681&gt;0,J681/AS681,-1)</f>
        <v>0.335483870967742</v>
      </c>
      <c r="AX681" s="51" t="n">
        <f aca="false">IF(AND(OR(CF681="L1",CF681="L23",CF681="LIFT"),AS681&gt;0),SUMIFS($AS$7:$AS$1843,$CF$7:$CF$1843,CF681,$AW$7:$AW$1843,"&gt;"&amp;AW681)+SUMIFS($AS$7:$AS$1843,$CF$7:$CF$1843,CF681,$AW$7:$AW$1843,AW681,$BW$7:$BW$1843,"&lt;="&amp;BW681),"")</f>
        <v>13720.1570512821</v>
      </c>
      <c r="AY681" s="58" t="n">
        <f aca="false">IF(AX681="",0,MAX(0,MIN(1,(IF(CF681="L1",Parameter!$H$5,IF(CF681="L23",Parameter!$H$6+Parameter!$H$7,Parameter!$H$5+Parameter!$H$6+Parameter!$H$7))-(AX681-AS681))/AS681)))</f>
        <v>1</v>
      </c>
      <c r="AZ681" s="50" t="n">
        <f aca="false">IF(LEFT(Cockpit!$O$5,1)="A",H681,IF(Parameter!$E$30="MAX-Bestand",IF(CH681=1,CI681,IF(LEFT(Cockpit!$O$5,1)="B",BF681,MAX(BF681,H681))),ROUNDUP(BD681,0)))</f>
        <v>1</v>
      </c>
      <c r="BA681" s="50" t="n">
        <f aca="false">IF(BZ681=1,0,ROUNDUP(AZ681/BY681,0))</f>
        <v>1</v>
      </c>
      <c r="BB681" s="52" t="n">
        <f aca="false">IF(CQ681&gt;0,CQ681*MAX(1,AZ681/X681),IF(BZ681=1,IF(AZ681&lt;=0,0,CD681*MAX(1,IF(H681&gt;0,AZ681/H681,1))),IF(R681&gt;0,BA681/R681,0))/MAX(0.1,N(Parameter!$M$21)))</f>
        <v>0.0384615384615385</v>
      </c>
      <c r="BC681" s="50" t="n">
        <f aca="false">BB681*CB681</f>
        <v>5.96153846153846</v>
      </c>
      <c r="BD681" s="51" t="n">
        <f aca="false">IF(LEFT(Cockpit!$O$5,1)="A",H681,IF(CH681=1,(CK681+CI681)/2,IF(LEFT(Cockpit!$O$5,1)="B",(CK681+BF681)/2,MAX((CK681+BF681)/2,H681))))</f>
        <v>0.5</v>
      </c>
      <c r="BE681" s="50" t="n">
        <f aca="false">BD681*G681</f>
        <v>53.16</v>
      </c>
      <c r="BF681" s="50" t="n">
        <f aca="false">ROUNDUP(CK681+MAX(CL681,2*(J681/IF(CG681&gt;0,CG681,MAX(0.1,N(Cockpit!$O$6)))-CK681)),0)</f>
        <v>1</v>
      </c>
      <c r="BG681" s="51" t="n">
        <f aca="false">IF(BC681&gt;0,J681/BC681,-1)</f>
        <v>0.335483870967742</v>
      </c>
      <c r="BH681" s="51" t="n">
        <f aca="false">IF(AND(OR(CF681="L1",CF681="L23",CF681="LIFT"),BC681&gt;0),SUMIFS($BC$7:$BC$1843,$CF$7:$CF$1843,CF681,$BG$7:$BG$1843,"&gt;"&amp;BG681)+SUMIFS($BC$7:$BC$1843,$CF$7:$CF$1843,CF681,$BG$7:$BG$1843,BG681,$BW$7:$BW$1843,"&lt;="&amp;BW681),"")</f>
        <v>11574.0966117216</v>
      </c>
      <c r="BI681" s="58" t="n">
        <f aca="false">IF(BH681="",0,MAX(0,MIN(1,(IF(CF681="L1",Parameter!$H$5,IF(CF681="L23",Parameter!$H$6+Parameter!$H$7,Parameter!$H$5+Parameter!$H$6+Parameter!$H$7))-(BH681-BC681))/BC681)))</f>
        <v>1</v>
      </c>
      <c r="BJ681" s="48" t="str">
        <f aca="false">IF(AI681&lt;=0,"",IF(CF681="Aussen","Aussenlager",IF(CF681="-","Nicht im Lift",IF(AO681&gt;=1,"Lift",IF(AO681&lt;=0,"Aussenlager","teilweise")))))</f>
        <v/>
      </c>
      <c r="BK681" s="48" t="str">
        <f aca="false">IF(AS681&lt;=0,"",IF(CF681="Aussen","Aussenlager",IF(CF681="-","Nicht im Lift",IF(AY681&gt;=1,"Lift",IF(AY681&lt;=0,"Aussenlager","teilweise")))))</f>
        <v>Lift</v>
      </c>
      <c r="BL681" s="48" t="str">
        <f aca="false">IF(BC681&lt;=0,"",IF(CF681="Aussen","Aussenlager",IF(CF681="-","Nicht im Lift",IF(BI681&gt;=1,"Lift",IF(BI681&lt;=0,"Aussenlager","teilweise")))))</f>
        <v>Lift</v>
      </c>
      <c r="BM681" s="48" t="str">
        <f aca="false">IF(A681="","",IF(BV681=1,"Neu; ","")&amp;IF(AND(BV681=0,BQ681&lt;0),"negativer Bestand (Export "&amp;BQ681&amp;"); ","")&amp;IF(J681&lt;=0,"Kein Verbrauch; ","")&amp;IF(CQ681&gt;0,"Lift "&amp;W681&amp;" lt. Liftbericht (Fach "&amp;X681&amp;" Stk); ",IF(CA681=1,"Gebinde geschätzt ("&amp;T681&amp;"); ",IF(BZ681=1,"Lose – Tablare geschätzt; ","")))&amp;IF(H681&gt;AV681,"Überbestand "&amp;ROUND(H681-AV681,0)&amp;" Stk / CHF "&amp;ROUND((H681-AV681)*G681,0)&amp;"; ","")&amp;IF(AND(CH681=1,CI681&lt;CJ681),"MAX &lt; MB+LG; ","")&amp;IF(AND(CP681&gt;0,CO681*10&gt;CP681),"zu hoch für Tablar; ","")&amp;IF(AND(BV681=0,OR(CH681=1,AA681&lt;&gt;"",U681&lt;&gt;"",V681&lt;&gt;"",AB681&lt;&gt;"")),"manuell übersteuert; ","")&amp;IF(AND(BZ681=0,R681=0),"Gebinde unbekannt / Stellmass fehlt; ","")&amp;IF(AND(BZ681=0,N(V681)&lt;=0,N(Q681)&lt;=0),"Menge pro Gebinde fehlt (Ist = 1 Gebinde); ","")&amp;BU681)</f>
        <v>Gebinde geschätzt (Klein); Menge pro Gebinde fehlt (Ist = 1 Gebinde); </v>
      </c>
      <c r="BN681" s="48"/>
      <c r="BO681" s="48"/>
      <c r="BP681" s="55"/>
      <c r="BQ681" s="50" t="n">
        <v>0</v>
      </c>
      <c r="BR681" s="50" t="n">
        <v>0</v>
      </c>
      <c r="BS681" s="49" t="n">
        <v>0</v>
      </c>
      <c r="BT681" s="50" t="n">
        <v>2</v>
      </c>
      <c r="BU681" s="48"/>
      <c r="BV681" s="53" t="n">
        <v>0</v>
      </c>
      <c r="BW681" s="53" t="n">
        <v>681</v>
      </c>
      <c r="BX681" s="48" t="str">
        <f aca="false">IF(U681&lt;&gt;"",UPPER(TRIM(U681)),IF(CA681=1,UPPER(VLOOKUP(T681,Parameter!$I$27:$K$29,2,0)),IF(P681="","LOSE",P681)))</f>
        <v>S51</v>
      </c>
      <c r="BY681" s="50" t="n">
        <f aca="false">IF(BX681="LOSE",1,IF(N(V681)&gt;0,V681,IF(CA681=1,MAX(1,N(VLOOKUP(T681,Parameter!$I$27:$K$29,3,0)),H681,N(N681)),IF(N(Q681)&gt;0,Q681,MAX(1,H681)))))</f>
        <v>20</v>
      </c>
      <c r="BZ681" s="53" t="n">
        <f aca="false">IF(BX681="LOSE",1,0)</f>
        <v>0</v>
      </c>
      <c r="CA681" s="53" t="n">
        <f aca="false">IF(AND(U681="",OR(P681="",P681="LOSE"),T681&lt;&gt;"",N(S681)&lt;=0,ISNUMBER(MATCH(T681,Parameter!$I$27:$I$29,0))),1,0)</f>
        <v>1</v>
      </c>
      <c r="CB681" s="53" t="n">
        <f aca="false">IF(CQ681&gt;0,INDEX(Parameter!$H$5:$H$7,W681)/INDEX(Parameter!$E$5:$E$7,W681),IF(AND(BZ681=0,N(IFERROR(VLOOKUP(BX681,'Gebinde-Kategorie'!$A$5:$N$45,14,0),0))&gt;0),VLOOKUP(BX681,'Gebinde-Kategorie'!$A$5:$N$45,14,0)*10+Parameter!$M$23,Parameter!$M$24))</f>
        <v>155</v>
      </c>
      <c r="CC681" s="48" t="str">
        <f aca="false">IF(AND(Parameter!$B$19="Ja",E681&lt;&gt;"",ISNUMBER(MATCH(E681,Parameter!$I$35:$I$52,0))),VLOOKUP(E681,Parameter!$I$35:$J$52,2,0),IFERROR(VLOOKUP(D681,Parameter!$A$35:$C$64,2,0),"Nein"))</f>
        <v>2+3</v>
      </c>
      <c r="CD681" s="52" t="n">
        <f aca="false">IF(BZ681=0,0,IF(N(S681)&gt;0,S681,IFERROR(VLOOKUP(D681,Parameter!$A$35:$C$64,3,0)+0,0)))</f>
        <v>0</v>
      </c>
      <c r="CE681" s="48" t="n">
        <f aca="false">IF(AA681&lt;&gt;"",AA681,Z681)</f>
        <v>3</v>
      </c>
      <c r="CF681" s="48" t="str">
        <f aca="false">IF(OR(CE681=1,CE681=2,CE681=3),IF(Parameter!$E$27="Ja","LIFT",IF(CE681=1,"L1","L23")),IF(CE681="Aussen","Aussen","-"))</f>
        <v>LIFT</v>
      </c>
      <c r="CG681" s="59" t="n">
        <f aca="false">IF(N(AB681)&gt;0,AB681,0)</f>
        <v>0</v>
      </c>
      <c r="CH681" s="53" t="n">
        <f aca="false">IF(ISNUMBER(AE681),1,0)</f>
        <v>0</v>
      </c>
      <c r="CI681" s="50" t="n">
        <f aca="false">N(AE681)</f>
        <v>0</v>
      </c>
      <c r="CJ681" s="50" t="n">
        <f aca="false">N(M681)+N(N681)</f>
        <v>1</v>
      </c>
      <c r="CK681" s="50" t="n">
        <f aca="false">N(M681)</f>
        <v>0</v>
      </c>
      <c r="CL681" s="50" t="n">
        <f aca="false">N(N681)</f>
        <v>1</v>
      </c>
      <c r="CM681" s="50" t="n">
        <f aca="false">ROUNDUP(H681/BY681,0)</f>
        <v>0</v>
      </c>
      <c r="CN681" s="50" t="n">
        <f aca="false">ROUNDUP(CI681/BY681,0)</f>
        <v>0</v>
      </c>
      <c r="CO681" s="53" t="n">
        <f aca="false">IF(BZ681=1,0,IFERROR(VLOOKUP(BX681,'Gebinde-Kategorie'!$A$5:$N$45,5,0)+0,0))</f>
        <v>11</v>
      </c>
      <c r="CP681" s="53" t="n">
        <f aca="false">IFERROR(IF(OR(CE681=1,CE681=2,CE681=3),N(INDEX(Parameter!$I$5:$I$7,CE681)),0),0)</f>
        <v>0</v>
      </c>
      <c r="CQ681" s="52" t="n">
        <f aca="false">IF(AND(Parameter!$B$21="Ja",ISNUMBER(W681),N(X681)&gt;0),IFERROR(N(INDEX(Parameter!$L$5:$L$7,W681))*INDEX(Parameter!$E$5:$E$7,W681)*X681/SUMIFS($X$7:$X$1843,$W$7:$W$1843,W681),0),0)</f>
        <v>0</v>
      </c>
    </row>
    <row r="682" customFormat="false" ht="15" hidden="false" customHeight="false" outlineLevel="0" collapsed="false">
      <c r="A682" s="48" t="s">
        <v>1375</v>
      </c>
      <c r="B682" s="48" t="s">
        <v>1376</v>
      </c>
      <c r="C682" s="48" t="s">
        <v>173</v>
      </c>
      <c r="D682" s="48" t="s">
        <v>362</v>
      </c>
      <c r="E682" s="48"/>
      <c r="F682" s="48" t="s">
        <v>227</v>
      </c>
      <c r="G682" s="49" t="n">
        <v>1</v>
      </c>
      <c r="H682" s="50" t="n">
        <f aca="false">MAX(0,IF(AND(Parameter!$B$21="Ja",ISNUMBER(Y682)),Y682,IF(Parameter!$B$20="Jahresanfang 2025 + Export",BR682+BQ682,BQ682)))</f>
        <v>0</v>
      </c>
      <c r="I682" s="50" t="n">
        <f aca="false">H682*G682</f>
        <v>0</v>
      </c>
      <c r="J682" s="50" t="n">
        <f aca="false">BT682*Parameter!$B$18</f>
        <v>1</v>
      </c>
      <c r="K682" s="51" t="n">
        <v>0.5</v>
      </c>
      <c r="L682" s="52" t="n">
        <v>2</v>
      </c>
      <c r="M682" s="50" t="n">
        <v>0</v>
      </c>
      <c r="N682" s="50" t="n">
        <v>1</v>
      </c>
      <c r="O682" s="53" t="n">
        <v>0</v>
      </c>
      <c r="P682" s="48" t="s">
        <v>177</v>
      </c>
      <c r="Q682" s="50"/>
      <c r="R682" s="53" t="n">
        <f aca="false">IF(BZ682=1,0,IFERROR(VLOOKUP(BX682,'Gebinde-Kategorie'!$A$5:$N$45,13,0)+0,0))</f>
        <v>0</v>
      </c>
      <c r="S682" s="54"/>
      <c r="T682" s="55"/>
      <c r="U682" s="55"/>
      <c r="V682" s="55"/>
      <c r="W682" s="48"/>
      <c r="X682" s="50"/>
      <c r="Y682" s="50"/>
      <c r="Z682" s="48" t="str">
        <f aca="false">IF(A682="","",IF(AND(Parameter!$B$21="Ja",ISNUMBER(W682)),W682,IF(CC682="2+3",IF(ISNUMBER(SEARCH("grosser Artikel",BU682)),2,IFERROR(VLOOKUP(BX682,Parameter!$F$35:$G$64,2,0),2)),IF(OR(CC682="Nein",CC682=""),"-",CC682))))</f>
        <v>-</v>
      </c>
      <c r="AA682" s="55"/>
      <c r="AB682" s="56"/>
      <c r="AC682" s="50" t="n">
        <f aca="false">AV682</f>
        <v>1</v>
      </c>
      <c r="AD682" s="50" t="n">
        <f aca="false">MAX(AV682,H682)</f>
        <v>1</v>
      </c>
      <c r="AE682" s="57"/>
      <c r="AF682" s="50" t="n">
        <f aca="false">IF(LEFT(Cockpit!$C$5,1)="A",H682,IF(Parameter!$E$30="MAX-Bestand",IF(CH682=1,CI682,IF(LEFT(Cockpit!$C$5,1)="B",AL682,MAX(AL682,H682))),ROUNDUP(AJ682,0)))</f>
        <v>0</v>
      </c>
      <c r="AG682" s="50" t="n">
        <f aca="false">IF(BZ682=1,0,ROUNDUP(AF682/BY682,0))</f>
        <v>0</v>
      </c>
      <c r="AH682" s="52" t="n">
        <f aca="false">IF(CQ682&gt;0,CQ682*MAX(1,AF682/X682),IF(BZ682=1,IF(AF682&lt;=0,0,CD682*MAX(1,IF(H682&gt;0,AF682/H682,1))),IF(R682&gt;0,AG682/R682,0))/MAX(0.1,N(Parameter!$M$21)))</f>
        <v>0</v>
      </c>
      <c r="AI682" s="50" t="n">
        <f aca="false">AH682*CB682</f>
        <v>0</v>
      </c>
      <c r="AJ682" s="51" t="n">
        <f aca="false">IF(LEFT(Cockpit!$C$5,1)="A",H682,IF(CH682=1,(CK682+CI682)/2,IF(LEFT(Cockpit!$C$5,1)="B",(CK682+AL682)/2,MAX((CK682+AL682)/2,H682))))</f>
        <v>0</v>
      </c>
      <c r="AK682" s="50" t="n">
        <f aca="false">AJ682*G682</f>
        <v>0</v>
      </c>
      <c r="AL682" s="50" t="n">
        <f aca="false">ROUNDUP(CK682+MAX(CL682,2*(J682/IF(CG682&gt;0,CG682,MAX(0.1,N(Cockpit!$C$6)))-CK682)),0)</f>
        <v>1</v>
      </c>
      <c r="AM682" s="51" t="n">
        <f aca="false">IF(AI682&gt;0,J682/AI682,-1)</f>
        <v>-1</v>
      </c>
      <c r="AN682" s="51" t="str">
        <f aca="false">IF(AND(OR(CF682="L1",CF682="L23",CF682="LIFT"),AI682&gt;0),SUMIFS($AI$7:$AI$1843,$CF$7:$CF$1843,CF682,$AM$7:$AM$1843,"&gt;"&amp;AM682)+SUMIFS($AI$7:$AI$1843,$CF$7:$CF$1843,CF682,$AM$7:$AM$1843,AM682,$BW$7:$BW$1843,"&lt;="&amp;BW682),"")</f>
        <v/>
      </c>
      <c r="AO682" s="58" t="n">
        <f aca="false">IF(AN682="",0,MAX(0,MIN(1,(IF(CF682="L1",Parameter!$H$5,IF(CF682="L23",Parameter!$H$6+Parameter!$H$7,Parameter!$H$5+Parameter!$H$6+Parameter!$H$7))-(AN682-AI682))/AI682)))</f>
        <v>0</v>
      </c>
      <c r="AP682" s="50" t="n">
        <f aca="false">IF(LEFT(Cockpit!$I$5,1)="A",H682,IF(Parameter!$E$30="MAX-Bestand",IF(CH682=1,CI682,IF(LEFT(Cockpit!$I$5,1)="B",AV682,MAX(AV682,H682))),ROUNDUP(AT682,0)))</f>
        <v>1</v>
      </c>
      <c r="AQ682" s="50" t="n">
        <f aca="false">IF(BZ682=1,0,ROUNDUP(AP682/BY682,0))</f>
        <v>0</v>
      </c>
      <c r="AR682" s="52" t="n">
        <f aca="false">IF(CQ682&gt;0,CQ682*MAX(1,AP682/X682),IF(BZ682=1,IF(AP682&lt;=0,0,CD682*MAX(1,IF(H682&gt;0,AP682/H682,1))),IF(R682&gt;0,AQ682/R682,0))/MAX(0.1,N(Parameter!$M$21)))</f>
        <v>0.15</v>
      </c>
      <c r="AS682" s="50" t="n">
        <f aca="false">AR682*CB682</f>
        <v>35.25</v>
      </c>
      <c r="AT682" s="51" t="n">
        <f aca="false">IF(LEFT(Cockpit!$I$5,1)="A",H682,IF(CH682=1,(CK682+CI682)/2,IF(LEFT(Cockpit!$I$5,1)="B",(CK682+AV682)/2,MAX((CK682+AV682)/2,H682))))</f>
        <v>0.5</v>
      </c>
      <c r="AU682" s="50" t="n">
        <f aca="false">AT682*G682</f>
        <v>0.5</v>
      </c>
      <c r="AV682" s="50" t="n">
        <f aca="false">ROUNDUP(CK682+MAX(CL682,2*(J682/IF(CG682&gt;0,CG682,MAX(0.1,N(Cockpit!$I$6)))-CK682)),0)</f>
        <v>1</v>
      </c>
      <c r="AW682" s="51" t="n">
        <f aca="false">IF(AS682&gt;0,J682/AS682,-1)</f>
        <v>0.0283687943262411</v>
      </c>
      <c r="AX682" s="51" t="str">
        <f aca="false">IF(AND(OR(CF682="L1",CF682="L23",CF682="LIFT"),AS682&gt;0),SUMIFS($AS$7:$AS$1843,$CF$7:$CF$1843,CF682,$AW$7:$AW$1843,"&gt;"&amp;AW682)+SUMIFS($AS$7:$AS$1843,$CF$7:$CF$1843,CF682,$AW$7:$AW$1843,AW682,$BW$7:$BW$1843,"&lt;="&amp;BW682),"")</f>
        <v/>
      </c>
      <c r="AY682" s="58" t="n">
        <f aca="false">IF(AX682="",0,MAX(0,MIN(1,(IF(CF682="L1",Parameter!$H$5,IF(CF682="L23",Parameter!$H$6+Parameter!$H$7,Parameter!$H$5+Parameter!$H$6+Parameter!$H$7))-(AX682-AS682))/AS682)))</f>
        <v>0</v>
      </c>
      <c r="AZ682" s="50" t="n">
        <f aca="false">IF(LEFT(Cockpit!$O$5,1)="A",H682,IF(Parameter!$E$30="MAX-Bestand",IF(CH682=1,CI682,IF(LEFT(Cockpit!$O$5,1)="B",BF682,MAX(BF682,H682))),ROUNDUP(BD682,0)))</f>
        <v>1</v>
      </c>
      <c r="BA682" s="50" t="n">
        <f aca="false">IF(BZ682=1,0,ROUNDUP(AZ682/BY682,0))</f>
        <v>0</v>
      </c>
      <c r="BB682" s="52" t="n">
        <f aca="false">IF(CQ682&gt;0,CQ682*MAX(1,AZ682/X682),IF(BZ682=1,IF(AZ682&lt;=0,0,CD682*MAX(1,IF(H682&gt;0,AZ682/H682,1))),IF(R682&gt;0,BA682/R682,0))/MAX(0.1,N(Parameter!$M$21)))</f>
        <v>0.15</v>
      </c>
      <c r="BC682" s="50" t="n">
        <f aca="false">BB682*CB682</f>
        <v>35.25</v>
      </c>
      <c r="BD682" s="51" t="n">
        <f aca="false">IF(LEFT(Cockpit!$O$5,1)="A",H682,IF(CH682=1,(CK682+CI682)/2,IF(LEFT(Cockpit!$O$5,1)="B",(CK682+BF682)/2,MAX((CK682+BF682)/2,H682))))</f>
        <v>0.5</v>
      </c>
      <c r="BE682" s="50" t="n">
        <f aca="false">BD682*G682</f>
        <v>0.5</v>
      </c>
      <c r="BF682" s="50" t="n">
        <f aca="false">ROUNDUP(CK682+MAX(CL682,2*(J682/IF(CG682&gt;0,CG682,MAX(0.1,N(Cockpit!$O$6)))-CK682)),0)</f>
        <v>1</v>
      </c>
      <c r="BG682" s="51" t="n">
        <f aca="false">IF(BC682&gt;0,J682/BC682,-1)</f>
        <v>0.0283687943262411</v>
      </c>
      <c r="BH682" s="51" t="str">
        <f aca="false">IF(AND(OR(CF682="L1",CF682="L23",CF682="LIFT"),BC682&gt;0),SUMIFS($BC$7:$BC$1843,$CF$7:$CF$1843,CF682,$BG$7:$BG$1843,"&gt;"&amp;BG682)+SUMIFS($BC$7:$BC$1843,$CF$7:$CF$1843,CF682,$BG$7:$BG$1843,BG682,$BW$7:$BW$1843,"&lt;="&amp;BW682),"")</f>
        <v/>
      </c>
      <c r="BI682" s="58" t="n">
        <f aca="false">IF(BH682="",0,MAX(0,MIN(1,(IF(CF682="L1",Parameter!$H$5,IF(CF682="L23",Parameter!$H$6+Parameter!$H$7,Parameter!$H$5+Parameter!$H$6+Parameter!$H$7))-(BH682-BC682))/BC682)))</f>
        <v>0</v>
      </c>
      <c r="BJ682" s="48" t="str">
        <f aca="false">IF(AI682&lt;=0,"",IF(CF682="Aussen","Aussenlager",IF(CF682="-","Nicht im Lift",IF(AO682&gt;=1,"Lift",IF(AO682&lt;=0,"Aussenlager","teilweise")))))</f>
        <v/>
      </c>
      <c r="BK682" s="48" t="str">
        <f aca="false">IF(AS682&lt;=0,"",IF(CF682="Aussen","Aussenlager",IF(CF682="-","Nicht im Lift",IF(AY682&gt;=1,"Lift",IF(AY682&lt;=0,"Aussenlager","teilweise")))))</f>
        <v>Nicht im Lift</v>
      </c>
      <c r="BL682" s="48" t="str">
        <f aca="false">IF(BC682&lt;=0,"",IF(CF682="Aussen","Aussenlager",IF(CF682="-","Nicht im Lift",IF(BI682&gt;=1,"Lift",IF(BI682&lt;=0,"Aussenlager","teilweise")))))</f>
        <v>Nicht im Lift</v>
      </c>
      <c r="BM682" s="48" t="str">
        <f aca="false">IF(A682="","",IF(BV682=1,"Neu; ","")&amp;IF(AND(BV682=0,BQ682&lt;0),"negativer Bestand (Export "&amp;BQ682&amp;"); ","")&amp;IF(J682&lt;=0,"Kein Verbrauch; ","")&amp;IF(CQ682&gt;0,"Lift "&amp;W682&amp;" lt. Liftbericht (Fach "&amp;X682&amp;" Stk); ",IF(CA682=1,"Gebinde geschätzt ("&amp;T682&amp;"); ",IF(BZ682=1,"Lose – Tablare geschätzt; ","")))&amp;IF(H682&gt;AV682,"Überbestand "&amp;ROUND(H682-AV682,0)&amp;" Stk / CHF "&amp;ROUND((H682-AV682)*G682,0)&amp;"; ","")&amp;IF(AND(CH682=1,CI682&lt;CJ682),"MAX &lt; MB+LG; ","")&amp;IF(AND(CP682&gt;0,CO682*10&gt;CP682),"zu hoch für Tablar; ","")&amp;IF(AND(BV682=0,OR(CH682=1,AA682&lt;&gt;"",U682&lt;&gt;"",V682&lt;&gt;"",AB682&lt;&gt;"")),"manuell übersteuert; ","")&amp;IF(AND(BZ682=0,R682=0),"Gebinde unbekannt / Stellmass fehlt; ","")&amp;IF(AND(BZ682=0,N(V682)&lt;=0,N(Q682)&lt;=0),"Menge pro Gebinde fehlt (Ist = 1 Gebinde); ","")&amp;BU682)</f>
        <v>negativer Bestand (Export -1); Lose – Tablare geschätzt; </v>
      </c>
      <c r="BN682" s="48"/>
      <c r="BO682" s="48"/>
      <c r="BP682" s="55"/>
      <c r="BQ682" s="50" t="n">
        <v>-1</v>
      </c>
      <c r="BR682" s="50" t="n">
        <v>1</v>
      </c>
      <c r="BS682" s="49" t="n">
        <v>0</v>
      </c>
      <c r="BT682" s="50" t="n">
        <v>1</v>
      </c>
      <c r="BU682" s="48"/>
      <c r="BV682" s="53" t="n">
        <v>0</v>
      </c>
      <c r="BW682" s="53" t="n">
        <v>682</v>
      </c>
      <c r="BX682" s="48" t="str">
        <f aca="false">IF(U682&lt;&gt;"",UPPER(TRIM(U682)),IF(CA682=1,UPPER(VLOOKUP(T682,Parameter!$I$27:$K$29,2,0)),IF(P682="","LOSE",P682)))</f>
        <v>LOSE</v>
      </c>
      <c r="BY682" s="50" t="n">
        <f aca="false">IF(BX682="LOSE",1,IF(N(V682)&gt;0,V682,IF(CA682=1,MAX(1,N(VLOOKUP(T682,Parameter!$I$27:$K$29,3,0)),H682,N(N682)),IF(N(Q682)&gt;0,Q682,MAX(1,H682)))))</f>
        <v>1</v>
      </c>
      <c r="BZ682" s="53" t="n">
        <f aca="false">IF(BX682="LOSE",1,0)</f>
        <v>1</v>
      </c>
      <c r="CA682" s="53" t="n">
        <f aca="false">IF(AND(U682="",OR(P682="",P682="LOSE"),T682&lt;&gt;"",N(S682)&lt;=0,ISNUMBER(MATCH(T682,Parameter!$I$27:$I$29,0))),1,0)</f>
        <v>0</v>
      </c>
      <c r="CB682" s="53" t="n">
        <f aca="false">IF(CQ682&gt;0,INDEX(Parameter!$H$5:$H$7,W682)/INDEX(Parameter!$E$5:$E$7,W682),IF(AND(BZ682=0,N(IFERROR(VLOOKUP(BX682,'Gebinde-Kategorie'!$A$5:$N$45,14,0),0))&gt;0),VLOOKUP(BX682,'Gebinde-Kategorie'!$A$5:$N$45,14,0)*10+Parameter!$M$23,Parameter!$M$24))</f>
        <v>235</v>
      </c>
      <c r="CC682" s="48" t="str">
        <f aca="false">IF(AND(Parameter!$B$19="Ja",E682&lt;&gt;"",ISNUMBER(MATCH(E682,Parameter!$I$35:$I$52,0))),VLOOKUP(E682,Parameter!$I$35:$J$52,2,0),IFERROR(VLOOKUP(D682,Parameter!$A$35:$C$64,2,0),"Nein"))</f>
        <v>Nein</v>
      </c>
      <c r="CD682" s="52" t="n">
        <f aca="false">IF(BZ682=0,0,IF(N(S682)&gt;0,S682,IFERROR(VLOOKUP(D682,Parameter!$A$35:$C$64,3,0)+0,0)))</f>
        <v>0.15</v>
      </c>
      <c r="CE682" s="48" t="str">
        <f aca="false">IF(AA682&lt;&gt;"",AA682,Z682)</f>
        <v>-</v>
      </c>
      <c r="CF682" s="48" t="str">
        <f aca="false">IF(OR(CE682=1,CE682=2,CE682=3),IF(Parameter!$E$27="Ja","LIFT",IF(CE682=1,"L1","L23")),IF(CE682="Aussen","Aussen","-"))</f>
        <v>-</v>
      </c>
      <c r="CG682" s="59" t="n">
        <f aca="false">IF(N(AB682)&gt;0,AB682,0)</f>
        <v>0</v>
      </c>
      <c r="CH682" s="53" t="n">
        <f aca="false">IF(ISNUMBER(AE682),1,0)</f>
        <v>0</v>
      </c>
      <c r="CI682" s="50" t="n">
        <f aca="false">N(AE682)</f>
        <v>0</v>
      </c>
      <c r="CJ682" s="50" t="n">
        <f aca="false">N(M682)+N(N682)</f>
        <v>1</v>
      </c>
      <c r="CK682" s="50" t="n">
        <f aca="false">N(M682)</f>
        <v>0</v>
      </c>
      <c r="CL682" s="50" t="n">
        <f aca="false">N(N682)</f>
        <v>1</v>
      </c>
      <c r="CM682" s="50" t="n">
        <f aca="false">ROUNDUP(H682/BY682,0)</f>
        <v>0</v>
      </c>
      <c r="CN682" s="50" t="n">
        <f aca="false">ROUNDUP(CI682/BY682,0)</f>
        <v>0</v>
      </c>
      <c r="CO682" s="53" t="n">
        <f aca="false">IF(BZ682=1,0,IFERROR(VLOOKUP(BX682,'Gebinde-Kategorie'!$A$5:$N$45,5,0)+0,0))</f>
        <v>0</v>
      </c>
      <c r="CP682" s="53" t="n">
        <f aca="false">IFERROR(IF(OR(CE682=1,CE682=2,CE682=3),N(INDEX(Parameter!$I$5:$I$7,CE682)),0),0)</f>
        <v>0</v>
      </c>
      <c r="CQ682" s="52" t="n">
        <f aca="false">IF(AND(Parameter!$B$21="Ja",ISNUMBER(W682),N(X682)&gt;0),IFERROR(N(INDEX(Parameter!$L$5:$L$7,W682))*INDEX(Parameter!$E$5:$E$7,W682)*X682/SUMIFS($X$7:$X$1843,$W$7:$W$1843,W682),0),0)</f>
        <v>0</v>
      </c>
    </row>
    <row r="683" customFormat="false" ht="15" hidden="false" customHeight="false" outlineLevel="0" collapsed="false">
      <c r="A683" s="48" t="s">
        <v>1377</v>
      </c>
      <c r="B683" s="48" t="s">
        <v>1378</v>
      </c>
      <c r="C683" s="48" t="s">
        <v>173</v>
      </c>
      <c r="D683" s="48" t="s">
        <v>182</v>
      </c>
      <c r="E683" s="48"/>
      <c r="F683" s="48" t="s">
        <v>227</v>
      </c>
      <c r="G683" s="49" t="n">
        <v>4509.47</v>
      </c>
      <c r="H683" s="50" t="n">
        <f aca="false">MAX(0,IF(AND(Parameter!$B$21="Ja",ISNUMBER(Y683)),Y683,IF(Parameter!$B$20="Jahresanfang 2025 + Export",BR683+BQ683,BQ683)))</f>
        <v>0</v>
      </c>
      <c r="I683" s="50" t="n">
        <f aca="false">H683*G683</f>
        <v>0</v>
      </c>
      <c r="J683" s="50" t="n">
        <f aca="false">BT683*Parameter!$B$18</f>
        <v>5</v>
      </c>
      <c r="K683" s="51" t="n">
        <v>0</v>
      </c>
      <c r="L683" s="52" t="n">
        <v>0</v>
      </c>
      <c r="M683" s="50" t="n">
        <v>0</v>
      </c>
      <c r="N683" s="50" t="n">
        <v>1</v>
      </c>
      <c r="O683" s="53" t="n">
        <v>70</v>
      </c>
      <c r="P683" s="48" t="s">
        <v>177</v>
      </c>
      <c r="Q683" s="50"/>
      <c r="R683" s="53" t="n">
        <f aca="false">IF(BZ683=1,0,IFERROR(VLOOKUP(BX683,'Gebinde-Kategorie'!$A$5:$N$45,13,0)+0,0))</f>
        <v>12</v>
      </c>
      <c r="S683" s="54"/>
      <c r="T683" s="55" t="s">
        <v>188</v>
      </c>
      <c r="U683" s="55"/>
      <c r="V683" s="55"/>
      <c r="W683" s="48"/>
      <c r="X683" s="50"/>
      <c r="Y683" s="50"/>
      <c r="Z683" s="48" t="n">
        <f aca="false">IF(A683="","",IF(AND(Parameter!$B$21="Ja",ISNUMBER(W683)),W683,IF(CC683="2+3",IF(ISNUMBER(SEARCH("grosser Artikel",BU683)),2,IFERROR(VLOOKUP(BX683,Parameter!$F$35:$G$64,2,0),2)),IF(OR(CC683="Nein",CC683=""),"-",CC683))))</f>
        <v>2</v>
      </c>
      <c r="AA683" s="55"/>
      <c r="AB683" s="56"/>
      <c r="AC683" s="50" t="n">
        <f aca="false">AV683</f>
        <v>4</v>
      </c>
      <c r="AD683" s="50" t="n">
        <f aca="false">MAX(AV683,H683)</f>
        <v>4</v>
      </c>
      <c r="AE683" s="57"/>
      <c r="AF683" s="50" t="n">
        <f aca="false">IF(LEFT(Cockpit!$C$5,1)="A",H683,IF(Parameter!$E$30="MAX-Bestand",IF(CH683=1,CI683,IF(LEFT(Cockpit!$C$5,1)="B",AL683,MAX(AL683,H683))),ROUNDUP(AJ683,0)))</f>
        <v>0</v>
      </c>
      <c r="AG683" s="50" t="n">
        <f aca="false">IF(BZ683=1,0,ROUNDUP(AF683/BY683,0))</f>
        <v>0</v>
      </c>
      <c r="AH683" s="52" t="n">
        <f aca="false">IF(CQ683&gt;0,CQ683*MAX(1,AF683/X683),IF(BZ683=1,IF(AF683&lt;=0,0,CD683*MAX(1,IF(H683&gt;0,AF683/H683,1))),IF(R683&gt;0,AG683/R683,0))/MAX(0.1,N(Parameter!$M$21)))</f>
        <v>0</v>
      </c>
      <c r="AI683" s="50" t="n">
        <f aca="false">AH683*CB683</f>
        <v>0</v>
      </c>
      <c r="AJ683" s="51" t="n">
        <f aca="false">IF(LEFT(Cockpit!$C$5,1)="A",H683,IF(CH683=1,(CK683+CI683)/2,IF(LEFT(Cockpit!$C$5,1)="B",(CK683+AL683)/2,MAX((CK683+AL683)/2,H683))))</f>
        <v>0</v>
      </c>
      <c r="AK683" s="50" t="n">
        <f aca="false">AJ683*G683</f>
        <v>0</v>
      </c>
      <c r="AL683" s="50" t="n">
        <f aca="false">ROUNDUP(CK683+MAX(CL683,2*(J683/IF(CG683&gt;0,CG683,MAX(0.1,N(Cockpit!$C$6)))-CK683)),0)</f>
        <v>4</v>
      </c>
      <c r="AM683" s="51" t="n">
        <f aca="false">IF(AI683&gt;0,J683/AI683,-1)</f>
        <v>-1</v>
      </c>
      <c r="AN683" s="51" t="str">
        <f aca="false">IF(AND(OR(CF683="L1",CF683="L23",CF683="LIFT"),AI683&gt;0),SUMIFS($AI$7:$AI$1843,$CF$7:$CF$1843,CF683,$AM$7:$AM$1843,"&gt;"&amp;AM683)+SUMIFS($AI$7:$AI$1843,$CF$7:$CF$1843,CF683,$AM$7:$AM$1843,AM683,$BW$7:$BW$1843,"&lt;="&amp;BW683),"")</f>
        <v/>
      </c>
      <c r="AO683" s="58" t="n">
        <f aca="false">IF(AN683="",0,MAX(0,MIN(1,(IF(CF683="L1",Parameter!$H$5,IF(CF683="L23",Parameter!$H$6+Parameter!$H$7,Parameter!$H$5+Parameter!$H$6+Parameter!$H$7))-(AN683-AI683))/AI683)))</f>
        <v>0</v>
      </c>
      <c r="AP683" s="50" t="n">
        <f aca="false">IF(LEFT(Cockpit!$I$5,1)="A",H683,IF(Parameter!$E$30="MAX-Bestand",IF(CH683=1,CI683,IF(LEFT(Cockpit!$I$5,1)="B",AV683,MAX(AV683,H683))),ROUNDUP(AT683,0)))</f>
        <v>2</v>
      </c>
      <c r="AQ683" s="50" t="n">
        <f aca="false">IF(BZ683=1,0,ROUNDUP(AP683/BY683,0))</f>
        <v>1</v>
      </c>
      <c r="AR683" s="52" t="n">
        <f aca="false">IF(CQ683&gt;0,CQ683*MAX(1,AP683/X683),IF(BZ683=1,IF(AP683&lt;=0,0,CD683*MAX(1,IF(H683&gt;0,AP683/H683,1))),IF(R683&gt;0,AQ683/R683,0))/MAX(0.1,N(Parameter!$M$21)))</f>
        <v>0.0833333333333333</v>
      </c>
      <c r="AS683" s="50" t="n">
        <f aca="false">AR683*CB683</f>
        <v>12.0833333333333</v>
      </c>
      <c r="AT683" s="51" t="n">
        <f aca="false">IF(LEFT(Cockpit!$I$5,1)="A",H683,IF(CH683=1,(CK683+CI683)/2,IF(LEFT(Cockpit!$I$5,1)="B",(CK683+AV683)/2,MAX((CK683+AV683)/2,H683))))</f>
        <v>2</v>
      </c>
      <c r="AU683" s="50" t="n">
        <f aca="false">AT683*G683</f>
        <v>9018.94</v>
      </c>
      <c r="AV683" s="50" t="n">
        <f aca="false">ROUNDUP(CK683+MAX(CL683,2*(J683/IF(CG683&gt;0,CG683,MAX(0.1,N(Cockpit!$I$6)))-CK683)),0)</f>
        <v>4</v>
      </c>
      <c r="AW683" s="51" t="n">
        <f aca="false">IF(AS683&gt;0,J683/AS683,-1)</f>
        <v>0.413793103448276</v>
      </c>
      <c r="AX683" s="51" t="n">
        <f aca="false">IF(AND(OR(CF683="L1",CF683="L23",CF683="LIFT"),AS683&gt;0),SUMIFS($AS$7:$AS$1843,$CF$7:$CF$1843,CF683,$AW$7:$AW$1843,"&gt;"&amp;AW683)+SUMIFS($AS$7:$AS$1843,$CF$7:$CF$1843,CF683,$AW$7:$AW$1843,AW683,$BW$7:$BW$1843,"&lt;="&amp;BW683),"")</f>
        <v>12470.766025641</v>
      </c>
      <c r="AY683" s="58" t="n">
        <f aca="false">IF(AX683="",0,MAX(0,MIN(1,(IF(CF683="L1",Parameter!$H$5,IF(CF683="L23",Parameter!$H$6+Parameter!$H$7,Parameter!$H$5+Parameter!$H$6+Parameter!$H$7))-(AX683-AS683))/AS683)))</f>
        <v>1</v>
      </c>
      <c r="AZ683" s="50" t="n">
        <f aca="false">IF(LEFT(Cockpit!$O$5,1)="A",H683,IF(Parameter!$E$30="MAX-Bestand",IF(CH683=1,CI683,IF(LEFT(Cockpit!$O$5,1)="B",BF683,MAX(BF683,H683))),ROUNDUP(BD683,0)))</f>
        <v>2</v>
      </c>
      <c r="BA683" s="50" t="n">
        <f aca="false">IF(BZ683=1,0,ROUNDUP(AZ683/BY683,0))</f>
        <v>1</v>
      </c>
      <c r="BB683" s="52" t="n">
        <f aca="false">IF(CQ683&gt;0,CQ683*MAX(1,AZ683/X683),IF(BZ683=1,IF(AZ683&lt;=0,0,CD683*MAX(1,IF(H683&gt;0,AZ683/H683,1))),IF(R683&gt;0,BA683/R683,0))/MAX(0.1,N(Parameter!$M$21)))</f>
        <v>0.0833333333333333</v>
      </c>
      <c r="BC683" s="50" t="n">
        <f aca="false">BB683*CB683</f>
        <v>12.0833333333333</v>
      </c>
      <c r="BD683" s="51" t="n">
        <f aca="false">IF(LEFT(Cockpit!$O$5,1)="A",H683,IF(CH683=1,(CK683+CI683)/2,IF(LEFT(Cockpit!$O$5,1)="B",(CK683+BF683)/2,MAX((CK683+BF683)/2,H683))))</f>
        <v>1.5</v>
      </c>
      <c r="BE683" s="50" t="n">
        <f aca="false">BD683*G683</f>
        <v>6764.205</v>
      </c>
      <c r="BF683" s="50" t="n">
        <f aca="false">ROUNDUP(CK683+MAX(CL683,2*(J683/IF(CG683&gt;0,CG683,MAX(0.1,N(Cockpit!$O$6)))-CK683)),0)</f>
        <v>3</v>
      </c>
      <c r="BG683" s="51" t="n">
        <f aca="false">IF(BC683&gt;0,J683/BC683,-1)</f>
        <v>0.413793103448276</v>
      </c>
      <c r="BH683" s="51" t="n">
        <f aca="false">IF(AND(OR(CF683="L1",CF683="L23",CF683="LIFT"),BC683&gt;0),SUMIFS($BC$7:$BC$1843,$CF$7:$CF$1843,CF683,$BG$7:$BG$1843,"&gt;"&amp;BG683)+SUMIFS($BC$7:$BC$1843,$CF$7:$CF$1843,CF683,$BG$7:$BG$1843,BG683,$BW$7:$BW$1843,"&lt;="&amp;BW683),"")</f>
        <v>10691.0196886447</v>
      </c>
      <c r="BI683" s="58" t="n">
        <f aca="false">IF(BH683="",0,MAX(0,MIN(1,(IF(CF683="L1",Parameter!$H$5,IF(CF683="L23",Parameter!$H$6+Parameter!$H$7,Parameter!$H$5+Parameter!$H$6+Parameter!$H$7))-(BH683-BC683))/BC683)))</f>
        <v>1</v>
      </c>
      <c r="BJ683" s="48" t="str">
        <f aca="false">IF(AI683&lt;=0,"",IF(CF683="Aussen","Aussenlager",IF(CF683="-","Nicht im Lift",IF(AO683&gt;=1,"Lift",IF(AO683&lt;=0,"Aussenlager","teilweise")))))</f>
        <v/>
      </c>
      <c r="BK683" s="48" t="str">
        <f aca="false">IF(AS683&lt;=0,"",IF(CF683="Aussen","Aussenlager",IF(CF683="-","Nicht im Lift",IF(AY683&gt;=1,"Lift",IF(AY683&lt;=0,"Aussenlager","teilweise")))))</f>
        <v>Lift</v>
      </c>
      <c r="BL683" s="48" t="str">
        <f aca="false">IF(BC683&lt;=0,"",IF(CF683="Aussen","Aussenlager",IF(CF683="-","Nicht im Lift",IF(BI683&gt;=1,"Lift",IF(BI683&lt;=0,"Aussenlager","teilweise")))))</f>
        <v>Lift</v>
      </c>
      <c r="BM683" s="48" t="str">
        <f aca="false">IF(A683="","",IF(BV683=1,"Neu; ","")&amp;IF(AND(BV683=0,BQ683&lt;0),"negativer Bestand (Export "&amp;BQ683&amp;"); ","")&amp;IF(J683&lt;=0,"Kein Verbrauch; ","")&amp;IF(CQ683&gt;0,"Lift "&amp;W683&amp;" lt. Liftbericht (Fach "&amp;X683&amp;" Stk); ",IF(CA683=1,"Gebinde geschätzt ("&amp;T683&amp;"); ",IF(BZ683=1,"Lose – Tablare geschätzt; ","")))&amp;IF(H683&gt;AV683,"Überbestand "&amp;ROUND(H683-AV683,0)&amp;" Stk / CHF "&amp;ROUND((H683-AV683)*G683,0)&amp;"; ","")&amp;IF(AND(CH683=1,CI683&lt;CJ683),"MAX &lt; MB+LG; ","")&amp;IF(AND(CP683&gt;0,CO683*10&gt;CP683),"zu hoch für Tablar; ","")&amp;IF(AND(BV683=0,OR(CH683=1,AA683&lt;&gt;"",U683&lt;&gt;"",V683&lt;&gt;"",AB683&lt;&gt;"")),"manuell übersteuert; ","")&amp;IF(AND(BZ683=0,R683=0),"Gebinde unbekannt / Stellmass fehlt; ","")&amp;IF(AND(BZ683=0,N(V683)&lt;=0,N(Q683)&lt;=0),"Menge pro Gebinde fehlt (Ist = 1 Gebinde); ","")&amp;BU683)</f>
        <v>Gebinde geschätzt (Mittel); Menge pro Gebinde fehlt (Ist = 1 Gebinde); </v>
      </c>
      <c r="BN683" s="48"/>
      <c r="BO683" s="48"/>
      <c r="BP683" s="55"/>
      <c r="BQ683" s="50" t="n">
        <v>0</v>
      </c>
      <c r="BR683" s="50" t="n">
        <v>0</v>
      </c>
      <c r="BS683" s="49" t="n">
        <v>0</v>
      </c>
      <c r="BT683" s="50" t="n">
        <v>5</v>
      </c>
      <c r="BU683" s="48"/>
      <c r="BV683" s="53" t="n">
        <v>0</v>
      </c>
      <c r="BW683" s="53" t="n">
        <v>683</v>
      </c>
      <c r="BX683" s="48" t="str">
        <f aca="false">IF(U683&lt;&gt;"",UPPER(TRIM(U683)),IF(CA683=1,UPPER(VLOOKUP(T683,Parameter!$I$27:$K$29,2,0)),IF(P683="","LOSE",P683)))</f>
        <v>S61</v>
      </c>
      <c r="BY683" s="50" t="n">
        <f aca="false">IF(BX683="LOSE",1,IF(N(V683)&gt;0,V683,IF(CA683=1,MAX(1,N(VLOOKUP(T683,Parameter!$I$27:$K$29,3,0)),H683,N(N683)),IF(N(Q683)&gt;0,Q683,MAX(1,H683)))))</f>
        <v>4</v>
      </c>
      <c r="BZ683" s="53" t="n">
        <f aca="false">IF(BX683="LOSE",1,0)</f>
        <v>0</v>
      </c>
      <c r="CA683" s="53" t="n">
        <f aca="false">IF(AND(U683="",OR(P683="",P683="LOSE"),T683&lt;&gt;"",N(S683)&lt;=0,ISNUMBER(MATCH(T683,Parameter!$I$27:$I$29,0))),1,0)</f>
        <v>1</v>
      </c>
      <c r="CB683" s="53" t="n">
        <f aca="false">IF(CQ683&gt;0,INDEX(Parameter!$H$5:$H$7,W683)/INDEX(Parameter!$E$5:$E$7,W683),IF(AND(BZ683=0,N(IFERROR(VLOOKUP(BX683,'Gebinde-Kategorie'!$A$5:$N$45,14,0),0))&gt;0),VLOOKUP(BX683,'Gebinde-Kategorie'!$A$5:$N$45,14,0)*10+Parameter!$M$23,Parameter!$M$24))</f>
        <v>145</v>
      </c>
      <c r="CC683" s="48" t="str">
        <f aca="false">IF(AND(Parameter!$B$19="Ja",E683&lt;&gt;"",ISNUMBER(MATCH(E683,Parameter!$I$35:$I$52,0))),VLOOKUP(E683,Parameter!$I$35:$J$52,2,0),IFERROR(VLOOKUP(D683,Parameter!$A$35:$C$64,2,0),"Nein"))</f>
        <v>2+3</v>
      </c>
      <c r="CD683" s="52" t="n">
        <f aca="false">IF(BZ683=0,0,IF(N(S683)&gt;0,S683,IFERROR(VLOOKUP(D683,Parameter!$A$35:$C$64,3,0)+0,0)))</f>
        <v>0</v>
      </c>
      <c r="CE683" s="48" t="n">
        <f aca="false">IF(AA683&lt;&gt;"",AA683,Z683)</f>
        <v>2</v>
      </c>
      <c r="CF683" s="48" t="str">
        <f aca="false">IF(OR(CE683=1,CE683=2,CE683=3),IF(Parameter!$E$27="Ja","LIFT",IF(CE683=1,"L1","L23")),IF(CE683="Aussen","Aussen","-"))</f>
        <v>LIFT</v>
      </c>
      <c r="CG683" s="59" t="n">
        <f aca="false">IF(N(AB683)&gt;0,AB683,0)</f>
        <v>0</v>
      </c>
      <c r="CH683" s="53" t="n">
        <f aca="false">IF(ISNUMBER(AE683),1,0)</f>
        <v>0</v>
      </c>
      <c r="CI683" s="50" t="n">
        <f aca="false">N(AE683)</f>
        <v>0</v>
      </c>
      <c r="CJ683" s="50" t="n">
        <f aca="false">N(M683)+N(N683)</f>
        <v>1</v>
      </c>
      <c r="CK683" s="50" t="n">
        <f aca="false">N(M683)</f>
        <v>0</v>
      </c>
      <c r="CL683" s="50" t="n">
        <f aca="false">N(N683)</f>
        <v>1</v>
      </c>
      <c r="CM683" s="50" t="n">
        <f aca="false">ROUNDUP(H683/BY683,0)</f>
        <v>0</v>
      </c>
      <c r="CN683" s="50" t="n">
        <f aca="false">ROUNDUP(CI683/BY683,0)</f>
        <v>0</v>
      </c>
      <c r="CO683" s="53" t="n">
        <f aca="false">IF(BZ683=1,0,IFERROR(VLOOKUP(BX683,'Gebinde-Kategorie'!$A$5:$N$45,5,0)+0,0))</f>
        <v>11</v>
      </c>
      <c r="CP683" s="53" t="n">
        <f aca="false">IFERROR(IF(OR(CE683=1,CE683=2,CE683=3),N(INDEX(Parameter!$I$5:$I$7,CE683)),0),0)</f>
        <v>0</v>
      </c>
      <c r="CQ683" s="52" t="n">
        <f aca="false">IF(AND(Parameter!$B$21="Ja",ISNUMBER(W683),N(X683)&gt;0),IFERROR(N(INDEX(Parameter!$L$5:$L$7,W683))*INDEX(Parameter!$E$5:$E$7,W683)*X683/SUMIFS($X$7:$X$1843,$W$7:$W$1843,W683),0),0)</f>
        <v>0</v>
      </c>
    </row>
    <row r="684" customFormat="false" ht="15" hidden="false" customHeight="false" outlineLevel="0" collapsed="false">
      <c r="A684" s="48" t="s">
        <v>1379</v>
      </c>
      <c r="B684" s="48" t="s">
        <v>1380</v>
      </c>
      <c r="C684" s="48" t="s">
        <v>173</v>
      </c>
      <c r="D684" s="48" t="s">
        <v>859</v>
      </c>
      <c r="E684" s="48"/>
      <c r="F684" s="48" t="s">
        <v>227</v>
      </c>
      <c r="G684" s="49" t="n">
        <v>159</v>
      </c>
      <c r="H684" s="50" t="n">
        <f aca="false">MAX(0,IF(AND(Parameter!$B$21="Ja",ISNUMBER(Y684)),Y684,IF(Parameter!$B$20="Jahresanfang 2025 + Export",BR684+BQ684,BQ684)))</f>
        <v>0</v>
      </c>
      <c r="I684" s="50" t="n">
        <f aca="false">H684*G684</f>
        <v>0</v>
      </c>
      <c r="J684" s="50" t="n">
        <f aca="false">BT684*Parameter!$B$18</f>
        <v>0</v>
      </c>
      <c r="K684" s="51" t="n">
        <v>0</v>
      </c>
      <c r="L684" s="52" t="n">
        <v>0</v>
      </c>
      <c r="M684" s="50" t="n">
        <v>0</v>
      </c>
      <c r="N684" s="50" t="n">
        <v>1</v>
      </c>
      <c r="O684" s="53" t="n">
        <v>0</v>
      </c>
      <c r="P684" s="48" t="s">
        <v>177</v>
      </c>
      <c r="Q684" s="50"/>
      <c r="R684" s="53" t="n">
        <f aca="false">IF(BZ684=1,0,IFERROR(VLOOKUP(BX684,'Gebinde-Kategorie'!$A$5:$N$45,13,0)+0,0))</f>
        <v>0</v>
      </c>
      <c r="S684" s="54"/>
      <c r="T684" s="55"/>
      <c r="U684" s="55"/>
      <c r="V684" s="55"/>
      <c r="W684" s="48"/>
      <c r="X684" s="50"/>
      <c r="Y684" s="50"/>
      <c r="Z684" s="48" t="str">
        <f aca="false">IF(A684="","",IF(AND(Parameter!$B$21="Ja",ISNUMBER(W684)),W684,IF(CC684="2+3",IF(ISNUMBER(SEARCH("grosser Artikel",BU684)),2,IFERROR(VLOOKUP(BX684,Parameter!$F$35:$G$64,2,0),2)),IF(OR(CC684="Nein",CC684=""),"-",CC684))))</f>
        <v>-</v>
      </c>
      <c r="AA684" s="55"/>
      <c r="AB684" s="56"/>
      <c r="AC684" s="50" t="n">
        <f aca="false">AV684</f>
        <v>1</v>
      </c>
      <c r="AD684" s="50" t="n">
        <f aca="false">MAX(AV684,H684)</f>
        <v>1</v>
      </c>
      <c r="AE684" s="57"/>
      <c r="AF684" s="50" t="n">
        <f aca="false">IF(LEFT(Cockpit!$C$5,1)="A",H684,IF(Parameter!$E$30="MAX-Bestand",IF(CH684=1,CI684,IF(LEFT(Cockpit!$C$5,1)="B",AL684,MAX(AL684,H684))),ROUNDUP(AJ684,0)))</f>
        <v>0</v>
      </c>
      <c r="AG684" s="50" t="n">
        <f aca="false">IF(BZ684=1,0,ROUNDUP(AF684/BY684,0))</f>
        <v>0</v>
      </c>
      <c r="AH684" s="52" t="n">
        <f aca="false">IF(CQ684&gt;0,CQ684*MAX(1,AF684/X684),IF(BZ684=1,IF(AF684&lt;=0,0,CD684*MAX(1,IF(H684&gt;0,AF684/H684,1))),IF(R684&gt;0,AG684/R684,0))/MAX(0.1,N(Parameter!$M$21)))</f>
        <v>0</v>
      </c>
      <c r="AI684" s="50" t="n">
        <f aca="false">AH684*CB684</f>
        <v>0</v>
      </c>
      <c r="AJ684" s="51" t="n">
        <f aca="false">IF(LEFT(Cockpit!$C$5,1)="A",H684,IF(CH684=1,(CK684+CI684)/2,IF(LEFT(Cockpit!$C$5,1)="B",(CK684+AL684)/2,MAX((CK684+AL684)/2,H684))))</f>
        <v>0</v>
      </c>
      <c r="AK684" s="50" t="n">
        <f aca="false">AJ684*G684</f>
        <v>0</v>
      </c>
      <c r="AL684" s="50" t="n">
        <f aca="false">ROUNDUP(CK684+MAX(CL684,2*(J684/IF(CG684&gt;0,CG684,MAX(0.1,N(Cockpit!$C$6)))-CK684)),0)</f>
        <v>1</v>
      </c>
      <c r="AM684" s="51" t="n">
        <f aca="false">IF(AI684&gt;0,J684/AI684,-1)</f>
        <v>-1</v>
      </c>
      <c r="AN684" s="51" t="str">
        <f aca="false">IF(AND(OR(CF684="L1",CF684="L23",CF684="LIFT"),AI684&gt;0),SUMIFS($AI$7:$AI$1843,$CF$7:$CF$1843,CF684,$AM$7:$AM$1843,"&gt;"&amp;AM684)+SUMIFS($AI$7:$AI$1843,$CF$7:$CF$1843,CF684,$AM$7:$AM$1843,AM684,$BW$7:$BW$1843,"&lt;="&amp;BW684),"")</f>
        <v/>
      </c>
      <c r="AO684" s="58" t="n">
        <f aca="false">IF(AN684="",0,MAX(0,MIN(1,(IF(CF684="L1",Parameter!$H$5,IF(CF684="L23",Parameter!$H$6+Parameter!$H$7,Parameter!$H$5+Parameter!$H$6+Parameter!$H$7))-(AN684-AI684))/AI684)))</f>
        <v>0</v>
      </c>
      <c r="AP684" s="50" t="n">
        <f aca="false">IF(LEFT(Cockpit!$I$5,1)="A",H684,IF(Parameter!$E$30="MAX-Bestand",IF(CH684=1,CI684,IF(LEFT(Cockpit!$I$5,1)="B",AV684,MAX(AV684,H684))),ROUNDUP(AT684,0)))</f>
        <v>1</v>
      </c>
      <c r="AQ684" s="50" t="n">
        <f aca="false">IF(BZ684=1,0,ROUNDUP(AP684/BY684,0))</f>
        <v>0</v>
      </c>
      <c r="AR684" s="52" t="n">
        <f aca="false">IF(CQ684&gt;0,CQ684*MAX(1,AP684/X684),IF(BZ684=1,IF(AP684&lt;=0,0,CD684*MAX(1,IF(H684&gt;0,AP684/H684,1))),IF(R684&gt;0,AQ684/R684,0))/MAX(0.1,N(Parameter!$M$21)))</f>
        <v>0.15</v>
      </c>
      <c r="AS684" s="50" t="n">
        <f aca="false">AR684*CB684</f>
        <v>35.25</v>
      </c>
      <c r="AT684" s="51" t="n">
        <f aca="false">IF(LEFT(Cockpit!$I$5,1)="A",H684,IF(CH684=1,(CK684+CI684)/2,IF(LEFT(Cockpit!$I$5,1)="B",(CK684+AV684)/2,MAX((CK684+AV684)/2,H684))))</f>
        <v>0.5</v>
      </c>
      <c r="AU684" s="50" t="n">
        <f aca="false">AT684*G684</f>
        <v>79.5</v>
      </c>
      <c r="AV684" s="50" t="n">
        <f aca="false">ROUNDUP(CK684+MAX(CL684,2*(J684/IF(CG684&gt;0,CG684,MAX(0.1,N(Cockpit!$I$6)))-CK684)),0)</f>
        <v>1</v>
      </c>
      <c r="AW684" s="51" t="n">
        <f aca="false">IF(AS684&gt;0,J684/AS684,-1)</f>
        <v>0</v>
      </c>
      <c r="AX684" s="51" t="str">
        <f aca="false">IF(AND(OR(CF684="L1",CF684="L23",CF684="LIFT"),AS684&gt;0),SUMIFS($AS$7:$AS$1843,$CF$7:$CF$1843,CF684,$AW$7:$AW$1843,"&gt;"&amp;AW684)+SUMIFS($AS$7:$AS$1843,$CF$7:$CF$1843,CF684,$AW$7:$AW$1843,AW684,$BW$7:$BW$1843,"&lt;="&amp;BW684),"")</f>
        <v/>
      </c>
      <c r="AY684" s="58" t="n">
        <f aca="false">IF(AX684="",0,MAX(0,MIN(1,(IF(CF684="L1",Parameter!$H$5,IF(CF684="L23",Parameter!$H$6+Parameter!$H$7,Parameter!$H$5+Parameter!$H$6+Parameter!$H$7))-(AX684-AS684))/AS684)))</f>
        <v>0</v>
      </c>
      <c r="AZ684" s="50" t="n">
        <f aca="false">IF(LEFT(Cockpit!$O$5,1)="A",H684,IF(Parameter!$E$30="MAX-Bestand",IF(CH684=1,CI684,IF(LEFT(Cockpit!$O$5,1)="B",BF684,MAX(BF684,H684))),ROUNDUP(BD684,0)))</f>
        <v>1</v>
      </c>
      <c r="BA684" s="50" t="n">
        <f aca="false">IF(BZ684=1,0,ROUNDUP(AZ684/BY684,0))</f>
        <v>0</v>
      </c>
      <c r="BB684" s="52" t="n">
        <f aca="false">IF(CQ684&gt;0,CQ684*MAX(1,AZ684/X684),IF(BZ684=1,IF(AZ684&lt;=0,0,CD684*MAX(1,IF(H684&gt;0,AZ684/H684,1))),IF(R684&gt;0,BA684/R684,0))/MAX(0.1,N(Parameter!$M$21)))</f>
        <v>0.15</v>
      </c>
      <c r="BC684" s="50" t="n">
        <f aca="false">BB684*CB684</f>
        <v>35.25</v>
      </c>
      <c r="BD684" s="51" t="n">
        <f aca="false">IF(LEFT(Cockpit!$O$5,1)="A",H684,IF(CH684=1,(CK684+CI684)/2,IF(LEFT(Cockpit!$O$5,1)="B",(CK684+BF684)/2,MAX((CK684+BF684)/2,H684))))</f>
        <v>0.5</v>
      </c>
      <c r="BE684" s="50" t="n">
        <f aca="false">BD684*G684</f>
        <v>79.5</v>
      </c>
      <c r="BF684" s="50" t="n">
        <f aca="false">ROUNDUP(CK684+MAX(CL684,2*(J684/IF(CG684&gt;0,CG684,MAX(0.1,N(Cockpit!$O$6)))-CK684)),0)</f>
        <v>1</v>
      </c>
      <c r="BG684" s="51" t="n">
        <f aca="false">IF(BC684&gt;0,J684/BC684,-1)</f>
        <v>0</v>
      </c>
      <c r="BH684" s="51" t="str">
        <f aca="false">IF(AND(OR(CF684="L1",CF684="L23",CF684="LIFT"),BC684&gt;0),SUMIFS($BC$7:$BC$1843,$CF$7:$CF$1843,CF684,$BG$7:$BG$1843,"&gt;"&amp;BG684)+SUMIFS($BC$7:$BC$1843,$CF$7:$CF$1843,CF684,$BG$7:$BG$1843,BG684,$BW$7:$BW$1843,"&lt;="&amp;BW684),"")</f>
        <v/>
      </c>
      <c r="BI684" s="58" t="n">
        <f aca="false">IF(BH684="",0,MAX(0,MIN(1,(IF(CF684="L1",Parameter!$H$5,IF(CF684="L23",Parameter!$H$6+Parameter!$H$7,Parameter!$H$5+Parameter!$H$6+Parameter!$H$7))-(BH684-BC684))/BC684)))</f>
        <v>0</v>
      </c>
      <c r="BJ684" s="48" t="str">
        <f aca="false">IF(AI684&lt;=0,"",IF(CF684="Aussen","Aussenlager",IF(CF684="-","Nicht im Lift",IF(AO684&gt;=1,"Lift",IF(AO684&lt;=0,"Aussenlager","teilweise")))))</f>
        <v/>
      </c>
      <c r="BK684" s="48" t="str">
        <f aca="false">IF(AS684&lt;=0,"",IF(CF684="Aussen","Aussenlager",IF(CF684="-","Nicht im Lift",IF(AY684&gt;=1,"Lift",IF(AY684&lt;=0,"Aussenlager","teilweise")))))</f>
        <v>Nicht im Lift</v>
      </c>
      <c r="BL684" s="48" t="str">
        <f aca="false">IF(BC684&lt;=0,"",IF(CF684="Aussen","Aussenlager",IF(CF684="-","Nicht im Lift",IF(BI684&gt;=1,"Lift",IF(BI684&lt;=0,"Aussenlager","teilweise")))))</f>
        <v>Nicht im Lift</v>
      </c>
      <c r="BM684" s="48" t="str">
        <f aca="false">IF(A684="","",IF(BV684=1,"Neu; ","")&amp;IF(AND(BV684=0,BQ684&lt;0),"negativer Bestand (Export "&amp;BQ684&amp;"); ","")&amp;IF(J684&lt;=0,"Kein Verbrauch; ","")&amp;IF(CQ684&gt;0,"Lift "&amp;W684&amp;" lt. Liftbericht (Fach "&amp;X684&amp;" Stk); ",IF(CA684=1,"Gebinde geschätzt ("&amp;T684&amp;"); ",IF(BZ684=1,"Lose – Tablare geschätzt; ","")))&amp;IF(H684&gt;AV684,"Überbestand "&amp;ROUND(H684-AV684,0)&amp;" Stk / CHF "&amp;ROUND((H684-AV684)*G684,0)&amp;"; ","")&amp;IF(AND(CH684=1,CI684&lt;CJ684),"MAX &lt; MB+LG; ","")&amp;IF(AND(CP684&gt;0,CO684*10&gt;CP684),"zu hoch für Tablar; ","")&amp;IF(AND(BV684=0,OR(CH684=1,AA684&lt;&gt;"",U684&lt;&gt;"",V684&lt;&gt;"",AB684&lt;&gt;"")),"manuell übersteuert; ","")&amp;IF(AND(BZ684=0,R684=0),"Gebinde unbekannt / Stellmass fehlt; ","")&amp;IF(AND(BZ684=0,N(V684)&lt;=0,N(Q684)&lt;=0),"Menge pro Gebinde fehlt (Ist = 1 Gebinde); ","")&amp;BU684)</f>
        <v>Kein Verbrauch; Lose – Tablare geschätzt; </v>
      </c>
      <c r="BN684" s="48"/>
      <c r="BO684" s="48"/>
      <c r="BP684" s="55"/>
      <c r="BQ684" s="50" t="n">
        <v>0</v>
      </c>
      <c r="BR684" s="50" t="n">
        <v>0</v>
      </c>
      <c r="BS684" s="49" t="n">
        <v>0</v>
      </c>
      <c r="BT684" s="50" t="n">
        <v>0</v>
      </c>
      <c r="BU684" s="48"/>
      <c r="BV684" s="53" t="n">
        <v>0</v>
      </c>
      <c r="BW684" s="53" t="n">
        <v>684</v>
      </c>
      <c r="BX684" s="48" t="str">
        <f aca="false">IF(U684&lt;&gt;"",UPPER(TRIM(U684)),IF(CA684=1,UPPER(VLOOKUP(T684,Parameter!$I$27:$K$29,2,0)),IF(P684="","LOSE",P684)))</f>
        <v>LOSE</v>
      </c>
      <c r="BY684" s="50" t="n">
        <f aca="false">IF(BX684="LOSE",1,IF(N(V684)&gt;0,V684,IF(CA684=1,MAX(1,N(VLOOKUP(T684,Parameter!$I$27:$K$29,3,0)),H684,N(N684)),IF(N(Q684)&gt;0,Q684,MAX(1,H684)))))</f>
        <v>1</v>
      </c>
      <c r="BZ684" s="53" t="n">
        <f aca="false">IF(BX684="LOSE",1,0)</f>
        <v>1</v>
      </c>
      <c r="CA684" s="53" t="n">
        <f aca="false">IF(AND(U684="",OR(P684="",P684="LOSE"),T684&lt;&gt;"",N(S684)&lt;=0,ISNUMBER(MATCH(T684,Parameter!$I$27:$I$29,0))),1,0)</f>
        <v>0</v>
      </c>
      <c r="CB684" s="53" t="n">
        <f aca="false">IF(CQ684&gt;0,INDEX(Parameter!$H$5:$H$7,W684)/INDEX(Parameter!$E$5:$E$7,W684),IF(AND(BZ684=0,N(IFERROR(VLOOKUP(BX684,'Gebinde-Kategorie'!$A$5:$N$45,14,0),0))&gt;0),VLOOKUP(BX684,'Gebinde-Kategorie'!$A$5:$N$45,14,0)*10+Parameter!$M$23,Parameter!$M$24))</f>
        <v>235</v>
      </c>
      <c r="CC684" s="48" t="str">
        <f aca="false">IF(AND(Parameter!$B$19="Ja",E684&lt;&gt;"",ISNUMBER(MATCH(E684,Parameter!$I$35:$I$52,0))),VLOOKUP(E684,Parameter!$I$35:$J$52,2,0),IFERROR(VLOOKUP(D684,Parameter!$A$35:$C$64,2,0),"Nein"))</f>
        <v>Nein</v>
      </c>
      <c r="CD684" s="52" t="n">
        <f aca="false">IF(BZ684=0,0,IF(N(S684)&gt;0,S684,IFERROR(VLOOKUP(D684,Parameter!$A$35:$C$64,3,0)+0,0)))</f>
        <v>0.15</v>
      </c>
      <c r="CE684" s="48" t="str">
        <f aca="false">IF(AA684&lt;&gt;"",AA684,Z684)</f>
        <v>-</v>
      </c>
      <c r="CF684" s="48" t="str">
        <f aca="false">IF(OR(CE684=1,CE684=2,CE684=3),IF(Parameter!$E$27="Ja","LIFT",IF(CE684=1,"L1","L23")),IF(CE684="Aussen","Aussen","-"))</f>
        <v>-</v>
      </c>
      <c r="CG684" s="59" t="n">
        <f aca="false">IF(N(AB684)&gt;0,AB684,0)</f>
        <v>0</v>
      </c>
      <c r="CH684" s="53" t="n">
        <f aca="false">IF(ISNUMBER(AE684),1,0)</f>
        <v>0</v>
      </c>
      <c r="CI684" s="50" t="n">
        <f aca="false">N(AE684)</f>
        <v>0</v>
      </c>
      <c r="CJ684" s="50" t="n">
        <f aca="false">N(M684)+N(N684)</f>
        <v>1</v>
      </c>
      <c r="CK684" s="50" t="n">
        <f aca="false">N(M684)</f>
        <v>0</v>
      </c>
      <c r="CL684" s="50" t="n">
        <f aca="false">N(N684)</f>
        <v>1</v>
      </c>
      <c r="CM684" s="50" t="n">
        <f aca="false">ROUNDUP(H684/BY684,0)</f>
        <v>0</v>
      </c>
      <c r="CN684" s="50" t="n">
        <f aca="false">ROUNDUP(CI684/BY684,0)</f>
        <v>0</v>
      </c>
      <c r="CO684" s="53" t="n">
        <f aca="false">IF(BZ684=1,0,IFERROR(VLOOKUP(BX684,'Gebinde-Kategorie'!$A$5:$N$45,5,0)+0,0))</f>
        <v>0</v>
      </c>
      <c r="CP684" s="53" t="n">
        <f aca="false">IFERROR(IF(OR(CE684=1,CE684=2,CE684=3),N(INDEX(Parameter!$I$5:$I$7,CE684)),0),0)</f>
        <v>0</v>
      </c>
      <c r="CQ684" s="52" t="n">
        <f aca="false">IF(AND(Parameter!$B$21="Ja",ISNUMBER(W684),N(X684)&gt;0),IFERROR(N(INDEX(Parameter!$L$5:$L$7,W684))*INDEX(Parameter!$E$5:$E$7,W684)*X684/SUMIFS($X$7:$X$1843,$W$7:$W$1843,W684),0),0)</f>
        <v>0</v>
      </c>
    </row>
    <row r="685" customFormat="false" ht="15" hidden="false" customHeight="false" outlineLevel="0" collapsed="false">
      <c r="A685" s="48" t="s">
        <v>1381</v>
      </c>
      <c r="B685" s="48" t="s">
        <v>1382</v>
      </c>
      <c r="C685" s="48" t="s">
        <v>173</v>
      </c>
      <c r="D685" s="48" t="s">
        <v>1004</v>
      </c>
      <c r="E685" s="48"/>
      <c r="F685" s="48" t="s">
        <v>227</v>
      </c>
      <c r="G685" s="49" t="n">
        <v>3157.32</v>
      </c>
      <c r="H685" s="50" t="n">
        <f aca="false">MAX(0,IF(AND(Parameter!$B$21="Ja",ISNUMBER(Y685)),Y685,IF(Parameter!$B$20="Jahresanfang 2025 + Export",BR685+BQ685,BQ685)))</f>
        <v>0</v>
      </c>
      <c r="I685" s="50" t="n">
        <f aca="false">H685*G685</f>
        <v>0</v>
      </c>
      <c r="J685" s="50" t="n">
        <f aca="false">BT685*Parameter!$B$18</f>
        <v>3</v>
      </c>
      <c r="K685" s="51" t="n">
        <v>0</v>
      </c>
      <c r="L685" s="52" t="n">
        <v>0</v>
      </c>
      <c r="M685" s="50" t="n">
        <v>0</v>
      </c>
      <c r="N685" s="50" t="n">
        <v>1</v>
      </c>
      <c r="O685" s="53" t="n">
        <v>70</v>
      </c>
      <c r="P685" s="48" t="s">
        <v>177</v>
      </c>
      <c r="Q685" s="50"/>
      <c r="R685" s="53" t="n">
        <f aca="false">IF(BZ685=1,0,IFERROR(VLOOKUP(BX685,'Gebinde-Kategorie'!$A$5:$N$45,13,0)+0,0))</f>
        <v>0</v>
      </c>
      <c r="S685" s="54"/>
      <c r="T685" s="55"/>
      <c r="U685" s="55"/>
      <c r="V685" s="55"/>
      <c r="W685" s="48"/>
      <c r="X685" s="50"/>
      <c r="Y685" s="50"/>
      <c r="Z685" s="48" t="str">
        <f aca="false">IF(A685="","",IF(AND(Parameter!$B$21="Ja",ISNUMBER(W685)),W685,IF(CC685="2+3",IF(ISNUMBER(SEARCH("grosser Artikel",BU685)),2,IFERROR(VLOOKUP(BX685,Parameter!$F$35:$G$64,2,0),2)),IF(OR(CC685="Nein",CC685=""),"-",CC685))))</f>
        <v>-</v>
      </c>
      <c r="AA685" s="55"/>
      <c r="AB685" s="56"/>
      <c r="AC685" s="50" t="n">
        <f aca="false">AV685</f>
        <v>2</v>
      </c>
      <c r="AD685" s="50" t="n">
        <f aca="false">MAX(AV685,H685)</f>
        <v>2</v>
      </c>
      <c r="AE685" s="57"/>
      <c r="AF685" s="50" t="n">
        <f aca="false">IF(LEFT(Cockpit!$C$5,1)="A",H685,IF(Parameter!$E$30="MAX-Bestand",IF(CH685=1,CI685,IF(LEFT(Cockpit!$C$5,1)="B",AL685,MAX(AL685,H685))),ROUNDUP(AJ685,0)))</f>
        <v>0</v>
      </c>
      <c r="AG685" s="50" t="n">
        <f aca="false">IF(BZ685=1,0,ROUNDUP(AF685/BY685,0))</f>
        <v>0</v>
      </c>
      <c r="AH685" s="52" t="n">
        <f aca="false">IF(CQ685&gt;0,CQ685*MAX(1,AF685/X685),IF(BZ685=1,IF(AF685&lt;=0,0,CD685*MAX(1,IF(H685&gt;0,AF685/H685,1))),IF(R685&gt;0,AG685/R685,0))/MAX(0.1,N(Parameter!$M$21)))</f>
        <v>0</v>
      </c>
      <c r="AI685" s="50" t="n">
        <f aca="false">AH685*CB685</f>
        <v>0</v>
      </c>
      <c r="AJ685" s="51" t="n">
        <f aca="false">IF(LEFT(Cockpit!$C$5,1)="A",H685,IF(CH685=1,(CK685+CI685)/2,IF(LEFT(Cockpit!$C$5,1)="B",(CK685+AL685)/2,MAX((CK685+AL685)/2,H685))))</f>
        <v>0</v>
      </c>
      <c r="AK685" s="50" t="n">
        <f aca="false">AJ685*G685</f>
        <v>0</v>
      </c>
      <c r="AL685" s="50" t="n">
        <f aca="false">ROUNDUP(CK685+MAX(CL685,2*(J685/IF(CG685&gt;0,CG685,MAX(0.1,N(Cockpit!$C$6)))-CK685)),0)</f>
        <v>2</v>
      </c>
      <c r="AM685" s="51" t="n">
        <f aca="false">IF(AI685&gt;0,J685/AI685,-1)</f>
        <v>-1</v>
      </c>
      <c r="AN685" s="51" t="str">
        <f aca="false">IF(AND(OR(CF685="L1",CF685="L23",CF685="LIFT"),AI685&gt;0),SUMIFS($AI$7:$AI$1843,$CF$7:$CF$1843,CF685,$AM$7:$AM$1843,"&gt;"&amp;AM685)+SUMIFS($AI$7:$AI$1843,$CF$7:$CF$1843,CF685,$AM$7:$AM$1843,AM685,$BW$7:$BW$1843,"&lt;="&amp;BW685),"")</f>
        <v/>
      </c>
      <c r="AO685" s="58" t="n">
        <f aca="false">IF(AN685="",0,MAX(0,MIN(1,(IF(CF685="L1",Parameter!$H$5,IF(CF685="L23",Parameter!$H$6+Parameter!$H$7,Parameter!$H$5+Parameter!$H$6+Parameter!$H$7))-(AN685-AI685))/AI685)))</f>
        <v>0</v>
      </c>
      <c r="AP685" s="50" t="n">
        <f aca="false">IF(LEFT(Cockpit!$I$5,1)="A",H685,IF(Parameter!$E$30="MAX-Bestand",IF(CH685=1,CI685,IF(LEFT(Cockpit!$I$5,1)="B",AV685,MAX(AV685,H685))),ROUNDUP(AT685,0)))</f>
        <v>1</v>
      </c>
      <c r="AQ685" s="50" t="n">
        <f aca="false">IF(BZ685=1,0,ROUNDUP(AP685/BY685,0))</f>
        <v>0</v>
      </c>
      <c r="AR685" s="52" t="n">
        <f aca="false">IF(CQ685&gt;0,CQ685*MAX(1,AP685/X685),IF(BZ685=1,IF(AP685&lt;=0,0,CD685*MAX(1,IF(H685&gt;0,AP685/H685,1))),IF(R685&gt;0,AQ685/R685,0))/MAX(0.1,N(Parameter!$M$21)))</f>
        <v>0.15</v>
      </c>
      <c r="AS685" s="50" t="n">
        <f aca="false">AR685*CB685</f>
        <v>35.25</v>
      </c>
      <c r="AT685" s="51" t="n">
        <f aca="false">IF(LEFT(Cockpit!$I$5,1)="A",H685,IF(CH685=1,(CK685+CI685)/2,IF(LEFT(Cockpit!$I$5,1)="B",(CK685+AV685)/2,MAX((CK685+AV685)/2,H685))))</f>
        <v>1</v>
      </c>
      <c r="AU685" s="50" t="n">
        <f aca="false">AT685*G685</f>
        <v>3157.32</v>
      </c>
      <c r="AV685" s="50" t="n">
        <f aca="false">ROUNDUP(CK685+MAX(CL685,2*(J685/IF(CG685&gt;0,CG685,MAX(0.1,N(Cockpit!$I$6)))-CK685)),0)</f>
        <v>2</v>
      </c>
      <c r="AW685" s="51" t="n">
        <f aca="false">IF(AS685&gt;0,J685/AS685,-1)</f>
        <v>0.0851063829787234</v>
      </c>
      <c r="AX685" s="51" t="str">
        <f aca="false">IF(AND(OR(CF685="L1",CF685="L23",CF685="LIFT"),AS685&gt;0),SUMIFS($AS$7:$AS$1843,$CF$7:$CF$1843,CF685,$AW$7:$AW$1843,"&gt;"&amp;AW685)+SUMIFS($AS$7:$AS$1843,$CF$7:$CF$1843,CF685,$AW$7:$AW$1843,AW685,$BW$7:$BW$1843,"&lt;="&amp;BW685),"")</f>
        <v/>
      </c>
      <c r="AY685" s="58" t="n">
        <f aca="false">IF(AX685="",0,MAX(0,MIN(1,(IF(CF685="L1",Parameter!$H$5,IF(CF685="L23",Parameter!$H$6+Parameter!$H$7,Parameter!$H$5+Parameter!$H$6+Parameter!$H$7))-(AX685-AS685))/AS685)))</f>
        <v>0</v>
      </c>
      <c r="AZ685" s="50" t="n">
        <f aca="false">IF(LEFT(Cockpit!$O$5,1)="A",H685,IF(Parameter!$E$30="MAX-Bestand",IF(CH685=1,CI685,IF(LEFT(Cockpit!$O$5,1)="B",BF685,MAX(BF685,H685))),ROUNDUP(BD685,0)))</f>
        <v>1</v>
      </c>
      <c r="BA685" s="50" t="n">
        <f aca="false">IF(BZ685=1,0,ROUNDUP(AZ685/BY685,0))</f>
        <v>0</v>
      </c>
      <c r="BB685" s="52" t="n">
        <f aca="false">IF(CQ685&gt;0,CQ685*MAX(1,AZ685/X685),IF(BZ685=1,IF(AZ685&lt;=0,0,CD685*MAX(1,IF(H685&gt;0,AZ685/H685,1))),IF(R685&gt;0,BA685/R685,0))/MAX(0.1,N(Parameter!$M$21)))</f>
        <v>0.15</v>
      </c>
      <c r="BC685" s="50" t="n">
        <f aca="false">BB685*CB685</f>
        <v>35.25</v>
      </c>
      <c r="BD685" s="51" t="n">
        <f aca="false">IF(LEFT(Cockpit!$O$5,1)="A",H685,IF(CH685=1,(CK685+CI685)/2,IF(LEFT(Cockpit!$O$5,1)="B",(CK685+BF685)/2,MAX((CK685+BF685)/2,H685))))</f>
        <v>1</v>
      </c>
      <c r="BE685" s="50" t="n">
        <f aca="false">BD685*G685</f>
        <v>3157.32</v>
      </c>
      <c r="BF685" s="50" t="n">
        <f aca="false">ROUNDUP(CK685+MAX(CL685,2*(J685/IF(CG685&gt;0,CG685,MAX(0.1,N(Cockpit!$O$6)))-CK685)),0)</f>
        <v>2</v>
      </c>
      <c r="BG685" s="51" t="n">
        <f aca="false">IF(BC685&gt;0,J685/BC685,-1)</f>
        <v>0.0851063829787234</v>
      </c>
      <c r="BH685" s="51" t="str">
        <f aca="false">IF(AND(OR(CF685="L1",CF685="L23",CF685="LIFT"),BC685&gt;0),SUMIFS($BC$7:$BC$1843,$CF$7:$CF$1843,CF685,$BG$7:$BG$1843,"&gt;"&amp;BG685)+SUMIFS($BC$7:$BC$1843,$CF$7:$CF$1843,CF685,$BG$7:$BG$1843,BG685,$BW$7:$BW$1843,"&lt;="&amp;BW685),"")</f>
        <v/>
      </c>
      <c r="BI685" s="58" t="n">
        <f aca="false">IF(BH685="",0,MAX(0,MIN(1,(IF(CF685="L1",Parameter!$H$5,IF(CF685="L23",Parameter!$H$6+Parameter!$H$7,Parameter!$H$5+Parameter!$H$6+Parameter!$H$7))-(BH685-BC685))/BC685)))</f>
        <v>0</v>
      </c>
      <c r="BJ685" s="48" t="str">
        <f aca="false">IF(AI685&lt;=0,"",IF(CF685="Aussen","Aussenlager",IF(CF685="-","Nicht im Lift",IF(AO685&gt;=1,"Lift",IF(AO685&lt;=0,"Aussenlager","teilweise")))))</f>
        <v/>
      </c>
      <c r="BK685" s="48" t="str">
        <f aca="false">IF(AS685&lt;=0,"",IF(CF685="Aussen","Aussenlager",IF(CF685="-","Nicht im Lift",IF(AY685&gt;=1,"Lift",IF(AY685&lt;=0,"Aussenlager","teilweise")))))</f>
        <v>Nicht im Lift</v>
      </c>
      <c r="BL685" s="48" t="str">
        <f aca="false">IF(BC685&lt;=0,"",IF(CF685="Aussen","Aussenlager",IF(CF685="-","Nicht im Lift",IF(BI685&gt;=1,"Lift",IF(BI685&lt;=0,"Aussenlager","teilweise")))))</f>
        <v>Nicht im Lift</v>
      </c>
      <c r="BM685" s="48" t="str">
        <f aca="false">IF(A685="","",IF(BV685=1,"Neu; ","")&amp;IF(AND(BV685=0,BQ685&lt;0),"negativer Bestand (Export "&amp;BQ685&amp;"); ","")&amp;IF(J685&lt;=0,"Kein Verbrauch; ","")&amp;IF(CQ685&gt;0,"Lift "&amp;W685&amp;" lt. Liftbericht (Fach "&amp;X685&amp;" Stk); ",IF(CA685=1,"Gebinde geschätzt ("&amp;T685&amp;"); ",IF(BZ685=1,"Lose – Tablare geschätzt; ","")))&amp;IF(H685&gt;AV685,"Überbestand "&amp;ROUND(H685-AV685,0)&amp;" Stk / CHF "&amp;ROUND((H685-AV685)*G685,0)&amp;"; ","")&amp;IF(AND(CH685=1,CI685&lt;CJ685),"MAX &lt; MB+LG; ","")&amp;IF(AND(CP685&gt;0,CO685*10&gt;CP685),"zu hoch für Tablar; ","")&amp;IF(AND(BV685=0,OR(CH685=1,AA685&lt;&gt;"",U685&lt;&gt;"",V685&lt;&gt;"",AB685&lt;&gt;"")),"manuell übersteuert; ","")&amp;IF(AND(BZ685=0,R685=0),"Gebinde unbekannt / Stellmass fehlt; ","")&amp;IF(AND(BZ685=0,N(V685)&lt;=0,N(Q685)&lt;=0),"Menge pro Gebinde fehlt (Ist = 1 Gebinde); ","")&amp;BU685)</f>
        <v>Lose – Tablare geschätzt; </v>
      </c>
      <c r="BN685" s="48"/>
      <c r="BO685" s="48"/>
      <c r="BP685" s="55"/>
      <c r="BQ685" s="50" t="n">
        <v>0</v>
      </c>
      <c r="BR685" s="50" t="n">
        <v>0</v>
      </c>
      <c r="BS685" s="49" t="n">
        <v>0</v>
      </c>
      <c r="BT685" s="50" t="n">
        <v>3</v>
      </c>
      <c r="BU685" s="48"/>
      <c r="BV685" s="53" t="n">
        <v>0</v>
      </c>
      <c r="BW685" s="53" t="n">
        <v>685</v>
      </c>
      <c r="BX685" s="48" t="str">
        <f aca="false">IF(U685&lt;&gt;"",UPPER(TRIM(U685)),IF(CA685=1,UPPER(VLOOKUP(T685,Parameter!$I$27:$K$29,2,0)),IF(P685="","LOSE",P685)))</f>
        <v>LOSE</v>
      </c>
      <c r="BY685" s="50" t="n">
        <f aca="false">IF(BX685="LOSE",1,IF(N(V685)&gt;0,V685,IF(CA685=1,MAX(1,N(VLOOKUP(T685,Parameter!$I$27:$K$29,3,0)),H685,N(N685)),IF(N(Q685)&gt;0,Q685,MAX(1,H685)))))</f>
        <v>1</v>
      </c>
      <c r="BZ685" s="53" t="n">
        <f aca="false">IF(BX685="LOSE",1,0)</f>
        <v>1</v>
      </c>
      <c r="CA685" s="53" t="n">
        <f aca="false">IF(AND(U685="",OR(P685="",P685="LOSE"),T685&lt;&gt;"",N(S685)&lt;=0,ISNUMBER(MATCH(T685,Parameter!$I$27:$I$29,0))),1,0)</f>
        <v>0</v>
      </c>
      <c r="CB685" s="53" t="n">
        <f aca="false">IF(CQ685&gt;0,INDEX(Parameter!$H$5:$H$7,W685)/INDEX(Parameter!$E$5:$E$7,W685),IF(AND(BZ685=0,N(IFERROR(VLOOKUP(BX685,'Gebinde-Kategorie'!$A$5:$N$45,14,0),0))&gt;0),VLOOKUP(BX685,'Gebinde-Kategorie'!$A$5:$N$45,14,0)*10+Parameter!$M$23,Parameter!$M$24))</f>
        <v>235</v>
      </c>
      <c r="CC685" s="48" t="str">
        <f aca="false">IF(AND(Parameter!$B$19="Ja",E685&lt;&gt;"",ISNUMBER(MATCH(E685,Parameter!$I$35:$I$52,0))),VLOOKUP(E685,Parameter!$I$35:$J$52,2,0),IFERROR(VLOOKUP(D685,Parameter!$A$35:$C$64,2,0),"Nein"))</f>
        <v>Nein</v>
      </c>
      <c r="CD685" s="52" t="n">
        <f aca="false">IF(BZ685=0,0,IF(N(S685)&gt;0,S685,IFERROR(VLOOKUP(D685,Parameter!$A$35:$C$64,3,0)+0,0)))</f>
        <v>0.15</v>
      </c>
      <c r="CE685" s="48" t="str">
        <f aca="false">IF(AA685&lt;&gt;"",AA685,Z685)</f>
        <v>-</v>
      </c>
      <c r="CF685" s="48" t="str">
        <f aca="false">IF(OR(CE685=1,CE685=2,CE685=3),IF(Parameter!$E$27="Ja","LIFT",IF(CE685=1,"L1","L23")),IF(CE685="Aussen","Aussen","-"))</f>
        <v>-</v>
      </c>
      <c r="CG685" s="59" t="n">
        <f aca="false">IF(N(AB685)&gt;0,AB685,0)</f>
        <v>0</v>
      </c>
      <c r="CH685" s="53" t="n">
        <f aca="false">IF(ISNUMBER(AE685),1,0)</f>
        <v>0</v>
      </c>
      <c r="CI685" s="50" t="n">
        <f aca="false">N(AE685)</f>
        <v>0</v>
      </c>
      <c r="CJ685" s="50" t="n">
        <f aca="false">N(M685)+N(N685)</f>
        <v>1</v>
      </c>
      <c r="CK685" s="50" t="n">
        <f aca="false">N(M685)</f>
        <v>0</v>
      </c>
      <c r="CL685" s="50" t="n">
        <f aca="false">N(N685)</f>
        <v>1</v>
      </c>
      <c r="CM685" s="50" t="n">
        <f aca="false">ROUNDUP(H685/BY685,0)</f>
        <v>0</v>
      </c>
      <c r="CN685" s="50" t="n">
        <f aca="false">ROUNDUP(CI685/BY685,0)</f>
        <v>0</v>
      </c>
      <c r="CO685" s="53" t="n">
        <f aca="false">IF(BZ685=1,0,IFERROR(VLOOKUP(BX685,'Gebinde-Kategorie'!$A$5:$N$45,5,0)+0,0))</f>
        <v>0</v>
      </c>
      <c r="CP685" s="53" t="n">
        <f aca="false">IFERROR(IF(OR(CE685=1,CE685=2,CE685=3),N(INDEX(Parameter!$I$5:$I$7,CE685)),0),0)</f>
        <v>0</v>
      </c>
      <c r="CQ685" s="52" t="n">
        <f aca="false">IF(AND(Parameter!$B$21="Ja",ISNUMBER(W685),N(X685)&gt;0),IFERROR(N(INDEX(Parameter!$L$5:$L$7,W685))*INDEX(Parameter!$E$5:$E$7,W685)*X685/SUMIFS($X$7:$X$1843,$W$7:$W$1843,W685),0),0)</f>
        <v>0</v>
      </c>
    </row>
    <row r="686" customFormat="false" ht="15" hidden="false" customHeight="false" outlineLevel="0" collapsed="false">
      <c r="A686" s="48" t="s">
        <v>1383</v>
      </c>
      <c r="B686" s="48" t="s">
        <v>1347</v>
      </c>
      <c r="C686" s="48" t="s">
        <v>173</v>
      </c>
      <c r="D686" s="48" t="s">
        <v>1348</v>
      </c>
      <c r="E686" s="48"/>
      <c r="F686" s="48" t="s">
        <v>227</v>
      </c>
      <c r="G686" s="49" t="n">
        <v>0.65</v>
      </c>
      <c r="H686" s="50" t="n">
        <f aca="false">MAX(0,IF(AND(Parameter!$B$21="Ja",ISNUMBER(Y686)),Y686,IF(Parameter!$B$20="Jahresanfang 2025 + Export",BR686+BQ686,BQ686)))</f>
        <v>0</v>
      </c>
      <c r="I686" s="50" t="n">
        <f aca="false">H686*G686</f>
        <v>0</v>
      </c>
      <c r="J686" s="50" t="n">
        <f aca="false">BT686*Parameter!$B$18</f>
        <v>0</v>
      </c>
      <c r="K686" s="51" t="n">
        <v>0</v>
      </c>
      <c r="L686" s="52" t="n">
        <v>0</v>
      </c>
      <c r="M686" s="50" t="n">
        <v>0</v>
      </c>
      <c r="N686" s="50" t="n">
        <v>1000</v>
      </c>
      <c r="O686" s="53" t="n">
        <v>21</v>
      </c>
      <c r="P686" s="48" t="s">
        <v>177</v>
      </c>
      <c r="Q686" s="50"/>
      <c r="R686" s="53" t="n">
        <f aca="false">IF(BZ686=1,0,IFERROR(VLOOKUP(BX686,'Gebinde-Kategorie'!$A$5:$N$45,13,0)+0,0))</f>
        <v>0</v>
      </c>
      <c r="S686" s="54"/>
      <c r="T686" s="55"/>
      <c r="U686" s="55"/>
      <c r="V686" s="55"/>
      <c r="W686" s="48"/>
      <c r="X686" s="50"/>
      <c r="Y686" s="50"/>
      <c r="Z686" s="48" t="str">
        <f aca="false">IF(A686="","",IF(AND(Parameter!$B$21="Ja",ISNUMBER(W686)),W686,IF(CC686="2+3",IF(ISNUMBER(SEARCH("grosser Artikel",BU686)),2,IFERROR(VLOOKUP(BX686,Parameter!$F$35:$G$64,2,0),2)),IF(OR(CC686="Nein",CC686=""),"-",CC686))))</f>
        <v>-</v>
      </c>
      <c r="AA686" s="55"/>
      <c r="AB686" s="56"/>
      <c r="AC686" s="50" t="n">
        <f aca="false">AV686</f>
        <v>1000</v>
      </c>
      <c r="AD686" s="50" t="n">
        <f aca="false">MAX(AV686,H686)</f>
        <v>1000</v>
      </c>
      <c r="AE686" s="57"/>
      <c r="AF686" s="50" t="n">
        <f aca="false">IF(LEFT(Cockpit!$C$5,1)="A",H686,IF(Parameter!$E$30="MAX-Bestand",IF(CH686=1,CI686,IF(LEFT(Cockpit!$C$5,1)="B",AL686,MAX(AL686,H686))),ROUNDUP(AJ686,0)))</f>
        <v>0</v>
      </c>
      <c r="AG686" s="50" t="n">
        <f aca="false">IF(BZ686=1,0,ROUNDUP(AF686/BY686,0))</f>
        <v>0</v>
      </c>
      <c r="AH686" s="52" t="n">
        <f aca="false">IF(CQ686&gt;0,CQ686*MAX(1,AF686/X686),IF(BZ686=1,IF(AF686&lt;=0,0,CD686*MAX(1,IF(H686&gt;0,AF686/H686,1))),IF(R686&gt;0,AG686/R686,0))/MAX(0.1,N(Parameter!$M$21)))</f>
        <v>0</v>
      </c>
      <c r="AI686" s="50" t="n">
        <f aca="false">AH686*CB686</f>
        <v>0</v>
      </c>
      <c r="AJ686" s="51" t="n">
        <f aca="false">IF(LEFT(Cockpit!$C$5,1)="A",H686,IF(CH686=1,(CK686+CI686)/2,IF(LEFT(Cockpit!$C$5,1)="B",(CK686+AL686)/2,MAX((CK686+AL686)/2,H686))))</f>
        <v>0</v>
      </c>
      <c r="AK686" s="50" t="n">
        <f aca="false">AJ686*G686</f>
        <v>0</v>
      </c>
      <c r="AL686" s="50" t="n">
        <f aca="false">ROUNDUP(CK686+MAX(CL686,2*(J686/IF(CG686&gt;0,CG686,MAX(0.1,N(Cockpit!$C$6)))-CK686)),0)</f>
        <v>1000</v>
      </c>
      <c r="AM686" s="51" t="n">
        <f aca="false">IF(AI686&gt;0,J686/AI686,-1)</f>
        <v>-1</v>
      </c>
      <c r="AN686" s="51" t="str">
        <f aca="false">IF(AND(OR(CF686="L1",CF686="L23",CF686="LIFT"),AI686&gt;0),SUMIFS($AI$7:$AI$1843,$CF$7:$CF$1843,CF686,$AM$7:$AM$1843,"&gt;"&amp;AM686)+SUMIFS($AI$7:$AI$1843,$CF$7:$CF$1843,CF686,$AM$7:$AM$1843,AM686,$BW$7:$BW$1843,"&lt;="&amp;BW686),"")</f>
        <v/>
      </c>
      <c r="AO686" s="58" t="n">
        <f aca="false">IF(AN686="",0,MAX(0,MIN(1,(IF(CF686="L1",Parameter!$H$5,IF(CF686="L23",Parameter!$H$6+Parameter!$H$7,Parameter!$H$5+Parameter!$H$6+Parameter!$H$7))-(AN686-AI686))/AI686)))</f>
        <v>0</v>
      </c>
      <c r="AP686" s="50" t="n">
        <f aca="false">IF(LEFT(Cockpit!$I$5,1)="A",H686,IF(Parameter!$E$30="MAX-Bestand",IF(CH686=1,CI686,IF(LEFT(Cockpit!$I$5,1)="B",AV686,MAX(AV686,H686))),ROUNDUP(AT686,0)))</f>
        <v>500</v>
      </c>
      <c r="AQ686" s="50" t="n">
        <f aca="false">IF(BZ686=1,0,ROUNDUP(AP686/BY686,0))</f>
        <v>0</v>
      </c>
      <c r="AR686" s="52" t="n">
        <f aca="false">IF(CQ686&gt;0,CQ686*MAX(1,AP686/X686),IF(BZ686=1,IF(AP686&lt;=0,0,CD686*MAX(1,IF(H686&gt;0,AP686/H686,1))),IF(R686&gt;0,AQ686/R686,0))/MAX(0.1,N(Parameter!$M$21)))</f>
        <v>0.15</v>
      </c>
      <c r="AS686" s="50" t="n">
        <f aca="false">AR686*CB686</f>
        <v>35.25</v>
      </c>
      <c r="AT686" s="51" t="n">
        <f aca="false">IF(LEFT(Cockpit!$I$5,1)="A",H686,IF(CH686=1,(CK686+CI686)/2,IF(LEFT(Cockpit!$I$5,1)="B",(CK686+AV686)/2,MAX((CK686+AV686)/2,H686))))</f>
        <v>500</v>
      </c>
      <c r="AU686" s="50" t="n">
        <f aca="false">AT686*G686</f>
        <v>325</v>
      </c>
      <c r="AV686" s="50" t="n">
        <f aca="false">ROUNDUP(CK686+MAX(CL686,2*(J686/IF(CG686&gt;0,CG686,MAX(0.1,N(Cockpit!$I$6)))-CK686)),0)</f>
        <v>1000</v>
      </c>
      <c r="AW686" s="51" t="n">
        <f aca="false">IF(AS686&gt;0,J686/AS686,-1)</f>
        <v>0</v>
      </c>
      <c r="AX686" s="51" t="str">
        <f aca="false">IF(AND(OR(CF686="L1",CF686="L23",CF686="LIFT"),AS686&gt;0),SUMIFS($AS$7:$AS$1843,$CF$7:$CF$1843,CF686,$AW$7:$AW$1843,"&gt;"&amp;AW686)+SUMIFS($AS$7:$AS$1843,$CF$7:$CF$1843,CF686,$AW$7:$AW$1843,AW686,$BW$7:$BW$1843,"&lt;="&amp;BW686),"")</f>
        <v/>
      </c>
      <c r="AY686" s="58" t="n">
        <f aca="false">IF(AX686="",0,MAX(0,MIN(1,(IF(CF686="L1",Parameter!$H$5,IF(CF686="L23",Parameter!$H$6+Parameter!$H$7,Parameter!$H$5+Parameter!$H$6+Parameter!$H$7))-(AX686-AS686))/AS686)))</f>
        <v>0</v>
      </c>
      <c r="AZ686" s="50" t="n">
        <f aca="false">IF(LEFT(Cockpit!$O$5,1)="A",H686,IF(Parameter!$E$30="MAX-Bestand",IF(CH686=1,CI686,IF(LEFT(Cockpit!$O$5,1)="B",BF686,MAX(BF686,H686))),ROUNDUP(BD686,0)))</f>
        <v>500</v>
      </c>
      <c r="BA686" s="50" t="n">
        <f aca="false">IF(BZ686=1,0,ROUNDUP(AZ686/BY686,0))</f>
        <v>0</v>
      </c>
      <c r="BB686" s="52" t="n">
        <f aca="false">IF(CQ686&gt;0,CQ686*MAX(1,AZ686/X686),IF(BZ686=1,IF(AZ686&lt;=0,0,CD686*MAX(1,IF(H686&gt;0,AZ686/H686,1))),IF(R686&gt;0,BA686/R686,0))/MAX(0.1,N(Parameter!$M$21)))</f>
        <v>0.15</v>
      </c>
      <c r="BC686" s="50" t="n">
        <f aca="false">BB686*CB686</f>
        <v>35.25</v>
      </c>
      <c r="BD686" s="51" t="n">
        <f aca="false">IF(LEFT(Cockpit!$O$5,1)="A",H686,IF(CH686=1,(CK686+CI686)/2,IF(LEFT(Cockpit!$O$5,1)="B",(CK686+BF686)/2,MAX((CK686+BF686)/2,H686))))</f>
        <v>500</v>
      </c>
      <c r="BE686" s="50" t="n">
        <f aca="false">BD686*G686</f>
        <v>325</v>
      </c>
      <c r="BF686" s="50" t="n">
        <f aca="false">ROUNDUP(CK686+MAX(CL686,2*(J686/IF(CG686&gt;0,CG686,MAX(0.1,N(Cockpit!$O$6)))-CK686)),0)</f>
        <v>1000</v>
      </c>
      <c r="BG686" s="51" t="n">
        <f aca="false">IF(BC686&gt;0,J686/BC686,-1)</f>
        <v>0</v>
      </c>
      <c r="BH686" s="51" t="str">
        <f aca="false">IF(AND(OR(CF686="L1",CF686="L23",CF686="LIFT"),BC686&gt;0),SUMIFS($BC$7:$BC$1843,$CF$7:$CF$1843,CF686,$BG$7:$BG$1843,"&gt;"&amp;BG686)+SUMIFS($BC$7:$BC$1843,$CF$7:$CF$1843,CF686,$BG$7:$BG$1843,BG686,$BW$7:$BW$1843,"&lt;="&amp;BW686),"")</f>
        <v/>
      </c>
      <c r="BI686" s="58" t="n">
        <f aca="false">IF(BH686="",0,MAX(0,MIN(1,(IF(CF686="L1",Parameter!$H$5,IF(CF686="L23",Parameter!$H$6+Parameter!$H$7,Parameter!$H$5+Parameter!$H$6+Parameter!$H$7))-(BH686-BC686))/BC686)))</f>
        <v>0</v>
      </c>
      <c r="BJ686" s="48" t="str">
        <f aca="false">IF(AI686&lt;=0,"",IF(CF686="Aussen","Aussenlager",IF(CF686="-","Nicht im Lift",IF(AO686&gt;=1,"Lift",IF(AO686&lt;=0,"Aussenlager","teilweise")))))</f>
        <v/>
      </c>
      <c r="BK686" s="48" t="str">
        <f aca="false">IF(AS686&lt;=0,"",IF(CF686="Aussen","Aussenlager",IF(CF686="-","Nicht im Lift",IF(AY686&gt;=1,"Lift",IF(AY686&lt;=0,"Aussenlager","teilweise")))))</f>
        <v>Nicht im Lift</v>
      </c>
      <c r="BL686" s="48" t="str">
        <f aca="false">IF(BC686&lt;=0,"",IF(CF686="Aussen","Aussenlager",IF(CF686="-","Nicht im Lift",IF(BI686&gt;=1,"Lift",IF(BI686&lt;=0,"Aussenlager","teilweise")))))</f>
        <v>Nicht im Lift</v>
      </c>
      <c r="BM686" s="48" t="str">
        <f aca="false">IF(A686="","",IF(BV686=1,"Neu; ","")&amp;IF(AND(BV686=0,BQ686&lt;0),"negativer Bestand (Export "&amp;BQ686&amp;"); ","")&amp;IF(J686&lt;=0,"Kein Verbrauch; ","")&amp;IF(CQ686&gt;0,"Lift "&amp;W686&amp;" lt. Liftbericht (Fach "&amp;X686&amp;" Stk); ",IF(CA686=1,"Gebinde geschätzt ("&amp;T686&amp;"); ",IF(BZ686=1,"Lose – Tablare geschätzt; ","")))&amp;IF(H686&gt;AV686,"Überbestand "&amp;ROUND(H686-AV686,0)&amp;" Stk / CHF "&amp;ROUND((H686-AV686)*G686,0)&amp;"; ","")&amp;IF(AND(CH686=1,CI686&lt;CJ686),"MAX &lt; MB+LG; ","")&amp;IF(AND(CP686&gt;0,CO686*10&gt;CP686),"zu hoch für Tablar; ","")&amp;IF(AND(BV686=0,OR(CH686=1,AA686&lt;&gt;"",U686&lt;&gt;"",V686&lt;&gt;"",AB686&lt;&gt;"")),"manuell übersteuert; ","")&amp;IF(AND(BZ686=0,R686=0),"Gebinde unbekannt / Stellmass fehlt; ","")&amp;IF(AND(BZ686=0,N(V686)&lt;=0,N(Q686)&lt;=0),"Menge pro Gebinde fehlt (Ist = 1 Gebinde); ","")&amp;BU686)</f>
        <v>Kein Verbrauch; Lose – Tablare geschätzt; </v>
      </c>
      <c r="BN686" s="48"/>
      <c r="BO686" s="48"/>
      <c r="BP686" s="55"/>
      <c r="BQ686" s="50" t="n">
        <v>0</v>
      </c>
      <c r="BR686" s="50" t="n">
        <v>0</v>
      </c>
      <c r="BS686" s="49" t="n">
        <v>0</v>
      </c>
      <c r="BT686" s="50" t="n">
        <v>0</v>
      </c>
      <c r="BU686" s="48"/>
      <c r="BV686" s="53" t="n">
        <v>0</v>
      </c>
      <c r="BW686" s="53" t="n">
        <v>686</v>
      </c>
      <c r="BX686" s="48" t="str">
        <f aca="false">IF(U686&lt;&gt;"",UPPER(TRIM(U686)),IF(CA686=1,UPPER(VLOOKUP(T686,Parameter!$I$27:$K$29,2,0)),IF(P686="","LOSE",P686)))</f>
        <v>LOSE</v>
      </c>
      <c r="BY686" s="50" t="n">
        <f aca="false">IF(BX686="LOSE",1,IF(N(V686)&gt;0,V686,IF(CA686=1,MAX(1,N(VLOOKUP(T686,Parameter!$I$27:$K$29,3,0)),H686,N(N686)),IF(N(Q686)&gt;0,Q686,MAX(1,H686)))))</f>
        <v>1</v>
      </c>
      <c r="BZ686" s="53" t="n">
        <f aca="false">IF(BX686="LOSE",1,0)</f>
        <v>1</v>
      </c>
      <c r="CA686" s="53" t="n">
        <f aca="false">IF(AND(U686="",OR(P686="",P686="LOSE"),T686&lt;&gt;"",N(S686)&lt;=0,ISNUMBER(MATCH(T686,Parameter!$I$27:$I$29,0))),1,0)</f>
        <v>0</v>
      </c>
      <c r="CB686" s="53" t="n">
        <f aca="false">IF(CQ686&gt;0,INDEX(Parameter!$H$5:$H$7,W686)/INDEX(Parameter!$E$5:$E$7,W686),IF(AND(BZ686=0,N(IFERROR(VLOOKUP(BX686,'Gebinde-Kategorie'!$A$5:$N$45,14,0),0))&gt;0),VLOOKUP(BX686,'Gebinde-Kategorie'!$A$5:$N$45,14,0)*10+Parameter!$M$23,Parameter!$M$24))</f>
        <v>235</v>
      </c>
      <c r="CC686" s="48" t="str">
        <f aca="false">IF(AND(Parameter!$B$19="Ja",E686&lt;&gt;"",ISNUMBER(MATCH(E686,Parameter!$I$35:$I$52,0))),VLOOKUP(E686,Parameter!$I$35:$J$52,2,0),IFERROR(VLOOKUP(D686,Parameter!$A$35:$C$64,2,0),"Nein"))</f>
        <v>Nein</v>
      </c>
      <c r="CD686" s="52" t="n">
        <f aca="false">IF(BZ686=0,0,IF(N(S686)&gt;0,S686,IFERROR(VLOOKUP(D686,Parameter!$A$35:$C$64,3,0)+0,0)))</f>
        <v>0.15</v>
      </c>
      <c r="CE686" s="48" t="str">
        <f aca="false">IF(AA686&lt;&gt;"",AA686,Z686)</f>
        <v>-</v>
      </c>
      <c r="CF686" s="48" t="str">
        <f aca="false">IF(OR(CE686=1,CE686=2,CE686=3),IF(Parameter!$E$27="Ja","LIFT",IF(CE686=1,"L1","L23")),IF(CE686="Aussen","Aussen","-"))</f>
        <v>-</v>
      </c>
      <c r="CG686" s="59" t="n">
        <f aca="false">IF(N(AB686)&gt;0,AB686,0)</f>
        <v>0</v>
      </c>
      <c r="CH686" s="53" t="n">
        <f aca="false">IF(ISNUMBER(AE686),1,0)</f>
        <v>0</v>
      </c>
      <c r="CI686" s="50" t="n">
        <f aca="false">N(AE686)</f>
        <v>0</v>
      </c>
      <c r="CJ686" s="50" t="n">
        <f aca="false">N(M686)+N(N686)</f>
        <v>1000</v>
      </c>
      <c r="CK686" s="50" t="n">
        <f aca="false">N(M686)</f>
        <v>0</v>
      </c>
      <c r="CL686" s="50" t="n">
        <f aca="false">N(N686)</f>
        <v>1000</v>
      </c>
      <c r="CM686" s="50" t="n">
        <f aca="false">ROUNDUP(H686/BY686,0)</f>
        <v>0</v>
      </c>
      <c r="CN686" s="50" t="n">
        <f aca="false">ROUNDUP(CI686/BY686,0)</f>
        <v>0</v>
      </c>
      <c r="CO686" s="53" t="n">
        <f aca="false">IF(BZ686=1,0,IFERROR(VLOOKUP(BX686,'Gebinde-Kategorie'!$A$5:$N$45,5,0)+0,0))</f>
        <v>0</v>
      </c>
      <c r="CP686" s="53" t="n">
        <f aca="false">IFERROR(IF(OR(CE686=1,CE686=2,CE686=3),N(INDEX(Parameter!$I$5:$I$7,CE686)),0),0)</f>
        <v>0</v>
      </c>
      <c r="CQ686" s="52" t="n">
        <f aca="false">IF(AND(Parameter!$B$21="Ja",ISNUMBER(W686),N(X686)&gt;0),IFERROR(N(INDEX(Parameter!$L$5:$L$7,W686))*INDEX(Parameter!$E$5:$E$7,W686)*X686/SUMIFS($X$7:$X$1843,$W$7:$W$1843,W686),0),0)</f>
        <v>0</v>
      </c>
    </row>
    <row r="687" customFormat="false" ht="15" hidden="false" customHeight="false" outlineLevel="0" collapsed="false">
      <c r="A687" s="48" t="s">
        <v>1384</v>
      </c>
      <c r="B687" s="48" t="s">
        <v>1371</v>
      </c>
      <c r="C687" s="48" t="s">
        <v>173</v>
      </c>
      <c r="D687" s="48" t="s">
        <v>1004</v>
      </c>
      <c r="E687" s="48"/>
      <c r="F687" s="48" t="s">
        <v>227</v>
      </c>
      <c r="G687" s="49" t="n">
        <v>2743.64</v>
      </c>
      <c r="H687" s="50" t="n">
        <f aca="false">MAX(0,IF(AND(Parameter!$B$21="Ja",ISNUMBER(Y687)),Y687,IF(Parameter!$B$20="Jahresanfang 2025 + Export",BR687+BQ687,BQ687)))</f>
        <v>0</v>
      </c>
      <c r="I687" s="50" t="n">
        <f aca="false">H687*G687</f>
        <v>0</v>
      </c>
      <c r="J687" s="50" t="n">
        <f aca="false">BT687*Parameter!$B$18</f>
        <v>3</v>
      </c>
      <c r="K687" s="51" t="n">
        <v>0</v>
      </c>
      <c r="L687" s="52" t="n">
        <v>0</v>
      </c>
      <c r="M687" s="50" t="n">
        <v>0</v>
      </c>
      <c r="N687" s="50" t="n">
        <v>1</v>
      </c>
      <c r="O687" s="53" t="n">
        <v>70</v>
      </c>
      <c r="P687" s="48" t="s">
        <v>177</v>
      </c>
      <c r="Q687" s="50"/>
      <c r="R687" s="53" t="n">
        <f aca="false">IF(BZ687=1,0,IFERROR(VLOOKUP(BX687,'Gebinde-Kategorie'!$A$5:$N$45,13,0)+0,0))</f>
        <v>0</v>
      </c>
      <c r="S687" s="54"/>
      <c r="T687" s="55"/>
      <c r="U687" s="55"/>
      <c r="V687" s="55"/>
      <c r="W687" s="48"/>
      <c r="X687" s="50"/>
      <c r="Y687" s="50"/>
      <c r="Z687" s="48" t="str">
        <f aca="false">IF(A687="","",IF(AND(Parameter!$B$21="Ja",ISNUMBER(W687)),W687,IF(CC687="2+3",IF(ISNUMBER(SEARCH("grosser Artikel",BU687)),2,IFERROR(VLOOKUP(BX687,Parameter!$F$35:$G$64,2,0),2)),IF(OR(CC687="Nein",CC687=""),"-",CC687))))</f>
        <v>-</v>
      </c>
      <c r="AA687" s="55"/>
      <c r="AB687" s="56"/>
      <c r="AC687" s="50" t="n">
        <f aca="false">AV687</f>
        <v>2</v>
      </c>
      <c r="AD687" s="50" t="n">
        <f aca="false">MAX(AV687,H687)</f>
        <v>2</v>
      </c>
      <c r="AE687" s="57"/>
      <c r="AF687" s="50" t="n">
        <f aca="false">IF(LEFT(Cockpit!$C$5,1)="A",H687,IF(Parameter!$E$30="MAX-Bestand",IF(CH687=1,CI687,IF(LEFT(Cockpit!$C$5,1)="B",AL687,MAX(AL687,H687))),ROUNDUP(AJ687,0)))</f>
        <v>0</v>
      </c>
      <c r="AG687" s="50" t="n">
        <f aca="false">IF(BZ687=1,0,ROUNDUP(AF687/BY687,0))</f>
        <v>0</v>
      </c>
      <c r="AH687" s="52" t="n">
        <f aca="false">IF(CQ687&gt;0,CQ687*MAX(1,AF687/X687),IF(BZ687=1,IF(AF687&lt;=0,0,CD687*MAX(1,IF(H687&gt;0,AF687/H687,1))),IF(R687&gt;0,AG687/R687,0))/MAX(0.1,N(Parameter!$M$21)))</f>
        <v>0</v>
      </c>
      <c r="AI687" s="50" t="n">
        <f aca="false">AH687*CB687</f>
        <v>0</v>
      </c>
      <c r="AJ687" s="51" t="n">
        <f aca="false">IF(LEFT(Cockpit!$C$5,1)="A",H687,IF(CH687=1,(CK687+CI687)/2,IF(LEFT(Cockpit!$C$5,1)="B",(CK687+AL687)/2,MAX((CK687+AL687)/2,H687))))</f>
        <v>0</v>
      </c>
      <c r="AK687" s="50" t="n">
        <f aca="false">AJ687*G687</f>
        <v>0</v>
      </c>
      <c r="AL687" s="50" t="n">
        <f aca="false">ROUNDUP(CK687+MAX(CL687,2*(J687/IF(CG687&gt;0,CG687,MAX(0.1,N(Cockpit!$C$6)))-CK687)),0)</f>
        <v>2</v>
      </c>
      <c r="AM687" s="51" t="n">
        <f aca="false">IF(AI687&gt;0,J687/AI687,-1)</f>
        <v>-1</v>
      </c>
      <c r="AN687" s="51" t="str">
        <f aca="false">IF(AND(OR(CF687="L1",CF687="L23",CF687="LIFT"),AI687&gt;0),SUMIFS($AI$7:$AI$1843,$CF$7:$CF$1843,CF687,$AM$7:$AM$1843,"&gt;"&amp;AM687)+SUMIFS($AI$7:$AI$1843,$CF$7:$CF$1843,CF687,$AM$7:$AM$1843,AM687,$BW$7:$BW$1843,"&lt;="&amp;BW687),"")</f>
        <v/>
      </c>
      <c r="AO687" s="58" t="n">
        <f aca="false">IF(AN687="",0,MAX(0,MIN(1,(IF(CF687="L1",Parameter!$H$5,IF(CF687="L23",Parameter!$H$6+Parameter!$H$7,Parameter!$H$5+Parameter!$H$6+Parameter!$H$7))-(AN687-AI687))/AI687)))</f>
        <v>0</v>
      </c>
      <c r="AP687" s="50" t="n">
        <f aca="false">IF(LEFT(Cockpit!$I$5,1)="A",H687,IF(Parameter!$E$30="MAX-Bestand",IF(CH687=1,CI687,IF(LEFT(Cockpit!$I$5,1)="B",AV687,MAX(AV687,H687))),ROUNDUP(AT687,0)))</f>
        <v>1</v>
      </c>
      <c r="AQ687" s="50" t="n">
        <f aca="false">IF(BZ687=1,0,ROUNDUP(AP687/BY687,0))</f>
        <v>0</v>
      </c>
      <c r="AR687" s="52" t="n">
        <f aca="false">IF(CQ687&gt;0,CQ687*MAX(1,AP687/X687),IF(BZ687=1,IF(AP687&lt;=0,0,CD687*MAX(1,IF(H687&gt;0,AP687/H687,1))),IF(R687&gt;0,AQ687/R687,0))/MAX(0.1,N(Parameter!$M$21)))</f>
        <v>0.15</v>
      </c>
      <c r="AS687" s="50" t="n">
        <f aca="false">AR687*CB687</f>
        <v>35.25</v>
      </c>
      <c r="AT687" s="51" t="n">
        <f aca="false">IF(LEFT(Cockpit!$I$5,1)="A",H687,IF(CH687=1,(CK687+CI687)/2,IF(LEFT(Cockpit!$I$5,1)="B",(CK687+AV687)/2,MAX((CK687+AV687)/2,H687))))</f>
        <v>1</v>
      </c>
      <c r="AU687" s="50" t="n">
        <f aca="false">AT687*G687</f>
        <v>2743.64</v>
      </c>
      <c r="AV687" s="50" t="n">
        <f aca="false">ROUNDUP(CK687+MAX(CL687,2*(J687/IF(CG687&gt;0,CG687,MAX(0.1,N(Cockpit!$I$6)))-CK687)),0)</f>
        <v>2</v>
      </c>
      <c r="AW687" s="51" t="n">
        <f aca="false">IF(AS687&gt;0,J687/AS687,-1)</f>
        <v>0.0851063829787234</v>
      </c>
      <c r="AX687" s="51" t="str">
        <f aca="false">IF(AND(OR(CF687="L1",CF687="L23",CF687="LIFT"),AS687&gt;0),SUMIFS($AS$7:$AS$1843,$CF$7:$CF$1843,CF687,$AW$7:$AW$1843,"&gt;"&amp;AW687)+SUMIFS($AS$7:$AS$1843,$CF$7:$CF$1843,CF687,$AW$7:$AW$1843,AW687,$BW$7:$BW$1843,"&lt;="&amp;BW687),"")</f>
        <v/>
      </c>
      <c r="AY687" s="58" t="n">
        <f aca="false">IF(AX687="",0,MAX(0,MIN(1,(IF(CF687="L1",Parameter!$H$5,IF(CF687="L23",Parameter!$H$6+Parameter!$H$7,Parameter!$H$5+Parameter!$H$6+Parameter!$H$7))-(AX687-AS687))/AS687)))</f>
        <v>0</v>
      </c>
      <c r="AZ687" s="50" t="n">
        <f aca="false">IF(LEFT(Cockpit!$O$5,1)="A",H687,IF(Parameter!$E$30="MAX-Bestand",IF(CH687=1,CI687,IF(LEFT(Cockpit!$O$5,1)="B",BF687,MAX(BF687,H687))),ROUNDUP(BD687,0)))</f>
        <v>1</v>
      </c>
      <c r="BA687" s="50" t="n">
        <f aca="false">IF(BZ687=1,0,ROUNDUP(AZ687/BY687,0))</f>
        <v>0</v>
      </c>
      <c r="BB687" s="52" t="n">
        <f aca="false">IF(CQ687&gt;0,CQ687*MAX(1,AZ687/X687),IF(BZ687=1,IF(AZ687&lt;=0,0,CD687*MAX(1,IF(H687&gt;0,AZ687/H687,1))),IF(R687&gt;0,BA687/R687,0))/MAX(0.1,N(Parameter!$M$21)))</f>
        <v>0.15</v>
      </c>
      <c r="BC687" s="50" t="n">
        <f aca="false">BB687*CB687</f>
        <v>35.25</v>
      </c>
      <c r="BD687" s="51" t="n">
        <f aca="false">IF(LEFT(Cockpit!$O$5,1)="A",H687,IF(CH687=1,(CK687+CI687)/2,IF(LEFT(Cockpit!$O$5,1)="B",(CK687+BF687)/2,MAX((CK687+BF687)/2,H687))))</f>
        <v>1</v>
      </c>
      <c r="BE687" s="50" t="n">
        <f aca="false">BD687*G687</f>
        <v>2743.64</v>
      </c>
      <c r="BF687" s="50" t="n">
        <f aca="false">ROUNDUP(CK687+MAX(CL687,2*(J687/IF(CG687&gt;0,CG687,MAX(0.1,N(Cockpit!$O$6)))-CK687)),0)</f>
        <v>2</v>
      </c>
      <c r="BG687" s="51" t="n">
        <f aca="false">IF(BC687&gt;0,J687/BC687,-1)</f>
        <v>0.0851063829787234</v>
      </c>
      <c r="BH687" s="51" t="str">
        <f aca="false">IF(AND(OR(CF687="L1",CF687="L23",CF687="LIFT"),BC687&gt;0),SUMIFS($BC$7:$BC$1843,$CF$7:$CF$1843,CF687,$BG$7:$BG$1843,"&gt;"&amp;BG687)+SUMIFS($BC$7:$BC$1843,$CF$7:$CF$1843,CF687,$BG$7:$BG$1843,BG687,$BW$7:$BW$1843,"&lt;="&amp;BW687),"")</f>
        <v/>
      </c>
      <c r="BI687" s="58" t="n">
        <f aca="false">IF(BH687="",0,MAX(0,MIN(1,(IF(CF687="L1",Parameter!$H$5,IF(CF687="L23",Parameter!$H$6+Parameter!$H$7,Parameter!$H$5+Parameter!$H$6+Parameter!$H$7))-(BH687-BC687))/BC687)))</f>
        <v>0</v>
      </c>
      <c r="BJ687" s="48" t="str">
        <f aca="false">IF(AI687&lt;=0,"",IF(CF687="Aussen","Aussenlager",IF(CF687="-","Nicht im Lift",IF(AO687&gt;=1,"Lift",IF(AO687&lt;=0,"Aussenlager","teilweise")))))</f>
        <v/>
      </c>
      <c r="BK687" s="48" t="str">
        <f aca="false">IF(AS687&lt;=0,"",IF(CF687="Aussen","Aussenlager",IF(CF687="-","Nicht im Lift",IF(AY687&gt;=1,"Lift",IF(AY687&lt;=0,"Aussenlager","teilweise")))))</f>
        <v>Nicht im Lift</v>
      </c>
      <c r="BL687" s="48" t="str">
        <f aca="false">IF(BC687&lt;=0,"",IF(CF687="Aussen","Aussenlager",IF(CF687="-","Nicht im Lift",IF(BI687&gt;=1,"Lift",IF(BI687&lt;=0,"Aussenlager","teilweise")))))</f>
        <v>Nicht im Lift</v>
      </c>
      <c r="BM687" s="48" t="str">
        <f aca="false">IF(A687="","",IF(BV687=1,"Neu; ","")&amp;IF(AND(BV687=0,BQ687&lt;0),"negativer Bestand (Export "&amp;BQ687&amp;"); ","")&amp;IF(J687&lt;=0,"Kein Verbrauch; ","")&amp;IF(CQ687&gt;0,"Lift "&amp;W687&amp;" lt. Liftbericht (Fach "&amp;X687&amp;" Stk); ",IF(CA687=1,"Gebinde geschätzt ("&amp;T687&amp;"); ",IF(BZ687=1,"Lose – Tablare geschätzt; ","")))&amp;IF(H687&gt;AV687,"Überbestand "&amp;ROUND(H687-AV687,0)&amp;" Stk / CHF "&amp;ROUND((H687-AV687)*G687,0)&amp;"; ","")&amp;IF(AND(CH687=1,CI687&lt;CJ687),"MAX &lt; MB+LG; ","")&amp;IF(AND(CP687&gt;0,CO687*10&gt;CP687),"zu hoch für Tablar; ","")&amp;IF(AND(BV687=0,OR(CH687=1,AA687&lt;&gt;"",U687&lt;&gt;"",V687&lt;&gt;"",AB687&lt;&gt;"")),"manuell übersteuert; ","")&amp;IF(AND(BZ687=0,R687=0),"Gebinde unbekannt / Stellmass fehlt; ","")&amp;IF(AND(BZ687=0,N(V687)&lt;=0,N(Q687)&lt;=0),"Menge pro Gebinde fehlt (Ist = 1 Gebinde); ","")&amp;BU687)</f>
        <v>Lose – Tablare geschätzt; </v>
      </c>
      <c r="BN687" s="48"/>
      <c r="BO687" s="48"/>
      <c r="BP687" s="55"/>
      <c r="BQ687" s="50" t="n">
        <v>0</v>
      </c>
      <c r="BR687" s="50" t="n">
        <v>0</v>
      </c>
      <c r="BS687" s="49" t="n">
        <v>0</v>
      </c>
      <c r="BT687" s="50" t="n">
        <v>3</v>
      </c>
      <c r="BU687" s="48"/>
      <c r="BV687" s="53" t="n">
        <v>0</v>
      </c>
      <c r="BW687" s="53" t="n">
        <v>687</v>
      </c>
      <c r="BX687" s="48" t="str">
        <f aca="false">IF(U687&lt;&gt;"",UPPER(TRIM(U687)),IF(CA687=1,UPPER(VLOOKUP(T687,Parameter!$I$27:$K$29,2,0)),IF(P687="","LOSE",P687)))</f>
        <v>LOSE</v>
      </c>
      <c r="BY687" s="50" t="n">
        <f aca="false">IF(BX687="LOSE",1,IF(N(V687)&gt;0,V687,IF(CA687=1,MAX(1,N(VLOOKUP(T687,Parameter!$I$27:$K$29,3,0)),H687,N(N687)),IF(N(Q687)&gt;0,Q687,MAX(1,H687)))))</f>
        <v>1</v>
      </c>
      <c r="BZ687" s="53" t="n">
        <f aca="false">IF(BX687="LOSE",1,0)</f>
        <v>1</v>
      </c>
      <c r="CA687" s="53" t="n">
        <f aca="false">IF(AND(U687="",OR(P687="",P687="LOSE"),T687&lt;&gt;"",N(S687)&lt;=0,ISNUMBER(MATCH(T687,Parameter!$I$27:$I$29,0))),1,0)</f>
        <v>0</v>
      </c>
      <c r="CB687" s="53" t="n">
        <f aca="false">IF(CQ687&gt;0,INDEX(Parameter!$H$5:$H$7,W687)/INDEX(Parameter!$E$5:$E$7,W687),IF(AND(BZ687=0,N(IFERROR(VLOOKUP(BX687,'Gebinde-Kategorie'!$A$5:$N$45,14,0),0))&gt;0),VLOOKUP(BX687,'Gebinde-Kategorie'!$A$5:$N$45,14,0)*10+Parameter!$M$23,Parameter!$M$24))</f>
        <v>235</v>
      </c>
      <c r="CC687" s="48" t="str">
        <f aca="false">IF(AND(Parameter!$B$19="Ja",E687&lt;&gt;"",ISNUMBER(MATCH(E687,Parameter!$I$35:$I$52,0))),VLOOKUP(E687,Parameter!$I$35:$J$52,2,0),IFERROR(VLOOKUP(D687,Parameter!$A$35:$C$64,2,0),"Nein"))</f>
        <v>Nein</v>
      </c>
      <c r="CD687" s="52" t="n">
        <f aca="false">IF(BZ687=0,0,IF(N(S687)&gt;0,S687,IFERROR(VLOOKUP(D687,Parameter!$A$35:$C$64,3,0)+0,0)))</f>
        <v>0.15</v>
      </c>
      <c r="CE687" s="48" t="str">
        <f aca="false">IF(AA687&lt;&gt;"",AA687,Z687)</f>
        <v>-</v>
      </c>
      <c r="CF687" s="48" t="str">
        <f aca="false">IF(OR(CE687=1,CE687=2,CE687=3),IF(Parameter!$E$27="Ja","LIFT",IF(CE687=1,"L1","L23")),IF(CE687="Aussen","Aussen","-"))</f>
        <v>-</v>
      </c>
      <c r="CG687" s="59" t="n">
        <f aca="false">IF(N(AB687)&gt;0,AB687,0)</f>
        <v>0</v>
      </c>
      <c r="CH687" s="53" t="n">
        <f aca="false">IF(ISNUMBER(AE687),1,0)</f>
        <v>0</v>
      </c>
      <c r="CI687" s="50" t="n">
        <f aca="false">N(AE687)</f>
        <v>0</v>
      </c>
      <c r="CJ687" s="50" t="n">
        <f aca="false">N(M687)+N(N687)</f>
        <v>1</v>
      </c>
      <c r="CK687" s="50" t="n">
        <f aca="false">N(M687)</f>
        <v>0</v>
      </c>
      <c r="CL687" s="50" t="n">
        <f aca="false">N(N687)</f>
        <v>1</v>
      </c>
      <c r="CM687" s="50" t="n">
        <f aca="false">ROUNDUP(H687/BY687,0)</f>
        <v>0</v>
      </c>
      <c r="CN687" s="50" t="n">
        <f aca="false">ROUNDUP(CI687/BY687,0)</f>
        <v>0</v>
      </c>
      <c r="CO687" s="53" t="n">
        <f aca="false">IF(BZ687=1,0,IFERROR(VLOOKUP(BX687,'Gebinde-Kategorie'!$A$5:$N$45,5,0)+0,0))</f>
        <v>0</v>
      </c>
      <c r="CP687" s="53" t="n">
        <f aca="false">IFERROR(IF(OR(CE687=1,CE687=2,CE687=3),N(INDEX(Parameter!$I$5:$I$7,CE687)),0),0)</f>
        <v>0</v>
      </c>
      <c r="CQ687" s="52" t="n">
        <f aca="false">IF(AND(Parameter!$B$21="Ja",ISNUMBER(W687),N(X687)&gt;0),IFERROR(N(INDEX(Parameter!$L$5:$L$7,W687))*INDEX(Parameter!$E$5:$E$7,W687)*X687/SUMIFS($X$7:$X$1843,$W$7:$W$1843,W687),0),0)</f>
        <v>0</v>
      </c>
    </row>
    <row r="688" customFormat="false" ht="15" hidden="false" customHeight="false" outlineLevel="0" collapsed="false">
      <c r="A688" s="48" t="s">
        <v>1385</v>
      </c>
      <c r="B688" s="48" t="s">
        <v>1386</v>
      </c>
      <c r="C688" s="48" t="s">
        <v>173</v>
      </c>
      <c r="D688" s="48" t="s">
        <v>1004</v>
      </c>
      <c r="E688" s="48"/>
      <c r="F688" s="48" t="s">
        <v>227</v>
      </c>
      <c r="G688" s="49" t="n">
        <v>3703.81</v>
      </c>
      <c r="H688" s="50" t="n">
        <f aca="false">MAX(0,IF(AND(Parameter!$B$21="Ja",ISNUMBER(Y688)),Y688,IF(Parameter!$B$20="Jahresanfang 2025 + Export",BR688+BQ688,BQ688)))</f>
        <v>0</v>
      </c>
      <c r="I688" s="50" t="n">
        <f aca="false">H688*G688</f>
        <v>0</v>
      </c>
      <c r="J688" s="50" t="n">
        <f aca="false">BT688*Parameter!$B$18</f>
        <v>4</v>
      </c>
      <c r="K688" s="51" t="n">
        <v>0</v>
      </c>
      <c r="L688" s="52" t="n">
        <v>0</v>
      </c>
      <c r="M688" s="50" t="n">
        <v>0</v>
      </c>
      <c r="N688" s="50" t="n">
        <v>1</v>
      </c>
      <c r="O688" s="53" t="n">
        <v>90</v>
      </c>
      <c r="P688" s="48" t="s">
        <v>177</v>
      </c>
      <c r="Q688" s="50"/>
      <c r="R688" s="53" t="n">
        <f aca="false">IF(BZ688=1,0,IFERROR(VLOOKUP(BX688,'Gebinde-Kategorie'!$A$5:$N$45,13,0)+0,0))</f>
        <v>0</v>
      </c>
      <c r="S688" s="54"/>
      <c r="T688" s="55"/>
      <c r="U688" s="55"/>
      <c r="V688" s="55"/>
      <c r="W688" s="48"/>
      <c r="X688" s="50"/>
      <c r="Y688" s="50"/>
      <c r="Z688" s="48" t="str">
        <f aca="false">IF(A688="","",IF(AND(Parameter!$B$21="Ja",ISNUMBER(W688)),W688,IF(CC688="2+3",IF(ISNUMBER(SEARCH("grosser Artikel",BU688)),2,IFERROR(VLOOKUP(BX688,Parameter!$F$35:$G$64,2,0),2)),IF(OR(CC688="Nein",CC688=""),"-",CC688))))</f>
        <v>-</v>
      </c>
      <c r="AA688" s="55"/>
      <c r="AB688" s="56"/>
      <c r="AC688" s="50" t="n">
        <f aca="false">AV688</f>
        <v>3</v>
      </c>
      <c r="AD688" s="50" t="n">
        <f aca="false">MAX(AV688,H688)</f>
        <v>3</v>
      </c>
      <c r="AE688" s="57"/>
      <c r="AF688" s="50" t="n">
        <f aca="false">IF(LEFT(Cockpit!$C$5,1)="A",H688,IF(Parameter!$E$30="MAX-Bestand",IF(CH688=1,CI688,IF(LEFT(Cockpit!$C$5,1)="B",AL688,MAX(AL688,H688))),ROUNDUP(AJ688,0)))</f>
        <v>0</v>
      </c>
      <c r="AG688" s="50" t="n">
        <f aca="false">IF(BZ688=1,0,ROUNDUP(AF688/BY688,0))</f>
        <v>0</v>
      </c>
      <c r="AH688" s="52" t="n">
        <f aca="false">IF(CQ688&gt;0,CQ688*MAX(1,AF688/X688),IF(BZ688=1,IF(AF688&lt;=0,0,CD688*MAX(1,IF(H688&gt;0,AF688/H688,1))),IF(R688&gt;0,AG688/R688,0))/MAX(0.1,N(Parameter!$M$21)))</f>
        <v>0</v>
      </c>
      <c r="AI688" s="50" t="n">
        <f aca="false">AH688*CB688</f>
        <v>0</v>
      </c>
      <c r="AJ688" s="51" t="n">
        <f aca="false">IF(LEFT(Cockpit!$C$5,1)="A",H688,IF(CH688=1,(CK688+CI688)/2,IF(LEFT(Cockpit!$C$5,1)="B",(CK688+AL688)/2,MAX((CK688+AL688)/2,H688))))</f>
        <v>0</v>
      </c>
      <c r="AK688" s="50" t="n">
        <f aca="false">AJ688*G688</f>
        <v>0</v>
      </c>
      <c r="AL688" s="50" t="n">
        <f aca="false">ROUNDUP(CK688+MAX(CL688,2*(J688/IF(CG688&gt;0,CG688,MAX(0.1,N(Cockpit!$C$6)))-CK688)),0)</f>
        <v>3</v>
      </c>
      <c r="AM688" s="51" t="n">
        <f aca="false">IF(AI688&gt;0,J688/AI688,-1)</f>
        <v>-1</v>
      </c>
      <c r="AN688" s="51" t="str">
        <f aca="false">IF(AND(OR(CF688="L1",CF688="L23",CF688="LIFT"),AI688&gt;0),SUMIFS($AI$7:$AI$1843,$CF$7:$CF$1843,CF688,$AM$7:$AM$1843,"&gt;"&amp;AM688)+SUMIFS($AI$7:$AI$1843,$CF$7:$CF$1843,CF688,$AM$7:$AM$1843,AM688,$BW$7:$BW$1843,"&lt;="&amp;BW688),"")</f>
        <v/>
      </c>
      <c r="AO688" s="58" t="n">
        <f aca="false">IF(AN688="",0,MAX(0,MIN(1,(IF(CF688="L1",Parameter!$H$5,IF(CF688="L23",Parameter!$H$6+Parameter!$H$7,Parameter!$H$5+Parameter!$H$6+Parameter!$H$7))-(AN688-AI688))/AI688)))</f>
        <v>0</v>
      </c>
      <c r="AP688" s="50" t="n">
        <f aca="false">IF(LEFT(Cockpit!$I$5,1)="A",H688,IF(Parameter!$E$30="MAX-Bestand",IF(CH688=1,CI688,IF(LEFT(Cockpit!$I$5,1)="B",AV688,MAX(AV688,H688))),ROUNDUP(AT688,0)))</f>
        <v>2</v>
      </c>
      <c r="AQ688" s="50" t="n">
        <f aca="false">IF(BZ688=1,0,ROUNDUP(AP688/BY688,0))</f>
        <v>0</v>
      </c>
      <c r="AR688" s="52" t="n">
        <f aca="false">IF(CQ688&gt;0,CQ688*MAX(1,AP688/X688),IF(BZ688=1,IF(AP688&lt;=0,0,CD688*MAX(1,IF(H688&gt;0,AP688/H688,1))),IF(R688&gt;0,AQ688/R688,0))/MAX(0.1,N(Parameter!$M$21)))</f>
        <v>0.15</v>
      </c>
      <c r="AS688" s="50" t="n">
        <f aca="false">AR688*CB688</f>
        <v>35.25</v>
      </c>
      <c r="AT688" s="51" t="n">
        <f aca="false">IF(LEFT(Cockpit!$I$5,1)="A",H688,IF(CH688=1,(CK688+CI688)/2,IF(LEFT(Cockpit!$I$5,1)="B",(CK688+AV688)/2,MAX((CK688+AV688)/2,H688))))</f>
        <v>1.5</v>
      </c>
      <c r="AU688" s="50" t="n">
        <f aca="false">AT688*G688</f>
        <v>5555.715</v>
      </c>
      <c r="AV688" s="50" t="n">
        <f aca="false">ROUNDUP(CK688+MAX(CL688,2*(J688/IF(CG688&gt;0,CG688,MAX(0.1,N(Cockpit!$I$6)))-CK688)),0)</f>
        <v>3</v>
      </c>
      <c r="AW688" s="51" t="n">
        <f aca="false">IF(AS688&gt;0,J688/AS688,-1)</f>
        <v>0.113475177304965</v>
      </c>
      <c r="AX688" s="51" t="str">
        <f aca="false">IF(AND(OR(CF688="L1",CF688="L23",CF688="LIFT"),AS688&gt;0),SUMIFS($AS$7:$AS$1843,$CF$7:$CF$1843,CF688,$AW$7:$AW$1843,"&gt;"&amp;AW688)+SUMIFS($AS$7:$AS$1843,$CF$7:$CF$1843,CF688,$AW$7:$AW$1843,AW688,$BW$7:$BW$1843,"&lt;="&amp;BW688),"")</f>
        <v/>
      </c>
      <c r="AY688" s="58" t="n">
        <f aca="false">IF(AX688="",0,MAX(0,MIN(1,(IF(CF688="L1",Parameter!$H$5,IF(CF688="L23",Parameter!$H$6+Parameter!$H$7,Parameter!$H$5+Parameter!$H$6+Parameter!$H$7))-(AX688-AS688))/AS688)))</f>
        <v>0</v>
      </c>
      <c r="AZ688" s="50" t="n">
        <f aca="false">IF(LEFT(Cockpit!$O$5,1)="A",H688,IF(Parameter!$E$30="MAX-Bestand",IF(CH688=1,CI688,IF(LEFT(Cockpit!$O$5,1)="B",BF688,MAX(BF688,H688))),ROUNDUP(BD688,0)))</f>
        <v>1</v>
      </c>
      <c r="BA688" s="50" t="n">
        <f aca="false">IF(BZ688=1,0,ROUNDUP(AZ688/BY688,0))</f>
        <v>0</v>
      </c>
      <c r="BB688" s="52" t="n">
        <f aca="false">IF(CQ688&gt;0,CQ688*MAX(1,AZ688/X688),IF(BZ688=1,IF(AZ688&lt;=0,0,CD688*MAX(1,IF(H688&gt;0,AZ688/H688,1))),IF(R688&gt;0,BA688/R688,0))/MAX(0.1,N(Parameter!$M$21)))</f>
        <v>0.15</v>
      </c>
      <c r="BC688" s="50" t="n">
        <f aca="false">BB688*CB688</f>
        <v>35.25</v>
      </c>
      <c r="BD688" s="51" t="n">
        <f aca="false">IF(LEFT(Cockpit!$O$5,1)="A",H688,IF(CH688=1,(CK688+CI688)/2,IF(LEFT(Cockpit!$O$5,1)="B",(CK688+BF688)/2,MAX((CK688+BF688)/2,H688))))</f>
        <v>1</v>
      </c>
      <c r="BE688" s="50" t="n">
        <f aca="false">BD688*G688</f>
        <v>3703.81</v>
      </c>
      <c r="BF688" s="50" t="n">
        <f aca="false">ROUNDUP(CK688+MAX(CL688,2*(J688/IF(CG688&gt;0,CG688,MAX(0.1,N(Cockpit!$O$6)))-CK688)),0)</f>
        <v>2</v>
      </c>
      <c r="BG688" s="51" t="n">
        <f aca="false">IF(BC688&gt;0,J688/BC688,-1)</f>
        <v>0.113475177304965</v>
      </c>
      <c r="BH688" s="51" t="str">
        <f aca="false">IF(AND(OR(CF688="L1",CF688="L23",CF688="LIFT"),BC688&gt;0),SUMIFS($BC$7:$BC$1843,$CF$7:$CF$1843,CF688,$BG$7:$BG$1843,"&gt;"&amp;BG688)+SUMIFS($BC$7:$BC$1843,$CF$7:$CF$1843,CF688,$BG$7:$BG$1843,BG688,$BW$7:$BW$1843,"&lt;="&amp;BW688),"")</f>
        <v/>
      </c>
      <c r="BI688" s="58" t="n">
        <f aca="false">IF(BH688="",0,MAX(0,MIN(1,(IF(CF688="L1",Parameter!$H$5,IF(CF688="L23",Parameter!$H$6+Parameter!$H$7,Parameter!$H$5+Parameter!$H$6+Parameter!$H$7))-(BH688-BC688))/BC688)))</f>
        <v>0</v>
      </c>
      <c r="BJ688" s="48" t="str">
        <f aca="false">IF(AI688&lt;=0,"",IF(CF688="Aussen","Aussenlager",IF(CF688="-","Nicht im Lift",IF(AO688&gt;=1,"Lift",IF(AO688&lt;=0,"Aussenlager","teilweise")))))</f>
        <v/>
      </c>
      <c r="BK688" s="48" t="str">
        <f aca="false">IF(AS688&lt;=0,"",IF(CF688="Aussen","Aussenlager",IF(CF688="-","Nicht im Lift",IF(AY688&gt;=1,"Lift",IF(AY688&lt;=0,"Aussenlager","teilweise")))))</f>
        <v>Nicht im Lift</v>
      </c>
      <c r="BL688" s="48" t="str">
        <f aca="false">IF(BC688&lt;=0,"",IF(CF688="Aussen","Aussenlager",IF(CF688="-","Nicht im Lift",IF(BI688&gt;=1,"Lift",IF(BI688&lt;=0,"Aussenlager","teilweise")))))</f>
        <v>Nicht im Lift</v>
      </c>
      <c r="BM688" s="48" t="str">
        <f aca="false">IF(A688="","",IF(BV688=1,"Neu; ","")&amp;IF(AND(BV688=0,BQ688&lt;0),"negativer Bestand (Export "&amp;BQ688&amp;"); ","")&amp;IF(J688&lt;=0,"Kein Verbrauch; ","")&amp;IF(CQ688&gt;0,"Lift "&amp;W688&amp;" lt. Liftbericht (Fach "&amp;X688&amp;" Stk); ",IF(CA688=1,"Gebinde geschätzt ("&amp;T688&amp;"); ",IF(BZ688=1,"Lose – Tablare geschätzt; ","")))&amp;IF(H688&gt;AV688,"Überbestand "&amp;ROUND(H688-AV688,0)&amp;" Stk / CHF "&amp;ROUND((H688-AV688)*G688,0)&amp;"; ","")&amp;IF(AND(CH688=1,CI688&lt;CJ688),"MAX &lt; MB+LG; ","")&amp;IF(AND(CP688&gt;0,CO688*10&gt;CP688),"zu hoch für Tablar; ","")&amp;IF(AND(BV688=0,OR(CH688=1,AA688&lt;&gt;"",U688&lt;&gt;"",V688&lt;&gt;"",AB688&lt;&gt;"")),"manuell übersteuert; ","")&amp;IF(AND(BZ688=0,R688=0),"Gebinde unbekannt / Stellmass fehlt; ","")&amp;IF(AND(BZ688=0,N(V688)&lt;=0,N(Q688)&lt;=0),"Menge pro Gebinde fehlt (Ist = 1 Gebinde); ","")&amp;BU688)</f>
        <v>Lose – Tablare geschätzt; </v>
      </c>
      <c r="BN688" s="48"/>
      <c r="BO688" s="48"/>
      <c r="BP688" s="55"/>
      <c r="BQ688" s="50" t="n">
        <v>0</v>
      </c>
      <c r="BR688" s="50" t="n">
        <v>0</v>
      </c>
      <c r="BS688" s="49" t="n">
        <v>0</v>
      </c>
      <c r="BT688" s="50" t="n">
        <v>4</v>
      </c>
      <c r="BU688" s="48"/>
      <c r="BV688" s="53" t="n">
        <v>0</v>
      </c>
      <c r="BW688" s="53" t="n">
        <v>688</v>
      </c>
      <c r="BX688" s="48" t="str">
        <f aca="false">IF(U688&lt;&gt;"",UPPER(TRIM(U688)),IF(CA688=1,UPPER(VLOOKUP(T688,Parameter!$I$27:$K$29,2,0)),IF(P688="","LOSE",P688)))</f>
        <v>LOSE</v>
      </c>
      <c r="BY688" s="50" t="n">
        <f aca="false">IF(BX688="LOSE",1,IF(N(V688)&gt;0,V688,IF(CA688=1,MAX(1,N(VLOOKUP(T688,Parameter!$I$27:$K$29,3,0)),H688,N(N688)),IF(N(Q688)&gt;0,Q688,MAX(1,H688)))))</f>
        <v>1</v>
      </c>
      <c r="BZ688" s="53" t="n">
        <f aca="false">IF(BX688="LOSE",1,0)</f>
        <v>1</v>
      </c>
      <c r="CA688" s="53" t="n">
        <f aca="false">IF(AND(U688="",OR(P688="",P688="LOSE"),T688&lt;&gt;"",N(S688)&lt;=0,ISNUMBER(MATCH(T688,Parameter!$I$27:$I$29,0))),1,0)</f>
        <v>0</v>
      </c>
      <c r="CB688" s="53" t="n">
        <f aca="false">IF(CQ688&gt;0,INDEX(Parameter!$H$5:$H$7,W688)/INDEX(Parameter!$E$5:$E$7,W688),IF(AND(BZ688=0,N(IFERROR(VLOOKUP(BX688,'Gebinde-Kategorie'!$A$5:$N$45,14,0),0))&gt;0),VLOOKUP(BX688,'Gebinde-Kategorie'!$A$5:$N$45,14,0)*10+Parameter!$M$23,Parameter!$M$24))</f>
        <v>235</v>
      </c>
      <c r="CC688" s="48" t="str">
        <f aca="false">IF(AND(Parameter!$B$19="Ja",E688&lt;&gt;"",ISNUMBER(MATCH(E688,Parameter!$I$35:$I$52,0))),VLOOKUP(E688,Parameter!$I$35:$J$52,2,0),IFERROR(VLOOKUP(D688,Parameter!$A$35:$C$64,2,0),"Nein"))</f>
        <v>Nein</v>
      </c>
      <c r="CD688" s="52" t="n">
        <f aca="false">IF(BZ688=0,0,IF(N(S688)&gt;0,S688,IFERROR(VLOOKUP(D688,Parameter!$A$35:$C$64,3,0)+0,0)))</f>
        <v>0.15</v>
      </c>
      <c r="CE688" s="48" t="str">
        <f aca="false">IF(AA688&lt;&gt;"",AA688,Z688)</f>
        <v>-</v>
      </c>
      <c r="CF688" s="48" t="str">
        <f aca="false">IF(OR(CE688=1,CE688=2,CE688=3),IF(Parameter!$E$27="Ja","LIFT",IF(CE688=1,"L1","L23")),IF(CE688="Aussen","Aussen","-"))</f>
        <v>-</v>
      </c>
      <c r="CG688" s="59" t="n">
        <f aca="false">IF(N(AB688)&gt;0,AB688,0)</f>
        <v>0</v>
      </c>
      <c r="CH688" s="53" t="n">
        <f aca="false">IF(ISNUMBER(AE688),1,0)</f>
        <v>0</v>
      </c>
      <c r="CI688" s="50" t="n">
        <f aca="false">N(AE688)</f>
        <v>0</v>
      </c>
      <c r="CJ688" s="50" t="n">
        <f aca="false">N(M688)+N(N688)</f>
        <v>1</v>
      </c>
      <c r="CK688" s="50" t="n">
        <f aca="false">N(M688)</f>
        <v>0</v>
      </c>
      <c r="CL688" s="50" t="n">
        <f aca="false">N(N688)</f>
        <v>1</v>
      </c>
      <c r="CM688" s="50" t="n">
        <f aca="false">ROUNDUP(H688/BY688,0)</f>
        <v>0</v>
      </c>
      <c r="CN688" s="50" t="n">
        <f aca="false">ROUNDUP(CI688/BY688,0)</f>
        <v>0</v>
      </c>
      <c r="CO688" s="53" t="n">
        <f aca="false">IF(BZ688=1,0,IFERROR(VLOOKUP(BX688,'Gebinde-Kategorie'!$A$5:$N$45,5,0)+0,0))</f>
        <v>0</v>
      </c>
      <c r="CP688" s="53" t="n">
        <f aca="false">IFERROR(IF(OR(CE688=1,CE688=2,CE688=3),N(INDEX(Parameter!$I$5:$I$7,CE688)),0),0)</f>
        <v>0</v>
      </c>
      <c r="CQ688" s="52" t="n">
        <f aca="false">IF(AND(Parameter!$B$21="Ja",ISNUMBER(W688),N(X688)&gt;0),IFERROR(N(INDEX(Parameter!$L$5:$L$7,W688))*INDEX(Parameter!$E$5:$E$7,W688)*X688/SUMIFS($X$7:$X$1843,$W$7:$W$1843,W688),0),0)</f>
        <v>0</v>
      </c>
    </row>
    <row r="689" customFormat="false" ht="15" hidden="false" customHeight="false" outlineLevel="0" collapsed="false">
      <c r="A689" s="48" t="s">
        <v>1387</v>
      </c>
      <c r="B689" s="48" t="s">
        <v>1388</v>
      </c>
      <c r="C689" s="48" t="s">
        <v>173</v>
      </c>
      <c r="D689" s="48" t="s">
        <v>193</v>
      </c>
      <c r="E689" s="48"/>
      <c r="F689" s="48" t="s">
        <v>227</v>
      </c>
      <c r="G689" s="49" t="n">
        <v>8.97</v>
      </c>
      <c r="H689" s="50" t="n">
        <f aca="false">MAX(0,IF(AND(Parameter!$B$21="Ja",ISNUMBER(Y689)),Y689,IF(Parameter!$B$20="Jahresanfang 2025 + Export",BR689+BQ689,BQ689)))</f>
        <v>22</v>
      </c>
      <c r="I689" s="50" t="n">
        <f aca="false">H689*G689</f>
        <v>197.34</v>
      </c>
      <c r="J689" s="50" t="n">
        <f aca="false">BT689*Parameter!$B$18</f>
        <v>0</v>
      </c>
      <c r="K689" s="51" t="n">
        <v>22.5</v>
      </c>
      <c r="L689" s="52" t="n">
        <v>0</v>
      </c>
      <c r="M689" s="50" t="n">
        <v>0</v>
      </c>
      <c r="N689" s="50" t="n">
        <v>1</v>
      </c>
      <c r="O689" s="53" t="n">
        <v>21</v>
      </c>
      <c r="P689" s="48" t="s">
        <v>430</v>
      </c>
      <c r="Q689" s="50" t="n">
        <v>25</v>
      </c>
      <c r="R689" s="53" t="n">
        <f aca="false">IF(BZ689=1,0,IFERROR(VLOOKUP(BX689,'Gebinde-Kategorie'!$A$5:$N$45,13,0)+0,0))</f>
        <v>104</v>
      </c>
      <c r="S689" s="54"/>
      <c r="T689" s="55"/>
      <c r="U689" s="55"/>
      <c r="V689" s="55"/>
      <c r="W689" s="48"/>
      <c r="X689" s="50"/>
      <c r="Y689" s="50"/>
      <c r="Z689" s="48" t="n">
        <f aca="false">IF(A689="","",IF(AND(Parameter!$B$21="Ja",ISNUMBER(W689)),W689,IF(CC689="2+3",IF(ISNUMBER(SEARCH("grosser Artikel",BU689)),2,IFERROR(VLOOKUP(BX689,Parameter!$F$35:$G$64,2,0),2)),IF(OR(CC689="Nein",CC689=""),"-",CC689))))</f>
        <v>3</v>
      </c>
      <c r="AA689" s="55"/>
      <c r="AB689" s="56"/>
      <c r="AC689" s="50" t="n">
        <f aca="false">AV689</f>
        <v>1</v>
      </c>
      <c r="AD689" s="50" t="n">
        <f aca="false">MAX(AV689,H689)</f>
        <v>22</v>
      </c>
      <c r="AE689" s="57"/>
      <c r="AF689" s="50" t="n">
        <f aca="false">IF(LEFT(Cockpit!$C$5,1)="A",H689,IF(Parameter!$E$30="MAX-Bestand",IF(CH689=1,CI689,IF(LEFT(Cockpit!$C$5,1)="B",AL689,MAX(AL689,H689))),ROUNDUP(AJ689,0)))</f>
        <v>22</v>
      </c>
      <c r="AG689" s="50" t="n">
        <f aca="false">IF(BZ689=1,0,ROUNDUP(AF689/BY689,0))</f>
        <v>1</v>
      </c>
      <c r="AH689" s="52" t="n">
        <f aca="false">IF(CQ689&gt;0,CQ689*MAX(1,AF689/X689),IF(BZ689=1,IF(AF689&lt;=0,0,CD689*MAX(1,IF(H689&gt;0,AF689/H689,1))),IF(R689&gt;0,AG689/R689,0))/MAX(0.1,N(Parameter!$M$21)))</f>
        <v>0.00961538461538462</v>
      </c>
      <c r="AI689" s="50" t="n">
        <f aca="false">AH689*CB689</f>
        <v>1.49038461538462</v>
      </c>
      <c r="AJ689" s="51" t="n">
        <f aca="false">IF(LEFT(Cockpit!$C$5,1)="A",H689,IF(CH689=1,(CK689+CI689)/2,IF(LEFT(Cockpit!$C$5,1)="B",(CK689+AL689)/2,MAX((CK689+AL689)/2,H689))))</f>
        <v>22</v>
      </c>
      <c r="AK689" s="50" t="n">
        <f aca="false">AJ689*G689</f>
        <v>197.34</v>
      </c>
      <c r="AL689" s="50" t="n">
        <f aca="false">ROUNDUP(CK689+MAX(CL689,2*(J689/IF(CG689&gt;0,CG689,MAX(0.1,N(Cockpit!$C$6)))-CK689)),0)</f>
        <v>1</v>
      </c>
      <c r="AM689" s="51" t="n">
        <f aca="false">IF(AI689&gt;0,J689/AI689,-1)</f>
        <v>0</v>
      </c>
      <c r="AN689" s="51" t="n">
        <f aca="false">IF(AND(OR(CF689="L1",CF689="L23",CF689="LIFT"),AI689&gt;0),SUMIFS($AI$7:$AI$1843,$CF$7:$CF$1843,CF689,$AM$7:$AM$1843,"&gt;"&amp;AM689)+SUMIFS($AI$7:$AI$1843,$CF$7:$CF$1843,CF689,$AM$7:$AM$1843,AM689,$BW$7:$BW$1843,"&lt;="&amp;BW689),"")</f>
        <v>28613.0944904907</v>
      </c>
      <c r="AO689" s="58" t="n">
        <f aca="false">IF(AN689="",0,MAX(0,MIN(1,(IF(CF689="L1",Parameter!$H$5,IF(CF689="L23",Parameter!$H$6+Parameter!$H$7,Parameter!$H$5+Parameter!$H$6+Parameter!$H$7))-(AN689-AI689))/AI689)))</f>
        <v>1</v>
      </c>
      <c r="AP689" s="50" t="n">
        <f aca="false">IF(LEFT(Cockpit!$I$5,1)="A",H689,IF(Parameter!$E$30="MAX-Bestand",IF(CH689=1,CI689,IF(LEFT(Cockpit!$I$5,1)="B",AV689,MAX(AV689,H689))),ROUNDUP(AT689,0)))</f>
        <v>22</v>
      </c>
      <c r="AQ689" s="50" t="n">
        <f aca="false">IF(BZ689=1,0,ROUNDUP(AP689/BY689,0))</f>
        <v>1</v>
      </c>
      <c r="AR689" s="52" t="n">
        <f aca="false">IF(CQ689&gt;0,CQ689*MAX(1,AP689/X689),IF(BZ689=1,IF(AP689&lt;=0,0,CD689*MAX(1,IF(H689&gt;0,AP689/H689,1))),IF(R689&gt;0,AQ689/R689,0))/MAX(0.1,N(Parameter!$M$21)))</f>
        <v>0.00961538461538462</v>
      </c>
      <c r="AS689" s="50" t="n">
        <f aca="false">AR689*CB689</f>
        <v>1.49038461538462</v>
      </c>
      <c r="AT689" s="51" t="n">
        <f aca="false">IF(LEFT(Cockpit!$I$5,1)="A",H689,IF(CH689=1,(CK689+CI689)/2,IF(LEFT(Cockpit!$I$5,1)="B",(CK689+AV689)/2,MAX((CK689+AV689)/2,H689))))</f>
        <v>22</v>
      </c>
      <c r="AU689" s="50" t="n">
        <f aca="false">AT689*G689</f>
        <v>197.34</v>
      </c>
      <c r="AV689" s="50" t="n">
        <f aca="false">ROUNDUP(CK689+MAX(CL689,2*(J689/IF(CG689&gt;0,CG689,MAX(0.1,N(Cockpit!$I$6)))-CK689)),0)</f>
        <v>1</v>
      </c>
      <c r="AW689" s="51" t="n">
        <f aca="false">IF(AS689&gt;0,J689/AS689,-1)</f>
        <v>0</v>
      </c>
      <c r="AX689" s="51" t="n">
        <f aca="false">IF(AND(OR(CF689="L1",CF689="L23",CF689="LIFT"),AS689&gt;0),SUMIFS($AS$7:$AS$1843,$CF$7:$CF$1843,CF689,$AW$7:$AW$1843,"&gt;"&amp;AW689)+SUMIFS($AS$7:$AS$1843,$CF$7:$CF$1843,CF689,$AW$7:$AW$1843,AW689,$BW$7:$BW$1843,"&lt;="&amp;BW689),"")</f>
        <v>34005.4097985348</v>
      </c>
      <c r="AY689" s="58" t="n">
        <f aca="false">IF(AX689="",0,MAX(0,MIN(1,(IF(CF689="L1",Parameter!$H$5,IF(CF689="L23",Parameter!$H$6+Parameter!$H$7,Parameter!$H$5+Parameter!$H$6+Parameter!$H$7))-(AX689-AS689))/AS689)))</f>
        <v>1</v>
      </c>
      <c r="AZ689" s="50" t="n">
        <f aca="false">IF(LEFT(Cockpit!$O$5,1)="A",H689,IF(Parameter!$E$30="MAX-Bestand",IF(CH689=1,CI689,IF(LEFT(Cockpit!$O$5,1)="B",BF689,MAX(BF689,H689))),ROUNDUP(BD689,0)))</f>
        <v>1</v>
      </c>
      <c r="BA689" s="50" t="n">
        <f aca="false">IF(BZ689=1,0,ROUNDUP(AZ689/BY689,0))</f>
        <v>1</v>
      </c>
      <c r="BB689" s="52" t="n">
        <f aca="false">IF(CQ689&gt;0,CQ689*MAX(1,AZ689/X689),IF(BZ689=1,IF(AZ689&lt;=0,0,CD689*MAX(1,IF(H689&gt;0,AZ689/H689,1))),IF(R689&gt;0,BA689/R689,0))/MAX(0.1,N(Parameter!$M$21)))</f>
        <v>0.00961538461538462</v>
      </c>
      <c r="BC689" s="50" t="n">
        <f aca="false">BB689*CB689</f>
        <v>1.49038461538462</v>
      </c>
      <c r="BD689" s="51" t="n">
        <f aca="false">IF(LEFT(Cockpit!$O$5,1)="A",H689,IF(CH689=1,(CK689+CI689)/2,IF(LEFT(Cockpit!$O$5,1)="B",(CK689+BF689)/2,MAX((CK689+BF689)/2,H689))))</f>
        <v>0.5</v>
      </c>
      <c r="BE689" s="50" t="n">
        <f aca="false">BD689*G689</f>
        <v>4.485</v>
      </c>
      <c r="BF689" s="50" t="n">
        <f aca="false">ROUNDUP(CK689+MAX(CL689,2*(J689/IF(CG689&gt;0,CG689,MAX(0.1,N(Cockpit!$O$6)))-CK689)),0)</f>
        <v>1</v>
      </c>
      <c r="BG689" s="51" t="n">
        <f aca="false">IF(BC689&gt;0,J689/BC689,-1)</f>
        <v>0</v>
      </c>
      <c r="BH689" s="51" t="n">
        <f aca="false">IF(AND(OR(CF689="L1",CF689="L23",CF689="LIFT"),BC689&gt;0),SUMIFS($BC$7:$BC$1843,$CF$7:$CF$1843,CF689,$BG$7:$BG$1843,"&gt;"&amp;BG689)+SUMIFS($BC$7:$BC$1843,$CF$7:$CF$1843,CF689,$BG$7:$BG$1843,BG689,$BW$7:$BW$1843,"&lt;="&amp;BW689),"")</f>
        <v>28069.5388030049</v>
      </c>
      <c r="BI689" s="58" t="n">
        <f aca="false">IF(BH689="",0,MAX(0,MIN(1,(IF(CF689="L1",Parameter!$H$5,IF(CF689="L23",Parameter!$H$6+Parameter!$H$7,Parameter!$H$5+Parameter!$H$6+Parameter!$H$7))-(BH689-BC689))/BC689)))</f>
        <v>1</v>
      </c>
      <c r="BJ689" s="48" t="str">
        <f aca="false">IF(AI689&lt;=0,"",IF(CF689="Aussen","Aussenlager",IF(CF689="-","Nicht im Lift",IF(AO689&gt;=1,"Lift",IF(AO689&lt;=0,"Aussenlager","teilweise")))))</f>
        <v>Lift</v>
      </c>
      <c r="BK689" s="48" t="str">
        <f aca="false">IF(AS689&lt;=0,"",IF(CF689="Aussen","Aussenlager",IF(CF689="-","Nicht im Lift",IF(AY689&gt;=1,"Lift",IF(AY689&lt;=0,"Aussenlager","teilweise")))))</f>
        <v>Lift</v>
      </c>
      <c r="BL689" s="48" t="str">
        <f aca="false">IF(BC689&lt;=0,"",IF(CF689="Aussen","Aussenlager",IF(CF689="-","Nicht im Lift",IF(BI689&gt;=1,"Lift",IF(BI689&lt;=0,"Aussenlager","teilweise")))))</f>
        <v>Lift</v>
      </c>
      <c r="BM689" s="48" t="str">
        <f aca="false">IF(A689="","",IF(BV689=1,"Neu; ","")&amp;IF(AND(BV689=0,BQ689&lt;0),"negativer Bestand (Export "&amp;BQ689&amp;"); ","")&amp;IF(J689&lt;=0,"Kein Verbrauch; ","")&amp;IF(CQ689&gt;0,"Lift "&amp;W689&amp;" lt. Liftbericht (Fach "&amp;X689&amp;" Stk); ",IF(CA689=1,"Gebinde geschätzt ("&amp;T689&amp;"); ",IF(BZ689=1,"Lose – Tablare geschätzt; ","")))&amp;IF(H689&gt;AV689,"Überbestand "&amp;ROUND(H689-AV689,0)&amp;" Stk / CHF "&amp;ROUND((H689-AV689)*G689,0)&amp;"; ","")&amp;IF(AND(CH689=1,CI689&lt;CJ689),"MAX &lt; MB+LG; ","")&amp;IF(AND(CP689&gt;0,CO689*10&gt;CP689),"zu hoch für Tablar; ","")&amp;IF(AND(BV689=0,OR(CH689=1,AA689&lt;&gt;"",U689&lt;&gt;"",V689&lt;&gt;"",AB689&lt;&gt;"")),"manuell übersteuert; ","")&amp;IF(AND(BZ689=0,R689=0),"Gebinde unbekannt / Stellmass fehlt; ","")&amp;IF(AND(BZ689=0,N(V689)&lt;=0,N(Q689)&lt;=0),"Menge pro Gebinde fehlt (Ist = 1 Gebinde); ","")&amp;BU689)</f>
        <v>Kein Verbrauch; Überbestand 21 Stk / CHF 188; </v>
      </c>
      <c r="BN689" s="48"/>
      <c r="BO689" s="48"/>
      <c r="BP689" s="55"/>
      <c r="BQ689" s="50" t="n">
        <v>0</v>
      </c>
      <c r="BR689" s="50" t="n">
        <v>22</v>
      </c>
      <c r="BS689" s="49" t="n">
        <v>0</v>
      </c>
      <c r="BT689" s="50" t="n">
        <v>0</v>
      </c>
      <c r="BU689" s="48"/>
      <c r="BV689" s="53" t="n">
        <v>0</v>
      </c>
      <c r="BW689" s="53" t="n">
        <v>689</v>
      </c>
      <c r="BX689" s="48" t="str">
        <f aca="false">IF(U689&lt;&gt;"",UPPER(TRIM(U689)),IF(CA689=1,UPPER(VLOOKUP(T689,Parameter!$I$27:$K$29,2,0)),IF(P689="","LOSE",P689)))</f>
        <v>S32</v>
      </c>
      <c r="BY689" s="50" t="n">
        <f aca="false">IF(BX689="LOSE",1,IF(N(V689)&gt;0,V689,IF(CA689=1,MAX(1,N(VLOOKUP(T689,Parameter!$I$27:$K$29,3,0)),H689,N(N689)),IF(N(Q689)&gt;0,Q689,MAX(1,H689)))))</f>
        <v>25</v>
      </c>
      <c r="BZ689" s="53" t="n">
        <f aca="false">IF(BX689="LOSE",1,0)</f>
        <v>0</v>
      </c>
      <c r="CA689" s="53" t="n">
        <f aca="false">IF(AND(U689="",OR(P689="",P689="LOSE"),T689&lt;&gt;"",N(S689)&lt;=0,ISNUMBER(MATCH(T689,Parameter!$I$27:$I$29,0))),1,0)</f>
        <v>0</v>
      </c>
      <c r="CB689" s="53" t="n">
        <f aca="false">IF(CQ689&gt;0,INDEX(Parameter!$H$5:$H$7,W689)/INDEX(Parameter!$E$5:$E$7,W689),IF(AND(BZ689=0,N(IFERROR(VLOOKUP(BX689,'Gebinde-Kategorie'!$A$5:$N$45,14,0),0))&gt;0),VLOOKUP(BX689,'Gebinde-Kategorie'!$A$5:$N$45,14,0)*10+Parameter!$M$23,Parameter!$M$24))</f>
        <v>155</v>
      </c>
      <c r="CC689" s="48" t="str">
        <f aca="false">IF(AND(Parameter!$B$19="Ja",E689&lt;&gt;"",ISNUMBER(MATCH(E689,Parameter!$I$35:$I$52,0))),VLOOKUP(E689,Parameter!$I$35:$J$52,2,0),IFERROR(VLOOKUP(D689,Parameter!$A$35:$C$64,2,0),"Nein"))</f>
        <v>2+3</v>
      </c>
      <c r="CD689" s="52" t="n">
        <f aca="false">IF(BZ689=0,0,IF(N(S689)&gt;0,S689,IFERROR(VLOOKUP(D689,Parameter!$A$35:$C$64,3,0)+0,0)))</f>
        <v>0</v>
      </c>
      <c r="CE689" s="48" t="n">
        <f aca="false">IF(AA689&lt;&gt;"",AA689,Z689)</f>
        <v>3</v>
      </c>
      <c r="CF689" s="48" t="str">
        <f aca="false">IF(OR(CE689=1,CE689=2,CE689=3),IF(Parameter!$E$27="Ja","LIFT",IF(CE689=1,"L1","L23")),IF(CE689="Aussen","Aussen","-"))</f>
        <v>LIFT</v>
      </c>
      <c r="CG689" s="59" t="n">
        <f aca="false">IF(N(AB689)&gt;0,AB689,0)</f>
        <v>0</v>
      </c>
      <c r="CH689" s="53" t="n">
        <f aca="false">IF(ISNUMBER(AE689),1,0)</f>
        <v>0</v>
      </c>
      <c r="CI689" s="50" t="n">
        <f aca="false">N(AE689)</f>
        <v>0</v>
      </c>
      <c r="CJ689" s="50" t="n">
        <f aca="false">N(M689)+N(N689)</f>
        <v>1</v>
      </c>
      <c r="CK689" s="50" t="n">
        <f aca="false">N(M689)</f>
        <v>0</v>
      </c>
      <c r="CL689" s="50" t="n">
        <f aca="false">N(N689)</f>
        <v>1</v>
      </c>
      <c r="CM689" s="50" t="n">
        <f aca="false">ROUNDUP(H689/BY689,0)</f>
        <v>1</v>
      </c>
      <c r="CN689" s="50" t="n">
        <f aca="false">ROUNDUP(CI689/BY689,0)</f>
        <v>0</v>
      </c>
      <c r="CO689" s="53" t="n">
        <f aca="false">IF(BZ689=1,0,IFERROR(VLOOKUP(BX689,'Gebinde-Kategorie'!$A$5:$N$45,5,0)+0,0))</f>
        <v>8</v>
      </c>
      <c r="CP689" s="53" t="n">
        <f aca="false">IFERROR(IF(OR(CE689=1,CE689=2,CE689=3),N(INDEX(Parameter!$I$5:$I$7,CE689)),0),0)</f>
        <v>0</v>
      </c>
      <c r="CQ689" s="52" t="n">
        <f aca="false">IF(AND(Parameter!$B$21="Ja",ISNUMBER(W689),N(X689)&gt;0),IFERROR(N(INDEX(Parameter!$L$5:$L$7,W689))*INDEX(Parameter!$E$5:$E$7,W689)*X689/SUMIFS($X$7:$X$1843,$W$7:$W$1843,W689),0),0)</f>
        <v>0</v>
      </c>
    </row>
    <row r="690" customFormat="false" ht="15" hidden="false" customHeight="false" outlineLevel="0" collapsed="false">
      <c r="A690" s="48" t="s">
        <v>1389</v>
      </c>
      <c r="B690" s="48" t="s">
        <v>585</v>
      </c>
      <c r="C690" s="48" t="s">
        <v>173</v>
      </c>
      <c r="D690" s="48" t="s">
        <v>193</v>
      </c>
      <c r="E690" s="48"/>
      <c r="F690" s="48" t="s">
        <v>227</v>
      </c>
      <c r="G690" s="49" t="n">
        <v>703.81</v>
      </c>
      <c r="H690" s="50" t="n">
        <f aca="false">MAX(0,IF(AND(Parameter!$B$21="Ja",ISNUMBER(Y690)),Y690,IF(Parameter!$B$20="Jahresanfang 2025 + Export",BR690+BQ690,BQ690)))</f>
        <v>17</v>
      </c>
      <c r="I690" s="50" t="n">
        <f aca="false">H690*G690</f>
        <v>11964.77</v>
      </c>
      <c r="J690" s="50" t="n">
        <f aca="false">BT690*Parameter!$B$18</f>
        <v>0</v>
      </c>
      <c r="K690" s="51" t="n">
        <v>17</v>
      </c>
      <c r="L690" s="52" t="n">
        <v>0</v>
      </c>
      <c r="M690" s="50" t="n">
        <v>0</v>
      </c>
      <c r="N690" s="50" t="n">
        <v>1</v>
      </c>
      <c r="O690" s="53" t="n">
        <v>35</v>
      </c>
      <c r="P690" s="48" t="s">
        <v>177</v>
      </c>
      <c r="Q690" s="50"/>
      <c r="R690" s="53" t="n">
        <f aca="false">IF(BZ690=1,0,IFERROR(VLOOKUP(BX690,'Gebinde-Kategorie'!$A$5:$N$45,13,0)+0,0))</f>
        <v>26</v>
      </c>
      <c r="S690" s="54"/>
      <c r="T690" s="55" t="s">
        <v>284</v>
      </c>
      <c r="U690" s="55"/>
      <c r="V690" s="55"/>
      <c r="W690" s="48"/>
      <c r="X690" s="50"/>
      <c r="Y690" s="50"/>
      <c r="Z690" s="48" t="n">
        <f aca="false">IF(A690="","",IF(AND(Parameter!$B$21="Ja",ISNUMBER(W690)),W690,IF(CC690="2+3",IF(ISNUMBER(SEARCH("grosser Artikel",BU690)),2,IFERROR(VLOOKUP(BX690,Parameter!$F$35:$G$64,2,0),2)),IF(OR(CC690="Nein",CC690=""),"-",CC690))))</f>
        <v>3</v>
      </c>
      <c r="AA690" s="55"/>
      <c r="AB690" s="56"/>
      <c r="AC690" s="50" t="n">
        <f aca="false">AV690</f>
        <v>1</v>
      </c>
      <c r="AD690" s="50" t="n">
        <f aca="false">MAX(AV690,H690)</f>
        <v>17</v>
      </c>
      <c r="AE690" s="57"/>
      <c r="AF690" s="50" t="n">
        <f aca="false">IF(LEFT(Cockpit!$C$5,1)="A",H690,IF(Parameter!$E$30="MAX-Bestand",IF(CH690=1,CI690,IF(LEFT(Cockpit!$C$5,1)="B",AL690,MAX(AL690,H690))),ROUNDUP(AJ690,0)))</f>
        <v>17</v>
      </c>
      <c r="AG690" s="50" t="n">
        <f aca="false">IF(BZ690=1,0,ROUNDUP(AF690/BY690,0))</f>
        <v>1</v>
      </c>
      <c r="AH690" s="52" t="n">
        <f aca="false">IF(CQ690&gt;0,CQ690*MAX(1,AF690/X690),IF(BZ690=1,IF(AF690&lt;=0,0,CD690*MAX(1,IF(H690&gt;0,AF690/H690,1))),IF(R690&gt;0,AG690/R690,0))/MAX(0.1,N(Parameter!$M$21)))</f>
        <v>0.0384615384615385</v>
      </c>
      <c r="AI690" s="50" t="n">
        <f aca="false">AH690*CB690</f>
        <v>5.96153846153846</v>
      </c>
      <c r="AJ690" s="51" t="n">
        <f aca="false">IF(LEFT(Cockpit!$C$5,1)="A",H690,IF(CH690=1,(CK690+CI690)/2,IF(LEFT(Cockpit!$C$5,1)="B",(CK690+AL690)/2,MAX((CK690+AL690)/2,H690))))</f>
        <v>17</v>
      </c>
      <c r="AK690" s="50" t="n">
        <f aca="false">AJ690*G690</f>
        <v>11964.77</v>
      </c>
      <c r="AL690" s="50" t="n">
        <f aca="false">ROUNDUP(CK690+MAX(CL690,2*(J690/IF(CG690&gt;0,CG690,MAX(0.1,N(Cockpit!$C$6)))-CK690)),0)</f>
        <v>1</v>
      </c>
      <c r="AM690" s="51" t="n">
        <f aca="false">IF(AI690&gt;0,J690/AI690,-1)</f>
        <v>0</v>
      </c>
      <c r="AN690" s="51" t="n">
        <f aca="false">IF(AND(OR(CF690="L1",CF690="L23",CF690="LIFT"),AI690&gt;0),SUMIFS($AI$7:$AI$1843,$CF$7:$CF$1843,CF690,$AM$7:$AM$1843,"&gt;"&amp;AM690)+SUMIFS($AI$7:$AI$1843,$CF$7:$CF$1843,CF690,$AM$7:$AM$1843,AM690,$BW$7:$BW$1843,"&lt;="&amp;BW690),"")</f>
        <v>28619.0560289522</v>
      </c>
      <c r="AO690" s="58" t="n">
        <f aca="false">IF(AN690="",0,MAX(0,MIN(1,(IF(CF690="L1",Parameter!$H$5,IF(CF690="L23",Parameter!$H$6+Parameter!$H$7,Parameter!$H$5+Parameter!$H$6+Parameter!$H$7))-(AN690-AI690))/AI690)))</f>
        <v>1</v>
      </c>
      <c r="AP690" s="50" t="n">
        <f aca="false">IF(LEFT(Cockpit!$I$5,1)="A",H690,IF(Parameter!$E$30="MAX-Bestand",IF(CH690=1,CI690,IF(LEFT(Cockpit!$I$5,1)="B",AV690,MAX(AV690,H690))),ROUNDUP(AT690,0)))</f>
        <v>17</v>
      </c>
      <c r="AQ690" s="50" t="n">
        <f aca="false">IF(BZ690=1,0,ROUNDUP(AP690/BY690,0))</f>
        <v>1</v>
      </c>
      <c r="AR690" s="52" t="n">
        <f aca="false">IF(CQ690&gt;0,CQ690*MAX(1,AP690/X690),IF(BZ690=1,IF(AP690&lt;=0,0,CD690*MAX(1,IF(H690&gt;0,AP690/H690,1))),IF(R690&gt;0,AQ690/R690,0))/MAX(0.1,N(Parameter!$M$21)))</f>
        <v>0.0384615384615385</v>
      </c>
      <c r="AS690" s="50" t="n">
        <f aca="false">AR690*CB690</f>
        <v>5.96153846153846</v>
      </c>
      <c r="AT690" s="51" t="n">
        <f aca="false">IF(LEFT(Cockpit!$I$5,1)="A",H690,IF(CH690=1,(CK690+CI690)/2,IF(LEFT(Cockpit!$I$5,1)="B",(CK690+AV690)/2,MAX((CK690+AV690)/2,H690))))</f>
        <v>17</v>
      </c>
      <c r="AU690" s="50" t="n">
        <f aca="false">AT690*G690</f>
        <v>11964.77</v>
      </c>
      <c r="AV690" s="50" t="n">
        <f aca="false">ROUNDUP(CK690+MAX(CL690,2*(J690/IF(CG690&gt;0,CG690,MAX(0.1,N(Cockpit!$I$6)))-CK690)),0)</f>
        <v>1</v>
      </c>
      <c r="AW690" s="51" t="n">
        <f aca="false">IF(AS690&gt;0,J690/AS690,-1)</f>
        <v>0</v>
      </c>
      <c r="AX690" s="51" t="n">
        <f aca="false">IF(AND(OR(CF690="L1",CF690="L23",CF690="LIFT"),AS690&gt;0),SUMIFS($AS$7:$AS$1843,$CF$7:$CF$1843,CF690,$AW$7:$AW$1843,"&gt;"&amp;AW690)+SUMIFS($AS$7:$AS$1843,$CF$7:$CF$1843,CF690,$AW$7:$AW$1843,AW690,$BW$7:$BW$1843,"&lt;="&amp;BW690),"")</f>
        <v>34011.3713369963</v>
      </c>
      <c r="AY690" s="58" t="n">
        <f aca="false">IF(AX690="",0,MAX(0,MIN(1,(IF(CF690="L1",Parameter!$H$5,IF(CF690="L23",Parameter!$H$6+Parameter!$H$7,Parameter!$H$5+Parameter!$H$6+Parameter!$H$7))-(AX690-AS690))/AS690)))</f>
        <v>1</v>
      </c>
      <c r="AZ690" s="50" t="n">
        <f aca="false">IF(LEFT(Cockpit!$O$5,1)="A",H690,IF(Parameter!$E$30="MAX-Bestand",IF(CH690=1,CI690,IF(LEFT(Cockpit!$O$5,1)="B",BF690,MAX(BF690,H690))),ROUNDUP(BD690,0)))</f>
        <v>1</v>
      </c>
      <c r="BA690" s="50" t="n">
        <f aca="false">IF(BZ690=1,0,ROUNDUP(AZ690/BY690,0))</f>
        <v>1</v>
      </c>
      <c r="BB690" s="52" t="n">
        <f aca="false">IF(CQ690&gt;0,CQ690*MAX(1,AZ690/X690),IF(BZ690=1,IF(AZ690&lt;=0,0,CD690*MAX(1,IF(H690&gt;0,AZ690/H690,1))),IF(R690&gt;0,BA690/R690,0))/MAX(0.1,N(Parameter!$M$21)))</f>
        <v>0.0384615384615385</v>
      </c>
      <c r="BC690" s="50" t="n">
        <f aca="false">BB690*CB690</f>
        <v>5.96153846153846</v>
      </c>
      <c r="BD690" s="51" t="n">
        <f aca="false">IF(LEFT(Cockpit!$O$5,1)="A",H690,IF(CH690=1,(CK690+CI690)/2,IF(LEFT(Cockpit!$O$5,1)="B",(CK690+BF690)/2,MAX((CK690+BF690)/2,H690))))</f>
        <v>0.5</v>
      </c>
      <c r="BE690" s="50" t="n">
        <f aca="false">BD690*G690</f>
        <v>351.905</v>
      </c>
      <c r="BF690" s="50" t="n">
        <f aca="false">ROUNDUP(CK690+MAX(CL690,2*(J690/IF(CG690&gt;0,CG690,MAX(0.1,N(Cockpit!$O$6)))-CK690)),0)</f>
        <v>1</v>
      </c>
      <c r="BG690" s="51" t="n">
        <f aca="false">IF(BC690&gt;0,J690/BC690,-1)</f>
        <v>0</v>
      </c>
      <c r="BH690" s="51" t="n">
        <f aca="false">IF(AND(OR(CF690="L1",CF690="L23",CF690="LIFT"),BC690&gt;0),SUMIFS($BC$7:$BC$1843,$CF$7:$CF$1843,CF690,$BG$7:$BG$1843,"&gt;"&amp;BG690)+SUMIFS($BC$7:$BC$1843,$CF$7:$CF$1843,CF690,$BG$7:$BG$1843,BG690,$BW$7:$BW$1843,"&lt;="&amp;BW690),"")</f>
        <v>28075.5003414664</v>
      </c>
      <c r="BI690" s="58" t="n">
        <f aca="false">IF(BH690="",0,MAX(0,MIN(1,(IF(CF690="L1",Parameter!$H$5,IF(CF690="L23",Parameter!$H$6+Parameter!$H$7,Parameter!$H$5+Parameter!$H$6+Parameter!$H$7))-(BH690-BC690))/BC690)))</f>
        <v>1</v>
      </c>
      <c r="BJ690" s="48" t="str">
        <f aca="false">IF(AI690&lt;=0,"",IF(CF690="Aussen","Aussenlager",IF(CF690="-","Nicht im Lift",IF(AO690&gt;=1,"Lift",IF(AO690&lt;=0,"Aussenlager","teilweise")))))</f>
        <v>Lift</v>
      </c>
      <c r="BK690" s="48" t="str">
        <f aca="false">IF(AS690&lt;=0,"",IF(CF690="Aussen","Aussenlager",IF(CF690="-","Nicht im Lift",IF(AY690&gt;=1,"Lift",IF(AY690&lt;=0,"Aussenlager","teilweise")))))</f>
        <v>Lift</v>
      </c>
      <c r="BL690" s="48" t="str">
        <f aca="false">IF(BC690&lt;=0,"",IF(CF690="Aussen","Aussenlager",IF(CF690="-","Nicht im Lift",IF(BI690&gt;=1,"Lift",IF(BI690&lt;=0,"Aussenlager","teilweise")))))</f>
        <v>Lift</v>
      </c>
      <c r="BM690" s="48" t="str">
        <f aca="false">IF(A690="","",IF(BV690=1,"Neu; ","")&amp;IF(AND(BV690=0,BQ690&lt;0),"negativer Bestand (Export "&amp;BQ690&amp;"); ","")&amp;IF(J690&lt;=0,"Kein Verbrauch; ","")&amp;IF(CQ690&gt;0,"Lift "&amp;W690&amp;" lt. Liftbericht (Fach "&amp;X690&amp;" Stk); ",IF(CA690=1,"Gebinde geschätzt ("&amp;T690&amp;"); ",IF(BZ690=1,"Lose – Tablare geschätzt; ","")))&amp;IF(H690&gt;AV690,"Überbestand "&amp;ROUND(H690-AV690,0)&amp;" Stk / CHF "&amp;ROUND((H690-AV690)*G690,0)&amp;"; ","")&amp;IF(AND(CH690=1,CI690&lt;CJ690),"MAX &lt; MB+LG; ","")&amp;IF(AND(CP690&gt;0,CO690*10&gt;CP690),"zu hoch für Tablar; ","")&amp;IF(AND(BV690=0,OR(CH690=1,AA690&lt;&gt;"",U690&lt;&gt;"",V690&lt;&gt;"",AB690&lt;&gt;"")),"manuell übersteuert; ","")&amp;IF(AND(BZ690=0,R690=0),"Gebinde unbekannt / Stellmass fehlt; ","")&amp;IF(AND(BZ690=0,N(V690)&lt;=0,N(Q690)&lt;=0),"Menge pro Gebinde fehlt (Ist = 1 Gebinde); ","")&amp;BU690)</f>
        <v>Kein Verbrauch; Gebinde geschätzt (Klein); Überbestand 16 Stk / CHF 11261; Menge pro Gebinde fehlt (Ist = 1 Gebinde); </v>
      </c>
      <c r="BN690" s="48"/>
      <c r="BO690" s="48"/>
      <c r="BP690" s="55"/>
      <c r="BQ690" s="50" t="n">
        <v>0</v>
      </c>
      <c r="BR690" s="50" t="n">
        <v>17</v>
      </c>
      <c r="BS690" s="49" t="n">
        <v>0</v>
      </c>
      <c r="BT690" s="50" t="n">
        <v>0</v>
      </c>
      <c r="BU690" s="48"/>
      <c r="BV690" s="53" t="n">
        <v>0</v>
      </c>
      <c r="BW690" s="53" t="n">
        <v>690</v>
      </c>
      <c r="BX690" s="48" t="str">
        <f aca="false">IF(U690&lt;&gt;"",UPPER(TRIM(U690)),IF(CA690=1,UPPER(VLOOKUP(T690,Parameter!$I$27:$K$29,2,0)),IF(P690="","LOSE",P690)))</f>
        <v>S51</v>
      </c>
      <c r="BY690" s="50" t="n">
        <f aca="false">IF(BX690="LOSE",1,IF(N(V690)&gt;0,V690,IF(CA690=1,MAX(1,N(VLOOKUP(T690,Parameter!$I$27:$K$29,3,0)),H690,N(N690)),IF(N(Q690)&gt;0,Q690,MAX(1,H690)))))</f>
        <v>20</v>
      </c>
      <c r="BZ690" s="53" t="n">
        <f aca="false">IF(BX690="LOSE",1,0)</f>
        <v>0</v>
      </c>
      <c r="CA690" s="53" t="n">
        <f aca="false">IF(AND(U690="",OR(P690="",P690="LOSE"),T690&lt;&gt;"",N(S690)&lt;=0,ISNUMBER(MATCH(T690,Parameter!$I$27:$I$29,0))),1,0)</f>
        <v>1</v>
      </c>
      <c r="CB690" s="53" t="n">
        <f aca="false">IF(CQ690&gt;0,INDEX(Parameter!$H$5:$H$7,W690)/INDEX(Parameter!$E$5:$E$7,W690),IF(AND(BZ690=0,N(IFERROR(VLOOKUP(BX690,'Gebinde-Kategorie'!$A$5:$N$45,14,0),0))&gt;0),VLOOKUP(BX690,'Gebinde-Kategorie'!$A$5:$N$45,14,0)*10+Parameter!$M$23,Parameter!$M$24))</f>
        <v>155</v>
      </c>
      <c r="CC690" s="48" t="str">
        <f aca="false">IF(AND(Parameter!$B$19="Ja",E690&lt;&gt;"",ISNUMBER(MATCH(E690,Parameter!$I$35:$I$52,0))),VLOOKUP(E690,Parameter!$I$35:$J$52,2,0),IFERROR(VLOOKUP(D690,Parameter!$A$35:$C$64,2,0),"Nein"))</f>
        <v>2+3</v>
      </c>
      <c r="CD690" s="52" t="n">
        <f aca="false">IF(BZ690=0,0,IF(N(S690)&gt;0,S690,IFERROR(VLOOKUP(D690,Parameter!$A$35:$C$64,3,0)+0,0)))</f>
        <v>0</v>
      </c>
      <c r="CE690" s="48" t="n">
        <f aca="false">IF(AA690&lt;&gt;"",AA690,Z690)</f>
        <v>3</v>
      </c>
      <c r="CF690" s="48" t="str">
        <f aca="false">IF(OR(CE690=1,CE690=2,CE690=3),IF(Parameter!$E$27="Ja","LIFT",IF(CE690=1,"L1","L23")),IF(CE690="Aussen","Aussen","-"))</f>
        <v>LIFT</v>
      </c>
      <c r="CG690" s="59" t="n">
        <f aca="false">IF(N(AB690)&gt;0,AB690,0)</f>
        <v>0</v>
      </c>
      <c r="CH690" s="53" t="n">
        <f aca="false">IF(ISNUMBER(AE690),1,0)</f>
        <v>0</v>
      </c>
      <c r="CI690" s="50" t="n">
        <f aca="false">N(AE690)</f>
        <v>0</v>
      </c>
      <c r="CJ690" s="50" t="n">
        <f aca="false">N(M690)+N(N690)</f>
        <v>1</v>
      </c>
      <c r="CK690" s="50" t="n">
        <f aca="false">N(M690)</f>
        <v>0</v>
      </c>
      <c r="CL690" s="50" t="n">
        <f aca="false">N(N690)</f>
        <v>1</v>
      </c>
      <c r="CM690" s="50" t="n">
        <f aca="false">ROUNDUP(H690/BY690,0)</f>
        <v>1</v>
      </c>
      <c r="CN690" s="50" t="n">
        <f aca="false">ROUNDUP(CI690/BY690,0)</f>
        <v>0</v>
      </c>
      <c r="CO690" s="53" t="n">
        <f aca="false">IF(BZ690=1,0,IFERROR(VLOOKUP(BX690,'Gebinde-Kategorie'!$A$5:$N$45,5,0)+0,0))</f>
        <v>11</v>
      </c>
      <c r="CP690" s="53" t="n">
        <f aca="false">IFERROR(IF(OR(CE690=1,CE690=2,CE690=3),N(INDEX(Parameter!$I$5:$I$7,CE690)),0),0)</f>
        <v>0</v>
      </c>
      <c r="CQ690" s="52" t="n">
        <f aca="false">IF(AND(Parameter!$B$21="Ja",ISNUMBER(W690),N(X690)&gt;0),IFERROR(N(INDEX(Parameter!$L$5:$L$7,W690))*INDEX(Parameter!$E$5:$E$7,W690)*X690/SUMIFS($X$7:$X$1843,$W$7:$W$1843,W690),0),0)</f>
        <v>0</v>
      </c>
    </row>
    <row r="691" customFormat="false" ht="15" hidden="false" customHeight="false" outlineLevel="0" collapsed="false">
      <c r="A691" s="48" t="s">
        <v>1390</v>
      </c>
      <c r="B691" s="48" t="s">
        <v>440</v>
      </c>
      <c r="C691" s="48" t="s">
        <v>173</v>
      </c>
      <c r="D691" s="48" t="s">
        <v>193</v>
      </c>
      <c r="E691" s="48" t="s">
        <v>194</v>
      </c>
      <c r="F691" s="48" t="s">
        <v>227</v>
      </c>
      <c r="G691" s="49" t="n">
        <v>137.1</v>
      </c>
      <c r="H691" s="50" t="n">
        <f aca="false">MAX(0,IF(AND(Parameter!$B$21="Ja",ISNUMBER(Y691)),Y691,IF(Parameter!$B$20="Jahresanfang 2025 + Export",BR691+BQ691,BQ691)))</f>
        <v>1</v>
      </c>
      <c r="I691" s="50" t="n">
        <f aca="false">H691*G691</f>
        <v>137.1</v>
      </c>
      <c r="J691" s="50" t="n">
        <f aca="false">BT691*Parameter!$B$18</f>
        <v>1</v>
      </c>
      <c r="K691" s="51" t="n">
        <v>1</v>
      </c>
      <c r="L691" s="52" t="n">
        <v>1</v>
      </c>
      <c r="M691" s="50" t="n">
        <v>0</v>
      </c>
      <c r="N691" s="50" t="n">
        <v>1</v>
      </c>
      <c r="O691" s="53" t="n">
        <v>70</v>
      </c>
      <c r="P691" s="48" t="s">
        <v>410</v>
      </c>
      <c r="Q691" s="50" t="n">
        <v>1</v>
      </c>
      <c r="R691" s="53" t="n">
        <f aca="false">IF(BZ691=1,0,IFERROR(VLOOKUP(BX691,'Gebinde-Kategorie'!$A$5:$N$45,13,0)+0,0))</f>
        <v>280</v>
      </c>
      <c r="S691" s="54"/>
      <c r="T691" s="55"/>
      <c r="U691" s="55"/>
      <c r="V691" s="55"/>
      <c r="W691" s="48"/>
      <c r="X691" s="50"/>
      <c r="Y691" s="50"/>
      <c r="Z691" s="48" t="n">
        <f aca="false">IF(A691="","",IF(AND(Parameter!$B$21="Ja",ISNUMBER(W691)),W691,IF(CC691="2+3",IF(ISNUMBER(SEARCH("grosser Artikel",BU691)),2,IFERROR(VLOOKUP(BX691,Parameter!$F$35:$G$64,2,0),2)),IF(OR(CC691="Nein",CC691=""),"-",CC691))))</f>
        <v>3</v>
      </c>
      <c r="AA691" s="55"/>
      <c r="AB691" s="56"/>
      <c r="AC691" s="50" t="n">
        <f aca="false">AV691</f>
        <v>1</v>
      </c>
      <c r="AD691" s="50" t="n">
        <f aca="false">MAX(AV691,H691)</f>
        <v>1</v>
      </c>
      <c r="AE691" s="57"/>
      <c r="AF691" s="50" t="n">
        <f aca="false">IF(LEFT(Cockpit!$C$5,1)="A",H691,IF(Parameter!$E$30="MAX-Bestand",IF(CH691=1,CI691,IF(LEFT(Cockpit!$C$5,1)="B",AL691,MAX(AL691,H691))),ROUNDUP(AJ691,0)))</f>
        <v>1</v>
      </c>
      <c r="AG691" s="50" t="n">
        <f aca="false">IF(BZ691=1,0,ROUNDUP(AF691/BY691,0))</f>
        <v>1</v>
      </c>
      <c r="AH691" s="52" t="n">
        <f aca="false">IF(CQ691&gt;0,CQ691*MAX(1,AF691/X691),IF(BZ691=1,IF(AF691&lt;=0,0,CD691*MAX(1,IF(H691&gt;0,AF691/H691,1))),IF(R691&gt;0,AG691/R691,0))/MAX(0.1,N(Parameter!$M$21)))</f>
        <v>0.00357142857142857</v>
      </c>
      <c r="AI691" s="50" t="n">
        <f aca="false">AH691*CB691</f>
        <v>0.553571428571429</v>
      </c>
      <c r="AJ691" s="51" t="n">
        <f aca="false">IF(LEFT(Cockpit!$C$5,1)="A",H691,IF(CH691=1,(CK691+CI691)/2,IF(LEFT(Cockpit!$C$5,1)="B",(CK691+AL691)/2,MAX((CK691+AL691)/2,H691))))</f>
        <v>1</v>
      </c>
      <c r="AK691" s="50" t="n">
        <f aca="false">AJ691*G691</f>
        <v>137.1</v>
      </c>
      <c r="AL691" s="50" t="n">
        <f aca="false">ROUNDUP(CK691+MAX(CL691,2*(J691/IF(CG691&gt;0,CG691,MAX(0.1,N(Cockpit!$C$6)))-CK691)),0)</f>
        <v>1</v>
      </c>
      <c r="AM691" s="51" t="n">
        <f aca="false">IF(AI691&gt;0,J691/AI691,-1)</f>
        <v>1.80645161290323</v>
      </c>
      <c r="AN691" s="51" t="n">
        <f aca="false">IF(AND(OR(CF691="L1",CF691="L23",CF691="LIFT"),AI691&gt;0),SUMIFS($AI$7:$AI$1843,$CF$7:$CF$1843,CF691,$AM$7:$AM$1843,"&gt;"&amp;AM691)+SUMIFS($AI$7:$AI$1843,$CF$7:$CF$1843,CF691,$AM$7:$AM$1843,AM691,$BW$7:$BW$1843,"&lt;="&amp;BW691),"")</f>
        <v>5964.79029304029</v>
      </c>
      <c r="AO691" s="58" t="n">
        <f aca="false">IF(AN691="",0,MAX(0,MIN(1,(IF(CF691="L1",Parameter!$H$5,IF(CF691="L23",Parameter!$H$6+Parameter!$H$7,Parameter!$H$5+Parameter!$H$6+Parameter!$H$7))-(AN691-AI691))/AI691)))</f>
        <v>1</v>
      </c>
      <c r="AP691" s="50" t="n">
        <f aca="false">IF(LEFT(Cockpit!$I$5,1)="A",H691,IF(Parameter!$E$30="MAX-Bestand",IF(CH691=1,CI691,IF(LEFT(Cockpit!$I$5,1)="B",AV691,MAX(AV691,H691))),ROUNDUP(AT691,0)))</f>
        <v>1</v>
      </c>
      <c r="AQ691" s="50" t="n">
        <f aca="false">IF(BZ691=1,0,ROUNDUP(AP691/BY691,0))</f>
        <v>1</v>
      </c>
      <c r="AR691" s="52" t="n">
        <f aca="false">IF(CQ691&gt;0,CQ691*MAX(1,AP691/X691),IF(BZ691=1,IF(AP691&lt;=0,0,CD691*MAX(1,IF(H691&gt;0,AP691/H691,1))),IF(R691&gt;0,AQ691/R691,0))/MAX(0.1,N(Parameter!$M$21)))</f>
        <v>0.00357142857142857</v>
      </c>
      <c r="AS691" s="50" t="n">
        <f aca="false">AR691*CB691</f>
        <v>0.553571428571429</v>
      </c>
      <c r="AT691" s="51" t="n">
        <f aca="false">IF(LEFT(Cockpit!$I$5,1)="A",H691,IF(CH691=1,(CK691+CI691)/2,IF(LEFT(Cockpit!$I$5,1)="B",(CK691+AV691)/2,MAX((CK691+AV691)/2,H691))))</f>
        <v>1</v>
      </c>
      <c r="AU691" s="50" t="n">
        <f aca="false">AT691*G691</f>
        <v>137.1</v>
      </c>
      <c r="AV691" s="50" t="n">
        <f aca="false">ROUNDUP(CK691+MAX(CL691,2*(J691/IF(CG691&gt;0,CG691,MAX(0.1,N(Cockpit!$I$6)))-CK691)),0)</f>
        <v>1</v>
      </c>
      <c r="AW691" s="51" t="n">
        <f aca="false">IF(AS691&gt;0,J691/AS691,-1)</f>
        <v>1.80645161290323</v>
      </c>
      <c r="AX691" s="51" t="n">
        <f aca="false">IF(AND(OR(CF691="L1",CF691="L23",CF691="LIFT"),AS691&gt;0),SUMIFS($AS$7:$AS$1843,$CF$7:$CF$1843,CF691,$AW$7:$AW$1843,"&gt;"&amp;AW691)+SUMIFS($AS$7:$AS$1843,$CF$7:$CF$1843,CF691,$AW$7:$AW$1843,AW691,$BW$7:$BW$1843,"&lt;="&amp;BW691),"")</f>
        <v>7402.31318681319</v>
      </c>
      <c r="AY691" s="58" t="n">
        <f aca="false">IF(AX691="",0,MAX(0,MIN(1,(IF(CF691="L1",Parameter!$H$5,IF(CF691="L23",Parameter!$H$6+Parameter!$H$7,Parameter!$H$5+Parameter!$H$6+Parameter!$H$7))-(AX691-AS691))/AS691)))</f>
        <v>1</v>
      </c>
      <c r="AZ691" s="50" t="n">
        <f aca="false">IF(LEFT(Cockpit!$O$5,1)="A",H691,IF(Parameter!$E$30="MAX-Bestand",IF(CH691=1,CI691,IF(LEFT(Cockpit!$O$5,1)="B",BF691,MAX(BF691,H691))),ROUNDUP(BD691,0)))</f>
        <v>1</v>
      </c>
      <c r="BA691" s="50" t="n">
        <f aca="false">IF(BZ691=1,0,ROUNDUP(AZ691/BY691,0))</f>
        <v>1</v>
      </c>
      <c r="BB691" s="52" t="n">
        <f aca="false">IF(CQ691&gt;0,CQ691*MAX(1,AZ691/X691),IF(BZ691=1,IF(AZ691&lt;=0,0,CD691*MAX(1,IF(H691&gt;0,AZ691/H691,1))),IF(R691&gt;0,BA691/R691,0))/MAX(0.1,N(Parameter!$M$21)))</f>
        <v>0.00357142857142857</v>
      </c>
      <c r="BC691" s="50" t="n">
        <f aca="false">BB691*CB691</f>
        <v>0.553571428571429</v>
      </c>
      <c r="BD691" s="51" t="n">
        <f aca="false">IF(LEFT(Cockpit!$O$5,1)="A",H691,IF(CH691=1,(CK691+CI691)/2,IF(LEFT(Cockpit!$O$5,1)="B",(CK691+BF691)/2,MAX((CK691+BF691)/2,H691))))</f>
        <v>0.5</v>
      </c>
      <c r="BE691" s="50" t="n">
        <f aca="false">BD691*G691</f>
        <v>68.55</v>
      </c>
      <c r="BF691" s="50" t="n">
        <f aca="false">ROUNDUP(CK691+MAX(CL691,2*(J691/IF(CG691&gt;0,CG691,MAX(0.1,N(Cockpit!$O$6)))-CK691)),0)</f>
        <v>1</v>
      </c>
      <c r="BG691" s="51" t="n">
        <f aca="false">IF(BC691&gt;0,J691/BC691,-1)</f>
        <v>1.80645161290323</v>
      </c>
      <c r="BH691" s="51" t="n">
        <f aca="false">IF(AND(OR(CF691="L1",CF691="L23",CF691="LIFT"),BC691&gt;0),SUMIFS($BC$7:$BC$1843,$CF$7:$CF$1843,CF691,$BG$7:$BG$1843,"&gt;"&amp;BG691)+SUMIFS($BC$7:$BC$1843,$CF$7:$CF$1843,CF691,$BG$7:$BG$1843,BG691,$BW$7:$BW$1843,"&lt;="&amp;BW691),"")</f>
        <v>6090.23397435898</v>
      </c>
      <c r="BI691" s="58" t="n">
        <f aca="false">IF(BH691="",0,MAX(0,MIN(1,(IF(CF691="L1",Parameter!$H$5,IF(CF691="L23",Parameter!$H$6+Parameter!$H$7,Parameter!$H$5+Parameter!$H$6+Parameter!$H$7))-(BH691-BC691))/BC691)))</f>
        <v>1</v>
      </c>
      <c r="BJ691" s="48" t="str">
        <f aca="false">IF(AI691&lt;=0,"",IF(CF691="Aussen","Aussenlager",IF(CF691="-","Nicht im Lift",IF(AO691&gt;=1,"Lift",IF(AO691&lt;=0,"Aussenlager","teilweise")))))</f>
        <v>Lift</v>
      </c>
      <c r="BK691" s="48" t="str">
        <f aca="false">IF(AS691&lt;=0,"",IF(CF691="Aussen","Aussenlager",IF(CF691="-","Nicht im Lift",IF(AY691&gt;=1,"Lift",IF(AY691&lt;=0,"Aussenlager","teilweise")))))</f>
        <v>Lift</v>
      </c>
      <c r="BL691" s="48" t="str">
        <f aca="false">IF(BC691&lt;=0,"",IF(CF691="Aussen","Aussenlager",IF(CF691="-","Nicht im Lift",IF(BI691&gt;=1,"Lift",IF(BI691&lt;=0,"Aussenlager","teilweise")))))</f>
        <v>Lift</v>
      </c>
      <c r="BM691" s="48" t="str">
        <f aca="false">IF(A691="","",IF(BV691=1,"Neu; ","")&amp;IF(AND(BV691=0,BQ691&lt;0),"negativer Bestand (Export "&amp;BQ691&amp;"); ","")&amp;IF(J691&lt;=0,"Kein Verbrauch; ","")&amp;IF(CQ691&gt;0,"Lift "&amp;W691&amp;" lt. Liftbericht (Fach "&amp;X691&amp;" Stk); ",IF(CA691=1,"Gebinde geschätzt ("&amp;T691&amp;"); ",IF(BZ691=1,"Lose – Tablare geschätzt; ","")))&amp;IF(H691&gt;AV691,"Überbestand "&amp;ROUND(H691-AV691,0)&amp;" Stk / CHF "&amp;ROUND((H691-AV691)*G691,0)&amp;"; ","")&amp;IF(AND(CH691=1,CI691&lt;CJ691),"MAX &lt; MB+LG; ","")&amp;IF(AND(CP691&gt;0,CO691*10&gt;CP691),"zu hoch für Tablar; ","")&amp;IF(AND(BV691=0,OR(CH691=1,AA691&lt;&gt;"",U691&lt;&gt;"",V691&lt;&gt;"",AB691&lt;&gt;"")),"manuell übersteuert; ","")&amp;IF(AND(BZ691=0,R691=0),"Gebinde unbekannt / Stellmass fehlt; ","")&amp;IF(AND(BZ691=0,N(V691)&lt;=0,N(Q691)&lt;=0),"Menge pro Gebinde fehlt (Ist = 1 Gebinde); ","")&amp;BU691)</f>
        <v/>
      </c>
      <c r="BN691" s="48"/>
      <c r="BO691" s="48"/>
      <c r="BP691" s="55"/>
      <c r="BQ691" s="50" t="n">
        <v>0</v>
      </c>
      <c r="BR691" s="50" t="n">
        <v>1</v>
      </c>
      <c r="BS691" s="49" t="n">
        <v>0</v>
      </c>
      <c r="BT691" s="50" t="n">
        <v>1</v>
      </c>
      <c r="BU691" s="48"/>
      <c r="BV691" s="53" t="n">
        <v>0</v>
      </c>
      <c r="BW691" s="53" t="n">
        <v>691</v>
      </c>
      <c r="BX691" s="48" t="str">
        <f aca="false">IF(U691&lt;&gt;"",UPPER(TRIM(U691)),IF(CA691=1,UPPER(VLOOKUP(T691,Parameter!$I$27:$K$29,2,0)),IF(P691="","LOSE",P691)))</f>
        <v>S21</v>
      </c>
      <c r="BY691" s="50" t="n">
        <f aca="false">IF(BX691="LOSE",1,IF(N(V691)&gt;0,V691,IF(CA691=1,MAX(1,N(VLOOKUP(T691,Parameter!$I$27:$K$29,3,0)),H691,N(N691)),IF(N(Q691)&gt;0,Q691,MAX(1,H691)))))</f>
        <v>1</v>
      </c>
      <c r="BZ691" s="53" t="n">
        <f aca="false">IF(BX691="LOSE",1,0)</f>
        <v>0</v>
      </c>
      <c r="CA691" s="53" t="n">
        <f aca="false">IF(AND(U691="",OR(P691="",P691="LOSE"),T691&lt;&gt;"",N(S691)&lt;=0,ISNUMBER(MATCH(T691,Parameter!$I$27:$I$29,0))),1,0)</f>
        <v>0</v>
      </c>
      <c r="CB691" s="53" t="n">
        <f aca="false">IF(CQ691&gt;0,INDEX(Parameter!$H$5:$H$7,W691)/INDEX(Parameter!$E$5:$E$7,W691),IF(AND(BZ691=0,N(IFERROR(VLOOKUP(BX691,'Gebinde-Kategorie'!$A$5:$N$45,14,0),0))&gt;0),VLOOKUP(BX691,'Gebinde-Kategorie'!$A$5:$N$45,14,0)*10+Parameter!$M$23,Parameter!$M$24))</f>
        <v>155</v>
      </c>
      <c r="CC691" s="48" t="str">
        <f aca="false">IF(AND(Parameter!$B$19="Ja",E691&lt;&gt;"",ISNUMBER(MATCH(E691,Parameter!$I$35:$I$52,0))),VLOOKUP(E691,Parameter!$I$35:$J$52,2,0),IFERROR(VLOOKUP(D691,Parameter!$A$35:$C$64,2,0),"Nein"))</f>
        <v>2+3</v>
      </c>
      <c r="CD691" s="52" t="n">
        <f aca="false">IF(BZ691=0,0,IF(N(S691)&gt;0,S691,IFERROR(VLOOKUP(D691,Parameter!$A$35:$C$64,3,0)+0,0)))</f>
        <v>0</v>
      </c>
      <c r="CE691" s="48" t="n">
        <f aca="false">IF(AA691&lt;&gt;"",AA691,Z691)</f>
        <v>3</v>
      </c>
      <c r="CF691" s="48" t="str">
        <f aca="false">IF(OR(CE691=1,CE691=2,CE691=3),IF(Parameter!$E$27="Ja","LIFT",IF(CE691=1,"L1","L23")),IF(CE691="Aussen","Aussen","-"))</f>
        <v>LIFT</v>
      </c>
      <c r="CG691" s="59" t="n">
        <f aca="false">IF(N(AB691)&gt;0,AB691,0)</f>
        <v>0</v>
      </c>
      <c r="CH691" s="53" t="n">
        <f aca="false">IF(ISNUMBER(AE691),1,0)</f>
        <v>0</v>
      </c>
      <c r="CI691" s="50" t="n">
        <f aca="false">N(AE691)</f>
        <v>0</v>
      </c>
      <c r="CJ691" s="50" t="n">
        <f aca="false">N(M691)+N(N691)</f>
        <v>1</v>
      </c>
      <c r="CK691" s="50" t="n">
        <f aca="false">N(M691)</f>
        <v>0</v>
      </c>
      <c r="CL691" s="50" t="n">
        <f aca="false">N(N691)</f>
        <v>1</v>
      </c>
      <c r="CM691" s="50" t="n">
        <f aca="false">ROUNDUP(H691/BY691,0)</f>
        <v>1</v>
      </c>
      <c r="CN691" s="50" t="n">
        <f aca="false">ROUNDUP(CI691/BY691,0)</f>
        <v>0</v>
      </c>
      <c r="CO691" s="53" t="n">
        <f aca="false">IF(BZ691=1,0,IFERROR(VLOOKUP(BX691,'Gebinde-Kategorie'!$A$5:$N$45,5,0)+0,0))</f>
        <v>8</v>
      </c>
      <c r="CP691" s="53" t="n">
        <f aca="false">IFERROR(IF(OR(CE691=1,CE691=2,CE691=3),N(INDEX(Parameter!$I$5:$I$7,CE691)),0),0)</f>
        <v>0</v>
      </c>
      <c r="CQ691" s="52" t="n">
        <f aca="false">IF(AND(Parameter!$B$21="Ja",ISNUMBER(W691),N(X691)&gt;0),IFERROR(N(INDEX(Parameter!$L$5:$L$7,W691))*INDEX(Parameter!$E$5:$E$7,W691)*X691/SUMIFS($X$7:$X$1843,$W$7:$W$1843,W691),0),0)</f>
        <v>0</v>
      </c>
    </row>
    <row r="692" customFormat="false" ht="15" hidden="false" customHeight="false" outlineLevel="0" collapsed="false">
      <c r="A692" s="48" t="s">
        <v>1391</v>
      </c>
      <c r="B692" s="48" t="s">
        <v>1392</v>
      </c>
      <c r="C692" s="48" t="s">
        <v>173</v>
      </c>
      <c r="D692" s="48" t="s">
        <v>182</v>
      </c>
      <c r="E692" s="48"/>
      <c r="F692" s="48" t="s">
        <v>227</v>
      </c>
      <c r="G692" s="49" t="n">
        <v>11045.16</v>
      </c>
      <c r="H692" s="50" t="n">
        <f aca="false">MAX(0,IF(AND(Parameter!$B$21="Ja",ISNUMBER(Y692)),Y692,IF(Parameter!$B$20="Jahresanfang 2025 + Export",BR692+BQ692,BQ692)))</f>
        <v>0</v>
      </c>
      <c r="I692" s="50" t="n">
        <f aca="false">H692*G692</f>
        <v>0</v>
      </c>
      <c r="J692" s="50" t="n">
        <f aca="false">BT692*Parameter!$B$18</f>
        <v>2</v>
      </c>
      <c r="K692" s="51" t="n">
        <v>0</v>
      </c>
      <c r="L692" s="52" t="n">
        <v>0</v>
      </c>
      <c r="M692" s="50" t="n">
        <v>0</v>
      </c>
      <c r="N692" s="50" t="n">
        <v>1</v>
      </c>
      <c r="O692" s="53" t="n">
        <v>170</v>
      </c>
      <c r="P692" s="48" t="s">
        <v>177</v>
      </c>
      <c r="Q692" s="50"/>
      <c r="R692" s="53" t="n">
        <f aca="false">IF(BZ692=1,0,IFERROR(VLOOKUP(BX692,'Gebinde-Kategorie'!$A$5:$N$45,13,0)+0,0))</f>
        <v>4</v>
      </c>
      <c r="S692" s="54"/>
      <c r="T692" s="55" t="s">
        <v>198</v>
      </c>
      <c r="U692" s="55"/>
      <c r="V692" s="55"/>
      <c r="W692" s="48"/>
      <c r="X692" s="50"/>
      <c r="Y692" s="50"/>
      <c r="Z692" s="48" t="n">
        <f aca="false">IF(A692="","",IF(AND(Parameter!$B$21="Ja",ISNUMBER(W692)),W692,IF(CC692="2+3",IF(ISNUMBER(SEARCH("grosser Artikel",BU692)),2,IFERROR(VLOOKUP(BX692,Parameter!$F$35:$G$64,2,0),2)),IF(OR(CC692="Nein",CC692=""),"-",CC692))))</f>
        <v>2</v>
      </c>
      <c r="AA692" s="55"/>
      <c r="AB692" s="56"/>
      <c r="AC692" s="50" t="n">
        <f aca="false">AV692</f>
        <v>2</v>
      </c>
      <c r="AD692" s="50" t="n">
        <f aca="false">MAX(AV692,H692)</f>
        <v>2</v>
      </c>
      <c r="AE692" s="57"/>
      <c r="AF692" s="50" t="n">
        <f aca="false">IF(LEFT(Cockpit!$C$5,1)="A",H692,IF(Parameter!$E$30="MAX-Bestand",IF(CH692=1,CI692,IF(LEFT(Cockpit!$C$5,1)="B",AL692,MAX(AL692,H692))),ROUNDUP(AJ692,0)))</f>
        <v>0</v>
      </c>
      <c r="AG692" s="50" t="n">
        <f aca="false">IF(BZ692=1,0,ROUNDUP(AF692/BY692,0))</f>
        <v>0</v>
      </c>
      <c r="AH692" s="52" t="n">
        <f aca="false">IF(CQ692&gt;0,CQ692*MAX(1,AF692/X692),IF(BZ692=1,IF(AF692&lt;=0,0,CD692*MAX(1,IF(H692&gt;0,AF692/H692,1))),IF(R692&gt;0,AG692/R692,0))/MAX(0.1,N(Parameter!$M$21)))</f>
        <v>0</v>
      </c>
      <c r="AI692" s="50" t="n">
        <f aca="false">AH692*CB692</f>
        <v>0</v>
      </c>
      <c r="AJ692" s="51" t="n">
        <f aca="false">IF(LEFT(Cockpit!$C$5,1)="A",H692,IF(CH692=1,(CK692+CI692)/2,IF(LEFT(Cockpit!$C$5,1)="B",(CK692+AL692)/2,MAX((CK692+AL692)/2,H692))))</f>
        <v>0</v>
      </c>
      <c r="AK692" s="50" t="n">
        <f aca="false">AJ692*G692</f>
        <v>0</v>
      </c>
      <c r="AL692" s="50" t="n">
        <f aca="false">ROUNDUP(CK692+MAX(CL692,2*(J692/IF(CG692&gt;0,CG692,MAX(0.1,N(Cockpit!$C$6)))-CK692)),0)</f>
        <v>2</v>
      </c>
      <c r="AM692" s="51" t="n">
        <f aca="false">IF(AI692&gt;0,J692/AI692,-1)</f>
        <v>-1</v>
      </c>
      <c r="AN692" s="51" t="str">
        <f aca="false">IF(AND(OR(CF692="L1",CF692="L23",CF692="LIFT"),AI692&gt;0),SUMIFS($AI$7:$AI$1843,$CF$7:$CF$1843,CF692,$AM$7:$AM$1843,"&gt;"&amp;AM692)+SUMIFS($AI$7:$AI$1843,$CF$7:$CF$1843,CF692,$AM$7:$AM$1843,AM692,$BW$7:$BW$1843,"&lt;="&amp;BW692),"")</f>
        <v/>
      </c>
      <c r="AO692" s="58" t="n">
        <f aca="false">IF(AN692="",0,MAX(0,MIN(1,(IF(CF692="L1",Parameter!$H$5,IF(CF692="L23",Parameter!$H$6+Parameter!$H$7,Parameter!$H$5+Parameter!$H$6+Parameter!$H$7))-(AN692-AI692))/AI692)))</f>
        <v>0</v>
      </c>
      <c r="AP692" s="50" t="n">
        <f aca="false">IF(LEFT(Cockpit!$I$5,1)="A",H692,IF(Parameter!$E$30="MAX-Bestand",IF(CH692=1,CI692,IF(LEFT(Cockpit!$I$5,1)="B",AV692,MAX(AV692,H692))),ROUNDUP(AT692,0)))</f>
        <v>1</v>
      </c>
      <c r="AQ692" s="50" t="n">
        <f aca="false">IF(BZ692=1,0,ROUNDUP(AP692/BY692,0))</f>
        <v>1</v>
      </c>
      <c r="AR692" s="52" t="n">
        <f aca="false">IF(CQ692&gt;0,CQ692*MAX(1,AP692/X692),IF(BZ692=1,IF(AP692&lt;=0,0,CD692*MAX(1,IF(H692&gt;0,AP692/H692,1))),IF(R692&gt;0,AQ692/R692,0))/MAX(0.1,N(Parameter!$M$21)))</f>
        <v>0.25</v>
      </c>
      <c r="AS692" s="50" t="n">
        <f aca="false">AR692*CB692</f>
        <v>58.75</v>
      </c>
      <c r="AT692" s="51" t="n">
        <f aca="false">IF(LEFT(Cockpit!$I$5,1)="A",H692,IF(CH692=1,(CK692+CI692)/2,IF(LEFT(Cockpit!$I$5,1)="B",(CK692+AV692)/2,MAX((CK692+AV692)/2,H692))))</f>
        <v>1</v>
      </c>
      <c r="AU692" s="50" t="n">
        <f aca="false">AT692*G692</f>
        <v>11045.16</v>
      </c>
      <c r="AV692" s="50" t="n">
        <f aca="false">ROUNDUP(CK692+MAX(CL692,2*(J692/IF(CG692&gt;0,CG692,MAX(0.1,N(Cockpit!$I$6)))-CK692)),0)</f>
        <v>2</v>
      </c>
      <c r="AW692" s="51" t="n">
        <f aca="false">IF(AS692&gt;0,J692/AS692,-1)</f>
        <v>0.0340425531914894</v>
      </c>
      <c r="AX692" s="51" t="n">
        <f aca="false">IF(AND(OR(CF692="L1",CF692="L23",CF692="LIFT"),AS692&gt;0),SUMIFS($AS$7:$AS$1843,$CF$7:$CF$1843,CF692,$AW$7:$AW$1843,"&gt;"&amp;AW692)+SUMIFS($AS$7:$AS$1843,$CF$7:$CF$1843,CF692,$AW$7:$AW$1843,AW692,$BW$7:$BW$1843,"&lt;="&amp;BW692),"")</f>
        <v>25480.2489057553</v>
      </c>
      <c r="AY692" s="58" t="n">
        <f aca="false">IF(AX692="",0,MAX(0,MIN(1,(IF(CF692="L1",Parameter!$H$5,IF(CF692="L23",Parameter!$H$6+Parameter!$H$7,Parameter!$H$5+Parameter!$H$6+Parameter!$H$7))-(AX692-AS692))/AS692)))</f>
        <v>1</v>
      </c>
      <c r="AZ692" s="50" t="n">
        <f aca="false">IF(LEFT(Cockpit!$O$5,1)="A",H692,IF(Parameter!$E$30="MAX-Bestand",IF(CH692=1,CI692,IF(LEFT(Cockpit!$O$5,1)="B",BF692,MAX(BF692,H692))),ROUNDUP(BD692,0)))</f>
        <v>1</v>
      </c>
      <c r="BA692" s="50" t="n">
        <f aca="false">IF(BZ692=1,0,ROUNDUP(AZ692/BY692,0))</f>
        <v>1</v>
      </c>
      <c r="BB692" s="52" t="n">
        <f aca="false">IF(CQ692&gt;0,CQ692*MAX(1,AZ692/X692),IF(BZ692=1,IF(AZ692&lt;=0,0,CD692*MAX(1,IF(H692&gt;0,AZ692/H692,1))),IF(R692&gt;0,BA692/R692,0))/MAX(0.1,N(Parameter!$M$21)))</f>
        <v>0.25</v>
      </c>
      <c r="BC692" s="50" t="n">
        <f aca="false">BB692*CB692</f>
        <v>58.75</v>
      </c>
      <c r="BD692" s="51" t="n">
        <f aca="false">IF(LEFT(Cockpit!$O$5,1)="A",H692,IF(CH692=1,(CK692+CI692)/2,IF(LEFT(Cockpit!$O$5,1)="B",(CK692+BF692)/2,MAX((CK692+BF692)/2,H692))))</f>
        <v>0.5</v>
      </c>
      <c r="BE692" s="50" t="n">
        <f aca="false">BD692*G692</f>
        <v>5522.58</v>
      </c>
      <c r="BF692" s="50" t="n">
        <f aca="false">ROUNDUP(CK692+MAX(CL692,2*(J692/IF(CG692&gt;0,CG692,MAX(0.1,N(Cockpit!$O$6)))-CK692)),0)</f>
        <v>1</v>
      </c>
      <c r="BG692" s="51" t="n">
        <f aca="false">IF(BC692&gt;0,J692/BC692,-1)</f>
        <v>0.0340425531914894</v>
      </c>
      <c r="BH692" s="51" t="n">
        <f aca="false">IF(AND(OR(CF692="L1",CF692="L23",CF692="LIFT"),BC692&gt;0),SUMIFS($BC$7:$BC$1843,$CF$7:$CF$1843,CF692,$BG$7:$BG$1843,"&gt;"&amp;BG692)+SUMIFS($BC$7:$BC$1843,$CF$7:$CF$1843,CF692,$BG$7:$BG$1843,BG692,$BW$7:$BW$1843,"&lt;="&amp;BW692),"")</f>
        <v>21330.1640823865</v>
      </c>
      <c r="BI692" s="58" t="n">
        <f aca="false">IF(BH692="",0,MAX(0,MIN(1,(IF(CF692="L1",Parameter!$H$5,IF(CF692="L23",Parameter!$H$6+Parameter!$H$7,Parameter!$H$5+Parameter!$H$6+Parameter!$H$7))-(BH692-BC692))/BC692)))</f>
        <v>1</v>
      </c>
      <c r="BJ692" s="48" t="str">
        <f aca="false">IF(AI692&lt;=0,"",IF(CF692="Aussen","Aussenlager",IF(CF692="-","Nicht im Lift",IF(AO692&gt;=1,"Lift",IF(AO692&lt;=0,"Aussenlager","teilweise")))))</f>
        <v/>
      </c>
      <c r="BK692" s="48" t="str">
        <f aca="false">IF(AS692&lt;=0,"",IF(CF692="Aussen","Aussenlager",IF(CF692="-","Nicht im Lift",IF(AY692&gt;=1,"Lift",IF(AY692&lt;=0,"Aussenlager","teilweise")))))</f>
        <v>Lift</v>
      </c>
      <c r="BL692" s="48" t="str">
        <f aca="false">IF(BC692&lt;=0,"",IF(CF692="Aussen","Aussenlager",IF(CF692="-","Nicht im Lift",IF(BI692&gt;=1,"Lift",IF(BI692&lt;=0,"Aussenlager","teilweise")))))</f>
        <v>Lift</v>
      </c>
      <c r="BM692" s="48" t="str">
        <f aca="false">IF(A692="","",IF(BV692=1,"Neu; ","")&amp;IF(AND(BV692=0,BQ692&lt;0),"negativer Bestand (Export "&amp;BQ692&amp;"); ","")&amp;IF(J692&lt;=0,"Kein Verbrauch; ","")&amp;IF(CQ692&gt;0,"Lift "&amp;W692&amp;" lt. Liftbericht (Fach "&amp;X692&amp;" Stk); ",IF(CA692=1,"Gebinde geschätzt ("&amp;T692&amp;"); ",IF(BZ692=1,"Lose – Tablare geschätzt; ","")))&amp;IF(H692&gt;AV692,"Überbestand "&amp;ROUND(H692-AV692,0)&amp;" Stk / CHF "&amp;ROUND((H692-AV692)*G692,0)&amp;"; ","")&amp;IF(AND(CH692=1,CI692&lt;CJ692),"MAX &lt; MB+LG; ","")&amp;IF(AND(CP692&gt;0,CO692*10&gt;CP692),"zu hoch für Tablar; ","")&amp;IF(AND(BV692=0,OR(CH692=1,AA692&lt;&gt;"",U692&lt;&gt;"",V692&lt;&gt;"",AB692&lt;&gt;"")),"manuell übersteuert; ","")&amp;IF(AND(BZ692=0,R692=0),"Gebinde unbekannt / Stellmass fehlt; ","")&amp;IF(AND(BZ692=0,N(V692)&lt;=0,N(Q692)&lt;=0),"Menge pro Gebinde fehlt (Ist = 1 Gebinde); ","")&amp;BU692)</f>
        <v>Gebinde geschätzt (Gross); Menge pro Gebinde fehlt (Ist = 1 Gebinde); </v>
      </c>
      <c r="BN692" s="48"/>
      <c r="BO692" s="48"/>
      <c r="BP692" s="55"/>
      <c r="BQ692" s="50" t="n">
        <v>0</v>
      </c>
      <c r="BR692" s="50" t="n">
        <v>0</v>
      </c>
      <c r="BS692" s="49" t="n">
        <v>0</v>
      </c>
      <c r="BT692" s="50" t="n">
        <v>2</v>
      </c>
      <c r="BU692" s="48"/>
      <c r="BV692" s="53" t="n">
        <v>0</v>
      </c>
      <c r="BW692" s="53" t="n">
        <v>692</v>
      </c>
      <c r="BX692" s="48" t="str">
        <f aca="false">IF(U692&lt;&gt;"",UPPER(TRIM(U692)),IF(CA692=1,UPPER(VLOOKUP(T692,Parameter!$I$27:$K$29,2,0)),IF(P692="","LOSE",P692)))</f>
        <v>S81</v>
      </c>
      <c r="BY692" s="50" t="n">
        <f aca="false">IF(BX692="LOSE",1,IF(N(V692)&gt;0,V692,IF(CA692=1,MAX(1,N(VLOOKUP(T692,Parameter!$I$27:$K$29,3,0)),H692,N(N692)),IF(N(Q692)&gt;0,Q692,MAX(1,H692)))))</f>
        <v>2</v>
      </c>
      <c r="BZ692" s="53" t="n">
        <f aca="false">IF(BX692="LOSE",1,0)</f>
        <v>0</v>
      </c>
      <c r="CA692" s="53" t="n">
        <f aca="false">IF(AND(U692="",OR(P692="",P692="LOSE"),T692&lt;&gt;"",N(S692)&lt;=0,ISNUMBER(MATCH(T692,Parameter!$I$27:$I$29,0))),1,0)</f>
        <v>1</v>
      </c>
      <c r="CB692" s="53" t="n">
        <f aca="false">IF(CQ692&gt;0,INDEX(Parameter!$H$5:$H$7,W692)/INDEX(Parameter!$E$5:$E$7,W692),IF(AND(BZ692=0,N(IFERROR(VLOOKUP(BX692,'Gebinde-Kategorie'!$A$5:$N$45,14,0),0))&gt;0),VLOOKUP(BX692,'Gebinde-Kategorie'!$A$5:$N$45,14,0)*10+Parameter!$M$23,Parameter!$M$24))</f>
        <v>235</v>
      </c>
      <c r="CC692" s="48" t="str">
        <f aca="false">IF(AND(Parameter!$B$19="Ja",E692&lt;&gt;"",ISNUMBER(MATCH(E692,Parameter!$I$35:$I$52,0))),VLOOKUP(E692,Parameter!$I$35:$J$52,2,0),IFERROR(VLOOKUP(D692,Parameter!$A$35:$C$64,2,0),"Nein"))</f>
        <v>2+3</v>
      </c>
      <c r="CD692" s="52" t="n">
        <f aca="false">IF(BZ692=0,0,IF(N(S692)&gt;0,S692,IFERROR(VLOOKUP(D692,Parameter!$A$35:$C$64,3,0)+0,0)))</f>
        <v>0</v>
      </c>
      <c r="CE692" s="48" t="n">
        <f aca="false">IF(AA692&lt;&gt;"",AA692,Z692)</f>
        <v>2</v>
      </c>
      <c r="CF692" s="48" t="str">
        <f aca="false">IF(OR(CE692=1,CE692=2,CE692=3),IF(Parameter!$E$27="Ja","LIFT",IF(CE692=1,"L1","L23")),IF(CE692="Aussen","Aussen","-"))</f>
        <v>LIFT</v>
      </c>
      <c r="CG692" s="59" t="n">
        <f aca="false">IF(N(AB692)&gt;0,AB692,0)</f>
        <v>0</v>
      </c>
      <c r="CH692" s="53" t="n">
        <f aca="false">IF(ISNUMBER(AE692),1,0)</f>
        <v>0</v>
      </c>
      <c r="CI692" s="50" t="n">
        <f aca="false">N(AE692)</f>
        <v>0</v>
      </c>
      <c r="CJ692" s="50" t="n">
        <f aca="false">N(M692)+N(N692)</f>
        <v>1</v>
      </c>
      <c r="CK692" s="50" t="n">
        <f aca="false">N(M692)</f>
        <v>0</v>
      </c>
      <c r="CL692" s="50" t="n">
        <f aca="false">N(N692)</f>
        <v>1</v>
      </c>
      <c r="CM692" s="50" t="n">
        <f aca="false">ROUNDUP(H692/BY692,0)</f>
        <v>0</v>
      </c>
      <c r="CN692" s="50" t="n">
        <f aca="false">ROUNDUP(CI692/BY692,0)</f>
        <v>0</v>
      </c>
      <c r="CO692" s="53" t="n">
        <f aca="false">IF(BZ692=1,0,IFERROR(VLOOKUP(BX692,'Gebinde-Kategorie'!$A$5:$N$45,5,0)+0,0))</f>
        <v>20</v>
      </c>
      <c r="CP692" s="53" t="n">
        <f aca="false">IFERROR(IF(OR(CE692=1,CE692=2,CE692=3),N(INDEX(Parameter!$I$5:$I$7,CE692)),0),0)</f>
        <v>0</v>
      </c>
      <c r="CQ692" s="52" t="n">
        <f aca="false">IF(AND(Parameter!$B$21="Ja",ISNUMBER(W692),N(X692)&gt;0),IFERROR(N(INDEX(Parameter!$L$5:$L$7,W692))*INDEX(Parameter!$E$5:$E$7,W692)*X692/SUMIFS($X$7:$X$1843,$W$7:$W$1843,W692),0),0)</f>
        <v>0</v>
      </c>
    </row>
    <row r="693" customFormat="false" ht="15" hidden="false" customHeight="false" outlineLevel="0" collapsed="false">
      <c r="A693" s="48" t="s">
        <v>1393</v>
      </c>
      <c r="B693" s="48" t="s">
        <v>1394</v>
      </c>
      <c r="C693" s="48" t="s">
        <v>173</v>
      </c>
      <c r="D693" s="48" t="s">
        <v>193</v>
      </c>
      <c r="E693" s="48" t="s">
        <v>194</v>
      </c>
      <c r="F693" s="48" t="s">
        <v>227</v>
      </c>
      <c r="G693" s="49" t="n">
        <v>480</v>
      </c>
      <c r="H693" s="50" t="n">
        <f aca="false">MAX(0,IF(AND(Parameter!$B$21="Ja",ISNUMBER(Y693)),Y693,IF(Parameter!$B$20="Jahresanfang 2025 + Export",BR693+BQ693,BQ693)))</f>
        <v>4</v>
      </c>
      <c r="I693" s="50" t="n">
        <f aca="false">H693*G693</f>
        <v>1920</v>
      </c>
      <c r="J693" s="50" t="n">
        <f aca="false">BT693*Parameter!$B$18</f>
        <v>5</v>
      </c>
      <c r="K693" s="51" t="n">
        <v>2.5</v>
      </c>
      <c r="L693" s="52" t="n">
        <v>2</v>
      </c>
      <c r="M693" s="50" t="n">
        <v>0</v>
      </c>
      <c r="N693" s="50" t="n">
        <v>5</v>
      </c>
      <c r="O693" s="53" t="n">
        <v>35</v>
      </c>
      <c r="P693" s="48" t="s">
        <v>183</v>
      </c>
      <c r="Q693" s="50" t="n">
        <v>1</v>
      </c>
      <c r="R693" s="53" t="n">
        <f aca="false">IF(BZ693=1,0,IFERROR(VLOOKUP(BX693,'Gebinde-Kategorie'!$A$5:$N$45,13,0)+0,0))</f>
        <v>6</v>
      </c>
      <c r="S693" s="54"/>
      <c r="T693" s="55"/>
      <c r="U693" s="55"/>
      <c r="V693" s="55"/>
      <c r="W693" s="48"/>
      <c r="X693" s="50"/>
      <c r="Y693" s="50"/>
      <c r="Z693" s="48" t="n">
        <f aca="false">IF(A693="","",IF(AND(Parameter!$B$21="Ja",ISNUMBER(W693)),W693,IF(CC693="2+3",IF(ISNUMBER(SEARCH("grosser Artikel",BU693)),2,IFERROR(VLOOKUP(BX693,Parameter!$F$35:$G$64,2,0),2)),IF(OR(CC693="Nein",CC693=""),"-",CC693))))</f>
        <v>2</v>
      </c>
      <c r="AA693" s="55"/>
      <c r="AB693" s="56"/>
      <c r="AC693" s="50" t="n">
        <f aca="false">AV693</f>
        <v>5</v>
      </c>
      <c r="AD693" s="50" t="n">
        <f aca="false">MAX(AV693,H693)</f>
        <v>5</v>
      </c>
      <c r="AE693" s="57"/>
      <c r="AF693" s="50" t="n">
        <f aca="false">IF(LEFT(Cockpit!$C$5,1)="A",H693,IF(Parameter!$E$30="MAX-Bestand",IF(CH693=1,CI693,IF(LEFT(Cockpit!$C$5,1)="B",AL693,MAX(AL693,H693))),ROUNDUP(AJ693,0)))</f>
        <v>4</v>
      </c>
      <c r="AG693" s="50" t="n">
        <f aca="false">IF(BZ693=1,0,ROUNDUP(AF693/BY693,0))</f>
        <v>4</v>
      </c>
      <c r="AH693" s="52" t="n">
        <f aca="false">IF(CQ693&gt;0,CQ693*MAX(1,AF693/X693),IF(BZ693=1,IF(AF693&lt;=0,0,CD693*MAX(1,IF(H693&gt;0,AF693/H693,1))),IF(R693&gt;0,AG693/R693,0))/MAX(0.1,N(Parameter!$M$21)))</f>
        <v>0.666666666666667</v>
      </c>
      <c r="AI693" s="50" t="n">
        <f aca="false">AH693*CB693</f>
        <v>156.666666666667</v>
      </c>
      <c r="AJ693" s="51" t="n">
        <f aca="false">IF(LEFT(Cockpit!$C$5,1)="A",H693,IF(CH693=1,(CK693+CI693)/2,IF(LEFT(Cockpit!$C$5,1)="B",(CK693+AL693)/2,MAX((CK693+AL693)/2,H693))))</f>
        <v>4</v>
      </c>
      <c r="AK693" s="50" t="n">
        <f aca="false">AJ693*G693</f>
        <v>1920</v>
      </c>
      <c r="AL693" s="50" t="n">
        <f aca="false">ROUNDUP(CK693+MAX(CL693,2*(J693/IF(CG693&gt;0,CG693,MAX(0.1,N(Cockpit!$C$6)))-CK693)),0)</f>
        <v>5</v>
      </c>
      <c r="AM693" s="51" t="n">
        <f aca="false">IF(AI693&gt;0,J693/AI693,-1)</f>
        <v>0.0319148936170213</v>
      </c>
      <c r="AN693" s="51" t="n">
        <f aca="false">IF(AND(OR(CF693="L1",CF693="L23",CF693="LIFT"),AI693&gt;0),SUMIFS($AI$7:$AI$1843,$CF$7:$CF$1843,CF693,$AM$7:$AM$1843,"&gt;"&amp;AM693)+SUMIFS($AI$7:$AI$1843,$CF$7:$CF$1843,CF693,$AM$7:$AM$1843,AM693,$BW$7:$BW$1843,"&lt;="&amp;BW693),"")</f>
        <v>20967.6518361582</v>
      </c>
      <c r="AO693" s="58" t="n">
        <f aca="false">IF(AN693="",0,MAX(0,MIN(1,(IF(CF693="L1",Parameter!$H$5,IF(CF693="L23",Parameter!$H$6+Parameter!$H$7,Parameter!$H$5+Parameter!$H$6+Parameter!$H$7))-(AN693-AI693))/AI693)))</f>
        <v>1</v>
      </c>
      <c r="AP693" s="50" t="n">
        <f aca="false">IF(LEFT(Cockpit!$I$5,1)="A",H693,IF(Parameter!$E$30="MAX-Bestand",IF(CH693=1,CI693,IF(LEFT(Cockpit!$I$5,1)="B",AV693,MAX(AV693,H693))),ROUNDUP(AT693,0)))</f>
        <v>4</v>
      </c>
      <c r="AQ693" s="50" t="n">
        <f aca="false">IF(BZ693=1,0,ROUNDUP(AP693/BY693,0))</f>
        <v>4</v>
      </c>
      <c r="AR693" s="52" t="n">
        <f aca="false">IF(CQ693&gt;0,CQ693*MAX(1,AP693/X693),IF(BZ693=1,IF(AP693&lt;=0,0,CD693*MAX(1,IF(H693&gt;0,AP693/H693,1))),IF(R693&gt;0,AQ693/R693,0))/MAX(0.1,N(Parameter!$M$21)))</f>
        <v>0.666666666666667</v>
      </c>
      <c r="AS693" s="50" t="n">
        <f aca="false">AR693*CB693</f>
        <v>156.666666666667</v>
      </c>
      <c r="AT693" s="51" t="n">
        <f aca="false">IF(LEFT(Cockpit!$I$5,1)="A",H693,IF(CH693=1,(CK693+CI693)/2,IF(LEFT(Cockpit!$I$5,1)="B",(CK693+AV693)/2,MAX((CK693+AV693)/2,H693))))</f>
        <v>4</v>
      </c>
      <c r="AU693" s="50" t="n">
        <f aca="false">AT693*G693</f>
        <v>1920</v>
      </c>
      <c r="AV693" s="50" t="n">
        <f aca="false">ROUNDUP(CK693+MAX(CL693,2*(J693/IF(CG693&gt;0,CG693,MAX(0.1,N(Cockpit!$I$6)))-CK693)),0)</f>
        <v>5</v>
      </c>
      <c r="AW693" s="51" t="n">
        <f aca="false">IF(AS693&gt;0,J693/AS693,-1)</f>
        <v>0.0319148936170213</v>
      </c>
      <c r="AX693" s="51" t="n">
        <f aca="false">IF(AND(OR(CF693="L1",CF693="L23",CF693="LIFT"),AS693&gt;0),SUMIFS($AS$7:$AS$1843,$CF$7:$CF$1843,CF693,$AW$7:$AW$1843,"&gt;"&amp;AW693)+SUMIFS($AS$7:$AS$1843,$CF$7:$CF$1843,CF693,$AW$7:$AW$1843,AW693,$BW$7:$BW$1843,"&lt;="&amp;BW693),"")</f>
        <v>26085.8004775357</v>
      </c>
      <c r="AY693" s="58" t="n">
        <f aca="false">IF(AX693="",0,MAX(0,MIN(1,(IF(CF693="L1",Parameter!$H$5,IF(CF693="L23",Parameter!$H$6+Parameter!$H$7,Parameter!$H$5+Parameter!$H$6+Parameter!$H$7))-(AX693-AS693))/AS693)))</f>
        <v>1</v>
      </c>
      <c r="AZ693" s="50" t="n">
        <f aca="false">IF(LEFT(Cockpit!$O$5,1)="A",H693,IF(Parameter!$E$30="MAX-Bestand",IF(CH693=1,CI693,IF(LEFT(Cockpit!$O$5,1)="B",BF693,MAX(BF693,H693))),ROUNDUP(BD693,0)))</f>
        <v>3</v>
      </c>
      <c r="BA693" s="50" t="n">
        <f aca="false">IF(BZ693=1,0,ROUNDUP(AZ693/BY693,0))</f>
        <v>3</v>
      </c>
      <c r="BB693" s="52" t="n">
        <f aca="false">IF(CQ693&gt;0,CQ693*MAX(1,AZ693/X693),IF(BZ693=1,IF(AZ693&lt;=0,0,CD693*MAX(1,IF(H693&gt;0,AZ693/H693,1))),IF(R693&gt;0,BA693/R693,0))/MAX(0.1,N(Parameter!$M$21)))</f>
        <v>0.5</v>
      </c>
      <c r="BC693" s="50" t="n">
        <f aca="false">BB693*CB693</f>
        <v>117.5</v>
      </c>
      <c r="BD693" s="51" t="n">
        <f aca="false">IF(LEFT(Cockpit!$O$5,1)="A",H693,IF(CH693=1,(CK693+CI693)/2,IF(LEFT(Cockpit!$O$5,1)="B",(CK693+BF693)/2,MAX((CK693+BF693)/2,H693))))</f>
        <v>2.5</v>
      </c>
      <c r="BE693" s="50" t="n">
        <f aca="false">BD693*G693</f>
        <v>1200</v>
      </c>
      <c r="BF693" s="50" t="n">
        <f aca="false">ROUNDUP(CK693+MAX(CL693,2*(J693/IF(CG693&gt;0,CG693,MAX(0.1,N(Cockpit!$O$6)))-CK693)),0)</f>
        <v>5</v>
      </c>
      <c r="BG693" s="51" t="n">
        <f aca="false">IF(BC693&gt;0,J693/BC693,-1)</f>
        <v>0.0425531914893617</v>
      </c>
      <c r="BH693" s="51" t="n">
        <f aca="false">IF(AND(OR(CF693="L1",CF693="L23",CF693="LIFT"),BC693&gt;0),SUMIFS($BC$7:$BC$1843,$CF$7:$CF$1843,CF693,$BG$7:$BG$1843,"&gt;"&amp;BG693)+SUMIFS($BC$7:$BC$1843,$CF$7:$CF$1843,CF693,$BG$7:$BG$1843,BG693,$BW$7:$BW$1843,"&lt;="&amp;BW693),"")</f>
        <v>20775.7879053621</v>
      </c>
      <c r="BI693" s="58" t="n">
        <f aca="false">IF(BH693="",0,MAX(0,MIN(1,(IF(CF693="L1",Parameter!$H$5,IF(CF693="L23",Parameter!$H$6+Parameter!$H$7,Parameter!$H$5+Parameter!$H$6+Parameter!$H$7))-(BH693-BC693))/BC693)))</f>
        <v>1</v>
      </c>
      <c r="BJ693" s="48" t="str">
        <f aca="false">IF(AI693&lt;=0,"",IF(CF693="Aussen","Aussenlager",IF(CF693="-","Nicht im Lift",IF(AO693&gt;=1,"Lift",IF(AO693&lt;=0,"Aussenlager","teilweise")))))</f>
        <v>Lift</v>
      </c>
      <c r="BK693" s="48" t="str">
        <f aca="false">IF(AS693&lt;=0,"",IF(CF693="Aussen","Aussenlager",IF(CF693="-","Nicht im Lift",IF(AY693&gt;=1,"Lift",IF(AY693&lt;=0,"Aussenlager","teilweise")))))</f>
        <v>Lift</v>
      </c>
      <c r="BL693" s="48" t="str">
        <f aca="false">IF(BC693&lt;=0,"",IF(CF693="Aussen","Aussenlager",IF(CF693="-","Nicht im Lift",IF(BI693&gt;=1,"Lift",IF(BI693&lt;=0,"Aussenlager","teilweise")))))</f>
        <v>Lift</v>
      </c>
      <c r="BM693" s="48" t="str">
        <f aca="false">IF(A693="","",IF(BV693=1,"Neu; ","")&amp;IF(AND(BV693=0,BQ693&lt;0),"negativer Bestand (Export "&amp;BQ693&amp;"); ","")&amp;IF(J693&lt;=0,"Kein Verbrauch; ","")&amp;IF(CQ693&gt;0,"Lift "&amp;W693&amp;" lt. Liftbericht (Fach "&amp;X693&amp;" Stk); ",IF(CA693=1,"Gebinde geschätzt ("&amp;T693&amp;"); ",IF(BZ693=1,"Lose – Tablare geschätzt; ","")))&amp;IF(H693&gt;AV693,"Überbestand "&amp;ROUND(H693-AV693,0)&amp;" Stk / CHF "&amp;ROUND((H693-AV693)*G693,0)&amp;"; ","")&amp;IF(AND(CH693=1,CI693&lt;CJ693),"MAX &lt; MB+LG; ","")&amp;IF(AND(CP693&gt;0,CO693*10&gt;CP693),"zu hoch für Tablar; ","")&amp;IF(AND(BV693=0,OR(CH693=1,AA693&lt;&gt;"",U693&lt;&gt;"",V693&lt;&gt;"",AB693&lt;&gt;"")),"manuell übersteuert; ","")&amp;IF(AND(BZ693=0,R693=0),"Gebinde unbekannt / Stellmass fehlt; ","")&amp;IF(AND(BZ693=0,N(V693)&lt;=0,N(Q693)&lt;=0),"Menge pro Gebinde fehlt (Ist = 1 Gebinde); ","")&amp;BU693)</f>
        <v>grosser Artikel &amp; nicht im KTL</v>
      </c>
      <c r="BN693" s="48"/>
      <c r="BO693" s="48"/>
      <c r="BP693" s="55"/>
      <c r="BQ693" s="50" t="n">
        <v>0</v>
      </c>
      <c r="BR693" s="50" t="n">
        <v>4</v>
      </c>
      <c r="BS693" s="49" t="n">
        <v>0</v>
      </c>
      <c r="BT693" s="50" t="n">
        <v>5</v>
      </c>
      <c r="BU693" s="48" t="s">
        <v>270</v>
      </c>
      <c r="BV693" s="53" t="n">
        <v>0</v>
      </c>
      <c r="BW693" s="53" t="n">
        <v>693</v>
      </c>
      <c r="BX693" s="48" t="str">
        <f aca="false">IF(U693&lt;&gt;"",UPPER(TRIM(U693)),IF(CA693=1,UPPER(VLOOKUP(T693,Parameter!$I$27:$K$29,2,0)),IF(P693="","LOSE",P693)))</f>
        <v>S71</v>
      </c>
      <c r="BY693" s="50" t="n">
        <f aca="false">IF(BX693="LOSE",1,IF(N(V693)&gt;0,V693,IF(CA693=1,MAX(1,N(VLOOKUP(T693,Parameter!$I$27:$K$29,3,0)),H693,N(N693)),IF(N(Q693)&gt;0,Q693,MAX(1,H693)))))</f>
        <v>1</v>
      </c>
      <c r="BZ693" s="53" t="n">
        <f aca="false">IF(BX693="LOSE",1,0)</f>
        <v>0</v>
      </c>
      <c r="CA693" s="53" t="n">
        <f aca="false">IF(AND(U693="",OR(P693="",P693="LOSE"),T693&lt;&gt;"",N(S693)&lt;=0,ISNUMBER(MATCH(T693,Parameter!$I$27:$I$29,0))),1,0)</f>
        <v>0</v>
      </c>
      <c r="CB693" s="53" t="n">
        <f aca="false">IF(CQ693&gt;0,INDEX(Parameter!$H$5:$H$7,W693)/INDEX(Parameter!$E$5:$E$7,W693),IF(AND(BZ693=0,N(IFERROR(VLOOKUP(BX693,'Gebinde-Kategorie'!$A$5:$N$45,14,0),0))&gt;0),VLOOKUP(BX693,'Gebinde-Kategorie'!$A$5:$N$45,14,0)*10+Parameter!$M$23,Parameter!$M$24))</f>
        <v>235</v>
      </c>
      <c r="CC693" s="48" t="str">
        <f aca="false">IF(AND(Parameter!$B$19="Ja",E693&lt;&gt;"",ISNUMBER(MATCH(E693,Parameter!$I$35:$I$52,0))),VLOOKUP(E693,Parameter!$I$35:$J$52,2,0),IFERROR(VLOOKUP(D693,Parameter!$A$35:$C$64,2,0),"Nein"))</f>
        <v>2+3</v>
      </c>
      <c r="CD693" s="52" t="n">
        <f aca="false">IF(BZ693=0,0,IF(N(S693)&gt;0,S693,IFERROR(VLOOKUP(D693,Parameter!$A$35:$C$64,3,0)+0,0)))</f>
        <v>0</v>
      </c>
      <c r="CE693" s="48" t="n">
        <f aca="false">IF(AA693&lt;&gt;"",AA693,Z693)</f>
        <v>2</v>
      </c>
      <c r="CF693" s="48" t="str">
        <f aca="false">IF(OR(CE693=1,CE693=2,CE693=3),IF(Parameter!$E$27="Ja","LIFT",IF(CE693=1,"L1","L23")),IF(CE693="Aussen","Aussen","-"))</f>
        <v>LIFT</v>
      </c>
      <c r="CG693" s="59" t="n">
        <f aca="false">IF(N(AB693)&gt;0,AB693,0)</f>
        <v>0</v>
      </c>
      <c r="CH693" s="53" t="n">
        <f aca="false">IF(ISNUMBER(AE693),1,0)</f>
        <v>0</v>
      </c>
      <c r="CI693" s="50" t="n">
        <f aca="false">N(AE693)</f>
        <v>0</v>
      </c>
      <c r="CJ693" s="50" t="n">
        <f aca="false">N(M693)+N(N693)</f>
        <v>5</v>
      </c>
      <c r="CK693" s="50" t="n">
        <f aca="false">N(M693)</f>
        <v>0</v>
      </c>
      <c r="CL693" s="50" t="n">
        <f aca="false">N(N693)</f>
        <v>5</v>
      </c>
      <c r="CM693" s="50" t="n">
        <f aca="false">ROUNDUP(H693/BY693,0)</f>
        <v>4</v>
      </c>
      <c r="CN693" s="50" t="n">
        <f aca="false">ROUNDUP(CI693/BY693,0)</f>
        <v>0</v>
      </c>
      <c r="CO693" s="53" t="n">
        <f aca="false">IF(BZ693=1,0,IFERROR(VLOOKUP(BX693,'Gebinde-Kategorie'!$A$5:$N$45,5,0)+0,0))</f>
        <v>20</v>
      </c>
      <c r="CP693" s="53" t="n">
        <f aca="false">IFERROR(IF(OR(CE693=1,CE693=2,CE693=3),N(INDEX(Parameter!$I$5:$I$7,CE693)),0),0)</f>
        <v>0</v>
      </c>
      <c r="CQ693" s="52" t="n">
        <f aca="false">IF(AND(Parameter!$B$21="Ja",ISNUMBER(W693),N(X693)&gt;0),IFERROR(N(INDEX(Parameter!$L$5:$L$7,W693))*INDEX(Parameter!$E$5:$E$7,W693)*X693/SUMIFS($X$7:$X$1843,$W$7:$W$1843,W693),0),0)</f>
        <v>0</v>
      </c>
    </row>
    <row r="694" customFormat="false" ht="15" hidden="false" customHeight="false" outlineLevel="0" collapsed="false">
      <c r="A694" s="48" t="s">
        <v>1395</v>
      </c>
      <c r="B694" s="48" t="s">
        <v>1396</v>
      </c>
      <c r="C694" s="48" t="s">
        <v>173</v>
      </c>
      <c r="D694" s="48" t="s">
        <v>1397</v>
      </c>
      <c r="E694" s="48"/>
      <c r="F694" s="48" t="s">
        <v>227</v>
      </c>
      <c r="G694" s="49" t="n">
        <v>930</v>
      </c>
      <c r="H694" s="50" t="n">
        <f aca="false">MAX(0,IF(AND(Parameter!$B$21="Ja",ISNUMBER(Y694)),Y694,IF(Parameter!$B$20="Jahresanfang 2025 + Export",BR694+BQ694,BQ694)))</f>
        <v>0</v>
      </c>
      <c r="I694" s="50" t="n">
        <f aca="false">H694*G694</f>
        <v>0</v>
      </c>
      <c r="J694" s="50" t="n">
        <f aca="false">BT694*Parameter!$B$18</f>
        <v>4</v>
      </c>
      <c r="K694" s="51" t="n">
        <v>3</v>
      </c>
      <c r="L694" s="52" t="n">
        <v>1.33333333333333</v>
      </c>
      <c r="M694" s="50" t="n">
        <v>0</v>
      </c>
      <c r="N694" s="50" t="n">
        <v>1</v>
      </c>
      <c r="O694" s="53" t="n">
        <v>0</v>
      </c>
      <c r="P694" s="48" t="s">
        <v>177</v>
      </c>
      <c r="Q694" s="50"/>
      <c r="R694" s="53" t="n">
        <f aca="false">IF(BZ694=1,0,IFERROR(VLOOKUP(BX694,'Gebinde-Kategorie'!$A$5:$N$45,13,0)+0,0))</f>
        <v>0</v>
      </c>
      <c r="S694" s="54"/>
      <c r="T694" s="55"/>
      <c r="U694" s="55"/>
      <c r="V694" s="55"/>
      <c r="W694" s="48"/>
      <c r="X694" s="50"/>
      <c r="Y694" s="50"/>
      <c r="Z694" s="48" t="str">
        <f aca="false">IF(A694="","",IF(AND(Parameter!$B$21="Ja",ISNUMBER(W694)),W694,IF(CC694="2+3",IF(ISNUMBER(SEARCH("grosser Artikel",BU694)),2,IFERROR(VLOOKUP(BX694,Parameter!$F$35:$G$64,2,0),2)),IF(OR(CC694="Nein",CC694=""),"-",CC694))))</f>
        <v>-</v>
      </c>
      <c r="AA694" s="55"/>
      <c r="AB694" s="56"/>
      <c r="AC694" s="50" t="n">
        <f aca="false">AV694</f>
        <v>3</v>
      </c>
      <c r="AD694" s="50" t="n">
        <f aca="false">MAX(AV694,H694)</f>
        <v>3</v>
      </c>
      <c r="AE694" s="57"/>
      <c r="AF694" s="50" t="n">
        <f aca="false">IF(LEFT(Cockpit!$C$5,1)="A",H694,IF(Parameter!$E$30="MAX-Bestand",IF(CH694=1,CI694,IF(LEFT(Cockpit!$C$5,1)="B",AL694,MAX(AL694,H694))),ROUNDUP(AJ694,0)))</f>
        <v>0</v>
      </c>
      <c r="AG694" s="50" t="n">
        <f aca="false">IF(BZ694=1,0,ROUNDUP(AF694/BY694,0))</f>
        <v>0</v>
      </c>
      <c r="AH694" s="52" t="n">
        <f aca="false">IF(CQ694&gt;0,CQ694*MAX(1,AF694/X694),IF(BZ694=1,IF(AF694&lt;=0,0,CD694*MAX(1,IF(H694&gt;0,AF694/H694,1))),IF(R694&gt;0,AG694/R694,0))/MAX(0.1,N(Parameter!$M$21)))</f>
        <v>0</v>
      </c>
      <c r="AI694" s="50" t="n">
        <f aca="false">AH694*CB694</f>
        <v>0</v>
      </c>
      <c r="AJ694" s="51" t="n">
        <f aca="false">IF(LEFT(Cockpit!$C$5,1)="A",H694,IF(CH694=1,(CK694+CI694)/2,IF(LEFT(Cockpit!$C$5,1)="B",(CK694+AL694)/2,MAX((CK694+AL694)/2,H694))))</f>
        <v>0</v>
      </c>
      <c r="AK694" s="50" t="n">
        <f aca="false">AJ694*G694</f>
        <v>0</v>
      </c>
      <c r="AL694" s="50" t="n">
        <f aca="false">ROUNDUP(CK694+MAX(CL694,2*(J694/IF(CG694&gt;0,CG694,MAX(0.1,N(Cockpit!$C$6)))-CK694)),0)</f>
        <v>3</v>
      </c>
      <c r="AM694" s="51" t="n">
        <f aca="false">IF(AI694&gt;0,J694/AI694,-1)</f>
        <v>-1</v>
      </c>
      <c r="AN694" s="51" t="str">
        <f aca="false">IF(AND(OR(CF694="L1",CF694="L23",CF694="LIFT"),AI694&gt;0),SUMIFS($AI$7:$AI$1843,$CF$7:$CF$1843,CF694,$AM$7:$AM$1843,"&gt;"&amp;AM694)+SUMIFS($AI$7:$AI$1843,$CF$7:$CF$1843,CF694,$AM$7:$AM$1843,AM694,$BW$7:$BW$1843,"&lt;="&amp;BW694),"")</f>
        <v/>
      </c>
      <c r="AO694" s="58" t="n">
        <f aca="false">IF(AN694="",0,MAX(0,MIN(1,(IF(CF694="L1",Parameter!$H$5,IF(CF694="L23",Parameter!$H$6+Parameter!$H$7,Parameter!$H$5+Parameter!$H$6+Parameter!$H$7))-(AN694-AI694))/AI694)))</f>
        <v>0</v>
      </c>
      <c r="AP694" s="50" t="n">
        <f aca="false">IF(LEFT(Cockpit!$I$5,1)="A",H694,IF(Parameter!$E$30="MAX-Bestand",IF(CH694=1,CI694,IF(LEFT(Cockpit!$I$5,1)="B",AV694,MAX(AV694,H694))),ROUNDUP(AT694,0)))</f>
        <v>2</v>
      </c>
      <c r="AQ694" s="50" t="n">
        <f aca="false">IF(BZ694=1,0,ROUNDUP(AP694/BY694,0))</f>
        <v>0</v>
      </c>
      <c r="AR694" s="52" t="n">
        <f aca="false">IF(CQ694&gt;0,CQ694*MAX(1,AP694/X694),IF(BZ694=1,IF(AP694&lt;=0,0,CD694*MAX(1,IF(H694&gt;0,AP694/H694,1))),IF(R694&gt;0,AQ694/R694,0))/MAX(0.1,N(Parameter!$M$21)))</f>
        <v>0.15</v>
      </c>
      <c r="AS694" s="50" t="n">
        <f aca="false">AR694*CB694</f>
        <v>35.25</v>
      </c>
      <c r="AT694" s="51" t="n">
        <f aca="false">IF(LEFT(Cockpit!$I$5,1)="A",H694,IF(CH694=1,(CK694+CI694)/2,IF(LEFT(Cockpit!$I$5,1)="B",(CK694+AV694)/2,MAX((CK694+AV694)/2,H694))))</f>
        <v>1.5</v>
      </c>
      <c r="AU694" s="50" t="n">
        <f aca="false">AT694*G694</f>
        <v>1395</v>
      </c>
      <c r="AV694" s="50" t="n">
        <f aca="false">ROUNDUP(CK694+MAX(CL694,2*(J694/IF(CG694&gt;0,CG694,MAX(0.1,N(Cockpit!$I$6)))-CK694)),0)</f>
        <v>3</v>
      </c>
      <c r="AW694" s="51" t="n">
        <f aca="false">IF(AS694&gt;0,J694/AS694,-1)</f>
        <v>0.113475177304965</v>
      </c>
      <c r="AX694" s="51" t="str">
        <f aca="false">IF(AND(OR(CF694="L1",CF694="L23",CF694="LIFT"),AS694&gt;0),SUMIFS($AS$7:$AS$1843,$CF$7:$CF$1843,CF694,$AW$7:$AW$1843,"&gt;"&amp;AW694)+SUMIFS($AS$7:$AS$1843,$CF$7:$CF$1843,CF694,$AW$7:$AW$1843,AW694,$BW$7:$BW$1843,"&lt;="&amp;BW694),"")</f>
        <v/>
      </c>
      <c r="AY694" s="58" t="n">
        <f aca="false">IF(AX694="",0,MAX(0,MIN(1,(IF(CF694="L1",Parameter!$H$5,IF(CF694="L23",Parameter!$H$6+Parameter!$H$7,Parameter!$H$5+Parameter!$H$6+Parameter!$H$7))-(AX694-AS694))/AS694)))</f>
        <v>0</v>
      </c>
      <c r="AZ694" s="50" t="n">
        <f aca="false">IF(LEFT(Cockpit!$O$5,1)="A",H694,IF(Parameter!$E$30="MAX-Bestand",IF(CH694=1,CI694,IF(LEFT(Cockpit!$O$5,1)="B",BF694,MAX(BF694,H694))),ROUNDUP(BD694,0)))</f>
        <v>1</v>
      </c>
      <c r="BA694" s="50" t="n">
        <f aca="false">IF(BZ694=1,0,ROUNDUP(AZ694/BY694,0))</f>
        <v>0</v>
      </c>
      <c r="BB694" s="52" t="n">
        <f aca="false">IF(CQ694&gt;0,CQ694*MAX(1,AZ694/X694),IF(BZ694=1,IF(AZ694&lt;=0,0,CD694*MAX(1,IF(H694&gt;0,AZ694/H694,1))),IF(R694&gt;0,BA694/R694,0))/MAX(0.1,N(Parameter!$M$21)))</f>
        <v>0.15</v>
      </c>
      <c r="BC694" s="50" t="n">
        <f aca="false">BB694*CB694</f>
        <v>35.25</v>
      </c>
      <c r="BD694" s="51" t="n">
        <f aca="false">IF(LEFT(Cockpit!$O$5,1)="A",H694,IF(CH694=1,(CK694+CI694)/2,IF(LEFT(Cockpit!$O$5,1)="B",(CK694+BF694)/2,MAX((CK694+BF694)/2,H694))))</f>
        <v>1</v>
      </c>
      <c r="BE694" s="50" t="n">
        <f aca="false">BD694*G694</f>
        <v>930</v>
      </c>
      <c r="BF694" s="50" t="n">
        <f aca="false">ROUNDUP(CK694+MAX(CL694,2*(J694/IF(CG694&gt;0,CG694,MAX(0.1,N(Cockpit!$O$6)))-CK694)),0)</f>
        <v>2</v>
      </c>
      <c r="BG694" s="51" t="n">
        <f aca="false">IF(BC694&gt;0,J694/BC694,-1)</f>
        <v>0.113475177304965</v>
      </c>
      <c r="BH694" s="51" t="str">
        <f aca="false">IF(AND(OR(CF694="L1",CF694="L23",CF694="LIFT"),BC694&gt;0),SUMIFS($BC$7:$BC$1843,$CF$7:$CF$1843,CF694,$BG$7:$BG$1843,"&gt;"&amp;BG694)+SUMIFS($BC$7:$BC$1843,$CF$7:$CF$1843,CF694,$BG$7:$BG$1843,BG694,$BW$7:$BW$1843,"&lt;="&amp;BW694),"")</f>
        <v/>
      </c>
      <c r="BI694" s="58" t="n">
        <f aca="false">IF(BH694="",0,MAX(0,MIN(1,(IF(CF694="L1",Parameter!$H$5,IF(CF694="L23",Parameter!$H$6+Parameter!$H$7,Parameter!$H$5+Parameter!$H$6+Parameter!$H$7))-(BH694-BC694))/BC694)))</f>
        <v>0</v>
      </c>
      <c r="BJ694" s="48" t="str">
        <f aca="false">IF(AI694&lt;=0,"",IF(CF694="Aussen","Aussenlager",IF(CF694="-","Nicht im Lift",IF(AO694&gt;=1,"Lift",IF(AO694&lt;=0,"Aussenlager","teilweise")))))</f>
        <v/>
      </c>
      <c r="BK694" s="48" t="str">
        <f aca="false">IF(AS694&lt;=0,"",IF(CF694="Aussen","Aussenlager",IF(CF694="-","Nicht im Lift",IF(AY694&gt;=1,"Lift",IF(AY694&lt;=0,"Aussenlager","teilweise")))))</f>
        <v>Nicht im Lift</v>
      </c>
      <c r="BL694" s="48" t="str">
        <f aca="false">IF(BC694&lt;=0,"",IF(CF694="Aussen","Aussenlager",IF(CF694="-","Nicht im Lift",IF(BI694&gt;=1,"Lift",IF(BI694&lt;=0,"Aussenlager","teilweise")))))</f>
        <v>Nicht im Lift</v>
      </c>
      <c r="BM694" s="48" t="str">
        <f aca="false">IF(A694="","",IF(BV694=1,"Neu; ","")&amp;IF(AND(BV694=0,BQ694&lt;0),"negativer Bestand (Export "&amp;BQ694&amp;"); ","")&amp;IF(J694&lt;=0,"Kein Verbrauch; ","")&amp;IF(CQ694&gt;0,"Lift "&amp;W694&amp;" lt. Liftbericht (Fach "&amp;X694&amp;" Stk); ",IF(CA694=1,"Gebinde geschätzt ("&amp;T694&amp;"); ",IF(BZ694=1,"Lose – Tablare geschätzt; ","")))&amp;IF(H694&gt;AV694,"Überbestand "&amp;ROUND(H694-AV694,0)&amp;" Stk / CHF "&amp;ROUND((H694-AV694)*G694,0)&amp;"; ","")&amp;IF(AND(CH694=1,CI694&lt;CJ694),"MAX &lt; MB+LG; ","")&amp;IF(AND(CP694&gt;0,CO694*10&gt;CP694),"zu hoch für Tablar; ","")&amp;IF(AND(BV694=0,OR(CH694=1,AA694&lt;&gt;"",U694&lt;&gt;"",V694&lt;&gt;"",AB694&lt;&gt;"")),"manuell übersteuert; ","")&amp;IF(AND(BZ694=0,R694=0),"Gebinde unbekannt / Stellmass fehlt; ","")&amp;IF(AND(BZ694=0,N(V694)&lt;=0,N(Q694)&lt;=0),"Menge pro Gebinde fehlt (Ist = 1 Gebinde); ","")&amp;BU694)</f>
        <v>Lose – Tablare geschätzt; </v>
      </c>
      <c r="BN694" s="48"/>
      <c r="BO694" s="48"/>
      <c r="BP694" s="55"/>
      <c r="BQ694" s="50" t="n">
        <v>0</v>
      </c>
      <c r="BR694" s="50" t="n">
        <v>0</v>
      </c>
      <c r="BS694" s="49" t="n">
        <v>0</v>
      </c>
      <c r="BT694" s="50" t="n">
        <v>4</v>
      </c>
      <c r="BU694" s="48"/>
      <c r="BV694" s="53" t="n">
        <v>0</v>
      </c>
      <c r="BW694" s="53" t="n">
        <v>694</v>
      </c>
      <c r="BX694" s="48" t="str">
        <f aca="false">IF(U694&lt;&gt;"",UPPER(TRIM(U694)),IF(CA694=1,UPPER(VLOOKUP(T694,Parameter!$I$27:$K$29,2,0)),IF(P694="","LOSE",P694)))</f>
        <v>LOSE</v>
      </c>
      <c r="BY694" s="50" t="n">
        <f aca="false">IF(BX694="LOSE",1,IF(N(V694)&gt;0,V694,IF(CA694=1,MAX(1,N(VLOOKUP(T694,Parameter!$I$27:$K$29,3,0)),H694,N(N694)),IF(N(Q694)&gt;0,Q694,MAX(1,H694)))))</f>
        <v>1</v>
      </c>
      <c r="BZ694" s="53" t="n">
        <f aca="false">IF(BX694="LOSE",1,0)</f>
        <v>1</v>
      </c>
      <c r="CA694" s="53" t="n">
        <f aca="false">IF(AND(U694="",OR(P694="",P694="LOSE"),T694&lt;&gt;"",N(S694)&lt;=0,ISNUMBER(MATCH(T694,Parameter!$I$27:$I$29,0))),1,0)</f>
        <v>0</v>
      </c>
      <c r="CB694" s="53" t="n">
        <f aca="false">IF(CQ694&gt;0,INDEX(Parameter!$H$5:$H$7,W694)/INDEX(Parameter!$E$5:$E$7,W694),IF(AND(BZ694=0,N(IFERROR(VLOOKUP(BX694,'Gebinde-Kategorie'!$A$5:$N$45,14,0),0))&gt;0),VLOOKUP(BX694,'Gebinde-Kategorie'!$A$5:$N$45,14,0)*10+Parameter!$M$23,Parameter!$M$24))</f>
        <v>235</v>
      </c>
      <c r="CC694" s="48" t="str">
        <f aca="false">IF(AND(Parameter!$B$19="Ja",E694&lt;&gt;"",ISNUMBER(MATCH(E694,Parameter!$I$35:$I$52,0))),VLOOKUP(E694,Parameter!$I$35:$J$52,2,0),IFERROR(VLOOKUP(D694,Parameter!$A$35:$C$64,2,0),"Nein"))</f>
        <v>Nein</v>
      </c>
      <c r="CD694" s="52" t="n">
        <f aca="false">IF(BZ694=0,0,IF(N(S694)&gt;0,S694,IFERROR(VLOOKUP(D694,Parameter!$A$35:$C$64,3,0)+0,0)))</f>
        <v>0.15</v>
      </c>
      <c r="CE694" s="48" t="str">
        <f aca="false">IF(AA694&lt;&gt;"",AA694,Z694)</f>
        <v>-</v>
      </c>
      <c r="CF694" s="48" t="str">
        <f aca="false">IF(OR(CE694=1,CE694=2,CE694=3),IF(Parameter!$E$27="Ja","LIFT",IF(CE694=1,"L1","L23")),IF(CE694="Aussen","Aussen","-"))</f>
        <v>-</v>
      </c>
      <c r="CG694" s="59" t="n">
        <f aca="false">IF(N(AB694)&gt;0,AB694,0)</f>
        <v>0</v>
      </c>
      <c r="CH694" s="53" t="n">
        <f aca="false">IF(ISNUMBER(AE694),1,0)</f>
        <v>0</v>
      </c>
      <c r="CI694" s="50" t="n">
        <f aca="false">N(AE694)</f>
        <v>0</v>
      </c>
      <c r="CJ694" s="50" t="n">
        <f aca="false">N(M694)+N(N694)</f>
        <v>1</v>
      </c>
      <c r="CK694" s="50" t="n">
        <f aca="false">N(M694)</f>
        <v>0</v>
      </c>
      <c r="CL694" s="50" t="n">
        <f aca="false">N(N694)</f>
        <v>1</v>
      </c>
      <c r="CM694" s="50" t="n">
        <f aca="false">ROUNDUP(H694/BY694,0)</f>
        <v>0</v>
      </c>
      <c r="CN694" s="50" t="n">
        <f aca="false">ROUNDUP(CI694/BY694,0)</f>
        <v>0</v>
      </c>
      <c r="CO694" s="53" t="n">
        <f aca="false">IF(BZ694=1,0,IFERROR(VLOOKUP(BX694,'Gebinde-Kategorie'!$A$5:$N$45,5,0)+0,0))</f>
        <v>0</v>
      </c>
      <c r="CP694" s="53" t="n">
        <f aca="false">IFERROR(IF(OR(CE694=1,CE694=2,CE694=3),N(INDEX(Parameter!$I$5:$I$7,CE694)),0),0)</f>
        <v>0</v>
      </c>
      <c r="CQ694" s="52" t="n">
        <f aca="false">IF(AND(Parameter!$B$21="Ja",ISNUMBER(W694),N(X694)&gt;0),IFERROR(N(INDEX(Parameter!$L$5:$L$7,W694))*INDEX(Parameter!$E$5:$E$7,W694)*X694/SUMIFS($X$7:$X$1843,$W$7:$W$1843,W694),0),0)</f>
        <v>0</v>
      </c>
    </row>
    <row r="695" customFormat="false" ht="15" hidden="false" customHeight="false" outlineLevel="0" collapsed="false">
      <c r="A695" s="48" t="s">
        <v>1398</v>
      </c>
      <c r="B695" s="48" t="s">
        <v>553</v>
      </c>
      <c r="C695" s="48" t="s">
        <v>173</v>
      </c>
      <c r="D695" s="48" t="s">
        <v>1004</v>
      </c>
      <c r="E695" s="48"/>
      <c r="F695" s="48" t="s">
        <v>227</v>
      </c>
      <c r="G695" s="49" t="n">
        <v>27.23</v>
      </c>
      <c r="H695" s="50" t="n">
        <f aca="false">MAX(0,IF(AND(Parameter!$B$21="Ja",ISNUMBER(Y695)),Y695,IF(Parameter!$B$20="Jahresanfang 2025 + Export",BR695+BQ695,BQ695)))</f>
        <v>4</v>
      </c>
      <c r="I695" s="50" t="n">
        <f aca="false">H695*G695</f>
        <v>108.92</v>
      </c>
      <c r="J695" s="50" t="n">
        <f aca="false">BT695*Parameter!$B$18</f>
        <v>0</v>
      </c>
      <c r="K695" s="51" t="n">
        <v>3.5</v>
      </c>
      <c r="L695" s="52" t="n">
        <v>0</v>
      </c>
      <c r="M695" s="50" t="n">
        <v>0</v>
      </c>
      <c r="N695" s="50" t="n">
        <v>1</v>
      </c>
      <c r="O695" s="53" t="n">
        <v>21</v>
      </c>
      <c r="P695" s="48" t="s">
        <v>177</v>
      </c>
      <c r="Q695" s="50"/>
      <c r="R695" s="53" t="n">
        <f aca="false">IF(BZ695=1,0,IFERROR(VLOOKUP(BX695,'Gebinde-Kategorie'!$A$5:$N$45,13,0)+0,0))</f>
        <v>0</v>
      </c>
      <c r="S695" s="54"/>
      <c r="T695" s="55"/>
      <c r="U695" s="55"/>
      <c r="V695" s="55"/>
      <c r="W695" s="48"/>
      <c r="X695" s="50"/>
      <c r="Y695" s="50"/>
      <c r="Z695" s="48" t="str">
        <f aca="false">IF(A695="","",IF(AND(Parameter!$B$21="Ja",ISNUMBER(W695)),W695,IF(CC695="2+3",IF(ISNUMBER(SEARCH("grosser Artikel",BU695)),2,IFERROR(VLOOKUP(BX695,Parameter!$F$35:$G$64,2,0),2)),IF(OR(CC695="Nein",CC695=""),"-",CC695))))</f>
        <v>-</v>
      </c>
      <c r="AA695" s="55"/>
      <c r="AB695" s="56"/>
      <c r="AC695" s="50" t="n">
        <f aca="false">AV695</f>
        <v>1</v>
      </c>
      <c r="AD695" s="50" t="n">
        <f aca="false">MAX(AV695,H695)</f>
        <v>4</v>
      </c>
      <c r="AE695" s="57"/>
      <c r="AF695" s="50" t="n">
        <f aca="false">IF(LEFT(Cockpit!$C$5,1)="A",H695,IF(Parameter!$E$30="MAX-Bestand",IF(CH695=1,CI695,IF(LEFT(Cockpit!$C$5,1)="B",AL695,MAX(AL695,H695))),ROUNDUP(AJ695,0)))</f>
        <v>4</v>
      </c>
      <c r="AG695" s="50" t="n">
        <f aca="false">IF(BZ695=1,0,ROUNDUP(AF695/BY695,0))</f>
        <v>0</v>
      </c>
      <c r="AH695" s="52" t="n">
        <f aca="false">IF(CQ695&gt;0,CQ695*MAX(1,AF695/X695),IF(BZ695=1,IF(AF695&lt;=0,0,CD695*MAX(1,IF(H695&gt;0,AF695/H695,1))),IF(R695&gt;0,AG695/R695,0))/MAX(0.1,N(Parameter!$M$21)))</f>
        <v>0.15</v>
      </c>
      <c r="AI695" s="50" t="n">
        <f aca="false">AH695*CB695</f>
        <v>35.25</v>
      </c>
      <c r="AJ695" s="51" t="n">
        <f aca="false">IF(LEFT(Cockpit!$C$5,1)="A",H695,IF(CH695=1,(CK695+CI695)/2,IF(LEFT(Cockpit!$C$5,1)="B",(CK695+AL695)/2,MAX((CK695+AL695)/2,H695))))</f>
        <v>4</v>
      </c>
      <c r="AK695" s="50" t="n">
        <f aca="false">AJ695*G695</f>
        <v>108.92</v>
      </c>
      <c r="AL695" s="50" t="n">
        <f aca="false">ROUNDUP(CK695+MAX(CL695,2*(J695/IF(CG695&gt;0,CG695,MAX(0.1,N(Cockpit!$C$6)))-CK695)),0)</f>
        <v>1</v>
      </c>
      <c r="AM695" s="51" t="n">
        <f aca="false">IF(AI695&gt;0,J695/AI695,-1)</f>
        <v>0</v>
      </c>
      <c r="AN695" s="51" t="str">
        <f aca="false">IF(AND(OR(CF695="L1",CF695="L23",CF695="LIFT"),AI695&gt;0),SUMIFS($AI$7:$AI$1843,$CF$7:$CF$1843,CF695,$AM$7:$AM$1843,"&gt;"&amp;AM695)+SUMIFS($AI$7:$AI$1843,$CF$7:$CF$1843,CF695,$AM$7:$AM$1843,AM695,$BW$7:$BW$1843,"&lt;="&amp;BW695),"")</f>
        <v/>
      </c>
      <c r="AO695" s="58" t="n">
        <f aca="false">IF(AN695="",0,MAX(0,MIN(1,(IF(CF695="L1",Parameter!$H$5,IF(CF695="L23",Parameter!$H$6+Parameter!$H$7,Parameter!$H$5+Parameter!$H$6+Parameter!$H$7))-(AN695-AI695))/AI695)))</f>
        <v>0</v>
      </c>
      <c r="AP695" s="50" t="n">
        <f aca="false">IF(LEFT(Cockpit!$I$5,1)="A",H695,IF(Parameter!$E$30="MAX-Bestand",IF(CH695=1,CI695,IF(LEFT(Cockpit!$I$5,1)="B",AV695,MAX(AV695,H695))),ROUNDUP(AT695,0)))</f>
        <v>4</v>
      </c>
      <c r="AQ695" s="50" t="n">
        <f aca="false">IF(BZ695=1,0,ROUNDUP(AP695/BY695,0))</f>
        <v>0</v>
      </c>
      <c r="AR695" s="52" t="n">
        <f aca="false">IF(CQ695&gt;0,CQ695*MAX(1,AP695/X695),IF(BZ695=1,IF(AP695&lt;=0,0,CD695*MAX(1,IF(H695&gt;0,AP695/H695,1))),IF(R695&gt;0,AQ695/R695,0))/MAX(0.1,N(Parameter!$M$21)))</f>
        <v>0.15</v>
      </c>
      <c r="AS695" s="50" t="n">
        <f aca="false">AR695*CB695</f>
        <v>35.25</v>
      </c>
      <c r="AT695" s="51" t="n">
        <f aca="false">IF(LEFT(Cockpit!$I$5,1)="A",H695,IF(CH695=1,(CK695+CI695)/2,IF(LEFT(Cockpit!$I$5,1)="B",(CK695+AV695)/2,MAX((CK695+AV695)/2,H695))))</f>
        <v>4</v>
      </c>
      <c r="AU695" s="50" t="n">
        <f aca="false">AT695*G695</f>
        <v>108.92</v>
      </c>
      <c r="AV695" s="50" t="n">
        <f aca="false">ROUNDUP(CK695+MAX(CL695,2*(J695/IF(CG695&gt;0,CG695,MAX(0.1,N(Cockpit!$I$6)))-CK695)),0)</f>
        <v>1</v>
      </c>
      <c r="AW695" s="51" t="n">
        <f aca="false">IF(AS695&gt;0,J695/AS695,-1)</f>
        <v>0</v>
      </c>
      <c r="AX695" s="51" t="str">
        <f aca="false">IF(AND(OR(CF695="L1",CF695="L23",CF695="LIFT"),AS695&gt;0),SUMIFS($AS$7:$AS$1843,$CF$7:$CF$1843,CF695,$AW$7:$AW$1843,"&gt;"&amp;AW695)+SUMIFS($AS$7:$AS$1843,$CF$7:$CF$1843,CF695,$AW$7:$AW$1843,AW695,$BW$7:$BW$1843,"&lt;="&amp;BW695),"")</f>
        <v/>
      </c>
      <c r="AY695" s="58" t="n">
        <f aca="false">IF(AX695="",0,MAX(0,MIN(1,(IF(CF695="L1",Parameter!$H$5,IF(CF695="L23",Parameter!$H$6+Parameter!$H$7,Parameter!$H$5+Parameter!$H$6+Parameter!$H$7))-(AX695-AS695))/AS695)))</f>
        <v>0</v>
      </c>
      <c r="AZ695" s="50" t="n">
        <f aca="false">IF(LEFT(Cockpit!$O$5,1)="A",H695,IF(Parameter!$E$30="MAX-Bestand",IF(CH695=1,CI695,IF(LEFT(Cockpit!$O$5,1)="B",BF695,MAX(BF695,H695))),ROUNDUP(BD695,0)))</f>
        <v>1</v>
      </c>
      <c r="BA695" s="50" t="n">
        <f aca="false">IF(BZ695=1,0,ROUNDUP(AZ695/BY695,0))</f>
        <v>0</v>
      </c>
      <c r="BB695" s="52" t="n">
        <f aca="false">IF(CQ695&gt;0,CQ695*MAX(1,AZ695/X695),IF(BZ695=1,IF(AZ695&lt;=0,0,CD695*MAX(1,IF(H695&gt;0,AZ695/H695,1))),IF(R695&gt;0,BA695/R695,0))/MAX(0.1,N(Parameter!$M$21)))</f>
        <v>0.15</v>
      </c>
      <c r="BC695" s="50" t="n">
        <f aca="false">BB695*CB695</f>
        <v>35.25</v>
      </c>
      <c r="BD695" s="51" t="n">
        <f aca="false">IF(LEFT(Cockpit!$O$5,1)="A",H695,IF(CH695=1,(CK695+CI695)/2,IF(LEFT(Cockpit!$O$5,1)="B",(CK695+BF695)/2,MAX((CK695+BF695)/2,H695))))</f>
        <v>0.5</v>
      </c>
      <c r="BE695" s="50" t="n">
        <f aca="false">BD695*G695</f>
        <v>13.615</v>
      </c>
      <c r="BF695" s="50" t="n">
        <f aca="false">ROUNDUP(CK695+MAX(CL695,2*(J695/IF(CG695&gt;0,CG695,MAX(0.1,N(Cockpit!$O$6)))-CK695)),0)</f>
        <v>1</v>
      </c>
      <c r="BG695" s="51" t="n">
        <f aca="false">IF(BC695&gt;0,J695/BC695,-1)</f>
        <v>0</v>
      </c>
      <c r="BH695" s="51" t="str">
        <f aca="false">IF(AND(OR(CF695="L1",CF695="L23",CF695="LIFT"),BC695&gt;0),SUMIFS($BC$7:$BC$1843,$CF$7:$CF$1843,CF695,$BG$7:$BG$1843,"&gt;"&amp;BG695)+SUMIFS($BC$7:$BC$1843,$CF$7:$CF$1843,CF695,$BG$7:$BG$1843,BG695,$BW$7:$BW$1843,"&lt;="&amp;BW695),"")</f>
        <v/>
      </c>
      <c r="BI695" s="58" t="n">
        <f aca="false">IF(BH695="",0,MAX(0,MIN(1,(IF(CF695="L1",Parameter!$H$5,IF(CF695="L23",Parameter!$H$6+Parameter!$H$7,Parameter!$H$5+Parameter!$H$6+Parameter!$H$7))-(BH695-BC695))/BC695)))</f>
        <v>0</v>
      </c>
      <c r="BJ695" s="48" t="str">
        <f aca="false">IF(AI695&lt;=0,"",IF(CF695="Aussen","Aussenlager",IF(CF695="-","Nicht im Lift",IF(AO695&gt;=1,"Lift",IF(AO695&lt;=0,"Aussenlager","teilweise")))))</f>
        <v>Nicht im Lift</v>
      </c>
      <c r="BK695" s="48" t="str">
        <f aca="false">IF(AS695&lt;=0,"",IF(CF695="Aussen","Aussenlager",IF(CF695="-","Nicht im Lift",IF(AY695&gt;=1,"Lift",IF(AY695&lt;=0,"Aussenlager","teilweise")))))</f>
        <v>Nicht im Lift</v>
      </c>
      <c r="BL695" s="48" t="str">
        <f aca="false">IF(BC695&lt;=0,"",IF(CF695="Aussen","Aussenlager",IF(CF695="-","Nicht im Lift",IF(BI695&gt;=1,"Lift",IF(BI695&lt;=0,"Aussenlager","teilweise")))))</f>
        <v>Nicht im Lift</v>
      </c>
      <c r="BM695" s="48" t="str">
        <f aca="false">IF(A695="","",IF(BV695=1,"Neu; ","")&amp;IF(AND(BV695=0,BQ695&lt;0),"negativer Bestand (Export "&amp;BQ695&amp;"); ","")&amp;IF(J695&lt;=0,"Kein Verbrauch; ","")&amp;IF(CQ695&gt;0,"Lift "&amp;W695&amp;" lt. Liftbericht (Fach "&amp;X695&amp;" Stk); ",IF(CA695=1,"Gebinde geschätzt ("&amp;T695&amp;"); ",IF(BZ695=1,"Lose – Tablare geschätzt; ","")))&amp;IF(H695&gt;AV695,"Überbestand "&amp;ROUND(H695-AV695,0)&amp;" Stk / CHF "&amp;ROUND((H695-AV695)*G695,0)&amp;"; ","")&amp;IF(AND(CH695=1,CI695&lt;CJ695),"MAX &lt; MB+LG; ","")&amp;IF(AND(CP695&gt;0,CO695*10&gt;CP695),"zu hoch für Tablar; ","")&amp;IF(AND(BV695=0,OR(CH695=1,AA695&lt;&gt;"",U695&lt;&gt;"",V695&lt;&gt;"",AB695&lt;&gt;"")),"manuell übersteuert; ","")&amp;IF(AND(BZ695=0,R695=0),"Gebinde unbekannt / Stellmass fehlt; ","")&amp;IF(AND(BZ695=0,N(V695)&lt;=0,N(Q695)&lt;=0),"Menge pro Gebinde fehlt (Ist = 1 Gebinde); ","")&amp;BU695)</f>
        <v>Kein Verbrauch; Lose – Tablare geschätzt; Überbestand 3 Stk / CHF 82; </v>
      </c>
      <c r="BN695" s="48"/>
      <c r="BO695" s="48"/>
      <c r="BP695" s="55"/>
      <c r="BQ695" s="50" t="n">
        <v>0</v>
      </c>
      <c r="BR695" s="50" t="n">
        <v>4</v>
      </c>
      <c r="BS695" s="49" t="n">
        <v>0</v>
      </c>
      <c r="BT695" s="50" t="n">
        <v>0</v>
      </c>
      <c r="BU695" s="48"/>
      <c r="BV695" s="53" t="n">
        <v>0</v>
      </c>
      <c r="BW695" s="53" t="n">
        <v>695</v>
      </c>
      <c r="BX695" s="48" t="str">
        <f aca="false">IF(U695&lt;&gt;"",UPPER(TRIM(U695)),IF(CA695=1,UPPER(VLOOKUP(T695,Parameter!$I$27:$K$29,2,0)),IF(P695="","LOSE",P695)))</f>
        <v>LOSE</v>
      </c>
      <c r="BY695" s="50" t="n">
        <f aca="false">IF(BX695="LOSE",1,IF(N(V695)&gt;0,V695,IF(CA695=1,MAX(1,N(VLOOKUP(T695,Parameter!$I$27:$K$29,3,0)),H695,N(N695)),IF(N(Q695)&gt;0,Q695,MAX(1,H695)))))</f>
        <v>1</v>
      </c>
      <c r="BZ695" s="53" t="n">
        <f aca="false">IF(BX695="LOSE",1,0)</f>
        <v>1</v>
      </c>
      <c r="CA695" s="53" t="n">
        <f aca="false">IF(AND(U695="",OR(P695="",P695="LOSE"),T695&lt;&gt;"",N(S695)&lt;=0,ISNUMBER(MATCH(T695,Parameter!$I$27:$I$29,0))),1,0)</f>
        <v>0</v>
      </c>
      <c r="CB695" s="53" t="n">
        <f aca="false">IF(CQ695&gt;0,INDEX(Parameter!$H$5:$H$7,W695)/INDEX(Parameter!$E$5:$E$7,W695),IF(AND(BZ695=0,N(IFERROR(VLOOKUP(BX695,'Gebinde-Kategorie'!$A$5:$N$45,14,0),0))&gt;0),VLOOKUP(BX695,'Gebinde-Kategorie'!$A$5:$N$45,14,0)*10+Parameter!$M$23,Parameter!$M$24))</f>
        <v>235</v>
      </c>
      <c r="CC695" s="48" t="str">
        <f aca="false">IF(AND(Parameter!$B$19="Ja",E695&lt;&gt;"",ISNUMBER(MATCH(E695,Parameter!$I$35:$I$52,0))),VLOOKUP(E695,Parameter!$I$35:$J$52,2,0),IFERROR(VLOOKUP(D695,Parameter!$A$35:$C$64,2,0),"Nein"))</f>
        <v>Nein</v>
      </c>
      <c r="CD695" s="52" t="n">
        <f aca="false">IF(BZ695=0,0,IF(N(S695)&gt;0,S695,IFERROR(VLOOKUP(D695,Parameter!$A$35:$C$64,3,0)+0,0)))</f>
        <v>0.15</v>
      </c>
      <c r="CE695" s="48" t="str">
        <f aca="false">IF(AA695&lt;&gt;"",AA695,Z695)</f>
        <v>-</v>
      </c>
      <c r="CF695" s="48" t="str">
        <f aca="false">IF(OR(CE695=1,CE695=2,CE695=3),IF(Parameter!$E$27="Ja","LIFT",IF(CE695=1,"L1","L23")),IF(CE695="Aussen","Aussen","-"))</f>
        <v>-</v>
      </c>
      <c r="CG695" s="59" t="n">
        <f aca="false">IF(N(AB695)&gt;0,AB695,0)</f>
        <v>0</v>
      </c>
      <c r="CH695" s="53" t="n">
        <f aca="false">IF(ISNUMBER(AE695),1,0)</f>
        <v>0</v>
      </c>
      <c r="CI695" s="50" t="n">
        <f aca="false">N(AE695)</f>
        <v>0</v>
      </c>
      <c r="CJ695" s="50" t="n">
        <f aca="false">N(M695)+N(N695)</f>
        <v>1</v>
      </c>
      <c r="CK695" s="50" t="n">
        <f aca="false">N(M695)</f>
        <v>0</v>
      </c>
      <c r="CL695" s="50" t="n">
        <f aca="false">N(N695)</f>
        <v>1</v>
      </c>
      <c r="CM695" s="50" t="n">
        <f aca="false">ROUNDUP(H695/BY695,0)</f>
        <v>4</v>
      </c>
      <c r="CN695" s="50" t="n">
        <f aca="false">ROUNDUP(CI695/BY695,0)</f>
        <v>0</v>
      </c>
      <c r="CO695" s="53" t="n">
        <f aca="false">IF(BZ695=1,0,IFERROR(VLOOKUP(BX695,'Gebinde-Kategorie'!$A$5:$N$45,5,0)+0,0))</f>
        <v>0</v>
      </c>
      <c r="CP695" s="53" t="n">
        <f aca="false">IFERROR(IF(OR(CE695=1,CE695=2,CE695=3),N(INDEX(Parameter!$I$5:$I$7,CE695)),0),0)</f>
        <v>0</v>
      </c>
      <c r="CQ695" s="52" t="n">
        <f aca="false">IF(AND(Parameter!$B$21="Ja",ISNUMBER(W695),N(X695)&gt;0),IFERROR(N(INDEX(Parameter!$L$5:$L$7,W695))*INDEX(Parameter!$E$5:$E$7,W695)*X695/SUMIFS($X$7:$X$1843,$W$7:$W$1843,W695),0),0)</f>
        <v>0</v>
      </c>
    </row>
    <row r="696" customFormat="false" ht="15" hidden="false" customHeight="false" outlineLevel="0" collapsed="false">
      <c r="A696" s="48" t="s">
        <v>1399</v>
      </c>
      <c r="B696" s="48" t="s">
        <v>1400</v>
      </c>
      <c r="C696" s="48" t="s">
        <v>465</v>
      </c>
      <c r="D696" s="48" t="s">
        <v>193</v>
      </c>
      <c r="E696" s="48" t="s">
        <v>194</v>
      </c>
      <c r="F696" s="48" t="s">
        <v>227</v>
      </c>
      <c r="G696" s="49" t="n">
        <v>139.35</v>
      </c>
      <c r="H696" s="50" t="n">
        <f aca="false">MAX(0,IF(AND(Parameter!$B$21="Ja",ISNUMBER(Y696)),Y696,IF(Parameter!$B$20="Jahresanfang 2025 + Export",BR696+BQ696,BQ696)))</f>
        <v>0</v>
      </c>
      <c r="I696" s="50" t="n">
        <f aca="false">H696*G696</f>
        <v>0</v>
      </c>
      <c r="J696" s="50" t="n">
        <f aca="false">BT696*Parameter!$B$18</f>
        <v>0</v>
      </c>
      <c r="K696" s="51" t="n">
        <v>0</v>
      </c>
      <c r="L696" s="52" t="n">
        <v>0</v>
      </c>
      <c r="M696" s="50" t="n">
        <v>0</v>
      </c>
      <c r="N696" s="50" t="n">
        <v>1</v>
      </c>
      <c r="O696" s="53" t="n">
        <v>56</v>
      </c>
      <c r="P696" s="48" t="s">
        <v>235</v>
      </c>
      <c r="Q696" s="50" t="n">
        <v>140</v>
      </c>
      <c r="R696" s="53" t="n">
        <f aca="false">IF(BZ696=1,0,IFERROR(VLOOKUP(BX696,'Gebinde-Kategorie'!$A$5:$N$45,13,0)+0,0))</f>
        <v>12</v>
      </c>
      <c r="S696" s="54"/>
      <c r="T696" s="55"/>
      <c r="U696" s="55"/>
      <c r="V696" s="55"/>
      <c r="W696" s="48"/>
      <c r="X696" s="50"/>
      <c r="Y696" s="50"/>
      <c r="Z696" s="48" t="n">
        <f aca="false">IF(A696="","",IF(AND(Parameter!$B$21="Ja",ISNUMBER(W696)),W696,IF(CC696="2+3",IF(ISNUMBER(SEARCH("grosser Artikel",BU696)),2,IFERROR(VLOOKUP(BX696,Parameter!$F$35:$G$64,2,0),2)),IF(OR(CC696="Nein",CC696=""),"-",CC696))))</f>
        <v>2</v>
      </c>
      <c r="AA696" s="55"/>
      <c r="AB696" s="56"/>
      <c r="AC696" s="50" t="n">
        <f aca="false">AV696</f>
        <v>1</v>
      </c>
      <c r="AD696" s="50" t="n">
        <f aca="false">MAX(AV696,H696)</f>
        <v>1</v>
      </c>
      <c r="AE696" s="57"/>
      <c r="AF696" s="50" t="n">
        <f aca="false">IF(LEFT(Cockpit!$C$5,1)="A",H696,IF(Parameter!$E$30="MAX-Bestand",IF(CH696=1,CI696,IF(LEFT(Cockpit!$C$5,1)="B",AL696,MAX(AL696,H696))),ROUNDUP(AJ696,0)))</f>
        <v>0</v>
      </c>
      <c r="AG696" s="50" t="n">
        <f aca="false">IF(BZ696=1,0,ROUNDUP(AF696/BY696,0))</f>
        <v>0</v>
      </c>
      <c r="AH696" s="52" t="n">
        <f aca="false">IF(CQ696&gt;0,CQ696*MAX(1,AF696/X696),IF(BZ696=1,IF(AF696&lt;=0,0,CD696*MAX(1,IF(H696&gt;0,AF696/H696,1))),IF(R696&gt;0,AG696/R696,0))/MAX(0.1,N(Parameter!$M$21)))</f>
        <v>0</v>
      </c>
      <c r="AI696" s="50" t="n">
        <f aca="false">AH696*CB696</f>
        <v>0</v>
      </c>
      <c r="AJ696" s="51" t="n">
        <f aca="false">IF(LEFT(Cockpit!$C$5,1)="A",H696,IF(CH696=1,(CK696+CI696)/2,IF(LEFT(Cockpit!$C$5,1)="B",(CK696+AL696)/2,MAX((CK696+AL696)/2,H696))))</f>
        <v>0</v>
      </c>
      <c r="AK696" s="50" t="n">
        <f aca="false">AJ696*G696</f>
        <v>0</v>
      </c>
      <c r="AL696" s="50" t="n">
        <f aca="false">ROUNDUP(CK696+MAX(CL696,2*(J696/IF(CG696&gt;0,CG696,MAX(0.1,N(Cockpit!$C$6)))-CK696)),0)</f>
        <v>1</v>
      </c>
      <c r="AM696" s="51" t="n">
        <f aca="false">IF(AI696&gt;0,J696/AI696,-1)</f>
        <v>-1</v>
      </c>
      <c r="AN696" s="51" t="str">
        <f aca="false">IF(AND(OR(CF696="L1",CF696="L23",CF696="LIFT"),AI696&gt;0),SUMIFS($AI$7:$AI$1843,$CF$7:$CF$1843,CF696,$AM$7:$AM$1843,"&gt;"&amp;AM696)+SUMIFS($AI$7:$AI$1843,$CF$7:$CF$1843,CF696,$AM$7:$AM$1843,AM696,$BW$7:$BW$1843,"&lt;="&amp;BW696),"")</f>
        <v/>
      </c>
      <c r="AO696" s="58" t="n">
        <f aca="false">IF(AN696="",0,MAX(0,MIN(1,(IF(CF696="L1",Parameter!$H$5,IF(CF696="L23",Parameter!$H$6+Parameter!$H$7,Parameter!$H$5+Parameter!$H$6+Parameter!$H$7))-(AN696-AI696))/AI696)))</f>
        <v>0</v>
      </c>
      <c r="AP696" s="50" t="n">
        <f aca="false">IF(LEFT(Cockpit!$I$5,1)="A",H696,IF(Parameter!$E$30="MAX-Bestand",IF(CH696=1,CI696,IF(LEFT(Cockpit!$I$5,1)="B",AV696,MAX(AV696,H696))),ROUNDUP(AT696,0)))</f>
        <v>1</v>
      </c>
      <c r="AQ696" s="50" t="n">
        <f aca="false">IF(BZ696=1,0,ROUNDUP(AP696/BY696,0))</f>
        <v>1</v>
      </c>
      <c r="AR696" s="52" t="n">
        <f aca="false">IF(CQ696&gt;0,CQ696*MAX(1,AP696/X696),IF(BZ696=1,IF(AP696&lt;=0,0,CD696*MAX(1,IF(H696&gt;0,AP696/H696,1))),IF(R696&gt;0,AQ696/R696,0))/MAX(0.1,N(Parameter!$M$21)))</f>
        <v>0.0833333333333333</v>
      </c>
      <c r="AS696" s="50" t="n">
        <f aca="false">AR696*CB696</f>
        <v>28.75</v>
      </c>
      <c r="AT696" s="51" t="n">
        <f aca="false">IF(LEFT(Cockpit!$I$5,1)="A",H696,IF(CH696=1,(CK696+CI696)/2,IF(LEFT(Cockpit!$I$5,1)="B",(CK696+AV696)/2,MAX((CK696+AV696)/2,H696))))</f>
        <v>0.5</v>
      </c>
      <c r="AU696" s="50" t="n">
        <f aca="false">AT696*G696</f>
        <v>69.675</v>
      </c>
      <c r="AV696" s="50" t="n">
        <f aca="false">ROUNDUP(CK696+MAX(CL696,2*(J696/IF(CG696&gt;0,CG696,MAX(0.1,N(Cockpit!$I$6)))-CK696)),0)</f>
        <v>1</v>
      </c>
      <c r="AW696" s="51" t="n">
        <f aca="false">IF(AS696&gt;0,J696/AS696,-1)</f>
        <v>0</v>
      </c>
      <c r="AX696" s="51" t="n">
        <f aca="false">IF(AND(OR(CF696="L1",CF696="L23",CF696="LIFT"),AS696&gt;0),SUMIFS($AS$7:$AS$1843,$CF$7:$CF$1843,CF696,$AW$7:$AW$1843,"&gt;"&amp;AW696)+SUMIFS($AS$7:$AS$1843,$CF$7:$CF$1843,CF696,$AW$7:$AW$1843,AW696,$BW$7:$BW$1843,"&lt;="&amp;BW696),"")</f>
        <v>34040.1213369963</v>
      </c>
      <c r="AY696" s="58" t="n">
        <f aca="false">IF(AX696="",0,MAX(0,MIN(1,(IF(CF696="L1",Parameter!$H$5,IF(CF696="L23",Parameter!$H$6+Parameter!$H$7,Parameter!$H$5+Parameter!$H$6+Parameter!$H$7))-(AX696-AS696))/AS696)))</f>
        <v>1</v>
      </c>
      <c r="AZ696" s="50" t="n">
        <f aca="false">IF(LEFT(Cockpit!$O$5,1)="A",H696,IF(Parameter!$E$30="MAX-Bestand",IF(CH696=1,CI696,IF(LEFT(Cockpit!$O$5,1)="B",BF696,MAX(BF696,H696))),ROUNDUP(BD696,0)))</f>
        <v>1</v>
      </c>
      <c r="BA696" s="50" t="n">
        <f aca="false">IF(BZ696=1,0,ROUNDUP(AZ696/BY696,0))</f>
        <v>1</v>
      </c>
      <c r="BB696" s="52" t="n">
        <f aca="false">IF(CQ696&gt;0,CQ696*MAX(1,AZ696/X696),IF(BZ696=1,IF(AZ696&lt;=0,0,CD696*MAX(1,IF(H696&gt;0,AZ696/H696,1))),IF(R696&gt;0,BA696/R696,0))/MAX(0.1,N(Parameter!$M$21)))</f>
        <v>0.0833333333333333</v>
      </c>
      <c r="BC696" s="50" t="n">
        <f aca="false">BB696*CB696</f>
        <v>28.75</v>
      </c>
      <c r="BD696" s="51" t="n">
        <f aca="false">IF(LEFT(Cockpit!$O$5,1)="A",H696,IF(CH696=1,(CK696+CI696)/2,IF(LEFT(Cockpit!$O$5,1)="B",(CK696+BF696)/2,MAX((CK696+BF696)/2,H696))))</f>
        <v>0.5</v>
      </c>
      <c r="BE696" s="50" t="n">
        <f aca="false">BD696*G696</f>
        <v>69.675</v>
      </c>
      <c r="BF696" s="50" t="n">
        <f aca="false">ROUNDUP(CK696+MAX(CL696,2*(J696/IF(CG696&gt;0,CG696,MAX(0.1,N(Cockpit!$O$6)))-CK696)),0)</f>
        <v>1</v>
      </c>
      <c r="BG696" s="51" t="n">
        <f aca="false">IF(BC696&gt;0,J696/BC696,-1)</f>
        <v>0</v>
      </c>
      <c r="BH696" s="51" t="n">
        <f aca="false">IF(AND(OR(CF696="L1",CF696="L23",CF696="LIFT"),BC696&gt;0),SUMIFS($BC$7:$BC$1843,$CF$7:$CF$1843,CF696,$BG$7:$BG$1843,"&gt;"&amp;BG696)+SUMIFS($BC$7:$BC$1843,$CF$7:$CF$1843,CF696,$BG$7:$BG$1843,BG696,$BW$7:$BW$1843,"&lt;="&amp;BW696),"")</f>
        <v>28104.2503414664</v>
      </c>
      <c r="BI696" s="58" t="n">
        <f aca="false">IF(BH696="",0,MAX(0,MIN(1,(IF(CF696="L1",Parameter!$H$5,IF(CF696="L23",Parameter!$H$6+Parameter!$H$7,Parameter!$H$5+Parameter!$H$6+Parameter!$H$7))-(BH696-BC696))/BC696)))</f>
        <v>1</v>
      </c>
      <c r="BJ696" s="48" t="str">
        <f aca="false">IF(AI696&lt;=0,"",IF(CF696="Aussen","Aussenlager",IF(CF696="-","Nicht im Lift",IF(AO696&gt;=1,"Lift",IF(AO696&lt;=0,"Aussenlager","teilweise")))))</f>
        <v/>
      </c>
      <c r="BK696" s="48" t="str">
        <f aca="false">IF(AS696&lt;=0,"",IF(CF696="Aussen","Aussenlager",IF(CF696="-","Nicht im Lift",IF(AY696&gt;=1,"Lift",IF(AY696&lt;=0,"Aussenlager","teilweise")))))</f>
        <v>Lift</v>
      </c>
      <c r="BL696" s="48" t="str">
        <f aca="false">IF(BC696&lt;=0,"",IF(CF696="Aussen","Aussenlager",IF(CF696="-","Nicht im Lift",IF(BI696&gt;=1,"Lift",IF(BI696&lt;=0,"Aussenlager","teilweise")))))</f>
        <v>Lift</v>
      </c>
      <c r="BM696" s="48" t="str">
        <f aca="false">IF(A696="","",IF(BV696=1,"Neu; ","")&amp;IF(AND(BV696=0,BQ696&lt;0),"negativer Bestand (Export "&amp;BQ696&amp;"); ","")&amp;IF(J696&lt;=0,"Kein Verbrauch; ","")&amp;IF(CQ696&gt;0,"Lift "&amp;W696&amp;" lt. Liftbericht (Fach "&amp;X696&amp;" Stk); ",IF(CA696=1,"Gebinde geschätzt ("&amp;T696&amp;"); ",IF(BZ696=1,"Lose – Tablare geschätzt; ","")))&amp;IF(H696&gt;AV696,"Überbestand "&amp;ROUND(H696-AV696,0)&amp;" Stk / CHF "&amp;ROUND((H696-AV696)*G696,0)&amp;"; ","")&amp;IF(AND(CH696=1,CI696&lt;CJ696),"MAX &lt; MB+LG; ","")&amp;IF(AND(CP696&gt;0,CO696*10&gt;CP696),"zu hoch für Tablar; ","")&amp;IF(AND(BV696=0,OR(CH696=1,AA696&lt;&gt;"",U696&lt;&gt;"",V696&lt;&gt;"",AB696&lt;&gt;"")),"manuell übersteuert; ","")&amp;IF(AND(BZ696=0,R696=0),"Gebinde unbekannt / Stellmass fehlt; ","")&amp;IF(AND(BZ696=0,N(V696)&lt;=0,N(Q696)&lt;=0),"Menge pro Gebinde fehlt (Ist = 1 Gebinde); ","")&amp;BU696)</f>
        <v>Kein Verbrauch; </v>
      </c>
      <c r="BN696" s="48"/>
      <c r="BO696" s="48"/>
      <c r="BP696" s="55"/>
      <c r="BQ696" s="50" t="n">
        <v>0</v>
      </c>
      <c r="BR696" s="50" t="n">
        <v>0</v>
      </c>
      <c r="BS696" s="49" t="n">
        <v>0</v>
      </c>
      <c r="BT696" s="50" t="n">
        <v>0</v>
      </c>
      <c r="BU696" s="48"/>
      <c r="BV696" s="53" t="n">
        <v>0</v>
      </c>
      <c r="BW696" s="53" t="n">
        <v>696</v>
      </c>
      <c r="BX696" s="48" t="str">
        <f aca="false">IF(U696&lt;&gt;"",UPPER(TRIM(U696)),IF(CA696=1,UPPER(VLOOKUP(T696,Parameter!$I$27:$K$29,2,0)),IF(P696="","LOSE",P696)))</f>
        <v>S63</v>
      </c>
      <c r="BY696" s="50" t="n">
        <f aca="false">IF(BX696="LOSE",1,IF(N(V696)&gt;0,V696,IF(CA696=1,MAX(1,N(VLOOKUP(T696,Parameter!$I$27:$K$29,3,0)),H696,N(N696)),IF(N(Q696)&gt;0,Q696,MAX(1,H696)))))</f>
        <v>140</v>
      </c>
      <c r="BZ696" s="53" t="n">
        <f aca="false">IF(BX696="LOSE",1,0)</f>
        <v>0</v>
      </c>
      <c r="CA696" s="53" t="n">
        <f aca="false">IF(AND(U696="",OR(P696="",P696="LOSE"),T696&lt;&gt;"",N(S696)&lt;=0,ISNUMBER(MATCH(T696,Parameter!$I$27:$I$29,0))),1,0)</f>
        <v>0</v>
      </c>
      <c r="CB696" s="53" t="n">
        <f aca="false">IF(CQ696&gt;0,INDEX(Parameter!$H$5:$H$7,W696)/INDEX(Parameter!$E$5:$E$7,W696),IF(AND(BZ696=0,N(IFERROR(VLOOKUP(BX696,'Gebinde-Kategorie'!$A$5:$N$45,14,0),0))&gt;0),VLOOKUP(BX696,'Gebinde-Kategorie'!$A$5:$N$45,14,0)*10+Parameter!$M$23,Parameter!$M$24))</f>
        <v>345</v>
      </c>
      <c r="CC696" s="48" t="str">
        <f aca="false">IF(AND(Parameter!$B$19="Ja",E696&lt;&gt;"",ISNUMBER(MATCH(E696,Parameter!$I$35:$I$52,0))),VLOOKUP(E696,Parameter!$I$35:$J$52,2,0),IFERROR(VLOOKUP(D696,Parameter!$A$35:$C$64,2,0),"Nein"))</f>
        <v>2+3</v>
      </c>
      <c r="CD696" s="52" t="n">
        <f aca="false">IF(BZ696=0,0,IF(N(S696)&gt;0,S696,IFERROR(VLOOKUP(D696,Parameter!$A$35:$C$64,3,0)+0,0)))</f>
        <v>0</v>
      </c>
      <c r="CE696" s="48" t="n">
        <f aca="false">IF(AA696&lt;&gt;"",AA696,Z696)</f>
        <v>2</v>
      </c>
      <c r="CF696" s="48" t="str">
        <f aca="false">IF(OR(CE696=1,CE696=2,CE696=3),IF(Parameter!$E$27="Ja","LIFT",IF(CE696=1,"L1","L23")),IF(CE696="Aussen","Aussen","-"))</f>
        <v>LIFT</v>
      </c>
      <c r="CG696" s="59" t="n">
        <f aca="false">IF(N(AB696)&gt;0,AB696,0)</f>
        <v>0</v>
      </c>
      <c r="CH696" s="53" t="n">
        <f aca="false">IF(ISNUMBER(AE696),1,0)</f>
        <v>0</v>
      </c>
      <c r="CI696" s="50" t="n">
        <f aca="false">N(AE696)</f>
        <v>0</v>
      </c>
      <c r="CJ696" s="50" t="n">
        <f aca="false">N(M696)+N(N696)</f>
        <v>1</v>
      </c>
      <c r="CK696" s="50" t="n">
        <f aca="false">N(M696)</f>
        <v>0</v>
      </c>
      <c r="CL696" s="50" t="n">
        <f aca="false">N(N696)</f>
        <v>1</v>
      </c>
      <c r="CM696" s="50" t="n">
        <f aca="false">ROUNDUP(H696/BY696,0)</f>
        <v>0</v>
      </c>
      <c r="CN696" s="50" t="n">
        <f aca="false">ROUNDUP(CI696/BY696,0)</f>
        <v>0</v>
      </c>
      <c r="CO696" s="53" t="n">
        <f aca="false">IF(BZ696=1,0,IFERROR(VLOOKUP(BX696,'Gebinde-Kategorie'!$A$5:$N$45,5,0)+0,0))</f>
        <v>31</v>
      </c>
      <c r="CP696" s="53" t="n">
        <f aca="false">IFERROR(IF(OR(CE696=1,CE696=2,CE696=3),N(INDEX(Parameter!$I$5:$I$7,CE696)),0),0)</f>
        <v>0</v>
      </c>
      <c r="CQ696" s="52" t="n">
        <f aca="false">IF(AND(Parameter!$B$21="Ja",ISNUMBER(W696),N(X696)&gt;0),IFERROR(N(INDEX(Parameter!$L$5:$L$7,W696))*INDEX(Parameter!$E$5:$E$7,W696)*X696/SUMIFS($X$7:$X$1843,$W$7:$W$1843,W696),0),0)</f>
        <v>0</v>
      </c>
    </row>
    <row r="697" customFormat="false" ht="15" hidden="false" customHeight="false" outlineLevel="0" collapsed="false">
      <c r="A697" s="48" t="s">
        <v>1401</v>
      </c>
      <c r="B697" s="48" t="s">
        <v>1402</v>
      </c>
      <c r="C697" s="48" t="s">
        <v>173</v>
      </c>
      <c r="D697" s="48" t="s">
        <v>193</v>
      </c>
      <c r="E697" s="48"/>
      <c r="F697" s="48" t="s">
        <v>227</v>
      </c>
      <c r="G697" s="49" t="n">
        <v>51.81</v>
      </c>
      <c r="H697" s="50" t="n">
        <f aca="false">MAX(0,IF(AND(Parameter!$B$21="Ja",ISNUMBER(Y697)),Y697,IF(Parameter!$B$20="Jahresanfang 2025 + Export",BR697+BQ697,BQ697)))</f>
        <v>7</v>
      </c>
      <c r="I697" s="50" t="n">
        <f aca="false">H697*G697</f>
        <v>362.67</v>
      </c>
      <c r="J697" s="50" t="n">
        <f aca="false">BT697*Parameter!$B$18</f>
        <v>1</v>
      </c>
      <c r="K697" s="51" t="n">
        <v>7</v>
      </c>
      <c r="L697" s="52" t="n">
        <v>0.142857142857143</v>
      </c>
      <c r="M697" s="50" t="n">
        <v>0</v>
      </c>
      <c r="N697" s="50" t="n">
        <v>1</v>
      </c>
      <c r="O697" s="53" t="n">
        <v>42</v>
      </c>
      <c r="P697" s="48" t="s">
        <v>430</v>
      </c>
      <c r="Q697" s="50" t="n">
        <v>4</v>
      </c>
      <c r="R697" s="53" t="n">
        <f aca="false">IF(BZ697=1,0,IFERROR(VLOOKUP(BX697,'Gebinde-Kategorie'!$A$5:$N$45,13,0)+0,0))</f>
        <v>104</v>
      </c>
      <c r="S697" s="54"/>
      <c r="T697" s="55"/>
      <c r="U697" s="55"/>
      <c r="V697" s="55"/>
      <c r="W697" s="48"/>
      <c r="X697" s="50"/>
      <c r="Y697" s="50"/>
      <c r="Z697" s="48" t="n">
        <f aca="false">IF(A697="","",IF(AND(Parameter!$B$21="Ja",ISNUMBER(W697)),W697,IF(CC697="2+3",IF(ISNUMBER(SEARCH("grosser Artikel",BU697)),2,IFERROR(VLOOKUP(BX697,Parameter!$F$35:$G$64,2,0),2)),IF(OR(CC697="Nein",CC697=""),"-",CC697))))</f>
        <v>3</v>
      </c>
      <c r="AA697" s="55"/>
      <c r="AB697" s="56"/>
      <c r="AC697" s="50" t="n">
        <f aca="false">AV697</f>
        <v>1</v>
      </c>
      <c r="AD697" s="50" t="n">
        <f aca="false">MAX(AV697,H697)</f>
        <v>7</v>
      </c>
      <c r="AE697" s="57"/>
      <c r="AF697" s="50" t="n">
        <f aca="false">IF(LEFT(Cockpit!$C$5,1)="A",H697,IF(Parameter!$E$30="MAX-Bestand",IF(CH697=1,CI697,IF(LEFT(Cockpit!$C$5,1)="B",AL697,MAX(AL697,H697))),ROUNDUP(AJ697,0)))</f>
        <v>7</v>
      </c>
      <c r="AG697" s="50" t="n">
        <f aca="false">IF(BZ697=1,0,ROUNDUP(AF697/BY697,0))</f>
        <v>2</v>
      </c>
      <c r="AH697" s="52" t="n">
        <f aca="false">IF(CQ697&gt;0,CQ697*MAX(1,AF697/X697),IF(BZ697=1,IF(AF697&lt;=0,0,CD697*MAX(1,IF(H697&gt;0,AF697/H697,1))),IF(R697&gt;0,AG697/R697,0))/MAX(0.1,N(Parameter!$M$21)))</f>
        <v>0.0192307692307692</v>
      </c>
      <c r="AI697" s="50" t="n">
        <f aca="false">AH697*CB697</f>
        <v>2.98076923076923</v>
      </c>
      <c r="AJ697" s="51" t="n">
        <f aca="false">IF(LEFT(Cockpit!$C$5,1)="A",H697,IF(CH697=1,(CK697+CI697)/2,IF(LEFT(Cockpit!$C$5,1)="B",(CK697+AL697)/2,MAX((CK697+AL697)/2,H697))))</f>
        <v>7</v>
      </c>
      <c r="AK697" s="50" t="n">
        <f aca="false">AJ697*G697</f>
        <v>362.67</v>
      </c>
      <c r="AL697" s="50" t="n">
        <f aca="false">ROUNDUP(CK697+MAX(CL697,2*(J697/IF(CG697&gt;0,CG697,MAX(0.1,N(Cockpit!$C$6)))-CK697)),0)</f>
        <v>1</v>
      </c>
      <c r="AM697" s="51" t="n">
        <f aca="false">IF(AI697&gt;0,J697/AI697,-1)</f>
        <v>0.335483870967742</v>
      </c>
      <c r="AN697" s="51" t="n">
        <f aca="false">IF(AND(OR(CF697="L1",CF697="L23",CF697="LIFT"),AI697&gt;0),SUMIFS($AI$7:$AI$1843,$CF$7:$CF$1843,CF697,$AM$7:$AM$1843,"&gt;"&amp;AM697)+SUMIFS($AI$7:$AI$1843,$CF$7:$CF$1843,CF697,$AM$7:$AM$1843,AM697,$BW$7:$BW$1843,"&lt;="&amp;BW697),"")</f>
        <v>11189.000116409</v>
      </c>
      <c r="AO697" s="58" t="n">
        <f aca="false">IF(AN697="",0,MAX(0,MIN(1,(IF(CF697="L1",Parameter!$H$5,IF(CF697="L23",Parameter!$H$6+Parameter!$H$7,Parameter!$H$5+Parameter!$H$6+Parameter!$H$7))-(AN697-AI697))/AI697)))</f>
        <v>1</v>
      </c>
      <c r="AP697" s="50" t="n">
        <f aca="false">IF(LEFT(Cockpit!$I$5,1)="A",H697,IF(Parameter!$E$30="MAX-Bestand",IF(CH697=1,CI697,IF(LEFT(Cockpit!$I$5,1)="B",AV697,MAX(AV697,H697))),ROUNDUP(AT697,0)))</f>
        <v>7</v>
      </c>
      <c r="AQ697" s="50" t="n">
        <f aca="false">IF(BZ697=1,0,ROUNDUP(AP697/BY697,0))</f>
        <v>2</v>
      </c>
      <c r="AR697" s="52" t="n">
        <f aca="false">IF(CQ697&gt;0,CQ697*MAX(1,AP697/X697),IF(BZ697=1,IF(AP697&lt;=0,0,CD697*MAX(1,IF(H697&gt;0,AP697/H697,1))),IF(R697&gt;0,AQ697/R697,0))/MAX(0.1,N(Parameter!$M$21)))</f>
        <v>0.0192307692307692</v>
      </c>
      <c r="AS697" s="50" t="n">
        <f aca="false">AR697*CB697</f>
        <v>2.98076923076923</v>
      </c>
      <c r="AT697" s="51" t="n">
        <f aca="false">IF(LEFT(Cockpit!$I$5,1)="A",H697,IF(CH697=1,(CK697+CI697)/2,IF(LEFT(Cockpit!$I$5,1)="B",(CK697+AV697)/2,MAX((CK697+AV697)/2,H697))))</f>
        <v>7</v>
      </c>
      <c r="AU697" s="50" t="n">
        <f aca="false">AT697*G697</f>
        <v>362.67</v>
      </c>
      <c r="AV697" s="50" t="n">
        <f aca="false">ROUNDUP(CK697+MAX(CL697,2*(J697/IF(CG697&gt;0,CG697,MAX(0.1,N(Cockpit!$I$6)))-CK697)),0)</f>
        <v>1</v>
      </c>
      <c r="AW697" s="51" t="n">
        <f aca="false">IF(AS697&gt;0,J697/AS697,-1)</f>
        <v>0.335483870967742</v>
      </c>
      <c r="AX697" s="51" t="n">
        <f aca="false">IF(AND(OR(CF697="L1",CF697="L23",CF697="LIFT"),AS697&gt;0),SUMIFS($AS$7:$AS$1843,$CF$7:$CF$1843,CF697,$AW$7:$AW$1843,"&gt;"&amp;AW697)+SUMIFS($AS$7:$AS$1843,$CF$7:$CF$1843,CF697,$AW$7:$AW$1843,AW697,$BW$7:$BW$1843,"&lt;="&amp;BW697),"")</f>
        <v>13723.1378205128</v>
      </c>
      <c r="AY697" s="58" t="n">
        <f aca="false">IF(AX697="",0,MAX(0,MIN(1,(IF(CF697="L1",Parameter!$H$5,IF(CF697="L23",Parameter!$H$6+Parameter!$H$7,Parameter!$H$5+Parameter!$H$6+Parameter!$H$7))-(AX697-AS697))/AS697)))</f>
        <v>1</v>
      </c>
      <c r="AZ697" s="50" t="n">
        <f aca="false">IF(LEFT(Cockpit!$O$5,1)="A",H697,IF(Parameter!$E$30="MAX-Bestand",IF(CH697=1,CI697,IF(LEFT(Cockpit!$O$5,1)="B",BF697,MAX(BF697,H697))),ROUNDUP(BD697,0)))</f>
        <v>1</v>
      </c>
      <c r="BA697" s="50" t="n">
        <f aca="false">IF(BZ697=1,0,ROUNDUP(AZ697/BY697,0))</f>
        <v>1</v>
      </c>
      <c r="BB697" s="52" t="n">
        <f aca="false">IF(CQ697&gt;0,CQ697*MAX(1,AZ697/X697),IF(BZ697=1,IF(AZ697&lt;=0,0,CD697*MAX(1,IF(H697&gt;0,AZ697/H697,1))),IF(R697&gt;0,BA697/R697,0))/MAX(0.1,N(Parameter!$M$21)))</f>
        <v>0.00961538461538462</v>
      </c>
      <c r="BC697" s="50" t="n">
        <f aca="false">BB697*CB697</f>
        <v>1.49038461538462</v>
      </c>
      <c r="BD697" s="51" t="n">
        <f aca="false">IF(LEFT(Cockpit!$O$5,1)="A",H697,IF(CH697=1,(CK697+CI697)/2,IF(LEFT(Cockpit!$O$5,1)="B",(CK697+BF697)/2,MAX((CK697+BF697)/2,H697))))</f>
        <v>0.5</v>
      </c>
      <c r="BE697" s="50" t="n">
        <f aca="false">BD697*G697</f>
        <v>25.905</v>
      </c>
      <c r="BF697" s="50" t="n">
        <f aca="false">ROUNDUP(CK697+MAX(CL697,2*(J697/IF(CG697&gt;0,CG697,MAX(0.1,N(Cockpit!$O$6)))-CK697)),0)</f>
        <v>1</v>
      </c>
      <c r="BG697" s="51" t="n">
        <f aca="false">IF(BC697&gt;0,J697/BC697,-1)</f>
        <v>0.670967741935484</v>
      </c>
      <c r="BH697" s="51" t="n">
        <f aca="false">IF(AND(OR(CF697="L1",CF697="L23",CF697="LIFT"),BC697&gt;0),SUMIFS($BC$7:$BC$1843,$CF$7:$CF$1843,CF697,$BG$7:$BG$1843,"&gt;"&amp;BG697)+SUMIFS($BC$7:$BC$1843,$CF$7:$CF$1843,CF697,$BG$7:$BG$1843,BG697,$BW$7:$BW$1843,"&lt;="&amp;BW697),"")</f>
        <v>9516.93315018315</v>
      </c>
      <c r="BI697" s="58" t="n">
        <f aca="false">IF(BH697="",0,MAX(0,MIN(1,(IF(CF697="L1",Parameter!$H$5,IF(CF697="L23",Parameter!$H$6+Parameter!$H$7,Parameter!$H$5+Parameter!$H$6+Parameter!$H$7))-(BH697-BC697))/BC697)))</f>
        <v>1</v>
      </c>
      <c r="BJ697" s="48" t="str">
        <f aca="false">IF(AI697&lt;=0,"",IF(CF697="Aussen","Aussenlager",IF(CF697="-","Nicht im Lift",IF(AO697&gt;=1,"Lift",IF(AO697&lt;=0,"Aussenlager","teilweise")))))</f>
        <v>Lift</v>
      </c>
      <c r="BK697" s="48" t="str">
        <f aca="false">IF(AS697&lt;=0,"",IF(CF697="Aussen","Aussenlager",IF(CF697="-","Nicht im Lift",IF(AY697&gt;=1,"Lift",IF(AY697&lt;=0,"Aussenlager","teilweise")))))</f>
        <v>Lift</v>
      </c>
      <c r="BL697" s="48" t="str">
        <f aca="false">IF(BC697&lt;=0,"",IF(CF697="Aussen","Aussenlager",IF(CF697="-","Nicht im Lift",IF(BI697&gt;=1,"Lift",IF(BI697&lt;=0,"Aussenlager","teilweise")))))</f>
        <v>Lift</v>
      </c>
      <c r="BM697" s="48" t="str">
        <f aca="false">IF(A697="","",IF(BV697=1,"Neu; ","")&amp;IF(AND(BV697=0,BQ697&lt;0),"negativer Bestand (Export "&amp;BQ697&amp;"); ","")&amp;IF(J697&lt;=0,"Kein Verbrauch; ","")&amp;IF(CQ697&gt;0,"Lift "&amp;W697&amp;" lt. Liftbericht (Fach "&amp;X697&amp;" Stk); ",IF(CA697=1,"Gebinde geschätzt ("&amp;T697&amp;"); ",IF(BZ697=1,"Lose – Tablare geschätzt; ","")))&amp;IF(H697&gt;AV697,"Überbestand "&amp;ROUND(H697-AV697,0)&amp;" Stk / CHF "&amp;ROUND((H697-AV697)*G697,0)&amp;"; ","")&amp;IF(AND(CH697=1,CI697&lt;CJ697),"MAX &lt; MB+LG; ","")&amp;IF(AND(CP697&gt;0,CO697*10&gt;CP697),"zu hoch für Tablar; ","")&amp;IF(AND(BV697=0,OR(CH697=1,AA697&lt;&gt;"",U697&lt;&gt;"",V697&lt;&gt;"",AB697&lt;&gt;"")),"manuell übersteuert; ","")&amp;IF(AND(BZ697=0,R697=0),"Gebinde unbekannt / Stellmass fehlt; ","")&amp;IF(AND(BZ697=0,N(V697)&lt;=0,N(Q697)&lt;=0),"Menge pro Gebinde fehlt (Ist = 1 Gebinde); ","")&amp;BU697)</f>
        <v>Überbestand 6 Stk / CHF 311; </v>
      </c>
      <c r="BN697" s="48"/>
      <c r="BO697" s="48"/>
      <c r="BP697" s="55"/>
      <c r="BQ697" s="50" t="n">
        <v>0</v>
      </c>
      <c r="BR697" s="50" t="n">
        <v>7</v>
      </c>
      <c r="BS697" s="49" t="n">
        <v>0</v>
      </c>
      <c r="BT697" s="50" t="n">
        <v>1</v>
      </c>
      <c r="BU697" s="48"/>
      <c r="BV697" s="53" t="n">
        <v>0</v>
      </c>
      <c r="BW697" s="53" t="n">
        <v>697</v>
      </c>
      <c r="BX697" s="48" t="str">
        <f aca="false">IF(U697&lt;&gt;"",UPPER(TRIM(U697)),IF(CA697=1,UPPER(VLOOKUP(T697,Parameter!$I$27:$K$29,2,0)),IF(P697="","LOSE",P697)))</f>
        <v>S32</v>
      </c>
      <c r="BY697" s="50" t="n">
        <f aca="false">IF(BX697="LOSE",1,IF(N(V697)&gt;0,V697,IF(CA697=1,MAX(1,N(VLOOKUP(T697,Parameter!$I$27:$K$29,3,0)),H697,N(N697)),IF(N(Q697)&gt;0,Q697,MAX(1,H697)))))</f>
        <v>4</v>
      </c>
      <c r="BZ697" s="53" t="n">
        <f aca="false">IF(BX697="LOSE",1,0)</f>
        <v>0</v>
      </c>
      <c r="CA697" s="53" t="n">
        <f aca="false">IF(AND(U697="",OR(P697="",P697="LOSE"),T697&lt;&gt;"",N(S697)&lt;=0,ISNUMBER(MATCH(T697,Parameter!$I$27:$I$29,0))),1,0)</f>
        <v>0</v>
      </c>
      <c r="CB697" s="53" t="n">
        <f aca="false">IF(CQ697&gt;0,INDEX(Parameter!$H$5:$H$7,W697)/INDEX(Parameter!$E$5:$E$7,W697),IF(AND(BZ697=0,N(IFERROR(VLOOKUP(BX697,'Gebinde-Kategorie'!$A$5:$N$45,14,0),0))&gt;0),VLOOKUP(BX697,'Gebinde-Kategorie'!$A$5:$N$45,14,0)*10+Parameter!$M$23,Parameter!$M$24))</f>
        <v>155</v>
      </c>
      <c r="CC697" s="48" t="str">
        <f aca="false">IF(AND(Parameter!$B$19="Ja",E697&lt;&gt;"",ISNUMBER(MATCH(E697,Parameter!$I$35:$I$52,0))),VLOOKUP(E697,Parameter!$I$35:$J$52,2,0),IFERROR(VLOOKUP(D697,Parameter!$A$35:$C$64,2,0),"Nein"))</f>
        <v>2+3</v>
      </c>
      <c r="CD697" s="52" t="n">
        <f aca="false">IF(BZ697=0,0,IF(N(S697)&gt;0,S697,IFERROR(VLOOKUP(D697,Parameter!$A$35:$C$64,3,0)+0,0)))</f>
        <v>0</v>
      </c>
      <c r="CE697" s="48" t="n">
        <f aca="false">IF(AA697&lt;&gt;"",AA697,Z697)</f>
        <v>3</v>
      </c>
      <c r="CF697" s="48" t="str">
        <f aca="false">IF(OR(CE697=1,CE697=2,CE697=3),IF(Parameter!$E$27="Ja","LIFT",IF(CE697=1,"L1","L23")),IF(CE697="Aussen","Aussen","-"))</f>
        <v>LIFT</v>
      </c>
      <c r="CG697" s="59" t="n">
        <f aca="false">IF(N(AB697)&gt;0,AB697,0)</f>
        <v>0</v>
      </c>
      <c r="CH697" s="53" t="n">
        <f aca="false">IF(ISNUMBER(AE697),1,0)</f>
        <v>0</v>
      </c>
      <c r="CI697" s="50" t="n">
        <f aca="false">N(AE697)</f>
        <v>0</v>
      </c>
      <c r="CJ697" s="50" t="n">
        <f aca="false">N(M697)+N(N697)</f>
        <v>1</v>
      </c>
      <c r="CK697" s="50" t="n">
        <f aca="false">N(M697)</f>
        <v>0</v>
      </c>
      <c r="CL697" s="50" t="n">
        <f aca="false">N(N697)</f>
        <v>1</v>
      </c>
      <c r="CM697" s="50" t="n">
        <f aca="false">ROUNDUP(H697/BY697,0)</f>
        <v>2</v>
      </c>
      <c r="CN697" s="50" t="n">
        <f aca="false">ROUNDUP(CI697/BY697,0)</f>
        <v>0</v>
      </c>
      <c r="CO697" s="53" t="n">
        <f aca="false">IF(BZ697=1,0,IFERROR(VLOOKUP(BX697,'Gebinde-Kategorie'!$A$5:$N$45,5,0)+0,0))</f>
        <v>8</v>
      </c>
      <c r="CP697" s="53" t="n">
        <f aca="false">IFERROR(IF(OR(CE697=1,CE697=2,CE697=3),N(INDEX(Parameter!$I$5:$I$7,CE697)),0),0)</f>
        <v>0</v>
      </c>
      <c r="CQ697" s="52" t="n">
        <f aca="false">IF(AND(Parameter!$B$21="Ja",ISNUMBER(W697),N(X697)&gt;0),IFERROR(N(INDEX(Parameter!$L$5:$L$7,W697))*INDEX(Parameter!$E$5:$E$7,W697)*X697/SUMIFS($X$7:$X$1843,$W$7:$W$1843,W697),0),0)</f>
        <v>0</v>
      </c>
    </row>
    <row r="698" customFormat="false" ht="15" hidden="false" customHeight="false" outlineLevel="0" collapsed="false">
      <c r="A698" s="48" t="s">
        <v>1403</v>
      </c>
      <c r="B698" s="48" t="s">
        <v>1404</v>
      </c>
      <c r="C698" s="48" t="s">
        <v>173</v>
      </c>
      <c r="D698" s="48" t="s">
        <v>182</v>
      </c>
      <c r="E698" s="48"/>
      <c r="F698" s="48" t="s">
        <v>227</v>
      </c>
      <c r="G698" s="49" t="n">
        <v>544.15</v>
      </c>
      <c r="H698" s="50" t="n">
        <f aca="false">MAX(0,IF(AND(Parameter!$B$21="Ja",ISNUMBER(Y698)),Y698,IF(Parameter!$B$20="Jahresanfang 2025 + Export",BR698+BQ698,BQ698)))</f>
        <v>0</v>
      </c>
      <c r="I698" s="50" t="n">
        <f aca="false">H698*G698</f>
        <v>0</v>
      </c>
      <c r="J698" s="50" t="n">
        <f aca="false">BT698*Parameter!$B$18</f>
        <v>1</v>
      </c>
      <c r="K698" s="51" t="n">
        <v>0</v>
      </c>
      <c r="L698" s="52" t="n">
        <v>0</v>
      </c>
      <c r="M698" s="50" t="n">
        <v>0</v>
      </c>
      <c r="N698" s="50" t="n">
        <v>1</v>
      </c>
      <c r="O698" s="53" t="n">
        <v>21</v>
      </c>
      <c r="P698" s="48" t="s">
        <v>177</v>
      </c>
      <c r="Q698" s="50"/>
      <c r="R698" s="53" t="n">
        <f aca="false">IF(BZ698=1,0,IFERROR(VLOOKUP(BX698,'Gebinde-Kategorie'!$A$5:$N$45,13,0)+0,0))</f>
        <v>4</v>
      </c>
      <c r="S698" s="54"/>
      <c r="T698" s="55" t="s">
        <v>198</v>
      </c>
      <c r="U698" s="55"/>
      <c r="V698" s="55"/>
      <c r="W698" s="48"/>
      <c r="X698" s="50"/>
      <c r="Y698" s="50"/>
      <c r="Z698" s="48" t="n">
        <f aca="false">IF(A698="","",IF(AND(Parameter!$B$21="Ja",ISNUMBER(W698)),W698,IF(CC698="2+3",IF(ISNUMBER(SEARCH("grosser Artikel",BU698)),2,IFERROR(VLOOKUP(BX698,Parameter!$F$35:$G$64,2,0),2)),IF(OR(CC698="Nein",CC698=""),"-",CC698))))</f>
        <v>2</v>
      </c>
      <c r="AA698" s="55"/>
      <c r="AB698" s="56"/>
      <c r="AC698" s="50" t="n">
        <f aca="false">AV698</f>
        <v>1</v>
      </c>
      <c r="AD698" s="50" t="n">
        <f aca="false">MAX(AV698,H698)</f>
        <v>1</v>
      </c>
      <c r="AE698" s="57"/>
      <c r="AF698" s="50" t="n">
        <f aca="false">IF(LEFT(Cockpit!$C$5,1)="A",H698,IF(Parameter!$E$30="MAX-Bestand",IF(CH698=1,CI698,IF(LEFT(Cockpit!$C$5,1)="B",AL698,MAX(AL698,H698))),ROUNDUP(AJ698,0)))</f>
        <v>0</v>
      </c>
      <c r="AG698" s="50" t="n">
        <f aca="false">IF(BZ698=1,0,ROUNDUP(AF698/BY698,0))</f>
        <v>0</v>
      </c>
      <c r="AH698" s="52" t="n">
        <f aca="false">IF(CQ698&gt;0,CQ698*MAX(1,AF698/X698),IF(BZ698=1,IF(AF698&lt;=0,0,CD698*MAX(1,IF(H698&gt;0,AF698/H698,1))),IF(R698&gt;0,AG698/R698,0))/MAX(0.1,N(Parameter!$M$21)))</f>
        <v>0</v>
      </c>
      <c r="AI698" s="50" t="n">
        <f aca="false">AH698*CB698</f>
        <v>0</v>
      </c>
      <c r="AJ698" s="51" t="n">
        <f aca="false">IF(LEFT(Cockpit!$C$5,1)="A",H698,IF(CH698=1,(CK698+CI698)/2,IF(LEFT(Cockpit!$C$5,1)="B",(CK698+AL698)/2,MAX((CK698+AL698)/2,H698))))</f>
        <v>0</v>
      </c>
      <c r="AK698" s="50" t="n">
        <f aca="false">AJ698*G698</f>
        <v>0</v>
      </c>
      <c r="AL698" s="50" t="n">
        <f aca="false">ROUNDUP(CK698+MAX(CL698,2*(J698/IF(CG698&gt;0,CG698,MAX(0.1,N(Cockpit!$C$6)))-CK698)),0)</f>
        <v>1</v>
      </c>
      <c r="AM698" s="51" t="n">
        <f aca="false">IF(AI698&gt;0,J698/AI698,-1)</f>
        <v>-1</v>
      </c>
      <c r="AN698" s="51" t="str">
        <f aca="false">IF(AND(OR(CF698="L1",CF698="L23",CF698="LIFT"),AI698&gt;0),SUMIFS($AI$7:$AI$1843,$CF$7:$CF$1843,CF698,$AM$7:$AM$1843,"&gt;"&amp;AM698)+SUMIFS($AI$7:$AI$1843,$CF$7:$CF$1843,CF698,$AM$7:$AM$1843,AM698,$BW$7:$BW$1843,"&lt;="&amp;BW698),"")</f>
        <v/>
      </c>
      <c r="AO698" s="58" t="n">
        <f aca="false">IF(AN698="",0,MAX(0,MIN(1,(IF(CF698="L1",Parameter!$H$5,IF(CF698="L23",Parameter!$H$6+Parameter!$H$7,Parameter!$H$5+Parameter!$H$6+Parameter!$H$7))-(AN698-AI698))/AI698)))</f>
        <v>0</v>
      </c>
      <c r="AP698" s="50" t="n">
        <f aca="false">IF(LEFT(Cockpit!$I$5,1)="A",H698,IF(Parameter!$E$30="MAX-Bestand",IF(CH698=1,CI698,IF(LEFT(Cockpit!$I$5,1)="B",AV698,MAX(AV698,H698))),ROUNDUP(AT698,0)))</f>
        <v>1</v>
      </c>
      <c r="AQ698" s="50" t="n">
        <f aca="false">IF(BZ698=1,0,ROUNDUP(AP698/BY698,0))</f>
        <v>1</v>
      </c>
      <c r="AR698" s="52" t="n">
        <f aca="false">IF(CQ698&gt;0,CQ698*MAX(1,AP698/X698),IF(BZ698=1,IF(AP698&lt;=0,0,CD698*MAX(1,IF(H698&gt;0,AP698/H698,1))),IF(R698&gt;0,AQ698/R698,0))/MAX(0.1,N(Parameter!$M$21)))</f>
        <v>0.25</v>
      </c>
      <c r="AS698" s="50" t="n">
        <f aca="false">AR698*CB698</f>
        <v>58.75</v>
      </c>
      <c r="AT698" s="51" t="n">
        <f aca="false">IF(LEFT(Cockpit!$I$5,1)="A",H698,IF(CH698=1,(CK698+CI698)/2,IF(LEFT(Cockpit!$I$5,1)="B",(CK698+AV698)/2,MAX((CK698+AV698)/2,H698))))</f>
        <v>0.5</v>
      </c>
      <c r="AU698" s="50" t="n">
        <f aca="false">AT698*G698</f>
        <v>272.075</v>
      </c>
      <c r="AV698" s="50" t="n">
        <f aca="false">ROUNDUP(CK698+MAX(CL698,2*(J698/IF(CG698&gt;0,CG698,MAX(0.1,N(Cockpit!$I$6)))-CK698)),0)</f>
        <v>1</v>
      </c>
      <c r="AW698" s="51" t="n">
        <f aca="false">IF(AS698&gt;0,J698/AS698,-1)</f>
        <v>0.0170212765957447</v>
      </c>
      <c r="AX698" s="51" t="n">
        <f aca="false">IF(AND(OR(CF698="L1",CF698="L23",CF698="LIFT"),AS698&gt;0),SUMIFS($AS$7:$AS$1843,$CF$7:$CF$1843,CF698,$AW$7:$AW$1843,"&gt;"&amp;AW698)+SUMIFS($AS$7:$AS$1843,$CF$7:$CF$1843,CF698,$AW$7:$AW$1843,AW698,$BW$7:$BW$1843,"&lt;="&amp;BW698),"")</f>
        <v>28940.3195272242</v>
      </c>
      <c r="AY698" s="58" t="n">
        <f aca="false">IF(AX698="",0,MAX(0,MIN(1,(IF(CF698="L1",Parameter!$H$5,IF(CF698="L23",Parameter!$H$6+Parameter!$H$7,Parameter!$H$5+Parameter!$H$6+Parameter!$H$7))-(AX698-AS698))/AS698)))</f>
        <v>1</v>
      </c>
      <c r="AZ698" s="50" t="n">
        <f aca="false">IF(LEFT(Cockpit!$O$5,1)="A",H698,IF(Parameter!$E$30="MAX-Bestand",IF(CH698=1,CI698,IF(LEFT(Cockpit!$O$5,1)="B",BF698,MAX(BF698,H698))),ROUNDUP(BD698,0)))</f>
        <v>1</v>
      </c>
      <c r="BA698" s="50" t="n">
        <f aca="false">IF(BZ698=1,0,ROUNDUP(AZ698/BY698,0))</f>
        <v>1</v>
      </c>
      <c r="BB698" s="52" t="n">
        <f aca="false">IF(CQ698&gt;0,CQ698*MAX(1,AZ698/X698),IF(BZ698=1,IF(AZ698&lt;=0,0,CD698*MAX(1,IF(H698&gt;0,AZ698/H698,1))),IF(R698&gt;0,BA698/R698,0))/MAX(0.1,N(Parameter!$M$21)))</f>
        <v>0.25</v>
      </c>
      <c r="BC698" s="50" t="n">
        <f aca="false">BB698*CB698</f>
        <v>58.75</v>
      </c>
      <c r="BD698" s="51" t="n">
        <f aca="false">IF(LEFT(Cockpit!$O$5,1)="A",H698,IF(CH698=1,(CK698+CI698)/2,IF(LEFT(Cockpit!$O$5,1)="B",(CK698+BF698)/2,MAX((CK698+BF698)/2,H698))))</f>
        <v>0.5</v>
      </c>
      <c r="BE698" s="50" t="n">
        <f aca="false">BD698*G698</f>
        <v>272.075</v>
      </c>
      <c r="BF698" s="50" t="n">
        <f aca="false">ROUNDUP(CK698+MAX(CL698,2*(J698/IF(CG698&gt;0,CG698,MAX(0.1,N(Cockpit!$O$6)))-CK698)),0)</f>
        <v>1</v>
      </c>
      <c r="BG698" s="51" t="n">
        <f aca="false">IF(BC698&gt;0,J698/BC698,-1)</f>
        <v>0.0170212765957447</v>
      </c>
      <c r="BH698" s="51" t="n">
        <f aca="false">IF(AND(OR(CF698="L1",CF698="L23",CF698="LIFT"),BC698&gt;0),SUMIFS($BC$7:$BC$1843,$CF$7:$CF$1843,CF698,$BG$7:$BG$1843,"&gt;"&amp;BG698)+SUMIFS($BC$7:$BC$1843,$CF$7:$CF$1843,CF698,$BG$7:$BG$1843,BG698,$BW$7:$BW$1843,"&lt;="&amp;BW698),"")</f>
        <v>24486.0680371888</v>
      </c>
      <c r="BI698" s="58" t="n">
        <f aca="false">IF(BH698="",0,MAX(0,MIN(1,(IF(CF698="L1",Parameter!$H$5,IF(CF698="L23",Parameter!$H$6+Parameter!$H$7,Parameter!$H$5+Parameter!$H$6+Parameter!$H$7))-(BH698-BC698))/BC698)))</f>
        <v>1</v>
      </c>
      <c r="BJ698" s="48" t="str">
        <f aca="false">IF(AI698&lt;=0,"",IF(CF698="Aussen","Aussenlager",IF(CF698="-","Nicht im Lift",IF(AO698&gt;=1,"Lift",IF(AO698&lt;=0,"Aussenlager","teilweise")))))</f>
        <v/>
      </c>
      <c r="BK698" s="48" t="str">
        <f aca="false">IF(AS698&lt;=0,"",IF(CF698="Aussen","Aussenlager",IF(CF698="-","Nicht im Lift",IF(AY698&gt;=1,"Lift",IF(AY698&lt;=0,"Aussenlager","teilweise")))))</f>
        <v>Lift</v>
      </c>
      <c r="BL698" s="48" t="str">
        <f aca="false">IF(BC698&lt;=0,"",IF(CF698="Aussen","Aussenlager",IF(CF698="-","Nicht im Lift",IF(BI698&gt;=1,"Lift",IF(BI698&lt;=0,"Aussenlager","teilweise")))))</f>
        <v>Lift</v>
      </c>
      <c r="BM698" s="48" t="str">
        <f aca="false">IF(A698="","",IF(BV698=1,"Neu; ","")&amp;IF(AND(BV698=0,BQ698&lt;0),"negativer Bestand (Export "&amp;BQ698&amp;"); ","")&amp;IF(J698&lt;=0,"Kein Verbrauch; ","")&amp;IF(CQ698&gt;0,"Lift "&amp;W698&amp;" lt. Liftbericht (Fach "&amp;X698&amp;" Stk); ",IF(CA698=1,"Gebinde geschätzt ("&amp;T698&amp;"); ",IF(BZ698=1,"Lose – Tablare geschätzt; ","")))&amp;IF(H698&gt;AV698,"Überbestand "&amp;ROUND(H698-AV698,0)&amp;" Stk / CHF "&amp;ROUND((H698-AV698)*G698,0)&amp;"; ","")&amp;IF(AND(CH698=1,CI698&lt;CJ698),"MAX &lt; MB+LG; ","")&amp;IF(AND(CP698&gt;0,CO698*10&gt;CP698),"zu hoch für Tablar; ","")&amp;IF(AND(BV698=0,OR(CH698=1,AA698&lt;&gt;"",U698&lt;&gt;"",V698&lt;&gt;"",AB698&lt;&gt;"")),"manuell übersteuert; ","")&amp;IF(AND(BZ698=0,R698=0),"Gebinde unbekannt / Stellmass fehlt; ","")&amp;IF(AND(BZ698=0,N(V698)&lt;=0,N(Q698)&lt;=0),"Menge pro Gebinde fehlt (Ist = 1 Gebinde); ","")&amp;BU698)</f>
        <v>Gebinde geschätzt (Gross); Menge pro Gebinde fehlt (Ist = 1 Gebinde); </v>
      </c>
      <c r="BN698" s="48"/>
      <c r="BO698" s="48"/>
      <c r="BP698" s="55"/>
      <c r="BQ698" s="50" t="n">
        <v>0</v>
      </c>
      <c r="BR698" s="50" t="n">
        <v>0</v>
      </c>
      <c r="BS698" s="49" t="n">
        <v>0</v>
      </c>
      <c r="BT698" s="50" t="n">
        <v>1</v>
      </c>
      <c r="BU698" s="48"/>
      <c r="BV698" s="53" t="n">
        <v>0</v>
      </c>
      <c r="BW698" s="53" t="n">
        <v>698</v>
      </c>
      <c r="BX698" s="48" t="str">
        <f aca="false">IF(U698&lt;&gt;"",UPPER(TRIM(U698)),IF(CA698=1,UPPER(VLOOKUP(T698,Parameter!$I$27:$K$29,2,0)),IF(P698="","LOSE",P698)))</f>
        <v>S81</v>
      </c>
      <c r="BY698" s="50" t="n">
        <f aca="false">IF(BX698="LOSE",1,IF(N(V698)&gt;0,V698,IF(CA698=1,MAX(1,N(VLOOKUP(T698,Parameter!$I$27:$K$29,3,0)),H698,N(N698)),IF(N(Q698)&gt;0,Q698,MAX(1,H698)))))</f>
        <v>2</v>
      </c>
      <c r="BZ698" s="53" t="n">
        <f aca="false">IF(BX698="LOSE",1,0)</f>
        <v>0</v>
      </c>
      <c r="CA698" s="53" t="n">
        <f aca="false">IF(AND(U698="",OR(P698="",P698="LOSE"),T698&lt;&gt;"",N(S698)&lt;=0,ISNUMBER(MATCH(T698,Parameter!$I$27:$I$29,0))),1,0)</f>
        <v>1</v>
      </c>
      <c r="CB698" s="53" t="n">
        <f aca="false">IF(CQ698&gt;0,INDEX(Parameter!$H$5:$H$7,W698)/INDEX(Parameter!$E$5:$E$7,W698),IF(AND(BZ698=0,N(IFERROR(VLOOKUP(BX698,'Gebinde-Kategorie'!$A$5:$N$45,14,0),0))&gt;0),VLOOKUP(BX698,'Gebinde-Kategorie'!$A$5:$N$45,14,0)*10+Parameter!$M$23,Parameter!$M$24))</f>
        <v>235</v>
      </c>
      <c r="CC698" s="48" t="str">
        <f aca="false">IF(AND(Parameter!$B$19="Ja",E698&lt;&gt;"",ISNUMBER(MATCH(E698,Parameter!$I$35:$I$52,0))),VLOOKUP(E698,Parameter!$I$35:$J$52,2,0),IFERROR(VLOOKUP(D698,Parameter!$A$35:$C$64,2,0),"Nein"))</f>
        <v>2+3</v>
      </c>
      <c r="CD698" s="52" t="n">
        <f aca="false">IF(BZ698=0,0,IF(N(S698)&gt;0,S698,IFERROR(VLOOKUP(D698,Parameter!$A$35:$C$64,3,0)+0,0)))</f>
        <v>0</v>
      </c>
      <c r="CE698" s="48" t="n">
        <f aca="false">IF(AA698&lt;&gt;"",AA698,Z698)</f>
        <v>2</v>
      </c>
      <c r="CF698" s="48" t="str">
        <f aca="false">IF(OR(CE698=1,CE698=2,CE698=3),IF(Parameter!$E$27="Ja","LIFT",IF(CE698=1,"L1","L23")),IF(CE698="Aussen","Aussen","-"))</f>
        <v>LIFT</v>
      </c>
      <c r="CG698" s="59" t="n">
        <f aca="false">IF(N(AB698)&gt;0,AB698,0)</f>
        <v>0</v>
      </c>
      <c r="CH698" s="53" t="n">
        <f aca="false">IF(ISNUMBER(AE698),1,0)</f>
        <v>0</v>
      </c>
      <c r="CI698" s="50" t="n">
        <f aca="false">N(AE698)</f>
        <v>0</v>
      </c>
      <c r="CJ698" s="50" t="n">
        <f aca="false">N(M698)+N(N698)</f>
        <v>1</v>
      </c>
      <c r="CK698" s="50" t="n">
        <f aca="false">N(M698)</f>
        <v>0</v>
      </c>
      <c r="CL698" s="50" t="n">
        <f aca="false">N(N698)</f>
        <v>1</v>
      </c>
      <c r="CM698" s="50" t="n">
        <f aca="false">ROUNDUP(H698/BY698,0)</f>
        <v>0</v>
      </c>
      <c r="CN698" s="50" t="n">
        <f aca="false">ROUNDUP(CI698/BY698,0)</f>
        <v>0</v>
      </c>
      <c r="CO698" s="53" t="n">
        <f aca="false">IF(BZ698=1,0,IFERROR(VLOOKUP(BX698,'Gebinde-Kategorie'!$A$5:$N$45,5,0)+0,0))</f>
        <v>20</v>
      </c>
      <c r="CP698" s="53" t="n">
        <f aca="false">IFERROR(IF(OR(CE698=1,CE698=2,CE698=3),N(INDEX(Parameter!$I$5:$I$7,CE698)),0),0)</f>
        <v>0</v>
      </c>
      <c r="CQ698" s="52" t="n">
        <f aca="false">IF(AND(Parameter!$B$21="Ja",ISNUMBER(W698),N(X698)&gt;0),IFERROR(N(INDEX(Parameter!$L$5:$L$7,W698))*INDEX(Parameter!$E$5:$E$7,W698)*X698/SUMIFS($X$7:$X$1843,$W$7:$W$1843,W698),0),0)</f>
        <v>0</v>
      </c>
    </row>
    <row r="699" customFormat="false" ht="15" hidden="false" customHeight="false" outlineLevel="0" collapsed="false">
      <c r="A699" s="48" t="s">
        <v>1405</v>
      </c>
      <c r="B699" s="48" t="s">
        <v>1406</v>
      </c>
      <c r="C699" s="48" t="s">
        <v>173</v>
      </c>
      <c r="D699" s="48" t="s">
        <v>1004</v>
      </c>
      <c r="E699" s="48"/>
      <c r="F699" s="48" t="s">
        <v>227</v>
      </c>
      <c r="G699" s="49" t="n">
        <v>1635.8</v>
      </c>
      <c r="H699" s="50" t="n">
        <f aca="false">MAX(0,IF(AND(Parameter!$B$21="Ja",ISNUMBER(Y699)),Y699,IF(Parameter!$B$20="Jahresanfang 2025 + Export",BR699+BQ699,BQ699)))</f>
        <v>0</v>
      </c>
      <c r="I699" s="50" t="n">
        <f aca="false">H699*G699</f>
        <v>0</v>
      </c>
      <c r="J699" s="50" t="n">
        <f aca="false">BT699*Parameter!$B$18</f>
        <v>0</v>
      </c>
      <c r="K699" s="51" t="n">
        <v>0.5</v>
      </c>
      <c r="L699" s="52" t="n">
        <v>0</v>
      </c>
      <c r="M699" s="50" t="n">
        <v>0</v>
      </c>
      <c r="N699" s="50" t="n">
        <v>1</v>
      </c>
      <c r="O699" s="53" t="n">
        <v>7</v>
      </c>
      <c r="P699" s="48" t="s">
        <v>177</v>
      </c>
      <c r="Q699" s="50"/>
      <c r="R699" s="53" t="n">
        <f aca="false">IF(BZ699=1,0,IFERROR(VLOOKUP(BX699,'Gebinde-Kategorie'!$A$5:$N$45,13,0)+0,0))</f>
        <v>0</v>
      </c>
      <c r="S699" s="54"/>
      <c r="T699" s="55"/>
      <c r="U699" s="55"/>
      <c r="V699" s="55"/>
      <c r="W699" s="48"/>
      <c r="X699" s="50"/>
      <c r="Y699" s="50"/>
      <c r="Z699" s="48" t="str">
        <f aca="false">IF(A699="","",IF(AND(Parameter!$B$21="Ja",ISNUMBER(W699)),W699,IF(CC699="2+3",IF(ISNUMBER(SEARCH("grosser Artikel",BU699)),2,IFERROR(VLOOKUP(BX699,Parameter!$F$35:$G$64,2,0),2)),IF(OR(CC699="Nein",CC699=""),"-",CC699))))</f>
        <v>-</v>
      </c>
      <c r="AA699" s="55"/>
      <c r="AB699" s="56"/>
      <c r="AC699" s="50" t="n">
        <f aca="false">AV699</f>
        <v>1</v>
      </c>
      <c r="AD699" s="50" t="n">
        <f aca="false">MAX(AV699,H699)</f>
        <v>1</v>
      </c>
      <c r="AE699" s="57"/>
      <c r="AF699" s="50" t="n">
        <f aca="false">IF(LEFT(Cockpit!$C$5,1)="A",H699,IF(Parameter!$E$30="MAX-Bestand",IF(CH699=1,CI699,IF(LEFT(Cockpit!$C$5,1)="B",AL699,MAX(AL699,H699))),ROUNDUP(AJ699,0)))</f>
        <v>0</v>
      </c>
      <c r="AG699" s="50" t="n">
        <f aca="false">IF(BZ699=1,0,ROUNDUP(AF699/BY699,0))</f>
        <v>0</v>
      </c>
      <c r="AH699" s="52" t="n">
        <f aca="false">IF(CQ699&gt;0,CQ699*MAX(1,AF699/X699),IF(BZ699=1,IF(AF699&lt;=0,0,CD699*MAX(1,IF(H699&gt;0,AF699/H699,1))),IF(R699&gt;0,AG699/R699,0))/MAX(0.1,N(Parameter!$M$21)))</f>
        <v>0</v>
      </c>
      <c r="AI699" s="50" t="n">
        <f aca="false">AH699*CB699</f>
        <v>0</v>
      </c>
      <c r="AJ699" s="51" t="n">
        <f aca="false">IF(LEFT(Cockpit!$C$5,1)="A",H699,IF(CH699=1,(CK699+CI699)/2,IF(LEFT(Cockpit!$C$5,1)="B",(CK699+AL699)/2,MAX((CK699+AL699)/2,H699))))</f>
        <v>0</v>
      </c>
      <c r="AK699" s="50" t="n">
        <f aca="false">AJ699*G699</f>
        <v>0</v>
      </c>
      <c r="AL699" s="50" t="n">
        <f aca="false">ROUNDUP(CK699+MAX(CL699,2*(J699/IF(CG699&gt;0,CG699,MAX(0.1,N(Cockpit!$C$6)))-CK699)),0)</f>
        <v>1</v>
      </c>
      <c r="AM699" s="51" t="n">
        <f aca="false">IF(AI699&gt;0,J699/AI699,-1)</f>
        <v>-1</v>
      </c>
      <c r="AN699" s="51" t="str">
        <f aca="false">IF(AND(OR(CF699="L1",CF699="L23",CF699="LIFT"),AI699&gt;0),SUMIFS($AI$7:$AI$1843,$CF$7:$CF$1843,CF699,$AM$7:$AM$1843,"&gt;"&amp;AM699)+SUMIFS($AI$7:$AI$1843,$CF$7:$CF$1843,CF699,$AM$7:$AM$1843,AM699,$BW$7:$BW$1843,"&lt;="&amp;BW699),"")</f>
        <v/>
      </c>
      <c r="AO699" s="58" t="n">
        <f aca="false">IF(AN699="",0,MAX(0,MIN(1,(IF(CF699="L1",Parameter!$H$5,IF(CF699="L23",Parameter!$H$6+Parameter!$H$7,Parameter!$H$5+Parameter!$H$6+Parameter!$H$7))-(AN699-AI699))/AI699)))</f>
        <v>0</v>
      </c>
      <c r="AP699" s="50" t="n">
        <f aca="false">IF(LEFT(Cockpit!$I$5,1)="A",H699,IF(Parameter!$E$30="MAX-Bestand",IF(CH699=1,CI699,IF(LEFT(Cockpit!$I$5,1)="B",AV699,MAX(AV699,H699))),ROUNDUP(AT699,0)))</f>
        <v>1</v>
      </c>
      <c r="AQ699" s="50" t="n">
        <f aca="false">IF(BZ699=1,0,ROUNDUP(AP699/BY699,0))</f>
        <v>0</v>
      </c>
      <c r="AR699" s="52" t="n">
        <f aca="false">IF(CQ699&gt;0,CQ699*MAX(1,AP699/X699),IF(BZ699=1,IF(AP699&lt;=0,0,CD699*MAX(1,IF(H699&gt;0,AP699/H699,1))),IF(R699&gt;0,AQ699/R699,0))/MAX(0.1,N(Parameter!$M$21)))</f>
        <v>0.15</v>
      </c>
      <c r="AS699" s="50" t="n">
        <f aca="false">AR699*CB699</f>
        <v>35.25</v>
      </c>
      <c r="AT699" s="51" t="n">
        <f aca="false">IF(LEFT(Cockpit!$I$5,1)="A",H699,IF(CH699=1,(CK699+CI699)/2,IF(LEFT(Cockpit!$I$5,1)="B",(CK699+AV699)/2,MAX((CK699+AV699)/2,H699))))</f>
        <v>0.5</v>
      </c>
      <c r="AU699" s="50" t="n">
        <f aca="false">AT699*G699</f>
        <v>817.9</v>
      </c>
      <c r="AV699" s="50" t="n">
        <f aca="false">ROUNDUP(CK699+MAX(CL699,2*(J699/IF(CG699&gt;0,CG699,MAX(0.1,N(Cockpit!$I$6)))-CK699)),0)</f>
        <v>1</v>
      </c>
      <c r="AW699" s="51" t="n">
        <f aca="false">IF(AS699&gt;0,J699/AS699,-1)</f>
        <v>0</v>
      </c>
      <c r="AX699" s="51" t="str">
        <f aca="false">IF(AND(OR(CF699="L1",CF699="L23",CF699="LIFT"),AS699&gt;0),SUMIFS($AS$7:$AS$1843,$CF$7:$CF$1843,CF699,$AW$7:$AW$1843,"&gt;"&amp;AW699)+SUMIFS($AS$7:$AS$1843,$CF$7:$CF$1843,CF699,$AW$7:$AW$1843,AW699,$BW$7:$BW$1843,"&lt;="&amp;BW699),"")</f>
        <v/>
      </c>
      <c r="AY699" s="58" t="n">
        <f aca="false">IF(AX699="",0,MAX(0,MIN(1,(IF(CF699="L1",Parameter!$H$5,IF(CF699="L23",Parameter!$H$6+Parameter!$H$7,Parameter!$H$5+Parameter!$H$6+Parameter!$H$7))-(AX699-AS699))/AS699)))</f>
        <v>0</v>
      </c>
      <c r="AZ699" s="50" t="n">
        <f aca="false">IF(LEFT(Cockpit!$O$5,1)="A",H699,IF(Parameter!$E$30="MAX-Bestand",IF(CH699=1,CI699,IF(LEFT(Cockpit!$O$5,1)="B",BF699,MAX(BF699,H699))),ROUNDUP(BD699,0)))</f>
        <v>1</v>
      </c>
      <c r="BA699" s="50" t="n">
        <f aca="false">IF(BZ699=1,0,ROUNDUP(AZ699/BY699,0))</f>
        <v>0</v>
      </c>
      <c r="BB699" s="52" t="n">
        <f aca="false">IF(CQ699&gt;0,CQ699*MAX(1,AZ699/X699),IF(BZ699=1,IF(AZ699&lt;=0,0,CD699*MAX(1,IF(H699&gt;0,AZ699/H699,1))),IF(R699&gt;0,BA699/R699,0))/MAX(0.1,N(Parameter!$M$21)))</f>
        <v>0.15</v>
      </c>
      <c r="BC699" s="50" t="n">
        <f aca="false">BB699*CB699</f>
        <v>35.25</v>
      </c>
      <c r="BD699" s="51" t="n">
        <f aca="false">IF(LEFT(Cockpit!$O$5,1)="A",H699,IF(CH699=1,(CK699+CI699)/2,IF(LEFT(Cockpit!$O$5,1)="B",(CK699+BF699)/2,MAX((CK699+BF699)/2,H699))))</f>
        <v>0.5</v>
      </c>
      <c r="BE699" s="50" t="n">
        <f aca="false">BD699*G699</f>
        <v>817.9</v>
      </c>
      <c r="BF699" s="50" t="n">
        <f aca="false">ROUNDUP(CK699+MAX(CL699,2*(J699/IF(CG699&gt;0,CG699,MAX(0.1,N(Cockpit!$O$6)))-CK699)),0)</f>
        <v>1</v>
      </c>
      <c r="BG699" s="51" t="n">
        <f aca="false">IF(BC699&gt;0,J699/BC699,-1)</f>
        <v>0</v>
      </c>
      <c r="BH699" s="51" t="str">
        <f aca="false">IF(AND(OR(CF699="L1",CF699="L23",CF699="LIFT"),BC699&gt;0),SUMIFS($BC$7:$BC$1843,$CF$7:$CF$1843,CF699,$BG$7:$BG$1843,"&gt;"&amp;BG699)+SUMIFS($BC$7:$BC$1843,$CF$7:$CF$1843,CF699,$BG$7:$BG$1843,BG699,$BW$7:$BW$1843,"&lt;="&amp;BW699),"")</f>
        <v/>
      </c>
      <c r="BI699" s="58" t="n">
        <f aca="false">IF(BH699="",0,MAX(0,MIN(1,(IF(CF699="L1",Parameter!$H$5,IF(CF699="L23",Parameter!$H$6+Parameter!$H$7,Parameter!$H$5+Parameter!$H$6+Parameter!$H$7))-(BH699-BC699))/BC699)))</f>
        <v>0</v>
      </c>
      <c r="BJ699" s="48" t="str">
        <f aca="false">IF(AI699&lt;=0,"",IF(CF699="Aussen","Aussenlager",IF(CF699="-","Nicht im Lift",IF(AO699&gt;=1,"Lift",IF(AO699&lt;=0,"Aussenlager","teilweise")))))</f>
        <v/>
      </c>
      <c r="BK699" s="48" t="str">
        <f aca="false">IF(AS699&lt;=0,"",IF(CF699="Aussen","Aussenlager",IF(CF699="-","Nicht im Lift",IF(AY699&gt;=1,"Lift",IF(AY699&lt;=0,"Aussenlager","teilweise")))))</f>
        <v>Nicht im Lift</v>
      </c>
      <c r="BL699" s="48" t="str">
        <f aca="false">IF(BC699&lt;=0,"",IF(CF699="Aussen","Aussenlager",IF(CF699="-","Nicht im Lift",IF(BI699&gt;=1,"Lift",IF(BI699&lt;=0,"Aussenlager","teilweise")))))</f>
        <v>Nicht im Lift</v>
      </c>
      <c r="BM699" s="48" t="str">
        <f aca="false">IF(A699="","",IF(BV699=1,"Neu; ","")&amp;IF(AND(BV699=0,BQ699&lt;0),"negativer Bestand (Export "&amp;BQ699&amp;"); ","")&amp;IF(J699&lt;=0,"Kein Verbrauch; ","")&amp;IF(CQ699&gt;0,"Lift "&amp;W699&amp;" lt. Liftbericht (Fach "&amp;X699&amp;" Stk); ",IF(CA699=1,"Gebinde geschätzt ("&amp;T699&amp;"); ",IF(BZ699=1,"Lose – Tablare geschätzt; ","")))&amp;IF(H699&gt;AV699,"Überbestand "&amp;ROUND(H699-AV699,0)&amp;" Stk / CHF "&amp;ROUND((H699-AV699)*G699,0)&amp;"; ","")&amp;IF(AND(CH699=1,CI699&lt;CJ699),"MAX &lt; MB+LG; ","")&amp;IF(AND(CP699&gt;0,CO699*10&gt;CP699),"zu hoch für Tablar; ","")&amp;IF(AND(BV699=0,OR(CH699=1,AA699&lt;&gt;"",U699&lt;&gt;"",V699&lt;&gt;"",AB699&lt;&gt;"")),"manuell übersteuert; ","")&amp;IF(AND(BZ699=0,R699=0),"Gebinde unbekannt / Stellmass fehlt; ","")&amp;IF(AND(BZ699=0,N(V699)&lt;=0,N(Q699)&lt;=0),"Menge pro Gebinde fehlt (Ist = 1 Gebinde); ","")&amp;BU699)</f>
        <v>Kein Verbrauch; Lose – Tablare geschätzt; </v>
      </c>
      <c r="BN699" s="48"/>
      <c r="BO699" s="48"/>
      <c r="BP699" s="55"/>
      <c r="BQ699" s="50" t="n">
        <v>0</v>
      </c>
      <c r="BR699" s="50" t="n">
        <v>0</v>
      </c>
      <c r="BS699" s="49" t="n">
        <v>0</v>
      </c>
      <c r="BT699" s="50" t="n">
        <v>0</v>
      </c>
      <c r="BU699" s="48"/>
      <c r="BV699" s="53" t="n">
        <v>0</v>
      </c>
      <c r="BW699" s="53" t="n">
        <v>699</v>
      </c>
      <c r="BX699" s="48" t="str">
        <f aca="false">IF(U699&lt;&gt;"",UPPER(TRIM(U699)),IF(CA699=1,UPPER(VLOOKUP(T699,Parameter!$I$27:$K$29,2,0)),IF(P699="","LOSE",P699)))</f>
        <v>LOSE</v>
      </c>
      <c r="BY699" s="50" t="n">
        <f aca="false">IF(BX699="LOSE",1,IF(N(V699)&gt;0,V699,IF(CA699=1,MAX(1,N(VLOOKUP(T699,Parameter!$I$27:$K$29,3,0)),H699,N(N699)),IF(N(Q699)&gt;0,Q699,MAX(1,H699)))))</f>
        <v>1</v>
      </c>
      <c r="BZ699" s="53" t="n">
        <f aca="false">IF(BX699="LOSE",1,0)</f>
        <v>1</v>
      </c>
      <c r="CA699" s="53" t="n">
        <f aca="false">IF(AND(U699="",OR(P699="",P699="LOSE"),T699&lt;&gt;"",N(S699)&lt;=0,ISNUMBER(MATCH(T699,Parameter!$I$27:$I$29,0))),1,0)</f>
        <v>0</v>
      </c>
      <c r="CB699" s="53" t="n">
        <f aca="false">IF(CQ699&gt;0,INDEX(Parameter!$H$5:$H$7,W699)/INDEX(Parameter!$E$5:$E$7,W699),IF(AND(BZ699=0,N(IFERROR(VLOOKUP(BX699,'Gebinde-Kategorie'!$A$5:$N$45,14,0),0))&gt;0),VLOOKUP(BX699,'Gebinde-Kategorie'!$A$5:$N$45,14,0)*10+Parameter!$M$23,Parameter!$M$24))</f>
        <v>235</v>
      </c>
      <c r="CC699" s="48" t="str">
        <f aca="false">IF(AND(Parameter!$B$19="Ja",E699&lt;&gt;"",ISNUMBER(MATCH(E699,Parameter!$I$35:$I$52,0))),VLOOKUP(E699,Parameter!$I$35:$J$52,2,0),IFERROR(VLOOKUP(D699,Parameter!$A$35:$C$64,2,0),"Nein"))</f>
        <v>Nein</v>
      </c>
      <c r="CD699" s="52" t="n">
        <f aca="false">IF(BZ699=0,0,IF(N(S699)&gt;0,S699,IFERROR(VLOOKUP(D699,Parameter!$A$35:$C$64,3,0)+0,0)))</f>
        <v>0.15</v>
      </c>
      <c r="CE699" s="48" t="str">
        <f aca="false">IF(AA699&lt;&gt;"",AA699,Z699)</f>
        <v>-</v>
      </c>
      <c r="CF699" s="48" t="str">
        <f aca="false">IF(OR(CE699=1,CE699=2,CE699=3),IF(Parameter!$E$27="Ja","LIFT",IF(CE699=1,"L1","L23")),IF(CE699="Aussen","Aussen","-"))</f>
        <v>-</v>
      </c>
      <c r="CG699" s="59" t="n">
        <f aca="false">IF(N(AB699)&gt;0,AB699,0)</f>
        <v>0</v>
      </c>
      <c r="CH699" s="53" t="n">
        <f aca="false">IF(ISNUMBER(AE699),1,0)</f>
        <v>0</v>
      </c>
      <c r="CI699" s="50" t="n">
        <f aca="false">N(AE699)</f>
        <v>0</v>
      </c>
      <c r="CJ699" s="50" t="n">
        <f aca="false">N(M699)+N(N699)</f>
        <v>1</v>
      </c>
      <c r="CK699" s="50" t="n">
        <f aca="false">N(M699)</f>
        <v>0</v>
      </c>
      <c r="CL699" s="50" t="n">
        <f aca="false">N(N699)</f>
        <v>1</v>
      </c>
      <c r="CM699" s="50" t="n">
        <f aca="false">ROUNDUP(H699/BY699,0)</f>
        <v>0</v>
      </c>
      <c r="CN699" s="50" t="n">
        <f aca="false">ROUNDUP(CI699/BY699,0)</f>
        <v>0</v>
      </c>
      <c r="CO699" s="53" t="n">
        <f aca="false">IF(BZ699=1,0,IFERROR(VLOOKUP(BX699,'Gebinde-Kategorie'!$A$5:$N$45,5,0)+0,0))</f>
        <v>0</v>
      </c>
      <c r="CP699" s="53" t="n">
        <f aca="false">IFERROR(IF(OR(CE699=1,CE699=2,CE699=3),N(INDEX(Parameter!$I$5:$I$7,CE699)),0),0)</f>
        <v>0</v>
      </c>
      <c r="CQ699" s="52" t="n">
        <f aca="false">IF(AND(Parameter!$B$21="Ja",ISNUMBER(W699),N(X699)&gt;0),IFERROR(N(INDEX(Parameter!$L$5:$L$7,W699))*INDEX(Parameter!$E$5:$E$7,W699)*X699/SUMIFS($X$7:$X$1843,$W$7:$W$1843,W699),0),0)</f>
        <v>0</v>
      </c>
    </row>
    <row r="700" customFormat="false" ht="15" hidden="false" customHeight="false" outlineLevel="0" collapsed="false">
      <c r="A700" s="48" t="s">
        <v>1407</v>
      </c>
      <c r="B700" s="48" t="s">
        <v>1408</v>
      </c>
      <c r="C700" s="48" t="s">
        <v>173</v>
      </c>
      <c r="D700" s="48" t="s">
        <v>193</v>
      </c>
      <c r="E700" s="48"/>
      <c r="F700" s="48" t="s">
        <v>227</v>
      </c>
      <c r="G700" s="49" t="n">
        <v>956</v>
      </c>
      <c r="H700" s="50" t="n">
        <f aca="false">MAX(0,IF(AND(Parameter!$B$21="Ja",ISNUMBER(Y700)),Y700,IF(Parameter!$B$20="Jahresanfang 2025 + Export",BR700+BQ700,BQ700)))</f>
        <v>0</v>
      </c>
      <c r="I700" s="50" t="n">
        <f aca="false">H700*G700</f>
        <v>0</v>
      </c>
      <c r="J700" s="50" t="n">
        <f aca="false">BT700*Parameter!$B$18</f>
        <v>1</v>
      </c>
      <c r="K700" s="51" t="n">
        <v>0</v>
      </c>
      <c r="L700" s="52" t="n">
        <v>0</v>
      </c>
      <c r="M700" s="50" t="n">
        <v>0</v>
      </c>
      <c r="N700" s="50" t="n">
        <v>1</v>
      </c>
      <c r="O700" s="53" t="n">
        <v>100</v>
      </c>
      <c r="P700" s="48" t="s">
        <v>177</v>
      </c>
      <c r="Q700" s="50"/>
      <c r="R700" s="53" t="n">
        <f aca="false">IF(BZ700=1,0,IFERROR(VLOOKUP(BX700,'Gebinde-Kategorie'!$A$5:$N$45,13,0)+0,0))</f>
        <v>26</v>
      </c>
      <c r="S700" s="54"/>
      <c r="T700" s="55" t="s">
        <v>284</v>
      </c>
      <c r="U700" s="55"/>
      <c r="V700" s="55"/>
      <c r="W700" s="48"/>
      <c r="X700" s="50"/>
      <c r="Y700" s="50"/>
      <c r="Z700" s="48" t="n">
        <f aca="false">IF(A700="","",IF(AND(Parameter!$B$21="Ja",ISNUMBER(W700)),W700,IF(CC700="2+3",IF(ISNUMBER(SEARCH("grosser Artikel",BU700)),2,IFERROR(VLOOKUP(BX700,Parameter!$F$35:$G$64,2,0),2)),IF(OR(CC700="Nein",CC700=""),"-",CC700))))</f>
        <v>3</v>
      </c>
      <c r="AA700" s="55"/>
      <c r="AB700" s="56"/>
      <c r="AC700" s="50" t="n">
        <f aca="false">AV700</f>
        <v>1</v>
      </c>
      <c r="AD700" s="50" t="n">
        <f aca="false">MAX(AV700,H700)</f>
        <v>1</v>
      </c>
      <c r="AE700" s="57"/>
      <c r="AF700" s="50" t="n">
        <f aca="false">IF(LEFT(Cockpit!$C$5,1)="A",H700,IF(Parameter!$E$30="MAX-Bestand",IF(CH700=1,CI700,IF(LEFT(Cockpit!$C$5,1)="B",AL700,MAX(AL700,H700))),ROUNDUP(AJ700,0)))</f>
        <v>0</v>
      </c>
      <c r="AG700" s="50" t="n">
        <f aca="false">IF(BZ700=1,0,ROUNDUP(AF700/BY700,0))</f>
        <v>0</v>
      </c>
      <c r="AH700" s="52" t="n">
        <f aca="false">IF(CQ700&gt;0,CQ700*MAX(1,AF700/X700),IF(BZ700=1,IF(AF700&lt;=0,0,CD700*MAX(1,IF(H700&gt;0,AF700/H700,1))),IF(R700&gt;0,AG700/R700,0))/MAX(0.1,N(Parameter!$M$21)))</f>
        <v>0</v>
      </c>
      <c r="AI700" s="50" t="n">
        <f aca="false">AH700*CB700</f>
        <v>0</v>
      </c>
      <c r="AJ700" s="51" t="n">
        <f aca="false">IF(LEFT(Cockpit!$C$5,1)="A",H700,IF(CH700=1,(CK700+CI700)/2,IF(LEFT(Cockpit!$C$5,1)="B",(CK700+AL700)/2,MAX((CK700+AL700)/2,H700))))</f>
        <v>0</v>
      </c>
      <c r="AK700" s="50" t="n">
        <f aca="false">AJ700*G700</f>
        <v>0</v>
      </c>
      <c r="AL700" s="50" t="n">
        <f aca="false">ROUNDUP(CK700+MAX(CL700,2*(J700/IF(CG700&gt;0,CG700,MAX(0.1,N(Cockpit!$C$6)))-CK700)),0)</f>
        <v>1</v>
      </c>
      <c r="AM700" s="51" t="n">
        <f aca="false">IF(AI700&gt;0,J700/AI700,-1)</f>
        <v>-1</v>
      </c>
      <c r="AN700" s="51" t="str">
        <f aca="false">IF(AND(OR(CF700="L1",CF700="L23",CF700="LIFT"),AI700&gt;0),SUMIFS($AI$7:$AI$1843,$CF$7:$CF$1843,CF700,$AM$7:$AM$1843,"&gt;"&amp;AM700)+SUMIFS($AI$7:$AI$1843,$CF$7:$CF$1843,CF700,$AM$7:$AM$1843,AM700,$BW$7:$BW$1843,"&lt;="&amp;BW700),"")</f>
        <v/>
      </c>
      <c r="AO700" s="58" t="n">
        <f aca="false">IF(AN700="",0,MAX(0,MIN(1,(IF(CF700="L1",Parameter!$H$5,IF(CF700="L23",Parameter!$H$6+Parameter!$H$7,Parameter!$H$5+Parameter!$H$6+Parameter!$H$7))-(AN700-AI700))/AI700)))</f>
        <v>0</v>
      </c>
      <c r="AP700" s="50" t="n">
        <f aca="false">IF(LEFT(Cockpit!$I$5,1)="A",H700,IF(Parameter!$E$30="MAX-Bestand",IF(CH700=1,CI700,IF(LEFT(Cockpit!$I$5,1)="B",AV700,MAX(AV700,H700))),ROUNDUP(AT700,0)))</f>
        <v>1</v>
      </c>
      <c r="AQ700" s="50" t="n">
        <f aca="false">IF(BZ700=1,0,ROUNDUP(AP700/BY700,0))</f>
        <v>1</v>
      </c>
      <c r="AR700" s="52" t="n">
        <f aca="false">IF(CQ700&gt;0,CQ700*MAX(1,AP700/X700),IF(BZ700=1,IF(AP700&lt;=0,0,CD700*MAX(1,IF(H700&gt;0,AP700/H700,1))),IF(R700&gt;0,AQ700/R700,0))/MAX(0.1,N(Parameter!$M$21)))</f>
        <v>0.0384615384615385</v>
      </c>
      <c r="AS700" s="50" t="n">
        <f aca="false">AR700*CB700</f>
        <v>5.96153846153846</v>
      </c>
      <c r="AT700" s="51" t="n">
        <f aca="false">IF(LEFT(Cockpit!$I$5,1)="A",H700,IF(CH700=1,(CK700+CI700)/2,IF(LEFT(Cockpit!$I$5,1)="B",(CK700+AV700)/2,MAX((CK700+AV700)/2,H700))))</f>
        <v>0.5</v>
      </c>
      <c r="AU700" s="50" t="n">
        <f aca="false">AT700*G700</f>
        <v>478</v>
      </c>
      <c r="AV700" s="50" t="n">
        <f aca="false">ROUNDUP(CK700+MAX(CL700,2*(J700/IF(CG700&gt;0,CG700,MAX(0.1,N(Cockpit!$I$6)))-CK700)),0)</f>
        <v>1</v>
      </c>
      <c r="AW700" s="51" t="n">
        <f aca="false">IF(AS700&gt;0,J700/AS700,-1)</f>
        <v>0.167741935483871</v>
      </c>
      <c r="AX700" s="51" t="n">
        <f aca="false">IF(AND(OR(CF700="L1",CF700="L23",CF700="LIFT"),AS700&gt;0),SUMIFS($AS$7:$AS$1843,$CF$7:$CF$1843,CF700,$AW$7:$AW$1843,"&gt;"&amp;AW700)+SUMIFS($AS$7:$AS$1843,$CF$7:$CF$1843,CF700,$AW$7:$AW$1843,AW700,$BW$7:$BW$1843,"&lt;="&amp;BW700),"")</f>
        <v>15632.2605311355</v>
      </c>
      <c r="AY700" s="58" t="n">
        <f aca="false">IF(AX700="",0,MAX(0,MIN(1,(IF(CF700="L1",Parameter!$H$5,IF(CF700="L23",Parameter!$H$6+Parameter!$H$7,Parameter!$H$5+Parameter!$H$6+Parameter!$H$7))-(AX700-AS700))/AS700)))</f>
        <v>1</v>
      </c>
      <c r="AZ700" s="50" t="n">
        <f aca="false">IF(LEFT(Cockpit!$O$5,1)="A",H700,IF(Parameter!$E$30="MAX-Bestand",IF(CH700=1,CI700,IF(LEFT(Cockpit!$O$5,1)="B",BF700,MAX(BF700,H700))),ROUNDUP(BD700,0)))</f>
        <v>1</v>
      </c>
      <c r="BA700" s="50" t="n">
        <f aca="false">IF(BZ700=1,0,ROUNDUP(AZ700/BY700,0))</f>
        <v>1</v>
      </c>
      <c r="BB700" s="52" t="n">
        <f aca="false">IF(CQ700&gt;0,CQ700*MAX(1,AZ700/X700),IF(BZ700=1,IF(AZ700&lt;=0,0,CD700*MAX(1,IF(H700&gt;0,AZ700/H700,1))),IF(R700&gt;0,BA700/R700,0))/MAX(0.1,N(Parameter!$M$21)))</f>
        <v>0.0384615384615385</v>
      </c>
      <c r="BC700" s="50" t="n">
        <f aca="false">BB700*CB700</f>
        <v>5.96153846153846</v>
      </c>
      <c r="BD700" s="51" t="n">
        <f aca="false">IF(LEFT(Cockpit!$O$5,1)="A",H700,IF(CH700=1,(CK700+CI700)/2,IF(LEFT(Cockpit!$O$5,1)="B",(CK700+BF700)/2,MAX((CK700+BF700)/2,H700))))</f>
        <v>0.5</v>
      </c>
      <c r="BE700" s="50" t="n">
        <f aca="false">BD700*G700</f>
        <v>478</v>
      </c>
      <c r="BF700" s="50" t="n">
        <f aca="false">ROUNDUP(CK700+MAX(CL700,2*(J700/IF(CG700&gt;0,CG700,MAX(0.1,N(Cockpit!$O$6)))-CK700)),0)</f>
        <v>1</v>
      </c>
      <c r="BG700" s="51" t="n">
        <f aca="false">IF(BC700&gt;0,J700/BC700,-1)</f>
        <v>0.167741935483871</v>
      </c>
      <c r="BH700" s="51" t="n">
        <f aca="false">IF(AND(OR(CF700="L1",CF700="L23",CF700="LIFT"),BC700&gt;0),SUMIFS($BC$7:$BC$1843,$CF$7:$CF$1843,CF700,$BG$7:$BG$1843,"&gt;"&amp;BG700)+SUMIFS($BC$7:$BC$1843,$CF$7:$CF$1843,CF700,$BG$7:$BG$1843,BG700,$BW$7:$BW$1843,"&lt;="&amp;BW700),"")</f>
        <v>13434.5603593676</v>
      </c>
      <c r="BI700" s="58" t="n">
        <f aca="false">IF(BH700="",0,MAX(0,MIN(1,(IF(CF700="L1",Parameter!$H$5,IF(CF700="L23",Parameter!$H$6+Parameter!$H$7,Parameter!$H$5+Parameter!$H$6+Parameter!$H$7))-(BH700-BC700))/BC700)))</f>
        <v>1</v>
      </c>
      <c r="BJ700" s="48" t="str">
        <f aca="false">IF(AI700&lt;=0,"",IF(CF700="Aussen","Aussenlager",IF(CF700="-","Nicht im Lift",IF(AO700&gt;=1,"Lift",IF(AO700&lt;=0,"Aussenlager","teilweise")))))</f>
        <v/>
      </c>
      <c r="BK700" s="48" t="str">
        <f aca="false">IF(AS700&lt;=0,"",IF(CF700="Aussen","Aussenlager",IF(CF700="-","Nicht im Lift",IF(AY700&gt;=1,"Lift",IF(AY700&lt;=0,"Aussenlager","teilweise")))))</f>
        <v>Lift</v>
      </c>
      <c r="BL700" s="48" t="str">
        <f aca="false">IF(BC700&lt;=0,"",IF(CF700="Aussen","Aussenlager",IF(CF700="-","Nicht im Lift",IF(BI700&gt;=1,"Lift",IF(BI700&lt;=0,"Aussenlager","teilweise")))))</f>
        <v>Lift</v>
      </c>
      <c r="BM700" s="48" t="str">
        <f aca="false">IF(A700="","",IF(BV700=1,"Neu; ","")&amp;IF(AND(BV700=0,BQ700&lt;0),"negativer Bestand (Export "&amp;BQ700&amp;"); ","")&amp;IF(J700&lt;=0,"Kein Verbrauch; ","")&amp;IF(CQ700&gt;0,"Lift "&amp;W700&amp;" lt. Liftbericht (Fach "&amp;X700&amp;" Stk); ",IF(CA700=1,"Gebinde geschätzt ("&amp;T700&amp;"); ",IF(BZ700=1,"Lose – Tablare geschätzt; ","")))&amp;IF(H700&gt;AV700,"Überbestand "&amp;ROUND(H700-AV700,0)&amp;" Stk / CHF "&amp;ROUND((H700-AV700)*G700,0)&amp;"; ","")&amp;IF(AND(CH700=1,CI700&lt;CJ700),"MAX &lt; MB+LG; ","")&amp;IF(AND(CP700&gt;0,CO700*10&gt;CP700),"zu hoch für Tablar; ","")&amp;IF(AND(BV700=0,OR(CH700=1,AA700&lt;&gt;"",U700&lt;&gt;"",V700&lt;&gt;"",AB700&lt;&gt;"")),"manuell übersteuert; ","")&amp;IF(AND(BZ700=0,R700=0),"Gebinde unbekannt / Stellmass fehlt; ","")&amp;IF(AND(BZ700=0,N(V700)&lt;=0,N(Q700)&lt;=0),"Menge pro Gebinde fehlt (Ist = 1 Gebinde); ","")&amp;BU700)</f>
        <v>Gebinde geschätzt (Klein); Menge pro Gebinde fehlt (Ist = 1 Gebinde); </v>
      </c>
      <c r="BN700" s="48"/>
      <c r="BO700" s="48"/>
      <c r="BP700" s="55"/>
      <c r="BQ700" s="50" t="n">
        <v>0</v>
      </c>
      <c r="BR700" s="50" t="n">
        <v>0</v>
      </c>
      <c r="BS700" s="49" t="n">
        <v>0</v>
      </c>
      <c r="BT700" s="50" t="n">
        <v>1</v>
      </c>
      <c r="BU700" s="48"/>
      <c r="BV700" s="53" t="n">
        <v>0</v>
      </c>
      <c r="BW700" s="53" t="n">
        <v>700</v>
      </c>
      <c r="BX700" s="48" t="str">
        <f aca="false">IF(U700&lt;&gt;"",UPPER(TRIM(U700)),IF(CA700=1,UPPER(VLOOKUP(T700,Parameter!$I$27:$K$29,2,0)),IF(P700="","LOSE",P700)))</f>
        <v>S51</v>
      </c>
      <c r="BY700" s="50" t="n">
        <f aca="false">IF(BX700="LOSE",1,IF(N(V700)&gt;0,V700,IF(CA700=1,MAX(1,N(VLOOKUP(T700,Parameter!$I$27:$K$29,3,0)),H700,N(N700)),IF(N(Q700)&gt;0,Q700,MAX(1,H700)))))</f>
        <v>20</v>
      </c>
      <c r="BZ700" s="53" t="n">
        <f aca="false">IF(BX700="LOSE",1,0)</f>
        <v>0</v>
      </c>
      <c r="CA700" s="53" t="n">
        <f aca="false">IF(AND(U700="",OR(P700="",P700="LOSE"),T700&lt;&gt;"",N(S700)&lt;=0,ISNUMBER(MATCH(T700,Parameter!$I$27:$I$29,0))),1,0)</f>
        <v>1</v>
      </c>
      <c r="CB700" s="53" t="n">
        <f aca="false">IF(CQ700&gt;0,INDEX(Parameter!$H$5:$H$7,W700)/INDEX(Parameter!$E$5:$E$7,W700),IF(AND(BZ700=0,N(IFERROR(VLOOKUP(BX700,'Gebinde-Kategorie'!$A$5:$N$45,14,0),0))&gt;0),VLOOKUP(BX700,'Gebinde-Kategorie'!$A$5:$N$45,14,0)*10+Parameter!$M$23,Parameter!$M$24))</f>
        <v>155</v>
      </c>
      <c r="CC700" s="48" t="str">
        <f aca="false">IF(AND(Parameter!$B$19="Ja",E700&lt;&gt;"",ISNUMBER(MATCH(E700,Parameter!$I$35:$I$52,0))),VLOOKUP(E700,Parameter!$I$35:$J$52,2,0),IFERROR(VLOOKUP(D700,Parameter!$A$35:$C$64,2,0),"Nein"))</f>
        <v>2+3</v>
      </c>
      <c r="CD700" s="52" t="n">
        <f aca="false">IF(BZ700=0,0,IF(N(S700)&gt;0,S700,IFERROR(VLOOKUP(D700,Parameter!$A$35:$C$64,3,0)+0,0)))</f>
        <v>0</v>
      </c>
      <c r="CE700" s="48" t="n">
        <f aca="false">IF(AA700&lt;&gt;"",AA700,Z700)</f>
        <v>3</v>
      </c>
      <c r="CF700" s="48" t="str">
        <f aca="false">IF(OR(CE700=1,CE700=2,CE700=3),IF(Parameter!$E$27="Ja","LIFT",IF(CE700=1,"L1","L23")),IF(CE700="Aussen","Aussen","-"))</f>
        <v>LIFT</v>
      </c>
      <c r="CG700" s="59" t="n">
        <f aca="false">IF(N(AB700)&gt;0,AB700,0)</f>
        <v>0</v>
      </c>
      <c r="CH700" s="53" t="n">
        <f aca="false">IF(ISNUMBER(AE700),1,0)</f>
        <v>0</v>
      </c>
      <c r="CI700" s="50" t="n">
        <f aca="false">N(AE700)</f>
        <v>0</v>
      </c>
      <c r="CJ700" s="50" t="n">
        <f aca="false">N(M700)+N(N700)</f>
        <v>1</v>
      </c>
      <c r="CK700" s="50" t="n">
        <f aca="false">N(M700)</f>
        <v>0</v>
      </c>
      <c r="CL700" s="50" t="n">
        <f aca="false">N(N700)</f>
        <v>1</v>
      </c>
      <c r="CM700" s="50" t="n">
        <f aca="false">ROUNDUP(H700/BY700,0)</f>
        <v>0</v>
      </c>
      <c r="CN700" s="50" t="n">
        <f aca="false">ROUNDUP(CI700/BY700,0)</f>
        <v>0</v>
      </c>
      <c r="CO700" s="53" t="n">
        <f aca="false">IF(BZ700=1,0,IFERROR(VLOOKUP(BX700,'Gebinde-Kategorie'!$A$5:$N$45,5,0)+0,0))</f>
        <v>11</v>
      </c>
      <c r="CP700" s="53" t="n">
        <f aca="false">IFERROR(IF(OR(CE700=1,CE700=2,CE700=3),N(INDEX(Parameter!$I$5:$I$7,CE700)),0),0)</f>
        <v>0</v>
      </c>
      <c r="CQ700" s="52" t="n">
        <f aca="false">IF(AND(Parameter!$B$21="Ja",ISNUMBER(W700),N(X700)&gt;0),IFERROR(N(INDEX(Parameter!$L$5:$L$7,W700))*INDEX(Parameter!$E$5:$E$7,W700)*X700/SUMIFS($X$7:$X$1843,$W$7:$W$1843,W700),0),0)</f>
        <v>0</v>
      </c>
    </row>
    <row r="701" customFormat="false" ht="15" hidden="false" customHeight="false" outlineLevel="0" collapsed="false">
      <c r="A701" s="48" t="s">
        <v>1409</v>
      </c>
      <c r="B701" s="48" t="s">
        <v>1410</v>
      </c>
      <c r="C701" s="48" t="s">
        <v>173</v>
      </c>
      <c r="D701" s="48" t="s">
        <v>182</v>
      </c>
      <c r="E701" s="48" t="s">
        <v>194</v>
      </c>
      <c r="F701" s="48" t="s">
        <v>227</v>
      </c>
      <c r="G701" s="49" t="n">
        <v>79.13</v>
      </c>
      <c r="H701" s="50" t="n">
        <f aca="false">MAX(0,IF(AND(Parameter!$B$21="Ja",ISNUMBER(Y701)),Y701,IF(Parameter!$B$20="Jahresanfang 2025 + Export",BR701+BQ701,BQ701)))</f>
        <v>13</v>
      </c>
      <c r="I701" s="50" t="n">
        <f aca="false">H701*G701</f>
        <v>1028.69</v>
      </c>
      <c r="J701" s="50" t="n">
        <f aca="false">BT701*Parameter!$B$18</f>
        <v>1</v>
      </c>
      <c r="K701" s="51" t="n">
        <v>12.5</v>
      </c>
      <c r="L701" s="52" t="n">
        <v>0.08</v>
      </c>
      <c r="M701" s="50" t="n">
        <v>0</v>
      </c>
      <c r="N701" s="50" t="n">
        <v>1</v>
      </c>
      <c r="O701" s="53" t="n">
        <v>14</v>
      </c>
      <c r="P701" s="48" t="s">
        <v>183</v>
      </c>
      <c r="Q701" s="50" t="n">
        <v>4</v>
      </c>
      <c r="R701" s="53" t="n">
        <f aca="false">IF(BZ701=1,0,IFERROR(VLOOKUP(BX701,'Gebinde-Kategorie'!$A$5:$N$45,13,0)+0,0))</f>
        <v>6</v>
      </c>
      <c r="S701" s="54"/>
      <c r="T701" s="55"/>
      <c r="U701" s="55"/>
      <c r="V701" s="55"/>
      <c r="W701" s="48"/>
      <c r="X701" s="50"/>
      <c r="Y701" s="50"/>
      <c r="Z701" s="48" t="n">
        <f aca="false">IF(A701="","",IF(AND(Parameter!$B$21="Ja",ISNUMBER(W701)),W701,IF(CC701="2+3",IF(ISNUMBER(SEARCH("grosser Artikel",BU701)),2,IFERROR(VLOOKUP(BX701,Parameter!$F$35:$G$64,2,0),2)),IF(OR(CC701="Nein",CC701=""),"-",CC701))))</f>
        <v>2</v>
      </c>
      <c r="AA701" s="55"/>
      <c r="AB701" s="56"/>
      <c r="AC701" s="50" t="n">
        <f aca="false">AV701</f>
        <v>1</v>
      </c>
      <c r="AD701" s="50" t="n">
        <f aca="false">MAX(AV701,H701)</f>
        <v>13</v>
      </c>
      <c r="AE701" s="57"/>
      <c r="AF701" s="50" t="n">
        <f aca="false">IF(LEFT(Cockpit!$C$5,1)="A",H701,IF(Parameter!$E$30="MAX-Bestand",IF(CH701=1,CI701,IF(LEFT(Cockpit!$C$5,1)="B",AL701,MAX(AL701,H701))),ROUNDUP(AJ701,0)))</f>
        <v>13</v>
      </c>
      <c r="AG701" s="50" t="n">
        <f aca="false">IF(BZ701=1,0,ROUNDUP(AF701/BY701,0))</f>
        <v>4</v>
      </c>
      <c r="AH701" s="52" t="n">
        <f aca="false">IF(CQ701&gt;0,CQ701*MAX(1,AF701/X701),IF(BZ701=1,IF(AF701&lt;=0,0,CD701*MAX(1,IF(H701&gt;0,AF701/H701,1))),IF(R701&gt;0,AG701/R701,0))/MAX(0.1,N(Parameter!$M$21)))</f>
        <v>0.666666666666667</v>
      </c>
      <c r="AI701" s="50" t="n">
        <f aca="false">AH701*CB701</f>
        <v>156.666666666667</v>
      </c>
      <c r="AJ701" s="51" t="n">
        <f aca="false">IF(LEFT(Cockpit!$C$5,1)="A",H701,IF(CH701=1,(CK701+CI701)/2,IF(LEFT(Cockpit!$C$5,1)="B",(CK701+AL701)/2,MAX((CK701+AL701)/2,H701))))</f>
        <v>13</v>
      </c>
      <c r="AK701" s="50" t="n">
        <f aca="false">AJ701*G701</f>
        <v>1028.69</v>
      </c>
      <c r="AL701" s="50" t="n">
        <f aca="false">ROUNDUP(CK701+MAX(CL701,2*(J701/IF(CG701&gt;0,CG701,MAX(0.1,N(Cockpit!$C$6)))-CK701)),0)</f>
        <v>1</v>
      </c>
      <c r="AM701" s="51" t="n">
        <f aca="false">IF(AI701&gt;0,J701/AI701,-1)</f>
        <v>0.00638297872340426</v>
      </c>
      <c r="AN701" s="51" t="n">
        <f aca="false">IF(AND(OR(CF701="L1",CF701="L23",CF701="LIFT"),AI701&gt;0),SUMIFS($AI$7:$AI$1843,$CF$7:$CF$1843,CF701,$AM$7:$AM$1843,"&gt;"&amp;AM701)+SUMIFS($AI$7:$AI$1843,$CF$7:$CF$1843,CF701,$AM$7:$AM$1843,AM701,$BW$7:$BW$1843,"&lt;="&amp;BW701),"")</f>
        <v>24568.3314319861</v>
      </c>
      <c r="AO701" s="58" t="n">
        <f aca="false">IF(AN701="",0,MAX(0,MIN(1,(IF(CF701="L1",Parameter!$H$5,IF(CF701="L23",Parameter!$H$6+Parameter!$H$7,Parameter!$H$5+Parameter!$H$6+Parameter!$H$7))-(AN701-AI701))/AI701)))</f>
        <v>1</v>
      </c>
      <c r="AP701" s="50" t="n">
        <f aca="false">IF(LEFT(Cockpit!$I$5,1)="A",H701,IF(Parameter!$E$30="MAX-Bestand",IF(CH701=1,CI701,IF(LEFT(Cockpit!$I$5,1)="B",AV701,MAX(AV701,H701))),ROUNDUP(AT701,0)))</f>
        <v>13</v>
      </c>
      <c r="AQ701" s="50" t="n">
        <f aca="false">IF(BZ701=1,0,ROUNDUP(AP701/BY701,0))</f>
        <v>4</v>
      </c>
      <c r="AR701" s="52" t="n">
        <f aca="false">IF(CQ701&gt;0,CQ701*MAX(1,AP701/X701),IF(BZ701=1,IF(AP701&lt;=0,0,CD701*MAX(1,IF(H701&gt;0,AP701/H701,1))),IF(R701&gt;0,AQ701/R701,0))/MAX(0.1,N(Parameter!$M$21)))</f>
        <v>0.666666666666667</v>
      </c>
      <c r="AS701" s="50" t="n">
        <f aca="false">AR701*CB701</f>
        <v>156.666666666667</v>
      </c>
      <c r="AT701" s="51" t="n">
        <f aca="false">IF(LEFT(Cockpit!$I$5,1)="A",H701,IF(CH701=1,(CK701+CI701)/2,IF(LEFT(Cockpit!$I$5,1)="B",(CK701+AV701)/2,MAX((CK701+AV701)/2,H701))))</f>
        <v>13</v>
      </c>
      <c r="AU701" s="50" t="n">
        <f aca="false">AT701*G701</f>
        <v>1028.69</v>
      </c>
      <c r="AV701" s="50" t="n">
        <f aca="false">ROUNDUP(CK701+MAX(CL701,2*(J701/IF(CG701&gt;0,CG701,MAX(0.1,N(Cockpit!$I$6)))-CK701)),0)</f>
        <v>1</v>
      </c>
      <c r="AW701" s="51" t="n">
        <f aca="false">IF(AS701&gt;0,J701/AS701,-1)</f>
        <v>0.00638297872340426</v>
      </c>
      <c r="AX701" s="51" t="n">
        <f aca="false">IF(AND(OR(CF701="L1",CF701="L23",CF701="LIFT"),AS701&gt;0),SUMIFS($AS$7:$AS$1843,$CF$7:$CF$1843,CF701,$AW$7:$AW$1843,"&gt;"&amp;AW701)+SUMIFS($AS$7:$AS$1843,$CF$7:$CF$1843,CF701,$AW$7:$AW$1843,AW701,$BW$7:$BW$1843,"&lt;="&amp;BW701),"")</f>
        <v>29921.4800733636</v>
      </c>
      <c r="AY701" s="58" t="n">
        <f aca="false">IF(AX701="",0,MAX(0,MIN(1,(IF(CF701="L1",Parameter!$H$5,IF(CF701="L23",Parameter!$H$6+Parameter!$H$7,Parameter!$H$5+Parameter!$H$6+Parameter!$H$7))-(AX701-AS701))/AS701)))</f>
        <v>1</v>
      </c>
      <c r="AZ701" s="50" t="n">
        <f aca="false">IF(LEFT(Cockpit!$O$5,1)="A",H701,IF(Parameter!$E$30="MAX-Bestand",IF(CH701=1,CI701,IF(LEFT(Cockpit!$O$5,1)="B",BF701,MAX(BF701,H701))),ROUNDUP(BD701,0)))</f>
        <v>1</v>
      </c>
      <c r="BA701" s="50" t="n">
        <f aca="false">IF(BZ701=1,0,ROUNDUP(AZ701/BY701,0))</f>
        <v>1</v>
      </c>
      <c r="BB701" s="52" t="n">
        <f aca="false">IF(CQ701&gt;0,CQ701*MAX(1,AZ701/X701),IF(BZ701=1,IF(AZ701&lt;=0,0,CD701*MAX(1,IF(H701&gt;0,AZ701/H701,1))),IF(R701&gt;0,BA701/R701,0))/MAX(0.1,N(Parameter!$M$21)))</f>
        <v>0.166666666666667</v>
      </c>
      <c r="BC701" s="50" t="n">
        <f aca="false">BB701*CB701</f>
        <v>39.1666666666667</v>
      </c>
      <c r="BD701" s="51" t="n">
        <f aca="false">IF(LEFT(Cockpit!$O$5,1)="A",H701,IF(CH701=1,(CK701+CI701)/2,IF(LEFT(Cockpit!$O$5,1)="B",(CK701+BF701)/2,MAX((CK701+BF701)/2,H701))))</f>
        <v>0.5</v>
      </c>
      <c r="BE701" s="50" t="n">
        <f aca="false">BD701*G701</f>
        <v>39.565</v>
      </c>
      <c r="BF701" s="50" t="n">
        <f aca="false">ROUNDUP(CK701+MAX(CL701,2*(J701/IF(CG701&gt;0,CG701,MAX(0.1,N(Cockpit!$O$6)))-CK701)),0)</f>
        <v>1</v>
      </c>
      <c r="BG701" s="51" t="n">
        <f aca="false">IF(BC701&gt;0,J701/BC701,-1)</f>
        <v>0.025531914893617</v>
      </c>
      <c r="BH701" s="51" t="n">
        <f aca="false">IF(AND(OR(CF701="L1",CF701="L23",CF701="LIFT"),BC701&gt;0),SUMIFS($BC$7:$BC$1843,$CF$7:$CF$1843,CF701,$BG$7:$BG$1843,"&gt;"&amp;BG701)+SUMIFS($BC$7:$BC$1843,$CF$7:$CF$1843,CF701,$BG$7:$BG$1843,BG701,$BW$7:$BW$1843,"&lt;="&amp;BW701),"")</f>
        <v>22550.3665305975</v>
      </c>
      <c r="BI701" s="58" t="n">
        <f aca="false">IF(BH701="",0,MAX(0,MIN(1,(IF(CF701="L1",Parameter!$H$5,IF(CF701="L23",Parameter!$H$6+Parameter!$H$7,Parameter!$H$5+Parameter!$H$6+Parameter!$H$7))-(BH701-BC701))/BC701)))</f>
        <v>1</v>
      </c>
      <c r="BJ701" s="48" t="str">
        <f aca="false">IF(AI701&lt;=0,"",IF(CF701="Aussen","Aussenlager",IF(CF701="-","Nicht im Lift",IF(AO701&gt;=1,"Lift",IF(AO701&lt;=0,"Aussenlager","teilweise")))))</f>
        <v>Lift</v>
      </c>
      <c r="BK701" s="48" t="str">
        <f aca="false">IF(AS701&lt;=0,"",IF(CF701="Aussen","Aussenlager",IF(CF701="-","Nicht im Lift",IF(AY701&gt;=1,"Lift",IF(AY701&lt;=0,"Aussenlager","teilweise")))))</f>
        <v>Lift</v>
      </c>
      <c r="BL701" s="48" t="str">
        <f aca="false">IF(BC701&lt;=0,"",IF(CF701="Aussen","Aussenlager",IF(CF701="-","Nicht im Lift",IF(BI701&gt;=1,"Lift",IF(BI701&lt;=0,"Aussenlager","teilweise")))))</f>
        <v>Lift</v>
      </c>
      <c r="BM701" s="48" t="str">
        <f aca="false">IF(A701="","",IF(BV701=1,"Neu; ","")&amp;IF(AND(BV701=0,BQ701&lt;0),"negativer Bestand (Export "&amp;BQ701&amp;"); ","")&amp;IF(J701&lt;=0,"Kein Verbrauch; ","")&amp;IF(CQ701&gt;0,"Lift "&amp;W701&amp;" lt. Liftbericht (Fach "&amp;X701&amp;" Stk); ",IF(CA701=1,"Gebinde geschätzt ("&amp;T701&amp;"); ",IF(BZ701=1,"Lose – Tablare geschätzt; ","")))&amp;IF(H701&gt;AV701,"Überbestand "&amp;ROUND(H701-AV701,0)&amp;" Stk / CHF "&amp;ROUND((H701-AV701)*G701,0)&amp;"; ","")&amp;IF(AND(CH701=1,CI701&lt;CJ701),"MAX &lt; MB+LG; ","")&amp;IF(AND(CP701&gt;0,CO701*10&gt;CP701),"zu hoch für Tablar; ","")&amp;IF(AND(BV701=0,OR(CH701=1,AA701&lt;&gt;"",U701&lt;&gt;"",V701&lt;&gt;"",AB701&lt;&gt;"")),"manuell übersteuert; ","")&amp;IF(AND(BZ701=0,R701=0),"Gebinde unbekannt / Stellmass fehlt; ","")&amp;IF(AND(BZ701=0,N(V701)&lt;=0,N(Q701)&lt;=0),"Menge pro Gebinde fehlt (Ist = 1 Gebinde); ","")&amp;BU701)</f>
        <v>Überbestand 12 Stk / CHF 950; grosser Artikel &amp; nicht im KTL</v>
      </c>
      <c r="BN701" s="48"/>
      <c r="BO701" s="48"/>
      <c r="BP701" s="55"/>
      <c r="BQ701" s="50" t="n">
        <v>0</v>
      </c>
      <c r="BR701" s="50" t="n">
        <v>13</v>
      </c>
      <c r="BS701" s="49" t="n">
        <v>0</v>
      </c>
      <c r="BT701" s="50" t="n">
        <v>1</v>
      </c>
      <c r="BU701" s="48" t="s">
        <v>270</v>
      </c>
      <c r="BV701" s="53" t="n">
        <v>0</v>
      </c>
      <c r="BW701" s="53" t="n">
        <v>701</v>
      </c>
      <c r="BX701" s="48" t="str">
        <f aca="false">IF(U701&lt;&gt;"",UPPER(TRIM(U701)),IF(CA701=1,UPPER(VLOOKUP(T701,Parameter!$I$27:$K$29,2,0)),IF(P701="","LOSE",P701)))</f>
        <v>S71</v>
      </c>
      <c r="BY701" s="50" t="n">
        <f aca="false">IF(BX701="LOSE",1,IF(N(V701)&gt;0,V701,IF(CA701=1,MAX(1,N(VLOOKUP(T701,Parameter!$I$27:$K$29,3,0)),H701,N(N701)),IF(N(Q701)&gt;0,Q701,MAX(1,H701)))))</f>
        <v>4</v>
      </c>
      <c r="BZ701" s="53" t="n">
        <f aca="false">IF(BX701="LOSE",1,0)</f>
        <v>0</v>
      </c>
      <c r="CA701" s="53" t="n">
        <f aca="false">IF(AND(U701="",OR(P701="",P701="LOSE"),T701&lt;&gt;"",N(S701)&lt;=0,ISNUMBER(MATCH(T701,Parameter!$I$27:$I$29,0))),1,0)</f>
        <v>0</v>
      </c>
      <c r="CB701" s="53" t="n">
        <f aca="false">IF(CQ701&gt;0,INDEX(Parameter!$H$5:$H$7,W701)/INDEX(Parameter!$E$5:$E$7,W701),IF(AND(BZ701=0,N(IFERROR(VLOOKUP(BX701,'Gebinde-Kategorie'!$A$5:$N$45,14,0),0))&gt;0),VLOOKUP(BX701,'Gebinde-Kategorie'!$A$5:$N$45,14,0)*10+Parameter!$M$23,Parameter!$M$24))</f>
        <v>235</v>
      </c>
      <c r="CC701" s="48" t="str">
        <f aca="false">IF(AND(Parameter!$B$19="Ja",E701&lt;&gt;"",ISNUMBER(MATCH(E701,Parameter!$I$35:$I$52,0))),VLOOKUP(E701,Parameter!$I$35:$J$52,2,0),IFERROR(VLOOKUP(D701,Parameter!$A$35:$C$64,2,0),"Nein"))</f>
        <v>2+3</v>
      </c>
      <c r="CD701" s="52" t="n">
        <f aca="false">IF(BZ701=0,0,IF(N(S701)&gt;0,S701,IFERROR(VLOOKUP(D701,Parameter!$A$35:$C$64,3,0)+0,0)))</f>
        <v>0</v>
      </c>
      <c r="CE701" s="48" t="n">
        <f aca="false">IF(AA701&lt;&gt;"",AA701,Z701)</f>
        <v>2</v>
      </c>
      <c r="CF701" s="48" t="str">
        <f aca="false">IF(OR(CE701=1,CE701=2,CE701=3),IF(Parameter!$E$27="Ja","LIFT",IF(CE701=1,"L1","L23")),IF(CE701="Aussen","Aussen","-"))</f>
        <v>LIFT</v>
      </c>
      <c r="CG701" s="59" t="n">
        <f aca="false">IF(N(AB701)&gt;0,AB701,0)</f>
        <v>0</v>
      </c>
      <c r="CH701" s="53" t="n">
        <f aca="false">IF(ISNUMBER(AE701),1,0)</f>
        <v>0</v>
      </c>
      <c r="CI701" s="50" t="n">
        <f aca="false">N(AE701)</f>
        <v>0</v>
      </c>
      <c r="CJ701" s="50" t="n">
        <f aca="false">N(M701)+N(N701)</f>
        <v>1</v>
      </c>
      <c r="CK701" s="50" t="n">
        <f aca="false">N(M701)</f>
        <v>0</v>
      </c>
      <c r="CL701" s="50" t="n">
        <f aca="false">N(N701)</f>
        <v>1</v>
      </c>
      <c r="CM701" s="50" t="n">
        <f aca="false">ROUNDUP(H701/BY701,0)</f>
        <v>4</v>
      </c>
      <c r="CN701" s="50" t="n">
        <f aca="false">ROUNDUP(CI701/BY701,0)</f>
        <v>0</v>
      </c>
      <c r="CO701" s="53" t="n">
        <f aca="false">IF(BZ701=1,0,IFERROR(VLOOKUP(BX701,'Gebinde-Kategorie'!$A$5:$N$45,5,0)+0,0))</f>
        <v>20</v>
      </c>
      <c r="CP701" s="53" t="n">
        <f aca="false">IFERROR(IF(OR(CE701=1,CE701=2,CE701=3),N(INDEX(Parameter!$I$5:$I$7,CE701)),0),0)</f>
        <v>0</v>
      </c>
      <c r="CQ701" s="52" t="n">
        <f aca="false">IF(AND(Parameter!$B$21="Ja",ISNUMBER(W701),N(X701)&gt;0),IFERROR(N(INDEX(Parameter!$L$5:$L$7,W701))*INDEX(Parameter!$E$5:$E$7,W701)*X701/SUMIFS($X$7:$X$1843,$W$7:$W$1843,W701),0),0)</f>
        <v>0</v>
      </c>
    </row>
    <row r="702" customFormat="false" ht="15" hidden="false" customHeight="false" outlineLevel="0" collapsed="false">
      <c r="A702" s="48" t="s">
        <v>1411</v>
      </c>
      <c r="B702" s="48" t="s">
        <v>1412</v>
      </c>
      <c r="C702" s="48" t="s">
        <v>173</v>
      </c>
      <c r="D702" s="48" t="s">
        <v>193</v>
      </c>
      <c r="E702" s="48"/>
      <c r="F702" s="48" t="s">
        <v>227</v>
      </c>
      <c r="G702" s="49" t="n">
        <v>293</v>
      </c>
      <c r="H702" s="50" t="n">
        <f aca="false">MAX(0,IF(AND(Parameter!$B$21="Ja",ISNUMBER(Y702)),Y702,IF(Parameter!$B$20="Jahresanfang 2025 + Export",BR702+BQ702,BQ702)))</f>
        <v>0</v>
      </c>
      <c r="I702" s="50" t="n">
        <f aca="false">H702*G702</f>
        <v>0</v>
      </c>
      <c r="J702" s="50" t="n">
        <f aca="false">BT702*Parameter!$B$18</f>
        <v>3</v>
      </c>
      <c r="K702" s="51" t="n">
        <v>0</v>
      </c>
      <c r="L702" s="52" t="n">
        <v>0</v>
      </c>
      <c r="M702" s="50" t="n">
        <v>0</v>
      </c>
      <c r="N702" s="50" t="n">
        <v>5</v>
      </c>
      <c r="O702" s="53" t="n">
        <v>112</v>
      </c>
      <c r="P702" s="48" t="s">
        <v>177</v>
      </c>
      <c r="Q702" s="50"/>
      <c r="R702" s="53" t="n">
        <f aca="false">IF(BZ702=1,0,IFERROR(VLOOKUP(BX702,'Gebinde-Kategorie'!$A$5:$N$45,13,0)+0,0))</f>
        <v>26</v>
      </c>
      <c r="S702" s="54"/>
      <c r="T702" s="55" t="s">
        <v>284</v>
      </c>
      <c r="U702" s="55"/>
      <c r="V702" s="55"/>
      <c r="W702" s="48"/>
      <c r="X702" s="50"/>
      <c r="Y702" s="50"/>
      <c r="Z702" s="48" t="n">
        <f aca="false">IF(A702="","",IF(AND(Parameter!$B$21="Ja",ISNUMBER(W702)),W702,IF(CC702="2+3",IF(ISNUMBER(SEARCH("grosser Artikel",BU702)),2,IFERROR(VLOOKUP(BX702,Parameter!$F$35:$G$64,2,0),2)),IF(OR(CC702="Nein",CC702=""),"-",CC702))))</f>
        <v>3</v>
      </c>
      <c r="AA702" s="55"/>
      <c r="AB702" s="56"/>
      <c r="AC702" s="50" t="n">
        <f aca="false">AV702</f>
        <v>5</v>
      </c>
      <c r="AD702" s="50" t="n">
        <f aca="false">MAX(AV702,H702)</f>
        <v>5</v>
      </c>
      <c r="AE702" s="57"/>
      <c r="AF702" s="50" t="n">
        <f aca="false">IF(LEFT(Cockpit!$C$5,1)="A",H702,IF(Parameter!$E$30="MAX-Bestand",IF(CH702=1,CI702,IF(LEFT(Cockpit!$C$5,1)="B",AL702,MAX(AL702,H702))),ROUNDUP(AJ702,0)))</f>
        <v>0</v>
      </c>
      <c r="AG702" s="50" t="n">
        <f aca="false">IF(BZ702=1,0,ROUNDUP(AF702/BY702,0))</f>
        <v>0</v>
      </c>
      <c r="AH702" s="52" t="n">
        <f aca="false">IF(CQ702&gt;0,CQ702*MAX(1,AF702/X702),IF(BZ702=1,IF(AF702&lt;=0,0,CD702*MAX(1,IF(H702&gt;0,AF702/H702,1))),IF(R702&gt;0,AG702/R702,0))/MAX(0.1,N(Parameter!$M$21)))</f>
        <v>0</v>
      </c>
      <c r="AI702" s="50" t="n">
        <f aca="false">AH702*CB702</f>
        <v>0</v>
      </c>
      <c r="AJ702" s="51" t="n">
        <f aca="false">IF(LEFT(Cockpit!$C$5,1)="A",H702,IF(CH702=1,(CK702+CI702)/2,IF(LEFT(Cockpit!$C$5,1)="B",(CK702+AL702)/2,MAX((CK702+AL702)/2,H702))))</f>
        <v>0</v>
      </c>
      <c r="AK702" s="50" t="n">
        <f aca="false">AJ702*G702</f>
        <v>0</v>
      </c>
      <c r="AL702" s="50" t="n">
        <f aca="false">ROUNDUP(CK702+MAX(CL702,2*(J702/IF(CG702&gt;0,CG702,MAX(0.1,N(Cockpit!$C$6)))-CK702)),0)</f>
        <v>5</v>
      </c>
      <c r="AM702" s="51" t="n">
        <f aca="false">IF(AI702&gt;0,J702/AI702,-1)</f>
        <v>-1</v>
      </c>
      <c r="AN702" s="51" t="str">
        <f aca="false">IF(AND(OR(CF702="L1",CF702="L23",CF702="LIFT"),AI702&gt;0),SUMIFS($AI$7:$AI$1843,$CF$7:$CF$1843,CF702,$AM$7:$AM$1843,"&gt;"&amp;AM702)+SUMIFS($AI$7:$AI$1843,$CF$7:$CF$1843,CF702,$AM$7:$AM$1843,AM702,$BW$7:$BW$1843,"&lt;="&amp;BW702),"")</f>
        <v/>
      </c>
      <c r="AO702" s="58" t="n">
        <f aca="false">IF(AN702="",0,MAX(0,MIN(1,(IF(CF702="L1",Parameter!$H$5,IF(CF702="L23",Parameter!$H$6+Parameter!$H$7,Parameter!$H$5+Parameter!$H$6+Parameter!$H$7))-(AN702-AI702))/AI702)))</f>
        <v>0</v>
      </c>
      <c r="AP702" s="50" t="n">
        <f aca="false">IF(LEFT(Cockpit!$I$5,1)="A",H702,IF(Parameter!$E$30="MAX-Bestand",IF(CH702=1,CI702,IF(LEFT(Cockpit!$I$5,1)="B",AV702,MAX(AV702,H702))),ROUNDUP(AT702,0)))</f>
        <v>3</v>
      </c>
      <c r="AQ702" s="50" t="n">
        <f aca="false">IF(BZ702=1,0,ROUNDUP(AP702/BY702,0))</f>
        <v>1</v>
      </c>
      <c r="AR702" s="52" t="n">
        <f aca="false">IF(CQ702&gt;0,CQ702*MAX(1,AP702/X702),IF(BZ702=1,IF(AP702&lt;=0,0,CD702*MAX(1,IF(H702&gt;0,AP702/H702,1))),IF(R702&gt;0,AQ702/R702,0))/MAX(0.1,N(Parameter!$M$21)))</f>
        <v>0.0384615384615385</v>
      </c>
      <c r="AS702" s="50" t="n">
        <f aca="false">AR702*CB702</f>
        <v>5.96153846153846</v>
      </c>
      <c r="AT702" s="51" t="n">
        <f aca="false">IF(LEFT(Cockpit!$I$5,1)="A",H702,IF(CH702=1,(CK702+CI702)/2,IF(LEFT(Cockpit!$I$5,1)="B",(CK702+AV702)/2,MAX((CK702+AV702)/2,H702))))</f>
        <v>2.5</v>
      </c>
      <c r="AU702" s="50" t="n">
        <f aca="false">AT702*G702</f>
        <v>732.5</v>
      </c>
      <c r="AV702" s="50" t="n">
        <f aca="false">ROUNDUP(CK702+MAX(CL702,2*(J702/IF(CG702&gt;0,CG702,MAX(0.1,N(Cockpit!$I$6)))-CK702)),0)</f>
        <v>5</v>
      </c>
      <c r="AW702" s="51" t="n">
        <f aca="false">IF(AS702&gt;0,J702/AS702,-1)</f>
        <v>0.503225806451613</v>
      </c>
      <c r="AX702" s="51" t="n">
        <f aca="false">IF(AND(OR(CF702="L1",CF702="L23",CF702="LIFT"),AS702&gt;0),SUMIFS($AS$7:$AS$1843,$CF$7:$CF$1843,CF702,$AW$7:$AW$1843,"&gt;"&amp;AW702)+SUMIFS($AS$7:$AS$1843,$CF$7:$CF$1843,CF702,$AW$7:$AW$1843,AW702,$BW$7:$BW$1843,"&lt;="&amp;BW702),"")</f>
        <v>11976.0009157509</v>
      </c>
      <c r="AY702" s="58" t="n">
        <f aca="false">IF(AX702="",0,MAX(0,MIN(1,(IF(CF702="L1",Parameter!$H$5,IF(CF702="L23",Parameter!$H$6+Parameter!$H$7,Parameter!$H$5+Parameter!$H$6+Parameter!$H$7))-(AX702-AS702))/AS702)))</f>
        <v>1</v>
      </c>
      <c r="AZ702" s="50" t="n">
        <f aca="false">IF(LEFT(Cockpit!$O$5,1)="A",H702,IF(Parameter!$E$30="MAX-Bestand",IF(CH702=1,CI702,IF(LEFT(Cockpit!$O$5,1)="B",BF702,MAX(BF702,H702))),ROUNDUP(BD702,0)))</f>
        <v>3</v>
      </c>
      <c r="BA702" s="50" t="n">
        <f aca="false">IF(BZ702=1,0,ROUNDUP(AZ702/BY702,0))</f>
        <v>1</v>
      </c>
      <c r="BB702" s="52" t="n">
        <f aca="false">IF(CQ702&gt;0,CQ702*MAX(1,AZ702/X702),IF(BZ702=1,IF(AZ702&lt;=0,0,CD702*MAX(1,IF(H702&gt;0,AZ702/H702,1))),IF(R702&gt;0,BA702/R702,0))/MAX(0.1,N(Parameter!$M$21)))</f>
        <v>0.0384615384615385</v>
      </c>
      <c r="BC702" s="50" t="n">
        <f aca="false">BB702*CB702</f>
        <v>5.96153846153846</v>
      </c>
      <c r="BD702" s="51" t="n">
        <f aca="false">IF(LEFT(Cockpit!$O$5,1)="A",H702,IF(CH702=1,(CK702+CI702)/2,IF(LEFT(Cockpit!$O$5,1)="B",(CK702+BF702)/2,MAX((CK702+BF702)/2,H702))))</f>
        <v>2.5</v>
      </c>
      <c r="BE702" s="50" t="n">
        <f aca="false">BD702*G702</f>
        <v>732.5</v>
      </c>
      <c r="BF702" s="50" t="n">
        <f aca="false">ROUNDUP(CK702+MAX(CL702,2*(J702/IF(CG702&gt;0,CG702,MAX(0.1,N(Cockpit!$O$6)))-CK702)),0)</f>
        <v>5</v>
      </c>
      <c r="BG702" s="51" t="n">
        <f aca="false">IF(BC702&gt;0,J702/BC702,-1)</f>
        <v>0.503225806451613</v>
      </c>
      <c r="BH702" s="51" t="n">
        <f aca="false">IF(AND(OR(CF702="L1",CF702="L23",CF702="LIFT"),BC702&gt;0),SUMIFS($BC$7:$BC$1843,$CF$7:$CF$1843,CF702,$BG$7:$BG$1843,"&gt;"&amp;BG702)+SUMIFS($BC$7:$BC$1843,$CF$7:$CF$1843,CF702,$BG$7:$BG$1843,BG702,$BW$7:$BW$1843,"&lt;="&amp;BW702),"")</f>
        <v>10339.4171245421</v>
      </c>
      <c r="BI702" s="58" t="n">
        <f aca="false">IF(BH702="",0,MAX(0,MIN(1,(IF(CF702="L1",Parameter!$H$5,IF(CF702="L23",Parameter!$H$6+Parameter!$H$7,Parameter!$H$5+Parameter!$H$6+Parameter!$H$7))-(BH702-BC702))/BC702)))</f>
        <v>1</v>
      </c>
      <c r="BJ702" s="48" t="str">
        <f aca="false">IF(AI702&lt;=0,"",IF(CF702="Aussen","Aussenlager",IF(CF702="-","Nicht im Lift",IF(AO702&gt;=1,"Lift",IF(AO702&lt;=0,"Aussenlager","teilweise")))))</f>
        <v/>
      </c>
      <c r="BK702" s="48" t="str">
        <f aca="false">IF(AS702&lt;=0,"",IF(CF702="Aussen","Aussenlager",IF(CF702="-","Nicht im Lift",IF(AY702&gt;=1,"Lift",IF(AY702&lt;=0,"Aussenlager","teilweise")))))</f>
        <v>Lift</v>
      </c>
      <c r="BL702" s="48" t="str">
        <f aca="false">IF(BC702&lt;=0,"",IF(CF702="Aussen","Aussenlager",IF(CF702="-","Nicht im Lift",IF(BI702&gt;=1,"Lift",IF(BI702&lt;=0,"Aussenlager","teilweise")))))</f>
        <v>Lift</v>
      </c>
      <c r="BM702" s="48" t="str">
        <f aca="false">IF(A702="","",IF(BV702=1,"Neu; ","")&amp;IF(AND(BV702=0,BQ702&lt;0),"negativer Bestand (Export "&amp;BQ702&amp;"); ","")&amp;IF(J702&lt;=0,"Kein Verbrauch; ","")&amp;IF(CQ702&gt;0,"Lift "&amp;W702&amp;" lt. Liftbericht (Fach "&amp;X702&amp;" Stk); ",IF(CA702=1,"Gebinde geschätzt ("&amp;T702&amp;"); ",IF(BZ702=1,"Lose – Tablare geschätzt; ","")))&amp;IF(H702&gt;AV702,"Überbestand "&amp;ROUND(H702-AV702,0)&amp;" Stk / CHF "&amp;ROUND((H702-AV702)*G702,0)&amp;"; ","")&amp;IF(AND(CH702=1,CI702&lt;CJ702),"MAX &lt; MB+LG; ","")&amp;IF(AND(CP702&gt;0,CO702*10&gt;CP702),"zu hoch für Tablar; ","")&amp;IF(AND(BV702=0,OR(CH702=1,AA702&lt;&gt;"",U702&lt;&gt;"",V702&lt;&gt;"",AB702&lt;&gt;"")),"manuell übersteuert; ","")&amp;IF(AND(BZ702=0,R702=0),"Gebinde unbekannt / Stellmass fehlt; ","")&amp;IF(AND(BZ702=0,N(V702)&lt;=0,N(Q702)&lt;=0),"Menge pro Gebinde fehlt (Ist = 1 Gebinde); ","")&amp;BU702)</f>
        <v>Gebinde geschätzt (Klein); Menge pro Gebinde fehlt (Ist = 1 Gebinde); </v>
      </c>
      <c r="BN702" s="48"/>
      <c r="BO702" s="48"/>
      <c r="BP702" s="55"/>
      <c r="BQ702" s="50" t="n">
        <v>0</v>
      </c>
      <c r="BR702" s="50" t="n">
        <v>0</v>
      </c>
      <c r="BS702" s="49" t="n">
        <v>0</v>
      </c>
      <c r="BT702" s="50" t="n">
        <v>3</v>
      </c>
      <c r="BU702" s="48"/>
      <c r="BV702" s="53" t="n">
        <v>0</v>
      </c>
      <c r="BW702" s="53" t="n">
        <v>702</v>
      </c>
      <c r="BX702" s="48" t="str">
        <f aca="false">IF(U702&lt;&gt;"",UPPER(TRIM(U702)),IF(CA702=1,UPPER(VLOOKUP(T702,Parameter!$I$27:$K$29,2,0)),IF(P702="","LOSE",P702)))</f>
        <v>S51</v>
      </c>
      <c r="BY702" s="50" t="n">
        <f aca="false">IF(BX702="LOSE",1,IF(N(V702)&gt;0,V702,IF(CA702=1,MAX(1,N(VLOOKUP(T702,Parameter!$I$27:$K$29,3,0)),H702,N(N702)),IF(N(Q702)&gt;0,Q702,MAX(1,H702)))))</f>
        <v>20</v>
      </c>
      <c r="BZ702" s="53" t="n">
        <f aca="false">IF(BX702="LOSE",1,0)</f>
        <v>0</v>
      </c>
      <c r="CA702" s="53" t="n">
        <f aca="false">IF(AND(U702="",OR(P702="",P702="LOSE"),T702&lt;&gt;"",N(S702)&lt;=0,ISNUMBER(MATCH(T702,Parameter!$I$27:$I$29,0))),1,0)</f>
        <v>1</v>
      </c>
      <c r="CB702" s="53" t="n">
        <f aca="false">IF(CQ702&gt;0,INDEX(Parameter!$H$5:$H$7,W702)/INDEX(Parameter!$E$5:$E$7,W702),IF(AND(BZ702=0,N(IFERROR(VLOOKUP(BX702,'Gebinde-Kategorie'!$A$5:$N$45,14,0),0))&gt;0),VLOOKUP(BX702,'Gebinde-Kategorie'!$A$5:$N$45,14,0)*10+Parameter!$M$23,Parameter!$M$24))</f>
        <v>155</v>
      </c>
      <c r="CC702" s="48" t="str">
        <f aca="false">IF(AND(Parameter!$B$19="Ja",E702&lt;&gt;"",ISNUMBER(MATCH(E702,Parameter!$I$35:$I$52,0))),VLOOKUP(E702,Parameter!$I$35:$J$52,2,0),IFERROR(VLOOKUP(D702,Parameter!$A$35:$C$64,2,0),"Nein"))</f>
        <v>2+3</v>
      </c>
      <c r="CD702" s="52" t="n">
        <f aca="false">IF(BZ702=0,0,IF(N(S702)&gt;0,S702,IFERROR(VLOOKUP(D702,Parameter!$A$35:$C$64,3,0)+0,0)))</f>
        <v>0</v>
      </c>
      <c r="CE702" s="48" t="n">
        <f aca="false">IF(AA702&lt;&gt;"",AA702,Z702)</f>
        <v>3</v>
      </c>
      <c r="CF702" s="48" t="str">
        <f aca="false">IF(OR(CE702=1,CE702=2,CE702=3),IF(Parameter!$E$27="Ja","LIFT",IF(CE702=1,"L1","L23")),IF(CE702="Aussen","Aussen","-"))</f>
        <v>LIFT</v>
      </c>
      <c r="CG702" s="59" t="n">
        <f aca="false">IF(N(AB702)&gt;0,AB702,0)</f>
        <v>0</v>
      </c>
      <c r="CH702" s="53" t="n">
        <f aca="false">IF(ISNUMBER(AE702),1,0)</f>
        <v>0</v>
      </c>
      <c r="CI702" s="50" t="n">
        <f aca="false">N(AE702)</f>
        <v>0</v>
      </c>
      <c r="CJ702" s="50" t="n">
        <f aca="false">N(M702)+N(N702)</f>
        <v>5</v>
      </c>
      <c r="CK702" s="50" t="n">
        <f aca="false">N(M702)</f>
        <v>0</v>
      </c>
      <c r="CL702" s="50" t="n">
        <f aca="false">N(N702)</f>
        <v>5</v>
      </c>
      <c r="CM702" s="50" t="n">
        <f aca="false">ROUNDUP(H702/BY702,0)</f>
        <v>0</v>
      </c>
      <c r="CN702" s="50" t="n">
        <f aca="false">ROUNDUP(CI702/BY702,0)</f>
        <v>0</v>
      </c>
      <c r="CO702" s="53" t="n">
        <f aca="false">IF(BZ702=1,0,IFERROR(VLOOKUP(BX702,'Gebinde-Kategorie'!$A$5:$N$45,5,0)+0,0))</f>
        <v>11</v>
      </c>
      <c r="CP702" s="53" t="n">
        <f aca="false">IFERROR(IF(OR(CE702=1,CE702=2,CE702=3),N(INDEX(Parameter!$I$5:$I$7,CE702)),0),0)</f>
        <v>0</v>
      </c>
      <c r="CQ702" s="52" t="n">
        <f aca="false">IF(AND(Parameter!$B$21="Ja",ISNUMBER(W702),N(X702)&gt;0),IFERROR(N(INDEX(Parameter!$L$5:$L$7,W702))*INDEX(Parameter!$E$5:$E$7,W702)*X702/SUMIFS($X$7:$X$1843,$W$7:$W$1843,W702),0),0)</f>
        <v>0</v>
      </c>
    </row>
    <row r="703" customFormat="false" ht="15" hidden="false" customHeight="false" outlineLevel="0" collapsed="false">
      <c r="A703" s="48" t="s">
        <v>1413</v>
      </c>
      <c r="B703" s="48" t="s">
        <v>553</v>
      </c>
      <c r="C703" s="48" t="s">
        <v>173</v>
      </c>
      <c r="D703" s="48" t="s">
        <v>1004</v>
      </c>
      <c r="E703" s="48" t="s">
        <v>194</v>
      </c>
      <c r="F703" s="48" t="s">
        <v>227</v>
      </c>
      <c r="G703" s="49" t="n">
        <v>27.2</v>
      </c>
      <c r="H703" s="50" t="n">
        <f aca="false">MAX(0,IF(AND(Parameter!$B$21="Ja",ISNUMBER(Y703)),Y703,IF(Parameter!$B$20="Jahresanfang 2025 + Export",BR703+BQ703,BQ703)))</f>
        <v>14</v>
      </c>
      <c r="I703" s="50" t="n">
        <f aca="false">H703*G703</f>
        <v>380.8</v>
      </c>
      <c r="J703" s="50" t="n">
        <f aca="false">BT703*Parameter!$B$18</f>
        <v>0</v>
      </c>
      <c r="K703" s="51" t="n">
        <v>17</v>
      </c>
      <c r="L703" s="52" t="n">
        <v>0</v>
      </c>
      <c r="M703" s="50" t="n">
        <v>0</v>
      </c>
      <c r="N703" s="50" t="n">
        <v>1</v>
      </c>
      <c r="O703" s="53" t="n">
        <v>21</v>
      </c>
      <c r="P703" s="48" t="s">
        <v>177</v>
      </c>
      <c r="Q703" s="50"/>
      <c r="R703" s="53" t="n">
        <f aca="false">IF(BZ703=1,0,IFERROR(VLOOKUP(BX703,'Gebinde-Kategorie'!$A$5:$N$45,13,0)+0,0))</f>
        <v>12</v>
      </c>
      <c r="S703" s="54"/>
      <c r="T703" s="55" t="s">
        <v>188</v>
      </c>
      <c r="U703" s="55"/>
      <c r="V703" s="55"/>
      <c r="W703" s="48"/>
      <c r="X703" s="50"/>
      <c r="Y703" s="50"/>
      <c r="Z703" s="48" t="n">
        <f aca="false">IF(A703="","",IF(AND(Parameter!$B$21="Ja",ISNUMBER(W703)),W703,IF(CC703="2+3",IF(ISNUMBER(SEARCH("grosser Artikel",BU703)),2,IFERROR(VLOOKUP(BX703,Parameter!$F$35:$G$64,2,0),2)),IF(OR(CC703="Nein",CC703=""),"-",CC703))))</f>
        <v>2</v>
      </c>
      <c r="AA703" s="55"/>
      <c r="AB703" s="56"/>
      <c r="AC703" s="50" t="n">
        <f aca="false">AV703</f>
        <v>1</v>
      </c>
      <c r="AD703" s="50" t="n">
        <f aca="false">MAX(AV703,H703)</f>
        <v>14</v>
      </c>
      <c r="AE703" s="57"/>
      <c r="AF703" s="50" t="n">
        <f aca="false">IF(LEFT(Cockpit!$C$5,1)="A",H703,IF(Parameter!$E$30="MAX-Bestand",IF(CH703=1,CI703,IF(LEFT(Cockpit!$C$5,1)="B",AL703,MAX(AL703,H703))),ROUNDUP(AJ703,0)))</f>
        <v>14</v>
      </c>
      <c r="AG703" s="50" t="n">
        <f aca="false">IF(BZ703=1,0,ROUNDUP(AF703/BY703,0))</f>
        <v>1</v>
      </c>
      <c r="AH703" s="52" t="n">
        <f aca="false">IF(CQ703&gt;0,CQ703*MAX(1,AF703/X703),IF(BZ703=1,IF(AF703&lt;=0,0,CD703*MAX(1,IF(H703&gt;0,AF703/H703,1))),IF(R703&gt;0,AG703/R703,0))/MAX(0.1,N(Parameter!$M$21)))</f>
        <v>0.0833333333333333</v>
      </c>
      <c r="AI703" s="50" t="n">
        <f aca="false">AH703*CB703</f>
        <v>12.0833333333333</v>
      </c>
      <c r="AJ703" s="51" t="n">
        <f aca="false">IF(LEFT(Cockpit!$C$5,1)="A",H703,IF(CH703=1,(CK703+CI703)/2,IF(LEFT(Cockpit!$C$5,1)="B",(CK703+AL703)/2,MAX((CK703+AL703)/2,H703))))</f>
        <v>14</v>
      </c>
      <c r="AK703" s="50" t="n">
        <f aca="false">AJ703*G703</f>
        <v>380.8</v>
      </c>
      <c r="AL703" s="50" t="n">
        <f aca="false">ROUNDUP(CK703+MAX(CL703,2*(J703/IF(CG703&gt;0,CG703,MAX(0.1,N(Cockpit!$C$6)))-CK703)),0)</f>
        <v>1</v>
      </c>
      <c r="AM703" s="51" t="n">
        <f aca="false">IF(AI703&gt;0,J703/AI703,-1)</f>
        <v>0</v>
      </c>
      <c r="AN703" s="51" t="n">
        <f aca="false">IF(AND(OR(CF703="L1",CF703="L23",CF703="LIFT"),AI703&gt;0),SUMIFS($AI$7:$AI$1843,$CF$7:$CF$1843,CF703,$AM$7:$AM$1843,"&gt;"&amp;AM703)+SUMIFS($AI$7:$AI$1843,$CF$7:$CF$1843,CF703,$AM$7:$AM$1843,AM703,$BW$7:$BW$1843,"&lt;="&amp;BW703),"")</f>
        <v>28631.1393622855</v>
      </c>
      <c r="AO703" s="58" t="n">
        <f aca="false">IF(AN703="",0,MAX(0,MIN(1,(IF(CF703="L1",Parameter!$H$5,IF(CF703="L23",Parameter!$H$6+Parameter!$H$7,Parameter!$H$5+Parameter!$H$6+Parameter!$H$7))-(AN703-AI703))/AI703)))</f>
        <v>1</v>
      </c>
      <c r="AP703" s="50" t="n">
        <f aca="false">IF(LEFT(Cockpit!$I$5,1)="A",H703,IF(Parameter!$E$30="MAX-Bestand",IF(CH703=1,CI703,IF(LEFT(Cockpit!$I$5,1)="B",AV703,MAX(AV703,H703))),ROUNDUP(AT703,0)))</f>
        <v>14</v>
      </c>
      <c r="AQ703" s="50" t="n">
        <f aca="false">IF(BZ703=1,0,ROUNDUP(AP703/BY703,0))</f>
        <v>1</v>
      </c>
      <c r="AR703" s="52" t="n">
        <f aca="false">IF(CQ703&gt;0,CQ703*MAX(1,AP703/X703),IF(BZ703=1,IF(AP703&lt;=0,0,CD703*MAX(1,IF(H703&gt;0,AP703/H703,1))),IF(R703&gt;0,AQ703/R703,0))/MAX(0.1,N(Parameter!$M$21)))</f>
        <v>0.0833333333333333</v>
      </c>
      <c r="AS703" s="50" t="n">
        <f aca="false">AR703*CB703</f>
        <v>12.0833333333333</v>
      </c>
      <c r="AT703" s="51" t="n">
        <f aca="false">IF(LEFT(Cockpit!$I$5,1)="A",H703,IF(CH703=1,(CK703+CI703)/2,IF(LEFT(Cockpit!$I$5,1)="B",(CK703+AV703)/2,MAX((CK703+AV703)/2,H703))))</f>
        <v>14</v>
      </c>
      <c r="AU703" s="50" t="n">
        <f aca="false">AT703*G703</f>
        <v>380.8</v>
      </c>
      <c r="AV703" s="50" t="n">
        <f aca="false">ROUNDUP(CK703+MAX(CL703,2*(J703/IF(CG703&gt;0,CG703,MAX(0.1,N(Cockpit!$I$6)))-CK703)),0)</f>
        <v>1</v>
      </c>
      <c r="AW703" s="51" t="n">
        <f aca="false">IF(AS703&gt;0,J703/AS703,-1)</f>
        <v>0</v>
      </c>
      <c r="AX703" s="51" t="n">
        <f aca="false">IF(AND(OR(CF703="L1",CF703="L23",CF703="LIFT"),AS703&gt;0),SUMIFS($AS$7:$AS$1843,$CF$7:$CF$1843,CF703,$AW$7:$AW$1843,"&gt;"&amp;AW703)+SUMIFS($AS$7:$AS$1843,$CF$7:$CF$1843,CF703,$AW$7:$AW$1843,AW703,$BW$7:$BW$1843,"&lt;="&amp;BW703),"")</f>
        <v>34052.2046703297</v>
      </c>
      <c r="AY703" s="58" t="n">
        <f aca="false">IF(AX703="",0,MAX(0,MIN(1,(IF(CF703="L1",Parameter!$H$5,IF(CF703="L23",Parameter!$H$6+Parameter!$H$7,Parameter!$H$5+Parameter!$H$6+Parameter!$H$7))-(AX703-AS703))/AS703)))</f>
        <v>1</v>
      </c>
      <c r="AZ703" s="50" t="n">
        <f aca="false">IF(LEFT(Cockpit!$O$5,1)="A",H703,IF(Parameter!$E$30="MAX-Bestand",IF(CH703=1,CI703,IF(LEFT(Cockpit!$O$5,1)="B",BF703,MAX(BF703,H703))),ROUNDUP(BD703,0)))</f>
        <v>1</v>
      </c>
      <c r="BA703" s="50" t="n">
        <f aca="false">IF(BZ703=1,0,ROUNDUP(AZ703/BY703,0))</f>
        <v>1</v>
      </c>
      <c r="BB703" s="52" t="n">
        <f aca="false">IF(CQ703&gt;0,CQ703*MAX(1,AZ703/X703),IF(BZ703=1,IF(AZ703&lt;=0,0,CD703*MAX(1,IF(H703&gt;0,AZ703/H703,1))),IF(R703&gt;0,BA703/R703,0))/MAX(0.1,N(Parameter!$M$21)))</f>
        <v>0.0833333333333333</v>
      </c>
      <c r="BC703" s="50" t="n">
        <f aca="false">BB703*CB703</f>
        <v>12.0833333333333</v>
      </c>
      <c r="BD703" s="51" t="n">
        <f aca="false">IF(LEFT(Cockpit!$O$5,1)="A",H703,IF(CH703=1,(CK703+CI703)/2,IF(LEFT(Cockpit!$O$5,1)="B",(CK703+BF703)/2,MAX((CK703+BF703)/2,H703))))</f>
        <v>0.5</v>
      </c>
      <c r="BE703" s="50" t="n">
        <f aca="false">BD703*G703</f>
        <v>13.6</v>
      </c>
      <c r="BF703" s="50" t="n">
        <f aca="false">ROUNDUP(CK703+MAX(CL703,2*(J703/IF(CG703&gt;0,CG703,MAX(0.1,N(Cockpit!$O$6)))-CK703)),0)</f>
        <v>1</v>
      </c>
      <c r="BG703" s="51" t="n">
        <f aca="false">IF(BC703&gt;0,J703/BC703,-1)</f>
        <v>0</v>
      </c>
      <c r="BH703" s="51" t="n">
        <f aca="false">IF(AND(OR(CF703="L1",CF703="L23",CF703="LIFT"),BC703&gt;0),SUMIFS($BC$7:$BC$1843,$CF$7:$CF$1843,CF703,$BG$7:$BG$1843,"&gt;"&amp;BG703)+SUMIFS($BC$7:$BC$1843,$CF$7:$CF$1843,CF703,$BG$7:$BG$1843,BG703,$BW$7:$BW$1843,"&lt;="&amp;BW703),"")</f>
        <v>28116.3336747998</v>
      </c>
      <c r="BI703" s="58" t="n">
        <f aca="false">IF(BH703="",0,MAX(0,MIN(1,(IF(CF703="L1",Parameter!$H$5,IF(CF703="L23",Parameter!$H$6+Parameter!$H$7,Parameter!$H$5+Parameter!$H$6+Parameter!$H$7))-(BH703-BC703))/BC703)))</f>
        <v>1</v>
      </c>
      <c r="BJ703" s="48" t="str">
        <f aca="false">IF(AI703&lt;=0,"",IF(CF703="Aussen","Aussenlager",IF(CF703="-","Nicht im Lift",IF(AO703&gt;=1,"Lift",IF(AO703&lt;=0,"Aussenlager","teilweise")))))</f>
        <v>Lift</v>
      </c>
      <c r="BK703" s="48" t="str">
        <f aca="false">IF(AS703&lt;=0,"",IF(CF703="Aussen","Aussenlager",IF(CF703="-","Nicht im Lift",IF(AY703&gt;=1,"Lift",IF(AY703&lt;=0,"Aussenlager","teilweise")))))</f>
        <v>Lift</v>
      </c>
      <c r="BL703" s="48" t="str">
        <f aca="false">IF(BC703&lt;=0,"",IF(CF703="Aussen","Aussenlager",IF(CF703="-","Nicht im Lift",IF(BI703&gt;=1,"Lift",IF(BI703&lt;=0,"Aussenlager","teilweise")))))</f>
        <v>Lift</v>
      </c>
      <c r="BM703" s="48" t="str">
        <f aca="false">IF(A703="","",IF(BV703=1,"Neu; ","")&amp;IF(AND(BV703=0,BQ703&lt;0),"negativer Bestand (Export "&amp;BQ703&amp;"); ","")&amp;IF(J703&lt;=0,"Kein Verbrauch; ","")&amp;IF(CQ703&gt;0,"Lift "&amp;W703&amp;" lt. Liftbericht (Fach "&amp;X703&amp;" Stk); ",IF(CA703=1,"Gebinde geschätzt ("&amp;T703&amp;"); ",IF(BZ703=1,"Lose – Tablare geschätzt; ","")))&amp;IF(H703&gt;AV703,"Überbestand "&amp;ROUND(H703-AV703,0)&amp;" Stk / CHF "&amp;ROUND((H703-AV703)*G703,0)&amp;"; ","")&amp;IF(AND(CH703=1,CI703&lt;CJ703),"MAX &lt; MB+LG; ","")&amp;IF(AND(CP703&gt;0,CO703*10&gt;CP703),"zu hoch für Tablar; ","")&amp;IF(AND(BV703=0,OR(CH703=1,AA703&lt;&gt;"",U703&lt;&gt;"",V703&lt;&gt;"",AB703&lt;&gt;"")),"manuell übersteuert; ","")&amp;IF(AND(BZ703=0,R703=0),"Gebinde unbekannt / Stellmass fehlt; ","")&amp;IF(AND(BZ703=0,N(V703)&lt;=0,N(Q703)&lt;=0),"Menge pro Gebinde fehlt (Ist = 1 Gebinde); ","")&amp;BU703)</f>
        <v>Kein Verbrauch; Gebinde geschätzt (Mittel); Überbestand 13 Stk / CHF 354; Menge pro Gebinde fehlt (Ist = 1 Gebinde); Neu; gehört nicht ins KTL</v>
      </c>
      <c r="BN703" s="48"/>
      <c r="BO703" s="48"/>
      <c r="BP703" s="55"/>
      <c r="BQ703" s="50" t="n">
        <v>0</v>
      </c>
      <c r="BR703" s="50" t="n">
        <v>14</v>
      </c>
      <c r="BS703" s="49" t="n">
        <v>0</v>
      </c>
      <c r="BT703" s="50" t="n">
        <v>0</v>
      </c>
      <c r="BU703" s="48" t="s">
        <v>1414</v>
      </c>
      <c r="BV703" s="53" t="n">
        <v>0</v>
      </c>
      <c r="BW703" s="53" t="n">
        <v>703</v>
      </c>
      <c r="BX703" s="48" t="str">
        <f aca="false">IF(U703&lt;&gt;"",UPPER(TRIM(U703)),IF(CA703=1,UPPER(VLOOKUP(T703,Parameter!$I$27:$K$29,2,0)),IF(P703="","LOSE",P703)))</f>
        <v>S61</v>
      </c>
      <c r="BY703" s="50" t="n">
        <f aca="false">IF(BX703="LOSE",1,IF(N(V703)&gt;0,V703,IF(CA703=1,MAX(1,N(VLOOKUP(T703,Parameter!$I$27:$K$29,3,0)),H703,N(N703)),IF(N(Q703)&gt;0,Q703,MAX(1,H703)))))</f>
        <v>14</v>
      </c>
      <c r="BZ703" s="53" t="n">
        <f aca="false">IF(BX703="LOSE",1,0)</f>
        <v>0</v>
      </c>
      <c r="CA703" s="53" t="n">
        <f aca="false">IF(AND(U703="",OR(P703="",P703="LOSE"),T703&lt;&gt;"",N(S703)&lt;=0,ISNUMBER(MATCH(T703,Parameter!$I$27:$I$29,0))),1,0)</f>
        <v>1</v>
      </c>
      <c r="CB703" s="53" t="n">
        <f aca="false">IF(CQ703&gt;0,INDEX(Parameter!$H$5:$H$7,W703)/INDEX(Parameter!$E$5:$E$7,W703),IF(AND(BZ703=0,N(IFERROR(VLOOKUP(BX703,'Gebinde-Kategorie'!$A$5:$N$45,14,0),0))&gt;0),VLOOKUP(BX703,'Gebinde-Kategorie'!$A$5:$N$45,14,0)*10+Parameter!$M$23,Parameter!$M$24))</f>
        <v>145</v>
      </c>
      <c r="CC703" s="48" t="str">
        <f aca="false">IF(AND(Parameter!$B$19="Ja",E703&lt;&gt;"",ISNUMBER(MATCH(E703,Parameter!$I$35:$I$52,0))),VLOOKUP(E703,Parameter!$I$35:$J$52,2,0),IFERROR(VLOOKUP(D703,Parameter!$A$35:$C$64,2,0),"Nein"))</f>
        <v>2+3</v>
      </c>
      <c r="CD703" s="52" t="n">
        <f aca="false">IF(BZ703=0,0,IF(N(S703)&gt;0,S703,IFERROR(VLOOKUP(D703,Parameter!$A$35:$C$64,3,0)+0,0)))</f>
        <v>0</v>
      </c>
      <c r="CE703" s="48" t="n">
        <f aca="false">IF(AA703&lt;&gt;"",AA703,Z703)</f>
        <v>2</v>
      </c>
      <c r="CF703" s="48" t="str">
        <f aca="false">IF(OR(CE703=1,CE703=2,CE703=3),IF(Parameter!$E$27="Ja","LIFT",IF(CE703=1,"L1","L23")),IF(CE703="Aussen","Aussen","-"))</f>
        <v>LIFT</v>
      </c>
      <c r="CG703" s="59" t="n">
        <f aca="false">IF(N(AB703)&gt;0,AB703,0)</f>
        <v>0</v>
      </c>
      <c r="CH703" s="53" t="n">
        <f aca="false">IF(ISNUMBER(AE703),1,0)</f>
        <v>0</v>
      </c>
      <c r="CI703" s="50" t="n">
        <f aca="false">N(AE703)</f>
        <v>0</v>
      </c>
      <c r="CJ703" s="50" t="n">
        <f aca="false">N(M703)+N(N703)</f>
        <v>1</v>
      </c>
      <c r="CK703" s="50" t="n">
        <f aca="false">N(M703)</f>
        <v>0</v>
      </c>
      <c r="CL703" s="50" t="n">
        <f aca="false">N(N703)</f>
        <v>1</v>
      </c>
      <c r="CM703" s="50" t="n">
        <f aca="false">ROUNDUP(H703/BY703,0)</f>
        <v>1</v>
      </c>
      <c r="CN703" s="50" t="n">
        <f aca="false">ROUNDUP(CI703/BY703,0)</f>
        <v>0</v>
      </c>
      <c r="CO703" s="53" t="n">
        <f aca="false">IF(BZ703=1,0,IFERROR(VLOOKUP(BX703,'Gebinde-Kategorie'!$A$5:$N$45,5,0)+0,0))</f>
        <v>11</v>
      </c>
      <c r="CP703" s="53" t="n">
        <f aca="false">IFERROR(IF(OR(CE703=1,CE703=2,CE703=3),N(INDEX(Parameter!$I$5:$I$7,CE703)),0),0)</f>
        <v>0</v>
      </c>
      <c r="CQ703" s="52" t="n">
        <f aca="false">IF(AND(Parameter!$B$21="Ja",ISNUMBER(W703),N(X703)&gt;0),IFERROR(N(INDEX(Parameter!$L$5:$L$7,W703))*INDEX(Parameter!$E$5:$E$7,W703)*X703/SUMIFS($X$7:$X$1843,$W$7:$W$1843,W703),0),0)</f>
        <v>0</v>
      </c>
    </row>
    <row r="704" customFormat="false" ht="15" hidden="false" customHeight="false" outlineLevel="0" collapsed="false">
      <c r="A704" s="48" t="s">
        <v>1415</v>
      </c>
      <c r="B704" s="48" t="s">
        <v>1416</v>
      </c>
      <c r="C704" s="48" t="s">
        <v>173</v>
      </c>
      <c r="D704" s="48" t="s">
        <v>182</v>
      </c>
      <c r="E704" s="48" t="s">
        <v>1417</v>
      </c>
      <c r="F704" s="48" t="s">
        <v>227</v>
      </c>
      <c r="G704" s="49" t="n">
        <v>629.85</v>
      </c>
      <c r="H704" s="50" t="n">
        <f aca="false">MAX(0,IF(AND(Parameter!$B$21="Ja",ISNUMBER(Y704)),Y704,IF(Parameter!$B$20="Jahresanfang 2025 + Export",BR704+BQ704,BQ704)))</f>
        <v>0</v>
      </c>
      <c r="I704" s="50" t="n">
        <f aca="false">H704*G704</f>
        <v>0</v>
      </c>
      <c r="J704" s="50" t="n">
        <f aca="false">BT704*Parameter!$B$18</f>
        <v>0</v>
      </c>
      <c r="K704" s="51" t="n">
        <v>0</v>
      </c>
      <c r="L704" s="52" t="n">
        <v>0</v>
      </c>
      <c r="M704" s="50" t="n">
        <v>0</v>
      </c>
      <c r="N704" s="50" t="n">
        <v>1</v>
      </c>
      <c r="O704" s="53" t="n">
        <v>14</v>
      </c>
      <c r="P704" s="48" t="s">
        <v>177</v>
      </c>
      <c r="Q704" s="50"/>
      <c r="R704" s="53" t="n">
        <f aca="false">IF(BZ704=1,0,IFERROR(VLOOKUP(BX704,'Gebinde-Kategorie'!$A$5:$N$45,13,0)+0,0))</f>
        <v>4</v>
      </c>
      <c r="S704" s="54"/>
      <c r="T704" s="55" t="s">
        <v>198</v>
      </c>
      <c r="U704" s="55"/>
      <c r="V704" s="55"/>
      <c r="W704" s="48"/>
      <c r="X704" s="50"/>
      <c r="Y704" s="50"/>
      <c r="Z704" s="48" t="str">
        <f aca="false">IF(A704="","",IF(AND(Parameter!$B$21="Ja",ISNUMBER(W704)),W704,IF(CC704="2+3",IF(ISNUMBER(SEARCH("grosser Artikel",BU704)),2,IFERROR(VLOOKUP(BX704,Parameter!$F$35:$G$64,2,0),2)),IF(OR(CC704="Nein",CC704=""),"-",CC704))))</f>
        <v>-</v>
      </c>
      <c r="AA704" s="55"/>
      <c r="AB704" s="56"/>
      <c r="AC704" s="50" t="n">
        <f aca="false">AV704</f>
        <v>1</v>
      </c>
      <c r="AD704" s="50" t="n">
        <f aca="false">MAX(AV704,H704)</f>
        <v>1</v>
      </c>
      <c r="AE704" s="57"/>
      <c r="AF704" s="50" t="n">
        <f aca="false">IF(LEFT(Cockpit!$C$5,1)="A",H704,IF(Parameter!$E$30="MAX-Bestand",IF(CH704=1,CI704,IF(LEFT(Cockpit!$C$5,1)="B",AL704,MAX(AL704,H704))),ROUNDUP(AJ704,0)))</f>
        <v>0</v>
      </c>
      <c r="AG704" s="50" t="n">
        <f aca="false">IF(BZ704=1,0,ROUNDUP(AF704/BY704,0))</f>
        <v>0</v>
      </c>
      <c r="AH704" s="52" t="n">
        <f aca="false">IF(CQ704&gt;0,CQ704*MAX(1,AF704/X704),IF(BZ704=1,IF(AF704&lt;=0,0,CD704*MAX(1,IF(H704&gt;0,AF704/H704,1))),IF(R704&gt;0,AG704/R704,0))/MAX(0.1,N(Parameter!$M$21)))</f>
        <v>0</v>
      </c>
      <c r="AI704" s="50" t="n">
        <f aca="false">AH704*CB704</f>
        <v>0</v>
      </c>
      <c r="AJ704" s="51" t="n">
        <f aca="false">IF(LEFT(Cockpit!$C$5,1)="A",H704,IF(CH704=1,(CK704+CI704)/2,IF(LEFT(Cockpit!$C$5,1)="B",(CK704+AL704)/2,MAX((CK704+AL704)/2,H704))))</f>
        <v>0</v>
      </c>
      <c r="AK704" s="50" t="n">
        <f aca="false">AJ704*G704</f>
        <v>0</v>
      </c>
      <c r="AL704" s="50" t="n">
        <f aca="false">ROUNDUP(CK704+MAX(CL704,2*(J704/IF(CG704&gt;0,CG704,MAX(0.1,N(Cockpit!$C$6)))-CK704)),0)</f>
        <v>1</v>
      </c>
      <c r="AM704" s="51" t="n">
        <f aca="false">IF(AI704&gt;0,J704/AI704,-1)</f>
        <v>-1</v>
      </c>
      <c r="AN704" s="51" t="str">
        <f aca="false">IF(AND(OR(CF704="L1",CF704="L23",CF704="LIFT"),AI704&gt;0),SUMIFS($AI$7:$AI$1843,$CF$7:$CF$1843,CF704,$AM$7:$AM$1843,"&gt;"&amp;AM704)+SUMIFS($AI$7:$AI$1843,$CF$7:$CF$1843,CF704,$AM$7:$AM$1843,AM704,$BW$7:$BW$1843,"&lt;="&amp;BW704),"")</f>
        <v/>
      </c>
      <c r="AO704" s="58" t="n">
        <f aca="false">IF(AN704="",0,MAX(0,MIN(1,(IF(CF704="L1",Parameter!$H$5,IF(CF704="L23",Parameter!$H$6+Parameter!$H$7,Parameter!$H$5+Parameter!$H$6+Parameter!$H$7))-(AN704-AI704))/AI704)))</f>
        <v>0</v>
      </c>
      <c r="AP704" s="50" t="n">
        <f aca="false">IF(LEFT(Cockpit!$I$5,1)="A",H704,IF(Parameter!$E$30="MAX-Bestand",IF(CH704=1,CI704,IF(LEFT(Cockpit!$I$5,1)="B",AV704,MAX(AV704,H704))),ROUNDUP(AT704,0)))</f>
        <v>1</v>
      </c>
      <c r="AQ704" s="50" t="n">
        <f aca="false">IF(BZ704=1,0,ROUNDUP(AP704/BY704,0))</f>
        <v>1</v>
      </c>
      <c r="AR704" s="52" t="n">
        <f aca="false">IF(CQ704&gt;0,CQ704*MAX(1,AP704/X704),IF(BZ704=1,IF(AP704&lt;=0,0,CD704*MAX(1,IF(H704&gt;0,AP704/H704,1))),IF(R704&gt;0,AQ704/R704,0))/MAX(0.1,N(Parameter!$M$21)))</f>
        <v>0.25</v>
      </c>
      <c r="AS704" s="50" t="n">
        <f aca="false">AR704*CB704</f>
        <v>58.75</v>
      </c>
      <c r="AT704" s="51" t="n">
        <f aca="false">IF(LEFT(Cockpit!$I$5,1)="A",H704,IF(CH704=1,(CK704+CI704)/2,IF(LEFT(Cockpit!$I$5,1)="B",(CK704+AV704)/2,MAX((CK704+AV704)/2,H704))))</f>
        <v>0.5</v>
      </c>
      <c r="AU704" s="50" t="n">
        <f aca="false">AT704*G704</f>
        <v>314.925</v>
      </c>
      <c r="AV704" s="50" t="n">
        <f aca="false">ROUNDUP(CK704+MAX(CL704,2*(J704/IF(CG704&gt;0,CG704,MAX(0.1,N(Cockpit!$I$6)))-CK704)),0)</f>
        <v>1</v>
      </c>
      <c r="AW704" s="51" t="n">
        <f aca="false">IF(AS704&gt;0,J704/AS704,-1)</f>
        <v>0</v>
      </c>
      <c r="AX704" s="51" t="str">
        <f aca="false">IF(AND(OR(CF704="L1",CF704="L23",CF704="LIFT"),AS704&gt;0),SUMIFS($AS$7:$AS$1843,$CF$7:$CF$1843,CF704,$AW$7:$AW$1843,"&gt;"&amp;AW704)+SUMIFS($AS$7:$AS$1843,$CF$7:$CF$1843,CF704,$AW$7:$AW$1843,AW704,$BW$7:$BW$1843,"&lt;="&amp;BW704),"")</f>
        <v/>
      </c>
      <c r="AY704" s="58" t="n">
        <f aca="false">IF(AX704="",0,MAX(0,MIN(1,(IF(CF704="L1",Parameter!$H$5,IF(CF704="L23",Parameter!$H$6+Parameter!$H$7,Parameter!$H$5+Parameter!$H$6+Parameter!$H$7))-(AX704-AS704))/AS704)))</f>
        <v>0</v>
      </c>
      <c r="AZ704" s="50" t="n">
        <f aca="false">IF(LEFT(Cockpit!$O$5,1)="A",H704,IF(Parameter!$E$30="MAX-Bestand",IF(CH704=1,CI704,IF(LEFT(Cockpit!$O$5,1)="B",BF704,MAX(BF704,H704))),ROUNDUP(BD704,0)))</f>
        <v>1</v>
      </c>
      <c r="BA704" s="50" t="n">
        <f aca="false">IF(BZ704=1,0,ROUNDUP(AZ704/BY704,0))</f>
        <v>1</v>
      </c>
      <c r="BB704" s="52" t="n">
        <f aca="false">IF(CQ704&gt;0,CQ704*MAX(1,AZ704/X704),IF(BZ704=1,IF(AZ704&lt;=0,0,CD704*MAX(1,IF(H704&gt;0,AZ704/H704,1))),IF(R704&gt;0,BA704/R704,0))/MAX(0.1,N(Parameter!$M$21)))</f>
        <v>0.25</v>
      </c>
      <c r="BC704" s="50" t="n">
        <f aca="false">BB704*CB704</f>
        <v>58.75</v>
      </c>
      <c r="BD704" s="51" t="n">
        <f aca="false">IF(LEFT(Cockpit!$O$5,1)="A",H704,IF(CH704=1,(CK704+CI704)/2,IF(LEFT(Cockpit!$O$5,1)="B",(CK704+BF704)/2,MAX((CK704+BF704)/2,H704))))</f>
        <v>0.5</v>
      </c>
      <c r="BE704" s="50" t="n">
        <f aca="false">BD704*G704</f>
        <v>314.925</v>
      </c>
      <c r="BF704" s="50" t="n">
        <f aca="false">ROUNDUP(CK704+MAX(CL704,2*(J704/IF(CG704&gt;0,CG704,MAX(0.1,N(Cockpit!$O$6)))-CK704)),0)</f>
        <v>1</v>
      </c>
      <c r="BG704" s="51" t="n">
        <f aca="false">IF(BC704&gt;0,J704/BC704,-1)</f>
        <v>0</v>
      </c>
      <c r="BH704" s="51" t="str">
        <f aca="false">IF(AND(OR(CF704="L1",CF704="L23",CF704="LIFT"),BC704&gt;0),SUMIFS($BC$7:$BC$1843,$CF$7:$CF$1843,CF704,$BG$7:$BG$1843,"&gt;"&amp;BG704)+SUMIFS($BC$7:$BC$1843,$CF$7:$CF$1843,CF704,$BG$7:$BG$1843,BG704,$BW$7:$BW$1843,"&lt;="&amp;BW704),"")</f>
        <v/>
      </c>
      <c r="BI704" s="58" t="n">
        <f aca="false">IF(BH704="",0,MAX(0,MIN(1,(IF(CF704="L1",Parameter!$H$5,IF(CF704="L23",Parameter!$H$6+Parameter!$H$7,Parameter!$H$5+Parameter!$H$6+Parameter!$H$7))-(BH704-BC704))/BC704)))</f>
        <v>0</v>
      </c>
      <c r="BJ704" s="48" t="str">
        <f aca="false">IF(AI704&lt;=0,"",IF(CF704="Aussen","Aussenlager",IF(CF704="-","Nicht im Lift",IF(AO704&gt;=1,"Lift",IF(AO704&lt;=0,"Aussenlager","teilweise")))))</f>
        <v/>
      </c>
      <c r="BK704" s="48" t="str">
        <f aca="false">IF(AS704&lt;=0,"",IF(CF704="Aussen","Aussenlager",IF(CF704="-","Nicht im Lift",IF(AY704&gt;=1,"Lift",IF(AY704&lt;=0,"Aussenlager","teilweise")))))</f>
        <v>Nicht im Lift</v>
      </c>
      <c r="BL704" s="48" t="str">
        <f aca="false">IF(BC704&lt;=0,"",IF(CF704="Aussen","Aussenlager",IF(CF704="-","Nicht im Lift",IF(BI704&gt;=1,"Lift",IF(BI704&lt;=0,"Aussenlager","teilweise")))))</f>
        <v>Nicht im Lift</v>
      </c>
      <c r="BM704" s="48" t="str">
        <f aca="false">IF(A704="","",IF(BV704=1,"Neu; ","")&amp;IF(AND(BV704=0,BQ704&lt;0),"negativer Bestand (Export "&amp;BQ704&amp;"); ","")&amp;IF(J704&lt;=0,"Kein Verbrauch; ","")&amp;IF(CQ704&gt;0,"Lift "&amp;W704&amp;" lt. Liftbericht (Fach "&amp;X704&amp;" Stk); ",IF(CA704=1,"Gebinde geschätzt ("&amp;T704&amp;"); ",IF(BZ704=1,"Lose – Tablare geschätzt; ","")))&amp;IF(H704&gt;AV704,"Überbestand "&amp;ROUND(H704-AV704,0)&amp;" Stk / CHF "&amp;ROUND((H704-AV704)*G704,0)&amp;"; ","")&amp;IF(AND(CH704=1,CI704&lt;CJ704),"MAX &lt; MB+LG; ","")&amp;IF(AND(CP704&gt;0,CO704*10&gt;CP704),"zu hoch für Tablar; ","")&amp;IF(AND(BV704=0,OR(CH704=1,AA704&lt;&gt;"",U704&lt;&gt;"",V704&lt;&gt;"",AB704&lt;&gt;"")),"manuell übersteuert; ","")&amp;IF(AND(BZ704=0,R704=0),"Gebinde unbekannt / Stellmass fehlt; ","")&amp;IF(AND(BZ704=0,N(V704)&lt;=0,N(Q704)&lt;=0),"Menge pro Gebinde fehlt (Ist = 1 Gebinde); ","")&amp;BU704)</f>
        <v>Kein Verbrauch; Gebinde geschätzt (Gross); Menge pro Gebinde fehlt (Ist = 1 Gebinde); </v>
      </c>
      <c r="BN704" s="48"/>
      <c r="BO704" s="48"/>
      <c r="BP704" s="55"/>
      <c r="BQ704" s="50" t="n">
        <v>0</v>
      </c>
      <c r="BR704" s="50" t="n">
        <v>0</v>
      </c>
      <c r="BS704" s="49" t="n">
        <v>0</v>
      </c>
      <c r="BT704" s="50" t="n">
        <v>0</v>
      </c>
      <c r="BU704" s="48"/>
      <c r="BV704" s="53" t="n">
        <v>0</v>
      </c>
      <c r="BW704" s="53" t="n">
        <v>704</v>
      </c>
      <c r="BX704" s="48" t="str">
        <f aca="false">IF(U704&lt;&gt;"",UPPER(TRIM(U704)),IF(CA704=1,UPPER(VLOOKUP(T704,Parameter!$I$27:$K$29,2,0)),IF(P704="","LOSE",P704)))</f>
        <v>S81</v>
      </c>
      <c r="BY704" s="50" t="n">
        <f aca="false">IF(BX704="LOSE",1,IF(N(V704)&gt;0,V704,IF(CA704=1,MAX(1,N(VLOOKUP(T704,Parameter!$I$27:$K$29,3,0)),H704,N(N704)),IF(N(Q704)&gt;0,Q704,MAX(1,H704)))))</f>
        <v>2</v>
      </c>
      <c r="BZ704" s="53" t="n">
        <f aca="false">IF(BX704="LOSE",1,0)</f>
        <v>0</v>
      </c>
      <c r="CA704" s="53" t="n">
        <f aca="false">IF(AND(U704="",OR(P704="",P704="LOSE"),T704&lt;&gt;"",N(S704)&lt;=0,ISNUMBER(MATCH(T704,Parameter!$I$27:$I$29,0))),1,0)</f>
        <v>1</v>
      </c>
      <c r="CB704" s="53" t="n">
        <f aca="false">IF(CQ704&gt;0,INDEX(Parameter!$H$5:$H$7,W704)/INDEX(Parameter!$E$5:$E$7,W704),IF(AND(BZ704=0,N(IFERROR(VLOOKUP(BX704,'Gebinde-Kategorie'!$A$5:$N$45,14,0),0))&gt;0),VLOOKUP(BX704,'Gebinde-Kategorie'!$A$5:$N$45,14,0)*10+Parameter!$M$23,Parameter!$M$24))</f>
        <v>235</v>
      </c>
      <c r="CC704" s="48" t="str">
        <f aca="false">IF(AND(Parameter!$B$19="Ja",E704&lt;&gt;"",ISNUMBER(MATCH(E704,Parameter!$I$35:$I$52,0))),VLOOKUP(E704,Parameter!$I$35:$J$52,2,0),IFERROR(VLOOKUP(D704,Parameter!$A$35:$C$64,2,0),"Nein"))</f>
        <v>Nein</v>
      </c>
      <c r="CD704" s="52" t="n">
        <f aca="false">IF(BZ704=0,0,IF(N(S704)&gt;0,S704,IFERROR(VLOOKUP(D704,Parameter!$A$35:$C$64,3,0)+0,0)))</f>
        <v>0</v>
      </c>
      <c r="CE704" s="48" t="str">
        <f aca="false">IF(AA704&lt;&gt;"",AA704,Z704)</f>
        <v>-</v>
      </c>
      <c r="CF704" s="48" t="str">
        <f aca="false">IF(OR(CE704=1,CE704=2,CE704=3),IF(Parameter!$E$27="Ja","LIFT",IF(CE704=1,"L1","L23")),IF(CE704="Aussen","Aussen","-"))</f>
        <v>-</v>
      </c>
      <c r="CG704" s="59" t="n">
        <f aca="false">IF(N(AB704)&gt;0,AB704,0)</f>
        <v>0</v>
      </c>
      <c r="CH704" s="53" t="n">
        <f aca="false">IF(ISNUMBER(AE704),1,0)</f>
        <v>0</v>
      </c>
      <c r="CI704" s="50" t="n">
        <f aca="false">N(AE704)</f>
        <v>0</v>
      </c>
      <c r="CJ704" s="50" t="n">
        <f aca="false">N(M704)+N(N704)</f>
        <v>1</v>
      </c>
      <c r="CK704" s="50" t="n">
        <f aca="false">N(M704)</f>
        <v>0</v>
      </c>
      <c r="CL704" s="50" t="n">
        <f aca="false">N(N704)</f>
        <v>1</v>
      </c>
      <c r="CM704" s="50" t="n">
        <f aca="false">ROUNDUP(H704/BY704,0)</f>
        <v>0</v>
      </c>
      <c r="CN704" s="50" t="n">
        <f aca="false">ROUNDUP(CI704/BY704,0)</f>
        <v>0</v>
      </c>
      <c r="CO704" s="53" t="n">
        <f aca="false">IF(BZ704=1,0,IFERROR(VLOOKUP(BX704,'Gebinde-Kategorie'!$A$5:$N$45,5,0)+0,0))</f>
        <v>20</v>
      </c>
      <c r="CP704" s="53" t="n">
        <f aca="false">IFERROR(IF(OR(CE704=1,CE704=2,CE704=3),N(INDEX(Parameter!$I$5:$I$7,CE704)),0),0)</f>
        <v>0</v>
      </c>
      <c r="CQ704" s="52" t="n">
        <f aca="false">IF(AND(Parameter!$B$21="Ja",ISNUMBER(W704),N(X704)&gt;0),IFERROR(N(INDEX(Parameter!$L$5:$L$7,W704))*INDEX(Parameter!$E$5:$E$7,W704)*X704/SUMIFS($X$7:$X$1843,$W$7:$W$1843,W704),0),0)</f>
        <v>0</v>
      </c>
    </row>
    <row r="705" customFormat="false" ht="15" hidden="false" customHeight="false" outlineLevel="0" collapsed="false">
      <c r="A705" s="48" t="s">
        <v>1418</v>
      </c>
      <c r="B705" s="48" t="s">
        <v>1419</v>
      </c>
      <c r="C705" s="48" t="s">
        <v>173</v>
      </c>
      <c r="D705" s="48" t="s">
        <v>1004</v>
      </c>
      <c r="E705" s="48" t="s">
        <v>1417</v>
      </c>
      <c r="F705" s="48" t="s">
        <v>227</v>
      </c>
      <c r="G705" s="49" t="n">
        <v>12657.45</v>
      </c>
      <c r="H705" s="50" t="n">
        <f aca="false">MAX(0,IF(AND(Parameter!$B$21="Ja",ISNUMBER(Y705)),Y705,IF(Parameter!$B$20="Jahresanfang 2025 + Export",BR705+BQ705,BQ705)))</f>
        <v>0</v>
      </c>
      <c r="I705" s="50" t="n">
        <f aca="false">H705*G705</f>
        <v>0</v>
      </c>
      <c r="J705" s="50" t="n">
        <f aca="false">BT705*Parameter!$B$18</f>
        <v>0</v>
      </c>
      <c r="K705" s="51" t="n">
        <v>1</v>
      </c>
      <c r="L705" s="52" t="n">
        <v>0</v>
      </c>
      <c r="M705" s="50" t="n">
        <v>0</v>
      </c>
      <c r="N705" s="50" t="n">
        <v>1</v>
      </c>
      <c r="O705" s="53" t="n">
        <v>35</v>
      </c>
      <c r="P705" s="48" t="s">
        <v>177</v>
      </c>
      <c r="Q705" s="50"/>
      <c r="R705" s="53" t="n">
        <f aca="false">IF(BZ705=1,0,IFERROR(VLOOKUP(BX705,'Gebinde-Kategorie'!$A$5:$N$45,13,0)+0,0))</f>
        <v>0</v>
      </c>
      <c r="S705" s="54"/>
      <c r="T705" s="55"/>
      <c r="U705" s="55"/>
      <c r="V705" s="55"/>
      <c r="W705" s="48"/>
      <c r="X705" s="50"/>
      <c r="Y705" s="50"/>
      <c r="Z705" s="48" t="str">
        <f aca="false">IF(A705="","",IF(AND(Parameter!$B$21="Ja",ISNUMBER(W705)),W705,IF(CC705="2+3",IF(ISNUMBER(SEARCH("grosser Artikel",BU705)),2,IFERROR(VLOOKUP(BX705,Parameter!$F$35:$G$64,2,0),2)),IF(OR(CC705="Nein",CC705=""),"-",CC705))))</f>
        <v>-</v>
      </c>
      <c r="AA705" s="55"/>
      <c r="AB705" s="56"/>
      <c r="AC705" s="50" t="n">
        <f aca="false">AV705</f>
        <v>1</v>
      </c>
      <c r="AD705" s="50" t="n">
        <f aca="false">MAX(AV705,H705)</f>
        <v>1</v>
      </c>
      <c r="AE705" s="57"/>
      <c r="AF705" s="50" t="n">
        <f aca="false">IF(LEFT(Cockpit!$C$5,1)="A",H705,IF(Parameter!$E$30="MAX-Bestand",IF(CH705=1,CI705,IF(LEFT(Cockpit!$C$5,1)="B",AL705,MAX(AL705,H705))),ROUNDUP(AJ705,0)))</f>
        <v>0</v>
      </c>
      <c r="AG705" s="50" t="n">
        <f aca="false">IF(BZ705=1,0,ROUNDUP(AF705/BY705,0))</f>
        <v>0</v>
      </c>
      <c r="AH705" s="52" t="n">
        <f aca="false">IF(CQ705&gt;0,CQ705*MAX(1,AF705/X705),IF(BZ705=1,IF(AF705&lt;=0,0,CD705*MAX(1,IF(H705&gt;0,AF705/H705,1))),IF(R705&gt;0,AG705/R705,0))/MAX(0.1,N(Parameter!$M$21)))</f>
        <v>0</v>
      </c>
      <c r="AI705" s="50" t="n">
        <f aca="false">AH705*CB705</f>
        <v>0</v>
      </c>
      <c r="AJ705" s="51" t="n">
        <f aca="false">IF(LEFT(Cockpit!$C$5,1)="A",H705,IF(CH705=1,(CK705+CI705)/2,IF(LEFT(Cockpit!$C$5,1)="B",(CK705+AL705)/2,MAX((CK705+AL705)/2,H705))))</f>
        <v>0</v>
      </c>
      <c r="AK705" s="50" t="n">
        <f aca="false">AJ705*G705</f>
        <v>0</v>
      </c>
      <c r="AL705" s="50" t="n">
        <f aca="false">ROUNDUP(CK705+MAX(CL705,2*(J705/IF(CG705&gt;0,CG705,MAX(0.1,N(Cockpit!$C$6)))-CK705)),0)</f>
        <v>1</v>
      </c>
      <c r="AM705" s="51" t="n">
        <f aca="false">IF(AI705&gt;0,J705/AI705,-1)</f>
        <v>-1</v>
      </c>
      <c r="AN705" s="51" t="str">
        <f aca="false">IF(AND(OR(CF705="L1",CF705="L23",CF705="LIFT"),AI705&gt;0),SUMIFS($AI$7:$AI$1843,$CF$7:$CF$1843,CF705,$AM$7:$AM$1843,"&gt;"&amp;AM705)+SUMIFS($AI$7:$AI$1843,$CF$7:$CF$1843,CF705,$AM$7:$AM$1843,AM705,$BW$7:$BW$1843,"&lt;="&amp;BW705),"")</f>
        <v/>
      </c>
      <c r="AO705" s="58" t="n">
        <f aca="false">IF(AN705="",0,MAX(0,MIN(1,(IF(CF705="L1",Parameter!$H$5,IF(CF705="L23",Parameter!$H$6+Parameter!$H$7,Parameter!$H$5+Parameter!$H$6+Parameter!$H$7))-(AN705-AI705))/AI705)))</f>
        <v>0</v>
      </c>
      <c r="AP705" s="50" t="n">
        <f aca="false">IF(LEFT(Cockpit!$I$5,1)="A",H705,IF(Parameter!$E$30="MAX-Bestand",IF(CH705=1,CI705,IF(LEFT(Cockpit!$I$5,1)="B",AV705,MAX(AV705,H705))),ROUNDUP(AT705,0)))</f>
        <v>1</v>
      </c>
      <c r="AQ705" s="50" t="n">
        <f aca="false">IF(BZ705=1,0,ROUNDUP(AP705/BY705,0))</f>
        <v>0</v>
      </c>
      <c r="AR705" s="52" t="n">
        <f aca="false">IF(CQ705&gt;0,CQ705*MAX(1,AP705/X705),IF(BZ705=1,IF(AP705&lt;=0,0,CD705*MAX(1,IF(H705&gt;0,AP705/H705,1))),IF(R705&gt;0,AQ705/R705,0))/MAX(0.1,N(Parameter!$M$21)))</f>
        <v>0.15</v>
      </c>
      <c r="AS705" s="50" t="n">
        <f aca="false">AR705*CB705</f>
        <v>35.25</v>
      </c>
      <c r="AT705" s="51" t="n">
        <f aca="false">IF(LEFT(Cockpit!$I$5,1)="A",H705,IF(CH705=1,(CK705+CI705)/2,IF(LEFT(Cockpit!$I$5,1)="B",(CK705+AV705)/2,MAX((CK705+AV705)/2,H705))))</f>
        <v>0.5</v>
      </c>
      <c r="AU705" s="50" t="n">
        <f aca="false">AT705*G705</f>
        <v>6328.725</v>
      </c>
      <c r="AV705" s="50" t="n">
        <f aca="false">ROUNDUP(CK705+MAX(CL705,2*(J705/IF(CG705&gt;0,CG705,MAX(0.1,N(Cockpit!$I$6)))-CK705)),0)</f>
        <v>1</v>
      </c>
      <c r="AW705" s="51" t="n">
        <f aca="false">IF(AS705&gt;0,J705/AS705,-1)</f>
        <v>0</v>
      </c>
      <c r="AX705" s="51" t="str">
        <f aca="false">IF(AND(OR(CF705="L1",CF705="L23",CF705="LIFT"),AS705&gt;0),SUMIFS($AS$7:$AS$1843,$CF$7:$CF$1843,CF705,$AW$7:$AW$1843,"&gt;"&amp;AW705)+SUMIFS($AS$7:$AS$1843,$CF$7:$CF$1843,CF705,$AW$7:$AW$1843,AW705,$BW$7:$BW$1843,"&lt;="&amp;BW705),"")</f>
        <v/>
      </c>
      <c r="AY705" s="58" t="n">
        <f aca="false">IF(AX705="",0,MAX(0,MIN(1,(IF(CF705="L1",Parameter!$H$5,IF(CF705="L23",Parameter!$H$6+Parameter!$H$7,Parameter!$H$5+Parameter!$H$6+Parameter!$H$7))-(AX705-AS705))/AS705)))</f>
        <v>0</v>
      </c>
      <c r="AZ705" s="50" t="n">
        <f aca="false">IF(LEFT(Cockpit!$O$5,1)="A",H705,IF(Parameter!$E$30="MAX-Bestand",IF(CH705=1,CI705,IF(LEFT(Cockpit!$O$5,1)="B",BF705,MAX(BF705,H705))),ROUNDUP(BD705,0)))</f>
        <v>1</v>
      </c>
      <c r="BA705" s="50" t="n">
        <f aca="false">IF(BZ705=1,0,ROUNDUP(AZ705/BY705,0))</f>
        <v>0</v>
      </c>
      <c r="BB705" s="52" t="n">
        <f aca="false">IF(CQ705&gt;0,CQ705*MAX(1,AZ705/X705),IF(BZ705=1,IF(AZ705&lt;=0,0,CD705*MAX(1,IF(H705&gt;0,AZ705/H705,1))),IF(R705&gt;0,BA705/R705,0))/MAX(0.1,N(Parameter!$M$21)))</f>
        <v>0.15</v>
      </c>
      <c r="BC705" s="50" t="n">
        <f aca="false">BB705*CB705</f>
        <v>35.25</v>
      </c>
      <c r="BD705" s="51" t="n">
        <f aca="false">IF(LEFT(Cockpit!$O$5,1)="A",H705,IF(CH705=1,(CK705+CI705)/2,IF(LEFT(Cockpit!$O$5,1)="B",(CK705+BF705)/2,MAX((CK705+BF705)/2,H705))))</f>
        <v>0.5</v>
      </c>
      <c r="BE705" s="50" t="n">
        <f aca="false">BD705*G705</f>
        <v>6328.725</v>
      </c>
      <c r="BF705" s="50" t="n">
        <f aca="false">ROUNDUP(CK705+MAX(CL705,2*(J705/IF(CG705&gt;0,CG705,MAX(0.1,N(Cockpit!$O$6)))-CK705)),0)</f>
        <v>1</v>
      </c>
      <c r="BG705" s="51" t="n">
        <f aca="false">IF(BC705&gt;0,J705/BC705,-1)</f>
        <v>0</v>
      </c>
      <c r="BH705" s="51" t="str">
        <f aca="false">IF(AND(OR(CF705="L1",CF705="L23",CF705="LIFT"),BC705&gt;0),SUMIFS($BC$7:$BC$1843,$CF$7:$CF$1843,CF705,$BG$7:$BG$1843,"&gt;"&amp;BG705)+SUMIFS($BC$7:$BC$1843,$CF$7:$CF$1843,CF705,$BG$7:$BG$1843,BG705,$BW$7:$BW$1843,"&lt;="&amp;BW705),"")</f>
        <v/>
      </c>
      <c r="BI705" s="58" t="n">
        <f aca="false">IF(BH705="",0,MAX(0,MIN(1,(IF(CF705="L1",Parameter!$H$5,IF(CF705="L23",Parameter!$H$6+Parameter!$H$7,Parameter!$H$5+Parameter!$H$6+Parameter!$H$7))-(BH705-BC705))/BC705)))</f>
        <v>0</v>
      </c>
      <c r="BJ705" s="48" t="str">
        <f aca="false">IF(AI705&lt;=0,"",IF(CF705="Aussen","Aussenlager",IF(CF705="-","Nicht im Lift",IF(AO705&gt;=1,"Lift",IF(AO705&lt;=0,"Aussenlager","teilweise")))))</f>
        <v/>
      </c>
      <c r="BK705" s="48" t="str">
        <f aca="false">IF(AS705&lt;=0,"",IF(CF705="Aussen","Aussenlager",IF(CF705="-","Nicht im Lift",IF(AY705&gt;=1,"Lift",IF(AY705&lt;=0,"Aussenlager","teilweise")))))</f>
        <v>Nicht im Lift</v>
      </c>
      <c r="BL705" s="48" t="str">
        <f aca="false">IF(BC705&lt;=0,"",IF(CF705="Aussen","Aussenlager",IF(CF705="-","Nicht im Lift",IF(BI705&gt;=1,"Lift",IF(BI705&lt;=0,"Aussenlager","teilweise")))))</f>
        <v>Nicht im Lift</v>
      </c>
      <c r="BM705" s="48" t="str">
        <f aca="false">IF(A705="","",IF(BV705=1,"Neu; ","")&amp;IF(AND(BV705=0,BQ705&lt;0),"negativer Bestand (Export "&amp;BQ705&amp;"); ","")&amp;IF(J705&lt;=0,"Kein Verbrauch; ","")&amp;IF(CQ705&gt;0,"Lift "&amp;W705&amp;" lt. Liftbericht (Fach "&amp;X705&amp;" Stk); ",IF(CA705=1,"Gebinde geschätzt ("&amp;T705&amp;"); ",IF(BZ705=1,"Lose – Tablare geschätzt; ","")))&amp;IF(H705&gt;AV705,"Überbestand "&amp;ROUND(H705-AV705,0)&amp;" Stk / CHF "&amp;ROUND((H705-AV705)*G705,0)&amp;"; ","")&amp;IF(AND(CH705=1,CI705&lt;CJ705),"MAX &lt; MB+LG; ","")&amp;IF(AND(CP705&gt;0,CO705*10&gt;CP705),"zu hoch für Tablar; ","")&amp;IF(AND(BV705=0,OR(CH705=1,AA705&lt;&gt;"",U705&lt;&gt;"",V705&lt;&gt;"",AB705&lt;&gt;"")),"manuell übersteuert; ","")&amp;IF(AND(BZ705=0,R705=0),"Gebinde unbekannt / Stellmass fehlt; ","")&amp;IF(AND(BZ705=0,N(V705)&lt;=0,N(Q705)&lt;=0),"Menge pro Gebinde fehlt (Ist = 1 Gebinde); ","")&amp;BU705)</f>
        <v>Kein Verbrauch; Lose – Tablare geschätzt; </v>
      </c>
      <c r="BN705" s="48"/>
      <c r="BO705" s="48"/>
      <c r="BP705" s="55"/>
      <c r="BQ705" s="50" t="n">
        <v>0</v>
      </c>
      <c r="BR705" s="50" t="n">
        <v>0</v>
      </c>
      <c r="BS705" s="49" t="n">
        <v>0</v>
      </c>
      <c r="BT705" s="50" t="n">
        <v>0</v>
      </c>
      <c r="BU705" s="48"/>
      <c r="BV705" s="53" t="n">
        <v>0</v>
      </c>
      <c r="BW705" s="53" t="n">
        <v>705</v>
      </c>
      <c r="BX705" s="48" t="str">
        <f aca="false">IF(U705&lt;&gt;"",UPPER(TRIM(U705)),IF(CA705=1,UPPER(VLOOKUP(T705,Parameter!$I$27:$K$29,2,0)),IF(P705="","LOSE",P705)))</f>
        <v>LOSE</v>
      </c>
      <c r="BY705" s="50" t="n">
        <f aca="false">IF(BX705="LOSE",1,IF(N(V705)&gt;0,V705,IF(CA705=1,MAX(1,N(VLOOKUP(T705,Parameter!$I$27:$K$29,3,0)),H705,N(N705)),IF(N(Q705)&gt;0,Q705,MAX(1,H705)))))</f>
        <v>1</v>
      </c>
      <c r="BZ705" s="53" t="n">
        <f aca="false">IF(BX705="LOSE",1,0)</f>
        <v>1</v>
      </c>
      <c r="CA705" s="53" t="n">
        <f aca="false">IF(AND(U705="",OR(P705="",P705="LOSE"),T705&lt;&gt;"",N(S705)&lt;=0,ISNUMBER(MATCH(T705,Parameter!$I$27:$I$29,0))),1,0)</f>
        <v>0</v>
      </c>
      <c r="CB705" s="53" t="n">
        <f aca="false">IF(CQ705&gt;0,INDEX(Parameter!$H$5:$H$7,W705)/INDEX(Parameter!$E$5:$E$7,W705),IF(AND(BZ705=0,N(IFERROR(VLOOKUP(BX705,'Gebinde-Kategorie'!$A$5:$N$45,14,0),0))&gt;0),VLOOKUP(BX705,'Gebinde-Kategorie'!$A$5:$N$45,14,0)*10+Parameter!$M$23,Parameter!$M$24))</f>
        <v>235</v>
      </c>
      <c r="CC705" s="48" t="str">
        <f aca="false">IF(AND(Parameter!$B$19="Ja",E705&lt;&gt;"",ISNUMBER(MATCH(E705,Parameter!$I$35:$I$52,0))),VLOOKUP(E705,Parameter!$I$35:$J$52,2,0),IFERROR(VLOOKUP(D705,Parameter!$A$35:$C$64,2,0),"Nein"))</f>
        <v>Nein</v>
      </c>
      <c r="CD705" s="52" t="n">
        <f aca="false">IF(BZ705=0,0,IF(N(S705)&gt;0,S705,IFERROR(VLOOKUP(D705,Parameter!$A$35:$C$64,3,0)+0,0)))</f>
        <v>0.15</v>
      </c>
      <c r="CE705" s="48" t="str">
        <f aca="false">IF(AA705&lt;&gt;"",AA705,Z705)</f>
        <v>-</v>
      </c>
      <c r="CF705" s="48" t="str">
        <f aca="false">IF(OR(CE705=1,CE705=2,CE705=3),IF(Parameter!$E$27="Ja","LIFT",IF(CE705=1,"L1","L23")),IF(CE705="Aussen","Aussen","-"))</f>
        <v>-</v>
      </c>
      <c r="CG705" s="59" t="n">
        <f aca="false">IF(N(AB705)&gt;0,AB705,0)</f>
        <v>0</v>
      </c>
      <c r="CH705" s="53" t="n">
        <f aca="false">IF(ISNUMBER(AE705),1,0)</f>
        <v>0</v>
      </c>
      <c r="CI705" s="50" t="n">
        <f aca="false">N(AE705)</f>
        <v>0</v>
      </c>
      <c r="CJ705" s="50" t="n">
        <f aca="false">N(M705)+N(N705)</f>
        <v>1</v>
      </c>
      <c r="CK705" s="50" t="n">
        <f aca="false">N(M705)</f>
        <v>0</v>
      </c>
      <c r="CL705" s="50" t="n">
        <f aca="false">N(N705)</f>
        <v>1</v>
      </c>
      <c r="CM705" s="50" t="n">
        <f aca="false">ROUNDUP(H705/BY705,0)</f>
        <v>0</v>
      </c>
      <c r="CN705" s="50" t="n">
        <f aca="false">ROUNDUP(CI705/BY705,0)</f>
        <v>0</v>
      </c>
      <c r="CO705" s="53" t="n">
        <f aca="false">IF(BZ705=1,0,IFERROR(VLOOKUP(BX705,'Gebinde-Kategorie'!$A$5:$N$45,5,0)+0,0))</f>
        <v>0</v>
      </c>
      <c r="CP705" s="53" t="n">
        <f aca="false">IFERROR(IF(OR(CE705=1,CE705=2,CE705=3),N(INDEX(Parameter!$I$5:$I$7,CE705)),0),0)</f>
        <v>0</v>
      </c>
      <c r="CQ705" s="52" t="n">
        <f aca="false">IF(AND(Parameter!$B$21="Ja",ISNUMBER(W705),N(X705)&gt;0),IFERROR(N(INDEX(Parameter!$L$5:$L$7,W705))*INDEX(Parameter!$E$5:$E$7,W705)*X705/SUMIFS($X$7:$X$1843,$W$7:$W$1843,W705),0),0)</f>
        <v>0</v>
      </c>
    </row>
    <row r="706" customFormat="false" ht="15" hidden="false" customHeight="false" outlineLevel="0" collapsed="false">
      <c r="A706" s="48" t="s">
        <v>1420</v>
      </c>
      <c r="B706" s="48" t="s">
        <v>642</v>
      </c>
      <c r="C706" s="48" t="s">
        <v>173</v>
      </c>
      <c r="D706" s="48" t="s">
        <v>182</v>
      </c>
      <c r="E706" s="48" t="s">
        <v>1417</v>
      </c>
      <c r="F706" s="48" t="s">
        <v>227</v>
      </c>
      <c r="G706" s="49" t="n">
        <v>798.3</v>
      </c>
      <c r="H706" s="50" t="n">
        <f aca="false">MAX(0,IF(AND(Parameter!$B$21="Ja",ISNUMBER(Y706)),Y706,IF(Parameter!$B$20="Jahresanfang 2025 + Export",BR706+BQ706,BQ706)))</f>
        <v>0</v>
      </c>
      <c r="I706" s="50" t="n">
        <f aca="false">H706*G706</f>
        <v>0</v>
      </c>
      <c r="J706" s="50" t="n">
        <f aca="false">BT706*Parameter!$B$18</f>
        <v>2</v>
      </c>
      <c r="K706" s="51" t="n">
        <v>5.5</v>
      </c>
      <c r="L706" s="52" t="n">
        <v>0.363636363636364</v>
      </c>
      <c r="M706" s="50" t="n">
        <v>0</v>
      </c>
      <c r="N706" s="50" t="n">
        <v>1</v>
      </c>
      <c r="O706" s="53" t="n">
        <v>14</v>
      </c>
      <c r="P706" s="48" t="s">
        <v>177</v>
      </c>
      <c r="Q706" s="50"/>
      <c r="R706" s="53" t="n">
        <f aca="false">IF(BZ706=1,0,IFERROR(VLOOKUP(BX706,'Gebinde-Kategorie'!$A$5:$N$45,13,0)+0,0))</f>
        <v>4</v>
      </c>
      <c r="S706" s="54"/>
      <c r="T706" s="55" t="s">
        <v>198</v>
      </c>
      <c r="U706" s="55"/>
      <c r="V706" s="55"/>
      <c r="W706" s="48"/>
      <c r="X706" s="50"/>
      <c r="Y706" s="50"/>
      <c r="Z706" s="48" t="str">
        <f aca="false">IF(A706="","",IF(AND(Parameter!$B$21="Ja",ISNUMBER(W706)),W706,IF(CC706="2+3",IF(ISNUMBER(SEARCH("grosser Artikel",BU706)),2,IFERROR(VLOOKUP(BX706,Parameter!$F$35:$G$64,2,0),2)),IF(OR(CC706="Nein",CC706=""),"-",CC706))))</f>
        <v>-</v>
      </c>
      <c r="AA706" s="55"/>
      <c r="AB706" s="56"/>
      <c r="AC706" s="50" t="n">
        <f aca="false">AV706</f>
        <v>2</v>
      </c>
      <c r="AD706" s="50" t="n">
        <f aca="false">MAX(AV706,H706)</f>
        <v>2</v>
      </c>
      <c r="AE706" s="57"/>
      <c r="AF706" s="50" t="n">
        <f aca="false">IF(LEFT(Cockpit!$C$5,1)="A",H706,IF(Parameter!$E$30="MAX-Bestand",IF(CH706=1,CI706,IF(LEFT(Cockpit!$C$5,1)="B",AL706,MAX(AL706,H706))),ROUNDUP(AJ706,0)))</f>
        <v>0</v>
      </c>
      <c r="AG706" s="50" t="n">
        <f aca="false">IF(BZ706=1,0,ROUNDUP(AF706/BY706,0))</f>
        <v>0</v>
      </c>
      <c r="AH706" s="52" t="n">
        <f aca="false">IF(CQ706&gt;0,CQ706*MAX(1,AF706/X706),IF(BZ706=1,IF(AF706&lt;=0,0,CD706*MAX(1,IF(H706&gt;0,AF706/H706,1))),IF(R706&gt;0,AG706/R706,0))/MAX(0.1,N(Parameter!$M$21)))</f>
        <v>0</v>
      </c>
      <c r="AI706" s="50" t="n">
        <f aca="false">AH706*CB706</f>
        <v>0</v>
      </c>
      <c r="AJ706" s="51" t="n">
        <f aca="false">IF(LEFT(Cockpit!$C$5,1)="A",H706,IF(CH706=1,(CK706+CI706)/2,IF(LEFT(Cockpit!$C$5,1)="B",(CK706+AL706)/2,MAX((CK706+AL706)/2,H706))))</f>
        <v>0</v>
      </c>
      <c r="AK706" s="50" t="n">
        <f aca="false">AJ706*G706</f>
        <v>0</v>
      </c>
      <c r="AL706" s="50" t="n">
        <f aca="false">ROUNDUP(CK706+MAX(CL706,2*(J706/IF(CG706&gt;0,CG706,MAX(0.1,N(Cockpit!$C$6)))-CK706)),0)</f>
        <v>2</v>
      </c>
      <c r="AM706" s="51" t="n">
        <f aca="false">IF(AI706&gt;0,J706/AI706,-1)</f>
        <v>-1</v>
      </c>
      <c r="AN706" s="51" t="str">
        <f aca="false">IF(AND(OR(CF706="L1",CF706="L23",CF706="LIFT"),AI706&gt;0),SUMIFS($AI$7:$AI$1843,$CF$7:$CF$1843,CF706,$AM$7:$AM$1843,"&gt;"&amp;AM706)+SUMIFS($AI$7:$AI$1843,$CF$7:$CF$1843,CF706,$AM$7:$AM$1843,AM706,$BW$7:$BW$1843,"&lt;="&amp;BW706),"")</f>
        <v/>
      </c>
      <c r="AO706" s="58" t="n">
        <f aca="false">IF(AN706="",0,MAX(0,MIN(1,(IF(CF706="L1",Parameter!$H$5,IF(CF706="L23",Parameter!$H$6+Parameter!$H$7,Parameter!$H$5+Parameter!$H$6+Parameter!$H$7))-(AN706-AI706))/AI706)))</f>
        <v>0</v>
      </c>
      <c r="AP706" s="50" t="n">
        <f aca="false">IF(LEFT(Cockpit!$I$5,1)="A",H706,IF(Parameter!$E$30="MAX-Bestand",IF(CH706=1,CI706,IF(LEFT(Cockpit!$I$5,1)="B",AV706,MAX(AV706,H706))),ROUNDUP(AT706,0)))</f>
        <v>1</v>
      </c>
      <c r="AQ706" s="50" t="n">
        <f aca="false">IF(BZ706=1,0,ROUNDUP(AP706/BY706,0))</f>
        <v>1</v>
      </c>
      <c r="AR706" s="52" t="n">
        <f aca="false">IF(CQ706&gt;0,CQ706*MAX(1,AP706/X706),IF(BZ706=1,IF(AP706&lt;=0,0,CD706*MAX(1,IF(H706&gt;0,AP706/H706,1))),IF(R706&gt;0,AQ706/R706,0))/MAX(0.1,N(Parameter!$M$21)))</f>
        <v>0.25</v>
      </c>
      <c r="AS706" s="50" t="n">
        <f aca="false">AR706*CB706</f>
        <v>58.75</v>
      </c>
      <c r="AT706" s="51" t="n">
        <f aca="false">IF(LEFT(Cockpit!$I$5,1)="A",H706,IF(CH706=1,(CK706+CI706)/2,IF(LEFT(Cockpit!$I$5,1)="B",(CK706+AV706)/2,MAX((CK706+AV706)/2,H706))))</f>
        <v>1</v>
      </c>
      <c r="AU706" s="50" t="n">
        <f aca="false">AT706*G706</f>
        <v>798.3</v>
      </c>
      <c r="AV706" s="50" t="n">
        <f aca="false">ROUNDUP(CK706+MAX(CL706,2*(J706/IF(CG706&gt;0,CG706,MAX(0.1,N(Cockpit!$I$6)))-CK706)),0)</f>
        <v>2</v>
      </c>
      <c r="AW706" s="51" t="n">
        <f aca="false">IF(AS706&gt;0,J706/AS706,-1)</f>
        <v>0.0340425531914894</v>
      </c>
      <c r="AX706" s="51" t="str">
        <f aca="false">IF(AND(OR(CF706="L1",CF706="L23",CF706="LIFT"),AS706&gt;0),SUMIFS($AS$7:$AS$1843,$CF$7:$CF$1843,CF706,$AW$7:$AW$1843,"&gt;"&amp;AW706)+SUMIFS($AS$7:$AS$1843,$CF$7:$CF$1843,CF706,$AW$7:$AW$1843,AW706,$BW$7:$BW$1843,"&lt;="&amp;BW706),"")</f>
        <v/>
      </c>
      <c r="AY706" s="58" t="n">
        <f aca="false">IF(AX706="",0,MAX(0,MIN(1,(IF(CF706="L1",Parameter!$H$5,IF(CF706="L23",Parameter!$H$6+Parameter!$H$7,Parameter!$H$5+Parameter!$H$6+Parameter!$H$7))-(AX706-AS706))/AS706)))</f>
        <v>0</v>
      </c>
      <c r="AZ706" s="50" t="n">
        <f aca="false">IF(LEFT(Cockpit!$O$5,1)="A",H706,IF(Parameter!$E$30="MAX-Bestand",IF(CH706=1,CI706,IF(LEFT(Cockpit!$O$5,1)="B",BF706,MAX(BF706,H706))),ROUNDUP(BD706,0)))</f>
        <v>1</v>
      </c>
      <c r="BA706" s="50" t="n">
        <f aca="false">IF(BZ706=1,0,ROUNDUP(AZ706/BY706,0))</f>
        <v>1</v>
      </c>
      <c r="BB706" s="52" t="n">
        <f aca="false">IF(CQ706&gt;0,CQ706*MAX(1,AZ706/X706),IF(BZ706=1,IF(AZ706&lt;=0,0,CD706*MAX(1,IF(H706&gt;0,AZ706/H706,1))),IF(R706&gt;0,BA706/R706,0))/MAX(0.1,N(Parameter!$M$21)))</f>
        <v>0.25</v>
      </c>
      <c r="BC706" s="50" t="n">
        <f aca="false">BB706*CB706</f>
        <v>58.75</v>
      </c>
      <c r="BD706" s="51" t="n">
        <f aca="false">IF(LEFT(Cockpit!$O$5,1)="A",H706,IF(CH706=1,(CK706+CI706)/2,IF(LEFT(Cockpit!$O$5,1)="B",(CK706+BF706)/2,MAX((CK706+BF706)/2,H706))))</f>
        <v>0.5</v>
      </c>
      <c r="BE706" s="50" t="n">
        <f aca="false">BD706*G706</f>
        <v>399.15</v>
      </c>
      <c r="BF706" s="50" t="n">
        <f aca="false">ROUNDUP(CK706+MAX(CL706,2*(J706/IF(CG706&gt;0,CG706,MAX(0.1,N(Cockpit!$O$6)))-CK706)),0)</f>
        <v>1</v>
      </c>
      <c r="BG706" s="51" t="n">
        <f aca="false">IF(BC706&gt;0,J706/BC706,-1)</f>
        <v>0.0340425531914894</v>
      </c>
      <c r="BH706" s="51" t="str">
        <f aca="false">IF(AND(OR(CF706="L1",CF706="L23",CF706="LIFT"),BC706&gt;0),SUMIFS($BC$7:$BC$1843,$CF$7:$CF$1843,CF706,$BG$7:$BG$1843,"&gt;"&amp;BG706)+SUMIFS($BC$7:$BC$1843,$CF$7:$CF$1843,CF706,$BG$7:$BG$1843,BG706,$BW$7:$BW$1843,"&lt;="&amp;BW706),"")</f>
        <v/>
      </c>
      <c r="BI706" s="58" t="n">
        <f aca="false">IF(BH706="",0,MAX(0,MIN(1,(IF(CF706="L1",Parameter!$H$5,IF(CF706="L23",Parameter!$H$6+Parameter!$H$7,Parameter!$H$5+Parameter!$H$6+Parameter!$H$7))-(BH706-BC706))/BC706)))</f>
        <v>0</v>
      </c>
      <c r="BJ706" s="48" t="str">
        <f aca="false">IF(AI706&lt;=0,"",IF(CF706="Aussen","Aussenlager",IF(CF706="-","Nicht im Lift",IF(AO706&gt;=1,"Lift",IF(AO706&lt;=0,"Aussenlager","teilweise")))))</f>
        <v/>
      </c>
      <c r="BK706" s="48" t="str">
        <f aca="false">IF(AS706&lt;=0,"",IF(CF706="Aussen","Aussenlager",IF(CF706="-","Nicht im Lift",IF(AY706&gt;=1,"Lift",IF(AY706&lt;=0,"Aussenlager","teilweise")))))</f>
        <v>Nicht im Lift</v>
      </c>
      <c r="BL706" s="48" t="str">
        <f aca="false">IF(BC706&lt;=0,"",IF(CF706="Aussen","Aussenlager",IF(CF706="-","Nicht im Lift",IF(BI706&gt;=1,"Lift",IF(BI706&lt;=0,"Aussenlager","teilweise")))))</f>
        <v>Nicht im Lift</v>
      </c>
      <c r="BM706" s="48" t="str">
        <f aca="false">IF(A706="","",IF(BV706=1,"Neu; ","")&amp;IF(AND(BV706=0,BQ706&lt;0),"negativer Bestand (Export "&amp;BQ706&amp;"); ","")&amp;IF(J706&lt;=0,"Kein Verbrauch; ","")&amp;IF(CQ706&gt;0,"Lift "&amp;W706&amp;" lt. Liftbericht (Fach "&amp;X706&amp;" Stk); ",IF(CA706=1,"Gebinde geschätzt ("&amp;T706&amp;"); ",IF(BZ706=1,"Lose – Tablare geschätzt; ","")))&amp;IF(H706&gt;AV706,"Überbestand "&amp;ROUND(H706-AV706,0)&amp;" Stk / CHF "&amp;ROUND((H706-AV706)*G706,0)&amp;"; ","")&amp;IF(AND(CH706=1,CI706&lt;CJ706),"MAX &lt; MB+LG; ","")&amp;IF(AND(CP706&gt;0,CO706*10&gt;CP706),"zu hoch für Tablar; ","")&amp;IF(AND(BV706=0,OR(CH706=1,AA706&lt;&gt;"",U706&lt;&gt;"",V706&lt;&gt;"",AB706&lt;&gt;"")),"manuell übersteuert; ","")&amp;IF(AND(BZ706=0,R706=0),"Gebinde unbekannt / Stellmass fehlt; ","")&amp;IF(AND(BZ706=0,N(V706)&lt;=0,N(Q706)&lt;=0),"Menge pro Gebinde fehlt (Ist = 1 Gebinde); ","")&amp;BU706)</f>
        <v>Gebinde geschätzt (Gross); Menge pro Gebinde fehlt (Ist = 1 Gebinde); </v>
      </c>
      <c r="BN706" s="48"/>
      <c r="BO706" s="48"/>
      <c r="BP706" s="55"/>
      <c r="BQ706" s="50" t="n">
        <v>0</v>
      </c>
      <c r="BR706" s="50" t="n">
        <v>0</v>
      </c>
      <c r="BS706" s="49" t="n">
        <v>0</v>
      </c>
      <c r="BT706" s="50" t="n">
        <v>2</v>
      </c>
      <c r="BU706" s="48"/>
      <c r="BV706" s="53" t="n">
        <v>0</v>
      </c>
      <c r="BW706" s="53" t="n">
        <v>706</v>
      </c>
      <c r="BX706" s="48" t="str">
        <f aca="false">IF(U706&lt;&gt;"",UPPER(TRIM(U706)),IF(CA706=1,UPPER(VLOOKUP(T706,Parameter!$I$27:$K$29,2,0)),IF(P706="","LOSE",P706)))</f>
        <v>S81</v>
      </c>
      <c r="BY706" s="50" t="n">
        <f aca="false">IF(BX706="LOSE",1,IF(N(V706)&gt;0,V706,IF(CA706=1,MAX(1,N(VLOOKUP(T706,Parameter!$I$27:$K$29,3,0)),H706,N(N706)),IF(N(Q706)&gt;0,Q706,MAX(1,H706)))))</f>
        <v>2</v>
      </c>
      <c r="BZ706" s="53" t="n">
        <f aca="false">IF(BX706="LOSE",1,0)</f>
        <v>0</v>
      </c>
      <c r="CA706" s="53" t="n">
        <f aca="false">IF(AND(U706="",OR(P706="",P706="LOSE"),T706&lt;&gt;"",N(S706)&lt;=0,ISNUMBER(MATCH(T706,Parameter!$I$27:$I$29,0))),1,0)</f>
        <v>1</v>
      </c>
      <c r="CB706" s="53" t="n">
        <f aca="false">IF(CQ706&gt;0,INDEX(Parameter!$H$5:$H$7,W706)/INDEX(Parameter!$E$5:$E$7,W706),IF(AND(BZ706=0,N(IFERROR(VLOOKUP(BX706,'Gebinde-Kategorie'!$A$5:$N$45,14,0),0))&gt;0),VLOOKUP(BX706,'Gebinde-Kategorie'!$A$5:$N$45,14,0)*10+Parameter!$M$23,Parameter!$M$24))</f>
        <v>235</v>
      </c>
      <c r="CC706" s="48" t="str">
        <f aca="false">IF(AND(Parameter!$B$19="Ja",E706&lt;&gt;"",ISNUMBER(MATCH(E706,Parameter!$I$35:$I$52,0))),VLOOKUP(E706,Parameter!$I$35:$J$52,2,0),IFERROR(VLOOKUP(D706,Parameter!$A$35:$C$64,2,0),"Nein"))</f>
        <v>Nein</v>
      </c>
      <c r="CD706" s="52" t="n">
        <f aca="false">IF(BZ706=0,0,IF(N(S706)&gt;0,S706,IFERROR(VLOOKUP(D706,Parameter!$A$35:$C$64,3,0)+0,0)))</f>
        <v>0</v>
      </c>
      <c r="CE706" s="48" t="str">
        <f aca="false">IF(AA706&lt;&gt;"",AA706,Z706)</f>
        <v>-</v>
      </c>
      <c r="CF706" s="48" t="str">
        <f aca="false">IF(OR(CE706=1,CE706=2,CE706=3),IF(Parameter!$E$27="Ja","LIFT",IF(CE706=1,"L1","L23")),IF(CE706="Aussen","Aussen","-"))</f>
        <v>-</v>
      </c>
      <c r="CG706" s="59" t="n">
        <f aca="false">IF(N(AB706)&gt;0,AB706,0)</f>
        <v>0</v>
      </c>
      <c r="CH706" s="53" t="n">
        <f aca="false">IF(ISNUMBER(AE706),1,0)</f>
        <v>0</v>
      </c>
      <c r="CI706" s="50" t="n">
        <f aca="false">N(AE706)</f>
        <v>0</v>
      </c>
      <c r="CJ706" s="50" t="n">
        <f aca="false">N(M706)+N(N706)</f>
        <v>1</v>
      </c>
      <c r="CK706" s="50" t="n">
        <f aca="false">N(M706)</f>
        <v>0</v>
      </c>
      <c r="CL706" s="50" t="n">
        <f aca="false">N(N706)</f>
        <v>1</v>
      </c>
      <c r="CM706" s="50" t="n">
        <f aca="false">ROUNDUP(H706/BY706,0)</f>
        <v>0</v>
      </c>
      <c r="CN706" s="50" t="n">
        <f aca="false">ROUNDUP(CI706/BY706,0)</f>
        <v>0</v>
      </c>
      <c r="CO706" s="53" t="n">
        <f aca="false">IF(BZ706=1,0,IFERROR(VLOOKUP(BX706,'Gebinde-Kategorie'!$A$5:$N$45,5,0)+0,0))</f>
        <v>20</v>
      </c>
      <c r="CP706" s="53" t="n">
        <f aca="false">IFERROR(IF(OR(CE706=1,CE706=2,CE706=3),N(INDEX(Parameter!$I$5:$I$7,CE706)),0),0)</f>
        <v>0</v>
      </c>
      <c r="CQ706" s="52" t="n">
        <f aca="false">IF(AND(Parameter!$B$21="Ja",ISNUMBER(W706),N(X706)&gt;0),IFERROR(N(INDEX(Parameter!$L$5:$L$7,W706))*INDEX(Parameter!$E$5:$E$7,W706)*X706/SUMIFS($X$7:$X$1843,$W$7:$W$1843,W706),0),0)</f>
        <v>0</v>
      </c>
    </row>
    <row r="707" customFormat="false" ht="15" hidden="false" customHeight="false" outlineLevel="0" collapsed="false">
      <c r="A707" s="48" t="s">
        <v>1421</v>
      </c>
      <c r="B707" s="48" t="s">
        <v>1422</v>
      </c>
      <c r="C707" s="48" t="s">
        <v>173</v>
      </c>
      <c r="D707" s="48" t="s">
        <v>1004</v>
      </c>
      <c r="E707" s="48"/>
      <c r="F707" s="48" t="s">
        <v>227</v>
      </c>
      <c r="G707" s="49" t="n">
        <v>4993.1</v>
      </c>
      <c r="H707" s="50" t="n">
        <f aca="false">MAX(0,IF(AND(Parameter!$B$21="Ja",ISNUMBER(Y707)),Y707,IF(Parameter!$B$20="Jahresanfang 2025 + Export",BR707+BQ707,BQ707)))</f>
        <v>0</v>
      </c>
      <c r="I707" s="50" t="n">
        <f aca="false">H707*G707</f>
        <v>0</v>
      </c>
      <c r="J707" s="50" t="n">
        <f aca="false">BT707*Parameter!$B$18</f>
        <v>0</v>
      </c>
      <c r="K707" s="51" t="n">
        <v>1</v>
      </c>
      <c r="L707" s="52" t="n">
        <v>0</v>
      </c>
      <c r="M707" s="50" t="n">
        <v>0</v>
      </c>
      <c r="N707" s="50" t="n">
        <v>1</v>
      </c>
      <c r="O707" s="53" t="n">
        <v>35</v>
      </c>
      <c r="P707" s="48" t="s">
        <v>177</v>
      </c>
      <c r="Q707" s="50"/>
      <c r="R707" s="53" t="n">
        <f aca="false">IF(BZ707=1,0,IFERROR(VLOOKUP(BX707,'Gebinde-Kategorie'!$A$5:$N$45,13,0)+0,0))</f>
        <v>0</v>
      </c>
      <c r="S707" s="54"/>
      <c r="T707" s="55"/>
      <c r="U707" s="55"/>
      <c r="V707" s="55"/>
      <c r="W707" s="48"/>
      <c r="X707" s="50"/>
      <c r="Y707" s="50"/>
      <c r="Z707" s="48" t="str">
        <f aca="false">IF(A707="","",IF(AND(Parameter!$B$21="Ja",ISNUMBER(W707)),W707,IF(CC707="2+3",IF(ISNUMBER(SEARCH("grosser Artikel",BU707)),2,IFERROR(VLOOKUP(BX707,Parameter!$F$35:$G$64,2,0),2)),IF(OR(CC707="Nein",CC707=""),"-",CC707))))</f>
        <v>-</v>
      </c>
      <c r="AA707" s="55"/>
      <c r="AB707" s="56"/>
      <c r="AC707" s="50" t="n">
        <f aca="false">AV707</f>
        <v>1</v>
      </c>
      <c r="AD707" s="50" t="n">
        <f aca="false">MAX(AV707,H707)</f>
        <v>1</v>
      </c>
      <c r="AE707" s="57"/>
      <c r="AF707" s="50" t="n">
        <f aca="false">IF(LEFT(Cockpit!$C$5,1)="A",H707,IF(Parameter!$E$30="MAX-Bestand",IF(CH707=1,CI707,IF(LEFT(Cockpit!$C$5,1)="B",AL707,MAX(AL707,H707))),ROUNDUP(AJ707,0)))</f>
        <v>0</v>
      </c>
      <c r="AG707" s="50" t="n">
        <f aca="false">IF(BZ707=1,0,ROUNDUP(AF707/BY707,0))</f>
        <v>0</v>
      </c>
      <c r="AH707" s="52" t="n">
        <f aca="false">IF(CQ707&gt;0,CQ707*MAX(1,AF707/X707),IF(BZ707=1,IF(AF707&lt;=0,0,CD707*MAX(1,IF(H707&gt;0,AF707/H707,1))),IF(R707&gt;0,AG707/R707,0))/MAX(0.1,N(Parameter!$M$21)))</f>
        <v>0</v>
      </c>
      <c r="AI707" s="50" t="n">
        <f aca="false">AH707*CB707</f>
        <v>0</v>
      </c>
      <c r="AJ707" s="51" t="n">
        <f aca="false">IF(LEFT(Cockpit!$C$5,1)="A",H707,IF(CH707=1,(CK707+CI707)/2,IF(LEFT(Cockpit!$C$5,1)="B",(CK707+AL707)/2,MAX((CK707+AL707)/2,H707))))</f>
        <v>0</v>
      </c>
      <c r="AK707" s="50" t="n">
        <f aca="false">AJ707*G707</f>
        <v>0</v>
      </c>
      <c r="AL707" s="50" t="n">
        <f aca="false">ROUNDUP(CK707+MAX(CL707,2*(J707/IF(CG707&gt;0,CG707,MAX(0.1,N(Cockpit!$C$6)))-CK707)),0)</f>
        <v>1</v>
      </c>
      <c r="AM707" s="51" t="n">
        <f aca="false">IF(AI707&gt;0,J707/AI707,-1)</f>
        <v>-1</v>
      </c>
      <c r="AN707" s="51" t="str">
        <f aca="false">IF(AND(OR(CF707="L1",CF707="L23",CF707="LIFT"),AI707&gt;0),SUMIFS($AI$7:$AI$1843,$CF$7:$CF$1843,CF707,$AM$7:$AM$1843,"&gt;"&amp;AM707)+SUMIFS($AI$7:$AI$1843,$CF$7:$CF$1843,CF707,$AM$7:$AM$1843,AM707,$BW$7:$BW$1843,"&lt;="&amp;BW707),"")</f>
        <v/>
      </c>
      <c r="AO707" s="58" t="n">
        <f aca="false">IF(AN707="",0,MAX(0,MIN(1,(IF(CF707="L1",Parameter!$H$5,IF(CF707="L23",Parameter!$H$6+Parameter!$H$7,Parameter!$H$5+Parameter!$H$6+Parameter!$H$7))-(AN707-AI707))/AI707)))</f>
        <v>0</v>
      </c>
      <c r="AP707" s="50" t="n">
        <f aca="false">IF(LEFT(Cockpit!$I$5,1)="A",H707,IF(Parameter!$E$30="MAX-Bestand",IF(CH707=1,CI707,IF(LEFT(Cockpit!$I$5,1)="B",AV707,MAX(AV707,H707))),ROUNDUP(AT707,0)))</f>
        <v>1</v>
      </c>
      <c r="AQ707" s="50" t="n">
        <f aca="false">IF(BZ707=1,0,ROUNDUP(AP707/BY707,0))</f>
        <v>0</v>
      </c>
      <c r="AR707" s="52" t="n">
        <f aca="false">IF(CQ707&gt;0,CQ707*MAX(1,AP707/X707),IF(BZ707=1,IF(AP707&lt;=0,0,CD707*MAX(1,IF(H707&gt;0,AP707/H707,1))),IF(R707&gt;0,AQ707/R707,0))/MAX(0.1,N(Parameter!$M$21)))</f>
        <v>0.15</v>
      </c>
      <c r="AS707" s="50" t="n">
        <f aca="false">AR707*CB707</f>
        <v>35.25</v>
      </c>
      <c r="AT707" s="51" t="n">
        <f aca="false">IF(LEFT(Cockpit!$I$5,1)="A",H707,IF(CH707=1,(CK707+CI707)/2,IF(LEFT(Cockpit!$I$5,1)="B",(CK707+AV707)/2,MAX((CK707+AV707)/2,H707))))</f>
        <v>0.5</v>
      </c>
      <c r="AU707" s="50" t="n">
        <f aca="false">AT707*G707</f>
        <v>2496.55</v>
      </c>
      <c r="AV707" s="50" t="n">
        <f aca="false">ROUNDUP(CK707+MAX(CL707,2*(J707/IF(CG707&gt;0,CG707,MAX(0.1,N(Cockpit!$I$6)))-CK707)),0)</f>
        <v>1</v>
      </c>
      <c r="AW707" s="51" t="n">
        <f aca="false">IF(AS707&gt;0,J707/AS707,-1)</f>
        <v>0</v>
      </c>
      <c r="AX707" s="51" t="str">
        <f aca="false">IF(AND(OR(CF707="L1",CF707="L23",CF707="LIFT"),AS707&gt;0),SUMIFS($AS$7:$AS$1843,$CF$7:$CF$1843,CF707,$AW$7:$AW$1843,"&gt;"&amp;AW707)+SUMIFS($AS$7:$AS$1843,$CF$7:$CF$1843,CF707,$AW$7:$AW$1843,AW707,$BW$7:$BW$1843,"&lt;="&amp;BW707),"")</f>
        <v/>
      </c>
      <c r="AY707" s="58" t="n">
        <f aca="false">IF(AX707="",0,MAX(0,MIN(1,(IF(CF707="L1",Parameter!$H$5,IF(CF707="L23",Parameter!$H$6+Parameter!$H$7,Parameter!$H$5+Parameter!$H$6+Parameter!$H$7))-(AX707-AS707))/AS707)))</f>
        <v>0</v>
      </c>
      <c r="AZ707" s="50" t="n">
        <f aca="false">IF(LEFT(Cockpit!$O$5,1)="A",H707,IF(Parameter!$E$30="MAX-Bestand",IF(CH707=1,CI707,IF(LEFT(Cockpit!$O$5,1)="B",BF707,MAX(BF707,H707))),ROUNDUP(BD707,0)))</f>
        <v>1</v>
      </c>
      <c r="BA707" s="50" t="n">
        <f aca="false">IF(BZ707=1,0,ROUNDUP(AZ707/BY707,0))</f>
        <v>0</v>
      </c>
      <c r="BB707" s="52" t="n">
        <f aca="false">IF(CQ707&gt;0,CQ707*MAX(1,AZ707/X707),IF(BZ707=1,IF(AZ707&lt;=0,0,CD707*MAX(1,IF(H707&gt;0,AZ707/H707,1))),IF(R707&gt;0,BA707/R707,0))/MAX(0.1,N(Parameter!$M$21)))</f>
        <v>0.15</v>
      </c>
      <c r="BC707" s="50" t="n">
        <f aca="false">BB707*CB707</f>
        <v>35.25</v>
      </c>
      <c r="BD707" s="51" t="n">
        <f aca="false">IF(LEFT(Cockpit!$O$5,1)="A",H707,IF(CH707=1,(CK707+CI707)/2,IF(LEFT(Cockpit!$O$5,1)="B",(CK707+BF707)/2,MAX((CK707+BF707)/2,H707))))</f>
        <v>0.5</v>
      </c>
      <c r="BE707" s="50" t="n">
        <f aca="false">BD707*G707</f>
        <v>2496.55</v>
      </c>
      <c r="BF707" s="50" t="n">
        <f aca="false">ROUNDUP(CK707+MAX(CL707,2*(J707/IF(CG707&gt;0,CG707,MAX(0.1,N(Cockpit!$O$6)))-CK707)),0)</f>
        <v>1</v>
      </c>
      <c r="BG707" s="51" t="n">
        <f aca="false">IF(BC707&gt;0,J707/BC707,-1)</f>
        <v>0</v>
      </c>
      <c r="BH707" s="51" t="str">
        <f aca="false">IF(AND(OR(CF707="L1",CF707="L23",CF707="LIFT"),BC707&gt;0),SUMIFS($BC$7:$BC$1843,$CF$7:$CF$1843,CF707,$BG$7:$BG$1843,"&gt;"&amp;BG707)+SUMIFS($BC$7:$BC$1843,$CF$7:$CF$1843,CF707,$BG$7:$BG$1843,BG707,$BW$7:$BW$1843,"&lt;="&amp;BW707),"")</f>
        <v/>
      </c>
      <c r="BI707" s="58" t="n">
        <f aca="false">IF(BH707="",0,MAX(0,MIN(1,(IF(CF707="L1",Parameter!$H$5,IF(CF707="L23",Parameter!$H$6+Parameter!$H$7,Parameter!$H$5+Parameter!$H$6+Parameter!$H$7))-(BH707-BC707))/BC707)))</f>
        <v>0</v>
      </c>
      <c r="BJ707" s="48" t="str">
        <f aca="false">IF(AI707&lt;=0,"",IF(CF707="Aussen","Aussenlager",IF(CF707="-","Nicht im Lift",IF(AO707&gt;=1,"Lift",IF(AO707&lt;=0,"Aussenlager","teilweise")))))</f>
        <v/>
      </c>
      <c r="BK707" s="48" t="str">
        <f aca="false">IF(AS707&lt;=0,"",IF(CF707="Aussen","Aussenlager",IF(CF707="-","Nicht im Lift",IF(AY707&gt;=1,"Lift",IF(AY707&lt;=0,"Aussenlager","teilweise")))))</f>
        <v>Nicht im Lift</v>
      </c>
      <c r="BL707" s="48" t="str">
        <f aca="false">IF(BC707&lt;=0,"",IF(CF707="Aussen","Aussenlager",IF(CF707="-","Nicht im Lift",IF(BI707&gt;=1,"Lift",IF(BI707&lt;=0,"Aussenlager","teilweise")))))</f>
        <v>Nicht im Lift</v>
      </c>
      <c r="BM707" s="48" t="str">
        <f aca="false">IF(A707="","",IF(BV707=1,"Neu; ","")&amp;IF(AND(BV707=0,BQ707&lt;0),"negativer Bestand (Export "&amp;BQ707&amp;"); ","")&amp;IF(J707&lt;=0,"Kein Verbrauch; ","")&amp;IF(CQ707&gt;0,"Lift "&amp;W707&amp;" lt. Liftbericht (Fach "&amp;X707&amp;" Stk); ",IF(CA707=1,"Gebinde geschätzt ("&amp;T707&amp;"); ",IF(BZ707=1,"Lose – Tablare geschätzt; ","")))&amp;IF(H707&gt;AV707,"Überbestand "&amp;ROUND(H707-AV707,0)&amp;" Stk / CHF "&amp;ROUND((H707-AV707)*G707,0)&amp;"; ","")&amp;IF(AND(CH707=1,CI707&lt;CJ707),"MAX &lt; MB+LG; ","")&amp;IF(AND(CP707&gt;0,CO707*10&gt;CP707),"zu hoch für Tablar; ","")&amp;IF(AND(BV707=0,OR(CH707=1,AA707&lt;&gt;"",U707&lt;&gt;"",V707&lt;&gt;"",AB707&lt;&gt;"")),"manuell übersteuert; ","")&amp;IF(AND(BZ707=0,R707=0),"Gebinde unbekannt / Stellmass fehlt; ","")&amp;IF(AND(BZ707=0,N(V707)&lt;=0,N(Q707)&lt;=0),"Menge pro Gebinde fehlt (Ist = 1 Gebinde); ","")&amp;BU707)</f>
        <v>Kein Verbrauch; Lose – Tablare geschätzt; </v>
      </c>
      <c r="BN707" s="48"/>
      <c r="BO707" s="48"/>
      <c r="BP707" s="55"/>
      <c r="BQ707" s="50" t="n">
        <v>0</v>
      </c>
      <c r="BR707" s="50" t="n">
        <v>0</v>
      </c>
      <c r="BS707" s="49" t="n">
        <v>0</v>
      </c>
      <c r="BT707" s="50" t="n">
        <v>0</v>
      </c>
      <c r="BU707" s="48"/>
      <c r="BV707" s="53" t="n">
        <v>0</v>
      </c>
      <c r="BW707" s="53" t="n">
        <v>707</v>
      </c>
      <c r="BX707" s="48" t="str">
        <f aca="false">IF(U707&lt;&gt;"",UPPER(TRIM(U707)),IF(CA707=1,UPPER(VLOOKUP(T707,Parameter!$I$27:$K$29,2,0)),IF(P707="","LOSE",P707)))</f>
        <v>LOSE</v>
      </c>
      <c r="BY707" s="50" t="n">
        <f aca="false">IF(BX707="LOSE",1,IF(N(V707)&gt;0,V707,IF(CA707=1,MAX(1,N(VLOOKUP(T707,Parameter!$I$27:$K$29,3,0)),H707,N(N707)),IF(N(Q707)&gt;0,Q707,MAX(1,H707)))))</f>
        <v>1</v>
      </c>
      <c r="BZ707" s="53" t="n">
        <f aca="false">IF(BX707="LOSE",1,0)</f>
        <v>1</v>
      </c>
      <c r="CA707" s="53" t="n">
        <f aca="false">IF(AND(U707="",OR(P707="",P707="LOSE"),T707&lt;&gt;"",N(S707)&lt;=0,ISNUMBER(MATCH(T707,Parameter!$I$27:$I$29,0))),1,0)</f>
        <v>0</v>
      </c>
      <c r="CB707" s="53" t="n">
        <f aca="false">IF(CQ707&gt;0,INDEX(Parameter!$H$5:$H$7,W707)/INDEX(Parameter!$E$5:$E$7,W707),IF(AND(BZ707=0,N(IFERROR(VLOOKUP(BX707,'Gebinde-Kategorie'!$A$5:$N$45,14,0),0))&gt;0),VLOOKUP(BX707,'Gebinde-Kategorie'!$A$5:$N$45,14,0)*10+Parameter!$M$23,Parameter!$M$24))</f>
        <v>235</v>
      </c>
      <c r="CC707" s="48" t="str">
        <f aca="false">IF(AND(Parameter!$B$19="Ja",E707&lt;&gt;"",ISNUMBER(MATCH(E707,Parameter!$I$35:$I$52,0))),VLOOKUP(E707,Parameter!$I$35:$J$52,2,0),IFERROR(VLOOKUP(D707,Parameter!$A$35:$C$64,2,0),"Nein"))</f>
        <v>Nein</v>
      </c>
      <c r="CD707" s="52" t="n">
        <f aca="false">IF(BZ707=0,0,IF(N(S707)&gt;0,S707,IFERROR(VLOOKUP(D707,Parameter!$A$35:$C$64,3,0)+0,0)))</f>
        <v>0.15</v>
      </c>
      <c r="CE707" s="48" t="str">
        <f aca="false">IF(AA707&lt;&gt;"",AA707,Z707)</f>
        <v>-</v>
      </c>
      <c r="CF707" s="48" t="str">
        <f aca="false">IF(OR(CE707=1,CE707=2,CE707=3),IF(Parameter!$E$27="Ja","LIFT",IF(CE707=1,"L1","L23")),IF(CE707="Aussen","Aussen","-"))</f>
        <v>-</v>
      </c>
      <c r="CG707" s="59" t="n">
        <f aca="false">IF(N(AB707)&gt;0,AB707,0)</f>
        <v>0</v>
      </c>
      <c r="CH707" s="53" t="n">
        <f aca="false">IF(ISNUMBER(AE707),1,0)</f>
        <v>0</v>
      </c>
      <c r="CI707" s="50" t="n">
        <f aca="false">N(AE707)</f>
        <v>0</v>
      </c>
      <c r="CJ707" s="50" t="n">
        <f aca="false">N(M707)+N(N707)</f>
        <v>1</v>
      </c>
      <c r="CK707" s="50" t="n">
        <f aca="false">N(M707)</f>
        <v>0</v>
      </c>
      <c r="CL707" s="50" t="n">
        <f aca="false">N(N707)</f>
        <v>1</v>
      </c>
      <c r="CM707" s="50" t="n">
        <f aca="false">ROUNDUP(H707/BY707,0)</f>
        <v>0</v>
      </c>
      <c r="CN707" s="50" t="n">
        <f aca="false">ROUNDUP(CI707/BY707,0)</f>
        <v>0</v>
      </c>
      <c r="CO707" s="53" t="n">
        <f aca="false">IF(BZ707=1,0,IFERROR(VLOOKUP(BX707,'Gebinde-Kategorie'!$A$5:$N$45,5,0)+0,0))</f>
        <v>0</v>
      </c>
      <c r="CP707" s="53" t="n">
        <f aca="false">IFERROR(IF(OR(CE707=1,CE707=2,CE707=3),N(INDEX(Parameter!$I$5:$I$7,CE707)),0),0)</f>
        <v>0</v>
      </c>
      <c r="CQ707" s="52" t="n">
        <f aca="false">IF(AND(Parameter!$B$21="Ja",ISNUMBER(W707),N(X707)&gt;0),IFERROR(N(INDEX(Parameter!$L$5:$L$7,W707))*INDEX(Parameter!$E$5:$E$7,W707)*X707/SUMIFS($X$7:$X$1843,$W$7:$W$1843,W707),0),0)</f>
        <v>0</v>
      </c>
    </row>
    <row r="708" customFormat="false" ht="15" hidden="false" customHeight="false" outlineLevel="0" collapsed="false">
      <c r="A708" s="48" t="s">
        <v>1423</v>
      </c>
      <c r="B708" s="48" t="s">
        <v>376</v>
      </c>
      <c r="C708" s="48" t="s">
        <v>173</v>
      </c>
      <c r="D708" s="48" t="s">
        <v>193</v>
      </c>
      <c r="E708" s="48"/>
      <c r="F708" s="48" t="s">
        <v>227</v>
      </c>
      <c r="G708" s="49" t="n">
        <v>5.85</v>
      </c>
      <c r="H708" s="50" t="n">
        <f aca="false">MAX(0,IF(AND(Parameter!$B$21="Ja",ISNUMBER(Y708)),Y708,IF(Parameter!$B$20="Jahresanfang 2025 + Export",BR708+BQ708,BQ708)))</f>
        <v>43</v>
      </c>
      <c r="I708" s="50" t="n">
        <f aca="false">H708*G708</f>
        <v>251.55</v>
      </c>
      <c r="J708" s="50" t="n">
        <f aca="false">BT708*Parameter!$B$18</f>
        <v>0</v>
      </c>
      <c r="K708" s="51" t="n">
        <v>43.5</v>
      </c>
      <c r="L708" s="52" t="n">
        <v>0</v>
      </c>
      <c r="M708" s="50" t="n">
        <v>0</v>
      </c>
      <c r="N708" s="50" t="n">
        <v>1</v>
      </c>
      <c r="O708" s="53" t="n">
        <v>21</v>
      </c>
      <c r="P708" s="48" t="s">
        <v>410</v>
      </c>
      <c r="Q708" s="50" t="n">
        <v>50</v>
      </c>
      <c r="R708" s="53" t="n">
        <f aca="false">IF(BZ708=1,0,IFERROR(VLOOKUP(BX708,'Gebinde-Kategorie'!$A$5:$N$45,13,0)+0,0))</f>
        <v>280</v>
      </c>
      <c r="S708" s="54"/>
      <c r="T708" s="55"/>
      <c r="U708" s="55"/>
      <c r="V708" s="55"/>
      <c r="W708" s="48"/>
      <c r="X708" s="50"/>
      <c r="Y708" s="50"/>
      <c r="Z708" s="48" t="n">
        <f aca="false">IF(A708="","",IF(AND(Parameter!$B$21="Ja",ISNUMBER(W708)),W708,IF(CC708="2+3",IF(ISNUMBER(SEARCH("grosser Artikel",BU708)),2,IFERROR(VLOOKUP(BX708,Parameter!$F$35:$G$64,2,0),2)),IF(OR(CC708="Nein",CC708=""),"-",CC708))))</f>
        <v>3</v>
      </c>
      <c r="AA708" s="55"/>
      <c r="AB708" s="56"/>
      <c r="AC708" s="50" t="n">
        <f aca="false">AV708</f>
        <v>1</v>
      </c>
      <c r="AD708" s="50" t="n">
        <f aca="false">MAX(AV708,H708)</f>
        <v>43</v>
      </c>
      <c r="AE708" s="57"/>
      <c r="AF708" s="50" t="n">
        <f aca="false">IF(LEFT(Cockpit!$C$5,1)="A",H708,IF(Parameter!$E$30="MAX-Bestand",IF(CH708=1,CI708,IF(LEFT(Cockpit!$C$5,1)="B",AL708,MAX(AL708,H708))),ROUNDUP(AJ708,0)))</f>
        <v>43</v>
      </c>
      <c r="AG708" s="50" t="n">
        <f aca="false">IF(BZ708=1,0,ROUNDUP(AF708/BY708,0))</f>
        <v>1</v>
      </c>
      <c r="AH708" s="52" t="n">
        <f aca="false">IF(CQ708&gt;0,CQ708*MAX(1,AF708/X708),IF(BZ708=1,IF(AF708&lt;=0,0,CD708*MAX(1,IF(H708&gt;0,AF708/H708,1))),IF(R708&gt;0,AG708/R708,0))/MAX(0.1,N(Parameter!$M$21)))</f>
        <v>0.00357142857142857</v>
      </c>
      <c r="AI708" s="50" t="n">
        <f aca="false">AH708*CB708</f>
        <v>0.553571428571429</v>
      </c>
      <c r="AJ708" s="51" t="n">
        <f aca="false">IF(LEFT(Cockpit!$C$5,1)="A",H708,IF(CH708=1,(CK708+CI708)/2,IF(LEFT(Cockpit!$C$5,1)="B",(CK708+AL708)/2,MAX((CK708+AL708)/2,H708))))</f>
        <v>43</v>
      </c>
      <c r="AK708" s="50" t="n">
        <f aca="false">AJ708*G708</f>
        <v>251.55</v>
      </c>
      <c r="AL708" s="50" t="n">
        <f aca="false">ROUNDUP(CK708+MAX(CL708,2*(J708/IF(CG708&gt;0,CG708,MAX(0.1,N(Cockpit!$C$6)))-CK708)),0)</f>
        <v>1</v>
      </c>
      <c r="AM708" s="51" t="n">
        <f aca="false">IF(AI708&gt;0,J708/AI708,-1)</f>
        <v>0</v>
      </c>
      <c r="AN708" s="51" t="n">
        <f aca="false">IF(AND(OR(CF708="L1",CF708="L23",CF708="LIFT"),AI708&gt;0),SUMIFS($AI$7:$AI$1843,$CF$7:$CF$1843,CF708,$AM$7:$AM$1843,"&gt;"&amp;AM708)+SUMIFS($AI$7:$AI$1843,$CF$7:$CF$1843,CF708,$AM$7:$AM$1843,AM708,$BW$7:$BW$1843,"&lt;="&amp;BW708),"")</f>
        <v>28631.6929337141</v>
      </c>
      <c r="AO708" s="58" t="n">
        <f aca="false">IF(AN708="",0,MAX(0,MIN(1,(IF(CF708="L1",Parameter!$H$5,IF(CF708="L23",Parameter!$H$6+Parameter!$H$7,Parameter!$H$5+Parameter!$H$6+Parameter!$H$7))-(AN708-AI708))/AI708)))</f>
        <v>1</v>
      </c>
      <c r="AP708" s="50" t="n">
        <f aca="false">IF(LEFT(Cockpit!$I$5,1)="A",H708,IF(Parameter!$E$30="MAX-Bestand",IF(CH708=1,CI708,IF(LEFT(Cockpit!$I$5,1)="B",AV708,MAX(AV708,H708))),ROUNDUP(AT708,0)))</f>
        <v>43</v>
      </c>
      <c r="AQ708" s="50" t="n">
        <f aca="false">IF(BZ708=1,0,ROUNDUP(AP708/BY708,0))</f>
        <v>1</v>
      </c>
      <c r="AR708" s="52" t="n">
        <f aca="false">IF(CQ708&gt;0,CQ708*MAX(1,AP708/X708),IF(BZ708=1,IF(AP708&lt;=0,0,CD708*MAX(1,IF(H708&gt;0,AP708/H708,1))),IF(R708&gt;0,AQ708/R708,0))/MAX(0.1,N(Parameter!$M$21)))</f>
        <v>0.00357142857142857</v>
      </c>
      <c r="AS708" s="50" t="n">
        <f aca="false">AR708*CB708</f>
        <v>0.553571428571429</v>
      </c>
      <c r="AT708" s="51" t="n">
        <f aca="false">IF(LEFT(Cockpit!$I$5,1)="A",H708,IF(CH708=1,(CK708+CI708)/2,IF(LEFT(Cockpit!$I$5,1)="B",(CK708+AV708)/2,MAX((CK708+AV708)/2,H708))))</f>
        <v>43</v>
      </c>
      <c r="AU708" s="50" t="n">
        <f aca="false">AT708*G708</f>
        <v>251.55</v>
      </c>
      <c r="AV708" s="50" t="n">
        <f aca="false">ROUNDUP(CK708+MAX(CL708,2*(J708/IF(CG708&gt;0,CG708,MAX(0.1,N(Cockpit!$I$6)))-CK708)),0)</f>
        <v>1</v>
      </c>
      <c r="AW708" s="51" t="n">
        <f aca="false">IF(AS708&gt;0,J708/AS708,-1)</f>
        <v>0</v>
      </c>
      <c r="AX708" s="51" t="n">
        <f aca="false">IF(AND(OR(CF708="L1",CF708="L23",CF708="LIFT"),AS708&gt;0),SUMIFS($AS$7:$AS$1843,$CF$7:$CF$1843,CF708,$AW$7:$AW$1843,"&gt;"&amp;AW708)+SUMIFS($AS$7:$AS$1843,$CF$7:$CF$1843,CF708,$AW$7:$AW$1843,AW708,$BW$7:$BW$1843,"&lt;="&amp;BW708),"")</f>
        <v>34052.7582417582</v>
      </c>
      <c r="AY708" s="58" t="n">
        <f aca="false">IF(AX708="",0,MAX(0,MIN(1,(IF(CF708="L1",Parameter!$H$5,IF(CF708="L23",Parameter!$H$6+Parameter!$H$7,Parameter!$H$5+Parameter!$H$6+Parameter!$H$7))-(AX708-AS708))/AS708)))</f>
        <v>1</v>
      </c>
      <c r="AZ708" s="50" t="n">
        <f aca="false">IF(LEFT(Cockpit!$O$5,1)="A",H708,IF(Parameter!$E$30="MAX-Bestand",IF(CH708=1,CI708,IF(LEFT(Cockpit!$O$5,1)="B",BF708,MAX(BF708,H708))),ROUNDUP(BD708,0)))</f>
        <v>1</v>
      </c>
      <c r="BA708" s="50" t="n">
        <f aca="false">IF(BZ708=1,0,ROUNDUP(AZ708/BY708,0))</f>
        <v>1</v>
      </c>
      <c r="BB708" s="52" t="n">
        <f aca="false">IF(CQ708&gt;0,CQ708*MAX(1,AZ708/X708),IF(BZ708=1,IF(AZ708&lt;=0,0,CD708*MAX(1,IF(H708&gt;0,AZ708/H708,1))),IF(R708&gt;0,BA708/R708,0))/MAX(0.1,N(Parameter!$M$21)))</f>
        <v>0.00357142857142857</v>
      </c>
      <c r="BC708" s="50" t="n">
        <f aca="false">BB708*CB708</f>
        <v>0.553571428571429</v>
      </c>
      <c r="BD708" s="51" t="n">
        <f aca="false">IF(LEFT(Cockpit!$O$5,1)="A",H708,IF(CH708=1,(CK708+CI708)/2,IF(LEFT(Cockpit!$O$5,1)="B",(CK708+BF708)/2,MAX((CK708+BF708)/2,H708))))</f>
        <v>0.5</v>
      </c>
      <c r="BE708" s="50" t="n">
        <f aca="false">BD708*G708</f>
        <v>2.925</v>
      </c>
      <c r="BF708" s="50" t="n">
        <f aca="false">ROUNDUP(CK708+MAX(CL708,2*(J708/IF(CG708&gt;0,CG708,MAX(0.1,N(Cockpit!$O$6)))-CK708)),0)</f>
        <v>1</v>
      </c>
      <c r="BG708" s="51" t="n">
        <f aca="false">IF(BC708&gt;0,J708/BC708,-1)</f>
        <v>0</v>
      </c>
      <c r="BH708" s="51" t="n">
        <f aca="false">IF(AND(OR(CF708="L1",CF708="L23",CF708="LIFT"),BC708&gt;0),SUMIFS($BC$7:$BC$1843,$CF$7:$CF$1843,CF708,$BG$7:$BG$1843,"&gt;"&amp;BG708)+SUMIFS($BC$7:$BC$1843,$CF$7:$CF$1843,CF708,$BG$7:$BG$1843,BG708,$BW$7:$BW$1843,"&lt;="&amp;BW708),"")</f>
        <v>28116.8872462283</v>
      </c>
      <c r="BI708" s="58" t="n">
        <f aca="false">IF(BH708="",0,MAX(0,MIN(1,(IF(CF708="L1",Parameter!$H$5,IF(CF708="L23",Parameter!$H$6+Parameter!$H$7,Parameter!$H$5+Parameter!$H$6+Parameter!$H$7))-(BH708-BC708))/BC708)))</f>
        <v>1</v>
      </c>
      <c r="BJ708" s="48" t="str">
        <f aca="false">IF(AI708&lt;=0,"",IF(CF708="Aussen","Aussenlager",IF(CF708="-","Nicht im Lift",IF(AO708&gt;=1,"Lift",IF(AO708&lt;=0,"Aussenlager","teilweise")))))</f>
        <v>Lift</v>
      </c>
      <c r="BK708" s="48" t="str">
        <f aca="false">IF(AS708&lt;=0,"",IF(CF708="Aussen","Aussenlager",IF(CF708="-","Nicht im Lift",IF(AY708&gt;=1,"Lift",IF(AY708&lt;=0,"Aussenlager","teilweise")))))</f>
        <v>Lift</v>
      </c>
      <c r="BL708" s="48" t="str">
        <f aca="false">IF(BC708&lt;=0,"",IF(CF708="Aussen","Aussenlager",IF(CF708="-","Nicht im Lift",IF(BI708&gt;=1,"Lift",IF(BI708&lt;=0,"Aussenlager","teilweise")))))</f>
        <v>Lift</v>
      </c>
      <c r="BM708" s="48" t="str">
        <f aca="false">IF(A708="","",IF(BV708=1,"Neu; ","")&amp;IF(AND(BV708=0,BQ708&lt;0),"negativer Bestand (Export "&amp;BQ708&amp;"); ","")&amp;IF(J708&lt;=0,"Kein Verbrauch; ","")&amp;IF(CQ708&gt;0,"Lift "&amp;W708&amp;" lt. Liftbericht (Fach "&amp;X708&amp;" Stk); ",IF(CA708=1,"Gebinde geschätzt ("&amp;T708&amp;"); ",IF(BZ708=1,"Lose – Tablare geschätzt; ","")))&amp;IF(H708&gt;AV708,"Überbestand "&amp;ROUND(H708-AV708,0)&amp;" Stk / CHF "&amp;ROUND((H708-AV708)*G708,0)&amp;"; ","")&amp;IF(AND(CH708=1,CI708&lt;CJ708),"MAX &lt; MB+LG; ","")&amp;IF(AND(CP708&gt;0,CO708*10&gt;CP708),"zu hoch für Tablar; ","")&amp;IF(AND(BV708=0,OR(CH708=1,AA708&lt;&gt;"",U708&lt;&gt;"",V708&lt;&gt;"",AB708&lt;&gt;"")),"manuell übersteuert; ","")&amp;IF(AND(BZ708=0,R708=0),"Gebinde unbekannt / Stellmass fehlt; ","")&amp;IF(AND(BZ708=0,N(V708)&lt;=0,N(Q708)&lt;=0),"Menge pro Gebinde fehlt (Ist = 1 Gebinde); ","")&amp;BU708)</f>
        <v>Kein Verbrauch; Überbestand 42 Stk / CHF 246; </v>
      </c>
      <c r="BN708" s="48"/>
      <c r="BO708" s="48"/>
      <c r="BP708" s="55"/>
      <c r="BQ708" s="50" t="n">
        <v>0</v>
      </c>
      <c r="BR708" s="50" t="n">
        <v>43</v>
      </c>
      <c r="BS708" s="49" t="n">
        <v>0</v>
      </c>
      <c r="BT708" s="50" t="n">
        <v>0</v>
      </c>
      <c r="BU708" s="48"/>
      <c r="BV708" s="53" t="n">
        <v>0</v>
      </c>
      <c r="BW708" s="53" t="n">
        <v>708</v>
      </c>
      <c r="BX708" s="48" t="str">
        <f aca="false">IF(U708&lt;&gt;"",UPPER(TRIM(U708)),IF(CA708=1,UPPER(VLOOKUP(T708,Parameter!$I$27:$K$29,2,0)),IF(P708="","LOSE",P708)))</f>
        <v>S21</v>
      </c>
      <c r="BY708" s="50" t="n">
        <f aca="false">IF(BX708="LOSE",1,IF(N(V708)&gt;0,V708,IF(CA708=1,MAX(1,N(VLOOKUP(T708,Parameter!$I$27:$K$29,3,0)),H708,N(N708)),IF(N(Q708)&gt;0,Q708,MAX(1,H708)))))</f>
        <v>50</v>
      </c>
      <c r="BZ708" s="53" t="n">
        <f aca="false">IF(BX708="LOSE",1,0)</f>
        <v>0</v>
      </c>
      <c r="CA708" s="53" t="n">
        <f aca="false">IF(AND(U708="",OR(P708="",P708="LOSE"),T708&lt;&gt;"",N(S708)&lt;=0,ISNUMBER(MATCH(T708,Parameter!$I$27:$I$29,0))),1,0)</f>
        <v>0</v>
      </c>
      <c r="CB708" s="53" t="n">
        <f aca="false">IF(CQ708&gt;0,INDEX(Parameter!$H$5:$H$7,W708)/INDEX(Parameter!$E$5:$E$7,W708),IF(AND(BZ708=0,N(IFERROR(VLOOKUP(BX708,'Gebinde-Kategorie'!$A$5:$N$45,14,0),0))&gt;0),VLOOKUP(BX708,'Gebinde-Kategorie'!$A$5:$N$45,14,0)*10+Parameter!$M$23,Parameter!$M$24))</f>
        <v>155</v>
      </c>
      <c r="CC708" s="48" t="str">
        <f aca="false">IF(AND(Parameter!$B$19="Ja",E708&lt;&gt;"",ISNUMBER(MATCH(E708,Parameter!$I$35:$I$52,0))),VLOOKUP(E708,Parameter!$I$35:$J$52,2,0),IFERROR(VLOOKUP(D708,Parameter!$A$35:$C$64,2,0),"Nein"))</f>
        <v>2+3</v>
      </c>
      <c r="CD708" s="52" t="n">
        <f aca="false">IF(BZ708=0,0,IF(N(S708)&gt;0,S708,IFERROR(VLOOKUP(D708,Parameter!$A$35:$C$64,3,0)+0,0)))</f>
        <v>0</v>
      </c>
      <c r="CE708" s="48" t="n">
        <f aca="false">IF(AA708&lt;&gt;"",AA708,Z708)</f>
        <v>3</v>
      </c>
      <c r="CF708" s="48" t="str">
        <f aca="false">IF(OR(CE708=1,CE708=2,CE708=3),IF(Parameter!$E$27="Ja","LIFT",IF(CE708=1,"L1","L23")),IF(CE708="Aussen","Aussen","-"))</f>
        <v>LIFT</v>
      </c>
      <c r="CG708" s="59" t="n">
        <f aca="false">IF(N(AB708)&gt;0,AB708,0)</f>
        <v>0</v>
      </c>
      <c r="CH708" s="53" t="n">
        <f aca="false">IF(ISNUMBER(AE708),1,0)</f>
        <v>0</v>
      </c>
      <c r="CI708" s="50" t="n">
        <f aca="false">N(AE708)</f>
        <v>0</v>
      </c>
      <c r="CJ708" s="50" t="n">
        <f aca="false">N(M708)+N(N708)</f>
        <v>1</v>
      </c>
      <c r="CK708" s="50" t="n">
        <f aca="false">N(M708)</f>
        <v>0</v>
      </c>
      <c r="CL708" s="50" t="n">
        <f aca="false">N(N708)</f>
        <v>1</v>
      </c>
      <c r="CM708" s="50" t="n">
        <f aca="false">ROUNDUP(H708/BY708,0)</f>
        <v>1</v>
      </c>
      <c r="CN708" s="50" t="n">
        <f aca="false">ROUNDUP(CI708/BY708,0)</f>
        <v>0</v>
      </c>
      <c r="CO708" s="53" t="n">
        <f aca="false">IF(BZ708=1,0,IFERROR(VLOOKUP(BX708,'Gebinde-Kategorie'!$A$5:$N$45,5,0)+0,0))</f>
        <v>8</v>
      </c>
      <c r="CP708" s="53" t="n">
        <f aca="false">IFERROR(IF(OR(CE708=1,CE708=2,CE708=3),N(INDEX(Parameter!$I$5:$I$7,CE708)),0),0)</f>
        <v>0</v>
      </c>
      <c r="CQ708" s="52" t="n">
        <f aca="false">IF(AND(Parameter!$B$21="Ja",ISNUMBER(W708),N(X708)&gt;0),IFERROR(N(INDEX(Parameter!$L$5:$L$7,W708))*INDEX(Parameter!$E$5:$E$7,W708)*X708/SUMIFS($X$7:$X$1843,$W$7:$W$1843,W708),0),0)</f>
        <v>0</v>
      </c>
    </row>
    <row r="709" customFormat="false" ht="15" hidden="false" customHeight="false" outlineLevel="0" collapsed="false">
      <c r="A709" s="48" t="s">
        <v>1424</v>
      </c>
      <c r="B709" s="48" t="s">
        <v>1337</v>
      </c>
      <c r="C709" s="48" t="s">
        <v>173</v>
      </c>
      <c r="D709" s="48" t="s">
        <v>193</v>
      </c>
      <c r="E709" s="48" t="s">
        <v>194</v>
      </c>
      <c r="F709" s="48" t="s">
        <v>227</v>
      </c>
      <c r="G709" s="49" t="n">
        <v>55.5</v>
      </c>
      <c r="H709" s="50" t="n">
        <f aca="false">MAX(0,IF(AND(Parameter!$B$21="Ja",ISNUMBER(Y709)),Y709,IF(Parameter!$B$20="Jahresanfang 2025 + Export",BR709+BQ709,BQ709)))</f>
        <v>4</v>
      </c>
      <c r="I709" s="50" t="n">
        <f aca="false">H709*G709</f>
        <v>222</v>
      </c>
      <c r="J709" s="50" t="n">
        <f aca="false">BT709*Parameter!$B$18</f>
        <v>2</v>
      </c>
      <c r="K709" s="51" t="n">
        <v>3</v>
      </c>
      <c r="L709" s="52" t="n">
        <v>0.666666666666667</v>
      </c>
      <c r="M709" s="50" t="n">
        <v>0</v>
      </c>
      <c r="N709" s="50" t="n">
        <v>1</v>
      </c>
      <c r="O709" s="53" t="n">
        <v>28</v>
      </c>
      <c r="P709" s="48" t="s">
        <v>311</v>
      </c>
      <c r="Q709" s="50" t="n">
        <v>6</v>
      </c>
      <c r="R709" s="53" t="n">
        <f aca="false">IF(BZ709=1,0,IFERROR(VLOOKUP(BX709,'Gebinde-Kategorie'!$A$5:$N$45,13,0)+0,0))</f>
        <v>26</v>
      </c>
      <c r="S709" s="54"/>
      <c r="T709" s="55"/>
      <c r="U709" s="55"/>
      <c r="V709" s="55"/>
      <c r="W709" s="48"/>
      <c r="X709" s="50"/>
      <c r="Y709" s="50"/>
      <c r="Z709" s="48" t="n">
        <f aca="false">IF(A709="","",IF(AND(Parameter!$B$21="Ja",ISNUMBER(W709)),W709,IF(CC709="2+3",IF(ISNUMBER(SEARCH("grosser Artikel",BU709)),2,IFERROR(VLOOKUP(BX709,Parameter!$F$35:$G$64,2,0),2)),IF(OR(CC709="Nein",CC709=""),"-",CC709))))</f>
        <v>3</v>
      </c>
      <c r="AA709" s="55"/>
      <c r="AB709" s="56"/>
      <c r="AC709" s="50" t="n">
        <f aca="false">AV709</f>
        <v>2</v>
      </c>
      <c r="AD709" s="50" t="n">
        <f aca="false">MAX(AV709,H709)</f>
        <v>4</v>
      </c>
      <c r="AE709" s="57"/>
      <c r="AF709" s="50" t="n">
        <f aca="false">IF(LEFT(Cockpit!$C$5,1)="A",H709,IF(Parameter!$E$30="MAX-Bestand",IF(CH709=1,CI709,IF(LEFT(Cockpit!$C$5,1)="B",AL709,MAX(AL709,H709))),ROUNDUP(AJ709,0)))</f>
        <v>4</v>
      </c>
      <c r="AG709" s="50" t="n">
        <f aca="false">IF(BZ709=1,0,ROUNDUP(AF709/BY709,0))</f>
        <v>1</v>
      </c>
      <c r="AH709" s="52" t="n">
        <f aca="false">IF(CQ709&gt;0,CQ709*MAX(1,AF709/X709),IF(BZ709=1,IF(AF709&lt;=0,0,CD709*MAX(1,IF(H709&gt;0,AF709/H709,1))),IF(R709&gt;0,AG709/R709,0))/MAX(0.1,N(Parameter!$M$21)))</f>
        <v>0.0384615384615385</v>
      </c>
      <c r="AI709" s="50" t="n">
        <f aca="false">AH709*CB709</f>
        <v>5.96153846153846</v>
      </c>
      <c r="AJ709" s="51" t="n">
        <f aca="false">IF(LEFT(Cockpit!$C$5,1)="A",H709,IF(CH709=1,(CK709+CI709)/2,IF(LEFT(Cockpit!$C$5,1)="B",(CK709+AL709)/2,MAX((CK709+AL709)/2,H709))))</f>
        <v>4</v>
      </c>
      <c r="AK709" s="50" t="n">
        <f aca="false">AJ709*G709</f>
        <v>222</v>
      </c>
      <c r="AL709" s="50" t="n">
        <f aca="false">ROUNDUP(CK709+MAX(CL709,2*(J709/IF(CG709&gt;0,CG709,MAX(0.1,N(Cockpit!$C$6)))-CK709)),0)</f>
        <v>2</v>
      </c>
      <c r="AM709" s="51" t="n">
        <f aca="false">IF(AI709&gt;0,J709/AI709,-1)</f>
        <v>0.335483870967742</v>
      </c>
      <c r="AN709" s="51" t="n">
        <f aca="false">IF(AND(OR(CF709="L1",CF709="L23",CF709="LIFT"),AI709&gt;0),SUMIFS($AI$7:$AI$1843,$CF$7:$CF$1843,CF709,$AM$7:$AM$1843,"&gt;"&amp;AM709)+SUMIFS($AI$7:$AI$1843,$CF$7:$CF$1843,CF709,$AM$7:$AM$1843,AM709,$BW$7:$BW$1843,"&lt;="&amp;BW709),"")</f>
        <v>11194.9616548706</v>
      </c>
      <c r="AO709" s="58" t="n">
        <f aca="false">IF(AN709="",0,MAX(0,MIN(1,(IF(CF709="L1",Parameter!$H$5,IF(CF709="L23",Parameter!$H$6+Parameter!$H$7,Parameter!$H$5+Parameter!$H$6+Parameter!$H$7))-(AN709-AI709))/AI709)))</f>
        <v>1</v>
      </c>
      <c r="AP709" s="50" t="n">
        <f aca="false">IF(LEFT(Cockpit!$I$5,1)="A",H709,IF(Parameter!$E$30="MAX-Bestand",IF(CH709=1,CI709,IF(LEFT(Cockpit!$I$5,1)="B",AV709,MAX(AV709,H709))),ROUNDUP(AT709,0)))</f>
        <v>4</v>
      </c>
      <c r="AQ709" s="50" t="n">
        <f aca="false">IF(BZ709=1,0,ROUNDUP(AP709/BY709,0))</f>
        <v>1</v>
      </c>
      <c r="AR709" s="52" t="n">
        <f aca="false">IF(CQ709&gt;0,CQ709*MAX(1,AP709/X709),IF(BZ709=1,IF(AP709&lt;=0,0,CD709*MAX(1,IF(H709&gt;0,AP709/H709,1))),IF(R709&gt;0,AQ709/R709,0))/MAX(0.1,N(Parameter!$M$21)))</f>
        <v>0.0384615384615385</v>
      </c>
      <c r="AS709" s="50" t="n">
        <f aca="false">AR709*CB709</f>
        <v>5.96153846153846</v>
      </c>
      <c r="AT709" s="51" t="n">
        <f aca="false">IF(LEFT(Cockpit!$I$5,1)="A",H709,IF(CH709=1,(CK709+CI709)/2,IF(LEFT(Cockpit!$I$5,1)="B",(CK709+AV709)/2,MAX((CK709+AV709)/2,H709))))</f>
        <v>4</v>
      </c>
      <c r="AU709" s="50" t="n">
        <f aca="false">AT709*G709</f>
        <v>222</v>
      </c>
      <c r="AV709" s="50" t="n">
        <f aca="false">ROUNDUP(CK709+MAX(CL709,2*(J709/IF(CG709&gt;0,CG709,MAX(0.1,N(Cockpit!$I$6)))-CK709)),0)</f>
        <v>2</v>
      </c>
      <c r="AW709" s="51" t="n">
        <f aca="false">IF(AS709&gt;0,J709/AS709,-1)</f>
        <v>0.335483870967742</v>
      </c>
      <c r="AX709" s="51" t="n">
        <f aca="false">IF(AND(OR(CF709="L1",CF709="L23",CF709="LIFT"),AS709&gt;0),SUMIFS($AS$7:$AS$1843,$CF$7:$CF$1843,CF709,$AW$7:$AW$1843,"&gt;"&amp;AW709)+SUMIFS($AS$7:$AS$1843,$CF$7:$CF$1843,CF709,$AW$7:$AW$1843,AW709,$BW$7:$BW$1843,"&lt;="&amp;BW709),"")</f>
        <v>13729.0993589744</v>
      </c>
      <c r="AY709" s="58" t="n">
        <f aca="false">IF(AX709="",0,MAX(0,MIN(1,(IF(CF709="L1",Parameter!$H$5,IF(CF709="L23",Parameter!$H$6+Parameter!$H$7,Parameter!$H$5+Parameter!$H$6+Parameter!$H$7))-(AX709-AS709))/AS709)))</f>
        <v>1</v>
      </c>
      <c r="AZ709" s="50" t="n">
        <f aca="false">IF(LEFT(Cockpit!$O$5,1)="A",H709,IF(Parameter!$E$30="MAX-Bestand",IF(CH709=1,CI709,IF(LEFT(Cockpit!$O$5,1)="B",BF709,MAX(BF709,H709))),ROUNDUP(BD709,0)))</f>
        <v>1</v>
      </c>
      <c r="BA709" s="50" t="n">
        <f aca="false">IF(BZ709=1,0,ROUNDUP(AZ709/BY709,0))</f>
        <v>1</v>
      </c>
      <c r="BB709" s="52" t="n">
        <f aca="false">IF(CQ709&gt;0,CQ709*MAX(1,AZ709/X709),IF(BZ709=1,IF(AZ709&lt;=0,0,CD709*MAX(1,IF(H709&gt;0,AZ709/H709,1))),IF(R709&gt;0,BA709/R709,0))/MAX(0.1,N(Parameter!$M$21)))</f>
        <v>0.0384615384615385</v>
      </c>
      <c r="BC709" s="50" t="n">
        <f aca="false">BB709*CB709</f>
        <v>5.96153846153846</v>
      </c>
      <c r="BD709" s="51" t="n">
        <f aca="false">IF(LEFT(Cockpit!$O$5,1)="A",H709,IF(CH709=1,(CK709+CI709)/2,IF(LEFT(Cockpit!$O$5,1)="B",(CK709+BF709)/2,MAX((CK709+BF709)/2,H709))))</f>
        <v>0.5</v>
      </c>
      <c r="BE709" s="50" t="n">
        <f aca="false">BD709*G709</f>
        <v>27.75</v>
      </c>
      <c r="BF709" s="50" t="n">
        <f aca="false">ROUNDUP(CK709+MAX(CL709,2*(J709/IF(CG709&gt;0,CG709,MAX(0.1,N(Cockpit!$O$6)))-CK709)),0)</f>
        <v>1</v>
      </c>
      <c r="BG709" s="51" t="n">
        <f aca="false">IF(BC709&gt;0,J709/BC709,-1)</f>
        <v>0.335483870967742</v>
      </c>
      <c r="BH709" s="51" t="n">
        <f aca="false">IF(AND(OR(CF709="L1",CF709="L23",CF709="LIFT"),BC709&gt;0),SUMIFS($BC$7:$BC$1843,$CF$7:$CF$1843,CF709,$BG$7:$BG$1843,"&gt;"&amp;BG709)+SUMIFS($BC$7:$BC$1843,$CF$7:$CF$1843,CF709,$BG$7:$BG$1843,BG709,$BW$7:$BW$1843,"&lt;="&amp;BW709),"")</f>
        <v>11580.0581501832</v>
      </c>
      <c r="BI709" s="58" t="n">
        <f aca="false">IF(BH709="",0,MAX(0,MIN(1,(IF(CF709="L1",Parameter!$H$5,IF(CF709="L23",Parameter!$H$6+Parameter!$H$7,Parameter!$H$5+Parameter!$H$6+Parameter!$H$7))-(BH709-BC709))/BC709)))</f>
        <v>1</v>
      </c>
      <c r="BJ709" s="48" t="str">
        <f aca="false">IF(AI709&lt;=0,"",IF(CF709="Aussen","Aussenlager",IF(CF709="-","Nicht im Lift",IF(AO709&gt;=1,"Lift",IF(AO709&lt;=0,"Aussenlager","teilweise")))))</f>
        <v>Lift</v>
      </c>
      <c r="BK709" s="48" t="str">
        <f aca="false">IF(AS709&lt;=0,"",IF(CF709="Aussen","Aussenlager",IF(CF709="-","Nicht im Lift",IF(AY709&gt;=1,"Lift",IF(AY709&lt;=0,"Aussenlager","teilweise")))))</f>
        <v>Lift</v>
      </c>
      <c r="BL709" s="48" t="str">
        <f aca="false">IF(BC709&lt;=0,"",IF(CF709="Aussen","Aussenlager",IF(CF709="-","Nicht im Lift",IF(BI709&gt;=1,"Lift",IF(BI709&lt;=0,"Aussenlager","teilweise")))))</f>
        <v>Lift</v>
      </c>
      <c r="BM709" s="48" t="str">
        <f aca="false">IF(A709="","",IF(BV709=1,"Neu; ","")&amp;IF(AND(BV709=0,BQ709&lt;0),"negativer Bestand (Export "&amp;BQ709&amp;"); ","")&amp;IF(J709&lt;=0,"Kein Verbrauch; ","")&amp;IF(CQ709&gt;0,"Lift "&amp;W709&amp;" lt. Liftbericht (Fach "&amp;X709&amp;" Stk); ",IF(CA709=1,"Gebinde geschätzt ("&amp;T709&amp;"); ",IF(BZ709=1,"Lose – Tablare geschätzt; ","")))&amp;IF(H709&gt;AV709,"Überbestand "&amp;ROUND(H709-AV709,0)&amp;" Stk / CHF "&amp;ROUND((H709-AV709)*G709,0)&amp;"; ","")&amp;IF(AND(CH709=1,CI709&lt;CJ709),"MAX &lt; MB+LG; ","")&amp;IF(AND(CP709&gt;0,CO709*10&gt;CP709),"zu hoch für Tablar; ","")&amp;IF(AND(BV709=0,OR(CH709=1,AA709&lt;&gt;"",U709&lt;&gt;"",V709&lt;&gt;"",AB709&lt;&gt;"")),"manuell übersteuert; ","")&amp;IF(AND(BZ709=0,R709=0),"Gebinde unbekannt / Stellmass fehlt; ","")&amp;IF(AND(BZ709=0,N(V709)&lt;=0,N(Q709)&lt;=0),"Menge pro Gebinde fehlt (Ist = 1 Gebinde); ","")&amp;BU709)</f>
        <v>Überbestand 2 Stk / CHF 111; </v>
      </c>
      <c r="BN709" s="48"/>
      <c r="BO709" s="48"/>
      <c r="BP709" s="55"/>
      <c r="BQ709" s="50" t="n">
        <v>0</v>
      </c>
      <c r="BR709" s="50" t="n">
        <v>4</v>
      </c>
      <c r="BS709" s="49" t="n">
        <v>0</v>
      </c>
      <c r="BT709" s="50" t="n">
        <v>2</v>
      </c>
      <c r="BU709" s="48"/>
      <c r="BV709" s="53" t="n">
        <v>0</v>
      </c>
      <c r="BW709" s="53" t="n">
        <v>709</v>
      </c>
      <c r="BX709" s="48" t="str">
        <f aca="false">IF(U709&lt;&gt;"",UPPER(TRIM(U709)),IF(CA709=1,UPPER(VLOOKUP(T709,Parameter!$I$27:$K$29,2,0)),IF(P709="","LOSE",P709)))</f>
        <v>S51</v>
      </c>
      <c r="BY709" s="50" t="n">
        <f aca="false">IF(BX709="LOSE",1,IF(N(V709)&gt;0,V709,IF(CA709=1,MAX(1,N(VLOOKUP(T709,Parameter!$I$27:$K$29,3,0)),H709,N(N709)),IF(N(Q709)&gt;0,Q709,MAX(1,H709)))))</f>
        <v>6</v>
      </c>
      <c r="BZ709" s="53" t="n">
        <f aca="false">IF(BX709="LOSE",1,0)</f>
        <v>0</v>
      </c>
      <c r="CA709" s="53" t="n">
        <f aca="false">IF(AND(U709="",OR(P709="",P709="LOSE"),T709&lt;&gt;"",N(S709)&lt;=0,ISNUMBER(MATCH(T709,Parameter!$I$27:$I$29,0))),1,0)</f>
        <v>0</v>
      </c>
      <c r="CB709" s="53" t="n">
        <f aca="false">IF(CQ709&gt;0,INDEX(Parameter!$H$5:$H$7,W709)/INDEX(Parameter!$E$5:$E$7,W709),IF(AND(BZ709=0,N(IFERROR(VLOOKUP(BX709,'Gebinde-Kategorie'!$A$5:$N$45,14,0),0))&gt;0),VLOOKUP(BX709,'Gebinde-Kategorie'!$A$5:$N$45,14,0)*10+Parameter!$M$23,Parameter!$M$24))</f>
        <v>155</v>
      </c>
      <c r="CC709" s="48" t="str">
        <f aca="false">IF(AND(Parameter!$B$19="Ja",E709&lt;&gt;"",ISNUMBER(MATCH(E709,Parameter!$I$35:$I$52,0))),VLOOKUP(E709,Parameter!$I$35:$J$52,2,0),IFERROR(VLOOKUP(D709,Parameter!$A$35:$C$64,2,0),"Nein"))</f>
        <v>2+3</v>
      </c>
      <c r="CD709" s="52" t="n">
        <f aca="false">IF(BZ709=0,0,IF(N(S709)&gt;0,S709,IFERROR(VLOOKUP(D709,Parameter!$A$35:$C$64,3,0)+0,0)))</f>
        <v>0</v>
      </c>
      <c r="CE709" s="48" t="n">
        <f aca="false">IF(AA709&lt;&gt;"",AA709,Z709)</f>
        <v>3</v>
      </c>
      <c r="CF709" s="48" t="str">
        <f aca="false">IF(OR(CE709=1,CE709=2,CE709=3),IF(Parameter!$E$27="Ja","LIFT",IF(CE709=1,"L1","L23")),IF(CE709="Aussen","Aussen","-"))</f>
        <v>LIFT</v>
      </c>
      <c r="CG709" s="59" t="n">
        <f aca="false">IF(N(AB709)&gt;0,AB709,0)</f>
        <v>0</v>
      </c>
      <c r="CH709" s="53" t="n">
        <f aca="false">IF(ISNUMBER(AE709),1,0)</f>
        <v>0</v>
      </c>
      <c r="CI709" s="50" t="n">
        <f aca="false">N(AE709)</f>
        <v>0</v>
      </c>
      <c r="CJ709" s="50" t="n">
        <f aca="false">N(M709)+N(N709)</f>
        <v>1</v>
      </c>
      <c r="CK709" s="50" t="n">
        <f aca="false">N(M709)</f>
        <v>0</v>
      </c>
      <c r="CL709" s="50" t="n">
        <f aca="false">N(N709)</f>
        <v>1</v>
      </c>
      <c r="CM709" s="50" t="n">
        <f aca="false">ROUNDUP(H709/BY709,0)</f>
        <v>1</v>
      </c>
      <c r="CN709" s="50" t="n">
        <f aca="false">ROUNDUP(CI709/BY709,0)</f>
        <v>0</v>
      </c>
      <c r="CO709" s="53" t="n">
        <f aca="false">IF(BZ709=1,0,IFERROR(VLOOKUP(BX709,'Gebinde-Kategorie'!$A$5:$N$45,5,0)+0,0))</f>
        <v>11</v>
      </c>
      <c r="CP709" s="53" t="n">
        <f aca="false">IFERROR(IF(OR(CE709=1,CE709=2,CE709=3),N(INDEX(Parameter!$I$5:$I$7,CE709)),0),0)</f>
        <v>0</v>
      </c>
      <c r="CQ709" s="52" t="n">
        <f aca="false">IF(AND(Parameter!$B$21="Ja",ISNUMBER(W709),N(X709)&gt;0),IFERROR(N(INDEX(Parameter!$L$5:$L$7,W709))*INDEX(Parameter!$E$5:$E$7,W709)*X709/SUMIFS($X$7:$X$1843,$W$7:$W$1843,W709),0),0)</f>
        <v>0</v>
      </c>
    </row>
    <row r="710" customFormat="false" ht="15" hidden="false" customHeight="false" outlineLevel="0" collapsed="false">
      <c r="A710" s="48" t="s">
        <v>1425</v>
      </c>
      <c r="B710" s="48" t="s">
        <v>1426</v>
      </c>
      <c r="C710" s="48" t="s">
        <v>173</v>
      </c>
      <c r="D710" s="48" t="s">
        <v>193</v>
      </c>
      <c r="E710" s="48"/>
      <c r="F710" s="48" t="s">
        <v>227</v>
      </c>
      <c r="G710" s="49" t="n">
        <v>268</v>
      </c>
      <c r="H710" s="50" t="n">
        <f aca="false">MAX(0,IF(AND(Parameter!$B$21="Ja",ISNUMBER(Y710)),Y710,IF(Parameter!$B$20="Jahresanfang 2025 + Export",BR710+BQ710,BQ710)))</f>
        <v>0</v>
      </c>
      <c r="I710" s="50" t="n">
        <f aca="false">H710*G710</f>
        <v>0</v>
      </c>
      <c r="J710" s="50" t="n">
        <f aca="false">BT710*Parameter!$B$18</f>
        <v>0</v>
      </c>
      <c r="K710" s="51" t="n">
        <v>0</v>
      </c>
      <c r="L710" s="52" t="n">
        <v>0</v>
      </c>
      <c r="M710" s="50" t="n">
        <v>0</v>
      </c>
      <c r="N710" s="50" t="n">
        <v>1</v>
      </c>
      <c r="O710" s="53" t="n">
        <v>90</v>
      </c>
      <c r="P710" s="48" t="s">
        <v>177</v>
      </c>
      <c r="Q710" s="50"/>
      <c r="R710" s="53" t="n">
        <f aca="false">IF(BZ710=1,0,IFERROR(VLOOKUP(BX710,'Gebinde-Kategorie'!$A$5:$N$45,13,0)+0,0))</f>
        <v>26</v>
      </c>
      <c r="S710" s="54"/>
      <c r="T710" s="55" t="s">
        <v>284</v>
      </c>
      <c r="U710" s="55"/>
      <c r="V710" s="55"/>
      <c r="W710" s="48"/>
      <c r="X710" s="50"/>
      <c r="Y710" s="50"/>
      <c r="Z710" s="48" t="n">
        <f aca="false">IF(A710="","",IF(AND(Parameter!$B$21="Ja",ISNUMBER(W710)),W710,IF(CC710="2+3",IF(ISNUMBER(SEARCH("grosser Artikel",BU710)),2,IFERROR(VLOOKUP(BX710,Parameter!$F$35:$G$64,2,0),2)),IF(OR(CC710="Nein",CC710=""),"-",CC710))))</f>
        <v>3</v>
      </c>
      <c r="AA710" s="55"/>
      <c r="AB710" s="56"/>
      <c r="AC710" s="50" t="n">
        <f aca="false">AV710</f>
        <v>1</v>
      </c>
      <c r="AD710" s="50" t="n">
        <f aca="false">MAX(AV710,H710)</f>
        <v>1</v>
      </c>
      <c r="AE710" s="57"/>
      <c r="AF710" s="50" t="n">
        <f aca="false">IF(LEFT(Cockpit!$C$5,1)="A",H710,IF(Parameter!$E$30="MAX-Bestand",IF(CH710=1,CI710,IF(LEFT(Cockpit!$C$5,1)="B",AL710,MAX(AL710,H710))),ROUNDUP(AJ710,0)))</f>
        <v>0</v>
      </c>
      <c r="AG710" s="50" t="n">
        <f aca="false">IF(BZ710=1,0,ROUNDUP(AF710/BY710,0))</f>
        <v>0</v>
      </c>
      <c r="AH710" s="52" t="n">
        <f aca="false">IF(CQ710&gt;0,CQ710*MAX(1,AF710/X710),IF(BZ710=1,IF(AF710&lt;=0,0,CD710*MAX(1,IF(H710&gt;0,AF710/H710,1))),IF(R710&gt;0,AG710/R710,0))/MAX(0.1,N(Parameter!$M$21)))</f>
        <v>0</v>
      </c>
      <c r="AI710" s="50" t="n">
        <f aca="false">AH710*CB710</f>
        <v>0</v>
      </c>
      <c r="AJ710" s="51" t="n">
        <f aca="false">IF(LEFT(Cockpit!$C$5,1)="A",H710,IF(CH710=1,(CK710+CI710)/2,IF(LEFT(Cockpit!$C$5,1)="B",(CK710+AL710)/2,MAX((CK710+AL710)/2,H710))))</f>
        <v>0</v>
      </c>
      <c r="AK710" s="50" t="n">
        <f aca="false">AJ710*G710</f>
        <v>0</v>
      </c>
      <c r="AL710" s="50" t="n">
        <f aca="false">ROUNDUP(CK710+MAX(CL710,2*(J710/IF(CG710&gt;0,CG710,MAX(0.1,N(Cockpit!$C$6)))-CK710)),0)</f>
        <v>1</v>
      </c>
      <c r="AM710" s="51" t="n">
        <f aca="false">IF(AI710&gt;0,J710/AI710,-1)</f>
        <v>-1</v>
      </c>
      <c r="AN710" s="51" t="str">
        <f aca="false">IF(AND(OR(CF710="L1",CF710="L23",CF710="LIFT"),AI710&gt;0),SUMIFS($AI$7:$AI$1843,$CF$7:$CF$1843,CF710,$AM$7:$AM$1843,"&gt;"&amp;AM710)+SUMIFS($AI$7:$AI$1843,$CF$7:$CF$1843,CF710,$AM$7:$AM$1843,AM710,$BW$7:$BW$1843,"&lt;="&amp;BW710),"")</f>
        <v/>
      </c>
      <c r="AO710" s="58" t="n">
        <f aca="false">IF(AN710="",0,MAX(0,MIN(1,(IF(CF710="L1",Parameter!$H$5,IF(CF710="L23",Parameter!$H$6+Parameter!$H$7,Parameter!$H$5+Parameter!$H$6+Parameter!$H$7))-(AN710-AI710))/AI710)))</f>
        <v>0</v>
      </c>
      <c r="AP710" s="50" t="n">
        <f aca="false">IF(LEFT(Cockpit!$I$5,1)="A",H710,IF(Parameter!$E$30="MAX-Bestand",IF(CH710=1,CI710,IF(LEFT(Cockpit!$I$5,1)="B",AV710,MAX(AV710,H710))),ROUNDUP(AT710,0)))</f>
        <v>1</v>
      </c>
      <c r="AQ710" s="50" t="n">
        <f aca="false">IF(BZ710=1,0,ROUNDUP(AP710/BY710,0))</f>
        <v>1</v>
      </c>
      <c r="AR710" s="52" t="n">
        <f aca="false">IF(CQ710&gt;0,CQ710*MAX(1,AP710/X710),IF(BZ710=1,IF(AP710&lt;=0,0,CD710*MAX(1,IF(H710&gt;0,AP710/H710,1))),IF(R710&gt;0,AQ710/R710,0))/MAX(0.1,N(Parameter!$M$21)))</f>
        <v>0.0384615384615385</v>
      </c>
      <c r="AS710" s="50" t="n">
        <f aca="false">AR710*CB710</f>
        <v>5.96153846153846</v>
      </c>
      <c r="AT710" s="51" t="n">
        <f aca="false">IF(LEFT(Cockpit!$I$5,1)="A",H710,IF(CH710=1,(CK710+CI710)/2,IF(LEFT(Cockpit!$I$5,1)="B",(CK710+AV710)/2,MAX((CK710+AV710)/2,H710))))</f>
        <v>0.5</v>
      </c>
      <c r="AU710" s="50" t="n">
        <f aca="false">AT710*G710</f>
        <v>134</v>
      </c>
      <c r="AV710" s="50" t="n">
        <f aca="false">ROUNDUP(CK710+MAX(CL710,2*(J710/IF(CG710&gt;0,CG710,MAX(0.1,N(Cockpit!$I$6)))-CK710)),0)</f>
        <v>1</v>
      </c>
      <c r="AW710" s="51" t="n">
        <f aca="false">IF(AS710&gt;0,J710/AS710,-1)</f>
        <v>0</v>
      </c>
      <c r="AX710" s="51" t="n">
        <f aca="false">IF(AND(OR(CF710="L1",CF710="L23",CF710="LIFT"),AS710&gt;0),SUMIFS($AS$7:$AS$1843,$CF$7:$CF$1843,CF710,$AW$7:$AW$1843,"&gt;"&amp;AW710)+SUMIFS($AS$7:$AS$1843,$CF$7:$CF$1843,CF710,$AW$7:$AW$1843,AW710,$BW$7:$BW$1843,"&lt;="&amp;BW710),"")</f>
        <v>34058.7197802198</v>
      </c>
      <c r="AY710" s="58" t="n">
        <f aca="false">IF(AX710="",0,MAX(0,MIN(1,(IF(CF710="L1",Parameter!$H$5,IF(CF710="L23",Parameter!$H$6+Parameter!$H$7,Parameter!$H$5+Parameter!$H$6+Parameter!$H$7))-(AX710-AS710))/AS710)))</f>
        <v>1</v>
      </c>
      <c r="AZ710" s="50" t="n">
        <f aca="false">IF(LEFT(Cockpit!$O$5,1)="A",H710,IF(Parameter!$E$30="MAX-Bestand",IF(CH710=1,CI710,IF(LEFT(Cockpit!$O$5,1)="B",BF710,MAX(BF710,H710))),ROUNDUP(BD710,0)))</f>
        <v>1</v>
      </c>
      <c r="BA710" s="50" t="n">
        <f aca="false">IF(BZ710=1,0,ROUNDUP(AZ710/BY710,0))</f>
        <v>1</v>
      </c>
      <c r="BB710" s="52" t="n">
        <f aca="false">IF(CQ710&gt;0,CQ710*MAX(1,AZ710/X710),IF(BZ710=1,IF(AZ710&lt;=0,0,CD710*MAX(1,IF(H710&gt;0,AZ710/H710,1))),IF(R710&gt;0,BA710/R710,0))/MAX(0.1,N(Parameter!$M$21)))</f>
        <v>0.0384615384615385</v>
      </c>
      <c r="BC710" s="50" t="n">
        <f aca="false">BB710*CB710</f>
        <v>5.96153846153846</v>
      </c>
      <c r="BD710" s="51" t="n">
        <f aca="false">IF(LEFT(Cockpit!$O$5,1)="A",H710,IF(CH710=1,(CK710+CI710)/2,IF(LEFT(Cockpit!$O$5,1)="B",(CK710+BF710)/2,MAX((CK710+BF710)/2,H710))))</f>
        <v>0.5</v>
      </c>
      <c r="BE710" s="50" t="n">
        <f aca="false">BD710*G710</f>
        <v>134</v>
      </c>
      <c r="BF710" s="50" t="n">
        <f aca="false">ROUNDUP(CK710+MAX(CL710,2*(J710/IF(CG710&gt;0,CG710,MAX(0.1,N(Cockpit!$O$6)))-CK710)),0)</f>
        <v>1</v>
      </c>
      <c r="BG710" s="51" t="n">
        <f aca="false">IF(BC710&gt;0,J710/BC710,-1)</f>
        <v>0</v>
      </c>
      <c r="BH710" s="51" t="n">
        <f aca="false">IF(AND(OR(CF710="L1",CF710="L23",CF710="LIFT"),BC710&gt;0),SUMIFS($BC$7:$BC$1843,$CF$7:$CF$1843,CF710,$BG$7:$BG$1843,"&gt;"&amp;BG710)+SUMIFS($BC$7:$BC$1843,$CF$7:$CF$1843,CF710,$BG$7:$BG$1843,BG710,$BW$7:$BW$1843,"&lt;="&amp;BW710),"")</f>
        <v>28122.8487846899</v>
      </c>
      <c r="BI710" s="58" t="n">
        <f aca="false">IF(BH710="",0,MAX(0,MIN(1,(IF(CF710="L1",Parameter!$H$5,IF(CF710="L23",Parameter!$H$6+Parameter!$H$7,Parameter!$H$5+Parameter!$H$6+Parameter!$H$7))-(BH710-BC710))/BC710)))</f>
        <v>1</v>
      </c>
      <c r="BJ710" s="48" t="str">
        <f aca="false">IF(AI710&lt;=0,"",IF(CF710="Aussen","Aussenlager",IF(CF710="-","Nicht im Lift",IF(AO710&gt;=1,"Lift",IF(AO710&lt;=0,"Aussenlager","teilweise")))))</f>
        <v/>
      </c>
      <c r="BK710" s="48" t="str">
        <f aca="false">IF(AS710&lt;=0,"",IF(CF710="Aussen","Aussenlager",IF(CF710="-","Nicht im Lift",IF(AY710&gt;=1,"Lift",IF(AY710&lt;=0,"Aussenlager","teilweise")))))</f>
        <v>Lift</v>
      </c>
      <c r="BL710" s="48" t="str">
        <f aca="false">IF(BC710&lt;=0,"",IF(CF710="Aussen","Aussenlager",IF(CF710="-","Nicht im Lift",IF(BI710&gt;=1,"Lift",IF(BI710&lt;=0,"Aussenlager","teilweise")))))</f>
        <v>Lift</v>
      </c>
      <c r="BM710" s="48" t="str">
        <f aca="false">IF(A710="","",IF(BV710=1,"Neu; ","")&amp;IF(AND(BV710=0,BQ710&lt;0),"negativer Bestand (Export "&amp;BQ710&amp;"); ","")&amp;IF(J710&lt;=0,"Kein Verbrauch; ","")&amp;IF(CQ710&gt;0,"Lift "&amp;W710&amp;" lt. Liftbericht (Fach "&amp;X710&amp;" Stk); ",IF(CA710=1,"Gebinde geschätzt ("&amp;T710&amp;"); ",IF(BZ710=1,"Lose – Tablare geschätzt; ","")))&amp;IF(H710&gt;AV710,"Überbestand "&amp;ROUND(H710-AV710,0)&amp;" Stk / CHF "&amp;ROUND((H710-AV710)*G710,0)&amp;"; ","")&amp;IF(AND(CH710=1,CI710&lt;CJ710),"MAX &lt; MB+LG; ","")&amp;IF(AND(CP710&gt;0,CO710*10&gt;CP710),"zu hoch für Tablar; ","")&amp;IF(AND(BV710=0,OR(CH710=1,AA710&lt;&gt;"",U710&lt;&gt;"",V710&lt;&gt;"",AB710&lt;&gt;"")),"manuell übersteuert; ","")&amp;IF(AND(BZ710=0,R710=0),"Gebinde unbekannt / Stellmass fehlt; ","")&amp;IF(AND(BZ710=0,N(V710)&lt;=0,N(Q710)&lt;=0),"Menge pro Gebinde fehlt (Ist = 1 Gebinde); ","")&amp;BU710)</f>
        <v>Kein Verbrauch; Gebinde geschätzt (Klein); Menge pro Gebinde fehlt (Ist = 1 Gebinde); </v>
      </c>
      <c r="BN710" s="48"/>
      <c r="BO710" s="48"/>
      <c r="BP710" s="55"/>
      <c r="BQ710" s="50" t="n">
        <v>0</v>
      </c>
      <c r="BR710" s="50" t="n">
        <v>0</v>
      </c>
      <c r="BS710" s="49" t="n">
        <v>0</v>
      </c>
      <c r="BT710" s="50" t="n">
        <v>0</v>
      </c>
      <c r="BU710" s="48"/>
      <c r="BV710" s="53" t="n">
        <v>0</v>
      </c>
      <c r="BW710" s="53" t="n">
        <v>710</v>
      </c>
      <c r="BX710" s="48" t="str">
        <f aca="false">IF(U710&lt;&gt;"",UPPER(TRIM(U710)),IF(CA710=1,UPPER(VLOOKUP(T710,Parameter!$I$27:$K$29,2,0)),IF(P710="","LOSE",P710)))</f>
        <v>S51</v>
      </c>
      <c r="BY710" s="50" t="n">
        <f aca="false">IF(BX710="LOSE",1,IF(N(V710)&gt;0,V710,IF(CA710=1,MAX(1,N(VLOOKUP(T710,Parameter!$I$27:$K$29,3,0)),H710,N(N710)),IF(N(Q710)&gt;0,Q710,MAX(1,H710)))))</f>
        <v>20</v>
      </c>
      <c r="BZ710" s="53" t="n">
        <f aca="false">IF(BX710="LOSE",1,0)</f>
        <v>0</v>
      </c>
      <c r="CA710" s="53" t="n">
        <f aca="false">IF(AND(U710="",OR(P710="",P710="LOSE"),T710&lt;&gt;"",N(S710)&lt;=0,ISNUMBER(MATCH(T710,Parameter!$I$27:$I$29,0))),1,0)</f>
        <v>1</v>
      </c>
      <c r="CB710" s="53" t="n">
        <f aca="false">IF(CQ710&gt;0,INDEX(Parameter!$H$5:$H$7,W710)/INDEX(Parameter!$E$5:$E$7,W710),IF(AND(BZ710=0,N(IFERROR(VLOOKUP(BX710,'Gebinde-Kategorie'!$A$5:$N$45,14,0),0))&gt;0),VLOOKUP(BX710,'Gebinde-Kategorie'!$A$5:$N$45,14,0)*10+Parameter!$M$23,Parameter!$M$24))</f>
        <v>155</v>
      </c>
      <c r="CC710" s="48" t="str">
        <f aca="false">IF(AND(Parameter!$B$19="Ja",E710&lt;&gt;"",ISNUMBER(MATCH(E710,Parameter!$I$35:$I$52,0))),VLOOKUP(E710,Parameter!$I$35:$J$52,2,0),IFERROR(VLOOKUP(D710,Parameter!$A$35:$C$64,2,0),"Nein"))</f>
        <v>2+3</v>
      </c>
      <c r="CD710" s="52" t="n">
        <f aca="false">IF(BZ710=0,0,IF(N(S710)&gt;0,S710,IFERROR(VLOOKUP(D710,Parameter!$A$35:$C$64,3,0)+0,0)))</f>
        <v>0</v>
      </c>
      <c r="CE710" s="48" t="n">
        <f aca="false">IF(AA710&lt;&gt;"",AA710,Z710)</f>
        <v>3</v>
      </c>
      <c r="CF710" s="48" t="str">
        <f aca="false">IF(OR(CE710=1,CE710=2,CE710=3),IF(Parameter!$E$27="Ja","LIFT",IF(CE710=1,"L1","L23")),IF(CE710="Aussen","Aussen","-"))</f>
        <v>LIFT</v>
      </c>
      <c r="CG710" s="59" t="n">
        <f aca="false">IF(N(AB710)&gt;0,AB710,0)</f>
        <v>0</v>
      </c>
      <c r="CH710" s="53" t="n">
        <f aca="false">IF(ISNUMBER(AE710),1,0)</f>
        <v>0</v>
      </c>
      <c r="CI710" s="50" t="n">
        <f aca="false">N(AE710)</f>
        <v>0</v>
      </c>
      <c r="CJ710" s="50" t="n">
        <f aca="false">N(M710)+N(N710)</f>
        <v>1</v>
      </c>
      <c r="CK710" s="50" t="n">
        <f aca="false">N(M710)</f>
        <v>0</v>
      </c>
      <c r="CL710" s="50" t="n">
        <f aca="false">N(N710)</f>
        <v>1</v>
      </c>
      <c r="CM710" s="50" t="n">
        <f aca="false">ROUNDUP(H710/BY710,0)</f>
        <v>0</v>
      </c>
      <c r="CN710" s="50" t="n">
        <f aca="false">ROUNDUP(CI710/BY710,0)</f>
        <v>0</v>
      </c>
      <c r="CO710" s="53" t="n">
        <f aca="false">IF(BZ710=1,0,IFERROR(VLOOKUP(BX710,'Gebinde-Kategorie'!$A$5:$N$45,5,0)+0,0))</f>
        <v>11</v>
      </c>
      <c r="CP710" s="53" t="n">
        <f aca="false">IFERROR(IF(OR(CE710=1,CE710=2,CE710=3),N(INDEX(Parameter!$I$5:$I$7,CE710)),0),0)</f>
        <v>0</v>
      </c>
      <c r="CQ710" s="52" t="n">
        <f aca="false">IF(AND(Parameter!$B$21="Ja",ISNUMBER(W710),N(X710)&gt;0),IFERROR(N(INDEX(Parameter!$L$5:$L$7,W710))*INDEX(Parameter!$E$5:$E$7,W710)*X710/SUMIFS($X$7:$X$1843,$W$7:$W$1843,W710),0),0)</f>
        <v>0</v>
      </c>
    </row>
    <row r="711" customFormat="false" ht="15" hidden="false" customHeight="false" outlineLevel="0" collapsed="false">
      <c r="A711" s="48" t="s">
        <v>1427</v>
      </c>
      <c r="B711" s="48" t="s">
        <v>1428</v>
      </c>
      <c r="C711" s="48" t="s">
        <v>173</v>
      </c>
      <c r="D711" s="48" t="s">
        <v>193</v>
      </c>
      <c r="E711" s="48"/>
      <c r="F711" s="48" t="s">
        <v>227</v>
      </c>
      <c r="G711" s="49" t="n">
        <v>644</v>
      </c>
      <c r="H711" s="50" t="n">
        <f aca="false">MAX(0,IF(AND(Parameter!$B$21="Ja",ISNUMBER(Y711)),Y711,IF(Parameter!$B$20="Jahresanfang 2025 + Export",BR711+BQ711,BQ711)))</f>
        <v>0</v>
      </c>
      <c r="I711" s="50" t="n">
        <f aca="false">H711*G711</f>
        <v>0</v>
      </c>
      <c r="J711" s="50" t="n">
        <f aca="false">BT711*Parameter!$B$18</f>
        <v>1</v>
      </c>
      <c r="K711" s="51" t="n">
        <v>0</v>
      </c>
      <c r="L711" s="52" t="n">
        <v>0</v>
      </c>
      <c r="M711" s="50" t="n">
        <v>0</v>
      </c>
      <c r="N711" s="50" t="n">
        <v>1</v>
      </c>
      <c r="O711" s="53" t="n">
        <v>28</v>
      </c>
      <c r="P711" s="48" t="s">
        <v>177</v>
      </c>
      <c r="Q711" s="50"/>
      <c r="R711" s="53" t="n">
        <f aca="false">IF(BZ711=1,0,IFERROR(VLOOKUP(BX711,'Gebinde-Kategorie'!$A$5:$N$45,13,0)+0,0))</f>
        <v>26</v>
      </c>
      <c r="S711" s="54"/>
      <c r="T711" s="55" t="s">
        <v>284</v>
      </c>
      <c r="U711" s="55"/>
      <c r="V711" s="55"/>
      <c r="W711" s="48"/>
      <c r="X711" s="50"/>
      <c r="Y711" s="50"/>
      <c r="Z711" s="48" t="n">
        <f aca="false">IF(A711="","",IF(AND(Parameter!$B$21="Ja",ISNUMBER(W711)),W711,IF(CC711="2+3",IF(ISNUMBER(SEARCH("grosser Artikel",BU711)),2,IFERROR(VLOOKUP(BX711,Parameter!$F$35:$G$64,2,0),2)),IF(OR(CC711="Nein",CC711=""),"-",CC711))))</f>
        <v>3</v>
      </c>
      <c r="AA711" s="55"/>
      <c r="AB711" s="56"/>
      <c r="AC711" s="50" t="n">
        <f aca="false">AV711</f>
        <v>1</v>
      </c>
      <c r="AD711" s="50" t="n">
        <f aca="false">MAX(AV711,H711)</f>
        <v>1</v>
      </c>
      <c r="AE711" s="57"/>
      <c r="AF711" s="50" t="n">
        <f aca="false">IF(LEFT(Cockpit!$C$5,1)="A",H711,IF(Parameter!$E$30="MAX-Bestand",IF(CH711=1,CI711,IF(LEFT(Cockpit!$C$5,1)="B",AL711,MAX(AL711,H711))),ROUNDUP(AJ711,0)))</f>
        <v>0</v>
      </c>
      <c r="AG711" s="50" t="n">
        <f aca="false">IF(BZ711=1,0,ROUNDUP(AF711/BY711,0))</f>
        <v>0</v>
      </c>
      <c r="AH711" s="52" t="n">
        <f aca="false">IF(CQ711&gt;0,CQ711*MAX(1,AF711/X711),IF(BZ711=1,IF(AF711&lt;=0,0,CD711*MAX(1,IF(H711&gt;0,AF711/H711,1))),IF(R711&gt;0,AG711/R711,0))/MAX(0.1,N(Parameter!$M$21)))</f>
        <v>0</v>
      </c>
      <c r="AI711" s="50" t="n">
        <f aca="false">AH711*CB711</f>
        <v>0</v>
      </c>
      <c r="AJ711" s="51" t="n">
        <f aca="false">IF(LEFT(Cockpit!$C$5,1)="A",H711,IF(CH711=1,(CK711+CI711)/2,IF(LEFT(Cockpit!$C$5,1)="B",(CK711+AL711)/2,MAX((CK711+AL711)/2,H711))))</f>
        <v>0</v>
      </c>
      <c r="AK711" s="50" t="n">
        <f aca="false">AJ711*G711</f>
        <v>0</v>
      </c>
      <c r="AL711" s="50" t="n">
        <f aca="false">ROUNDUP(CK711+MAX(CL711,2*(J711/IF(CG711&gt;0,CG711,MAX(0.1,N(Cockpit!$C$6)))-CK711)),0)</f>
        <v>1</v>
      </c>
      <c r="AM711" s="51" t="n">
        <f aca="false">IF(AI711&gt;0,J711/AI711,-1)</f>
        <v>-1</v>
      </c>
      <c r="AN711" s="51" t="str">
        <f aca="false">IF(AND(OR(CF711="L1",CF711="L23",CF711="LIFT"),AI711&gt;0),SUMIFS($AI$7:$AI$1843,$CF$7:$CF$1843,CF711,$AM$7:$AM$1843,"&gt;"&amp;AM711)+SUMIFS($AI$7:$AI$1843,$CF$7:$CF$1843,CF711,$AM$7:$AM$1843,AM711,$BW$7:$BW$1843,"&lt;="&amp;BW711),"")</f>
        <v/>
      </c>
      <c r="AO711" s="58" t="n">
        <f aca="false">IF(AN711="",0,MAX(0,MIN(1,(IF(CF711="L1",Parameter!$H$5,IF(CF711="L23",Parameter!$H$6+Parameter!$H$7,Parameter!$H$5+Parameter!$H$6+Parameter!$H$7))-(AN711-AI711))/AI711)))</f>
        <v>0</v>
      </c>
      <c r="AP711" s="50" t="n">
        <f aca="false">IF(LEFT(Cockpit!$I$5,1)="A",H711,IF(Parameter!$E$30="MAX-Bestand",IF(CH711=1,CI711,IF(LEFT(Cockpit!$I$5,1)="B",AV711,MAX(AV711,H711))),ROUNDUP(AT711,0)))</f>
        <v>1</v>
      </c>
      <c r="AQ711" s="50" t="n">
        <f aca="false">IF(BZ711=1,0,ROUNDUP(AP711/BY711,0))</f>
        <v>1</v>
      </c>
      <c r="AR711" s="52" t="n">
        <f aca="false">IF(CQ711&gt;0,CQ711*MAX(1,AP711/X711),IF(BZ711=1,IF(AP711&lt;=0,0,CD711*MAX(1,IF(H711&gt;0,AP711/H711,1))),IF(R711&gt;0,AQ711/R711,0))/MAX(0.1,N(Parameter!$M$21)))</f>
        <v>0.0384615384615385</v>
      </c>
      <c r="AS711" s="50" t="n">
        <f aca="false">AR711*CB711</f>
        <v>5.96153846153846</v>
      </c>
      <c r="AT711" s="51" t="n">
        <f aca="false">IF(LEFT(Cockpit!$I$5,1)="A",H711,IF(CH711=1,(CK711+CI711)/2,IF(LEFT(Cockpit!$I$5,1)="B",(CK711+AV711)/2,MAX((CK711+AV711)/2,H711))))</f>
        <v>0.5</v>
      </c>
      <c r="AU711" s="50" t="n">
        <f aca="false">AT711*G711</f>
        <v>322</v>
      </c>
      <c r="AV711" s="50" t="n">
        <f aca="false">ROUNDUP(CK711+MAX(CL711,2*(J711/IF(CG711&gt;0,CG711,MAX(0.1,N(Cockpit!$I$6)))-CK711)),0)</f>
        <v>1</v>
      </c>
      <c r="AW711" s="51" t="n">
        <f aca="false">IF(AS711&gt;0,J711/AS711,-1)</f>
        <v>0.167741935483871</v>
      </c>
      <c r="AX711" s="51" t="n">
        <f aca="false">IF(AND(OR(CF711="L1",CF711="L23",CF711="LIFT"),AS711&gt;0),SUMIFS($AS$7:$AS$1843,$CF$7:$CF$1843,CF711,$AW$7:$AW$1843,"&gt;"&amp;AW711)+SUMIFS($AS$7:$AS$1843,$CF$7:$CF$1843,CF711,$AW$7:$AW$1843,AW711,$BW$7:$BW$1843,"&lt;="&amp;BW711),"")</f>
        <v>15638.2220695971</v>
      </c>
      <c r="AY711" s="58" t="n">
        <f aca="false">IF(AX711="",0,MAX(0,MIN(1,(IF(CF711="L1",Parameter!$H$5,IF(CF711="L23",Parameter!$H$6+Parameter!$H$7,Parameter!$H$5+Parameter!$H$6+Parameter!$H$7))-(AX711-AS711))/AS711)))</f>
        <v>1</v>
      </c>
      <c r="AZ711" s="50" t="n">
        <f aca="false">IF(LEFT(Cockpit!$O$5,1)="A",H711,IF(Parameter!$E$30="MAX-Bestand",IF(CH711=1,CI711,IF(LEFT(Cockpit!$O$5,1)="B",BF711,MAX(BF711,H711))),ROUNDUP(BD711,0)))</f>
        <v>1</v>
      </c>
      <c r="BA711" s="50" t="n">
        <f aca="false">IF(BZ711=1,0,ROUNDUP(AZ711/BY711,0))</f>
        <v>1</v>
      </c>
      <c r="BB711" s="52" t="n">
        <f aca="false">IF(CQ711&gt;0,CQ711*MAX(1,AZ711/X711),IF(BZ711=1,IF(AZ711&lt;=0,0,CD711*MAX(1,IF(H711&gt;0,AZ711/H711,1))),IF(R711&gt;0,BA711/R711,0))/MAX(0.1,N(Parameter!$M$21)))</f>
        <v>0.0384615384615385</v>
      </c>
      <c r="BC711" s="50" t="n">
        <f aca="false">BB711*CB711</f>
        <v>5.96153846153846</v>
      </c>
      <c r="BD711" s="51" t="n">
        <f aca="false">IF(LEFT(Cockpit!$O$5,1)="A",H711,IF(CH711=1,(CK711+CI711)/2,IF(LEFT(Cockpit!$O$5,1)="B",(CK711+BF711)/2,MAX((CK711+BF711)/2,H711))))</f>
        <v>0.5</v>
      </c>
      <c r="BE711" s="50" t="n">
        <f aca="false">BD711*G711</f>
        <v>322</v>
      </c>
      <c r="BF711" s="50" t="n">
        <f aca="false">ROUNDUP(CK711+MAX(CL711,2*(J711/IF(CG711&gt;0,CG711,MAX(0.1,N(Cockpit!$O$6)))-CK711)),0)</f>
        <v>1</v>
      </c>
      <c r="BG711" s="51" t="n">
        <f aca="false">IF(BC711&gt;0,J711/BC711,-1)</f>
        <v>0.167741935483871</v>
      </c>
      <c r="BH711" s="51" t="n">
        <f aca="false">IF(AND(OR(CF711="L1",CF711="L23",CF711="LIFT"),BC711&gt;0),SUMIFS($BC$7:$BC$1843,$CF$7:$CF$1843,CF711,$BG$7:$BG$1843,"&gt;"&amp;BG711)+SUMIFS($BC$7:$BC$1843,$CF$7:$CF$1843,CF711,$BG$7:$BG$1843,BG711,$BW$7:$BW$1843,"&lt;="&amp;BW711),"")</f>
        <v>13440.5218978291</v>
      </c>
      <c r="BI711" s="58" t="n">
        <f aca="false">IF(BH711="",0,MAX(0,MIN(1,(IF(CF711="L1",Parameter!$H$5,IF(CF711="L23",Parameter!$H$6+Parameter!$H$7,Parameter!$H$5+Parameter!$H$6+Parameter!$H$7))-(BH711-BC711))/BC711)))</f>
        <v>1</v>
      </c>
      <c r="BJ711" s="48" t="str">
        <f aca="false">IF(AI711&lt;=0,"",IF(CF711="Aussen","Aussenlager",IF(CF711="-","Nicht im Lift",IF(AO711&gt;=1,"Lift",IF(AO711&lt;=0,"Aussenlager","teilweise")))))</f>
        <v/>
      </c>
      <c r="BK711" s="48" t="str">
        <f aca="false">IF(AS711&lt;=0,"",IF(CF711="Aussen","Aussenlager",IF(CF711="-","Nicht im Lift",IF(AY711&gt;=1,"Lift",IF(AY711&lt;=0,"Aussenlager","teilweise")))))</f>
        <v>Lift</v>
      </c>
      <c r="BL711" s="48" t="str">
        <f aca="false">IF(BC711&lt;=0,"",IF(CF711="Aussen","Aussenlager",IF(CF711="-","Nicht im Lift",IF(BI711&gt;=1,"Lift",IF(BI711&lt;=0,"Aussenlager","teilweise")))))</f>
        <v>Lift</v>
      </c>
      <c r="BM711" s="48" t="str">
        <f aca="false">IF(A711="","",IF(BV711=1,"Neu; ","")&amp;IF(AND(BV711=0,BQ711&lt;0),"negativer Bestand (Export "&amp;BQ711&amp;"); ","")&amp;IF(J711&lt;=0,"Kein Verbrauch; ","")&amp;IF(CQ711&gt;0,"Lift "&amp;W711&amp;" lt. Liftbericht (Fach "&amp;X711&amp;" Stk); ",IF(CA711=1,"Gebinde geschätzt ("&amp;T711&amp;"); ",IF(BZ711=1,"Lose – Tablare geschätzt; ","")))&amp;IF(H711&gt;AV711,"Überbestand "&amp;ROUND(H711-AV711,0)&amp;" Stk / CHF "&amp;ROUND((H711-AV711)*G711,0)&amp;"; ","")&amp;IF(AND(CH711=1,CI711&lt;CJ711),"MAX &lt; MB+LG; ","")&amp;IF(AND(CP711&gt;0,CO711*10&gt;CP711),"zu hoch für Tablar; ","")&amp;IF(AND(BV711=0,OR(CH711=1,AA711&lt;&gt;"",U711&lt;&gt;"",V711&lt;&gt;"",AB711&lt;&gt;"")),"manuell übersteuert; ","")&amp;IF(AND(BZ711=0,R711=0),"Gebinde unbekannt / Stellmass fehlt; ","")&amp;IF(AND(BZ711=0,N(V711)&lt;=0,N(Q711)&lt;=0),"Menge pro Gebinde fehlt (Ist = 1 Gebinde); ","")&amp;BU711)</f>
        <v>Gebinde geschätzt (Klein); Menge pro Gebinde fehlt (Ist = 1 Gebinde); </v>
      </c>
      <c r="BN711" s="48"/>
      <c r="BO711" s="48"/>
      <c r="BP711" s="55"/>
      <c r="BQ711" s="50" t="n">
        <v>0</v>
      </c>
      <c r="BR711" s="50" t="n">
        <v>0</v>
      </c>
      <c r="BS711" s="49" t="n">
        <v>0</v>
      </c>
      <c r="BT711" s="50" t="n">
        <v>1</v>
      </c>
      <c r="BU711" s="48"/>
      <c r="BV711" s="53" t="n">
        <v>0</v>
      </c>
      <c r="BW711" s="53" t="n">
        <v>711</v>
      </c>
      <c r="BX711" s="48" t="str">
        <f aca="false">IF(U711&lt;&gt;"",UPPER(TRIM(U711)),IF(CA711=1,UPPER(VLOOKUP(T711,Parameter!$I$27:$K$29,2,0)),IF(P711="","LOSE",P711)))</f>
        <v>S51</v>
      </c>
      <c r="BY711" s="50" t="n">
        <f aca="false">IF(BX711="LOSE",1,IF(N(V711)&gt;0,V711,IF(CA711=1,MAX(1,N(VLOOKUP(T711,Parameter!$I$27:$K$29,3,0)),H711,N(N711)),IF(N(Q711)&gt;0,Q711,MAX(1,H711)))))</f>
        <v>20</v>
      </c>
      <c r="BZ711" s="53" t="n">
        <f aca="false">IF(BX711="LOSE",1,0)</f>
        <v>0</v>
      </c>
      <c r="CA711" s="53" t="n">
        <f aca="false">IF(AND(U711="",OR(P711="",P711="LOSE"),T711&lt;&gt;"",N(S711)&lt;=0,ISNUMBER(MATCH(T711,Parameter!$I$27:$I$29,0))),1,0)</f>
        <v>1</v>
      </c>
      <c r="CB711" s="53" t="n">
        <f aca="false">IF(CQ711&gt;0,INDEX(Parameter!$H$5:$H$7,W711)/INDEX(Parameter!$E$5:$E$7,W711),IF(AND(BZ711=0,N(IFERROR(VLOOKUP(BX711,'Gebinde-Kategorie'!$A$5:$N$45,14,0),0))&gt;0),VLOOKUP(BX711,'Gebinde-Kategorie'!$A$5:$N$45,14,0)*10+Parameter!$M$23,Parameter!$M$24))</f>
        <v>155</v>
      </c>
      <c r="CC711" s="48" t="str">
        <f aca="false">IF(AND(Parameter!$B$19="Ja",E711&lt;&gt;"",ISNUMBER(MATCH(E711,Parameter!$I$35:$I$52,0))),VLOOKUP(E711,Parameter!$I$35:$J$52,2,0),IFERROR(VLOOKUP(D711,Parameter!$A$35:$C$64,2,0),"Nein"))</f>
        <v>2+3</v>
      </c>
      <c r="CD711" s="52" t="n">
        <f aca="false">IF(BZ711=0,0,IF(N(S711)&gt;0,S711,IFERROR(VLOOKUP(D711,Parameter!$A$35:$C$64,3,0)+0,0)))</f>
        <v>0</v>
      </c>
      <c r="CE711" s="48" t="n">
        <f aca="false">IF(AA711&lt;&gt;"",AA711,Z711)</f>
        <v>3</v>
      </c>
      <c r="CF711" s="48" t="str">
        <f aca="false">IF(OR(CE711=1,CE711=2,CE711=3),IF(Parameter!$E$27="Ja","LIFT",IF(CE711=1,"L1","L23")),IF(CE711="Aussen","Aussen","-"))</f>
        <v>LIFT</v>
      </c>
      <c r="CG711" s="59" t="n">
        <f aca="false">IF(N(AB711)&gt;0,AB711,0)</f>
        <v>0</v>
      </c>
      <c r="CH711" s="53" t="n">
        <f aca="false">IF(ISNUMBER(AE711),1,0)</f>
        <v>0</v>
      </c>
      <c r="CI711" s="50" t="n">
        <f aca="false">N(AE711)</f>
        <v>0</v>
      </c>
      <c r="CJ711" s="50" t="n">
        <f aca="false">N(M711)+N(N711)</f>
        <v>1</v>
      </c>
      <c r="CK711" s="50" t="n">
        <f aca="false">N(M711)</f>
        <v>0</v>
      </c>
      <c r="CL711" s="50" t="n">
        <f aca="false">N(N711)</f>
        <v>1</v>
      </c>
      <c r="CM711" s="50" t="n">
        <f aca="false">ROUNDUP(H711/BY711,0)</f>
        <v>0</v>
      </c>
      <c r="CN711" s="50" t="n">
        <f aca="false">ROUNDUP(CI711/BY711,0)</f>
        <v>0</v>
      </c>
      <c r="CO711" s="53" t="n">
        <f aca="false">IF(BZ711=1,0,IFERROR(VLOOKUP(BX711,'Gebinde-Kategorie'!$A$5:$N$45,5,0)+0,0))</f>
        <v>11</v>
      </c>
      <c r="CP711" s="53" t="n">
        <f aca="false">IFERROR(IF(OR(CE711=1,CE711=2,CE711=3),N(INDEX(Parameter!$I$5:$I$7,CE711)),0),0)</f>
        <v>0</v>
      </c>
      <c r="CQ711" s="52" t="n">
        <f aca="false">IF(AND(Parameter!$B$21="Ja",ISNUMBER(W711),N(X711)&gt;0),IFERROR(N(INDEX(Parameter!$L$5:$L$7,W711))*INDEX(Parameter!$E$5:$E$7,W711)*X711/SUMIFS($X$7:$X$1843,$W$7:$W$1843,W711),0),0)</f>
        <v>0</v>
      </c>
    </row>
    <row r="712" customFormat="false" ht="15" hidden="false" customHeight="false" outlineLevel="0" collapsed="false">
      <c r="A712" s="48" t="s">
        <v>1429</v>
      </c>
      <c r="B712" s="48" t="s">
        <v>471</v>
      </c>
      <c r="C712" s="48" t="s">
        <v>173</v>
      </c>
      <c r="D712" s="48" t="s">
        <v>182</v>
      </c>
      <c r="E712" s="48"/>
      <c r="F712" s="48" t="s">
        <v>227</v>
      </c>
      <c r="G712" s="49" t="n">
        <v>531.26</v>
      </c>
      <c r="H712" s="50" t="n">
        <f aca="false">MAX(0,IF(AND(Parameter!$B$21="Ja",ISNUMBER(Y712)),Y712,IF(Parameter!$B$20="Jahresanfang 2025 + Export",BR712+BQ712,BQ712)))</f>
        <v>0</v>
      </c>
      <c r="I712" s="50" t="n">
        <f aca="false">H712*G712</f>
        <v>0</v>
      </c>
      <c r="J712" s="50" t="n">
        <f aca="false">BT712*Parameter!$B$18</f>
        <v>0</v>
      </c>
      <c r="K712" s="51" t="n">
        <v>0</v>
      </c>
      <c r="L712" s="52" t="n">
        <v>0</v>
      </c>
      <c r="M712" s="50" t="n">
        <v>0</v>
      </c>
      <c r="N712" s="50" t="n">
        <v>1</v>
      </c>
      <c r="O712" s="53" t="n">
        <v>28</v>
      </c>
      <c r="P712" s="48" t="s">
        <v>177</v>
      </c>
      <c r="Q712" s="50"/>
      <c r="R712" s="53" t="n">
        <f aca="false">IF(BZ712=1,0,IFERROR(VLOOKUP(BX712,'Gebinde-Kategorie'!$A$5:$N$45,13,0)+0,0))</f>
        <v>4</v>
      </c>
      <c r="S712" s="54"/>
      <c r="T712" s="55" t="s">
        <v>198</v>
      </c>
      <c r="U712" s="55"/>
      <c r="V712" s="55"/>
      <c r="W712" s="48"/>
      <c r="X712" s="50"/>
      <c r="Y712" s="50"/>
      <c r="Z712" s="48" t="n">
        <f aca="false">IF(A712="","",IF(AND(Parameter!$B$21="Ja",ISNUMBER(W712)),W712,IF(CC712="2+3",IF(ISNUMBER(SEARCH("grosser Artikel",BU712)),2,IFERROR(VLOOKUP(BX712,Parameter!$F$35:$G$64,2,0),2)),IF(OR(CC712="Nein",CC712=""),"-",CC712))))</f>
        <v>2</v>
      </c>
      <c r="AA712" s="55"/>
      <c r="AB712" s="56"/>
      <c r="AC712" s="50" t="n">
        <f aca="false">AV712</f>
        <v>1</v>
      </c>
      <c r="AD712" s="50" t="n">
        <f aca="false">MAX(AV712,H712)</f>
        <v>1</v>
      </c>
      <c r="AE712" s="57"/>
      <c r="AF712" s="50" t="n">
        <f aca="false">IF(LEFT(Cockpit!$C$5,1)="A",H712,IF(Parameter!$E$30="MAX-Bestand",IF(CH712=1,CI712,IF(LEFT(Cockpit!$C$5,1)="B",AL712,MAX(AL712,H712))),ROUNDUP(AJ712,0)))</f>
        <v>0</v>
      </c>
      <c r="AG712" s="50" t="n">
        <f aca="false">IF(BZ712=1,0,ROUNDUP(AF712/BY712,0))</f>
        <v>0</v>
      </c>
      <c r="AH712" s="52" t="n">
        <f aca="false">IF(CQ712&gt;0,CQ712*MAX(1,AF712/X712),IF(BZ712=1,IF(AF712&lt;=0,0,CD712*MAX(1,IF(H712&gt;0,AF712/H712,1))),IF(R712&gt;0,AG712/R712,0))/MAX(0.1,N(Parameter!$M$21)))</f>
        <v>0</v>
      </c>
      <c r="AI712" s="50" t="n">
        <f aca="false">AH712*CB712</f>
        <v>0</v>
      </c>
      <c r="AJ712" s="51" t="n">
        <f aca="false">IF(LEFT(Cockpit!$C$5,1)="A",H712,IF(CH712=1,(CK712+CI712)/2,IF(LEFT(Cockpit!$C$5,1)="B",(CK712+AL712)/2,MAX((CK712+AL712)/2,H712))))</f>
        <v>0</v>
      </c>
      <c r="AK712" s="50" t="n">
        <f aca="false">AJ712*G712</f>
        <v>0</v>
      </c>
      <c r="AL712" s="50" t="n">
        <f aca="false">ROUNDUP(CK712+MAX(CL712,2*(J712/IF(CG712&gt;0,CG712,MAX(0.1,N(Cockpit!$C$6)))-CK712)),0)</f>
        <v>1</v>
      </c>
      <c r="AM712" s="51" t="n">
        <f aca="false">IF(AI712&gt;0,J712/AI712,-1)</f>
        <v>-1</v>
      </c>
      <c r="AN712" s="51" t="str">
        <f aca="false">IF(AND(OR(CF712="L1",CF712="L23",CF712="LIFT"),AI712&gt;0),SUMIFS($AI$7:$AI$1843,$CF$7:$CF$1843,CF712,$AM$7:$AM$1843,"&gt;"&amp;AM712)+SUMIFS($AI$7:$AI$1843,$CF$7:$CF$1843,CF712,$AM$7:$AM$1843,AM712,$BW$7:$BW$1843,"&lt;="&amp;BW712),"")</f>
        <v/>
      </c>
      <c r="AO712" s="58" t="n">
        <f aca="false">IF(AN712="",0,MAX(0,MIN(1,(IF(CF712="L1",Parameter!$H$5,IF(CF712="L23",Parameter!$H$6+Parameter!$H$7,Parameter!$H$5+Parameter!$H$6+Parameter!$H$7))-(AN712-AI712))/AI712)))</f>
        <v>0</v>
      </c>
      <c r="AP712" s="50" t="n">
        <f aca="false">IF(LEFT(Cockpit!$I$5,1)="A",H712,IF(Parameter!$E$30="MAX-Bestand",IF(CH712=1,CI712,IF(LEFT(Cockpit!$I$5,1)="B",AV712,MAX(AV712,H712))),ROUNDUP(AT712,0)))</f>
        <v>1</v>
      </c>
      <c r="AQ712" s="50" t="n">
        <f aca="false">IF(BZ712=1,0,ROUNDUP(AP712/BY712,0))</f>
        <v>1</v>
      </c>
      <c r="AR712" s="52" t="n">
        <f aca="false">IF(CQ712&gt;0,CQ712*MAX(1,AP712/X712),IF(BZ712=1,IF(AP712&lt;=0,0,CD712*MAX(1,IF(H712&gt;0,AP712/H712,1))),IF(R712&gt;0,AQ712/R712,0))/MAX(0.1,N(Parameter!$M$21)))</f>
        <v>0.25</v>
      </c>
      <c r="AS712" s="50" t="n">
        <f aca="false">AR712*CB712</f>
        <v>58.75</v>
      </c>
      <c r="AT712" s="51" t="n">
        <f aca="false">IF(LEFT(Cockpit!$I$5,1)="A",H712,IF(CH712=1,(CK712+CI712)/2,IF(LEFT(Cockpit!$I$5,1)="B",(CK712+AV712)/2,MAX((CK712+AV712)/2,H712))))</f>
        <v>0.5</v>
      </c>
      <c r="AU712" s="50" t="n">
        <f aca="false">AT712*G712</f>
        <v>265.63</v>
      </c>
      <c r="AV712" s="50" t="n">
        <f aca="false">ROUNDUP(CK712+MAX(CL712,2*(J712/IF(CG712&gt;0,CG712,MAX(0.1,N(Cockpit!$I$6)))-CK712)),0)</f>
        <v>1</v>
      </c>
      <c r="AW712" s="51" t="n">
        <f aca="false">IF(AS712&gt;0,J712/AS712,-1)</f>
        <v>0</v>
      </c>
      <c r="AX712" s="51" t="n">
        <f aca="false">IF(AND(OR(CF712="L1",CF712="L23",CF712="LIFT"),AS712&gt;0),SUMIFS($AS$7:$AS$1843,$CF$7:$CF$1843,CF712,$AW$7:$AW$1843,"&gt;"&amp;AW712)+SUMIFS($AS$7:$AS$1843,$CF$7:$CF$1843,CF712,$AW$7:$AW$1843,AW712,$BW$7:$BW$1843,"&lt;="&amp;BW712),"")</f>
        <v>34117.4697802198</v>
      </c>
      <c r="AY712" s="58" t="n">
        <f aca="false">IF(AX712="",0,MAX(0,MIN(1,(IF(CF712="L1",Parameter!$H$5,IF(CF712="L23",Parameter!$H$6+Parameter!$H$7,Parameter!$H$5+Parameter!$H$6+Parameter!$H$7))-(AX712-AS712))/AS712)))</f>
        <v>1</v>
      </c>
      <c r="AZ712" s="50" t="n">
        <f aca="false">IF(LEFT(Cockpit!$O$5,1)="A",H712,IF(Parameter!$E$30="MAX-Bestand",IF(CH712=1,CI712,IF(LEFT(Cockpit!$O$5,1)="B",BF712,MAX(BF712,H712))),ROUNDUP(BD712,0)))</f>
        <v>1</v>
      </c>
      <c r="BA712" s="50" t="n">
        <f aca="false">IF(BZ712=1,0,ROUNDUP(AZ712/BY712,0))</f>
        <v>1</v>
      </c>
      <c r="BB712" s="52" t="n">
        <f aca="false">IF(CQ712&gt;0,CQ712*MAX(1,AZ712/X712),IF(BZ712=1,IF(AZ712&lt;=0,0,CD712*MAX(1,IF(H712&gt;0,AZ712/H712,1))),IF(R712&gt;0,BA712/R712,0))/MAX(0.1,N(Parameter!$M$21)))</f>
        <v>0.25</v>
      </c>
      <c r="BC712" s="50" t="n">
        <f aca="false">BB712*CB712</f>
        <v>58.75</v>
      </c>
      <c r="BD712" s="51" t="n">
        <f aca="false">IF(LEFT(Cockpit!$O$5,1)="A",H712,IF(CH712=1,(CK712+CI712)/2,IF(LEFT(Cockpit!$O$5,1)="B",(CK712+BF712)/2,MAX((CK712+BF712)/2,H712))))</f>
        <v>0.5</v>
      </c>
      <c r="BE712" s="50" t="n">
        <f aca="false">BD712*G712</f>
        <v>265.63</v>
      </c>
      <c r="BF712" s="50" t="n">
        <f aca="false">ROUNDUP(CK712+MAX(CL712,2*(J712/IF(CG712&gt;0,CG712,MAX(0.1,N(Cockpit!$O$6)))-CK712)),0)</f>
        <v>1</v>
      </c>
      <c r="BG712" s="51" t="n">
        <f aca="false">IF(BC712&gt;0,J712/BC712,-1)</f>
        <v>0</v>
      </c>
      <c r="BH712" s="51" t="n">
        <f aca="false">IF(AND(OR(CF712="L1",CF712="L23",CF712="LIFT"),BC712&gt;0),SUMIFS($BC$7:$BC$1843,$CF$7:$CF$1843,CF712,$BG$7:$BG$1843,"&gt;"&amp;BG712)+SUMIFS($BC$7:$BC$1843,$CF$7:$CF$1843,CF712,$BG$7:$BG$1843,BG712,$BW$7:$BW$1843,"&lt;="&amp;BW712),"")</f>
        <v>28181.5987846899</v>
      </c>
      <c r="BI712" s="58" t="n">
        <f aca="false">IF(BH712="",0,MAX(0,MIN(1,(IF(CF712="L1",Parameter!$H$5,IF(CF712="L23",Parameter!$H$6+Parameter!$H$7,Parameter!$H$5+Parameter!$H$6+Parameter!$H$7))-(BH712-BC712))/BC712)))</f>
        <v>1</v>
      </c>
      <c r="BJ712" s="48" t="str">
        <f aca="false">IF(AI712&lt;=0,"",IF(CF712="Aussen","Aussenlager",IF(CF712="-","Nicht im Lift",IF(AO712&gt;=1,"Lift",IF(AO712&lt;=0,"Aussenlager","teilweise")))))</f>
        <v/>
      </c>
      <c r="BK712" s="48" t="str">
        <f aca="false">IF(AS712&lt;=0,"",IF(CF712="Aussen","Aussenlager",IF(CF712="-","Nicht im Lift",IF(AY712&gt;=1,"Lift",IF(AY712&lt;=0,"Aussenlager","teilweise")))))</f>
        <v>Lift</v>
      </c>
      <c r="BL712" s="48" t="str">
        <f aca="false">IF(BC712&lt;=0,"",IF(CF712="Aussen","Aussenlager",IF(CF712="-","Nicht im Lift",IF(BI712&gt;=1,"Lift",IF(BI712&lt;=0,"Aussenlager","teilweise")))))</f>
        <v>Lift</v>
      </c>
      <c r="BM712" s="48" t="str">
        <f aca="false">IF(A712="","",IF(BV712=1,"Neu; ","")&amp;IF(AND(BV712=0,BQ712&lt;0),"negativer Bestand (Export "&amp;BQ712&amp;"); ","")&amp;IF(J712&lt;=0,"Kein Verbrauch; ","")&amp;IF(CQ712&gt;0,"Lift "&amp;W712&amp;" lt. Liftbericht (Fach "&amp;X712&amp;" Stk); ",IF(CA712=1,"Gebinde geschätzt ("&amp;T712&amp;"); ",IF(BZ712=1,"Lose – Tablare geschätzt; ","")))&amp;IF(H712&gt;AV712,"Überbestand "&amp;ROUND(H712-AV712,0)&amp;" Stk / CHF "&amp;ROUND((H712-AV712)*G712,0)&amp;"; ","")&amp;IF(AND(CH712=1,CI712&lt;CJ712),"MAX &lt; MB+LG; ","")&amp;IF(AND(CP712&gt;0,CO712*10&gt;CP712),"zu hoch für Tablar; ","")&amp;IF(AND(BV712=0,OR(CH712=1,AA712&lt;&gt;"",U712&lt;&gt;"",V712&lt;&gt;"",AB712&lt;&gt;"")),"manuell übersteuert; ","")&amp;IF(AND(BZ712=0,R712=0),"Gebinde unbekannt / Stellmass fehlt; ","")&amp;IF(AND(BZ712=0,N(V712)&lt;=0,N(Q712)&lt;=0),"Menge pro Gebinde fehlt (Ist = 1 Gebinde); ","")&amp;BU712)</f>
        <v>Kein Verbrauch; Gebinde geschätzt (Gross); Menge pro Gebinde fehlt (Ist = 1 Gebinde); </v>
      </c>
      <c r="BN712" s="48"/>
      <c r="BO712" s="48"/>
      <c r="BP712" s="55"/>
      <c r="BQ712" s="50" t="n">
        <v>0</v>
      </c>
      <c r="BR712" s="50" t="n">
        <v>0</v>
      </c>
      <c r="BS712" s="49" t="n">
        <v>0</v>
      </c>
      <c r="BT712" s="50" t="n">
        <v>0</v>
      </c>
      <c r="BU712" s="48"/>
      <c r="BV712" s="53" t="n">
        <v>0</v>
      </c>
      <c r="BW712" s="53" t="n">
        <v>712</v>
      </c>
      <c r="BX712" s="48" t="str">
        <f aca="false">IF(U712&lt;&gt;"",UPPER(TRIM(U712)),IF(CA712=1,UPPER(VLOOKUP(T712,Parameter!$I$27:$K$29,2,0)),IF(P712="","LOSE",P712)))</f>
        <v>S81</v>
      </c>
      <c r="BY712" s="50" t="n">
        <f aca="false">IF(BX712="LOSE",1,IF(N(V712)&gt;0,V712,IF(CA712=1,MAX(1,N(VLOOKUP(T712,Parameter!$I$27:$K$29,3,0)),H712,N(N712)),IF(N(Q712)&gt;0,Q712,MAX(1,H712)))))</f>
        <v>2</v>
      </c>
      <c r="BZ712" s="53" t="n">
        <f aca="false">IF(BX712="LOSE",1,0)</f>
        <v>0</v>
      </c>
      <c r="CA712" s="53" t="n">
        <f aca="false">IF(AND(U712="",OR(P712="",P712="LOSE"),T712&lt;&gt;"",N(S712)&lt;=0,ISNUMBER(MATCH(T712,Parameter!$I$27:$I$29,0))),1,0)</f>
        <v>1</v>
      </c>
      <c r="CB712" s="53" t="n">
        <f aca="false">IF(CQ712&gt;0,INDEX(Parameter!$H$5:$H$7,W712)/INDEX(Parameter!$E$5:$E$7,W712),IF(AND(BZ712=0,N(IFERROR(VLOOKUP(BX712,'Gebinde-Kategorie'!$A$5:$N$45,14,0),0))&gt;0),VLOOKUP(BX712,'Gebinde-Kategorie'!$A$5:$N$45,14,0)*10+Parameter!$M$23,Parameter!$M$24))</f>
        <v>235</v>
      </c>
      <c r="CC712" s="48" t="str">
        <f aca="false">IF(AND(Parameter!$B$19="Ja",E712&lt;&gt;"",ISNUMBER(MATCH(E712,Parameter!$I$35:$I$52,0))),VLOOKUP(E712,Parameter!$I$35:$J$52,2,0),IFERROR(VLOOKUP(D712,Parameter!$A$35:$C$64,2,0),"Nein"))</f>
        <v>2+3</v>
      </c>
      <c r="CD712" s="52" t="n">
        <f aca="false">IF(BZ712=0,0,IF(N(S712)&gt;0,S712,IFERROR(VLOOKUP(D712,Parameter!$A$35:$C$64,3,0)+0,0)))</f>
        <v>0</v>
      </c>
      <c r="CE712" s="48" t="n">
        <f aca="false">IF(AA712&lt;&gt;"",AA712,Z712)</f>
        <v>2</v>
      </c>
      <c r="CF712" s="48" t="str">
        <f aca="false">IF(OR(CE712=1,CE712=2,CE712=3),IF(Parameter!$E$27="Ja","LIFT",IF(CE712=1,"L1","L23")),IF(CE712="Aussen","Aussen","-"))</f>
        <v>LIFT</v>
      </c>
      <c r="CG712" s="59" t="n">
        <f aca="false">IF(N(AB712)&gt;0,AB712,0)</f>
        <v>0</v>
      </c>
      <c r="CH712" s="53" t="n">
        <f aca="false">IF(ISNUMBER(AE712),1,0)</f>
        <v>0</v>
      </c>
      <c r="CI712" s="50" t="n">
        <f aca="false">N(AE712)</f>
        <v>0</v>
      </c>
      <c r="CJ712" s="50" t="n">
        <f aca="false">N(M712)+N(N712)</f>
        <v>1</v>
      </c>
      <c r="CK712" s="50" t="n">
        <f aca="false">N(M712)</f>
        <v>0</v>
      </c>
      <c r="CL712" s="50" t="n">
        <f aca="false">N(N712)</f>
        <v>1</v>
      </c>
      <c r="CM712" s="50" t="n">
        <f aca="false">ROUNDUP(H712/BY712,0)</f>
        <v>0</v>
      </c>
      <c r="CN712" s="50" t="n">
        <f aca="false">ROUNDUP(CI712/BY712,0)</f>
        <v>0</v>
      </c>
      <c r="CO712" s="53" t="n">
        <f aca="false">IF(BZ712=1,0,IFERROR(VLOOKUP(BX712,'Gebinde-Kategorie'!$A$5:$N$45,5,0)+0,0))</f>
        <v>20</v>
      </c>
      <c r="CP712" s="53" t="n">
        <f aca="false">IFERROR(IF(OR(CE712=1,CE712=2,CE712=3),N(INDEX(Parameter!$I$5:$I$7,CE712)),0),0)</f>
        <v>0</v>
      </c>
      <c r="CQ712" s="52" t="n">
        <f aca="false">IF(AND(Parameter!$B$21="Ja",ISNUMBER(W712),N(X712)&gt;0),IFERROR(N(INDEX(Parameter!$L$5:$L$7,W712))*INDEX(Parameter!$E$5:$E$7,W712)*X712/SUMIFS($X$7:$X$1843,$W$7:$W$1843,W712),0),0)</f>
        <v>0</v>
      </c>
    </row>
    <row r="713" customFormat="false" ht="15" hidden="false" customHeight="false" outlineLevel="0" collapsed="false">
      <c r="A713" s="48" t="s">
        <v>1430</v>
      </c>
      <c r="B713" s="48" t="s">
        <v>1431</v>
      </c>
      <c r="C713" s="48" t="s">
        <v>173</v>
      </c>
      <c r="D713" s="48" t="s">
        <v>182</v>
      </c>
      <c r="E713" s="48" t="s">
        <v>175</v>
      </c>
      <c r="F713" s="48" t="s">
        <v>227</v>
      </c>
      <c r="G713" s="49" t="n">
        <v>700</v>
      </c>
      <c r="H713" s="50" t="n">
        <f aca="false">MAX(0,IF(AND(Parameter!$B$21="Ja",ISNUMBER(Y713)),Y713,IF(Parameter!$B$20="Jahresanfang 2025 + Export",BR713+BQ713,BQ713)))</f>
        <v>0</v>
      </c>
      <c r="I713" s="50" t="n">
        <f aca="false">H713*G713</f>
        <v>0</v>
      </c>
      <c r="J713" s="50" t="n">
        <f aca="false">BT713*Parameter!$B$18</f>
        <v>4</v>
      </c>
      <c r="K713" s="51" t="n">
        <v>0</v>
      </c>
      <c r="L713" s="52" t="n">
        <v>0</v>
      </c>
      <c r="M713" s="50" t="n">
        <v>0</v>
      </c>
      <c r="N713" s="50" t="n">
        <v>5</v>
      </c>
      <c r="O713" s="53" t="n">
        <v>21</v>
      </c>
      <c r="P713" s="48" t="s">
        <v>177</v>
      </c>
      <c r="Q713" s="50"/>
      <c r="R713" s="53" t="n">
        <f aca="false">IF(BZ713=1,0,IFERROR(VLOOKUP(BX713,'Gebinde-Kategorie'!$A$5:$N$45,13,0)+0,0))</f>
        <v>4</v>
      </c>
      <c r="S713" s="54"/>
      <c r="T713" s="55" t="s">
        <v>198</v>
      </c>
      <c r="U713" s="55"/>
      <c r="V713" s="55"/>
      <c r="W713" s="48"/>
      <c r="X713" s="50"/>
      <c r="Y713" s="50"/>
      <c r="Z713" s="48" t="n">
        <f aca="false">IF(A713="","",IF(AND(Parameter!$B$21="Ja",ISNUMBER(W713)),W713,IF(CC713="2+3",IF(ISNUMBER(SEARCH("grosser Artikel",BU713)),2,IFERROR(VLOOKUP(BX713,Parameter!$F$35:$G$64,2,0),2)),IF(OR(CC713="Nein",CC713=""),"-",CC713))))</f>
        <v>1</v>
      </c>
      <c r="AA713" s="55"/>
      <c r="AB713" s="56"/>
      <c r="AC713" s="50" t="n">
        <f aca="false">AV713</f>
        <v>5</v>
      </c>
      <c r="AD713" s="50" t="n">
        <f aca="false">MAX(AV713,H713)</f>
        <v>5</v>
      </c>
      <c r="AE713" s="57"/>
      <c r="AF713" s="50" t="n">
        <f aca="false">IF(LEFT(Cockpit!$C$5,1)="A",H713,IF(Parameter!$E$30="MAX-Bestand",IF(CH713=1,CI713,IF(LEFT(Cockpit!$C$5,1)="B",AL713,MAX(AL713,H713))),ROUNDUP(AJ713,0)))</f>
        <v>0</v>
      </c>
      <c r="AG713" s="50" t="n">
        <f aca="false">IF(BZ713=1,0,ROUNDUP(AF713/BY713,0))</f>
        <v>0</v>
      </c>
      <c r="AH713" s="52" t="n">
        <f aca="false">IF(CQ713&gt;0,CQ713*MAX(1,AF713/X713),IF(BZ713=1,IF(AF713&lt;=0,0,CD713*MAX(1,IF(H713&gt;0,AF713/H713,1))),IF(R713&gt;0,AG713/R713,0))/MAX(0.1,N(Parameter!$M$21)))</f>
        <v>0</v>
      </c>
      <c r="AI713" s="50" t="n">
        <f aca="false">AH713*CB713</f>
        <v>0</v>
      </c>
      <c r="AJ713" s="51" t="n">
        <f aca="false">IF(LEFT(Cockpit!$C$5,1)="A",H713,IF(CH713=1,(CK713+CI713)/2,IF(LEFT(Cockpit!$C$5,1)="B",(CK713+AL713)/2,MAX((CK713+AL713)/2,H713))))</f>
        <v>0</v>
      </c>
      <c r="AK713" s="50" t="n">
        <f aca="false">AJ713*G713</f>
        <v>0</v>
      </c>
      <c r="AL713" s="50" t="n">
        <f aca="false">ROUNDUP(CK713+MAX(CL713,2*(J713/IF(CG713&gt;0,CG713,MAX(0.1,N(Cockpit!$C$6)))-CK713)),0)</f>
        <v>5</v>
      </c>
      <c r="AM713" s="51" t="n">
        <f aca="false">IF(AI713&gt;0,J713/AI713,-1)</f>
        <v>-1</v>
      </c>
      <c r="AN713" s="51" t="str">
        <f aca="false">IF(AND(OR(CF713="L1",CF713="L23",CF713="LIFT"),AI713&gt;0),SUMIFS($AI$7:$AI$1843,$CF$7:$CF$1843,CF713,$AM$7:$AM$1843,"&gt;"&amp;AM713)+SUMIFS($AI$7:$AI$1843,$CF$7:$CF$1843,CF713,$AM$7:$AM$1843,AM713,$BW$7:$BW$1843,"&lt;="&amp;BW713),"")</f>
        <v/>
      </c>
      <c r="AO713" s="58" t="n">
        <f aca="false">IF(AN713="",0,MAX(0,MIN(1,(IF(CF713="L1",Parameter!$H$5,IF(CF713="L23",Parameter!$H$6+Parameter!$H$7,Parameter!$H$5+Parameter!$H$6+Parameter!$H$7))-(AN713-AI713))/AI713)))</f>
        <v>0</v>
      </c>
      <c r="AP713" s="50" t="n">
        <f aca="false">IF(LEFT(Cockpit!$I$5,1)="A",H713,IF(Parameter!$E$30="MAX-Bestand",IF(CH713=1,CI713,IF(LEFT(Cockpit!$I$5,1)="B",AV713,MAX(AV713,H713))),ROUNDUP(AT713,0)))</f>
        <v>3</v>
      </c>
      <c r="AQ713" s="50" t="n">
        <f aca="false">IF(BZ713=1,0,ROUNDUP(AP713/BY713,0))</f>
        <v>1</v>
      </c>
      <c r="AR713" s="52" t="n">
        <f aca="false">IF(CQ713&gt;0,CQ713*MAX(1,AP713/X713),IF(BZ713=1,IF(AP713&lt;=0,0,CD713*MAX(1,IF(H713&gt;0,AP713/H713,1))),IF(R713&gt;0,AQ713/R713,0))/MAX(0.1,N(Parameter!$M$21)))</f>
        <v>0.25</v>
      </c>
      <c r="AS713" s="50" t="n">
        <f aca="false">AR713*CB713</f>
        <v>58.75</v>
      </c>
      <c r="AT713" s="51" t="n">
        <f aca="false">IF(LEFT(Cockpit!$I$5,1)="A",H713,IF(CH713=1,(CK713+CI713)/2,IF(LEFT(Cockpit!$I$5,1)="B",(CK713+AV713)/2,MAX((CK713+AV713)/2,H713))))</f>
        <v>2.5</v>
      </c>
      <c r="AU713" s="50" t="n">
        <f aca="false">AT713*G713</f>
        <v>1750</v>
      </c>
      <c r="AV713" s="50" t="n">
        <f aca="false">ROUNDUP(CK713+MAX(CL713,2*(J713/IF(CG713&gt;0,CG713,MAX(0.1,N(Cockpit!$I$6)))-CK713)),0)</f>
        <v>5</v>
      </c>
      <c r="AW713" s="51" t="n">
        <f aca="false">IF(AS713&gt;0,J713/AS713,-1)</f>
        <v>0.0680851063829787</v>
      </c>
      <c r="AX713" s="51" t="n">
        <f aca="false">IF(AND(OR(CF713="L1",CF713="L23",CF713="LIFT"),AS713&gt;0),SUMIFS($AS$7:$AS$1843,$CF$7:$CF$1843,CF713,$AW$7:$AW$1843,"&gt;"&amp;AW713)+SUMIFS($AS$7:$AS$1843,$CF$7:$CF$1843,CF713,$AW$7:$AW$1843,AW713,$BW$7:$BW$1843,"&lt;="&amp;BW713),"")</f>
        <v>24060.2565111442</v>
      </c>
      <c r="AY713" s="58" t="n">
        <f aca="false">IF(AX713="",0,MAX(0,MIN(1,(IF(CF713="L1",Parameter!$H$5,IF(CF713="L23",Parameter!$H$6+Parameter!$H$7,Parameter!$H$5+Parameter!$H$6+Parameter!$H$7))-(AX713-AS713))/AS713)))</f>
        <v>1</v>
      </c>
      <c r="AZ713" s="50" t="n">
        <f aca="false">IF(LEFT(Cockpit!$O$5,1)="A",H713,IF(Parameter!$E$30="MAX-Bestand",IF(CH713=1,CI713,IF(LEFT(Cockpit!$O$5,1)="B",BF713,MAX(BF713,H713))),ROUNDUP(BD713,0)))</f>
        <v>3</v>
      </c>
      <c r="BA713" s="50" t="n">
        <f aca="false">IF(BZ713=1,0,ROUNDUP(AZ713/BY713,0))</f>
        <v>1</v>
      </c>
      <c r="BB713" s="52" t="n">
        <f aca="false">IF(CQ713&gt;0,CQ713*MAX(1,AZ713/X713),IF(BZ713=1,IF(AZ713&lt;=0,0,CD713*MAX(1,IF(H713&gt;0,AZ713/H713,1))),IF(R713&gt;0,BA713/R713,0))/MAX(0.1,N(Parameter!$M$21)))</f>
        <v>0.25</v>
      </c>
      <c r="BC713" s="50" t="n">
        <f aca="false">BB713*CB713</f>
        <v>58.75</v>
      </c>
      <c r="BD713" s="51" t="n">
        <f aca="false">IF(LEFT(Cockpit!$O$5,1)="A",H713,IF(CH713=1,(CK713+CI713)/2,IF(LEFT(Cockpit!$O$5,1)="B",(CK713+BF713)/2,MAX((CK713+BF713)/2,H713))))</f>
        <v>2.5</v>
      </c>
      <c r="BE713" s="50" t="n">
        <f aca="false">BD713*G713</f>
        <v>1750</v>
      </c>
      <c r="BF713" s="50" t="n">
        <f aca="false">ROUNDUP(CK713+MAX(CL713,2*(J713/IF(CG713&gt;0,CG713,MAX(0.1,N(Cockpit!$O$6)))-CK713)),0)</f>
        <v>5</v>
      </c>
      <c r="BG713" s="51" t="n">
        <f aca="false">IF(BC713&gt;0,J713/BC713,-1)</f>
        <v>0.0680851063829787</v>
      </c>
      <c r="BH713" s="51" t="n">
        <f aca="false">IF(AND(OR(CF713="L1",CF713="L23",CF713="LIFT"),BC713&gt;0),SUMIFS($BC$7:$BC$1843,$CF$7:$CF$1843,CF713,$BG$7:$BG$1843,"&gt;"&amp;BG713)+SUMIFS($BC$7:$BC$1843,$CF$7:$CF$1843,CF713,$BG$7:$BG$1843,BG713,$BW$7:$BW$1843,"&lt;="&amp;BW713),"")</f>
        <v>20053.7293800832</v>
      </c>
      <c r="BI713" s="58" t="n">
        <f aca="false">IF(BH713="",0,MAX(0,MIN(1,(IF(CF713="L1",Parameter!$H$5,IF(CF713="L23",Parameter!$H$6+Parameter!$H$7,Parameter!$H$5+Parameter!$H$6+Parameter!$H$7))-(BH713-BC713))/BC713)))</f>
        <v>1</v>
      </c>
      <c r="BJ713" s="48" t="str">
        <f aca="false">IF(AI713&lt;=0,"",IF(CF713="Aussen","Aussenlager",IF(CF713="-","Nicht im Lift",IF(AO713&gt;=1,"Lift",IF(AO713&lt;=0,"Aussenlager","teilweise")))))</f>
        <v/>
      </c>
      <c r="BK713" s="48" t="str">
        <f aca="false">IF(AS713&lt;=0,"",IF(CF713="Aussen","Aussenlager",IF(CF713="-","Nicht im Lift",IF(AY713&gt;=1,"Lift",IF(AY713&lt;=0,"Aussenlager","teilweise")))))</f>
        <v>Lift</v>
      </c>
      <c r="BL713" s="48" t="str">
        <f aca="false">IF(BC713&lt;=0,"",IF(CF713="Aussen","Aussenlager",IF(CF713="-","Nicht im Lift",IF(BI713&gt;=1,"Lift",IF(BI713&lt;=0,"Aussenlager","teilweise")))))</f>
        <v>Lift</v>
      </c>
      <c r="BM713" s="48" t="str">
        <f aca="false">IF(A713="","",IF(BV713=1,"Neu; ","")&amp;IF(AND(BV713=0,BQ713&lt;0),"negativer Bestand (Export "&amp;BQ713&amp;"); ","")&amp;IF(J713&lt;=0,"Kein Verbrauch; ","")&amp;IF(CQ713&gt;0,"Lift "&amp;W713&amp;" lt. Liftbericht (Fach "&amp;X713&amp;" Stk); ",IF(CA713=1,"Gebinde geschätzt ("&amp;T713&amp;"); ",IF(BZ713=1,"Lose – Tablare geschätzt; ","")))&amp;IF(H713&gt;AV713,"Überbestand "&amp;ROUND(H713-AV713,0)&amp;" Stk / CHF "&amp;ROUND((H713-AV713)*G713,0)&amp;"; ","")&amp;IF(AND(CH713=1,CI713&lt;CJ713),"MAX &lt; MB+LG; ","")&amp;IF(AND(CP713&gt;0,CO713*10&gt;CP713),"zu hoch für Tablar; ","")&amp;IF(AND(BV713=0,OR(CH713=1,AA713&lt;&gt;"",U713&lt;&gt;"",V713&lt;&gt;"",AB713&lt;&gt;"")),"manuell übersteuert; ","")&amp;IF(AND(BZ713=0,R713=0),"Gebinde unbekannt / Stellmass fehlt; ","")&amp;IF(AND(BZ713=0,N(V713)&lt;=0,N(Q713)&lt;=0),"Menge pro Gebinde fehlt (Ist = 1 Gebinde); ","")&amp;BU713)</f>
        <v>Gebinde geschätzt (Gross); Menge pro Gebinde fehlt (Ist = 1 Gebinde); </v>
      </c>
      <c r="BN713" s="48"/>
      <c r="BO713" s="48"/>
      <c r="BP713" s="55"/>
      <c r="BQ713" s="50" t="n">
        <v>0</v>
      </c>
      <c r="BR713" s="50" t="n">
        <v>0</v>
      </c>
      <c r="BS713" s="49" t="n">
        <v>0</v>
      </c>
      <c r="BT713" s="50" t="n">
        <v>4</v>
      </c>
      <c r="BU713" s="48"/>
      <c r="BV713" s="53" t="n">
        <v>0</v>
      </c>
      <c r="BW713" s="53" t="n">
        <v>713</v>
      </c>
      <c r="BX713" s="48" t="str">
        <f aca="false">IF(U713&lt;&gt;"",UPPER(TRIM(U713)),IF(CA713=1,UPPER(VLOOKUP(T713,Parameter!$I$27:$K$29,2,0)),IF(P713="","LOSE",P713)))</f>
        <v>S81</v>
      </c>
      <c r="BY713" s="50" t="n">
        <f aca="false">IF(BX713="LOSE",1,IF(N(V713)&gt;0,V713,IF(CA713=1,MAX(1,N(VLOOKUP(T713,Parameter!$I$27:$K$29,3,0)),H713,N(N713)),IF(N(Q713)&gt;0,Q713,MAX(1,H713)))))</f>
        <v>5</v>
      </c>
      <c r="BZ713" s="53" t="n">
        <f aca="false">IF(BX713="LOSE",1,0)</f>
        <v>0</v>
      </c>
      <c r="CA713" s="53" t="n">
        <f aca="false">IF(AND(U713="",OR(P713="",P713="LOSE"),T713&lt;&gt;"",N(S713)&lt;=0,ISNUMBER(MATCH(T713,Parameter!$I$27:$I$29,0))),1,0)</f>
        <v>1</v>
      </c>
      <c r="CB713" s="53" t="n">
        <f aca="false">IF(CQ713&gt;0,INDEX(Parameter!$H$5:$H$7,W713)/INDEX(Parameter!$E$5:$E$7,W713),IF(AND(BZ713=0,N(IFERROR(VLOOKUP(BX713,'Gebinde-Kategorie'!$A$5:$N$45,14,0),0))&gt;0),VLOOKUP(BX713,'Gebinde-Kategorie'!$A$5:$N$45,14,0)*10+Parameter!$M$23,Parameter!$M$24))</f>
        <v>235</v>
      </c>
      <c r="CC713" s="48" t="n">
        <f aca="false">IF(AND(Parameter!$B$19="Ja",E713&lt;&gt;"",ISNUMBER(MATCH(E713,Parameter!$I$35:$I$52,0))),VLOOKUP(E713,Parameter!$I$35:$J$52,2,0),IFERROR(VLOOKUP(D713,Parameter!$A$35:$C$64,2,0),"Nein"))</f>
        <v>1</v>
      </c>
      <c r="CD713" s="52" t="n">
        <f aca="false">IF(BZ713=0,0,IF(N(S713)&gt;0,S713,IFERROR(VLOOKUP(D713,Parameter!$A$35:$C$64,3,0)+0,0)))</f>
        <v>0</v>
      </c>
      <c r="CE713" s="48" t="n">
        <f aca="false">IF(AA713&lt;&gt;"",AA713,Z713)</f>
        <v>1</v>
      </c>
      <c r="CF713" s="48" t="str">
        <f aca="false">IF(OR(CE713=1,CE713=2,CE713=3),IF(Parameter!$E$27="Ja","LIFT",IF(CE713=1,"L1","L23")),IF(CE713="Aussen","Aussen","-"))</f>
        <v>LIFT</v>
      </c>
      <c r="CG713" s="59" t="n">
        <f aca="false">IF(N(AB713)&gt;0,AB713,0)</f>
        <v>0</v>
      </c>
      <c r="CH713" s="53" t="n">
        <f aca="false">IF(ISNUMBER(AE713),1,0)</f>
        <v>0</v>
      </c>
      <c r="CI713" s="50" t="n">
        <f aca="false">N(AE713)</f>
        <v>0</v>
      </c>
      <c r="CJ713" s="50" t="n">
        <f aca="false">N(M713)+N(N713)</f>
        <v>5</v>
      </c>
      <c r="CK713" s="50" t="n">
        <f aca="false">N(M713)</f>
        <v>0</v>
      </c>
      <c r="CL713" s="50" t="n">
        <f aca="false">N(N713)</f>
        <v>5</v>
      </c>
      <c r="CM713" s="50" t="n">
        <f aca="false">ROUNDUP(H713/BY713,0)</f>
        <v>0</v>
      </c>
      <c r="CN713" s="50" t="n">
        <f aca="false">ROUNDUP(CI713/BY713,0)</f>
        <v>0</v>
      </c>
      <c r="CO713" s="53" t="n">
        <f aca="false">IF(BZ713=1,0,IFERROR(VLOOKUP(BX713,'Gebinde-Kategorie'!$A$5:$N$45,5,0)+0,0))</f>
        <v>20</v>
      </c>
      <c r="CP713" s="53" t="n">
        <f aca="false">IFERROR(IF(OR(CE713=1,CE713=2,CE713=3),N(INDEX(Parameter!$I$5:$I$7,CE713)),0),0)</f>
        <v>0</v>
      </c>
      <c r="CQ713" s="52" t="n">
        <f aca="false">IF(AND(Parameter!$B$21="Ja",ISNUMBER(W713),N(X713)&gt;0),IFERROR(N(INDEX(Parameter!$L$5:$L$7,W713))*INDEX(Parameter!$E$5:$E$7,W713)*X713/SUMIFS($X$7:$X$1843,$W$7:$W$1843,W713),0),0)</f>
        <v>0</v>
      </c>
    </row>
    <row r="714" customFormat="false" ht="15" hidden="false" customHeight="false" outlineLevel="0" collapsed="false">
      <c r="A714" s="48" t="s">
        <v>1432</v>
      </c>
      <c r="B714" s="48" t="s">
        <v>613</v>
      </c>
      <c r="C714" s="48" t="s">
        <v>173</v>
      </c>
      <c r="D714" s="48" t="s">
        <v>182</v>
      </c>
      <c r="E714" s="48" t="s">
        <v>194</v>
      </c>
      <c r="F714" s="48" t="s">
        <v>227</v>
      </c>
      <c r="G714" s="49" t="n">
        <v>144.5</v>
      </c>
      <c r="H714" s="50" t="n">
        <f aca="false">MAX(0,IF(AND(Parameter!$B$21="Ja",ISNUMBER(Y714)),Y714,IF(Parameter!$B$20="Jahresanfang 2025 + Export",BR714+BQ714,BQ714)))</f>
        <v>13</v>
      </c>
      <c r="I714" s="50" t="n">
        <f aca="false">H714*G714</f>
        <v>1878.5</v>
      </c>
      <c r="J714" s="50" t="n">
        <f aca="false">BT714*Parameter!$B$18</f>
        <v>0</v>
      </c>
      <c r="K714" s="51" t="n">
        <v>13.5</v>
      </c>
      <c r="L714" s="52" t="n">
        <v>0</v>
      </c>
      <c r="M714" s="50" t="n">
        <v>0</v>
      </c>
      <c r="N714" s="50" t="n">
        <v>1</v>
      </c>
      <c r="O714" s="53" t="n">
        <v>49</v>
      </c>
      <c r="P714" s="48" t="s">
        <v>183</v>
      </c>
      <c r="Q714" s="50" t="n">
        <v>15</v>
      </c>
      <c r="R714" s="53" t="n">
        <f aca="false">IF(BZ714=1,0,IFERROR(VLOOKUP(BX714,'Gebinde-Kategorie'!$A$5:$N$45,13,0)+0,0))</f>
        <v>6</v>
      </c>
      <c r="S714" s="54"/>
      <c r="T714" s="55"/>
      <c r="U714" s="55"/>
      <c r="V714" s="55"/>
      <c r="W714" s="48"/>
      <c r="X714" s="50"/>
      <c r="Y714" s="50"/>
      <c r="Z714" s="48" t="n">
        <f aca="false">IF(A714="","",IF(AND(Parameter!$B$21="Ja",ISNUMBER(W714)),W714,IF(CC714="2+3",IF(ISNUMBER(SEARCH("grosser Artikel",BU714)),2,IFERROR(VLOOKUP(BX714,Parameter!$F$35:$G$64,2,0),2)),IF(OR(CC714="Nein",CC714=""),"-",CC714))))</f>
        <v>2</v>
      </c>
      <c r="AA714" s="55"/>
      <c r="AB714" s="56"/>
      <c r="AC714" s="50" t="n">
        <f aca="false">AV714</f>
        <v>1</v>
      </c>
      <c r="AD714" s="50" t="n">
        <f aca="false">MAX(AV714,H714)</f>
        <v>13</v>
      </c>
      <c r="AE714" s="57"/>
      <c r="AF714" s="50" t="n">
        <f aca="false">IF(LEFT(Cockpit!$C$5,1)="A",H714,IF(Parameter!$E$30="MAX-Bestand",IF(CH714=1,CI714,IF(LEFT(Cockpit!$C$5,1)="B",AL714,MAX(AL714,H714))),ROUNDUP(AJ714,0)))</f>
        <v>13</v>
      </c>
      <c r="AG714" s="50" t="n">
        <f aca="false">IF(BZ714=1,0,ROUNDUP(AF714/BY714,0))</f>
        <v>1</v>
      </c>
      <c r="AH714" s="52" t="n">
        <f aca="false">IF(CQ714&gt;0,CQ714*MAX(1,AF714/X714),IF(BZ714=1,IF(AF714&lt;=0,0,CD714*MAX(1,IF(H714&gt;0,AF714/H714,1))),IF(R714&gt;0,AG714/R714,0))/MAX(0.1,N(Parameter!$M$21)))</f>
        <v>0.166666666666667</v>
      </c>
      <c r="AI714" s="50" t="n">
        <f aca="false">AH714*CB714</f>
        <v>39.1666666666667</v>
      </c>
      <c r="AJ714" s="51" t="n">
        <f aca="false">IF(LEFT(Cockpit!$C$5,1)="A",H714,IF(CH714=1,(CK714+CI714)/2,IF(LEFT(Cockpit!$C$5,1)="B",(CK714+AL714)/2,MAX((CK714+AL714)/2,H714))))</f>
        <v>13</v>
      </c>
      <c r="AK714" s="50" t="n">
        <f aca="false">AJ714*G714</f>
        <v>1878.5</v>
      </c>
      <c r="AL714" s="50" t="n">
        <f aca="false">ROUNDUP(CK714+MAX(CL714,2*(J714/IF(CG714&gt;0,CG714,MAX(0.1,N(Cockpit!$C$6)))-CK714)),0)</f>
        <v>1</v>
      </c>
      <c r="AM714" s="51" t="n">
        <f aca="false">IF(AI714&gt;0,J714/AI714,-1)</f>
        <v>0</v>
      </c>
      <c r="AN714" s="51" t="n">
        <f aca="false">IF(AND(OR(CF714="L1",CF714="L23",CF714="LIFT"),AI714&gt;0),SUMIFS($AI$7:$AI$1843,$CF$7:$CF$1843,CF714,$AM$7:$AM$1843,"&gt;"&amp;AM714)+SUMIFS($AI$7:$AI$1843,$CF$7:$CF$1843,CF714,$AM$7:$AM$1843,AM714,$BW$7:$BW$1843,"&lt;="&amp;BW714),"")</f>
        <v>28670.8596003808</v>
      </c>
      <c r="AO714" s="58" t="n">
        <f aca="false">IF(AN714="",0,MAX(0,MIN(1,(IF(CF714="L1",Parameter!$H$5,IF(CF714="L23",Parameter!$H$6+Parameter!$H$7,Parameter!$H$5+Parameter!$H$6+Parameter!$H$7))-(AN714-AI714))/AI714)))</f>
        <v>1</v>
      </c>
      <c r="AP714" s="50" t="n">
        <f aca="false">IF(LEFT(Cockpit!$I$5,1)="A",H714,IF(Parameter!$E$30="MAX-Bestand",IF(CH714=1,CI714,IF(LEFT(Cockpit!$I$5,1)="B",AV714,MAX(AV714,H714))),ROUNDUP(AT714,0)))</f>
        <v>13</v>
      </c>
      <c r="AQ714" s="50" t="n">
        <f aca="false">IF(BZ714=1,0,ROUNDUP(AP714/BY714,0))</f>
        <v>1</v>
      </c>
      <c r="AR714" s="52" t="n">
        <f aca="false">IF(CQ714&gt;0,CQ714*MAX(1,AP714/X714),IF(BZ714=1,IF(AP714&lt;=0,0,CD714*MAX(1,IF(H714&gt;0,AP714/H714,1))),IF(R714&gt;0,AQ714/R714,0))/MAX(0.1,N(Parameter!$M$21)))</f>
        <v>0.166666666666667</v>
      </c>
      <c r="AS714" s="50" t="n">
        <f aca="false">AR714*CB714</f>
        <v>39.1666666666667</v>
      </c>
      <c r="AT714" s="51" t="n">
        <f aca="false">IF(LEFT(Cockpit!$I$5,1)="A",H714,IF(CH714=1,(CK714+CI714)/2,IF(LEFT(Cockpit!$I$5,1)="B",(CK714+AV714)/2,MAX((CK714+AV714)/2,H714))))</f>
        <v>13</v>
      </c>
      <c r="AU714" s="50" t="n">
        <f aca="false">AT714*G714</f>
        <v>1878.5</v>
      </c>
      <c r="AV714" s="50" t="n">
        <f aca="false">ROUNDUP(CK714+MAX(CL714,2*(J714/IF(CG714&gt;0,CG714,MAX(0.1,N(Cockpit!$I$6)))-CK714)),0)</f>
        <v>1</v>
      </c>
      <c r="AW714" s="51" t="n">
        <f aca="false">IF(AS714&gt;0,J714/AS714,-1)</f>
        <v>0</v>
      </c>
      <c r="AX714" s="51" t="n">
        <f aca="false">IF(AND(OR(CF714="L1",CF714="L23",CF714="LIFT"),AS714&gt;0),SUMIFS($AS$7:$AS$1843,$CF$7:$CF$1843,CF714,$AW$7:$AW$1843,"&gt;"&amp;AW714)+SUMIFS($AS$7:$AS$1843,$CF$7:$CF$1843,CF714,$AW$7:$AW$1843,AW714,$BW$7:$BW$1843,"&lt;="&amp;BW714),"")</f>
        <v>34156.6364468865</v>
      </c>
      <c r="AY714" s="58" t="n">
        <f aca="false">IF(AX714="",0,MAX(0,MIN(1,(IF(CF714="L1",Parameter!$H$5,IF(CF714="L23",Parameter!$H$6+Parameter!$H$7,Parameter!$H$5+Parameter!$H$6+Parameter!$H$7))-(AX714-AS714))/AS714)))</f>
        <v>1</v>
      </c>
      <c r="AZ714" s="50" t="n">
        <f aca="false">IF(LEFT(Cockpit!$O$5,1)="A",H714,IF(Parameter!$E$30="MAX-Bestand",IF(CH714=1,CI714,IF(LEFT(Cockpit!$O$5,1)="B",BF714,MAX(BF714,H714))),ROUNDUP(BD714,0)))</f>
        <v>1</v>
      </c>
      <c r="BA714" s="50" t="n">
        <f aca="false">IF(BZ714=1,0,ROUNDUP(AZ714/BY714,0))</f>
        <v>1</v>
      </c>
      <c r="BB714" s="52" t="n">
        <f aca="false">IF(CQ714&gt;0,CQ714*MAX(1,AZ714/X714),IF(BZ714=1,IF(AZ714&lt;=0,0,CD714*MAX(1,IF(H714&gt;0,AZ714/H714,1))),IF(R714&gt;0,BA714/R714,0))/MAX(0.1,N(Parameter!$M$21)))</f>
        <v>0.166666666666667</v>
      </c>
      <c r="BC714" s="50" t="n">
        <f aca="false">BB714*CB714</f>
        <v>39.1666666666667</v>
      </c>
      <c r="BD714" s="51" t="n">
        <f aca="false">IF(LEFT(Cockpit!$O$5,1)="A",H714,IF(CH714=1,(CK714+CI714)/2,IF(LEFT(Cockpit!$O$5,1)="B",(CK714+BF714)/2,MAX((CK714+BF714)/2,H714))))</f>
        <v>0.5</v>
      </c>
      <c r="BE714" s="50" t="n">
        <f aca="false">BD714*G714</f>
        <v>72.25</v>
      </c>
      <c r="BF714" s="50" t="n">
        <f aca="false">ROUNDUP(CK714+MAX(CL714,2*(J714/IF(CG714&gt;0,CG714,MAX(0.1,N(Cockpit!$O$6)))-CK714)),0)</f>
        <v>1</v>
      </c>
      <c r="BG714" s="51" t="n">
        <f aca="false">IF(BC714&gt;0,J714/BC714,-1)</f>
        <v>0</v>
      </c>
      <c r="BH714" s="51" t="n">
        <f aca="false">IF(AND(OR(CF714="L1",CF714="L23",CF714="LIFT"),BC714&gt;0),SUMIFS($BC$7:$BC$1843,$CF$7:$CF$1843,CF714,$BG$7:$BG$1843,"&gt;"&amp;BG714)+SUMIFS($BC$7:$BC$1843,$CF$7:$CF$1843,CF714,$BG$7:$BG$1843,BG714,$BW$7:$BW$1843,"&lt;="&amp;BW714),"")</f>
        <v>28220.7654513566</v>
      </c>
      <c r="BI714" s="58" t="n">
        <f aca="false">IF(BH714="",0,MAX(0,MIN(1,(IF(CF714="L1",Parameter!$H$5,IF(CF714="L23",Parameter!$H$6+Parameter!$H$7,Parameter!$H$5+Parameter!$H$6+Parameter!$H$7))-(BH714-BC714))/BC714)))</f>
        <v>1</v>
      </c>
      <c r="BJ714" s="48" t="str">
        <f aca="false">IF(AI714&lt;=0,"",IF(CF714="Aussen","Aussenlager",IF(CF714="-","Nicht im Lift",IF(AO714&gt;=1,"Lift",IF(AO714&lt;=0,"Aussenlager","teilweise")))))</f>
        <v>Lift</v>
      </c>
      <c r="BK714" s="48" t="str">
        <f aca="false">IF(AS714&lt;=0,"",IF(CF714="Aussen","Aussenlager",IF(CF714="-","Nicht im Lift",IF(AY714&gt;=1,"Lift",IF(AY714&lt;=0,"Aussenlager","teilweise")))))</f>
        <v>Lift</v>
      </c>
      <c r="BL714" s="48" t="str">
        <f aca="false">IF(BC714&lt;=0,"",IF(CF714="Aussen","Aussenlager",IF(CF714="-","Nicht im Lift",IF(BI714&gt;=1,"Lift",IF(BI714&lt;=0,"Aussenlager","teilweise")))))</f>
        <v>Lift</v>
      </c>
      <c r="BM714" s="48" t="str">
        <f aca="false">IF(A714="","",IF(BV714=1,"Neu; ","")&amp;IF(AND(BV714=0,BQ714&lt;0),"negativer Bestand (Export "&amp;BQ714&amp;"); ","")&amp;IF(J714&lt;=0,"Kein Verbrauch; ","")&amp;IF(CQ714&gt;0,"Lift "&amp;W714&amp;" lt. Liftbericht (Fach "&amp;X714&amp;" Stk); ",IF(CA714=1,"Gebinde geschätzt ("&amp;T714&amp;"); ",IF(BZ714=1,"Lose – Tablare geschätzt; ","")))&amp;IF(H714&gt;AV714,"Überbestand "&amp;ROUND(H714-AV714,0)&amp;" Stk / CHF "&amp;ROUND((H714-AV714)*G714,0)&amp;"; ","")&amp;IF(AND(CH714=1,CI714&lt;CJ714),"MAX &lt; MB+LG; ","")&amp;IF(AND(CP714&gt;0,CO714*10&gt;CP714),"zu hoch für Tablar; ","")&amp;IF(AND(BV714=0,OR(CH714=1,AA714&lt;&gt;"",U714&lt;&gt;"",V714&lt;&gt;"",AB714&lt;&gt;"")),"manuell übersteuert; ","")&amp;IF(AND(BZ714=0,R714=0),"Gebinde unbekannt / Stellmass fehlt; ","")&amp;IF(AND(BZ714=0,N(V714)&lt;=0,N(Q714)&lt;=0),"Menge pro Gebinde fehlt (Ist = 1 Gebinde); ","")&amp;BU714)</f>
        <v>Kein Verbrauch; Überbestand 12 Stk / CHF 1734; Überbestand; grosser Artikel &amp; nicht im KTL</v>
      </c>
      <c r="BN714" s="48"/>
      <c r="BO714" s="48"/>
      <c r="BP714" s="55"/>
      <c r="BQ714" s="50" t="n">
        <v>0</v>
      </c>
      <c r="BR714" s="50" t="n">
        <v>13</v>
      </c>
      <c r="BS714" s="49" t="n">
        <v>0</v>
      </c>
      <c r="BT714" s="50" t="n">
        <v>0</v>
      </c>
      <c r="BU714" s="48" t="s">
        <v>368</v>
      </c>
      <c r="BV714" s="53" t="n">
        <v>0</v>
      </c>
      <c r="BW714" s="53" t="n">
        <v>714</v>
      </c>
      <c r="BX714" s="48" t="str">
        <f aca="false">IF(U714&lt;&gt;"",UPPER(TRIM(U714)),IF(CA714=1,UPPER(VLOOKUP(T714,Parameter!$I$27:$K$29,2,0)),IF(P714="","LOSE",P714)))</f>
        <v>S71</v>
      </c>
      <c r="BY714" s="50" t="n">
        <f aca="false">IF(BX714="LOSE",1,IF(N(V714)&gt;0,V714,IF(CA714=1,MAX(1,N(VLOOKUP(T714,Parameter!$I$27:$K$29,3,0)),H714,N(N714)),IF(N(Q714)&gt;0,Q714,MAX(1,H714)))))</f>
        <v>15</v>
      </c>
      <c r="BZ714" s="53" t="n">
        <f aca="false">IF(BX714="LOSE",1,0)</f>
        <v>0</v>
      </c>
      <c r="CA714" s="53" t="n">
        <f aca="false">IF(AND(U714="",OR(P714="",P714="LOSE"),T714&lt;&gt;"",N(S714)&lt;=0,ISNUMBER(MATCH(T714,Parameter!$I$27:$I$29,0))),1,0)</f>
        <v>0</v>
      </c>
      <c r="CB714" s="53" t="n">
        <f aca="false">IF(CQ714&gt;0,INDEX(Parameter!$H$5:$H$7,W714)/INDEX(Parameter!$E$5:$E$7,W714),IF(AND(BZ714=0,N(IFERROR(VLOOKUP(BX714,'Gebinde-Kategorie'!$A$5:$N$45,14,0),0))&gt;0),VLOOKUP(BX714,'Gebinde-Kategorie'!$A$5:$N$45,14,0)*10+Parameter!$M$23,Parameter!$M$24))</f>
        <v>235</v>
      </c>
      <c r="CC714" s="48" t="str">
        <f aca="false">IF(AND(Parameter!$B$19="Ja",E714&lt;&gt;"",ISNUMBER(MATCH(E714,Parameter!$I$35:$I$52,0))),VLOOKUP(E714,Parameter!$I$35:$J$52,2,0),IFERROR(VLOOKUP(D714,Parameter!$A$35:$C$64,2,0),"Nein"))</f>
        <v>2+3</v>
      </c>
      <c r="CD714" s="52" t="n">
        <f aca="false">IF(BZ714=0,0,IF(N(S714)&gt;0,S714,IFERROR(VLOOKUP(D714,Parameter!$A$35:$C$64,3,0)+0,0)))</f>
        <v>0</v>
      </c>
      <c r="CE714" s="48" t="n">
        <f aca="false">IF(AA714&lt;&gt;"",AA714,Z714)</f>
        <v>2</v>
      </c>
      <c r="CF714" s="48" t="str">
        <f aca="false">IF(OR(CE714=1,CE714=2,CE714=3),IF(Parameter!$E$27="Ja","LIFT",IF(CE714=1,"L1","L23")),IF(CE714="Aussen","Aussen","-"))</f>
        <v>LIFT</v>
      </c>
      <c r="CG714" s="59" t="n">
        <f aca="false">IF(N(AB714)&gt;0,AB714,0)</f>
        <v>0</v>
      </c>
      <c r="CH714" s="53" t="n">
        <f aca="false">IF(ISNUMBER(AE714),1,0)</f>
        <v>0</v>
      </c>
      <c r="CI714" s="50" t="n">
        <f aca="false">N(AE714)</f>
        <v>0</v>
      </c>
      <c r="CJ714" s="50" t="n">
        <f aca="false">N(M714)+N(N714)</f>
        <v>1</v>
      </c>
      <c r="CK714" s="50" t="n">
        <f aca="false">N(M714)</f>
        <v>0</v>
      </c>
      <c r="CL714" s="50" t="n">
        <f aca="false">N(N714)</f>
        <v>1</v>
      </c>
      <c r="CM714" s="50" t="n">
        <f aca="false">ROUNDUP(H714/BY714,0)</f>
        <v>1</v>
      </c>
      <c r="CN714" s="50" t="n">
        <f aca="false">ROUNDUP(CI714/BY714,0)</f>
        <v>0</v>
      </c>
      <c r="CO714" s="53" t="n">
        <f aca="false">IF(BZ714=1,0,IFERROR(VLOOKUP(BX714,'Gebinde-Kategorie'!$A$5:$N$45,5,0)+0,0))</f>
        <v>20</v>
      </c>
      <c r="CP714" s="53" t="n">
        <f aca="false">IFERROR(IF(OR(CE714=1,CE714=2,CE714=3),N(INDEX(Parameter!$I$5:$I$7,CE714)),0),0)</f>
        <v>0</v>
      </c>
      <c r="CQ714" s="52" t="n">
        <f aca="false">IF(AND(Parameter!$B$21="Ja",ISNUMBER(W714),N(X714)&gt;0),IFERROR(N(INDEX(Parameter!$L$5:$L$7,W714))*INDEX(Parameter!$E$5:$E$7,W714)*X714/SUMIFS($X$7:$X$1843,$W$7:$W$1843,W714),0),0)</f>
        <v>0</v>
      </c>
    </row>
    <row r="715" customFormat="false" ht="15" hidden="false" customHeight="false" outlineLevel="0" collapsed="false">
      <c r="A715" s="48" t="s">
        <v>1433</v>
      </c>
      <c r="B715" s="48" t="s">
        <v>1434</v>
      </c>
      <c r="C715" s="48" t="s">
        <v>173</v>
      </c>
      <c r="D715" s="48" t="s">
        <v>1004</v>
      </c>
      <c r="E715" s="48"/>
      <c r="F715" s="48" t="s">
        <v>227</v>
      </c>
      <c r="G715" s="49" t="n">
        <v>5572.64</v>
      </c>
      <c r="H715" s="50" t="n">
        <f aca="false">MAX(0,IF(AND(Parameter!$B$21="Ja",ISNUMBER(Y715)),Y715,IF(Parameter!$B$20="Jahresanfang 2025 + Export",BR715+BQ715,BQ715)))</f>
        <v>5</v>
      </c>
      <c r="I715" s="50" t="n">
        <f aca="false">H715*G715</f>
        <v>27863.2</v>
      </c>
      <c r="J715" s="50" t="n">
        <f aca="false">BT715*Parameter!$B$18</f>
        <v>0</v>
      </c>
      <c r="K715" s="51" t="n">
        <v>0.5</v>
      </c>
      <c r="L715" s="52" t="n">
        <v>0</v>
      </c>
      <c r="M715" s="50" t="n">
        <v>0</v>
      </c>
      <c r="N715" s="50" t="n">
        <v>1</v>
      </c>
      <c r="O715" s="53" t="n">
        <v>28</v>
      </c>
      <c r="P715" s="48" t="s">
        <v>177</v>
      </c>
      <c r="Q715" s="50"/>
      <c r="R715" s="53" t="n">
        <f aca="false">IF(BZ715=1,0,IFERROR(VLOOKUP(BX715,'Gebinde-Kategorie'!$A$5:$N$45,13,0)+0,0))</f>
        <v>0</v>
      </c>
      <c r="S715" s="54"/>
      <c r="T715" s="55"/>
      <c r="U715" s="55"/>
      <c r="V715" s="55"/>
      <c r="W715" s="48"/>
      <c r="X715" s="50"/>
      <c r="Y715" s="50"/>
      <c r="Z715" s="48" t="str">
        <f aca="false">IF(A715="","",IF(AND(Parameter!$B$21="Ja",ISNUMBER(W715)),W715,IF(CC715="2+3",IF(ISNUMBER(SEARCH("grosser Artikel",BU715)),2,IFERROR(VLOOKUP(BX715,Parameter!$F$35:$G$64,2,0),2)),IF(OR(CC715="Nein",CC715=""),"-",CC715))))</f>
        <v>-</v>
      </c>
      <c r="AA715" s="55"/>
      <c r="AB715" s="56"/>
      <c r="AC715" s="50" t="n">
        <f aca="false">AV715</f>
        <v>1</v>
      </c>
      <c r="AD715" s="50" t="n">
        <f aca="false">MAX(AV715,H715)</f>
        <v>5</v>
      </c>
      <c r="AE715" s="57"/>
      <c r="AF715" s="50" t="n">
        <f aca="false">IF(LEFT(Cockpit!$C$5,1)="A",H715,IF(Parameter!$E$30="MAX-Bestand",IF(CH715=1,CI715,IF(LEFT(Cockpit!$C$5,1)="B",AL715,MAX(AL715,H715))),ROUNDUP(AJ715,0)))</f>
        <v>5</v>
      </c>
      <c r="AG715" s="50" t="n">
        <f aca="false">IF(BZ715=1,0,ROUNDUP(AF715/BY715,0))</f>
        <v>0</v>
      </c>
      <c r="AH715" s="52" t="n">
        <f aca="false">IF(CQ715&gt;0,CQ715*MAX(1,AF715/X715),IF(BZ715=1,IF(AF715&lt;=0,0,CD715*MAX(1,IF(H715&gt;0,AF715/H715,1))),IF(R715&gt;0,AG715/R715,0))/MAX(0.1,N(Parameter!$M$21)))</f>
        <v>0.15</v>
      </c>
      <c r="AI715" s="50" t="n">
        <f aca="false">AH715*CB715</f>
        <v>35.25</v>
      </c>
      <c r="AJ715" s="51" t="n">
        <f aca="false">IF(LEFT(Cockpit!$C$5,1)="A",H715,IF(CH715=1,(CK715+CI715)/2,IF(LEFT(Cockpit!$C$5,1)="B",(CK715+AL715)/2,MAX((CK715+AL715)/2,H715))))</f>
        <v>5</v>
      </c>
      <c r="AK715" s="50" t="n">
        <f aca="false">AJ715*G715</f>
        <v>27863.2</v>
      </c>
      <c r="AL715" s="50" t="n">
        <f aca="false">ROUNDUP(CK715+MAX(CL715,2*(J715/IF(CG715&gt;0,CG715,MAX(0.1,N(Cockpit!$C$6)))-CK715)),0)</f>
        <v>1</v>
      </c>
      <c r="AM715" s="51" t="n">
        <f aca="false">IF(AI715&gt;0,J715/AI715,-1)</f>
        <v>0</v>
      </c>
      <c r="AN715" s="51" t="str">
        <f aca="false">IF(AND(OR(CF715="L1",CF715="L23",CF715="LIFT"),AI715&gt;0),SUMIFS($AI$7:$AI$1843,$CF$7:$CF$1843,CF715,$AM$7:$AM$1843,"&gt;"&amp;AM715)+SUMIFS($AI$7:$AI$1843,$CF$7:$CF$1843,CF715,$AM$7:$AM$1843,AM715,$BW$7:$BW$1843,"&lt;="&amp;BW715),"")</f>
        <v/>
      </c>
      <c r="AO715" s="58" t="n">
        <f aca="false">IF(AN715="",0,MAX(0,MIN(1,(IF(CF715="L1",Parameter!$H$5,IF(CF715="L23",Parameter!$H$6+Parameter!$H$7,Parameter!$H$5+Parameter!$H$6+Parameter!$H$7))-(AN715-AI715))/AI715)))</f>
        <v>0</v>
      </c>
      <c r="AP715" s="50" t="n">
        <f aca="false">IF(LEFT(Cockpit!$I$5,1)="A",H715,IF(Parameter!$E$30="MAX-Bestand",IF(CH715=1,CI715,IF(LEFT(Cockpit!$I$5,1)="B",AV715,MAX(AV715,H715))),ROUNDUP(AT715,0)))</f>
        <v>5</v>
      </c>
      <c r="AQ715" s="50" t="n">
        <f aca="false">IF(BZ715=1,0,ROUNDUP(AP715/BY715,0))</f>
        <v>0</v>
      </c>
      <c r="AR715" s="52" t="n">
        <f aca="false">IF(CQ715&gt;0,CQ715*MAX(1,AP715/X715),IF(BZ715=1,IF(AP715&lt;=0,0,CD715*MAX(1,IF(H715&gt;0,AP715/H715,1))),IF(R715&gt;0,AQ715/R715,0))/MAX(0.1,N(Parameter!$M$21)))</f>
        <v>0.15</v>
      </c>
      <c r="AS715" s="50" t="n">
        <f aca="false">AR715*CB715</f>
        <v>35.25</v>
      </c>
      <c r="AT715" s="51" t="n">
        <f aca="false">IF(LEFT(Cockpit!$I$5,1)="A",H715,IF(CH715=1,(CK715+CI715)/2,IF(LEFT(Cockpit!$I$5,1)="B",(CK715+AV715)/2,MAX((CK715+AV715)/2,H715))))</f>
        <v>5</v>
      </c>
      <c r="AU715" s="50" t="n">
        <f aca="false">AT715*G715</f>
        <v>27863.2</v>
      </c>
      <c r="AV715" s="50" t="n">
        <f aca="false">ROUNDUP(CK715+MAX(CL715,2*(J715/IF(CG715&gt;0,CG715,MAX(0.1,N(Cockpit!$I$6)))-CK715)),0)</f>
        <v>1</v>
      </c>
      <c r="AW715" s="51" t="n">
        <f aca="false">IF(AS715&gt;0,J715/AS715,-1)</f>
        <v>0</v>
      </c>
      <c r="AX715" s="51" t="str">
        <f aca="false">IF(AND(OR(CF715="L1",CF715="L23",CF715="LIFT"),AS715&gt;0),SUMIFS($AS$7:$AS$1843,$CF$7:$CF$1843,CF715,$AW$7:$AW$1843,"&gt;"&amp;AW715)+SUMIFS($AS$7:$AS$1843,$CF$7:$CF$1843,CF715,$AW$7:$AW$1843,AW715,$BW$7:$BW$1843,"&lt;="&amp;BW715),"")</f>
        <v/>
      </c>
      <c r="AY715" s="58" t="n">
        <f aca="false">IF(AX715="",0,MAX(0,MIN(1,(IF(CF715="L1",Parameter!$H$5,IF(CF715="L23",Parameter!$H$6+Parameter!$H$7,Parameter!$H$5+Parameter!$H$6+Parameter!$H$7))-(AX715-AS715))/AS715)))</f>
        <v>0</v>
      </c>
      <c r="AZ715" s="50" t="n">
        <f aca="false">IF(LEFT(Cockpit!$O$5,1)="A",H715,IF(Parameter!$E$30="MAX-Bestand",IF(CH715=1,CI715,IF(LEFT(Cockpit!$O$5,1)="B",BF715,MAX(BF715,H715))),ROUNDUP(BD715,0)))</f>
        <v>1</v>
      </c>
      <c r="BA715" s="50" t="n">
        <f aca="false">IF(BZ715=1,0,ROUNDUP(AZ715/BY715,0))</f>
        <v>0</v>
      </c>
      <c r="BB715" s="52" t="n">
        <f aca="false">IF(CQ715&gt;0,CQ715*MAX(1,AZ715/X715),IF(BZ715=1,IF(AZ715&lt;=0,0,CD715*MAX(1,IF(H715&gt;0,AZ715/H715,1))),IF(R715&gt;0,BA715/R715,0))/MAX(0.1,N(Parameter!$M$21)))</f>
        <v>0.15</v>
      </c>
      <c r="BC715" s="50" t="n">
        <f aca="false">BB715*CB715</f>
        <v>35.25</v>
      </c>
      <c r="BD715" s="51" t="n">
        <f aca="false">IF(LEFT(Cockpit!$O$5,1)="A",H715,IF(CH715=1,(CK715+CI715)/2,IF(LEFT(Cockpit!$O$5,1)="B",(CK715+BF715)/2,MAX((CK715+BF715)/2,H715))))</f>
        <v>0.5</v>
      </c>
      <c r="BE715" s="50" t="n">
        <f aca="false">BD715*G715</f>
        <v>2786.32</v>
      </c>
      <c r="BF715" s="50" t="n">
        <f aca="false">ROUNDUP(CK715+MAX(CL715,2*(J715/IF(CG715&gt;0,CG715,MAX(0.1,N(Cockpit!$O$6)))-CK715)),0)</f>
        <v>1</v>
      </c>
      <c r="BG715" s="51" t="n">
        <f aca="false">IF(BC715&gt;0,J715/BC715,-1)</f>
        <v>0</v>
      </c>
      <c r="BH715" s="51" t="str">
        <f aca="false">IF(AND(OR(CF715="L1",CF715="L23",CF715="LIFT"),BC715&gt;0),SUMIFS($BC$7:$BC$1843,$CF$7:$CF$1843,CF715,$BG$7:$BG$1843,"&gt;"&amp;BG715)+SUMIFS($BC$7:$BC$1843,$CF$7:$CF$1843,CF715,$BG$7:$BG$1843,BG715,$BW$7:$BW$1843,"&lt;="&amp;BW715),"")</f>
        <v/>
      </c>
      <c r="BI715" s="58" t="n">
        <f aca="false">IF(BH715="",0,MAX(0,MIN(1,(IF(CF715="L1",Parameter!$H$5,IF(CF715="L23",Parameter!$H$6+Parameter!$H$7,Parameter!$H$5+Parameter!$H$6+Parameter!$H$7))-(BH715-BC715))/BC715)))</f>
        <v>0</v>
      </c>
      <c r="BJ715" s="48" t="str">
        <f aca="false">IF(AI715&lt;=0,"",IF(CF715="Aussen","Aussenlager",IF(CF715="-","Nicht im Lift",IF(AO715&gt;=1,"Lift",IF(AO715&lt;=0,"Aussenlager","teilweise")))))</f>
        <v>Nicht im Lift</v>
      </c>
      <c r="BK715" s="48" t="str">
        <f aca="false">IF(AS715&lt;=0,"",IF(CF715="Aussen","Aussenlager",IF(CF715="-","Nicht im Lift",IF(AY715&gt;=1,"Lift",IF(AY715&lt;=0,"Aussenlager","teilweise")))))</f>
        <v>Nicht im Lift</v>
      </c>
      <c r="BL715" s="48" t="str">
        <f aca="false">IF(BC715&lt;=0,"",IF(CF715="Aussen","Aussenlager",IF(CF715="-","Nicht im Lift",IF(BI715&gt;=1,"Lift",IF(BI715&lt;=0,"Aussenlager","teilweise")))))</f>
        <v>Nicht im Lift</v>
      </c>
      <c r="BM715" s="48" t="str">
        <f aca="false">IF(A715="","",IF(BV715=1,"Neu; ","")&amp;IF(AND(BV715=0,BQ715&lt;0),"negativer Bestand (Export "&amp;BQ715&amp;"); ","")&amp;IF(J715&lt;=0,"Kein Verbrauch; ","")&amp;IF(CQ715&gt;0,"Lift "&amp;W715&amp;" lt. Liftbericht (Fach "&amp;X715&amp;" Stk); ",IF(CA715=1,"Gebinde geschätzt ("&amp;T715&amp;"); ",IF(BZ715=1,"Lose – Tablare geschätzt; ","")))&amp;IF(H715&gt;AV715,"Überbestand "&amp;ROUND(H715-AV715,0)&amp;" Stk / CHF "&amp;ROUND((H715-AV715)*G715,0)&amp;"; ","")&amp;IF(AND(CH715=1,CI715&lt;CJ715),"MAX &lt; MB+LG; ","")&amp;IF(AND(CP715&gt;0,CO715*10&gt;CP715),"zu hoch für Tablar; ","")&amp;IF(AND(BV715=0,OR(CH715=1,AA715&lt;&gt;"",U715&lt;&gt;"",V715&lt;&gt;"",AB715&lt;&gt;"")),"manuell übersteuert; ","")&amp;IF(AND(BZ715=0,R715=0),"Gebinde unbekannt / Stellmass fehlt; ","")&amp;IF(AND(BZ715=0,N(V715)&lt;=0,N(Q715)&lt;=0),"Menge pro Gebinde fehlt (Ist = 1 Gebinde); ","")&amp;BU715)</f>
        <v>Kein Verbrauch; Lose – Tablare geschätzt; Überbestand 4 Stk / CHF 22291; </v>
      </c>
      <c r="BN715" s="48"/>
      <c r="BO715" s="48"/>
      <c r="BP715" s="55"/>
      <c r="BQ715" s="50" t="n">
        <v>5</v>
      </c>
      <c r="BR715" s="50" t="n">
        <v>0</v>
      </c>
      <c r="BS715" s="49" t="n">
        <v>0</v>
      </c>
      <c r="BT715" s="50" t="n">
        <v>0</v>
      </c>
      <c r="BU715" s="48"/>
      <c r="BV715" s="53" t="n">
        <v>0</v>
      </c>
      <c r="BW715" s="53" t="n">
        <v>715</v>
      </c>
      <c r="BX715" s="48" t="str">
        <f aca="false">IF(U715&lt;&gt;"",UPPER(TRIM(U715)),IF(CA715=1,UPPER(VLOOKUP(T715,Parameter!$I$27:$K$29,2,0)),IF(P715="","LOSE",P715)))</f>
        <v>LOSE</v>
      </c>
      <c r="BY715" s="50" t="n">
        <f aca="false">IF(BX715="LOSE",1,IF(N(V715)&gt;0,V715,IF(CA715=1,MAX(1,N(VLOOKUP(T715,Parameter!$I$27:$K$29,3,0)),H715,N(N715)),IF(N(Q715)&gt;0,Q715,MAX(1,H715)))))</f>
        <v>1</v>
      </c>
      <c r="BZ715" s="53" t="n">
        <f aca="false">IF(BX715="LOSE",1,0)</f>
        <v>1</v>
      </c>
      <c r="CA715" s="53" t="n">
        <f aca="false">IF(AND(U715="",OR(P715="",P715="LOSE"),T715&lt;&gt;"",N(S715)&lt;=0,ISNUMBER(MATCH(T715,Parameter!$I$27:$I$29,0))),1,0)</f>
        <v>0</v>
      </c>
      <c r="CB715" s="53" t="n">
        <f aca="false">IF(CQ715&gt;0,INDEX(Parameter!$H$5:$H$7,W715)/INDEX(Parameter!$E$5:$E$7,W715),IF(AND(BZ715=0,N(IFERROR(VLOOKUP(BX715,'Gebinde-Kategorie'!$A$5:$N$45,14,0),0))&gt;0),VLOOKUP(BX715,'Gebinde-Kategorie'!$A$5:$N$45,14,0)*10+Parameter!$M$23,Parameter!$M$24))</f>
        <v>235</v>
      </c>
      <c r="CC715" s="48" t="str">
        <f aca="false">IF(AND(Parameter!$B$19="Ja",E715&lt;&gt;"",ISNUMBER(MATCH(E715,Parameter!$I$35:$I$52,0))),VLOOKUP(E715,Parameter!$I$35:$J$52,2,0),IFERROR(VLOOKUP(D715,Parameter!$A$35:$C$64,2,0),"Nein"))</f>
        <v>Nein</v>
      </c>
      <c r="CD715" s="52" t="n">
        <f aca="false">IF(BZ715=0,0,IF(N(S715)&gt;0,S715,IFERROR(VLOOKUP(D715,Parameter!$A$35:$C$64,3,0)+0,0)))</f>
        <v>0.15</v>
      </c>
      <c r="CE715" s="48" t="str">
        <f aca="false">IF(AA715&lt;&gt;"",AA715,Z715)</f>
        <v>-</v>
      </c>
      <c r="CF715" s="48" t="str">
        <f aca="false">IF(OR(CE715=1,CE715=2,CE715=3),IF(Parameter!$E$27="Ja","LIFT",IF(CE715=1,"L1","L23")),IF(CE715="Aussen","Aussen","-"))</f>
        <v>-</v>
      </c>
      <c r="CG715" s="59" t="n">
        <f aca="false">IF(N(AB715)&gt;0,AB715,0)</f>
        <v>0</v>
      </c>
      <c r="CH715" s="53" t="n">
        <f aca="false">IF(ISNUMBER(AE715),1,0)</f>
        <v>0</v>
      </c>
      <c r="CI715" s="50" t="n">
        <f aca="false">N(AE715)</f>
        <v>0</v>
      </c>
      <c r="CJ715" s="50" t="n">
        <f aca="false">N(M715)+N(N715)</f>
        <v>1</v>
      </c>
      <c r="CK715" s="50" t="n">
        <f aca="false">N(M715)</f>
        <v>0</v>
      </c>
      <c r="CL715" s="50" t="n">
        <f aca="false">N(N715)</f>
        <v>1</v>
      </c>
      <c r="CM715" s="50" t="n">
        <f aca="false">ROUNDUP(H715/BY715,0)</f>
        <v>5</v>
      </c>
      <c r="CN715" s="50" t="n">
        <f aca="false">ROUNDUP(CI715/BY715,0)</f>
        <v>0</v>
      </c>
      <c r="CO715" s="53" t="n">
        <f aca="false">IF(BZ715=1,0,IFERROR(VLOOKUP(BX715,'Gebinde-Kategorie'!$A$5:$N$45,5,0)+0,0))</f>
        <v>0</v>
      </c>
      <c r="CP715" s="53" t="n">
        <f aca="false">IFERROR(IF(OR(CE715=1,CE715=2,CE715=3),N(INDEX(Parameter!$I$5:$I$7,CE715)),0),0)</f>
        <v>0</v>
      </c>
      <c r="CQ715" s="52" t="n">
        <f aca="false">IF(AND(Parameter!$B$21="Ja",ISNUMBER(W715),N(X715)&gt;0),IFERROR(N(INDEX(Parameter!$L$5:$L$7,W715))*INDEX(Parameter!$E$5:$E$7,W715)*X715/SUMIFS($X$7:$X$1843,$W$7:$W$1843,W715),0),0)</f>
        <v>0</v>
      </c>
    </row>
    <row r="716" customFormat="false" ht="15" hidden="false" customHeight="false" outlineLevel="0" collapsed="false">
      <c r="A716" s="48" t="s">
        <v>1435</v>
      </c>
      <c r="B716" s="48" t="s">
        <v>553</v>
      </c>
      <c r="C716" s="48" t="s">
        <v>173</v>
      </c>
      <c r="D716" s="48" t="s">
        <v>1004</v>
      </c>
      <c r="E716" s="48"/>
      <c r="F716" s="48" t="s">
        <v>227</v>
      </c>
      <c r="G716" s="49" t="n">
        <v>27.64</v>
      </c>
      <c r="H716" s="50" t="n">
        <f aca="false">MAX(0,IF(AND(Parameter!$B$21="Ja",ISNUMBER(Y716)),Y716,IF(Parameter!$B$20="Jahresanfang 2025 + Export",BR716+BQ716,BQ716)))</f>
        <v>0</v>
      </c>
      <c r="I716" s="50" t="n">
        <f aca="false">H716*G716</f>
        <v>0</v>
      </c>
      <c r="J716" s="50" t="n">
        <f aca="false">BT716*Parameter!$B$18</f>
        <v>0</v>
      </c>
      <c r="K716" s="51" t="n">
        <v>0</v>
      </c>
      <c r="L716" s="52" t="n">
        <v>0</v>
      </c>
      <c r="M716" s="50" t="n">
        <v>0</v>
      </c>
      <c r="N716" s="50" t="n">
        <v>10</v>
      </c>
      <c r="O716" s="53" t="n">
        <v>28</v>
      </c>
      <c r="P716" s="48" t="s">
        <v>177</v>
      </c>
      <c r="Q716" s="50"/>
      <c r="R716" s="53" t="n">
        <f aca="false">IF(BZ716=1,0,IFERROR(VLOOKUP(BX716,'Gebinde-Kategorie'!$A$5:$N$45,13,0)+0,0))</f>
        <v>0</v>
      </c>
      <c r="S716" s="54"/>
      <c r="T716" s="55"/>
      <c r="U716" s="55"/>
      <c r="V716" s="55"/>
      <c r="W716" s="48"/>
      <c r="X716" s="50"/>
      <c r="Y716" s="50"/>
      <c r="Z716" s="48" t="str">
        <f aca="false">IF(A716="","",IF(AND(Parameter!$B$21="Ja",ISNUMBER(W716)),W716,IF(CC716="2+3",IF(ISNUMBER(SEARCH("grosser Artikel",BU716)),2,IFERROR(VLOOKUP(BX716,Parameter!$F$35:$G$64,2,0),2)),IF(OR(CC716="Nein",CC716=""),"-",CC716))))</f>
        <v>-</v>
      </c>
      <c r="AA716" s="55"/>
      <c r="AB716" s="56"/>
      <c r="AC716" s="50" t="n">
        <f aca="false">AV716</f>
        <v>10</v>
      </c>
      <c r="AD716" s="50" t="n">
        <f aca="false">MAX(AV716,H716)</f>
        <v>10</v>
      </c>
      <c r="AE716" s="57"/>
      <c r="AF716" s="50" t="n">
        <f aca="false">IF(LEFT(Cockpit!$C$5,1)="A",H716,IF(Parameter!$E$30="MAX-Bestand",IF(CH716=1,CI716,IF(LEFT(Cockpit!$C$5,1)="B",AL716,MAX(AL716,H716))),ROUNDUP(AJ716,0)))</f>
        <v>0</v>
      </c>
      <c r="AG716" s="50" t="n">
        <f aca="false">IF(BZ716=1,0,ROUNDUP(AF716/BY716,0))</f>
        <v>0</v>
      </c>
      <c r="AH716" s="52" t="n">
        <f aca="false">IF(CQ716&gt;0,CQ716*MAX(1,AF716/X716),IF(BZ716=1,IF(AF716&lt;=0,0,CD716*MAX(1,IF(H716&gt;0,AF716/H716,1))),IF(R716&gt;0,AG716/R716,0))/MAX(0.1,N(Parameter!$M$21)))</f>
        <v>0</v>
      </c>
      <c r="AI716" s="50" t="n">
        <f aca="false">AH716*CB716</f>
        <v>0</v>
      </c>
      <c r="AJ716" s="51" t="n">
        <f aca="false">IF(LEFT(Cockpit!$C$5,1)="A",H716,IF(CH716=1,(CK716+CI716)/2,IF(LEFT(Cockpit!$C$5,1)="B",(CK716+AL716)/2,MAX((CK716+AL716)/2,H716))))</f>
        <v>0</v>
      </c>
      <c r="AK716" s="50" t="n">
        <f aca="false">AJ716*G716</f>
        <v>0</v>
      </c>
      <c r="AL716" s="50" t="n">
        <f aca="false">ROUNDUP(CK716+MAX(CL716,2*(J716/IF(CG716&gt;0,CG716,MAX(0.1,N(Cockpit!$C$6)))-CK716)),0)</f>
        <v>10</v>
      </c>
      <c r="AM716" s="51" t="n">
        <f aca="false">IF(AI716&gt;0,J716/AI716,-1)</f>
        <v>-1</v>
      </c>
      <c r="AN716" s="51" t="str">
        <f aca="false">IF(AND(OR(CF716="L1",CF716="L23",CF716="LIFT"),AI716&gt;0),SUMIFS($AI$7:$AI$1843,$CF$7:$CF$1843,CF716,$AM$7:$AM$1843,"&gt;"&amp;AM716)+SUMIFS($AI$7:$AI$1843,$CF$7:$CF$1843,CF716,$AM$7:$AM$1843,AM716,$BW$7:$BW$1843,"&lt;="&amp;BW716),"")</f>
        <v/>
      </c>
      <c r="AO716" s="58" t="n">
        <f aca="false">IF(AN716="",0,MAX(0,MIN(1,(IF(CF716="L1",Parameter!$H$5,IF(CF716="L23",Parameter!$H$6+Parameter!$H$7,Parameter!$H$5+Parameter!$H$6+Parameter!$H$7))-(AN716-AI716))/AI716)))</f>
        <v>0</v>
      </c>
      <c r="AP716" s="50" t="n">
        <f aca="false">IF(LEFT(Cockpit!$I$5,1)="A",H716,IF(Parameter!$E$30="MAX-Bestand",IF(CH716=1,CI716,IF(LEFT(Cockpit!$I$5,1)="B",AV716,MAX(AV716,H716))),ROUNDUP(AT716,0)))</f>
        <v>5</v>
      </c>
      <c r="AQ716" s="50" t="n">
        <f aca="false">IF(BZ716=1,0,ROUNDUP(AP716/BY716,0))</f>
        <v>0</v>
      </c>
      <c r="AR716" s="52" t="n">
        <f aca="false">IF(CQ716&gt;0,CQ716*MAX(1,AP716/X716),IF(BZ716=1,IF(AP716&lt;=0,0,CD716*MAX(1,IF(H716&gt;0,AP716/H716,1))),IF(R716&gt;0,AQ716/R716,0))/MAX(0.1,N(Parameter!$M$21)))</f>
        <v>0.15</v>
      </c>
      <c r="AS716" s="50" t="n">
        <f aca="false">AR716*CB716</f>
        <v>35.25</v>
      </c>
      <c r="AT716" s="51" t="n">
        <f aca="false">IF(LEFT(Cockpit!$I$5,1)="A",H716,IF(CH716=1,(CK716+CI716)/2,IF(LEFT(Cockpit!$I$5,1)="B",(CK716+AV716)/2,MAX((CK716+AV716)/2,H716))))</f>
        <v>5</v>
      </c>
      <c r="AU716" s="50" t="n">
        <f aca="false">AT716*G716</f>
        <v>138.2</v>
      </c>
      <c r="AV716" s="50" t="n">
        <f aca="false">ROUNDUP(CK716+MAX(CL716,2*(J716/IF(CG716&gt;0,CG716,MAX(0.1,N(Cockpit!$I$6)))-CK716)),0)</f>
        <v>10</v>
      </c>
      <c r="AW716" s="51" t="n">
        <f aca="false">IF(AS716&gt;0,J716/AS716,-1)</f>
        <v>0</v>
      </c>
      <c r="AX716" s="51" t="str">
        <f aca="false">IF(AND(OR(CF716="L1",CF716="L23",CF716="LIFT"),AS716&gt;0),SUMIFS($AS$7:$AS$1843,$CF$7:$CF$1843,CF716,$AW$7:$AW$1843,"&gt;"&amp;AW716)+SUMIFS($AS$7:$AS$1843,$CF$7:$CF$1843,CF716,$AW$7:$AW$1843,AW716,$BW$7:$BW$1843,"&lt;="&amp;BW716),"")</f>
        <v/>
      </c>
      <c r="AY716" s="58" t="n">
        <f aca="false">IF(AX716="",0,MAX(0,MIN(1,(IF(CF716="L1",Parameter!$H$5,IF(CF716="L23",Parameter!$H$6+Parameter!$H$7,Parameter!$H$5+Parameter!$H$6+Parameter!$H$7))-(AX716-AS716))/AS716)))</f>
        <v>0</v>
      </c>
      <c r="AZ716" s="50" t="n">
        <f aca="false">IF(LEFT(Cockpit!$O$5,1)="A",H716,IF(Parameter!$E$30="MAX-Bestand",IF(CH716=1,CI716,IF(LEFT(Cockpit!$O$5,1)="B",BF716,MAX(BF716,H716))),ROUNDUP(BD716,0)))</f>
        <v>5</v>
      </c>
      <c r="BA716" s="50" t="n">
        <f aca="false">IF(BZ716=1,0,ROUNDUP(AZ716/BY716,0))</f>
        <v>0</v>
      </c>
      <c r="BB716" s="52" t="n">
        <f aca="false">IF(CQ716&gt;0,CQ716*MAX(1,AZ716/X716),IF(BZ716=1,IF(AZ716&lt;=0,0,CD716*MAX(1,IF(H716&gt;0,AZ716/H716,1))),IF(R716&gt;0,BA716/R716,0))/MAX(0.1,N(Parameter!$M$21)))</f>
        <v>0.15</v>
      </c>
      <c r="BC716" s="50" t="n">
        <f aca="false">BB716*CB716</f>
        <v>35.25</v>
      </c>
      <c r="BD716" s="51" t="n">
        <f aca="false">IF(LEFT(Cockpit!$O$5,1)="A",H716,IF(CH716=1,(CK716+CI716)/2,IF(LEFT(Cockpit!$O$5,1)="B",(CK716+BF716)/2,MAX((CK716+BF716)/2,H716))))</f>
        <v>5</v>
      </c>
      <c r="BE716" s="50" t="n">
        <f aca="false">BD716*G716</f>
        <v>138.2</v>
      </c>
      <c r="BF716" s="50" t="n">
        <f aca="false">ROUNDUP(CK716+MAX(CL716,2*(J716/IF(CG716&gt;0,CG716,MAX(0.1,N(Cockpit!$O$6)))-CK716)),0)</f>
        <v>10</v>
      </c>
      <c r="BG716" s="51" t="n">
        <f aca="false">IF(BC716&gt;0,J716/BC716,-1)</f>
        <v>0</v>
      </c>
      <c r="BH716" s="51" t="str">
        <f aca="false">IF(AND(OR(CF716="L1",CF716="L23",CF716="LIFT"),BC716&gt;0),SUMIFS($BC$7:$BC$1843,$CF$7:$CF$1843,CF716,$BG$7:$BG$1843,"&gt;"&amp;BG716)+SUMIFS($BC$7:$BC$1843,$CF$7:$CF$1843,CF716,$BG$7:$BG$1843,BG716,$BW$7:$BW$1843,"&lt;="&amp;BW716),"")</f>
        <v/>
      </c>
      <c r="BI716" s="58" t="n">
        <f aca="false">IF(BH716="",0,MAX(0,MIN(1,(IF(CF716="L1",Parameter!$H$5,IF(CF716="L23",Parameter!$H$6+Parameter!$H$7,Parameter!$H$5+Parameter!$H$6+Parameter!$H$7))-(BH716-BC716))/BC716)))</f>
        <v>0</v>
      </c>
      <c r="BJ716" s="48" t="str">
        <f aca="false">IF(AI716&lt;=0,"",IF(CF716="Aussen","Aussenlager",IF(CF716="-","Nicht im Lift",IF(AO716&gt;=1,"Lift",IF(AO716&lt;=0,"Aussenlager","teilweise")))))</f>
        <v/>
      </c>
      <c r="BK716" s="48" t="str">
        <f aca="false">IF(AS716&lt;=0,"",IF(CF716="Aussen","Aussenlager",IF(CF716="-","Nicht im Lift",IF(AY716&gt;=1,"Lift",IF(AY716&lt;=0,"Aussenlager","teilweise")))))</f>
        <v>Nicht im Lift</v>
      </c>
      <c r="BL716" s="48" t="str">
        <f aca="false">IF(BC716&lt;=0,"",IF(CF716="Aussen","Aussenlager",IF(CF716="-","Nicht im Lift",IF(BI716&gt;=1,"Lift",IF(BI716&lt;=0,"Aussenlager","teilweise")))))</f>
        <v>Nicht im Lift</v>
      </c>
      <c r="BM716" s="48" t="str">
        <f aca="false">IF(A716="","",IF(BV716=1,"Neu; ","")&amp;IF(AND(BV716=0,BQ716&lt;0),"negativer Bestand (Export "&amp;BQ716&amp;"); ","")&amp;IF(J716&lt;=0,"Kein Verbrauch; ","")&amp;IF(CQ716&gt;0,"Lift "&amp;W716&amp;" lt. Liftbericht (Fach "&amp;X716&amp;" Stk); ",IF(CA716=1,"Gebinde geschätzt ("&amp;T716&amp;"); ",IF(BZ716=1,"Lose – Tablare geschätzt; ","")))&amp;IF(H716&gt;AV716,"Überbestand "&amp;ROUND(H716-AV716,0)&amp;" Stk / CHF "&amp;ROUND((H716-AV716)*G716,0)&amp;"; ","")&amp;IF(AND(CH716=1,CI716&lt;CJ716),"MAX &lt; MB+LG; ","")&amp;IF(AND(CP716&gt;0,CO716*10&gt;CP716),"zu hoch für Tablar; ","")&amp;IF(AND(BV716=0,OR(CH716=1,AA716&lt;&gt;"",U716&lt;&gt;"",V716&lt;&gt;"",AB716&lt;&gt;"")),"manuell übersteuert; ","")&amp;IF(AND(BZ716=0,R716=0),"Gebinde unbekannt / Stellmass fehlt; ","")&amp;IF(AND(BZ716=0,N(V716)&lt;=0,N(Q716)&lt;=0),"Menge pro Gebinde fehlt (Ist = 1 Gebinde); ","")&amp;BU716)</f>
        <v>Kein Verbrauch; Lose – Tablare geschätzt; </v>
      </c>
      <c r="BN716" s="48"/>
      <c r="BO716" s="48"/>
      <c r="BP716" s="55"/>
      <c r="BQ716" s="50" t="n">
        <v>0</v>
      </c>
      <c r="BR716" s="50" t="n">
        <v>0</v>
      </c>
      <c r="BS716" s="49" t="n">
        <v>0</v>
      </c>
      <c r="BT716" s="50" t="n">
        <v>0</v>
      </c>
      <c r="BU716" s="48"/>
      <c r="BV716" s="53" t="n">
        <v>0</v>
      </c>
      <c r="BW716" s="53" t="n">
        <v>716</v>
      </c>
      <c r="BX716" s="48" t="str">
        <f aca="false">IF(U716&lt;&gt;"",UPPER(TRIM(U716)),IF(CA716=1,UPPER(VLOOKUP(T716,Parameter!$I$27:$K$29,2,0)),IF(P716="","LOSE",P716)))</f>
        <v>LOSE</v>
      </c>
      <c r="BY716" s="50" t="n">
        <f aca="false">IF(BX716="LOSE",1,IF(N(V716)&gt;0,V716,IF(CA716=1,MAX(1,N(VLOOKUP(T716,Parameter!$I$27:$K$29,3,0)),H716,N(N716)),IF(N(Q716)&gt;0,Q716,MAX(1,H716)))))</f>
        <v>1</v>
      </c>
      <c r="BZ716" s="53" t="n">
        <f aca="false">IF(BX716="LOSE",1,0)</f>
        <v>1</v>
      </c>
      <c r="CA716" s="53" t="n">
        <f aca="false">IF(AND(U716="",OR(P716="",P716="LOSE"),T716&lt;&gt;"",N(S716)&lt;=0,ISNUMBER(MATCH(T716,Parameter!$I$27:$I$29,0))),1,0)</f>
        <v>0</v>
      </c>
      <c r="CB716" s="53" t="n">
        <f aca="false">IF(CQ716&gt;0,INDEX(Parameter!$H$5:$H$7,W716)/INDEX(Parameter!$E$5:$E$7,W716),IF(AND(BZ716=0,N(IFERROR(VLOOKUP(BX716,'Gebinde-Kategorie'!$A$5:$N$45,14,0),0))&gt;0),VLOOKUP(BX716,'Gebinde-Kategorie'!$A$5:$N$45,14,0)*10+Parameter!$M$23,Parameter!$M$24))</f>
        <v>235</v>
      </c>
      <c r="CC716" s="48" t="str">
        <f aca="false">IF(AND(Parameter!$B$19="Ja",E716&lt;&gt;"",ISNUMBER(MATCH(E716,Parameter!$I$35:$I$52,0))),VLOOKUP(E716,Parameter!$I$35:$J$52,2,0),IFERROR(VLOOKUP(D716,Parameter!$A$35:$C$64,2,0),"Nein"))</f>
        <v>Nein</v>
      </c>
      <c r="CD716" s="52" t="n">
        <f aca="false">IF(BZ716=0,0,IF(N(S716)&gt;0,S716,IFERROR(VLOOKUP(D716,Parameter!$A$35:$C$64,3,0)+0,0)))</f>
        <v>0.15</v>
      </c>
      <c r="CE716" s="48" t="str">
        <f aca="false">IF(AA716&lt;&gt;"",AA716,Z716)</f>
        <v>-</v>
      </c>
      <c r="CF716" s="48" t="str">
        <f aca="false">IF(OR(CE716=1,CE716=2,CE716=3),IF(Parameter!$E$27="Ja","LIFT",IF(CE716=1,"L1","L23")),IF(CE716="Aussen","Aussen","-"))</f>
        <v>-</v>
      </c>
      <c r="CG716" s="59" t="n">
        <f aca="false">IF(N(AB716)&gt;0,AB716,0)</f>
        <v>0</v>
      </c>
      <c r="CH716" s="53" t="n">
        <f aca="false">IF(ISNUMBER(AE716),1,0)</f>
        <v>0</v>
      </c>
      <c r="CI716" s="50" t="n">
        <f aca="false">N(AE716)</f>
        <v>0</v>
      </c>
      <c r="CJ716" s="50" t="n">
        <f aca="false">N(M716)+N(N716)</f>
        <v>10</v>
      </c>
      <c r="CK716" s="50" t="n">
        <f aca="false">N(M716)</f>
        <v>0</v>
      </c>
      <c r="CL716" s="50" t="n">
        <f aca="false">N(N716)</f>
        <v>10</v>
      </c>
      <c r="CM716" s="50" t="n">
        <f aca="false">ROUNDUP(H716/BY716,0)</f>
        <v>0</v>
      </c>
      <c r="CN716" s="50" t="n">
        <f aca="false">ROUNDUP(CI716/BY716,0)</f>
        <v>0</v>
      </c>
      <c r="CO716" s="53" t="n">
        <f aca="false">IF(BZ716=1,0,IFERROR(VLOOKUP(BX716,'Gebinde-Kategorie'!$A$5:$N$45,5,0)+0,0))</f>
        <v>0</v>
      </c>
      <c r="CP716" s="53" t="n">
        <f aca="false">IFERROR(IF(OR(CE716=1,CE716=2,CE716=3),N(INDEX(Parameter!$I$5:$I$7,CE716)),0),0)</f>
        <v>0</v>
      </c>
      <c r="CQ716" s="52" t="n">
        <f aca="false">IF(AND(Parameter!$B$21="Ja",ISNUMBER(W716),N(X716)&gt;0),IFERROR(N(INDEX(Parameter!$L$5:$L$7,W716))*INDEX(Parameter!$E$5:$E$7,W716)*X716/SUMIFS($X$7:$X$1843,$W$7:$W$1843,W716),0),0)</f>
        <v>0</v>
      </c>
    </row>
    <row r="717" customFormat="false" ht="15" hidden="false" customHeight="false" outlineLevel="0" collapsed="false">
      <c r="A717" s="48" t="s">
        <v>1436</v>
      </c>
      <c r="B717" s="48" t="s">
        <v>1437</v>
      </c>
      <c r="C717" s="48" t="s">
        <v>173</v>
      </c>
      <c r="D717" s="48" t="s">
        <v>1004</v>
      </c>
      <c r="E717" s="48"/>
      <c r="F717" s="48" t="s">
        <v>227</v>
      </c>
      <c r="G717" s="49" t="n">
        <v>161.1</v>
      </c>
      <c r="H717" s="50" t="n">
        <f aca="false">MAX(0,IF(AND(Parameter!$B$21="Ja",ISNUMBER(Y717)),Y717,IF(Parameter!$B$20="Jahresanfang 2025 + Export",BR717+BQ717,BQ717)))</f>
        <v>0</v>
      </c>
      <c r="I717" s="50" t="n">
        <f aca="false">H717*G717</f>
        <v>0</v>
      </c>
      <c r="J717" s="50" t="n">
        <f aca="false">BT717*Parameter!$B$18</f>
        <v>0</v>
      </c>
      <c r="K717" s="51" t="n">
        <v>0.5</v>
      </c>
      <c r="L717" s="52" t="n">
        <v>0</v>
      </c>
      <c r="M717" s="50" t="n">
        <v>0</v>
      </c>
      <c r="N717" s="50" t="n">
        <v>1</v>
      </c>
      <c r="O717" s="53" t="n">
        <v>7</v>
      </c>
      <c r="P717" s="48" t="s">
        <v>177</v>
      </c>
      <c r="Q717" s="50"/>
      <c r="R717" s="53" t="n">
        <f aca="false">IF(BZ717=1,0,IFERROR(VLOOKUP(BX717,'Gebinde-Kategorie'!$A$5:$N$45,13,0)+0,0))</f>
        <v>0</v>
      </c>
      <c r="S717" s="54"/>
      <c r="T717" s="55"/>
      <c r="U717" s="55"/>
      <c r="V717" s="55"/>
      <c r="W717" s="48"/>
      <c r="X717" s="50"/>
      <c r="Y717" s="50"/>
      <c r="Z717" s="48" t="str">
        <f aca="false">IF(A717="","",IF(AND(Parameter!$B$21="Ja",ISNUMBER(W717)),W717,IF(CC717="2+3",IF(ISNUMBER(SEARCH("grosser Artikel",BU717)),2,IFERROR(VLOOKUP(BX717,Parameter!$F$35:$G$64,2,0),2)),IF(OR(CC717="Nein",CC717=""),"-",CC717))))</f>
        <v>-</v>
      </c>
      <c r="AA717" s="55"/>
      <c r="AB717" s="56"/>
      <c r="AC717" s="50" t="n">
        <f aca="false">AV717</f>
        <v>1</v>
      </c>
      <c r="AD717" s="50" t="n">
        <f aca="false">MAX(AV717,H717)</f>
        <v>1</v>
      </c>
      <c r="AE717" s="57"/>
      <c r="AF717" s="50" t="n">
        <f aca="false">IF(LEFT(Cockpit!$C$5,1)="A",H717,IF(Parameter!$E$30="MAX-Bestand",IF(CH717=1,CI717,IF(LEFT(Cockpit!$C$5,1)="B",AL717,MAX(AL717,H717))),ROUNDUP(AJ717,0)))</f>
        <v>0</v>
      </c>
      <c r="AG717" s="50" t="n">
        <f aca="false">IF(BZ717=1,0,ROUNDUP(AF717/BY717,0))</f>
        <v>0</v>
      </c>
      <c r="AH717" s="52" t="n">
        <f aca="false">IF(CQ717&gt;0,CQ717*MAX(1,AF717/X717),IF(BZ717=1,IF(AF717&lt;=0,0,CD717*MAX(1,IF(H717&gt;0,AF717/H717,1))),IF(R717&gt;0,AG717/R717,0))/MAX(0.1,N(Parameter!$M$21)))</f>
        <v>0</v>
      </c>
      <c r="AI717" s="50" t="n">
        <f aca="false">AH717*CB717</f>
        <v>0</v>
      </c>
      <c r="AJ717" s="51" t="n">
        <f aca="false">IF(LEFT(Cockpit!$C$5,1)="A",H717,IF(CH717=1,(CK717+CI717)/2,IF(LEFT(Cockpit!$C$5,1)="B",(CK717+AL717)/2,MAX((CK717+AL717)/2,H717))))</f>
        <v>0</v>
      </c>
      <c r="AK717" s="50" t="n">
        <f aca="false">AJ717*G717</f>
        <v>0</v>
      </c>
      <c r="AL717" s="50" t="n">
        <f aca="false">ROUNDUP(CK717+MAX(CL717,2*(J717/IF(CG717&gt;0,CG717,MAX(0.1,N(Cockpit!$C$6)))-CK717)),0)</f>
        <v>1</v>
      </c>
      <c r="AM717" s="51" t="n">
        <f aca="false">IF(AI717&gt;0,J717/AI717,-1)</f>
        <v>-1</v>
      </c>
      <c r="AN717" s="51" t="str">
        <f aca="false">IF(AND(OR(CF717="L1",CF717="L23",CF717="LIFT"),AI717&gt;0),SUMIFS($AI$7:$AI$1843,$CF$7:$CF$1843,CF717,$AM$7:$AM$1843,"&gt;"&amp;AM717)+SUMIFS($AI$7:$AI$1843,$CF$7:$CF$1843,CF717,$AM$7:$AM$1843,AM717,$BW$7:$BW$1843,"&lt;="&amp;BW717),"")</f>
        <v/>
      </c>
      <c r="AO717" s="58" t="n">
        <f aca="false">IF(AN717="",0,MAX(0,MIN(1,(IF(CF717="L1",Parameter!$H$5,IF(CF717="L23",Parameter!$H$6+Parameter!$H$7,Parameter!$H$5+Parameter!$H$6+Parameter!$H$7))-(AN717-AI717))/AI717)))</f>
        <v>0</v>
      </c>
      <c r="AP717" s="50" t="n">
        <f aca="false">IF(LEFT(Cockpit!$I$5,1)="A",H717,IF(Parameter!$E$30="MAX-Bestand",IF(CH717=1,CI717,IF(LEFT(Cockpit!$I$5,1)="B",AV717,MAX(AV717,H717))),ROUNDUP(AT717,0)))</f>
        <v>1</v>
      </c>
      <c r="AQ717" s="50" t="n">
        <f aca="false">IF(BZ717=1,0,ROUNDUP(AP717/BY717,0))</f>
        <v>0</v>
      </c>
      <c r="AR717" s="52" t="n">
        <f aca="false">IF(CQ717&gt;0,CQ717*MAX(1,AP717/X717),IF(BZ717=1,IF(AP717&lt;=0,0,CD717*MAX(1,IF(H717&gt;0,AP717/H717,1))),IF(R717&gt;0,AQ717/R717,0))/MAX(0.1,N(Parameter!$M$21)))</f>
        <v>0.15</v>
      </c>
      <c r="AS717" s="50" t="n">
        <f aca="false">AR717*CB717</f>
        <v>35.25</v>
      </c>
      <c r="AT717" s="51" t="n">
        <f aca="false">IF(LEFT(Cockpit!$I$5,1)="A",H717,IF(CH717=1,(CK717+CI717)/2,IF(LEFT(Cockpit!$I$5,1)="B",(CK717+AV717)/2,MAX((CK717+AV717)/2,H717))))</f>
        <v>0.5</v>
      </c>
      <c r="AU717" s="50" t="n">
        <f aca="false">AT717*G717</f>
        <v>80.55</v>
      </c>
      <c r="AV717" s="50" t="n">
        <f aca="false">ROUNDUP(CK717+MAX(CL717,2*(J717/IF(CG717&gt;0,CG717,MAX(0.1,N(Cockpit!$I$6)))-CK717)),0)</f>
        <v>1</v>
      </c>
      <c r="AW717" s="51" t="n">
        <f aca="false">IF(AS717&gt;0,J717/AS717,-1)</f>
        <v>0</v>
      </c>
      <c r="AX717" s="51" t="str">
        <f aca="false">IF(AND(OR(CF717="L1",CF717="L23",CF717="LIFT"),AS717&gt;0),SUMIFS($AS$7:$AS$1843,$CF$7:$CF$1843,CF717,$AW$7:$AW$1843,"&gt;"&amp;AW717)+SUMIFS($AS$7:$AS$1843,$CF$7:$CF$1843,CF717,$AW$7:$AW$1843,AW717,$BW$7:$BW$1843,"&lt;="&amp;BW717),"")</f>
        <v/>
      </c>
      <c r="AY717" s="58" t="n">
        <f aca="false">IF(AX717="",0,MAX(0,MIN(1,(IF(CF717="L1",Parameter!$H$5,IF(CF717="L23",Parameter!$H$6+Parameter!$H$7,Parameter!$H$5+Parameter!$H$6+Parameter!$H$7))-(AX717-AS717))/AS717)))</f>
        <v>0</v>
      </c>
      <c r="AZ717" s="50" t="n">
        <f aca="false">IF(LEFT(Cockpit!$O$5,1)="A",H717,IF(Parameter!$E$30="MAX-Bestand",IF(CH717=1,CI717,IF(LEFT(Cockpit!$O$5,1)="B",BF717,MAX(BF717,H717))),ROUNDUP(BD717,0)))</f>
        <v>1</v>
      </c>
      <c r="BA717" s="50" t="n">
        <f aca="false">IF(BZ717=1,0,ROUNDUP(AZ717/BY717,0))</f>
        <v>0</v>
      </c>
      <c r="BB717" s="52" t="n">
        <f aca="false">IF(CQ717&gt;0,CQ717*MAX(1,AZ717/X717),IF(BZ717=1,IF(AZ717&lt;=0,0,CD717*MAX(1,IF(H717&gt;0,AZ717/H717,1))),IF(R717&gt;0,BA717/R717,0))/MAX(0.1,N(Parameter!$M$21)))</f>
        <v>0.15</v>
      </c>
      <c r="BC717" s="50" t="n">
        <f aca="false">BB717*CB717</f>
        <v>35.25</v>
      </c>
      <c r="BD717" s="51" t="n">
        <f aca="false">IF(LEFT(Cockpit!$O$5,1)="A",H717,IF(CH717=1,(CK717+CI717)/2,IF(LEFT(Cockpit!$O$5,1)="B",(CK717+BF717)/2,MAX((CK717+BF717)/2,H717))))</f>
        <v>0.5</v>
      </c>
      <c r="BE717" s="50" t="n">
        <f aca="false">BD717*G717</f>
        <v>80.55</v>
      </c>
      <c r="BF717" s="50" t="n">
        <f aca="false">ROUNDUP(CK717+MAX(CL717,2*(J717/IF(CG717&gt;0,CG717,MAX(0.1,N(Cockpit!$O$6)))-CK717)),0)</f>
        <v>1</v>
      </c>
      <c r="BG717" s="51" t="n">
        <f aca="false">IF(BC717&gt;0,J717/BC717,-1)</f>
        <v>0</v>
      </c>
      <c r="BH717" s="51" t="str">
        <f aca="false">IF(AND(OR(CF717="L1",CF717="L23",CF717="LIFT"),BC717&gt;0),SUMIFS($BC$7:$BC$1843,$CF$7:$CF$1843,CF717,$BG$7:$BG$1843,"&gt;"&amp;BG717)+SUMIFS($BC$7:$BC$1843,$CF$7:$CF$1843,CF717,$BG$7:$BG$1843,BG717,$BW$7:$BW$1843,"&lt;="&amp;BW717),"")</f>
        <v/>
      </c>
      <c r="BI717" s="58" t="n">
        <f aca="false">IF(BH717="",0,MAX(0,MIN(1,(IF(CF717="L1",Parameter!$H$5,IF(CF717="L23",Parameter!$H$6+Parameter!$H$7,Parameter!$H$5+Parameter!$H$6+Parameter!$H$7))-(BH717-BC717))/BC717)))</f>
        <v>0</v>
      </c>
      <c r="BJ717" s="48" t="str">
        <f aca="false">IF(AI717&lt;=0,"",IF(CF717="Aussen","Aussenlager",IF(CF717="-","Nicht im Lift",IF(AO717&gt;=1,"Lift",IF(AO717&lt;=0,"Aussenlager","teilweise")))))</f>
        <v/>
      </c>
      <c r="BK717" s="48" t="str">
        <f aca="false">IF(AS717&lt;=0,"",IF(CF717="Aussen","Aussenlager",IF(CF717="-","Nicht im Lift",IF(AY717&gt;=1,"Lift",IF(AY717&lt;=0,"Aussenlager","teilweise")))))</f>
        <v>Nicht im Lift</v>
      </c>
      <c r="BL717" s="48" t="str">
        <f aca="false">IF(BC717&lt;=0,"",IF(CF717="Aussen","Aussenlager",IF(CF717="-","Nicht im Lift",IF(BI717&gt;=1,"Lift",IF(BI717&lt;=0,"Aussenlager","teilweise")))))</f>
        <v>Nicht im Lift</v>
      </c>
      <c r="BM717" s="48" t="str">
        <f aca="false">IF(A717="","",IF(BV717=1,"Neu; ","")&amp;IF(AND(BV717=0,BQ717&lt;0),"negativer Bestand (Export "&amp;BQ717&amp;"); ","")&amp;IF(J717&lt;=0,"Kein Verbrauch; ","")&amp;IF(CQ717&gt;0,"Lift "&amp;W717&amp;" lt. Liftbericht (Fach "&amp;X717&amp;" Stk); ",IF(CA717=1,"Gebinde geschätzt ("&amp;T717&amp;"); ",IF(BZ717=1,"Lose – Tablare geschätzt; ","")))&amp;IF(H717&gt;AV717,"Überbestand "&amp;ROUND(H717-AV717,0)&amp;" Stk / CHF "&amp;ROUND((H717-AV717)*G717,0)&amp;"; ","")&amp;IF(AND(CH717=1,CI717&lt;CJ717),"MAX &lt; MB+LG; ","")&amp;IF(AND(CP717&gt;0,CO717*10&gt;CP717),"zu hoch für Tablar; ","")&amp;IF(AND(BV717=0,OR(CH717=1,AA717&lt;&gt;"",U717&lt;&gt;"",V717&lt;&gt;"",AB717&lt;&gt;"")),"manuell übersteuert; ","")&amp;IF(AND(BZ717=0,R717=0),"Gebinde unbekannt / Stellmass fehlt; ","")&amp;IF(AND(BZ717=0,N(V717)&lt;=0,N(Q717)&lt;=0),"Menge pro Gebinde fehlt (Ist = 1 Gebinde); ","")&amp;BU717)</f>
        <v>Kein Verbrauch; Lose – Tablare geschätzt; </v>
      </c>
      <c r="BN717" s="48"/>
      <c r="BO717" s="48"/>
      <c r="BP717" s="55"/>
      <c r="BQ717" s="50" t="n">
        <v>0</v>
      </c>
      <c r="BR717" s="50" t="n">
        <v>0</v>
      </c>
      <c r="BS717" s="49" t="n">
        <v>0</v>
      </c>
      <c r="BT717" s="50" t="n">
        <v>0</v>
      </c>
      <c r="BU717" s="48"/>
      <c r="BV717" s="53" t="n">
        <v>0</v>
      </c>
      <c r="BW717" s="53" t="n">
        <v>717</v>
      </c>
      <c r="BX717" s="48" t="str">
        <f aca="false">IF(U717&lt;&gt;"",UPPER(TRIM(U717)),IF(CA717=1,UPPER(VLOOKUP(T717,Parameter!$I$27:$K$29,2,0)),IF(P717="","LOSE",P717)))</f>
        <v>LOSE</v>
      </c>
      <c r="BY717" s="50" t="n">
        <f aca="false">IF(BX717="LOSE",1,IF(N(V717)&gt;0,V717,IF(CA717=1,MAX(1,N(VLOOKUP(T717,Parameter!$I$27:$K$29,3,0)),H717,N(N717)),IF(N(Q717)&gt;0,Q717,MAX(1,H717)))))</f>
        <v>1</v>
      </c>
      <c r="BZ717" s="53" t="n">
        <f aca="false">IF(BX717="LOSE",1,0)</f>
        <v>1</v>
      </c>
      <c r="CA717" s="53" t="n">
        <f aca="false">IF(AND(U717="",OR(P717="",P717="LOSE"),T717&lt;&gt;"",N(S717)&lt;=0,ISNUMBER(MATCH(T717,Parameter!$I$27:$I$29,0))),1,0)</f>
        <v>0</v>
      </c>
      <c r="CB717" s="53" t="n">
        <f aca="false">IF(CQ717&gt;0,INDEX(Parameter!$H$5:$H$7,W717)/INDEX(Parameter!$E$5:$E$7,W717),IF(AND(BZ717=0,N(IFERROR(VLOOKUP(BX717,'Gebinde-Kategorie'!$A$5:$N$45,14,0),0))&gt;0),VLOOKUP(BX717,'Gebinde-Kategorie'!$A$5:$N$45,14,0)*10+Parameter!$M$23,Parameter!$M$24))</f>
        <v>235</v>
      </c>
      <c r="CC717" s="48" t="str">
        <f aca="false">IF(AND(Parameter!$B$19="Ja",E717&lt;&gt;"",ISNUMBER(MATCH(E717,Parameter!$I$35:$I$52,0))),VLOOKUP(E717,Parameter!$I$35:$J$52,2,0),IFERROR(VLOOKUP(D717,Parameter!$A$35:$C$64,2,0),"Nein"))</f>
        <v>Nein</v>
      </c>
      <c r="CD717" s="52" t="n">
        <f aca="false">IF(BZ717=0,0,IF(N(S717)&gt;0,S717,IFERROR(VLOOKUP(D717,Parameter!$A$35:$C$64,3,0)+0,0)))</f>
        <v>0.15</v>
      </c>
      <c r="CE717" s="48" t="str">
        <f aca="false">IF(AA717&lt;&gt;"",AA717,Z717)</f>
        <v>-</v>
      </c>
      <c r="CF717" s="48" t="str">
        <f aca="false">IF(OR(CE717=1,CE717=2,CE717=3),IF(Parameter!$E$27="Ja","LIFT",IF(CE717=1,"L1","L23")),IF(CE717="Aussen","Aussen","-"))</f>
        <v>-</v>
      </c>
      <c r="CG717" s="59" t="n">
        <f aca="false">IF(N(AB717)&gt;0,AB717,0)</f>
        <v>0</v>
      </c>
      <c r="CH717" s="53" t="n">
        <f aca="false">IF(ISNUMBER(AE717),1,0)</f>
        <v>0</v>
      </c>
      <c r="CI717" s="50" t="n">
        <f aca="false">N(AE717)</f>
        <v>0</v>
      </c>
      <c r="CJ717" s="50" t="n">
        <f aca="false">N(M717)+N(N717)</f>
        <v>1</v>
      </c>
      <c r="CK717" s="50" t="n">
        <f aca="false">N(M717)</f>
        <v>0</v>
      </c>
      <c r="CL717" s="50" t="n">
        <f aca="false">N(N717)</f>
        <v>1</v>
      </c>
      <c r="CM717" s="50" t="n">
        <f aca="false">ROUNDUP(H717/BY717,0)</f>
        <v>0</v>
      </c>
      <c r="CN717" s="50" t="n">
        <f aca="false">ROUNDUP(CI717/BY717,0)</f>
        <v>0</v>
      </c>
      <c r="CO717" s="53" t="n">
        <f aca="false">IF(BZ717=1,0,IFERROR(VLOOKUP(BX717,'Gebinde-Kategorie'!$A$5:$N$45,5,0)+0,0))</f>
        <v>0</v>
      </c>
      <c r="CP717" s="53" t="n">
        <f aca="false">IFERROR(IF(OR(CE717=1,CE717=2,CE717=3),N(INDEX(Parameter!$I$5:$I$7,CE717)),0),0)</f>
        <v>0</v>
      </c>
      <c r="CQ717" s="52" t="n">
        <f aca="false">IF(AND(Parameter!$B$21="Ja",ISNUMBER(W717),N(X717)&gt;0),IFERROR(N(INDEX(Parameter!$L$5:$L$7,W717))*INDEX(Parameter!$E$5:$E$7,W717)*X717/SUMIFS($X$7:$X$1843,$W$7:$W$1843,W717),0),0)</f>
        <v>0</v>
      </c>
    </row>
    <row r="718" customFormat="false" ht="15" hidden="false" customHeight="false" outlineLevel="0" collapsed="false">
      <c r="A718" s="48" t="s">
        <v>1438</v>
      </c>
      <c r="B718" s="48" t="s">
        <v>553</v>
      </c>
      <c r="C718" s="48" t="s">
        <v>173</v>
      </c>
      <c r="D718" s="48" t="s">
        <v>1004</v>
      </c>
      <c r="E718" s="48"/>
      <c r="F718" s="48" t="s">
        <v>227</v>
      </c>
      <c r="G718" s="49" t="n">
        <v>27.2</v>
      </c>
      <c r="H718" s="50" t="n">
        <f aca="false">MAX(0,IF(AND(Parameter!$B$21="Ja",ISNUMBER(Y718)),Y718,IF(Parameter!$B$20="Jahresanfang 2025 + Export",BR718+BQ718,BQ718)))</f>
        <v>1</v>
      </c>
      <c r="I718" s="50" t="n">
        <f aca="false">H718*G718</f>
        <v>27.2</v>
      </c>
      <c r="J718" s="50" t="n">
        <f aca="false">BT718*Parameter!$B$18</f>
        <v>0</v>
      </c>
      <c r="K718" s="51" t="n">
        <v>0.5</v>
      </c>
      <c r="L718" s="52" t="n">
        <v>0</v>
      </c>
      <c r="M718" s="50" t="n">
        <v>0</v>
      </c>
      <c r="N718" s="50" t="n">
        <v>10</v>
      </c>
      <c r="O718" s="53" t="n">
        <v>28</v>
      </c>
      <c r="P718" s="48" t="s">
        <v>177</v>
      </c>
      <c r="Q718" s="50"/>
      <c r="R718" s="53" t="n">
        <f aca="false">IF(BZ718=1,0,IFERROR(VLOOKUP(BX718,'Gebinde-Kategorie'!$A$5:$N$45,13,0)+0,0))</f>
        <v>0</v>
      </c>
      <c r="S718" s="54"/>
      <c r="T718" s="55"/>
      <c r="U718" s="55"/>
      <c r="V718" s="55"/>
      <c r="W718" s="48"/>
      <c r="X718" s="50"/>
      <c r="Y718" s="50"/>
      <c r="Z718" s="48" t="str">
        <f aca="false">IF(A718="","",IF(AND(Parameter!$B$21="Ja",ISNUMBER(W718)),W718,IF(CC718="2+3",IF(ISNUMBER(SEARCH("grosser Artikel",BU718)),2,IFERROR(VLOOKUP(BX718,Parameter!$F$35:$G$64,2,0),2)),IF(OR(CC718="Nein",CC718=""),"-",CC718))))</f>
        <v>-</v>
      </c>
      <c r="AA718" s="55"/>
      <c r="AB718" s="56"/>
      <c r="AC718" s="50" t="n">
        <f aca="false">AV718</f>
        <v>10</v>
      </c>
      <c r="AD718" s="50" t="n">
        <f aca="false">MAX(AV718,H718)</f>
        <v>10</v>
      </c>
      <c r="AE718" s="57"/>
      <c r="AF718" s="50" t="n">
        <f aca="false">IF(LEFT(Cockpit!$C$5,1)="A",H718,IF(Parameter!$E$30="MAX-Bestand",IF(CH718=1,CI718,IF(LEFT(Cockpit!$C$5,1)="B",AL718,MAX(AL718,H718))),ROUNDUP(AJ718,0)))</f>
        <v>1</v>
      </c>
      <c r="AG718" s="50" t="n">
        <f aca="false">IF(BZ718=1,0,ROUNDUP(AF718/BY718,0))</f>
        <v>0</v>
      </c>
      <c r="AH718" s="52" t="n">
        <f aca="false">IF(CQ718&gt;0,CQ718*MAX(1,AF718/X718),IF(BZ718=1,IF(AF718&lt;=0,0,CD718*MAX(1,IF(H718&gt;0,AF718/H718,1))),IF(R718&gt;0,AG718/R718,0))/MAX(0.1,N(Parameter!$M$21)))</f>
        <v>0.15</v>
      </c>
      <c r="AI718" s="50" t="n">
        <f aca="false">AH718*CB718</f>
        <v>35.25</v>
      </c>
      <c r="AJ718" s="51" t="n">
        <f aca="false">IF(LEFT(Cockpit!$C$5,1)="A",H718,IF(CH718=1,(CK718+CI718)/2,IF(LEFT(Cockpit!$C$5,1)="B",(CK718+AL718)/2,MAX((CK718+AL718)/2,H718))))</f>
        <v>1</v>
      </c>
      <c r="AK718" s="50" t="n">
        <f aca="false">AJ718*G718</f>
        <v>27.2</v>
      </c>
      <c r="AL718" s="50" t="n">
        <f aca="false">ROUNDUP(CK718+MAX(CL718,2*(J718/IF(CG718&gt;0,CG718,MAX(0.1,N(Cockpit!$C$6)))-CK718)),0)</f>
        <v>10</v>
      </c>
      <c r="AM718" s="51" t="n">
        <f aca="false">IF(AI718&gt;0,J718/AI718,-1)</f>
        <v>0</v>
      </c>
      <c r="AN718" s="51" t="str">
        <f aca="false">IF(AND(OR(CF718="L1",CF718="L23",CF718="LIFT"),AI718&gt;0),SUMIFS($AI$7:$AI$1843,$CF$7:$CF$1843,CF718,$AM$7:$AM$1843,"&gt;"&amp;AM718)+SUMIFS($AI$7:$AI$1843,$CF$7:$CF$1843,CF718,$AM$7:$AM$1843,AM718,$BW$7:$BW$1843,"&lt;="&amp;BW718),"")</f>
        <v/>
      </c>
      <c r="AO718" s="58" t="n">
        <f aca="false">IF(AN718="",0,MAX(0,MIN(1,(IF(CF718="L1",Parameter!$H$5,IF(CF718="L23",Parameter!$H$6+Parameter!$H$7,Parameter!$H$5+Parameter!$H$6+Parameter!$H$7))-(AN718-AI718))/AI718)))</f>
        <v>0</v>
      </c>
      <c r="AP718" s="50" t="n">
        <f aca="false">IF(LEFT(Cockpit!$I$5,1)="A",H718,IF(Parameter!$E$30="MAX-Bestand",IF(CH718=1,CI718,IF(LEFT(Cockpit!$I$5,1)="B",AV718,MAX(AV718,H718))),ROUNDUP(AT718,0)))</f>
        <v>5</v>
      </c>
      <c r="AQ718" s="50" t="n">
        <f aca="false">IF(BZ718=1,0,ROUNDUP(AP718/BY718,0))</f>
        <v>0</v>
      </c>
      <c r="AR718" s="52" t="n">
        <f aca="false">IF(CQ718&gt;0,CQ718*MAX(1,AP718/X718),IF(BZ718=1,IF(AP718&lt;=0,0,CD718*MAX(1,IF(H718&gt;0,AP718/H718,1))),IF(R718&gt;0,AQ718/R718,0))/MAX(0.1,N(Parameter!$M$21)))</f>
        <v>0.75</v>
      </c>
      <c r="AS718" s="50" t="n">
        <f aca="false">AR718*CB718</f>
        <v>176.25</v>
      </c>
      <c r="AT718" s="51" t="n">
        <f aca="false">IF(LEFT(Cockpit!$I$5,1)="A",H718,IF(CH718=1,(CK718+CI718)/2,IF(LEFT(Cockpit!$I$5,1)="B",(CK718+AV718)/2,MAX((CK718+AV718)/2,H718))))</f>
        <v>5</v>
      </c>
      <c r="AU718" s="50" t="n">
        <f aca="false">AT718*G718</f>
        <v>136</v>
      </c>
      <c r="AV718" s="50" t="n">
        <f aca="false">ROUNDUP(CK718+MAX(CL718,2*(J718/IF(CG718&gt;0,CG718,MAX(0.1,N(Cockpit!$I$6)))-CK718)),0)</f>
        <v>10</v>
      </c>
      <c r="AW718" s="51" t="n">
        <f aca="false">IF(AS718&gt;0,J718/AS718,-1)</f>
        <v>0</v>
      </c>
      <c r="AX718" s="51" t="str">
        <f aca="false">IF(AND(OR(CF718="L1",CF718="L23",CF718="LIFT"),AS718&gt;0),SUMIFS($AS$7:$AS$1843,$CF$7:$CF$1843,CF718,$AW$7:$AW$1843,"&gt;"&amp;AW718)+SUMIFS($AS$7:$AS$1843,$CF$7:$CF$1843,CF718,$AW$7:$AW$1843,AW718,$BW$7:$BW$1843,"&lt;="&amp;BW718),"")</f>
        <v/>
      </c>
      <c r="AY718" s="58" t="n">
        <f aca="false">IF(AX718="",0,MAX(0,MIN(1,(IF(CF718="L1",Parameter!$H$5,IF(CF718="L23",Parameter!$H$6+Parameter!$H$7,Parameter!$H$5+Parameter!$H$6+Parameter!$H$7))-(AX718-AS718))/AS718)))</f>
        <v>0</v>
      </c>
      <c r="AZ718" s="50" t="n">
        <f aca="false">IF(LEFT(Cockpit!$O$5,1)="A",H718,IF(Parameter!$E$30="MAX-Bestand",IF(CH718=1,CI718,IF(LEFT(Cockpit!$O$5,1)="B",BF718,MAX(BF718,H718))),ROUNDUP(BD718,0)))</f>
        <v>5</v>
      </c>
      <c r="BA718" s="50" t="n">
        <f aca="false">IF(BZ718=1,0,ROUNDUP(AZ718/BY718,0))</f>
        <v>0</v>
      </c>
      <c r="BB718" s="52" t="n">
        <f aca="false">IF(CQ718&gt;0,CQ718*MAX(1,AZ718/X718),IF(BZ718=1,IF(AZ718&lt;=0,0,CD718*MAX(1,IF(H718&gt;0,AZ718/H718,1))),IF(R718&gt;0,BA718/R718,0))/MAX(0.1,N(Parameter!$M$21)))</f>
        <v>0.75</v>
      </c>
      <c r="BC718" s="50" t="n">
        <f aca="false">BB718*CB718</f>
        <v>176.25</v>
      </c>
      <c r="BD718" s="51" t="n">
        <f aca="false">IF(LEFT(Cockpit!$O$5,1)="A",H718,IF(CH718=1,(CK718+CI718)/2,IF(LEFT(Cockpit!$O$5,1)="B",(CK718+BF718)/2,MAX((CK718+BF718)/2,H718))))</f>
        <v>5</v>
      </c>
      <c r="BE718" s="50" t="n">
        <f aca="false">BD718*G718</f>
        <v>136</v>
      </c>
      <c r="BF718" s="50" t="n">
        <f aca="false">ROUNDUP(CK718+MAX(CL718,2*(J718/IF(CG718&gt;0,CG718,MAX(0.1,N(Cockpit!$O$6)))-CK718)),0)</f>
        <v>10</v>
      </c>
      <c r="BG718" s="51" t="n">
        <f aca="false">IF(BC718&gt;0,J718/BC718,-1)</f>
        <v>0</v>
      </c>
      <c r="BH718" s="51" t="str">
        <f aca="false">IF(AND(OR(CF718="L1",CF718="L23",CF718="LIFT"),BC718&gt;0),SUMIFS($BC$7:$BC$1843,$CF$7:$CF$1843,CF718,$BG$7:$BG$1843,"&gt;"&amp;BG718)+SUMIFS($BC$7:$BC$1843,$CF$7:$CF$1843,CF718,$BG$7:$BG$1843,BG718,$BW$7:$BW$1843,"&lt;="&amp;BW718),"")</f>
        <v/>
      </c>
      <c r="BI718" s="58" t="n">
        <f aca="false">IF(BH718="",0,MAX(0,MIN(1,(IF(CF718="L1",Parameter!$H$5,IF(CF718="L23",Parameter!$H$6+Parameter!$H$7,Parameter!$H$5+Parameter!$H$6+Parameter!$H$7))-(BH718-BC718))/BC718)))</f>
        <v>0</v>
      </c>
      <c r="BJ718" s="48" t="str">
        <f aca="false">IF(AI718&lt;=0,"",IF(CF718="Aussen","Aussenlager",IF(CF718="-","Nicht im Lift",IF(AO718&gt;=1,"Lift",IF(AO718&lt;=0,"Aussenlager","teilweise")))))</f>
        <v>Nicht im Lift</v>
      </c>
      <c r="BK718" s="48" t="str">
        <f aca="false">IF(AS718&lt;=0,"",IF(CF718="Aussen","Aussenlager",IF(CF718="-","Nicht im Lift",IF(AY718&gt;=1,"Lift",IF(AY718&lt;=0,"Aussenlager","teilweise")))))</f>
        <v>Nicht im Lift</v>
      </c>
      <c r="BL718" s="48" t="str">
        <f aca="false">IF(BC718&lt;=0,"",IF(CF718="Aussen","Aussenlager",IF(CF718="-","Nicht im Lift",IF(BI718&gt;=1,"Lift",IF(BI718&lt;=0,"Aussenlager","teilweise")))))</f>
        <v>Nicht im Lift</v>
      </c>
      <c r="BM718" s="48" t="str">
        <f aca="false">IF(A718="","",IF(BV718=1,"Neu; ","")&amp;IF(AND(BV718=0,BQ718&lt;0),"negativer Bestand (Export "&amp;BQ718&amp;"); ","")&amp;IF(J718&lt;=0,"Kein Verbrauch; ","")&amp;IF(CQ718&gt;0,"Lift "&amp;W718&amp;" lt. Liftbericht (Fach "&amp;X718&amp;" Stk); ",IF(CA718=1,"Gebinde geschätzt ("&amp;T718&amp;"); ",IF(BZ718=1,"Lose – Tablare geschätzt; ","")))&amp;IF(H718&gt;AV718,"Überbestand "&amp;ROUND(H718-AV718,0)&amp;" Stk / CHF "&amp;ROUND((H718-AV718)*G718,0)&amp;"; ","")&amp;IF(AND(CH718=1,CI718&lt;CJ718),"MAX &lt; MB+LG; ","")&amp;IF(AND(CP718&gt;0,CO718*10&gt;CP718),"zu hoch für Tablar; ","")&amp;IF(AND(BV718=0,OR(CH718=1,AA718&lt;&gt;"",U718&lt;&gt;"",V718&lt;&gt;"",AB718&lt;&gt;"")),"manuell übersteuert; ","")&amp;IF(AND(BZ718=0,R718=0),"Gebinde unbekannt / Stellmass fehlt; ","")&amp;IF(AND(BZ718=0,N(V718)&lt;=0,N(Q718)&lt;=0),"Menge pro Gebinde fehlt (Ist = 1 Gebinde); ","")&amp;BU718)</f>
        <v>Kein Verbrauch; Lose – Tablare geschätzt; </v>
      </c>
      <c r="BN718" s="48"/>
      <c r="BO718" s="48"/>
      <c r="BP718" s="55"/>
      <c r="BQ718" s="50" t="n">
        <v>1</v>
      </c>
      <c r="BR718" s="50" t="n">
        <v>0</v>
      </c>
      <c r="BS718" s="49" t="n">
        <v>0</v>
      </c>
      <c r="BT718" s="50" t="n">
        <v>0</v>
      </c>
      <c r="BU718" s="48"/>
      <c r="BV718" s="53" t="n">
        <v>0</v>
      </c>
      <c r="BW718" s="53" t="n">
        <v>718</v>
      </c>
      <c r="BX718" s="48" t="str">
        <f aca="false">IF(U718&lt;&gt;"",UPPER(TRIM(U718)),IF(CA718=1,UPPER(VLOOKUP(T718,Parameter!$I$27:$K$29,2,0)),IF(P718="","LOSE",P718)))</f>
        <v>LOSE</v>
      </c>
      <c r="BY718" s="50" t="n">
        <f aca="false">IF(BX718="LOSE",1,IF(N(V718)&gt;0,V718,IF(CA718=1,MAX(1,N(VLOOKUP(T718,Parameter!$I$27:$K$29,3,0)),H718,N(N718)),IF(N(Q718)&gt;0,Q718,MAX(1,H718)))))</f>
        <v>1</v>
      </c>
      <c r="BZ718" s="53" t="n">
        <f aca="false">IF(BX718="LOSE",1,0)</f>
        <v>1</v>
      </c>
      <c r="CA718" s="53" t="n">
        <f aca="false">IF(AND(U718="",OR(P718="",P718="LOSE"),T718&lt;&gt;"",N(S718)&lt;=0,ISNUMBER(MATCH(T718,Parameter!$I$27:$I$29,0))),1,0)</f>
        <v>0</v>
      </c>
      <c r="CB718" s="53" t="n">
        <f aca="false">IF(CQ718&gt;0,INDEX(Parameter!$H$5:$H$7,W718)/INDEX(Parameter!$E$5:$E$7,W718),IF(AND(BZ718=0,N(IFERROR(VLOOKUP(BX718,'Gebinde-Kategorie'!$A$5:$N$45,14,0),0))&gt;0),VLOOKUP(BX718,'Gebinde-Kategorie'!$A$5:$N$45,14,0)*10+Parameter!$M$23,Parameter!$M$24))</f>
        <v>235</v>
      </c>
      <c r="CC718" s="48" t="str">
        <f aca="false">IF(AND(Parameter!$B$19="Ja",E718&lt;&gt;"",ISNUMBER(MATCH(E718,Parameter!$I$35:$I$52,0))),VLOOKUP(E718,Parameter!$I$35:$J$52,2,0),IFERROR(VLOOKUP(D718,Parameter!$A$35:$C$64,2,0),"Nein"))</f>
        <v>Nein</v>
      </c>
      <c r="CD718" s="52" t="n">
        <f aca="false">IF(BZ718=0,0,IF(N(S718)&gt;0,S718,IFERROR(VLOOKUP(D718,Parameter!$A$35:$C$64,3,0)+0,0)))</f>
        <v>0.15</v>
      </c>
      <c r="CE718" s="48" t="str">
        <f aca="false">IF(AA718&lt;&gt;"",AA718,Z718)</f>
        <v>-</v>
      </c>
      <c r="CF718" s="48" t="str">
        <f aca="false">IF(OR(CE718=1,CE718=2,CE718=3),IF(Parameter!$E$27="Ja","LIFT",IF(CE718=1,"L1","L23")),IF(CE718="Aussen","Aussen","-"))</f>
        <v>-</v>
      </c>
      <c r="CG718" s="59" t="n">
        <f aca="false">IF(N(AB718)&gt;0,AB718,0)</f>
        <v>0</v>
      </c>
      <c r="CH718" s="53" t="n">
        <f aca="false">IF(ISNUMBER(AE718),1,0)</f>
        <v>0</v>
      </c>
      <c r="CI718" s="50" t="n">
        <f aca="false">N(AE718)</f>
        <v>0</v>
      </c>
      <c r="CJ718" s="50" t="n">
        <f aca="false">N(M718)+N(N718)</f>
        <v>10</v>
      </c>
      <c r="CK718" s="50" t="n">
        <f aca="false">N(M718)</f>
        <v>0</v>
      </c>
      <c r="CL718" s="50" t="n">
        <f aca="false">N(N718)</f>
        <v>10</v>
      </c>
      <c r="CM718" s="50" t="n">
        <f aca="false">ROUNDUP(H718/BY718,0)</f>
        <v>1</v>
      </c>
      <c r="CN718" s="50" t="n">
        <f aca="false">ROUNDUP(CI718/BY718,0)</f>
        <v>0</v>
      </c>
      <c r="CO718" s="53" t="n">
        <f aca="false">IF(BZ718=1,0,IFERROR(VLOOKUP(BX718,'Gebinde-Kategorie'!$A$5:$N$45,5,0)+0,0))</f>
        <v>0</v>
      </c>
      <c r="CP718" s="53" t="n">
        <f aca="false">IFERROR(IF(OR(CE718=1,CE718=2,CE718=3),N(INDEX(Parameter!$I$5:$I$7,CE718)),0),0)</f>
        <v>0</v>
      </c>
      <c r="CQ718" s="52" t="n">
        <f aca="false">IF(AND(Parameter!$B$21="Ja",ISNUMBER(W718),N(X718)&gt;0),IFERROR(N(INDEX(Parameter!$L$5:$L$7,W718))*INDEX(Parameter!$E$5:$E$7,W718)*X718/SUMIFS($X$7:$X$1843,$W$7:$W$1843,W718),0),0)</f>
        <v>0</v>
      </c>
    </row>
    <row r="719" customFormat="false" ht="15" hidden="false" customHeight="false" outlineLevel="0" collapsed="false">
      <c r="A719" s="48" t="s">
        <v>1439</v>
      </c>
      <c r="B719" s="48" t="s">
        <v>663</v>
      </c>
      <c r="C719" s="48" t="s">
        <v>173</v>
      </c>
      <c r="D719" s="48" t="s">
        <v>193</v>
      </c>
      <c r="E719" s="48" t="s">
        <v>194</v>
      </c>
      <c r="F719" s="48" t="s">
        <v>227</v>
      </c>
      <c r="G719" s="49" t="n">
        <v>0.39</v>
      </c>
      <c r="H719" s="50" t="n">
        <f aca="false">MAX(0,IF(AND(Parameter!$B$21="Ja",ISNUMBER(Y719)),Y719,IF(Parameter!$B$20="Jahresanfang 2025 + Export",BR719+BQ719,BQ719)))</f>
        <v>22</v>
      </c>
      <c r="I719" s="50" t="n">
        <f aca="false">H719*G719</f>
        <v>8.58</v>
      </c>
      <c r="J719" s="50" t="n">
        <f aca="false">BT719*Parameter!$B$18</f>
        <v>2</v>
      </c>
      <c r="K719" s="51" t="n">
        <v>21</v>
      </c>
      <c r="L719" s="52" t="n">
        <v>0.0952380952380952</v>
      </c>
      <c r="M719" s="50" t="n">
        <v>0</v>
      </c>
      <c r="N719" s="50" t="n">
        <v>1</v>
      </c>
      <c r="O719" s="53" t="n">
        <v>21</v>
      </c>
      <c r="P719" s="48" t="s">
        <v>410</v>
      </c>
      <c r="Q719" s="50" t="n">
        <v>36</v>
      </c>
      <c r="R719" s="53" t="n">
        <f aca="false">IF(BZ719=1,0,IFERROR(VLOOKUP(BX719,'Gebinde-Kategorie'!$A$5:$N$45,13,0)+0,0))</f>
        <v>280</v>
      </c>
      <c r="S719" s="54"/>
      <c r="T719" s="55"/>
      <c r="U719" s="55"/>
      <c r="V719" s="55"/>
      <c r="W719" s="48"/>
      <c r="X719" s="50"/>
      <c r="Y719" s="50"/>
      <c r="Z719" s="48" t="n">
        <f aca="false">IF(A719="","",IF(AND(Parameter!$B$21="Ja",ISNUMBER(W719)),W719,IF(CC719="2+3",IF(ISNUMBER(SEARCH("grosser Artikel",BU719)),2,IFERROR(VLOOKUP(BX719,Parameter!$F$35:$G$64,2,0),2)),IF(OR(CC719="Nein",CC719=""),"-",CC719))))</f>
        <v>3</v>
      </c>
      <c r="AA719" s="55"/>
      <c r="AB719" s="56"/>
      <c r="AC719" s="50" t="n">
        <f aca="false">AV719</f>
        <v>2</v>
      </c>
      <c r="AD719" s="50" t="n">
        <f aca="false">MAX(AV719,H719)</f>
        <v>22</v>
      </c>
      <c r="AE719" s="57"/>
      <c r="AF719" s="50" t="n">
        <f aca="false">IF(LEFT(Cockpit!$C$5,1)="A",H719,IF(Parameter!$E$30="MAX-Bestand",IF(CH719=1,CI719,IF(LEFT(Cockpit!$C$5,1)="B",AL719,MAX(AL719,H719))),ROUNDUP(AJ719,0)))</f>
        <v>22</v>
      </c>
      <c r="AG719" s="50" t="n">
        <f aca="false">IF(BZ719=1,0,ROUNDUP(AF719/BY719,0))</f>
        <v>1</v>
      </c>
      <c r="AH719" s="52" t="n">
        <f aca="false">IF(CQ719&gt;0,CQ719*MAX(1,AF719/X719),IF(BZ719=1,IF(AF719&lt;=0,0,CD719*MAX(1,IF(H719&gt;0,AF719/H719,1))),IF(R719&gt;0,AG719/R719,0))/MAX(0.1,N(Parameter!$M$21)))</f>
        <v>0.00357142857142857</v>
      </c>
      <c r="AI719" s="50" t="n">
        <f aca="false">AH719*CB719</f>
        <v>0.553571428571429</v>
      </c>
      <c r="AJ719" s="51" t="n">
        <f aca="false">IF(LEFT(Cockpit!$C$5,1)="A",H719,IF(CH719=1,(CK719+CI719)/2,IF(LEFT(Cockpit!$C$5,1)="B",(CK719+AL719)/2,MAX((CK719+AL719)/2,H719))))</f>
        <v>22</v>
      </c>
      <c r="AK719" s="50" t="n">
        <f aca="false">AJ719*G719</f>
        <v>8.58</v>
      </c>
      <c r="AL719" s="50" t="n">
        <f aca="false">ROUNDUP(CK719+MAX(CL719,2*(J719/IF(CG719&gt;0,CG719,MAX(0.1,N(Cockpit!$C$6)))-CK719)),0)</f>
        <v>2</v>
      </c>
      <c r="AM719" s="51" t="n">
        <f aca="false">IF(AI719&gt;0,J719/AI719,-1)</f>
        <v>3.61290322580645</v>
      </c>
      <c r="AN719" s="51" t="n">
        <f aca="false">IF(AND(OR(CF719="L1",CF719="L23",CF719="LIFT"),AI719&gt;0),SUMIFS($AI$7:$AI$1843,$CF$7:$CF$1843,CF719,$AM$7:$AM$1843,"&gt;"&amp;AM719)+SUMIFS($AI$7:$AI$1843,$CF$7:$CF$1843,CF719,$AM$7:$AM$1843,AM719,$BW$7:$BW$1843,"&lt;="&amp;BW719),"")</f>
        <v>4827.32051282051</v>
      </c>
      <c r="AO719" s="58" t="n">
        <f aca="false">IF(AN719="",0,MAX(0,MIN(1,(IF(CF719="L1",Parameter!$H$5,IF(CF719="L23",Parameter!$H$6+Parameter!$H$7,Parameter!$H$5+Parameter!$H$6+Parameter!$H$7))-(AN719-AI719))/AI719)))</f>
        <v>1</v>
      </c>
      <c r="AP719" s="50" t="n">
        <f aca="false">IF(LEFT(Cockpit!$I$5,1)="A",H719,IF(Parameter!$E$30="MAX-Bestand",IF(CH719=1,CI719,IF(LEFT(Cockpit!$I$5,1)="B",AV719,MAX(AV719,H719))),ROUNDUP(AT719,0)))</f>
        <v>22</v>
      </c>
      <c r="AQ719" s="50" t="n">
        <f aca="false">IF(BZ719=1,0,ROUNDUP(AP719/BY719,0))</f>
        <v>1</v>
      </c>
      <c r="AR719" s="52" t="n">
        <f aca="false">IF(CQ719&gt;0,CQ719*MAX(1,AP719/X719),IF(BZ719=1,IF(AP719&lt;=0,0,CD719*MAX(1,IF(H719&gt;0,AP719/H719,1))),IF(R719&gt;0,AQ719/R719,0))/MAX(0.1,N(Parameter!$M$21)))</f>
        <v>0.00357142857142857</v>
      </c>
      <c r="AS719" s="50" t="n">
        <f aca="false">AR719*CB719</f>
        <v>0.553571428571429</v>
      </c>
      <c r="AT719" s="51" t="n">
        <f aca="false">IF(LEFT(Cockpit!$I$5,1)="A",H719,IF(CH719=1,(CK719+CI719)/2,IF(LEFT(Cockpit!$I$5,1)="B",(CK719+AV719)/2,MAX((CK719+AV719)/2,H719))))</f>
        <v>22</v>
      </c>
      <c r="AU719" s="50" t="n">
        <f aca="false">AT719*G719</f>
        <v>8.58</v>
      </c>
      <c r="AV719" s="50" t="n">
        <f aca="false">ROUNDUP(CK719+MAX(CL719,2*(J719/IF(CG719&gt;0,CG719,MAX(0.1,N(Cockpit!$I$6)))-CK719)),0)</f>
        <v>2</v>
      </c>
      <c r="AW719" s="51" t="n">
        <f aca="false">IF(AS719&gt;0,J719/AS719,-1)</f>
        <v>3.61290322580645</v>
      </c>
      <c r="AX719" s="51" t="n">
        <f aca="false">IF(AND(OR(CF719="L1",CF719="L23",CF719="LIFT"),AS719&gt;0),SUMIFS($AS$7:$AS$1843,$CF$7:$CF$1843,CF719,$AW$7:$AW$1843,"&gt;"&amp;AW719)+SUMIFS($AS$7:$AS$1843,$CF$7:$CF$1843,CF719,$AW$7:$AW$1843,AW719,$BW$7:$BW$1843,"&lt;="&amp;BW719),"")</f>
        <v>5404.90750915751</v>
      </c>
      <c r="AY719" s="58" t="n">
        <f aca="false">IF(AX719="",0,MAX(0,MIN(1,(IF(CF719="L1",Parameter!$H$5,IF(CF719="L23",Parameter!$H$6+Parameter!$H$7,Parameter!$H$5+Parameter!$H$6+Parameter!$H$7))-(AX719-AS719))/AS719)))</f>
        <v>1</v>
      </c>
      <c r="AZ719" s="50" t="n">
        <f aca="false">IF(LEFT(Cockpit!$O$5,1)="A",H719,IF(Parameter!$E$30="MAX-Bestand",IF(CH719=1,CI719,IF(LEFT(Cockpit!$O$5,1)="B",BF719,MAX(BF719,H719))),ROUNDUP(BD719,0)))</f>
        <v>1</v>
      </c>
      <c r="BA719" s="50" t="n">
        <f aca="false">IF(BZ719=1,0,ROUNDUP(AZ719/BY719,0))</f>
        <v>1</v>
      </c>
      <c r="BB719" s="52" t="n">
        <f aca="false">IF(CQ719&gt;0,CQ719*MAX(1,AZ719/X719),IF(BZ719=1,IF(AZ719&lt;=0,0,CD719*MAX(1,IF(H719&gt;0,AZ719/H719,1))),IF(R719&gt;0,BA719/R719,0))/MAX(0.1,N(Parameter!$M$21)))</f>
        <v>0.00357142857142857</v>
      </c>
      <c r="BC719" s="50" t="n">
        <f aca="false">BB719*CB719</f>
        <v>0.553571428571429</v>
      </c>
      <c r="BD719" s="51" t="n">
        <f aca="false">IF(LEFT(Cockpit!$O$5,1)="A",H719,IF(CH719=1,(CK719+CI719)/2,IF(LEFT(Cockpit!$O$5,1)="B",(CK719+BF719)/2,MAX((CK719+BF719)/2,H719))))</f>
        <v>0.5</v>
      </c>
      <c r="BE719" s="50" t="n">
        <f aca="false">BD719*G719</f>
        <v>0.195</v>
      </c>
      <c r="BF719" s="50" t="n">
        <f aca="false">ROUNDUP(CK719+MAX(CL719,2*(J719/IF(CG719&gt;0,CG719,MAX(0.1,N(Cockpit!$O$6)))-CK719)),0)</f>
        <v>1</v>
      </c>
      <c r="BG719" s="51" t="n">
        <f aca="false">IF(BC719&gt;0,J719/BC719,-1)</f>
        <v>3.61290322580645</v>
      </c>
      <c r="BH719" s="51" t="n">
        <f aca="false">IF(AND(OR(CF719="L1",CF719="L23",CF719="LIFT"),BC719&gt;0),SUMIFS($BC$7:$BC$1843,$CF$7:$CF$1843,CF719,$BG$7:$BG$1843,"&gt;"&amp;BG719)+SUMIFS($BC$7:$BC$1843,$CF$7:$CF$1843,CF719,$BG$7:$BG$1843,BG719,$BW$7:$BW$1843,"&lt;="&amp;BW719),"")</f>
        <v>4419.4043040293</v>
      </c>
      <c r="BI719" s="58" t="n">
        <f aca="false">IF(BH719="",0,MAX(0,MIN(1,(IF(CF719="L1",Parameter!$H$5,IF(CF719="L23",Parameter!$H$6+Parameter!$H$7,Parameter!$H$5+Parameter!$H$6+Parameter!$H$7))-(BH719-BC719))/BC719)))</f>
        <v>1</v>
      </c>
      <c r="BJ719" s="48" t="str">
        <f aca="false">IF(AI719&lt;=0,"",IF(CF719="Aussen","Aussenlager",IF(CF719="-","Nicht im Lift",IF(AO719&gt;=1,"Lift",IF(AO719&lt;=0,"Aussenlager","teilweise")))))</f>
        <v>Lift</v>
      </c>
      <c r="BK719" s="48" t="str">
        <f aca="false">IF(AS719&lt;=0,"",IF(CF719="Aussen","Aussenlager",IF(CF719="-","Nicht im Lift",IF(AY719&gt;=1,"Lift",IF(AY719&lt;=0,"Aussenlager","teilweise")))))</f>
        <v>Lift</v>
      </c>
      <c r="BL719" s="48" t="str">
        <f aca="false">IF(BC719&lt;=0,"",IF(CF719="Aussen","Aussenlager",IF(CF719="-","Nicht im Lift",IF(BI719&gt;=1,"Lift",IF(BI719&lt;=0,"Aussenlager","teilweise")))))</f>
        <v>Lift</v>
      </c>
      <c r="BM719" s="48" t="str">
        <f aca="false">IF(A719="","",IF(BV719=1,"Neu; ","")&amp;IF(AND(BV719=0,BQ719&lt;0),"negativer Bestand (Export "&amp;BQ719&amp;"); ","")&amp;IF(J719&lt;=0,"Kein Verbrauch; ","")&amp;IF(CQ719&gt;0,"Lift "&amp;W719&amp;" lt. Liftbericht (Fach "&amp;X719&amp;" Stk); ",IF(CA719=1,"Gebinde geschätzt ("&amp;T719&amp;"); ",IF(BZ719=1,"Lose – Tablare geschätzt; ","")))&amp;IF(H719&gt;AV719,"Überbestand "&amp;ROUND(H719-AV719,0)&amp;" Stk / CHF "&amp;ROUND((H719-AV719)*G719,0)&amp;"; ","")&amp;IF(AND(CH719=1,CI719&lt;CJ719),"MAX &lt; MB+LG; ","")&amp;IF(AND(CP719&gt;0,CO719*10&gt;CP719),"zu hoch für Tablar; ","")&amp;IF(AND(BV719=0,OR(CH719=1,AA719&lt;&gt;"",U719&lt;&gt;"",V719&lt;&gt;"",AB719&lt;&gt;"")),"manuell übersteuert; ","")&amp;IF(AND(BZ719=0,R719=0),"Gebinde unbekannt / Stellmass fehlt; ","")&amp;IF(AND(BZ719=0,N(V719)&lt;=0,N(Q719)&lt;=0),"Menge pro Gebinde fehlt (Ist = 1 Gebinde); ","")&amp;BU719)</f>
        <v>Überbestand 20 Stk / CHF 8; Überbestand</v>
      </c>
      <c r="BN719" s="48"/>
      <c r="BO719" s="48"/>
      <c r="BP719" s="55"/>
      <c r="BQ719" s="50" t="n">
        <v>0</v>
      </c>
      <c r="BR719" s="50" t="n">
        <v>22</v>
      </c>
      <c r="BS719" s="49" t="n">
        <v>0</v>
      </c>
      <c r="BT719" s="50" t="n">
        <v>2</v>
      </c>
      <c r="BU719" s="48" t="s">
        <v>401</v>
      </c>
      <c r="BV719" s="53" t="n">
        <v>0</v>
      </c>
      <c r="BW719" s="53" t="n">
        <v>719</v>
      </c>
      <c r="BX719" s="48" t="str">
        <f aca="false">IF(U719&lt;&gt;"",UPPER(TRIM(U719)),IF(CA719=1,UPPER(VLOOKUP(T719,Parameter!$I$27:$K$29,2,0)),IF(P719="","LOSE",P719)))</f>
        <v>S21</v>
      </c>
      <c r="BY719" s="50" t="n">
        <f aca="false">IF(BX719="LOSE",1,IF(N(V719)&gt;0,V719,IF(CA719=1,MAX(1,N(VLOOKUP(T719,Parameter!$I$27:$K$29,3,0)),H719,N(N719)),IF(N(Q719)&gt;0,Q719,MAX(1,H719)))))</f>
        <v>36</v>
      </c>
      <c r="BZ719" s="53" t="n">
        <f aca="false">IF(BX719="LOSE",1,0)</f>
        <v>0</v>
      </c>
      <c r="CA719" s="53" t="n">
        <f aca="false">IF(AND(U719="",OR(P719="",P719="LOSE"),T719&lt;&gt;"",N(S719)&lt;=0,ISNUMBER(MATCH(T719,Parameter!$I$27:$I$29,0))),1,0)</f>
        <v>0</v>
      </c>
      <c r="CB719" s="53" t="n">
        <f aca="false">IF(CQ719&gt;0,INDEX(Parameter!$H$5:$H$7,W719)/INDEX(Parameter!$E$5:$E$7,W719),IF(AND(BZ719=0,N(IFERROR(VLOOKUP(BX719,'Gebinde-Kategorie'!$A$5:$N$45,14,0),0))&gt;0),VLOOKUP(BX719,'Gebinde-Kategorie'!$A$5:$N$45,14,0)*10+Parameter!$M$23,Parameter!$M$24))</f>
        <v>155</v>
      </c>
      <c r="CC719" s="48" t="str">
        <f aca="false">IF(AND(Parameter!$B$19="Ja",E719&lt;&gt;"",ISNUMBER(MATCH(E719,Parameter!$I$35:$I$52,0))),VLOOKUP(E719,Parameter!$I$35:$J$52,2,0),IFERROR(VLOOKUP(D719,Parameter!$A$35:$C$64,2,0),"Nein"))</f>
        <v>2+3</v>
      </c>
      <c r="CD719" s="52" t="n">
        <f aca="false">IF(BZ719=0,0,IF(N(S719)&gt;0,S719,IFERROR(VLOOKUP(D719,Parameter!$A$35:$C$64,3,0)+0,0)))</f>
        <v>0</v>
      </c>
      <c r="CE719" s="48" t="n">
        <f aca="false">IF(AA719&lt;&gt;"",AA719,Z719)</f>
        <v>3</v>
      </c>
      <c r="CF719" s="48" t="str">
        <f aca="false">IF(OR(CE719=1,CE719=2,CE719=3),IF(Parameter!$E$27="Ja","LIFT",IF(CE719=1,"L1","L23")),IF(CE719="Aussen","Aussen","-"))</f>
        <v>LIFT</v>
      </c>
      <c r="CG719" s="59" t="n">
        <f aca="false">IF(N(AB719)&gt;0,AB719,0)</f>
        <v>0</v>
      </c>
      <c r="CH719" s="53" t="n">
        <f aca="false">IF(ISNUMBER(AE719),1,0)</f>
        <v>0</v>
      </c>
      <c r="CI719" s="50" t="n">
        <f aca="false">N(AE719)</f>
        <v>0</v>
      </c>
      <c r="CJ719" s="50" t="n">
        <f aca="false">N(M719)+N(N719)</f>
        <v>1</v>
      </c>
      <c r="CK719" s="50" t="n">
        <f aca="false">N(M719)</f>
        <v>0</v>
      </c>
      <c r="CL719" s="50" t="n">
        <f aca="false">N(N719)</f>
        <v>1</v>
      </c>
      <c r="CM719" s="50" t="n">
        <f aca="false">ROUNDUP(H719/BY719,0)</f>
        <v>1</v>
      </c>
      <c r="CN719" s="50" t="n">
        <f aca="false">ROUNDUP(CI719/BY719,0)</f>
        <v>0</v>
      </c>
      <c r="CO719" s="53" t="n">
        <f aca="false">IF(BZ719=1,0,IFERROR(VLOOKUP(BX719,'Gebinde-Kategorie'!$A$5:$N$45,5,0)+0,0))</f>
        <v>8</v>
      </c>
      <c r="CP719" s="53" t="n">
        <f aca="false">IFERROR(IF(OR(CE719=1,CE719=2,CE719=3),N(INDEX(Parameter!$I$5:$I$7,CE719)),0),0)</f>
        <v>0</v>
      </c>
      <c r="CQ719" s="52" t="n">
        <f aca="false">IF(AND(Parameter!$B$21="Ja",ISNUMBER(W719),N(X719)&gt;0),IFERROR(N(INDEX(Parameter!$L$5:$L$7,W719))*INDEX(Parameter!$E$5:$E$7,W719)*X719/SUMIFS($X$7:$X$1843,$W$7:$W$1843,W719),0),0)</f>
        <v>0</v>
      </c>
    </row>
    <row r="720" customFormat="false" ht="15" hidden="false" customHeight="false" outlineLevel="0" collapsed="false">
      <c r="A720" s="48" t="s">
        <v>1440</v>
      </c>
      <c r="B720" s="48" t="s">
        <v>553</v>
      </c>
      <c r="C720" s="48" t="s">
        <v>173</v>
      </c>
      <c r="D720" s="48" t="s">
        <v>1004</v>
      </c>
      <c r="E720" s="48"/>
      <c r="F720" s="48" t="s">
        <v>227</v>
      </c>
      <c r="G720" s="49" t="n">
        <v>32.17</v>
      </c>
      <c r="H720" s="50" t="n">
        <f aca="false">MAX(0,IF(AND(Parameter!$B$21="Ja",ISNUMBER(Y720)),Y720,IF(Parameter!$B$20="Jahresanfang 2025 + Export",BR720+BQ720,BQ720)))</f>
        <v>6</v>
      </c>
      <c r="I720" s="50" t="n">
        <f aca="false">H720*G720</f>
        <v>193.02</v>
      </c>
      <c r="J720" s="50" t="n">
        <f aca="false">BT720*Parameter!$B$18</f>
        <v>0</v>
      </c>
      <c r="K720" s="51" t="n">
        <v>2.5</v>
      </c>
      <c r="L720" s="52" t="n">
        <v>0</v>
      </c>
      <c r="M720" s="50" t="n">
        <v>0</v>
      </c>
      <c r="N720" s="50" t="n">
        <v>10</v>
      </c>
      <c r="O720" s="53" t="n">
        <v>28</v>
      </c>
      <c r="P720" s="48" t="s">
        <v>177</v>
      </c>
      <c r="Q720" s="50"/>
      <c r="R720" s="53" t="n">
        <f aca="false">IF(BZ720=1,0,IFERROR(VLOOKUP(BX720,'Gebinde-Kategorie'!$A$5:$N$45,13,0)+0,0))</f>
        <v>0</v>
      </c>
      <c r="S720" s="54"/>
      <c r="T720" s="55"/>
      <c r="U720" s="55"/>
      <c r="V720" s="55"/>
      <c r="W720" s="48"/>
      <c r="X720" s="50"/>
      <c r="Y720" s="50"/>
      <c r="Z720" s="48" t="str">
        <f aca="false">IF(A720="","",IF(AND(Parameter!$B$21="Ja",ISNUMBER(W720)),W720,IF(CC720="2+3",IF(ISNUMBER(SEARCH("grosser Artikel",BU720)),2,IFERROR(VLOOKUP(BX720,Parameter!$F$35:$G$64,2,0),2)),IF(OR(CC720="Nein",CC720=""),"-",CC720))))</f>
        <v>-</v>
      </c>
      <c r="AA720" s="55"/>
      <c r="AB720" s="56"/>
      <c r="AC720" s="50" t="n">
        <f aca="false">AV720</f>
        <v>10</v>
      </c>
      <c r="AD720" s="50" t="n">
        <f aca="false">MAX(AV720,H720)</f>
        <v>10</v>
      </c>
      <c r="AE720" s="57"/>
      <c r="AF720" s="50" t="n">
        <f aca="false">IF(LEFT(Cockpit!$C$5,1)="A",H720,IF(Parameter!$E$30="MAX-Bestand",IF(CH720=1,CI720,IF(LEFT(Cockpit!$C$5,1)="B",AL720,MAX(AL720,H720))),ROUNDUP(AJ720,0)))</f>
        <v>6</v>
      </c>
      <c r="AG720" s="50" t="n">
        <f aca="false">IF(BZ720=1,0,ROUNDUP(AF720/BY720,0))</f>
        <v>0</v>
      </c>
      <c r="AH720" s="52" t="n">
        <f aca="false">IF(CQ720&gt;0,CQ720*MAX(1,AF720/X720),IF(BZ720=1,IF(AF720&lt;=0,0,CD720*MAX(1,IF(H720&gt;0,AF720/H720,1))),IF(R720&gt;0,AG720/R720,0))/MAX(0.1,N(Parameter!$M$21)))</f>
        <v>0.15</v>
      </c>
      <c r="AI720" s="50" t="n">
        <f aca="false">AH720*CB720</f>
        <v>35.25</v>
      </c>
      <c r="AJ720" s="51" t="n">
        <f aca="false">IF(LEFT(Cockpit!$C$5,1)="A",H720,IF(CH720=1,(CK720+CI720)/2,IF(LEFT(Cockpit!$C$5,1)="B",(CK720+AL720)/2,MAX((CK720+AL720)/2,H720))))</f>
        <v>6</v>
      </c>
      <c r="AK720" s="50" t="n">
        <f aca="false">AJ720*G720</f>
        <v>193.02</v>
      </c>
      <c r="AL720" s="50" t="n">
        <f aca="false">ROUNDUP(CK720+MAX(CL720,2*(J720/IF(CG720&gt;0,CG720,MAX(0.1,N(Cockpit!$C$6)))-CK720)),0)</f>
        <v>10</v>
      </c>
      <c r="AM720" s="51" t="n">
        <f aca="false">IF(AI720&gt;0,J720/AI720,-1)</f>
        <v>0</v>
      </c>
      <c r="AN720" s="51" t="str">
        <f aca="false">IF(AND(OR(CF720="L1",CF720="L23",CF720="LIFT"),AI720&gt;0),SUMIFS($AI$7:$AI$1843,$CF$7:$CF$1843,CF720,$AM$7:$AM$1843,"&gt;"&amp;AM720)+SUMIFS($AI$7:$AI$1843,$CF$7:$CF$1843,CF720,$AM$7:$AM$1843,AM720,$BW$7:$BW$1843,"&lt;="&amp;BW720),"")</f>
        <v/>
      </c>
      <c r="AO720" s="58" t="n">
        <f aca="false">IF(AN720="",0,MAX(0,MIN(1,(IF(CF720="L1",Parameter!$H$5,IF(CF720="L23",Parameter!$H$6+Parameter!$H$7,Parameter!$H$5+Parameter!$H$6+Parameter!$H$7))-(AN720-AI720))/AI720)))</f>
        <v>0</v>
      </c>
      <c r="AP720" s="50" t="n">
        <f aca="false">IF(LEFT(Cockpit!$I$5,1)="A",H720,IF(Parameter!$E$30="MAX-Bestand",IF(CH720=1,CI720,IF(LEFT(Cockpit!$I$5,1)="B",AV720,MAX(AV720,H720))),ROUNDUP(AT720,0)))</f>
        <v>6</v>
      </c>
      <c r="AQ720" s="50" t="n">
        <f aca="false">IF(BZ720=1,0,ROUNDUP(AP720/BY720,0))</f>
        <v>0</v>
      </c>
      <c r="AR720" s="52" t="n">
        <f aca="false">IF(CQ720&gt;0,CQ720*MAX(1,AP720/X720),IF(BZ720=1,IF(AP720&lt;=0,0,CD720*MAX(1,IF(H720&gt;0,AP720/H720,1))),IF(R720&gt;0,AQ720/R720,0))/MAX(0.1,N(Parameter!$M$21)))</f>
        <v>0.15</v>
      </c>
      <c r="AS720" s="50" t="n">
        <f aca="false">AR720*CB720</f>
        <v>35.25</v>
      </c>
      <c r="AT720" s="51" t="n">
        <f aca="false">IF(LEFT(Cockpit!$I$5,1)="A",H720,IF(CH720=1,(CK720+CI720)/2,IF(LEFT(Cockpit!$I$5,1)="B",(CK720+AV720)/2,MAX((CK720+AV720)/2,H720))))</f>
        <v>6</v>
      </c>
      <c r="AU720" s="50" t="n">
        <f aca="false">AT720*G720</f>
        <v>193.02</v>
      </c>
      <c r="AV720" s="50" t="n">
        <f aca="false">ROUNDUP(CK720+MAX(CL720,2*(J720/IF(CG720&gt;0,CG720,MAX(0.1,N(Cockpit!$I$6)))-CK720)),0)</f>
        <v>10</v>
      </c>
      <c r="AW720" s="51" t="n">
        <f aca="false">IF(AS720&gt;0,J720/AS720,-1)</f>
        <v>0</v>
      </c>
      <c r="AX720" s="51" t="str">
        <f aca="false">IF(AND(OR(CF720="L1",CF720="L23",CF720="LIFT"),AS720&gt;0),SUMIFS($AS$7:$AS$1843,$CF$7:$CF$1843,CF720,$AW$7:$AW$1843,"&gt;"&amp;AW720)+SUMIFS($AS$7:$AS$1843,$CF$7:$CF$1843,CF720,$AW$7:$AW$1843,AW720,$BW$7:$BW$1843,"&lt;="&amp;BW720),"")</f>
        <v/>
      </c>
      <c r="AY720" s="58" t="n">
        <f aca="false">IF(AX720="",0,MAX(0,MIN(1,(IF(CF720="L1",Parameter!$H$5,IF(CF720="L23",Parameter!$H$6+Parameter!$H$7,Parameter!$H$5+Parameter!$H$6+Parameter!$H$7))-(AX720-AS720))/AS720)))</f>
        <v>0</v>
      </c>
      <c r="AZ720" s="50" t="n">
        <f aca="false">IF(LEFT(Cockpit!$O$5,1)="A",H720,IF(Parameter!$E$30="MAX-Bestand",IF(CH720=1,CI720,IF(LEFT(Cockpit!$O$5,1)="B",BF720,MAX(BF720,H720))),ROUNDUP(BD720,0)))</f>
        <v>5</v>
      </c>
      <c r="BA720" s="50" t="n">
        <f aca="false">IF(BZ720=1,0,ROUNDUP(AZ720/BY720,0))</f>
        <v>0</v>
      </c>
      <c r="BB720" s="52" t="n">
        <f aca="false">IF(CQ720&gt;0,CQ720*MAX(1,AZ720/X720),IF(BZ720=1,IF(AZ720&lt;=0,0,CD720*MAX(1,IF(H720&gt;0,AZ720/H720,1))),IF(R720&gt;0,BA720/R720,0))/MAX(0.1,N(Parameter!$M$21)))</f>
        <v>0.15</v>
      </c>
      <c r="BC720" s="50" t="n">
        <f aca="false">BB720*CB720</f>
        <v>35.25</v>
      </c>
      <c r="BD720" s="51" t="n">
        <f aca="false">IF(LEFT(Cockpit!$O$5,1)="A",H720,IF(CH720=1,(CK720+CI720)/2,IF(LEFT(Cockpit!$O$5,1)="B",(CK720+BF720)/2,MAX((CK720+BF720)/2,H720))))</f>
        <v>5</v>
      </c>
      <c r="BE720" s="50" t="n">
        <f aca="false">BD720*G720</f>
        <v>160.85</v>
      </c>
      <c r="BF720" s="50" t="n">
        <f aca="false">ROUNDUP(CK720+MAX(CL720,2*(J720/IF(CG720&gt;0,CG720,MAX(0.1,N(Cockpit!$O$6)))-CK720)),0)</f>
        <v>10</v>
      </c>
      <c r="BG720" s="51" t="n">
        <f aca="false">IF(BC720&gt;0,J720/BC720,-1)</f>
        <v>0</v>
      </c>
      <c r="BH720" s="51" t="str">
        <f aca="false">IF(AND(OR(CF720="L1",CF720="L23",CF720="LIFT"),BC720&gt;0),SUMIFS($BC$7:$BC$1843,$CF$7:$CF$1843,CF720,$BG$7:$BG$1843,"&gt;"&amp;BG720)+SUMIFS($BC$7:$BC$1843,$CF$7:$CF$1843,CF720,$BG$7:$BG$1843,BG720,$BW$7:$BW$1843,"&lt;="&amp;BW720),"")</f>
        <v/>
      </c>
      <c r="BI720" s="58" t="n">
        <f aca="false">IF(BH720="",0,MAX(0,MIN(1,(IF(CF720="L1",Parameter!$H$5,IF(CF720="L23",Parameter!$H$6+Parameter!$H$7,Parameter!$H$5+Parameter!$H$6+Parameter!$H$7))-(BH720-BC720))/BC720)))</f>
        <v>0</v>
      </c>
      <c r="BJ720" s="48" t="str">
        <f aca="false">IF(AI720&lt;=0,"",IF(CF720="Aussen","Aussenlager",IF(CF720="-","Nicht im Lift",IF(AO720&gt;=1,"Lift",IF(AO720&lt;=0,"Aussenlager","teilweise")))))</f>
        <v>Nicht im Lift</v>
      </c>
      <c r="BK720" s="48" t="str">
        <f aca="false">IF(AS720&lt;=0,"",IF(CF720="Aussen","Aussenlager",IF(CF720="-","Nicht im Lift",IF(AY720&gt;=1,"Lift",IF(AY720&lt;=0,"Aussenlager","teilweise")))))</f>
        <v>Nicht im Lift</v>
      </c>
      <c r="BL720" s="48" t="str">
        <f aca="false">IF(BC720&lt;=0,"",IF(CF720="Aussen","Aussenlager",IF(CF720="-","Nicht im Lift",IF(BI720&gt;=1,"Lift",IF(BI720&lt;=0,"Aussenlager","teilweise")))))</f>
        <v>Nicht im Lift</v>
      </c>
      <c r="BM720" s="48" t="str">
        <f aca="false">IF(A720="","",IF(BV720=1,"Neu; ","")&amp;IF(AND(BV720=0,BQ720&lt;0),"negativer Bestand (Export "&amp;BQ720&amp;"); ","")&amp;IF(J720&lt;=0,"Kein Verbrauch; ","")&amp;IF(CQ720&gt;0,"Lift "&amp;W720&amp;" lt. Liftbericht (Fach "&amp;X720&amp;" Stk); ",IF(CA720=1,"Gebinde geschätzt ("&amp;T720&amp;"); ",IF(BZ720=1,"Lose – Tablare geschätzt; ","")))&amp;IF(H720&gt;AV720,"Überbestand "&amp;ROUND(H720-AV720,0)&amp;" Stk / CHF "&amp;ROUND((H720-AV720)*G720,0)&amp;"; ","")&amp;IF(AND(CH720=1,CI720&lt;CJ720),"MAX &lt; MB+LG; ","")&amp;IF(AND(CP720&gt;0,CO720*10&gt;CP720),"zu hoch für Tablar; ","")&amp;IF(AND(BV720=0,OR(CH720=1,AA720&lt;&gt;"",U720&lt;&gt;"",V720&lt;&gt;"",AB720&lt;&gt;"")),"manuell übersteuert; ","")&amp;IF(AND(BZ720=0,R720=0),"Gebinde unbekannt / Stellmass fehlt; ","")&amp;IF(AND(BZ720=0,N(V720)&lt;=0,N(Q720)&lt;=0),"Menge pro Gebinde fehlt (Ist = 1 Gebinde); ","")&amp;BU720)</f>
        <v>Kein Verbrauch; Lose – Tablare geschätzt; </v>
      </c>
      <c r="BN720" s="48"/>
      <c r="BO720" s="48"/>
      <c r="BP720" s="55"/>
      <c r="BQ720" s="50" t="n">
        <v>4</v>
      </c>
      <c r="BR720" s="50" t="n">
        <v>2</v>
      </c>
      <c r="BS720" s="49" t="n">
        <v>0</v>
      </c>
      <c r="BT720" s="50" t="n">
        <v>0</v>
      </c>
      <c r="BU720" s="48"/>
      <c r="BV720" s="53" t="n">
        <v>0</v>
      </c>
      <c r="BW720" s="53" t="n">
        <v>720</v>
      </c>
      <c r="BX720" s="48" t="str">
        <f aca="false">IF(U720&lt;&gt;"",UPPER(TRIM(U720)),IF(CA720=1,UPPER(VLOOKUP(T720,Parameter!$I$27:$K$29,2,0)),IF(P720="","LOSE",P720)))</f>
        <v>LOSE</v>
      </c>
      <c r="BY720" s="50" t="n">
        <f aca="false">IF(BX720="LOSE",1,IF(N(V720)&gt;0,V720,IF(CA720=1,MAX(1,N(VLOOKUP(T720,Parameter!$I$27:$K$29,3,0)),H720,N(N720)),IF(N(Q720)&gt;0,Q720,MAX(1,H720)))))</f>
        <v>1</v>
      </c>
      <c r="BZ720" s="53" t="n">
        <f aca="false">IF(BX720="LOSE",1,0)</f>
        <v>1</v>
      </c>
      <c r="CA720" s="53" t="n">
        <f aca="false">IF(AND(U720="",OR(P720="",P720="LOSE"),T720&lt;&gt;"",N(S720)&lt;=0,ISNUMBER(MATCH(T720,Parameter!$I$27:$I$29,0))),1,0)</f>
        <v>0</v>
      </c>
      <c r="CB720" s="53" t="n">
        <f aca="false">IF(CQ720&gt;0,INDEX(Parameter!$H$5:$H$7,W720)/INDEX(Parameter!$E$5:$E$7,W720),IF(AND(BZ720=0,N(IFERROR(VLOOKUP(BX720,'Gebinde-Kategorie'!$A$5:$N$45,14,0),0))&gt;0),VLOOKUP(BX720,'Gebinde-Kategorie'!$A$5:$N$45,14,0)*10+Parameter!$M$23,Parameter!$M$24))</f>
        <v>235</v>
      </c>
      <c r="CC720" s="48" t="str">
        <f aca="false">IF(AND(Parameter!$B$19="Ja",E720&lt;&gt;"",ISNUMBER(MATCH(E720,Parameter!$I$35:$I$52,0))),VLOOKUP(E720,Parameter!$I$35:$J$52,2,0),IFERROR(VLOOKUP(D720,Parameter!$A$35:$C$64,2,0),"Nein"))</f>
        <v>Nein</v>
      </c>
      <c r="CD720" s="52" t="n">
        <f aca="false">IF(BZ720=0,0,IF(N(S720)&gt;0,S720,IFERROR(VLOOKUP(D720,Parameter!$A$35:$C$64,3,0)+0,0)))</f>
        <v>0.15</v>
      </c>
      <c r="CE720" s="48" t="str">
        <f aca="false">IF(AA720&lt;&gt;"",AA720,Z720)</f>
        <v>-</v>
      </c>
      <c r="CF720" s="48" t="str">
        <f aca="false">IF(OR(CE720=1,CE720=2,CE720=3),IF(Parameter!$E$27="Ja","LIFT",IF(CE720=1,"L1","L23")),IF(CE720="Aussen","Aussen","-"))</f>
        <v>-</v>
      </c>
      <c r="CG720" s="59" t="n">
        <f aca="false">IF(N(AB720)&gt;0,AB720,0)</f>
        <v>0</v>
      </c>
      <c r="CH720" s="53" t="n">
        <f aca="false">IF(ISNUMBER(AE720),1,0)</f>
        <v>0</v>
      </c>
      <c r="CI720" s="50" t="n">
        <f aca="false">N(AE720)</f>
        <v>0</v>
      </c>
      <c r="CJ720" s="50" t="n">
        <f aca="false">N(M720)+N(N720)</f>
        <v>10</v>
      </c>
      <c r="CK720" s="50" t="n">
        <f aca="false">N(M720)</f>
        <v>0</v>
      </c>
      <c r="CL720" s="50" t="n">
        <f aca="false">N(N720)</f>
        <v>10</v>
      </c>
      <c r="CM720" s="50" t="n">
        <f aca="false">ROUNDUP(H720/BY720,0)</f>
        <v>6</v>
      </c>
      <c r="CN720" s="50" t="n">
        <f aca="false">ROUNDUP(CI720/BY720,0)</f>
        <v>0</v>
      </c>
      <c r="CO720" s="53" t="n">
        <f aca="false">IF(BZ720=1,0,IFERROR(VLOOKUP(BX720,'Gebinde-Kategorie'!$A$5:$N$45,5,0)+0,0))</f>
        <v>0</v>
      </c>
      <c r="CP720" s="53" t="n">
        <f aca="false">IFERROR(IF(OR(CE720=1,CE720=2,CE720=3),N(INDEX(Parameter!$I$5:$I$7,CE720)),0),0)</f>
        <v>0</v>
      </c>
      <c r="CQ720" s="52" t="n">
        <f aca="false">IF(AND(Parameter!$B$21="Ja",ISNUMBER(W720),N(X720)&gt;0),IFERROR(N(INDEX(Parameter!$L$5:$L$7,W720))*INDEX(Parameter!$E$5:$E$7,W720)*X720/SUMIFS($X$7:$X$1843,$W$7:$W$1843,W720),0),0)</f>
        <v>0</v>
      </c>
    </row>
    <row r="721" customFormat="false" ht="15" hidden="false" customHeight="false" outlineLevel="0" collapsed="false">
      <c r="A721" s="48" t="s">
        <v>1441</v>
      </c>
      <c r="B721" s="48" t="s">
        <v>1442</v>
      </c>
      <c r="C721" s="48" t="s">
        <v>173</v>
      </c>
      <c r="D721" s="48" t="s">
        <v>182</v>
      </c>
      <c r="E721" s="48" t="s">
        <v>194</v>
      </c>
      <c r="F721" s="48" t="s">
        <v>227</v>
      </c>
      <c r="G721" s="49" t="n">
        <v>299</v>
      </c>
      <c r="H721" s="50" t="n">
        <f aca="false">MAX(0,IF(AND(Parameter!$B$21="Ja",ISNUMBER(Y721)),Y721,IF(Parameter!$B$20="Jahresanfang 2025 + Export",BR721+BQ721,BQ721)))</f>
        <v>0</v>
      </c>
      <c r="I721" s="50" t="n">
        <f aca="false">H721*G721</f>
        <v>0</v>
      </c>
      <c r="J721" s="50" t="n">
        <f aca="false">BT721*Parameter!$B$18</f>
        <v>0</v>
      </c>
      <c r="K721" s="51" t="n">
        <v>0</v>
      </c>
      <c r="L721" s="52" t="n">
        <v>0</v>
      </c>
      <c r="M721" s="50" t="n">
        <v>0</v>
      </c>
      <c r="N721" s="50" t="n">
        <v>1</v>
      </c>
      <c r="O721" s="53" t="n">
        <v>28</v>
      </c>
      <c r="P721" s="48" t="s">
        <v>195</v>
      </c>
      <c r="Q721" s="50" t="n">
        <v>1</v>
      </c>
      <c r="R721" s="53" t="n">
        <f aca="false">IF(BZ721=1,0,IFERROR(VLOOKUP(BX721,'Gebinde-Kategorie'!$A$5:$N$45,13,0)+0,0))</f>
        <v>12</v>
      </c>
      <c r="S721" s="54"/>
      <c r="T721" s="55"/>
      <c r="U721" s="55"/>
      <c r="V721" s="55"/>
      <c r="W721" s="48"/>
      <c r="X721" s="50"/>
      <c r="Y721" s="50"/>
      <c r="Z721" s="48" t="n">
        <f aca="false">IF(A721="","",IF(AND(Parameter!$B$21="Ja",ISNUMBER(W721)),W721,IF(CC721="2+3",IF(ISNUMBER(SEARCH("grosser Artikel",BU721)),2,IFERROR(VLOOKUP(BX721,Parameter!$F$35:$G$64,2,0),2)),IF(OR(CC721="Nein",CC721=""),"-",CC721))))</f>
        <v>2</v>
      </c>
      <c r="AA721" s="55"/>
      <c r="AB721" s="56"/>
      <c r="AC721" s="50" t="n">
        <f aca="false">AV721</f>
        <v>1</v>
      </c>
      <c r="AD721" s="50" t="n">
        <f aca="false">MAX(AV721,H721)</f>
        <v>1</v>
      </c>
      <c r="AE721" s="57"/>
      <c r="AF721" s="50" t="n">
        <f aca="false">IF(LEFT(Cockpit!$C$5,1)="A",H721,IF(Parameter!$E$30="MAX-Bestand",IF(CH721=1,CI721,IF(LEFT(Cockpit!$C$5,1)="B",AL721,MAX(AL721,H721))),ROUNDUP(AJ721,0)))</f>
        <v>0</v>
      </c>
      <c r="AG721" s="50" t="n">
        <f aca="false">IF(BZ721=1,0,ROUNDUP(AF721/BY721,0))</f>
        <v>0</v>
      </c>
      <c r="AH721" s="52" t="n">
        <f aca="false">IF(CQ721&gt;0,CQ721*MAX(1,AF721/X721),IF(BZ721=1,IF(AF721&lt;=0,0,CD721*MAX(1,IF(H721&gt;0,AF721/H721,1))),IF(R721&gt;0,AG721/R721,0))/MAX(0.1,N(Parameter!$M$21)))</f>
        <v>0</v>
      </c>
      <c r="AI721" s="50" t="n">
        <f aca="false">AH721*CB721</f>
        <v>0</v>
      </c>
      <c r="AJ721" s="51" t="n">
        <f aca="false">IF(LEFT(Cockpit!$C$5,1)="A",H721,IF(CH721=1,(CK721+CI721)/2,IF(LEFT(Cockpit!$C$5,1)="B",(CK721+AL721)/2,MAX((CK721+AL721)/2,H721))))</f>
        <v>0</v>
      </c>
      <c r="AK721" s="50" t="n">
        <f aca="false">AJ721*G721</f>
        <v>0</v>
      </c>
      <c r="AL721" s="50" t="n">
        <f aca="false">ROUNDUP(CK721+MAX(CL721,2*(J721/IF(CG721&gt;0,CG721,MAX(0.1,N(Cockpit!$C$6)))-CK721)),0)</f>
        <v>1</v>
      </c>
      <c r="AM721" s="51" t="n">
        <f aca="false">IF(AI721&gt;0,J721/AI721,-1)</f>
        <v>-1</v>
      </c>
      <c r="AN721" s="51" t="str">
        <f aca="false">IF(AND(OR(CF721="L1",CF721="L23",CF721="LIFT"),AI721&gt;0),SUMIFS($AI$7:$AI$1843,$CF$7:$CF$1843,CF721,$AM$7:$AM$1843,"&gt;"&amp;AM721)+SUMIFS($AI$7:$AI$1843,$CF$7:$CF$1843,CF721,$AM$7:$AM$1843,AM721,$BW$7:$BW$1843,"&lt;="&amp;BW721),"")</f>
        <v/>
      </c>
      <c r="AO721" s="58" t="n">
        <f aca="false">IF(AN721="",0,MAX(0,MIN(1,(IF(CF721="L1",Parameter!$H$5,IF(CF721="L23",Parameter!$H$6+Parameter!$H$7,Parameter!$H$5+Parameter!$H$6+Parameter!$H$7))-(AN721-AI721))/AI721)))</f>
        <v>0</v>
      </c>
      <c r="AP721" s="50" t="n">
        <f aca="false">IF(LEFT(Cockpit!$I$5,1)="A",H721,IF(Parameter!$E$30="MAX-Bestand",IF(CH721=1,CI721,IF(LEFT(Cockpit!$I$5,1)="B",AV721,MAX(AV721,H721))),ROUNDUP(AT721,0)))</f>
        <v>1</v>
      </c>
      <c r="AQ721" s="50" t="n">
        <f aca="false">IF(BZ721=1,0,ROUNDUP(AP721/BY721,0))</f>
        <v>1</v>
      </c>
      <c r="AR721" s="52" t="n">
        <f aca="false">IF(CQ721&gt;0,CQ721*MAX(1,AP721/X721),IF(BZ721=1,IF(AP721&lt;=0,0,CD721*MAX(1,IF(H721&gt;0,AP721/H721,1))),IF(R721&gt;0,AQ721/R721,0))/MAX(0.1,N(Parameter!$M$21)))</f>
        <v>0.0833333333333333</v>
      </c>
      <c r="AS721" s="50" t="n">
        <f aca="false">AR721*CB721</f>
        <v>12.0833333333333</v>
      </c>
      <c r="AT721" s="51" t="n">
        <f aca="false">IF(LEFT(Cockpit!$I$5,1)="A",H721,IF(CH721=1,(CK721+CI721)/2,IF(LEFT(Cockpit!$I$5,1)="B",(CK721+AV721)/2,MAX((CK721+AV721)/2,H721))))</f>
        <v>0.5</v>
      </c>
      <c r="AU721" s="50" t="n">
        <f aca="false">AT721*G721</f>
        <v>149.5</v>
      </c>
      <c r="AV721" s="50" t="n">
        <f aca="false">ROUNDUP(CK721+MAX(CL721,2*(J721/IF(CG721&gt;0,CG721,MAX(0.1,N(Cockpit!$I$6)))-CK721)),0)</f>
        <v>1</v>
      </c>
      <c r="AW721" s="51" t="n">
        <f aca="false">IF(AS721&gt;0,J721/AS721,-1)</f>
        <v>0</v>
      </c>
      <c r="AX721" s="51" t="n">
        <f aca="false">IF(AND(OR(CF721="L1",CF721="L23",CF721="LIFT"),AS721&gt;0),SUMIFS($AS$7:$AS$1843,$CF$7:$CF$1843,CF721,$AW$7:$AW$1843,"&gt;"&amp;AW721)+SUMIFS($AS$7:$AS$1843,$CF$7:$CF$1843,CF721,$AW$7:$AW$1843,AW721,$BW$7:$BW$1843,"&lt;="&amp;BW721),"")</f>
        <v>34168.7197802198</v>
      </c>
      <c r="AY721" s="58" t="n">
        <f aca="false">IF(AX721="",0,MAX(0,MIN(1,(IF(CF721="L1",Parameter!$H$5,IF(CF721="L23",Parameter!$H$6+Parameter!$H$7,Parameter!$H$5+Parameter!$H$6+Parameter!$H$7))-(AX721-AS721))/AS721)))</f>
        <v>1</v>
      </c>
      <c r="AZ721" s="50" t="n">
        <f aca="false">IF(LEFT(Cockpit!$O$5,1)="A",H721,IF(Parameter!$E$30="MAX-Bestand",IF(CH721=1,CI721,IF(LEFT(Cockpit!$O$5,1)="B",BF721,MAX(BF721,H721))),ROUNDUP(BD721,0)))</f>
        <v>1</v>
      </c>
      <c r="BA721" s="50" t="n">
        <f aca="false">IF(BZ721=1,0,ROUNDUP(AZ721/BY721,0))</f>
        <v>1</v>
      </c>
      <c r="BB721" s="52" t="n">
        <f aca="false">IF(CQ721&gt;0,CQ721*MAX(1,AZ721/X721),IF(BZ721=1,IF(AZ721&lt;=0,0,CD721*MAX(1,IF(H721&gt;0,AZ721/H721,1))),IF(R721&gt;0,BA721/R721,0))/MAX(0.1,N(Parameter!$M$21)))</f>
        <v>0.0833333333333333</v>
      </c>
      <c r="BC721" s="50" t="n">
        <f aca="false">BB721*CB721</f>
        <v>12.0833333333333</v>
      </c>
      <c r="BD721" s="51" t="n">
        <f aca="false">IF(LEFT(Cockpit!$O$5,1)="A",H721,IF(CH721=1,(CK721+CI721)/2,IF(LEFT(Cockpit!$O$5,1)="B",(CK721+BF721)/2,MAX((CK721+BF721)/2,H721))))</f>
        <v>0.5</v>
      </c>
      <c r="BE721" s="50" t="n">
        <f aca="false">BD721*G721</f>
        <v>149.5</v>
      </c>
      <c r="BF721" s="50" t="n">
        <f aca="false">ROUNDUP(CK721+MAX(CL721,2*(J721/IF(CG721&gt;0,CG721,MAX(0.1,N(Cockpit!$O$6)))-CK721)),0)</f>
        <v>1</v>
      </c>
      <c r="BG721" s="51" t="n">
        <f aca="false">IF(BC721&gt;0,J721/BC721,-1)</f>
        <v>0</v>
      </c>
      <c r="BH721" s="51" t="n">
        <f aca="false">IF(AND(OR(CF721="L1",CF721="L23",CF721="LIFT"),BC721&gt;0),SUMIFS($BC$7:$BC$1843,$CF$7:$CF$1843,CF721,$BG$7:$BG$1843,"&gt;"&amp;BG721)+SUMIFS($BC$7:$BC$1843,$CF$7:$CF$1843,CF721,$BG$7:$BG$1843,BG721,$BW$7:$BW$1843,"&lt;="&amp;BW721),"")</f>
        <v>28232.8487846899</v>
      </c>
      <c r="BI721" s="58" t="n">
        <f aca="false">IF(BH721="",0,MAX(0,MIN(1,(IF(CF721="L1",Parameter!$H$5,IF(CF721="L23",Parameter!$H$6+Parameter!$H$7,Parameter!$H$5+Parameter!$H$6+Parameter!$H$7))-(BH721-BC721))/BC721)))</f>
        <v>1</v>
      </c>
      <c r="BJ721" s="48" t="str">
        <f aca="false">IF(AI721&lt;=0,"",IF(CF721="Aussen","Aussenlager",IF(CF721="-","Nicht im Lift",IF(AO721&gt;=1,"Lift",IF(AO721&lt;=0,"Aussenlager","teilweise")))))</f>
        <v/>
      </c>
      <c r="BK721" s="48" t="str">
        <f aca="false">IF(AS721&lt;=0,"",IF(CF721="Aussen","Aussenlager",IF(CF721="-","Nicht im Lift",IF(AY721&gt;=1,"Lift",IF(AY721&lt;=0,"Aussenlager","teilweise")))))</f>
        <v>Lift</v>
      </c>
      <c r="BL721" s="48" t="str">
        <f aca="false">IF(BC721&lt;=0,"",IF(CF721="Aussen","Aussenlager",IF(CF721="-","Nicht im Lift",IF(BI721&gt;=1,"Lift",IF(BI721&lt;=0,"Aussenlager","teilweise")))))</f>
        <v>Lift</v>
      </c>
      <c r="BM721" s="48" t="str">
        <f aca="false">IF(A721="","",IF(BV721=1,"Neu; ","")&amp;IF(AND(BV721=0,BQ721&lt;0),"negativer Bestand (Export "&amp;BQ721&amp;"); ","")&amp;IF(J721&lt;=0,"Kein Verbrauch; ","")&amp;IF(CQ721&gt;0,"Lift "&amp;W721&amp;" lt. Liftbericht (Fach "&amp;X721&amp;" Stk); ",IF(CA721=1,"Gebinde geschätzt ("&amp;T721&amp;"); ",IF(BZ721=1,"Lose – Tablare geschätzt; ","")))&amp;IF(H721&gt;AV721,"Überbestand "&amp;ROUND(H721-AV721,0)&amp;" Stk / CHF "&amp;ROUND((H721-AV721)*G721,0)&amp;"; ","")&amp;IF(AND(CH721=1,CI721&lt;CJ721),"MAX &lt; MB+LG; ","")&amp;IF(AND(CP721&gt;0,CO721*10&gt;CP721),"zu hoch für Tablar; ","")&amp;IF(AND(BV721=0,OR(CH721=1,AA721&lt;&gt;"",U721&lt;&gt;"",V721&lt;&gt;"",AB721&lt;&gt;"")),"manuell übersteuert; ","")&amp;IF(AND(BZ721=0,R721=0),"Gebinde unbekannt / Stellmass fehlt; ","")&amp;IF(AND(BZ721=0,N(V721)&lt;=0,N(Q721)&lt;=0),"Menge pro Gebinde fehlt (Ist = 1 Gebinde); ","")&amp;BU721)</f>
        <v>Kein Verbrauch; </v>
      </c>
      <c r="BN721" s="48"/>
      <c r="BO721" s="48"/>
      <c r="BP721" s="55"/>
      <c r="BQ721" s="50" t="n">
        <v>0</v>
      </c>
      <c r="BR721" s="50" t="n">
        <v>0</v>
      </c>
      <c r="BS721" s="49" t="n">
        <v>0</v>
      </c>
      <c r="BT721" s="50" t="n">
        <v>0</v>
      </c>
      <c r="BU721" s="48"/>
      <c r="BV721" s="53" t="n">
        <v>0</v>
      </c>
      <c r="BW721" s="53" t="n">
        <v>721</v>
      </c>
      <c r="BX721" s="48" t="str">
        <f aca="false">IF(U721&lt;&gt;"",UPPER(TRIM(U721)),IF(CA721=1,UPPER(VLOOKUP(T721,Parameter!$I$27:$K$29,2,0)),IF(P721="","LOSE",P721)))</f>
        <v>S61</v>
      </c>
      <c r="BY721" s="50" t="n">
        <f aca="false">IF(BX721="LOSE",1,IF(N(V721)&gt;0,V721,IF(CA721=1,MAX(1,N(VLOOKUP(T721,Parameter!$I$27:$K$29,3,0)),H721,N(N721)),IF(N(Q721)&gt;0,Q721,MAX(1,H721)))))</f>
        <v>1</v>
      </c>
      <c r="BZ721" s="53" t="n">
        <f aca="false">IF(BX721="LOSE",1,0)</f>
        <v>0</v>
      </c>
      <c r="CA721" s="53" t="n">
        <f aca="false">IF(AND(U721="",OR(P721="",P721="LOSE"),T721&lt;&gt;"",N(S721)&lt;=0,ISNUMBER(MATCH(T721,Parameter!$I$27:$I$29,0))),1,0)</f>
        <v>0</v>
      </c>
      <c r="CB721" s="53" t="n">
        <f aca="false">IF(CQ721&gt;0,INDEX(Parameter!$H$5:$H$7,W721)/INDEX(Parameter!$E$5:$E$7,W721),IF(AND(BZ721=0,N(IFERROR(VLOOKUP(BX721,'Gebinde-Kategorie'!$A$5:$N$45,14,0),0))&gt;0),VLOOKUP(BX721,'Gebinde-Kategorie'!$A$5:$N$45,14,0)*10+Parameter!$M$23,Parameter!$M$24))</f>
        <v>145</v>
      </c>
      <c r="CC721" s="48" t="str">
        <f aca="false">IF(AND(Parameter!$B$19="Ja",E721&lt;&gt;"",ISNUMBER(MATCH(E721,Parameter!$I$35:$I$52,0))),VLOOKUP(E721,Parameter!$I$35:$J$52,2,0),IFERROR(VLOOKUP(D721,Parameter!$A$35:$C$64,2,0),"Nein"))</f>
        <v>2+3</v>
      </c>
      <c r="CD721" s="52" t="n">
        <f aca="false">IF(BZ721=0,0,IF(N(S721)&gt;0,S721,IFERROR(VLOOKUP(D721,Parameter!$A$35:$C$64,3,0)+0,0)))</f>
        <v>0</v>
      </c>
      <c r="CE721" s="48" t="n">
        <f aca="false">IF(AA721&lt;&gt;"",AA721,Z721)</f>
        <v>2</v>
      </c>
      <c r="CF721" s="48" t="str">
        <f aca="false">IF(OR(CE721=1,CE721=2,CE721=3),IF(Parameter!$E$27="Ja","LIFT",IF(CE721=1,"L1","L23")),IF(CE721="Aussen","Aussen","-"))</f>
        <v>LIFT</v>
      </c>
      <c r="CG721" s="59" t="n">
        <f aca="false">IF(N(AB721)&gt;0,AB721,0)</f>
        <v>0</v>
      </c>
      <c r="CH721" s="53" t="n">
        <f aca="false">IF(ISNUMBER(AE721),1,0)</f>
        <v>0</v>
      </c>
      <c r="CI721" s="50" t="n">
        <f aca="false">N(AE721)</f>
        <v>0</v>
      </c>
      <c r="CJ721" s="50" t="n">
        <f aca="false">N(M721)+N(N721)</f>
        <v>1</v>
      </c>
      <c r="CK721" s="50" t="n">
        <f aca="false">N(M721)</f>
        <v>0</v>
      </c>
      <c r="CL721" s="50" t="n">
        <f aca="false">N(N721)</f>
        <v>1</v>
      </c>
      <c r="CM721" s="50" t="n">
        <f aca="false">ROUNDUP(H721/BY721,0)</f>
        <v>0</v>
      </c>
      <c r="CN721" s="50" t="n">
        <f aca="false">ROUNDUP(CI721/BY721,0)</f>
        <v>0</v>
      </c>
      <c r="CO721" s="53" t="n">
        <f aca="false">IF(BZ721=1,0,IFERROR(VLOOKUP(BX721,'Gebinde-Kategorie'!$A$5:$N$45,5,0)+0,0))</f>
        <v>11</v>
      </c>
      <c r="CP721" s="53" t="n">
        <f aca="false">IFERROR(IF(OR(CE721=1,CE721=2,CE721=3),N(INDEX(Parameter!$I$5:$I$7,CE721)),0),0)</f>
        <v>0</v>
      </c>
      <c r="CQ721" s="52" t="n">
        <f aca="false">IF(AND(Parameter!$B$21="Ja",ISNUMBER(W721),N(X721)&gt;0),IFERROR(N(INDEX(Parameter!$L$5:$L$7,W721))*INDEX(Parameter!$E$5:$E$7,W721)*X721/SUMIFS($X$7:$X$1843,$W$7:$W$1843,W721),0),0)</f>
        <v>0</v>
      </c>
    </row>
    <row r="722" customFormat="false" ht="15" hidden="false" customHeight="false" outlineLevel="0" collapsed="false">
      <c r="A722" s="48" t="s">
        <v>1443</v>
      </c>
      <c r="B722" s="48" t="s">
        <v>553</v>
      </c>
      <c r="C722" s="48" t="s">
        <v>173</v>
      </c>
      <c r="D722" s="48" t="s">
        <v>1004</v>
      </c>
      <c r="E722" s="48"/>
      <c r="F722" s="48" t="s">
        <v>227</v>
      </c>
      <c r="G722" s="49" t="n">
        <v>28.69</v>
      </c>
      <c r="H722" s="50" t="n">
        <f aca="false">MAX(0,IF(AND(Parameter!$B$21="Ja",ISNUMBER(Y722)),Y722,IF(Parameter!$B$20="Jahresanfang 2025 + Export",BR722+BQ722,BQ722)))</f>
        <v>15</v>
      </c>
      <c r="I722" s="50" t="n">
        <f aca="false">H722*G722</f>
        <v>430.35</v>
      </c>
      <c r="J722" s="50" t="n">
        <f aca="false">BT722*Parameter!$B$18</f>
        <v>0</v>
      </c>
      <c r="K722" s="51" t="n">
        <v>12</v>
      </c>
      <c r="L722" s="52" t="n">
        <v>0</v>
      </c>
      <c r="M722" s="50" t="n">
        <v>0</v>
      </c>
      <c r="N722" s="50" t="n">
        <v>10</v>
      </c>
      <c r="O722" s="53" t="n">
        <v>28</v>
      </c>
      <c r="P722" s="48" t="s">
        <v>177</v>
      </c>
      <c r="Q722" s="50"/>
      <c r="R722" s="53" t="n">
        <f aca="false">IF(BZ722=1,0,IFERROR(VLOOKUP(BX722,'Gebinde-Kategorie'!$A$5:$N$45,13,0)+0,0))</f>
        <v>0</v>
      </c>
      <c r="S722" s="54"/>
      <c r="T722" s="55"/>
      <c r="U722" s="55"/>
      <c r="V722" s="55"/>
      <c r="W722" s="48"/>
      <c r="X722" s="50"/>
      <c r="Y722" s="50"/>
      <c r="Z722" s="48" t="str">
        <f aca="false">IF(A722="","",IF(AND(Parameter!$B$21="Ja",ISNUMBER(W722)),W722,IF(CC722="2+3",IF(ISNUMBER(SEARCH("grosser Artikel",BU722)),2,IFERROR(VLOOKUP(BX722,Parameter!$F$35:$G$64,2,0),2)),IF(OR(CC722="Nein",CC722=""),"-",CC722))))</f>
        <v>-</v>
      </c>
      <c r="AA722" s="55"/>
      <c r="AB722" s="56"/>
      <c r="AC722" s="50" t="n">
        <f aca="false">AV722</f>
        <v>10</v>
      </c>
      <c r="AD722" s="50" t="n">
        <f aca="false">MAX(AV722,H722)</f>
        <v>15</v>
      </c>
      <c r="AE722" s="57"/>
      <c r="AF722" s="50" t="n">
        <f aca="false">IF(LEFT(Cockpit!$C$5,1)="A",H722,IF(Parameter!$E$30="MAX-Bestand",IF(CH722=1,CI722,IF(LEFT(Cockpit!$C$5,1)="B",AL722,MAX(AL722,H722))),ROUNDUP(AJ722,0)))</f>
        <v>15</v>
      </c>
      <c r="AG722" s="50" t="n">
        <f aca="false">IF(BZ722=1,0,ROUNDUP(AF722/BY722,0))</f>
        <v>0</v>
      </c>
      <c r="AH722" s="52" t="n">
        <f aca="false">IF(CQ722&gt;0,CQ722*MAX(1,AF722/X722),IF(BZ722=1,IF(AF722&lt;=0,0,CD722*MAX(1,IF(H722&gt;0,AF722/H722,1))),IF(R722&gt;0,AG722/R722,0))/MAX(0.1,N(Parameter!$M$21)))</f>
        <v>0.15</v>
      </c>
      <c r="AI722" s="50" t="n">
        <f aca="false">AH722*CB722</f>
        <v>35.25</v>
      </c>
      <c r="AJ722" s="51" t="n">
        <f aca="false">IF(LEFT(Cockpit!$C$5,1)="A",H722,IF(CH722=1,(CK722+CI722)/2,IF(LEFT(Cockpit!$C$5,1)="B",(CK722+AL722)/2,MAX((CK722+AL722)/2,H722))))</f>
        <v>15</v>
      </c>
      <c r="AK722" s="50" t="n">
        <f aca="false">AJ722*G722</f>
        <v>430.35</v>
      </c>
      <c r="AL722" s="50" t="n">
        <f aca="false">ROUNDUP(CK722+MAX(CL722,2*(J722/IF(CG722&gt;0,CG722,MAX(0.1,N(Cockpit!$C$6)))-CK722)),0)</f>
        <v>10</v>
      </c>
      <c r="AM722" s="51" t="n">
        <f aca="false">IF(AI722&gt;0,J722/AI722,-1)</f>
        <v>0</v>
      </c>
      <c r="AN722" s="51" t="str">
        <f aca="false">IF(AND(OR(CF722="L1",CF722="L23",CF722="LIFT"),AI722&gt;0),SUMIFS($AI$7:$AI$1843,$CF$7:$CF$1843,CF722,$AM$7:$AM$1843,"&gt;"&amp;AM722)+SUMIFS($AI$7:$AI$1843,$CF$7:$CF$1843,CF722,$AM$7:$AM$1843,AM722,$BW$7:$BW$1843,"&lt;="&amp;BW722),"")</f>
        <v/>
      </c>
      <c r="AO722" s="58" t="n">
        <f aca="false">IF(AN722="",0,MAX(0,MIN(1,(IF(CF722="L1",Parameter!$H$5,IF(CF722="L23",Parameter!$H$6+Parameter!$H$7,Parameter!$H$5+Parameter!$H$6+Parameter!$H$7))-(AN722-AI722))/AI722)))</f>
        <v>0</v>
      </c>
      <c r="AP722" s="50" t="n">
        <f aca="false">IF(LEFT(Cockpit!$I$5,1)="A",H722,IF(Parameter!$E$30="MAX-Bestand",IF(CH722=1,CI722,IF(LEFT(Cockpit!$I$5,1)="B",AV722,MAX(AV722,H722))),ROUNDUP(AT722,0)))</f>
        <v>15</v>
      </c>
      <c r="AQ722" s="50" t="n">
        <f aca="false">IF(BZ722=1,0,ROUNDUP(AP722/BY722,0))</f>
        <v>0</v>
      </c>
      <c r="AR722" s="52" t="n">
        <f aca="false">IF(CQ722&gt;0,CQ722*MAX(1,AP722/X722),IF(BZ722=1,IF(AP722&lt;=0,0,CD722*MAX(1,IF(H722&gt;0,AP722/H722,1))),IF(R722&gt;0,AQ722/R722,0))/MAX(0.1,N(Parameter!$M$21)))</f>
        <v>0.15</v>
      </c>
      <c r="AS722" s="50" t="n">
        <f aca="false">AR722*CB722</f>
        <v>35.25</v>
      </c>
      <c r="AT722" s="51" t="n">
        <f aca="false">IF(LEFT(Cockpit!$I$5,1)="A",H722,IF(CH722=1,(CK722+CI722)/2,IF(LEFT(Cockpit!$I$5,1)="B",(CK722+AV722)/2,MAX((CK722+AV722)/2,H722))))</f>
        <v>15</v>
      </c>
      <c r="AU722" s="50" t="n">
        <f aca="false">AT722*G722</f>
        <v>430.35</v>
      </c>
      <c r="AV722" s="50" t="n">
        <f aca="false">ROUNDUP(CK722+MAX(CL722,2*(J722/IF(CG722&gt;0,CG722,MAX(0.1,N(Cockpit!$I$6)))-CK722)),0)</f>
        <v>10</v>
      </c>
      <c r="AW722" s="51" t="n">
        <f aca="false">IF(AS722&gt;0,J722/AS722,-1)</f>
        <v>0</v>
      </c>
      <c r="AX722" s="51" t="str">
        <f aca="false">IF(AND(OR(CF722="L1",CF722="L23",CF722="LIFT"),AS722&gt;0),SUMIFS($AS$7:$AS$1843,$CF$7:$CF$1843,CF722,$AW$7:$AW$1843,"&gt;"&amp;AW722)+SUMIFS($AS$7:$AS$1843,$CF$7:$CF$1843,CF722,$AW$7:$AW$1843,AW722,$BW$7:$BW$1843,"&lt;="&amp;BW722),"")</f>
        <v/>
      </c>
      <c r="AY722" s="58" t="n">
        <f aca="false">IF(AX722="",0,MAX(0,MIN(1,(IF(CF722="L1",Parameter!$H$5,IF(CF722="L23",Parameter!$H$6+Parameter!$H$7,Parameter!$H$5+Parameter!$H$6+Parameter!$H$7))-(AX722-AS722))/AS722)))</f>
        <v>0</v>
      </c>
      <c r="AZ722" s="50" t="n">
        <f aca="false">IF(LEFT(Cockpit!$O$5,1)="A",H722,IF(Parameter!$E$30="MAX-Bestand",IF(CH722=1,CI722,IF(LEFT(Cockpit!$O$5,1)="B",BF722,MAX(BF722,H722))),ROUNDUP(BD722,0)))</f>
        <v>5</v>
      </c>
      <c r="BA722" s="50" t="n">
        <f aca="false">IF(BZ722=1,0,ROUNDUP(AZ722/BY722,0))</f>
        <v>0</v>
      </c>
      <c r="BB722" s="52" t="n">
        <f aca="false">IF(CQ722&gt;0,CQ722*MAX(1,AZ722/X722),IF(BZ722=1,IF(AZ722&lt;=0,0,CD722*MAX(1,IF(H722&gt;0,AZ722/H722,1))),IF(R722&gt;0,BA722/R722,0))/MAX(0.1,N(Parameter!$M$21)))</f>
        <v>0.15</v>
      </c>
      <c r="BC722" s="50" t="n">
        <f aca="false">BB722*CB722</f>
        <v>35.25</v>
      </c>
      <c r="BD722" s="51" t="n">
        <f aca="false">IF(LEFT(Cockpit!$O$5,1)="A",H722,IF(CH722=1,(CK722+CI722)/2,IF(LEFT(Cockpit!$O$5,1)="B",(CK722+BF722)/2,MAX((CK722+BF722)/2,H722))))</f>
        <v>5</v>
      </c>
      <c r="BE722" s="50" t="n">
        <f aca="false">BD722*G722</f>
        <v>143.45</v>
      </c>
      <c r="BF722" s="50" t="n">
        <f aca="false">ROUNDUP(CK722+MAX(CL722,2*(J722/IF(CG722&gt;0,CG722,MAX(0.1,N(Cockpit!$O$6)))-CK722)),0)</f>
        <v>10</v>
      </c>
      <c r="BG722" s="51" t="n">
        <f aca="false">IF(BC722&gt;0,J722/BC722,-1)</f>
        <v>0</v>
      </c>
      <c r="BH722" s="51" t="str">
        <f aca="false">IF(AND(OR(CF722="L1",CF722="L23",CF722="LIFT"),BC722&gt;0),SUMIFS($BC$7:$BC$1843,$CF$7:$CF$1843,CF722,$BG$7:$BG$1843,"&gt;"&amp;BG722)+SUMIFS($BC$7:$BC$1843,$CF$7:$CF$1843,CF722,$BG$7:$BG$1843,BG722,$BW$7:$BW$1843,"&lt;="&amp;BW722),"")</f>
        <v/>
      </c>
      <c r="BI722" s="58" t="n">
        <f aca="false">IF(BH722="",0,MAX(0,MIN(1,(IF(CF722="L1",Parameter!$H$5,IF(CF722="L23",Parameter!$H$6+Parameter!$H$7,Parameter!$H$5+Parameter!$H$6+Parameter!$H$7))-(BH722-BC722))/BC722)))</f>
        <v>0</v>
      </c>
      <c r="BJ722" s="48" t="str">
        <f aca="false">IF(AI722&lt;=0,"",IF(CF722="Aussen","Aussenlager",IF(CF722="-","Nicht im Lift",IF(AO722&gt;=1,"Lift",IF(AO722&lt;=0,"Aussenlager","teilweise")))))</f>
        <v>Nicht im Lift</v>
      </c>
      <c r="BK722" s="48" t="str">
        <f aca="false">IF(AS722&lt;=0,"",IF(CF722="Aussen","Aussenlager",IF(CF722="-","Nicht im Lift",IF(AY722&gt;=1,"Lift",IF(AY722&lt;=0,"Aussenlager","teilweise")))))</f>
        <v>Nicht im Lift</v>
      </c>
      <c r="BL722" s="48" t="str">
        <f aca="false">IF(BC722&lt;=0,"",IF(CF722="Aussen","Aussenlager",IF(CF722="-","Nicht im Lift",IF(BI722&gt;=1,"Lift",IF(BI722&lt;=0,"Aussenlager","teilweise")))))</f>
        <v>Nicht im Lift</v>
      </c>
      <c r="BM722" s="48" t="str">
        <f aca="false">IF(A722="","",IF(BV722=1,"Neu; ","")&amp;IF(AND(BV722=0,BQ722&lt;0),"negativer Bestand (Export "&amp;BQ722&amp;"); ","")&amp;IF(J722&lt;=0,"Kein Verbrauch; ","")&amp;IF(CQ722&gt;0,"Lift "&amp;W722&amp;" lt. Liftbericht (Fach "&amp;X722&amp;" Stk); ",IF(CA722=1,"Gebinde geschätzt ("&amp;T722&amp;"); ",IF(BZ722=1,"Lose – Tablare geschätzt; ","")))&amp;IF(H722&gt;AV722,"Überbestand "&amp;ROUND(H722-AV722,0)&amp;" Stk / CHF "&amp;ROUND((H722-AV722)*G722,0)&amp;"; ","")&amp;IF(AND(CH722=1,CI722&lt;CJ722),"MAX &lt; MB+LG; ","")&amp;IF(AND(CP722&gt;0,CO722*10&gt;CP722),"zu hoch für Tablar; ","")&amp;IF(AND(BV722=0,OR(CH722=1,AA722&lt;&gt;"",U722&lt;&gt;"",V722&lt;&gt;"",AB722&lt;&gt;"")),"manuell übersteuert; ","")&amp;IF(AND(BZ722=0,R722=0),"Gebinde unbekannt / Stellmass fehlt; ","")&amp;IF(AND(BZ722=0,N(V722)&lt;=0,N(Q722)&lt;=0),"Menge pro Gebinde fehlt (Ist = 1 Gebinde); ","")&amp;BU722)</f>
        <v>Kein Verbrauch; Lose – Tablare geschätzt; Überbestand 5 Stk / CHF 143; </v>
      </c>
      <c r="BN722" s="48"/>
      <c r="BO722" s="48"/>
      <c r="BP722" s="55"/>
      <c r="BQ722" s="50" t="n">
        <v>3</v>
      </c>
      <c r="BR722" s="50" t="n">
        <v>12</v>
      </c>
      <c r="BS722" s="49" t="n">
        <v>0</v>
      </c>
      <c r="BT722" s="50" t="n">
        <v>0</v>
      </c>
      <c r="BU722" s="48"/>
      <c r="BV722" s="53" t="n">
        <v>0</v>
      </c>
      <c r="BW722" s="53" t="n">
        <v>722</v>
      </c>
      <c r="BX722" s="48" t="str">
        <f aca="false">IF(U722&lt;&gt;"",UPPER(TRIM(U722)),IF(CA722=1,UPPER(VLOOKUP(T722,Parameter!$I$27:$K$29,2,0)),IF(P722="","LOSE",P722)))</f>
        <v>LOSE</v>
      </c>
      <c r="BY722" s="50" t="n">
        <f aca="false">IF(BX722="LOSE",1,IF(N(V722)&gt;0,V722,IF(CA722=1,MAX(1,N(VLOOKUP(T722,Parameter!$I$27:$K$29,3,0)),H722,N(N722)),IF(N(Q722)&gt;0,Q722,MAX(1,H722)))))</f>
        <v>1</v>
      </c>
      <c r="BZ722" s="53" t="n">
        <f aca="false">IF(BX722="LOSE",1,0)</f>
        <v>1</v>
      </c>
      <c r="CA722" s="53" t="n">
        <f aca="false">IF(AND(U722="",OR(P722="",P722="LOSE"),T722&lt;&gt;"",N(S722)&lt;=0,ISNUMBER(MATCH(T722,Parameter!$I$27:$I$29,0))),1,0)</f>
        <v>0</v>
      </c>
      <c r="CB722" s="53" t="n">
        <f aca="false">IF(CQ722&gt;0,INDEX(Parameter!$H$5:$H$7,W722)/INDEX(Parameter!$E$5:$E$7,W722),IF(AND(BZ722=0,N(IFERROR(VLOOKUP(BX722,'Gebinde-Kategorie'!$A$5:$N$45,14,0),0))&gt;0),VLOOKUP(BX722,'Gebinde-Kategorie'!$A$5:$N$45,14,0)*10+Parameter!$M$23,Parameter!$M$24))</f>
        <v>235</v>
      </c>
      <c r="CC722" s="48" t="str">
        <f aca="false">IF(AND(Parameter!$B$19="Ja",E722&lt;&gt;"",ISNUMBER(MATCH(E722,Parameter!$I$35:$I$52,0))),VLOOKUP(E722,Parameter!$I$35:$J$52,2,0),IFERROR(VLOOKUP(D722,Parameter!$A$35:$C$64,2,0),"Nein"))</f>
        <v>Nein</v>
      </c>
      <c r="CD722" s="52" t="n">
        <f aca="false">IF(BZ722=0,0,IF(N(S722)&gt;0,S722,IFERROR(VLOOKUP(D722,Parameter!$A$35:$C$64,3,0)+0,0)))</f>
        <v>0.15</v>
      </c>
      <c r="CE722" s="48" t="str">
        <f aca="false">IF(AA722&lt;&gt;"",AA722,Z722)</f>
        <v>-</v>
      </c>
      <c r="CF722" s="48" t="str">
        <f aca="false">IF(OR(CE722=1,CE722=2,CE722=3),IF(Parameter!$E$27="Ja","LIFT",IF(CE722=1,"L1","L23")),IF(CE722="Aussen","Aussen","-"))</f>
        <v>-</v>
      </c>
      <c r="CG722" s="59" t="n">
        <f aca="false">IF(N(AB722)&gt;0,AB722,0)</f>
        <v>0</v>
      </c>
      <c r="CH722" s="53" t="n">
        <f aca="false">IF(ISNUMBER(AE722),1,0)</f>
        <v>0</v>
      </c>
      <c r="CI722" s="50" t="n">
        <f aca="false">N(AE722)</f>
        <v>0</v>
      </c>
      <c r="CJ722" s="50" t="n">
        <f aca="false">N(M722)+N(N722)</f>
        <v>10</v>
      </c>
      <c r="CK722" s="50" t="n">
        <f aca="false">N(M722)</f>
        <v>0</v>
      </c>
      <c r="CL722" s="50" t="n">
        <f aca="false">N(N722)</f>
        <v>10</v>
      </c>
      <c r="CM722" s="50" t="n">
        <f aca="false">ROUNDUP(H722/BY722,0)</f>
        <v>15</v>
      </c>
      <c r="CN722" s="50" t="n">
        <f aca="false">ROUNDUP(CI722/BY722,0)</f>
        <v>0</v>
      </c>
      <c r="CO722" s="53" t="n">
        <f aca="false">IF(BZ722=1,0,IFERROR(VLOOKUP(BX722,'Gebinde-Kategorie'!$A$5:$N$45,5,0)+0,0))</f>
        <v>0</v>
      </c>
      <c r="CP722" s="53" t="n">
        <f aca="false">IFERROR(IF(OR(CE722=1,CE722=2,CE722=3),N(INDEX(Parameter!$I$5:$I$7,CE722)),0),0)</f>
        <v>0</v>
      </c>
      <c r="CQ722" s="52" t="n">
        <f aca="false">IF(AND(Parameter!$B$21="Ja",ISNUMBER(W722),N(X722)&gt;0),IFERROR(N(INDEX(Parameter!$L$5:$L$7,W722))*INDEX(Parameter!$E$5:$E$7,W722)*X722/SUMIFS($X$7:$X$1843,$W$7:$W$1843,W722),0),0)</f>
        <v>0</v>
      </c>
    </row>
    <row r="723" customFormat="false" ht="15" hidden="false" customHeight="false" outlineLevel="0" collapsed="false">
      <c r="A723" s="48" t="s">
        <v>1444</v>
      </c>
      <c r="B723" s="48" t="s">
        <v>1063</v>
      </c>
      <c r="C723" s="48" t="s">
        <v>173</v>
      </c>
      <c r="D723" s="48" t="s">
        <v>859</v>
      </c>
      <c r="E723" s="48" t="s">
        <v>194</v>
      </c>
      <c r="F723" s="48" t="s">
        <v>227</v>
      </c>
      <c r="G723" s="49" t="n">
        <v>4.4</v>
      </c>
      <c r="H723" s="50" t="n">
        <f aca="false">MAX(0,IF(AND(Parameter!$B$21="Ja",ISNUMBER(Y723)),Y723,IF(Parameter!$B$20="Jahresanfang 2025 + Export",BR723+BQ723,BQ723)))</f>
        <v>0</v>
      </c>
      <c r="I723" s="50" t="n">
        <f aca="false">H723*G723</f>
        <v>0</v>
      </c>
      <c r="J723" s="50" t="n">
        <f aca="false">BT723*Parameter!$B$18</f>
        <v>24</v>
      </c>
      <c r="K723" s="51" t="n">
        <v>0</v>
      </c>
      <c r="L723" s="52" t="n">
        <v>0</v>
      </c>
      <c r="M723" s="50" t="n">
        <v>0</v>
      </c>
      <c r="N723" s="50" t="n">
        <v>12</v>
      </c>
      <c r="O723" s="53" t="n">
        <v>14</v>
      </c>
      <c r="P723" s="48" t="s">
        <v>311</v>
      </c>
      <c r="Q723" s="50" t="n">
        <v>50</v>
      </c>
      <c r="R723" s="53" t="n">
        <f aca="false">IF(BZ723=1,0,IFERROR(VLOOKUP(BX723,'Gebinde-Kategorie'!$A$5:$N$45,13,0)+0,0))</f>
        <v>26</v>
      </c>
      <c r="S723" s="54"/>
      <c r="T723" s="55"/>
      <c r="U723" s="55"/>
      <c r="V723" s="55"/>
      <c r="W723" s="48"/>
      <c r="X723" s="50"/>
      <c r="Y723" s="50"/>
      <c r="Z723" s="48" t="n">
        <f aca="false">IF(A723="","",IF(AND(Parameter!$B$21="Ja",ISNUMBER(W723)),W723,IF(CC723="2+3",IF(ISNUMBER(SEARCH("grosser Artikel",BU723)),2,IFERROR(VLOOKUP(BX723,Parameter!$F$35:$G$64,2,0),2)),IF(OR(CC723="Nein",CC723=""),"-",CC723))))</f>
        <v>3</v>
      </c>
      <c r="AA723" s="55"/>
      <c r="AB723" s="56"/>
      <c r="AC723" s="50" t="n">
        <f aca="false">AV723</f>
        <v>16</v>
      </c>
      <c r="AD723" s="50" t="n">
        <f aca="false">MAX(AV723,H723)</f>
        <v>16</v>
      </c>
      <c r="AE723" s="57"/>
      <c r="AF723" s="50" t="n">
        <f aca="false">IF(LEFT(Cockpit!$C$5,1)="A",H723,IF(Parameter!$E$30="MAX-Bestand",IF(CH723=1,CI723,IF(LEFT(Cockpit!$C$5,1)="B",AL723,MAX(AL723,H723))),ROUNDUP(AJ723,0)))</f>
        <v>0</v>
      </c>
      <c r="AG723" s="50" t="n">
        <f aca="false">IF(BZ723=1,0,ROUNDUP(AF723/BY723,0))</f>
        <v>0</v>
      </c>
      <c r="AH723" s="52" t="n">
        <f aca="false">IF(CQ723&gt;0,CQ723*MAX(1,AF723/X723),IF(BZ723=1,IF(AF723&lt;=0,0,CD723*MAX(1,IF(H723&gt;0,AF723/H723,1))),IF(R723&gt;0,AG723/R723,0))/MAX(0.1,N(Parameter!$M$21)))</f>
        <v>0</v>
      </c>
      <c r="AI723" s="50" t="n">
        <f aca="false">AH723*CB723</f>
        <v>0</v>
      </c>
      <c r="AJ723" s="51" t="n">
        <f aca="false">IF(LEFT(Cockpit!$C$5,1)="A",H723,IF(CH723=1,(CK723+CI723)/2,IF(LEFT(Cockpit!$C$5,1)="B",(CK723+AL723)/2,MAX((CK723+AL723)/2,H723))))</f>
        <v>0</v>
      </c>
      <c r="AK723" s="50" t="n">
        <f aca="false">AJ723*G723</f>
        <v>0</v>
      </c>
      <c r="AL723" s="50" t="n">
        <f aca="false">ROUNDUP(CK723+MAX(CL723,2*(J723/IF(CG723&gt;0,CG723,MAX(0.1,N(Cockpit!$C$6)))-CK723)),0)</f>
        <v>16</v>
      </c>
      <c r="AM723" s="51" t="n">
        <f aca="false">IF(AI723&gt;0,J723/AI723,-1)</f>
        <v>-1</v>
      </c>
      <c r="AN723" s="51" t="str">
        <f aca="false">IF(AND(OR(CF723="L1",CF723="L23",CF723="LIFT"),AI723&gt;0),SUMIFS($AI$7:$AI$1843,$CF$7:$CF$1843,CF723,$AM$7:$AM$1843,"&gt;"&amp;AM723)+SUMIFS($AI$7:$AI$1843,$CF$7:$CF$1843,CF723,$AM$7:$AM$1843,AM723,$BW$7:$BW$1843,"&lt;="&amp;BW723),"")</f>
        <v/>
      </c>
      <c r="AO723" s="58" t="n">
        <f aca="false">IF(AN723="",0,MAX(0,MIN(1,(IF(CF723="L1",Parameter!$H$5,IF(CF723="L23",Parameter!$H$6+Parameter!$H$7,Parameter!$H$5+Parameter!$H$6+Parameter!$H$7))-(AN723-AI723))/AI723)))</f>
        <v>0</v>
      </c>
      <c r="AP723" s="50" t="n">
        <f aca="false">IF(LEFT(Cockpit!$I$5,1)="A",H723,IF(Parameter!$E$30="MAX-Bestand",IF(CH723=1,CI723,IF(LEFT(Cockpit!$I$5,1)="B",AV723,MAX(AV723,H723))),ROUNDUP(AT723,0)))</f>
        <v>8</v>
      </c>
      <c r="AQ723" s="50" t="n">
        <f aca="false">IF(BZ723=1,0,ROUNDUP(AP723/BY723,0))</f>
        <v>1</v>
      </c>
      <c r="AR723" s="52" t="n">
        <f aca="false">IF(CQ723&gt;0,CQ723*MAX(1,AP723/X723),IF(BZ723=1,IF(AP723&lt;=0,0,CD723*MAX(1,IF(H723&gt;0,AP723/H723,1))),IF(R723&gt;0,AQ723/R723,0))/MAX(0.1,N(Parameter!$M$21)))</f>
        <v>0.0384615384615385</v>
      </c>
      <c r="AS723" s="50" t="n">
        <f aca="false">AR723*CB723</f>
        <v>5.96153846153846</v>
      </c>
      <c r="AT723" s="51" t="n">
        <f aca="false">IF(LEFT(Cockpit!$I$5,1)="A",H723,IF(CH723=1,(CK723+CI723)/2,IF(LEFT(Cockpit!$I$5,1)="B",(CK723+AV723)/2,MAX((CK723+AV723)/2,H723))))</f>
        <v>8</v>
      </c>
      <c r="AU723" s="50" t="n">
        <f aca="false">AT723*G723</f>
        <v>35.2</v>
      </c>
      <c r="AV723" s="50" t="n">
        <f aca="false">ROUNDUP(CK723+MAX(CL723,2*(J723/IF(CG723&gt;0,CG723,MAX(0.1,N(Cockpit!$I$6)))-CK723)),0)</f>
        <v>16</v>
      </c>
      <c r="AW723" s="51" t="n">
        <f aca="false">IF(AS723&gt;0,J723/AS723,-1)</f>
        <v>4.0258064516129</v>
      </c>
      <c r="AX723" s="51" t="n">
        <f aca="false">IF(AND(OR(CF723="L1",CF723="L23",CF723="LIFT"),AS723&gt;0),SUMIFS($AS$7:$AS$1843,$CF$7:$CF$1843,CF723,$AW$7:$AW$1843,"&gt;"&amp;AW723)+SUMIFS($AS$7:$AS$1843,$CF$7:$CF$1843,CF723,$AW$7:$AW$1843,AW723,$BW$7:$BW$1843,"&lt;="&amp;BW723),"")</f>
        <v>4946.82097069597</v>
      </c>
      <c r="AY723" s="58" t="n">
        <f aca="false">IF(AX723="",0,MAX(0,MIN(1,(IF(CF723="L1",Parameter!$H$5,IF(CF723="L23",Parameter!$H$6+Parameter!$H$7,Parameter!$H$5+Parameter!$H$6+Parameter!$H$7))-(AX723-AS723))/AS723)))</f>
        <v>1</v>
      </c>
      <c r="AZ723" s="50" t="n">
        <f aca="false">IF(LEFT(Cockpit!$O$5,1)="A",H723,IF(Parameter!$E$30="MAX-Bestand",IF(CH723=1,CI723,IF(LEFT(Cockpit!$O$5,1)="B",BF723,MAX(BF723,H723))),ROUNDUP(BD723,0)))</f>
        <v>6</v>
      </c>
      <c r="BA723" s="50" t="n">
        <f aca="false">IF(BZ723=1,0,ROUNDUP(AZ723/BY723,0))</f>
        <v>1</v>
      </c>
      <c r="BB723" s="52" t="n">
        <f aca="false">IF(CQ723&gt;0,CQ723*MAX(1,AZ723/X723),IF(BZ723=1,IF(AZ723&lt;=0,0,CD723*MAX(1,IF(H723&gt;0,AZ723/H723,1))),IF(R723&gt;0,BA723/R723,0))/MAX(0.1,N(Parameter!$M$21)))</f>
        <v>0.0384615384615385</v>
      </c>
      <c r="BC723" s="50" t="n">
        <f aca="false">BB723*CB723</f>
        <v>5.96153846153846</v>
      </c>
      <c r="BD723" s="51" t="n">
        <f aca="false">IF(LEFT(Cockpit!$O$5,1)="A",H723,IF(CH723=1,(CK723+CI723)/2,IF(LEFT(Cockpit!$O$5,1)="B",(CK723+BF723)/2,MAX((CK723+BF723)/2,H723))))</f>
        <v>6</v>
      </c>
      <c r="BE723" s="50" t="n">
        <f aca="false">BD723*G723</f>
        <v>26.4</v>
      </c>
      <c r="BF723" s="50" t="n">
        <f aca="false">ROUNDUP(CK723+MAX(CL723,2*(J723/IF(CG723&gt;0,CG723,MAX(0.1,N(Cockpit!$O$6)))-CK723)),0)</f>
        <v>12</v>
      </c>
      <c r="BG723" s="51" t="n">
        <f aca="false">IF(BC723&gt;0,J723/BC723,-1)</f>
        <v>4.0258064516129</v>
      </c>
      <c r="BH723" s="51" t="n">
        <f aca="false">IF(AND(OR(CF723="L1",CF723="L23",CF723="LIFT"),BC723&gt;0),SUMIFS($BC$7:$BC$1843,$CF$7:$CF$1843,CF723,$BG$7:$BG$1843,"&gt;"&amp;BG723)+SUMIFS($BC$7:$BC$1843,$CF$7:$CF$1843,CF723,$BG$7:$BG$1843,BG723,$BW$7:$BW$1843,"&lt;="&amp;BW723),"")</f>
        <v>4058.42994505495</v>
      </c>
      <c r="BI723" s="58" t="n">
        <f aca="false">IF(BH723="",0,MAX(0,MIN(1,(IF(CF723="L1",Parameter!$H$5,IF(CF723="L23",Parameter!$H$6+Parameter!$H$7,Parameter!$H$5+Parameter!$H$6+Parameter!$H$7))-(BH723-BC723))/BC723)))</f>
        <v>1</v>
      </c>
      <c r="BJ723" s="48" t="str">
        <f aca="false">IF(AI723&lt;=0,"",IF(CF723="Aussen","Aussenlager",IF(CF723="-","Nicht im Lift",IF(AO723&gt;=1,"Lift",IF(AO723&lt;=0,"Aussenlager","teilweise")))))</f>
        <v/>
      </c>
      <c r="BK723" s="48" t="str">
        <f aca="false">IF(AS723&lt;=0,"",IF(CF723="Aussen","Aussenlager",IF(CF723="-","Nicht im Lift",IF(AY723&gt;=1,"Lift",IF(AY723&lt;=0,"Aussenlager","teilweise")))))</f>
        <v>Lift</v>
      </c>
      <c r="BL723" s="48" t="str">
        <f aca="false">IF(BC723&lt;=0,"",IF(CF723="Aussen","Aussenlager",IF(CF723="-","Nicht im Lift",IF(BI723&gt;=1,"Lift",IF(BI723&lt;=0,"Aussenlager","teilweise")))))</f>
        <v>Lift</v>
      </c>
      <c r="BM723" s="48" t="str">
        <f aca="false">IF(A723="","",IF(BV723=1,"Neu; ","")&amp;IF(AND(BV723=0,BQ723&lt;0),"negativer Bestand (Export "&amp;BQ723&amp;"); ","")&amp;IF(J723&lt;=0,"Kein Verbrauch; ","")&amp;IF(CQ723&gt;0,"Lift "&amp;W723&amp;" lt. Liftbericht (Fach "&amp;X723&amp;" Stk); ",IF(CA723=1,"Gebinde geschätzt ("&amp;T723&amp;"); ",IF(BZ723=1,"Lose – Tablare geschätzt; ","")))&amp;IF(H723&gt;AV723,"Überbestand "&amp;ROUND(H723-AV723,0)&amp;" Stk / CHF "&amp;ROUND((H723-AV723)*G723,0)&amp;"; ","")&amp;IF(AND(CH723=1,CI723&lt;CJ723),"MAX &lt; MB+LG; ","")&amp;IF(AND(CP723&gt;0,CO723*10&gt;CP723),"zu hoch für Tablar; ","")&amp;IF(AND(BV723=0,OR(CH723=1,AA723&lt;&gt;"",U723&lt;&gt;"",V723&lt;&gt;"",AB723&lt;&gt;"")),"manuell übersteuert; ","")&amp;IF(AND(BZ723=0,R723=0),"Gebinde unbekannt / Stellmass fehlt; ","")&amp;IF(AND(BZ723=0,N(V723)&lt;=0,N(Q723)&lt;=0),"Menge pro Gebinde fehlt (Ist = 1 Gebinde); ","")&amp;BU723)</f>
        <v/>
      </c>
      <c r="BN723" s="48"/>
      <c r="BO723" s="48"/>
      <c r="BP723" s="55"/>
      <c r="BQ723" s="50" t="n">
        <v>0</v>
      </c>
      <c r="BR723" s="50" t="n">
        <v>0</v>
      </c>
      <c r="BS723" s="49" t="n">
        <v>0</v>
      </c>
      <c r="BT723" s="50" t="n">
        <v>24</v>
      </c>
      <c r="BU723" s="48"/>
      <c r="BV723" s="53" t="n">
        <v>0</v>
      </c>
      <c r="BW723" s="53" t="n">
        <v>723</v>
      </c>
      <c r="BX723" s="48" t="str">
        <f aca="false">IF(U723&lt;&gt;"",UPPER(TRIM(U723)),IF(CA723=1,UPPER(VLOOKUP(T723,Parameter!$I$27:$K$29,2,0)),IF(P723="","LOSE",P723)))</f>
        <v>S51</v>
      </c>
      <c r="BY723" s="50" t="n">
        <f aca="false">IF(BX723="LOSE",1,IF(N(V723)&gt;0,V723,IF(CA723=1,MAX(1,N(VLOOKUP(T723,Parameter!$I$27:$K$29,3,0)),H723,N(N723)),IF(N(Q723)&gt;0,Q723,MAX(1,H723)))))</f>
        <v>50</v>
      </c>
      <c r="BZ723" s="53" t="n">
        <f aca="false">IF(BX723="LOSE",1,0)</f>
        <v>0</v>
      </c>
      <c r="CA723" s="53" t="n">
        <f aca="false">IF(AND(U723="",OR(P723="",P723="LOSE"),T723&lt;&gt;"",N(S723)&lt;=0,ISNUMBER(MATCH(T723,Parameter!$I$27:$I$29,0))),1,0)</f>
        <v>0</v>
      </c>
      <c r="CB723" s="53" t="n">
        <f aca="false">IF(CQ723&gt;0,INDEX(Parameter!$H$5:$H$7,W723)/INDEX(Parameter!$E$5:$E$7,W723),IF(AND(BZ723=0,N(IFERROR(VLOOKUP(BX723,'Gebinde-Kategorie'!$A$5:$N$45,14,0),0))&gt;0),VLOOKUP(BX723,'Gebinde-Kategorie'!$A$5:$N$45,14,0)*10+Parameter!$M$23,Parameter!$M$24))</f>
        <v>155</v>
      </c>
      <c r="CC723" s="48" t="str">
        <f aca="false">IF(AND(Parameter!$B$19="Ja",E723&lt;&gt;"",ISNUMBER(MATCH(E723,Parameter!$I$35:$I$52,0))),VLOOKUP(E723,Parameter!$I$35:$J$52,2,0),IFERROR(VLOOKUP(D723,Parameter!$A$35:$C$64,2,0),"Nein"))</f>
        <v>2+3</v>
      </c>
      <c r="CD723" s="52" t="n">
        <f aca="false">IF(BZ723=0,0,IF(N(S723)&gt;0,S723,IFERROR(VLOOKUP(D723,Parameter!$A$35:$C$64,3,0)+0,0)))</f>
        <v>0</v>
      </c>
      <c r="CE723" s="48" t="n">
        <f aca="false">IF(AA723&lt;&gt;"",AA723,Z723)</f>
        <v>3</v>
      </c>
      <c r="CF723" s="48" t="str">
        <f aca="false">IF(OR(CE723=1,CE723=2,CE723=3),IF(Parameter!$E$27="Ja","LIFT",IF(CE723=1,"L1","L23")),IF(CE723="Aussen","Aussen","-"))</f>
        <v>LIFT</v>
      </c>
      <c r="CG723" s="59" t="n">
        <f aca="false">IF(N(AB723)&gt;0,AB723,0)</f>
        <v>0</v>
      </c>
      <c r="CH723" s="53" t="n">
        <f aca="false">IF(ISNUMBER(AE723),1,0)</f>
        <v>0</v>
      </c>
      <c r="CI723" s="50" t="n">
        <f aca="false">N(AE723)</f>
        <v>0</v>
      </c>
      <c r="CJ723" s="50" t="n">
        <f aca="false">N(M723)+N(N723)</f>
        <v>12</v>
      </c>
      <c r="CK723" s="50" t="n">
        <f aca="false">N(M723)</f>
        <v>0</v>
      </c>
      <c r="CL723" s="50" t="n">
        <f aca="false">N(N723)</f>
        <v>12</v>
      </c>
      <c r="CM723" s="50" t="n">
        <f aca="false">ROUNDUP(H723/BY723,0)</f>
        <v>0</v>
      </c>
      <c r="CN723" s="50" t="n">
        <f aca="false">ROUNDUP(CI723/BY723,0)</f>
        <v>0</v>
      </c>
      <c r="CO723" s="53" t="n">
        <f aca="false">IF(BZ723=1,0,IFERROR(VLOOKUP(BX723,'Gebinde-Kategorie'!$A$5:$N$45,5,0)+0,0))</f>
        <v>11</v>
      </c>
      <c r="CP723" s="53" t="n">
        <f aca="false">IFERROR(IF(OR(CE723=1,CE723=2,CE723=3),N(INDEX(Parameter!$I$5:$I$7,CE723)),0),0)</f>
        <v>0</v>
      </c>
      <c r="CQ723" s="52" t="n">
        <f aca="false">IF(AND(Parameter!$B$21="Ja",ISNUMBER(W723),N(X723)&gt;0),IFERROR(N(INDEX(Parameter!$L$5:$L$7,W723))*INDEX(Parameter!$E$5:$E$7,W723)*X723/SUMIFS($X$7:$X$1843,$W$7:$W$1843,W723),0),0)</f>
        <v>0</v>
      </c>
    </row>
    <row r="724" customFormat="false" ht="15" hidden="false" customHeight="false" outlineLevel="0" collapsed="false">
      <c r="A724" s="48" t="s">
        <v>1445</v>
      </c>
      <c r="B724" s="48" t="s">
        <v>1446</v>
      </c>
      <c r="C724" s="48" t="s">
        <v>173</v>
      </c>
      <c r="D724" s="48" t="s">
        <v>182</v>
      </c>
      <c r="E724" s="48" t="s">
        <v>379</v>
      </c>
      <c r="F724" s="48" t="s">
        <v>227</v>
      </c>
      <c r="G724" s="49" t="n">
        <v>658.54</v>
      </c>
      <c r="H724" s="50" t="n">
        <f aca="false">MAX(0,IF(AND(Parameter!$B$21="Ja",ISNUMBER(Y724)),Y724,IF(Parameter!$B$20="Jahresanfang 2025 + Export",BR724+BQ724,BQ724)))</f>
        <v>0</v>
      </c>
      <c r="I724" s="50" t="n">
        <f aca="false">H724*G724</f>
        <v>0</v>
      </c>
      <c r="J724" s="50" t="n">
        <f aca="false">BT724*Parameter!$B$18</f>
        <v>3</v>
      </c>
      <c r="K724" s="51" t="n">
        <v>4</v>
      </c>
      <c r="L724" s="52" t="n">
        <v>0.75</v>
      </c>
      <c r="M724" s="50" t="n">
        <v>0</v>
      </c>
      <c r="N724" s="50" t="n">
        <v>1</v>
      </c>
      <c r="O724" s="53" t="n">
        <v>14</v>
      </c>
      <c r="P724" s="48" t="s">
        <v>177</v>
      </c>
      <c r="Q724" s="50"/>
      <c r="R724" s="53" t="n">
        <f aca="false">IF(BZ724=1,0,IFERROR(VLOOKUP(BX724,'Gebinde-Kategorie'!$A$5:$N$45,13,0)+0,0))</f>
        <v>4</v>
      </c>
      <c r="S724" s="54"/>
      <c r="T724" s="55" t="s">
        <v>198</v>
      </c>
      <c r="U724" s="55"/>
      <c r="V724" s="55"/>
      <c r="W724" s="48"/>
      <c r="X724" s="50"/>
      <c r="Y724" s="50"/>
      <c r="Z724" s="48" t="str">
        <f aca="false">IF(A724="","",IF(AND(Parameter!$B$21="Ja",ISNUMBER(W724)),W724,IF(CC724="2+3",IF(ISNUMBER(SEARCH("grosser Artikel",BU724)),2,IFERROR(VLOOKUP(BX724,Parameter!$F$35:$G$64,2,0),2)),IF(OR(CC724="Nein",CC724=""),"-",CC724))))</f>
        <v>-</v>
      </c>
      <c r="AA724" s="55"/>
      <c r="AB724" s="56"/>
      <c r="AC724" s="50" t="n">
        <f aca="false">AV724</f>
        <v>2</v>
      </c>
      <c r="AD724" s="50" t="n">
        <f aca="false">MAX(AV724,H724)</f>
        <v>2</v>
      </c>
      <c r="AE724" s="57"/>
      <c r="AF724" s="50" t="n">
        <f aca="false">IF(LEFT(Cockpit!$C$5,1)="A",H724,IF(Parameter!$E$30="MAX-Bestand",IF(CH724=1,CI724,IF(LEFT(Cockpit!$C$5,1)="B",AL724,MAX(AL724,H724))),ROUNDUP(AJ724,0)))</f>
        <v>0</v>
      </c>
      <c r="AG724" s="50" t="n">
        <f aca="false">IF(BZ724=1,0,ROUNDUP(AF724/BY724,0))</f>
        <v>0</v>
      </c>
      <c r="AH724" s="52" t="n">
        <f aca="false">IF(CQ724&gt;0,CQ724*MAX(1,AF724/X724),IF(BZ724=1,IF(AF724&lt;=0,0,CD724*MAX(1,IF(H724&gt;0,AF724/H724,1))),IF(R724&gt;0,AG724/R724,0))/MAX(0.1,N(Parameter!$M$21)))</f>
        <v>0</v>
      </c>
      <c r="AI724" s="50" t="n">
        <f aca="false">AH724*CB724</f>
        <v>0</v>
      </c>
      <c r="AJ724" s="51" t="n">
        <f aca="false">IF(LEFT(Cockpit!$C$5,1)="A",H724,IF(CH724=1,(CK724+CI724)/2,IF(LEFT(Cockpit!$C$5,1)="B",(CK724+AL724)/2,MAX((CK724+AL724)/2,H724))))</f>
        <v>0</v>
      </c>
      <c r="AK724" s="50" t="n">
        <f aca="false">AJ724*G724</f>
        <v>0</v>
      </c>
      <c r="AL724" s="50" t="n">
        <f aca="false">ROUNDUP(CK724+MAX(CL724,2*(J724/IF(CG724&gt;0,CG724,MAX(0.1,N(Cockpit!$C$6)))-CK724)),0)</f>
        <v>2</v>
      </c>
      <c r="AM724" s="51" t="n">
        <f aca="false">IF(AI724&gt;0,J724/AI724,-1)</f>
        <v>-1</v>
      </c>
      <c r="AN724" s="51" t="str">
        <f aca="false">IF(AND(OR(CF724="L1",CF724="L23",CF724="LIFT"),AI724&gt;0),SUMIFS($AI$7:$AI$1843,$CF$7:$CF$1843,CF724,$AM$7:$AM$1843,"&gt;"&amp;AM724)+SUMIFS($AI$7:$AI$1843,$CF$7:$CF$1843,CF724,$AM$7:$AM$1843,AM724,$BW$7:$BW$1843,"&lt;="&amp;BW724),"")</f>
        <v/>
      </c>
      <c r="AO724" s="58" t="n">
        <f aca="false">IF(AN724="",0,MAX(0,MIN(1,(IF(CF724="L1",Parameter!$H$5,IF(CF724="L23",Parameter!$H$6+Parameter!$H$7,Parameter!$H$5+Parameter!$H$6+Parameter!$H$7))-(AN724-AI724))/AI724)))</f>
        <v>0</v>
      </c>
      <c r="AP724" s="50" t="n">
        <f aca="false">IF(LEFT(Cockpit!$I$5,1)="A",H724,IF(Parameter!$E$30="MAX-Bestand",IF(CH724=1,CI724,IF(LEFT(Cockpit!$I$5,1)="B",AV724,MAX(AV724,H724))),ROUNDUP(AT724,0)))</f>
        <v>1</v>
      </c>
      <c r="AQ724" s="50" t="n">
        <f aca="false">IF(BZ724=1,0,ROUNDUP(AP724/BY724,0))</f>
        <v>1</v>
      </c>
      <c r="AR724" s="52" t="n">
        <f aca="false">IF(CQ724&gt;0,CQ724*MAX(1,AP724/X724),IF(BZ724=1,IF(AP724&lt;=0,0,CD724*MAX(1,IF(H724&gt;0,AP724/H724,1))),IF(R724&gt;0,AQ724/R724,0))/MAX(0.1,N(Parameter!$M$21)))</f>
        <v>0.25</v>
      </c>
      <c r="AS724" s="50" t="n">
        <f aca="false">AR724*CB724</f>
        <v>58.75</v>
      </c>
      <c r="AT724" s="51" t="n">
        <f aca="false">IF(LEFT(Cockpit!$I$5,1)="A",H724,IF(CH724=1,(CK724+CI724)/2,IF(LEFT(Cockpit!$I$5,1)="B",(CK724+AV724)/2,MAX((CK724+AV724)/2,H724))))</f>
        <v>1</v>
      </c>
      <c r="AU724" s="50" t="n">
        <f aca="false">AT724*G724</f>
        <v>658.54</v>
      </c>
      <c r="AV724" s="50" t="n">
        <f aca="false">ROUNDUP(CK724+MAX(CL724,2*(J724/IF(CG724&gt;0,CG724,MAX(0.1,N(Cockpit!$I$6)))-CK724)),0)</f>
        <v>2</v>
      </c>
      <c r="AW724" s="51" t="n">
        <f aca="false">IF(AS724&gt;0,J724/AS724,-1)</f>
        <v>0.051063829787234</v>
      </c>
      <c r="AX724" s="51" t="str">
        <f aca="false">IF(AND(OR(CF724="L1",CF724="L23",CF724="LIFT"),AS724&gt;0),SUMIFS($AS$7:$AS$1843,$CF$7:$CF$1843,CF724,$AW$7:$AW$1843,"&gt;"&amp;AW724)+SUMIFS($AS$7:$AS$1843,$CF$7:$CF$1843,CF724,$AW$7:$AW$1843,AW724,$BW$7:$BW$1843,"&lt;="&amp;BW724),"")</f>
        <v/>
      </c>
      <c r="AY724" s="58" t="n">
        <f aca="false">IF(AX724="",0,MAX(0,MIN(1,(IF(CF724="L1",Parameter!$H$5,IF(CF724="L23",Parameter!$H$6+Parameter!$H$7,Parameter!$H$5+Parameter!$H$6+Parameter!$H$7))-(AX724-AS724))/AS724)))</f>
        <v>0</v>
      </c>
      <c r="AZ724" s="50" t="n">
        <f aca="false">IF(LEFT(Cockpit!$O$5,1)="A",H724,IF(Parameter!$E$30="MAX-Bestand",IF(CH724=1,CI724,IF(LEFT(Cockpit!$O$5,1)="B",BF724,MAX(BF724,H724))),ROUNDUP(BD724,0)))</f>
        <v>1</v>
      </c>
      <c r="BA724" s="50" t="n">
        <f aca="false">IF(BZ724=1,0,ROUNDUP(AZ724/BY724,0))</f>
        <v>1</v>
      </c>
      <c r="BB724" s="52" t="n">
        <f aca="false">IF(CQ724&gt;0,CQ724*MAX(1,AZ724/X724),IF(BZ724=1,IF(AZ724&lt;=0,0,CD724*MAX(1,IF(H724&gt;0,AZ724/H724,1))),IF(R724&gt;0,BA724/R724,0))/MAX(0.1,N(Parameter!$M$21)))</f>
        <v>0.25</v>
      </c>
      <c r="BC724" s="50" t="n">
        <f aca="false">BB724*CB724</f>
        <v>58.75</v>
      </c>
      <c r="BD724" s="51" t="n">
        <f aca="false">IF(LEFT(Cockpit!$O$5,1)="A",H724,IF(CH724=1,(CK724+CI724)/2,IF(LEFT(Cockpit!$O$5,1)="B",(CK724+BF724)/2,MAX((CK724+BF724)/2,H724))))</f>
        <v>1</v>
      </c>
      <c r="BE724" s="50" t="n">
        <f aca="false">BD724*G724</f>
        <v>658.54</v>
      </c>
      <c r="BF724" s="50" t="n">
        <f aca="false">ROUNDUP(CK724+MAX(CL724,2*(J724/IF(CG724&gt;0,CG724,MAX(0.1,N(Cockpit!$O$6)))-CK724)),0)</f>
        <v>2</v>
      </c>
      <c r="BG724" s="51" t="n">
        <f aca="false">IF(BC724&gt;0,J724/BC724,-1)</f>
        <v>0.051063829787234</v>
      </c>
      <c r="BH724" s="51" t="str">
        <f aca="false">IF(AND(OR(CF724="L1",CF724="L23",CF724="LIFT"),BC724&gt;0),SUMIFS($BC$7:$BC$1843,$CF$7:$CF$1843,CF724,$BG$7:$BG$1843,"&gt;"&amp;BG724)+SUMIFS($BC$7:$BC$1843,$CF$7:$CF$1843,CF724,$BG$7:$BG$1843,BG724,$BW$7:$BW$1843,"&lt;="&amp;BW724),"")</f>
        <v/>
      </c>
      <c r="BI724" s="58" t="n">
        <f aca="false">IF(BH724="",0,MAX(0,MIN(1,(IF(CF724="L1",Parameter!$H$5,IF(CF724="L23",Parameter!$H$6+Parameter!$H$7,Parameter!$H$5+Parameter!$H$6+Parameter!$H$7))-(BH724-BC724))/BC724)))</f>
        <v>0</v>
      </c>
      <c r="BJ724" s="48" t="str">
        <f aca="false">IF(AI724&lt;=0,"",IF(CF724="Aussen","Aussenlager",IF(CF724="-","Nicht im Lift",IF(AO724&gt;=1,"Lift",IF(AO724&lt;=0,"Aussenlager","teilweise")))))</f>
        <v/>
      </c>
      <c r="BK724" s="48" t="str">
        <f aca="false">IF(AS724&lt;=0,"",IF(CF724="Aussen","Aussenlager",IF(CF724="-","Nicht im Lift",IF(AY724&gt;=1,"Lift",IF(AY724&lt;=0,"Aussenlager","teilweise")))))</f>
        <v>Nicht im Lift</v>
      </c>
      <c r="BL724" s="48" t="str">
        <f aca="false">IF(BC724&lt;=0,"",IF(CF724="Aussen","Aussenlager",IF(CF724="-","Nicht im Lift",IF(BI724&gt;=1,"Lift",IF(BI724&lt;=0,"Aussenlager","teilweise")))))</f>
        <v>Nicht im Lift</v>
      </c>
      <c r="BM724" s="48" t="str">
        <f aca="false">IF(A724="","",IF(BV724=1,"Neu; ","")&amp;IF(AND(BV724=0,BQ724&lt;0),"negativer Bestand (Export "&amp;BQ724&amp;"); ","")&amp;IF(J724&lt;=0,"Kein Verbrauch; ","")&amp;IF(CQ724&gt;0,"Lift "&amp;W724&amp;" lt. Liftbericht (Fach "&amp;X724&amp;" Stk); ",IF(CA724=1,"Gebinde geschätzt ("&amp;T724&amp;"); ",IF(BZ724=1,"Lose – Tablare geschätzt; ","")))&amp;IF(H724&gt;AV724,"Überbestand "&amp;ROUND(H724-AV724,0)&amp;" Stk / CHF "&amp;ROUND((H724-AV724)*G724,0)&amp;"; ","")&amp;IF(AND(CH724=1,CI724&lt;CJ724),"MAX &lt; MB+LG; ","")&amp;IF(AND(CP724&gt;0,CO724*10&gt;CP724),"zu hoch für Tablar; ","")&amp;IF(AND(BV724=0,OR(CH724=1,AA724&lt;&gt;"",U724&lt;&gt;"",V724&lt;&gt;"",AB724&lt;&gt;"")),"manuell übersteuert; ","")&amp;IF(AND(BZ724=0,R724=0),"Gebinde unbekannt / Stellmass fehlt; ","")&amp;IF(AND(BZ724=0,N(V724)&lt;=0,N(Q724)&lt;=0),"Menge pro Gebinde fehlt (Ist = 1 Gebinde); ","")&amp;BU724)</f>
        <v>Gebinde geschätzt (Gross); Menge pro Gebinde fehlt (Ist = 1 Gebinde); </v>
      </c>
      <c r="BN724" s="48"/>
      <c r="BO724" s="48"/>
      <c r="BP724" s="55"/>
      <c r="BQ724" s="50" t="n">
        <v>0</v>
      </c>
      <c r="BR724" s="50" t="n">
        <v>0</v>
      </c>
      <c r="BS724" s="49" t="n">
        <v>0</v>
      </c>
      <c r="BT724" s="50" t="n">
        <v>3</v>
      </c>
      <c r="BU724" s="48"/>
      <c r="BV724" s="53" t="n">
        <v>0</v>
      </c>
      <c r="BW724" s="53" t="n">
        <v>724</v>
      </c>
      <c r="BX724" s="48" t="str">
        <f aca="false">IF(U724&lt;&gt;"",UPPER(TRIM(U724)),IF(CA724=1,UPPER(VLOOKUP(T724,Parameter!$I$27:$K$29,2,0)),IF(P724="","LOSE",P724)))</f>
        <v>S81</v>
      </c>
      <c r="BY724" s="50" t="n">
        <f aca="false">IF(BX724="LOSE",1,IF(N(V724)&gt;0,V724,IF(CA724=1,MAX(1,N(VLOOKUP(T724,Parameter!$I$27:$K$29,3,0)),H724,N(N724)),IF(N(Q724)&gt;0,Q724,MAX(1,H724)))))</f>
        <v>2</v>
      </c>
      <c r="BZ724" s="53" t="n">
        <f aca="false">IF(BX724="LOSE",1,0)</f>
        <v>0</v>
      </c>
      <c r="CA724" s="53" t="n">
        <f aca="false">IF(AND(U724="",OR(P724="",P724="LOSE"),T724&lt;&gt;"",N(S724)&lt;=0,ISNUMBER(MATCH(T724,Parameter!$I$27:$I$29,0))),1,0)</f>
        <v>1</v>
      </c>
      <c r="CB724" s="53" t="n">
        <f aca="false">IF(CQ724&gt;0,INDEX(Parameter!$H$5:$H$7,W724)/INDEX(Parameter!$E$5:$E$7,W724),IF(AND(BZ724=0,N(IFERROR(VLOOKUP(BX724,'Gebinde-Kategorie'!$A$5:$N$45,14,0),0))&gt;0),VLOOKUP(BX724,'Gebinde-Kategorie'!$A$5:$N$45,14,0)*10+Parameter!$M$23,Parameter!$M$24))</f>
        <v>235</v>
      </c>
      <c r="CC724" s="48" t="str">
        <f aca="false">IF(AND(Parameter!$B$19="Ja",E724&lt;&gt;"",ISNUMBER(MATCH(E724,Parameter!$I$35:$I$52,0))),VLOOKUP(E724,Parameter!$I$35:$J$52,2,0),IFERROR(VLOOKUP(D724,Parameter!$A$35:$C$64,2,0),"Nein"))</f>
        <v>Nein</v>
      </c>
      <c r="CD724" s="52" t="n">
        <f aca="false">IF(BZ724=0,0,IF(N(S724)&gt;0,S724,IFERROR(VLOOKUP(D724,Parameter!$A$35:$C$64,3,0)+0,0)))</f>
        <v>0</v>
      </c>
      <c r="CE724" s="48" t="str">
        <f aca="false">IF(AA724&lt;&gt;"",AA724,Z724)</f>
        <v>-</v>
      </c>
      <c r="CF724" s="48" t="str">
        <f aca="false">IF(OR(CE724=1,CE724=2,CE724=3),IF(Parameter!$E$27="Ja","LIFT",IF(CE724=1,"L1","L23")),IF(CE724="Aussen","Aussen","-"))</f>
        <v>-</v>
      </c>
      <c r="CG724" s="59" t="n">
        <f aca="false">IF(N(AB724)&gt;0,AB724,0)</f>
        <v>0</v>
      </c>
      <c r="CH724" s="53" t="n">
        <f aca="false">IF(ISNUMBER(AE724),1,0)</f>
        <v>0</v>
      </c>
      <c r="CI724" s="50" t="n">
        <f aca="false">N(AE724)</f>
        <v>0</v>
      </c>
      <c r="CJ724" s="50" t="n">
        <f aca="false">N(M724)+N(N724)</f>
        <v>1</v>
      </c>
      <c r="CK724" s="50" t="n">
        <f aca="false">N(M724)</f>
        <v>0</v>
      </c>
      <c r="CL724" s="50" t="n">
        <f aca="false">N(N724)</f>
        <v>1</v>
      </c>
      <c r="CM724" s="50" t="n">
        <f aca="false">ROUNDUP(H724/BY724,0)</f>
        <v>0</v>
      </c>
      <c r="CN724" s="50" t="n">
        <f aca="false">ROUNDUP(CI724/BY724,0)</f>
        <v>0</v>
      </c>
      <c r="CO724" s="53" t="n">
        <f aca="false">IF(BZ724=1,0,IFERROR(VLOOKUP(BX724,'Gebinde-Kategorie'!$A$5:$N$45,5,0)+0,0))</f>
        <v>20</v>
      </c>
      <c r="CP724" s="53" t="n">
        <f aca="false">IFERROR(IF(OR(CE724=1,CE724=2,CE724=3),N(INDEX(Parameter!$I$5:$I$7,CE724)),0),0)</f>
        <v>0</v>
      </c>
      <c r="CQ724" s="52" t="n">
        <f aca="false">IF(AND(Parameter!$B$21="Ja",ISNUMBER(W724),N(X724)&gt;0),IFERROR(N(INDEX(Parameter!$L$5:$L$7,W724))*INDEX(Parameter!$E$5:$E$7,W724)*X724/SUMIFS($X$7:$X$1843,$W$7:$W$1843,W724),0),0)</f>
        <v>0</v>
      </c>
    </row>
    <row r="725" customFormat="false" ht="15" hidden="false" customHeight="false" outlineLevel="0" collapsed="false">
      <c r="A725" s="48" t="s">
        <v>1447</v>
      </c>
      <c r="B725" s="48" t="s">
        <v>1448</v>
      </c>
      <c r="C725" s="48" t="s">
        <v>465</v>
      </c>
      <c r="D725" s="48" t="s">
        <v>182</v>
      </c>
      <c r="E725" s="48"/>
      <c r="F725" s="48" t="s">
        <v>227</v>
      </c>
      <c r="G725" s="49" t="n">
        <v>100.23</v>
      </c>
      <c r="H725" s="50" t="n">
        <f aca="false">MAX(0,IF(AND(Parameter!$B$21="Ja",ISNUMBER(Y725)),Y725,IF(Parameter!$B$20="Jahresanfang 2025 + Export",BR725+BQ725,BQ725)))</f>
        <v>0</v>
      </c>
      <c r="I725" s="50" t="n">
        <f aca="false">H725*G725</f>
        <v>0</v>
      </c>
      <c r="J725" s="50" t="n">
        <f aca="false">BT725*Parameter!$B$18</f>
        <v>0</v>
      </c>
      <c r="K725" s="51" t="n">
        <v>0</v>
      </c>
      <c r="L725" s="52" t="n">
        <v>0</v>
      </c>
      <c r="M725" s="50" t="n">
        <v>0</v>
      </c>
      <c r="N725" s="50" t="n">
        <v>1</v>
      </c>
      <c r="O725" s="53" t="n">
        <v>21</v>
      </c>
      <c r="P725" s="48" t="s">
        <v>177</v>
      </c>
      <c r="Q725" s="50"/>
      <c r="R725" s="53" t="n">
        <f aca="false">IF(BZ725=1,0,IFERROR(VLOOKUP(BX725,'Gebinde-Kategorie'!$A$5:$N$45,13,0)+0,0))</f>
        <v>12</v>
      </c>
      <c r="S725" s="54"/>
      <c r="T725" s="55" t="s">
        <v>188</v>
      </c>
      <c r="U725" s="55"/>
      <c r="V725" s="55"/>
      <c r="W725" s="48"/>
      <c r="X725" s="50"/>
      <c r="Y725" s="50"/>
      <c r="Z725" s="48" t="n">
        <f aca="false">IF(A725="","",IF(AND(Parameter!$B$21="Ja",ISNUMBER(W725)),W725,IF(CC725="2+3",IF(ISNUMBER(SEARCH("grosser Artikel",BU725)),2,IFERROR(VLOOKUP(BX725,Parameter!$F$35:$G$64,2,0),2)),IF(OR(CC725="Nein",CC725=""),"-",CC725))))</f>
        <v>2</v>
      </c>
      <c r="AA725" s="55"/>
      <c r="AB725" s="56"/>
      <c r="AC725" s="50" t="n">
        <f aca="false">AV725</f>
        <v>1</v>
      </c>
      <c r="AD725" s="50" t="n">
        <f aca="false">MAX(AV725,H725)</f>
        <v>1</v>
      </c>
      <c r="AE725" s="57"/>
      <c r="AF725" s="50" t="n">
        <f aca="false">IF(LEFT(Cockpit!$C$5,1)="A",H725,IF(Parameter!$E$30="MAX-Bestand",IF(CH725=1,CI725,IF(LEFT(Cockpit!$C$5,1)="B",AL725,MAX(AL725,H725))),ROUNDUP(AJ725,0)))</f>
        <v>0</v>
      </c>
      <c r="AG725" s="50" t="n">
        <f aca="false">IF(BZ725=1,0,ROUNDUP(AF725/BY725,0))</f>
        <v>0</v>
      </c>
      <c r="AH725" s="52" t="n">
        <f aca="false">IF(CQ725&gt;0,CQ725*MAX(1,AF725/X725),IF(BZ725=1,IF(AF725&lt;=0,0,CD725*MAX(1,IF(H725&gt;0,AF725/H725,1))),IF(R725&gt;0,AG725/R725,0))/MAX(0.1,N(Parameter!$M$21)))</f>
        <v>0</v>
      </c>
      <c r="AI725" s="50" t="n">
        <f aca="false">AH725*CB725</f>
        <v>0</v>
      </c>
      <c r="AJ725" s="51" t="n">
        <f aca="false">IF(LEFT(Cockpit!$C$5,1)="A",H725,IF(CH725=1,(CK725+CI725)/2,IF(LEFT(Cockpit!$C$5,1)="B",(CK725+AL725)/2,MAX((CK725+AL725)/2,H725))))</f>
        <v>0</v>
      </c>
      <c r="AK725" s="50" t="n">
        <f aca="false">AJ725*G725</f>
        <v>0</v>
      </c>
      <c r="AL725" s="50" t="n">
        <f aca="false">ROUNDUP(CK725+MAX(CL725,2*(J725/IF(CG725&gt;0,CG725,MAX(0.1,N(Cockpit!$C$6)))-CK725)),0)</f>
        <v>1</v>
      </c>
      <c r="AM725" s="51" t="n">
        <f aca="false">IF(AI725&gt;0,J725/AI725,-1)</f>
        <v>-1</v>
      </c>
      <c r="AN725" s="51" t="str">
        <f aca="false">IF(AND(OR(CF725="L1",CF725="L23",CF725="LIFT"),AI725&gt;0),SUMIFS($AI$7:$AI$1843,$CF$7:$CF$1843,CF725,$AM$7:$AM$1843,"&gt;"&amp;AM725)+SUMIFS($AI$7:$AI$1843,$CF$7:$CF$1843,CF725,$AM$7:$AM$1843,AM725,$BW$7:$BW$1843,"&lt;="&amp;BW725),"")</f>
        <v/>
      </c>
      <c r="AO725" s="58" t="n">
        <f aca="false">IF(AN725="",0,MAX(0,MIN(1,(IF(CF725="L1",Parameter!$H$5,IF(CF725="L23",Parameter!$H$6+Parameter!$H$7,Parameter!$H$5+Parameter!$H$6+Parameter!$H$7))-(AN725-AI725))/AI725)))</f>
        <v>0</v>
      </c>
      <c r="AP725" s="50" t="n">
        <f aca="false">IF(LEFT(Cockpit!$I$5,1)="A",H725,IF(Parameter!$E$30="MAX-Bestand",IF(CH725=1,CI725,IF(LEFT(Cockpit!$I$5,1)="B",AV725,MAX(AV725,H725))),ROUNDUP(AT725,0)))</f>
        <v>1</v>
      </c>
      <c r="AQ725" s="50" t="n">
        <f aca="false">IF(BZ725=1,0,ROUNDUP(AP725/BY725,0))</f>
        <v>1</v>
      </c>
      <c r="AR725" s="52" t="n">
        <f aca="false">IF(CQ725&gt;0,CQ725*MAX(1,AP725/X725),IF(BZ725=1,IF(AP725&lt;=0,0,CD725*MAX(1,IF(H725&gt;0,AP725/H725,1))),IF(R725&gt;0,AQ725/R725,0))/MAX(0.1,N(Parameter!$M$21)))</f>
        <v>0.0833333333333333</v>
      </c>
      <c r="AS725" s="50" t="n">
        <f aca="false">AR725*CB725</f>
        <v>12.0833333333333</v>
      </c>
      <c r="AT725" s="51" t="n">
        <f aca="false">IF(LEFT(Cockpit!$I$5,1)="A",H725,IF(CH725=1,(CK725+CI725)/2,IF(LEFT(Cockpit!$I$5,1)="B",(CK725+AV725)/2,MAX((CK725+AV725)/2,H725))))</f>
        <v>0.5</v>
      </c>
      <c r="AU725" s="50" t="n">
        <f aca="false">AT725*G725</f>
        <v>50.115</v>
      </c>
      <c r="AV725" s="50" t="n">
        <f aca="false">ROUNDUP(CK725+MAX(CL725,2*(J725/IF(CG725&gt;0,CG725,MAX(0.1,N(Cockpit!$I$6)))-CK725)),0)</f>
        <v>1</v>
      </c>
      <c r="AW725" s="51" t="n">
        <f aca="false">IF(AS725&gt;0,J725/AS725,-1)</f>
        <v>0</v>
      </c>
      <c r="AX725" s="51" t="n">
        <f aca="false">IF(AND(OR(CF725="L1",CF725="L23",CF725="LIFT"),AS725&gt;0),SUMIFS($AS$7:$AS$1843,$CF$7:$CF$1843,CF725,$AW$7:$AW$1843,"&gt;"&amp;AW725)+SUMIFS($AS$7:$AS$1843,$CF$7:$CF$1843,CF725,$AW$7:$AW$1843,AW725,$BW$7:$BW$1843,"&lt;="&amp;BW725),"")</f>
        <v>34180.8031135531</v>
      </c>
      <c r="AY725" s="58" t="n">
        <f aca="false">IF(AX725="",0,MAX(0,MIN(1,(IF(CF725="L1",Parameter!$H$5,IF(CF725="L23",Parameter!$H$6+Parameter!$H$7,Parameter!$H$5+Parameter!$H$6+Parameter!$H$7))-(AX725-AS725))/AS725)))</f>
        <v>1</v>
      </c>
      <c r="AZ725" s="50" t="n">
        <f aca="false">IF(LEFT(Cockpit!$O$5,1)="A",H725,IF(Parameter!$E$30="MAX-Bestand",IF(CH725=1,CI725,IF(LEFT(Cockpit!$O$5,1)="B",BF725,MAX(BF725,H725))),ROUNDUP(BD725,0)))</f>
        <v>1</v>
      </c>
      <c r="BA725" s="50" t="n">
        <f aca="false">IF(BZ725=1,0,ROUNDUP(AZ725/BY725,0))</f>
        <v>1</v>
      </c>
      <c r="BB725" s="52" t="n">
        <f aca="false">IF(CQ725&gt;0,CQ725*MAX(1,AZ725/X725),IF(BZ725=1,IF(AZ725&lt;=0,0,CD725*MAX(1,IF(H725&gt;0,AZ725/H725,1))),IF(R725&gt;0,BA725/R725,0))/MAX(0.1,N(Parameter!$M$21)))</f>
        <v>0.0833333333333333</v>
      </c>
      <c r="BC725" s="50" t="n">
        <f aca="false">BB725*CB725</f>
        <v>12.0833333333333</v>
      </c>
      <c r="BD725" s="51" t="n">
        <f aca="false">IF(LEFT(Cockpit!$O$5,1)="A",H725,IF(CH725=1,(CK725+CI725)/2,IF(LEFT(Cockpit!$O$5,1)="B",(CK725+BF725)/2,MAX((CK725+BF725)/2,H725))))</f>
        <v>0.5</v>
      </c>
      <c r="BE725" s="50" t="n">
        <f aca="false">BD725*G725</f>
        <v>50.115</v>
      </c>
      <c r="BF725" s="50" t="n">
        <f aca="false">ROUNDUP(CK725+MAX(CL725,2*(J725/IF(CG725&gt;0,CG725,MAX(0.1,N(Cockpit!$O$6)))-CK725)),0)</f>
        <v>1</v>
      </c>
      <c r="BG725" s="51" t="n">
        <f aca="false">IF(BC725&gt;0,J725/BC725,-1)</f>
        <v>0</v>
      </c>
      <c r="BH725" s="51" t="n">
        <f aca="false">IF(AND(OR(CF725="L1",CF725="L23",CF725="LIFT"),BC725&gt;0),SUMIFS($BC$7:$BC$1843,$CF$7:$CF$1843,CF725,$BG$7:$BG$1843,"&gt;"&amp;BG725)+SUMIFS($BC$7:$BC$1843,$CF$7:$CF$1843,CF725,$BG$7:$BG$1843,BG725,$BW$7:$BW$1843,"&lt;="&amp;BW725),"")</f>
        <v>28244.9321180232</v>
      </c>
      <c r="BI725" s="58" t="n">
        <f aca="false">IF(BH725="",0,MAX(0,MIN(1,(IF(CF725="L1",Parameter!$H$5,IF(CF725="L23",Parameter!$H$6+Parameter!$H$7,Parameter!$H$5+Parameter!$H$6+Parameter!$H$7))-(BH725-BC725))/BC725)))</f>
        <v>1</v>
      </c>
      <c r="BJ725" s="48" t="str">
        <f aca="false">IF(AI725&lt;=0,"",IF(CF725="Aussen","Aussenlager",IF(CF725="-","Nicht im Lift",IF(AO725&gt;=1,"Lift",IF(AO725&lt;=0,"Aussenlager","teilweise")))))</f>
        <v/>
      </c>
      <c r="BK725" s="48" t="str">
        <f aca="false">IF(AS725&lt;=0,"",IF(CF725="Aussen","Aussenlager",IF(CF725="-","Nicht im Lift",IF(AY725&gt;=1,"Lift",IF(AY725&lt;=0,"Aussenlager","teilweise")))))</f>
        <v>Lift</v>
      </c>
      <c r="BL725" s="48" t="str">
        <f aca="false">IF(BC725&lt;=0,"",IF(CF725="Aussen","Aussenlager",IF(CF725="-","Nicht im Lift",IF(BI725&gt;=1,"Lift",IF(BI725&lt;=0,"Aussenlager","teilweise")))))</f>
        <v>Lift</v>
      </c>
      <c r="BM725" s="48" t="str">
        <f aca="false">IF(A725="","",IF(BV725=1,"Neu; ","")&amp;IF(AND(BV725=0,BQ725&lt;0),"negativer Bestand (Export "&amp;BQ725&amp;"); ","")&amp;IF(J725&lt;=0,"Kein Verbrauch; ","")&amp;IF(CQ725&gt;0,"Lift "&amp;W725&amp;" lt. Liftbericht (Fach "&amp;X725&amp;" Stk); ",IF(CA725=1,"Gebinde geschätzt ("&amp;T725&amp;"); ",IF(BZ725=1,"Lose – Tablare geschätzt; ","")))&amp;IF(H725&gt;AV725,"Überbestand "&amp;ROUND(H725-AV725,0)&amp;" Stk / CHF "&amp;ROUND((H725-AV725)*G725,0)&amp;"; ","")&amp;IF(AND(CH725=1,CI725&lt;CJ725),"MAX &lt; MB+LG; ","")&amp;IF(AND(CP725&gt;0,CO725*10&gt;CP725),"zu hoch für Tablar; ","")&amp;IF(AND(BV725=0,OR(CH725=1,AA725&lt;&gt;"",U725&lt;&gt;"",V725&lt;&gt;"",AB725&lt;&gt;"")),"manuell übersteuert; ","")&amp;IF(AND(BZ725=0,R725=0),"Gebinde unbekannt / Stellmass fehlt; ","")&amp;IF(AND(BZ725=0,N(V725)&lt;=0,N(Q725)&lt;=0),"Menge pro Gebinde fehlt (Ist = 1 Gebinde); ","")&amp;BU725)</f>
        <v>Kein Verbrauch; Gebinde geschätzt (Mittel); Menge pro Gebinde fehlt (Ist = 1 Gebinde); </v>
      </c>
      <c r="BN725" s="48"/>
      <c r="BO725" s="48"/>
      <c r="BP725" s="55"/>
      <c r="BQ725" s="50" t="n">
        <v>0</v>
      </c>
      <c r="BR725" s="50" t="n">
        <v>0</v>
      </c>
      <c r="BS725" s="49" t="n">
        <v>0</v>
      </c>
      <c r="BT725" s="50" t="n">
        <v>0</v>
      </c>
      <c r="BU725" s="48"/>
      <c r="BV725" s="53" t="n">
        <v>0</v>
      </c>
      <c r="BW725" s="53" t="n">
        <v>725</v>
      </c>
      <c r="BX725" s="48" t="str">
        <f aca="false">IF(U725&lt;&gt;"",UPPER(TRIM(U725)),IF(CA725=1,UPPER(VLOOKUP(T725,Parameter!$I$27:$K$29,2,0)),IF(P725="","LOSE",P725)))</f>
        <v>S61</v>
      </c>
      <c r="BY725" s="50" t="n">
        <f aca="false">IF(BX725="LOSE",1,IF(N(V725)&gt;0,V725,IF(CA725=1,MAX(1,N(VLOOKUP(T725,Parameter!$I$27:$K$29,3,0)),H725,N(N725)),IF(N(Q725)&gt;0,Q725,MAX(1,H725)))))</f>
        <v>4</v>
      </c>
      <c r="BZ725" s="53" t="n">
        <f aca="false">IF(BX725="LOSE",1,0)</f>
        <v>0</v>
      </c>
      <c r="CA725" s="53" t="n">
        <f aca="false">IF(AND(U725="",OR(P725="",P725="LOSE"),T725&lt;&gt;"",N(S725)&lt;=0,ISNUMBER(MATCH(T725,Parameter!$I$27:$I$29,0))),1,0)</f>
        <v>1</v>
      </c>
      <c r="CB725" s="53" t="n">
        <f aca="false">IF(CQ725&gt;0,INDEX(Parameter!$H$5:$H$7,W725)/INDEX(Parameter!$E$5:$E$7,W725),IF(AND(BZ725=0,N(IFERROR(VLOOKUP(BX725,'Gebinde-Kategorie'!$A$5:$N$45,14,0),0))&gt;0),VLOOKUP(BX725,'Gebinde-Kategorie'!$A$5:$N$45,14,0)*10+Parameter!$M$23,Parameter!$M$24))</f>
        <v>145</v>
      </c>
      <c r="CC725" s="48" t="str">
        <f aca="false">IF(AND(Parameter!$B$19="Ja",E725&lt;&gt;"",ISNUMBER(MATCH(E725,Parameter!$I$35:$I$52,0))),VLOOKUP(E725,Parameter!$I$35:$J$52,2,0),IFERROR(VLOOKUP(D725,Parameter!$A$35:$C$64,2,0),"Nein"))</f>
        <v>2+3</v>
      </c>
      <c r="CD725" s="52" t="n">
        <f aca="false">IF(BZ725=0,0,IF(N(S725)&gt;0,S725,IFERROR(VLOOKUP(D725,Parameter!$A$35:$C$64,3,0)+0,0)))</f>
        <v>0</v>
      </c>
      <c r="CE725" s="48" t="n">
        <f aca="false">IF(AA725&lt;&gt;"",AA725,Z725)</f>
        <v>2</v>
      </c>
      <c r="CF725" s="48" t="str">
        <f aca="false">IF(OR(CE725=1,CE725=2,CE725=3),IF(Parameter!$E$27="Ja","LIFT",IF(CE725=1,"L1","L23")),IF(CE725="Aussen","Aussen","-"))</f>
        <v>LIFT</v>
      </c>
      <c r="CG725" s="59" t="n">
        <f aca="false">IF(N(AB725)&gt;0,AB725,0)</f>
        <v>0</v>
      </c>
      <c r="CH725" s="53" t="n">
        <f aca="false">IF(ISNUMBER(AE725),1,0)</f>
        <v>0</v>
      </c>
      <c r="CI725" s="50" t="n">
        <f aca="false">N(AE725)</f>
        <v>0</v>
      </c>
      <c r="CJ725" s="50" t="n">
        <f aca="false">N(M725)+N(N725)</f>
        <v>1</v>
      </c>
      <c r="CK725" s="50" t="n">
        <f aca="false">N(M725)</f>
        <v>0</v>
      </c>
      <c r="CL725" s="50" t="n">
        <f aca="false">N(N725)</f>
        <v>1</v>
      </c>
      <c r="CM725" s="50" t="n">
        <f aca="false">ROUNDUP(H725/BY725,0)</f>
        <v>0</v>
      </c>
      <c r="CN725" s="50" t="n">
        <f aca="false">ROUNDUP(CI725/BY725,0)</f>
        <v>0</v>
      </c>
      <c r="CO725" s="53" t="n">
        <f aca="false">IF(BZ725=1,0,IFERROR(VLOOKUP(BX725,'Gebinde-Kategorie'!$A$5:$N$45,5,0)+0,0))</f>
        <v>11</v>
      </c>
      <c r="CP725" s="53" t="n">
        <f aca="false">IFERROR(IF(OR(CE725=1,CE725=2,CE725=3),N(INDEX(Parameter!$I$5:$I$7,CE725)),0),0)</f>
        <v>0</v>
      </c>
      <c r="CQ725" s="52" t="n">
        <f aca="false">IF(AND(Parameter!$B$21="Ja",ISNUMBER(W725),N(X725)&gt;0),IFERROR(N(INDEX(Parameter!$L$5:$L$7,W725))*INDEX(Parameter!$E$5:$E$7,W725)*X725/SUMIFS($X$7:$X$1843,$W$7:$W$1843,W725),0),0)</f>
        <v>0</v>
      </c>
    </row>
    <row r="726" customFormat="false" ht="15" hidden="false" customHeight="false" outlineLevel="0" collapsed="false">
      <c r="A726" s="48" t="s">
        <v>1449</v>
      </c>
      <c r="B726" s="48" t="s">
        <v>1450</v>
      </c>
      <c r="C726" s="48" t="s">
        <v>173</v>
      </c>
      <c r="D726" s="48" t="s">
        <v>182</v>
      </c>
      <c r="E726" s="48"/>
      <c r="F726" s="48" t="s">
        <v>227</v>
      </c>
      <c r="G726" s="49" t="n">
        <v>467.1</v>
      </c>
      <c r="H726" s="50" t="n">
        <f aca="false">MAX(0,IF(AND(Parameter!$B$21="Ja",ISNUMBER(Y726)),Y726,IF(Parameter!$B$20="Jahresanfang 2025 + Export",BR726+BQ726,BQ726)))</f>
        <v>0</v>
      </c>
      <c r="I726" s="50" t="n">
        <f aca="false">H726*G726</f>
        <v>0</v>
      </c>
      <c r="J726" s="50" t="n">
        <f aca="false">BT726*Parameter!$B$18</f>
        <v>1</v>
      </c>
      <c r="K726" s="51" t="n">
        <v>0</v>
      </c>
      <c r="L726" s="52" t="n">
        <v>0</v>
      </c>
      <c r="M726" s="50" t="n">
        <v>0</v>
      </c>
      <c r="N726" s="50" t="n">
        <v>1</v>
      </c>
      <c r="O726" s="53" t="n">
        <v>28</v>
      </c>
      <c r="P726" s="48" t="s">
        <v>177</v>
      </c>
      <c r="Q726" s="50"/>
      <c r="R726" s="53" t="n">
        <f aca="false">IF(BZ726=1,0,IFERROR(VLOOKUP(BX726,'Gebinde-Kategorie'!$A$5:$N$45,13,0)+0,0))</f>
        <v>12</v>
      </c>
      <c r="S726" s="54"/>
      <c r="T726" s="55" t="s">
        <v>188</v>
      </c>
      <c r="U726" s="55"/>
      <c r="V726" s="55"/>
      <c r="W726" s="48"/>
      <c r="X726" s="50"/>
      <c r="Y726" s="50"/>
      <c r="Z726" s="48" t="n">
        <f aca="false">IF(A726="","",IF(AND(Parameter!$B$21="Ja",ISNUMBER(W726)),W726,IF(CC726="2+3",IF(ISNUMBER(SEARCH("grosser Artikel",BU726)),2,IFERROR(VLOOKUP(BX726,Parameter!$F$35:$G$64,2,0),2)),IF(OR(CC726="Nein",CC726=""),"-",CC726))))</f>
        <v>2</v>
      </c>
      <c r="AA726" s="55"/>
      <c r="AB726" s="56"/>
      <c r="AC726" s="50" t="n">
        <f aca="false">AV726</f>
        <v>1</v>
      </c>
      <c r="AD726" s="50" t="n">
        <f aca="false">MAX(AV726,H726)</f>
        <v>1</v>
      </c>
      <c r="AE726" s="57"/>
      <c r="AF726" s="50" t="n">
        <f aca="false">IF(LEFT(Cockpit!$C$5,1)="A",H726,IF(Parameter!$E$30="MAX-Bestand",IF(CH726=1,CI726,IF(LEFT(Cockpit!$C$5,1)="B",AL726,MAX(AL726,H726))),ROUNDUP(AJ726,0)))</f>
        <v>0</v>
      </c>
      <c r="AG726" s="50" t="n">
        <f aca="false">IF(BZ726=1,0,ROUNDUP(AF726/BY726,0))</f>
        <v>0</v>
      </c>
      <c r="AH726" s="52" t="n">
        <f aca="false">IF(CQ726&gt;0,CQ726*MAX(1,AF726/X726),IF(BZ726=1,IF(AF726&lt;=0,0,CD726*MAX(1,IF(H726&gt;0,AF726/H726,1))),IF(R726&gt;0,AG726/R726,0))/MAX(0.1,N(Parameter!$M$21)))</f>
        <v>0</v>
      </c>
      <c r="AI726" s="50" t="n">
        <f aca="false">AH726*CB726</f>
        <v>0</v>
      </c>
      <c r="AJ726" s="51" t="n">
        <f aca="false">IF(LEFT(Cockpit!$C$5,1)="A",H726,IF(CH726=1,(CK726+CI726)/2,IF(LEFT(Cockpit!$C$5,1)="B",(CK726+AL726)/2,MAX((CK726+AL726)/2,H726))))</f>
        <v>0</v>
      </c>
      <c r="AK726" s="50" t="n">
        <f aca="false">AJ726*G726</f>
        <v>0</v>
      </c>
      <c r="AL726" s="50" t="n">
        <f aca="false">ROUNDUP(CK726+MAX(CL726,2*(J726/IF(CG726&gt;0,CG726,MAX(0.1,N(Cockpit!$C$6)))-CK726)),0)</f>
        <v>1</v>
      </c>
      <c r="AM726" s="51" t="n">
        <f aca="false">IF(AI726&gt;0,J726/AI726,-1)</f>
        <v>-1</v>
      </c>
      <c r="AN726" s="51" t="str">
        <f aca="false">IF(AND(OR(CF726="L1",CF726="L23",CF726="LIFT"),AI726&gt;0),SUMIFS($AI$7:$AI$1843,$CF$7:$CF$1843,CF726,$AM$7:$AM$1843,"&gt;"&amp;AM726)+SUMIFS($AI$7:$AI$1843,$CF$7:$CF$1843,CF726,$AM$7:$AM$1843,AM726,$BW$7:$BW$1843,"&lt;="&amp;BW726),"")</f>
        <v/>
      </c>
      <c r="AO726" s="58" t="n">
        <f aca="false">IF(AN726="",0,MAX(0,MIN(1,(IF(CF726="L1",Parameter!$H$5,IF(CF726="L23",Parameter!$H$6+Parameter!$H$7,Parameter!$H$5+Parameter!$H$6+Parameter!$H$7))-(AN726-AI726))/AI726)))</f>
        <v>0</v>
      </c>
      <c r="AP726" s="50" t="n">
        <f aca="false">IF(LEFT(Cockpit!$I$5,1)="A",H726,IF(Parameter!$E$30="MAX-Bestand",IF(CH726=1,CI726,IF(LEFT(Cockpit!$I$5,1)="B",AV726,MAX(AV726,H726))),ROUNDUP(AT726,0)))</f>
        <v>1</v>
      </c>
      <c r="AQ726" s="50" t="n">
        <f aca="false">IF(BZ726=1,0,ROUNDUP(AP726/BY726,0))</f>
        <v>1</v>
      </c>
      <c r="AR726" s="52" t="n">
        <f aca="false">IF(CQ726&gt;0,CQ726*MAX(1,AP726/X726),IF(BZ726=1,IF(AP726&lt;=0,0,CD726*MAX(1,IF(H726&gt;0,AP726/H726,1))),IF(R726&gt;0,AQ726/R726,0))/MAX(0.1,N(Parameter!$M$21)))</f>
        <v>0.0833333333333333</v>
      </c>
      <c r="AS726" s="50" t="n">
        <f aca="false">AR726*CB726</f>
        <v>12.0833333333333</v>
      </c>
      <c r="AT726" s="51" t="n">
        <f aca="false">IF(LEFT(Cockpit!$I$5,1)="A",H726,IF(CH726=1,(CK726+CI726)/2,IF(LEFT(Cockpit!$I$5,1)="B",(CK726+AV726)/2,MAX((CK726+AV726)/2,H726))))</f>
        <v>0.5</v>
      </c>
      <c r="AU726" s="50" t="n">
        <f aca="false">AT726*G726</f>
        <v>233.55</v>
      </c>
      <c r="AV726" s="50" t="n">
        <f aca="false">ROUNDUP(CK726+MAX(CL726,2*(J726/IF(CG726&gt;0,CG726,MAX(0.1,N(Cockpit!$I$6)))-CK726)),0)</f>
        <v>1</v>
      </c>
      <c r="AW726" s="51" t="n">
        <f aca="false">IF(AS726&gt;0,J726/AS726,-1)</f>
        <v>0.0827586206896552</v>
      </c>
      <c r="AX726" s="51" t="n">
        <f aca="false">IF(AND(OR(CF726="L1",CF726="L23",CF726="LIFT"),AS726&gt;0),SUMIFS($AS$7:$AS$1843,$CF$7:$CF$1843,CF726,$AW$7:$AW$1843,"&gt;"&amp;AW726)+SUMIFS($AS$7:$AS$1843,$CF$7:$CF$1843,CF726,$AW$7:$AW$1843,AW726,$BW$7:$BW$1843,"&lt;="&amp;BW726),"")</f>
        <v>21773.0060403344</v>
      </c>
      <c r="AY726" s="58" t="n">
        <f aca="false">IF(AX726="",0,MAX(0,MIN(1,(IF(CF726="L1",Parameter!$H$5,IF(CF726="L23",Parameter!$H$6+Parameter!$H$7,Parameter!$H$5+Parameter!$H$6+Parameter!$H$7))-(AX726-AS726))/AS726)))</f>
        <v>1</v>
      </c>
      <c r="AZ726" s="50" t="n">
        <f aca="false">IF(LEFT(Cockpit!$O$5,1)="A",H726,IF(Parameter!$E$30="MAX-Bestand",IF(CH726=1,CI726,IF(LEFT(Cockpit!$O$5,1)="B",BF726,MAX(BF726,H726))),ROUNDUP(BD726,0)))</f>
        <v>1</v>
      </c>
      <c r="BA726" s="50" t="n">
        <f aca="false">IF(BZ726=1,0,ROUNDUP(AZ726/BY726,0))</f>
        <v>1</v>
      </c>
      <c r="BB726" s="52" t="n">
        <f aca="false">IF(CQ726&gt;0,CQ726*MAX(1,AZ726/X726),IF(BZ726=1,IF(AZ726&lt;=0,0,CD726*MAX(1,IF(H726&gt;0,AZ726/H726,1))),IF(R726&gt;0,BA726/R726,0))/MAX(0.1,N(Parameter!$M$21)))</f>
        <v>0.0833333333333333</v>
      </c>
      <c r="BC726" s="50" t="n">
        <f aca="false">BB726*CB726</f>
        <v>12.0833333333333</v>
      </c>
      <c r="BD726" s="51" t="n">
        <f aca="false">IF(LEFT(Cockpit!$O$5,1)="A",H726,IF(CH726=1,(CK726+CI726)/2,IF(LEFT(Cockpit!$O$5,1)="B",(CK726+BF726)/2,MAX((CK726+BF726)/2,H726))))</f>
        <v>0.5</v>
      </c>
      <c r="BE726" s="50" t="n">
        <f aca="false">BD726*G726</f>
        <v>233.55</v>
      </c>
      <c r="BF726" s="50" t="n">
        <f aca="false">ROUNDUP(CK726+MAX(CL726,2*(J726/IF(CG726&gt;0,CG726,MAX(0.1,N(Cockpit!$O$6)))-CK726)),0)</f>
        <v>1</v>
      </c>
      <c r="BG726" s="51" t="n">
        <f aca="false">IF(BC726&gt;0,J726/BC726,-1)</f>
        <v>0.0827586206896552</v>
      </c>
      <c r="BH726" s="51" t="n">
        <f aca="false">IF(AND(OR(CF726="L1",CF726="L23",CF726="LIFT"),BC726&gt;0),SUMIFS($BC$7:$BC$1843,$CF$7:$CF$1843,CF726,$BG$7:$BG$1843,"&gt;"&amp;BG726)+SUMIFS($BC$7:$BC$1843,$CF$7:$CF$1843,CF726,$BG$7:$BG$1843,BG726,$BW$7:$BW$1843,"&lt;="&amp;BW726),"")</f>
        <v>18311.0622426067</v>
      </c>
      <c r="BI726" s="58" t="n">
        <f aca="false">IF(BH726="",0,MAX(0,MIN(1,(IF(CF726="L1",Parameter!$H$5,IF(CF726="L23",Parameter!$H$6+Parameter!$H$7,Parameter!$H$5+Parameter!$H$6+Parameter!$H$7))-(BH726-BC726))/BC726)))</f>
        <v>1</v>
      </c>
      <c r="BJ726" s="48" t="str">
        <f aca="false">IF(AI726&lt;=0,"",IF(CF726="Aussen","Aussenlager",IF(CF726="-","Nicht im Lift",IF(AO726&gt;=1,"Lift",IF(AO726&lt;=0,"Aussenlager","teilweise")))))</f>
        <v/>
      </c>
      <c r="BK726" s="48" t="str">
        <f aca="false">IF(AS726&lt;=0,"",IF(CF726="Aussen","Aussenlager",IF(CF726="-","Nicht im Lift",IF(AY726&gt;=1,"Lift",IF(AY726&lt;=0,"Aussenlager","teilweise")))))</f>
        <v>Lift</v>
      </c>
      <c r="BL726" s="48" t="str">
        <f aca="false">IF(BC726&lt;=0,"",IF(CF726="Aussen","Aussenlager",IF(CF726="-","Nicht im Lift",IF(BI726&gt;=1,"Lift",IF(BI726&lt;=0,"Aussenlager","teilweise")))))</f>
        <v>Lift</v>
      </c>
      <c r="BM726" s="48" t="str">
        <f aca="false">IF(A726="","",IF(BV726=1,"Neu; ","")&amp;IF(AND(BV726=0,BQ726&lt;0),"negativer Bestand (Export "&amp;BQ726&amp;"); ","")&amp;IF(J726&lt;=0,"Kein Verbrauch; ","")&amp;IF(CQ726&gt;0,"Lift "&amp;W726&amp;" lt. Liftbericht (Fach "&amp;X726&amp;" Stk); ",IF(CA726=1,"Gebinde geschätzt ("&amp;T726&amp;"); ",IF(BZ726=1,"Lose – Tablare geschätzt; ","")))&amp;IF(H726&gt;AV726,"Überbestand "&amp;ROUND(H726-AV726,0)&amp;" Stk / CHF "&amp;ROUND((H726-AV726)*G726,0)&amp;"; ","")&amp;IF(AND(CH726=1,CI726&lt;CJ726),"MAX &lt; MB+LG; ","")&amp;IF(AND(CP726&gt;0,CO726*10&gt;CP726),"zu hoch für Tablar; ","")&amp;IF(AND(BV726=0,OR(CH726=1,AA726&lt;&gt;"",U726&lt;&gt;"",V726&lt;&gt;"",AB726&lt;&gt;"")),"manuell übersteuert; ","")&amp;IF(AND(BZ726=0,R726=0),"Gebinde unbekannt / Stellmass fehlt; ","")&amp;IF(AND(BZ726=0,N(V726)&lt;=0,N(Q726)&lt;=0),"Menge pro Gebinde fehlt (Ist = 1 Gebinde); ","")&amp;BU726)</f>
        <v>Gebinde geschätzt (Mittel); Menge pro Gebinde fehlt (Ist = 1 Gebinde); </v>
      </c>
      <c r="BN726" s="48"/>
      <c r="BO726" s="48"/>
      <c r="BP726" s="55"/>
      <c r="BQ726" s="50" t="n">
        <v>0</v>
      </c>
      <c r="BR726" s="50" t="n">
        <v>0</v>
      </c>
      <c r="BS726" s="49" t="n">
        <v>0</v>
      </c>
      <c r="BT726" s="50" t="n">
        <v>1</v>
      </c>
      <c r="BU726" s="48"/>
      <c r="BV726" s="53" t="n">
        <v>0</v>
      </c>
      <c r="BW726" s="53" t="n">
        <v>726</v>
      </c>
      <c r="BX726" s="48" t="str">
        <f aca="false">IF(U726&lt;&gt;"",UPPER(TRIM(U726)),IF(CA726=1,UPPER(VLOOKUP(T726,Parameter!$I$27:$K$29,2,0)),IF(P726="","LOSE",P726)))</f>
        <v>S61</v>
      </c>
      <c r="BY726" s="50" t="n">
        <f aca="false">IF(BX726="LOSE",1,IF(N(V726)&gt;0,V726,IF(CA726=1,MAX(1,N(VLOOKUP(T726,Parameter!$I$27:$K$29,3,0)),H726,N(N726)),IF(N(Q726)&gt;0,Q726,MAX(1,H726)))))</f>
        <v>4</v>
      </c>
      <c r="BZ726" s="53" t="n">
        <f aca="false">IF(BX726="LOSE",1,0)</f>
        <v>0</v>
      </c>
      <c r="CA726" s="53" t="n">
        <f aca="false">IF(AND(U726="",OR(P726="",P726="LOSE"),T726&lt;&gt;"",N(S726)&lt;=0,ISNUMBER(MATCH(T726,Parameter!$I$27:$I$29,0))),1,0)</f>
        <v>1</v>
      </c>
      <c r="CB726" s="53" t="n">
        <f aca="false">IF(CQ726&gt;0,INDEX(Parameter!$H$5:$H$7,W726)/INDEX(Parameter!$E$5:$E$7,W726),IF(AND(BZ726=0,N(IFERROR(VLOOKUP(BX726,'Gebinde-Kategorie'!$A$5:$N$45,14,0),0))&gt;0),VLOOKUP(BX726,'Gebinde-Kategorie'!$A$5:$N$45,14,0)*10+Parameter!$M$23,Parameter!$M$24))</f>
        <v>145</v>
      </c>
      <c r="CC726" s="48" t="str">
        <f aca="false">IF(AND(Parameter!$B$19="Ja",E726&lt;&gt;"",ISNUMBER(MATCH(E726,Parameter!$I$35:$I$52,0))),VLOOKUP(E726,Parameter!$I$35:$J$52,2,0),IFERROR(VLOOKUP(D726,Parameter!$A$35:$C$64,2,0),"Nein"))</f>
        <v>2+3</v>
      </c>
      <c r="CD726" s="52" t="n">
        <f aca="false">IF(BZ726=0,0,IF(N(S726)&gt;0,S726,IFERROR(VLOOKUP(D726,Parameter!$A$35:$C$64,3,0)+0,0)))</f>
        <v>0</v>
      </c>
      <c r="CE726" s="48" t="n">
        <f aca="false">IF(AA726&lt;&gt;"",AA726,Z726)</f>
        <v>2</v>
      </c>
      <c r="CF726" s="48" t="str">
        <f aca="false">IF(OR(CE726=1,CE726=2,CE726=3),IF(Parameter!$E$27="Ja","LIFT",IF(CE726=1,"L1","L23")),IF(CE726="Aussen","Aussen","-"))</f>
        <v>LIFT</v>
      </c>
      <c r="CG726" s="59" t="n">
        <f aca="false">IF(N(AB726)&gt;0,AB726,0)</f>
        <v>0</v>
      </c>
      <c r="CH726" s="53" t="n">
        <f aca="false">IF(ISNUMBER(AE726),1,0)</f>
        <v>0</v>
      </c>
      <c r="CI726" s="50" t="n">
        <f aca="false">N(AE726)</f>
        <v>0</v>
      </c>
      <c r="CJ726" s="50" t="n">
        <f aca="false">N(M726)+N(N726)</f>
        <v>1</v>
      </c>
      <c r="CK726" s="50" t="n">
        <f aca="false">N(M726)</f>
        <v>0</v>
      </c>
      <c r="CL726" s="50" t="n">
        <f aca="false">N(N726)</f>
        <v>1</v>
      </c>
      <c r="CM726" s="50" t="n">
        <f aca="false">ROUNDUP(H726/BY726,0)</f>
        <v>0</v>
      </c>
      <c r="CN726" s="50" t="n">
        <f aca="false">ROUNDUP(CI726/BY726,0)</f>
        <v>0</v>
      </c>
      <c r="CO726" s="53" t="n">
        <f aca="false">IF(BZ726=1,0,IFERROR(VLOOKUP(BX726,'Gebinde-Kategorie'!$A$5:$N$45,5,0)+0,0))</f>
        <v>11</v>
      </c>
      <c r="CP726" s="53" t="n">
        <f aca="false">IFERROR(IF(OR(CE726=1,CE726=2,CE726=3),N(INDEX(Parameter!$I$5:$I$7,CE726)),0),0)</f>
        <v>0</v>
      </c>
      <c r="CQ726" s="52" t="n">
        <f aca="false">IF(AND(Parameter!$B$21="Ja",ISNUMBER(W726),N(X726)&gt;0),IFERROR(N(INDEX(Parameter!$L$5:$L$7,W726))*INDEX(Parameter!$E$5:$E$7,W726)*X726/SUMIFS($X$7:$X$1843,$W$7:$W$1843,W726),0),0)</f>
        <v>0</v>
      </c>
    </row>
    <row r="727" customFormat="false" ht="15" hidden="false" customHeight="false" outlineLevel="0" collapsed="false">
      <c r="A727" s="48" t="s">
        <v>1451</v>
      </c>
      <c r="B727" s="48" t="s">
        <v>1452</v>
      </c>
      <c r="C727" s="48" t="s">
        <v>173</v>
      </c>
      <c r="D727" s="48" t="s">
        <v>193</v>
      </c>
      <c r="E727" s="48" t="s">
        <v>194</v>
      </c>
      <c r="F727" s="48" t="s">
        <v>227</v>
      </c>
      <c r="G727" s="49" t="n">
        <v>141.03</v>
      </c>
      <c r="H727" s="50" t="n">
        <f aca="false">MAX(0,IF(AND(Parameter!$B$21="Ja",ISNUMBER(Y727)),Y727,IF(Parameter!$B$20="Jahresanfang 2025 + Export",BR727+BQ727,BQ727)))</f>
        <v>12</v>
      </c>
      <c r="I727" s="50" t="n">
        <f aca="false">H727*G727</f>
        <v>1692.36</v>
      </c>
      <c r="J727" s="50" t="n">
        <f aca="false">BT727*Parameter!$B$18</f>
        <v>1</v>
      </c>
      <c r="K727" s="51" t="n">
        <v>11.5</v>
      </c>
      <c r="L727" s="52" t="n">
        <v>0.0869565217391304</v>
      </c>
      <c r="M727" s="50" t="n">
        <v>0</v>
      </c>
      <c r="N727" s="50" t="n">
        <v>1</v>
      </c>
      <c r="O727" s="53" t="n">
        <v>28</v>
      </c>
      <c r="P727" s="48" t="s">
        <v>311</v>
      </c>
      <c r="Q727" s="50" t="n">
        <v>15</v>
      </c>
      <c r="R727" s="53" t="n">
        <f aca="false">IF(BZ727=1,0,IFERROR(VLOOKUP(BX727,'Gebinde-Kategorie'!$A$5:$N$45,13,0)+0,0))</f>
        <v>26</v>
      </c>
      <c r="S727" s="54"/>
      <c r="T727" s="55"/>
      <c r="U727" s="55"/>
      <c r="V727" s="55"/>
      <c r="W727" s="48"/>
      <c r="X727" s="50"/>
      <c r="Y727" s="50"/>
      <c r="Z727" s="48" t="n">
        <f aca="false">IF(A727="","",IF(AND(Parameter!$B$21="Ja",ISNUMBER(W727)),W727,IF(CC727="2+3",IF(ISNUMBER(SEARCH("grosser Artikel",BU727)),2,IFERROR(VLOOKUP(BX727,Parameter!$F$35:$G$64,2,0),2)),IF(OR(CC727="Nein",CC727=""),"-",CC727))))</f>
        <v>3</v>
      </c>
      <c r="AA727" s="55"/>
      <c r="AB727" s="56"/>
      <c r="AC727" s="50" t="n">
        <f aca="false">AV727</f>
        <v>1</v>
      </c>
      <c r="AD727" s="50" t="n">
        <f aca="false">MAX(AV727,H727)</f>
        <v>12</v>
      </c>
      <c r="AE727" s="57"/>
      <c r="AF727" s="50" t="n">
        <f aca="false">IF(LEFT(Cockpit!$C$5,1)="A",H727,IF(Parameter!$E$30="MAX-Bestand",IF(CH727=1,CI727,IF(LEFT(Cockpit!$C$5,1)="B",AL727,MAX(AL727,H727))),ROUNDUP(AJ727,0)))</f>
        <v>12</v>
      </c>
      <c r="AG727" s="50" t="n">
        <f aca="false">IF(BZ727=1,0,ROUNDUP(AF727/BY727,0))</f>
        <v>1</v>
      </c>
      <c r="AH727" s="52" t="n">
        <f aca="false">IF(CQ727&gt;0,CQ727*MAX(1,AF727/X727),IF(BZ727=1,IF(AF727&lt;=0,0,CD727*MAX(1,IF(H727&gt;0,AF727/H727,1))),IF(R727&gt;0,AG727/R727,0))/MAX(0.1,N(Parameter!$M$21)))</f>
        <v>0.0384615384615385</v>
      </c>
      <c r="AI727" s="50" t="n">
        <f aca="false">AH727*CB727</f>
        <v>5.96153846153846</v>
      </c>
      <c r="AJ727" s="51" t="n">
        <f aca="false">IF(LEFT(Cockpit!$C$5,1)="A",H727,IF(CH727=1,(CK727+CI727)/2,IF(LEFT(Cockpit!$C$5,1)="B",(CK727+AL727)/2,MAX((CK727+AL727)/2,H727))))</f>
        <v>12</v>
      </c>
      <c r="AK727" s="50" t="n">
        <f aca="false">AJ727*G727</f>
        <v>1692.36</v>
      </c>
      <c r="AL727" s="50" t="n">
        <f aca="false">ROUNDUP(CK727+MAX(CL727,2*(J727/IF(CG727&gt;0,CG727,MAX(0.1,N(Cockpit!$C$6)))-CK727)),0)</f>
        <v>1</v>
      </c>
      <c r="AM727" s="51" t="n">
        <f aca="false">IF(AI727&gt;0,J727/AI727,-1)</f>
        <v>0.167741935483871</v>
      </c>
      <c r="AN727" s="51" t="n">
        <f aca="false">IF(AND(OR(CF727="L1",CF727="L23",CF727="LIFT"),AI727&gt;0),SUMIFS($AI$7:$AI$1843,$CF$7:$CF$1843,CF727,$AM$7:$AM$1843,"&gt;"&amp;AM727)+SUMIFS($AI$7:$AI$1843,$CF$7:$CF$1843,CF727,$AM$7:$AM$1843,AM727,$BW$7:$BW$1843,"&lt;="&amp;BW727),"")</f>
        <v>12715.5029516152</v>
      </c>
      <c r="AO727" s="58" t="n">
        <f aca="false">IF(AN727="",0,MAX(0,MIN(1,(IF(CF727="L1",Parameter!$H$5,IF(CF727="L23",Parameter!$H$6+Parameter!$H$7,Parameter!$H$5+Parameter!$H$6+Parameter!$H$7))-(AN727-AI727))/AI727)))</f>
        <v>1</v>
      </c>
      <c r="AP727" s="50" t="n">
        <f aca="false">IF(LEFT(Cockpit!$I$5,1)="A",H727,IF(Parameter!$E$30="MAX-Bestand",IF(CH727=1,CI727,IF(LEFT(Cockpit!$I$5,1)="B",AV727,MAX(AV727,H727))),ROUNDUP(AT727,0)))</f>
        <v>12</v>
      </c>
      <c r="AQ727" s="50" t="n">
        <f aca="false">IF(BZ727=1,0,ROUNDUP(AP727/BY727,0))</f>
        <v>1</v>
      </c>
      <c r="AR727" s="52" t="n">
        <f aca="false">IF(CQ727&gt;0,CQ727*MAX(1,AP727/X727),IF(BZ727=1,IF(AP727&lt;=0,0,CD727*MAX(1,IF(H727&gt;0,AP727/H727,1))),IF(R727&gt;0,AQ727/R727,0))/MAX(0.1,N(Parameter!$M$21)))</f>
        <v>0.0384615384615385</v>
      </c>
      <c r="AS727" s="50" t="n">
        <f aca="false">AR727*CB727</f>
        <v>5.96153846153846</v>
      </c>
      <c r="AT727" s="51" t="n">
        <f aca="false">IF(LEFT(Cockpit!$I$5,1)="A",H727,IF(CH727=1,(CK727+CI727)/2,IF(LEFT(Cockpit!$I$5,1)="B",(CK727+AV727)/2,MAX((CK727+AV727)/2,H727))))</f>
        <v>12</v>
      </c>
      <c r="AU727" s="50" t="n">
        <f aca="false">AT727*G727</f>
        <v>1692.36</v>
      </c>
      <c r="AV727" s="50" t="n">
        <f aca="false">ROUNDUP(CK727+MAX(CL727,2*(J727/IF(CG727&gt;0,CG727,MAX(0.1,N(Cockpit!$I$6)))-CK727)),0)</f>
        <v>1</v>
      </c>
      <c r="AW727" s="51" t="n">
        <f aca="false">IF(AS727&gt;0,J727/AS727,-1)</f>
        <v>0.167741935483871</v>
      </c>
      <c r="AX727" s="51" t="n">
        <f aca="false">IF(AND(OR(CF727="L1",CF727="L23",CF727="LIFT"),AS727&gt;0),SUMIFS($AS$7:$AS$1843,$CF$7:$CF$1843,CF727,$AW$7:$AW$1843,"&gt;"&amp;AW727)+SUMIFS($AS$7:$AS$1843,$CF$7:$CF$1843,CF727,$AW$7:$AW$1843,AW727,$BW$7:$BW$1843,"&lt;="&amp;BW727),"")</f>
        <v>15644.1836080586</v>
      </c>
      <c r="AY727" s="58" t="n">
        <f aca="false">IF(AX727="",0,MAX(0,MIN(1,(IF(CF727="L1",Parameter!$H$5,IF(CF727="L23",Parameter!$H$6+Parameter!$H$7,Parameter!$H$5+Parameter!$H$6+Parameter!$H$7))-(AX727-AS727))/AS727)))</f>
        <v>1</v>
      </c>
      <c r="AZ727" s="50" t="n">
        <f aca="false">IF(LEFT(Cockpit!$O$5,1)="A",H727,IF(Parameter!$E$30="MAX-Bestand",IF(CH727=1,CI727,IF(LEFT(Cockpit!$O$5,1)="B",BF727,MAX(BF727,H727))),ROUNDUP(BD727,0)))</f>
        <v>1</v>
      </c>
      <c r="BA727" s="50" t="n">
        <f aca="false">IF(BZ727=1,0,ROUNDUP(AZ727/BY727,0))</f>
        <v>1</v>
      </c>
      <c r="BB727" s="52" t="n">
        <f aca="false">IF(CQ727&gt;0,CQ727*MAX(1,AZ727/X727),IF(BZ727=1,IF(AZ727&lt;=0,0,CD727*MAX(1,IF(H727&gt;0,AZ727/H727,1))),IF(R727&gt;0,BA727/R727,0))/MAX(0.1,N(Parameter!$M$21)))</f>
        <v>0.0384615384615385</v>
      </c>
      <c r="BC727" s="50" t="n">
        <f aca="false">BB727*CB727</f>
        <v>5.96153846153846</v>
      </c>
      <c r="BD727" s="51" t="n">
        <f aca="false">IF(LEFT(Cockpit!$O$5,1)="A",H727,IF(CH727=1,(CK727+CI727)/2,IF(LEFT(Cockpit!$O$5,1)="B",(CK727+BF727)/2,MAX((CK727+BF727)/2,H727))))</f>
        <v>0.5</v>
      </c>
      <c r="BE727" s="50" t="n">
        <f aca="false">BD727*G727</f>
        <v>70.515</v>
      </c>
      <c r="BF727" s="50" t="n">
        <f aca="false">ROUNDUP(CK727+MAX(CL727,2*(J727/IF(CG727&gt;0,CG727,MAX(0.1,N(Cockpit!$O$6)))-CK727)),0)</f>
        <v>1</v>
      </c>
      <c r="BG727" s="51" t="n">
        <f aca="false">IF(BC727&gt;0,J727/BC727,-1)</f>
        <v>0.167741935483871</v>
      </c>
      <c r="BH727" s="51" t="n">
        <f aca="false">IF(AND(OR(CF727="L1",CF727="L23",CF727="LIFT"),BC727&gt;0),SUMIFS($BC$7:$BC$1843,$CF$7:$CF$1843,CF727,$BG$7:$BG$1843,"&gt;"&amp;BG727)+SUMIFS($BC$7:$BC$1843,$CF$7:$CF$1843,CF727,$BG$7:$BG$1843,BG727,$BW$7:$BW$1843,"&lt;="&amp;BW727),"")</f>
        <v>13446.4834362906</v>
      </c>
      <c r="BI727" s="58" t="n">
        <f aca="false">IF(BH727="",0,MAX(0,MIN(1,(IF(CF727="L1",Parameter!$H$5,IF(CF727="L23",Parameter!$H$6+Parameter!$H$7,Parameter!$H$5+Parameter!$H$6+Parameter!$H$7))-(BH727-BC727))/BC727)))</f>
        <v>1</v>
      </c>
      <c r="BJ727" s="48" t="str">
        <f aca="false">IF(AI727&lt;=0,"",IF(CF727="Aussen","Aussenlager",IF(CF727="-","Nicht im Lift",IF(AO727&gt;=1,"Lift",IF(AO727&lt;=0,"Aussenlager","teilweise")))))</f>
        <v>Lift</v>
      </c>
      <c r="BK727" s="48" t="str">
        <f aca="false">IF(AS727&lt;=0,"",IF(CF727="Aussen","Aussenlager",IF(CF727="-","Nicht im Lift",IF(AY727&gt;=1,"Lift",IF(AY727&lt;=0,"Aussenlager","teilweise")))))</f>
        <v>Lift</v>
      </c>
      <c r="BL727" s="48" t="str">
        <f aca="false">IF(BC727&lt;=0,"",IF(CF727="Aussen","Aussenlager",IF(CF727="-","Nicht im Lift",IF(BI727&gt;=1,"Lift",IF(BI727&lt;=0,"Aussenlager","teilweise")))))</f>
        <v>Lift</v>
      </c>
      <c r="BM727" s="48" t="str">
        <f aca="false">IF(A727="","",IF(BV727=1,"Neu; ","")&amp;IF(AND(BV727=0,BQ727&lt;0),"negativer Bestand (Export "&amp;BQ727&amp;"); ","")&amp;IF(J727&lt;=0,"Kein Verbrauch; ","")&amp;IF(CQ727&gt;0,"Lift "&amp;W727&amp;" lt. Liftbericht (Fach "&amp;X727&amp;" Stk); ",IF(CA727=1,"Gebinde geschätzt ("&amp;T727&amp;"); ",IF(BZ727=1,"Lose – Tablare geschätzt; ","")))&amp;IF(H727&gt;AV727,"Überbestand "&amp;ROUND(H727-AV727,0)&amp;" Stk / CHF "&amp;ROUND((H727-AV727)*G727,0)&amp;"; ","")&amp;IF(AND(CH727=1,CI727&lt;CJ727),"MAX &lt; MB+LG; ","")&amp;IF(AND(CP727&gt;0,CO727*10&gt;CP727),"zu hoch für Tablar; ","")&amp;IF(AND(BV727=0,OR(CH727=1,AA727&lt;&gt;"",U727&lt;&gt;"",V727&lt;&gt;"",AB727&lt;&gt;"")),"manuell übersteuert; ","")&amp;IF(AND(BZ727=0,R727=0),"Gebinde unbekannt / Stellmass fehlt; ","")&amp;IF(AND(BZ727=0,N(V727)&lt;=0,N(Q727)&lt;=0),"Menge pro Gebinde fehlt (Ist = 1 Gebinde); ","")&amp;BU727)</f>
        <v>Überbestand 11 Stk / CHF 1551; </v>
      </c>
      <c r="BN727" s="48"/>
      <c r="BO727" s="48"/>
      <c r="BP727" s="55"/>
      <c r="BQ727" s="50" t="n">
        <v>0</v>
      </c>
      <c r="BR727" s="50" t="n">
        <v>12</v>
      </c>
      <c r="BS727" s="49" t="n">
        <v>0</v>
      </c>
      <c r="BT727" s="50" t="n">
        <v>1</v>
      </c>
      <c r="BU727" s="48"/>
      <c r="BV727" s="53" t="n">
        <v>0</v>
      </c>
      <c r="BW727" s="53" t="n">
        <v>727</v>
      </c>
      <c r="BX727" s="48" t="str">
        <f aca="false">IF(U727&lt;&gt;"",UPPER(TRIM(U727)),IF(CA727=1,UPPER(VLOOKUP(T727,Parameter!$I$27:$K$29,2,0)),IF(P727="","LOSE",P727)))</f>
        <v>S51</v>
      </c>
      <c r="BY727" s="50" t="n">
        <f aca="false">IF(BX727="LOSE",1,IF(N(V727)&gt;0,V727,IF(CA727=1,MAX(1,N(VLOOKUP(T727,Parameter!$I$27:$K$29,3,0)),H727,N(N727)),IF(N(Q727)&gt;0,Q727,MAX(1,H727)))))</f>
        <v>15</v>
      </c>
      <c r="BZ727" s="53" t="n">
        <f aca="false">IF(BX727="LOSE",1,0)</f>
        <v>0</v>
      </c>
      <c r="CA727" s="53" t="n">
        <f aca="false">IF(AND(U727="",OR(P727="",P727="LOSE"),T727&lt;&gt;"",N(S727)&lt;=0,ISNUMBER(MATCH(T727,Parameter!$I$27:$I$29,0))),1,0)</f>
        <v>0</v>
      </c>
      <c r="CB727" s="53" t="n">
        <f aca="false">IF(CQ727&gt;0,INDEX(Parameter!$H$5:$H$7,W727)/INDEX(Parameter!$E$5:$E$7,W727),IF(AND(BZ727=0,N(IFERROR(VLOOKUP(BX727,'Gebinde-Kategorie'!$A$5:$N$45,14,0),0))&gt;0),VLOOKUP(BX727,'Gebinde-Kategorie'!$A$5:$N$45,14,0)*10+Parameter!$M$23,Parameter!$M$24))</f>
        <v>155</v>
      </c>
      <c r="CC727" s="48" t="str">
        <f aca="false">IF(AND(Parameter!$B$19="Ja",E727&lt;&gt;"",ISNUMBER(MATCH(E727,Parameter!$I$35:$I$52,0))),VLOOKUP(E727,Parameter!$I$35:$J$52,2,0),IFERROR(VLOOKUP(D727,Parameter!$A$35:$C$64,2,0),"Nein"))</f>
        <v>2+3</v>
      </c>
      <c r="CD727" s="52" t="n">
        <f aca="false">IF(BZ727=0,0,IF(N(S727)&gt;0,S727,IFERROR(VLOOKUP(D727,Parameter!$A$35:$C$64,3,0)+0,0)))</f>
        <v>0</v>
      </c>
      <c r="CE727" s="48" t="n">
        <f aca="false">IF(AA727&lt;&gt;"",AA727,Z727)</f>
        <v>3</v>
      </c>
      <c r="CF727" s="48" t="str">
        <f aca="false">IF(OR(CE727=1,CE727=2,CE727=3),IF(Parameter!$E$27="Ja","LIFT",IF(CE727=1,"L1","L23")),IF(CE727="Aussen","Aussen","-"))</f>
        <v>LIFT</v>
      </c>
      <c r="CG727" s="59" t="n">
        <f aca="false">IF(N(AB727)&gt;0,AB727,0)</f>
        <v>0</v>
      </c>
      <c r="CH727" s="53" t="n">
        <f aca="false">IF(ISNUMBER(AE727),1,0)</f>
        <v>0</v>
      </c>
      <c r="CI727" s="50" t="n">
        <f aca="false">N(AE727)</f>
        <v>0</v>
      </c>
      <c r="CJ727" s="50" t="n">
        <f aca="false">N(M727)+N(N727)</f>
        <v>1</v>
      </c>
      <c r="CK727" s="50" t="n">
        <f aca="false">N(M727)</f>
        <v>0</v>
      </c>
      <c r="CL727" s="50" t="n">
        <f aca="false">N(N727)</f>
        <v>1</v>
      </c>
      <c r="CM727" s="50" t="n">
        <f aca="false">ROUNDUP(H727/BY727,0)</f>
        <v>1</v>
      </c>
      <c r="CN727" s="50" t="n">
        <f aca="false">ROUNDUP(CI727/BY727,0)</f>
        <v>0</v>
      </c>
      <c r="CO727" s="53" t="n">
        <f aca="false">IF(BZ727=1,0,IFERROR(VLOOKUP(BX727,'Gebinde-Kategorie'!$A$5:$N$45,5,0)+0,0))</f>
        <v>11</v>
      </c>
      <c r="CP727" s="53" t="n">
        <f aca="false">IFERROR(IF(OR(CE727=1,CE727=2,CE727=3),N(INDEX(Parameter!$I$5:$I$7,CE727)),0),0)</f>
        <v>0</v>
      </c>
      <c r="CQ727" s="52" t="n">
        <f aca="false">IF(AND(Parameter!$B$21="Ja",ISNUMBER(W727),N(X727)&gt;0),IFERROR(N(INDEX(Parameter!$L$5:$L$7,W727))*INDEX(Parameter!$E$5:$E$7,W727)*X727/SUMIFS($X$7:$X$1843,$W$7:$W$1843,W727),0),0)</f>
        <v>0</v>
      </c>
    </row>
    <row r="728" customFormat="false" ht="15" hidden="false" customHeight="false" outlineLevel="0" collapsed="false">
      <c r="A728" s="48" t="s">
        <v>1453</v>
      </c>
      <c r="B728" s="48" t="s">
        <v>1454</v>
      </c>
      <c r="C728" s="48" t="s">
        <v>173</v>
      </c>
      <c r="D728" s="48" t="s">
        <v>193</v>
      </c>
      <c r="E728" s="48"/>
      <c r="F728" s="48" t="s">
        <v>227</v>
      </c>
      <c r="G728" s="49" t="n">
        <v>0</v>
      </c>
      <c r="H728" s="50" t="n">
        <f aca="false">MAX(0,IF(AND(Parameter!$B$21="Ja",ISNUMBER(Y728)),Y728,IF(Parameter!$B$20="Jahresanfang 2025 + Export",BR728+BQ728,BQ728)))</f>
        <v>0</v>
      </c>
      <c r="I728" s="50" t="n">
        <f aca="false">H728*G728</f>
        <v>0</v>
      </c>
      <c r="J728" s="50" t="n">
        <f aca="false">BT728*Parameter!$B$18</f>
        <v>0</v>
      </c>
      <c r="K728" s="51" t="n">
        <v>0.5</v>
      </c>
      <c r="L728" s="52" t="n">
        <v>0</v>
      </c>
      <c r="M728" s="50" t="n">
        <v>0</v>
      </c>
      <c r="N728" s="50" t="n">
        <v>1</v>
      </c>
      <c r="O728" s="53" t="n">
        <v>14</v>
      </c>
      <c r="P728" s="48" t="s">
        <v>177</v>
      </c>
      <c r="Q728" s="50"/>
      <c r="R728" s="53" t="n">
        <f aca="false">IF(BZ728=1,0,IFERROR(VLOOKUP(BX728,'Gebinde-Kategorie'!$A$5:$N$45,13,0)+0,0))</f>
        <v>26</v>
      </c>
      <c r="S728" s="54"/>
      <c r="T728" s="55" t="s">
        <v>284</v>
      </c>
      <c r="U728" s="55"/>
      <c r="V728" s="55"/>
      <c r="W728" s="48"/>
      <c r="X728" s="50"/>
      <c r="Y728" s="50"/>
      <c r="Z728" s="48" t="n">
        <f aca="false">IF(A728="","",IF(AND(Parameter!$B$21="Ja",ISNUMBER(W728)),W728,IF(CC728="2+3",IF(ISNUMBER(SEARCH("grosser Artikel",BU728)),2,IFERROR(VLOOKUP(BX728,Parameter!$F$35:$G$64,2,0),2)),IF(OR(CC728="Nein",CC728=""),"-",CC728))))</f>
        <v>3</v>
      </c>
      <c r="AA728" s="55"/>
      <c r="AB728" s="56"/>
      <c r="AC728" s="50" t="n">
        <f aca="false">AV728</f>
        <v>1</v>
      </c>
      <c r="AD728" s="50" t="n">
        <f aca="false">MAX(AV728,H728)</f>
        <v>1</v>
      </c>
      <c r="AE728" s="57"/>
      <c r="AF728" s="50" t="n">
        <f aca="false">IF(LEFT(Cockpit!$C$5,1)="A",H728,IF(Parameter!$E$30="MAX-Bestand",IF(CH728=1,CI728,IF(LEFT(Cockpit!$C$5,1)="B",AL728,MAX(AL728,H728))),ROUNDUP(AJ728,0)))</f>
        <v>0</v>
      </c>
      <c r="AG728" s="50" t="n">
        <f aca="false">IF(BZ728=1,0,ROUNDUP(AF728/BY728,0))</f>
        <v>0</v>
      </c>
      <c r="AH728" s="52" t="n">
        <f aca="false">IF(CQ728&gt;0,CQ728*MAX(1,AF728/X728),IF(BZ728=1,IF(AF728&lt;=0,0,CD728*MAX(1,IF(H728&gt;0,AF728/H728,1))),IF(R728&gt;0,AG728/R728,0))/MAX(0.1,N(Parameter!$M$21)))</f>
        <v>0</v>
      </c>
      <c r="AI728" s="50" t="n">
        <f aca="false">AH728*CB728</f>
        <v>0</v>
      </c>
      <c r="AJ728" s="51" t="n">
        <f aca="false">IF(LEFT(Cockpit!$C$5,1)="A",H728,IF(CH728=1,(CK728+CI728)/2,IF(LEFT(Cockpit!$C$5,1)="B",(CK728+AL728)/2,MAX((CK728+AL728)/2,H728))))</f>
        <v>0</v>
      </c>
      <c r="AK728" s="50" t="n">
        <f aca="false">AJ728*G728</f>
        <v>0</v>
      </c>
      <c r="AL728" s="50" t="n">
        <f aca="false">ROUNDUP(CK728+MAX(CL728,2*(J728/IF(CG728&gt;0,CG728,MAX(0.1,N(Cockpit!$C$6)))-CK728)),0)</f>
        <v>1</v>
      </c>
      <c r="AM728" s="51" t="n">
        <f aca="false">IF(AI728&gt;0,J728/AI728,-1)</f>
        <v>-1</v>
      </c>
      <c r="AN728" s="51" t="str">
        <f aca="false">IF(AND(OR(CF728="L1",CF728="L23",CF728="LIFT"),AI728&gt;0),SUMIFS($AI$7:$AI$1843,$CF$7:$CF$1843,CF728,$AM$7:$AM$1843,"&gt;"&amp;AM728)+SUMIFS($AI$7:$AI$1843,$CF$7:$CF$1843,CF728,$AM$7:$AM$1843,AM728,$BW$7:$BW$1843,"&lt;="&amp;BW728),"")</f>
        <v/>
      </c>
      <c r="AO728" s="58" t="n">
        <f aca="false">IF(AN728="",0,MAX(0,MIN(1,(IF(CF728="L1",Parameter!$H$5,IF(CF728="L23",Parameter!$H$6+Parameter!$H$7,Parameter!$H$5+Parameter!$H$6+Parameter!$H$7))-(AN728-AI728))/AI728)))</f>
        <v>0</v>
      </c>
      <c r="AP728" s="50" t="n">
        <f aca="false">IF(LEFT(Cockpit!$I$5,1)="A",H728,IF(Parameter!$E$30="MAX-Bestand",IF(CH728=1,CI728,IF(LEFT(Cockpit!$I$5,1)="B",AV728,MAX(AV728,H728))),ROUNDUP(AT728,0)))</f>
        <v>1</v>
      </c>
      <c r="AQ728" s="50" t="n">
        <f aca="false">IF(BZ728=1,0,ROUNDUP(AP728/BY728,0))</f>
        <v>1</v>
      </c>
      <c r="AR728" s="52" t="n">
        <f aca="false">IF(CQ728&gt;0,CQ728*MAX(1,AP728/X728),IF(BZ728=1,IF(AP728&lt;=0,0,CD728*MAX(1,IF(H728&gt;0,AP728/H728,1))),IF(R728&gt;0,AQ728/R728,0))/MAX(0.1,N(Parameter!$M$21)))</f>
        <v>0.0384615384615385</v>
      </c>
      <c r="AS728" s="50" t="n">
        <f aca="false">AR728*CB728</f>
        <v>5.96153846153846</v>
      </c>
      <c r="AT728" s="51" t="n">
        <f aca="false">IF(LEFT(Cockpit!$I$5,1)="A",H728,IF(CH728=1,(CK728+CI728)/2,IF(LEFT(Cockpit!$I$5,1)="B",(CK728+AV728)/2,MAX((CK728+AV728)/2,H728))))</f>
        <v>0.5</v>
      </c>
      <c r="AU728" s="50" t="n">
        <f aca="false">AT728*G728</f>
        <v>0</v>
      </c>
      <c r="AV728" s="50" t="n">
        <f aca="false">ROUNDUP(CK728+MAX(CL728,2*(J728/IF(CG728&gt;0,CG728,MAX(0.1,N(Cockpit!$I$6)))-CK728)),0)</f>
        <v>1</v>
      </c>
      <c r="AW728" s="51" t="n">
        <f aca="false">IF(AS728&gt;0,J728/AS728,-1)</f>
        <v>0</v>
      </c>
      <c r="AX728" s="51" t="n">
        <f aca="false">IF(AND(OR(CF728="L1",CF728="L23",CF728="LIFT"),AS728&gt;0),SUMIFS($AS$7:$AS$1843,$CF$7:$CF$1843,CF728,$AW$7:$AW$1843,"&gt;"&amp;AW728)+SUMIFS($AS$7:$AS$1843,$CF$7:$CF$1843,CF728,$AW$7:$AW$1843,AW728,$BW$7:$BW$1843,"&lt;="&amp;BW728),"")</f>
        <v>34186.7646520147</v>
      </c>
      <c r="AY728" s="58" t="n">
        <f aca="false">IF(AX728="",0,MAX(0,MIN(1,(IF(CF728="L1",Parameter!$H$5,IF(CF728="L23",Parameter!$H$6+Parameter!$H$7,Parameter!$H$5+Parameter!$H$6+Parameter!$H$7))-(AX728-AS728))/AS728)))</f>
        <v>1</v>
      </c>
      <c r="AZ728" s="50" t="n">
        <f aca="false">IF(LEFT(Cockpit!$O$5,1)="A",H728,IF(Parameter!$E$30="MAX-Bestand",IF(CH728=1,CI728,IF(LEFT(Cockpit!$O$5,1)="B",BF728,MAX(BF728,H728))),ROUNDUP(BD728,0)))</f>
        <v>1</v>
      </c>
      <c r="BA728" s="50" t="n">
        <f aca="false">IF(BZ728=1,0,ROUNDUP(AZ728/BY728,0))</f>
        <v>1</v>
      </c>
      <c r="BB728" s="52" t="n">
        <f aca="false">IF(CQ728&gt;0,CQ728*MAX(1,AZ728/X728),IF(BZ728=1,IF(AZ728&lt;=0,0,CD728*MAX(1,IF(H728&gt;0,AZ728/H728,1))),IF(R728&gt;0,BA728/R728,0))/MAX(0.1,N(Parameter!$M$21)))</f>
        <v>0.0384615384615385</v>
      </c>
      <c r="BC728" s="50" t="n">
        <f aca="false">BB728*CB728</f>
        <v>5.96153846153846</v>
      </c>
      <c r="BD728" s="51" t="n">
        <f aca="false">IF(LEFT(Cockpit!$O$5,1)="A",H728,IF(CH728=1,(CK728+CI728)/2,IF(LEFT(Cockpit!$O$5,1)="B",(CK728+BF728)/2,MAX((CK728+BF728)/2,H728))))</f>
        <v>0.5</v>
      </c>
      <c r="BE728" s="50" t="n">
        <f aca="false">BD728*G728</f>
        <v>0</v>
      </c>
      <c r="BF728" s="50" t="n">
        <f aca="false">ROUNDUP(CK728+MAX(CL728,2*(J728/IF(CG728&gt;0,CG728,MAX(0.1,N(Cockpit!$O$6)))-CK728)),0)</f>
        <v>1</v>
      </c>
      <c r="BG728" s="51" t="n">
        <f aca="false">IF(BC728&gt;0,J728/BC728,-1)</f>
        <v>0</v>
      </c>
      <c r="BH728" s="51" t="n">
        <f aca="false">IF(AND(OR(CF728="L1",CF728="L23",CF728="LIFT"),BC728&gt;0),SUMIFS($BC$7:$BC$1843,$CF$7:$CF$1843,CF728,$BG$7:$BG$1843,"&gt;"&amp;BG728)+SUMIFS($BC$7:$BC$1843,$CF$7:$CF$1843,CF728,$BG$7:$BG$1843,BG728,$BW$7:$BW$1843,"&lt;="&amp;BW728),"")</f>
        <v>28250.8936564848</v>
      </c>
      <c r="BI728" s="58" t="n">
        <f aca="false">IF(BH728="",0,MAX(0,MIN(1,(IF(CF728="L1",Parameter!$H$5,IF(CF728="L23",Parameter!$H$6+Parameter!$H$7,Parameter!$H$5+Parameter!$H$6+Parameter!$H$7))-(BH728-BC728))/BC728)))</f>
        <v>1</v>
      </c>
      <c r="BJ728" s="48" t="str">
        <f aca="false">IF(AI728&lt;=0,"",IF(CF728="Aussen","Aussenlager",IF(CF728="-","Nicht im Lift",IF(AO728&gt;=1,"Lift",IF(AO728&lt;=0,"Aussenlager","teilweise")))))</f>
        <v/>
      </c>
      <c r="BK728" s="48" t="str">
        <f aca="false">IF(AS728&lt;=0,"",IF(CF728="Aussen","Aussenlager",IF(CF728="-","Nicht im Lift",IF(AY728&gt;=1,"Lift",IF(AY728&lt;=0,"Aussenlager","teilweise")))))</f>
        <v>Lift</v>
      </c>
      <c r="BL728" s="48" t="str">
        <f aca="false">IF(BC728&lt;=0,"",IF(CF728="Aussen","Aussenlager",IF(CF728="-","Nicht im Lift",IF(BI728&gt;=1,"Lift",IF(BI728&lt;=0,"Aussenlager","teilweise")))))</f>
        <v>Lift</v>
      </c>
      <c r="BM728" s="48" t="str">
        <f aca="false">IF(A728="","",IF(BV728=1,"Neu; ","")&amp;IF(AND(BV728=0,BQ728&lt;0),"negativer Bestand (Export "&amp;BQ728&amp;"); ","")&amp;IF(J728&lt;=0,"Kein Verbrauch; ","")&amp;IF(CQ728&gt;0,"Lift "&amp;W728&amp;" lt. Liftbericht (Fach "&amp;X728&amp;" Stk); ",IF(CA728=1,"Gebinde geschätzt ("&amp;T728&amp;"); ",IF(BZ728=1,"Lose – Tablare geschätzt; ","")))&amp;IF(H728&gt;AV728,"Überbestand "&amp;ROUND(H728-AV728,0)&amp;" Stk / CHF "&amp;ROUND((H728-AV728)*G728,0)&amp;"; ","")&amp;IF(AND(CH728=1,CI728&lt;CJ728),"MAX &lt; MB+LG; ","")&amp;IF(AND(CP728&gt;0,CO728*10&gt;CP728),"zu hoch für Tablar; ","")&amp;IF(AND(BV728=0,OR(CH728=1,AA728&lt;&gt;"",U728&lt;&gt;"",V728&lt;&gt;"",AB728&lt;&gt;"")),"manuell übersteuert; ","")&amp;IF(AND(BZ728=0,R728=0),"Gebinde unbekannt / Stellmass fehlt; ","")&amp;IF(AND(BZ728=0,N(V728)&lt;=0,N(Q728)&lt;=0),"Menge pro Gebinde fehlt (Ist = 1 Gebinde); ","")&amp;BU728)</f>
        <v>negativer Bestand (Export -1); Kein Verbrauch; Gebinde geschätzt (Klein); Menge pro Gebinde fehlt (Ist = 1 Gebinde); </v>
      </c>
      <c r="BN728" s="48"/>
      <c r="BO728" s="48"/>
      <c r="BP728" s="55"/>
      <c r="BQ728" s="50" t="n">
        <v>-1</v>
      </c>
      <c r="BR728" s="50" t="n">
        <v>1</v>
      </c>
      <c r="BS728" s="49" t="n">
        <v>0</v>
      </c>
      <c r="BT728" s="50" t="n">
        <v>0</v>
      </c>
      <c r="BU728" s="48"/>
      <c r="BV728" s="53" t="n">
        <v>0</v>
      </c>
      <c r="BW728" s="53" t="n">
        <v>728</v>
      </c>
      <c r="BX728" s="48" t="str">
        <f aca="false">IF(U728&lt;&gt;"",UPPER(TRIM(U728)),IF(CA728=1,UPPER(VLOOKUP(T728,Parameter!$I$27:$K$29,2,0)),IF(P728="","LOSE",P728)))</f>
        <v>S51</v>
      </c>
      <c r="BY728" s="50" t="n">
        <f aca="false">IF(BX728="LOSE",1,IF(N(V728)&gt;0,V728,IF(CA728=1,MAX(1,N(VLOOKUP(T728,Parameter!$I$27:$K$29,3,0)),H728,N(N728)),IF(N(Q728)&gt;0,Q728,MAX(1,H728)))))</f>
        <v>20</v>
      </c>
      <c r="BZ728" s="53" t="n">
        <f aca="false">IF(BX728="LOSE",1,0)</f>
        <v>0</v>
      </c>
      <c r="CA728" s="53" t="n">
        <f aca="false">IF(AND(U728="",OR(P728="",P728="LOSE"),T728&lt;&gt;"",N(S728)&lt;=0,ISNUMBER(MATCH(T728,Parameter!$I$27:$I$29,0))),1,0)</f>
        <v>1</v>
      </c>
      <c r="CB728" s="53" t="n">
        <f aca="false">IF(CQ728&gt;0,INDEX(Parameter!$H$5:$H$7,W728)/INDEX(Parameter!$E$5:$E$7,W728),IF(AND(BZ728=0,N(IFERROR(VLOOKUP(BX728,'Gebinde-Kategorie'!$A$5:$N$45,14,0),0))&gt;0),VLOOKUP(BX728,'Gebinde-Kategorie'!$A$5:$N$45,14,0)*10+Parameter!$M$23,Parameter!$M$24))</f>
        <v>155</v>
      </c>
      <c r="CC728" s="48" t="str">
        <f aca="false">IF(AND(Parameter!$B$19="Ja",E728&lt;&gt;"",ISNUMBER(MATCH(E728,Parameter!$I$35:$I$52,0))),VLOOKUP(E728,Parameter!$I$35:$J$52,2,0),IFERROR(VLOOKUP(D728,Parameter!$A$35:$C$64,2,0),"Nein"))</f>
        <v>2+3</v>
      </c>
      <c r="CD728" s="52" t="n">
        <f aca="false">IF(BZ728=0,0,IF(N(S728)&gt;0,S728,IFERROR(VLOOKUP(D728,Parameter!$A$35:$C$64,3,0)+0,0)))</f>
        <v>0</v>
      </c>
      <c r="CE728" s="48" t="n">
        <f aca="false">IF(AA728&lt;&gt;"",AA728,Z728)</f>
        <v>3</v>
      </c>
      <c r="CF728" s="48" t="str">
        <f aca="false">IF(OR(CE728=1,CE728=2,CE728=3),IF(Parameter!$E$27="Ja","LIFT",IF(CE728=1,"L1","L23")),IF(CE728="Aussen","Aussen","-"))</f>
        <v>LIFT</v>
      </c>
      <c r="CG728" s="59" t="n">
        <f aca="false">IF(N(AB728)&gt;0,AB728,0)</f>
        <v>0</v>
      </c>
      <c r="CH728" s="53" t="n">
        <f aca="false">IF(ISNUMBER(AE728),1,0)</f>
        <v>0</v>
      </c>
      <c r="CI728" s="50" t="n">
        <f aca="false">N(AE728)</f>
        <v>0</v>
      </c>
      <c r="CJ728" s="50" t="n">
        <f aca="false">N(M728)+N(N728)</f>
        <v>1</v>
      </c>
      <c r="CK728" s="50" t="n">
        <f aca="false">N(M728)</f>
        <v>0</v>
      </c>
      <c r="CL728" s="50" t="n">
        <f aca="false">N(N728)</f>
        <v>1</v>
      </c>
      <c r="CM728" s="50" t="n">
        <f aca="false">ROUNDUP(H728/BY728,0)</f>
        <v>0</v>
      </c>
      <c r="CN728" s="50" t="n">
        <f aca="false">ROUNDUP(CI728/BY728,0)</f>
        <v>0</v>
      </c>
      <c r="CO728" s="53" t="n">
        <f aca="false">IF(BZ728=1,0,IFERROR(VLOOKUP(BX728,'Gebinde-Kategorie'!$A$5:$N$45,5,0)+0,0))</f>
        <v>11</v>
      </c>
      <c r="CP728" s="53" t="n">
        <f aca="false">IFERROR(IF(OR(CE728=1,CE728=2,CE728=3),N(INDEX(Parameter!$I$5:$I$7,CE728)),0),0)</f>
        <v>0</v>
      </c>
      <c r="CQ728" s="52" t="n">
        <f aca="false">IF(AND(Parameter!$B$21="Ja",ISNUMBER(W728),N(X728)&gt;0),IFERROR(N(INDEX(Parameter!$L$5:$L$7,W728))*INDEX(Parameter!$E$5:$E$7,W728)*X728/SUMIFS($X$7:$X$1843,$W$7:$W$1843,W728),0),0)</f>
        <v>0</v>
      </c>
    </row>
    <row r="729" customFormat="false" ht="15" hidden="false" customHeight="false" outlineLevel="0" collapsed="false">
      <c r="A729" s="48" t="s">
        <v>1455</v>
      </c>
      <c r="B729" s="48" t="s">
        <v>1063</v>
      </c>
      <c r="C729" s="48" t="s">
        <v>173</v>
      </c>
      <c r="D729" s="48" t="s">
        <v>859</v>
      </c>
      <c r="E729" s="48" t="s">
        <v>194</v>
      </c>
      <c r="F729" s="48" t="s">
        <v>227</v>
      </c>
      <c r="G729" s="49" t="n">
        <v>4.4</v>
      </c>
      <c r="H729" s="50" t="n">
        <f aca="false">MAX(0,IF(AND(Parameter!$B$21="Ja",ISNUMBER(Y729)),Y729,IF(Parameter!$B$20="Jahresanfang 2025 + Export",BR729+BQ729,BQ729)))</f>
        <v>0</v>
      </c>
      <c r="I729" s="50" t="n">
        <f aca="false">H729*G729</f>
        <v>0</v>
      </c>
      <c r="J729" s="50" t="n">
        <f aca="false">BT729*Parameter!$B$18</f>
        <v>24</v>
      </c>
      <c r="K729" s="51" t="n">
        <v>0</v>
      </c>
      <c r="L729" s="52" t="n">
        <v>0</v>
      </c>
      <c r="M729" s="50" t="n">
        <v>0</v>
      </c>
      <c r="N729" s="50" t="n">
        <v>12</v>
      </c>
      <c r="O729" s="53" t="n">
        <v>14</v>
      </c>
      <c r="P729" s="48" t="s">
        <v>311</v>
      </c>
      <c r="Q729" s="50" t="n">
        <v>24</v>
      </c>
      <c r="R729" s="53" t="n">
        <f aca="false">IF(BZ729=1,0,IFERROR(VLOOKUP(BX729,'Gebinde-Kategorie'!$A$5:$N$45,13,0)+0,0))</f>
        <v>26</v>
      </c>
      <c r="S729" s="54"/>
      <c r="T729" s="55"/>
      <c r="U729" s="55"/>
      <c r="V729" s="55"/>
      <c r="W729" s="48"/>
      <c r="X729" s="50"/>
      <c r="Y729" s="50"/>
      <c r="Z729" s="48" t="n">
        <f aca="false">IF(A729="","",IF(AND(Parameter!$B$21="Ja",ISNUMBER(W729)),W729,IF(CC729="2+3",IF(ISNUMBER(SEARCH("grosser Artikel",BU729)),2,IFERROR(VLOOKUP(BX729,Parameter!$F$35:$G$64,2,0),2)),IF(OR(CC729="Nein",CC729=""),"-",CC729))))</f>
        <v>3</v>
      </c>
      <c r="AA729" s="55"/>
      <c r="AB729" s="56"/>
      <c r="AC729" s="50" t="n">
        <f aca="false">AV729</f>
        <v>16</v>
      </c>
      <c r="AD729" s="50" t="n">
        <f aca="false">MAX(AV729,H729)</f>
        <v>16</v>
      </c>
      <c r="AE729" s="57"/>
      <c r="AF729" s="50" t="n">
        <f aca="false">IF(LEFT(Cockpit!$C$5,1)="A",H729,IF(Parameter!$E$30="MAX-Bestand",IF(CH729=1,CI729,IF(LEFT(Cockpit!$C$5,1)="B",AL729,MAX(AL729,H729))),ROUNDUP(AJ729,0)))</f>
        <v>0</v>
      </c>
      <c r="AG729" s="50" t="n">
        <f aca="false">IF(BZ729=1,0,ROUNDUP(AF729/BY729,0))</f>
        <v>0</v>
      </c>
      <c r="AH729" s="52" t="n">
        <f aca="false">IF(CQ729&gt;0,CQ729*MAX(1,AF729/X729),IF(BZ729=1,IF(AF729&lt;=0,0,CD729*MAX(1,IF(H729&gt;0,AF729/H729,1))),IF(R729&gt;0,AG729/R729,0))/MAX(0.1,N(Parameter!$M$21)))</f>
        <v>0</v>
      </c>
      <c r="AI729" s="50" t="n">
        <f aca="false">AH729*CB729</f>
        <v>0</v>
      </c>
      <c r="AJ729" s="51" t="n">
        <f aca="false">IF(LEFT(Cockpit!$C$5,1)="A",H729,IF(CH729=1,(CK729+CI729)/2,IF(LEFT(Cockpit!$C$5,1)="B",(CK729+AL729)/2,MAX((CK729+AL729)/2,H729))))</f>
        <v>0</v>
      </c>
      <c r="AK729" s="50" t="n">
        <f aca="false">AJ729*G729</f>
        <v>0</v>
      </c>
      <c r="AL729" s="50" t="n">
        <f aca="false">ROUNDUP(CK729+MAX(CL729,2*(J729/IF(CG729&gt;0,CG729,MAX(0.1,N(Cockpit!$C$6)))-CK729)),0)</f>
        <v>16</v>
      </c>
      <c r="AM729" s="51" t="n">
        <f aca="false">IF(AI729&gt;0,J729/AI729,-1)</f>
        <v>-1</v>
      </c>
      <c r="AN729" s="51" t="str">
        <f aca="false">IF(AND(OR(CF729="L1",CF729="L23",CF729="LIFT"),AI729&gt;0),SUMIFS($AI$7:$AI$1843,$CF$7:$CF$1843,CF729,$AM$7:$AM$1843,"&gt;"&amp;AM729)+SUMIFS($AI$7:$AI$1843,$CF$7:$CF$1843,CF729,$AM$7:$AM$1843,AM729,$BW$7:$BW$1843,"&lt;="&amp;BW729),"")</f>
        <v/>
      </c>
      <c r="AO729" s="58" t="n">
        <f aca="false">IF(AN729="",0,MAX(0,MIN(1,(IF(CF729="L1",Parameter!$H$5,IF(CF729="L23",Parameter!$H$6+Parameter!$H$7,Parameter!$H$5+Parameter!$H$6+Parameter!$H$7))-(AN729-AI729))/AI729)))</f>
        <v>0</v>
      </c>
      <c r="AP729" s="50" t="n">
        <f aca="false">IF(LEFT(Cockpit!$I$5,1)="A",H729,IF(Parameter!$E$30="MAX-Bestand",IF(CH729=1,CI729,IF(LEFT(Cockpit!$I$5,1)="B",AV729,MAX(AV729,H729))),ROUNDUP(AT729,0)))</f>
        <v>8</v>
      </c>
      <c r="AQ729" s="50" t="n">
        <f aca="false">IF(BZ729=1,0,ROUNDUP(AP729/BY729,0))</f>
        <v>1</v>
      </c>
      <c r="AR729" s="52" t="n">
        <f aca="false">IF(CQ729&gt;0,CQ729*MAX(1,AP729/X729),IF(BZ729=1,IF(AP729&lt;=0,0,CD729*MAX(1,IF(H729&gt;0,AP729/H729,1))),IF(R729&gt;0,AQ729/R729,0))/MAX(0.1,N(Parameter!$M$21)))</f>
        <v>0.0384615384615385</v>
      </c>
      <c r="AS729" s="50" t="n">
        <f aca="false">AR729*CB729</f>
        <v>5.96153846153846</v>
      </c>
      <c r="AT729" s="51" t="n">
        <f aca="false">IF(LEFT(Cockpit!$I$5,1)="A",H729,IF(CH729=1,(CK729+CI729)/2,IF(LEFT(Cockpit!$I$5,1)="B",(CK729+AV729)/2,MAX((CK729+AV729)/2,H729))))</f>
        <v>8</v>
      </c>
      <c r="AU729" s="50" t="n">
        <f aca="false">AT729*G729</f>
        <v>35.2</v>
      </c>
      <c r="AV729" s="50" t="n">
        <f aca="false">ROUNDUP(CK729+MAX(CL729,2*(J729/IF(CG729&gt;0,CG729,MAX(0.1,N(Cockpit!$I$6)))-CK729)),0)</f>
        <v>16</v>
      </c>
      <c r="AW729" s="51" t="n">
        <f aca="false">IF(AS729&gt;0,J729/AS729,-1)</f>
        <v>4.0258064516129</v>
      </c>
      <c r="AX729" s="51" t="n">
        <f aca="false">IF(AND(OR(CF729="L1",CF729="L23",CF729="LIFT"),AS729&gt;0),SUMIFS($AS$7:$AS$1843,$CF$7:$CF$1843,CF729,$AW$7:$AW$1843,"&gt;"&amp;AW729)+SUMIFS($AS$7:$AS$1843,$CF$7:$CF$1843,CF729,$AW$7:$AW$1843,AW729,$BW$7:$BW$1843,"&lt;="&amp;BW729),"")</f>
        <v>4952.78250915751</v>
      </c>
      <c r="AY729" s="58" t="n">
        <f aca="false">IF(AX729="",0,MAX(0,MIN(1,(IF(CF729="L1",Parameter!$H$5,IF(CF729="L23",Parameter!$H$6+Parameter!$H$7,Parameter!$H$5+Parameter!$H$6+Parameter!$H$7))-(AX729-AS729))/AS729)))</f>
        <v>1</v>
      </c>
      <c r="AZ729" s="50" t="n">
        <f aca="false">IF(LEFT(Cockpit!$O$5,1)="A",H729,IF(Parameter!$E$30="MAX-Bestand",IF(CH729=1,CI729,IF(LEFT(Cockpit!$O$5,1)="B",BF729,MAX(BF729,H729))),ROUNDUP(BD729,0)))</f>
        <v>6</v>
      </c>
      <c r="BA729" s="50" t="n">
        <f aca="false">IF(BZ729=1,0,ROUNDUP(AZ729/BY729,0))</f>
        <v>1</v>
      </c>
      <c r="BB729" s="52" t="n">
        <f aca="false">IF(CQ729&gt;0,CQ729*MAX(1,AZ729/X729),IF(BZ729=1,IF(AZ729&lt;=0,0,CD729*MAX(1,IF(H729&gt;0,AZ729/H729,1))),IF(R729&gt;0,BA729/R729,0))/MAX(0.1,N(Parameter!$M$21)))</f>
        <v>0.0384615384615385</v>
      </c>
      <c r="BC729" s="50" t="n">
        <f aca="false">BB729*CB729</f>
        <v>5.96153846153846</v>
      </c>
      <c r="BD729" s="51" t="n">
        <f aca="false">IF(LEFT(Cockpit!$O$5,1)="A",H729,IF(CH729=1,(CK729+CI729)/2,IF(LEFT(Cockpit!$O$5,1)="B",(CK729+BF729)/2,MAX((CK729+BF729)/2,H729))))</f>
        <v>6</v>
      </c>
      <c r="BE729" s="50" t="n">
        <f aca="false">BD729*G729</f>
        <v>26.4</v>
      </c>
      <c r="BF729" s="50" t="n">
        <f aca="false">ROUNDUP(CK729+MAX(CL729,2*(J729/IF(CG729&gt;0,CG729,MAX(0.1,N(Cockpit!$O$6)))-CK729)),0)</f>
        <v>12</v>
      </c>
      <c r="BG729" s="51" t="n">
        <f aca="false">IF(BC729&gt;0,J729/BC729,-1)</f>
        <v>4.0258064516129</v>
      </c>
      <c r="BH729" s="51" t="n">
        <f aca="false">IF(AND(OR(CF729="L1",CF729="L23",CF729="LIFT"),BC729&gt;0),SUMIFS($BC$7:$BC$1843,$CF$7:$CF$1843,CF729,$BG$7:$BG$1843,"&gt;"&amp;BG729)+SUMIFS($BC$7:$BC$1843,$CF$7:$CF$1843,CF729,$BG$7:$BG$1843,BG729,$BW$7:$BW$1843,"&lt;="&amp;BW729),"")</f>
        <v>4064.39148351648</v>
      </c>
      <c r="BI729" s="58" t="n">
        <f aca="false">IF(BH729="",0,MAX(0,MIN(1,(IF(CF729="L1",Parameter!$H$5,IF(CF729="L23",Parameter!$H$6+Parameter!$H$7,Parameter!$H$5+Parameter!$H$6+Parameter!$H$7))-(BH729-BC729))/BC729)))</f>
        <v>1</v>
      </c>
      <c r="BJ729" s="48" t="str">
        <f aca="false">IF(AI729&lt;=0,"",IF(CF729="Aussen","Aussenlager",IF(CF729="-","Nicht im Lift",IF(AO729&gt;=1,"Lift",IF(AO729&lt;=0,"Aussenlager","teilweise")))))</f>
        <v/>
      </c>
      <c r="BK729" s="48" t="str">
        <f aca="false">IF(AS729&lt;=0,"",IF(CF729="Aussen","Aussenlager",IF(CF729="-","Nicht im Lift",IF(AY729&gt;=1,"Lift",IF(AY729&lt;=0,"Aussenlager","teilweise")))))</f>
        <v>Lift</v>
      </c>
      <c r="BL729" s="48" t="str">
        <f aca="false">IF(BC729&lt;=0,"",IF(CF729="Aussen","Aussenlager",IF(CF729="-","Nicht im Lift",IF(BI729&gt;=1,"Lift",IF(BI729&lt;=0,"Aussenlager","teilweise")))))</f>
        <v>Lift</v>
      </c>
      <c r="BM729" s="48" t="str">
        <f aca="false">IF(A729="","",IF(BV729=1,"Neu; ","")&amp;IF(AND(BV729=0,BQ729&lt;0),"negativer Bestand (Export "&amp;BQ729&amp;"); ","")&amp;IF(J729&lt;=0,"Kein Verbrauch; ","")&amp;IF(CQ729&gt;0,"Lift "&amp;W729&amp;" lt. Liftbericht (Fach "&amp;X729&amp;" Stk); ",IF(CA729=1,"Gebinde geschätzt ("&amp;T729&amp;"); ",IF(BZ729=1,"Lose – Tablare geschätzt; ","")))&amp;IF(H729&gt;AV729,"Überbestand "&amp;ROUND(H729-AV729,0)&amp;" Stk / CHF "&amp;ROUND((H729-AV729)*G729,0)&amp;"; ","")&amp;IF(AND(CH729=1,CI729&lt;CJ729),"MAX &lt; MB+LG; ","")&amp;IF(AND(CP729&gt;0,CO729*10&gt;CP729),"zu hoch für Tablar; ","")&amp;IF(AND(BV729=0,OR(CH729=1,AA729&lt;&gt;"",U729&lt;&gt;"",V729&lt;&gt;"",AB729&lt;&gt;"")),"manuell übersteuert; ","")&amp;IF(AND(BZ729=0,R729=0),"Gebinde unbekannt / Stellmass fehlt; ","")&amp;IF(AND(BZ729=0,N(V729)&lt;=0,N(Q729)&lt;=0),"Menge pro Gebinde fehlt (Ist = 1 Gebinde); ","")&amp;BU729)</f>
        <v/>
      </c>
      <c r="BN729" s="48"/>
      <c r="BO729" s="48"/>
      <c r="BP729" s="55"/>
      <c r="BQ729" s="50" t="n">
        <v>0</v>
      </c>
      <c r="BR729" s="50" t="n">
        <v>0</v>
      </c>
      <c r="BS729" s="49" t="n">
        <v>0</v>
      </c>
      <c r="BT729" s="50" t="n">
        <v>24</v>
      </c>
      <c r="BU729" s="48"/>
      <c r="BV729" s="53" t="n">
        <v>0</v>
      </c>
      <c r="BW729" s="53" t="n">
        <v>729</v>
      </c>
      <c r="BX729" s="48" t="str">
        <f aca="false">IF(U729&lt;&gt;"",UPPER(TRIM(U729)),IF(CA729=1,UPPER(VLOOKUP(T729,Parameter!$I$27:$K$29,2,0)),IF(P729="","LOSE",P729)))</f>
        <v>S51</v>
      </c>
      <c r="BY729" s="50" t="n">
        <f aca="false">IF(BX729="LOSE",1,IF(N(V729)&gt;0,V729,IF(CA729=1,MAX(1,N(VLOOKUP(T729,Parameter!$I$27:$K$29,3,0)),H729,N(N729)),IF(N(Q729)&gt;0,Q729,MAX(1,H729)))))</f>
        <v>24</v>
      </c>
      <c r="BZ729" s="53" t="n">
        <f aca="false">IF(BX729="LOSE",1,0)</f>
        <v>0</v>
      </c>
      <c r="CA729" s="53" t="n">
        <f aca="false">IF(AND(U729="",OR(P729="",P729="LOSE"),T729&lt;&gt;"",N(S729)&lt;=0,ISNUMBER(MATCH(T729,Parameter!$I$27:$I$29,0))),1,0)</f>
        <v>0</v>
      </c>
      <c r="CB729" s="53" t="n">
        <f aca="false">IF(CQ729&gt;0,INDEX(Parameter!$H$5:$H$7,W729)/INDEX(Parameter!$E$5:$E$7,W729),IF(AND(BZ729=0,N(IFERROR(VLOOKUP(BX729,'Gebinde-Kategorie'!$A$5:$N$45,14,0),0))&gt;0),VLOOKUP(BX729,'Gebinde-Kategorie'!$A$5:$N$45,14,0)*10+Parameter!$M$23,Parameter!$M$24))</f>
        <v>155</v>
      </c>
      <c r="CC729" s="48" t="str">
        <f aca="false">IF(AND(Parameter!$B$19="Ja",E729&lt;&gt;"",ISNUMBER(MATCH(E729,Parameter!$I$35:$I$52,0))),VLOOKUP(E729,Parameter!$I$35:$J$52,2,0),IFERROR(VLOOKUP(D729,Parameter!$A$35:$C$64,2,0),"Nein"))</f>
        <v>2+3</v>
      </c>
      <c r="CD729" s="52" t="n">
        <f aca="false">IF(BZ729=0,0,IF(N(S729)&gt;0,S729,IFERROR(VLOOKUP(D729,Parameter!$A$35:$C$64,3,0)+0,0)))</f>
        <v>0</v>
      </c>
      <c r="CE729" s="48" t="n">
        <f aca="false">IF(AA729&lt;&gt;"",AA729,Z729)</f>
        <v>3</v>
      </c>
      <c r="CF729" s="48" t="str">
        <f aca="false">IF(OR(CE729=1,CE729=2,CE729=3),IF(Parameter!$E$27="Ja","LIFT",IF(CE729=1,"L1","L23")),IF(CE729="Aussen","Aussen","-"))</f>
        <v>LIFT</v>
      </c>
      <c r="CG729" s="59" t="n">
        <f aca="false">IF(N(AB729)&gt;0,AB729,0)</f>
        <v>0</v>
      </c>
      <c r="CH729" s="53" t="n">
        <f aca="false">IF(ISNUMBER(AE729),1,0)</f>
        <v>0</v>
      </c>
      <c r="CI729" s="50" t="n">
        <f aca="false">N(AE729)</f>
        <v>0</v>
      </c>
      <c r="CJ729" s="50" t="n">
        <f aca="false">N(M729)+N(N729)</f>
        <v>12</v>
      </c>
      <c r="CK729" s="50" t="n">
        <f aca="false">N(M729)</f>
        <v>0</v>
      </c>
      <c r="CL729" s="50" t="n">
        <f aca="false">N(N729)</f>
        <v>12</v>
      </c>
      <c r="CM729" s="50" t="n">
        <f aca="false">ROUNDUP(H729/BY729,0)</f>
        <v>0</v>
      </c>
      <c r="CN729" s="50" t="n">
        <f aca="false">ROUNDUP(CI729/BY729,0)</f>
        <v>0</v>
      </c>
      <c r="CO729" s="53" t="n">
        <f aca="false">IF(BZ729=1,0,IFERROR(VLOOKUP(BX729,'Gebinde-Kategorie'!$A$5:$N$45,5,0)+0,0))</f>
        <v>11</v>
      </c>
      <c r="CP729" s="53" t="n">
        <f aca="false">IFERROR(IF(OR(CE729=1,CE729=2,CE729=3),N(INDEX(Parameter!$I$5:$I$7,CE729)),0),0)</f>
        <v>0</v>
      </c>
      <c r="CQ729" s="52" t="n">
        <f aca="false">IF(AND(Parameter!$B$21="Ja",ISNUMBER(W729),N(X729)&gt;0),IFERROR(N(INDEX(Parameter!$L$5:$L$7,W729))*INDEX(Parameter!$E$5:$E$7,W729)*X729/SUMIFS($X$7:$X$1843,$W$7:$W$1843,W729),0),0)</f>
        <v>0</v>
      </c>
    </row>
    <row r="730" customFormat="false" ht="15" hidden="false" customHeight="false" outlineLevel="0" collapsed="false">
      <c r="A730" s="48" t="s">
        <v>1456</v>
      </c>
      <c r="B730" s="48" t="s">
        <v>1457</v>
      </c>
      <c r="C730" s="48" t="s">
        <v>173</v>
      </c>
      <c r="D730" s="48" t="s">
        <v>193</v>
      </c>
      <c r="E730" s="48" t="s">
        <v>194</v>
      </c>
      <c r="F730" s="48" t="s">
        <v>227</v>
      </c>
      <c r="G730" s="49" t="n">
        <v>70.7</v>
      </c>
      <c r="H730" s="50" t="n">
        <f aca="false">MAX(0,IF(AND(Parameter!$B$21="Ja",ISNUMBER(Y730)),Y730,IF(Parameter!$B$20="Jahresanfang 2025 + Export",BR730+BQ730,BQ730)))</f>
        <v>172</v>
      </c>
      <c r="I730" s="50" t="n">
        <f aca="false">H730*G730</f>
        <v>12160.4</v>
      </c>
      <c r="J730" s="50" t="n">
        <f aca="false">BT730*Parameter!$B$18</f>
        <v>1</v>
      </c>
      <c r="K730" s="51" t="n">
        <v>172</v>
      </c>
      <c r="L730" s="52" t="n">
        <v>0.00581395348837209</v>
      </c>
      <c r="M730" s="50" t="n">
        <v>0</v>
      </c>
      <c r="N730" s="50" t="n">
        <v>10</v>
      </c>
      <c r="O730" s="53" t="n">
        <v>105</v>
      </c>
      <c r="P730" s="48" t="s">
        <v>311</v>
      </c>
      <c r="Q730" s="50" t="n">
        <v>181</v>
      </c>
      <c r="R730" s="53" t="n">
        <f aca="false">IF(BZ730=1,0,IFERROR(VLOOKUP(BX730,'Gebinde-Kategorie'!$A$5:$N$45,13,0)+0,0))</f>
        <v>26</v>
      </c>
      <c r="S730" s="54"/>
      <c r="T730" s="55"/>
      <c r="U730" s="55"/>
      <c r="V730" s="55"/>
      <c r="W730" s="48"/>
      <c r="X730" s="50"/>
      <c r="Y730" s="50"/>
      <c r="Z730" s="48" t="n">
        <f aca="false">IF(A730="","",IF(AND(Parameter!$B$21="Ja",ISNUMBER(W730)),W730,IF(CC730="2+3",IF(ISNUMBER(SEARCH("grosser Artikel",BU730)),2,IFERROR(VLOOKUP(BX730,Parameter!$F$35:$G$64,2,0),2)),IF(OR(CC730="Nein",CC730=""),"-",CC730))))</f>
        <v>3</v>
      </c>
      <c r="AA730" s="55"/>
      <c r="AB730" s="56"/>
      <c r="AC730" s="50" t="n">
        <f aca="false">AV730</f>
        <v>10</v>
      </c>
      <c r="AD730" s="50" t="n">
        <f aca="false">MAX(AV730,H730)</f>
        <v>172</v>
      </c>
      <c r="AE730" s="57"/>
      <c r="AF730" s="50" t="n">
        <f aca="false">IF(LEFT(Cockpit!$C$5,1)="A",H730,IF(Parameter!$E$30="MAX-Bestand",IF(CH730=1,CI730,IF(LEFT(Cockpit!$C$5,1)="B",AL730,MAX(AL730,H730))),ROUNDUP(AJ730,0)))</f>
        <v>172</v>
      </c>
      <c r="AG730" s="50" t="n">
        <f aca="false">IF(BZ730=1,0,ROUNDUP(AF730/BY730,0))</f>
        <v>1</v>
      </c>
      <c r="AH730" s="52" t="n">
        <f aca="false">IF(CQ730&gt;0,CQ730*MAX(1,AF730/X730),IF(BZ730=1,IF(AF730&lt;=0,0,CD730*MAX(1,IF(H730&gt;0,AF730/H730,1))),IF(R730&gt;0,AG730/R730,0))/MAX(0.1,N(Parameter!$M$21)))</f>
        <v>0.0384615384615385</v>
      </c>
      <c r="AI730" s="50" t="n">
        <f aca="false">AH730*CB730</f>
        <v>5.96153846153846</v>
      </c>
      <c r="AJ730" s="51" t="n">
        <f aca="false">IF(LEFT(Cockpit!$C$5,1)="A",H730,IF(CH730=1,(CK730+CI730)/2,IF(LEFT(Cockpit!$C$5,1)="B",(CK730+AL730)/2,MAX((CK730+AL730)/2,H730))))</f>
        <v>172</v>
      </c>
      <c r="AK730" s="50" t="n">
        <f aca="false">AJ730*G730</f>
        <v>12160.4</v>
      </c>
      <c r="AL730" s="50" t="n">
        <f aca="false">ROUNDUP(CK730+MAX(CL730,2*(J730/IF(CG730&gt;0,CG730,MAX(0.1,N(Cockpit!$C$6)))-CK730)),0)</f>
        <v>10</v>
      </c>
      <c r="AM730" s="51" t="n">
        <f aca="false">IF(AI730&gt;0,J730/AI730,-1)</f>
        <v>0.167741935483871</v>
      </c>
      <c r="AN730" s="51" t="n">
        <f aca="false">IF(AND(OR(CF730="L1",CF730="L23",CF730="LIFT"),AI730&gt;0),SUMIFS($AI$7:$AI$1843,$CF$7:$CF$1843,CF730,$AM$7:$AM$1843,"&gt;"&amp;AM730)+SUMIFS($AI$7:$AI$1843,$CF$7:$CF$1843,CF730,$AM$7:$AM$1843,AM730,$BW$7:$BW$1843,"&lt;="&amp;BW730),"")</f>
        <v>12721.4644900768</v>
      </c>
      <c r="AO730" s="58" t="n">
        <f aca="false">IF(AN730="",0,MAX(0,MIN(1,(IF(CF730="L1",Parameter!$H$5,IF(CF730="L23",Parameter!$H$6+Parameter!$H$7,Parameter!$H$5+Parameter!$H$6+Parameter!$H$7))-(AN730-AI730))/AI730)))</f>
        <v>1</v>
      </c>
      <c r="AP730" s="50" t="n">
        <f aca="false">IF(LEFT(Cockpit!$I$5,1)="A",H730,IF(Parameter!$E$30="MAX-Bestand",IF(CH730=1,CI730,IF(LEFT(Cockpit!$I$5,1)="B",AV730,MAX(AV730,H730))),ROUNDUP(AT730,0)))</f>
        <v>172</v>
      </c>
      <c r="AQ730" s="50" t="n">
        <f aca="false">IF(BZ730=1,0,ROUNDUP(AP730/BY730,0))</f>
        <v>1</v>
      </c>
      <c r="AR730" s="52" t="n">
        <f aca="false">IF(CQ730&gt;0,CQ730*MAX(1,AP730/X730),IF(BZ730=1,IF(AP730&lt;=0,0,CD730*MAX(1,IF(H730&gt;0,AP730/H730,1))),IF(R730&gt;0,AQ730/R730,0))/MAX(0.1,N(Parameter!$M$21)))</f>
        <v>0.0384615384615385</v>
      </c>
      <c r="AS730" s="50" t="n">
        <f aca="false">AR730*CB730</f>
        <v>5.96153846153846</v>
      </c>
      <c r="AT730" s="51" t="n">
        <f aca="false">IF(LEFT(Cockpit!$I$5,1)="A",H730,IF(CH730=1,(CK730+CI730)/2,IF(LEFT(Cockpit!$I$5,1)="B",(CK730+AV730)/2,MAX((CK730+AV730)/2,H730))))</f>
        <v>172</v>
      </c>
      <c r="AU730" s="50" t="n">
        <f aca="false">AT730*G730</f>
        <v>12160.4</v>
      </c>
      <c r="AV730" s="50" t="n">
        <f aca="false">ROUNDUP(CK730+MAX(CL730,2*(J730/IF(CG730&gt;0,CG730,MAX(0.1,N(Cockpit!$I$6)))-CK730)),0)</f>
        <v>10</v>
      </c>
      <c r="AW730" s="51" t="n">
        <f aca="false">IF(AS730&gt;0,J730/AS730,-1)</f>
        <v>0.167741935483871</v>
      </c>
      <c r="AX730" s="51" t="n">
        <f aca="false">IF(AND(OR(CF730="L1",CF730="L23",CF730="LIFT"),AS730&gt;0),SUMIFS($AS$7:$AS$1843,$CF$7:$CF$1843,CF730,$AW$7:$AW$1843,"&gt;"&amp;AW730)+SUMIFS($AS$7:$AS$1843,$CF$7:$CF$1843,CF730,$AW$7:$AW$1843,AW730,$BW$7:$BW$1843,"&lt;="&amp;BW730),"")</f>
        <v>15650.1451465201</v>
      </c>
      <c r="AY730" s="58" t="n">
        <f aca="false">IF(AX730="",0,MAX(0,MIN(1,(IF(CF730="L1",Parameter!$H$5,IF(CF730="L23",Parameter!$H$6+Parameter!$H$7,Parameter!$H$5+Parameter!$H$6+Parameter!$H$7))-(AX730-AS730))/AS730)))</f>
        <v>1</v>
      </c>
      <c r="AZ730" s="50" t="n">
        <f aca="false">IF(LEFT(Cockpit!$O$5,1)="A",H730,IF(Parameter!$E$30="MAX-Bestand",IF(CH730=1,CI730,IF(LEFT(Cockpit!$O$5,1)="B",BF730,MAX(BF730,H730))),ROUNDUP(BD730,0)))</f>
        <v>5</v>
      </c>
      <c r="BA730" s="50" t="n">
        <f aca="false">IF(BZ730=1,0,ROUNDUP(AZ730/BY730,0))</f>
        <v>1</v>
      </c>
      <c r="BB730" s="52" t="n">
        <f aca="false">IF(CQ730&gt;0,CQ730*MAX(1,AZ730/X730),IF(BZ730=1,IF(AZ730&lt;=0,0,CD730*MAX(1,IF(H730&gt;0,AZ730/H730,1))),IF(R730&gt;0,BA730/R730,0))/MAX(0.1,N(Parameter!$M$21)))</f>
        <v>0.0384615384615385</v>
      </c>
      <c r="BC730" s="50" t="n">
        <f aca="false">BB730*CB730</f>
        <v>5.96153846153846</v>
      </c>
      <c r="BD730" s="51" t="n">
        <f aca="false">IF(LEFT(Cockpit!$O$5,1)="A",H730,IF(CH730=1,(CK730+CI730)/2,IF(LEFT(Cockpit!$O$5,1)="B",(CK730+BF730)/2,MAX((CK730+BF730)/2,H730))))</f>
        <v>5</v>
      </c>
      <c r="BE730" s="50" t="n">
        <f aca="false">BD730*G730</f>
        <v>353.5</v>
      </c>
      <c r="BF730" s="50" t="n">
        <f aca="false">ROUNDUP(CK730+MAX(CL730,2*(J730/IF(CG730&gt;0,CG730,MAX(0.1,N(Cockpit!$O$6)))-CK730)),0)</f>
        <v>10</v>
      </c>
      <c r="BG730" s="51" t="n">
        <f aca="false">IF(BC730&gt;0,J730/BC730,-1)</f>
        <v>0.167741935483871</v>
      </c>
      <c r="BH730" s="51" t="n">
        <f aca="false">IF(AND(OR(CF730="L1",CF730="L23",CF730="LIFT"),BC730&gt;0),SUMIFS($BC$7:$BC$1843,$CF$7:$CF$1843,CF730,$BG$7:$BG$1843,"&gt;"&amp;BG730)+SUMIFS($BC$7:$BC$1843,$CF$7:$CF$1843,CF730,$BG$7:$BG$1843,BG730,$BW$7:$BW$1843,"&lt;="&amp;BW730),"")</f>
        <v>13452.4449747522</v>
      </c>
      <c r="BI730" s="58" t="n">
        <f aca="false">IF(BH730="",0,MAX(0,MIN(1,(IF(CF730="L1",Parameter!$H$5,IF(CF730="L23",Parameter!$H$6+Parameter!$H$7,Parameter!$H$5+Parameter!$H$6+Parameter!$H$7))-(BH730-BC730))/BC730)))</f>
        <v>1</v>
      </c>
      <c r="BJ730" s="48" t="str">
        <f aca="false">IF(AI730&lt;=0,"",IF(CF730="Aussen","Aussenlager",IF(CF730="-","Nicht im Lift",IF(AO730&gt;=1,"Lift",IF(AO730&lt;=0,"Aussenlager","teilweise")))))</f>
        <v>Lift</v>
      </c>
      <c r="BK730" s="48" t="str">
        <f aca="false">IF(AS730&lt;=0,"",IF(CF730="Aussen","Aussenlager",IF(CF730="-","Nicht im Lift",IF(AY730&gt;=1,"Lift",IF(AY730&lt;=0,"Aussenlager","teilweise")))))</f>
        <v>Lift</v>
      </c>
      <c r="BL730" s="48" t="str">
        <f aca="false">IF(BC730&lt;=0,"",IF(CF730="Aussen","Aussenlager",IF(CF730="-","Nicht im Lift",IF(BI730&gt;=1,"Lift",IF(BI730&lt;=0,"Aussenlager","teilweise")))))</f>
        <v>Lift</v>
      </c>
      <c r="BM730" s="48" t="str">
        <f aca="false">IF(A730="","",IF(BV730=1,"Neu; ","")&amp;IF(AND(BV730=0,BQ730&lt;0),"negativer Bestand (Export "&amp;BQ730&amp;"); ","")&amp;IF(J730&lt;=0,"Kein Verbrauch; ","")&amp;IF(CQ730&gt;0,"Lift "&amp;W730&amp;" lt. Liftbericht (Fach "&amp;X730&amp;" Stk); ",IF(CA730=1,"Gebinde geschätzt ("&amp;T730&amp;"); ",IF(BZ730=1,"Lose – Tablare geschätzt; ","")))&amp;IF(H730&gt;AV730,"Überbestand "&amp;ROUND(H730-AV730,0)&amp;" Stk / CHF "&amp;ROUND((H730-AV730)*G730,0)&amp;"; ","")&amp;IF(AND(CH730=1,CI730&lt;CJ730),"MAX &lt; MB+LG; ","")&amp;IF(AND(CP730&gt;0,CO730*10&gt;CP730),"zu hoch für Tablar; ","")&amp;IF(AND(BV730=0,OR(CH730=1,AA730&lt;&gt;"",U730&lt;&gt;"",V730&lt;&gt;"",AB730&lt;&gt;"")),"manuell übersteuert; ","")&amp;IF(AND(BZ730=0,R730=0),"Gebinde unbekannt / Stellmass fehlt; ","")&amp;IF(AND(BZ730=0,N(V730)&lt;=0,N(Q730)&lt;=0),"Menge pro Gebinde fehlt (Ist = 1 Gebinde); ","")&amp;BU730)</f>
        <v>Überbestand 162 Stk / CHF 11453; Überbestand</v>
      </c>
      <c r="BN730" s="48"/>
      <c r="BO730" s="48"/>
      <c r="BP730" s="55"/>
      <c r="BQ730" s="50" t="n">
        <v>0</v>
      </c>
      <c r="BR730" s="50" t="n">
        <v>172</v>
      </c>
      <c r="BS730" s="49" t="n">
        <v>0</v>
      </c>
      <c r="BT730" s="50" t="n">
        <v>1</v>
      </c>
      <c r="BU730" s="48" t="s">
        <v>401</v>
      </c>
      <c r="BV730" s="53" t="n">
        <v>0</v>
      </c>
      <c r="BW730" s="53" t="n">
        <v>730</v>
      </c>
      <c r="BX730" s="48" t="str">
        <f aca="false">IF(U730&lt;&gt;"",UPPER(TRIM(U730)),IF(CA730=1,UPPER(VLOOKUP(T730,Parameter!$I$27:$K$29,2,0)),IF(P730="","LOSE",P730)))</f>
        <v>S51</v>
      </c>
      <c r="BY730" s="50" t="n">
        <f aca="false">IF(BX730="LOSE",1,IF(N(V730)&gt;0,V730,IF(CA730=1,MAX(1,N(VLOOKUP(T730,Parameter!$I$27:$K$29,3,0)),H730,N(N730)),IF(N(Q730)&gt;0,Q730,MAX(1,H730)))))</f>
        <v>181</v>
      </c>
      <c r="BZ730" s="53" t="n">
        <f aca="false">IF(BX730="LOSE",1,0)</f>
        <v>0</v>
      </c>
      <c r="CA730" s="53" t="n">
        <f aca="false">IF(AND(U730="",OR(P730="",P730="LOSE"),T730&lt;&gt;"",N(S730)&lt;=0,ISNUMBER(MATCH(T730,Parameter!$I$27:$I$29,0))),1,0)</f>
        <v>0</v>
      </c>
      <c r="CB730" s="53" t="n">
        <f aca="false">IF(CQ730&gt;0,INDEX(Parameter!$H$5:$H$7,W730)/INDEX(Parameter!$E$5:$E$7,W730),IF(AND(BZ730=0,N(IFERROR(VLOOKUP(BX730,'Gebinde-Kategorie'!$A$5:$N$45,14,0),0))&gt;0),VLOOKUP(BX730,'Gebinde-Kategorie'!$A$5:$N$45,14,0)*10+Parameter!$M$23,Parameter!$M$24))</f>
        <v>155</v>
      </c>
      <c r="CC730" s="48" t="str">
        <f aca="false">IF(AND(Parameter!$B$19="Ja",E730&lt;&gt;"",ISNUMBER(MATCH(E730,Parameter!$I$35:$I$52,0))),VLOOKUP(E730,Parameter!$I$35:$J$52,2,0),IFERROR(VLOOKUP(D730,Parameter!$A$35:$C$64,2,0),"Nein"))</f>
        <v>2+3</v>
      </c>
      <c r="CD730" s="52" t="n">
        <f aca="false">IF(BZ730=0,0,IF(N(S730)&gt;0,S730,IFERROR(VLOOKUP(D730,Parameter!$A$35:$C$64,3,0)+0,0)))</f>
        <v>0</v>
      </c>
      <c r="CE730" s="48" t="n">
        <f aca="false">IF(AA730&lt;&gt;"",AA730,Z730)</f>
        <v>3</v>
      </c>
      <c r="CF730" s="48" t="str">
        <f aca="false">IF(OR(CE730=1,CE730=2,CE730=3),IF(Parameter!$E$27="Ja","LIFT",IF(CE730=1,"L1","L23")),IF(CE730="Aussen","Aussen","-"))</f>
        <v>LIFT</v>
      </c>
      <c r="CG730" s="59" t="n">
        <f aca="false">IF(N(AB730)&gt;0,AB730,0)</f>
        <v>0</v>
      </c>
      <c r="CH730" s="53" t="n">
        <f aca="false">IF(ISNUMBER(AE730),1,0)</f>
        <v>0</v>
      </c>
      <c r="CI730" s="50" t="n">
        <f aca="false">N(AE730)</f>
        <v>0</v>
      </c>
      <c r="CJ730" s="50" t="n">
        <f aca="false">N(M730)+N(N730)</f>
        <v>10</v>
      </c>
      <c r="CK730" s="50" t="n">
        <f aca="false">N(M730)</f>
        <v>0</v>
      </c>
      <c r="CL730" s="50" t="n">
        <f aca="false">N(N730)</f>
        <v>10</v>
      </c>
      <c r="CM730" s="50" t="n">
        <f aca="false">ROUNDUP(H730/BY730,0)</f>
        <v>1</v>
      </c>
      <c r="CN730" s="50" t="n">
        <f aca="false">ROUNDUP(CI730/BY730,0)</f>
        <v>0</v>
      </c>
      <c r="CO730" s="53" t="n">
        <f aca="false">IF(BZ730=1,0,IFERROR(VLOOKUP(BX730,'Gebinde-Kategorie'!$A$5:$N$45,5,0)+0,0))</f>
        <v>11</v>
      </c>
      <c r="CP730" s="53" t="n">
        <f aca="false">IFERROR(IF(OR(CE730=1,CE730=2,CE730=3),N(INDEX(Parameter!$I$5:$I$7,CE730)),0),0)</f>
        <v>0</v>
      </c>
      <c r="CQ730" s="52" t="n">
        <f aca="false">IF(AND(Parameter!$B$21="Ja",ISNUMBER(W730),N(X730)&gt;0),IFERROR(N(INDEX(Parameter!$L$5:$L$7,W730))*INDEX(Parameter!$E$5:$E$7,W730)*X730/SUMIFS($X$7:$X$1843,$W$7:$W$1843,W730),0),0)</f>
        <v>0</v>
      </c>
    </row>
    <row r="731" customFormat="false" ht="15" hidden="false" customHeight="false" outlineLevel="0" collapsed="false">
      <c r="A731" s="48" t="s">
        <v>1458</v>
      </c>
      <c r="B731" s="48" t="s">
        <v>1459</v>
      </c>
      <c r="C731" s="48" t="s">
        <v>173</v>
      </c>
      <c r="D731" s="48" t="s">
        <v>182</v>
      </c>
      <c r="E731" s="48"/>
      <c r="F731" s="48" t="s">
        <v>227</v>
      </c>
      <c r="G731" s="49" t="n">
        <v>0</v>
      </c>
      <c r="H731" s="50" t="n">
        <f aca="false">MAX(0,IF(AND(Parameter!$B$21="Ja",ISNUMBER(Y731)),Y731,IF(Parameter!$B$20="Jahresanfang 2025 + Export",BR731+BQ731,BQ731)))</f>
        <v>0</v>
      </c>
      <c r="I731" s="50" t="n">
        <f aca="false">H731*G731</f>
        <v>0</v>
      </c>
      <c r="J731" s="50" t="n">
        <f aca="false">BT731*Parameter!$B$18</f>
        <v>0</v>
      </c>
      <c r="K731" s="51" t="n">
        <v>0.5</v>
      </c>
      <c r="L731" s="52" t="n">
        <v>0</v>
      </c>
      <c r="M731" s="50" t="n">
        <v>0</v>
      </c>
      <c r="N731" s="50" t="n">
        <v>1</v>
      </c>
      <c r="O731" s="53" t="n">
        <v>90</v>
      </c>
      <c r="P731" s="48" t="s">
        <v>177</v>
      </c>
      <c r="Q731" s="50"/>
      <c r="R731" s="53" t="n">
        <f aca="false">IF(BZ731=1,0,IFERROR(VLOOKUP(BX731,'Gebinde-Kategorie'!$A$5:$N$45,13,0)+0,0))</f>
        <v>4</v>
      </c>
      <c r="S731" s="54"/>
      <c r="T731" s="55" t="s">
        <v>198</v>
      </c>
      <c r="U731" s="55"/>
      <c r="V731" s="55"/>
      <c r="W731" s="48"/>
      <c r="X731" s="50"/>
      <c r="Y731" s="50"/>
      <c r="Z731" s="48" t="n">
        <f aca="false">IF(A731="","",IF(AND(Parameter!$B$21="Ja",ISNUMBER(W731)),W731,IF(CC731="2+3",IF(ISNUMBER(SEARCH("grosser Artikel",BU731)),2,IFERROR(VLOOKUP(BX731,Parameter!$F$35:$G$64,2,0),2)),IF(OR(CC731="Nein",CC731=""),"-",CC731))))</f>
        <v>2</v>
      </c>
      <c r="AA731" s="55"/>
      <c r="AB731" s="56"/>
      <c r="AC731" s="50" t="n">
        <f aca="false">AV731</f>
        <v>1</v>
      </c>
      <c r="AD731" s="50" t="n">
        <f aca="false">MAX(AV731,H731)</f>
        <v>1</v>
      </c>
      <c r="AE731" s="57"/>
      <c r="AF731" s="50" t="n">
        <f aca="false">IF(LEFT(Cockpit!$C$5,1)="A",H731,IF(Parameter!$E$30="MAX-Bestand",IF(CH731=1,CI731,IF(LEFT(Cockpit!$C$5,1)="B",AL731,MAX(AL731,H731))),ROUNDUP(AJ731,0)))</f>
        <v>0</v>
      </c>
      <c r="AG731" s="50" t="n">
        <f aca="false">IF(BZ731=1,0,ROUNDUP(AF731/BY731,0))</f>
        <v>0</v>
      </c>
      <c r="AH731" s="52" t="n">
        <f aca="false">IF(CQ731&gt;0,CQ731*MAX(1,AF731/X731),IF(BZ731=1,IF(AF731&lt;=0,0,CD731*MAX(1,IF(H731&gt;0,AF731/H731,1))),IF(R731&gt;0,AG731/R731,0))/MAX(0.1,N(Parameter!$M$21)))</f>
        <v>0</v>
      </c>
      <c r="AI731" s="50" t="n">
        <f aca="false">AH731*CB731</f>
        <v>0</v>
      </c>
      <c r="AJ731" s="51" t="n">
        <f aca="false">IF(LEFT(Cockpit!$C$5,1)="A",H731,IF(CH731=1,(CK731+CI731)/2,IF(LEFT(Cockpit!$C$5,1)="B",(CK731+AL731)/2,MAX((CK731+AL731)/2,H731))))</f>
        <v>0</v>
      </c>
      <c r="AK731" s="50" t="n">
        <f aca="false">AJ731*G731</f>
        <v>0</v>
      </c>
      <c r="AL731" s="50" t="n">
        <f aca="false">ROUNDUP(CK731+MAX(CL731,2*(J731/IF(CG731&gt;0,CG731,MAX(0.1,N(Cockpit!$C$6)))-CK731)),0)</f>
        <v>1</v>
      </c>
      <c r="AM731" s="51" t="n">
        <f aca="false">IF(AI731&gt;0,J731/AI731,-1)</f>
        <v>-1</v>
      </c>
      <c r="AN731" s="51" t="str">
        <f aca="false">IF(AND(OR(CF731="L1",CF731="L23",CF731="LIFT"),AI731&gt;0),SUMIFS($AI$7:$AI$1843,$CF$7:$CF$1843,CF731,$AM$7:$AM$1843,"&gt;"&amp;AM731)+SUMIFS($AI$7:$AI$1843,$CF$7:$CF$1843,CF731,$AM$7:$AM$1843,AM731,$BW$7:$BW$1843,"&lt;="&amp;BW731),"")</f>
        <v/>
      </c>
      <c r="AO731" s="58" t="n">
        <f aca="false">IF(AN731="",0,MAX(0,MIN(1,(IF(CF731="L1",Parameter!$H$5,IF(CF731="L23",Parameter!$H$6+Parameter!$H$7,Parameter!$H$5+Parameter!$H$6+Parameter!$H$7))-(AN731-AI731))/AI731)))</f>
        <v>0</v>
      </c>
      <c r="AP731" s="50" t="n">
        <f aca="false">IF(LEFT(Cockpit!$I$5,1)="A",H731,IF(Parameter!$E$30="MAX-Bestand",IF(CH731=1,CI731,IF(LEFT(Cockpit!$I$5,1)="B",AV731,MAX(AV731,H731))),ROUNDUP(AT731,0)))</f>
        <v>1</v>
      </c>
      <c r="AQ731" s="50" t="n">
        <f aca="false">IF(BZ731=1,0,ROUNDUP(AP731/BY731,0))</f>
        <v>1</v>
      </c>
      <c r="AR731" s="52" t="n">
        <f aca="false">IF(CQ731&gt;0,CQ731*MAX(1,AP731/X731),IF(BZ731=1,IF(AP731&lt;=0,0,CD731*MAX(1,IF(H731&gt;0,AP731/H731,1))),IF(R731&gt;0,AQ731/R731,0))/MAX(0.1,N(Parameter!$M$21)))</f>
        <v>0.25</v>
      </c>
      <c r="AS731" s="50" t="n">
        <f aca="false">AR731*CB731</f>
        <v>58.75</v>
      </c>
      <c r="AT731" s="51" t="n">
        <f aca="false">IF(LEFT(Cockpit!$I$5,1)="A",H731,IF(CH731=1,(CK731+CI731)/2,IF(LEFT(Cockpit!$I$5,1)="B",(CK731+AV731)/2,MAX((CK731+AV731)/2,H731))))</f>
        <v>0.5</v>
      </c>
      <c r="AU731" s="50" t="n">
        <f aca="false">AT731*G731</f>
        <v>0</v>
      </c>
      <c r="AV731" s="50" t="n">
        <f aca="false">ROUNDUP(CK731+MAX(CL731,2*(J731/IF(CG731&gt;0,CG731,MAX(0.1,N(Cockpit!$I$6)))-CK731)),0)</f>
        <v>1</v>
      </c>
      <c r="AW731" s="51" t="n">
        <f aca="false">IF(AS731&gt;0,J731/AS731,-1)</f>
        <v>0</v>
      </c>
      <c r="AX731" s="51" t="n">
        <f aca="false">IF(AND(OR(CF731="L1",CF731="L23",CF731="LIFT"),AS731&gt;0),SUMIFS($AS$7:$AS$1843,$CF$7:$CF$1843,CF731,$AW$7:$AW$1843,"&gt;"&amp;AW731)+SUMIFS($AS$7:$AS$1843,$CF$7:$CF$1843,CF731,$AW$7:$AW$1843,AW731,$BW$7:$BW$1843,"&lt;="&amp;BW731),"")</f>
        <v>34245.5146520147</v>
      </c>
      <c r="AY731" s="58" t="n">
        <f aca="false">IF(AX731="",0,MAX(0,MIN(1,(IF(CF731="L1",Parameter!$H$5,IF(CF731="L23",Parameter!$H$6+Parameter!$H$7,Parameter!$H$5+Parameter!$H$6+Parameter!$H$7))-(AX731-AS731))/AS731)))</f>
        <v>1</v>
      </c>
      <c r="AZ731" s="50" t="n">
        <f aca="false">IF(LEFT(Cockpit!$O$5,1)="A",H731,IF(Parameter!$E$30="MAX-Bestand",IF(CH731=1,CI731,IF(LEFT(Cockpit!$O$5,1)="B",BF731,MAX(BF731,H731))),ROUNDUP(BD731,0)))</f>
        <v>1</v>
      </c>
      <c r="BA731" s="50" t="n">
        <f aca="false">IF(BZ731=1,0,ROUNDUP(AZ731/BY731,0))</f>
        <v>1</v>
      </c>
      <c r="BB731" s="52" t="n">
        <f aca="false">IF(CQ731&gt;0,CQ731*MAX(1,AZ731/X731),IF(BZ731=1,IF(AZ731&lt;=0,0,CD731*MAX(1,IF(H731&gt;0,AZ731/H731,1))),IF(R731&gt;0,BA731/R731,0))/MAX(0.1,N(Parameter!$M$21)))</f>
        <v>0.25</v>
      </c>
      <c r="BC731" s="50" t="n">
        <f aca="false">BB731*CB731</f>
        <v>58.75</v>
      </c>
      <c r="BD731" s="51" t="n">
        <f aca="false">IF(LEFT(Cockpit!$O$5,1)="A",H731,IF(CH731=1,(CK731+CI731)/2,IF(LEFT(Cockpit!$O$5,1)="B",(CK731+BF731)/2,MAX((CK731+BF731)/2,H731))))</f>
        <v>0.5</v>
      </c>
      <c r="BE731" s="50" t="n">
        <f aca="false">BD731*G731</f>
        <v>0</v>
      </c>
      <c r="BF731" s="50" t="n">
        <f aca="false">ROUNDUP(CK731+MAX(CL731,2*(J731/IF(CG731&gt;0,CG731,MAX(0.1,N(Cockpit!$O$6)))-CK731)),0)</f>
        <v>1</v>
      </c>
      <c r="BG731" s="51" t="n">
        <f aca="false">IF(BC731&gt;0,J731/BC731,-1)</f>
        <v>0</v>
      </c>
      <c r="BH731" s="51" t="n">
        <f aca="false">IF(AND(OR(CF731="L1",CF731="L23",CF731="LIFT"),BC731&gt;0),SUMIFS($BC$7:$BC$1843,$CF$7:$CF$1843,CF731,$BG$7:$BG$1843,"&gt;"&amp;BG731)+SUMIFS($BC$7:$BC$1843,$CF$7:$CF$1843,CF731,$BG$7:$BG$1843,BG731,$BW$7:$BW$1843,"&lt;="&amp;BW731),"")</f>
        <v>28309.6436564848</v>
      </c>
      <c r="BI731" s="58" t="n">
        <f aca="false">IF(BH731="",0,MAX(0,MIN(1,(IF(CF731="L1",Parameter!$H$5,IF(CF731="L23",Parameter!$H$6+Parameter!$H$7,Parameter!$H$5+Parameter!$H$6+Parameter!$H$7))-(BH731-BC731))/BC731)))</f>
        <v>1</v>
      </c>
      <c r="BJ731" s="48" t="str">
        <f aca="false">IF(AI731&lt;=0,"",IF(CF731="Aussen","Aussenlager",IF(CF731="-","Nicht im Lift",IF(AO731&gt;=1,"Lift",IF(AO731&lt;=0,"Aussenlager","teilweise")))))</f>
        <v/>
      </c>
      <c r="BK731" s="48" t="str">
        <f aca="false">IF(AS731&lt;=0,"",IF(CF731="Aussen","Aussenlager",IF(CF731="-","Nicht im Lift",IF(AY731&gt;=1,"Lift",IF(AY731&lt;=0,"Aussenlager","teilweise")))))</f>
        <v>Lift</v>
      </c>
      <c r="BL731" s="48" t="str">
        <f aca="false">IF(BC731&lt;=0,"",IF(CF731="Aussen","Aussenlager",IF(CF731="-","Nicht im Lift",IF(BI731&gt;=1,"Lift",IF(BI731&lt;=0,"Aussenlager","teilweise")))))</f>
        <v>Lift</v>
      </c>
      <c r="BM731" s="48" t="str">
        <f aca="false">IF(A731="","",IF(BV731=1,"Neu; ","")&amp;IF(AND(BV731=0,BQ731&lt;0),"negativer Bestand (Export "&amp;BQ731&amp;"); ","")&amp;IF(J731&lt;=0,"Kein Verbrauch; ","")&amp;IF(CQ731&gt;0,"Lift "&amp;W731&amp;" lt. Liftbericht (Fach "&amp;X731&amp;" Stk); ",IF(CA731=1,"Gebinde geschätzt ("&amp;T731&amp;"); ",IF(BZ731=1,"Lose – Tablare geschätzt; ","")))&amp;IF(H731&gt;AV731,"Überbestand "&amp;ROUND(H731-AV731,0)&amp;" Stk / CHF "&amp;ROUND((H731-AV731)*G731,0)&amp;"; ","")&amp;IF(AND(CH731=1,CI731&lt;CJ731),"MAX &lt; MB+LG; ","")&amp;IF(AND(CP731&gt;0,CO731*10&gt;CP731),"zu hoch für Tablar; ","")&amp;IF(AND(BV731=0,OR(CH731=1,AA731&lt;&gt;"",U731&lt;&gt;"",V731&lt;&gt;"",AB731&lt;&gt;"")),"manuell übersteuert; ","")&amp;IF(AND(BZ731=0,R731=0),"Gebinde unbekannt / Stellmass fehlt; ","")&amp;IF(AND(BZ731=0,N(V731)&lt;=0,N(Q731)&lt;=0),"Menge pro Gebinde fehlt (Ist = 1 Gebinde); ","")&amp;BU731)</f>
        <v>negativer Bestand (Export -1); Kein Verbrauch; Gebinde geschätzt (Gross); Menge pro Gebinde fehlt (Ist = 1 Gebinde); </v>
      </c>
      <c r="BN731" s="48"/>
      <c r="BO731" s="48"/>
      <c r="BP731" s="55"/>
      <c r="BQ731" s="50" t="n">
        <v>-1</v>
      </c>
      <c r="BR731" s="50" t="n">
        <v>1</v>
      </c>
      <c r="BS731" s="49" t="n">
        <v>0</v>
      </c>
      <c r="BT731" s="50" t="n">
        <v>0</v>
      </c>
      <c r="BU731" s="48"/>
      <c r="BV731" s="53" t="n">
        <v>0</v>
      </c>
      <c r="BW731" s="53" t="n">
        <v>731</v>
      </c>
      <c r="BX731" s="48" t="str">
        <f aca="false">IF(U731&lt;&gt;"",UPPER(TRIM(U731)),IF(CA731=1,UPPER(VLOOKUP(T731,Parameter!$I$27:$K$29,2,0)),IF(P731="","LOSE",P731)))</f>
        <v>S81</v>
      </c>
      <c r="BY731" s="50" t="n">
        <f aca="false">IF(BX731="LOSE",1,IF(N(V731)&gt;0,V731,IF(CA731=1,MAX(1,N(VLOOKUP(T731,Parameter!$I$27:$K$29,3,0)),H731,N(N731)),IF(N(Q731)&gt;0,Q731,MAX(1,H731)))))</f>
        <v>2</v>
      </c>
      <c r="BZ731" s="53" t="n">
        <f aca="false">IF(BX731="LOSE",1,0)</f>
        <v>0</v>
      </c>
      <c r="CA731" s="53" t="n">
        <f aca="false">IF(AND(U731="",OR(P731="",P731="LOSE"),T731&lt;&gt;"",N(S731)&lt;=0,ISNUMBER(MATCH(T731,Parameter!$I$27:$I$29,0))),1,0)</f>
        <v>1</v>
      </c>
      <c r="CB731" s="53" t="n">
        <f aca="false">IF(CQ731&gt;0,INDEX(Parameter!$H$5:$H$7,W731)/INDEX(Parameter!$E$5:$E$7,W731),IF(AND(BZ731=0,N(IFERROR(VLOOKUP(BX731,'Gebinde-Kategorie'!$A$5:$N$45,14,0),0))&gt;0),VLOOKUP(BX731,'Gebinde-Kategorie'!$A$5:$N$45,14,0)*10+Parameter!$M$23,Parameter!$M$24))</f>
        <v>235</v>
      </c>
      <c r="CC731" s="48" t="str">
        <f aca="false">IF(AND(Parameter!$B$19="Ja",E731&lt;&gt;"",ISNUMBER(MATCH(E731,Parameter!$I$35:$I$52,0))),VLOOKUP(E731,Parameter!$I$35:$J$52,2,0),IFERROR(VLOOKUP(D731,Parameter!$A$35:$C$64,2,0),"Nein"))</f>
        <v>2+3</v>
      </c>
      <c r="CD731" s="52" t="n">
        <f aca="false">IF(BZ731=0,0,IF(N(S731)&gt;0,S731,IFERROR(VLOOKUP(D731,Parameter!$A$35:$C$64,3,0)+0,0)))</f>
        <v>0</v>
      </c>
      <c r="CE731" s="48" t="n">
        <f aca="false">IF(AA731&lt;&gt;"",AA731,Z731)</f>
        <v>2</v>
      </c>
      <c r="CF731" s="48" t="str">
        <f aca="false">IF(OR(CE731=1,CE731=2,CE731=3),IF(Parameter!$E$27="Ja","LIFT",IF(CE731=1,"L1","L23")),IF(CE731="Aussen","Aussen","-"))</f>
        <v>LIFT</v>
      </c>
      <c r="CG731" s="59" t="n">
        <f aca="false">IF(N(AB731)&gt;0,AB731,0)</f>
        <v>0</v>
      </c>
      <c r="CH731" s="53" t="n">
        <f aca="false">IF(ISNUMBER(AE731),1,0)</f>
        <v>0</v>
      </c>
      <c r="CI731" s="50" t="n">
        <f aca="false">N(AE731)</f>
        <v>0</v>
      </c>
      <c r="CJ731" s="50" t="n">
        <f aca="false">N(M731)+N(N731)</f>
        <v>1</v>
      </c>
      <c r="CK731" s="50" t="n">
        <f aca="false">N(M731)</f>
        <v>0</v>
      </c>
      <c r="CL731" s="50" t="n">
        <f aca="false">N(N731)</f>
        <v>1</v>
      </c>
      <c r="CM731" s="50" t="n">
        <f aca="false">ROUNDUP(H731/BY731,0)</f>
        <v>0</v>
      </c>
      <c r="CN731" s="50" t="n">
        <f aca="false">ROUNDUP(CI731/BY731,0)</f>
        <v>0</v>
      </c>
      <c r="CO731" s="53" t="n">
        <f aca="false">IF(BZ731=1,0,IFERROR(VLOOKUP(BX731,'Gebinde-Kategorie'!$A$5:$N$45,5,0)+0,0))</f>
        <v>20</v>
      </c>
      <c r="CP731" s="53" t="n">
        <f aca="false">IFERROR(IF(OR(CE731=1,CE731=2,CE731=3),N(INDEX(Parameter!$I$5:$I$7,CE731)),0),0)</f>
        <v>0</v>
      </c>
      <c r="CQ731" s="52" t="n">
        <f aca="false">IF(AND(Parameter!$B$21="Ja",ISNUMBER(W731),N(X731)&gt;0),IFERROR(N(INDEX(Parameter!$L$5:$L$7,W731))*INDEX(Parameter!$E$5:$E$7,W731)*X731/SUMIFS($X$7:$X$1843,$W$7:$W$1843,W731),0),0)</f>
        <v>0</v>
      </c>
    </row>
    <row r="732" customFormat="false" ht="15" hidden="false" customHeight="false" outlineLevel="0" collapsed="false">
      <c r="A732" s="48" t="s">
        <v>1460</v>
      </c>
      <c r="B732" s="48" t="s">
        <v>901</v>
      </c>
      <c r="C732" s="48" t="s">
        <v>173</v>
      </c>
      <c r="D732" s="48" t="s">
        <v>193</v>
      </c>
      <c r="E732" s="48" t="s">
        <v>194</v>
      </c>
      <c r="F732" s="48" t="s">
        <v>227</v>
      </c>
      <c r="G732" s="49" t="n">
        <v>22.27</v>
      </c>
      <c r="H732" s="50" t="n">
        <f aca="false">MAX(0,IF(AND(Parameter!$B$21="Ja",ISNUMBER(Y732)),Y732,IF(Parameter!$B$20="Jahresanfang 2025 + Export",BR732+BQ732,BQ732)))</f>
        <v>13</v>
      </c>
      <c r="I732" s="50" t="n">
        <f aca="false">H732*G732</f>
        <v>289.51</v>
      </c>
      <c r="J732" s="50" t="n">
        <f aca="false">BT732*Parameter!$B$18</f>
        <v>1</v>
      </c>
      <c r="K732" s="51" t="n">
        <v>12.5</v>
      </c>
      <c r="L732" s="52" t="n">
        <v>0.08</v>
      </c>
      <c r="M732" s="50" t="n">
        <v>0</v>
      </c>
      <c r="N732" s="50" t="n">
        <v>1</v>
      </c>
      <c r="O732" s="53" t="n">
        <v>14</v>
      </c>
      <c r="P732" s="48" t="s">
        <v>485</v>
      </c>
      <c r="Q732" s="50" t="n">
        <v>16</v>
      </c>
      <c r="R732" s="53" t="n">
        <f aca="false">IF(BZ732=1,0,IFERROR(VLOOKUP(BX732,'Gebinde-Kategorie'!$A$5:$N$45,13,0)+0,0))</f>
        <v>52</v>
      </c>
      <c r="S732" s="54"/>
      <c r="T732" s="55"/>
      <c r="U732" s="55"/>
      <c r="V732" s="55"/>
      <c r="W732" s="48"/>
      <c r="X732" s="50"/>
      <c r="Y732" s="50"/>
      <c r="Z732" s="48" t="n">
        <f aca="false">IF(A732="","",IF(AND(Parameter!$B$21="Ja",ISNUMBER(W732)),W732,IF(CC732="2+3",IF(ISNUMBER(SEARCH("grosser Artikel",BU732)),2,IFERROR(VLOOKUP(BX732,Parameter!$F$35:$G$64,2,0),2)),IF(OR(CC732="Nein",CC732=""),"-",CC732))))</f>
        <v>3</v>
      </c>
      <c r="AA732" s="55"/>
      <c r="AB732" s="56"/>
      <c r="AC732" s="50" t="n">
        <f aca="false">AV732</f>
        <v>1</v>
      </c>
      <c r="AD732" s="50" t="n">
        <f aca="false">MAX(AV732,H732)</f>
        <v>13</v>
      </c>
      <c r="AE732" s="57"/>
      <c r="AF732" s="50" t="n">
        <f aca="false">IF(LEFT(Cockpit!$C$5,1)="A",H732,IF(Parameter!$E$30="MAX-Bestand",IF(CH732=1,CI732,IF(LEFT(Cockpit!$C$5,1)="B",AL732,MAX(AL732,H732))),ROUNDUP(AJ732,0)))</f>
        <v>13</v>
      </c>
      <c r="AG732" s="50" t="n">
        <f aca="false">IF(BZ732=1,0,ROUNDUP(AF732/BY732,0))</f>
        <v>1</v>
      </c>
      <c r="AH732" s="52" t="n">
        <f aca="false">IF(CQ732&gt;0,CQ732*MAX(1,AF732/X732),IF(BZ732=1,IF(AF732&lt;=0,0,CD732*MAX(1,IF(H732&gt;0,AF732/H732,1))),IF(R732&gt;0,AG732/R732,0))/MAX(0.1,N(Parameter!$M$21)))</f>
        <v>0.0192307692307692</v>
      </c>
      <c r="AI732" s="50" t="n">
        <f aca="false">AH732*CB732</f>
        <v>2.98076923076923</v>
      </c>
      <c r="AJ732" s="51" t="n">
        <f aca="false">IF(LEFT(Cockpit!$C$5,1)="A",H732,IF(CH732=1,(CK732+CI732)/2,IF(LEFT(Cockpit!$C$5,1)="B",(CK732+AL732)/2,MAX((CK732+AL732)/2,H732))))</f>
        <v>13</v>
      </c>
      <c r="AK732" s="50" t="n">
        <f aca="false">AJ732*G732</f>
        <v>289.51</v>
      </c>
      <c r="AL732" s="50" t="n">
        <f aca="false">ROUNDUP(CK732+MAX(CL732,2*(J732/IF(CG732&gt;0,CG732,MAX(0.1,N(Cockpit!$C$6)))-CK732)),0)</f>
        <v>1</v>
      </c>
      <c r="AM732" s="51" t="n">
        <f aca="false">IF(AI732&gt;0,J732/AI732,-1)</f>
        <v>0.335483870967742</v>
      </c>
      <c r="AN732" s="51" t="n">
        <f aca="false">IF(AND(OR(CF732="L1",CF732="L23",CF732="LIFT"),AI732&gt;0),SUMIFS($AI$7:$AI$1843,$CF$7:$CF$1843,CF732,$AM$7:$AM$1843,"&gt;"&amp;AM732)+SUMIFS($AI$7:$AI$1843,$CF$7:$CF$1843,CF732,$AM$7:$AM$1843,AM732,$BW$7:$BW$1843,"&lt;="&amp;BW732),"")</f>
        <v>11197.9424241013</v>
      </c>
      <c r="AO732" s="58" t="n">
        <f aca="false">IF(AN732="",0,MAX(0,MIN(1,(IF(CF732="L1",Parameter!$H$5,IF(CF732="L23",Parameter!$H$6+Parameter!$H$7,Parameter!$H$5+Parameter!$H$6+Parameter!$H$7))-(AN732-AI732))/AI732)))</f>
        <v>1</v>
      </c>
      <c r="AP732" s="50" t="n">
        <f aca="false">IF(LEFT(Cockpit!$I$5,1)="A",H732,IF(Parameter!$E$30="MAX-Bestand",IF(CH732=1,CI732,IF(LEFT(Cockpit!$I$5,1)="B",AV732,MAX(AV732,H732))),ROUNDUP(AT732,0)))</f>
        <v>13</v>
      </c>
      <c r="AQ732" s="50" t="n">
        <f aca="false">IF(BZ732=1,0,ROUNDUP(AP732/BY732,0))</f>
        <v>1</v>
      </c>
      <c r="AR732" s="52" t="n">
        <f aca="false">IF(CQ732&gt;0,CQ732*MAX(1,AP732/X732),IF(BZ732=1,IF(AP732&lt;=0,0,CD732*MAX(1,IF(H732&gt;0,AP732/H732,1))),IF(R732&gt;0,AQ732/R732,0))/MAX(0.1,N(Parameter!$M$21)))</f>
        <v>0.0192307692307692</v>
      </c>
      <c r="AS732" s="50" t="n">
        <f aca="false">AR732*CB732</f>
        <v>2.98076923076923</v>
      </c>
      <c r="AT732" s="51" t="n">
        <f aca="false">IF(LEFT(Cockpit!$I$5,1)="A",H732,IF(CH732=1,(CK732+CI732)/2,IF(LEFT(Cockpit!$I$5,1)="B",(CK732+AV732)/2,MAX((CK732+AV732)/2,H732))))</f>
        <v>13</v>
      </c>
      <c r="AU732" s="50" t="n">
        <f aca="false">AT732*G732</f>
        <v>289.51</v>
      </c>
      <c r="AV732" s="50" t="n">
        <f aca="false">ROUNDUP(CK732+MAX(CL732,2*(J732/IF(CG732&gt;0,CG732,MAX(0.1,N(Cockpit!$I$6)))-CK732)),0)</f>
        <v>1</v>
      </c>
      <c r="AW732" s="51" t="n">
        <f aca="false">IF(AS732&gt;0,J732/AS732,-1)</f>
        <v>0.335483870967742</v>
      </c>
      <c r="AX732" s="51" t="n">
        <f aca="false">IF(AND(OR(CF732="L1",CF732="L23",CF732="LIFT"),AS732&gt;0),SUMIFS($AS$7:$AS$1843,$CF$7:$CF$1843,CF732,$AW$7:$AW$1843,"&gt;"&amp;AW732)+SUMIFS($AS$7:$AS$1843,$CF$7:$CF$1843,CF732,$AW$7:$AW$1843,AW732,$BW$7:$BW$1843,"&lt;="&amp;BW732),"")</f>
        <v>13732.0801282051</v>
      </c>
      <c r="AY732" s="58" t="n">
        <f aca="false">IF(AX732="",0,MAX(0,MIN(1,(IF(CF732="L1",Parameter!$H$5,IF(CF732="L23",Parameter!$H$6+Parameter!$H$7,Parameter!$H$5+Parameter!$H$6+Parameter!$H$7))-(AX732-AS732))/AS732)))</f>
        <v>1</v>
      </c>
      <c r="AZ732" s="50" t="n">
        <f aca="false">IF(LEFT(Cockpit!$O$5,1)="A",H732,IF(Parameter!$E$30="MAX-Bestand",IF(CH732=1,CI732,IF(LEFT(Cockpit!$O$5,1)="B",BF732,MAX(BF732,H732))),ROUNDUP(BD732,0)))</f>
        <v>1</v>
      </c>
      <c r="BA732" s="50" t="n">
        <f aca="false">IF(BZ732=1,0,ROUNDUP(AZ732/BY732,0))</f>
        <v>1</v>
      </c>
      <c r="BB732" s="52" t="n">
        <f aca="false">IF(CQ732&gt;0,CQ732*MAX(1,AZ732/X732),IF(BZ732=1,IF(AZ732&lt;=0,0,CD732*MAX(1,IF(H732&gt;0,AZ732/H732,1))),IF(R732&gt;0,BA732/R732,0))/MAX(0.1,N(Parameter!$M$21)))</f>
        <v>0.0192307692307692</v>
      </c>
      <c r="BC732" s="50" t="n">
        <f aca="false">BB732*CB732</f>
        <v>2.98076923076923</v>
      </c>
      <c r="BD732" s="51" t="n">
        <f aca="false">IF(LEFT(Cockpit!$O$5,1)="A",H732,IF(CH732=1,(CK732+CI732)/2,IF(LEFT(Cockpit!$O$5,1)="B",(CK732+BF732)/2,MAX((CK732+BF732)/2,H732))))</f>
        <v>0.5</v>
      </c>
      <c r="BE732" s="50" t="n">
        <f aca="false">BD732*G732</f>
        <v>11.135</v>
      </c>
      <c r="BF732" s="50" t="n">
        <f aca="false">ROUNDUP(CK732+MAX(CL732,2*(J732/IF(CG732&gt;0,CG732,MAX(0.1,N(Cockpit!$O$6)))-CK732)),0)</f>
        <v>1</v>
      </c>
      <c r="BG732" s="51" t="n">
        <f aca="false">IF(BC732&gt;0,J732/BC732,-1)</f>
        <v>0.335483870967742</v>
      </c>
      <c r="BH732" s="51" t="n">
        <f aca="false">IF(AND(OR(CF732="L1",CF732="L23",CF732="LIFT"),BC732&gt;0),SUMIFS($BC$7:$BC$1843,$CF$7:$CF$1843,CF732,$BG$7:$BG$1843,"&gt;"&amp;BG732)+SUMIFS($BC$7:$BC$1843,$CF$7:$CF$1843,CF732,$BG$7:$BG$1843,BG732,$BW$7:$BW$1843,"&lt;="&amp;BW732),"")</f>
        <v>11583.0389194139</v>
      </c>
      <c r="BI732" s="58" t="n">
        <f aca="false">IF(BH732="",0,MAX(0,MIN(1,(IF(CF732="L1",Parameter!$H$5,IF(CF732="L23",Parameter!$H$6+Parameter!$H$7,Parameter!$H$5+Parameter!$H$6+Parameter!$H$7))-(BH732-BC732))/BC732)))</f>
        <v>1</v>
      </c>
      <c r="BJ732" s="48" t="str">
        <f aca="false">IF(AI732&lt;=0,"",IF(CF732="Aussen","Aussenlager",IF(CF732="-","Nicht im Lift",IF(AO732&gt;=1,"Lift",IF(AO732&lt;=0,"Aussenlager","teilweise")))))</f>
        <v>Lift</v>
      </c>
      <c r="BK732" s="48" t="str">
        <f aca="false">IF(AS732&lt;=0,"",IF(CF732="Aussen","Aussenlager",IF(CF732="-","Nicht im Lift",IF(AY732&gt;=1,"Lift",IF(AY732&lt;=0,"Aussenlager","teilweise")))))</f>
        <v>Lift</v>
      </c>
      <c r="BL732" s="48" t="str">
        <f aca="false">IF(BC732&lt;=0,"",IF(CF732="Aussen","Aussenlager",IF(CF732="-","Nicht im Lift",IF(BI732&gt;=1,"Lift",IF(BI732&lt;=0,"Aussenlager","teilweise")))))</f>
        <v>Lift</v>
      </c>
      <c r="BM732" s="48" t="str">
        <f aca="false">IF(A732="","",IF(BV732=1,"Neu; ","")&amp;IF(AND(BV732=0,BQ732&lt;0),"negativer Bestand (Export "&amp;BQ732&amp;"); ","")&amp;IF(J732&lt;=0,"Kein Verbrauch; ","")&amp;IF(CQ732&gt;0,"Lift "&amp;W732&amp;" lt. Liftbericht (Fach "&amp;X732&amp;" Stk); ",IF(CA732=1,"Gebinde geschätzt ("&amp;T732&amp;"); ",IF(BZ732=1,"Lose – Tablare geschätzt; ","")))&amp;IF(H732&gt;AV732,"Überbestand "&amp;ROUND(H732-AV732,0)&amp;" Stk / CHF "&amp;ROUND((H732-AV732)*G732,0)&amp;"; ","")&amp;IF(AND(CH732=1,CI732&lt;CJ732),"MAX &lt; MB+LG; ","")&amp;IF(AND(CP732&gt;0,CO732*10&gt;CP732),"zu hoch für Tablar; ","")&amp;IF(AND(BV732=0,OR(CH732=1,AA732&lt;&gt;"",U732&lt;&gt;"",V732&lt;&gt;"",AB732&lt;&gt;"")),"manuell übersteuert; ","")&amp;IF(AND(BZ732=0,R732=0),"Gebinde unbekannt / Stellmass fehlt; ","")&amp;IF(AND(BZ732=0,N(V732)&lt;=0,N(Q732)&lt;=0),"Menge pro Gebinde fehlt (Ist = 1 Gebinde); ","")&amp;BU732)</f>
        <v>Überbestand 12 Stk / CHF 267; </v>
      </c>
      <c r="BN732" s="48"/>
      <c r="BO732" s="48"/>
      <c r="BP732" s="55"/>
      <c r="BQ732" s="50" t="n">
        <v>0</v>
      </c>
      <c r="BR732" s="50" t="n">
        <v>13</v>
      </c>
      <c r="BS732" s="49" t="n">
        <v>0</v>
      </c>
      <c r="BT732" s="50" t="n">
        <v>1</v>
      </c>
      <c r="BU732" s="48"/>
      <c r="BV732" s="53" t="n">
        <v>0</v>
      </c>
      <c r="BW732" s="53" t="n">
        <v>732</v>
      </c>
      <c r="BX732" s="48" t="str">
        <f aca="false">IF(U732&lt;&gt;"",UPPER(TRIM(U732)),IF(CA732=1,UPPER(VLOOKUP(T732,Parameter!$I$27:$K$29,2,0)),IF(P732="","LOSE",P732)))</f>
        <v>S33</v>
      </c>
      <c r="BY732" s="50" t="n">
        <f aca="false">IF(BX732="LOSE",1,IF(N(V732)&gt;0,V732,IF(CA732=1,MAX(1,N(VLOOKUP(T732,Parameter!$I$27:$K$29,3,0)),H732,N(N732)),IF(N(Q732)&gt;0,Q732,MAX(1,H732)))))</f>
        <v>16</v>
      </c>
      <c r="BZ732" s="53" t="n">
        <f aca="false">IF(BX732="LOSE",1,0)</f>
        <v>0</v>
      </c>
      <c r="CA732" s="53" t="n">
        <f aca="false">IF(AND(U732="",OR(P732="",P732="LOSE"),T732&lt;&gt;"",N(S732)&lt;=0,ISNUMBER(MATCH(T732,Parameter!$I$27:$I$29,0))),1,0)</f>
        <v>0</v>
      </c>
      <c r="CB732" s="53" t="n">
        <f aca="false">IF(CQ732&gt;0,INDEX(Parameter!$H$5:$H$7,W732)/INDEX(Parameter!$E$5:$E$7,W732),IF(AND(BZ732=0,N(IFERROR(VLOOKUP(BX732,'Gebinde-Kategorie'!$A$5:$N$45,14,0),0))&gt;0),VLOOKUP(BX732,'Gebinde-Kategorie'!$A$5:$N$45,14,0)*10+Parameter!$M$23,Parameter!$M$24))</f>
        <v>155</v>
      </c>
      <c r="CC732" s="48" t="str">
        <f aca="false">IF(AND(Parameter!$B$19="Ja",E732&lt;&gt;"",ISNUMBER(MATCH(E732,Parameter!$I$35:$I$52,0))),VLOOKUP(E732,Parameter!$I$35:$J$52,2,0),IFERROR(VLOOKUP(D732,Parameter!$A$35:$C$64,2,0),"Nein"))</f>
        <v>2+3</v>
      </c>
      <c r="CD732" s="52" t="n">
        <f aca="false">IF(BZ732=0,0,IF(N(S732)&gt;0,S732,IFERROR(VLOOKUP(D732,Parameter!$A$35:$C$64,3,0)+0,0)))</f>
        <v>0</v>
      </c>
      <c r="CE732" s="48" t="n">
        <f aca="false">IF(AA732&lt;&gt;"",AA732,Z732)</f>
        <v>3</v>
      </c>
      <c r="CF732" s="48" t="str">
        <f aca="false">IF(OR(CE732=1,CE732=2,CE732=3),IF(Parameter!$E$27="Ja","LIFT",IF(CE732=1,"L1","L23")),IF(CE732="Aussen","Aussen","-"))</f>
        <v>LIFT</v>
      </c>
      <c r="CG732" s="59" t="n">
        <f aca="false">IF(N(AB732)&gt;0,AB732,0)</f>
        <v>0</v>
      </c>
      <c r="CH732" s="53" t="n">
        <f aca="false">IF(ISNUMBER(AE732),1,0)</f>
        <v>0</v>
      </c>
      <c r="CI732" s="50" t="n">
        <f aca="false">N(AE732)</f>
        <v>0</v>
      </c>
      <c r="CJ732" s="50" t="n">
        <f aca="false">N(M732)+N(N732)</f>
        <v>1</v>
      </c>
      <c r="CK732" s="50" t="n">
        <f aca="false">N(M732)</f>
        <v>0</v>
      </c>
      <c r="CL732" s="50" t="n">
        <f aca="false">N(N732)</f>
        <v>1</v>
      </c>
      <c r="CM732" s="50" t="n">
        <f aca="false">ROUNDUP(H732/BY732,0)</f>
        <v>1</v>
      </c>
      <c r="CN732" s="50" t="n">
        <f aca="false">ROUNDUP(CI732/BY732,0)</f>
        <v>0</v>
      </c>
      <c r="CO732" s="53" t="n">
        <f aca="false">IF(BZ732=1,0,IFERROR(VLOOKUP(BX732,'Gebinde-Kategorie'!$A$5:$N$45,5,0)+0,0))</f>
        <v>8</v>
      </c>
      <c r="CP732" s="53" t="n">
        <f aca="false">IFERROR(IF(OR(CE732=1,CE732=2,CE732=3),N(INDEX(Parameter!$I$5:$I$7,CE732)),0),0)</f>
        <v>0</v>
      </c>
      <c r="CQ732" s="52" t="n">
        <f aca="false">IF(AND(Parameter!$B$21="Ja",ISNUMBER(W732),N(X732)&gt;0),IFERROR(N(INDEX(Parameter!$L$5:$L$7,W732))*INDEX(Parameter!$E$5:$E$7,W732)*X732/SUMIFS($X$7:$X$1843,$W$7:$W$1843,W732),0),0)</f>
        <v>0</v>
      </c>
    </row>
    <row r="733" customFormat="false" ht="15" hidden="false" customHeight="false" outlineLevel="0" collapsed="false">
      <c r="A733" s="48" t="s">
        <v>1461</v>
      </c>
      <c r="B733" s="48" t="s">
        <v>1462</v>
      </c>
      <c r="C733" s="48" t="s">
        <v>173</v>
      </c>
      <c r="D733" s="48" t="s">
        <v>193</v>
      </c>
      <c r="E733" s="48"/>
      <c r="F733" s="48" t="s">
        <v>227</v>
      </c>
      <c r="G733" s="49" t="n">
        <v>20.37</v>
      </c>
      <c r="H733" s="50" t="n">
        <f aca="false">MAX(0,IF(AND(Parameter!$B$21="Ja",ISNUMBER(Y733)),Y733,IF(Parameter!$B$20="Jahresanfang 2025 + Export",BR733+BQ733,BQ733)))</f>
        <v>17</v>
      </c>
      <c r="I733" s="50" t="n">
        <f aca="false">H733*G733</f>
        <v>346.29</v>
      </c>
      <c r="J733" s="50" t="n">
        <f aca="false">BT733*Parameter!$B$18</f>
        <v>0</v>
      </c>
      <c r="K733" s="51" t="n">
        <v>17</v>
      </c>
      <c r="L733" s="52" t="n">
        <v>0</v>
      </c>
      <c r="M733" s="50" t="n">
        <v>0</v>
      </c>
      <c r="N733" s="50" t="n">
        <v>1</v>
      </c>
      <c r="O733" s="53" t="n">
        <v>28</v>
      </c>
      <c r="P733" s="48" t="s">
        <v>435</v>
      </c>
      <c r="Q733" s="50" t="n">
        <v>7</v>
      </c>
      <c r="R733" s="53" t="n">
        <f aca="false">IF(BZ733=1,0,IFERROR(VLOOKUP(BX733,'Gebinde-Kategorie'!$A$5:$N$45,13,0)+0,0))</f>
        <v>140</v>
      </c>
      <c r="S733" s="54"/>
      <c r="T733" s="55"/>
      <c r="U733" s="55"/>
      <c r="V733" s="55"/>
      <c r="W733" s="48"/>
      <c r="X733" s="50"/>
      <c r="Y733" s="50"/>
      <c r="Z733" s="48" t="n">
        <f aca="false">IF(A733="","",IF(AND(Parameter!$B$21="Ja",ISNUMBER(W733)),W733,IF(CC733="2+3",IF(ISNUMBER(SEARCH("grosser Artikel",BU733)),2,IFERROR(VLOOKUP(BX733,Parameter!$F$35:$G$64,2,0),2)),IF(OR(CC733="Nein",CC733=""),"-",CC733))))</f>
        <v>3</v>
      </c>
      <c r="AA733" s="55"/>
      <c r="AB733" s="56"/>
      <c r="AC733" s="50" t="n">
        <f aca="false">AV733</f>
        <v>1</v>
      </c>
      <c r="AD733" s="50" t="n">
        <f aca="false">MAX(AV733,H733)</f>
        <v>17</v>
      </c>
      <c r="AE733" s="57"/>
      <c r="AF733" s="50" t="n">
        <f aca="false">IF(LEFT(Cockpit!$C$5,1)="A",H733,IF(Parameter!$E$30="MAX-Bestand",IF(CH733=1,CI733,IF(LEFT(Cockpit!$C$5,1)="B",AL733,MAX(AL733,H733))),ROUNDUP(AJ733,0)))</f>
        <v>17</v>
      </c>
      <c r="AG733" s="50" t="n">
        <f aca="false">IF(BZ733=1,0,ROUNDUP(AF733/BY733,0))</f>
        <v>3</v>
      </c>
      <c r="AH733" s="52" t="n">
        <f aca="false">IF(CQ733&gt;0,CQ733*MAX(1,AF733/X733),IF(BZ733=1,IF(AF733&lt;=0,0,CD733*MAX(1,IF(H733&gt;0,AF733/H733,1))),IF(R733&gt;0,AG733/R733,0))/MAX(0.1,N(Parameter!$M$21)))</f>
        <v>0.0214285714285714</v>
      </c>
      <c r="AI733" s="50" t="n">
        <f aca="false">AH733*CB733</f>
        <v>3.32142857142857</v>
      </c>
      <c r="AJ733" s="51" t="n">
        <f aca="false">IF(LEFT(Cockpit!$C$5,1)="A",H733,IF(CH733=1,(CK733+CI733)/2,IF(LEFT(Cockpit!$C$5,1)="B",(CK733+AL733)/2,MAX((CK733+AL733)/2,H733))))</f>
        <v>17</v>
      </c>
      <c r="AK733" s="50" t="n">
        <f aca="false">AJ733*G733</f>
        <v>346.29</v>
      </c>
      <c r="AL733" s="50" t="n">
        <f aca="false">ROUNDUP(CK733+MAX(CL733,2*(J733/IF(CG733&gt;0,CG733,MAX(0.1,N(Cockpit!$C$6)))-CK733)),0)</f>
        <v>1</v>
      </c>
      <c r="AM733" s="51" t="n">
        <f aca="false">IF(AI733&gt;0,J733/AI733,-1)</f>
        <v>0</v>
      </c>
      <c r="AN733" s="51" t="n">
        <f aca="false">IF(AND(OR(CF733="L1",CF733="L23",CF733="LIFT"),AI733&gt;0),SUMIFS($AI$7:$AI$1843,$CF$7:$CF$1843,CF733,$AM$7:$AM$1843,"&gt;"&amp;AM733)+SUMIFS($AI$7:$AI$1843,$CF$7:$CF$1843,CF733,$AM$7:$AM$1843,AM733,$BW$7:$BW$1843,"&lt;="&amp;BW733),"")</f>
        <v>28674.1810289522</v>
      </c>
      <c r="AO733" s="58" t="n">
        <f aca="false">IF(AN733="",0,MAX(0,MIN(1,(IF(CF733="L1",Parameter!$H$5,IF(CF733="L23",Parameter!$H$6+Parameter!$H$7,Parameter!$H$5+Parameter!$H$6+Parameter!$H$7))-(AN733-AI733))/AI733)))</f>
        <v>1</v>
      </c>
      <c r="AP733" s="50" t="n">
        <f aca="false">IF(LEFT(Cockpit!$I$5,1)="A",H733,IF(Parameter!$E$30="MAX-Bestand",IF(CH733=1,CI733,IF(LEFT(Cockpit!$I$5,1)="B",AV733,MAX(AV733,H733))),ROUNDUP(AT733,0)))</f>
        <v>17</v>
      </c>
      <c r="AQ733" s="50" t="n">
        <f aca="false">IF(BZ733=1,0,ROUNDUP(AP733/BY733,0))</f>
        <v>3</v>
      </c>
      <c r="AR733" s="52" t="n">
        <f aca="false">IF(CQ733&gt;0,CQ733*MAX(1,AP733/X733),IF(BZ733=1,IF(AP733&lt;=0,0,CD733*MAX(1,IF(H733&gt;0,AP733/H733,1))),IF(R733&gt;0,AQ733/R733,0))/MAX(0.1,N(Parameter!$M$21)))</f>
        <v>0.0214285714285714</v>
      </c>
      <c r="AS733" s="50" t="n">
        <f aca="false">AR733*CB733</f>
        <v>3.32142857142857</v>
      </c>
      <c r="AT733" s="51" t="n">
        <f aca="false">IF(LEFT(Cockpit!$I$5,1)="A",H733,IF(CH733=1,(CK733+CI733)/2,IF(LEFT(Cockpit!$I$5,1)="B",(CK733+AV733)/2,MAX((CK733+AV733)/2,H733))))</f>
        <v>17</v>
      </c>
      <c r="AU733" s="50" t="n">
        <f aca="false">AT733*G733</f>
        <v>346.29</v>
      </c>
      <c r="AV733" s="50" t="n">
        <f aca="false">ROUNDUP(CK733+MAX(CL733,2*(J733/IF(CG733&gt;0,CG733,MAX(0.1,N(Cockpit!$I$6)))-CK733)),0)</f>
        <v>1</v>
      </c>
      <c r="AW733" s="51" t="n">
        <f aca="false">IF(AS733&gt;0,J733/AS733,-1)</f>
        <v>0</v>
      </c>
      <c r="AX733" s="51" t="n">
        <f aca="false">IF(AND(OR(CF733="L1",CF733="L23",CF733="LIFT"),AS733&gt;0),SUMIFS($AS$7:$AS$1843,$CF$7:$CF$1843,CF733,$AW$7:$AW$1843,"&gt;"&amp;AW733)+SUMIFS($AS$7:$AS$1843,$CF$7:$CF$1843,CF733,$AW$7:$AW$1843,AW733,$BW$7:$BW$1843,"&lt;="&amp;BW733),"")</f>
        <v>34248.8360805861</v>
      </c>
      <c r="AY733" s="58" t="n">
        <f aca="false">IF(AX733="",0,MAX(0,MIN(1,(IF(CF733="L1",Parameter!$H$5,IF(CF733="L23",Parameter!$H$6+Parameter!$H$7,Parameter!$H$5+Parameter!$H$6+Parameter!$H$7))-(AX733-AS733))/AS733)))</f>
        <v>1</v>
      </c>
      <c r="AZ733" s="50" t="n">
        <f aca="false">IF(LEFT(Cockpit!$O$5,1)="A",H733,IF(Parameter!$E$30="MAX-Bestand",IF(CH733=1,CI733,IF(LEFT(Cockpit!$O$5,1)="B",BF733,MAX(BF733,H733))),ROUNDUP(BD733,0)))</f>
        <v>1</v>
      </c>
      <c r="BA733" s="50" t="n">
        <f aca="false">IF(BZ733=1,0,ROUNDUP(AZ733/BY733,0))</f>
        <v>1</v>
      </c>
      <c r="BB733" s="52" t="n">
        <f aca="false">IF(CQ733&gt;0,CQ733*MAX(1,AZ733/X733),IF(BZ733=1,IF(AZ733&lt;=0,0,CD733*MAX(1,IF(H733&gt;0,AZ733/H733,1))),IF(R733&gt;0,BA733/R733,0))/MAX(0.1,N(Parameter!$M$21)))</f>
        <v>0.00714285714285714</v>
      </c>
      <c r="BC733" s="50" t="n">
        <f aca="false">BB733*CB733</f>
        <v>1.10714285714286</v>
      </c>
      <c r="BD733" s="51" t="n">
        <f aca="false">IF(LEFT(Cockpit!$O$5,1)="A",H733,IF(CH733=1,(CK733+CI733)/2,IF(LEFT(Cockpit!$O$5,1)="B",(CK733+BF733)/2,MAX((CK733+BF733)/2,H733))))</f>
        <v>0.5</v>
      </c>
      <c r="BE733" s="50" t="n">
        <f aca="false">BD733*G733</f>
        <v>10.185</v>
      </c>
      <c r="BF733" s="50" t="n">
        <f aca="false">ROUNDUP(CK733+MAX(CL733,2*(J733/IF(CG733&gt;0,CG733,MAX(0.1,N(Cockpit!$O$6)))-CK733)),0)</f>
        <v>1</v>
      </c>
      <c r="BG733" s="51" t="n">
        <f aca="false">IF(BC733&gt;0,J733/BC733,-1)</f>
        <v>0</v>
      </c>
      <c r="BH733" s="51" t="n">
        <f aca="false">IF(AND(OR(CF733="L1",CF733="L23",CF733="LIFT"),BC733&gt;0),SUMIFS($BC$7:$BC$1843,$CF$7:$CF$1843,CF733,$BG$7:$BG$1843,"&gt;"&amp;BG733)+SUMIFS($BC$7:$BC$1843,$CF$7:$CF$1843,CF733,$BG$7:$BG$1843,BG733,$BW$7:$BW$1843,"&lt;="&amp;BW733),"")</f>
        <v>28310.7507993419</v>
      </c>
      <c r="BI733" s="58" t="n">
        <f aca="false">IF(BH733="",0,MAX(0,MIN(1,(IF(CF733="L1",Parameter!$H$5,IF(CF733="L23",Parameter!$H$6+Parameter!$H$7,Parameter!$H$5+Parameter!$H$6+Parameter!$H$7))-(BH733-BC733))/BC733)))</f>
        <v>1</v>
      </c>
      <c r="BJ733" s="48" t="str">
        <f aca="false">IF(AI733&lt;=0,"",IF(CF733="Aussen","Aussenlager",IF(CF733="-","Nicht im Lift",IF(AO733&gt;=1,"Lift",IF(AO733&lt;=0,"Aussenlager","teilweise")))))</f>
        <v>Lift</v>
      </c>
      <c r="BK733" s="48" t="str">
        <f aca="false">IF(AS733&lt;=0,"",IF(CF733="Aussen","Aussenlager",IF(CF733="-","Nicht im Lift",IF(AY733&gt;=1,"Lift",IF(AY733&lt;=0,"Aussenlager","teilweise")))))</f>
        <v>Lift</v>
      </c>
      <c r="BL733" s="48" t="str">
        <f aca="false">IF(BC733&lt;=0,"",IF(CF733="Aussen","Aussenlager",IF(CF733="-","Nicht im Lift",IF(BI733&gt;=1,"Lift",IF(BI733&lt;=0,"Aussenlager","teilweise")))))</f>
        <v>Lift</v>
      </c>
      <c r="BM733" s="48" t="str">
        <f aca="false">IF(A733="","",IF(BV733=1,"Neu; ","")&amp;IF(AND(BV733=0,BQ733&lt;0),"negativer Bestand (Export "&amp;BQ733&amp;"); ","")&amp;IF(J733&lt;=0,"Kein Verbrauch; ","")&amp;IF(CQ733&gt;0,"Lift "&amp;W733&amp;" lt. Liftbericht (Fach "&amp;X733&amp;" Stk); ",IF(CA733=1,"Gebinde geschätzt ("&amp;T733&amp;"); ",IF(BZ733=1,"Lose – Tablare geschätzt; ","")))&amp;IF(H733&gt;AV733,"Überbestand "&amp;ROUND(H733-AV733,0)&amp;" Stk / CHF "&amp;ROUND((H733-AV733)*G733,0)&amp;"; ","")&amp;IF(AND(CH733=1,CI733&lt;CJ733),"MAX &lt; MB+LG; ","")&amp;IF(AND(CP733&gt;0,CO733*10&gt;CP733),"zu hoch für Tablar; ","")&amp;IF(AND(BV733=0,OR(CH733=1,AA733&lt;&gt;"",U733&lt;&gt;"",V733&lt;&gt;"",AB733&lt;&gt;"")),"manuell übersteuert; ","")&amp;IF(AND(BZ733=0,R733=0),"Gebinde unbekannt / Stellmass fehlt; ","")&amp;IF(AND(BZ733=0,N(V733)&lt;=0,N(Q733)&lt;=0),"Menge pro Gebinde fehlt (Ist = 1 Gebinde); ","")&amp;BU733)</f>
        <v>Kein Verbrauch; Überbestand 16 Stk / CHF 326; Überbestand</v>
      </c>
      <c r="BN733" s="48"/>
      <c r="BO733" s="48"/>
      <c r="BP733" s="55"/>
      <c r="BQ733" s="50" t="n">
        <v>0</v>
      </c>
      <c r="BR733" s="50" t="n">
        <v>17</v>
      </c>
      <c r="BS733" s="49" t="n">
        <v>0</v>
      </c>
      <c r="BT733" s="50" t="n">
        <v>0</v>
      </c>
      <c r="BU733" s="48" t="s">
        <v>401</v>
      </c>
      <c r="BV733" s="53" t="n">
        <v>0</v>
      </c>
      <c r="BW733" s="53" t="n">
        <v>733</v>
      </c>
      <c r="BX733" s="48" t="str">
        <f aca="false">IF(U733&lt;&gt;"",UPPER(TRIM(U733)),IF(CA733=1,UPPER(VLOOKUP(T733,Parameter!$I$27:$K$29,2,0)),IF(P733="","LOSE",P733)))</f>
        <v>S22</v>
      </c>
      <c r="BY733" s="50" t="n">
        <f aca="false">IF(BX733="LOSE",1,IF(N(V733)&gt;0,V733,IF(CA733=1,MAX(1,N(VLOOKUP(T733,Parameter!$I$27:$K$29,3,0)),H733,N(N733)),IF(N(Q733)&gt;0,Q733,MAX(1,H733)))))</f>
        <v>7</v>
      </c>
      <c r="BZ733" s="53" t="n">
        <f aca="false">IF(BX733="LOSE",1,0)</f>
        <v>0</v>
      </c>
      <c r="CA733" s="53" t="n">
        <f aca="false">IF(AND(U733="",OR(P733="",P733="LOSE"),T733&lt;&gt;"",N(S733)&lt;=0,ISNUMBER(MATCH(T733,Parameter!$I$27:$I$29,0))),1,0)</f>
        <v>0</v>
      </c>
      <c r="CB733" s="53" t="n">
        <f aca="false">IF(CQ733&gt;0,INDEX(Parameter!$H$5:$H$7,W733)/INDEX(Parameter!$E$5:$E$7,W733),IF(AND(BZ733=0,N(IFERROR(VLOOKUP(BX733,'Gebinde-Kategorie'!$A$5:$N$45,14,0),0))&gt;0),VLOOKUP(BX733,'Gebinde-Kategorie'!$A$5:$N$45,14,0)*10+Parameter!$M$23,Parameter!$M$24))</f>
        <v>155</v>
      </c>
      <c r="CC733" s="48" t="str">
        <f aca="false">IF(AND(Parameter!$B$19="Ja",E733&lt;&gt;"",ISNUMBER(MATCH(E733,Parameter!$I$35:$I$52,0))),VLOOKUP(E733,Parameter!$I$35:$J$52,2,0),IFERROR(VLOOKUP(D733,Parameter!$A$35:$C$64,2,0),"Nein"))</f>
        <v>2+3</v>
      </c>
      <c r="CD733" s="52" t="n">
        <f aca="false">IF(BZ733=0,0,IF(N(S733)&gt;0,S733,IFERROR(VLOOKUP(D733,Parameter!$A$35:$C$64,3,0)+0,0)))</f>
        <v>0</v>
      </c>
      <c r="CE733" s="48" t="n">
        <f aca="false">IF(AA733&lt;&gt;"",AA733,Z733)</f>
        <v>3</v>
      </c>
      <c r="CF733" s="48" t="str">
        <f aca="false">IF(OR(CE733=1,CE733=2,CE733=3),IF(Parameter!$E$27="Ja","LIFT",IF(CE733=1,"L1","L23")),IF(CE733="Aussen","Aussen","-"))</f>
        <v>LIFT</v>
      </c>
      <c r="CG733" s="59" t="n">
        <f aca="false">IF(N(AB733)&gt;0,AB733,0)</f>
        <v>0</v>
      </c>
      <c r="CH733" s="53" t="n">
        <f aca="false">IF(ISNUMBER(AE733),1,0)</f>
        <v>0</v>
      </c>
      <c r="CI733" s="50" t="n">
        <f aca="false">N(AE733)</f>
        <v>0</v>
      </c>
      <c r="CJ733" s="50" t="n">
        <f aca="false">N(M733)+N(N733)</f>
        <v>1</v>
      </c>
      <c r="CK733" s="50" t="n">
        <f aca="false">N(M733)</f>
        <v>0</v>
      </c>
      <c r="CL733" s="50" t="n">
        <f aca="false">N(N733)</f>
        <v>1</v>
      </c>
      <c r="CM733" s="50" t="n">
        <f aca="false">ROUNDUP(H733/BY733,0)</f>
        <v>3</v>
      </c>
      <c r="CN733" s="50" t="n">
        <f aca="false">ROUNDUP(CI733/BY733,0)</f>
        <v>0</v>
      </c>
      <c r="CO733" s="53" t="n">
        <f aca="false">IF(BZ733=1,0,IFERROR(VLOOKUP(BX733,'Gebinde-Kategorie'!$A$5:$N$45,5,0)+0,0))</f>
        <v>8</v>
      </c>
      <c r="CP733" s="53" t="n">
        <f aca="false">IFERROR(IF(OR(CE733=1,CE733=2,CE733=3),N(INDEX(Parameter!$I$5:$I$7,CE733)),0),0)</f>
        <v>0</v>
      </c>
      <c r="CQ733" s="52" t="n">
        <f aca="false">IF(AND(Parameter!$B$21="Ja",ISNUMBER(W733),N(X733)&gt;0),IFERROR(N(INDEX(Parameter!$L$5:$L$7,W733))*INDEX(Parameter!$E$5:$E$7,W733)*X733/SUMIFS($X$7:$X$1843,$W$7:$W$1843,W733),0),0)</f>
        <v>0</v>
      </c>
    </row>
    <row r="734" customFormat="false" ht="15" hidden="false" customHeight="false" outlineLevel="0" collapsed="false">
      <c r="A734" s="48" t="s">
        <v>1463</v>
      </c>
      <c r="B734" s="48" t="s">
        <v>1450</v>
      </c>
      <c r="C734" s="48" t="s">
        <v>173</v>
      </c>
      <c r="D734" s="48" t="s">
        <v>182</v>
      </c>
      <c r="E734" s="48" t="s">
        <v>182</v>
      </c>
      <c r="F734" s="48" t="s">
        <v>227</v>
      </c>
      <c r="G734" s="49" t="n">
        <v>490.5</v>
      </c>
      <c r="H734" s="50" t="n">
        <f aca="false">MAX(0,IF(AND(Parameter!$B$21="Ja",ISNUMBER(Y734)),Y734,IF(Parameter!$B$20="Jahresanfang 2025 + Export",BR734+BQ734,BQ734)))</f>
        <v>0</v>
      </c>
      <c r="I734" s="50" t="n">
        <f aca="false">H734*G734</f>
        <v>0</v>
      </c>
      <c r="J734" s="50" t="n">
        <f aca="false">BT734*Parameter!$B$18</f>
        <v>2</v>
      </c>
      <c r="K734" s="51" t="n">
        <v>0</v>
      </c>
      <c r="L734" s="52" t="n">
        <v>0</v>
      </c>
      <c r="M734" s="50" t="n">
        <v>0</v>
      </c>
      <c r="N734" s="50" t="n">
        <v>1</v>
      </c>
      <c r="O734" s="53" t="n">
        <v>42</v>
      </c>
      <c r="P734" s="48" t="s">
        <v>177</v>
      </c>
      <c r="Q734" s="50"/>
      <c r="R734" s="53" t="n">
        <f aca="false">IF(BZ734=1,0,IFERROR(VLOOKUP(BX734,'Gebinde-Kategorie'!$A$5:$N$45,13,0)+0,0))</f>
        <v>12</v>
      </c>
      <c r="S734" s="54"/>
      <c r="T734" s="55" t="s">
        <v>188</v>
      </c>
      <c r="U734" s="55"/>
      <c r="V734" s="55"/>
      <c r="W734" s="48"/>
      <c r="X734" s="50"/>
      <c r="Y734" s="50"/>
      <c r="Z734" s="48" t="str">
        <f aca="false">IF(A734="","",IF(AND(Parameter!$B$21="Ja",ISNUMBER(W734)),W734,IF(CC734="2+3",IF(ISNUMBER(SEARCH("grosser Artikel",BU734)),2,IFERROR(VLOOKUP(BX734,Parameter!$F$35:$G$64,2,0),2)),IF(OR(CC734="Nein",CC734=""),"-",CC734))))</f>
        <v>-</v>
      </c>
      <c r="AA734" s="55"/>
      <c r="AB734" s="56"/>
      <c r="AC734" s="50" t="n">
        <f aca="false">AV734</f>
        <v>2</v>
      </c>
      <c r="AD734" s="50" t="n">
        <f aca="false">MAX(AV734,H734)</f>
        <v>2</v>
      </c>
      <c r="AE734" s="57"/>
      <c r="AF734" s="50" t="n">
        <f aca="false">IF(LEFT(Cockpit!$C$5,1)="A",H734,IF(Parameter!$E$30="MAX-Bestand",IF(CH734=1,CI734,IF(LEFT(Cockpit!$C$5,1)="B",AL734,MAX(AL734,H734))),ROUNDUP(AJ734,0)))</f>
        <v>0</v>
      </c>
      <c r="AG734" s="50" t="n">
        <f aca="false">IF(BZ734=1,0,ROUNDUP(AF734/BY734,0))</f>
        <v>0</v>
      </c>
      <c r="AH734" s="52" t="n">
        <f aca="false">IF(CQ734&gt;0,CQ734*MAX(1,AF734/X734),IF(BZ734=1,IF(AF734&lt;=0,0,CD734*MAX(1,IF(H734&gt;0,AF734/H734,1))),IF(R734&gt;0,AG734/R734,0))/MAX(0.1,N(Parameter!$M$21)))</f>
        <v>0</v>
      </c>
      <c r="AI734" s="50" t="n">
        <f aca="false">AH734*CB734</f>
        <v>0</v>
      </c>
      <c r="AJ734" s="51" t="n">
        <f aca="false">IF(LEFT(Cockpit!$C$5,1)="A",H734,IF(CH734=1,(CK734+CI734)/2,IF(LEFT(Cockpit!$C$5,1)="B",(CK734+AL734)/2,MAX((CK734+AL734)/2,H734))))</f>
        <v>0</v>
      </c>
      <c r="AK734" s="50" t="n">
        <f aca="false">AJ734*G734</f>
        <v>0</v>
      </c>
      <c r="AL734" s="50" t="n">
        <f aca="false">ROUNDUP(CK734+MAX(CL734,2*(J734/IF(CG734&gt;0,CG734,MAX(0.1,N(Cockpit!$C$6)))-CK734)),0)</f>
        <v>2</v>
      </c>
      <c r="AM734" s="51" t="n">
        <f aca="false">IF(AI734&gt;0,J734/AI734,-1)</f>
        <v>-1</v>
      </c>
      <c r="AN734" s="51" t="str">
        <f aca="false">IF(AND(OR(CF734="L1",CF734="L23",CF734="LIFT"),AI734&gt;0),SUMIFS($AI$7:$AI$1843,$CF$7:$CF$1843,CF734,$AM$7:$AM$1843,"&gt;"&amp;AM734)+SUMIFS($AI$7:$AI$1843,$CF$7:$CF$1843,CF734,$AM$7:$AM$1843,AM734,$BW$7:$BW$1843,"&lt;="&amp;BW734),"")</f>
        <v/>
      </c>
      <c r="AO734" s="58" t="n">
        <f aca="false">IF(AN734="",0,MAX(0,MIN(1,(IF(CF734="L1",Parameter!$H$5,IF(CF734="L23",Parameter!$H$6+Parameter!$H$7,Parameter!$H$5+Parameter!$H$6+Parameter!$H$7))-(AN734-AI734))/AI734)))</f>
        <v>0</v>
      </c>
      <c r="AP734" s="50" t="n">
        <f aca="false">IF(LEFT(Cockpit!$I$5,1)="A",H734,IF(Parameter!$E$30="MAX-Bestand",IF(CH734=1,CI734,IF(LEFT(Cockpit!$I$5,1)="B",AV734,MAX(AV734,H734))),ROUNDUP(AT734,0)))</f>
        <v>1</v>
      </c>
      <c r="AQ734" s="50" t="n">
        <f aca="false">IF(BZ734=1,0,ROUNDUP(AP734/BY734,0))</f>
        <v>1</v>
      </c>
      <c r="AR734" s="52" t="n">
        <f aca="false">IF(CQ734&gt;0,CQ734*MAX(1,AP734/X734),IF(BZ734=1,IF(AP734&lt;=0,0,CD734*MAX(1,IF(H734&gt;0,AP734/H734,1))),IF(R734&gt;0,AQ734/R734,0))/MAX(0.1,N(Parameter!$M$21)))</f>
        <v>0.0833333333333333</v>
      </c>
      <c r="AS734" s="50" t="n">
        <f aca="false">AR734*CB734</f>
        <v>12.0833333333333</v>
      </c>
      <c r="AT734" s="51" t="n">
        <f aca="false">IF(LEFT(Cockpit!$I$5,1)="A",H734,IF(CH734=1,(CK734+CI734)/2,IF(LEFT(Cockpit!$I$5,1)="B",(CK734+AV734)/2,MAX((CK734+AV734)/2,H734))))</f>
        <v>1</v>
      </c>
      <c r="AU734" s="50" t="n">
        <f aca="false">AT734*G734</f>
        <v>490.5</v>
      </c>
      <c r="AV734" s="50" t="n">
        <f aca="false">ROUNDUP(CK734+MAX(CL734,2*(J734/IF(CG734&gt;0,CG734,MAX(0.1,N(Cockpit!$I$6)))-CK734)),0)</f>
        <v>2</v>
      </c>
      <c r="AW734" s="51" t="n">
        <f aca="false">IF(AS734&gt;0,J734/AS734,-1)</f>
        <v>0.16551724137931</v>
      </c>
      <c r="AX734" s="51" t="str">
        <f aca="false">IF(AND(OR(CF734="L1",CF734="L23",CF734="LIFT"),AS734&gt;0),SUMIFS($AS$7:$AS$1843,$CF$7:$CF$1843,CF734,$AW$7:$AW$1843,"&gt;"&amp;AW734)+SUMIFS($AS$7:$AS$1843,$CF$7:$CF$1843,CF734,$AW$7:$AW$1843,AW734,$BW$7:$BW$1843,"&lt;="&amp;BW734),"")</f>
        <v/>
      </c>
      <c r="AY734" s="58" t="n">
        <f aca="false">IF(AX734="",0,MAX(0,MIN(1,(IF(CF734="L1",Parameter!$H$5,IF(CF734="L23",Parameter!$H$6+Parameter!$H$7,Parameter!$H$5+Parameter!$H$6+Parameter!$H$7))-(AX734-AS734))/AS734)))</f>
        <v>0</v>
      </c>
      <c r="AZ734" s="50" t="n">
        <f aca="false">IF(LEFT(Cockpit!$O$5,1)="A",H734,IF(Parameter!$E$30="MAX-Bestand",IF(CH734=1,CI734,IF(LEFT(Cockpit!$O$5,1)="B",BF734,MAX(BF734,H734))),ROUNDUP(BD734,0)))</f>
        <v>1</v>
      </c>
      <c r="BA734" s="50" t="n">
        <f aca="false">IF(BZ734=1,0,ROUNDUP(AZ734/BY734,0))</f>
        <v>1</v>
      </c>
      <c r="BB734" s="52" t="n">
        <f aca="false">IF(CQ734&gt;0,CQ734*MAX(1,AZ734/X734),IF(BZ734=1,IF(AZ734&lt;=0,0,CD734*MAX(1,IF(H734&gt;0,AZ734/H734,1))),IF(R734&gt;0,BA734/R734,0))/MAX(0.1,N(Parameter!$M$21)))</f>
        <v>0.0833333333333333</v>
      </c>
      <c r="BC734" s="50" t="n">
        <f aca="false">BB734*CB734</f>
        <v>12.0833333333333</v>
      </c>
      <c r="BD734" s="51" t="n">
        <f aca="false">IF(LEFT(Cockpit!$O$5,1)="A",H734,IF(CH734=1,(CK734+CI734)/2,IF(LEFT(Cockpit!$O$5,1)="B",(CK734+BF734)/2,MAX((CK734+BF734)/2,H734))))</f>
        <v>0.5</v>
      </c>
      <c r="BE734" s="50" t="n">
        <f aca="false">BD734*G734</f>
        <v>245.25</v>
      </c>
      <c r="BF734" s="50" t="n">
        <f aca="false">ROUNDUP(CK734+MAX(CL734,2*(J734/IF(CG734&gt;0,CG734,MAX(0.1,N(Cockpit!$O$6)))-CK734)),0)</f>
        <v>1</v>
      </c>
      <c r="BG734" s="51" t="n">
        <f aca="false">IF(BC734&gt;0,J734/BC734,-1)</f>
        <v>0.16551724137931</v>
      </c>
      <c r="BH734" s="51" t="str">
        <f aca="false">IF(AND(OR(CF734="L1",CF734="L23",CF734="LIFT"),BC734&gt;0),SUMIFS($BC$7:$BC$1843,$CF$7:$CF$1843,CF734,$BG$7:$BG$1843,"&gt;"&amp;BG734)+SUMIFS($BC$7:$BC$1843,$CF$7:$CF$1843,CF734,$BG$7:$BG$1843,BG734,$BW$7:$BW$1843,"&lt;="&amp;BW734),"")</f>
        <v/>
      </c>
      <c r="BI734" s="58" t="n">
        <f aca="false">IF(BH734="",0,MAX(0,MIN(1,(IF(CF734="L1",Parameter!$H$5,IF(CF734="L23",Parameter!$H$6+Parameter!$H$7,Parameter!$H$5+Parameter!$H$6+Parameter!$H$7))-(BH734-BC734))/BC734)))</f>
        <v>0</v>
      </c>
      <c r="BJ734" s="48" t="str">
        <f aca="false">IF(AI734&lt;=0,"",IF(CF734="Aussen","Aussenlager",IF(CF734="-","Nicht im Lift",IF(AO734&gt;=1,"Lift",IF(AO734&lt;=0,"Aussenlager","teilweise")))))</f>
        <v/>
      </c>
      <c r="BK734" s="48" t="str">
        <f aca="false">IF(AS734&lt;=0,"",IF(CF734="Aussen","Aussenlager",IF(CF734="-","Nicht im Lift",IF(AY734&gt;=1,"Lift",IF(AY734&lt;=0,"Aussenlager","teilweise")))))</f>
        <v>Nicht im Lift</v>
      </c>
      <c r="BL734" s="48" t="str">
        <f aca="false">IF(BC734&lt;=0,"",IF(CF734="Aussen","Aussenlager",IF(CF734="-","Nicht im Lift",IF(BI734&gt;=1,"Lift",IF(BI734&lt;=0,"Aussenlager","teilweise")))))</f>
        <v>Nicht im Lift</v>
      </c>
      <c r="BM734" s="48" t="str">
        <f aca="false">IF(A734="","",IF(BV734=1,"Neu; ","")&amp;IF(AND(BV734=0,BQ734&lt;0),"negativer Bestand (Export "&amp;BQ734&amp;"); ","")&amp;IF(J734&lt;=0,"Kein Verbrauch; ","")&amp;IF(CQ734&gt;0,"Lift "&amp;W734&amp;" lt. Liftbericht (Fach "&amp;X734&amp;" Stk); ",IF(CA734=1,"Gebinde geschätzt ("&amp;T734&amp;"); ",IF(BZ734=1,"Lose – Tablare geschätzt; ","")))&amp;IF(H734&gt;AV734,"Überbestand "&amp;ROUND(H734-AV734,0)&amp;" Stk / CHF "&amp;ROUND((H734-AV734)*G734,0)&amp;"; ","")&amp;IF(AND(CH734=1,CI734&lt;CJ734),"MAX &lt; MB+LG; ","")&amp;IF(AND(CP734&gt;0,CO734*10&gt;CP734),"zu hoch für Tablar; ","")&amp;IF(AND(BV734=0,OR(CH734=1,AA734&lt;&gt;"",U734&lt;&gt;"",V734&lt;&gt;"",AB734&lt;&gt;"")),"manuell übersteuert; ","")&amp;IF(AND(BZ734=0,R734=0),"Gebinde unbekannt / Stellmass fehlt; ","")&amp;IF(AND(BZ734=0,N(V734)&lt;=0,N(Q734)&lt;=0),"Menge pro Gebinde fehlt (Ist = 1 Gebinde); ","")&amp;BU734)</f>
        <v>Gebinde geschätzt (Mittel); Menge pro Gebinde fehlt (Ist = 1 Gebinde); </v>
      </c>
      <c r="BN734" s="48"/>
      <c r="BO734" s="48"/>
      <c r="BP734" s="55"/>
      <c r="BQ734" s="50" t="n">
        <v>0</v>
      </c>
      <c r="BR734" s="50" t="n">
        <v>0</v>
      </c>
      <c r="BS734" s="49" t="n">
        <v>0</v>
      </c>
      <c r="BT734" s="50" t="n">
        <v>2</v>
      </c>
      <c r="BU734" s="48"/>
      <c r="BV734" s="53" t="n">
        <v>0</v>
      </c>
      <c r="BW734" s="53" t="n">
        <v>734</v>
      </c>
      <c r="BX734" s="48" t="str">
        <f aca="false">IF(U734&lt;&gt;"",UPPER(TRIM(U734)),IF(CA734=1,UPPER(VLOOKUP(T734,Parameter!$I$27:$K$29,2,0)),IF(P734="","LOSE",P734)))</f>
        <v>S61</v>
      </c>
      <c r="BY734" s="50" t="n">
        <f aca="false">IF(BX734="LOSE",1,IF(N(V734)&gt;0,V734,IF(CA734=1,MAX(1,N(VLOOKUP(T734,Parameter!$I$27:$K$29,3,0)),H734,N(N734)),IF(N(Q734)&gt;0,Q734,MAX(1,H734)))))</f>
        <v>4</v>
      </c>
      <c r="BZ734" s="53" t="n">
        <f aca="false">IF(BX734="LOSE",1,0)</f>
        <v>0</v>
      </c>
      <c r="CA734" s="53" t="n">
        <f aca="false">IF(AND(U734="",OR(P734="",P734="LOSE"),T734&lt;&gt;"",N(S734)&lt;=0,ISNUMBER(MATCH(T734,Parameter!$I$27:$I$29,0))),1,0)</f>
        <v>1</v>
      </c>
      <c r="CB734" s="53" t="n">
        <f aca="false">IF(CQ734&gt;0,INDEX(Parameter!$H$5:$H$7,W734)/INDEX(Parameter!$E$5:$E$7,W734),IF(AND(BZ734=0,N(IFERROR(VLOOKUP(BX734,'Gebinde-Kategorie'!$A$5:$N$45,14,0),0))&gt;0),VLOOKUP(BX734,'Gebinde-Kategorie'!$A$5:$N$45,14,0)*10+Parameter!$M$23,Parameter!$M$24))</f>
        <v>145</v>
      </c>
      <c r="CC734" s="48" t="str">
        <f aca="false">IF(AND(Parameter!$B$19="Ja",E734&lt;&gt;"",ISNUMBER(MATCH(E734,Parameter!$I$35:$I$52,0))),VLOOKUP(E734,Parameter!$I$35:$J$52,2,0),IFERROR(VLOOKUP(D734,Parameter!$A$35:$C$64,2,0),"Nein"))</f>
        <v>Nein</v>
      </c>
      <c r="CD734" s="52" t="n">
        <f aca="false">IF(BZ734=0,0,IF(N(S734)&gt;0,S734,IFERROR(VLOOKUP(D734,Parameter!$A$35:$C$64,3,0)+0,0)))</f>
        <v>0</v>
      </c>
      <c r="CE734" s="48" t="str">
        <f aca="false">IF(AA734&lt;&gt;"",AA734,Z734)</f>
        <v>-</v>
      </c>
      <c r="CF734" s="48" t="str">
        <f aca="false">IF(OR(CE734=1,CE734=2,CE734=3),IF(Parameter!$E$27="Ja","LIFT",IF(CE734=1,"L1","L23")),IF(CE734="Aussen","Aussen","-"))</f>
        <v>-</v>
      </c>
      <c r="CG734" s="59" t="n">
        <f aca="false">IF(N(AB734)&gt;0,AB734,0)</f>
        <v>0</v>
      </c>
      <c r="CH734" s="53" t="n">
        <f aca="false">IF(ISNUMBER(AE734),1,0)</f>
        <v>0</v>
      </c>
      <c r="CI734" s="50" t="n">
        <f aca="false">N(AE734)</f>
        <v>0</v>
      </c>
      <c r="CJ734" s="50" t="n">
        <f aca="false">N(M734)+N(N734)</f>
        <v>1</v>
      </c>
      <c r="CK734" s="50" t="n">
        <f aca="false">N(M734)</f>
        <v>0</v>
      </c>
      <c r="CL734" s="50" t="n">
        <f aca="false">N(N734)</f>
        <v>1</v>
      </c>
      <c r="CM734" s="50" t="n">
        <f aca="false">ROUNDUP(H734/BY734,0)</f>
        <v>0</v>
      </c>
      <c r="CN734" s="50" t="n">
        <f aca="false">ROUNDUP(CI734/BY734,0)</f>
        <v>0</v>
      </c>
      <c r="CO734" s="53" t="n">
        <f aca="false">IF(BZ734=1,0,IFERROR(VLOOKUP(BX734,'Gebinde-Kategorie'!$A$5:$N$45,5,0)+0,0))</f>
        <v>11</v>
      </c>
      <c r="CP734" s="53" t="n">
        <f aca="false">IFERROR(IF(OR(CE734=1,CE734=2,CE734=3),N(INDEX(Parameter!$I$5:$I$7,CE734)),0),0)</f>
        <v>0</v>
      </c>
      <c r="CQ734" s="52" t="n">
        <f aca="false">IF(AND(Parameter!$B$21="Ja",ISNUMBER(W734),N(X734)&gt;0),IFERROR(N(INDEX(Parameter!$L$5:$L$7,W734))*INDEX(Parameter!$E$5:$E$7,W734)*X734/SUMIFS($X$7:$X$1843,$W$7:$W$1843,W734),0),0)</f>
        <v>0</v>
      </c>
    </row>
    <row r="735" customFormat="false" ht="15" hidden="false" customHeight="false" outlineLevel="0" collapsed="false">
      <c r="A735" s="48" t="s">
        <v>1464</v>
      </c>
      <c r="B735" s="48" t="s">
        <v>1465</v>
      </c>
      <c r="C735" s="48" t="s">
        <v>173</v>
      </c>
      <c r="D735" s="48" t="s">
        <v>193</v>
      </c>
      <c r="E735" s="48"/>
      <c r="F735" s="48" t="s">
        <v>227</v>
      </c>
      <c r="G735" s="49" t="n">
        <v>0</v>
      </c>
      <c r="H735" s="50" t="n">
        <f aca="false">MAX(0,IF(AND(Parameter!$B$21="Ja",ISNUMBER(Y735)),Y735,IF(Parameter!$B$20="Jahresanfang 2025 + Export",BR735+BQ735,BQ735)))</f>
        <v>0</v>
      </c>
      <c r="I735" s="50" t="n">
        <f aca="false">H735*G735</f>
        <v>0</v>
      </c>
      <c r="J735" s="50" t="n">
        <f aca="false">BT735*Parameter!$B$18</f>
        <v>0</v>
      </c>
      <c r="K735" s="51" t="n">
        <v>0.5</v>
      </c>
      <c r="L735" s="52" t="n">
        <v>0</v>
      </c>
      <c r="M735" s="50" t="n">
        <v>0</v>
      </c>
      <c r="N735" s="50" t="n">
        <v>1</v>
      </c>
      <c r="O735" s="53" t="n">
        <v>14</v>
      </c>
      <c r="P735" s="48" t="s">
        <v>177</v>
      </c>
      <c r="Q735" s="50"/>
      <c r="R735" s="53" t="n">
        <f aca="false">IF(BZ735=1,0,IFERROR(VLOOKUP(BX735,'Gebinde-Kategorie'!$A$5:$N$45,13,0)+0,0))</f>
        <v>26</v>
      </c>
      <c r="S735" s="54"/>
      <c r="T735" s="55" t="s">
        <v>284</v>
      </c>
      <c r="U735" s="55"/>
      <c r="V735" s="55"/>
      <c r="W735" s="48"/>
      <c r="X735" s="50"/>
      <c r="Y735" s="50"/>
      <c r="Z735" s="48" t="n">
        <f aca="false">IF(A735="","",IF(AND(Parameter!$B$21="Ja",ISNUMBER(W735)),W735,IF(CC735="2+3",IF(ISNUMBER(SEARCH("grosser Artikel",BU735)),2,IFERROR(VLOOKUP(BX735,Parameter!$F$35:$G$64,2,0),2)),IF(OR(CC735="Nein",CC735=""),"-",CC735))))</f>
        <v>3</v>
      </c>
      <c r="AA735" s="55"/>
      <c r="AB735" s="56"/>
      <c r="AC735" s="50" t="n">
        <f aca="false">AV735</f>
        <v>1</v>
      </c>
      <c r="AD735" s="50" t="n">
        <f aca="false">MAX(AV735,H735)</f>
        <v>1</v>
      </c>
      <c r="AE735" s="57"/>
      <c r="AF735" s="50" t="n">
        <f aca="false">IF(LEFT(Cockpit!$C$5,1)="A",H735,IF(Parameter!$E$30="MAX-Bestand",IF(CH735=1,CI735,IF(LEFT(Cockpit!$C$5,1)="B",AL735,MAX(AL735,H735))),ROUNDUP(AJ735,0)))</f>
        <v>0</v>
      </c>
      <c r="AG735" s="50" t="n">
        <f aca="false">IF(BZ735=1,0,ROUNDUP(AF735/BY735,0))</f>
        <v>0</v>
      </c>
      <c r="AH735" s="52" t="n">
        <f aca="false">IF(CQ735&gt;0,CQ735*MAX(1,AF735/X735),IF(BZ735=1,IF(AF735&lt;=0,0,CD735*MAX(1,IF(H735&gt;0,AF735/H735,1))),IF(R735&gt;0,AG735/R735,0))/MAX(0.1,N(Parameter!$M$21)))</f>
        <v>0</v>
      </c>
      <c r="AI735" s="50" t="n">
        <f aca="false">AH735*CB735</f>
        <v>0</v>
      </c>
      <c r="AJ735" s="51" t="n">
        <f aca="false">IF(LEFT(Cockpit!$C$5,1)="A",H735,IF(CH735=1,(CK735+CI735)/2,IF(LEFT(Cockpit!$C$5,1)="B",(CK735+AL735)/2,MAX((CK735+AL735)/2,H735))))</f>
        <v>0</v>
      </c>
      <c r="AK735" s="50" t="n">
        <f aca="false">AJ735*G735</f>
        <v>0</v>
      </c>
      <c r="AL735" s="50" t="n">
        <f aca="false">ROUNDUP(CK735+MAX(CL735,2*(J735/IF(CG735&gt;0,CG735,MAX(0.1,N(Cockpit!$C$6)))-CK735)),0)</f>
        <v>1</v>
      </c>
      <c r="AM735" s="51" t="n">
        <f aca="false">IF(AI735&gt;0,J735/AI735,-1)</f>
        <v>-1</v>
      </c>
      <c r="AN735" s="51" t="str">
        <f aca="false">IF(AND(OR(CF735="L1",CF735="L23",CF735="LIFT"),AI735&gt;0),SUMIFS($AI$7:$AI$1843,$CF$7:$CF$1843,CF735,$AM$7:$AM$1843,"&gt;"&amp;AM735)+SUMIFS($AI$7:$AI$1843,$CF$7:$CF$1843,CF735,$AM$7:$AM$1843,AM735,$BW$7:$BW$1843,"&lt;="&amp;BW735),"")</f>
        <v/>
      </c>
      <c r="AO735" s="58" t="n">
        <f aca="false">IF(AN735="",0,MAX(0,MIN(1,(IF(CF735="L1",Parameter!$H$5,IF(CF735="L23",Parameter!$H$6+Parameter!$H$7,Parameter!$H$5+Parameter!$H$6+Parameter!$H$7))-(AN735-AI735))/AI735)))</f>
        <v>0</v>
      </c>
      <c r="AP735" s="50" t="n">
        <f aca="false">IF(LEFT(Cockpit!$I$5,1)="A",H735,IF(Parameter!$E$30="MAX-Bestand",IF(CH735=1,CI735,IF(LEFT(Cockpit!$I$5,1)="B",AV735,MAX(AV735,H735))),ROUNDUP(AT735,0)))</f>
        <v>1</v>
      </c>
      <c r="AQ735" s="50" t="n">
        <f aca="false">IF(BZ735=1,0,ROUNDUP(AP735/BY735,0))</f>
        <v>1</v>
      </c>
      <c r="AR735" s="52" t="n">
        <f aca="false">IF(CQ735&gt;0,CQ735*MAX(1,AP735/X735),IF(BZ735=1,IF(AP735&lt;=0,0,CD735*MAX(1,IF(H735&gt;0,AP735/H735,1))),IF(R735&gt;0,AQ735/R735,0))/MAX(0.1,N(Parameter!$M$21)))</f>
        <v>0.0384615384615385</v>
      </c>
      <c r="AS735" s="50" t="n">
        <f aca="false">AR735*CB735</f>
        <v>5.96153846153846</v>
      </c>
      <c r="AT735" s="51" t="n">
        <f aca="false">IF(LEFT(Cockpit!$I$5,1)="A",H735,IF(CH735=1,(CK735+CI735)/2,IF(LEFT(Cockpit!$I$5,1)="B",(CK735+AV735)/2,MAX((CK735+AV735)/2,H735))))</f>
        <v>0.5</v>
      </c>
      <c r="AU735" s="50" t="n">
        <f aca="false">AT735*G735</f>
        <v>0</v>
      </c>
      <c r="AV735" s="50" t="n">
        <f aca="false">ROUNDUP(CK735+MAX(CL735,2*(J735/IF(CG735&gt;0,CG735,MAX(0.1,N(Cockpit!$I$6)))-CK735)),0)</f>
        <v>1</v>
      </c>
      <c r="AW735" s="51" t="n">
        <f aca="false">IF(AS735&gt;0,J735/AS735,-1)</f>
        <v>0</v>
      </c>
      <c r="AX735" s="51" t="n">
        <f aca="false">IF(AND(OR(CF735="L1",CF735="L23",CF735="LIFT"),AS735&gt;0),SUMIFS($AS$7:$AS$1843,$CF$7:$CF$1843,CF735,$AW$7:$AW$1843,"&gt;"&amp;AW735)+SUMIFS($AS$7:$AS$1843,$CF$7:$CF$1843,CF735,$AW$7:$AW$1843,AW735,$BW$7:$BW$1843,"&lt;="&amp;BW735),"")</f>
        <v>34254.7976190476</v>
      </c>
      <c r="AY735" s="58" t="n">
        <f aca="false">IF(AX735="",0,MAX(0,MIN(1,(IF(CF735="L1",Parameter!$H$5,IF(CF735="L23",Parameter!$H$6+Parameter!$H$7,Parameter!$H$5+Parameter!$H$6+Parameter!$H$7))-(AX735-AS735))/AS735)))</f>
        <v>1</v>
      </c>
      <c r="AZ735" s="50" t="n">
        <f aca="false">IF(LEFT(Cockpit!$O$5,1)="A",H735,IF(Parameter!$E$30="MAX-Bestand",IF(CH735=1,CI735,IF(LEFT(Cockpit!$O$5,1)="B",BF735,MAX(BF735,H735))),ROUNDUP(BD735,0)))</f>
        <v>1</v>
      </c>
      <c r="BA735" s="50" t="n">
        <f aca="false">IF(BZ735=1,0,ROUNDUP(AZ735/BY735,0))</f>
        <v>1</v>
      </c>
      <c r="BB735" s="52" t="n">
        <f aca="false">IF(CQ735&gt;0,CQ735*MAX(1,AZ735/X735),IF(BZ735=1,IF(AZ735&lt;=0,0,CD735*MAX(1,IF(H735&gt;0,AZ735/H735,1))),IF(R735&gt;0,BA735/R735,0))/MAX(0.1,N(Parameter!$M$21)))</f>
        <v>0.0384615384615385</v>
      </c>
      <c r="BC735" s="50" t="n">
        <f aca="false">BB735*CB735</f>
        <v>5.96153846153846</v>
      </c>
      <c r="BD735" s="51" t="n">
        <f aca="false">IF(LEFT(Cockpit!$O$5,1)="A",H735,IF(CH735=1,(CK735+CI735)/2,IF(LEFT(Cockpit!$O$5,1)="B",(CK735+BF735)/2,MAX((CK735+BF735)/2,H735))))</f>
        <v>0.5</v>
      </c>
      <c r="BE735" s="50" t="n">
        <f aca="false">BD735*G735</f>
        <v>0</v>
      </c>
      <c r="BF735" s="50" t="n">
        <f aca="false">ROUNDUP(CK735+MAX(CL735,2*(J735/IF(CG735&gt;0,CG735,MAX(0.1,N(Cockpit!$O$6)))-CK735)),0)</f>
        <v>1</v>
      </c>
      <c r="BG735" s="51" t="n">
        <f aca="false">IF(BC735&gt;0,J735/BC735,-1)</f>
        <v>0</v>
      </c>
      <c r="BH735" s="51" t="n">
        <f aca="false">IF(AND(OR(CF735="L1",CF735="L23",CF735="LIFT"),BC735&gt;0),SUMIFS($BC$7:$BC$1843,$CF$7:$CF$1843,CF735,$BG$7:$BG$1843,"&gt;"&amp;BG735)+SUMIFS($BC$7:$BC$1843,$CF$7:$CF$1843,CF735,$BG$7:$BG$1843,BG735,$BW$7:$BW$1843,"&lt;="&amp;BW735),"")</f>
        <v>28316.7123378034</v>
      </c>
      <c r="BI735" s="58" t="n">
        <f aca="false">IF(BH735="",0,MAX(0,MIN(1,(IF(CF735="L1",Parameter!$H$5,IF(CF735="L23",Parameter!$H$6+Parameter!$H$7,Parameter!$H$5+Parameter!$H$6+Parameter!$H$7))-(BH735-BC735))/BC735)))</f>
        <v>1</v>
      </c>
      <c r="BJ735" s="48" t="str">
        <f aca="false">IF(AI735&lt;=0,"",IF(CF735="Aussen","Aussenlager",IF(CF735="-","Nicht im Lift",IF(AO735&gt;=1,"Lift",IF(AO735&lt;=0,"Aussenlager","teilweise")))))</f>
        <v/>
      </c>
      <c r="BK735" s="48" t="str">
        <f aca="false">IF(AS735&lt;=0,"",IF(CF735="Aussen","Aussenlager",IF(CF735="-","Nicht im Lift",IF(AY735&gt;=1,"Lift",IF(AY735&lt;=0,"Aussenlager","teilweise")))))</f>
        <v>Lift</v>
      </c>
      <c r="BL735" s="48" t="str">
        <f aca="false">IF(BC735&lt;=0,"",IF(CF735="Aussen","Aussenlager",IF(CF735="-","Nicht im Lift",IF(BI735&gt;=1,"Lift",IF(BI735&lt;=0,"Aussenlager","teilweise")))))</f>
        <v>Lift</v>
      </c>
      <c r="BM735" s="48" t="str">
        <f aca="false">IF(A735="","",IF(BV735=1,"Neu; ","")&amp;IF(AND(BV735=0,BQ735&lt;0),"negativer Bestand (Export "&amp;BQ735&amp;"); ","")&amp;IF(J735&lt;=0,"Kein Verbrauch; ","")&amp;IF(CQ735&gt;0,"Lift "&amp;W735&amp;" lt. Liftbericht (Fach "&amp;X735&amp;" Stk); ",IF(CA735=1,"Gebinde geschätzt ("&amp;T735&amp;"); ",IF(BZ735=1,"Lose – Tablare geschätzt; ","")))&amp;IF(H735&gt;AV735,"Überbestand "&amp;ROUND(H735-AV735,0)&amp;" Stk / CHF "&amp;ROUND((H735-AV735)*G735,0)&amp;"; ","")&amp;IF(AND(CH735=1,CI735&lt;CJ735),"MAX &lt; MB+LG; ","")&amp;IF(AND(CP735&gt;0,CO735*10&gt;CP735),"zu hoch für Tablar; ","")&amp;IF(AND(BV735=0,OR(CH735=1,AA735&lt;&gt;"",U735&lt;&gt;"",V735&lt;&gt;"",AB735&lt;&gt;"")),"manuell übersteuert; ","")&amp;IF(AND(BZ735=0,R735=0),"Gebinde unbekannt / Stellmass fehlt; ","")&amp;IF(AND(BZ735=0,N(V735)&lt;=0,N(Q735)&lt;=0),"Menge pro Gebinde fehlt (Ist = 1 Gebinde); ","")&amp;BU735)</f>
        <v>negativer Bestand (Export -1); Kein Verbrauch; Gebinde geschätzt (Klein); Menge pro Gebinde fehlt (Ist = 1 Gebinde); </v>
      </c>
      <c r="BN735" s="48"/>
      <c r="BO735" s="48"/>
      <c r="BP735" s="55"/>
      <c r="BQ735" s="50" t="n">
        <v>-1</v>
      </c>
      <c r="BR735" s="50" t="n">
        <v>1</v>
      </c>
      <c r="BS735" s="49" t="n">
        <v>0</v>
      </c>
      <c r="BT735" s="50" t="n">
        <v>0</v>
      </c>
      <c r="BU735" s="48"/>
      <c r="BV735" s="53" t="n">
        <v>0</v>
      </c>
      <c r="BW735" s="53" t="n">
        <v>735</v>
      </c>
      <c r="BX735" s="48" t="str">
        <f aca="false">IF(U735&lt;&gt;"",UPPER(TRIM(U735)),IF(CA735=1,UPPER(VLOOKUP(T735,Parameter!$I$27:$K$29,2,0)),IF(P735="","LOSE",P735)))</f>
        <v>S51</v>
      </c>
      <c r="BY735" s="50" t="n">
        <f aca="false">IF(BX735="LOSE",1,IF(N(V735)&gt;0,V735,IF(CA735=1,MAX(1,N(VLOOKUP(T735,Parameter!$I$27:$K$29,3,0)),H735,N(N735)),IF(N(Q735)&gt;0,Q735,MAX(1,H735)))))</f>
        <v>20</v>
      </c>
      <c r="BZ735" s="53" t="n">
        <f aca="false">IF(BX735="LOSE",1,0)</f>
        <v>0</v>
      </c>
      <c r="CA735" s="53" t="n">
        <f aca="false">IF(AND(U735="",OR(P735="",P735="LOSE"),T735&lt;&gt;"",N(S735)&lt;=0,ISNUMBER(MATCH(T735,Parameter!$I$27:$I$29,0))),1,0)</f>
        <v>1</v>
      </c>
      <c r="CB735" s="53" t="n">
        <f aca="false">IF(CQ735&gt;0,INDEX(Parameter!$H$5:$H$7,W735)/INDEX(Parameter!$E$5:$E$7,W735),IF(AND(BZ735=0,N(IFERROR(VLOOKUP(BX735,'Gebinde-Kategorie'!$A$5:$N$45,14,0),0))&gt;0),VLOOKUP(BX735,'Gebinde-Kategorie'!$A$5:$N$45,14,0)*10+Parameter!$M$23,Parameter!$M$24))</f>
        <v>155</v>
      </c>
      <c r="CC735" s="48" t="str">
        <f aca="false">IF(AND(Parameter!$B$19="Ja",E735&lt;&gt;"",ISNUMBER(MATCH(E735,Parameter!$I$35:$I$52,0))),VLOOKUP(E735,Parameter!$I$35:$J$52,2,0),IFERROR(VLOOKUP(D735,Parameter!$A$35:$C$64,2,0),"Nein"))</f>
        <v>2+3</v>
      </c>
      <c r="CD735" s="52" t="n">
        <f aca="false">IF(BZ735=0,0,IF(N(S735)&gt;0,S735,IFERROR(VLOOKUP(D735,Parameter!$A$35:$C$64,3,0)+0,0)))</f>
        <v>0</v>
      </c>
      <c r="CE735" s="48" t="n">
        <f aca="false">IF(AA735&lt;&gt;"",AA735,Z735)</f>
        <v>3</v>
      </c>
      <c r="CF735" s="48" t="str">
        <f aca="false">IF(OR(CE735=1,CE735=2,CE735=3),IF(Parameter!$E$27="Ja","LIFT",IF(CE735=1,"L1","L23")),IF(CE735="Aussen","Aussen","-"))</f>
        <v>LIFT</v>
      </c>
      <c r="CG735" s="59" t="n">
        <f aca="false">IF(N(AB735)&gt;0,AB735,0)</f>
        <v>0</v>
      </c>
      <c r="CH735" s="53" t="n">
        <f aca="false">IF(ISNUMBER(AE735),1,0)</f>
        <v>0</v>
      </c>
      <c r="CI735" s="50" t="n">
        <f aca="false">N(AE735)</f>
        <v>0</v>
      </c>
      <c r="CJ735" s="50" t="n">
        <f aca="false">N(M735)+N(N735)</f>
        <v>1</v>
      </c>
      <c r="CK735" s="50" t="n">
        <f aca="false">N(M735)</f>
        <v>0</v>
      </c>
      <c r="CL735" s="50" t="n">
        <f aca="false">N(N735)</f>
        <v>1</v>
      </c>
      <c r="CM735" s="50" t="n">
        <f aca="false">ROUNDUP(H735/BY735,0)</f>
        <v>0</v>
      </c>
      <c r="CN735" s="50" t="n">
        <f aca="false">ROUNDUP(CI735/BY735,0)</f>
        <v>0</v>
      </c>
      <c r="CO735" s="53" t="n">
        <f aca="false">IF(BZ735=1,0,IFERROR(VLOOKUP(BX735,'Gebinde-Kategorie'!$A$5:$N$45,5,0)+0,0))</f>
        <v>11</v>
      </c>
      <c r="CP735" s="53" t="n">
        <f aca="false">IFERROR(IF(OR(CE735=1,CE735=2,CE735=3),N(INDEX(Parameter!$I$5:$I$7,CE735)),0),0)</f>
        <v>0</v>
      </c>
      <c r="CQ735" s="52" t="n">
        <f aca="false">IF(AND(Parameter!$B$21="Ja",ISNUMBER(W735),N(X735)&gt;0),IFERROR(N(INDEX(Parameter!$L$5:$L$7,W735))*INDEX(Parameter!$E$5:$E$7,W735)*X735/SUMIFS($X$7:$X$1843,$W$7:$W$1843,W735),0),0)</f>
        <v>0</v>
      </c>
    </row>
    <row r="736" customFormat="false" ht="15" hidden="false" customHeight="false" outlineLevel="0" collapsed="false">
      <c r="A736" s="48" t="s">
        <v>1466</v>
      </c>
      <c r="B736" s="48" t="s">
        <v>1467</v>
      </c>
      <c r="C736" s="48" t="s">
        <v>173</v>
      </c>
      <c r="D736" s="48" t="s">
        <v>193</v>
      </c>
      <c r="E736" s="48"/>
      <c r="F736" s="48" t="s">
        <v>227</v>
      </c>
      <c r="G736" s="49" t="n">
        <v>16.35</v>
      </c>
      <c r="H736" s="50" t="n">
        <f aca="false">MAX(0,IF(AND(Parameter!$B$21="Ja",ISNUMBER(Y736)),Y736,IF(Parameter!$B$20="Jahresanfang 2025 + Export",BR736+BQ736,BQ736)))</f>
        <v>0</v>
      </c>
      <c r="I736" s="50" t="n">
        <f aca="false">H736*G736</f>
        <v>0</v>
      </c>
      <c r="J736" s="50" t="n">
        <f aca="false">BT736*Parameter!$B$18</f>
        <v>72</v>
      </c>
      <c r="K736" s="51" t="n">
        <v>0</v>
      </c>
      <c r="L736" s="52" t="n">
        <v>0</v>
      </c>
      <c r="M736" s="50" t="n">
        <v>0</v>
      </c>
      <c r="N736" s="50" t="n">
        <v>0</v>
      </c>
      <c r="O736" s="53" t="n">
        <v>21</v>
      </c>
      <c r="P736" s="48" t="s">
        <v>177</v>
      </c>
      <c r="Q736" s="50"/>
      <c r="R736" s="53" t="n">
        <f aca="false">IF(BZ736=1,0,IFERROR(VLOOKUP(BX736,'Gebinde-Kategorie'!$A$5:$N$45,13,0)+0,0))</f>
        <v>4</v>
      </c>
      <c r="S736" s="54"/>
      <c r="T736" s="55" t="s">
        <v>198</v>
      </c>
      <c r="U736" s="55"/>
      <c r="V736" s="55"/>
      <c r="W736" s="48"/>
      <c r="X736" s="50"/>
      <c r="Y736" s="50"/>
      <c r="Z736" s="48" t="n">
        <f aca="false">IF(A736="","",IF(AND(Parameter!$B$21="Ja",ISNUMBER(W736)),W736,IF(CC736="2+3",IF(ISNUMBER(SEARCH("grosser Artikel",BU736)),2,IFERROR(VLOOKUP(BX736,Parameter!$F$35:$G$64,2,0),2)),IF(OR(CC736="Nein",CC736=""),"-",CC736))))</f>
        <v>2</v>
      </c>
      <c r="AA736" s="55"/>
      <c r="AB736" s="56"/>
      <c r="AC736" s="50" t="n">
        <f aca="false">AV736</f>
        <v>48</v>
      </c>
      <c r="AD736" s="50" t="n">
        <f aca="false">MAX(AV736,H736)</f>
        <v>48</v>
      </c>
      <c r="AE736" s="57"/>
      <c r="AF736" s="50" t="n">
        <f aca="false">IF(LEFT(Cockpit!$C$5,1)="A",H736,IF(Parameter!$E$30="MAX-Bestand",IF(CH736=1,CI736,IF(LEFT(Cockpit!$C$5,1)="B",AL736,MAX(AL736,H736))),ROUNDUP(AJ736,0)))</f>
        <v>0</v>
      </c>
      <c r="AG736" s="50" t="n">
        <f aca="false">IF(BZ736=1,0,ROUNDUP(AF736/BY736,0))</f>
        <v>0</v>
      </c>
      <c r="AH736" s="52" t="n">
        <f aca="false">IF(CQ736&gt;0,CQ736*MAX(1,AF736/X736),IF(BZ736=1,IF(AF736&lt;=0,0,CD736*MAX(1,IF(H736&gt;0,AF736/H736,1))),IF(R736&gt;0,AG736/R736,0))/MAX(0.1,N(Parameter!$M$21)))</f>
        <v>0</v>
      </c>
      <c r="AI736" s="50" t="n">
        <f aca="false">AH736*CB736</f>
        <v>0</v>
      </c>
      <c r="AJ736" s="51" t="n">
        <f aca="false">IF(LEFT(Cockpit!$C$5,1)="A",H736,IF(CH736=1,(CK736+CI736)/2,IF(LEFT(Cockpit!$C$5,1)="B",(CK736+AL736)/2,MAX((CK736+AL736)/2,H736))))</f>
        <v>0</v>
      </c>
      <c r="AK736" s="50" t="n">
        <f aca="false">AJ736*G736</f>
        <v>0</v>
      </c>
      <c r="AL736" s="50" t="n">
        <f aca="false">ROUNDUP(CK736+MAX(CL736,2*(J736/IF(CG736&gt;0,CG736,MAX(0.1,N(Cockpit!$C$6)))-CK736)),0)</f>
        <v>48</v>
      </c>
      <c r="AM736" s="51" t="n">
        <f aca="false">IF(AI736&gt;0,J736/AI736,-1)</f>
        <v>-1</v>
      </c>
      <c r="AN736" s="51" t="str">
        <f aca="false">IF(AND(OR(CF736="L1",CF736="L23",CF736="LIFT"),AI736&gt;0),SUMIFS($AI$7:$AI$1843,$CF$7:$CF$1843,CF736,$AM$7:$AM$1843,"&gt;"&amp;AM736)+SUMIFS($AI$7:$AI$1843,$CF$7:$CF$1843,CF736,$AM$7:$AM$1843,AM736,$BW$7:$BW$1843,"&lt;="&amp;BW736),"")</f>
        <v/>
      </c>
      <c r="AO736" s="58" t="n">
        <f aca="false">IF(AN736="",0,MAX(0,MIN(1,(IF(CF736="L1",Parameter!$H$5,IF(CF736="L23",Parameter!$H$6+Parameter!$H$7,Parameter!$H$5+Parameter!$H$6+Parameter!$H$7))-(AN736-AI736))/AI736)))</f>
        <v>0</v>
      </c>
      <c r="AP736" s="50" t="n">
        <f aca="false">IF(LEFT(Cockpit!$I$5,1)="A",H736,IF(Parameter!$E$30="MAX-Bestand",IF(CH736=1,CI736,IF(LEFT(Cockpit!$I$5,1)="B",AV736,MAX(AV736,H736))),ROUNDUP(AT736,0)))</f>
        <v>24</v>
      </c>
      <c r="AQ736" s="50" t="n">
        <f aca="false">IF(BZ736=1,0,ROUNDUP(AP736/BY736,0))</f>
        <v>12</v>
      </c>
      <c r="AR736" s="52" t="n">
        <f aca="false">IF(CQ736&gt;0,CQ736*MAX(1,AP736/X736),IF(BZ736=1,IF(AP736&lt;=0,0,CD736*MAX(1,IF(H736&gt;0,AP736/H736,1))),IF(R736&gt;0,AQ736/R736,0))/MAX(0.1,N(Parameter!$M$21)))</f>
        <v>3</v>
      </c>
      <c r="AS736" s="50" t="n">
        <f aca="false">AR736*CB736</f>
        <v>705</v>
      </c>
      <c r="AT736" s="51" t="n">
        <f aca="false">IF(LEFT(Cockpit!$I$5,1)="A",H736,IF(CH736=1,(CK736+CI736)/2,IF(LEFT(Cockpit!$I$5,1)="B",(CK736+AV736)/2,MAX((CK736+AV736)/2,H736))))</f>
        <v>24</v>
      </c>
      <c r="AU736" s="50" t="n">
        <f aca="false">AT736*G736</f>
        <v>392.4</v>
      </c>
      <c r="AV736" s="50" t="n">
        <f aca="false">ROUNDUP(CK736+MAX(CL736,2*(J736/IF(CG736&gt;0,CG736,MAX(0.1,N(Cockpit!$I$6)))-CK736)),0)</f>
        <v>48</v>
      </c>
      <c r="AW736" s="51" t="n">
        <f aca="false">IF(AS736&gt;0,J736/AS736,-1)</f>
        <v>0.102127659574468</v>
      </c>
      <c r="AX736" s="51" t="n">
        <f aca="false">IF(AND(OR(CF736="L1",CF736="L23",CF736="LIFT"),AS736&gt;0),SUMIFS($AS$7:$AS$1843,$CF$7:$CF$1843,CF736,$AW$7:$AW$1843,"&gt;"&amp;AW736)+SUMIFS($AS$7:$AS$1843,$CF$7:$CF$1843,CF736,$AW$7:$AW$1843,AW736,$BW$7:$BW$1843,"&lt;="&amp;BW736),"")</f>
        <v>20524.5830720598</v>
      </c>
      <c r="AY736" s="58" t="n">
        <f aca="false">IF(AX736="",0,MAX(0,MIN(1,(IF(CF736="L1",Parameter!$H$5,IF(CF736="L23",Parameter!$H$6+Parameter!$H$7,Parameter!$H$5+Parameter!$H$6+Parameter!$H$7))-(AX736-AS736))/AS736)))</f>
        <v>1</v>
      </c>
      <c r="AZ736" s="50" t="n">
        <f aca="false">IF(LEFT(Cockpit!$O$5,1)="A",H736,IF(Parameter!$E$30="MAX-Bestand",IF(CH736=1,CI736,IF(LEFT(Cockpit!$O$5,1)="B",BF736,MAX(BF736,H736))),ROUNDUP(BD736,0)))</f>
        <v>18</v>
      </c>
      <c r="BA736" s="50" t="n">
        <f aca="false">IF(BZ736=1,0,ROUNDUP(AZ736/BY736,0))</f>
        <v>9</v>
      </c>
      <c r="BB736" s="52" t="n">
        <f aca="false">IF(CQ736&gt;0,CQ736*MAX(1,AZ736/X736),IF(BZ736=1,IF(AZ736&lt;=0,0,CD736*MAX(1,IF(H736&gt;0,AZ736/H736,1))),IF(R736&gt;0,BA736/R736,0))/MAX(0.1,N(Parameter!$M$21)))</f>
        <v>2.25</v>
      </c>
      <c r="BC736" s="50" t="n">
        <f aca="false">BB736*CB736</f>
        <v>528.75</v>
      </c>
      <c r="BD736" s="51" t="n">
        <f aca="false">IF(LEFT(Cockpit!$O$5,1)="A",H736,IF(CH736=1,(CK736+CI736)/2,IF(LEFT(Cockpit!$O$5,1)="B",(CK736+BF736)/2,MAX((CK736+BF736)/2,H736))))</f>
        <v>18</v>
      </c>
      <c r="BE736" s="50" t="n">
        <f aca="false">BD736*G736</f>
        <v>294.3</v>
      </c>
      <c r="BF736" s="50" t="n">
        <f aca="false">ROUNDUP(CK736+MAX(CL736,2*(J736/IF(CG736&gt;0,CG736,MAX(0.1,N(Cockpit!$O$6)))-CK736)),0)</f>
        <v>36</v>
      </c>
      <c r="BG736" s="51" t="n">
        <f aca="false">IF(BC736&gt;0,J736/BC736,-1)</f>
        <v>0.136170212765957</v>
      </c>
      <c r="BH736" s="51" t="n">
        <f aca="false">IF(AND(OR(CF736="L1",CF736="L23",CF736="LIFT"),BC736&gt;0),SUMIFS($BC$7:$BC$1843,$CF$7:$CF$1843,CF736,$BG$7:$BG$1843,"&gt;"&amp;BG736)+SUMIFS($BC$7:$BC$1843,$CF$7:$CF$1843,CF736,$BG$7:$BG$1843,BG736,$BW$7:$BW$1843,"&lt;="&amp;BW736),"")</f>
        <v>14449.7206157778</v>
      </c>
      <c r="BI736" s="58" t="n">
        <f aca="false">IF(BH736="",0,MAX(0,MIN(1,(IF(CF736="L1",Parameter!$H$5,IF(CF736="L23",Parameter!$H$6+Parameter!$H$7,Parameter!$H$5+Parameter!$H$6+Parameter!$H$7))-(BH736-BC736))/BC736)))</f>
        <v>1</v>
      </c>
      <c r="BJ736" s="48" t="str">
        <f aca="false">IF(AI736&lt;=0,"",IF(CF736="Aussen","Aussenlager",IF(CF736="-","Nicht im Lift",IF(AO736&gt;=1,"Lift",IF(AO736&lt;=0,"Aussenlager","teilweise")))))</f>
        <v/>
      </c>
      <c r="BK736" s="48" t="str">
        <f aca="false">IF(AS736&lt;=0,"",IF(CF736="Aussen","Aussenlager",IF(CF736="-","Nicht im Lift",IF(AY736&gt;=1,"Lift",IF(AY736&lt;=0,"Aussenlager","teilweise")))))</f>
        <v>Lift</v>
      </c>
      <c r="BL736" s="48" t="str">
        <f aca="false">IF(BC736&lt;=0,"",IF(CF736="Aussen","Aussenlager",IF(CF736="-","Nicht im Lift",IF(BI736&gt;=1,"Lift",IF(BI736&lt;=0,"Aussenlager","teilweise")))))</f>
        <v>Lift</v>
      </c>
      <c r="BM736" s="48" t="str">
        <f aca="false">IF(A736="","",IF(BV736=1,"Neu; ","")&amp;IF(AND(BV736=0,BQ736&lt;0),"negativer Bestand (Export "&amp;BQ736&amp;"); ","")&amp;IF(J736&lt;=0,"Kein Verbrauch; ","")&amp;IF(CQ736&gt;0,"Lift "&amp;W736&amp;" lt. Liftbericht (Fach "&amp;X736&amp;" Stk); ",IF(CA736=1,"Gebinde geschätzt ("&amp;T736&amp;"); ",IF(BZ736=1,"Lose – Tablare geschätzt; ","")))&amp;IF(H736&gt;AV736,"Überbestand "&amp;ROUND(H736-AV736,0)&amp;" Stk / CHF "&amp;ROUND((H736-AV736)*G736,0)&amp;"; ","")&amp;IF(AND(CH736=1,CI736&lt;CJ736),"MAX &lt; MB+LG; ","")&amp;IF(AND(CP736&gt;0,CO736*10&gt;CP736),"zu hoch für Tablar; ","")&amp;IF(AND(BV736=0,OR(CH736=1,AA736&lt;&gt;"",U736&lt;&gt;"",V736&lt;&gt;"",AB736&lt;&gt;"")),"manuell übersteuert; ","")&amp;IF(AND(BZ736=0,R736=0),"Gebinde unbekannt / Stellmass fehlt; ","")&amp;IF(AND(BZ736=0,N(V736)&lt;=0,N(Q736)&lt;=0),"Menge pro Gebinde fehlt (Ist = 1 Gebinde); ","")&amp;BU736)</f>
        <v>Gebinde geschätzt (Gross); Menge pro Gebinde fehlt (Ist = 1 Gebinde); </v>
      </c>
      <c r="BN736" s="48"/>
      <c r="BO736" s="48"/>
      <c r="BP736" s="55"/>
      <c r="BQ736" s="50" t="n">
        <v>0</v>
      </c>
      <c r="BR736" s="50" t="n">
        <v>0</v>
      </c>
      <c r="BS736" s="49" t="n">
        <v>0</v>
      </c>
      <c r="BT736" s="50" t="n">
        <v>72</v>
      </c>
      <c r="BU736" s="48"/>
      <c r="BV736" s="53" t="n">
        <v>0</v>
      </c>
      <c r="BW736" s="53" t="n">
        <v>736</v>
      </c>
      <c r="BX736" s="48" t="str">
        <f aca="false">IF(U736&lt;&gt;"",UPPER(TRIM(U736)),IF(CA736=1,UPPER(VLOOKUP(T736,Parameter!$I$27:$K$29,2,0)),IF(P736="","LOSE",P736)))</f>
        <v>S81</v>
      </c>
      <c r="BY736" s="50" t="n">
        <f aca="false">IF(BX736="LOSE",1,IF(N(V736)&gt;0,V736,IF(CA736=1,MAX(1,N(VLOOKUP(T736,Parameter!$I$27:$K$29,3,0)),H736,N(N736)),IF(N(Q736)&gt;0,Q736,MAX(1,H736)))))</f>
        <v>2</v>
      </c>
      <c r="BZ736" s="53" t="n">
        <f aca="false">IF(BX736="LOSE",1,0)</f>
        <v>0</v>
      </c>
      <c r="CA736" s="53" t="n">
        <f aca="false">IF(AND(U736="",OR(P736="",P736="LOSE"),T736&lt;&gt;"",N(S736)&lt;=0,ISNUMBER(MATCH(T736,Parameter!$I$27:$I$29,0))),1,0)</f>
        <v>1</v>
      </c>
      <c r="CB736" s="53" t="n">
        <f aca="false">IF(CQ736&gt;0,INDEX(Parameter!$H$5:$H$7,W736)/INDEX(Parameter!$E$5:$E$7,W736),IF(AND(BZ736=0,N(IFERROR(VLOOKUP(BX736,'Gebinde-Kategorie'!$A$5:$N$45,14,0),0))&gt;0),VLOOKUP(BX736,'Gebinde-Kategorie'!$A$5:$N$45,14,0)*10+Parameter!$M$23,Parameter!$M$24))</f>
        <v>235</v>
      </c>
      <c r="CC736" s="48" t="str">
        <f aca="false">IF(AND(Parameter!$B$19="Ja",E736&lt;&gt;"",ISNUMBER(MATCH(E736,Parameter!$I$35:$I$52,0))),VLOOKUP(E736,Parameter!$I$35:$J$52,2,0),IFERROR(VLOOKUP(D736,Parameter!$A$35:$C$64,2,0),"Nein"))</f>
        <v>2+3</v>
      </c>
      <c r="CD736" s="52" t="n">
        <f aca="false">IF(BZ736=0,0,IF(N(S736)&gt;0,S736,IFERROR(VLOOKUP(D736,Parameter!$A$35:$C$64,3,0)+0,0)))</f>
        <v>0</v>
      </c>
      <c r="CE736" s="48" t="n">
        <f aca="false">IF(AA736&lt;&gt;"",AA736,Z736)</f>
        <v>2</v>
      </c>
      <c r="CF736" s="48" t="str">
        <f aca="false">IF(OR(CE736=1,CE736=2,CE736=3),IF(Parameter!$E$27="Ja","LIFT",IF(CE736=1,"L1","L23")),IF(CE736="Aussen","Aussen","-"))</f>
        <v>LIFT</v>
      </c>
      <c r="CG736" s="59" t="n">
        <f aca="false">IF(N(AB736)&gt;0,AB736,0)</f>
        <v>0</v>
      </c>
      <c r="CH736" s="53" t="n">
        <f aca="false">IF(ISNUMBER(AE736),1,0)</f>
        <v>0</v>
      </c>
      <c r="CI736" s="50" t="n">
        <f aca="false">N(AE736)</f>
        <v>0</v>
      </c>
      <c r="CJ736" s="50" t="n">
        <f aca="false">N(M736)+N(N736)</f>
        <v>0</v>
      </c>
      <c r="CK736" s="50" t="n">
        <f aca="false">N(M736)</f>
        <v>0</v>
      </c>
      <c r="CL736" s="50" t="n">
        <f aca="false">N(N736)</f>
        <v>0</v>
      </c>
      <c r="CM736" s="50" t="n">
        <f aca="false">ROUNDUP(H736/BY736,0)</f>
        <v>0</v>
      </c>
      <c r="CN736" s="50" t="n">
        <f aca="false">ROUNDUP(CI736/BY736,0)</f>
        <v>0</v>
      </c>
      <c r="CO736" s="53" t="n">
        <f aca="false">IF(BZ736=1,0,IFERROR(VLOOKUP(BX736,'Gebinde-Kategorie'!$A$5:$N$45,5,0)+0,0))</f>
        <v>20</v>
      </c>
      <c r="CP736" s="53" t="n">
        <f aca="false">IFERROR(IF(OR(CE736=1,CE736=2,CE736=3),N(INDEX(Parameter!$I$5:$I$7,CE736)),0),0)</f>
        <v>0</v>
      </c>
      <c r="CQ736" s="52" t="n">
        <f aca="false">IF(AND(Parameter!$B$21="Ja",ISNUMBER(W736),N(X736)&gt;0),IFERROR(N(INDEX(Parameter!$L$5:$L$7,W736))*INDEX(Parameter!$E$5:$E$7,W736)*X736/SUMIFS($X$7:$X$1843,$W$7:$W$1843,W736),0),0)</f>
        <v>0</v>
      </c>
    </row>
    <row r="737" customFormat="false" ht="15" hidden="false" customHeight="false" outlineLevel="0" collapsed="false">
      <c r="A737" s="48" t="s">
        <v>1468</v>
      </c>
      <c r="B737" s="48" t="s">
        <v>1469</v>
      </c>
      <c r="C737" s="48" t="s">
        <v>173</v>
      </c>
      <c r="D737" s="48" t="s">
        <v>193</v>
      </c>
      <c r="E737" s="48" t="s">
        <v>194</v>
      </c>
      <c r="F737" s="48" t="s">
        <v>227</v>
      </c>
      <c r="G737" s="49" t="n">
        <v>914.73</v>
      </c>
      <c r="H737" s="50" t="n">
        <f aca="false">MAX(0,IF(AND(Parameter!$B$21="Ja",ISNUMBER(Y737)),Y737,IF(Parameter!$B$20="Jahresanfang 2025 + Export",BR737+BQ737,BQ737)))</f>
        <v>5</v>
      </c>
      <c r="I737" s="50" t="n">
        <f aca="false">H737*G737</f>
        <v>4573.65</v>
      </c>
      <c r="J737" s="50" t="n">
        <f aca="false">BT737*Parameter!$B$18</f>
        <v>0</v>
      </c>
      <c r="K737" s="51" t="n">
        <v>5</v>
      </c>
      <c r="L737" s="52" t="n">
        <v>0</v>
      </c>
      <c r="M737" s="50" t="n">
        <v>0</v>
      </c>
      <c r="N737" s="50" t="n">
        <v>1</v>
      </c>
      <c r="O737" s="53" t="n">
        <v>14</v>
      </c>
      <c r="P737" s="48" t="s">
        <v>195</v>
      </c>
      <c r="Q737" s="50" t="n">
        <v>3</v>
      </c>
      <c r="R737" s="53" t="n">
        <f aca="false">IF(BZ737=1,0,IFERROR(VLOOKUP(BX737,'Gebinde-Kategorie'!$A$5:$N$45,13,0)+0,0))</f>
        <v>12</v>
      </c>
      <c r="S737" s="54"/>
      <c r="T737" s="55"/>
      <c r="U737" s="55"/>
      <c r="V737" s="55"/>
      <c r="W737" s="48"/>
      <c r="X737" s="50"/>
      <c r="Y737" s="50"/>
      <c r="Z737" s="48" t="n">
        <f aca="false">IF(A737="","",IF(AND(Parameter!$B$21="Ja",ISNUMBER(W737)),W737,IF(CC737="2+3",IF(ISNUMBER(SEARCH("grosser Artikel",BU737)),2,IFERROR(VLOOKUP(BX737,Parameter!$F$35:$G$64,2,0),2)),IF(OR(CC737="Nein",CC737=""),"-",CC737))))</f>
        <v>2</v>
      </c>
      <c r="AA737" s="55"/>
      <c r="AB737" s="56"/>
      <c r="AC737" s="50" t="n">
        <f aca="false">AV737</f>
        <v>1</v>
      </c>
      <c r="AD737" s="50" t="n">
        <f aca="false">MAX(AV737,H737)</f>
        <v>5</v>
      </c>
      <c r="AE737" s="57"/>
      <c r="AF737" s="50" t="n">
        <f aca="false">IF(LEFT(Cockpit!$C$5,1)="A",H737,IF(Parameter!$E$30="MAX-Bestand",IF(CH737=1,CI737,IF(LEFT(Cockpit!$C$5,1)="B",AL737,MAX(AL737,H737))),ROUNDUP(AJ737,0)))</f>
        <v>5</v>
      </c>
      <c r="AG737" s="50" t="n">
        <f aca="false">IF(BZ737=1,0,ROUNDUP(AF737/BY737,0))</f>
        <v>2</v>
      </c>
      <c r="AH737" s="52" t="n">
        <f aca="false">IF(CQ737&gt;0,CQ737*MAX(1,AF737/X737),IF(BZ737=1,IF(AF737&lt;=0,0,CD737*MAX(1,IF(H737&gt;0,AF737/H737,1))),IF(R737&gt;0,AG737/R737,0))/MAX(0.1,N(Parameter!$M$21)))</f>
        <v>0.166666666666667</v>
      </c>
      <c r="AI737" s="50" t="n">
        <f aca="false">AH737*CB737</f>
        <v>24.1666666666667</v>
      </c>
      <c r="AJ737" s="51" t="n">
        <f aca="false">IF(LEFT(Cockpit!$C$5,1)="A",H737,IF(CH737=1,(CK737+CI737)/2,IF(LEFT(Cockpit!$C$5,1)="B",(CK737+AL737)/2,MAX((CK737+AL737)/2,H737))))</f>
        <v>5</v>
      </c>
      <c r="AK737" s="50" t="n">
        <f aca="false">AJ737*G737</f>
        <v>4573.65</v>
      </c>
      <c r="AL737" s="50" t="n">
        <f aca="false">ROUNDUP(CK737+MAX(CL737,2*(J737/IF(CG737&gt;0,CG737,MAX(0.1,N(Cockpit!$C$6)))-CK737)),0)</f>
        <v>1</v>
      </c>
      <c r="AM737" s="51" t="n">
        <f aca="false">IF(AI737&gt;0,J737/AI737,-1)</f>
        <v>0</v>
      </c>
      <c r="AN737" s="51" t="n">
        <f aca="false">IF(AND(OR(CF737="L1",CF737="L23",CF737="LIFT"),AI737&gt;0),SUMIFS($AI$7:$AI$1843,$CF$7:$CF$1843,CF737,$AM$7:$AM$1843,"&gt;"&amp;AM737)+SUMIFS($AI$7:$AI$1843,$CF$7:$CF$1843,CF737,$AM$7:$AM$1843,AM737,$BW$7:$BW$1843,"&lt;="&amp;BW737),"")</f>
        <v>28698.3476956189</v>
      </c>
      <c r="AO737" s="58" t="n">
        <f aca="false">IF(AN737="",0,MAX(0,MIN(1,(IF(CF737="L1",Parameter!$H$5,IF(CF737="L23",Parameter!$H$6+Parameter!$H$7,Parameter!$H$5+Parameter!$H$6+Parameter!$H$7))-(AN737-AI737))/AI737)))</f>
        <v>1</v>
      </c>
      <c r="AP737" s="50" t="n">
        <f aca="false">IF(LEFT(Cockpit!$I$5,1)="A",H737,IF(Parameter!$E$30="MAX-Bestand",IF(CH737=1,CI737,IF(LEFT(Cockpit!$I$5,1)="B",AV737,MAX(AV737,H737))),ROUNDUP(AT737,0)))</f>
        <v>5</v>
      </c>
      <c r="AQ737" s="50" t="n">
        <f aca="false">IF(BZ737=1,0,ROUNDUP(AP737/BY737,0))</f>
        <v>2</v>
      </c>
      <c r="AR737" s="52" t="n">
        <f aca="false">IF(CQ737&gt;0,CQ737*MAX(1,AP737/X737),IF(BZ737=1,IF(AP737&lt;=0,0,CD737*MAX(1,IF(H737&gt;0,AP737/H737,1))),IF(R737&gt;0,AQ737/R737,0))/MAX(0.1,N(Parameter!$M$21)))</f>
        <v>0.166666666666667</v>
      </c>
      <c r="AS737" s="50" t="n">
        <f aca="false">AR737*CB737</f>
        <v>24.1666666666667</v>
      </c>
      <c r="AT737" s="51" t="n">
        <f aca="false">IF(LEFT(Cockpit!$I$5,1)="A",H737,IF(CH737=1,(CK737+CI737)/2,IF(LEFT(Cockpit!$I$5,1)="B",(CK737+AV737)/2,MAX((CK737+AV737)/2,H737))))</f>
        <v>5</v>
      </c>
      <c r="AU737" s="50" t="n">
        <f aca="false">AT737*G737</f>
        <v>4573.65</v>
      </c>
      <c r="AV737" s="50" t="n">
        <f aca="false">ROUNDUP(CK737+MAX(CL737,2*(J737/IF(CG737&gt;0,CG737,MAX(0.1,N(Cockpit!$I$6)))-CK737)),0)</f>
        <v>1</v>
      </c>
      <c r="AW737" s="51" t="n">
        <f aca="false">IF(AS737&gt;0,J737/AS737,-1)</f>
        <v>0</v>
      </c>
      <c r="AX737" s="51" t="n">
        <f aca="false">IF(AND(OR(CF737="L1",CF737="L23",CF737="LIFT"),AS737&gt;0),SUMIFS($AS$7:$AS$1843,$CF$7:$CF$1843,CF737,$AW$7:$AW$1843,"&gt;"&amp;AW737)+SUMIFS($AS$7:$AS$1843,$CF$7:$CF$1843,CF737,$AW$7:$AW$1843,AW737,$BW$7:$BW$1843,"&lt;="&amp;BW737),"")</f>
        <v>34278.9642857143</v>
      </c>
      <c r="AY737" s="58" t="n">
        <f aca="false">IF(AX737="",0,MAX(0,MIN(1,(IF(CF737="L1",Parameter!$H$5,IF(CF737="L23",Parameter!$H$6+Parameter!$H$7,Parameter!$H$5+Parameter!$H$6+Parameter!$H$7))-(AX737-AS737))/AS737)))</f>
        <v>1</v>
      </c>
      <c r="AZ737" s="50" t="n">
        <f aca="false">IF(LEFT(Cockpit!$O$5,1)="A",H737,IF(Parameter!$E$30="MAX-Bestand",IF(CH737=1,CI737,IF(LEFT(Cockpit!$O$5,1)="B",BF737,MAX(BF737,H737))),ROUNDUP(BD737,0)))</f>
        <v>1</v>
      </c>
      <c r="BA737" s="50" t="n">
        <f aca="false">IF(BZ737=1,0,ROUNDUP(AZ737/BY737,0))</f>
        <v>1</v>
      </c>
      <c r="BB737" s="52" t="n">
        <f aca="false">IF(CQ737&gt;0,CQ737*MAX(1,AZ737/X737),IF(BZ737=1,IF(AZ737&lt;=0,0,CD737*MAX(1,IF(H737&gt;0,AZ737/H737,1))),IF(R737&gt;0,BA737/R737,0))/MAX(0.1,N(Parameter!$M$21)))</f>
        <v>0.0833333333333333</v>
      </c>
      <c r="BC737" s="50" t="n">
        <f aca="false">BB737*CB737</f>
        <v>12.0833333333333</v>
      </c>
      <c r="BD737" s="51" t="n">
        <f aca="false">IF(LEFT(Cockpit!$O$5,1)="A",H737,IF(CH737=1,(CK737+CI737)/2,IF(LEFT(Cockpit!$O$5,1)="B",(CK737+BF737)/2,MAX((CK737+BF737)/2,H737))))</f>
        <v>0.5</v>
      </c>
      <c r="BE737" s="50" t="n">
        <f aca="false">BD737*G737</f>
        <v>457.365</v>
      </c>
      <c r="BF737" s="50" t="n">
        <f aca="false">ROUNDUP(CK737+MAX(CL737,2*(J737/IF(CG737&gt;0,CG737,MAX(0.1,N(Cockpit!$O$6)))-CK737)),0)</f>
        <v>1</v>
      </c>
      <c r="BG737" s="51" t="n">
        <f aca="false">IF(BC737&gt;0,J737/BC737,-1)</f>
        <v>0</v>
      </c>
      <c r="BH737" s="51" t="n">
        <f aca="false">IF(AND(OR(CF737="L1",CF737="L23",CF737="LIFT"),BC737&gt;0),SUMIFS($BC$7:$BC$1843,$CF$7:$CF$1843,CF737,$BG$7:$BG$1843,"&gt;"&amp;BG737)+SUMIFS($BC$7:$BC$1843,$CF$7:$CF$1843,CF737,$BG$7:$BG$1843,BG737,$BW$7:$BW$1843,"&lt;="&amp;BW737),"")</f>
        <v>28328.7956711368</v>
      </c>
      <c r="BI737" s="58" t="n">
        <f aca="false">IF(BH737="",0,MAX(0,MIN(1,(IF(CF737="L1",Parameter!$H$5,IF(CF737="L23",Parameter!$H$6+Parameter!$H$7,Parameter!$H$5+Parameter!$H$6+Parameter!$H$7))-(BH737-BC737))/BC737)))</f>
        <v>1</v>
      </c>
      <c r="BJ737" s="48" t="str">
        <f aca="false">IF(AI737&lt;=0,"",IF(CF737="Aussen","Aussenlager",IF(CF737="-","Nicht im Lift",IF(AO737&gt;=1,"Lift",IF(AO737&lt;=0,"Aussenlager","teilweise")))))</f>
        <v>Lift</v>
      </c>
      <c r="BK737" s="48" t="str">
        <f aca="false">IF(AS737&lt;=0,"",IF(CF737="Aussen","Aussenlager",IF(CF737="-","Nicht im Lift",IF(AY737&gt;=1,"Lift",IF(AY737&lt;=0,"Aussenlager","teilweise")))))</f>
        <v>Lift</v>
      </c>
      <c r="BL737" s="48" t="str">
        <f aca="false">IF(BC737&lt;=0,"",IF(CF737="Aussen","Aussenlager",IF(CF737="-","Nicht im Lift",IF(BI737&gt;=1,"Lift",IF(BI737&lt;=0,"Aussenlager","teilweise")))))</f>
        <v>Lift</v>
      </c>
      <c r="BM737" s="48" t="str">
        <f aca="false">IF(A737="","",IF(BV737=1,"Neu; ","")&amp;IF(AND(BV737=0,BQ737&lt;0),"negativer Bestand (Export "&amp;BQ737&amp;"); ","")&amp;IF(J737&lt;=0,"Kein Verbrauch; ","")&amp;IF(CQ737&gt;0,"Lift "&amp;W737&amp;" lt. Liftbericht (Fach "&amp;X737&amp;" Stk); ",IF(CA737=1,"Gebinde geschätzt ("&amp;T737&amp;"); ",IF(BZ737=1,"Lose – Tablare geschätzt; ","")))&amp;IF(H737&gt;AV737,"Überbestand "&amp;ROUND(H737-AV737,0)&amp;" Stk / CHF "&amp;ROUND((H737-AV737)*G737,0)&amp;"; ","")&amp;IF(AND(CH737=1,CI737&lt;CJ737),"MAX &lt; MB+LG; ","")&amp;IF(AND(CP737&gt;0,CO737*10&gt;CP737),"zu hoch für Tablar; ","")&amp;IF(AND(BV737=0,OR(CH737=1,AA737&lt;&gt;"",U737&lt;&gt;"",V737&lt;&gt;"",AB737&lt;&gt;"")),"manuell übersteuert; ","")&amp;IF(AND(BZ737=0,R737=0),"Gebinde unbekannt / Stellmass fehlt; ","")&amp;IF(AND(BZ737=0,N(V737)&lt;=0,N(Q737)&lt;=0),"Menge pro Gebinde fehlt (Ist = 1 Gebinde); ","")&amp;BU737)</f>
        <v>Kein Verbrauch; Überbestand 4 Stk / CHF 3659; Ohne Fuss</v>
      </c>
      <c r="BN737" s="48"/>
      <c r="BO737" s="48"/>
      <c r="BP737" s="55"/>
      <c r="BQ737" s="50" t="n">
        <v>0</v>
      </c>
      <c r="BR737" s="50" t="n">
        <v>5</v>
      </c>
      <c r="BS737" s="49" t="n">
        <v>0</v>
      </c>
      <c r="BT737" s="50" t="n">
        <v>0</v>
      </c>
      <c r="BU737" s="48" t="s">
        <v>1470</v>
      </c>
      <c r="BV737" s="53" t="n">
        <v>0</v>
      </c>
      <c r="BW737" s="53" t="n">
        <v>737</v>
      </c>
      <c r="BX737" s="48" t="str">
        <f aca="false">IF(U737&lt;&gt;"",UPPER(TRIM(U737)),IF(CA737=1,UPPER(VLOOKUP(T737,Parameter!$I$27:$K$29,2,0)),IF(P737="","LOSE",P737)))</f>
        <v>S61</v>
      </c>
      <c r="BY737" s="50" t="n">
        <f aca="false">IF(BX737="LOSE",1,IF(N(V737)&gt;0,V737,IF(CA737=1,MAX(1,N(VLOOKUP(T737,Parameter!$I$27:$K$29,3,0)),H737,N(N737)),IF(N(Q737)&gt;0,Q737,MAX(1,H737)))))</f>
        <v>3</v>
      </c>
      <c r="BZ737" s="53" t="n">
        <f aca="false">IF(BX737="LOSE",1,0)</f>
        <v>0</v>
      </c>
      <c r="CA737" s="53" t="n">
        <f aca="false">IF(AND(U737="",OR(P737="",P737="LOSE"),T737&lt;&gt;"",N(S737)&lt;=0,ISNUMBER(MATCH(T737,Parameter!$I$27:$I$29,0))),1,0)</f>
        <v>0</v>
      </c>
      <c r="CB737" s="53" t="n">
        <f aca="false">IF(CQ737&gt;0,INDEX(Parameter!$H$5:$H$7,W737)/INDEX(Parameter!$E$5:$E$7,W737),IF(AND(BZ737=0,N(IFERROR(VLOOKUP(BX737,'Gebinde-Kategorie'!$A$5:$N$45,14,0),0))&gt;0),VLOOKUP(BX737,'Gebinde-Kategorie'!$A$5:$N$45,14,0)*10+Parameter!$M$23,Parameter!$M$24))</f>
        <v>145</v>
      </c>
      <c r="CC737" s="48" t="str">
        <f aca="false">IF(AND(Parameter!$B$19="Ja",E737&lt;&gt;"",ISNUMBER(MATCH(E737,Parameter!$I$35:$I$52,0))),VLOOKUP(E737,Parameter!$I$35:$J$52,2,0),IFERROR(VLOOKUP(D737,Parameter!$A$35:$C$64,2,0),"Nein"))</f>
        <v>2+3</v>
      </c>
      <c r="CD737" s="52" t="n">
        <f aca="false">IF(BZ737=0,0,IF(N(S737)&gt;0,S737,IFERROR(VLOOKUP(D737,Parameter!$A$35:$C$64,3,0)+0,0)))</f>
        <v>0</v>
      </c>
      <c r="CE737" s="48" t="n">
        <f aca="false">IF(AA737&lt;&gt;"",AA737,Z737)</f>
        <v>2</v>
      </c>
      <c r="CF737" s="48" t="str">
        <f aca="false">IF(OR(CE737=1,CE737=2,CE737=3),IF(Parameter!$E$27="Ja","LIFT",IF(CE737=1,"L1","L23")),IF(CE737="Aussen","Aussen","-"))</f>
        <v>LIFT</v>
      </c>
      <c r="CG737" s="59" t="n">
        <f aca="false">IF(N(AB737)&gt;0,AB737,0)</f>
        <v>0</v>
      </c>
      <c r="CH737" s="53" t="n">
        <f aca="false">IF(ISNUMBER(AE737),1,0)</f>
        <v>0</v>
      </c>
      <c r="CI737" s="50" t="n">
        <f aca="false">N(AE737)</f>
        <v>0</v>
      </c>
      <c r="CJ737" s="50" t="n">
        <f aca="false">N(M737)+N(N737)</f>
        <v>1</v>
      </c>
      <c r="CK737" s="50" t="n">
        <f aca="false">N(M737)</f>
        <v>0</v>
      </c>
      <c r="CL737" s="50" t="n">
        <f aca="false">N(N737)</f>
        <v>1</v>
      </c>
      <c r="CM737" s="50" t="n">
        <f aca="false">ROUNDUP(H737/BY737,0)</f>
        <v>2</v>
      </c>
      <c r="CN737" s="50" t="n">
        <f aca="false">ROUNDUP(CI737/BY737,0)</f>
        <v>0</v>
      </c>
      <c r="CO737" s="53" t="n">
        <f aca="false">IF(BZ737=1,0,IFERROR(VLOOKUP(BX737,'Gebinde-Kategorie'!$A$5:$N$45,5,0)+0,0))</f>
        <v>11</v>
      </c>
      <c r="CP737" s="53" t="n">
        <f aca="false">IFERROR(IF(OR(CE737=1,CE737=2,CE737=3),N(INDEX(Parameter!$I$5:$I$7,CE737)),0),0)</f>
        <v>0</v>
      </c>
      <c r="CQ737" s="52" t="n">
        <f aca="false">IF(AND(Parameter!$B$21="Ja",ISNUMBER(W737),N(X737)&gt;0),IFERROR(N(INDEX(Parameter!$L$5:$L$7,W737))*INDEX(Parameter!$E$5:$E$7,W737)*X737/SUMIFS($X$7:$X$1843,$W$7:$W$1843,W737),0),0)</f>
        <v>0</v>
      </c>
    </row>
    <row r="738" customFormat="false" ht="15" hidden="false" customHeight="false" outlineLevel="0" collapsed="false">
      <c r="A738" s="48" t="s">
        <v>1471</v>
      </c>
      <c r="B738" s="48" t="s">
        <v>1472</v>
      </c>
      <c r="C738" s="48" t="s">
        <v>173</v>
      </c>
      <c r="D738" s="48" t="s">
        <v>193</v>
      </c>
      <c r="E738" s="48" t="s">
        <v>194</v>
      </c>
      <c r="F738" s="48" t="s">
        <v>227</v>
      </c>
      <c r="G738" s="49" t="n">
        <v>170.05</v>
      </c>
      <c r="H738" s="50" t="n">
        <f aca="false">MAX(0,IF(AND(Parameter!$B$21="Ja",ISNUMBER(Y738)),Y738,IF(Parameter!$B$20="Jahresanfang 2025 + Export",BR738+BQ738,BQ738)))</f>
        <v>8</v>
      </c>
      <c r="I738" s="50" t="n">
        <f aca="false">H738*G738</f>
        <v>1360.4</v>
      </c>
      <c r="J738" s="50" t="n">
        <f aca="false">BT738*Parameter!$B$18</f>
        <v>0</v>
      </c>
      <c r="K738" s="51" t="n">
        <v>8</v>
      </c>
      <c r="L738" s="52" t="n">
        <v>0</v>
      </c>
      <c r="M738" s="50" t="n">
        <v>0</v>
      </c>
      <c r="N738" s="50" t="n">
        <v>1</v>
      </c>
      <c r="O738" s="53" t="n">
        <v>28</v>
      </c>
      <c r="P738" s="48" t="s">
        <v>337</v>
      </c>
      <c r="Q738" s="50" t="n">
        <v>15</v>
      </c>
      <c r="R738" s="53" t="n">
        <f aca="false">IF(BZ738=1,0,IFERROR(VLOOKUP(BX738,'Gebinde-Kategorie'!$A$5:$N$45,13,0)+0,0))</f>
        <v>52</v>
      </c>
      <c r="S738" s="54"/>
      <c r="T738" s="55"/>
      <c r="U738" s="55"/>
      <c r="V738" s="55"/>
      <c r="W738" s="48"/>
      <c r="X738" s="50"/>
      <c r="Y738" s="50"/>
      <c r="Z738" s="48" t="n">
        <f aca="false">IF(A738="","",IF(AND(Parameter!$B$21="Ja",ISNUMBER(W738)),W738,IF(CC738="2+3",IF(ISNUMBER(SEARCH("grosser Artikel",BU738)),2,IFERROR(VLOOKUP(BX738,Parameter!$F$35:$G$64,2,0),2)),IF(OR(CC738="Nein",CC738=""),"-",CC738))))</f>
        <v>3</v>
      </c>
      <c r="AA738" s="55"/>
      <c r="AB738" s="56"/>
      <c r="AC738" s="50" t="n">
        <f aca="false">AV738</f>
        <v>1</v>
      </c>
      <c r="AD738" s="50" t="n">
        <f aca="false">MAX(AV738,H738)</f>
        <v>8</v>
      </c>
      <c r="AE738" s="57"/>
      <c r="AF738" s="50" t="n">
        <f aca="false">IF(LEFT(Cockpit!$C$5,1)="A",H738,IF(Parameter!$E$30="MAX-Bestand",IF(CH738=1,CI738,IF(LEFT(Cockpit!$C$5,1)="B",AL738,MAX(AL738,H738))),ROUNDUP(AJ738,0)))</f>
        <v>8</v>
      </c>
      <c r="AG738" s="50" t="n">
        <f aca="false">IF(BZ738=1,0,ROUNDUP(AF738/BY738,0))</f>
        <v>1</v>
      </c>
      <c r="AH738" s="52" t="n">
        <f aca="false">IF(CQ738&gt;0,CQ738*MAX(1,AF738/X738),IF(BZ738=1,IF(AF738&lt;=0,0,CD738*MAX(1,IF(H738&gt;0,AF738/H738,1))),IF(R738&gt;0,AG738/R738,0))/MAX(0.1,N(Parameter!$M$21)))</f>
        <v>0.0192307692307692</v>
      </c>
      <c r="AI738" s="50" t="n">
        <f aca="false">AH738*CB738</f>
        <v>2.98076923076923</v>
      </c>
      <c r="AJ738" s="51" t="n">
        <f aca="false">IF(LEFT(Cockpit!$C$5,1)="A",H738,IF(CH738=1,(CK738+CI738)/2,IF(LEFT(Cockpit!$C$5,1)="B",(CK738+AL738)/2,MAX((CK738+AL738)/2,H738))))</f>
        <v>8</v>
      </c>
      <c r="AK738" s="50" t="n">
        <f aca="false">AJ738*G738</f>
        <v>1360.4</v>
      </c>
      <c r="AL738" s="50" t="n">
        <f aca="false">ROUNDUP(CK738+MAX(CL738,2*(J738/IF(CG738&gt;0,CG738,MAX(0.1,N(Cockpit!$C$6)))-CK738)),0)</f>
        <v>1</v>
      </c>
      <c r="AM738" s="51" t="n">
        <f aca="false">IF(AI738&gt;0,J738/AI738,-1)</f>
        <v>0</v>
      </c>
      <c r="AN738" s="51" t="n">
        <f aca="false">IF(AND(OR(CF738="L1",CF738="L23",CF738="LIFT"),AI738&gt;0),SUMIFS($AI$7:$AI$1843,$CF$7:$CF$1843,CF738,$AM$7:$AM$1843,"&gt;"&amp;AM738)+SUMIFS($AI$7:$AI$1843,$CF$7:$CF$1843,CF738,$AM$7:$AM$1843,AM738,$BW$7:$BW$1843,"&lt;="&amp;BW738),"")</f>
        <v>28701.3284648497</v>
      </c>
      <c r="AO738" s="58" t="n">
        <f aca="false">IF(AN738="",0,MAX(0,MIN(1,(IF(CF738="L1",Parameter!$H$5,IF(CF738="L23",Parameter!$H$6+Parameter!$H$7,Parameter!$H$5+Parameter!$H$6+Parameter!$H$7))-(AN738-AI738))/AI738)))</f>
        <v>1</v>
      </c>
      <c r="AP738" s="50" t="n">
        <f aca="false">IF(LEFT(Cockpit!$I$5,1)="A",H738,IF(Parameter!$E$30="MAX-Bestand",IF(CH738=1,CI738,IF(LEFT(Cockpit!$I$5,1)="B",AV738,MAX(AV738,H738))),ROUNDUP(AT738,0)))</f>
        <v>8</v>
      </c>
      <c r="AQ738" s="50" t="n">
        <f aca="false">IF(BZ738=1,0,ROUNDUP(AP738/BY738,0))</f>
        <v>1</v>
      </c>
      <c r="AR738" s="52" t="n">
        <f aca="false">IF(CQ738&gt;0,CQ738*MAX(1,AP738/X738),IF(BZ738=1,IF(AP738&lt;=0,0,CD738*MAX(1,IF(H738&gt;0,AP738/H738,1))),IF(R738&gt;0,AQ738/R738,0))/MAX(0.1,N(Parameter!$M$21)))</f>
        <v>0.0192307692307692</v>
      </c>
      <c r="AS738" s="50" t="n">
        <f aca="false">AR738*CB738</f>
        <v>2.98076923076923</v>
      </c>
      <c r="AT738" s="51" t="n">
        <f aca="false">IF(LEFT(Cockpit!$I$5,1)="A",H738,IF(CH738=1,(CK738+CI738)/2,IF(LEFT(Cockpit!$I$5,1)="B",(CK738+AV738)/2,MAX((CK738+AV738)/2,H738))))</f>
        <v>8</v>
      </c>
      <c r="AU738" s="50" t="n">
        <f aca="false">AT738*G738</f>
        <v>1360.4</v>
      </c>
      <c r="AV738" s="50" t="n">
        <f aca="false">ROUNDUP(CK738+MAX(CL738,2*(J738/IF(CG738&gt;0,CG738,MAX(0.1,N(Cockpit!$I$6)))-CK738)),0)</f>
        <v>1</v>
      </c>
      <c r="AW738" s="51" t="n">
        <f aca="false">IF(AS738&gt;0,J738/AS738,-1)</f>
        <v>0</v>
      </c>
      <c r="AX738" s="51" t="n">
        <f aca="false">IF(AND(OR(CF738="L1",CF738="L23",CF738="LIFT"),AS738&gt;0),SUMIFS($AS$7:$AS$1843,$CF$7:$CF$1843,CF738,$AW$7:$AW$1843,"&gt;"&amp;AW738)+SUMIFS($AS$7:$AS$1843,$CF$7:$CF$1843,CF738,$AW$7:$AW$1843,AW738,$BW$7:$BW$1843,"&lt;="&amp;BW738),"")</f>
        <v>34281.9450549451</v>
      </c>
      <c r="AY738" s="58" t="n">
        <f aca="false">IF(AX738="",0,MAX(0,MIN(1,(IF(CF738="L1",Parameter!$H$5,IF(CF738="L23",Parameter!$H$6+Parameter!$H$7,Parameter!$H$5+Parameter!$H$6+Parameter!$H$7))-(AX738-AS738))/AS738)))</f>
        <v>1</v>
      </c>
      <c r="AZ738" s="50" t="n">
        <f aca="false">IF(LEFT(Cockpit!$O$5,1)="A",H738,IF(Parameter!$E$30="MAX-Bestand",IF(CH738=1,CI738,IF(LEFT(Cockpit!$O$5,1)="B",BF738,MAX(BF738,H738))),ROUNDUP(BD738,0)))</f>
        <v>1</v>
      </c>
      <c r="BA738" s="50" t="n">
        <f aca="false">IF(BZ738=1,0,ROUNDUP(AZ738/BY738,0))</f>
        <v>1</v>
      </c>
      <c r="BB738" s="52" t="n">
        <f aca="false">IF(CQ738&gt;0,CQ738*MAX(1,AZ738/X738),IF(BZ738=1,IF(AZ738&lt;=0,0,CD738*MAX(1,IF(H738&gt;0,AZ738/H738,1))),IF(R738&gt;0,BA738/R738,0))/MAX(0.1,N(Parameter!$M$21)))</f>
        <v>0.0192307692307692</v>
      </c>
      <c r="BC738" s="50" t="n">
        <f aca="false">BB738*CB738</f>
        <v>2.98076923076923</v>
      </c>
      <c r="BD738" s="51" t="n">
        <f aca="false">IF(LEFT(Cockpit!$O$5,1)="A",H738,IF(CH738=1,(CK738+CI738)/2,IF(LEFT(Cockpit!$O$5,1)="B",(CK738+BF738)/2,MAX((CK738+BF738)/2,H738))))</f>
        <v>0.5</v>
      </c>
      <c r="BE738" s="50" t="n">
        <f aca="false">BD738*G738</f>
        <v>85.025</v>
      </c>
      <c r="BF738" s="50" t="n">
        <f aca="false">ROUNDUP(CK738+MAX(CL738,2*(J738/IF(CG738&gt;0,CG738,MAX(0.1,N(Cockpit!$O$6)))-CK738)),0)</f>
        <v>1</v>
      </c>
      <c r="BG738" s="51" t="n">
        <f aca="false">IF(BC738&gt;0,J738/BC738,-1)</f>
        <v>0</v>
      </c>
      <c r="BH738" s="51" t="n">
        <f aca="false">IF(AND(OR(CF738="L1",CF738="L23",CF738="LIFT"),BC738&gt;0),SUMIFS($BC$7:$BC$1843,$CF$7:$CF$1843,CF738,$BG$7:$BG$1843,"&gt;"&amp;BG738)+SUMIFS($BC$7:$BC$1843,$CF$7:$CF$1843,CF738,$BG$7:$BG$1843,BG738,$BW$7:$BW$1843,"&lt;="&amp;BW738),"")</f>
        <v>28331.7764403675</v>
      </c>
      <c r="BI738" s="58" t="n">
        <f aca="false">IF(BH738="",0,MAX(0,MIN(1,(IF(CF738="L1",Parameter!$H$5,IF(CF738="L23",Parameter!$H$6+Parameter!$H$7,Parameter!$H$5+Parameter!$H$6+Parameter!$H$7))-(BH738-BC738))/BC738)))</f>
        <v>1</v>
      </c>
      <c r="BJ738" s="48" t="str">
        <f aca="false">IF(AI738&lt;=0,"",IF(CF738="Aussen","Aussenlager",IF(CF738="-","Nicht im Lift",IF(AO738&gt;=1,"Lift",IF(AO738&lt;=0,"Aussenlager","teilweise")))))</f>
        <v>Lift</v>
      </c>
      <c r="BK738" s="48" t="str">
        <f aca="false">IF(AS738&lt;=0,"",IF(CF738="Aussen","Aussenlager",IF(CF738="-","Nicht im Lift",IF(AY738&gt;=1,"Lift",IF(AY738&lt;=0,"Aussenlager","teilweise")))))</f>
        <v>Lift</v>
      </c>
      <c r="BL738" s="48" t="str">
        <f aca="false">IF(BC738&lt;=0,"",IF(CF738="Aussen","Aussenlager",IF(CF738="-","Nicht im Lift",IF(BI738&gt;=1,"Lift",IF(BI738&lt;=0,"Aussenlager","teilweise")))))</f>
        <v>Lift</v>
      </c>
      <c r="BM738" s="48" t="str">
        <f aca="false">IF(A738="","",IF(BV738=1,"Neu; ","")&amp;IF(AND(BV738=0,BQ738&lt;0),"negativer Bestand (Export "&amp;BQ738&amp;"); ","")&amp;IF(J738&lt;=0,"Kein Verbrauch; ","")&amp;IF(CQ738&gt;0,"Lift "&amp;W738&amp;" lt. Liftbericht (Fach "&amp;X738&amp;" Stk); ",IF(CA738=1,"Gebinde geschätzt ("&amp;T738&amp;"); ",IF(BZ738=1,"Lose – Tablare geschätzt; ","")))&amp;IF(H738&gt;AV738,"Überbestand "&amp;ROUND(H738-AV738,0)&amp;" Stk / CHF "&amp;ROUND((H738-AV738)*G738,0)&amp;"; ","")&amp;IF(AND(CH738=1,CI738&lt;CJ738),"MAX &lt; MB+LG; ","")&amp;IF(AND(CP738&gt;0,CO738*10&gt;CP738),"zu hoch für Tablar; ","")&amp;IF(AND(BV738=0,OR(CH738=1,AA738&lt;&gt;"",U738&lt;&gt;"",V738&lt;&gt;"",AB738&lt;&gt;"")),"manuell übersteuert; ","")&amp;IF(AND(BZ738=0,R738=0),"Gebinde unbekannt / Stellmass fehlt; ","")&amp;IF(AND(BZ738=0,N(V738)&lt;=0,N(Q738)&lt;=0),"Menge pro Gebinde fehlt (Ist = 1 Gebinde); ","")&amp;BU738)</f>
        <v>Kein Verbrauch; Überbestand 7 Stk / CHF 1190; </v>
      </c>
      <c r="BN738" s="48"/>
      <c r="BO738" s="48"/>
      <c r="BP738" s="55"/>
      <c r="BQ738" s="50" t="n">
        <v>0</v>
      </c>
      <c r="BR738" s="50" t="n">
        <v>8</v>
      </c>
      <c r="BS738" s="49" t="n">
        <v>0</v>
      </c>
      <c r="BT738" s="50" t="n">
        <v>0</v>
      </c>
      <c r="BU738" s="48"/>
      <c r="BV738" s="53" t="n">
        <v>0</v>
      </c>
      <c r="BW738" s="53" t="n">
        <v>738</v>
      </c>
      <c r="BX738" s="48" t="str">
        <f aca="false">IF(U738&lt;&gt;"",UPPER(TRIM(U738)),IF(CA738=1,UPPER(VLOOKUP(T738,Parameter!$I$27:$K$29,2,0)),IF(P738="","LOSE",P738)))</f>
        <v>S41</v>
      </c>
      <c r="BY738" s="50" t="n">
        <f aca="false">IF(BX738="LOSE",1,IF(N(V738)&gt;0,V738,IF(CA738=1,MAX(1,N(VLOOKUP(T738,Parameter!$I$27:$K$29,3,0)),H738,N(N738)),IF(N(Q738)&gt;0,Q738,MAX(1,H738)))))</f>
        <v>15</v>
      </c>
      <c r="BZ738" s="53" t="n">
        <f aca="false">IF(BX738="LOSE",1,0)</f>
        <v>0</v>
      </c>
      <c r="CA738" s="53" t="n">
        <f aca="false">IF(AND(U738="",OR(P738="",P738="LOSE"),T738&lt;&gt;"",N(S738)&lt;=0,ISNUMBER(MATCH(T738,Parameter!$I$27:$I$29,0))),1,0)</f>
        <v>0</v>
      </c>
      <c r="CB738" s="53" t="n">
        <f aca="false">IF(CQ738&gt;0,INDEX(Parameter!$H$5:$H$7,W738)/INDEX(Parameter!$E$5:$E$7,W738),IF(AND(BZ738=0,N(IFERROR(VLOOKUP(BX738,'Gebinde-Kategorie'!$A$5:$N$45,14,0),0))&gt;0),VLOOKUP(BX738,'Gebinde-Kategorie'!$A$5:$N$45,14,0)*10+Parameter!$M$23,Parameter!$M$24))</f>
        <v>155</v>
      </c>
      <c r="CC738" s="48" t="str">
        <f aca="false">IF(AND(Parameter!$B$19="Ja",E738&lt;&gt;"",ISNUMBER(MATCH(E738,Parameter!$I$35:$I$52,0))),VLOOKUP(E738,Parameter!$I$35:$J$52,2,0),IFERROR(VLOOKUP(D738,Parameter!$A$35:$C$64,2,0),"Nein"))</f>
        <v>2+3</v>
      </c>
      <c r="CD738" s="52" t="n">
        <f aca="false">IF(BZ738=0,0,IF(N(S738)&gt;0,S738,IFERROR(VLOOKUP(D738,Parameter!$A$35:$C$64,3,0)+0,0)))</f>
        <v>0</v>
      </c>
      <c r="CE738" s="48" t="n">
        <f aca="false">IF(AA738&lt;&gt;"",AA738,Z738)</f>
        <v>3</v>
      </c>
      <c r="CF738" s="48" t="str">
        <f aca="false">IF(OR(CE738=1,CE738=2,CE738=3),IF(Parameter!$E$27="Ja","LIFT",IF(CE738=1,"L1","L23")),IF(CE738="Aussen","Aussen","-"))</f>
        <v>LIFT</v>
      </c>
      <c r="CG738" s="59" t="n">
        <f aca="false">IF(N(AB738)&gt;0,AB738,0)</f>
        <v>0</v>
      </c>
      <c r="CH738" s="53" t="n">
        <f aca="false">IF(ISNUMBER(AE738),1,0)</f>
        <v>0</v>
      </c>
      <c r="CI738" s="50" t="n">
        <f aca="false">N(AE738)</f>
        <v>0</v>
      </c>
      <c r="CJ738" s="50" t="n">
        <f aca="false">N(M738)+N(N738)</f>
        <v>1</v>
      </c>
      <c r="CK738" s="50" t="n">
        <f aca="false">N(M738)</f>
        <v>0</v>
      </c>
      <c r="CL738" s="50" t="n">
        <f aca="false">N(N738)</f>
        <v>1</v>
      </c>
      <c r="CM738" s="50" t="n">
        <f aca="false">ROUNDUP(H738/BY738,0)</f>
        <v>1</v>
      </c>
      <c r="CN738" s="50" t="n">
        <f aca="false">ROUNDUP(CI738/BY738,0)</f>
        <v>0</v>
      </c>
      <c r="CO738" s="53" t="n">
        <f aca="false">IF(BZ738=1,0,IFERROR(VLOOKUP(BX738,'Gebinde-Kategorie'!$A$5:$N$45,5,0)+0,0))</f>
        <v>11</v>
      </c>
      <c r="CP738" s="53" t="n">
        <f aca="false">IFERROR(IF(OR(CE738=1,CE738=2,CE738=3),N(INDEX(Parameter!$I$5:$I$7,CE738)),0),0)</f>
        <v>0</v>
      </c>
      <c r="CQ738" s="52" t="n">
        <f aca="false">IF(AND(Parameter!$B$21="Ja",ISNUMBER(W738),N(X738)&gt;0),IFERROR(N(INDEX(Parameter!$L$5:$L$7,W738))*INDEX(Parameter!$E$5:$E$7,W738)*X738/SUMIFS($X$7:$X$1843,$W$7:$W$1843,W738),0),0)</f>
        <v>0</v>
      </c>
    </row>
    <row r="739" customFormat="false" ht="15" hidden="false" customHeight="false" outlineLevel="0" collapsed="false">
      <c r="A739" s="48" t="s">
        <v>1473</v>
      </c>
      <c r="B739" s="48" t="s">
        <v>1474</v>
      </c>
      <c r="C739" s="48" t="s">
        <v>173</v>
      </c>
      <c r="D739" s="48" t="s">
        <v>1004</v>
      </c>
      <c r="E739" s="48"/>
      <c r="F739" s="48" t="s">
        <v>227</v>
      </c>
      <c r="G739" s="49" t="n">
        <v>1088.02</v>
      </c>
      <c r="H739" s="50" t="n">
        <f aca="false">MAX(0,IF(AND(Parameter!$B$21="Ja",ISNUMBER(Y739)),Y739,IF(Parameter!$B$20="Jahresanfang 2025 + Export",BR739+BQ739,BQ739)))</f>
        <v>0</v>
      </c>
      <c r="I739" s="50" t="n">
        <f aca="false">H739*G739</f>
        <v>0</v>
      </c>
      <c r="J739" s="50" t="n">
        <f aca="false">BT739*Parameter!$B$18</f>
        <v>0</v>
      </c>
      <c r="K739" s="51" t="n">
        <v>0</v>
      </c>
      <c r="L739" s="52" t="n">
        <v>0</v>
      </c>
      <c r="M739" s="50" t="n">
        <v>0</v>
      </c>
      <c r="N739" s="50" t="n">
        <v>1</v>
      </c>
      <c r="O739" s="53" t="n">
        <v>42</v>
      </c>
      <c r="P739" s="48" t="s">
        <v>177</v>
      </c>
      <c r="Q739" s="50"/>
      <c r="R739" s="53" t="n">
        <f aca="false">IF(BZ739=1,0,IFERROR(VLOOKUP(BX739,'Gebinde-Kategorie'!$A$5:$N$45,13,0)+0,0))</f>
        <v>0</v>
      </c>
      <c r="S739" s="54"/>
      <c r="T739" s="55"/>
      <c r="U739" s="55"/>
      <c r="V739" s="55"/>
      <c r="W739" s="48"/>
      <c r="X739" s="50"/>
      <c r="Y739" s="50"/>
      <c r="Z739" s="48" t="str">
        <f aca="false">IF(A739="","",IF(AND(Parameter!$B$21="Ja",ISNUMBER(W739)),W739,IF(CC739="2+3",IF(ISNUMBER(SEARCH("grosser Artikel",BU739)),2,IFERROR(VLOOKUP(BX739,Parameter!$F$35:$G$64,2,0),2)),IF(OR(CC739="Nein",CC739=""),"-",CC739))))</f>
        <v>-</v>
      </c>
      <c r="AA739" s="55"/>
      <c r="AB739" s="56"/>
      <c r="AC739" s="50" t="n">
        <f aca="false">AV739</f>
        <v>1</v>
      </c>
      <c r="AD739" s="50" t="n">
        <f aca="false">MAX(AV739,H739)</f>
        <v>1</v>
      </c>
      <c r="AE739" s="57"/>
      <c r="AF739" s="50" t="n">
        <f aca="false">IF(LEFT(Cockpit!$C$5,1)="A",H739,IF(Parameter!$E$30="MAX-Bestand",IF(CH739=1,CI739,IF(LEFT(Cockpit!$C$5,1)="B",AL739,MAX(AL739,H739))),ROUNDUP(AJ739,0)))</f>
        <v>0</v>
      </c>
      <c r="AG739" s="50" t="n">
        <f aca="false">IF(BZ739=1,0,ROUNDUP(AF739/BY739,0))</f>
        <v>0</v>
      </c>
      <c r="AH739" s="52" t="n">
        <f aca="false">IF(CQ739&gt;0,CQ739*MAX(1,AF739/X739),IF(BZ739=1,IF(AF739&lt;=0,0,CD739*MAX(1,IF(H739&gt;0,AF739/H739,1))),IF(R739&gt;0,AG739/R739,0))/MAX(0.1,N(Parameter!$M$21)))</f>
        <v>0</v>
      </c>
      <c r="AI739" s="50" t="n">
        <f aca="false">AH739*CB739</f>
        <v>0</v>
      </c>
      <c r="AJ739" s="51" t="n">
        <f aca="false">IF(LEFT(Cockpit!$C$5,1)="A",H739,IF(CH739=1,(CK739+CI739)/2,IF(LEFT(Cockpit!$C$5,1)="B",(CK739+AL739)/2,MAX((CK739+AL739)/2,H739))))</f>
        <v>0</v>
      </c>
      <c r="AK739" s="50" t="n">
        <f aca="false">AJ739*G739</f>
        <v>0</v>
      </c>
      <c r="AL739" s="50" t="n">
        <f aca="false">ROUNDUP(CK739+MAX(CL739,2*(J739/IF(CG739&gt;0,CG739,MAX(0.1,N(Cockpit!$C$6)))-CK739)),0)</f>
        <v>1</v>
      </c>
      <c r="AM739" s="51" t="n">
        <f aca="false">IF(AI739&gt;0,J739/AI739,-1)</f>
        <v>-1</v>
      </c>
      <c r="AN739" s="51" t="str">
        <f aca="false">IF(AND(OR(CF739="L1",CF739="L23",CF739="LIFT"),AI739&gt;0),SUMIFS($AI$7:$AI$1843,$CF$7:$CF$1843,CF739,$AM$7:$AM$1843,"&gt;"&amp;AM739)+SUMIFS($AI$7:$AI$1843,$CF$7:$CF$1843,CF739,$AM$7:$AM$1843,AM739,$BW$7:$BW$1843,"&lt;="&amp;BW739),"")</f>
        <v/>
      </c>
      <c r="AO739" s="58" t="n">
        <f aca="false">IF(AN739="",0,MAX(0,MIN(1,(IF(CF739="L1",Parameter!$H$5,IF(CF739="L23",Parameter!$H$6+Parameter!$H$7,Parameter!$H$5+Parameter!$H$6+Parameter!$H$7))-(AN739-AI739))/AI739)))</f>
        <v>0</v>
      </c>
      <c r="AP739" s="50" t="n">
        <f aca="false">IF(LEFT(Cockpit!$I$5,1)="A",H739,IF(Parameter!$E$30="MAX-Bestand",IF(CH739=1,CI739,IF(LEFT(Cockpit!$I$5,1)="B",AV739,MAX(AV739,H739))),ROUNDUP(AT739,0)))</f>
        <v>1</v>
      </c>
      <c r="AQ739" s="50" t="n">
        <f aca="false">IF(BZ739=1,0,ROUNDUP(AP739/BY739,0))</f>
        <v>0</v>
      </c>
      <c r="AR739" s="52" t="n">
        <f aca="false">IF(CQ739&gt;0,CQ739*MAX(1,AP739/X739),IF(BZ739=1,IF(AP739&lt;=0,0,CD739*MAX(1,IF(H739&gt;0,AP739/H739,1))),IF(R739&gt;0,AQ739/R739,0))/MAX(0.1,N(Parameter!$M$21)))</f>
        <v>0.15</v>
      </c>
      <c r="AS739" s="50" t="n">
        <f aca="false">AR739*CB739</f>
        <v>35.25</v>
      </c>
      <c r="AT739" s="51" t="n">
        <f aca="false">IF(LEFT(Cockpit!$I$5,1)="A",H739,IF(CH739=1,(CK739+CI739)/2,IF(LEFT(Cockpit!$I$5,1)="B",(CK739+AV739)/2,MAX((CK739+AV739)/2,H739))))</f>
        <v>0.5</v>
      </c>
      <c r="AU739" s="50" t="n">
        <f aca="false">AT739*G739</f>
        <v>544.01</v>
      </c>
      <c r="AV739" s="50" t="n">
        <f aca="false">ROUNDUP(CK739+MAX(CL739,2*(J739/IF(CG739&gt;0,CG739,MAX(0.1,N(Cockpit!$I$6)))-CK739)),0)</f>
        <v>1</v>
      </c>
      <c r="AW739" s="51" t="n">
        <f aca="false">IF(AS739&gt;0,J739/AS739,-1)</f>
        <v>0</v>
      </c>
      <c r="AX739" s="51" t="str">
        <f aca="false">IF(AND(OR(CF739="L1",CF739="L23",CF739="LIFT"),AS739&gt;0),SUMIFS($AS$7:$AS$1843,$CF$7:$CF$1843,CF739,$AW$7:$AW$1843,"&gt;"&amp;AW739)+SUMIFS($AS$7:$AS$1843,$CF$7:$CF$1843,CF739,$AW$7:$AW$1843,AW739,$BW$7:$BW$1843,"&lt;="&amp;BW739),"")</f>
        <v/>
      </c>
      <c r="AY739" s="58" t="n">
        <f aca="false">IF(AX739="",0,MAX(0,MIN(1,(IF(CF739="L1",Parameter!$H$5,IF(CF739="L23",Parameter!$H$6+Parameter!$H$7,Parameter!$H$5+Parameter!$H$6+Parameter!$H$7))-(AX739-AS739))/AS739)))</f>
        <v>0</v>
      </c>
      <c r="AZ739" s="50" t="n">
        <f aca="false">IF(LEFT(Cockpit!$O$5,1)="A",H739,IF(Parameter!$E$30="MAX-Bestand",IF(CH739=1,CI739,IF(LEFT(Cockpit!$O$5,1)="B",BF739,MAX(BF739,H739))),ROUNDUP(BD739,0)))</f>
        <v>1</v>
      </c>
      <c r="BA739" s="50" t="n">
        <f aca="false">IF(BZ739=1,0,ROUNDUP(AZ739/BY739,0))</f>
        <v>0</v>
      </c>
      <c r="BB739" s="52" t="n">
        <f aca="false">IF(CQ739&gt;0,CQ739*MAX(1,AZ739/X739),IF(BZ739=1,IF(AZ739&lt;=0,0,CD739*MAX(1,IF(H739&gt;0,AZ739/H739,1))),IF(R739&gt;0,BA739/R739,0))/MAX(0.1,N(Parameter!$M$21)))</f>
        <v>0.15</v>
      </c>
      <c r="BC739" s="50" t="n">
        <f aca="false">BB739*CB739</f>
        <v>35.25</v>
      </c>
      <c r="BD739" s="51" t="n">
        <f aca="false">IF(LEFT(Cockpit!$O$5,1)="A",H739,IF(CH739=1,(CK739+CI739)/2,IF(LEFT(Cockpit!$O$5,1)="B",(CK739+BF739)/2,MAX((CK739+BF739)/2,H739))))</f>
        <v>0.5</v>
      </c>
      <c r="BE739" s="50" t="n">
        <f aca="false">BD739*G739</f>
        <v>544.01</v>
      </c>
      <c r="BF739" s="50" t="n">
        <f aca="false">ROUNDUP(CK739+MAX(CL739,2*(J739/IF(CG739&gt;0,CG739,MAX(0.1,N(Cockpit!$O$6)))-CK739)),0)</f>
        <v>1</v>
      </c>
      <c r="BG739" s="51" t="n">
        <f aca="false">IF(BC739&gt;0,J739/BC739,-1)</f>
        <v>0</v>
      </c>
      <c r="BH739" s="51" t="str">
        <f aca="false">IF(AND(OR(CF739="L1",CF739="L23",CF739="LIFT"),BC739&gt;0),SUMIFS($BC$7:$BC$1843,$CF$7:$CF$1843,CF739,$BG$7:$BG$1843,"&gt;"&amp;BG739)+SUMIFS($BC$7:$BC$1843,$CF$7:$CF$1843,CF739,$BG$7:$BG$1843,BG739,$BW$7:$BW$1843,"&lt;="&amp;BW739),"")</f>
        <v/>
      </c>
      <c r="BI739" s="58" t="n">
        <f aca="false">IF(BH739="",0,MAX(0,MIN(1,(IF(CF739="L1",Parameter!$H$5,IF(CF739="L23",Parameter!$H$6+Parameter!$H$7,Parameter!$H$5+Parameter!$H$6+Parameter!$H$7))-(BH739-BC739))/BC739)))</f>
        <v>0</v>
      </c>
      <c r="BJ739" s="48" t="str">
        <f aca="false">IF(AI739&lt;=0,"",IF(CF739="Aussen","Aussenlager",IF(CF739="-","Nicht im Lift",IF(AO739&gt;=1,"Lift",IF(AO739&lt;=0,"Aussenlager","teilweise")))))</f>
        <v/>
      </c>
      <c r="BK739" s="48" t="str">
        <f aca="false">IF(AS739&lt;=0,"",IF(CF739="Aussen","Aussenlager",IF(CF739="-","Nicht im Lift",IF(AY739&gt;=1,"Lift",IF(AY739&lt;=0,"Aussenlager","teilweise")))))</f>
        <v>Nicht im Lift</v>
      </c>
      <c r="BL739" s="48" t="str">
        <f aca="false">IF(BC739&lt;=0,"",IF(CF739="Aussen","Aussenlager",IF(CF739="-","Nicht im Lift",IF(BI739&gt;=1,"Lift",IF(BI739&lt;=0,"Aussenlager","teilweise")))))</f>
        <v>Nicht im Lift</v>
      </c>
      <c r="BM739" s="48" t="str">
        <f aca="false">IF(A739="","",IF(BV739=1,"Neu; ","")&amp;IF(AND(BV739=0,BQ739&lt;0),"negativer Bestand (Export "&amp;BQ739&amp;"); ","")&amp;IF(J739&lt;=0,"Kein Verbrauch; ","")&amp;IF(CQ739&gt;0,"Lift "&amp;W739&amp;" lt. Liftbericht (Fach "&amp;X739&amp;" Stk); ",IF(CA739=1,"Gebinde geschätzt ("&amp;T739&amp;"); ",IF(BZ739=1,"Lose – Tablare geschätzt; ","")))&amp;IF(H739&gt;AV739,"Überbestand "&amp;ROUND(H739-AV739,0)&amp;" Stk / CHF "&amp;ROUND((H739-AV739)*G739,0)&amp;"; ","")&amp;IF(AND(CH739=1,CI739&lt;CJ739),"MAX &lt; MB+LG; ","")&amp;IF(AND(CP739&gt;0,CO739*10&gt;CP739),"zu hoch für Tablar; ","")&amp;IF(AND(BV739=0,OR(CH739=1,AA739&lt;&gt;"",U739&lt;&gt;"",V739&lt;&gt;"",AB739&lt;&gt;"")),"manuell übersteuert; ","")&amp;IF(AND(BZ739=0,R739=0),"Gebinde unbekannt / Stellmass fehlt; ","")&amp;IF(AND(BZ739=0,N(V739)&lt;=0,N(Q739)&lt;=0),"Menge pro Gebinde fehlt (Ist = 1 Gebinde); ","")&amp;BU739)</f>
        <v>Kein Verbrauch; Lose – Tablare geschätzt; </v>
      </c>
      <c r="BN739" s="48"/>
      <c r="BO739" s="48"/>
      <c r="BP739" s="55"/>
      <c r="BQ739" s="50" t="n">
        <v>0</v>
      </c>
      <c r="BR739" s="50" t="n">
        <v>0</v>
      </c>
      <c r="BS739" s="49" t="n">
        <v>0</v>
      </c>
      <c r="BT739" s="50" t="n">
        <v>0</v>
      </c>
      <c r="BU739" s="48"/>
      <c r="BV739" s="53" t="n">
        <v>0</v>
      </c>
      <c r="BW739" s="53" t="n">
        <v>739</v>
      </c>
      <c r="BX739" s="48" t="str">
        <f aca="false">IF(U739&lt;&gt;"",UPPER(TRIM(U739)),IF(CA739=1,UPPER(VLOOKUP(T739,Parameter!$I$27:$K$29,2,0)),IF(P739="","LOSE",P739)))</f>
        <v>LOSE</v>
      </c>
      <c r="BY739" s="50" t="n">
        <f aca="false">IF(BX739="LOSE",1,IF(N(V739)&gt;0,V739,IF(CA739=1,MAX(1,N(VLOOKUP(T739,Parameter!$I$27:$K$29,3,0)),H739,N(N739)),IF(N(Q739)&gt;0,Q739,MAX(1,H739)))))</f>
        <v>1</v>
      </c>
      <c r="BZ739" s="53" t="n">
        <f aca="false">IF(BX739="LOSE",1,0)</f>
        <v>1</v>
      </c>
      <c r="CA739" s="53" t="n">
        <f aca="false">IF(AND(U739="",OR(P739="",P739="LOSE"),T739&lt;&gt;"",N(S739)&lt;=0,ISNUMBER(MATCH(T739,Parameter!$I$27:$I$29,0))),1,0)</f>
        <v>0</v>
      </c>
      <c r="CB739" s="53" t="n">
        <f aca="false">IF(CQ739&gt;0,INDEX(Parameter!$H$5:$H$7,W739)/INDEX(Parameter!$E$5:$E$7,W739),IF(AND(BZ739=0,N(IFERROR(VLOOKUP(BX739,'Gebinde-Kategorie'!$A$5:$N$45,14,0),0))&gt;0),VLOOKUP(BX739,'Gebinde-Kategorie'!$A$5:$N$45,14,0)*10+Parameter!$M$23,Parameter!$M$24))</f>
        <v>235</v>
      </c>
      <c r="CC739" s="48" t="str">
        <f aca="false">IF(AND(Parameter!$B$19="Ja",E739&lt;&gt;"",ISNUMBER(MATCH(E739,Parameter!$I$35:$I$52,0))),VLOOKUP(E739,Parameter!$I$35:$J$52,2,0),IFERROR(VLOOKUP(D739,Parameter!$A$35:$C$64,2,0),"Nein"))</f>
        <v>Nein</v>
      </c>
      <c r="CD739" s="52" t="n">
        <f aca="false">IF(BZ739=0,0,IF(N(S739)&gt;0,S739,IFERROR(VLOOKUP(D739,Parameter!$A$35:$C$64,3,0)+0,0)))</f>
        <v>0.15</v>
      </c>
      <c r="CE739" s="48" t="str">
        <f aca="false">IF(AA739&lt;&gt;"",AA739,Z739)</f>
        <v>-</v>
      </c>
      <c r="CF739" s="48" t="str">
        <f aca="false">IF(OR(CE739=1,CE739=2,CE739=3),IF(Parameter!$E$27="Ja","LIFT",IF(CE739=1,"L1","L23")),IF(CE739="Aussen","Aussen","-"))</f>
        <v>-</v>
      </c>
      <c r="CG739" s="59" t="n">
        <f aca="false">IF(N(AB739)&gt;0,AB739,0)</f>
        <v>0</v>
      </c>
      <c r="CH739" s="53" t="n">
        <f aca="false">IF(ISNUMBER(AE739),1,0)</f>
        <v>0</v>
      </c>
      <c r="CI739" s="50" t="n">
        <f aca="false">N(AE739)</f>
        <v>0</v>
      </c>
      <c r="CJ739" s="50" t="n">
        <f aca="false">N(M739)+N(N739)</f>
        <v>1</v>
      </c>
      <c r="CK739" s="50" t="n">
        <f aca="false">N(M739)</f>
        <v>0</v>
      </c>
      <c r="CL739" s="50" t="n">
        <f aca="false">N(N739)</f>
        <v>1</v>
      </c>
      <c r="CM739" s="50" t="n">
        <f aca="false">ROUNDUP(H739/BY739,0)</f>
        <v>0</v>
      </c>
      <c r="CN739" s="50" t="n">
        <f aca="false">ROUNDUP(CI739/BY739,0)</f>
        <v>0</v>
      </c>
      <c r="CO739" s="53" t="n">
        <f aca="false">IF(BZ739=1,0,IFERROR(VLOOKUP(BX739,'Gebinde-Kategorie'!$A$5:$N$45,5,0)+0,0))</f>
        <v>0</v>
      </c>
      <c r="CP739" s="53" t="n">
        <f aca="false">IFERROR(IF(OR(CE739=1,CE739=2,CE739=3),N(INDEX(Parameter!$I$5:$I$7,CE739)),0),0)</f>
        <v>0</v>
      </c>
      <c r="CQ739" s="52" t="n">
        <f aca="false">IF(AND(Parameter!$B$21="Ja",ISNUMBER(W739),N(X739)&gt;0),IFERROR(N(INDEX(Parameter!$L$5:$L$7,W739))*INDEX(Parameter!$E$5:$E$7,W739)*X739/SUMIFS($X$7:$X$1843,$W$7:$W$1843,W739),0),0)</f>
        <v>0</v>
      </c>
    </row>
    <row r="740" customFormat="false" ht="15" hidden="false" customHeight="false" outlineLevel="0" collapsed="false">
      <c r="A740" s="48" t="s">
        <v>1475</v>
      </c>
      <c r="B740" s="48" t="s">
        <v>1476</v>
      </c>
      <c r="C740" s="48" t="s">
        <v>465</v>
      </c>
      <c r="D740" s="48" t="s">
        <v>182</v>
      </c>
      <c r="E740" s="48"/>
      <c r="F740" s="48" t="s">
        <v>227</v>
      </c>
      <c r="G740" s="49" t="n">
        <v>0.01</v>
      </c>
      <c r="H740" s="50" t="n">
        <f aca="false">MAX(0,IF(AND(Parameter!$B$21="Ja",ISNUMBER(Y740)),Y740,IF(Parameter!$B$20="Jahresanfang 2025 + Export",BR740+BQ740,BQ740)))</f>
        <v>0</v>
      </c>
      <c r="I740" s="50" t="n">
        <f aca="false">H740*G740</f>
        <v>0</v>
      </c>
      <c r="J740" s="50" t="n">
        <f aca="false">BT740*Parameter!$B$18</f>
        <v>0</v>
      </c>
      <c r="K740" s="51" t="n">
        <v>49.5</v>
      </c>
      <c r="L740" s="52" t="n">
        <v>0</v>
      </c>
      <c r="M740" s="50" t="n">
        <v>0</v>
      </c>
      <c r="N740" s="50" t="n">
        <v>10</v>
      </c>
      <c r="O740" s="53" t="n">
        <v>90</v>
      </c>
      <c r="P740" s="48" t="s">
        <v>177</v>
      </c>
      <c r="Q740" s="50"/>
      <c r="R740" s="53" t="n">
        <f aca="false">IF(BZ740=1,0,IFERROR(VLOOKUP(BX740,'Gebinde-Kategorie'!$A$5:$N$45,13,0)+0,0))</f>
        <v>12</v>
      </c>
      <c r="S740" s="54"/>
      <c r="T740" s="55" t="s">
        <v>188</v>
      </c>
      <c r="U740" s="55"/>
      <c r="V740" s="55"/>
      <c r="W740" s="48"/>
      <c r="X740" s="50"/>
      <c r="Y740" s="50"/>
      <c r="Z740" s="48" t="n">
        <f aca="false">IF(A740="","",IF(AND(Parameter!$B$21="Ja",ISNUMBER(W740)),W740,IF(CC740="2+3",IF(ISNUMBER(SEARCH("grosser Artikel",BU740)),2,IFERROR(VLOOKUP(BX740,Parameter!$F$35:$G$64,2,0),2)),IF(OR(CC740="Nein",CC740=""),"-",CC740))))</f>
        <v>2</v>
      </c>
      <c r="AA740" s="55"/>
      <c r="AB740" s="56"/>
      <c r="AC740" s="50" t="n">
        <f aca="false">AV740</f>
        <v>10</v>
      </c>
      <c r="AD740" s="50" t="n">
        <f aca="false">MAX(AV740,H740)</f>
        <v>10</v>
      </c>
      <c r="AE740" s="57"/>
      <c r="AF740" s="50" t="n">
        <f aca="false">IF(LEFT(Cockpit!$C$5,1)="A",H740,IF(Parameter!$E$30="MAX-Bestand",IF(CH740=1,CI740,IF(LEFT(Cockpit!$C$5,1)="B",AL740,MAX(AL740,H740))),ROUNDUP(AJ740,0)))</f>
        <v>0</v>
      </c>
      <c r="AG740" s="50" t="n">
        <f aca="false">IF(BZ740=1,0,ROUNDUP(AF740/BY740,0))</f>
        <v>0</v>
      </c>
      <c r="AH740" s="52" t="n">
        <f aca="false">IF(CQ740&gt;0,CQ740*MAX(1,AF740/X740),IF(BZ740=1,IF(AF740&lt;=0,0,CD740*MAX(1,IF(H740&gt;0,AF740/H740,1))),IF(R740&gt;0,AG740/R740,0))/MAX(0.1,N(Parameter!$M$21)))</f>
        <v>0</v>
      </c>
      <c r="AI740" s="50" t="n">
        <f aca="false">AH740*CB740</f>
        <v>0</v>
      </c>
      <c r="AJ740" s="51" t="n">
        <f aca="false">IF(LEFT(Cockpit!$C$5,1)="A",H740,IF(CH740=1,(CK740+CI740)/2,IF(LEFT(Cockpit!$C$5,1)="B",(CK740+AL740)/2,MAX((CK740+AL740)/2,H740))))</f>
        <v>0</v>
      </c>
      <c r="AK740" s="50" t="n">
        <f aca="false">AJ740*G740</f>
        <v>0</v>
      </c>
      <c r="AL740" s="50" t="n">
        <f aca="false">ROUNDUP(CK740+MAX(CL740,2*(J740/IF(CG740&gt;0,CG740,MAX(0.1,N(Cockpit!$C$6)))-CK740)),0)</f>
        <v>10</v>
      </c>
      <c r="AM740" s="51" t="n">
        <f aca="false">IF(AI740&gt;0,J740/AI740,-1)</f>
        <v>-1</v>
      </c>
      <c r="AN740" s="51" t="str">
        <f aca="false">IF(AND(OR(CF740="L1",CF740="L23",CF740="LIFT"),AI740&gt;0),SUMIFS($AI$7:$AI$1843,$CF$7:$CF$1843,CF740,$AM$7:$AM$1843,"&gt;"&amp;AM740)+SUMIFS($AI$7:$AI$1843,$CF$7:$CF$1843,CF740,$AM$7:$AM$1843,AM740,$BW$7:$BW$1843,"&lt;="&amp;BW740),"")</f>
        <v/>
      </c>
      <c r="AO740" s="58" t="n">
        <f aca="false">IF(AN740="",0,MAX(0,MIN(1,(IF(CF740="L1",Parameter!$H$5,IF(CF740="L23",Parameter!$H$6+Parameter!$H$7,Parameter!$H$5+Parameter!$H$6+Parameter!$H$7))-(AN740-AI740))/AI740)))</f>
        <v>0</v>
      </c>
      <c r="AP740" s="50" t="n">
        <f aca="false">IF(LEFT(Cockpit!$I$5,1)="A",H740,IF(Parameter!$E$30="MAX-Bestand",IF(CH740=1,CI740,IF(LEFT(Cockpit!$I$5,1)="B",AV740,MAX(AV740,H740))),ROUNDUP(AT740,0)))</f>
        <v>5</v>
      </c>
      <c r="AQ740" s="50" t="n">
        <f aca="false">IF(BZ740=1,0,ROUNDUP(AP740/BY740,0))</f>
        <v>1</v>
      </c>
      <c r="AR740" s="52" t="n">
        <f aca="false">IF(CQ740&gt;0,CQ740*MAX(1,AP740/X740),IF(BZ740=1,IF(AP740&lt;=0,0,CD740*MAX(1,IF(H740&gt;0,AP740/H740,1))),IF(R740&gt;0,AQ740/R740,0))/MAX(0.1,N(Parameter!$M$21)))</f>
        <v>0.0833333333333333</v>
      </c>
      <c r="AS740" s="50" t="n">
        <f aca="false">AR740*CB740</f>
        <v>12.0833333333333</v>
      </c>
      <c r="AT740" s="51" t="n">
        <f aca="false">IF(LEFT(Cockpit!$I$5,1)="A",H740,IF(CH740=1,(CK740+CI740)/2,IF(LEFT(Cockpit!$I$5,1)="B",(CK740+AV740)/2,MAX((CK740+AV740)/2,H740))))</f>
        <v>5</v>
      </c>
      <c r="AU740" s="50" t="n">
        <f aca="false">AT740*G740</f>
        <v>0.05</v>
      </c>
      <c r="AV740" s="50" t="n">
        <f aca="false">ROUNDUP(CK740+MAX(CL740,2*(J740/IF(CG740&gt;0,CG740,MAX(0.1,N(Cockpit!$I$6)))-CK740)),0)</f>
        <v>10</v>
      </c>
      <c r="AW740" s="51" t="n">
        <f aca="false">IF(AS740&gt;0,J740/AS740,-1)</f>
        <v>0</v>
      </c>
      <c r="AX740" s="51" t="n">
        <f aca="false">IF(AND(OR(CF740="L1",CF740="L23",CF740="LIFT"),AS740&gt;0),SUMIFS($AS$7:$AS$1843,$CF$7:$CF$1843,CF740,$AW$7:$AW$1843,"&gt;"&amp;AW740)+SUMIFS($AS$7:$AS$1843,$CF$7:$CF$1843,CF740,$AW$7:$AW$1843,AW740,$BW$7:$BW$1843,"&lt;="&amp;BW740),"")</f>
        <v>34294.0283882784</v>
      </c>
      <c r="AY740" s="58" t="n">
        <f aca="false">IF(AX740="",0,MAX(0,MIN(1,(IF(CF740="L1",Parameter!$H$5,IF(CF740="L23",Parameter!$H$6+Parameter!$H$7,Parameter!$H$5+Parameter!$H$6+Parameter!$H$7))-(AX740-AS740))/AS740)))</f>
        <v>1</v>
      </c>
      <c r="AZ740" s="50" t="n">
        <f aca="false">IF(LEFT(Cockpit!$O$5,1)="A",H740,IF(Parameter!$E$30="MAX-Bestand",IF(CH740=1,CI740,IF(LEFT(Cockpit!$O$5,1)="B",BF740,MAX(BF740,H740))),ROUNDUP(BD740,0)))</f>
        <v>5</v>
      </c>
      <c r="BA740" s="50" t="n">
        <f aca="false">IF(BZ740=1,0,ROUNDUP(AZ740/BY740,0))</f>
        <v>1</v>
      </c>
      <c r="BB740" s="52" t="n">
        <f aca="false">IF(CQ740&gt;0,CQ740*MAX(1,AZ740/X740),IF(BZ740=1,IF(AZ740&lt;=0,0,CD740*MAX(1,IF(H740&gt;0,AZ740/H740,1))),IF(R740&gt;0,BA740/R740,0))/MAX(0.1,N(Parameter!$M$21)))</f>
        <v>0.0833333333333333</v>
      </c>
      <c r="BC740" s="50" t="n">
        <f aca="false">BB740*CB740</f>
        <v>12.0833333333333</v>
      </c>
      <c r="BD740" s="51" t="n">
        <f aca="false">IF(LEFT(Cockpit!$O$5,1)="A",H740,IF(CH740=1,(CK740+CI740)/2,IF(LEFT(Cockpit!$O$5,1)="B",(CK740+BF740)/2,MAX((CK740+BF740)/2,H740))))</f>
        <v>5</v>
      </c>
      <c r="BE740" s="50" t="n">
        <f aca="false">BD740*G740</f>
        <v>0.05</v>
      </c>
      <c r="BF740" s="50" t="n">
        <f aca="false">ROUNDUP(CK740+MAX(CL740,2*(J740/IF(CG740&gt;0,CG740,MAX(0.1,N(Cockpit!$O$6)))-CK740)),0)</f>
        <v>10</v>
      </c>
      <c r="BG740" s="51" t="n">
        <f aca="false">IF(BC740&gt;0,J740/BC740,-1)</f>
        <v>0</v>
      </c>
      <c r="BH740" s="51" t="n">
        <f aca="false">IF(AND(OR(CF740="L1",CF740="L23",CF740="LIFT"),BC740&gt;0),SUMIFS($BC$7:$BC$1843,$CF$7:$CF$1843,CF740,$BG$7:$BG$1843,"&gt;"&amp;BG740)+SUMIFS($BC$7:$BC$1843,$CF$7:$CF$1843,CF740,$BG$7:$BG$1843,BG740,$BW$7:$BW$1843,"&lt;="&amp;BW740),"")</f>
        <v>28343.8597737009</v>
      </c>
      <c r="BI740" s="58" t="n">
        <f aca="false">IF(BH740="",0,MAX(0,MIN(1,(IF(CF740="L1",Parameter!$H$5,IF(CF740="L23",Parameter!$H$6+Parameter!$H$7,Parameter!$H$5+Parameter!$H$6+Parameter!$H$7))-(BH740-BC740))/BC740)))</f>
        <v>1</v>
      </c>
      <c r="BJ740" s="48" t="str">
        <f aca="false">IF(AI740&lt;=0,"",IF(CF740="Aussen","Aussenlager",IF(CF740="-","Nicht im Lift",IF(AO740&gt;=1,"Lift",IF(AO740&lt;=0,"Aussenlager","teilweise")))))</f>
        <v/>
      </c>
      <c r="BK740" s="48" t="str">
        <f aca="false">IF(AS740&lt;=0,"",IF(CF740="Aussen","Aussenlager",IF(CF740="-","Nicht im Lift",IF(AY740&gt;=1,"Lift",IF(AY740&lt;=0,"Aussenlager","teilweise")))))</f>
        <v>Lift</v>
      </c>
      <c r="BL740" s="48" t="str">
        <f aca="false">IF(BC740&lt;=0,"",IF(CF740="Aussen","Aussenlager",IF(CF740="-","Nicht im Lift",IF(BI740&gt;=1,"Lift",IF(BI740&lt;=0,"Aussenlager","teilweise")))))</f>
        <v>Lift</v>
      </c>
      <c r="BM740" s="48" t="str">
        <f aca="false">IF(A740="","",IF(BV740=1,"Neu; ","")&amp;IF(AND(BV740=0,BQ740&lt;0),"negativer Bestand (Export "&amp;BQ740&amp;"); ","")&amp;IF(J740&lt;=0,"Kein Verbrauch; ","")&amp;IF(CQ740&gt;0,"Lift "&amp;W740&amp;" lt. Liftbericht (Fach "&amp;X740&amp;" Stk); ",IF(CA740=1,"Gebinde geschätzt ("&amp;T740&amp;"); ",IF(BZ740=1,"Lose – Tablare geschätzt; ","")))&amp;IF(H740&gt;AV740,"Überbestand "&amp;ROUND(H740-AV740,0)&amp;" Stk / CHF "&amp;ROUND((H740-AV740)*G740,0)&amp;"; ","")&amp;IF(AND(CH740=1,CI740&lt;CJ740),"MAX &lt; MB+LG; ","")&amp;IF(AND(CP740&gt;0,CO740*10&gt;CP740),"zu hoch für Tablar; ","")&amp;IF(AND(BV740=0,OR(CH740=1,AA740&lt;&gt;"",U740&lt;&gt;"",V740&lt;&gt;"",AB740&lt;&gt;"")),"manuell übersteuert; ","")&amp;IF(AND(BZ740=0,R740=0),"Gebinde unbekannt / Stellmass fehlt; ","")&amp;IF(AND(BZ740=0,N(V740)&lt;=0,N(Q740)&lt;=0),"Menge pro Gebinde fehlt (Ist = 1 Gebinde); ","")&amp;BU740)</f>
        <v>Kein Verbrauch; Gebinde geschätzt (Mittel); Menge pro Gebinde fehlt (Ist = 1 Gebinde); </v>
      </c>
      <c r="BN740" s="48"/>
      <c r="BO740" s="48"/>
      <c r="BP740" s="55"/>
      <c r="BQ740" s="50" t="n">
        <v>0</v>
      </c>
      <c r="BR740" s="50" t="n">
        <v>0</v>
      </c>
      <c r="BS740" s="49" t="n">
        <v>-1.11022302462516E-016</v>
      </c>
      <c r="BT740" s="50" t="n">
        <v>0</v>
      </c>
      <c r="BU740" s="48"/>
      <c r="BV740" s="53" t="n">
        <v>0</v>
      </c>
      <c r="BW740" s="53" t="n">
        <v>740</v>
      </c>
      <c r="BX740" s="48" t="str">
        <f aca="false">IF(U740&lt;&gt;"",UPPER(TRIM(U740)),IF(CA740=1,UPPER(VLOOKUP(T740,Parameter!$I$27:$K$29,2,0)),IF(P740="","LOSE",P740)))</f>
        <v>S61</v>
      </c>
      <c r="BY740" s="50" t="n">
        <f aca="false">IF(BX740="LOSE",1,IF(N(V740)&gt;0,V740,IF(CA740=1,MAX(1,N(VLOOKUP(T740,Parameter!$I$27:$K$29,3,0)),H740,N(N740)),IF(N(Q740)&gt;0,Q740,MAX(1,H740)))))</f>
        <v>10</v>
      </c>
      <c r="BZ740" s="53" t="n">
        <f aca="false">IF(BX740="LOSE",1,0)</f>
        <v>0</v>
      </c>
      <c r="CA740" s="53" t="n">
        <f aca="false">IF(AND(U740="",OR(P740="",P740="LOSE"),T740&lt;&gt;"",N(S740)&lt;=0,ISNUMBER(MATCH(T740,Parameter!$I$27:$I$29,0))),1,0)</f>
        <v>1</v>
      </c>
      <c r="CB740" s="53" t="n">
        <f aca="false">IF(CQ740&gt;0,INDEX(Parameter!$H$5:$H$7,W740)/INDEX(Parameter!$E$5:$E$7,W740),IF(AND(BZ740=0,N(IFERROR(VLOOKUP(BX740,'Gebinde-Kategorie'!$A$5:$N$45,14,0),0))&gt;0),VLOOKUP(BX740,'Gebinde-Kategorie'!$A$5:$N$45,14,0)*10+Parameter!$M$23,Parameter!$M$24))</f>
        <v>145</v>
      </c>
      <c r="CC740" s="48" t="str">
        <f aca="false">IF(AND(Parameter!$B$19="Ja",E740&lt;&gt;"",ISNUMBER(MATCH(E740,Parameter!$I$35:$I$52,0))),VLOOKUP(E740,Parameter!$I$35:$J$52,2,0),IFERROR(VLOOKUP(D740,Parameter!$A$35:$C$64,2,0),"Nein"))</f>
        <v>2+3</v>
      </c>
      <c r="CD740" s="52" t="n">
        <f aca="false">IF(BZ740=0,0,IF(N(S740)&gt;0,S740,IFERROR(VLOOKUP(D740,Parameter!$A$35:$C$64,3,0)+0,0)))</f>
        <v>0</v>
      </c>
      <c r="CE740" s="48" t="n">
        <f aca="false">IF(AA740&lt;&gt;"",AA740,Z740)</f>
        <v>2</v>
      </c>
      <c r="CF740" s="48" t="str">
        <f aca="false">IF(OR(CE740=1,CE740=2,CE740=3),IF(Parameter!$E$27="Ja","LIFT",IF(CE740=1,"L1","L23")),IF(CE740="Aussen","Aussen","-"))</f>
        <v>LIFT</v>
      </c>
      <c r="CG740" s="59" t="n">
        <f aca="false">IF(N(AB740)&gt;0,AB740,0)</f>
        <v>0</v>
      </c>
      <c r="CH740" s="53" t="n">
        <f aca="false">IF(ISNUMBER(AE740),1,0)</f>
        <v>0</v>
      </c>
      <c r="CI740" s="50" t="n">
        <f aca="false">N(AE740)</f>
        <v>0</v>
      </c>
      <c r="CJ740" s="50" t="n">
        <f aca="false">N(M740)+N(N740)</f>
        <v>10</v>
      </c>
      <c r="CK740" s="50" t="n">
        <f aca="false">N(M740)</f>
        <v>0</v>
      </c>
      <c r="CL740" s="50" t="n">
        <f aca="false">N(N740)</f>
        <v>10</v>
      </c>
      <c r="CM740" s="50" t="n">
        <f aca="false">ROUNDUP(H740/BY740,0)</f>
        <v>0</v>
      </c>
      <c r="CN740" s="50" t="n">
        <f aca="false">ROUNDUP(CI740/BY740,0)</f>
        <v>0</v>
      </c>
      <c r="CO740" s="53" t="n">
        <f aca="false">IF(BZ740=1,0,IFERROR(VLOOKUP(BX740,'Gebinde-Kategorie'!$A$5:$N$45,5,0)+0,0))</f>
        <v>11</v>
      </c>
      <c r="CP740" s="53" t="n">
        <f aca="false">IFERROR(IF(OR(CE740=1,CE740=2,CE740=3),N(INDEX(Parameter!$I$5:$I$7,CE740)),0),0)</f>
        <v>0</v>
      </c>
      <c r="CQ740" s="52" t="n">
        <f aca="false">IF(AND(Parameter!$B$21="Ja",ISNUMBER(W740),N(X740)&gt;0),IFERROR(N(INDEX(Parameter!$L$5:$L$7,W740))*INDEX(Parameter!$E$5:$E$7,W740)*X740/SUMIFS($X$7:$X$1843,$W$7:$W$1843,W740),0),0)</f>
        <v>0</v>
      </c>
    </row>
    <row r="741" customFormat="false" ht="15" hidden="false" customHeight="false" outlineLevel="0" collapsed="false">
      <c r="A741" s="48" t="s">
        <v>1477</v>
      </c>
      <c r="B741" s="48" t="s">
        <v>553</v>
      </c>
      <c r="C741" s="48" t="s">
        <v>173</v>
      </c>
      <c r="D741" s="48" t="s">
        <v>1004</v>
      </c>
      <c r="E741" s="48" t="s">
        <v>194</v>
      </c>
      <c r="F741" s="48" t="s">
        <v>227</v>
      </c>
      <c r="G741" s="49" t="n">
        <v>32.3</v>
      </c>
      <c r="H741" s="50" t="n">
        <f aca="false">MAX(0,IF(AND(Parameter!$B$21="Ja",ISNUMBER(Y741)),Y741,IF(Parameter!$B$20="Jahresanfang 2025 + Export",BR741+BQ741,BQ741)))</f>
        <v>7</v>
      </c>
      <c r="I741" s="50" t="n">
        <f aca="false">H741*G741</f>
        <v>226.1</v>
      </c>
      <c r="J741" s="50" t="n">
        <f aca="false">BT741*Parameter!$B$18</f>
        <v>3</v>
      </c>
      <c r="K741" s="51" t="n">
        <v>7.5</v>
      </c>
      <c r="L741" s="52" t="n">
        <v>0.4</v>
      </c>
      <c r="M741" s="50" t="n">
        <v>0</v>
      </c>
      <c r="N741" s="50" t="n">
        <v>0</v>
      </c>
      <c r="O741" s="53" t="n">
        <v>28</v>
      </c>
      <c r="P741" s="48" t="s">
        <v>177</v>
      </c>
      <c r="Q741" s="50"/>
      <c r="R741" s="53" t="n">
        <f aca="false">IF(BZ741=1,0,IFERROR(VLOOKUP(BX741,'Gebinde-Kategorie'!$A$5:$N$45,13,0)+0,0))</f>
        <v>12</v>
      </c>
      <c r="S741" s="54"/>
      <c r="T741" s="55" t="s">
        <v>188</v>
      </c>
      <c r="U741" s="55"/>
      <c r="V741" s="55"/>
      <c r="W741" s="48"/>
      <c r="X741" s="50"/>
      <c r="Y741" s="50"/>
      <c r="Z741" s="48" t="n">
        <f aca="false">IF(A741="","",IF(AND(Parameter!$B$21="Ja",ISNUMBER(W741)),W741,IF(CC741="2+3",IF(ISNUMBER(SEARCH("grosser Artikel",BU741)),2,IFERROR(VLOOKUP(BX741,Parameter!$F$35:$G$64,2,0),2)),IF(OR(CC741="Nein",CC741=""),"-",CC741))))</f>
        <v>2</v>
      </c>
      <c r="AA741" s="55"/>
      <c r="AB741" s="56"/>
      <c r="AC741" s="50" t="n">
        <f aca="false">AV741</f>
        <v>2</v>
      </c>
      <c r="AD741" s="50" t="n">
        <f aca="false">MAX(AV741,H741)</f>
        <v>7</v>
      </c>
      <c r="AE741" s="57"/>
      <c r="AF741" s="50" t="n">
        <f aca="false">IF(LEFT(Cockpit!$C$5,1)="A",H741,IF(Parameter!$E$30="MAX-Bestand",IF(CH741=1,CI741,IF(LEFT(Cockpit!$C$5,1)="B",AL741,MAX(AL741,H741))),ROUNDUP(AJ741,0)))</f>
        <v>7</v>
      </c>
      <c r="AG741" s="50" t="n">
        <f aca="false">IF(BZ741=1,0,ROUNDUP(AF741/BY741,0))</f>
        <v>1</v>
      </c>
      <c r="AH741" s="52" t="n">
        <f aca="false">IF(CQ741&gt;0,CQ741*MAX(1,AF741/X741),IF(BZ741=1,IF(AF741&lt;=0,0,CD741*MAX(1,IF(H741&gt;0,AF741/H741,1))),IF(R741&gt;0,AG741/R741,0))/MAX(0.1,N(Parameter!$M$21)))</f>
        <v>0.0833333333333333</v>
      </c>
      <c r="AI741" s="50" t="n">
        <f aca="false">AH741*CB741</f>
        <v>12.0833333333333</v>
      </c>
      <c r="AJ741" s="51" t="n">
        <f aca="false">IF(LEFT(Cockpit!$C$5,1)="A",H741,IF(CH741=1,(CK741+CI741)/2,IF(LEFT(Cockpit!$C$5,1)="B",(CK741+AL741)/2,MAX((CK741+AL741)/2,H741))))</f>
        <v>7</v>
      </c>
      <c r="AK741" s="50" t="n">
        <f aca="false">AJ741*G741</f>
        <v>226.1</v>
      </c>
      <c r="AL741" s="50" t="n">
        <f aca="false">ROUNDUP(CK741+MAX(CL741,2*(J741/IF(CG741&gt;0,CG741,MAX(0.1,N(Cockpit!$C$6)))-CK741)),0)</f>
        <v>2</v>
      </c>
      <c r="AM741" s="51" t="n">
        <f aca="false">IF(AI741&gt;0,J741/AI741,-1)</f>
        <v>0.248275862068966</v>
      </c>
      <c r="AN741" s="51" t="n">
        <f aca="false">IF(AND(OR(CF741="L1",CF741="L23",CF741="LIFT"),AI741&gt;0),SUMIFS($AI$7:$AI$1843,$CF$7:$CF$1843,CF741,$AM$7:$AM$1843,"&gt;"&amp;AM741)+SUMIFS($AI$7:$AI$1843,$CF$7:$CF$1843,CF741,$AM$7:$AM$1843,AM741,$BW$7:$BW$1843,"&lt;="&amp;BW741),"")</f>
        <v>11864.8535962625</v>
      </c>
      <c r="AO741" s="58" t="n">
        <f aca="false">IF(AN741="",0,MAX(0,MIN(1,(IF(CF741="L1",Parameter!$H$5,IF(CF741="L23",Parameter!$H$6+Parameter!$H$7,Parameter!$H$5+Parameter!$H$6+Parameter!$H$7))-(AN741-AI741))/AI741)))</f>
        <v>1</v>
      </c>
      <c r="AP741" s="50" t="n">
        <f aca="false">IF(LEFT(Cockpit!$I$5,1)="A",H741,IF(Parameter!$E$30="MAX-Bestand",IF(CH741=1,CI741,IF(LEFT(Cockpit!$I$5,1)="B",AV741,MAX(AV741,H741))),ROUNDUP(AT741,0)))</f>
        <v>7</v>
      </c>
      <c r="AQ741" s="50" t="n">
        <f aca="false">IF(BZ741=1,0,ROUNDUP(AP741/BY741,0))</f>
        <v>1</v>
      </c>
      <c r="AR741" s="52" t="n">
        <f aca="false">IF(CQ741&gt;0,CQ741*MAX(1,AP741/X741),IF(BZ741=1,IF(AP741&lt;=0,0,CD741*MAX(1,IF(H741&gt;0,AP741/H741,1))),IF(R741&gt;0,AQ741/R741,0))/MAX(0.1,N(Parameter!$M$21)))</f>
        <v>0.0833333333333333</v>
      </c>
      <c r="AS741" s="50" t="n">
        <f aca="false">AR741*CB741</f>
        <v>12.0833333333333</v>
      </c>
      <c r="AT741" s="51" t="n">
        <f aca="false">IF(LEFT(Cockpit!$I$5,1)="A",H741,IF(CH741=1,(CK741+CI741)/2,IF(LEFT(Cockpit!$I$5,1)="B",(CK741+AV741)/2,MAX((CK741+AV741)/2,H741))))</f>
        <v>7</v>
      </c>
      <c r="AU741" s="50" t="n">
        <f aca="false">AT741*G741</f>
        <v>226.1</v>
      </c>
      <c r="AV741" s="50" t="n">
        <f aca="false">ROUNDUP(CK741+MAX(CL741,2*(J741/IF(CG741&gt;0,CG741,MAX(0.1,N(Cockpit!$I$6)))-CK741)),0)</f>
        <v>2</v>
      </c>
      <c r="AW741" s="51" t="n">
        <f aca="false">IF(AS741&gt;0,J741/AS741,-1)</f>
        <v>0.248275862068966</v>
      </c>
      <c r="AX741" s="51" t="n">
        <f aca="false">IF(AND(OR(CF741="L1",CF741="L23",CF741="LIFT"),AS741&gt;0),SUMIFS($AS$7:$AS$1843,$CF$7:$CF$1843,CF741,$AW$7:$AW$1843,"&gt;"&amp;AW741)+SUMIFS($AS$7:$AS$1843,$CF$7:$CF$1843,CF741,$AW$7:$AW$1843,AW741,$BW$7:$BW$1843,"&lt;="&amp;BW741),"")</f>
        <v>14941.7477106227</v>
      </c>
      <c r="AY741" s="58" t="n">
        <f aca="false">IF(AX741="",0,MAX(0,MIN(1,(IF(CF741="L1",Parameter!$H$5,IF(CF741="L23",Parameter!$H$6+Parameter!$H$7,Parameter!$H$5+Parameter!$H$6+Parameter!$H$7))-(AX741-AS741))/AS741)))</f>
        <v>1</v>
      </c>
      <c r="AZ741" s="50" t="n">
        <f aca="false">IF(LEFT(Cockpit!$O$5,1)="A",H741,IF(Parameter!$E$30="MAX-Bestand",IF(CH741=1,CI741,IF(LEFT(Cockpit!$O$5,1)="B",BF741,MAX(BF741,H741))),ROUNDUP(BD741,0)))</f>
        <v>1</v>
      </c>
      <c r="BA741" s="50" t="n">
        <f aca="false">IF(BZ741=1,0,ROUNDUP(AZ741/BY741,0))</f>
        <v>1</v>
      </c>
      <c r="BB741" s="52" t="n">
        <f aca="false">IF(CQ741&gt;0,CQ741*MAX(1,AZ741/X741),IF(BZ741=1,IF(AZ741&lt;=0,0,CD741*MAX(1,IF(H741&gt;0,AZ741/H741,1))),IF(R741&gt;0,BA741/R741,0))/MAX(0.1,N(Parameter!$M$21)))</f>
        <v>0.0833333333333333</v>
      </c>
      <c r="BC741" s="50" t="n">
        <f aca="false">BB741*CB741</f>
        <v>12.0833333333333</v>
      </c>
      <c r="BD741" s="51" t="n">
        <f aca="false">IF(LEFT(Cockpit!$O$5,1)="A",H741,IF(CH741=1,(CK741+CI741)/2,IF(LEFT(Cockpit!$O$5,1)="B",(CK741+BF741)/2,MAX((CK741+BF741)/2,H741))))</f>
        <v>1</v>
      </c>
      <c r="BE741" s="50" t="n">
        <f aca="false">BD741*G741</f>
        <v>32.3</v>
      </c>
      <c r="BF741" s="50" t="n">
        <f aca="false">ROUNDUP(CK741+MAX(CL741,2*(J741/IF(CG741&gt;0,CG741,MAX(0.1,N(Cockpit!$O$6)))-CK741)),0)</f>
        <v>2</v>
      </c>
      <c r="BG741" s="51" t="n">
        <f aca="false">IF(BC741&gt;0,J741/BC741,-1)</f>
        <v>0.248275862068966</v>
      </c>
      <c r="BH741" s="51" t="n">
        <f aca="false">IF(AND(OR(CF741="L1",CF741="L23",CF741="LIFT"),BC741&gt;0),SUMIFS($BC$7:$BC$1843,$CF$7:$CF$1843,CF741,$BG$7:$BG$1843,"&gt;"&amp;BG741)+SUMIFS($BC$7:$BC$1843,$CF$7:$CF$1843,CF741,$BG$7:$BG$1843,BG741,$BW$7:$BW$1843,"&lt;="&amp;BW741),"")</f>
        <v>12117.1414835165</v>
      </c>
      <c r="BI741" s="58" t="n">
        <f aca="false">IF(BH741="",0,MAX(0,MIN(1,(IF(CF741="L1",Parameter!$H$5,IF(CF741="L23",Parameter!$H$6+Parameter!$H$7,Parameter!$H$5+Parameter!$H$6+Parameter!$H$7))-(BH741-BC741))/BC741)))</f>
        <v>1</v>
      </c>
      <c r="BJ741" s="48" t="str">
        <f aca="false">IF(AI741&lt;=0,"",IF(CF741="Aussen","Aussenlager",IF(CF741="-","Nicht im Lift",IF(AO741&gt;=1,"Lift",IF(AO741&lt;=0,"Aussenlager","teilweise")))))</f>
        <v>Lift</v>
      </c>
      <c r="BK741" s="48" t="str">
        <f aca="false">IF(AS741&lt;=0,"",IF(CF741="Aussen","Aussenlager",IF(CF741="-","Nicht im Lift",IF(AY741&gt;=1,"Lift",IF(AY741&lt;=0,"Aussenlager","teilweise")))))</f>
        <v>Lift</v>
      </c>
      <c r="BL741" s="48" t="str">
        <f aca="false">IF(BC741&lt;=0,"",IF(CF741="Aussen","Aussenlager",IF(CF741="-","Nicht im Lift",IF(BI741&gt;=1,"Lift",IF(BI741&lt;=0,"Aussenlager","teilweise")))))</f>
        <v>Lift</v>
      </c>
      <c r="BM741" s="48" t="str">
        <f aca="false">IF(A741="","",IF(BV741=1,"Neu; ","")&amp;IF(AND(BV741=0,BQ741&lt;0),"negativer Bestand (Export "&amp;BQ741&amp;"); ","")&amp;IF(J741&lt;=0,"Kein Verbrauch; ","")&amp;IF(CQ741&gt;0,"Lift "&amp;W741&amp;" lt. Liftbericht (Fach "&amp;X741&amp;" Stk); ",IF(CA741=1,"Gebinde geschätzt ("&amp;T741&amp;"); ",IF(BZ741=1,"Lose – Tablare geschätzt; ","")))&amp;IF(H741&gt;AV741,"Überbestand "&amp;ROUND(H741-AV741,0)&amp;" Stk / CHF "&amp;ROUND((H741-AV741)*G741,0)&amp;"; ","")&amp;IF(AND(CH741=1,CI741&lt;CJ741),"MAX &lt; MB+LG; ","")&amp;IF(AND(CP741&gt;0,CO741*10&gt;CP741),"zu hoch für Tablar; ","")&amp;IF(AND(BV741=0,OR(CH741=1,AA741&lt;&gt;"",U741&lt;&gt;"",V741&lt;&gt;"",AB741&lt;&gt;"")),"manuell übersteuert; ","")&amp;IF(AND(BZ741=0,R741=0),"Gebinde unbekannt / Stellmass fehlt; ","")&amp;IF(AND(BZ741=0,N(V741)&lt;=0,N(Q741)&lt;=0),"Menge pro Gebinde fehlt (Ist = 1 Gebinde); ","")&amp;BU741)</f>
        <v>Gebinde geschätzt (Mittel); Überbestand 5 Stk / CHF 162; Menge pro Gebinde fehlt (Ist = 1 Gebinde); gehört nicht ins KTL</v>
      </c>
      <c r="BN741" s="48"/>
      <c r="BO741" s="48"/>
      <c r="BP741" s="55"/>
      <c r="BQ741" s="50" t="n">
        <v>0</v>
      </c>
      <c r="BR741" s="50" t="n">
        <v>7</v>
      </c>
      <c r="BS741" s="49" t="n">
        <v>-1.4210854715202E-014</v>
      </c>
      <c r="BT741" s="50" t="n">
        <v>3</v>
      </c>
      <c r="BU741" s="48" t="s">
        <v>1478</v>
      </c>
      <c r="BV741" s="53" t="n">
        <v>0</v>
      </c>
      <c r="BW741" s="53" t="n">
        <v>741</v>
      </c>
      <c r="BX741" s="48" t="str">
        <f aca="false">IF(U741&lt;&gt;"",UPPER(TRIM(U741)),IF(CA741=1,UPPER(VLOOKUP(T741,Parameter!$I$27:$K$29,2,0)),IF(P741="","LOSE",P741)))</f>
        <v>S61</v>
      </c>
      <c r="BY741" s="50" t="n">
        <f aca="false">IF(BX741="LOSE",1,IF(N(V741)&gt;0,V741,IF(CA741=1,MAX(1,N(VLOOKUP(T741,Parameter!$I$27:$K$29,3,0)),H741,N(N741)),IF(N(Q741)&gt;0,Q741,MAX(1,H741)))))</f>
        <v>7</v>
      </c>
      <c r="BZ741" s="53" t="n">
        <f aca="false">IF(BX741="LOSE",1,0)</f>
        <v>0</v>
      </c>
      <c r="CA741" s="53" t="n">
        <f aca="false">IF(AND(U741="",OR(P741="",P741="LOSE"),T741&lt;&gt;"",N(S741)&lt;=0,ISNUMBER(MATCH(T741,Parameter!$I$27:$I$29,0))),1,0)</f>
        <v>1</v>
      </c>
      <c r="CB741" s="53" t="n">
        <f aca="false">IF(CQ741&gt;0,INDEX(Parameter!$H$5:$H$7,W741)/INDEX(Parameter!$E$5:$E$7,W741),IF(AND(BZ741=0,N(IFERROR(VLOOKUP(BX741,'Gebinde-Kategorie'!$A$5:$N$45,14,0),0))&gt;0),VLOOKUP(BX741,'Gebinde-Kategorie'!$A$5:$N$45,14,0)*10+Parameter!$M$23,Parameter!$M$24))</f>
        <v>145</v>
      </c>
      <c r="CC741" s="48" t="str">
        <f aca="false">IF(AND(Parameter!$B$19="Ja",E741&lt;&gt;"",ISNUMBER(MATCH(E741,Parameter!$I$35:$I$52,0))),VLOOKUP(E741,Parameter!$I$35:$J$52,2,0),IFERROR(VLOOKUP(D741,Parameter!$A$35:$C$64,2,0),"Nein"))</f>
        <v>2+3</v>
      </c>
      <c r="CD741" s="52" t="n">
        <f aca="false">IF(BZ741=0,0,IF(N(S741)&gt;0,S741,IFERROR(VLOOKUP(D741,Parameter!$A$35:$C$64,3,0)+0,0)))</f>
        <v>0</v>
      </c>
      <c r="CE741" s="48" t="n">
        <f aca="false">IF(AA741&lt;&gt;"",AA741,Z741)</f>
        <v>2</v>
      </c>
      <c r="CF741" s="48" t="str">
        <f aca="false">IF(OR(CE741=1,CE741=2,CE741=3),IF(Parameter!$E$27="Ja","LIFT",IF(CE741=1,"L1","L23")),IF(CE741="Aussen","Aussen","-"))</f>
        <v>LIFT</v>
      </c>
      <c r="CG741" s="59" t="n">
        <f aca="false">IF(N(AB741)&gt;0,AB741,0)</f>
        <v>0</v>
      </c>
      <c r="CH741" s="53" t="n">
        <f aca="false">IF(ISNUMBER(AE741),1,0)</f>
        <v>0</v>
      </c>
      <c r="CI741" s="50" t="n">
        <f aca="false">N(AE741)</f>
        <v>0</v>
      </c>
      <c r="CJ741" s="50" t="n">
        <f aca="false">N(M741)+N(N741)</f>
        <v>0</v>
      </c>
      <c r="CK741" s="50" t="n">
        <f aca="false">N(M741)</f>
        <v>0</v>
      </c>
      <c r="CL741" s="50" t="n">
        <f aca="false">N(N741)</f>
        <v>0</v>
      </c>
      <c r="CM741" s="50" t="n">
        <f aca="false">ROUNDUP(H741/BY741,0)</f>
        <v>1</v>
      </c>
      <c r="CN741" s="50" t="n">
        <f aca="false">ROUNDUP(CI741/BY741,0)</f>
        <v>0</v>
      </c>
      <c r="CO741" s="53" t="n">
        <f aca="false">IF(BZ741=1,0,IFERROR(VLOOKUP(BX741,'Gebinde-Kategorie'!$A$5:$N$45,5,0)+0,0))</f>
        <v>11</v>
      </c>
      <c r="CP741" s="53" t="n">
        <f aca="false">IFERROR(IF(OR(CE741=1,CE741=2,CE741=3),N(INDEX(Parameter!$I$5:$I$7,CE741)),0),0)</f>
        <v>0</v>
      </c>
      <c r="CQ741" s="52" t="n">
        <f aca="false">IF(AND(Parameter!$B$21="Ja",ISNUMBER(W741),N(X741)&gt;0),IFERROR(N(INDEX(Parameter!$L$5:$L$7,W741))*INDEX(Parameter!$E$5:$E$7,W741)*X741/SUMIFS($X$7:$X$1843,$W$7:$W$1843,W741),0),0)</f>
        <v>0</v>
      </c>
    </row>
    <row r="742" customFormat="false" ht="15" hidden="false" customHeight="false" outlineLevel="0" collapsed="false">
      <c r="A742" s="48" t="s">
        <v>1479</v>
      </c>
      <c r="B742" s="48" t="s">
        <v>1480</v>
      </c>
      <c r="C742" s="48" t="s">
        <v>173</v>
      </c>
      <c r="D742" s="48" t="s">
        <v>1481</v>
      </c>
      <c r="E742" s="48"/>
      <c r="F742" s="48" t="s">
        <v>227</v>
      </c>
      <c r="G742" s="49" t="n">
        <v>79.34</v>
      </c>
      <c r="H742" s="50" t="n">
        <f aca="false">MAX(0,IF(AND(Parameter!$B$21="Ja",ISNUMBER(Y742)),Y742,IF(Parameter!$B$20="Jahresanfang 2025 + Export",BR742+BQ742,BQ742)))</f>
        <v>1</v>
      </c>
      <c r="I742" s="50" t="n">
        <f aca="false">H742*G742</f>
        <v>79.34</v>
      </c>
      <c r="J742" s="50" t="n">
        <f aca="false">BT742*Parameter!$B$18</f>
        <v>2</v>
      </c>
      <c r="K742" s="51" t="n">
        <v>3</v>
      </c>
      <c r="L742" s="52" t="n">
        <v>0.666666666666667</v>
      </c>
      <c r="M742" s="50" t="n">
        <v>0</v>
      </c>
      <c r="N742" s="50" t="n">
        <v>2</v>
      </c>
      <c r="O742" s="53" t="n">
        <v>21</v>
      </c>
      <c r="P742" s="48" t="s">
        <v>177</v>
      </c>
      <c r="Q742" s="50"/>
      <c r="R742" s="53" t="n">
        <f aca="false">IF(BZ742=1,0,IFERROR(VLOOKUP(BX742,'Gebinde-Kategorie'!$A$5:$N$45,13,0)+0,0))</f>
        <v>0</v>
      </c>
      <c r="S742" s="54"/>
      <c r="T742" s="55"/>
      <c r="U742" s="55"/>
      <c r="V742" s="55"/>
      <c r="W742" s="48"/>
      <c r="X742" s="50"/>
      <c r="Y742" s="50"/>
      <c r="Z742" s="48" t="str">
        <f aca="false">IF(A742="","",IF(AND(Parameter!$B$21="Ja",ISNUMBER(W742)),W742,IF(CC742="2+3",IF(ISNUMBER(SEARCH("grosser Artikel",BU742)),2,IFERROR(VLOOKUP(BX742,Parameter!$F$35:$G$64,2,0),2)),IF(OR(CC742="Nein",CC742=""),"-",CC742))))</f>
        <v>-</v>
      </c>
      <c r="AA742" s="55"/>
      <c r="AB742" s="56"/>
      <c r="AC742" s="50" t="n">
        <f aca="false">AV742</f>
        <v>2</v>
      </c>
      <c r="AD742" s="50" t="n">
        <f aca="false">MAX(AV742,H742)</f>
        <v>2</v>
      </c>
      <c r="AE742" s="57"/>
      <c r="AF742" s="50" t="n">
        <f aca="false">IF(LEFT(Cockpit!$C$5,1)="A",H742,IF(Parameter!$E$30="MAX-Bestand",IF(CH742=1,CI742,IF(LEFT(Cockpit!$C$5,1)="B",AL742,MAX(AL742,H742))),ROUNDUP(AJ742,0)))</f>
        <v>1</v>
      </c>
      <c r="AG742" s="50" t="n">
        <f aca="false">IF(BZ742=1,0,ROUNDUP(AF742/BY742,0))</f>
        <v>0</v>
      </c>
      <c r="AH742" s="52" t="n">
        <f aca="false">IF(CQ742&gt;0,CQ742*MAX(1,AF742/X742),IF(BZ742=1,IF(AF742&lt;=0,0,CD742*MAX(1,IF(H742&gt;0,AF742/H742,1))),IF(R742&gt;0,AG742/R742,0))/MAX(0.1,N(Parameter!$M$21)))</f>
        <v>0.15</v>
      </c>
      <c r="AI742" s="50" t="n">
        <f aca="false">AH742*CB742</f>
        <v>35.25</v>
      </c>
      <c r="AJ742" s="51" t="n">
        <f aca="false">IF(LEFT(Cockpit!$C$5,1)="A",H742,IF(CH742=1,(CK742+CI742)/2,IF(LEFT(Cockpit!$C$5,1)="B",(CK742+AL742)/2,MAX((CK742+AL742)/2,H742))))</f>
        <v>1</v>
      </c>
      <c r="AK742" s="50" t="n">
        <f aca="false">AJ742*G742</f>
        <v>79.34</v>
      </c>
      <c r="AL742" s="50" t="n">
        <f aca="false">ROUNDUP(CK742+MAX(CL742,2*(J742/IF(CG742&gt;0,CG742,MAX(0.1,N(Cockpit!$C$6)))-CK742)),0)</f>
        <v>2</v>
      </c>
      <c r="AM742" s="51" t="n">
        <f aca="false">IF(AI742&gt;0,J742/AI742,-1)</f>
        <v>0.0567375886524823</v>
      </c>
      <c r="AN742" s="51" t="str">
        <f aca="false">IF(AND(OR(CF742="L1",CF742="L23",CF742="LIFT"),AI742&gt;0),SUMIFS($AI$7:$AI$1843,$CF$7:$CF$1843,CF742,$AM$7:$AM$1843,"&gt;"&amp;AM742)+SUMIFS($AI$7:$AI$1843,$CF$7:$CF$1843,CF742,$AM$7:$AM$1843,AM742,$BW$7:$BW$1843,"&lt;="&amp;BW742),"")</f>
        <v/>
      </c>
      <c r="AO742" s="58" t="n">
        <f aca="false">IF(AN742="",0,MAX(0,MIN(1,(IF(CF742="L1",Parameter!$H$5,IF(CF742="L23",Parameter!$H$6+Parameter!$H$7,Parameter!$H$5+Parameter!$H$6+Parameter!$H$7))-(AN742-AI742))/AI742)))</f>
        <v>0</v>
      </c>
      <c r="AP742" s="50" t="n">
        <f aca="false">IF(LEFT(Cockpit!$I$5,1)="A",H742,IF(Parameter!$E$30="MAX-Bestand",IF(CH742=1,CI742,IF(LEFT(Cockpit!$I$5,1)="B",AV742,MAX(AV742,H742))),ROUNDUP(AT742,0)))</f>
        <v>1</v>
      </c>
      <c r="AQ742" s="50" t="n">
        <f aca="false">IF(BZ742=1,0,ROUNDUP(AP742/BY742,0))</f>
        <v>0</v>
      </c>
      <c r="AR742" s="52" t="n">
        <f aca="false">IF(CQ742&gt;0,CQ742*MAX(1,AP742/X742),IF(BZ742=1,IF(AP742&lt;=0,0,CD742*MAX(1,IF(H742&gt;0,AP742/H742,1))),IF(R742&gt;0,AQ742/R742,0))/MAX(0.1,N(Parameter!$M$21)))</f>
        <v>0.15</v>
      </c>
      <c r="AS742" s="50" t="n">
        <f aca="false">AR742*CB742</f>
        <v>35.25</v>
      </c>
      <c r="AT742" s="51" t="n">
        <f aca="false">IF(LEFT(Cockpit!$I$5,1)="A",H742,IF(CH742=1,(CK742+CI742)/2,IF(LEFT(Cockpit!$I$5,1)="B",(CK742+AV742)/2,MAX((CK742+AV742)/2,H742))))</f>
        <v>1</v>
      </c>
      <c r="AU742" s="50" t="n">
        <f aca="false">AT742*G742</f>
        <v>79.34</v>
      </c>
      <c r="AV742" s="50" t="n">
        <f aca="false">ROUNDUP(CK742+MAX(CL742,2*(J742/IF(CG742&gt;0,CG742,MAX(0.1,N(Cockpit!$I$6)))-CK742)),0)</f>
        <v>2</v>
      </c>
      <c r="AW742" s="51" t="n">
        <f aca="false">IF(AS742&gt;0,J742/AS742,-1)</f>
        <v>0.0567375886524823</v>
      </c>
      <c r="AX742" s="51" t="str">
        <f aca="false">IF(AND(OR(CF742="L1",CF742="L23",CF742="LIFT"),AS742&gt;0),SUMIFS($AS$7:$AS$1843,$CF$7:$CF$1843,CF742,$AW$7:$AW$1843,"&gt;"&amp;AW742)+SUMIFS($AS$7:$AS$1843,$CF$7:$CF$1843,CF742,$AW$7:$AW$1843,AW742,$BW$7:$BW$1843,"&lt;="&amp;BW742),"")</f>
        <v/>
      </c>
      <c r="AY742" s="58" t="n">
        <f aca="false">IF(AX742="",0,MAX(0,MIN(1,(IF(CF742="L1",Parameter!$H$5,IF(CF742="L23",Parameter!$H$6+Parameter!$H$7,Parameter!$H$5+Parameter!$H$6+Parameter!$H$7))-(AX742-AS742))/AS742)))</f>
        <v>0</v>
      </c>
      <c r="AZ742" s="50" t="n">
        <f aca="false">IF(LEFT(Cockpit!$O$5,1)="A",H742,IF(Parameter!$E$30="MAX-Bestand",IF(CH742=1,CI742,IF(LEFT(Cockpit!$O$5,1)="B",BF742,MAX(BF742,H742))),ROUNDUP(BD742,0)))</f>
        <v>1</v>
      </c>
      <c r="BA742" s="50" t="n">
        <f aca="false">IF(BZ742=1,0,ROUNDUP(AZ742/BY742,0))</f>
        <v>0</v>
      </c>
      <c r="BB742" s="52" t="n">
        <f aca="false">IF(CQ742&gt;0,CQ742*MAX(1,AZ742/X742),IF(BZ742=1,IF(AZ742&lt;=0,0,CD742*MAX(1,IF(H742&gt;0,AZ742/H742,1))),IF(R742&gt;0,BA742/R742,0))/MAX(0.1,N(Parameter!$M$21)))</f>
        <v>0.15</v>
      </c>
      <c r="BC742" s="50" t="n">
        <f aca="false">BB742*CB742</f>
        <v>35.25</v>
      </c>
      <c r="BD742" s="51" t="n">
        <f aca="false">IF(LEFT(Cockpit!$O$5,1)="A",H742,IF(CH742=1,(CK742+CI742)/2,IF(LEFT(Cockpit!$O$5,1)="B",(CK742+BF742)/2,MAX((CK742+BF742)/2,H742))))</f>
        <v>1</v>
      </c>
      <c r="BE742" s="50" t="n">
        <f aca="false">BD742*G742</f>
        <v>79.34</v>
      </c>
      <c r="BF742" s="50" t="n">
        <f aca="false">ROUNDUP(CK742+MAX(CL742,2*(J742/IF(CG742&gt;0,CG742,MAX(0.1,N(Cockpit!$O$6)))-CK742)),0)</f>
        <v>2</v>
      </c>
      <c r="BG742" s="51" t="n">
        <f aca="false">IF(BC742&gt;0,J742/BC742,-1)</f>
        <v>0.0567375886524823</v>
      </c>
      <c r="BH742" s="51" t="str">
        <f aca="false">IF(AND(OR(CF742="L1",CF742="L23",CF742="LIFT"),BC742&gt;0),SUMIFS($BC$7:$BC$1843,$CF$7:$CF$1843,CF742,$BG$7:$BG$1843,"&gt;"&amp;BG742)+SUMIFS($BC$7:$BC$1843,$CF$7:$CF$1843,CF742,$BG$7:$BG$1843,BG742,$BW$7:$BW$1843,"&lt;="&amp;BW742),"")</f>
        <v/>
      </c>
      <c r="BI742" s="58" t="n">
        <f aca="false">IF(BH742="",0,MAX(0,MIN(1,(IF(CF742="L1",Parameter!$H$5,IF(CF742="L23",Parameter!$H$6+Parameter!$H$7,Parameter!$H$5+Parameter!$H$6+Parameter!$H$7))-(BH742-BC742))/BC742)))</f>
        <v>0</v>
      </c>
      <c r="BJ742" s="48" t="str">
        <f aca="false">IF(AI742&lt;=0,"",IF(CF742="Aussen","Aussenlager",IF(CF742="-","Nicht im Lift",IF(AO742&gt;=1,"Lift",IF(AO742&lt;=0,"Aussenlager","teilweise")))))</f>
        <v>Nicht im Lift</v>
      </c>
      <c r="BK742" s="48" t="str">
        <f aca="false">IF(AS742&lt;=0,"",IF(CF742="Aussen","Aussenlager",IF(CF742="-","Nicht im Lift",IF(AY742&gt;=1,"Lift",IF(AY742&lt;=0,"Aussenlager","teilweise")))))</f>
        <v>Nicht im Lift</v>
      </c>
      <c r="BL742" s="48" t="str">
        <f aca="false">IF(BC742&lt;=0,"",IF(CF742="Aussen","Aussenlager",IF(CF742="-","Nicht im Lift",IF(BI742&gt;=1,"Lift",IF(BI742&lt;=0,"Aussenlager","teilweise")))))</f>
        <v>Nicht im Lift</v>
      </c>
      <c r="BM742" s="48" t="str">
        <f aca="false">IF(A742="","",IF(BV742=1,"Neu; ","")&amp;IF(AND(BV742=0,BQ742&lt;0),"negativer Bestand (Export "&amp;BQ742&amp;"); ","")&amp;IF(J742&lt;=0,"Kein Verbrauch; ","")&amp;IF(CQ742&gt;0,"Lift "&amp;W742&amp;" lt. Liftbericht (Fach "&amp;X742&amp;" Stk); ",IF(CA742=1,"Gebinde geschätzt ("&amp;T742&amp;"); ",IF(BZ742=1,"Lose – Tablare geschätzt; ","")))&amp;IF(H742&gt;AV742,"Überbestand "&amp;ROUND(H742-AV742,0)&amp;" Stk / CHF "&amp;ROUND((H742-AV742)*G742,0)&amp;"; ","")&amp;IF(AND(CH742=1,CI742&lt;CJ742),"MAX &lt; MB+LG; ","")&amp;IF(AND(CP742&gt;0,CO742*10&gt;CP742),"zu hoch für Tablar; ","")&amp;IF(AND(BV742=0,OR(CH742=1,AA742&lt;&gt;"",U742&lt;&gt;"",V742&lt;&gt;"",AB742&lt;&gt;"")),"manuell übersteuert; ","")&amp;IF(AND(BZ742=0,R742=0),"Gebinde unbekannt / Stellmass fehlt; ","")&amp;IF(AND(BZ742=0,N(V742)&lt;=0,N(Q742)&lt;=0),"Menge pro Gebinde fehlt (Ist = 1 Gebinde); ","")&amp;BU742)</f>
        <v>Lose – Tablare geschätzt; Kleidung</v>
      </c>
      <c r="BN742" s="48"/>
      <c r="BO742" s="48"/>
      <c r="BP742" s="55"/>
      <c r="BQ742" s="50" t="n">
        <v>0</v>
      </c>
      <c r="BR742" s="50" t="n">
        <v>1</v>
      </c>
      <c r="BS742" s="49" t="n">
        <v>-1.4210854715202E-014</v>
      </c>
      <c r="BT742" s="50" t="n">
        <v>2</v>
      </c>
      <c r="BU742" s="48" t="s">
        <v>1482</v>
      </c>
      <c r="BV742" s="53" t="n">
        <v>0</v>
      </c>
      <c r="BW742" s="53" t="n">
        <v>742</v>
      </c>
      <c r="BX742" s="48" t="str">
        <f aca="false">IF(U742&lt;&gt;"",UPPER(TRIM(U742)),IF(CA742=1,UPPER(VLOOKUP(T742,Parameter!$I$27:$K$29,2,0)),IF(P742="","LOSE",P742)))</f>
        <v>LOSE</v>
      </c>
      <c r="BY742" s="50" t="n">
        <f aca="false">IF(BX742="LOSE",1,IF(N(V742)&gt;0,V742,IF(CA742=1,MAX(1,N(VLOOKUP(T742,Parameter!$I$27:$K$29,3,0)),H742,N(N742)),IF(N(Q742)&gt;0,Q742,MAX(1,H742)))))</f>
        <v>1</v>
      </c>
      <c r="BZ742" s="53" t="n">
        <f aca="false">IF(BX742="LOSE",1,0)</f>
        <v>1</v>
      </c>
      <c r="CA742" s="53" t="n">
        <f aca="false">IF(AND(U742="",OR(P742="",P742="LOSE"),T742&lt;&gt;"",N(S742)&lt;=0,ISNUMBER(MATCH(T742,Parameter!$I$27:$I$29,0))),1,0)</f>
        <v>0</v>
      </c>
      <c r="CB742" s="53" t="n">
        <f aca="false">IF(CQ742&gt;0,INDEX(Parameter!$H$5:$H$7,W742)/INDEX(Parameter!$E$5:$E$7,W742),IF(AND(BZ742=0,N(IFERROR(VLOOKUP(BX742,'Gebinde-Kategorie'!$A$5:$N$45,14,0),0))&gt;0),VLOOKUP(BX742,'Gebinde-Kategorie'!$A$5:$N$45,14,0)*10+Parameter!$M$23,Parameter!$M$24))</f>
        <v>235</v>
      </c>
      <c r="CC742" s="48" t="str">
        <f aca="false">IF(AND(Parameter!$B$19="Ja",E742&lt;&gt;"",ISNUMBER(MATCH(E742,Parameter!$I$35:$I$52,0))),VLOOKUP(E742,Parameter!$I$35:$J$52,2,0),IFERROR(VLOOKUP(D742,Parameter!$A$35:$C$64,2,0),"Nein"))</f>
        <v>Nein</v>
      </c>
      <c r="CD742" s="52" t="n">
        <f aca="false">IF(BZ742=0,0,IF(N(S742)&gt;0,S742,IFERROR(VLOOKUP(D742,Parameter!$A$35:$C$64,3,0)+0,0)))</f>
        <v>0.15</v>
      </c>
      <c r="CE742" s="48" t="str">
        <f aca="false">IF(AA742&lt;&gt;"",AA742,Z742)</f>
        <v>-</v>
      </c>
      <c r="CF742" s="48" t="str">
        <f aca="false">IF(OR(CE742=1,CE742=2,CE742=3),IF(Parameter!$E$27="Ja","LIFT",IF(CE742=1,"L1","L23")),IF(CE742="Aussen","Aussen","-"))</f>
        <v>-</v>
      </c>
      <c r="CG742" s="59" t="n">
        <f aca="false">IF(N(AB742)&gt;0,AB742,0)</f>
        <v>0</v>
      </c>
      <c r="CH742" s="53" t="n">
        <f aca="false">IF(ISNUMBER(AE742),1,0)</f>
        <v>0</v>
      </c>
      <c r="CI742" s="50" t="n">
        <f aca="false">N(AE742)</f>
        <v>0</v>
      </c>
      <c r="CJ742" s="50" t="n">
        <f aca="false">N(M742)+N(N742)</f>
        <v>2</v>
      </c>
      <c r="CK742" s="50" t="n">
        <f aca="false">N(M742)</f>
        <v>0</v>
      </c>
      <c r="CL742" s="50" t="n">
        <f aca="false">N(N742)</f>
        <v>2</v>
      </c>
      <c r="CM742" s="50" t="n">
        <f aca="false">ROUNDUP(H742/BY742,0)</f>
        <v>1</v>
      </c>
      <c r="CN742" s="50" t="n">
        <f aca="false">ROUNDUP(CI742/BY742,0)</f>
        <v>0</v>
      </c>
      <c r="CO742" s="53" t="n">
        <f aca="false">IF(BZ742=1,0,IFERROR(VLOOKUP(BX742,'Gebinde-Kategorie'!$A$5:$N$45,5,0)+0,0))</f>
        <v>0</v>
      </c>
      <c r="CP742" s="53" t="n">
        <f aca="false">IFERROR(IF(OR(CE742=1,CE742=2,CE742=3),N(INDEX(Parameter!$I$5:$I$7,CE742)),0),0)</f>
        <v>0</v>
      </c>
      <c r="CQ742" s="52" t="n">
        <f aca="false">IF(AND(Parameter!$B$21="Ja",ISNUMBER(W742),N(X742)&gt;0),IFERROR(N(INDEX(Parameter!$L$5:$L$7,W742))*INDEX(Parameter!$E$5:$E$7,W742)*X742/SUMIFS($X$7:$X$1843,$W$7:$W$1843,W742),0),0)</f>
        <v>0</v>
      </c>
    </row>
    <row r="743" customFormat="false" ht="15" hidden="false" customHeight="false" outlineLevel="0" collapsed="false">
      <c r="A743" s="48" t="s">
        <v>1483</v>
      </c>
      <c r="B743" s="48" t="s">
        <v>1337</v>
      </c>
      <c r="C743" s="48" t="s">
        <v>173</v>
      </c>
      <c r="D743" s="48" t="s">
        <v>1004</v>
      </c>
      <c r="E743" s="48"/>
      <c r="F743" s="48" t="s">
        <v>227</v>
      </c>
      <c r="G743" s="49" t="n">
        <v>19.76</v>
      </c>
      <c r="H743" s="50" t="n">
        <f aca="false">MAX(0,IF(AND(Parameter!$B$21="Ja",ISNUMBER(Y743)),Y743,IF(Parameter!$B$20="Jahresanfang 2025 + Export",BR743+BQ743,BQ743)))</f>
        <v>0</v>
      </c>
      <c r="I743" s="50" t="n">
        <f aca="false">H743*G743</f>
        <v>0</v>
      </c>
      <c r="J743" s="50" t="n">
        <f aca="false">BT743*Parameter!$B$18</f>
        <v>60</v>
      </c>
      <c r="K743" s="51" t="n">
        <v>0</v>
      </c>
      <c r="L743" s="52" t="n">
        <v>0</v>
      </c>
      <c r="M743" s="50" t="n">
        <v>0</v>
      </c>
      <c r="N743" s="50" t="n">
        <v>10</v>
      </c>
      <c r="O743" s="53" t="n">
        <v>28</v>
      </c>
      <c r="P743" s="48" t="s">
        <v>177</v>
      </c>
      <c r="Q743" s="50"/>
      <c r="R743" s="53" t="n">
        <f aca="false">IF(BZ743=1,0,IFERROR(VLOOKUP(BX743,'Gebinde-Kategorie'!$A$5:$N$45,13,0)+0,0))</f>
        <v>0</v>
      </c>
      <c r="S743" s="54"/>
      <c r="T743" s="55"/>
      <c r="U743" s="55"/>
      <c r="V743" s="55"/>
      <c r="W743" s="48"/>
      <c r="X743" s="50"/>
      <c r="Y743" s="50"/>
      <c r="Z743" s="48" t="str">
        <f aca="false">IF(A743="","",IF(AND(Parameter!$B$21="Ja",ISNUMBER(W743)),W743,IF(CC743="2+3",IF(ISNUMBER(SEARCH("grosser Artikel",BU743)),2,IFERROR(VLOOKUP(BX743,Parameter!$F$35:$G$64,2,0),2)),IF(OR(CC743="Nein",CC743=""),"-",CC743))))</f>
        <v>-</v>
      </c>
      <c r="AA743" s="55"/>
      <c r="AB743" s="56"/>
      <c r="AC743" s="50" t="n">
        <f aca="false">AV743</f>
        <v>40</v>
      </c>
      <c r="AD743" s="50" t="n">
        <f aca="false">MAX(AV743,H743)</f>
        <v>40</v>
      </c>
      <c r="AE743" s="57"/>
      <c r="AF743" s="50" t="n">
        <f aca="false">IF(LEFT(Cockpit!$C$5,1)="A",H743,IF(Parameter!$E$30="MAX-Bestand",IF(CH743=1,CI743,IF(LEFT(Cockpit!$C$5,1)="B",AL743,MAX(AL743,H743))),ROUNDUP(AJ743,0)))</f>
        <v>0</v>
      </c>
      <c r="AG743" s="50" t="n">
        <f aca="false">IF(BZ743=1,0,ROUNDUP(AF743/BY743,0))</f>
        <v>0</v>
      </c>
      <c r="AH743" s="52" t="n">
        <f aca="false">IF(CQ743&gt;0,CQ743*MAX(1,AF743/X743),IF(BZ743=1,IF(AF743&lt;=0,0,CD743*MAX(1,IF(H743&gt;0,AF743/H743,1))),IF(R743&gt;0,AG743/R743,0))/MAX(0.1,N(Parameter!$M$21)))</f>
        <v>0</v>
      </c>
      <c r="AI743" s="50" t="n">
        <f aca="false">AH743*CB743</f>
        <v>0</v>
      </c>
      <c r="AJ743" s="51" t="n">
        <f aca="false">IF(LEFT(Cockpit!$C$5,1)="A",H743,IF(CH743=1,(CK743+CI743)/2,IF(LEFT(Cockpit!$C$5,1)="B",(CK743+AL743)/2,MAX((CK743+AL743)/2,H743))))</f>
        <v>0</v>
      </c>
      <c r="AK743" s="50" t="n">
        <f aca="false">AJ743*G743</f>
        <v>0</v>
      </c>
      <c r="AL743" s="50" t="n">
        <f aca="false">ROUNDUP(CK743+MAX(CL743,2*(J743/IF(CG743&gt;0,CG743,MAX(0.1,N(Cockpit!$C$6)))-CK743)),0)</f>
        <v>40</v>
      </c>
      <c r="AM743" s="51" t="n">
        <f aca="false">IF(AI743&gt;0,J743/AI743,-1)</f>
        <v>-1</v>
      </c>
      <c r="AN743" s="51" t="str">
        <f aca="false">IF(AND(OR(CF743="L1",CF743="L23",CF743="LIFT"),AI743&gt;0),SUMIFS($AI$7:$AI$1843,$CF$7:$CF$1843,CF743,$AM$7:$AM$1843,"&gt;"&amp;AM743)+SUMIFS($AI$7:$AI$1843,$CF$7:$CF$1843,CF743,$AM$7:$AM$1843,AM743,$BW$7:$BW$1843,"&lt;="&amp;BW743),"")</f>
        <v/>
      </c>
      <c r="AO743" s="58" t="n">
        <f aca="false">IF(AN743="",0,MAX(0,MIN(1,(IF(CF743="L1",Parameter!$H$5,IF(CF743="L23",Parameter!$H$6+Parameter!$H$7,Parameter!$H$5+Parameter!$H$6+Parameter!$H$7))-(AN743-AI743))/AI743)))</f>
        <v>0</v>
      </c>
      <c r="AP743" s="50" t="n">
        <f aca="false">IF(LEFT(Cockpit!$I$5,1)="A",H743,IF(Parameter!$E$30="MAX-Bestand",IF(CH743=1,CI743,IF(LEFT(Cockpit!$I$5,1)="B",AV743,MAX(AV743,H743))),ROUNDUP(AT743,0)))</f>
        <v>20</v>
      </c>
      <c r="AQ743" s="50" t="n">
        <f aca="false">IF(BZ743=1,0,ROUNDUP(AP743/BY743,0))</f>
        <v>0</v>
      </c>
      <c r="AR743" s="52" t="n">
        <f aca="false">IF(CQ743&gt;0,CQ743*MAX(1,AP743/X743),IF(BZ743=1,IF(AP743&lt;=0,0,CD743*MAX(1,IF(H743&gt;0,AP743/H743,1))),IF(R743&gt;0,AQ743/R743,0))/MAX(0.1,N(Parameter!$M$21)))</f>
        <v>0.15</v>
      </c>
      <c r="AS743" s="50" t="n">
        <f aca="false">AR743*CB743</f>
        <v>35.25</v>
      </c>
      <c r="AT743" s="51" t="n">
        <f aca="false">IF(LEFT(Cockpit!$I$5,1)="A",H743,IF(CH743=1,(CK743+CI743)/2,IF(LEFT(Cockpit!$I$5,1)="B",(CK743+AV743)/2,MAX((CK743+AV743)/2,H743))))</f>
        <v>20</v>
      </c>
      <c r="AU743" s="50" t="n">
        <f aca="false">AT743*G743</f>
        <v>395.2</v>
      </c>
      <c r="AV743" s="50" t="n">
        <f aca="false">ROUNDUP(CK743+MAX(CL743,2*(J743/IF(CG743&gt;0,CG743,MAX(0.1,N(Cockpit!$I$6)))-CK743)),0)</f>
        <v>40</v>
      </c>
      <c r="AW743" s="51" t="n">
        <f aca="false">IF(AS743&gt;0,J743/AS743,-1)</f>
        <v>1.70212765957447</v>
      </c>
      <c r="AX743" s="51" t="str">
        <f aca="false">IF(AND(OR(CF743="L1",CF743="L23",CF743="LIFT"),AS743&gt;0),SUMIFS($AS$7:$AS$1843,$CF$7:$CF$1843,CF743,$AW$7:$AW$1843,"&gt;"&amp;AW743)+SUMIFS($AS$7:$AS$1843,$CF$7:$CF$1843,CF743,$AW$7:$AW$1843,AW743,$BW$7:$BW$1843,"&lt;="&amp;BW743),"")</f>
        <v/>
      </c>
      <c r="AY743" s="58" t="n">
        <f aca="false">IF(AX743="",0,MAX(0,MIN(1,(IF(CF743="L1",Parameter!$H$5,IF(CF743="L23",Parameter!$H$6+Parameter!$H$7,Parameter!$H$5+Parameter!$H$6+Parameter!$H$7))-(AX743-AS743))/AS743)))</f>
        <v>0</v>
      </c>
      <c r="AZ743" s="50" t="n">
        <f aca="false">IF(LEFT(Cockpit!$O$5,1)="A",H743,IF(Parameter!$E$30="MAX-Bestand",IF(CH743=1,CI743,IF(LEFT(Cockpit!$O$5,1)="B",BF743,MAX(BF743,H743))),ROUNDUP(BD743,0)))</f>
        <v>15</v>
      </c>
      <c r="BA743" s="50" t="n">
        <f aca="false">IF(BZ743=1,0,ROUNDUP(AZ743/BY743,0))</f>
        <v>0</v>
      </c>
      <c r="BB743" s="52" t="n">
        <f aca="false">IF(CQ743&gt;0,CQ743*MAX(1,AZ743/X743),IF(BZ743=1,IF(AZ743&lt;=0,0,CD743*MAX(1,IF(H743&gt;0,AZ743/H743,1))),IF(R743&gt;0,BA743/R743,0))/MAX(0.1,N(Parameter!$M$21)))</f>
        <v>0.15</v>
      </c>
      <c r="BC743" s="50" t="n">
        <f aca="false">BB743*CB743</f>
        <v>35.25</v>
      </c>
      <c r="BD743" s="51" t="n">
        <f aca="false">IF(LEFT(Cockpit!$O$5,1)="A",H743,IF(CH743=1,(CK743+CI743)/2,IF(LEFT(Cockpit!$O$5,1)="B",(CK743+BF743)/2,MAX((CK743+BF743)/2,H743))))</f>
        <v>15</v>
      </c>
      <c r="BE743" s="50" t="n">
        <f aca="false">BD743*G743</f>
        <v>296.4</v>
      </c>
      <c r="BF743" s="50" t="n">
        <f aca="false">ROUNDUP(CK743+MAX(CL743,2*(J743/IF(CG743&gt;0,CG743,MAX(0.1,N(Cockpit!$O$6)))-CK743)),0)</f>
        <v>30</v>
      </c>
      <c r="BG743" s="51" t="n">
        <f aca="false">IF(BC743&gt;0,J743/BC743,-1)</f>
        <v>1.70212765957447</v>
      </c>
      <c r="BH743" s="51" t="str">
        <f aca="false">IF(AND(OR(CF743="L1",CF743="L23",CF743="LIFT"),BC743&gt;0),SUMIFS($BC$7:$BC$1843,$CF$7:$CF$1843,CF743,$BG$7:$BG$1843,"&gt;"&amp;BG743)+SUMIFS($BC$7:$BC$1843,$CF$7:$CF$1843,CF743,$BG$7:$BG$1843,BG743,$BW$7:$BW$1843,"&lt;="&amp;BW743),"")</f>
        <v/>
      </c>
      <c r="BI743" s="58" t="n">
        <f aca="false">IF(BH743="",0,MAX(0,MIN(1,(IF(CF743="L1",Parameter!$H$5,IF(CF743="L23",Parameter!$H$6+Parameter!$H$7,Parameter!$H$5+Parameter!$H$6+Parameter!$H$7))-(BH743-BC743))/BC743)))</f>
        <v>0</v>
      </c>
      <c r="BJ743" s="48" t="str">
        <f aca="false">IF(AI743&lt;=0,"",IF(CF743="Aussen","Aussenlager",IF(CF743="-","Nicht im Lift",IF(AO743&gt;=1,"Lift",IF(AO743&lt;=0,"Aussenlager","teilweise")))))</f>
        <v/>
      </c>
      <c r="BK743" s="48" t="str">
        <f aca="false">IF(AS743&lt;=0,"",IF(CF743="Aussen","Aussenlager",IF(CF743="-","Nicht im Lift",IF(AY743&gt;=1,"Lift",IF(AY743&lt;=0,"Aussenlager","teilweise")))))</f>
        <v>Nicht im Lift</v>
      </c>
      <c r="BL743" s="48" t="str">
        <f aca="false">IF(BC743&lt;=0,"",IF(CF743="Aussen","Aussenlager",IF(CF743="-","Nicht im Lift",IF(BI743&gt;=1,"Lift",IF(BI743&lt;=0,"Aussenlager","teilweise")))))</f>
        <v>Nicht im Lift</v>
      </c>
      <c r="BM743" s="48" t="str">
        <f aca="false">IF(A743="","",IF(BV743=1,"Neu; ","")&amp;IF(AND(BV743=0,BQ743&lt;0),"negativer Bestand (Export "&amp;BQ743&amp;"); ","")&amp;IF(J743&lt;=0,"Kein Verbrauch; ","")&amp;IF(CQ743&gt;0,"Lift "&amp;W743&amp;" lt. Liftbericht (Fach "&amp;X743&amp;" Stk); ",IF(CA743=1,"Gebinde geschätzt ("&amp;T743&amp;"); ",IF(BZ743=1,"Lose – Tablare geschätzt; ","")))&amp;IF(H743&gt;AV743,"Überbestand "&amp;ROUND(H743-AV743,0)&amp;" Stk / CHF "&amp;ROUND((H743-AV743)*G743,0)&amp;"; ","")&amp;IF(AND(CH743=1,CI743&lt;CJ743),"MAX &lt; MB+LG; ","")&amp;IF(AND(CP743&gt;0,CO743*10&gt;CP743),"zu hoch für Tablar; ","")&amp;IF(AND(BV743=0,OR(CH743=1,AA743&lt;&gt;"",U743&lt;&gt;"",V743&lt;&gt;"",AB743&lt;&gt;"")),"manuell übersteuert; ","")&amp;IF(AND(BZ743=0,R743=0),"Gebinde unbekannt / Stellmass fehlt; ","")&amp;IF(AND(BZ743=0,N(V743)&lt;=0,N(Q743)&lt;=0),"Menge pro Gebinde fehlt (Ist = 1 Gebinde); ","")&amp;BU743)</f>
        <v>Lose – Tablare geschätzt; </v>
      </c>
      <c r="BN743" s="48"/>
      <c r="BO743" s="48"/>
      <c r="BP743" s="55"/>
      <c r="BQ743" s="50" t="n">
        <v>0</v>
      </c>
      <c r="BR743" s="50" t="n">
        <v>0</v>
      </c>
      <c r="BS743" s="49" t="n">
        <v>-2.1316282072803E-014</v>
      </c>
      <c r="BT743" s="50" t="n">
        <v>60</v>
      </c>
      <c r="BU743" s="48"/>
      <c r="BV743" s="53" t="n">
        <v>0</v>
      </c>
      <c r="BW743" s="53" t="n">
        <v>743</v>
      </c>
      <c r="BX743" s="48" t="str">
        <f aca="false">IF(U743&lt;&gt;"",UPPER(TRIM(U743)),IF(CA743=1,UPPER(VLOOKUP(T743,Parameter!$I$27:$K$29,2,0)),IF(P743="","LOSE",P743)))</f>
        <v>LOSE</v>
      </c>
      <c r="BY743" s="50" t="n">
        <f aca="false">IF(BX743="LOSE",1,IF(N(V743)&gt;0,V743,IF(CA743=1,MAX(1,N(VLOOKUP(T743,Parameter!$I$27:$K$29,3,0)),H743,N(N743)),IF(N(Q743)&gt;0,Q743,MAX(1,H743)))))</f>
        <v>1</v>
      </c>
      <c r="BZ743" s="53" t="n">
        <f aca="false">IF(BX743="LOSE",1,0)</f>
        <v>1</v>
      </c>
      <c r="CA743" s="53" t="n">
        <f aca="false">IF(AND(U743="",OR(P743="",P743="LOSE"),T743&lt;&gt;"",N(S743)&lt;=0,ISNUMBER(MATCH(T743,Parameter!$I$27:$I$29,0))),1,0)</f>
        <v>0</v>
      </c>
      <c r="CB743" s="53" t="n">
        <f aca="false">IF(CQ743&gt;0,INDEX(Parameter!$H$5:$H$7,W743)/INDEX(Parameter!$E$5:$E$7,W743),IF(AND(BZ743=0,N(IFERROR(VLOOKUP(BX743,'Gebinde-Kategorie'!$A$5:$N$45,14,0),0))&gt;0),VLOOKUP(BX743,'Gebinde-Kategorie'!$A$5:$N$45,14,0)*10+Parameter!$M$23,Parameter!$M$24))</f>
        <v>235</v>
      </c>
      <c r="CC743" s="48" t="str">
        <f aca="false">IF(AND(Parameter!$B$19="Ja",E743&lt;&gt;"",ISNUMBER(MATCH(E743,Parameter!$I$35:$I$52,0))),VLOOKUP(E743,Parameter!$I$35:$J$52,2,0),IFERROR(VLOOKUP(D743,Parameter!$A$35:$C$64,2,0),"Nein"))</f>
        <v>Nein</v>
      </c>
      <c r="CD743" s="52" t="n">
        <f aca="false">IF(BZ743=0,0,IF(N(S743)&gt;0,S743,IFERROR(VLOOKUP(D743,Parameter!$A$35:$C$64,3,0)+0,0)))</f>
        <v>0.15</v>
      </c>
      <c r="CE743" s="48" t="str">
        <f aca="false">IF(AA743&lt;&gt;"",AA743,Z743)</f>
        <v>-</v>
      </c>
      <c r="CF743" s="48" t="str">
        <f aca="false">IF(OR(CE743=1,CE743=2,CE743=3),IF(Parameter!$E$27="Ja","LIFT",IF(CE743=1,"L1","L23")),IF(CE743="Aussen","Aussen","-"))</f>
        <v>-</v>
      </c>
      <c r="CG743" s="59" t="n">
        <f aca="false">IF(N(AB743)&gt;0,AB743,0)</f>
        <v>0</v>
      </c>
      <c r="CH743" s="53" t="n">
        <f aca="false">IF(ISNUMBER(AE743),1,0)</f>
        <v>0</v>
      </c>
      <c r="CI743" s="50" t="n">
        <f aca="false">N(AE743)</f>
        <v>0</v>
      </c>
      <c r="CJ743" s="50" t="n">
        <f aca="false">N(M743)+N(N743)</f>
        <v>10</v>
      </c>
      <c r="CK743" s="50" t="n">
        <f aca="false">N(M743)</f>
        <v>0</v>
      </c>
      <c r="CL743" s="50" t="n">
        <f aca="false">N(N743)</f>
        <v>10</v>
      </c>
      <c r="CM743" s="50" t="n">
        <f aca="false">ROUNDUP(H743/BY743,0)</f>
        <v>0</v>
      </c>
      <c r="CN743" s="50" t="n">
        <f aca="false">ROUNDUP(CI743/BY743,0)</f>
        <v>0</v>
      </c>
      <c r="CO743" s="53" t="n">
        <f aca="false">IF(BZ743=1,0,IFERROR(VLOOKUP(BX743,'Gebinde-Kategorie'!$A$5:$N$45,5,0)+0,0))</f>
        <v>0</v>
      </c>
      <c r="CP743" s="53" t="n">
        <f aca="false">IFERROR(IF(OR(CE743=1,CE743=2,CE743=3),N(INDEX(Parameter!$I$5:$I$7,CE743)),0),0)</f>
        <v>0</v>
      </c>
      <c r="CQ743" s="52" t="n">
        <f aca="false">IF(AND(Parameter!$B$21="Ja",ISNUMBER(W743),N(X743)&gt;0),IFERROR(N(INDEX(Parameter!$L$5:$L$7,W743))*INDEX(Parameter!$E$5:$E$7,W743)*X743/SUMIFS($X$7:$X$1843,$W$7:$W$1843,W743),0),0)</f>
        <v>0</v>
      </c>
    </row>
    <row r="744" customFormat="false" ht="15" hidden="false" customHeight="false" outlineLevel="0" collapsed="false">
      <c r="A744" s="48" t="s">
        <v>1484</v>
      </c>
      <c r="B744" s="48" t="s">
        <v>598</v>
      </c>
      <c r="C744" s="48" t="s">
        <v>173</v>
      </c>
      <c r="D744" s="48" t="s">
        <v>193</v>
      </c>
      <c r="E744" s="48" t="s">
        <v>194</v>
      </c>
      <c r="F744" s="48" t="s">
        <v>227</v>
      </c>
      <c r="G744" s="49" t="n">
        <v>1.7</v>
      </c>
      <c r="H744" s="50" t="n">
        <f aca="false">MAX(0,IF(AND(Parameter!$B$21="Ja",ISNUMBER(Y744)),Y744,IF(Parameter!$B$20="Jahresanfang 2025 + Export",BR744+BQ744,BQ744)))</f>
        <v>78</v>
      </c>
      <c r="I744" s="50" t="n">
        <f aca="false">H744*G744</f>
        <v>132.6</v>
      </c>
      <c r="J744" s="50" t="n">
        <f aca="false">BT744*Parameter!$B$18</f>
        <v>80</v>
      </c>
      <c r="K744" s="51" t="n">
        <v>74</v>
      </c>
      <c r="L744" s="52" t="n">
        <v>1.08108108108108</v>
      </c>
      <c r="M744" s="50" t="n">
        <v>4</v>
      </c>
      <c r="N744" s="50" t="n">
        <v>80</v>
      </c>
      <c r="O744" s="53" t="n">
        <v>21</v>
      </c>
      <c r="P744" s="48" t="s">
        <v>435</v>
      </c>
      <c r="Q744" s="50" t="n">
        <v>157</v>
      </c>
      <c r="R744" s="53" t="n">
        <f aca="false">IF(BZ744=1,0,IFERROR(VLOOKUP(BX744,'Gebinde-Kategorie'!$A$5:$N$45,13,0)+0,0))</f>
        <v>140</v>
      </c>
      <c r="S744" s="54"/>
      <c r="T744" s="55"/>
      <c r="U744" s="55"/>
      <c r="V744" s="55"/>
      <c r="W744" s="48"/>
      <c r="X744" s="50"/>
      <c r="Y744" s="50"/>
      <c r="Z744" s="48" t="n">
        <f aca="false">IF(A744="","",IF(AND(Parameter!$B$21="Ja",ISNUMBER(W744)),W744,IF(CC744="2+3",IF(ISNUMBER(SEARCH("grosser Artikel",BU744)),2,IFERROR(VLOOKUP(BX744,Parameter!$F$35:$G$64,2,0),2)),IF(OR(CC744="Nein",CC744=""),"-",CC744))))</f>
        <v>3</v>
      </c>
      <c r="AA744" s="55"/>
      <c r="AB744" s="56"/>
      <c r="AC744" s="50" t="n">
        <f aca="false">AV744</f>
        <v>84</v>
      </c>
      <c r="AD744" s="50" t="n">
        <f aca="false">MAX(AV744,H744)</f>
        <v>84</v>
      </c>
      <c r="AE744" s="57"/>
      <c r="AF744" s="50" t="n">
        <f aca="false">IF(LEFT(Cockpit!$C$5,1)="A",H744,IF(Parameter!$E$30="MAX-Bestand",IF(CH744=1,CI744,IF(LEFT(Cockpit!$C$5,1)="B",AL744,MAX(AL744,H744))),ROUNDUP(AJ744,0)))</f>
        <v>78</v>
      </c>
      <c r="AG744" s="50" t="n">
        <f aca="false">IF(BZ744=1,0,ROUNDUP(AF744/BY744,0))</f>
        <v>1</v>
      </c>
      <c r="AH744" s="52" t="n">
        <f aca="false">IF(CQ744&gt;0,CQ744*MAX(1,AF744/X744),IF(BZ744=1,IF(AF744&lt;=0,0,CD744*MAX(1,IF(H744&gt;0,AF744/H744,1))),IF(R744&gt;0,AG744/R744,0))/MAX(0.1,N(Parameter!$M$21)))</f>
        <v>0.00714285714285714</v>
      </c>
      <c r="AI744" s="50" t="n">
        <f aca="false">AH744*CB744</f>
        <v>1.10714285714286</v>
      </c>
      <c r="AJ744" s="51" t="n">
        <f aca="false">IF(LEFT(Cockpit!$C$5,1)="A",H744,IF(CH744=1,(CK744+CI744)/2,IF(LEFT(Cockpit!$C$5,1)="B",(CK744+AL744)/2,MAX((CK744+AL744)/2,H744))))</f>
        <v>78</v>
      </c>
      <c r="AK744" s="50" t="n">
        <f aca="false">AJ744*G744</f>
        <v>132.6</v>
      </c>
      <c r="AL744" s="50" t="n">
        <f aca="false">ROUNDUP(CK744+MAX(CL744,2*(J744/IF(CG744&gt;0,CG744,MAX(0.1,N(Cockpit!$C$6)))-CK744)),0)</f>
        <v>84</v>
      </c>
      <c r="AM744" s="51" t="n">
        <f aca="false">IF(AI744&gt;0,J744/AI744,-1)</f>
        <v>72.258064516129</v>
      </c>
      <c r="AN744" s="51" t="n">
        <f aca="false">IF(AND(OR(CF744="L1",CF744="L23",CF744="LIFT"),AI744&gt;0),SUMIFS($AI$7:$AI$1843,$CF$7:$CF$1843,CF744,$AM$7:$AM$1843,"&gt;"&amp;AM744)+SUMIFS($AI$7:$AI$1843,$CF$7:$CF$1843,CF744,$AM$7:$AM$1843,AM744,$BW$7:$BW$1843,"&lt;="&amp;BW744),"")</f>
        <v>879.429945054945</v>
      </c>
      <c r="AO744" s="58" t="n">
        <f aca="false">IF(AN744="",0,MAX(0,MIN(1,(IF(CF744="L1",Parameter!$H$5,IF(CF744="L23",Parameter!$H$6+Parameter!$H$7,Parameter!$H$5+Parameter!$H$6+Parameter!$H$7))-(AN744-AI744))/AI744)))</f>
        <v>1</v>
      </c>
      <c r="AP744" s="50" t="n">
        <f aca="false">IF(LEFT(Cockpit!$I$5,1)="A",H744,IF(Parameter!$E$30="MAX-Bestand",IF(CH744=1,CI744,IF(LEFT(Cockpit!$I$5,1)="B",AV744,MAX(AV744,H744))),ROUNDUP(AT744,0)))</f>
        <v>78</v>
      </c>
      <c r="AQ744" s="50" t="n">
        <f aca="false">IF(BZ744=1,0,ROUNDUP(AP744/BY744,0))</f>
        <v>1</v>
      </c>
      <c r="AR744" s="52" t="n">
        <f aca="false">IF(CQ744&gt;0,CQ744*MAX(1,AP744/X744),IF(BZ744=1,IF(AP744&lt;=0,0,CD744*MAX(1,IF(H744&gt;0,AP744/H744,1))),IF(R744&gt;0,AQ744/R744,0))/MAX(0.1,N(Parameter!$M$21)))</f>
        <v>0.00714285714285714</v>
      </c>
      <c r="AS744" s="50" t="n">
        <f aca="false">AR744*CB744</f>
        <v>1.10714285714286</v>
      </c>
      <c r="AT744" s="51" t="n">
        <f aca="false">IF(LEFT(Cockpit!$I$5,1)="A",H744,IF(CH744=1,(CK744+CI744)/2,IF(LEFT(Cockpit!$I$5,1)="B",(CK744+AV744)/2,MAX((CK744+AV744)/2,H744))))</f>
        <v>78</v>
      </c>
      <c r="AU744" s="50" t="n">
        <f aca="false">AT744*G744</f>
        <v>132.6</v>
      </c>
      <c r="AV744" s="50" t="n">
        <f aca="false">ROUNDUP(CK744+MAX(CL744,2*(J744/IF(CG744&gt;0,CG744,MAX(0.1,N(Cockpit!$I$6)))-CK744)),0)</f>
        <v>84</v>
      </c>
      <c r="AW744" s="51" t="n">
        <f aca="false">IF(AS744&gt;0,J744/AS744,-1)</f>
        <v>72.258064516129</v>
      </c>
      <c r="AX744" s="51" t="n">
        <f aca="false">IF(AND(OR(CF744="L1",CF744="L23",CF744="LIFT"),AS744&gt;0),SUMIFS($AS$7:$AS$1843,$CF$7:$CF$1843,CF744,$AW$7:$AW$1843,"&gt;"&amp;AW744)+SUMIFS($AS$7:$AS$1843,$CF$7:$CF$1843,CF744,$AW$7:$AW$1843,AW744,$BW$7:$BW$1843,"&lt;="&amp;BW744),"")</f>
        <v>1092.34203296703</v>
      </c>
      <c r="AY744" s="58" t="n">
        <f aca="false">IF(AX744="",0,MAX(0,MIN(1,(IF(CF744="L1",Parameter!$H$5,IF(CF744="L23",Parameter!$H$6+Parameter!$H$7,Parameter!$H$5+Parameter!$H$6+Parameter!$H$7))-(AX744-AS744))/AS744)))</f>
        <v>1</v>
      </c>
      <c r="AZ744" s="50" t="n">
        <f aca="false">IF(LEFT(Cockpit!$O$5,1)="A",H744,IF(Parameter!$E$30="MAX-Bestand",IF(CH744=1,CI744,IF(LEFT(Cockpit!$O$5,1)="B",BF744,MAX(BF744,H744))),ROUNDUP(BD744,0)))</f>
        <v>44</v>
      </c>
      <c r="BA744" s="50" t="n">
        <f aca="false">IF(BZ744=1,0,ROUNDUP(AZ744/BY744,0))</f>
        <v>1</v>
      </c>
      <c r="BB744" s="52" t="n">
        <f aca="false">IF(CQ744&gt;0,CQ744*MAX(1,AZ744/X744),IF(BZ744=1,IF(AZ744&lt;=0,0,CD744*MAX(1,IF(H744&gt;0,AZ744/H744,1))),IF(R744&gt;0,BA744/R744,0))/MAX(0.1,N(Parameter!$M$21)))</f>
        <v>0.00714285714285714</v>
      </c>
      <c r="BC744" s="50" t="n">
        <f aca="false">BB744*CB744</f>
        <v>1.10714285714286</v>
      </c>
      <c r="BD744" s="51" t="n">
        <f aca="false">IF(LEFT(Cockpit!$O$5,1)="A",H744,IF(CH744=1,(CK744+CI744)/2,IF(LEFT(Cockpit!$O$5,1)="B",(CK744+BF744)/2,MAX((CK744+BF744)/2,H744))))</f>
        <v>44</v>
      </c>
      <c r="BE744" s="50" t="n">
        <f aca="false">BD744*G744</f>
        <v>74.8</v>
      </c>
      <c r="BF744" s="50" t="n">
        <f aca="false">ROUNDUP(CK744+MAX(CL744,2*(J744/IF(CG744&gt;0,CG744,MAX(0.1,N(Cockpit!$O$6)))-CK744)),0)</f>
        <v>84</v>
      </c>
      <c r="BG744" s="51" t="n">
        <f aca="false">IF(BC744&gt;0,J744/BC744,-1)</f>
        <v>72.258064516129</v>
      </c>
      <c r="BH744" s="51" t="n">
        <f aca="false">IF(AND(OR(CF744="L1",CF744="L23",CF744="LIFT"),BC744&gt;0),SUMIFS($BC$7:$BC$1843,$CF$7:$CF$1843,CF744,$BG$7:$BG$1843,"&gt;"&amp;BG744)+SUMIFS($BC$7:$BC$1843,$CF$7:$CF$1843,CF744,$BG$7:$BG$1843,BG744,$BW$7:$BW$1843,"&lt;="&amp;BW744),"")</f>
        <v>1011.03388278388</v>
      </c>
      <c r="BI744" s="58" t="n">
        <f aca="false">IF(BH744="",0,MAX(0,MIN(1,(IF(CF744="L1",Parameter!$H$5,IF(CF744="L23",Parameter!$H$6+Parameter!$H$7,Parameter!$H$5+Parameter!$H$6+Parameter!$H$7))-(BH744-BC744))/BC744)))</f>
        <v>1</v>
      </c>
      <c r="BJ744" s="48" t="str">
        <f aca="false">IF(AI744&lt;=0,"",IF(CF744="Aussen","Aussenlager",IF(CF744="-","Nicht im Lift",IF(AO744&gt;=1,"Lift",IF(AO744&lt;=0,"Aussenlager","teilweise")))))</f>
        <v>Lift</v>
      </c>
      <c r="BK744" s="48" t="str">
        <f aca="false">IF(AS744&lt;=0,"",IF(CF744="Aussen","Aussenlager",IF(CF744="-","Nicht im Lift",IF(AY744&gt;=1,"Lift",IF(AY744&lt;=0,"Aussenlager","teilweise")))))</f>
        <v>Lift</v>
      </c>
      <c r="BL744" s="48" t="str">
        <f aca="false">IF(BC744&lt;=0,"",IF(CF744="Aussen","Aussenlager",IF(CF744="-","Nicht im Lift",IF(BI744&gt;=1,"Lift",IF(BI744&lt;=0,"Aussenlager","teilweise")))))</f>
        <v>Lift</v>
      </c>
      <c r="BM744" s="48" t="str">
        <f aca="false">IF(A744="","",IF(BV744=1,"Neu; ","")&amp;IF(AND(BV744=0,BQ744&lt;0),"negativer Bestand (Export "&amp;BQ744&amp;"); ","")&amp;IF(J744&lt;=0,"Kein Verbrauch; ","")&amp;IF(CQ744&gt;0,"Lift "&amp;W744&amp;" lt. Liftbericht (Fach "&amp;X744&amp;" Stk); ",IF(CA744=1,"Gebinde geschätzt ("&amp;T744&amp;"); ",IF(BZ744=1,"Lose – Tablare geschätzt; ","")))&amp;IF(H744&gt;AV744,"Überbestand "&amp;ROUND(H744-AV744,0)&amp;" Stk / CHF "&amp;ROUND((H744-AV744)*G744,0)&amp;"; ","")&amp;IF(AND(CH744=1,CI744&lt;CJ744),"MAX &lt; MB+LG; ","")&amp;IF(AND(CP744&gt;0,CO744*10&gt;CP744),"zu hoch für Tablar; ","")&amp;IF(AND(BV744=0,OR(CH744=1,AA744&lt;&gt;"",U744&lt;&gt;"",V744&lt;&gt;"",AB744&lt;&gt;"")),"manuell übersteuert; ","")&amp;IF(AND(BZ744=0,R744=0),"Gebinde unbekannt / Stellmass fehlt; ","")&amp;IF(AND(BZ744=0,N(V744)&lt;=0,N(Q744)&lt;=0),"Menge pro Gebinde fehlt (Ist = 1 Gebinde); ","")&amp;BU744)</f>
        <v/>
      </c>
      <c r="BN744" s="48"/>
      <c r="BO744" s="48"/>
      <c r="BP744" s="55"/>
      <c r="BQ744" s="50" t="n">
        <v>0</v>
      </c>
      <c r="BR744" s="50" t="n">
        <v>78</v>
      </c>
      <c r="BS744" s="49" t="n">
        <v>-2.1316282072803E-014</v>
      </c>
      <c r="BT744" s="50" t="n">
        <v>80</v>
      </c>
      <c r="BU744" s="48"/>
      <c r="BV744" s="53" t="n">
        <v>0</v>
      </c>
      <c r="BW744" s="53" t="n">
        <v>744</v>
      </c>
      <c r="BX744" s="48" t="str">
        <f aca="false">IF(U744&lt;&gt;"",UPPER(TRIM(U744)),IF(CA744=1,UPPER(VLOOKUP(T744,Parameter!$I$27:$K$29,2,0)),IF(P744="","LOSE",P744)))</f>
        <v>S22</v>
      </c>
      <c r="BY744" s="50" t="n">
        <f aca="false">IF(BX744="LOSE",1,IF(N(V744)&gt;0,V744,IF(CA744=1,MAX(1,N(VLOOKUP(T744,Parameter!$I$27:$K$29,3,0)),H744,N(N744)),IF(N(Q744)&gt;0,Q744,MAX(1,H744)))))</f>
        <v>157</v>
      </c>
      <c r="BZ744" s="53" t="n">
        <f aca="false">IF(BX744="LOSE",1,0)</f>
        <v>0</v>
      </c>
      <c r="CA744" s="53" t="n">
        <f aca="false">IF(AND(U744="",OR(P744="",P744="LOSE"),T744&lt;&gt;"",N(S744)&lt;=0,ISNUMBER(MATCH(T744,Parameter!$I$27:$I$29,0))),1,0)</f>
        <v>0</v>
      </c>
      <c r="CB744" s="53" t="n">
        <f aca="false">IF(CQ744&gt;0,INDEX(Parameter!$H$5:$H$7,W744)/INDEX(Parameter!$E$5:$E$7,W744),IF(AND(BZ744=0,N(IFERROR(VLOOKUP(BX744,'Gebinde-Kategorie'!$A$5:$N$45,14,0),0))&gt;0),VLOOKUP(BX744,'Gebinde-Kategorie'!$A$5:$N$45,14,0)*10+Parameter!$M$23,Parameter!$M$24))</f>
        <v>155</v>
      </c>
      <c r="CC744" s="48" t="str">
        <f aca="false">IF(AND(Parameter!$B$19="Ja",E744&lt;&gt;"",ISNUMBER(MATCH(E744,Parameter!$I$35:$I$52,0))),VLOOKUP(E744,Parameter!$I$35:$J$52,2,0),IFERROR(VLOOKUP(D744,Parameter!$A$35:$C$64,2,0),"Nein"))</f>
        <v>2+3</v>
      </c>
      <c r="CD744" s="52" t="n">
        <f aca="false">IF(BZ744=0,0,IF(N(S744)&gt;0,S744,IFERROR(VLOOKUP(D744,Parameter!$A$35:$C$64,3,0)+0,0)))</f>
        <v>0</v>
      </c>
      <c r="CE744" s="48" t="n">
        <f aca="false">IF(AA744&lt;&gt;"",AA744,Z744)</f>
        <v>3</v>
      </c>
      <c r="CF744" s="48" t="str">
        <f aca="false">IF(OR(CE744=1,CE744=2,CE744=3),IF(Parameter!$E$27="Ja","LIFT",IF(CE744=1,"L1","L23")),IF(CE744="Aussen","Aussen","-"))</f>
        <v>LIFT</v>
      </c>
      <c r="CG744" s="59" t="n">
        <f aca="false">IF(N(AB744)&gt;0,AB744,0)</f>
        <v>0</v>
      </c>
      <c r="CH744" s="53" t="n">
        <f aca="false">IF(ISNUMBER(AE744),1,0)</f>
        <v>0</v>
      </c>
      <c r="CI744" s="50" t="n">
        <f aca="false">N(AE744)</f>
        <v>0</v>
      </c>
      <c r="CJ744" s="50" t="n">
        <f aca="false">N(M744)+N(N744)</f>
        <v>84</v>
      </c>
      <c r="CK744" s="50" t="n">
        <f aca="false">N(M744)</f>
        <v>4</v>
      </c>
      <c r="CL744" s="50" t="n">
        <f aca="false">N(N744)</f>
        <v>80</v>
      </c>
      <c r="CM744" s="50" t="n">
        <f aca="false">ROUNDUP(H744/BY744,0)</f>
        <v>1</v>
      </c>
      <c r="CN744" s="50" t="n">
        <f aca="false">ROUNDUP(CI744/BY744,0)</f>
        <v>0</v>
      </c>
      <c r="CO744" s="53" t="n">
        <f aca="false">IF(BZ744=1,0,IFERROR(VLOOKUP(BX744,'Gebinde-Kategorie'!$A$5:$N$45,5,0)+0,0))</f>
        <v>8</v>
      </c>
      <c r="CP744" s="53" t="n">
        <f aca="false">IFERROR(IF(OR(CE744=1,CE744=2,CE744=3),N(INDEX(Parameter!$I$5:$I$7,CE744)),0),0)</f>
        <v>0</v>
      </c>
      <c r="CQ744" s="52" t="n">
        <f aca="false">IF(AND(Parameter!$B$21="Ja",ISNUMBER(W744),N(X744)&gt;0),IFERROR(N(INDEX(Parameter!$L$5:$L$7,W744))*INDEX(Parameter!$E$5:$E$7,W744)*X744/SUMIFS($X$7:$X$1843,$W$7:$W$1843,W744),0),0)</f>
        <v>0</v>
      </c>
    </row>
    <row r="745" customFormat="false" ht="15" hidden="false" customHeight="false" outlineLevel="0" collapsed="false">
      <c r="A745" s="48" t="s">
        <v>1485</v>
      </c>
      <c r="B745" s="48" t="s">
        <v>1392</v>
      </c>
      <c r="C745" s="48" t="s">
        <v>173</v>
      </c>
      <c r="D745" s="48" t="s">
        <v>182</v>
      </c>
      <c r="E745" s="48"/>
      <c r="F745" s="48" t="s">
        <v>227</v>
      </c>
      <c r="G745" s="49" t="n">
        <v>11075.32</v>
      </c>
      <c r="H745" s="50" t="n">
        <f aca="false">MAX(0,IF(AND(Parameter!$B$21="Ja",ISNUMBER(Y745)),Y745,IF(Parameter!$B$20="Jahresanfang 2025 + Export",BR745+BQ745,BQ745)))</f>
        <v>0</v>
      </c>
      <c r="I745" s="50" t="n">
        <f aca="false">H745*G745</f>
        <v>0</v>
      </c>
      <c r="J745" s="50" t="n">
        <f aca="false">BT745*Parameter!$B$18</f>
        <v>1</v>
      </c>
      <c r="K745" s="51" t="n">
        <v>0</v>
      </c>
      <c r="L745" s="52" t="n">
        <v>0</v>
      </c>
      <c r="M745" s="50" t="n">
        <v>0</v>
      </c>
      <c r="N745" s="50" t="n">
        <v>1</v>
      </c>
      <c r="O745" s="53" t="n">
        <v>170</v>
      </c>
      <c r="P745" s="48" t="s">
        <v>177</v>
      </c>
      <c r="Q745" s="50"/>
      <c r="R745" s="53" t="n">
        <f aca="false">IF(BZ745=1,0,IFERROR(VLOOKUP(BX745,'Gebinde-Kategorie'!$A$5:$N$45,13,0)+0,0))</f>
        <v>4</v>
      </c>
      <c r="S745" s="54"/>
      <c r="T745" s="55" t="s">
        <v>198</v>
      </c>
      <c r="U745" s="55"/>
      <c r="V745" s="55"/>
      <c r="W745" s="48"/>
      <c r="X745" s="50"/>
      <c r="Y745" s="50"/>
      <c r="Z745" s="48" t="n">
        <f aca="false">IF(A745="","",IF(AND(Parameter!$B$21="Ja",ISNUMBER(W745)),W745,IF(CC745="2+3",IF(ISNUMBER(SEARCH("grosser Artikel",BU745)),2,IFERROR(VLOOKUP(BX745,Parameter!$F$35:$G$64,2,0),2)),IF(OR(CC745="Nein",CC745=""),"-",CC745))))</f>
        <v>2</v>
      </c>
      <c r="AA745" s="55"/>
      <c r="AB745" s="56"/>
      <c r="AC745" s="50" t="n">
        <f aca="false">AV745</f>
        <v>1</v>
      </c>
      <c r="AD745" s="50" t="n">
        <f aca="false">MAX(AV745,H745)</f>
        <v>1</v>
      </c>
      <c r="AE745" s="57"/>
      <c r="AF745" s="50" t="n">
        <f aca="false">IF(LEFT(Cockpit!$C$5,1)="A",H745,IF(Parameter!$E$30="MAX-Bestand",IF(CH745=1,CI745,IF(LEFT(Cockpit!$C$5,1)="B",AL745,MAX(AL745,H745))),ROUNDUP(AJ745,0)))</f>
        <v>0</v>
      </c>
      <c r="AG745" s="50" t="n">
        <f aca="false">IF(BZ745=1,0,ROUNDUP(AF745/BY745,0))</f>
        <v>0</v>
      </c>
      <c r="AH745" s="52" t="n">
        <f aca="false">IF(CQ745&gt;0,CQ745*MAX(1,AF745/X745),IF(BZ745=1,IF(AF745&lt;=0,0,CD745*MAX(1,IF(H745&gt;0,AF745/H745,1))),IF(R745&gt;0,AG745/R745,0))/MAX(0.1,N(Parameter!$M$21)))</f>
        <v>0</v>
      </c>
      <c r="AI745" s="50" t="n">
        <f aca="false">AH745*CB745</f>
        <v>0</v>
      </c>
      <c r="AJ745" s="51" t="n">
        <f aca="false">IF(LEFT(Cockpit!$C$5,1)="A",H745,IF(CH745=1,(CK745+CI745)/2,IF(LEFT(Cockpit!$C$5,1)="B",(CK745+AL745)/2,MAX((CK745+AL745)/2,H745))))</f>
        <v>0</v>
      </c>
      <c r="AK745" s="50" t="n">
        <f aca="false">AJ745*G745</f>
        <v>0</v>
      </c>
      <c r="AL745" s="50" t="n">
        <f aca="false">ROUNDUP(CK745+MAX(CL745,2*(J745/IF(CG745&gt;0,CG745,MAX(0.1,N(Cockpit!$C$6)))-CK745)),0)</f>
        <v>1</v>
      </c>
      <c r="AM745" s="51" t="n">
        <f aca="false">IF(AI745&gt;0,J745/AI745,-1)</f>
        <v>-1</v>
      </c>
      <c r="AN745" s="51" t="str">
        <f aca="false">IF(AND(OR(CF745="L1",CF745="L23",CF745="LIFT"),AI745&gt;0),SUMIFS($AI$7:$AI$1843,$CF$7:$CF$1843,CF745,$AM$7:$AM$1843,"&gt;"&amp;AM745)+SUMIFS($AI$7:$AI$1843,$CF$7:$CF$1843,CF745,$AM$7:$AM$1843,AM745,$BW$7:$BW$1843,"&lt;="&amp;BW745),"")</f>
        <v/>
      </c>
      <c r="AO745" s="58" t="n">
        <f aca="false">IF(AN745="",0,MAX(0,MIN(1,(IF(CF745="L1",Parameter!$H$5,IF(CF745="L23",Parameter!$H$6+Parameter!$H$7,Parameter!$H$5+Parameter!$H$6+Parameter!$H$7))-(AN745-AI745))/AI745)))</f>
        <v>0</v>
      </c>
      <c r="AP745" s="50" t="n">
        <f aca="false">IF(LEFT(Cockpit!$I$5,1)="A",H745,IF(Parameter!$E$30="MAX-Bestand",IF(CH745=1,CI745,IF(LEFT(Cockpit!$I$5,1)="B",AV745,MAX(AV745,H745))),ROUNDUP(AT745,0)))</f>
        <v>1</v>
      </c>
      <c r="AQ745" s="50" t="n">
        <f aca="false">IF(BZ745=1,0,ROUNDUP(AP745/BY745,0))</f>
        <v>1</v>
      </c>
      <c r="AR745" s="52" t="n">
        <f aca="false">IF(CQ745&gt;0,CQ745*MAX(1,AP745/X745),IF(BZ745=1,IF(AP745&lt;=0,0,CD745*MAX(1,IF(H745&gt;0,AP745/H745,1))),IF(R745&gt;0,AQ745/R745,0))/MAX(0.1,N(Parameter!$M$21)))</f>
        <v>0.25</v>
      </c>
      <c r="AS745" s="50" t="n">
        <f aca="false">AR745*CB745</f>
        <v>58.75</v>
      </c>
      <c r="AT745" s="51" t="n">
        <f aca="false">IF(LEFT(Cockpit!$I$5,1)="A",H745,IF(CH745=1,(CK745+CI745)/2,IF(LEFT(Cockpit!$I$5,1)="B",(CK745+AV745)/2,MAX((CK745+AV745)/2,H745))))</f>
        <v>0.5</v>
      </c>
      <c r="AU745" s="50" t="n">
        <f aca="false">AT745*G745</f>
        <v>5537.66</v>
      </c>
      <c r="AV745" s="50" t="n">
        <f aca="false">ROUNDUP(CK745+MAX(CL745,2*(J745/IF(CG745&gt;0,CG745,MAX(0.1,N(Cockpit!$I$6)))-CK745)),0)</f>
        <v>1</v>
      </c>
      <c r="AW745" s="51" t="n">
        <f aca="false">IF(AS745&gt;0,J745/AS745,-1)</f>
        <v>0.0170212765957447</v>
      </c>
      <c r="AX745" s="51" t="n">
        <f aca="false">IF(AND(OR(CF745="L1",CF745="L23",CF745="LIFT"),AS745&gt;0),SUMIFS($AS$7:$AS$1843,$CF$7:$CF$1843,CF745,$AW$7:$AW$1843,"&gt;"&amp;AW745)+SUMIFS($AS$7:$AS$1843,$CF$7:$CF$1843,CF745,$AW$7:$AW$1843,AW745,$BW$7:$BW$1843,"&lt;="&amp;BW745),"")</f>
        <v>28999.0695272242</v>
      </c>
      <c r="AY745" s="58" t="n">
        <f aca="false">IF(AX745="",0,MAX(0,MIN(1,(IF(CF745="L1",Parameter!$H$5,IF(CF745="L23",Parameter!$H$6+Parameter!$H$7,Parameter!$H$5+Parameter!$H$6+Parameter!$H$7))-(AX745-AS745))/AS745)))</f>
        <v>1</v>
      </c>
      <c r="AZ745" s="50" t="n">
        <f aca="false">IF(LEFT(Cockpit!$O$5,1)="A",H745,IF(Parameter!$E$30="MAX-Bestand",IF(CH745=1,CI745,IF(LEFT(Cockpit!$O$5,1)="B",BF745,MAX(BF745,H745))),ROUNDUP(BD745,0)))</f>
        <v>1</v>
      </c>
      <c r="BA745" s="50" t="n">
        <f aca="false">IF(BZ745=1,0,ROUNDUP(AZ745/BY745,0))</f>
        <v>1</v>
      </c>
      <c r="BB745" s="52" t="n">
        <f aca="false">IF(CQ745&gt;0,CQ745*MAX(1,AZ745/X745),IF(BZ745=1,IF(AZ745&lt;=0,0,CD745*MAX(1,IF(H745&gt;0,AZ745/H745,1))),IF(R745&gt;0,BA745/R745,0))/MAX(0.1,N(Parameter!$M$21)))</f>
        <v>0.25</v>
      </c>
      <c r="BC745" s="50" t="n">
        <f aca="false">BB745*CB745</f>
        <v>58.75</v>
      </c>
      <c r="BD745" s="51" t="n">
        <f aca="false">IF(LEFT(Cockpit!$O$5,1)="A",H745,IF(CH745=1,(CK745+CI745)/2,IF(LEFT(Cockpit!$O$5,1)="B",(CK745+BF745)/2,MAX((CK745+BF745)/2,H745))))</f>
        <v>0.5</v>
      </c>
      <c r="BE745" s="50" t="n">
        <f aca="false">BD745*G745</f>
        <v>5537.66</v>
      </c>
      <c r="BF745" s="50" t="n">
        <f aca="false">ROUNDUP(CK745+MAX(CL745,2*(J745/IF(CG745&gt;0,CG745,MAX(0.1,N(Cockpit!$O$6)))-CK745)),0)</f>
        <v>1</v>
      </c>
      <c r="BG745" s="51" t="n">
        <f aca="false">IF(BC745&gt;0,J745/BC745,-1)</f>
        <v>0.0170212765957447</v>
      </c>
      <c r="BH745" s="51" t="n">
        <f aca="false">IF(AND(OR(CF745="L1",CF745="L23",CF745="LIFT"),BC745&gt;0),SUMIFS($BC$7:$BC$1843,$CF$7:$CF$1843,CF745,$BG$7:$BG$1843,"&gt;"&amp;BG745)+SUMIFS($BC$7:$BC$1843,$CF$7:$CF$1843,CF745,$BG$7:$BG$1843,BG745,$BW$7:$BW$1843,"&lt;="&amp;BW745),"")</f>
        <v>24544.8180371888</v>
      </c>
      <c r="BI745" s="58" t="n">
        <f aca="false">IF(BH745="",0,MAX(0,MIN(1,(IF(CF745="L1",Parameter!$H$5,IF(CF745="L23",Parameter!$H$6+Parameter!$H$7,Parameter!$H$5+Parameter!$H$6+Parameter!$H$7))-(BH745-BC745))/BC745)))</f>
        <v>1</v>
      </c>
      <c r="BJ745" s="48" t="str">
        <f aca="false">IF(AI745&lt;=0,"",IF(CF745="Aussen","Aussenlager",IF(CF745="-","Nicht im Lift",IF(AO745&gt;=1,"Lift",IF(AO745&lt;=0,"Aussenlager","teilweise")))))</f>
        <v/>
      </c>
      <c r="BK745" s="48" t="str">
        <f aca="false">IF(AS745&lt;=0,"",IF(CF745="Aussen","Aussenlager",IF(CF745="-","Nicht im Lift",IF(AY745&gt;=1,"Lift",IF(AY745&lt;=0,"Aussenlager","teilweise")))))</f>
        <v>Lift</v>
      </c>
      <c r="BL745" s="48" t="str">
        <f aca="false">IF(BC745&lt;=0,"",IF(CF745="Aussen","Aussenlager",IF(CF745="-","Nicht im Lift",IF(BI745&gt;=1,"Lift",IF(BI745&lt;=0,"Aussenlager","teilweise")))))</f>
        <v>Lift</v>
      </c>
      <c r="BM745" s="48" t="str">
        <f aca="false">IF(A745="","",IF(BV745=1,"Neu; ","")&amp;IF(AND(BV745=0,BQ745&lt;0),"negativer Bestand (Export "&amp;BQ745&amp;"); ","")&amp;IF(J745&lt;=0,"Kein Verbrauch; ","")&amp;IF(CQ745&gt;0,"Lift "&amp;W745&amp;" lt. Liftbericht (Fach "&amp;X745&amp;" Stk); ",IF(CA745=1,"Gebinde geschätzt ("&amp;T745&amp;"); ",IF(BZ745=1,"Lose – Tablare geschätzt; ","")))&amp;IF(H745&gt;AV745,"Überbestand "&amp;ROUND(H745-AV745,0)&amp;" Stk / CHF "&amp;ROUND((H745-AV745)*G745,0)&amp;"; ","")&amp;IF(AND(CH745=1,CI745&lt;CJ745),"MAX &lt; MB+LG; ","")&amp;IF(AND(CP745&gt;0,CO745*10&gt;CP745),"zu hoch für Tablar; ","")&amp;IF(AND(BV745=0,OR(CH745=1,AA745&lt;&gt;"",U745&lt;&gt;"",V745&lt;&gt;"",AB745&lt;&gt;"")),"manuell übersteuert; ","")&amp;IF(AND(BZ745=0,R745=0),"Gebinde unbekannt / Stellmass fehlt; ","")&amp;IF(AND(BZ745=0,N(V745)&lt;=0,N(Q745)&lt;=0),"Menge pro Gebinde fehlt (Ist = 1 Gebinde); ","")&amp;BU745)</f>
        <v>Gebinde geschätzt (Gross); Menge pro Gebinde fehlt (Ist = 1 Gebinde); </v>
      </c>
      <c r="BN745" s="48"/>
      <c r="BO745" s="48"/>
      <c r="BP745" s="55"/>
      <c r="BQ745" s="50" t="n">
        <v>0</v>
      </c>
      <c r="BR745" s="50" t="n">
        <v>0</v>
      </c>
      <c r="BS745" s="49" t="n">
        <v>-1.70530256582424E-013</v>
      </c>
      <c r="BT745" s="50" t="n">
        <v>1</v>
      </c>
      <c r="BU745" s="48"/>
      <c r="BV745" s="53" t="n">
        <v>0</v>
      </c>
      <c r="BW745" s="53" t="n">
        <v>745</v>
      </c>
      <c r="BX745" s="48" t="str">
        <f aca="false">IF(U745&lt;&gt;"",UPPER(TRIM(U745)),IF(CA745=1,UPPER(VLOOKUP(T745,Parameter!$I$27:$K$29,2,0)),IF(P745="","LOSE",P745)))</f>
        <v>S81</v>
      </c>
      <c r="BY745" s="50" t="n">
        <f aca="false">IF(BX745="LOSE",1,IF(N(V745)&gt;0,V745,IF(CA745=1,MAX(1,N(VLOOKUP(T745,Parameter!$I$27:$K$29,3,0)),H745,N(N745)),IF(N(Q745)&gt;0,Q745,MAX(1,H745)))))</f>
        <v>2</v>
      </c>
      <c r="BZ745" s="53" t="n">
        <f aca="false">IF(BX745="LOSE",1,0)</f>
        <v>0</v>
      </c>
      <c r="CA745" s="53" t="n">
        <f aca="false">IF(AND(U745="",OR(P745="",P745="LOSE"),T745&lt;&gt;"",N(S745)&lt;=0,ISNUMBER(MATCH(T745,Parameter!$I$27:$I$29,0))),1,0)</f>
        <v>1</v>
      </c>
      <c r="CB745" s="53" t="n">
        <f aca="false">IF(CQ745&gt;0,INDEX(Parameter!$H$5:$H$7,W745)/INDEX(Parameter!$E$5:$E$7,W745),IF(AND(BZ745=0,N(IFERROR(VLOOKUP(BX745,'Gebinde-Kategorie'!$A$5:$N$45,14,0),0))&gt;0),VLOOKUP(BX745,'Gebinde-Kategorie'!$A$5:$N$45,14,0)*10+Parameter!$M$23,Parameter!$M$24))</f>
        <v>235</v>
      </c>
      <c r="CC745" s="48" t="str">
        <f aca="false">IF(AND(Parameter!$B$19="Ja",E745&lt;&gt;"",ISNUMBER(MATCH(E745,Parameter!$I$35:$I$52,0))),VLOOKUP(E745,Parameter!$I$35:$J$52,2,0),IFERROR(VLOOKUP(D745,Parameter!$A$35:$C$64,2,0),"Nein"))</f>
        <v>2+3</v>
      </c>
      <c r="CD745" s="52" t="n">
        <f aca="false">IF(BZ745=0,0,IF(N(S745)&gt;0,S745,IFERROR(VLOOKUP(D745,Parameter!$A$35:$C$64,3,0)+0,0)))</f>
        <v>0</v>
      </c>
      <c r="CE745" s="48" t="n">
        <f aca="false">IF(AA745&lt;&gt;"",AA745,Z745)</f>
        <v>2</v>
      </c>
      <c r="CF745" s="48" t="str">
        <f aca="false">IF(OR(CE745=1,CE745=2,CE745=3),IF(Parameter!$E$27="Ja","LIFT",IF(CE745=1,"L1","L23")),IF(CE745="Aussen","Aussen","-"))</f>
        <v>LIFT</v>
      </c>
      <c r="CG745" s="59" t="n">
        <f aca="false">IF(N(AB745)&gt;0,AB745,0)</f>
        <v>0</v>
      </c>
      <c r="CH745" s="53" t="n">
        <f aca="false">IF(ISNUMBER(AE745),1,0)</f>
        <v>0</v>
      </c>
      <c r="CI745" s="50" t="n">
        <f aca="false">N(AE745)</f>
        <v>0</v>
      </c>
      <c r="CJ745" s="50" t="n">
        <f aca="false">N(M745)+N(N745)</f>
        <v>1</v>
      </c>
      <c r="CK745" s="50" t="n">
        <f aca="false">N(M745)</f>
        <v>0</v>
      </c>
      <c r="CL745" s="50" t="n">
        <f aca="false">N(N745)</f>
        <v>1</v>
      </c>
      <c r="CM745" s="50" t="n">
        <f aca="false">ROUNDUP(H745/BY745,0)</f>
        <v>0</v>
      </c>
      <c r="CN745" s="50" t="n">
        <f aca="false">ROUNDUP(CI745/BY745,0)</f>
        <v>0</v>
      </c>
      <c r="CO745" s="53" t="n">
        <f aca="false">IF(BZ745=1,0,IFERROR(VLOOKUP(BX745,'Gebinde-Kategorie'!$A$5:$N$45,5,0)+0,0))</f>
        <v>20</v>
      </c>
      <c r="CP745" s="53" t="n">
        <f aca="false">IFERROR(IF(OR(CE745=1,CE745=2,CE745=3),N(INDEX(Parameter!$I$5:$I$7,CE745)),0),0)</f>
        <v>0</v>
      </c>
      <c r="CQ745" s="52" t="n">
        <f aca="false">IF(AND(Parameter!$B$21="Ja",ISNUMBER(W745),N(X745)&gt;0),IFERROR(N(INDEX(Parameter!$L$5:$L$7,W745))*INDEX(Parameter!$E$5:$E$7,W745)*X745/SUMIFS($X$7:$X$1843,$W$7:$W$1843,W745),0),0)</f>
        <v>0</v>
      </c>
    </row>
    <row r="746" customFormat="false" ht="15" hidden="false" customHeight="false" outlineLevel="0" collapsed="false">
      <c r="A746" s="48" t="s">
        <v>1486</v>
      </c>
      <c r="B746" s="48" t="s">
        <v>1487</v>
      </c>
      <c r="C746" s="48" t="s">
        <v>176</v>
      </c>
      <c r="D746" s="48" t="s">
        <v>1397</v>
      </c>
      <c r="E746" s="48" t="s">
        <v>1488</v>
      </c>
      <c r="F746" s="48" t="s">
        <v>227</v>
      </c>
      <c r="G746" s="49" t="n">
        <v>2567.23</v>
      </c>
      <c r="H746" s="50" t="n">
        <f aca="false">MAX(0,IF(AND(Parameter!$B$21="Ja",ISNUMBER(Y746)),Y746,IF(Parameter!$B$20="Jahresanfang 2025 + Export",BR746+BQ746,BQ746)))</f>
        <v>0</v>
      </c>
      <c r="I746" s="50" t="n">
        <f aca="false">H746*G746</f>
        <v>0</v>
      </c>
      <c r="J746" s="50" t="n">
        <f aca="false">BT746*Parameter!$B$18</f>
        <v>44</v>
      </c>
      <c r="K746" s="51" t="n">
        <v>0</v>
      </c>
      <c r="L746" s="52" t="n">
        <v>0</v>
      </c>
      <c r="M746" s="50" t="n">
        <v>0</v>
      </c>
      <c r="N746" s="50" t="n">
        <v>1</v>
      </c>
      <c r="O746" s="53" t="n">
        <v>7</v>
      </c>
      <c r="P746" s="48" t="s">
        <v>177</v>
      </c>
      <c r="Q746" s="50"/>
      <c r="R746" s="53" t="n">
        <f aca="false">IF(BZ746=1,0,IFERROR(VLOOKUP(BX746,'Gebinde-Kategorie'!$A$5:$N$45,13,0)+0,0))</f>
        <v>0</v>
      </c>
      <c r="S746" s="54"/>
      <c r="T746" s="55"/>
      <c r="U746" s="55"/>
      <c r="V746" s="55"/>
      <c r="W746" s="48"/>
      <c r="X746" s="50"/>
      <c r="Y746" s="50"/>
      <c r="Z746" s="48" t="str">
        <f aca="false">IF(A746="","",IF(AND(Parameter!$B$21="Ja",ISNUMBER(W746)),W746,IF(CC746="2+3",IF(ISNUMBER(SEARCH("grosser Artikel",BU746)),2,IFERROR(VLOOKUP(BX746,Parameter!$F$35:$G$64,2,0),2)),IF(OR(CC746="Nein",CC746=""),"-",CC746))))</f>
        <v>-</v>
      </c>
      <c r="AA746" s="55"/>
      <c r="AB746" s="56"/>
      <c r="AC746" s="50" t="n">
        <f aca="false">AV746</f>
        <v>30</v>
      </c>
      <c r="AD746" s="50" t="n">
        <f aca="false">MAX(AV746,H746)</f>
        <v>30</v>
      </c>
      <c r="AE746" s="57"/>
      <c r="AF746" s="50" t="n">
        <f aca="false">IF(LEFT(Cockpit!$C$5,1)="A",H746,IF(Parameter!$E$30="MAX-Bestand",IF(CH746=1,CI746,IF(LEFT(Cockpit!$C$5,1)="B",AL746,MAX(AL746,H746))),ROUNDUP(AJ746,0)))</f>
        <v>0</v>
      </c>
      <c r="AG746" s="50" t="n">
        <f aca="false">IF(BZ746=1,0,ROUNDUP(AF746/BY746,0))</f>
        <v>0</v>
      </c>
      <c r="AH746" s="52" t="n">
        <f aca="false">IF(CQ746&gt;0,CQ746*MAX(1,AF746/X746),IF(BZ746=1,IF(AF746&lt;=0,0,CD746*MAX(1,IF(H746&gt;0,AF746/H746,1))),IF(R746&gt;0,AG746/R746,0))/MAX(0.1,N(Parameter!$M$21)))</f>
        <v>0</v>
      </c>
      <c r="AI746" s="50" t="n">
        <f aca="false">AH746*CB746</f>
        <v>0</v>
      </c>
      <c r="AJ746" s="51" t="n">
        <f aca="false">IF(LEFT(Cockpit!$C$5,1)="A",H746,IF(CH746=1,(CK746+CI746)/2,IF(LEFT(Cockpit!$C$5,1)="B",(CK746+AL746)/2,MAX((CK746+AL746)/2,H746))))</f>
        <v>0</v>
      </c>
      <c r="AK746" s="50" t="n">
        <f aca="false">AJ746*G746</f>
        <v>0</v>
      </c>
      <c r="AL746" s="50" t="n">
        <f aca="false">ROUNDUP(CK746+MAX(CL746,2*(J746/IF(CG746&gt;0,CG746,MAX(0.1,N(Cockpit!$C$6)))-CK746)),0)</f>
        <v>30</v>
      </c>
      <c r="AM746" s="51" t="n">
        <f aca="false">IF(AI746&gt;0,J746/AI746,-1)</f>
        <v>-1</v>
      </c>
      <c r="AN746" s="51" t="str">
        <f aca="false">IF(AND(OR(CF746="L1",CF746="L23",CF746="LIFT"),AI746&gt;0),SUMIFS($AI$7:$AI$1843,$CF$7:$CF$1843,CF746,$AM$7:$AM$1843,"&gt;"&amp;AM746)+SUMIFS($AI$7:$AI$1843,$CF$7:$CF$1843,CF746,$AM$7:$AM$1843,AM746,$BW$7:$BW$1843,"&lt;="&amp;BW746),"")</f>
        <v/>
      </c>
      <c r="AO746" s="58" t="n">
        <f aca="false">IF(AN746="",0,MAX(0,MIN(1,(IF(CF746="L1",Parameter!$H$5,IF(CF746="L23",Parameter!$H$6+Parameter!$H$7,Parameter!$H$5+Parameter!$H$6+Parameter!$H$7))-(AN746-AI746))/AI746)))</f>
        <v>0</v>
      </c>
      <c r="AP746" s="50" t="n">
        <f aca="false">IF(LEFT(Cockpit!$I$5,1)="A",H746,IF(Parameter!$E$30="MAX-Bestand",IF(CH746=1,CI746,IF(LEFT(Cockpit!$I$5,1)="B",AV746,MAX(AV746,H746))),ROUNDUP(AT746,0)))</f>
        <v>15</v>
      </c>
      <c r="AQ746" s="50" t="n">
        <f aca="false">IF(BZ746=1,0,ROUNDUP(AP746/BY746,0))</f>
        <v>0</v>
      </c>
      <c r="AR746" s="52" t="n">
        <f aca="false">IF(CQ746&gt;0,CQ746*MAX(1,AP746/X746),IF(BZ746=1,IF(AP746&lt;=0,0,CD746*MAX(1,IF(H746&gt;0,AP746/H746,1))),IF(R746&gt;0,AQ746/R746,0))/MAX(0.1,N(Parameter!$M$21)))</f>
        <v>0.15</v>
      </c>
      <c r="AS746" s="50" t="n">
        <f aca="false">AR746*CB746</f>
        <v>35.25</v>
      </c>
      <c r="AT746" s="51" t="n">
        <f aca="false">IF(LEFT(Cockpit!$I$5,1)="A",H746,IF(CH746=1,(CK746+CI746)/2,IF(LEFT(Cockpit!$I$5,1)="B",(CK746+AV746)/2,MAX((CK746+AV746)/2,H746))))</f>
        <v>15</v>
      </c>
      <c r="AU746" s="50" t="n">
        <f aca="false">AT746*G746</f>
        <v>38508.45</v>
      </c>
      <c r="AV746" s="50" t="n">
        <f aca="false">ROUNDUP(CK746+MAX(CL746,2*(J746/IF(CG746&gt;0,CG746,MAX(0.1,N(Cockpit!$I$6)))-CK746)),0)</f>
        <v>30</v>
      </c>
      <c r="AW746" s="51" t="n">
        <f aca="false">IF(AS746&gt;0,J746/AS746,-1)</f>
        <v>1.24822695035461</v>
      </c>
      <c r="AX746" s="51" t="str">
        <f aca="false">IF(AND(OR(CF746="L1",CF746="L23",CF746="LIFT"),AS746&gt;0),SUMIFS($AS$7:$AS$1843,$CF$7:$CF$1843,CF746,$AW$7:$AW$1843,"&gt;"&amp;AW746)+SUMIFS($AS$7:$AS$1843,$CF$7:$CF$1843,CF746,$AW$7:$AW$1843,AW746,$BW$7:$BW$1843,"&lt;="&amp;BW746),"")</f>
        <v/>
      </c>
      <c r="AY746" s="58" t="n">
        <f aca="false">IF(AX746="",0,MAX(0,MIN(1,(IF(CF746="L1",Parameter!$H$5,IF(CF746="L23",Parameter!$H$6+Parameter!$H$7,Parameter!$H$5+Parameter!$H$6+Parameter!$H$7))-(AX746-AS746))/AS746)))</f>
        <v>0</v>
      </c>
      <c r="AZ746" s="50" t="n">
        <f aca="false">IF(LEFT(Cockpit!$O$5,1)="A",H746,IF(Parameter!$E$30="MAX-Bestand",IF(CH746=1,CI746,IF(LEFT(Cockpit!$O$5,1)="B",BF746,MAX(BF746,H746))),ROUNDUP(BD746,0)))</f>
        <v>11</v>
      </c>
      <c r="BA746" s="50" t="n">
        <f aca="false">IF(BZ746=1,0,ROUNDUP(AZ746/BY746,0))</f>
        <v>0</v>
      </c>
      <c r="BB746" s="52" t="n">
        <f aca="false">IF(CQ746&gt;0,CQ746*MAX(1,AZ746/X746),IF(BZ746=1,IF(AZ746&lt;=0,0,CD746*MAX(1,IF(H746&gt;0,AZ746/H746,1))),IF(R746&gt;0,BA746/R746,0))/MAX(0.1,N(Parameter!$M$21)))</f>
        <v>0.15</v>
      </c>
      <c r="BC746" s="50" t="n">
        <f aca="false">BB746*CB746</f>
        <v>35.25</v>
      </c>
      <c r="BD746" s="51" t="n">
        <f aca="false">IF(LEFT(Cockpit!$O$5,1)="A",H746,IF(CH746=1,(CK746+CI746)/2,IF(LEFT(Cockpit!$O$5,1)="B",(CK746+BF746)/2,MAX((CK746+BF746)/2,H746))))</f>
        <v>11</v>
      </c>
      <c r="BE746" s="50" t="n">
        <f aca="false">BD746*G746</f>
        <v>28239.53</v>
      </c>
      <c r="BF746" s="50" t="n">
        <f aca="false">ROUNDUP(CK746+MAX(CL746,2*(J746/IF(CG746&gt;0,CG746,MAX(0.1,N(Cockpit!$O$6)))-CK746)),0)</f>
        <v>22</v>
      </c>
      <c r="BG746" s="51" t="n">
        <f aca="false">IF(BC746&gt;0,J746/BC746,-1)</f>
        <v>1.24822695035461</v>
      </c>
      <c r="BH746" s="51" t="str">
        <f aca="false">IF(AND(OR(CF746="L1",CF746="L23",CF746="LIFT"),BC746&gt;0),SUMIFS($BC$7:$BC$1843,$CF$7:$CF$1843,CF746,$BG$7:$BG$1843,"&gt;"&amp;BG746)+SUMIFS($BC$7:$BC$1843,$CF$7:$CF$1843,CF746,$BG$7:$BG$1843,BG746,$BW$7:$BW$1843,"&lt;="&amp;BW746),"")</f>
        <v/>
      </c>
      <c r="BI746" s="58" t="n">
        <f aca="false">IF(BH746="",0,MAX(0,MIN(1,(IF(CF746="L1",Parameter!$H$5,IF(CF746="L23",Parameter!$H$6+Parameter!$H$7,Parameter!$H$5+Parameter!$H$6+Parameter!$H$7))-(BH746-BC746))/BC746)))</f>
        <v>0</v>
      </c>
      <c r="BJ746" s="48" t="str">
        <f aca="false">IF(AI746&lt;=0,"",IF(CF746="Aussen","Aussenlager",IF(CF746="-","Nicht im Lift",IF(AO746&gt;=1,"Lift",IF(AO746&lt;=0,"Aussenlager","teilweise")))))</f>
        <v/>
      </c>
      <c r="BK746" s="48" t="str">
        <f aca="false">IF(AS746&lt;=0,"",IF(CF746="Aussen","Aussenlager",IF(CF746="-","Nicht im Lift",IF(AY746&gt;=1,"Lift",IF(AY746&lt;=0,"Aussenlager","teilweise")))))</f>
        <v>Nicht im Lift</v>
      </c>
      <c r="BL746" s="48" t="str">
        <f aca="false">IF(BC746&lt;=0,"",IF(CF746="Aussen","Aussenlager",IF(CF746="-","Nicht im Lift",IF(BI746&gt;=1,"Lift",IF(BI746&lt;=0,"Aussenlager","teilweise")))))</f>
        <v>Nicht im Lift</v>
      </c>
      <c r="BM746" s="48" t="str">
        <f aca="false">IF(A746="","",IF(BV746=1,"Neu; ","")&amp;IF(AND(BV746=0,BQ746&lt;0),"negativer Bestand (Export "&amp;BQ746&amp;"); ","")&amp;IF(J746&lt;=0,"Kein Verbrauch; ","")&amp;IF(CQ746&gt;0,"Lift "&amp;W746&amp;" lt. Liftbericht (Fach "&amp;X746&amp;" Stk); ",IF(CA746=1,"Gebinde geschätzt ("&amp;T746&amp;"); ",IF(BZ746=1,"Lose – Tablare geschätzt; ","")))&amp;IF(H746&gt;AV746,"Überbestand "&amp;ROUND(H746-AV746,0)&amp;" Stk / CHF "&amp;ROUND((H746-AV746)*G746,0)&amp;"; ","")&amp;IF(AND(CH746=1,CI746&lt;CJ746),"MAX &lt; MB+LG; ","")&amp;IF(AND(CP746&gt;0,CO746*10&gt;CP746),"zu hoch für Tablar; ","")&amp;IF(AND(BV746=0,OR(CH746=1,AA746&lt;&gt;"",U746&lt;&gt;"",V746&lt;&gt;"",AB746&lt;&gt;"")),"manuell übersteuert; ","")&amp;IF(AND(BZ746=0,R746=0),"Gebinde unbekannt / Stellmass fehlt; ","")&amp;IF(AND(BZ746=0,N(V746)&lt;=0,N(Q746)&lt;=0),"Menge pro Gebinde fehlt (Ist = 1 Gebinde); ","")&amp;BU746)</f>
        <v>Lose – Tablare geschätzt; </v>
      </c>
      <c r="BN746" s="48"/>
      <c r="BO746" s="48"/>
      <c r="BP746" s="55"/>
      <c r="BQ746" s="50" t="n">
        <v>0</v>
      </c>
      <c r="BR746" s="50" t="n">
        <v>0</v>
      </c>
      <c r="BS746" s="49" t="n">
        <v>-7.27595761418343E-012</v>
      </c>
      <c r="BT746" s="50" t="n">
        <v>44</v>
      </c>
      <c r="BU746" s="48"/>
      <c r="BV746" s="53" t="n">
        <v>0</v>
      </c>
      <c r="BW746" s="53" t="n">
        <v>746</v>
      </c>
      <c r="BX746" s="48" t="str">
        <f aca="false">IF(U746&lt;&gt;"",UPPER(TRIM(U746)),IF(CA746=1,UPPER(VLOOKUP(T746,Parameter!$I$27:$K$29,2,0)),IF(P746="","LOSE",P746)))</f>
        <v>LOSE</v>
      </c>
      <c r="BY746" s="50" t="n">
        <f aca="false">IF(BX746="LOSE",1,IF(N(V746)&gt;0,V746,IF(CA746=1,MAX(1,N(VLOOKUP(T746,Parameter!$I$27:$K$29,3,0)),H746,N(N746)),IF(N(Q746)&gt;0,Q746,MAX(1,H746)))))</f>
        <v>1</v>
      </c>
      <c r="BZ746" s="53" t="n">
        <f aca="false">IF(BX746="LOSE",1,0)</f>
        <v>1</v>
      </c>
      <c r="CA746" s="53" t="n">
        <f aca="false">IF(AND(U746="",OR(P746="",P746="LOSE"),T746&lt;&gt;"",N(S746)&lt;=0,ISNUMBER(MATCH(T746,Parameter!$I$27:$I$29,0))),1,0)</f>
        <v>0</v>
      </c>
      <c r="CB746" s="53" t="n">
        <f aca="false">IF(CQ746&gt;0,INDEX(Parameter!$H$5:$H$7,W746)/INDEX(Parameter!$E$5:$E$7,W746),IF(AND(BZ746=0,N(IFERROR(VLOOKUP(BX746,'Gebinde-Kategorie'!$A$5:$N$45,14,0),0))&gt;0),VLOOKUP(BX746,'Gebinde-Kategorie'!$A$5:$N$45,14,0)*10+Parameter!$M$23,Parameter!$M$24))</f>
        <v>235</v>
      </c>
      <c r="CC746" s="48" t="str">
        <f aca="false">IF(AND(Parameter!$B$19="Ja",E746&lt;&gt;"",ISNUMBER(MATCH(E746,Parameter!$I$35:$I$52,0))),VLOOKUP(E746,Parameter!$I$35:$J$52,2,0),IFERROR(VLOOKUP(D746,Parameter!$A$35:$C$64,2,0),"Nein"))</f>
        <v>Nein</v>
      </c>
      <c r="CD746" s="52" t="n">
        <f aca="false">IF(BZ746=0,0,IF(N(S746)&gt;0,S746,IFERROR(VLOOKUP(D746,Parameter!$A$35:$C$64,3,0)+0,0)))</f>
        <v>0.15</v>
      </c>
      <c r="CE746" s="48" t="str">
        <f aca="false">IF(AA746&lt;&gt;"",AA746,Z746)</f>
        <v>-</v>
      </c>
      <c r="CF746" s="48" t="str">
        <f aca="false">IF(OR(CE746=1,CE746=2,CE746=3),IF(Parameter!$E$27="Ja","LIFT",IF(CE746=1,"L1","L23")),IF(CE746="Aussen","Aussen","-"))</f>
        <v>-</v>
      </c>
      <c r="CG746" s="59" t="n">
        <f aca="false">IF(N(AB746)&gt;0,AB746,0)</f>
        <v>0</v>
      </c>
      <c r="CH746" s="53" t="n">
        <f aca="false">IF(ISNUMBER(AE746),1,0)</f>
        <v>0</v>
      </c>
      <c r="CI746" s="50" t="n">
        <f aca="false">N(AE746)</f>
        <v>0</v>
      </c>
      <c r="CJ746" s="50" t="n">
        <f aca="false">N(M746)+N(N746)</f>
        <v>1</v>
      </c>
      <c r="CK746" s="50" t="n">
        <f aca="false">N(M746)</f>
        <v>0</v>
      </c>
      <c r="CL746" s="50" t="n">
        <f aca="false">N(N746)</f>
        <v>1</v>
      </c>
      <c r="CM746" s="50" t="n">
        <f aca="false">ROUNDUP(H746/BY746,0)</f>
        <v>0</v>
      </c>
      <c r="CN746" s="50" t="n">
        <f aca="false">ROUNDUP(CI746/BY746,0)</f>
        <v>0</v>
      </c>
      <c r="CO746" s="53" t="n">
        <f aca="false">IF(BZ746=1,0,IFERROR(VLOOKUP(BX746,'Gebinde-Kategorie'!$A$5:$N$45,5,0)+0,0))</f>
        <v>0</v>
      </c>
      <c r="CP746" s="53" t="n">
        <f aca="false">IFERROR(IF(OR(CE746=1,CE746=2,CE746=3),N(INDEX(Parameter!$I$5:$I$7,CE746)),0),0)</f>
        <v>0</v>
      </c>
      <c r="CQ746" s="52" t="n">
        <f aca="false">IF(AND(Parameter!$B$21="Ja",ISNUMBER(W746),N(X746)&gt;0),IFERROR(N(INDEX(Parameter!$L$5:$L$7,W746))*INDEX(Parameter!$E$5:$E$7,W746)*X746/SUMIFS($X$7:$X$1843,$W$7:$W$1843,W746),0),0)</f>
        <v>0</v>
      </c>
    </row>
    <row r="747" customFormat="false" ht="15" hidden="false" customHeight="false" outlineLevel="0" collapsed="false">
      <c r="A747" s="48" t="s">
        <v>1489</v>
      </c>
      <c r="B747" s="48" t="s">
        <v>1490</v>
      </c>
      <c r="C747" s="48" t="s">
        <v>176</v>
      </c>
      <c r="D747" s="48" t="s">
        <v>1397</v>
      </c>
      <c r="E747" s="48" t="s">
        <v>1488</v>
      </c>
      <c r="F747" s="48" t="s">
        <v>227</v>
      </c>
      <c r="G747" s="49" t="n">
        <v>2080.97</v>
      </c>
      <c r="H747" s="50" t="n">
        <f aca="false">MAX(0,IF(AND(Parameter!$B$21="Ja",ISNUMBER(Y747)),Y747,IF(Parameter!$B$20="Jahresanfang 2025 + Export",BR747+BQ747,BQ747)))</f>
        <v>0</v>
      </c>
      <c r="I747" s="50" t="n">
        <f aca="false">H747*G747</f>
        <v>0</v>
      </c>
      <c r="J747" s="50" t="n">
        <f aca="false">BT747*Parameter!$B$18</f>
        <v>115</v>
      </c>
      <c r="K747" s="51" t="n">
        <v>0</v>
      </c>
      <c r="L747" s="52" t="n">
        <v>0</v>
      </c>
      <c r="M747" s="50" t="n">
        <v>0</v>
      </c>
      <c r="N747" s="50" t="n">
        <v>1</v>
      </c>
      <c r="O747" s="53" t="n">
        <v>7</v>
      </c>
      <c r="P747" s="48" t="s">
        <v>177</v>
      </c>
      <c r="Q747" s="50"/>
      <c r="R747" s="53" t="n">
        <f aca="false">IF(BZ747=1,0,IFERROR(VLOOKUP(BX747,'Gebinde-Kategorie'!$A$5:$N$45,13,0)+0,0))</f>
        <v>0</v>
      </c>
      <c r="S747" s="54"/>
      <c r="T747" s="55"/>
      <c r="U747" s="55"/>
      <c r="V747" s="55"/>
      <c r="W747" s="48"/>
      <c r="X747" s="50"/>
      <c r="Y747" s="50"/>
      <c r="Z747" s="48" t="str">
        <f aca="false">IF(A747="","",IF(AND(Parameter!$B$21="Ja",ISNUMBER(W747)),W747,IF(CC747="2+3",IF(ISNUMBER(SEARCH("grosser Artikel",BU747)),2,IFERROR(VLOOKUP(BX747,Parameter!$F$35:$G$64,2,0),2)),IF(OR(CC747="Nein",CC747=""),"-",CC747))))</f>
        <v>-</v>
      </c>
      <c r="AA747" s="55"/>
      <c r="AB747" s="56"/>
      <c r="AC747" s="50" t="n">
        <f aca="false">AV747</f>
        <v>77</v>
      </c>
      <c r="AD747" s="50" t="n">
        <f aca="false">MAX(AV747,H747)</f>
        <v>77</v>
      </c>
      <c r="AE747" s="57"/>
      <c r="AF747" s="50" t="n">
        <f aca="false">IF(LEFT(Cockpit!$C$5,1)="A",H747,IF(Parameter!$E$30="MAX-Bestand",IF(CH747=1,CI747,IF(LEFT(Cockpit!$C$5,1)="B",AL747,MAX(AL747,H747))),ROUNDUP(AJ747,0)))</f>
        <v>0</v>
      </c>
      <c r="AG747" s="50" t="n">
        <f aca="false">IF(BZ747=1,0,ROUNDUP(AF747/BY747,0))</f>
        <v>0</v>
      </c>
      <c r="AH747" s="52" t="n">
        <f aca="false">IF(CQ747&gt;0,CQ747*MAX(1,AF747/X747),IF(BZ747=1,IF(AF747&lt;=0,0,CD747*MAX(1,IF(H747&gt;0,AF747/H747,1))),IF(R747&gt;0,AG747/R747,0))/MAX(0.1,N(Parameter!$M$21)))</f>
        <v>0</v>
      </c>
      <c r="AI747" s="50" t="n">
        <f aca="false">AH747*CB747</f>
        <v>0</v>
      </c>
      <c r="AJ747" s="51" t="n">
        <f aca="false">IF(LEFT(Cockpit!$C$5,1)="A",H747,IF(CH747=1,(CK747+CI747)/2,IF(LEFT(Cockpit!$C$5,1)="B",(CK747+AL747)/2,MAX((CK747+AL747)/2,H747))))</f>
        <v>0</v>
      </c>
      <c r="AK747" s="50" t="n">
        <f aca="false">AJ747*G747</f>
        <v>0</v>
      </c>
      <c r="AL747" s="50" t="n">
        <f aca="false">ROUNDUP(CK747+MAX(CL747,2*(J747/IF(CG747&gt;0,CG747,MAX(0.1,N(Cockpit!$C$6)))-CK747)),0)</f>
        <v>77</v>
      </c>
      <c r="AM747" s="51" t="n">
        <f aca="false">IF(AI747&gt;0,J747/AI747,-1)</f>
        <v>-1</v>
      </c>
      <c r="AN747" s="51" t="str">
        <f aca="false">IF(AND(OR(CF747="L1",CF747="L23",CF747="LIFT"),AI747&gt;0),SUMIFS($AI$7:$AI$1843,$CF$7:$CF$1843,CF747,$AM$7:$AM$1843,"&gt;"&amp;AM747)+SUMIFS($AI$7:$AI$1843,$CF$7:$CF$1843,CF747,$AM$7:$AM$1843,AM747,$BW$7:$BW$1843,"&lt;="&amp;BW747),"")</f>
        <v/>
      </c>
      <c r="AO747" s="58" t="n">
        <f aca="false">IF(AN747="",0,MAX(0,MIN(1,(IF(CF747="L1",Parameter!$H$5,IF(CF747="L23",Parameter!$H$6+Parameter!$H$7,Parameter!$H$5+Parameter!$H$6+Parameter!$H$7))-(AN747-AI747))/AI747)))</f>
        <v>0</v>
      </c>
      <c r="AP747" s="50" t="n">
        <f aca="false">IF(LEFT(Cockpit!$I$5,1)="A",H747,IF(Parameter!$E$30="MAX-Bestand",IF(CH747=1,CI747,IF(LEFT(Cockpit!$I$5,1)="B",AV747,MAX(AV747,H747))),ROUNDUP(AT747,0)))</f>
        <v>39</v>
      </c>
      <c r="AQ747" s="50" t="n">
        <f aca="false">IF(BZ747=1,0,ROUNDUP(AP747/BY747,0))</f>
        <v>0</v>
      </c>
      <c r="AR747" s="52" t="n">
        <f aca="false">IF(CQ747&gt;0,CQ747*MAX(1,AP747/X747),IF(BZ747=1,IF(AP747&lt;=0,0,CD747*MAX(1,IF(H747&gt;0,AP747/H747,1))),IF(R747&gt;0,AQ747/R747,0))/MAX(0.1,N(Parameter!$M$21)))</f>
        <v>0.15</v>
      </c>
      <c r="AS747" s="50" t="n">
        <f aca="false">AR747*CB747</f>
        <v>35.25</v>
      </c>
      <c r="AT747" s="51" t="n">
        <f aca="false">IF(LEFT(Cockpit!$I$5,1)="A",H747,IF(CH747=1,(CK747+CI747)/2,IF(LEFT(Cockpit!$I$5,1)="B",(CK747+AV747)/2,MAX((CK747+AV747)/2,H747))))</f>
        <v>38.5</v>
      </c>
      <c r="AU747" s="50" t="n">
        <f aca="false">AT747*G747</f>
        <v>80117.345</v>
      </c>
      <c r="AV747" s="50" t="n">
        <f aca="false">ROUNDUP(CK747+MAX(CL747,2*(J747/IF(CG747&gt;0,CG747,MAX(0.1,N(Cockpit!$I$6)))-CK747)),0)</f>
        <v>77</v>
      </c>
      <c r="AW747" s="51" t="n">
        <f aca="false">IF(AS747&gt;0,J747/AS747,-1)</f>
        <v>3.26241134751773</v>
      </c>
      <c r="AX747" s="51" t="str">
        <f aca="false">IF(AND(OR(CF747="L1",CF747="L23",CF747="LIFT"),AS747&gt;0),SUMIFS($AS$7:$AS$1843,$CF$7:$CF$1843,CF747,$AW$7:$AW$1843,"&gt;"&amp;AW747)+SUMIFS($AS$7:$AS$1843,$CF$7:$CF$1843,CF747,$AW$7:$AW$1843,AW747,$BW$7:$BW$1843,"&lt;="&amp;BW747),"")</f>
        <v/>
      </c>
      <c r="AY747" s="58" t="n">
        <f aca="false">IF(AX747="",0,MAX(0,MIN(1,(IF(CF747="L1",Parameter!$H$5,IF(CF747="L23",Parameter!$H$6+Parameter!$H$7,Parameter!$H$5+Parameter!$H$6+Parameter!$H$7))-(AX747-AS747))/AS747)))</f>
        <v>0</v>
      </c>
      <c r="AZ747" s="50" t="n">
        <f aca="false">IF(LEFT(Cockpit!$O$5,1)="A",H747,IF(Parameter!$E$30="MAX-Bestand",IF(CH747=1,CI747,IF(LEFT(Cockpit!$O$5,1)="B",BF747,MAX(BF747,H747))),ROUNDUP(BD747,0)))</f>
        <v>29</v>
      </c>
      <c r="BA747" s="50" t="n">
        <f aca="false">IF(BZ747=1,0,ROUNDUP(AZ747/BY747,0))</f>
        <v>0</v>
      </c>
      <c r="BB747" s="52" t="n">
        <f aca="false">IF(CQ747&gt;0,CQ747*MAX(1,AZ747/X747),IF(BZ747=1,IF(AZ747&lt;=0,0,CD747*MAX(1,IF(H747&gt;0,AZ747/H747,1))),IF(R747&gt;0,BA747/R747,0))/MAX(0.1,N(Parameter!$M$21)))</f>
        <v>0.15</v>
      </c>
      <c r="BC747" s="50" t="n">
        <f aca="false">BB747*CB747</f>
        <v>35.25</v>
      </c>
      <c r="BD747" s="51" t="n">
        <f aca="false">IF(LEFT(Cockpit!$O$5,1)="A",H747,IF(CH747=1,(CK747+CI747)/2,IF(LEFT(Cockpit!$O$5,1)="B",(CK747+BF747)/2,MAX((CK747+BF747)/2,H747))))</f>
        <v>29</v>
      </c>
      <c r="BE747" s="50" t="n">
        <f aca="false">BD747*G747</f>
        <v>60348.13</v>
      </c>
      <c r="BF747" s="50" t="n">
        <f aca="false">ROUNDUP(CK747+MAX(CL747,2*(J747/IF(CG747&gt;0,CG747,MAX(0.1,N(Cockpit!$O$6)))-CK747)),0)</f>
        <v>58</v>
      </c>
      <c r="BG747" s="51" t="n">
        <f aca="false">IF(BC747&gt;0,J747/BC747,-1)</f>
        <v>3.26241134751773</v>
      </c>
      <c r="BH747" s="51" t="str">
        <f aca="false">IF(AND(OR(CF747="L1",CF747="L23",CF747="LIFT"),BC747&gt;0),SUMIFS($BC$7:$BC$1843,$CF$7:$CF$1843,CF747,$BG$7:$BG$1843,"&gt;"&amp;BG747)+SUMIFS($BC$7:$BC$1843,$CF$7:$CF$1843,CF747,$BG$7:$BG$1843,BG747,$BW$7:$BW$1843,"&lt;="&amp;BW747),"")</f>
        <v/>
      </c>
      <c r="BI747" s="58" t="n">
        <f aca="false">IF(BH747="",0,MAX(0,MIN(1,(IF(CF747="L1",Parameter!$H$5,IF(CF747="L23",Parameter!$H$6+Parameter!$H$7,Parameter!$H$5+Parameter!$H$6+Parameter!$H$7))-(BH747-BC747))/BC747)))</f>
        <v>0</v>
      </c>
      <c r="BJ747" s="48" t="str">
        <f aca="false">IF(AI747&lt;=0,"",IF(CF747="Aussen","Aussenlager",IF(CF747="-","Nicht im Lift",IF(AO747&gt;=1,"Lift",IF(AO747&lt;=0,"Aussenlager","teilweise")))))</f>
        <v/>
      </c>
      <c r="BK747" s="48" t="str">
        <f aca="false">IF(AS747&lt;=0,"",IF(CF747="Aussen","Aussenlager",IF(CF747="-","Nicht im Lift",IF(AY747&gt;=1,"Lift",IF(AY747&lt;=0,"Aussenlager","teilweise")))))</f>
        <v>Nicht im Lift</v>
      </c>
      <c r="BL747" s="48" t="str">
        <f aca="false">IF(BC747&lt;=0,"",IF(CF747="Aussen","Aussenlager",IF(CF747="-","Nicht im Lift",IF(BI747&gt;=1,"Lift",IF(BI747&lt;=0,"Aussenlager","teilweise")))))</f>
        <v>Nicht im Lift</v>
      </c>
      <c r="BM747" s="48" t="str">
        <f aca="false">IF(A747="","",IF(BV747=1,"Neu; ","")&amp;IF(AND(BV747=0,BQ747&lt;0),"negativer Bestand (Export "&amp;BQ747&amp;"); ","")&amp;IF(J747&lt;=0,"Kein Verbrauch; ","")&amp;IF(CQ747&gt;0,"Lift "&amp;W747&amp;" lt. Liftbericht (Fach "&amp;X747&amp;" Stk); ",IF(CA747=1,"Gebinde geschätzt ("&amp;T747&amp;"); ",IF(BZ747=1,"Lose – Tablare geschätzt; ","")))&amp;IF(H747&gt;AV747,"Überbestand "&amp;ROUND(H747-AV747,0)&amp;" Stk / CHF "&amp;ROUND((H747-AV747)*G747,0)&amp;"; ","")&amp;IF(AND(CH747=1,CI747&lt;CJ747),"MAX &lt; MB+LG; ","")&amp;IF(AND(CP747&gt;0,CO747*10&gt;CP747),"zu hoch für Tablar; ","")&amp;IF(AND(BV747=0,OR(CH747=1,AA747&lt;&gt;"",U747&lt;&gt;"",V747&lt;&gt;"",AB747&lt;&gt;"")),"manuell übersteuert; ","")&amp;IF(AND(BZ747=0,R747=0),"Gebinde unbekannt / Stellmass fehlt; ","")&amp;IF(AND(BZ747=0,N(V747)&lt;=0,N(Q747)&lt;=0),"Menge pro Gebinde fehlt (Ist = 1 Gebinde); ","")&amp;BU747)</f>
        <v>Lose – Tablare geschätzt; </v>
      </c>
      <c r="BN747" s="48"/>
      <c r="BO747" s="48"/>
      <c r="BP747" s="55"/>
      <c r="BQ747" s="50" t="n">
        <v>0</v>
      </c>
      <c r="BR747" s="50" t="n">
        <v>0</v>
      </c>
      <c r="BS747" s="49" t="n">
        <v>-1.45519152283669E-011</v>
      </c>
      <c r="BT747" s="50" t="n">
        <v>115</v>
      </c>
      <c r="BU747" s="48"/>
      <c r="BV747" s="53" t="n">
        <v>0</v>
      </c>
      <c r="BW747" s="53" t="n">
        <v>747</v>
      </c>
      <c r="BX747" s="48" t="str">
        <f aca="false">IF(U747&lt;&gt;"",UPPER(TRIM(U747)),IF(CA747=1,UPPER(VLOOKUP(T747,Parameter!$I$27:$K$29,2,0)),IF(P747="","LOSE",P747)))</f>
        <v>LOSE</v>
      </c>
      <c r="BY747" s="50" t="n">
        <f aca="false">IF(BX747="LOSE",1,IF(N(V747)&gt;0,V747,IF(CA747=1,MAX(1,N(VLOOKUP(T747,Parameter!$I$27:$K$29,3,0)),H747,N(N747)),IF(N(Q747)&gt;0,Q747,MAX(1,H747)))))</f>
        <v>1</v>
      </c>
      <c r="BZ747" s="53" t="n">
        <f aca="false">IF(BX747="LOSE",1,0)</f>
        <v>1</v>
      </c>
      <c r="CA747" s="53" t="n">
        <f aca="false">IF(AND(U747="",OR(P747="",P747="LOSE"),T747&lt;&gt;"",N(S747)&lt;=0,ISNUMBER(MATCH(T747,Parameter!$I$27:$I$29,0))),1,0)</f>
        <v>0</v>
      </c>
      <c r="CB747" s="53" t="n">
        <f aca="false">IF(CQ747&gt;0,INDEX(Parameter!$H$5:$H$7,W747)/INDEX(Parameter!$E$5:$E$7,W747),IF(AND(BZ747=0,N(IFERROR(VLOOKUP(BX747,'Gebinde-Kategorie'!$A$5:$N$45,14,0),0))&gt;0),VLOOKUP(BX747,'Gebinde-Kategorie'!$A$5:$N$45,14,0)*10+Parameter!$M$23,Parameter!$M$24))</f>
        <v>235</v>
      </c>
      <c r="CC747" s="48" t="str">
        <f aca="false">IF(AND(Parameter!$B$19="Ja",E747&lt;&gt;"",ISNUMBER(MATCH(E747,Parameter!$I$35:$I$52,0))),VLOOKUP(E747,Parameter!$I$35:$J$52,2,0),IFERROR(VLOOKUP(D747,Parameter!$A$35:$C$64,2,0),"Nein"))</f>
        <v>Nein</v>
      </c>
      <c r="CD747" s="52" t="n">
        <f aca="false">IF(BZ747=0,0,IF(N(S747)&gt;0,S747,IFERROR(VLOOKUP(D747,Parameter!$A$35:$C$64,3,0)+0,0)))</f>
        <v>0.15</v>
      </c>
      <c r="CE747" s="48" t="str">
        <f aca="false">IF(AA747&lt;&gt;"",AA747,Z747)</f>
        <v>-</v>
      </c>
      <c r="CF747" s="48" t="str">
        <f aca="false">IF(OR(CE747=1,CE747=2,CE747=3),IF(Parameter!$E$27="Ja","LIFT",IF(CE747=1,"L1","L23")),IF(CE747="Aussen","Aussen","-"))</f>
        <v>-</v>
      </c>
      <c r="CG747" s="59" t="n">
        <f aca="false">IF(N(AB747)&gt;0,AB747,0)</f>
        <v>0</v>
      </c>
      <c r="CH747" s="53" t="n">
        <f aca="false">IF(ISNUMBER(AE747),1,0)</f>
        <v>0</v>
      </c>
      <c r="CI747" s="50" t="n">
        <f aca="false">N(AE747)</f>
        <v>0</v>
      </c>
      <c r="CJ747" s="50" t="n">
        <f aca="false">N(M747)+N(N747)</f>
        <v>1</v>
      </c>
      <c r="CK747" s="50" t="n">
        <f aca="false">N(M747)</f>
        <v>0</v>
      </c>
      <c r="CL747" s="50" t="n">
        <f aca="false">N(N747)</f>
        <v>1</v>
      </c>
      <c r="CM747" s="50" t="n">
        <f aca="false">ROUNDUP(H747/BY747,0)</f>
        <v>0</v>
      </c>
      <c r="CN747" s="50" t="n">
        <f aca="false">ROUNDUP(CI747/BY747,0)</f>
        <v>0</v>
      </c>
      <c r="CO747" s="53" t="n">
        <f aca="false">IF(BZ747=1,0,IFERROR(VLOOKUP(BX747,'Gebinde-Kategorie'!$A$5:$N$45,5,0)+0,0))</f>
        <v>0</v>
      </c>
      <c r="CP747" s="53" t="n">
        <f aca="false">IFERROR(IF(OR(CE747=1,CE747=2,CE747=3),N(INDEX(Parameter!$I$5:$I$7,CE747)),0),0)</f>
        <v>0</v>
      </c>
      <c r="CQ747" s="52" t="n">
        <f aca="false">IF(AND(Parameter!$B$21="Ja",ISNUMBER(W747),N(X747)&gt;0),IFERROR(N(INDEX(Parameter!$L$5:$L$7,W747))*INDEX(Parameter!$E$5:$E$7,W747)*X747/SUMIFS($X$7:$X$1843,$W$7:$W$1843,W747),0),0)</f>
        <v>0</v>
      </c>
    </row>
    <row r="748" customFormat="false" ht="15" hidden="false" customHeight="false" outlineLevel="0" collapsed="false">
      <c r="A748" s="48" t="s">
        <v>1491</v>
      </c>
      <c r="B748" s="48" t="s">
        <v>958</v>
      </c>
      <c r="C748" s="48" t="s">
        <v>173</v>
      </c>
      <c r="D748" s="48" t="s">
        <v>193</v>
      </c>
      <c r="E748" s="48"/>
      <c r="F748" s="48" t="s">
        <v>227</v>
      </c>
      <c r="G748" s="49" t="n">
        <v>0.02</v>
      </c>
      <c r="H748" s="50" t="n">
        <f aca="false">MAX(0,IF(AND(Parameter!$B$21="Ja",ISNUMBER(Y748)),Y748,IF(Parameter!$B$20="Jahresanfang 2025 + Export",BR748+BQ748,BQ748)))</f>
        <v>94</v>
      </c>
      <c r="I748" s="50" t="n">
        <f aca="false">H748*G748</f>
        <v>1.88</v>
      </c>
      <c r="J748" s="50" t="n">
        <f aca="false">BT748*Parameter!$B$18</f>
        <v>0</v>
      </c>
      <c r="K748" s="51" t="n">
        <v>94.5</v>
      </c>
      <c r="L748" s="52" t="n">
        <v>0</v>
      </c>
      <c r="M748" s="50" t="n">
        <v>0</v>
      </c>
      <c r="N748" s="50" t="n">
        <v>1</v>
      </c>
      <c r="O748" s="53" t="n">
        <v>14</v>
      </c>
      <c r="P748" s="48" t="s">
        <v>177</v>
      </c>
      <c r="Q748" s="50"/>
      <c r="R748" s="53" t="n">
        <f aca="false">IF(BZ748=1,0,IFERROR(VLOOKUP(BX748,'Gebinde-Kategorie'!$A$5:$N$45,13,0)+0,0))</f>
        <v>26</v>
      </c>
      <c r="S748" s="54"/>
      <c r="T748" s="55" t="s">
        <v>284</v>
      </c>
      <c r="U748" s="55"/>
      <c r="V748" s="55"/>
      <c r="W748" s="48"/>
      <c r="X748" s="50"/>
      <c r="Y748" s="50"/>
      <c r="Z748" s="48" t="n">
        <f aca="false">IF(A748="","",IF(AND(Parameter!$B$21="Ja",ISNUMBER(W748)),W748,IF(CC748="2+3",IF(ISNUMBER(SEARCH("grosser Artikel",BU748)),2,IFERROR(VLOOKUP(BX748,Parameter!$F$35:$G$64,2,0),2)),IF(OR(CC748="Nein",CC748=""),"-",CC748))))</f>
        <v>3</v>
      </c>
      <c r="AA748" s="55"/>
      <c r="AB748" s="56"/>
      <c r="AC748" s="50" t="n">
        <f aca="false">AV748</f>
        <v>1</v>
      </c>
      <c r="AD748" s="50" t="n">
        <f aca="false">MAX(AV748,H748)</f>
        <v>94</v>
      </c>
      <c r="AE748" s="57"/>
      <c r="AF748" s="50" t="n">
        <f aca="false">IF(LEFT(Cockpit!$C$5,1)="A",H748,IF(Parameter!$E$30="MAX-Bestand",IF(CH748=1,CI748,IF(LEFT(Cockpit!$C$5,1)="B",AL748,MAX(AL748,H748))),ROUNDUP(AJ748,0)))</f>
        <v>94</v>
      </c>
      <c r="AG748" s="50" t="n">
        <f aca="false">IF(BZ748=1,0,ROUNDUP(AF748/BY748,0))</f>
        <v>1</v>
      </c>
      <c r="AH748" s="52" t="n">
        <f aca="false">IF(CQ748&gt;0,CQ748*MAX(1,AF748/X748),IF(BZ748=1,IF(AF748&lt;=0,0,CD748*MAX(1,IF(H748&gt;0,AF748/H748,1))),IF(R748&gt;0,AG748/R748,0))/MAX(0.1,N(Parameter!$M$21)))</f>
        <v>0.0384615384615385</v>
      </c>
      <c r="AI748" s="50" t="n">
        <f aca="false">AH748*CB748</f>
        <v>5.96153846153846</v>
      </c>
      <c r="AJ748" s="51" t="n">
        <f aca="false">IF(LEFT(Cockpit!$C$5,1)="A",H748,IF(CH748=1,(CK748+CI748)/2,IF(LEFT(Cockpit!$C$5,1)="B",(CK748+AL748)/2,MAX((CK748+AL748)/2,H748))))</f>
        <v>94</v>
      </c>
      <c r="AK748" s="50" t="n">
        <f aca="false">AJ748*G748</f>
        <v>1.88</v>
      </c>
      <c r="AL748" s="50" t="n">
        <f aca="false">ROUNDUP(CK748+MAX(CL748,2*(J748/IF(CG748&gt;0,CG748,MAX(0.1,N(Cockpit!$C$6)))-CK748)),0)</f>
        <v>1</v>
      </c>
      <c r="AM748" s="51" t="n">
        <f aca="false">IF(AI748&gt;0,J748/AI748,-1)</f>
        <v>0</v>
      </c>
      <c r="AN748" s="51" t="n">
        <f aca="false">IF(AND(OR(CF748="L1",CF748="L23",CF748="LIFT"),AI748&gt;0),SUMIFS($AI$7:$AI$1843,$CF$7:$CF$1843,CF748,$AM$7:$AM$1843,"&gt;"&amp;AM748)+SUMIFS($AI$7:$AI$1843,$CF$7:$CF$1843,CF748,$AM$7:$AM$1843,AM748,$BW$7:$BW$1843,"&lt;="&amp;BW748),"")</f>
        <v>28707.2900033112</v>
      </c>
      <c r="AO748" s="58" t="n">
        <f aca="false">IF(AN748="",0,MAX(0,MIN(1,(IF(CF748="L1",Parameter!$H$5,IF(CF748="L23",Parameter!$H$6+Parameter!$H$7,Parameter!$H$5+Parameter!$H$6+Parameter!$H$7))-(AN748-AI748))/AI748)))</f>
        <v>1</v>
      </c>
      <c r="AP748" s="50" t="n">
        <f aca="false">IF(LEFT(Cockpit!$I$5,1)="A",H748,IF(Parameter!$E$30="MAX-Bestand",IF(CH748=1,CI748,IF(LEFT(Cockpit!$I$5,1)="B",AV748,MAX(AV748,H748))),ROUNDUP(AT748,0)))</f>
        <v>94</v>
      </c>
      <c r="AQ748" s="50" t="n">
        <f aca="false">IF(BZ748=1,0,ROUNDUP(AP748/BY748,0))</f>
        <v>1</v>
      </c>
      <c r="AR748" s="52" t="n">
        <f aca="false">IF(CQ748&gt;0,CQ748*MAX(1,AP748/X748),IF(BZ748=1,IF(AP748&lt;=0,0,CD748*MAX(1,IF(H748&gt;0,AP748/H748,1))),IF(R748&gt;0,AQ748/R748,0))/MAX(0.1,N(Parameter!$M$21)))</f>
        <v>0.0384615384615385</v>
      </c>
      <c r="AS748" s="50" t="n">
        <f aca="false">AR748*CB748</f>
        <v>5.96153846153846</v>
      </c>
      <c r="AT748" s="51" t="n">
        <f aca="false">IF(LEFT(Cockpit!$I$5,1)="A",H748,IF(CH748=1,(CK748+CI748)/2,IF(LEFT(Cockpit!$I$5,1)="B",(CK748+AV748)/2,MAX((CK748+AV748)/2,H748))))</f>
        <v>94</v>
      </c>
      <c r="AU748" s="50" t="n">
        <f aca="false">AT748*G748</f>
        <v>1.88</v>
      </c>
      <c r="AV748" s="50" t="n">
        <f aca="false">ROUNDUP(CK748+MAX(CL748,2*(J748/IF(CG748&gt;0,CG748,MAX(0.1,N(Cockpit!$I$6)))-CK748)),0)</f>
        <v>1</v>
      </c>
      <c r="AW748" s="51" t="n">
        <f aca="false">IF(AS748&gt;0,J748/AS748,-1)</f>
        <v>0</v>
      </c>
      <c r="AX748" s="51" t="n">
        <f aca="false">IF(AND(OR(CF748="L1",CF748="L23",CF748="LIFT"),AS748&gt;0),SUMIFS($AS$7:$AS$1843,$CF$7:$CF$1843,CF748,$AW$7:$AW$1843,"&gt;"&amp;AW748)+SUMIFS($AS$7:$AS$1843,$CF$7:$CF$1843,CF748,$AW$7:$AW$1843,AW748,$BW$7:$BW$1843,"&lt;="&amp;BW748),"")</f>
        <v>34299.9899267399</v>
      </c>
      <c r="AY748" s="58" t="n">
        <f aca="false">IF(AX748="",0,MAX(0,MIN(1,(IF(CF748="L1",Parameter!$H$5,IF(CF748="L23",Parameter!$H$6+Parameter!$H$7,Parameter!$H$5+Parameter!$H$6+Parameter!$H$7))-(AX748-AS748))/AS748)))</f>
        <v>1</v>
      </c>
      <c r="AZ748" s="50" t="n">
        <f aca="false">IF(LEFT(Cockpit!$O$5,1)="A",H748,IF(Parameter!$E$30="MAX-Bestand",IF(CH748=1,CI748,IF(LEFT(Cockpit!$O$5,1)="B",BF748,MAX(BF748,H748))),ROUNDUP(BD748,0)))</f>
        <v>1</v>
      </c>
      <c r="BA748" s="50" t="n">
        <f aca="false">IF(BZ748=1,0,ROUNDUP(AZ748/BY748,0))</f>
        <v>1</v>
      </c>
      <c r="BB748" s="52" t="n">
        <f aca="false">IF(CQ748&gt;0,CQ748*MAX(1,AZ748/X748),IF(BZ748=1,IF(AZ748&lt;=0,0,CD748*MAX(1,IF(H748&gt;0,AZ748/H748,1))),IF(R748&gt;0,BA748/R748,0))/MAX(0.1,N(Parameter!$M$21)))</f>
        <v>0.0384615384615385</v>
      </c>
      <c r="BC748" s="50" t="n">
        <f aca="false">BB748*CB748</f>
        <v>5.96153846153846</v>
      </c>
      <c r="BD748" s="51" t="n">
        <f aca="false">IF(LEFT(Cockpit!$O$5,1)="A",H748,IF(CH748=1,(CK748+CI748)/2,IF(LEFT(Cockpit!$O$5,1)="B",(CK748+BF748)/2,MAX((CK748+BF748)/2,H748))))</f>
        <v>0.5</v>
      </c>
      <c r="BE748" s="50" t="n">
        <f aca="false">BD748*G748</f>
        <v>0.01</v>
      </c>
      <c r="BF748" s="50" t="n">
        <f aca="false">ROUNDUP(CK748+MAX(CL748,2*(J748/IF(CG748&gt;0,CG748,MAX(0.1,N(Cockpit!$O$6)))-CK748)),0)</f>
        <v>1</v>
      </c>
      <c r="BG748" s="51" t="n">
        <f aca="false">IF(BC748&gt;0,J748/BC748,-1)</f>
        <v>0</v>
      </c>
      <c r="BH748" s="51" t="n">
        <f aca="false">IF(AND(OR(CF748="L1",CF748="L23",CF748="LIFT"),BC748&gt;0),SUMIFS($BC$7:$BC$1843,$CF$7:$CF$1843,CF748,$BG$7:$BG$1843,"&gt;"&amp;BG748)+SUMIFS($BC$7:$BC$1843,$CF$7:$CF$1843,CF748,$BG$7:$BG$1843,BG748,$BW$7:$BW$1843,"&lt;="&amp;BW748),"")</f>
        <v>28349.8213121624</v>
      </c>
      <c r="BI748" s="58" t="n">
        <f aca="false">IF(BH748="",0,MAX(0,MIN(1,(IF(CF748="L1",Parameter!$H$5,IF(CF748="L23",Parameter!$H$6+Parameter!$H$7,Parameter!$H$5+Parameter!$H$6+Parameter!$H$7))-(BH748-BC748))/BC748)))</f>
        <v>1</v>
      </c>
      <c r="BJ748" s="48" t="str">
        <f aca="false">IF(AI748&lt;=0,"",IF(CF748="Aussen","Aussenlager",IF(CF748="-","Nicht im Lift",IF(AO748&gt;=1,"Lift",IF(AO748&lt;=0,"Aussenlager","teilweise")))))</f>
        <v>Lift</v>
      </c>
      <c r="BK748" s="48" t="str">
        <f aca="false">IF(AS748&lt;=0,"",IF(CF748="Aussen","Aussenlager",IF(CF748="-","Nicht im Lift",IF(AY748&gt;=1,"Lift",IF(AY748&lt;=0,"Aussenlager","teilweise")))))</f>
        <v>Lift</v>
      </c>
      <c r="BL748" s="48" t="str">
        <f aca="false">IF(BC748&lt;=0,"",IF(CF748="Aussen","Aussenlager",IF(CF748="-","Nicht im Lift",IF(BI748&gt;=1,"Lift",IF(BI748&lt;=0,"Aussenlager","teilweise")))))</f>
        <v>Lift</v>
      </c>
      <c r="BM748" s="48" t="str">
        <f aca="false">IF(A748="","",IF(BV748=1,"Neu; ","")&amp;IF(AND(BV748=0,BQ748&lt;0),"negativer Bestand (Export "&amp;BQ748&amp;"); ","")&amp;IF(J748&lt;=0,"Kein Verbrauch; ","")&amp;IF(CQ748&gt;0,"Lift "&amp;W748&amp;" lt. Liftbericht (Fach "&amp;X748&amp;" Stk); ",IF(CA748=1,"Gebinde geschätzt ("&amp;T748&amp;"); ",IF(BZ748=1,"Lose – Tablare geschätzt; ","")))&amp;IF(H748&gt;AV748,"Überbestand "&amp;ROUND(H748-AV748,0)&amp;" Stk / CHF "&amp;ROUND((H748-AV748)*G748,0)&amp;"; ","")&amp;IF(AND(CH748=1,CI748&lt;CJ748),"MAX &lt; MB+LG; ","")&amp;IF(AND(CP748&gt;0,CO748*10&gt;CP748),"zu hoch für Tablar; ","")&amp;IF(AND(BV748=0,OR(CH748=1,AA748&lt;&gt;"",U748&lt;&gt;"",V748&lt;&gt;"",AB748&lt;&gt;"")),"manuell übersteuert; ","")&amp;IF(AND(BZ748=0,R748=0),"Gebinde unbekannt / Stellmass fehlt; ","")&amp;IF(AND(BZ748=0,N(V748)&lt;=0,N(Q748)&lt;=0),"Menge pro Gebinde fehlt (Ist = 1 Gebinde); ","")&amp;BU748)</f>
        <v>negativer Bestand (Export -1); Kein Verbrauch; Gebinde geschätzt (Klein); Überbestand 93 Stk / CHF 2; Menge pro Gebinde fehlt (Ist = 1 Gebinde); </v>
      </c>
      <c r="BN748" s="48"/>
      <c r="BO748" s="48"/>
      <c r="BP748" s="55"/>
      <c r="BQ748" s="50" t="n">
        <v>-1</v>
      </c>
      <c r="BR748" s="50" t="n">
        <v>95</v>
      </c>
      <c r="BS748" s="49" t="n">
        <v>-0.02</v>
      </c>
      <c r="BT748" s="50" t="n">
        <v>0</v>
      </c>
      <c r="BU748" s="48"/>
      <c r="BV748" s="53" t="n">
        <v>0</v>
      </c>
      <c r="BW748" s="53" t="n">
        <v>748</v>
      </c>
      <c r="BX748" s="48" t="str">
        <f aca="false">IF(U748&lt;&gt;"",UPPER(TRIM(U748)),IF(CA748=1,UPPER(VLOOKUP(T748,Parameter!$I$27:$K$29,2,0)),IF(P748="","LOSE",P748)))</f>
        <v>S51</v>
      </c>
      <c r="BY748" s="50" t="n">
        <f aca="false">IF(BX748="LOSE",1,IF(N(V748)&gt;0,V748,IF(CA748=1,MAX(1,N(VLOOKUP(T748,Parameter!$I$27:$K$29,3,0)),H748,N(N748)),IF(N(Q748)&gt;0,Q748,MAX(1,H748)))))</f>
        <v>94</v>
      </c>
      <c r="BZ748" s="53" t="n">
        <f aca="false">IF(BX748="LOSE",1,0)</f>
        <v>0</v>
      </c>
      <c r="CA748" s="53" t="n">
        <f aca="false">IF(AND(U748="",OR(P748="",P748="LOSE"),T748&lt;&gt;"",N(S748)&lt;=0,ISNUMBER(MATCH(T748,Parameter!$I$27:$I$29,0))),1,0)</f>
        <v>1</v>
      </c>
      <c r="CB748" s="53" t="n">
        <f aca="false">IF(CQ748&gt;0,INDEX(Parameter!$H$5:$H$7,W748)/INDEX(Parameter!$E$5:$E$7,W748),IF(AND(BZ748=0,N(IFERROR(VLOOKUP(BX748,'Gebinde-Kategorie'!$A$5:$N$45,14,0),0))&gt;0),VLOOKUP(BX748,'Gebinde-Kategorie'!$A$5:$N$45,14,0)*10+Parameter!$M$23,Parameter!$M$24))</f>
        <v>155</v>
      </c>
      <c r="CC748" s="48" t="str">
        <f aca="false">IF(AND(Parameter!$B$19="Ja",E748&lt;&gt;"",ISNUMBER(MATCH(E748,Parameter!$I$35:$I$52,0))),VLOOKUP(E748,Parameter!$I$35:$J$52,2,0),IFERROR(VLOOKUP(D748,Parameter!$A$35:$C$64,2,0),"Nein"))</f>
        <v>2+3</v>
      </c>
      <c r="CD748" s="52" t="n">
        <f aca="false">IF(BZ748=0,0,IF(N(S748)&gt;0,S748,IFERROR(VLOOKUP(D748,Parameter!$A$35:$C$64,3,0)+0,0)))</f>
        <v>0</v>
      </c>
      <c r="CE748" s="48" t="n">
        <f aca="false">IF(AA748&lt;&gt;"",AA748,Z748)</f>
        <v>3</v>
      </c>
      <c r="CF748" s="48" t="str">
        <f aca="false">IF(OR(CE748=1,CE748=2,CE748=3),IF(Parameter!$E$27="Ja","LIFT",IF(CE748=1,"L1","L23")),IF(CE748="Aussen","Aussen","-"))</f>
        <v>LIFT</v>
      </c>
      <c r="CG748" s="59" t="n">
        <f aca="false">IF(N(AB748)&gt;0,AB748,0)</f>
        <v>0</v>
      </c>
      <c r="CH748" s="53" t="n">
        <f aca="false">IF(ISNUMBER(AE748),1,0)</f>
        <v>0</v>
      </c>
      <c r="CI748" s="50" t="n">
        <f aca="false">N(AE748)</f>
        <v>0</v>
      </c>
      <c r="CJ748" s="50" t="n">
        <f aca="false">N(M748)+N(N748)</f>
        <v>1</v>
      </c>
      <c r="CK748" s="50" t="n">
        <f aca="false">N(M748)</f>
        <v>0</v>
      </c>
      <c r="CL748" s="50" t="n">
        <f aca="false">N(N748)</f>
        <v>1</v>
      </c>
      <c r="CM748" s="50" t="n">
        <f aca="false">ROUNDUP(H748/BY748,0)</f>
        <v>1</v>
      </c>
      <c r="CN748" s="50" t="n">
        <f aca="false">ROUNDUP(CI748/BY748,0)</f>
        <v>0</v>
      </c>
      <c r="CO748" s="53" t="n">
        <f aca="false">IF(BZ748=1,0,IFERROR(VLOOKUP(BX748,'Gebinde-Kategorie'!$A$5:$N$45,5,0)+0,0))</f>
        <v>11</v>
      </c>
      <c r="CP748" s="53" t="n">
        <f aca="false">IFERROR(IF(OR(CE748=1,CE748=2,CE748=3),N(INDEX(Parameter!$I$5:$I$7,CE748)),0),0)</f>
        <v>0</v>
      </c>
      <c r="CQ748" s="52" t="n">
        <f aca="false">IF(AND(Parameter!$B$21="Ja",ISNUMBER(W748),N(X748)&gt;0),IFERROR(N(INDEX(Parameter!$L$5:$L$7,W748))*INDEX(Parameter!$E$5:$E$7,W748)*X748/SUMIFS($X$7:$X$1843,$W$7:$W$1843,W748),0),0)</f>
        <v>0</v>
      </c>
    </row>
    <row r="749" customFormat="false" ht="15" hidden="false" customHeight="false" outlineLevel="0" collapsed="false">
      <c r="A749" s="48" t="s">
        <v>1492</v>
      </c>
      <c r="B749" s="48" t="s">
        <v>1493</v>
      </c>
      <c r="C749" s="48" t="s">
        <v>465</v>
      </c>
      <c r="D749" s="48" t="s">
        <v>182</v>
      </c>
      <c r="E749" s="48"/>
      <c r="F749" s="48" t="s">
        <v>227</v>
      </c>
      <c r="G749" s="49" t="n">
        <v>0.01</v>
      </c>
      <c r="H749" s="50" t="n">
        <f aca="false">MAX(0,IF(AND(Parameter!$B$21="Ja",ISNUMBER(Y749)),Y749,IF(Parameter!$B$20="Jahresanfang 2025 + Export",BR749+BQ749,BQ749)))</f>
        <v>7</v>
      </c>
      <c r="I749" s="50" t="n">
        <f aca="false">H749*G749</f>
        <v>0.07</v>
      </c>
      <c r="J749" s="50" t="n">
        <f aca="false">BT749*Parameter!$B$18</f>
        <v>7</v>
      </c>
      <c r="K749" s="51" t="n">
        <v>7</v>
      </c>
      <c r="L749" s="52" t="n">
        <v>1</v>
      </c>
      <c r="M749" s="50" t="n">
        <v>0</v>
      </c>
      <c r="N749" s="50" t="n">
        <v>5</v>
      </c>
      <c r="O749" s="53" t="n">
        <v>90</v>
      </c>
      <c r="P749" s="48" t="s">
        <v>177</v>
      </c>
      <c r="Q749" s="50"/>
      <c r="R749" s="53" t="n">
        <f aca="false">IF(BZ749=1,0,IFERROR(VLOOKUP(BX749,'Gebinde-Kategorie'!$A$5:$N$45,13,0)+0,0))</f>
        <v>26</v>
      </c>
      <c r="S749" s="54"/>
      <c r="T749" s="55" t="s">
        <v>284</v>
      </c>
      <c r="U749" s="55"/>
      <c r="V749" s="55"/>
      <c r="W749" s="48"/>
      <c r="X749" s="50"/>
      <c r="Y749" s="50"/>
      <c r="Z749" s="48" t="n">
        <f aca="false">IF(A749="","",IF(AND(Parameter!$B$21="Ja",ISNUMBER(W749)),W749,IF(CC749="2+3",IF(ISNUMBER(SEARCH("grosser Artikel",BU749)),2,IFERROR(VLOOKUP(BX749,Parameter!$F$35:$G$64,2,0),2)),IF(OR(CC749="Nein",CC749=""),"-",CC749))))</f>
        <v>3</v>
      </c>
      <c r="AA749" s="55"/>
      <c r="AB749" s="56"/>
      <c r="AC749" s="50" t="n">
        <f aca="false">AV749</f>
        <v>5</v>
      </c>
      <c r="AD749" s="50" t="n">
        <f aca="false">MAX(AV749,H749)</f>
        <v>7</v>
      </c>
      <c r="AE749" s="57"/>
      <c r="AF749" s="50" t="n">
        <f aca="false">IF(LEFT(Cockpit!$C$5,1)="A",H749,IF(Parameter!$E$30="MAX-Bestand",IF(CH749=1,CI749,IF(LEFT(Cockpit!$C$5,1)="B",AL749,MAX(AL749,H749))),ROUNDUP(AJ749,0)))</f>
        <v>7</v>
      </c>
      <c r="AG749" s="50" t="n">
        <f aca="false">IF(BZ749=1,0,ROUNDUP(AF749/BY749,0))</f>
        <v>1</v>
      </c>
      <c r="AH749" s="52" t="n">
        <f aca="false">IF(CQ749&gt;0,CQ749*MAX(1,AF749/X749),IF(BZ749=1,IF(AF749&lt;=0,0,CD749*MAX(1,IF(H749&gt;0,AF749/H749,1))),IF(R749&gt;0,AG749/R749,0))/MAX(0.1,N(Parameter!$M$21)))</f>
        <v>0.0384615384615385</v>
      </c>
      <c r="AI749" s="50" t="n">
        <f aca="false">AH749*CB749</f>
        <v>5.96153846153846</v>
      </c>
      <c r="AJ749" s="51" t="n">
        <f aca="false">IF(LEFT(Cockpit!$C$5,1)="A",H749,IF(CH749=1,(CK749+CI749)/2,IF(LEFT(Cockpit!$C$5,1)="B",(CK749+AL749)/2,MAX((CK749+AL749)/2,H749))))</f>
        <v>7</v>
      </c>
      <c r="AK749" s="50" t="n">
        <f aca="false">AJ749*G749</f>
        <v>0.07</v>
      </c>
      <c r="AL749" s="50" t="n">
        <f aca="false">ROUNDUP(CK749+MAX(CL749,2*(J749/IF(CG749&gt;0,CG749,MAX(0.1,N(Cockpit!$C$6)))-CK749)),0)</f>
        <v>5</v>
      </c>
      <c r="AM749" s="51" t="n">
        <f aca="false">IF(AI749&gt;0,J749/AI749,-1)</f>
        <v>1.1741935483871</v>
      </c>
      <c r="AN749" s="51" t="n">
        <f aca="false">IF(AND(OR(CF749="L1",CF749="L23",CF749="LIFT"),AI749&gt;0),SUMIFS($AI$7:$AI$1843,$CF$7:$CF$1843,CF749,$AM$7:$AM$1843,"&gt;"&amp;AM749)+SUMIFS($AI$7:$AI$1843,$CF$7:$CF$1843,CF749,$AM$7:$AM$1843,AM749,$BW$7:$BW$1843,"&lt;="&amp;BW749),"")</f>
        <v>6697.55815018315</v>
      </c>
      <c r="AO749" s="58" t="n">
        <f aca="false">IF(AN749="",0,MAX(0,MIN(1,(IF(CF749="L1",Parameter!$H$5,IF(CF749="L23",Parameter!$H$6+Parameter!$H$7,Parameter!$H$5+Parameter!$H$6+Parameter!$H$7))-(AN749-AI749))/AI749)))</f>
        <v>1</v>
      </c>
      <c r="AP749" s="50" t="n">
        <f aca="false">IF(LEFT(Cockpit!$I$5,1)="A",H749,IF(Parameter!$E$30="MAX-Bestand",IF(CH749=1,CI749,IF(LEFT(Cockpit!$I$5,1)="B",AV749,MAX(AV749,H749))),ROUNDUP(AT749,0)))</f>
        <v>7</v>
      </c>
      <c r="AQ749" s="50" t="n">
        <f aca="false">IF(BZ749=1,0,ROUNDUP(AP749/BY749,0))</f>
        <v>1</v>
      </c>
      <c r="AR749" s="52" t="n">
        <f aca="false">IF(CQ749&gt;0,CQ749*MAX(1,AP749/X749),IF(BZ749=1,IF(AP749&lt;=0,0,CD749*MAX(1,IF(H749&gt;0,AP749/H749,1))),IF(R749&gt;0,AQ749/R749,0))/MAX(0.1,N(Parameter!$M$21)))</f>
        <v>0.0384615384615385</v>
      </c>
      <c r="AS749" s="50" t="n">
        <f aca="false">AR749*CB749</f>
        <v>5.96153846153846</v>
      </c>
      <c r="AT749" s="51" t="n">
        <f aca="false">IF(LEFT(Cockpit!$I$5,1)="A",H749,IF(CH749=1,(CK749+CI749)/2,IF(LEFT(Cockpit!$I$5,1)="B",(CK749+AV749)/2,MAX((CK749+AV749)/2,H749))))</f>
        <v>7</v>
      </c>
      <c r="AU749" s="50" t="n">
        <f aca="false">AT749*G749</f>
        <v>0.07</v>
      </c>
      <c r="AV749" s="50" t="n">
        <f aca="false">ROUNDUP(CK749+MAX(CL749,2*(J749/IF(CG749&gt;0,CG749,MAX(0.1,N(Cockpit!$I$6)))-CK749)),0)</f>
        <v>5</v>
      </c>
      <c r="AW749" s="51" t="n">
        <f aca="false">IF(AS749&gt;0,J749/AS749,-1)</f>
        <v>1.1741935483871</v>
      </c>
      <c r="AX749" s="51" t="n">
        <f aca="false">IF(AND(OR(CF749="L1",CF749="L23",CF749="LIFT"),AS749&gt;0),SUMIFS($AS$7:$AS$1843,$CF$7:$CF$1843,CF749,$AW$7:$AW$1843,"&gt;"&amp;AW749)+SUMIFS($AS$7:$AS$1843,$CF$7:$CF$1843,CF749,$AW$7:$AW$1843,AW749,$BW$7:$BW$1843,"&lt;="&amp;BW749),"")</f>
        <v>8143.05586080586</v>
      </c>
      <c r="AY749" s="58" t="n">
        <f aca="false">IF(AX749="",0,MAX(0,MIN(1,(IF(CF749="L1",Parameter!$H$5,IF(CF749="L23",Parameter!$H$6+Parameter!$H$7,Parameter!$H$5+Parameter!$H$6+Parameter!$H$7))-(AX749-AS749))/AS749)))</f>
        <v>1</v>
      </c>
      <c r="AZ749" s="50" t="n">
        <f aca="false">IF(LEFT(Cockpit!$O$5,1)="A",H749,IF(Parameter!$E$30="MAX-Bestand",IF(CH749=1,CI749,IF(LEFT(Cockpit!$O$5,1)="B",BF749,MAX(BF749,H749))),ROUNDUP(BD749,0)))</f>
        <v>3</v>
      </c>
      <c r="BA749" s="50" t="n">
        <f aca="false">IF(BZ749=1,0,ROUNDUP(AZ749/BY749,0))</f>
        <v>1</v>
      </c>
      <c r="BB749" s="52" t="n">
        <f aca="false">IF(CQ749&gt;0,CQ749*MAX(1,AZ749/X749),IF(BZ749=1,IF(AZ749&lt;=0,0,CD749*MAX(1,IF(H749&gt;0,AZ749/H749,1))),IF(R749&gt;0,BA749/R749,0))/MAX(0.1,N(Parameter!$M$21)))</f>
        <v>0.0384615384615385</v>
      </c>
      <c r="BC749" s="50" t="n">
        <f aca="false">BB749*CB749</f>
        <v>5.96153846153846</v>
      </c>
      <c r="BD749" s="51" t="n">
        <f aca="false">IF(LEFT(Cockpit!$O$5,1)="A",H749,IF(CH749=1,(CK749+CI749)/2,IF(LEFT(Cockpit!$O$5,1)="B",(CK749+BF749)/2,MAX((CK749+BF749)/2,H749))))</f>
        <v>2.5</v>
      </c>
      <c r="BE749" s="50" t="n">
        <f aca="false">BD749*G749</f>
        <v>0.025</v>
      </c>
      <c r="BF749" s="50" t="n">
        <f aca="false">ROUNDUP(CK749+MAX(CL749,2*(J749/IF(CG749&gt;0,CG749,MAX(0.1,N(Cockpit!$O$6)))-CK749)),0)</f>
        <v>5</v>
      </c>
      <c r="BG749" s="51" t="n">
        <f aca="false">IF(BC749&gt;0,J749/BC749,-1)</f>
        <v>1.1741935483871</v>
      </c>
      <c r="BH749" s="51" t="n">
        <f aca="false">IF(AND(OR(CF749="L1",CF749="L23",CF749="LIFT"),BC749&gt;0),SUMIFS($BC$7:$BC$1843,$CF$7:$CF$1843,CF749,$BG$7:$BG$1843,"&gt;"&amp;BG749)+SUMIFS($BC$7:$BC$1843,$CF$7:$CF$1843,CF749,$BG$7:$BG$1843,BG749,$BW$7:$BW$1843,"&lt;="&amp;BW749),"")</f>
        <v>7194.34203296703</v>
      </c>
      <c r="BI749" s="58" t="n">
        <f aca="false">IF(BH749="",0,MAX(0,MIN(1,(IF(CF749="L1",Parameter!$H$5,IF(CF749="L23",Parameter!$H$6+Parameter!$H$7,Parameter!$H$5+Parameter!$H$6+Parameter!$H$7))-(BH749-BC749))/BC749)))</f>
        <v>1</v>
      </c>
      <c r="BJ749" s="48" t="str">
        <f aca="false">IF(AI749&lt;=0,"",IF(CF749="Aussen","Aussenlager",IF(CF749="-","Nicht im Lift",IF(AO749&gt;=1,"Lift",IF(AO749&lt;=0,"Aussenlager","teilweise")))))</f>
        <v>Lift</v>
      </c>
      <c r="BK749" s="48" t="str">
        <f aca="false">IF(AS749&lt;=0,"",IF(CF749="Aussen","Aussenlager",IF(CF749="-","Nicht im Lift",IF(AY749&gt;=1,"Lift",IF(AY749&lt;=0,"Aussenlager","teilweise")))))</f>
        <v>Lift</v>
      </c>
      <c r="BL749" s="48" t="str">
        <f aca="false">IF(BC749&lt;=0,"",IF(CF749="Aussen","Aussenlager",IF(CF749="-","Nicht im Lift",IF(BI749&gt;=1,"Lift",IF(BI749&lt;=0,"Aussenlager","teilweise")))))</f>
        <v>Lift</v>
      </c>
      <c r="BM749" s="48" t="str">
        <f aca="false">IF(A749="","",IF(BV749=1,"Neu; ","")&amp;IF(AND(BV749=0,BQ749&lt;0),"negativer Bestand (Export "&amp;BQ749&amp;"); ","")&amp;IF(J749&lt;=0,"Kein Verbrauch; ","")&amp;IF(CQ749&gt;0,"Lift "&amp;W749&amp;" lt. Liftbericht (Fach "&amp;X749&amp;" Stk); ",IF(CA749=1,"Gebinde geschätzt ("&amp;T749&amp;"); ",IF(BZ749=1,"Lose – Tablare geschätzt; ","")))&amp;IF(H749&gt;AV749,"Überbestand "&amp;ROUND(H749-AV749,0)&amp;" Stk / CHF "&amp;ROUND((H749-AV749)*G749,0)&amp;"; ","")&amp;IF(AND(CH749=1,CI749&lt;CJ749),"MAX &lt; MB+LG; ","")&amp;IF(AND(CP749&gt;0,CO749*10&gt;CP749),"zu hoch für Tablar; ","")&amp;IF(AND(BV749=0,OR(CH749=1,AA749&lt;&gt;"",U749&lt;&gt;"",V749&lt;&gt;"",AB749&lt;&gt;"")),"manuell übersteuert; ","")&amp;IF(AND(BZ749=0,R749=0),"Gebinde unbekannt / Stellmass fehlt; ","")&amp;IF(AND(BZ749=0,N(V749)&lt;=0,N(Q749)&lt;=0),"Menge pro Gebinde fehlt (Ist = 1 Gebinde); ","")&amp;BU749)</f>
        <v>negativer Bestand (Export -7); Gebinde geschätzt (Klein); Überbestand 2 Stk / CHF 0; Menge pro Gebinde fehlt (Ist = 1 Gebinde); </v>
      </c>
      <c r="BN749" s="48"/>
      <c r="BO749" s="48"/>
      <c r="BP749" s="55"/>
      <c r="BQ749" s="50" t="n">
        <v>-7</v>
      </c>
      <c r="BR749" s="50" t="n">
        <v>14</v>
      </c>
      <c r="BS749" s="49" t="n">
        <v>-0.07</v>
      </c>
      <c r="BT749" s="50" t="n">
        <v>7</v>
      </c>
      <c r="BU749" s="48"/>
      <c r="BV749" s="53" t="n">
        <v>0</v>
      </c>
      <c r="BW749" s="53" t="n">
        <v>749</v>
      </c>
      <c r="BX749" s="48" t="str">
        <f aca="false">IF(U749&lt;&gt;"",UPPER(TRIM(U749)),IF(CA749=1,UPPER(VLOOKUP(T749,Parameter!$I$27:$K$29,2,0)),IF(P749="","LOSE",P749)))</f>
        <v>S51</v>
      </c>
      <c r="BY749" s="50" t="n">
        <f aca="false">IF(BX749="LOSE",1,IF(N(V749)&gt;0,V749,IF(CA749=1,MAX(1,N(VLOOKUP(T749,Parameter!$I$27:$K$29,3,0)),H749,N(N749)),IF(N(Q749)&gt;0,Q749,MAX(1,H749)))))</f>
        <v>20</v>
      </c>
      <c r="BZ749" s="53" t="n">
        <f aca="false">IF(BX749="LOSE",1,0)</f>
        <v>0</v>
      </c>
      <c r="CA749" s="53" t="n">
        <f aca="false">IF(AND(U749="",OR(P749="",P749="LOSE"),T749&lt;&gt;"",N(S749)&lt;=0,ISNUMBER(MATCH(T749,Parameter!$I$27:$I$29,0))),1,0)</f>
        <v>1</v>
      </c>
      <c r="CB749" s="53" t="n">
        <f aca="false">IF(CQ749&gt;0,INDEX(Parameter!$H$5:$H$7,W749)/INDEX(Parameter!$E$5:$E$7,W749),IF(AND(BZ749=0,N(IFERROR(VLOOKUP(BX749,'Gebinde-Kategorie'!$A$5:$N$45,14,0),0))&gt;0),VLOOKUP(BX749,'Gebinde-Kategorie'!$A$5:$N$45,14,0)*10+Parameter!$M$23,Parameter!$M$24))</f>
        <v>155</v>
      </c>
      <c r="CC749" s="48" t="str">
        <f aca="false">IF(AND(Parameter!$B$19="Ja",E749&lt;&gt;"",ISNUMBER(MATCH(E749,Parameter!$I$35:$I$52,0))),VLOOKUP(E749,Parameter!$I$35:$J$52,2,0),IFERROR(VLOOKUP(D749,Parameter!$A$35:$C$64,2,0),"Nein"))</f>
        <v>2+3</v>
      </c>
      <c r="CD749" s="52" t="n">
        <f aca="false">IF(BZ749=0,0,IF(N(S749)&gt;0,S749,IFERROR(VLOOKUP(D749,Parameter!$A$35:$C$64,3,0)+0,0)))</f>
        <v>0</v>
      </c>
      <c r="CE749" s="48" t="n">
        <f aca="false">IF(AA749&lt;&gt;"",AA749,Z749)</f>
        <v>3</v>
      </c>
      <c r="CF749" s="48" t="str">
        <f aca="false">IF(OR(CE749=1,CE749=2,CE749=3),IF(Parameter!$E$27="Ja","LIFT",IF(CE749=1,"L1","L23")),IF(CE749="Aussen","Aussen","-"))</f>
        <v>LIFT</v>
      </c>
      <c r="CG749" s="59" t="n">
        <f aca="false">IF(N(AB749)&gt;0,AB749,0)</f>
        <v>0</v>
      </c>
      <c r="CH749" s="53" t="n">
        <f aca="false">IF(ISNUMBER(AE749),1,0)</f>
        <v>0</v>
      </c>
      <c r="CI749" s="50" t="n">
        <f aca="false">N(AE749)</f>
        <v>0</v>
      </c>
      <c r="CJ749" s="50" t="n">
        <f aca="false">N(M749)+N(N749)</f>
        <v>5</v>
      </c>
      <c r="CK749" s="50" t="n">
        <f aca="false">N(M749)</f>
        <v>0</v>
      </c>
      <c r="CL749" s="50" t="n">
        <f aca="false">N(N749)</f>
        <v>5</v>
      </c>
      <c r="CM749" s="50" t="n">
        <f aca="false">ROUNDUP(H749/BY749,0)</f>
        <v>1</v>
      </c>
      <c r="CN749" s="50" t="n">
        <f aca="false">ROUNDUP(CI749/BY749,0)</f>
        <v>0</v>
      </c>
      <c r="CO749" s="53" t="n">
        <f aca="false">IF(BZ749=1,0,IFERROR(VLOOKUP(BX749,'Gebinde-Kategorie'!$A$5:$N$45,5,0)+0,0))</f>
        <v>11</v>
      </c>
      <c r="CP749" s="53" t="n">
        <f aca="false">IFERROR(IF(OR(CE749=1,CE749=2,CE749=3),N(INDEX(Parameter!$I$5:$I$7,CE749)),0),0)</f>
        <v>0</v>
      </c>
      <c r="CQ749" s="52" t="n">
        <f aca="false">IF(AND(Parameter!$B$21="Ja",ISNUMBER(W749),N(X749)&gt;0),IFERROR(N(INDEX(Parameter!$L$5:$L$7,W749))*INDEX(Parameter!$E$5:$E$7,W749)*X749/SUMIFS($X$7:$X$1843,$W$7:$W$1843,W749),0),0)</f>
        <v>0</v>
      </c>
    </row>
    <row r="750" customFormat="false" ht="15" hidden="false" customHeight="false" outlineLevel="0" collapsed="false">
      <c r="A750" s="48" t="s">
        <v>1494</v>
      </c>
      <c r="B750" s="48" t="s">
        <v>1495</v>
      </c>
      <c r="C750" s="48" t="s">
        <v>465</v>
      </c>
      <c r="D750" s="48" t="s">
        <v>182</v>
      </c>
      <c r="E750" s="48"/>
      <c r="F750" s="48" t="s">
        <v>227</v>
      </c>
      <c r="G750" s="49" t="n">
        <v>0.01</v>
      </c>
      <c r="H750" s="50" t="n">
        <f aca="false">MAX(0,IF(AND(Parameter!$B$21="Ja",ISNUMBER(Y750)),Y750,IF(Parameter!$B$20="Jahresanfang 2025 + Export",BR750+BQ750,BQ750)))</f>
        <v>0</v>
      </c>
      <c r="I750" s="50" t="n">
        <f aca="false">H750*G750</f>
        <v>0</v>
      </c>
      <c r="J750" s="50" t="n">
        <f aca="false">BT750*Parameter!$B$18</f>
        <v>0</v>
      </c>
      <c r="K750" s="51" t="n">
        <v>53.5</v>
      </c>
      <c r="L750" s="52" t="n">
        <v>0</v>
      </c>
      <c r="M750" s="50" t="n">
        <v>0</v>
      </c>
      <c r="N750" s="50" t="n">
        <v>20</v>
      </c>
      <c r="O750" s="53" t="n">
        <v>90</v>
      </c>
      <c r="P750" s="48" t="s">
        <v>177</v>
      </c>
      <c r="Q750" s="50"/>
      <c r="R750" s="53" t="n">
        <f aca="false">IF(BZ750=1,0,IFERROR(VLOOKUP(BX750,'Gebinde-Kategorie'!$A$5:$N$45,13,0)+0,0))</f>
        <v>12</v>
      </c>
      <c r="S750" s="54"/>
      <c r="T750" s="55" t="s">
        <v>188</v>
      </c>
      <c r="U750" s="55"/>
      <c r="V750" s="55"/>
      <c r="W750" s="48"/>
      <c r="X750" s="50"/>
      <c r="Y750" s="50"/>
      <c r="Z750" s="48" t="n">
        <f aca="false">IF(A750="","",IF(AND(Parameter!$B$21="Ja",ISNUMBER(W750)),W750,IF(CC750="2+3",IF(ISNUMBER(SEARCH("grosser Artikel",BU750)),2,IFERROR(VLOOKUP(BX750,Parameter!$F$35:$G$64,2,0),2)),IF(OR(CC750="Nein",CC750=""),"-",CC750))))</f>
        <v>2</v>
      </c>
      <c r="AA750" s="55"/>
      <c r="AB750" s="56"/>
      <c r="AC750" s="50" t="n">
        <f aca="false">AV750</f>
        <v>20</v>
      </c>
      <c r="AD750" s="50" t="n">
        <f aca="false">MAX(AV750,H750)</f>
        <v>20</v>
      </c>
      <c r="AE750" s="57"/>
      <c r="AF750" s="50" t="n">
        <f aca="false">IF(LEFT(Cockpit!$C$5,1)="A",H750,IF(Parameter!$E$30="MAX-Bestand",IF(CH750=1,CI750,IF(LEFT(Cockpit!$C$5,1)="B",AL750,MAX(AL750,H750))),ROUNDUP(AJ750,0)))</f>
        <v>0</v>
      </c>
      <c r="AG750" s="50" t="n">
        <f aca="false">IF(BZ750=1,0,ROUNDUP(AF750/BY750,0))</f>
        <v>0</v>
      </c>
      <c r="AH750" s="52" t="n">
        <f aca="false">IF(CQ750&gt;0,CQ750*MAX(1,AF750/X750),IF(BZ750=1,IF(AF750&lt;=0,0,CD750*MAX(1,IF(H750&gt;0,AF750/H750,1))),IF(R750&gt;0,AG750/R750,0))/MAX(0.1,N(Parameter!$M$21)))</f>
        <v>0</v>
      </c>
      <c r="AI750" s="50" t="n">
        <f aca="false">AH750*CB750</f>
        <v>0</v>
      </c>
      <c r="AJ750" s="51" t="n">
        <f aca="false">IF(LEFT(Cockpit!$C$5,1)="A",H750,IF(CH750=1,(CK750+CI750)/2,IF(LEFT(Cockpit!$C$5,1)="B",(CK750+AL750)/2,MAX((CK750+AL750)/2,H750))))</f>
        <v>0</v>
      </c>
      <c r="AK750" s="50" t="n">
        <f aca="false">AJ750*G750</f>
        <v>0</v>
      </c>
      <c r="AL750" s="50" t="n">
        <f aca="false">ROUNDUP(CK750+MAX(CL750,2*(J750/IF(CG750&gt;0,CG750,MAX(0.1,N(Cockpit!$C$6)))-CK750)),0)</f>
        <v>20</v>
      </c>
      <c r="AM750" s="51" t="n">
        <f aca="false">IF(AI750&gt;0,J750/AI750,-1)</f>
        <v>-1</v>
      </c>
      <c r="AN750" s="51" t="str">
        <f aca="false">IF(AND(OR(CF750="L1",CF750="L23",CF750="LIFT"),AI750&gt;0),SUMIFS($AI$7:$AI$1843,$CF$7:$CF$1843,CF750,$AM$7:$AM$1843,"&gt;"&amp;AM750)+SUMIFS($AI$7:$AI$1843,$CF$7:$CF$1843,CF750,$AM$7:$AM$1843,AM750,$BW$7:$BW$1843,"&lt;="&amp;BW750),"")</f>
        <v/>
      </c>
      <c r="AO750" s="58" t="n">
        <f aca="false">IF(AN750="",0,MAX(0,MIN(1,(IF(CF750="L1",Parameter!$H$5,IF(CF750="L23",Parameter!$H$6+Parameter!$H$7,Parameter!$H$5+Parameter!$H$6+Parameter!$H$7))-(AN750-AI750))/AI750)))</f>
        <v>0</v>
      </c>
      <c r="AP750" s="50" t="n">
        <f aca="false">IF(LEFT(Cockpit!$I$5,1)="A",H750,IF(Parameter!$E$30="MAX-Bestand",IF(CH750=1,CI750,IF(LEFT(Cockpit!$I$5,1)="B",AV750,MAX(AV750,H750))),ROUNDUP(AT750,0)))</f>
        <v>10</v>
      </c>
      <c r="AQ750" s="50" t="n">
        <f aca="false">IF(BZ750=1,0,ROUNDUP(AP750/BY750,0))</f>
        <v>1</v>
      </c>
      <c r="AR750" s="52" t="n">
        <f aca="false">IF(CQ750&gt;0,CQ750*MAX(1,AP750/X750),IF(BZ750=1,IF(AP750&lt;=0,0,CD750*MAX(1,IF(H750&gt;0,AP750/H750,1))),IF(R750&gt;0,AQ750/R750,0))/MAX(0.1,N(Parameter!$M$21)))</f>
        <v>0.0833333333333333</v>
      </c>
      <c r="AS750" s="50" t="n">
        <f aca="false">AR750*CB750</f>
        <v>12.0833333333333</v>
      </c>
      <c r="AT750" s="51" t="n">
        <f aca="false">IF(LEFT(Cockpit!$I$5,1)="A",H750,IF(CH750=1,(CK750+CI750)/2,IF(LEFT(Cockpit!$I$5,1)="B",(CK750+AV750)/2,MAX((CK750+AV750)/2,H750))))</f>
        <v>10</v>
      </c>
      <c r="AU750" s="50" t="n">
        <f aca="false">AT750*G750</f>
        <v>0.1</v>
      </c>
      <c r="AV750" s="50" t="n">
        <f aca="false">ROUNDUP(CK750+MAX(CL750,2*(J750/IF(CG750&gt;0,CG750,MAX(0.1,N(Cockpit!$I$6)))-CK750)),0)</f>
        <v>20</v>
      </c>
      <c r="AW750" s="51" t="n">
        <f aca="false">IF(AS750&gt;0,J750/AS750,-1)</f>
        <v>0</v>
      </c>
      <c r="AX750" s="51" t="n">
        <f aca="false">IF(AND(OR(CF750="L1",CF750="L23",CF750="LIFT"),AS750&gt;0),SUMIFS($AS$7:$AS$1843,$CF$7:$CF$1843,CF750,$AW$7:$AW$1843,"&gt;"&amp;AW750)+SUMIFS($AS$7:$AS$1843,$CF$7:$CF$1843,CF750,$AW$7:$AW$1843,AW750,$BW$7:$BW$1843,"&lt;="&amp;BW750),"")</f>
        <v>34312.0732600733</v>
      </c>
      <c r="AY750" s="58" t="n">
        <f aca="false">IF(AX750="",0,MAX(0,MIN(1,(IF(CF750="L1",Parameter!$H$5,IF(CF750="L23",Parameter!$H$6+Parameter!$H$7,Parameter!$H$5+Parameter!$H$6+Parameter!$H$7))-(AX750-AS750))/AS750)))</f>
        <v>1</v>
      </c>
      <c r="AZ750" s="50" t="n">
        <f aca="false">IF(LEFT(Cockpit!$O$5,1)="A",H750,IF(Parameter!$E$30="MAX-Bestand",IF(CH750=1,CI750,IF(LEFT(Cockpit!$O$5,1)="B",BF750,MAX(BF750,H750))),ROUNDUP(BD750,0)))</f>
        <v>10</v>
      </c>
      <c r="BA750" s="50" t="n">
        <f aca="false">IF(BZ750=1,0,ROUNDUP(AZ750/BY750,0))</f>
        <v>1</v>
      </c>
      <c r="BB750" s="52" t="n">
        <f aca="false">IF(CQ750&gt;0,CQ750*MAX(1,AZ750/X750),IF(BZ750=1,IF(AZ750&lt;=0,0,CD750*MAX(1,IF(H750&gt;0,AZ750/H750,1))),IF(R750&gt;0,BA750/R750,0))/MAX(0.1,N(Parameter!$M$21)))</f>
        <v>0.0833333333333333</v>
      </c>
      <c r="BC750" s="50" t="n">
        <f aca="false">BB750*CB750</f>
        <v>12.0833333333333</v>
      </c>
      <c r="BD750" s="51" t="n">
        <f aca="false">IF(LEFT(Cockpit!$O$5,1)="A",H750,IF(CH750=1,(CK750+CI750)/2,IF(LEFT(Cockpit!$O$5,1)="B",(CK750+BF750)/2,MAX((CK750+BF750)/2,H750))))</f>
        <v>10</v>
      </c>
      <c r="BE750" s="50" t="n">
        <f aca="false">BD750*G750</f>
        <v>0.1</v>
      </c>
      <c r="BF750" s="50" t="n">
        <f aca="false">ROUNDUP(CK750+MAX(CL750,2*(J750/IF(CG750&gt;0,CG750,MAX(0.1,N(Cockpit!$O$6)))-CK750)),0)</f>
        <v>20</v>
      </c>
      <c r="BG750" s="51" t="n">
        <f aca="false">IF(BC750&gt;0,J750/BC750,-1)</f>
        <v>0</v>
      </c>
      <c r="BH750" s="51" t="n">
        <f aca="false">IF(AND(OR(CF750="L1",CF750="L23",CF750="LIFT"),BC750&gt;0),SUMIFS($BC$7:$BC$1843,$CF$7:$CF$1843,CF750,$BG$7:$BG$1843,"&gt;"&amp;BG750)+SUMIFS($BC$7:$BC$1843,$CF$7:$CF$1843,CF750,$BG$7:$BG$1843,BG750,$BW$7:$BW$1843,"&lt;="&amp;BW750),"")</f>
        <v>28361.9046454957</v>
      </c>
      <c r="BI750" s="58" t="n">
        <f aca="false">IF(BH750="",0,MAX(0,MIN(1,(IF(CF750="L1",Parameter!$H$5,IF(CF750="L23",Parameter!$H$6+Parameter!$H$7,Parameter!$H$5+Parameter!$H$6+Parameter!$H$7))-(BH750-BC750))/BC750)))</f>
        <v>1</v>
      </c>
      <c r="BJ750" s="48" t="str">
        <f aca="false">IF(AI750&lt;=0,"",IF(CF750="Aussen","Aussenlager",IF(CF750="-","Nicht im Lift",IF(AO750&gt;=1,"Lift",IF(AO750&lt;=0,"Aussenlager","teilweise")))))</f>
        <v/>
      </c>
      <c r="BK750" s="48" t="str">
        <f aca="false">IF(AS750&lt;=0,"",IF(CF750="Aussen","Aussenlager",IF(CF750="-","Nicht im Lift",IF(AY750&gt;=1,"Lift",IF(AY750&lt;=0,"Aussenlager","teilweise")))))</f>
        <v>Lift</v>
      </c>
      <c r="BL750" s="48" t="str">
        <f aca="false">IF(BC750&lt;=0,"",IF(CF750="Aussen","Aussenlager",IF(CF750="-","Nicht im Lift",IF(BI750&gt;=1,"Lift",IF(BI750&lt;=0,"Aussenlager","teilweise")))))</f>
        <v>Lift</v>
      </c>
      <c r="BM750" s="48" t="str">
        <f aca="false">IF(A750="","",IF(BV750=1,"Neu; ","")&amp;IF(AND(BV750=0,BQ750&lt;0),"negativer Bestand (Export "&amp;BQ750&amp;"); ","")&amp;IF(J750&lt;=0,"Kein Verbrauch; ","")&amp;IF(CQ750&gt;0,"Lift "&amp;W750&amp;" lt. Liftbericht (Fach "&amp;X750&amp;" Stk); ",IF(CA750=1,"Gebinde geschätzt ("&amp;T750&amp;"); ",IF(BZ750=1,"Lose – Tablare geschätzt; ","")))&amp;IF(H750&gt;AV750,"Überbestand "&amp;ROUND(H750-AV750,0)&amp;" Stk / CHF "&amp;ROUND((H750-AV750)*G750,0)&amp;"; ","")&amp;IF(AND(CH750=1,CI750&lt;CJ750),"MAX &lt; MB+LG; ","")&amp;IF(AND(CP750&gt;0,CO750*10&gt;CP750),"zu hoch für Tablar; ","")&amp;IF(AND(BV750=0,OR(CH750=1,AA750&lt;&gt;"",U750&lt;&gt;"",V750&lt;&gt;"",AB750&lt;&gt;"")),"manuell übersteuert; ","")&amp;IF(AND(BZ750=0,R750=0),"Gebinde unbekannt / Stellmass fehlt; ","")&amp;IF(AND(BZ750=0,N(V750)&lt;=0,N(Q750)&lt;=0),"Menge pro Gebinde fehlt (Ist = 1 Gebinde); ","")&amp;BU750)</f>
        <v>negativer Bestand (Export -7); Kein Verbrauch; Gebinde geschätzt (Mittel); Menge pro Gebinde fehlt (Ist = 1 Gebinde); </v>
      </c>
      <c r="BN750" s="48"/>
      <c r="BO750" s="48"/>
      <c r="BP750" s="55"/>
      <c r="BQ750" s="50" t="n">
        <v>-7</v>
      </c>
      <c r="BR750" s="50" t="n">
        <v>7</v>
      </c>
      <c r="BS750" s="49" t="n">
        <v>-0.0700000000000001</v>
      </c>
      <c r="BT750" s="50" t="n">
        <v>0</v>
      </c>
      <c r="BU750" s="48"/>
      <c r="BV750" s="53" t="n">
        <v>0</v>
      </c>
      <c r="BW750" s="53" t="n">
        <v>750</v>
      </c>
      <c r="BX750" s="48" t="str">
        <f aca="false">IF(U750&lt;&gt;"",UPPER(TRIM(U750)),IF(CA750=1,UPPER(VLOOKUP(T750,Parameter!$I$27:$K$29,2,0)),IF(P750="","LOSE",P750)))</f>
        <v>S61</v>
      </c>
      <c r="BY750" s="50" t="n">
        <f aca="false">IF(BX750="LOSE",1,IF(N(V750)&gt;0,V750,IF(CA750=1,MAX(1,N(VLOOKUP(T750,Parameter!$I$27:$K$29,3,0)),H750,N(N750)),IF(N(Q750)&gt;0,Q750,MAX(1,H750)))))</f>
        <v>20</v>
      </c>
      <c r="BZ750" s="53" t="n">
        <f aca="false">IF(BX750="LOSE",1,0)</f>
        <v>0</v>
      </c>
      <c r="CA750" s="53" t="n">
        <f aca="false">IF(AND(U750="",OR(P750="",P750="LOSE"),T750&lt;&gt;"",N(S750)&lt;=0,ISNUMBER(MATCH(T750,Parameter!$I$27:$I$29,0))),1,0)</f>
        <v>1</v>
      </c>
      <c r="CB750" s="53" t="n">
        <f aca="false">IF(CQ750&gt;0,INDEX(Parameter!$H$5:$H$7,W750)/INDEX(Parameter!$E$5:$E$7,W750),IF(AND(BZ750=0,N(IFERROR(VLOOKUP(BX750,'Gebinde-Kategorie'!$A$5:$N$45,14,0),0))&gt;0),VLOOKUP(BX750,'Gebinde-Kategorie'!$A$5:$N$45,14,0)*10+Parameter!$M$23,Parameter!$M$24))</f>
        <v>145</v>
      </c>
      <c r="CC750" s="48" t="str">
        <f aca="false">IF(AND(Parameter!$B$19="Ja",E750&lt;&gt;"",ISNUMBER(MATCH(E750,Parameter!$I$35:$I$52,0))),VLOOKUP(E750,Parameter!$I$35:$J$52,2,0),IFERROR(VLOOKUP(D750,Parameter!$A$35:$C$64,2,0),"Nein"))</f>
        <v>2+3</v>
      </c>
      <c r="CD750" s="52" t="n">
        <f aca="false">IF(BZ750=0,0,IF(N(S750)&gt;0,S750,IFERROR(VLOOKUP(D750,Parameter!$A$35:$C$64,3,0)+0,0)))</f>
        <v>0</v>
      </c>
      <c r="CE750" s="48" t="n">
        <f aca="false">IF(AA750&lt;&gt;"",AA750,Z750)</f>
        <v>2</v>
      </c>
      <c r="CF750" s="48" t="str">
        <f aca="false">IF(OR(CE750=1,CE750=2,CE750=3),IF(Parameter!$E$27="Ja","LIFT",IF(CE750=1,"L1","L23")),IF(CE750="Aussen","Aussen","-"))</f>
        <v>LIFT</v>
      </c>
      <c r="CG750" s="59" t="n">
        <f aca="false">IF(N(AB750)&gt;0,AB750,0)</f>
        <v>0</v>
      </c>
      <c r="CH750" s="53" t="n">
        <f aca="false">IF(ISNUMBER(AE750),1,0)</f>
        <v>0</v>
      </c>
      <c r="CI750" s="50" t="n">
        <f aca="false">N(AE750)</f>
        <v>0</v>
      </c>
      <c r="CJ750" s="50" t="n">
        <f aca="false">N(M750)+N(N750)</f>
        <v>20</v>
      </c>
      <c r="CK750" s="50" t="n">
        <f aca="false">N(M750)</f>
        <v>0</v>
      </c>
      <c r="CL750" s="50" t="n">
        <f aca="false">N(N750)</f>
        <v>20</v>
      </c>
      <c r="CM750" s="50" t="n">
        <f aca="false">ROUNDUP(H750/BY750,0)</f>
        <v>0</v>
      </c>
      <c r="CN750" s="50" t="n">
        <f aca="false">ROUNDUP(CI750/BY750,0)</f>
        <v>0</v>
      </c>
      <c r="CO750" s="53" t="n">
        <f aca="false">IF(BZ750=1,0,IFERROR(VLOOKUP(BX750,'Gebinde-Kategorie'!$A$5:$N$45,5,0)+0,0))</f>
        <v>11</v>
      </c>
      <c r="CP750" s="53" t="n">
        <f aca="false">IFERROR(IF(OR(CE750=1,CE750=2,CE750=3),N(INDEX(Parameter!$I$5:$I$7,CE750)),0),0)</f>
        <v>0</v>
      </c>
      <c r="CQ750" s="52" t="n">
        <f aca="false">IF(AND(Parameter!$B$21="Ja",ISNUMBER(W750),N(X750)&gt;0),IFERROR(N(INDEX(Parameter!$L$5:$L$7,W750))*INDEX(Parameter!$E$5:$E$7,W750)*X750/SUMIFS($X$7:$X$1843,$W$7:$W$1843,W750),0),0)</f>
        <v>0</v>
      </c>
    </row>
    <row r="751" customFormat="false" ht="15" hidden="false" customHeight="false" outlineLevel="0" collapsed="false">
      <c r="A751" s="48" t="s">
        <v>1496</v>
      </c>
      <c r="B751" s="48" t="s">
        <v>1497</v>
      </c>
      <c r="C751" s="48" t="s">
        <v>465</v>
      </c>
      <c r="D751" s="48" t="s">
        <v>182</v>
      </c>
      <c r="E751" s="48"/>
      <c r="F751" s="48" t="s">
        <v>227</v>
      </c>
      <c r="G751" s="49" t="n">
        <v>0.01</v>
      </c>
      <c r="H751" s="50" t="n">
        <f aca="false">MAX(0,IF(AND(Parameter!$B$21="Ja",ISNUMBER(Y751)),Y751,IF(Parameter!$B$20="Jahresanfang 2025 + Export",BR751+BQ751,BQ751)))</f>
        <v>9</v>
      </c>
      <c r="I751" s="50" t="n">
        <f aca="false">H751*G751</f>
        <v>0.09</v>
      </c>
      <c r="J751" s="50" t="n">
        <f aca="false">BT751*Parameter!$B$18</f>
        <v>9</v>
      </c>
      <c r="K751" s="51" t="n">
        <v>9</v>
      </c>
      <c r="L751" s="52" t="n">
        <v>1</v>
      </c>
      <c r="M751" s="50" t="n">
        <v>0</v>
      </c>
      <c r="N751" s="50" t="n">
        <v>10</v>
      </c>
      <c r="O751" s="53" t="n">
        <v>90</v>
      </c>
      <c r="P751" s="48" t="s">
        <v>177</v>
      </c>
      <c r="Q751" s="50"/>
      <c r="R751" s="53" t="n">
        <f aca="false">IF(BZ751=1,0,IFERROR(VLOOKUP(BX751,'Gebinde-Kategorie'!$A$5:$N$45,13,0)+0,0))</f>
        <v>26</v>
      </c>
      <c r="S751" s="54"/>
      <c r="T751" s="55" t="s">
        <v>284</v>
      </c>
      <c r="U751" s="55"/>
      <c r="V751" s="55"/>
      <c r="W751" s="48"/>
      <c r="X751" s="50"/>
      <c r="Y751" s="50"/>
      <c r="Z751" s="48" t="n">
        <f aca="false">IF(A751="","",IF(AND(Parameter!$B$21="Ja",ISNUMBER(W751)),W751,IF(CC751="2+3",IF(ISNUMBER(SEARCH("grosser Artikel",BU751)),2,IFERROR(VLOOKUP(BX751,Parameter!$F$35:$G$64,2,0),2)),IF(OR(CC751="Nein",CC751=""),"-",CC751))))</f>
        <v>3</v>
      </c>
      <c r="AA751" s="55"/>
      <c r="AB751" s="56"/>
      <c r="AC751" s="50" t="n">
        <f aca="false">AV751</f>
        <v>10</v>
      </c>
      <c r="AD751" s="50" t="n">
        <f aca="false">MAX(AV751,H751)</f>
        <v>10</v>
      </c>
      <c r="AE751" s="57"/>
      <c r="AF751" s="50" t="n">
        <f aca="false">IF(LEFT(Cockpit!$C$5,1)="A",H751,IF(Parameter!$E$30="MAX-Bestand",IF(CH751=1,CI751,IF(LEFT(Cockpit!$C$5,1)="B",AL751,MAX(AL751,H751))),ROUNDUP(AJ751,0)))</f>
        <v>9</v>
      </c>
      <c r="AG751" s="50" t="n">
        <f aca="false">IF(BZ751=1,0,ROUNDUP(AF751/BY751,0))</f>
        <v>1</v>
      </c>
      <c r="AH751" s="52" t="n">
        <f aca="false">IF(CQ751&gt;0,CQ751*MAX(1,AF751/X751),IF(BZ751=1,IF(AF751&lt;=0,0,CD751*MAX(1,IF(H751&gt;0,AF751/H751,1))),IF(R751&gt;0,AG751/R751,0))/MAX(0.1,N(Parameter!$M$21)))</f>
        <v>0.0384615384615385</v>
      </c>
      <c r="AI751" s="50" t="n">
        <f aca="false">AH751*CB751</f>
        <v>5.96153846153846</v>
      </c>
      <c r="AJ751" s="51" t="n">
        <f aca="false">IF(LEFT(Cockpit!$C$5,1)="A",H751,IF(CH751=1,(CK751+CI751)/2,IF(LEFT(Cockpit!$C$5,1)="B",(CK751+AL751)/2,MAX((CK751+AL751)/2,H751))))</f>
        <v>9</v>
      </c>
      <c r="AK751" s="50" t="n">
        <f aca="false">AJ751*G751</f>
        <v>0.09</v>
      </c>
      <c r="AL751" s="50" t="n">
        <f aca="false">ROUNDUP(CK751+MAX(CL751,2*(J751/IF(CG751&gt;0,CG751,MAX(0.1,N(Cockpit!$C$6)))-CK751)),0)</f>
        <v>10</v>
      </c>
      <c r="AM751" s="51" t="n">
        <f aca="false">IF(AI751&gt;0,J751/AI751,-1)</f>
        <v>1.50967741935484</v>
      </c>
      <c r="AN751" s="51" t="n">
        <f aca="false">IF(AND(OR(CF751="L1",CF751="L23",CF751="LIFT"),AI751&gt;0),SUMIFS($AI$7:$AI$1843,$CF$7:$CF$1843,CF751,$AM$7:$AM$1843,"&gt;"&amp;AM751)+SUMIFS($AI$7:$AI$1843,$CF$7:$CF$1843,CF751,$AM$7:$AM$1843,AM751,$BW$7:$BW$1843,"&lt;="&amp;BW751),"")</f>
        <v>6215.89148351648</v>
      </c>
      <c r="AO751" s="58" t="n">
        <f aca="false">IF(AN751="",0,MAX(0,MIN(1,(IF(CF751="L1",Parameter!$H$5,IF(CF751="L23",Parameter!$H$6+Parameter!$H$7,Parameter!$H$5+Parameter!$H$6+Parameter!$H$7))-(AN751-AI751))/AI751)))</f>
        <v>1</v>
      </c>
      <c r="AP751" s="50" t="n">
        <f aca="false">IF(LEFT(Cockpit!$I$5,1)="A",H751,IF(Parameter!$E$30="MAX-Bestand",IF(CH751=1,CI751,IF(LEFT(Cockpit!$I$5,1)="B",AV751,MAX(AV751,H751))),ROUNDUP(AT751,0)))</f>
        <v>9</v>
      </c>
      <c r="AQ751" s="50" t="n">
        <f aca="false">IF(BZ751=1,0,ROUNDUP(AP751/BY751,0))</f>
        <v>1</v>
      </c>
      <c r="AR751" s="52" t="n">
        <f aca="false">IF(CQ751&gt;0,CQ751*MAX(1,AP751/X751),IF(BZ751=1,IF(AP751&lt;=0,0,CD751*MAX(1,IF(H751&gt;0,AP751/H751,1))),IF(R751&gt;0,AQ751/R751,0))/MAX(0.1,N(Parameter!$M$21)))</f>
        <v>0.0384615384615385</v>
      </c>
      <c r="AS751" s="50" t="n">
        <f aca="false">AR751*CB751</f>
        <v>5.96153846153846</v>
      </c>
      <c r="AT751" s="51" t="n">
        <f aca="false">IF(LEFT(Cockpit!$I$5,1)="A",H751,IF(CH751=1,(CK751+CI751)/2,IF(LEFT(Cockpit!$I$5,1)="B",(CK751+AV751)/2,MAX((CK751+AV751)/2,H751))))</f>
        <v>9</v>
      </c>
      <c r="AU751" s="50" t="n">
        <f aca="false">AT751*G751</f>
        <v>0.09</v>
      </c>
      <c r="AV751" s="50" t="n">
        <f aca="false">ROUNDUP(CK751+MAX(CL751,2*(J751/IF(CG751&gt;0,CG751,MAX(0.1,N(Cockpit!$I$6)))-CK751)),0)</f>
        <v>10</v>
      </c>
      <c r="AW751" s="51" t="n">
        <f aca="false">IF(AS751&gt;0,J751/AS751,-1)</f>
        <v>1.50967741935484</v>
      </c>
      <c r="AX751" s="51" t="n">
        <f aca="false">IF(AND(OR(CF751="L1",CF751="L23",CF751="LIFT"),AS751&gt;0),SUMIFS($AS$7:$AS$1843,$CF$7:$CF$1843,CF751,$AW$7:$AW$1843,"&gt;"&amp;AW751)+SUMIFS($AS$7:$AS$1843,$CF$7:$CF$1843,CF751,$AW$7:$AW$1843,AW751,$BW$7:$BW$1843,"&lt;="&amp;BW751),"")</f>
        <v>7655.78021978022</v>
      </c>
      <c r="AY751" s="58" t="n">
        <f aca="false">IF(AX751="",0,MAX(0,MIN(1,(IF(CF751="L1",Parameter!$H$5,IF(CF751="L23",Parameter!$H$6+Parameter!$H$7,Parameter!$H$5+Parameter!$H$6+Parameter!$H$7))-(AX751-AS751))/AS751)))</f>
        <v>1</v>
      </c>
      <c r="AZ751" s="50" t="n">
        <f aca="false">IF(LEFT(Cockpit!$O$5,1)="A",H751,IF(Parameter!$E$30="MAX-Bestand",IF(CH751=1,CI751,IF(LEFT(Cockpit!$O$5,1)="B",BF751,MAX(BF751,H751))),ROUNDUP(BD751,0)))</f>
        <v>5</v>
      </c>
      <c r="BA751" s="50" t="n">
        <f aca="false">IF(BZ751=1,0,ROUNDUP(AZ751/BY751,0))</f>
        <v>1</v>
      </c>
      <c r="BB751" s="52" t="n">
        <f aca="false">IF(CQ751&gt;0,CQ751*MAX(1,AZ751/X751),IF(BZ751=1,IF(AZ751&lt;=0,0,CD751*MAX(1,IF(H751&gt;0,AZ751/H751,1))),IF(R751&gt;0,BA751/R751,0))/MAX(0.1,N(Parameter!$M$21)))</f>
        <v>0.0384615384615385</v>
      </c>
      <c r="BC751" s="50" t="n">
        <f aca="false">BB751*CB751</f>
        <v>5.96153846153846</v>
      </c>
      <c r="BD751" s="51" t="n">
        <f aca="false">IF(LEFT(Cockpit!$O$5,1)="A",H751,IF(CH751=1,(CK751+CI751)/2,IF(LEFT(Cockpit!$O$5,1)="B",(CK751+BF751)/2,MAX((CK751+BF751)/2,H751))))</f>
        <v>5</v>
      </c>
      <c r="BE751" s="50" t="n">
        <f aca="false">BD751*G751</f>
        <v>0.05</v>
      </c>
      <c r="BF751" s="50" t="n">
        <f aca="false">ROUNDUP(CK751+MAX(CL751,2*(J751/IF(CG751&gt;0,CG751,MAX(0.1,N(Cockpit!$O$6)))-CK751)),0)</f>
        <v>10</v>
      </c>
      <c r="BG751" s="51" t="n">
        <f aca="false">IF(BC751&gt;0,J751/BC751,-1)</f>
        <v>1.50967741935484</v>
      </c>
      <c r="BH751" s="51" t="n">
        <f aca="false">IF(AND(OR(CF751="L1",CF751="L23",CF751="LIFT"),BC751&gt;0),SUMIFS($BC$7:$BC$1843,$CF$7:$CF$1843,CF751,$BG$7:$BG$1843,"&gt;"&amp;BG751)+SUMIFS($BC$7:$BC$1843,$CF$7:$CF$1843,CF751,$BG$7:$BG$1843,BG751,$BW$7:$BW$1843,"&lt;="&amp;BW751),"")</f>
        <v>6468.4445970696</v>
      </c>
      <c r="BI751" s="58" t="n">
        <f aca="false">IF(BH751="",0,MAX(0,MIN(1,(IF(CF751="L1",Parameter!$H$5,IF(CF751="L23",Parameter!$H$6+Parameter!$H$7,Parameter!$H$5+Parameter!$H$6+Parameter!$H$7))-(BH751-BC751))/BC751)))</f>
        <v>1</v>
      </c>
      <c r="BJ751" s="48" t="str">
        <f aca="false">IF(AI751&lt;=0,"",IF(CF751="Aussen","Aussenlager",IF(CF751="-","Nicht im Lift",IF(AO751&gt;=1,"Lift",IF(AO751&lt;=0,"Aussenlager","teilweise")))))</f>
        <v>Lift</v>
      </c>
      <c r="BK751" s="48" t="str">
        <f aca="false">IF(AS751&lt;=0,"",IF(CF751="Aussen","Aussenlager",IF(CF751="-","Nicht im Lift",IF(AY751&gt;=1,"Lift",IF(AY751&lt;=0,"Aussenlager","teilweise")))))</f>
        <v>Lift</v>
      </c>
      <c r="BL751" s="48" t="str">
        <f aca="false">IF(BC751&lt;=0,"",IF(CF751="Aussen","Aussenlager",IF(CF751="-","Nicht im Lift",IF(BI751&gt;=1,"Lift",IF(BI751&lt;=0,"Aussenlager","teilweise")))))</f>
        <v>Lift</v>
      </c>
      <c r="BM751" s="48" t="str">
        <f aca="false">IF(A751="","",IF(BV751=1,"Neu; ","")&amp;IF(AND(BV751=0,BQ751&lt;0),"negativer Bestand (Export "&amp;BQ751&amp;"); ","")&amp;IF(J751&lt;=0,"Kein Verbrauch; ","")&amp;IF(CQ751&gt;0,"Lift "&amp;W751&amp;" lt. Liftbericht (Fach "&amp;X751&amp;" Stk); ",IF(CA751=1,"Gebinde geschätzt ("&amp;T751&amp;"); ",IF(BZ751=1,"Lose – Tablare geschätzt; ","")))&amp;IF(H751&gt;AV751,"Überbestand "&amp;ROUND(H751-AV751,0)&amp;" Stk / CHF "&amp;ROUND((H751-AV751)*G751,0)&amp;"; ","")&amp;IF(AND(CH751=1,CI751&lt;CJ751),"MAX &lt; MB+LG; ","")&amp;IF(AND(CP751&gt;0,CO751*10&gt;CP751),"zu hoch für Tablar; ","")&amp;IF(AND(BV751=0,OR(CH751=1,AA751&lt;&gt;"",U751&lt;&gt;"",V751&lt;&gt;"",AB751&lt;&gt;"")),"manuell übersteuert; ","")&amp;IF(AND(BZ751=0,R751=0),"Gebinde unbekannt / Stellmass fehlt; ","")&amp;IF(AND(BZ751=0,N(V751)&lt;=0,N(Q751)&lt;=0),"Menge pro Gebinde fehlt (Ist = 1 Gebinde); ","")&amp;BU751)</f>
        <v>negativer Bestand (Export -9); Gebinde geschätzt (Klein); Menge pro Gebinde fehlt (Ist = 1 Gebinde); </v>
      </c>
      <c r="BN751" s="48"/>
      <c r="BO751" s="48"/>
      <c r="BP751" s="55"/>
      <c r="BQ751" s="50" t="n">
        <v>-9</v>
      </c>
      <c r="BR751" s="50" t="n">
        <v>18</v>
      </c>
      <c r="BS751" s="49" t="n">
        <v>-0.09</v>
      </c>
      <c r="BT751" s="50" t="n">
        <v>9</v>
      </c>
      <c r="BU751" s="48"/>
      <c r="BV751" s="53" t="n">
        <v>0</v>
      </c>
      <c r="BW751" s="53" t="n">
        <v>751</v>
      </c>
      <c r="BX751" s="48" t="str">
        <f aca="false">IF(U751&lt;&gt;"",UPPER(TRIM(U751)),IF(CA751=1,UPPER(VLOOKUP(T751,Parameter!$I$27:$K$29,2,0)),IF(P751="","LOSE",P751)))</f>
        <v>S51</v>
      </c>
      <c r="BY751" s="50" t="n">
        <f aca="false">IF(BX751="LOSE",1,IF(N(V751)&gt;0,V751,IF(CA751=1,MAX(1,N(VLOOKUP(T751,Parameter!$I$27:$K$29,3,0)),H751,N(N751)),IF(N(Q751)&gt;0,Q751,MAX(1,H751)))))</f>
        <v>20</v>
      </c>
      <c r="BZ751" s="53" t="n">
        <f aca="false">IF(BX751="LOSE",1,0)</f>
        <v>0</v>
      </c>
      <c r="CA751" s="53" t="n">
        <f aca="false">IF(AND(U751="",OR(P751="",P751="LOSE"),T751&lt;&gt;"",N(S751)&lt;=0,ISNUMBER(MATCH(T751,Parameter!$I$27:$I$29,0))),1,0)</f>
        <v>1</v>
      </c>
      <c r="CB751" s="53" t="n">
        <f aca="false">IF(CQ751&gt;0,INDEX(Parameter!$H$5:$H$7,W751)/INDEX(Parameter!$E$5:$E$7,W751),IF(AND(BZ751=0,N(IFERROR(VLOOKUP(BX751,'Gebinde-Kategorie'!$A$5:$N$45,14,0),0))&gt;0),VLOOKUP(BX751,'Gebinde-Kategorie'!$A$5:$N$45,14,0)*10+Parameter!$M$23,Parameter!$M$24))</f>
        <v>155</v>
      </c>
      <c r="CC751" s="48" t="str">
        <f aca="false">IF(AND(Parameter!$B$19="Ja",E751&lt;&gt;"",ISNUMBER(MATCH(E751,Parameter!$I$35:$I$52,0))),VLOOKUP(E751,Parameter!$I$35:$J$52,2,0),IFERROR(VLOOKUP(D751,Parameter!$A$35:$C$64,2,0),"Nein"))</f>
        <v>2+3</v>
      </c>
      <c r="CD751" s="52" t="n">
        <f aca="false">IF(BZ751=0,0,IF(N(S751)&gt;0,S751,IFERROR(VLOOKUP(D751,Parameter!$A$35:$C$64,3,0)+0,0)))</f>
        <v>0</v>
      </c>
      <c r="CE751" s="48" t="n">
        <f aca="false">IF(AA751&lt;&gt;"",AA751,Z751)</f>
        <v>3</v>
      </c>
      <c r="CF751" s="48" t="str">
        <f aca="false">IF(OR(CE751=1,CE751=2,CE751=3),IF(Parameter!$E$27="Ja","LIFT",IF(CE751=1,"L1","L23")),IF(CE751="Aussen","Aussen","-"))</f>
        <v>LIFT</v>
      </c>
      <c r="CG751" s="59" t="n">
        <f aca="false">IF(N(AB751)&gt;0,AB751,0)</f>
        <v>0</v>
      </c>
      <c r="CH751" s="53" t="n">
        <f aca="false">IF(ISNUMBER(AE751),1,0)</f>
        <v>0</v>
      </c>
      <c r="CI751" s="50" t="n">
        <f aca="false">N(AE751)</f>
        <v>0</v>
      </c>
      <c r="CJ751" s="50" t="n">
        <f aca="false">N(M751)+N(N751)</f>
        <v>10</v>
      </c>
      <c r="CK751" s="50" t="n">
        <f aca="false">N(M751)</f>
        <v>0</v>
      </c>
      <c r="CL751" s="50" t="n">
        <f aca="false">N(N751)</f>
        <v>10</v>
      </c>
      <c r="CM751" s="50" t="n">
        <f aca="false">ROUNDUP(H751/BY751,0)</f>
        <v>1</v>
      </c>
      <c r="CN751" s="50" t="n">
        <f aca="false">ROUNDUP(CI751/BY751,0)</f>
        <v>0</v>
      </c>
      <c r="CO751" s="53" t="n">
        <f aca="false">IF(BZ751=1,0,IFERROR(VLOOKUP(BX751,'Gebinde-Kategorie'!$A$5:$N$45,5,0)+0,0))</f>
        <v>11</v>
      </c>
      <c r="CP751" s="53" t="n">
        <f aca="false">IFERROR(IF(OR(CE751=1,CE751=2,CE751=3),N(INDEX(Parameter!$I$5:$I$7,CE751)),0),0)</f>
        <v>0</v>
      </c>
      <c r="CQ751" s="52" t="n">
        <f aca="false">IF(AND(Parameter!$B$21="Ja",ISNUMBER(W751),N(X751)&gt;0),IFERROR(N(INDEX(Parameter!$L$5:$L$7,W751))*INDEX(Parameter!$E$5:$E$7,W751)*X751/SUMIFS($X$7:$X$1843,$W$7:$W$1843,W751),0),0)</f>
        <v>0</v>
      </c>
    </row>
    <row r="752" customFormat="false" ht="15" hidden="false" customHeight="false" outlineLevel="0" collapsed="false">
      <c r="A752" s="48" t="s">
        <v>1498</v>
      </c>
      <c r="B752" s="48" t="s">
        <v>1499</v>
      </c>
      <c r="C752" s="48" t="s">
        <v>465</v>
      </c>
      <c r="D752" s="48" t="s">
        <v>182</v>
      </c>
      <c r="E752" s="48"/>
      <c r="F752" s="48" t="s">
        <v>227</v>
      </c>
      <c r="G752" s="49" t="n">
        <v>0.01</v>
      </c>
      <c r="H752" s="50" t="n">
        <f aca="false">MAX(0,IF(AND(Parameter!$B$21="Ja",ISNUMBER(Y752)),Y752,IF(Parameter!$B$20="Jahresanfang 2025 + Export",BR752+BQ752,BQ752)))</f>
        <v>0</v>
      </c>
      <c r="I752" s="50" t="n">
        <f aca="false">H752*G752</f>
        <v>0</v>
      </c>
      <c r="J752" s="50" t="n">
        <f aca="false">BT752*Parameter!$B$18</f>
        <v>8</v>
      </c>
      <c r="K752" s="51" t="n">
        <v>8</v>
      </c>
      <c r="L752" s="52" t="n">
        <v>1</v>
      </c>
      <c r="M752" s="50" t="n">
        <v>0</v>
      </c>
      <c r="N752" s="50" t="n">
        <v>10</v>
      </c>
      <c r="O752" s="53" t="n">
        <v>90</v>
      </c>
      <c r="P752" s="48" t="s">
        <v>177</v>
      </c>
      <c r="Q752" s="50"/>
      <c r="R752" s="53" t="n">
        <f aca="false">IF(BZ752=1,0,IFERROR(VLOOKUP(BX752,'Gebinde-Kategorie'!$A$5:$N$45,13,0)+0,0))</f>
        <v>26</v>
      </c>
      <c r="S752" s="54"/>
      <c r="T752" s="55" t="s">
        <v>284</v>
      </c>
      <c r="U752" s="55"/>
      <c r="V752" s="55"/>
      <c r="W752" s="48"/>
      <c r="X752" s="50"/>
      <c r="Y752" s="50"/>
      <c r="Z752" s="48" t="n">
        <f aca="false">IF(A752="","",IF(AND(Parameter!$B$21="Ja",ISNUMBER(W752)),W752,IF(CC752="2+3",IF(ISNUMBER(SEARCH("grosser Artikel",BU752)),2,IFERROR(VLOOKUP(BX752,Parameter!$F$35:$G$64,2,0),2)),IF(OR(CC752="Nein",CC752=""),"-",CC752))))</f>
        <v>3</v>
      </c>
      <c r="AA752" s="55"/>
      <c r="AB752" s="56"/>
      <c r="AC752" s="50" t="n">
        <f aca="false">AV752</f>
        <v>10</v>
      </c>
      <c r="AD752" s="50" t="n">
        <f aca="false">MAX(AV752,H752)</f>
        <v>10</v>
      </c>
      <c r="AE752" s="57"/>
      <c r="AF752" s="50" t="n">
        <f aca="false">IF(LEFT(Cockpit!$C$5,1)="A",H752,IF(Parameter!$E$30="MAX-Bestand",IF(CH752=1,CI752,IF(LEFT(Cockpit!$C$5,1)="B",AL752,MAX(AL752,H752))),ROUNDUP(AJ752,0)))</f>
        <v>0</v>
      </c>
      <c r="AG752" s="50" t="n">
        <f aca="false">IF(BZ752=1,0,ROUNDUP(AF752/BY752,0))</f>
        <v>0</v>
      </c>
      <c r="AH752" s="52" t="n">
        <f aca="false">IF(CQ752&gt;0,CQ752*MAX(1,AF752/X752),IF(BZ752=1,IF(AF752&lt;=0,0,CD752*MAX(1,IF(H752&gt;0,AF752/H752,1))),IF(R752&gt;0,AG752/R752,0))/MAX(0.1,N(Parameter!$M$21)))</f>
        <v>0</v>
      </c>
      <c r="AI752" s="50" t="n">
        <f aca="false">AH752*CB752</f>
        <v>0</v>
      </c>
      <c r="AJ752" s="51" t="n">
        <f aca="false">IF(LEFT(Cockpit!$C$5,1)="A",H752,IF(CH752=1,(CK752+CI752)/2,IF(LEFT(Cockpit!$C$5,1)="B",(CK752+AL752)/2,MAX((CK752+AL752)/2,H752))))</f>
        <v>0</v>
      </c>
      <c r="AK752" s="50" t="n">
        <f aca="false">AJ752*G752</f>
        <v>0</v>
      </c>
      <c r="AL752" s="50" t="n">
        <f aca="false">ROUNDUP(CK752+MAX(CL752,2*(J752/IF(CG752&gt;0,CG752,MAX(0.1,N(Cockpit!$C$6)))-CK752)),0)</f>
        <v>10</v>
      </c>
      <c r="AM752" s="51" t="n">
        <f aca="false">IF(AI752&gt;0,J752/AI752,-1)</f>
        <v>-1</v>
      </c>
      <c r="AN752" s="51" t="str">
        <f aca="false">IF(AND(OR(CF752="L1",CF752="L23",CF752="LIFT"),AI752&gt;0),SUMIFS($AI$7:$AI$1843,$CF$7:$CF$1843,CF752,$AM$7:$AM$1843,"&gt;"&amp;AM752)+SUMIFS($AI$7:$AI$1843,$CF$7:$CF$1843,CF752,$AM$7:$AM$1843,AM752,$BW$7:$BW$1843,"&lt;="&amp;BW752),"")</f>
        <v/>
      </c>
      <c r="AO752" s="58" t="n">
        <f aca="false">IF(AN752="",0,MAX(0,MIN(1,(IF(CF752="L1",Parameter!$H$5,IF(CF752="L23",Parameter!$H$6+Parameter!$H$7,Parameter!$H$5+Parameter!$H$6+Parameter!$H$7))-(AN752-AI752))/AI752)))</f>
        <v>0</v>
      </c>
      <c r="AP752" s="50" t="n">
        <f aca="false">IF(LEFT(Cockpit!$I$5,1)="A",H752,IF(Parameter!$E$30="MAX-Bestand",IF(CH752=1,CI752,IF(LEFT(Cockpit!$I$5,1)="B",AV752,MAX(AV752,H752))),ROUNDUP(AT752,0)))</f>
        <v>5</v>
      </c>
      <c r="AQ752" s="50" t="n">
        <f aca="false">IF(BZ752=1,0,ROUNDUP(AP752/BY752,0))</f>
        <v>1</v>
      </c>
      <c r="AR752" s="52" t="n">
        <f aca="false">IF(CQ752&gt;0,CQ752*MAX(1,AP752/X752),IF(BZ752=1,IF(AP752&lt;=0,0,CD752*MAX(1,IF(H752&gt;0,AP752/H752,1))),IF(R752&gt;0,AQ752/R752,0))/MAX(0.1,N(Parameter!$M$21)))</f>
        <v>0.0384615384615385</v>
      </c>
      <c r="AS752" s="50" t="n">
        <f aca="false">AR752*CB752</f>
        <v>5.96153846153846</v>
      </c>
      <c r="AT752" s="51" t="n">
        <f aca="false">IF(LEFT(Cockpit!$I$5,1)="A",H752,IF(CH752=1,(CK752+CI752)/2,IF(LEFT(Cockpit!$I$5,1)="B",(CK752+AV752)/2,MAX((CK752+AV752)/2,H752))))</f>
        <v>5</v>
      </c>
      <c r="AU752" s="50" t="n">
        <f aca="false">AT752*G752</f>
        <v>0.05</v>
      </c>
      <c r="AV752" s="50" t="n">
        <f aca="false">ROUNDUP(CK752+MAX(CL752,2*(J752/IF(CG752&gt;0,CG752,MAX(0.1,N(Cockpit!$I$6)))-CK752)),0)</f>
        <v>10</v>
      </c>
      <c r="AW752" s="51" t="n">
        <f aca="false">IF(AS752&gt;0,J752/AS752,-1)</f>
        <v>1.34193548387097</v>
      </c>
      <c r="AX752" s="51" t="n">
        <f aca="false">IF(AND(OR(CF752="L1",CF752="L23",CF752="LIFT"),AS752&gt;0),SUMIFS($AS$7:$AS$1843,$CF$7:$CF$1843,CF752,$AW$7:$AW$1843,"&gt;"&amp;AW752)+SUMIFS($AS$7:$AS$1843,$CF$7:$CF$1843,CF752,$AW$7:$AW$1843,AW752,$BW$7:$BW$1843,"&lt;="&amp;BW752),"")</f>
        <v>7853.84111721612</v>
      </c>
      <c r="AY752" s="58" t="n">
        <f aca="false">IF(AX752="",0,MAX(0,MIN(1,(IF(CF752="L1",Parameter!$H$5,IF(CF752="L23",Parameter!$H$6+Parameter!$H$7,Parameter!$H$5+Parameter!$H$6+Parameter!$H$7))-(AX752-AS752))/AS752)))</f>
        <v>1</v>
      </c>
      <c r="AZ752" s="50" t="n">
        <f aca="false">IF(LEFT(Cockpit!$O$5,1)="A",H752,IF(Parameter!$E$30="MAX-Bestand",IF(CH752=1,CI752,IF(LEFT(Cockpit!$O$5,1)="B",BF752,MAX(BF752,H752))),ROUNDUP(BD752,0)))</f>
        <v>5</v>
      </c>
      <c r="BA752" s="50" t="n">
        <f aca="false">IF(BZ752=1,0,ROUNDUP(AZ752/BY752,0))</f>
        <v>1</v>
      </c>
      <c r="BB752" s="52" t="n">
        <f aca="false">IF(CQ752&gt;0,CQ752*MAX(1,AZ752/X752),IF(BZ752=1,IF(AZ752&lt;=0,0,CD752*MAX(1,IF(H752&gt;0,AZ752/H752,1))),IF(R752&gt;0,BA752/R752,0))/MAX(0.1,N(Parameter!$M$21)))</f>
        <v>0.0384615384615385</v>
      </c>
      <c r="BC752" s="50" t="n">
        <f aca="false">BB752*CB752</f>
        <v>5.96153846153846</v>
      </c>
      <c r="BD752" s="51" t="n">
        <f aca="false">IF(LEFT(Cockpit!$O$5,1)="A",H752,IF(CH752=1,(CK752+CI752)/2,IF(LEFT(Cockpit!$O$5,1)="B",(CK752+BF752)/2,MAX((CK752+BF752)/2,H752))))</f>
        <v>5</v>
      </c>
      <c r="BE752" s="50" t="n">
        <f aca="false">BD752*G752</f>
        <v>0.05</v>
      </c>
      <c r="BF752" s="50" t="n">
        <f aca="false">ROUNDUP(CK752+MAX(CL752,2*(J752/IF(CG752&gt;0,CG752,MAX(0.1,N(Cockpit!$O$6)))-CK752)),0)</f>
        <v>10</v>
      </c>
      <c r="BG752" s="51" t="n">
        <f aca="false">IF(BC752&gt;0,J752/BC752,-1)</f>
        <v>1.34193548387097</v>
      </c>
      <c r="BH752" s="51" t="n">
        <f aca="false">IF(AND(OR(CF752="L1",CF752="L23",CF752="LIFT"),BC752&gt;0),SUMIFS($BC$7:$BC$1843,$CF$7:$CF$1843,CF752,$BG$7:$BG$1843,"&gt;"&amp;BG752)+SUMIFS($BC$7:$BC$1843,$CF$7:$CF$1843,CF752,$BG$7:$BG$1843,BG752,$BW$7:$BW$1843,"&lt;="&amp;BW752),"")</f>
        <v>6791.05677655678</v>
      </c>
      <c r="BI752" s="58" t="n">
        <f aca="false">IF(BH752="",0,MAX(0,MIN(1,(IF(CF752="L1",Parameter!$H$5,IF(CF752="L23",Parameter!$H$6+Parameter!$H$7,Parameter!$H$5+Parameter!$H$6+Parameter!$H$7))-(BH752-BC752))/BC752)))</f>
        <v>1</v>
      </c>
      <c r="BJ752" s="48" t="str">
        <f aca="false">IF(AI752&lt;=0,"",IF(CF752="Aussen","Aussenlager",IF(CF752="-","Nicht im Lift",IF(AO752&gt;=1,"Lift",IF(AO752&lt;=0,"Aussenlager","teilweise")))))</f>
        <v/>
      </c>
      <c r="BK752" s="48" t="str">
        <f aca="false">IF(AS752&lt;=0,"",IF(CF752="Aussen","Aussenlager",IF(CF752="-","Nicht im Lift",IF(AY752&gt;=1,"Lift",IF(AY752&lt;=0,"Aussenlager","teilweise")))))</f>
        <v>Lift</v>
      </c>
      <c r="BL752" s="48" t="str">
        <f aca="false">IF(BC752&lt;=0,"",IF(CF752="Aussen","Aussenlager",IF(CF752="-","Nicht im Lift",IF(BI752&gt;=1,"Lift",IF(BI752&lt;=0,"Aussenlager","teilweise")))))</f>
        <v>Lift</v>
      </c>
      <c r="BM752" s="48" t="str">
        <f aca="false">IF(A752="","",IF(BV752=1,"Neu; ","")&amp;IF(AND(BV752=0,BQ752&lt;0),"negativer Bestand (Export "&amp;BQ752&amp;"); ","")&amp;IF(J752&lt;=0,"Kein Verbrauch; ","")&amp;IF(CQ752&gt;0,"Lift "&amp;W752&amp;" lt. Liftbericht (Fach "&amp;X752&amp;" Stk); ",IF(CA752=1,"Gebinde geschätzt ("&amp;T752&amp;"); ",IF(BZ752=1,"Lose – Tablare geschätzt; ","")))&amp;IF(H752&gt;AV752,"Überbestand "&amp;ROUND(H752-AV752,0)&amp;" Stk / CHF "&amp;ROUND((H752-AV752)*G752,0)&amp;"; ","")&amp;IF(AND(CH752=1,CI752&lt;CJ752),"MAX &lt; MB+LG; ","")&amp;IF(AND(CP752&gt;0,CO752*10&gt;CP752),"zu hoch für Tablar; ","")&amp;IF(AND(BV752=0,OR(CH752=1,AA752&lt;&gt;"",U752&lt;&gt;"",V752&lt;&gt;"",AB752&lt;&gt;"")),"manuell übersteuert; ","")&amp;IF(AND(BZ752=0,R752=0),"Gebinde unbekannt / Stellmass fehlt; ","")&amp;IF(AND(BZ752=0,N(V752)&lt;=0,N(Q752)&lt;=0),"Menge pro Gebinde fehlt (Ist = 1 Gebinde); ","")&amp;BU752)</f>
        <v>negativer Bestand (Export -16); Gebinde geschätzt (Klein); Menge pro Gebinde fehlt (Ist = 1 Gebinde); </v>
      </c>
      <c r="BN752" s="48"/>
      <c r="BO752" s="48"/>
      <c r="BP752" s="55"/>
      <c r="BQ752" s="50" t="n">
        <v>-16</v>
      </c>
      <c r="BR752" s="50" t="n">
        <v>16</v>
      </c>
      <c r="BS752" s="49" t="n">
        <v>-0.16</v>
      </c>
      <c r="BT752" s="50" t="n">
        <v>8</v>
      </c>
      <c r="BU752" s="48"/>
      <c r="BV752" s="53" t="n">
        <v>0</v>
      </c>
      <c r="BW752" s="53" t="n">
        <v>752</v>
      </c>
      <c r="BX752" s="48" t="str">
        <f aca="false">IF(U752&lt;&gt;"",UPPER(TRIM(U752)),IF(CA752=1,UPPER(VLOOKUP(T752,Parameter!$I$27:$K$29,2,0)),IF(P752="","LOSE",P752)))</f>
        <v>S51</v>
      </c>
      <c r="BY752" s="50" t="n">
        <f aca="false">IF(BX752="LOSE",1,IF(N(V752)&gt;0,V752,IF(CA752=1,MAX(1,N(VLOOKUP(T752,Parameter!$I$27:$K$29,3,0)),H752,N(N752)),IF(N(Q752)&gt;0,Q752,MAX(1,H752)))))</f>
        <v>20</v>
      </c>
      <c r="BZ752" s="53" t="n">
        <f aca="false">IF(BX752="LOSE",1,0)</f>
        <v>0</v>
      </c>
      <c r="CA752" s="53" t="n">
        <f aca="false">IF(AND(U752="",OR(P752="",P752="LOSE"),T752&lt;&gt;"",N(S752)&lt;=0,ISNUMBER(MATCH(T752,Parameter!$I$27:$I$29,0))),1,0)</f>
        <v>1</v>
      </c>
      <c r="CB752" s="53" t="n">
        <f aca="false">IF(CQ752&gt;0,INDEX(Parameter!$H$5:$H$7,W752)/INDEX(Parameter!$E$5:$E$7,W752),IF(AND(BZ752=0,N(IFERROR(VLOOKUP(BX752,'Gebinde-Kategorie'!$A$5:$N$45,14,0),0))&gt;0),VLOOKUP(BX752,'Gebinde-Kategorie'!$A$5:$N$45,14,0)*10+Parameter!$M$23,Parameter!$M$24))</f>
        <v>155</v>
      </c>
      <c r="CC752" s="48" t="str">
        <f aca="false">IF(AND(Parameter!$B$19="Ja",E752&lt;&gt;"",ISNUMBER(MATCH(E752,Parameter!$I$35:$I$52,0))),VLOOKUP(E752,Parameter!$I$35:$J$52,2,0),IFERROR(VLOOKUP(D752,Parameter!$A$35:$C$64,2,0),"Nein"))</f>
        <v>2+3</v>
      </c>
      <c r="CD752" s="52" t="n">
        <f aca="false">IF(BZ752=0,0,IF(N(S752)&gt;0,S752,IFERROR(VLOOKUP(D752,Parameter!$A$35:$C$64,3,0)+0,0)))</f>
        <v>0</v>
      </c>
      <c r="CE752" s="48" t="n">
        <f aca="false">IF(AA752&lt;&gt;"",AA752,Z752)</f>
        <v>3</v>
      </c>
      <c r="CF752" s="48" t="str">
        <f aca="false">IF(OR(CE752=1,CE752=2,CE752=3),IF(Parameter!$E$27="Ja","LIFT",IF(CE752=1,"L1","L23")),IF(CE752="Aussen","Aussen","-"))</f>
        <v>LIFT</v>
      </c>
      <c r="CG752" s="59" t="n">
        <f aca="false">IF(N(AB752)&gt;0,AB752,0)</f>
        <v>0</v>
      </c>
      <c r="CH752" s="53" t="n">
        <f aca="false">IF(ISNUMBER(AE752),1,0)</f>
        <v>0</v>
      </c>
      <c r="CI752" s="50" t="n">
        <f aca="false">N(AE752)</f>
        <v>0</v>
      </c>
      <c r="CJ752" s="50" t="n">
        <f aca="false">N(M752)+N(N752)</f>
        <v>10</v>
      </c>
      <c r="CK752" s="50" t="n">
        <f aca="false">N(M752)</f>
        <v>0</v>
      </c>
      <c r="CL752" s="50" t="n">
        <f aca="false">N(N752)</f>
        <v>10</v>
      </c>
      <c r="CM752" s="50" t="n">
        <f aca="false">ROUNDUP(H752/BY752,0)</f>
        <v>0</v>
      </c>
      <c r="CN752" s="50" t="n">
        <f aca="false">ROUNDUP(CI752/BY752,0)</f>
        <v>0</v>
      </c>
      <c r="CO752" s="53" t="n">
        <f aca="false">IF(BZ752=1,0,IFERROR(VLOOKUP(BX752,'Gebinde-Kategorie'!$A$5:$N$45,5,0)+0,0))</f>
        <v>11</v>
      </c>
      <c r="CP752" s="53" t="n">
        <f aca="false">IFERROR(IF(OR(CE752=1,CE752=2,CE752=3),N(INDEX(Parameter!$I$5:$I$7,CE752)),0),0)</f>
        <v>0</v>
      </c>
      <c r="CQ752" s="52" t="n">
        <f aca="false">IF(AND(Parameter!$B$21="Ja",ISNUMBER(W752),N(X752)&gt;0),IFERROR(N(INDEX(Parameter!$L$5:$L$7,W752))*INDEX(Parameter!$E$5:$E$7,W752)*X752/SUMIFS($X$7:$X$1843,$W$7:$W$1843,W752),0),0)</f>
        <v>0</v>
      </c>
    </row>
    <row r="753" customFormat="false" ht="15" hidden="false" customHeight="false" outlineLevel="0" collapsed="false">
      <c r="A753" s="48" t="s">
        <v>1500</v>
      </c>
      <c r="B753" s="48" t="s">
        <v>477</v>
      </c>
      <c r="C753" s="48" t="s">
        <v>173</v>
      </c>
      <c r="D753" s="48" t="s">
        <v>193</v>
      </c>
      <c r="E753" s="48" t="s">
        <v>194</v>
      </c>
      <c r="F753" s="48" t="s">
        <v>227</v>
      </c>
      <c r="G753" s="49" t="n">
        <v>0.2</v>
      </c>
      <c r="H753" s="50" t="n">
        <f aca="false">MAX(0,IF(AND(Parameter!$B$21="Ja",ISNUMBER(Y753)),Y753,IF(Parameter!$B$20="Jahresanfang 2025 + Export",BR753+BQ753,BQ753)))</f>
        <v>20</v>
      </c>
      <c r="I753" s="50" t="n">
        <f aca="false">H753*G753</f>
        <v>4</v>
      </c>
      <c r="J753" s="50" t="n">
        <f aca="false">BT753*Parameter!$B$18</f>
        <v>0</v>
      </c>
      <c r="K753" s="51" t="n">
        <v>20.5</v>
      </c>
      <c r="L753" s="52" t="n">
        <v>0</v>
      </c>
      <c r="M753" s="50" t="n">
        <v>0</v>
      </c>
      <c r="N753" s="50" t="n">
        <v>1</v>
      </c>
      <c r="O753" s="53" t="n">
        <v>28</v>
      </c>
      <c r="P753" s="48" t="s">
        <v>410</v>
      </c>
      <c r="Q753" s="50" t="n">
        <v>39</v>
      </c>
      <c r="R753" s="53" t="n">
        <f aca="false">IF(BZ753=1,0,IFERROR(VLOOKUP(BX753,'Gebinde-Kategorie'!$A$5:$N$45,13,0)+0,0))</f>
        <v>280</v>
      </c>
      <c r="S753" s="54"/>
      <c r="T753" s="55"/>
      <c r="U753" s="55"/>
      <c r="V753" s="55"/>
      <c r="W753" s="48"/>
      <c r="X753" s="50"/>
      <c r="Y753" s="50"/>
      <c r="Z753" s="48" t="n">
        <f aca="false">IF(A753="","",IF(AND(Parameter!$B$21="Ja",ISNUMBER(W753)),W753,IF(CC753="2+3",IF(ISNUMBER(SEARCH("grosser Artikel",BU753)),2,IFERROR(VLOOKUP(BX753,Parameter!$F$35:$G$64,2,0),2)),IF(OR(CC753="Nein",CC753=""),"-",CC753))))</f>
        <v>3</v>
      </c>
      <c r="AA753" s="55"/>
      <c r="AB753" s="56"/>
      <c r="AC753" s="50" t="n">
        <f aca="false">AV753</f>
        <v>1</v>
      </c>
      <c r="AD753" s="50" t="n">
        <f aca="false">MAX(AV753,H753)</f>
        <v>20</v>
      </c>
      <c r="AE753" s="57"/>
      <c r="AF753" s="50" t="n">
        <f aca="false">IF(LEFT(Cockpit!$C$5,1)="A",H753,IF(Parameter!$E$30="MAX-Bestand",IF(CH753=1,CI753,IF(LEFT(Cockpit!$C$5,1)="B",AL753,MAX(AL753,H753))),ROUNDUP(AJ753,0)))</f>
        <v>20</v>
      </c>
      <c r="AG753" s="50" t="n">
        <f aca="false">IF(BZ753=1,0,ROUNDUP(AF753/BY753,0))</f>
        <v>1</v>
      </c>
      <c r="AH753" s="52" t="n">
        <f aca="false">IF(CQ753&gt;0,CQ753*MAX(1,AF753/X753),IF(BZ753=1,IF(AF753&lt;=0,0,CD753*MAX(1,IF(H753&gt;0,AF753/H753,1))),IF(R753&gt;0,AG753/R753,0))/MAX(0.1,N(Parameter!$M$21)))</f>
        <v>0.00357142857142857</v>
      </c>
      <c r="AI753" s="50" t="n">
        <f aca="false">AH753*CB753</f>
        <v>0.553571428571429</v>
      </c>
      <c r="AJ753" s="51" t="n">
        <f aca="false">IF(LEFT(Cockpit!$C$5,1)="A",H753,IF(CH753=1,(CK753+CI753)/2,IF(LEFT(Cockpit!$C$5,1)="B",(CK753+AL753)/2,MAX((CK753+AL753)/2,H753))))</f>
        <v>20</v>
      </c>
      <c r="AK753" s="50" t="n">
        <f aca="false">AJ753*G753</f>
        <v>4</v>
      </c>
      <c r="AL753" s="50" t="n">
        <f aca="false">ROUNDUP(CK753+MAX(CL753,2*(J753/IF(CG753&gt;0,CG753,MAX(0.1,N(Cockpit!$C$6)))-CK753)),0)</f>
        <v>1</v>
      </c>
      <c r="AM753" s="51" t="n">
        <f aca="false">IF(AI753&gt;0,J753/AI753,-1)</f>
        <v>0</v>
      </c>
      <c r="AN753" s="51" t="n">
        <f aca="false">IF(AND(OR(CF753="L1",CF753="L23",CF753="LIFT"),AI753&gt;0),SUMIFS($AI$7:$AI$1843,$CF$7:$CF$1843,CF753,$AM$7:$AM$1843,"&gt;"&amp;AM753)+SUMIFS($AI$7:$AI$1843,$CF$7:$CF$1843,CF753,$AM$7:$AM$1843,AM753,$BW$7:$BW$1843,"&lt;="&amp;BW753),"")</f>
        <v>28707.8435747398</v>
      </c>
      <c r="AO753" s="58" t="n">
        <f aca="false">IF(AN753="",0,MAX(0,MIN(1,(IF(CF753="L1",Parameter!$H$5,IF(CF753="L23",Parameter!$H$6+Parameter!$H$7,Parameter!$H$5+Parameter!$H$6+Parameter!$H$7))-(AN753-AI753))/AI753)))</f>
        <v>1</v>
      </c>
      <c r="AP753" s="50" t="n">
        <f aca="false">IF(LEFT(Cockpit!$I$5,1)="A",H753,IF(Parameter!$E$30="MAX-Bestand",IF(CH753=1,CI753,IF(LEFT(Cockpit!$I$5,1)="B",AV753,MAX(AV753,H753))),ROUNDUP(AT753,0)))</f>
        <v>20</v>
      </c>
      <c r="AQ753" s="50" t="n">
        <f aca="false">IF(BZ753=1,0,ROUNDUP(AP753/BY753,0))</f>
        <v>1</v>
      </c>
      <c r="AR753" s="52" t="n">
        <f aca="false">IF(CQ753&gt;0,CQ753*MAX(1,AP753/X753),IF(BZ753=1,IF(AP753&lt;=0,0,CD753*MAX(1,IF(H753&gt;0,AP753/H753,1))),IF(R753&gt;0,AQ753/R753,0))/MAX(0.1,N(Parameter!$M$21)))</f>
        <v>0.00357142857142857</v>
      </c>
      <c r="AS753" s="50" t="n">
        <f aca="false">AR753*CB753</f>
        <v>0.553571428571429</v>
      </c>
      <c r="AT753" s="51" t="n">
        <f aca="false">IF(LEFT(Cockpit!$I$5,1)="A",H753,IF(CH753=1,(CK753+CI753)/2,IF(LEFT(Cockpit!$I$5,1)="B",(CK753+AV753)/2,MAX((CK753+AV753)/2,H753))))</f>
        <v>20</v>
      </c>
      <c r="AU753" s="50" t="n">
        <f aca="false">AT753*G753</f>
        <v>4</v>
      </c>
      <c r="AV753" s="50" t="n">
        <f aca="false">ROUNDUP(CK753+MAX(CL753,2*(J753/IF(CG753&gt;0,CG753,MAX(0.1,N(Cockpit!$I$6)))-CK753)),0)</f>
        <v>1</v>
      </c>
      <c r="AW753" s="51" t="n">
        <f aca="false">IF(AS753&gt;0,J753/AS753,-1)</f>
        <v>0</v>
      </c>
      <c r="AX753" s="51" t="n">
        <f aca="false">IF(AND(OR(CF753="L1",CF753="L23",CF753="LIFT"),AS753&gt;0),SUMIFS($AS$7:$AS$1843,$CF$7:$CF$1843,CF753,$AW$7:$AW$1843,"&gt;"&amp;AW753)+SUMIFS($AS$7:$AS$1843,$CF$7:$CF$1843,CF753,$AW$7:$AW$1843,AW753,$BW$7:$BW$1843,"&lt;="&amp;BW753),"")</f>
        <v>34312.6268315018</v>
      </c>
      <c r="AY753" s="58" t="n">
        <f aca="false">IF(AX753="",0,MAX(0,MIN(1,(IF(CF753="L1",Parameter!$H$5,IF(CF753="L23",Parameter!$H$6+Parameter!$H$7,Parameter!$H$5+Parameter!$H$6+Parameter!$H$7))-(AX753-AS753))/AS753)))</f>
        <v>1</v>
      </c>
      <c r="AZ753" s="50" t="n">
        <f aca="false">IF(LEFT(Cockpit!$O$5,1)="A",H753,IF(Parameter!$E$30="MAX-Bestand",IF(CH753=1,CI753,IF(LEFT(Cockpit!$O$5,1)="B",BF753,MAX(BF753,H753))),ROUNDUP(BD753,0)))</f>
        <v>1</v>
      </c>
      <c r="BA753" s="50" t="n">
        <f aca="false">IF(BZ753=1,0,ROUNDUP(AZ753/BY753,0))</f>
        <v>1</v>
      </c>
      <c r="BB753" s="52" t="n">
        <f aca="false">IF(CQ753&gt;0,CQ753*MAX(1,AZ753/X753),IF(BZ753=1,IF(AZ753&lt;=0,0,CD753*MAX(1,IF(H753&gt;0,AZ753/H753,1))),IF(R753&gt;0,BA753/R753,0))/MAX(0.1,N(Parameter!$M$21)))</f>
        <v>0.00357142857142857</v>
      </c>
      <c r="BC753" s="50" t="n">
        <f aca="false">BB753*CB753</f>
        <v>0.553571428571429</v>
      </c>
      <c r="BD753" s="51" t="n">
        <f aca="false">IF(LEFT(Cockpit!$O$5,1)="A",H753,IF(CH753=1,(CK753+CI753)/2,IF(LEFT(Cockpit!$O$5,1)="B",(CK753+BF753)/2,MAX((CK753+BF753)/2,H753))))</f>
        <v>0.5</v>
      </c>
      <c r="BE753" s="50" t="n">
        <f aca="false">BD753*G753</f>
        <v>0.1</v>
      </c>
      <c r="BF753" s="50" t="n">
        <f aca="false">ROUNDUP(CK753+MAX(CL753,2*(J753/IF(CG753&gt;0,CG753,MAX(0.1,N(Cockpit!$O$6)))-CK753)),0)</f>
        <v>1</v>
      </c>
      <c r="BG753" s="51" t="n">
        <f aca="false">IF(BC753&gt;0,J753/BC753,-1)</f>
        <v>0</v>
      </c>
      <c r="BH753" s="51" t="n">
        <f aca="false">IF(AND(OR(CF753="L1",CF753="L23",CF753="LIFT"),BC753&gt;0),SUMIFS($BC$7:$BC$1843,$CF$7:$CF$1843,CF753,$BG$7:$BG$1843,"&gt;"&amp;BG753)+SUMIFS($BC$7:$BC$1843,$CF$7:$CF$1843,CF753,$BG$7:$BG$1843,BG753,$BW$7:$BW$1843,"&lt;="&amp;BW753),"")</f>
        <v>28362.4582169243</v>
      </c>
      <c r="BI753" s="58" t="n">
        <f aca="false">IF(BH753="",0,MAX(0,MIN(1,(IF(CF753="L1",Parameter!$H$5,IF(CF753="L23",Parameter!$H$6+Parameter!$H$7,Parameter!$H$5+Parameter!$H$6+Parameter!$H$7))-(BH753-BC753))/BC753)))</f>
        <v>1</v>
      </c>
      <c r="BJ753" s="48" t="str">
        <f aca="false">IF(AI753&lt;=0,"",IF(CF753="Aussen","Aussenlager",IF(CF753="-","Nicht im Lift",IF(AO753&gt;=1,"Lift",IF(AO753&lt;=0,"Aussenlager","teilweise")))))</f>
        <v>Lift</v>
      </c>
      <c r="BK753" s="48" t="str">
        <f aca="false">IF(AS753&lt;=0,"",IF(CF753="Aussen","Aussenlager",IF(CF753="-","Nicht im Lift",IF(AY753&gt;=1,"Lift",IF(AY753&lt;=0,"Aussenlager","teilweise")))))</f>
        <v>Lift</v>
      </c>
      <c r="BL753" s="48" t="str">
        <f aca="false">IF(BC753&lt;=0,"",IF(CF753="Aussen","Aussenlager",IF(CF753="-","Nicht im Lift",IF(BI753&gt;=1,"Lift",IF(BI753&lt;=0,"Aussenlager","teilweise")))))</f>
        <v>Lift</v>
      </c>
      <c r="BM753" s="48" t="str">
        <f aca="false">IF(A753="","",IF(BV753=1,"Neu; ","")&amp;IF(AND(BV753=0,BQ753&lt;0),"negativer Bestand (Export "&amp;BQ753&amp;"); ","")&amp;IF(J753&lt;=0,"Kein Verbrauch; ","")&amp;IF(CQ753&gt;0,"Lift "&amp;W753&amp;" lt. Liftbericht (Fach "&amp;X753&amp;" Stk); ",IF(CA753=1,"Gebinde geschätzt ("&amp;T753&amp;"); ",IF(BZ753=1,"Lose – Tablare geschätzt; ","")))&amp;IF(H753&gt;AV753,"Überbestand "&amp;ROUND(H753-AV753,0)&amp;" Stk / CHF "&amp;ROUND((H753-AV753)*G753,0)&amp;"; ","")&amp;IF(AND(CH753=1,CI753&lt;CJ753),"MAX &lt; MB+LG; ","")&amp;IF(AND(CP753&gt;0,CO753*10&gt;CP753),"zu hoch für Tablar; ","")&amp;IF(AND(BV753=0,OR(CH753=1,AA753&lt;&gt;"",U753&lt;&gt;"",V753&lt;&gt;"",AB753&lt;&gt;"")),"manuell übersteuert; ","")&amp;IF(AND(BZ753=0,R753=0),"Gebinde unbekannt / Stellmass fehlt; ","")&amp;IF(AND(BZ753=0,N(V753)&lt;=0,N(Q753)&lt;=0),"Menge pro Gebinde fehlt (Ist = 1 Gebinde); ","")&amp;BU753)</f>
        <v>negativer Bestand (Export -1); Kein Verbrauch; Überbestand 19 Stk / CHF 4; Überbestand</v>
      </c>
      <c r="BN753" s="48"/>
      <c r="BO753" s="48"/>
      <c r="BP753" s="55"/>
      <c r="BQ753" s="50" t="n">
        <v>-1</v>
      </c>
      <c r="BR753" s="50" t="n">
        <v>21</v>
      </c>
      <c r="BS753" s="49" t="n">
        <v>-0.2</v>
      </c>
      <c r="BT753" s="50" t="n">
        <v>0</v>
      </c>
      <c r="BU753" s="48" t="s">
        <v>401</v>
      </c>
      <c r="BV753" s="53" t="n">
        <v>0</v>
      </c>
      <c r="BW753" s="53" t="n">
        <v>753</v>
      </c>
      <c r="BX753" s="48" t="str">
        <f aca="false">IF(U753&lt;&gt;"",UPPER(TRIM(U753)),IF(CA753=1,UPPER(VLOOKUP(T753,Parameter!$I$27:$K$29,2,0)),IF(P753="","LOSE",P753)))</f>
        <v>S21</v>
      </c>
      <c r="BY753" s="50" t="n">
        <f aca="false">IF(BX753="LOSE",1,IF(N(V753)&gt;0,V753,IF(CA753=1,MAX(1,N(VLOOKUP(T753,Parameter!$I$27:$K$29,3,0)),H753,N(N753)),IF(N(Q753)&gt;0,Q753,MAX(1,H753)))))</f>
        <v>39</v>
      </c>
      <c r="BZ753" s="53" t="n">
        <f aca="false">IF(BX753="LOSE",1,0)</f>
        <v>0</v>
      </c>
      <c r="CA753" s="53" t="n">
        <f aca="false">IF(AND(U753="",OR(P753="",P753="LOSE"),T753&lt;&gt;"",N(S753)&lt;=0,ISNUMBER(MATCH(T753,Parameter!$I$27:$I$29,0))),1,0)</f>
        <v>0</v>
      </c>
      <c r="CB753" s="53" t="n">
        <f aca="false">IF(CQ753&gt;0,INDEX(Parameter!$H$5:$H$7,W753)/INDEX(Parameter!$E$5:$E$7,W753),IF(AND(BZ753=0,N(IFERROR(VLOOKUP(BX753,'Gebinde-Kategorie'!$A$5:$N$45,14,0),0))&gt;0),VLOOKUP(BX753,'Gebinde-Kategorie'!$A$5:$N$45,14,0)*10+Parameter!$M$23,Parameter!$M$24))</f>
        <v>155</v>
      </c>
      <c r="CC753" s="48" t="str">
        <f aca="false">IF(AND(Parameter!$B$19="Ja",E753&lt;&gt;"",ISNUMBER(MATCH(E753,Parameter!$I$35:$I$52,0))),VLOOKUP(E753,Parameter!$I$35:$J$52,2,0),IFERROR(VLOOKUP(D753,Parameter!$A$35:$C$64,2,0),"Nein"))</f>
        <v>2+3</v>
      </c>
      <c r="CD753" s="52" t="n">
        <f aca="false">IF(BZ753=0,0,IF(N(S753)&gt;0,S753,IFERROR(VLOOKUP(D753,Parameter!$A$35:$C$64,3,0)+0,0)))</f>
        <v>0</v>
      </c>
      <c r="CE753" s="48" t="n">
        <f aca="false">IF(AA753&lt;&gt;"",AA753,Z753)</f>
        <v>3</v>
      </c>
      <c r="CF753" s="48" t="str">
        <f aca="false">IF(OR(CE753=1,CE753=2,CE753=3),IF(Parameter!$E$27="Ja","LIFT",IF(CE753=1,"L1","L23")),IF(CE753="Aussen","Aussen","-"))</f>
        <v>LIFT</v>
      </c>
      <c r="CG753" s="59" t="n">
        <f aca="false">IF(N(AB753)&gt;0,AB753,0)</f>
        <v>0</v>
      </c>
      <c r="CH753" s="53" t="n">
        <f aca="false">IF(ISNUMBER(AE753),1,0)</f>
        <v>0</v>
      </c>
      <c r="CI753" s="50" t="n">
        <f aca="false">N(AE753)</f>
        <v>0</v>
      </c>
      <c r="CJ753" s="50" t="n">
        <f aca="false">N(M753)+N(N753)</f>
        <v>1</v>
      </c>
      <c r="CK753" s="50" t="n">
        <f aca="false">N(M753)</f>
        <v>0</v>
      </c>
      <c r="CL753" s="50" t="n">
        <f aca="false">N(N753)</f>
        <v>1</v>
      </c>
      <c r="CM753" s="50" t="n">
        <f aca="false">ROUNDUP(H753/BY753,0)</f>
        <v>1</v>
      </c>
      <c r="CN753" s="50" t="n">
        <f aca="false">ROUNDUP(CI753/BY753,0)</f>
        <v>0</v>
      </c>
      <c r="CO753" s="53" t="n">
        <f aca="false">IF(BZ753=1,0,IFERROR(VLOOKUP(BX753,'Gebinde-Kategorie'!$A$5:$N$45,5,0)+0,0))</f>
        <v>8</v>
      </c>
      <c r="CP753" s="53" t="n">
        <f aca="false">IFERROR(IF(OR(CE753=1,CE753=2,CE753=3),N(INDEX(Parameter!$I$5:$I$7,CE753)),0),0)</f>
        <v>0</v>
      </c>
      <c r="CQ753" s="52" t="n">
        <f aca="false">IF(AND(Parameter!$B$21="Ja",ISNUMBER(W753),N(X753)&gt;0),IFERROR(N(INDEX(Parameter!$L$5:$L$7,W753))*INDEX(Parameter!$E$5:$E$7,W753)*X753/SUMIFS($X$7:$X$1843,$W$7:$W$1843,W753),0),0)</f>
        <v>0</v>
      </c>
    </row>
    <row r="754" customFormat="false" ht="15" hidden="false" customHeight="false" outlineLevel="0" collapsed="false">
      <c r="A754" s="48" t="s">
        <v>1501</v>
      </c>
      <c r="B754" s="48" t="s">
        <v>1275</v>
      </c>
      <c r="C754" s="48" t="s">
        <v>173</v>
      </c>
      <c r="D754" s="48" t="s">
        <v>193</v>
      </c>
      <c r="E754" s="48"/>
      <c r="F754" s="48" t="s">
        <v>227</v>
      </c>
      <c r="G754" s="49" t="n">
        <v>0.04</v>
      </c>
      <c r="H754" s="50" t="n">
        <f aca="false">MAX(0,IF(AND(Parameter!$B$21="Ja",ISNUMBER(Y754)),Y754,IF(Parameter!$B$20="Jahresanfang 2025 + Export",BR754+BQ754,BQ754)))</f>
        <v>349</v>
      </c>
      <c r="I754" s="50" t="n">
        <f aca="false">H754*G754</f>
        <v>13.96</v>
      </c>
      <c r="J754" s="50" t="n">
        <f aca="false">BT754*Parameter!$B$18</f>
        <v>0</v>
      </c>
      <c r="K754" s="51" t="n">
        <v>352</v>
      </c>
      <c r="L754" s="52" t="n">
        <v>0</v>
      </c>
      <c r="M754" s="50" t="n">
        <v>0</v>
      </c>
      <c r="N754" s="50" t="n">
        <v>1</v>
      </c>
      <c r="O754" s="53" t="n">
        <v>21</v>
      </c>
      <c r="P754" s="48" t="s">
        <v>177</v>
      </c>
      <c r="Q754" s="50"/>
      <c r="R754" s="53" t="n">
        <f aca="false">IF(BZ754=1,0,IFERROR(VLOOKUP(BX754,'Gebinde-Kategorie'!$A$5:$N$45,13,0)+0,0))</f>
        <v>26</v>
      </c>
      <c r="S754" s="54"/>
      <c r="T754" s="55" t="s">
        <v>284</v>
      </c>
      <c r="U754" s="55"/>
      <c r="V754" s="55"/>
      <c r="W754" s="48"/>
      <c r="X754" s="50"/>
      <c r="Y754" s="50"/>
      <c r="Z754" s="48" t="n">
        <f aca="false">IF(A754="","",IF(AND(Parameter!$B$21="Ja",ISNUMBER(W754)),W754,IF(CC754="2+3",IF(ISNUMBER(SEARCH("grosser Artikel",BU754)),2,IFERROR(VLOOKUP(BX754,Parameter!$F$35:$G$64,2,0),2)),IF(OR(CC754="Nein",CC754=""),"-",CC754))))</f>
        <v>3</v>
      </c>
      <c r="AA754" s="55"/>
      <c r="AB754" s="56"/>
      <c r="AC754" s="50" t="n">
        <f aca="false">AV754</f>
        <v>1</v>
      </c>
      <c r="AD754" s="50" t="n">
        <f aca="false">MAX(AV754,H754)</f>
        <v>349</v>
      </c>
      <c r="AE754" s="57"/>
      <c r="AF754" s="50" t="n">
        <f aca="false">IF(LEFT(Cockpit!$C$5,1)="A",H754,IF(Parameter!$E$30="MAX-Bestand",IF(CH754=1,CI754,IF(LEFT(Cockpit!$C$5,1)="B",AL754,MAX(AL754,H754))),ROUNDUP(AJ754,0)))</f>
        <v>349</v>
      </c>
      <c r="AG754" s="50" t="n">
        <f aca="false">IF(BZ754=1,0,ROUNDUP(AF754/BY754,0))</f>
        <v>1</v>
      </c>
      <c r="AH754" s="52" t="n">
        <f aca="false">IF(CQ754&gt;0,CQ754*MAX(1,AF754/X754),IF(BZ754=1,IF(AF754&lt;=0,0,CD754*MAX(1,IF(H754&gt;0,AF754/H754,1))),IF(R754&gt;0,AG754/R754,0))/MAX(0.1,N(Parameter!$M$21)))</f>
        <v>0.0384615384615385</v>
      </c>
      <c r="AI754" s="50" t="n">
        <f aca="false">AH754*CB754</f>
        <v>5.96153846153846</v>
      </c>
      <c r="AJ754" s="51" t="n">
        <f aca="false">IF(LEFT(Cockpit!$C$5,1)="A",H754,IF(CH754=1,(CK754+CI754)/2,IF(LEFT(Cockpit!$C$5,1)="B",(CK754+AL754)/2,MAX((CK754+AL754)/2,H754))))</f>
        <v>349</v>
      </c>
      <c r="AK754" s="50" t="n">
        <f aca="false">AJ754*G754</f>
        <v>13.96</v>
      </c>
      <c r="AL754" s="50" t="n">
        <f aca="false">ROUNDUP(CK754+MAX(CL754,2*(J754/IF(CG754&gt;0,CG754,MAX(0.1,N(Cockpit!$C$6)))-CK754)),0)</f>
        <v>1</v>
      </c>
      <c r="AM754" s="51" t="n">
        <f aca="false">IF(AI754&gt;0,J754/AI754,-1)</f>
        <v>0</v>
      </c>
      <c r="AN754" s="51" t="n">
        <f aca="false">IF(AND(OR(CF754="L1",CF754="L23",CF754="LIFT"),AI754&gt;0),SUMIFS($AI$7:$AI$1843,$CF$7:$CF$1843,CF754,$AM$7:$AM$1843,"&gt;"&amp;AM754)+SUMIFS($AI$7:$AI$1843,$CF$7:$CF$1843,CF754,$AM$7:$AM$1843,AM754,$BW$7:$BW$1843,"&lt;="&amp;BW754),"")</f>
        <v>28713.8051132013</v>
      </c>
      <c r="AO754" s="58" t="n">
        <f aca="false">IF(AN754="",0,MAX(0,MIN(1,(IF(CF754="L1",Parameter!$H$5,IF(CF754="L23",Parameter!$H$6+Parameter!$H$7,Parameter!$H$5+Parameter!$H$6+Parameter!$H$7))-(AN754-AI754))/AI754)))</f>
        <v>1</v>
      </c>
      <c r="AP754" s="50" t="n">
        <f aca="false">IF(LEFT(Cockpit!$I$5,1)="A",H754,IF(Parameter!$E$30="MAX-Bestand",IF(CH754=1,CI754,IF(LEFT(Cockpit!$I$5,1)="B",AV754,MAX(AV754,H754))),ROUNDUP(AT754,0)))</f>
        <v>349</v>
      </c>
      <c r="AQ754" s="50" t="n">
        <f aca="false">IF(BZ754=1,0,ROUNDUP(AP754/BY754,0))</f>
        <v>1</v>
      </c>
      <c r="AR754" s="52" t="n">
        <f aca="false">IF(CQ754&gt;0,CQ754*MAX(1,AP754/X754),IF(BZ754=1,IF(AP754&lt;=0,0,CD754*MAX(1,IF(H754&gt;0,AP754/H754,1))),IF(R754&gt;0,AQ754/R754,0))/MAX(0.1,N(Parameter!$M$21)))</f>
        <v>0.0384615384615385</v>
      </c>
      <c r="AS754" s="50" t="n">
        <f aca="false">AR754*CB754</f>
        <v>5.96153846153846</v>
      </c>
      <c r="AT754" s="51" t="n">
        <f aca="false">IF(LEFT(Cockpit!$I$5,1)="A",H754,IF(CH754=1,(CK754+CI754)/2,IF(LEFT(Cockpit!$I$5,1)="B",(CK754+AV754)/2,MAX((CK754+AV754)/2,H754))))</f>
        <v>349</v>
      </c>
      <c r="AU754" s="50" t="n">
        <f aca="false">AT754*G754</f>
        <v>13.96</v>
      </c>
      <c r="AV754" s="50" t="n">
        <f aca="false">ROUNDUP(CK754+MAX(CL754,2*(J754/IF(CG754&gt;0,CG754,MAX(0.1,N(Cockpit!$I$6)))-CK754)),0)</f>
        <v>1</v>
      </c>
      <c r="AW754" s="51" t="n">
        <f aca="false">IF(AS754&gt;0,J754/AS754,-1)</f>
        <v>0</v>
      </c>
      <c r="AX754" s="51" t="n">
        <f aca="false">IF(AND(OR(CF754="L1",CF754="L23",CF754="LIFT"),AS754&gt;0),SUMIFS($AS$7:$AS$1843,$CF$7:$CF$1843,CF754,$AW$7:$AW$1843,"&gt;"&amp;AW754)+SUMIFS($AS$7:$AS$1843,$CF$7:$CF$1843,CF754,$AW$7:$AW$1843,AW754,$BW$7:$BW$1843,"&lt;="&amp;BW754),"")</f>
        <v>34318.5883699634</v>
      </c>
      <c r="AY754" s="58" t="n">
        <f aca="false">IF(AX754="",0,MAX(0,MIN(1,(IF(CF754="L1",Parameter!$H$5,IF(CF754="L23",Parameter!$H$6+Parameter!$H$7,Parameter!$H$5+Parameter!$H$6+Parameter!$H$7))-(AX754-AS754))/AS754)))</f>
        <v>1</v>
      </c>
      <c r="AZ754" s="50" t="n">
        <f aca="false">IF(LEFT(Cockpit!$O$5,1)="A",H754,IF(Parameter!$E$30="MAX-Bestand",IF(CH754=1,CI754,IF(LEFT(Cockpit!$O$5,1)="B",BF754,MAX(BF754,H754))),ROUNDUP(BD754,0)))</f>
        <v>1</v>
      </c>
      <c r="BA754" s="50" t="n">
        <f aca="false">IF(BZ754=1,0,ROUNDUP(AZ754/BY754,0))</f>
        <v>1</v>
      </c>
      <c r="BB754" s="52" t="n">
        <f aca="false">IF(CQ754&gt;0,CQ754*MAX(1,AZ754/X754),IF(BZ754=1,IF(AZ754&lt;=0,0,CD754*MAX(1,IF(H754&gt;0,AZ754/H754,1))),IF(R754&gt;0,BA754/R754,0))/MAX(0.1,N(Parameter!$M$21)))</f>
        <v>0.0384615384615385</v>
      </c>
      <c r="BC754" s="50" t="n">
        <f aca="false">BB754*CB754</f>
        <v>5.96153846153846</v>
      </c>
      <c r="BD754" s="51" t="n">
        <f aca="false">IF(LEFT(Cockpit!$O$5,1)="A",H754,IF(CH754=1,(CK754+CI754)/2,IF(LEFT(Cockpit!$O$5,1)="B",(CK754+BF754)/2,MAX((CK754+BF754)/2,H754))))</f>
        <v>0.5</v>
      </c>
      <c r="BE754" s="50" t="n">
        <f aca="false">BD754*G754</f>
        <v>0.02</v>
      </c>
      <c r="BF754" s="50" t="n">
        <f aca="false">ROUNDUP(CK754+MAX(CL754,2*(J754/IF(CG754&gt;0,CG754,MAX(0.1,N(Cockpit!$O$6)))-CK754)),0)</f>
        <v>1</v>
      </c>
      <c r="BG754" s="51" t="n">
        <f aca="false">IF(BC754&gt;0,J754/BC754,-1)</f>
        <v>0</v>
      </c>
      <c r="BH754" s="51" t="n">
        <f aca="false">IF(AND(OR(CF754="L1",CF754="L23",CF754="LIFT"),BC754&gt;0),SUMIFS($BC$7:$BC$1843,$CF$7:$CF$1843,CF754,$BG$7:$BG$1843,"&gt;"&amp;BG754)+SUMIFS($BC$7:$BC$1843,$CF$7:$CF$1843,CF754,$BG$7:$BG$1843,BG754,$BW$7:$BW$1843,"&lt;="&amp;BW754),"")</f>
        <v>28368.4197553859</v>
      </c>
      <c r="BI754" s="58" t="n">
        <f aca="false">IF(BH754="",0,MAX(0,MIN(1,(IF(CF754="L1",Parameter!$H$5,IF(CF754="L23",Parameter!$H$6+Parameter!$H$7,Parameter!$H$5+Parameter!$H$6+Parameter!$H$7))-(BH754-BC754))/BC754)))</f>
        <v>1</v>
      </c>
      <c r="BJ754" s="48" t="str">
        <f aca="false">IF(AI754&lt;=0,"",IF(CF754="Aussen","Aussenlager",IF(CF754="-","Nicht im Lift",IF(AO754&gt;=1,"Lift",IF(AO754&lt;=0,"Aussenlager","teilweise")))))</f>
        <v>Lift</v>
      </c>
      <c r="BK754" s="48" t="str">
        <f aca="false">IF(AS754&lt;=0,"",IF(CF754="Aussen","Aussenlager",IF(CF754="-","Nicht im Lift",IF(AY754&gt;=1,"Lift",IF(AY754&lt;=0,"Aussenlager","teilweise")))))</f>
        <v>Lift</v>
      </c>
      <c r="BL754" s="48" t="str">
        <f aca="false">IF(BC754&lt;=0,"",IF(CF754="Aussen","Aussenlager",IF(CF754="-","Nicht im Lift",IF(BI754&gt;=1,"Lift",IF(BI754&lt;=0,"Aussenlager","teilweise")))))</f>
        <v>Lift</v>
      </c>
      <c r="BM754" s="48" t="str">
        <f aca="false">IF(A754="","",IF(BV754=1,"Neu; ","")&amp;IF(AND(BV754=0,BQ754&lt;0),"negativer Bestand (Export "&amp;BQ754&amp;"); ","")&amp;IF(J754&lt;=0,"Kein Verbrauch; ","")&amp;IF(CQ754&gt;0,"Lift "&amp;W754&amp;" lt. Liftbericht (Fach "&amp;X754&amp;" Stk); ",IF(CA754=1,"Gebinde geschätzt ("&amp;T754&amp;"); ",IF(BZ754=1,"Lose – Tablare geschätzt; ","")))&amp;IF(H754&gt;AV754,"Überbestand "&amp;ROUND(H754-AV754,0)&amp;" Stk / CHF "&amp;ROUND((H754-AV754)*G754,0)&amp;"; ","")&amp;IF(AND(CH754=1,CI754&lt;CJ754),"MAX &lt; MB+LG; ","")&amp;IF(AND(CP754&gt;0,CO754*10&gt;CP754),"zu hoch für Tablar; ","")&amp;IF(AND(BV754=0,OR(CH754=1,AA754&lt;&gt;"",U754&lt;&gt;"",V754&lt;&gt;"",AB754&lt;&gt;"")),"manuell übersteuert; ","")&amp;IF(AND(BZ754=0,R754=0),"Gebinde unbekannt / Stellmass fehlt; ","")&amp;IF(AND(BZ754=0,N(V754)&lt;=0,N(Q754)&lt;=0),"Menge pro Gebinde fehlt (Ist = 1 Gebinde); ","")&amp;BU754)</f>
        <v>negativer Bestand (Export -6); Kein Verbrauch; Gebinde geschätzt (Klein); Überbestand 348 Stk / CHF 14; Menge pro Gebinde fehlt (Ist = 1 Gebinde); </v>
      </c>
      <c r="BN754" s="48"/>
      <c r="BO754" s="48"/>
      <c r="BP754" s="55"/>
      <c r="BQ754" s="50" t="n">
        <v>-6</v>
      </c>
      <c r="BR754" s="50" t="n">
        <v>355</v>
      </c>
      <c r="BS754" s="49" t="n">
        <v>-0.24</v>
      </c>
      <c r="BT754" s="50" t="n">
        <v>0</v>
      </c>
      <c r="BU754" s="48"/>
      <c r="BV754" s="53" t="n">
        <v>0</v>
      </c>
      <c r="BW754" s="53" t="n">
        <v>754</v>
      </c>
      <c r="BX754" s="48" t="str">
        <f aca="false">IF(U754&lt;&gt;"",UPPER(TRIM(U754)),IF(CA754=1,UPPER(VLOOKUP(T754,Parameter!$I$27:$K$29,2,0)),IF(P754="","LOSE",P754)))</f>
        <v>S51</v>
      </c>
      <c r="BY754" s="50" t="n">
        <f aca="false">IF(BX754="LOSE",1,IF(N(V754)&gt;0,V754,IF(CA754=1,MAX(1,N(VLOOKUP(T754,Parameter!$I$27:$K$29,3,0)),H754,N(N754)),IF(N(Q754)&gt;0,Q754,MAX(1,H754)))))</f>
        <v>349</v>
      </c>
      <c r="BZ754" s="53" t="n">
        <f aca="false">IF(BX754="LOSE",1,0)</f>
        <v>0</v>
      </c>
      <c r="CA754" s="53" t="n">
        <f aca="false">IF(AND(U754="",OR(P754="",P754="LOSE"),T754&lt;&gt;"",N(S754)&lt;=0,ISNUMBER(MATCH(T754,Parameter!$I$27:$I$29,0))),1,0)</f>
        <v>1</v>
      </c>
      <c r="CB754" s="53" t="n">
        <f aca="false">IF(CQ754&gt;0,INDEX(Parameter!$H$5:$H$7,W754)/INDEX(Parameter!$E$5:$E$7,W754),IF(AND(BZ754=0,N(IFERROR(VLOOKUP(BX754,'Gebinde-Kategorie'!$A$5:$N$45,14,0),0))&gt;0),VLOOKUP(BX754,'Gebinde-Kategorie'!$A$5:$N$45,14,0)*10+Parameter!$M$23,Parameter!$M$24))</f>
        <v>155</v>
      </c>
      <c r="CC754" s="48" t="str">
        <f aca="false">IF(AND(Parameter!$B$19="Ja",E754&lt;&gt;"",ISNUMBER(MATCH(E754,Parameter!$I$35:$I$52,0))),VLOOKUP(E754,Parameter!$I$35:$J$52,2,0),IFERROR(VLOOKUP(D754,Parameter!$A$35:$C$64,2,0),"Nein"))</f>
        <v>2+3</v>
      </c>
      <c r="CD754" s="52" t="n">
        <f aca="false">IF(BZ754=0,0,IF(N(S754)&gt;0,S754,IFERROR(VLOOKUP(D754,Parameter!$A$35:$C$64,3,0)+0,0)))</f>
        <v>0</v>
      </c>
      <c r="CE754" s="48" t="n">
        <f aca="false">IF(AA754&lt;&gt;"",AA754,Z754)</f>
        <v>3</v>
      </c>
      <c r="CF754" s="48" t="str">
        <f aca="false">IF(OR(CE754=1,CE754=2,CE754=3),IF(Parameter!$E$27="Ja","LIFT",IF(CE754=1,"L1","L23")),IF(CE754="Aussen","Aussen","-"))</f>
        <v>LIFT</v>
      </c>
      <c r="CG754" s="59" t="n">
        <f aca="false">IF(N(AB754)&gt;0,AB754,0)</f>
        <v>0</v>
      </c>
      <c r="CH754" s="53" t="n">
        <f aca="false">IF(ISNUMBER(AE754),1,0)</f>
        <v>0</v>
      </c>
      <c r="CI754" s="50" t="n">
        <f aca="false">N(AE754)</f>
        <v>0</v>
      </c>
      <c r="CJ754" s="50" t="n">
        <f aca="false">N(M754)+N(N754)</f>
        <v>1</v>
      </c>
      <c r="CK754" s="50" t="n">
        <f aca="false">N(M754)</f>
        <v>0</v>
      </c>
      <c r="CL754" s="50" t="n">
        <f aca="false">N(N754)</f>
        <v>1</v>
      </c>
      <c r="CM754" s="50" t="n">
        <f aca="false">ROUNDUP(H754/BY754,0)</f>
        <v>1</v>
      </c>
      <c r="CN754" s="50" t="n">
        <f aca="false">ROUNDUP(CI754/BY754,0)</f>
        <v>0</v>
      </c>
      <c r="CO754" s="53" t="n">
        <f aca="false">IF(BZ754=1,0,IFERROR(VLOOKUP(BX754,'Gebinde-Kategorie'!$A$5:$N$45,5,0)+0,0))</f>
        <v>11</v>
      </c>
      <c r="CP754" s="53" t="n">
        <f aca="false">IFERROR(IF(OR(CE754=1,CE754=2,CE754=3),N(INDEX(Parameter!$I$5:$I$7,CE754)),0),0)</f>
        <v>0</v>
      </c>
      <c r="CQ754" s="52" t="n">
        <f aca="false">IF(AND(Parameter!$B$21="Ja",ISNUMBER(W754),N(X754)&gt;0),IFERROR(N(INDEX(Parameter!$L$5:$L$7,W754))*INDEX(Parameter!$E$5:$E$7,W754)*X754/SUMIFS($X$7:$X$1843,$W$7:$W$1843,W754),0),0)</f>
        <v>0</v>
      </c>
    </row>
    <row r="755" customFormat="false" ht="15" hidden="false" customHeight="false" outlineLevel="0" collapsed="false">
      <c r="A755" s="48" t="s">
        <v>1502</v>
      </c>
      <c r="B755" s="48" t="s">
        <v>412</v>
      </c>
      <c r="C755" s="48" t="s">
        <v>465</v>
      </c>
      <c r="D755" s="48" t="s">
        <v>193</v>
      </c>
      <c r="E755" s="48"/>
      <c r="F755" s="48" t="s">
        <v>227</v>
      </c>
      <c r="G755" s="49" t="n">
        <v>0.06</v>
      </c>
      <c r="H755" s="50" t="n">
        <f aca="false">MAX(0,IF(AND(Parameter!$B$21="Ja",ISNUMBER(Y755)),Y755,IF(Parameter!$B$20="Jahresanfang 2025 + Export",BR755+BQ755,BQ755)))</f>
        <v>5</v>
      </c>
      <c r="I755" s="50" t="n">
        <f aca="false">H755*G755</f>
        <v>0.3</v>
      </c>
      <c r="J755" s="50" t="n">
        <f aca="false">BT755*Parameter!$B$18</f>
        <v>0</v>
      </c>
      <c r="K755" s="51" t="n">
        <v>7</v>
      </c>
      <c r="L755" s="52" t="n">
        <v>0</v>
      </c>
      <c r="M755" s="50" t="n">
        <v>0</v>
      </c>
      <c r="N755" s="50" t="n">
        <v>1</v>
      </c>
      <c r="O755" s="53" t="n">
        <v>14</v>
      </c>
      <c r="P755" s="48" t="s">
        <v>177</v>
      </c>
      <c r="Q755" s="50"/>
      <c r="R755" s="53" t="n">
        <f aca="false">IF(BZ755=1,0,IFERROR(VLOOKUP(BX755,'Gebinde-Kategorie'!$A$5:$N$45,13,0)+0,0))</f>
        <v>26</v>
      </c>
      <c r="S755" s="54"/>
      <c r="T755" s="55" t="s">
        <v>284</v>
      </c>
      <c r="U755" s="55"/>
      <c r="V755" s="55"/>
      <c r="W755" s="48"/>
      <c r="X755" s="50"/>
      <c r="Y755" s="50"/>
      <c r="Z755" s="48" t="n">
        <f aca="false">IF(A755="","",IF(AND(Parameter!$B$21="Ja",ISNUMBER(W755)),W755,IF(CC755="2+3",IF(ISNUMBER(SEARCH("grosser Artikel",BU755)),2,IFERROR(VLOOKUP(BX755,Parameter!$F$35:$G$64,2,0),2)),IF(OR(CC755="Nein",CC755=""),"-",CC755))))</f>
        <v>3</v>
      </c>
      <c r="AA755" s="55"/>
      <c r="AB755" s="56"/>
      <c r="AC755" s="50" t="n">
        <f aca="false">AV755</f>
        <v>1</v>
      </c>
      <c r="AD755" s="50" t="n">
        <f aca="false">MAX(AV755,H755)</f>
        <v>5</v>
      </c>
      <c r="AE755" s="57"/>
      <c r="AF755" s="50" t="n">
        <f aca="false">IF(LEFT(Cockpit!$C$5,1)="A",H755,IF(Parameter!$E$30="MAX-Bestand",IF(CH755=1,CI755,IF(LEFT(Cockpit!$C$5,1)="B",AL755,MAX(AL755,H755))),ROUNDUP(AJ755,0)))</f>
        <v>5</v>
      </c>
      <c r="AG755" s="50" t="n">
        <f aca="false">IF(BZ755=1,0,ROUNDUP(AF755/BY755,0))</f>
        <v>1</v>
      </c>
      <c r="AH755" s="52" t="n">
        <f aca="false">IF(CQ755&gt;0,CQ755*MAX(1,AF755/X755),IF(BZ755=1,IF(AF755&lt;=0,0,CD755*MAX(1,IF(H755&gt;0,AF755/H755,1))),IF(R755&gt;0,AG755/R755,0))/MAX(0.1,N(Parameter!$M$21)))</f>
        <v>0.0384615384615385</v>
      </c>
      <c r="AI755" s="50" t="n">
        <f aca="false">AH755*CB755</f>
        <v>5.96153846153846</v>
      </c>
      <c r="AJ755" s="51" t="n">
        <f aca="false">IF(LEFT(Cockpit!$C$5,1)="A",H755,IF(CH755=1,(CK755+CI755)/2,IF(LEFT(Cockpit!$C$5,1)="B",(CK755+AL755)/2,MAX((CK755+AL755)/2,H755))))</f>
        <v>5</v>
      </c>
      <c r="AK755" s="50" t="n">
        <f aca="false">AJ755*G755</f>
        <v>0.3</v>
      </c>
      <c r="AL755" s="50" t="n">
        <f aca="false">ROUNDUP(CK755+MAX(CL755,2*(J755/IF(CG755&gt;0,CG755,MAX(0.1,N(Cockpit!$C$6)))-CK755)),0)</f>
        <v>1</v>
      </c>
      <c r="AM755" s="51" t="n">
        <f aca="false">IF(AI755&gt;0,J755/AI755,-1)</f>
        <v>0</v>
      </c>
      <c r="AN755" s="51" t="n">
        <f aca="false">IF(AND(OR(CF755="L1",CF755="L23",CF755="LIFT"),AI755&gt;0),SUMIFS($AI$7:$AI$1843,$CF$7:$CF$1843,CF755,$AM$7:$AM$1843,"&gt;"&amp;AM755)+SUMIFS($AI$7:$AI$1843,$CF$7:$CF$1843,CF755,$AM$7:$AM$1843,AM755,$BW$7:$BW$1843,"&lt;="&amp;BW755),"")</f>
        <v>28719.7666516628</v>
      </c>
      <c r="AO755" s="58" t="n">
        <f aca="false">IF(AN755="",0,MAX(0,MIN(1,(IF(CF755="L1",Parameter!$H$5,IF(CF755="L23",Parameter!$H$6+Parameter!$H$7,Parameter!$H$5+Parameter!$H$6+Parameter!$H$7))-(AN755-AI755))/AI755)))</f>
        <v>1</v>
      </c>
      <c r="AP755" s="50" t="n">
        <f aca="false">IF(LEFT(Cockpit!$I$5,1)="A",H755,IF(Parameter!$E$30="MAX-Bestand",IF(CH755=1,CI755,IF(LEFT(Cockpit!$I$5,1)="B",AV755,MAX(AV755,H755))),ROUNDUP(AT755,0)))</f>
        <v>5</v>
      </c>
      <c r="AQ755" s="50" t="n">
        <f aca="false">IF(BZ755=1,0,ROUNDUP(AP755/BY755,0))</f>
        <v>1</v>
      </c>
      <c r="AR755" s="52" t="n">
        <f aca="false">IF(CQ755&gt;0,CQ755*MAX(1,AP755/X755),IF(BZ755=1,IF(AP755&lt;=0,0,CD755*MAX(1,IF(H755&gt;0,AP755/H755,1))),IF(R755&gt;0,AQ755/R755,0))/MAX(0.1,N(Parameter!$M$21)))</f>
        <v>0.0384615384615385</v>
      </c>
      <c r="AS755" s="50" t="n">
        <f aca="false">AR755*CB755</f>
        <v>5.96153846153846</v>
      </c>
      <c r="AT755" s="51" t="n">
        <f aca="false">IF(LEFT(Cockpit!$I$5,1)="A",H755,IF(CH755=1,(CK755+CI755)/2,IF(LEFT(Cockpit!$I$5,1)="B",(CK755+AV755)/2,MAX((CK755+AV755)/2,H755))))</f>
        <v>5</v>
      </c>
      <c r="AU755" s="50" t="n">
        <f aca="false">AT755*G755</f>
        <v>0.3</v>
      </c>
      <c r="AV755" s="50" t="n">
        <f aca="false">ROUNDUP(CK755+MAX(CL755,2*(J755/IF(CG755&gt;0,CG755,MAX(0.1,N(Cockpit!$I$6)))-CK755)),0)</f>
        <v>1</v>
      </c>
      <c r="AW755" s="51" t="n">
        <f aca="false">IF(AS755&gt;0,J755/AS755,-1)</f>
        <v>0</v>
      </c>
      <c r="AX755" s="51" t="n">
        <f aca="false">IF(AND(OR(CF755="L1",CF755="L23",CF755="LIFT"),AS755&gt;0),SUMIFS($AS$7:$AS$1843,$CF$7:$CF$1843,CF755,$AW$7:$AW$1843,"&gt;"&amp;AW755)+SUMIFS($AS$7:$AS$1843,$CF$7:$CF$1843,CF755,$AW$7:$AW$1843,AW755,$BW$7:$BW$1843,"&lt;="&amp;BW755),"")</f>
        <v>34324.5499084249</v>
      </c>
      <c r="AY755" s="58" t="n">
        <f aca="false">IF(AX755="",0,MAX(0,MIN(1,(IF(CF755="L1",Parameter!$H$5,IF(CF755="L23",Parameter!$H$6+Parameter!$H$7,Parameter!$H$5+Parameter!$H$6+Parameter!$H$7))-(AX755-AS755))/AS755)))</f>
        <v>1</v>
      </c>
      <c r="AZ755" s="50" t="n">
        <f aca="false">IF(LEFT(Cockpit!$O$5,1)="A",H755,IF(Parameter!$E$30="MAX-Bestand",IF(CH755=1,CI755,IF(LEFT(Cockpit!$O$5,1)="B",BF755,MAX(BF755,H755))),ROUNDUP(BD755,0)))</f>
        <v>1</v>
      </c>
      <c r="BA755" s="50" t="n">
        <f aca="false">IF(BZ755=1,0,ROUNDUP(AZ755/BY755,0))</f>
        <v>1</v>
      </c>
      <c r="BB755" s="52" t="n">
        <f aca="false">IF(CQ755&gt;0,CQ755*MAX(1,AZ755/X755),IF(BZ755=1,IF(AZ755&lt;=0,0,CD755*MAX(1,IF(H755&gt;0,AZ755/H755,1))),IF(R755&gt;0,BA755/R755,0))/MAX(0.1,N(Parameter!$M$21)))</f>
        <v>0.0384615384615385</v>
      </c>
      <c r="BC755" s="50" t="n">
        <f aca="false">BB755*CB755</f>
        <v>5.96153846153846</v>
      </c>
      <c r="BD755" s="51" t="n">
        <f aca="false">IF(LEFT(Cockpit!$O$5,1)="A",H755,IF(CH755=1,(CK755+CI755)/2,IF(LEFT(Cockpit!$O$5,1)="B",(CK755+BF755)/2,MAX((CK755+BF755)/2,H755))))</f>
        <v>0.5</v>
      </c>
      <c r="BE755" s="50" t="n">
        <f aca="false">BD755*G755</f>
        <v>0.03</v>
      </c>
      <c r="BF755" s="50" t="n">
        <f aca="false">ROUNDUP(CK755+MAX(CL755,2*(J755/IF(CG755&gt;0,CG755,MAX(0.1,N(Cockpit!$O$6)))-CK755)),0)</f>
        <v>1</v>
      </c>
      <c r="BG755" s="51" t="n">
        <f aca="false">IF(BC755&gt;0,J755/BC755,-1)</f>
        <v>0</v>
      </c>
      <c r="BH755" s="51" t="n">
        <f aca="false">IF(AND(OR(CF755="L1",CF755="L23",CF755="LIFT"),BC755&gt;0),SUMIFS($BC$7:$BC$1843,$CF$7:$CF$1843,CF755,$BG$7:$BG$1843,"&gt;"&amp;BG755)+SUMIFS($BC$7:$BC$1843,$CF$7:$CF$1843,CF755,$BG$7:$BG$1843,BG755,$BW$7:$BW$1843,"&lt;="&amp;BW755),"")</f>
        <v>28374.3812938474</v>
      </c>
      <c r="BI755" s="58" t="n">
        <f aca="false">IF(BH755="",0,MAX(0,MIN(1,(IF(CF755="L1",Parameter!$H$5,IF(CF755="L23",Parameter!$H$6+Parameter!$H$7,Parameter!$H$5+Parameter!$H$6+Parameter!$H$7))-(BH755-BC755))/BC755)))</f>
        <v>1</v>
      </c>
      <c r="BJ755" s="48" t="str">
        <f aca="false">IF(AI755&lt;=0,"",IF(CF755="Aussen","Aussenlager",IF(CF755="-","Nicht im Lift",IF(AO755&gt;=1,"Lift",IF(AO755&lt;=0,"Aussenlager","teilweise")))))</f>
        <v>Lift</v>
      </c>
      <c r="BK755" s="48" t="str">
        <f aca="false">IF(AS755&lt;=0,"",IF(CF755="Aussen","Aussenlager",IF(CF755="-","Nicht im Lift",IF(AY755&gt;=1,"Lift",IF(AY755&lt;=0,"Aussenlager","teilweise")))))</f>
        <v>Lift</v>
      </c>
      <c r="BL755" s="48" t="str">
        <f aca="false">IF(BC755&lt;=0,"",IF(CF755="Aussen","Aussenlager",IF(CF755="-","Nicht im Lift",IF(BI755&gt;=1,"Lift",IF(BI755&lt;=0,"Aussenlager","teilweise")))))</f>
        <v>Lift</v>
      </c>
      <c r="BM755" s="48" t="str">
        <f aca="false">IF(A755="","",IF(BV755=1,"Neu; ","")&amp;IF(AND(BV755=0,BQ755&lt;0),"negativer Bestand (Export "&amp;BQ755&amp;"); ","")&amp;IF(J755&lt;=0,"Kein Verbrauch; ","")&amp;IF(CQ755&gt;0,"Lift "&amp;W755&amp;" lt. Liftbericht (Fach "&amp;X755&amp;" Stk); ",IF(CA755=1,"Gebinde geschätzt ("&amp;T755&amp;"); ",IF(BZ755=1,"Lose – Tablare geschätzt; ","")))&amp;IF(H755&gt;AV755,"Überbestand "&amp;ROUND(H755-AV755,0)&amp;" Stk / CHF "&amp;ROUND((H755-AV755)*G755,0)&amp;"; ","")&amp;IF(AND(CH755=1,CI755&lt;CJ755),"MAX &lt; MB+LG; ","")&amp;IF(AND(CP755&gt;0,CO755*10&gt;CP755),"zu hoch für Tablar; ","")&amp;IF(AND(BV755=0,OR(CH755=1,AA755&lt;&gt;"",U755&lt;&gt;"",V755&lt;&gt;"",AB755&lt;&gt;"")),"manuell übersteuert; ","")&amp;IF(AND(BZ755=0,R755=0),"Gebinde unbekannt / Stellmass fehlt; ","")&amp;IF(AND(BZ755=0,N(V755)&lt;=0,N(Q755)&lt;=0),"Menge pro Gebinde fehlt (Ist = 1 Gebinde); ","")&amp;BU755)</f>
        <v>negativer Bestand (Export -4); Kein Verbrauch; Gebinde geschätzt (Klein); Überbestand 4 Stk / CHF 0; Menge pro Gebinde fehlt (Ist = 1 Gebinde); </v>
      </c>
      <c r="BN755" s="48"/>
      <c r="BO755" s="48"/>
      <c r="BP755" s="55"/>
      <c r="BQ755" s="50" t="n">
        <v>-4</v>
      </c>
      <c r="BR755" s="50" t="n">
        <v>9</v>
      </c>
      <c r="BS755" s="49" t="n">
        <v>-0.24</v>
      </c>
      <c r="BT755" s="50" t="n">
        <v>0</v>
      </c>
      <c r="BU755" s="48"/>
      <c r="BV755" s="53" t="n">
        <v>0</v>
      </c>
      <c r="BW755" s="53" t="n">
        <v>755</v>
      </c>
      <c r="BX755" s="48" t="str">
        <f aca="false">IF(U755&lt;&gt;"",UPPER(TRIM(U755)),IF(CA755=1,UPPER(VLOOKUP(T755,Parameter!$I$27:$K$29,2,0)),IF(P755="","LOSE",P755)))</f>
        <v>S51</v>
      </c>
      <c r="BY755" s="50" t="n">
        <f aca="false">IF(BX755="LOSE",1,IF(N(V755)&gt;0,V755,IF(CA755=1,MAX(1,N(VLOOKUP(T755,Parameter!$I$27:$K$29,3,0)),H755,N(N755)),IF(N(Q755)&gt;0,Q755,MAX(1,H755)))))</f>
        <v>20</v>
      </c>
      <c r="BZ755" s="53" t="n">
        <f aca="false">IF(BX755="LOSE",1,0)</f>
        <v>0</v>
      </c>
      <c r="CA755" s="53" t="n">
        <f aca="false">IF(AND(U755="",OR(P755="",P755="LOSE"),T755&lt;&gt;"",N(S755)&lt;=0,ISNUMBER(MATCH(T755,Parameter!$I$27:$I$29,0))),1,0)</f>
        <v>1</v>
      </c>
      <c r="CB755" s="53" t="n">
        <f aca="false">IF(CQ755&gt;0,INDEX(Parameter!$H$5:$H$7,W755)/INDEX(Parameter!$E$5:$E$7,W755),IF(AND(BZ755=0,N(IFERROR(VLOOKUP(BX755,'Gebinde-Kategorie'!$A$5:$N$45,14,0),0))&gt;0),VLOOKUP(BX755,'Gebinde-Kategorie'!$A$5:$N$45,14,0)*10+Parameter!$M$23,Parameter!$M$24))</f>
        <v>155</v>
      </c>
      <c r="CC755" s="48" t="str">
        <f aca="false">IF(AND(Parameter!$B$19="Ja",E755&lt;&gt;"",ISNUMBER(MATCH(E755,Parameter!$I$35:$I$52,0))),VLOOKUP(E755,Parameter!$I$35:$J$52,2,0),IFERROR(VLOOKUP(D755,Parameter!$A$35:$C$64,2,0),"Nein"))</f>
        <v>2+3</v>
      </c>
      <c r="CD755" s="52" t="n">
        <f aca="false">IF(BZ755=0,0,IF(N(S755)&gt;0,S755,IFERROR(VLOOKUP(D755,Parameter!$A$35:$C$64,3,0)+0,0)))</f>
        <v>0</v>
      </c>
      <c r="CE755" s="48" t="n">
        <f aca="false">IF(AA755&lt;&gt;"",AA755,Z755)</f>
        <v>3</v>
      </c>
      <c r="CF755" s="48" t="str">
        <f aca="false">IF(OR(CE755=1,CE755=2,CE755=3),IF(Parameter!$E$27="Ja","LIFT",IF(CE755=1,"L1","L23")),IF(CE755="Aussen","Aussen","-"))</f>
        <v>LIFT</v>
      </c>
      <c r="CG755" s="59" t="n">
        <f aca="false">IF(N(AB755)&gt;0,AB755,0)</f>
        <v>0</v>
      </c>
      <c r="CH755" s="53" t="n">
        <f aca="false">IF(ISNUMBER(AE755),1,0)</f>
        <v>0</v>
      </c>
      <c r="CI755" s="50" t="n">
        <f aca="false">N(AE755)</f>
        <v>0</v>
      </c>
      <c r="CJ755" s="50" t="n">
        <f aca="false">N(M755)+N(N755)</f>
        <v>1</v>
      </c>
      <c r="CK755" s="50" t="n">
        <f aca="false">N(M755)</f>
        <v>0</v>
      </c>
      <c r="CL755" s="50" t="n">
        <f aca="false">N(N755)</f>
        <v>1</v>
      </c>
      <c r="CM755" s="50" t="n">
        <f aca="false">ROUNDUP(H755/BY755,0)</f>
        <v>1</v>
      </c>
      <c r="CN755" s="50" t="n">
        <f aca="false">ROUNDUP(CI755/BY755,0)</f>
        <v>0</v>
      </c>
      <c r="CO755" s="53" t="n">
        <f aca="false">IF(BZ755=1,0,IFERROR(VLOOKUP(BX755,'Gebinde-Kategorie'!$A$5:$N$45,5,0)+0,0))</f>
        <v>11</v>
      </c>
      <c r="CP755" s="53" t="n">
        <f aca="false">IFERROR(IF(OR(CE755=1,CE755=2,CE755=3),N(INDEX(Parameter!$I$5:$I$7,CE755)),0),0)</f>
        <v>0</v>
      </c>
      <c r="CQ755" s="52" t="n">
        <f aca="false">IF(AND(Parameter!$B$21="Ja",ISNUMBER(W755),N(X755)&gt;0),IFERROR(N(INDEX(Parameter!$L$5:$L$7,W755))*INDEX(Parameter!$E$5:$E$7,W755)*X755/SUMIFS($X$7:$X$1843,$W$7:$W$1843,W755),0),0)</f>
        <v>0</v>
      </c>
    </row>
    <row r="756" customFormat="false" ht="15" hidden="false" customHeight="false" outlineLevel="0" collapsed="false">
      <c r="A756" s="48" t="s">
        <v>1503</v>
      </c>
      <c r="B756" s="48" t="s">
        <v>1504</v>
      </c>
      <c r="C756" s="48" t="s">
        <v>173</v>
      </c>
      <c r="D756" s="48" t="s">
        <v>193</v>
      </c>
      <c r="E756" s="48" t="s">
        <v>194</v>
      </c>
      <c r="F756" s="48" t="s">
        <v>227</v>
      </c>
      <c r="G756" s="49" t="n">
        <v>0.06</v>
      </c>
      <c r="H756" s="50" t="n">
        <f aca="false">MAX(0,IF(AND(Parameter!$B$21="Ja",ISNUMBER(Y756)),Y756,IF(Parameter!$B$20="Jahresanfang 2025 + Export",BR756+BQ756,BQ756)))</f>
        <v>81</v>
      </c>
      <c r="I756" s="50" t="n">
        <f aca="false">H756*G756</f>
        <v>4.86</v>
      </c>
      <c r="J756" s="50" t="n">
        <f aca="false">BT756*Parameter!$B$18</f>
        <v>393</v>
      </c>
      <c r="K756" s="51" t="n">
        <v>178</v>
      </c>
      <c r="L756" s="52" t="n">
        <v>2.20786516853933</v>
      </c>
      <c r="M756" s="50" t="n">
        <v>22</v>
      </c>
      <c r="N756" s="50" t="n">
        <v>500</v>
      </c>
      <c r="O756" s="53" t="n">
        <v>21</v>
      </c>
      <c r="P756" s="48" t="s">
        <v>337</v>
      </c>
      <c r="Q756" s="50" t="n">
        <v>675</v>
      </c>
      <c r="R756" s="53" t="n">
        <f aca="false">IF(BZ756=1,0,IFERROR(VLOOKUP(BX756,'Gebinde-Kategorie'!$A$5:$N$45,13,0)+0,0))</f>
        <v>52</v>
      </c>
      <c r="S756" s="54"/>
      <c r="T756" s="55"/>
      <c r="U756" s="55"/>
      <c r="V756" s="55"/>
      <c r="W756" s="48"/>
      <c r="X756" s="50"/>
      <c r="Y756" s="50"/>
      <c r="Z756" s="48" t="n">
        <f aca="false">IF(A756="","",IF(AND(Parameter!$B$21="Ja",ISNUMBER(W756)),W756,IF(CC756="2+3",IF(ISNUMBER(SEARCH("grosser Artikel",BU756)),2,IFERROR(VLOOKUP(BX756,Parameter!$F$35:$G$64,2,0),2)),IF(OR(CC756="Nein",CC756=""),"-",CC756))))</f>
        <v>3</v>
      </c>
      <c r="AA756" s="55"/>
      <c r="AB756" s="56"/>
      <c r="AC756" s="50" t="n">
        <f aca="false">AV756</f>
        <v>522</v>
      </c>
      <c r="AD756" s="50" t="n">
        <f aca="false">MAX(AV756,H756)</f>
        <v>522</v>
      </c>
      <c r="AE756" s="57"/>
      <c r="AF756" s="50" t="n">
        <f aca="false">IF(LEFT(Cockpit!$C$5,1)="A",H756,IF(Parameter!$E$30="MAX-Bestand",IF(CH756=1,CI756,IF(LEFT(Cockpit!$C$5,1)="B",AL756,MAX(AL756,H756))),ROUNDUP(AJ756,0)))</f>
        <v>81</v>
      </c>
      <c r="AG756" s="50" t="n">
        <f aca="false">IF(BZ756=1,0,ROUNDUP(AF756/BY756,0))</f>
        <v>1</v>
      </c>
      <c r="AH756" s="52" t="n">
        <f aca="false">IF(CQ756&gt;0,CQ756*MAX(1,AF756/X756),IF(BZ756=1,IF(AF756&lt;=0,0,CD756*MAX(1,IF(H756&gt;0,AF756/H756,1))),IF(R756&gt;0,AG756/R756,0))/MAX(0.1,N(Parameter!$M$21)))</f>
        <v>0.0192307692307692</v>
      </c>
      <c r="AI756" s="50" t="n">
        <f aca="false">AH756*CB756</f>
        <v>2.98076923076923</v>
      </c>
      <c r="AJ756" s="51" t="n">
        <f aca="false">IF(LEFT(Cockpit!$C$5,1)="A",H756,IF(CH756=1,(CK756+CI756)/2,IF(LEFT(Cockpit!$C$5,1)="B",(CK756+AL756)/2,MAX((CK756+AL756)/2,H756))))</f>
        <v>81</v>
      </c>
      <c r="AK756" s="50" t="n">
        <f aca="false">AJ756*G756</f>
        <v>4.86</v>
      </c>
      <c r="AL756" s="50" t="n">
        <f aca="false">ROUNDUP(CK756+MAX(CL756,2*(J756/IF(CG756&gt;0,CG756,MAX(0.1,N(Cockpit!$C$6)))-CK756)),0)</f>
        <v>522</v>
      </c>
      <c r="AM756" s="51" t="n">
        <f aca="false">IF(AI756&gt;0,J756/AI756,-1)</f>
        <v>131.845161290323</v>
      </c>
      <c r="AN756" s="51" t="n">
        <f aca="false">IF(AND(OR(CF756="L1",CF756="L23",CF756="LIFT"),AI756&gt;0),SUMIFS($AI$7:$AI$1843,$CF$7:$CF$1843,CF756,$AM$7:$AM$1843,"&gt;"&amp;AM756)+SUMIFS($AI$7:$AI$1843,$CF$7:$CF$1843,CF756,$AM$7:$AM$1843,AM756,$BW$7:$BW$1843,"&lt;="&amp;BW756),"")</f>
        <v>548.798534798535</v>
      </c>
      <c r="AO756" s="58" t="n">
        <f aca="false">IF(AN756="",0,MAX(0,MIN(1,(IF(CF756="L1",Parameter!$H$5,IF(CF756="L23",Parameter!$H$6+Parameter!$H$7,Parameter!$H$5+Parameter!$H$6+Parameter!$H$7))-(AN756-AI756))/AI756)))</f>
        <v>1</v>
      </c>
      <c r="AP756" s="50" t="n">
        <f aca="false">IF(LEFT(Cockpit!$I$5,1)="A",H756,IF(Parameter!$E$30="MAX-Bestand",IF(CH756=1,CI756,IF(LEFT(Cockpit!$I$5,1)="B",AV756,MAX(AV756,H756))),ROUNDUP(AT756,0)))</f>
        <v>272</v>
      </c>
      <c r="AQ756" s="50" t="n">
        <f aca="false">IF(BZ756=1,0,ROUNDUP(AP756/BY756,0))</f>
        <v>1</v>
      </c>
      <c r="AR756" s="52" t="n">
        <f aca="false">IF(CQ756&gt;0,CQ756*MAX(1,AP756/X756),IF(BZ756=1,IF(AP756&lt;=0,0,CD756*MAX(1,IF(H756&gt;0,AP756/H756,1))),IF(R756&gt;0,AQ756/R756,0))/MAX(0.1,N(Parameter!$M$21)))</f>
        <v>0.0192307692307692</v>
      </c>
      <c r="AS756" s="50" t="n">
        <f aca="false">AR756*CB756</f>
        <v>2.98076923076923</v>
      </c>
      <c r="AT756" s="51" t="n">
        <f aca="false">IF(LEFT(Cockpit!$I$5,1)="A",H756,IF(CH756=1,(CK756+CI756)/2,IF(LEFT(Cockpit!$I$5,1)="B",(CK756+AV756)/2,MAX((CK756+AV756)/2,H756))))</f>
        <v>272</v>
      </c>
      <c r="AU756" s="50" t="n">
        <f aca="false">AT756*G756</f>
        <v>16.32</v>
      </c>
      <c r="AV756" s="50" t="n">
        <f aca="false">ROUNDUP(CK756+MAX(CL756,2*(J756/IF(CG756&gt;0,CG756,MAX(0.1,N(Cockpit!$I$6)))-CK756)),0)</f>
        <v>522</v>
      </c>
      <c r="AW756" s="51" t="n">
        <f aca="false">IF(AS756&gt;0,J756/AS756,-1)</f>
        <v>131.845161290323</v>
      </c>
      <c r="AX756" s="51" t="n">
        <f aca="false">IF(AND(OR(CF756="L1",CF756="L23",CF756="LIFT"),AS756&gt;0),SUMIFS($AS$7:$AS$1843,$CF$7:$CF$1843,CF756,$AW$7:$AW$1843,"&gt;"&amp;AW756)+SUMIFS($AS$7:$AS$1843,$CF$7:$CF$1843,CF756,$AW$7:$AW$1843,AW756,$BW$7:$BW$1843,"&lt;="&amp;BW756),"")</f>
        <v>666.43543956044</v>
      </c>
      <c r="AY756" s="58" t="n">
        <f aca="false">IF(AX756="",0,MAX(0,MIN(1,(IF(CF756="L1",Parameter!$H$5,IF(CF756="L23",Parameter!$H$6+Parameter!$H$7,Parameter!$H$5+Parameter!$H$6+Parameter!$H$7))-(AX756-AS756))/AS756)))</f>
        <v>1</v>
      </c>
      <c r="AZ756" s="50" t="n">
        <f aca="false">IF(LEFT(Cockpit!$O$5,1)="A",H756,IF(Parameter!$E$30="MAX-Bestand",IF(CH756=1,CI756,IF(LEFT(Cockpit!$O$5,1)="B",BF756,MAX(BF756,H756))),ROUNDUP(BD756,0)))</f>
        <v>272</v>
      </c>
      <c r="BA756" s="50" t="n">
        <f aca="false">IF(BZ756=1,0,ROUNDUP(AZ756/BY756,0))</f>
        <v>1</v>
      </c>
      <c r="BB756" s="52" t="n">
        <f aca="false">IF(CQ756&gt;0,CQ756*MAX(1,AZ756/X756),IF(BZ756=1,IF(AZ756&lt;=0,0,CD756*MAX(1,IF(H756&gt;0,AZ756/H756,1))),IF(R756&gt;0,BA756/R756,0))/MAX(0.1,N(Parameter!$M$21)))</f>
        <v>0.0192307692307692</v>
      </c>
      <c r="BC756" s="50" t="n">
        <f aca="false">BB756*CB756</f>
        <v>2.98076923076923</v>
      </c>
      <c r="BD756" s="51" t="n">
        <f aca="false">IF(LEFT(Cockpit!$O$5,1)="A",H756,IF(CH756=1,(CK756+CI756)/2,IF(LEFT(Cockpit!$O$5,1)="B",(CK756+BF756)/2,MAX((CK756+BF756)/2,H756))))</f>
        <v>272</v>
      </c>
      <c r="BE756" s="50" t="n">
        <f aca="false">BD756*G756</f>
        <v>16.32</v>
      </c>
      <c r="BF756" s="50" t="n">
        <f aca="false">ROUNDUP(CK756+MAX(CL756,2*(J756/IF(CG756&gt;0,CG756,MAX(0.1,N(Cockpit!$O$6)))-CK756)),0)</f>
        <v>522</v>
      </c>
      <c r="BG756" s="51" t="n">
        <f aca="false">IF(BC756&gt;0,J756/BC756,-1)</f>
        <v>131.845161290323</v>
      </c>
      <c r="BH756" s="51" t="n">
        <f aca="false">IF(AND(OR(CF756="L1",CF756="L23",CF756="LIFT"),BC756&gt;0),SUMIFS($BC$7:$BC$1843,$CF$7:$CF$1843,CF756,$BG$7:$BG$1843,"&gt;"&amp;BG756)+SUMIFS($BC$7:$BC$1843,$CF$7:$CF$1843,CF756,$BG$7:$BG$1843,BG756,$BW$7:$BW$1843,"&lt;="&amp;BW756),"")</f>
        <v>600.787087912088</v>
      </c>
      <c r="BI756" s="58" t="n">
        <f aca="false">IF(BH756="",0,MAX(0,MIN(1,(IF(CF756="L1",Parameter!$H$5,IF(CF756="L23",Parameter!$H$6+Parameter!$H$7,Parameter!$H$5+Parameter!$H$6+Parameter!$H$7))-(BH756-BC756))/BC756)))</f>
        <v>1</v>
      </c>
      <c r="BJ756" s="48" t="str">
        <f aca="false">IF(AI756&lt;=0,"",IF(CF756="Aussen","Aussenlager",IF(CF756="-","Nicht im Lift",IF(AO756&gt;=1,"Lift",IF(AO756&lt;=0,"Aussenlager","teilweise")))))</f>
        <v>Lift</v>
      </c>
      <c r="BK756" s="48" t="str">
        <f aca="false">IF(AS756&lt;=0,"",IF(CF756="Aussen","Aussenlager",IF(CF756="-","Nicht im Lift",IF(AY756&gt;=1,"Lift",IF(AY756&lt;=0,"Aussenlager","teilweise")))))</f>
        <v>Lift</v>
      </c>
      <c r="BL756" s="48" t="str">
        <f aca="false">IF(BC756&lt;=0,"",IF(CF756="Aussen","Aussenlager",IF(CF756="-","Nicht im Lift",IF(BI756&gt;=1,"Lift",IF(BI756&lt;=0,"Aussenlager","teilweise")))))</f>
        <v>Lift</v>
      </c>
      <c r="BM756" s="48" t="str">
        <f aca="false">IF(A756="","",IF(BV756=1,"Neu; ","")&amp;IF(AND(BV756=0,BQ756&lt;0),"negativer Bestand (Export "&amp;BQ756&amp;"); ","")&amp;IF(J756&lt;=0,"Kein Verbrauch; ","")&amp;IF(CQ756&gt;0,"Lift "&amp;W756&amp;" lt. Liftbericht (Fach "&amp;X756&amp;" Stk); ",IF(CA756=1,"Gebinde geschätzt ("&amp;T756&amp;"); ",IF(BZ756=1,"Lose – Tablare geschätzt; ","")))&amp;IF(H756&gt;AV756,"Überbestand "&amp;ROUND(H756-AV756,0)&amp;" Stk / CHF "&amp;ROUND((H756-AV756)*G756,0)&amp;"; ","")&amp;IF(AND(CH756=1,CI756&lt;CJ756),"MAX &lt; MB+LG; ","")&amp;IF(AND(CP756&gt;0,CO756*10&gt;CP756),"zu hoch für Tablar; ","")&amp;IF(AND(BV756=0,OR(CH756=1,AA756&lt;&gt;"",U756&lt;&gt;"",V756&lt;&gt;"",AB756&lt;&gt;"")),"manuell übersteuert; ","")&amp;IF(AND(BZ756=0,R756=0),"Gebinde unbekannt / Stellmass fehlt; ","")&amp;IF(AND(BZ756=0,N(V756)&lt;=0,N(Q756)&lt;=0),"Menge pro Gebinde fehlt (Ist = 1 Gebinde); ","")&amp;BU756)</f>
        <v/>
      </c>
      <c r="BN756" s="48"/>
      <c r="BO756" s="48"/>
      <c r="BP756" s="55"/>
      <c r="BQ756" s="50" t="n">
        <v>7</v>
      </c>
      <c r="BR756" s="50" t="n">
        <v>74</v>
      </c>
      <c r="BS756" s="49" t="n">
        <v>-0.269999999999946</v>
      </c>
      <c r="BT756" s="50" t="n">
        <v>393</v>
      </c>
      <c r="BU756" s="48"/>
      <c r="BV756" s="53" t="n">
        <v>0</v>
      </c>
      <c r="BW756" s="53" t="n">
        <v>756</v>
      </c>
      <c r="BX756" s="48" t="str">
        <f aca="false">IF(U756&lt;&gt;"",UPPER(TRIM(U756)),IF(CA756=1,UPPER(VLOOKUP(T756,Parameter!$I$27:$K$29,2,0)),IF(P756="","LOSE",P756)))</f>
        <v>S41</v>
      </c>
      <c r="BY756" s="50" t="n">
        <f aca="false">IF(BX756="LOSE",1,IF(N(V756)&gt;0,V756,IF(CA756=1,MAX(1,N(VLOOKUP(T756,Parameter!$I$27:$K$29,3,0)),H756,N(N756)),IF(N(Q756)&gt;0,Q756,MAX(1,H756)))))</f>
        <v>675</v>
      </c>
      <c r="BZ756" s="53" t="n">
        <f aca="false">IF(BX756="LOSE",1,0)</f>
        <v>0</v>
      </c>
      <c r="CA756" s="53" t="n">
        <f aca="false">IF(AND(U756="",OR(P756="",P756="LOSE"),T756&lt;&gt;"",N(S756)&lt;=0,ISNUMBER(MATCH(T756,Parameter!$I$27:$I$29,0))),1,0)</f>
        <v>0</v>
      </c>
      <c r="CB756" s="53" t="n">
        <f aca="false">IF(CQ756&gt;0,INDEX(Parameter!$H$5:$H$7,W756)/INDEX(Parameter!$E$5:$E$7,W756),IF(AND(BZ756=0,N(IFERROR(VLOOKUP(BX756,'Gebinde-Kategorie'!$A$5:$N$45,14,0),0))&gt;0),VLOOKUP(BX756,'Gebinde-Kategorie'!$A$5:$N$45,14,0)*10+Parameter!$M$23,Parameter!$M$24))</f>
        <v>155</v>
      </c>
      <c r="CC756" s="48" t="str">
        <f aca="false">IF(AND(Parameter!$B$19="Ja",E756&lt;&gt;"",ISNUMBER(MATCH(E756,Parameter!$I$35:$I$52,0))),VLOOKUP(E756,Parameter!$I$35:$J$52,2,0),IFERROR(VLOOKUP(D756,Parameter!$A$35:$C$64,2,0),"Nein"))</f>
        <v>2+3</v>
      </c>
      <c r="CD756" s="52" t="n">
        <f aca="false">IF(BZ756=0,0,IF(N(S756)&gt;0,S756,IFERROR(VLOOKUP(D756,Parameter!$A$35:$C$64,3,0)+0,0)))</f>
        <v>0</v>
      </c>
      <c r="CE756" s="48" t="n">
        <f aca="false">IF(AA756&lt;&gt;"",AA756,Z756)</f>
        <v>3</v>
      </c>
      <c r="CF756" s="48" t="str">
        <f aca="false">IF(OR(CE756=1,CE756=2,CE756=3),IF(Parameter!$E$27="Ja","LIFT",IF(CE756=1,"L1","L23")),IF(CE756="Aussen","Aussen","-"))</f>
        <v>LIFT</v>
      </c>
      <c r="CG756" s="59" t="n">
        <f aca="false">IF(N(AB756)&gt;0,AB756,0)</f>
        <v>0</v>
      </c>
      <c r="CH756" s="53" t="n">
        <f aca="false">IF(ISNUMBER(AE756),1,0)</f>
        <v>0</v>
      </c>
      <c r="CI756" s="50" t="n">
        <f aca="false">N(AE756)</f>
        <v>0</v>
      </c>
      <c r="CJ756" s="50" t="n">
        <f aca="false">N(M756)+N(N756)</f>
        <v>522</v>
      </c>
      <c r="CK756" s="50" t="n">
        <f aca="false">N(M756)</f>
        <v>22</v>
      </c>
      <c r="CL756" s="50" t="n">
        <f aca="false">N(N756)</f>
        <v>500</v>
      </c>
      <c r="CM756" s="50" t="n">
        <f aca="false">ROUNDUP(H756/BY756,0)</f>
        <v>1</v>
      </c>
      <c r="CN756" s="50" t="n">
        <f aca="false">ROUNDUP(CI756/BY756,0)</f>
        <v>0</v>
      </c>
      <c r="CO756" s="53" t="n">
        <f aca="false">IF(BZ756=1,0,IFERROR(VLOOKUP(BX756,'Gebinde-Kategorie'!$A$5:$N$45,5,0)+0,0))</f>
        <v>11</v>
      </c>
      <c r="CP756" s="53" t="n">
        <f aca="false">IFERROR(IF(OR(CE756=1,CE756=2,CE756=3),N(INDEX(Parameter!$I$5:$I$7,CE756)),0),0)</f>
        <v>0</v>
      </c>
      <c r="CQ756" s="52" t="n">
        <f aca="false">IF(AND(Parameter!$B$21="Ja",ISNUMBER(W756),N(X756)&gt;0),IFERROR(N(INDEX(Parameter!$L$5:$L$7,W756))*INDEX(Parameter!$E$5:$E$7,W756)*X756/SUMIFS($X$7:$X$1843,$W$7:$W$1843,W756),0),0)</f>
        <v>0</v>
      </c>
    </row>
    <row r="757" customFormat="false" ht="15" hidden="false" customHeight="false" outlineLevel="0" collapsed="false">
      <c r="A757" s="48" t="s">
        <v>1505</v>
      </c>
      <c r="B757" s="48" t="s">
        <v>414</v>
      </c>
      <c r="C757" s="48" t="s">
        <v>173</v>
      </c>
      <c r="D757" s="48" t="s">
        <v>193</v>
      </c>
      <c r="E757" s="48" t="s">
        <v>194</v>
      </c>
      <c r="F757" s="48" t="s">
        <v>227</v>
      </c>
      <c r="G757" s="49" t="n">
        <v>0.1</v>
      </c>
      <c r="H757" s="50" t="n">
        <f aca="false">MAX(0,IF(AND(Parameter!$B$21="Ja",ISNUMBER(Y757)),Y757,IF(Parameter!$B$20="Jahresanfang 2025 + Export",BR757+BQ757,BQ757)))</f>
        <v>365</v>
      </c>
      <c r="I757" s="50" t="n">
        <f aca="false">H757*G757</f>
        <v>36.5</v>
      </c>
      <c r="J757" s="50" t="n">
        <f aca="false">BT757*Parameter!$B$18</f>
        <v>1</v>
      </c>
      <c r="K757" s="51" t="n">
        <v>366.5</v>
      </c>
      <c r="L757" s="52" t="n">
        <v>0.00272851296043656</v>
      </c>
      <c r="M757" s="50" t="n">
        <v>0</v>
      </c>
      <c r="N757" s="50" t="n">
        <v>1</v>
      </c>
      <c r="O757" s="53" t="n">
        <v>21</v>
      </c>
      <c r="P757" s="48" t="s">
        <v>337</v>
      </c>
      <c r="Q757" s="50" t="n">
        <v>381</v>
      </c>
      <c r="R757" s="53" t="n">
        <f aca="false">IF(BZ757=1,0,IFERROR(VLOOKUP(BX757,'Gebinde-Kategorie'!$A$5:$N$45,13,0)+0,0))</f>
        <v>52</v>
      </c>
      <c r="S757" s="54"/>
      <c r="T757" s="55"/>
      <c r="U757" s="55"/>
      <c r="V757" s="55"/>
      <c r="W757" s="48"/>
      <c r="X757" s="50"/>
      <c r="Y757" s="50"/>
      <c r="Z757" s="48" t="n">
        <f aca="false">IF(A757="","",IF(AND(Parameter!$B$21="Ja",ISNUMBER(W757)),W757,IF(CC757="2+3",IF(ISNUMBER(SEARCH("grosser Artikel",BU757)),2,IFERROR(VLOOKUP(BX757,Parameter!$F$35:$G$64,2,0),2)),IF(OR(CC757="Nein",CC757=""),"-",CC757))))</f>
        <v>3</v>
      </c>
      <c r="AA757" s="55"/>
      <c r="AB757" s="56"/>
      <c r="AC757" s="50" t="n">
        <f aca="false">AV757</f>
        <v>1</v>
      </c>
      <c r="AD757" s="50" t="n">
        <f aca="false">MAX(AV757,H757)</f>
        <v>365</v>
      </c>
      <c r="AE757" s="57"/>
      <c r="AF757" s="50" t="n">
        <f aca="false">IF(LEFT(Cockpit!$C$5,1)="A",H757,IF(Parameter!$E$30="MAX-Bestand",IF(CH757=1,CI757,IF(LEFT(Cockpit!$C$5,1)="B",AL757,MAX(AL757,H757))),ROUNDUP(AJ757,0)))</f>
        <v>365</v>
      </c>
      <c r="AG757" s="50" t="n">
        <f aca="false">IF(BZ757=1,0,ROUNDUP(AF757/BY757,0))</f>
        <v>1</v>
      </c>
      <c r="AH757" s="52" t="n">
        <f aca="false">IF(CQ757&gt;0,CQ757*MAX(1,AF757/X757),IF(BZ757=1,IF(AF757&lt;=0,0,CD757*MAX(1,IF(H757&gt;0,AF757/H757,1))),IF(R757&gt;0,AG757/R757,0))/MAX(0.1,N(Parameter!$M$21)))</f>
        <v>0.0192307692307692</v>
      </c>
      <c r="AI757" s="50" t="n">
        <f aca="false">AH757*CB757</f>
        <v>2.98076923076923</v>
      </c>
      <c r="AJ757" s="51" t="n">
        <f aca="false">IF(LEFT(Cockpit!$C$5,1)="A",H757,IF(CH757=1,(CK757+CI757)/2,IF(LEFT(Cockpit!$C$5,1)="B",(CK757+AL757)/2,MAX((CK757+AL757)/2,H757))))</f>
        <v>365</v>
      </c>
      <c r="AK757" s="50" t="n">
        <f aca="false">AJ757*G757</f>
        <v>36.5</v>
      </c>
      <c r="AL757" s="50" t="n">
        <f aca="false">ROUNDUP(CK757+MAX(CL757,2*(J757/IF(CG757&gt;0,CG757,MAX(0.1,N(Cockpit!$C$6)))-CK757)),0)</f>
        <v>1</v>
      </c>
      <c r="AM757" s="51" t="n">
        <f aca="false">IF(AI757&gt;0,J757/AI757,-1)</f>
        <v>0.335483870967742</v>
      </c>
      <c r="AN757" s="51" t="n">
        <f aca="false">IF(AND(OR(CF757="L1",CF757="L23",CF757="LIFT"),AI757&gt;0),SUMIFS($AI$7:$AI$1843,$CF$7:$CF$1843,CF757,$AM$7:$AM$1843,"&gt;"&amp;AM757)+SUMIFS($AI$7:$AI$1843,$CF$7:$CF$1843,CF757,$AM$7:$AM$1843,AM757,$BW$7:$BW$1843,"&lt;="&amp;BW757),"")</f>
        <v>11200.9231933321</v>
      </c>
      <c r="AO757" s="58" t="n">
        <f aca="false">IF(AN757="",0,MAX(0,MIN(1,(IF(CF757="L1",Parameter!$H$5,IF(CF757="L23",Parameter!$H$6+Parameter!$H$7,Parameter!$H$5+Parameter!$H$6+Parameter!$H$7))-(AN757-AI757))/AI757)))</f>
        <v>1</v>
      </c>
      <c r="AP757" s="50" t="n">
        <f aca="false">IF(LEFT(Cockpit!$I$5,1)="A",H757,IF(Parameter!$E$30="MAX-Bestand",IF(CH757=1,CI757,IF(LEFT(Cockpit!$I$5,1)="B",AV757,MAX(AV757,H757))),ROUNDUP(AT757,0)))</f>
        <v>365</v>
      </c>
      <c r="AQ757" s="50" t="n">
        <f aca="false">IF(BZ757=1,0,ROUNDUP(AP757/BY757,0))</f>
        <v>1</v>
      </c>
      <c r="AR757" s="52" t="n">
        <f aca="false">IF(CQ757&gt;0,CQ757*MAX(1,AP757/X757),IF(BZ757=1,IF(AP757&lt;=0,0,CD757*MAX(1,IF(H757&gt;0,AP757/H757,1))),IF(R757&gt;0,AQ757/R757,0))/MAX(0.1,N(Parameter!$M$21)))</f>
        <v>0.0192307692307692</v>
      </c>
      <c r="AS757" s="50" t="n">
        <f aca="false">AR757*CB757</f>
        <v>2.98076923076923</v>
      </c>
      <c r="AT757" s="51" t="n">
        <f aca="false">IF(LEFT(Cockpit!$I$5,1)="A",H757,IF(CH757=1,(CK757+CI757)/2,IF(LEFT(Cockpit!$I$5,1)="B",(CK757+AV757)/2,MAX((CK757+AV757)/2,H757))))</f>
        <v>365</v>
      </c>
      <c r="AU757" s="50" t="n">
        <f aca="false">AT757*G757</f>
        <v>36.5</v>
      </c>
      <c r="AV757" s="50" t="n">
        <f aca="false">ROUNDUP(CK757+MAX(CL757,2*(J757/IF(CG757&gt;0,CG757,MAX(0.1,N(Cockpit!$I$6)))-CK757)),0)</f>
        <v>1</v>
      </c>
      <c r="AW757" s="51" t="n">
        <f aca="false">IF(AS757&gt;0,J757/AS757,-1)</f>
        <v>0.335483870967742</v>
      </c>
      <c r="AX757" s="51" t="n">
        <f aca="false">IF(AND(OR(CF757="L1",CF757="L23",CF757="LIFT"),AS757&gt;0),SUMIFS($AS$7:$AS$1843,$CF$7:$CF$1843,CF757,$AW$7:$AW$1843,"&gt;"&amp;AW757)+SUMIFS($AS$7:$AS$1843,$CF$7:$CF$1843,CF757,$AW$7:$AW$1843,AW757,$BW$7:$BW$1843,"&lt;="&amp;BW757),"")</f>
        <v>13735.0608974359</v>
      </c>
      <c r="AY757" s="58" t="n">
        <f aca="false">IF(AX757="",0,MAX(0,MIN(1,(IF(CF757="L1",Parameter!$H$5,IF(CF757="L23",Parameter!$H$6+Parameter!$H$7,Parameter!$H$5+Parameter!$H$6+Parameter!$H$7))-(AX757-AS757))/AS757)))</f>
        <v>1</v>
      </c>
      <c r="AZ757" s="50" t="n">
        <f aca="false">IF(LEFT(Cockpit!$O$5,1)="A",H757,IF(Parameter!$E$30="MAX-Bestand",IF(CH757=1,CI757,IF(LEFT(Cockpit!$O$5,1)="B",BF757,MAX(BF757,H757))),ROUNDUP(BD757,0)))</f>
        <v>1</v>
      </c>
      <c r="BA757" s="50" t="n">
        <f aca="false">IF(BZ757=1,0,ROUNDUP(AZ757/BY757,0))</f>
        <v>1</v>
      </c>
      <c r="BB757" s="52" t="n">
        <f aca="false">IF(CQ757&gt;0,CQ757*MAX(1,AZ757/X757),IF(BZ757=1,IF(AZ757&lt;=0,0,CD757*MAX(1,IF(H757&gt;0,AZ757/H757,1))),IF(R757&gt;0,BA757/R757,0))/MAX(0.1,N(Parameter!$M$21)))</f>
        <v>0.0192307692307692</v>
      </c>
      <c r="BC757" s="50" t="n">
        <f aca="false">BB757*CB757</f>
        <v>2.98076923076923</v>
      </c>
      <c r="BD757" s="51" t="n">
        <f aca="false">IF(LEFT(Cockpit!$O$5,1)="A",H757,IF(CH757=1,(CK757+CI757)/2,IF(LEFT(Cockpit!$O$5,1)="B",(CK757+BF757)/2,MAX((CK757+BF757)/2,H757))))</f>
        <v>0.5</v>
      </c>
      <c r="BE757" s="50" t="n">
        <f aca="false">BD757*G757</f>
        <v>0.05</v>
      </c>
      <c r="BF757" s="50" t="n">
        <f aca="false">ROUNDUP(CK757+MAX(CL757,2*(J757/IF(CG757&gt;0,CG757,MAX(0.1,N(Cockpit!$O$6)))-CK757)),0)</f>
        <v>1</v>
      </c>
      <c r="BG757" s="51" t="n">
        <f aca="false">IF(BC757&gt;0,J757/BC757,-1)</f>
        <v>0.335483870967742</v>
      </c>
      <c r="BH757" s="51" t="n">
        <f aca="false">IF(AND(OR(CF757="L1",CF757="L23",CF757="LIFT"),BC757&gt;0),SUMIFS($BC$7:$BC$1843,$CF$7:$CF$1843,CF757,$BG$7:$BG$1843,"&gt;"&amp;BG757)+SUMIFS($BC$7:$BC$1843,$CF$7:$CF$1843,CF757,$BG$7:$BG$1843,BG757,$BW$7:$BW$1843,"&lt;="&amp;BW757),"")</f>
        <v>11586.0196886447</v>
      </c>
      <c r="BI757" s="58" t="n">
        <f aca="false">IF(BH757="",0,MAX(0,MIN(1,(IF(CF757="L1",Parameter!$H$5,IF(CF757="L23",Parameter!$H$6+Parameter!$H$7,Parameter!$H$5+Parameter!$H$6+Parameter!$H$7))-(BH757-BC757))/BC757)))</f>
        <v>1</v>
      </c>
      <c r="BJ757" s="48" t="str">
        <f aca="false">IF(AI757&lt;=0,"",IF(CF757="Aussen","Aussenlager",IF(CF757="-","Nicht im Lift",IF(AO757&gt;=1,"Lift",IF(AO757&lt;=0,"Aussenlager","teilweise")))))</f>
        <v>Lift</v>
      </c>
      <c r="BK757" s="48" t="str">
        <f aca="false">IF(AS757&lt;=0,"",IF(CF757="Aussen","Aussenlager",IF(CF757="-","Nicht im Lift",IF(AY757&gt;=1,"Lift",IF(AY757&lt;=0,"Aussenlager","teilweise")))))</f>
        <v>Lift</v>
      </c>
      <c r="BL757" s="48" t="str">
        <f aca="false">IF(BC757&lt;=0,"",IF(CF757="Aussen","Aussenlager",IF(CF757="-","Nicht im Lift",IF(BI757&gt;=1,"Lift",IF(BI757&lt;=0,"Aussenlager","teilweise")))))</f>
        <v>Lift</v>
      </c>
      <c r="BM757" s="48" t="str">
        <f aca="false">IF(A757="","",IF(BV757=1,"Neu; ","")&amp;IF(AND(BV757=0,BQ757&lt;0),"negativer Bestand (Export "&amp;BQ757&amp;"); ","")&amp;IF(J757&lt;=0,"Kein Verbrauch; ","")&amp;IF(CQ757&gt;0,"Lift "&amp;W757&amp;" lt. Liftbericht (Fach "&amp;X757&amp;" Stk); ",IF(CA757=1,"Gebinde geschätzt ("&amp;T757&amp;"); ",IF(BZ757=1,"Lose – Tablare geschätzt; ","")))&amp;IF(H757&gt;AV757,"Überbestand "&amp;ROUND(H757-AV757,0)&amp;" Stk / CHF "&amp;ROUND((H757-AV757)*G757,0)&amp;"; ","")&amp;IF(AND(CH757=1,CI757&lt;CJ757),"MAX &lt; MB+LG; ","")&amp;IF(AND(CP757&gt;0,CO757*10&gt;CP757),"zu hoch für Tablar; ","")&amp;IF(AND(BV757=0,OR(CH757=1,AA757&lt;&gt;"",U757&lt;&gt;"",V757&lt;&gt;"",AB757&lt;&gt;"")),"manuell übersteuert; ","")&amp;IF(AND(BZ757=0,R757=0),"Gebinde unbekannt / Stellmass fehlt; ","")&amp;IF(AND(BZ757=0,N(V757)&lt;=0,N(Q757)&lt;=0),"Menge pro Gebinde fehlt (Ist = 1 Gebinde); ","")&amp;BU757)</f>
        <v>negativer Bestand (Export -3); Überbestand 364 Stk / CHF 36; Überbestand</v>
      </c>
      <c r="BN757" s="48"/>
      <c r="BO757" s="48"/>
      <c r="BP757" s="55"/>
      <c r="BQ757" s="50" t="n">
        <v>-3</v>
      </c>
      <c r="BR757" s="50" t="n">
        <v>368</v>
      </c>
      <c r="BS757" s="49" t="n">
        <v>-0.3</v>
      </c>
      <c r="BT757" s="50" t="n">
        <v>1</v>
      </c>
      <c r="BU757" s="48" t="s">
        <v>401</v>
      </c>
      <c r="BV757" s="53" t="n">
        <v>0</v>
      </c>
      <c r="BW757" s="53" t="n">
        <v>757</v>
      </c>
      <c r="BX757" s="48" t="str">
        <f aca="false">IF(U757&lt;&gt;"",UPPER(TRIM(U757)),IF(CA757=1,UPPER(VLOOKUP(T757,Parameter!$I$27:$K$29,2,0)),IF(P757="","LOSE",P757)))</f>
        <v>S41</v>
      </c>
      <c r="BY757" s="50" t="n">
        <f aca="false">IF(BX757="LOSE",1,IF(N(V757)&gt;0,V757,IF(CA757=1,MAX(1,N(VLOOKUP(T757,Parameter!$I$27:$K$29,3,0)),H757,N(N757)),IF(N(Q757)&gt;0,Q757,MAX(1,H757)))))</f>
        <v>381</v>
      </c>
      <c r="BZ757" s="53" t="n">
        <f aca="false">IF(BX757="LOSE",1,0)</f>
        <v>0</v>
      </c>
      <c r="CA757" s="53" t="n">
        <f aca="false">IF(AND(U757="",OR(P757="",P757="LOSE"),T757&lt;&gt;"",N(S757)&lt;=0,ISNUMBER(MATCH(T757,Parameter!$I$27:$I$29,0))),1,0)</f>
        <v>0</v>
      </c>
      <c r="CB757" s="53" t="n">
        <f aca="false">IF(CQ757&gt;0,INDEX(Parameter!$H$5:$H$7,W757)/INDEX(Parameter!$E$5:$E$7,W757),IF(AND(BZ757=0,N(IFERROR(VLOOKUP(BX757,'Gebinde-Kategorie'!$A$5:$N$45,14,0),0))&gt;0),VLOOKUP(BX757,'Gebinde-Kategorie'!$A$5:$N$45,14,0)*10+Parameter!$M$23,Parameter!$M$24))</f>
        <v>155</v>
      </c>
      <c r="CC757" s="48" t="str">
        <f aca="false">IF(AND(Parameter!$B$19="Ja",E757&lt;&gt;"",ISNUMBER(MATCH(E757,Parameter!$I$35:$I$52,0))),VLOOKUP(E757,Parameter!$I$35:$J$52,2,0),IFERROR(VLOOKUP(D757,Parameter!$A$35:$C$64,2,0),"Nein"))</f>
        <v>2+3</v>
      </c>
      <c r="CD757" s="52" t="n">
        <f aca="false">IF(BZ757=0,0,IF(N(S757)&gt;0,S757,IFERROR(VLOOKUP(D757,Parameter!$A$35:$C$64,3,0)+0,0)))</f>
        <v>0</v>
      </c>
      <c r="CE757" s="48" t="n">
        <f aca="false">IF(AA757&lt;&gt;"",AA757,Z757)</f>
        <v>3</v>
      </c>
      <c r="CF757" s="48" t="str">
        <f aca="false">IF(OR(CE757=1,CE757=2,CE757=3),IF(Parameter!$E$27="Ja","LIFT",IF(CE757=1,"L1","L23")),IF(CE757="Aussen","Aussen","-"))</f>
        <v>LIFT</v>
      </c>
      <c r="CG757" s="59" t="n">
        <f aca="false">IF(N(AB757)&gt;0,AB757,0)</f>
        <v>0</v>
      </c>
      <c r="CH757" s="53" t="n">
        <f aca="false">IF(ISNUMBER(AE757),1,0)</f>
        <v>0</v>
      </c>
      <c r="CI757" s="50" t="n">
        <f aca="false">N(AE757)</f>
        <v>0</v>
      </c>
      <c r="CJ757" s="50" t="n">
        <f aca="false">N(M757)+N(N757)</f>
        <v>1</v>
      </c>
      <c r="CK757" s="50" t="n">
        <f aca="false">N(M757)</f>
        <v>0</v>
      </c>
      <c r="CL757" s="50" t="n">
        <f aca="false">N(N757)</f>
        <v>1</v>
      </c>
      <c r="CM757" s="50" t="n">
        <f aca="false">ROUNDUP(H757/BY757,0)</f>
        <v>1</v>
      </c>
      <c r="CN757" s="50" t="n">
        <f aca="false">ROUNDUP(CI757/BY757,0)</f>
        <v>0</v>
      </c>
      <c r="CO757" s="53" t="n">
        <f aca="false">IF(BZ757=1,0,IFERROR(VLOOKUP(BX757,'Gebinde-Kategorie'!$A$5:$N$45,5,0)+0,0))</f>
        <v>11</v>
      </c>
      <c r="CP757" s="53" t="n">
        <f aca="false">IFERROR(IF(OR(CE757=1,CE757=2,CE757=3),N(INDEX(Parameter!$I$5:$I$7,CE757)),0),0)</f>
        <v>0</v>
      </c>
      <c r="CQ757" s="52" t="n">
        <f aca="false">IF(AND(Parameter!$B$21="Ja",ISNUMBER(W757),N(X757)&gt;0),IFERROR(N(INDEX(Parameter!$L$5:$L$7,W757))*INDEX(Parameter!$E$5:$E$7,W757)*X757/SUMIFS($X$7:$X$1843,$W$7:$W$1843,W757),0),0)</f>
        <v>0</v>
      </c>
    </row>
    <row r="758" customFormat="false" ht="15" hidden="false" customHeight="false" outlineLevel="0" collapsed="false">
      <c r="A758" s="48" t="s">
        <v>1506</v>
      </c>
      <c r="B758" s="48" t="s">
        <v>414</v>
      </c>
      <c r="C758" s="48" t="s">
        <v>173</v>
      </c>
      <c r="D758" s="48" t="s">
        <v>193</v>
      </c>
      <c r="E758" s="48" t="s">
        <v>194</v>
      </c>
      <c r="F758" s="48" t="s">
        <v>227</v>
      </c>
      <c r="G758" s="49" t="n">
        <v>0.02</v>
      </c>
      <c r="H758" s="50" t="n">
        <f aca="false">MAX(0,IF(AND(Parameter!$B$21="Ja",ISNUMBER(Y758)),Y758,IF(Parameter!$B$20="Jahresanfang 2025 + Export",BR758+BQ758,BQ758)))</f>
        <v>227</v>
      </c>
      <c r="I758" s="50" t="n">
        <f aca="false">H758*G758</f>
        <v>4.54</v>
      </c>
      <c r="J758" s="50" t="n">
        <f aca="false">BT758*Parameter!$B$18</f>
        <v>12</v>
      </c>
      <c r="K758" s="51" t="n">
        <v>236.5</v>
      </c>
      <c r="L758" s="52" t="n">
        <v>0.0507399577167019</v>
      </c>
      <c r="M758" s="50" t="n">
        <v>0</v>
      </c>
      <c r="N758" s="50" t="n">
        <v>10</v>
      </c>
      <c r="O758" s="53" t="n">
        <v>14</v>
      </c>
      <c r="P758" s="48" t="s">
        <v>485</v>
      </c>
      <c r="Q758" s="50" t="n">
        <v>500</v>
      </c>
      <c r="R758" s="53" t="n">
        <f aca="false">IF(BZ758=1,0,IFERROR(VLOOKUP(BX758,'Gebinde-Kategorie'!$A$5:$N$45,13,0)+0,0))</f>
        <v>52</v>
      </c>
      <c r="S758" s="54"/>
      <c r="T758" s="55"/>
      <c r="U758" s="55"/>
      <c r="V758" s="55"/>
      <c r="W758" s="48"/>
      <c r="X758" s="50"/>
      <c r="Y758" s="50"/>
      <c r="Z758" s="48" t="n">
        <f aca="false">IF(A758="","",IF(AND(Parameter!$B$21="Ja",ISNUMBER(W758)),W758,IF(CC758="2+3",IF(ISNUMBER(SEARCH("grosser Artikel",BU758)),2,IFERROR(VLOOKUP(BX758,Parameter!$F$35:$G$64,2,0),2)),IF(OR(CC758="Nein",CC758=""),"-",CC758))))</f>
        <v>3</v>
      </c>
      <c r="AA758" s="55"/>
      <c r="AB758" s="56"/>
      <c r="AC758" s="50" t="n">
        <f aca="false">AV758</f>
        <v>10</v>
      </c>
      <c r="AD758" s="50" t="n">
        <f aca="false">MAX(AV758,H758)</f>
        <v>227</v>
      </c>
      <c r="AE758" s="57"/>
      <c r="AF758" s="50" t="n">
        <f aca="false">IF(LEFT(Cockpit!$C$5,1)="A",H758,IF(Parameter!$E$30="MAX-Bestand",IF(CH758=1,CI758,IF(LEFT(Cockpit!$C$5,1)="B",AL758,MAX(AL758,H758))),ROUNDUP(AJ758,0)))</f>
        <v>227</v>
      </c>
      <c r="AG758" s="50" t="n">
        <f aca="false">IF(BZ758=1,0,ROUNDUP(AF758/BY758,0))</f>
        <v>1</v>
      </c>
      <c r="AH758" s="52" t="n">
        <f aca="false">IF(CQ758&gt;0,CQ758*MAX(1,AF758/X758),IF(BZ758=1,IF(AF758&lt;=0,0,CD758*MAX(1,IF(H758&gt;0,AF758/H758,1))),IF(R758&gt;0,AG758/R758,0))/MAX(0.1,N(Parameter!$M$21)))</f>
        <v>0.0192307692307692</v>
      </c>
      <c r="AI758" s="50" t="n">
        <f aca="false">AH758*CB758</f>
        <v>2.98076923076923</v>
      </c>
      <c r="AJ758" s="51" t="n">
        <f aca="false">IF(LEFT(Cockpit!$C$5,1)="A",H758,IF(CH758=1,(CK758+CI758)/2,IF(LEFT(Cockpit!$C$5,1)="B",(CK758+AL758)/2,MAX((CK758+AL758)/2,H758))))</f>
        <v>227</v>
      </c>
      <c r="AK758" s="50" t="n">
        <f aca="false">AJ758*G758</f>
        <v>4.54</v>
      </c>
      <c r="AL758" s="50" t="n">
        <f aca="false">ROUNDUP(CK758+MAX(CL758,2*(J758/IF(CG758&gt;0,CG758,MAX(0.1,N(Cockpit!$C$6)))-CK758)),0)</f>
        <v>10</v>
      </c>
      <c r="AM758" s="51" t="n">
        <f aca="false">IF(AI758&gt;0,J758/AI758,-1)</f>
        <v>4.0258064516129</v>
      </c>
      <c r="AN758" s="51" t="n">
        <f aca="false">IF(AND(OR(CF758="L1",CF758="L23",CF758="LIFT"),AI758&gt;0),SUMIFS($AI$7:$AI$1843,$CF$7:$CF$1843,CF758,$AM$7:$AM$1843,"&gt;"&amp;AM758)+SUMIFS($AI$7:$AI$1843,$CF$7:$CF$1843,CF758,$AM$7:$AM$1843,AM758,$BW$7:$BW$1843,"&lt;="&amp;BW758),"")</f>
        <v>4346.76602564103</v>
      </c>
      <c r="AO758" s="58" t="n">
        <f aca="false">IF(AN758="",0,MAX(0,MIN(1,(IF(CF758="L1",Parameter!$H$5,IF(CF758="L23",Parameter!$H$6+Parameter!$H$7,Parameter!$H$5+Parameter!$H$6+Parameter!$H$7))-(AN758-AI758))/AI758)))</f>
        <v>1</v>
      </c>
      <c r="AP758" s="50" t="n">
        <f aca="false">IF(LEFT(Cockpit!$I$5,1)="A",H758,IF(Parameter!$E$30="MAX-Bestand",IF(CH758=1,CI758,IF(LEFT(Cockpit!$I$5,1)="B",AV758,MAX(AV758,H758))),ROUNDUP(AT758,0)))</f>
        <v>227</v>
      </c>
      <c r="AQ758" s="50" t="n">
        <f aca="false">IF(BZ758=1,0,ROUNDUP(AP758/BY758,0))</f>
        <v>1</v>
      </c>
      <c r="AR758" s="52" t="n">
        <f aca="false">IF(CQ758&gt;0,CQ758*MAX(1,AP758/X758),IF(BZ758=1,IF(AP758&lt;=0,0,CD758*MAX(1,IF(H758&gt;0,AP758/H758,1))),IF(R758&gt;0,AQ758/R758,0))/MAX(0.1,N(Parameter!$M$21)))</f>
        <v>0.0192307692307692</v>
      </c>
      <c r="AS758" s="50" t="n">
        <f aca="false">AR758*CB758</f>
        <v>2.98076923076923</v>
      </c>
      <c r="AT758" s="51" t="n">
        <f aca="false">IF(LEFT(Cockpit!$I$5,1)="A",H758,IF(CH758=1,(CK758+CI758)/2,IF(LEFT(Cockpit!$I$5,1)="B",(CK758+AV758)/2,MAX((CK758+AV758)/2,H758))))</f>
        <v>227</v>
      </c>
      <c r="AU758" s="50" t="n">
        <f aca="false">AT758*G758</f>
        <v>4.54</v>
      </c>
      <c r="AV758" s="50" t="n">
        <f aca="false">ROUNDUP(CK758+MAX(CL758,2*(J758/IF(CG758&gt;0,CG758,MAX(0.1,N(Cockpit!$I$6)))-CK758)),0)</f>
        <v>10</v>
      </c>
      <c r="AW758" s="51" t="n">
        <f aca="false">IF(AS758&gt;0,J758/AS758,-1)</f>
        <v>4.0258064516129</v>
      </c>
      <c r="AX758" s="51" t="n">
        <f aca="false">IF(AND(OR(CF758="L1",CF758="L23",CF758="LIFT"),AS758&gt;0),SUMIFS($AS$7:$AS$1843,$CF$7:$CF$1843,CF758,$AW$7:$AW$1843,"&gt;"&amp;AW758)+SUMIFS($AS$7:$AS$1843,$CF$7:$CF$1843,CF758,$AW$7:$AW$1843,AW758,$BW$7:$BW$1843,"&lt;="&amp;BW758),"")</f>
        <v>4955.76327838828</v>
      </c>
      <c r="AY758" s="58" t="n">
        <f aca="false">IF(AX758="",0,MAX(0,MIN(1,(IF(CF758="L1",Parameter!$H$5,IF(CF758="L23",Parameter!$H$6+Parameter!$H$7,Parameter!$H$5+Parameter!$H$6+Parameter!$H$7))-(AX758-AS758))/AS758)))</f>
        <v>1</v>
      </c>
      <c r="AZ758" s="50" t="n">
        <f aca="false">IF(LEFT(Cockpit!$O$5,1)="A",H758,IF(Parameter!$E$30="MAX-Bestand",IF(CH758=1,CI758,IF(LEFT(Cockpit!$O$5,1)="B",BF758,MAX(BF758,H758))),ROUNDUP(BD758,0)))</f>
        <v>5</v>
      </c>
      <c r="BA758" s="50" t="n">
        <f aca="false">IF(BZ758=1,0,ROUNDUP(AZ758/BY758,0))</f>
        <v>1</v>
      </c>
      <c r="BB758" s="52" t="n">
        <f aca="false">IF(CQ758&gt;0,CQ758*MAX(1,AZ758/X758),IF(BZ758=1,IF(AZ758&lt;=0,0,CD758*MAX(1,IF(H758&gt;0,AZ758/H758,1))),IF(R758&gt;0,BA758/R758,0))/MAX(0.1,N(Parameter!$M$21)))</f>
        <v>0.0192307692307692</v>
      </c>
      <c r="BC758" s="50" t="n">
        <f aca="false">BB758*CB758</f>
        <v>2.98076923076923</v>
      </c>
      <c r="BD758" s="51" t="n">
        <f aca="false">IF(LEFT(Cockpit!$O$5,1)="A",H758,IF(CH758=1,(CK758+CI758)/2,IF(LEFT(Cockpit!$O$5,1)="B",(CK758+BF758)/2,MAX((CK758+BF758)/2,H758))))</f>
        <v>5</v>
      </c>
      <c r="BE758" s="50" t="n">
        <f aca="false">BD758*G758</f>
        <v>0.1</v>
      </c>
      <c r="BF758" s="50" t="n">
        <f aca="false">ROUNDUP(CK758+MAX(CL758,2*(J758/IF(CG758&gt;0,CG758,MAX(0.1,N(Cockpit!$O$6)))-CK758)),0)</f>
        <v>10</v>
      </c>
      <c r="BG758" s="51" t="n">
        <f aca="false">IF(BC758&gt;0,J758/BC758,-1)</f>
        <v>4.0258064516129</v>
      </c>
      <c r="BH758" s="51" t="n">
        <f aca="false">IF(AND(OR(CF758="L1",CF758="L23",CF758="LIFT"),BC758&gt;0),SUMIFS($BC$7:$BC$1843,$CF$7:$CF$1843,CF758,$BG$7:$BG$1843,"&gt;"&amp;BG758)+SUMIFS($BC$7:$BC$1843,$CF$7:$CF$1843,CF758,$BG$7:$BG$1843,BG758,$BW$7:$BW$1843,"&lt;="&amp;BW758),"")</f>
        <v>4067.37225274725</v>
      </c>
      <c r="BI758" s="58" t="n">
        <f aca="false">IF(BH758="",0,MAX(0,MIN(1,(IF(CF758="L1",Parameter!$H$5,IF(CF758="L23",Parameter!$H$6+Parameter!$H$7,Parameter!$H$5+Parameter!$H$6+Parameter!$H$7))-(BH758-BC758))/BC758)))</f>
        <v>1</v>
      </c>
      <c r="BJ758" s="48" t="str">
        <f aca="false">IF(AI758&lt;=0,"",IF(CF758="Aussen","Aussenlager",IF(CF758="-","Nicht im Lift",IF(AO758&gt;=1,"Lift",IF(AO758&lt;=0,"Aussenlager","teilweise")))))</f>
        <v>Lift</v>
      </c>
      <c r="BK758" s="48" t="str">
        <f aca="false">IF(AS758&lt;=0,"",IF(CF758="Aussen","Aussenlager",IF(CF758="-","Nicht im Lift",IF(AY758&gt;=1,"Lift",IF(AY758&lt;=0,"Aussenlager","teilweise")))))</f>
        <v>Lift</v>
      </c>
      <c r="BL758" s="48" t="str">
        <f aca="false">IF(BC758&lt;=0,"",IF(CF758="Aussen","Aussenlager",IF(CF758="-","Nicht im Lift",IF(BI758&gt;=1,"Lift",IF(BI758&lt;=0,"Aussenlager","teilweise")))))</f>
        <v>Lift</v>
      </c>
      <c r="BM758" s="48" t="str">
        <f aca="false">IF(A758="","",IF(BV758=1,"Neu; ","")&amp;IF(AND(BV758=0,BQ758&lt;0),"negativer Bestand (Export "&amp;BQ758&amp;"); ","")&amp;IF(J758&lt;=0,"Kein Verbrauch; ","")&amp;IF(CQ758&gt;0,"Lift "&amp;W758&amp;" lt. Liftbericht (Fach "&amp;X758&amp;" Stk); ",IF(CA758=1,"Gebinde geschätzt ("&amp;T758&amp;"); ",IF(BZ758=1,"Lose – Tablare geschätzt; ","")))&amp;IF(H758&gt;AV758,"Überbestand "&amp;ROUND(H758-AV758,0)&amp;" Stk / CHF "&amp;ROUND((H758-AV758)*G758,0)&amp;"; ","")&amp;IF(AND(CH758=1,CI758&lt;CJ758),"MAX &lt; MB+LG; ","")&amp;IF(AND(CP758&gt;0,CO758*10&gt;CP758),"zu hoch für Tablar; ","")&amp;IF(AND(BV758=0,OR(CH758=1,AA758&lt;&gt;"",U758&lt;&gt;"",V758&lt;&gt;"",AB758&lt;&gt;"")),"manuell übersteuert; ","")&amp;IF(AND(BZ758=0,R758=0),"Gebinde unbekannt / Stellmass fehlt; ","")&amp;IF(AND(BZ758=0,N(V758)&lt;=0,N(Q758)&lt;=0),"Menge pro Gebinde fehlt (Ist = 1 Gebinde); ","")&amp;BU758)</f>
        <v>negativer Bestand (Export -19); Überbestand 217 Stk / CHF 4; Neu</v>
      </c>
      <c r="BN758" s="48"/>
      <c r="BO758" s="48"/>
      <c r="BP758" s="55"/>
      <c r="BQ758" s="50" t="n">
        <v>-19</v>
      </c>
      <c r="BR758" s="50" t="n">
        <v>246</v>
      </c>
      <c r="BS758" s="49" t="n">
        <v>-0.38</v>
      </c>
      <c r="BT758" s="50" t="n">
        <v>12</v>
      </c>
      <c r="BU758" s="48" t="s">
        <v>635</v>
      </c>
      <c r="BV758" s="53" t="n">
        <v>0</v>
      </c>
      <c r="BW758" s="53" t="n">
        <v>758</v>
      </c>
      <c r="BX758" s="48" t="str">
        <f aca="false">IF(U758&lt;&gt;"",UPPER(TRIM(U758)),IF(CA758=1,UPPER(VLOOKUP(T758,Parameter!$I$27:$K$29,2,0)),IF(P758="","LOSE",P758)))</f>
        <v>S33</v>
      </c>
      <c r="BY758" s="50" t="n">
        <f aca="false">IF(BX758="LOSE",1,IF(N(V758)&gt;0,V758,IF(CA758=1,MAX(1,N(VLOOKUP(T758,Parameter!$I$27:$K$29,3,0)),H758,N(N758)),IF(N(Q758)&gt;0,Q758,MAX(1,H758)))))</f>
        <v>500</v>
      </c>
      <c r="BZ758" s="53" t="n">
        <f aca="false">IF(BX758="LOSE",1,0)</f>
        <v>0</v>
      </c>
      <c r="CA758" s="53" t="n">
        <f aca="false">IF(AND(U758="",OR(P758="",P758="LOSE"),T758&lt;&gt;"",N(S758)&lt;=0,ISNUMBER(MATCH(T758,Parameter!$I$27:$I$29,0))),1,0)</f>
        <v>0</v>
      </c>
      <c r="CB758" s="53" t="n">
        <f aca="false">IF(CQ758&gt;0,INDEX(Parameter!$H$5:$H$7,W758)/INDEX(Parameter!$E$5:$E$7,W758),IF(AND(BZ758=0,N(IFERROR(VLOOKUP(BX758,'Gebinde-Kategorie'!$A$5:$N$45,14,0),0))&gt;0),VLOOKUP(BX758,'Gebinde-Kategorie'!$A$5:$N$45,14,0)*10+Parameter!$M$23,Parameter!$M$24))</f>
        <v>155</v>
      </c>
      <c r="CC758" s="48" t="str">
        <f aca="false">IF(AND(Parameter!$B$19="Ja",E758&lt;&gt;"",ISNUMBER(MATCH(E758,Parameter!$I$35:$I$52,0))),VLOOKUP(E758,Parameter!$I$35:$J$52,2,0),IFERROR(VLOOKUP(D758,Parameter!$A$35:$C$64,2,0),"Nein"))</f>
        <v>2+3</v>
      </c>
      <c r="CD758" s="52" t="n">
        <f aca="false">IF(BZ758=0,0,IF(N(S758)&gt;0,S758,IFERROR(VLOOKUP(D758,Parameter!$A$35:$C$64,3,0)+0,0)))</f>
        <v>0</v>
      </c>
      <c r="CE758" s="48" t="n">
        <f aca="false">IF(AA758&lt;&gt;"",AA758,Z758)</f>
        <v>3</v>
      </c>
      <c r="CF758" s="48" t="str">
        <f aca="false">IF(OR(CE758=1,CE758=2,CE758=3),IF(Parameter!$E$27="Ja","LIFT",IF(CE758=1,"L1","L23")),IF(CE758="Aussen","Aussen","-"))</f>
        <v>LIFT</v>
      </c>
      <c r="CG758" s="59" t="n">
        <f aca="false">IF(N(AB758)&gt;0,AB758,0)</f>
        <v>0</v>
      </c>
      <c r="CH758" s="53" t="n">
        <f aca="false">IF(ISNUMBER(AE758),1,0)</f>
        <v>0</v>
      </c>
      <c r="CI758" s="50" t="n">
        <f aca="false">N(AE758)</f>
        <v>0</v>
      </c>
      <c r="CJ758" s="50" t="n">
        <f aca="false">N(M758)+N(N758)</f>
        <v>10</v>
      </c>
      <c r="CK758" s="50" t="n">
        <f aca="false">N(M758)</f>
        <v>0</v>
      </c>
      <c r="CL758" s="50" t="n">
        <f aca="false">N(N758)</f>
        <v>10</v>
      </c>
      <c r="CM758" s="50" t="n">
        <f aca="false">ROUNDUP(H758/BY758,0)</f>
        <v>1</v>
      </c>
      <c r="CN758" s="50" t="n">
        <f aca="false">ROUNDUP(CI758/BY758,0)</f>
        <v>0</v>
      </c>
      <c r="CO758" s="53" t="n">
        <f aca="false">IF(BZ758=1,0,IFERROR(VLOOKUP(BX758,'Gebinde-Kategorie'!$A$5:$N$45,5,0)+0,0))</f>
        <v>8</v>
      </c>
      <c r="CP758" s="53" t="n">
        <f aca="false">IFERROR(IF(OR(CE758=1,CE758=2,CE758=3),N(INDEX(Parameter!$I$5:$I$7,CE758)),0),0)</f>
        <v>0</v>
      </c>
      <c r="CQ758" s="52" t="n">
        <f aca="false">IF(AND(Parameter!$B$21="Ja",ISNUMBER(W758),N(X758)&gt;0),IFERROR(N(INDEX(Parameter!$L$5:$L$7,W758))*INDEX(Parameter!$E$5:$E$7,W758)*X758/SUMIFS($X$7:$X$1843,$W$7:$W$1843,W758),0),0)</f>
        <v>0</v>
      </c>
    </row>
    <row r="759" customFormat="false" ht="15" hidden="false" customHeight="false" outlineLevel="0" collapsed="false">
      <c r="A759" s="48" t="s">
        <v>1507</v>
      </c>
      <c r="B759" s="48" t="s">
        <v>414</v>
      </c>
      <c r="C759" s="48" t="s">
        <v>173</v>
      </c>
      <c r="D759" s="48" t="s">
        <v>193</v>
      </c>
      <c r="E759" s="48" t="s">
        <v>194</v>
      </c>
      <c r="F759" s="48" t="s">
        <v>227</v>
      </c>
      <c r="G759" s="49" t="n">
        <v>0.03</v>
      </c>
      <c r="H759" s="50" t="n">
        <f aca="false">MAX(0,IF(AND(Parameter!$B$21="Ja",ISNUMBER(Y759)),Y759,IF(Parameter!$B$20="Jahresanfang 2025 + Export",BR759+BQ759,BQ759)))</f>
        <v>205</v>
      </c>
      <c r="I759" s="50" t="n">
        <f aca="false">H759*G759</f>
        <v>6.15</v>
      </c>
      <c r="J759" s="50" t="n">
        <f aca="false">BT759*Parameter!$B$18</f>
        <v>0</v>
      </c>
      <c r="K759" s="51" t="n">
        <v>220</v>
      </c>
      <c r="L759" s="52" t="n">
        <v>0</v>
      </c>
      <c r="M759" s="50" t="n">
        <v>0</v>
      </c>
      <c r="N759" s="50" t="n">
        <v>1</v>
      </c>
      <c r="O759" s="53" t="n">
        <v>14</v>
      </c>
      <c r="P759" s="48" t="s">
        <v>435</v>
      </c>
      <c r="Q759" s="50" t="n">
        <v>259</v>
      </c>
      <c r="R759" s="53" t="n">
        <f aca="false">IF(BZ759=1,0,IFERROR(VLOOKUP(BX759,'Gebinde-Kategorie'!$A$5:$N$45,13,0)+0,0))</f>
        <v>140</v>
      </c>
      <c r="S759" s="54"/>
      <c r="T759" s="55"/>
      <c r="U759" s="55"/>
      <c r="V759" s="55"/>
      <c r="W759" s="48"/>
      <c r="X759" s="50"/>
      <c r="Y759" s="50"/>
      <c r="Z759" s="48" t="n">
        <f aca="false">IF(A759="","",IF(AND(Parameter!$B$21="Ja",ISNUMBER(W759)),W759,IF(CC759="2+3",IF(ISNUMBER(SEARCH("grosser Artikel",BU759)),2,IFERROR(VLOOKUP(BX759,Parameter!$F$35:$G$64,2,0),2)),IF(OR(CC759="Nein",CC759=""),"-",CC759))))</f>
        <v>3</v>
      </c>
      <c r="AA759" s="55"/>
      <c r="AB759" s="56"/>
      <c r="AC759" s="50" t="n">
        <f aca="false">AV759</f>
        <v>1</v>
      </c>
      <c r="AD759" s="50" t="n">
        <f aca="false">MAX(AV759,H759)</f>
        <v>205</v>
      </c>
      <c r="AE759" s="57"/>
      <c r="AF759" s="50" t="n">
        <f aca="false">IF(LEFT(Cockpit!$C$5,1)="A",H759,IF(Parameter!$E$30="MAX-Bestand",IF(CH759=1,CI759,IF(LEFT(Cockpit!$C$5,1)="B",AL759,MAX(AL759,H759))),ROUNDUP(AJ759,0)))</f>
        <v>205</v>
      </c>
      <c r="AG759" s="50" t="n">
        <f aca="false">IF(BZ759=1,0,ROUNDUP(AF759/BY759,0))</f>
        <v>1</v>
      </c>
      <c r="AH759" s="52" t="n">
        <f aca="false">IF(CQ759&gt;0,CQ759*MAX(1,AF759/X759),IF(BZ759=1,IF(AF759&lt;=0,0,CD759*MAX(1,IF(H759&gt;0,AF759/H759,1))),IF(R759&gt;0,AG759/R759,0))/MAX(0.1,N(Parameter!$M$21)))</f>
        <v>0.00714285714285714</v>
      </c>
      <c r="AI759" s="50" t="n">
        <f aca="false">AH759*CB759</f>
        <v>1.10714285714286</v>
      </c>
      <c r="AJ759" s="51" t="n">
        <f aca="false">IF(LEFT(Cockpit!$C$5,1)="A",H759,IF(CH759=1,(CK759+CI759)/2,IF(LEFT(Cockpit!$C$5,1)="B",(CK759+AL759)/2,MAX((CK759+AL759)/2,H759))))</f>
        <v>205</v>
      </c>
      <c r="AK759" s="50" t="n">
        <f aca="false">AJ759*G759</f>
        <v>6.15</v>
      </c>
      <c r="AL759" s="50" t="n">
        <f aca="false">ROUNDUP(CK759+MAX(CL759,2*(J759/IF(CG759&gt;0,CG759,MAX(0.1,N(Cockpit!$C$6)))-CK759)),0)</f>
        <v>1</v>
      </c>
      <c r="AM759" s="51" t="n">
        <f aca="false">IF(AI759&gt;0,J759/AI759,-1)</f>
        <v>0</v>
      </c>
      <c r="AN759" s="51" t="n">
        <f aca="false">IF(AND(OR(CF759="L1",CF759="L23",CF759="LIFT"),AI759&gt;0),SUMIFS($AI$7:$AI$1843,$CF$7:$CF$1843,CF759,$AM$7:$AM$1843,"&gt;"&amp;AM759)+SUMIFS($AI$7:$AI$1843,$CF$7:$CF$1843,CF759,$AM$7:$AM$1843,AM759,$BW$7:$BW$1843,"&lt;="&amp;BW759),"")</f>
        <v>28720.87379452</v>
      </c>
      <c r="AO759" s="58" t="n">
        <f aca="false">IF(AN759="",0,MAX(0,MIN(1,(IF(CF759="L1",Parameter!$H$5,IF(CF759="L23",Parameter!$H$6+Parameter!$H$7,Parameter!$H$5+Parameter!$H$6+Parameter!$H$7))-(AN759-AI759))/AI759)))</f>
        <v>1</v>
      </c>
      <c r="AP759" s="50" t="n">
        <f aca="false">IF(LEFT(Cockpit!$I$5,1)="A",H759,IF(Parameter!$E$30="MAX-Bestand",IF(CH759=1,CI759,IF(LEFT(Cockpit!$I$5,1)="B",AV759,MAX(AV759,H759))),ROUNDUP(AT759,0)))</f>
        <v>205</v>
      </c>
      <c r="AQ759" s="50" t="n">
        <f aca="false">IF(BZ759=1,0,ROUNDUP(AP759/BY759,0))</f>
        <v>1</v>
      </c>
      <c r="AR759" s="52" t="n">
        <f aca="false">IF(CQ759&gt;0,CQ759*MAX(1,AP759/X759),IF(BZ759=1,IF(AP759&lt;=0,0,CD759*MAX(1,IF(H759&gt;0,AP759/H759,1))),IF(R759&gt;0,AQ759/R759,0))/MAX(0.1,N(Parameter!$M$21)))</f>
        <v>0.00714285714285714</v>
      </c>
      <c r="AS759" s="50" t="n">
        <f aca="false">AR759*CB759</f>
        <v>1.10714285714286</v>
      </c>
      <c r="AT759" s="51" t="n">
        <f aca="false">IF(LEFT(Cockpit!$I$5,1)="A",H759,IF(CH759=1,(CK759+CI759)/2,IF(LEFT(Cockpit!$I$5,1)="B",(CK759+AV759)/2,MAX((CK759+AV759)/2,H759))))</f>
        <v>205</v>
      </c>
      <c r="AU759" s="50" t="n">
        <f aca="false">AT759*G759</f>
        <v>6.15</v>
      </c>
      <c r="AV759" s="50" t="n">
        <f aca="false">ROUNDUP(CK759+MAX(CL759,2*(J759/IF(CG759&gt;0,CG759,MAX(0.1,N(Cockpit!$I$6)))-CK759)),0)</f>
        <v>1</v>
      </c>
      <c r="AW759" s="51" t="n">
        <f aca="false">IF(AS759&gt;0,J759/AS759,-1)</f>
        <v>0</v>
      </c>
      <c r="AX759" s="51" t="n">
        <f aca="false">IF(AND(OR(CF759="L1",CF759="L23",CF759="LIFT"),AS759&gt;0),SUMIFS($AS$7:$AS$1843,$CF$7:$CF$1843,CF759,$AW$7:$AW$1843,"&gt;"&amp;AW759)+SUMIFS($AS$7:$AS$1843,$CF$7:$CF$1843,CF759,$AW$7:$AW$1843,AW759,$BW$7:$BW$1843,"&lt;="&amp;BW759),"")</f>
        <v>34325.6570512821</v>
      </c>
      <c r="AY759" s="58" t="n">
        <f aca="false">IF(AX759="",0,MAX(0,MIN(1,(IF(CF759="L1",Parameter!$H$5,IF(CF759="L23",Parameter!$H$6+Parameter!$H$7,Parameter!$H$5+Parameter!$H$6+Parameter!$H$7))-(AX759-AS759))/AS759)))</f>
        <v>1</v>
      </c>
      <c r="AZ759" s="50" t="n">
        <f aca="false">IF(LEFT(Cockpit!$O$5,1)="A",H759,IF(Parameter!$E$30="MAX-Bestand",IF(CH759=1,CI759,IF(LEFT(Cockpit!$O$5,1)="B",BF759,MAX(BF759,H759))),ROUNDUP(BD759,0)))</f>
        <v>1</v>
      </c>
      <c r="BA759" s="50" t="n">
        <f aca="false">IF(BZ759=1,0,ROUNDUP(AZ759/BY759,0))</f>
        <v>1</v>
      </c>
      <c r="BB759" s="52" t="n">
        <f aca="false">IF(CQ759&gt;0,CQ759*MAX(1,AZ759/X759),IF(BZ759=1,IF(AZ759&lt;=0,0,CD759*MAX(1,IF(H759&gt;0,AZ759/H759,1))),IF(R759&gt;0,BA759/R759,0))/MAX(0.1,N(Parameter!$M$21)))</f>
        <v>0.00714285714285714</v>
      </c>
      <c r="BC759" s="50" t="n">
        <f aca="false">BB759*CB759</f>
        <v>1.10714285714286</v>
      </c>
      <c r="BD759" s="51" t="n">
        <f aca="false">IF(LEFT(Cockpit!$O$5,1)="A",H759,IF(CH759=1,(CK759+CI759)/2,IF(LEFT(Cockpit!$O$5,1)="B",(CK759+BF759)/2,MAX((CK759+BF759)/2,H759))))</f>
        <v>0.5</v>
      </c>
      <c r="BE759" s="50" t="n">
        <f aca="false">BD759*G759</f>
        <v>0.015</v>
      </c>
      <c r="BF759" s="50" t="n">
        <f aca="false">ROUNDUP(CK759+MAX(CL759,2*(J759/IF(CG759&gt;0,CG759,MAX(0.1,N(Cockpit!$O$6)))-CK759)),0)</f>
        <v>1</v>
      </c>
      <c r="BG759" s="51" t="n">
        <f aca="false">IF(BC759&gt;0,J759/BC759,-1)</f>
        <v>0</v>
      </c>
      <c r="BH759" s="51" t="n">
        <f aca="false">IF(AND(OR(CF759="L1",CF759="L23",CF759="LIFT"),BC759&gt;0),SUMIFS($BC$7:$BC$1843,$CF$7:$CF$1843,CF759,$BG$7:$BG$1843,"&gt;"&amp;BG759)+SUMIFS($BC$7:$BC$1843,$CF$7:$CF$1843,CF759,$BG$7:$BG$1843,BG759,$BW$7:$BW$1843,"&lt;="&amp;BW759),"")</f>
        <v>28375.4884367045</v>
      </c>
      <c r="BI759" s="58" t="n">
        <f aca="false">IF(BH759="",0,MAX(0,MIN(1,(IF(CF759="L1",Parameter!$H$5,IF(CF759="L23",Parameter!$H$6+Parameter!$H$7,Parameter!$H$5+Parameter!$H$6+Parameter!$H$7))-(BH759-BC759))/BC759)))</f>
        <v>1</v>
      </c>
      <c r="BJ759" s="48" t="str">
        <f aca="false">IF(AI759&lt;=0,"",IF(CF759="Aussen","Aussenlager",IF(CF759="-","Nicht im Lift",IF(AO759&gt;=1,"Lift",IF(AO759&lt;=0,"Aussenlager","teilweise")))))</f>
        <v>Lift</v>
      </c>
      <c r="BK759" s="48" t="str">
        <f aca="false">IF(AS759&lt;=0,"",IF(CF759="Aussen","Aussenlager",IF(CF759="-","Nicht im Lift",IF(AY759&gt;=1,"Lift",IF(AY759&lt;=0,"Aussenlager","teilweise")))))</f>
        <v>Lift</v>
      </c>
      <c r="BL759" s="48" t="str">
        <f aca="false">IF(BC759&lt;=0,"",IF(CF759="Aussen","Aussenlager",IF(CF759="-","Nicht im Lift",IF(BI759&gt;=1,"Lift",IF(BI759&lt;=0,"Aussenlager","teilweise")))))</f>
        <v>Lift</v>
      </c>
      <c r="BM759" s="48" t="str">
        <f aca="false">IF(A759="","",IF(BV759=1,"Neu; ","")&amp;IF(AND(BV759=0,BQ759&lt;0),"negativer Bestand (Export "&amp;BQ759&amp;"); ","")&amp;IF(J759&lt;=0,"Kein Verbrauch; ","")&amp;IF(CQ759&gt;0,"Lift "&amp;W759&amp;" lt. Liftbericht (Fach "&amp;X759&amp;" Stk); ",IF(CA759=1,"Gebinde geschätzt ("&amp;T759&amp;"); ",IF(BZ759=1,"Lose – Tablare geschätzt; ","")))&amp;IF(H759&gt;AV759,"Überbestand "&amp;ROUND(H759-AV759,0)&amp;" Stk / CHF "&amp;ROUND((H759-AV759)*G759,0)&amp;"; ","")&amp;IF(AND(CH759=1,CI759&lt;CJ759),"MAX &lt; MB+LG; ","")&amp;IF(AND(CP759&gt;0,CO759*10&gt;CP759),"zu hoch für Tablar; ","")&amp;IF(AND(BV759=0,OR(CH759=1,AA759&lt;&gt;"",U759&lt;&gt;"",V759&lt;&gt;"",AB759&lt;&gt;"")),"manuell übersteuert; ","")&amp;IF(AND(BZ759=0,R759=0),"Gebinde unbekannt / Stellmass fehlt; ","")&amp;IF(AND(BZ759=0,N(V759)&lt;=0,N(Q759)&lt;=0),"Menge pro Gebinde fehlt (Ist = 1 Gebinde); ","")&amp;BU759)</f>
        <v>negativer Bestand (Export -20); Kein Verbrauch; Überbestand 204 Stk / CHF 6; Überbestand</v>
      </c>
      <c r="BN759" s="48"/>
      <c r="BO759" s="48"/>
      <c r="BP759" s="55"/>
      <c r="BQ759" s="50" t="n">
        <v>-20</v>
      </c>
      <c r="BR759" s="50" t="n">
        <v>225</v>
      </c>
      <c r="BS759" s="49" t="n">
        <v>-0.6</v>
      </c>
      <c r="BT759" s="50" t="n">
        <v>0</v>
      </c>
      <c r="BU759" s="48" t="s">
        <v>401</v>
      </c>
      <c r="BV759" s="53" t="n">
        <v>0</v>
      </c>
      <c r="BW759" s="53" t="n">
        <v>759</v>
      </c>
      <c r="BX759" s="48" t="str">
        <f aca="false">IF(U759&lt;&gt;"",UPPER(TRIM(U759)),IF(CA759=1,UPPER(VLOOKUP(T759,Parameter!$I$27:$K$29,2,0)),IF(P759="","LOSE",P759)))</f>
        <v>S22</v>
      </c>
      <c r="BY759" s="50" t="n">
        <f aca="false">IF(BX759="LOSE",1,IF(N(V759)&gt;0,V759,IF(CA759=1,MAX(1,N(VLOOKUP(T759,Parameter!$I$27:$K$29,3,0)),H759,N(N759)),IF(N(Q759)&gt;0,Q759,MAX(1,H759)))))</f>
        <v>259</v>
      </c>
      <c r="BZ759" s="53" t="n">
        <f aca="false">IF(BX759="LOSE",1,0)</f>
        <v>0</v>
      </c>
      <c r="CA759" s="53" t="n">
        <f aca="false">IF(AND(U759="",OR(P759="",P759="LOSE"),T759&lt;&gt;"",N(S759)&lt;=0,ISNUMBER(MATCH(T759,Parameter!$I$27:$I$29,0))),1,0)</f>
        <v>0</v>
      </c>
      <c r="CB759" s="53" t="n">
        <f aca="false">IF(CQ759&gt;0,INDEX(Parameter!$H$5:$H$7,W759)/INDEX(Parameter!$E$5:$E$7,W759),IF(AND(BZ759=0,N(IFERROR(VLOOKUP(BX759,'Gebinde-Kategorie'!$A$5:$N$45,14,0),0))&gt;0),VLOOKUP(BX759,'Gebinde-Kategorie'!$A$5:$N$45,14,0)*10+Parameter!$M$23,Parameter!$M$24))</f>
        <v>155</v>
      </c>
      <c r="CC759" s="48" t="str">
        <f aca="false">IF(AND(Parameter!$B$19="Ja",E759&lt;&gt;"",ISNUMBER(MATCH(E759,Parameter!$I$35:$I$52,0))),VLOOKUP(E759,Parameter!$I$35:$J$52,2,0),IFERROR(VLOOKUP(D759,Parameter!$A$35:$C$64,2,0),"Nein"))</f>
        <v>2+3</v>
      </c>
      <c r="CD759" s="52" t="n">
        <f aca="false">IF(BZ759=0,0,IF(N(S759)&gt;0,S759,IFERROR(VLOOKUP(D759,Parameter!$A$35:$C$64,3,0)+0,0)))</f>
        <v>0</v>
      </c>
      <c r="CE759" s="48" t="n">
        <f aca="false">IF(AA759&lt;&gt;"",AA759,Z759)</f>
        <v>3</v>
      </c>
      <c r="CF759" s="48" t="str">
        <f aca="false">IF(OR(CE759=1,CE759=2,CE759=3),IF(Parameter!$E$27="Ja","LIFT",IF(CE759=1,"L1","L23")),IF(CE759="Aussen","Aussen","-"))</f>
        <v>LIFT</v>
      </c>
      <c r="CG759" s="59" t="n">
        <f aca="false">IF(N(AB759)&gt;0,AB759,0)</f>
        <v>0</v>
      </c>
      <c r="CH759" s="53" t="n">
        <f aca="false">IF(ISNUMBER(AE759),1,0)</f>
        <v>0</v>
      </c>
      <c r="CI759" s="50" t="n">
        <f aca="false">N(AE759)</f>
        <v>0</v>
      </c>
      <c r="CJ759" s="50" t="n">
        <f aca="false">N(M759)+N(N759)</f>
        <v>1</v>
      </c>
      <c r="CK759" s="50" t="n">
        <f aca="false">N(M759)</f>
        <v>0</v>
      </c>
      <c r="CL759" s="50" t="n">
        <f aca="false">N(N759)</f>
        <v>1</v>
      </c>
      <c r="CM759" s="50" t="n">
        <f aca="false">ROUNDUP(H759/BY759,0)</f>
        <v>1</v>
      </c>
      <c r="CN759" s="50" t="n">
        <f aca="false">ROUNDUP(CI759/BY759,0)</f>
        <v>0</v>
      </c>
      <c r="CO759" s="53" t="n">
        <f aca="false">IF(BZ759=1,0,IFERROR(VLOOKUP(BX759,'Gebinde-Kategorie'!$A$5:$N$45,5,0)+0,0))</f>
        <v>8</v>
      </c>
      <c r="CP759" s="53" t="n">
        <f aca="false">IFERROR(IF(OR(CE759=1,CE759=2,CE759=3),N(INDEX(Parameter!$I$5:$I$7,CE759)),0),0)</f>
        <v>0</v>
      </c>
      <c r="CQ759" s="52" t="n">
        <f aca="false">IF(AND(Parameter!$B$21="Ja",ISNUMBER(W759),N(X759)&gt;0),IFERROR(N(INDEX(Parameter!$L$5:$L$7,W759))*INDEX(Parameter!$E$5:$E$7,W759)*X759/SUMIFS($X$7:$X$1843,$W$7:$W$1843,W759),0),0)</f>
        <v>0</v>
      </c>
    </row>
    <row r="760" customFormat="false" ht="15" hidden="false" customHeight="false" outlineLevel="0" collapsed="false">
      <c r="A760" s="48" t="s">
        <v>1508</v>
      </c>
      <c r="B760" s="48" t="s">
        <v>1275</v>
      </c>
      <c r="C760" s="48" t="s">
        <v>173</v>
      </c>
      <c r="D760" s="48" t="s">
        <v>193</v>
      </c>
      <c r="E760" s="48"/>
      <c r="F760" s="48" t="s">
        <v>227</v>
      </c>
      <c r="G760" s="49" t="n">
        <v>0.09</v>
      </c>
      <c r="H760" s="50" t="n">
        <f aca="false">MAX(0,IF(AND(Parameter!$B$21="Ja",ISNUMBER(Y760)),Y760,IF(Parameter!$B$20="Jahresanfang 2025 + Export",BR760+BQ760,BQ760)))</f>
        <v>298</v>
      </c>
      <c r="I760" s="50" t="n">
        <f aca="false">H760*G760</f>
        <v>26.82</v>
      </c>
      <c r="J760" s="50" t="n">
        <f aca="false">BT760*Parameter!$B$18</f>
        <v>4</v>
      </c>
      <c r="K760" s="51" t="n">
        <v>301.5</v>
      </c>
      <c r="L760" s="52" t="n">
        <v>0.0132669983416252</v>
      </c>
      <c r="M760" s="50" t="n">
        <v>0</v>
      </c>
      <c r="N760" s="50" t="n">
        <v>5</v>
      </c>
      <c r="O760" s="53" t="n">
        <v>21</v>
      </c>
      <c r="P760" s="48" t="s">
        <v>435</v>
      </c>
      <c r="Q760" s="50" t="n">
        <v>300</v>
      </c>
      <c r="R760" s="53" t="n">
        <f aca="false">IF(BZ760=1,0,IFERROR(VLOOKUP(BX760,'Gebinde-Kategorie'!$A$5:$N$45,13,0)+0,0))</f>
        <v>140</v>
      </c>
      <c r="S760" s="54"/>
      <c r="T760" s="55"/>
      <c r="U760" s="55"/>
      <c r="V760" s="55"/>
      <c r="W760" s="48"/>
      <c r="X760" s="50"/>
      <c r="Y760" s="50"/>
      <c r="Z760" s="48" t="n">
        <f aca="false">IF(A760="","",IF(AND(Parameter!$B$21="Ja",ISNUMBER(W760)),W760,IF(CC760="2+3",IF(ISNUMBER(SEARCH("grosser Artikel",BU760)),2,IFERROR(VLOOKUP(BX760,Parameter!$F$35:$G$64,2,0),2)),IF(OR(CC760="Nein",CC760=""),"-",CC760))))</f>
        <v>3</v>
      </c>
      <c r="AA760" s="55"/>
      <c r="AB760" s="56"/>
      <c r="AC760" s="50" t="n">
        <f aca="false">AV760</f>
        <v>5</v>
      </c>
      <c r="AD760" s="50" t="n">
        <f aca="false">MAX(AV760,H760)</f>
        <v>298</v>
      </c>
      <c r="AE760" s="57"/>
      <c r="AF760" s="50" t="n">
        <f aca="false">IF(LEFT(Cockpit!$C$5,1)="A",H760,IF(Parameter!$E$30="MAX-Bestand",IF(CH760=1,CI760,IF(LEFT(Cockpit!$C$5,1)="B",AL760,MAX(AL760,H760))),ROUNDUP(AJ760,0)))</f>
        <v>298</v>
      </c>
      <c r="AG760" s="50" t="n">
        <f aca="false">IF(BZ760=1,0,ROUNDUP(AF760/BY760,0))</f>
        <v>1</v>
      </c>
      <c r="AH760" s="52" t="n">
        <f aca="false">IF(CQ760&gt;0,CQ760*MAX(1,AF760/X760),IF(BZ760=1,IF(AF760&lt;=0,0,CD760*MAX(1,IF(H760&gt;0,AF760/H760,1))),IF(R760&gt;0,AG760/R760,0))/MAX(0.1,N(Parameter!$M$21)))</f>
        <v>0.00714285714285714</v>
      </c>
      <c r="AI760" s="50" t="n">
        <f aca="false">AH760*CB760</f>
        <v>1.10714285714286</v>
      </c>
      <c r="AJ760" s="51" t="n">
        <f aca="false">IF(LEFT(Cockpit!$C$5,1)="A",H760,IF(CH760=1,(CK760+CI760)/2,IF(LEFT(Cockpit!$C$5,1)="B",(CK760+AL760)/2,MAX((CK760+AL760)/2,H760))))</f>
        <v>298</v>
      </c>
      <c r="AK760" s="50" t="n">
        <f aca="false">AJ760*G760</f>
        <v>26.82</v>
      </c>
      <c r="AL760" s="50" t="n">
        <f aca="false">ROUNDUP(CK760+MAX(CL760,2*(J760/IF(CG760&gt;0,CG760,MAX(0.1,N(Cockpit!$C$6)))-CK760)),0)</f>
        <v>5</v>
      </c>
      <c r="AM760" s="51" t="n">
        <f aca="false">IF(AI760&gt;0,J760/AI760,-1)</f>
        <v>3.61290322580645</v>
      </c>
      <c r="AN760" s="51" t="n">
        <f aca="false">IF(AND(OR(CF760="L1",CF760="L23",CF760="LIFT"),AI760&gt;0),SUMIFS($AI$7:$AI$1843,$CF$7:$CF$1843,CF760,$AM$7:$AM$1843,"&gt;"&amp;AM760)+SUMIFS($AI$7:$AI$1843,$CF$7:$CF$1843,CF760,$AM$7:$AM$1843,AM760,$BW$7:$BW$1843,"&lt;="&amp;BW760),"")</f>
        <v>4828.42765567766</v>
      </c>
      <c r="AO760" s="58" t="n">
        <f aca="false">IF(AN760="",0,MAX(0,MIN(1,(IF(CF760="L1",Parameter!$H$5,IF(CF760="L23",Parameter!$H$6+Parameter!$H$7,Parameter!$H$5+Parameter!$H$6+Parameter!$H$7))-(AN760-AI760))/AI760)))</f>
        <v>1</v>
      </c>
      <c r="AP760" s="50" t="n">
        <f aca="false">IF(LEFT(Cockpit!$I$5,1)="A",H760,IF(Parameter!$E$30="MAX-Bestand",IF(CH760=1,CI760,IF(LEFT(Cockpit!$I$5,1)="B",AV760,MAX(AV760,H760))),ROUNDUP(AT760,0)))</f>
        <v>298</v>
      </c>
      <c r="AQ760" s="50" t="n">
        <f aca="false">IF(BZ760=1,0,ROUNDUP(AP760/BY760,0))</f>
        <v>1</v>
      </c>
      <c r="AR760" s="52" t="n">
        <f aca="false">IF(CQ760&gt;0,CQ760*MAX(1,AP760/X760),IF(BZ760=1,IF(AP760&lt;=0,0,CD760*MAX(1,IF(H760&gt;0,AP760/H760,1))),IF(R760&gt;0,AQ760/R760,0))/MAX(0.1,N(Parameter!$M$21)))</f>
        <v>0.00714285714285714</v>
      </c>
      <c r="AS760" s="50" t="n">
        <f aca="false">AR760*CB760</f>
        <v>1.10714285714286</v>
      </c>
      <c r="AT760" s="51" t="n">
        <f aca="false">IF(LEFT(Cockpit!$I$5,1)="A",H760,IF(CH760=1,(CK760+CI760)/2,IF(LEFT(Cockpit!$I$5,1)="B",(CK760+AV760)/2,MAX((CK760+AV760)/2,H760))))</f>
        <v>298</v>
      </c>
      <c r="AU760" s="50" t="n">
        <f aca="false">AT760*G760</f>
        <v>26.82</v>
      </c>
      <c r="AV760" s="50" t="n">
        <f aca="false">ROUNDUP(CK760+MAX(CL760,2*(J760/IF(CG760&gt;0,CG760,MAX(0.1,N(Cockpit!$I$6)))-CK760)),0)</f>
        <v>5</v>
      </c>
      <c r="AW760" s="51" t="n">
        <f aca="false">IF(AS760&gt;0,J760/AS760,-1)</f>
        <v>3.61290322580645</v>
      </c>
      <c r="AX760" s="51" t="n">
        <f aca="false">IF(AND(OR(CF760="L1",CF760="L23",CF760="LIFT"),AS760&gt;0),SUMIFS($AS$7:$AS$1843,$CF$7:$CF$1843,CF760,$AW$7:$AW$1843,"&gt;"&amp;AW760)+SUMIFS($AS$7:$AS$1843,$CF$7:$CF$1843,CF760,$AW$7:$AW$1843,AW760,$BW$7:$BW$1843,"&lt;="&amp;BW760),"")</f>
        <v>5406.01465201465</v>
      </c>
      <c r="AY760" s="58" t="n">
        <f aca="false">IF(AX760="",0,MAX(0,MIN(1,(IF(CF760="L1",Parameter!$H$5,IF(CF760="L23",Parameter!$H$6+Parameter!$H$7,Parameter!$H$5+Parameter!$H$6+Parameter!$H$7))-(AX760-AS760))/AS760)))</f>
        <v>1</v>
      </c>
      <c r="AZ760" s="50" t="n">
        <f aca="false">IF(LEFT(Cockpit!$O$5,1)="A",H760,IF(Parameter!$E$30="MAX-Bestand",IF(CH760=1,CI760,IF(LEFT(Cockpit!$O$5,1)="B",BF760,MAX(BF760,H760))),ROUNDUP(BD760,0)))</f>
        <v>3</v>
      </c>
      <c r="BA760" s="50" t="n">
        <f aca="false">IF(BZ760=1,0,ROUNDUP(AZ760/BY760,0))</f>
        <v>1</v>
      </c>
      <c r="BB760" s="52" t="n">
        <f aca="false">IF(CQ760&gt;0,CQ760*MAX(1,AZ760/X760),IF(BZ760=1,IF(AZ760&lt;=0,0,CD760*MAX(1,IF(H760&gt;0,AZ760/H760,1))),IF(R760&gt;0,BA760/R760,0))/MAX(0.1,N(Parameter!$M$21)))</f>
        <v>0.00714285714285714</v>
      </c>
      <c r="BC760" s="50" t="n">
        <f aca="false">BB760*CB760</f>
        <v>1.10714285714286</v>
      </c>
      <c r="BD760" s="51" t="n">
        <f aca="false">IF(LEFT(Cockpit!$O$5,1)="A",H760,IF(CH760=1,(CK760+CI760)/2,IF(LEFT(Cockpit!$O$5,1)="B",(CK760+BF760)/2,MAX((CK760+BF760)/2,H760))))</f>
        <v>2.5</v>
      </c>
      <c r="BE760" s="50" t="n">
        <f aca="false">BD760*G760</f>
        <v>0.225</v>
      </c>
      <c r="BF760" s="50" t="n">
        <f aca="false">ROUNDUP(CK760+MAX(CL760,2*(J760/IF(CG760&gt;0,CG760,MAX(0.1,N(Cockpit!$O$6)))-CK760)),0)</f>
        <v>5</v>
      </c>
      <c r="BG760" s="51" t="n">
        <f aca="false">IF(BC760&gt;0,J760/BC760,-1)</f>
        <v>3.61290322580645</v>
      </c>
      <c r="BH760" s="51" t="n">
        <f aca="false">IF(AND(OR(CF760="L1",CF760="L23",CF760="LIFT"),BC760&gt;0),SUMIFS($BC$7:$BC$1843,$CF$7:$CF$1843,CF760,$BG$7:$BG$1843,"&gt;"&amp;BG760)+SUMIFS($BC$7:$BC$1843,$CF$7:$CF$1843,CF760,$BG$7:$BG$1843,BG760,$BW$7:$BW$1843,"&lt;="&amp;BW760),"")</f>
        <v>4420.51144688645</v>
      </c>
      <c r="BI760" s="58" t="n">
        <f aca="false">IF(BH760="",0,MAX(0,MIN(1,(IF(CF760="L1",Parameter!$H$5,IF(CF760="L23",Parameter!$H$6+Parameter!$H$7,Parameter!$H$5+Parameter!$H$6+Parameter!$H$7))-(BH760-BC760))/BC760)))</f>
        <v>1</v>
      </c>
      <c r="BJ760" s="48" t="str">
        <f aca="false">IF(AI760&lt;=0,"",IF(CF760="Aussen","Aussenlager",IF(CF760="-","Nicht im Lift",IF(AO760&gt;=1,"Lift",IF(AO760&lt;=0,"Aussenlager","teilweise")))))</f>
        <v>Lift</v>
      </c>
      <c r="BK760" s="48" t="str">
        <f aca="false">IF(AS760&lt;=0,"",IF(CF760="Aussen","Aussenlager",IF(CF760="-","Nicht im Lift",IF(AY760&gt;=1,"Lift",IF(AY760&lt;=0,"Aussenlager","teilweise")))))</f>
        <v>Lift</v>
      </c>
      <c r="BL760" s="48" t="str">
        <f aca="false">IF(BC760&lt;=0,"",IF(CF760="Aussen","Aussenlager",IF(CF760="-","Nicht im Lift",IF(BI760&gt;=1,"Lift",IF(BI760&lt;=0,"Aussenlager","teilweise")))))</f>
        <v>Lift</v>
      </c>
      <c r="BM760" s="48" t="str">
        <f aca="false">IF(A760="","",IF(BV760=1,"Neu; ","")&amp;IF(AND(BV760=0,BQ760&lt;0),"negativer Bestand (Export "&amp;BQ760&amp;"); ","")&amp;IF(J760&lt;=0,"Kein Verbrauch; ","")&amp;IF(CQ760&gt;0,"Lift "&amp;W760&amp;" lt. Liftbericht (Fach "&amp;X760&amp;" Stk); ",IF(CA760=1,"Gebinde geschätzt ("&amp;T760&amp;"); ",IF(BZ760=1,"Lose – Tablare geschätzt; ","")))&amp;IF(H760&gt;AV760,"Überbestand "&amp;ROUND(H760-AV760,0)&amp;" Stk / CHF "&amp;ROUND((H760-AV760)*G760,0)&amp;"; ","")&amp;IF(AND(CH760=1,CI760&lt;CJ760),"MAX &lt; MB+LG; ","")&amp;IF(AND(CP760&gt;0,CO760*10&gt;CP760),"zu hoch für Tablar; ","")&amp;IF(AND(BV760=0,OR(CH760=1,AA760&lt;&gt;"",U760&lt;&gt;"",V760&lt;&gt;"",AB760&lt;&gt;"")),"manuell übersteuert; ","")&amp;IF(AND(BZ760=0,R760=0),"Gebinde unbekannt / Stellmass fehlt; ","")&amp;IF(AND(BZ760=0,N(V760)&lt;=0,N(Q760)&lt;=0),"Menge pro Gebinde fehlt (Ist = 1 Gebinde); ","")&amp;BU760)</f>
        <v>negativer Bestand (Export -7); Überbestand 293 Stk / CHF 26; </v>
      </c>
      <c r="BN760" s="48"/>
      <c r="BO760" s="48"/>
      <c r="BP760" s="55"/>
      <c r="BQ760" s="50" t="n">
        <v>-7</v>
      </c>
      <c r="BR760" s="50" t="n">
        <v>305</v>
      </c>
      <c r="BS760" s="49" t="n">
        <v>-0.63</v>
      </c>
      <c r="BT760" s="50" t="n">
        <v>4</v>
      </c>
      <c r="BU760" s="48"/>
      <c r="BV760" s="53" t="n">
        <v>0</v>
      </c>
      <c r="BW760" s="53" t="n">
        <v>760</v>
      </c>
      <c r="BX760" s="48" t="str">
        <f aca="false">IF(U760&lt;&gt;"",UPPER(TRIM(U760)),IF(CA760=1,UPPER(VLOOKUP(T760,Parameter!$I$27:$K$29,2,0)),IF(P760="","LOSE",P760)))</f>
        <v>S22</v>
      </c>
      <c r="BY760" s="50" t="n">
        <f aca="false">IF(BX760="LOSE",1,IF(N(V760)&gt;0,V760,IF(CA760=1,MAX(1,N(VLOOKUP(T760,Parameter!$I$27:$K$29,3,0)),H760,N(N760)),IF(N(Q760)&gt;0,Q760,MAX(1,H760)))))</f>
        <v>300</v>
      </c>
      <c r="BZ760" s="53" t="n">
        <f aca="false">IF(BX760="LOSE",1,0)</f>
        <v>0</v>
      </c>
      <c r="CA760" s="53" t="n">
        <f aca="false">IF(AND(U760="",OR(P760="",P760="LOSE"),T760&lt;&gt;"",N(S760)&lt;=0,ISNUMBER(MATCH(T760,Parameter!$I$27:$I$29,0))),1,0)</f>
        <v>0</v>
      </c>
      <c r="CB760" s="53" t="n">
        <f aca="false">IF(CQ760&gt;0,INDEX(Parameter!$H$5:$H$7,W760)/INDEX(Parameter!$E$5:$E$7,W760),IF(AND(BZ760=0,N(IFERROR(VLOOKUP(BX760,'Gebinde-Kategorie'!$A$5:$N$45,14,0),0))&gt;0),VLOOKUP(BX760,'Gebinde-Kategorie'!$A$5:$N$45,14,0)*10+Parameter!$M$23,Parameter!$M$24))</f>
        <v>155</v>
      </c>
      <c r="CC760" s="48" t="str">
        <f aca="false">IF(AND(Parameter!$B$19="Ja",E760&lt;&gt;"",ISNUMBER(MATCH(E760,Parameter!$I$35:$I$52,0))),VLOOKUP(E760,Parameter!$I$35:$J$52,2,0),IFERROR(VLOOKUP(D760,Parameter!$A$35:$C$64,2,0),"Nein"))</f>
        <v>2+3</v>
      </c>
      <c r="CD760" s="52" t="n">
        <f aca="false">IF(BZ760=0,0,IF(N(S760)&gt;0,S760,IFERROR(VLOOKUP(D760,Parameter!$A$35:$C$64,3,0)+0,0)))</f>
        <v>0</v>
      </c>
      <c r="CE760" s="48" t="n">
        <f aca="false">IF(AA760&lt;&gt;"",AA760,Z760)</f>
        <v>3</v>
      </c>
      <c r="CF760" s="48" t="str">
        <f aca="false">IF(OR(CE760=1,CE760=2,CE760=3),IF(Parameter!$E$27="Ja","LIFT",IF(CE760=1,"L1","L23")),IF(CE760="Aussen","Aussen","-"))</f>
        <v>LIFT</v>
      </c>
      <c r="CG760" s="59" t="n">
        <f aca="false">IF(N(AB760)&gt;0,AB760,0)</f>
        <v>0</v>
      </c>
      <c r="CH760" s="53" t="n">
        <f aca="false">IF(ISNUMBER(AE760),1,0)</f>
        <v>0</v>
      </c>
      <c r="CI760" s="50" t="n">
        <f aca="false">N(AE760)</f>
        <v>0</v>
      </c>
      <c r="CJ760" s="50" t="n">
        <f aca="false">N(M760)+N(N760)</f>
        <v>5</v>
      </c>
      <c r="CK760" s="50" t="n">
        <f aca="false">N(M760)</f>
        <v>0</v>
      </c>
      <c r="CL760" s="50" t="n">
        <f aca="false">N(N760)</f>
        <v>5</v>
      </c>
      <c r="CM760" s="50" t="n">
        <f aca="false">ROUNDUP(H760/BY760,0)</f>
        <v>1</v>
      </c>
      <c r="CN760" s="50" t="n">
        <f aca="false">ROUNDUP(CI760/BY760,0)</f>
        <v>0</v>
      </c>
      <c r="CO760" s="53" t="n">
        <f aca="false">IF(BZ760=1,0,IFERROR(VLOOKUP(BX760,'Gebinde-Kategorie'!$A$5:$N$45,5,0)+0,0))</f>
        <v>8</v>
      </c>
      <c r="CP760" s="53" t="n">
        <f aca="false">IFERROR(IF(OR(CE760=1,CE760=2,CE760=3),N(INDEX(Parameter!$I$5:$I$7,CE760)),0),0)</f>
        <v>0</v>
      </c>
      <c r="CQ760" s="52" t="n">
        <f aca="false">IF(AND(Parameter!$B$21="Ja",ISNUMBER(W760),N(X760)&gt;0),IFERROR(N(INDEX(Parameter!$L$5:$L$7,W760))*INDEX(Parameter!$E$5:$E$7,W760)*X760/SUMIFS($X$7:$X$1843,$W$7:$W$1843,W760),0),0)</f>
        <v>0</v>
      </c>
    </row>
    <row r="761" customFormat="false" ht="15" hidden="false" customHeight="false" outlineLevel="0" collapsed="false">
      <c r="A761" s="48" t="s">
        <v>1509</v>
      </c>
      <c r="B761" s="48" t="s">
        <v>1510</v>
      </c>
      <c r="C761" s="48" t="s">
        <v>465</v>
      </c>
      <c r="D761" s="48" t="s">
        <v>182</v>
      </c>
      <c r="E761" s="48"/>
      <c r="F761" s="48" t="s">
        <v>227</v>
      </c>
      <c r="G761" s="49" t="n">
        <v>0.01</v>
      </c>
      <c r="H761" s="50" t="n">
        <f aca="false">MAX(0,IF(AND(Parameter!$B$21="Ja",ISNUMBER(Y761)),Y761,IF(Parameter!$B$20="Jahresanfang 2025 + Export",BR761+BQ761,BQ761)))</f>
        <v>0</v>
      </c>
      <c r="I761" s="50" t="n">
        <f aca="false">H761*G761</f>
        <v>0</v>
      </c>
      <c r="J761" s="50" t="n">
        <f aca="false">BT761*Parameter!$B$18</f>
        <v>35</v>
      </c>
      <c r="K761" s="51" t="n">
        <v>79.5</v>
      </c>
      <c r="L761" s="52" t="n">
        <v>0.440251572327044</v>
      </c>
      <c r="M761" s="50" t="n">
        <v>0</v>
      </c>
      <c r="N761" s="50" t="n">
        <v>105</v>
      </c>
      <c r="O761" s="53" t="n">
        <v>14</v>
      </c>
      <c r="P761" s="48" t="s">
        <v>177</v>
      </c>
      <c r="Q761" s="50"/>
      <c r="R761" s="53" t="n">
        <f aca="false">IF(BZ761=1,0,IFERROR(VLOOKUP(BX761,'Gebinde-Kategorie'!$A$5:$N$45,13,0)+0,0))</f>
        <v>12</v>
      </c>
      <c r="S761" s="54"/>
      <c r="T761" s="55" t="s">
        <v>188</v>
      </c>
      <c r="U761" s="55"/>
      <c r="V761" s="55"/>
      <c r="W761" s="48"/>
      <c r="X761" s="50"/>
      <c r="Y761" s="50"/>
      <c r="Z761" s="48" t="n">
        <f aca="false">IF(A761="","",IF(AND(Parameter!$B$21="Ja",ISNUMBER(W761)),W761,IF(CC761="2+3",IF(ISNUMBER(SEARCH("grosser Artikel",BU761)),2,IFERROR(VLOOKUP(BX761,Parameter!$F$35:$G$64,2,0),2)),IF(OR(CC761="Nein",CC761=""),"-",CC761))))</f>
        <v>2</v>
      </c>
      <c r="AA761" s="55"/>
      <c r="AB761" s="56"/>
      <c r="AC761" s="50" t="n">
        <f aca="false">AV761</f>
        <v>105</v>
      </c>
      <c r="AD761" s="50" t="n">
        <f aca="false">MAX(AV761,H761)</f>
        <v>105</v>
      </c>
      <c r="AE761" s="57"/>
      <c r="AF761" s="50" t="n">
        <f aca="false">IF(LEFT(Cockpit!$C$5,1)="A",H761,IF(Parameter!$E$30="MAX-Bestand",IF(CH761=1,CI761,IF(LEFT(Cockpit!$C$5,1)="B",AL761,MAX(AL761,H761))),ROUNDUP(AJ761,0)))</f>
        <v>0</v>
      </c>
      <c r="AG761" s="50" t="n">
        <f aca="false">IF(BZ761=1,0,ROUNDUP(AF761/BY761,0))</f>
        <v>0</v>
      </c>
      <c r="AH761" s="52" t="n">
        <f aca="false">IF(CQ761&gt;0,CQ761*MAX(1,AF761/X761),IF(BZ761=1,IF(AF761&lt;=0,0,CD761*MAX(1,IF(H761&gt;0,AF761/H761,1))),IF(R761&gt;0,AG761/R761,0))/MAX(0.1,N(Parameter!$M$21)))</f>
        <v>0</v>
      </c>
      <c r="AI761" s="50" t="n">
        <f aca="false">AH761*CB761</f>
        <v>0</v>
      </c>
      <c r="AJ761" s="51" t="n">
        <f aca="false">IF(LEFT(Cockpit!$C$5,1)="A",H761,IF(CH761=1,(CK761+CI761)/2,IF(LEFT(Cockpit!$C$5,1)="B",(CK761+AL761)/2,MAX((CK761+AL761)/2,H761))))</f>
        <v>0</v>
      </c>
      <c r="AK761" s="50" t="n">
        <f aca="false">AJ761*G761</f>
        <v>0</v>
      </c>
      <c r="AL761" s="50" t="n">
        <f aca="false">ROUNDUP(CK761+MAX(CL761,2*(J761/IF(CG761&gt;0,CG761,MAX(0.1,N(Cockpit!$C$6)))-CK761)),0)</f>
        <v>105</v>
      </c>
      <c r="AM761" s="51" t="n">
        <f aca="false">IF(AI761&gt;0,J761/AI761,-1)</f>
        <v>-1</v>
      </c>
      <c r="AN761" s="51" t="str">
        <f aca="false">IF(AND(OR(CF761="L1",CF761="L23",CF761="LIFT"),AI761&gt;0),SUMIFS($AI$7:$AI$1843,$CF$7:$CF$1843,CF761,$AM$7:$AM$1843,"&gt;"&amp;AM761)+SUMIFS($AI$7:$AI$1843,$CF$7:$CF$1843,CF761,$AM$7:$AM$1843,AM761,$BW$7:$BW$1843,"&lt;="&amp;BW761),"")</f>
        <v/>
      </c>
      <c r="AO761" s="58" t="n">
        <f aca="false">IF(AN761="",0,MAX(0,MIN(1,(IF(CF761="L1",Parameter!$H$5,IF(CF761="L23",Parameter!$H$6+Parameter!$H$7,Parameter!$H$5+Parameter!$H$6+Parameter!$H$7))-(AN761-AI761))/AI761)))</f>
        <v>0</v>
      </c>
      <c r="AP761" s="50" t="n">
        <f aca="false">IF(LEFT(Cockpit!$I$5,1)="A",H761,IF(Parameter!$E$30="MAX-Bestand",IF(CH761=1,CI761,IF(LEFT(Cockpit!$I$5,1)="B",AV761,MAX(AV761,H761))),ROUNDUP(AT761,0)))</f>
        <v>53</v>
      </c>
      <c r="AQ761" s="50" t="n">
        <f aca="false">IF(BZ761=1,0,ROUNDUP(AP761/BY761,0))</f>
        <v>1</v>
      </c>
      <c r="AR761" s="52" t="n">
        <f aca="false">IF(CQ761&gt;0,CQ761*MAX(1,AP761/X761),IF(BZ761=1,IF(AP761&lt;=0,0,CD761*MAX(1,IF(H761&gt;0,AP761/H761,1))),IF(R761&gt;0,AQ761/R761,0))/MAX(0.1,N(Parameter!$M$21)))</f>
        <v>0.0833333333333333</v>
      </c>
      <c r="AS761" s="50" t="n">
        <f aca="false">AR761*CB761</f>
        <v>12.0833333333333</v>
      </c>
      <c r="AT761" s="51" t="n">
        <f aca="false">IF(LEFT(Cockpit!$I$5,1)="A",H761,IF(CH761=1,(CK761+CI761)/2,IF(LEFT(Cockpit!$I$5,1)="B",(CK761+AV761)/2,MAX((CK761+AV761)/2,H761))))</f>
        <v>52.5</v>
      </c>
      <c r="AU761" s="50" t="n">
        <f aca="false">AT761*G761</f>
        <v>0.525</v>
      </c>
      <c r="AV761" s="50" t="n">
        <f aca="false">ROUNDUP(CK761+MAX(CL761,2*(J761/IF(CG761&gt;0,CG761,MAX(0.1,N(Cockpit!$I$6)))-CK761)),0)</f>
        <v>105</v>
      </c>
      <c r="AW761" s="51" t="n">
        <f aca="false">IF(AS761&gt;0,J761/AS761,-1)</f>
        <v>2.89655172413793</v>
      </c>
      <c r="AX761" s="51" t="n">
        <f aca="false">IF(AND(OR(CF761="L1",CF761="L23",CF761="LIFT"),AS761&gt;0),SUMIFS($AS$7:$AS$1843,$CF$7:$CF$1843,CF761,$AW$7:$AW$1843,"&gt;"&amp;AW761)+SUMIFS($AS$7:$AS$1843,$CF$7:$CF$1843,CF761,$AW$7:$AW$1843,AW761,$BW$7:$BW$1843,"&lt;="&amp;BW761),"")</f>
        <v>5974.24862637363</v>
      </c>
      <c r="AY761" s="58" t="n">
        <f aca="false">IF(AX761="",0,MAX(0,MIN(1,(IF(CF761="L1",Parameter!$H$5,IF(CF761="L23",Parameter!$H$6+Parameter!$H$7,Parameter!$H$5+Parameter!$H$6+Parameter!$H$7))-(AX761-AS761))/AS761)))</f>
        <v>1</v>
      </c>
      <c r="AZ761" s="50" t="n">
        <f aca="false">IF(LEFT(Cockpit!$O$5,1)="A",H761,IF(Parameter!$E$30="MAX-Bestand",IF(CH761=1,CI761,IF(LEFT(Cockpit!$O$5,1)="B",BF761,MAX(BF761,H761))),ROUNDUP(BD761,0)))</f>
        <v>53</v>
      </c>
      <c r="BA761" s="50" t="n">
        <f aca="false">IF(BZ761=1,0,ROUNDUP(AZ761/BY761,0))</f>
        <v>1</v>
      </c>
      <c r="BB761" s="52" t="n">
        <f aca="false">IF(CQ761&gt;0,CQ761*MAX(1,AZ761/X761),IF(BZ761=1,IF(AZ761&lt;=0,0,CD761*MAX(1,IF(H761&gt;0,AZ761/H761,1))),IF(R761&gt;0,BA761/R761,0))/MAX(0.1,N(Parameter!$M$21)))</f>
        <v>0.0833333333333333</v>
      </c>
      <c r="BC761" s="50" t="n">
        <f aca="false">BB761*CB761</f>
        <v>12.0833333333333</v>
      </c>
      <c r="BD761" s="51" t="n">
        <f aca="false">IF(LEFT(Cockpit!$O$5,1)="A",H761,IF(CH761=1,(CK761+CI761)/2,IF(LEFT(Cockpit!$O$5,1)="B",(CK761+BF761)/2,MAX((CK761+BF761)/2,H761))))</f>
        <v>52.5</v>
      </c>
      <c r="BE761" s="50" t="n">
        <f aca="false">BD761*G761</f>
        <v>0.525</v>
      </c>
      <c r="BF761" s="50" t="n">
        <f aca="false">ROUNDUP(CK761+MAX(CL761,2*(J761/IF(CG761&gt;0,CG761,MAX(0.1,N(Cockpit!$O$6)))-CK761)),0)</f>
        <v>105</v>
      </c>
      <c r="BG761" s="51" t="n">
        <f aca="false">IF(BC761&gt;0,J761/BC761,-1)</f>
        <v>2.89655172413793</v>
      </c>
      <c r="BH761" s="51" t="n">
        <f aca="false">IF(AND(OR(CF761="L1",CF761="L23",CF761="LIFT"),BC761&gt;0),SUMIFS($BC$7:$BC$1843,$CF$7:$CF$1843,CF761,$BG$7:$BG$1843,"&gt;"&amp;BG761)+SUMIFS($BC$7:$BC$1843,$CF$7:$CF$1843,CF761,$BG$7:$BG$1843,BG761,$BW$7:$BW$1843,"&lt;="&amp;BW761),"")</f>
        <v>4836.99862637363</v>
      </c>
      <c r="BI761" s="58" t="n">
        <f aca="false">IF(BH761="",0,MAX(0,MIN(1,(IF(CF761="L1",Parameter!$H$5,IF(CF761="L23",Parameter!$H$6+Parameter!$H$7,Parameter!$H$5+Parameter!$H$6+Parameter!$H$7))-(BH761-BC761))/BC761)))</f>
        <v>1</v>
      </c>
      <c r="BJ761" s="48" t="str">
        <f aca="false">IF(AI761&lt;=0,"",IF(CF761="Aussen","Aussenlager",IF(CF761="-","Nicht im Lift",IF(AO761&gt;=1,"Lift",IF(AO761&lt;=0,"Aussenlager","teilweise")))))</f>
        <v/>
      </c>
      <c r="BK761" s="48" t="str">
        <f aca="false">IF(AS761&lt;=0,"",IF(CF761="Aussen","Aussenlager",IF(CF761="-","Nicht im Lift",IF(AY761&gt;=1,"Lift",IF(AY761&lt;=0,"Aussenlager","teilweise")))))</f>
        <v>Lift</v>
      </c>
      <c r="BL761" s="48" t="str">
        <f aca="false">IF(BC761&lt;=0,"",IF(CF761="Aussen","Aussenlager",IF(CF761="-","Nicht im Lift",IF(BI761&gt;=1,"Lift",IF(BI761&lt;=0,"Aussenlager","teilweise")))))</f>
        <v>Lift</v>
      </c>
      <c r="BM761" s="48" t="str">
        <f aca="false">IF(A761="","",IF(BV761=1,"Neu; ","")&amp;IF(AND(BV761=0,BQ761&lt;0),"negativer Bestand (Export "&amp;BQ761&amp;"); ","")&amp;IF(J761&lt;=0,"Kein Verbrauch; ","")&amp;IF(CQ761&gt;0,"Lift "&amp;W761&amp;" lt. Liftbericht (Fach "&amp;X761&amp;" Stk); ",IF(CA761=1,"Gebinde geschätzt ("&amp;T761&amp;"); ",IF(BZ761=1,"Lose – Tablare geschätzt; ","")))&amp;IF(H761&gt;AV761,"Überbestand "&amp;ROUND(H761-AV761,0)&amp;" Stk / CHF "&amp;ROUND((H761-AV761)*G761,0)&amp;"; ","")&amp;IF(AND(CH761=1,CI761&lt;CJ761),"MAX &lt; MB+LG; ","")&amp;IF(AND(CP761&gt;0,CO761*10&gt;CP761),"zu hoch für Tablar; ","")&amp;IF(AND(BV761=0,OR(CH761=1,AA761&lt;&gt;"",U761&lt;&gt;"",V761&lt;&gt;"",AB761&lt;&gt;"")),"manuell übersteuert; ","")&amp;IF(AND(BZ761=0,R761=0),"Gebinde unbekannt / Stellmass fehlt; ","")&amp;IF(AND(BZ761=0,N(V761)&lt;=0,N(Q761)&lt;=0),"Menge pro Gebinde fehlt (Ist = 1 Gebinde); ","")&amp;BU761)</f>
        <v>negativer Bestand (Export -67); Gebinde geschätzt (Mittel); Menge pro Gebinde fehlt (Ist = 1 Gebinde); </v>
      </c>
      <c r="BN761" s="48"/>
      <c r="BO761" s="48"/>
      <c r="BP761" s="55"/>
      <c r="BQ761" s="50" t="n">
        <v>-67</v>
      </c>
      <c r="BR761" s="50" t="n">
        <v>67</v>
      </c>
      <c r="BS761" s="49" t="n">
        <v>-0.67</v>
      </c>
      <c r="BT761" s="50" t="n">
        <v>35</v>
      </c>
      <c r="BU761" s="48"/>
      <c r="BV761" s="53" t="n">
        <v>0</v>
      </c>
      <c r="BW761" s="53" t="n">
        <v>761</v>
      </c>
      <c r="BX761" s="48" t="str">
        <f aca="false">IF(U761&lt;&gt;"",UPPER(TRIM(U761)),IF(CA761=1,UPPER(VLOOKUP(T761,Parameter!$I$27:$K$29,2,0)),IF(P761="","LOSE",P761)))</f>
        <v>S61</v>
      </c>
      <c r="BY761" s="50" t="n">
        <f aca="false">IF(BX761="LOSE",1,IF(N(V761)&gt;0,V761,IF(CA761=1,MAX(1,N(VLOOKUP(T761,Parameter!$I$27:$K$29,3,0)),H761,N(N761)),IF(N(Q761)&gt;0,Q761,MAX(1,H761)))))</f>
        <v>105</v>
      </c>
      <c r="BZ761" s="53" t="n">
        <f aca="false">IF(BX761="LOSE",1,0)</f>
        <v>0</v>
      </c>
      <c r="CA761" s="53" t="n">
        <f aca="false">IF(AND(U761="",OR(P761="",P761="LOSE"),T761&lt;&gt;"",N(S761)&lt;=0,ISNUMBER(MATCH(T761,Parameter!$I$27:$I$29,0))),1,0)</f>
        <v>1</v>
      </c>
      <c r="CB761" s="53" t="n">
        <f aca="false">IF(CQ761&gt;0,INDEX(Parameter!$H$5:$H$7,W761)/INDEX(Parameter!$E$5:$E$7,W761),IF(AND(BZ761=0,N(IFERROR(VLOOKUP(BX761,'Gebinde-Kategorie'!$A$5:$N$45,14,0),0))&gt;0),VLOOKUP(BX761,'Gebinde-Kategorie'!$A$5:$N$45,14,0)*10+Parameter!$M$23,Parameter!$M$24))</f>
        <v>145</v>
      </c>
      <c r="CC761" s="48" t="str">
        <f aca="false">IF(AND(Parameter!$B$19="Ja",E761&lt;&gt;"",ISNUMBER(MATCH(E761,Parameter!$I$35:$I$52,0))),VLOOKUP(E761,Parameter!$I$35:$J$52,2,0),IFERROR(VLOOKUP(D761,Parameter!$A$35:$C$64,2,0),"Nein"))</f>
        <v>2+3</v>
      </c>
      <c r="CD761" s="52" t="n">
        <f aca="false">IF(BZ761=0,0,IF(N(S761)&gt;0,S761,IFERROR(VLOOKUP(D761,Parameter!$A$35:$C$64,3,0)+0,0)))</f>
        <v>0</v>
      </c>
      <c r="CE761" s="48" t="n">
        <f aca="false">IF(AA761&lt;&gt;"",AA761,Z761)</f>
        <v>2</v>
      </c>
      <c r="CF761" s="48" t="str">
        <f aca="false">IF(OR(CE761=1,CE761=2,CE761=3),IF(Parameter!$E$27="Ja","LIFT",IF(CE761=1,"L1","L23")),IF(CE761="Aussen","Aussen","-"))</f>
        <v>LIFT</v>
      </c>
      <c r="CG761" s="59" t="n">
        <f aca="false">IF(N(AB761)&gt;0,AB761,0)</f>
        <v>0</v>
      </c>
      <c r="CH761" s="53" t="n">
        <f aca="false">IF(ISNUMBER(AE761),1,0)</f>
        <v>0</v>
      </c>
      <c r="CI761" s="50" t="n">
        <f aca="false">N(AE761)</f>
        <v>0</v>
      </c>
      <c r="CJ761" s="50" t="n">
        <f aca="false">N(M761)+N(N761)</f>
        <v>105</v>
      </c>
      <c r="CK761" s="50" t="n">
        <f aca="false">N(M761)</f>
        <v>0</v>
      </c>
      <c r="CL761" s="50" t="n">
        <f aca="false">N(N761)</f>
        <v>105</v>
      </c>
      <c r="CM761" s="50" t="n">
        <f aca="false">ROUNDUP(H761/BY761,0)</f>
        <v>0</v>
      </c>
      <c r="CN761" s="50" t="n">
        <f aca="false">ROUNDUP(CI761/BY761,0)</f>
        <v>0</v>
      </c>
      <c r="CO761" s="53" t="n">
        <f aca="false">IF(BZ761=1,0,IFERROR(VLOOKUP(BX761,'Gebinde-Kategorie'!$A$5:$N$45,5,0)+0,0))</f>
        <v>11</v>
      </c>
      <c r="CP761" s="53" t="n">
        <f aca="false">IFERROR(IF(OR(CE761=1,CE761=2,CE761=3),N(INDEX(Parameter!$I$5:$I$7,CE761)),0),0)</f>
        <v>0</v>
      </c>
      <c r="CQ761" s="52" t="n">
        <f aca="false">IF(AND(Parameter!$B$21="Ja",ISNUMBER(W761),N(X761)&gt;0),IFERROR(N(INDEX(Parameter!$L$5:$L$7,W761))*INDEX(Parameter!$E$5:$E$7,W761)*X761/SUMIFS($X$7:$X$1843,$W$7:$W$1843,W761),0),0)</f>
        <v>0</v>
      </c>
    </row>
    <row r="762" customFormat="false" ht="15" hidden="false" customHeight="false" outlineLevel="0" collapsed="false">
      <c r="A762" s="48" t="s">
        <v>1511</v>
      </c>
      <c r="B762" s="48" t="s">
        <v>414</v>
      </c>
      <c r="C762" s="48" t="s">
        <v>173</v>
      </c>
      <c r="D762" s="48" t="s">
        <v>193</v>
      </c>
      <c r="E762" s="48" t="s">
        <v>194</v>
      </c>
      <c r="F762" s="48" t="s">
        <v>227</v>
      </c>
      <c r="G762" s="49" t="n">
        <v>0.02</v>
      </c>
      <c r="H762" s="50" t="n">
        <f aca="false">MAX(0,IF(AND(Parameter!$B$21="Ja",ISNUMBER(Y762)),Y762,IF(Parameter!$B$20="Jahresanfang 2025 + Export",BR762+BQ762,BQ762)))</f>
        <v>670</v>
      </c>
      <c r="I762" s="50" t="n">
        <f aca="false">H762*G762</f>
        <v>13.4</v>
      </c>
      <c r="J762" s="50" t="n">
        <f aca="false">BT762*Parameter!$B$18</f>
        <v>16</v>
      </c>
      <c r="K762" s="51" t="n">
        <v>695</v>
      </c>
      <c r="L762" s="52" t="n">
        <v>0.023021582733813</v>
      </c>
      <c r="M762" s="50" t="n">
        <v>0</v>
      </c>
      <c r="N762" s="50" t="n">
        <v>15</v>
      </c>
      <c r="O762" s="53" t="n">
        <v>14</v>
      </c>
      <c r="P762" s="48" t="s">
        <v>485</v>
      </c>
      <c r="Q762" s="50" t="n">
        <v>752</v>
      </c>
      <c r="R762" s="53" t="n">
        <f aca="false">IF(BZ762=1,0,IFERROR(VLOOKUP(BX762,'Gebinde-Kategorie'!$A$5:$N$45,13,0)+0,0))</f>
        <v>52</v>
      </c>
      <c r="S762" s="54"/>
      <c r="T762" s="55"/>
      <c r="U762" s="55"/>
      <c r="V762" s="55"/>
      <c r="W762" s="48"/>
      <c r="X762" s="50"/>
      <c r="Y762" s="50"/>
      <c r="Z762" s="48" t="n">
        <f aca="false">IF(A762="","",IF(AND(Parameter!$B$21="Ja",ISNUMBER(W762)),W762,IF(CC762="2+3",IF(ISNUMBER(SEARCH("grosser Artikel",BU762)),2,IFERROR(VLOOKUP(BX762,Parameter!$F$35:$G$64,2,0),2)),IF(OR(CC762="Nein",CC762=""),"-",CC762))))</f>
        <v>3</v>
      </c>
      <c r="AA762" s="55"/>
      <c r="AB762" s="56"/>
      <c r="AC762" s="50" t="n">
        <f aca="false">AV762</f>
        <v>15</v>
      </c>
      <c r="AD762" s="50" t="n">
        <f aca="false">MAX(AV762,H762)</f>
        <v>670</v>
      </c>
      <c r="AE762" s="57"/>
      <c r="AF762" s="50" t="n">
        <f aca="false">IF(LEFT(Cockpit!$C$5,1)="A",H762,IF(Parameter!$E$30="MAX-Bestand",IF(CH762=1,CI762,IF(LEFT(Cockpit!$C$5,1)="B",AL762,MAX(AL762,H762))),ROUNDUP(AJ762,0)))</f>
        <v>670</v>
      </c>
      <c r="AG762" s="50" t="n">
        <f aca="false">IF(BZ762=1,0,ROUNDUP(AF762/BY762,0))</f>
        <v>1</v>
      </c>
      <c r="AH762" s="52" t="n">
        <f aca="false">IF(CQ762&gt;0,CQ762*MAX(1,AF762/X762),IF(BZ762=1,IF(AF762&lt;=0,0,CD762*MAX(1,IF(H762&gt;0,AF762/H762,1))),IF(R762&gt;0,AG762/R762,0))/MAX(0.1,N(Parameter!$M$21)))</f>
        <v>0.0192307692307692</v>
      </c>
      <c r="AI762" s="50" t="n">
        <f aca="false">AH762*CB762</f>
        <v>2.98076923076923</v>
      </c>
      <c r="AJ762" s="51" t="n">
        <f aca="false">IF(LEFT(Cockpit!$C$5,1)="A",H762,IF(CH762=1,(CK762+CI762)/2,IF(LEFT(Cockpit!$C$5,1)="B",(CK762+AL762)/2,MAX((CK762+AL762)/2,H762))))</f>
        <v>670</v>
      </c>
      <c r="AK762" s="50" t="n">
        <f aca="false">AJ762*G762</f>
        <v>13.4</v>
      </c>
      <c r="AL762" s="50" t="n">
        <f aca="false">ROUNDUP(CK762+MAX(CL762,2*(J762/IF(CG762&gt;0,CG762,MAX(0.1,N(Cockpit!$C$6)))-CK762)),0)</f>
        <v>15</v>
      </c>
      <c r="AM762" s="51" t="n">
        <f aca="false">IF(AI762&gt;0,J762/AI762,-1)</f>
        <v>5.36774193548387</v>
      </c>
      <c r="AN762" s="51" t="n">
        <f aca="false">IF(AND(OR(CF762="L1",CF762="L23",CF762="LIFT"),AI762&gt;0),SUMIFS($AI$7:$AI$1843,$CF$7:$CF$1843,CF762,$AM$7:$AM$1843,"&gt;"&amp;AM762)+SUMIFS($AI$7:$AI$1843,$CF$7:$CF$1843,CF762,$AM$7:$AM$1843,AM762,$BW$7:$BW$1843,"&lt;="&amp;BW762),"")</f>
        <v>3726.19139194139</v>
      </c>
      <c r="AO762" s="58" t="n">
        <f aca="false">IF(AN762="",0,MAX(0,MIN(1,(IF(CF762="L1",Parameter!$H$5,IF(CF762="L23",Parameter!$H$6+Parameter!$H$7,Parameter!$H$5+Parameter!$H$6+Parameter!$H$7))-(AN762-AI762))/AI762)))</f>
        <v>1</v>
      </c>
      <c r="AP762" s="50" t="n">
        <f aca="false">IF(LEFT(Cockpit!$I$5,1)="A",H762,IF(Parameter!$E$30="MAX-Bestand",IF(CH762=1,CI762,IF(LEFT(Cockpit!$I$5,1)="B",AV762,MAX(AV762,H762))),ROUNDUP(AT762,0)))</f>
        <v>670</v>
      </c>
      <c r="AQ762" s="50" t="n">
        <f aca="false">IF(BZ762=1,0,ROUNDUP(AP762/BY762,0))</f>
        <v>1</v>
      </c>
      <c r="AR762" s="52" t="n">
        <f aca="false">IF(CQ762&gt;0,CQ762*MAX(1,AP762/X762),IF(BZ762=1,IF(AP762&lt;=0,0,CD762*MAX(1,IF(H762&gt;0,AP762/H762,1))),IF(R762&gt;0,AQ762/R762,0))/MAX(0.1,N(Parameter!$M$21)))</f>
        <v>0.0192307692307692</v>
      </c>
      <c r="AS762" s="50" t="n">
        <f aca="false">AR762*CB762</f>
        <v>2.98076923076923</v>
      </c>
      <c r="AT762" s="51" t="n">
        <f aca="false">IF(LEFT(Cockpit!$I$5,1)="A",H762,IF(CH762=1,(CK762+CI762)/2,IF(LEFT(Cockpit!$I$5,1)="B",(CK762+AV762)/2,MAX((CK762+AV762)/2,H762))))</f>
        <v>670</v>
      </c>
      <c r="AU762" s="50" t="n">
        <f aca="false">AT762*G762</f>
        <v>13.4</v>
      </c>
      <c r="AV762" s="50" t="n">
        <f aca="false">ROUNDUP(CK762+MAX(CL762,2*(J762/IF(CG762&gt;0,CG762,MAX(0.1,N(Cockpit!$I$6)))-CK762)),0)</f>
        <v>15</v>
      </c>
      <c r="AW762" s="51" t="n">
        <f aca="false">IF(AS762&gt;0,J762/AS762,-1)</f>
        <v>5.36774193548387</v>
      </c>
      <c r="AX762" s="51" t="n">
        <f aca="false">IF(AND(OR(CF762="L1",CF762="L23",CF762="LIFT"),AS762&gt;0),SUMIFS($AS$7:$AS$1843,$CF$7:$CF$1843,CF762,$AW$7:$AW$1843,"&gt;"&amp;AW762)+SUMIFS($AS$7:$AS$1843,$CF$7:$CF$1843,CF762,$AW$7:$AW$1843,AW762,$BW$7:$BW$1843,"&lt;="&amp;BW762),"")</f>
        <v>4379.93223443223</v>
      </c>
      <c r="AY762" s="58" t="n">
        <f aca="false">IF(AX762="",0,MAX(0,MIN(1,(IF(CF762="L1",Parameter!$H$5,IF(CF762="L23",Parameter!$H$6+Parameter!$H$7,Parameter!$H$5+Parameter!$H$6+Parameter!$H$7))-(AX762-AS762))/AS762)))</f>
        <v>1</v>
      </c>
      <c r="AZ762" s="50" t="n">
        <f aca="false">IF(LEFT(Cockpit!$O$5,1)="A",H762,IF(Parameter!$E$30="MAX-Bestand",IF(CH762=1,CI762,IF(LEFT(Cockpit!$O$5,1)="B",BF762,MAX(BF762,H762))),ROUNDUP(BD762,0)))</f>
        <v>8</v>
      </c>
      <c r="BA762" s="50" t="n">
        <f aca="false">IF(BZ762=1,0,ROUNDUP(AZ762/BY762,0))</f>
        <v>1</v>
      </c>
      <c r="BB762" s="52" t="n">
        <f aca="false">IF(CQ762&gt;0,CQ762*MAX(1,AZ762/X762),IF(BZ762=1,IF(AZ762&lt;=0,0,CD762*MAX(1,IF(H762&gt;0,AZ762/H762,1))),IF(R762&gt;0,BA762/R762,0))/MAX(0.1,N(Parameter!$M$21)))</f>
        <v>0.0192307692307692</v>
      </c>
      <c r="BC762" s="50" t="n">
        <f aca="false">BB762*CB762</f>
        <v>2.98076923076923</v>
      </c>
      <c r="BD762" s="51" t="n">
        <f aca="false">IF(LEFT(Cockpit!$O$5,1)="A",H762,IF(CH762=1,(CK762+CI762)/2,IF(LEFT(Cockpit!$O$5,1)="B",(CK762+BF762)/2,MAX((CK762+BF762)/2,H762))))</f>
        <v>7.5</v>
      </c>
      <c r="BE762" s="50" t="n">
        <f aca="false">BD762*G762</f>
        <v>0.15</v>
      </c>
      <c r="BF762" s="50" t="n">
        <f aca="false">ROUNDUP(CK762+MAX(CL762,2*(J762/IF(CG762&gt;0,CG762,MAX(0.1,N(Cockpit!$O$6)))-CK762)),0)</f>
        <v>15</v>
      </c>
      <c r="BG762" s="51" t="n">
        <f aca="false">IF(BC762&gt;0,J762/BC762,-1)</f>
        <v>5.36774193548387</v>
      </c>
      <c r="BH762" s="51" t="n">
        <f aca="false">IF(AND(OR(CF762="L1",CF762="L23",CF762="LIFT"),BC762&gt;0),SUMIFS($BC$7:$BC$1843,$CF$7:$CF$1843,CF762,$BG$7:$BG$1843,"&gt;"&amp;BG762)+SUMIFS($BC$7:$BC$1843,$CF$7:$CF$1843,CF762,$BG$7:$BG$1843,BG762,$BW$7:$BW$1843,"&lt;="&amp;BW762),"")</f>
        <v>3692.96382783883</v>
      </c>
      <c r="BI762" s="58" t="n">
        <f aca="false">IF(BH762="",0,MAX(0,MIN(1,(IF(CF762="L1",Parameter!$H$5,IF(CF762="L23",Parameter!$H$6+Parameter!$H$7,Parameter!$H$5+Parameter!$H$6+Parameter!$H$7))-(BH762-BC762))/BC762)))</f>
        <v>1</v>
      </c>
      <c r="BJ762" s="48" t="str">
        <f aca="false">IF(AI762&lt;=0,"",IF(CF762="Aussen","Aussenlager",IF(CF762="-","Nicht im Lift",IF(AO762&gt;=1,"Lift",IF(AO762&lt;=0,"Aussenlager","teilweise")))))</f>
        <v>Lift</v>
      </c>
      <c r="BK762" s="48" t="str">
        <f aca="false">IF(AS762&lt;=0,"",IF(CF762="Aussen","Aussenlager",IF(CF762="-","Nicht im Lift",IF(AY762&gt;=1,"Lift",IF(AY762&lt;=0,"Aussenlager","teilweise")))))</f>
        <v>Lift</v>
      </c>
      <c r="BL762" s="48" t="str">
        <f aca="false">IF(BC762&lt;=0,"",IF(CF762="Aussen","Aussenlager",IF(CF762="-","Nicht im Lift",IF(BI762&gt;=1,"Lift",IF(BI762&lt;=0,"Aussenlager","teilweise")))))</f>
        <v>Lift</v>
      </c>
      <c r="BM762" s="48" t="str">
        <f aca="false">IF(A762="","",IF(BV762=1,"Neu; ","")&amp;IF(AND(BV762=0,BQ762&lt;0),"negativer Bestand (Export "&amp;BQ762&amp;"); ","")&amp;IF(J762&lt;=0,"Kein Verbrauch; ","")&amp;IF(CQ762&gt;0,"Lift "&amp;W762&amp;" lt. Liftbericht (Fach "&amp;X762&amp;" Stk); ",IF(CA762=1,"Gebinde geschätzt ("&amp;T762&amp;"); ",IF(BZ762=1,"Lose – Tablare geschätzt; ","")))&amp;IF(H762&gt;AV762,"Überbestand "&amp;ROUND(H762-AV762,0)&amp;" Stk / CHF "&amp;ROUND((H762-AV762)*G762,0)&amp;"; ","")&amp;IF(AND(CH762=1,CI762&lt;CJ762),"MAX &lt; MB+LG; ","")&amp;IF(AND(CP762&gt;0,CO762*10&gt;CP762),"zu hoch für Tablar; ","")&amp;IF(AND(BV762=0,OR(CH762=1,AA762&lt;&gt;"",U762&lt;&gt;"",V762&lt;&gt;"",AB762&lt;&gt;"")),"manuell übersteuert; ","")&amp;IF(AND(BZ762=0,R762=0),"Gebinde unbekannt / Stellmass fehlt; ","")&amp;IF(AND(BZ762=0,N(V762)&lt;=0,N(Q762)&lt;=0),"Menge pro Gebinde fehlt (Ist = 1 Gebinde); ","")&amp;BU762)</f>
        <v>negativer Bestand (Export -34); Überbestand 655 Stk / CHF 13; Überbestand</v>
      </c>
      <c r="BN762" s="48"/>
      <c r="BO762" s="48"/>
      <c r="BP762" s="55"/>
      <c r="BQ762" s="50" t="n">
        <v>-34</v>
      </c>
      <c r="BR762" s="50" t="n">
        <v>704</v>
      </c>
      <c r="BS762" s="49" t="n">
        <v>-0.68</v>
      </c>
      <c r="BT762" s="50" t="n">
        <v>16</v>
      </c>
      <c r="BU762" s="48" t="s">
        <v>401</v>
      </c>
      <c r="BV762" s="53" t="n">
        <v>0</v>
      </c>
      <c r="BW762" s="53" t="n">
        <v>762</v>
      </c>
      <c r="BX762" s="48" t="str">
        <f aca="false">IF(U762&lt;&gt;"",UPPER(TRIM(U762)),IF(CA762=1,UPPER(VLOOKUP(T762,Parameter!$I$27:$K$29,2,0)),IF(P762="","LOSE",P762)))</f>
        <v>S33</v>
      </c>
      <c r="BY762" s="50" t="n">
        <f aca="false">IF(BX762="LOSE",1,IF(N(V762)&gt;0,V762,IF(CA762=1,MAX(1,N(VLOOKUP(T762,Parameter!$I$27:$K$29,3,0)),H762,N(N762)),IF(N(Q762)&gt;0,Q762,MAX(1,H762)))))</f>
        <v>752</v>
      </c>
      <c r="BZ762" s="53" t="n">
        <f aca="false">IF(BX762="LOSE",1,0)</f>
        <v>0</v>
      </c>
      <c r="CA762" s="53" t="n">
        <f aca="false">IF(AND(U762="",OR(P762="",P762="LOSE"),T762&lt;&gt;"",N(S762)&lt;=0,ISNUMBER(MATCH(T762,Parameter!$I$27:$I$29,0))),1,0)</f>
        <v>0</v>
      </c>
      <c r="CB762" s="53" t="n">
        <f aca="false">IF(CQ762&gt;0,INDEX(Parameter!$H$5:$H$7,W762)/INDEX(Parameter!$E$5:$E$7,W762),IF(AND(BZ762=0,N(IFERROR(VLOOKUP(BX762,'Gebinde-Kategorie'!$A$5:$N$45,14,0),0))&gt;0),VLOOKUP(BX762,'Gebinde-Kategorie'!$A$5:$N$45,14,0)*10+Parameter!$M$23,Parameter!$M$24))</f>
        <v>155</v>
      </c>
      <c r="CC762" s="48" t="str">
        <f aca="false">IF(AND(Parameter!$B$19="Ja",E762&lt;&gt;"",ISNUMBER(MATCH(E762,Parameter!$I$35:$I$52,0))),VLOOKUP(E762,Parameter!$I$35:$J$52,2,0),IFERROR(VLOOKUP(D762,Parameter!$A$35:$C$64,2,0),"Nein"))</f>
        <v>2+3</v>
      </c>
      <c r="CD762" s="52" t="n">
        <f aca="false">IF(BZ762=0,0,IF(N(S762)&gt;0,S762,IFERROR(VLOOKUP(D762,Parameter!$A$35:$C$64,3,0)+0,0)))</f>
        <v>0</v>
      </c>
      <c r="CE762" s="48" t="n">
        <f aca="false">IF(AA762&lt;&gt;"",AA762,Z762)</f>
        <v>3</v>
      </c>
      <c r="CF762" s="48" t="str">
        <f aca="false">IF(OR(CE762=1,CE762=2,CE762=3),IF(Parameter!$E$27="Ja","LIFT",IF(CE762=1,"L1","L23")),IF(CE762="Aussen","Aussen","-"))</f>
        <v>LIFT</v>
      </c>
      <c r="CG762" s="59" t="n">
        <f aca="false">IF(N(AB762)&gt;0,AB762,0)</f>
        <v>0</v>
      </c>
      <c r="CH762" s="53" t="n">
        <f aca="false">IF(ISNUMBER(AE762),1,0)</f>
        <v>0</v>
      </c>
      <c r="CI762" s="50" t="n">
        <f aca="false">N(AE762)</f>
        <v>0</v>
      </c>
      <c r="CJ762" s="50" t="n">
        <f aca="false">N(M762)+N(N762)</f>
        <v>15</v>
      </c>
      <c r="CK762" s="50" t="n">
        <f aca="false">N(M762)</f>
        <v>0</v>
      </c>
      <c r="CL762" s="50" t="n">
        <f aca="false">N(N762)</f>
        <v>15</v>
      </c>
      <c r="CM762" s="50" t="n">
        <f aca="false">ROUNDUP(H762/BY762,0)</f>
        <v>1</v>
      </c>
      <c r="CN762" s="50" t="n">
        <f aca="false">ROUNDUP(CI762/BY762,0)</f>
        <v>0</v>
      </c>
      <c r="CO762" s="53" t="n">
        <f aca="false">IF(BZ762=1,0,IFERROR(VLOOKUP(BX762,'Gebinde-Kategorie'!$A$5:$N$45,5,0)+0,0))</f>
        <v>8</v>
      </c>
      <c r="CP762" s="53" t="n">
        <f aca="false">IFERROR(IF(OR(CE762=1,CE762=2,CE762=3),N(INDEX(Parameter!$I$5:$I$7,CE762)),0),0)</f>
        <v>0</v>
      </c>
      <c r="CQ762" s="52" t="n">
        <f aca="false">IF(AND(Parameter!$B$21="Ja",ISNUMBER(W762),N(X762)&gt;0),IFERROR(N(INDEX(Parameter!$L$5:$L$7,W762))*INDEX(Parameter!$E$5:$E$7,W762)*X762/SUMIFS($X$7:$X$1843,$W$7:$W$1843,W762),0),0)</f>
        <v>0</v>
      </c>
    </row>
    <row r="763" customFormat="false" ht="15" hidden="false" customHeight="false" outlineLevel="0" collapsed="false">
      <c r="A763" s="48" t="s">
        <v>1512</v>
      </c>
      <c r="B763" s="48" t="s">
        <v>414</v>
      </c>
      <c r="C763" s="48" t="s">
        <v>173</v>
      </c>
      <c r="D763" s="48" t="s">
        <v>193</v>
      </c>
      <c r="E763" s="48" t="s">
        <v>194</v>
      </c>
      <c r="F763" s="48" t="s">
        <v>227</v>
      </c>
      <c r="G763" s="49" t="n">
        <v>0.03</v>
      </c>
      <c r="H763" s="50" t="n">
        <f aca="false">MAX(0,IF(AND(Parameter!$B$21="Ja",ISNUMBER(Y763)),Y763,IF(Parameter!$B$20="Jahresanfang 2025 + Export",BR763+BQ763,BQ763)))</f>
        <v>201</v>
      </c>
      <c r="I763" s="50" t="n">
        <f aca="false">H763*G763</f>
        <v>6.03</v>
      </c>
      <c r="J763" s="50" t="n">
        <f aca="false">BT763*Parameter!$B$18</f>
        <v>28</v>
      </c>
      <c r="K763" s="51" t="n">
        <v>213.5</v>
      </c>
      <c r="L763" s="52" t="n">
        <v>0.131147540983607</v>
      </c>
      <c r="M763" s="50" t="n">
        <v>1</v>
      </c>
      <c r="N763" s="50" t="n">
        <v>30</v>
      </c>
      <c r="O763" s="53" t="n">
        <v>14</v>
      </c>
      <c r="P763" s="48" t="s">
        <v>430</v>
      </c>
      <c r="Q763" s="50" t="n">
        <v>261</v>
      </c>
      <c r="R763" s="53" t="n">
        <f aca="false">IF(BZ763=1,0,IFERROR(VLOOKUP(BX763,'Gebinde-Kategorie'!$A$5:$N$45,13,0)+0,0))</f>
        <v>104</v>
      </c>
      <c r="S763" s="54"/>
      <c r="T763" s="55"/>
      <c r="U763" s="55"/>
      <c r="V763" s="55"/>
      <c r="W763" s="48"/>
      <c r="X763" s="50"/>
      <c r="Y763" s="50"/>
      <c r="Z763" s="48" t="n">
        <f aca="false">IF(A763="","",IF(AND(Parameter!$B$21="Ja",ISNUMBER(W763)),W763,IF(CC763="2+3",IF(ISNUMBER(SEARCH("grosser Artikel",BU763)),2,IFERROR(VLOOKUP(BX763,Parameter!$F$35:$G$64,2,0),2)),IF(OR(CC763="Nein",CC763=""),"-",CC763))))</f>
        <v>3</v>
      </c>
      <c r="AA763" s="55"/>
      <c r="AB763" s="56"/>
      <c r="AC763" s="50" t="n">
        <f aca="false">AV763</f>
        <v>31</v>
      </c>
      <c r="AD763" s="50" t="n">
        <f aca="false">MAX(AV763,H763)</f>
        <v>201</v>
      </c>
      <c r="AE763" s="57"/>
      <c r="AF763" s="50" t="n">
        <f aca="false">IF(LEFT(Cockpit!$C$5,1)="A",H763,IF(Parameter!$E$30="MAX-Bestand",IF(CH763=1,CI763,IF(LEFT(Cockpit!$C$5,1)="B",AL763,MAX(AL763,H763))),ROUNDUP(AJ763,0)))</f>
        <v>201</v>
      </c>
      <c r="AG763" s="50" t="n">
        <f aca="false">IF(BZ763=1,0,ROUNDUP(AF763/BY763,0))</f>
        <v>1</v>
      </c>
      <c r="AH763" s="52" t="n">
        <f aca="false">IF(CQ763&gt;0,CQ763*MAX(1,AF763/X763),IF(BZ763=1,IF(AF763&lt;=0,0,CD763*MAX(1,IF(H763&gt;0,AF763/H763,1))),IF(R763&gt;0,AG763/R763,0))/MAX(0.1,N(Parameter!$M$21)))</f>
        <v>0.00961538461538462</v>
      </c>
      <c r="AI763" s="50" t="n">
        <f aca="false">AH763*CB763</f>
        <v>1.49038461538462</v>
      </c>
      <c r="AJ763" s="51" t="n">
        <f aca="false">IF(LEFT(Cockpit!$C$5,1)="A",H763,IF(CH763=1,(CK763+CI763)/2,IF(LEFT(Cockpit!$C$5,1)="B",(CK763+AL763)/2,MAX((CK763+AL763)/2,H763))))</f>
        <v>201</v>
      </c>
      <c r="AK763" s="50" t="n">
        <f aca="false">AJ763*G763</f>
        <v>6.03</v>
      </c>
      <c r="AL763" s="50" t="n">
        <f aca="false">ROUNDUP(CK763+MAX(CL763,2*(J763/IF(CG763&gt;0,CG763,MAX(0.1,N(Cockpit!$C$6)))-CK763)),0)</f>
        <v>31</v>
      </c>
      <c r="AM763" s="51" t="n">
        <f aca="false">IF(AI763&gt;0,J763/AI763,-1)</f>
        <v>18.7870967741935</v>
      </c>
      <c r="AN763" s="51" t="n">
        <f aca="false">IF(AND(OR(CF763="L1",CF763="L23",CF763="LIFT"),AI763&gt;0),SUMIFS($AI$7:$AI$1843,$CF$7:$CF$1843,CF763,$AM$7:$AM$1843,"&gt;"&amp;AM763)+SUMIFS($AI$7:$AI$1843,$CF$7:$CF$1843,CF763,$AM$7:$AM$1843,AM763,$BW$7:$BW$1843,"&lt;="&amp;BW763),"")</f>
        <v>1770.82188644689</v>
      </c>
      <c r="AO763" s="58" t="n">
        <f aca="false">IF(AN763="",0,MAX(0,MIN(1,(IF(CF763="L1",Parameter!$H$5,IF(CF763="L23",Parameter!$H$6+Parameter!$H$7,Parameter!$H$5+Parameter!$H$6+Parameter!$H$7))-(AN763-AI763))/AI763)))</f>
        <v>1</v>
      </c>
      <c r="AP763" s="50" t="n">
        <f aca="false">IF(LEFT(Cockpit!$I$5,1)="A",H763,IF(Parameter!$E$30="MAX-Bestand",IF(CH763=1,CI763,IF(LEFT(Cockpit!$I$5,1)="B",AV763,MAX(AV763,H763))),ROUNDUP(AT763,0)))</f>
        <v>201</v>
      </c>
      <c r="AQ763" s="50" t="n">
        <f aca="false">IF(BZ763=1,0,ROUNDUP(AP763/BY763,0))</f>
        <v>1</v>
      </c>
      <c r="AR763" s="52" t="n">
        <f aca="false">IF(CQ763&gt;0,CQ763*MAX(1,AP763/X763),IF(BZ763=1,IF(AP763&lt;=0,0,CD763*MAX(1,IF(H763&gt;0,AP763/H763,1))),IF(R763&gt;0,AQ763/R763,0))/MAX(0.1,N(Parameter!$M$21)))</f>
        <v>0.00961538461538462</v>
      </c>
      <c r="AS763" s="50" t="n">
        <f aca="false">AR763*CB763</f>
        <v>1.49038461538462</v>
      </c>
      <c r="AT763" s="51" t="n">
        <f aca="false">IF(LEFT(Cockpit!$I$5,1)="A",H763,IF(CH763=1,(CK763+CI763)/2,IF(LEFT(Cockpit!$I$5,1)="B",(CK763+AV763)/2,MAX((CK763+AV763)/2,H763))))</f>
        <v>201</v>
      </c>
      <c r="AU763" s="50" t="n">
        <f aca="false">AT763*G763</f>
        <v>6.03</v>
      </c>
      <c r="AV763" s="50" t="n">
        <f aca="false">ROUNDUP(CK763+MAX(CL763,2*(J763/IF(CG763&gt;0,CG763,MAX(0.1,N(Cockpit!$I$6)))-CK763)),0)</f>
        <v>31</v>
      </c>
      <c r="AW763" s="51" t="n">
        <f aca="false">IF(AS763&gt;0,J763/AS763,-1)</f>
        <v>18.7870967741935</v>
      </c>
      <c r="AX763" s="51" t="n">
        <f aca="false">IF(AND(OR(CF763="L1",CF763="L23",CF763="LIFT"),AS763&gt;0),SUMIFS($AS$7:$AS$1843,$CF$7:$CF$1843,CF763,$AW$7:$AW$1843,"&gt;"&amp;AW763)+SUMIFS($AS$7:$AS$1843,$CF$7:$CF$1843,CF763,$AW$7:$AW$1843,AW763,$BW$7:$BW$1843,"&lt;="&amp;BW763),"")</f>
        <v>2407.94276556777</v>
      </c>
      <c r="AY763" s="58" t="n">
        <f aca="false">IF(AX763="",0,MAX(0,MIN(1,(IF(CF763="L1",Parameter!$H$5,IF(CF763="L23",Parameter!$H$6+Parameter!$H$7,Parameter!$H$5+Parameter!$H$6+Parameter!$H$7))-(AX763-AS763))/AS763)))</f>
        <v>1</v>
      </c>
      <c r="AZ763" s="50" t="n">
        <f aca="false">IF(LEFT(Cockpit!$O$5,1)="A",H763,IF(Parameter!$E$30="MAX-Bestand",IF(CH763=1,CI763,IF(LEFT(Cockpit!$O$5,1)="B",BF763,MAX(BF763,H763))),ROUNDUP(BD763,0)))</f>
        <v>16</v>
      </c>
      <c r="BA763" s="50" t="n">
        <f aca="false">IF(BZ763=1,0,ROUNDUP(AZ763/BY763,0))</f>
        <v>1</v>
      </c>
      <c r="BB763" s="52" t="n">
        <f aca="false">IF(CQ763&gt;0,CQ763*MAX(1,AZ763/X763),IF(BZ763=1,IF(AZ763&lt;=0,0,CD763*MAX(1,IF(H763&gt;0,AZ763/H763,1))),IF(R763&gt;0,BA763/R763,0))/MAX(0.1,N(Parameter!$M$21)))</f>
        <v>0.00961538461538462</v>
      </c>
      <c r="BC763" s="50" t="n">
        <f aca="false">BB763*CB763</f>
        <v>1.49038461538462</v>
      </c>
      <c r="BD763" s="51" t="n">
        <f aca="false">IF(LEFT(Cockpit!$O$5,1)="A",H763,IF(CH763=1,(CK763+CI763)/2,IF(LEFT(Cockpit!$O$5,1)="B",(CK763+BF763)/2,MAX((CK763+BF763)/2,H763))))</f>
        <v>16</v>
      </c>
      <c r="BE763" s="50" t="n">
        <f aca="false">BD763*G763</f>
        <v>0.48</v>
      </c>
      <c r="BF763" s="50" t="n">
        <f aca="false">ROUNDUP(CK763+MAX(CL763,2*(J763/IF(CG763&gt;0,CG763,MAX(0.1,N(Cockpit!$O$6)))-CK763)),0)</f>
        <v>31</v>
      </c>
      <c r="BG763" s="51" t="n">
        <f aca="false">IF(BC763&gt;0,J763/BC763,-1)</f>
        <v>18.7870967741935</v>
      </c>
      <c r="BH763" s="51" t="n">
        <f aca="false">IF(AND(OR(CF763="L1",CF763="L23",CF763="LIFT"),BC763&gt;0),SUMIFS($BC$7:$BC$1843,$CF$7:$CF$1843,CF763,$BG$7:$BG$1843,"&gt;"&amp;BG763)+SUMIFS($BC$7:$BC$1843,$CF$7:$CF$1843,CF763,$BG$7:$BG$1843,BG763,$BW$7:$BW$1843,"&lt;="&amp;BW763),"")</f>
        <v>2276.90659340659</v>
      </c>
      <c r="BI763" s="58" t="n">
        <f aca="false">IF(BH763="",0,MAX(0,MIN(1,(IF(CF763="L1",Parameter!$H$5,IF(CF763="L23",Parameter!$H$6+Parameter!$H$7,Parameter!$H$5+Parameter!$H$6+Parameter!$H$7))-(BH763-BC763))/BC763)))</f>
        <v>1</v>
      </c>
      <c r="BJ763" s="48" t="str">
        <f aca="false">IF(AI763&lt;=0,"",IF(CF763="Aussen","Aussenlager",IF(CF763="-","Nicht im Lift",IF(AO763&gt;=1,"Lift",IF(AO763&lt;=0,"Aussenlager","teilweise")))))</f>
        <v>Lift</v>
      </c>
      <c r="BK763" s="48" t="str">
        <f aca="false">IF(AS763&lt;=0,"",IF(CF763="Aussen","Aussenlager",IF(CF763="-","Nicht im Lift",IF(AY763&gt;=1,"Lift",IF(AY763&lt;=0,"Aussenlager","teilweise")))))</f>
        <v>Lift</v>
      </c>
      <c r="BL763" s="48" t="str">
        <f aca="false">IF(BC763&lt;=0,"",IF(CF763="Aussen","Aussenlager",IF(CF763="-","Nicht im Lift",IF(BI763&gt;=1,"Lift",IF(BI763&lt;=0,"Aussenlager","teilweise")))))</f>
        <v>Lift</v>
      </c>
      <c r="BM763" s="48" t="str">
        <f aca="false">IF(A763="","",IF(BV763=1,"Neu; ","")&amp;IF(AND(BV763=0,BQ763&lt;0),"negativer Bestand (Export "&amp;BQ763&amp;"); ","")&amp;IF(J763&lt;=0,"Kein Verbrauch; ","")&amp;IF(CQ763&gt;0,"Lift "&amp;W763&amp;" lt. Liftbericht (Fach "&amp;X763&amp;" Stk); ",IF(CA763=1,"Gebinde geschätzt ("&amp;T763&amp;"); ",IF(BZ763=1,"Lose – Tablare geschätzt; ","")))&amp;IF(H763&gt;AV763,"Überbestand "&amp;ROUND(H763-AV763,0)&amp;" Stk / CHF "&amp;ROUND((H763-AV763)*G763,0)&amp;"; ","")&amp;IF(AND(CH763=1,CI763&lt;CJ763),"MAX &lt; MB+LG; ","")&amp;IF(AND(CP763&gt;0,CO763*10&gt;CP763),"zu hoch für Tablar; ","")&amp;IF(AND(BV763=0,OR(CH763=1,AA763&lt;&gt;"",U763&lt;&gt;"",V763&lt;&gt;"",AB763&lt;&gt;"")),"manuell übersteuert; ","")&amp;IF(AND(BZ763=0,R763=0),"Gebinde unbekannt / Stellmass fehlt; ","")&amp;IF(AND(BZ763=0,N(V763)&lt;=0,N(Q763)&lt;=0),"Menge pro Gebinde fehlt (Ist = 1 Gebinde); ","")&amp;BU763)</f>
        <v>negativer Bestand (Export -25); Überbestand 170 Stk / CHF 5; Überbestand</v>
      </c>
      <c r="BN763" s="48"/>
      <c r="BO763" s="48"/>
      <c r="BP763" s="55"/>
      <c r="BQ763" s="50" t="n">
        <v>-25</v>
      </c>
      <c r="BR763" s="50" t="n">
        <v>226</v>
      </c>
      <c r="BS763" s="49" t="n">
        <v>-0.75</v>
      </c>
      <c r="BT763" s="50" t="n">
        <v>28</v>
      </c>
      <c r="BU763" s="48" t="s">
        <v>401</v>
      </c>
      <c r="BV763" s="53" t="n">
        <v>0</v>
      </c>
      <c r="BW763" s="53" t="n">
        <v>763</v>
      </c>
      <c r="BX763" s="48" t="str">
        <f aca="false">IF(U763&lt;&gt;"",UPPER(TRIM(U763)),IF(CA763=1,UPPER(VLOOKUP(T763,Parameter!$I$27:$K$29,2,0)),IF(P763="","LOSE",P763)))</f>
        <v>S32</v>
      </c>
      <c r="BY763" s="50" t="n">
        <f aca="false">IF(BX763="LOSE",1,IF(N(V763)&gt;0,V763,IF(CA763=1,MAX(1,N(VLOOKUP(T763,Parameter!$I$27:$K$29,3,0)),H763,N(N763)),IF(N(Q763)&gt;0,Q763,MAX(1,H763)))))</f>
        <v>261</v>
      </c>
      <c r="BZ763" s="53" t="n">
        <f aca="false">IF(BX763="LOSE",1,0)</f>
        <v>0</v>
      </c>
      <c r="CA763" s="53" t="n">
        <f aca="false">IF(AND(U763="",OR(P763="",P763="LOSE"),T763&lt;&gt;"",N(S763)&lt;=0,ISNUMBER(MATCH(T763,Parameter!$I$27:$I$29,0))),1,0)</f>
        <v>0</v>
      </c>
      <c r="CB763" s="53" t="n">
        <f aca="false">IF(CQ763&gt;0,INDEX(Parameter!$H$5:$H$7,W763)/INDEX(Parameter!$E$5:$E$7,W763),IF(AND(BZ763=0,N(IFERROR(VLOOKUP(BX763,'Gebinde-Kategorie'!$A$5:$N$45,14,0),0))&gt;0),VLOOKUP(BX763,'Gebinde-Kategorie'!$A$5:$N$45,14,0)*10+Parameter!$M$23,Parameter!$M$24))</f>
        <v>155</v>
      </c>
      <c r="CC763" s="48" t="str">
        <f aca="false">IF(AND(Parameter!$B$19="Ja",E763&lt;&gt;"",ISNUMBER(MATCH(E763,Parameter!$I$35:$I$52,0))),VLOOKUP(E763,Parameter!$I$35:$J$52,2,0),IFERROR(VLOOKUP(D763,Parameter!$A$35:$C$64,2,0),"Nein"))</f>
        <v>2+3</v>
      </c>
      <c r="CD763" s="52" t="n">
        <f aca="false">IF(BZ763=0,0,IF(N(S763)&gt;0,S763,IFERROR(VLOOKUP(D763,Parameter!$A$35:$C$64,3,0)+0,0)))</f>
        <v>0</v>
      </c>
      <c r="CE763" s="48" t="n">
        <f aca="false">IF(AA763&lt;&gt;"",AA763,Z763)</f>
        <v>3</v>
      </c>
      <c r="CF763" s="48" t="str">
        <f aca="false">IF(OR(CE763=1,CE763=2,CE763=3),IF(Parameter!$E$27="Ja","LIFT",IF(CE763=1,"L1","L23")),IF(CE763="Aussen","Aussen","-"))</f>
        <v>LIFT</v>
      </c>
      <c r="CG763" s="59" t="n">
        <f aca="false">IF(N(AB763)&gt;0,AB763,0)</f>
        <v>0</v>
      </c>
      <c r="CH763" s="53" t="n">
        <f aca="false">IF(ISNUMBER(AE763),1,0)</f>
        <v>0</v>
      </c>
      <c r="CI763" s="50" t="n">
        <f aca="false">N(AE763)</f>
        <v>0</v>
      </c>
      <c r="CJ763" s="50" t="n">
        <f aca="false">N(M763)+N(N763)</f>
        <v>31</v>
      </c>
      <c r="CK763" s="50" t="n">
        <f aca="false">N(M763)</f>
        <v>1</v>
      </c>
      <c r="CL763" s="50" t="n">
        <f aca="false">N(N763)</f>
        <v>30</v>
      </c>
      <c r="CM763" s="50" t="n">
        <f aca="false">ROUNDUP(H763/BY763,0)</f>
        <v>1</v>
      </c>
      <c r="CN763" s="50" t="n">
        <f aca="false">ROUNDUP(CI763/BY763,0)</f>
        <v>0</v>
      </c>
      <c r="CO763" s="53" t="n">
        <f aca="false">IF(BZ763=1,0,IFERROR(VLOOKUP(BX763,'Gebinde-Kategorie'!$A$5:$N$45,5,0)+0,0))</f>
        <v>8</v>
      </c>
      <c r="CP763" s="53" t="n">
        <f aca="false">IFERROR(IF(OR(CE763=1,CE763=2,CE763=3),N(INDEX(Parameter!$I$5:$I$7,CE763)),0),0)</f>
        <v>0</v>
      </c>
      <c r="CQ763" s="52" t="n">
        <f aca="false">IF(AND(Parameter!$B$21="Ja",ISNUMBER(W763),N(X763)&gt;0),IFERROR(N(INDEX(Parameter!$L$5:$L$7,W763))*INDEX(Parameter!$E$5:$E$7,W763)*X763/SUMIFS($X$7:$X$1843,$W$7:$W$1843,W763),0),0)</f>
        <v>0</v>
      </c>
    </row>
    <row r="764" customFormat="false" ht="15" hidden="false" customHeight="false" outlineLevel="0" collapsed="false">
      <c r="A764" s="48" t="s">
        <v>1513</v>
      </c>
      <c r="B764" s="48" t="s">
        <v>1514</v>
      </c>
      <c r="C764" s="48" t="s">
        <v>173</v>
      </c>
      <c r="D764" s="48" t="s">
        <v>182</v>
      </c>
      <c r="E764" s="48" t="s">
        <v>194</v>
      </c>
      <c r="F764" s="48" t="s">
        <v>227</v>
      </c>
      <c r="G764" s="49" t="n">
        <v>1.03</v>
      </c>
      <c r="H764" s="50" t="n">
        <f aca="false">MAX(0,IF(AND(Parameter!$B$21="Ja",ISNUMBER(Y764)),Y764,IF(Parameter!$B$20="Jahresanfang 2025 + Export",BR764+BQ764,BQ764)))</f>
        <v>103.4</v>
      </c>
      <c r="I764" s="50" t="n">
        <f aca="false">H764*G764</f>
        <v>106.502</v>
      </c>
      <c r="J764" s="50" t="n">
        <f aca="false">BT764*Parameter!$B$18</f>
        <v>0.8</v>
      </c>
      <c r="K764" s="51" t="n">
        <v>103.8</v>
      </c>
      <c r="L764" s="52" t="n">
        <v>0.00770712909441234</v>
      </c>
      <c r="M764" s="50" t="n">
        <v>0</v>
      </c>
      <c r="N764" s="50" t="n">
        <v>1</v>
      </c>
      <c r="O764" s="53" t="n">
        <v>21</v>
      </c>
      <c r="P764" s="48" t="s">
        <v>242</v>
      </c>
      <c r="Q764" s="50" t="n">
        <v>30</v>
      </c>
      <c r="R764" s="53" t="n">
        <f aca="false">IF(BZ764=1,0,IFERROR(VLOOKUP(BX764,'Gebinde-Kategorie'!$A$5:$N$45,13,0)+0,0))</f>
        <v>26</v>
      </c>
      <c r="S764" s="54"/>
      <c r="T764" s="55"/>
      <c r="U764" s="55"/>
      <c r="V764" s="55"/>
      <c r="W764" s="48"/>
      <c r="X764" s="50"/>
      <c r="Y764" s="50"/>
      <c r="Z764" s="48" t="n">
        <f aca="false">IF(A764="","",IF(AND(Parameter!$B$21="Ja",ISNUMBER(W764)),W764,IF(CC764="2+3",IF(ISNUMBER(SEARCH("grosser Artikel",BU764)),2,IFERROR(VLOOKUP(BX764,Parameter!$F$35:$G$64,2,0),2)),IF(OR(CC764="Nein",CC764=""),"-",CC764))))</f>
        <v>3</v>
      </c>
      <c r="AA764" s="55"/>
      <c r="AB764" s="56"/>
      <c r="AC764" s="50" t="n">
        <f aca="false">AV764</f>
        <v>1</v>
      </c>
      <c r="AD764" s="50" t="n">
        <f aca="false">MAX(AV764,H764)</f>
        <v>103.4</v>
      </c>
      <c r="AE764" s="57"/>
      <c r="AF764" s="50" t="n">
        <f aca="false">IF(LEFT(Cockpit!$C$5,1)="A",H764,IF(Parameter!$E$30="MAX-Bestand",IF(CH764=1,CI764,IF(LEFT(Cockpit!$C$5,1)="B",AL764,MAX(AL764,H764))),ROUNDUP(AJ764,0)))</f>
        <v>103.4</v>
      </c>
      <c r="AG764" s="50" t="n">
        <f aca="false">IF(BZ764=1,0,ROUNDUP(AF764/BY764,0))</f>
        <v>4</v>
      </c>
      <c r="AH764" s="52" t="n">
        <f aca="false">IF(CQ764&gt;0,CQ764*MAX(1,AF764/X764),IF(BZ764=1,IF(AF764&lt;=0,0,CD764*MAX(1,IF(H764&gt;0,AF764/H764,1))),IF(R764&gt;0,AG764/R764,0))/MAX(0.1,N(Parameter!$M$21)))</f>
        <v>0.153846153846154</v>
      </c>
      <c r="AI764" s="50" t="n">
        <f aca="false">AH764*CB764</f>
        <v>37.6923076923077</v>
      </c>
      <c r="AJ764" s="51" t="n">
        <f aca="false">IF(LEFT(Cockpit!$C$5,1)="A",H764,IF(CH764=1,(CK764+CI764)/2,IF(LEFT(Cockpit!$C$5,1)="B",(CK764+AL764)/2,MAX((CK764+AL764)/2,H764))))</f>
        <v>103.4</v>
      </c>
      <c r="AK764" s="50" t="n">
        <f aca="false">AJ764*G764</f>
        <v>106.502</v>
      </c>
      <c r="AL764" s="50" t="n">
        <f aca="false">ROUNDUP(CK764+MAX(CL764,2*(J764/IF(CG764&gt;0,CG764,MAX(0.1,N(Cockpit!$C$6)))-CK764)),0)</f>
        <v>1</v>
      </c>
      <c r="AM764" s="51" t="n">
        <f aca="false">IF(AI764&gt;0,J764/AI764,-1)</f>
        <v>0.0212244897959184</v>
      </c>
      <c r="AN764" s="51" t="n">
        <f aca="false">IF(AND(OR(CF764="L1",CF764="L23",CF764="LIFT"),AI764&gt;0),SUMIFS($AI$7:$AI$1843,$CF$7:$CF$1843,CF764,$AM$7:$AM$1843,"&gt;"&amp;AM764)+SUMIFS($AI$7:$AI$1843,$CF$7:$CF$1843,CF764,$AM$7:$AM$1843,AM764,$BW$7:$BW$1843,"&lt;="&amp;BW764),"")</f>
        <v>23301.4364225699</v>
      </c>
      <c r="AO764" s="58" t="n">
        <f aca="false">IF(AN764="",0,MAX(0,MIN(1,(IF(CF764="L1",Parameter!$H$5,IF(CF764="L23",Parameter!$H$6+Parameter!$H$7,Parameter!$H$5+Parameter!$H$6+Parameter!$H$7))-(AN764-AI764))/AI764)))</f>
        <v>1</v>
      </c>
      <c r="AP764" s="50" t="n">
        <f aca="false">IF(LEFT(Cockpit!$I$5,1)="A",H764,IF(Parameter!$E$30="MAX-Bestand",IF(CH764=1,CI764,IF(LEFT(Cockpit!$I$5,1)="B",AV764,MAX(AV764,H764))),ROUNDUP(AT764,0)))</f>
        <v>104</v>
      </c>
      <c r="AQ764" s="50" t="n">
        <f aca="false">IF(BZ764=1,0,ROUNDUP(AP764/BY764,0))</f>
        <v>4</v>
      </c>
      <c r="AR764" s="52" t="n">
        <f aca="false">IF(CQ764&gt;0,CQ764*MAX(1,AP764/X764),IF(BZ764=1,IF(AP764&lt;=0,0,CD764*MAX(1,IF(H764&gt;0,AP764/H764,1))),IF(R764&gt;0,AQ764/R764,0))/MAX(0.1,N(Parameter!$M$21)))</f>
        <v>0.153846153846154</v>
      </c>
      <c r="AS764" s="50" t="n">
        <f aca="false">AR764*CB764</f>
        <v>37.6923076923077</v>
      </c>
      <c r="AT764" s="51" t="n">
        <f aca="false">IF(LEFT(Cockpit!$I$5,1)="A",H764,IF(CH764=1,(CK764+CI764)/2,IF(LEFT(Cockpit!$I$5,1)="B",(CK764+AV764)/2,MAX((CK764+AV764)/2,H764))))</f>
        <v>103.4</v>
      </c>
      <c r="AU764" s="50" t="n">
        <f aca="false">AT764*G764</f>
        <v>106.502</v>
      </c>
      <c r="AV764" s="50" t="n">
        <f aca="false">ROUNDUP(CK764+MAX(CL764,2*(J764/IF(CG764&gt;0,CG764,MAX(0.1,N(Cockpit!$I$6)))-CK764)),0)</f>
        <v>1</v>
      </c>
      <c r="AW764" s="51" t="n">
        <f aca="false">IF(AS764&gt;0,J764/AS764,-1)</f>
        <v>0.0212244897959184</v>
      </c>
      <c r="AX764" s="51" t="n">
        <f aca="false">IF(AND(OR(CF764="L1",CF764="L23",CF764="LIFT"),AS764&gt;0),SUMIFS($AS$7:$AS$1843,$CF$7:$CF$1843,CF764,$AW$7:$AW$1843,"&gt;"&amp;AW764)+SUMIFS($AS$7:$AS$1843,$CF$7:$CF$1843,CF764,$AW$7:$AW$1843,AW764,$BW$7:$BW$1843,"&lt;="&amp;BW764),"")</f>
        <v>28537.0850639474</v>
      </c>
      <c r="AY764" s="58" t="n">
        <f aca="false">IF(AX764="",0,MAX(0,MIN(1,(IF(CF764="L1",Parameter!$H$5,IF(CF764="L23",Parameter!$H$6+Parameter!$H$7,Parameter!$H$5+Parameter!$H$6+Parameter!$H$7))-(AX764-AS764))/AS764)))</f>
        <v>1</v>
      </c>
      <c r="AZ764" s="50" t="n">
        <f aca="false">IF(LEFT(Cockpit!$O$5,1)="A",H764,IF(Parameter!$E$30="MAX-Bestand",IF(CH764=1,CI764,IF(LEFT(Cockpit!$O$5,1)="B",BF764,MAX(BF764,H764))),ROUNDUP(BD764,0)))</f>
        <v>1</v>
      </c>
      <c r="BA764" s="50" t="n">
        <f aca="false">IF(BZ764=1,0,ROUNDUP(AZ764/BY764,0))</f>
        <v>1</v>
      </c>
      <c r="BB764" s="52" t="n">
        <f aca="false">IF(CQ764&gt;0,CQ764*MAX(1,AZ764/X764),IF(BZ764=1,IF(AZ764&lt;=0,0,CD764*MAX(1,IF(H764&gt;0,AZ764/H764,1))),IF(R764&gt;0,BA764/R764,0))/MAX(0.1,N(Parameter!$M$21)))</f>
        <v>0.0384615384615385</v>
      </c>
      <c r="BC764" s="50" t="n">
        <f aca="false">BB764*CB764</f>
        <v>9.42307692307692</v>
      </c>
      <c r="BD764" s="51" t="n">
        <f aca="false">IF(LEFT(Cockpit!$O$5,1)="A",H764,IF(CH764=1,(CK764+CI764)/2,IF(LEFT(Cockpit!$O$5,1)="B",(CK764+BF764)/2,MAX((CK764+BF764)/2,H764))))</f>
        <v>0.5</v>
      </c>
      <c r="BE764" s="50" t="n">
        <f aca="false">BD764*G764</f>
        <v>0.515</v>
      </c>
      <c r="BF764" s="50" t="n">
        <f aca="false">ROUNDUP(CK764+MAX(CL764,2*(J764/IF(CG764&gt;0,CG764,MAX(0.1,N(Cockpit!$O$6)))-CK764)),0)</f>
        <v>1</v>
      </c>
      <c r="BG764" s="51" t="n">
        <f aca="false">IF(BC764&gt;0,J764/BC764,-1)</f>
        <v>0.0848979591836735</v>
      </c>
      <c r="BH764" s="51" t="n">
        <f aca="false">IF(AND(OR(CF764="L1",CF764="L23",CF764="LIFT"),BC764&gt;0),SUMIFS($BC$7:$BC$1843,$CF$7:$CF$1843,CF764,$BG$7:$BG$1843,"&gt;"&amp;BG764)+SUMIFS($BC$7:$BC$1843,$CF$7:$CF$1843,CF764,$BG$7:$BG$1843,BG764,$BW$7:$BW$1843,"&lt;="&amp;BW764),"")</f>
        <v>18033.0084978581</v>
      </c>
      <c r="BI764" s="58" t="n">
        <f aca="false">IF(BH764="",0,MAX(0,MIN(1,(IF(CF764="L1",Parameter!$H$5,IF(CF764="L23",Parameter!$H$6+Parameter!$H$7,Parameter!$H$5+Parameter!$H$6+Parameter!$H$7))-(BH764-BC764))/BC764)))</f>
        <v>1</v>
      </c>
      <c r="BJ764" s="48" t="str">
        <f aca="false">IF(AI764&lt;=0,"",IF(CF764="Aussen","Aussenlager",IF(CF764="-","Nicht im Lift",IF(AO764&gt;=1,"Lift",IF(AO764&lt;=0,"Aussenlager","teilweise")))))</f>
        <v>Lift</v>
      </c>
      <c r="BK764" s="48" t="str">
        <f aca="false">IF(AS764&lt;=0,"",IF(CF764="Aussen","Aussenlager",IF(CF764="-","Nicht im Lift",IF(AY764&gt;=1,"Lift",IF(AY764&lt;=0,"Aussenlager","teilweise")))))</f>
        <v>Lift</v>
      </c>
      <c r="BL764" s="48" t="str">
        <f aca="false">IF(BC764&lt;=0,"",IF(CF764="Aussen","Aussenlager",IF(CF764="-","Nicht im Lift",IF(BI764&gt;=1,"Lift",IF(BI764&lt;=0,"Aussenlager","teilweise")))))</f>
        <v>Lift</v>
      </c>
      <c r="BM764" s="48" t="str">
        <f aca="false">IF(A764="","",IF(BV764=1,"Neu; ","")&amp;IF(AND(BV764=0,BQ764&lt;0),"negativer Bestand (Export "&amp;BQ764&amp;"); ","")&amp;IF(J764&lt;=0,"Kein Verbrauch; ","")&amp;IF(CQ764&gt;0,"Lift "&amp;W764&amp;" lt. Liftbericht (Fach "&amp;X764&amp;" Stk); ",IF(CA764=1,"Gebinde geschätzt ("&amp;T764&amp;"); ",IF(BZ764=1,"Lose – Tablare geschätzt; ","")))&amp;IF(H764&gt;AV764,"Überbestand "&amp;ROUND(H764-AV764,0)&amp;" Stk / CHF "&amp;ROUND((H764-AV764)*G764,0)&amp;"; ","")&amp;IF(AND(CH764=1,CI764&lt;CJ764),"MAX &lt; MB+LG; ","")&amp;IF(AND(CP764&gt;0,CO764*10&gt;CP764),"zu hoch für Tablar; ","")&amp;IF(AND(BV764=0,OR(CH764=1,AA764&lt;&gt;"",U764&lt;&gt;"",V764&lt;&gt;"",AB764&lt;&gt;"")),"manuell übersteuert; ","")&amp;IF(AND(BZ764=0,R764=0),"Gebinde unbekannt / Stellmass fehlt; ","")&amp;IF(AND(BZ764=0,N(V764)&lt;=0,N(Q764)&lt;=0),"Menge pro Gebinde fehlt (Ist = 1 Gebinde); ","")&amp;BU764)</f>
        <v>negativer Bestand (Export -0.8); Überbestand 102 Stk / CHF 105; Überbestand</v>
      </c>
      <c r="BN764" s="48"/>
      <c r="BO764" s="48"/>
      <c r="BP764" s="55"/>
      <c r="BQ764" s="50" t="n">
        <v>-0.8</v>
      </c>
      <c r="BR764" s="50" t="n">
        <v>104.2</v>
      </c>
      <c r="BS764" s="49" t="n">
        <v>-0.83</v>
      </c>
      <c r="BT764" s="50" t="n">
        <v>0.8</v>
      </c>
      <c r="BU764" s="48" t="s">
        <v>401</v>
      </c>
      <c r="BV764" s="53" t="n">
        <v>0</v>
      </c>
      <c r="BW764" s="53" t="n">
        <v>764</v>
      </c>
      <c r="BX764" s="48" t="str">
        <f aca="false">IF(U764&lt;&gt;"",UPPER(TRIM(U764)),IF(CA764=1,UPPER(VLOOKUP(T764,Parameter!$I$27:$K$29,2,0)),IF(P764="","LOSE",P764)))</f>
        <v>S52</v>
      </c>
      <c r="BY764" s="50" t="n">
        <f aca="false">IF(BX764="LOSE",1,IF(N(V764)&gt;0,V764,IF(CA764=1,MAX(1,N(VLOOKUP(T764,Parameter!$I$27:$K$29,3,0)),H764,N(N764)),IF(N(Q764)&gt;0,Q764,MAX(1,H764)))))</f>
        <v>30</v>
      </c>
      <c r="BZ764" s="53" t="n">
        <f aca="false">IF(BX764="LOSE",1,0)</f>
        <v>0</v>
      </c>
      <c r="CA764" s="53" t="n">
        <f aca="false">IF(AND(U764="",OR(P764="",P764="LOSE"),T764&lt;&gt;"",N(S764)&lt;=0,ISNUMBER(MATCH(T764,Parameter!$I$27:$I$29,0))),1,0)</f>
        <v>0</v>
      </c>
      <c r="CB764" s="53" t="n">
        <f aca="false">IF(CQ764&gt;0,INDEX(Parameter!$H$5:$H$7,W764)/INDEX(Parameter!$E$5:$E$7,W764),IF(AND(BZ764=0,N(IFERROR(VLOOKUP(BX764,'Gebinde-Kategorie'!$A$5:$N$45,14,0),0))&gt;0),VLOOKUP(BX764,'Gebinde-Kategorie'!$A$5:$N$45,14,0)*10+Parameter!$M$23,Parameter!$M$24))</f>
        <v>245</v>
      </c>
      <c r="CC764" s="48" t="str">
        <f aca="false">IF(AND(Parameter!$B$19="Ja",E764&lt;&gt;"",ISNUMBER(MATCH(E764,Parameter!$I$35:$I$52,0))),VLOOKUP(E764,Parameter!$I$35:$J$52,2,0),IFERROR(VLOOKUP(D764,Parameter!$A$35:$C$64,2,0),"Nein"))</f>
        <v>2+3</v>
      </c>
      <c r="CD764" s="52" t="n">
        <f aca="false">IF(BZ764=0,0,IF(N(S764)&gt;0,S764,IFERROR(VLOOKUP(D764,Parameter!$A$35:$C$64,3,0)+0,0)))</f>
        <v>0</v>
      </c>
      <c r="CE764" s="48" t="n">
        <f aca="false">IF(AA764&lt;&gt;"",AA764,Z764)</f>
        <v>3</v>
      </c>
      <c r="CF764" s="48" t="str">
        <f aca="false">IF(OR(CE764=1,CE764=2,CE764=3),IF(Parameter!$E$27="Ja","LIFT",IF(CE764=1,"L1","L23")),IF(CE764="Aussen","Aussen","-"))</f>
        <v>LIFT</v>
      </c>
      <c r="CG764" s="59" t="n">
        <f aca="false">IF(N(AB764)&gt;0,AB764,0)</f>
        <v>0</v>
      </c>
      <c r="CH764" s="53" t="n">
        <f aca="false">IF(ISNUMBER(AE764),1,0)</f>
        <v>0</v>
      </c>
      <c r="CI764" s="50" t="n">
        <f aca="false">N(AE764)</f>
        <v>0</v>
      </c>
      <c r="CJ764" s="50" t="n">
        <f aca="false">N(M764)+N(N764)</f>
        <v>1</v>
      </c>
      <c r="CK764" s="50" t="n">
        <f aca="false">N(M764)</f>
        <v>0</v>
      </c>
      <c r="CL764" s="50" t="n">
        <f aca="false">N(N764)</f>
        <v>1</v>
      </c>
      <c r="CM764" s="50" t="n">
        <f aca="false">ROUNDUP(H764/BY764,0)</f>
        <v>4</v>
      </c>
      <c r="CN764" s="50" t="n">
        <f aca="false">ROUNDUP(CI764/BY764,0)</f>
        <v>0</v>
      </c>
      <c r="CO764" s="53" t="n">
        <f aca="false">IF(BZ764=1,0,IFERROR(VLOOKUP(BX764,'Gebinde-Kategorie'!$A$5:$N$45,5,0)+0,0))</f>
        <v>21</v>
      </c>
      <c r="CP764" s="53" t="n">
        <f aca="false">IFERROR(IF(OR(CE764=1,CE764=2,CE764=3),N(INDEX(Parameter!$I$5:$I$7,CE764)),0),0)</f>
        <v>0</v>
      </c>
      <c r="CQ764" s="52" t="n">
        <f aca="false">IF(AND(Parameter!$B$21="Ja",ISNUMBER(W764),N(X764)&gt;0),IFERROR(N(INDEX(Parameter!$L$5:$L$7,W764))*INDEX(Parameter!$E$5:$E$7,W764)*X764/SUMIFS($X$7:$X$1843,$W$7:$W$1843,W764),0),0)</f>
        <v>0</v>
      </c>
    </row>
    <row r="765" customFormat="false" ht="15" hidden="false" customHeight="false" outlineLevel="0" collapsed="false">
      <c r="A765" s="48" t="s">
        <v>1515</v>
      </c>
      <c r="B765" s="48" t="s">
        <v>663</v>
      </c>
      <c r="C765" s="48" t="s">
        <v>173</v>
      </c>
      <c r="D765" s="48" t="s">
        <v>193</v>
      </c>
      <c r="E765" s="48" t="s">
        <v>194</v>
      </c>
      <c r="F765" s="48" t="s">
        <v>227</v>
      </c>
      <c r="G765" s="49" t="n">
        <v>0.42</v>
      </c>
      <c r="H765" s="50" t="n">
        <f aca="false">MAX(0,IF(AND(Parameter!$B$21="Ja",ISNUMBER(Y765)),Y765,IF(Parameter!$B$20="Jahresanfang 2025 + Export",BR765+BQ765,BQ765)))</f>
        <v>370</v>
      </c>
      <c r="I765" s="50" t="n">
        <f aca="false">H765*G765</f>
        <v>155.4</v>
      </c>
      <c r="J765" s="50" t="n">
        <f aca="false">BT765*Parameter!$B$18</f>
        <v>0</v>
      </c>
      <c r="K765" s="51" t="n">
        <v>372</v>
      </c>
      <c r="L765" s="52" t="n">
        <v>0</v>
      </c>
      <c r="M765" s="50" t="n">
        <v>0</v>
      </c>
      <c r="N765" s="50" t="n">
        <v>1</v>
      </c>
      <c r="O765" s="53" t="n">
        <v>14</v>
      </c>
      <c r="P765" s="48" t="s">
        <v>311</v>
      </c>
      <c r="Q765" s="50" t="n">
        <v>234</v>
      </c>
      <c r="R765" s="53" t="n">
        <f aca="false">IF(BZ765=1,0,IFERROR(VLOOKUP(BX765,'Gebinde-Kategorie'!$A$5:$N$45,13,0)+0,0))</f>
        <v>26</v>
      </c>
      <c r="S765" s="54"/>
      <c r="T765" s="55"/>
      <c r="U765" s="55"/>
      <c r="V765" s="55"/>
      <c r="W765" s="48"/>
      <c r="X765" s="50"/>
      <c r="Y765" s="50"/>
      <c r="Z765" s="48" t="n">
        <f aca="false">IF(A765="","",IF(AND(Parameter!$B$21="Ja",ISNUMBER(W765)),W765,IF(CC765="2+3",IF(ISNUMBER(SEARCH("grosser Artikel",BU765)),2,IFERROR(VLOOKUP(BX765,Parameter!$F$35:$G$64,2,0),2)),IF(OR(CC765="Nein",CC765=""),"-",CC765))))</f>
        <v>3</v>
      </c>
      <c r="AA765" s="55"/>
      <c r="AB765" s="56"/>
      <c r="AC765" s="50" t="n">
        <f aca="false">AV765</f>
        <v>1</v>
      </c>
      <c r="AD765" s="50" t="n">
        <f aca="false">MAX(AV765,H765)</f>
        <v>370</v>
      </c>
      <c r="AE765" s="57"/>
      <c r="AF765" s="50" t="n">
        <f aca="false">IF(LEFT(Cockpit!$C$5,1)="A",H765,IF(Parameter!$E$30="MAX-Bestand",IF(CH765=1,CI765,IF(LEFT(Cockpit!$C$5,1)="B",AL765,MAX(AL765,H765))),ROUNDUP(AJ765,0)))</f>
        <v>370</v>
      </c>
      <c r="AG765" s="50" t="n">
        <f aca="false">IF(BZ765=1,0,ROUNDUP(AF765/BY765,0))</f>
        <v>2</v>
      </c>
      <c r="AH765" s="52" t="n">
        <f aca="false">IF(CQ765&gt;0,CQ765*MAX(1,AF765/X765),IF(BZ765=1,IF(AF765&lt;=0,0,CD765*MAX(1,IF(H765&gt;0,AF765/H765,1))),IF(R765&gt;0,AG765/R765,0))/MAX(0.1,N(Parameter!$M$21)))</f>
        <v>0.0769230769230769</v>
      </c>
      <c r="AI765" s="50" t="n">
        <f aca="false">AH765*CB765</f>
        <v>11.9230769230769</v>
      </c>
      <c r="AJ765" s="51" t="n">
        <f aca="false">IF(LEFT(Cockpit!$C$5,1)="A",H765,IF(CH765=1,(CK765+CI765)/2,IF(LEFT(Cockpit!$C$5,1)="B",(CK765+AL765)/2,MAX((CK765+AL765)/2,H765))))</f>
        <v>370</v>
      </c>
      <c r="AK765" s="50" t="n">
        <f aca="false">AJ765*G765</f>
        <v>155.4</v>
      </c>
      <c r="AL765" s="50" t="n">
        <f aca="false">ROUNDUP(CK765+MAX(CL765,2*(J765/IF(CG765&gt;0,CG765,MAX(0.1,N(Cockpit!$C$6)))-CK765)),0)</f>
        <v>1</v>
      </c>
      <c r="AM765" s="51" t="n">
        <f aca="false">IF(AI765&gt;0,J765/AI765,-1)</f>
        <v>0</v>
      </c>
      <c r="AN765" s="51" t="n">
        <f aca="false">IF(AND(OR(CF765="L1",CF765="L23",CF765="LIFT"),AI765&gt;0),SUMIFS($AI$7:$AI$1843,$CF$7:$CF$1843,CF765,$AM$7:$AM$1843,"&gt;"&amp;AM765)+SUMIFS($AI$7:$AI$1843,$CF$7:$CF$1843,CF765,$AM$7:$AM$1843,AM765,$BW$7:$BW$1843,"&lt;="&amp;BW765),"")</f>
        <v>28732.7968714431</v>
      </c>
      <c r="AO765" s="58" t="n">
        <f aca="false">IF(AN765="",0,MAX(0,MIN(1,(IF(CF765="L1",Parameter!$H$5,IF(CF765="L23",Parameter!$H$6+Parameter!$H$7,Parameter!$H$5+Parameter!$H$6+Parameter!$H$7))-(AN765-AI765))/AI765)))</f>
        <v>1</v>
      </c>
      <c r="AP765" s="50" t="n">
        <f aca="false">IF(LEFT(Cockpit!$I$5,1)="A",H765,IF(Parameter!$E$30="MAX-Bestand",IF(CH765=1,CI765,IF(LEFT(Cockpit!$I$5,1)="B",AV765,MAX(AV765,H765))),ROUNDUP(AT765,0)))</f>
        <v>370</v>
      </c>
      <c r="AQ765" s="50" t="n">
        <f aca="false">IF(BZ765=1,0,ROUNDUP(AP765/BY765,0))</f>
        <v>2</v>
      </c>
      <c r="AR765" s="52" t="n">
        <f aca="false">IF(CQ765&gt;0,CQ765*MAX(1,AP765/X765),IF(BZ765=1,IF(AP765&lt;=0,0,CD765*MAX(1,IF(H765&gt;0,AP765/H765,1))),IF(R765&gt;0,AQ765/R765,0))/MAX(0.1,N(Parameter!$M$21)))</f>
        <v>0.0769230769230769</v>
      </c>
      <c r="AS765" s="50" t="n">
        <f aca="false">AR765*CB765</f>
        <v>11.9230769230769</v>
      </c>
      <c r="AT765" s="51" t="n">
        <f aca="false">IF(LEFT(Cockpit!$I$5,1)="A",H765,IF(CH765=1,(CK765+CI765)/2,IF(LEFT(Cockpit!$I$5,1)="B",(CK765+AV765)/2,MAX((CK765+AV765)/2,H765))))</f>
        <v>370</v>
      </c>
      <c r="AU765" s="50" t="n">
        <f aca="false">AT765*G765</f>
        <v>155.4</v>
      </c>
      <c r="AV765" s="50" t="n">
        <f aca="false">ROUNDUP(CK765+MAX(CL765,2*(J765/IF(CG765&gt;0,CG765,MAX(0.1,N(Cockpit!$I$6)))-CK765)),0)</f>
        <v>1</v>
      </c>
      <c r="AW765" s="51" t="n">
        <f aca="false">IF(AS765&gt;0,J765/AS765,-1)</f>
        <v>0</v>
      </c>
      <c r="AX765" s="51" t="n">
        <f aca="false">IF(AND(OR(CF765="L1",CF765="L23",CF765="LIFT"),AS765&gt;0),SUMIFS($AS$7:$AS$1843,$CF$7:$CF$1843,CF765,$AW$7:$AW$1843,"&gt;"&amp;AW765)+SUMIFS($AS$7:$AS$1843,$CF$7:$CF$1843,CF765,$AW$7:$AW$1843,AW765,$BW$7:$BW$1843,"&lt;="&amp;BW765),"")</f>
        <v>34337.5801282051</v>
      </c>
      <c r="AY765" s="58" t="n">
        <f aca="false">IF(AX765="",0,MAX(0,MIN(1,(IF(CF765="L1",Parameter!$H$5,IF(CF765="L23",Parameter!$H$6+Parameter!$H$7,Parameter!$H$5+Parameter!$H$6+Parameter!$H$7))-(AX765-AS765))/AS765)))</f>
        <v>1</v>
      </c>
      <c r="AZ765" s="50" t="n">
        <f aca="false">IF(LEFT(Cockpit!$O$5,1)="A",H765,IF(Parameter!$E$30="MAX-Bestand",IF(CH765=1,CI765,IF(LEFT(Cockpit!$O$5,1)="B",BF765,MAX(BF765,H765))),ROUNDUP(BD765,0)))</f>
        <v>1</v>
      </c>
      <c r="BA765" s="50" t="n">
        <f aca="false">IF(BZ765=1,0,ROUNDUP(AZ765/BY765,0))</f>
        <v>1</v>
      </c>
      <c r="BB765" s="52" t="n">
        <f aca="false">IF(CQ765&gt;0,CQ765*MAX(1,AZ765/X765),IF(BZ765=1,IF(AZ765&lt;=0,0,CD765*MAX(1,IF(H765&gt;0,AZ765/H765,1))),IF(R765&gt;0,BA765/R765,0))/MAX(0.1,N(Parameter!$M$21)))</f>
        <v>0.0384615384615385</v>
      </c>
      <c r="BC765" s="50" t="n">
        <f aca="false">BB765*CB765</f>
        <v>5.96153846153846</v>
      </c>
      <c r="BD765" s="51" t="n">
        <f aca="false">IF(LEFT(Cockpit!$O$5,1)="A",H765,IF(CH765=1,(CK765+CI765)/2,IF(LEFT(Cockpit!$O$5,1)="B",(CK765+BF765)/2,MAX((CK765+BF765)/2,H765))))</f>
        <v>0.5</v>
      </c>
      <c r="BE765" s="50" t="n">
        <f aca="false">BD765*G765</f>
        <v>0.21</v>
      </c>
      <c r="BF765" s="50" t="n">
        <f aca="false">ROUNDUP(CK765+MAX(CL765,2*(J765/IF(CG765&gt;0,CG765,MAX(0.1,N(Cockpit!$O$6)))-CK765)),0)</f>
        <v>1</v>
      </c>
      <c r="BG765" s="51" t="n">
        <f aca="false">IF(BC765&gt;0,J765/BC765,-1)</f>
        <v>0</v>
      </c>
      <c r="BH765" s="51" t="n">
        <f aca="false">IF(AND(OR(CF765="L1",CF765="L23",CF765="LIFT"),BC765&gt;0),SUMIFS($BC$7:$BC$1843,$CF$7:$CF$1843,CF765,$BG$7:$BG$1843,"&gt;"&amp;BG765)+SUMIFS($BC$7:$BC$1843,$CF$7:$CF$1843,CF765,$BG$7:$BG$1843,BG765,$BW$7:$BW$1843,"&lt;="&amp;BW765),"")</f>
        <v>28381.4499751661</v>
      </c>
      <c r="BI765" s="58" t="n">
        <f aca="false">IF(BH765="",0,MAX(0,MIN(1,(IF(CF765="L1",Parameter!$H$5,IF(CF765="L23",Parameter!$H$6+Parameter!$H$7,Parameter!$H$5+Parameter!$H$6+Parameter!$H$7))-(BH765-BC765))/BC765)))</f>
        <v>1</v>
      </c>
      <c r="BJ765" s="48" t="str">
        <f aca="false">IF(AI765&lt;=0,"",IF(CF765="Aussen","Aussenlager",IF(CF765="-","Nicht im Lift",IF(AO765&gt;=1,"Lift",IF(AO765&lt;=0,"Aussenlager","teilweise")))))</f>
        <v>Lift</v>
      </c>
      <c r="BK765" s="48" t="str">
        <f aca="false">IF(AS765&lt;=0,"",IF(CF765="Aussen","Aussenlager",IF(CF765="-","Nicht im Lift",IF(AY765&gt;=1,"Lift",IF(AY765&lt;=0,"Aussenlager","teilweise")))))</f>
        <v>Lift</v>
      </c>
      <c r="BL765" s="48" t="str">
        <f aca="false">IF(BC765&lt;=0,"",IF(CF765="Aussen","Aussenlager",IF(CF765="-","Nicht im Lift",IF(BI765&gt;=1,"Lift",IF(BI765&lt;=0,"Aussenlager","teilweise")))))</f>
        <v>Lift</v>
      </c>
      <c r="BM765" s="48" t="str">
        <f aca="false">IF(A765="","",IF(BV765=1,"Neu; ","")&amp;IF(AND(BV765=0,BQ765&lt;0),"negativer Bestand (Export "&amp;BQ765&amp;"); ","")&amp;IF(J765&lt;=0,"Kein Verbrauch; ","")&amp;IF(CQ765&gt;0,"Lift "&amp;W765&amp;" lt. Liftbericht (Fach "&amp;X765&amp;" Stk); ",IF(CA765=1,"Gebinde geschätzt ("&amp;T765&amp;"); ",IF(BZ765=1,"Lose – Tablare geschätzt; ","")))&amp;IF(H765&gt;AV765,"Überbestand "&amp;ROUND(H765-AV765,0)&amp;" Stk / CHF "&amp;ROUND((H765-AV765)*G765,0)&amp;"; ","")&amp;IF(AND(CH765=1,CI765&lt;CJ765),"MAX &lt; MB+LG; ","")&amp;IF(AND(CP765&gt;0,CO765*10&gt;CP765),"zu hoch für Tablar; ","")&amp;IF(AND(BV765=0,OR(CH765=1,AA765&lt;&gt;"",U765&lt;&gt;"",V765&lt;&gt;"",AB765&lt;&gt;"")),"manuell übersteuert; ","")&amp;IF(AND(BZ765=0,R765=0),"Gebinde unbekannt / Stellmass fehlt; ","")&amp;IF(AND(BZ765=0,N(V765)&lt;=0,N(Q765)&lt;=0),"Menge pro Gebinde fehlt (Ist = 1 Gebinde); ","")&amp;BU765)</f>
        <v>negativer Bestand (Export -2); Kein Verbrauch; Überbestand 369 Stk / CHF 155; Überbestand</v>
      </c>
      <c r="BN765" s="48"/>
      <c r="BO765" s="48"/>
      <c r="BP765" s="55"/>
      <c r="BQ765" s="50" t="n">
        <v>-2</v>
      </c>
      <c r="BR765" s="50" t="n">
        <v>372</v>
      </c>
      <c r="BS765" s="49" t="n">
        <v>-0.84</v>
      </c>
      <c r="BT765" s="50" t="n">
        <v>0</v>
      </c>
      <c r="BU765" s="48" t="s">
        <v>401</v>
      </c>
      <c r="BV765" s="53" t="n">
        <v>0</v>
      </c>
      <c r="BW765" s="53" t="n">
        <v>765</v>
      </c>
      <c r="BX765" s="48" t="str">
        <f aca="false">IF(U765&lt;&gt;"",UPPER(TRIM(U765)),IF(CA765=1,UPPER(VLOOKUP(T765,Parameter!$I$27:$K$29,2,0)),IF(P765="","LOSE",P765)))</f>
        <v>S51</v>
      </c>
      <c r="BY765" s="50" t="n">
        <f aca="false">IF(BX765="LOSE",1,IF(N(V765)&gt;0,V765,IF(CA765=1,MAX(1,N(VLOOKUP(T765,Parameter!$I$27:$K$29,3,0)),H765,N(N765)),IF(N(Q765)&gt;0,Q765,MAX(1,H765)))))</f>
        <v>234</v>
      </c>
      <c r="BZ765" s="53" t="n">
        <f aca="false">IF(BX765="LOSE",1,0)</f>
        <v>0</v>
      </c>
      <c r="CA765" s="53" t="n">
        <f aca="false">IF(AND(U765="",OR(P765="",P765="LOSE"),T765&lt;&gt;"",N(S765)&lt;=0,ISNUMBER(MATCH(T765,Parameter!$I$27:$I$29,0))),1,0)</f>
        <v>0</v>
      </c>
      <c r="CB765" s="53" t="n">
        <f aca="false">IF(CQ765&gt;0,INDEX(Parameter!$H$5:$H$7,W765)/INDEX(Parameter!$E$5:$E$7,W765),IF(AND(BZ765=0,N(IFERROR(VLOOKUP(BX765,'Gebinde-Kategorie'!$A$5:$N$45,14,0),0))&gt;0),VLOOKUP(BX765,'Gebinde-Kategorie'!$A$5:$N$45,14,0)*10+Parameter!$M$23,Parameter!$M$24))</f>
        <v>155</v>
      </c>
      <c r="CC765" s="48" t="str">
        <f aca="false">IF(AND(Parameter!$B$19="Ja",E765&lt;&gt;"",ISNUMBER(MATCH(E765,Parameter!$I$35:$I$52,0))),VLOOKUP(E765,Parameter!$I$35:$J$52,2,0),IFERROR(VLOOKUP(D765,Parameter!$A$35:$C$64,2,0),"Nein"))</f>
        <v>2+3</v>
      </c>
      <c r="CD765" s="52" t="n">
        <f aca="false">IF(BZ765=0,0,IF(N(S765)&gt;0,S765,IFERROR(VLOOKUP(D765,Parameter!$A$35:$C$64,3,0)+0,0)))</f>
        <v>0</v>
      </c>
      <c r="CE765" s="48" t="n">
        <f aca="false">IF(AA765&lt;&gt;"",AA765,Z765)</f>
        <v>3</v>
      </c>
      <c r="CF765" s="48" t="str">
        <f aca="false">IF(OR(CE765=1,CE765=2,CE765=3),IF(Parameter!$E$27="Ja","LIFT",IF(CE765=1,"L1","L23")),IF(CE765="Aussen","Aussen","-"))</f>
        <v>LIFT</v>
      </c>
      <c r="CG765" s="59" t="n">
        <f aca="false">IF(N(AB765)&gt;0,AB765,0)</f>
        <v>0</v>
      </c>
      <c r="CH765" s="53" t="n">
        <f aca="false">IF(ISNUMBER(AE765),1,0)</f>
        <v>0</v>
      </c>
      <c r="CI765" s="50" t="n">
        <f aca="false">N(AE765)</f>
        <v>0</v>
      </c>
      <c r="CJ765" s="50" t="n">
        <f aca="false">N(M765)+N(N765)</f>
        <v>1</v>
      </c>
      <c r="CK765" s="50" t="n">
        <f aca="false">N(M765)</f>
        <v>0</v>
      </c>
      <c r="CL765" s="50" t="n">
        <f aca="false">N(N765)</f>
        <v>1</v>
      </c>
      <c r="CM765" s="50" t="n">
        <f aca="false">ROUNDUP(H765/BY765,0)</f>
        <v>2</v>
      </c>
      <c r="CN765" s="50" t="n">
        <f aca="false">ROUNDUP(CI765/BY765,0)</f>
        <v>0</v>
      </c>
      <c r="CO765" s="53" t="n">
        <f aca="false">IF(BZ765=1,0,IFERROR(VLOOKUP(BX765,'Gebinde-Kategorie'!$A$5:$N$45,5,0)+0,0))</f>
        <v>11</v>
      </c>
      <c r="CP765" s="53" t="n">
        <f aca="false">IFERROR(IF(OR(CE765=1,CE765=2,CE765=3),N(INDEX(Parameter!$I$5:$I$7,CE765)),0),0)</f>
        <v>0</v>
      </c>
      <c r="CQ765" s="52" t="n">
        <f aca="false">IF(AND(Parameter!$B$21="Ja",ISNUMBER(W765),N(X765)&gt;0),IFERROR(N(INDEX(Parameter!$L$5:$L$7,W765))*INDEX(Parameter!$E$5:$E$7,W765)*X765/SUMIFS($X$7:$X$1843,$W$7:$W$1843,W765),0),0)</f>
        <v>0</v>
      </c>
    </row>
    <row r="766" customFormat="false" ht="15" hidden="false" customHeight="false" outlineLevel="0" collapsed="false">
      <c r="A766" s="48" t="s">
        <v>1516</v>
      </c>
      <c r="B766" s="48" t="s">
        <v>1517</v>
      </c>
      <c r="C766" s="48" t="s">
        <v>465</v>
      </c>
      <c r="D766" s="48" t="s">
        <v>182</v>
      </c>
      <c r="E766" s="48"/>
      <c r="F766" s="48" t="s">
        <v>227</v>
      </c>
      <c r="G766" s="49" t="n">
        <v>0.01</v>
      </c>
      <c r="H766" s="50" t="n">
        <f aca="false">MAX(0,IF(AND(Parameter!$B$21="Ja",ISNUMBER(Y766)),Y766,IF(Parameter!$B$20="Jahresanfang 2025 + Export",BR766+BQ766,BQ766)))</f>
        <v>0</v>
      </c>
      <c r="I766" s="50" t="n">
        <f aca="false">H766*G766</f>
        <v>0</v>
      </c>
      <c r="J766" s="50" t="n">
        <f aca="false">BT766*Parameter!$B$18</f>
        <v>50</v>
      </c>
      <c r="K766" s="51" t="n">
        <v>90</v>
      </c>
      <c r="L766" s="52" t="n">
        <v>0.555555555555556</v>
      </c>
      <c r="M766" s="50" t="n">
        <v>0</v>
      </c>
      <c r="N766" s="50" t="n">
        <v>50</v>
      </c>
      <c r="O766" s="53" t="n">
        <v>14</v>
      </c>
      <c r="P766" s="48" t="s">
        <v>177</v>
      </c>
      <c r="Q766" s="50"/>
      <c r="R766" s="53" t="n">
        <f aca="false">IF(BZ766=1,0,IFERROR(VLOOKUP(BX766,'Gebinde-Kategorie'!$A$5:$N$45,13,0)+0,0))</f>
        <v>12</v>
      </c>
      <c r="S766" s="54"/>
      <c r="T766" s="55" t="s">
        <v>188</v>
      </c>
      <c r="U766" s="55"/>
      <c r="V766" s="55"/>
      <c r="W766" s="48"/>
      <c r="X766" s="50"/>
      <c r="Y766" s="50"/>
      <c r="Z766" s="48" t="n">
        <f aca="false">IF(A766="","",IF(AND(Parameter!$B$21="Ja",ISNUMBER(W766)),W766,IF(CC766="2+3",IF(ISNUMBER(SEARCH("grosser Artikel",BU766)),2,IFERROR(VLOOKUP(BX766,Parameter!$F$35:$G$64,2,0),2)),IF(OR(CC766="Nein",CC766=""),"-",CC766))))</f>
        <v>2</v>
      </c>
      <c r="AA766" s="55"/>
      <c r="AB766" s="56"/>
      <c r="AC766" s="50" t="n">
        <f aca="false">AV766</f>
        <v>50</v>
      </c>
      <c r="AD766" s="50" t="n">
        <f aca="false">MAX(AV766,H766)</f>
        <v>50</v>
      </c>
      <c r="AE766" s="57"/>
      <c r="AF766" s="50" t="n">
        <f aca="false">IF(LEFT(Cockpit!$C$5,1)="A",H766,IF(Parameter!$E$30="MAX-Bestand",IF(CH766=1,CI766,IF(LEFT(Cockpit!$C$5,1)="B",AL766,MAX(AL766,H766))),ROUNDUP(AJ766,0)))</f>
        <v>0</v>
      </c>
      <c r="AG766" s="50" t="n">
        <f aca="false">IF(BZ766=1,0,ROUNDUP(AF766/BY766,0))</f>
        <v>0</v>
      </c>
      <c r="AH766" s="52" t="n">
        <f aca="false">IF(CQ766&gt;0,CQ766*MAX(1,AF766/X766),IF(BZ766=1,IF(AF766&lt;=0,0,CD766*MAX(1,IF(H766&gt;0,AF766/H766,1))),IF(R766&gt;0,AG766/R766,0))/MAX(0.1,N(Parameter!$M$21)))</f>
        <v>0</v>
      </c>
      <c r="AI766" s="50" t="n">
        <f aca="false">AH766*CB766</f>
        <v>0</v>
      </c>
      <c r="AJ766" s="51" t="n">
        <f aca="false">IF(LEFT(Cockpit!$C$5,1)="A",H766,IF(CH766=1,(CK766+CI766)/2,IF(LEFT(Cockpit!$C$5,1)="B",(CK766+AL766)/2,MAX((CK766+AL766)/2,H766))))</f>
        <v>0</v>
      </c>
      <c r="AK766" s="50" t="n">
        <f aca="false">AJ766*G766</f>
        <v>0</v>
      </c>
      <c r="AL766" s="50" t="n">
        <f aca="false">ROUNDUP(CK766+MAX(CL766,2*(J766/IF(CG766&gt;0,CG766,MAX(0.1,N(Cockpit!$C$6)))-CK766)),0)</f>
        <v>50</v>
      </c>
      <c r="AM766" s="51" t="n">
        <f aca="false">IF(AI766&gt;0,J766/AI766,-1)</f>
        <v>-1</v>
      </c>
      <c r="AN766" s="51" t="str">
        <f aca="false">IF(AND(OR(CF766="L1",CF766="L23",CF766="LIFT"),AI766&gt;0),SUMIFS($AI$7:$AI$1843,$CF$7:$CF$1843,CF766,$AM$7:$AM$1843,"&gt;"&amp;AM766)+SUMIFS($AI$7:$AI$1843,$CF$7:$CF$1843,CF766,$AM$7:$AM$1843,AM766,$BW$7:$BW$1843,"&lt;="&amp;BW766),"")</f>
        <v/>
      </c>
      <c r="AO766" s="58" t="n">
        <f aca="false">IF(AN766="",0,MAX(0,MIN(1,(IF(CF766="L1",Parameter!$H$5,IF(CF766="L23",Parameter!$H$6+Parameter!$H$7,Parameter!$H$5+Parameter!$H$6+Parameter!$H$7))-(AN766-AI766))/AI766)))</f>
        <v>0</v>
      </c>
      <c r="AP766" s="50" t="n">
        <f aca="false">IF(LEFT(Cockpit!$I$5,1)="A",H766,IF(Parameter!$E$30="MAX-Bestand",IF(CH766=1,CI766,IF(LEFT(Cockpit!$I$5,1)="B",AV766,MAX(AV766,H766))),ROUNDUP(AT766,0)))</f>
        <v>25</v>
      </c>
      <c r="AQ766" s="50" t="n">
        <f aca="false">IF(BZ766=1,0,ROUNDUP(AP766/BY766,0))</f>
        <v>1</v>
      </c>
      <c r="AR766" s="52" t="n">
        <f aca="false">IF(CQ766&gt;0,CQ766*MAX(1,AP766/X766),IF(BZ766=1,IF(AP766&lt;=0,0,CD766*MAX(1,IF(H766&gt;0,AP766/H766,1))),IF(R766&gt;0,AQ766/R766,0))/MAX(0.1,N(Parameter!$M$21)))</f>
        <v>0.0833333333333333</v>
      </c>
      <c r="AS766" s="50" t="n">
        <f aca="false">AR766*CB766</f>
        <v>12.0833333333333</v>
      </c>
      <c r="AT766" s="51" t="n">
        <f aca="false">IF(LEFT(Cockpit!$I$5,1)="A",H766,IF(CH766=1,(CK766+CI766)/2,IF(LEFT(Cockpit!$I$5,1)="B",(CK766+AV766)/2,MAX((CK766+AV766)/2,H766))))</f>
        <v>25</v>
      </c>
      <c r="AU766" s="50" t="n">
        <f aca="false">AT766*G766</f>
        <v>0.25</v>
      </c>
      <c r="AV766" s="50" t="n">
        <f aca="false">ROUNDUP(CK766+MAX(CL766,2*(J766/IF(CG766&gt;0,CG766,MAX(0.1,N(Cockpit!$I$6)))-CK766)),0)</f>
        <v>50</v>
      </c>
      <c r="AW766" s="51" t="n">
        <f aca="false">IF(AS766&gt;0,J766/AS766,-1)</f>
        <v>4.13793103448276</v>
      </c>
      <c r="AX766" s="51" t="n">
        <f aca="false">IF(AND(OR(CF766="L1",CF766="L23",CF766="LIFT"),AS766&gt;0),SUMIFS($AS$7:$AS$1843,$CF$7:$CF$1843,CF766,$AW$7:$AW$1843,"&gt;"&amp;AW766)+SUMIFS($AS$7:$AS$1843,$CF$7:$CF$1843,CF766,$AW$7:$AW$1843,AW766,$BW$7:$BW$1843,"&lt;="&amp;BW766),"")</f>
        <v>4835.57097069597</v>
      </c>
      <c r="AY766" s="58" t="n">
        <f aca="false">IF(AX766="",0,MAX(0,MIN(1,(IF(CF766="L1",Parameter!$H$5,IF(CF766="L23",Parameter!$H$6+Parameter!$H$7,Parameter!$H$5+Parameter!$H$6+Parameter!$H$7))-(AX766-AS766))/AS766)))</f>
        <v>1</v>
      </c>
      <c r="AZ766" s="50" t="n">
        <f aca="false">IF(LEFT(Cockpit!$O$5,1)="A",H766,IF(Parameter!$E$30="MAX-Bestand",IF(CH766=1,CI766,IF(LEFT(Cockpit!$O$5,1)="B",BF766,MAX(BF766,H766))),ROUNDUP(BD766,0)))</f>
        <v>25</v>
      </c>
      <c r="BA766" s="50" t="n">
        <f aca="false">IF(BZ766=1,0,ROUNDUP(AZ766/BY766,0))</f>
        <v>1</v>
      </c>
      <c r="BB766" s="52" t="n">
        <f aca="false">IF(CQ766&gt;0,CQ766*MAX(1,AZ766/X766),IF(BZ766=1,IF(AZ766&lt;=0,0,CD766*MAX(1,IF(H766&gt;0,AZ766/H766,1))),IF(R766&gt;0,BA766/R766,0))/MAX(0.1,N(Parameter!$M$21)))</f>
        <v>0.0833333333333333</v>
      </c>
      <c r="BC766" s="50" t="n">
        <f aca="false">BB766*CB766</f>
        <v>12.0833333333333</v>
      </c>
      <c r="BD766" s="51" t="n">
        <f aca="false">IF(LEFT(Cockpit!$O$5,1)="A",H766,IF(CH766=1,(CK766+CI766)/2,IF(LEFT(Cockpit!$O$5,1)="B",(CK766+BF766)/2,MAX((CK766+BF766)/2,H766))))</f>
        <v>25</v>
      </c>
      <c r="BE766" s="50" t="n">
        <f aca="false">BD766*G766</f>
        <v>0.25</v>
      </c>
      <c r="BF766" s="50" t="n">
        <f aca="false">ROUNDUP(CK766+MAX(CL766,2*(J766/IF(CG766&gt;0,CG766,MAX(0.1,N(Cockpit!$O$6)))-CK766)),0)</f>
        <v>50</v>
      </c>
      <c r="BG766" s="51" t="n">
        <f aca="false">IF(BC766&gt;0,J766/BC766,-1)</f>
        <v>4.13793103448276</v>
      </c>
      <c r="BH766" s="51" t="n">
        <f aca="false">IF(AND(OR(CF766="L1",CF766="L23",CF766="LIFT"),BC766&gt;0),SUMIFS($BC$7:$BC$1843,$CF$7:$CF$1843,CF766,$BG$7:$BG$1843,"&gt;"&amp;BG766)+SUMIFS($BC$7:$BC$1843,$CF$7:$CF$1843,CF766,$BG$7:$BG$1843,BG766,$BW$7:$BW$1843,"&lt;="&amp;BW766),"")</f>
        <v>3956.7793040293</v>
      </c>
      <c r="BI766" s="58" t="n">
        <f aca="false">IF(BH766="",0,MAX(0,MIN(1,(IF(CF766="L1",Parameter!$H$5,IF(CF766="L23",Parameter!$H$6+Parameter!$H$7,Parameter!$H$5+Parameter!$H$6+Parameter!$H$7))-(BH766-BC766))/BC766)))</f>
        <v>1</v>
      </c>
      <c r="BJ766" s="48" t="str">
        <f aca="false">IF(AI766&lt;=0,"",IF(CF766="Aussen","Aussenlager",IF(CF766="-","Nicht im Lift",IF(AO766&gt;=1,"Lift",IF(AO766&lt;=0,"Aussenlager","teilweise")))))</f>
        <v/>
      </c>
      <c r="BK766" s="48" t="str">
        <f aca="false">IF(AS766&lt;=0,"",IF(CF766="Aussen","Aussenlager",IF(CF766="-","Nicht im Lift",IF(AY766&gt;=1,"Lift",IF(AY766&lt;=0,"Aussenlager","teilweise")))))</f>
        <v>Lift</v>
      </c>
      <c r="BL766" s="48" t="str">
        <f aca="false">IF(BC766&lt;=0,"",IF(CF766="Aussen","Aussenlager",IF(CF766="-","Nicht im Lift",IF(BI766&gt;=1,"Lift",IF(BI766&lt;=0,"Aussenlager","teilweise")))))</f>
        <v>Lift</v>
      </c>
      <c r="BM766" s="48" t="str">
        <f aca="false">IF(A766="","",IF(BV766=1,"Neu; ","")&amp;IF(AND(BV766=0,BQ766&lt;0),"negativer Bestand (Export "&amp;BQ766&amp;"); ","")&amp;IF(J766&lt;=0,"Kein Verbrauch; ","")&amp;IF(CQ766&gt;0,"Lift "&amp;W766&amp;" lt. Liftbericht (Fach "&amp;X766&amp;" Stk); ",IF(CA766=1,"Gebinde geschätzt ("&amp;T766&amp;"); ",IF(BZ766=1,"Lose – Tablare geschätzt; ","")))&amp;IF(H766&gt;AV766,"Überbestand "&amp;ROUND(H766-AV766,0)&amp;" Stk / CHF "&amp;ROUND((H766-AV766)*G766,0)&amp;"; ","")&amp;IF(AND(CH766=1,CI766&lt;CJ766),"MAX &lt; MB+LG; ","")&amp;IF(AND(CP766&gt;0,CO766*10&gt;CP766),"zu hoch für Tablar; ","")&amp;IF(AND(BV766=0,OR(CH766=1,AA766&lt;&gt;"",U766&lt;&gt;"",V766&lt;&gt;"",AB766&lt;&gt;"")),"manuell übersteuert; ","")&amp;IF(AND(BZ766=0,R766=0),"Gebinde unbekannt / Stellmass fehlt; ","")&amp;IF(AND(BZ766=0,N(V766)&lt;=0,N(Q766)&lt;=0),"Menge pro Gebinde fehlt (Ist = 1 Gebinde); ","")&amp;BU766)</f>
        <v>negativer Bestand (Export -85); Gebinde geschätzt (Mittel); Menge pro Gebinde fehlt (Ist = 1 Gebinde); </v>
      </c>
      <c r="BN766" s="48"/>
      <c r="BO766" s="48"/>
      <c r="BP766" s="55"/>
      <c r="BQ766" s="50" t="n">
        <v>-85</v>
      </c>
      <c r="BR766" s="50" t="n">
        <v>85</v>
      </c>
      <c r="BS766" s="49" t="n">
        <v>-0.85</v>
      </c>
      <c r="BT766" s="50" t="n">
        <v>50</v>
      </c>
      <c r="BU766" s="48"/>
      <c r="BV766" s="53" t="n">
        <v>0</v>
      </c>
      <c r="BW766" s="53" t="n">
        <v>766</v>
      </c>
      <c r="BX766" s="48" t="str">
        <f aca="false">IF(U766&lt;&gt;"",UPPER(TRIM(U766)),IF(CA766=1,UPPER(VLOOKUP(T766,Parameter!$I$27:$K$29,2,0)),IF(P766="","LOSE",P766)))</f>
        <v>S61</v>
      </c>
      <c r="BY766" s="50" t="n">
        <f aca="false">IF(BX766="LOSE",1,IF(N(V766)&gt;0,V766,IF(CA766=1,MAX(1,N(VLOOKUP(T766,Parameter!$I$27:$K$29,3,0)),H766,N(N766)),IF(N(Q766)&gt;0,Q766,MAX(1,H766)))))</f>
        <v>50</v>
      </c>
      <c r="BZ766" s="53" t="n">
        <f aca="false">IF(BX766="LOSE",1,0)</f>
        <v>0</v>
      </c>
      <c r="CA766" s="53" t="n">
        <f aca="false">IF(AND(U766="",OR(P766="",P766="LOSE"),T766&lt;&gt;"",N(S766)&lt;=0,ISNUMBER(MATCH(T766,Parameter!$I$27:$I$29,0))),1,0)</f>
        <v>1</v>
      </c>
      <c r="CB766" s="53" t="n">
        <f aca="false">IF(CQ766&gt;0,INDEX(Parameter!$H$5:$H$7,W766)/INDEX(Parameter!$E$5:$E$7,W766),IF(AND(BZ766=0,N(IFERROR(VLOOKUP(BX766,'Gebinde-Kategorie'!$A$5:$N$45,14,0),0))&gt;0),VLOOKUP(BX766,'Gebinde-Kategorie'!$A$5:$N$45,14,0)*10+Parameter!$M$23,Parameter!$M$24))</f>
        <v>145</v>
      </c>
      <c r="CC766" s="48" t="str">
        <f aca="false">IF(AND(Parameter!$B$19="Ja",E766&lt;&gt;"",ISNUMBER(MATCH(E766,Parameter!$I$35:$I$52,0))),VLOOKUP(E766,Parameter!$I$35:$J$52,2,0),IFERROR(VLOOKUP(D766,Parameter!$A$35:$C$64,2,0),"Nein"))</f>
        <v>2+3</v>
      </c>
      <c r="CD766" s="52" t="n">
        <f aca="false">IF(BZ766=0,0,IF(N(S766)&gt;0,S766,IFERROR(VLOOKUP(D766,Parameter!$A$35:$C$64,3,0)+0,0)))</f>
        <v>0</v>
      </c>
      <c r="CE766" s="48" t="n">
        <f aca="false">IF(AA766&lt;&gt;"",AA766,Z766)</f>
        <v>2</v>
      </c>
      <c r="CF766" s="48" t="str">
        <f aca="false">IF(OR(CE766=1,CE766=2,CE766=3),IF(Parameter!$E$27="Ja","LIFT",IF(CE766=1,"L1","L23")),IF(CE766="Aussen","Aussen","-"))</f>
        <v>LIFT</v>
      </c>
      <c r="CG766" s="59" t="n">
        <f aca="false">IF(N(AB766)&gt;0,AB766,0)</f>
        <v>0</v>
      </c>
      <c r="CH766" s="53" t="n">
        <f aca="false">IF(ISNUMBER(AE766),1,0)</f>
        <v>0</v>
      </c>
      <c r="CI766" s="50" t="n">
        <f aca="false">N(AE766)</f>
        <v>0</v>
      </c>
      <c r="CJ766" s="50" t="n">
        <f aca="false">N(M766)+N(N766)</f>
        <v>50</v>
      </c>
      <c r="CK766" s="50" t="n">
        <f aca="false">N(M766)</f>
        <v>0</v>
      </c>
      <c r="CL766" s="50" t="n">
        <f aca="false">N(N766)</f>
        <v>50</v>
      </c>
      <c r="CM766" s="50" t="n">
        <f aca="false">ROUNDUP(H766/BY766,0)</f>
        <v>0</v>
      </c>
      <c r="CN766" s="50" t="n">
        <f aca="false">ROUNDUP(CI766/BY766,0)</f>
        <v>0</v>
      </c>
      <c r="CO766" s="53" t="n">
        <f aca="false">IF(BZ766=1,0,IFERROR(VLOOKUP(BX766,'Gebinde-Kategorie'!$A$5:$N$45,5,0)+0,0))</f>
        <v>11</v>
      </c>
      <c r="CP766" s="53" t="n">
        <f aca="false">IFERROR(IF(OR(CE766=1,CE766=2,CE766=3),N(INDEX(Parameter!$I$5:$I$7,CE766)),0),0)</f>
        <v>0</v>
      </c>
      <c r="CQ766" s="52" t="n">
        <f aca="false">IF(AND(Parameter!$B$21="Ja",ISNUMBER(W766),N(X766)&gt;0),IFERROR(N(INDEX(Parameter!$L$5:$L$7,W766))*INDEX(Parameter!$E$5:$E$7,W766)*X766/SUMIFS($X$7:$X$1843,$W$7:$W$1843,W766),0),0)</f>
        <v>0</v>
      </c>
    </row>
    <row r="767" customFormat="false" ht="15" hidden="false" customHeight="false" outlineLevel="0" collapsed="false">
      <c r="A767" s="48" t="s">
        <v>1518</v>
      </c>
      <c r="B767" s="48" t="s">
        <v>1519</v>
      </c>
      <c r="C767" s="48" t="s">
        <v>173</v>
      </c>
      <c r="D767" s="48" t="s">
        <v>193</v>
      </c>
      <c r="E767" s="48" t="s">
        <v>194</v>
      </c>
      <c r="F767" s="48" t="s">
        <v>227</v>
      </c>
      <c r="G767" s="49" t="n">
        <v>0.01</v>
      </c>
      <c r="H767" s="50" t="n">
        <f aca="false">MAX(0,IF(AND(Parameter!$B$21="Ja",ISNUMBER(Y767)),Y767,IF(Parameter!$B$20="Jahresanfang 2025 + Export",BR767+BQ767,BQ767)))</f>
        <v>4864</v>
      </c>
      <c r="I767" s="50" t="n">
        <f aca="false">H767*G767</f>
        <v>48.64</v>
      </c>
      <c r="J767" s="50" t="n">
        <f aca="false">BT767*Parameter!$B$18</f>
        <v>1</v>
      </c>
      <c r="K767" s="51" t="n">
        <v>4924.5</v>
      </c>
      <c r="L767" s="52" t="n">
        <v>0.000203066301147325</v>
      </c>
      <c r="M767" s="50" t="n">
        <v>0</v>
      </c>
      <c r="N767" s="50" t="n">
        <v>1</v>
      </c>
      <c r="O767" s="53" t="n">
        <v>21</v>
      </c>
      <c r="P767" s="48" t="s">
        <v>337</v>
      </c>
      <c r="Q767" s="50" t="n">
        <v>5000</v>
      </c>
      <c r="R767" s="53" t="n">
        <f aca="false">IF(BZ767=1,0,IFERROR(VLOOKUP(BX767,'Gebinde-Kategorie'!$A$5:$N$45,13,0)+0,0))</f>
        <v>52</v>
      </c>
      <c r="S767" s="54"/>
      <c r="T767" s="55"/>
      <c r="U767" s="55"/>
      <c r="V767" s="55"/>
      <c r="W767" s="48"/>
      <c r="X767" s="50"/>
      <c r="Y767" s="50"/>
      <c r="Z767" s="48" t="n">
        <f aca="false">IF(A767="","",IF(AND(Parameter!$B$21="Ja",ISNUMBER(W767)),W767,IF(CC767="2+3",IF(ISNUMBER(SEARCH("grosser Artikel",BU767)),2,IFERROR(VLOOKUP(BX767,Parameter!$F$35:$G$64,2,0),2)),IF(OR(CC767="Nein",CC767=""),"-",CC767))))</f>
        <v>3</v>
      </c>
      <c r="AA767" s="55"/>
      <c r="AB767" s="56"/>
      <c r="AC767" s="50" t="n">
        <f aca="false">AV767</f>
        <v>1</v>
      </c>
      <c r="AD767" s="50" t="n">
        <f aca="false">MAX(AV767,H767)</f>
        <v>4864</v>
      </c>
      <c r="AE767" s="57"/>
      <c r="AF767" s="50" t="n">
        <f aca="false">IF(LEFT(Cockpit!$C$5,1)="A",H767,IF(Parameter!$E$30="MAX-Bestand",IF(CH767=1,CI767,IF(LEFT(Cockpit!$C$5,1)="B",AL767,MAX(AL767,H767))),ROUNDUP(AJ767,0)))</f>
        <v>4864</v>
      </c>
      <c r="AG767" s="50" t="n">
        <f aca="false">IF(BZ767=1,0,ROUNDUP(AF767/BY767,0))</f>
        <v>1</v>
      </c>
      <c r="AH767" s="52" t="n">
        <f aca="false">IF(CQ767&gt;0,CQ767*MAX(1,AF767/X767),IF(BZ767=1,IF(AF767&lt;=0,0,CD767*MAX(1,IF(H767&gt;0,AF767/H767,1))),IF(R767&gt;0,AG767/R767,0))/MAX(0.1,N(Parameter!$M$21)))</f>
        <v>0.0192307692307692</v>
      </c>
      <c r="AI767" s="50" t="n">
        <f aca="false">AH767*CB767</f>
        <v>2.98076923076923</v>
      </c>
      <c r="AJ767" s="51" t="n">
        <f aca="false">IF(LEFT(Cockpit!$C$5,1)="A",H767,IF(CH767=1,(CK767+CI767)/2,IF(LEFT(Cockpit!$C$5,1)="B",(CK767+AL767)/2,MAX((CK767+AL767)/2,H767))))</f>
        <v>4864</v>
      </c>
      <c r="AK767" s="50" t="n">
        <f aca="false">AJ767*G767</f>
        <v>48.64</v>
      </c>
      <c r="AL767" s="50" t="n">
        <f aca="false">ROUNDUP(CK767+MAX(CL767,2*(J767/IF(CG767&gt;0,CG767,MAX(0.1,N(Cockpit!$C$6)))-CK767)),0)</f>
        <v>1</v>
      </c>
      <c r="AM767" s="51" t="n">
        <f aca="false">IF(AI767&gt;0,J767/AI767,-1)</f>
        <v>0.335483870967742</v>
      </c>
      <c r="AN767" s="51" t="n">
        <f aca="false">IF(AND(OR(CF767="L1",CF767="L23",CF767="LIFT"),AI767&gt;0),SUMIFS($AI$7:$AI$1843,$CF$7:$CF$1843,CF767,$AM$7:$AM$1843,"&gt;"&amp;AM767)+SUMIFS($AI$7:$AI$1843,$CF$7:$CF$1843,CF767,$AM$7:$AM$1843,AM767,$BW$7:$BW$1843,"&lt;="&amp;BW767),"")</f>
        <v>11203.9039625629</v>
      </c>
      <c r="AO767" s="58" t="n">
        <f aca="false">IF(AN767="",0,MAX(0,MIN(1,(IF(CF767="L1",Parameter!$H$5,IF(CF767="L23",Parameter!$H$6+Parameter!$H$7,Parameter!$H$5+Parameter!$H$6+Parameter!$H$7))-(AN767-AI767))/AI767)))</f>
        <v>1</v>
      </c>
      <c r="AP767" s="50" t="n">
        <f aca="false">IF(LEFT(Cockpit!$I$5,1)="A",H767,IF(Parameter!$E$30="MAX-Bestand",IF(CH767=1,CI767,IF(LEFT(Cockpit!$I$5,1)="B",AV767,MAX(AV767,H767))),ROUNDUP(AT767,0)))</f>
        <v>4864</v>
      </c>
      <c r="AQ767" s="50" t="n">
        <f aca="false">IF(BZ767=1,0,ROUNDUP(AP767/BY767,0))</f>
        <v>1</v>
      </c>
      <c r="AR767" s="52" t="n">
        <f aca="false">IF(CQ767&gt;0,CQ767*MAX(1,AP767/X767),IF(BZ767=1,IF(AP767&lt;=0,0,CD767*MAX(1,IF(H767&gt;0,AP767/H767,1))),IF(R767&gt;0,AQ767/R767,0))/MAX(0.1,N(Parameter!$M$21)))</f>
        <v>0.0192307692307692</v>
      </c>
      <c r="AS767" s="50" t="n">
        <f aca="false">AR767*CB767</f>
        <v>2.98076923076923</v>
      </c>
      <c r="AT767" s="51" t="n">
        <f aca="false">IF(LEFT(Cockpit!$I$5,1)="A",H767,IF(CH767=1,(CK767+CI767)/2,IF(LEFT(Cockpit!$I$5,1)="B",(CK767+AV767)/2,MAX((CK767+AV767)/2,H767))))</f>
        <v>4864</v>
      </c>
      <c r="AU767" s="50" t="n">
        <f aca="false">AT767*G767</f>
        <v>48.64</v>
      </c>
      <c r="AV767" s="50" t="n">
        <f aca="false">ROUNDUP(CK767+MAX(CL767,2*(J767/IF(CG767&gt;0,CG767,MAX(0.1,N(Cockpit!$I$6)))-CK767)),0)</f>
        <v>1</v>
      </c>
      <c r="AW767" s="51" t="n">
        <f aca="false">IF(AS767&gt;0,J767/AS767,-1)</f>
        <v>0.335483870967742</v>
      </c>
      <c r="AX767" s="51" t="n">
        <f aca="false">IF(AND(OR(CF767="L1",CF767="L23",CF767="LIFT"),AS767&gt;0),SUMIFS($AS$7:$AS$1843,$CF$7:$CF$1843,CF767,$AW$7:$AW$1843,"&gt;"&amp;AW767)+SUMIFS($AS$7:$AS$1843,$CF$7:$CF$1843,CF767,$AW$7:$AW$1843,AW767,$BW$7:$BW$1843,"&lt;="&amp;BW767),"")</f>
        <v>13738.0416666667</v>
      </c>
      <c r="AY767" s="58" t="n">
        <f aca="false">IF(AX767="",0,MAX(0,MIN(1,(IF(CF767="L1",Parameter!$H$5,IF(CF767="L23",Parameter!$H$6+Parameter!$H$7,Parameter!$H$5+Parameter!$H$6+Parameter!$H$7))-(AX767-AS767))/AS767)))</f>
        <v>1</v>
      </c>
      <c r="AZ767" s="50" t="n">
        <f aca="false">IF(LEFT(Cockpit!$O$5,1)="A",H767,IF(Parameter!$E$30="MAX-Bestand",IF(CH767=1,CI767,IF(LEFT(Cockpit!$O$5,1)="B",BF767,MAX(BF767,H767))),ROUNDUP(BD767,0)))</f>
        <v>1</v>
      </c>
      <c r="BA767" s="50" t="n">
        <f aca="false">IF(BZ767=1,0,ROUNDUP(AZ767/BY767,0))</f>
        <v>1</v>
      </c>
      <c r="BB767" s="52" t="n">
        <f aca="false">IF(CQ767&gt;0,CQ767*MAX(1,AZ767/X767),IF(BZ767=1,IF(AZ767&lt;=0,0,CD767*MAX(1,IF(H767&gt;0,AZ767/H767,1))),IF(R767&gt;0,BA767/R767,0))/MAX(0.1,N(Parameter!$M$21)))</f>
        <v>0.0192307692307692</v>
      </c>
      <c r="BC767" s="50" t="n">
        <f aca="false">BB767*CB767</f>
        <v>2.98076923076923</v>
      </c>
      <c r="BD767" s="51" t="n">
        <f aca="false">IF(LEFT(Cockpit!$O$5,1)="A",H767,IF(CH767=1,(CK767+CI767)/2,IF(LEFT(Cockpit!$O$5,1)="B",(CK767+BF767)/2,MAX((CK767+BF767)/2,H767))))</f>
        <v>0.5</v>
      </c>
      <c r="BE767" s="50" t="n">
        <f aca="false">BD767*G767</f>
        <v>0.005</v>
      </c>
      <c r="BF767" s="50" t="n">
        <f aca="false">ROUNDUP(CK767+MAX(CL767,2*(J767/IF(CG767&gt;0,CG767,MAX(0.1,N(Cockpit!$O$6)))-CK767)),0)</f>
        <v>1</v>
      </c>
      <c r="BG767" s="51" t="n">
        <f aca="false">IF(BC767&gt;0,J767/BC767,-1)</f>
        <v>0.335483870967742</v>
      </c>
      <c r="BH767" s="51" t="n">
        <f aca="false">IF(AND(OR(CF767="L1",CF767="L23",CF767="LIFT"),BC767&gt;0),SUMIFS($BC$7:$BC$1843,$CF$7:$CF$1843,CF767,$BG$7:$BG$1843,"&gt;"&amp;BG767)+SUMIFS($BC$7:$BC$1843,$CF$7:$CF$1843,CF767,$BG$7:$BG$1843,BG767,$BW$7:$BW$1843,"&lt;="&amp;BW767),"")</f>
        <v>11589.0004578755</v>
      </c>
      <c r="BI767" s="58" t="n">
        <f aca="false">IF(BH767="",0,MAX(0,MIN(1,(IF(CF767="L1",Parameter!$H$5,IF(CF767="L23",Parameter!$H$6+Parameter!$H$7,Parameter!$H$5+Parameter!$H$6+Parameter!$H$7))-(BH767-BC767))/BC767)))</f>
        <v>1</v>
      </c>
      <c r="BJ767" s="48" t="str">
        <f aca="false">IF(AI767&lt;=0,"",IF(CF767="Aussen","Aussenlager",IF(CF767="-","Nicht im Lift",IF(AO767&gt;=1,"Lift",IF(AO767&lt;=0,"Aussenlager","teilweise")))))</f>
        <v>Lift</v>
      </c>
      <c r="BK767" s="48" t="str">
        <f aca="false">IF(AS767&lt;=0,"",IF(CF767="Aussen","Aussenlager",IF(CF767="-","Nicht im Lift",IF(AY767&gt;=1,"Lift",IF(AY767&lt;=0,"Aussenlager","teilweise")))))</f>
        <v>Lift</v>
      </c>
      <c r="BL767" s="48" t="str">
        <f aca="false">IF(BC767&lt;=0,"",IF(CF767="Aussen","Aussenlager",IF(CF767="-","Nicht im Lift",IF(BI767&gt;=1,"Lift",IF(BI767&lt;=0,"Aussenlager","teilweise")))))</f>
        <v>Lift</v>
      </c>
      <c r="BM767" s="48" t="str">
        <f aca="false">IF(A767="","",IF(BV767=1,"Neu; ","")&amp;IF(AND(BV767=0,BQ767&lt;0),"negativer Bestand (Export "&amp;BQ767&amp;"); ","")&amp;IF(J767&lt;=0,"Kein Verbrauch; ","")&amp;IF(CQ767&gt;0,"Lift "&amp;W767&amp;" lt. Liftbericht (Fach "&amp;X767&amp;" Stk); ",IF(CA767=1,"Gebinde geschätzt ("&amp;T767&amp;"); ",IF(BZ767=1,"Lose – Tablare geschätzt; ","")))&amp;IF(H767&gt;AV767,"Überbestand "&amp;ROUND(H767-AV767,0)&amp;" Stk / CHF "&amp;ROUND((H767-AV767)*G767,0)&amp;"; ","")&amp;IF(AND(CH767=1,CI767&lt;CJ767),"MAX &lt; MB+LG; ","")&amp;IF(AND(CP767&gt;0,CO767*10&gt;CP767),"zu hoch für Tablar; ","")&amp;IF(AND(BV767=0,OR(CH767=1,AA767&lt;&gt;"",U767&lt;&gt;"",V767&lt;&gt;"",AB767&lt;&gt;"")),"manuell übersteuert; ","")&amp;IF(AND(BZ767=0,R767=0),"Gebinde unbekannt / Stellmass fehlt; ","")&amp;IF(AND(BZ767=0,N(V767)&lt;=0,N(Q767)&lt;=0),"Menge pro Gebinde fehlt (Ist = 1 Gebinde); ","")&amp;BU767)</f>
        <v>negativer Bestand (Export -86); Überbestand 4863 Stk / CHF 49; Überbestand</v>
      </c>
      <c r="BN767" s="48"/>
      <c r="BO767" s="48"/>
      <c r="BP767" s="55"/>
      <c r="BQ767" s="50" t="n">
        <v>-86</v>
      </c>
      <c r="BR767" s="50" t="n">
        <v>4950</v>
      </c>
      <c r="BS767" s="49" t="n">
        <v>-0.86</v>
      </c>
      <c r="BT767" s="50" t="n">
        <v>1</v>
      </c>
      <c r="BU767" s="48" t="s">
        <v>401</v>
      </c>
      <c r="BV767" s="53" t="n">
        <v>0</v>
      </c>
      <c r="BW767" s="53" t="n">
        <v>767</v>
      </c>
      <c r="BX767" s="48" t="str">
        <f aca="false">IF(U767&lt;&gt;"",UPPER(TRIM(U767)),IF(CA767=1,UPPER(VLOOKUP(T767,Parameter!$I$27:$K$29,2,0)),IF(P767="","LOSE",P767)))</f>
        <v>S41</v>
      </c>
      <c r="BY767" s="50" t="n">
        <f aca="false">IF(BX767="LOSE",1,IF(N(V767)&gt;0,V767,IF(CA767=1,MAX(1,N(VLOOKUP(T767,Parameter!$I$27:$K$29,3,0)),H767,N(N767)),IF(N(Q767)&gt;0,Q767,MAX(1,H767)))))</f>
        <v>5000</v>
      </c>
      <c r="BZ767" s="53" t="n">
        <f aca="false">IF(BX767="LOSE",1,0)</f>
        <v>0</v>
      </c>
      <c r="CA767" s="53" t="n">
        <f aca="false">IF(AND(U767="",OR(P767="",P767="LOSE"),T767&lt;&gt;"",N(S767)&lt;=0,ISNUMBER(MATCH(T767,Parameter!$I$27:$I$29,0))),1,0)</f>
        <v>0</v>
      </c>
      <c r="CB767" s="53" t="n">
        <f aca="false">IF(CQ767&gt;0,INDEX(Parameter!$H$5:$H$7,W767)/INDEX(Parameter!$E$5:$E$7,W767),IF(AND(BZ767=0,N(IFERROR(VLOOKUP(BX767,'Gebinde-Kategorie'!$A$5:$N$45,14,0),0))&gt;0),VLOOKUP(BX767,'Gebinde-Kategorie'!$A$5:$N$45,14,0)*10+Parameter!$M$23,Parameter!$M$24))</f>
        <v>155</v>
      </c>
      <c r="CC767" s="48" t="str">
        <f aca="false">IF(AND(Parameter!$B$19="Ja",E767&lt;&gt;"",ISNUMBER(MATCH(E767,Parameter!$I$35:$I$52,0))),VLOOKUP(E767,Parameter!$I$35:$J$52,2,0),IFERROR(VLOOKUP(D767,Parameter!$A$35:$C$64,2,0),"Nein"))</f>
        <v>2+3</v>
      </c>
      <c r="CD767" s="52" t="n">
        <f aca="false">IF(BZ767=0,0,IF(N(S767)&gt;0,S767,IFERROR(VLOOKUP(D767,Parameter!$A$35:$C$64,3,0)+0,0)))</f>
        <v>0</v>
      </c>
      <c r="CE767" s="48" t="n">
        <f aca="false">IF(AA767&lt;&gt;"",AA767,Z767)</f>
        <v>3</v>
      </c>
      <c r="CF767" s="48" t="str">
        <f aca="false">IF(OR(CE767=1,CE767=2,CE767=3),IF(Parameter!$E$27="Ja","LIFT",IF(CE767=1,"L1","L23")),IF(CE767="Aussen","Aussen","-"))</f>
        <v>LIFT</v>
      </c>
      <c r="CG767" s="59" t="n">
        <f aca="false">IF(N(AB767)&gt;0,AB767,0)</f>
        <v>0</v>
      </c>
      <c r="CH767" s="53" t="n">
        <f aca="false">IF(ISNUMBER(AE767),1,0)</f>
        <v>0</v>
      </c>
      <c r="CI767" s="50" t="n">
        <f aca="false">N(AE767)</f>
        <v>0</v>
      </c>
      <c r="CJ767" s="50" t="n">
        <f aca="false">N(M767)+N(N767)</f>
        <v>1</v>
      </c>
      <c r="CK767" s="50" t="n">
        <f aca="false">N(M767)</f>
        <v>0</v>
      </c>
      <c r="CL767" s="50" t="n">
        <f aca="false">N(N767)</f>
        <v>1</v>
      </c>
      <c r="CM767" s="50" t="n">
        <f aca="false">ROUNDUP(H767/BY767,0)</f>
        <v>1</v>
      </c>
      <c r="CN767" s="50" t="n">
        <f aca="false">ROUNDUP(CI767/BY767,0)</f>
        <v>0</v>
      </c>
      <c r="CO767" s="53" t="n">
        <f aca="false">IF(BZ767=1,0,IFERROR(VLOOKUP(BX767,'Gebinde-Kategorie'!$A$5:$N$45,5,0)+0,0))</f>
        <v>11</v>
      </c>
      <c r="CP767" s="53" t="n">
        <f aca="false">IFERROR(IF(OR(CE767=1,CE767=2,CE767=3),N(INDEX(Parameter!$I$5:$I$7,CE767)),0),0)</f>
        <v>0</v>
      </c>
      <c r="CQ767" s="52" t="n">
        <f aca="false">IF(AND(Parameter!$B$21="Ja",ISNUMBER(W767),N(X767)&gt;0),IFERROR(N(INDEX(Parameter!$L$5:$L$7,W767))*INDEX(Parameter!$E$5:$E$7,W767)*X767/SUMIFS($X$7:$X$1843,$W$7:$W$1843,W767),0),0)</f>
        <v>0</v>
      </c>
    </row>
    <row r="768" customFormat="false" ht="15" hidden="false" customHeight="false" outlineLevel="0" collapsed="false">
      <c r="A768" s="48" t="s">
        <v>1520</v>
      </c>
      <c r="B768" s="48" t="s">
        <v>958</v>
      </c>
      <c r="C768" s="48" t="s">
        <v>173</v>
      </c>
      <c r="D768" s="48" t="s">
        <v>193</v>
      </c>
      <c r="E768" s="48" t="s">
        <v>194</v>
      </c>
      <c r="F768" s="48" t="s">
        <v>227</v>
      </c>
      <c r="G768" s="49" t="n">
        <v>0.03</v>
      </c>
      <c r="H768" s="50" t="n">
        <f aca="false">MAX(0,IF(AND(Parameter!$B$21="Ja",ISNUMBER(Y768)),Y768,IF(Parameter!$B$20="Jahresanfang 2025 + Export",BR768+BQ768,BQ768)))</f>
        <v>277</v>
      </c>
      <c r="I768" s="50" t="n">
        <f aca="false">H768*G768</f>
        <v>8.31</v>
      </c>
      <c r="J768" s="50" t="n">
        <f aca="false">BT768*Parameter!$B$18</f>
        <v>12</v>
      </c>
      <c r="K768" s="51" t="n">
        <v>294</v>
      </c>
      <c r="L768" s="52" t="n">
        <v>0.0408163265306122</v>
      </c>
      <c r="M768" s="50" t="n">
        <v>0</v>
      </c>
      <c r="N768" s="50" t="n">
        <v>10</v>
      </c>
      <c r="O768" s="53" t="n">
        <v>14</v>
      </c>
      <c r="P768" s="48" t="s">
        <v>430</v>
      </c>
      <c r="Q768" s="50" t="n">
        <v>380</v>
      </c>
      <c r="R768" s="53" t="n">
        <f aca="false">IF(BZ768=1,0,IFERROR(VLOOKUP(BX768,'Gebinde-Kategorie'!$A$5:$N$45,13,0)+0,0))</f>
        <v>104</v>
      </c>
      <c r="S768" s="54"/>
      <c r="T768" s="55"/>
      <c r="U768" s="55"/>
      <c r="V768" s="55"/>
      <c r="W768" s="48"/>
      <c r="X768" s="50"/>
      <c r="Y768" s="50"/>
      <c r="Z768" s="48" t="n">
        <f aca="false">IF(A768="","",IF(AND(Parameter!$B$21="Ja",ISNUMBER(W768)),W768,IF(CC768="2+3",IF(ISNUMBER(SEARCH("grosser Artikel",BU768)),2,IFERROR(VLOOKUP(BX768,Parameter!$F$35:$G$64,2,0),2)),IF(OR(CC768="Nein",CC768=""),"-",CC768))))</f>
        <v>3</v>
      </c>
      <c r="AA768" s="55"/>
      <c r="AB768" s="56"/>
      <c r="AC768" s="50" t="n">
        <f aca="false">AV768</f>
        <v>10</v>
      </c>
      <c r="AD768" s="50" t="n">
        <f aca="false">MAX(AV768,H768)</f>
        <v>277</v>
      </c>
      <c r="AE768" s="57"/>
      <c r="AF768" s="50" t="n">
        <f aca="false">IF(LEFT(Cockpit!$C$5,1)="A",H768,IF(Parameter!$E$30="MAX-Bestand",IF(CH768=1,CI768,IF(LEFT(Cockpit!$C$5,1)="B",AL768,MAX(AL768,H768))),ROUNDUP(AJ768,0)))</f>
        <v>277</v>
      </c>
      <c r="AG768" s="50" t="n">
        <f aca="false">IF(BZ768=1,0,ROUNDUP(AF768/BY768,0))</f>
        <v>1</v>
      </c>
      <c r="AH768" s="52" t="n">
        <f aca="false">IF(CQ768&gt;0,CQ768*MAX(1,AF768/X768),IF(BZ768=1,IF(AF768&lt;=0,0,CD768*MAX(1,IF(H768&gt;0,AF768/H768,1))),IF(R768&gt;0,AG768/R768,0))/MAX(0.1,N(Parameter!$M$21)))</f>
        <v>0.00961538461538462</v>
      </c>
      <c r="AI768" s="50" t="n">
        <f aca="false">AH768*CB768</f>
        <v>1.49038461538462</v>
      </c>
      <c r="AJ768" s="51" t="n">
        <f aca="false">IF(LEFT(Cockpit!$C$5,1)="A",H768,IF(CH768=1,(CK768+CI768)/2,IF(LEFT(Cockpit!$C$5,1)="B",(CK768+AL768)/2,MAX((CK768+AL768)/2,H768))))</f>
        <v>277</v>
      </c>
      <c r="AK768" s="50" t="n">
        <f aca="false">AJ768*G768</f>
        <v>8.31</v>
      </c>
      <c r="AL768" s="50" t="n">
        <f aca="false">ROUNDUP(CK768+MAX(CL768,2*(J768/IF(CG768&gt;0,CG768,MAX(0.1,N(Cockpit!$C$6)))-CK768)),0)</f>
        <v>10</v>
      </c>
      <c r="AM768" s="51" t="n">
        <f aca="false">IF(AI768&gt;0,J768/AI768,-1)</f>
        <v>8.05161290322581</v>
      </c>
      <c r="AN768" s="51" t="n">
        <f aca="false">IF(AND(OR(CF768="L1",CF768="L23",CF768="LIFT"),AI768&gt;0),SUMIFS($AI$7:$AI$1843,$CF$7:$CF$1843,CF768,$AM$7:$AM$1843,"&gt;"&amp;AM768)+SUMIFS($AI$7:$AI$1843,$CF$7:$CF$1843,CF768,$AM$7:$AM$1843,AM768,$BW$7:$BW$1843,"&lt;="&amp;BW768),"")</f>
        <v>3048.11217948718</v>
      </c>
      <c r="AO768" s="58" t="n">
        <f aca="false">IF(AN768="",0,MAX(0,MIN(1,(IF(CF768="L1",Parameter!$H$5,IF(CF768="L23",Parameter!$H$6+Parameter!$H$7,Parameter!$H$5+Parameter!$H$6+Parameter!$H$7))-(AN768-AI768))/AI768)))</f>
        <v>1</v>
      </c>
      <c r="AP768" s="50" t="n">
        <f aca="false">IF(LEFT(Cockpit!$I$5,1)="A",H768,IF(Parameter!$E$30="MAX-Bestand",IF(CH768=1,CI768,IF(LEFT(Cockpit!$I$5,1)="B",AV768,MAX(AV768,H768))),ROUNDUP(AT768,0)))</f>
        <v>277</v>
      </c>
      <c r="AQ768" s="50" t="n">
        <f aca="false">IF(BZ768=1,0,ROUNDUP(AP768/BY768,0))</f>
        <v>1</v>
      </c>
      <c r="AR768" s="52" t="n">
        <f aca="false">IF(CQ768&gt;0,CQ768*MAX(1,AP768/X768),IF(BZ768=1,IF(AP768&lt;=0,0,CD768*MAX(1,IF(H768&gt;0,AP768/H768,1))),IF(R768&gt;0,AQ768/R768,0))/MAX(0.1,N(Parameter!$M$21)))</f>
        <v>0.00961538461538462</v>
      </c>
      <c r="AS768" s="50" t="n">
        <f aca="false">AR768*CB768</f>
        <v>1.49038461538462</v>
      </c>
      <c r="AT768" s="51" t="n">
        <f aca="false">IF(LEFT(Cockpit!$I$5,1)="A",H768,IF(CH768=1,(CK768+CI768)/2,IF(LEFT(Cockpit!$I$5,1)="B",(CK768+AV768)/2,MAX((CK768+AV768)/2,H768))))</f>
        <v>277</v>
      </c>
      <c r="AU768" s="50" t="n">
        <f aca="false">AT768*G768</f>
        <v>8.31</v>
      </c>
      <c r="AV768" s="50" t="n">
        <f aca="false">ROUNDUP(CK768+MAX(CL768,2*(J768/IF(CG768&gt;0,CG768,MAX(0.1,N(Cockpit!$I$6)))-CK768)),0)</f>
        <v>10</v>
      </c>
      <c r="AW768" s="51" t="n">
        <f aca="false">IF(AS768&gt;0,J768/AS768,-1)</f>
        <v>8.05161290322581</v>
      </c>
      <c r="AX768" s="51" t="n">
        <f aca="false">IF(AND(OR(CF768="L1",CF768="L23",CF768="LIFT"),AS768&gt;0),SUMIFS($AS$7:$AS$1843,$CF$7:$CF$1843,CF768,$AW$7:$AW$1843,"&gt;"&amp;AW768)+SUMIFS($AS$7:$AS$1843,$CF$7:$CF$1843,CF768,$AW$7:$AW$1843,AW768,$BW$7:$BW$1843,"&lt;="&amp;BW768),"")</f>
        <v>3672.17353479854</v>
      </c>
      <c r="AY768" s="58" t="n">
        <f aca="false">IF(AX768="",0,MAX(0,MIN(1,(IF(CF768="L1",Parameter!$H$5,IF(CF768="L23",Parameter!$H$6+Parameter!$H$7,Parameter!$H$5+Parameter!$H$6+Parameter!$H$7))-(AX768-AS768))/AS768)))</f>
        <v>1</v>
      </c>
      <c r="AZ768" s="50" t="n">
        <f aca="false">IF(LEFT(Cockpit!$O$5,1)="A",H768,IF(Parameter!$E$30="MAX-Bestand",IF(CH768=1,CI768,IF(LEFT(Cockpit!$O$5,1)="B",BF768,MAX(BF768,H768))),ROUNDUP(BD768,0)))</f>
        <v>5</v>
      </c>
      <c r="BA768" s="50" t="n">
        <f aca="false">IF(BZ768=1,0,ROUNDUP(AZ768/BY768,0))</f>
        <v>1</v>
      </c>
      <c r="BB768" s="52" t="n">
        <f aca="false">IF(CQ768&gt;0,CQ768*MAX(1,AZ768/X768),IF(BZ768=1,IF(AZ768&lt;=0,0,CD768*MAX(1,IF(H768&gt;0,AZ768/H768,1))),IF(R768&gt;0,BA768/R768,0))/MAX(0.1,N(Parameter!$M$21)))</f>
        <v>0.00961538461538462</v>
      </c>
      <c r="BC768" s="50" t="n">
        <f aca="false">BB768*CB768</f>
        <v>1.49038461538462</v>
      </c>
      <c r="BD768" s="51" t="n">
        <f aca="false">IF(LEFT(Cockpit!$O$5,1)="A",H768,IF(CH768=1,(CK768+CI768)/2,IF(LEFT(Cockpit!$O$5,1)="B",(CK768+BF768)/2,MAX((CK768+BF768)/2,H768))))</f>
        <v>5</v>
      </c>
      <c r="BE768" s="50" t="n">
        <f aca="false">BD768*G768</f>
        <v>0.15</v>
      </c>
      <c r="BF768" s="50" t="n">
        <f aca="false">ROUNDUP(CK768+MAX(CL768,2*(J768/IF(CG768&gt;0,CG768,MAX(0.1,N(Cockpit!$O$6)))-CK768)),0)</f>
        <v>10</v>
      </c>
      <c r="BG768" s="51" t="n">
        <f aca="false">IF(BC768&gt;0,J768/BC768,-1)</f>
        <v>8.05161290322581</v>
      </c>
      <c r="BH768" s="51" t="n">
        <f aca="false">IF(AND(OR(CF768="L1",CF768="L23",CF768="LIFT"),BC768&gt;0),SUMIFS($BC$7:$BC$1843,$CF$7:$CF$1843,CF768,$BG$7:$BG$1843,"&gt;"&amp;BG768)+SUMIFS($BC$7:$BC$1843,$CF$7:$CF$1843,CF768,$BG$7:$BG$1843,BG768,$BW$7:$BW$1843,"&lt;="&amp;BW768),"")</f>
        <v>3033.54304029304</v>
      </c>
      <c r="BI768" s="58" t="n">
        <f aca="false">IF(BH768="",0,MAX(0,MIN(1,(IF(CF768="L1",Parameter!$H$5,IF(CF768="L23",Parameter!$H$6+Parameter!$H$7,Parameter!$H$5+Parameter!$H$6+Parameter!$H$7))-(BH768-BC768))/BC768)))</f>
        <v>1</v>
      </c>
      <c r="BJ768" s="48" t="str">
        <f aca="false">IF(AI768&lt;=0,"",IF(CF768="Aussen","Aussenlager",IF(CF768="-","Nicht im Lift",IF(AO768&gt;=1,"Lift",IF(AO768&lt;=0,"Aussenlager","teilweise")))))</f>
        <v>Lift</v>
      </c>
      <c r="BK768" s="48" t="str">
        <f aca="false">IF(AS768&lt;=0,"",IF(CF768="Aussen","Aussenlager",IF(CF768="-","Nicht im Lift",IF(AY768&gt;=1,"Lift",IF(AY768&lt;=0,"Aussenlager","teilweise")))))</f>
        <v>Lift</v>
      </c>
      <c r="BL768" s="48" t="str">
        <f aca="false">IF(BC768&lt;=0,"",IF(CF768="Aussen","Aussenlager",IF(CF768="-","Nicht im Lift",IF(BI768&gt;=1,"Lift",IF(BI768&lt;=0,"Aussenlager","teilweise")))))</f>
        <v>Lift</v>
      </c>
      <c r="BM768" s="48" t="str">
        <f aca="false">IF(A768="","",IF(BV768=1,"Neu; ","")&amp;IF(AND(BV768=0,BQ768&lt;0),"negativer Bestand (Export "&amp;BQ768&amp;"); ","")&amp;IF(J768&lt;=0,"Kein Verbrauch; ","")&amp;IF(CQ768&gt;0,"Lift "&amp;W768&amp;" lt. Liftbericht (Fach "&amp;X768&amp;" Stk); ",IF(CA768=1,"Gebinde geschätzt ("&amp;T768&amp;"); ",IF(BZ768=1,"Lose – Tablare geschätzt; ","")))&amp;IF(H768&gt;AV768,"Überbestand "&amp;ROUND(H768-AV768,0)&amp;" Stk / CHF "&amp;ROUND((H768-AV768)*G768,0)&amp;"; ","")&amp;IF(AND(CH768=1,CI768&lt;CJ768),"MAX &lt; MB+LG; ","")&amp;IF(AND(CP768&gt;0,CO768*10&gt;CP768),"zu hoch für Tablar; ","")&amp;IF(AND(BV768=0,OR(CH768=1,AA768&lt;&gt;"",U768&lt;&gt;"",V768&lt;&gt;"",AB768&lt;&gt;"")),"manuell übersteuert; ","")&amp;IF(AND(BZ768=0,R768=0),"Gebinde unbekannt / Stellmass fehlt; ","")&amp;IF(AND(BZ768=0,N(V768)&lt;=0,N(Q768)&lt;=0),"Menge pro Gebinde fehlt (Ist = 1 Gebinde); ","")&amp;BU768)</f>
        <v>negativer Bestand (Export -34); Überbestand 267 Stk / CHF 8; </v>
      </c>
      <c r="BN768" s="48"/>
      <c r="BO768" s="48"/>
      <c r="BP768" s="55"/>
      <c r="BQ768" s="50" t="n">
        <v>-34</v>
      </c>
      <c r="BR768" s="50" t="n">
        <v>311</v>
      </c>
      <c r="BS768" s="49" t="n">
        <v>-1.02</v>
      </c>
      <c r="BT768" s="50" t="n">
        <v>12</v>
      </c>
      <c r="BU768" s="48"/>
      <c r="BV768" s="53" t="n">
        <v>0</v>
      </c>
      <c r="BW768" s="53" t="n">
        <v>768</v>
      </c>
      <c r="BX768" s="48" t="str">
        <f aca="false">IF(U768&lt;&gt;"",UPPER(TRIM(U768)),IF(CA768=1,UPPER(VLOOKUP(T768,Parameter!$I$27:$K$29,2,0)),IF(P768="","LOSE",P768)))</f>
        <v>S32</v>
      </c>
      <c r="BY768" s="50" t="n">
        <f aca="false">IF(BX768="LOSE",1,IF(N(V768)&gt;0,V768,IF(CA768=1,MAX(1,N(VLOOKUP(T768,Parameter!$I$27:$K$29,3,0)),H768,N(N768)),IF(N(Q768)&gt;0,Q768,MAX(1,H768)))))</f>
        <v>380</v>
      </c>
      <c r="BZ768" s="53" t="n">
        <f aca="false">IF(BX768="LOSE",1,0)</f>
        <v>0</v>
      </c>
      <c r="CA768" s="53" t="n">
        <f aca="false">IF(AND(U768="",OR(P768="",P768="LOSE"),T768&lt;&gt;"",N(S768)&lt;=0,ISNUMBER(MATCH(T768,Parameter!$I$27:$I$29,0))),1,0)</f>
        <v>0</v>
      </c>
      <c r="CB768" s="53" t="n">
        <f aca="false">IF(CQ768&gt;0,INDEX(Parameter!$H$5:$H$7,W768)/INDEX(Parameter!$E$5:$E$7,W768),IF(AND(BZ768=0,N(IFERROR(VLOOKUP(BX768,'Gebinde-Kategorie'!$A$5:$N$45,14,0),0))&gt;0),VLOOKUP(BX768,'Gebinde-Kategorie'!$A$5:$N$45,14,0)*10+Parameter!$M$23,Parameter!$M$24))</f>
        <v>155</v>
      </c>
      <c r="CC768" s="48" t="str">
        <f aca="false">IF(AND(Parameter!$B$19="Ja",E768&lt;&gt;"",ISNUMBER(MATCH(E768,Parameter!$I$35:$I$52,0))),VLOOKUP(E768,Parameter!$I$35:$J$52,2,0),IFERROR(VLOOKUP(D768,Parameter!$A$35:$C$64,2,0),"Nein"))</f>
        <v>2+3</v>
      </c>
      <c r="CD768" s="52" t="n">
        <f aca="false">IF(BZ768=0,0,IF(N(S768)&gt;0,S768,IFERROR(VLOOKUP(D768,Parameter!$A$35:$C$64,3,0)+0,0)))</f>
        <v>0</v>
      </c>
      <c r="CE768" s="48" t="n">
        <f aca="false">IF(AA768&lt;&gt;"",AA768,Z768)</f>
        <v>3</v>
      </c>
      <c r="CF768" s="48" t="str">
        <f aca="false">IF(OR(CE768=1,CE768=2,CE768=3),IF(Parameter!$E$27="Ja","LIFT",IF(CE768=1,"L1","L23")),IF(CE768="Aussen","Aussen","-"))</f>
        <v>LIFT</v>
      </c>
      <c r="CG768" s="59" t="n">
        <f aca="false">IF(N(AB768)&gt;0,AB768,0)</f>
        <v>0</v>
      </c>
      <c r="CH768" s="53" t="n">
        <f aca="false">IF(ISNUMBER(AE768),1,0)</f>
        <v>0</v>
      </c>
      <c r="CI768" s="50" t="n">
        <f aca="false">N(AE768)</f>
        <v>0</v>
      </c>
      <c r="CJ768" s="50" t="n">
        <f aca="false">N(M768)+N(N768)</f>
        <v>10</v>
      </c>
      <c r="CK768" s="50" t="n">
        <f aca="false">N(M768)</f>
        <v>0</v>
      </c>
      <c r="CL768" s="50" t="n">
        <f aca="false">N(N768)</f>
        <v>10</v>
      </c>
      <c r="CM768" s="50" t="n">
        <f aca="false">ROUNDUP(H768/BY768,0)</f>
        <v>1</v>
      </c>
      <c r="CN768" s="50" t="n">
        <f aca="false">ROUNDUP(CI768/BY768,0)</f>
        <v>0</v>
      </c>
      <c r="CO768" s="53" t="n">
        <f aca="false">IF(BZ768=1,0,IFERROR(VLOOKUP(BX768,'Gebinde-Kategorie'!$A$5:$N$45,5,0)+0,0))</f>
        <v>8</v>
      </c>
      <c r="CP768" s="53" t="n">
        <f aca="false">IFERROR(IF(OR(CE768=1,CE768=2,CE768=3),N(INDEX(Parameter!$I$5:$I$7,CE768)),0),0)</f>
        <v>0</v>
      </c>
      <c r="CQ768" s="52" t="n">
        <f aca="false">IF(AND(Parameter!$B$21="Ja",ISNUMBER(W768),N(X768)&gt;0),IFERROR(N(INDEX(Parameter!$L$5:$L$7,W768))*INDEX(Parameter!$E$5:$E$7,W768)*X768/SUMIFS($X$7:$X$1843,$W$7:$W$1843,W768),0),0)</f>
        <v>0</v>
      </c>
    </row>
    <row r="769" customFormat="false" ht="15" hidden="false" customHeight="false" outlineLevel="0" collapsed="false">
      <c r="A769" s="48" t="s">
        <v>1521</v>
      </c>
      <c r="B769" s="48" t="s">
        <v>1031</v>
      </c>
      <c r="C769" s="48" t="s">
        <v>173</v>
      </c>
      <c r="D769" s="48" t="s">
        <v>193</v>
      </c>
      <c r="E769" s="48" t="s">
        <v>194</v>
      </c>
      <c r="F769" s="48" t="s">
        <v>227</v>
      </c>
      <c r="G769" s="49" t="n">
        <v>0.54</v>
      </c>
      <c r="H769" s="50" t="n">
        <f aca="false">MAX(0,IF(AND(Parameter!$B$21="Ja",ISNUMBER(Y769)),Y769,IF(Parameter!$B$20="Jahresanfang 2025 + Export",BR769+BQ769,BQ769)))</f>
        <v>408</v>
      </c>
      <c r="I769" s="50" t="n">
        <f aca="false">H769*G769</f>
        <v>220.32</v>
      </c>
      <c r="J769" s="50" t="n">
        <f aca="false">BT769*Parameter!$B$18</f>
        <v>0</v>
      </c>
      <c r="K769" s="51" t="n">
        <v>409</v>
      </c>
      <c r="L769" s="52" t="n">
        <v>0</v>
      </c>
      <c r="M769" s="50" t="n">
        <v>0</v>
      </c>
      <c r="N769" s="50" t="n">
        <v>1</v>
      </c>
      <c r="O769" s="53" t="n">
        <v>14</v>
      </c>
      <c r="P769" s="48" t="s">
        <v>311</v>
      </c>
      <c r="Q769" s="50" t="n">
        <v>440</v>
      </c>
      <c r="R769" s="53" t="n">
        <f aca="false">IF(BZ769=1,0,IFERROR(VLOOKUP(BX769,'Gebinde-Kategorie'!$A$5:$N$45,13,0)+0,0))</f>
        <v>26</v>
      </c>
      <c r="S769" s="54"/>
      <c r="T769" s="55"/>
      <c r="U769" s="55"/>
      <c r="V769" s="55"/>
      <c r="W769" s="48"/>
      <c r="X769" s="50"/>
      <c r="Y769" s="50"/>
      <c r="Z769" s="48" t="n">
        <f aca="false">IF(A769="","",IF(AND(Parameter!$B$21="Ja",ISNUMBER(W769)),W769,IF(CC769="2+3",IF(ISNUMBER(SEARCH("grosser Artikel",BU769)),2,IFERROR(VLOOKUP(BX769,Parameter!$F$35:$G$64,2,0),2)),IF(OR(CC769="Nein",CC769=""),"-",CC769))))</f>
        <v>3</v>
      </c>
      <c r="AA769" s="55"/>
      <c r="AB769" s="56"/>
      <c r="AC769" s="50" t="n">
        <f aca="false">AV769</f>
        <v>1</v>
      </c>
      <c r="AD769" s="50" t="n">
        <f aca="false">MAX(AV769,H769)</f>
        <v>408</v>
      </c>
      <c r="AE769" s="57"/>
      <c r="AF769" s="50" t="n">
        <f aca="false">IF(LEFT(Cockpit!$C$5,1)="A",H769,IF(Parameter!$E$30="MAX-Bestand",IF(CH769=1,CI769,IF(LEFT(Cockpit!$C$5,1)="B",AL769,MAX(AL769,H769))),ROUNDUP(AJ769,0)))</f>
        <v>408</v>
      </c>
      <c r="AG769" s="50" t="n">
        <f aca="false">IF(BZ769=1,0,ROUNDUP(AF769/BY769,0))</f>
        <v>1</v>
      </c>
      <c r="AH769" s="52" t="n">
        <f aca="false">IF(CQ769&gt;0,CQ769*MAX(1,AF769/X769),IF(BZ769=1,IF(AF769&lt;=0,0,CD769*MAX(1,IF(H769&gt;0,AF769/H769,1))),IF(R769&gt;0,AG769/R769,0))/MAX(0.1,N(Parameter!$M$21)))</f>
        <v>0.0384615384615385</v>
      </c>
      <c r="AI769" s="50" t="n">
        <f aca="false">AH769*CB769</f>
        <v>5.96153846153846</v>
      </c>
      <c r="AJ769" s="51" t="n">
        <f aca="false">IF(LEFT(Cockpit!$C$5,1)="A",H769,IF(CH769=1,(CK769+CI769)/2,IF(LEFT(Cockpit!$C$5,1)="B",(CK769+AL769)/2,MAX((CK769+AL769)/2,H769))))</f>
        <v>408</v>
      </c>
      <c r="AK769" s="50" t="n">
        <f aca="false">AJ769*G769</f>
        <v>220.32</v>
      </c>
      <c r="AL769" s="50" t="n">
        <f aca="false">ROUNDUP(CK769+MAX(CL769,2*(J769/IF(CG769&gt;0,CG769,MAX(0.1,N(Cockpit!$C$6)))-CK769)),0)</f>
        <v>1</v>
      </c>
      <c r="AM769" s="51" t="n">
        <f aca="false">IF(AI769&gt;0,J769/AI769,-1)</f>
        <v>0</v>
      </c>
      <c r="AN769" s="51" t="n">
        <f aca="false">IF(AND(OR(CF769="L1",CF769="L23",CF769="LIFT"),AI769&gt;0),SUMIFS($AI$7:$AI$1843,$CF$7:$CF$1843,CF769,$AM$7:$AM$1843,"&gt;"&amp;AM769)+SUMIFS($AI$7:$AI$1843,$CF$7:$CF$1843,CF769,$AM$7:$AM$1843,AM769,$BW$7:$BW$1843,"&lt;="&amp;BW769),"")</f>
        <v>28738.7584099046</v>
      </c>
      <c r="AO769" s="58" t="n">
        <f aca="false">IF(AN769="",0,MAX(0,MIN(1,(IF(CF769="L1",Parameter!$H$5,IF(CF769="L23",Parameter!$H$6+Parameter!$H$7,Parameter!$H$5+Parameter!$H$6+Parameter!$H$7))-(AN769-AI769))/AI769)))</f>
        <v>1</v>
      </c>
      <c r="AP769" s="50" t="n">
        <f aca="false">IF(LEFT(Cockpit!$I$5,1)="A",H769,IF(Parameter!$E$30="MAX-Bestand",IF(CH769=1,CI769,IF(LEFT(Cockpit!$I$5,1)="B",AV769,MAX(AV769,H769))),ROUNDUP(AT769,0)))</f>
        <v>408</v>
      </c>
      <c r="AQ769" s="50" t="n">
        <f aca="false">IF(BZ769=1,0,ROUNDUP(AP769/BY769,0))</f>
        <v>1</v>
      </c>
      <c r="AR769" s="52" t="n">
        <f aca="false">IF(CQ769&gt;0,CQ769*MAX(1,AP769/X769),IF(BZ769=1,IF(AP769&lt;=0,0,CD769*MAX(1,IF(H769&gt;0,AP769/H769,1))),IF(R769&gt;0,AQ769/R769,0))/MAX(0.1,N(Parameter!$M$21)))</f>
        <v>0.0384615384615385</v>
      </c>
      <c r="AS769" s="50" t="n">
        <f aca="false">AR769*CB769</f>
        <v>5.96153846153846</v>
      </c>
      <c r="AT769" s="51" t="n">
        <f aca="false">IF(LEFT(Cockpit!$I$5,1)="A",H769,IF(CH769=1,(CK769+CI769)/2,IF(LEFT(Cockpit!$I$5,1)="B",(CK769+AV769)/2,MAX((CK769+AV769)/2,H769))))</f>
        <v>408</v>
      </c>
      <c r="AU769" s="50" t="n">
        <f aca="false">AT769*G769</f>
        <v>220.32</v>
      </c>
      <c r="AV769" s="50" t="n">
        <f aca="false">ROUNDUP(CK769+MAX(CL769,2*(J769/IF(CG769&gt;0,CG769,MAX(0.1,N(Cockpit!$I$6)))-CK769)),0)</f>
        <v>1</v>
      </c>
      <c r="AW769" s="51" t="n">
        <f aca="false">IF(AS769&gt;0,J769/AS769,-1)</f>
        <v>0</v>
      </c>
      <c r="AX769" s="51" t="n">
        <f aca="false">IF(AND(OR(CF769="L1",CF769="L23",CF769="LIFT"),AS769&gt;0),SUMIFS($AS$7:$AS$1843,$CF$7:$CF$1843,CF769,$AW$7:$AW$1843,"&gt;"&amp;AW769)+SUMIFS($AS$7:$AS$1843,$CF$7:$CF$1843,CF769,$AW$7:$AW$1843,AW769,$BW$7:$BW$1843,"&lt;="&amp;BW769),"")</f>
        <v>34343.5416666667</v>
      </c>
      <c r="AY769" s="58" t="n">
        <f aca="false">IF(AX769="",0,MAX(0,MIN(1,(IF(CF769="L1",Parameter!$H$5,IF(CF769="L23",Parameter!$H$6+Parameter!$H$7,Parameter!$H$5+Parameter!$H$6+Parameter!$H$7))-(AX769-AS769))/AS769)))</f>
        <v>1</v>
      </c>
      <c r="AZ769" s="50" t="n">
        <f aca="false">IF(LEFT(Cockpit!$O$5,1)="A",H769,IF(Parameter!$E$30="MAX-Bestand",IF(CH769=1,CI769,IF(LEFT(Cockpit!$O$5,1)="B",BF769,MAX(BF769,H769))),ROUNDUP(BD769,0)))</f>
        <v>1</v>
      </c>
      <c r="BA769" s="50" t="n">
        <f aca="false">IF(BZ769=1,0,ROUNDUP(AZ769/BY769,0))</f>
        <v>1</v>
      </c>
      <c r="BB769" s="52" t="n">
        <f aca="false">IF(CQ769&gt;0,CQ769*MAX(1,AZ769/X769),IF(BZ769=1,IF(AZ769&lt;=0,0,CD769*MAX(1,IF(H769&gt;0,AZ769/H769,1))),IF(R769&gt;0,BA769/R769,0))/MAX(0.1,N(Parameter!$M$21)))</f>
        <v>0.0384615384615385</v>
      </c>
      <c r="BC769" s="50" t="n">
        <f aca="false">BB769*CB769</f>
        <v>5.96153846153846</v>
      </c>
      <c r="BD769" s="51" t="n">
        <f aca="false">IF(LEFT(Cockpit!$O$5,1)="A",H769,IF(CH769=1,(CK769+CI769)/2,IF(LEFT(Cockpit!$O$5,1)="B",(CK769+BF769)/2,MAX((CK769+BF769)/2,H769))))</f>
        <v>0.5</v>
      </c>
      <c r="BE769" s="50" t="n">
        <f aca="false">BD769*G769</f>
        <v>0.27</v>
      </c>
      <c r="BF769" s="50" t="n">
        <f aca="false">ROUNDUP(CK769+MAX(CL769,2*(J769/IF(CG769&gt;0,CG769,MAX(0.1,N(Cockpit!$O$6)))-CK769)),0)</f>
        <v>1</v>
      </c>
      <c r="BG769" s="51" t="n">
        <f aca="false">IF(BC769&gt;0,J769/BC769,-1)</f>
        <v>0</v>
      </c>
      <c r="BH769" s="51" t="n">
        <f aca="false">IF(AND(OR(CF769="L1",CF769="L23",CF769="LIFT"),BC769&gt;0),SUMIFS($BC$7:$BC$1843,$CF$7:$CF$1843,CF769,$BG$7:$BG$1843,"&gt;"&amp;BG769)+SUMIFS($BC$7:$BC$1843,$CF$7:$CF$1843,CF769,$BG$7:$BG$1843,BG769,$BW$7:$BW$1843,"&lt;="&amp;BW769),"")</f>
        <v>28387.4115136276</v>
      </c>
      <c r="BI769" s="58" t="n">
        <f aca="false">IF(BH769="",0,MAX(0,MIN(1,(IF(CF769="L1",Parameter!$H$5,IF(CF769="L23",Parameter!$H$6+Parameter!$H$7,Parameter!$H$5+Parameter!$H$6+Parameter!$H$7))-(BH769-BC769))/BC769)))</f>
        <v>1</v>
      </c>
      <c r="BJ769" s="48" t="str">
        <f aca="false">IF(AI769&lt;=0,"",IF(CF769="Aussen","Aussenlager",IF(CF769="-","Nicht im Lift",IF(AO769&gt;=1,"Lift",IF(AO769&lt;=0,"Aussenlager","teilweise")))))</f>
        <v>Lift</v>
      </c>
      <c r="BK769" s="48" t="str">
        <f aca="false">IF(AS769&lt;=0,"",IF(CF769="Aussen","Aussenlager",IF(CF769="-","Nicht im Lift",IF(AY769&gt;=1,"Lift",IF(AY769&lt;=0,"Aussenlager","teilweise")))))</f>
        <v>Lift</v>
      </c>
      <c r="BL769" s="48" t="str">
        <f aca="false">IF(BC769&lt;=0,"",IF(CF769="Aussen","Aussenlager",IF(CF769="-","Nicht im Lift",IF(BI769&gt;=1,"Lift",IF(BI769&lt;=0,"Aussenlager","teilweise")))))</f>
        <v>Lift</v>
      </c>
      <c r="BM769" s="48" t="str">
        <f aca="false">IF(A769="","",IF(BV769=1,"Neu; ","")&amp;IF(AND(BV769=0,BQ769&lt;0),"negativer Bestand (Export "&amp;BQ769&amp;"); ","")&amp;IF(J769&lt;=0,"Kein Verbrauch; ","")&amp;IF(CQ769&gt;0,"Lift "&amp;W769&amp;" lt. Liftbericht (Fach "&amp;X769&amp;" Stk); ",IF(CA769=1,"Gebinde geschätzt ("&amp;T769&amp;"); ",IF(BZ769=1,"Lose – Tablare geschätzt; ","")))&amp;IF(H769&gt;AV769,"Überbestand "&amp;ROUND(H769-AV769,0)&amp;" Stk / CHF "&amp;ROUND((H769-AV769)*G769,0)&amp;"; ","")&amp;IF(AND(CH769=1,CI769&lt;CJ769),"MAX &lt; MB+LG; ","")&amp;IF(AND(CP769&gt;0,CO769*10&gt;CP769),"zu hoch für Tablar; ","")&amp;IF(AND(BV769=0,OR(CH769=1,AA769&lt;&gt;"",U769&lt;&gt;"",V769&lt;&gt;"",AB769&lt;&gt;"")),"manuell übersteuert; ","")&amp;IF(AND(BZ769=0,R769=0),"Gebinde unbekannt / Stellmass fehlt; ","")&amp;IF(AND(BZ769=0,N(V769)&lt;=0,N(Q769)&lt;=0),"Menge pro Gebinde fehlt (Ist = 1 Gebinde); ","")&amp;BU769)</f>
        <v>negativer Bestand (Export -2); Kein Verbrauch; Überbestand 407 Stk / CHF 220; Neu</v>
      </c>
      <c r="BN769" s="48"/>
      <c r="BO769" s="48"/>
      <c r="BP769" s="55"/>
      <c r="BQ769" s="50" t="n">
        <v>-2</v>
      </c>
      <c r="BR769" s="50" t="n">
        <v>410</v>
      </c>
      <c r="BS769" s="49" t="n">
        <v>-1.08</v>
      </c>
      <c r="BT769" s="50" t="n">
        <v>0</v>
      </c>
      <c r="BU769" s="48" t="s">
        <v>635</v>
      </c>
      <c r="BV769" s="53" t="n">
        <v>0</v>
      </c>
      <c r="BW769" s="53" t="n">
        <v>769</v>
      </c>
      <c r="BX769" s="48" t="str">
        <f aca="false">IF(U769&lt;&gt;"",UPPER(TRIM(U769)),IF(CA769=1,UPPER(VLOOKUP(T769,Parameter!$I$27:$K$29,2,0)),IF(P769="","LOSE",P769)))</f>
        <v>S51</v>
      </c>
      <c r="BY769" s="50" t="n">
        <f aca="false">IF(BX769="LOSE",1,IF(N(V769)&gt;0,V769,IF(CA769=1,MAX(1,N(VLOOKUP(T769,Parameter!$I$27:$K$29,3,0)),H769,N(N769)),IF(N(Q769)&gt;0,Q769,MAX(1,H769)))))</f>
        <v>440</v>
      </c>
      <c r="BZ769" s="53" t="n">
        <f aca="false">IF(BX769="LOSE",1,0)</f>
        <v>0</v>
      </c>
      <c r="CA769" s="53" t="n">
        <f aca="false">IF(AND(U769="",OR(P769="",P769="LOSE"),T769&lt;&gt;"",N(S769)&lt;=0,ISNUMBER(MATCH(T769,Parameter!$I$27:$I$29,0))),1,0)</f>
        <v>0</v>
      </c>
      <c r="CB769" s="53" t="n">
        <f aca="false">IF(CQ769&gt;0,INDEX(Parameter!$H$5:$H$7,W769)/INDEX(Parameter!$E$5:$E$7,W769),IF(AND(BZ769=0,N(IFERROR(VLOOKUP(BX769,'Gebinde-Kategorie'!$A$5:$N$45,14,0),0))&gt;0),VLOOKUP(BX769,'Gebinde-Kategorie'!$A$5:$N$45,14,0)*10+Parameter!$M$23,Parameter!$M$24))</f>
        <v>155</v>
      </c>
      <c r="CC769" s="48" t="str">
        <f aca="false">IF(AND(Parameter!$B$19="Ja",E769&lt;&gt;"",ISNUMBER(MATCH(E769,Parameter!$I$35:$I$52,0))),VLOOKUP(E769,Parameter!$I$35:$J$52,2,0),IFERROR(VLOOKUP(D769,Parameter!$A$35:$C$64,2,0),"Nein"))</f>
        <v>2+3</v>
      </c>
      <c r="CD769" s="52" t="n">
        <f aca="false">IF(BZ769=0,0,IF(N(S769)&gt;0,S769,IFERROR(VLOOKUP(D769,Parameter!$A$35:$C$64,3,0)+0,0)))</f>
        <v>0</v>
      </c>
      <c r="CE769" s="48" t="n">
        <f aca="false">IF(AA769&lt;&gt;"",AA769,Z769)</f>
        <v>3</v>
      </c>
      <c r="CF769" s="48" t="str">
        <f aca="false">IF(OR(CE769=1,CE769=2,CE769=3),IF(Parameter!$E$27="Ja","LIFT",IF(CE769=1,"L1","L23")),IF(CE769="Aussen","Aussen","-"))</f>
        <v>LIFT</v>
      </c>
      <c r="CG769" s="59" t="n">
        <f aca="false">IF(N(AB769)&gt;0,AB769,0)</f>
        <v>0</v>
      </c>
      <c r="CH769" s="53" t="n">
        <f aca="false">IF(ISNUMBER(AE769),1,0)</f>
        <v>0</v>
      </c>
      <c r="CI769" s="50" t="n">
        <f aca="false">N(AE769)</f>
        <v>0</v>
      </c>
      <c r="CJ769" s="50" t="n">
        <f aca="false">N(M769)+N(N769)</f>
        <v>1</v>
      </c>
      <c r="CK769" s="50" t="n">
        <f aca="false">N(M769)</f>
        <v>0</v>
      </c>
      <c r="CL769" s="50" t="n">
        <f aca="false">N(N769)</f>
        <v>1</v>
      </c>
      <c r="CM769" s="50" t="n">
        <f aca="false">ROUNDUP(H769/BY769,0)</f>
        <v>1</v>
      </c>
      <c r="CN769" s="50" t="n">
        <f aca="false">ROUNDUP(CI769/BY769,0)</f>
        <v>0</v>
      </c>
      <c r="CO769" s="53" t="n">
        <f aca="false">IF(BZ769=1,0,IFERROR(VLOOKUP(BX769,'Gebinde-Kategorie'!$A$5:$N$45,5,0)+0,0))</f>
        <v>11</v>
      </c>
      <c r="CP769" s="53" t="n">
        <f aca="false">IFERROR(IF(OR(CE769=1,CE769=2,CE769=3),N(INDEX(Parameter!$I$5:$I$7,CE769)),0),0)</f>
        <v>0</v>
      </c>
      <c r="CQ769" s="52" t="n">
        <f aca="false">IF(AND(Parameter!$B$21="Ja",ISNUMBER(W769),N(X769)&gt;0),IFERROR(N(INDEX(Parameter!$L$5:$L$7,W769))*INDEX(Parameter!$E$5:$E$7,W769)*X769/SUMIFS($X$7:$X$1843,$W$7:$W$1843,W769),0),0)</f>
        <v>0</v>
      </c>
    </row>
    <row r="770" customFormat="false" ht="15" hidden="false" customHeight="false" outlineLevel="0" collapsed="false">
      <c r="A770" s="48" t="s">
        <v>1522</v>
      </c>
      <c r="B770" s="48" t="s">
        <v>663</v>
      </c>
      <c r="C770" s="48" t="s">
        <v>173</v>
      </c>
      <c r="D770" s="48" t="s">
        <v>193</v>
      </c>
      <c r="E770" s="48" t="s">
        <v>194</v>
      </c>
      <c r="F770" s="48" t="s">
        <v>227</v>
      </c>
      <c r="G770" s="49" t="n">
        <v>0.01</v>
      </c>
      <c r="H770" s="50" t="n">
        <f aca="false">MAX(0,IF(AND(Parameter!$B$21="Ja",ISNUMBER(Y770)),Y770,IF(Parameter!$B$20="Jahresanfang 2025 + Export",BR770+BQ770,BQ770)))</f>
        <v>456</v>
      </c>
      <c r="I770" s="50" t="n">
        <f aca="false">H770*G770</f>
        <v>4.56</v>
      </c>
      <c r="J770" s="50" t="n">
        <f aca="false">BT770*Parameter!$B$18</f>
        <v>716</v>
      </c>
      <c r="K770" s="51" t="n">
        <v>491</v>
      </c>
      <c r="L770" s="52" t="n">
        <v>1.45824847250509</v>
      </c>
      <c r="M770" s="50" t="n">
        <v>41</v>
      </c>
      <c r="N770" s="50" t="n">
        <v>715</v>
      </c>
      <c r="O770" s="53" t="n">
        <v>21</v>
      </c>
      <c r="P770" s="48" t="s">
        <v>430</v>
      </c>
      <c r="Q770" s="50" t="n">
        <v>819</v>
      </c>
      <c r="R770" s="53" t="n">
        <f aca="false">IF(BZ770=1,0,IFERROR(VLOOKUP(BX770,'Gebinde-Kategorie'!$A$5:$N$45,13,0)+0,0))</f>
        <v>104</v>
      </c>
      <c r="S770" s="54"/>
      <c r="T770" s="55"/>
      <c r="U770" s="55"/>
      <c r="V770" s="55"/>
      <c r="W770" s="48"/>
      <c r="X770" s="50"/>
      <c r="Y770" s="50"/>
      <c r="Z770" s="48" t="n">
        <f aca="false">IF(A770="","",IF(AND(Parameter!$B$21="Ja",ISNUMBER(W770)),W770,IF(CC770="2+3",IF(ISNUMBER(SEARCH("grosser Artikel",BU770)),2,IFERROR(VLOOKUP(BX770,Parameter!$F$35:$G$64,2,0),2)),IF(OR(CC770="Nein",CC770=""),"-",CC770))))</f>
        <v>3</v>
      </c>
      <c r="AA770" s="55"/>
      <c r="AB770" s="56"/>
      <c r="AC770" s="50" t="n">
        <f aca="false">AV770</f>
        <v>756</v>
      </c>
      <c r="AD770" s="50" t="n">
        <f aca="false">MAX(AV770,H770)</f>
        <v>756</v>
      </c>
      <c r="AE770" s="57"/>
      <c r="AF770" s="50" t="n">
        <f aca="false">IF(LEFT(Cockpit!$C$5,1)="A",H770,IF(Parameter!$E$30="MAX-Bestand",IF(CH770=1,CI770,IF(LEFT(Cockpit!$C$5,1)="B",AL770,MAX(AL770,H770))),ROUNDUP(AJ770,0)))</f>
        <v>456</v>
      </c>
      <c r="AG770" s="50" t="n">
        <f aca="false">IF(BZ770=1,0,ROUNDUP(AF770/BY770,0))</f>
        <v>1</v>
      </c>
      <c r="AH770" s="52" t="n">
        <f aca="false">IF(CQ770&gt;0,CQ770*MAX(1,AF770/X770),IF(BZ770=1,IF(AF770&lt;=0,0,CD770*MAX(1,IF(H770&gt;0,AF770/H770,1))),IF(R770&gt;0,AG770/R770,0))/MAX(0.1,N(Parameter!$M$21)))</f>
        <v>0.00961538461538462</v>
      </c>
      <c r="AI770" s="50" t="n">
        <f aca="false">AH770*CB770</f>
        <v>1.49038461538462</v>
      </c>
      <c r="AJ770" s="51" t="n">
        <f aca="false">IF(LEFT(Cockpit!$C$5,1)="A",H770,IF(CH770=1,(CK770+CI770)/2,IF(LEFT(Cockpit!$C$5,1)="B",(CK770+AL770)/2,MAX((CK770+AL770)/2,H770))))</f>
        <v>456</v>
      </c>
      <c r="AK770" s="50" t="n">
        <f aca="false">AJ770*G770</f>
        <v>4.56</v>
      </c>
      <c r="AL770" s="50" t="n">
        <f aca="false">ROUNDUP(CK770+MAX(CL770,2*(J770/IF(CG770&gt;0,CG770,MAX(0.1,N(Cockpit!$C$6)))-CK770)),0)</f>
        <v>756</v>
      </c>
      <c r="AM770" s="51" t="n">
        <f aca="false">IF(AI770&gt;0,J770/AI770,-1)</f>
        <v>480.412903225806</v>
      </c>
      <c r="AN770" s="51" t="n">
        <f aca="false">IF(AND(OR(CF770="L1",CF770="L23",CF770="LIFT"),AI770&gt;0),SUMIFS($AI$7:$AI$1843,$CF$7:$CF$1843,CF770,$AM$7:$AM$1843,"&gt;"&amp;AM770)+SUMIFS($AI$7:$AI$1843,$CF$7:$CF$1843,CF770,$AM$7:$AM$1843,AM770,$BW$7:$BW$1843,"&lt;="&amp;BW770),"")</f>
        <v>83.0123626373626</v>
      </c>
      <c r="AO770" s="58" t="n">
        <f aca="false">IF(AN770="",0,MAX(0,MIN(1,(IF(CF770="L1",Parameter!$H$5,IF(CF770="L23",Parameter!$H$6+Parameter!$H$7,Parameter!$H$5+Parameter!$H$6+Parameter!$H$7))-(AN770-AI770))/AI770)))</f>
        <v>1</v>
      </c>
      <c r="AP770" s="50" t="n">
        <f aca="false">IF(LEFT(Cockpit!$I$5,1)="A",H770,IF(Parameter!$E$30="MAX-Bestand",IF(CH770=1,CI770,IF(LEFT(Cockpit!$I$5,1)="B",AV770,MAX(AV770,H770))),ROUNDUP(AT770,0)))</f>
        <v>456</v>
      </c>
      <c r="AQ770" s="50" t="n">
        <f aca="false">IF(BZ770=1,0,ROUNDUP(AP770/BY770,0))</f>
        <v>1</v>
      </c>
      <c r="AR770" s="52" t="n">
        <f aca="false">IF(CQ770&gt;0,CQ770*MAX(1,AP770/X770),IF(BZ770=1,IF(AP770&lt;=0,0,CD770*MAX(1,IF(H770&gt;0,AP770/H770,1))),IF(R770&gt;0,AQ770/R770,0))/MAX(0.1,N(Parameter!$M$21)))</f>
        <v>0.00961538461538462</v>
      </c>
      <c r="AS770" s="50" t="n">
        <f aca="false">AR770*CB770</f>
        <v>1.49038461538462</v>
      </c>
      <c r="AT770" s="51" t="n">
        <f aca="false">IF(LEFT(Cockpit!$I$5,1)="A",H770,IF(CH770=1,(CK770+CI770)/2,IF(LEFT(Cockpit!$I$5,1)="B",(CK770+AV770)/2,MAX((CK770+AV770)/2,H770))))</f>
        <v>456</v>
      </c>
      <c r="AU770" s="50" t="n">
        <f aca="false">AT770*G770</f>
        <v>4.56</v>
      </c>
      <c r="AV770" s="50" t="n">
        <f aca="false">ROUNDUP(CK770+MAX(CL770,2*(J770/IF(CG770&gt;0,CG770,MAX(0.1,N(Cockpit!$I$6)))-CK770)),0)</f>
        <v>756</v>
      </c>
      <c r="AW770" s="51" t="n">
        <f aca="false">IF(AS770&gt;0,J770/AS770,-1)</f>
        <v>480.412903225806</v>
      </c>
      <c r="AX770" s="51" t="n">
        <f aca="false">IF(AND(OR(CF770="L1",CF770="L23",CF770="LIFT"),AS770&gt;0),SUMIFS($AS$7:$AS$1843,$CF$7:$CF$1843,CF770,$AW$7:$AW$1843,"&gt;"&amp;AW770)+SUMIFS($AS$7:$AS$1843,$CF$7:$CF$1843,CF770,$AW$7:$AW$1843,AW770,$BW$7:$BW$1843,"&lt;="&amp;BW770),"")</f>
        <v>93.9010989010989</v>
      </c>
      <c r="AY770" s="58" t="n">
        <f aca="false">IF(AX770="",0,MAX(0,MIN(1,(IF(CF770="L1",Parameter!$H$5,IF(CF770="L23",Parameter!$H$6+Parameter!$H$7,Parameter!$H$5+Parameter!$H$6+Parameter!$H$7))-(AX770-AS770))/AS770)))</f>
        <v>1</v>
      </c>
      <c r="AZ770" s="50" t="n">
        <f aca="false">IF(LEFT(Cockpit!$O$5,1)="A",H770,IF(Parameter!$E$30="MAX-Bestand",IF(CH770=1,CI770,IF(LEFT(Cockpit!$O$5,1)="B",BF770,MAX(BF770,H770))),ROUNDUP(BD770,0)))</f>
        <v>399</v>
      </c>
      <c r="BA770" s="50" t="n">
        <f aca="false">IF(BZ770=1,0,ROUNDUP(AZ770/BY770,0))</f>
        <v>1</v>
      </c>
      <c r="BB770" s="52" t="n">
        <f aca="false">IF(CQ770&gt;0,CQ770*MAX(1,AZ770/X770),IF(BZ770=1,IF(AZ770&lt;=0,0,CD770*MAX(1,IF(H770&gt;0,AZ770/H770,1))),IF(R770&gt;0,BA770/R770,0))/MAX(0.1,N(Parameter!$M$21)))</f>
        <v>0.00961538461538462</v>
      </c>
      <c r="BC770" s="50" t="n">
        <f aca="false">BB770*CB770</f>
        <v>1.49038461538462</v>
      </c>
      <c r="BD770" s="51" t="n">
        <f aca="false">IF(LEFT(Cockpit!$O$5,1)="A",H770,IF(CH770=1,(CK770+CI770)/2,IF(LEFT(Cockpit!$O$5,1)="B",(CK770+BF770)/2,MAX((CK770+BF770)/2,H770))))</f>
        <v>398.5</v>
      </c>
      <c r="BE770" s="50" t="n">
        <f aca="false">BD770*G770</f>
        <v>3.985</v>
      </c>
      <c r="BF770" s="50" t="n">
        <f aca="false">ROUNDUP(CK770+MAX(CL770,2*(J770/IF(CG770&gt;0,CG770,MAX(0.1,N(Cockpit!$O$6)))-CK770)),0)</f>
        <v>756</v>
      </c>
      <c r="BG770" s="51" t="n">
        <f aca="false">IF(BC770&gt;0,J770/BC770,-1)</f>
        <v>480.412903225806</v>
      </c>
      <c r="BH770" s="51" t="n">
        <f aca="false">IF(AND(OR(CF770="L1",CF770="L23",CF770="LIFT"),BC770&gt;0),SUMIFS($BC$7:$BC$1843,$CF$7:$CF$1843,CF770,$BG$7:$BG$1843,"&gt;"&amp;BG770)+SUMIFS($BC$7:$BC$1843,$CF$7:$CF$1843,CF770,$BG$7:$BG$1843,BG770,$BW$7:$BW$1843,"&lt;="&amp;BW770),"")</f>
        <v>123.966575091575</v>
      </c>
      <c r="BI770" s="58" t="n">
        <f aca="false">IF(BH770="",0,MAX(0,MIN(1,(IF(CF770="L1",Parameter!$H$5,IF(CF770="L23",Parameter!$H$6+Parameter!$H$7,Parameter!$H$5+Parameter!$H$6+Parameter!$H$7))-(BH770-BC770))/BC770)))</f>
        <v>1</v>
      </c>
      <c r="BJ770" s="48" t="str">
        <f aca="false">IF(AI770&lt;=0,"",IF(CF770="Aussen","Aussenlager",IF(CF770="-","Nicht im Lift",IF(AO770&gt;=1,"Lift",IF(AO770&lt;=0,"Aussenlager","teilweise")))))</f>
        <v>Lift</v>
      </c>
      <c r="BK770" s="48" t="str">
        <f aca="false">IF(AS770&lt;=0,"",IF(CF770="Aussen","Aussenlager",IF(CF770="-","Nicht im Lift",IF(AY770&gt;=1,"Lift",IF(AY770&lt;=0,"Aussenlager","teilweise")))))</f>
        <v>Lift</v>
      </c>
      <c r="BL770" s="48" t="str">
        <f aca="false">IF(BC770&lt;=0,"",IF(CF770="Aussen","Aussenlager",IF(CF770="-","Nicht im Lift",IF(BI770&gt;=1,"Lift",IF(BI770&lt;=0,"Aussenlager","teilweise")))))</f>
        <v>Lift</v>
      </c>
      <c r="BM770" s="48" t="str">
        <f aca="false">IF(A770="","",IF(BV770=1,"Neu; ","")&amp;IF(AND(BV770=0,BQ770&lt;0),"negativer Bestand (Export "&amp;BQ770&amp;"); ","")&amp;IF(J770&lt;=0,"Kein Verbrauch; ","")&amp;IF(CQ770&gt;0,"Lift "&amp;W770&amp;" lt. Liftbericht (Fach "&amp;X770&amp;" Stk); ",IF(CA770=1,"Gebinde geschätzt ("&amp;T770&amp;"); ",IF(BZ770=1,"Lose – Tablare geschätzt; ","")))&amp;IF(H770&gt;AV770,"Überbestand "&amp;ROUND(H770-AV770,0)&amp;" Stk / CHF "&amp;ROUND((H770-AV770)*G770,0)&amp;"; ","")&amp;IF(AND(CH770=1,CI770&lt;CJ770),"MAX &lt; MB+LG; ","")&amp;IF(AND(CP770&gt;0,CO770*10&gt;CP770),"zu hoch für Tablar; ","")&amp;IF(AND(BV770=0,OR(CH770=1,AA770&lt;&gt;"",U770&lt;&gt;"",V770&lt;&gt;"",AB770&lt;&gt;"")),"manuell übersteuert; ","")&amp;IF(AND(BZ770=0,R770=0),"Gebinde unbekannt / Stellmass fehlt; ","")&amp;IF(AND(BZ770=0,N(V770)&lt;=0,N(Q770)&lt;=0),"Menge pro Gebinde fehlt (Ist = 1 Gebinde); ","")&amp;BU770)</f>
        <v>negativer Bestand (Export -110); </v>
      </c>
      <c r="BN770" s="48"/>
      <c r="BO770" s="48"/>
      <c r="BP770" s="55"/>
      <c r="BQ770" s="50" t="n">
        <v>-110</v>
      </c>
      <c r="BR770" s="50" t="n">
        <v>566</v>
      </c>
      <c r="BS770" s="49" t="n">
        <v>-1.1</v>
      </c>
      <c r="BT770" s="50" t="n">
        <v>716</v>
      </c>
      <c r="BU770" s="48"/>
      <c r="BV770" s="53" t="n">
        <v>0</v>
      </c>
      <c r="BW770" s="53" t="n">
        <v>770</v>
      </c>
      <c r="BX770" s="48" t="str">
        <f aca="false">IF(U770&lt;&gt;"",UPPER(TRIM(U770)),IF(CA770=1,UPPER(VLOOKUP(T770,Parameter!$I$27:$K$29,2,0)),IF(P770="","LOSE",P770)))</f>
        <v>S32</v>
      </c>
      <c r="BY770" s="50" t="n">
        <f aca="false">IF(BX770="LOSE",1,IF(N(V770)&gt;0,V770,IF(CA770=1,MAX(1,N(VLOOKUP(T770,Parameter!$I$27:$K$29,3,0)),H770,N(N770)),IF(N(Q770)&gt;0,Q770,MAX(1,H770)))))</f>
        <v>819</v>
      </c>
      <c r="BZ770" s="53" t="n">
        <f aca="false">IF(BX770="LOSE",1,0)</f>
        <v>0</v>
      </c>
      <c r="CA770" s="53" t="n">
        <f aca="false">IF(AND(U770="",OR(P770="",P770="LOSE"),T770&lt;&gt;"",N(S770)&lt;=0,ISNUMBER(MATCH(T770,Parameter!$I$27:$I$29,0))),1,0)</f>
        <v>0</v>
      </c>
      <c r="CB770" s="53" t="n">
        <f aca="false">IF(CQ770&gt;0,INDEX(Parameter!$H$5:$H$7,W770)/INDEX(Parameter!$E$5:$E$7,W770),IF(AND(BZ770=0,N(IFERROR(VLOOKUP(BX770,'Gebinde-Kategorie'!$A$5:$N$45,14,0),0))&gt;0),VLOOKUP(BX770,'Gebinde-Kategorie'!$A$5:$N$45,14,0)*10+Parameter!$M$23,Parameter!$M$24))</f>
        <v>155</v>
      </c>
      <c r="CC770" s="48" t="str">
        <f aca="false">IF(AND(Parameter!$B$19="Ja",E770&lt;&gt;"",ISNUMBER(MATCH(E770,Parameter!$I$35:$I$52,0))),VLOOKUP(E770,Parameter!$I$35:$J$52,2,0),IFERROR(VLOOKUP(D770,Parameter!$A$35:$C$64,2,0),"Nein"))</f>
        <v>2+3</v>
      </c>
      <c r="CD770" s="52" t="n">
        <f aca="false">IF(BZ770=0,0,IF(N(S770)&gt;0,S770,IFERROR(VLOOKUP(D770,Parameter!$A$35:$C$64,3,0)+0,0)))</f>
        <v>0</v>
      </c>
      <c r="CE770" s="48" t="n">
        <f aca="false">IF(AA770&lt;&gt;"",AA770,Z770)</f>
        <v>3</v>
      </c>
      <c r="CF770" s="48" t="str">
        <f aca="false">IF(OR(CE770=1,CE770=2,CE770=3),IF(Parameter!$E$27="Ja","LIFT",IF(CE770=1,"L1","L23")),IF(CE770="Aussen","Aussen","-"))</f>
        <v>LIFT</v>
      </c>
      <c r="CG770" s="59" t="n">
        <f aca="false">IF(N(AB770)&gt;0,AB770,0)</f>
        <v>0</v>
      </c>
      <c r="CH770" s="53" t="n">
        <f aca="false">IF(ISNUMBER(AE770),1,0)</f>
        <v>0</v>
      </c>
      <c r="CI770" s="50" t="n">
        <f aca="false">N(AE770)</f>
        <v>0</v>
      </c>
      <c r="CJ770" s="50" t="n">
        <f aca="false">N(M770)+N(N770)</f>
        <v>756</v>
      </c>
      <c r="CK770" s="50" t="n">
        <f aca="false">N(M770)</f>
        <v>41</v>
      </c>
      <c r="CL770" s="50" t="n">
        <f aca="false">N(N770)</f>
        <v>715</v>
      </c>
      <c r="CM770" s="50" t="n">
        <f aca="false">ROUNDUP(H770/BY770,0)</f>
        <v>1</v>
      </c>
      <c r="CN770" s="50" t="n">
        <f aca="false">ROUNDUP(CI770/BY770,0)</f>
        <v>0</v>
      </c>
      <c r="CO770" s="53" t="n">
        <f aca="false">IF(BZ770=1,0,IFERROR(VLOOKUP(BX770,'Gebinde-Kategorie'!$A$5:$N$45,5,0)+0,0))</f>
        <v>8</v>
      </c>
      <c r="CP770" s="53" t="n">
        <f aca="false">IFERROR(IF(OR(CE770=1,CE770=2,CE770=3),N(INDEX(Parameter!$I$5:$I$7,CE770)),0),0)</f>
        <v>0</v>
      </c>
      <c r="CQ770" s="52" t="n">
        <f aca="false">IF(AND(Parameter!$B$21="Ja",ISNUMBER(W770),N(X770)&gt;0),IFERROR(N(INDEX(Parameter!$L$5:$L$7,W770))*INDEX(Parameter!$E$5:$E$7,W770)*X770/SUMIFS($X$7:$X$1843,$W$7:$W$1843,W770),0),0)</f>
        <v>0</v>
      </c>
    </row>
    <row r="771" customFormat="false" ht="15" hidden="false" customHeight="false" outlineLevel="0" collapsed="false">
      <c r="A771" s="48" t="s">
        <v>1523</v>
      </c>
      <c r="B771" s="48" t="s">
        <v>414</v>
      </c>
      <c r="C771" s="48" t="s">
        <v>173</v>
      </c>
      <c r="D771" s="48" t="s">
        <v>193</v>
      </c>
      <c r="E771" s="48" t="s">
        <v>194</v>
      </c>
      <c r="F771" s="48" t="s">
        <v>227</v>
      </c>
      <c r="G771" s="49" t="n">
        <v>0.38</v>
      </c>
      <c r="H771" s="50" t="n">
        <f aca="false">MAX(0,IF(AND(Parameter!$B$21="Ja",ISNUMBER(Y771)),Y771,IF(Parameter!$B$20="Jahresanfang 2025 + Export",BR771+BQ771,BQ771)))</f>
        <v>81</v>
      </c>
      <c r="I771" s="50" t="n">
        <f aca="false">H771*G771</f>
        <v>30.78</v>
      </c>
      <c r="J771" s="50" t="n">
        <f aca="false">BT771*Parameter!$B$18</f>
        <v>2</v>
      </c>
      <c r="K771" s="51" t="n">
        <v>82.5</v>
      </c>
      <c r="L771" s="52" t="n">
        <v>0.0242424242424242</v>
      </c>
      <c r="M771" s="50" t="n">
        <v>0</v>
      </c>
      <c r="N771" s="50" t="n">
        <v>1</v>
      </c>
      <c r="O771" s="53" t="n">
        <v>14</v>
      </c>
      <c r="P771" s="48" t="s">
        <v>430</v>
      </c>
      <c r="Q771" s="50" t="n">
        <v>84</v>
      </c>
      <c r="R771" s="53" t="n">
        <f aca="false">IF(BZ771=1,0,IFERROR(VLOOKUP(BX771,'Gebinde-Kategorie'!$A$5:$N$45,13,0)+0,0))</f>
        <v>104</v>
      </c>
      <c r="S771" s="54"/>
      <c r="T771" s="55"/>
      <c r="U771" s="55"/>
      <c r="V771" s="55"/>
      <c r="W771" s="48"/>
      <c r="X771" s="50"/>
      <c r="Y771" s="50"/>
      <c r="Z771" s="48" t="n">
        <f aca="false">IF(A771="","",IF(AND(Parameter!$B$21="Ja",ISNUMBER(W771)),W771,IF(CC771="2+3",IF(ISNUMBER(SEARCH("grosser Artikel",BU771)),2,IFERROR(VLOOKUP(BX771,Parameter!$F$35:$G$64,2,0),2)),IF(OR(CC771="Nein",CC771=""),"-",CC771))))</f>
        <v>3</v>
      </c>
      <c r="AA771" s="55"/>
      <c r="AB771" s="56"/>
      <c r="AC771" s="50" t="n">
        <f aca="false">AV771</f>
        <v>2</v>
      </c>
      <c r="AD771" s="50" t="n">
        <f aca="false">MAX(AV771,H771)</f>
        <v>81</v>
      </c>
      <c r="AE771" s="57"/>
      <c r="AF771" s="50" t="n">
        <f aca="false">IF(LEFT(Cockpit!$C$5,1)="A",H771,IF(Parameter!$E$30="MAX-Bestand",IF(CH771=1,CI771,IF(LEFT(Cockpit!$C$5,1)="B",AL771,MAX(AL771,H771))),ROUNDUP(AJ771,0)))</f>
        <v>81</v>
      </c>
      <c r="AG771" s="50" t="n">
        <f aca="false">IF(BZ771=1,0,ROUNDUP(AF771/BY771,0))</f>
        <v>1</v>
      </c>
      <c r="AH771" s="52" t="n">
        <f aca="false">IF(CQ771&gt;0,CQ771*MAX(1,AF771/X771),IF(BZ771=1,IF(AF771&lt;=0,0,CD771*MAX(1,IF(H771&gt;0,AF771/H771,1))),IF(R771&gt;0,AG771/R771,0))/MAX(0.1,N(Parameter!$M$21)))</f>
        <v>0.00961538461538462</v>
      </c>
      <c r="AI771" s="50" t="n">
        <f aca="false">AH771*CB771</f>
        <v>1.49038461538462</v>
      </c>
      <c r="AJ771" s="51" t="n">
        <f aca="false">IF(LEFT(Cockpit!$C$5,1)="A",H771,IF(CH771=1,(CK771+CI771)/2,IF(LEFT(Cockpit!$C$5,1)="B",(CK771+AL771)/2,MAX((CK771+AL771)/2,H771))))</f>
        <v>81</v>
      </c>
      <c r="AK771" s="50" t="n">
        <f aca="false">AJ771*G771</f>
        <v>30.78</v>
      </c>
      <c r="AL771" s="50" t="n">
        <f aca="false">ROUNDUP(CK771+MAX(CL771,2*(J771/IF(CG771&gt;0,CG771,MAX(0.1,N(Cockpit!$C$6)))-CK771)),0)</f>
        <v>2</v>
      </c>
      <c r="AM771" s="51" t="n">
        <f aca="false">IF(AI771&gt;0,J771/AI771,-1)</f>
        <v>1.34193548387097</v>
      </c>
      <c r="AN771" s="51" t="n">
        <f aca="false">IF(AND(OR(CF771="L1",CF771="L23",CF771="LIFT"),AI771&gt;0),SUMIFS($AI$7:$AI$1843,$CF$7:$CF$1843,CF771,$AM$7:$AM$1843,"&gt;"&amp;AM771)+SUMIFS($AI$7:$AI$1843,$CF$7:$CF$1843,CF771,$AM$7:$AM$1843,AM771,$BW$7:$BW$1843,"&lt;="&amp;BW771),"")</f>
        <v>6331.14789377289</v>
      </c>
      <c r="AO771" s="58" t="n">
        <f aca="false">IF(AN771="",0,MAX(0,MIN(1,(IF(CF771="L1",Parameter!$H$5,IF(CF771="L23",Parameter!$H$6+Parameter!$H$7,Parameter!$H$5+Parameter!$H$6+Parameter!$H$7))-(AN771-AI771))/AI771)))</f>
        <v>1</v>
      </c>
      <c r="AP771" s="50" t="n">
        <f aca="false">IF(LEFT(Cockpit!$I$5,1)="A",H771,IF(Parameter!$E$30="MAX-Bestand",IF(CH771=1,CI771,IF(LEFT(Cockpit!$I$5,1)="B",AV771,MAX(AV771,H771))),ROUNDUP(AT771,0)))</f>
        <v>81</v>
      </c>
      <c r="AQ771" s="50" t="n">
        <f aca="false">IF(BZ771=1,0,ROUNDUP(AP771/BY771,0))</f>
        <v>1</v>
      </c>
      <c r="AR771" s="52" t="n">
        <f aca="false">IF(CQ771&gt;0,CQ771*MAX(1,AP771/X771),IF(BZ771=1,IF(AP771&lt;=0,0,CD771*MAX(1,IF(H771&gt;0,AP771/H771,1))),IF(R771&gt;0,AQ771/R771,0))/MAX(0.1,N(Parameter!$M$21)))</f>
        <v>0.00961538461538462</v>
      </c>
      <c r="AS771" s="50" t="n">
        <f aca="false">AR771*CB771</f>
        <v>1.49038461538462</v>
      </c>
      <c r="AT771" s="51" t="n">
        <f aca="false">IF(LEFT(Cockpit!$I$5,1)="A",H771,IF(CH771=1,(CK771+CI771)/2,IF(LEFT(Cockpit!$I$5,1)="B",(CK771+AV771)/2,MAX((CK771+AV771)/2,H771))))</f>
        <v>81</v>
      </c>
      <c r="AU771" s="50" t="n">
        <f aca="false">AT771*G771</f>
        <v>30.78</v>
      </c>
      <c r="AV771" s="50" t="n">
        <f aca="false">ROUNDUP(CK771+MAX(CL771,2*(J771/IF(CG771&gt;0,CG771,MAX(0.1,N(Cockpit!$I$6)))-CK771)),0)</f>
        <v>2</v>
      </c>
      <c r="AW771" s="51" t="n">
        <f aca="false">IF(AS771&gt;0,J771/AS771,-1)</f>
        <v>1.34193548387097</v>
      </c>
      <c r="AX771" s="51" t="n">
        <f aca="false">IF(AND(OR(CF771="L1",CF771="L23",CF771="LIFT"),AS771&gt;0),SUMIFS($AS$7:$AS$1843,$CF$7:$CF$1843,CF771,$AW$7:$AW$1843,"&gt;"&amp;AW771)+SUMIFS($AS$7:$AS$1843,$CF$7:$CF$1843,CF771,$AW$7:$AW$1843,AW771,$BW$7:$BW$1843,"&lt;="&amp;BW771),"")</f>
        <v>7855.3315018315</v>
      </c>
      <c r="AY771" s="58" t="n">
        <f aca="false">IF(AX771="",0,MAX(0,MIN(1,(IF(CF771="L1",Parameter!$H$5,IF(CF771="L23",Parameter!$H$6+Parameter!$H$7,Parameter!$H$5+Parameter!$H$6+Parameter!$H$7))-(AX771-AS771))/AS771)))</f>
        <v>1</v>
      </c>
      <c r="AZ771" s="50" t="n">
        <f aca="false">IF(LEFT(Cockpit!$O$5,1)="A",H771,IF(Parameter!$E$30="MAX-Bestand",IF(CH771=1,CI771,IF(LEFT(Cockpit!$O$5,1)="B",BF771,MAX(BF771,H771))),ROUNDUP(BD771,0)))</f>
        <v>1</v>
      </c>
      <c r="BA771" s="50" t="n">
        <f aca="false">IF(BZ771=1,0,ROUNDUP(AZ771/BY771,0))</f>
        <v>1</v>
      </c>
      <c r="BB771" s="52" t="n">
        <f aca="false">IF(CQ771&gt;0,CQ771*MAX(1,AZ771/X771),IF(BZ771=1,IF(AZ771&lt;=0,0,CD771*MAX(1,IF(H771&gt;0,AZ771/H771,1))),IF(R771&gt;0,BA771/R771,0))/MAX(0.1,N(Parameter!$M$21)))</f>
        <v>0.00961538461538462</v>
      </c>
      <c r="BC771" s="50" t="n">
        <f aca="false">BB771*CB771</f>
        <v>1.49038461538462</v>
      </c>
      <c r="BD771" s="51" t="n">
        <f aca="false">IF(LEFT(Cockpit!$O$5,1)="A",H771,IF(CH771=1,(CK771+CI771)/2,IF(LEFT(Cockpit!$O$5,1)="B",(CK771+BF771)/2,MAX((CK771+BF771)/2,H771))))</f>
        <v>0.5</v>
      </c>
      <c r="BE771" s="50" t="n">
        <f aca="false">BD771*G771</f>
        <v>0.19</v>
      </c>
      <c r="BF771" s="50" t="n">
        <f aca="false">ROUNDUP(CK771+MAX(CL771,2*(J771/IF(CG771&gt;0,CG771,MAX(0.1,N(Cockpit!$O$6)))-CK771)),0)</f>
        <v>1</v>
      </c>
      <c r="BG771" s="51" t="n">
        <f aca="false">IF(BC771&gt;0,J771/BC771,-1)</f>
        <v>1.34193548387097</v>
      </c>
      <c r="BH771" s="51" t="n">
        <f aca="false">IF(AND(OR(CF771="L1",CF771="L23",CF771="LIFT"),BC771&gt;0),SUMIFS($BC$7:$BC$1843,$CF$7:$CF$1843,CF771,$BG$7:$BG$1843,"&gt;"&amp;BG771)+SUMIFS($BC$7:$BC$1843,$CF$7:$CF$1843,CF771,$BG$7:$BG$1843,BG771,$BW$7:$BW$1843,"&lt;="&amp;BW771),"")</f>
        <v>6792.54716117216</v>
      </c>
      <c r="BI771" s="58" t="n">
        <f aca="false">IF(BH771="",0,MAX(0,MIN(1,(IF(CF771="L1",Parameter!$H$5,IF(CF771="L23",Parameter!$H$6+Parameter!$H$7,Parameter!$H$5+Parameter!$H$6+Parameter!$H$7))-(BH771-BC771))/BC771)))</f>
        <v>1</v>
      </c>
      <c r="BJ771" s="48" t="str">
        <f aca="false">IF(AI771&lt;=0,"",IF(CF771="Aussen","Aussenlager",IF(CF771="-","Nicht im Lift",IF(AO771&gt;=1,"Lift",IF(AO771&lt;=0,"Aussenlager","teilweise")))))</f>
        <v>Lift</v>
      </c>
      <c r="BK771" s="48" t="str">
        <f aca="false">IF(AS771&lt;=0,"",IF(CF771="Aussen","Aussenlager",IF(CF771="-","Nicht im Lift",IF(AY771&gt;=1,"Lift",IF(AY771&lt;=0,"Aussenlager","teilweise")))))</f>
        <v>Lift</v>
      </c>
      <c r="BL771" s="48" t="str">
        <f aca="false">IF(BC771&lt;=0,"",IF(CF771="Aussen","Aussenlager",IF(CF771="-","Nicht im Lift",IF(BI771&gt;=1,"Lift",IF(BI771&lt;=0,"Aussenlager","teilweise")))))</f>
        <v>Lift</v>
      </c>
      <c r="BM771" s="48" t="str">
        <f aca="false">IF(A771="","",IF(BV771=1,"Neu; ","")&amp;IF(AND(BV771=0,BQ771&lt;0),"negativer Bestand (Export "&amp;BQ771&amp;"); ","")&amp;IF(J771&lt;=0,"Kein Verbrauch; ","")&amp;IF(CQ771&gt;0,"Lift "&amp;W771&amp;" lt. Liftbericht (Fach "&amp;X771&amp;" Stk); ",IF(CA771=1,"Gebinde geschätzt ("&amp;T771&amp;"); ",IF(BZ771=1,"Lose – Tablare geschätzt; ","")))&amp;IF(H771&gt;AV771,"Überbestand "&amp;ROUND(H771-AV771,0)&amp;" Stk / CHF "&amp;ROUND((H771-AV771)*G771,0)&amp;"; ","")&amp;IF(AND(CH771=1,CI771&lt;CJ771),"MAX &lt; MB+LG; ","")&amp;IF(AND(CP771&gt;0,CO771*10&gt;CP771),"zu hoch für Tablar; ","")&amp;IF(AND(BV771=0,OR(CH771=1,AA771&lt;&gt;"",U771&lt;&gt;"",V771&lt;&gt;"",AB771&lt;&gt;"")),"manuell übersteuert; ","")&amp;IF(AND(BZ771=0,R771=0),"Gebinde unbekannt / Stellmass fehlt; ","")&amp;IF(AND(BZ771=0,N(V771)&lt;=0,N(Q771)&lt;=0),"Menge pro Gebinde fehlt (Ist = 1 Gebinde); ","")&amp;BU771)</f>
        <v>negativer Bestand (Export -3); Überbestand 79 Stk / CHF 30; Überbestand</v>
      </c>
      <c r="BN771" s="48"/>
      <c r="BO771" s="48"/>
      <c r="BP771" s="55"/>
      <c r="BQ771" s="50" t="n">
        <v>-3</v>
      </c>
      <c r="BR771" s="50" t="n">
        <v>84</v>
      </c>
      <c r="BS771" s="49" t="n">
        <v>-1.14</v>
      </c>
      <c r="BT771" s="50" t="n">
        <v>2</v>
      </c>
      <c r="BU771" s="48" t="s">
        <v>401</v>
      </c>
      <c r="BV771" s="53" t="n">
        <v>0</v>
      </c>
      <c r="BW771" s="53" t="n">
        <v>771</v>
      </c>
      <c r="BX771" s="48" t="str">
        <f aca="false">IF(U771&lt;&gt;"",UPPER(TRIM(U771)),IF(CA771=1,UPPER(VLOOKUP(T771,Parameter!$I$27:$K$29,2,0)),IF(P771="","LOSE",P771)))</f>
        <v>S32</v>
      </c>
      <c r="BY771" s="50" t="n">
        <f aca="false">IF(BX771="LOSE",1,IF(N(V771)&gt;0,V771,IF(CA771=1,MAX(1,N(VLOOKUP(T771,Parameter!$I$27:$K$29,3,0)),H771,N(N771)),IF(N(Q771)&gt;0,Q771,MAX(1,H771)))))</f>
        <v>84</v>
      </c>
      <c r="BZ771" s="53" t="n">
        <f aca="false">IF(BX771="LOSE",1,0)</f>
        <v>0</v>
      </c>
      <c r="CA771" s="53" t="n">
        <f aca="false">IF(AND(U771="",OR(P771="",P771="LOSE"),T771&lt;&gt;"",N(S771)&lt;=0,ISNUMBER(MATCH(T771,Parameter!$I$27:$I$29,0))),1,0)</f>
        <v>0</v>
      </c>
      <c r="CB771" s="53" t="n">
        <f aca="false">IF(CQ771&gt;0,INDEX(Parameter!$H$5:$H$7,W771)/INDEX(Parameter!$E$5:$E$7,W771),IF(AND(BZ771=0,N(IFERROR(VLOOKUP(BX771,'Gebinde-Kategorie'!$A$5:$N$45,14,0),0))&gt;0),VLOOKUP(BX771,'Gebinde-Kategorie'!$A$5:$N$45,14,0)*10+Parameter!$M$23,Parameter!$M$24))</f>
        <v>155</v>
      </c>
      <c r="CC771" s="48" t="str">
        <f aca="false">IF(AND(Parameter!$B$19="Ja",E771&lt;&gt;"",ISNUMBER(MATCH(E771,Parameter!$I$35:$I$52,0))),VLOOKUP(E771,Parameter!$I$35:$J$52,2,0),IFERROR(VLOOKUP(D771,Parameter!$A$35:$C$64,2,0),"Nein"))</f>
        <v>2+3</v>
      </c>
      <c r="CD771" s="52" t="n">
        <f aca="false">IF(BZ771=0,0,IF(N(S771)&gt;0,S771,IFERROR(VLOOKUP(D771,Parameter!$A$35:$C$64,3,0)+0,0)))</f>
        <v>0</v>
      </c>
      <c r="CE771" s="48" t="n">
        <f aca="false">IF(AA771&lt;&gt;"",AA771,Z771)</f>
        <v>3</v>
      </c>
      <c r="CF771" s="48" t="str">
        <f aca="false">IF(OR(CE771=1,CE771=2,CE771=3),IF(Parameter!$E$27="Ja","LIFT",IF(CE771=1,"L1","L23")),IF(CE771="Aussen","Aussen","-"))</f>
        <v>LIFT</v>
      </c>
      <c r="CG771" s="59" t="n">
        <f aca="false">IF(N(AB771)&gt;0,AB771,0)</f>
        <v>0</v>
      </c>
      <c r="CH771" s="53" t="n">
        <f aca="false">IF(ISNUMBER(AE771),1,0)</f>
        <v>0</v>
      </c>
      <c r="CI771" s="50" t="n">
        <f aca="false">N(AE771)</f>
        <v>0</v>
      </c>
      <c r="CJ771" s="50" t="n">
        <f aca="false">N(M771)+N(N771)</f>
        <v>1</v>
      </c>
      <c r="CK771" s="50" t="n">
        <f aca="false">N(M771)</f>
        <v>0</v>
      </c>
      <c r="CL771" s="50" t="n">
        <f aca="false">N(N771)</f>
        <v>1</v>
      </c>
      <c r="CM771" s="50" t="n">
        <f aca="false">ROUNDUP(H771/BY771,0)</f>
        <v>1</v>
      </c>
      <c r="CN771" s="50" t="n">
        <f aca="false">ROUNDUP(CI771/BY771,0)</f>
        <v>0</v>
      </c>
      <c r="CO771" s="53" t="n">
        <f aca="false">IF(BZ771=1,0,IFERROR(VLOOKUP(BX771,'Gebinde-Kategorie'!$A$5:$N$45,5,0)+0,0))</f>
        <v>8</v>
      </c>
      <c r="CP771" s="53" t="n">
        <f aca="false">IFERROR(IF(OR(CE771=1,CE771=2,CE771=3),N(INDEX(Parameter!$I$5:$I$7,CE771)),0),0)</f>
        <v>0</v>
      </c>
      <c r="CQ771" s="52" t="n">
        <f aca="false">IF(AND(Parameter!$B$21="Ja",ISNUMBER(W771),N(X771)&gt;0),IFERROR(N(INDEX(Parameter!$L$5:$L$7,W771))*INDEX(Parameter!$E$5:$E$7,W771)*X771/SUMIFS($X$7:$X$1843,$W$7:$W$1843,W771),0),0)</f>
        <v>0</v>
      </c>
    </row>
    <row r="772" customFormat="false" ht="15" hidden="false" customHeight="false" outlineLevel="0" collapsed="false">
      <c r="A772" s="48" t="s">
        <v>1524</v>
      </c>
      <c r="B772" s="48" t="s">
        <v>1145</v>
      </c>
      <c r="C772" s="48" t="s">
        <v>173</v>
      </c>
      <c r="D772" s="48" t="s">
        <v>193</v>
      </c>
      <c r="E772" s="48"/>
      <c r="F772" s="48" t="s">
        <v>227</v>
      </c>
      <c r="G772" s="49" t="n">
        <v>1.25</v>
      </c>
      <c r="H772" s="50" t="n">
        <f aca="false">MAX(0,IF(AND(Parameter!$B$21="Ja",ISNUMBER(Y772)),Y772,IF(Parameter!$B$20="Jahresanfang 2025 + Export",BR772+BQ772,BQ772)))</f>
        <v>30</v>
      </c>
      <c r="I772" s="50" t="n">
        <f aca="false">H772*G772</f>
        <v>37.5</v>
      </c>
      <c r="J772" s="50" t="n">
        <f aca="false">BT772*Parameter!$B$18</f>
        <v>0</v>
      </c>
      <c r="K772" s="51" t="n">
        <v>30.5</v>
      </c>
      <c r="L772" s="52" t="n">
        <v>0</v>
      </c>
      <c r="M772" s="50" t="n">
        <v>0</v>
      </c>
      <c r="N772" s="50" t="n">
        <v>1</v>
      </c>
      <c r="O772" s="53" t="n">
        <v>14</v>
      </c>
      <c r="P772" s="48" t="s">
        <v>177</v>
      </c>
      <c r="Q772" s="50"/>
      <c r="R772" s="53" t="n">
        <f aca="false">IF(BZ772=1,0,IFERROR(VLOOKUP(BX772,'Gebinde-Kategorie'!$A$5:$N$45,13,0)+0,0))</f>
        <v>26</v>
      </c>
      <c r="S772" s="54"/>
      <c r="T772" s="55" t="s">
        <v>284</v>
      </c>
      <c r="U772" s="55"/>
      <c r="V772" s="55"/>
      <c r="W772" s="48"/>
      <c r="X772" s="50"/>
      <c r="Y772" s="50"/>
      <c r="Z772" s="48" t="n">
        <f aca="false">IF(A772="","",IF(AND(Parameter!$B$21="Ja",ISNUMBER(W772)),W772,IF(CC772="2+3",IF(ISNUMBER(SEARCH("grosser Artikel",BU772)),2,IFERROR(VLOOKUP(BX772,Parameter!$F$35:$G$64,2,0),2)),IF(OR(CC772="Nein",CC772=""),"-",CC772))))</f>
        <v>3</v>
      </c>
      <c r="AA772" s="55"/>
      <c r="AB772" s="56"/>
      <c r="AC772" s="50" t="n">
        <f aca="false">AV772</f>
        <v>1</v>
      </c>
      <c r="AD772" s="50" t="n">
        <f aca="false">MAX(AV772,H772)</f>
        <v>30</v>
      </c>
      <c r="AE772" s="57"/>
      <c r="AF772" s="50" t="n">
        <f aca="false">IF(LEFT(Cockpit!$C$5,1)="A",H772,IF(Parameter!$E$30="MAX-Bestand",IF(CH772=1,CI772,IF(LEFT(Cockpit!$C$5,1)="B",AL772,MAX(AL772,H772))),ROUNDUP(AJ772,0)))</f>
        <v>30</v>
      </c>
      <c r="AG772" s="50" t="n">
        <f aca="false">IF(BZ772=1,0,ROUNDUP(AF772/BY772,0))</f>
        <v>1</v>
      </c>
      <c r="AH772" s="52" t="n">
        <f aca="false">IF(CQ772&gt;0,CQ772*MAX(1,AF772/X772),IF(BZ772=1,IF(AF772&lt;=0,0,CD772*MAX(1,IF(H772&gt;0,AF772/H772,1))),IF(R772&gt;0,AG772/R772,0))/MAX(0.1,N(Parameter!$M$21)))</f>
        <v>0.0384615384615385</v>
      </c>
      <c r="AI772" s="50" t="n">
        <f aca="false">AH772*CB772</f>
        <v>5.96153846153846</v>
      </c>
      <c r="AJ772" s="51" t="n">
        <f aca="false">IF(LEFT(Cockpit!$C$5,1)="A",H772,IF(CH772=1,(CK772+CI772)/2,IF(LEFT(Cockpit!$C$5,1)="B",(CK772+AL772)/2,MAX((CK772+AL772)/2,H772))))</f>
        <v>30</v>
      </c>
      <c r="AK772" s="50" t="n">
        <f aca="false">AJ772*G772</f>
        <v>37.5</v>
      </c>
      <c r="AL772" s="50" t="n">
        <f aca="false">ROUNDUP(CK772+MAX(CL772,2*(J772/IF(CG772&gt;0,CG772,MAX(0.1,N(Cockpit!$C$6)))-CK772)),0)</f>
        <v>1</v>
      </c>
      <c r="AM772" s="51" t="n">
        <f aca="false">IF(AI772&gt;0,J772/AI772,-1)</f>
        <v>0</v>
      </c>
      <c r="AN772" s="51" t="n">
        <f aca="false">IF(AND(OR(CF772="L1",CF772="L23",CF772="LIFT"),AI772&gt;0),SUMIFS($AI$7:$AI$1843,$CF$7:$CF$1843,CF772,$AM$7:$AM$1843,"&gt;"&amp;AM772)+SUMIFS($AI$7:$AI$1843,$CF$7:$CF$1843,CF772,$AM$7:$AM$1843,AM772,$BW$7:$BW$1843,"&lt;="&amp;BW772),"")</f>
        <v>28744.7199483661</v>
      </c>
      <c r="AO772" s="58" t="n">
        <f aca="false">IF(AN772="",0,MAX(0,MIN(1,(IF(CF772="L1",Parameter!$H$5,IF(CF772="L23",Parameter!$H$6+Parameter!$H$7,Parameter!$H$5+Parameter!$H$6+Parameter!$H$7))-(AN772-AI772))/AI772)))</f>
        <v>1</v>
      </c>
      <c r="AP772" s="50" t="n">
        <f aca="false">IF(LEFT(Cockpit!$I$5,1)="A",H772,IF(Parameter!$E$30="MAX-Bestand",IF(CH772=1,CI772,IF(LEFT(Cockpit!$I$5,1)="B",AV772,MAX(AV772,H772))),ROUNDUP(AT772,0)))</f>
        <v>30</v>
      </c>
      <c r="AQ772" s="50" t="n">
        <f aca="false">IF(BZ772=1,0,ROUNDUP(AP772/BY772,0))</f>
        <v>1</v>
      </c>
      <c r="AR772" s="52" t="n">
        <f aca="false">IF(CQ772&gt;0,CQ772*MAX(1,AP772/X772),IF(BZ772=1,IF(AP772&lt;=0,0,CD772*MAX(1,IF(H772&gt;0,AP772/H772,1))),IF(R772&gt;0,AQ772/R772,0))/MAX(0.1,N(Parameter!$M$21)))</f>
        <v>0.0384615384615385</v>
      </c>
      <c r="AS772" s="50" t="n">
        <f aca="false">AR772*CB772</f>
        <v>5.96153846153846</v>
      </c>
      <c r="AT772" s="51" t="n">
        <f aca="false">IF(LEFT(Cockpit!$I$5,1)="A",H772,IF(CH772=1,(CK772+CI772)/2,IF(LEFT(Cockpit!$I$5,1)="B",(CK772+AV772)/2,MAX((CK772+AV772)/2,H772))))</f>
        <v>30</v>
      </c>
      <c r="AU772" s="50" t="n">
        <f aca="false">AT772*G772</f>
        <v>37.5</v>
      </c>
      <c r="AV772" s="50" t="n">
        <f aca="false">ROUNDUP(CK772+MAX(CL772,2*(J772/IF(CG772&gt;0,CG772,MAX(0.1,N(Cockpit!$I$6)))-CK772)),0)</f>
        <v>1</v>
      </c>
      <c r="AW772" s="51" t="n">
        <f aca="false">IF(AS772&gt;0,J772/AS772,-1)</f>
        <v>0</v>
      </c>
      <c r="AX772" s="51" t="n">
        <f aca="false">IF(AND(OR(CF772="L1",CF772="L23",CF772="LIFT"),AS772&gt;0),SUMIFS($AS$7:$AS$1843,$CF$7:$CF$1843,CF772,$AW$7:$AW$1843,"&gt;"&amp;AW772)+SUMIFS($AS$7:$AS$1843,$CF$7:$CF$1843,CF772,$AW$7:$AW$1843,AW772,$BW$7:$BW$1843,"&lt;="&amp;BW772),"")</f>
        <v>34349.5032051282</v>
      </c>
      <c r="AY772" s="58" t="n">
        <f aca="false">IF(AX772="",0,MAX(0,MIN(1,(IF(CF772="L1",Parameter!$H$5,IF(CF772="L23",Parameter!$H$6+Parameter!$H$7,Parameter!$H$5+Parameter!$H$6+Parameter!$H$7))-(AX772-AS772))/AS772)))</f>
        <v>1</v>
      </c>
      <c r="AZ772" s="50" t="n">
        <f aca="false">IF(LEFT(Cockpit!$O$5,1)="A",H772,IF(Parameter!$E$30="MAX-Bestand",IF(CH772=1,CI772,IF(LEFT(Cockpit!$O$5,1)="B",BF772,MAX(BF772,H772))),ROUNDUP(BD772,0)))</f>
        <v>1</v>
      </c>
      <c r="BA772" s="50" t="n">
        <f aca="false">IF(BZ772=1,0,ROUNDUP(AZ772/BY772,0))</f>
        <v>1</v>
      </c>
      <c r="BB772" s="52" t="n">
        <f aca="false">IF(CQ772&gt;0,CQ772*MAX(1,AZ772/X772),IF(BZ772=1,IF(AZ772&lt;=0,0,CD772*MAX(1,IF(H772&gt;0,AZ772/H772,1))),IF(R772&gt;0,BA772/R772,0))/MAX(0.1,N(Parameter!$M$21)))</f>
        <v>0.0384615384615385</v>
      </c>
      <c r="BC772" s="50" t="n">
        <f aca="false">BB772*CB772</f>
        <v>5.96153846153846</v>
      </c>
      <c r="BD772" s="51" t="n">
        <f aca="false">IF(LEFT(Cockpit!$O$5,1)="A",H772,IF(CH772=1,(CK772+CI772)/2,IF(LEFT(Cockpit!$O$5,1)="B",(CK772+BF772)/2,MAX((CK772+BF772)/2,H772))))</f>
        <v>0.5</v>
      </c>
      <c r="BE772" s="50" t="n">
        <f aca="false">BD772*G772</f>
        <v>0.625</v>
      </c>
      <c r="BF772" s="50" t="n">
        <f aca="false">ROUNDUP(CK772+MAX(CL772,2*(J772/IF(CG772&gt;0,CG772,MAX(0.1,N(Cockpit!$O$6)))-CK772)),0)</f>
        <v>1</v>
      </c>
      <c r="BG772" s="51" t="n">
        <f aca="false">IF(BC772&gt;0,J772/BC772,-1)</f>
        <v>0</v>
      </c>
      <c r="BH772" s="51" t="n">
        <f aca="false">IF(AND(OR(CF772="L1",CF772="L23",CF772="LIFT"),BC772&gt;0),SUMIFS($BC$7:$BC$1843,$CF$7:$CF$1843,CF772,$BG$7:$BG$1843,"&gt;"&amp;BG772)+SUMIFS($BC$7:$BC$1843,$CF$7:$CF$1843,CF772,$BG$7:$BG$1843,BG772,$BW$7:$BW$1843,"&lt;="&amp;BW772),"")</f>
        <v>28393.3730520892</v>
      </c>
      <c r="BI772" s="58" t="n">
        <f aca="false">IF(BH772="",0,MAX(0,MIN(1,(IF(CF772="L1",Parameter!$H$5,IF(CF772="L23",Parameter!$H$6+Parameter!$H$7,Parameter!$H$5+Parameter!$H$6+Parameter!$H$7))-(BH772-BC772))/BC772)))</f>
        <v>1</v>
      </c>
      <c r="BJ772" s="48" t="str">
        <f aca="false">IF(AI772&lt;=0,"",IF(CF772="Aussen","Aussenlager",IF(CF772="-","Nicht im Lift",IF(AO772&gt;=1,"Lift",IF(AO772&lt;=0,"Aussenlager","teilweise")))))</f>
        <v>Lift</v>
      </c>
      <c r="BK772" s="48" t="str">
        <f aca="false">IF(AS772&lt;=0,"",IF(CF772="Aussen","Aussenlager",IF(CF772="-","Nicht im Lift",IF(AY772&gt;=1,"Lift",IF(AY772&lt;=0,"Aussenlager","teilweise")))))</f>
        <v>Lift</v>
      </c>
      <c r="BL772" s="48" t="str">
        <f aca="false">IF(BC772&lt;=0,"",IF(CF772="Aussen","Aussenlager",IF(CF772="-","Nicht im Lift",IF(BI772&gt;=1,"Lift",IF(BI772&lt;=0,"Aussenlager","teilweise")))))</f>
        <v>Lift</v>
      </c>
      <c r="BM772" s="48" t="str">
        <f aca="false">IF(A772="","",IF(BV772=1,"Neu; ","")&amp;IF(AND(BV772=0,BQ772&lt;0),"negativer Bestand (Export "&amp;BQ772&amp;"); ","")&amp;IF(J772&lt;=0,"Kein Verbrauch; ","")&amp;IF(CQ772&gt;0,"Lift "&amp;W772&amp;" lt. Liftbericht (Fach "&amp;X772&amp;" Stk); ",IF(CA772=1,"Gebinde geschätzt ("&amp;T772&amp;"); ",IF(BZ772=1,"Lose – Tablare geschätzt; ","")))&amp;IF(H772&gt;AV772,"Überbestand "&amp;ROUND(H772-AV772,0)&amp;" Stk / CHF "&amp;ROUND((H772-AV772)*G772,0)&amp;"; ","")&amp;IF(AND(CH772=1,CI772&lt;CJ772),"MAX &lt; MB+LG; ","")&amp;IF(AND(CP772&gt;0,CO772*10&gt;CP772),"zu hoch für Tablar; ","")&amp;IF(AND(BV772=0,OR(CH772=1,AA772&lt;&gt;"",U772&lt;&gt;"",V772&lt;&gt;"",AB772&lt;&gt;"")),"manuell übersteuert; ","")&amp;IF(AND(BZ772=0,R772=0),"Gebinde unbekannt / Stellmass fehlt; ","")&amp;IF(AND(BZ772=0,N(V772)&lt;=0,N(Q772)&lt;=0),"Menge pro Gebinde fehlt (Ist = 1 Gebinde); ","")&amp;BU772)</f>
        <v>negativer Bestand (Export -1); Kein Verbrauch; Gebinde geschätzt (Klein); Überbestand 29 Stk / CHF 36; Menge pro Gebinde fehlt (Ist = 1 Gebinde); Überbestand</v>
      </c>
      <c r="BN772" s="48"/>
      <c r="BO772" s="48"/>
      <c r="BP772" s="55"/>
      <c r="BQ772" s="50" t="n">
        <v>-1</v>
      </c>
      <c r="BR772" s="50" t="n">
        <v>31</v>
      </c>
      <c r="BS772" s="49" t="n">
        <v>-1.25</v>
      </c>
      <c r="BT772" s="50" t="n">
        <v>0</v>
      </c>
      <c r="BU772" s="48" t="s">
        <v>401</v>
      </c>
      <c r="BV772" s="53" t="n">
        <v>0</v>
      </c>
      <c r="BW772" s="53" t="n">
        <v>772</v>
      </c>
      <c r="BX772" s="48" t="str">
        <f aca="false">IF(U772&lt;&gt;"",UPPER(TRIM(U772)),IF(CA772=1,UPPER(VLOOKUP(T772,Parameter!$I$27:$K$29,2,0)),IF(P772="","LOSE",P772)))</f>
        <v>S51</v>
      </c>
      <c r="BY772" s="50" t="n">
        <f aca="false">IF(BX772="LOSE",1,IF(N(V772)&gt;0,V772,IF(CA772=1,MAX(1,N(VLOOKUP(T772,Parameter!$I$27:$K$29,3,0)),H772,N(N772)),IF(N(Q772)&gt;0,Q772,MAX(1,H772)))))</f>
        <v>30</v>
      </c>
      <c r="BZ772" s="53" t="n">
        <f aca="false">IF(BX772="LOSE",1,0)</f>
        <v>0</v>
      </c>
      <c r="CA772" s="53" t="n">
        <f aca="false">IF(AND(U772="",OR(P772="",P772="LOSE"),T772&lt;&gt;"",N(S772)&lt;=0,ISNUMBER(MATCH(T772,Parameter!$I$27:$I$29,0))),1,0)</f>
        <v>1</v>
      </c>
      <c r="CB772" s="53" t="n">
        <f aca="false">IF(CQ772&gt;0,INDEX(Parameter!$H$5:$H$7,W772)/INDEX(Parameter!$E$5:$E$7,W772),IF(AND(BZ772=0,N(IFERROR(VLOOKUP(BX772,'Gebinde-Kategorie'!$A$5:$N$45,14,0),0))&gt;0),VLOOKUP(BX772,'Gebinde-Kategorie'!$A$5:$N$45,14,0)*10+Parameter!$M$23,Parameter!$M$24))</f>
        <v>155</v>
      </c>
      <c r="CC772" s="48" t="str">
        <f aca="false">IF(AND(Parameter!$B$19="Ja",E772&lt;&gt;"",ISNUMBER(MATCH(E772,Parameter!$I$35:$I$52,0))),VLOOKUP(E772,Parameter!$I$35:$J$52,2,0),IFERROR(VLOOKUP(D772,Parameter!$A$35:$C$64,2,0),"Nein"))</f>
        <v>2+3</v>
      </c>
      <c r="CD772" s="52" t="n">
        <f aca="false">IF(BZ772=0,0,IF(N(S772)&gt;0,S772,IFERROR(VLOOKUP(D772,Parameter!$A$35:$C$64,3,0)+0,0)))</f>
        <v>0</v>
      </c>
      <c r="CE772" s="48" t="n">
        <f aca="false">IF(AA772&lt;&gt;"",AA772,Z772)</f>
        <v>3</v>
      </c>
      <c r="CF772" s="48" t="str">
        <f aca="false">IF(OR(CE772=1,CE772=2,CE772=3),IF(Parameter!$E$27="Ja","LIFT",IF(CE772=1,"L1","L23")),IF(CE772="Aussen","Aussen","-"))</f>
        <v>LIFT</v>
      </c>
      <c r="CG772" s="59" t="n">
        <f aca="false">IF(N(AB772)&gt;0,AB772,0)</f>
        <v>0</v>
      </c>
      <c r="CH772" s="53" t="n">
        <f aca="false">IF(ISNUMBER(AE772),1,0)</f>
        <v>0</v>
      </c>
      <c r="CI772" s="50" t="n">
        <f aca="false">N(AE772)</f>
        <v>0</v>
      </c>
      <c r="CJ772" s="50" t="n">
        <f aca="false">N(M772)+N(N772)</f>
        <v>1</v>
      </c>
      <c r="CK772" s="50" t="n">
        <f aca="false">N(M772)</f>
        <v>0</v>
      </c>
      <c r="CL772" s="50" t="n">
        <f aca="false">N(N772)</f>
        <v>1</v>
      </c>
      <c r="CM772" s="50" t="n">
        <f aca="false">ROUNDUP(H772/BY772,0)</f>
        <v>1</v>
      </c>
      <c r="CN772" s="50" t="n">
        <f aca="false">ROUNDUP(CI772/BY772,0)</f>
        <v>0</v>
      </c>
      <c r="CO772" s="53" t="n">
        <f aca="false">IF(BZ772=1,0,IFERROR(VLOOKUP(BX772,'Gebinde-Kategorie'!$A$5:$N$45,5,0)+0,0))</f>
        <v>11</v>
      </c>
      <c r="CP772" s="53" t="n">
        <f aca="false">IFERROR(IF(OR(CE772=1,CE772=2,CE772=3),N(INDEX(Parameter!$I$5:$I$7,CE772)),0),0)</f>
        <v>0</v>
      </c>
      <c r="CQ772" s="52" t="n">
        <f aca="false">IF(AND(Parameter!$B$21="Ja",ISNUMBER(W772),N(X772)&gt;0),IFERROR(N(INDEX(Parameter!$L$5:$L$7,W772))*INDEX(Parameter!$E$5:$E$7,W772)*X772/SUMIFS($X$7:$X$1843,$W$7:$W$1843,W772),0),0)</f>
        <v>0</v>
      </c>
    </row>
    <row r="773" customFormat="false" ht="15" hidden="false" customHeight="false" outlineLevel="0" collapsed="false">
      <c r="A773" s="48" t="s">
        <v>1525</v>
      </c>
      <c r="B773" s="48" t="s">
        <v>477</v>
      </c>
      <c r="C773" s="48" t="s">
        <v>173</v>
      </c>
      <c r="D773" s="48" t="s">
        <v>193</v>
      </c>
      <c r="E773" s="48" t="s">
        <v>194</v>
      </c>
      <c r="F773" s="48" t="s">
        <v>227</v>
      </c>
      <c r="G773" s="49" t="n">
        <v>0.07</v>
      </c>
      <c r="H773" s="50" t="n">
        <f aca="false">MAX(0,IF(AND(Parameter!$B$21="Ja",ISNUMBER(Y773)),Y773,IF(Parameter!$B$20="Jahresanfang 2025 + Export",BR773+BQ773,BQ773)))</f>
        <v>261</v>
      </c>
      <c r="I773" s="50" t="n">
        <f aca="false">H773*G773</f>
        <v>18.27</v>
      </c>
      <c r="J773" s="50" t="n">
        <f aca="false">BT773*Parameter!$B$18</f>
        <v>309</v>
      </c>
      <c r="K773" s="51" t="n">
        <v>226</v>
      </c>
      <c r="L773" s="52" t="n">
        <v>1.36725663716814</v>
      </c>
      <c r="M773" s="50" t="n">
        <v>12</v>
      </c>
      <c r="N773" s="50" t="n">
        <v>310</v>
      </c>
      <c r="O773" s="53" t="n">
        <v>14</v>
      </c>
      <c r="P773" s="48" t="s">
        <v>410</v>
      </c>
      <c r="Q773" s="50" t="n">
        <v>367</v>
      </c>
      <c r="R773" s="53" t="n">
        <f aca="false">IF(BZ773=1,0,IFERROR(VLOOKUP(BX773,'Gebinde-Kategorie'!$A$5:$N$45,13,0)+0,0))</f>
        <v>280</v>
      </c>
      <c r="S773" s="54"/>
      <c r="T773" s="55"/>
      <c r="U773" s="55"/>
      <c r="V773" s="55"/>
      <c r="W773" s="48"/>
      <c r="X773" s="50"/>
      <c r="Y773" s="50"/>
      <c r="Z773" s="48" t="n">
        <f aca="false">IF(A773="","",IF(AND(Parameter!$B$21="Ja",ISNUMBER(W773)),W773,IF(CC773="2+3",IF(ISNUMBER(SEARCH("grosser Artikel",BU773)),2,IFERROR(VLOOKUP(BX773,Parameter!$F$35:$G$64,2,0),2)),IF(OR(CC773="Nein",CC773=""),"-",CC773))))</f>
        <v>3</v>
      </c>
      <c r="AA773" s="55"/>
      <c r="AB773" s="56"/>
      <c r="AC773" s="50" t="n">
        <f aca="false">AV773</f>
        <v>322</v>
      </c>
      <c r="AD773" s="50" t="n">
        <f aca="false">MAX(AV773,H773)</f>
        <v>322</v>
      </c>
      <c r="AE773" s="57"/>
      <c r="AF773" s="50" t="n">
        <f aca="false">IF(LEFT(Cockpit!$C$5,1)="A",H773,IF(Parameter!$E$30="MAX-Bestand",IF(CH773=1,CI773,IF(LEFT(Cockpit!$C$5,1)="B",AL773,MAX(AL773,H773))),ROUNDUP(AJ773,0)))</f>
        <v>261</v>
      </c>
      <c r="AG773" s="50" t="n">
        <f aca="false">IF(BZ773=1,0,ROUNDUP(AF773/BY773,0))</f>
        <v>1</v>
      </c>
      <c r="AH773" s="52" t="n">
        <f aca="false">IF(CQ773&gt;0,CQ773*MAX(1,AF773/X773),IF(BZ773=1,IF(AF773&lt;=0,0,CD773*MAX(1,IF(H773&gt;0,AF773/H773,1))),IF(R773&gt;0,AG773/R773,0))/MAX(0.1,N(Parameter!$M$21)))</f>
        <v>0.00357142857142857</v>
      </c>
      <c r="AI773" s="50" t="n">
        <f aca="false">AH773*CB773</f>
        <v>0.553571428571429</v>
      </c>
      <c r="AJ773" s="51" t="n">
        <f aca="false">IF(LEFT(Cockpit!$C$5,1)="A",H773,IF(CH773=1,(CK773+CI773)/2,IF(LEFT(Cockpit!$C$5,1)="B",(CK773+AL773)/2,MAX((CK773+AL773)/2,H773))))</f>
        <v>261</v>
      </c>
      <c r="AK773" s="50" t="n">
        <f aca="false">AJ773*G773</f>
        <v>18.27</v>
      </c>
      <c r="AL773" s="50" t="n">
        <f aca="false">ROUNDUP(CK773+MAX(CL773,2*(J773/IF(CG773&gt;0,CG773,MAX(0.1,N(Cockpit!$C$6)))-CK773)),0)</f>
        <v>322</v>
      </c>
      <c r="AM773" s="51" t="n">
        <f aca="false">IF(AI773&gt;0,J773/AI773,-1)</f>
        <v>558.193548387097</v>
      </c>
      <c r="AN773" s="51" t="n">
        <f aca="false">IF(AND(OR(CF773="L1",CF773="L23",CF773="LIFT"),AI773&gt;0),SUMIFS($AI$7:$AI$1843,$CF$7:$CF$1843,CF773,$AM$7:$AM$1843,"&gt;"&amp;AM773)+SUMIFS($AI$7:$AI$1843,$CF$7:$CF$1843,CF773,$AM$7:$AM$1843,AM773,$BW$7:$BW$1843,"&lt;="&amp;BW773),"")</f>
        <v>52.2184065934066</v>
      </c>
      <c r="AO773" s="58" t="n">
        <f aca="false">IF(AN773="",0,MAX(0,MIN(1,(IF(CF773="L1",Parameter!$H$5,IF(CF773="L23",Parameter!$H$6+Parameter!$H$7,Parameter!$H$5+Parameter!$H$6+Parameter!$H$7))-(AN773-AI773))/AI773)))</f>
        <v>1</v>
      </c>
      <c r="AP773" s="50" t="n">
        <f aca="false">IF(LEFT(Cockpit!$I$5,1)="A",H773,IF(Parameter!$E$30="MAX-Bestand",IF(CH773=1,CI773,IF(LEFT(Cockpit!$I$5,1)="B",AV773,MAX(AV773,H773))),ROUNDUP(AT773,0)))</f>
        <v>261</v>
      </c>
      <c r="AQ773" s="50" t="n">
        <f aca="false">IF(BZ773=1,0,ROUNDUP(AP773/BY773,0))</f>
        <v>1</v>
      </c>
      <c r="AR773" s="52" t="n">
        <f aca="false">IF(CQ773&gt;0,CQ773*MAX(1,AP773/X773),IF(BZ773=1,IF(AP773&lt;=0,0,CD773*MAX(1,IF(H773&gt;0,AP773/H773,1))),IF(R773&gt;0,AQ773/R773,0))/MAX(0.1,N(Parameter!$M$21)))</f>
        <v>0.00357142857142857</v>
      </c>
      <c r="AS773" s="50" t="n">
        <f aca="false">AR773*CB773</f>
        <v>0.553571428571429</v>
      </c>
      <c r="AT773" s="51" t="n">
        <f aca="false">IF(LEFT(Cockpit!$I$5,1)="A",H773,IF(CH773=1,(CK773+CI773)/2,IF(LEFT(Cockpit!$I$5,1)="B",(CK773+AV773)/2,MAX((CK773+AV773)/2,H773))))</f>
        <v>261</v>
      </c>
      <c r="AU773" s="50" t="n">
        <f aca="false">AT773*G773</f>
        <v>18.27</v>
      </c>
      <c r="AV773" s="50" t="n">
        <f aca="false">ROUNDUP(CK773+MAX(CL773,2*(J773/IF(CG773&gt;0,CG773,MAX(0.1,N(Cockpit!$I$6)))-CK773)),0)</f>
        <v>322</v>
      </c>
      <c r="AW773" s="51" t="n">
        <f aca="false">IF(AS773&gt;0,J773/AS773,-1)</f>
        <v>558.193548387097</v>
      </c>
      <c r="AX773" s="51" t="n">
        <f aca="false">IF(AND(OR(CF773="L1",CF773="L23",CF773="LIFT"),AS773&gt;0),SUMIFS($AS$7:$AS$1843,$CF$7:$CF$1843,CF773,$AW$7:$AW$1843,"&gt;"&amp;AW773)+SUMIFS($AS$7:$AS$1843,$CF$7:$CF$1843,CF773,$AW$7:$AW$1843,AW773,$BW$7:$BW$1843,"&lt;="&amp;BW773),"")</f>
        <v>45.2225274725275</v>
      </c>
      <c r="AY773" s="58" t="n">
        <f aca="false">IF(AX773="",0,MAX(0,MIN(1,(IF(CF773="L1",Parameter!$H$5,IF(CF773="L23",Parameter!$H$6+Parameter!$H$7,Parameter!$H$5+Parameter!$H$6+Parameter!$H$7))-(AX773-AS773))/AS773)))</f>
        <v>1</v>
      </c>
      <c r="AZ773" s="50" t="n">
        <f aca="false">IF(LEFT(Cockpit!$O$5,1)="A",H773,IF(Parameter!$E$30="MAX-Bestand",IF(CH773=1,CI773,IF(LEFT(Cockpit!$O$5,1)="B",BF773,MAX(BF773,H773))),ROUNDUP(BD773,0)))</f>
        <v>167</v>
      </c>
      <c r="BA773" s="50" t="n">
        <f aca="false">IF(BZ773=1,0,ROUNDUP(AZ773/BY773,0))</f>
        <v>1</v>
      </c>
      <c r="BB773" s="52" t="n">
        <f aca="false">IF(CQ773&gt;0,CQ773*MAX(1,AZ773/X773),IF(BZ773=1,IF(AZ773&lt;=0,0,CD773*MAX(1,IF(H773&gt;0,AZ773/H773,1))),IF(R773&gt;0,BA773/R773,0))/MAX(0.1,N(Parameter!$M$21)))</f>
        <v>0.00357142857142857</v>
      </c>
      <c r="BC773" s="50" t="n">
        <f aca="false">BB773*CB773</f>
        <v>0.553571428571429</v>
      </c>
      <c r="BD773" s="51" t="n">
        <f aca="false">IF(LEFT(Cockpit!$O$5,1)="A",H773,IF(CH773=1,(CK773+CI773)/2,IF(LEFT(Cockpit!$O$5,1)="B",(CK773+BF773)/2,MAX((CK773+BF773)/2,H773))))</f>
        <v>167</v>
      </c>
      <c r="BE773" s="50" t="n">
        <f aca="false">BD773*G773</f>
        <v>11.69</v>
      </c>
      <c r="BF773" s="50" t="n">
        <f aca="false">ROUNDUP(CK773+MAX(CL773,2*(J773/IF(CG773&gt;0,CG773,MAX(0.1,N(Cockpit!$O$6)))-CK773)),0)</f>
        <v>322</v>
      </c>
      <c r="BG773" s="51" t="n">
        <f aca="false">IF(BC773&gt;0,J773/BC773,-1)</f>
        <v>558.193548387097</v>
      </c>
      <c r="BH773" s="51" t="n">
        <f aca="false">IF(AND(OR(CF773="L1",CF773="L23",CF773="LIFT"),BC773&gt;0),SUMIFS($BC$7:$BC$1843,$CF$7:$CF$1843,CF773,$BG$7:$BG$1843,"&gt;"&amp;BG773)+SUMIFS($BC$7:$BC$1843,$CF$7:$CF$1843,CF773,$BG$7:$BG$1843,BG773,$BW$7:$BW$1843,"&lt;="&amp;BW773),"")</f>
        <v>65.8649267399267</v>
      </c>
      <c r="BI773" s="58" t="n">
        <f aca="false">IF(BH773="",0,MAX(0,MIN(1,(IF(CF773="L1",Parameter!$H$5,IF(CF773="L23",Parameter!$H$6+Parameter!$H$7,Parameter!$H$5+Parameter!$H$6+Parameter!$H$7))-(BH773-BC773))/BC773)))</f>
        <v>1</v>
      </c>
      <c r="BJ773" s="48" t="str">
        <f aca="false">IF(AI773&lt;=0,"",IF(CF773="Aussen","Aussenlager",IF(CF773="-","Nicht im Lift",IF(AO773&gt;=1,"Lift",IF(AO773&lt;=0,"Aussenlager","teilweise")))))</f>
        <v>Lift</v>
      </c>
      <c r="BK773" s="48" t="str">
        <f aca="false">IF(AS773&lt;=0,"",IF(CF773="Aussen","Aussenlager",IF(CF773="-","Nicht im Lift",IF(AY773&gt;=1,"Lift",IF(AY773&lt;=0,"Aussenlager","teilweise")))))</f>
        <v>Lift</v>
      </c>
      <c r="BL773" s="48" t="str">
        <f aca="false">IF(BC773&lt;=0,"",IF(CF773="Aussen","Aussenlager",IF(CF773="-","Nicht im Lift",IF(BI773&gt;=1,"Lift",IF(BI773&lt;=0,"Aussenlager","teilweise")))))</f>
        <v>Lift</v>
      </c>
      <c r="BM773" s="48" t="str">
        <f aca="false">IF(A773="","",IF(BV773=1,"Neu; ","")&amp;IF(AND(BV773=0,BQ773&lt;0),"negativer Bestand (Export "&amp;BQ773&amp;"); ","")&amp;IF(J773&lt;=0,"Kein Verbrauch; ","")&amp;IF(CQ773&gt;0,"Lift "&amp;W773&amp;" lt. Liftbericht (Fach "&amp;X773&amp;" Stk); ",IF(CA773=1,"Gebinde geschätzt ("&amp;T773&amp;"); ",IF(BZ773=1,"Lose – Tablare geschätzt; ","")))&amp;IF(H773&gt;AV773,"Überbestand "&amp;ROUND(H773-AV773,0)&amp;" Stk / CHF "&amp;ROUND((H773-AV773)*G773,0)&amp;"; ","")&amp;IF(AND(CH773=1,CI773&lt;CJ773),"MAX &lt; MB+LG; ","")&amp;IF(AND(CP773&gt;0,CO773*10&gt;CP773),"zu hoch für Tablar; ","")&amp;IF(AND(BV773=0,OR(CH773=1,AA773&lt;&gt;"",U773&lt;&gt;"",V773&lt;&gt;"",AB773&lt;&gt;"")),"manuell übersteuert; ","")&amp;IF(AND(BZ773=0,R773=0),"Gebinde unbekannt / Stellmass fehlt; ","")&amp;IF(AND(BZ773=0,N(V773)&lt;=0,N(Q773)&lt;=0),"Menge pro Gebinde fehlt (Ist = 1 Gebinde); ","")&amp;BU773)</f>
        <v>negativer Bestand (Export -18); </v>
      </c>
      <c r="BN773" s="48"/>
      <c r="BO773" s="48"/>
      <c r="BP773" s="55"/>
      <c r="BQ773" s="50" t="n">
        <v>-18</v>
      </c>
      <c r="BR773" s="50" t="n">
        <v>279</v>
      </c>
      <c r="BS773" s="49" t="n">
        <v>-1.26</v>
      </c>
      <c r="BT773" s="50" t="n">
        <v>309</v>
      </c>
      <c r="BU773" s="48"/>
      <c r="BV773" s="53" t="n">
        <v>0</v>
      </c>
      <c r="BW773" s="53" t="n">
        <v>773</v>
      </c>
      <c r="BX773" s="48" t="str">
        <f aca="false">IF(U773&lt;&gt;"",UPPER(TRIM(U773)),IF(CA773=1,UPPER(VLOOKUP(T773,Parameter!$I$27:$K$29,2,0)),IF(P773="","LOSE",P773)))</f>
        <v>S21</v>
      </c>
      <c r="BY773" s="50" t="n">
        <f aca="false">IF(BX773="LOSE",1,IF(N(V773)&gt;0,V773,IF(CA773=1,MAX(1,N(VLOOKUP(T773,Parameter!$I$27:$K$29,3,0)),H773,N(N773)),IF(N(Q773)&gt;0,Q773,MAX(1,H773)))))</f>
        <v>367</v>
      </c>
      <c r="BZ773" s="53" t="n">
        <f aca="false">IF(BX773="LOSE",1,0)</f>
        <v>0</v>
      </c>
      <c r="CA773" s="53" t="n">
        <f aca="false">IF(AND(U773="",OR(P773="",P773="LOSE"),T773&lt;&gt;"",N(S773)&lt;=0,ISNUMBER(MATCH(T773,Parameter!$I$27:$I$29,0))),1,0)</f>
        <v>0</v>
      </c>
      <c r="CB773" s="53" t="n">
        <f aca="false">IF(CQ773&gt;0,INDEX(Parameter!$H$5:$H$7,W773)/INDEX(Parameter!$E$5:$E$7,W773),IF(AND(BZ773=0,N(IFERROR(VLOOKUP(BX773,'Gebinde-Kategorie'!$A$5:$N$45,14,0),0))&gt;0),VLOOKUP(BX773,'Gebinde-Kategorie'!$A$5:$N$45,14,0)*10+Parameter!$M$23,Parameter!$M$24))</f>
        <v>155</v>
      </c>
      <c r="CC773" s="48" t="str">
        <f aca="false">IF(AND(Parameter!$B$19="Ja",E773&lt;&gt;"",ISNUMBER(MATCH(E773,Parameter!$I$35:$I$52,0))),VLOOKUP(E773,Parameter!$I$35:$J$52,2,0),IFERROR(VLOOKUP(D773,Parameter!$A$35:$C$64,2,0),"Nein"))</f>
        <v>2+3</v>
      </c>
      <c r="CD773" s="52" t="n">
        <f aca="false">IF(BZ773=0,0,IF(N(S773)&gt;0,S773,IFERROR(VLOOKUP(D773,Parameter!$A$35:$C$64,3,0)+0,0)))</f>
        <v>0</v>
      </c>
      <c r="CE773" s="48" t="n">
        <f aca="false">IF(AA773&lt;&gt;"",AA773,Z773)</f>
        <v>3</v>
      </c>
      <c r="CF773" s="48" t="str">
        <f aca="false">IF(OR(CE773=1,CE773=2,CE773=3),IF(Parameter!$E$27="Ja","LIFT",IF(CE773=1,"L1","L23")),IF(CE773="Aussen","Aussen","-"))</f>
        <v>LIFT</v>
      </c>
      <c r="CG773" s="59" t="n">
        <f aca="false">IF(N(AB773)&gt;0,AB773,0)</f>
        <v>0</v>
      </c>
      <c r="CH773" s="53" t="n">
        <f aca="false">IF(ISNUMBER(AE773),1,0)</f>
        <v>0</v>
      </c>
      <c r="CI773" s="50" t="n">
        <f aca="false">N(AE773)</f>
        <v>0</v>
      </c>
      <c r="CJ773" s="50" t="n">
        <f aca="false">N(M773)+N(N773)</f>
        <v>322</v>
      </c>
      <c r="CK773" s="50" t="n">
        <f aca="false">N(M773)</f>
        <v>12</v>
      </c>
      <c r="CL773" s="50" t="n">
        <f aca="false">N(N773)</f>
        <v>310</v>
      </c>
      <c r="CM773" s="50" t="n">
        <f aca="false">ROUNDUP(H773/BY773,0)</f>
        <v>1</v>
      </c>
      <c r="CN773" s="50" t="n">
        <f aca="false">ROUNDUP(CI773/BY773,0)</f>
        <v>0</v>
      </c>
      <c r="CO773" s="53" t="n">
        <f aca="false">IF(BZ773=1,0,IFERROR(VLOOKUP(BX773,'Gebinde-Kategorie'!$A$5:$N$45,5,0)+0,0))</f>
        <v>8</v>
      </c>
      <c r="CP773" s="53" t="n">
        <f aca="false">IFERROR(IF(OR(CE773=1,CE773=2,CE773=3),N(INDEX(Parameter!$I$5:$I$7,CE773)),0),0)</f>
        <v>0</v>
      </c>
      <c r="CQ773" s="52" t="n">
        <f aca="false">IF(AND(Parameter!$B$21="Ja",ISNUMBER(W773),N(X773)&gt;0),IFERROR(N(INDEX(Parameter!$L$5:$L$7,W773))*INDEX(Parameter!$E$5:$E$7,W773)*X773/SUMIFS($X$7:$X$1843,$W$7:$W$1843,W773),0),0)</f>
        <v>0</v>
      </c>
    </row>
    <row r="774" customFormat="false" ht="15" hidden="false" customHeight="false" outlineLevel="0" collapsed="false">
      <c r="A774" s="48" t="s">
        <v>1526</v>
      </c>
      <c r="B774" s="48" t="s">
        <v>663</v>
      </c>
      <c r="C774" s="48" t="s">
        <v>173</v>
      </c>
      <c r="D774" s="48" t="s">
        <v>193</v>
      </c>
      <c r="E774" s="48"/>
      <c r="F774" s="48" t="s">
        <v>227</v>
      </c>
      <c r="G774" s="49" t="n">
        <v>0.06</v>
      </c>
      <c r="H774" s="50" t="n">
        <f aca="false">MAX(0,IF(AND(Parameter!$B$21="Ja",ISNUMBER(Y774)),Y774,IF(Parameter!$B$20="Jahresanfang 2025 + Export",BR774+BQ774,BQ774)))</f>
        <v>12</v>
      </c>
      <c r="I774" s="50" t="n">
        <f aca="false">H774*G774</f>
        <v>0.72</v>
      </c>
      <c r="J774" s="50" t="n">
        <f aca="false">BT774*Parameter!$B$18</f>
        <v>0</v>
      </c>
      <c r="K774" s="51" t="n">
        <v>24</v>
      </c>
      <c r="L774" s="52" t="n">
        <v>0</v>
      </c>
      <c r="M774" s="50" t="n">
        <v>0</v>
      </c>
      <c r="N774" s="50" t="n">
        <v>1</v>
      </c>
      <c r="O774" s="53" t="n">
        <v>21</v>
      </c>
      <c r="P774" s="48" t="s">
        <v>177</v>
      </c>
      <c r="Q774" s="50"/>
      <c r="R774" s="53" t="n">
        <f aca="false">IF(BZ774=1,0,IFERROR(VLOOKUP(BX774,'Gebinde-Kategorie'!$A$5:$N$45,13,0)+0,0))</f>
        <v>26</v>
      </c>
      <c r="S774" s="54"/>
      <c r="T774" s="55" t="s">
        <v>284</v>
      </c>
      <c r="U774" s="55"/>
      <c r="V774" s="55"/>
      <c r="W774" s="48"/>
      <c r="X774" s="50"/>
      <c r="Y774" s="50"/>
      <c r="Z774" s="48" t="n">
        <f aca="false">IF(A774="","",IF(AND(Parameter!$B$21="Ja",ISNUMBER(W774)),W774,IF(CC774="2+3",IF(ISNUMBER(SEARCH("grosser Artikel",BU774)),2,IFERROR(VLOOKUP(BX774,Parameter!$F$35:$G$64,2,0),2)),IF(OR(CC774="Nein",CC774=""),"-",CC774))))</f>
        <v>3</v>
      </c>
      <c r="AA774" s="55"/>
      <c r="AB774" s="56"/>
      <c r="AC774" s="50" t="n">
        <f aca="false">AV774</f>
        <v>1</v>
      </c>
      <c r="AD774" s="50" t="n">
        <f aca="false">MAX(AV774,H774)</f>
        <v>12</v>
      </c>
      <c r="AE774" s="57"/>
      <c r="AF774" s="50" t="n">
        <f aca="false">IF(LEFT(Cockpit!$C$5,1)="A",H774,IF(Parameter!$E$30="MAX-Bestand",IF(CH774=1,CI774,IF(LEFT(Cockpit!$C$5,1)="B",AL774,MAX(AL774,H774))),ROUNDUP(AJ774,0)))</f>
        <v>12</v>
      </c>
      <c r="AG774" s="50" t="n">
        <f aca="false">IF(BZ774=1,0,ROUNDUP(AF774/BY774,0))</f>
        <v>1</v>
      </c>
      <c r="AH774" s="52" t="n">
        <f aca="false">IF(CQ774&gt;0,CQ774*MAX(1,AF774/X774),IF(BZ774=1,IF(AF774&lt;=0,0,CD774*MAX(1,IF(H774&gt;0,AF774/H774,1))),IF(R774&gt;0,AG774/R774,0))/MAX(0.1,N(Parameter!$M$21)))</f>
        <v>0.0384615384615385</v>
      </c>
      <c r="AI774" s="50" t="n">
        <f aca="false">AH774*CB774</f>
        <v>5.96153846153846</v>
      </c>
      <c r="AJ774" s="51" t="n">
        <f aca="false">IF(LEFT(Cockpit!$C$5,1)="A",H774,IF(CH774=1,(CK774+CI774)/2,IF(LEFT(Cockpit!$C$5,1)="B",(CK774+AL774)/2,MAX((CK774+AL774)/2,H774))))</f>
        <v>12</v>
      </c>
      <c r="AK774" s="50" t="n">
        <f aca="false">AJ774*G774</f>
        <v>0.72</v>
      </c>
      <c r="AL774" s="50" t="n">
        <f aca="false">ROUNDUP(CK774+MAX(CL774,2*(J774/IF(CG774&gt;0,CG774,MAX(0.1,N(Cockpit!$C$6)))-CK774)),0)</f>
        <v>1</v>
      </c>
      <c r="AM774" s="51" t="n">
        <f aca="false">IF(AI774&gt;0,J774/AI774,-1)</f>
        <v>0</v>
      </c>
      <c r="AN774" s="51" t="n">
        <f aca="false">IF(AND(OR(CF774="L1",CF774="L23",CF774="LIFT"),AI774&gt;0),SUMIFS($AI$7:$AI$1843,$CF$7:$CF$1843,CF774,$AM$7:$AM$1843,"&gt;"&amp;AM774)+SUMIFS($AI$7:$AI$1843,$CF$7:$CF$1843,CF774,$AM$7:$AM$1843,AM774,$BW$7:$BW$1843,"&lt;="&amp;BW774),"")</f>
        <v>28750.6814868277</v>
      </c>
      <c r="AO774" s="58" t="n">
        <f aca="false">IF(AN774="",0,MAX(0,MIN(1,(IF(CF774="L1",Parameter!$H$5,IF(CF774="L23",Parameter!$H$6+Parameter!$H$7,Parameter!$H$5+Parameter!$H$6+Parameter!$H$7))-(AN774-AI774))/AI774)))</f>
        <v>1</v>
      </c>
      <c r="AP774" s="50" t="n">
        <f aca="false">IF(LEFT(Cockpit!$I$5,1)="A",H774,IF(Parameter!$E$30="MAX-Bestand",IF(CH774=1,CI774,IF(LEFT(Cockpit!$I$5,1)="B",AV774,MAX(AV774,H774))),ROUNDUP(AT774,0)))</f>
        <v>12</v>
      </c>
      <c r="AQ774" s="50" t="n">
        <f aca="false">IF(BZ774=1,0,ROUNDUP(AP774/BY774,0))</f>
        <v>1</v>
      </c>
      <c r="AR774" s="52" t="n">
        <f aca="false">IF(CQ774&gt;0,CQ774*MAX(1,AP774/X774),IF(BZ774=1,IF(AP774&lt;=0,0,CD774*MAX(1,IF(H774&gt;0,AP774/H774,1))),IF(R774&gt;0,AQ774/R774,0))/MAX(0.1,N(Parameter!$M$21)))</f>
        <v>0.0384615384615385</v>
      </c>
      <c r="AS774" s="50" t="n">
        <f aca="false">AR774*CB774</f>
        <v>5.96153846153846</v>
      </c>
      <c r="AT774" s="51" t="n">
        <f aca="false">IF(LEFT(Cockpit!$I$5,1)="A",H774,IF(CH774=1,(CK774+CI774)/2,IF(LEFT(Cockpit!$I$5,1)="B",(CK774+AV774)/2,MAX((CK774+AV774)/2,H774))))</f>
        <v>12</v>
      </c>
      <c r="AU774" s="50" t="n">
        <f aca="false">AT774*G774</f>
        <v>0.72</v>
      </c>
      <c r="AV774" s="50" t="n">
        <f aca="false">ROUNDUP(CK774+MAX(CL774,2*(J774/IF(CG774&gt;0,CG774,MAX(0.1,N(Cockpit!$I$6)))-CK774)),0)</f>
        <v>1</v>
      </c>
      <c r="AW774" s="51" t="n">
        <f aca="false">IF(AS774&gt;0,J774/AS774,-1)</f>
        <v>0</v>
      </c>
      <c r="AX774" s="51" t="n">
        <f aca="false">IF(AND(OR(CF774="L1",CF774="L23",CF774="LIFT"),AS774&gt;0),SUMIFS($AS$7:$AS$1843,$CF$7:$CF$1843,CF774,$AW$7:$AW$1843,"&gt;"&amp;AW774)+SUMIFS($AS$7:$AS$1843,$CF$7:$CF$1843,CF774,$AW$7:$AW$1843,AW774,$BW$7:$BW$1843,"&lt;="&amp;BW774),"")</f>
        <v>34355.4647435897</v>
      </c>
      <c r="AY774" s="58" t="n">
        <f aca="false">IF(AX774="",0,MAX(0,MIN(1,(IF(CF774="L1",Parameter!$H$5,IF(CF774="L23",Parameter!$H$6+Parameter!$H$7,Parameter!$H$5+Parameter!$H$6+Parameter!$H$7))-(AX774-AS774))/AS774)))</f>
        <v>1</v>
      </c>
      <c r="AZ774" s="50" t="n">
        <f aca="false">IF(LEFT(Cockpit!$O$5,1)="A",H774,IF(Parameter!$E$30="MAX-Bestand",IF(CH774=1,CI774,IF(LEFT(Cockpit!$O$5,1)="B",BF774,MAX(BF774,H774))),ROUNDUP(BD774,0)))</f>
        <v>1</v>
      </c>
      <c r="BA774" s="50" t="n">
        <f aca="false">IF(BZ774=1,0,ROUNDUP(AZ774/BY774,0))</f>
        <v>1</v>
      </c>
      <c r="BB774" s="52" t="n">
        <f aca="false">IF(CQ774&gt;0,CQ774*MAX(1,AZ774/X774),IF(BZ774=1,IF(AZ774&lt;=0,0,CD774*MAX(1,IF(H774&gt;0,AZ774/H774,1))),IF(R774&gt;0,BA774/R774,0))/MAX(0.1,N(Parameter!$M$21)))</f>
        <v>0.0384615384615385</v>
      </c>
      <c r="BC774" s="50" t="n">
        <f aca="false">BB774*CB774</f>
        <v>5.96153846153846</v>
      </c>
      <c r="BD774" s="51" t="n">
        <f aca="false">IF(LEFT(Cockpit!$O$5,1)="A",H774,IF(CH774=1,(CK774+CI774)/2,IF(LEFT(Cockpit!$O$5,1)="B",(CK774+BF774)/2,MAX((CK774+BF774)/2,H774))))</f>
        <v>0.5</v>
      </c>
      <c r="BE774" s="50" t="n">
        <f aca="false">BD774*G774</f>
        <v>0.03</v>
      </c>
      <c r="BF774" s="50" t="n">
        <f aca="false">ROUNDUP(CK774+MAX(CL774,2*(J774/IF(CG774&gt;0,CG774,MAX(0.1,N(Cockpit!$O$6)))-CK774)),0)</f>
        <v>1</v>
      </c>
      <c r="BG774" s="51" t="n">
        <f aca="false">IF(BC774&gt;0,J774/BC774,-1)</f>
        <v>0</v>
      </c>
      <c r="BH774" s="51" t="n">
        <f aca="false">IF(AND(OR(CF774="L1",CF774="L23",CF774="LIFT"),BC774&gt;0),SUMIFS($BC$7:$BC$1843,$CF$7:$CF$1843,CF774,$BG$7:$BG$1843,"&gt;"&amp;BG774)+SUMIFS($BC$7:$BC$1843,$CF$7:$CF$1843,CF774,$BG$7:$BG$1843,BG774,$BW$7:$BW$1843,"&lt;="&amp;BW774),"")</f>
        <v>28399.3345905507</v>
      </c>
      <c r="BI774" s="58" t="n">
        <f aca="false">IF(BH774="",0,MAX(0,MIN(1,(IF(CF774="L1",Parameter!$H$5,IF(CF774="L23",Parameter!$H$6+Parameter!$H$7,Parameter!$H$5+Parameter!$H$6+Parameter!$H$7))-(BH774-BC774))/BC774)))</f>
        <v>1</v>
      </c>
      <c r="BJ774" s="48" t="str">
        <f aca="false">IF(AI774&lt;=0,"",IF(CF774="Aussen","Aussenlager",IF(CF774="-","Nicht im Lift",IF(AO774&gt;=1,"Lift",IF(AO774&lt;=0,"Aussenlager","teilweise")))))</f>
        <v>Lift</v>
      </c>
      <c r="BK774" s="48" t="str">
        <f aca="false">IF(AS774&lt;=0,"",IF(CF774="Aussen","Aussenlager",IF(CF774="-","Nicht im Lift",IF(AY774&gt;=1,"Lift",IF(AY774&lt;=0,"Aussenlager","teilweise")))))</f>
        <v>Lift</v>
      </c>
      <c r="BL774" s="48" t="str">
        <f aca="false">IF(BC774&lt;=0,"",IF(CF774="Aussen","Aussenlager",IF(CF774="-","Nicht im Lift",IF(BI774&gt;=1,"Lift",IF(BI774&lt;=0,"Aussenlager","teilweise")))))</f>
        <v>Lift</v>
      </c>
      <c r="BM774" s="48" t="str">
        <f aca="false">IF(A774="","",IF(BV774=1,"Neu; ","")&amp;IF(AND(BV774=0,BQ774&lt;0),"negativer Bestand (Export "&amp;BQ774&amp;"); ","")&amp;IF(J774&lt;=0,"Kein Verbrauch; ","")&amp;IF(CQ774&gt;0,"Lift "&amp;W774&amp;" lt. Liftbericht (Fach "&amp;X774&amp;" Stk); ",IF(CA774=1,"Gebinde geschätzt ("&amp;T774&amp;"); ",IF(BZ774=1,"Lose – Tablare geschätzt; ","")))&amp;IF(H774&gt;AV774,"Überbestand "&amp;ROUND(H774-AV774,0)&amp;" Stk / CHF "&amp;ROUND((H774-AV774)*G774,0)&amp;"; ","")&amp;IF(AND(CH774=1,CI774&lt;CJ774),"MAX &lt; MB+LG; ","")&amp;IF(AND(CP774&gt;0,CO774*10&gt;CP774),"zu hoch für Tablar; ","")&amp;IF(AND(BV774=0,OR(CH774=1,AA774&lt;&gt;"",U774&lt;&gt;"",V774&lt;&gt;"",AB774&lt;&gt;"")),"manuell übersteuert; ","")&amp;IF(AND(BZ774=0,R774=0),"Gebinde unbekannt / Stellmass fehlt; ","")&amp;IF(AND(BZ774=0,N(V774)&lt;=0,N(Q774)&lt;=0),"Menge pro Gebinde fehlt (Ist = 1 Gebinde); ","")&amp;BU774)</f>
        <v>negativer Bestand (Export -24); Kein Verbrauch; Gebinde geschätzt (Klein); Überbestand 11 Stk / CHF 1; Menge pro Gebinde fehlt (Ist = 1 Gebinde); </v>
      </c>
      <c r="BN774" s="48"/>
      <c r="BO774" s="48"/>
      <c r="BP774" s="55"/>
      <c r="BQ774" s="50" t="n">
        <v>-24</v>
      </c>
      <c r="BR774" s="50" t="n">
        <v>36</v>
      </c>
      <c r="BS774" s="49" t="n">
        <v>-1.44</v>
      </c>
      <c r="BT774" s="50" t="n">
        <v>0</v>
      </c>
      <c r="BU774" s="48"/>
      <c r="BV774" s="53" t="n">
        <v>0</v>
      </c>
      <c r="BW774" s="53" t="n">
        <v>774</v>
      </c>
      <c r="BX774" s="48" t="str">
        <f aca="false">IF(U774&lt;&gt;"",UPPER(TRIM(U774)),IF(CA774=1,UPPER(VLOOKUP(T774,Parameter!$I$27:$K$29,2,0)),IF(P774="","LOSE",P774)))</f>
        <v>S51</v>
      </c>
      <c r="BY774" s="50" t="n">
        <f aca="false">IF(BX774="LOSE",1,IF(N(V774)&gt;0,V774,IF(CA774=1,MAX(1,N(VLOOKUP(T774,Parameter!$I$27:$K$29,3,0)),H774,N(N774)),IF(N(Q774)&gt;0,Q774,MAX(1,H774)))))</f>
        <v>20</v>
      </c>
      <c r="BZ774" s="53" t="n">
        <f aca="false">IF(BX774="LOSE",1,0)</f>
        <v>0</v>
      </c>
      <c r="CA774" s="53" t="n">
        <f aca="false">IF(AND(U774="",OR(P774="",P774="LOSE"),T774&lt;&gt;"",N(S774)&lt;=0,ISNUMBER(MATCH(T774,Parameter!$I$27:$I$29,0))),1,0)</f>
        <v>1</v>
      </c>
      <c r="CB774" s="53" t="n">
        <f aca="false">IF(CQ774&gt;0,INDEX(Parameter!$H$5:$H$7,W774)/INDEX(Parameter!$E$5:$E$7,W774),IF(AND(BZ774=0,N(IFERROR(VLOOKUP(BX774,'Gebinde-Kategorie'!$A$5:$N$45,14,0),0))&gt;0),VLOOKUP(BX774,'Gebinde-Kategorie'!$A$5:$N$45,14,0)*10+Parameter!$M$23,Parameter!$M$24))</f>
        <v>155</v>
      </c>
      <c r="CC774" s="48" t="str">
        <f aca="false">IF(AND(Parameter!$B$19="Ja",E774&lt;&gt;"",ISNUMBER(MATCH(E774,Parameter!$I$35:$I$52,0))),VLOOKUP(E774,Parameter!$I$35:$J$52,2,0),IFERROR(VLOOKUP(D774,Parameter!$A$35:$C$64,2,0),"Nein"))</f>
        <v>2+3</v>
      </c>
      <c r="CD774" s="52" t="n">
        <f aca="false">IF(BZ774=0,0,IF(N(S774)&gt;0,S774,IFERROR(VLOOKUP(D774,Parameter!$A$35:$C$64,3,0)+0,0)))</f>
        <v>0</v>
      </c>
      <c r="CE774" s="48" t="n">
        <f aca="false">IF(AA774&lt;&gt;"",AA774,Z774)</f>
        <v>3</v>
      </c>
      <c r="CF774" s="48" t="str">
        <f aca="false">IF(OR(CE774=1,CE774=2,CE774=3),IF(Parameter!$E$27="Ja","LIFT",IF(CE774=1,"L1","L23")),IF(CE774="Aussen","Aussen","-"))</f>
        <v>LIFT</v>
      </c>
      <c r="CG774" s="59" t="n">
        <f aca="false">IF(N(AB774)&gt;0,AB774,0)</f>
        <v>0</v>
      </c>
      <c r="CH774" s="53" t="n">
        <f aca="false">IF(ISNUMBER(AE774),1,0)</f>
        <v>0</v>
      </c>
      <c r="CI774" s="50" t="n">
        <f aca="false">N(AE774)</f>
        <v>0</v>
      </c>
      <c r="CJ774" s="50" t="n">
        <f aca="false">N(M774)+N(N774)</f>
        <v>1</v>
      </c>
      <c r="CK774" s="50" t="n">
        <f aca="false">N(M774)</f>
        <v>0</v>
      </c>
      <c r="CL774" s="50" t="n">
        <f aca="false">N(N774)</f>
        <v>1</v>
      </c>
      <c r="CM774" s="50" t="n">
        <f aca="false">ROUNDUP(H774/BY774,0)</f>
        <v>1</v>
      </c>
      <c r="CN774" s="50" t="n">
        <f aca="false">ROUNDUP(CI774/BY774,0)</f>
        <v>0</v>
      </c>
      <c r="CO774" s="53" t="n">
        <f aca="false">IF(BZ774=1,0,IFERROR(VLOOKUP(BX774,'Gebinde-Kategorie'!$A$5:$N$45,5,0)+0,0))</f>
        <v>11</v>
      </c>
      <c r="CP774" s="53" t="n">
        <f aca="false">IFERROR(IF(OR(CE774=1,CE774=2,CE774=3),N(INDEX(Parameter!$I$5:$I$7,CE774)),0),0)</f>
        <v>0</v>
      </c>
      <c r="CQ774" s="52" t="n">
        <f aca="false">IF(AND(Parameter!$B$21="Ja",ISNUMBER(W774),N(X774)&gt;0),IFERROR(N(INDEX(Parameter!$L$5:$L$7,W774))*INDEX(Parameter!$E$5:$E$7,W774)*X774/SUMIFS($X$7:$X$1843,$W$7:$W$1843,W774),0),0)</f>
        <v>0</v>
      </c>
    </row>
    <row r="775" customFormat="false" ht="15" hidden="false" customHeight="false" outlineLevel="0" collapsed="false">
      <c r="A775" s="48" t="s">
        <v>1527</v>
      </c>
      <c r="B775" s="48" t="s">
        <v>414</v>
      </c>
      <c r="C775" s="48" t="s">
        <v>173</v>
      </c>
      <c r="D775" s="48" t="s">
        <v>193</v>
      </c>
      <c r="E775" s="48" t="s">
        <v>194</v>
      </c>
      <c r="F775" s="48" t="s">
        <v>227</v>
      </c>
      <c r="G775" s="49" t="n">
        <v>0.04</v>
      </c>
      <c r="H775" s="50" t="n">
        <f aca="false">MAX(0,IF(AND(Parameter!$B$21="Ja",ISNUMBER(Y775)),Y775,IF(Parameter!$B$20="Jahresanfang 2025 + Export",BR775+BQ775,BQ775)))</f>
        <v>111</v>
      </c>
      <c r="I775" s="50" t="n">
        <f aca="false">H775*G775</f>
        <v>4.44</v>
      </c>
      <c r="J775" s="50" t="n">
        <f aca="false">BT775*Parameter!$B$18</f>
        <v>219</v>
      </c>
      <c r="K775" s="51" t="n">
        <v>211</v>
      </c>
      <c r="L775" s="52" t="n">
        <v>1.03791469194313</v>
      </c>
      <c r="M775" s="50" t="n">
        <v>12</v>
      </c>
      <c r="N775" s="50" t="n">
        <v>220</v>
      </c>
      <c r="O775" s="53" t="n">
        <v>21</v>
      </c>
      <c r="P775" s="48" t="s">
        <v>410</v>
      </c>
      <c r="Q775" s="50" t="n">
        <v>241</v>
      </c>
      <c r="R775" s="53" t="n">
        <f aca="false">IF(BZ775=1,0,IFERROR(VLOOKUP(BX775,'Gebinde-Kategorie'!$A$5:$N$45,13,0)+0,0))</f>
        <v>280</v>
      </c>
      <c r="S775" s="54"/>
      <c r="T775" s="55"/>
      <c r="U775" s="55"/>
      <c r="V775" s="55"/>
      <c r="W775" s="48"/>
      <c r="X775" s="50"/>
      <c r="Y775" s="50"/>
      <c r="Z775" s="48" t="n">
        <f aca="false">IF(A775="","",IF(AND(Parameter!$B$21="Ja",ISNUMBER(W775)),W775,IF(CC775="2+3",IF(ISNUMBER(SEARCH("grosser Artikel",BU775)),2,IFERROR(VLOOKUP(BX775,Parameter!$F$35:$G$64,2,0),2)),IF(OR(CC775="Nein",CC775=""),"-",CC775))))</f>
        <v>3</v>
      </c>
      <c r="AA775" s="55"/>
      <c r="AB775" s="56"/>
      <c r="AC775" s="50" t="n">
        <f aca="false">AV775</f>
        <v>232</v>
      </c>
      <c r="AD775" s="50" t="n">
        <f aca="false">MAX(AV775,H775)</f>
        <v>232</v>
      </c>
      <c r="AE775" s="57"/>
      <c r="AF775" s="50" t="n">
        <f aca="false">IF(LEFT(Cockpit!$C$5,1)="A",H775,IF(Parameter!$E$30="MAX-Bestand",IF(CH775=1,CI775,IF(LEFT(Cockpit!$C$5,1)="B",AL775,MAX(AL775,H775))),ROUNDUP(AJ775,0)))</f>
        <v>111</v>
      </c>
      <c r="AG775" s="50" t="n">
        <f aca="false">IF(BZ775=1,0,ROUNDUP(AF775/BY775,0))</f>
        <v>1</v>
      </c>
      <c r="AH775" s="52" t="n">
        <f aca="false">IF(CQ775&gt;0,CQ775*MAX(1,AF775/X775),IF(BZ775=1,IF(AF775&lt;=0,0,CD775*MAX(1,IF(H775&gt;0,AF775/H775,1))),IF(R775&gt;0,AG775/R775,0))/MAX(0.1,N(Parameter!$M$21)))</f>
        <v>0.00357142857142857</v>
      </c>
      <c r="AI775" s="50" t="n">
        <f aca="false">AH775*CB775</f>
        <v>0.553571428571429</v>
      </c>
      <c r="AJ775" s="51" t="n">
        <f aca="false">IF(LEFT(Cockpit!$C$5,1)="A",H775,IF(CH775=1,(CK775+CI775)/2,IF(LEFT(Cockpit!$C$5,1)="B",(CK775+AL775)/2,MAX((CK775+AL775)/2,H775))))</f>
        <v>111</v>
      </c>
      <c r="AK775" s="50" t="n">
        <f aca="false">AJ775*G775</f>
        <v>4.44</v>
      </c>
      <c r="AL775" s="50" t="n">
        <f aca="false">ROUNDUP(CK775+MAX(CL775,2*(J775/IF(CG775&gt;0,CG775,MAX(0.1,N(Cockpit!$C$6)))-CK775)),0)</f>
        <v>232</v>
      </c>
      <c r="AM775" s="51" t="n">
        <f aca="false">IF(AI775&gt;0,J775/AI775,-1)</f>
        <v>395.612903225806</v>
      </c>
      <c r="AN775" s="51" t="n">
        <f aca="false">IF(AND(OR(CF775="L1",CF775="L23",CF775="LIFT"),AI775&gt;0),SUMIFS($AI$7:$AI$1843,$CF$7:$CF$1843,CF775,$AM$7:$AM$1843,"&gt;"&amp;AM775)+SUMIFS($AI$7:$AI$1843,$CF$7:$CF$1843,CF775,$AM$7:$AM$1843,AM775,$BW$7:$BW$1843,"&lt;="&amp;BW775),"")</f>
        <v>178.080586080586</v>
      </c>
      <c r="AO775" s="58" t="n">
        <f aca="false">IF(AN775="",0,MAX(0,MIN(1,(IF(CF775="L1",Parameter!$H$5,IF(CF775="L23",Parameter!$H$6+Parameter!$H$7,Parameter!$H$5+Parameter!$H$6+Parameter!$H$7))-(AN775-AI775))/AI775)))</f>
        <v>1</v>
      </c>
      <c r="AP775" s="50" t="n">
        <f aca="false">IF(LEFT(Cockpit!$I$5,1)="A",H775,IF(Parameter!$E$30="MAX-Bestand",IF(CH775=1,CI775,IF(LEFT(Cockpit!$I$5,1)="B",AV775,MAX(AV775,H775))),ROUNDUP(AT775,0)))</f>
        <v>122</v>
      </c>
      <c r="AQ775" s="50" t="n">
        <f aca="false">IF(BZ775=1,0,ROUNDUP(AP775/BY775,0))</f>
        <v>1</v>
      </c>
      <c r="AR775" s="52" t="n">
        <f aca="false">IF(CQ775&gt;0,CQ775*MAX(1,AP775/X775),IF(BZ775=1,IF(AP775&lt;=0,0,CD775*MAX(1,IF(H775&gt;0,AP775/H775,1))),IF(R775&gt;0,AQ775/R775,0))/MAX(0.1,N(Parameter!$M$21)))</f>
        <v>0.00357142857142857</v>
      </c>
      <c r="AS775" s="50" t="n">
        <f aca="false">AR775*CB775</f>
        <v>0.553571428571429</v>
      </c>
      <c r="AT775" s="51" t="n">
        <f aca="false">IF(LEFT(Cockpit!$I$5,1)="A",H775,IF(CH775=1,(CK775+CI775)/2,IF(LEFT(Cockpit!$I$5,1)="B",(CK775+AV775)/2,MAX((CK775+AV775)/2,H775))))</f>
        <v>122</v>
      </c>
      <c r="AU775" s="50" t="n">
        <f aca="false">AT775*G775</f>
        <v>4.88</v>
      </c>
      <c r="AV775" s="50" t="n">
        <f aca="false">ROUNDUP(CK775+MAX(CL775,2*(J775/IF(CG775&gt;0,CG775,MAX(0.1,N(Cockpit!$I$6)))-CK775)),0)</f>
        <v>232</v>
      </c>
      <c r="AW775" s="51" t="n">
        <f aca="false">IF(AS775&gt;0,J775/AS775,-1)</f>
        <v>395.612903225806</v>
      </c>
      <c r="AX775" s="51" t="n">
        <f aca="false">IF(AND(OR(CF775="L1",CF775="L23",CF775="LIFT"),AS775&gt;0),SUMIFS($AS$7:$AS$1843,$CF$7:$CF$1843,CF775,$AW$7:$AW$1843,"&gt;"&amp;AW775)+SUMIFS($AS$7:$AS$1843,$CF$7:$CF$1843,CF775,$AW$7:$AW$1843,AW775,$BW$7:$BW$1843,"&lt;="&amp;BW775),"")</f>
        <v>112.296703296703</v>
      </c>
      <c r="AY775" s="58" t="n">
        <f aca="false">IF(AX775="",0,MAX(0,MIN(1,(IF(CF775="L1",Parameter!$H$5,IF(CF775="L23",Parameter!$H$6+Parameter!$H$7,Parameter!$H$5+Parameter!$H$6+Parameter!$H$7))-(AX775-AS775))/AS775)))</f>
        <v>1</v>
      </c>
      <c r="AZ775" s="50" t="n">
        <f aca="false">IF(LEFT(Cockpit!$O$5,1)="A",H775,IF(Parameter!$E$30="MAX-Bestand",IF(CH775=1,CI775,IF(LEFT(Cockpit!$O$5,1)="B",BF775,MAX(BF775,H775))),ROUNDUP(BD775,0)))</f>
        <v>122</v>
      </c>
      <c r="BA775" s="50" t="n">
        <f aca="false">IF(BZ775=1,0,ROUNDUP(AZ775/BY775,0))</f>
        <v>1</v>
      </c>
      <c r="BB775" s="52" t="n">
        <f aca="false">IF(CQ775&gt;0,CQ775*MAX(1,AZ775/X775),IF(BZ775=1,IF(AZ775&lt;=0,0,CD775*MAX(1,IF(H775&gt;0,AZ775/H775,1))),IF(R775&gt;0,BA775/R775,0))/MAX(0.1,N(Parameter!$M$21)))</f>
        <v>0.00357142857142857</v>
      </c>
      <c r="BC775" s="50" t="n">
        <f aca="false">BB775*CB775</f>
        <v>0.553571428571429</v>
      </c>
      <c r="BD775" s="51" t="n">
        <f aca="false">IF(LEFT(Cockpit!$O$5,1)="A",H775,IF(CH775=1,(CK775+CI775)/2,IF(LEFT(Cockpit!$O$5,1)="B",(CK775+BF775)/2,MAX((CK775+BF775)/2,H775))))</f>
        <v>122</v>
      </c>
      <c r="BE775" s="50" t="n">
        <f aca="false">BD775*G775</f>
        <v>4.88</v>
      </c>
      <c r="BF775" s="50" t="n">
        <f aca="false">ROUNDUP(CK775+MAX(CL775,2*(J775/IF(CG775&gt;0,CG775,MAX(0.1,N(Cockpit!$O$6)))-CK775)),0)</f>
        <v>232</v>
      </c>
      <c r="BG775" s="51" t="n">
        <f aca="false">IF(BC775&gt;0,J775/BC775,-1)</f>
        <v>395.612903225806</v>
      </c>
      <c r="BH775" s="51" t="n">
        <f aca="false">IF(AND(OR(CF775="L1",CF775="L23",CF775="LIFT"),BC775&gt;0),SUMIFS($BC$7:$BC$1843,$CF$7:$CF$1843,CF775,$BG$7:$BG$1843,"&gt;"&amp;BG775)+SUMIFS($BC$7:$BC$1843,$CF$7:$CF$1843,CF775,$BG$7:$BG$1843,BG775,$BW$7:$BW$1843,"&lt;="&amp;BW775),"")</f>
        <v>181.528846153846</v>
      </c>
      <c r="BI775" s="58" t="n">
        <f aca="false">IF(BH775="",0,MAX(0,MIN(1,(IF(CF775="L1",Parameter!$H$5,IF(CF775="L23",Parameter!$H$6+Parameter!$H$7,Parameter!$H$5+Parameter!$H$6+Parameter!$H$7))-(BH775-BC775))/BC775)))</f>
        <v>1</v>
      </c>
      <c r="BJ775" s="48" t="str">
        <f aca="false">IF(AI775&lt;=0,"",IF(CF775="Aussen","Aussenlager",IF(CF775="-","Nicht im Lift",IF(AO775&gt;=1,"Lift",IF(AO775&lt;=0,"Aussenlager","teilweise")))))</f>
        <v>Lift</v>
      </c>
      <c r="BK775" s="48" t="str">
        <f aca="false">IF(AS775&lt;=0,"",IF(CF775="Aussen","Aussenlager",IF(CF775="-","Nicht im Lift",IF(AY775&gt;=1,"Lift",IF(AY775&lt;=0,"Aussenlager","teilweise")))))</f>
        <v>Lift</v>
      </c>
      <c r="BL775" s="48" t="str">
        <f aca="false">IF(BC775&lt;=0,"",IF(CF775="Aussen","Aussenlager",IF(CF775="-","Nicht im Lift",IF(BI775&gt;=1,"Lift",IF(BI775&lt;=0,"Aussenlager","teilweise")))))</f>
        <v>Lift</v>
      </c>
      <c r="BM775" s="48" t="str">
        <f aca="false">IF(A775="","",IF(BV775=1,"Neu; ","")&amp;IF(AND(BV775=0,BQ775&lt;0),"negativer Bestand (Export "&amp;BQ775&amp;"); ","")&amp;IF(J775&lt;=0,"Kein Verbrauch; ","")&amp;IF(CQ775&gt;0,"Lift "&amp;W775&amp;" lt. Liftbericht (Fach "&amp;X775&amp;" Stk); ",IF(CA775=1,"Gebinde geschätzt ("&amp;T775&amp;"); ",IF(BZ775=1,"Lose – Tablare geschätzt; ","")))&amp;IF(H775&gt;AV775,"Überbestand "&amp;ROUND(H775-AV775,0)&amp;" Stk / CHF "&amp;ROUND((H775-AV775)*G775,0)&amp;"; ","")&amp;IF(AND(CH775=1,CI775&lt;CJ775),"MAX &lt; MB+LG; ","")&amp;IF(AND(CP775&gt;0,CO775*10&gt;CP775),"zu hoch für Tablar; ","")&amp;IF(AND(BV775=0,OR(CH775=1,AA775&lt;&gt;"",U775&lt;&gt;"",V775&lt;&gt;"",AB775&lt;&gt;"")),"manuell übersteuert; ","")&amp;IF(AND(BZ775=0,R775=0),"Gebinde unbekannt / Stellmass fehlt; ","")&amp;IF(AND(BZ775=0,N(V775)&lt;=0,N(Q775)&lt;=0),"Menge pro Gebinde fehlt (Ist = 1 Gebinde); ","")&amp;BU775)</f>
        <v>negativer Bestand (Export -36); </v>
      </c>
      <c r="BN775" s="48"/>
      <c r="BO775" s="48"/>
      <c r="BP775" s="55"/>
      <c r="BQ775" s="50" t="n">
        <v>-36</v>
      </c>
      <c r="BR775" s="50" t="n">
        <v>147</v>
      </c>
      <c r="BS775" s="49" t="n">
        <v>-1.44000000000002</v>
      </c>
      <c r="BT775" s="50" t="n">
        <v>219</v>
      </c>
      <c r="BU775" s="48"/>
      <c r="BV775" s="53" t="n">
        <v>0</v>
      </c>
      <c r="BW775" s="53" t="n">
        <v>775</v>
      </c>
      <c r="BX775" s="48" t="str">
        <f aca="false">IF(U775&lt;&gt;"",UPPER(TRIM(U775)),IF(CA775=1,UPPER(VLOOKUP(T775,Parameter!$I$27:$K$29,2,0)),IF(P775="","LOSE",P775)))</f>
        <v>S21</v>
      </c>
      <c r="BY775" s="50" t="n">
        <f aca="false">IF(BX775="LOSE",1,IF(N(V775)&gt;0,V775,IF(CA775=1,MAX(1,N(VLOOKUP(T775,Parameter!$I$27:$K$29,3,0)),H775,N(N775)),IF(N(Q775)&gt;0,Q775,MAX(1,H775)))))</f>
        <v>241</v>
      </c>
      <c r="BZ775" s="53" t="n">
        <f aca="false">IF(BX775="LOSE",1,0)</f>
        <v>0</v>
      </c>
      <c r="CA775" s="53" t="n">
        <f aca="false">IF(AND(U775="",OR(P775="",P775="LOSE"),T775&lt;&gt;"",N(S775)&lt;=0,ISNUMBER(MATCH(T775,Parameter!$I$27:$I$29,0))),1,0)</f>
        <v>0</v>
      </c>
      <c r="CB775" s="53" t="n">
        <f aca="false">IF(CQ775&gt;0,INDEX(Parameter!$H$5:$H$7,W775)/INDEX(Parameter!$E$5:$E$7,W775),IF(AND(BZ775=0,N(IFERROR(VLOOKUP(BX775,'Gebinde-Kategorie'!$A$5:$N$45,14,0),0))&gt;0),VLOOKUP(BX775,'Gebinde-Kategorie'!$A$5:$N$45,14,0)*10+Parameter!$M$23,Parameter!$M$24))</f>
        <v>155</v>
      </c>
      <c r="CC775" s="48" t="str">
        <f aca="false">IF(AND(Parameter!$B$19="Ja",E775&lt;&gt;"",ISNUMBER(MATCH(E775,Parameter!$I$35:$I$52,0))),VLOOKUP(E775,Parameter!$I$35:$J$52,2,0),IFERROR(VLOOKUP(D775,Parameter!$A$35:$C$64,2,0),"Nein"))</f>
        <v>2+3</v>
      </c>
      <c r="CD775" s="52" t="n">
        <f aca="false">IF(BZ775=0,0,IF(N(S775)&gt;0,S775,IFERROR(VLOOKUP(D775,Parameter!$A$35:$C$64,3,0)+0,0)))</f>
        <v>0</v>
      </c>
      <c r="CE775" s="48" t="n">
        <f aca="false">IF(AA775&lt;&gt;"",AA775,Z775)</f>
        <v>3</v>
      </c>
      <c r="CF775" s="48" t="str">
        <f aca="false">IF(OR(CE775=1,CE775=2,CE775=3),IF(Parameter!$E$27="Ja","LIFT",IF(CE775=1,"L1","L23")),IF(CE775="Aussen","Aussen","-"))</f>
        <v>LIFT</v>
      </c>
      <c r="CG775" s="59" t="n">
        <f aca="false">IF(N(AB775)&gt;0,AB775,0)</f>
        <v>0</v>
      </c>
      <c r="CH775" s="53" t="n">
        <f aca="false">IF(ISNUMBER(AE775),1,0)</f>
        <v>0</v>
      </c>
      <c r="CI775" s="50" t="n">
        <f aca="false">N(AE775)</f>
        <v>0</v>
      </c>
      <c r="CJ775" s="50" t="n">
        <f aca="false">N(M775)+N(N775)</f>
        <v>232</v>
      </c>
      <c r="CK775" s="50" t="n">
        <f aca="false">N(M775)</f>
        <v>12</v>
      </c>
      <c r="CL775" s="50" t="n">
        <f aca="false">N(N775)</f>
        <v>220</v>
      </c>
      <c r="CM775" s="50" t="n">
        <f aca="false">ROUNDUP(H775/BY775,0)</f>
        <v>1</v>
      </c>
      <c r="CN775" s="50" t="n">
        <f aca="false">ROUNDUP(CI775/BY775,0)</f>
        <v>0</v>
      </c>
      <c r="CO775" s="53" t="n">
        <f aca="false">IF(BZ775=1,0,IFERROR(VLOOKUP(BX775,'Gebinde-Kategorie'!$A$5:$N$45,5,0)+0,0))</f>
        <v>8</v>
      </c>
      <c r="CP775" s="53" t="n">
        <f aca="false">IFERROR(IF(OR(CE775=1,CE775=2,CE775=3),N(INDEX(Parameter!$I$5:$I$7,CE775)),0),0)</f>
        <v>0</v>
      </c>
      <c r="CQ775" s="52" t="n">
        <f aca="false">IF(AND(Parameter!$B$21="Ja",ISNUMBER(W775),N(X775)&gt;0),IFERROR(N(INDEX(Parameter!$L$5:$L$7,W775))*INDEX(Parameter!$E$5:$E$7,W775)*X775/SUMIFS($X$7:$X$1843,$W$7:$W$1843,W775),0),0)</f>
        <v>0</v>
      </c>
    </row>
    <row r="776" customFormat="false" ht="15" hidden="false" customHeight="false" outlineLevel="0" collapsed="false">
      <c r="A776" s="48" t="s">
        <v>1528</v>
      </c>
      <c r="B776" s="48" t="s">
        <v>1529</v>
      </c>
      <c r="C776" s="48" t="s">
        <v>173</v>
      </c>
      <c r="D776" s="48" t="s">
        <v>193</v>
      </c>
      <c r="E776" s="48"/>
      <c r="F776" s="48" t="s">
        <v>227</v>
      </c>
      <c r="G776" s="49" t="n">
        <v>0.5</v>
      </c>
      <c r="H776" s="50" t="n">
        <f aca="false">MAX(0,IF(AND(Parameter!$B$21="Ja",ISNUMBER(Y776)),Y776,IF(Parameter!$B$20="Jahresanfang 2025 + Export",BR776+BQ776,BQ776)))</f>
        <v>180</v>
      </c>
      <c r="I776" s="50" t="n">
        <f aca="false">H776*G776</f>
        <v>90</v>
      </c>
      <c r="J776" s="50" t="n">
        <f aca="false">BT776*Parameter!$B$18</f>
        <v>0</v>
      </c>
      <c r="K776" s="51" t="n">
        <v>183</v>
      </c>
      <c r="L776" s="52" t="n">
        <v>0</v>
      </c>
      <c r="M776" s="50" t="n">
        <v>0</v>
      </c>
      <c r="N776" s="50" t="n">
        <v>1</v>
      </c>
      <c r="O776" s="53" t="n">
        <v>14</v>
      </c>
      <c r="P776" s="48" t="s">
        <v>410</v>
      </c>
      <c r="Q776" s="50" t="n">
        <v>200</v>
      </c>
      <c r="R776" s="53" t="n">
        <f aca="false">IF(BZ776=1,0,IFERROR(VLOOKUP(BX776,'Gebinde-Kategorie'!$A$5:$N$45,13,0)+0,0))</f>
        <v>280</v>
      </c>
      <c r="S776" s="54"/>
      <c r="T776" s="55"/>
      <c r="U776" s="55"/>
      <c r="V776" s="55"/>
      <c r="W776" s="48"/>
      <c r="X776" s="50"/>
      <c r="Y776" s="50"/>
      <c r="Z776" s="48" t="n">
        <f aca="false">IF(A776="","",IF(AND(Parameter!$B$21="Ja",ISNUMBER(W776)),W776,IF(CC776="2+3",IF(ISNUMBER(SEARCH("grosser Artikel",BU776)),2,IFERROR(VLOOKUP(BX776,Parameter!$F$35:$G$64,2,0),2)),IF(OR(CC776="Nein",CC776=""),"-",CC776))))</f>
        <v>3</v>
      </c>
      <c r="AA776" s="55"/>
      <c r="AB776" s="56"/>
      <c r="AC776" s="50" t="n">
        <f aca="false">AV776</f>
        <v>1</v>
      </c>
      <c r="AD776" s="50" t="n">
        <f aca="false">MAX(AV776,H776)</f>
        <v>180</v>
      </c>
      <c r="AE776" s="57"/>
      <c r="AF776" s="50" t="n">
        <f aca="false">IF(LEFT(Cockpit!$C$5,1)="A",H776,IF(Parameter!$E$30="MAX-Bestand",IF(CH776=1,CI776,IF(LEFT(Cockpit!$C$5,1)="B",AL776,MAX(AL776,H776))),ROUNDUP(AJ776,0)))</f>
        <v>180</v>
      </c>
      <c r="AG776" s="50" t="n">
        <f aca="false">IF(BZ776=1,0,ROUNDUP(AF776/BY776,0))</f>
        <v>1</v>
      </c>
      <c r="AH776" s="52" t="n">
        <f aca="false">IF(CQ776&gt;0,CQ776*MAX(1,AF776/X776),IF(BZ776=1,IF(AF776&lt;=0,0,CD776*MAX(1,IF(H776&gt;0,AF776/H776,1))),IF(R776&gt;0,AG776/R776,0))/MAX(0.1,N(Parameter!$M$21)))</f>
        <v>0.00357142857142857</v>
      </c>
      <c r="AI776" s="50" t="n">
        <f aca="false">AH776*CB776</f>
        <v>0.553571428571429</v>
      </c>
      <c r="AJ776" s="51" t="n">
        <f aca="false">IF(LEFT(Cockpit!$C$5,1)="A",H776,IF(CH776=1,(CK776+CI776)/2,IF(LEFT(Cockpit!$C$5,1)="B",(CK776+AL776)/2,MAX((CK776+AL776)/2,H776))))</f>
        <v>180</v>
      </c>
      <c r="AK776" s="50" t="n">
        <f aca="false">AJ776*G776</f>
        <v>90</v>
      </c>
      <c r="AL776" s="50" t="n">
        <f aca="false">ROUNDUP(CK776+MAX(CL776,2*(J776/IF(CG776&gt;0,CG776,MAX(0.1,N(Cockpit!$C$6)))-CK776)),0)</f>
        <v>1</v>
      </c>
      <c r="AM776" s="51" t="n">
        <f aca="false">IF(AI776&gt;0,J776/AI776,-1)</f>
        <v>0</v>
      </c>
      <c r="AN776" s="51" t="n">
        <f aca="false">IF(AND(OR(CF776="L1",CF776="L23",CF776="LIFT"),AI776&gt;0),SUMIFS($AI$7:$AI$1843,$CF$7:$CF$1843,CF776,$AM$7:$AM$1843,"&gt;"&amp;AM776)+SUMIFS($AI$7:$AI$1843,$CF$7:$CF$1843,CF776,$AM$7:$AM$1843,AM776,$BW$7:$BW$1843,"&lt;="&amp;BW776),"")</f>
        <v>28751.2350582562</v>
      </c>
      <c r="AO776" s="58" t="n">
        <f aca="false">IF(AN776="",0,MAX(0,MIN(1,(IF(CF776="L1",Parameter!$H$5,IF(CF776="L23",Parameter!$H$6+Parameter!$H$7,Parameter!$H$5+Parameter!$H$6+Parameter!$H$7))-(AN776-AI776))/AI776)))</f>
        <v>1</v>
      </c>
      <c r="AP776" s="50" t="n">
        <f aca="false">IF(LEFT(Cockpit!$I$5,1)="A",H776,IF(Parameter!$E$30="MAX-Bestand",IF(CH776=1,CI776,IF(LEFT(Cockpit!$I$5,1)="B",AV776,MAX(AV776,H776))),ROUNDUP(AT776,0)))</f>
        <v>180</v>
      </c>
      <c r="AQ776" s="50" t="n">
        <f aca="false">IF(BZ776=1,0,ROUNDUP(AP776/BY776,0))</f>
        <v>1</v>
      </c>
      <c r="AR776" s="52" t="n">
        <f aca="false">IF(CQ776&gt;0,CQ776*MAX(1,AP776/X776),IF(BZ776=1,IF(AP776&lt;=0,0,CD776*MAX(1,IF(H776&gt;0,AP776/H776,1))),IF(R776&gt;0,AQ776/R776,0))/MAX(0.1,N(Parameter!$M$21)))</f>
        <v>0.00357142857142857</v>
      </c>
      <c r="AS776" s="50" t="n">
        <f aca="false">AR776*CB776</f>
        <v>0.553571428571429</v>
      </c>
      <c r="AT776" s="51" t="n">
        <f aca="false">IF(LEFT(Cockpit!$I$5,1)="A",H776,IF(CH776=1,(CK776+CI776)/2,IF(LEFT(Cockpit!$I$5,1)="B",(CK776+AV776)/2,MAX((CK776+AV776)/2,H776))))</f>
        <v>180</v>
      </c>
      <c r="AU776" s="50" t="n">
        <f aca="false">AT776*G776</f>
        <v>90</v>
      </c>
      <c r="AV776" s="50" t="n">
        <f aca="false">ROUNDUP(CK776+MAX(CL776,2*(J776/IF(CG776&gt;0,CG776,MAX(0.1,N(Cockpit!$I$6)))-CK776)),0)</f>
        <v>1</v>
      </c>
      <c r="AW776" s="51" t="n">
        <f aca="false">IF(AS776&gt;0,J776/AS776,-1)</f>
        <v>0</v>
      </c>
      <c r="AX776" s="51" t="n">
        <f aca="false">IF(AND(OR(CF776="L1",CF776="L23",CF776="LIFT"),AS776&gt;0),SUMIFS($AS$7:$AS$1843,$CF$7:$CF$1843,CF776,$AW$7:$AW$1843,"&gt;"&amp;AW776)+SUMIFS($AS$7:$AS$1843,$CF$7:$CF$1843,CF776,$AW$7:$AW$1843,AW776,$BW$7:$BW$1843,"&lt;="&amp;BW776),"")</f>
        <v>34356.0183150183</v>
      </c>
      <c r="AY776" s="58" t="n">
        <f aca="false">IF(AX776="",0,MAX(0,MIN(1,(IF(CF776="L1",Parameter!$H$5,IF(CF776="L23",Parameter!$H$6+Parameter!$H$7,Parameter!$H$5+Parameter!$H$6+Parameter!$H$7))-(AX776-AS776))/AS776)))</f>
        <v>1</v>
      </c>
      <c r="AZ776" s="50" t="n">
        <f aca="false">IF(LEFT(Cockpit!$O$5,1)="A",H776,IF(Parameter!$E$30="MAX-Bestand",IF(CH776=1,CI776,IF(LEFT(Cockpit!$O$5,1)="B",BF776,MAX(BF776,H776))),ROUNDUP(BD776,0)))</f>
        <v>1</v>
      </c>
      <c r="BA776" s="50" t="n">
        <f aca="false">IF(BZ776=1,0,ROUNDUP(AZ776/BY776,0))</f>
        <v>1</v>
      </c>
      <c r="BB776" s="52" t="n">
        <f aca="false">IF(CQ776&gt;0,CQ776*MAX(1,AZ776/X776),IF(BZ776=1,IF(AZ776&lt;=0,0,CD776*MAX(1,IF(H776&gt;0,AZ776/H776,1))),IF(R776&gt;0,BA776/R776,0))/MAX(0.1,N(Parameter!$M$21)))</f>
        <v>0.00357142857142857</v>
      </c>
      <c r="BC776" s="50" t="n">
        <f aca="false">BB776*CB776</f>
        <v>0.553571428571429</v>
      </c>
      <c r="BD776" s="51" t="n">
        <f aca="false">IF(LEFT(Cockpit!$O$5,1)="A",H776,IF(CH776=1,(CK776+CI776)/2,IF(LEFT(Cockpit!$O$5,1)="B",(CK776+BF776)/2,MAX((CK776+BF776)/2,H776))))</f>
        <v>0.5</v>
      </c>
      <c r="BE776" s="50" t="n">
        <f aca="false">BD776*G776</f>
        <v>0.25</v>
      </c>
      <c r="BF776" s="50" t="n">
        <f aca="false">ROUNDUP(CK776+MAX(CL776,2*(J776/IF(CG776&gt;0,CG776,MAX(0.1,N(Cockpit!$O$6)))-CK776)),0)</f>
        <v>1</v>
      </c>
      <c r="BG776" s="51" t="n">
        <f aca="false">IF(BC776&gt;0,J776/BC776,-1)</f>
        <v>0</v>
      </c>
      <c r="BH776" s="51" t="n">
        <f aca="false">IF(AND(OR(CF776="L1",CF776="L23",CF776="LIFT"),BC776&gt;0),SUMIFS($BC$7:$BC$1843,$CF$7:$CF$1843,CF776,$BG$7:$BG$1843,"&gt;"&amp;BG776)+SUMIFS($BC$7:$BC$1843,$CF$7:$CF$1843,CF776,$BG$7:$BG$1843,BG776,$BW$7:$BW$1843,"&lt;="&amp;BW776),"")</f>
        <v>28399.8881619793</v>
      </c>
      <c r="BI776" s="58" t="n">
        <f aca="false">IF(BH776="",0,MAX(0,MIN(1,(IF(CF776="L1",Parameter!$H$5,IF(CF776="L23",Parameter!$H$6+Parameter!$H$7,Parameter!$H$5+Parameter!$H$6+Parameter!$H$7))-(BH776-BC776))/BC776)))</f>
        <v>1</v>
      </c>
      <c r="BJ776" s="48" t="str">
        <f aca="false">IF(AI776&lt;=0,"",IF(CF776="Aussen","Aussenlager",IF(CF776="-","Nicht im Lift",IF(AO776&gt;=1,"Lift",IF(AO776&lt;=0,"Aussenlager","teilweise")))))</f>
        <v>Lift</v>
      </c>
      <c r="BK776" s="48" t="str">
        <f aca="false">IF(AS776&lt;=0,"",IF(CF776="Aussen","Aussenlager",IF(CF776="-","Nicht im Lift",IF(AY776&gt;=1,"Lift",IF(AY776&lt;=0,"Aussenlager","teilweise")))))</f>
        <v>Lift</v>
      </c>
      <c r="BL776" s="48" t="str">
        <f aca="false">IF(BC776&lt;=0,"",IF(CF776="Aussen","Aussenlager",IF(CF776="-","Nicht im Lift",IF(BI776&gt;=1,"Lift",IF(BI776&lt;=0,"Aussenlager","teilweise")))))</f>
        <v>Lift</v>
      </c>
      <c r="BM776" s="48" t="str">
        <f aca="false">IF(A776="","",IF(BV776=1,"Neu; ","")&amp;IF(AND(BV776=0,BQ776&lt;0),"negativer Bestand (Export "&amp;BQ776&amp;"); ","")&amp;IF(J776&lt;=0,"Kein Verbrauch; ","")&amp;IF(CQ776&gt;0,"Lift "&amp;W776&amp;" lt. Liftbericht (Fach "&amp;X776&amp;" Stk); ",IF(CA776=1,"Gebinde geschätzt ("&amp;T776&amp;"); ",IF(BZ776=1,"Lose – Tablare geschätzt; ","")))&amp;IF(H776&gt;AV776,"Überbestand "&amp;ROUND(H776-AV776,0)&amp;" Stk / CHF "&amp;ROUND((H776-AV776)*G776,0)&amp;"; ","")&amp;IF(AND(CH776=1,CI776&lt;CJ776),"MAX &lt; MB+LG; ","")&amp;IF(AND(CP776&gt;0,CO776*10&gt;CP776),"zu hoch für Tablar; ","")&amp;IF(AND(BV776=0,OR(CH776=1,AA776&lt;&gt;"",U776&lt;&gt;"",V776&lt;&gt;"",AB776&lt;&gt;"")),"manuell übersteuert; ","")&amp;IF(AND(BZ776=0,R776=0),"Gebinde unbekannt / Stellmass fehlt; ","")&amp;IF(AND(BZ776=0,N(V776)&lt;=0,N(Q776)&lt;=0),"Menge pro Gebinde fehlt (Ist = 1 Gebinde); ","")&amp;BU776)</f>
        <v>negativer Bestand (Export -3); Kein Verbrauch; Überbestand 179 Stk / CHF 90; </v>
      </c>
      <c r="BN776" s="48"/>
      <c r="BO776" s="48"/>
      <c r="BP776" s="55"/>
      <c r="BQ776" s="50" t="n">
        <v>-3</v>
      </c>
      <c r="BR776" s="50" t="n">
        <v>183</v>
      </c>
      <c r="BS776" s="49" t="n">
        <v>-1.5</v>
      </c>
      <c r="BT776" s="50" t="n">
        <v>0</v>
      </c>
      <c r="BU776" s="48"/>
      <c r="BV776" s="53" t="n">
        <v>0</v>
      </c>
      <c r="BW776" s="53" t="n">
        <v>776</v>
      </c>
      <c r="BX776" s="48" t="str">
        <f aca="false">IF(U776&lt;&gt;"",UPPER(TRIM(U776)),IF(CA776=1,UPPER(VLOOKUP(T776,Parameter!$I$27:$K$29,2,0)),IF(P776="","LOSE",P776)))</f>
        <v>S21</v>
      </c>
      <c r="BY776" s="50" t="n">
        <f aca="false">IF(BX776="LOSE",1,IF(N(V776)&gt;0,V776,IF(CA776=1,MAX(1,N(VLOOKUP(T776,Parameter!$I$27:$K$29,3,0)),H776,N(N776)),IF(N(Q776)&gt;0,Q776,MAX(1,H776)))))</f>
        <v>200</v>
      </c>
      <c r="BZ776" s="53" t="n">
        <f aca="false">IF(BX776="LOSE",1,0)</f>
        <v>0</v>
      </c>
      <c r="CA776" s="53" t="n">
        <f aca="false">IF(AND(U776="",OR(P776="",P776="LOSE"),T776&lt;&gt;"",N(S776)&lt;=0,ISNUMBER(MATCH(T776,Parameter!$I$27:$I$29,0))),1,0)</f>
        <v>0</v>
      </c>
      <c r="CB776" s="53" t="n">
        <f aca="false">IF(CQ776&gt;0,INDEX(Parameter!$H$5:$H$7,W776)/INDEX(Parameter!$E$5:$E$7,W776),IF(AND(BZ776=0,N(IFERROR(VLOOKUP(BX776,'Gebinde-Kategorie'!$A$5:$N$45,14,0),0))&gt;0),VLOOKUP(BX776,'Gebinde-Kategorie'!$A$5:$N$45,14,0)*10+Parameter!$M$23,Parameter!$M$24))</f>
        <v>155</v>
      </c>
      <c r="CC776" s="48" t="str">
        <f aca="false">IF(AND(Parameter!$B$19="Ja",E776&lt;&gt;"",ISNUMBER(MATCH(E776,Parameter!$I$35:$I$52,0))),VLOOKUP(E776,Parameter!$I$35:$J$52,2,0),IFERROR(VLOOKUP(D776,Parameter!$A$35:$C$64,2,0),"Nein"))</f>
        <v>2+3</v>
      </c>
      <c r="CD776" s="52" t="n">
        <f aca="false">IF(BZ776=0,0,IF(N(S776)&gt;0,S776,IFERROR(VLOOKUP(D776,Parameter!$A$35:$C$64,3,0)+0,0)))</f>
        <v>0</v>
      </c>
      <c r="CE776" s="48" t="n">
        <f aca="false">IF(AA776&lt;&gt;"",AA776,Z776)</f>
        <v>3</v>
      </c>
      <c r="CF776" s="48" t="str">
        <f aca="false">IF(OR(CE776=1,CE776=2,CE776=3),IF(Parameter!$E$27="Ja","LIFT",IF(CE776=1,"L1","L23")),IF(CE776="Aussen","Aussen","-"))</f>
        <v>LIFT</v>
      </c>
      <c r="CG776" s="59" t="n">
        <f aca="false">IF(N(AB776)&gt;0,AB776,0)</f>
        <v>0</v>
      </c>
      <c r="CH776" s="53" t="n">
        <f aca="false">IF(ISNUMBER(AE776),1,0)</f>
        <v>0</v>
      </c>
      <c r="CI776" s="50" t="n">
        <f aca="false">N(AE776)</f>
        <v>0</v>
      </c>
      <c r="CJ776" s="50" t="n">
        <f aca="false">N(M776)+N(N776)</f>
        <v>1</v>
      </c>
      <c r="CK776" s="50" t="n">
        <f aca="false">N(M776)</f>
        <v>0</v>
      </c>
      <c r="CL776" s="50" t="n">
        <f aca="false">N(N776)</f>
        <v>1</v>
      </c>
      <c r="CM776" s="50" t="n">
        <f aca="false">ROUNDUP(H776/BY776,0)</f>
        <v>1</v>
      </c>
      <c r="CN776" s="50" t="n">
        <f aca="false">ROUNDUP(CI776/BY776,0)</f>
        <v>0</v>
      </c>
      <c r="CO776" s="53" t="n">
        <f aca="false">IF(BZ776=1,0,IFERROR(VLOOKUP(BX776,'Gebinde-Kategorie'!$A$5:$N$45,5,0)+0,0))</f>
        <v>8</v>
      </c>
      <c r="CP776" s="53" t="n">
        <f aca="false">IFERROR(IF(OR(CE776=1,CE776=2,CE776=3),N(INDEX(Parameter!$I$5:$I$7,CE776)),0),0)</f>
        <v>0</v>
      </c>
      <c r="CQ776" s="52" t="n">
        <f aca="false">IF(AND(Parameter!$B$21="Ja",ISNUMBER(W776),N(X776)&gt;0),IFERROR(N(INDEX(Parameter!$L$5:$L$7,W776))*INDEX(Parameter!$E$5:$E$7,W776)*X776/SUMIFS($X$7:$X$1843,$W$7:$W$1843,W776),0),0)</f>
        <v>0</v>
      </c>
    </row>
    <row r="777" customFormat="false" ht="15" hidden="false" customHeight="false" outlineLevel="0" collapsed="false">
      <c r="A777" s="48" t="s">
        <v>1530</v>
      </c>
      <c r="B777" s="48" t="s">
        <v>1245</v>
      </c>
      <c r="C777" s="48" t="s">
        <v>173</v>
      </c>
      <c r="D777" s="48" t="s">
        <v>193</v>
      </c>
      <c r="E777" s="48" t="s">
        <v>194</v>
      </c>
      <c r="F777" s="48" t="s">
        <v>227</v>
      </c>
      <c r="G777" s="49" t="n">
        <v>0.03</v>
      </c>
      <c r="H777" s="50" t="n">
        <f aca="false">MAX(0,IF(AND(Parameter!$B$21="Ja",ISNUMBER(Y777)),Y777,IF(Parameter!$B$20="Jahresanfang 2025 + Export",BR777+BQ777,BQ777)))</f>
        <v>459</v>
      </c>
      <c r="I777" s="50" t="n">
        <f aca="false">H777*G777</f>
        <v>13.77</v>
      </c>
      <c r="J777" s="50" t="n">
        <f aca="false">BT777*Parameter!$B$18</f>
        <v>16</v>
      </c>
      <c r="K777" s="51" t="n">
        <v>510.5</v>
      </c>
      <c r="L777" s="52" t="n">
        <v>0.0313418217433888</v>
      </c>
      <c r="M777" s="50" t="n">
        <v>0</v>
      </c>
      <c r="N777" s="50" t="n">
        <v>15</v>
      </c>
      <c r="O777" s="53" t="n">
        <v>21</v>
      </c>
      <c r="P777" s="48" t="s">
        <v>435</v>
      </c>
      <c r="Q777" s="50" t="n">
        <v>535</v>
      </c>
      <c r="R777" s="53" t="n">
        <f aca="false">IF(BZ777=1,0,IFERROR(VLOOKUP(BX777,'Gebinde-Kategorie'!$A$5:$N$45,13,0)+0,0))</f>
        <v>140</v>
      </c>
      <c r="S777" s="54"/>
      <c r="T777" s="55"/>
      <c r="U777" s="55"/>
      <c r="V777" s="55"/>
      <c r="W777" s="48"/>
      <c r="X777" s="50"/>
      <c r="Y777" s="50"/>
      <c r="Z777" s="48" t="n">
        <f aca="false">IF(A777="","",IF(AND(Parameter!$B$21="Ja",ISNUMBER(W777)),W777,IF(CC777="2+3",IF(ISNUMBER(SEARCH("grosser Artikel",BU777)),2,IFERROR(VLOOKUP(BX777,Parameter!$F$35:$G$64,2,0),2)),IF(OR(CC777="Nein",CC777=""),"-",CC777))))</f>
        <v>3</v>
      </c>
      <c r="AA777" s="55"/>
      <c r="AB777" s="56"/>
      <c r="AC777" s="50" t="n">
        <f aca="false">AV777</f>
        <v>15</v>
      </c>
      <c r="AD777" s="50" t="n">
        <f aca="false">MAX(AV777,H777)</f>
        <v>459</v>
      </c>
      <c r="AE777" s="57"/>
      <c r="AF777" s="50" t="n">
        <f aca="false">IF(LEFT(Cockpit!$C$5,1)="A",H777,IF(Parameter!$E$30="MAX-Bestand",IF(CH777=1,CI777,IF(LEFT(Cockpit!$C$5,1)="B",AL777,MAX(AL777,H777))),ROUNDUP(AJ777,0)))</f>
        <v>459</v>
      </c>
      <c r="AG777" s="50" t="n">
        <f aca="false">IF(BZ777=1,0,ROUNDUP(AF777/BY777,0))</f>
        <v>1</v>
      </c>
      <c r="AH777" s="52" t="n">
        <f aca="false">IF(CQ777&gt;0,CQ777*MAX(1,AF777/X777),IF(BZ777=1,IF(AF777&lt;=0,0,CD777*MAX(1,IF(H777&gt;0,AF777/H777,1))),IF(R777&gt;0,AG777/R777,0))/MAX(0.1,N(Parameter!$M$21)))</f>
        <v>0.00714285714285714</v>
      </c>
      <c r="AI777" s="50" t="n">
        <f aca="false">AH777*CB777</f>
        <v>1.10714285714286</v>
      </c>
      <c r="AJ777" s="51" t="n">
        <f aca="false">IF(LEFT(Cockpit!$C$5,1)="A",H777,IF(CH777=1,(CK777+CI777)/2,IF(LEFT(Cockpit!$C$5,1)="B",(CK777+AL777)/2,MAX((CK777+AL777)/2,H777))))</f>
        <v>459</v>
      </c>
      <c r="AK777" s="50" t="n">
        <f aca="false">AJ777*G777</f>
        <v>13.77</v>
      </c>
      <c r="AL777" s="50" t="n">
        <f aca="false">ROUNDUP(CK777+MAX(CL777,2*(J777/IF(CG777&gt;0,CG777,MAX(0.1,N(Cockpit!$C$6)))-CK777)),0)</f>
        <v>15</v>
      </c>
      <c r="AM777" s="51" t="n">
        <f aca="false">IF(AI777&gt;0,J777/AI777,-1)</f>
        <v>14.4516129032258</v>
      </c>
      <c r="AN777" s="51" t="n">
        <f aca="false">IF(AND(OR(CF777="L1",CF777="L23",CF777="LIFT"),AI777&gt;0),SUMIFS($AI$7:$AI$1843,$CF$7:$CF$1843,CF777,$AM$7:$AM$1843,"&gt;"&amp;AM777)+SUMIFS($AI$7:$AI$1843,$CF$7:$CF$1843,CF777,$AM$7:$AM$1843,AM777,$BW$7:$BW$1843,"&lt;="&amp;BW777),"")</f>
        <v>2099.13598901099</v>
      </c>
      <c r="AO777" s="58" t="n">
        <f aca="false">IF(AN777="",0,MAX(0,MIN(1,(IF(CF777="L1",Parameter!$H$5,IF(CF777="L23",Parameter!$H$6+Parameter!$H$7,Parameter!$H$5+Parameter!$H$6+Parameter!$H$7))-(AN777-AI777))/AI777)))</f>
        <v>1</v>
      </c>
      <c r="AP777" s="50" t="n">
        <f aca="false">IF(LEFT(Cockpit!$I$5,1)="A",H777,IF(Parameter!$E$30="MAX-Bestand",IF(CH777=1,CI777,IF(LEFT(Cockpit!$I$5,1)="B",AV777,MAX(AV777,H777))),ROUNDUP(AT777,0)))</f>
        <v>459</v>
      </c>
      <c r="AQ777" s="50" t="n">
        <f aca="false">IF(BZ777=1,0,ROUNDUP(AP777/BY777,0))</f>
        <v>1</v>
      </c>
      <c r="AR777" s="52" t="n">
        <f aca="false">IF(CQ777&gt;0,CQ777*MAX(1,AP777/X777),IF(BZ777=1,IF(AP777&lt;=0,0,CD777*MAX(1,IF(H777&gt;0,AP777/H777,1))),IF(R777&gt;0,AQ777/R777,0))/MAX(0.1,N(Parameter!$M$21)))</f>
        <v>0.00714285714285714</v>
      </c>
      <c r="AS777" s="50" t="n">
        <f aca="false">AR777*CB777</f>
        <v>1.10714285714286</v>
      </c>
      <c r="AT777" s="51" t="n">
        <f aca="false">IF(LEFT(Cockpit!$I$5,1)="A",H777,IF(CH777=1,(CK777+CI777)/2,IF(LEFT(Cockpit!$I$5,1)="B",(CK777+AV777)/2,MAX((CK777+AV777)/2,H777))))</f>
        <v>459</v>
      </c>
      <c r="AU777" s="50" t="n">
        <f aca="false">AT777*G777</f>
        <v>13.77</v>
      </c>
      <c r="AV777" s="50" t="n">
        <f aca="false">ROUNDUP(CK777+MAX(CL777,2*(J777/IF(CG777&gt;0,CG777,MAX(0.1,N(Cockpit!$I$6)))-CK777)),0)</f>
        <v>15</v>
      </c>
      <c r="AW777" s="51" t="n">
        <f aca="false">IF(AS777&gt;0,J777/AS777,-1)</f>
        <v>14.4516129032258</v>
      </c>
      <c r="AX777" s="51" t="n">
        <f aca="false">IF(AND(OR(CF777="L1",CF777="L23",CF777="LIFT"),AS777&gt;0),SUMIFS($AS$7:$AS$1843,$CF$7:$CF$1843,CF777,$AW$7:$AW$1843,"&gt;"&amp;AW777)+SUMIFS($AS$7:$AS$1843,$CF$7:$CF$1843,CF777,$AW$7:$AW$1843,AW777,$BW$7:$BW$1843,"&lt;="&amp;BW777),"")</f>
        <v>2747.0728021978</v>
      </c>
      <c r="AY777" s="58" t="n">
        <f aca="false">IF(AX777="",0,MAX(0,MIN(1,(IF(CF777="L1",Parameter!$H$5,IF(CF777="L23",Parameter!$H$6+Parameter!$H$7,Parameter!$H$5+Parameter!$H$6+Parameter!$H$7))-(AX777-AS777))/AS777)))</f>
        <v>1</v>
      </c>
      <c r="AZ777" s="50" t="n">
        <f aca="false">IF(LEFT(Cockpit!$O$5,1)="A",H777,IF(Parameter!$E$30="MAX-Bestand",IF(CH777=1,CI777,IF(LEFT(Cockpit!$O$5,1)="B",BF777,MAX(BF777,H777))),ROUNDUP(BD777,0)))</f>
        <v>8</v>
      </c>
      <c r="BA777" s="50" t="n">
        <f aca="false">IF(BZ777=1,0,ROUNDUP(AZ777/BY777,0))</f>
        <v>1</v>
      </c>
      <c r="BB777" s="52" t="n">
        <f aca="false">IF(CQ777&gt;0,CQ777*MAX(1,AZ777/X777),IF(BZ777=1,IF(AZ777&lt;=0,0,CD777*MAX(1,IF(H777&gt;0,AZ777/H777,1))),IF(R777&gt;0,BA777/R777,0))/MAX(0.1,N(Parameter!$M$21)))</f>
        <v>0.00714285714285714</v>
      </c>
      <c r="BC777" s="50" t="n">
        <f aca="false">BB777*CB777</f>
        <v>1.10714285714286</v>
      </c>
      <c r="BD777" s="51" t="n">
        <f aca="false">IF(LEFT(Cockpit!$O$5,1)="A",H777,IF(CH777=1,(CK777+CI777)/2,IF(LEFT(Cockpit!$O$5,1)="B",(CK777+BF777)/2,MAX((CK777+BF777)/2,H777))))</f>
        <v>7.5</v>
      </c>
      <c r="BE777" s="50" t="n">
        <f aca="false">BD777*G777</f>
        <v>0.225</v>
      </c>
      <c r="BF777" s="50" t="n">
        <f aca="false">ROUNDUP(CK777+MAX(CL777,2*(J777/IF(CG777&gt;0,CG777,MAX(0.1,N(Cockpit!$O$6)))-CK777)),0)</f>
        <v>15</v>
      </c>
      <c r="BG777" s="51" t="n">
        <f aca="false">IF(BC777&gt;0,J777/BC777,-1)</f>
        <v>14.4516129032258</v>
      </c>
      <c r="BH777" s="51" t="n">
        <f aca="false">IF(AND(OR(CF777="L1",CF777="L23",CF777="LIFT"),BC777&gt;0),SUMIFS($BC$7:$BC$1843,$CF$7:$CF$1843,CF777,$BG$7:$BG$1843,"&gt;"&amp;BG777)+SUMIFS($BC$7:$BC$1843,$CF$7:$CF$1843,CF777,$BG$7:$BG$1843,BG777,$BW$7:$BW$1843,"&lt;="&amp;BW777),"")</f>
        <v>2430.66346153846</v>
      </c>
      <c r="BI777" s="58" t="n">
        <f aca="false">IF(BH777="",0,MAX(0,MIN(1,(IF(CF777="L1",Parameter!$H$5,IF(CF777="L23",Parameter!$H$6+Parameter!$H$7,Parameter!$H$5+Parameter!$H$6+Parameter!$H$7))-(BH777-BC777))/BC777)))</f>
        <v>1</v>
      </c>
      <c r="BJ777" s="48" t="str">
        <f aca="false">IF(AI777&lt;=0,"",IF(CF777="Aussen","Aussenlager",IF(CF777="-","Nicht im Lift",IF(AO777&gt;=1,"Lift",IF(AO777&lt;=0,"Aussenlager","teilweise")))))</f>
        <v>Lift</v>
      </c>
      <c r="BK777" s="48" t="str">
        <f aca="false">IF(AS777&lt;=0,"",IF(CF777="Aussen","Aussenlager",IF(CF777="-","Nicht im Lift",IF(AY777&gt;=1,"Lift",IF(AY777&lt;=0,"Aussenlager","teilweise")))))</f>
        <v>Lift</v>
      </c>
      <c r="BL777" s="48" t="str">
        <f aca="false">IF(BC777&lt;=0,"",IF(CF777="Aussen","Aussenlager",IF(CF777="-","Nicht im Lift",IF(BI777&gt;=1,"Lift",IF(BI777&lt;=0,"Aussenlager","teilweise")))))</f>
        <v>Lift</v>
      </c>
      <c r="BM777" s="48" t="str">
        <f aca="false">IF(A777="","",IF(BV777=1,"Neu; ","")&amp;IF(AND(BV777=0,BQ777&lt;0),"negativer Bestand (Export "&amp;BQ777&amp;"); ","")&amp;IF(J777&lt;=0,"Kein Verbrauch; ","")&amp;IF(CQ777&gt;0,"Lift "&amp;W777&amp;" lt. Liftbericht (Fach "&amp;X777&amp;" Stk); ",IF(CA777=1,"Gebinde geschätzt ("&amp;T777&amp;"); ",IF(BZ777=1,"Lose – Tablare geschätzt; ","")))&amp;IF(H777&gt;AV777,"Überbestand "&amp;ROUND(H777-AV777,0)&amp;" Stk / CHF "&amp;ROUND((H777-AV777)*G777,0)&amp;"; ","")&amp;IF(AND(CH777=1,CI777&lt;CJ777),"MAX &lt; MB+LG; ","")&amp;IF(AND(CP777&gt;0,CO777*10&gt;CP777),"zu hoch für Tablar; ","")&amp;IF(AND(BV777=0,OR(CH777=1,AA777&lt;&gt;"",U777&lt;&gt;"",V777&lt;&gt;"",AB777&lt;&gt;"")),"manuell übersteuert; ","")&amp;IF(AND(BZ777=0,R777=0),"Gebinde unbekannt / Stellmass fehlt; ","")&amp;IF(AND(BZ777=0,N(V777)&lt;=0,N(Q777)&lt;=0),"Menge pro Gebinde fehlt (Ist = 1 Gebinde); ","")&amp;BU777)</f>
        <v>negativer Bestand (Export -51); Überbestand 444 Stk / CHF 13; Überbestand</v>
      </c>
      <c r="BN777" s="48"/>
      <c r="BO777" s="48"/>
      <c r="BP777" s="55"/>
      <c r="BQ777" s="50" t="n">
        <v>-51</v>
      </c>
      <c r="BR777" s="50" t="n">
        <v>510</v>
      </c>
      <c r="BS777" s="49" t="n">
        <v>-1.53</v>
      </c>
      <c r="BT777" s="50" t="n">
        <v>16</v>
      </c>
      <c r="BU777" s="48" t="s">
        <v>401</v>
      </c>
      <c r="BV777" s="53" t="n">
        <v>0</v>
      </c>
      <c r="BW777" s="53" t="n">
        <v>777</v>
      </c>
      <c r="BX777" s="48" t="str">
        <f aca="false">IF(U777&lt;&gt;"",UPPER(TRIM(U777)),IF(CA777=1,UPPER(VLOOKUP(T777,Parameter!$I$27:$K$29,2,0)),IF(P777="","LOSE",P777)))</f>
        <v>S22</v>
      </c>
      <c r="BY777" s="50" t="n">
        <f aca="false">IF(BX777="LOSE",1,IF(N(V777)&gt;0,V777,IF(CA777=1,MAX(1,N(VLOOKUP(T777,Parameter!$I$27:$K$29,3,0)),H777,N(N777)),IF(N(Q777)&gt;0,Q777,MAX(1,H777)))))</f>
        <v>535</v>
      </c>
      <c r="BZ777" s="53" t="n">
        <f aca="false">IF(BX777="LOSE",1,0)</f>
        <v>0</v>
      </c>
      <c r="CA777" s="53" t="n">
        <f aca="false">IF(AND(U777="",OR(P777="",P777="LOSE"),T777&lt;&gt;"",N(S777)&lt;=0,ISNUMBER(MATCH(T777,Parameter!$I$27:$I$29,0))),1,0)</f>
        <v>0</v>
      </c>
      <c r="CB777" s="53" t="n">
        <f aca="false">IF(CQ777&gt;0,INDEX(Parameter!$H$5:$H$7,W777)/INDEX(Parameter!$E$5:$E$7,W777),IF(AND(BZ777=0,N(IFERROR(VLOOKUP(BX777,'Gebinde-Kategorie'!$A$5:$N$45,14,0),0))&gt;0),VLOOKUP(BX777,'Gebinde-Kategorie'!$A$5:$N$45,14,0)*10+Parameter!$M$23,Parameter!$M$24))</f>
        <v>155</v>
      </c>
      <c r="CC777" s="48" t="str">
        <f aca="false">IF(AND(Parameter!$B$19="Ja",E777&lt;&gt;"",ISNUMBER(MATCH(E777,Parameter!$I$35:$I$52,0))),VLOOKUP(E777,Parameter!$I$35:$J$52,2,0),IFERROR(VLOOKUP(D777,Parameter!$A$35:$C$64,2,0),"Nein"))</f>
        <v>2+3</v>
      </c>
      <c r="CD777" s="52" t="n">
        <f aca="false">IF(BZ777=0,0,IF(N(S777)&gt;0,S777,IFERROR(VLOOKUP(D777,Parameter!$A$35:$C$64,3,0)+0,0)))</f>
        <v>0</v>
      </c>
      <c r="CE777" s="48" t="n">
        <f aca="false">IF(AA777&lt;&gt;"",AA777,Z777)</f>
        <v>3</v>
      </c>
      <c r="CF777" s="48" t="str">
        <f aca="false">IF(OR(CE777=1,CE777=2,CE777=3),IF(Parameter!$E$27="Ja","LIFT",IF(CE777=1,"L1","L23")),IF(CE777="Aussen","Aussen","-"))</f>
        <v>LIFT</v>
      </c>
      <c r="CG777" s="59" t="n">
        <f aca="false">IF(N(AB777)&gt;0,AB777,0)</f>
        <v>0</v>
      </c>
      <c r="CH777" s="53" t="n">
        <f aca="false">IF(ISNUMBER(AE777),1,0)</f>
        <v>0</v>
      </c>
      <c r="CI777" s="50" t="n">
        <f aca="false">N(AE777)</f>
        <v>0</v>
      </c>
      <c r="CJ777" s="50" t="n">
        <f aca="false">N(M777)+N(N777)</f>
        <v>15</v>
      </c>
      <c r="CK777" s="50" t="n">
        <f aca="false">N(M777)</f>
        <v>0</v>
      </c>
      <c r="CL777" s="50" t="n">
        <f aca="false">N(N777)</f>
        <v>15</v>
      </c>
      <c r="CM777" s="50" t="n">
        <f aca="false">ROUNDUP(H777/BY777,0)</f>
        <v>1</v>
      </c>
      <c r="CN777" s="50" t="n">
        <f aca="false">ROUNDUP(CI777/BY777,0)</f>
        <v>0</v>
      </c>
      <c r="CO777" s="53" t="n">
        <f aca="false">IF(BZ777=1,0,IFERROR(VLOOKUP(BX777,'Gebinde-Kategorie'!$A$5:$N$45,5,0)+0,0))</f>
        <v>8</v>
      </c>
      <c r="CP777" s="53" t="n">
        <f aca="false">IFERROR(IF(OR(CE777=1,CE777=2,CE777=3),N(INDEX(Parameter!$I$5:$I$7,CE777)),0),0)</f>
        <v>0</v>
      </c>
      <c r="CQ777" s="52" t="n">
        <f aca="false">IF(AND(Parameter!$B$21="Ja",ISNUMBER(W777),N(X777)&gt;0),IFERROR(N(INDEX(Parameter!$L$5:$L$7,W777))*INDEX(Parameter!$E$5:$E$7,W777)*X777/SUMIFS($X$7:$X$1843,$W$7:$W$1843,W777),0),0)</f>
        <v>0</v>
      </c>
    </row>
    <row r="778" customFormat="false" ht="15" hidden="false" customHeight="false" outlineLevel="0" collapsed="false">
      <c r="A778" s="48" t="s">
        <v>1531</v>
      </c>
      <c r="B778" s="48" t="s">
        <v>414</v>
      </c>
      <c r="C778" s="48" t="s">
        <v>173</v>
      </c>
      <c r="D778" s="48" t="s">
        <v>193</v>
      </c>
      <c r="E778" s="48" t="s">
        <v>194</v>
      </c>
      <c r="F778" s="48" t="s">
        <v>227</v>
      </c>
      <c r="G778" s="49" t="n">
        <v>0.03</v>
      </c>
      <c r="H778" s="50" t="n">
        <f aca="false">MAX(0,IF(AND(Parameter!$B$21="Ja",ISNUMBER(Y778)),Y778,IF(Parameter!$B$20="Jahresanfang 2025 + Export",BR778+BQ778,BQ778)))</f>
        <v>697</v>
      </c>
      <c r="I778" s="50" t="n">
        <f aca="false">H778*G778</f>
        <v>20.91</v>
      </c>
      <c r="J778" s="50" t="n">
        <f aca="false">BT778*Parameter!$B$18</f>
        <v>30</v>
      </c>
      <c r="K778" s="51" t="n">
        <v>736.5</v>
      </c>
      <c r="L778" s="52" t="n">
        <v>0.0407331975560082</v>
      </c>
      <c r="M778" s="50" t="n">
        <v>1</v>
      </c>
      <c r="N778" s="50" t="n">
        <v>30</v>
      </c>
      <c r="O778" s="53" t="n">
        <v>21</v>
      </c>
      <c r="P778" s="48" t="s">
        <v>311</v>
      </c>
      <c r="Q778" s="50" t="n">
        <v>426</v>
      </c>
      <c r="R778" s="53" t="n">
        <f aca="false">IF(BZ778=1,0,IFERROR(VLOOKUP(BX778,'Gebinde-Kategorie'!$A$5:$N$45,13,0)+0,0))</f>
        <v>26</v>
      </c>
      <c r="S778" s="54"/>
      <c r="T778" s="55"/>
      <c r="U778" s="55"/>
      <c r="V778" s="55"/>
      <c r="W778" s="48"/>
      <c r="X778" s="50"/>
      <c r="Y778" s="50"/>
      <c r="Z778" s="48" t="n">
        <f aca="false">IF(A778="","",IF(AND(Parameter!$B$21="Ja",ISNUMBER(W778)),W778,IF(CC778="2+3",IF(ISNUMBER(SEARCH("grosser Artikel",BU778)),2,IFERROR(VLOOKUP(BX778,Parameter!$F$35:$G$64,2,0),2)),IF(OR(CC778="Nein",CC778=""),"-",CC778))))</f>
        <v>3</v>
      </c>
      <c r="AA778" s="55"/>
      <c r="AB778" s="56"/>
      <c r="AC778" s="50" t="n">
        <f aca="false">AV778</f>
        <v>31</v>
      </c>
      <c r="AD778" s="50" t="n">
        <f aca="false">MAX(AV778,H778)</f>
        <v>697</v>
      </c>
      <c r="AE778" s="57"/>
      <c r="AF778" s="50" t="n">
        <f aca="false">IF(LEFT(Cockpit!$C$5,1)="A",H778,IF(Parameter!$E$30="MAX-Bestand",IF(CH778=1,CI778,IF(LEFT(Cockpit!$C$5,1)="B",AL778,MAX(AL778,H778))),ROUNDUP(AJ778,0)))</f>
        <v>697</v>
      </c>
      <c r="AG778" s="50" t="n">
        <f aca="false">IF(BZ778=1,0,ROUNDUP(AF778/BY778,0))</f>
        <v>2</v>
      </c>
      <c r="AH778" s="52" t="n">
        <f aca="false">IF(CQ778&gt;0,CQ778*MAX(1,AF778/X778),IF(BZ778=1,IF(AF778&lt;=0,0,CD778*MAX(1,IF(H778&gt;0,AF778/H778,1))),IF(R778&gt;0,AG778/R778,0))/MAX(0.1,N(Parameter!$M$21)))</f>
        <v>0.0769230769230769</v>
      </c>
      <c r="AI778" s="50" t="n">
        <f aca="false">AH778*CB778</f>
        <v>11.9230769230769</v>
      </c>
      <c r="AJ778" s="51" t="n">
        <f aca="false">IF(LEFT(Cockpit!$C$5,1)="A",H778,IF(CH778=1,(CK778+CI778)/2,IF(LEFT(Cockpit!$C$5,1)="B",(CK778+AL778)/2,MAX((CK778+AL778)/2,H778))))</f>
        <v>697</v>
      </c>
      <c r="AK778" s="50" t="n">
        <f aca="false">AJ778*G778</f>
        <v>20.91</v>
      </c>
      <c r="AL778" s="50" t="n">
        <f aca="false">ROUNDUP(CK778+MAX(CL778,2*(J778/IF(CG778&gt;0,CG778,MAX(0.1,N(Cockpit!$C$6)))-CK778)),0)</f>
        <v>31</v>
      </c>
      <c r="AM778" s="51" t="n">
        <f aca="false">IF(AI778&gt;0,J778/AI778,-1)</f>
        <v>2.51612903225806</v>
      </c>
      <c r="AN778" s="51" t="n">
        <f aca="false">IF(AND(OR(CF778="L1",CF778="L23",CF778="LIFT"),AI778&gt;0),SUMIFS($AI$7:$AI$1843,$CF$7:$CF$1843,CF778,$AM$7:$AM$1843,"&gt;"&amp;AM778)+SUMIFS($AI$7:$AI$1843,$CF$7:$CF$1843,CF778,$AM$7:$AM$1843,AM778,$BW$7:$BW$1843,"&lt;="&amp;BW778),"")</f>
        <v>5440.33287545788</v>
      </c>
      <c r="AO778" s="58" t="n">
        <f aca="false">IF(AN778="",0,MAX(0,MIN(1,(IF(CF778="L1",Parameter!$H$5,IF(CF778="L23",Parameter!$H$6+Parameter!$H$7,Parameter!$H$5+Parameter!$H$6+Parameter!$H$7))-(AN778-AI778))/AI778)))</f>
        <v>1</v>
      </c>
      <c r="AP778" s="50" t="n">
        <f aca="false">IF(LEFT(Cockpit!$I$5,1)="A",H778,IF(Parameter!$E$30="MAX-Bestand",IF(CH778=1,CI778,IF(LEFT(Cockpit!$I$5,1)="B",AV778,MAX(AV778,H778))),ROUNDUP(AT778,0)))</f>
        <v>697</v>
      </c>
      <c r="AQ778" s="50" t="n">
        <f aca="false">IF(BZ778=1,0,ROUNDUP(AP778/BY778,0))</f>
        <v>2</v>
      </c>
      <c r="AR778" s="52" t="n">
        <f aca="false">IF(CQ778&gt;0,CQ778*MAX(1,AP778/X778),IF(BZ778=1,IF(AP778&lt;=0,0,CD778*MAX(1,IF(H778&gt;0,AP778/H778,1))),IF(R778&gt;0,AQ778/R778,0))/MAX(0.1,N(Parameter!$M$21)))</f>
        <v>0.0769230769230769</v>
      </c>
      <c r="AS778" s="50" t="n">
        <f aca="false">AR778*CB778</f>
        <v>11.9230769230769</v>
      </c>
      <c r="AT778" s="51" t="n">
        <f aca="false">IF(LEFT(Cockpit!$I$5,1)="A",H778,IF(CH778=1,(CK778+CI778)/2,IF(LEFT(Cockpit!$I$5,1)="B",(CK778+AV778)/2,MAX((CK778+AV778)/2,H778))))</f>
        <v>697</v>
      </c>
      <c r="AU778" s="50" t="n">
        <f aca="false">AT778*G778</f>
        <v>20.91</v>
      </c>
      <c r="AV778" s="50" t="n">
        <f aca="false">ROUNDUP(CK778+MAX(CL778,2*(J778/IF(CG778&gt;0,CG778,MAX(0.1,N(Cockpit!$I$6)))-CK778)),0)</f>
        <v>31</v>
      </c>
      <c r="AW778" s="51" t="n">
        <f aca="false">IF(AS778&gt;0,J778/AS778,-1)</f>
        <v>2.51612903225806</v>
      </c>
      <c r="AX778" s="51" t="n">
        <f aca="false">IF(AND(OR(CF778="L1",CF778="L23",CF778="LIFT"),AS778&gt;0),SUMIFS($AS$7:$AS$1843,$CF$7:$CF$1843,CF778,$AW$7:$AW$1843,"&gt;"&amp;AW778)+SUMIFS($AS$7:$AS$1843,$CF$7:$CF$1843,CF778,$AW$7:$AW$1843,AW778,$BW$7:$BW$1843,"&lt;="&amp;BW778),"")</f>
        <v>6213.5608974359</v>
      </c>
      <c r="AY778" s="58" t="n">
        <f aca="false">IF(AX778="",0,MAX(0,MIN(1,(IF(CF778="L1",Parameter!$H$5,IF(CF778="L23",Parameter!$H$6+Parameter!$H$7,Parameter!$H$5+Parameter!$H$6+Parameter!$H$7))-(AX778-AS778))/AS778)))</f>
        <v>1</v>
      </c>
      <c r="AZ778" s="50" t="n">
        <f aca="false">IF(LEFT(Cockpit!$O$5,1)="A",H778,IF(Parameter!$E$30="MAX-Bestand",IF(CH778=1,CI778,IF(LEFT(Cockpit!$O$5,1)="B",BF778,MAX(BF778,H778))),ROUNDUP(BD778,0)))</f>
        <v>16</v>
      </c>
      <c r="BA778" s="50" t="n">
        <f aca="false">IF(BZ778=1,0,ROUNDUP(AZ778/BY778,0))</f>
        <v>1</v>
      </c>
      <c r="BB778" s="52" t="n">
        <f aca="false">IF(CQ778&gt;0,CQ778*MAX(1,AZ778/X778),IF(BZ778=1,IF(AZ778&lt;=0,0,CD778*MAX(1,IF(H778&gt;0,AZ778/H778,1))),IF(R778&gt;0,BA778/R778,0))/MAX(0.1,N(Parameter!$M$21)))</f>
        <v>0.0384615384615385</v>
      </c>
      <c r="BC778" s="50" t="n">
        <f aca="false">BB778*CB778</f>
        <v>5.96153846153846</v>
      </c>
      <c r="BD778" s="51" t="n">
        <f aca="false">IF(LEFT(Cockpit!$O$5,1)="A",H778,IF(CH778=1,(CK778+CI778)/2,IF(LEFT(Cockpit!$O$5,1)="B",(CK778+BF778)/2,MAX((CK778+BF778)/2,H778))))</f>
        <v>16</v>
      </c>
      <c r="BE778" s="50" t="n">
        <f aca="false">BD778*G778</f>
        <v>0.48</v>
      </c>
      <c r="BF778" s="50" t="n">
        <f aca="false">ROUNDUP(CK778+MAX(CL778,2*(J778/IF(CG778&gt;0,CG778,MAX(0.1,N(Cockpit!$O$6)))-CK778)),0)</f>
        <v>31</v>
      </c>
      <c r="BG778" s="51" t="n">
        <f aca="false">IF(BC778&gt;0,J778/BC778,-1)</f>
        <v>5.03225806451613</v>
      </c>
      <c r="BH778" s="51" t="n">
        <f aca="false">IF(AND(OR(CF778="L1",CF778="L23",CF778="LIFT"),BC778&gt;0),SUMIFS($BC$7:$BC$1843,$CF$7:$CF$1843,CF778,$BG$7:$BG$1843,"&gt;"&amp;BG778)+SUMIFS($BC$7:$BC$1843,$CF$7:$CF$1843,CF778,$BG$7:$BG$1843,BG778,$BW$7:$BW$1843,"&lt;="&amp;BW778),"")</f>
        <v>3706.37728937729</v>
      </c>
      <c r="BI778" s="58" t="n">
        <f aca="false">IF(BH778="",0,MAX(0,MIN(1,(IF(CF778="L1",Parameter!$H$5,IF(CF778="L23",Parameter!$H$6+Parameter!$H$7,Parameter!$H$5+Parameter!$H$6+Parameter!$H$7))-(BH778-BC778))/BC778)))</f>
        <v>1</v>
      </c>
      <c r="BJ778" s="48" t="str">
        <f aca="false">IF(AI778&lt;=0,"",IF(CF778="Aussen","Aussenlager",IF(CF778="-","Nicht im Lift",IF(AO778&gt;=1,"Lift",IF(AO778&lt;=0,"Aussenlager","teilweise")))))</f>
        <v>Lift</v>
      </c>
      <c r="BK778" s="48" t="str">
        <f aca="false">IF(AS778&lt;=0,"",IF(CF778="Aussen","Aussenlager",IF(CF778="-","Nicht im Lift",IF(AY778&gt;=1,"Lift",IF(AY778&lt;=0,"Aussenlager","teilweise")))))</f>
        <v>Lift</v>
      </c>
      <c r="BL778" s="48" t="str">
        <f aca="false">IF(BC778&lt;=0,"",IF(CF778="Aussen","Aussenlager",IF(CF778="-","Nicht im Lift",IF(BI778&gt;=1,"Lift",IF(BI778&lt;=0,"Aussenlager","teilweise")))))</f>
        <v>Lift</v>
      </c>
      <c r="BM778" s="48" t="str">
        <f aca="false">IF(A778="","",IF(BV778=1,"Neu; ","")&amp;IF(AND(BV778=0,BQ778&lt;0),"negativer Bestand (Export "&amp;BQ778&amp;"); ","")&amp;IF(J778&lt;=0,"Kein Verbrauch; ","")&amp;IF(CQ778&gt;0,"Lift "&amp;W778&amp;" lt. Liftbericht (Fach "&amp;X778&amp;" Stk); ",IF(CA778=1,"Gebinde geschätzt ("&amp;T778&amp;"); ",IF(BZ778=1,"Lose – Tablare geschätzt; ","")))&amp;IF(H778&gt;AV778,"Überbestand "&amp;ROUND(H778-AV778,0)&amp;" Stk / CHF "&amp;ROUND((H778-AV778)*G778,0)&amp;"; ","")&amp;IF(AND(CH778=1,CI778&lt;CJ778),"MAX &lt; MB+LG; ","")&amp;IF(AND(CP778&gt;0,CO778*10&gt;CP778),"zu hoch für Tablar; ","")&amp;IF(AND(BV778=0,OR(CH778=1,AA778&lt;&gt;"",U778&lt;&gt;"",V778&lt;&gt;"",AB778&lt;&gt;"")),"manuell übersteuert; ","")&amp;IF(AND(BZ778=0,R778=0),"Gebinde unbekannt / Stellmass fehlt; ","")&amp;IF(AND(BZ778=0,N(V778)&lt;=0,N(Q778)&lt;=0),"Menge pro Gebinde fehlt (Ist = 1 Gebinde); ","")&amp;BU778)</f>
        <v>negativer Bestand (Export -53); Überbestand 666 Stk / CHF 20; Überbestand</v>
      </c>
      <c r="BN778" s="48"/>
      <c r="BO778" s="48"/>
      <c r="BP778" s="55"/>
      <c r="BQ778" s="50" t="n">
        <v>-53</v>
      </c>
      <c r="BR778" s="50" t="n">
        <v>750</v>
      </c>
      <c r="BS778" s="49" t="n">
        <v>-1.59</v>
      </c>
      <c r="BT778" s="50" t="n">
        <v>30</v>
      </c>
      <c r="BU778" s="48" t="s">
        <v>401</v>
      </c>
      <c r="BV778" s="53" t="n">
        <v>0</v>
      </c>
      <c r="BW778" s="53" t="n">
        <v>778</v>
      </c>
      <c r="BX778" s="48" t="str">
        <f aca="false">IF(U778&lt;&gt;"",UPPER(TRIM(U778)),IF(CA778=1,UPPER(VLOOKUP(T778,Parameter!$I$27:$K$29,2,0)),IF(P778="","LOSE",P778)))</f>
        <v>S51</v>
      </c>
      <c r="BY778" s="50" t="n">
        <f aca="false">IF(BX778="LOSE",1,IF(N(V778)&gt;0,V778,IF(CA778=1,MAX(1,N(VLOOKUP(T778,Parameter!$I$27:$K$29,3,0)),H778,N(N778)),IF(N(Q778)&gt;0,Q778,MAX(1,H778)))))</f>
        <v>426</v>
      </c>
      <c r="BZ778" s="53" t="n">
        <f aca="false">IF(BX778="LOSE",1,0)</f>
        <v>0</v>
      </c>
      <c r="CA778" s="53" t="n">
        <f aca="false">IF(AND(U778="",OR(P778="",P778="LOSE"),T778&lt;&gt;"",N(S778)&lt;=0,ISNUMBER(MATCH(T778,Parameter!$I$27:$I$29,0))),1,0)</f>
        <v>0</v>
      </c>
      <c r="CB778" s="53" t="n">
        <f aca="false">IF(CQ778&gt;0,INDEX(Parameter!$H$5:$H$7,W778)/INDEX(Parameter!$E$5:$E$7,W778),IF(AND(BZ778=0,N(IFERROR(VLOOKUP(BX778,'Gebinde-Kategorie'!$A$5:$N$45,14,0),0))&gt;0),VLOOKUP(BX778,'Gebinde-Kategorie'!$A$5:$N$45,14,0)*10+Parameter!$M$23,Parameter!$M$24))</f>
        <v>155</v>
      </c>
      <c r="CC778" s="48" t="str">
        <f aca="false">IF(AND(Parameter!$B$19="Ja",E778&lt;&gt;"",ISNUMBER(MATCH(E778,Parameter!$I$35:$I$52,0))),VLOOKUP(E778,Parameter!$I$35:$J$52,2,0),IFERROR(VLOOKUP(D778,Parameter!$A$35:$C$64,2,0),"Nein"))</f>
        <v>2+3</v>
      </c>
      <c r="CD778" s="52" t="n">
        <f aca="false">IF(BZ778=0,0,IF(N(S778)&gt;0,S778,IFERROR(VLOOKUP(D778,Parameter!$A$35:$C$64,3,0)+0,0)))</f>
        <v>0</v>
      </c>
      <c r="CE778" s="48" t="n">
        <f aca="false">IF(AA778&lt;&gt;"",AA778,Z778)</f>
        <v>3</v>
      </c>
      <c r="CF778" s="48" t="str">
        <f aca="false">IF(OR(CE778=1,CE778=2,CE778=3),IF(Parameter!$E$27="Ja","LIFT",IF(CE778=1,"L1","L23")),IF(CE778="Aussen","Aussen","-"))</f>
        <v>LIFT</v>
      </c>
      <c r="CG778" s="59" t="n">
        <f aca="false">IF(N(AB778)&gt;0,AB778,0)</f>
        <v>0</v>
      </c>
      <c r="CH778" s="53" t="n">
        <f aca="false">IF(ISNUMBER(AE778),1,0)</f>
        <v>0</v>
      </c>
      <c r="CI778" s="50" t="n">
        <f aca="false">N(AE778)</f>
        <v>0</v>
      </c>
      <c r="CJ778" s="50" t="n">
        <f aca="false">N(M778)+N(N778)</f>
        <v>31</v>
      </c>
      <c r="CK778" s="50" t="n">
        <f aca="false">N(M778)</f>
        <v>1</v>
      </c>
      <c r="CL778" s="50" t="n">
        <f aca="false">N(N778)</f>
        <v>30</v>
      </c>
      <c r="CM778" s="50" t="n">
        <f aca="false">ROUNDUP(H778/BY778,0)</f>
        <v>2</v>
      </c>
      <c r="CN778" s="50" t="n">
        <f aca="false">ROUNDUP(CI778/BY778,0)</f>
        <v>0</v>
      </c>
      <c r="CO778" s="53" t="n">
        <f aca="false">IF(BZ778=1,0,IFERROR(VLOOKUP(BX778,'Gebinde-Kategorie'!$A$5:$N$45,5,0)+0,0))</f>
        <v>11</v>
      </c>
      <c r="CP778" s="53" t="n">
        <f aca="false">IFERROR(IF(OR(CE778=1,CE778=2,CE778=3),N(INDEX(Parameter!$I$5:$I$7,CE778)),0),0)</f>
        <v>0</v>
      </c>
      <c r="CQ778" s="52" t="n">
        <f aca="false">IF(AND(Parameter!$B$21="Ja",ISNUMBER(W778),N(X778)&gt;0),IFERROR(N(INDEX(Parameter!$L$5:$L$7,W778))*INDEX(Parameter!$E$5:$E$7,W778)*X778/SUMIFS($X$7:$X$1843,$W$7:$W$1843,W778),0),0)</f>
        <v>0</v>
      </c>
    </row>
    <row r="779" customFormat="false" ht="15" hidden="false" customHeight="false" outlineLevel="0" collapsed="false">
      <c r="A779" s="48" t="s">
        <v>1532</v>
      </c>
      <c r="B779" s="48" t="s">
        <v>901</v>
      </c>
      <c r="C779" s="48" t="s">
        <v>173</v>
      </c>
      <c r="D779" s="48" t="s">
        <v>193</v>
      </c>
      <c r="E779" s="48" t="s">
        <v>194</v>
      </c>
      <c r="F779" s="48" t="s">
        <v>227</v>
      </c>
      <c r="G779" s="49" t="n">
        <v>8.81</v>
      </c>
      <c r="H779" s="50" t="n">
        <f aca="false">MAX(0,IF(AND(Parameter!$B$21="Ja",ISNUMBER(Y779)),Y779,IF(Parameter!$B$20="Jahresanfang 2025 + Export",BR779+BQ779,BQ779)))</f>
        <v>13</v>
      </c>
      <c r="I779" s="50" t="n">
        <f aca="false">H779*G779</f>
        <v>114.53</v>
      </c>
      <c r="J779" s="50" t="n">
        <f aca="false">BT779*Parameter!$B$18</f>
        <v>8</v>
      </c>
      <c r="K779" s="51" t="n">
        <v>7</v>
      </c>
      <c r="L779" s="52" t="n">
        <v>1.14285714285714</v>
      </c>
      <c r="M779" s="50" t="n">
        <v>0</v>
      </c>
      <c r="N779" s="50" t="n">
        <v>10</v>
      </c>
      <c r="O779" s="53" t="n">
        <v>19</v>
      </c>
      <c r="P779" s="48" t="s">
        <v>430</v>
      </c>
      <c r="Q779" s="50" t="n">
        <v>23</v>
      </c>
      <c r="R779" s="53" t="n">
        <f aca="false">IF(BZ779=1,0,IFERROR(VLOOKUP(BX779,'Gebinde-Kategorie'!$A$5:$N$45,13,0)+0,0))</f>
        <v>104</v>
      </c>
      <c r="S779" s="54"/>
      <c r="T779" s="55"/>
      <c r="U779" s="55"/>
      <c r="V779" s="55"/>
      <c r="W779" s="48"/>
      <c r="X779" s="50"/>
      <c r="Y779" s="50"/>
      <c r="Z779" s="48" t="n">
        <f aca="false">IF(A779="","",IF(AND(Parameter!$B$21="Ja",ISNUMBER(W779)),W779,IF(CC779="2+3",IF(ISNUMBER(SEARCH("grosser Artikel",BU779)),2,IFERROR(VLOOKUP(BX779,Parameter!$F$35:$G$64,2,0),2)),IF(OR(CC779="Nein",CC779=""),"-",CC779))))</f>
        <v>3</v>
      </c>
      <c r="AA779" s="55"/>
      <c r="AB779" s="56"/>
      <c r="AC779" s="50" t="n">
        <f aca="false">AV779</f>
        <v>10</v>
      </c>
      <c r="AD779" s="50" t="n">
        <f aca="false">MAX(AV779,H779)</f>
        <v>13</v>
      </c>
      <c r="AE779" s="57"/>
      <c r="AF779" s="50" t="n">
        <f aca="false">IF(LEFT(Cockpit!$C$5,1)="A",H779,IF(Parameter!$E$30="MAX-Bestand",IF(CH779=1,CI779,IF(LEFT(Cockpit!$C$5,1)="B",AL779,MAX(AL779,H779))),ROUNDUP(AJ779,0)))</f>
        <v>13</v>
      </c>
      <c r="AG779" s="50" t="n">
        <f aca="false">IF(BZ779=1,0,ROUNDUP(AF779/BY779,0))</f>
        <v>1</v>
      </c>
      <c r="AH779" s="52" t="n">
        <f aca="false">IF(CQ779&gt;0,CQ779*MAX(1,AF779/X779),IF(BZ779=1,IF(AF779&lt;=0,0,CD779*MAX(1,IF(H779&gt;0,AF779/H779,1))),IF(R779&gt;0,AG779/R779,0))/MAX(0.1,N(Parameter!$M$21)))</f>
        <v>0.00961538461538462</v>
      </c>
      <c r="AI779" s="50" t="n">
        <f aca="false">AH779*CB779</f>
        <v>1.49038461538462</v>
      </c>
      <c r="AJ779" s="51" t="n">
        <f aca="false">IF(LEFT(Cockpit!$C$5,1)="A",H779,IF(CH779=1,(CK779+CI779)/2,IF(LEFT(Cockpit!$C$5,1)="B",(CK779+AL779)/2,MAX((CK779+AL779)/2,H779))))</f>
        <v>13</v>
      </c>
      <c r="AK779" s="50" t="n">
        <f aca="false">AJ779*G779</f>
        <v>114.53</v>
      </c>
      <c r="AL779" s="50" t="n">
        <f aca="false">ROUNDUP(CK779+MAX(CL779,2*(J779/IF(CG779&gt;0,CG779,MAX(0.1,N(Cockpit!$C$6)))-CK779)),0)</f>
        <v>10</v>
      </c>
      <c r="AM779" s="51" t="n">
        <f aca="false">IF(AI779&gt;0,J779/AI779,-1)</f>
        <v>5.36774193548387</v>
      </c>
      <c r="AN779" s="51" t="n">
        <f aca="false">IF(AND(OR(CF779="L1",CF779="L23",CF779="LIFT"),AI779&gt;0),SUMIFS($AI$7:$AI$1843,$CF$7:$CF$1843,CF779,$AM$7:$AM$1843,"&gt;"&amp;AM779)+SUMIFS($AI$7:$AI$1843,$CF$7:$CF$1843,CF779,$AM$7:$AM$1843,AM779,$BW$7:$BW$1843,"&lt;="&amp;BW779),"")</f>
        <v>3727.68177655678</v>
      </c>
      <c r="AO779" s="58" t="n">
        <f aca="false">IF(AN779="",0,MAX(0,MIN(1,(IF(CF779="L1",Parameter!$H$5,IF(CF779="L23",Parameter!$H$6+Parameter!$H$7,Parameter!$H$5+Parameter!$H$6+Parameter!$H$7))-(AN779-AI779))/AI779)))</f>
        <v>1</v>
      </c>
      <c r="AP779" s="50" t="n">
        <f aca="false">IF(LEFT(Cockpit!$I$5,1)="A",H779,IF(Parameter!$E$30="MAX-Bestand",IF(CH779=1,CI779,IF(LEFT(Cockpit!$I$5,1)="B",AV779,MAX(AV779,H779))),ROUNDUP(AT779,0)))</f>
        <v>13</v>
      </c>
      <c r="AQ779" s="50" t="n">
        <f aca="false">IF(BZ779=1,0,ROUNDUP(AP779/BY779,0))</f>
        <v>1</v>
      </c>
      <c r="AR779" s="52" t="n">
        <f aca="false">IF(CQ779&gt;0,CQ779*MAX(1,AP779/X779),IF(BZ779=1,IF(AP779&lt;=0,0,CD779*MAX(1,IF(H779&gt;0,AP779/H779,1))),IF(R779&gt;0,AQ779/R779,0))/MAX(0.1,N(Parameter!$M$21)))</f>
        <v>0.00961538461538462</v>
      </c>
      <c r="AS779" s="50" t="n">
        <f aca="false">AR779*CB779</f>
        <v>1.49038461538462</v>
      </c>
      <c r="AT779" s="51" t="n">
        <f aca="false">IF(LEFT(Cockpit!$I$5,1)="A",H779,IF(CH779=1,(CK779+CI779)/2,IF(LEFT(Cockpit!$I$5,1)="B",(CK779+AV779)/2,MAX((CK779+AV779)/2,H779))))</f>
        <v>13</v>
      </c>
      <c r="AU779" s="50" t="n">
        <f aca="false">AT779*G779</f>
        <v>114.53</v>
      </c>
      <c r="AV779" s="50" t="n">
        <f aca="false">ROUNDUP(CK779+MAX(CL779,2*(J779/IF(CG779&gt;0,CG779,MAX(0.1,N(Cockpit!$I$6)))-CK779)),0)</f>
        <v>10</v>
      </c>
      <c r="AW779" s="51" t="n">
        <f aca="false">IF(AS779&gt;0,J779/AS779,-1)</f>
        <v>5.36774193548387</v>
      </c>
      <c r="AX779" s="51" t="n">
        <f aca="false">IF(AND(OR(CF779="L1",CF779="L23",CF779="LIFT"),AS779&gt;0),SUMIFS($AS$7:$AS$1843,$CF$7:$CF$1843,CF779,$AW$7:$AW$1843,"&gt;"&amp;AW779)+SUMIFS($AS$7:$AS$1843,$CF$7:$CF$1843,CF779,$AW$7:$AW$1843,AW779,$BW$7:$BW$1843,"&lt;="&amp;BW779),"")</f>
        <v>4381.42261904762</v>
      </c>
      <c r="AY779" s="58" t="n">
        <f aca="false">IF(AX779="",0,MAX(0,MIN(1,(IF(CF779="L1",Parameter!$H$5,IF(CF779="L23",Parameter!$H$6+Parameter!$H$7,Parameter!$H$5+Parameter!$H$6+Parameter!$H$7))-(AX779-AS779))/AS779)))</f>
        <v>1</v>
      </c>
      <c r="AZ779" s="50" t="n">
        <f aca="false">IF(LEFT(Cockpit!$O$5,1)="A",H779,IF(Parameter!$E$30="MAX-Bestand",IF(CH779=1,CI779,IF(LEFT(Cockpit!$O$5,1)="B",BF779,MAX(BF779,H779))),ROUNDUP(BD779,0)))</f>
        <v>5</v>
      </c>
      <c r="BA779" s="50" t="n">
        <f aca="false">IF(BZ779=1,0,ROUNDUP(AZ779/BY779,0))</f>
        <v>1</v>
      </c>
      <c r="BB779" s="52" t="n">
        <f aca="false">IF(CQ779&gt;0,CQ779*MAX(1,AZ779/X779),IF(BZ779=1,IF(AZ779&lt;=0,0,CD779*MAX(1,IF(H779&gt;0,AZ779/H779,1))),IF(R779&gt;0,BA779/R779,0))/MAX(0.1,N(Parameter!$M$21)))</f>
        <v>0.00961538461538462</v>
      </c>
      <c r="BC779" s="50" t="n">
        <f aca="false">BB779*CB779</f>
        <v>1.49038461538462</v>
      </c>
      <c r="BD779" s="51" t="n">
        <f aca="false">IF(LEFT(Cockpit!$O$5,1)="A",H779,IF(CH779=1,(CK779+CI779)/2,IF(LEFT(Cockpit!$O$5,1)="B",(CK779+BF779)/2,MAX((CK779+BF779)/2,H779))))</f>
        <v>5</v>
      </c>
      <c r="BE779" s="50" t="n">
        <f aca="false">BD779*G779</f>
        <v>44.05</v>
      </c>
      <c r="BF779" s="50" t="n">
        <f aca="false">ROUNDUP(CK779+MAX(CL779,2*(J779/IF(CG779&gt;0,CG779,MAX(0.1,N(Cockpit!$O$6)))-CK779)),0)</f>
        <v>10</v>
      </c>
      <c r="BG779" s="51" t="n">
        <f aca="false">IF(BC779&gt;0,J779/BC779,-1)</f>
        <v>5.36774193548387</v>
      </c>
      <c r="BH779" s="51" t="n">
        <f aca="false">IF(AND(OR(CF779="L1",CF779="L23",CF779="LIFT"),BC779&gt;0),SUMIFS($BC$7:$BC$1843,$CF$7:$CF$1843,CF779,$BG$7:$BG$1843,"&gt;"&amp;BG779)+SUMIFS($BC$7:$BC$1843,$CF$7:$CF$1843,CF779,$BG$7:$BG$1843,BG779,$BW$7:$BW$1843,"&lt;="&amp;BW779),"")</f>
        <v>3694.45421245421</v>
      </c>
      <c r="BI779" s="58" t="n">
        <f aca="false">IF(BH779="",0,MAX(0,MIN(1,(IF(CF779="L1",Parameter!$H$5,IF(CF779="L23",Parameter!$H$6+Parameter!$H$7,Parameter!$H$5+Parameter!$H$6+Parameter!$H$7))-(BH779-BC779))/BC779)))</f>
        <v>1</v>
      </c>
      <c r="BJ779" s="48" t="str">
        <f aca="false">IF(AI779&lt;=0,"",IF(CF779="Aussen","Aussenlager",IF(CF779="-","Nicht im Lift",IF(AO779&gt;=1,"Lift",IF(AO779&lt;=0,"Aussenlager","teilweise")))))</f>
        <v>Lift</v>
      </c>
      <c r="BK779" s="48" t="str">
        <f aca="false">IF(AS779&lt;=0,"",IF(CF779="Aussen","Aussenlager",IF(CF779="-","Nicht im Lift",IF(AY779&gt;=1,"Lift",IF(AY779&lt;=0,"Aussenlager","teilweise")))))</f>
        <v>Lift</v>
      </c>
      <c r="BL779" s="48" t="str">
        <f aca="false">IF(BC779&lt;=0,"",IF(CF779="Aussen","Aussenlager",IF(CF779="-","Nicht im Lift",IF(BI779&gt;=1,"Lift",IF(BI779&lt;=0,"Aussenlager","teilweise")))))</f>
        <v>Lift</v>
      </c>
      <c r="BM779" s="48" t="str">
        <f aca="false">IF(A779="","",IF(BV779=1,"Neu; ","")&amp;IF(AND(BV779=0,BQ779&lt;0),"negativer Bestand (Export "&amp;BQ779&amp;"); ","")&amp;IF(J779&lt;=0,"Kein Verbrauch; ","")&amp;IF(CQ779&gt;0,"Lift "&amp;W779&amp;" lt. Liftbericht (Fach "&amp;X779&amp;" Stk); ",IF(CA779=1,"Gebinde geschätzt ("&amp;T779&amp;"); ",IF(BZ779=1,"Lose – Tablare geschätzt; ","")))&amp;IF(H779&gt;AV779,"Überbestand "&amp;ROUND(H779-AV779,0)&amp;" Stk / CHF "&amp;ROUND((H779-AV779)*G779,0)&amp;"; ","")&amp;IF(AND(CH779=1,CI779&lt;CJ779),"MAX &lt; MB+LG; ","")&amp;IF(AND(CP779&gt;0,CO779*10&gt;CP779),"zu hoch für Tablar; ","")&amp;IF(AND(BV779=0,OR(CH779=1,AA779&lt;&gt;"",U779&lt;&gt;"",V779&lt;&gt;"",AB779&lt;&gt;"")),"manuell übersteuert; ","")&amp;IF(AND(BZ779=0,R779=0),"Gebinde unbekannt / Stellmass fehlt; ","")&amp;IF(AND(BZ779=0,N(V779)&lt;=0,N(Q779)&lt;=0),"Menge pro Gebinde fehlt (Ist = 1 Gebinde); ","")&amp;BU779)</f>
        <v>Überbestand 3 Stk / CHF 26; </v>
      </c>
      <c r="BN779" s="48"/>
      <c r="BO779" s="48"/>
      <c r="BP779" s="55"/>
      <c r="BQ779" s="50" t="n">
        <v>3</v>
      </c>
      <c r="BR779" s="50" t="n">
        <v>10</v>
      </c>
      <c r="BS779" s="49" t="n">
        <v>-1.66999999999997</v>
      </c>
      <c r="BT779" s="50" t="n">
        <v>8</v>
      </c>
      <c r="BU779" s="48"/>
      <c r="BV779" s="53" t="n">
        <v>0</v>
      </c>
      <c r="BW779" s="53" t="n">
        <v>779</v>
      </c>
      <c r="BX779" s="48" t="str">
        <f aca="false">IF(U779&lt;&gt;"",UPPER(TRIM(U779)),IF(CA779=1,UPPER(VLOOKUP(T779,Parameter!$I$27:$K$29,2,0)),IF(P779="","LOSE",P779)))</f>
        <v>S32</v>
      </c>
      <c r="BY779" s="50" t="n">
        <f aca="false">IF(BX779="LOSE",1,IF(N(V779)&gt;0,V779,IF(CA779=1,MAX(1,N(VLOOKUP(T779,Parameter!$I$27:$K$29,3,0)),H779,N(N779)),IF(N(Q779)&gt;0,Q779,MAX(1,H779)))))</f>
        <v>23</v>
      </c>
      <c r="BZ779" s="53" t="n">
        <f aca="false">IF(BX779="LOSE",1,0)</f>
        <v>0</v>
      </c>
      <c r="CA779" s="53" t="n">
        <f aca="false">IF(AND(U779="",OR(P779="",P779="LOSE"),T779&lt;&gt;"",N(S779)&lt;=0,ISNUMBER(MATCH(T779,Parameter!$I$27:$I$29,0))),1,0)</f>
        <v>0</v>
      </c>
      <c r="CB779" s="53" t="n">
        <f aca="false">IF(CQ779&gt;0,INDEX(Parameter!$H$5:$H$7,W779)/INDEX(Parameter!$E$5:$E$7,W779),IF(AND(BZ779=0,N(IFERROR(VLOOKUP(BX779,'Gebinde-Kategorie'!$A$5:$N$45,14,0),0))&gt;0),VLOOKUP(BX779,'Gebinde-Kategorie'!$A$5:$N$45,14,0)*10+Parameter!$M$23,Parameter!$M$24))</f>
        <v>155</v>
      </c>
      <c r="CC779" s="48" t="str">
        <f aca="false">IF(AND(Parameter!$B$19="Ja",E779&lt;&gt;"",ISNUMBER(MATCH(E779,Parameter!$I$35:$I$52,0))),VLOOKUP(E779,Parameter!$I$35:$J$52,2,0),IFERROR(VLOOKUP(D779,Parameter!$A$35:$C$64,2,0),"Nein"))</f>
        <v>2+3</v>
      </c>
      <c r="CD779" s="52" t="n">
        <f aca="false">IF(BZ779=0,0,IF(N(S779)&gt;0,S779,IFERROR(VLOOKUP(D779,Parameter!$A$35:$C$64,3,0)+0,0)))</f>
        <v>0</v>
      </c>
      <c r="CE779" s="48" t="n">
        <f aca="false">IF(AA779&lt;&gt;"",AA779,Z779)</f>
        <v>3</v>
      </c>
      <c r="CF779" s="48" t="str">
        <f aca="false">IF(OR(CE779=1,CE779=2,CE779=3),IF(Parameter!$E$27="Ja","LIFT",IF(CE779=1,"L1","L23")),IF(CE779="Aussen","Aussen","-"))</f>
        <v>LIFT</v>
      </c>
      <c r="CG779" s="59" t="n">
        <f aca="false">IF(N(AB779)&gt;0,AB779,0)</f>
        <v>0</v>
      </c>
      <c r="CH779" s="53" t="n">
        <f aca="false">IF(ISNUMBER(AE779),1,0)</f>
        <v>0</v>
      </c>
      <c r="CI779" s="50" t="n">
        <f aca="false">N(AE779)</f>
        <v>0</v>
      </c>
      <c r="CJ779" s="50" t="n">
        <f aca="false">N(M779)+N(N779)</f>
        <v>10</v>
      </c>
      <c r="CK779" s="50" t="n">
        <f aca="false">N(M779)</f>
        <v>0</v>
      </c>
      <c r="CL779" s="50" t="n">
        <f aca="false">N(N779)</f>
        <v>10</v>
      </c>
      <c r="CM779" s="50" t="n">
        <f aca="false">ROUNDUP(H779/BY779,0)</f>
        <v>1</v>
      </c>
      <c r="CN779" s="50" t="n">
        <f aca="false">ROUNDUP(CI779/BY779,0)</f>
        <v>0</v>
      </c>
      <c r="CO779" s="53" t="n">
        <f aca="false">IF(BZ779=1,0,IFERROR(VLOOKUP(BX779,'Gebinde-Kategorie'!$A$5:$N$45,5,0)+0,0))</f>
        <v>8</v>
      </c>
      <c r="CP779" s="53" t="n">
        <f aca="false">IFERROR(IF(OR(CE779=1,CE779=2,CE779=3),N(INDEX(Parameter!$I$5:$I$7,CE779)),0),0)</f>
        <v>0</v>
      </c>
      <c r="CQ779" s="52" t="n">
        <f aca="false">IF(AND(Parameter!$B$21="Ja",ISNUMBER(W779),N(X779)&gt;0),IFERROR(N(INDEX(Parameter!$L$5:$L$7,W779))*INDEX(Parameter!$E$5:$E$7,W779)*X779/SUMIFS($X$7:$X$1843,$W$7:$W$1843,W779),0),0)</f>
        <v>0</v>
      </c>
    </row>
    <row r="780" customFormat="false" ht="15" hidden="false" customHeight="false" outlineLevel="0" collapsed="false">
      <c r="A780" s="48" t="s">
        <v>1533</v>
      </c>
      <c r="B780" s="48" t="s">
        <v>1534</v>
      </c>
      <c r="C780" s="48" t="s">
        <v>176</v>
      </c>
      <c r="D780" s="48" t="s">
        <v>193</v>
      </c>
      <c r="E780" s="48" t="s">
        <v>194</v>
      </c>
      <c r="F780" s="48" t="s">
        <v>227</v>
      </c>
      <c r="G780" s="49" t="n">
        <v>0.48</v>
      </c>
      <c r="H780" s="50" t="n">
        <f aca="false">MAX(0,IF(AND(Parameter!$B$21="Ja",ISNUMBER(Y780)),Y780,IF(Parameter!$B$20="Jahresanfang 2025 + Export",BR780+BQ780,BQ780)))</f>
        <v>54</v>
      </c>
      <c r="I780" s="50" t="n">
        <f aca="false">H780*G780</f>
        <v>25.92</v>
      </c>
      <c r="J780" s="50" t="n">
        <f aca="false">BT780*Parameter!$B$18</f>
        <v>0</v>
      </c>
      <c r="K780" s="51" t="n">
        <v>56</v>
      </c>
      <c r="L780" s="52" t="n">
        <v>0</v>
      </c>
      <c r="M780" s="50" t="n">
        <v>0</v>
      </c>
      <c r="N780" s="50" t="n">
        <v>1</v>
      </c>
      <c r="O780" s="53" t="n">
        <v>14</v>
      </c>
      <c r="P780" s="48" t="s">
        <v>311</v>
      </c>
      <c r="Q780" s="50" t="n">
        <v>224</v>
      </c>
      <c r="R780" s="53" t="n">
        <f aca="false">IF(BZ780=1,0,IFERROR(VLOOKUP(BX780,'Gebinde-Kategorie'!$A$5:$N$45,13,0)+0,0))</f>
        <v>26</v>
      </c>
      <c r="S780" s="54"/>
      <c r="T780" s="55"/>
      <c r="U780" s="55"/>
      <c r="V780" s="55"/>
      <c r="W780" s="48"/>
      <c r="X780" s="50"/>
      <c r="Y780" s="50"/>
      <c r="Z780" s="48" t="n">
        <f aca="false">IF(A780="","",IF(AND(Parameter!$B$21="Ja",ISNUMBER(W780)),W780,IF(CC780="2+3",IF(ISNUMBER(SEARCH("grosser Artikel",BU780)),2,IFERROR(VLOOKUP(BX780,Parameter!$F$35:$G$64,2,0),2)),IF(OR(CC780="Nein",CC780=""),"-",CC780))))</f>
        <v>3</v>
      </c>
      <c r="AA780" s="55"/>
      <c r="AB780" s="56"/>
      <c r="AC780" s="50" t="n">
        <f aca="false">AV780</f>
        <v>1</v>
      </c>
      <c r="AD780" s="50" t="n">
        <f aca="false">MAX(AV780,H780)</f>
        <v>54</v>
      </c>
      <c r="AE780" s="57"/>
      <c r="AF780" s="50" t="n">
        <f aca="false">IF(LEFT(Cockpit!$C$5,1)="A",H780,IF(Parameter!$E$30="MAX-Bestand",IF(CH780=1,CI780,IF(LEFT(Cockpit!$C$5,1)="B",AL780,MAX(AL780,H780))),ROUNDUP(AJ780,0)))</f>
        <v>54</v>
      </c>
      <c r="AG780" s="50" t="n">
        <f aca="false">IF(BZ780=1,0,ROUNDUP(AF780/BY780,0))</f>
        <v>1</v>
      </c>
      <c r="AH780" s="52" t="n">
        <f aca="false">IF(CQ780&gt;0,CQ780*MAX(1,AF780/X780),IF(BZ780=1,IF(AF780&lt;=0,0,CD780*MAX(1,IF(H780&gt;0,AF780/H780,1))),IF(R780&gt;0,AG780/R780,0))/MAX(0.1,N(Parameter!$M$21)))</f>
        <v>0.0384615384615385</v>
      </c>
      <c r="AI780" s="50" t="n">
        <f aca="false">AH780*CB780</f>
        <v>5.96153846153846</v>
      </c>
      <c r="AJ780" s="51" t="n">
        <f aca="false">IF(LEFT(Cockpit!$C$5,1)="A",H780,IF(CH780=1,(CK780+CI780)/2,IF(LEFT(Cockpit!$C$5,1)="B",(CK780+AL780)/2,MAX((CK780+AL780)/2,H780))))</f>
        <v>54</v>
      </c>
      <c r="AK780" s="50" t="n">
        <f aca="false">AJ780*G780</f>
        <v>25.92</v>
      </c>
      <c r="AL780" s="50" t="n">
        <f aca="false">ROUNDUP(CK780+MAX(CL780,2*(J780/IF(CG780&gt;0,CG780,MAX(0.1,N(Cockpit!$C$6)))-CK780)),0)</f>
        <v>1</v>
      </c>
      <c r="AM780" s="51" t="n">
        <f aca="false">IF(AI780&gt;0,J780/AI780,-1)</f>
        <v>0</v>
      </c>
      <c r="AN780" s="51" t="n">
        <f aca="false">IF(AND(OR(CF780="L1",CF780="L23",CF780="LIFT"),AI780&gt;0),SUMIFS($AI$7:$AI$1843,$CF$7:$CF$1843,CF780,$AM$7:$AM$1843,"&gt;"&amp;AM780)+SUMIFS($AI$7:$AI$1843,$CF$7:$CF$1843,CF780,$AM$7:$AM$1843,AM780,$BW$7:$BW$1843,"&lt;="&amp;BW780),"")</f>
        <v>28757.1965967178</v>
      </c>
      <c r="AO780" s="58" t="n">
        <f aca="false">IF(AN780="",0,MAX(0,MIN(1,(IF(CF780="L1",Parameter!$H$5,IF(CF780="L23",Parameter!$H$6+Parameter!$H$7,Parameter!$H$5+Parameter!$H$6+Parameter!$H$7))-(AN780-AI780))/AI780)))</f>
        <v>1</v>
      </c>
      <c r="AP780" s="50" t="n">
        <f aca="false">IF(LEFT(Cockpit!$I$5,1)="A",H780,IF(Parameter!$E$30="MAX-Bestand",IF(CH780=1,CI780,IF(LEFT(Cockpit!$I$5,1)="B",AV780,MAX(AV780,H780))),ROUNDUP(AT780,0)))</f>
        <v>54</v>
      </c>
      <c r="AQ780" s="50" t="n">
        <f aca="false">IF(BZ780=1,0,ROUNDUP(AP780/BY780,0))</f>
        <v>1</v>
      </c>
      <c r="AR780" s="52" t="n">
        <f aca="false">IF(CQ780&gt;0,CQ780*MAX(1,AP780/X780),IF(BZ780=1,IF(AP780&lt;=0,0,CD780*MAX(1,IF(H780&gt;0,AP780/H780,1))),IF(R780&gt;0,AQ780/R780,0))/MAX(0.1,N(Parameter!$M$21)))</f>
        <v>0.0384615384615385</v>
      </c>
      <c r="AS780" s="50" t="n">
        <f aca="false">AR780*CB780</f>
        <v>5.96153846153846</v>
      </c>
      <c r="AT780" s="51" t="n">
        <f aca="false">IF(LEFT(Cockpit!$I$5,1)="A",H780,IF(CH780=1,(CK780+CI780)/2,IF(LEFT(Cockpit!$I$5,1)="B",(CK780+AV780)/2,MAX((CK780+AV780)/2,H780))))</f>
        <v>54</v>
      </c>
      <c r="AU780" s="50" t="n">
        <f aca="false">AT780*G780</f>
        <v>25.92</v>
      </c>
      <c r="AV780" s="50" t="n">
        <f aca="false">ROUNDUP(CK780+MAX(CL780,2*(J780/IF(CG780&gt;0,CG780,MAX(0.1,N(Cockpit!$I$6)))-CK780)),0)</f>
        <v>1</v>
      </c>
      <c r="AW780" s="51" t="n">
        <f aca="false">IF(AS780&gt;0,J780/AS780,-1)</f>
        <v>0</v>
      </c>
      <c r="AX780" s="51" t="n">
        <f aca="false">IF(AND(OR(CF780="L1",CF780="L23",CF780="LIFT"),AS780&gt;0),SUMIFS($AS$7:$AS$1843,$CF$7:$CF$1843,CF780,$AW$7:$AW$1843,"&gt;"&amp;AW780)+SUMIFS($AS$7:$AS$1843,$CF$7:$CF$1843,CF780,$AW$7:$AW$1843,AW780,$BW$7:$BW$1843,"&lt;="&amp;BW780),"")</f>
        <v>34361.9798534799</v>
      </c>
      <c r="AY780" s="58" t="n">
        <f aca="false">IF(AX780="",0,MAX(0,MIN(1,(IF(CF780="L1",Parameter!$H$5,IF(CF780="L23",Parameter!$H$6+Parameter!$H$7,Parameter!$H$5+Parameter!$H$6+Parameter!$H$7))-(AX780-AS780))/AS780)))</f>
        <v>1</v>
      </c>
      <c r="AZ780" s="50" t="n">
        <f aca="false">IF(LEFT(Cockpit!$O$5,1)="A",H780,IF(Parameter!$E$30="MAX-Bestand",IF(CH780=1,CI780,IF(LEFT(Cockpit!$O$5,1)="B",BF780,MAX(BF780,H780))),ROUNDUP(BD780,0)))</f>
        <v>1</v>
      </c>
      <c r="BA780" s="50" t="n">
        <f aca="false">IF(BZ780=1,0,ROUNDUP(AZ780/BY780,0))</f>
        <v>1</v>
      </c>
      <c r="BB780" s="52" t="n">
        <f aca="false">IF(CQ780&gt;0,CQ780*MAX(1,AZ780/X780),IF(BZ780=1,IF(AZ780&lt;=0,0,CD780*MAX(1,IF(H780&gt;0,AZ780/H780,1))),IF(R780&gt;0,BA780/R780,0))/MAX(0.1,N(Parameter!$M$21)))</f>
        <v>0.0384615384615385</v>
      </c>
      <c r="BC780" s="50" t="n">
        <f aca="false">BB780*CB780</f>
        <v>5.96153846153846</v>
      </c>
      <c r="BD780" s="51" t="n">
        <f aca="false">IF(LEFT(Cockpit!$O$5,1)="A",H780,IF(CH780=1,(CK780+CI780)/2,IF(LEFT(Cockpit!$O$5,1)="B",(CK780+BF780)/2,MAX((CK780+BF780)/2,H780))))</f>
        <v>0.5</v>
      </c>
      <c r="BE780" s="50" t="n">
        <f aca="false">BD780*G780</f>
        <v>0.24</v>
      </c>
      <c r="BF780" s="50" t="n">
        <f aca="false">ROUNDUP(CK780+MAX(CL780,2*(J780/IF(CG780&gt;0,CG780,MAX(0.1,N(Cockpit!$O$6)))-CK780)),0)</f>
        <v>1</v>
      </c>
      <c r="BG780" s="51" t="n">
        <f aca="false">IF(BC780&gt;0,J780/BC780,-1)</f>
        <v>0</v>
      </c>
      <c r="BH780" s="51" t="n">
        <f aca="false">IF(AND(OR(CF780="L1",CF780="L23",CF780="LIFT"),BC780&gt;0),SUMIFS($BC$7:$BC$1843,$CF$7:$CF$1843,CF780,$BG$7:$BG$1843,"&gt;"&amp;BG780)+SUMIFS($BC$7:$BC$1843,$CF$7:$CF$1843,CF780,$BG$7:$BG$1843,BG780,$BW$7:$BW$1843,"&lt;="&amp;BW780),"")</f>
        <v>28405.8497004408</v>
      </c>
      <c r="BI780" s="58" t="n">
        <f aca="false">IF(BH780="",0,MAX(0,MIN(1,(IF(CF780="L1",Parameter!$H$5,IF(CF780="L23",Parameter!$H$6+Parameter!$H$7,Parameter!$H$5+Parameter!$H$6+Parameter!$H$7))-(BH780-BC780))/BC780)))</f>
        <v>1</v>
      </c>
      <c r="BJ780" s="48" t="str">
        <f aca="false">IF(AI780&lt;=0,"",IF(CF780="Aussen","Aussenlager",IF(CF780="-","Nicht im Lift",IF(AO780&gt;=1,"Lift",IF(AO780&lt;=0,"Aussenlager","teilweise")))))</f>
        <v>Lift</v>
      </c>
      <c r="BK780" s="48" t="str">
        <f aca="false">IF(AS780&lt;=0,"",IF(CF780="Aussen","Aussenlager",IF(CF780="-","Nicht im Lift",IF(AY780&gt;=1,"Lift",IF(AY780&lt;=0,"Aussenlager","teilweise")))))</f>
        <v>Lift</v>
      </c>
      <c r="BL780" s="48" t="str">
        <f aca="false">IF(BC780&lt;=0,"",IF(CF780="Aussen","Aussenlager",IF(CF780="-","Nicht im Lift",IF(BI780&gt;=1,"Lift",IF(BI780&lt;=0,"Aussenlager","teilweise")))))</f>
        <v>Lift</v>
      </c>
      <c r="BM780" s="48" t="str">
        <f aca="false">IF(A780="","",IF(BV780=1,"Neu; ","")&amp;IF(AND(BV780=0,BQ780&lt;0),"negativer Bestand (Export "&amp;BQ780&amp;"); ","")&amp;IF(J780&lt;=0,"Kein Verbrauch; ","")&amp;IF(CQ780&gt;0,"Lift "&amp;W780&amp;" lt. Liftbericht (Fach "&amp;X780&amp;" Stk); ",IF(CA780=1,"Gebinde geschätzt ("&amp;T780&amp;"); ",IF(BZ780=1,"Lose – Tablare geschätzt; ","")))&amp;IF(H780&gt;AV780,"Überbestand "&amp;ROUND(H780-AV780,0)&amp;" Stk / CHF "&amp;ROUND((H780-AV780)*G780,0)&amp;"; ","")&amp;IF(AND(CH780=1,CI780&lt;CJ780),"MAX &lt; MB+LG; ","")&amp;IF(AND(CP780&gt;0,CO780*10&gt;CP780),"zu hoch für Tablar; ","")&amp;IF(AND(BV780=0,OR(CH780=1,AA780&lt;&gt;"",U780&lt;&gt;"",V780&lt;&gt;"",AB780&lt;&gt;"")),"manuell übersteuert; ","")&amp;IF(AND(BZ780=0,R780=0),"Gebinde unbekannt / Stellmass fehlt; ","")&amp;IF(AND(BZ780=0,N(V780)&lt;=0,N(Q780)&lt;=0),"Menge pro Gebinde fehlt (Ist = 1 Gebinde); ","")&amp;BU780)</f>
        <v>negativer Bestand (Export -4); Kein Verbrauch; Überbestand 53 Stk / CHF 25; </v>
      </c>
      <c r="BN780" s="48"/>
      <c r="BO780" s="48"/>
      <c r="BP780" s="55"/>
      <c r="BQ780" s="50" t="n">
        <v>-4</v>
      </c>
      <c r="BR780" s="50" t="n">
        <v>58</v>
      </c>
      <c r="BS780" s="49" t="n">
        <v>-1.92</v>
      </c>
      <c r="BT780" s="50" t="n">
        <v>0</v>
      </c>
      <c r="BU780" s="48"/>
      <c r="BV780" s="53" t="n">
        <v>0</v>
      </c>
      <c r="BW780" s="53" t="n">
        <v>780</v>
      </c>
      <c r="BX780" s="48" t="str">
        <f aca="false">IF(U780&lt;&gt;"",UPPER(TRIM(U780)),IF(CA780=1,UPPER(VLOOKUP(T780,Parameter!$I$27:$K$29,2,0)),IF(P780="","LOSE",P780)))</f>
        <v>S51</v>
      </c>
      <c r="BY780" s="50" t="n">
        <f aca="false">IF(BX780="LOSE",1,IF(N(V780)&gt;0,V780,IF(CA780=1,MAX(1,N(VLOOKUP(T780,Parameter!$I$27:$K$29,3,0)),H780,N(N780)),IF(N(Q780)&gt;0,Q780,MAX(1,H780)))))</f>
        <v>224</v>
      </c>
      <c r="BZ780" s="53" t="n">
        <f aca="false">IF(BX780="LOSE",1,0)</f>
        <v>0</v>
      </c>
      <c r="CA780" s="53" t="n">
        <f aca="false">IF(AND(U780="",OR(P780="",P780="LOSE"),T780&lt;&gt;"",N(S780)&lt;=0,ISNUMBER(MATCH(T780,Parameter!$I$27:$I$29,0))),1,0)</f>
        <v>0</v>
      </c>
      <c r="CB780" s="53" t="n">
        <f aca="false">IF(CQ780&gt;0,INDEX(Parameter!$H$5:$H$7,W780)/INDEX(Parameter!$E$5:$E$7,W780),IF(AND(BZ780=0,N(IFERROR(VLOOKUP(BX780,'Gebinde-Kategorie'!$A$5:$N$45,14,0),0))&gt;0),VLOOKUP(BX780,'Gebinde-Kategorie'!$A$5:$N$45,14,0)*10+Parameter!$M$23,Parameter!$M$24))</f>
        <v>155</v>
      </c>
      <c r="CC780" s="48" t="str">
        <f aca="false">IF(AND(Parameter!$B$19="Ja",E780&lt;&gt;"",ISNUMBER(MATCH(E780,Parameter!$I$35:$I$52,0))),VLOOKUP(E780,Parameter!$I$35:$J$52,2,0),IFERROR(VLOOKUP(D780,Parameter!$A$35:$C$64,2,0),"Nein"))</f>
        <v>2+3</v>
      </c>
      <c r="CD780" s="52" t="n">
        <f aca="false">IF(BZ780=0,0,IF(N(S780)&gt;0,S780,IFERROR(VLOOKUP(D780,Parameter!$A$35:$C$64,3,0)+0,0)))</f>
        <v>0</v>
      </c>
      <c r="CE780" s="48" t="n">
        <f aca="false">IF(AA780&lt;&gt;"",AA780,Z780)</f>
        <v>3</v>
      </c>
      <c r="CF780" s="48" t="str">
        <f aca="false">IF(OR(CE780=1,CE780=2,CE780=3),IF(Parameter!$E$27="Ja","LIFT",IF(CE780=1,"L1","L23")),IF(CE780="Aussen","Aussen","-"))</f>
        <v>LIFT</v>
      </c>
      <c r="CG780" s="59" t="n">
        <f aca="false">IF(N(AB780)&gt;0,AB780,0)</f>
        <v>0</v>
      </c>
      <c r="CH780" s="53" t="n">
        <f aca="false">IF(ISNUMBER(AE780),1,0)</f>
        <v>0</v>
      </c>
      <c r="CI780" s="50" t="n">
        <f aca="false">N(AE780)</f>
        <v>0</v>
      </c>
      <c r="CJ780" s="50" t="n">
        <f aca="false">N(M780)+N(N780)</f>
        <v>1</v>
      </c>
      <c r="CK780" s="50" t="n">
        <f aca="false">N(M780)</f>
        <v>0</v>
      </c>
      <c r="CL780" s="50" t="n">
        <f aca="false">N(N780)</f>
        <v>1</v>
      </c>
      <c r="CM780" s="50" t="n">
        <f aca="false">ROUNDUP(H780/BY780,0)</f>
        <v>1</v>
      </c>
      <c r="CN780" s="50" t="n">
        <f aca="false">ROUNDUP(CI780/BY780,0)</f>
        <v>0</v>
      </c>
      <c r="CO780" s="53" t="n">
        <f aca="false">IF(BZ780=1,0,IFERROR(VLOOKUP(BX780,'Gebinde-Kategorie'!$A$5:$N$45,5,0)+0,0))</f>
        <v>11</v>
      </c>
      <c r="CP780" s="53" t="n">
        <f aca="false">IFERROR(IF(OR(CE780=1,CE780=2,CE780=3),N(INDEX(Parameter!$I$5:$I$7,CE780)),0),0)</f>
        <v>0</v>
      </c>
      <c r="CQ780" s="52" t="n">
        <f aca="false">IF(AND(Parameter!$B$21="Ja",ISNUMBER(W780),N(X780)&gt;0),IFERROR(N(INDEX(Parameter!$L$5:$L$7,W780))*INDEX(Parameter!$E$5:$E$7,W780)*X780/SUMIFS($X$7:$X$1843,$W$7:$W$1843,W780),0),0)</f>
        <v>0</v>
      </c>
    </row>
    <row r="781" customFormat="false" ht="15" hidden="false" customHeight="false" outlineLevel="0" collapsed="false">
      <c r="A781" s="48" t="s">
        <v>1535</v>
      </c>
      <c r="B781" s="48" t="s">
        <v>1536</v>
      </c>
      <c r="C781" s="48" t="s">
        <v>173</v>
      </c>
      <c r="D781" s="48" t="s">
        <v>362</v>
      </c>
      <c r="E781" s="48"/>
      <c r="F781" s="48" t="s">
        <v>227</v>
      </c>
      <c r="G781" s="49" t="n">
        <v>1.93</v>
      </c>
      <c r="H781" s="50" t="n">
        <f aca="false">MAX(0,IF(AND(Parameter!$B$21="Ja",ISNUMBER(Y781)),Y781,IF(Parameter!$B$20="Jahresanfang 2025 + Export",BR781+BQ781,BQ781)))</f>
        <v>0</v>
      </c>
      <c r="I781" s="50" t="n">
        <f aca="false">H781*G781</f>
        <v>0</v>
      </c>
      <c r="J781" s="50" t="n">
        <f aca="false">BT781*Parameter!$B$18</f>
        <v>1</v>
      </c>
      <c r="K781" s="51" t="n">
        <v>0.5</v>
      </c>
      <c r="L781" s="52" t="n">
        <v>2</v>
      </c>
      <c r="M781" s="50" t="n">
        <v>0</v>
      </c>
      <c r="N781" s="50" t="n">
        <v>1</v>
      </c>
      <c r="O781" s="53" t="n">
        <v>0</v>
      </c>
      <c r="P781" s="48" t="s">
        <v>177</v>
      </c>
      <c r="Q781" s="50"/>
      <c r="R781" s="53" t="n">
        <f aca="false">IF(BZ781=1,0,IFERROR(VLOOKUP(BX781,'Gebinde-Kategorie'!$A$5:$N$45,13,0)+0,0))</f>
        <v>0</v>
      </c>
      <c r="S781" s="54"/>
      <c r="T781" s="55"/>
      <c r="U781" s="55"/>
      <c r="V781" s="55"/>
      <c r="W781" s="48"/>
      <c r="X781" s="50"/>
      <c r="Y781" s="50"/>
      <c r="Z781" s="48" t="str">
        <f aca="false">IF(A781="","",IF(AND(Parameter!$B$21="Ja",ISNUMBER(W781)),W781,IF(CC781="2+3",IF(ISNUMBER(SEARCH("grosser Artikel",BU781)),2,IFERROR(VLOOKUP(BX781,Parameter!$F$35:$G$64,2,0),2)),IF(OR(CC781="Nein",CC781=""),"-",CC781))))</f>
        <v>-</v>
      </c>
      <c r="AA781" s="55"/>
      <c r="AB781" s="56"/>
      <c r="AC781" s="50" t="n">
        <f aca="false">AV781</f>
        <v>1</v>
      </c>
      <c r="AD781" s="50" t="n">
        <f aca="false">MAX(AV781,H781)</f>
        <v>1</v>
      </c>
      <c r="AE781" s="57"/>
      <c r="AF781" s="50" t="n">
        <f aca="false">IF(LEFT(Cockpit!$C$5,1)="A",H781,IF(Parameter!$E$30="MAX-Bestand",IF(CH781=1,CI781,IF(LEFT(Cockpit!$C$5,1)="B",AL781,MAX(AL781,H781))),ROUNDUP(AJ781,0)))</f>
        <v>0</v>
      </c>
      <c r="AG781" s="50" t="n">
        <f aca="false">IF(BZ781=1,0,ROUNDUP(AF781/BY781,0))</f>
        <v>0</v>
      </c>
      <c r="AH781" s="52" t="n">
        <f aca="false">IF(CQ781&gt;0,CQ781*MAX(1,AF781/X781),IF(BZ781=1,IF(AF781&lt;=0,0,CD781*MAX(1,IF(H781&gt;0,AF781/H781,1))),IF(R781&gt;0,AG781/R781,0))/MAX(0.1,N(Parameter!$M$21)))</f>
        <v>0</v>
      </c>
      <c r="AI781" s="50" t="n">
        <f aca="false">AH781*CB781</f>
        <v>0</v>
      </c>
      <c r="AJ781" s="51" t="n">
        <f aca="false">IF(LEFT(Cockpit!$C$5,1)="A",H781,IF(CH781=1,(CK781+CI781)/2,IF(LEFT(Cockpit!$C$5,1)="B",(CK781+AL781)/2,MAX((CK781+AL781)/2,H781))))</f>
        <v>0</v>
      </c>
      <c r="AK781" s="50" t="n">
        <f aca="false">AJ781*G781</f>
        <v>0</v>
      </c>
      <c r="AL781" s="50" t="n">
        <f aca="false">ROUNDUP(CK781+MAX(CL781,2*(J781/IF(CG781&gt;0,CG781,MAX(0.1,N(Cockpit!$C$6)))-CK781)),0)</f>
        <v>1</v>
      </c>
      <c r="AM781" s="51" t="n">
        <f aca="false">IF(AI781&gt;0,J781/AI781,-1)</f>
        <v>-1</v>
      </c>
      <c r="AN781" s="51" t="str">
        <f aca="false">IF(AND(OR(CF781="L1",CF781="L23",CF781="LIFT"),AI781&gt;0),SUMIFS($AI$7:$AI$1843,$CF$7:$CF$1843,CF781,$AM$7:$AM$1843,"&gt;"&amp;AM781)+SUMIFS($AI$7:$AI$1843,$CF$7:$CF$1843,CF781,$AM$7:$AM$1843,AM781,$BW$7:$BW$1843,"&lt;="&amp;BW781),"")</f>
        <v/>
      </c>
      <c r="AO781" s="58" t="n">
        <f aca="false">IF(AN781="",0,MAX(0,MIN(1,(IF(CF781="L1",Parameter!$H$5,IF(CF781="L23",Parameter!$H$6+Parameter!$H$7,Parameter!$H$5+Parameter!$H$6+Parameter!$H$7))-(AN781-AI781))/AI781)))</f>
        <v>0</v>
      </c>
      <c r="AP781" s="50" t="n">
        <f aca="false">IF(LEFT(Cockpit!$I$5,1)="A",H781,IF(Parameter!$E$30="MAX-Bestand",IF(CH781=1,CI781,IF(LEFT(Cockpit!$I$5,1)="B",AV781,MAX(AV781,H781))),ROUNDUP(AT781,0)))</f>
        <v>1</v>
      </c>
      <c r="AQ781" s="50" t="n">
        <f aca="false">IF(BZ781=1,0,ROUNDUP(AP781/BY781,0))</f>
        <v>0</v>
      </c>
      <c r="AR781" s="52" t="n">
        <f aca="false">IF(CQ781&gt;0,CQ781*MAX(1,AP781/X781),IF(BZ781=1,IF(AP781&lt;=0,0,CD781*MAX(1,IF(H781&gt;0,AP781/H781,1))),IF(R781&gt;0,AQ781/R781,0))/MAX(0.1,N(Parameter!$M$21)))</f>
        <v>0.15</v>
      </c>
      <c r="AS781" s="50" t="n">
        <f aca="false">AR781*CB781</f>
        <v>35.25</v>
      </c>
      <c r="AT781" s="51" t="n">
        <f aca="false">IF(LEFT(Cockpit!$I$5,1)="A",H781,IF(CH781=1,(CK781+CI781)/2,IF(LEFT(Cockpit!$I$5,1)="B",(CK781+AV781)/2,MAX((CK781+AV781)/2,H781))))</f>
        <v>0.5</v>
      </c>
      <c r="AU781" s="50" t="n">
        <f aca="false">AT781*G781</f>
        <v>0.965</v>
      </c>
      <c r="AV781" s="50" t="n">
        <f aca="false">ROUNDUP(CK781+MAX(CL781,2*(J781/IF(CG781&gt;0,CG781,MAX(0.1,N(Cockpit!$I$6)))-CK781)),0)</f>
        <v>1</v>
      </c>
      <c r="AW781" s="51" t="n">
        <f aca="false">IF(AS781&gt;0,J781/AS781,-1)</f>
        <v>0.0283687943262411</v>
      </c>
      <c r="AX781" s="51" t="str">
        <f aca="false">IF(AND(OR(CF781="L1",CF781="L23",CF781="LIFT"),AS781&gt;0),SUMIFS($AS$7:$AS$1843,$CF$7:$CF$1843,CF781,$AW$7:$AW$1843,"&gt;"&amp;AW781)+SUMIFS($AS$7:$AS$1843,$CF$7:$CF$1843,CF781,$AW$7:$AW$1843,AW781,$BW$7:$BW$1843,"&lt;="&amp;BW781),"")</f>
        <v/>
      </c>
      <c r="AY781" s="58" t="n">
        <f aca="false">IF(AX781="",0,MAX(0,MIN(1,(IF(CF781="L1",Parameter!$H$5,IF(CF781="L23",Parameter!$H$6+Parameter!$H$7,Parameter!$H$5+Parameter!$H$6+Parameter!$H$7))-(AX781-AS781))/AS781)))</f>
        <v>0</v>
      </c>
      <c r="AZ781" s="50" t="n">
        <f aca="false">IF(LEFT(Cockpit!$O$5,1)="A",H781,IF(Parameter!$E$30="MAX-Bestand",IF(CH781=1,CI781,IF(LEFT(Cockpit!$O$5,1)="B",BF781,MAX(BF781,H781))),ROUNDUP(BD781,0)))</f>
        <v>1</v>
      </c>
      <c r="BA781" s="50" t="n">
        <f aca="false">IF(BZ781=1,0,ROUNDUP(AZ781/BY781,0))</f>
        <v>0</v>
      </c>
      <c r="BB781" s="52" t="n">
        <f aca="false">IF(CQ781&gt;0,CQ781*MAX(1,AZ781/X781),IF(BZ781=1,IF(AZ781&lt;=0,0,CD781*MAX(1,IF(H781&gt;0,AZ781/H781,1))),IF(R781&gt;0,BA781/R781,0))/MAX(0.1,N(Parameter!$M$21)))</f>
        <v>0.15</v>
      </c>
      <c r="BC781" s="50" t="n">
        <f aca="false">BB781*CB781</f>
        <v>35.25</v>
      </c>
      <c r="BD781" s="51" t="n">
        <f aca="false">IF(LEFT(Cockpit!$O$5,1)="A",H781,IF(CH781=1,(CK781+CI781)/2,IF(LEFT(Cockpit!$O$5,1)="B",(CK781+BF781)/2,MAX((CK781+BF781)/2,H781))))</f>
        <v>0.5</v>
      </c>
      <c r="BE781" s="50" t="n">
        <f aca="false">BD781*G781</f>
        <v>0.965</v>
      </c>
      <c r="BF781" s="50" t="n">
        <f aca="false">ROUNDUP(CK781+MAX(CL781,2*(J781/IF(CG781&gt;0,CG781,MAX(0.1,N(Cockpit!$O$6)))-CK781)),0)</f>
        <v>1</v>
      </c>
      <c r="BG781" s="51" t="n">
        <f aca="false">IF(BC781&gt;0,J781/BC781,-1)</f>
        <v>0.0283687943262411</v>
      </c>
      <c r="BH781" s="51" t="str">
        <f aca="false">IF(AND(OR(CF781="L1",CF781="L23",CF781="LIFT"),BC781&gt;0),SUMIFS($BC$7:$BC$1843,$CF$7:$CF$1843,CF781,$BG$7:$BG$1843,"&gt;"&amp;BG781)+SUMIFS($BC$7:$BC$1843,$CF$7:$CF$1843,CF781,$BG$7:$BG$1843,BG781,$BW$7:$BW$1843,"&lt;="&amp;BW781),"")</f>
        <v/>
      </c>
      <c r="BI781" s="58" t="n">
        <f aca="false">IF(BH781="",0,MAX(0,MIN(1,(IF(CF781="L1",Parameter!$H$5,IF(CF781="L23",Parameter!$H$6+Parameter!$H$7,Parameter!$H$5+Parameter!$H$6+Parameter!$H$7))-(BH781-BC781))/BC781)))</f>
        <v>0</v>
      </c>
      <c r="BJ781" s="48" t="str">
        <f aca="false">IF(AI781&lt;=0,"",IF(CF781="Aussen","Aussenlager",IF(CF781="-","Nicht im Lift",IF(AO781&gt;=1,"Lift",IF(AO781&lt;=0,"Aussenlager","teilweise")))))</f>
        <v/>
      </c>
      <c r="BK781" s="48" t="str">
        <f aca="false">IF(AS781&lt;=0,"",IF(CF781="Aussen","Aussenlager",IF(CF781="-","Nicht im Lift",IF(AY781&gt;=1,"Lift",IF(AY781&lt;=0,"Aussenlager","teilweise")))))</f>
        <v>Nicht im Lift</v>
      </c>
      <c r="BL781" s="48" t="str">
        <f aca="false">IF(BC781&lt;=0,"",IF(CF781="Aussen","Aussenlager",IF(CF781="-","Nicht im Lift",IF(BI781&gt;=1,"Lift",IF(BI781&lt;=0,"Aussenlager","teilweise")))))</f>
        <v>Nicht im Lift</v>
      </c>
      <c r="BM781" s="48" t="str">
        <f aca="false">IF(A781="","",IF(BV781=1,"Neu; ","")&amp;IF(AND(BV781=0,BQ781&lt;0),"negativer Bestand (Export "&amp;BQ781&amp;"); ","")&amp;IF(J781&lt;=0,"Kein Verbrauch; ","")&amp;IF(CQ781&gt;0,"Lift "&amp;W781&amp;" lt. Liftbericht (Fach "&amp;X781&amp;" Stk); ",IF(CA781=1,"Gebinde geschätzt ("&amp;T781&amp;"); ",IF(BZ781=1,"Lose – Tablare geschätzt; ","")))&amp;IF(H781&gt;AV781,"Überbestand "&amp;ROUND(H781-AV781,0)&amp;" Stk / CHF "&amp;ROUND((H781-AV781)*G781,0)&amp;"; ","")&amp;IF(AND(CH781=1,CI781&lt;CJ781),"MAX &lt; MB+LG; ","")&amp;IF(AND(CP781&gt;0,CO781*10&gt;CP781),"zu hoch für Tablar; ","")&amp;IF(AND(BV781=0,OR(CH781=1,AA781&lt;&gt;"",U781&lt;&gt;"",V781&lt;&gt;"",AB781&lt;&gt;"")),"manuell übersteuert; ","")&amp;IF(AND(BZ781=0,R781=0),"Gebinde unbekannt / Stellmass fehlt; ","")&amp;IF(AND(BZ781=0,N(V781)&lt;=0,N(Q781)&lt;=0),"Menge pro Gebinde fehlt (Ist = 1 Gebinde); ","")&amp;BU781)</f>
        <v>negativer Bestand (Export -1); Lose – Tablare geschätzt; </v>
      </c>
      <c r="BN781" s="48"/>
      <c r="BO781" s="48"/>
      <c r="BP781" s="55"/>
      <c r="BQ781" s="50" t="n">
        <v>-1</v>
      </c>
      <c r="BR781" s="50" t="n">
        <v>1</v>
      </c>
      <c r="BS781" s="49" t="n">
        <v>-1.93</v>
      </c>
      <c r="BT781" s="50" t="n">
        <v>1</v>
      </c>
      <c r="BU781" s="48"/>
      <c r="BV781" s="53" t="n">
        <v>0</v>
      </c>
      <c r="BW781" s="53" t="n">
        <v>781</v>
      </c>
      <c r="BX781" s="48" t="str">
        <f aca="false">IF(U781&lt;&gt;"",UPPER(TRIM(U781)),IF(CA781=1,UPPER(VLOOKUP(T781,Parameter!$I$27:$K$29,2,0)),IF(P781="","LOSE",P781)))</f>
        <v>LOSE</v>
      </c>
      <c r="BY781" s="50" t="n">
        <f aca="false">IF(BX781="LOSE",1,IF(N(V781)&gt;0,V781,IF(CA781=1,MAX(1,N(VLOOKUP(T781,Parameter!$I$27:$K$29,3,0)),H781,N(N781)),IF(N(Q781)&gt;0,Q781,MAX(1,H781)))))</f>
        <v>1</v>
      </c>
      <c r="BZ781" s="53" t="n">
        <f aca="false">IF(BX781="LOSE",1,0)</f>
        <v>1</v>
      </c>
      <c r="CA781" s="53" t="n">
        <f aca="false">IF(AND(U781="",OR(P781="",P781="LOSE"),T781&lt;&gt;"",N(S781)&lt;=0,ISNUMBER(MATCH(T781,Parameter!$I$27:$I$29,0))),1,0)</f>
        <v>0</v>
      </c>
      <c r="CB781" s="53" t="n">
        <f aca="false">IF(CQ781&gt;0,INDEX(Parameter!$H$5:$H$7,W781)/INDEX(Parameter!$E$5:$E$7,W781),IF(AND(BZ781=0,N(IFERROR(VLOOKUP(BX781,'Gebinde-Kategorie'!$A$5:$N$45,14,0),0))&gt;0),VLOOKUP(BX781,'Gebinde-Kategorie'!$A$5:$N$45,14,0)*10+Parameter!$M$23,Parameter!$M$24))</f>
        <v>235</v>
      </c>
      <c r="CC781" s="48" t="str">
        <f aca="false">IF(AND(Parameter!$B$19="Ja",E781&lt;&gt;"",ISNUMBER(MATCH(E781,Parameter!$I$35:$I$52,0))),VLOOKUP(E781,Parameter!$I$35:$J$52,2,0),IFERROR(VLOOKUP(D781,Parameter!$A$35:$C$64,2,0),"Nein"))</f>
        <v>Nein</v>
      </c>
      <c r="CD781" s="52" t="n">
        <f aca="false">IF(BZ781=0,0,IF(N(S781)&gt;0,S781,IFERROR(VLOOKUP(D781,Parameter!$A$35:$C$64,3,0)+0,0)))</f>
        <v>0.15</v>
      </c>
      <c r="CE781" s="48" t="str">
        <f aca="false">IF(AA781&lt;&gt;"",AA781,Z781)</f>
        <v>-</v>
      </c>
      <c r="CF781" s="48" t="str">
        <f aca="false">IF(OR(CE781=1,CE781=2,CE781=3),IF(Parameter!$E$27="Ja","LIFT",IF(CE781=1,"L1","L23")),IF(CE781="Aussen","Aussen","-"))</f>
        <v>-</v>
      </c>
      <c r="CG781" s="59" t="n">
        <f aca="false">IF(N(AB781)&gt;0,AB781,0)</f>
        <v>0</v>
      </c>
      <c r="CH781" s="53" t="n">
        <f aca="false">IF(ISNUMBER(AE781),1,0)</f>
        <v>0</v>
      </c>
      <c r="CI781" s="50" t="n">
        <f aca="false">N(AE781)</f>
        <v>0</v>
      </c>
      <c r="CJ781" s="50" t="n">
        <f aca="false">N(M781)+N(N781)</f>
        <v>1</v>
      </c>
      <c r="CK781" s="50" t="n">
        <f aca="false">N(M781)</f>
        <v>0</v>
      </c>
      <c r="CL781" s="50" t="n">
        <f aca="false">N(N781)</f>
        <v>1</v>
      </c>
      <c r="CM781" s="50" t="n">
        <f aca="false">ROUNDUP(H781/BY781,0)</f>
        <v>0</v>
      </c>
      <c r="CN781" s="50" t="n">
        <f aca="false">ROUNDUP(CI781/BY781,0)</f>
        <v>0</v>
      </c>
      <c r="CO781" s="53" t="n">
        <f aca="false">IF(BZ781=1,0,IFERROR(VLOOKUP(BX781,'Gebinde-Kategorie'!$A$5:$N$45,5,0)+0,0))</f>
        <v>0</v>
      </c>
      <c r="CP781" s="53" t="n">
        <f aca="false">IFERROR(IF(OR(CE781=1,CE781=2,CE781=3),N(INDEX(Parameter!$I$5:$I$7,CE781)),0),0)</f>
        <v>0</v>
      </c>
      <c r="CQ781" s="52" t="n">
        <f aca="false">IF(AND(Parameter!$B$21="Ja",ISNUMBER(W781),N(X781)&gt;0),IFERROR(N(INDEX(Parameter!$L$5:$L$7,W781))*INDEX(Parameter!$E$5:$E$7,W781)*X781/SUMIFS($X$7:$X$1843,$W$7:$W$1843,W781),0),0)</f>
        <v>0</v>
      </c>
    </row>
    <row r="782" customFormat="false" ht="15" hidden="false" customHeight="false" outlineLevel="0" collapsed="false">
      <c r="A782" s="48" t="s">
        <v>1537</v>
      </c>
      <c r="B782" s="48" t="s">
        <v>663</v>
      </c>
      <c r="C782" s="48" t="s">
        <v>173</v>
      </c>
      <c r="D782" s="48" t="s">
        <v>193</v>
      </c>
      <c r="E782" s="48" t="s">
        <v>194</v>
      </c>
      <c r="F782" s="48" t="s">
        <v>227</v>
      </c>
      <c r="G782" s="49" t="n">
        <v>0.13</v>
      </c>
      <c r="H782" s="50" t="n">
        <f aca="false">MAX(0,IF(AND(Parameter!$B$21="Ja",ISNUMBER(Y782)),Y782,IF(Parameter!$B$20="Jahresanfang 2025 + Export",BR782+BQ782,BQ782)))</f>
        <v>1002</v>
      </c>
      <c r="I782" s="50" t="n">
        <f aca="false">H782*G782</f>
        <v>130.26</v>
      </c>
      <c r="J782" s="50" t="n">
        <f aca="false">BT782*Parameter!$B$18</f>
        <v>1196</v>
      </c>
      <c r="K782" s="51" t="n">
        <v>912</v>
      </c>
      <c r="L782" s="52" t="n">
        <v>1.31140350877193</v>
      </c>
      <c r="M782" s="50" t="n">
        <v>70</v>
      </c>
      <c r="N782" s="50" t="n">
        <v>1300</v>
      </c>
      <c r="O782" s="53" t="n">
        <v>21</v>
      </c>
      <c r="P782" s="48" t="s">
        <v>302</v>
      </c>
      <c r="Q782" s="50" t="n">
        <v>469</v>
      </c>
      <c r="R782" s="53" t="n">
        <f aca="false">IF(BZ782=1,0,IFERROR(VLOOKUP(BX782,'Gebinde-Kategorie'!$A$5:$N$45,13,0)+0,0))</f>
        <v>12</v>
      </c>
      <c r="S782" s="54"/>
      <c r="T782" s="55"/>
      <c r="U782" s="55"/>
      <c r="V782" s="55"/>
      <c r="W782" s="48"/>
      <c r="X782" s="50"/>
      <c r="Y782" s="50"/>
      <c r="Z782" s="48" t="n">
        <f aca="false">IF(A782="","",IF(AND(Parameter!$B$21="Ja",ISNUMBER(W782)),W782,IF(CC782="2+3",IF(ISNUMBER(SEARCH("grosser Artikel",BU782)),2,IFERROR(VLOOKUP(BX782,Parameter!$F$35:$G$64,2,0),2)),IF(OR(CC782="Nein",CC782=""),"-",CC782))))</f>
        <v>2</v>
      </c>
      <c r="AA782" s="55"/>
      <c r="AB782" s="56"/>
      <c r="AC782" s="50" t="n">
        <f aca="false">AV782</f>
        <v>1370</v>
      </c>
      <c r="AD782" s="50" t="n">
        <f aca="false">MAX(AV782,H782)</f>
        <v>1370</v>
      </c>
      <c r="AE782" s="57"/>
      <c r="AF782" s="50" t="n">
        <f aca="false">IF(LEFT(Cockpit!$C$5,1)="A",H782,IF(Parameter!$E$30="MAX-Bestand",IF(CH782=1,CI782,IF(LEFT(Cockpit!$C$5,1)="B",AL782,MAX(AL782,H782))),ROUNDUP(AJ782,0)))</f>
        <v>1002</v>
      </c>
      <c r="AG782" s="50" t="n">
        <f aca="false">IF(BZ782=1,0,ROUNDUP(AF782/BY782,0))</f>
        <v>3</v>
      </c>
      <c r="AH782" s="52" t="n">
        <f aca="false">IF(CQ782&gt;0,CQ782*MAX(1,AF782/X782),IF(BZ782=1,IF(AF782&lt;=0,0,CD782*MAX(1,IF(H782&gt;0,AF782/H782,1))),IF(R782&gt;0,AG782/R782,0))/MAX(0.1,N(Parameter!$M$21)))</f>
        <v>0.25</v>
      </c>
      <c r="AI782" s="50" t="n">
        <f aca="false">AH782*CB782</f>
        <v>61.25</v>
      </c>
      <c r="AJ782" s="51" t="n">
        <f aca="false">IF(LEFT(Cockpit!$C$5,1)="A",H782,IF(CH782=1,(CK782+CI782)/2,IF(LEFT(Cockpit!$C$5,1)="B",(CK782+AL782)/2,MAX((CK782+AL782)/2,H782))))</f>
        <v>1002</v>
      </c>
      <c r="AK782" s="50" t="n">
        <f aca="false">AJ782*G782</f>
        <v>130.26</v>
      </c>
      <c r="AL782" s="50" t="n">
        <f aca="false">ROUNDUP(CK782+MAX(CL782,2*(J782/IF(CG782&gt;0,CG782,MAX(0.1,N(Cockpit!$C$6)))-CK782)),0)</f>
        <v>1370</v>
      </c>
      <c r="AM782" s="51" t="n">
        <f aca="false">IF(AI782&gt;0,J782/AI782,-1)</f>
        <v>19.5265306122449</v>
      </c>
      <c r="AN782" s="51" t="n">
        <f aca="false">IF(AND(OR(CF782="L1",CF782="L23",CF782="LIFT"),AI782&gt;0),SUMIFS($AI$7:$AI$1843,$CF$7:$CF$1843,CF782,$AM$7:$AM$1843,"&gt;"&amp;AM782)+SUMIFS($AI$7:$AI$1843,$CF$7:$CF$1843,CF782,$AM$7:$AM$1843,AM782,$BW$7:$BW$1843,"&lt;="&amp;BW782),"")</f>
        <v>1719.08974358974</v>
      </c>
      <c r="AO782" s="58" t="n">
        <f aca="false">IF(AN782="",0,MAX(0,MIN(1,(IF(CF782="L1",Parameter!$H$5,IF(CF782="L23",Parameter!$H$6+Parameter!$H$7,Parameter!$H$5+Parameter!$H$6+Parameter!$H$7))-(AN782-AI782))/AI782)))</f>
        <v>1</v>
      </c>
      <c r="AP782" s="50" t="n">
        <f aca="false">IF(LEFT(Cockpit!$I$5,1)="A",H782,IF(Parameter!$E$30="MAX-Bestand",IF(CH782=1,CI782,IF(LEFT(Cockpit!$I$5,1)="B",AV782,MAX(AV782,H782))),ROUNDUP(AT782,0)))</f>
        <v>1002</v>
      </c>
      <c r="AQ782" s="50" t="n">
        <f aca="false">IF(BZ782=1,0,ROUNDUP(AP782/BY782,0))</f>
        <v>3</v>
      </c>
      <c r="AR782" s="52" t="n">
        <f aca="false">IF(CQ782&gt;0,CQ782*MAX(1,AP782/X782),IF(BZ782=1,IF(AP782&lt;=0,0,CD782*MAX(1,IF(H782&gt;0,AP782/H782,1))),IF(R782&gt;0,AQ782/R782,0))/MAX(0.1,N(Parameter!$M$21)))</f>
        <v>0.25</v>
      </c>
      <c r="AS782" s="50" t="n">
        <f aca="false">AR782*CB782</f>
        <v>61.25</v>
      </c>
      <c r="AT782" s="51" t="n">
        <f aca="false">IF(LEFT(Cockpit!$I$5,1)="A",H782,IF(CH782=1,(CK782+CI782)/2,IF(LEFT(Cockpit!$I$5,1)="B",(CK782+AV782)/2,MAX((CK782+AV782)/2,H782))))</f>
        <v>1002</v>
      </c>
      <c r="AU782" s="50" t="n">
        <f aca="false">AT782*G782</f>
        <v>130.26</v>
      </c>
      <c r="AV782" s="50" t="n">
        <f aca="false">ROUNDUP(CK782+MAX(CL782,2*(J782/IF(CG782&gt;0,CG782,MAX(0.1,N(Cockpit!$I$6)))-CK782)),0)</f>
        <v>1370</v>
      </c>
      <c r="AW782" s="51" t="n">
        <f aca="false">IF(AS782&gt;0,J782/AS782,-1)</f>
        <v>19.5265306122449</v>
      </c>
      <c r="AX782" s="51" t="n">
        <f aca="false">IF(AND(OR(CF782="L1",CF782="L23",CF782="LIFT"),AS782&gt;0),SUMIFS($AS$7:$AS$1843,$CF$7:$CF$1843,CF782,$AW$7:$AW$1843,"&gt;"&amp;AW782)+SUMIFS($AS$7:$AS$1843,$CF$7:$CF$1843,CF782,$AW$7:$AW$1843,AW782,$BW$7:$BW$1843,"&lt;="&amp;BW782),"")</f>
        <v>2356.21062271062</v>
      </c>
      <c r="AY782" s="58" t="n">
        <f aca="false">IF(AX782="",0,MAX(0,MIN(1,(IF(CF782="L1",Parameter!$H$5,IF(CF782="L23",Parameter!$H$6+Parameter!$H$7,Parameter!$H$5+Parameter!$H$6+Parameter!$H$7))-(AX782-AS782))/AS782)))</f>
        <v>1</v>
      </c>
      <c r="AZ782" s="50" t="n">
        <f aca="false">IF(LEFT(Cockpit!$O$5,1)="A",H782,IF(Parameter!$E$30="MAX-Bestand",IF(CH782=1,CI782,IF(LEFT(Cockpit!$O$5,1)="B",BF782,MAX(BF782,H782))),ROUNDUP(BD782,0)))</f>
        <v>720</v>
      </c>
      <c r="BA782" s="50" t="n">
        <f aca="false">IF(BZ782=1,0,ROUNDUP(AZ782/BY782,0))</f>
        <v>2</v>
      </c>
      <c r="BB782" s="52" t="n">
        <f aca="false">IF(CQ782&gt;0,CQ782*MAX(1,AZ782/X782),IF(BZ782=1,IF(AZ782&lt;=0,0,CD782*MAX(1,IF(H782&gt;0,AZ782/H782,1))),IF(R782&gt;0,BA782/R782,0))/MAX(0.1,N(Parameter!$M$21)))</f>
        <v>0.166666666666667</v>
      </c>
      <c r="BC782" s="50" t="n">
        <f aca="false">BB782*CB782</f>
        <v>40.8333333333333</v>
      </c>
      <c r="BD782" s="51" t="n">
        <f aca="false">IF(LEFT(Cockpit!$O$5,1)="A",H782,IF(CH782=1,(CK782+CI782)/2,IF(LEFT(Cockpit!$O$5,1)="B",(CK782+BF782)/2,MAX((CK782+BF782)/2,H782))))</f>
        <v>720</v>
      </c>
      <c r="BE782" s="50" t="n">
        <f aca="false">BD782*G782</f>
        <v>93.6</v>
      </c>
      <c r="BF782" s="50" t="n">
        <f aca="false">ROUNDUP(CK782+MAX(CL782,2*(J782/IF(CG782&gt;0,CG782,MAX(0.1,N(Cockpit!$O$6)))-CK782)),0)</f>
        <v>1370</v>
      </c>
      <c r="BG782" s="51" t="n">
        <f aca="false">IF(BC782&gt;0,J782/BC782,-1)</f>
        <v>29.2897959183674</v>
      </c>
      <c r="BH782" s="51" t="n">
        <f aca="false">IF(AND(OR(CF782="L1",CF782="L23",CF782="LIFT"),BC782&gt;0),SUMIFS($BC$7:$BC$1843,$CF$7:$CF$1843,CF782,$BG$7:$BG$1843,"&gt;"&amp;BG782)+SUMIFS($BC$7:$BC$1843,$CF$7:$CF$1843,CF782,$BG$7:$BG$1843,BG782,$BW$7:$BW$1843,"&lt;="&amp;BW782),"")</f>
        <v>1899.47252747253</v>
      </c>
      <c r="BI782" s="58" t="n">
        <f aca="false">IF(BH782="",0,MAX(0,MIN(1,(IF(CF782="L1",Parameter!$H$5,IF(CF782="L23",Parameter!$H$6+Parameter!$H$7,Parameter!$H$5+Parameter!$H$6+Parameter!$H$7))-(BH782-BC782))/BC782)))</f>
        <v>1</v>
      </c>
      <c r="BJ782" s="48" t="str">
        <f aca="false">IF(AI782&lt;=0,"",IF(CF782="Aussen","Aussenlager",IF(CF782="-","Nicht im Lift",IF(AO782&gt;=1,"Lift",IF(AO782&lt;=0,"Aussenlager","teilweise")))))</f>
        <v>Lift</v>
      </c>
      <c r="BK782" s="48" t="str">
        <f aca="false">IF(AS782&lt;=0,"",IF(CF782="Aussen","Aussenlager",IF(CF782="-","Nicht im Lift",IF(AY782&gt;=1,"Lift",IF(AY782&lt;=0,"Aussenlager","teilweise")))))</f>
        <v>Lift</v>
      </c>
      <c r="BL782" s="48" t="str">
        <f aca="false">IF(BC782&lt;=0,"",IF(CF782="Aussen","Aussenlager",IF(CF782="-","Nicht im Lift",IF(BI782&gt;=1,"Lift",IF(BI782&lt;=0,"Aussenlager","teilweise")))))</f>
        <v>Lift</v>
      </c>
      <c r="BM782" s="48" t="str">
        <f aca="false">IF(A782="","",IF(BV782=1,"Neu; ","")&amp;IF(AND(BV782=0,BQ782&lt;0),"negativer Bestand (Export "&amp;BQ782&amp;"); ","")&amp;IF(J782&lt;=0,"Kein Verbrauch; ","")&amp;IF(CQ782&gt;0,"Lift "&amp;W782&amp;" lt. Liftbericht (Fach "&amp;X782&amp;" Stk); ",IF(CA782=1,"Gebinde geschätzt ("&amp;T782&amp;"); ",IF(BZ782=1,"Lose – Tablare geschätzt; ","")))&amp;IF(H782&gt;AV782,"Überbestand "&amp;ROUND(H782-AV782,0)&amp;" Stk / CHF "&amp;ROUND((H782-AV782)*G782,0)&amp;"; ","")&amp;IF(AND(CH782=1,CI782&lt;CJ782),"MAX &lt; MB+LG; ","")&amp;IF(AND(CP782&gt;0,CO782*10&gt;CP782),"zu hoch für Tablar; ","")&amp;IF(AND(BV782=0,OR(CH782=1,AA782&lt;&gt;"",U782&lt;&gt;"",V782&lt;&gt;"",AB782&lt;&gt;"")),"manuell übersteuert; ","")&amp;IF(AND(BZ782=0,R782=0),"Gebinde unbekannt / Stellmass fehlt; ","")&amp;IF(AND(BZ782=0,N(V782)&lt;=0,N(Q782)&lt;=0),"Menge pro Gebinde fehlt (Ist = 1 Gebinde); ","")&amp;BU782)</f>
        <v>negativer Bestand (Export -16); </v>
      </c>
      <c r="BN782" s="48"/>
      <c r="BO782" s="48"/>
      <c r="BP782" s="55"/>
      <c r="BQ782" s="50" t="n">
        <v>-16</v>
      </c>
      <c r="BR782" s="50" t="n">
        <v>1018</v>
      </c>
      <c r="BS782" s="49" t="n">
        <v>-2.07999999999998</v>
      </c>
      <c r="BT782" s="50" t="n">
        <v>1196</v>
      </c>
      <c r="BU782" s="48"/>
      <c r="BV782" s="53" t="n">
        <v>0</v>
      </c>
      <c r="BW782" s="53" t="n">
        <v>782</v>
      </c>
      <c r="BX782" s="48" t="str">
        <f aca="false">IF(U782&lt;&gt;"",UPPER(TRIM(U782)),IF(CA782=1,UPPER(VLOOKUP(T782,Parameter!$I$27:$K$29,2,0)),IF(P782="","LOSE",P782)))</f>
        <v>S62</v>
      </c>
      <c r="BY782" s="50" t="n">
        <f aca="false">IF(BX782="LOSE",1,IF(N(V782)&gt;0,V782,IF(CA782=1,MAX(1,N(VLOOKUP(T782,Parameter!$I$27:$K$29,3,0)),H782,N(N782)),IF(N(Q782)&gt;0,Q782,MAX(1,H782)))))</f>
        <v>469</v>
      </c>
      <c r="BZ782" s="53" t="n">
        <f aca="false">IF(BX782="LOSE",1,0)</f>
        <v>0</v>
      </c>
      <c r="CA782" s="53" t="n">
        <f aca="false">IF(AND(U782="",OR(P782="",P782="LOSE"),T782&lt;&gt;"",N(S782)&lt;=0,ISNUMBER(MATCH(T782,Parameter!$I$27:$I$29,0))),1,0)</f>
        <v>0</v>
      </c>
      <c r="CB782" s="53" t="n">
        <f aca="false">IF(CQ782&gt;0,INDEX(Parameter!$H$5:$H$7,W782)/INDEX(Parameter!$E$5:$E$7,W782),IF(AND(BZ782=0,N(IFERROR(VLOOKUP(BX782,'Gebinde-Kategorie'!$A$5:$N$45,14,0),0))&gt;0),VLOOKUP(BX782,'Gebinde-Kategorie'!$A$5:$N$45,14,0)*10+Parameter!$M$23,Parameter!$M$24))</f>
        <v>245</v>
      </c>
      <c r="CC782" s="48" t="str">
        <f aca="false">IF(AND(Parameter!$B$19="Ja",E782&lt;&gt;"",ISNUMBER(MATCH(E782,Parameter!$I$35:$I$52,0))),VLOOKUP(E782,Parameter!$I$35:$J$52,2,0),IFERROR(VLOOKUP(D782,Parameter!$A$35:$C$64,2,0),"Nein"))</f>
        <v>2+3</v>
      </c>
      <c r="CD782" s="52" t="n">
        <f aca="false">IF(BZ782=0,0,IF(N(S782)&gt;0,S782,IFERROR(VLOOKUP(D782,Parameter!$A$35:$C$64,3,0)+0,0)))</f>
        <v>0</v>
      </c>
      <c r="CE782" s="48" t="n">
        <f aca="false">IF(AA782&lt;&gt;"",AA782,Z782)</f>
        <v>2</v>
      </c>
      <c r="CF782" s="48" t="str">
        <f aca="false">IF(OR(CE782=1,CE782=2,CE782=3),IF(Parameter!$E$27="Ja","LIFT",IF(CE782=1,"L1","L23")),IF(CE782="Aussen","Aussen","-"))</f>
        <v>LIFT</v>
      </c>
      <c r="CG782" s="59" t="n">
        <f aca="false">IF(N(AB782)&gt;0,AB782,0)</f>
        <v>0</v>
      </c>
      <c r="CH782" s="53" t="n">
        <f aca="false">IF(ISNUMBER(AE782),1,0)</f>
        <v>0</v>
      </c>
      <c r="CI782" s="50" t="n">
        <f aca="false">N(AE782)</f>
        <v>0</v>
      </c>
      <c r="CJ782" s="50" t="n">
        <f aca="false">N(M782)+N(N782)</f>
        <v>1370</v>
      </c>
      <c r="CK782" s="50" t="n">
        <f aca="false">N(M782)</f>
        <v>70</v>
      </c>
      <c r="CL782" s="50" t="n">
        <f aca="false">N(N782)</f>
        <v>1300</v>
      </c>
      <c r="CM782" s="50" t="n">
        <f aca="false">ROUNDUP(H782/BY782,0)</f>
        <v>3</v>
      </c>
      <c r="CN782" s="50" t="n">
        <f aca="false">ROUNDUP(CI782/BY782,0)</f>
        <v>0</v>
      </c>
      <c r="CO782" s="53" t="n">
        <f aca="false">IF(BZ782=1,0,IFERROR(VLOOKUP(BX782,'Gebinde-Kategorie'!$A$5:$N$45,5,0)+0,0))</f>
        <v>21</v>
      </c>
      <c r="CP782" s="53" t="n">
        <f aca="false">IFERROR(IF(OR(CE782=1,CE782=2,CE782=3),N(INDEX(Parameter!$I$5:$I$7,CE782)),0),0)</f>
        <v>0</v>
      </c>
      <c r="CQ782" s="52" t="n">
        <f aca="false">IF(AND(Parameter!$B$21="Ja",ISNUMBER(W782),N(X782)&gt;0),IFERROR(N(INDEX(Parameter!$L$5:$L$7,W782))*INDEX(Parameter!$E$5:$E$7,W782)*X782/SUMIFS($X$7:$X$1843,$W$7:$W$1843,W782),0),0)</f>
        <v>0</v>
      </c>
    </row>
    <row r="783" customFormat="false" ht="15" hidden="false" customHeight="false" outlineLevel="0" collapsed="false">
      <c r="A783" s="48" t="s">
        <v>1538</v>
      </c>
      <c r="B783" s="48" t="s">
        <v>916</v>
      </c>
      <c r="C783" s="48" t="s">
        <v>176</v>
      </c>
      <c r="D783" s="48" t="s">
        <v>193</v>
      </c>
      <c r="E783" s="48" t="s">
        <v>194</v>
      </c>
      <c r="F783" s="48" t="s">
        <v>227</v>
      </c>
      <c r="G783" s="49" t="n">
        <v>0.52</v>
      </c>
      <c r="H783" s="50" t="n">
        <f aca="false">MAX(0,IF(AND(Parameter!$B$21="Ja",ISNUMBER(Y783)),Y783,IF(Parameter!$B$20="Jahresanfang 2025 + Export",BR783+BQ783,BQ783)))</f>
        <v>45</v>
      </c>
      <c r="I783" s="50" t="n">
        <f aca="false">H783*G783</f>
        <v>23.4</v>
      </c>
      <c r="J783" s="50" t="n">
        <f aca="false">BT783*Parameter!$B$18</f>
        <v>0</v>
      </c>
      <c r="K783" s="51" t="n">
        <v>47</v>
      </c>
      <c r="L783" s="52" t="n">
        <v>0</v>
      </c>
      <c r="M783" s="50" t="n">
        <v>0</v>
      </c>
      <c r="N783" s="50" t="n">
        <v>1</v>
      </c>
      <c r="O783" s="53" t="n">
        <v>14</v>
      </c>
      <c r="P783" s="48" t="s">
        <v>337</v>
      </c>
      <c r="Q783" s="50" t="n">
        <v>96</v>
      </c>
      <c r="R783" s="53" t="n">
        <f aca="false">IF(BZ783=1,0,IFERROR(VLOOKUP(BX783,'Gebinde-Kategorie'!$A$5:$N$45,13,0)+0,0))</f>
        <v>52</v>
      </c>
      <c r="S783" s="54"/>
      <c r="T783" s="55"/>
      <c r="U783" s="55"/>
      <c r="V783" s="55"/>
      <c r="W783" s="48"/>
      <c r="X783" s="50"/>
      <c r="Y783" s="50"/>
      <c r="Z783" s="48" t="n">
        <f aca="false">IF(A783="","",IF(AND(Parameter!$B$21="Ja",ISNUMBER(W783)),W783,IF(CC783="2+3",IF(ISNUMBER(SEARCH("grosser Artikel",BU783)),2,IFERROR(VLOOKUP(BX783,Parameter!$F$35:$G$64,2,0),2)),IF(OR(CC783="Nein",CC783=""),"-",CC783))))</f>
        <v>3</v>
      </c>
      <c r="AA783" s="55"/>
      <c r="AB783" s="56"/>
      <c r="AC783" s="50" t="n">
        <f aca="false">AV783</f>
        <v>1</v>
      </c>
      <c r="AD783" s="50" t="n">
        <f aca="false">MAX(AV783,H783)</f>
        <v>45</v>
      </c>
      <c r="AE783" s="57"/>
      <c r="AF783" s="50" t="n">
        <f aca="false">IF(LEFT(Cockpit!$C$5,1)="A",H783,IF(Parameter!$E$30="MAX-Bestand",IF(CH783=1,CI783,IF(LEFT(Cockpit!$C$5,1)="B",AL783,MAX(AL783,H783))),ROUNDUP(AJ783,0)))</f>
        <v>45</v>
      </c>
      <c r="AG783" s="50" t="n">
        <f aca="false">IF(BZ783=1,0,ROUNDUP(AF783/BY783,0))</f>
        <v>1</v>
      </c>
      <c r="AH783" s="52" t="n">
        <f aca="false">IF(CQ783&gt;0,CQ783*MAX(1,AF783/X783),IF(BZ783=1,IF(AF783&lt;=0,0,CD783*MAX(1,IF(H783&gt;0,AF783/H783,1))),IF(R783&gt;0,AG783/R783,0))/MAX(0.1,N(Parameter!$M$21)))</f>
        <v>0.0192307692307692</v>
      </c>
      <c r="AI783" s="50" t="n">
        <f aca="false">AH783*CB783</f>
        <v>2.98076923076923</v>
      </c>
      <c r="AJ783" s="51" t="n">
        <f aca="false">IF(LEFT(Cockpit!$C$5,1)="A",H783,IF(CH783=1,(CK783+CI783)/2,IF(LEFT(Cockpit!$C$5,1)="B",(CK783+AL783)/2,MAX((CK783+AL783)/2,H783))))</f>
        <v>45</v>
      </c>
      <c r="AK783" s="50" t="n">
        <f aca="false">AJ783*G783</f>
        <v>23.4</v>
      </c>
      <c r="AL783" s="50" t="n">
        <f aca="false">ROUNDUP(CK783+MAX(CL783,2*(J783/IF(CG783&gt;0,CG783,MAX(0.1,N(Cockpit!$C$6)))-CK783)),0)</f>
        <v>1</v>
      </c>
      <c r="AM783" s="51" t="n">
        <f aca="false">IF(AI783&gt;0,J783/AI783,-1)</f>
        <v>0</v>
      </c>
      <c r="AN783" s="51" t="n">
        <f aca="false">IF(AND(OR(CF783="L1",CF783="L23",CF783="LIFT"),AI783&gt;0),SUMIFS($AI$7:$AI$1843,$CF$7:$CF$1843,CF783,$AM$7:$AM$1843,"&gt;"&amp;AM783)+SUMIFS($AI$7:$AI$1843,$CF$7:$CF$1843,CF783,$AM$7:$AM$1843,AM783,$BW$7:$BW$1843,"&lt;="&amp;BW783),"")</f>
        <v>28760.1773659486</v>
      </c>
      <c r="AO783" s="58" t="n">
        <f aca="false">IF(AN783="",0,MAX(0,MIN(1,(IF(CF783="L1",Parameter!$H$5,IF(CF783="L23",Parameter!$H$6+Parameter!$H$7,Parameter!$H$5+Parameter!$H$6+Parameter!$H$7))-(AN783-AI783))/AI783)))</f>
        <v>1</v>
      </c>
      <c r="AP783" s="50" t="n">
        <f aca="false">IF(LEFT(Cockpit!$I$5,1)="A",H783,IF(Parameter!$E$30="MAX-Bestand",IF(CH783=1,CI783,IF(LEFT(Cockpit!$I$5,1)="B",AV783,MAX(AV783,H783))),ROUNDUP(AT783,0)))</f>
        <v>45</v>
      </c>
      <c r="AQ783" s="50" t="n">
        <f aca="false">IF(BZ783=1,0,ROUNDUP(AP783/BY783,0))</f>
        <v>1</v>
      </c>
      <c r="AR783" s="52" t="n">
        <f aca="false">IF(CQ783&gt;0,CQ783*MAX(1,AP783/X783),IF(BZ783=1,IF(AP783&lt;=0,0,CD783*MAX(1,IF(H783&gt;0,AP783/H783,1))),IF(R783&gt;0,AQ783/R783,0))/MAX(0.1,N(Parameter!$M$21)))</f>
        <v>0.0192307692307692</v>
      </c>
      <c r="AS783" s="50" t="n">
        <f aca="false">AR783*CB783</f>
        <v>2.98076923076923</v>
      </c>
      <c r="AT783" s="51" t="n">
        <f aca="false">IF(LEFT(Cockpit!$I$5,1)="A",H783,IF(CH783=1,(CK783+CI783)/2,IF(LEFT(Cockpit!$I$5,1)="B",(CK783+AV783)/2,MAX((CK783+AV783)/2,H783))))</f>
        <v>45</v>
      </c>
      <c r="AU783" s="50" t="n">
        <f aca="false">AT783*G783</f>
        <v>23.4</v>
      </c>
      <c r="AV783" s="50" t="n">
        <f aca="false">ROUNDUP(CK783+MAX(CL783,2*(J783/IF(CG783&gt;0,CG783,MAX(0.1,N(Cockpit!$I$6)))-CK783)),0)</f>
        <v>1</v>
      </c>
      <c r="AW783" s="51" t="n">
        <f aca="false">IF(AS783&gt;0,J783/AS783,-1)</f>
        <v>0</v>
      </c>
      <c r="AX783" s="51" t="n">
        <f aca="false">IF(AND(OR(CF783="L1",CF783="L23",CF783="LIFT"),AS783&gt;0),SUMIFS($AS$7:$AS$1843,$CF$7:$CF$1843,CF783,$AW$7:$AW$1843,"&gt;"&amp;AW783)+SUMIFS($AS$7:$AS$1843,$CF$7:$CF$1843,CF783,$AW$7:$AW$1843,AW783,$BW$7:$BW$1843,"&lt;="&amp;BW783),"")</f>
        <v>34364.9606227106</v>
      </c>
      <c r="AY783" s="58" t="n">
        <f aca="false">IF(AX783="",0,MAX(0,MIN(1,(IF(CF783="L1",Parameter!$H$5,IF(CF783="L23",Parameter!$H$6+Parameter!$H$7,Parameter!$H$5+Parameter!$H$6+Parameter!$H$7))-(AX783-AS783))/AS783)))</f>
        <v>1</v>
      </c>
      <c r="AZ783" s="50" t="n">
        <f aca="false">IF(LEFT(Cockpit!$O$5,1)="A",H783,IF(Parameter!$E$30="MAX-Bestand",IF(CH783=1,CI783,IF(LEFT(Cockpit!$O$5,1)="B",BF783,MAX(BF783,H783))),ROUNDUP(BD783,0)))</f>
        <v>1</v>
      </c>
      <c r="BA783" s="50" t="n">
        <f aca="false">IF(BZ783=1,0,ROUNDUP(AZ783/BY783,0))</f>
        <v>1</v>
      </c>
      <c r="BB783" s="52" t="n">
        <f aca="false">IF(CQ783&gt;0,CQ783*MAX(1,AZ783/X783),IF(BZ783=1,IF(AZ783&lt;=0,0,CD783*MAX(1,IF(H783&gt;0,AZ783/H783,1))),IF(R783&gt;0,BA783/R783,0))/MAX(0.1,N(Parameter!$M$21)))</f>
        <v>0.0192307692307692</v>
      </c>
      <c r="BC783" s="50" t="n">
        <f aca="false">BB783*CB783</f>
        <v>2.98076923076923</v>
      </c>
      <c r="BD783" s="51" t="n">
        <f aca="false">IF(LEFT(Cockpit!$O$5,1)="A",H783,IF(CH783=1,(CK783+CI783)/2,IF(LEFT(Cockpit!$O$5,1)="B",(CK783+BF783)/2,MAX((CK783+BF783)/2,H783))))</f>
        <v>0.5</v>
      </c>
      <c r="BE783" s="50" t="n">
        <f aca="false">BD783*G783</f>
        <v>0.26</v>
      </c>
      <c r="BF783" s="50" t="n">
        <f aca="false">ROUNDUP(CK783+MAX(CL783,2*(J783/IF(CG783&gt;0,CG783,MAX(0.1,N(Cockpit!$O$6)))-CK783)),0)</f>
        <v>1</v>
      </c>
      <c r="BG783" s="51" t="n">
        <f aca="false">IF(BC783&gt;0,J783/BC783,-1)</f>
        <v>0</v>
      </c>
      <c r="BH783" s="51" t="n">
        <f aca="false">IF(AND(OR(CF783="L1",CF783="L23",CF783="LIFT"),BC783&gt;0),SUMIFS($BC$7:$BC$1843,$CF$7:$CF$1843,CF783,$BG$7:$BG$1843,"&gt;"&amp;BG783)+SUMIFS($BC$7:$BC$1843,$CF$7:$CF$1843,CF783,$BG$7:$BG$1843,BG783,$BW$7:$BW$1843,"&lt;="&amp;BW783),"")</f>
        <v>28408.8304696716</v>
      </c>
      <c r="BI783" s="58" t="n">
        <f aca="false">IF(BH783="",0,MAX(0,MIN(1,(IF(CF783="L1",Parameter!$H$5,IF(CF783="L23",Parameter!$H$6+Parameter!$H$7,Parameter!$H$5+Parameter!$H$6+Parameter!$H$7))-(BH783-BC783))/BC783)))</f>
        <v>1</v>
      </c>
      <c r="BJ783" s="48" t="str">
        <f aca="false">IF(AI783&lt;=0,"",IF(CF783="Aussen","Aussenlager",IF(CF783="-","Nicht im Lift",IF(AO783&gt;=1,"Lift",IF(AO783&lt;=0,"Aussenlager","teilweise")))))</f>
        <v>Lift</v>
      </c>
      <c r="BK783" s="48" t="str">
        <f aca="false">IF(AS783&lt;=0,"",IF(CF783="Aussen","Aussenlager",IF(CF783="-","Nicht im Lift",IF(AY783&gt;=1,"Lift",IF(AY783&lt;=0,"Aussenlager","teilweise")))))</f>
        <v>Lift</v>
      </c>
      <c r="BL783" s="48" t="str">
        <f aca="false">IF(BC783&lt;=0,"",IF(CF783="Aussen","Aussenlager",IF(CF783="-","Nicht im Lift",IF(BI783&gt;=1,"Lift",IF(BI783&lt;=0,"Aussenlager","teilweise")))))</f>
        <v>Lift</v>
      </c>
      <c r="BM783" s="48" t="str">
        <f aca="false">IF(A783="","",IF(BV783=1,"Neu; ","")&amp;IF(AND(BV783=0,BQ783&lt;0),"negativer Bestand (Export "&amp;BQ783&amp;"); ","")&amp;IF(J783&lt;=0,"Kein Verbrauch; ","")&amp;IF(CQ783&gt;0,"Lift "&amp;W783&amp;" lt. Liftbericht (Fach "&amp;X783&amp;" Stk); ",IF(CA783=1,"Gebinde geschätzt ("&amp;T783&amp;"); ",IF(BZ783=1,"Lose – Tablare geschätzt; ","")))&amp;IF(H783&gt;AV783,"Überbestand "&amp;ROUND(H783-AV783,0)&amp;" Stk / CHF "&amp;ROUND((H783-AV783)*G783,0)&amp;"; ","")&amp;IF(AND(CH783=1,CI783&lt;CJ783),"MAX &lt; MB+LG; ","")&amp;IF(AND(CP783&gt;0,CO783*10&gt;CP783),"zu hoch für Tablar; ","")&amp;IF(AND(BV783=0,OR(CH783=1,AA783&lt;&gt;"",U783&lt;&gt;"",V783&lt;&gt;"",AB783&lt;&gt;"")),"manuell übersteuert; ","")&amp;IF(AND(BZ783=0,R783=0),"Gebinde unbekannt / Stellmass fehlt; ","")&amp;IF(AND(BZ783=0,N(V783)&lt;=0,N(Q783)&lt;=0),"Menge pro Gebinde fehlt (Ist = 1 Gebinde); ","")&amp;BU783)</f>
        <v>negativer Bestand (Export -4); Kein Verbrauch; Überbestand 44 Stk / CHF 23; </v>
      </c>
      <c r="BN783" s="48"/>
      <c r="BO783" s="48"/>
      <c r="BP783" s="55"/>
      <c r="BQ783" s="50" t="n">
        <v>-4</v>
      </c>
      <c r="BR783" s="50" t="n">
        <v>49</v>
      </c>
      <c r="BS783" s="49" t="n">
        <v>-2.08</v>
      </c>
      <c r="BT783" s="50" t="n">
        <v>0</v>
      </c>
      <c r="BU783" s="48"/>
      <c r="BV783" s="53" t="n">
        <v>0</v>
      </c>
      <c r="BW783" s="53" t="n">
        <v>783</v>
      </c>
      <c r="BX783" s="48" t="str">
        <f aca="false">IF(U783&lt;&gt;"",UPPER(TRIM(U783)),IF(CA783=1,UPPER(VLOOKUP(T783,Parameter!$I$27:$K$29,2,0)),IF(P783="","LOSE",P783)))</f>
        <v>S41</v>
      </c>
      <c r="BY783" s="50" t="n">
        <f aca="false">IF(BX783="LOSE",1,IF(N(V783)&gt;0,V783,IF(CA783=1,MAX(1,N(VLOOKUP(T783,Parameter!$I$27:$K$29,3,0)),H783,N(N783)),IF(N(Q783)&gt;0,Q783,MAX(1,H783)))))</f>
        <v>96</v>
      </c>
      <c r="BZ783" s="53" t="n">
        <f aca="false">IF(BX783="LOSE",1,0)</f>
        <v>0</v>
      </c>
      <c r="CA783" s="53" t="n">
        <f aca="false">IF(AND(U783="",OR(P783="",P783="LOSE"),T783&lt;&gt;"",N(S783)&lt;=0,ISNUMBER(MATCH(T783,Parameter!$I$27:$I$29,0))),1,0)</f>
        <v>0</v>
      </c>
      <c r="CB783" s="53" t="n">
        <f aca="false">IF(CQ783&gt;0,INDEX(Parameter!$H$5:$H$7,W783)/INDEX(Parameter!$E$5:$E$7,W783),IF(AND(BZ783=0,N(IFERROR(VLOOKUP(BX783,'Gebinde-Kategorie'!$A$5:$N$45,14,0),0))&gt;0),VLOOKUP(BX783,'Gebinde-Kategorie'!$A$5:$N$45,14,0)*10+Parameter!$M$23,Parameter!$M$24))</f>
        <v>155</v>
      </c>
      <c r="CC783" s="48" t="str">
        <f aca="false">IF(AND(Parameter!$B$19="Ja",E783&lt;&gt;"",ISNUMBER(MATCH(E783,Parameter!$I$35:$I$52,0))),VLOOKUP(E783,Parameter!$I$35:$J$52,2,0),IFERROR(VLOOKUP(D783,Parameter!$A$35:$C$64,2,0),"Nein"))</f>
        <v>2+3</v>
      </c>
      <c r="CD783" s="52" t="n">
        <f aca="false">IF(BZ783=0,0,IF(N(S783)&gt;0,S783,IFERROR(VLOOKUP(D783,Parameter!$A$35:$C$64,3,0)+0,0)))</f>
        <v>0</v>
      </c>
      <c r="CE783" s="48" t="n">
        <f aca="false">IF(AA783&lt;&gt;"",AA783,Z783)</f>
        <v>3</v>
      </c>
      <c r="CF783" s="48" t="str">
        <f aca="false">IF(OR(CE783=1,CE783=2,CE783=3),IF(Parameter!$E$27="Ja","LIFT",IF(CE783=1,"L1","L23")),IF(CE783="Aussen","Aussen","-"))</f>
        <v>LIFT</v>
      </c>
      <c r="CG783" s="59" t="n">
        <f aca="false">IF(N(AB783)&gt;0,AB783,0)</f>
        <v>0</v>
      </c>
      <c r="CH783" s="53" t="n">
        <f aca="false">IF(ISNUMBER(AE783),1,0)</f>
        <v>0</v>
      </c>
      <c r="CI783" s="50" t="n">
        <f aca="false">N(AE783)</f>
        <v>0</v>
      </c>
      <c r="CJ783" s="50" t="n">
        <f aca="false">N(M783)+N(N783)</f>
        <v>1</v>
      </c>
      <c r="CK783" s="50" t="n">
        <f aca="false">N(M783)</f>
        <v>0</v>
      </c>
      <c r="CL783" s="50" t="n">
        <f aca="false">N(N783)</f>
        <v>1</v>
      </c>
      <c r="CM783" s="50" t="n">
        <f aca="false">ROUNDUP(H783/BY783,0)</f>
        <v>1</v>
      </c>
      <c r="CN783" s="50" t="n">
        <f aca="false">ROUNDUP(CI783/BY783,0)</f>
        <v>0</v>
      </c>
      <c r="CO783" s="53" t="n">
        <f aca="false">IF(BZ783=1,0,IFERROR(VLOOKUP(BX783,'Gebinde-Kategorie'!$A$5:$N$45,5,0)+0,0))</f>
        <v>11</v>
      </c>
      <c r="CP783" s="53" t="n">
        <f aca="false">IFERROR(IF(OR(CE783=1,CE783=2,CE783=3),N(INDEX(Parameter!$I$5:$I$7,CE783)),0),0)</f>
        <v>0</v>
      </c>
      <c r="CQ783" s="52" t="n">
        <f aca="false">IF(AND(Parameter!$B$21="Ja",ISNUMBER(W783),N(X783)&gt;0),IFERROR(N(INDEX(Parameter!$L$5:$L$7,W783))*INDEX(Parameter!$E$5:$E$7,W783)*X783/SUMIFS($X$7:$X$1843,$W$7:$W$1843,W783),0),0)</f>
        <v>0</v>
      </c>
    </row>
    <row r="784" customFormat="false" ht="15" hidden="false" customHeight="false" outlineLevel="0" collapsed="false">
      <c r="A784" s="48" t="s">
        <v>1539</v>
      </c>
      <c r="B784" s="48" t="s">
        <v>1540</v>
      </c>
      <c r="C784" s="48" t="s">
        <v>173</v>
      </c>
      <c r="D784" s="48" t="s">
        <v>193</v>
      </c>
      <c r="E784" s="48" t="s">
        <v>194</v>
      </c>
      <c r="F784" s="48" t="s">
        <v>227</v>
      </c>
      <c r="G784" s="49" t="n">
        <v>0.45</v>
      </c>
      <c r="H784" s="50" t="n">
        <f aca="false">MAX(0,IF(AND(Parameter!$B$21="Ja",ISNUMBER(Y784)),Y784,IF(Parameter!$B$20="Jahresanfang 2025 + Export",BR784+BQ784,BQ784)))</f>
        <v>45</v>
      </c>
      <c r="I784" s="50" t="n">
        <f aca="false">H784*G784</f>
        <v>20.25</v>
      </c>
      <c r="J784" s="50" t="n">
        <f aca="false">BT784*Parameter!$B$18</f>
        <v>0</v>
      </c>
      <c r="K784" s="51" t="n">
        <v>53</v>
      </c>
      <c r="L784" s="52" t="n">
        <v>0</v>
      </c>
      <c r="M784" s="50" t="n">
        <v>0</v>
      </c>
      <c r="N784" s="50" t="n">
        <v>1</v>
      </c>
      <c r="O784" s="53" t="n">
        <v>49</v>
      </c>
      <c r="P784" s="48" t="s">
        <v>410</v>
      </c>
      <c r="Q784" s="50" t="n">
        <v>56</v>
      </c>
      <c r="R784" s="53" t="n">
        <f aca="false">IF(BZ784=1,0,IFERROR(VLOOKUP(BX784,'Gebinde-Kategorie'!$A$5:$N$45,13,0)+0,0))</f>
        <v>280</v>
      </c>
      <c r="S784" s="54"/>
      <c r="T784" s="55"/>
      <c r="U784" s="55"/>
      <c r="V784" s="55"/>
      <c r="W784" s="48"/>
      <c r="X784" s="50"/>
      <c r="Y784" s="50"/>
      <c r="Z784" s="48" t="n">
        <f aca="false">IF(A784="","",IF(AND(Parameter!$B$21="Ja",ISNUMBER(W784)),W784,IF(CC784="2+3",IF(ISNUMBER(SEARCH("grosser Artikel",BU784)),2,IFERROR(VLOOKUP(BX784,Parameter!$F$35:$G$64,2,0),2)),IF(OR(CC784="Nein",CC784=""),"-",CC784))))</f>
        <v>3</v>
      </c>
      <c r="AA784" s="55"/>
      <c r="AB784" s="56"/>
      <c r="AC784" s="50" t="n">
        <f aca="false">AV784</f>
        <v>1</v>
      </c>
      <c r="AD784" s="50" t="n">
        <f aca="false">MAX(AV784,H784)</f>
        <v>45</v>
      </c>
      <c r="AE784" s="57"/>
      <c r="AF784" s="50" t="n">
        <f aca="false">IF(LEFT(Cockpit!$C$5,1)="A",H784,IF(Parameter!$E$30="MAX-Bestand",IF(CH784=1,CI784,IF(LEFT(Cockpit!$C$5,1)="B",AL784,MAX(AL784,H784))),ROUNDUP(AJ784,0)))</f>
        <v>45</v>
      </c>
      <c r="AG784" s="50" t="n">
        <f aca="false">IF(BZ784=1,0,ROUNDUP(AF784/BY784,0))</f>
        <v>1</v>
      </c>
      <c r="AH784" s="52" t="n">
        <f aca="false">IF(CQ784&gt;0,CQ784*MAX(1,AF784/X784),IF(BZ784=1,IF(AF784&lt;=0,0,CD784*MAX(1,IF(H784&gt;0,AF784/H784,1))),IF(R784&gt;0,AG784/R784,0))/MAX(0.1,N(Parameter!$M$21)))</f>
        <v>0.00357142857142857</v>
      </c>
      <c r="AI784" s="50" t="n">
        <f aca="false">AH784*CB784</f>
        <v>0.553571428571429</v>
      </c>
      <c r="AJ784" s="51" t="n">
        <f aca="false">IF(LEFT(Cockpit!$C$5,1)="A",H784,IF(CH784=1,(CK784+CI784)/2,IF(LEFT(Cockpit!$C$5,1)="B",(CK784+AL784)/2,MAX((CK784+AL784)/2,H784))))</f>
        <v>45</v>
      </c>
      <c r="AK784" s="50" t="n">
        <f aca="false">AJ784*G784</f>
        <v>20.25</v>
      </c>
      <c r="AL784" s="50" t="n">
        <f aca="false">ROUNDUP(CK784+MAX(CL784,2*(J784/IF(CG784&gt;0,CG784,MAX(0.1,N(Cockpit!$C$6)))-CK784)),0)</f>
        <v>1</v>
      </c>
      <c r="AM784" s="51" t="n">
        <f aca="false">IF(AI784&gt;0,J784/AI784,-1)</f>
        <v>0</v>
      </c>
      <c r="AN784" s="51" t="n">
        <f aca="false">IF(AND(OR(CF784="L1",CF784="L23",CF784="LIFT"),AI784&gt;0),SUMIFS($AI$7:$AI$1843,$CF$7:$CF$1843,CF784,$AM$7:$AM$1843,"&gt;"&amp;AM784)+SUMIFS($AI$7:$AI$1843,$CF$7:$CF$1843,CF784,$AM$7:$AM$1843,AM784,$BW$7:$BW$1843,"&lt;="&amp;BW784),"")</f>
        <v>28760.7309373771</v>
      </c>
      <c r="AO784" s="58" t="n">
        <f aca="false">IF(AN784="",0,MAX(0,MIN(1,(IF(CF784="L1",Parameter!$H$5,IF(CF784="L23",Parameter!$H$6+Parameter!$H$7,Parameter!$H$5+Parameter!$H$6+Parameter!$H$7))-(AN784-AI784))/AI784)))</f>
        <v>1</v>
      </c>
      <c r="AP784" s="50" t="n">
        <f aca="false">IF(LEFT(Cockpit!$I$5,1)="A",H784,IF(Parameter!$E$30="MAX-Bestand",IF(CH784=1,CI784,IF(LEFT(Cockpit!$I$5,1)="B",AV784,MAX(AV784,H784))),ROUNDUP(AT784,0)))</f>
        <v>45</v>
      </c>
      <c r="AQ784" s="50" t="n">
        <f aca="false">IF(BZ784=1,0,ROUNDUP(AP784/BY784,0))</f>
        <v>1</v>
      </c>
      <c r="AR784" s="52" t="n">
        <f aca="false">IF(CQ784&gt;0,CQ784*MAX(1,AP784/X784),IF(BZ784=1,IF(AP784&lt;=0,0,CD784*MAX(1,IF(H784&gt;0,AP784/H784,1))),IF(R784&gt;0,AQ784/R784,0))/MAX(0.1,N(Parameter!$M$21)))</f>
        <v>0.00357142857142857</v>
      </c>
      <c r="AS784" s="50" t="n">
        <f aca="false">AR784*CB784</f>
        <v>0.553571428571429</v>
      </c>
      <c r="AT784" s="51" t="n">
        <f aca="false">IF(LEFT(Cockpit!$I$5,1)="A",H784,IF(CH784=1,(CK784+CI784)/2,IF(LEFT(Cockpit!$I$5,1)="B",(CK784+AV784)/2,MAX((CK784+AV784)/2,H784))))</f>
        <v>45</v>
      </c>
      <c r="AU784" s="50" t="n">
        <f aca="false">AT784*G784</f>
        <v>20.25</v>
      </c>
      <c r="AV784" s="50" t="n">
        <f aca="false">ROUNDUP(CK784+MAX(CL784,2*(J784/IF(CG784&gt;0,CG784,MAX(0.1,N(Cockpit!$I$6)))-CK784)),0)</f>
        <v>1</v>
      </c>
      <c r="AW784" s="51" t="n">
        <f aca="false">IF(AS784&gt;0,J784/AS784,-1)</f>
        <v>0</v>
      </c>
      <c r="AX784" s="51" t="n">
        <f aca="false">IF(AND(OR(CF784="L1",CF784="L23",CF784="LIFT"),AS784&gt;0),SUMIFS($AS$7:$AS$1843,$CF$7:$CF$1843,CF784,$AW$7:$AW$1843,"&gt;"&amp;AW784)+SUMIFS($AS$7:$AS$1843,$CF$7:$CF$1843,CF784,$AW$7:$AW$1843,AW784,$BW$7:$BW$1843,"&lt;="&amp;BW784),"")</f>
        <v>34365.5141941392</v>
      </c>
      <c r="AY784" s="58" t="n">
        <f aca="false">IF(AX784="",0,MAX(0,MIN(1,(IF(CF784="L1",Parameter!$H$5,IF(CF784="L23",Parameter!$H$6+Parameter!$H$7,Parameter!$H$5+Parameter!$H$6+Parameter!$H$7))-(AX784-AS784))/AS784)))</f>
        <v>1</v>
      </c>
      <c r="AZ784" s="50" t="n">
        <f aca="false">IF(LEFT(Cockpit!$O$5,1)="A",H784,IF(Parameter!$E$30="MAX-Bestand",IF(CH784=1,CI784,IF(LEFT(Cockpit!$O$5,1)="B",BF784,MAX(BF784,H784))),ROUNDUP(BD784,0)))</f>
        <v>1</v>
      </c>
      <c r="BA784" s="50" t="n">
        <f aca="false">IF(BZ784=1,0,ROUNDUP(AZ784/BY784,0))</f>
        <v>1</v>
      </c>
      <c r="BB784" s="52" t="n">
        <f aca="false">IF(CQ784&gt;0,CQ784*MAX(1,AZ784/X784),IF(BZ784=1,IF(AZ784&lt;=0,0,CD784*MAX(1,IF(H784&gt;0,AZ784/H784,1))),IF(R784&gt;0,BA784/R784,0))/MAX(0.1,N(Parameter!$M$21)))</f>
        <v>0.00357142857142857</v>
      </c>
      <c r="BC784" s="50" t="n">
        <f aca="false">BB784*CB784</f>
        <v>0.553571428571429</v>
      </c>
      <c r="BD784" s="51" t="n">
        <f aca="false">IF(LEFT(Cockpit!$O$5,1)="A",H784,IF(CH784=1,(CK784+CI784)/2,IF(LEFT(Cockpit!$O$5,1)="B",(CK784+BF784)/2,MAX((CK784+BF784)/2,H784))))</f>
        <v>0.5</v>
      </c>
      <c r="BE784" s="50" t="n">
        <f aca="false">BD784*G784</f>
        <v>0.225</v>
      </c>
      <c r="BF784" s="50" t="n">
        <f aca="false">ROUNDUP(CK784+MAX(CL784,2*(J784/IF(CG784&gt;0,CG784,MAX(0.1,N(Cockpit!$O$6)))-CK784)),0)</f>
        <v>1</v>
      </c>
      <c r="BG784" s="51" t="n">
        <f aca="false">IF(BC784&gt;0,J784/BC784,-1)</f>
        <v>0</v>
      </c>
      <c r="BH784" s="51" t="n">
        <f aca="false">IF(AND(OR(CF784="L1",CF784="L23",CF784="LIFT"),BC784&gt;0),SUMIFS($BC$7:$BC$1843,$CF$7:$CF$1843,CF784,$BG$7:$BG$1843,"&gt;"&amp;BG784)+SUMIFS($BC$7:$BC$1843,$CF$7:$CF$1843,CF784,$BG$7:$BG$1843,BG784,$BW$7:$BW$1843,"&lt;="&amp;BW784),"")</f>
        <v>28409.3840411001</v>
      </c>
      <c r="BI784" s="58" t="n">
        <f aca="false">IF(BH784="",0,MAX(0,MIN(1,(IF(CF784="L1",Parameter!$H$5,IF(CF784="L23",Parameter!$H$6+Parameter!$H$7,Parameter!$H$5+Parameter!$H$6+Parameter!$H$7))-(BH784-BC784))/BC784)))</f>
        <v>1</v>
      </c>
      <c r="BJ784" s="48" t="str">
        <f aca="false">IF(AI784&lt;=0,"",IF(CF784="Aussen","Aussenlager",IF(CF784="-","Nicht im Lift",IF(AO784&gt;=1,"Lift",IF(AO784&lt;=0,"Aussenlager","teilweise")))))</f>
        <v>Lift</v>
      </c>
      <c r="BK784" s="48" t="str">
        <f aca="false">IF(AS784&lt;=0,"",IF(CF784="Aussen","Aussenlager",IF(CF784="-","Nicht im Lift",IF(AY784&gt;=1,"Lift",IF(AY784&lt;=0,"Aussenlager","teilweise")))))</f>
        <v>Lift</v>
      </c>
      <c r="BL784" s="48" t="str">
        <f aca="false">IF(BC784&lt;=0,"",IF(CF784="Aussen","Aussenlager",IF(CF784="-","Nicht im Lift",IF(BI784&gt;=1,"Lift",IF(BI784&lt;=0,"Aussenlager","teilweise")))))</f>
        <v>Lift</v>
      </c>
      <c r="BM784" s="48" t="str">
        <f aca="false">IF(A784="","",IF(BV784=1,"Neu; ","")&amp;IF(AND(BV784=0,BQ784&lt;0),"negativer Bestand (Export "&amp;BQ784&amp;"); ","")&amp;IF(J784&lt;=0,"Kein Verbrauch; ","")&amp;IF(CQ784&gt;0,"Lift "&amp;W784&amp;" lt. Liftbericht (Fach "&amp;X784&amp;" Stk); ",IF(CA784=1,"Gebinde geschätzt ("&amp;T784&amp;"); ",IF(BZ784=1,"Lose – Tablare geschätzt; ","")))&amp;IF(H784&gt;AV784,"Überbestand "&amp;ROUND(H784-AV784,0)&amp;" Stk / CHF "&amp;ROUND((H784-AV784)*G784,0)&amp;"; ","")&amp;IF(AND(CH784=1,CI784&lt;CJ784),"MAX &lt; MB+LG; ","")&amp;IF(AND(CP784&gt;0,CO784*10&gt;CP784),"zu hoch für Tablar; ","")&amp;IF(AND(BV784=0,OR(CH784=1,AA784&lt;&gt;"",U784&lt;&gt;"",V784&lt;&gt;"",AB784&lt;&gt;"")),"manuell übersteuert; ","")&amp;IF(AND(BZ784=0,R784=0),"Gebinde unbekannt / Stellmass fehlt; ","")&amp;IF(AND(BZ784=0,N(V784)&lt;=0,N(Q784)&lt;=0),"Menge pro Gebinde fehlt (Ist = 1 Gebinde); ","")&amp;BU784)</f>
        <v>negativer Bestand (Export -5); Kein Verbrauch; Überbestand 44 Stk / CHF 20; </v>
      </c>
      <c r="BN784" s="48"/>
      <c r="BO784" s="48"/>
      <c r="BP784" s="55"/>
      <c r="BQ784" s="50" t="n">
        <v>-5</v>
      </c>
      <c r="BR784" s="50" t="n">
        <v>50</v>
      </c>
      <c r="BS784" s="49" t="n">
        <v>-2.25</v>
      </c>
      <c r="BT784" s="50" t="n">
        <v>0</v>
      </c>
      <c r="BU784" s="48"/>
      <c r="BV784" s="53" t="n">
        <v>0</v>
      </c>
      <c r="BW784" s="53" t="n">
        <v>784</v>
      </c>
      <c r="BX784" s="48" t="str">
        <f aca="false">IF(U784&lt;&gt;"",UPPER(TRIM(U784)),IF(CA784=1,UPPER(VLOOKUP(T784,Parameter!$I$27:$K$29,2,0)),IF(P784="","LOSE",P784)))</f>
        <v>S21</v>
      </c>
      <c r="BY784" s="50" t="n">
        <f aca="false">IF(BX784="LOSE",1,IF(N(V784)&gt;0,V784,IF(CA784=1,MAX(1,N(VLOOKUP(T784,Parameter!$I$27:$K$29,3,0)),H784,N(N784)),IF(N(Q784)&gt;0,Q784,MAX(1,H784)))))</f>
        <v>56</v>
      </c>
      <c r="BZ784" s="53" t="n">
        <f aca="false">IF(BX784="LOSE",1,0)</f>
        <v>0</v>
      </c>
      <c r="CA784" s="53" t="n">
        <f aca="false">IF(AND(U784="",OR(P784="",P784="LOSE"),T784&lt;&gt;"",N(S784)&lt;=0,ISNUMBER(MATCH(T784,Parameter!$I$27:$I$29,0))),1,0)</f>
        <v>0</v>
      </c>
      <c r="CB784" s="53" t="n">
        <f aca="false">IF(CQ784&gt;0,INDEX(Parameter!$H$5:$H$7,W784)/INDEX(Parameter!$E$5:$E$7,W784),IF(AND(BZ784=0,N(IFERROR(VLOOKUP(BX784,'Gebinde-Kategorie'!$A$5:$N$45,14,0),0))&gt;0),VLOOKUP(BX784,'Gebinde-Kategorie'!$A$5:$N$45,14,0)*10+Parameter!$M$23,Parameter!$M$24))</f>
        <v>155</v>
      </c>
      <c r="CC784" s="48" t="str">
        <f aca="false">IF(AND(Parameter!$B$19="Ja",E784&lt;&gt;"",ISNUMBER(MATCH(E784,Parameter!$I$35:$I$52,0))),VLOOKUP(E784,Parameter!$I$35:$J$52,2,0),IFERROR(VLOOKUP(D784,Parameter!$A$35:$C$64,2,0),"Nein"))</f>
        <v>2+3</v>
      </c>
      <c r="CD784" s="52" t="n">
        <f aca="false">IF(BZ784=0,0,IF(N(S784)&gt;0,S784,IFERROR(VLOOKUP(D784,Parameter!$A$35:$C$64,3,0)+0,0)))</f>
        <v>0</v>
      </c>
      <c r="CE784" s="48" t="n">
        <f aca="false">IF(AA784&lt;&gt;"",AA784,Z784)</f>
        <v>3</v>
      </c>
      <c r="CF784" s="48" t="str">
        <f aca="false">IF(OR(CE784=1,CE784=2,CE784=3),IF(Parameter!$E$27="Ja","LIFT",IF(CE784=1,"L1","L23")),IF(CE784="Aussen","Aussen","-"))</f>
        <v>LIFT</v>
      </c>
      <c r="CG784" s="59" t="n">
        <f aca="false">IF(N(AB784)&gt;0,AB784,0)</f>
        <v>0</v>
      </c>
      <c r="CH784" s="53" t="n">
        <f aca="false">IF(ISNUMBER(AE784),1,0)</f>
        <v>0</v>
      </c>
      <c r="CI784" s="50" t="n">
        <f aca="false">N(AE784)</f>
        <v>0</v>
      </c>
      <c r="CJ784" s="50" t="n">
        <f aca="false">N(M784)+N(N784)</f>
        <v>1</v>
      </c>
      <c r="CK784" s="50" t="n">
        <f aca="false">N(M784)</f>
        <v>0</v>
      </c>
      <c r="CL784" s="50" t="n">
        <f aca="false">N(N784)</f>
        <v>1</v>
      </c>
      <c r="CM784" s="50" t="n">
        <f aca="false">ROUNDUP(H784/BY784,0)</f>
        <v>1</v>
      </c>
      <c r="CN784" s="50" t="n">
        <f aca="false">ROUNDUP(CI784/BY784,0)</f>
        <v>0</v>
      </c>
      <c r="CO784" s="53" t="n">
        <f aca="false">IF(BZ784=1,0,IFERROR(VLOOKUP(BX784,'Gebinde-Kategorie'!$A$5:$N$45,5,0)+0,0))</f>
        <v>8</v>
      </c>
      <c r="CP784" s="53" t="n">
        <f aca="false">IFERROR(IF(OR(CE784=1,CE784=2,CE784=3),N(INDEX(Parameter!$I$5:$I$7,CE784)),0),0)</f>
        <v>0</v>
      </c>
      <c r="CQ784" s="52" t="n">
        <f aca="false">IF(AND(Parameter!$B$21="Ja",ISNUMBER(W784),N(X784)&gt;0),IFERROR(N(INDEX(Parameter!$L$5:$L$7,W784))*INDEX(Parameter!$E$5:$E$7,W784)*X784/SUMIFS($X$7:$X$1843,$W$7:$W$1843,W784),0),0)</f>
        <v>0</v>
      </c>
    </row>
    <row r="785" customFormat="false" ht="15" hidden="false" customHeight="false" outlineLevel="0" collapsed="false">
      <c r="A785" s="48" t="s">
        <v>1541</v>
      </c>
      <c r="B785" s="48" t="s">
        <v>1245</v>
      </c>
      <c r="C785" s="48" t="s">
        <v>173</v>
      </c>
      <c r="D785" s="48" t="s">
        <v>193</v>
      </c>
      <c r="E785" s="48" t="s">
        <v>194</v>
      </c>
      <c r="F785" s="48" t="s">
        <v>227</v>
      </c>
      <c r="G785" s="49" t="n">
        <v>0.17</v>
      </c>
      <c r="H785" s="50" t="n">
        <f aca="false">MAX(0,IF(AND(Parameter!$B$21="Ja",ISNUMBER(Y785)),Y785,IF(Parameter!$B$20="Jahresanfang 2025 + Export",BR785+BQ785,BQ785)))</f>
        <v>488</v>
      </c>
      <c r="I785" s="50" t="n">
        <f aca="false">H785*G785</f>
        <v>82.96</v>
      </c>
      <c r="J785" s="50" t="n">
        <f aca="false">BT785*Parameter!$B$18</f>
        <v>8</v>
      </c>
      <c r="K785" s="51" t="n">
        <v>497.5</v>
      </c>
      <c r="L785" s="52" t="n">
        <v>0.0160804020100503</v>
      </c>
      <c r="M785" s="50" t="n">
        <v>0</v>
      </c>
      <c r="N785" s="50" t="n">
        <v>10</v>
      </c>
      <c r="O785" s="53" t="n">
        <v>21</v>
      </c>
      <c r="P785" s="48" t="s">
        <v>485</v>
      </c>
      <c r="Q785" s="50" t="n">
        <v>205</v>
      </c>
      <c r="R785" s="53" t="n">
        <f aca="false">IF(BZ785=1,0,IFERROR(VLOOKUP(BX785,'Gebinde-Kategorie'!$A$5:$N$45,13,0)+0,0))</f>
        <v>52</v>
      </c>
      <c r="S785" s="54"/>
      <c r="T785" s="55"/>
      <c r="U785" s="55"/>
      <c r="V785" s="55"/>
      <c r="W785" s="48"/>
      <c r="X785" s="50"/>
      <c r="Y785" s="50"/>
      <c r="Z785" s="48" t="n">
        <f aca="false">IF(A785="","",IF(AND(Parameter!$B$21="Ja",ISNUMBER(W785)),W785,IF(CC785="2+3",IF(ISNUMBER(SEARCH("grosser Artikel",BU785)),2,IFERROR(VLOOKUP(BX785,Parameter!$F$35:$G$64,2,0),2)),IF(OR(CC785="Nein",CC785=""),"-",CC785))))</f>
        <v>3</v>
      </c>
      <c r="AA785" s="55"/>
      <c r="AB785" s="56"/>
      <c r="AC785" s="50" t="n">
        <f aca="false">AV785</f>
        <v>10</v>
      </c>
      <c r="AD785" s="50" t="n">
        <f aca="false">MAX(AV785,H785)</f>
        <v>488</v>
      </c>
      <c r="AE785" s="57"/>
      <c r="AF785" s="50" t="n">
        <f aca="false">IF(LEFT(Cockpit!$C$5,1)="A",H785,IF(Parameter!$E$30="MAX-Bestand",IF(CH785=1,CI785,IF(LEFT(Cockpit!$C$5,1)="B",AL785,MAX(AL785,H785))),ROUNDUP(AJ785,0)))</f>
        <v>488</v>
      </c>
      <c r="AG785" s="50" t="n">
        <f aca="false">IF(BZ785=1,0,ROUNDUP(AF785/BY785,0))</f>
        <v>3</v>
      </c>
      <c r="AH785" s="52" t="n">
        <f aca="false">IF(CQ785&gt;0,CQ785*MAX(1,AF785/X785),IF(BZ785=1,IF(AF785&lt;=0,0,CD785*MAX(1,IF(H785&gt;0,AF785/H785,1))),IF(R785&gt;0,AG785/R785,0))/MAX(0.1,N(Parameter!$M$21)))</f>
        <v>0.0576923076923077</v>
      </c>
      <c r="AI785" s="50" t="n">
        <f aca="false">AH785*CB785</f>
        <v>8.94230769230769</v>
      </c>
      <c r="AJ785" s="51" t="n">
        <f aca="false">IF(LEFT(Cockpit!$C$5,1)="A",H785,IF(CH785=1,(CK785+CI785)/2,IF(LEFT(Cockpit!$C$5,1)="B",(CK785+AL785)/2,MAX((CK785+AL785)/2,H785))))</f>
        <v>488</v>
      </c>
      <c r="AK785" s="50" t="n">
        <f aca="false">AJ785*G785</f>
        <v>82.96</v>
      </c>
      <c r="AL785" s="50" t="n">
        <f aca="false">ROUNDUP(CK785+MAX(CL785,2*(J785/IF(CG785&gt;0,CG785,MAX(0.1,N(Cockpit!$C$6)))-CK785)),0)</f>
        <v>10</v>
      </c>
      <c r="AM785" s="51" t="n">
        <f aca="false">IF(AI785&gt;0,J785/AI785,-1)</f>
        <v>0.894623655913978</v>
      </c>
      <c r="AN785" s="51" t="n">
        <f aca="false">IF(AND(OR(CF785="L1",CF785="L23",CF785="LIFT"),AI785&gt;0),SUMIFS($AI$7:$AI$1843,$CF$7:$CF$1843,CF785,$AM$7:$AM$1843,"&gt;"&amp;AM785)+SUMIFS($AI$7:$AI$1843,$CF$7:$CF$1843,CF785,$AM$7:$AM$1843,AM785,$BW$7:$BW$1843,"&lt;="&amp;BW785),"")</f>
        <v>7631.11217948718</v>
      </c>
      <c r="AO785" s="58" t="n">
        <f aca="false">IF(AN785="",0,MAX(0,MIN(1,(IF(CF785="L1",Parameter!$H$5,IF(CF785="L23",Parameter!$H$6+Parameter!$H$7,Parameter!$H$5+Parameter!$H$6+Parameter!$H$7))-(AN785-AI785))/AI785)))</f>
        <v>1</v>
      </c>
      <c r="AP785" s="50" t="n">
        <f aca="false">IF(LEFT(Cockpit!$I$5,1)="A",H785,IF(Parameter!$E$30="MAX-Bestand",IF(CH785=1,CI785,IF(LEFT(Cockpit!$I$5,1)="B",AV785,MAX(AV785,H785))),ROUNDUP(AT785,0)))</f>
        <v>488</v>
      </c>
      <c r="AQ785" s="50" t="n">
        <f aca="false">IF(BZ785=1,0,ROUNDUP(AP785/BY785,0))</f>
        <v>3</v>
      </c>
      <c r="AR785" s="52" t="n">
        <f aca="false">IF(CQ785&gt;0,CQ785*MAX(1,AP785/X785),IF(BZ785=1,IF(AP785&lt;=0,0,CD785*MAX(1,IF(H785&gt;0,AP785/H785,1))),IF(R785&gt;0,AQ785/R785,0))/MAX(0.1,N(Parameter!$M$21)))</f>
        <v>0.0576923076923077</v>
      </c>
      <c r="AS785" s="50" t="n">
        <f aca="false">AR785*CB785</f>
        <v>8.94230769230769</v>
      </c>
      <c r="AT785" s="51" t="n">
        <f aca="false">IF(LEFT(Cockpit!$I$5,1)="A",H785,IF(CH785=1,(CK785+CI785)/2,IF(LEFT(Cockpit!$I$5,1)="B",(CK785+AV785)/2,MAX((CK785+AV785)/2,H785))))</f>
        <v>488</v>
      </c>
      <c r="AU785" s="50" t="n">
        <f aca="false">AT785*G785</f>
        <v>82.96</v>
      </c>
      <c r="AV785" s="50" t="n">
        <f aca="false">ROUNDUP(CK785+MAX(CL785,2*(J785/IF(CG785&gt;0,CG785,MAX(0.1,N(Cockpit!$I$6)))-CK785)),0)</f>
        <v>10</v>
      </c>
      <c r="AW785" s="51" t="n">
        <f aca="false">IF(AS785&gt;0,J785/AS785,-1)</f>
        <v>0.894623655913978</v>
      </c>
      <c r="AX785" s="51" t="n">
        <f aca="false">IF(AND(OR(CF785="L1",CF785="L23",CF785="LIFT"),AS785&gt;0),SUMIFS($AS$7:$AS$1843,$CF$7:$CF$1843,CF785,$AW$7:$AW$1843,"&gt;"&amp;AW785)+SUMIFS($AS$7:$AS$1843,$CF$7:$CF$1843,CF785,$AW$7:$AW$1843,AW785,$BW$7:$BW$1843,"&lt;="&amp;BW785),"")</f>
        <v>9205.5521978022</v>
      </c>
      <c r="AY785" s="58" t="n">
        <f aca="false">IF(AX785="",0,MAX(0,MIN(1,(IF(CF785="L1",Parameter!$H$5,IF(CF785="L23",Parameter!$H$6+Parameter!$H$7,Parameter!$H$5+Parameter!$H$6+Parameter!$H$7))-(AX785-AS785))/AS785)))</f>
        <v>1</v>
      </c>
      <c r="AZ785" s="50" t="n">
        <f aca="false">IF(LEFT(Cockpit!$O$5,1)="A",H785,IF(Parameter!$E$30="MAX-Bestand",IF(CH785=1,CI785,IF(LEFT(Cockpit!$O$5,1)="B",BF785,MAX(BF785,H785))),ROUNDUP(BD785,0)))</f>
        <v>5</v>
      </c>
      <c r="BA785" s="50" t="n">
        <f aca="false">IF(BZ785=1,0,ROUNDUP(AZ785/BY785,0))</f>
        <v>1</v>
      </c>
      <c r="BB785" s="52" t="n">
        <f aca="false">IF(CQ785&gt;0,CQ785*MAX(1,AZ785/X785),IF(BZ785=1,IF(AZ785&lt;=0,0,CD785*MAX(1,IF(H785&gt;0,AZ785/H785,1))),IF(R785&gt;0,BA785/R785,0))/MAX(0.1,N(Parameter!$M$21)))</f>
        <v>0.0192307692307692</v>
      </c>
      <c r="BC785" s="50" t="n">
        <f aca="false">BB785*CB785</f>
        <v>2.98076923076923</v>
      </c>
      <c r="BD785" s="51" t="n">
        <f aca="false">IF(LEFT(Cockpit!$O$5,1)="A",H785,IF(CH785=1,(CK785+CI785)/2,IF(LEFT(Cockpit!$O$5,1)="B",(CK785+BF785)/2,MAX((CK785+BF785)/2,H785))))</f>
        <v>5</v>
      </c>
      <c r="BE785" s="50" t="n">
        <f aca="false">BD785*G785</f>
        <v>0.85</v>
      </c>
      <c r="BF785" s="50" t="n">
        <f aca="false">ROUNDUP(CK785+MAX(CL785,2*(J785/IF(CG785&gt;0,CG785,MAX(0.1,N(Cockpit!$O$6)))-CK785)),0)</f>
        <v>10</v>
      </c>
      <c r="BG785" s="51" t="n">
        <f aca="false">IF(BC785&gt;0,J785/BC785,-1)</f>
        <v>2.68387096774194</v>
      </c>
      <c r="BH785" s="51" t="n">
        <f aca="false">IF(AND(OR(CF785="L1",CF785="L23",CF785="LIFT"),BC785&gt;0),SUMIFS($BC$7:$BC$1843,$CF$7:$CF$1843,CF785,$BG$7:$BG$1843,"&gt;"&amp;BG785)+SUMIFS($BC$7:$BC$1843,$CF$7:$CF$1843,CF785,$BG$7:$BG$1843,BG785,$BW$7:$BW$1843,"&lt;="&amp;BW785),"")</f>
        <v>5337.48076923077</v>
      </c>
      <c r="BI785" s="58" t="n">
        <f aca="false">IF(BH785="",0,MAX(0,MIN(1,(IF(CF785="L1",Parameter!$H$5,IF(CF785="L23",Parameter!$H$6+Parameter!$H$7,Parameter!$H$5+Parameter!$H$6+Parameter!$H$7))-(BH785-BC785))/BC785)))</f>
        <v>1</v>
      </c>
      <c r="BJ785" s="48" t="str">
        <f aca="false">IF(AI785&lt;=0,"",IF(CF785="Aussen","Aussenlager",IF(CF785="-","Nicht im Lift",IF(AO785&gt;=1,"Lift",IF(AO785&lt;=0,"Aussenlager","teilweise")))))</f>
        <v>Lift</v>
      </c>
      <c r="BK785" s="48" t="str">
        <f aca="false">IF(AS785&lt;=0,"",IF(CF785="Aussen","Aussenlager",IF(CF785="-","Nicht im Lift",IF(AY785&gt;=1,"Lift",IF(AY785&lt;=0,"Aussenlager","teilweise")))))</f>
        <v>Lift</v>
      </c>
      <c r="BL785" s="48" t="str">
        <f aca="false">IF(BC785&lt;=0,"",IF(CF785="Aussen","Aussenlager",IF(CF785="-","Nicht im Lift",IF(BI785&gt;=1,"Lift",IF(BI785&lt;=0,"Aussenlager","teilweise")))))</f>
        <v>Lift</v>
      </c>
      <c r="BM785" s="48" t="str">
        <f aca="false">IF(A785="","",IF(BV785=1,"Neu; ","")&amp;IF(AND(BV785=0,BQ785&lt;0),"negativer Bestand (Export "&amp;BQ785&amp;"); ","")&amp;IF(J785&lt;=0,"Kein Verbrauch; ","")&amp;IF(CQ785&gt;0,"Lift "&amp;W785&amp;" lt. Liftbericht (Fach "&amp;X785&amp;" Stk); ",IF(CA785=1,"Gebinde geschätzt ("&amp;T785&amp;"); ",IF(BZ785=1,"Lose – Tablare geschätzt; ","")))&amp;IF(H785&gt;AV785,"Überbestand "&amp;ROUND(H785-AV785,0)&amp;" Stk / CHF "&amp;ROUND((H785-AV785)*G785,0)&amp;"; ","")&amp;IF(AND(CH785=1,CI785&lt;CJ785),"MAX &lt; MB+LG; ","")&amp;IF(AND(CP785&gt;0,CO785*10&gt;CP785),"zu hoch für Tablar; ","")&amp;IF(AND(BV785=0,OR(CH785=1,AA785&lt;&gt;"",U785&lt;&gt;"",V785&lt;&gt;"",AB785&lt;&gt;"")),"manuell übersteuert; ","")&amp;IF(AND(BZ785=0,R785=0),"Gebinde unbekannt / Stellmass fehlt; ","")&amp;IF(AND(BZ785=0,N(V785)&lt;=0,N(Q785)&lt;=0),"Menge pro Gebinde fehlt (Ist = 1 Gebinde); ","")&amp;BU785)</f>
        <v>negativer Bestand (Export -15); Überbestand 478 Stk / CHF 81; Überbestand</v>
      </c>
      <c r="BN785" s="48"/>
      <c r="BO785" s="48"/>
      <c r="BP785" s="55"/>
      <c r="BQ785" s="50" t="n">
        <v>-15</v>
      </c>
      <c r="BR785" s="50" t="n">
        <v>503</v>
      </c>
      <c r="BS785" s="49" t="n">
        <v>-2.55</v>
      </c>
      <c r="BT785" s="50" t="n">
        <v>8</v>
      </c>
      <c r="BU785" s="48" t="s">
        <v>401</v>
      </c>
      <c r="BV785" s="53" t="n">
        <v>0</v>
      </c>
      <c r="BW785" s="53" t="n">
        <v>785</v>
      </c>
      <c r="BX785" s="48" t="str">
        <f aca="false">IF(U785&lt;&gt;"",UPPER(TRIM(U785)),IF(CA785=1,UPPER(VLOOKUP(T785,Parameter!$I$27:$K$29,2,0)),IF(P785="","LOSE",P785)))</f>
        <v>S33</v>
      </c>
      <c r="BY785" s="50" t="n">
        <f aca="false">IF(BX785="LOSE",1,IF(N(V785)&gt;0,V785,IF(CA785=1,MAX(1,N(VLOOKUP(T785,Parameter!$I$27:$K$29,3,0)),H785,N(N785)),IF(N(Q785)&gt;0,Q785,MAX(1,H785)))))</f>
        <v>205</v>
      </c>
      <c r="BZ785" s="53" t="n">
        <f aca="false">IF(BX785="LOSE",1,0)</f>
        <v>0</v>
      </c>
      <c r="CA785" s="53" t="n">
        <f aca="false">IF(AND(U785="",OR(P785="",P785="LOSE"),T785&lt;&gt;"",N(S785)&lt;=0,ISNUMBER(MATCH(T785,Parameter!$I$27:$I$29,0))),1,0)</f>
        <v>0</v>
      </c>
      <c r="CB785" s="53" t="n">
        <f aca="false">IF(CQ785&gt;0,INDEX(Parameter!$H$5:$H$7,W785)/INDEX(Parameter!$E$5:$E$7,W785),IF(AND(BZ785=0,N(IFERROR(VLOOKUP(BX785,'Gebinde-Kategorie'!$A$5:$N$45,14,0),0))&gt;0),VLOOKUP(BX785,'Gebinde-Kategorie'!$A$5:$N$45,14,0)*10+Parameter!$M$23,Parameter!$M$24))</f>
        <v>155</v>
      </c>
      <c r="CC785" s="48" t="str">
        <f aca="false">IF(AND(Parameter!$B$19="Ja",E785&lt;&gt;"",ISNUMBER(MATCH(E785,Parameter!$I$35:$I$52,0))),VLOOKUP(E785,Parameter!$I$35:$J$52,2,0),IFERROR(VLOOKUP(D785,Parameter!$A$35:$C$64,2,0),"Nein"))</f>
        <v>2+3</v>
      </c>
      <c r="CD785" s="52" t="n">
        <f aca="false">IF(BZ785=0,0,IF(N(S785)&gt;0,S785,IFERROR(VLOOKUP(D785,Parameter!$A$35:$C$64,3,0)+0,0)))</f>
        <v>0</v>
      </c>
      <c r="CE785" s="48" t="n">
        <f aca="false">IF(AA785&lt;&gt;"",AA785,Z785)</f>
        <v>3</v>
      </c>
      <c r="CF785" s="48" t="str">
        <f aca="false">IF(OR(CE785=1,CE785=2,CE785=3),IF(Parameter!$E$27="Ja","LIFT",IF(CE785=1,"L1","L23")),IF(CE785="Aussen","Aussen","-"))</f>
        <v>LIFT</v>
      </c>
      <c r="CG785" s="59" t="n">
        <f aca="false">IF(N(AB785)&gt;0,AB785,0)</f>
        <v>0</v>
      </c>
      <c r="CH785" s="53" t="n">
        <f aca="false">IF(ISNUMBER(AE785),1,0)</f>
        <v>0</v>
      </c>
      <c r="CI785" s="50" t="n">
        <f aca="false">N(AE785)</f>
        <v>0</v>
      </c>
      <c r="CJ785" s="50" t="n">
        <f aca="false">N(M785)+N(N785)</f>
        <v>10</v>
      </c>
      <c r="CK785" s="50" t="n">
        <f aca="false">N(M785)</f>
        <v>0</v>
      </c>
      <c r="CL785" s="50" t="n">
        <f aca="false">N(N785)</f>
        <v>10</v>
      </c>
      <c r="CM785" s="50" t="n">
        <f aca="false">ROUNDUP(H785/BY785,0)</f>
        <v>3</v>
      </c>
      <c r="CN785" s="50" t="n">
        <f aca="false">ROUNDUP(CI785/BY785,0)</f>
        <v>0</v>
      </c>
      <c r="CO785" s="53" t="n">
        <f aca="false">IF(BZ785=1,0,IFERROR(VLOOKUP(BX785,'Gebinde-Kategorie'!$A$5:$N$45,5,0)+0,0))</f>
        <v>8</v>
      </c>
      <c r="CP785" s="53" t="n">
        <f aca="false">IFERROR(IF(OR(CE785=1,CE785=2,CE785=3),N(INDEX(Parameter!$I$5:$I$7,CE785)),0),0)</f>
        <v>0</v>
      </c>
      <c r="CQ785" s="52" t="n">
        <f aca="false">IF(AND(Parameter!$B$21="Ja",ISNUMBER(W785),N(X785)&gt;0),IFERROR(N(INDEX(Parameter!$L$5:$L$7,W785))*INDEX(Parameter!$E$5:$E$7,W785)*X785/SUMIFS($X$7:$X$1843,$W$7:$W$1843,W785),0),0)</f>
        <v>0</v>
      </c>
    </row>
    <row r="786" customFormat="false" ht="15" hidden="false" customHeight="false" outlineLevel="0" collapsed="false">
      <c r="A786" s="48" t="s">
        <v>1542</v>
      </c>
      <c r="B786" s="48" t="s">
        <v>414</v>
      </c>
      <c r="C786" s="48" t="s">
        <v>173</v>
      </c>
      <c r="D786" s="48" t="s">
        <v>193</v>
      </c>
      <c r="E786" s="48" t="s">
        <v>194</v>
      </c>
      <c r="F786" s="48" t="s">
        <v>227</v>
      </c>
      <c r="G786" s="49" t="n">
        <v>0.04</v>
      </c>
      <c r="H786" s="50" t="n">
        <f aca="false">MAX(0,IF(AND(Parameter!$B$21="Ja",ISNUMBER(Y786)),Y786,IF(Parameter!$B$20="Jahresanfang 2025 + Export",BR786+BQ786,BQ786)))</f>
        <v>21</v>
      </c>
      <c r="I786" s="50" t="n">
        <f aca="false">H786*G786</f>
        <v>0.84</v>
      </c>
      <c r="J786" s="50" t="n">
        <f aca="false">BT786*Parameter!$B$18</f>
        <v>60</v>
      </c>
      <c r="K786" s="51" t="n">
        <v>90</v>
      </c>
      <c r="L786" s="52" t="n">
        <v>0.666666666666667</v>
      </c>
      <c r="M786" s="50" t="n">
        <v>3</v>
      </c>
      <c r="N786" s="50" t="n">
        <v>60</v>
      </c>
      <c r="O786" s="53" t="n">
        <v>21</v>
      </c>
      <c r="P786" s="48" t="s">
        <v>435</v>
      </c>
      <c r="Q786" s="50" t="n">
        <v>175</v>
      </c>
      <c r="R786" s="53" t="n">
        <f aca="false">IF(BZ786=1,0,IFERROR(VLOOKUP(BX786,'Gebinde-Kategorie'!$A$5:$N$45,13,0)+0,0))</f>
        <v>140</v>
      </c>
      <c r="S786" s="54"/>
      <c r="T786" s="55"/>
      <c r="U786" s="55"/>
      <c r="V786" s="55"/>
      <c r="W786" s="48"/>
      <c r="X786" s="50"/>
      <c r="Y786" s="50"/>
      <c r="Z786" s="48" t="n">
        <f aca="false">IF(A786="","",IF(AND(Parameter!$B$21="Ja",ISNUMBER(W786)),W786,IF(CC786="2+3",IF(ISNUMBER(SEARCH("grosser Artikel",BU786)),2,IFERROR(VLOOKUP(BX786,Parameter!$F$35:$G$64,2,0),2)),IF(OR(CC786="Nein",CC786=""),"-",CC786))))</f>
        <v>3</v>
      </c>
      <c r="AA786" s="55"/>
      <c r="AB786" s="56"/>
      <c r="AC786" s="50" t="n">
        <f aca="false">AV786</f>
        <v>63</v>
      </c>
      <c r="AD786" s="50" t="n">
        <f aca="false">MAX(AV786,H786)</f>
        <v>63</v>
      </c>
      <c r="AE786" s="57"/>
      <c r="AF786" s="50" t="n">
        <f aca="false">IF(LEFT(Cockpit!$C$5,1)="A",H786,IF(Parameter!$E$30="MAX-Bestand",IF(CH786=1,CI786,IF(LEFT(Cockpit!$C$5,1)="B",AL786,MAX(AL786,H786))),ROUNDUP(AJ786,0)))</f>
        <v>21</v>
      </c>
      <c r="AG786" s="50" t="n">
        <f aca="false">IF(BZ786=1,0,ROUNDUP(AF786/BY786,0))</f>
        <v>1</v>
      </c>
      <c r="AH786" s="52" t="n">
        <f aca="false">IF(CQ786&gt;0,CQ786*MAX(1,AF786/X786),IF(BZ786=1,IF(AF786&lt;=0,0,CD786*MAX(1,IF(H786&gt;0,AF786/H786,1))),IF(R786&gt;0,AG786/R786,0))/MAX(0.1,N(Parameter!$M$21)))</f>
        <v>0.00714285714285714</v>
      </c>
      <c r="AI786" s="50" t="n">
        <f aca="false">AH786*CB786</f>
        <v>1.10714285714286</v>
      </c>
      <c r="AJ786" s="51" t="n">
        <f aca="false">IF(LEFT(Cockpit!$C$5,1)="A",H786,IF(CH786=1,(CK786+CI786)/2,IF(LEFT(Cockpit!$C$5,1)="B",(CK786+AL786)/2,MAX((CK786+AL786)/2,H786))))</f>
        <v>21</v>
      </c>
      <c r="AK786" s="50" t="n">
        <f aca="false">AJ786*G786</f>
        <v>0.84</v>
      </c>
      <c r="AL786" s="50" t="n">
        <f aca="false">ROUNDUP(CK786+MAX(CL786,2*(J786/IF(CG786&gt;0,CG786,MAX(0.1,N(Cockpit!$C$6)))-CK786)),0)</f>
        <v>63</v>
      </c>
      <c r="AM786" s="51" t="n">
        <f aca="false">IF(AI786&gt;0,J786/AI786,-1)</f>
        <v>54.1935483870968</v>
      </c>
      <c r="AN786" s="51" t="n">
        <f aca="false">IF(AND(OR(CF786="L1",CF786="L23",CF786="LIFT"),AI786&gt;0),SUMIFS($AI$7:$AI$1843,$CF$7:$CF$1843,CF786,$AM$7:$AM$1843,"&gt;"&amp;AM786)+SUMIFS($AI$7:$AI$1843,$CF$7:$CF$1843,CF786,$AM$7:$AM$1843,AM786,$BW$7:$BW$1843,"&lt;="&amp;BW786),"")</f>
        <v>1002.54807692308</v>
      </c>
      <c r="AO786" s="58" t="n">
        <f aca="false">IF(AN786="",0,MAX(0,MIN(1,(IF(CF786="L1",Parameter!$H$5,IF(CF786="L23",Parameter!$H$6+Parameter!$H$7,Parameter!$H$5+Parameter!$H$6+Parameter!$H$7))-(AN786-AI786))/AI786)))</f>
        <v>1</v>
      </c>
      <c r="AP786" s="50" t="n">
        <f aca="false">IF(LEFT(Cockpit!$I$5,1)="A",H786,IF(Parameter!$E$30="MAX-Bestand",IF(CH786=1,CI786,IF(LEFT(Cockpit!$I$5,1)="B",AV786,MAX(AV786,H786))),ROUNDUP(AT786,0)))</f>
        <v>33</v>
      </c>
      <c r="AQ786" s="50" t="n">
        <f aca="false">IF(BZ786=1,0,ROUNDUP(AP786/BY786,0))</f>
        <v>1</v>
      </c>
      <c r="AR786" s="52" t="n">
        <f aca="false">IF(CQ786&gt;0,CQ786*MAX(1,AP786/X786),IF(BZ786=1,IF(AP786&lt;=0,0,CD786*MAX(1,IF(H786&gt;0,AP786/H786,1))),IF(R786&gt;0,AQ786/R786,0))/MAX(0.1,N(Parameter!$M$21)))</f>
        <v>0.00714285714285714</v>
      </c>
      <c r="AS786" s="50" t="n">
        <f aca="false">AR786*CB786</f>
        <v>1.10714285714286</v>
      </c>
      <c r="AT786" s="51" t="n">
        <f aca="false">IF(LEFT(Cockpit!$I$5,1)="A",H786,IF(CH786=1,(CK786+CI786)/2,IF(LEFT(Cockpit!$I$5,1)="B",(CK786+AV786)/2,MAX((CK786+AV786)/2,H786))))</f>
        <v>33</v>
      </c>
      <c r="AU786" s="50" t="n">
        <f aca="false">AT786*G786</f>
        <v>1.32</v>
      </c>
      <c r="AV786" s="50" t="n">
        <f aca="false">ROUNDUP(CK786+MAX(CL786,2*(J786/IF(CG786&gt;0,CG786,MAX(0.1,N(Cockpit!$I$6)))-CK786)),0)</f>
        <v>63</v>
      </c>
      <c r="AW786" s="51" t="n">
        <f aca="false">IF(AS786&gt;0,J786/AS786,-1)</f>
        <v>54.1935483870968</v>
      </c>
      <c r="AX786" s="51" t="n">
        <f aca="false">IF(AND(OR(CF786="L1",CF786="L23",CF786="LIFT"),AS786&gt;0),SUMIFS($AS$7:$AS$1843,$CF$7:$CF$1843,CF786,$AW$7:$AW$1843,"&gt;"&amp;AW786)+SUMIFS($AS$7:$AS$1843,$CF$7:$CF$1843,CF786,$AW$7:$AW$1843,AW786,$BW$7:$BW$1843,"&lt;="&amp;BW786),"")</f>
        <v>1286.24404761905</v>
      </c>
      <c r="AY786" s="58" t="n">
        <f aca="false">IF(AX786="",0,MAX(0,MIN(1,(IF(CF786="L1",Parameter!$H$5,IF(CF786="L23",Parameter!$H$6+Parameter!$H$7,Parameter!$H$5+Parameter!$H$6+Parameter!$H$7))-(AX786-AS786))/AS786)))</f>
        <v>1</v>
      </c>
      <c r="AZ786" s="50" t="n">
        <f aca="false">IF(LEFT(Cockpit!$O$5,1)="A",H786,IF(Parameter!$E$30="MAX-Bestand",IF(CH786=1,CI786,IF(LEFT(Cockpit!$O$5,1)="B",BF786,MAX(BF786,H786))),ROUNDUP(BD786,0)))</f>
        <v>33</v>
      </c>
      <c r="BA786" s="50" t="n">
        <f aca="false">IF(BZ786=1,0,ROUNDUP(AZ786/BY786,0))</f>
        <v>1</v>
      </c>
      <c r="BB786" s="52" t="n">
        <f aca="false">IF(CQ786&gt;0,CQ786*MAX(1,AZ786/X786),IF(BZ786=1,IF(AZ786&lt;=0,0,CD786*MAX(1,IF(H786&gt;0,AZ786/H786,1))),IF(R786&gt;0,BA786/R786,0))/MAX(0.1,N(Parameter!$M$21)))</f>
        <v>0.00714285714285714</v>
      </c>
      <c r="BC786" s="50" t="n">
        <f aca="false">BB786*CB786</f>
        <v>1.10714285714286</v>
      </c>
      <c r="BD786" s="51" t="n">
        <f aca="false">IF(LEFT(Cockpit!$O$5,1)="A",H786,IF(CH786=1,(CK786+CI786)/2,IF(LEFT(Cockpit!$O$5,1)="B",(CK786+BF786)/2,MAX((CK786+BF786)/2,H786))))</f>
        <v>33</v>
      </c>
      <c r="BE786" s="50" t="n">
        <f aca="false">BD786*G786</f>
        <v>1.32</v>
      </c>
      <c r="BF786" s="50" t="n">
        <f aca="false">ROUNDUP(CK786+MAX(CL786,2*(J786/IF(CG786&gt;0,CG786,MAX(0.1,N(Cockpit!$O$6)))-CK786)),0)</f>
        <v>63</v>
      </c>
      <c r="BG786" s="51" t="n">
        <f aca="false">IF(BC786&gt;0,J786/BC786,-1)</f>
        <v>54.1935483870968</v>
      </c>
      <c r="BH786" s="51" t="n">
        <f aca="false">IF(AND(OR(CF786="L1",CF786="L23",CF786="LIFT"),BC786&gt;0),SUMIFS($BC$7:$BC$1843,$CF$7:$CF$1843,CF786,$BG$7:$BG$1843,"&gt;"&amp;BG786)+SUMIFS($BC$7:$BC$1843,$CF$7:$CF$1843,CF786,$BG$7:$BG$1843,BG786,$BW$7:$BW$1843,"&lt;="&amp;BW786),"")</f>
        <v>1140.53388278388</v>
      </c>
      <c r="BI786" s="58" t="n">
        <f aca="false">IF(BH786="",0,MAX(0,MIN(1,(IF(CF786="L1",Parameter!$H$5,IF(CF786="L23",Parameter!$H$6+Parameter!$H$7,Parameter!$H$5+Parameter!$H$6+Parameter!$H$7))-(BH786-BC786))/BC786)))</f>
        <v>1</v>
      </c>
      <c r="BJ786" s="48" t="str">
        <f aca="false">IF(AI786&lt;=0,"",IF(CF786="Aussen","Aussenlager",IF(CF786="-","Nicht im Lift",IF(AO786&gt;=1,"Lift",IF(AO786&lt;=0,"Aussenlager","teilweise")))))</f>
        <v>Lift</v>
      </c>
      <c r="BK786" s="48" t="str">
        <f aca="false">IF(AS786&lt;=0,"",IF(CF786="Aussen","Aussenlager",IF(CF786="-","Nicht im Lift",IF(AY786&gt;=1,"Lift",IF(AY786&lt;=0,"Aussenlager","teilweise")))))</f>
        <v>Lift</v>
      </c>
      <c r="BL786" s="48" t="str">
        <f aca="false">IF(BC786&lt;=0,"",IF(CF786="Aussen","Aussenlager",IF(CF786="-","Nicht im Lift",IF(BI786&gt;=1,"Lift",IF(BI786&lt;=0,"Aussenlager","teilweise")))))</f>
        <v>Lift</v>
      </c>
      <c r="BM786" s="48" t="str">
        <f aca="false">IF(A786="","",IF(BV786=1,"Neu; ","")&amp;IF(AND(BV786=0,BQ786&lt;0),"negativer Bestand (Export "&amp;BQ786&amp;"); ","")&amp;IF(J786&lt;=0,"Kein Verbrauch; ","")&amp;IF(CQ786&gt;0,"Lift "&amp;W786&amp;" lt. Liftbericht (Fach "&amp;X786&amp;" Stk); ",IF(CA786=1,"Gebinde geschätzt ("&amp;T786&amp;"); ",IF(BZ786=1,"Lose – Tablare geschätzt; ","")))&amp;IF(H786&gt;AV786,"Überbestand "&amp;ROUND(H786-AV786,0)&amp;" Stk / CHF "&amp;ROUND((H786-AV786)*G786,0)&amp;"; ","")&amp;IF(AND(CH786=1,CI786&lt;CJ786),"MAX &lt; MB+LG; ","")&amp;IF(AND(CP786&gt;0,CO786*10&gt;CP786),"zu hoch für Tablar; ","")&amp;IF(AND(BV786=0,OR(CH786=1,AA786&lt;&gt;"",U786&lt;&gt;"",V786&lt;&gt;"",AB786&lt;&gt;"")),"manuell übersteuert; ","")&amp;IF(AND(BZ786=0,R786=0),"Gebinde unbekannt / Stellmass fehlt; ","")&amp;IF(AND(BZ786=0,N(V786)&lt;=0,N(Q786)&lt;=0),"Menge pro Gebinde fehlt (Ist = 1 Gebinde); ","")&amp;BU786)</f>
        <v>negativer Bestand (Export -71); </v>
      </c>
      <c r="BN786" s="48"/>
      <c r="BO786" s="48"/>
      <c r="BP786" s="55"/>
      <c r="BQ786" s="50" t="n">
        <v>-71</v>
      </c>
      <c r="BR786" s="50" t="n">
        <v>92</v>
      </c>
      <c r="BS786" s="49" t="n">
        <v>-2.84</v>
      </c>
      <c r="BT786" s="50" t="n">
        <v>60</v>
      </c>
      <c r="BU786" s="48"/>
      <c r="BV786" s="53" t="n">
        <v>0</v>
      </c>
      <c r="BW786" s="53" t="n">
        <v>786</v>
      </c>
      <c r="BX786" s="48" t="str">
        <f aca="false">IF(U786&lt;&gt;"",UPPER(TRIM(U786)),IF(CA786=1,UPPER(VLOOKUP(T786,Parameter!$I$27:$K$29,2,0)),IF(P786="","LOSE",P786)))</f>
        <v>S22</v>
      </c>
      <c r="BY786" s="50" t="n">
        <f aca="false">IF(BX786="LOSE",1,IF(N(V786)&gt;0,V786,IF(CA786=1,MAX(1,N(VLOOKUP(T786,Parameter!$I$27:$K$29,3,0)),H786,N(N786)),IF(N(Q786)&gt;0,Q786,MAX(1,H786)))))</f>
        <v>175</v>
      </c>
      <c r="BZ786" s="53" t="n">
        <f aca="false">IF(BX786="LOSE",1,0)</f>
        <v>0</v>
      </c>
      <c r="CA786" s="53" t="n">
        <f aca="false">IF(AND(U786="",OR(P786="",P786="LOSE"),T786&lt;&gt;"",N(S786)&lt;=0,ISNUMBER(MATCH(T786,Parameter!$I$27:$I$29,0))),1,0)</f>
        <v>0</v>
      </c>
      <c r="CB786" s="53" t="n">
        <f aca="false">IF(CQ786&gt;0,INDEX(Parameter!$H$5:$H$7,W786)/INDEX(Parameter!$E$5:$E$7,W786),IF(AND(BZ786=0,N(IFERROR(VLOOKUP(BX786,'Gebinde-Kategorie'!$A$5:$N$45,14,0),0))&gt;0),VLOOKUP(BX786,'Gebinde-Kategorie'!$A$5:$N$45,14,0)*10+Parameter!$M$23,Parameter!$M$24))</f>
        <v>155</v>
      </c>
      <c r="CC786" s="48" t="str">
        <f aca="false">IF(AND(Parameter!$B$19="Ja",E786&lt;&gt;"",ISNUMBER(MATCH(E786,Parameter!$I$35:$I$52,0))),VLOOKUP(E786,Parameter!$I$35:$J$52,2,0),IFERROR(VLOOKUP(D786,Parameter!$A$35:$C$64,2,0),"Nein"))</f>
        <v>2+3</v>
      </c>
      <c r="CD786" s="52" t="n">
        <f aca="false">IF(BZ786=0,0,IF(N(S786)&gt;0,S786,IFERROR(VLOOKUP(D786,Parameter!$A$35:$C$64,3,0)+0,0)))</f>
        <v>0</v>
      </c>
      <c r="CE786" s="48" t="n">
        <f aca="false">IF(AA786&lt;&gt;"",AA786,Z786)</f>
        <v>3</v>
      </c>
      <c r="CF786" s="48" t="str">
        <f aca="false">IF(OR(CE786=1,CE786=2,CE786=3),IF(Parameter!$E$27="Ja","LIFT",IF(CE786=1,"L1","L23")),IF(CE786="Aussen","Aussen","-"))</f>
        <v>LIFT</v>
      </c>
      <c r="CG786" s="59" t="n">
        <f aca="false">IF(N(AB786)&gt;0,AB786,0)</f>
        <v>0</v>
      </c>
      <c r="CH786" s="53" t="n">
        <f aca="false">IF(ISNUMBER(AE786),1,0)</f>
        <v>0</v>
      </c>
      <c r="CI786" s="50" t="n">
        <f aca="false">N(AE786)</f>
        <v>0</v>
      </c>
      <c r="CJ786" s="50" t="n">
        <f aca="false">N(M786)+N(N786)</f>
        <v>63</v>
      </c>
      <c r="CK786" s="50" t="n">
        <f aca="false">N(M786)</f>
        <v>3</v>
      </c>
      <c r="CL786" s="50" t="n">
        <f aca="false">N(N786)</f>
        <v>60</v>
      </c>
      <c r="CM786" s="50" t="n">
        <f aca="false">ROUNDUP(H786/BY786,0)</f>
        <v>1</v>
      </c>
      <c r="CN786" s="50" t="n">
        <f aca="false">ROUNDUP(CI786/BY786,0)</f>
        <v>0</v>
      </c>
      <c r="CO786" s="53" t="n">
        <f aca="false">IF(BZ786=1,0,IFERROR(VLOOKUP(BX786,'Gebinde-Kategorie'!$A$5:$N$45,5,0)+0,0))</f>
        <v>8</v>
      </c>
      <c r="CP786" s="53" t="n">
        <f aca="false">IFERROR(IF(OR(CE786=1,CE786=2,CE786=3),N(INDEX(Parameter!$I$5:$I$7,CE786)),0),0)</f>
        <v>0</v>
      </c>
      <c r="CQ786" s="52" t="n">
        <f aca="false">IF(AND(Parameter!$B$21="Ja",ISNUMBER(W786),N(X786)&gt;0),IFERROR(N(INDEX(Parameter!$L$5:$L$7,W786))*INDEX(Parameter!$E$5:$E$7,W786)*X786/SUMIFS($X$7:$X$1843,$W$7:$W$1843,W786),0),0)</f>
        <v>0</v>
      </c>
    </row>
    <row r="787" customFormat="false" ht="15" hidden="false" customHeight="false" outlineLevel="0" collapsed="false">
      <c r="A787" s="48" t="s">
        <v>1543</v>
      </c>
      <c r="B787" s="48" t="s">
        <v>416</v>
      </c>
      <c r="C787" s="48" t="s">
        <v>173</v>
      </c>
      <c r="D787" s="48" t="s">
        <v>193</v>
      </c>
      <c r="E787" s="48" t="s">
        <v>194</v>
      </c>
      <c r="F787" s="48" t="s">
        <v>227</v>
      </c>
      <c r="G787" s="49" t="n">
        <v>0.01</v>
      </c>
      <c r="H787" s="50" t="n">
        <f aca="false">MAX(0,IF(AND(Parameter!$B$21="Ja",ISNUMBER(Y787)),Y787,IF(Parameter!$B$20="Jahresanfang 2025 + Export",BR787+BQ787,BQ787)))</f>
        <v>1073</v>
      </c>
      <c r="I787" s="50" t="n">
        <f aca="false">H787*G787</f>
        <v>10.73</v>
      </c>
      <c r="J787" s="50" t="n">
        <f aca="false">BT787*Parameter!$B$18</f>
        <v>642</v>
      </c>
      <c r="K787" s="51" t="n">
        <v>1057.5</v>
      </c>
      <c r="L787" s="52" t="n">
        <v>0.60709219858156</v>
      </c>
      <c r="M787" s="50" t="n">
        <v>38</v>
      </c>
      <c r="N787" s="50" t="n">
        <v>660</v>
      </c>
      <c r="O787" s="53" t="n">
        <v>21</v>
      </c>
      <c r="P787" s="48" t="s">
        <v>435</v>
      </c>
      <c r="Q787" s="50" t="n">
        <v>3002</v>
      </c>
      <c r="R787" s="53" t="n">
        <f aca="false">IF(BZ787=1,0,IFERROR(VLOOKUP(BX787,'Gebinde-Kategorie'!$A$5:$N$45,13,0)+0,0))</f>
        <v>140</v>
      </c>
      <c r="S787" s="54"/>
      <c r="T787" s="55"/>
      <c r="U787" s="55"/>
      <c r="V787" s="55"/>
      <c r="W787" s="48"/>
      <c r="X787" s="50"/>
      <c r="Y787" s="50"/>
      <c r="Z787" s="48" t="n">
        <f aca="false">IF(A787="","",IF(AND(Parameter!$B$21="Ja",ISNUMBER(W787)),W787,IF(CC787="2+3",IF(ISNUMBER(SEARCH("grosser Artikel",BU787)),2,IFERROR(VLOOKUP(BX787,Parameter!$F$35:$G$64,2,0),2)),IF(OR(CC787="Nein",CC787=""),"-",CC787))))</f>
        <v>3</v>
      </c>
      <c r="AA787" s="55"/>
      <c r="AB787" s="56"/>
      <c r="AC787" s="50" t="n">
        <f aca="false">AV787</f>
        <v>698</v>
      </c>
      <c r="AD787" s="50" t="n">
        <f aca="false">MAX(AV787,H787)</f>
        <v>1073</v>
      </c>
      <c r="AE787" s="57"/>
      <c r="AF787" s="50" t="n">
        <f aca="false">IF(LEFT(Cockpit!$C$5,1)="A",H787,IF(Parameter!$E$30="MAX-Bestand",IF(CH787=1,CI787,IF(LEFT(Cockpit!$C$5,1)="B",AL787,MAX(AL787,H787))),ROUNDUP(AJ787,0)))</f>
        <v>1073</v>
      </c>
      <c r="AG787" s="50" t="n">
        <f aca="false">IF(BZ787=1,0,ROUNDUP(AF787/BY787,0))</f>
        <v>1</v>
      </c>
      <c r="AH787" s="52" t="n">
        <f aca="false">IF(CQ787&gt;0,CQ787*MAX(1,AF787/X787),IF(BZ787=1,IF(AF787&lt;=0,0,CD787*MAX(1,IF(H787&gt;0,AF787/H787,1))),IF(R787&gt;0,AG787/R787,0))/MAX(0.1,N(Parameter!$M$21)))</f>
        <v>0.00714285714285714</v>
      </c>
      <c r="AI787" s="50" t="n">
        <f aca="false">AH787*CB787</f>
        <v>1.10714285714286</v>
      </c>
      <c r="AJ787" s="51" t="n">
        <f aca="false">IF(LEFT(Cockpit!$C$5,1)="A",H787,IF(CH787=1,(CK787+CI787)/2,IF(LEFT(Cockpit!$C$5,1)="B",(CK787+AL787)/2,MAX((CK787+AL787)/2,H787))))</f>
        <v>1073</v>
      </c>
      <c r="AK787" s="50" t="n">
        <f aca="false">AJ787*G787</f>
        <v>10.73</v>
      </c>
      <c r="AL787" s="50" t="n">
        <f aca="false">ROUNDUP(CK787+MAX(CL787,2*(J787/IF(CG787&gt;0,CG787,MAX(0.1,N(Cockpit!$C$6)))-CK787)),0)</f>
        <v>698</v>
      </c>
      <c r="AM787" s="51" t="n">
        <f aca="false">IF(AI787&gt;0,J787/AI787,-1)</f>
        <v>579.870967741936</v>
      </c>
      <c r="AN787" s="51" t="n">
        <f aca="false">IF(AND(OR(CF787="L1",CF787="L23",CF787="LIFT"),AI787&gt;0),SUMIFS($AI$7:$AI$1843,$CF$7:$CF$1843,CF787,$AM$7:$AM$1843,"&gt;"&amp;AM787)+SUMIFS($AI$7:$AI$1843,$CF$7:$CF$1843,CF787,$AM$7:$AM$1843,AM787,$BW$7:$BW$1843,"&lt;="&amp;BW787),"")</f>
        <v>50.0041208791209</v>
      </c>
      <c r="AO787" s="58" t="n">
        <f aca="false">IF(AN787="",0,MAX(0,MIN(1,(IF(CF787="L1",Parameter!$H$5,IF(CF787="L23",Parameter!$H$6+Parameter!$H$7,Parameter!$H$5+Parameter!$H$6+Parameter!$H$7))-(AN787-AI787))/AI787)))</f>
        <v>1</v>
      </c>
      <c r="AP787" s="50" t="n">
        <f aca="false">IF(LEFT(Cockpit!$I$5,1)="A",H787,IF(Parameter!$E$30="MAX-Bestand",IF(CH787=1,CI787,IF(LEFT(Cockpit!$I$5,1)="B",AV787,MAX(AV787,H787))),ROUNDUP(AT787,0)))</f>
        <v>1073</v>
      </c>
      <c r="AQ787" s="50" t="n">
        <f aca="false">IF(BZ787=1,0,ROUNDUP(AP787/BY787,0))</f>
        <v>1</v>
      </c>
      <c r="AR787" s="52" t="n">
        <f aca="false">IF(CQ787&gt;0,CQ787*MAX(1,AP787/X787),IF(BZ787=1,IF(AP787&lt;=0,0,CD787*MAX(1,IF(H787&gt;0,AP787/H787,1))),IF(R787&gt;0,AQ787/R787,0))/MAX(0.1,N(Parameter!$M$21)))</f>
        <v>0.00714285714285714</v>
      </c>
      <c r="AS787" s="50" t="n">
        <f aca="false">AR787*CB787</f>
        <v>1.10714285714286</v>
      </c>
      <c r="AT787" s="51" t="n">
        <f aca="false">IF(LEFT(Cockpit!$I$5,1)="A",H787,IF(CH787=1,(CK787+CI787)/2,IF(LEFT(Cockpit!$I$5,1)="B",(CK787+AV787)/2,MAX((CK787+AV787)/2,H787))))</f>
        <v>1073</v>
      </c>
      <c r="AU787" s="50" t="n">
        <f aca="false">AT787*G787</f>
        <v>10.73</v>
      </c>
      <c r="AV787" s="50" t="n">
        <f aca="false">ROUNDUP(CK787+MAX(CL787,2*(J787/IF(CG787&gt;0,CG787,MAX(0.1,N(Cockpit!$I$6)))-CK787)),0)</f>
        <v>698</v>
      </c>
      <c r="AW787" s="51" t="n">
        <f aca="false">IF(AS787&gt;0,J787/AS787,-1)</f>
        <v>579.870967741936</v>
      </c>
      <c r="AX787" s="51" t="n">
        <f aca="false">IF(AND(OR(CF787="L1",CF787="L23",CF787="LIFT"),AS787&gt;0),SUMIFS($AS$7:$AS$1843,$CF$7:$CF$1843,CF787,$AW$7:$AW$1843,"&gt;"&amp;AW787)+SUMIFS($AS$7:$AS$1843,$CF$7:$CF$1843,CF787,$AW$7:$AW$1843,AW787,$BW$7:$BW$1843,"&lt;="&amp;BW787),"")</f>
        <v>43.0082417582418</v>
      </c>
      <c r="AY787" s="58" t="n">
        <f aca="false">IF(AX787="",0,MAX(0,MIN(1,(IF(CF787="L1",Parameter!$H$5,IF(CF787="L23",Parameter!$H$6+Parameter!$H$7,Parameter!$H$5+Parameter!$H$6+Parameter!$H$7))-(AX787-AS787))/AS787)))</f>
        <v>1</v>
      </c>
      <c r="AZ787" s="50" t="n">
        <f aca="false">IF(LEFT(Cockpit!$O$5,1)="A",H787,IF(Parameter!$E$30="MAX-Bestand",IF(CH787=1,CI787,IF(LEFT(Cockpit!$O$5,1)="B",BF787,MAX(BF787,H787))),ROUNDUP(BD787,0)))</f>
        <v>368</v>
      </c>
      <c r="BA787" s="50" t="n">
        <f aca="false">IF(BZ787=1,0,ROUNDUP(AZ787/BY787,0))</f>
        <v>1</v>
      </c>
      <c r="BB787" s="52" t="n">
        <f aca="false">IF(CQ787&gt;0,CQ787*MAX(1,AZ787/X787),IF(BZ787=1,IF(AZ787&lt;=0,0,CD787*MAX(1,IF(H787&gt;0,AZ787/H787,1))),IF(R787&gt;0,BA787/R787,0))/MAX(0.1,N(Parameter!$M$21)))</f>
        <v>0.00714285714285714</v>
      </c>
      <c r="BC787" s="50" t="n">
        <f aca="false">BB787*CB787</f>
        <v>1.10714285714286</v>
      </c>
      <c r="BD787" s="51" t="n">
        <f aca="false">IF(LEFT(Cockpit!$O$5,1)="A",H787,IF(CH787=1,(CK787+CI787)/2,IF(LEFT(Cockpit!$O$5,1)="B",(CK787+BF787)/2,MAX((CK787+BF787)/2,H787))))</f>
        <v>368</v>
      </c>
      <c r="BE787" s="50" t="n">
        <f aca="false">BD787*G787</f>
        <v>3.68</v>
      </c>
      <c r="BF787" s="50" t="n">
        <f aca="false">ROUNDUP(CK787+MAX(CL787,2*(J787/IF(CG787&gt;0,CG787,MAX(0.1,N(Cockpit!$O$6)))-CK787)),0)</f>
        <v>698</v>
      </c>
      <c r="BG787" s="51" t="n">
        <f aca="false">IF(BC787&gt;0,J787/BC787,-1)</f>
        <v>579.870967741936</v>
      </c>
      <c r="BH787" s="51" t="n">
        <f aca="false">IF(AND(OR(CF787="L1",CF787="L23",CF787="LIFT"),BC787&gt;0),SUMIFS($BC$7:$BC$1843,$CF$7:$CF$1843,CF787,$BG$7:$BG$1843,"&gt;"&amp;BG787)+SUMIFS($BC$7:$BC$1843,$CF$7:$CF$1843,CF787,$BG$7:$BG$1843,BG787,$BW$7:$BW$1843,"&lt;="&amp;BW787),"")</f>
        <v>63.0970695970696</v>
      </c>
      <c r="BI787" s="58" t="n">
        <f aca="false">IF(BH787="",0,MAX(0,MIN(1,(IF(CF787="L1",Parameter!$H$5,IF(CF787="L23",Parameter!$H$6+Parameter!$H$7,Parameter!$H$5+Parameter!$H$6+Parameter!$H$7))-(BH787-BC787))/BC787)))</f>
        <v>1</v>
      </c>
      <c r="BJ787" s="48" t="str">
        <f aca="false">IF(AI787&lt;=0,"",IF(CF787="Aussen","Aussenlager",IF(CF787="-","Nicht im Lift",IF(AO787&gt;=1,"Lift",IF(AO787&lt;=0,"Aussenlager","teilweise")))))</f>
        <v>Lift</v>
      </c>
      <c r="BK787" s="48" t="str">
        <f aca="false">IF(AS787&lt;=0,"",IF(CF787="Aussen","Aussenlager",IF(CF787="-","Nicht im Lift",IF(AY787&gt;=1,"Lift",IF(AY787&lt;=0,"Aussenlager","teilweise")))))</f>
        <v>Lift</v>
      </c>
      <c r="BL787" s="48" t="str">
        <f aca="false">IF(BC787&lt;=0,"",IF(CF787="Aussen","Aussenlager",IF(CF787="-","Nicht im Lift",IF(BI787&gt;=1,"Lift",IF(BI787&lt;=0,"Aussenlager","teilweise")))))</f>
        <v>Lift</v>
      </c>
      <c r="BM787" s="48" t="str">
        <f aca="false">IF(A787="","",IF(BV787=1,"Neu; ","")&amp;IF(AND(BV787=0,BQ787&lt;0),"negativer Bestand (Export "&amp;BQ787&amp;"); ","")&amp;IF(J787&lt;=0,"Kein Verbrauch; ","")&amp;IF(CQ787&gt;0,"Lift "&amp;W787&amp;" lt. Liftbericht (Fach "&amp;X787&amp;" Stk); ",IF(CA787=1,"Gebinde geschätzt ("&amp;T787&amp;"); ",IF(BZ787=1,"Lose – Tablare geschätzt; ","")))&amp;IF(H787&gt;AV787,"Überbestand "&amp;ROUND(H787-AV787,0)&amp;" Stk / CHF "&amp;ROUND((H787-AV787)*G787,0)&amp;"; ","")&amp;IF(AND(CH787=1,CI787&lt;CJ787),"MAX &lt; MB+LG; ","")&amp;IF(AND(CP787&gt;0,CO787*10&gt;CP787),"zu hoch für Tablar; ","")&amp;IF(AND(BV787=0,OR(CH787=1,AA787&lt;&gt;"",U787&lt;&gt;"",V787&lt;&gt;"",AB787&lt;&gt;"")),"manuell übersteuert; ","")&amp;IF(AND(BZ787=0,R787=0),"Gebinde unbekannt / Stellmass fehlt; ","")&amp;IF(AND(BZ787=0,N(V787)&lt;=0,N(Q787)&lt;=0),"Menge pro Gebinde fehlt (Ist = 1 Gebinde); ","")&amp;BU787)</f>
        <v>negativer Bestand (Export -287); Überbestand 375 Stk / CHF 4; Braucht es diesen Artikel ?</v>
      </c>
      <c r="BN787" s="48"/>
      <c r="BO787" s="48"/>
      <c r="BP787" s="55"/>
      <c r="BQ787" s="50" t="n">
        <v>-287</v>
      </c>
      <c r="BR787" s="50" t="n">
        <v>1360</v>
      </c>
      <c r="BS787" s="49" t="n">
        <v>-2.87</v>
      </c>
      <c r="BT787" s="50" t="n">
        <v>642</v>
      </c>
      <c r="BU787" s="48" t="s">
        <v>1544</v>
      </c>
      <c r="BV787" s="53" t="n">
        <v>0</v>
      </c>
      <c r="BW787" s="53" t="n">
        <v>787</v>
      </c>
      <c r="BX787" s="48" t="str">
        <f aca="false">IF(U787&lt;&gt;"",UPPER(TRIM(U787)),IF(CA787=1,UPPER(VLOOKUP(T787,Parameter!$I$27:$K$29,2,0)),IF(P787="","LOSE",P787)))</f>
        <v>S22</v>
      </c>
      <c r="BY787" s="50" t="n">
        <f aca="false">IF(BX787="LOSE",1,IF(N(V787)&gt;0,V787,IF(CA787=1,MAX(1,N(VLOOKUP(T787,Parameter!$I$27:$K$29,3,0)),H787,N(N787)),IF(N(Q787)&gt;0,Q787,MAX(1,H787)))))</f>
        <v>3002</v>
      </c>
      <c r="BZ787" s="53" t="n">
        <f aca="false">IF(BX787="LOSE",1,0)</f>
        <v>0</v>
      </c>
      <c r="CA787" s="53" t="n">
        <f aca="false">IF(AND(U787="",OR(P787="",P787="LOSE"),T787&lt;&gt;"",N(S787)&lt;=0,ISNUMBER(MATCH(T787,Parameter!$I$27:$I$29,0))),1,0)</f>
        <v>0</v>
      </c>
      <c r="CB787" s="53" t="n">
        <f aca="false">IF(CQ787&gt;0,INDEX(Parameter!$H$5:$H$7,W787)/INDEX(Parameter!$E$5:$E$7,W787),IF(AND(BZ787=0,N(IFERROR(VLOOKUP(BX787,'Gebinde-Kategorie'!$A$5:$N$45,14,0),0))&gt;0),VLOOKUP(BX787,'Gebinde-Kategorie'!$A$5:$N$45,14,0)*10+Parameter!$M$23,Parameter!$M$24))</f>
        <v>155</v>
      </c>
      <c r="CC787" s="48" t="str">
        <f aca="false">IF(AND(Parameter!$B$19="Ja",E787&lt;&gt;"",ISNUMBER(MATCH(E787,Parameter!$I$35:$I$52,0))),VLOOKUP(E787,Parameter!$I$35:$J$52,2,0),IFERROR(VLOOKUP(D787,Parameter!$A$35:$C$64,2,0),"Nein"))</f>
        <v>2+3</v>
      </c>
      <c r="CD787" s="52" t="n">
        <f aca="false">IF(BZ787=0,0,IF(N(S787)&gt;0,S787,IFERROR(VLOOKUP(D787,Parameter!$A$35:$C$64,3,0)+0,0)))</f>
        <v>0</v>
      </c>
      <c r="CE787" s="48" t="n">
        <f aca="false">IF(AA787&lt;&gt;"",AA787,Z787)</f>
        <v>3</v>
      </c>
      <c r="CF787" s="48" t="str">
        <f aca="false">IF(OR(CE787=1,CE787=2,CE787=3),IF(Parameter!$E$27="Ja","LIFT",IF(CE787=1,"L1","L23")),IF(CE787="Aussen","Aussen","-"))</f>
        <v>LIFT</v>
      </c>
      <c r="CG787" s="59" t="n">
        <f aca="false">IF(N(AB787)&gt;0,AB787,0)</f>
        <v>0</v>
      </c>
      <c r="CH787" s="53" t="n">
        <f aca="false">IF(ISNUMBER(AE787),1,0)</f>
        <v>0</v>
      </c>
      <c r="CI787" s="50" t="n">
        <f aca="false">N(AE787)</f>
        <v>0</v>
      </c>
      <c r="CJ787" s="50" t="n">
        <f aca="false">N(M787)+N(N787)</f>
        <v>698</v>
      </c>
      <c r="CK787" s="50" t="n">
        <f aca="false">N(M787)</f>
        <v>38</v>
      </c>
      <c r="CL787" s="50" t="n">
        <f aca="false">N(N787)</f>
        <v>660</v>
      </c>
      <c r="CM787" s="50" t="n">
        <f aca="false">ROUNDUP(H787/BY787,0)</f>
        <v>1</v>
      </c>
      <c r="CN787" s="50" t="n">
        <f aca="false">ROUNDUP(CI787/BY787,0)</f>
        <v>0</v>
      </c>
      <c r="CO787" s="53" t="n">
        <f aca="false">IF(BZ787=1,0,IFERROR(VLOOKUP(BX787,'Gebinde-Kategorie'!$A$5:$N$45,5,0)+0,0))</f>
        <v>8</v>
      </c>
      <c r="CP787" s="53" t="n">
        <f aca="false">IFERROR(IF(OR(CE787=1,CE787=2,CE787=3),N(INDEX(Parameter!$I$5:$I$7,CE787)),0),0)</f>
        <v>0</v>
      </c>
      <c r="CQ787" s="52" t="n">
        <f aca="false">IF(AND(Parameter!$B$21="Ja",ISNUMBER(W787),N(X787)&gt;0),IFERROR(N(INDEX(Parameter!$L$5:$L$7,W787))*INDEX(Parameter!$E$5:$E$7,W787)*X787/SUMIFS($X$7:$X$1843,$W$7:$W$1843,W787),0),0)</f>
        <v>0</v>
      </c>
    </row>
    <row r="788" customFormat="false" ht="15" hidden="false" customHeight="false" outlineLevel="0" collapsed="false">
      <c r="A788" s="48" t="s">
        <v>1545</v>
      </c>
      <c r="B788" s="48" t="s">
        <v>1546</v>
      </c>
      <c r="C788" s="48" t="s">
        <v>173</v>
      </c>
      <c r="D788" s="48" t="s">
        <v>193</v>
      </c>
      <c r="E788" s="48"/>
      <c r="F788" s="48" t="s">
        <v>227</v>
      </c>
      <c r="G788" s="49" t="n">
        <v>1.5</v>
      </c>
      <c r="H788" s="50" t="n">
        <f aca="false">MAX(0,IF(AND(Parameter!$B$21="Ja",ISNUMBER(Y788)),Y788,IF(Parameter!$B$20="Jahresanfang 2025 + Export",BR788+BQ788,BQ788)))</f>
        <v>56</v>
      </c>
      <c r="I788" s="50" t="n">
        <f aca="false">H788*G788</f>
        <v>84</v>
      </c>
      <c r="J788" s="50" t="n">
        <f aca="false">BT788*Parameter!$B$18</f>
        <v>0</v>
      </c>
      <c r="K788" s="51" t="n">
        <v>57</v>
      </c>
      <c r="L788" s="52" t="n">
        <v>0</v>
      </c>
      <c r="M788" s="50" t="n">
        <v>0</v>
      </c>
      <c r="N788" s="50" t="n">
        <v>1</v>
      </c>
      <c r="O788" s="53" t="n">
        <v>42</v>
      </c>
      <c r="P788" s="48" t="s">
        <v>410</v>
      </c>
      <c r="Q788" s="50" t="n">
        <v>100</v>
      </c>
      <c r="R788" s="53" t="n">
        <f aca="false">IF(BZ788=1,0,IFERROR(VLOOKUP(BX788,'Gebinde-Kategorie'!$A$5:$N$45,13,0)+0,0))</f>
        <v>280</v>
      </c>
      <c r="S788" s="54"/>
      <c r="T788" s="55"/>
      <c r="U788" s="55"/>
      <c r="V788" s="55"/>
      <c r="W788" s="48"/>
      <c r="X788" s="50"/>
      <c r="Y788" s="50"/>
      <c r="Z788" s="48" t="n">
        <f aca="false">IF(A788="","",IF(AND(Parameter!$B$21="Ja",ISNUMBER(W788)),W788,IF(CC788="2+3",IF(ISNUMBER(SEARCH("grosser Artikel",BU788)),2,IFERROR(VLOOKUP(BX788,Parameter!$F$35:$G$64,2,0),2)),IF(OR(CC788="Nein",CC788=""),"-",CC788))))</f>
        <v>3</v>
      </c>
      <c r="AA788" s="55"/>
      <c r="AB788" s="56"/>
      <c r="AC788" s="50" t="n">
        <f aca="false">AV788</f>
        <v>1</v>
      </c>
      <c r="AD788" s="50" t="n">
        <f aca="false">MAX(AV788,H788)</f>
        <v>56</v>
      </c>
      <c r="AE788" s="57"/>
      <c r="AF788" s="50" t="n">
        <f aca="false">IF(LEFT(Cockpit!$C$5,1)="A",H788,IF(Parameter!$E$30="MAX-Bestand",IF(CH788=1,CI788,IF(LEFT(Cockpit!$C$5,1)="B",AL788,MAX(AL788,H788))),ROUNDUP(AJ788,0)))</f>
        <v>56</v>
      </c>
      <c r="AG788" s="50" t="n">
        <f aca="false">IF(BZ788=1,0,ROUNDUP(AF788/BY788,0))</f>
        <v>1</v>
      </c>
      <c r="AH788" s="52" t="n">
        <f aca="false">IF(CQ788&gt;0,CQ788*MAX(1,AF788/X788),IF(BZ788=1,IF(AF788&lt;=0,0,CD788*MAX(1,IF(H788&gt;0,AF788/H788,1))),IF(R788&gt;0,AG788/R788,0))/MAX(0.1,N(Parameter!$M$21)))</f>
        <v>0.00357142857142857</v>
      </c>
      <c r="AI788" s="50" t="n">
        <f aca="false">AH788*CB788</f>
        <v>0.553571428571429</v>
      </c>
      <c r="AJ788" s="51" t="n">
        <f aca="false">IF(LEFT(Cockpit!$C$5,1)="A",H788,IF(CH788=1,(CK788+CI788)/2,IF(LEFT(Cockpit!$C$5,1)="B",(CK788+AL788)/2,MAX((CK788+AL788)/2,H788))))</f>
        <v>56</v>
      </c>
      <c r="AK788" s="50" t="n">
        <f aca="false">AJ788*G788</f>
        <v>84</v>
      </c>
      <c r="AL788" s="50" t="n">
        <f aca="false">ROUNDUP(CK788+MAX(CL788,2*(J788/IF(CG788&gt;0,CG788,MAX(0.1,N(Cockpit!$C$6)))-CK788)),0)</f>
        <v>1</v>
      </c>
      <c r="AM788" s="51" t="n">
        <f aca="false">IF(AI788&gt;0,J788/AI788,-1)</f>
        <v>0</v>
      </c>
      <c r="AN788" s="51" t="n">
        <f aca="false">IF(AND(OR(CF788="L1",CF788="L23",CF788="LIFT"),AI788&gt;0),SUMIFS($AI$7:$AI$1843,$CF$7:$CF$1843,CF788,$AM$7:$AM$1843,"&gt;"&amp;AM788)+SUMIFS($AI$7:$AI$1843,$CF$7:$CF$1843,CF788,$AM$7:$AM$1843,AM788,$BW$7:$BW$1843,"&lt;="&amp;BW788),"")</f>
        <v>28761.2845088057</v>
      </c>
      <c r="AO788" s="58" t="n">
        <f aca="false">IF(AN788="",0,MAX(0,MIN(1,(IF(CF788="L1",Parameter!$H$5,IF(CF788="L23",Parameter!$H$6+Parameter!$H$7,Parameter!$H$5+Parameter!$H$6+Parameter!$H$7))-(AN788-AI788))/AI788)))</f>
        <v>1</v>
      </c>
      <c r="AP788" s="50" t="n">
        <f aca="false">IF(LEFT(Cockpit!$I$5,1)="A",H788,IF(Parameter!$E$30="MAX-Bestand",IF(CH788=1,CI788,IF(LEFT(Cockpit!$I$5,1)="B",AV788,MAX(AV788,H788))),ROUNDUP(AT788,0)))</f>
        <v>56</v>
      </c>
      <c r="AQ788" s="50" t="n">
        <f aca="false">IF(BZ788=1,0,ROUNDUP(AP788/BY788,0))</f>
        <v>1</v>
      </c>
      <c r="AR788" s="52" t="n">
        <f aca="false">IF(CQ788&gt;0,CQ788*MAX(1,AP788/X788),IF(BZ788=1,IF(AP788&lt;=0,0,CD788*MAX(1,IF(H788&gt;0,AP788/H788,1))),IF(R788&gt;0,AQ788/R788,0))/MAX(0.1,N(Parameter!$M$21)))</f>
        <v>0.00357142857142857</v>
      </c>
      <c r="AS788" s="50" t="n">
        <f aca="false">AR788*CB788</f>
        <v>0.553571428571429</v>
      </c>
      <c r="AT788" s="51" t="n">
        <f aca="false">IF(LEFT(Cockpit!$I$5,1)="A",H788,IF(CH788=1,(CK788+CI788)/2,IF(LEFT(Cockpit!$I$5,1)="B",(CK788+AV788)/2,MAX((CK788+AV788)/2,H788))))</f>
        <v>56</v>
      </c>
      <c r="AU788" s="50" t="n">
        <f aca="false">AT788*G788</f>
        <v>84</v>
      </c>
      <c r="AV788" s="50" t="n">
        <f aca="false">ROUNDUP(CK788+MAX(CL788,2*(J788/IF(CG788&gt;0,CG788,MAX(0.1,N(Cockpit!$I$6)))-CK788)),0)</f>
        <v>1</v>
      </c>
      <c r="AW788" s="51" t="n">
        <f aca="false">IF(AS788&gt;0,J788/AS788,-1)</f>
        <v>0</v>
      </c>
      <c r="AX788" s="51" t="n">
        <f aca="false">IF(AND(OR(CF788="L1",CF788="L23",CF788="LIFT"),AS788&gt;0),SUMIFS($AS$7:$AS$1843,$CF$7:$CF$1843,CF788,$AW$7:$AW$1843,"&gt;"&amp;AW788)+SUMIFS($AS$7:$AS$1843,$CF$7:$CF$1843,CF788,$AW$7:$AW$1843,AW788,$BW$7:$BW$1843,"&lt;="&amp;BW788),"")</f>
        <v>34366.0677655678</v>
      </c>
      <c r="AY788" s="58" t="n">
        <f aca="false">IF(AX788="",0,MAX(0,MIN(1,(IF(CF788="L1",Parameter!$H$5,IF(CF788="L23",Parameter!$H$6+Parameter!$H$7,Parameter!$H$5+Parameter!$H$6+Parameter!$H$7))-(AX788-AS788))/AS788)))</f>
        <v>1</v>
      </c>
      <c r="AZ788" s="50" t="n">
        <f aca="false">IF(LEFT(Cockpit!$O$5,1)="A",H788,IF(Parameter!$E$30="MAX-Bestand",IF(CH788=1,CI788,IF(LEFT(Cockpit!$O$5,1)="B",BF788,MAX(BF788,H788))),ROUNDUP(BD788,0)))</f>
        <v>1</v>
      </c>
      <c r="BA788" s="50" t="n">
        <f aca="false">IF(BZ788=1,0,ROUNDUP(AZ788/BY788,0))</f>
        <v>1</v>
      </c>
      <c r="BB788" s="52" t="n">
        <f aca="false">IF(CQ788&gt;0,CQ788*MAX(1,AZ788/X788),IF(BZ788=1,IF(AZ788&lt;=0,0,CD788*MAX(1,IF(H788&gt;0,AZ788/H788,1))),IF(R788&gt;0,BA788/R788,0))/MAX(0.1,N(Parameter!$M$21)))</f>
        <v>0.00357142857142857</v>
      </c>
      <c r="BC788" s="50" t="n">
        <f aca="false">BB788*CB788</f>
        <v>0.553571428571429</v>
      </c>
      <c r="BD788" s="51" t="n">
        <f aca="false">IF(LEFT(Cockpit!$O$5,1)="A",H788,IF(CH788=1,(CK788+CI788)/2,IF(LEFT(Cockpit!$O$5,1)="B",(CK788+BF788)/2,MAX((CK788+BF788)/2,H788))))</f>
        <v>0.5</v>
      </c>
      <c r="BE788" s="50" t="n">
        <f aca="false">BD788*G788</f>
        <v>0.75</v>
      </c>
      <c r="BF788" s="50" t="n">
        <f aca="false">ROUNDUP(CK788+MAX(CL788,2*(J788/IF(CG788&gt;0,CG788,MAX(0.1,N(Cockpit!$O$6)))-CK788)),0)</f>
        <v>1</v>
      </c>
      <c r="BG788" s="51" t="n">
        <f aca="false">IF(BC788&gt;0,J788/BC788,-1)</f>
        <v>0</v>
      </c>
      <c r="BH788" s="51" t="n">
        <f aca="false">IF(AND(OR(CF788="L1",CF788="L23",CF788="LIFT"),BC788&gt;0),SUMIFS($BC$7:$BC$1843,$CF$7:$CF$1843,CF788,$BG$7:$BG$1843,"&gt;"&amp;BG788)+SUMIFS($BC$7:$BC$1843,$CF$7:$CF$1843,CF788,$BG$7:$BG$1843,BG788,$BW$7:$BW$1843,"&lt;="&amp;BW788),"")</f>
        <v>28409.9376125287</v>
      </c>
      <c r="BI788" s="58" t="n">
        <f aca="false">IF(BH788="",0,MAX(0,MIN(1,(IF(CF788="L1",Parameter!$H$5,IF(CF788="L23",Parameter!$H$6+Parameter!$H$7,Parameter!$H$5+Parameter!$H$6+Parameter!$H$7))-(BH788-BC788))/BC788)))</f>
        <v>1</v>
      </c>
      <c r="BJ788" s="48" t="str">
        <f aca="false">IF(AI788&lt;=0,"",IF(CF788="Aussen","Aussenlager",IF(CF788="-","Nicht im Lift",IF(AO788&gt;=1,"Lift",IF(AO788&lt;=0,"Aussenlager","teilweise")))))</f>
        <v>Lift</v>
      </c>
      <c r="BK788" s="48" t="str">
        <f aca="false">IF(AS788&lt;=0,"",IF(CF788="Aussen","Aussenlager",IF(CF788="-","Nicht im Lift",IF(AY788&gt;=1,"Lift",IF(AY788&lt;=0,"Aussenlager","teilweise")))))</f>
        <v>Lift</v>
      </c>
      <c r="BL788" s="48" t="str">
        <f aca="false">IF(BC788&lt;=0,"",IF(CF788="Aussen","Aussenlager",IF(CF788="-","Nicht im Lift",IF(BI788&gt;=1,"Lift",IF(BI788&lt;=0,"Aussenlager","teilweise")))))</f>
        <v>Lift</v>
      </c>
      <c r="BM788" s="48" t="str">
        <f aca="false">IF(A788="","",IF(BV788=1,"Neu; ","")&amp;IF(AND(BV788=0,BQ788&lt;0),"negativer Bestand (Export "&amp;BQ788&amp;"); ","")&amp;IF(J788&lt;=0,"Kein Verbrauch; ","")&amp;IF(CQ788&gt;0,"Lift "&amp;W788&amp;" lt. Liftbericht (Fach "&amp;X788&amp;" Stk); ",IF(CA788=1,"Gebinde geschätzt ("&amp;T788&amp;"); ",IF(BZ788=1,"Lose – Tablare geschätzt; ","")))&amp;IF(H788&gt;AV788,"Überbestand "&amp;ROUND(H788-AV788,0)&amp;" Stk / CHF "&amp;ROUND((H788-AV788)*G788,0)&amp;"; ","")&amp;IF(AND(CH788=1,CI788&lt;CJ788),"MAX &lt; MB+LG; ","")&amp;IF(AND(CP788&gt;0,CO788*10&gt;CP788),"zu hoch für Tablar; ","")&amp;IF(AND(BV788=0,OR(CH788=1,AA788&lt;&gt;"",U788&lt;&gt;"",V788&lt;&gt;"",AB788&lt;&gt;"")),"manuell übersteuert; ","")&amp;IF(AND(BZ788=0,R788=0),"Gebinde unbekannt / Stellmass fehlt; ","")&amp;IF(AND(BZ788=0,N(V788)&lt;=0,N(Q788)&lt;=0),"Menge pro Gebinde fehlt (Ist = 1 Gebinde); ","")&amp;BU788)</f>
        <v>negativer Bestand (Export -2); Kein Verbrauch; Überbestand 55 Stk / CHF 83; </v>
      </c>
      <c r="BN788" s="48"/>
      <c r="BO788" s="48"/>
      <c r="BP788" s="55"/>
      <c r="BQ788" s="50" t="n">
        <v>-2</v>
      </c>
      <c r="BR788" s="50" t="n">
        <v>58</v>
      </c>
      <c r="BS788" s="49" t="n">
        <v>-3</v>
      </c>
      <c r="BT788" s="50" t="n">
        <v>0</v>
      </c>
      <c r="BU788" s="48"/>
      <c r="BV788" s="53" t="n">
        <v>0</v>
      </c>
      <c r="BW788" s="53" t="n">
        <v>788</v>
      </c>
      <c r="BX788" s="48" t="str">
        <f aca="false">IF(U788&lt;&gt;"",UPPER(TRIM(U788)),IF(CA788=1,UPPER(VLOOKUP(T788,Parameter!$I$27:$K$29,2,0)),IF(P788="","LOSE",P788)))</f>
        <v>S21</v>
      </c>
      <c r="BY788" s="50" t="n">
        <f aca="false">IF(BX788="LOSE",1,IF(N(V788)&gt;0,V788,IF(CA788=1,MAX(1,N(VLOOKUP(T788,Parameter!$I$27:$K$29,3,0)),H788,N(N788)),IF(N(Q788)&gt;0,Q788,MAX(1,H788)))))</f>
        <v>100</v>
      </c>
      <c r="BZ788" s="53" t="n">
        <f aca="false">IF(BX788="LOSE",1,0)</f>
        <v>0</v>
      </c>
      <c r="CA788" s="53" t="n">
        <f aca="false">IF(AND(U788="",OR(P788="",P788="LOSE"),T788&lt;&gt;"",N(S788)&lt;=0,ISNUMBER(MATCH(T788,Parameter!$I$27:$I$29,0))),1,0)</f>
        <v>0</v>
      </c>
      <c r="CB788" s="53" t="n">
        <f aca="false">IF(CQ788&gt;0,INDEX(Parameter!$H$5:$H$7,W788)/INDEX(Parameter!$E$5:$E$7,W788),IF(AND(BZ788=0,N(IFERROR(VLOOKUP(BX788,'Gebinde-Kategorie'!$A$5:$N$45,14,0),0))&gt;0),VLOOKUP(BX788,'Gebinde-Kategorie'!$A$5:$N$45,14,0)*10+Parameter!$M$23,Parameter!$M$24))</f>
        <v>155</v>
      </c>
      <c r="CC788" s="48" t="str">
        <f aca="false">IF(AND(Parameter!$B$19="Ja",E788&lt;&gt;"",ISNUMBER(MATCH(E788,Parameter!$I$35:$I$52,0))),VLOOKUP(E788,Parameter!$I$35:$J$52,2,0),IFERROR(VLOOKUP(D788,Parameter!$A$35:$C$64,2,0),"Nein"))</f>
        <v>2+3</v>
      </c>
      <c r="CD788" s="52" t="n">
        <f aca="false">IF(BZ788=0,0,IF(N(S788)&gt;0,S788,IFERROR(VLOOKUP(D788,Parameter!$A$35:$C$64,3,0)+0,0)))</f>
        <v>0</v>
      </c>
      <c r="CE788" s="48" t="n">
        <f aca="false">IF(AA788&lt;&gt;"",AA788,Z788)</f>
        <v>3</v>
      </c>
      <c r="CF788" s="48" t="str">
        <f aca="false">IF(OR(CE788=1,CE788=2,CE788=3),IF(Parameter!$E$27="Ja","LIFT",IF(CE788=1,"L1","L23")),IF(CE788="Aussen","Aussen","-"))</f>
        <v>LIFT</v>
      </c>
      <c r="CG788" s="59" t="n">
        <f aca="false">IF(N(AB788)&gt;0,AB788,0)</f>
        <v>0</v>
      </c>
      <c r="CH788" s="53" t="n">
        <f aca="false">IF(ISNUMBER(AE788),1,0)</f>
        <v>0</v>
      </c>
      <c r="CI788" s="50" t="n">
        <f aca="false">N(AE788)</f>
        <v>0</v>
      </c>
      <c r="CJ788" s="50" t="n">
        <f aca="false">N(M788)+N(N788)</f>
        <v>1</v>
      </c>
      <c r="CK788" s="50" t="n">
        <f aca="false">N(M788)</f>
        <v>0</v>
      </c>
      <c r="CL788" s="50" t="n">
        <f aca="false">N(N788)</f>
        <v>1</v>
      </c>
      <c r="CM788" s="50" t="n">
        <f aca="false">ROUNDUP(H788/BY788,0)</f>
        <v>1</v>
      </c>
      <c r="CN788" s="50" t="n">
        <f aca="false">ROUNDUP(CI788/BY788,0)</f>
        <v>0</v>
      </c>
      <c r="CO788" s="53" t="n">
        <f aca="false">IF(BZ788=1,0,IFERROR(VLOOKUP(BX788,'Gebinde-Kategorie'!$A$5:$N$45,5,0)+0,0))</f>
        <v>8</v>
      </c>
      <c r="CP788" s="53" t="n">
        <f aca="false">IFERROR(IF(OR(CE788=1,CE788=2,CE788=3),N(INDEX(Parameter!$I$5:$I$7,CE788)),0),0)</f>
        <v>0</v>
      </c>
      <c r="CQ788" s="52" t="n">
        <f aca="false">IF(AND(Parameter!$B$21="Ja",ISNUMBER(W788),N(X788)&gt;0),IFERROR(N(INDEX(Parameter!$L$5:$L$7,W788))*INDEX(Parameter!$E$5:$E$7,W788)*X788/SUMIFS($X$7:$X$1843,$W$7:$W$1843,W788),0),0)</f>
        <v>0</v>
      </c>
    </row>
    <row r="789" customFormat="false" ht="15" hidden="false" customHeight="false" outlineLevel="0" collapsed="false">
      <c r="A789" s="48" t="s">
        <v>1547</v>
      </c>
      <c r="B789" s="48" t="s">
        <v>958</v>
      </c>
      <c r="C789" s="48" t="s">
        <v>173</v>
      </c>
      <c r="D789" s="48" t="s">
        <v>193</v>
      </c>
      <c r="E789" s="48"/>
      <c r="F789" s="48" t="s">
        <v>227</v>
      </c>
      <c r="G789" s="49" t="n">
        <v>0.03</v>
      </c>
      <c r="H789" s="50" t="n">
        <f aca="false">MAX(0,IF(AND(Parameter!$B$21="Ja",ISNUMBER(Y789)),Y789,IF(Parameter!$B$20="Jahresanfang 2025 + Export",BR789+BQ789,BQ789)))</f>
        <v>52</v>
      </c>
      <c r="I789" s="50" t="n">
        <f aca="false">H789*G789</f>
        <v>1.56</v>
      </c>
      <c r="J789" s="50" t="n">
        <f aca="false">BT789*Parameter!$B$18</f>
        <v>132</v>
      </c>
      <c r="K789" s="51" t="n">
        <v>151.5</v>
      </c>
      <c r="L789" s="52" t="n">
        <v>0.871287128712871</v>
      </c>
      <c r="M789" s="50" t="n">
        <v>7</v>
      </c>
      <c r="N789" s="50" t="n">
        <v>130</v>
      </c>
      <c r="O789" s="53" t="n">
        <v>21</v>
      </c>
      <c r="P789" s="48" t="s">
        <v>410</v>
      </c>
      <c r="Q789" s="50" t="n">
        <v>70</v>
      </c>
      <c r="R789" s="53" t="n">
        <f aca="false">IF(BZ789=1,0,IFERROR(VLOOKUP(BX789,'Gebinde-Kategorie'!$A$5:$N$45,13,0)+0,0))</f>
        <v>280</v>
      </c>
      <c r="S789" s="54"/>
      <c r="T789" s="55"/>
      <c r="U789" s="55"/>
      <c r="V789" s="55"/>
      <c r="W789" s="48"/>
      <c r="X789" s="50"/>
      <c r="Y789" s="50"/>
      <c r="Z789" s="48" t="n">
        <f aca="false">IF(A789="","",IF(AND(Parameter!$B$21="Ja",ISNUMBER(W789)),W789,IF(CC789="2+3",IF(ISNUMBER(SEARCH("grosser Artikel",BU789)),2,IFERROR(VLOOKUP(BX789,Parameter!$F$35:$G$64,2,0),2)),IF(OR(CC789="Nein",CC789=""),"-",CC789))))</f>
        <v>3</v>
      </c>
      <c r="AA789" s="55"/>
      <c r="AB789" s="56"/>
      <c r="AC789" s="50" t="n">
        <f aca="false">AV789</f>
        <v>137</v>
      </c>
      <c r="AD789" s="50" t="n">
        <f aca="false">MAX(AV789,H789)</f>
        <v>137</v>
      </c>
      <c r="AE789" s="57"/>
      <c r="AF789" s="50" t="n">
        <f aca="false">IF(LEFT(Cockpit!$C$5,1)="A",H789,IF(Parameter!$E$30="MAX-Bestand",IF(CH789=1,CI789,IF(LEFT(Cockpit!$C$5,1)="B",AL789,MAX(AL789,H789))),ROUNDUP(AJ789,0)))</f>
        <v>52</v>
      </c>
      <c r="AG789" s="50" t="n">
        <f aca="false">IF(BZ789=1,0,ROUNDUP(AF789/BY789,0))</f>
        <v>1</v>
      </c>
      <c r="AH789" s="52" t="n">
        <f aca="false">IF(CQ789&gt;0,CQ789*MAX(1,AF789/X789),IF(BZ789=1,IF(AF789&lt;=0,0,CD789*MAX(1,IF(H789&gt;0,AF789/H789,1))),IF(R789&gt;0,AG789/R789,0))/MAX(0.1,N(Parameter!$M$21)))</f>
        <v>0.00357142857142857</v>
      </c>
      <c r="AI789" s="50" t="n">
        <f aca="false">AH789*CB789</f>
        <v>0.553571428571429</v>
      </c>
      <c r="AJ789" s="51" t="n">
        <f aca="false">IF(LEFT(Cockpit!$C$5,1)="A",H789,IF(CH789=1,(CK789+CI789)/2,IF(LEFT(Cockpit!$C$5,1)="B",(CK789+AL789)/2,MAX((CK789+AL789)/2,H789))))</f>
        <v>52</v>
      </c>
      <c r="AK789" s="50" t="n">
        <f aca="false">AJ789*G789</f>
        <v>1.56</v>
      </c>
      <c r="AL789" s="50" t="n">
        <f aca="false">ROUNDUP(CK789+MAX(CL789,2*(J789/IF(CG789&gt;0,CG789,MAX(0.1,N(Cockpit!$C$6)))-CK789)),0)</f>
        <v>137</v>
      </c>
      <c r="AM789" s="51" t="n">
        <f aca="false">IF(AI789&gt;0,J789/AI789,-1)</f>
        <v>238.451612903226</v>
      </c>
      <c r="AN789" s="51" t="n">
        <f aca="false">IF(AND(OR(CF789="L1",CF789="L23",CF789="LIFT"),AI789&gt;0),SUMIFS($AI$7:$AI$1843,$CF$7:$CF$1843,CF789,$AM$7:$AM$1843,"&gt;"&amp;AM789)+SUMIFS($AI$7:$AI$1843,$CF$7:$CF$1843,CF789,$AM$7:$AM$1843,AM789,$BW$7:$BW$1843,"&lt;="&amp;BW789),"")</f>
        <v>306.490842490843</v>
      </c>
      <c r="AO789" s="58" t="n">
        <f aca="false">IF(AN789="",0,MAX(0,MIN(1,(IF(CF789="L1",Parameter!$H$5,IF(CF789="L23",Parameter!$H$6+Parameter!$H$7,Parameter!$H$5+Parameter!$H$6+Parameter!$H$7))-(AN789-AI789))/AI789)))</f>
        <v>1</v>
      </c>
      <c r="AP789" s="50" t="n">
        <f aca="false">IF(LEFT(Cockpit!$I$5,1)="A",H789,IF(Parameter!$E$30="MAX-Bestand",IF(CH789=1,CI789,IF(LEFT(Cockpit!$I$5,1)="B",AV789,MAX(AV789,H789))),ROUNDUP(AT789,0)))</f>
        <v>72</v>
      </c>
      <c r="AQ789" s="50" t="n">
        <f aca="false">IF(BZ789=1,0,ROUNDUP(AP789/BY789,0))</f>
        <v>2</v>
      </c>
      <c r="AR789" s="52" t="n">
        <f aca="false">IF(CQ789&gt;0,CQ789*MAX(1,AP789/X789),IF(BZ789=1,IF(AP789&lt;=0,0,CD789*MAX(1,IF(H789&gt;0,AP789/H789,1))),IF(R789&gt;0,AQ789/R789,0))/MAX(0.1,N(Parameter!$M$21)))</f>
        <v>0.00714285714285714</v>
      </c>
      <c r="AS789" s="50" t="n">
        <f aca="false">AR789*CB789</f>
        <v>1.10714285714286</v>
      </c>
      <c r="AT789" s="51" t="n">
        <f aca="false">IF(LEFT(Cockpit!$I$5,1)="A",H789,IF(CH789=1,(CK789+CI789)/2,IF(LEFT(Cockpit!$I$5,1)="B",(CK789+AV789)/2,MAX((CK789+AV789)/2,H789))))</f>
        <v>72</v>
      </c>
      <c r="AU789" s="50" t="n">
        <f aca="false">AT789*G789</f>
        <v>2.16</v>
      </c>
      <c r="AV789" s="50" t="n">
        <f aca="false">ROUNDUP(CK789+MAX(CL789,2*(J789/IF(CG789&gt;0,CG789,MAX(0.1,N(Cockpit!$I$6)))-CK789)),0)</f>
        <v>137</v>
      </c>
      <c r="AW789" s="51" t="n">
        <f aca="false">IF(AS789&gt;0,J789/AS789,-1)</f>
        <v>119.225806451613</v>
      </c>
      <c r="AX789" s="51" t="n">
        <f aca="false">IF(AND(OR(CF789="L1",CF789="L23",CF789="LIFT"),AS789&gt;0),SUMIFS($AS$7:$AS$1843,$CF$7:$CF$1843,CF789,$AW$7:$AW$1843,"&gt;"&amp;AW789)+SUMIFS($AS$7:$AS$1843,$CF$7:$CF$1843,CF789,$AW$7:$AW$1843,AW789,$BW$7:$BW$1843,"&lt;="&amp;BW789),"")</f>
        <v>792.111263736264</v>
      </c>
      <c r="AY789" s="58" t="n">
        <f aca="false">IF(AX789="",0,MAX(0,MIN(1,(IF(CF789="L1",Parameter!$H$5,IF(CF789="L23",Parameter!$H$6+Parameter!$H$7,Parameter!$H$5+Parameter!$H$6+Parameter!$H$7))-(AX789-AS789))/AS789)))</f>
        <v>1</v>
      </c>
      <c r="AZ789" s="50" t="n">
        <f aca="false">IF(LEFT(Cockpit!$O$5,1)="A",H789,IF(Parameter!$E$30="MAX-Bestand",IF(CH789=1,CI789,IF(LEFT(Cockpit!$O$5,1)="B",BF789,MAX(BF789,H789))),ROUNDUP(BD789,0)))</f>
        <v>72</v>
      </c>
      <c r="BA789" s="50" t="n">
        <f aca="false">IF(BZ789=1,0,ROUNDUP(AZ789/BY789,0))</f>
        <v>2</v>
      </c>
      <c r="BB789" s="52" t="n">
        <f aca="false">IF(CQ789&gt;0,CQ789*MAX(1,AZ789/X789),IF(BZ789=1,IF(AZ789&lt;=0,0,CD789*MAX(1,IF(H789&gt;0,AZ789/H789,1))),IF(R789&gt;0,BA789/R789,0))/MAX(0.1,N(Parameter!$M$21)))</f>
        <v>0.00714285714285714</v>
      </c>
      <c r="BC789" s="50" t="n">
        <f aca="false">BB789*CB789</f>
        <v>1.10714285714286</v>
      </c>
      <c r="BD789" s="51" t="n">
        <f aca="false">IF(LEFT(Cockpit!$O$5,1)="A",H789,IF(CH789=1,(CK789+CI789)/2,IF(LEFT(Cockpit!$O$5,1)="B",(CK789+BF789)/2,MAX((CK789+BF789)/2,H789))))</f>
        <v>72</v>
      </c>
      <c r="BE789" s="50" t="n">
        <f aca="false">BD789*G789</f>
        <v>2.16</v>
      </c>
      <c r="BF789" s="50" t="n">
        <f aca="false">ROUNDUP(CK789+MAX(CL789,2*(J789/IF(CG789&gt;0,CG789,MAX(0.1,N(Cockpit!$O$6)))-CK789)),0)</f>
        <v>137</v>
      </c>
      <c r="BG789" s="51" t="n">
        <f aca="false">IF(BC789&gt;0,J789/BC789,-1)</f>
        <v>119.225806451613</v>
      </c>
      <c r="BH789" s="51" t="n">
        <f aca="false">IF(AND(OR(CF789="L1",CF789="L23",CF789="LIFT"),BC789&gt;0),SUMIFS($BC$7:$BC$1843,$CF$7:$CF$1843,CF789,$BG$7:$BG$1843,"&gt;"&amp;BG789)+SUMIFS($BC$7:$BC$1843,$CF$7:$CF$1843,CF789,$BG$7:$BG$1843,BG789,$BW$7:$BW$1843,"&lt;="&amp;BW789),"")</f>
        <v>818.001373626374</v>
      </c>
      <c r="BI789" s="58" t="n">
        <f aca="false">IF(BH789="",0,MAX(0,MIN(1,(IF(CF789="L1",Parameter!$H$5,IF(CF789="L23",Parameter!$H$6+Parameter!$H$7,Parameter!$H$5+Parameter!$H$6+Parameter!$H$7))-(BH789-BC789))/BC789)))</f>
        <v>1</v>
      </c>
      <c r="BJ789" s="48" t="str">
        <f aca="false">IF(AI789&lt;=0,"",IF(CF789="Aussen","Aussenlager",IF(CF789="-","Nicht im Lift",IF(AO789&gt;=1,"Lift",IF(AO789&lt;=0,"Aussenlager","teilweise")))))</f>
        <v>Lift</v>
      </c>
      <c r="BK789" s="48" t="str">
        <f aca="false">IF(AS789&lt;=0,"",IF(CF789="Aussen","Aussenlager",IF(CF789="-","Nicht im Lift",IF(AY789&gt;=1,"Lift",IF(AY789&lt;=0,"Aussenlager","teilweise")))))</f>
        <v>Lift</v>
      </c>
      <c r="BL789" s="48" t="str">
        <f aca="false">IF(BC789&lt;=0,"",IF(CF789="Aussen","Aussenlager",IF(CF789="-","Nicht im Lift",IF(BI789&gt;=1,"Lift",IF(BI789&lt;=0,"Aussenlager","teilweise")))))</f>
        <v>Lift</v>
      </c>
      <c r="BM789" s="48" t="str">
        <f aca="false">IF(A789="","",IF(BV789=1,"Neu; ","")&amp;IF(AND(BV789=0,BQ789&lt;0),"negativer Bestand (Export "&amp;BQ789&amp;"); ","")&amp;IF(J789&lt;=0,"Kein Verbrauch; ","")&amp;IF(CQ789&gt;0,"Lift "&amp;W789&amp;" lt. Liftbericht (Fach "&amp;X789&amp;" Stk); ",IF(CA789=1,"Gebinde geschätzt ("&amp;T789&amp;"); ",IF(BZ789=1,"Lose – Tablare geschätzt; ","")))&amp;IF(H789&gt;AV789,"Überbestand "&amp;ROUND(H789-AV789,0)&amp;" Stk / CHF "&amp;ROUND((H789-AV789)*G789,0)&amp;"; ","")&amp;IF(AND(CH789=1,CI789&lt;CJ789),"MAX &lt; MB+LG; ","")&amp;IF(AND(CP789&gt;0,CO789*10&gt;CP789),"zu hoch für Tablar; ","")&amp;IF(AND(BV789=0,OR(CH789=1,AA789&lt;&gt;"",U789&lt;&gt;"",V789&lt;&gt;"",AB789&lt;&gt;"")),"manuell übersteuert; ","")&amp;IF(AND(BZ789=0,R789=0),"Gebinde unbekannt / Stellmass fehlt; ","")&amp;IF(AND(BZ789=0,N(V789)&lt;=0,N(Q789)&lt;=0),"Menge pro Gebinde fehlt (Ist = 1 Gebinde); ","")&amp;BU789)</f>
        <v>negativer Bestand (Export -101); </v>
      </c>
      <c r="BN789" s="48"/>
      <c r="BO789" s="48"/>
      <c r="BP789" s="55"/>
      <c r="BQ789" s="50" t="n">
        <v>-101</v>
      </c>
      <c r="BR789" s="50" t="n">
        <v>153</v>
      </c>
      <c r="BS789" s="49" t="n">
        <v>-3.03</v>
      </c>
      <c r="BT789" s="50" t="n">
        <v>132</v>
      </c>
      <c r="BU789" s="48"/>
      <c r="BV789" s="53" t="n">
        <v>0</v>
      </c>
      <c r="BW789" s="53" t="n">
        <v>789</v>
      </c>
      <c r="BX789" s="48" t="str">
        <f aca="false">IF(U789&lt;&gt;"",UPPER(TRIM(U789)),IF(CA789=1,UPPER(VLOOKUP(T789,Parameter!$I$27:$K$29,2,0)),IF(P789="","LOSE",P789)))</f>
        <v>S21</v>
      </c>
      <c r="BY789" s="50" t="n">
        <f aca="false">IF(BX789="LOSE",1,IF(N(V789)&gt;0,V789,IF(CA789=1,MAX(1,N(VLOOKUP(T789,Parameter!$I$27:$K$29,3,0)),H789,N(N789)),IF(N(Q789)&gt;0,Q789,MAX(1,H789)))))</f>
        <v>70</v>
      </c>
      <c r="BZ789" s="53" t="n">
        <f aca="false">IF(BX789="LOSE",1,0)</f>
        <v>0</v>
      </c>
      <c r="CA789" s="53" t="n">
        <f aca="false">IF(AND(U789="",OR(P789="",P789="LOSE"),T789&lt;&gt;"",N(S789)&lt;=0,ISNUMBER(MATCH(T789,Parameter!$I$27:$I$29,0))),1,0)</f>
        <v>0</v>
      </c>
      <c r="CB789" s="53" t="n">
        <f aca="false">IF(CQ789&gt;0,INDEX(Parameter!$H$5:$H$7,W789)/INDEX(Parameter!$E$5:$E$7,W789),IF(AND(BZ789=0,N(IFERROR(VLOOKUP(BX789,'Gebinde-Kategorie'!$A$5:$N$45,14,0),0))&gt;0),VLOOKUP(BX789,'Gebinde-Kategorie'!$A$5:$N$45,14,0)*10+Parameter!$M$23,Parameter!$M$24))</f>
        <v>155</v>
      </c>
      <c r="CC789" s="48" t="str">
        <f aca="false">IF(AND(Parameter!$B$19="Ja",E789&lt;&gt;"",ISNUMBER(MATCH(E789,Parameter!$I$35:$I$52,0))),VLOOKUP(E789,Parameter!$I$35:$J$52,2,0),IFERROR(VLOOKUP(D789,Parameter!$A$35:$C$64,2,0),"Nein"))</f>
        <v>2+3</v>
      </c>
      <c r="CD789" s="52" t="n">
        <f aca="false">IF(BZ789=0,0,IF(N(S789)&gt;0,S789,IFERROR(VLOOKUP(D789,Parameter!$A$35:$C$64,3,0)+0,0)))</f>
        <v>0</v>
      </c>
      <c r="CE789" s="48" t="n">
        <f aca="false">IF(AA789&lt;&gt;"",AA789,Z789)</f>
        <v>3</v>
      </c>
      <c r="CF789" s="48" t="str">
        <f aca="false">IF(OR(CE789=1,CE789=2,CE789=3),IF(Parameter!$E$27="Ja","LIFT",IF(CE789=1,"L1","L23")),IF(CE789="Aussen","Aussen","-"))</f>
        <v>LIFT</v>
      </c>
      <c r="CG789" s="59" t="n">
        <f aca="false">IF(N(AB789)&gt;0,AB789,0)</f>
        <v>0</v>
      </c>
      <c r="CH789" s="53" t="n">
        <f aca="false">IF(ISNUMBER(AE789),1,0)</f>
        <v>0</v>
      </c>
      <c r="CI789" s="50" t="n">
        <f aca="false">N(AE789)</f>
        <v>0</v>
      </c>
      <c r="CJ789" s="50" t="n">
        <f aca="false">N(M789)+N(N789)</f>
        <v>137</v>
      </c>
      <c r="CK789" s="50" t="n">
        <f aca="false">N(M789)</f>
        <v>7</v>
      </c>
      <c r="CL789" s="50" t="n">
        <f aca="false">N(N789)</f>
        <v>130</v>
      </c>
      <c r="CM789" s="50" t="n">
        <f aca="false">ROUNDUP(H789/BY789,0)</f>
        <v>1</v>
      </c>
      <c r="CN789" s="50" t="n">
        <f aca="false">ROUNDUP(CI789/BY789,0)</f>
        <v>0</v>
      </c>
      <c r="CO789" s="53" t="n">
        <f aca="false">IF(BZ789=1,0,IFERROR(VLOOKUP(BX789,'Gebinde-Kategorie'!$A$5:$N$45,5,0)+0,0))</f>
        <v>8</v>
      </c>
      <c r="CP789" s="53" t="n">
        <f aca="false">IFERROR(IF(OR(CE789=1,CE789=2,CE789=3),N(INDEX(Parameter!$I$5:$I$7,CE789)),0),0)</f>
        <v>0</v>
      </c>
      <c r="CQ789" s="52" t="n">
        <f aca="false">IF(AND(Parameter!$B$21="Ja",ISNUMBER(W789),N(X789)&gt;0),IFERROR(N(INDEX(Parameter!$L$5:$L$7,W789))*INDEX(Parameter!$E$5:$E$7,W789)*X789/SUMIFS($X$7:$X$1843,$W$7:$W$1843,W789),0),0)</f>
        <v>0</v>
      </c>
    </row>
    <row r="790" customFormat="false" ht="15" hidden="false" customHeight="false" outlineLevel="0" collapsed="false">
      <c r="A790" s="48" t="s">
        <v>1548</v>
      </c>
      <c r="B790" s="48" t="s">
        <v>383</v>
      </c>
      <c r="C790" s="48" t="s">
        <v>173</v>
      </c>
      <c r="D790" s="48" t="s">
        <v>193</v>
      </c>
      <c r="E790" s="48" t="s">
        <v>194</v>
      </c>
      <c r="F790" s="48" t="s">
        <v>227</v>
      </c>
      <c r="G790" s="49" t="n">
        <v>1.53</v>
      </c>
      <c r="H790" s="50" t="n">
        <f aca="false">MAX(0,IF(AND(Parameter!$B$21="Ja",ISNUMBER(Y790)),Y790,IF(Parameter!$B$20="Jahresanfang 2025 + Export",BR790+BQ790,BQ790)))</f>
        <v>27</v>
      </c>
      <c r="I790" s="50" t="n">
        <f aca="false">H790*G790</f>
        <v>41.31</v>
      </c>
      <c r="J790" s="50" t="n">
        <f aca="false">BT790*Parameter!$B$18</f>
        <v>2</v>
      </c>
      <c r="K790" s="51" t="n">
        <v>28</v>
      </c>
      <c r="L790" s="52" t="n">
        <v>0.0714285714285714</v>
      </c>
      <c r="M790" s="50" t="n">
        <v>0</v>
      </c>
      <c r="N790" s="50" t="n">
        <v>1</v>
      </c>
      <c r="O790" s="53" t="n">
        <v>14</v>
      </c>
      <c r="P790" s="48" t="s">
        <v>435</v>
      </c>
      <c r="Q790" s="50" t="n">
        <v>34</v>
      </c>
      <c r="R790" s="53" t="n">
        <f aca="false">IF(BZ790=1,0,IFERROR(VLOOKUP(BX790,'Gebinde-Kategorie'!$A$5:$N$45,13,0)+0,0))</f>
        <v>140</v>
      </c>
      <c r="S790" s="54"/>
      <c r="T790" s="55"/>
      <c r="U790" s="55"/>
      <c r="V790" s="55"/>
      <c r="W790" s="48"/>
      <c r="X790" s="50"/>
      <c r="Y790" s="50"/>
      <c r="Z790" s="48" t="n">
        <f aca="false">IF(A790="","",IF(AND(Parameter!$B$21="Ja",ISNUMBER(W790)),W790,IF(CC790="2+3",IF(ISNUMBER(SEARCH("grosser Artikel",BU790)),2,IFERROR(VLOOKUP(BX790,Parameter!$F$35:$G$64,2,0),2)),IF(OR(CC790="Nein",CC790=""),"-",CC790))))</f>
        <v>3</v>
      </c>
      <c r="AA790" s="55"/>
      <c r="AB790" s="56"/>
      <c r="AC790" s="50" t="n">
        <f aca="false">AV790</f>
        <v>2</v>
      </c>
      <c r="AD790" s="50" t="n">
        <f aca="false">MAX(AV790,H790)</f>
        <v>27</v>
      </c>
      <c r="AE790" s="57"/>
      <c r="AF790" s="50" t="n">
        <f aca="false">IF(LEFT(Cockpit!$C$5,1)="A",H790,IF(Parameter!$E$30="MAX-Bestand",IF(CH790=1,CI790,IF(LEFT(Cockpit!$C$5,1)="B",AL790,MAX(AL790,H790))),ROUNDUP(AJ790,0)))</f>
        <v>27</v>
      </c>
      <c r="AG790" s="50" t="n">
        <f aca="false">IF(BZ790=1,0,ROUNDUP(AF790/BY790,0))</f>
        <v>1</v>
      </c>
      <c r="AH790" s="52" t="n">
        <f aca="false">IF(CQ790&gt;0,CQ790*MAX(1,AF790/X790),IF(BZ790=1,IF(AF790&lt;=0,0,CD790*MAX(1,IF(H790&gt;0,AF790/H790,1))),IF(R790&gt;0,AG790/R790,0))/MAX(0.1,N(Parameter!$M$21)))</f>
        <v>0.00714285714285714</v>
      </c>
      <c r="AI790" s="50" t="n">
        <f aca="false">AH790*CB790</f>
        <v>1.10714285714286</v>
      </c>
      <c r="AJ790" s="51" t="n">
        <f aca="false">IF(LEFT(Cockpit!$C$5,1)="A",H790,IF(CH790=1,(CK790+CI790)/2,IF(LEFT(Cockpit!$C$5,1)="B",(CK790+AL790)/2,MAX((CK790+AL790)/2,H790))))</f>
        <v>27</v>
      </c>
      <c r="AK790" s="50" t="n">
        <f aca="false">AJ790*G790</f>
        <v>41.31</v>
      </c>
      <c r="AL790" s="50" t="n">
        <f aca="false">ROUNDUP(CK790+MAX(CL790,2*(J790/IF(CG790&gt;0,CG790,MAX(0.1,N(Cockpit!$C$6)))-CK790)),0)</f>
        <v>2</v>
      </c>
      <c r="AM790" s="51" t="n">
        <f aca="false">IF(AI790&gt;0,J790/AI790,-1)</f>
        <v>1.80645161290323</v>
      </c>
      <c r="AN790" s="51" t="n">
        <f aca="false">IF(AND(OR(CF790="L1",CF790="L23",CF790="LIFT"),AI790&gt;0),SUMIFS($AI$7:$AI$1843,$CF$7:$CF$1843,CF790,$AM$7:$AM$1843,"&gt;"&amp;AM790)+SUMIFS($AI$7:$AI$1843,$CF$7:$CF$1843,CF790,$AM$7:$AM$1843,AM790,$BW$7:$BW$1843,"&lt;="&amp;BW790),"")</f>
        <v>5965.89743589744</v>
      </c>
      <c r="AO790" s="58" t="n">
        <f aca="false">IF(AN790="",0,MAX(0,MIN(1,(IF(CF790="L1",Parameter!$H$5,IF(CF790="L23",Parameter!$H$6+Parameter!$H$7,Parameter!$H$5+Parameter!$H$6+Parameter!$H$7))-(AN790-AI790))/AI790)))</f>
        <v>1</v>
      </c>
      <c r="AP790" s="50" t="n">
        <f aca="false">IF(LEFT(Cockpit!$I$5,1)="A",H790,IF(Parameter!$E$30="MAX-Bestand",IF(CH790=1,CI790,IF(LEFT(Cockpit!$I$5,1)="B",AV790,MAX(AV790,H790))),ROUNDUP(AT790,0)))</f>
        <v>27</v>
      </c>
      <c r="AQ790" s="50" t="n">
        <f aca="false">IF(BZ790=1,0,ROUNDUP(AP790/BY790,0))</f>
        <v>1</v>
      </c>
      <c r="AR790" s="52" t="n">
        <f aca="false">IF(CQ790&gt;0,CQ790*MAX(1,AP790/X790),IF(BZ790=1,IF(AP790&lt;=0,0,CD790*MAX(1,IF(H790&gt;0,AP790/H790,1))),IF(R790&gt;0,AQ790/R790,0))/MAX(0.1,N(Parameter!$M$21)))</f>
        <v>0.00714285714285714</v>
      </c>
      <c r="AS790" s="50" t="n">
        <f aca="false">AR790*CB790</f>
        <v>1.10714285714286</v>
      </c>
      <c r="AT790" s="51" t="n">
        <f aca="false">IF(LEFT(Cockpit!$I$5,1)="A",H790,IF(CH790=1,(CK790+CI790)/2,IF(LEFT(Cockpit!$I$5,1)="B",(CK790+AV790)/2,MAX((CK790+AV790)/2,H790))))</f>
        <v>27</v>
      </c>
      <c r="AU790" s="50" t="n">
        <f aca="false">AT790*G790</f>
        <v>41.31</v>
      </c>
      <c r="AV790" s="50" t="n">
        <f aca="false">ROUNDUP(CK790+MAX(CL790,2*(J790/IF(CG790&gt;0,CG790,MAX(0.1,N(Cockpit!$I$6)))-CK790)),0)</f>
        <v>2</v>
      </c>
      <c r="AW790" s="51" t="n">
        <f aca="false">IF(AS790&gt;0,J790/AS790,-1)</f>
        <v>1.80645161290323</v>
      </c>
      <c r="AX790" s="51" t="n">
        <f aca="false">IF(AND(OR(CF790="L1",CF790="L23",CF790="LIFT"),AS790&gt;0),SUMIFS($AS$7:$AS$1843,$CF$7:$CF$1843,CF790,$AW$7:$AW$1843,"&gt;"&amp;AW790)+SUMIFS($AS$7:$AS$1843,$CF$7:$CF$1843,CF790,$AW$7:$AW$1843,AW790,$BW$7:$BW$1843,"&lt;="&amp;BW790),"")</f>
        <v>7403.42032967033</v>
      </c>
      <c r="AY790" s="58" t="n">
        <f aca="false">IF(AX790="",0,MAX(0,MIN(1,(IF(CF790="L1",Parameter!$H$5,IF(CF790="L23",Parameter!$H$6+Parameter!$H$7,Parameter!$H$5+Parameter!$H$6+Parameter!$H$7))-(AX790-AS790))/AS790)))</f>
        <v>1</v>
      </c>
      <c r="AZ790" s="50" t="n">
        <f aca="false">IF(LEFT(Cockpit!$O$5,1)="A",H790,IF(Parameter!$E$30="MAX-Bestand",IF(CH790=1,CI790,IF(LEFT(Cockpit!$O$5,1)="B",BF790,MAX(BF790,H790))),ROUNDUP(BD790,0)))</f>
        <v>1</v>
      </c>
      <c r="BA790" s="50" t="n">
        <f aca="false">IF(BZ790=1,0,ROUNDUP(AZ790/BY790,0))</f>
        <v>1</v>
      </c>
      <c r="BB790" s="52" t="n">
        <f aca="false">IF(CQ790&gt;0,CQ790*MAX(1,AZ790/X790),IF(BZ790=1,IF(AZ790&lt;=0,0,CD790*MAX(1,IF(H790&gt;0,AZ790/H790,1))),IF(R790&gt;0,BA790/R790,0))/MAX(0.1,N(Parameter!$M$21)))</f>
        <v>0.00714285714285714</v>
      </c>
      <c r="BC790" s="50" t="n">
        <f aca="false">BB790*CB790</f>
        <v>1.10714285714286</v>
      </c>
      <c r="BD790" s="51" t="n">
        <f aca="false">IF(LEFT(Cockpit!$O$5,1)="A",H790,IF(CH790=1,(CK790+CI790)/2,IF(LEFT(Cockpit!$O$5,1)="B",(CK790+BF790)/2,MAX((CK790+BF790)/2,H790))))</f>
        <v>0.5</v>
      </c>
      <c r="BE790" s="50" t="n">
        <f aca="false">BD790*G790</f>
        <v>0.765</v>
      </c>
      <c r="BF790" s="50" t="n">
        <f aca="false">ROUNDUP(CK790+MAX(CL790,2*(J790/IF(CG790&gt;0,CG790,MAX(0.1,N(Cockpit!$O$6)))-CK790)),0)</f>
        <v>1</v>
      </c>
      <c r="BG790" s="51" t="n">
        <f aca="false">IF(BC790&gt;0,J790/BC790,-1)</f>
        <v>1.80645161290323</v>
      </c>
      <c r="BH790" s="51" t="n">
        <f aca="false">IF(AND(OR(CF790="L1",CF790="L23",CF790="LIFT"),BC790&gt;0),SUMIFS($BC$7:$BC$1843,$CF$7:$CF$1843,CF790,$BG$7:$BG$1843,"&gt;"&amp;BG790)+SUMIFS($BC$7:$BC$1843,$CF$7:$CF$1843,CF790,$BG$7:$BG$1843,BG790,$BW$7:$BW$1843,"&lt;="&amp;BW790),"")</f>
        <v>6091.34111721612</v>
      </c>
      <c r="BI790" s="58" t="n">
        <f aca="false">IF(BH790="",0,MAX(0,MIN(1,(IF(CF790="L1",Parameter!$H$5,IF(CF790="L23",Parameter!$H$6+Parameter!$H$7,Parameter!$H$5+Parameter!$H$6+Parameter!$H$7))-(BH790-BC790))/BC790)))</f>
        <v>1</v>
      </c>
      <c r="BJ790" s="48" t="str">
        <f aca="false">IF(AI790&lt;=0,"",IF(CF790="Aussen","Aussenlager",IF(CF790="-","Nicht im Lift",IF(AO790&gt;=1,"Lift",IF(AO790&lt;=0,"Aussenlager","teilweise")))))</f>
        <v>Lift</v>
      </c>
      <c r="BK790" s="48" t="str">
        <f aca="false">IF(AS790&lt;=0,"",IF(CF790="Aussen","Aussenlager",IF(CF790="-","Nicht im Lift",IF(AY790&gt;=1,"Lift",IF(AY790&lt;=0,"Aussenlager","teilweise")))))</f>
        <v>Lift</v>
      </c>
      <c r="BL790" s="48" t="str">
        <f aca="false">IF(BC790&lt;=0,"",IF(CF790="Aussen","Aussenlager",IF(CF790="-","Nicht im Lift",IF(BI790&gt;=1,"Lift",IF(BI790&lt;=0,"Aussenlager","teilweise")))))</f>
        <v>Lift</v>
      </c>
      <c r="BM790" s="48" t="str">
        <f aca="false">IF(A790="","",IF(BV790=1,"Neu; ","")&amp;IF(AND(BV790=0,BQ790&lt;0),"negativer Bestand (Export "&amp;BQ790&amp;"); ","")&amp;IF(J790&lt;=0,"Kein Verbrauch; ","")&amp;IF(CQ790&gt;0,"Lift "&amp;W790&amp;" lt. Liftbericht (Fach "&amp;X790&amp;" Stk); ",IF(CA790=1,"Gebinde geschätzt ("&amp;T790&amp;"); ",IF(BZ790=1,"Lose – Tablare geschätzt; ","")))&amp;IF(H790&gt;AV790,"Überbestand "&amp;ROUND(H790-AV790,0)&amp;" Stk / CHF "&amp;ROUND((H790-AV790)*G790,0)&amp;"; ","")&amp;IF(AND(CH790=1,CI790&lt;CJ790),"MAX &lt; MB+LG; ","")&amp;IF(AND(CP790&gt;0,CO790*10&gt;CP790),"zu hoch für Tablar; ","")&amp;IF(AND(BV790=0,OR(CH790=1,AA790&lt;&gt;"",U790&lt;&gt;"",V790&lt;&gt;"",AB790&lt;&gt;"")),"manuell übersteuert; ","")&amp;IF(AND(BZ790=0,R790=0),"Gebinde unbekannt / Stellmass fehlt; ","")&amp;IF(AND(BZ790=0,N(V790)&lt;=0,N(Q790)&lt;=0),"Menge pro Gebinde fehlt (Ist = 1 Gebinde); ","")&amp;BU790)</f>
        <v>negativer Bestand (Export -2); Überbestand 25 Stk / CHF 38; </v>
      </c>
      <c r="BN790" s="48"/>
      <c r="BO790" s="48"/>
      <c r="BP790" s="55"/>
      <c r="BQ790" s="50" t="n">
        <v>-2</v>
      </c>
      <c r="BR790" s="50" t="n">
        <v>29</v>
      </c>
      <c r="BS790" s="49" t="n">
        <v>-3.06</v>
      </c>
      <c r="BT790" s="50" t="n">
        <v>2</v>
      </c>
      <c r="BU790" s="48"/>
      <c r="BV790" s="53" t="n">
        <v>0</v>
      </c>
      <c r="BW790" s="53" t="n">
        <v>790</v>
      </c>
      <c r="BX790" s="48" t="str">
        <f aca="false">IF(U790&lt;&gt;"",UPPER(TRIM(U790)),IF(CA790=1,UPPER(VLOOKUP(T790,Parameter!$I$27:$K$29,2,0)),IF(P790="","LOSE",P790)))</f>
        <v>S22</v>
      </c>
      <c r="BY790" s="50" t="n">
        <f aca="false">IF(BX790="LOSE",1,IF(N(V790)&gt;0,V790,IF(CA790=1,MAX(1,N(VLOOKUP(T790,Parameter!$I$27:$K$29,3,0)),H790,N(N790)),IF(N(Q790)&gt;0,Q790,MAX(1,H790)))))</f>
        <v>34</v>
      </c>
      <c r="BZ790" s="53" t="n">
        <f aca="false">IF(BX790="LOSE",1,0)</f>
        <v>0</v>
      </c>
      <c r="CA790" s="53" t="n">
        <f aca="false">IF(AND(U790="",OR(P790="",P790="LOSE"),T790&lt;&gt;"",N(S790)&lt;=0,ISNUMBER(MATCH(T790,Parameter!$I$27:$I$29,0))),1,0)</f>
        <v>0</v>
      </c>
      <c r="CB790" s="53" t="n">
        <f aca="false">IF(CQ790&gt;0,INDEX(Parameter!$H$5:$H$7,W790)/INDEX(Parameter!$E$5:$E$7,W790),IF(AND(BZ790=0,N(IFERROR(VLOOKUP(BX790,'Gebinde-Kategorie'!$A$5:$N$45,14,0),0))&gt;0),VLOOKUP(BX790,'Gebinde-Kategorie'!$A$5:$N$45,14,0)*10+Parameter!$M$23,Parameter!$M$24))</f>
        <v>155</v>
      </c>
      <c r="CC790" s="48" t="str">
        <f aca="false">IF(AND(Parameter!$B$19="Ja",E790&lt;&gt;"",ISNUMBER(MATCH(E790,Parameter!$I$35:$I$52,0))),VLOOKUP(E790,Parameter!$I$35:$J$52,2,0),IFERROR(VLOOKUP(D790,Parameter!$A$35:$C$64,2,0),"Nein"))</f>
        <v>2+3</v>
      </c>
      <c r="CD790" s="52" t="n">
        <f aca="false">IF(BZ790=0,0,IF(N(S790)&gt;0,S790,IFERROR(VLOOKUP(D790,Parameter!$A$35:$C$64,3,0)+0,0)))</f>
        <v>0</v>
      </c>
      <c r="CE790" s="48" t="n">
        <f aca="false">IF(AA790&lt;&gt;"",AA790,Z790)</f>
        <v>3</v>
      </c>
      <c r="CF790" s="48" t="str">
        <f aca="false">IF(OR(CE790=1,CE790=2,CE790=3),IF(Parameter!$E$27="Ja","LIFT",IF(CE790=1,"L1","L23")),IF(CE790="Aussen","Aussen","-"))</f>
        <v>LIFT</v>
      </c>
      <c r="CG790" s="59" t="n">
        <f aca="false">IF(N(AB790)&gt;0,AB790,0)</f>
        <v>0</v>
      </c>
      <c r="CH790" s="53" t="n">
        <f aca="false">IF(ISNUMBER(AE790),1,0)</f>
        <v>0</v>
      </c>
      <c r="CI790" s="50" t="n">
        <f aca="false">N(AE790)</f>
        <v>0</v>
      </c>
      <c r="CJ790" s="50" t="n">
        <f aca="false">N(M790)+N(N790)</f>
        <v>1</v>
      </c>
      <c r="CK790" s="50" t="n">
        <f aca="false">N(M790)</f>
        <v>0</v>
      </c>
      <c r="CL790" s="50" t="n">
        <f aca="false">N(N790)</f>
        <v>1</v>
      </c>
      <c r="CM790" s="50" t="n">
        <f aca="false">ROUNDUP(H790/BY790,0)</f>
        <v>1</v>
      </c>
      <c r="CN790" s="50" t="n">
        <f aca="false">ROUNDUP(CI790/BY790,0)</f>
        <v>0</v>
      </c>
      <c r="CO790" s="53" t="n">
        <f aca="false">IF(BZ790=1,0,IFERROR(VLOOKUP(BX790,'Gebinde-Kategorie'!$A$5:$N$45,5,0)+0,0))</f>
        <v>8</v>
      </c>
      <c r="CP790" s="53" t="n">
        <f aca="false">IFERROR(IF(OR(CE790=1,CE790=2,CE790=3),N(INDEX(Parameter!$I$5:$I$7,CE790)),0),0)</f>
        <v>0</v>
      </c>
      <c r="CQ790" s="52" t="n">
        <f aca="false">IF(AND(Parameter!$B$21="Ja",ISNUMBER(W790),N(X790)&gt;0),IFERROR(N(INDEX(Parameter!$L$5:$L$7,W790))*INDEX(Parameter!$E$5:$E$7,W790)*X790/SUMIFS($X$7:$X$1843,$W$7:$W$1843,W790),0),0)</f>
        <v>0</v>
      </c>
    </row>
    <row r="791" customFormat="false" ht="15" hidden="false" customHeight="false" outlineLevel="0" collapsed="false">
      <c r="A791" s="48" t="s">
        <v>1549</v>
      </c>
      <c r="B791" s="48" t="s">
        <v>414</v>
      </c>
      <c r="C791" s="48" t="s">
        <v>173</v>
      </c>
      <c r="D791" s="48" t="s">
        <v>193</v>
      </c>
      <c r="E791" s="48" t="s">
        <v>194</v>
      </c>
      <c r="F791" s="48" t="s">
        <v>227</v>
      </c>
      <c r="G791" s="49" t="n">
        <v>0.19</v>
      </c>
      <c r="H791" s="50" t="n">
        <f aca="false">MAX(0,IF(AND(Parameter!$B$21="Ja",ISNUMBER(Y791)),Y791,IF(Parameter!$B$20="Jahresanfang 2025 + Export",BR791+BQ791,BQ791)))</f>
        <v>62</v>
      </c>
      <c r="I791" s="50" t="n">
        <f aca="false">H791*G791</f>
        <v>11.78</v>
      </c>
      <c r="J791" s="50" t="n">
        <f aca="false">BT791*Parameter!$B$18</f>
        <v>6</v>
      </c>
      <c r="K791" s="51" t="n">
        <v>70.5</v>
      </c>
      <c r="L791" s="52" t="n">
        <v>0.0851063829787234</v>
      </c>
      <c r="M791" s="50" t="n">
        <v>0</v>
      </c>
      <c r="N791" s="50" t="n">
        <v>5</v>
      </c>
      <c r="O791" s="53" t="n">
        <v>14</v>
      </c>
      <c r="P791" s="48" t="s">
        <v>435</v>
      </c>
      <c r="Q791" s="50" t="n">
        <v>93</v>
      </c>
      <c r="R791" s="53" t="n">
        <f aca="false">IF(BZ791=1,0,IFERROR(VLOOKUP(BX791,'Gebinde-Kategorie'!$A$5:$N$45,13,0)+0,0))</f>
        <v>140</v>
      </c>
      <c r="S791" s="54"/>
      <c r="T791" s="55"/>
      <c r="U791" s="55"/>
      <c r="V791" s="55"/>
      <c r="W791" s="48"/>
      <c r="X791" s="50"/>
      <c r="Y791" s="50"/>
      <c r="Z791" s="48" t="n">
        <f aca="false">IF(A791="","",IF(AND(Parameter!$B$21="Ja",ISNUMBER(W791)),W791,IF(CC791="2+3",IF(ISNUMBER(SEARCH("grosser Artikel",BU791)),2,IFERROR(VLOOKUP(BX791,Parameter!$F$35:$G$64,2,0),2)),IF(OR(CC791="Nein",CC791=""),"-",CC791))))</f>
        <v>3</v>
      </c>
      <c r="AA791" s="55"/>
      <c r="AB791" s="56"/>
      <c r="AC791" s="50" t="n">
        <f aca="false">AV791</f>
        <v>5</v>
      </c>
      <c r="AD791" s="50" t="n">
        <f aca="false">MAX(AV791,H791)</f>
        <v>62</v>
      </c>
      <c r="AE791" s="57"/>
      <c r="AF791" s="50" t="n">
        <f aca="false">IF(LEFT(Cockpit!$C$5,1)="A",H791,IF(Parameter!$E$30="MAX-Bestand",IF(CH791=1,CI791,IF(LEFT(Cockpit!$C$5,1)="B",AL791,MAX(AL791,H791))),ROUNDUP(AJ791,0)))</f>
        <v>62</v>
      </c>
      <c r="AG791" s="50" t="n">
        <f aca="false">IF(BZ791=1,0,ROUNDUP(AF791/BY791,0))</f>
        <v>1</v>
      </c>
      <c r="AH791" s="52" t="n">
        <f aca="false">IF(CQ791&gt;0,CQ791*MAX(1,AF791/X791),IF(BZ791=1,IF(AF791&lt;=0,0,CD791*MAX(1,IF(H791&gt;0,AF791/H791,1))),IF(R791&gt;0,AG791/R791,0))/MAX(0.1,N(Parameter!$M$21)))</f>
        <v>0.00714285714285714</v>
      </c>
      <c r="AI791" s="50" t="n">
        <f aca="false">AH791*CB791</f>
        <v>1.10714285714286</v>
      </c>
      <c r="AJ791" s="51" t="n">
        <f aca="false">IF(LEFT(Cockpit!$C$5,1)="A",H791,IF(CH791=1,(CK791+CI791)/2,IF(LEFT(Cockpit!$C$5,1)="B",(CK791+AL791)/2,MAX((CK791+AL791)/2,H791))))</f>
        <v>62</v>
      </c>
      <c r="AK791" s="50" t="n">
        <f aca="false">AJ791*G791</f>
        <v>11.78</v>
      </c>
      <c r="AL791" s="50" t="n">
        <f aca="false">ROUNDUP(CK791+MAX(CL791,2*(J791/IF(CG791&gt;0,CG791,MAX(0.1,N(Cockpit!$C$6)))-CK791)),0)</f>
        <v>5</v>
      </c>
      <c r="AM791" s="51" t="n">
        <f aca="false">IF(AI791&gt;0,J791/AI791,-1)</f>
        <v>5.41935483870968</v>
      </c>
      <c r="AN791" s="51" t="n">
        <f aca="false">IF(AND(OR(CF791="L1",CF791="L23",CF791="LIFT"),AI791&gt;0),SUMIFS($AI$7:$AI$1843,$CF$7:$CF$1843,CF791,$AM$7:$AM$1843,"&gt;"&amp;AM791)+SUMIFS($AI$7:$AI$1843,$CF$7:$CF$1843,CF791,$AM$7:$AM$1843,AM791,$BW$7:$BW$1843,"&lt;="&amp;BW791),"")</f>
        <v>3715.58836996337</v>
      </c>
      <c r="AO791" s="58" t="n">
        <f aca="false">IF(AN791="",0,MAX(0,MIN(1,(IF(CF791="L1",Parameter!$H$5,IF(CF791="L23",Parameter!$H$6+Parameter!$H$7,Parameter!$H$5+Parameter!$H$6+Parameter!$H$7))-(AN791-AI791))/AI791)))</f>
        <v>1</v>
      </c>
      <c r="AP791" s="50" t="n">
        <f aca="false">IF(LEFT(Cockpit!$I$5,1)="A",H791,IF(Parameter!$E$30="MAX-Bestand",IF(CH791=1,CI791,IF(LEFT(Cockpit!$I$5,1)="B",AV791,MAX(AV791,H791))),ROUNDUP(AT791,0)))</f>
        <v>62</v>
      </c>
      <c r="AQ791" s="50" t="n">
        <f aca="false">IF(BZ791=1,0,ROUNDUP(AP791/BY791,0))</f>
        <v>1</v>
      </c>
      <c r="AR791" s="52" t="n">
        <f aca="false">IF(CQ791&gt;0,CQ791*MAX(1,AP791/X791),IF(BZ791=1,IF(AP791&lt;=0,0,CD791*MAX(1,IF(H791&gt;0,AP791/H791,1))),IF(R791&gt;0,AQ791/R791,0))/MAX(0.1,N(Parameter!$M$21)))</f>
        <v>0.00714285714285714</v>
      </c>
      <c r="AS791" s="50" t="n">
        <f aca="false">AR791*CB791</f>
        <v>1.10714285714286</v>
      </c>
      <c r="AT791" s="51" t="n">
        <f aca="false">IF(LEFT(Cockpit!$I$5,1)="A",H791,IF(CH791=1,(CK791+CI791)/2,IF(LEFT(Cockpit!$I$5,1)="B",(CK791+AV791)/2,MAX((CK791+AV791)/2,H791))))</f>
        <v>62</v>
      </c>
      <c r="AU791" s="50" t="n">
        <f aca="false">AT791*G791</f>
        <v>11.78</v>
      </c>
      <c r="AV791" s="50" t="n">
        <f aca="false">ROUNDUP(CK791+MAX(CL791,2*(J791/IF(CG791&gt;0,CG791,MAX(0.1,N(Cockpit!$I$6)))-CK791)),0)</f>
        <v>5</v>
      </c>
      <c r="AW791" s="51" t="n">
        <f aca="false">IF(AS791&gt;0,J791/AS791,-1)</f>
        <v>5.41935483870968</v>
      </c>
      <c r="AX791" s="51" t="n">
        <f aca="false">IF(AND(OR(CF791="L1",CF791="L23",CF791="LIFT"),AS791&gt;0),SUMIFS($AS$7:$AS$1843,$CF$7:$CF$1843,CF791,$AW$7:$AW$1843,"&gt;"&amp;AW791)+SUMIFS($AS$7:$AS$1843,$CF$7:$CF$1843,CF791,$AW$7:$AW$1843,AW791,$BW$7:$BW$1843,"&lt;="&amp;BW791),"")</f>
        <v>4369.32921245421</v>
      </c>
      <c r="AY791" s="58" t="n">
        <f aca="false">IF(AX791="",0,MAX(0,MIN(1,(IF(CF791="L1",Parameter!$H$5,IF(CF791="L23",Parameter!$H$6+Parameter!$H$7,Parameter!$H$5+Parameter!$H$6+Parameter!$H$7))-(AX791-AS791))/AS791)))</f>
        <v>1</v>
      </c>
      <c r="AZ791" s="50" t="n">
        <f aca="false">IF(LEFT(Cockpit!$O$5,1)="A",H791,IF(Parameter!$E$30="MAX-Bestand",IF(CH791=1,CI791,IF(LEFT(Cockpit!$O$5,1)="B",BF791,MAX(BF791,H791))),ROUNDUP(BD791,0)))</f>
        <v>3</v>
      </c>
      <c r="BA791" s="50" t="n">
        <f aca="false">IF(BZ791=1,0,ROUNDUP(AZ791/BY791,0))</f>
        <v>1</v>
      </c>
      <c r="BB791" s="52" t="n">
        <f aca="false">IF(CQ791&gt;0,CQ791*MAX(1,AZ791/X791),IF(BZ791=1,IF(AZ791&lt;=0,0,CD791*MAX(1,IF(H791&gt;0,AZ791/H791,1))),IF(R791&gt;0,BA791/R791,0))/MAX(0.1,N(Parameter!$M$21)))</f>
        <v>0.00714285714285714</v>
      </c>
      <c r="BC791" s="50" t="n">
        <f aca="false">BB791*CB791</f>
        <v>1.10714285714286</v>
      </c>
      <c r="BD791" s="51" t="n">
        <f aca="false">IF(LEFT(Cockpit!$O$5,1)="A",H791,IF(CH791=1,(CK791+CI791)/2,IF(LEFT(Cockpit!$O$5,1)="B",(CK791+BF791)/2,MAX((CK791+BF791)/2,H791))))</f>
        <v>2.5</v>
      </c>
      <c r="BE791" s="50" t="n">
        <f aca="false">BD791*G791</f>
        <v>0.475</v>
      </c>
      <c r="BF791" s="50" t="n">
        <f aca="false">ROUNDUP(CK791+MAX(CL791,2*(J791/IF(CG791&gt;0,CG791,MAX(0.1,N(Cockpit!$O$6)))-CK791)),0)</f>
        <v>5</v>
      </c>
      <c r="BG791" s="51" t="n">
        <f aca="false">IF(BC791&gt;0,J791/BC791,-1)</f>
        <v>5.41935483870968</v>
      </c>
      <c r="BH791" s="51" t="n">
        <f aca="false">IF(AND(OR(CF791="L1",CF791="L23",CF791="LIFT"),BC791&gt;0),SUMIFS($BC$7:$BC$1843,$CF$7:$CF$1843,CF791,$BG$7:$BG$1843,"&gt;"&amp;BG791)+SUMIFS($BC$7:$BC$1843,$CF$7:$CF$1843,CF791,$BG$7:$BG$1843,BG791,$BW$7:$BW$1843,"&lt;="&amp;BW791),"")</f>
        <v>3683.85119047619</v>
      </c>
      <c r="BI791" s="58" t="n">
        <f aca="false">IF(BH791="",0,MAX(0,MIN(1,(IF(CF791="L1",Parameter!$H$5,IF(CF791="L23",Parameter!$H$6+Parameter!$H$7,Parameter!$H$5+Parameter!$H$6+Parameter!$H$7))-(BH791-BC791))/BC791)))</f>
        <v>1</v>
      </c>
      <c r="BJ791" s="48" t="str">
        <f aca="false">IF(AI791&lt;=0,"",IF(CF791="Aussen","Aussenlager",IF(CF791="-","Nicht im Lift",IF(AO791&gt;=1,"Lift",IF(AO791&lt;=0,"Aussenlager","teilweise")))))</f>
        <v>Lift</v>
      </c>
      <c r="BK791" s="48" t="str">
        <f aca="false">IF(AS791&lt;=0,"",IF(CF791="Aussen","Aussenlager",IF(CF791="-","Nicht im Lift",IF(AY791&gt;=1,"Lift",IF(AY791&lt;=0,"Aussenlager","teilweise")))))</f>
        <v>Lift</v>
      </c>
      <c r="BL791" s="48" t="str">
        <f aca="false">IF(BC791&lt;=0,"",IF(CF791="Aussen","Aussenlager",IF(CF791="-","Nicht im Lift",IF(BI791&gt;=1,"Lift",IF(BI791&lt;=0,"Aussenlager","teilweise")))))</f>
        <v>Lift</v>
      </c>
      <c r="BM791" s="48" t="str">
        <f aca="false">IF(A791="","",IF(BV791=1,"Neu; ","")&amp;IF(AND(BV791=0,BQ791&lt;0),"negativer Bestand (Export "&amp;BQ791&amp;"); ","")&amp;IF(J791&lt;=0,"Kein Verbrauch; ","")&amp;IF(CQ791&gt;0,"Lift "&amp;W791&amp;" lt. Liftbericht (Fach "&amp;X791&amp;" Stk); ",IF(CA791=1,"Gebinde geschätzt ("&amp;T791&amp;"); ",IF(BZ791=1,"Lose – Tablare geschätzt; ","")))&amp;IF(H791&gt;AV791,"Überbestand "&amp;ROUND(H791-AV791,0)&amp;" Stk / CHF "&amp;ROUND((H791-AV791)*G791,0)&amp;"; ","")&amp;IF(AND(CH791=1,CI791&lt;CJ791),"MAX &lt; MB+LG; ","")&amp;IF(AND(CP791&gt;0,CO791*10&gt;CP791),"zu hoch für Tablar; ","")&amp;IF(AND(BV791=0,OR(CH791=1,AA791&lt;&gt;"",U791&lt;&gt;"",V791&lt;&gt;"",AB791&lt;&gt;"")),"manuell übersteuert; ","")&amp;IF(AND(BZ791=0,R791=0),"Gebinde unbekannt / Stellmass fehlt; ","")&amp;IF(AND(BZ791=0,N(V791)&lt;=0,N(Q791)&lt;=0),"Menge pro Gebinde fehlt (Ist = 1 Gebinde); ","")&amp;BU791)</f>
        <v>negativer Bestand (Export -17); Überbestand 57 Stk / CHF 11; Überbestand</v>
      </c>
      <c r="BN791" s="48"/>
      <c r="BO791" s="48"/>
      <c r="BP791" s="55"/>
      <c r="BQ791" s="50" t="n">
        <v>-17</v>
      </c>
      <c r="BR791" s="50" t="n">
        <v>79</v>
      </c>
      <c r="BS791" s="49" t="n">
        <v>-3.23</v>
      </c>
      <c r="BT791" s="50" t="n">
        <v>6</v>
      </c>
      <c r="BU791" s="48" t="s">
        <v>401</v>
      </c>
      <c r="BV791" s="53" t="n">
        <v>0</v>
      </c>
      <c r="BW791" s="53" t="n">
        <v>791</v>
      </c>
      <c r="BX791" s="48" t="str">
        <f aca="false">IF(U791&lt;&gt;"",UPPER(TRIM(U791)),IF(CA791=1,UPPER(VLOOKUP(T791,Parameter!$I$27:$K$29,2,0)),IF(P791="","LOSE",P791)))</f>
        <v>S22</v>
      </c>
      <c r="BY791" s="50" t="n">
        <f aca="false">IF(BX791="LOSE",1,IF(N(V791)&gt;0,V791,IF(CA791=1,MAX(1,N(VLOOKUP(T791,Parameter!$I$27:$K$29,3,0)),H791,N(N791)),IF(N(Q791)&gt;0,Q791,MAX(1,H791)))))</f>
        <v>93</v>
      </c>
      <c r="BZ791" s="53" t="n">
        <f aca="false">IF(BX791="LOSE",1,0)</f>
        <v>0</v>
      </c>
      <c r="CA791" s="53" t="n">
        <f aca="false">IF(AND(U791="",OR(P791="",P791="LOSE"),T791&lt;&gt;"",N(S791)&lt;=0,ISNUMBER(MATCH(T791,Parameter!$I$27:$I$29,0))),1,0)</f>
        <v>0</v>
      </c>
      <c r="CB791" s="53" t="n">
        <f aca="false">IF(CQ791&gt;0,INDEX(Parameter!$H$5:$H$7,W791)/INDEX(Parameter!$E$5:$E$7,W791),IF(AND(BZ791=0,N(IFERROR(VLOOKUP(BX791,'Gebinde-Kategorie'!$A$5:$N$45,14,0),0))&gt;0),VLOOKUP(BX791,'Gebinde-Kategorie'!$A$5:$N$45,14,0)*10+Parameter!$M$23,Parameter!$M$24))</f>
        <v>155</v>
      </c>
      <c r="CC791" s="48" t="str">
        <f aca="false">IF(AND(Parameter!$B$19="Ja",E791&lt;&gt;"",ISNUMBER(MATCH(E791,Parameter!$I$35:$I$52,0))),VLOOKUP(E791,Parameter!$I$35:$J$52,2,0),IFERROR(VLOOKUP(D791,Parameter!$A$35:$C$64,2,0),"Nein"))</f>
        <v>2+3</v>
      </c>
      <c r="CD791" s="52" t="n">
        <f aca="false">IF(BZ791=0,0,IF(N(S791)&gt;0,S791,IFERROR(VLOOKUP(D791,Parameter!$A$35:$C$64,3,0)+0,0)))</f>
        <v>0</v>
      </c>
      <c r="CE791" s="48" t="n">
        <f aca="false">IF(AA791&lt;&gt;"",AA791,Z791)</f>
        <v>3</v>
      </c>
      <c r="CF791" s="48" t="str">
        <f aca="false">IF(OR(CE791=1,CE791=2,CE791=3),IF(Parameter!$E$27="Ja","LIFT",IF(CE791=1,"L1","L23")),IF(CE791="Aussen","Aussen","-"))</f>
        <v>LIFT</v>
      </c>
      <c r="CG791" s="59" t="n">
        <f aca="false">IF(N(AB791)&gt;0,AB791,0)</f>
        <v>0</v>
      </c>
      <c r="CH791" s="53" t="n">
        <f aca="false">IF(ISNUMBER(AE791),1,0)</f>
        <v>0</v>
      </c>
      <c r="CI791" s="50" t="n">
        <f aca="false">N(AE791)</f>
        <v>0</v>
      </c>
      <c r="CJ791" s="50" t="n">
        <f aca="false">N(M791)+N(N791)</f>
        <v>5</v>
      </c>
      <c r="CK791" s="50" t="n">
        <f aca="false">N(M791)</f>
        <v>0</v>
      </c>
      <c r="CL791" s="50" t="n">
        <f aca="false">N(N791)</f>
        <v>5</v>
      </c>
      <c r="CM791" s="50" t="n">
        <f aca="false">ROUNDUP(H791/BY791,0)</f>
        <v>1</v>
      </c>
      <c r="CN791" s="50" t="n">
        <f aca="false">ROUNDUP(CI791/BY791,0)</f>
        <v>0</v>
      </c>
      <c r="CO791" s="53" t="n">
        <f aca="false">IF(BZ791=1,0,IFERROR(VLOOKUP(BX791,'Gebinde-Kategorie'!$A$5:$N$45,5,0)+0,0))</f>
        <v>8</v>
      </c>
      <c r="CP791" s="53" t="n">
        <f aca="false">IFERROR(IF(OR(CE791=1,CE791=2,CE791=3),N(INDEX(Parameter!$I$5:$I$7,CE791)),0),0)</f>
        <v>0</v>
      </c>
      <c r="CQ791" s="52" t="n">
        <f aca="false">IF(AND(Parameter!$B$21="Ja",ISNUMBER(W791),N(X791)&gt;0),IFERROR(N(INDEX(Parameter!$L$5:$L$7,W791))*INDEX(Parameter!$E$5:$E$7,W791)*X791/SUMIFS($X$7:$X$1843,$W$7:$W$1843,W791),0),0)</f>
        <v>0</v>
      </c>
    </row>
    <row r="792" customFormat="false" ht="15" hidden="false" customHeight="false" outlineLevel="0" collapsed="false">
      <c r="A792" s="48" t="s">
        <v>1550</v>
      </c>
      <c r="B792" s="48" t="s">
        <v>1551</v>
      </c>
      <c r="C792" s="48" t="s">
        <v>173</v>
      </c>
      <c r="D792" s="48" t="s">
        <v>182</v>
      </c>
      <c r="E792" s="48"/>
      <c r="F792" s="48" t="s">
        <v>227</v>
      </c>
      <c r="G792" s="49" t="n">
        <v>3.45</v>
      </c>
      <c r="H792" s="50" t="n">
        <f aca="false">MAX(0,IF(AND(Parameter!$B$21="Ja",ISNUMBER(Y792)),Y792,IF(Parameter!$B$20="Jahresanfang 2025 + Export",BR792+BQ792,BQ792)))</f>
        <v>18</v>
      </c>
      <c r="I792" s="50" t="n">
        <f aca="false">H792*G792</f>
        <v>62.1</v>
      </c>
      <c r="J792" s="50" t="n">
        <f aca="false">BT792*Parameter!$B$18</f>
        <v>0</v>
      </c>
      <c r="K792" s="51" t="n">
        <v>18.5</v>
      </c>
      <c r="L792" s="52" t="n">
        <v>0</v>
      </c>
      <c r="M792" s="50" t="n">
        <v>0</v>
      </c>
      <c r="N792" s="50" t="n">
        <v>1</v>
      </c>
      <c r="O792" s="53" t="n">
        <v>35</v>
      </c>
      <c r="P792" s="48" t="s">
        <v>430</v>
      </c>
      <c r="Q792" s="50" t="n">
        <v>20</v>
      </c>
      <c r="R792" s="53" t="n">
        <f aca="false">IF(BZ792=1,0,IFERROR(VLOOKUP(BX792,'Gebinde-Kategorie'!$A$5:$N$45,13,0)+0,0))</f>
        <v>104</v>
      </c>
      <c r="S792" s="54"/>
      <c r="T792" s="55"/>
      <c r="U792" s="55"/>
      <c r="V792" s="55"/>
      <c r="W792" s="48"/>
      <c r="X792" s="50"/>
      <c r="Y792" s="50"/>
      <c r="Z792" s="48" t="n">
        <f aca="false">IF(A792="","",IF(AND(Parameter!$B$21="Ja",ISNUMBER(W792)),W792,IF(CC792="2+3",IF(ISNUMBER(SEARCH("grosser Artikel",BU792)),2,IFERROR(VLOOKUP(BX792,Parameter!$F$35:$G$64,2,0),2)),IF(OR(CC792="Nein",CC792=""),"-",CC792))))</f>
        <v>3</v>
      </c>
      <c r="AA792" s="55"/>
      <c r="AB792" s="56"/>
      <c r="AC792" s="50" t="n">
        <f aca="false">AV792</f>
        <v>1</v>
      </c>
      <c r="AD792" s="50" t="n">
        <f aca="false">MAX(AV792,H792)</f>
        <v>18</v>
      </c>
      <c r="AE792" s="57"/>
      <c r="AF792" s="50" t="n">
        <f aca="false">IF(LEFT(Cockpit!$C$5,1)="A",H792,IF(Parameter!$E$30="MAX-Bestand",IF(CH792=1,CI792,IF(LEFT(Cockpit!$C$5,1)="B",AL792,MAX(AL792,H792))),ROUNDUP(AJ792,0)))</f>
        <v>18</v>
      </c>
      <c r="AG792" s="50" t="n">
        <f aca="false">IF(BZ792=1,0,ROUNDUP(AF792/BY792,0))</f>
        <v>1</v>
      </c>
      <c r="AH792" s="52" t="n">
        <f aca="false">IF(CQ792&gt;0,CQ792*MAX(1,AF792/X792),IF(BZ792=1,IF(AF792&lt;=0,0,CD792*MAX(1,IF(H792&gt;0,AF792/H792,1))),IF(R792&gt;0,AG792/R792,0))/MAX(0.1,N(Parameter!$M$21)))</f>
        <v>0.00961538461538462</v>
      </c>
      <c r="AI792" s="50" t="n">
        <f aca="false">AH792*CB792</f>
        <v>1.49038461538462</v>
      </c>
      <c r="AJ792" s="51" t="n">
        <f aca="false">IF(LEFT(Cockpit!$C$5,1)="A",H792,IF(CH792=1,(CK792+CI792)/2,IF(LEFT(Cockpit!$C$5,1)="B",(CK792+AL792)/2,MAX((CK792+AL792)/2,H792))))</f>
        <v>18</v>
      </c>
      <c r="AK792" s="50" t="n">
        <f aca="false">AJ792*G792</f>
        <v>62.1</v>
      </c>
      <c r="AL792" s="50" t="n">
        <f aca="false">ROUNDUP(CK792+MAX(CL792,2*(J792/IF(CG792&gt;0,CG792,MAX(0.1,N(Cockpit!$C$6)))-CK792)),0)</f>
        <v>1</v>
      </c>
      <c r="AM792" s="51" t="n">
        <f aca="false">IF(AI792&gt;0,J792/AI792,-1)</f>
        <v>0</v>
      </c>
      <c r="AN792" s="51" t="n">
        <f aca="false">IF(AND(OR(CF792="L1",CF792="L23",CF792="LIFT"),AI792&gt;0),SUMIFS($AI$7:$AI$1843,$CF$7:$CF$1843,CF792,$AM$7:$AM$1843,"&gt;"&amp;AM792)+SUMIFS($AI$7:$AI$1843,$CF$7:$CF$1843,CF792,$AM$7:$AM$1843,AM792,$BW$7:$BW$1843,"&lt;="&amp;BW792),"")</f>
        <v>28762.7748934211</v>
      </c>
      <c r="AO792" s="58" t="n">
        <f aca="false">IF(AN792="",0,MAX(0,MIN(1,(IF(CF792="L1",Parameter!$H$5,IF(CF792="L23",Parameter!$H$6+Parameter!$H$7,Parameter!$H$5+Parameter!$H$6+Parameter!$H$7))-(AN792-AI792))/AI792)))</f>
        <v>1</v>
      </c>
      <c r="AP792" s="50" t="n">
        <f aca="false">IF(LEFT(Cockpit!$I$5,1)="A",H792,IF(Parameter!$E$30="MAX-Bestand",IF(CH792=1,CI792,IF(LEFT(Cockpit!$I$5,1)="B",AV792,MAX(AV792,H792))),ROUNDUP(AT792,0)))</f>
        <v>18</v>
      </c>
      <c r="AQ792" s="50" t="n">
        <f aca="false">IF(BZ792=1,0,ROUNDUP(AP792/BY792,0))</f>
        <v>1</v>
      </c>
      <c r="AR792" s="52" t="n">
        <f aca="false">IF(CQ792&gt;0,CQ792*MAX(1,AP792/X792),IF(BZ792=1,IF(AP792&lt;=0,0,CD792*MAX(1,IF(H792&gt;0,AP792/H792,1))),IF(R792&gt;0,AQ792/R792,0))/MAX(0.1,N(Parameter!$M$21)))</f>
        <v>0.00961538461538462</v>
      </c>
      <c r="AS792" s="50" t="n">
        <f aca="false">AR792*CB792</f>
        <v>1.49038461538462</v>
      </c>
      <c r="AT792" s="51" t="n">
        <f aca="false">IF(LEFT(Cockpit!$I$5,1)="A",H792,IF(CH792=1,(CK792+CI792)/2,IF(LEFT(Cockpit!$I$5,1)="B",(CK792+AV792)/2,MAX((CK792+AV792)/2,H792))))</f>
        <v>18</v>
      </c>
      <c r="AU792" s="50" t="n">
        <f aca="false">AT792*G792</f>
        <v>62.1</v>
      </c>
      <c r="AV792" s="50" t="n">
        <f aca="false">ROUNDUP(CK792+MAX(CL792,2*(J792/IF(CG792&gt;0,CG792,MAX(0.1,N(Cockpit!$I$6)))-CK792)),0)</f>
        <v>1</v>
      </c>
      <c r="AW792" s="51" t="n">
        <f aca="false">IF(AS792&gt;0,J792/AS792,-1)</f>
        <v>0</v>
      </c>
      <c r="AX792" s="51" t="n">
        <f aca="false">IF(AND(OR(CF792="L1",CF792="L23",CF792="LIFT"),AS792&gt;0),SUMIFS($AS$7:$AS$1843,$CF$7:$CF$1843,CF792,$AW$7:$AW$1843,"&gt;"&amp;AW792)+SUMIFS($AS$7:$AS$1843,$CF$7:$CF$1843,CF792,$AW$7:$AW$1843,AW792,$BW$7:$BW$1843,"&lt;="&amp;BW792),"")</f>
        <v>34367.5581501832</v>
      </c>
      <c r="AY792" s="58" t="n">
        <f aca="false">IF(AX792="",0,MAX(0,MIN(1,(IF(CF792="L1",Parameter!$H$5,IF(CF792="L23",Parameter!$H$6+Parameter!$H$7,Parameter!$H$5+Parameter!$H$6+Parameter!$H$7))-(AX792-AS792))/AS792)))</f>
        <v>1</v>
      </c>
      <c r="AZ792" s="50" t="n">
        <f aca="false">IF(LEFT(Cockpit!$O$5,1)="A",H792,IF(Parameter!$E$30="MAX-Bestand",IF(CH792=1,CI792,IF(LEFT(Cockpit!$O$5,1)="B",BF792,MAX(BF792,H792))),ROUNDUP(BD792,0)))</f>
        <v>1</v>
      </c>
      <c r="BA792" s="50" t="n">
        <f aca="false">IF(BZ792=1,0,ROUNDUP(AZ792/BY792,0))</f>
        <v>1</v>
      </c>
      <c r="BB792" s="52" t="n">
        <f aca="false">IF(CQ792&gt;0,CQ792*MAX(1,AZ792/X792),IF(BZ792=1,IF(AZ792&lt;=0,0,CD792*MAX(1,IF(H792&gt;0,AZ792/H792,1))),IF(R792&gt;0,BA792/R792,0))/MAX(0.1,N(Parameter!$M$21)))</f>
        <v>0.00961538461538462</v>
      </c>
      <c r="BC792" s="50" t="n">
        <f aca="false">BB792*CB792</f>
        <v>1.49038461538462</v>
      </c>
      <c r="BD792" s="51" t="n">
        <f aca="false">IF(LEFT(Cockpit!$O$5,1)="A",H792,IF(CH792=1,(CK792+CI792)/2,IF(LEFT(Cockpit!$O$5,1)="B",(CK792+BF792)/2,MAX((CK792+BF792)/2,H792))))</f>
        <v>0.5</v>
      </c>
      <c r="BE792" s="50" t="n">
        <f aca="false">BD792*G792</f>
        <v>1.725</v>
      </c>
      <c r="BF792" s="50" t="n">
        <f aca="false">ROUNDUP(CK792+MAX(CL792,2*(J792/IF(CG792&gt;0,CG792,MAX(0.1,N(Cockpit!$O$6)))-CK792)),0)</f>
        <v>1</v>
      </c>
      <c r="BG792" s="51" t="n">
        <f aca="false">IF(BC792&gt;0,J792/BC792,-1)</f>
        <v>0</v>
      </c>
      <c r="BH792" s="51" t="n">
        <f aca="false">IF(AND(OR(CF792="L1",CF792="L23",CF792="LIFT"),BC792&gt;0),SUMIFS($BC$7:$BC$1843,$CF$7:$CF$1843,CF792,$BG$7:$BG$1843,"&gt;"&amp;BG792)+SUMIFS($BC$7:$BC$1843,$CF$7:$CF$1843,CF792,$BG$7:$BG$1843,BG792,$BW$7:$BW$1843,"&lt;="&amp;BW792),"")</f>
        <v>28411.4279971441</v>
      </c>
      <c r="BI792" s="58" t="n">
        <f aca="false">IF(BH792="",0,MAX(0,MIN(1,(IF(CF792="L1",Parameter!$H$5,IF(CF792="L23",Parameter!$H$6+Parameter!$H$7,Parameter!$H$5+Parameter!$H$6+Parameter!$H$7))-(BH792-BC792))/BC792)))</f>
        <v>1</v>
      </c>
      <c r="BJ792" s="48" t="str">
        <f aca="false">IF(AI792&lt;=0,"",IF(CF792="Aussen","Aussenlager",IF(CF792="-","Nicht im Lift",IF(AO792&gt;=1,"Lift",IF(AO792&lt;=0,"Aussenlager","teilweise")))))</f>
        <v>Lift</v>
      </c>
      <c r="BK792" s="48" t="str">
        <f aca="false">IF(AS792&lt;=0,"",IF(CF792="Aussen","Aussenlager",IF(CF792="-","Nicht im Lift",IF(AY792&gt;=1,"Lift",IF(AY792&lt;=0,"Aussenlager","teilweise")))))</f>
        <v>Lift</v>
      </c>
      <c r="BL792" s="48" t="str">
        <f aca="false">IF(BC792&lt;=0,"",IF(CF792="Aussen","Aussenlager",IF(CF792="-","Nicht im Lift",IF(BI792&gt;=1,"Lift",IF(BI792&lt;=0,"Aussenlager","teilweise")))))</f>
        <v>Lift</v>
      </c>
      <c r="BM792" s="48" t="str">
        <f aca="false">IF(A792="","",IF(BV792=1,"Neu; ","")&amp;IF(AND(BV792=0,BQ792&lt;0),"negativer Bestand (Export "&amp;BQ792&amp;"); ","")&amp;IF(J792&lt;=0,"Kein Verbrauch; ","")&amp;IF(CQ792&gt;0,"Lift "&amp;W792&amp;" lt. Liftbericht (Fach "&amp;X792&amp;" Stk); ",IF(CA792=1,"Gebinde geschätzt ("&amp;T792&amp;"); ",IF(BZ792=1,"Lose – Tablare geschätzt; ","")))&amp;IF(H792&gt;AV792,"Überbestand "&amp;ROUND(H792-AV792,0)&amp;" Stk / CHF "&amp;ROUND((H792-AV792)*G792,0)&amp;"; ","")&amp;IF(AND(CH792=1,CI792&lt;CJ792),"MAX &lt; MB+LG; ","")&amp;IF(AND(CP792&gt;0,CO792*10&gt;CP792),"zu hoch für Tablar; ","")&amp;IF(AND(BV792=0,OR(CH792=1,AA792&lt;&gt;"",U792&lt;&gt;"",V792&lt;&gt;"",AB792&lt;&gt;"")),"manuell übersteuert; ","")&amp;IF(AND(BZ792=0,R792=0),"Gebinde unbekannt / Stellmass fehlt; ","")&amp;IF(AND(BZ792=0,N(V792)&lt;=0,N(Q792)&lt;=0),"Menge pro Gebinde fehlt (Ist = 1 Gebinde); ","")&amp;BU792)</f>
        <v>negativer Bestand (Export -1); Kein Verbrauch; Überbestand 17 Stk / CHF 59; Neuer Art.</v>
      </c>
      <c r="BN792" s="48"/>
      <c r="BO792" s="48"/>
      <c r="BP792" s="55"/>
      <c r="BQ792" s="50" t="n">
        <v>-1</v>
      </c>
      <c r="BR792" s="50" t="n">
        <v>19</v>
      </c>
      <c r="BS792" s="49" t="n">
        <v>-3.45</v>
      </c>
      <c r="BT792" s="50" t="n">
        <v>0</v>
      </c>
      <c r="BU792" s="48" t="s">
        <v>521</v>
      </c>
      <c r="BV792" s="53" t="n">
        <v>0</v>
      </c>
      <c r="BW792" s="53" t="n">
        <v>792</v>
      </c>
      <c r="BX792" s="48" t="str">
        <f aca="false">IF(U792&lt;&gt;"",UPPER(TRIM(U792)),IF(CA792=1,UPPER(VLOOKUP(T792,Parameter!$I$27:$K$29,2,0)),IF(P792="","LOSE",P792)))</f>
        <v>S32</v>
      </c>
      <c r="BY792" s="50" t="n">
        <f aca="false">IF(BX792="LOSE",1,IF(N(V792)&gt;0,V792,IF(CA792=1,MAX(1,N(VLOOKUP(T792,Parameter!$I$27:$K$29,3,0)),H792,N(N792)),IF(N(Q792)&gt;0,Q792,MAX(1,H792)))))</f>
        <v>20</v>
      </c>
      <c r="BZ792" s="53" t="n">
        <f aca="false">IF(BX792="LOSE",1,0)</f>
        <v>0</v>
      </c>
      <c r="CA792" s="53" t="n">
        <f aca="false">IF(AND(U792="",OR(P792="",P792="LOSE"),T792&lt;&gt;"",N(S792)&lt;=0,ISNUMBER(MATCH(T792,Parameter!$I$27:$I$29,0))),1,0)</f>
        <v>0</v>
      </c>
      <c r="CB792" s="53" t="n">
        <f aca="false">IF(CQ792&gt;0,INDEX(Parameter!$H$5:$H$7,W792)/INDEX(Parameter!$E$5:$E$7,W792),IF(AND(BZ792=0,N(IFERROR(VLOOKUP(BX792,'Gebinde-Kategorie'!$A$5:$N$45,14,0),0))&gt;0),VLOOKUP(BX792,'Gebinde-Kategorie'!$A$5:$N$45,14,0)*10+Parameter!$M$23,Parameter!$M$24))</f>
        <v>155</v>
      </c>
      <c r="CC792" s="48" t="str">
        <f aca="false">IF(AND(Parameter!$B$19="Ja",E792&lt;&gt;"",ISNUMBER(MATCH(E792,Parameter!$I$35:$I$52,0))),VLOOKUP(E792,Parameter!$I$35:$J$52,2,0),IFERROR(VLOOKUP(D792,Parameter!$A$35:$C$64,2,0),"Nein"))</f>
        <v>2+3</v>
      </c>
      <c r="CD792" s="52" t="n">
        <f aca="false">IF(BZ792=0,0,IF(N(S792)&gt;0,S792,IFERROR(VLOOKUP(D792,Parameter!$A$35:$C$64,3,0)+0,0)))</f>
        <v>0</v>
      </c>
      <c r="CE792" s="48" t="n">
        <f aca="false">IF(AA792&lt;&gt;"",AA792,Z792)</f>
        <v>3</v>
      </c>
      <c r="CF792" s="48" t="str">
        <f aca="false">IF(OR(CE792=1,CE792=2,CE792=3),IF(Parameter!$E$27="Ja","LIFT",IF(CE792=1,"L1","L23")),IF(CE792="Aussen","Aussen","-"))</f>
        <v>LIFT</v>
      </c>
      <c r="CG792" s="59" t="n">
        <f aca="false">IF(N(AB792)&gt;0,AB792,0)</f>
        <v>0</v>
      </c>
      <c r="CH792" s="53" t="n">
        <f aca="false">IF(ISNUMBER(AE792),1,0)</f>
        <v>0</v>
      </c>
      <c r="CI792" s="50" t="n">
        <f aca="false">N(AE792)</f>
        <v>0</v>
      </c>
      <c r="CJ792" s="50" t="n">
        <f aca="false">N(M792)+N(N792)</f>
        <v>1</v>
      </c>
      <c r="CK792" s="50" t="n">
        <f aca="false">N(M792)</f>
        <v>0</v>
      </c>
      <c r="CL792" s="50" t="n">
        <f aca="false">N(N792)</f>
        <v>1</v>
      </c>
      <c r="CM792" s="50" t="n">
        <f aca="false">ROUNDUP(H792/BY792,0)</f>
        <v>1</v>
      </c>
      <c r="CN792" s="50" t="n">
        <f aca="false">ROUNDUP(CI792/BY792,0)</f>
        <v>0</v>
      </c>
      <c r="CO792" s="53" t="n">
        <f aca="false">IF(BZ792=1,0,IFERROR(VLOOKUP(BX792,'Gebinde-Kategorie'!$A$5:$N$45,5,0)+0,0))</f>
        <v>8</v>
      </c>
      <c r="CP792" s="53" t="n">
        <f aca="false">IFERROR(IF(OR(CE792=1,CE792=2,CE792=3),N(INDEX(Parameter!$I$5:$I$7,CE792)),0),0)</f>
        <v>0</v>
      </c>
      <c r="CQ792" s="52" t="n">
        <f aca="false">IF(AND(Parameter!$B$21="Ja",ISNUMBER(W792),N(X792)&gt;0),IFERROR(N(INDEX(Parameter!$L$5:$L$7,W792))*INDEX(Parameter!$E$5:$E$7,W792)*X792/SUMIFS($X$7:$X$1843,$W$7:$W$1843,W792),0),0)</f>
        <v>0</v>
      </c>
    </row>
    <row r="793" customFormat="false" ht="15" hidden="false" customHeight="false" outlineLevel="0" collapsed="false">
      <c r="A793" s="48" t="s">
        <v>1552</v>
      </c>
      <c r="B793" s="48" t="s">
        <v>1553</v>
      </c>
      <c r="C793" s="48" t="s">
        <v>173</v>
      </c>
      <c r="D793" s="48" t="s">
        <v>193</v>
      </c>
      <c r="E793" s="48" t="s">
        <v>194</v>
      </c>
      <c r="F793" s="48" t="s">
        <v>227</v>
      </c>
      <c r="G793" s="49" t="n">
        <v>0.01</v>
      </c>
      <c r="H793" s="50" t="n">
        <f aca="false">MAX(0,IF(AND(Parameter!$B$21="Ja",ISNUMBER(Y793)),Y793,IF(Parameter!$B$20="Jahresanfang 2025 + Export",BR793+BQ793,BQ793)))</f>
        <v>4329</v>
      </c>
      <c r="I793" s="50" t="n">
        <f aca="false">H793*G793</f>
        <v>43.29</v>
      </c>
      <c r="J793" s="50" t="n">
        <f aca="false">BT793*Parameter!$B$18</f>
        <v>9801</v>
      </c>
      <c r="K793" s="51" t="n">
        <v>3164.5</v>
      </c>
      <c r="L793" s="52" t="n">
        <v>3.09717174909148</v>
      </c>
      <c r="M793" s="50" t="n">
        <v>571</v>
      </c>
      <c r="N793" s="50" t="n">
        <v>9800</v>
      </c>
      <c r="O793" s="53" t="n">
        <v>21</v>
      </c>
      <c r="P793" s="48" t="s">
        <v>311</v>
      </c>
      <c r="Q793" s="50" t="n">
        <v>4394</v>
      </c>
      <c r="R793" s="53" t="n">
        <f aca="false">IF(BZ793=1,0,IFERROR(VLOOKUP(BX793,'Gebinde-Kategorie'!$A$5:$N$45,13,0)+0,0))</f>
        <v>26</v>
      </c>
      <c r="S793" s="54"/>
      <c r="T793" s="55"/>
      <c r="U793" s="55"/>
      <c r="V793" s="55"/>
      <c r="W793" s="48"/>
      <c r="X793" s="50"/>
      <c r="Y793" s="50"/>
      <c r="Z793" s="48" t="n">
        <f aca="false">IF(A793="","",IF(AND(Parameter!$B$21="Ja",ISNUMBER(W793)),W793,IF(CC793="2+3",IF(ISNUMBER(SEARCH("grosser Artikel",BU793)),2,IFERROR(VLOOKUP(BX793,Parameter!$F$35:$G$64,2,0),2)),IF(OR(CC793="Nein",CC793=""),"-",CC793))))</f>
        <v>3</v>
      </c>
      <c r="AA793" s="55"/>
      <c r="AB793" s="56"/>
      <c r="AC793" s="50" t="n">
        <f aca="false">AV793</f>
        <v>10371</v>
      </c>
      <c r="AD793" s="50" t="n">
        <f aca="false">MAX(AV793,H793)</f>
        <v>10371</v>
      </c>
      <c r="AE793" s="57"/>
      <c r="AF793" s="50" t="n">
        <f aca="false">IF(LEFT(Cockpit!$C$5,1)="A",H793,IF(Parameter!$E$30="MAX-Bestand",IF(CH793=1,CI793,IF(LEFT(Cockpit!$C$5,1)="B",AL793,MAX(AL793,H793))),ROUNDUP(AJ793,0)))</f>
        <v>4329</v>
      </c>
      <c r="AG793" s="50" t="n">
        <f aca="false">IF(BZ793=1,0,ROUNDUP(AF793/BY793,0))</f>
        <v>1</v>
      </c>
      <c r="AH793" s="52" t="n">
        <f aca="false">IF(CQ793&gt;0,CQ793*MAX(1,AF793/X793),IF(BZ793=1,IF(AF793&lt;=0,0,CD793*MAX(1,IF(H793&gt;0,AF793/H793,1))),IF(R793&gt;0,AG793/R793,0))/MAX(0.1,N(Parameter!$M$21)))</f>
        <v>0.0384615384615385</v>
      </c>
      <c r="AI793" s="50" t="n">
        <f aca="false">AH793*CB793</f>
        <v>5.96153846153846</v>
      </c>
      <c r="AJ793" s="51" t="n">
        <f aca="false">IF(LEFT(Cockpit!$C$5,1)="A",H793,IF(CH793=1,(CK793+CI793)/2,IF(LEFT(Cockpit!$C$5,1)="B",(CK793+AL793)/2,MAX((CK793+AL793)/2,H793))))</f>
        <v>4329</v>
      </c>
      <c r="AK793" s="50" t="n">
        <f aca="false">AJ793*G793</f>
        <v>43.29</v>
      </c>
      <c r="AL793" s="50" t="n">
        <f aca="false">ROUNDUP(CK793+MAX(CL793,2*(J793/IF(CG793&gt;0,CG793,MAX(0.1,N(Cockpit!$C$6)))-CK793)),0)</f>
        <v>10371</v>
      </c>
      <c r="AM793" s="51" t="n">
        <f aca="false">IF(AI793&gt;0,J793/AI793,-1)</f>
        <v>1644.03870967742</v>
      </c>
      <c r="AN793" s="51" t="n">
        <f aca="false">IF(AND(OR(CF793="L1",CF793="L23",CF793="LIFT"),AI793&gt;0),SUMIFS($AI$7:$AI$1843,$CF$7:$CF$1843,CF793,$AM$7:$AM$1843,"&gt;"&amp;AM793)+SUMIFS($AI$7:$AI$1843,$CF$7:$CF$1843,CF793,$AM$7:$AM$1843,AM793,$BW$7:$BW$1843,"&lt;="&amp;BW793),"")</f>
        <v>11.9230769230769</v>
      </c>
      <c r="AO793" s="58" t="n">
        <f aca="false">IF(AN793="",0,MAX(0,MIN(1,(IF(CF793="L1",Parameter!$H$5,IF(CF793="L23",Parameter!$H$6+Parameter!$H$7,Parameter!$H$5+Parameter!$H$6+Parameter!$H$7))-(AN793-AI793))/AI793)))</f>
        <v>1</v>
      </c>
      <c r="AP793" s="50" t="n">
        <f aca="false">IF(LEFT(Cockpit!$I$5,1)="A",H793,IF(Parameter!$E$30="MAX-Bestand",IF(CH793=1,CI793,IF(LEFT(Cockpit!$I$5,1)="B",AV793,MAX(AV793,H793))),ROUNDUP(AT793,0)))</f>
        <v>5471</v>
      </c>
      <c r="AQ793" s="50" t="n">
        <f aca="false">IF(BZ793=1,0,ROUNDUP(AP793/BY793,0))</f>
        <v>2</v>
      </c>
      <c r="AR793" s="52" t="n">
        <f aca="false">IF(CQ793&gt;0,CQ793*MAX(1,AP793/X793),IF(BZ793=1,IF(AP793&lt;=0,0,CD793*MAX(1,IF(H793&gt;0,AP793/H793,1))),IF(R793&gt;0,AQ793/R793,0))/MAX(0.1,N(Parameter!$M$21)))</f>
        <v>0.0769230769230769</v>
      </c>
      <c r="AS793" s="50" t="n">
        <f aca="false">AR793*CB793</f>
        <v>11.9230769230769</v>
      </c>
      <c r="AT793" s="51" t="n">
        <f aca="false">IF(LEFT(Cockpit!$I$5,1)="A",H793,IF(CH793=1,(CK793+CI793)/2,IF(LEFT(Cockpit!$I$5,1)="B",(CK793+AV793)/2,MAX((CK793+AV793)/2,H793))))</f>
        <v>5471</v>
      </c>
      <c r="AU793" s="50" t="n">
        <f aca="false">AT793*G793</f>
        <v>54.71</v>
      </c>
      <c r="AV793" s="50" t="n">
        <f aca="false">ROUNDUP(CK793+MAX(CL793,2*(J793/IF(CG793&gt;0,CG793,MAX(0.1,N(Cockpit!$I$6)))-CK793)),0)</f>
        <v>10371</v>
      </c>
      <c r="AW793" s="51" t="n">
        <f aca="false">IF(AS793&gt;0,J793/AS793,-1)</f>
        <v>822.01935483871</v>
      </c>
      <c r="AX793" s="51" t="n">
        <f aca="false">IF(AND(OR(CF793="L1",CF793="L23",CF793="LIFT"),AS793&gt;0),SUMIFS($AS$7:$AS$1843,$CF$7:$CF$1843,CF793,$AW$7:$AW$1843,"&gt;"&amp;AW793)+SUMIFS($AS$7:$AS$1843,$CF$7:$CF$1843,CF793,$AW$7:$AW$1843,AW793,$BW$7:$BW$1843,"&lt;="&amp;BW793),"")</f>
        <v>27.3804945054945</v>
      </c>
      <c r="AY793" s="58" t="n">
        <f aca="false">IF(AX793="",0,MAX(0,MIN(1,(IF(CF793="L1",Parameter!$H$5,IF(CF793="L23",Parameter!$H$6+Parameter!$H$7,Parameter!$H$5+Parameter!$H$6+Parameter!$H$7))-(AX793-AS793))/AS793)))</f>
        <v>1</v>
      </c>
      <c r="AZ793" s="50" t="n">
        <f aca="false">IF(LEFT(Cockpit!$O$5,1)="A",H793,IF(Parameter!$E$30="MAX-Bestand",IF(CH793=1,CI793,IF(LEFT(Cockpit!$O$5,1)="B",BF793,MAX(BF793,H793))),ROUNDUP(BD793,0)))</f>
        <v>5471</v>
      </c>
      <c r="BA793" s="50" t="n">
        <f aca="false">IF(BZ793=1,0,ROUNDUP(AZ793/BY793,0))</f>
        <v>2</v>
      </c>
      <c r="BB793" s="52" t="n">
        <f aca="false">IF(CQ793&gt;0,CQ793*MAX(1,AZ793/X793),IF(BZ793=1,IF(AZ793&lt;=0,0,CD793*MAX(1,IF(H793&gt;0,AZ793/H793,1))),IF(R793&gt;0,BA793/R793,0))/MAX(0.1,N(Parameter!$M$21)))</f>
        <v>0.0769230769230769</v>
      </c>
      <c r="BC793" s="50" t="n">
        <f aca="false">BB793*CB793</f>
        <v>11.9230769230769</v>
      </c>
      <c r="BD793" s="51" t="n">
        <f aca="false">IF(LEFT(Cockpit!$O$5,1)="A",H793,IF(CH793=1,(CK793+CI793)/2,IF(LEFT(Cockpit!$O$5,1)="B",(CK793+BF793)/2,MAX((CK793+BF793)/2,H793))))</f>
        <v>5471</v>
      </c>
      <c r="BE793" s="50" t="n">
        <f aca="false">BD793*G793</f>
        <v>54.71</v>
      </c>
      <c r="BF793" s="50" t="n">
        <f aca="false">ROUNDUP(CK793+MAX(CL793,2*(J793/IF(CG793&gt;0,CG793,MAX(0.1,N(Cockpit!$O$6)))-CK793)),0)</f>
        <v>10371</v>
      </c>
      <c r="BG793" s="51" t="n">
        <f aca="false">IF(BC793&gt;0,J793/BC793,-1)</f>
        <v>822.01935483871</v>
      </c>
      <c r="BH793" s="51" t="n">
        <f aca="false">IF(AND(OR(CF793="L1",CF793="L23",CF793="LIFT"),BC793&gt;0),SUMIFS($BC$7:$BC$1843,$CF$7:$CF$1843,CF793,$BG$7:$BG$1843,"&gt;"&amp;BG793)+SUMIFS($BC$7:$BC$1843,$CF$7:$CF$1843,CF793,$BG$7:$BG$1843,BG793,$BW$7:$BW$1843,"&lt;="&amp;BW793),"")</f>
        <v>29.4244505494506</v>
      </c>
      <c r="BI793" s="58" t="n">
        <f aca="false">IF(BH793="",0,MAX(0,MIN(1,(IF(CF793="L1",Parameter!$H$5,IF(CF793="L23",Parameter!$H$6+Parameter!$H$7,Parameter!$H$5+Parameter!$H$6+Parameter!$H$7))-(BH793-BC793))/BC793)))</f>
        <v>1</v>
      </c>
      <c r="BJ793" s="48" t="str">
        <f aca="false">IF(AI793&lt;=0,"",IF(CF793="Aussen","Aussenlager",IF(CF793="-","Nicht im Lift",IF(AO793&gt;=1,"Lift",IF(AO793&lt;=0,"Aussenlager","teilweise")))))</f>
        <v>Lift</v>
      </c>
      <c r="BK793" s="48" t="str">
        <f aca="false">IF(AS793&lt;=0,"",IF(CF793="Aussen","Aussenlager",IF(CF793="-","Nicht im Lift",IF(AY793&gt;=1,"Lift",IF(AY793&lt;=0,"Aussenlager","teilweise")))))</f>
        <v>Lift</v>
      </c>
      <c r="BL793" s="48" t="str">
        <f aca="false">IF(BC793&lt;=0,"",IF(CF793="Aussen","Aussenlager",IF(CF793="-","Nicht im Lift",IF(BI793&gt;=1,"Lift",IF(BI793&lt;=0,"Aussenlager","teilweise")))))</f>
        <v>Lift</v>
      </c>
      <c r="BM793" s="48" t="str">
        <f aca="false">IF(A793="","",IF(BV793=1,"Neu; ","")&amp;IF(AND(BV793=0,BQ793&lt;0),"negativer Bestand (Export "&amp;BQ793&amp;"); ","")&amp;IF(J793&lt;=0,"Kein Verbrauch; ","")&amp;IF(CQ793&gt;0,"Lift "&amp;W793&amp;" lt. Liftbericht (Fach "&amp;X793&amp;" Stk); ",IF(CA793=1,"Gebinde geschätzt ("&amp;T793&amp;"); ",IF(BZ793=1,"Lose – Tablare geschätzt; ","")))&amp;IF(H793&gt;AV793,"Überbestand "&amp;ROUND(H793-AV793,0)&amp;" Stk / CHF "&amp;ROUND((H793-AV793)*G793,0)&amp;"; ","")&amp;IF(AND(CH793=1,CI793&lt;CJ793),"MAX &lt; MB+LG; ","")&amp;IF(AND(CP793&gt;0,CO793*10&gt;CP793),"zu hoch für Tablar; ","")&amp;IF(AND(BV793=0,OR(CH793=1,AA793&lt;&gt;"",U793&lt;&gt;"",V793&lt;&gt;"",AB793&lt;&gt;"")),"manuell übersteuert; ","")&amp;IF(AND(BZ793=0,R793=0),"Gebinde unbekannt / Stellmass fehlt; ","")&amp;IF(AND(BZ793=0,N(V793)&lt;=0,N(Q793)&lt;=0),"Menge pro Gebinde fehlt (Ist = 1 Gebinde); ","")&amp;BU793)</f>
        <v/>
      </c>
      <c r="BN793" s="48"/>
      <c r="BO793" s="48"/>
      <c r="BP793" s="55"/>
      <c r="BQ793" s="50" t="n">
        <v>2769</v>
      </c>
      <c r="BR793" s="50" t="n">
        <v>1560</v>
      </c>
      <c r="BS793" s="49" t="n">
        <v>-3.50999999999995</v>
      </c>
      <c r="BT793" s="50" t="n">
        <v>9801</v>
      </c>
      <c r="BU793" s="48"/>
      <c r="BV793" s="53" t="n">
        <v>0</v>
      </c>
      <c r="BW793" s="53" t="n">
        <v>793</v>
      </c>
      <c r="BX793" s="48" t="str">
        <f aca="false">IF(U793&lt;&gt;"",UPPER(TRIM(U793)),IF(CA793=1,UPPER(VLOOKUP(T793,Parameter!$I$27:$K$29,2,0)),IF(P793="","LOSE",P793)))</f>
        <v>S51</v>
      </c>
      <c r="BY793" s="50" t="n">
        <f aca="false">IF(BX793="LOSE",1,IF(N(V793)&gt;0,V793,IF(CA793=1,MAX(1,N(VLOOKUP(T793,Parameter!$I$27:$K$29,3,0)),H793,N(N793)),IF(N(Q793)&gt;0,Q793,MAX(1,H793)))))</f>
        <v>4394</v>
      </c>
      <c r="BZ793" s="53" t="n">
        <f aca="false">IF(BX793="LOSE",1,0)</f>
        <v>0</v>
      </c>
      <c r="CA793" s="53" t="n">
        <f aca="false">IF(AND(U793="",OR(P793="",P793="LOSE"),T793&lt;&gt;"",N(S793)&lt;=0,ISNUMBER(MATCH(T793,Parameter!$I$27:$I$29,0))),1,0)</f>
        <v>0</v>
      </c>
      <c r="CB793" s="53" t="n">
        <f aca="false">IF(CQ793&gt;0,INDEX(Parameter!$H$5:$H$7,W793)/INDEX(Parameter!$E$5:$E$7,W793),IF(AND(BZ793=0,N(IFERROR(VLOOKUP(BX793,'Gebinde-Kategorie'!$A$5:$N$45,14,0),0))&gt;0),VLOOKUP(BX793,'Gebinde-Kategorie'!$A$5:$N$45,14,0)*10+Parameter!$M$23,Parameter!$M$24))</f>
        <v>155</v>
      </c>
      <c r="CC793" s="48" t="str">
        <f aca="false">IF(AND(Parameter!$B$19="Ja",E793&lt;&gt;"",ISNUMBER(MATCH(E793,Parameter!$I$35:$I$52,0))),VLOOKUP(E793,Parameter!$I$35:$J$52,2,0),IFERROR(VLOOKUP(D793,Parameter!$A$35:$C$64,2,0),"Nein"))</f>
        <v>2+3</v>
      </c>
      <c r="CD793" s="52" t="n">
        <f aca="false">IF(BZ793=0,0,IF(N(S793)&gt;0,S793,IFERROR(VLOOKUP(D793,Parameter!$A$35:$C$64,3,0)+0,0)))</f>
        <v>0</v>
      </c>
      <c r="CE793" s="48" t="n">
        <f aca="false">IF(AA793&lt;&gt;"",AA793,Z793)</f>
        <v>3</v>
      </c>
      <c r="CF793" s="48" t="str">
        <f aca="false">IF(OR(CE793=1,CE793=2,CE793=3),IF(Parameter!$E$27="Ja","LIFT",IF(CE793=1,"L1","L23")),IF(CE793="Aussen","Aussen","-"))</f>
        <v>LIFT</v>
      </c>
      <c r="CG793" s="59" t="n">
        <f aca="false">IF(N(AB793)&gt;0,AB793,0)</f>
        <v>0</v>
      </c>
      <c r="CH793" s="53" t="n">
        <f aca="false">IF(ISNUMBER(AE793),1,0)</f>
        <v>0</v>
      </c>
      <c r="CI793" s="50" t="n">
        <f aca="false">N(AE793)</f>
        <v>0</v>
      </c>
      <c r="CJ793" s="50" t="n">
        <f aca="false">N(M793)+N(N793)</f>
        <v>10371</v>
      </c>
      <c r="CK793" s="50" t="n">
        <f aca="false">N(M793)</f>
        <v>571</v>
      </c>
      <c r="CL793" s="50" t="n">
        <f aca="false">N(N793)</f>
        <v>9800</v>
      </c>
      <c r="CM793" s="50" t="n">
        <f aca="false">ROUNDUP(H793/BY793,0)</f>
        <v>1</v>
      </c>
      <c r="CN793" s="50" t="n">
        <f aca="false">ROUNDUP(CI793/BY793,0)</f>
        <v>0</v>
      </c>
      <c r="CO793" s="53" t="n">
        <f aca="false">IF(BZ793=1,0,IFERROR(VLOOKUP(BX793,'Gebinde-Kategorie'!$A$5:$N$45,5,0)+0,0))</f>
        <v>11</v>
      </c>
      <c r="CP793" s="53" t="n">
        <f aca="false">IFERROR(IF(OR(CE793=1,CE793=2,CE793=3),N(INDEX(Parameter!$I$5:$I$7,CE793)),0),0)</f>
        <v>0</v>
      </c>
      <c r="CQ793" s="52" t="n">
        <f aca="false">IF(AND(Parameter!$B$21="Ja",ISNUMBER(W793),N(X793)&gt;0),IFERROR(N(INDEX(Parameter!$L$5:$L$7,W793))*INDEX(Parameter!$E$5:$E$7,W793)*X793/SUMIFS($X$7:$X$1843,$W$7:$W$1843,W793),0),0)</f>
        <v>0</v>
      </c>
    </row>
    <row r="794" customFormat="false" ht="15" hidden="false" customHeight="false" outlineLevel="0" collapsed="false">
      <c r="A794" s="48" t="s">
        <v>1554</v>
      </c>
      <c r="B794" s="48" t="s">
        <v>477</v>
      </c>
      <c r="C794" s="48" t="s">
        <v>173</v>
      </c>
      <c r="D794" s="48" t="s">
        <v>193</v>
      </c>
      <c r="E794" s="48" t="s">
        <v>194</v>
      </c>
      <c r="F794" s="48" t="s">
        <v>227</v>
      </c>
      <c r="G794" s="49" t="n">
        <v>0.3</v>
      </c>
      <c r="H794" s="50" t="n">
        <f aca="false">MAX(0,IF(AND(Parameter!$B$21="Ja",ISNUMBER(Y794)),Y794,IF(Parameter!$B$20="Jahresanfang 2025 + Export",BR794+BQ794,BQ794)))</f>
        <v>99</v>
      </c>
      <c r="I794" s="50" t="n">
        <f aca="false">H794*G794</f>
        <v>29.7</v>
      </c>
      <c r="J794" s="50" t="n">
        <f aca="false">BT794*Parameter!$B$18</f>
        <v>385</v>
      </c>
      <c r="K794" s="51" t="n">
        <v>113.5</v>
      </c>
      <c r="L794" s="52" t="n">
        <v>3.3920704845815</v>
      </c>
      <c r="M794" s="50" t="n">
        <v>14</v>
      </c>
      <c r="N794" s="50" t="n">
        <v>400</v>
      </c>
      <c r="O794" s="53" t="n">
        <v>14</v>
      </c>
      <c r="P794" s="48" t="s">
        <v>485</v>
      </c>
      <c r="Q794" s="50" t="n">
        <v>206</v>
      </c>
      <c r="R794" s="53" t="n">
        <f aca="false">IF(BZ794=1,0,IFERROR(VLOOKUP(BX794,'Gebinde-Kategorie'!$A$5:$N$45,13,0)+0,0))</f>
        <v>52</v>
      </c>
      <c r="S794" s="54"/>
      <c r="T794" s="55"/>
      <c r="U794" s="55"/>
      <c r="V794" s="55"/>
      <c r="W794" s="48"/>
      <c r="X794" s="50"/>
      <c r="Y794" s="50"/>
      <c r="Z794" s="48" t="n">
        <f aca="false">IF(A794="","",IF(AND(Parameter!$B$21="Ja",ISNUMBER(W794)),W794,IF(CC794="2+3",IF(ISNUMBER(SEARCH("grosser Artikel",BU794)),2,IFERROR(VLOOKUP(BX794,Parameter!$F$35:$G$64,2,0),2)),IF(OR(CC794="Nein",CC794=""),"-",CC794))))</f>
        <v>3</v>
      </c>
      <c r="AA794" s="55"/>
      <c r="AB794" s="56"/>
      <c r="AC794" s="50" t="n">
        <f aca="false">AV794</f>
        <v>414</v>
      </c>
      <c r="AD794" s="50" t="n">
        <f aca="false">MAX(AV794,H794)</f>
        <v>414</v>
      </c>
      <c r="AE794" s="57"/>
      <c r="AF794" s="50" t="n">
        <f aca="false">IF(LEFT(Cockpit!$C$5,1)="A",H794,IF(Parameter!$E$30="MAX-Bestand",IF(CH794=1,CI794,IF(LEFT(Cockpit!$C$5,1)="B",AL794,MAX(AL794,H794))),ROUNDUP(AJ794,0)))</f>
        <v>99</v>
      </c>
      <c r="AG794" s="50" t="n">
        <f aca="false">IF(BZ794=1,0,ROUNDUP(AF794/BY794,0))</f>
        <v>1</v>
      </c>
      <c r="AH794" s="52" t="n">
        <f aca="false">IF(CQ794&gt;0,CQ794*MAX(1,AF794/X794),IF(BZ794=1,IF(AF794&lt;=0,0,CD794*MAX(1,IF(H794&gt;0,AF794/H794,1))),IF(R794&gt;0,AG794/R794,0))/MAX(0.1,N(Parameter!$M$21)))</f>
        <v>0.0192307692307692</v>
      </c>
      <c r="AI794" s="50" t="n">
        <f aca="false">AH794*CB794</f>
        <v>2.98076923076923</v>
      </c>
      <c r="AJ794" s="51" t="n">
        <f aca="false">IF(LEFT(Cockpit!$C$5,1)="A",H794,IF(CH794=1,(CK794+CI794)/2,IF(LEFT(Cockpit!$C$5,1)="B",(CK794+AL794)/2,MAX((CK794+AL794)/2,H794))))</f>
        <v>99</v>
      </c>
      <c r="AK794" s="50" t="n">
        <f aca="false">AJ794*G794</f>
        <v>29.7</v>
      </c>
      <c r="AL794" s="50" t="n">
        <f aca="false">ROUNDUP(CK794+MAX(CL794,2*(J794/IF(CG794&gt;0,CG794,MAX(0.1,N(Cockpit!$C$6)))-CK794)),0)</f>
        <v>414</v>
      </c>
      <c r="AM794" s="51" t="n">
        <f aca="false">IF(AI794&gt;0,J794/AI794,-1)</f>
        <v>129.161290322581</v>
      </c>
      <c r="AN794" s="51" t="n">
        <f aca="false">IF(AND(OR(CF794="L1",CF794="L23",CF794="LIFT"),AI794&gt;0),SUMIFS($AI$7:$AI$1843,$CF$7:$CF$1843,CF794,$AM$7:$AM$1843,"&gt;"&amp;AM794)+SUMIFS($AI$7:$AI$1843,$CF$7:$CF$1843,CF794,$AM$7:$AM$1843,AM794,$BW$7:$BW$1843,"&lt;="&amp;BW794),"")</f>
        <v>609.279304029304</v>
      </c>
      <c r="AO794" s="58" t="n">
        <f aca="false">IF(AN794="",0,MAX(0,MIN(1,(IF(CF794="L1",Parameter!$H$5,IF(CF794="L23",Parameter!$H$6+Parameter!$H$7,Parameter!$H$5+Parameter!$H$6+Parameter!$H$7))-(AN794-AI794))/AI794)))</f>
        <v>1</v>
      </c>
      <c r="AP794" s="50" t="n">
        <f aca="false">IF(LEFT(Cockpit!$I$5,1)="A",H794,IF(Parameter!$E$30="MAX-Bestand",IF(CH794=1,CI794,IF(LEFT(Cockpit!$I$5,1)="B",AV794,MAX(AV794,H794))),ROUNDUP(AT794,0)))</f>
        <v>214</v>
      </c>
      <c r="AQ794" s="50" t="n">
        <f aca="false">IF(BZ794=1,0,ROUNDUP(AP794/BY794,0))</f>
        <v>2</v>
      </c>
      <c r="AR794" s="52" t="n">
        <f aca="false">IF(CQ794&gt;0,CQ794*MAX(1,AP794/X794),IF(BZ794=1,IF(AP794&lt;=0,0,CD794*MAX(1,IF(H794&gt;0,AP794/H794,1))),IF(R794&gt;0,AQ794/R794,0))/MAX(0.1,N(Parameter!$M$21)))</f>
        <v>0.0384615384615385</v>
      </c>
      <c r="AS794" s="50" t="n">
        <f aca="false">AR794*CB794</f>
        <v>5.96153846153846</v>
      </c>
      <c r="AT794" s="51" t="n">
        <f aca="false">IF(LEFT(Cockpit!$I$5,1)="A",H794,IF(CH794=1,(CK794+CI794)/2,IF(LEFT(Cockpit!$I$5,1)="B",(CK794+AV794)/2,MAX((CK794+AV794)/2,H794))))</f>
        <v>214</v>
      </c>
      <c r="AU794" s="50" t="n">
        <f aca="false">AT794*G794</f>
        <v>64.2</v>
      </c>
      <c r="AV794" s="50" t="n">
        <f aca="false">ROUNDUP(CK794+MAX(CL794,2*(J794/IF(CG794&gt;0,CG794,MAX(0.1,N(Cockpit!$I$6)))-CK794)),0)</f>
        <v>414</v>
      </c>
      <c r="AW794" s="51" t="n">
        <f aca="false">IF(AS794&gt;0,J794/AS794,-1)</f>
        <v>64.5806451612903</v>
      </c>
      <c r="AX794" s="51" t="n">
        <f aca="false">IF(AND(OR(CF794="L1",CF794="L23",CF794="LIFT"),AS794&gt;0),SUMIFS($AS$7:$AS$1843,$CF$7:$CF$1843,CF794,$AW$7:$AW$1843,"&gt;"&amp;AW794)+SUMIFS($AS$7:$AS$1843,$CF$7:$CF$1843,CF794,$AW$7:$AW$1843,AW794,$BW$7:$BW$1843,"&lt;="&amp;BW794),"")</f>
        <v>1158.00412087912</v>
      </c>
      <c r="AY794" s="58" t="n">
        <f aca="false">IF(AX794="",0,MAX(0,MIN(1,(IF(CF794="L1",Parameter!$H$5,IF(CF794="L23",Parameter!$H$6+Parameter!$H$7,Parameter!$H$5+Parameter!$H$6+Parameter!$H$7))-(AX794-AS794))/AS794)))</f>
        <v>1</v>
      </c>
      <c r="AZ794" s="50" t="n">
        <f aca="false">IF(LEFT(Cockpit!$O$5,1)="A",H794,IF(Parameter!$E$30="MAX-Bestand",IF(CH794=1,CI794,IF(LEFT(Cockpit!$O$5,1)="B",BF794,MAX(BF794,H794))),ROUNDUP(BD794,0)))</f>
        <v>214</v>
      </c>
      <c r="BA794" s="50" t="n">
        <f aca="false">IF(BZ794=1,0,ROUNDUP(AZ794/BY794,0))</f>
        <v>2</v>
      </c>
      <c r="BB794" s="52" t="n">
        <f aca="false">IF(CQ794&gt;0,CQ794*MAX(1,AZ794/X794),IF(BZ794=1,IF(AZ794&lt;=0,0,CD794*MAX(1,IF(H794&gt;0,AZ794/H794,1))),IF(R794&gt;0,BA794/R794,0))/MAX(0.1,N(Parameter!$M$21)))</f>
        <v>0.0384615384615385</v>
      </c>
      <c r="BC794" s="50" t="n">
        <f aca="false">BB794*CB794</f>
        <v>5.96153846153846</v>
      </c>
      <c r="BD794" s="51" t="n">
        <f aca="false">IF(LEFT(Cockpit!$O$5,1)="A",H794,IF(CH794=1,(CK794+CI794)/2,IF(LEFT(Cockpit!$O$5,1)="B",(CK794+BF794)/2,MAX((CK794+BF794)/2,H794))))</f>
        <v>214</v>
      </c>
      <c r="BE794" s="50" t="n">
        <f aca="false">BD794*G794</f>
        <v>64.2</v>
      </c>
      <c r="BF794" s="50" t="n">
        <f aca="false">ROUNDUP(CK794+MAX(CL794,2*(J794/IF(CG794&gt;0,CG794,MAX(0.1,N(Cockpit!$O$6)))-CK794)),0)</f>
        <v>414</v>
      </c>
      <c r="BG794" s="51" t="n">
        <f aca="false">IF(BC794&gt;0,J794/BC794,-1)</f>
        <v>64.5806451612903</v>
      </c>
      <c r="BH794" s="51" t="n">
        <f aca="false">IF(AND(OR(CF794="L1",CF794="L23",CF794="LIFT"),BC794&gt;0),SUMIFS($BC$7:$BC$1843,$CF$7:$CF$1843,CF794,$BG$7:$BG$1843,"&gt;"&amp;BG794)+SUMIFS($BC$7:$BC$1843,$CF$7:$CF$1843,CF794,$BG$7:$BG$1843,BG794,$BW$7:$BW$1843,"&lt;="&amp;BW794),"")</f>
        <v>1051.82783882784</v>
      </c>
      <c r="BI794" s="58" t="n">
        <f aca="false">IF(BH794="",0,MAX(0,MIN(1,(IF(CF794="L1",Parameter!$H$5,IF(CF794="L23",Parameter!$H$6+Parameter!$H$7,Parameter!$H$5+Parameter!$H$6+Parameter!$H$7))-(BH794-BC794))/BC794)))</f>
        <v>1</v>
      </c>
      <c r="BJ794" s="48" t="str">
        <f aca="false">IF(AI794&lt;=0,"",IF(CF794="Aussen","Aussenlager",IF(CF794="-","Nicht im Lift",IF(AO794&gt;=1,"Lift",IF(AO794&lt;=0,"Aussenlager","teilweise")))))</f>
        <v>Lift</v>
      </c>
      <c r="BK794" s="48" t="str">
        <f aca="false">IF(AS794&lt;=0,"",IF(CF794="Aussen","Aussenlager",IF(CF794="-","Nicht im Lift",IF(AY794&gt;=1,"Lift",IF(AY794&lt;=0,"Aussenlager","teilweise")))))</f>
        <v>Lift</v>
      </c>
      <c r="BL794" s="48" t="str">
        <f aca="false">IF(BC794&lt;=0,"",IF(CF794="Aussen","Aussenlager",IF(CF794="-","Nicht im Lift",IF(BI794&gt;=1,"Lift",IF(BI794&lt;=0,"Aussenlager","teilweise")))))</f>
        <v>Lift</v>
      </c>
      <c r="BM794" s="48" t="str">
        <f aca="false">IF(A794="","",IF(BV794=1,"Neu; ","")&amp;IF(AND(BV794=0,BQ794&lt;0),"negativer Bestand (Export "&amp;BQ794&amp;"); ","")&amp;IF(J794&lt;=0,"Kein Verbrauch; ","")&amp;IF(CQ794&gt;0,"Lift "&amp;W794&amp;" lt. Liftbericht (Fach "&amp;X794&amp;" Stk); ",IF(CA794=1,"Gebinde geschätzt ("&amp;T794&amp;"); ",IF(BZ794=1,"Lose – Tablare geschätzt; ","")))&amp;IF(H794&gt;AV794,"Überbestand "&amp;ROUND(H794-AV794,0)&amp;" Stk / CHF "&amp;ROUND((H794-AV794)*G794,0)&amp;"; ","")&amp;IF(AND(CH794=1,CI794&lt;CJ794),"MAX &lt; MB+LG; ","")&amp;IF(AND(CP794&gt;0,CO794*10&gt;CP794),"zu hoch für Tablar; ","")&amp;IF(AND(BV794=0,OR(CH794=1,AA794&lt;&gt;"",U794&lt;&gt;"",V794&lt;&gt;"",AB794&lt;&gt;"")),"manuell übersteuert; ","")&amp;IF(AND(BZ794=0,R794=0),"Gebinde unbekannt / Stellmass fehlt; ","")&amp;IF(AND(BZ794=0,N(V794)&lt;=0,N(Q794)&lt;=0),"Menge pro Gebinde fehlt (Ist = 1 Gebinde); ","")&amp;BU794)</f>
        <v>negativer Bestand (Export -15); </v>
      </c>
      <c r="BN794" s="48"/>
      <c r="BO794" s="48"/>
      <c r="BP794" s="55"/>
      <c r="BQ794" s="50" t="n">
        <v>-15</v>
      </c>
      <c r="BR794" s="50" t="n">
        <v>114</v>
      </c>
      <c r="BS794" s="49" t="n">
        <v>-3.56000000000001</v>
      </c>
      <c r="BT794" s="50" t="n">
        <v>385</v>
      </c>
      <c r="BU794" s="48"/>
      <c r="BV794" s="53" t="n">
        <v>0</v>
      </c>
      <c r="BW794" s="53" t="n">
        <v>794</v>
      </c>
      <c r="BX794" s="48" t="str">
        <f aca="false">IF(U794&lt;&gt;"",UPPER(TRIM(U794)),IF(CA794=1,UPPER(VLOOKUP(T794,Parameter!$I$27:$K$29,2,0)),IF(P794="","LOSE",P794)))</f>
        <v>S33</v>
      </c>
      <c r="BY794" s="50" t="n">
        <f aca="false">IF(BX794="LOSE",1,IF(N(V794)&gt;0,V794,IF(CA794=1,MAX(1,N(VLOOKUP(T794,Parameter!$I$27:$K$29,3,0)),H794,N(N794)),IF(N(Q794)&gt;0,Q794,MAX(1,H794)))))</f>
        <v>206</v>
      </c>
      <c r="BZ794" s="53" t="n">
        <f aca="false">IF(BX794="LOSE",1,0)</f>
        <v>0</v>
      </c>
      <c r="CA794" s="53" t="n">
        <f aca="false">IF(AND(U794="",OR(P794="",P794="LOSE"),T794&lt;&gt;"",N(S794)&lt;=0,ISNUMBER(MATCH(T794,Parameter!$I$27:$I$29,0))),1,0)</f>
        <v>0</v>
      </c>
      <c r="CB794" s="53" t="n">
        <f aca="false">IF(CQ794&gt;0,INDEX(Parameter!$H$5:$H$7,W794)/INDEX(Parameter!$E$5:$E$7,W794),IF(AND(BZ794=0,N(IFERROR(VLOOKUP(BX794,'Gebinde-Kategorie'!$A$5:$N$45,14,0),0))&gt;0),VLOOKUP(BX794,'Gebinde-Kategorie'!$A$5:$N$45,14,0)*10+Parameter!$M$23,Parameter!$M$24))</f>
        <v>155</v>
      </c>
      <c r="CC794" s="48" t="str">
        <f aca="false">IF(AND(Parameter!$B$19="Ja",E794&lt;&gt;"",ISNUMBER(MATCH(E794,Parameter!$I$35:$I$52,0))),VLOOKUP(E794,Parameter!$I$35:$J$52,2,0),IFERROR(VLOOKUP(D794,Parameter!$A$35:$C$64,2,0),"Nein"))</f>
        <v>2+3</v>
      </c>
      <c r="CD794" s="52" t="n">
        <f aca="false">IF(BZ794=0,0,IF(N(S794)&gt;0,S794,IFERROR(VLOOKUP(D794,Parameter!$A$35:$C$64,3,0)+0,0)))</f>
        <v>0</v>
      </c>
      <c r="CE794" s="48" t="n">
        <f aca="false">IF(AA794&lt;&gt;"",AA794,Z794)</f>
        <v>3</v>
      </c>
      <c r="CF794" s="48" t="str">
        <f aca="false">IF(OR(CE794=1,CE794=2,CE794=3),IF(Parameter!$E$27="Ja","LIFT",IF(CE794=1,"L1","L23")),IF(CE794="Aussen","Aussen","-"))</f>
        <v>LIFT</v>
      </c>
      <c r="CG794" s="59" t="n">
        <f aca="false">IF(N(AB794)&gt;0,AB794,0)</f>
        <v>0</v>
      </c>
      <c r="CH794" s="53" t="n">
        <f aca="false">IF(ISNUMBER(AE794),1,0)</f>
        <v>0</v>
      </c>
      <c r="CI794" s="50" t="n">
        <f aca="false">N(AE794)</f>
        <v>0</v>
      </c>
      <c r="CJ794" s="50" t="n">
        <f aca="false">N(M794)+N(N794)</f>
        <v>414</v>
      </c>
      <c r="CK794" s="50" t="n">
        <f aca="false">N(M794)</f>
        <v>14</v>
      </c>
      <c r="CL794" s="50" t="n">
        <f aca="false">N(N794)</f>
        <v>400</v>
      </c>
      <c r="CM794" s="50" t="n">
        <f aca="false">ROUNDUP(H794/BY794,0)</f>
        <v>1</v>
      </c>
      <c r="CN794" s="50" t="n">
        <f aca="false">ROUNDUP(CI794/BY794,0)</f>
        <v>0</v>
      </c>
      <c r="CO794" s="53" t="n">
        <f aca="false">IF(BZ794=1,0,IFERROR(VLOOKUP(BX794,'Gebinde-Kategorie'!$A$5:$N$45,5,0)+0,0))</f>
        <v>8</v>
      </c>
      <c r="CP794" s="53" t="n">
        <f aca="false">IFERROR(IF(OR(CE794=1,CE794=2,CE794=3),N(INDEX(Parameter!$I$5:$I$7,CE794)),0),0)</f>
        <v>0</v>
      </c>
      <c r="CQ794" s="52" t="n">
        <f aca="false">IF(AND(Parameter!$B$21="Ja",ISNUMBER(W794),N(X794)&gt;0),IFERROR(N(INDEX(Parameter!$L$5:$L$7,W794))*INDEX(Parameter!$E$5:$E$7,W794)*X794/SUMIFS($X$7:$X$1843,$W$7:$W$1843,W794),0),0)</f>
        <v>0</v>
      </c>
    </row>
    <row r="795" customFormat="false" ht="15" hidden="false" customHeight="false" outlineLevel="0" collapsed="false">
      <c r="A795" s="48" t="s">
        <v>1555</v>
      </c>
      <c r="B795" s="48" t="s">
        <v>663</v>
      </c>
      <c r="C795" s="48" t="s">
        <v>465</v>
      </c>
      <c r="D795" s="48" t="s">
        <v>193</v>
      </c>
      <c r="E795" s="48"/>
      <c r="F795" s="48" t="s">
        <v>227</v>
      </c>
      <c r="G795" s="49" t="n">
        <v>0.04</v>
      </c>
      <c r="H795" s="50" t="n">
        <f aca="false">MAX(0,IF(AND(Parameter!$B$21="Ja",ISNUMBER(Y795)),Y795,IF(Parameter!$B$20="Jahresanfang 2025 + Export",BR795+BQ795,BQ795)))</f>
        <v>96</v>
      </c>
      <c r="I795" s="50" t="n">
        <f aca="false">H795*G795</f>
        <v>3.84</v>
      </c>
      <c r="J795" s="50" t="n">
        <f aca="false">BT795*Parameter!$B$18</f>
        <v>96</v>
      </c>
      <c r="K795" s="51" t="n">
        <v>96</v>
      </c>
      <c r="L795" s="52" t="n">
        <v>1</v>
      </c>
      <c r="M795" s="50" t="n">
        <v>3</v>
      </c>
      <c r="N795" s="50" t="n">
        <v>95</v>
      </c>
      <c r="O795" s="53" t="n">
        <v>14</v>
      </c>
      <c r="P795" s="48" t="s">
        <v>177</v>
      </c>
      <c r="Q795" s="50"/>
      <c r="R795" s="53" t="n">
        <f aca="false">IF(BZ795=1,0,IFERROR(VLOOKUP(BX795,'Gebinde-Kategorie'!$A$5:$N$45,13,0)+0,0))</f>
        <v>26</v>
      </c>
      <c r="S795" s="54"/>
      <c r="T795" s="55" t="s">
        <v>284</v>
      </c>
      <c r="U795" s="55"/>
      <c r="V795" s="55"/>
      <c r="W795" s="48"/>
      <c r="X795" s="50"/>
      <c r="Y795" s="50"/>
      <c r="Z795" s="48" t="n">
        <f aca="false">IF(A795="","",IF(AND(Parameter!$B$21="Ja",ISNUMBER(W795)),W795,IF(CC795="2+3",IF(ISNUMBER(SEARCH("grosser Artikel",BU795)),2,IFERROR(VLOOKUP(BX795,Parameter!$F$35:$G$64,2,0),2)),IF(OR(CC795="Nein",CC795=""),"-",CC795))))</f>
        <v>3</v>
      </c>
      <c r="AA795" s="55"/>
      <c r="AB795" s="56"/>
      <c r="AC795" s="50" t="n">
        <f aca="false">AV795</f>
        <v>98</v>
      </c>
      <c r="AD795" s="50" t="n">
        <f aca="false">MAX(AV795,H795)</f>
        <v>98</v>
      </c>
      <c r="AE795" s="57"/>
      <c r="AF795" s="50" t="n">
        <f aca="false">IF(LEFT(Cockpit!$C$5,1)="A",H795,IF(Parameter!$E$30="MAX-Bestand",IF(CH795=1,CI795,IF(LEFT(Cockpit!$C$5,1)="B",AL795,MAX(AL795,H795))),ROUNDUP(AJ795,0)))</f>
        <v>96</v>
      </c>
      <c r="AG795" s="50" t="n">
        <f aca="false">IF(BZ795=1,0,ROUNDUP(AF795/BY795,0))</f>
        <v>1</v>
      </c>
      <c r="AH795" s="52" t="n">
        <f aca="false">IF(CQ795&gt;0,CQ795*MAX(1,AF795/X795),IF(BZ795=1,IF(AF795&lt;=0,0,CD795*MAX(1,IF(H795&gt;0,AF795/H795,1))),IF(R795&gt;0,AG795/R795,0))/MAX(0.1,N(Parameter!$M$21)))</f>
        <v>0.0384615384615385</v>
      </c>
      <c r="AI795" s="50" t="n">
        <f aca="false">AH795*CB795</f>
        <v>5.96153846153846</v>
      </c>
      <c r="AJ795" s="51" t="n">
        <f aca="false">IF(LEFT(Cockpit!$C$5,1)="A",H795,IF(CH795=1,(CK795+CI795)/2,IF(LEFT(Cockpit!$C$5,1)="B",(CK795+AL795)/2,MAX((CK795+AL795)/2,H795))))</f>
        <v>96</v>
      </c>
      <c r="AK795" s="50" t="n">
        <f aca="false">AJ795*G795</f>
        <v>3.84</v>
      </c>
      <c r="AL795" s="50" t="n">
        <f aca="false">ROUNDUP(CK795+MAX(CL795,2*(J795/IF(CG795&gt;0,CG795,MAX(0.1,N(Cockpit!$C$6)))-CK795)),0)</f>
        <v>98</v>
      </c>
      <c r="AM795" s="51" t="n">
        <f aca="false">IF(AI795&gt;0,J795/AI795,-1)</f>
        <v>16.1032258064516</v>
      </c>
      <c r="AN795" s="51" t="n">
        <f aca="false">IF(AND(OR(CF795="L1",CF795="L23",CF795="LIFT"),AI795&gt;0),SUMIFS($AI$7:$AI$1843,$CF$7:$CF$1843,CF795,$AM$7:$AM$1843,"&gt;"&amp;AM795)+SUMIFS($AI$7:$AI$1843,$CF$7:$CF$1843,CF795,$AM$7:$AM$1843,AM795,$BW$7:$BW$1843,"&lt;="&amp;BW795),"")</f>
        <v>2062.70833333333</v>
      </c>
      <c r="AO795" s="58" t="n">
        <f aca="false">IF(AN795="",0,MAX(0,MIN(1,(IF(CF795="L1",Parameter!$H$5,IF(CF795="L23",Parameter!$H$6+Parameter!$H$7,Parameter!$H$5+Parameter!$H$6+Parameter!$H$7))-(AN795-AI795))/AI795)))</f>
        <v>1</v>
      </c>
      <c r="AP795" s="50" t="n">
        <f aca="false">IF(LEFT(Cockpit!$I$5,1)="A",H795,IF(Parameter!$E$30="MAX-Bestand",IF(CH795=1,CI795,IF(LEFT(Cockpit!$I$5,1)="B",AV795,MAX(AV795,H795))),ROUNDUP(AT795,0)))</f>
        <v>96</v>
      </c>
      <c r="AQ795" s="50" t="n">
        <f aca="false">IF(BZ795=1,0,ROUNDUP(AP795/BY795,0))</f>
        <v>1</v>
      </c>
      <c r="AR795" s="52" t="n">
        <f aca="false">IF(CQ795&gt;0,CQ795*MAX(1,AP795/X795),IF(BZ795=1,IF(AP795&lt;=0,0,CD795*MAX(1,IF(H795&gt;0,AP795/H795,1))),IF(R795&gt;0,AQ795/R795,0))/MAX(0.1,N(Parameter!$M$21)))</f>
        <v>0.0384615384615385</v>
      </c>
      <c r="AS795" s="50" t="n">
        <f aca="false">AR795*CB795</f>
        <v>5.96153846153846</v>
      </c>
      <c r="AT795" s="51" t="n">
        <f aca="false">IF(LEFT(Cockpit!$I$5,1)="A",H795,IF(CH795=1,(CK795+CI795)/2,IF(LEFT(Cockpit!$I$5,1)="B",(CK795+AV795)/2,MAX((CK795+AV795)/2,H795))))</f>
        <v>96</v>
      </c>
      <c r="AU795" s="50" t="n">
        <f aca="false">AT795*G795</f>
        <v>3.84</v>
      </c>
      <c r="AV795" s="50" t="n">
        <f aca="false">ROUNDUP(CK795+MAX(CL795,2*(J795/IF(CG795&gt;0,CG795,MAX(0.1,N(Cockpit!$I$6)))-CK795)),0)</f>
        <v>98</v>
      </c>
      <c r="AW795" s="51" t="n">
        <f aca="false">IF(AS795&gt;0,J795/AS795,-1)</f>
        <v>16.1032258064516</v>
      </c>
      <c r="AX795" s="51" t="n">
        <f aca="false">IF(AND(OR(CF795="L1",CF795="L23",CF795="LIFT"),AS795&gt;0),SUMIFS($AS$7:$AS$1843,$CF$7:$CF$1843,CF795,$AW$7:$AW$1843,"&gt;"&amp;AW795)+SUMIFS($AS$7:$AS$1843,$CF$7:$CF$1843,CF795,$AW$7:$AW$1843,AW795,$BW$7:$BW$1843,"&lt;="&amp;BW795),"")</f>
        <v>2698.72206959707</v>
      </c>
      <c r="AY795" s="58" t="n">
        <f aca="false">IF(AX795="",0,MAX(0,MIN(1,(IF(CF795="L1",Parameter!$H$5,IF(CF795="L23",Parameter!$H$6+Parameter!$H$7,Parameter!$H$5+Parameter!$H$6+Parameter!$H$7))-(AX795-AS795))/AS795)))</f>
        <v>1</v>
      </c>
      <c r="AZ795" s="50" t="n">
        <f aca="false">IF(LEFT(Cockpit!$O$5,1)="A",H795,IF(Parameter!$E$30="MAX-Bestand",IF(CH795=1,CI795,IF(LEFT(Cockpit!$O$5,1)="B",BF795,MAX(BF795,H795))),ROUNDUP(BD795,0)))</f>
        <v>51</v>
      </c>
      <c r="BA795" s="50" t="n">
        <f aca="false">IF(BZ795=1,0,ROUNDUP(AZ795/BY795,0))</f>
        <v>1</v>
      </c>
      <c r="BB795" s="52" t="n">
        <f aca="false">IF(CQ795&gt;0,CQ795*MAX(1,AZ795/X795),IF(BZ795=1,IF(AZ795&lt;=0,0,CD795*MAX(1,IF(H795&gt;0,AZ795/H795,1))),IF(R795&gt;0,BA795/R795,0))/MAX(0.1,N(Parameter!$M$21)))</f>
        <v>0.0384615384615385</v>
      </c>
      <c r="BC795" s="50" t="n">
        <f aca="false">BB795*CB795</f>
        <v>5.96153846153846</v>
      </c>
      <c r="BD795" s="51" t="n">
        <f aca="false">IF(LEFT(Cockpit!$O$5,1)="A",H795,IF(CH795=1,(CK795+CI795)/2,IF(LEFT(Cockpit!$O$5,1)="B",(CK795+BF795)/2,MAX((CK795+BF795)/2,H795))))</f>
        <v>50.5</v>
      </c>
      <c r="BE795" s="50" t="n">
        <f aca="false">BD795*G795</f>
        <v>2.02</v>
      </c>
      <c r="BF795" s="50" t="n">
        <f aca="false">ROUNDUP(CK795+MAX(CL795,2*(J795/IF(CG795&gt;0,CG795,MAX(0.1,N(Cockpit!$O$6)))-CK795)),0)</f>
        <v>98</v>
      </c>
      <c r="BG795" s="51" t="n">
        <f aca="false">IF(BC795&gt;0,J795/BC795,-1)</f>
        <v>16.1032258064516</v>
      </c>
      <c r="BH795" s="51" t="n">
        <f aca="false">IF(AND(OR(CF795="L1",CF795="L23",CF795="LIFT"),BC795&gt;0),SUMIFS($BC$7:$BC$1843,$CF$7:$CF$1843,CF795,$BG$7:$BG$1843,"&gt;"&amp;BG795)+SUMIFS($BC$7:$BC$1843,$CF$7:$CF$1843,CF795,$BG$7:$BG$1843,BG795,$BW$7:$BW$1843,"&lt;="&amp;BW795),"")</f>
        <v>2393.68223443223</v>
      </c>
      <c r="BI795" s="58" t="n">
        <f aca="false">IF(BH795="",0,MAX(0,MIN(1,(IF(CF795="L1",Parameter!$H$5,IF(CF795="L23",Parameter!$H$6+Parameter!$H$7,Parameter!$H$5+Parameter!$H$6+Parameter!$H$7))-(BH795-BC795))/BC795)))</f>
        <v>1</v>
      </c>
      <c r="BJ795" s="48" t="str">
        <f aca="false">IF(AI795&lt;=0,"",IF(CF795="Aussen","Aussenlager",IF(CF795="-","Nicht im Lift",IF(AO795&gt;=1,"Lift",IF(AO795&lt;=0,"Aussenlager","teilweise")))))</f>
        <v>Lift</v>
      </c>
      <c r="BK795" s="48" t="str">
        <f aca="false">IF(AS795&lt;=0,"",IF(CF795="Aussen","Aussenlager",IF(CF795="-","Nicht im Lift",IF(AY795&gt;=1,"Lift",IF(AY795&lt;=0,"Aussenlager","teilweise")))))</f>
        <v>Lift</v>
      </c>
      <c r="BL795" s="48" t="str">
        <f aca="false">IF(BC795&lt;=0,"",IF(CF795="Aussen","Aussenlager",IF(CF795="-","Nicht im Lift",IF(BI795&gt;=1,"Lift",IF(BI795&lt;=0,"Aussenlager","teilweise")))))</f>
        <v>Lift</v>
      </c>
      <c r="BM795" s="48" t="str">
        <f aca="false">IF(A795="","",IF(BV795=1,"Neu; ","")&amp;IF(AND(BV795=0,BQ795&lt;0),"negativer Bestand (Export "&amp;BQ795&amp;"); ","")&amp;IF(J795&lt;=0,"Kein Verbrauch; ","")&amp;IF(CQ795&gt;0,"Lift "&amp;W795&amp;" lt. Liftbericht (Fach "&amp;X795&amp;" Stk); ",IF(CA795=1,"Gebinde geschätzt ("&amp;T795&amp;"); ",IF(BZ795=1,"Lose – Tablare geschätzt; ","")))&amp;IF(H795&gt;AV795,"Überbestand "&amp;ROUND(H795-AV795,0)&amp;" Stk / CHF "&amp;ROUND((H795-AV795)*G795,0)&amp;"; ","")&amp;IF(AND(CH795=1,CI795&lt;CJ795),"MAX &lt; MB+LG; ","")&amp;IF(AND(CP795&gt;0,CO795*10&gt;CP795),"zu hoch für Tablar; ","")&amp;IF(AND(BV795=0,OR(CH795=1,AA795&lt;&gt;"",U795&lt;&gt;"",V795&lt;&gt;"",AB795&lt;&gt;"")),"manuell übersteuert; ","")&amp;IF(AND(BZ795=0,R795=0),"Gebinde unbekannt / Stellmass fehlt; ","")&amp;IF(AND(BZ795=0,N(V795)&lt;=0,N(Q795)&lt;=0),"Menge pro Gebinde fehlt (Ist = 1 Gebinde); ","")&amp;BU795)</f>
        <v>negativer Bestand (Export -96); Gebinde geschätzt (Klein); Menge pro Gebinde fehlt (Ist = 1 Gebinde); </v>
      </c>
      <c r="BN795" s="48"/>
      <c r="BO795" s="48"/>
      <c r="BP795" s="55"/>
      <c r="BQ795" s="50" t="n">
        <v>-96</v>
      </c>
      <c r="BR795" s="50" t="n">
        <v>192</v>
      </c>
      <c r="BS795" s="49" t="n">
        <v>-3.84</v>
      </c>
      <c r="BT795" s="50" t="n">
        <v>96</v>
      </c>
      <c r="BU795" s="48"/>
      <c r="BV795" s="53" t="n">
        <v>0</v>
      </c>
      <c r="BW795" s="53" t="n">
        <v>795</v>
      </c>
      <c r="BX795" s="48" t="str">
        <f aca="false">IF(U795&lt;&gt;"",UPPER(TRIM(U795)),IF(CA795=1,UPPER(VLOOKUP(T795,Parameter!$I$27:$K$29,2,0)),IF(P795="","LOSE",P795)))</f>
        <v>S51</v>
      </c>
      <c r="BY795" s="50" t="n">
        <f aca="false">IF(BX795="LOSE",1,IF(N(V795)&gt;0,V795,IF(CA795=1,MAX(1,N(VLOOKUP(T795,Parameter!$I$27:$K$29,3,0)),H795,N(N795)),IF(N(Q795)&gt;0,Q795,MAX(1,H795)))))</f>
        <v>96</v>
      </c>
      <c r="BZ795" s="53" t="n">
        <f aca="false">IF(BX795="LOSE",1,0)</f>
        <v>0</v>
      </c>
      <c r="CA795" s="53" t="n">
        <f aca="false">IF(AND(U795="",OR(P795="",P795="LOSE"),T795&lt;&gt;"",N(S795)&lt;=0,ISNUMBER(MATCH(T795,Parameter!$I$27:$I$29,0))),1,0)</f>
        <v>1</v>
      </c>
      <c r="CB795" s="53" t="n">
        <f aca="false">IF(CQ795&gt;0,INDEX(Parameter!$H$5:$H$7,W795)/INDEX(Parameter!$E$5:$E$7,W795),IF(AND(BZ795=0,N(IFERROR(VLOOKUP(BX795,'Gebinde-Kategorie'!$A$5:$N$45,14,0),0))&gt;0),VLOOKUP(BX795,'Gebinde-Kategorie'!$A$5:$N$45,14,0)*10+Parameter!$M$23,Parameter!$M$24))</f>
        <v>155</v>
      </c>
      <c r="CC795" s="48" t="str">
        <f aca="false">IF(AND(Parameter!$B$19="Ja",E795&lt;&gt;"",ISNUMBER(MATCH(E795,Parameter!$I$35:$I$52,0))),VLOOKUP(E795,Parameter!$I$35:$J$52,2,0),IFERROR(VLOOKUP(D795,Parameter!$A$35:$C$64,2,0),"Nein"))</f>
        <v>2+3</v>
      </c>
      <c r="CD795" s="52" t="n">
        <f aca="false">IF(BZ795=0,0,IF(N(S795)&gt;0,S795,IFERROR(VLOOKUP(D795,Parameter!$A$35:$C$64,3,0)+0,0)))</f>
        <v>0</v>
      </c>
      <c r="CE795" s="48" t="n">
        <f aca="false">IF(AA795&lt;&gt;"",AA795,Z795)</f>
        <v>3</v>
      </c>
      <c r="CF795" s="48" t="str">
        <f aca="false">IF(OR(CE795=1,CE795=2,CE795=3),IF(Parameter!$E$27="Ja","LIFT",IF(CE795=1,"L1","L23")),IF(CE795="Aussen","Aussen","-"))</f>
        <v>LIFT</v>
      </c>
      <c r="CG795" s="59" t="n">
        <f aca="false">IF(N(AB795)&gt;0,AB795,0)</f>
        <v>0</v>
      </c>
      <c r="CH795" s="53" t="n">
        <f aca="false">IF(ISNUMBER(AE795),1,0)</f>
        <v>0</v>
      </c>
      <c r="CI795" s="50" t="n">
        <f aca="false">N(AE795)</f>
        <v>0</v>
      </c>
      <c r="CJ795" s="50" t="n">
        <f aca="false">N(M795)+N(N795)</f>
        <v>98</v>
      </c>
      <c r="CK795" s="50" t="n">
        <f aca="false">N(M795)</f>
        <v>3</v>
      </c>
      <c r="CL795" s="50" t="n">
        <f aca="false">N(N795)</f>
        <v>95</v>
      </c>
      <c r="CM795" s="50" t="n">
        <f aca="false">ROUNDUP(H795/BY795,0)</f>
        <v>1</v>
      </c>
      <c r="CN795" s="50" t="n">
        <f aca="false">ROUNDUP(CI795/BY795,0)</f>
        <v>0</v>
      </c>
      <c r="CO795" s="53" t="n">
        <f aca="false">IF(BZ795=1,0,IFERROR(VLOOKUP(BX795,'Gebinde-Kategorie'!$A$5:$N$45,5,0)+0,0))</f>
        <v>11</v>
      </c>
      <c r="CP795" s="53" t="n">
        <f aca="false">IFERROR(IF(OR(CE795=1,CE795=2,CE795=3),N(INDEX(Parameter!$I$5:$I$7,CE795)),0),0)</f>
        <v>0</v>
      </c>
      <c r="CQ795" s="52" t="n">
        <f aca="false">IF(AND(Parameter!$B$21="Ja",ISNUMBER(W795),N(X795)&gt;0),IFERROR(N(INDEX(Parameter!$L$5:$L$7,W795))*INDEX(Parameter!$E$5:$E$7,W795)*X795/SUMIFS($X$7:$X$1843,$W$7:$W$1843,W795),0),0)</f>
        <v>0</v>
      </c>
    </row>
    <row r="796" customFormat="false" ht="15" hidden="false" customHeight="false" outlineLevel="0" collapsed="false">
      <c r="A796" s="48" t="s">
        <v>1556</v>
      </c>
      <c r="B796" s="48" t="s">
        <v>1557</v>
      </c>
      <c r="C796" s="48" t="s">
        <v>173</v>
      </c>
      <c r="D796" s="48" t="s">
        <v>193</v>
      </c>
      <c r="E796" s="48"/>
      <c r="F796" s="48" t="s">
        <v>227</v>
      </c>
      <c r="G796" s="49" t="n">
        <v>1.95</v>
      </c>
      <c r="H796" s="50" t="n">
        <f aca="false">MAX(0,IF(AND(Parameter!$B$21="Ja",ISNUMBER(Y796)),Y796,IF(Parameter!$B$20="Jahresanfang 2025 + Export",BR796+BQ796,BQ796)))</f>
        <v>3</v>
      </c>
      <c r="I796" s="50" t="n">
        <f aca="false">H796*G796</f>
        <v>5.85</v>
      </c>
      <c r="J796" s="50" t="n">
        <f aca="false">BT796*Parameter!$B$18</f>
        <v>1</v>
      </c>
      <c r="K796" s="51" t="n">
        <v>4.5</v>
      </c>
      <c r="L796" s="52" t="n">
        <v>0.222222222222222</v>
      </c>
      <c r="M796" s="50" t="n">
        <v>0</v>
      </c>
      <c r="N796" s="50" t="n">
        <v>1</v>
      </c>
      <c r="O796" s="53" t="n">
        <v>42</v>
      </c>
      <c r="P796" s="48" t="s">
        <v>435</v>
      </c>
      <c r="Q796" s="50" t="n">
        <v>5</v>
      </c>
      <c r="R796" s="53" t="n">
        <f aca="false">IF(BZ796=1,0,IFERROR(VLOOKUP(BX796,'Gebinde-Kategorie'!$A$5:$N$45,13,0)+0,0))</f>
        <v>140</v>
      </c>
      <c r="S796" s="54"/>
      <c r="T796" s="55"/>
      <c r="U796" s="55"/>
      <c r="V796" s="55"/>
      <c r="W796" s="48"/>
      <c r="X796" s="50"/>
      <c r="Y796" s="50"/>
      <c r="Z796" s="48" t="n">
        <f aca="false">IF(A796="","",IF(AND(Parameter!$B$21="Ja",ISNUMBER(W796)),W796,IF(CC796="2+3",IF(ISNUMBER(SEARCH("grosser Artikel",BU796)),2,IFERROR(VLOOKUP(BX796,Parameter!$F$35:$G$64,2,0),2)),IF(OR(CC796="Nein",CC796=""),"-",CC796))))</f>
        <v>3</v>
      </c>
      <c r="AA796" s="55"/>
      <c r="AB796" s="56"/>
      <c r="AC796" s="50" t="n">
        <f aca="false">AV796</f>
        <v>1</v>
      </c>
      <c r="AD796" s="50" t="n">
        <f aca="false">MAX(AV796,H796)</f>
        <v>3</v>
      </c>
      <c r="AE796" s="57"/>
      <c r="AF796" s="50" t="n">
        <f aca="false">IF(LEFT(Cockpit!$C$5,1)="A",H796,IF(Parameter!$E$30="MAX-Bestand",IF(CH796=1,CI796,IF(LEFT(Cockpit!$C$5,1)="B",AL796,MAX(AL796,H796))),ROUNDUP(AJ796,0)))</f>
        <v>3</v>
      </c>
      <c r="AG796" s="50" t="n">
        <f aca="false">IF(BZ796=1,0,ROUNDUP(AF796/BY796,0))</f>
        <v>1</v>
      </c>
      <c r="AH796" s="52" t="n">
        <f aca="false">IF(CQ796&gt;0,CQ796*MAX(1,AF796/X796),IF(BZ796=1,IF(AF796&lt;=0,0,CD796*MAX(1,IF(H796&gt;0,AF796/H796,1))),IF(R796&gt;0,AG796/R796,0))/MAX(0.1,N(Parameter!$M$21)))</f>
        <v>0.00714285714285714</v>
      </c>
      <c r="AI796" s="50" t="n">
        <f aca="false">AH796*CB796</f>
        <v>1.10714285714286</v>
      </c>
      <c r="AJ796" s="51" t="n">
        <f aca="false">IF(LEFT(Cockpit!$C$5,1)="A",H796,IF(CH796=1,(CK796+CI796)/2,IF(LEFT(Cockpit!$C$5,1)="B",(CK796+AL796)/2,MAX((CK796+AL796)/2,H796))))</f>
        <v>3</v>
      </c>
      <c r="AK796" s="50" t="n">
        <f aca="false">AJ796*G796</f>
        <v>5.85</v>
      </c>
      <c r="AL796" s="50" t="n">
        <f aca="false">ROUNDUP(CK796+MAX(CL796,2*(J796/IF(CG796&gt;0,CG796,MAX(0.1,N(Cockpit!$C$6)))-CK796)),0)</f>
        <v>1</v>
      </c>
      <c r="AM796" s="51" t="n">
        <f aca="false">IF(AI796&gt;0,J796/AI796,-1)</f>
        <v>0.903225806451613</v>
      </c>
      <c r="AN796" s="51" t="n">
        <f aca="false">IF(AND(OR(CF796="L1",CF796="L23",CF796="LIFT"),AI796&gt;0),SUMIFS($AI$7:$AI$1843,$CF$7:$CF$1843,CF796,$AM$7:$AM$1843,"&gt;"&amp;AM796)+SUMIFS($AI$7:$AI$1843,$CF$7:$CF$1843,CF796,$AM$7:$AM$1843,AM796,$BW$7:$BW$1843,"&lt;="&amp;BW796),"")</f>
        <v>7619.95558608059</v>
      </c>
      <c r="AO796" s="58" t="n">
        <f aca="false">IF(AN796="",0,MAX(0,MIN(1,(IF(CF796="L1",Parameter!$H$5,IF(CF796="L23",Parameter!$H$6+Parameter!$H$7,Parameter!$H$5+Parameter!$H$6+Parameter!$H$7))-(AN796-AI796))/AI796)))</f>
        <v>1</v>
      </c>
      <c r="AP796" s="50" t="n">
        <f aca="false">IF(LEFT(Cockpit!$I$5,1)="A",H796,IF(Parameter!$E$30="MAX-Bestand",IF(CH796=1,CI796,IF(LEFT(Cockpit!$I$5,1)="B",AV796,MAX(AV796,H796))),ROUNDUP(AT796,0)))</f>
        <v>3</v>
      </c>
      <c r="AQ796" s="50" t="n">
        <f aca="false">IF(BZ796=1,0,ROUNDUP(AP796/BY796,0))</f>
        <v>1</v>
      </c>
      <c r="AR796" s="52" t="n">
        <f aca="false">IF(CQ796&gt;0,CQ796*MAX(1,AP796/X796),IF(BZ796=1,IF(AP796&lt;=0,0,CD796*MAX(1,IF(H796&gt;0,AP796/H796,1))),IF(R796&gt;0,AQ796/R796,0))/MAX(0.1,N(Parameter!$M$21)))</f>
        <v>0.00714285714285714</v>
      </c>
      <c r="AS796" s="50" t="n">
        <f aca="false">AR796*CB796</f>
        <v>1.10714285714286</v>
      </c>
      <c r="AT796" s="51" t="n">
        <f aca="false">IF(LEFT(Cockpit!$I$5,1)="A",H796,IF(CH796=1,(CK796+CI796)/2,IF(LEFT(Cockpit!$I$5,1)="B",(CK796+AV796)/2,MAX((CK796+AV796)/2,H796))))</f>
        <v>3</v>
      </c>
      <c r="AU796" s="50" t="n">
        <f aca="false">AT796*G796</f>
        <v>5.85</v>
      </c>
      <c r="AV796" s="50" t="n">
        <f aca="false">ROUNDUP(CK796+MAX(CL796,2*(J796/IF(CG796&gt;0,CG796,MAX(0.1,N(Cockpit!$I$6)))-CK796)),0)</f>
        <v>1</v>
      </c>
      <c r="AW796" s="51" t="n">
        <f aca="false">IF(AS796&gt;0,J796/AS796,-1)</f>
        <v>0.903225806451613</v>
      </c>
      <c r="AX796" s="51" t="n">
        <f aca="false">IF(AND(OR(CF796="L1",CF796="L23",CF796="LIFT"),AS796&gt;0),SUMIFS($AS$7:$AS$1843,$CF$7:$CF$1843,CF796,$AW$7:$AW$1843,"&gt;"&amp;AW796)+SUMIFS($AS$7:$AS$1843,$CF$7:$CF$1843,CF796,$AW$7:$AW$1843,AW796,$BW$7:$BW$1843,"&lt;="&amp;BW796),"")</f>
        <v>9194.3956043956</v>
      </c>
      <c r="AY796" s="58" t="n">
        <f aca="false">IF(AX796="",0,MAX(0,MIN(1,(IF(CF796="L1",Parameter!$H$5,IF(CF796="L23",Parameter!$H$6+Parameter!$H$7,Parameter!$H$5+Parameter!$H$6+Parameter!$H$7))-(AX796-AS796))/AS796)))</f>
        <v>1</v>
      </c>
      <c r="AZ796" s="50" t="n">
        <f aca="false">IF(LEFT(Cockpit!$O$5,1)="A",H796,IF(Parameter!$E$30="MAX-Bestand",IF(CH796=1,CI796,IF(LEFT(Cockpit!$O$5,1)="B",BF796,MAX(BF796,H796))),ROUNDUP(BD796,0)))</f>
        <v>1</v>
      </c>
      <c r="BA796" s="50" t="n">
        <f aca="false">IF(BZ796=1,0,ROUNDUP(AZ796/BY796,0))</f>
        <v>1</v>
      </c>
      <c r="BB796" s="52" t="n">
        <f aca="false">IF(CQ796&gt;0,CQ796*MAX(1,AZ796/X796),IF(BZ796=1,IF(AZ796&lt;=0,0,CD796*MAX(1,IF(H796&gt;0,AZ796/H796,1))),IF(R796&gt;0,BA796/R796,0))/MAX(0.1,N(Parameter!$M$21)))</f>
        <v>0.00714285714285714</v>
      </c>
      <c r="BC796" s="50" t="n">
        <f aca="false">BB796*CB796</f>
        <v>1.10714285714286</v>
      </c>
      <c r="BD796" s="51" t="n">
        <f aca="false">IF(LEFT(Cockpit!$O$5,1)="A",H796,IF(CH796=1,(CK796+CI796)/2,IF(LEFT(Cockpit!$O$5,1)="B",(CK796+BF796)/2,MAX((CK796+BF796)/2,H796))))</f>
        <v>0.5</v>
      </c>
      <c r="BE796" s="50" t="n">
        <f aca="false">BD796*G796</f>
        <v>0.975</v>
      </c>
      <c r="BF796" s="50" t="n">
        <f aca="false">ROUNDUP(CK796+MAX(CL796,2*(J796/IF(CG796&gt;0,CG796,MAX(0.1,N(Cockpit!$O$6)))-CK796)),0)</f>
        <v>1</v>
      </c>
      <c r="BG796" s="51" t="n">
        <f aca="false">IF(BC796&gt;0,J796/BC796,-1)</f>
        <v>0.903225806451613</v>
      </c>
      <c r="BH796" s="51" t="n">
        <f aca="false">IF(AND(OR(CF796="L1",CF796="L23",CF796="LIFT"),BC796&gt;0),SUMIFS($BC$7:$BC$1843,$CF$7:$CF$1843,CF796,$BG$7:$BG$1843,"&gt;"&amp;BG796)+SUMIFS($BC$7:$BC$1843,$CF$7:$CF$1843,CF796,$BG$7:$BG$1843,BG796,$BW$7:$BW$1843,"&lt;="&amp;BW796),"")</f>
        <v>8245.61492673993</v>
      </c>
      <c r="BI796" s="58" t="n">
        <f aca="false">IF(BH796="",0,MAX(0,MIN(1,(IF(CF796="L1",Parameter!$H$5,IF(CF796="L23",Parameter!$H$6+Parameter!$H$7,Parameter!$H$5+Parameter!$H$6+Parameter!$H$7))-(BH796-BC796))/BC796)))</f>
        <v>1</v>
      </c>
      <c r="BJ796" s="48" t="str">
        <f aca="false">IF(AI796&lt;=0,"",IF(CF796="Aussen","Aussenlager",IF(CF796="-","Nicht im Lift",IF(AO796&gt;=1,"Lift",IF(AO796&lt;=0,"Aussenlager","teilweise")))))</f>
        <v>Lift</v>
      </c>
      <c r="BK796" s="48" t="str">
        <f aca="false">IF(AS796&lt;=0,"",IF(CF796="Aussen","Aussenlager",IF(CF796="-","Nicht im Lift",IF(AY796&gt;=1,"Lift",IF(AY796&lt;=0,"Aussenlager","teilweise")))))</f>
        <v>Lift</v>
      </c>
      <c r="BL796" s="48" t="str">
        <f aca="false">IF(BC796&lt;=0,"",IF(CF796="Aussen","Aussenlager",IF(CF796="-","Nicht im Lift",IF(BI796&gt;=1,"Lift",IF(BI796&lt;=0,"Aussenlager","teilweise")))))</f>
        <v>Lift</v>
      </c>
      <c r="BM796" s="48" t="str">
        <f aca="false">IF(A796="","",IF(BV796=1,"Neu; ","")&amp;IF(AND(BV796=0,BQ796&lt;0),"negativer Bestand (Export "&amp;BQ796&amp;"); ","")&amp;IF(J796&lt;=0,"Kein Verbrauch; ","")&amp;IF(CQ796&gt;0,"Lift "&amp;W796&amp;" lt. Liftbericht (Fach "&amp;X796&amp;" Stk); ",IF(CA796=1,"Gebinde geschätzt ("&amp;T796&amp;"); ",IF(BZ796=1,"Lose – Tablare geschätzt; ","")))&amp;IF(H796&gt;AV796,"Überbestand "&amp;ROUND(H796-AV796,0)&amp;" Stk / CHF "&amp;ROUND((H796-AV796)*G796,0)&amp;"; ","")&amp;IF(AND(CH796=1,CI796&lt;CJ796),"MAX &lt; MB+LG; ","")&amp;IF(AND(CP796&gt;0,CO796*10&gt;CP796),"zu hoch für Tablar; ","")&amp;IF(AND(BV796=0,OR(CH796=1,AA796&lt;&gt;"",U796&lt;&gt;"",V796&lt;&gt;"",AB796&lt;&gt;"")),"manuell übersteuert; ","")&amp;IF(AND(BZ796=0,R796=0),"Gebinde unbekannt / Stellmass fehlt; ","")&amp;IF(AND(BZ796=0,N(V796)&lt;=0,N(Q796)&lt;=0),"Menge pro Gebinde fehlt (Ist = 1 Gebinde); ","")&amp;BU796)</f>
        <v>negativer Bestand (Export -2); Überbestand 2 Stk / CHF 4; </v>
      </c>
      <c r="BN796" s="48"/>
      <c r="BO796" s="48"/>
      <c r="BP796" s="55"/>
      <c r="BQ796" s="50" t="n">
        <v>-2</v>
      </c>
      <c r="BR796" s="50" t="n">
        <v>5</v>
      </c>
      <c r="BS796" s="49" t="n">
        <v>-3.9</v>
      </c>
      <c r="BT796" s="50" t="n">
        <v>1</v>
      </c>
      <c r="BU796" s="48"/>
      <c r="BV796" s="53" t="n">
        <v>0</v>
      </c>
      <c r="BW796" s="53" t="n">
        <v>796</v>
      </c>
      <c r="BX796" s="48" t="str">
        <f aca="false">IF(U796&lt;&gt;"",UPPER(TRIM(U796)),IF(CA796=1,UPPER(VLOOKUP(T796,Parameter!$I$27:$K$29,2,0)),IF(P796="","LOSE",P796)))</f>
        <v>S22</v>
      </c>
      <c r="BY796" s="50" t="n">
        <f aca="false">IF(BX796="LOSE",1,IF(N(V796)&gt;0,V796,IF(CA796=1,MAX(1,N(VLOOKUP(T796,Parameter!$I$27:$K$29,3,0)),H796,N(N796)),IF(N(Q796)&gt;0,Q796,MAX(1,H796)))))</f>
        <v>5</v>
      </c>
      <c r="BZ796" s="53" t="n">
        <f aca="false">IF(BX796="LOSE",1,0)</f>
        <v>0</v>
      </c>
      <c r="CA796" s="53" t="n">
        <f aca="false">IF(AND(U796="",OR(P796="",P796="LOSE"),T796&lt;&gt;"",N(S796)&lt;=0,ISNUMBER(MATCH(T796,Parameter!$I$27:$I$29,0))),1,0)</f>
        <v>0</v>
      </c>
      <c r="CB796" s="53" t="n">
        <f aca="false">IF(CQ796&gt;0,INDEX(Parameter!$H$5:$H$7,W796)/INDEX(Parameter!$E$5:$E$7,W796),IF(AND(BZ796=0,N(IFERROR(VLOOKUP(BX796,'Gebinde-Kategorie'!$A$5:$N$45,14,0),0))&gt;0),VLOOKUP(BX796,'Gebinde-Kategorie'!$A$5:$N$45,14,0)*10+Parameter!$M$23,Parameter!$M$24))</f>
        <v>155</v>
      </c>
      <c r="CC796" s="48" t="str">
        <f aca="false">IF(AND(Parameter!$B$19="Ja",E796&lt;&gt;"",ISNUMBER(MATCH(E796,Parameter!$I$35:$I$52,0))),VLOOKUP(E796,Parameter!$I$35:$J$52,2,0),IFERROR(VLOOKUP(D796,Parameter!$A$35:$C$64,2,0),"Nein"))</f>
        <v>2+3</v>
      </c>
      <c r="CD796" s="52" t="n">
        <f aca="false">IF(BZ796=0,0,IF(N(S796)&gt;0,S796,IFERROR(VLOOKUP(D796,Parameter!$A$35:$C$64,3,0)+0,0)))</f>
        <v>0</v>
      </c>
      <c r="CE796" s="48" t="n">
        <f aca="false">IF(AA796&lt;&gt;"",AA796,Z796)</f>
        <v>3</v>
      </c>
      <c r="CF796" s="48" t="str">
        <f aca="false">IF(OR(CE796=1,CE796=2,CE796=3),IF(Parameter!$E$27="Ja","LIFT",IF(CE796=1,"L1","L23")),IF(CE796="Aussen","Aussen","-"))</f>
        <v>LIFT</v>
      </c>
      <c r="CG796" s="59" t="n">
        <f aca="false">IF(N(AB796)&gt;0,AB796,0)</f>
        <v>0</v>
      </c>
      <c r="CH796" s="53" t="n">
        <f aca="false">IF(ISNUMBER(AE796),1,0)</f>
        <v>0</v>
      </c>
      <c r="CI796" s="50" t="n">
        <f aca="false">N(AE796)</f>
        <v>0</v>
      </c>
      <c r="CJ796" s="50" t="n">
        <f aca="false">N(M796)+N(N796)</f>
        <v>1</v>
      </c>
      <c r="CK796" s="50" t="n">
        <f aca="false">N(M796)</f>
        <v>0</v>
      </c>
      <c r="CL796" s="50" t="n">
        <f aca="false">N(N796)</f>
        <v>1</v>
      </c>
      <c r="CM796" s="50" t="n">
        <f aca="false">ROUNDUP(H796/BY796,0)</f>
        <v>1</v>
      </c>
      <c r="CN796" s="50" t="n">
        <f aca="false">ROUNDUP(CI796/BY796,0)</f>
        <v>0</v>
      </c>
      <c r="CO796" s="53" t="n">
        <f aca="false">IF(BZ796=1,0,IFERROR(VLOOKUP(BX796,'Gebinde-Kategorie'!$A$5:$N$45,5,0)+0,0))</f>
        <v>8</v>
      </c>
      <c r="CP796" s="53" t="n">
        <f aca="false">IFERROR(IF(OR(CE796=1,CE796=2,CE796=3),N(INDEX(Parameter!$I$5:$I$7,CE796)),0),0)</f>
        <v>0</v>
      </c>
      <c r="CQ796" s="52" t="n">
        <f aca="false">IF(AND(Parameter!$B$21="Ja",ISNUMBER(W796),N(X796)&gt;0),IFERROR(N(INDEX(Parameter!$L$5:$L$7,W796))*INDEX(Parameter!$E$5:$E$7,W796)*X796/SUMIFS($X$7:$X$1843,$W$7:$W$1843,W796),0),0)</f>
        <v>0</v>
      </c>
    </row>
    <row r="797" customFormat="false" ht="15" hidden="false" customHeight="false" outlineLevel="0" collapsed="false">
      <c r="A797" s="48" t="s">
        <v>1558</v>
      </c>
      <c r="B797" s="48" t="s">
        <v>1559</v>
      </c>
      <c r="C797" s="48" t="s">
        <v>173</v>
      </c>
      <c r="D797" s="48" t="s">
        <v>193</v>
      </c>
      <c r="E797" s="48" t="s">
        <v>194</v>
      </c>
      <c r="F797" s="48" t="s">
        <v>227</v>
      </c>
      <c r="G797" s="49" t="n">
        <v>1.26</v>
      </c>
      <c r="H797" s="50" t="n">
        <f aca="false">MAX(0,IF(AND(Parameter!$B$21="Ja",ISNUMBER(Y797)),Y797,IF(Parameter!$B$20="Jahresanfang 2025 + Export",BR797+BQ797,BQ797)))</f>
        <v>100</v>
      </c>
      <c r="I797" s="50" t="n">
        <f aca="false">H797*G797</f>
        <v>126</v>
      </c>
      <c r="J797" s="50" t="n">
        <f aca="false">BT797*Parameter!$B$18</f>
        <v>0</v>
      </c>
      <c r="K797" s="51" t="n">
        <v>106</v>
      </c>
      <c r="L797" s="52" t="n">
        <v>0</v>
      </c>
      <c r="M797" s="50" t="n">
        <v>0</v>
      </c>
      <c r="N797" s="50" t="n">
        <v>1</v>
      </c>
      <c r="O797" s="53" t="n">
        <v>21</v>
      </c>
      <c r="P797" s="48" t="s">
        <v>430</v>
      </c>
      <c r="Q797" s="50" t="n">
        <v>100</v>
      </c>
      <c r="R797" s="53" t="n">
        <f aca="false">IF(BZ797=1,0,IFERROR(VLOOKUP(BX797,'Gebinde-Kategorie'!$A$5:$N$45,13,0)+0,0))</f>
        <v>104</v>
      </c>
      <c r="S797" s="54"/>
      <c r="T797" s="55"/>
      <c r="U797" s="55"/>
      <c r="V797" s="55"/>
      <c r="W797" s="48"/>
      <c r="X797" s="50"/>
      <c r="Y797" s="50"/>
      <c r="Z797" s="48" t="n">
        <f aca="false">IF(A797="","",IF(AND(Parameter!$B$21="Ja",ISNUMBER(W797)),W797,IF(CC797="2+3",IF(ISNUMBER(SEARCH("grosser Artikel",BU797)),2,IFERROR(VLOOKUP(BX797,Parameter!$F$35:$G$64,2,0),2)),IF(OR(CC797="Nein",CC797=""),"-",CC797))))</f>
        <v>3</v>
      </c>
      <c r="AA797" s="55"/>
      <c r="AB797" s="56"/>
      <c r="AC797" s="50" t="n">
        <f aca="false">AV797</f>
        <v>1</v>
      </c>
      <c r="AD797" s="50" t="n">
        <f aca="false">MAX(AV797,H797)</f>
        <v>100</v>
      </c>
      <c r="AE797" s="57"/>
      <c r="AF797" s="50" t="n">
        <f aca="false">IF(LEFT(Cockpit!$C$5,1)="A",H797,IF(Parameter!$E$30="MAX-Bestand",IF(CH797=1,CI797,IF(LEFT(Cockpit!$C$5,1)="B",AL797,MAX(AL797,H797))),ROUNDUP(AJ797,0)))</f>
        <v>100</v>
      </c>
      <c r="AG797" s="50" t="n">
        <f aca="false">IF(BZ797=1,0,ROUNDUP(AF797/BY797,0))</f>
        <v>1</v>
      </c>
      <c r="AH797" s="52" t="n">
        <f aca="false">IF(CQ797&gt;0,CQ797*MAX(1,AF797/X797),IF(BZ797=1,IF(AF797&lt;=0,0,CD797*MAX(1,IF(H797&gt;0,AF797/H797,1))),IF(R797&gt;0,AG797/R797,0))/MAX(0.1,N(Parameter!$M$21)))</f>
        <v>0.00961538461538462</v>
      </c>
      <c r="AI797" s="50" t="n">
        <f aca="false">AH797*CB797</f>
        <v>1.49038461538462</v>
      </c>
      <c r="AJ797" s="51" t="n">
        <f aca="false">IF(LEFT(Cockpit!$C$5,1)="A",H797,IF(CH797=1,(CK797+CI797)/2,IF(LEFT(Cockpit!$C$5,1)="B",(CK797+AL797)/2,MAX((CK797+AL797)/2,H797))))</f>
        <v>100</v>
      </c>
      <c r="AK797" s="50" t="n">
        <f aca="false">AJ797*G797</f>
        <v>126</v>
      </c>
      <c r="AL797" s="50" t="n">
        <f aca="false">ROUNDUP(CK797+MAX(CL797,2*(J797/IF(CG797&gt;0,CG797,MAX(0.1,N(Cockpit!$C$6)))-CK797)),0)</f>
        <v>1</v>
      </c>
      <c r="AM797" s="51" t="n">
        <f aca="false">IF(AI797&gt;0,J797/AI797,-1)</f>
        <v>0</v>
      </c>
      <c r="AN797" s="51" t="n">
        <f aca="false">IF(AND(OR(CF797="L1",CF797="L23",CF797="LIFT"),AI797&gt;0),SUMIFS($AI$7:$AI$1843,$CF$7:$CF$1843,CF797,$AM$7:$AM$1843,"&gt;"&amp;AM797)+SUMIFS($AI$7:$AI$1843,$CF$7:$CF$1843,CF797,$AM$7:$AM$1843,AM797,$BW$7:$BW$1843,"&lt;="&amp;BW797),"")</f>
        <v>28764.2652780365</v>
      </c>
      <c r="AO797" s="58" t="n">
        <f aca="false">IF(AN797="",0,MAX(0,MIN(1,(IF(CF797="L1",Parameter!$H$5,IF(CF797="L23",Parameter!$H$6+Parameter!$H$7,Parameter!$H$5+Parameter!$H$6+Parameter!$H$7))-(AN797-AI797))/AI797)))</f>
        <v>1</v>
      </c>
      <c r="AP797" s="50" t="n">
        <f aca="false">IF(LEFT(Cockpit!$I$5,1)="A",H797,IF(Parameter!$E$30="MAX-Bestand",IF(CH797=1,CI797,IF(LEFT(Cockpit!$I$5,1)="B",AV797,MAX(AV797,H797))),ROUNDUP(AT797,0)))</f>
        <v>100</v>
      </c>
      <c r="AQ797" s="50" t="n">
        <f aca="false">IF(BZ797=1,0,ROUNDUP(AP797/BY797,0))</f>
        <v>1</v>
      </c>
      <c r="AR797" s="52" t="n">
        <f aca="false">IF(CQ797&gt;0,CQ797*MAX(1,AP797/X797),IF(BZ797=1,IF(AP797&lt;=0,0,CD797*MAX(1,IF(H797&gt;0,AP797/H797,1))),IF(R797&gt;0,AQ797/R797,0))/MAX(0.1,N(Parameter!$M$21)))</f>
        <v>0.00961538461538462</v>
      </c>
      <c r="AS797" s="50" t="n">
        <f aca="false">AR797*CB797</f>
        <v>1.49038461538462</v>
      </c>
      <c r="AT797" s="51" t="n">
        <f aca="false">IF(LEFT(Cockpit!$I$5,1)="A",H797,IF(CH797=1,(CK797+CI797)/2,IF(LEFT(Cockpit!$I$5,1)="B",(CK797+AV797)/2,MAX((CK797+AV797)/2,H797))))</f>
        <v>100</v>
      </c>
      <c r="AU797" s="50" t="n">
        <f aca="false">AT797*G797</f>
        <v>126</v>
      </c>
      <c r="AV797" s="50" t="n">
        <f aca="false">ROUNDUP(CK797+MAX(CL797,2*(J797/IF(CG797&gt;0,CG797,MAX(0.1,N(Cockpit!$I$6)))-CK797)),0)</f>
        <v>1</v>
      </c>
      <c r="AW797" s="51" t="n">
        <f aca="false">IF(AS797&gt;0,J797/AS797,-1)</f>
        <v>0</v>
      </c>
      <c r="AX797" s="51" t="n">
        <f aca="false">IF(AND(OR(CF797="L1",CF797="L23",CF797="LIFT"),AS797&gt;0),SUMIFS($AS$7:$AS$1843,$CF$7:$CF$1843,CF797,$AW$7:$AW$1843,"&gt;"&amp;AW797)+SUMIFS($AS$7:$AS$1843,$CF$7:$CF$1843,CF797,$AW$7:$AW$1843,AW797,$BW$7:$BW$1843,"&lt;="&amp;BW797),"")</f>
        <v>34369.0485347985</v>
      </c>
      <c r="AY797" s="58" t="n">
        <f aca="false">IF(AX797="",0,MAX(0,MIN(1,(IF(CF797="L1",Parameter!$H$5,IF(CF797="L23",Parameter!$H$6+Parameter!$H$7,Parameter!$H$5+Parameter!$H$6+Parameter!$H$7))-(AX797-AS797))/AS797)))</f>
        <v>1</v>
      </c>
      <c r="AZ797" s="50" t="n">
        <f aca="false">IF(LEFT(Cockpit!$O$5,1)="A",H797,IF(Parameter!$E$30="MAX-Bestand",IF(CH797=1,CI797,IF(LEFT(Cockpit!$O$5,1)="B",BF797,MAX(BF797,H797))),ROUNDUP(BD797,0)))</f>
        <v>1</v>
      </c>
      <c r="BA797" s="50" t="n">
        <f aca="false">IF(BZ797=1,0,ROUNDUP(AZ797/BY797,0))</f>
        <v>1</v>
      </c>
      <c r="BB797" s="52" t="n">
        <f aca="false">IF(CQ797&gt;0,CQ797*MAX(1,AZ797/X797),IF(BZ797=1,IF(AZ797&lt;=0,0,CD797*MAX(1,IF(H797&gt;0,AZ797/H797,1))),IF(R797&gt;0,BA797/R797,0))/MAX(0.1,N(Parameter!$M$21)))</f>
        <v>0.00961538461538462</v>
      </c>
      <c r="BC797" s="50" t="n">
        <f aca="false">BB797*CB797</f>
        <v>1.49038461538462</v>
      </c>
      <c r="BD797" s="51" t="n">
        <f aca="false">IF(LEFT(Cockpit!$O$5,1)="A",H797,IF(CH797=1,(CK797+CI797)/2,IF(LEFT(Cockpit!$O$5,1)="B",(CK797+BF797)/2,MAX((CK797+BF797)/2,H797))))</f>
        <v>0.5</v>
      </c>
      <c r="BE797" s="50" t="n">
        <f aca="false">BD797*G797</f>
        <v>0.63</v>
      </c>
      <c r="BF797" s="50" t="n">
        <f aca="false">ROUNDUP(CK797+MAX(CL797,2*(J797/IF(CG797&gt;0,CG797,MAX(0.1,N(Cockpit!$O$6)))-CK797)),0)</f>
        <v>1</v>
      </c>
      <c r="BG797" s="51" t="n">
        <f aca="false">IF(BC797&gt;0,J797/BC797,-1)</f>
        <v>0</v>
      </c>
      <c r="BH797" s="51" t="n">
        <f aca="false">IF(AND(OR(CF797="L1",CF797="L23",CF797="LIFT"),BC797&gt;0),SUMIFS($BC$7:$BC$1843,$CF$7:$CF$1843,CF797,$BG$7:$BG$1843,"&gt;"&amp;BG797)+SUMIFS($BC$7:$BC$1843,$CF$7:$CF$1843,CF797,$BG$7:$BG$1843,BG797,$BW$7:$BW$1843,"&lt;="&amp;BW797),"")</f>
        <v>28412.9183817595</v>
      </c>
      <c r="BI797" s="58" t="n">
        <f aca="false">IF(BH797="",0,MAX(0,MIN(1,(IF(CF797="L1",Parameter!$H$5,IF(CF797="L23",Parameter!$H$6+Parameter!$H$7,Parameter!$H$5+Parameter!$H$6+Parameter!$H$7))-(BH797-BC797))/BC797)))</f>
        <v>1</v>
      </c>
      <c r="BJ797" s="48" t="str">
        <f aca="false">IF(AI797&lt;=0,"",IF(CF797="Aussen","Aussenlager",IF(CF797="-","Nicht im Lift",IF(AO797&gt;=1,"Lift",IF(AO797&lt;=0,"Aussenlager","teilweise")))))</f>
        <v>Lift</v>
      </c>
      <c r="BK797" s="48" t="str">
        <f aca="false">IF(AS797&lt;=0,"",IF(CF797="Aussen","Aussenlager",IF(CF797="-","Nicht im Lift",IF(AY797&gt;=1,"Lift",IF(AY797&lt;=0,"Aussenlager","teilweise")))))</f>
        <v>Lift</v>
      </c>
      <c r="BL797" s="48" t="str">
        <f aca="false">IF(BC797&lt;=0,"",IF(CF797="Aussen","Aussenlager",IF(CF797="-","Nicht im Lift",IF(BI797&gt;=1,"Lift",IF(BI797&lt;=0,"Aussenlager","teilweise")))))</f>
        <v>Lift</v>
      </c>
      <c r="BM797" s="48" t="str">
        <f aca="false">IF(A797="","",IF(BV797=1,"Neu; ","")&amp;IF(AND(BV797=0,BQ797&lt;0),"negativer Bestand (Export "&amp;BQ797&amp;"); ","")&amp;IF(J797&lt;=0,"Kein Verbrauch; ","")&amp;IF(CQ797&gt;0,"Lift "&amp;W797&amp;" lt. Liftbericht (Fach "&amp;X797&amp;" Stk); ",IF(CA797=1,"Gebinde geschätzt ("&amp;T797&amp;"); ",IF(BZ797=1,"Lose – Tablare geschätzt; ","")))&amp;IF(H797&gt;AV797,"Überbestand "&amp;ROUND(H797-AV797,0)&amp;" Stk / CHF "&amp;ROUND((H797-AV797)*G797,0)&amp;"; ","")&amp;IF(AND(CH797=1,CI797&lt;CJ797),"MAX &lt; MB+LG; ","")&amp;IF(AND(CP797&gt;0,CO797*10&gt;CP797),"zu hoch für Tablar; ","")&amp;IF(AND(BV797=0,OR(CH797=1,AA797&lt;&gt;"",U797&lt;&gt;"",V797&lt;&gt;"",AB797&lt;&gt;"")),"manuell übersteuert; ","")&amp;IF(AND(BZ797=0,R797=0),"Gebinde unbekannt / Stellmass fehlt; ","")&amp;IF(AND(BZ797=0,N(V797)&lt;=0,N(Q797)&lt;=0),"Menge pro Gebinde fehlt (Ist = 1 Gebinde); ","")&amp;BU797)</f>
        <v>negativer Bestand (Export -12); Kein Verbrauch; Überbestand 99 Stk / CHF 125; nicht im KTL vorhanden</v>
      </c>
      <c r="BN797" s="48"/>
      <c r="BO797" s="48"/>
      <c r="BP797" s="55"/>
      <c r="BQ797" s="50" t="n">
        <v>-12</v>
      </c>
      <c r="BR797" s="50" t="n">
        <v>112</v>
      </c>
      <c r="BS797" s="49" t="n">
        <v>-3.91999999999999</v>
      </c>
      <c r="BT797" s="50" t="n">
        <v>0</v>
      </c>
      <c r="BU797" s="48" t="s">
        <v>239</v>
      </c>
      <c r="BV797" s="53" t="n">
        <v>0</v>
      </c>
      <c r="BW797" s="53" t="n">
        <v>797</v>
      </c>
      <c r="BX797" s="48" t="str">
        <f aca="false">IF(U797&lt;&gt;"",UPPER(TRIM(U797)),IF(CA797=1,UPPER(VLOOKUP(T797,Parameter!$I$27:$K$29,2,0)),IF(P797="","LOSE",P797)))</f>
        <v>S32</v>
      </c>
      <c r="BY797" s="50" t="n">
        <f aca="false">IF(BX797="LOSE",1,IF(N(V797)&gt;0,V797,IF(CA797=1,MAX(1,N(VLOOKUP(T797,Parameter!$I$27:$K$29,3,0)),H797,N(N797)),IF(N(Q797)&gt;0,Q797,MAX(1,H797)))))</f>
        <v>100</v>
      </c>
      <c r="BZ797" s="53" t="n">
        <f aca="false">IF(BX797="LOSE",1,0)</f>
        <v>0</v>
      </c>
      <c r="CA797" s="53" t="n">
        <f aca="false">IF(AND(U797="",OR(P797="",P797="LOSE"),T797&lt;&gt;"",N(S797)&lt;=0,ISNUMBER(MATCH(T797,Parameter!$I$27:$I$29,0))),1,0)</f>
        <v>0</v>
      </c>
      <c r="CB797" s="53" t="n">
        <f aca="false">IF(CQ797&gt;0,INDEX(Parameter!$H$5:$H$7,W797)/INDEX(Parameter!$E$5:$E$7,W797),IF(AND(BZ797=0,N(IFERROR(VLOOKUP(BX797,'Gebinde-Kategorie'!$A$5:$N$45,14,0),0))&gt;0),VLOOKUP(BX797,'Gebinde-Kategorie'!$A$5:$N$45,14,0)*10+Parameter!$M$23,Parameter!$M$24))</f>
        <v>155</v>
      </c>
      <c r="CC797" s="48" t="str">
        <f aca="false">IF(AND(Parameter!$B$19="Ja",E797&lt;&gt;"",ISNUMBER(MATCH(E797,Parameter!$I$35:$I$52,0))),VLOOKUP(E797,Parameter!$I$35:$J$52,2,0),IFERROR(VLOOKUP(D797,Parameter!$A$35:$C$64,2,0),"Nein"))</f>
        <v>2+3</v>
      </c>
      <c r="CD797" s="52" t="n">
        <f aca="false">IF(BZ797=0,0,IF(N(S797)&gt;0,S797,IFERROR(VLOOKUP(D797,Parameter!$A$35:$C$64,3,0)+0,0)))</f>
        <v>0</v>
      </c>
      <c r="CE797" s="48" t="n">
        <f aca="false">IF(AA797&lt;&gt;"",AA797,Z797)</f>
        <v>3</v>
      </c>
      <c r="CF797" s="48" t="str">
        <f aca="false">IF(OR(CE797=1,CE797=2,CE797=3),IF(Parameter!$E$27="Ja","LIFT",IF(CE797=1,"L1","L23")),IF(CE797="Aussen","Aussen","-"))</f>
        <v>LIFT</v>
      </c>
      <c r="CG797" s="59" t="n">
        <f aca="false">IF(N(AB797)&gt;0,AB797,0)</f>
        <v>0</v>
      </c>
      <c r="CH797" s="53" t="n">
        <f aca="false">IF(ISNUMBER(AE797),1,0)</f>
        <v>0</v>
      </c>
      <c r="CI797" s="50" t="n">
        <f aca="false">N(AE797)</f>
        <v>0</v>
      </c>
      <c r="CJ797" s="50" t="n">
        <f aca="false">N(M797)+N(N797)</f>
        <v>1</v>
      </c>
      <c r="CK797" s="50" t="n">
        <f aca="false">N(M797)</f>
        <v>0</v>
      </c>
      <c r="CL797" s="50" t="n">
        <f aca="false">N(N797)</f>
        <v>1</v>
      </c>
      <c r="CM797" s="50" t="n">
        <f aca="false">ROUNDUP(H797/BY797,0)</f>
        <v>1</v>
      </c>
      <c r="CN797" s="50" t="n">
        <f aca="false">ROUNDUP(CI797/BY797,0)</f>
        <v>0</v>
      </c>
      <c r="CO797" s="53" t="n">
        <f aca="false">IF(BZ797=1,0,IFERROR(VLOOKUP(BX797,'Gebinde-Kategorie'!$A$5:$N$45,5,0)+0,0))</f>
        <v>8</v>
      </c>
      <c r="CP797" s="53" t="n">
        <f aca="false">IFERROR(IF(OR(CE797=1,CE797=2,CE797=3),N(INDEX(Parameter!$I$5:$I$7,CE797)),0),0)</f>
        <v>0</v>
      </c>
      <c r="CQ797" s="52" t="n">
        <f aca="false">IF(AND(Parameter!$B$21="Ja",ISNUMBER(W797),N(X797)&gt;0),IFERROR(N(INDEX(Parameter!$L$5:$L$7,W797))*INDEX(Parameter!$E$5:$E$7,W797)*X797/SUMIFS($X$7:$X$1843,$W$7:$W$1843,W797),0),0)</f>
        <v>0</v>
      </c>
    </row>
    <row r="798" customFormat="false" ht="15" hidden="false" customHeight="false" outlineLevel="0" collapsed="false">
      <c r="A798" s="48" t="s">
        <v>1560</v>
      </c>
      <c r="B798" s="48" t="s">
        <v>1561</v>
      </c>
      <c r="C798" s="48" t="s">
        <v>173</v>
      </c>
      <c r="D798" s="48" t="s">
        <v>193</v>
      </c>
      <c r="E798" s="48" t="s">
        <v>194</v>
      </c>
      <c r="F798" s="48" t="s">
        <v>227</v>
      </c>
      <c r="G798" s="49" t="n">
        <v>0.05</v>
      </c>
      <c r="H798" s="50" t="n">
        <f aca="false">MAX(0,IF(AND(Parameter!$B$21="Ja",ISNUMBER(Y798)),Y798,IF(Parameter!$B$20="Jahresanfang 2025 + Export",BR798+BQ798,BQ798)))</f>
        <v>1588</v>
      </c>
      <c r="I798" s="50" t="n">
        <f aca="false">H798*G798</f>
        <v>79.4</v>
      </c>
      <c r="J798" s="50" t="n">
        <f aca="false">BT798*Parameter!$B$18</f>
        <v>0</v>
      </c>
      <c r="K798" s="51" t="n">
        <v>1665</v>
      </c>
      <c r="L798" s="52" t="n">
        <v>0</v>
      </c>
      <c r="M798" s="50" t="n">
        <v>0</v>
      </c>
      <c r="N798" s="50" t="n">
        <v>1</v>
      </c>
      <c r="O798" s="53" t="n">
        <v>28</v>
      </c>
      <c r="P798" s="48" t="s">
        <v>435</v>
      </c>
      <c r="Q798" s="50" t="n">
        <v>1786</v>
      </c>
      <c r="R798" s="53" t="n">
        <f aca="false">IF(BZ798=1,0,IFERROR(VLOOKUP(BX798,'Gebinde-Kategorie'!$A$5:$N$45,13,0)+0,0))</f>
        <v>140</v>
      </c>
      <c r="S798" s="54"/>
      <c r="T798" s="55"/>
      <c r="U798" s="55"/>
      <c r="V798" s="55"/>
      <c r="W798" s="48"/>
      <c r="X798" s="50"/>
      <c r="Y798" s="50"/>
      <c r="Z798" s="48" t="n">
        <f aca="false">IF(A798="","",IF(AND(Parameter!$B$21="Ja",ISNUMBER(W798)),W798,IF(CC798="2+3",IF(ISNUMBER(SEARCH("grosser Artikel",BU798)),2,IFERROR(VLOOKUP(BX798,Parameter!$F$35:$G$64,2,0),2)),IF(OR(CC798="Nein",CC798=""),"-",CC798))))</f>
        <v>3</v>
      </c>
      <c r="AA798" s="55"/>
      <c r="AB798" s="56"/>
      <c r="AC798" s="50" t="n">
        <f aca="false">AV798</f>
        <v>1</v>
      </c>
      <c r="AD798" s="50" t="n">
        <f aca="false">MAX(AV798,H798)</f>
        <v>1588</v>
      </c>
      <c r="AE798" s="57"/>
      <c r="AF798" s="50" t="n">
        <f aca="false">IF(LEFT(Cockpit!$C$5,1)="A",H798,IF(Parameter!$E$30="MAX-Bestand",IF(CH798=1,CI798,IF(LEFT(Cockpit!$C$5,1)="B",AL798,MAX(AL798,H798))),ROUNDUP(AJ798,0)))</f>
        <v>1588</v>
      </c>
      <c r="AG798" s="50" t="n">
        <f aca="false">IF(BZ798=1,0,ROUNDUP(AF798/BY798,0))</f>
        <v>1</v>
      </c>
      <c r="AH798" s="52" t="n">
        <f aca="false">IF(CQ798&gt;0,CQ798*MAX(1,AF798/X798),IF(BZ798=1,IF(AF798&lt;=0,0,CD798*MAX(1,IF(H798&gt;0,AF798/H798,1))),IF(R798&gt;0,AG798/R798,0))/MAX(0.1,N(Parameter!$M$21)))</f>
        <v>0.00714285714285714</v>
      </c>
      <c r="AI798" s="50" t="n">
        <f aca="false">AH798*CB798</f>
        <v>1.10714285714286</v>
      </c>
      <c r="AJ798" s="51" t="n">
        <f aca="false">IF(LEFT(Cockpit!$C$5,1)="A",H798,IF(CH798=1,(CK798+CI798)/2,IF(LEFT(Cockpit!$C$5,1)="B",(CK798+AL798)/2,MAX((CK798+AL798)/2,H798))))</f>
        <v>1588</v>
      </c>
      <c r="AK798" s="50" t="n">
        <f aca="false">AJ798*G798</f>
        <v>79.4</v>
      </c>
      <c r="AL798" s="50" t="n">
        <f aca="false">ROUNDUP(CK798+MAX(CL798,2*(J798/IF(CG798&gt;0,CG798,MAX(0.1,N(Cockpit!$C$6)))-CK798)),0)</f>
        <v>1</v>
      </c>
      <c r="AM798" s="51" t="n">
        <f aca="false">IF(AI798&gt;0,J798/AI798,-1)</f>
        <v>0</v>
      </c>
      <c r="AN798" s="51" t="n">
        <f aca="false">IF(AND(OR(CF798="L1",CF798="L23",CF798="LIFT"),AI798&gt;0),SUMIFS($AI$7:$AI$1843,$CF$7:$CF$1843,CF798,$AM$7:$AM$1843,"&gt;"&amp;AM798)+SUMIFS($AI$7:$AI$1843,$CF$7:$CF$1843,CF798,$AM$7:$AM$1843,AM798,$BW$7:$BW$1843,"&lt;="&amp;BW798),"")</f>
        <v>28765.3724208936</v>
      </c>
      <c r="AO798" s="58" t="n">
        <f aca="false">IF(AN798="",0,MAX(0,MIN(1,(IF(CF798="L1",Parameter!$H$5,IF(CF798="L23",Parameter!$H$6+Parameter!$H$7,Parameter!$H$5+Parameter!$H$6+Parameter!$H$7))-(AN798-AI798))/AI798)))</f>
        <v>1</v>
      </c>
      <c r="AP798" s="50" t="n">
        <f aca="false">IF(LEFT(Cockpit!$I$5,1)="A",H798,IF(Parameter!$E$30="MAX-Bestand",IF(CH798=1,CI798,IF(LEFT(Cockpit!$I$5,1)="B",AV798,MAX(AV798,H798))),ROUNDUP(AT798,0)))</f>
        <v>1588</v>
      </c>
      <c r="AQ798" s="50" t="n">
        <f aca="false">IF(BZ798=1,0,ROUNDUP(AP798/BY798,0))</f>
        <v>1</v>
      </c>
      <c r="AR798" s="52" t="n">
        <f aca="false">IF(CQ798&gt;0,CQ798*MAX(1,AP798/X798),IF(BZ798=1,IF(AP798&lt;=0,0,CD798*MAX(1,IF(H798&gt;0,AP798/H798,1))),IF(R798&gt;0,AQ798/R798,0))/MAX(0.1,N(Parameter!$M$21)))</f>
        <v>0.00714285714285714</v>
      </c>
      <c r="AS798" s="50" t="n">
        <f aca="false">AR798*CB798</f>
        <v>1.10714285714286</v>
      </c>
      <c r="AT798" s="51" t="n">
        <f aca="false">IF(LEFT(Cockpit!$I$5,1)="A",H798,IF(CH798=1,(CK798+CI798)/2,IF(LEFT(Cockpit!$I$5,1)="B",(CK798+AV798)/2,MAX((CK798+AV798)/2,H798))))</f>
        <v>1588</v>
      </c>
      <c r="AU798" s="50" t="n">
        <f aca="false">AT798*G798</f>
        <v>79.4</v>
      </c>
      <c r="AV798" s="50" t="n">
        <f aca="false">ROUNDUP(CK798+MAX(CL798,2*(J798/IF(CG798&gt;0,CG798,MAX(0.1,N(Cockpit!$I$6)))-CK798)),0)</f>
        <v>1</v>
      </c>
      <c r="AW798" s="51" t="n">
        <f aca="false">IF(AS798&gt;0,J798/AS798,-1)</f>
        <v>0</v>
      </c>
      <c r="AX798" s="51" t="n">
        <f aca="false">IF(AND(OR(CF798="L1",CF798="L23",CF798="LIFT"),AS798&gt;0),SUMIFS($AS$7:$AS$1843,$CF$7:$CF$1843,CF798,$AW$7:$AW$1843,"&gt;"&amp;AW798)+SUMIFS($AS$7:$AS$1843,$CF$7:$CF$1843,CF798,$AW$7:$AW$1843,AW798,$BW$7:$BW$1843,"&lt;="&amp;BW798),"")</f>
        <v>34370.1556776557</v>
      </c>
      <c r="AY798" s="58" t="n">
        <f aca="false">IF(AX798="",0,MAX(0,MIN(1,(IF(CF798="L1",Parameter!$H$5,IF(CF798="L23",Parameter!$H$6+Parameter!$H$7,Parameter!$H$5+Parameter!$H$6+Parameter!$H$7))-(AX798-AS798))/AS798)))</f>
        <v>1</v>
      </c>
      <c r="AZ798" s="50" t="n">
        <f aca="false">IF(LEFT(Cockpit!$O$5,1)="A",H798,IF(Parameter!$E$30="MAX-Bestand",IF(CH798=1,CI798,IF(LEFT(Cockpit!$O$5,1)="B",BF798,MAX(BF798,H798))),ROUNDUP(BD798,0)))</f>
        <v>1</v>
      </c>
      <c r="BA798" s="50" t="n">
        <f aca="false">IF(BZ798=1,0,ROUNDUP(AZ798/BY798,0))</f>
        <v>1</v>
      </c>
      <c r="BB798" s="52" t="n">
        <f aca="false">IF(CQ798&gt;0,CQ798*MAX(1,AZ798/X798),IF(BZ798=1,IF(AZ798&lt;=0,0,CD798*MAX(1,IF(H798&gt;0,AZ798/H798,1))),IF(R798&gt;0,BA798/R798,0))/MAX(0.1,N(Parameter!$M$21)))</f>
        <v>0.00714285714285714</v>
      </c>
      <c r="BC798" s="50" t="n">
        <f aca="false">BB798*CB798</f>
        <v>1.10714285714286</v>
      </c>
      <c r="BD798" s="51" t="n">
        <f aca="false">IF(LEFT(Cockpit!$O$5,1)="A",H798,IF(CH798=1,(CK798+CI798)/2,IF(LEFT(Cockpit!$O$5,1)="B",(CK798+BF798)/2,MAX((CK798+BF798)/2,H798))))</f>
        <v>0.5</v>
      </c>
      <c r="BE798" s="50" t="n">
        <f aca="false">BD798*G798</f>
        <v>0.025</v>
      </c>
      <c r="BF798" s="50" t="n">
        <f aca="false">ROUNDUP(CK798+MAX(CL798,2*(J798/IF(CG798&gt;0,CG798,MAX(0.1,N(Cockpit!$O$6)))-CK798)),0)</f>
        <v>1</v>
      </c>
      <c r="BG798" s="51" t="n">
        <f aca="false">IF(BC798&gt;0,J798/BC798,-1)</f>
        <v>0</v>
      </c>
      <c r="BH798" s="51" t="n">
        <f aca="false">IF(AND(OR(CF798="L1",CF798="L23",CF798="LIFT"),BC798&gt;0),SUMIFS($BC$7:$BC$1843,$CF$7:$CF$1843,CF798,$BG$7:$BG$1843,"&gt;"&amp;BG798)+SUMIFS($BC$7:$BC$1843,$CF$7:$CF$1843,CF798,$BG$7:$BG$1843,BG798,$BW$7:$BW$1843,"&lt;="&amp;BW798),"")</f>
        <v>28414.0255246166</v>
      </c>
      <c r="BI798" s="58" t="n">
        <f aca="false">IF(BH798="",0,MAX(0,MIN(1,(IF(CF798="L1",Parameter!$H$5,IF(CF798="L23",Parameter!$H$6+Parameter!$H$7,Parameter!$H$5+Parameter!$H$6+Parameter!$H$7))-(BH798-BC798))/BC798)))</f>
        <v>1</v>
      </c>
      <c r="BJ798" s="48" t="str">
        <f aca="false">IF(AI798&lt;=0,"",IF(CF798="Aussen","Aussenlager",IF(CF798="-","Nicht im Lift",IF(AO798&gt;=1,"Lift",IF(AO798&lt;=0,"Aussenlager","teilweise")))))</f>
        <v>Lift</v>
      </c>
      <c r="BK798" s="48" t="str">
        <f aca="false">IF(AS798&lt;=0,"",IF(CF798="Aussen","Aussenlager",IF(CF798="-","Nicht im Lift",IF(AY798&gt;=1,"Lift",IF(AY798&lt;=0,"Aussenlager","teilweise")))))</f>
        <v>Lift</v>
      </c>
      <c r="BL798" s="48" t="str">
        <f aca="false">IF(BC798&lt;=0,"",IF(CF798="Aussen","Aussenlager",IF(CF798="-","Nicht im Lift",IF(BI798&gt;=1,"Lift",IF(BI798&lt;=0,"Aussenlager","teilweise")))))</f>
        <v>Lift</v>
      </c>
      <c r="BM798" s="48" t="str">
        <f aca="false">IF(A798="","",IF(BV798=1,"Neu; ","")&amp;IF(AND(BV798=0,BQ798&lt;0),"negativer Bestand (Export "&amp;BQ798&amp;"); ","")&amp;IF(J798&lt;=0,"Kein Verbrauch; ","")&amp;IF(CQ798&gt;0,"Lift "&amp;W798&amp;" lt. Liftbericht (Fach "&amp;X798&amp;" Stk); ",IF(CA798=1,"Gebinde geschätzt ("&amp;T798&amp;"); ",IF(BZ798=1,"Lose – Tablare geschätzt; ","")))&amp;IF(H798&gt;AV798,"Überbestand "&amp;ROUND(H798-AV798,0)&amp;" Stk / CHF "&amp;ROUND((H798-AV798)*G798,0)&amp;"; ","")&amp;IF(AND(CH798=1,CI798&lt;CJ798),"MAX &lt; MB+LG; ","")&amp;IF(AND(CP798&gt;0,CO798*10&gt;CP798),"zu hoch für Tablar; ","")&amp;IF(AND(BV798=0,OR(CH798=1,AA798&lt;&gt;"",U798&lt;&gt;"",V798&lt;&gt;"",AB798&lt;&gt;"")),"manuell übersteuert; ","")&amp;IF(AND(BZ798=0,R798=0),"Gebinde unbekannt / Stellmass fehlt; ","")&amp;IF(AND(BZ798=0,N(V798)&lt;=0,N(Q798)&lt;=0),"Menge pro Gebinde fehlt (Ist = 1 Gebinde); ","")&amp;BU798)</f>
        <v>negativer Bestand (Export -83); Kein Verbrauch; Überbestand 1587 Stk / CHF 79; Handlager</v>
      </c>
      <c r="BN798" s="48"/>
      <c r="BO798" s="48"/>
      <c r="BP798" s="55"/>
      <c r="BQ798" s="50" t="n">
        <v>-83</v>
      </c>
      <c r="BR798" s="50" t="n">
        <v>1671</v>
      </c>
      <c r="BS798" s="49" t="n">
        <v>-4.15</v>
      </c>
      <c r="BT798" s="50" t="n">
        <v>0</v>
      </c>
      <c r="BU798" s="48" t="s">
        <v>904</v>
      </c>
      <c r="BV798" s="53" t="n">
        <v>0</v>
      </c>
      <c r="BW798" s="53" t="n">
        <v>798</v>
      </c>
      <c r="BX798" s="48" t="str">
        <f aca="false">IF(U798&lt;&gt;"",UPPER(TRIM(U798)),IF(CA798=1,UPPER(VLOOKUP(T798,Parameter!$I$27:$K$29,2,0)),IF(P798="","LOSE",P798)))</f>
        <v>S22</v>
      </c>
      <c r="BY798" s="50" t="n">
        <f aca="false">IF(BX798="LOSE",1,IF(N(V798)&gt;0,V798,IF(CA798=1,MAX(1,N(VLOOKUP(T798,Parameter!$I$27:$K$29,3,0)),H798,N(N798)),IF(N(Q798)&gt;0,Q798,MAX(1,H798)))))</f>
        <v>1786</v>
      </c>
      <c r="BZ798" s="53" t="n">
        <f aca="false">IF(BX798="LOSE",1,0)</f>
        <v>0</v>
      </c>
      <c r="CA798" s="53" t="n">
        <f aca="false">IF(AND(U798="",OR(P798="",P798="LOSE"),T798&lt;&gt;"",N(S798)&lt;=0,ISNUMBER(MATCH(T798,Parameter!$I$27:$I$29,0))),1,0)</f>
        <v>0</v>
      </c>
      <c r="CB798" s="53" t="n">
        <f aca="false">IF(CQ798&gt;0,INDEX(Parameter!$H$5:$H$7,W798)/INDEX(Parameter!$E$5:$E$7,W798),IF(AND(BZ798=0,N(IFERROR(VLOOKUP(BX798,'Gebinde-Kategorie'!$A$5:$N$45,14,0),0))&gt;0),VLOOKUP(BX798,'Gebinde-Kategorie'!$A$5:$N$45,14,0)*10+Parameter!$M$23,Parameter!$M$24))</f>
        <v>155</v>
      </c>
      <c r="CC798" s="48" t="str">
        <f aca="false">IF(AND(Parameter!$B$19="Ja",E798&lt;&gt;"",ISNUMBER(MATCH(E798,Parameter!$I$35:$I$52,0))),VLOOKUP(E798,Parameter!$I$35:$J$52,2,0),IFERROR(VLOOKUP(D798,Parameter!$A$35:$C$64,2,0),"Nein"))</f>
        <v>2+3</v>
      </c>
      <c r="CD798" s="52" t="n">
        <f aca="false">IF(BZ798=0,0,IF(N(S798)&gt;0,S798,IFERROR(VLOOKUP(D798,Parameter!$A$35:$C$64,3,0)+0,0)))</f>
        <v>0</v>
      </c>
      <c r="CE798" s="48" t="n">
        <f aca="false">IF(AA798&lt;&gt;"",AA798,Z798)</f>
        <v>3</v>
      </c>
      <c r="CF798" s="48" t="str">
        <f aca="false">IF(OR(CE798=1,CE798=2,CE798=3),IF(Parameter!$E$27="Ja","LIFT",IF(CE798=1,"L1","L23")),IF(CE798="Aussen","Aussen","-"))</f>
        <v>LIFT</v>
      </c>
      <c r="CG798" s="59" t="n">
        <f aca="false">IF(N(AB798)&gt;0,AB798,0)</f>
        <v>0</v>
      </c>
      <c r="CH798" s="53" t="n">
        <f aca="false">IF(ISNUMBER(AE798),1,0)</f>
        <v>0</v>
      </c>
      <c r="CI798" s="50" t="n">
        <f aca="false">N(AE798)</f>
        <v>0</v>
      </c>
      <c r="CJ798" s="50" t="n">
        <f aca="false">N(M798)+N(N798)</f>
        <v>1</v>
      </c>
      <c r="CK798" s="50" t="n">
        <f aca="false">N(M798)</f>
        <v>0</v>
      </c>
      <c r="CL798" s="50" t="n">
        <f aca="false">N(N798)</f>
        <v>1</v>
      </c>
      <c r="CM798" s="50" t="n">
        <f aca="false">ROUNDUP(H798/BY798,0)</f>
        <v>1</v>
      </c>
      <c r="CN798" s="50" t="n">
        <f aca="false">ROUNDUP(CI798/BY798,0)</f>
        <v>0</v>
      </c>
      <c r="CO798" s="53" t="n">
        <f aca="false">IF(BZ798=1,0,IFERROR(VLOOKUP(BX798,'Gebinde-Kategorie'!$A$5:$N$45,5,0)+0,0))</f>
        <v>8</v>
      </c>
      <c r="CP798" s="53" t="n">
        <f aca="false">IFERROR(IF(OR(CE798=1,CE798=2,CE798=3),N(INDEX(Parameter!$I$5:$I$7,CE798)),0),0)</f>
        <v>0</v>
      </c>
      <c r="CQ798" s="52" t="n">
        <f aca="false">IF(AND(Parameter!$B$21="Ja",ISNUMBER(W798),N(X798)&gt;0),IFERROR(N(INDEX(Parameter!$L$5:$L$7,W798))*INDEX(Parameter!$E$5:$E$7,W798)*X798/SUMIFS($X$7:$X$1843,$W$7:$W$1843,W798),0),0)</f>
        <v>0</v>
      </c>
    </row>
    <row r="799" customFormat="false" ht="15" hidden="false" customHeight="false" outlineLevel="0" collapsed="false">
      <c r="A799" s="48" t="s">
        <v>1562</v>
      </c>
      <c r="B799" s="48" t="s">
        <v>1563</v>
      </c>
      <c r="C799" s="48" t="s">
        <v>173</v>
      </c>
      <c r="D799" s="48" t="s">
        <v>182</v>
      </c>
      <c r="E799" s="48" t="s">
        <v>474</v>
      </c>
      <c r="F799" s="48" t="s">
        <v>227</v>
      </c>
      <c r="G799" s="49" t="n">
        <v>5.23</v>
      </c>
      <c r="H799" s="50" t="n">
        <f aca="false">MAX(0,IF(AND(Parameter!$B$21="Ja",ISNUMBER(Y799)),Y799,IF(Parameter!$B$20="Jahresanfang 2025 + Export",BR799+BQ799,BQ799)))</f>
        <v>48</v>
      </c>
      <c r="I799" s="50" t="n">
        <f aca="false">H799*G799</f>
        <v>251.04</v>
      </c>
      <c r="J799" s="50" t="n">
        <f aca="false">BT799*Parameter!$B$18</f>
        <v>384</v>
      </c>
      <c r="K799" s="51" t="n">
        <v>44</v>
      </c>
      <c r="L799" s="52" t="n">
        <v>8.72727272727273</v>
      </c>
      <c r="M799" s="50" t="n">
        <v>22</v>
      </c>
      <c r="N799" s="50" t="n">
        <v>60</v>
      </c>
      <c r="O799" s="53" t="n">
        <v>21</v>
      </c>
      <c r="P799" s="48" t="s">
        <v>177</v>
      </c>
      <c r="Q799" s="50"/>
      <c r="R799" s="53" t="n">
        <f aca="false">IF(BZ799=1,0,IFERROR(VLOOKUP(BX799,'Gebinde-Kategorie'!$A$5:$N$45,13,0)+0,0))</f>
        <v>4</v>
      </c>
      <c r="S799" s="54"/>
      <c r="T799" s="55" t="s">
        <v>198</v>
      </c>
      <c r="U799" s="55"/>
      <c r="V799" s="55"/>
      <c r="W799" s="48"/>
      <c r="X799" s="50"/>
      <c r="Y799" s="50"/>
      <c r="Z799" s="48" t="str">
        <f aca="false">IF(A799="","",IF(AND(Parameter!$B$21="Ja",ISNUMBER(W799)),W799,IF(CC799="2+3",IF(ISNUMBER(SEARCH("grosser Artikel",BU799)),2,IFERROR(VLOOKUP(BX799,Parameter!$F$35:$G$64,2,0),2)),IF(OR(CC799="Nein",CC799=""),"-",CC799))))</f>
        <v>-</v>
      </c>
      <c r="AA799" s="55"/>
      <c r="AB799" s="56"/>
      <c r="AC799" s="50" t="n">
        <f aca="false">AV799</f>
        <v>234</v>
      </c>
      <c r="AD799" s="50" t="n">
        <f aca="false">MAX(AV799,H799)</f>
        <v>234</v>
      </c>
      <c r="AE799" s="57"/>
      <c r="AF799" s="50" t="n">
        <f aca="false">IF(LEFT(Cockpit!$C$5,1)="A",H799,IF(Parameter!$E$30="MAX-Bestand",IF(CH799=1,CI799,IF(LEFT(Cockpit!$C$5,1)="B",AL799,MAX(AL799,H799))),ROUNDUP(AJ799,0)))</f>
        <v>48</v>
      </c>
      <c r="AG799" s="50" t="n">
        <f aca="false">IF(BZ799=1,0,ROUNDUP(AF799/BY799,0))</f>
        <v>1</v>
      </c>
      <c r="AH799" s="52" t="n">
        <f aca="false">IF(CQ799&gt;0,CQ799*MAX(1,AF799/X799),IF(BZ799=1,IF(AF799&lt;=0,0,CD799*MAX(1,IF(H799&gt;0,AF799/H799,1))),IF(R799&gt;0,AG799/R799,0))/MAX(0.1,N(Parameter!$M$21)))</f>
        <v>0.25</v>
      </c>
      <c r="AI799" s="50" t="n">
        <f aca="false">AH799*CB799</f>
        <v>58.75</v>
      </c>
      <c r="AJ799" s="51" t="n">
        <f aca="false">IF(LEFT(Cockpit!$C$5,1)="A",H799,IF(CH799=1,(CK799+CI799)/2,IF(LEFT(Cockpit!$C$5,1)="B",(CK799+AL799)/2,MAX((CK799+AL799)/2,H799))))</f>
        <v>48</v>
      </c>
      <c r="AK799" s="50" t="n">
        <f aca="false">AJ799*G799</f>
        <v>251.04</v>
      </c>
      <c r="AL799" s="50" t="n">
        <f aca="false">ROUNDUP(CK799+MAX(CL799,2*(J799/IF(CG799&gt;0,CG799,MAX(0.1,N(Cockpit!$C$6)))-CK799)),0)</f>
        <v>234</v>
      </c>
      <c r="AM799" s="51" t="n">
        <f aca="false">IF(AI799&gt;0,J799/AI799,-1)</f>
        <v>6.53617021276596</v>
      </c>
      <c r="AN799" s="51" t="str">
        <f aca="false">IF(AND(OR(CF799="L1",CF799="L23",CF799="LIFT"),AI799&gt;0),SUMIFS($AI$7:$AI$1843,$CF$7:$CF$1843,CF799,$AM$7:$AM$1843,"&gt;"&amp;AM799)+SUMIFS($AI$7:$AI$1843,$CF$7:$CF$1843,CF799,$AM$7:$AM$1843,AM799,$BW$7:$BW$1843,"&lt;="&amp;BW799),"")</f>
        <v/>
      </c>
      <c r="AO799" s="58" t="n">
        <f aca="false">IF(AN799="",0,MAX(0,MIN(1,(IF(CF799="L1",Parameter!$H$5,IF(CF799="L23",Parameter!$H$6+Parameter!$H$7,Parameter!$H$5+Parameter!$H$6+Parameter!$H$7))-(AN799-AI799))/AI799)))</f>
        <v>0</v>
      </c>
      <c r="AP799" s="50" t="n">
        <f aca="false">IF(LEFT(Cockpit!$I$5,1)="A",H799,IF(Parameter!$E$30="MAX-Bestand",IF(CH799=1,CI799,IF(LEFT(Cockpit!$I$5,1)="B",AV799,MAX(AV799,H799))),ROUNDUP(AT799,0)))</f>
        <v>128</v>
      </c>
      <c r="AQ799" s="50" t="n">
        <f aca="false">IF(BZ799=1,0,ROUNDUP(AP799/BY799,0))</f>
        <v>3</v>
      </c>
      <c r="AR799" s="52" t="n">
        <f aca="false">IF(CQ799&gt;0,CQ799*MAX(1,AP799/X799),IF(BZ799=1,IF(AP799&lt;=0,0,CD799*MAX(1,IF(H799&gt;0,AP799/H799,1))),IF(R799&gt;0,AQ799/R799,0))/MAX(0.1,N(Parameter!$M$21)))</f>
        <v>0.75</v>
      </c>
      <c r="AS799" s="50" t="n">
        <f aca="false">AR799*CB799</f>
        <v>176.25</v>
      </c>
      <c r="AT799" s="51" t="n">
        <f aca="false">IF(LEFT(Cockpit!$I$5,1)="A",H799,IF(CH799=1,(CK799+CI799)/2,IF(LEFT(Cockpit!$I$5,1)="B",(CK799+AV799)/2,MAX((CK799+AV799)/2,H799))))</f>
        <v>128</v>
      </c>
      <c r="AU799" s="50" t="n">
        <f aca="false">AT799*G799</f>
        <v>669.44</v>
      </c>
      <c r="AV799" s="50" t="n">
        <f aca="false">ROUNDUP(CK799+MAX(CL799,2*(J799/IF(CG799&gt;0,CG799,MAX(0.1,N(Cockpit!$I$6)))-CK799)),0)</f>
        <v>234</v>
      </c>
      <c r="AW799" s="51" t="n">
        <f aca="false">IF(AS799&gt;0,J799/AS799,-1)</f>
        <v>2.17872340425532</v>
      </c>
      <c r="AX799" s="51" t="str">
        <f aca="false">IF(AND(OR(CF799="L1",CF799="L23",CF799="LIFT"),AS799&gt;0),SUMIFS($AS$7:$AS$1843,$CF$7:$CF$1843,CF799,$AW$7:$AW$1843,"&gt;"&amp;AW799)+SUMIFS($AS$7:$AS$1843,$CF$7:$CF$1843,CF799,$AW$7:$AW$1843,AW799,$BW$7:$BW$1843,"&lt;="&amp;BW799),"")</f>
        <v/>
      </c>
      <c r="AY799" s="58" t="n">
        <f aca="false">IF(AX799="",0,MAX(0,MIN(1,(IF(CF799="L1",Parameter!$H$5,IF(CF799="L23",Parameter!$H$6+Parameter!$H$7,Parameter!$H$5+Parameter!$H$6+Parameter!$H$7))-(AX799-AS799))/AS799)))</f>
        <v>0</v>
      </c>
      <c r="AZ799" s="50" t="n">
        <f aca="false">IF(LEFT(Cockpit!$O$5,1)="A",H799,IF(Parameter!$E$30="MAX-Bestand",IF(CH799=1,CI799,IF(LEFT(Cockpit!$O$5,1)="B",BF799,MAX(BF799,H799))),ROUNDUP(BD799,0)))</f>
        <v>96</v>
      </c>
      <c r="BA799" s="50" t="n">
        <f aca="false">IF(BZ799=1,0,ROUNDUP(AZ799/BY799,0))</f>
        <v>2</v>
      </c>
      <c r="BB799" s="52" t="n">
        <f aca="false">IF(CQ799&gt;0,CQ799*MAX(1,AZ799/X799),IF(BZ799=1,IF(AZ799&lt;=0,0,CD799*MAX(1,IF(H799&gt;0,AZ799/H799,1))),IF(R799&gt;0,BA799/R799,0))/MAX(0.1,N(Parameter!$M$21)))</f>
        <v>0.5</v>
      </c>
      <c r="BC799" s="50" t="n">
        <f aca="false">BB799*CB799</f>
        <v>117.5</v>
      </c>
      <c r="BD799" s="51" t="n">
        <f aca="false">IF(LEFT(Cockpit!$O$5,1)="A",H799,IF(CH799=1,(CK799+CI799)/2,IF(LEFT(Cockpit!$O$5,1)="B",(CK799+BF799)/2,MAX((CK799+BF799)/2,H799))))</f>
        <v>96</v>
      </c>
      <c r="BE799" s="50" t="n">
        <f aca="false">BD799*G799</f>
        <v>502.08</v>
      </c>
      <c r="BF799" s="50" t="n">
        <f aca="false">ROUNDUP(CK799+MAX(CL799,2*(J799/IF(CG799&gt;0,CG799,MAX(0.1,N(Cockpit!$O$6)))-CK799)),0)</f>
        <v>170</v>
      </c>
      <c r="BG799" s="51" t="n">
        <f aca="false">IF(BC799&gt;0,J799/BC799,-1)</f>
        <v>3.26808510638298</v>
      </c>
      <c r="BH799" s="51" t="str">
        <f aca="false">IF(AND(OR(CF799="L1",CF799="L23",CF799="LIFT"),BC799&gt;0),SUMIFS($BC$7:$BC$1843,$CF$7:$CF$1843,CF799,$BG$7:$BG$1843,"&gt;"&amp;BG799)+SUMIFS($BC$7:$BC$1843,$CF$7:$CF$1843,CF799,$BG$7:$BG$1843,BG799,$BW$7:$BW$1843,"&lt;="&amp;BW799),"")</f>
        <v/>
      </c>
      <c r="BI799" s="58" t="n">
        <f aca="false">IF(BH799="",0,MAX(0,MIN(1,(IF(CF799="L1",Parameter!$H$5,IF(CF799="L23",Parameter!$H$6+Parameter!$H$7,Parameter!$H$5+Parameter!$H$6+Parameter!$H$7))-(BH799-BC799))/BC799)))</f>
        <v>0</v>
      </c>
      <c r="BJ799" s="48" t="str">
        <f aca="false">IF(AI799&lt;=0,"",IF(CF799="Aussen","Aussenlager",IF(CF799="-","Nicht im Lift",IF(AO799&gt;=1,"Lift",IF(AO799&lt;=0,"Aussenlager","teilweise")))))</f>
        <v>Nicht im Lift</v>
      </c>
      <c r="BK799" s="48" t="str">
        <f aca="false">IF(AS799&lt;=0,"",IF(CF799="Aussen","Aussenlager",IF(CF799="-","Nicht im Lift",IF(AY799&gt;=1,"Lift",IF(AY799&lt;=0,"Aussenlager","teilweise")))))</f>
        <v>Nicht im Lift</v>
      </c>
      <c r="BL799" s="48" t="str">
        <f aca="false">IF(BC799&lt;=0,"",IF(CF799="Aussen","Aussenlager",IF(CF799="-","Nicht im Lift",IF(BI799&gt;=1,"Lift",IF(BI799&lt;=0,"Aussenlager","teilweise")))))</f>
        <v>Nicht im Lift</v>
      </c>
      <c r="BM799" s="48" t="str">
        <f aca="false">IF(A799="","",IF(BV799=1,"Neu; ","")&amp;IF(AND(BV799=0,BQ799&lt;0),"negativer Bestand (Export "&amp;BQ799&amp;"); ","")&amp;IF(J799&lt;=0,"Kein Verbrauch; ","")&amp;IF(CQ799&gt;0,"Lift "&amp;W799&amp;" lt. Liftbericht (Fach "&amp;X799&amp;" Stk); ",IF(CA799=1,"Gebinde geschätzt ("&amp;T799&amp;"); ",IF(BZ799=1,"Lose – Tablare geschätzt; ","")))&amp;IF(H799&gt;AV799,"Überbestand "&amp;ROUND(H799-AV799,0)&amp;" Stk / CHF "&amp;ROUND((H799-AV799)*G799,0)&amp;"; ","")&amp;IF(AND(CH799=1,CI799&lt;CJ799),"MAX &lt; MB+LG; ","")&amp;IF(AND(CP799&gt;0,CO799*10&gt;CP799),"zu hoch für Tablar; ","")&amp;IF(AND(BV799=0,OR(CH799=1,AA799&lt;&gt;"",U799&lt;&gt;"",V799&lt;&gt;"",AB799&lt;&gt;"")),"manuell übersteuert; ","")&amp;IF(AND(BZ799=0,R799=0),"Gebinde unbekannt / Stellmass fehlt; ","")&amp;IF(AND(BZ799=0,N(V799)&lt;=0,N(Q799)&lt;=0),"Menge pro Gebinde fehlt (Ist = 1 Gebinde); ","")&amp;BU799)</f>
        <v>negativer Bestand (Export -3); Gebinde geschätzt (Gross); Menge pro Gebinde fehlt (Ist = 1 Gebinde); </v>
      </c>
      <c r="BN799" s="48"/>
      <c r="BO799" s="48"/>
      <c r="BP799" s="55"/>
      <c r="BQ799" s="50" t="n">
        <v>-3</v>
      </c>
      <c r="BR799" s="50" t="n">
        <v>51</v>
      </c>
      <c r="BS799" s="49" t="n">
        <v>-4.47000000000013</v>
      </c>
      <c r="BT799" s="50" t="n">
        <v>384</v>
      </c>
      <c r="BU799" s="48"/>
      <c r="BV799" s="53" t="n">
        <v>0</v>
      </c>
      <c r="BW799" s="53" t="n">
        <v>799</v>
      </c>
      <c r="BX799" s="48" t="str">
        <f aca="false">IF(U799&lt;&gt;"",UPPER(TRIM(U799)),IF(CA799=1,UPPER(VLOOKUP(T799,Parameter!$I$27:$K$29,2,0)),IF(P799="","LOSE",P799)))</f>
        <v>S81</v>
      </c>
      <c r="BY799" s="50" t="n">
        <f aca="false">IF(BX799="LOSE",1,IF(N(V799)&gt;0,V799,IF(CA799=1,MAX(1,N(VLOOKUP(T799,Parameter!$I$27:$K$29,3,0)),H799,N(N799)),IF(N(Q799)&gt;0,Q799,MAX(1,H799)))))</f>
        <v>60</v>
      </c>
      <c r="BZ799" s="53" t="n">
        <f aca="false">IF(BX799="LOSE",1,0)</f>
        <v>0</v>
      </c>
      <c r="CA799" s="53" t="n">
        <f aca="false">IF(AND(U799="",OR(P799="",P799="LOSE"),T799&lt;&gt;"",N(S799)&lt;=0,ISNUMBER(MATCH(T799,Parameter!$I$27:$I$29,0))),1,0)</f>
        <v>1</v>
      </c>
      <c r="CB799" s="53" t="n">
        <f aca="false">IF(CQ799&gt;0,INDEX(Parameter!$H$5:$H$7,W799)/INDEX(Parameter!$E$5:$E$7,W799),IF(AND(BZ799=0,N(IFERROR(VLOOKUP(BX799,'Gebinde-Kategorie'!$A$5:$N$45,14,0),0))&gt;0),VLOOKUP(BX799,'Gebinde-Kategorie'!$A$5:$N$45,14,0)*10+Parameter!$M$23,Parameter!$M$24))</f>
        <v>235</v>
      </c>
      <c r="CC799" s="48" t="str">
        <f aca="false">IF(AND(Parameter!$B$19="Ja",E799&lt;&gt;"",ISNUMBER(MATCH(E799,Parameter!$I$35:$I$52,0))),VLOOKUP(E799,Parameter!$I$35:$J$52,2,0),IFERROR(VLOOKUP(D799,Parameter!$A$35:$C$64,2,0),"Nein"))</f>
        <v>Nein</v>
      </c>
      <c r="CD799" s="52" t="n">
        <f aca="false">IF(BZ799=0,0,IF(N(S799)&gt;0,S799,IFERROR(VLOOKUP(D799,Parameter!$A$35:$C$64,3,0)+0,0)))</f>
        <v>0</v>
      </c>
      <c r="CE799" s="48" t="str">
        <f aca="false">IF(AA799&lt;&gt;"",AA799,Z799)</f>
        <v>-</v>
      </c>
      <c r="CF799" s="48" t="str">
        <f aca="false">IF(OR(CE799=1,CE799=2,CE799=3),IF(Parameter!$E$27="Ja","LIFT",IF(CE799=1,"L1","L23")),IF(CE799="Aussen","Aussen","-"))</f>
        <v>-</v>
      </c>
      <c r="CG799" s="59" t="n">
        <f aca="false">IF(N(AB799)&gt;0,AB799,0)</f>
        <v>0</v>
      </c>
      <c r="CH799" s="53" t="n">
        <f aca="false">IF(ISNUMBER(AE799),1,0)</f>
        <v>0</v>
      </c>
      <c r="CI799" s="50" t="n">
        <f aca="false">N(AE799)</f>
        <v>0</v>
      </c>
      <c r="CJ799" s="50" t="n">
        <f aca="false">N(M799)+N(N799)</f>
        <v>82</v>
      </c>
      <c r="CK799" s="50" t="n">
        <f aca="false">N(M799)</f>
        <v>22</v>
      </c>
      <c r="CL799" s="50" t="n">
        <f aca="false">N(N799)</f>
        <v>60</v>
      </c>
      <c r="CM799" s="50" t="n">
        <f aca="false">ROUNDUP(H799/BY799,0)</f>
        <v>1</v>
      </c>
      <c r="CN799" s="50" t="n">
        <f aca="false">ROUNDUP(CI799/BY799,0)</f>
        <v>0</v>
      </c>
      <c r="CO799" s="53" t="n">
        <f aca="false">IF(BZ799=1,0,IFERROR(VLOOKUP(BX799,'Gebinde-Kategorie'!$A$5:$N$45,5,0)+0,0))</f>
        <v>20</v>
      </c>
      <c r="CP799" s="53" t="n">
        <f aca="false">IFERROR(IF(OR(CE799=1,CE799=2,CE799=3),N(INDEX(Parameter!$I$5:$I$7,CE799)),0),0)</f>
        <v>0</v>
      </c>
      <c r="CQ799" s="52" t="n">
        <f aca="false">IF(AND(Parameter!$B$21="Ja",ISNUMBER(W799),N(X799)&gt;0),IFERROR(N(INDEX(Parameter!$L$5:$L$7,W799))*INDEX(Parameter!$E$5:$E$7,W799)*X799/SUMIFS($X$7:$X$1843,$W$7:$W$1843,W799),0),0)</f>
        <v>0</v>
      </c>
    </row>
    <row r="800" customFormat="false" ht="15" hidden="false" customHeight="false" outlineLevel="0" collapsed="false">
      <c r="A800" s="48" t="s">
        <v>1564</v>
      </c>
      <c r="B800" s="48" t="s">
        <v>958</v>
      </c>
      <c r="C800" s="48" t="s">
        <v>173</v>
      </c>
      <c r="D800" s="48" t="s">
        <v>193</v>
      </c>
      <c r="E800" s="48" t="s">
        <v>194</v>
      </c>
      <c r="F800" s="48" t="s">
        <v>227</v>
      </c>
      <c r="G800" s="49" t="n">
        <v>0.01</v>
      </c>
      <c r="H800" s="50" t="n">
        <f aca="false">MAX(0,IF(AND(Parameter!$B$21="Ja",ISNUMBER(Y800)),Y800,IF(Parameter!$B$20="Jahresanfang 2025 + Export",BR800+BQ800,BQ800)))</f>
        <v>719</v>
      </c>
      <c r="I800" s="50" t="n">
        <f aca="false">H800*G800</f>
        <v>7.19</v>
      </c>
      <c r="J800" s="50" t="n">
        <f aca="false">BT800*Parameter!$B$18</f>
        <v>1123</v>
      </c>
      <c r="K800" s="51" t="n">
        <v>583</v>
      </c>
      <c r="L800" s="52" t="n">
        <v>1.926243567753</v>
      </c>
      <c r="M800" s="50" t="n">
        <v>65</v>
      </c>
      <c r="N800" s="50" t="n">
        <v>1125</v>
      </c>
      <c r="O800" s="53" t="n">
        <v>21</v>
      </c>
      <c r="P800" s="48" t="s">
        <v>430</v>
      </c>
      <c r="Q800" s="50" t="n">
        <v>381</v>
      </c>
      <c r="R800" s="53" t="n">
        <f aca="false">IF(BZ800=1,0,IFERROR(VLOOKUP(BX800,'Gebinde-Kategorie'!$A$5:$N$45,13,0)+0,0))</f>
        <v>104</v>
      </c>
      <c r="S800" s="54"/>
      <c r="T800" s="55"/>
      <c r="U800" s="55"/>
      <c r="V800" s="55"/>
      <c r="W800" s="48"/>
      <c r="X800" s="50"/>
      <c r="Y800" s="50"/>
      <c r="Z800" s="48" t="n">
        <f aca="false">IF(A800="","",IF(AND(Parameter!$B$21="Ja",ISNUMBER(W800)),W800,IF(CC800="2+3",IF(ISNUMBER(SEARCH("grosser Artikel",BU800)),2,IFERROR(VLOOKUP(BX800,Parameter!$F$35:$G$64,2,0),2)),IF(OR(CC800="Nein",CC800=""),"-",CC800))))</f>
        <v>3</v>
      </c>
      <c r="AA800" s="55"/>
      <c r="AB800" s="56"/>
      <c r="AC800" s="50" t="n">
        <f aca="false">AV800</f>
        <v>1190</v>
      </c>
      <c r="AD800" s="50" t="n">
        <f aca="false">MAX(AV800,H800)</f>
        <v>1190</v>
      </c>
      <c r="AE800" s="57"/>
      <c r="AF800" s="50" t="n">
        <f aca="false">IF(LEFT(Cockpit!$C$5,1)="A",H800,IF(Parameter!$E$30="MAX-Bestand",IF(CH800=1,CI800,IF(LEFT(Cockpit!$C$5,1)="B",AL800,MAX(AL800,H800))),ROUNDUP(AJ800,0)))</f>
        <v>719</v>
      </c>
      <c r="AG800" s="50" t="n">
        <f aca="false">IF(BZ800=1,0,ROUNDUP(AF800/BY800,0))</f>
        <v>2</v>
      </c>
      <c r="AH800" s="52" t="n">
        <f aca="false">IF(CQ800&gt;0,CQ800*MAX(1,AF800/X800),IF(BZ800=1,IF(AF800&lt;=0,0,CD800*MAX(1,IF(H800&gt;0,AF800/H800,1))),IF(R800&gt;0,AG800/R800,0))/MAX(0.1,N(Parameter!$M$21)))</f>
        <v>0.0192307692307692</v>
      </c>
      <c r="AI800" s="50" t="n">
        <f aca="false">AH800*CB800</f>
        <v>2.98076923076923</v>
      </c>
      <c r="AJ800" s="51" t="n">
        <f aca="false">IF(LEFT(Cockpit!$C$5,1)="A",H800,IF(CH800=1,(CK800+CI800)/2,IF(LEFT(Cockpit!$C$5,1)="B",(CK800+AL800)/2,MAX((CK800+AL800)/2,H800))))</f>
        <v>719</v>
      </c>
      <c r="AK800" s="50" t="n">
        <f aca="false">AJ800*G800</f>
        <v>7.19</v>
      </c>
      <c r="AL800" s="50" t="n">
        <f aca="false">ROUNDUP(CK800+MAX(CL800,2*(J800/IF(CG800&gt;0,CG800,MAX(0.1,N(Cockpit!$C$6)))-CK800)),0)</f>
        <v>1190</v>
      </c>
      <c r="AM800" s="51" t="n">
        <f aca="false">IF(AI800&gt;0,J800/AI800,-1)</f>
        <v>376.748387096774</v>
      </c>
      <c r="AN800" s="51" t="n">
        <f aca="false">IF(AND(OR(CF800="L1",CF800="L23",CF800="LIFT"),AI800&gt;0),SUMIFS($AI$7:$AI$1843,$CF$7:$CF$1843,CF800,$AM$7:$AM$1843,"&gt;"&amp;AM800)+SUMIFS($AI$7:$AI$1843,$CF$7:$CF$1843,CF800,$AM$7:$AM$1843,AM800,$BW$7:$BW$1843,"&lt;="&amp;BW800),"")</f>
        <v>205.949175824176</v>
      </c>
      <c r="AO800" s="58" t="n">
        <f aca="false">IF(AN800="",0,MAX(0,MIN(1,(IF(CF800="L1",Parameter!$H$5,IF(CF800="L23",Parameter!$H$6+Parameter!$H$7,Parameter!$H$5+Parameter!$H$6+Parameter!$H$7))-(AN800-AI800))/AI800)))</f>
        <v>1</v>
      </c>
      <c r="AP800" s="50" t="n">
        <f aca="false">IF(LEFT(Cockpit!$I$5,1)="A",H800,IF(Parameter!$E$30="MAX-Bestand",IF(CH800=1,CI800,IF(LEFT(Cockpit!$I$5,1)="B",AV800,MAX(AV800,H800))),ROUNDUP(AT800,0)))</f>
        <v>719</v>
      </c>
      <c r="AQ800" s="50" t="n">
        <f aca="false">IF(BZ800=1,0,ROUNDUP(AP800/BY800,0))</f>
        <v>2</v>
      </c>
      <c r="AR800" s="52" t="n">
        <f aca="false">IF(CQ800&gt;0,CQ800*MAX(1,AP800/X800),IF(BZ800=1,IF(AP800&lt;=0,0,CD800*MAX(1,IF(H800&gt;0,AP800/H800,1))),IF(R800&gt;0,AQ800/R800,0))/MAX(0.1,N(Parameter!$M$21)))</f>
        <v>0.0192307692307692</v>
      </c>
      <c r="AS800" s="50" t="n">
        <f aca="false">AR800*CB800</f>
        <v>2.98076923076923</v>
      </c>
      <c r="AT800" s="51" t="n">
        <f aca="false">IF(LEFT(Cockpit!$I$5,1)="A",H800,IF(CH800=1,(CK800+CI800)/2,IF(LEFT(Cockpit!$I$5,1)="B",(CK800+AV800)/2,MAX((CK800+AV800)/2,H800))))</f>
        <v>719</v>
      </c>
      <c r="AU800" s="50" t="n">
        <f aca="false">AT800*G800</f>
        <v>7.19</v>
      </c>
      <c r="AV800" s="50" t="n">
        <f aca="false">ROUNDUP(CK800+MAX(CL800,2*(J800/IF(CG800&gt;0,CG800,MAX(0.1,N(Cockpit!$I$6)))-CK800)),0)</f>
        <v>1190</v>
      </c>
      <c r="AW800" s="51" t="n">
        <f aca="false">IF(AS800&gt;0,J800/AS800,-1)</f>
        <v>376.748387096774</v>
      </c>
      <c r="AX800" s="51" t="n">
        <f aca="false">IF(AND(OR(CF800="L1",CF800="L23",CF800="LIFT"),AS800&gt;0),SUMIFS($AS$7:$AS$1843,$CF$7:$CF$1843,CF800,$AW$7:$AW$1843,"&gt;"&amp;AW800)+SUMIFS($AS$7:$AS$1843,$CF$7:$CF$1843,CF800,$AW$7:$AW$1843,AW800,$BW$7:$BW$1843,"&lt;="&amp;BW800),"")</f>
        <v>140.165293040293</v>
      </c>
      <c r="AY800" s="58" t="n">
        <f aca="false">IF(AX800="",0,MAX(0,MIN(1,(IF(CF800="L1",Parameter!$H$5,IF(CF800="L23",Parameter!$H$6+Parameter!$H$7,Parameter!$H$5+Parameter!$H$6+Parameter!$H$7))-(AX800-AS800))/AS800)))</f>
        <v>1</v>
      </c>
      <c r="AZ800" s="50" t="n">
        <f aca="false">IF(LEFT(Cockpit!$O$5,1)="A",H800,IF(Parameter!$E$30="MAX-Bestand",IF(CH800=1,CI800,IF(LEFT(Cockpit!$O$5,1)="B",BF800,MAX(BF800,H800))),ROUNDUP(BD800,0)))</f>
        <v>628</v>
      </c>
      <c r="BA800" s="50" t="n">
        <f aca="false">IF(BZ800=1,0,ROUNDUP(AZ800/BY800,0))</f>
        <v>2</v>
      </c>
      <c r="BB800" s="52" t="n">
        <f aca="false">IF(CQ800&gt;0,CQ800*MAX(1,AZ800/X800),IF(BZ800=1,IF(AZ800&lt;=0,0,CD800*MAX(1,IF(H800&gt;0,AZ800/H800,1))),IF(R800&gt;0,BA800/R800,0))/MAX(0.1,N(Parameter!$M$21)))</f>
        <v>0.0192307692307692</v>
      </c>
      <c r="BC800" s="50" t="n">
        <f aca="false">BB800*CB800</f>
        <v>2.98076923076923</v>
      </c>
      <c r="BD800" s="51" t="n">
        <f aca="false">IF(LEFT(Cockpit!$O$5,1)="A",H800,IF(CH800=1,(CK800+CI800)/2,IF(LEFT(Cockpit!$O$5,1)="B",(CK800+BF800)/2,MAX((CK800+BF800)/2,H800))))</f>
        <v>627.5</v>
      </c>
      <c r="BE800" s="50" t="n">
        <f aca="false">BD800*G800</f>
        <v>6.275</v>
      </c>
      <c r="BF800" s="50" t="n">
        <f aca="false">ROUNDUP(CK800+MAX(CL800,2*(J800/IF(CG800&gt;0,CG800,MAX(0.1,N(Cockpit!$O$6)))-CK800)),0)</f>
        <v>1190</v>
      </c>
      <c r="BG800" s="51" t="n">
        <f aca="false">IF(BC800&gt;0,J800/BC800,-1)</f>
        <v>376.748387096774</v>
      </c>
      <c r="BH800" s="51" t="n">
        <f aca="false">IF(AND(OR(CF800="L1",CF800="L23",CF800="LIFT"),BC800&gt;0),SUMIFS($BC$7:$BC$1843,$CF$7:$CF$1843,CF800,$BG$7:$BG$1843,"&gt;"&amp;BG800)+SUMIFS($BC$7:$BC$1843,$CF$7:$CF$1843,CF800,$BG$7:$BG$1843,BG800,$BW$7:$BW$1843,"&lt;="&amp;BW800),"")</f>
        <v>215.358974358974</v>
      </c>
      <c r="BI800" s="58" t="n">
        <f aca="false">IF(BH800="",0,MAX(0,MIN(1,(IF(CF800="L1",Parameter!$H$5,IF(CF800="L23",Parameter!$H$6+Parameter!$H$7,Parameter!$H$5+Parameter!$H$6+Parameter!$H$7))-(BH800-BC800))/BC800)))</f>
        <v>1</v>
      </c>
      <c r="BJ800" s="48" t="str">
        <f aca="false">IF(AI800&lt;=0,"",IF(CF800="Aussen","Aussenlager",IF(CF800="-","Nicht im Lift",IF(AO800&gt;=1,"Lift",IF(AO800&lt;=0,"Aussenlager","teilweise")))))</f>
        <v>Lift</v>
      </c>
      <c r="BK800" s="48" t="str">
        <f aca="false">IF(AS800&lt;=0,"",IF(CF800="Aussen","Aussenlager",IF(CF800="-","Nicht im Lift",IF(AY800&gt;=1,"Lift",IF(AY800&lt;=0,"Aussenlager","teilweise")))))</f>
        <v>Lift</v>
      </c>
      <c r="BL800" s="48" t="str">
        <f aca="false">IF(BC800&lt;=0,"",IF(CF800="Aussen","Aussenlager",IF(CF800="-","Nicht im Lift",IF(BI800&gt;=1,"Lift",IF(BI800&lt;=0,"Aussenlager","teilweise")))))</f>
        <v>Lift</v>
      </c>
      <c r="BM800" s="48" t="str">
        <f aca="false">IF(A800="","",IF(BV800=1,"Neu; ","")&amp;IF(AND(BV800=0,BQ800&lt;0),"negativer Bestand (Export "&amp;BQ800&amp;"); ","")&amp;IF(J800&lt;=0,"Kein Verbrauch; ","")&amp;IF(CQ800&gt;0,"Lift "&amp;W800&amp;" lt. Liftbericht (Fach "&amp;X800&amp;" Stk); ",IF(CA800=1,"Gebinde geschätzt ("&amp;T800&amp;"); ",IF(BZ800=1,"Lose – Tablare geschätzt; ","")))&amp;IF(H800&gt;AV800,"Überbestand "&amp;ROUND(H800-AV800,0)&amp;" Stk / CHF "&amp;ROUND((H800-AV800)*G800,0)&amp;"; ","")&amp;IF(AND(CH800=1,CI800&lt;CJ800),"MAX &lt; MB+LG; ","")&amp;IF(AND(CP800&gt;0,CO800*10&gt;CP800),"zu hoch für Tablar; ","")&amp;IF(AND(BV800=0,OR(CH800=1,AA800&lt;&gt;"",U800&lt;&gt;"",V800&lt;&gt;"",AB800&lt;&gt;"")),"manuell übersteuert; ","")&amp;IF(AND(BZ800=0,R800=0),"Gebinde unbekannt / Stellmass fehlt; ","")&amp;IF(AND(BZ800=0,N(V800)&lt;=0,N(Q800)&lt;=0),"Menge pro Gebinde fehlt (Ist = 1 Gebinde); ","")&amp;BU800)</f>
        <v/>
      </c>
      <c r="BN800" s="48"/>
      <c r="BO800" s="48"/>
      <c r="BP800" s="55"/>
      <c r="BQ800" s="50" t="n">
        <v>126</v>
      </c>
      <c r="BR800" s="50" t="n">
        <v>593</v>
      </c>
      <c r="BS800" s="49" t="n">
        <v>-4.66999999999998</v>
      </c>
      <c r="BT800" s="50" t="n">
        <v>1123</v>
      </c>
      <c r="BU800" s="48"/>
      <c r="BV800" s="53" t="n">
        <v>0</v>
      </c>
      <c r="BW800" s="53" t="n">
        <v>800</v>
      </c>
      <c r="BX800" s="48" t="str">
        <f aca="false">IF(U800&lt;&gt;"",UPPER(TRIM(U800)),IF(CA800=1,UPPER(VLOOKUP(T800,Parameter!$I$27:$K$29,2,0)),IF(P800="","LOSE",P800)))</f>
        <v>S32</v>
      </c>
      <c r="BY800" s="50" t="n">
        <f aca="false">IF(BX800="LOSE",1,IF(N(V800)&gt;0,V800,IF(CA800=1,MAX(1,N(VLOOKUP(T800,Parameter!$I$27:$K$29,3,0)),H800,N(N800)),IF(N(Q800)&gt;0,Q800,MAX(1,H800)))))</f>
        <v>381</v>
      </c>
      <c r="BZ800" s="53" t="n">
        <f aca="false">IF(BX800="LOSE",1,0)</f>
        <v>0</v>
      </c>
      <c r="CA800" s="53" t="n">
        <f aca="false">IF(AND(U800="",OR(P800="",P800="LOSE"),T800&lt;&gt;"",N(S800)&lt;=0,ISNUMBER(MATCH(T800,Parameter!$I$27:$I$29,0))),1,0)</f>
        <v>0</v>
      </c>
      <c r="CB800" s="53" t="n">
        <f aca="false">IF(CQ800&gt;0,INDEX(Parameter!$H$5:$H$7,W800)/INDEX(Parameter!$E$5:$E$7,W800),IF(AND(BZ800=0,N(IFERROR(VLOOKUP(BX800,'Gebinde-Kategorie'!$A$5:$N$45,14,0),0))&gt;0),VLOOKUP(BX800,'Gebinde-Kategorie'!$A$5:$N$45,14,0)*10+Parameter!$M$23,Parameter!$M$24))</f>
        <v>155</v>
      </c>
      <c r="CC800" s="48" t="str">
        <f aca="false">IF(AND(Parameter!$B$19="Ja",E800&lt;&gt;"",ISNUMBER(MATCH(E800,Parameter!$I$35:$I$52,0))),VLOOKUP(E800,Parameter!$I$35:$J$52,2,0),IFERROR(VLOOKUP(D800,Parameter!$A$35:$C$64,2,0),"Nein"))</f>
        <v>2+3</v>
      </c>
      <c r="CD800" s="52" t="n">
        <f aca="false">IF(BZ800=0,0,IF(N(S800)&gt;0,S800,IFERROR(VLOOKUP(D800,Parameter!$A$35:$C$64,3,0)+0,0)))</f>
        <v>0</v>
      </c>
      <c r="CE800" s="48" t="n">
        <f aca="false">IF(AA800&lt;&gt;"",AA800,Z800)</f>
        <v>3</v>
      </c>
      <c r="CF800" s="48" t="str">
        <f aca="false">IF(OR(CE800=1,CE800=2,CE800=3),IF(Parameter!$E$27="Ja","LIFT",IF(CE800=1,"L1","L23")),IF(CE800="Aussen","Aussen","-"))</f>
        <v>LIFT</v>
      </c>
      <c r="CG800" s="59" t="n">
        <f aca="false">IF(N(AB800)&gt;0,AB800,0)</f>
        <v>0</v>
      </c>
      <c r="CH800" s="53" t="n">
        <f aca="false">IF(ISNUMBER(AE800),1,0)</f>
        <v>0</v>
      </c>
      <c r="CI800" s="50" t="n">
        <f aca="false">N(AE800)</f>
        <v>0</v>
      </c>
      <c r="CJ800" s="50" t="n">
        <f aca="false">N(M800)+N(N800)</f>
        <v>1190</v>
      </c>
      <c r="CK800" s="50" t="n">
        <f aca="false">N(M800)</f>
        <v>65</v>
      </c>
      <c r="CL800" s="50" t="n">
        <f aca="false">N(N800)</f>
        <v>1125</v>
      </c>
      <c r="CM800" s="50" t="n">
        <f aca="false">ROUNDUP(H800/BY800,0)</f>
        <v>2</v>
      </c>
      <c r="CN800" s="50" t="n">
        <f aca="false">ROUNDUP(CI800/BY800,0)</f>
        <v>0</v>
      </c>
      <c r="CO800" s="53" t="n">
        <f aca="false">IF(BZ800=1,0,IFERROR(VLOOKUP(BX800,'Gebinde-Kategorie'!$A$5:$N$45,5,0)+0,0))</f>
        <v>8</v>
      </c>
      <c r="CP800" s="53" t="n">
        <f aca="false">IFERROR(IF(OR(CE800=1,CE800=2,CE800=3),N(INDEX(Parameter!$I$5:$I$7,CE800)),0),0)</f>
        <v>0</v>
      </c>
      <c r="CQ800" s="52" t="n">
        <f aca="false">IF(AND(Parameter!$B$21="Ja",ISNUMBER(W800),N(X800)&gt;0),IFERROR(N(INDEX(Parameter!$L$5:$L$7,W800))*INDEX(Parameter!$E$5:$E$7,W800)*X800/SUMIFS($X$7:$X$1843,$W$7:$W$1843,W800),0),0)</f>
        <v>0</v>
      </c>
    </row>
    <row r="801" customFormat="false" ht="15" hidden="false" customHeight="false" outlineLevel="0" collapsed="false">
      <c r="A801" s="48" t="s">
        <v>1565</v>
      </c>
      <c r="B801" s="48" t="s">
        <v>1566</v>
      </c>
      <c r="C801" s="48" t="s">
        <v>173</v>
      </c>
      <c r="D801" s="48" t="s">
        <v>193</v>
      </c>
      <c r="E801" s="48" t="s">
        <v>194</v>
      </c>
      <c r="F801" s="48" t="s">
        <v>227</v>
      </c>
      <c r="G801" s="49" t="n">
        <v>4.68</v>
      </c>
      <c r="H801" s="50" t="n">
        <f aca="false">MAX(0,IF(AND(Parameter!$B$21="Ja",ISNUMBER(Y801)),Y801,IF(Parameter!$B$20="Jahresanfang 2025 + Export",BR801+BQ801,BQ801)))</f>
        <v>7</v>
      </c>
      <c r="I801" s="50" t="n">
        <f aca="false">H801*G801</f>
        <v>32.76</v>
      </c>
      <c r="J801" s="50" t="n">
        <f aca="false">BT801*Parameter!$B$18</f>
        <v>2</v>
      </c>
      <c r="K801" s="51" t="n">
        <v>7</v>
      </c>
      <c r="L801" s="52" t="n">
        <v>0.285714285714286</v>
      </c>
      <c r="M801" s="50" t="n">
        <v>0</v>
      </c>
      <c r="N801" s="50" t="n">
        <v>1</v>
      </c>
      <c r="O801" s="53" t="n">
        <v>14</v>
      </c>
      <c r="P801" s="48" t="s">
        <v>410</v>
      </c>
      <c r="Q801" s="50" t="n">
        <v>10</v>
      </c>
      <c r="R801" s="53" t="n">
        <f aca="false">IF(BZ801=1,0,IFERROR(VLOOKUP(BX801,'Gebinde-Kategorie'!$A$5:$N$45,13,0)+0,0))</f>
        <v>280</v>
      </c>
      <c r="S801" s="54"/>
      <c r="T801" s="55"/>
      <c r="U801" s="55"/>
      <c r="V801" s="55"/>
      <c r="W801" s="48"/>
      <c r="X801" s="50"/>
      <c r="Y801" s="50"/>
      <c r="Z801" s="48" t="n">
        <f aca="false">IF(A801="","",IF(AND(Parameter!$B$21="Ja",ISNUMBER(W801)),W801,IF(CC801="2+3",IF(ISNUMBER(SEARCH("grosser Artikel",BU801)),2,IFERROR(VLOOKUP(BX801,Parameter!$F$35:$G$64,2,0),2)),IF(OR(CC801="Nein",CC801=""),"-",CC801))))</f>
        <v>3</v>
      </c>
      <c r="AA801" s="55"/>
      <c r="AB801" s="56"/>
      <c r="AC801" s="50" t="n">
        <f aca="false">AV801</f>
        <v>2</v>
      </c>
      <c r="AD801" s="50" t="n">
        <f aca="false">MAX(AV801,H801)</f>
        <v>7</v>
      </c>
      <c r="AE801" s="57"/>
      <c r="AF801" s="50" t="n">
        <f aca="false">IF(LEFT(Cockpit!$C$5,1)="A",H801,IF(Parameter!$E$30="MAX-Bestand",IF(CH801=1,CI801,IF(LEFT(Cockpit!$C$5,1)="B",AL801,MAX(AL801,H801))),ROUNDUP(AJ801,0)))</f>
        <v>7</v>
      </c>
      <c r="AG801" s="50" t="n">
        <f aca="false">IF(BZ801=1,0,ROUNDUP(AF801/BY801,0))</f>
        <v>1</v>
      </c>
      <c r="AH801" s="52" t="n">
        <f aca="false">IF(CQ801&gt;0,CQ801*MAX(1,AF801/X801),IF(BZ801=1,IF(AF801&lt;=0,0,CD801*MAX(1,IF(H801&gt;0,AF801/H801,1))),IF(R801&gt;0,AG801/R801,0))/MAX(0.1,N(Parameter!$M$21)))</f>
        <v>0.00357142857142857</v>
      </c>
      <c r="AI801" s="50" t="n">
        <f aca="false">AH801*CB801</f>
        <v>0.553571428571429</v>
      </c>
      <c r="AJ801" s="51" t="n">
        <f aca="false">IF(LEFT(Cockpit!$C$5,1)="A",H801,IF(CH801=1,(CK801+CI801)/2,IF(LEFT(Cockpit!$C$5,1)="B",(CK801+AL801)/2,MAX((CK801+AL801)/2,H801))))</f>
        <v>7</v>
      </c>
      <c r="AK801" s="50" t="n">
        <f aca="false">AJ801*G801</f>
        <v>32.76</v>
      </c>
      <c r="AL801" s="50" t="n">
        <f aca="false">ROUNDUP(CK801+MAX(CL801,2*(J801/IF(CG801&gt;0,CG801,MAX(0.1,N(Cockpit!$C$6)))-CK801)),0)</f>
        <v>2</v>
      </c>
      <c r="AM801" s="51" t="n">
        <f aca="false">IF(AI801&gt;0,J801/AI801,-1)</f>
        <v>3.61290322580645</v>
      </c>
      <c r="AN801" s="51" t="n">
        <f aca="false">IF(AND(OR(CF801="L1",CF801="L23",CF801="LIFT"),AI801&gt;0),SUMIFS($AI$7:$AI$1843,$CF$7:$CF$1843,CF801,$AM$7:$AM$1843,"&gt;"&amp;AM801)+SUMIFS($AI$7:$AI$1843,$CF$7:$CF$1843,CF801,$AM$7:$AM$1843,AM801,$BW$7:$BW$1843,"&lt;="&amp;BW801),"")</f>
        <v>4828.98122710623</v>
      </c>
      <c r="AO801" s="58" t="n">
        <f aca="false">IF(AN801="",0,MAX(0,MIN(1,(IF(CF801="L1",Parameter!$H$5,IF(CF801="L23",Parameter!$H$6+Parameter!$H$7,Parameter!$H$5+Parameter!$H$6+Parameter!$H$7))-(AN801-AI801))/AI801)))</f>
        <v>1</v>
      </c>
      <c r="AP801" s="50" t="n">
        <f aca="false">IF(LEFT(Cockpit!$I$5,1)="A",H801,IF(Parameter!$E$30="MAX-Bestand",IF(CH801=1,CI801,IF(LEFT(Cockpit!$I$5,1)="B",AV801,MAX(AV801,H801))),ROUNDUP(AT801,0)))</f>
        <v>7</v>
      </c>
      <c r="AQ801" s="50" t="n">
        <f aca="false">IF(BZ801=1,0,ROUNDUP(AP801/BY801,0))</f>
        <v>1</v>
      </c>
      <c r="AR801" s="52" t="n">
        <f aca="false">IF(CQ801&gt;0,CQ801*MAX(1,AP801/X801),IF(BZ801=1,IF(AP801&lt;=0,0,CD801*MAX(1,IF(H801&gt;0,AP801/H801,1))),IF(R801&gt;0,AQ801/R801,0))/MAX(0.1,N(Parameter!$M$21)))</f>
        <v>0.00357142857142857</v>
      </c>
      <c r="AS801" s="50" t="n">
        <f aca="false">AR801*CB801</f>
        <v>0.553571428571429</v>
      </c>
      <c r="AT801" s="51" t="n">
        <f aca="false">IF(LEFT(Cockpit!$I$5,1)="A",H801,IF(CH801=1,(CK801+CI801)/2,IF(LEFT(Cockpit!$I$5,1)="B",(CK801+AV801)/2,MAX((CK801+AV801)/2,H801))))</f>
        <v>7</v>
      </c>
      <c r="AU801" s="50" t="n">
        <f aca="false">AT801*G801</f>
        <v>32.76</v>
      </c>
      <c r="AV801" s="50" t="n">
        <f aca="false">ROUNDUP(CK801+MAX(CL801,2*(J801/IF(CG801&gt;0,CG801,MAX(0.1,N(Cockpit!$I$6)))-CK801)),0)</f>
        <v>2</v>
      </c>
      <c r="AW801" s="51" t="n">
        <f aca="false">IF(AS801&gt;0,J801/AS801,-1)</f>
        <v>3.61290322580645</v>
      </c>
      <c r="AX801" s="51" t="n">
        <f aca="false">IF(AND(OR(CF801="L1",CF801="L23",CF801="LIFT"),AS801&gt;0),SUMIFS($AS$7:$AS$1843,$CF$7:$CF$1843,CF801,$AW$7:$AW$1843,"&gt;"&amp;AW801)+SUMIFS($AS$7:$AS$1843,$CF$7:$CF$1843,CF801,$AW$7:$AW$1843,AW801,$BW$7:$BW$1843,"&lt;="&amp;BW801),"")</f>
        <v>5406.56822344322</v>
      </c>
      <c r="AY801" s="58" t="n">
        <f aca="false">IF(AX801="",0,MAX(0,MIN(1,(IF(CF801="L1",Parameter!$H$5,IF(CF801="L23",Parameter!$H$6+Parameter!$H$7,Parameter!$H$5+Parameter!$H$6+Parameter!$H$7))-(AX801-AS801))/AS801)))</f>
        <v>1</v>
      </c>
      <c r="AZ801" s="50" t="n">
        <f aca="false">IF(LEFT(Cockpit!$O$5,1)="A",H801,IF(Parameter!$E$30="MAX-Bestand",IF(CH801=1,CI801,IF(LEFT(Cockpit!$O$5,1)="B",BF801,MAX(BF801,H801))),ROUNDUP(BD801,0)))</f>
        <v>1</v>
      </c>
      <c r="BA801" s="50" t="n">
        <f aca="false">IF(BZ801=1,0,ROUNDUP(AZ801/BY801,0))</f>
        <v>1</v>
      </c>
      <c r="BB801" s="52" t="n">
        <f aca="false">IF(CQ801&gt;0,CQ801*MAX(1,AZ801/X801),IF(BZ801=1,IF(AZ801&lt;=0,0,CD801*MAX(1,IF(H801&gt;0,AZ801/H801,1))),IF(R801&gt;0,BA801/R801,0))/MAX(0.1,N(Parameter!$M$21)))</f>
        <v>0.00357142857142857</v>
      </c>
      <c r="BC801" s="50" t="n">
        <f aca="false">BB801*CB801</f>
        <v>0.553571428571429</v>
      </c>
      <c r="BD801" s="51" t="n">
        <f aca="false">IF(LEFT(Cockpit!$O$5,1)="A",H801,IF(CH801=1,(CK801+CI801)/2,IF(LEFT(Cockpit!$O$5,1)="B",(CK801+BF801)/2,MAX((CK801+BF801)/2,H801))))</f>
        <v>0.5</v>
      </c>
      <c r="BE801" s="50" t="n">
        <f aca="false">BD801*G801</f>
        <v>2.34</v>
      </c>
      <c r="BF801" s="50" t="n">
        <f aca="false">ROUNDUP(CK801+MAX(CL801,2*(J801/IF(CG801&gt;0,CG801,MAX(0.1,N(Cockpit!$O$6)))-CK801)),0)</f>
        <v>1</v>
      </c>
      <c r="BG801" s="51" t="n">
        <f aca="false">IF(BC801&gt;0,J801/BC801,-1)</f>
        <v>3.61290322580645</v>
      </c>
      <c r="BH801" s="51" t="n">
        <f aca="false">IF(AND(OR(CF801="L1",CF801="L23",CF801="LIFT"),BC801&gt;0),SUMIFS($BC$7:$BC$1843,$CF$7:$CF$1843,CF801,$BG$7:$BG$1843,"&gt;"&amp;BG801)+SUMIFS($BC$7:$BC$1843,$CF$7:$CF$1843,CF801,$BG$7:$BG$1843,BG801,$BW$7:$BW$1843,"&lt;="&amp;BW801),"")</f>
        <v>4421.06501831502</v>
      </c>
      <c r="BI801" s="58" t="n">
        <f aca="false">IF(BH801="",0,MAX(0,MIN(1,(IF(CF801="L1",Parameter!$H$5,IF(CF801="L23",Parameter!$H$6+Parameter!$H$7,Parameter!$H$5+Parameter!$H$6+Parameter!$H$7))-(BH801-BC801))/BC801)))</f>
        <v>1</v>
      </c>
      <c r="BJ801" s="48" t="str">
        <f aca="false">IF(AI801&lt;=0,"",IF(CF801="Aussen","Aussenlager",IF(CF801="-","Nicht im Lift",IF(AO801&gt;=1,"Lift",IF(AO801&lt;=0,"Aussenlager","teilweise")))))</f>
        <v>Lift</v>
      </c>
      <c r="BK801" s="48" t="str">
        <f aca="false">IF(AS801&lt;=0,"",IF(CF801="Aussen","Aussenlager",IF(CF801="-","Nicht im Lift",IF(AY801&gt;=1,"Lift",IF(AY801&lt;=0,"Aussenlager","teilweise")))))</f>
        <v>Lift</v>
      </c>
      <c r="BL801" s="48" t="str">
        <f aca="false">IF(BC801&lt;=0,"",IF(CF801="Aussen","Aussenlager",IF(CF801="-","Nicht im Lift",IF(BI801&gt;=1,"Lift",IF(BI801&lt;=0,"Aussenlager","teilweise")))))</f>
        <v>Lift</v>
      </c>
      <c r="BM801" s="48" t="str">
        <f aca="false">IF(A801="","",IF(BV801=1,"Neu; ","")&amp;IF(AND(BV801=0,BQ801&lt;0),"negativer Bestand (Export "&amp;BQ801&amp;"); ","")&amp;IF(J801&lt;=0,"Kein Verbrauch; ","")&amp;IF(CQ801&gt;0,"Lift "&amp;W801&amp;" lt. Liftbericht (Fach "&amp;X801&amp;" Stk); ",IF(CA801=1,"Gebinde geschätzt ("&amp;T801&amp;"); ",IF(BZ801=1,"Lose – Tablare geschätzt; ","")))&amp;IF(H801&gt;AV801,"Überbestand "&amp;ROUND(H801-AV801,0)&amp;" Stk / CHF "&amp;ROUND((H801-AV801)*G801,0)&amp;"; ","")&amp;IF(AND(CH801=1,CI801&lt;CJ801),"MAX &lt; MB+LG; ","")&amp;IF(AND(CP801&gt;0,CO801*10&gt;CP801),"zu hoch für Tablar; ","")&amp;IF(AND(BV801=0,OR(CH801=1,AA801&lt;&gt;"",U801&lt;&gt;"",V801&lt;&gt;"",AB801&lt;&gt;"")),"manuell übersteuert; ","")&amp;IF(AND(BZ801=0,R801=0),"Gebinde unbekannt / Stellmass fehlt; ","")&amp;IF(AND(BZ801=0,N(V801)&lt;=0,N(Q801)&lt;=0),"Menge pro Gebinde fehlt (Ist = 1 Gebinde); ","")&amp;BU801)</f>
        <v>negativer Bestand (Export -1); Überbestand 5 Stk / CHF 23; </v>
      </c>
      <c r="BN801" s="48"/>
      <c r="BO801" s="48"/>
      <c r="BP801" s="55"/>
      <c r="BQ801" s="50" t="n">
        <v>-1</v>
      </c>
      <c r="BR801" s="50" t="n">
        <v>8</v>
      </c>
      <c r="BS801" s="49" t="n">
        <v>-4.68</v>
      </c>
      <c r="BT801" s="50" t="n">
        <v>2</v>
      </c>
      <c r="BU801" s="48"/>
      <c r="BV801" s="53" t="n">
        <v>0</v>
      </c>
      <c r="BW801" s="53" t="n">
        <v>801</v>
      </c>
      <c r="BX801" s="48" t="str">
        <f aca="false">IF(U801&lt;&gt;"",UPPER(TRIM(U801)),IF(CA801=1,UPPER(VLOOKUP(T801,Parameter!$I$27:$K$29,2,0)),IF(P801="","LOSE",P801)))</f>
        <v>S21</v>
      </c>
      <c r="BY801" s="50" t="n">
        <f aca="false">IF(BX801="LOSE",1,IF(N(V801)&gt;0,V801,IF(CA801=1,MAX(1,N(VLOOKUP(T801,Parameter!$I$27:$K$29,3,0)),H801,N(N801)),IF(N(Q801)&gt;0,Q801,MAX(1,H801)))))</f>
        <v>10</v>
      </c>
      <c r="BZ801" s="53" t="n">
        <f aca="false">IF(BX801="LOSE",1,0)</f>
        <v>0</v>
      </c>
      <c r="CA801" s="53" t="n">
        <f aca="false">IF(AND(U801="",OR(P801="",P801="LOSE"),T801&lt;&gt;"",N(S801)&lt;=0,ISNUMBER(MATCH(T801,Parameter!$I$27:$I$29,0))),1,0)</f>
        <v>0</v>
      </c>
      <c r="CB801" s="53" t="n">
        <f aca="false">IF(CQ801&gt;0,INDEX(Parameter!$H$5:$H$7,W801)/INDEX(Parameter!$E$5:$E$7,W801),IF(AND(BZ801=0,N(IFERROR(VLOOKUP(BX801,'Gebinde-Kategorie'!$A$5:$N$45,14,0),0))&gt;0),VLOOKUP(BX801,'Gebinde-Kategorie'!$A$5:$N$45,14,0)*10+Parameter!$M$23,Parameter!$M$24))</f>
        <v>155</v>
      </c>
      <c r="CC801" s="48" t="str">
        <f aca="false">IF(AND(Parameter!$B$19="Ja",E801&lt;&gt;"",ISNUMBER(MATCH(E801,Parameter!$I$35:$I$52,0))),VLOOKUP(E801,Parameter!$I$35:$J$52,2,0),IFERROR(VLOOKUP(D801,Parameter!$A$35:$C$64,2,0),"Nein"))</f>
        <v>2+3</v>
      </c>
      <c r="CD801" s="52" t="n">
        <f aca="false">IF(BZ801=0,0,IF(N(S801)&gt;0,S801,IFERROR(VLOOKUP(D801,Parameter!$A$35:$C$64,3,0)+0,0)))</f>
        <v>0</v>
      </c>
      <c r="CE801" s="48" t="n">
        <f aca="false">IF(AA801&lt;&gt;"",AA801,Z801)</f>
        <v>3</v>
      </c>
      <c r="CF801" s="48" t="str">
        <f aca="false">IF(OR(CE801=1,CE801=2,CE801=3),IF(Parameter!$E$27="Ja","LIFT",IF(CE801=1,"L1","L23")),IF(CE801="Aussen","Aussen","-"))</f>
        <v>LIFT</v>
      </c>
      <c r="CG801" s="59" t="n">
        <f aca="false">IF(N(AB801)&gt;0,AB801,0)</f>
        <v>0</v>
      </c>
      <c r="CH801" s="53" t="n">
        <f aca="false">IF(ISNUMBER(AE801),1,0)</f>
        <v>0</v>
      </c>
      <c r="CI801" s="50" t="n">
        <f aca="false">N(AE801)</f>
        <v>0</v>
      </c>
      <c r="CJ801" s="50" t="n">
        <f aca="false">N(M801)+N(N801)</f>
        <v>1</v>
      </c>
      <c r="CK801" s="50" t="n">
        <f aca="false">N(M801)</f>
        <v>0</v>
      </c>
      <c r="CL801" s="50" t="n">
        <f aca="false">N(N801)</f>
        <v>1</v>
      </c>
      <c r="CM801" s="50" t="n">
        <f aca="false">ROUNDUP(H801/BY801,0)</f>
        <v>1</v>
      </c>
      <c r="CN801" s="50" t="n">
        <f aca="false">ROUNDUP(CI801/BY801,0)</f>
        <v>0</v>
      </c>
      <c r="CO801" s="53" t="n">
        <f aca="false">IF(BZ801=1,0,IFERROR(VLOOKUP(BX801,'Gebinde-Kategorie'!$A$5:$N$45,5,0)+0,0))</f>
        <v>8</v>
      </c>
      <c r="CP801" s="53" t="n">
        <f aca="false">IFERROR(IF(OR(CE801=1,CE801=2,CE801=3),N(INDEX(Parameter!$I$5:$I$7,CE801)),0),0)</f>
        <v>0</v>
      </c>
      <c r="CQ801" s="52" t="n">
        <f aca="false">IF(AND(Parameter!$B$21="Ja",ISNUMBER(W801),N(X801)&gt;0),IFERROR(N(INDEX(Parameter!$L$5:$L$7,W801))*INDEX(Parameter!$E$5:$E$7,W801)*X801/SUMIFS($X$7:$X$1843,$W$7:$W$1843,W801),0),0)</f>
        <v>0</v>
      </c>
    </row>
    <row r="802" customFormat="false" ht="15" hidden="false" customHeight="false" outlineLevel="0" collapsed="false">
      <c r="A802" s="48" t="s">
        <v>1567</v>
      </c>
      <c r="B802" s="48" t="s">
        <v>1568</v>
      </c>
      <c r="C802" s="48" t="s">
        <v>173</v>
      </c>
      <c r="D802" s="48" t="s">
        <v>193</v>
      </c>
      <c r="E802" s="48"/>
      <c r="F802" s="48" t="s">
        <v>227</v>
      </c>
      <c r="G802" s="49" t="n">
        <v>0.5</v>
      </c>
      <c r="H802" s="50" t="n">
        <f aca="false">MAX(0,IF(AND(Parameter!$B$21="Ja",ISNUMBER(Y802)),Y802,IF(Parameter!$B$20="Jahresanfang 2025 + Export",BR802+BQ802,BQ802)))</f>
        <v>0</v>
      </c>
      <c r="I802" s="50" t="n">
        <f aca="false">H802*G802</f>
        <v>0</v>
      </c>
      <c r="J802" s="50" t="n">
        <f aca="false">BT802*Parameter!$B$18</f>
        <v>0</v>
      </c>
      <c r="K802" s="51" t="n">
        <v>5</v>
      </c>
      <c r="L802" s="52" t="n">
        <v>0</v>
      </c>
      <c r="M802" s="50" t="n">
        <v>0</v>
      </c>
      <c r="N802" s="50" t="n">
        <v>1</v>
      </c>
      <c r="O802" s="53" t="n">
        <v>56</v>
      </c>
      <c r="P802" s="48" t="s">
        <v>177</v>
      </c>
      <c r="Q802" s="50"/>
      <c r="R802" s="53" t="n">
        <f aca="false">IF(BZ802=1,0,IFERROR(VLOOKUP(BX802,'Gebinde-Kategorie'!$A$5:$N$45,13,0)+0,0))</f>
        <v>26</v>
      </c>
      <c r="S802" s="54"/>
      <c r="T802" s="55" t="s">
        <v>284</v>
      </c>
      <c r="U802" s="55"/>
      <c r="V802" s="55"/>
      <c r="W802" s="48"/>
      <c r="X802" s="50"/>
      <c r="Y802" s="50"/>
      <c r="Z802" s="48" t="n">
        <f aca="false">IF(A802="","",IF(AND(Parameter!$B$21="Ja",ISNUMBER(W802)),W802,IF(CC802="2+3",IF(ISNUMBER(SEARCH("grosser Artikel",BU802)),2,IFERROR(VLOOKUP(BX802,Parameter!$F$35:$G$64,2,0),2)),IF(OR(CC802="Nein",CC802=""),"-",CC802))))</f>
        <v>3</v>
      </c>
      <c r="AA802" s="55"/>
      <c r="AB802" s="56"/>
      <c r="AC802" s="50" t="n">
        <f aca="false">AV802</f>
        <v>1</v>
      </c>
      <c r="AD802" s="50" t="n">
        <f aca="false">MAX(AV802,H802)</f>
        <v>1</v>
      </c>
      <c r="AE802" s="57"/>
      <c r="AF802" s="50" t="n">
        <f aca="false">IF(LEFT(Cockpit!$C$5,1)="A",H802,IF(Parameter!$E$30="MAX-Bestand",IF(CH802=1,CI802,IF(LEFT(Cockpit!$C$5,1)="B",AL802,MAX(AL802,H802))),ROUNDUP(AJ802,0)))</f>
        <v>0</v>
      </c>
      <c r="AG802" s="50" t="n">
        <f aca="false">IF(BZ802=1,0,ROUNDUP(AF802/BY802,0))</f>
        <v>0</v>
      </c>
      <c r="AH802" s="52" t="n">
        <f aca="false">IF(CQ802&gt;0,CQ802*MAX(1,AF802/X802),IF(BZ802=1,IF(AF802&lt;=0,0,CD802*MAX(1,IF(H802&gt;0,AF802/H802,1))),IF(R802&gt;0,AG802/R802,0))/MAX(0.1,N(Parameter!$M$21)))</f>
        <v>0</v>
      </c>
      <c r="AI802" s="50" t="n">
        <f aca="false">AH802*CB802</f>
        <v>0</v>
      </c>
      <c r="AJ802" s="51" t="n">
        <f aca="false">IF(LEFT(Cockpit!$C$5,1)="A",H802,IF(CH802=1,(CK802+CI802)/2,IF(LEFT(Cockpit!$C$5,1)="B",(CK802+AL802)/2,MAX((CK802+AL802)/2,H802))))</f>
        <v>0</v>
      </c>
      <c r="AK802" s="50" t="n">
        <f aca="false">AJ802*G802</f>
        <v>0</v>
      </c>
      <c r="AL802" s="50" t="n">
        <f aca="false">ROUNDUP(CK802+MAX(CL802,2*(J802/IF(CG802&gt;0,CG802,MAX(0.1,N(Cockpit!$C$6)))-CK802)),0)</f>
        <v>1</v>
      </c>
      <c r="AM802" s="51" t="n">
        <f aca="false">IF(AI802&gt;0,J802/AI802,-1)</f>
        <v>-1</v>
      </c>
      <c r="AN802" s="51" t="str">
        <f aca="false">IF(AND(OR(CF802="L1",CF802="L23",CF802="LIFT"),AI802&gt;0),SUMIFS($AI$7:$AI$1843,$CF$7:$CF$1843,CF802,$AM$7:$AM$1843,"&gt;"&amp;AM802)+SUMIFS($AI$7:$AI$1843,$CF$7:$CF$1843,CF802,$AM$7:$AM$1843,AM802,$BW$7:$BW$1843,"&lt;="&amp;BW802),"")</f>
        <v/>
      </c>
      <c r="AO802" s="58" t="n">
        <f aca="false">IF(AN802="",0,MAX(0,MIN(1,(IF(CF802="L1",Parameter!$H$5,IF(CF802="L23",Parameter!$H$6+Parameter!$H$7,Parameter!$H$5+Parameter!$H$6+Parameter!$H$7))-(AN802-AI802))/AI802)))</f>
        <v>0</v>
      </c>
      <c r="AP802" s="50" t="n">
        <f aca="false">IF(LEFT(Cockpit!$I$5,1)="A",H802,IF(Parameter!$E$30="MAX-Bestand",IF(CH802=1,CI802,IF(LEFT(Cockpit!$I$5,1)="B",AV802,MAX(AV802,H802))),ROUNDUP(AT802,0)))</f>
        <v>1</v>
      </c>
      <c r="AQ802" s="50" t="n">
        <f aca="false">IF(BZ802=1,0,ROUNDUP(AP802/BY802,0))</f>
        <v>1</v>
      </c>
      <c r="AR802" s="52" t="n">
        <f aca="false">IF(CQ802&gt;0,CQ802*MAX(1,AP802/X802),IF(BZ802=1,IF(AP802&lt;=0,0,CD802*MAX(1,IF(H802&gt;0,AP802/H802,1))),IF(R802&gt;0,AQ802/R802,0))/MAX(0.1,N(Parameter!$M$21)))</f>
        <v>0.0384615384615385</v>
      </c>
      <c r="AS802" s="50" t="n">
        <f aca="false">AR802*CB802</f>
        <v>5.96153846153846</v>
      </c>
      <c r="AT802" s="51" t="n">
        <f aca="false">IF(LEFT(Cockpit!$I$5,1)="A",H802,IF(CH802=1,(CK802+CI802)/2,IF(LEFT(Cockpit!$I$5,1)="B",(CK802+AV802)/2,MAX((CK802+AV802)/2,H802))))</f>
        <v>0.5</v>
      </c>
      <c r="AU802" s="50" t="n">
        <f aca="false">AT802*G802</f>
        <v>0.25</v>
      </c>
      <c r="AV802" s="50" t="n">
        <f aca="false">ROUNDUP(CK802+MAX(CL802,2*(J802/IF(CG802&gt;0,CG802,MAX(0.1,N(Cockpit!$I$6)))-CK802)),0)</f>
        <v>1</v>
      </c>
      <c r="AW802" s="51" t="n">
        <f aca="false">IF(AS802&gt;0,J802/AS802,-1)</f>
        <v>0</v>
      </c>
      <c r="AX802" s="51" t="n">
        <f aca="false">IF(AND(OR(CF802="L1",CF802="L23",CF802="LIFT"),AS802&gt;0),SUMIFS($AS$7:$AS$1843,$CF$7:$CF$1843,CF802,$AW$7:$AW$1843,"&gt;"&amp;AW802)+SUMIFS($AS$7:$AS$1843,$CF$7:$CF$1843,CF802,$AW$7:$AW$1843,AW802,$BW$7:$BW$1843,"&lt;="&amp;BW802),"")</f>
        <v>34376.1172161172</v>
      </c>
      <c r="AY802" s="58" t="n">
        <f aca="false">IF(AX802="",0,MAX(0,MIN(1,(IF(CF802="L1",Parameter!$H$5,IF(CF802="L23",Parameter!$H$6+Parameter!$H$7,Parameter!$H$5+Parameter!$H$6+Parameter!$H$7))-(AX802-AS802))/AS802)))</f>
        <v>1</v>
      </c>
      <c r="AZ802" s="50" t="n">
        <f aca="false">IF(LEFT(Cockpit!$O$5,1)="A",H802,IF(Parameter!$E$30="MAX-Bestand",IF(CH802=1,CI802,IF(LEFT(Cockpit!$O$5,1)="B",BF802,MAX(BF802,H802))),ROUNDUP(BD802,0)))</f>
        <v>1</v>
      </c>
      <c r="BA802" s="50" t="n">
        <f aca="false">IF(BZ802=1,0,ROUNDUP(AZ802/BY802,0))</f>
        <v>1</v>
      </c>
      <c r="BB802" s="52" t="n">
        <f aca="false">IF(CQ802&gt;0,CQ802*MAX(1,AZ802/X802),IF(BZ802=1,IF(AZ802&lt;=0,0,CD802*MAX(1,IF(H802&gt;0,AZ802/H802,1))),IF(R802&gt;0,BA802/R802,0))/MAX(0.1,N(Parameter!$M$21)))</f>
        <v>0.0384615384615385</v>
      </c>
      <c r="BC802" s="50" t="n">
        <f aca="false">BB802*CB802</f>
        <v>5.96153846153846</v>
      </c>
      <c r="BD802" s="51" t="n">
        <f aca="false">IF(LEFT(Cockpit!$O$5,1)="A",H802,IF(CH802=1,(CK802+CI802)/2,IF(LEFT(Cockpit!$O$5,1)="B",(CK802+BF802)/2,MAX((CK802+BF802)/2,H802))))</f>
        <v>0.5</v>
      </c>
      <c r="BE802" s="50" t="n">
        <f aca="false">BD802*G802</f>
        <v>0.25</v>
      </c>
      <c r="BF802" s="50" t="n">
        <f aca="false">ROUNDUP(CK802+MAX(CL802,2*(J802/IF(CG802&gt;0,CG802,MAX(0.1,N(Cockpit!$O$6)))-CK802)),0)</f>
        <v>1</v>
      </c>
      <c r="BG802" s="51" t="n">
        <f aca="false">IF(BC802&gt;0,J802/BC802,-1)</f>
        <v>0</v>
      </c>
      <c r="BH802" s="51" t="n">
        <f aca="false">IF(AND(OR(CF802="L1",CF802="L23",CF802="LIFT"),BC802&gt;0),SUMIFS($BC$7:$BC$1843,$CF$7:$CF$1843,CF802,$BG$7:$BG$1843,"&gt;"&amp;BG802)+SUMIFS($BC$7:$BC$1843,$CF$7:$CF$1843,CF802,$BG$7:$BG$1843,BG802,$BW$7:$BW$1843,"&lt;="&amp;BW802),"")</f>
        <v>28419.9870630782</v>
      </c>
      <c r="BI802" s="58" t="n">
        <f aca="false">IF(BH802="",0,MAX(0,MIN(1,(IF(CF802="L1",Parameter!$H$5,IF(CF802="L23",Parameter!$H$6+Parameter!$H$7,Parameter!$H$5+Parameter!$H$6+Parameter!$H$7))-(BH802-BC802))/BC802)))</f>
        <v>1</v>
      </c>
      <c r="BJ802" s="48" t="str">
        <f aca="false">IF(AI802&lt;=0,"",IF(CF802="Aussen","Aussenlager",IF(CF802="-","Nicht im Lift",IF(AO802&gt;=1,"Lift",IF(AO802&lt;=0,"Aussenlager","teilweise")))))</f>
        <v/>
      </c>
      <c r="BK802" s="48" t="str">
        <f aca="false">IF(AS802&lt;=0,"",IF(CF802="Aussen","Aussenlager",IF(CF802="-","Nicht im Lift",IF(AY802&gt;=1,"Lift",IF(AY802&lt;=0,"Aussenlager","teilweise")))))</f>
        <v>Lift</v>
      </c>
      <c r="BL802" s="48" t="str">
        <f aca="false">IF(BC802&lt;=0,"",IF(CF802="Aussen","Aussenlager",IF(CF802="-","Nicht im Lift",IF(BI802&gt;=1,"Lift",IF(BI802&lt;=0,"Aussenlager","teilweise")))))</f>
        <v>Lift</v>
      </c>
      <c r="BM802" s="48" t="str">
        <f aca="false">IF(A802="","",IF(BV802=1,"Neu; ","")&amp;IF(AND(BV802=0,BQ802&lt;0),"negativer Bestand (Export "&amp;BQ802&amp;"); ","")&amp;IF(J802&lt;=0,"Kein Verbrauch; ","")&amp;IF(CQ802&gt;0,"Lift "&amp;W802&amp;" lt. Liftbericht (Fach "&amp;X802&amp;" Stk); ",IF(CA802=1,"Gebinde geschätzt ("&amp;T802&amp;"); ",IF(BZ802=1,"Lose – Tablare geschätzt; ","")))&amp;IF(H802&gt;AV802,"Überbestand "&amp;ROUND(H802-AV802,0)&amp;" Stk / CHF "&amp;ROUND((H802-AV802)*G802,0)&amp;"; ","")&amp;IF(AND(CH802=1,CI802&lt;CJ802),"MAX &lt; MB+LG; ","")&amp;IF(AND(CP802&gt;0,CO802*10&gt;CP802),"zu hoch für Tablar; ","")&amp;IF(AND(BV802=0,OR(CH802=1,AA802&lt;&gt;"",U802&lt;&gt;"",V802&lt;&gt;"",AB802&lt;&gt;"")),"manuell übersteuert; ","")&amp;IF(AND(BZ802=0,R802=0),"Gebinde unbekannt / Stellmass fehlt; ","")&amp;IF(AND(BZ802=0,N(V802)&lt;=0,N(Q802)&lt;=0),"Menge pro Gebinde fehlt (Ist = 1 Gebinde); ","")&amp;BU802)</f>
        <v>negativer Bestand (Export -10); Kein Verbrauch; Gebinde geschätzt (Klein); Menge pro Gebinde fehlt (Ist = 1 Gebinde); Überbestand</v>
      </c>
      <c r="BN802" s="48"/>
      <c r="BO802" s="48"/>
      <c r="BP802" s="55"/>
      <c r="BQ802" s="50" t="n">
        <v>-10</v>
      </c>
      <c r="BR802" s="50" t="n">
        <v>10</v>
      </c>
      <c r="BS802" s="49" t="n">
        <v>-5</v>
      </c>
      <c r="BT802" s="50" t="n">
        <v>0</v>
      </c>
      <c r="BU802" s="48" t="s">
        <v>401</v>
      </c>
      <c r="BV802" s="53" t="n">
        <v>0</v>
      </c>
      <c r="BW802" s="53" t="n">
        <v>802</v>
      </c>
      <c r="BX802" s="48" t="str">
        <f aca="false">IF(U802&lt;&gt;"",UPPER(TRIM(U802)),IF(CA802=1,UPPER(VLOOKUP(T802,Parameter!$I$27:$K$29,2,0)),IF(P802="","LOSE",P802)))</f>
        <v>S51</v>
      </c>
      <c r="BY802" s="50" t="n">
        <f aca="false">IF(BX802="LOSE",1,IF(N(V802)&gt;0,V802,IF(CA802=1,MAX(1,N(VLOOKUP(T802,Parameter!$I$27:$K$29,3,0)),H802,N(N802)),IF(N(Q802)&gt;0,Q802,MAX(1,H802)))))</f>
        <v>20</v>
      </c>
      <c r="BZ802" s="53" t="n">
        <f aca="false">IF(BX802="LOSE",1,0)</f>
        <v>0</v>
      </c>
      <c r="CA802" s="53" t="n">
        <f aca="false">IF(AND(U802="",OR(P802="",P802="LOSE"),T802&lt;&gt;"",N(S802)&lt;=0,ISNUMBER(MATCH(T802,Parameter!$I$27:$I$29,0))),1,0)</f>
        <v>1</v>
      </c>
      <c r="CB802" s="53" t="n">
        <f aca="false">IF(CQ802&gt;0,INDEX(Parameter!$H$5:$H$7,W802)/INDEX(Parameter!$E$5:$E$7,W802),IF(AND(BZ802=0,N(IFERROR(VLOOKUP(BX802,'Gebinde-Kategorie'!$A$5:$N$45,14,0),0))&gt;0),VLOOKUP(BX802,'Gebinde-Kategorie'!$A$5:$N$45,14,0)*10+Parameter!$M$23,Parameter!$M$24))</f>
        <v>155</v>
      </c>
      <c r="CC802" s="48" t="str">
        <f aca="false">IF(AND(Parameter!$B$19="Ja",E802&lt;&gt;"",ISNUMBER(MATCH(E802,Parameter!$I$35:$I$52,0))),VLOOKUP(E802,Parameter!$I$35:$J$52,2,0),IFERROR(VLOOKUP(D802,Parameter!$A$35:$C$64,2,0),"Nein"))</f>
        <v>2+3</v>
      </c>
      <c r="CD802" s="52" t="n">
        <f aca="false">IF(BZ802=0,0,IF(N(S802)&gt;0,S802,IFERROR(VLOOKUP(D802,Parameter!$A$35:$C$64,3,0)+0,0)))</f>
        <v>0</v>
      </c>
      <c r="CE802" s="48" t="n">
        <f aca="false">IF(AA802&lt;&gt;"",AA802,Z802)</f>
        <v>3</v>
      </c>
      <c r="CF802" s="48" t="str">
        <f aca="false">IF(OR(CE802=1,CE802=2,CE802=3),IF(Parameter!$E$27="Ja","LIFT",IF(CE802=1,"L1","L23")),IF(CE802="Aussen","Aussen","-"))</f>
        <v>LIFT</v>
      </c>
      <c r="CG802" s="59" t="n">
        <f aca="false">IF(N(AB802)&gt;0,AB802,0)</f>
        <v>0</v>
      </c>
      <c r="CH802" s="53" t="n">
        <f aca="false">IF(ISNUMBER(AE802),1,0)</f>
        <v>0</v>
      </c>
      <c r="CI802" s="50" t="n">
        <f aca="false">N(AE802)</f>
        <v>0</v>
      </c>
      <c r="CJ802" s="50" t="n">
        <f aca="false">N(M802)+N(N802)</f>
        <v>1</v>
      </c>
      <c r="CK802" s="50" t="n">
        <f aca="false">N(M802)</f>
        <v>0</v>
      </c>
      <c r="CL802" s="50" t="n">
        <f aca="false">N(N802)</f>
        <v>1</v>
      </c>
      <c r="CM802" s="50" t="n">
        <f aca="false">ROUNDUP(H802/BY802,0)</f>
        <v>0</v>
      </c>
      <c r="CN802" s="50" t="n">
        <f aca="false">ROUNDUP(CI802/BY802,0)</f>
        <v>0</v>
      </c>
      <c r="CO802" s="53" t="n">
        <f aca="false">IF(BZ802=1,0,IFERROR(VLOOKUP(BX802,'Gebinde-Kategorie'!$A$5:$N$45,5,0)+0,0))</f>
        <v>11</v>
      </c>
      <c r="CP802" s="53" t="n">
        <f aca="false">IFERROR(IF(OR(CE802=1,CE802=2,CE802=3),N(INDEX(Parameter!$I$5:$I$7,CE802)),0),0)</f>
        <v>0</v>
      </c>
      <c r="CQ802" s="52" t="n">
        <f aca="false">IF(AND(Parameter!$B$21="Ja",ISNUMBER(W802),N(X802)&gt;0),IFERROR(N(INDEX(Parameter!$L$5:$L$7,W802))*INDEX(Parameter!$E$5:$E$7,W802)*X802/SUMIFS($X$7:$X$1843,$W$7:$W$1843,W802),0),0)</f>
        <v>0</v>
      </c>
    </row>
    <row r="803" customFormat="false" ht="15" hidden="false" customHeight="false" outlineLevel="0" collapsed="false">
      <c r="A803" s="48" t="s">
        <v>1569</v>
      </c>
      <c r="B803" s="48" t="s">
        <v>1271</v>
      </c>
      <c r="C803" s="48" t="s">
        <v>173</v>
      </c>
      <c r="D803" s="48" t="s">
        <v>193</v>
      </c>
      <c r="E803" s="48" t="s">
        <v>194</v>
      </c>
      <c r="F803" s="48" t="s">
        <v>227</v>
      </c>
      <c r="G803" s="49" t="n">
        <v>0.05</v>
      </c>
      <c r="H803" s="50" t="n">
        <f aca="false">MAX(0,IF(AND(Parameter!$B$21="Ja",ISNUMBER(Y803)),Y803,IF(Parameter!$B$20="Jahresanfang 2025 + Export",BR803+BQ803,BQ803)))</f>
        <v>0</v>
      </c>
      <c r="I803" s="50" t="n">
        <f aca="false">H803*G803</f>
        <v>0</v>
      </c>
      <c r="J803" s="50" t="n">
        <f aca="false">BT803*Parameter!$B$18</f>
        <v>0</v>
      </c>
      <c r="K803" s="51" t="n">
        <v>51.5</v>
      </c>
      <c r="L803" s="52" t="n">
        <v>0</v>
      </c>
      <c r="M803" s="50" t="n">
        <v>0</v>
      </c>
      <c r="N803" s="50" t="n">
        <v>1</v>
      </c>
      <c r="O803" s="53" t="n">
        <v>14</v>
      </c>
      <c r="P803" s="48" t="s">
        <v>410</v>
      </c>
      <c r="Q803" s="50" t="n">
        <v>103</v>
      </c>
      <c r="R803" s="53" t="n">
        <f aca="false">IF(BZ803=1,0,IFERROR(VLOOKUP(BX803,'Gebinde-Kategorie'!$A$5:$N$45,13,0)+0,0))</f>
        <v>280</v>
      </c>
      <c r="S803" s="54"/>
      <c r="T803" s="55"/>
      <c r="U803" s="55"/>
      <c r="V803" s="55"/>
      <c r="W803" s="48"/>
      <c r="X803" s="50"/>
      <c r="Y803" s="50"/>
      <c r="Z803" s="48" t="n">
        <f aca="false">IF(A803="","",IF(AND(Parameter!$B$21="Ja",ISNUMBER(W803)),W803,IF(CC803="2+3",IF(ISNUMBER(SEARCH("grosser Artikel",BU803)),2,IFERROR(VLOOKUP(BX803,Parameter!$F$35:$G$64,2,0),2)),IF(OR(CC803="Nein",CC803=""),"-",CC803))))</f>
        <v>3</v>
      </c>
      <c r="AA803" s="55"/>
      <c r="AB803" s="56"/>
      <c r="AC803" s="50" t="n">
        <f aca="false">AV803</f>
        <v>1</v>
      </c>
      <c r="AD803" s="50" t="n">
        <f aca="false">MAX(AV803,H803)</f>
        <v>1</v>
      </c>
      <c r="AE803" s="57"/>
      <c r="AF803" s="50" t="n">
        <f aca="false">IF(LEFT(Cockpit!$C$5,1)="A",H803,IF(Parameter!$E$30="MAX-Bestand",IF(CH803=1,CI803,IF(LEFT(Cockpit!$C$5,1)="B",AL803,MAX(AL803,H803))),ROUNDUP(AJ803,0)))</f>
        <v>0</v>
      </c>
      <c r="AG803" s="50" t="n">
        <f aca="false">IF(BZ803=1,0,ROUNDUP(AF803/BY803,0))</f>
        <v>0</v>
      </c>
      <c r="AH803" s="52" t="n">
        <f aca="false">IF(CQ803&gt;0,CQ803*MAX(1,AF803/X803),IF(BZ803=1,IF(AF803&lt;=0,0,CD803*MAX(1,IF(H803&gt;0,AF803/H803,1))),IF(R803&gt;0,AG803/R803,0))/MAX(0.1,N(Parameter!$M$21)))</f>
        <v>0</v>
      </c>
      <c r="AI803" s="50" t="n">
        <f aca="false">AH803*CB803</f>
        <v>0</v>
      </c>
      <c r="AJ803" s="51" t="n">
        <f aca="false">IF(LEFT(Cockpit!$C$5,1)="A",H803,IF(CH803=1,(CK803+CI803)/2,IF(LEFT(Cockpit!$C$5,1)="B",(CK803+AL803)/2,MAX((CK803+AL803)/2,H803))))</f>
        <v>0</v>
      </c>
      <c r="AK803" s="50" t="n">
        <f aca="false">AJ803*G803</f>
        <v>0</v>
      </c>
      <c r="AL803" s="50" t="n">
        <f aca="false">ROUNDUP(CK803+MAX(CL803,2*(J803/IF(CG803&gt;0,CG803,MAX(0.1,N(Cockpit!$C$6)))-CK803)),0)</f>
        <v>1</v>
      </c>
      <c r="AM803" s="51" t="n">
        <f aca="false">IF(AI803&gt;0,J803/AI803,-1)</f>
        <v>-1</v>
      </c>
      <c r="AN803" s="51" t="str">
        <f aca="false">IF(AND(OR(CF803="L1",CF803="L23",CF803="LIFT"),AI803&gt;0),SUMIFS($AI$7:$AI$1843,$CF$7:$CF$1843,CF803,$AM$7:$AM$1843,"&gt;"&amp;AM803)+SUMIFS($AI$7:$AI$1843,$CF$7:$CF$1843,CF803,$AM$7:$AM$1843,AM803,$BW$7:$BW$1843,"&lt;="&amp;BW803),"")</f>
        <v/>
      </c>
      <c r="AO803" s="58" t="n">
        <f aca="false">IF(AN803="",0,MAX(0,MIN(1,(IF(CF803="L1",Parameter!$H$5,IF(CF803="L23",Parameter!$H$6+Parameter!$H$7,Parameter!$H$5+Parameter!$H$6+Parameter!$H$7))-(AN803-AI803))/AI803)))</f>
        <v>0</v>
      </c>
      <c r="AP803" s="50" t="n">
        <f aca="false">IF(LEFT(Cockpit!$I$5,1)="A",H803,IF(Parameter!$E$30="MAX-Bestand",IF(CH803=1,CI803,IF(LEFT(Cockpit!$I$5,1)="B",AV803,MAX(AV803,H803))),ROUNDUP(AT803,0)))</f>
        <v>1</v>
      </c>
      <c r="AQ803" s="50" t="n">
        <f aca="false">IF(BZ803=1,0,ROUNDUP(AP803/BY803,0))</f>
        <v>1</v>
      </c>
      <c r="AR803" s="52" t="n">
        <f aca="false">IF(CQ803&gt;0,CQ803*MAX(1,AP803/X803),IF(BZ803=1,IF(AP803&lt;=0,0,CD803*MAX(1,IF(H803&gt;0,AP803/H803,1))),IF(R803&gt;0,AQ803/R803,0))/MAX(0.1,N(Parameter!$M$21)))</f>
        <v>0.00357142857142857</v>
      </c>
      <c r="AS803" s="50" t="n">
        <f aca="false">AR803*CB803</f>
        <v>0.553571428571429</v>
      </c>
      <c r="AT803" s="51" t="n">
        <f aca="false">IF(LEFT(Cockpit!$I$5,1)="A",H803,IF(CH803=1,(CK803+CI803)/2,IF(LEFT(Cockpit!$I$5,1)="B",(CK803+AV803)/2,MAX((CK803+AV803)/2,H803))))</f>
        <v>0.5</v>
      </c>
      <c r="AU803" s="50" t="n">
        <f aca="false">AT803*G803</f>
        <v>0.025</v>
      </c>
      <c r="AV803" s="50" t="n">
        <f aca="false">ROUNDUP(CK803+MAX(CL803,2*(J803/IF(CG803&gt;0,CG803,MAX(0.1,N(Cockpit!$I$6)))-CK803)),0)</f>
        <v>1</v>
      </c>
      <c r="AW803" s="51" t="n">
        <f aca="false">IF(AS803&gt;0,J803/AS803,-1)</f>
        <v>0</v>
      </c>
      <c r="AX803" s="51" t="n">
        <f aca="false">IF(AND(OR(CF803="L1",CF803="L23",CF803="LIFT"),AS803&gt;0),SUMIFS($AS$7:$AS$1843,$CF$7:$CF$1843,CF803,$AW$7:$AW$1843,"&gt;"&amp;AW803)+SUMIFS($AS$7:$AS$1843,$CF$7:$CF$1843,CF803,$AW$7:$AW$1843,AW803,$BW$7:$BW$1843,"&lt;="&amp;BW803),"")</f>
        <v>34376.6707875458</v>
      </c>
      <c r="AY803" s="58" t="n">
        <f aca="false">IF(AX803="",0,MAX(0,MIN(1,(IF(CF803="L1",Parameter!$H$5,IF(CF803="L23",Parameter!$H$6+Parameter!$H$7,Parameter!$H$5+Parameter!$H$6+Parameter!$H$7))-(AX803-AS803))/AS803)))</f>
        <v>1</v>
      </c>
      <c r="AZ803" s="50" t="n">
        <f aca="false">IF(LEFT(Cockpit!$O$5,1)="A",H803,IF(Parameter!$E$30="MAX-Bestand",IF(CH803=1,CI803,IF(LEFT(Cockpit!$O$5,1)="B",BF803,MAX(BF803,H803))),ROUNDUP(BD803,0)))</f>
        <v>1</v>
      </c>
      <c r="BA803" s="50" t="n">
        <f aca="false">IF(BZ803=1,0,ROUNDUP(AZ803/BY803,0))</f>
        <v>1</v>
      </c>
      <c r="BB803" s="52" t="n">
        <f aca="false">IF(CQ803&gt;0,CQ803*MAX(1,AZ803/X803),IF(BZ803=1,IF(AZ803&lt;=0,0,CD803*MAX(1,IF(H803&gt;0,AZ803/H803,1))),IF(R803&gt;0,BA803/R803,0))/MAX(0.1,N(Parameter!$M$21)))</f>
        <v>0.00357142857142857</v>
      </c>
      <c r="BC803" s="50" t="n">
        <f aca="false">BB803*CB803</f>
        <v>0.553571428571429</v>
      </c>
      <c r="BD803" s="51" t="n">
        <f aca="false">IF(LEFT(Cockpit!$O$5,1)="A",H803,IF(CH803=1,(CK803+CI803)/2,IF(LEFT(Cockpit!$O$5,1)="B",(CK803+BF803)/2,MAX((CK803+BF803)/2,H803))))</f>
        <v>0.5</v>
      </c>
      <c r="BE803" s="50" t="n">
        <f aca="false">BD803*G803</f>
        <v>0.025</v>
      </c>
      <c r="BF803" s="50" t="n">
        <f aca="false">ROUNDUP(CK803+MAX(CL803,2*(J803/IF(CG803&gt;0,CG803,MAX(0.1,N(Cockpit!$O$6)))-CK803)),0)</f>
        <v>1</v>
      </c>
      <c r="BG803" s="51" t="n">
        <f aca="false">IF(BC803&gt;0,J803/BC803,-1)</f>
        <v>0</v>
      </c>
      <c r="BH803" s="51" t="n">
        <f aca="false">IF(AND(OR(CF803="L1",CF803="L23",CF803="LIFT"),BC803&gt;0),SUMIFS($BC$7:$BC$1843,$CF$7:$CF$1843,CF803,$BG$7:$BG$1843,"&gt;"&amp;BG803)+SUMIFS($BC$7:$BC$1843,$CF$7:$CF$1843,CF803,$BG$7:$BG$1843,BG803,$BW$7:$BW$1843,"&lt;="&amp;BW803),"")</f>
        <v>28420.5406345067</v>
      </c>
      <c r="BI803" s="58" t="n">
        <f aca="false">IF(BH803="",0,MAX(0,MIN(1,(IF(CF803="L1",Parameter!$H$5,IF(CF803="L23",Parameter!$H$6+Parameter!$H$7,Parameter!$H$5+Parameter!$H$6+Parameter!$H$7))-(BH803-BC803))/BC803)))</f>
        <v>1</v>
      </c>
      <c r="BJ803" s="48" t="str">
        <f aca="false">IF(AI803&lt;=0,"",IF(CF803="Aussen","Aussenlager",IF(CF803="-","Nicht im Lift",IF(AO803&gt;=1,"Lift",IF(AO803&lt;=0,"Aussenlager","teilweise")))))</f>
        <v/>
      </c>
      <c r="BK803" s="48" t="str">
        <f aca="false">IF(AS803&lt;=0,"",IF(CF803="Aussen","Aussenlager",IF(CF803="-","Nicht im Lift",IF(AY803&gt;=1,"Lift",IF(AY803&lt;=0,"Aussenlager","teilweise")))))</f>
        <v>Lift</v>
      </c>
      <c r="BL803" s="48" t="str">
        <f aca="false">IF(BC803&lt;=0,"",IF(CF803="Aussen","Aussenlager",IF(CF803="-","Nicht im Lift",IF(BI803&gt;=1,"Lift",IF(BI803&lt;=0,"Aussenlager","teilweise")))))</f>
        <v>Lift</v>
      </c>
      <c r="BM803" s="48" t="str">
        <f aca="false">IF(A803="","",IF(BV803=1,"Neu; ","")&amp;IF(AND(BV803=0,BQ803&lt;0),"negativer Bestand (Export "&amp;BQ803&amp;"); ","")&amp;IF(J803&lt;=0,"Kein Verbrauch; ","")&amp;IF(CQ803&gt;0,"Lift "&amp;W803&amp;" lt. Liftbericht (Fach "&amp;X803&amp;" Stk); ",IF(CA803=1,"Gebinde geschätzt ("&amp;T803&amp;"); ",IF(BZ803=1,"Lose – Tablare geschätzt; ","")))&amp;IF(H803&gt;AV803,"Überbestand "&amp;ROUND(H803-AV803,0)&amp;" Stk / CHF "&amp;ROUND((H803-AV803)*G803,0)&amp;"; ","")&amp;IF(AND(CH803=1,CI803&lt;CJ803),"MAX &lt; MB+LG; ","")&amp;IF(AND(CP803&gt;0,CO803*10&gt;CP803),"zu hoch für Tablar; ","")&amp;IF(AND(BV803=0,OR(CH803=1,AA803&lt;&gt;"",U803&lt;&gt;"",V803&lt;&gt;"",AB803&lt;&gt;"")),"manuell übersteuert; ","")&amp;IF(AND(BZ803=0,R803=0),"Gebinde unbekannt / Stellmass fehlt; ","")&amp;IF(AND(BZ803=0,N(V803)&lt;=0,N(Q803)&lt;=0),"Menge pro Gebinde fehlt (Ist = 1 Gebinde); ","")&amp;BU803)</f>
        <v>negativer Bestand (Export -103); Kein Verbrauch; Neu</v>
      </c>
      <c r="BN803" s="48"/>
      <c r="BO803" s="48"/>
      <c r="BP803" s="55"/>
      <c r="BQ803" s="50" t="n">
        <v>-103</v>
      </c>
      <c r="BR803" s="50" t="n">
        <v>103</v>
      </c>
      <c r="BS803" s="49" t="n">
        <v>-5.15</v>
      </c>
      <c r="BT803" s="50" t="n">
        <v>0</v>
      </c>
      <c r="BU803" s="48" t="s">
        <v>635</v>
      </c>
      <c r="BV803" s="53" t="n">
        <v>0</v>
      </c>
      <c r="BW803" s="53" t="n">
        <v>803</v>
      </c>
      <c r="BX803" s="48" t="str">
        <f aca="false">IF(U803&lt;&gt;"",UPPER(TRIM(U803)),IF(CA803=1,UPPER(VLOOKUP(T803,Parameter!$I$27:$K$29,2,0)),IF(P803="","LOSE",P803)))</f>
        <v>S21</v>
      </c>
      <c r="BY803" s="50" t="n">
        <f aca="false">IF(BX803="LOSE",1,IF(N(V803)&gt;0,V803,IF(CA803=1,MAX(1,N(VLOOKUP(T803,Parameter!$I$27:$K$29,3,0)),H803,N(N803)),IF(N(Q803)&gt;0,Q803,MAX(1,H803)))))</f>
        <v>103</v>
      </c>
      <c r="BZ803" s="53" t="n">
        <f aca="false">IF(BX803="LOSE",1,0)</f>
        <v>0</v>
      </c>
      <c r="CA803" s="53" t="n">
        <f aca="false">IF(AND(U803="",OR(P803="",P803="LOSE"),T803&lt;&gt;"",N(S803)&lt;=0,ISNUMBER(MATCH(T803,Parameter!$I$27:$I$29,0))),1,0)</f>
        <v>0</v>
      </c>
      <c r="CB803" s="53" t="n">
        <f aca="false">IF(CQ803&gt;0,INDEX(Parameter!$H$5:$H$7,W803)/INDEX(Parameter!$E$5:$E$7,W803),IF(AND(BZ803=0,N(IFERROR(VLOOKUP(BX803,'Gebinde-Kategorie'!$A$5:$N$45,14,0),0))&gt;0),VLOOKUP(BX803,'Gebinde-Kategorie'!$A$5:$N$45,14,0)*10+Parameter!$M$23,Parameter!$M$24))</f>
        <v>155</v>
      </c>
      <c r="CC803" s="48" t="str">
        <f aca="false">IF(AND(Parameter!$B$19="Ja",E803&lt;&gt;"",ISNUMBER(MATCH(E803,Parameter!$I$35:$I$52,0))),VLOOKUP(E803,Parameter!$I$35:$J$52,2,0),IFERROR(VLOOKUP(D803,Parameter!$A$35:$C$64,2,0),"Nein"))</f>
        <v>2+3</v>
      </c>
      <c r="CD803" s="52" t="n">
        <f aca="false">IF(BZ803=0,0,IF(N(S803)&gt;0,S803,IFERROR(VLOOKUP(D803,Parameter!$A$35:$C$64,3,0)+0,0)))</f>
        <v>0</v>
      </c>
      <c r="CE803" s="48" t="n">
        <f aca="false">IF(AA803&lt;&gt;"",AA803,Z803)</f>
        <v>3</v>
      </c>
      <c r="CF803" s="48" t="str">
        <f aca="false">IF(OR(CE803=1,CE803=2,CE803=3),IF(Parameter!$E$27="Ja","LIFT",IF(CE803=1,"L1","L23")),IF(CE803="Aussen","Aussen","-"))</f>
        <v>LIFT</v>
      </c>
      <c r="CG803" s="59" t="n">
        <f aca="false">IF(N(AB803)&gt;0,AB803,0)</f>
        <v>0</v>
      </c>
      <c r="CH803" s="53" t="n">
        <f aca="false">IF(ISNUMBER(AE803),1,0)</f>
        <v>0</v>
      </c>
      <c r="CI803" s="50" t="n">
        <f aca="false">N(AE803)</f>
        <v>0</v>
      </c>
      <c r="CJ803" s="50" t="n">
        <f aca="false">N(M803)+N(N803)</f>
        <v>1</v>
      </c>
      <c r="CK803" s="50" t="n">
        <f aca="false">N(M803)</f>
        <v>0</v>
      </c>
      <c r="CL803" s="50" t="n">
        <f aca="false">N(N803)</f>
        <v>1</v>
      </c>
      <c r="CM803" s="50" t="n">
        <f aca="false">ROUNDUP(H803/BY803,0)</f>
        <v>0</v>
      </c>
      <c r="CN803" s="50" t="n">
        <f aca="false">ROUNDUP(CI803/BY803,0)</f>
        <v>0</v>
      </c>
      <c r="CO803" s="53" t="n">
        <f aca="false">IF(BZ803=1,0,IFERROR(VLOOKUP(BX803,'Gebinde-Kategorie'!$A$5:$N$45,5,0)+0,0))</f>
        <v>8</v>
      </c>
      <c r="CP803" s="53" t="n">
        <f aca="false">IFERROR(IF(OR(CE803=1,CE803=2,CE803=3),N(INDEX(Parameter!$I$5:$I$7,CE803)),0),0)</f>
        <v>0</v>
      </c>
      <c r="CQ803" s="52" t="n">
        <f aca="false">IF(AND(Parameter!$B$21="Ja",ISNUMBER(W803),N(X803)&gt;0),IFERROR(N(INDEX(Parameter!$L$5:$L$7,W803))*INDEX(Parameter!$E$5:$E$7,W803)*X803/SUMIFS($X$7:$X$1843,$W$7:$W$1843,W803),0),0)</f>
        <v>0</v>
      </c>
    </row>
    <row r="804" customFormat="false" ht="15" hidden="false" customHeight="false" outlineLevel="0" collapsed="false">
      <c r="A804" s="48" t="s">
        <v>1570</v>
      </c>
      <c r="B804" s="48" t="s">
        <v>414</v>
      </c>
      <c r="C804" s="48" t="s">
        <v>173</v>
      </c>
      <c r="D804" s="48" t="s">
        <v>193</v>
      </c>
      <c r="E804" s="48" t="s">
        <v>194</v>
      </c>
      <c r="F804" s="48" t="s">
        <v>227</v>
      </c>
      <c r="G804" s="49" t="n">
        <v>0.04</v>
      </c>
      <c r="H804" s="50" t="n">
        <f aca="false">MAX(0,IF(AND(Parameter!$B$21="Ja",ISNUMBER(Y804)),Y804,IF(Parameter!$B$20="Jahresanfang 2025 + Export",BR804+BQ804,BQ804)))</f>
        <v>382</v>
      </c>
      <c r="I804" s="50" t="n">
        <f aca="false">H804*G804</f>
        <v>15.28</v>
      </c>
      <c r="J804" s="50" t="n">
        <f aca="false">BT804*Parameter!$B$18</f>
        <v>112</v>
      </c>
      <c r="K804" s="51" t="n">
        <v>454.5</v>
      </c>
      <c r="L804" s="52" t="n">
        <v>0.246424642464246</v>
      </c>
      <c r="M804" s="50" t="n">
        <v>6</v>
      </c>
      <c r="N804" s="50" t="n">
        <v>110</v>
      </c>
      <c r="O804" s="53" t="n">
        <v>21</v>
      </c>
      <c r="P804" s="48" t="s">
        <v>435</v>
      </c>
      <c r="Q804" s="50" t="n">
        <v>589</v>
      </c>
      <c r="R804" s="53" t="n">
        <f aca="false">IF(BZ804=1,0,IFERROR(VLOOKUP(BX804,'Gebinde-Kategorie'!$A$5:$N$45,13,0)+0,0))</f>
        <v>140</v>
      </c>
      <c r="S804" s="54"/>
      <c r="T804" s="55"/>
      <c r="U804" s="55"/>
      <c r="V804" s="55"/>
      <c r="W804" s="48"/>
      <c r="X804" s="50"/>
      <c r="Y804" s="50"/>
      <c r="Z804" s="48" t="n">
        <f aca="false">IF(A804="","",IF(AND(Parameter!$B$21="Ja",ISNUMBER(W804)),W804,IF(CC804="2+3",IF(ISNUMBER(SEARCH("grosser Artikel",BU804)),2,IFERROR(VLOOKUP(BX804,Parameter!$F$35:$G$64,2,0),2)),IF(OR(CC804="Nein",CC804=""),"-",CC804))))</f>
        <v>3</v>
      </c>
      <c r="AA804" s="55"/>
      <c r="AB804" s="56"/>
      <c r="AC804" s="50" t="n">
        <f aca="false">AV804</f>
        <v>116</v>
      </c>
      <c r="AD804" s="50" t="n">
        <f aca="false">MAX(AV804,H804)</f>
        <v>382</v>
      </c>
      <c r="AE804" s="57"/>
      <c r="AF804" s="50" t="n">
        <f aca="false">IF(LEFT(Cockpit!$C$5,1)="A",H804,IF(Parameter!$E$30="MAX-Bestand",IF(CH804=1,CI804,IF(LEFT(Cockpit!$C$5,1)="B",AL804,MAX(AL804,H804))),ROUNDUP(AJ804,0)))</f>
        <v>382</v>
      </c>
      <c r="AG804" s="50" t="n">
        <f aca="false">IF(BZ804=1,0,ROUNDUP(AF804/BY804,0))</f>
        <v>1</v>
      </c>
      <c r="AH804" s="52" t="n">
        <f aca="false">IF(CQ804&gt;0,CQ804*MAX(1,AF804/X804),IF(BZ804=1,IF(AF804&lt;=0,0,CD804*MAX(1,IF(H804&gt;0,AF804/H804,1))),IF(R804&gt;0,AG804/R804,0))/MAX(0.1,N(Parameter!$M$21)))</f>
        <v>0.00714285714285714</v>
      </c>
      <c r="AI804" s="50" t="n">
        <f aca="false">AH804*CB804</f>
        <v>1.10714285714286</v>
      </c>
      <c r="AJ804" s="51" t="n">
        <f aca="false">IF(LEFT(Cockpit!$C$5,1)="A",H804,IF(CH804=1,(CK804+CI804)/2,IF(LEFT(Cockpit!$C$5,1)="B",(CK804+AL804)/2,MAX((CK804+AL804)/2,H804))))</f>
        <v>382</v>
      </c>
      <c r="AK804" s="50" t="n">
        <f aca="false">AJ804*G804</f>
        <v>15.28</v>
      </c>
      <c r="AL804" s="50" t="n">
        <f aca="false">ROUNDUP(CK804+MAX(CL804,2*(J804/IF(CG804&gt;0,CG804,MAX(0.1,N(Cockpit!$C$6)))-CK804)),0)</f>
        <v>116</v>
      </c>
      <c r="AM804" s="51" t="n">
        <f aca="false">IF(AI804&gt;0,J804/AI804,-1)</f>
        <v>101.161290322581</v>
      </c>
      <c r="AN804" s="51" t="n">
        <f aca="false">IF(AND(OR(CF804="L1",CF804="L23",CF804="LIFT"),AI804&gt;0),SUMIFS($AI$7:$AI$1843,$CF$7:$CF$1843,CF804,$AM$7:$AM$1843,"&gt;"&amp;AM804)+SUMIFS($AI$7:$AI$1843,$CF$7:$CF$1843,CF804,$AM$7:$AM$1843,AM804,$BW$7:$BW$1843,"&lt;="&amp;BW804),"")</f>
        <v>758.480311355311</v>
      </c>
      <c r="AO804" s="58" t="n">
        <f aca="false">IF(AN804="",0,MAX(0,MIN(1,(IF(CF804="L1",Parameter!$H$5,IF(CF804="L23",Parameter!$H$6+Parameter!$H$7,Parameter!$H$5+Parameter!$H$6+Parameter!$H$7))-(AN804-AI804))/AI804)))</f>
        <v>1</v>
      </c>
      <c r="AP804" s="50" t="n">
        <f aca="false">IF(LEFT(Cockpit!$I$5,1)="A",H804,IF(Parameter!$E$30="MAX-Bestand",IF(CH804=1,CI804,IF(LEFT(Cockpit!$I$5,1)="B",AV804,MAX(AV804,H804))),ROUNDUP(AT804,0)))</f>
        <v>382</v>
      </c>
      <c r="AQ804" s="50" t="n">
        <f aca="false">IF(BZ804=1,0,ROUNDUP(AP804/BY804,0))</f>
        <v>1</v>
      </c>
      <c r="AR804" s="52" t="n">
        <f aca="false">IF(CQ804&gt;0,CQ804*MAX(1,AP804/X804),IF(BZ804=1,IF(AP804&lt;=0,0,CD804*MAX(1,IF(H804&gt;0,AP804/H804,1))),IF(R804&gt;0,AQ804/R804,0))/MAX(0.1,N(Parameter!$M$21)))</f>
        <v>0.00714285714285714</v>
      </c>
      <c r="AS804" s="50" t="n">
        <f aca="false">AR804*CB804</f>
        <v>1.10714285714286</v>
      </c>
      <c r="AT804" s="51" t="n">
        <f aca="false">IF(LEFT(Cockpit!$I$5,1)="A",H804,IF(CH804=1,(CK804+CI804)/2,IF(LEFT(Cockpit!$I$5,1)="B",(CK804+AV804)/2,MAX((CK804+AV804)/2,H804))))</f>
        <v>382</v>
      </c>
      <c r="AU804" s="50" t="n">
        <f aca="false">AT804*G804</f>
        <v>15.28</v>
      </c>
      <c r="AV804" s="50" t="n">
        <f aca="false">ROUNDUP(CK804+MAX(CL804,2*(J804/IF(CG804&gt;0,CG804,MAX(0.1,N(Cockpit!$I$6)))-CK804)),0)</f>
        <v>116</v>
      </c>
      <c r="AW804" s="51" t="n">
        <f aca="false">IF(AS804&gt;0,J804/AS804,-1)</f>
        <v>101.161290322581</v>
      </c>
      <c r="AX804" s="51" t="n">
        <f aca="false">IF(AND(OR(CF804="L1",CF804="L23",CF804="LIFT"),AS804&gt;0),SUMIFS($AS$7:$AS$1843,$CF$7:$CF$1843,CF804,$AW$7:$AW$1843,"&gt;"&amp;AW804)+SUMIFS($AS$7:$AS$1843,$CF$7:$CF$1843,CF804,$AW$7:$AW$1843,AW804,$BW$7:$BW$1843,"&lt;="&amp;BW804),"")</f>
        <v>833.203296703297</v>
      </c>
      <c r="AY804" s="58" t="n">
        <f aca="false">IF(AX804="",0,MAX(0,MIN(1,(IF(CF804="L1",Parameter!$H$5,IF(CF804="L23",Parameter!$H$6+Parameter!$H$7,Parameter!$H$5+Parameter!$H$6+Parameter!$H$7))-(AX804-AS804))/AS804)))</f>
        <v>1</v>
      </c>
      <c r="AZ804" s="50" t="n">
        <f aca="false">IF(LEFT(Cockpit!$O$5,1)="A",H804,IF(Parameter!$E$30="MAX-Bestand",IF(CH804=1,CI804,IF(LEFT(Cockpit!$O$5,1)="B",BF804,MAX(BF804,H804))),ROUNDUP(BD804,0)))</f>
        <v>61</v>
      </c>
      <c r="BA804" s="50" t="n">
        <f aca="false">IF(BZ804=1,0,ROUNDUP(AZ804/BY804,0))</f>
        <v>1</v>
      </c>
      <c r="BB804" s="52" t="n">
        <f aca="false">IF(CQ804&gt;0,CQ804*MAX(1,AZ804/X804),IF(BZ804=1,IF(AZ804&lt;=0,0,CD804*MAX(1,IF(H804&gt;0,AZ804/H804,1))),IF(R804&gt;0,BA804/R804,0))/MAX(0.1,N(Parameter!$M$21)))</f>
        <v>0.00714285714285714</v>
      </c>
      <c r="BC804" s="50" t="n">
        <f aca="false">BB804*CB804</f>
        <v>1.10714285714286</v>
      </c>
      <c r="BD804" s="51" t="n">
        <f aca="false">IF(LEFT(Cockpit!$O$5,1)="A",H804,IF(CH804=1,(CK804+CI804)/2,IF(LEFT(Cockpit!$O$5,1)="B",(CK804+BF804)/2,MAX((CK804+BF804)/2,H804))))</f>
        <v>61</v>
      </c>
      <c r="BE804" s="50" t="n">
        <f aca="false">BD804*G804</f>
        <v>2.44</v>
      </c>
      <c r="BF804" s="50" t="n">
        <f aca="false">ROUNDUP(CK804+MAX(CL804,2*(J804/IF(CG804&gt;0,CG804,MAX(0.1,N(Cockpit!$O$6)))-CK804)),0)</f>
        <v>116</v>
      </c>
      <c r="BG804" s="51" t="n">
        <f aca="false">IF(BC804&gt;0,J804/BC804,-1)</f>
        <v>101.161290322581</v>
      </c>
      <c r="BH804" s="51" t="n">
        <f aca="false">IF(AND(OR(CF804="L1",CF804="L23",CF804="LIFT"),BC804&gt;0),SUMIFS($BC$7:$BC$1843,$CF$7:$CF$1843,CF804,$BG$7:$BG$1843,"&gt;"&amp;BG804)+SUMIFS($BC$7:$BC$1843,$CF$7:$CF$1843,CF804,$BG$7:$BG$1843,BG804,$BW$7:$BW$1843,"&lt;="&amp;BW804),"")</f>
        <v>902.944139194139</v>
      </c>
      <c r="BI804" s="58" t="n">
        <f aca="false">IF(BH804="",0,MAX(0,MIN(1,(IF(CF804="L1",Parameter!$H$5,IF(CF804="L23",Parameter!$H$6+Parameter!$H$7,Parameter!$H$5+Parameter!$H$6+Parameter!$H$7))-(BH804-BC804))/BC804)))</f>
        <v>1</v>
      </c>
      <c r="BJ804" s="48" t="str">
        <f aca="false">IF(AI804&lt;=0,"",IF(CF804="Aussen","Aussenlager",IF(CF804="-","Nicht im Lift",IF(AO804&gt;=1,"Lift",IF(AO804&lt;=0,"Aussenlager","teilweise")))))</f>
        <v>Lift</v>
      </c>
      <c r="BK804" s="48" t="str">
        <f aca="false">IF(AS804&lt;=0,"",IF(CF804="Aussen","Aussenlager",IF(CF804="-","Nicht im Lift",IF(AY804&gt;=1,"Lift",IF(AY804&lt;=0,"Aussenlager","teilweise")))))</f>
        <v>Lift</v>
      </c>
      <c r="BL804" s="48" t="str">
        <f aca="false">IF(BC804&lt;=0,"",IF(CF804="Aussen","Aussenlager",IF(CF804="-","Nicht im Lift",IF(BI804&gt;=1,"Lift",IF(BI804&lt;=0,"Aussenlager","teilweise")))))</f>
        <v>Lift</v>
      </c>
      <c r="BM804" s="48" t="str">
        <f aca="false">IF(A804="","",IF(BV804=1,"Neu; ","")&amp;IF(AND(BV804=0,BQ804&lt;0),"negativer Bestand (Export "&amp;BQ804&amp;"); ","")&amp;IF(J804&lt;=0,"Kein Verbrauch; ","")&amp;IF(CQ804&gt;0,"Lift "&amp;W804&amp;" lt. Liftbericht (Fach "&amp;X804&amp;" Stk); ",IF(CA804=1,"Gebinde geschätzt ("&amp;T804&amp;"); ",IF(BZ804=1,"Lose – Tablare geschätzt; ","")))&amp;IF(H804&gt;AV804,"Überbestand "&amp;ROUND(H804-AV804,0)&amp;" Stk / CHF "&amp;ROUND((H804-AV804)*G804,0)&amp;"; ","")&amp;IF(AND(CH804=1,CI804&lt;CJ804),"MAX &lt; MB+LG; ","")&amp;IF(AND(CP804&gt;0,CO804*10&gt;CP804),"zu hoch für Tablar; ","")&amp;IF(AND(BV804=0,OR(CH804=1,AA804&lt;&gt;"",U804&lt;&gt;"",V804&lt;&gt;"",AB804&lt;&gt;"")),"manuell übersteuert; ","")&amp;IF(AND(BZ804=0,R804=0),"Gebinde unbekannt / Stellmass fehlt; ","")&amp;IF(AND(BZ804=0,N(V804)&lt;=0,N(Q804)&lt;=0),"Menge pro Gebinde fehlt (Ist = 1 Gebinde); ","")&amp;BU804)</f>
        <v>negativer Bestand (Export -135); Überbestand 266 Stk / CHF 11; Überbestand</v>
      </c>
      <c r="BN804" s="48"/>
      <c r="BO804" s="48"/>
      <c r="BP804" s="55"/>
      <c r="BQ804" s="50" t="n">
        <v>-135</v>
      </c>
      <c r="BR804" s="50" t="n">
        <v>517</v>
      </c>
      <c r="BS804" s="49" t="n">
        <v>-5.4</v>
      </c>
      <c r="BT804" s="50" t="n">
        <v>112</v>
      </c>
      <c r="BU804" s="48" t="s">
        <v>401</v>
      </c>
      <c r="BV804" s="53" t="n">
        <v>0</v>
      </c>
      <c r="BW804" s="53" t="n">
        <v>804</v>
      </c>
      <c r="BX804" s="48" t="str">
        <f aca="false">IF(U804&lt;&gt;"",UPPER(TRIM(U804)),IF(CA804=1,UPPER(VLOOKUP(T804,Parameter!$I$27:$K$29,2,0)),IF(P804="","LOSE",P804)))</f>
        <v>S22</v>
      </c>
      <c r="BY804" s="50" t="n">
        <f aca="false">IF(BX804="LOSE",1,IF(N(V804)&gt;0,V804,IF(CA804=1,MAX(1,N(VLOOKUP(T804,Parameter!$I$27:$K$29,3,0)),H804,N(N804)),IF(N(Q804)&gt;0,Q804,MAX(1,H804)))))</f>
        <v>589</v>
      </c>
      <c r="BZ804" s="53" t="n">
        <f aca="false">IF(BX804="LOSE",1,0)</f>
        <v>0</v>
      </c>
      <c r="CA804" s="53" t="n">
        <f aca="false">IF(AND(U804="",OR(P804="",P804="LOSE"),T804&lt;&gt;"",N(S804)&lt;=0,ISNUMBER(MATCH(T804,Parameter!$I$27:$I$29,0))),1,0)</f>
        <v>0</v>
      </c>
      <c r="CB804" s="53" t="n">
        <f aca="false">IF(CQ804&gt;0,INDEX(Parameter!$H$5:$H$7,W804)/INDEX(Parameter!$E$5:$E$7,W804),IF(AND(BZ804=0,N(IFERROR(VLOOKUP(BX804,'Gebinde-Kategorie'!$A$5:$N$45,14,0),0))&gt;0),VLOOKUP(BX804,'Gebinde-Kategorie'!$A$5:$N$45,14,0)*10+Parameter!$M$23,Parameter!$M$24))</f>
        <v>155</v>
      </c>
      <c r="CC804" s="48" t="str">
        <f aca="false">IF(AND(Parameter!$B$19="Ja",E804&lt;&gt;"",ISNUMBER(MATCH(E804,Parameter!$I$35:$I$52,0))),VLOOKUP(E804,Parameter!$I$35:$J$52,2,0),IFERROR(VLOOKUP(D804,Parameter!$A$35:$C$64,2,0),"Nein"))</f>
        <v>2+3</v>
      </c>
      <c r="CD804" s="52" t="n">
        <f aca="false">IF(BZ804=0,0,IF(N(S804)&gt;0,S804,IFERROR(VLOOKUP(D804,Parameter!$A$35:$C$64,3,0)+0,0)))</f>
        <v>0</v>
      </c>
      <c r="CE804" s="48" t="n">
        <f aca="false">IF(AA804&lt;&gt;"",AA804,Z804)</f>
        <v>3</v>
      </c>
      <c r="CF804" s="48" t="str">
        <f aca="false">IF(OR(CE804=1,CE804=2,CE804=3),IF(Parameter!$E$27="Ja","LIFT",IF(CE804=1,"L1","L23")),IF(CE804="Aussen","Aussen","-"))</f>
        <v>LIFT</v>
      </c>
      <c r="CG804" s="59" t="n">
        <f aca="false">IF(N(AB804)&gt;0,AB804,0)</f>
        <v>0</v>
      </c>
      <c r="CH804" s="53" t="n">
        <f aca="false">IF(ISNUMBER(AE804),1,0)</f>
        <v>0</v>
      </c>
      <c r="CI804" s="50" t="n">
        <f aca="false">N(AE804)</f>
        <v>0</v>
      </c>
      <c r="CJ804" s="50" t="n">
        <f aca="false">N(M804)+N(N804)</f>
        <v>116</v>
      </c>
      <c r="CK804" s="50" t="n">
        <f aca="false">N(M804)</f>
        <v>6</v>
      </c>
      <c r="CL804" s="50" t="n">
        <f aca="false">N(N804)</f>
        <v>110</v>
      </c>
      <c r="CM804" s="50" t="n">
        <f aca="false">ROUNDUP(H804/BY804,0)</f>
        <v>1</v>
      </c>
      <c r="CN804" s="50" t="n">
        <f aca="false">ROUNDUP(CI804/BY804,0)</f>
        <v>0</v>
      </c>
      <c r="CO804" s="53" t="n">
        <f aca="false">IF(BZ804=1,0,IFERROR(VLOOKUP(BX804,'Gebinde-Kategorie'!$A$5:$N$45,5,0)+0,0))</f>
        <v>8</v>
      </c>
      <c r="CP804" s="53" t="n">
        <f aca="false">IFERROR(IF(OR(CE804=1,CE804=2,CE804=3),N(INDEX(Parameter!$I$5:$I$7,CE804)),0),0)</f>
        <v>0</v>
      </c>
      <c r="CQ804" s="52" t="n">
        <f aca="false">IF(AND(Parameter!$B$21="Ja",ISNUMBER(W804),N(X804)&gt;0),IFERROR(N(INDEX(Parameter!$L$5:$L$7,W804))*INDEX(Parameter!$E$5:$E$7,W804)*X804/SUMIFS($X$7:$X$1843,$W$7:$W$1843,W804),0),0)</f>
        <v>0</v>
      </c>
    </row>
    <row r="805" customFormat="false" ht="15" hidden="false" customHeight="false" outlineLevel="0" collapsed="false">
      <c r="A805" s="48" t="s">
        <v>1571</v>
      </c>
      <c r="B805" s="48" t="s">
        <v>1242</v>
      </c>
      <c r="C805" s="48" t="s">
        <v>173</v>
      </c>
      <c r="D805" s="48" t="s">
        <v>193</v>
      </c>
      <c r="E805" s="48"/>
      <c r="F805" s="48" t="s">
        <v>227</v>
      </c>
      <c r="G805" s="49" t="n">
        <v>5.8</v>
      </c>
      <c r="H805" s="50" t="n">
        <f aca="false">MAX(0,IF(AND(Parameter!$B$21="Ja",ISNUMBER(Y805)),Y805,IF(Parameter!$B$20="Jahresanfang 2025 + Export",BR805+BQ805,BQ805)))</f>
        <v>3</v>
      </c>
      <c r="I805" s="50" t="n">
        <f aca="false">H805*G805</f>
        <v>17.4</v>
      </c>
      <c r="J805" s="50" t="n">
        <f aca="false">BT805*Parameter!$B$18</f>
        <v>0</v>
      </c>
      <c r="K805" s="51" t="n">
        <v>4</v>
      </c>
      <c r="L805" s="52" t="n">
        <v>0</v>
      </c>
      <c r="M805" s="50" t="n">
        <v>0</v>
      </c>
      <c r="N805" s="50" t="n">
        <v>1</v>
      </c>
      <c r="O805" s="53" t="n">
        <v>14</v>
      </c>
      <c r="P805" s="48" t="s">
        <v>435</v>
      </c>
      <c r="Q805" s="50" t="n">
        <v>2</v>
      </c>
      <c r="R805" s="53" t="n">
        <f aca="false">IF(BZ805=1,0,IFERROR(VLOOKUP(BX805,'Gebinde-Kategorie'!$A$5:$N$45,13,0)+0,0))</f>
        <v>140</v>
      </c>
      <c r="S805" s="54"/>
      <c r="T805" s="55"/>
      <c r="U805" s="55"/>
      <c r="V805" s="55"/>
      <c r="W805" s="48"/>
      <c r="X805" s="50"/>
      <c r="Y805" s="50"/>
      <c r="Z805" s="48" t="n">
        <f aca="false">IF(A805="","",IF(AND(Parameter!$B$21="Ja",ISNUMBER(W805)),W805,IF(CC805="2+3",IF(ISNUMBER(SEARCH("grosser Artikel",BU805)),2,IFERROR(VLOOKUP(BX805,Parameter!$F$35:$G$64,2,0),2)),IF(OR(CC805="Nein",CC805=""),"-",CC805))))</f>
        <v>3</v>
      </c>
      <c r="AA805" s="55"/>
      <c r="AB805" s="56"/>
      <c r="AC805" s="50" t="n">
        <f aca="false">AV805</f>
        <v>1</v>
      </c>
      <c r="AD805" s="50" t="n">
        <f aca="false">MAX(AV805,H805)</f>
        <v>3</v>
      </c>
      <c r="AE805" s="57"/>
      <c r="AF805" s="50" t="n">
        <f aca="false">IF(LEFT(Cockpit!$C$5,1)="A",H805,IF(Parameter!$E$30="MAX-Bestand",IF(CH805=1,CI805,IF(LEFT(Cockpit!$C$5,1)="B",AL805,MAX(AL805,H805))),ROUNDUP(AJ805,0)))</f>
        <v>3</v>
      </c>
      <c r="AG805" s="50" t="n">
        <f aca="false">IF(BZ805=1,0,ROUNDUP(AF805/BY805,0))</f>
        <v>2</v>
      </c>
      <c r="AH805" s="52" t="n">
        <f aca="false">IF(CQ805&gt;0,CQ805*MAX(1,AF805/X805),IF(BZ805=1,IF(AF805&lt;=0,0,CD805*MAX(1,IF(H805&gt;0,AF805/H805,1))),IF(R805&gt;0,AG805/R805,0))/MAX(0.1,N(Parameter!$M$21)))</f>
        <v>0.0142857142857143</v>
      </c>
      <c r="AI805" s="50" t="n">
        <f aca="false">AH805*CB805</f>
        <v>2.21428571428571</v>
      </c>
      <c r="AJ805" s="51" t="n">
        <f aca="false">IF(LEFT(Cockpit!$C$5,1)="A",H805,IF(CH805=1,(CK805+CI805)/2,IF(LEFT(Cockpit!$C$5,1)="B",(CK805+AL805)/2,MAX((CK805+AL805)/2,H805))))</f>
        <v>3</v>
      </c>
      <c r="AK805" s="50" t="n">
        <f aca="false">AJ805*G805</f>
        <v>17.4</v>
      </c>
      <c r="AL805" s="50" t="n">
        <f aca="false">ROUNDUP(CK805+MAX(CL805,2*(J805/IF(CG805&gt;0,CG805,MAX(0.1,N(Cockpit!$C$6)))-CK805)),0)</f>
        <v>1</v>
      </c>
      <c r="AM805" s="51" t="n">
        <f aca="false">IF(AI805&gt;0,J805/AI805,-1)</f>
        <v>0</v>
      </c>
      <c r="AN805" s="51" t="n">
        <f aca="false">IF(AND(OR(CF805="L1",CF805="L23",CF805="LIFT"),AI805&gt;0),SUMIFS($AI$7:$AI$1843,$CF$7:$CF$1843,CF805,$AM$7:$AM$1843,"&gt;"&amp;AM805)+SUMIFS($AI$7:$AI$1843,$CF$7:$CF$1843,CF805,$AM$7:$AM$1843,AM805,$BW$7:$BW$1843,"&lt;="&amp;BW805),"")</f>
        <v>28767.5867066079</v>
      </c>
      <c r="AO805" s="58" t="n">
        <f aca="false">IF(AN805="",0,MAX(0,MIN(1,(IF(CF805="L1",Parameter!$H$5,IF(CF805="L23",Parameter!$H$6+Parameter!$H$7,Parameter!$H$5+Parameter!$H$6+Parameter!$H$7))-(AN805-AI805))/AI805)))</f>
        <v>1</v>
      </c>
      <c r="AP805" s="50" t="n">
        <f aca="false">IF(LEFT(Cockpit!$I$5,1)="A",H805,IF(Parameter!$E$30="MAX-Bestand",IF(CH805=1,CI805,IF(LEFT(Cockpit!$I$5,1)="B",AV805,MAX(AV805,H805))),ROUNDUP(AT805,0)))</f>
        <v>3</v>
      </c>
      <c r="AQ805" s="50" t="n">
        <f aca="false">IF(BZ805=1,0,ROUNDUP(AP805/BY805,0))</f>
        <v>2</v>
      </c>
      <c r="AR805" s="52" t="n">
        <f aca="false">IF(CQ805&gt;0,CQ805*MAX(1,AP805/X805),IF(BZ805=1,IF(AP805&lt;=0,0,CD805*MAX(1,IF(H805&gt;0,AP805/H805,1))),IF(R805&gt;0,AQ805/R805,0))/MAX(0.1,N(Parameter!$M$21)))</f>
        <v>0.0142857142857143</v>
      </c>
      <c r="AS805" s="50" t="n">
        <f aca="false">AR805*CB805</f>
        <v>2.21428571428571</v>
      </c>
      <c r="AT805" s="51" t="n">
        <f aca="false">IF(LEFT(Cockpit!$I$5,1)="A",H805,IF(CH805=1,(CK805+CI805)/2,IF(LEFT(Cockpit!$I$5,1)="B",(CK805+AV805)/2,MAX((CK805+AV805)/2,H805))))</f>
        <v>3</v>
      </c>
      <c r="AU805" s="50" t="n">
        <f aca="false">AT805*G805</f>
        <v>17.4</v>
      </c>
      <c r="AV805" s="50" t="n">
        <f aca="false">ROUNDUP(CK805+MAX(CL805,2*(J805/IF(CG805&gt;0,CG805,MAX(0.1,N(Cockpit!$I$6)))-CK805)),0)</f>
        <v>1</v>
      </c>
      <c r="AW805" s="51" t="n">
        <f aca="false">IF(AS805&gt;0,J805/AS805,-1)</f>
        <v>0</v>
      </c>
      <c r="AX805" s="51" t="n">
        <f aca="false">IF(AND(OR(CF805="L1",CF805="L23",CF805="LIFT"),AS805&gt;0),SUMIFS($AS$7:$AS$1843,$CF$7:$CF$1843,CF805,$AW$7:$AW$1843,"&gt;"&amp;AW805)+SUMIFS($AS$7:$AS$1843,$CF$7:$CF$1843,CF805,$AW$7:$AW$1843,AW805,$BW$7:$BW$1843,"&lt;="&amp;BW805),"")</f>
        <v>34378.8850732601</v>
      </c>
      <c r="AY805" s="58" t="n">
        <f aca="false">IF(AX805="",0,MAX(0,MIN(1,(IF(CF805="L1",Parameter!$H$5,IF(CF805="L23",Parameter!$H$6+Parameter!$H$7,Parameter!$H$5+Parameter!$H$6+Parameter!$H$7))-(AX805-AS805))/AS805)))</f>
        <v>1</v>
      </c>
      <c r="AZ805" s="50" t="n">
        <f aca="false">IF(LEFT(Cockpit!$O$5,1)="A",H805,IF(Parameter!$E$30="MAX-Bestand",IF(CH805=1,CI805,IF(LEFT(Cockpit!$O$5,1)="B",BF805,MAX(BF805,H805))),ROUNDUP(BD805,0)))</f>
        <v>1</v>
      </c>
      <c r="BA805" s="50" t="n">
        <f aca="false">IF(BZ805=1,0,ROUNDUP(AZ805/BY805,0))</f>
        <v>1</v>
      </c>
      <c r="BB805" s="52" t="n">
        <f aca="false">IF(CQ805&gt;0,CQ805*MAX(1,AZ805/X805),IF(BZ805=1,IF(AZ805&lt;=0,0,CD805*MAX(1,IF(H805&gt;0,AZ805/H805,1))),IF(R805&gt;0,BA805/R805,0))/MAX(0.1,N(Parameter!$M$21)))</f>
        <v>0.00714285714285714</v>
      </c>
      <c r="BC805" s="50" t="n">
        <f aca="false">BB805*CB805</f>
        <v>1.10714285714286</v>
      </c>
      <c r="BD805" s="51" t="n">
        <f aca="false">IF(LEFT(Cockpit!$O$5,1)="A",H805,IF(CH805=1,(CK805+CI805)/2,IF(LEFT(Cockpit!$O$5,1)="B",(CK805+BF805)/2,MAX((CK805+BF805)/2,H805))))</f>
        <v>0.5</v>
      </c>
      <c r="BE805" s="50" t="n">
        <f aca="false">BD805*G805</f>
        <v>2.9</v>
      </c>
      <c r="BF805" s="50" t="n">
        <f aca="false">ROUNDUP(CK805+MAX(CL805,2*(J805/IF(CG805&gt;0,CG805,MAX(0.1,N(Cockpit!$O$6)))-CK805)),0)</f>
        <v>1</v>
      </c>
      <c r="BG805" s="51" t="n">
        <f aca="false">IF(BC805&gt;0,J805/BC805,-1)</f>
        <v>0</v>
      </c>
      <c r="BH805" s="51" t="n">
        <f aca="false">IF(AND(OR(CF805="L1",CF805="L23",CF805="LIFT"),BC805&gt;0),SUMIFS($BC$7:$BC$1843,$CF$7:$CF$1843,CF805,$BG$7:$BG$1843,"&gt;"&amp;BG805)+SUMIFS($BC$7:$BC$1843,$CF$7:$CF$1843,CF805,$BG$7:$BG$1843,BG805,$BW$7:$BW$1843,"&lt;="&amp;BW805),"")</f>
        <v>28421.6477773639</v>
      </c>
      <c r="BI805" s="58" t="n">
        <f aca="false">IF(BH805="",0,MAX(0,MIN(1,(IF(CF805="L1",Parameter!$H$5,IF(CF805="L23",Parameter!$H$6+Parameter!$H$7,Parameter!$H$5+Parameter!$H$6+Parameter!$H$7))-(BH805-BC805))/BC805)))</f>
        <v>1</v>
      </c>
      <c r="BJ805" s="48" t="str">
        <f aca="false">IF(AI805&lt;=0,"",IF(CF805="Aussen","Aussenlager",IF(CF805="-","Nicht im Lift",IF(AO805&gt;=1,"Lift",IF(AO805&lt;=0,"Aussenlager","teilweise")))))</f>
        <v>Lift</v>
      </c>
      <c r="BK805" s="48" t="str">
        <f aca="false">IF(AS805&lt;=0,"",IF(CF805="Aussen","Aussenlager",IF(CF805="-","Nicht im Lift",IF(AY805&gt;=1,"Lift",IF(AY805&lt;=0,"Aussenlager","teilweise")))))</f>
        <v>Lift</v>
      </c>
      <c r="BL805" s="48" t="str">
        <f aca="false">IF(BC805&lt;=0,"",IF(CF805="Aussen","Aussenlager",IF(CF805="-","Nicht im Lift",IF(BI805&gt;=1,"Lift",IF(BI805&lt;=0,"Aussenlager","teilweise")))))</f>
        <v>Lift</v>
      </c>
      <c r="BM805" s="48" t="str">
        <f aca="false">IF(A805="","",IF(BV805=1,"Neu; ","")&amp;IF(AND(BV805=0,BQ805&lt;0),"negativer Bestand (Export "&amp;BQ805&amp;"); ","")&amp;IF(J805&lt;=0,"Kein Verbrauch; ","")&amp;IF(CQ805&gt;0,"Lift "&amp;W805&amp;" lt. Liftbericht (Fach "&amp;X805&amp;" Stk); ",IF(CA805=1,"Gebinde geschätzt ("&amp;T805&amp;"); ",IF(BZ805=1,"Lose – Tablare geschätzt; ","")))&amp;IF(H805&gt;AV805,"Überbestand "&amp;ROUND(H805-AV805,0)&amp;" Stk / CHF "&amp;ROUND((H805-AV805)*G805,0)&amp;"; ","")&amp;IF(AND(CH805=1,CI805&lt;CJ805),"MAX &lt; MB+LG; ","")&amp;IF(AND(CP805&gt;0,CO805*10&gt;CP805),"zu hoch für Tablar; ","")&amp;IF(AND(BV805=0,OR(CH805=1,AA805&lt;&gt;"",U805&lt;&gt;"",V805&lt;&gt;"",AB805&lt;&gt;"")),"manuell übersteuert; ","")&amp;IF(AND(BZ805=0,R805=0),"Gebinde unbekannt / Stellmass fehlt; ","")&amp;IF(AND(BZ805=0,N(V805)&lt;=0,N(Q805)&lt;=0),"Menge pro Gebinde fehlt (Ist = 1 Gebinde); ","")&amp;BU805)</f>
        <v>negativer Bestand (Export -1); Kein Verbrauch; Überbestand 2 Stk / CHF 12; </v>
      </c>
      <c r="BN805" s="48"/>
      <c r="BO805" s="48"/>
      <c r="BP805" s="55"/>
      <c r="BQ805" s="50" t="n">
        <v>-1</v>
      </c>
      <c r="BR805" s="50" t="n">
        <v>4</v>
      </c>
      <c r="BS805" s="49" t="n">
        <v>-5.44000000000001</v>
      </c>
      <c r="BT805" s="50" t="n">
        <v>0</v>
      </c>
      <c r="BU805" s="48"/>
      <c r="BV805" s="53" t="n">
        <v>0</v>
      </c>
      <c r="BW805" s="53" t="n">
        <v>805</v>
      </c>
      <c r="BX805" s="48" t="str">
        <f aca="false">IF(U805&lt;&gt;"",UPPER(TRIM(U805)),IF(CA805=1,UPPER(VLOOKUP(T805,Parameter!$I$27:$K$29,2,0)),IF(P805="","LOSE",P805)))</f>
        <v>S22</v>
      </c>
      <c r="BY805" s="50" t="n">
        <f aca="false">IF(BX805="LOSE",1,IF(N(V805)&gt;0,V805,IF(CA805=1,MAX(1,N(VLOOKUP(T805,Parameter!$I$27:$K$29,3,0)),H805,N(N805)),IF(N(Q805)&gt;0,Q805,MAX(1,H805)))))</f>
        <v>2</v>
      </c>
      <c r="BZ805" s="53" t="n">
        <f aca="false">IF(BX805="LOSE",1,0)</f>
        <v>0</v>
      </c>
      <c r="CA805" s="53" t="n">
        <f aca="false">IF(AND(U805="",OR(P805="",P805="LOSE"),T805&lt;&gt;"",N(S805)&lt;=0,ISNUMBER(MATCH(T805,Parameter!$I$27:$I$29,0))),1,0)</f>
        <v>0</v>
      </c>
      <c r="CB805" s="53" t="n">
        <f aca="false">IF(CQ805&gt;0,INDEX(Parameter!$H$5:$H$7,W805)/INDEX(Parameter!$E$5:$E$7,W805),IF(AND(BZ805=0,N(IFERROR(VLOOKUP(BX805,'Gebinde-Kategorie'!$A$5:$N$45,14,0),0))&gt;0),VLOOKUP(BX805,'Gebinde-Kategorie'!$A$5:$N$45,14,0)*10+Parameter!$M$23,Parameter!$M$24))</f>
        <v>155</v>
      </c>
      <c r="CC805" s="48" t="str">
        <f aca="false">IF(AND(Parameter!$B$19="Ja",E805&lt;&gt;"",ISNUMBER(MATCH(E805,Parameter!$I$35:$I$52,0))),VLOOKUP(E805,Parameter!$I$35:$J$52,2,0),IFERROR(VLOOKUP(D805,Parameter!$A$35:$C$64,2,0),"Nein"))</f>
        <v>2+3</v>
      </c>
      <c r="CD805" s="52" t="n">
        <f aca="false">IF(BZ805=0,0,IF(N(S805)&gt;0,S805,IFERROR(VLOOKUP(D805,Parameter!$A$35:$C$64,3,0)+0,0)))</f>
        <v>0</v>
      </c>
      <c r="CE805" s="48" t="n">
        <f aca="false">IF(AA805&lt;&gt;"",AA805,Z805)</f>
        <v>3</v>
      </c>
      <c r="CF805" s="48" t="str">
        <f aca="false">IF(OR(CE805=1,CE805=2,CE805=3),IF(Parameter!$E$27="Ja","LIFT",IF(CE805=1,"L1","L23")),IF(CE805="Aussen","Aussen","-"))</f>
        <v>LIFT</v>
      </c>
      <c r="CG805" s="59" t="n">
        <f aca="false">IF(N(AB805)&gt;0,AB805,0)</f>
        <v>0</v>
      </c>
      <c r="CH805" s="53" t="n">
        <f aca="false">IF(ISNUMBER(AE805),1,0)</f>
        <v>0</v>
      </c>
      <c r="CI805" s="50" t="n">
        <f aca="false">N(AE805)</f>
        <v>0</v>
      </c>
      <c r="CJ805" s="50" t="n">
        <f aca="false">N(M805)+N(N805)</f>
        <v>1</v>
      </c>
      <c r="CK805" s="50" t="n">
        <f aca="false">N(M805)</f>
        <v>0</v>
      </c>
      <c r="CL805" s="50" t="n">
        <f aca="false">N(N805)</f>
        <v>1</v>
      </c>
      <c r="CM805" s="50" t="n">
        <f aca="false">ROUNDUP(H805/BY805,0)</f>
        <v>2</v>
      </c>
      <c r="CN805" s="50" t="n">
        <f aca="false">ROUNDUP(CI805/BY805,0)</f>
        <v>0</v>
      </c>
      <c r="CO805" s="53" t="n">
        <f aca="false">IF(BZ805=1,0,IFERROR(VLOOKUP(BX805,'Gebinde-Kategorie'!$A$5:$N$45,5,0)+0,0))</f>
        <v>8</v>
      </c>
      <c r="CP805" s="53" t="n">
        <f aca="false">IFERROR(IF(OR(CE805=1,CE805=2,CE805=3),N(INDEX(Parameter!$I$5:$I$7,CE805)),0),0)</f>
        <v>0</v>
      </c>
      <c r="CQ805" s="52" t="n">
        <f aca="false">IF(AND(Parameter!$B$21="Ja",ISNUMBER(W805),N(X805)&gt;0),IFERROR(N(INDEX(Parameter!$L$5:$L$7,W805))*INDEX(Parameter!$E$5:$E$7,W805)*X805/SUMIFS($X$7:$X$1843,$W$7:$W$1843,W805),0),0)</f>
        <v>0</v>
      </c>
    </row>
    <row r="806" customFormat="false" ht="15" hidden="false" customHeight="false" outlineLevel="0" collapsed="false">
      <c r="A806" s="48" t="s">
        <v>1572</v>
      </c>
      <c r="B806" s="48" t="s">
        <v>477</v>
      </c>
      <c r="C806" s="48" t="s">
        <v>173</v>
      </c>
      <c r="D806" s="48" t="s">
        <v>193</v>
      </c>
      <c r="E806" s="48" t="s">
        <v>194</v>
      </c>
      <c r="F806" s="48" t="s">
        <v>227</v>
      </c>
      <c r="G806" s="49" t="n">
        <v>0.1</v>
      </c>
      <c r="H806" s="50" t="n">
        <f aca="false">MAX(0,IF(AND(Parameter!$B$21="Ja",ISNUMBER(Y806)),Y806,IF(Parameter!$B$20="Jahresanfang 2025 + Export",BR806+BQ806,BQ806)))</f>
        <v>225</v>
      </c>
      <c r="I806" s="50" t="n">
        <f aca="false">H806*G806</f>
        <v>22.5</v>
      </c>
      <c r="J806" s="50" t="n">
        <f aca="false">BT806*Parameter!$B$18</f>
        <v>78</v>
      </c>
      <c r="K806" s="51" t="n">
        <v>242</v>
      </c>
      <c r="L806" s="52" t="n">
        <v>0.322314049586777</v>
      </c>
      <c r="M806" s="50" t="n">
        <v>3</v>
      </c>
      <c r="N806" s="50" t="n">
        <v>80</v>
      </c>
      <c r="O806" s="53" t="n">
        <v>14</v>
      </c>
      <c r="P806" s="48" t="s">
        <v>410</v>
      </c>
      <c r="Q806" s="50" t="n">
        <v>432</v>
      </c>
      <c r="R806" s="53" t="n">
        <f aca="false">IF(BZ806=1,0,IFERROR(VLOOKUP(BX806,'Gebinde-Kategorie'!$A$5:$N$45,13,0)+0,0))</f>
        <v>280</v>
      </c>
      <c r="S806" s="54"/>
      <c r="T806" s="55"/>
      <c r="U806" s="55"/>
      <c r="V806" s="55"/>
      <c r="W806" s="48"/>
      <c r="X806" s="50"/>
      <c r="Y806" s="50"/>
      <c r="Z806" s="48" t="n">
        <f aca="false">IF(A806="","",IF(AND(Parameter!$B$21="Ja",ISNUMBER(W806)),W806,IF(CC806="2+3",IF(ISNUMBER(SEARCH("grosser Artikel",BU806)),2,IFERROR(VLOOKUP(BX806,Parameter!$F$35:$G$64,2,0),2)),IF(OR(CC806="Nein",CC806=""),"-",CC806))))</f>
        <v>3</v>
      </c>
      <c r="AA806" s="55"/>
      <c r="AB806" s="56"/>
      <c r="AC806" s="50" t="n">
        <f aca="false">AV806</f>
        <v>83</v>
      </c>
      <c r="AD806" s="50" t="n">
        <f aca="false">MAX(AV806,H806)</f>
        <v>225</v>
      </c>
      <c r="AE806" s="57"/>
      <c r="AF806" s="50" t="n">
        <f aca="false">IF(LEFT(Cockpit!$C$5,1)="A",H806,IF(Parameter!$E$30="MAX-Bestand",IF(CH806=1,CI806,IF(LEFT(Cockpit!$C$5,1)="B",AL806,MAX(AL806,H806))),ROUNDUP(AJ806,0)))</f>
        <v>225</v>
      </c>
      <c r="AG806" s="50" t="n">
        <f aca="false">IF(BZ806=1,0,ROUNDUP(AF806/BY806,0))</f>
        <v>1</v>
      </c>
      <c r="AH806" s="52" t="n">
        <f aca="false">IF(CQ806&gt;0,CQ806*MAX(1,AF806/X806),IF(BZ806=1,IF(AF806&lt;=0,0,CD806*MAX(1,IF(H806&gt;0,AF806/H806,1))),IF(R806&gt;0,AG806/R806,0))/MAX(0.1,N(Parameter!$M$21)))</f>
        <v>0.00357142857142857</v>
      </c>
      <c r="AI806" s="50" t="n">
        <f aca="false">AH806*CB806</f>
        <v>0.553571428571429</v>
      </c>
      <c r="AJ806" s="51" t="n">
        <f aca="false">IF(LEFT(Cockpit!$C$5,1)="A",H806,IF(CH806=1,(CK806+CI806)/2,IF(LEFT(Cockpit!$C$5,1)="B",(CK806+AL806)/2,MAX((CK806+AL806)/2,H806))))</f>
        <v>225</v>
      </c>
      <c r="AK806" s="50" t="n">
        <f aca="false">AJ806*G806</f>
        <v>22.5</v>
      </c>
      <c r="AL806" s="50" t="n">
        <f aca="false">ROUNDUP(CK806+MAX(CL806,2*(J806/IF(CG806&gt;0,CG806,MAX(0.1,N(Cockpit!$C$6)))-CK806)),0)</f>
        <v>83</v>
      </c>
      <c r="AM806" s="51" t="n">
        <f aca="false">IF(AI806&gt;0,J806/AI806,-1)</f>
        <v>140.903225806452</v>
      </c>
      <c r="AN806" s="51" t="n">
        <f aca="false">IF(AND(OR(CF806="L1",CF806="L23",CF806="LIFT"),AI806&gt;0),SUMIFS($AI$7:$AI$1843,$CF$7:$CF$1843,CF806,$AM$7:$AM$1843,"&gt;"&amp;AM806)+SUMIFS($AI$7:$AI$1843,$CF$7:$CF$1843,CF806,$AM$7:$AM$1843,AM806,$BW$7:$BW$1843,"&lt;="&amp;BW806),"")</f>
        <v>502.882326007326</v>
      </c>
      <c r="AO806" s="58" t="n">
        <f aca="false">IF(AN806="",0,MAX(0,MIN(1,(IF(CF806="L1",Parameter!$H$5,IF(CF806="L23",Parameter!$H$6+Parameter!$H$7,Parameter!$H$5+Parameter!$H$6+Parameter!$H$7))-(AN806-AI806))/AI806)))</f>
        <v>1</v>
      </c>
      <c r="AP806" s="50" t="n">
        <f aca="false">IF(LEFT(Cockpit!$I$5,1)="A",H806,IF(Parameter!$E$30="MAX-Bestand",IF(CH806=1,CI806,IF(LEFT(Cockpit!$I$5,1)="B",AV806,MAX(AV806,H806))),ROUNDUP(AT806,0)))</f>
        <v>225</v>
      </c>
      <c r="AQ806" s="50" t="n">
        <f aca="false">IF(BZ806=1,0,ROUNDUP(AP806/BY806,0))</f>
        <v>1</v>
      </c>
      <c r="AR806" s="52" t="n">
        <f aca="false">IF(CQ806&gt;0,CQ806*MAX(1,AP806/X806),IF(BZ806=1,IF(AP806&lt;=0,0,CD806*MAX(1,IF(H806&gt;0,AP806/H806,1))),IF(R806&gt;0,AQ806/R806,0))/MAX(0.1,N(Parameter!$M$21)))</f>
        <v>0.00357142857142857</v>
      </c>
      <c r="AS806" s="50" t="n">
        <f aca="false">AR806*CB806</f>
        <v>0.553571428571429</v>
      </c>
      <c r="AT806" s="51" t="n">
        <f aca="false">IF(LEFT(Cockpit!$I$5,1)="A",H806,IF(CH806=1,(CK806+CI806)/2,IF(LEFT(Cockpit!$I$5,1)="B",(CK806+AV806)/2,MAX((CK806+AV806)/2,H806))))</f>
        <v>225</v>
      </c>
      <c r="AU806" s="50" t="n">
        <f aca="false">AT806*G806</f>
        <v>22.5</v>
      </c>
      <c r="AV806" s="50" t="n">
        <f aca="false">ROUNDUP(CK806+MAX(CL806,2*(J806/IF(CG806&gt;0,CG806,MAX(0.1,N(Cockpit!$I$6)))-CK806)),0)</f>
        <v>83</v>
      </c>
      <c r="AW806" s="51" t="n">
        <f aca="false">IF(AS806&gt;0,J806/AS806,-1)</f>
        <v>140.903225806452</v>
      </c>
      <c r="AX806" s="51" t="n">
        <f aca="false">IF(AND(OR(CF806="L1",CF806="L23",CF806="LIFT"),AS806&gt;0),SUMIFS($AS$7:$AS$1843,$CF$7:$CF$1843,CF806,$AW$7:$AW$1843,"&gt;"&amp;AW806)+SUMIFS($AS$7:$AS$1843,$CF$7:$CF$1843,CF806,$AW$7:$AW$1843,AW806,$BW$7:$BW$1843,"&lt;="&amp;BW806),"")</f>
        <v>620.519230769231</v>
      </c>
      <c r="AY806" s="58" t="n">
        <f aca="false">IF(AX806="",0,MAX(0,MIN(1,(IF(CF806="L1",Parameter!$H$5,IF(CF806="L23",Parameter!$H$6+Parameter!$H$7,Parameter!$H$5+Parameter!$H$6+Parameter!$H$7))-(AX806-AS806))/AS806)))</f>
        <v>1</v>
      </c>
      <c r="AZ806" s="50" t="n">
        <f aca="false">IF(LEFT(Cockpit!$O$5,1)="A",H806,IF(Parameter!$E$30="MAX-Bestand",IF(CH806=1,CI806,IF(LEFT(Cockpit!$O$5,1)="B",BF806,MAX(BF806,H806))),ROUNDUP(BD806,0)))</f>
        <v>43</v>
      </c>
      <c r="BA806" s="50" t="n">
        <f aca="false">IF(BZ806=1,0,ROUNDUP(AZ806/BY806,0))</f>
        <v>1</v>
      </c>
      <c r="BB806" s="52" t="n">
        <f aca="false">IF(CQ806&gt;0,CQ806*MAX(1,AZ806/X806),IF(BZ806=1,IF(AZ806&lt;=0,0,CD806*MAX(1,IF(H806&gt;0,AZ806/H806,1))),IF(R806&gt;0,BA806/R806,0))/MAX(0.1,N(Parameter!$M$21)))</f>
        <v>0.00357142857142857</v>
      </c>
      <c r="BC806" s="50" t="n">
        <f aca="false">BB806*CB806</f>
        <v>0.553571428571429</v>
      </c>
      <c r="BD806" s="51" t="n">
        <f aca="false">IF(LEFT(Cockpit!$O$5,1)="A",H806,IF(CH806=1,(CK806+CI806)/2,IF(LEFT(Cockpit!$O$5,1)="B",(CK806+BF806)/2,MAX((CK806+BF806)/2,H806))))</f>
        <v>43</v>
      </c>
      <c r="BE806" s="50" t="n">
        <f aca="false">BD806*G806</f>
        <v>4.3</v>
      </c>
      <c r="BF806" s="50" t="n">
        <f aca="false">ROUNDUP(CK806+MAX(CL806,2*(J806/IF(CG806&gt;0,CG806,MAX(0.1,N(Cockpit!$O$6)))-CK806)),0)</f>
        <v>83</v>
      </c>
      <c r="BG806" s="51" t="n">
        <f aca="false">IF(BC806&gt;0,J806/BC806,-1)</f>
        <v>140.903225806452</v>
      </c>
      <c r="BH806" s="51" t="n">
        <f aca="false">IF(AND(OR(CF806="L1",CF806="L23",CF806="LIFT"),BC806&gt;0),SUMIFS($BC$7:$BC$1843,$CF$7:$CF$1843,CF806,$BG$7:$BG$1843,"&gt;"&amp;BG806)+SUMIFS($BC$7:$BC$1843,$CF$7:$CF$1843,CF806,$BG$7:$BG$1843,BG806,$BW$7:$BW$1843,"&lt;="&amp;BW806),"")</f>
        <v>584.678571428571</v>
      </c>
      <c r="BI806" s="58" t="n">
        <f aca="false">IF(BH806="",0,MAX(0,MIN(1,(IF(CF806="L1",Parameter!$H$5,IF(CF806="L23",Parameter!$H$6+Parameter!$H$7,Parameter!$H$5+Parameter!$H$6+Parameter!$H$7))-(BH806-BC806))/BC806)))</f>
        <v>1</v>
      </c>
      <c r="BJ806" s="48" t="str">
        <f aca="false">IF(AI806&lt;=0,"",IF(CF806="Aussen","Aussenlager",IF(CF806="-","Nicht im Lift",IF(AO806&gt;=1,"Lift",IF(AO806&lt;=0,"Aussenlager","teilweise")))))</f>
        <v>Lift</v>
      </c>
      <c r="BK806" s="48" t="str">
        <f aca="false">IF(AS806&lt;=0,"",IF(CF806="Aussen","Aussenlager",IF(CF806="-","Nicht im Lift",IF(AY806&gt;=1,"Lift",IF(AY806&lt;=0,"Aussenlager","teilweise")))))</f>
        <v>Lift</v>
      </c>
      <c r="BL806" s="48" t="str">
        <f aca="false">IF(BC806&lt;=0,"",IF(CF806="Aussen","Aussenlager",IF(CF806="-","Nicht im Lift",IF(BI806&gt;=1,"Lift",IF(BI806&lt;=0,"Aussenlager","teilweise")))))</f>
        <v>Lift</v>
      </c>
      <c r="BM806" s="48" t="str">
        <f aca="false">IF(A806="","",IF(BV806=1,"Neu; ","")&amp;IF(AND(BV806=0,BQ806&lt;0),"negativer Bestand (Export "&amp;BQ806&amp;"); ","")&amp;IF(J806&lt;=0,"Kein Verbrauch; ","")&amp;IF(CQ806&gt;0,"Lift "&amp;W806&amp;" lt. Liftbericht (Fach "&amp;X806&amp;" Stk); ",IF(CA806=1,"Gebinde geschätzt ("&amp;T806&amp;"); ",IF(BZ806=1,"Lose – Tablare geschätzt; ","")))&amp;IF(H806&gt;AV806,"Überbestand "&amp;ROUND(H806-AV806,0)&amp;" Stk / CHF "&amp;ROUND((H806-AV806)*G806,0)&amp;"; ","")&amp;IF(AND(CH806=1,CI806&lt;CJ806),"MAX &lt; MB+LG; ","")&amp;IF(AND(CP806&gt;0,CO806*10&gt;CP806),"zu hoch für Tablar; ","")&amp;IF(AND(BV806=0,OR(CH806=1,AA806&lt;&gt;"",U806&lt;&gt;"",V806&lt;&gt;"",AB806&lt;&gt;"")),"manuell übersteuert; ","")&amp;IF(AND(BZ806=0,R806=0),"Gebinde unbekannt / Stellmass fehlt; ","")&amp;IF(AND(BZ806=0,N(V806)&lt;=0,N(Q806)&lt;=0),"Menge pro Gebinde fehlt (Ist = 1 Gebinde); ","")&amp;BU806)</f>
        <v>negativer Bestand (Export -55); Überbestand 142 Stk / CHF 14; </v>
      </c>
      <c r="BN806" s="48"/>
      <c r="BO806" s="48"/>
      <c r="BP806" s="55"/>
      <c r="BQ806" s="50" t="n">
        <v>-55</v>
      </c>
      <c r="BR806" s="50" t="n">
        <v>280</v>
      </c>
      <c r="BS806" s="49" t="n">
        <v>-5.5</v>
      </c>
      <c r="BT806" s="50" t="n">
        <v>78</v>
      </c>
      <c r="BU806" s="48"/>
      <c r="BV806" s="53" t="n">
        <v>0</v>
      </c>
      <c r="BW806" s="53" t="n">
        <v>806</v>
      </c>
      <c r="BX806" s="48" t="str">
        <f aca="false">IF(U806&lt;&gt;"",UPPER(TRIM(U806)),IF(CA806=1,UPPER(VLOOKUP(T806,Parameter!$I$27:$K$29,2,0)),IF(P806="","LOSE",P806)))</f>
        <v>S21</v>
      </c>
      <c r="BY806" s="50" t="n">
        <f aca="false">IF(BX806="LOSE",1,IF(N(V806)&gt;0,V806,IF(CA806=1,MAX(1,N(VLOOKUP(T806,Parameter!$I$27:$K$29,3,0)),H806,N(N806)),IF(N(Q806)&gt;0,Q806,MAX(1,H806)))))</f>
        <v>432</v>
      </c>
      <c r="BZ806" s="53" t="n">
        <f aca="false">IF(BX806="LOSE",1,0)</f>
        <v>0</v>
      </c>
      <c r="CA806" s="53" t="n">
        <f aca="false">IF(AND(U806="",OR(P806="",P806="LOSE"),T806&lt;&gt;"",N(S806)&lt;=0,ISNUMBER(MATCH(T806,Parameter!$I$27:$I$29,0))),1,0)</f>
        <v>0</v>
      </c>
      <c r="CB806" s="53" t="n">
        <f aca="false">IF(CQ806&gt;0,INDEX(Parameter!$H$5:$H$7,W806)/INDEX(Parameter!$E$5:$E$7,W806),IF(AND(BZ806=0,N(IFERROR(VLOOKUP(BX806,'Gebinde-Kategorie'!$A$5:$N$45,14,0),0))&gt;0),VLOOKUP(BX806,'Gebinde-Kategorie'!$A$5:$N$45,14,0)*10+Parameter!$M$23,Parameter!$M$24))</f>
        <v>155</v>
      </c>
      <c r="CC806" s="48" t="str">
        <f aca="false">IF(AND(Parameter!$B$19="Ja",E806&lt;&gt;"",ISNUMBER(MATCH(E806,Parameter!$I$35:$I$52,0))),VLOOKUP(E806,Parameter!$I$35:$J$52,2,0),IFERROR(VLOOKUP(D806,Parameter!$A$35:$C$64,2,0),"Nein"))</f>
        <v>2+3</v>
      </c>
      <c r="CD806" s="52" t="n">
        <f aca="false">IF(BZ806=0,0,IF(N(S806)&gt;0,S806,IFERROR(VLOOKUP(D806,Parameter!$A$35:$C$64,3,0)+0,0)))</f>
        <v>0</v>
      </c>
      <c r="CE806" s="48" t="n">
        <f aca="false">IF(AA806&lt;&gt;"",AA806,Z806)</f>
        <v>3</v>
      </c>
      <c r="CF806" s="48" t="str">
        <f aca="false">IF(OR(CE806=1,CE806=2,CE806=3),IF(Parameter!$E$27="Ja","LIFT",IF(CE806=1,"L1","L23")),IF(CE806="Aussen","Aussen","-"))</f>
        <v>LIFT</v>
      </c>
      <c r="CG806" s="59" t="n">
        <f aca="false">IF(N(AB806)&gt;0,AB806,0)</f>
        <v>0</v>
      </c>
      <c r="CH806" s="53" t="n">
        <f aca="false">IF(ISNUMBER(AE806),1,0)</f>
        <v>0</v>
      </c>
      <c r="CI806" s="50" t="n">
        <f aca="false">N(AE806)</f>
        <v>0</v>
      </c>
      <c r="CJ806" s="50" t="n">
        <f aca="false">N(M806)+N(N806)</f>
        <v>83</v>
      </c>
      <c r="CK806" s="50" t="n">
        <f aca="false">N(M806)</f>
        <v>3</v>
      </c>
      <c r="CL806" s="50" t="n">
        <f aca="false">N(N806)</f>
        <v>80</v>
      </c>
      <c r="CM806" s="50" t="n">
        <f aca="false">ROUNDUP(H806/BY806,0)</f>
        <v>1</v>
      </c>
      <c r="CN806" s="50" t="n">
        <f aca="false">ROUNDUP(CI806/BY806,0)</f>
        <v>0</v>
      </c>
      <c r="CO806" s="53" t="n">
        <f aca="false">IF(BZ806=1,0,IFERROR(VLOOKUP(BX806,'Gebinde-Kategorie'!$A$5:$N$45,5,0)+0,0))</f>
        <v>8</v>
      </c>
      <c r="CP806" s="53" t="n">
        <f aca="false">IFERROR(IF(OR(CE806=1,CE806=2,CE806=3),N(INDEX(Parameter!$I$5:$I$7,CE806)),0),0)</f>
        <v>0</v>
      </c>
      <c r="CQ806" s="52" t="n">
        <f aca="false">IF(AND(Parameter!$B$21="Ja",ISNUMBER(W806),N(X806)&gt;0),IFERROR(N(INDEX(Parameter!$L$5:$L$7,W806))*INDEX(Parameter!$E$5:$E$7,W806)*X806/SUMIFS($X$7:$X$1843,$W$7:$W$1843,W806),0),0)</f>
        <v>0</v>
      </c>
    </row>
    <row r="807" customFormat="false" ht="15" hidden="false" customHeight="false" outlineLevel="0" collapsed="false">
      <c r="A807" s="48" t="s">
        <v>1573</v>
      </c>
      <c r="B807" s="48" t="s">
        <v>1574</v>
      </c>
      <c r="C807" s="48" t="s">
        <v>173</v>
      </c>
      <c r="D807" s="48" t="s">
        <v>193</v>
      </c>
      <c r="E807" s="48" t="s">
        <v>194</v>
      </c>
      <c r="F807" s="48" t="s">
        <v>227</v>
      </c>
      <c r="G807" s="49" t="n">
        <v>5.7</v>
      </c>
      <c r="H807" s="50" t="n">
        <f aca="false">MAX(0,IF(AND(Parameter!$B$21="Ja",ISNUMBER(Y807)),Y807,IF(Parameter!$B$20="Jahresanfang 2025 + Export",BR807+BQ807,BQ807)))</f>
        <v>4</v>
      </c>
      <c r="I807" s="50" t="n">
        <f aca="false">H807*G807</f>
        <v>22.8</v>
      </c>
      <c r="J807" s="50" t="n">
        <f aca="false">BT807*Parameter!$B$18</f>
        <v>1</v>
      </c>
      <c r="K807" s="51" t="n">
        <v>4.5</v>
      </c>
      <c r="L807" s="52" t="n">
        <v>0.222222222222222</v>
      </c>
      <c r="M807" s="50" t="n">
        <v>0</v>
      </c>
      <c r="N807" s="50" t="n">
        <v>1</v>
      </c>
      <c r="O807" s="53" t="n">
        <v>14</v>
      </c>
      <c r="P807" s="48" t="s">
        <v>430</v>
      </c>
      <c r="Q807" s="50" t="n">
        <v>7</v>
      </c>
      <c r="R807" s="53" t="n">
        <f aca="false">IF(BZ807=1,0,IFERROR(VLOOKUP(BX807,'Gebinde-Kategorie'!$A$5:$N$45,13,0)+0,0))</f>
        <v>104</v>
      </c>
      <c r="S807" s="54"/>
      <c r="T807" s="55"/>
      <c r="U807" s="55"/>
      <c r="V807" s="55"/>
      <c r="W807" s="48"/>
      <c r="X807" s="50"/>
      <c r="Y807" s="50"/>
      <c r="Z807" s="48" t="n">
        <f aca="false">IF(A807="","",IF(AND(Parameter!$B$21="Ja",ISNUMBER(W807)),W807,IF(CC807="2+3",IF(ISNUMBER(SEARCH("grosser Artikel",BU807)),2,IFERROR(VLOOKUP(BX807,Parameter!$F$35:$G$64,2,0),2)),IF(OR(CC807="Nein",CC807=""),"-",CC807))))</f>
        <v>3</v>
      </c>
      <c r="AA807" s="55"/>
      <c r="AB807" s="56"/>
      <c r="AC807" s="50" t="n">
        <f aca="false">AV807</f>
        <v>1</v>
      </c>
      <c r="AD807" s="50" t="n">
        <f aca="false">MAX(AV807,H807)</f>
        <v>4</v>
      </c>
      <c r="AE807" s="57"/>
      <c r="AF807" s="50" t="n">
        <f aca="false">IF(LEFT(Cockpit!$C$5,1)="A",H807,IF(Parameter!$E$30="MAX-Bestand",IF(CH807=1,CI807,IF(LEFT(Cockpit!$C$5,1)="B",AL807,MAX(AL807,H807))),ROUNDUP(AJ807,0)))</f>
        <v>4</v>
      </c>
      <c r="AG807" s="50" t="n">
        <f aca="false">IF(BZ807=1,0,ROUNDUP(AF807/BY807,0))</f>
        <v>1</v>
      </c>
      <c r="AH807" s="52" t="n">
        <f aca="false">IF(CQ807&gt;0,CQ807*MAX(1,AF807/X807),IF(BZ807=1,IF(AF807&lt;=0,0,CD807*MAX(1,IF(H807&gt;0,AF807/H807,1))),IF(R807&gt;0,AG807/R807,0))/MAX(0.1,N(Parameter!$M$21)))</f>
        <v>0.00961538461538462</v>
      </c>
      <c r="AI807" s="50" t="n">
        <f aca="false">AH807*CB807</f>
        <v>1.49038461538462</v>
      </c>
      <c r="AJ807" s="51" t="n">
        <f aca="false">IF(LEFT(Cockpit!$C$5,1)="A",H807,IF(CH807=1,(CK807+CI807)/2,IF(LEFT(Cockpit!$C$5,1)="B",(CK807+AL807)/2,MAX((CK807+AL807)/2,H807))))</f>
        <v>4</v>
      </c>
      <c r="AK807" s="50" t="n">
        <f aca="false">AJ807*G807</f>
        <v>22.8</v>
      </c>
      <c r="AL807" s="50" t="n">
        <f aca="false">ROUNDUP(CK807+MAX(CL807,2*(J807/IF(CG807&gt;0,CG807,MAX(0.1,N(Cockpit!$C$6)))-CK807)),0)</f>
        <v>1</v>
      </c>
      <c r="AM807" s="51" t="n">
        <f aca="false">IF(AI807&gt;0,J807/AI807,-1)</f>
        <v>0.670967741935484</v>
      </c>
      <c r="AN807" s="51" t="n">
        <f aca="false">IF(AND(OR(CF807="L1",CF807="L23",CF807="LIFT"),AI807&gt;0),SUMIFS($AI$7:$AI$1843,$CF$7:$CF$1843,CF807,$AM$7:$AM$1843,"&gt;"&amp;AM807)+SUMIFS($AI$7:$AI$1843,$CF$7:$CF$1843,CF807,$AM$7:$AM$1843,AM807,$BW$7:$BW$1843,"&lt;="&amp;BW807),"")</f>
        <v>8619.09294871795</v>
      </c>
      <c r="AO807" s="58" t="n">
        <f aca="false">IF(AN807="",0,MAX(0,MIN(1,(IF(CF807="L1",Parameter!$H$5,IF(CF807="L23",Parameter!$H$6+Parameter!$H$7,Parameter!$H$5+Parameter!$H$6+Parameter!$H$7))-(AN807-AI807))/AI807)))</f>
        <v>1</v>
      </c>
      <c r="AP807" s="50" t="n">
        <f aca="false">IF(LEFT(Cockpit!$I$5,1)="A",H807,IF(Parameter!$E$30="MAX-Bestand",IF(CH807=1,CI807,IF(LEFT(Cockpit!$I$5,1)="B",AV807,MAX(AV807,H807))),ROUNDUP(AT807,0)))</f>
        <v>4</v>
      </c>
      <c r="AQ807" s="50" t="n">
        <f aca="false">IF(BZ807=1,0,ROUNDUP(AP807/BY807,0))</f>
        <v>1</v>
      </c>
      <c r="AR807" s="52" t="n">
        <f aca="false">IF(CQ807&gt;0,CQ807*MAX(1,AP807/X807),IF(BZ807=1,IF(AP807&lt;=0,0,CD807*MAX(1,IF(H807&gt;0,AP807/H807,1))),IF(R807&gt;0,AQ807/R807,0))/MAX(0.1,N(Parameter!$M$21)))</f>
        <v>0.00961538461538462</v>
      </c>
      <c r="AS807" s="50" t="n">
        <f aca="false">AR807*CB807</f>
        <v>1.49038461538462</v>
      </c>
      <c r="AT807" s="51" t="n">
        <f aca="false">IF(LEFT(Cockpit!$I$5,1)="A",H807,IF(CH807=1,(CK807+CI807)/2,IF(LEFT(Cockpit!$I$5,1)="B",(CK807+AV807)/2,MAX((CK807+AV807)/2,H807))))</f>
        <v>4</v>
      </c>
      <c r="AU807" s="50" t="n">
        <f aca="false">AT807*G807</f>
        <v>22.8</v>
      </c>
      <c r="AV807" s="50" t="n">
        <f aca="false">ROUNDUP(CK807+MAX(CL807,2*(J807/IF(CG807&gt;0,CG807,MAX(0.1,N(Cockpit!$I$6)))-CK807)),0)</f>
        <v>1</v>
      </c>
      <c r="AW807" s="51" t="n">
        <f aca="false">IF(AS807&gt;0,J807/AS807,-1)</f>
        <v>0.670967741935484</v>
      </c>
      <c r="AX807" s="51" t="n">
        <f aca="false">IF(AND(OR(CF807="L1",CF807="L23",CF807="LIFT"),AS807&gt;0),SUMIFS($AS$7:$AS$1843,$CF$7:$CF$1843,CF807,$AW$7:$AW$1843,"&gt;"&amp;AW807)+SUMIFS($AS$7:$AS$1843,$CF$7:$CF$1843,CF807,$AW$7:$AW$1843,AW807,$BW$7:$BW$1843,"&lt;="&amp;BW807),"")</f>
        <v>10908.7893772894</v>
      </c>
      <c r="AY807" s="58" t="n">
        <f aca="false">IF(AX807="",0,MAX(0,MIN(1,(IF(CF807="L1",Parameter!$H$5,IF(CF807="L23",Parameter!$H$6+Parameter!$H$7,Parameter!$H$5+Parameter!$H$6+Parameter!$H$7))-(AX807-AS807))/AS807)))</f>
        <v>1</v>
      </c>
      <c r="AZ807" s="50" t="n">
        <f aca="false">IF(LEFT(Cockpit!$O$5,1)="A",H807,IF(Parameter!$E$30="MAX-Bestand",IF(CH807=1,CI807,IF(LEFT(Cockpit!$O$5,1)="B",BF807,MAX(BF807,H807))),ROUNDUP(BD807,0)))</f>
        <v>1</v>
      </c>
      <c r="BA807" s="50" t="n">
        <f aca="false">IF(BZ807=1,0,ROUNDUP(AZ807/BY807,0))</f>
        <v>1</v>
      </c>
      <c r="BB807" s="52" t="n">
        <f aca="false">IF(CQ807&gt;0,CQ807*MAX(1,AZ807/X807),IF(BZ807=1,IF(AZ807&lt;=0,0,CD807*MAX(1,IF(H807&gt;0,AZ807/H807,1))),IF(R807&gt;0,BA807/R807,0))/MAX(0.1,N(Parameter!$M$21)))</f>
        <v>0.00961538461538462</v>
      </c>
      <c r="BC807" s="50" t="n">
        <f aca="false">BB807*CB807</f>
        <v>1.49038461538462</v>
      </c>
      <c r="BD807" s="51" t="n">
        <f aca="false">IF(LEFT(Cockpit!$O$5,1)="A",H807,IF(CH807=1,(CK807+CI807)/2,IF(LEFT(Cockpit!$O$5,1)="B",(CK807+BF807)/2,MAX((CK807+BF807)/2,H807))))</f>
        <v>0.5</v>
      </c>
      <c r="BE807" s="50" t="n">
        <f aca="false">BD807*G807</f>
        <v>2.85</v>
      </c>
      <c r="BF807" s="50" t="n">
        <f aca="false">ROUNDUP(CK807+MAX(CL807,2*(J807/IF(CG807&gt;0,CG807,MAX(0.1,N(Cockpit!$O$6)))-CK807)),0)</f>
        <v>1</v>
      </c>
      <c r="BG807" s="51" t="n">
        <f aca="false">IF(BC807&gt;0,J807/BC807,-1)</f>
        <v>0.670967741935484</v>
      </c>
      <c r="BH807" s="51" t="n">
        <f aca="false">IF(AND(OR(CF807="L1",CF807="L23",CF807="LIFT"),BC807&gt;0),SUMIFS($BC$7:$BC$1843,$CF$7:$CF$1843,CF807,$BG$7:$BG$1843,"&gt;"&amp;BG807)+SUMIFS($BC$7:$BC$1843,$CF$7:$CF$1843,CF807,$BG$7:$BG$1843,BG807,$BW$7:$BW$1843,"&lt;="&amp;BW807),"")</f>
        <v>9518.42353479853</v>
      </c>
      <c r="BI807" s="58" t="n">
        <f aca="false">IF(BH807="",0,MAX(0,MIN(1,(IF(CF807="L1",Parameter!$H$5,IF(CF807="L23",Parameter!$H$6+Parameter!$H$7,Parameter!$H$5+Parameter!$H$6+Parameter!$H$7))-(BH807-BC807))/BC807)))</f>
        <v>1</v>
      </c>
      <c r="BJ807" s="48" t="str">
        <f aca="false">IF(AI807&lt;=0,"",IF(CF807="Aussen","Aussenlager",IF(CF807="-","Nicht im Lift",IF(AO807&gt;=1,"Lift",IF(AO807&lt;=0,"Aussenlager","teilweise")))))</f>
        <v>Lift</v>
      </c>
      <c r="BK807" s="48" t="str">
        <f aca="false">IF(AS807&lt;=0,"",IF(CF807="Aussen","Aussenlager",IF(CF807="-","Nicht im Lift",IF(AY807&gt;=1,"Lift",IF(AY807&lt;=0,"Aussenlager","teilweise")))))</f>
        <v>Lift</v>
      </c>
      <c r="BL807" s="48" t="str">
        <f aca="false">IF(BC807&lt;=0,"",IF(CF807="Aussen","Aussenlager",IF(CF807="-","Nicht im Lift",IF(BI807&gt;=1,"Lift",IF(BI807&lt;=0,"Aussenlager","teilweise")))))</f>
        <v>Lift</v>
      </c>
      <c r="BM807" s="48" t="str">
        <f aca="false">IF(A807="","",IF(BV807=1,"Neu; ","")&amp;IF(AND(BV807=0,BQ807&lt;0),"negativer Bestand (Export "&amp;BQ807&amp;"); ","")&amp;IF(J807&lt;=0,"Kein Verbrauch; ","")&amp;IF(CQ807&gt;0,"Lift "&amp;W807&amp;" lt. Liftbericht (Fach "&amp;X807&amp;" Stk); ",IF(CA807=1,"Gebinde geschätzt ("&amp;T807&amp;"); ",IF(BZ807=1,"Lose – Tablare geschätzt; ","")))&amp;IF(H807&gt;AV807,"Überbestand "&amp;ROUND(H807-AV807,0)&amp;" Stk / CHF "&amp;ROUND((H807-AV807)*G807,0)&amp;"; ","")&amp;IF(AND(CH807=1,CI807&lt;CJ807),"MAX &lt; MB+LG; ","")&amp;IF(AND(CP807&gt;0,CO807*10&gt;CP807),"zu hoch für Tablar; ","")&amp;IF(AND(BV807=0,OR(CH807=1,AA807&lt;&gt;"",U807&lt;&gt;"",V807&lt;&gt;"",AB807&lt;&gt;"")),"manuell übersteuert; ","")&amp;IF(AND(BZ807=0,R807=0),"Gebinde unbekannt / Stellmass fehlt; ","")&amp;IF(AND(BZ807=0,N(V807)&lt;=0,N(Q807)&lt;=0),"Menge pro Gebinde fehlt (Ist = 1 Gebinde); ","")&amp;BU807)</f>
        <v>negativer Bestand (Export -1); Überbestand 3 Stk / CHF 17; Verb.Lager</v>
      </c>
      <c r="BN807" s="48"/>
      <c r="BO807" s="48"/>
      <c r="BP807" s="55"/>
      <c r="BQ807" s="50" t="n">
        <v>-1</v>
      </c>
      <c r="BR807" s="50" t="n">
        <v>5</v>
      </c>
      <c r="BS807" s="49" t="n">
        <v>-5.7</v>
      </c>
      <c r="BT807" s="50" t="n">
        <v>1</v>
      </c>
      <c r="BU807" s="48" t="s">
        <v>1039</v>
      </c>
      <c r="BV807" s="53" t="n">
        <v>0</v>
      </c>
      <c r="BW807" s="53" t="n">
        <v>807</v>
      </c>
      <c r="BX807" s="48" t="str">
        <f aca="false">IF(U807&lt;&gt;"",UPPER(TRIM(U807)),IF(CA807=1,UPPER(VLOOKUP(T807,Parameter!$I$27:$K$29,2,0)),IF(P807="","LOSE",P807)))</f>
        <v>S32</v>
      </c>
      <c r="BY807" s="50" t="n">
        <f aca="false">IF(BX807="LOSE",1,IF(N(V807)&gt;0,V807,IF(CA807=1,MAX(1,N(VLOOKUP(T807,Parameter!$I$27:$K$29,3,0)),H807,N(N807)),IF(N(Q807)&gt;0,Q807,MAX(1,H807)))))</f>
        <v>7</v>
      </c>
      <c r="BZ807" s="53" t="n">
        <f aca="false">IF(BX807="LOSE",1,0)</f>
        <v>0</v>
      </c>
      <c r="CA807" s="53" t="n">
        <f aca="false">IF(AND(U807="",OR(P807="",P807="LOSE"),T807&lt;&gt;"",N(S807)&lt;=0,ISNUMBER(MATCH(T807,Parameter!$I$27:$I$29,0))),1,0)</f>
        <v>0</v>
      </c>
      <c r="CB807" s="53" t="n">
        <f aca="false">IF(CQ807&gt;0,INDEX(Parameter!$H$5:$H$7,W807)/INDEX(Parameter!$E$5:$E$7,W807),IF(AND(BZ807=0,N(IFERROR(VLOOKUP(BX807,'Gebinde-Kategorie'!$A$5:$N$45,14,0),0))&gt;0),VLOOKUP(BX807,'Gebinde-Kategorie'!$A$5:$N$45,14,0)*10+Parameter!$M$23,Parameter!$M$24))</f>
        <v>155</v>
      </c>
      <c r="CC807" s="48" t="str">
        <f aca="false">IF(AND(Parameter!$B$19="Ja",E807&lt;&gt;"",ISNUMBER(MATCH(E807,Parameter!$I$35:$I$52,0))),VLOOKUP(E807,Parameter!$I$35:$J$52,2,0),IFERROR(VLOOKUP(D807,Parameter!$A$35:$C$64,2,0),"Nein"))</f>
        <v>2+3</v>
      </c>
      <c r="CD807" s="52" t="n">
        <f aca="false">IF(BZ807=0,0,IF(N(S807)&gt;0,S807,IFERROR(VLOOKUP(D807,Parameter!$A$35:$C$64,3,0)+0,0)))</f>
        <v>0</v>
      </c>
      <c r="CE807" s="48" t="n">
        <f aca="false">IF(AA807&lt;&gt;"",AA807,Z807)</f>
        <v>3</v>
      </c>
      <c r="CF807" s="48" t="str">
        <f aca="false">IF(OR(CE807=1,CE807=2,CE807=3),IF(Parameter!$E$27="Ja","LIFT",IF(CE807=1,"L1","L23")),IF(CE807="Aussen","Aussen","-"))</f>
        <v>LIFT</v>
      </c>
      <c r="CG807" s="59" t="n">
        <f aca="false">IF(N(AB807)&gt;0,AB807,0)</f>
        <v>0</v>
      </c>
      <c r="CH807" s="53" t="n">
        <f aca="false">IF(ISNUMBER(AE807),1,0)</f>
        <v>0</v>
      </c>
      <c r="CI807" s="50" t="n">
        <f aca="false">N(AE807)</f>
        <v>0</v>
      </c>
      <c r="CJ807" s="50" t="n">
        <f aca="false">N(M807)+N(N807)</f>
        <v>1</v>
      </c>
      <c r="CK807" s="50" t="n">
        <f aca="false">N(M807)</f>
        <v>0</v>
      </c>
      <c r="CL807" s="50" t="n">
        <f aca="false">N(N807)</f>
        <v>1</v>
      </c>
      <c r="CM807" s="50" t="n">
        <f aca="false">ROUNDUP(H807/BY807,0)</f>
        <v>1</v>
      </c>
      <c r="CN807" s="50" t="n">
        <f aca="false">ROUNDUP(CI807/BY807,0)</f>
        <v>0</v>
      </c>
      <c r="CO807" s="53" t="n">
        <f aca="false">IF(BZ807=1,0,IFERROR(VLOOKUP(BX807,'Gebinde-Kategorie'!$A$5:$N$45,5,0)+0,0))</f>
        <v>8</v>
      </c>
      <c r="CP807" s="53" t="n">
        <f aca="false">IFERROR(IF(OR(CE807=1,CE807=2,CE807=3),N(INDEX(Parameter!$I$5:$I$7,CE807)),0),0)</f>
        <v>0</v>
      </c>
      <c r="CQ807" s="52" t="n">
        <f aca="false">IF(AND(Parameter!$B$21="Ja",ISNUMBER(W807),N(X807)&gt;0),IFERROR(N(INDEX(Parameter!$L$5:$L$7,W807))*INDEX(Parameter!$E$5:$E$7,W807)*X807/SUMIFS($X$7:$X$1843,$W$7:$W$1843,W807),0),0)</f>
        <v>0</v>
      </c>
    </row>
    <row r="808" customFormat="false" ht="15" hidden="false" customHeight="false" outlineLevel="0" collapsed="false">
      <c r="A808" s="48" t="s">
        <v>1575</v>
      </c>
      <c r="B808" s="48" t="s">
        <v>1576</v>
      </c>
      <c r="C808" s="48" t="s">
        <v>173</v>
      </c>
      <c r="D808" s="48" t="s">
        <v>193</v>
      </c>
      <c r="E808" s="48"/>
      <c r="F808" s="48" t="s">
        <v>227</v>
      </c>
      <c r="G808" s="49" t="n">
        <v>0.24</v>
      </c>
      <c r="H808" s="50" t="n">
        <f aca="false">MAX(0,IF(AND(Parameter!$B$21="Ja",ISNUMBER(Y808)),Y808,IF(Parameter!$B$20="Jahresanfang 2025 + Export",BR808+BQ808,BQ808)))</f>
        <v>0</v>
      </c>
      <c r="I808" s="50" t="n">
        <f aca="false">H808*G808</f>
        <v>0</v>
      </c>
      <c r="J808" s="50" t="n">
        <f aca="false">BT808*Parameter!$B$18</f>
        <v>4</v>
      </c>
      <c r="K808" s="51" t="n">
        <v>19.5</v>
      </c>
      <c r="L808" s="52" t="n">
        <v>0.205128205128205</v>
      </c>
      <c r="M808" s="50" t="n">
        <v>0</v>
      </c>
      <c r="N808" s="50" t="n">
        <v>1300</v>
      </c>
      <c r="O808" s="53" t="n">
        <v>14</v>
      </c>
      <c r="P808" s="48" t="s">
        <v>177</v>
      </c>
      <c r="Q808" s="50"/>
      <c r="R808" s="53" t="n">
        <f aca="false">IF(BZ808=1,0,IFERROR(VLOOKUP(BX808,'Gebinde-Kategorie'!$A$5:$N$45,13,0)+0,0))</f>
        <v>12</v>
      </c>
      <c r="S808" s="54"/>
      <c r="T808" s="55" t="s">
        <v>188</v>
      </c>
      <c r="U808" s="55"/>
      <c r="V808" s="55"/>
      <c r="W808" s="48"/>
      <c r="X808" s="50"/>
      <c r="Y808" s="50"/>
      <c r="Z808" s="48" t="n">
        <f aca="false">IF(A808="","",IF(AND(Parameter!$B$21="Ja",ISNUMBER(W808)),W808,IF(CC808="2+3",IF(ISNUMBER(SEARCH("grosser Artikel",BU808)),2,IFERROR(VLOOKUP(BX808,Parameter!$F$35:$G$64,2,0),2)),IF(OR(CC808="Nein",CC808=""),"-",CC808))))</f>
        <v>2</v>
      </c>
      <c r="AA808" s="55"/>
      <c r="AB808" s="56"/>
      <c r="AC808" s="50" t="n">
        <f aca="false">AV808</f>
        <v>1300</v>
      </c>
      <c r="AD808" s="50" t="n">
        <f aca="false">MAX(AV808,H808)</f>
        <v>1300</v>
      </c>
      <c r="AE808" s="57"/>
      <c r="AF808" s="50" t="n">
        <f aca="false">IF(LEFT(Cockpit!$C$5,1)="A",H808,IF(Parameter!$E$30="MAX-Bestand",IF(CH808=1,CI808,IF(LEFT(Cockpit!$C$5,1)="B",AL808,MAX(AL808,H808))),ROUNDUP(AJ808,0)))</f>
        <v>0</v>
      </c>
      <c r="AG808" s="50" t="n">
        <f aca="false">IF(BZ808=1,0,ROUNDUP(AF808/BY808,0))</f>
        <v>0</v>
      </c>
      <c r="AH808" s="52" t="n">
        <f aca="false">IF(CQ808&gt;0,CQ808*MAX(1,AF808/X808),IF(BZ808=1,IF(AF808&lt;=0,0,CD808*MAX(1,IF(H808&gt;0,AF808/H808,1))),IF(R808&gt;0,AG808/R808,0))/MAX(0.1,N(Parameter!$M$21)))</f>
        <v>0</v>
      </c>
      <c r="AI808" s="50" t="n">
        <f aca="false">AH808*CB808</f>
        <v>0</v>
      </c>
      <c r="AJ808" s="51" t="n">
        <f aca="false">IF(LEFT(Cockpit!$C$5,1)="A",H808,IF(CH808=1,(CK808+CI808)/2,IF(LEFT(Cockpit!$C$5,1)="B",(CK808+AL808)/2,MAX((CK808+AL808)/2,H808))))</f>
        <v>0</v>
      </c>
      <c r="AK808" s="50" t="n">
        <f aca="false">AJ808*G808</f>
        <v>0</v>
      </c>
      <c r="AL808" s="50" t="n">
        <f aca="false">ROUNDUP(CK808+MAX(CL808,2*(J808/IF(CG808&gt;0,CG808,MAX(0.1,N(Cockpit!$C$6)))-CK808)),0)</f>
        <v>1300</v>
      </c>
      <c r="AM808" s="51" t="n">
        <f aca="false">IF(AI808&gt;0,J808/AI808,-1)</f>
        <v>-1</v>
      </c>
      <c r="AN808" s="51" t="str">
        <f aca="false">IF(AND(OR(CF808="L1",CF808="L23",CF808="LIFT"),AI808&gt;0),SUMIFS($AI$7:$AI$1843,$CF$7:$CF$1843,CF808,$AM$7:$AM$1843,"&gt;"&amp;AM808)+SUMIFS($AI$7:$AI$1843,$CF$7:$CF$1843,CF808,$AM$7:$AM$1843,AM808,$BW$7:$BW$1843,"&lt;="&amp;BW808),"")</f>
        <v/>
      </c>
      <c r="AO808" s="58" t="n">
        <f aca="false">IF(AN808="",0,MAX(0,MIN(1,(IF(CF808="L1",Parameter!$H$5,IF(CF808="L23",Parameter!$H$6+Parameter!$H$7,Parameter!$H$5+Parameter!$H$6+Parameter!$H$7))-(AN808-AI808))/AI808)))</f>
        <v>0</v>
      </c>
      <c r="AP808" s="50" t="n">
        <f aca="false">IF(LEFT(Cockpit!$I$5,1)="A",H808,IF(Parameter!$E$30="MAX-Bestand",IF(CH808=1,CI808,IF(LEFT(Cockpit!$I$5,1)="B",AV808,MAX(AV808,H808))),ROUNDUP(AT808,0)))</f>
        <v>650</v>
      </c>
      <c r="AQ808" s="50" t="n">
        <f aca="false">IF(BZ808=1,0,ROUNDUP(AP808/BY808,0))</f>
        <v>1</v>
      </c>
      <c r="AR808" s="52" t="n">
        <f aca="false">IF(CQ808&gt;0,CQ808*MAX(1,AP808/X808),IF(BZ808=1,IF(AP808&lt;=0,0,CD808*MAX(1,IF(H808&gt;0,AP808/H808,1))),IF(R808&gt;0,AQ808/R808,0))/MAX(0.1,N(Parameter!$M$21)))</f>
        <v>0.0833333333333333</v>
      </c>
      <c r="AS808" s="50" t="n">
        <f aca="false">AR808*CB808</f>
        <v>12.0833333333333</v>
      </c>
      <c r="AT808" s="51" t="n">
        <f aca="false">IF(LEFT(Cockpit!$I$5,1)="A",H808,IF(CH808=1,(CK808+CI808)/2,IF(LEFT(Cockpit!$I$5,1)="B",(CK808+AV808)/2,MAX((CK808+AV808)/2,H808))))</f>
        <v>650</v>
      </c>
      <c r="AU808" s="50" t="n">
        <f aca="false">AT808*G808</f>
        <v>156</v>
      </c>
      <c r="AV808" s="50" t="n">
        <f aca="false">ROUNDUP(CK808+MAX(CL808,2*(J808/IF(CG808&gt;0,CG808,MAX(0.1,N(Cockpit!$I$6)))-CK808)),0)</f>
        <v>1300</v>
      </c>
      <c r="AW808" s="51" t="n">
        <f aca="false">IF(AS808&gt;0,J808/AS808,-1)</f>
        <v>0.331034482758621</v>
      </c>
      <c r="AX808" s="51" t="n">
        <f aca="false">IF(AND(OR(CF808="L1",CF808="L23",CF808="LIFT"),AS808&gt;0),SUMIFS($AS$7:$AS$1843,$CF$7:$CF$1843,CF808,$AW$7:$AW$1843,"&gt;"&amp;AW808)+SUMIFS($AS$7:$AS$1843,$CF$7:$CF$1843,CF808,$AW$7:$AW$1843,AW808,$BW$7:$BW$1843,"&lt;="&amp;BW808),"")</f>
        <v>13806.9198717949</v>
      </c>
      <c r="AY808" s="58" t="n">
        <f aca="false">IF(AX808="",0,MAX(0,MIN(1,(IF(CF808="L1",Parameter!$H$5,IF(CF808="L23",Parameter!$H$6+Parameter!$H$7,Parameter!$H$5+Parameter!$H$6+Parameter!$H$7))-(AX808-AS808))/AS808)))</f>
        <v>1</v>
      </c>
      <c r="AZ808" s="50" t="n">
        <f aca="false">IF(LEFT(Cockpit!$O$5,1)="A",H808,IF(Parameter!$E$30="MAX-Bestand",IF(CH808=1,CI808,IF(LEFT(Cockpit!$O$5,1)="B",BF808,MAX(BF808,H808))),ROUNDUP(BD808,0)))</f>
        <v>650</v>
      </c>
      <c r="BA808" s="50" t="n">
        <f aca="false">IF(BZ808=1,0,ROUNDUP(AZ808/BY808,0))</f>
        <v>1</v>
      </c>
      <c r="BB808" s="52" t="n">
        <f aca="false">IF(CQ808&gt;0,CQ808*MAX(1,AZ808/X808),IF(BZ808=1,IF(AZ808&lt;=0,0,CD808*MAX(1,IF(H808&gt;0,AZ808/H808,1))),IF(R808&gt;0,BA808/R808,0))/MAX(0.1,N(Parameter!$M$21)))</f>
        <v>0.0833333333333333</v>
      </c>
      <c r="BC808" s="50" t="n">
        <f aca="false">BB808*CB808</f>
        <v>12.0833333333333</v>
      </c>
      <c r="BD808" s="51" t="n">
        <f aca="false">IF(LEFT(Cockpit!$O$5,1)="A",H808,IF(CH808=1,(CK808+CI808)/2,IF(LEFT(Cockpit!$O$5,1)="B",(CK808+BF808)/2,MAX((CK808+BF808)/2,H808))))</f>
        <v>650</v>
      </c>
      <c r="BE808" s="50" t="n">
        <f aca="false">BD808*G808</f>
        <v>156</v>
      </c>
      <c r="BF808" s="50" t="n">
        <f aca="false">ROUNDUP(CK808+MAX(CL808,2*(J808/IF(CG808&gt;0,CG808,MAX(0.1,N(Cockpit!$O$6)))-CK808)),0)</f>
        <v>1300</v>
      </c>
      <c r="BG808" s="51" t="n">
        <f aca="false">IF(BC808&gt;0,J808/BC808,-1)</f>
        <v>0.331034482758621</v>
      </c>
      <c r="BH808" s="51" t="n">
        <f aca="false">IF(AND(OR(CF808="L1",CF808="L23",CF808="LIFT"),BC808&gt;0),SUMIFS($BC$7:$BC$1843,$CF$7:$CF$1843,CF808,$BG$7:$BG$1843,"&gt;"&amp;BG808)+SUMIFS($BC$7:$BC$1843,$CF$7:$CF$1843,CF808,$BG$7:$BG$1843,BG808,$BW$7:$BW$1843,"&lt;="&amp;BW808),"")</f>
        <v>11657.8786630037</v>
      </c>
      <c r="BI808" s="58" t="n">
        <f aca="false">IF(BH808="",0,MAX(0,MIN(1,(IF(CF808="L1",Parameter!$H$5,IF(CF808="L23",Parameter!$H$6+Parameter!$H$7,Parameter!$H$5+Parameter!$H$6+Parameter!$H$7))-(BH808-BC808))/BC808)))</f>
        <v>1</v>
      </c>
      <c r="BJ808" s="48" t="str">
        <f aca="false">IF(AI808&lt;=0,"",IF(CF808="Aussen","Aussenlager",IF(CF808="-","Nicht im Lift",IF(AO808&gt;=1,"Lift",IF(AO808&lt;=0,"Aussenlager","teilweise")))))</f>
        <v/>
      </c>
      <c r="BK808" s="48" t="str">
        <f aca="false">IF(AS808&lt;=0,"",IF(CF808="Aussen","Aussenlager",IF(CF808="-","Nicht im Lift",IF(AY808&gt;=1,"Lift",IF(AY808&lt;=0,"Aussenlager","teilweise")))))</f>
        <v>Lift</v>
      </c>
      <c r="BL808" s="48" t="str">
        <f aca="false">IF(BC808&lt;=0,"",IF(CF808="Aussen","Aussenlager",IF(CF808="-","Nicht im Lift",IF(BI808&gt;=1,"Lift",IF(BI808&lt;=0,"Aussenlager","teilweise")))))</f>
        <v>Lift</v>
      </c>
      <c r="BM808" s="48" t="str">
        <f aca="false">IF(A808="","",IF(BV808=1,"Neu; ","")&amp;IF(AND(BV808=0,BQ808&lt;0),"negativer Bestand (Export "&amp;BQ808&amp;"); ","")&amp;IF(J808&lt;=0,"Kein Verbrauch; ","")&amp;IF(CQ808&gt;0,"Lift "&amp;W808&amp;" lt. Liftbericht (Fach "&amp;X808&amp;" Stk); ",IF(CA808=1,"Gebinde geschätzt ("&amp;T808&amp;"); ",IF(BZ808=1,"Lose – Tablare geschätzt; ","")))&amp;IF(H808&gt;AV808,"Überbestand "&amp;ROUND(H808-AV808,0)&amp;" Stk / CHF "&amp;ROUND((H808-AV808)*G808,0)&amp;"; ","")&amp;IF(AND(CH808=1,CI808&lt;CJ808),"MAX &lt; MB+LG; ","")&amp;IF(AND(CP808&gt;0,CO808*10&gt;CP808),"zu hoch für Tablar; ","")&amp;IF(AND(BV808=0,OR(CH808=1,AA808&lt;&gt;"",U808&lt;&gt;"",V808&lt;&gt;"",AB808&lt;&gt;"")),"manuell übersteuert; ","")&amp;IF(AND(BZ808=0,R808=0),"Gebinde unbekannt / Stellmass fehlt; ","")&amp;IF(AND(BZ808=0,N(V808)&lt;=0,N(Q808)&lt;=0),"Menge pro Gebinde fehlt (Ist = 1 Gebinde); ","")&amp;BU808)</f>
        <v>negativer Bestand (Export -24); Gebinde geschätzt (Mittel); Menge pro Gebinde fehlt (Ist = 1 Gebinde); </v>
      </c>
      <c r="BN808" s="48"/>
      <c r="BO808" s="48"/>
      <c r="BP808" s="55"/>
      <c r="BQ808" s="50" t="n">
        <v>-24</v>
      </c>
      <c r="BR808" s="50" t="n">
        <v>24</v>
      </c>
      <c r="BS808" s="49" t="n">
        <v>-5.76</v>
      </c>
      <c r="BT808" s="50" t="n">
        <v>4</v>
      </c>
      <c r="BU808" s="48"/>
      <c r="BV808" s="53" t="n">
        <v>0</v>
      </c>
      <c r="BW808" s="53" t="n">
        <v>808</v>
      </c>
      <c r="BX808" s="48" t="str">
        <f aca="false">IF(U808&lt;&gt;"",UPPER(TRIM(U808)),IF(CA808=1,UPPER(VLOOKUP(T808,Parameter!$I$27:$K$29,2,0)),IF(P808="","LOSE",P808)))</f>
        <v>S61</v>
      </c>
      <c r="BY808" s="50" t="n">
        <f aca="false">IF(BX808="LOSE",1,IF(N(V808)&gt;0,V808,IF(CA808=1,MAX(1,N(VLOOKUP(T808,Parameter!$I$27:$K$29,3,0)),H808,N(N808)),IF(N(Q808)&gt;0,Q808,MAX(1,H808)))))</f>
        <v>1300</v>
      </c>
      <c r="BZ808" s="53" t="n">
        <f aca="false">IF(BX808="LOSE",1,0)</f>
        <v>0</v>
      </c>
      <c r="CA808" s="53" t="n">
        <f aca="false">IF(AND(U808="",OR(P808="",P808="LOSE"),T808&lt;&gt;"",N(S808)&lt;=0,ISNUMBER(MATCH(T808,Parameter!$I$27:$I$29,0))),1,0)</f>
        <v>1</v>
      </c>
      <c r="CB808" s="53" t="n">
        <f aca="false">IF(CQ808&gt;0,INDEX(Parameter!$H$5:$H$7,W808)/INDEX(Parameter!$E$5:$E$7,W808),IF(AND(BZ808=0,N(IFERROR(VLOOKUP(BX808,'Gebinde-Kategorie'!$A$5:$N$45,14,0),0))&gt;0),VLOOKUP(BX808,'Gebinde-Kategorie'!$A$5:$N$45,14,0)*10+Parameter!$M$23,Parameter!$M$24))</f>
        <v>145</v>
      </c>
      <c r="CC808" s="48" t="str">
        <f aca="false">IF(AND(Parameter!$B$19="Ja",E808&lt;&gt;"",ISNUMBER(MATCH(E808,Parameter!$I$35:$I$52,0))),VLOOKUP(E808,Parameter!$I$35:$J$52,2,0),IFERROR(VLOOKUP(D808,Parameter!$A$35:$C$64,2,0),"Nein"))</f>
        <v>2+3</v>
      </c>
      <c r="CD808" s="52" t="n">
        <f aca="false">IF(BZ808=0,0,IF(N(S808)&gt;0,S808,IFERROR(VLOOKUP(D808,Parameter!$A$35:$C$64,3,0)+0,0)))</f>
        <v>0</v>
      </c>
      <c r="CE808" s="48" t="n">
        <f aca="false">IF(AA808&lt;&gt;"",AA808,Z808)</f>
        <v>2</v>
      </c>
      <c r="CF808" s="48" t="str">
        <f aca="false">IF(OR(CE808=1,CE808=2,CE808=3),IF(Parameter!$E$27="Ja","LIFT",IF(CE808=1,"L1","L23")),IF(CE808="Aussen","Aussen","-"))</f>
        <v>LIFT</v>
      </c>
      <c r="CG808" s="59" t="n">
        <f aca="false">IF(N(AB808)&gt;0,AB808,0)</f>
        <v>0</v>
      </c>
      <c r="CH808" s="53" t="n">
        <f aca="false">IF(ISNUMBER(AE808),1,0)</f>
        <v>0</v>
      </c>
      <c r="CI808" s="50" t="n">
        <f aca="false">N(AE808)</f>
        <v>0</v>
      </c>
      <c r="CJ808" s="50" t="n">
        <f aca="false">N(M808)+N(N808)</f>
        <v>1300</v>
      </c>
      <c r="CK808" s="50" t="n">
        <f aca="false">N(M808)</f>
        <v>0</v>
      </c>
      <c r="CL808" s="50" t="n">
        <f aca="false">N(N808)</f>
        <v>1300</v>
      </c>
      <c r="CM808" s="50" t="n">
        <f aca="false">ROUNDUP(H808/BY808,0)</f>
        <v>0</v>
      </c>
      <c r="CN808" s="50" t="n">
        <f aca="false">ROUNDUP(CI808/BY808,0)</f>
        <v>0</v>
      </c>
      <c r="CO808" s="53" t="n">
        <f aca="false">IF(BZ808=1,0,IFERROR(VLOOKUP(BX808,'Gebinde-Kategorie'!$A$5:$N$45,5,0)+0,0))</f>
        <v>11</v>
      </c>
      <c r="CP808" s="53" t="n">
        <f aca="false">IFERROR(IF(OR(CE808=1,CE808=2,CE808=3),N(INDEX(Parameter!$I$5:$I$7,CE808)),0),0)</f>
        <v>0</v>
      </c>
      <c r="CQ808" s="52" t="n">
        <f aca="false">IF(AND(Parameter!$B$21="Ja",ISNUMBER(W808),N(X808)&gt;0),IFERROR(N(INDEX(Parameter!$L$5:$L$7,W808))*INDEX(Parameter!$E$5:$E$7,W808)*X808/SUMIFS($X$7:$X$1843,$W$7:$W$1843,W808),0),0)</f>
        <v>0</v>
      </c>
    </row>
    <row r="809" customFormat="false" ht="15" hidden="false" customHeight="false" outlineLevel="0" collapsed="false">
      <c r="A809" s="48" t="s">
        <v>1577</v>
      </c>
      <c r="B809" s="48" t="s">
        <v>414</v>
      </c>
      <c r="C809" s="48" t="s">
        <v>465</v>
      </c>
      <c r="D809" s="48" t="s">
        <v>193</v>
      </c>
      <c r="E809" s="48"/>
      <c r="F809" s="48" t="s">
        <v>227</v>
      </c>
      <c r="G809" s="49" t="n">
        <v>0.03</v>
      </c>
      <c r="H809" s="50" t="n">
        <f aca="false">MAX(0,IF(AND(Parameter!$B$21="Ja",ISNUMBER(Y809)),Y809,IF(Parameter!$B$20="Jahresanfang 2025 + Export",BR809+BQ809,BQ809)))</f>
        <v>196</v>
      </c>
      <c r="I809" s="50" t="n">
        <f aca="false">H809*G809</f>
        <v>5.88</v>
      </c>
      <c r="J809" s="50" t="n">
        <f aca="false">BT809*Parameter!$B$18</f>
        <v>196</v>
      </c>
      <c r="K809" s="51" t="n">
        <v>196</v>
      </c>
      <c r="L809" s="52" t="n">
        <v>1</v>
      </c>
      <c r="M809" s="50" t="n">
        <v>7</v>
      </c>
      <c r="N809" s="50" t="n">
        <v>195</v>
      </c>
      <c r="O809" s="53" t="n">
        <v>14</v>
      </c>
      <c r="P809" s="48" t="s">
        <v>177</v>
      </c>
      <c r="Q809" s="50"/>
      <c r="R809" s="53" t="n">
        <f aca="false">IF(BZ809=1,0,IFERROR(VLOOKUP(BX809,'Gebinde-Kategorie'!$A$5:$N$45,13,0)+0,0))</f>
        <v>26</v>
      </c>
      <c r="S809" s="54"/>
      <c r="T809" s="55" t="s">
        <v>284</v>
      </c>
      <c r="U809" s="55"/>
      <c r="V809" s="55"/>
      <c r="W809" s="48"/>
      <c r="X809" s="50"/>
      <c r="Y809" s="50"/>
      <c r="Z809" s="48" t="n">
        <f aca="false">IF(A809="","",IF(AND(Parameter!$B$21="Ja",ISNUMBER(W809)),W809,IF(CC809="2+3",IF(ISNUMBER(SEARCH("grosser Artikel",BU809)),2,IFERROR(VLOOKUP(BX809,Parameter!$F$35:$G$64,2,0),2)),IF(OR(CC809="Nein",CC809=""),"-",CC809))))</f>
        <v>3</v>
      </c>
      <c r="AA809" s="55"/>
      <c r="AB809" s="56"/>
      <c r="AC809" s="50" t="n">
        <f aca="false">AV809</f>
        <v>202</v>
      </c>
      <c r="AD809" s="50" t="n">
        <f aca="false">MAX(AV809,H809)</f>
        <v>202</v>
      </c>
      <c r="AE809" s="57"/>
      <c r="AF809" s="50" t="n">
        <f aca="false">IF(LEFT(Cockpit!$C$5,1)="A",H809,IF(Parameter!$E$30="MAX-Bestand",IF(CH809=1,CI809,IF(LEFT(Cockpit!$C$5,1)="B",AL809,MAX(AL809,H809))),ROUNDUP(AJ809,0)))</f>
        <v>196</v>
      </c>
      <c r="AG809" s="50" t="n">
        <f aca="false">IF(BZ809=1,0,ROUNDUP(AF809/BY809,0))</f>
        <v>1</v>
      </c>
      <c r="AH809" s="52" t="n">
        <f aca="false">IF(CQ809&gt;0,CQ809*MAX(1,AF809/X809),IF(BZ809=1,IF(AF809&lt;=0,0,CD809*MAX(1,IF(H809&gt;0,AF809/H809,1))),IF(R809&gt;0,AG809/R809,0))/MAX(0.1,N(Parameter!$M$21)))</f>
        <v>0.0384615384615385</v>
      </c>
      <c r="AI809" s="50" t="n">
        <f aca="false">AH809*CB809</f>
        <v>5.96153846153846</v>
      </c>
      <c r="AJ809" s="51" t="n">
        <f aca="false">IF(LEFT(Cockpit!$C$5,1)="A",H809,IF(CH809=1,(CK809+CI809)/2,IF(LEFT(Cockpit!$C$5,1)="B",(CK809+AL809)/2,MAX((CK809+AL809)/2,H809))))</f>
        <v>196</v>
      </c>
      <c r="AK809" s="50" t="n">
        <f aca="false">AJ809*G809</f>
        <v>5.88</v>
      </c>
      <c r="AL809" s="50" t="n">
        <f aca="false">ROUNDUP(CK809+MAX(CL809,2*(J809/IF(CG809&gt;0,CG809,MAX(0.1,N(Cockpit!$C$6)))-CK809)),0)</f>
        <v>202</v>
      </c>
      <c r="AM809" s="51" t="n">
        <f aca="false">IF(AI809&gt;0,J809/AI809,-1)</f>
        <v>32.8774193548387</v>
      </c>
      <c r="AN809" s="51" t="n">
        <f aca="false">IF(AND(OR(CF809="L1",CF809="L23",CF809="LIFT"),AI809&gt;0),SUMIFS($AI$7:$AI$1843,$CF$7:$CF$1843,CF809,$AM$7:$AM$1843,"&gt;"&amp;AM809)+SUMIFS($AI$7:$AI$1843,$CF$7:$CF$1843,CF809,$AM$7:$AM$1843,AM809,$BW$7:$BW$1843,"&lt;="&amp;BW809),"")</f>
        <v>1340.48763736264</v>
      </c>
      <c r="AO809" s="58" t="n">
        <f aca="false">IF(AN809="",0,MAX(0,MIN(1,(IF(CF809="L1",Parameter!$H$5,IF(CF809="L23",Parameter!$H$6+Parameter!$H$7,Parameter!$H$5+Parameter!$H$6+Parameter!$H$7))-(AN809-AI809))/AI809)))</f>
        <v>1</v>
      </c>
      <c r="AP809" s="50" t="n">
        <f aca="false">IF(LEFT(Cockpit!$I$5,1)="A",H809,IF(Parameter!$E$30="MAX-Bestand",IF(CH809=1,CI809,IF(LEFT(Cockpit!$I$5,1)="B",AV809,MAX(AV809,H809))),ROUNDUP(AT809,0)))</f>
        <v>196</v>
      </c>
      <c r="AQ809" s="50" t="n">
        <f aca="false">IF(BZ809=1,0,ROUNDUP(AP809/BY809,0))</f>
        <v>1</v>
      </c>
      <c r="AR809" s="52" t="n">
        <f aca="false">IF(CQ809&gt;0,CQ809*MAX(1,AP809/X809),IF(BZ809=1,IF(AP809&lt;=0,0,CD809*MAX(1,IF(H809&gt;0,AP809/H809,1))),IF(R809&gt;0,AQ809/R809,0))/MAX(0.1,N(Parameter!$M$21)))</f>
        <v>0.0384615384615385</v>
      </c>
      <c r="AS809" s="50" t="n">
        <f aca="false">AR809*CB809</f>
        <v>5.96153846153846</v>
      </c>
      <c r="AT809" s="51" t="n">
        <f aca="false">IF(LEFT(Cockpit!$I$5,1)="A",H809,IF(CH809=1,(CK809+CI809)/2,IF(LEFT(Cockpit!$I$5,1)="B",(CK809+AV809)/2,MAX((CK809+AV809)/2,H809))))</f>
        <v>196</v>
      </c>
      <c r="AU809" s="50" t="n">
        <f aca="false">AT809*G809</f>
        <v>5.88</v>
      </c>
      <c r="AV809" s="50" t="n">
        <f aca="false">ROUNDUP(CK809+MAX(CL809,2*(J809/IF(CG809&gt;0,CG809,MAX(0.1,N(Cockpit!$I$6)))-CK809)),0)</f>
        <v>202</v>
      </c>
      <c r="AW809" s="51" t="n">
        <f aca="false">IF(AS809&gt;0,J809/AS809,-1)</f>
        <v>32.8774193548387</v>
      </c>
      <c r="AX809" s="51" t="n">
        <f aca="false">IF(AND(OR(CF809="L1",CF809="L23",CF809="LIFT"),AS809&gt;0),SUMIFS($AS$7:$AS$1843,$CF$7:$CF$1843,CF809,$AW$7:$AW$1843,"&gt;"&amp;AW809)+SUMIFS($AS$7:$AS$1843,$CF$7:$CF$1843,CF809,$AW$7:$AW$1843,AW809,$BW$7:$BW$1843,"&lt;="&amp;BW809),"")</f>
        <v>1733.75366300366</v>
      </c>
      <c r="AY809" s="58" t="n">
        <f aca="false">IF(AX809="",0,MAX(0,MIN(1,(IF(CF809="L1",Parameter!$H$5,IF(CF809="L23",Parameter!$H$6+Parameter!$H$7,Parameter!$H$5+Parameter!$H$6+Parameter!$H$7))-(AX809-AS809))/AS809)))</f>
        <v>1</v>
      </c>
      <c r="AZ809" s="50" t="n">
        <f aca="false">IF(LEFT(Cockpit!$O$5,1)="A",H809,IF(Parameter!$E$30="MAX-Bestand",IF(CH809=1,CI809,IF(LEFT(Cockpit!$O$5,1)="B",BF809,MAX(BF809,H809))),ROUNDUP(BD809,0)))</f>
        <v>105</v>
      </c>
      <c r="BA809" s="50" t="n">
        <f aca="false">IF(BZ809=1,0,ROUNDUP(AZ809/BY809,0))</f>
        <v>1</v>
      </c>
      <c r="BB809" s="52" t="n">
        <f aca="false">IF(CQ809&gt;0,CQ809*MAX(1,AZ809/X809),IF(BZ809=1,IF(AZ809&lt;=0,0,CD809*MAX(1,IF(H809&gt;0,AZ809/H809,1))),IF(R809&gt;0,BA809/R809,0))/MAX(0.1,N(Parameter!$M$21)))</f>
        <v>0.0384615384615385</v>
      </c>
      <c r="BC809" s="50" t="n">
        <f aca="false">BB809*CB809</f>
        <v>5.96153846153846</v>
      </c>
      <c r="BD809" s="51" t="n">
        <f aca="false">IF(LEFT(Cockpit!$O$5,1)="A",H809,IF(CH809=1,(CK809+CI809)/2,IF(LEFT(Cockpit!$O$5,1)="B",(CK809+BF809)/2,MAX((CK809+BF809)/2,H809))))</f>
        <v>104.5</v>
      </c>
      <c r="BE809" s="50" t="n">
        <f aca="false">BD809*G809</f>
        <v>3.135</v>
      </c>
      <c r="BF809" s="50" t="n">
        <f aca="false">ROUNDUP(CK809+MAX(CL809,2*(J809/IF(CG809&gt;0,CG809,MAX(0.1,N(Cockpit!$O$6)))-CK809)),0)</f>
        <v>202</v>
      </c>
      <c r="BG809" s="51" t="n">
        <f aca="false">IF(BC809&gt;0,J809/BC809,-1)</f>
        <v>32.8774193548387</v>
      </c>
      <c r="BH809" s="51" t="n">
        <f aca="false">IF(AND(OR(CF809="L1",CF809="L23",CF809="LIFT"),BC809&gt;0),SUMIFS($BC$7:$BC$1843,$CF$7:$CF$1843,CF809,$BG$7:$BG$1843,"&gt;"&amp;BG809)+SUMIFS($BC$7:$BC$1843,$CF$7:$CF$1843,CF809,$BG$7:$BG$1843,BG809,$BW$7:$BW$1843,"&lt;="&amp;BW809),"")</f>
        <v>1673.42948717949</v>
      </c>
      <c r="BI809" s="58" t="n">
        <f aca="false">IF(BH809="",0,MAX(0,MIN(1,(IF(CF809="L1",Parameter!$H$5,IF(CF809="L23",Parameter!$H$6+Parameter!$H$7,Parameter!$H$5+Parameter!$H$6+Parameter!$H$7))-(BH809-BC809))/BC809)))</f>
        <v>1</v>
      </c>
      <c r="BJ809" s="48" t="str">
        <f aca="false">IF(AI809&lt;=0,"",IF(CF809="Aussen","Aussenlager",IF(CF809="-","Nicht im Lift",IF(AO809&gt;=1,"Lift",IF(AO809&lt;=0,"Aussenlager","teilweise")))))</f>
        <v>Lift</v>
      </c>
      <c r="BK809" s="48" t="str">
        <f aca="false">IF(AS809&lt;=0,"",IF(CF809="Aussen","Aussenlager",IF(CF809="-","Nicht im Lift",IF(AY809&gt;=1,"Lift",IF(AY809&lt;=0,"Aussenlager","teilweise")))))</f>
        <v>Lift</v>
      </c>
      <c r="BL809" s="48" t="str">
        <f aca="false">IF(BC809&lt;=0,"",IF(CF809="Aussen","Aussenlager",IF(CF809="-","Nicht im Lift",IF(BI809&gt;=1,"Lift",IF(BI809&lt;=0,"Aussenlager","teilweise")))))</f>
        <v>Lift</v>
      </c>
      <c r="BM809" s="48" t="str">
        <f aca="false">IF(A809="","",IF(BV809=1,"Neu; ","")&amp;IF(AND(BV809=0,BQ809&lt;0),"negativer Bestand (Export "&amp;BQ809&amp;"); ","")&amp;IF(J809&lt;=0,"Kein Verbrauch; ","")&amp;IF(CQ809&gt;0,"Lift "&amp;W809&amp;" lt. Liftbericht (Fach "&amp;X809&amp;" Stk); ",IF(CA809=1,"Gebinde geschätzt ("&amp;T809&amp;"); ",IF(BZ809=1,"Lose – Tablare geschätzt; ","")))&amp;IF(H809&gt;AV809,"Überbestand "&amp;ROUND(H809-AV809,0)&amp;" Stk / CHF "&amp;ROUND((H809-AV809)*G809,0)&amp;"; ","")&amp;IF(AND(CH809=1,CI809&lt;CJ809),"MAX &lt; MB+LG; ","")&amp;IF(AND(CP809&gt;0,CO809*10&gt;CP809),"zu hoch für Tablar; ","")&amp;IF(AND(BV809=0,OR(CH809=1,AA809&lt;&gt;"",U809&lt;&gt;"",V809&lt;&gt;"",AB809&lt;&gt;"")),"manuell übersteuert; ","")&amp;IF(AND(BZ809=0,R809=0),"Gebinde unbekannt / Stellmass fehlt; ","")&amp;IF(AND(BZ809=0,N(V809)&lt;=0,N(Q809)&lt;=0),"Menge pro Gebinde fehlt (Ist = 1 Gebinde); ","")&amp;BU809)</f>
        <v>negativer Bestand (Export -196); Gebinde geschätzt (Klein); Menge pro Gebinde fehlt (Ist = 1 Gebinde); </v>
      </c>
      <c r="BN809" s="48"/>
      <c r="BO809" s="48"/>
      <c r="BP809" s="55"/>
      <c r="BQ809" s="50" t="n">
        <v>-196</v>
      </c>
      <c r="BR809" s="50" t="n">
        <v>392</v>
      </c>
      <c r="BS809" s="49" t="n">
        <v>-5.88</v>
      </c>
      <c r="BT809" s="50" t="n">
        <v>196</v>
      </c>
      <c r="BU809" s="48"/>
      <c r="BV809" s="53" t="n">
        <v>0</v>
      </c>
      <c r="BW809" s="53" t="n">
        <v>809</v>
      </c>
      <c r="BX809" s="48" t="str">
        <f aca="false">IF(U809&lt;&gt;"",UPPER(TRIM(U809)),IF(CA809=1,UPPER(VLOOKUP(T809,Parameter!$I$27:$K$29,2,0)),IF(P809="","LOSE",P809)))</f>
        <v>S51</v>
      </c>
      <c r="BY809" s="50" t="n">
        <f aca="false">IF(BX809="LOSE",1,IF(N(V809)&gt;0,V809,IF(CA809=1,MAX(1,N(VLOOKUP(T809,Parameter!$I$27:$K$29,3,0)),H809,N(N809)),IF(N(Q809)&gt;0,Q809,MAX(1,H809)))))</f>
        <v>196</v>
      </c>
      <c r="BZ809" s="53" t="n">
        <f aca="false">IF(BX809="LOSE",1,0)</f>
        <v>0</v>
      </c>
      <c r="CA809" s="53" t="n">
        <f aca="false">IF(AND(U809="",OR(P809="",P809="LOSE"),T809&lt;&gt;"",N(S809)&lt;=0,ISNUMBER(MATCH(T809,Parameter!$I$27:$I$29,0))),1,0)</f>
        <v>1</v>
      </c>
      <c r="CB809" s="53" t="n">
        <f aca="false">IF(CQ809&gt;0,INDEX(Parameter!$H$5:$H$7,W809)/INDEX(Parameter!$E$5:$E$7,W809),IF(AND(BZ809=0,N(IFERROR(VLOOKUP(BX809,'Gebinde-Kategorie'!$A$5:$N$45,14,0),0))&gt;0),VLOOKUP(BX809,'Gebinde-Kategorie'!$A$5:$N$45,14,0)*10+Parameter!$M$23,Parameter!$M$24))</f>
        <v>155</v>
      </c>
      <c r="CC809" s="48" t="str">
        <f aca="false">IF(AND(Parameter!$B$19="Ja",E809&lt;&gt;"",ISNUMBER(MATCH(E809,Parameter!$I$35:$I$52,0))),VLOOKUP(E809,Parameter!$I$35:$J$52,2,0),IFERROR(VLOOKUP(D809,Parameter!$A$35:$C$64,2,0),"Nein"))</f>
        <v>2+3</v>
      </c>
      <c r="CD809" s="52" t="n">
        <f aca="false">IF(BZ809=0,0,IF(N(S809)&gt;0,S809,IFERROR(VLOOKUP(D809,Parameter!$A$35:$C$64,3,0)+0,0)))</f>
        <v>0</v>
      </c>
      <c r="CE809" s="48" t="n">
        <f aca="false">IF(AA809&lt;&gt;"",AA809,Z809)</f>
        <v>3</v>
      </c>
      <c r="CF809" s="48" t="str">
        <f aca="false">IF(OR(CE809=1,CE809=2,CE809=3),IF(Parameter!$E$27="Ja","LIFT",IF(CE809=1,"L1","L23")),IF(CE809="Aussen","Aussen","-"))</f>
        <v>LIFT</v>
      </c>
      <c r="CG809" s="59" t="n">
        <f aca="false">IF(N(AB809)&gt;0,AB809,0)</f>
        <v>0</v>
      </c>
      <c r="CH809" s="53" t="n">
        <f aca="false">IF(ISNUMBER(AE809),1,0)</f>
        <v>0</v>
      </c>
      <c r="CI809" s="50" t="n">
        <f aca="false">N(AE809)</f>
        <v>0</v>
      </c>
      <c r="CJ809" s="50" t="n">
        <f aca="false">N(M809)+N(N809)</f>
        <v>202</v>
      </c>
      <c r="CK809" s="50" t="n">
        <f aca="false">N(M809)</f>
        <v>7</v>
      </c>
      <c r="CL809" s="50" t="n">
        <f aca="false">N(N809)</f>
        <v>195</v>
      </c>
      <c r="CM809" s="50" t="n">
        <f aca="false">ROUNDUP(H809/BY809,0)</f>
        <v>1</v>
      </c>
      <c r="CN809" s="50" t="n">
        <f aca="false">ROUNDUP(CI809/BY809,0)</f>
        <v>0</v>
      </c>
      <c r="CO809" s="53" t="n">
        <f aca="false">IF(BZ809=1,0,IFERROR(VLOOKUP(BX809,'Gebinde-Kategorie'!$A$5:$N$45,5,0)+0,0))</f>
        <v>11</v>
      </c>
      <c r="CP809" s="53" t="n">
        <f aca="false">IFERROR(IF(OR(CE809=1,CE809=2,CE809=3),N(INDEX(Parameter!$I$5:$I$7,CE809)),0),0)</f>
        <v>0</v>
      </c>
      <c r="CQ809" s="52" t="n">
        <f aca="false">IF(AND(Parameter!$B$21="Ja",ISNUMBER(W809),N(X809)&gt;0),IFERROR(N(INDEX(Parameter!$L$5:$L$7,W809))*INDEX(Parameter!$E$5:$E$7,W809)*X809/SUMIFS($X$7:$X$1843,$W$7:$W$1843,W809),0),0)</f>
        <v>0</v>
      </c>
    </row>
    <row r="810" customFormat="false" ht="15" hidden="false" customHeight="false" outlineLevel="0" collapsed="false">
      <c r="A810" s="48" t="s">
        <v>1578</v>
      </c>
      <c r="B810" s="48" t="s">
        <v>1247</v>
      </c>
      <c r="C810" s="48" t="s">
        <v>173</v>
      </c>
      <c r="D810" s="48" t="s">
        <v>193</v>
      </c>
      <c r="E810" s="48" t="s">
        <v>194</v>
      </c>
      <c r="F810" s="48" t="s">
        <v>227</v>
      </c>
      <c r="G810" s="49" t="n">
        <v>0.06</v>
      </c>
      <c r="H810" s="50" t="n">
        <f aca="false">MAX(0,IF(AND(Parameter!$B$21="Ja",ISNUMBER(Y810)),Y810,IF(Parameter!$B$20="Jahresanfang 2025 + Export",BR810+BQ810,BQ810)))</f>
        <v>2697</v>
      </c>
      <c r="I810" s="50" t="n">
        <f aca="false">H810*G810</f>
        <v>161.82</v>
      </c>
      <c r="J810" s="50" t="n">
        <f aca="false">BT810*Parameter!$B$18</f>
        <v>3700</v>
      </c>
      <c r="K810" s="51" t="n">
        <v>600</v>
      </c>
      <c r="L810" s="52" t="n">
        <v>6.16666666666667</v>
      </c>
      <c r="M810" s="50" t="n">
        <v>1</v>
      </c>
      <c r="N810" s="50" t="n">
        <v>3700</v>
      </c>
      <c r="O810" s="53" t="n">
        <v>14</v>
      </c>
      <c r="P810" s="48" t="s">
        <v>311</v>
      </c>
      <c r="Q810" s="50" t="n">
        <v>855</v>
      </c>
      <c r="R810" s="53" t="n">
        <f aca="false">IF(BZ810=1,0,IFERROR(VLOOKUP(BX810,'Gebinde-Kategorie'!$A$5:$N$45,13,0)+0,0))</f>
        <v>26</v>
      </c>
      <c r="S810" s="54"/>
      <c r="T810" s="55"/>
      <c r="U810" s="55"/>
      <c r="V810" s="55"/>
      <c r="W810" s="48"/>
      <c r="X810" s="50"/>
      <c r="Y810" s="50"/>
      <c r="Z810" s="48" t="n">
        <f aca="false">IF(A810="","",IF(AND(Parameter!$B$21="Ja",ISNUMBER(W810)),W810,IF(CC810="2+3",IF(ISNUMBER(SEARCH("grosser Artikel",BU810)),2,IFERROR(VLOOKUP(BX810,Parameter!$F$35:$G$64,2,0),2)),IF(OR(CC810="Nein",CC810=""),"-",CC810))))</f>
        <v>3</v>
      </c>
      <c r="AA810" s="55"/>
      <c r="AB810" s="56"/>
      <c r="AC810" s="50" t="n">
        <f aca="false">AV810</f>
        <v>3701</v>
      </c>
      <c r="AD810" s="50" t="n">
        <f aca="false">MAX(AV810,H810)</f>
        <v>3701</v>
      </c>
      <c r="AE810" s="57"/>
      <c r="AF810" s="50" t="n">
        <f aca="false">IF(LEFT(Cockpit!$C$5,1)="A",H810,IF(Parameter!$E$30="MAX-Bestand",IF(CH810=1,CI810,IF(LEFT(Cockpit!$C$5,1)="B",AL810,MAX(AL810,H810))),ROUNDUP(AJ810,0)))</f>
        <v>2697</v>
      </c>
      <c r="AG810" s="50" t="n">
        <f aca="false">IF(BZ810=1,0,ROUNDUP(AF810/BY810,0))</f>
        <v>4</v>
      </c>
      <c r="AH810" s="52" t="n">
        <f aca="false">IF(CQ810&gt;0,CQ810*MAX(1,AF810/X810),IF(BZ810=1,IF(AF810&lt;=0,0,CD810*MAX(1,IF(H810&gt;0,AF810/H810,1))),IF(R810&gt;0,AG810/R810,0))/MAX(0.1,N(Parameter!$M$21)))</f>
        <v>0.153846153846154</v>
      </c>
      <c r="AI810" s="50" t="n">
        <f aca="false">AH810*CB810</f>
        <v>23.8461538461538</v>
      </c>
      <c r="AJ810" s="51" t="n">
        <f aca="false">IF(LEFT(Cockpit!$C$5,1)="A",H810,IF(CH810=1,(CK810+CI810)/2,IF(LEFT(Cockpit!$C$5,1)="B",(CK810+AL810)/2,MAX((CK810+AL810)/2,H810))))</f>
        <v>2697</v>
      </c>
      <c r="AK810" s="50" t="n">
        <f aca="false">AJ810*G810</f>
        <v>161.82</v>
      </c>
      <c r="AL810" s="50" t="n">
        <f aca="false">ROUNDUP(CK810+MAX(CL810,2*(J810/IF(CG810&gt;0,CG810,MAX(0.1,N(Cockpit!$C$6)))-CK810)),0)</f>
        <v>3701</v>
      </c>
      <c r="AM810" s="51" t="n">
        <f aca="false">IF(AI810&gt;0,J810/AI810,-1)</f>
        <v>155.161290322581</v>
      </c>
      <c r="AN810" s="51" t="n">
        <f aca="false">IF(AND(OR(CF810="L1",CF810="L23",CF810="LIFT"),AI810&gt;0),SUMIFS($AI$7:$AI$1843,$CF$7:$CF$1843,CF810,$AM$7:$AM$1843,"&gt;"&amp;AM810)+SUMIFS($AI$7:$AI$1843,$CF$7:$CF$1843,CF810,$AM$7:$AM$1843,AM810,$BW$7:$BW$1843,"&lt;="&amp;BW810),"")</f>
        <v>457.184523809524</v>
      </c>
      <c r="AO810" s="58" t="n">
        <f aca="false">IF(AN810="",0,MAX(0,MIN(1,(IF(CF810="L1",Parameter!$H$5,IF(CF810="L23",Parameter!$H$6+Parameter!$H$7,Parameter!$H$5+Parameter!$H$6+Parameter!$H$7))-(AN810-AI810))/AI810)))</f>
        <v>1</v>
      </c>
      <c r="AP810" s="50" t="n">
        <f aca="false">IF(LEFT(Cockpit!$I$5,1)="A",H810,IF(Parameter!$E$30="MAX-Bestand",IF(CH810=1,CI810,IF(LEFT(Cockpit!$I$5,1)="B",AV810,MAX(AV810,H810))),ROUNDUP(AT810,0)))</f>
        <v>2697</v>
      </c>
      <c r="AQ810" s="50" t="n">
        <f aca="false">IF(BZ810=1,0,ROUNDUP(AP810/BY810,0))</f>
        <v>4</v>
      </c>
      <c r="AR810" s="52" t="n">
        <f aca="false">IF(CQ810&gt;0,CQ810*MAX(1,AP810/X810),IF(BZ810=1,IF(AP810&lt;=0,0,CD810*MAX(1,IF(H810&gt;0,AP810/H810,1))),IF(R810&gt;0,AQ810/R810,0))/MAX(0.1,N(Parameter!$M$21)))</f>
        <v>0.153846153846154</v>
      </c>
      <c r="AS810" s="50" t="n">
        <f aca="false">AR810*CB810</f>
        <v>23.8461538461538</v>
      </c>
      <c r="AT810" s="51" t="n">
        <f aca="false">IF(LEFT(Cockpit!$I$5,1)="A",H810,IF(CH810=1,(CK810+CI810)/2,IF(LEFT(Cockpit!$I$5,1)="B",(CK810+AV810)/2,MAX((CK810+AV810)/2,H810))))</f>
        <v>2697</v>
      </c>
      <c r="AU810" s="50" t="n">
        <f aca="false">AT810*G810</f>
        <v>161.82</v>
      </c>
      <c r="AV810" s="50" t="n">
        <f aca="false">ROUNDUP(CK810+MAX(CL810,2*(J810/IF(CG810&gt;0,CG810,MAX(0.1,N(Cockpit!$I$6)))-CK810)),0)</f>
        <v>3701</v>
      </c>
      <c r="AW810" s="51" t="n">
        <f aca="false">IF(AS810&gt;0,J810/AS810,-1)</f>
        <v>155.161290322581</v>
      </c>
      <c r="AX810" s="51" t="n">
        <f aca="false">IF(AND(OR(CF810="L1",CF810="L23",CF810="LIFT"),AS810&gt;0),SUMIFS($AS$7:$AS$1843,$CF$7:$CF$1843,CF810,$AW$7:$AW$1843,"&gt;"&amp;AW810)+SUMIFS($AS$7:$AS$1843,$CF$7:$CF$1843,CF810,$AW$7:$AW$1843,AW810,$BW$7:$BW$1843,"&lt;="&amp;BW810),"")</f>
        <v>574.821428571429</v>
      </c>
      <c r="AY810" s="58" t="n">
        <f aca="false">IF(AX810="",0,MAX(0,MIN(1,(IF(CF810="L1",Parameter!$H$5,IF(CF810="L23",Parameter!$H$6+Parameter!$H$7,Parameter!$H$5+Parameter!$H$6+Parameter!$H$7))-(AX810-AS810))/AS810)))</f>
        <v>1</v>
      </c>
      <c r="AZ810" s="50" t="n">
        <f aca="false">IF(LEFT(Cockpit!$O$5,1)="A",H810,IF(Parameter!$E$30="MAX-Bestand",IF(CH810=1,CI810,IF(LEFT(Cockpit!$O$5,1)="B",BF810,MAX(BF810,H810))),ROUNDUP(BD810,0)))</f>
        <v>1851</v>
      </c>
      <c r="BA810" s="50" t="n">
        <f aca="false">IF(BZ810=1,0,ROUNDUP(AZ810/BY810,0))</f>
        <v>3</v>
      </c>
      <c r="BB810" s="52" t="n">
        <f aca="false">IF(CQ810&gt;0,CQ810*MAX(1,AZ810/X810),IF(BZ810=1,IF(AZ810&lt;=0,0,CD810*MAX(1,IF(H810&gt;0,AZ810/H810,1))),IF(R810&gt;0,BA810/R810,0))/MAX(0.1,N(Parameter!$M$21)))</f>
        <v>0.115384615384615</v>
      </c>
      <c r="BC810" s="50" t="n">
        <f aca="false">BB810*CB810</f>
        <v>17.8846153846154</v>
      </c>
      <c r="BD810" s="51" t="n">
        <f aca="false">IF(LEFT(Cockpit!$O$5,1)="A",H810,IF(CH810=1,(CK810+CI810)/2,IF(LEFT(Cockpit!$O$5,1)="B",(CK810+BF810)/2,MAX((CK810+BF810)/2,H810))))</f>
        <v>1851</v>
      </c>
      <c r="BE810" s="50" t="n">
        <f aca="false">BD810*G810</f>
        <v>111.06</v>
      </c>
      <c r="BF810" s="50" t="n">
        <f aca="false">ROUNDUP(CK810+MAX(CL810,2*(J810/IF(CG810&gt;0,CG810,MAX(0.1,N(Cockpit!$O$6)))-CK810)),0)</f>
        <v>3701</v>
      </c>
      <c r="BG810" s="51" t="n">
        <f aca="false">IF(BC810&gt;0,J810/BC810,-1)</f>
        <v>206.881720430108</v>
      </c>
      <c r="BH810" s="51" t="n">
        <f aca="false">IF(AND(OR(CF810="L1",CF810="L23",CF810="LIFT"),BC810&gt;0),SUMIFS($BC$7:$BC$1843,$CF$7:$CF$1843,CF810,$BG$7:$BG$1843,"&gt;"&amp;BG810)+SUMIFS($BC$7:$BC$1843,$CF$7:$CF$1843,CF810,$BG$7:$BG$1843,BG810,$BW$7:$BW$1843,"&lt;="&amp;BW810),"")</f>
        <v>441.369505494505</v>
      </c>
      <c r="BI810" s="58" t="n">
        <f aca="false">IF(BH810="",0,MAX(0,MIN(1,(IF(CF810="L1",Parameter!$H$5,IF(CF810="L23",Parameter!$H$6+Parameter!$H$7,Parameter!$H$5+Parameter!$H$6+Parameter!$H$7))-(BH810-BC810))/BC810)))</f>
        <v>1</v>
      </c>
      <c r="BJ810" s="48" t="str">
        <f aca="false">IF(AI810&lt;=0,"",IF(CF810="Aussen","Aussenlager",IF(CF810="-","Nicht im Lift",IF(AO810&gt;=1,"Lift",IF(AO810&lt;=0,"Aussenlager","teilweise")))))</f>
        <v>Lift</v>
      </c>
      <c r="BK810" s="48" t="str">
        <f aca="false">IF(AS810&lt;=0,"",IF(CF810="Aussen","Aussenlager",IF(CF810="-","Nicht im Lift",IF(AY810&gt;=1,"Lift",IF(AY810&lt;=0,"Aussenlager","teilweise")))))</f>
        <v>Lift</v>
      </c>
      <c r="BL810" s="48" t="str">
        <f aca="false">IF(BC810&lt;=0,"",IF(CF810="Aussen","Aussenlager",IF(CF810="-","Nicht im Lift",IF(BI810&gt;=1,"Lift",IF(BI810&lt;=0,"Aussenlager","teilweise")))))</f>
        <v>Lift</v>
      </c>
      <c r="BM810" s="48" t="str">
        <f aca="false">IF(A810="","",IF(BV810=1,"Neu; ","")&amp;IF(AND(BV810=0,BQ810&lt;0),"negativer Bestand (Export "&amp;BQ810&amp;"); ","")&amp;IF(J810&lt;=0,"Kein Verbrauch; ","")&amp;IF(CQ810&gt;0,"Lift "&amp;W810&amp;" lt. Liftbericht (Fach "&amp;X810&amp;" Stk); ",IF(CA810=1,"Gebinde geschätzt ("&amp;T810&amp;"); ",IF(BZ810=1,"Lose – Tablare geschätzt; ","")))&amp;IF(H810&gt;AV810,"Überbestand "&amp;ROUND(H810-AV810,0)&amp;" Stk / CHF "&amp;ROUND((H810-AV810)*G810,0)&amp;"; ","")&amp;IF(AND(CH810=1,CI810&lt;CJ810),"MAX &lt; MB+LG; ","")&amp;IF(AND(CP810&gt;0,CO810*10&gt;CP810),"zu hoch für Tablar; ","")&amp;IF(AND(BV810=0,OR(CH810=1,AA810&lt;&gt;"",U810&lt;&gt;"",V810&lt;&gt;"",AB810&lt;&gt;"")),"manuell übersteuert; ","")&amp;IF(AND(BZ810=0,R810=0),"Gebinde unbekannt / Stellmass fehlt; ","")&amp;IF(AND(BZ810=0,N(V810)&lt;=0,N(Q810)&lt;=0),"Menge pro Gebinde fehlt (Ist = 1 Gebinde); ","")&amp;BU810)</f>
        <v/>
      </c>
      <c r="BN810" s="48"/>
      <c r="BO810" s="48"/>
      <c r="BP810" s="55"/>
      <c r="BQ810" s="50" t="n">
        <v>2097</v>
      </c>
      <c r="BR810" s="50" t="n">
        <v>600</v>
      </c>
      <c r="BS810" s="49" t="n">
        <v>-6.18000000000004</v>
      </c>
      <c r="BT810" s="50" t="n">
        <v>3700</v>
      </c>
      <c r="BU810" s="48"/>
      <c r="BV810" s="53" t="n">
        <v>0</v>
      </c>
      <c r="BW810" s="53" t="n">
        <v>810</v>
      </c>
      <c r="BX810" s="48" t="str">
        <f aca="false">IF(U810&lt;&gt;"",UPPER(TRIM(U810)),IF(CA810=1,UPPER(VLOOKUP(T810,Parameter!$I$27:$K$29,2,0)),IF(P810="","LOSE",P810)))</f>
        <v>S51</v>
      </c>
      <c r="BY810" s="50" t="n">
        <f aca="false">IF(BX810="LOSE",1,IF(N(V810)&gt;0,V810,IF(CA810=1,MAX(1,N(VLOOKUP(T810,Parameter!$I$27:$K$29,3,0)),H810,N(N810)),IF(N(Q810)&gt;0,Q810,MAX(1,H810)))))</f>
        <v>855</v>
      </c>
      <c r="BZ810" s="53" t="n">
        <f aca="false">IF(BX810="LOSE",1,0)</f>
        <v>0</v>
      </c>
      <c r="CA810" s="53" t="n">
        <f aca="false">IF(AND(U810="",OR(P810="",P810="LOSE"),T810&lt;&gt;"",N(S810)&lt;=0,ISNUMBER(MATCH(T810,Parameter!$I$27:$I$29,0))),1,0)</f>
        <v>0</v>
      </c>
      <c r="CB810" s="53" t="n">
        <f aca="false">IF(CQ810&gt;0,INDEX(Parameter!$H$5:$H$7,W810)/INDEX(Parameter!$E$5:$E$7,W810),IF(AND(BZ810=0,N(IFERROR(VLOOKUP(BX810,'Gebinde-Kategorie'!$A$5:$N$45,14,0),0))&gt;0),VLOOKUP(BX810,'Gebinde-Kategorie'!$A$5:$N$45,14,0)*10+Parameter!$M$23,Parameter!$M$24))</f>
        <v>155</v>
      </c>
      <c r="CC810" s="48" t="str">
        <f aca="false">IF(AND(Parameter!$B$19="Ja",E810&lt;&gt;"",ISNUMBER(MATCH(E810,Parameter!$I$35:$I$52,0))),VLOOKUP(E810,Parameter!$I$35:$J$52,2,0),IFERROR(VLOOKUP(D810,Parameter!$A$35:$C$64,2,0),"Nein"))</f>
        <v>2+3</v>
      </c>
      <c r="CD810" s="52" t="n">
        <f aca="false">IF(BZ810=0,0,IF(N(S810)&gt;0,S810,IFERROR(VLOOKUP(D810,Parameter!$A$35:$C$64,3,0)+0,0)))</f>
        <v>0</v>
      </c>
      <c r="CE810" s="48" t="n">
        <f aca="false">IF(AA810&lt;&gt;"",AA810,Z810)</f>
        <v>3</v>
      </c>
      <c r="CF810" s="48" t="str">
        <f aca="false">IF(OR(CE810=1,CE810=2,CE810=3),IF(Parameter!$E$27="Ja","LIFT",IF(CE810=1,"L1","L23")),IF(CE810="Aussen","Aussen","-"))</f>
        <v>LIFT</v>
      </c>
      <c r="CG810" s="59" t="n">
        <f aca="false">IF(N(AB810)&gt;0,AB810,0)</f>
        <v>0</v>
      </c>
      <c r="CH810" s="53" t="n">
        <f aca="false">IF(ISNUMBER(AE810),1,0)</f>
        <v>0</v>
      </c>
      <c r="CI810" s="50" t="n">
        <f aca="false">N(AE810)</f>
        <v>0</v>
      </c>
      <c r="CJ810" s="50" t="n">
        <f aca="false">N(M810)+N(N810)</f>
        <v>3701</v>
      </c>
      <c r="CK810" s="50" t="n">
        <f aca="false">N(M810)</f>
        <v>1</v>
      </c>
      <c r="CL810" s="50" t="n">
        <f aca="false">N(N810)</f>
        <v>3700</v>
      </c>
      <c r="CM810" s="50" t="n">
        <f aca="false">ROUNDUP(H810/BY810,0)</f>
        <v>4</v>
      </c>
      <c r="CN810" s="50" t="n">
        <f aca="false">ROUNDUP(CI810/BY810,0)</f>
        <v>0</v>
      </c>
      <c r="CO810" s="53" t="n">
        <f aca="false">IF(BZ810=1,0,IFERROR(VLOOKUP(BX810,'Gebinde-Kategorie'!$A$5:$N$45,5,0)+0,0))</f>
        <v>11</v>
      </c>
      <c r="CP810" s="53" t="n">
        <f aca="false">IFERROR(IF(OR(CE810=1,CE810=2,CE810=3),N(INDEX(Parameter!$I$5:$I$7,CE810)),0),0)</f>
        <v>0</v>
      </c>
      <c r="CQ810" s="52" t="n">
        <f aca="false">IF(AND(Parameter!$B$21="Ja",ISNUMBER(W810),N(X810)&gt;0),IFERROR(N(INDEX(Parameter!$L$5:$L$7,W810))*INDEX(Parameter!$E$5:$E$7,W810)*X810/SUMIFS($X$7:$X$1843,$W$7:$W$1843,W810),0),0)</f>
        <v>0</v>
      </c>
    </row>
    <row r="811" customFormat="false" ht="15" hidden="false" customHeight="false" outlineLevel="0" collapsed="false">
      <c r="A811" s="48" t="s">
        <v>1579</v>
      </c>
      <c r="B811" s="48" t="s">
        <v>1580</v>
      </c>
      <c r="C811" s="48" t="s">
        <v>173</v>
      </c>
      <c r="D811" s="48" t="s">
        <v>193</v>
      </c>
      <c r="E811" s="48" t="s">
        <v>194</v>
      </c>
      <c r="F811" s="48" t="s">
        <v>227</v>
      </c>
      <c r="G811" s="49" t="n">
        <v>3.36</v>
      </c>
      <c r="H811" s="50" t="n">
        <f aca="false">MAX(0,IF(AND(Parameter!$B$21="Ja",ISNUMBER(Y811)),Y811,IF(Parameter!$B$20="Jahresanfang 2025 + Export",BR811+BQ811,BQ811)))</f>
        <v>39</v>
      </c>
      <c r="I811" s="50" t="n">
        <f aca="false">H811*G811</f>
        <v>131.04</v>
      </c>
      <c r="J811" s="50" t="n">
        <f aca="false">BT811*Parameter!$B$18</f>
        <v>0</v>
      </c>
      <c r="K811" s="51" t="n">
        <v>42.5</v>
      </c>
      <c r="L811" s="52" t="n">
        <v>0</v>
      </c>
      <c r="M811" s="50" t="n">
        <v>0</v>
      </c>
      <c r="N811" s="50" t="n">
        <v>1</v>
      </c>
      <c r="O811" s="53" t="n">
        <v>28</v>
      </c>
      <c r="P811" s="48" t="s">
        <v>430</v>
      </c>
      <c r="Q811" s="50" t="n">
        <v>17</v>
      </c>
      <c r="R811" s="53" t="n">
        <f aca="false">IF(BZ811=1,0,IFERROR(VLOOKUP(BX811,'Gebinde-Kategorie'!$A$5:$N$45,13,0)+0,0))</f>
        <v>104</v>
      </c>
      <c r="S811" s="54"/>
      <c r="T811" s="55"/>
      <c r="U811" s="55"/>
      <c r="V811" s="55"/>
      <c r="W811" s="48"/>
      <c r="X811" s="50"/>
      <c r="Y811" s="50"/>
      <c r="Z811" s="48" t="n">
        <f aca="false">IF(A811="","",IF(AND(Parameter!$B$21="Ja",ISNUMBER(W811)),W811,IF(CC811="2+3",IF(ISNUMBER(SEARCH("grosser Artikel",BU811)),2,IFERROR(VLOOKUP(BX811,Parameter!$F$35:$G$64,2,0),2)),IF(OR(CC811="Nein",CC811=""),"-",CC811))))</f>
        <v>3</v>
      </c>
      <c r="AA811" s="55"/>
      <c r="AB811" s="56"/>
      <c r="AC811" s="50" t="n">
        <f aca="false">AV811</f>
        <v>1</v>
      </c>
      <c r="AD811" s="50" t="n">
        <f aca="false">MAX(AV811,H811)</f>
        <v>39</v>
      </c>
      <c r="AE811" s="57"/>
      <c r="AF811" s="50" t="n">
        <f aca="false">IF(LEFT(Cockpit!$C$5,1)="A",H811,IF(Parameter!$E$30="MAX-Bestand",IF(CH811=1,CI811,IF(LEFT(Cockpit!$C$5,1)="B",AL811,MAX(AL811,H811))),ROUNDUP(AJ811,0)))</f>
        <v>39</v>
      </c>
      <c r="AG811" s="50" t="n">
        <f aca="false">IF(BZ811=1,0,ROUNDUP(AF811/BY811,0))</f>
        <v>3</v>
      </c>
      <c r="AH811" s="52" t="n">
        <f aca="false">IF(CQ811&gt;0,CQ811*MAX(1,AF811/X811),IF(BZ811=1,IF(AF811&lt;=0,0,CD811*MAX(1,IF(H811&gt;0,AF811/H811,1))),IF(R811&gt;0,AG811/R811,0))/MAX(0.1,N(Parameter!$M$21)))</f>
        <v>0.0288461538461538</v>
      </c>
      <c r="AI811" s="50" t="n">
        <f aca="false">AH811*CB811</f>
        <v>4.47115384615385</v>
      </c>
      <c r="AJ811" s="51" t="n">
        <f aca="false">IF(LEFT(Cockpit!$C$5,1)="A",H811,IF(CH811=1,(CK811+CI811)/2,IF(LEFT(Cockpit!$C$5,1)="B",(CK811+AL811)/2,MAX((CK811+AL811)/2,H811))))</f>
        <v>39</v>
      </c>
      <c r="AK811" s="50" t="n">
        <f aca="false">AJ811*G811</f>
        <v>131.04</v>
      </c>
      <c r="AL811" s="50" t="n">
        <f aca="false">ROUNDUP(CK811+MAX(CL811,2*(J811/IF(CG811&gt;0,CG811,MAX(0.1,N(Cockpit!$C$6)))-CK811)),0)</f>
        <v>1</v>
      </c>
      <c r="AM811" s="51" t="n">
        <f aca="false">IF(AI811&gt;0,J811/AI811,-1)</f>
        <v>0</v>
      </c>
      <c r="AN811" s="51" t="n">
        <f aca="false">IF(AND(OR(CF811="L1",CF811="L23",CF811="LIFT"),AI811&gt;0),SUMIFS($AI$7:$AI$1843,$CF$7:$CF$1843,CF811,$AM$7:$AM$1843,"&gt;"&amp;AM811)+SUMIFS($AI$7:$AI$1843,$CF$7:$CF$1843,CF811,$AM$7:$AM$1843,AM811,$BW$7:$BW$1843,"&lt;="&amp;BW811),"")</f>
        <v>28772.057860454</v>
      </c>
      <c r="AO811" s="58" t="n">
        <f aca="false">IF(AN811="",0,MAX(0,MIN(1,(IF(CF811="L1",Parameter!$H$5,IF(CF811="L23",Parameter!$H$6+Parameter!$H$7,Parameter!$H$5+Parameter!$H$6+Parameter!$H$7))-(AN811-AI811))/AI811)))</f>
        <v>1</v>
      </c>
      <c r="AP811" s="50" t="n">
        <f aca="false">IF(LEFT(Cockpit!$I$5,1)="A",H811,IF(Parameter!$E$30="MAX-Bestand",IF(CH811=1,CI811,IF(LEFT(Cockpit!$I$5,1)="B",AV811,MAX(AV811,H811))),ROUNDUP(AT811,0)))</f>
        <v>39</v>
      </c>
      <c r="AQ811" s="50" t="n">
        <f aca="false">IF(BZ811=1,0,ROUNDUP(AP811/BY811,0))</f>
        <v>3</v>
      </c>
      <c r="AR811" s="52" t="n">
        <f aca="false">IF(CQ811&gt;0,CQ811*MAX(1,AP811/X811),IF(BZ811=1,IF(AP811&lt;=0,0,CD811*MAX(1,IF(H811&gt;0,AP811/H811,1))),IF(R811&gt;0,AQ811/R811,0))/MAX(0.1,N(Parameter!$M$21)))</f>
        <v>0.0288461538461538</v>
      </c>
      <c r="AS811" s="50" t="n">
        <f aca="false">AR811*CB811</f>
        <v>4.47115384615385</v>
      </c>
      <c r="AT811" s="51" t="n">
        <f aca="false">IF(LEFT(Cockpit!$I$5,1)="A",H811,IF(CH811=1,(CK811+CI811)/2,IF(LEFT(Cockpit!$I$5,1)="B",(CK811+AV811)/2,MAX((CK811+AV811)/2,H811))))</f>
        <v>39</v>
      </c>
      <c r="AU811" s="50" t="n">
        <f aca="false">AT811*G811</f>
        <v>131.04</v>
      </c>
      <c r="AV811" s="50" t="n">
        <f aca="false">ROUNDUP(CK811+MAX(CL811,2*(J811/IF(CG811&gt;0,CG811,MAX(0.1,N(Cockpit!$I$6)))-CK811)),0)</f>
        <v>1</v>
      </c>
      <c r="AW811" s="51" t="n">
        <f aca="false">IF(AS811&gt;0,J811/AS811,-1)</f>
        <v>0</v>
      </c>
      <c r="AX811" s="51" t="n">
        <f aca="false">IF(AND(OR(CF811="L1",CF811="L23",CF811="LIFT"),AS811&gt;0),SUMIFS($AS$7:$AS$1843,$CF$7:$CF$1843,CF811,$AW$7:$AW$1843,"&gt;"&amp;AW811)+SUMIFS($AS$7:$AS$1843,$CF$7:$CF$1843,CF811,$AW$7:$AW$1843,AW811,$BW$7:$BW$1843,"&lt;="&amp;BW811),"")</f>
        <v>34383.3562271062</v>
      </c>
      <c r="AY811" s="58" t="n">
        <f aca="false">IF(AX811="",0,MAX(0,MIN(1,(IF(CF811="L1",Parameter!$H$5,IF(CF811="L23",Parameter!$H$6+Parameter!$H$7,Parameter!$H$5+Parameter!$H$6+Parameter!$H$7))-(AX811-AS811))/AS811)))</f>
        <v>1</v>
      </c>
      <c r="AZ811" s="50" t="n">
        <f aca="false">IF(LEFT(Cockpit!$O$5,1)="A",H811,IF(Parameter!$E$30="MAX-Bestand",IF(CH811=1,CI811,IF(LEFT(Cockpit!$O$5,1)="B",BF811,MAX(BF811,H811))),ROUNDUP(BD811,0)))</f>
        <v>1</v>
      </c>
      <c r="BA811" s="50" t="n">
        <f aca="false">IF(BZ811=1,0,ROUNDUP(AZ811/BY811,0))</f>
        <v>1</v>
      </c>
      <c r="BB811" s="52" t="n">
        <f aca="false">IF(CQ811&gt;0,CQ811*MAX(1,AZ811/X811),IF(BZ811=1,IF(AZ811&lt;=0,0,CD811*MAX(1,IF(H811&gt;0,AZ811/H811,1))),IF(R811&gt;0,BA811/R811,0))/MAX(0.1,N(Parameter!$M$21)))</f>
        <v>0.00961538461538462</v>
      </c>
      <c r="BC811" s="50" t="n">
        <f aca="false">BB811*CB811</f>
        <v>1.49038461538462</v>
      </c>
      <c r="BD811" s="51" t="n">
        <f aca="false">IF(LEFT(Cockpit!$O$5,1)="A",H811,IF(CH811=1,(CK811+CI811)/2,IF(LEFT(Cockpit!$O$5,1)="B",(CK811+BF811)/2,MAX((CK811+BF811)/2,H811))))</f>
        <v>0.5</v>
      </c>
      <c r="BE811" s="50" t="n">
        <f aca="false">BD811*G811</f>
        <v>1.68</v>
      </c>
      <c r="BF811" s="50" t="n">
        <f aca="false">ROUNDUP(CK811+MAX(CL811,2*(J811/IF(CG811&gt;0,CG811,MAX(0.1,N(Cockpit!$O$6)))-CK811)),0)</f>
        <v>1</v>
      </c>
      <c r="BG811" s="51" t="n">
        <f aca="false">IF(BC811&gt;0,J811/BC811,-1)</f>
        <v>0</v>
      </c>
      <c r="BH811" s="51" t="n">
        <f aca="false">IF(AND(OR(CF811="L1",CF811="L23",CF811="LIFT"),BC811&gt;0),SUMIFS($BC$7:$BC$1843,$CF$7:$CF$1843,CF811,$BG$7:$BG$1843,"&gt;"&amp;BG811)+SUMIFS($BC$7:$BC$1843,$CF$7:$CF$1843,CF811,$BG$7:$BG$1843,BG811,$BW$7:$BW$1843,"&lt;="&amp;BW811),"")</f>
        <v>28423.1381619793</v>
      </c>
      <c r="BI811" s="58" t="n">
        <f aca="false">IF(BH811="",0,MAX(0,MIN(1,(IF(CF811="L1",Parameter!$H$5,IF(CF811="L23",Parameter!$H$6+Parameter!$H$7,Parameter!$H$5+Parameter!$H$6+Parameter!$H$7))-(BH811-BC811))/BC811)))</f>
        <v>1</v>
      </c>
      <c r="BJ811" s="48" t="str">
        <f aca="false">IF(AI811&lt;=0,"",IF(CF811="Aussen","Aussenlager",IF(CF811="-","Nicht im Lift",IF(AO811&gt;=1,"Lift",IF(AO811&lt;=0,"Aussenlager","teilweise")))))</f>
        <v>Lift</v>
      </c>
      <c r="BK811" s="48" t="str">
        <f aca="false">IF(AS811&lt;=0,"",IF(CF811="Aussen","Aussenlager",IF(CF811="-","Nicht im Lift",IF(AY811&gt;=1,"Lift",IF(AY811&lt;=0,"Aussenlager","teilweise")))))</f>
        <v>Lift</v>
      </c>
      <c r="BL811" s="48" t="str">
        <f aca="false">IF(BC811&lt;=0,"",IF(CF811="Aussen","Aussenlager",IF(CF811="-","Nicht im Lift",IF(BI811&gt;=1,"Lift",IF(BI811&lt;=0,"Aussenlager","teilweise")))))</f>
        <v>Lift</v>
      </c>
      <c r="BM811" s="48" t="str">
        <f aca="false">IF(A811="","",IF(BV811=1,"Neu; ","")&amp;IF(AND(BV811=0,BQ811&lt;0),"negativer Bestand (Export "&amp;BQ811&amp;"); ","")&amp;IF(J811&lt;=0,"Kein Verbrauch; ","")&amp;IF(CQ811&gt;0,"Lift "&amp;W811&amp;" lt. Liftbericht (Fach "&amp;X811&amp;" Stk); ",IF(CA811=1,"Gebinde geschätzt ("&amp;T811&amp;"); ",IF(BZ811=1,"Lose – Tablare geschätzt; ","")))&amp;IF(H811&gt;AV811,"Überbestand "&amp;ROUND(H811-AV811,0)&amp;" Stk / CHF "&amp;ROUND((H811-AV811)*G811,0)&amp;"; ","")&amp;IF(AND(CH811=1,CI811&lt;CJ811),"MAX &lt; MB+LG; ","")&amp;IF(AND(CP811&gt;0,CO811*10&gt;CP811),"zu hoch für Tablar; ","")&amp;IF(AND(BV811=0,OR(CH811=1,AA811&lt;&gt;"",U811&lt;&gt;"",V811&lt;&gt;"",AB811&lt;&gt;"")),"manuell übersteuert; ","")&amp;IF(AND(BZ811=0,R811=0),"Gebinde unbekannt / Stellmass fehlt; ","")&amp;IF(AND(BZ811=0,N(V811)&lt;=0,N(Q811)&lt;=0),"Menge pro Gebinde fehlt (Ist = 1 Gebinde); ","")&amp;BU811)</f>
        <v>negativer Bestand (Export -2); Kein Verbrauch; Überbestand 38 Stk / CHF 128; </v>
      </c>
      <c r="BN811" s="48"/>
      <c r="BO811" s="48"/>
      <c r="BP811" s="55"/>
      <c r="BQ811" s="50" t="n">
        <v>-2</v>
      </c>
      <c r="BR811" s="50" t="n">
        <v>41</v>
      </c>
      <c r="BS811" s="49" t="n">
        <v>-6.72</v>
      </c>
      <c r="BT811" s="50" t="n">
        <v>0</v>
      </c>
      <c r="BU811" s="48"/>
      <c r="BV811" s="53" t="n">
        <v>0</v>
      </c>
      <c r="BW811" s="53" t="n">
        <v>811</v>
      </c>
      <c r="BX811" s="48" t="str">
        <f aca="false">IF(U811&lt;&gt;"",UPPER(TRIM(U811)),IF(CA811=1,UPPER(VLOOKUP(T811,Parameter!$I$27:$K$29,2,0)),IF(P811="","LOSE",P811)))</f>
        <v>S32</v>
      </c>
      <c r="BY811" s="50" t="n">
        <f aca="false">IF(BX811="LOSE",1,IF(N(V811)&gt;0,V811,IF(CA811=1,MAX(1,N(VLOOKUP(T811,Parameter!$I$27:$K$29,3,0)),H811,N(N811)),IF(N(Q811)&gt;0,Q811,MAX(1,H811)))))</f>
        <v>17</v>
      </c>
      <c r="BZ811" s="53" t="n">
        <f aca="false">IF(BX811="LOSE",1,0)</f>
        <v>0</v>
      </c>
      <c r="CA811" s="53" t="n">
        <f aca="false">IF(AND(U811="",OR(P811="",P811="LOSE"),T811&lt;&gt;"",N(S811)&lt;=0,ISNUMBER(MATCH(T811,Parameter!$I$27:$I$29,0))),1,0)</f>
        <v>0</v>
      </c>
      <c r="CB811" s="53" t="n">
        <f aca="false">IF(CQ811&gt;0,INDEX(Parameter!$H$5:$H$7,W811)/INDEX(Parameter!$E$5:$E$7,W811),IF(AND(BZ811=0,N(IFERROR(VLOOKUP(BX811,'Gebinde-Kategorie'!$A$5:$N$45,14,0),0))&gt;0),VLOOKUP(BX811,'Gebinde-Kategorie'!$A$5:$N$45,14,0)*10+Parameter!$M$23,Parameter!$M$24))</f>
        <v>155</v>
      </c>
      <c r="CC811" s="48" t="str">
        <f aca="false">IF(AND(Parameter!$B$19="Ja",E811&lt;&gt;"",ISNUMBER(MATCH(E811,Parameter!$I$35:$I$52,0))),VLOOKUP(E811,Parameter!$I$35:$J$52,2,0),IFERROR(VLOOKUP(D811,Parameter!$A$35:$C$64,2,0),"Nein"))</f>
        <v>2+3</v>
      </c>
      <c r="CD811" s="52" t="n">
        <f aca="false">IF(BZ811=0,0,IF(N(S811)&gt;0,S811,IFERROR(VLOOKUP(D811,Parameter!$A$35:$C$64,3,0)+0,0)))</f>
        <v>0</v>
      </c>
      <c r="CE811" s="48" t="n">
        <f aca="false">IF(AA811&lt;&gt;"",AA811,Z811)</f>
        <v>3</v>
      </c>
      <c r="CF811" s="48" t="str">
        <f aca="false">IF(OR(CE811=1,CE811=2,CE811=3),IF(Parameter!$E$27="Ja","LIFT",IF(CE811=1,"L1","L23")),IF(CE811="Aussen","Aussen","-"))</f>
        <v>LIFT</v>
      </c>
      <c r="CG811" s="59" t="n">
        <f aca="false">IF(N(AB811)&gt;0,AB811,0)</f>
        <v>0</v>
      </c>
      <c r="CH811" s="53" t="n">
        <f aca="false">IF(ISNUMBER(AE811),1,0)</f>
        <v>0</v>
      </c>
      <c r="CI811" s="50" t="n">
        <f aca="false">N(AE811)</f>
        <v>0</v>
      </c>
      <c r="CJ811" s="50" t="n">
        <f aca="false">N(M811)+N(N811)</f>
        <v>1</v>
      </c>
      <c r="CK811" s="50" t="n">
        <f aca="false">N(M811)</f>
        <v>0</v>
      </c>
      <c r="CL811" s="50" t="n">
        <f aca="false">N(N811)</f>
        <v>1</v>
      </c>
      <c r="CM811" s="50" t="n">
        <f aca="false">ROUNDUP(H811/BY811,0)</f>
        <v>3</v>
      </c>
      <c r="CN811" s="50" t="n">
        <f aca="false">ROUNDUP(CI811/BY811,0)</f>
        <v>0</v>
      </c>
      <c r="CO811" s="53" t="n">
        <f aca="false">IF(BZ811=1,0,IFERROR(VLOOKUP(BX811,'Gebinde-Kategorie'!$A$5:$N$45,5,0)+0,0))</f>
        <v>8</v>
      </c>
      <c r="CP811" s="53" t="n">
        <f aca="false">IFERROR(IF(OR(CE811=1,CE811=2,CE811=3),N(INDEX(Parameter!$I$5:$I$7,CE811)),0),0)</f>
        <v>0</v>
      </c>
      <c r="CQ811" s="52" t="n">
        <f aca="false">IF(AND(Parameter!$B$21="Ja",ISNUMBER(W811),N(X811)&gt;0),IFERROR(N(INDEX(Parameter!$L$5:$L$7,W811))*INDEX(Parameter!$E$5:$E$7,W811)*X811/SUMIFS($X$7:$X$1843,$W$7:$W$1843,W811),0),0)</f>
        <v>0</v>
      </c>
    </row>
    <row r="812" customFormat="false" ht="15" hidden="false" customHeight="false" outlineLevel="0" collapsed="false">
      <c r="A812" s="48" t="s">
        <v>1581</v>
      </c>
      <c r="B812" s="48" t="s">
        <v>1582</v>
      </c>
      <c r="C812" s="48" t="s">
        <v>173</v>
      </c>
      <c r="D812" s="48" t="s">
        <v>193</v>
      </c>
      <c r="E812" s="48"/>
      <c r="F812" s="48" t="s">
        <v>227</v>
      </c>
      <c r="G812" s="49" t="n">
        <v>6.75</v>
      </c>
      <c r="H812" s="50" t="n">
        <f aca="false">MAX(0,IF(AND(Parameter!$B$21="Ja",ISNUMBER(Y812)),Y812,IF(Parameter!$B$20="Jahresanfang 2025 + Export",BR812+BQ812,BQ812)))</f>
        <v>4</v>
      </c>
      <c r="I812" s="50" t="n">
        <f aca="false">H812*G812</f>
        <v>27</v>
      </c>
      <c r="J812" s="50" t="n">
        <f aca="false">BT812*Parameter!$B$18</f>
        <v>0</v>
      </c>
      <c r="K812" s="51" t="n">
        <v>5</v>
      </c>
      <c r="L812" s="52" t="n">
        <v>0</v>
      </c>
      <c r="M812" s="50" t="n">
        <v>0</v>
      </c>
      <c r="N812" s="50" t="n">
        <v>1</v>
      </c>
      <c r="O812" s="53" t="n">
        <v>42</v>
      </c>
      <c r="P812" s="48" t="s">
        <v>435</v>
      </c>
      <c r="Q812" s="50" t="n">
        <v>5</v>
      </c>
      <c r="R812" s="53" t="n">
        <f aca="false">IF(BZ812=1,0,IFERROR(VLOOKUP(BX812,'Gebinde-Kategorie'!$A$5:$N$45,13,0)+0,0))</f>
        <v>140</v>
      </c>
      <c r="S812" s="54"/>
      <c r="T812" s="55"/>
      <c r="U812" s="55"/>
      <c r="V812" s="55"/>
      <c r="W812" s="48"/>
      <c r="X812" s="50"/>
      <c r="Y812" s="50"/>
      <c r="Z812" s="48" t="n">
        <f aca="false">IF(A812="","",IF(AND(Parameter!$B$21="Ja",ISNUMBER(W812)),W812,IF(CC812="2+3",IF(ISNUMBER(SEARCH("grosser Artikel",BU812)),2,IFERROR(VLOOKUP(BX812,Parameter!$F$35:$G$64,2,0),2)),IF(OR(CC812="Nein",CC812=""),"-",CC812))))</f>
        <v>3</v>
      </c>
      <c r="AA812" s="55"/>
      <c r="AB812" s="56"/>
      <c r="AC812" s="50" t="n">
        <f aca="false">AV812</f>
        <v>1</v>
      </c>
      <c r="AD812" s="50" t="n">
        <f aca="false">MAX(AV812,H812)</f>
        <v>4</v>
      </c>
      <c r="AE812" s="57"/>
      <c r="AF812" s="50" t="n">
        <f aca="false">IF(LEFT(Cockpit!$C$5,1)="A",H812,IF(Parameter!$E$30="MAX-Bestand",IF(CH812=1,CI812,IF(LEFT(Cockpit!$C$5,1)="B",AL812,MAX(AL812,H812))),ROUNDUP(AJ812,0)))</f>
        <v>4</v>
      </c>
      <c r="AG812" s="50" t="n">
        <f aca="false">IF(BZ812=1,0,ROUNDUP(AF812/BY812,0))</f>
        <v>1</v>
      </c>
      <c r="AH812" s="52" t="n">
        <f aca="false">IF(CQ812&gt;0,CQ812*MAX(1,AF812/X812),IF(BZ812=1,IF(AF812&lt;=0,0,CD812*MAX(1,IF(H812&gt;0,AF812/H812,1))),IF(R812&gt;0,AG812/R812,0))/MAX(0.1,N(Parameter!$M$21)))</f>
        <v>0.00714285714285714</v>
      </c>
      <c r="AI812" s="50" t="n">
        <f aca="false">AH812*CB812</f>
        <v>1.10714285714286</v>
      </c>
      <c r="AJ812" s="51" t="n">
        <f aca="false">IF(LEFT(Cockpit!$C$5,1)="A",H812,IF(CH812=1,(CK812+CI812)/2,IF(LEFT(Cockpit!$C$5,1)="B",(CK812+AL812)/2,MAX((CK812+AL812)/2,H812))))</f>
        <v>4</v>
      </c>
      <c r="AK812" s="50" t="n">
        <f aca="false">AJ812*G812</f>
        <v>27</v>
      </c>
      <c r="AL812" s="50" t="n">
        <f aca="false">ROUNDUP(CK812+MAX(CL812,2*(J812/IF(CG812&gt;0,CG812,MAX(0.1,N(Cockpit!$C$6)))-CK812)),0)</f>
        <v>1</v>
      </c>
      <c r="AM812" s="51" t="n">
        <f aca="false">IF(AI812&gt;0,J812/AI812,-1)</f>
        <v>0</v>
      </c>
      <c r="AN812" s="51" t="n">
        <f aca="false">IF(AND(OR(CF812="L1",CF812="L23",CF812="LIFT"),AI812&gt;0),SUMIFS($AI$7:$AI$1843,$CF$7:$CF$1843,CF812,$AM$7:$AM$1843,"&gt;"&amp;AM812)+SUMIFS($AI$7:$AI$1843,$CF$7:$CF$1843,CF812,$AM$7:$AM$1843,AM812,$BW$7:$BW$1843,"&lt;="&amp;BW812),"")</f>
        <v>28773.1650033112</v>
      </c>
      <c r="AO812" s="58" t="n">
        <f aca="false">IF(AN812="",0,MAX(0,MIN(1,(IF(CF812="L1",Parameter!$H$5,IF(CF812="L23",Parameter!$H$6+Parameter!$H$7,Parameter!$H$5+Parameter!$H$6+Parameter!$H$7))-(AN812-AI812))/AI812)))</f>
        <v>1</v>
      </c>
      <c r="AP812" s="50" t="n">
        <f aca="false">IF(LEFT(Cockpit!$I$5,1)="A",H812,IF(Parameter!$E$30="MAX-Bestand",IF(CH812=1,CI812,IF(LEFT(Cockpit!$I$5,1)="B",AV812,MAX(AV812,H812))),ROUNDUP(AT812,0)))</f>
        <v>4</v>
      </c>
      <c r="AQ812" s="50" t="n">
        <f aca="false">IF(BZ812=1,0,ROUNDUP(AP812/BY812,0))</f>
        <v>1</v>
      </c>
      <c r="AR812" s="52" t="n">
        <f aca="false">IF(CQ812&gt;0,CQ812*MAX(1,AP812/X812),IF(BZ812=1,IF(AP812&lt;=0,0,CD812*MAX(1,IF(H812&gt;0,AP812/H812,1))),IF(R812&gt;0,AQ812/R812,0))/MAX(0.1,N(Parameter!$M$21)))</f>
        <v>0.00714285714285714</v>
      </c>
      <c r="AS812" s="50" t="n">
        <f aca="false">AR812*CB812</f>
        <v>1.10714285714286</v>
      </c>
      <c r="AT812" s="51" t="n">
        <f aca="false">IF(LEFT(Cockpit!$I$5,1)="A",H812,IF(CH812=1,(CK812+CI812)/2,IF(LEFT(Cockpit!$I$5,1)="B",(CK812+AV812)/2,MAX((CK812+AV812)/2,H812))))</f>
        <v>4</v>
      </c>
      <c r="AU812" s="50" t="n">
        <f aca="false">AT812*G812</f>
        <v>27</v>
      </c>
      <c r="AV812" s="50" t="n">
        <f aca="false">ROUNDUP(CK812+MAX(CL812,2*(J812/IF(CG812&gt;0,CG812,MAX(0.1,N(Cockpit!$I$6)))-CK812)),0)</f>
        <v>1</v>
      </c>
      <c r="AW812" s="51" t="n">
        <f aca="false">IF(AS812&gt;0,J812/AS812,-1)</f>
        <v>0</v>
      </c>
      <c r="AX812" s="51" t="n">
        <f aca="false">IF(AND(OR(CF812="L1",CF812="L23",CF812="LIFT"),AS812&gt;0),SUMIFS($AS$7:$AS$1843,$CF$7:$CF$1843,CF812,$AW$7:$AW$1843,"&gt;"&amp;AW812)+SUMIFS($AS$7:$AS$1843,$CF$7:$CF$1843,CF812,$AW$7:$AW$1843,AW812,$BW$7:$BW$1843,"&lt;="&amp;BW812),"")</f>
        <v>34384.4633699634</v>
      </c>
      <c r="AY812" s="58" t="n">
        <f aca="false">IF(AX812="",0,MAX(0,MIN(1,(IF(CF812="L1",Parameter!$H$5,IF(CF812="L23",Parameter!$H$6+Parameter!$H$7,Parameter!$H$5+Parameter!$H$6+Parameter!$H$7))-(AX812-AS812))/AS812)))</f>
        <v>1</v>
      </c>
      <c r="AZ812" s="50" t="n">
        <f aca="false">IF(LEFT(Cockpit!$O$5,1)="A",H812,IF(Parameter!$E$30="MAX-Bestand",IF(CH812=1,CI812,IF(LEFT(Cockpit!$O$5,1)="B",BF812,MAX(BF812,H812))),ROUNDUP(BD812,0)))</f>
        <v>1</v>
      </c>
      <c r="BA812" s="50" t="n">
        <f aca="false">IF(BZ812=1,0,ROUNDUP(AZ812/BY812,0))</f>
        <v>1</v>
      </c>
      <c r="BB812" s="52" t="n">
        <f aca="false">IF(CQ812&gt;0,CQ812*MAX(1,AZ812/X812),IF(BZ812=1,IF(AZ812&lt;=0,0,CD812*MAX(1,IF(H812&gt;0,AZ812/H812,1))),IF(R812&gt;0,BA812/R812,0))/MAX(0.1,N(Parameter!$M$21)))</f>
        <v>0.00714285714285714</v>
      </c>
      <c r="BC812" s="50" t="n">
        <f aca="false">BB812*CB812</f>
        <v>1.10714285714286</v>
      </c>
      <c r="BD812" s="51" t="n">
        <f aca="false">IF(LEFT(Cockpit!$O$5,1)="A",H812,IF(CH812=1,(CK812+CI812)/2,IF(LEFT(Cockpit!$O$5,1)="B",(CK812+BF812)/2,MAX((CK812+BF812)/2,H812))))</f>
        <v>0.5</v>
      </c>
      <c r="BE812" s="50" t="n">
        <f aca="false">BD812*G812</f>
        <v>3.375</v>
      </c>
      <c r="BF812" s="50" t="n">
        <f aca="false">ROUNDUP(CK812+MAX(CL812,2*(J812/IF(CG812&gt;0,CG812,MAX(0.1,N(Cockpit!$O$6)))-CK812)),0)</f>
        <v>1</v>
      </c>
      <c r="BG812" s="51" t="n">
        <f aca="false">IF(BC812&gt;0,J812/BC812,-1)</f>
        <v>0</v>
      </c>
      <c r="BH812" s="51" t="n">
        <f aca="false">IF(AND(OR(CF812="L1",CF812="L23",CF812="LIFT"),BC812&gt;0),SUMIFS($BC$7:$BC$1843,$CF$7:$CF$1843,CF812,$BG$7:$BG$1843,"&gt;"&amp;BG812)+SUMIFS($BC$7:$BC$1843,$CF$7:$CF$1843,CF812,$BG$7:$BG$1843,BG812,$BW$7:$BW$1843,"&lt;="&amp;BW812),"")</f>
        <v>28424.2453048364</v>
      </c>
      <c r="BI812" s="58" t="n">
        <f aca="false">IF(BH812="",0,MAX(0,MIN(1,(IF(CF812="L1",Parameter!$H$5,IF(CF812="L23",Parameter!$H$6+Parameter!$H$7,Parameter!$H$5+Parameter!$H$6+Parameter!$H$7))-(BH812-BC812))/BC812)))</f>
        <v>1</v>
      </c>
      <c r="BJ812" s="48" t="str">
        <f aca="false">IF(AI812&lt;=0,"",IF(CF812="Aussen","Aussenlager",IF(CF812="-","Nicht im Lift",IF(AO812&gt;=1,"Lift",IF(AO812&lt;=0,"Aussenlager","teilweise")))))</f>
        <v>Lift</v>
      </c>
      <c r="BK812" s="48" t="str">
        <f aca="false">IF(AS812&lt;=0,"",IF(CF812="Aussen","Aussenlager",IF(CF812="-","Nicht im Lift",IF(AY812&gt;=1,"Lift",IF(AY812&lt;=0,"Aussenlager","teilweise")))))</f>
        <v>Lift</v>
      </c>
      <c r="BL812" s="48" t="str">
        <f aca="false">IF(BC812&lt;=0,"",IF(CF812="Aussen","Aussenlager",IF(CF812="-","Nicht im Lift",IF(BI812&gt;=1,"Lift",IF(BI812&lt;=0,"Aussenlager","teilweise")))))</f>
        <v>Lift</v>
      </c>
      <c r="BM812" s="48" t="str">
        <f aca="false">IF(A812="","",IF(BV812=1,"Neu; ","")&amp;IF(AND(BV812=0,BQ812&lt;0),"negativer Bestand (Export "&amp;BQ812&amp;"); ","")&amp;IF(J812&lt;=0,"Kein Verbrauch; ","")&amp;IF(CQ812&gt;0,"Lift "&amp;W812&amp;" lt. Liftbericht (Fach "&amp;X812&amp;" Stk); ",IF(CA812=1,"Gebinde geschätzt ("&amp;T812&amp;"); ",IF(BZ812=1,"Lose – Tablare geschätzt; ","")))&amp;IF(H812&gt;AV812,"Überbestand "&amp;ROUND(H812-AV812,0)&amp;" Stk / CHF "&amp;ROUND((H812-AV812)*G812,0)&amp;"; ","")&amp;IF(AND(CH812=1,CI812&lt;CJ812),"MAX &lt; MB+LG; ","")&amp;IF(AND(CP812&gt;0,CO812*10&gt;CP812),"zu hoch für Tablar; ","")&amp;IF(AND(BV812=0,OR(CH812=1,AA812&lt;&gt;"",U812&lt;&gt;"",V812&lt;&gt;"",AB812&lt;&gt;"")),"manuell übersteuert; ","")&amp;IF(AND(BZ812=0,R812=0),"Gebinde unbekannt / Stellmass fehlt; ","")&amp;IF(AND(BZ812=0,N(V812)&lt;=0,N(Q812)&lt;=0),"Menge pro Gebinde fehlt (Ist = 1 Gebinde); ","")&amp;BU812)</f>
        <v>negativer Bestand (Export -1); Kein Verbrauch; Überbestand 3 Stk / CHF 20; </v>
      </c>
      <c r="BN812" s="48"/>
      <c r="BO812" s="48"/>
      <c r="BP812" s="55"/>
      <c r="BQ812" s="50" t="n">
        <v>-1</v>
      </c>
      <c r="BR812" s="50" t="n">
        <v>5</v>
      </c>
      <c r="BS812" s="49" t="n">
        <v>-6.75</v>
      </c>
      <c r="BT812" s="50" t="n">
        <v>0</v>
      </c>
      <c r="BU812" s="48"/>
      <c r="BV812" s="53" t="n">
        <v>0</v>
      </c>
      <c r="BW812" s="53" t="n">
        <v>812</v>
      </c>
      <c r="BX812" s="48" t="str">
        <f aca="false">IF(U812&lt;&gt;"",UPPER(TRIM(U812)),IF(CA812=1,UPPER(VLOOKUP(T812,Parameter!$I$27:$K$29,2,0)),IF(P812="","LOSE",P812)))</f>
        <v>S22</v>
      </c>
      <c r="BY812" s="50" t="n">
        <f aca="false">IF(BX812="LOSE",1,IF(N(V812)&gt;0,V812,IF(CA812=1,MAX(1,N(VLOOKUP(T812,Parameter!$I$27:$K$29,3,0)),H812,N(N812)),IF(N(Q812)&gt;0,Q812,MAX(1,H812)))))</f>
        <v>5</v>
      </c>
      <c r="BZ812" s="53" t="n">
        <f aca="false">IF(BX812="LOSE",1,0)</f>
        <v>0</v>
      </c>
      <c r="CA812" s="53" t="n">
        <f aca="false">IF(AND(U812="",OR(P812="",P812="LOSE"),T812&lt;&gt;"",N(S812)&lt;=0,ISNUMBER(MATCH(T812,Parameter!$I$27:$I$29,0))),1,0)</f>
        <v>0</v>
      </c>
      <c r="CB812" s="53" t="n">
        <f aca="false">IF(CQ812&gt;0,INDEX(Parameter!$H$5:$H$7,W812)/INDEX(Parameter!$E$5:$E$7,W812),IF(AND(BZ812=0,N(IFERROR(VLOOKUP(BX812,'Gebinde-Kategorie'!$A$5:$N$45,14,0),0))&gt;0),VLOOKUP(BX812,'Gebinde-Kategorie'!$A$5:$N$45,14,0)*10+Parameter!$M$23,Parameter!$M$24))</f>
        <v>155</v>
      </c>
      <c r="CC812" s="48" t="str">
        <f aca="false">IF(AND(Parameter!$B$19="Ja",E812&lt;&gt;"",ISNUMBER(MATCH(E812,Parameter!$I$35:$I$52,0))),VLOOKUP(E812,Parameter!$I$35:$J$52,2,0),IFERROR(VLOOKUP(D812,Parameter!$A$35:$C$64,2,0),"Nein"))</f>
        <v>2+3</v>
      </c>
      <c r="CD812" s="52" t="n">
        <f aca="false">IF(BZ812=0,0,IF(N(S812)&gt;0,S812,IFERROR(VLOOKUP(D812,Parameter!$A$35:$C$64,3,0)+0,0)))</f>
        <v>0</v>
      </c>
      <c r="CE812" s="48" t="n">
        <f aca="false">IF(AA812&lt;&gt;"",AA812,Z812)</f>
        <v>3</v>
      </c>
      <c r="CF812" s="48" t="str">
        <f aca="false">IF(OR(CE812=1,CE812=2,CE812=3),IF(Parameter!$E$27="Ja","LIFT",IF(CE812=1,"L1","L23")),IF(CE812="Aussen","Aussen","-"))</f>
        <v>LIFT</v>
      </c>
      <c r="CG812" s="59" t="n">
        <f aca="false">IF(N(AB812)&gt;0,AB812,0)</f>
        <v>0</v>
      </c>
      <c r="CH812" s="53" t="n">
        <f aca="false">IF(ISNUMBER(AE812),1,0)</f>
        <v>0</v>
      </c>
      <c r="CI812" s="50" t="n">
        <f aca="false">N(AE812)</f>
        <v>0</v>
      </c>
      <c r="CJ812" s="50" t="n">
        <f aca="false">N(M812)+N(N812)</f>
        <v>1</v>
      </c>
      <c r="CK812" s="50" t="n">
        <f aca="false">N(M812)</f>
        <v>0</v>
      </c>
      <c r="CL812" s="50" t="n">
        <f aca="false">N(N812)</f>
        <v>1</v>
      </c>
      <c r="CM812" s="50" t="n">
        <f aca="false">ROUNDUP(H812/BY812,0)</f>
        <v>1</v>
      </c>
      <c r="CN812" s="50" t="n">
        <f aca="false">ROUNDUP(CI812/BY812,0)</f>
        <v>0</v>
      </c>
      <c r="CO812" s="53" t="n">
        <f aca="false">IF(BZ812=1,0,IFERROR(VLOOKUP(BX812,'Gebinde-Kategorie'!$A$5:$N$45,5,0)+0,0))</f>
        <v>8</v>
      </c>
      <c r="CP812" s="53" t="n">
        <f aca="false">IFERROR(IF(OR(CE812=1,CE812=2,CE812=3),N(INDEX(Parameter!$I$5:$I$7,CE812)),0),0)</f>
        <v>0</v>
      </c>
      <c r="CQ812" s="52" t="n">
        <f aca="false">IF(AND(Parameter!$B$21="Ja",ISNUMBER(W812),N(X812)&gt;0),IFERROR(N(INDEX(Parameter!$L$5:$L$7,W812))*INDEX(Parameter!$E$5:$E$7,W812)*X812/SUMIFS($X$7:$X$1843,$W$7:$W$1843,W812),0),0)</f>
        <v>0</v>
      </c>
    </row>
    <row r="813" customFormat="false" ht="15" hidden="false" customHeight="false" outlineLevel="0" collapsed="false">
      <c r="A813" s="48" t="s">
        <v>1583</v>
      </c>
      <c r="B813" s="48" t="s">
        <v>1031</v>
      </c>
      <c r="C813" s="48" t="s">
        <v>173</v>
      </c>
      <c r="D813" s="48" t="s">
        <v>193</v>
      </c>
      <c r="E813" s="48" t="s">
        <v>194</v>
      </c>
      <c r="F813" s="48" t="s">
        <v>227</v>
      </c>
      <c r="G813" s="49" t="n">
        <v>0.14</v>
      </c>
      <c r="H813" s="50" t="n">
        <f aca="false">MAX(0,IF(AND(Parameter!$B$21="Ja",ISNUMBER(Y813)),Y813,IF(Parameter!$B$20="Jahresanfang 2025 + Export",BR813+BQ813,BQ813)))</f>
        <v>303</v>
      </c>
      <c r="I813" s="50" t="n">
        <f aca="false">H813*G813</f>
        <v>42.42</v>
      </c>
      <c r="J813" s="50" t="n">
        <f aca="false">BT813*Parameter!$B$18</f>
        <v>38</v>
      </c>
      <c r="K813" s="51" t="n">
        <v>335</v>
      </c>
      <c r="L813" s="52" t="n">
        <v>0.113432835820896</v>
      </c>
      <c r="M813" s="50" t="n">
        <v>2</v>
      </c>
      <c r="N813" s="50" t="n">
        <v>40</v>
      </c>
      <c r="O813" s="53" t="n">
        <v>21</v>
      </c>
      <c r="P813" s="48" t="s">
        <v>485</v>
      </c>
      <c r="Q813" s="50" t="n">
        <v>454</v>
      </c>
      <c r="R813" s="53" t="n">
        <f aca="false">IF(BZ813=1,0,IFERROR(VLOOKUP(BX813,'Gebinde-Kategorie'!$A$5:$N$45,13,0)+0,0))</f>
        <v>52</v>
      </c>
      <c r="S813" s="54"/>
      <c r="T813" s="55"/>
      <c r="U813" s="55"/>
      <c r="V813" s="55"/>
      <c r="W813" s="48"/>
      <c r="X813" s="50"/>
      <c r="Y813" s="50"/>
      <c r="Z813" s="48" t="n">
        <f aca="false">IF(A813="","",IF(AND(Parameter!$B$21="Ja",ISNUMBER(W813)),W813,IF(CC813="2+3",IF(ISNUMBER(SEARCH("grosser Artikel",BU813)),2,IFERROR(VLOOKUP(BX813,Parameter!$F$35:$G$64,2,0),2)),IF(OR(CC813="Nein",CC813=""),"-",CC813))))</f>
        <v>3</v>
      </c>
      <c r="AA813" s="55"/>
      <c r="AB813" s="56"/>
      <c r="AC813" s="50" t="n">
        <f aca="false">AV813</f>
        <v>42</v>
      </c>
      <c r="AD813" s="50" t="n">
        <f aca="false">MAX(AV813,H813)</f>
        <v>303</v>
      </c>
      <c r="AE813" s="57"/>
      <c r="AF813" s="50" t="n">
        <f aca="false">IF(LEFT(Cockpit!$C$5,1)="A",H813,IF(Parameter!$E$30="MAX-Bestand",IF(CH813=1,CI813,IF(LEFT(Cockpit!$C$5,1)="B",AL813,MAX(AL813,H813))),ROUNDUP(AJ813,0)))</f>
        <v>303</v>
      </c>
      <c r="AG813" s="50" t="n">
        <f aca="false">IF(BZ813=1,0,ROUNDUP(AF813/BY813,0))</f>
        <v>1</v>
      </c>
      <c r="AH813" s="52" t="n">
        <f aca="false">IF(CQ813&gt;0,CQ813*MAX(1,AF813/X813),IF(BZ813=1,IF(AF813&lt;=0,0,CD813*MAX(1,IF(H813&gt;0,AF813/H813,1))),IF(R813&gt;0,AG813/R813,0))/MAX(0.1,N(Parameter!$M$21)))</f>
        <v>0.0192307692307692</v>
      </c>
      <c r="AI813" s="50" t="n">
        <f aca="false">AH813*CB813</f>
        <v>2.98076923076923</v>
      </c>
      <c r="AJ813" s="51" t="n">
        <f aca="false">IF(LEFT(Cockpit!$C$5,1)="A",H813,IF(CH813=1,(CK813+CI813)/2,IF(LEFT(Cockpit!$C$5,1)="B",(CK813+AL813)/2,MAX((CK813+AL813)/2,H813))))</f>
        <v>303</v>
      </c>
      <c r="AK813" s="50" t="n">
        <f aca="false">AJ813*G813</f>
        <v>42.42</v>
      </c>
      <c r="AL813" s="50" t="n">
        <f aca="false">ROUNDUP(CK813+MAX(CL813,2*(J813/IF(CG813&gt;0,CG813,MAX(0.1,N(Cockpit!$C$6)))-CK813)),0)</f>
        <v>42</v>
      </c>
      <c r="AM813" s="51" t="n">
        <f aca="false">IF(AI813&gt;0,J813/AI813,-1)</f>
        <v>12.7483870967742</v>
      </c>
      <c r="AN813" s="51" t="n">
        <f aca="false">IF(AND(OR(CF813="L1",CF813="L23",CF813="LIFT"),AI813&gt;0),SUMIFS($AI$7:$AI$1843,$CF$7:$CF$1843,CF813,$AM$7:$AM$1843,"&gt;"&amp;AM813)+SUMIFS($AI$7:$AI$1843,$CF$7:$CF$1843,CF813,$AM$7:$AM$1843,AM813,$BW$7:$BW$1843,"&lt;="&amp;BW813),"")</f>
        <v>2396.48992673993</v>
      </c>
      <c r="AO813" s="58" t="n">
        <f aca="false">IF(AN813="",0,MAX(0,MIN(1,(IF(CF813="L1",Parameter!$H$5,IF(CF813="L23",Parameter!$H$6+Parameter!$H$7,Parameter!$H$5+Parameter!$H$6+Parameter!$H$7))-(AN813-AI813))/AI813)))</f>
        <v>1</v>
      </c>
      <c r="AP813" s="50" t="n">
        <f aca="false">IF(LEFT(Cockpit!$I$5,1)="A",H813,IF(Parameter!$E$30="MAX-Bestand",IF(CH813=1,CI813,IF(LEFT(Cockpit!$I$5,1)="B",AV813,MAX(AV813,H813))),ROUNDUP(AT813,0)))</f>
        <v>303</v>
      </c>
      <c r="AQ813" s="50" t="n">
        <f aca="false">IF(BZ813=1,0,ROUNDUP(AP813/BY813,0))</f>
        <v>1</v>
      </c>
      <c r="AR813" s="52" t="n">
        <f aca="false">IF(CQ813&gt;0,CQ813*MAX(1,AP813/X813),IF(BZ813=1,IF(AP813&lt;=0,0,CD813*MAX(1,IF(H813&gt;0,AP813/H813,1))),IF(R813&gt;0,AQ813/R813,0))/MAX(0.1,N(Parameter!$M$21)))</f>
        <v>0.0192307692307692</v>
      </c>
      <c r="AS813" s="50" t="n">
        <f aca="false">AR813*CB813</f>
        <v>2.98076923076923</v>
      </c>
      <c r="AT813" s="51" t="n">
        <f aca="false">IF(LEFT(Cockpit!$I$5,1)="A",H813,IF(CH813=1,(CK813+CI813)/2,IF(LEFT(Cockpit!$I$5,1)="B",(CK813+AV813)/2,MAX((CK813+AV813)/2,H813))))</f>
        <v>303</v>
      </c>
      <c r="AU813" s="50" t="n">
        <f aca="false">AT813*G813</f>
        <v>42.42</v>
      </c>
      <c r="AV813" s="50" t="n">
        <f aca="false">ROUNDUP(CK813+MAX(CL813,2*(J813/IF(CG813&gt;0,CG813,MAX(0.1,N(Cockpit!$I$6)))-CK813)),0)</f>
        <v>42</v>
      </c>
      <c r="AW813" s="51" t="n">
        <f aca="false">IF(AS813&gt;0,J813/AS813,-1)</f>
        <v>12.7483870967742</v>
      </c>
      <c r="AX813" s="51" t="n">
        <f aca="false">IF(AND(OR(CF813="L1",CF813="L23",CF813="LIFT"),AS813&gt;0),SUMIFS($AS$7:$AS$1843,$CF$7:$CF$1843,CF813,$AW$7:$AW$1843,"&gt;"&amp;AW813)+SUMIFS($AS$7:$AS$1843,$CF$7:$CF$1843,CF813,$AW$7:$AW$1843,AW813,$BW$7:$BW$1843,"&lt;="&amp;BW813),"")</f>
        <v>2985.86904761905</v>
      </c>
      <c r="AY813" s="58" t="n">
        <f aca="false">IF(AX813="",0,MAX(0,MIN(1,(IF(CF813="L1",Parameter!$H$5,IF(CF813="L23",Parameter!$H$6+Parameter!$H$7,Parameter!$H$5+Parameter!$H$6+Parameter!$H$7))-(AX813-AS813))/AS813)))</f>
        <v>1</v>
      </c>
      <c r="AZ813" s="50" t="n">
        <f aca="false">IF(LEFT(Cockpit!$O$5,1)="A",H813,IF(Parameter!$E$30="MAX-Bestand",IF(CH813=1,CI813,IF(LEFT(Cockpit!$O$5,1)="B",BF813,MAX(BF813,H813))),ROUNDUP(BD813,0)))</f>
        <v>22</v>
      </c>
      <c r="BA813" s="50" t="n">
        <f aca="false">IF(BZ813=1,0,ROUNDUP(AZ813/BY813,0))</f>
        <v>1</v>
      </c>
      <c r="BB813" s="52" t="n">
        <f aca="false">IF(CQ813&gt;0,CQ813*MAX(1,AZ813/X813),IF(BZ813=1,IF(AZ813&lt;=0,0,CD813*MAX(1,IF(H813&gt;0,AZ813/H813,1))),IF(R813&gt;0,BA813/R813,0))/MAX(0.1,N(Parameter!$M$21)))</f>
        <v>0.0192307692307692</v>
      </c>
      <c r="BC813" s="50" t="n">
        <f aca="false">BB813*CB813</f>
        <v>2.98076923076923</v>
      </c>
      <c r="BD813" s="51" t="n">
        <f aca="false">IF(LEFT(Cockpit!$O$5,1)="A",H813,IF(CH813=1,(CK813+CI813)/2,IF(LEFT(Cockpit!$O$5,1)="B",(CK813+BF813)/2,MAX((CK813+BF813)/2,H813))))</f>
        <v>22</v>
      </c>
      <c r="BE813" s="50" t="n">
        <f aca="false">BD813*G813</f>
        <v>3.08</v>
      </c>
      <c r="BF813" s="50" t="n">
        <f aca="false">ROUNDUP(CK813+MAX(CL813,2*(J813/IF(CG813&gt;0,CG813,MAX(0.1,N(Cockpit!$O$6)))-CK813)),0)</f>
        <v>42</v>
      </c>
      <c r="BG813" s="51" t="n">
        <f aca="false">IF(BC813&gt;0,J813/BC813,-1)</f>
        <v>12.7483870967742</v>
      </c>
      <c r="BH813" s="51" t="n">
        <f aca="false">IF(AND(OR(CF813="L1",CF813="L23",CF813="LIFT"),BC813&gt;0),SUMIFS($BC$7:$BC$1843,$CF$7:$CF$1843,CF813,$BG$7:$BG$1843,"&gt;"&amp;BG813)+SUMIFS($BC$7:$BC$1843,$CF$7:$CF$1843,CF813,$BG$7:$BG$1843,BG813,$BW$7:$BW$1843,"&lt;="&amp;BW813),"")</f>
        <v>2514.77747252747</v>
      </c>
      <c r="BI813" s="58" t="n">
        <f aca="false">IF(BH813="",0,MAX(0,MIN(1,(IF(CF813="L1",Parameter!$H$5,IF(CF813="L23",Parameter!$H$6+Parameter!$H$7,Parameter!$H$5+Parameter!$H$6+Parameter!$H$7))-(BH813-BC813))/BC813)))</f>
        <v>1</v>
      </c>
      <c r="BJ813" s="48" t="str">
        <f aca="false">IF(AI813&lt;=0,"",IF(CF813="Aussen","Aussenlager",IF(CF813="-","Nicht im Lift",IF(AO813&gt;=1,"Lift",IF(AO813&lt;=0,"Aussenlager","teilweise")))))</f>
        <v>Lift</v>
      </c>
      <c r="BK813" s="48" t="str">
        <f aca="false">IF(AS813&lt;=0,"",IF(CF813="Aussen","Aussenlager",IF(CF813="-","Nicht im Lift",IF(AY813&gt;=1,"Lift",IF(AY813&lt;=0,"Aussenlager","teilweise")))))</f>
        <v>Lift</v>
      </c>
      <c r="BL813" s="48" t="str">
        <f aca="false">IF(BC813&lt;=0,"",IF(CF813="Aussen","Aussenlager",IF(CF813="-","Nicht im Lift",IF(BI813&gt;=1,"Lift",IF(BI813&lt;=0,"Aussenlager","teilweise")))))</f>
        <v>Lift</v>
      </c>
      <c r="BM813" s="48" t="str">
        <f aca="false">IF(A813="","",IF(BV813=1,"Neu; ","")&amp;IF(AND(BV813=0,BQ813&lt;0),"negativer Bestand (Export "&amp;BQ813&amp;"); ","")&amp;IF(J813&lt;=0,"Kein Verbrauch; ","")&amp;IF(CQ813&gt;0,"Lift "&amp;W813&amp;" lt. Liftbericht (Fach "&amp;X813&amp;" Stk); ",IF(CA813=1,"Gebinde geschätzt ("&amp;T813&amp;"); ",IF(BZ813=1,"Lose – Tablare geschätzt; ","")))&amp;IF(H813&gt;AV813,"Überbestand "&amp;ROUND(H813-AV813,0)&amp;" Stk / CHF "&amp;ROUND((H813-AV813)*G813,0)&amp;"; ","")&amp;IF(AND(CH813=1,CI813&lt;CJ813),"MAX &lt; MB+LG; ","")&amp;IF(AND(CP813&gt;0,CO813*10&gt;CP813),"zu hoch für Tablar; ","")&amp;IF(AND(BV813=0,OR(CH813=1,AA813&lt;&gt;"",U813&lt;&gt;"",V813&lt;&gt;"",AB813&lt;&gt;"")),"manuell übersteuert; ","")&amp;IF(AND(BZ813=0,R813=0),"Gebinde unbekannt / Stellmass fehlt; ","")&amp;IF(AND(BZ813=0,N(V813)&lt;=0,N(Q813)&lt;=0),"Menge pro Gebinde fehlt (Ist = 1 Gebinde); ","")&amp;BU813)</f>
        <v>negativer Bestand (Export -51); Überbestand 261 Stk / CHF 37; Überbestand</v>
      </c>
      <c r="BN813" s="48"/>
      <c r="BO813" s="48"/>
      <c r="BP813" s="55"/>
      <c r="BQ813" s="50" t="n">
        <v>-51</v>
      </c>
      <c r="BR813" s="50" t="n">
        <v>354</v>
      </c>
      <c r="BS813" s="49" t="n">
        <v>-7.14</v>
      </c>
      <c r="BT813" s="50" t="n">
        <v>38</v>
      </c>
      <c r="BU813" s="48" t="s">
        <v>401</v>
      </c>
      <c r="BV813" s="53" t="n">
        <v>0</v>
      </c>
      <c r="BW813" s="53" t="n">
        <v>813</v>
      </c>
      <c r="BX813" s="48" t="str">
        <f aca="false">IF(U813&lt;&gt;"",UPPER(TRIM(U813)),IF(CA813=1,UPPER(VLOOKUP(T813,Parameter!$I$27:$K$29,2,0)),IF(P813="","LOSE",P813)))</f>
        <v>S33</v>
      </c>
      <c r="BY813" s="50" t="n">
        <f aca="false">IF(BX813="LOSE",1,IF(N(V813)&gt;0,V813,IF(CA813=1,MAX(1,N(VLOOKUP(T813,Parameter!$I$27:$K$29,3,0)),H813,N(N813)),IF(N(Q813)&gt;0,Q813,MAX(1,H813)))))</f>
        <v>454</v>
      </c>
      <c r="BZ813" s="53" t="n">
        <f aca="false">IF(BX813="LOSE",1,0)</f>
        <v>0</v>
      </c>
      <c r="CA813" s="53" t="n">
        <f aca="false">IF(AND(U813="",OR(P813="",P813="LOSE"),T813&lt;&gt;"",N(S813)&lt;=0,ISNUMBER(MATCH(T813,Parameter!$I$27:$I$29,0))),1,0)</f>
        <v>0</v>
      </c>
      <c r="CB813" s="53" t="n">
        <f aca="false">IF(CQ813&gt;0,INDEX(Parameter!$H$5:$H$7,W813)/INDEX(Parameter!$E$5:$E$7,W813),IF(AND(BZ813=0,N(IFERROR(VLOOKUP(BX813,'Gebinde-Kategorie'!$A$5:$N$45,14,0),0))&gt;0),VLOOKUP(BX813,'Gebinde-Kategorie'!$A$5:$N$45,14,0)*10+Parameter!$M$23,Parameter!$M$24))</f>
        <v>155</v>
      </c>
      <c r="CC813" s="48" t="str">
        <f aca="false">IF(AND(Parameter!$B$19="Ja",E813&lt;&gt;"",ISNUMBER(MATCH(E813,Parameter!$I$35:$I$52,0))),VLOOKUP(E813,Parameter!$I$35:$J$52,2,0),IFERROR(VLOOKUP(D813,Parameter!$A$35:$C$64,2,0),"Nein"))</f>
        <v>2+3</v>
      </c>
      <c r="CD813" s="52" t="n">
        <f aca="false">IF(BZ813=0,0,IF(N(S813)&gt;0,S813,IFERROR(VLOOKUP(D813,Parameter!$A$35:$C$64,3,0)+0,0)))</f>
        <v>0</v>
      </c>
      <c r="CE813" s="48" t="n">
        <f aca="false">IF(AA813&lt;&gt;"",AA813,Z813)</f>
        <v>3</v>
      </c>
      <c r="CF813" s="48" t="str">
        <f aca="false">IF(OR(CE813=1,CE813=2,CE813=3),IF(Parameter!$E$27="Ja","LIFT",IF(CE813=1,"L1","L23")),IF(CE813="Aussen","Aussen","-"))</f>
        <v>LIFT</v>
      </c>
      <c r="CG813" s="59" t="n">
        <f aca="false">IF(N(AB813)&gt;0,AB813,0)</f>
        <v>0</v>
      </c>
      <c r="CH813" s="53" t="n">
        <f aca="false">IF(ISNUMBER(AE813),1,0)</f>
        <v>0</v>
      </c>
      <c r="CI813" s="50" t="n">
        <f aca="false">N(AE813)</f>
        <v>0</v>
      </c>
      <c r="CJ813" s="50" t="n">
        <f aca="false">N(M813)+N(N813)</f>
        <v>42</v>
      </c>
      <c r="CK813" s="50" t="n">
        <f aca="false">N(M813)</f>
        <v>2</v>
      </c>
      <c r="CL813" s="50" t="n">
        <f aca="false">N(N813)</f>
        <v>40</v>
      </c>
      <c r="CM813" s="50" t="n">
        <f aca="false">ROUNDUP(H813/BY813,0)</f>
        <v>1</v>
      </c>
      <c r="CN813" s="50" t="n">
        <f aca="false">ROUNDUP(CI813/BY813,0)</f>
        <v>0</v>
      </c>
      <c r="CO813" s="53" t="n">
        <f aca="false">IF(BZ813=1,0,IFERROR(VLOOKUP(BX813,'Gebinde-Kategorie'!$A$5:$N$45,5,0)+0,0))</f>
        <v>8</v>
      </c>
      <c r="CP813" s="53" t="n">
        <f aca="false">IFERROR(IF(OR(CE813=1,CE813=2,CE813=3),N(INDEX(Parameter!$I$5:$I$7,CE813)),0),0)</f>
        <v>0</v>
      </c>
      <c r="CQ813" s="52" t="n">
        <f aca="false">IF(AND(Parameter!$B$21="Ja",ISNUMBER(W813),N(X813)&gt;0),IFERROR(N(INDEX(Parameter!$L$5:$L$7,W813))*INDEX(Parameter!$E$5:$E$7,W813)*X813/SUMIFS($X$7:$X$1843,$W$7:$W$1843,W813),0),0)</f>
        <v>0</v>
      </c>
    </row>
    <row r="814" customFormat="false" ht="15" hidden="false" customHeight="false" outlineLevel="0" collapsed="false">
      <c r="A814" s="48" t="s">
        <v>1584</v>
      </c>
      <c r="B814" s="48" t="s">
        <v>733</v>
      </c>
      <c r="C814" s="48" t="s">
        <v>173</v>
      </c>
      <c r="D814" s="48" t="s">
        <v>193</v>
      </c>
      <c r="E814" s="48" t="s">
        <v>194</v>
      </c>
      <c r="F814" s="48" t="s">
        <v>227</v>
      </c>
      <c r="G814" s="49" t="n">
        <v>10.42</v>
      </c>
      <c r="H814" s="50" t="n">
        <f aca="false">MAX(0,IF(AND(Parameter!$B$21="Ja",ISNUMBER(Y814)),Y814,IF(Parameter!$B$20="Jahresanfang 2025 + Export",BR814+BQ814,BQ814)))</f>
        <v>8</v>
      </c>
      <c r="I814" s="50" t="n">
        <f aca="false">H814*G814</f>
        <v>83.36</v>
      </c>
      <c r="J814" s="50" t="n">
        <f aca="false">BT814*Parameter!$B$18</f>
        <v>8</v>
      </c>
      <c r="K814" s="51" t="n">
        <v>8.5</v>
      </c>
      <c r="L814" s="52" t="n">
        <v>0.941176470588235</v>
      </c>
      <c r="M814" s="50" t="n">
        <v>0</v>
      </c>
      <c r="N814" s="50" t="n">
        <v>10</v>
      </c>
      <c r="O814" s="53" t="n">
        <v>14</v>
      </c>
      <c r="P814" s="48" t="s">
        <v>435</v>
      </c>
      <c r="Q814" s="50" t="n">
        <v>15</v>
      </c>
      <c r="R814" s="53" t="n">
        <f aca="false">IF(BZ814=1,0,IFERROR(VLOOKUP(BX814,'Gebinde-Kategorie'!$A$5:$N$45,13,0)+0,0))</f>
        <v>140</v>
      </c>
      <c r="S814" s="54"/>
      <c r="T814" s="55"/>
      <c r="U814" s="55"/>
      <c r="V814" s="55"/>
      <c r="W814" s="48"/>
      <c r="X814" s="50"/>
      <c r="Y814" s="50"/>
      <c r="Z814" s="48" t="n">
        <f aca="false">IF(A814="","",IF(AND(Parameter!$B$21="Ja",ISNUMBER(W814)),W814,IF(CC814="2+3",IF(ISNUMBER(SEARCH("grosser Artikel",BU814)),2,IFERROR(VLOOKUP(BX814,Parameter!$F$35:$G$64,2,0),2)),IF(OR(CC814="Nein",CC814=""),"-",CC814))))</f>
        <v>3</v>
      </c>
      <c r="AA814" s="55"/>
      <c r="AB814" s="56"/>
      <c r="AC814" s="50" t="n">
        <f aca="false">AV814</f>
        <v>10</v>
      </c>
      <c r="AD814" s="50" t="n">
        <f aca="false">MAX(AV814,H814)</f>
        <v>10</v>
      </c>
      <c r="AE814" s="57"/>
      <c r="AF814" s="50" t="n">
        <f aca="false">IF(LEFT(Cockpit!$C$5,1)="A",H814,IF(Parameter!$E$30="MAX-Bestand",IF(CH814=1,CI814,IF(LEFT(Cockpit!$C$5,1)="B",AL814,MAX(AL814,H814))),ROUNDUP(AJ814,0)))</f>
        <v>8</v>
      </c>
      <c r="AG814" s="50" t="n">
        <f aca="false">IF(BZ814=1,0,ROUNDUP(AF814/BY814,0))</f>
        <v>1</v>
      </c>
      <c r="AH814" s="52" t="n">
        <f aca="false">IF(CQ814&gt;0,CQ814*MAX(1,AF814/X814),IF(BZ814=1,IF(AF814&lt;=0,0,CD814*MAX(1,IF(H814&gt;0,AF814/H814,1))),IF(R814&gt;0,AG814/R814,0))/MAX(0.1,N(Parameter!$M$21)))</f>
        <v>0.00714285714285714</v>
      </c>
      <c r="AI814" s="50" t="n">
        <f aca="false">AH814*CB814</f>
        <v>1.10714285714286</v>
      </c>
      <c r="AJ814" s="51" t="n">
        <f aca="false">IF(LEFT(Cockpit!$C$5,1)="A",H814,IF(CH814=1,(CK814+CI814)/2,IF(LEFT(Cockpit!$C$5,1)="B",(CK814+AL814)/2,MAX((CK814+AL814)/2,H814))))</f>
        <v>8</v>
      </c>
      <c r="AK814" s="50" t="n">
        <f aca="false">AJ814*G814</f>
        <v>83.36</v>
      </c>
      <c r="AL814" s="50" t="n">
        <f aca="false">ROUNDUP(CK814+MAX(CL814,2*(J814/IF(CG814&gt;0,CG814,MAX(0.1,N(Cockpit!$C$6)))-CK814)),0)</f>
        <v>10</v>
      </c>
      <c r="AM814" s="51" t="n">
        <f aca="false">IF(AI814&gt;0,J814/AI814,-1)</f>
        <v>7.2258064516129</v>
      </c>
      <c r="AN814" s="51" t="n">
        <f aca="false">IF(AND(OR(CF814="L1",CF814="L23",CF814="LIFT"),AI814&gt;0),SUMIFS($AI$7:$AI$1843,$CF$7:$CF$1843,CF814,$AM$7:$AM$1843,"&gt;"&amp;AM814)+SUMIFS($AI$7:$AI$1843,$CF$7:$CF$1843,CF814,$AM$7:$AM$1843,AM814,$BW$7:$BW$1843,"&lt;="&amp;BW814),"")</f>
        <v>3157.79716117216</v>
      </c>
      <c r="AO814" s="58" t="n">
        <f aca="false">IF(AN814="",0,MAX(0,MIN(1,(IF(CF814="L1",Parameter!$H$5,IF(CF814="L23",Parameter!$H$6+Parameter!$H$7,Parameter!$H$5+Parameter!$H$6+Parameter!$H$7))-(AN814-AI814))/AI814)))</f>
        <v>1</v>
      </c>
      <c r="AP814" s="50" t="n">
        <f aca="false">IF(LEFT(Cockpit!$I$5,1)="A",H814,IF(Parameter!$E$30="MAX-Bestand",IF(CH814=1,CI814,IF(LEFT(Cockpit!$I$5,1)="B",AV814,MAX(AV814,H814))),ROUNDUP(AT814,0)))</f>
        <v>8</v>
      </c>
      <c r="AQ814" s="50" t="n">
        <f aca="false">IF(BZ814=1,0,ROUNDUP(AP814/BY814,0))</f>
        <v>1</v>
      </c>
      <c r="AR814" s="52" t="n">
        <f aca="false">IF(CQ814&gt;0,CQ814*MAX(1,AP814/X814),IF(BZ814=1,IF(AP814&lt;=0,0,CD814*MAX(1,IF(H814&gt;0,AP814/H814,1))),IF(R814&gt;0,AQ814/R814,0))/MAX(0.1,N(Parameter!$M$21)))</f>
        <v>0.00714285714285714</v>
      </c>
      <c r="AS814" s="50" t="n">
        <f aca="false">AR814*CB814</f>
        <v>1.10714285714286</v>
      </c>
      <c r="AT814" s="51" t="n">
        <f aca="false">IF(LEFT(Cockpit!$I$5,1)="A",H814,IF(CH814=1,(CK814+CI814)/2,IF(LEFT(Cockpit!$I$5,1)="B",(CK814+AV814)/2,MAX((CK814+AV814)/2,H814))))</f>
        <v>8</v>
      </c>
      <c r="AU814" s="50" t="n">
        <f aca="false">AT814*G814</f>
        <v>83.36</v>
      </c>
      <c r="AV814" s="50" t="n">
        <f aca="false">ROUNDUP(CK814+MAX(CL814,2*(J814/IF(CG814&gt;0,CG814,MAX(0.1,N(Cockpit!$I$6)))-CK814)),0)</f>
        <v>10</v>
      </c>
      <c r="AW814" s="51" t="n">
        <f aca="false">IF(AS814&gt;0,J814/AS814,-1)</f>
        <v>7.2258064516129</v>
      </c>
      <c r="AX814" s="51" t="n">
        <f aca="false">IF(AND(OR(CF814="L1",CF814="L23",CF814="LIFT"),AS814&gt;0),SUMIFS($AS$7:$AS$1843,$CF$7:$CF$1843,CF814,$AW$7:$AW$1843,"&gt;"&amp;AW814)+SUMIFS($AS$7:$AS$1843,$CF$7:$CF$1843,CF814,$AW$7:$AW$1843,AW814,$BW$7:$BW$1843,"&lt;="&amp;BW814),"")</f>
        <v>3818.10851648352</v>
      </c>
      <c r="AY814" s="58" t="n">
        <f aca="false">IF(AX814="",0,MAX(0,MIN(1,(IF(CF814="L1",Parameter!$H$5,IF(CF814="L23",Parameter!$H$6+Parameter!$H$7,Parameter!$H$5+Parameter!$H$6+Parameter!$H$7))-(AX814-AS814))/AS814)))</f>
        <v>1</v>
      </c>
      <c r="AZ814" s="50" t="n">
        <f aca="false">IF(LEFT(Cockpit!$O$5,1)="A",H814,IF(Parameter!$E$30="MAX-Bestand",IF(CH814=1,CI814,IF(LEFT(Cockpit!$O$5,1)="B",BF814,MAX(BF814,H814))),ROUNDUP(BD814,0)))</f>
        <v>5</v>
      </c>
      <c r="BA814" s="50" t="n">
        <f aca="false">IF(BZ814=1,0,ROUNDUP(AZ814/BY814,0))</f>
        <v>1</v>
      </c>
      <c r="BB814" s="52" t="n">
        <f aca="false">IF(CQ814&gt;0,CQ814*MAX(1,AZ814/X814),IF(BZ814=1,IF(AZ814&lt;=0,0,CD814*MAX(1,IF(H814&gt;0,AZ814/H814,1))),IF(R814&gt;0,BA814/R814,0))/MAX(0.1,N(Parameter!$M$21)))</f>
        <v>0.00714285714285714</v>
      </c>
      <c r="BC814" s="50" t="n">
        <f aca="false">BB814*CB814</f>
        <v>1.10714285714286</v>
      </c>
      <c r="BD814" s="51" t="n">
        <f aca="false">IF(LEFT(Cockpit!$O$5,1)="A",H814,IF(CH814=1,(CK814+CI814)/2,IF(LEFT(Cockpit!$O$5,1)="B",(CK814+BF814)/2,MAX((CK814+BF814)/2,H814))))</f>
        <v>5</v>
      </c>
      <c r="BE814" s="50" t="n">
        <f aca="false">BD814*G814</f>
        <v>52.1</v>
      </c>
      <c r="BF814" s="50" t="n">
        <f aca="false">ROUNDUP(CK814+MAX(CL814,2*(J814/IF(CG814&gt;0,CG814,MAX(0.1,N(Cockpit!$O$6)))-CK814)),0)</f>
        <v>10</v>
      </c>
      <c r="BG814" s="51" t="n">
        <f aca="false">IF(BC814&gt;0,J814/BC814,-1)</f>
        <v>7.2258064516129</v>
      </c>
      <c r="BH814" s="51" t="n">
        <f aca="false">IF(AND(OR(CF814="L1",CF814="L23",CF814="LIFT"),BC814&gt;0),SUMIFS($BC$7:$BC$1843,$CF$7:$CF$1843,CF814,$BG$7:$BG$1843,"&gt;"&amp;BG814)+SUMIFS($BC$7:$BC$1843,$CF$7:$CF$1843,CF814,$BG$7:$BG$1843,BG814,$BW$7:$BW$1843,"&lt;="&amp;BW814),"")</f>
        <v>3242.56639194139</v>
      </c>
      <c r="BI814" s="58" t="n">
        <f aca="false">IF(BH814="",0,MAX(0,MIN(1,(IF(CF814="L1",Parameter!$H$5,IF(CF814="L23",Parameter!$H$6+Parameter!$H$7,Parameter!$H$5+Parameter!$H$6+Parameter!$H$7))-(BH814-BC814))/BC814)))</f>
        <v>1</v>
      </c>
      <c r="BJ814" s="48" t="str">
        <f aca="false">IF(AI814&lt;=0,"",IF(CF814="Aussen","Aussenlager",IF(CF814="-","Nicht im Lift",IF(AO814&gt;=1,"Lift",IF(AO814&lt;=0,"Aussenlager","teilweise")))))</f>
        <v>Lift</v>
      </c>
      <c r="BK814" s="48" t="str">
        <f aca="false">IF(AS814&lt;=0,"",IF(CF814="Aussen","Aussenlager",IF(CF814="-","Nicht im Lift",IF(AY814&gt;=1,"Lift",IF(AY814&lt;=0,"Aussenlager","teilweise")))))</f>
        <v>Lift</v>
      </c>
      <c r="BL814" s="48" t="str">
        <f aca="false">IF(BC814&lt;=0,"",IF(CF814="Aussen","Aussenlager",IF(CF814="-","Nicht im Lift",IF(BI814&gt;=1,"Lift",IF(BI814&lt;=0,"Aussenlager","teilweise")))))</f>
        <v>Lift</v>
      </c>
      <c r="BM814" s="48" t="str">
        <f aca="false">IF(A814="","",IF(BV814=1,"Neu; ","")&amp;IF(AND(BV814=0,BQ814&lt;0),"negativer Bestand (Export "&amp;BQ814&amp;"); ","")&amp;IF(J814&lt;=0,"Kein Verbrauch; ","")&amp;IF(CQ814&gt;0,"Lift "&amp;W814&amp;" lt. Liftbericht (Fach "&amp;X814&amp;" Stk); ",IF(CA814=1,"Gebinde geschätzt ("&amp;T814&amp;"); ",IF(BZ814=1,"Lose – Tablare geschätzt; ","")))&amp;IF(H814&gt;AV814,"Überbestand "&amp;ROUND(H814-AV814,0)&amp;" Stk / CHF "&amp;ROUND((H814-AV814)*G814,0)&amp;"; ","")&amp;IF(AND(CH814=1,CI814&lt;CJ814),"MAX &lt; MB+LG; ","")&amp;IF(AND(CP814&gt;0,CO814*10&gt;CP814),"zu hoch für Tablar; ","")&amp;IF(AND(BV814=0,OR(CH814=1,AA814&lt;&gt;"",U814&lt;&gt;"",V814&lt;&gt;"",AB814&lt;&gt;"")),"manuell übersteuert; ","")&amp;IF(AND(BZ814=0,R814=0),"Gebinde unbekannt / Stellmass fehlt; ","")&amp;IF(AND(BZ814=0,N(V814)&lt;=0,N(Q814)&lt;=0),"Menge pro Gebinde fehlt (Ist = 1 Gebinde); ","")&amp;BU814)</f>
        <v/>
      </c>
      <c r="BN814" s="48"/>
      <c r="BO814" s="48"/>
      <c r="BP814" s="55"/>
      <c r="BQ814" s="50" t="n">
        <v>0</v>
      </c>
      <c r="BR814" s="50" t="n">
        <v>8</v>
      </c>
      <c r="BS814" s="49" t="n">
        <v>-7.36000000000002</v>
      </c>
      <c r="BT814" s="50" t="n">
        <v>8</v>
      </c>
      <c r="BU814" s="48"/>
      <c r="BV814" s="53" t="n">
        <v>0</v>
      </c>
      <c r="BW814" s="53" t="n">
        <v>814</v>
      </c>
      <c r="BX814" s="48" t="str">
        <f aca="false">IF(U814&lt;&gt;"",UPPER(TRIM(U814)),IF(CA814=1,UPPER(VLOOKUP(T814,Parameter!$I$27:$K$29,2,0)),IF(P814="","LOSE",P814)))</f>
        <v>S22</v>
      </c>
      <c r="BY814" s="50" t="n">
        <f aca="false">IF(BX814="LOSE",1,IF(N(V814)&gt;0,V814,IF(CA814=1,MAX(1,N(VLOOKUP(T814,Parameter!$I$27:$K$29,3,0)),H814,N(N814)),IF(N(Q814)&gt;0,Q814,MAX(1,H814)))))</f>
        <v>15</v>
      </c>
      <c r="BZ814" s="53" t="n">
        <f aca="false">IF(BX814="LOSE",1,0)</f>
        <v>0</v>
      </c>
      <c r="CA814" s="53" t="n">
        <f aca="false">IF(AND(U814="",OR(P814="",P814="LOSE"),T814&lt;&gt;"",N(S814)&lt;=0,ISNUMBER(MATCH(T814,Parameter!$I$27:$I$29,0))),1,0)</f>
        <v>0</v>
      </c>
      <c r="CB814" s="53" t="n">
        <f aca="false">IF(CQ814&gt;0,INDEX(Parameter!$H$5:$H$7,W814)/INDEX(Parameter!$E$5:$E$7,W814),IF(AND(BZ814=0,N(IFERROR(VLOOKUP(BX814,'Gebinde-Kategorie'!$A$5:$N$45,14,0),0))&gt;0),VLOOKUP(BX814,'Gebinde-Kategorie'!$A$5:$N$45,14,0)*10+Parameter!$M$23,Parameter!$M$24))</f>
        <v>155</v>
      </c>
      <c r="CC814" s="48" t="str">
        <f aca="false">IF(AND(Parameter!$B$19="Ja",E814&lt;&gt;"",ISNUMBER(MATCH(E814,Parameter!$I$35:$I$52,0))),VLOOKUP(E814,Parameter!$I$35:$J$52,2,0),IFERROR(VLOOKUP(D814,Parameter!$A$35:$C$64,2,0),"Nein"))</f>
        <v>2+3</v>
      </c>
      <c r="CD814" s="52" t="n">
        <f aca="false">IF(BZ814=0,0,IF(N(S814)&gt;0,S814,IFERROR(VLOOKUP(D814,Parameter!$A$35:$C$64,3,0)+0,0)))</f>
        <v>0</v>
      </c>
      <c r="CE814" s="48" t="n">
        <f aca="false">IF(AA814&lt;&gt;"",AA814,Z814)</f>
        <v>3</v>
      </c>
      <c r="CF814" s="48" t="str">
        <f aca="false">IF(OR(CE814=1,CE814=2,CE814=3),IF(Parameter!$E$27="Ja","LIFT",IF(CE814=1,"L1","L23")),IF(CE814="Aussen","Aussen","-"))</f>
        <v>LIFT</v>
      </c>
      <c r="CG814" s="59" t="n">
        <f aca="false">IF(N(AB814)&gt;0,AB814,0)</f>
        <v>0</v>
      </c>
      <c r="CH814" s="53" t="n">
        <f aca="false">IF(ISNUMBER(AE814),1,0)</f>
        <v>0</v>
      </c>
      <c r="CI814" s="50" t="n">
        <f aca="false">N(AE814)</f>
        <v>0</v>
      </c>
      <c r="CJ814" s="50" t="n">
        <f aca="false">N(M814)+N(N814)</f>
        <v>10</v>
      </c>
      <c r="CK814" s="50" t="n">
        <f aca="false">N(M814)</f>
        <v>0</v>
      </c>
      <c r="CL814" s="50" t="n">
        <f aca="false">N(N814)</f>
        <v>10</v>
      </c>
      <c r="CM814" s="50" t="n">
        <f aca="false">ROUNDUP(H814/BY814,0)</f>
        <v>1</v>
      </c>
      <c r="CN814" s="50" t="n">
        <f aca="false">ROUNDUP(CI814/BY814,0)</f>
        <v>0</v>
      </c>
      <c r="CO814" s="53" t="n">
        <f aca="false">IF(BZ814=1,0,IFERROR(VLOOKUP(BX814,'Gebinde-Kategorie'!$A$5:$N$45,5,0)+0,0))</f>
        <v>8</v>
      </c>
      <c r="CP814" s="53" t="n">
        <f aca="false">IFERROR(IF(OR(CE814=1,CE814=2,CE814=3),N(INDEX(Parameter!$I$5:$I$7,CE814)),0),0)</f>
        <v>0</v>
      </c>
      <c r="CQ814" s="52" t="n">
        <f aca="false">IF(AND(Parameter!$B$21="Ja",ISNUMBER(W814),N(X814)&gt;0),IFERROR(N(INDEX(Parameter!$L$5:$L$7,W814))*INDEX(Parameter!$E$5:$E$7,W814)*X814/SUMIFS($X$7:$X$1843,$W$7:$W$1843,W814),0),0)</f>
        <v>0</v>
      </c>
    </row>
    <row r="815" customFormat="false" ht="15" hidden="false" customHeight="false" outlineLevel="0" collapsed="false">
      <c r="A815" s="48" t="s">
        <v>1585</v>
      </c>
      <c r="B815" s="48" t="s">
        <v>1275</v>
      </c>
      <c r="C815" s="48" t="s">
        <v>173</v>
      </c>
      <c r="D815" s="48" t="s">
        <v>193</v>
      </c>
      <c r="E815" s="48" t="s">
        <v>194</v>
      </c>
      <c r="F815" s="48" t="s">
        <v>227</v>
      </c>
      <c r="G815" s="49" t="n">
        <v>0.04</v>
      </c>
      <c r="H815" s="50" t="n">
        <f aca="false">MAX(0,IF(AND(Parameter!$B$21="Ja",ISNUMBER(Y815)),Y815,IF(Parameter!$B$20="Jahresanfang 2025 + Export",BR815+BQ815,BQ815)))</f>
        <v>687</v>
      </c>
      <c r="I815" s="50" t="n">
        <f aca="false">H815*G815</f>
        <v>27.48</v>
      </c>
      <c r="J815" s="50" t="n">
        <f aca="false">BT815*Parameter!$B$18</f>
        <v>263</v>
      </c>
      <c r="K815" s="51" t="n">
        <v>852</v>
      </c>
      <c r="L815" s="52" t="n">
        <v>0.30868544600939</v>
      </c>
      <c r="M815" s="50" t="n">
        <v>15</v>
      </c>
      <c r="N815" s="50" t="n">
        <v>265</v>
      </c>
      <c r="O815" s="53" t="n">
        <v>21</v>
      </c>
      <c r="P815" s="48" t="s">
        <v>485</v>
      </c>
      <c r="Q815" s="50" t="n">
        <v>1885</v>
      </c>
      <c r="R815" s="53" t="n">
        <f aca="false">IF(BZ815=1,0,IFERROR(VLOOKUP(BX815,'Gebinde-Kategorie'!$A$5:$N$45,13,0)+0,0))</f>
        <v>52</v>
      </c>
      <c r="S815" s="54"/>
      <c r="T815" s="55"/>
      <c r="U815" s="55"/>
      <c r="V815" s="55"/>
      <c r="W815" s="48"/>
      <c r="X815" s="50"/>
      <c r="Y815" s="50"/>
      <c r="Z815" s="48" t="n">
        <f aca="false">IF(A815="","",IF(AND(Parameter!$B$21="Ja",ISNUMBER(W815)),W815,IF(CC815="2+3",IF(ISNUMBER(SEARCH("grosser Artikel",BU815)),2,IFERROR(VLOOKUP(BX815,Parameter!$F$35:$G$64,2,0),2)),IF(OR(CC815="Nein",CC815=""),"-",CC815))))</f>
        <v>3</v>
      </c>
      <c r="AA815" s="55"/>
      <c r="AB815" s="56"/>
      <c r="AC815" s="50" t="n">
        <f aca="false">AV815</f>
        <v>280</v>
      </c>
      <c r="AD815" s="50" t="n">
        <f aca="false">MAX(AV815,H815)</f>
        <v>687</v>
      </c>
      <c r="AE815" s="57"/>
      <c r="AF815" s="50" t="n">
        <f aca="false">IF(LEFT(Cockpit!$C$5,1)="A",H815,IF(Parameter!$E$30="MAX-Bestand",IF(CH815=1,CI815,IF(LEFT(Cockpit!$C$5,1)="B",AL815,MAX(AL815,H815))),ROUNDUP(AJ815,0)))</f>
        <v>687</v>
      </c>
      <c r="AG815" s="50" t="n">
        <f aca="false">IF(BZ815=1,0,ROUNDUP(AF815/BY815,0))</f>
        <v>1</v>
      </c>
      <c r="AH815" s="52" t="n">
        <f aca="false">IF(CQ815&gt;0,CQ815*MAX(1,AF815/X815),IF(BZ815=1,IF(AF815&lt;=0,0,CD815*MAX(1,IF(H815&gt;0,AF815/H815,1))),IF(R815&gt;0,AG815/R815,0))/MAX(0.1,N(Parameter!$M$21)))</f>
        <v>0.0192307692307692</v>
      </c>
      <c r="AI815" s="50" t="n">
        <f aca="false">AH815*CB815</f>
        <v>2.98076923076923</v>
      </c>
      <c r="AJ815" s="51" t="n">
        <f aca="false">IF(LEFT(Cockpit!$C$5,1)="A",H815,IF(CH815=1,(CK815+CI815)/2,IF(LEFT(Cockpit!$C$5,1)="B",(CK815+AL815)/2,MAX((CK815+AL815)/2,H815))))</f>
        <v>687</v>
      </c>
      <c r="AK815" s="50" t="n">
        <f aca="false">AJ815*G815</f>
        <v>27.48</v>
      </c>
      <c r="AL815" s="50" t="n">
        <f aca="false">ROUNDUP(CK815+MAX(CL815,2*(J815/IF(CG815&gt;0,CG815,MAX(0.1,N(Cockpit!$C$6)))-CK815)),0)</f>
        <v>280</v>
      </c>
      <c r="AM815" s="51" t="n">
        <f aca="false">IF(AI815&gt;0,J815/AI815,-1)</f>
        <v>88.2322580645161</v>
      </c>
      <c r="AN815" s="51" t="n">
        <f aca="false">IF(AND(OR(CF815="L1",CF815="L23",CF815="LIFT"),AI815&gt;0),SUMIFS($AI$7:$AI$1843,$CF$7:$CF$1843,CF815,$AM$7:$AM$1843,"&gt;"&amp;AM815)+SUMIFS($AI$7:$AI$1843,$CF$7:$CF$1843,CF815,$AM$7:$AM$1843,AM815,$BW$7:$BW$1843,"&lt;="&amp;BW815),"")</f>
        <v>830.916208791209</v>
      </c>
      <c r="AO815" s="58" t="n">
        <f aca="false">IF(AN815="",0,MAX(0,MIN(1,(IF(CF815="L1",Parameter!$H$5,IF(CF815="L23",Parameter!$H$6+Parameter!$H$7,Parameter!$H$5+Parameter!$H$6+Parameter!$H$7))-(AN815-AI815))/AI815)))</f>
        <v>1</v>
      </c>
      <c r="AP815" s="50" t="n">
        <f aca="false">IF(LEFT(Cockpit!$I$5,1)="A",H815,IF(Parameter!$E$30="MAX-Bestand",IF(CH815=1,CI815,IF(LEFT(Cockpit!$I$5,1)="B",AV815,MAX(AV815,H815))),ROUNDUP(AT815,0)))</f>
        <v>687</v>
      </c>
      <c r="AQ815" s="50" t="n">
        <f aca="false">IF(BZ815=1,0,ROUNDUP(AP815/BY815,0))</f>
        <v>1</v>
      </c>
      <c r="AR815" s="52" t="n">
        <f aca="false">IF(CQ815&gt;0,CQ815*MAX(1,AP815/X815),IF(BZ815=1,IF(AP815&lt;=0,0,CD815*MAX(1,IF(H815&gt;0,AP815/H815,1))),IF(R815&gt;0,AQ815/R815,0))/MAX(0.1,N(Parameter!$M$21)))</f>
        <v>0.0192307692307692</v>
      </c>
      <c r="AS815" s="50" t="n">
        <f aca="false">AR815*CB815</f>
        <v>2.98076923076923</v>
      </c>
      <c r="AT815" s="51" t="n">
        <f aca="false">IF(LEFT(Cockpit!$I$5,1)="A",H815,IF(CH815=1,(CK815+CI815)/2,IF(LEFT(Cockpit!$I$5,1)="B",(CK815+AV815)/2,MAX((CK815+AV815)/2,H815))))</f>
        <v>687</v>
      </c>
      <c r="AU815" s="50" t="n">
        <f aca="false">AT815*G815</f>
        <v>27.48</v>
      </c>
      <c r="AV815" s="50" t="n">
        <f aca="false">ROUNDUP(CK815+MAX(CL815,2*(J815/IF(CG815&gt;0,CG815,MAX(0.1,N(Cockpit!$I$6)))-CK815)),0)</f>
        <v>280</v>
      </c>
      <c r="AW815" s="51" t="n">
        <f aca="false">IF(AS815&gt;0,J815/AS815,-1)</f>
        <v>88.2322580645161</v>
      </c>
      <c r="AX815" s="51" t="n">
        <f aca="false">IF(AND(OR(CF815="L1",CF815="L23",CF815="LIFT"),AS815&gt;0),SUMIFS($AS$7:$AS$1843,$CF$7:$CF$1843,CF815,$AW$7:$AW$1843,"&gt;"&amp;AW815)+SUMIFS($AS$7:$AS$1843,$CF$7:$CF$1843,CF815,$AW$7:$AW$1843,AW815,$BW$7:$BW$1843,"&lt;="&amp;BW815),"")</f>
        <v>1043.8282967033</v>
      </c>
      <c r="AY815" s="58" t="n">
        <f aca="false">IF(AX815="",0,MAX(0,MIN(1,(IF(CF815="L1",Parameter!$H$5,IF(CF815="L23",Parameter!$H$6+Parameter!$H$7,Parameter!$H$5+Parameter!$H$6+Parameter!$H$7))-(AX815-AS815))/AS815)))</f>
        <v>1</v>
      </c>
      <c r="AZ815" s="50" t="n">
        <f aca="false">IF(LEFT(Cockpit!$O$5,1)="A",H815,IF(Parameter!$E$30="MAX-Bestand",IF(CH815=1,CI815,IF(LEFT(Cockpit!$O$5,1)="B",BF815,MAX(BF815,H815))),ROUNDUP(BD815,0)))</f>
        <v>148</v>
      </c>
      <c r="BA815" s="50" t="n">
        <f aca="false">IF(BZ815=1,0,ROUNDUP(AZ815/BY815,0))</f>
        <v>1</v>
      </c>
      <c r="BB815" s="52" t="n">
        <f aca="false">IF(CQ815&gt;0,CQ815*MAX(1,AZ815/X815),IF(BZ815=1,IF(AZ815&lt;=0,0,CD815*MAX(1,IF(H815&gt;0,AZ815/H815,1))),IF(R815&gt;0,BA815/R815,0))/MAX(0.1,N(Parameter!$M$21)))</f>
        <v>0.0192307692307692</v>
      </c>
      <c r="BC815" s="50" t="n">
        <f aca="false">BB815*CB815</f>
        <v>2.98076923076923</v>
      </c>
      <c r="BD815" s="51" t="n">
        <f aca="false">IF(LEFT(Cockpit!$O$5,1)="A",H815,IF(CH815=1,(CK815+CI815)/2,IF(LEFT(Cockpit!$O$5,1)="B",(CK815+BF815)/2,MAX((CK815+BF815)/2,H815))))</f>
        <v>147.5</v>
      </c>
      <c r="BE815" s="50" t="n">
        <f aca="false">BD815*G815</f>
        <v>5.9</v>
      </c>
      <c r="BF815" s="50" t="n">
        <f aca="false">ROUNDUP(CK815+MAX(CL815,2*(J815/IF(CG815&gt;0,CG815,MAX(0.1,N(Cockpit!$O$6)))-CK815)),0)</f>
        <v>280</v>
      </c>
      <c r="BG815" s="51" t="n">
        <f aca="false">IF(BC815&gt;0,J815/BC815,-1)</f>
        <v>88.2322580645161</v>
      </c>
      <c r="BH815" s="51" t="n">
        <f aca="false">IF(AND(OR(CF815="L1",CF815="L23",CF815="LIFT"),BC815&gt;0),SUMIFS($BC$7:$BC$1843,$CF$7:$CF$1843,CF815,$BG$7:$BG$1843,"&gt;"&amp;BG815)+SUMIFS($BC$7:$BC$1843,$CF$7:$CF$1843,CF815,$BG$7:$BG$1843,BG815,$BW$7:$BW$1843,"&lt;="&amp;BW815),"")</f>
        <v>979.467948717949</v>
      </c>
      <c r="BI815" s="58" t="n">
        <f aca="false">IF(BH815="",0,MAX(0,MIN(1,(IF(CF815="L1",Parameter!$H$5,IF(CF815="L23",Parameter!$H$6+Parameter!$H$7,Parameter!$H$5+Parameter!$H$6+Parameter!$H$7))-(BH815-BC815))/BC815)))</f>
        <v>1</v>
      </c>
      <c r="BJ815" s="48" t="str">
        <f aca="false">IF(AI815&lt;=0,"",IF(CF815="Aussen","Aussenlager",IF(CF815="-","Nicht im Lift",IF(AO815&gt;=1,"Lift",IF(AO815&lt;=0,"Aussenlager","teilweise")))))</f>
        <v>Lift</v>
      </c>
      <c r="BK815" s="48" t="str">
        <f aca="false">IF(AS815&lt;=0,"",IF(CF815="Aussen","Aussenlager",IF(CF815="-","Nicht im Lift",IF(AY815&gt;=1,"Lift",IF(AY815&lt;=0,"Aussenlager","teilweise")))))</f>
        <v>Lift</v>
      </c>
      <c r="BL815" s="48" t="str">
        <f aca="false">IF(BC815&lt;=0,"",IF(CF815="Aussen","Aussenlager",IF(CF815="-","Nicht im Lift",IF(BI815&gt;=1,"Lift",IF(BI815&lt;=0,"Aussenlager","teilweise")))))</f>
        <v>Lift</v>
      </c>
      <c r="BM815" s="48" t="str">
        <f aca="false">IF(A815="","",IF(BV815=1,"Neu; ","")&amp;IF(AND(BV815=0,BQ815&lt;0),"negativer Bestand (Export "&amp;BQ815&amp;"); ","")&amp;IF(J815&lt;=0,"Kein Verbrauch; ","")&amp;IF(CQ815&gt;0,"Lift "&amp;W815&amp;" lt. Liftbericht (Fach "&amp;X815&amp;" Stk); ",IF(CA815=1,"Gebinde geschätzt ("&amp;T815&amp;"); ",IF(BZ815=1,"Lose – Tablare geschätzt; ","")))&amp;IF(H815&gt;AV815,"Überbestand "&amp;ROUND(H815-AV815,0)&amp;" Stk / CHF "&amp;ROUND((H815-AV815)*G815,0)&amp;"; ","")&amp;IF(AND(CH815=1,CI815&lt;CJ815),"MAX &lt; MB+LG; ","")&amp;IF(AND(CP815&gt;0,CO815*10&gt;CP815),"zu hoch für Tablar; ","")&amp;IF(AND(BV815=0,OR(CH815=1,AA815&lt;&gt;"",U815&lt;&gt;"",V815&lt;&gt;"",AB815&lt;&gt;"")),"manuell übersteuert; ","")&amp;IF(AND(BZ815=0,R815=0),"Gebinde unbekannt / Stellmass fehlt; ","")&amp;IF(AND(BZ815=0,N(V815)&lt;=0,N(Q815)&lt;=0),"Menge pro Gebinde fehlt (Ist = 1 Gebinde); ","")&amp;BU815)</f>
        <v>negativer Bestand (Export -190); Überbestand 407 Stk / CHF 16; Überbestand</v>
      </c>
      <c r="BN815" s="48"/>
      <c r="BO815" s="48"/>
      <c r="BP815" s="55"/>
      <c r="BQ815" s="50" t="n">
        <v>-190</v>
      </c>
      <c r="BR815" s="50" t="n">
        <v>877</v>
      </c>
      <c r="BS815" s="49" t="n">
        <v>-7.6</v>
      </c>
      <c r="BT815" s="50" t="n">
        <v>263</v>
      </c>
      <c r="BU815" s="48" t="s">
        <v>401</v>
      </c>
      <c r="BV815" s="53" t="n">
        <v>0</v>
      </c>
      <c r="BW815" s="53" t="n">
        <v>815</v>
      </c>
      <c r="BX815" s="48" t="str">
        <f aca="false">IF(U815&lt;&gt;"",UPPER(TRIM(U815)),IF(CA815=1,UPPER(VLOOKUP(T815,Parameter!$I$27:$K$29,2,0)),IF(P815="","LOSE",P815)))</f>
        <v>S33</v>
      </c>
      <c r="BY815" s="50" t="n">
        <f aca="false">IF(BX815="LOSE",1,IF(N(V815)&gt;0,V815,IF(CA815=1,MAX(1,N(VLOOKUP(T815,Parameter!$I$27:$K$29,3,0)),H815,N(N815)),IF(N(Q815)&gt;0,Q815,MAX(1,H815)))))</f>
        <v>1885</v>
      </c>
      <c r="BZ815" s="53" t="n">
        <f aca="false">IF(BX815="LOSE",1,0)</f>
        <v>0</v>
      </c>
      <c r="CA815" s="53" t="n">
        <f aca="false">IF(AND(U815="",OR(P815="",P815="LOSE"),T815&lt;&gt;"",N(S815)&lt;=0,ISNUMBER(MATCH(T815,Parameter!$I$27:$I$29,0))),1,0)</f>
        <v>0</v>
      </c>
      <c r="CB815" s="53" t="n">
        <f aca="false">IF(CQ815&gt;0,INDEX(Parameter!$H$5:$H$7,W815)/INDEX(Parameter!$E$5:$E$7,W815),IF(AND(BZ815=0,N(IFERROR(VLOOKUP(BX815,'Gebinde-Kategorie'!$A$5:$N$45,14,0),0))&gt;0),VLOOKUP(BX815,'Gebinde-Kategorie'!$A$5:$N$45,14,0)*10+Parameter!$M$23,Parameter!$M$24))</f>
        <v>155</v>
      </c>
      <c r="CC815" s="48" t="str">
        <f aca="false">IF(AND(Parameter!$B$19="Ja",E815&lt;&gt;"",ISNUMBER(MATCH(E815,Parameter!$I$35:$I$52,0))),VLOOKUP(E815,Parameter!$I$35:$J$52,2,0),IFERROR(VLOOKUP(D815,Parameter!$A$35:$C$64,2,0),"Nein"))</f>
        <v>2+3</v>
      </c>
      <c r="CD815" s="52" t="n">
        <f aca="false">IF(BZ815=0,0,IF(N(S815)&gt;0,S815,IFERROR(VLOOKUP(D815,Parameter!$A$35:$C$64,3,0)+0,0)))</f>
        <v>0</v>
      </c>
      <c r="CE815" s="48" t="n">
        <f aca="false">IF(AA815&lt;&gt;"",AA815,Z815)</f>
        <v>3</v>
      </c>
      <c r="CF815" s="48" t="str">
        <f aca="false">IF(OR(CE815=1,CE815=2,CE815=3),IF(Parameter!$E$27="Ja","LIFT",IF(CE815=1,"L1","L23")),IF(CE815="Aussen","Aussen","-"))</f>
        <v>LIFT</v>
      </c>
      <c r="CG815" s="59" t="n">
        <f aca="false">IF(N(AB815)&gt;0,AB815,0)</f>
        <v>0</v>
      </c>
      <c r="CH815" s="53" t="n">
        <f aca="false">IF(ISNUMBER(AE815),1,0)</f>
        <v>0</v>
      </c>
      <c r="CI815" s="50" t="n">
        <f aca="false">N(AE815)</f>
        <v>0</v>
      </c>
      <c r="CJ815" s="50" t="n">
        <f aca="false">N(M815)+N(N815)</f>
        <v>280</v>
      </c>
      <c r="CK815" s="50" t="n">
        <f aca="false">N(M815)</f>
        <v>15</v>
      </c>
      <c r="CL815" s="50" t="n">
        <f aca="false">N(N815)</f>
        <v>265</v>
      </c>
      <c r="CM815" s="50" t="n">
        <f aca="false">ROUNDUP(H815/BY815,0)</f>
        <v>1</v>
      </c>
      <c r="CN815" s="50" t="n">
        <f aca="false">ROUNDUP(CI815/BY815,0)</f>
        <v>0</v>
      </c>
      <c r="CO815" s="53" t="n">
        <f aca="false">IF(BZ815=1,0,IFERROR(VLOOKUP(BX815,'Gebinde-Kategorie'!$A$5:$N$45,5,0)+0,0))</f>
        <v>8</v>
      </c>
      <c r="CP815" s="53" t="n">
        <f aca="false">IFERROR(IF(OR(CE815=1,CE815=2,CE815=3),N(INDEX(Parameter!$I$5:$I$7,CE815)),0),0)</f>
        <v>0</v>
      </c>
      <c r="CQ815" s="52" t="n">
        <f aca="false">IF(AND(Parameter!$B$21="Ja",ISNUMBER(W815),N(X815)&gt;0),IFERROR(N(INDEX(Parameter!$L$5:$L$7,W815))*INDEX(Parameter!$E$5:$E$7,W815)*X815/SUMIFS($X$7:$X$1843,$W$7:$W$1843,W815),0),0)</f>
        <v>0</v>
      </c>
    </row>
    <row r="816" customFormat="false" ht="15" hidden="false" customHeight="false" outlineLevel="0" collapsed="false">
      <c r="A816" s="48" t="s">
        <v>1586</v>
      </c>
      <c r="B816" s="48" t="s">
        <v>1587</v>
      </c>
      <c r="C816" s="48" t="s">
        <v>173</v>
      </c>
      <c r="D816" s="48" t="s">
        <v>193</v>
      </c>
      <c r="E816" s="48" t="s">
        <v>194</v>
      </c>
      <c r="F816" s="48" t="s">
        <v>227</v>
      </c>
      <c r="G816" s="49" t="n">
        <v>8.05</v>
      </c>
      <c r="H816" s="50" t="n">
        <f aca="false">MAX(0,IF(AND(Parameter!$B$21="Ja",ISNUMBER(Y816)),Y816,IF(Parameter!$B$20="Jahresanfang 2025 + Export",BR816+BQ816,BQ816)))</f>
        <v>45</v>
      </c>
      <c r="I816" s="50" t="n">
        <f aca="false">H816*G816</f>
        <v>362.25</v>
      </c>
      <c r="J816" s="50" t="n">
        <f aca="false">BT816*Parameter!$B$18</f>
        <v>0</v>
      </c>
      <c r="K816" s="51" t="n">
        <v>46</v>
      </c>
      <c r="L816" s="52" t="n">
        <v>0</v>
      </c>
      <c r="M816" s="50" t="n">
        <v>0</v>
      </c>
      <c r="N816" s="50" t="n">
        <v>1</v>
      </c>
      <c r="O816" s="53" t="n">
        <v>35</v>
      </c>
      <c r="P816" s="48" t="s">
        <v>242</v>
      </c>
      <c r="Q816" s="50" t="n">
        <v>46</v>
      </c>
      <c r="R816" s="53" t="n">
        <f aca="false">IF(BZ816=1,0,IFERROR(VLOOKUP(BX816,'Gebinde-Kategorie'!$A$5:$N$45,13,0)+0,0))</f>
        <v>26</v>
      </c>
      <c r="S816" s="54"/>
      <c r="T816" s="55"/>
      <c r="U816" s="55"/>
      <c r="V816" s="55"/>
      <c r="W816" s="48"/>
      <c r="X816" s="50"/>
      <c r="Y816" s="50"/>
      <c r="Z816" s="48" t="n">
        <f aca="false">IF(A816="","",IF(AND(Parameter!$B$21="Ja",ISNUMBER(W816)),W816,IF(CC816="2+3",IF(ISNUMBER(SEARCH("grosser Artikel",BU816)),2,IFERROR(VLOOKUP(BX816,Parameter!$F$35:$G$64,2,0),2)),IF(OR(CC816="Nein",CC816=""),"-",CC816))))</f>
        <v>3</v>
      </c>
      <c r="AA816" s="55"/>
      <c r="AB816" s="56"/>
      <c r="AC816" s="50" t="n">
        <f aca="false">AV816</f>
        <v>1</v>
      </c>
      <c r="AD816" s="50" t="n">
        <f aca="false">MAX(AV816,H816)</f>
        <v>45</v>
      </c>
      <c r="AE816" s="57"/>
      <c r="AF816" s="50" t="n">
        <f aca="false">IF(LEFT(Cockpit!$C$5,1)="A",H816,IF(Parameter!$E$30="MAX-Bestand",IF(CH816=1,CI816,IF(LEFT(Cockpit!$C$5,1)="B",AL816,MAX(AL816,H816))),ROUNDUP(AJ816,0)))</f>
        <v>45</v>
      </c>
      <c r="AG816" s="50" t="n">
        <f aca="false">IF(BZ816=1,0,ROUNDUP(AF816/BY816,0))</f>
        <v>1</v>
      </c>
      <c r="AH816" s="52" t="n">
        <f aca="false">IF(CQ816&gt;0,CQ816*MAX(1,AF816/X816),IF(BZ816=1,IF(AF816&lt;=0,0,CD816*MAX(1,IF(H816&gt;0,AF816/H816,1))),IF(R816&gt;0,AG816/R816,0))/MAX(0.1,N(Parameter!$M$21)))</f>
        <v>0.0384615384615385</v>
      </c>
      <c r="AI816" s="50" t="n">
        <f aca="false">AH816*CB816</f>
        <v>9.42307692307692</v>
      </c>
      <c r="AJ816" s="51" t="n">
        <f aca="false">IF(LEFT(Cockpit!$C$5,1)="A",H816,IF(CH816=1,(CK816+CI816)/2,IF(LEFT(Cockpit!$C$5,1)="B",(CK816+AL816)/2,MAX((CK816+AL816)/2,H816))))</f>
        <v>45</v>
      </c>
      <c r="AK816" s="50" t="n">
        <f aca="false">AJ816*G816</f>
        <v>362.25</v>
      </c>
      <c r="AL816" s="50" t="n">
        <f aca="false">ROUNDUP(CK816+MAX(CL816,2*(J816/IF(CG816&gt;0,CG816,MAX(0.1,N(Cockpit!$C$6)))-CK816)),0)</f>
        <v>1</v>
      </c>
      <c r="AM816" s="51" t="n">
        <f aca="false">IF(AI816&gt;0,J816/AI816,-1)</f>
        <v>0</v>
      </c>
      <c r="AN816" s="51" t="n">
        <f aca="false">IF(AND(OR(CF816="L1",CF816="L23",CF816="LIFT"),AI816&gt;0),SUMIFS($AI$7:$AI$1843,$CF$7:$CF$1843,CF816,$AM$7:$AM$1843,"&gt;"&amp;AM816)+SUMIFS($AI$7:$AI$1843,$CF$7:$CF$1843,CF816,$AM$7:$AM$1843,AM816,$BW$7:$BW$1843,"&lt;="&amp;BW816),"")</f>
        <v>28782.5880802343</v>
      </c>
      <c r="AO816" s="58" t="n">
        <f aca="false">IF(AN816="",0,MAX(0,MIN(1,(IF(CF816="L1",Parameter!$H$5,IF(CF816="L23",Parameter!$H$6+Parameter!$H$7,Parameter!$H$5+Parameter!$H$6+Parameter!$H$7))-(AN816-AI816))/AI816)))</f>
        <v>1</v>
      </c>
      <c r="AP816" s="50" t="n">
        <f aca="false">IF(LEFT(Cockpit!$I$5,1)="A",H816,IF(Parameter!$E$30="MAX-Bestand",IF(CH816=1,CI816,IF(LEFT(Cockpit!$I$5,1)="B",AV816,MAX(AV816,H816))),ROUNDUP(AT816,0)))</f>
        <v>45</v>
      </c>
      <c r="AQ816" s="50" t="n">
        <f aca="false">IF(BZ816=1,0,ROUNDUP(AP816/BY816,0))</f>
        <v>1</v>
      </c>
      <c r="AR816" s="52" t="n">
        <f aca="false">IF(CQ816&gt;0,CQ816*MAX(1,AP816/X816),IF(BZ816=1,IF(AP816&lt;=0,0,CD816*MAX(1,IF(H816&gt;0,AP816/H816,1))),IF(R816&gt;0,AQ816/R816,0))/MAX(0.1,N(Parameter!$M$21)))</f>
        <v>0.0384615384615385</v>
      </c>
      <c r="AS816" s="50" t="n">
        <f aca="false">AR816*CB816</f>
        <v>9.42307692307692</v>
      </c>
      <c r="AT816" s="51" t="n">
        <f aca="false">IF(LEFT(Cockpit!$I$5,1)="A",H816,IF(CH816=1,(CK816+CI816)/2,IF(LEFT(Cockpit!$I$5,1)="B",(CK816+AV816)/2,MAX((CK816+AV816)/2,H816))))</f>
        <v>45</v>
      </c>
      <c r="AU816" s="50" t="n">
        <f aca="false">AT816*G816</f>
        <v>362.25</v>
      </c>
      <c r="AV816" s="50" t="n">
        <f aca="false">ROUNDUP(CK816+MAX(CL816,2*(J816/IF(CG816&gt;0,CG816,MAX(0.1,N(Cockpit!$I$6)))-CK816)),0)</f>
        <v>1</v>
      </c>
      <c r="AW816" s="51" t="n">
        <f aca="false">IF(AS816&gt;0,J816/AS816,-1)</f>
        <v>0</v>
      </c>
      <c r="AX816" s="51" t="n">
        <f aca="false">IF(AND(OR(CF816="L1",CF816="L23",CF816="LIFT"),AS816&gt;0),SUMIFS($AS$7:$AS$1843,$CF$7:$CF$1843,CF816,$AW$7:$AW$1843,"&gt;"&amp;AW816)+SUMIFS($AS$7:$AS$1843,$CF$7:$CF$1843,CF816,$AW$7:$AW$1843,AW816,$BW$7:$BW$1843,"&lt;="&amp;BW816),"")</f>
        <v>34393.8864468865</v>
      </c>
      <c r="AY816" s="58" t="n">
        <f aca="false">IF(AX816="",0,MAX(0,MIN(1,(IF(CF816="L1",Parameter!$H$5,IF(CF816="L23",Parameter!$H$6+Parameter!$H$7,Parameter!$H$5+Parameter!$H$6+Parameter!$H$7))-(AX816-AS816))/AS816)))</f>
        <v>1</v>
      </c>
      <c r="AZ816" s="50" t="n">
        <f aca="false">IF(LEFT(Cockpit!$O$5,1)="A",H816,IF(Parameter!$E$30="MAX-Bestand",IF(CH816=1,CI816,IF(LEFT(Cockpit!$O$5,1)="B",BF816,MAX(BF816,H816))),ROUNDUP(BD816,0)))</f>
        <v>1</v>
      </c>
      <c r="BA816" s="50" t="n">
        <f aca="false">IF(BZ816=1,0,ROUNDUP(AZ816/BY816,0))</f>
        <v>1</v>
      </c>
      <c r="BB816" s="52" t="n">
        <f aca="false">IF(CQ816&gt;0,CQ816*MAX(1,AZ816/X816),IF(BZ816=1,IF(AZ816&lt;=0,0,CD816*MAX(1,IF(H816&gt;0,AZ816/H816,1))),IF(R816&gt;0,BA816/R816,0))/MAX(0.1,N(Parameter!$M$21)))</f>
        <v>0.0384615384615385</v>
      </c>
      <c r="BC816" s="50" t="n">
        <f aca="false">BB816*CB816</f>
        <v>9.42307692307692</v>
      </c>
      <c r="BD816" s="51" t="n">
        <f aca="false">IF(LEFT(Cockpit!$O$5,1)="A",H816,IF(CH816=1,(CK816+CI816)/2,IF(LEFT(Cockpit!$O$5,1)="B",(CK816+BF816)/2,MAX((CK816+BF816)/2,H816))))</f>
        <v>0.5</v>
      </c>
      <c r="BE816" s="50" t="n">
        <f aca="false">BD816*G816</f>
        <v>4.025</v>
      </c>
      <c r="BF816" s="50" t="n">
        <f aca="false">ROUNDUP(CK816+MAX(CL816,2*(J816/IF(CG816&gt;0,CG816,MAX(0.1,N(Cockpit!$O$6)))-CK816)),0)</f>
        <v>1</v>
      </c>
      <c r="BG816" s="51" t="n">
        <f aca="false">IF(BC816&gt;0,J816/BC816,-1)</f>
        <v>0</v>
      </c>
      <c r="BH816" s="51" t="n">
        <f aca="false">IF(AND(OR(CF816="L1",CF816="L23",CF816="LIFT"),BC816&gt;0),SUMIFS($BC$7:$BC$1843,$CF$7:$CF$1843,CF816,$BG$7:$BG$1843,"&gt;"&amp;BG816)+SUMIFS($BC$7:$BC$1843,$CF$7:$CF$1843,CF816,$BG$7:$BG$1843,BG816,$BW$7:$BW$1843,"&lt;="&amp;BW816),"")</f>
        <v>28433.6683817595</v>
      </c>
      <c r="BI816" s="58" t="n">
        <f aca="false">IF(BH816="",0,MAX(0,MIN(1,(IF(CF816="L1",Parameter!$H$5,IF(CF816="L23",Parameter!$H$6+Parameter!$H$7,Parameter!$H$5+Parameter!$H$6+Parameter!$H$7))-(BH816-BC816))/BC816)))</f>
        <v>1</v>
      </c>
      <c r="BJ816" s="48" t="str">
        <f aca="false">IF(AI816&lt;=0,"",IF(CF816="Aussen","Aussenlager",IF(CF816="-","Nicht im Lift",IF(AO816&gt;=1,"Lift",IF(AO816&lt;=0,"Aussenlager","teilweise")))))</f>
        <v>Lift</v>
      </c>
      <c r="BK816" s="48" t="str">
        <f aca="false">IF(AS816&lt;=0,"",IF(CF816="Aussen","Aussenlager",IF(CF816="-","Nicht im Lift",IF(AY816&gt;=1,"Lift",IF(AY816&lt;=0,"Aussenlager","teilweise")))))</f>
        <v>Lift</v>
      </c>
      <c r="BL816" s="48" t="str">
        <f aca="false">IF(BC816&lt;=0,"",IF(CF816="Aussen","Aussenlager",IF(CF816="-","Nicht im Lift",IF(BI816&gt;=1,"Lift",IF(BI816&lt;=0,"Aussenlager","teilweise")))))</f>
        <v>Lift</v>
      </c>
      <c r="BM816" s="48" t="str">
        <f aca="false">IF(A816="","",IF(BV816=1,"Neu; ","")&amp;IF(AND(BV816=0,BQ816&lt;0),"negativer Bestand (Export "&amp;BQ816&amp;"); ","")&amp;IF(J816&lt;=0,"Kein Verbrauch; ","")&amp;IF(CQ816&gt;0,"Lift "&amp;W816&amp;" lt. Liftbericht (Fach "&amp;X816&amp;" Stk); ",IF(CA816=1,"Gebinde geschätzt ("&amp;T816&amp;"); ",IF(BZ816=1,"Lose – Tablare geschätzt; ","")))&amp;IF(H816&gt;AV816,"Überbestand "&amp;ROUND(H816-AV816,0)&amp;" Stk / CHF "&amp;ROUND((H816-AV816)*G816,0)&amp;"; ","")&amp;IF(AND(CH816=1,CI816&lt;CJ816),"MAX &lt; MB+LG; ","")&amp;IF(AND(CP816&gt;0,CO816*10&gt;CP816),"zu hoch für Tablar; ","")&amp;IF(AND(BV816=0,OR(CH816=1,AA816&lt;&gt;"",U816&lt;&gt;"",V816&lt;&gt;"",AB816&lt;&gt;"")),"manuell übersteuert; ","")&amp;IF(AND(BZ816=0,R816=0),"Gebinde unbekannt / Stellmass fehlt; ","")&amp;IF(AND(BZ816=0,N(V816)&lt;=0,N(Q816)&lt;=0),"Menge pro Gebinde fehlt (Ist = 1 Gebinde); ","")&amp;BU816)</f>
        <v>negativer Bestand (Export -1); Kein Verbrauch; Überbestand 44 Stk / CHF 354; </v>
      </c>
      <c r="BN816" s="48"/>
      <c r="BO816" s="48"/>
      <c r="BP816" s="55"/>
      <c r="BQ816" s="50" t="n">
        <v>-1</v>
      </c>
      <c r="BR816" s="50" t="n">
        <v>46</v>
      </c>
      <c r="BS816" s="49" t="n">
        <v>-8.05</v>
      </c>
      <c r="BT816" s="50" t="n">
        <v>0</v>
      </c>
      <c r="BU816" s="48"/>
      <c r="BV816" s="53" t="n">
        <v>0</v>
      </c>
      <c r="BW816" s="53" t="n">
        <v>816</v>
      </c>
      <c r="BX816" s="48" t="str">
        <f aca="false">IF(U816&lt;&gt;"",UPPER(TRIM(U816)),IF(CA816=1,UPPER(VLOOKUP(T816,Parameter!$I$27:$K$29,2,0)),IF(P816="","LOSE",P816)))</f>
        <v>S52</v>
      </c>
      <c r="BY816" s="50" t="n">
        <f aca="false">IF(BX816="LOSE",1,IF(N(V816)&gt;0,V816,IF(CA816=1,MAX(1,N(VLOOKUP(T816,Parameter!$I$27:$K$29,3,0)),H816,N(N816)),IF(N(Q816)&gt;0,Q816,MAX(1,H816)))))</f>
        <v>46</v>
      </c>
      <c r="BZ816" s="53" t="n">
        <f aca="false">IF(BX816="LOSE",1,0)</f>
        <v>0</v>
      </c>
      <c r="CA816" s="53" t="n">
        <f aca="false">IF(AND(U816="",OR(P816="",P816="LOSE"),T816&lt;&gt;"",N(S816)&lt;=0,ISNUMBER(MATCH(T816,Parameter!$I$27:$I$29,0))),1,0)</f>
        <v>0</v>
      </c>
      <c r="CB816" s="53" t="n">
        <f aca="false">IF(CQ816&gt;0,INDEX(Parameter!$H$5:$H$7,W816)/INDEX(Parameter!$E$5:$E$7,W816),IF(AND(BZ816=0,N(IFERROR(VLOOKUP(BX816,'Gebinde-Kategorie'!$A$5:$N$45,14,0),0))&gt;0),VLOOKUP(BX816,'Gebinde-Kategorie'!$A$5:$N$45,14,0)*10+Parameter!$M$23,Parameter!$M$24))</f>
        <v>245</v>
      </c>
      <c r="CC816" s="48" t="str">
        <f aca="false">IF(AND(Parameter!$B$19="Ja",E816&lt;&gt;"",ISNUMBER(MATCH(E816,Parameter!$I$35:$I$52,0))),VLOOKUP(E816,Parameter!$I$35:$J$52,2,0),IFERROR(VLOOKUP(D816,Parameter!$A$35:$C$64,2,0),"Nein"))</f>
        <v>2+3</v>
      </c>
      <c r="CD816" s="52" t="n">
        <f aca="false">IF(BZ816=0,0,IF(N(S816)&gt;0,S816,IFERROR(VLOOKUP(D816,Parameter!$A$35:$C$64,3,0)+0,0)))</f>
        <v>0</v>
      </c>
      <c r="CE816" s="48" t="n">
        <f aca="false">IF(AA816&lt;&gt;"",AA816,Z816)</f>
        <v>3</v>
      </c>
      <c r="CF816" s="48" t="str">
        <f aca="false">IF(OR(CE816=1,CE816=2,CE816=3),IF(Parameter!$E$27="Ja","LIFT",IF(CE816=1,"L1","L23")),IF(CE816="Aussen","Aussen","-"))</f>
        <v>LIFT</v>
      </c>
      <c r="CG816" s="59" t="n">
        <f aca="false">IF(N(AB816)&gt;0,AB816,0)</f>
        <v>0</v>
      </c>
      <c r="CH816" s="53" t="n">
        <f aca="false">IF(ISNUMBER(AE816),1,0)</f>
        <v>0</v>
      </c>
      <c r="CI816" s="50" t="n">
        <f aca="false">N(AE816)</f>
        <v>0</v>
      </c>
      <c r="CJ816" s="50" t="n">
        <f aca="false">N(M816)+N(N816)</f>
        <v>1</v>
      </c>
      <c r="CK816" s="50" t="n">
        <f aca="false">N(M816)</f>
        <v>0</v>
      </c>
      <c r="CL816" s="50" t="n">
        <f aca="false">N(N816)</f>
        <v>1</v>
      </c>
      <c r="CM816" s="50" t="n">
        <f aca="false">ROUNDUP(H816/BY816,0)</f>
        <v>1</v>
      </c>
      <c r="CN816" s="50" t="n">
        <f aca="false">ROUNDUP(CI816/BY816,0)</f>
        <v>0</v>
      </c>
      <c r="CO816" s="53" t="n">
        <f aca="false">IF(BZ816=1,0,IFERROR(VLOOKUP(BX816,'Gebinde-Kategorie'!$A$5:$N$45,5,0)+0,0))</f>
        <v>21</v>
      </c>
      <c r="CP816" s="53" t="n">
        <f aca="false">IFERROR(IF(OR(CE816=1,CE816=2,CE816=3),N(INDEX(Parameter!$I$5:$I$7,CE816)),0),0)</f>
        <v>0</v>
      </c>
      <c r="CQ816" s="52" t="n">
        <f aca="false">IF(AND(Parameter!$B$21="Ja",ISNUMBER(W816),N(X816)&gt;0),IFERROR(N(INDEX(Parameter!$L$5:$L$7,W816))*INDEX(Parameter!$E$5:$E$7,W816)*X816/SUMIFS($X$7:$X$1843,$W$7:$W$1843,W816),0),0)</f>
        <v>0</v>
      </c>
    </row>
    <row r="817" customFormat="false" ht="15" hidden="false" customHeight="false" outlineLevel="0" collapsed="false">
      <c r="A817" s="48" t="s">
        <v>1588</v>
      </c>
      <c r="B817" s="48" t="s">
        <v>1045</v>
      </c>
      <c r="C817" s="48" t="s">
        <v>173</v>
      </c>
      <c r="D817" s="48" t="s">
        <v>193</v>
      </c>
      <c r="E817" s="48" t="s">
        <v>194</v>
      </c>
      <c r="F817" s="48" t="s">
        <v>227</v>
      </c>
      <c r="G817" s="49" t="n">
        <v>0.04</v>
      </c>
      <c r="H817" s="50" t="n">
        <f aca="false">MAX(0,IF(AND(Parameter!$B$21="Ja",ISNUMBER(Y817)),Y817,IF(Parameter!$B$20="Jahresanfang 2025 + Export",BR817+BQ817,BQ817)))</f>
        <v>200</v>
      </c>
      <c r="I817" s="50" t="n">
        <f aca="false">H817*G817</f>
        <v>8</v>
      </c>
      <c r="J817" s="50" t="n">
        <f aca="false">BT817*Parameter!$B$18</f>
        <v>200</v>
      </c>
      <c r="K817" s="51" t="n">
        <v>421</v>
      </c>
      <c r="L817" s="52" t="n">
        <v>0.475059382422803</v>
      </c>
      <c r="M817" s="50" t="n">
        <v>7</v>
      </c>
      <c r="N817" s="50" t="n">
        <v>200</v>
      </c>
      <c r="O817" s="53" t="n">
        <v>14</v>
      </c>
      <c r="P817" s="48" t="s">
        <v>195</v>
      </c>
      <c r="Q817" s="50" t="n">
        <v>2000</v>
      </c>
      <c r="R817" s="53" t="n">
        <f aca="false">IF(BZ817=1,0,IFERROR(VLOOKUP(BX817,'Gebinde-Kategorie'!$A$5:$N$45,13,0)+0,0))</f>
        <v>12</v>
      </c>
      <c r="S817" s="54"/>
      <c r="T817" s="55"/>
      <c r="U817" s="55"/>
      <c r="V817" s="55"/>
      <c r="W817" s="48"/>
      <c r="X817" s="50"/>
      <c r="Y817" s="50"/>
      <c r="Z817" s="48" t="n">
        <f aca="false">IF(A817="","",IF(AND(Parameter!$B$21="Ja",ISNUMBER(W817)),W817,IF(CC817="2+3",IF(ISNUMBER(SEARCH("grosser Artikel",BU817)),2,IFERROR(VLOOKUP(BX817,Parameter!$F$35:$G$64,2,0),2)),IF(OR(CC817="Nein",CC817=""),"-",CC817))))</f>
        <v>2</v>
      </c>
      <c r="AA817" s="55"/>
      <c r="AB817" s="56"/>
      <c r="AC817" s="50" t="n">
        <f aca="false">AV817</f>
        <v>207</v>
      </c>
      <c r="AD817" s="50" t="n">
        <f aca="false">MAX(AV817,H817)</f>
        <v>207</v>
      </c>
      <c r="AE817" s="57"/>
      <c r="AF817" s="50" t="n">
        <f aca="false">IF(LEFT(Cockpit!$C$5,1)="A",H817,IF(Parameter!$E$30="MAX-Bestand",IF(CH817=1,CI817,IF(LEFT(Cockpit!$C$5,1)="B",AL817,MAX(AL817,H817))),ROUNDUP(AJ817,0)))</f>
        <v>200</v>
      </c>
      <c r="AG817" s="50" t="n">
        <f aca="false">IF(BZ817=1,0,ROUNDUP(AF817/BY817,0))</f>
        <v>1</v>
      </c>
      <c r="AH817" s="52" t="n">
        <f aca="false">IF(CQ817&gt;0,CQ817*MAX(1,AF817/X817),IF(BZ817=1,IF(AF817&lt;=0,0,CD817*MAX(1,IF(H817&gt;0,AF817/H817,1))),IF(R817&gt;0,AG817/R817,0))/MAX(0.1,N(Parameter!$M$21)))</f>
        <v>0.0833333333333333</v>
      </c>
      <c r="AI817" s="50" t="n">
        <f aca="false">AH817*CB817</f>
        <v>12.0833333333333</v>
      </c>
      <c r="AJ817" s="51" t="n">
        <f aca="false">IF(LEFT(Cockpit!$C$5,1)="A",H817,IF(CH817=1,(CK817+CI817)/2,IF(LEFT(Cockpit!$C$5,1)="B",(CK817+AL817)/2,MAX((CK817+AL817)/2,H817))))</f>
        <v>200</v>
      </c>
      <c r="AK817" s="50" t="n">
        <f aca="false">AJ817*G817</f>
        <v>8</v>
      </c>
      <c r="AL817" s="50" t="n">
        <f aca="false">ROUNDUP(CK817+MAX(CL817,2*(J817/IF(CG817&gt;0,CG817,MAX(0.1,N(Cockpit!$C$6)))-CK817)),0)</f>
        <v>207</v>
      </c>
      <c r="AM817" s="51" t="n">
        <f aca="false">IF(AI817&gt;0,J817/AI817,-1)</f>
        <v>16.551724137931</v>
      </c>
      <c r="AN817" s="51" t="n">
        <f aca="false">IF(AND(OR(CF817="L1",CF817="L23",CF817="LIFT"),AI817&gt;0),SUMIFS($AI$7:$AI$1843,$CF$7:$CF$1843,CF817,$AM$7:$AM$1843,"&gt;"&amp;AM817)+SUMIFS($AI$7:$AI$1843,$CF$7:$CF$1843,CF817,$AM$7:$AM$1843,AM817,$BW$7:$BW$1843,"&lt;="&amp;BW817),"")</f>
        <v>2045.663003663</v>
      </c>
      <c r="AO817" s="58" t="n">
        <f aca="false">IF(AN817="",0,MAX(0,MIN(1,(IF(CF817="L1",Parameter!$H$5,IF(CF817="L23",Parameter!$H$6+Parameter!$H$7,Parameter!$H$5+Parameter!$H$6+Parameter!$H$7))-(AN817-AI817))/AI817)))</f>
        <v>1</v>
      </c>
      <c r="AP817" s="50" t="n">
        <f aca="false">IF(LEFT(Cockpit!$I$5,1)="A",H817,IF(Parameter!$E$30="MAX-Bestand",IF(CH817=1,CI817,IF(LEFT(Cockpit!$I$5,1)="B",AV817,MAX(AV817,H817))),ROUNDUP(AT817,0)))</f>
        <v>200</v>
      </c>
      <c r="AQ817" s="50" t="n">
        <f aca="false">IF(BZ817=1,0,ROUNDUP(AP817/BY817,0))</f>
        <v>1</v>
      </c>
      <c r="AR817" s="52" t="n">
        <f aca="false">IF(CQ817&gt;0,CQ817*MAX(1,AP817/X817),IF(BZ817=1,IF(AP817&lt;=0,0,CD817*MAX(1,IF(H817&gt;0,AP817/H817,1))),IF(R817&gt;0,AQ817/R817,0))/MAX(0.1,N(Parameter!$M$21)))</f>
        <v>0.0833333333333333</v>
      </c>
      <c r="AS817" s="50" t="n">
        <f aca="false">AR817*CB817</f>
        <v>12.0833333333333</v>
      </c>
      <c r="AT817" s="51" t="n">
        <f aca="false">IF(LEFT(Cockpit!$I$5,1)="A",H817,IF(CH817=1,(CK817+CI817)/2,IF(LEFT(Cockpit!$I$5,1)="B",(CK817+AV817)/2,MAX((CK817+AV817)/2,H817))))</f>
        <v>200</v>
      </c>
      <c r="AU817" s="50" t="n">
        <f aca="false">AT817*G817</f>
        <v>8</v>
      </c>
      <c r="AV817" s="50" t="n">
        <f aca="false">ROUNDUP(CK817+MAX(CL817,2*(J817/IF(CG817&gt;0,CG817,MAX(0.1,N(Cockpit!$I$6)))-CK817)),0)</f>
        <v>207</v>
      </c>
      <c r="AW817" s="51" t="n">
        <f aca="false">IF(AS817&gt;0,J817/AS817,-1)</f>
        <v>16.551724137931</v>
      </c>
      <c r="AX817" s="51" t="n">
        <f aca="false">IF(AND(OR(CF817="L1",CF817="L23",CF817="LIFT"),AS817&gt;0),SUMIFS($AS$7:$AS$1843,$CF$7:$CF$1843,CF817,$AW$7:$AW$1843,"&gt;"&amp;AW817)+SUMIFS($AS$7:$AS$1843,$CF$7:$CF$1843,CF817,$AW$7:$AW$1843,AW817,$BW$7:$BW$1843,"&lt;="&amp;BW817),"")</f>
        <v>2682.78388278388</v>
      </c>
      <c r="AY817" s="58" t="n">
        <f aca="false">IF(AX817="",0,MAX(0,MIN(1,(IF(CF817="L1",Parameter!$H$5,IF(CF817="L23",Parameter!$H$6+Parameter!$H$7,Parameter!$H$5+Parameter!$H$6+Parameter!$H$7))-(AX817-AS817))/AS817)))</f>
        <v>1</v>
      </c>
      <c r="AZ817" s="50" t="n">
        <f aca="false">IF(LEFT(Cockpit!$O$5,1)="A",H817,IF(Parameter!$E$30="MAX-Bestand",IF(CH817=1,CI817,IF(LEFT(Cockpit!$O$5,1)="B",BF817,MAX(BF817,H817))),ROUNDUP(BD817,0)))</f>
        <v>107</v>
      </c>
      <c r="BA817" s="50" t="n">
        <f aca="false">IF(BZ817=1,0,ROUNDUP(AZ817/BY817,0))</f>
        <v>1</v>
      </c>
      <c r="BB817" s="52" t="n">
        <f aca="false">IF(CQ817&gt;0,CQ817*MAX(1,AZ817/X817),IF(BZ817=1,IF(AZ817&lt;=0,0,CD817*MAX(1,IF(H817&gt;0,AZ817/H817,1))),IF(R817&gt;0,BA817/R817,0))/MAX(0.1,N(Parameter!$M$21)))</f>
        <v>0.0833333333333333</v>
      </c>
      <c r="BC817" s="50" t="n">
        <f aca="false">BB817*CB817</f>
        <v>12.0833333333333</v>
      </c>
      <c r="BD817" s="51" t="n">
        <f aca="false">IF(LEFT(Cockpit!$O$5,1)="A",H817,IF(CH817=1,(CK817+CI817)/2,IF(LEFT(Cockpit!$O$5,1)="B",(CK817+BF817)/2,MAX((CK817+BF817)/2,H817))))</f>
        <v>107</v>
      </c>
      <c r="BE817" s="50" t="n">
        <f aca="false">BD817*G817</f>
        <v>4.28</v>
      </c>
      <c r="BF817" s="50" t="n">
        <f aca="false">ROUNDUP(CK817+MAX(CL817,2*(J817/IF(CG817&gt;0,CG817,MAX(0.1,N(Cockpit!$O$6)))-CK817)),0)</f>
        <v>207</v>
      </c>
      <c r="BG817" s="51" t="n">
        <f aca="false">IF(BC817&gt;0,J817/BC817,-1)</f>
        <v>16.551724137931</v>
      </c>
      <c r="BH817" s="51" t="n">
        <f aca="false">IF(AND(OR(CF817="L1",CF817="L23",CF817="LIFT"),BC817&gt;0),SUMIFS($BC$7:$BC$1843,$CF$7:$CF$1843,CF817,$BG$7:$BG$1843,"&gt;"&amp;BG817)+SUMIFS($BC$7:$BC$1843,$CF$7:$CF$1843,CF817,$BG$7:$BG$1843,BG817,$BW$7:$BW$1843,"&lt;="&amp;BW817),"")</f>
        <v>2368.80173992674</v>
      </c>
      <c r="BI817" s="58" t="n">
        <f aca="false">IF(BH817="",0,MAX(0,MIN(1,(IF(CF817="L1",Parameter!$H$5,IF(CF817="L23",Parameter!$H$6+Parameter!$H$7,Parameter!$H$5+Parameter!$H$6+Parameter!$H$7))-(BH817-BC817))/BC817)))</f>
        <v>1</v>
      </c>
      <c r="BJ817" s="48" t="str">
        <f aca="false">IF(AI817&lt;=0,"",IF(CF817="Aussen","Aussenlager",IF(CF817="-","Nicht im Lift",IF(AO817&gt;=1,"Lift",IF(AO817&lt;=0,"Aussenlager","teilweise")))))</f>
        <v>Lift</v>
      </c>
      <c r="BK817" s="48" t="str">
        <f aca="false">IF(AS817&lt;=0,"",IF(CF817="Aussen","Aussenlager",IF(CF817="-","Nicht im Lift",IF(AY817&gt;=1,"Lift",IF(AY817&lt;=0,"Aussenlager","teilweise")))))</f>
        <v>Lift</v>
      </c>
      <c r="BL817" s="48" t="str">
        <f aca="false">IF(BC817&lt;=0,"",IF(CF817="Aussen","Aussenlager",IF(CF817="-","Nicht im Lift",IF(BI817&gt;=1,"Lift",IF(BI817&lt;=0,"Aussenlager","teilweise")))))</f>
        <v>Lift</v>
      </c>
      <c r="BM817" s="48" t="str">
        <f aca="false">IF(A817="","",IF(BV817=1,"Neu; ","")&amp;IF(AND(BV817=0,BQ817&lt;0),"negativer Bestand (Export "&amp;BQ817&amp;"); ","")&amp;IF(J817&lt;=0,"Kein Verbrauch; ","")&amp;IF(CQ817&gt;0,"Lift "&amp;W817&amp;" lt. Liftbericht (Fach "&amp;X817&amp;" Stk); ",IF(CA817=1,"Gebinde geschätzt ("&amp;T817&amp;"); ",IF(BZ817=1,"Lose – Tablare geschätzt; ","")))&amp;IF(H817&gt;AV817,"Überbestand "&amp;ROUND(H817-AV817,0)&amp;" Stk / CHF "&amp;ROUND((H817-AV817)*G817,0)&amp;"; ","")&amp;IF(AND(CH817=1,CI817&lt;CJ817),"MAX &lt; MB+LG; ","")&amp;IF(AND(CP817&gt;0,CO817*10&gt;CP817),"zu hoch für Tablar; ","")&amp;IF(AND(BV817=0,OR(CH817=1,AA817&lt;&gt;"",U817&lt;&gt;"",V817&lt;&gt;"",AB817&lt;&gt;"")),"manuell übersteuert; ","")&amp;IF(AND(BZ817=0,R817=0),"Gebinde unbekannt / Stellmass fehlt; ","")&amp;IF(AND(BZ817=0,N(V817)&lt;=0,N(Q817)&lt;=0),"Menge pro Gebinde fehlt (Ist = 1 Gebinde); ","")&amp;BU817)</f>
        <v>negativer Bestand (Export -340); Verb.Lager</v>
      </c>
      <c r="BN817" s="48"/>
      <c r="BO817" s="48"/>
      <c r="BP817" s="55"/>
      <c r="BQ817" s="50" t="n">
        <v>-340</v>
      </c>
      <c r="BR817" s="50" t="n">
        <v>540</v>
      </c>
      <c r="BS817" s="49" t="n">
        <v>-8.2</v>
      </c>
      <c r="BT817" s="50" t="n">
        <v>200</v>
      </c>
      <c r="BU817" s="48" t="s">
        <v>1039</v>
      </c>
      <c r="BV817" s="53" t="n">
        <v>0</v>
      </c>
      <c r="BW817" s="53" t="n">
        <v>817</v>
      </c>
      <c r="BX817" s="48" t="str">
        <f aca="false">IF(U817&lt;&gt;"",UPPER(TRIM(U817)),IF(CA817=1,UPPER(VLOOKUP(T817,Parameter!$I$27:$K$29,2,0)),IF(P817="","LOSE",P817)))</f>
        <v>S61</v>
      </c>
      <c r="BY817" s="50" t="n">
        <f aca="false">IF(BX817="LOSE",1,IF(N(V817)&gt;0,V817,IF(CA817=1,MAX(1,N(VLOOKUP(T817,Parameter!$I$27:$K$29,3,0)),H817,N(N817)),IF(N(Q817)&gt;0,Q817,MAX(1,H817)))))</f>
        <v>2000</v>
      </c>
      <c r="BZ817" s="53" t="n">
        <f aca="false">IF(BX817="LOSE",1,0)</f>
        <v>0</v>
      </c>
      <c r="CA817" s="53" t="n">
        <f aca="false">IF(AND(U817="",OR(P817="",P817="LOSE"),T817&lt;&gt;"",N(S817)&lt;=0,ISNUMBER(MATCH(T817,Parameter!$I$27:$I$29,0))),1,0)</f>
        <v>0</v>
      </c>
      <c r="CB817" s="53" t="n">
        <f aca="false">IF(CQ817&gt;0,INDEX(Parameter!$H$5:$H$7,W817)/INDEX(Parameter!$E$5:$E$7,W817),IF(AND(BZ817=0,N(IFERROR(VLOOKUP(BX817,'Gebinde-Kategorie'!$A$5:$N$45,14,0),0))&gt;0),VLOOKUP(BX817,'Gebinde-Kategorie'!$A$5:$N$45,14,0)*10+Parameter!$M$23,Parameter!$M$24))</f>
        <v>145</v>
      </c>
      <c r="CC817" s="48" t="str">
        <f aca="false">IF(AND(Parameter!$B$19="Ja",E817&lt;&gt;"",ISNUMBER(MATCH(E817,Parameter!$I$35:$I$52,0))),VLOOKUP(E817,Parameter!$I$35:$J$52,2,0),IFERROR(VLOOKUP(D817,Parameter!$A$35:$C$64,2,0),"Nein"))</f>
        <v>2+3</v>
      </c>
      <c r="CD817" s="52" t="n">
        <f aca="false">IF(BZ817=0,0,IF(N(S817)&gt;0,S817,IFERROR(VLOOKUP(D817,Parameter!$A$35:$C$64,3,0)+0,0)))</f>
        <v>0</v>
      </c>
      <c r="CE817" s="48" t="n">
        <f aca="false">IF(AA817&lt;&gt;"",AA817,Z817)</f>
        <v>2</v>
      </c>
      <c r="CF817" s="48" t="str">
        <f aca="false">IF(OR(CE817=1,CE817=2,CE817=3),IF(Parameter!$E$27="Ja","LIFT",IF(CE817=1,"L1","L23")),IF(CE817="Aussen","Aussen","-"))</f>
        <v>LIFT</v>
      </c>
      <c r="CG817" s="59" t="n">
        <f aca="false">IF(N(AB817)&gt;0,AB817,0)</f>
        <v>0</v>
      </c>
      <c r="CH817" s="53" t="n">
        <f aca="false">IF(ISNUMBER(AE817),1,0)</f>
        <v>0</v>
      </c>
      <c r="CI817" s="50" t="n">
        <f aca="false">N(AE817)</f>
        <v>0</v>
      </c>
      <c r="CJ817" s="50" t="n">
        <f aca="false">N(M817)+N(N817)</f>
        <v>207</v>
      </c>
      <c r="CK817" s="50" t="n">
        <f aca="false">N(M817)</f>
        <v>7</v>
      </c>
      <c r="CL817" s="50" t="n">
        <f aca="false">N(N817)</f>
        <v>200</v>
      </c>
      <c r="CM817" s="50" t="n">
        <f aca="false">ROUNDUP(H817/BY817,0)</f>
        <v>1</v>
      </c>
      <c r="CN817" s="50" t="n">
        <f aca="false">ROUNDUP(CI817/BY817,0)</f>
        <v>0</v>
      </c>
      <c r="CO817" s="53" t="n">
        <f aca="false">IF(BZ817=1,0,IFERROR(VLOOKUP(BX817,'Gebinde-Kategorie'!$A$5:$N$45,5,0)+0,0))</f>
        <v>11</v>
      </c>
      <c r="CP817" s="53" t="n">
        <f aca="false">IFERROR(IF(OR(CE817=1,CE817=2,CE817=3),N(INDEX(Parameter!$I$5:$I$7,CE817)),0),0)</f>
        <v>0</v>
      </c>
      <c r="CQ817" s="52" t="n">
        <f aca="false">IF(AND(Parameter!$B$21="Ja",ISNUMBER(W817),N(X817)&gt;0),IFERROR(N(INDEX(Parameter!$L$5:$L$7,W817))*INDEX(Parameter!$E$5:$E$7,W817)*X817/SUMIFS($X$7:$X$1843,$W$7:$W$1843,W817),0),0)</f>
        <v>0</v>
      </c>
    </row>
    <row r="818" customFormat="false" ht="15" hidden="false" customHeight="false" outlineLevel="0" collapsed="false">
      <c r="A818" s="48" t="s">
        <v>1589</v>
      </c>
      <c r="B818" s="48" t="s">
        <v>1145</v>
      </c>
      <c r="C818" s="48" t="s">
        <v>173</v>
      </c>
      <c r="D818" s="48" t="s">
        <v>193</v>
      </c>
      <c r="E818" s="48" t="s">
        <v>194</v>
      </c>
      <c r="F818" s="48" t="s">
        <v>227</v>
      </c>
      <c r="G818" s="49" t="n">
        <v>5.22</v>
      </c>
      <c r="H818" s="50" t="n">
        <f aca="false">MAX(0,IF(AND(Parameter!$B$21="Ja",ISNUMBER(Y818)),Y818,IF(Parameter!$B$20="Jahresanfang 2025 + Export",BR818+BQ818,BQ818)))</f>
        <v>2</v>
      </c>
      <c r="I818" s="50" t="n">
        <f aca="false">H818*G818</f>
        <v>10.44</v>
      </c>
      <c r="J818" s="50" t="n">
        <f aca="false">BT818*Parameter!$B$18</f>
        <v>3</v>
      </c>
      <c r="K818" s="51" t="n">
        <v>2.5</v>
      </c>
      <c r="L818" s="52" t="n">
        <v>1.2</v>
      </c>
      <c r="M818" s="50" t="n">
        <v>0</v>
      </c>
      <c r="N818" s="50" t="n">
        <v>5</v>
      </c>
      <c r="O818" s="53" t="n">
        <v>14</v>
      </c>
      <c r="P818" s="48" t="s">
        <v>430</v>
      </c>
      <c r="Q818" s="50" t="n">
        <v>1</v>
      </c>
      <c r="R818" s="53" t="n">
        <f aca="false">IF(BZ818=1,0,IFERROR(VLOOKUP(BX818,'Gebinde-Kategorie'!$A$5:$N$45,13,0)+0,0))</f>
        <v>104</v>
      </c>
      <c r="S818" s="54"/>
      <c r="T818" s="55"/>
      <c r="U818" s="55"/>
      <c r="V818" s="55"/>
      <c r="W818" s="48"/>
      <c r="X818" s="50"/>
      <c r="Y818" s="50"/>
      <c r="Z818" s="48" t="n">
        <f aca="false">IF(A818="","",IF(AND(Parameter!$B$21="Ja",ISNUMBER(W818)),W818,IF(CC818="2+3",IF(ISNUMBER(SEARCH("grosser Artikel",BU818)),2,IFERROR(VLOOKUP(BX818,Parameter!$F$35:$G$64,2,0),2)),IF(OR(CC818="Nein",CC818=""),"-",CC818))))</f>
        <v>3</v>
      </c>
      <c r="AA818" s="55"/>
      <c r="AB818" s="56"/>
      <c r="AC818" s="50" t="n">
        <f aca="false">AV818</f>
        <v>5</v>
      </c>
      <c r="AD818" s="50" t="n">
        <f aca="false">MAX(AV818,H818)</f>
        <v>5</v>
      </c>
      <c r="AE818" s="57"/>
      <c r="AF818" s="50" t="n">
        <f aca="false">IF(LEFT(Cockpit!$C$5,1)="A",H818,IF(Parameter!$E$30="MAX-Bestand",IF(CH818=1,CI818,IF(LEFT(Cockpit!$C$5,1)="B",AL818,MAX(AL818,H818))),ROUNDUP(AJ818,0)))</f>
        <v>2</v>
      </c>
      <c r="AG818" s="50" t="n">
        <f aca="false">IF(BZ818=1,0,ROUNDUP(AF818/BY818,0))</f>
        <v>2</v>
      </c>
      <c r="AH818" s="52" t="n">
        <f aca="false">IF(CQ818&gt;0,CQ818*MAX(1,AF818/X818),IF(BZ818=1,IF(AF818&lt;=0,0,CD818*MAX(1,IF(H818&gt;0,AF818/H818,1))),IF(R818&gt;0,AG818/R818,0))/MAX(0.1,N(Parameter!$M$21)))</f>
        <v>0.0192307692307692</v>
      </c>
      <c r="AI818" s="50" t="n">
        <f aca="false">AH818*CB818</f>
        <v>2.98076923076923</v>
      </c>
      <c r="AJ818" s="51" t="n">
        <f aca="false">IF(LEFT(Cockpit!$C$5,1)="A",H818,IF(CH818=1,(CK818+CI818)/2,IF(LEFT(Cockpit!$C$5,1)="B",(CK818+AL818)/2,MAX((CK818+AL818)/2,H818))))</f>
        <v>2</v>
      </c>
      <c r="AK818" s="50" t="n">
        <f aca="false">AJ818*G818</f>
        <v>10.44</v>
      </c>
      <c r="AL818" s="50" t="n">
        <f aca="false">ROUNDUP(CK818+MAX(CL818,2*(J818/IF(CG818&gt;0,CG818,MAX(0.1,N(Cockpit!$C$6)))-CK818)),0)</f>
        <v>5</v>
      </c>
      <c r="AM818" s="51" t="n">
        <f aca="false">IF(AI818&gt;0,J818/AI818,-1)</f>
        <v>1.00645161290323</v>
      </c>
      <c r="AN818" s="51" t="n">
        <f aca="false">IF(AND(OR(CF818="L1",CF818="L23",CF818="LIFT"),AI818&gt;0),SUMIFS($AI$7:$AI$1843,$CF$7:$CF$1843,CF818,$AM$7:$AM$1843,"&gt;"&amp;AM818)+SUMIFS($AI$7:$AI$1843,$CF$7:$CF$1843,CF818,$AM$7:$AM$1843,AM818,$BW$7:$BW$1843,"&lt;="&amp;BW818),"")</f>
        <v>7032.55815018315</v>
      </c>
      <c r="AO818" s="58" t="n">
        <f aca="false">IF(AN818="",0,MAX(0,MIN(1,(IF(CF818="L1",Parameter!$H$5,IF(CF818="L23",Parameter!$H$6+Parameter!$H$7,Parameter!$H$5+Parameter!$H$6+Parameter!$H$7))-(AN818-AI818))/AI818)))</f>
        <v>1</v>
      </c>
      <c r="AP818" s="50" t="n">
        <f aca="false">IF(LEFT(Cockpit!$I$5,1)="A",H818,IF(Parameter!$E$30="MAX-Bestand",IF(CH818=1,CI818,IF(LEFT(Cockpit!$I$5,1)="B",AV818,MAX(AV818,H818))),ROUNDUP(AT818,0)))</f>
        <v>3</v>
      </c>
      <c r="AQ818" s="50" t="n">
        <f aca="false">IF(BZ818=1,0,ROUNDUP(AP818/BY818,0))</f>
        <v>3</v>
      </c>
      <c r="AR818" s="52" t="n">
        <f aca="false">IF(CQ818&gt;0,CQ818*MAX(1,AP818/X818),IF(BZ818=1,IF(AP818&lt;=0,0,CD818*MAX(1,IF(H818&gt;0,AP818/H818,1))),IF(R818&gt;0,AQ818/R818,0))/MAX(0.1,N(Parameter!$M$21)))</f>
        <v>0.0288461538461538</v>
      </c>
      <c r="AS818" s="50" t="n">
        <f aca="false">AR818*CB818</f>
        <v>4.47115384615385</v>
      </c>
      <c r="AT818" s="51" t="n">
        <f aca="false">IF(LEFT(Cockpit!$I$5,1)="A",H818,IF(CH818=1,(CK818+CI818)/2,IF(LEFT(Cockpit!$I$5,1)="B",(CK818+AV818)/2,MAX((CK818+AV818)/2,H818))))</f>
        <v>2.5</v>
      </c>
      <c r="AU818" s="50" t="n">
        <f aca="false">AT818*G818</f>
        <v>13.05</v>
      </c>
      <c r="AV818" s="50" t="n">
        <f aca="false">ROUNDUP(CK818+MAX(CL818,2*(J818/IF(CG818&gt;0,CG818,MAX(0.1,N(Cockpit!$I$6)))-CK818)),0)</f>
        <v>5</v>
      </c>
      <c r="AW818" s="51" t="n">
        <f aca="false">IF(AS818&gt;0,J818/AS818,-1)</f>
        <v>0.670967741935484</v>
      </c>
      <c r="AX818" s="51" t="n">
        <f aca="false">IF(AND(OR(CF818="L1",CF818="L23",CF818="LIFT"),AS818&gt;0),SUMIFS($AS$7:$AS$1843,$CF$7:$CF$1843,CF818,$AW$7:$AW$1843,"&gt;"&amp;AW818)+SUMIFS($AS$7:$AS$1843,$CF$7:$CF$1843,CF818,$AW$7:$AW$1843,AW818,$BW$7:$BW$1843,"&lt;="&amp;BW818),"")</f>
        <v>10913.2605311355</v>
      </c>
      <c r="AY818" s="58" t="n">
        <f aca="false">IF(AX818="",0,MAX(0,MIN(1,(IF(CF818="L1",Parameter!$H$5,IF(CF818="L23",Parameter!$H$6+Parameter!$H$7,Parameter!$H$5+Parameter!$H$6+Parameter!$H$7))-(AX818-AS818))/AS818)))</f>
        <v>1</v>
      </c>
      <c r="AZ818" s="50" t="n">
        <f aca="false">IF(LEFT(Cockpit!$O$5,1)="A",H818,IF(Parameter!$E$30="MAX-Bestand",IF(CH818=1,CI818,IF(LEFT(Cockpit!$O$5,1)="B",BF818,MAX(BF818,H818))),ROUNDUP(BD818,0)))</f>
        <v>3</v>
      </c>
      <c r="BA818" s="50" t="n">
        <f aca="false">IF(BZ818=1,0,ROUNDUP(AZ818/BY818,0))</f>
        <v>3</v>
      </c>
      <c r="BB818" s="52" t="n">
        <f aca="false">IF(CQ818&gt;0,CQ818*MAX(1,AZ818/X818),IF(BZ818=1,IF(AZ818&lt;=0,0,CD818*MAX(1,IF(H818&gt;0,AZ818/H818,1))),IF(R818&gt;0,BA818/R818,0))/MAX(0.1,N(Parameter!$M$21)))</f>
        <v>0.0288461538461538</v>
      </c>
      <c r="BC818" s="50" t="n">
        <f aca="false">BB818*CB818</f>
        <v>4.47115384615385</v>
      </c>
      <c r="BD818" s="51" t="n">
        <f aca="false">IF(LEFT(Cockpit!$O$5,1)="A",H818,IF(CH818=1,(CK818+CI818)/2,IF(LEFT(Cockpit!$O$5,1)="B",(CK818+BF818)/2,MAX((CK818+BF818)/2,H818))))</f>
        <v>2.5</v>
      </c>
      <c r="BE818" s="50" t="n">
        <f aca="false">BD818*G818</f>
        <v>13.05</v>
      </c>
      <c r="BF818" s="50" t="n">
        <f aca="false">ROUNDUP(CK818+MAX(CL818,2*(J818/IF(CG818&gt;0,CG818,MAX(0.1,N(Cockpit!$O$6)))-CK818)),0)</f>
        <v>5</v>
      </c>
      <c r="BG818" s="51" t="n">
        <f aca="false">IF(BC818&gt;0,J818/BC818,-1)</f>
        <v>0.670967741935484</v>
      </c>
      <c r="BH818" s="51" t="n">
        <f aca="false">IF(AND(OR(CF818="L1",CF818="L23",CF818="LIFT"),BC818&gt;0),SUMIFS($BC$7:$BC$1843,$CF$7:$CF$1843,CF818,$BG$7:$BG$1843,"&gt;"&amp;BG818)+SUMIFS($BC$7:$BC$1843,$CF$7:$CF$1843,CF818,$BG$7:$BG$1843,BG818,$BW$7:$BW$1843,"&lt;="&amp;BW818),"")</f>
        <v>9522.89468864469</v>
      </c>
      <c r="BI818" s="58" t="n">
        <f aca="false">IF(BH818="",0,MAX(0,MIN(1,(IF(CF818="L1",Parameter!$H$5,IF(CF818="L23",Parameter!$H$6+Parameter!$H$7,Parameter!$H$5+Parameter!$H$6+Parameter!$H$7))-(BH818-BC818))/BC818)))</f>
        <v>1</v>
      </c>
      <c r="BJ818" s="48" t="str">
        <f aca="false">IF(AI818&lt;=0,"",IF(CF818="Aussen","Aussenlager",IF(CF818="-","Nicht im Lift",IF(AO818&gt;=1,"Lift",IF(AO818&lt;=0,"Aussenlager","teilweise")))))</f>
        <v>Lift</v>
      </c>
      <c r="BK818" s="48" t="str">
        <f aca="false">IF(AS818&lt;=0,"",IF(CF818="Aussen","Aussenlager",IF(CF818="-","Nicht im Lift",IF(AY818&gt;=1,"Lift",IF(AY818&lt;=0,"Aussenlager","teilweise")))))</f>
        <v>Lift</v>
      </c>
      <c r="BL818" s="48" t="str">
        <f aca="false">IF(BC818&lt;=0,"",IF(CF818="Aussen","Aussenlager",IF(CF818="-","Nicht im Lift",IF(BI818&gt;=1,"Lift",IF(BI818&lt;=0,"Aussenlager","teilweise")))))</f>
        <v>Lift</v>
      </c>
      <c r="BM818" s="48" t="str">
        <f aca="false">IF(A818="","",IF(BV818=1,"Neu; ","")&amp;IF(AND(BV818=0,BQ818&lt;0),"negativer Bestand (Export "&amp;BQ818&amp;"); ","")&amp;IF(J818&lt;=0,"Kein Verbrauch; ","")&amp;IF(CQ818&gt;0,"Lift "&amp;W818&amp;" lt. Liftbericht (Fach "&amp;X818&amp;" Stk); ",IF(CA818=1,"Gebinde geschätzt ("&amp;T818&amp;"); ",IF(BZ818=1,"Lose – Tablare geschätzt; ","")))&amp;IF(H818&gt;AV818,"Überbestand "&amp;ROUND(H818-AV818,0)&amp;" Stk / CHF "&amp;ROUND((H818-AV818)*G818,0)&amp;"; ","")&amp;IF(AND(CH818=1,CI818&lt;CJ818),"MAX &lt; MB+LG; ","")&amp;IF(AND(CP818&gt;0,CO818*10&gt;CP818),"zu hoch für Tablar; ","")&amp;IF(AND(BV818=0,OR(CH818=1,AA818&lt;&gt;"",U818&lt;&gt;"",V818&lt;&gt;"",AB818&lt;&gt;"")),"manuell übersteuert; ","")&amp;IF(AND(BZ818=0,R818=0),"Gebinde unbekannt / Stellmass fehlt; ","")&amp;IF(AND(BZ818=0,N(V818)&lt;=0,N(Q818)&lt;=0),"Menge pro Gebinde fehlt (Ist = 1 Gebinde); ","")&amp;BU818)</f>
        <v/>
      </c>
      <c r="BN818" s="48"/>
      <c r="BO818" s="48"/>
      <c r="BP818" s="55"/>
      <c r="BQ818" s="50" t="n">
        <v>0</v>
      </c>
      <c r="BR818" s="50" t="n">
        <v>2</v>
      </c>
      <c r="BS818" s="49" t="n">
        <v>-8.38</v>
      </c>
      <c r="BT818" s="50" t="n">
        <v>3</v>
      </c>
      <c r="BU818" s="48"/>
      <c r="BV818" s="53" t="n">
        <v>0</v>
      </c>
      <c r="BW818" s="53" t="n">
        <v>818</v>
      </c>
      <c r="BX818" s="48" t="str">
        <f aca="false">IF(U818&lt;&gt;"",UPPER(TRIM(U818)),IF(CA818=1,UPPER(VLOOKUP(T818,Parameter!$I$27:$K$29,2,0)),IF(P818="","LOSE",P818)))</f>
        <v>S32</v>
      </c>
      <c r="BY818" s="50" t="n">
        <f aca="false">IF(BX818="LOSE",1,IF(N(V818)&gt;0,V818,IF(CA818=1,MAX(1,N(VLOOKUP(T818,Parameter!$I$27:$K$29,3,0)),H818,N(N818)),IF(N(Q818)&gt;0,Q818,MAX(1,H818)))))</f>
        <v>1</v>
      </c>
      <c r="BZ818" s="53" t="n">
        <f aca="false">IF(BX818="LOSE",1,0)</f>
        <v>0</v>
      </c>
      <c r="CA818" s="53" t="n">
        <f aca="false">IF(AND(U818="",OR(P818="",P818="LOSE"),T818&lt;&gt;"",N(S818)&lt;=0,ISNUMBER(MATCH(T818,Parameter!$I$27:$I$29,0))),1,0)</f>
        <v>0</v>
      </c>
      <c r="CB818" s="53" t="n">
        <f aca="false">IF(CQ818&gt;0,INDEX(Parameter!$H$5:$H$7,W818)/INDEX(Parameter!$E$5:$E$7,W818),IF(AND(BZ818=0,N(IFERROR(VLOOKUP(BX818,'Gebinde-Kategorie'!$A$5:$N$45,14,0),0))&gt;0),VLOOKUP(BX818,'Gebinde-Kategorie'!$A$5:$N$45,14,0)*10+Parameter!$M$23,Parameter!$M$24))</f>
        <v>155</v>
      </c>
      <c r="CC818" s="48" t="str">
        <f aca="false">IF(AND(Parameter!$B$19="Ja",E818&lt;&gt;"",ISNUMBER(MATCH(E818,Parameter!$I$35:$I$52,0))),VLOOKUP(E818,Parameter!$I$35:$J$52,2,0),IFERROR(VLOOKUP(D818,Parameter!$A$35:$C$64,2,0),"Nein"))</f>
        <v>2+3</v>
      </c>
      <c r="CD818" s="52" t="n">
        <f aca="false">IF(BZ818=0,0,IF(N(S818)&gt;0,S818,IFERROR(VLOOKUP(D818,Parameter!$A$35:$C$64,3,0)+0,0)))</f>
        <v>0</v>
      </c>
      <c r="CE818" s="48" t="n">
        <f aca="false">IF(AA818&lt;&gt;"",AA818,Z818)</f>
        <v>3</v>
      </c>
      <c r="CF818" s="48" t="str">
        <f aca="false">IF(OR(CE818=1,CE818=2,CE818=3),IF(Parameter!$E$27="Ja","LIFT",IF(CE818=1,"L1","L23")),IF(CE818="Aussen","Aussen","-"))</f>
        <v>LIFT</v>
      </c>
      <c r="CG818" s="59" t="n">
        <f aca="false">IF(N(AB818)&gt;0,AB818,0)</f>
        <v>0</v>
      </c>
      <c r="CH818" s="53" t="n">
        <f aca="false">IF(ISNUMBER(AE818),1,0)</f>
        <v>0</v>
      </c>
      <c r="CI818" s="50" t="n">
        <f aca="false">N(AE818)</f>
        <v>0</v>
      </c>
      <c r="CJ818" s="50" t="n">
        <f aca="false">N(M818)+N(N818)</f>
        <v>5</v>
      </c>
      <c r="CK818" s="50" t="n">
        <f aca="false">N(M818)</f>
        <v>0</v>
      </c>
      <c r="CL818" s="50" t="n">
        <f aca="false">N(N818)</f>
        <v>5</v>
      </c>
      <c r="CM818" s="50" t="n">
        <f aca="false">ROUNDUP(H818/BY818,0)</f>
        <v>2</v>
      </c>
      <c r="CN818" s="50" t="n">
        <f aca="false">ROUNDUP(CI818/BY818,0)</f>
        <v>0</v>
      </c>
      <c r="CO818" s="53" t="n">
        <f aca="false">IF(BZ818=1,0,IFERROR(VLOOKUP(BX818,'Gebinde-Kategorie'!$A$5:$N$45,5,0)+0,0))</f>
        <v>8</v>
      </c>
      <c r="CP818" s="53" t="n">
        <f aca="false">IFERROR(IF(OR(CE818=1,CE818=2,CE818=3),N(INDEX(Parameter!$I$5:$I$7,CE818)),0),0)</f>
        <v>0</v>
      </c>
      <c r="CQ818" s="52" t="n">
        <f aca="false">IF(AND(Parameter!$B$21="Ja",ISNUMBER(W818),N(X818)&gt;0),IFERROR(N(INDEX(Parameter!$L$5:$L$7,W818))*INDEX(Parameter!$E$5:$E$7,W818)*X818/SUMIFS($X$7:$X$1843,$W$7:$W$1843,W818),0),0)</f>
        <v>0</v>
      </c>
    </row>
    <row r="819" customFormat="false" ht="15" hidden="false" customHeight="false" outlineLevel="0" collapsed="false">
      <c r="A819" s="48" t="s">
        <v>1590</v>
      </c>
      <c r="B819" s="48" t="s">
        <v>477</v>
      </c>
      <c r="C819" s="48" t="s">
        <v>173</v>
      </c>
      <c r="D819" s="48" t="s">
        <v>193</v>
      </c>
      <c r="E819" s="48" t="s">
        <v>194</v>
      </c>
      <c r="F819" s="48" t="s">
        <v>227</v>
      </c>
      <c r="G819" s="49" t="n">
        <v>0.19</v>
      </c>
      <c r="H819" s="50" t="n">
        <f aca="false">MAX(0,IF(AND(Parameter!$B$21="Ja",ISNUMBER(Y819)),Y819,IF(Parameter!$B$20="Jahresanfang 2025 + Export",BR819+BQ819,BQ819)))</f>
        <v>75</v>
      </c>
      <c r="I819" s="50" t="n">
        <f aca="false">H819*G819</f>
        <v>14.25</v>
      </c>
      <c r="J819" s="50" t="n">
        <f aca="false">BT819*Parameter!$B$18</f>
        <v>310</v>
      </c>
      <c r="K819" s="51" t="n">
        <v>166</v>
      </c>
      <c r="L819" s="52" t="n">
        <v>1.86746987951807</v>
      </c>
      <c r="M819" s="50" t="n">
        <v>12</v>
      </c>
      <c r="N819" s="50" t="n">
        <v>310</v>
      </c>
      <c r="O819" s="53" t="n">
        <v>14</v>
      </c>
      <c r="P819" s="48" t="s">
        <v>435</v>
      </c>
      <c r="Q819" s="50" t="n">
        <v>195</v>
      </c>
      <c r="R819" s="53" t="n">
        <f aca="false">IF(BZ819=1,0,IFERROR(VLOOKUP(BX819,'Gebinde-Kategorie'!$A$5:$N$45,13,0)+0,0))</f>
        <v>140</v>
      </c>
      <c r="S819" s="54"/>
      <c r="T819" s="55"/>
      <c r="U819" s="55"/>
      <c r="V819" s="55"/>
      <c r="W819" s="48"/>
      <c r="X819" s="50"/>
      <c r="Y819" s="50"/>
      <c r="Z819" s="48" t="n">
        <f aca="false">IF(A819="","",IF(AND(Parameter!$B$21="Ja",ISNUMBER(W819)),W819,IF(CC819="2+3",IF(ISNUMBER(SEARCH("grosser Artikel",BU819)),2,IFERROR(VLOOKUP(BX819,Parameter!$F$35:$G$64,2,0),2)),IF(OR(CC819="Nein",CC819=""),"-",CC819))))</f>
        <v>3</v>
      </c>
      <c r="AA819" s="55"/>
      <c r="AB819" s="56"/>
      <c r="AC819" s="50" t="n">
        <f aca="false">AV819</f>
        <v>322</v>
      </c>
      <c r="AD819" s="50" t="n">
        <f aca="false">MAX(AV819,H819)</f>
        <v>322</v>
      </c>
      <c r="AE819" s="57"/>
      <c r="AF819" s="50" t="n">
        <f aca="false">IF(LEFT(Cockpit!$C$5,1)="A",H819,IF(Parameter!$E$30="MAX-Bestand",IF(CH819=1,CI819,IF(LEFT(Cockpit!$C$5,1)="B",AL819,MAX(AL819,H819))),ROUNDUP(AJ819,0)))</f>
        <v>75</v>
      </c>
      <c r="AG819" s="50" t="n">
        <f aca="false">IF(BZ819=1,0,ROUNDUP(AF819/BY819,0))</f>
        <v>1</v>
      </c>
      <c r="AH819" s="52" t="n">
        <f aca="false">IF(CQ819&gt;0,CQ819*MAX(1,AF819/X819),IF(BZ819=1,IF(AF819&lt;=0,0,CD819*MAX(1,IF(H819&gt;0,AF819/H819,1))),IF(R819&gt;0,AG819/R819,0))/MAX(0.1,N(Parameter!$M$21)))</f>
        <v>0.00714285714285714</v>
      </c>
      <c r="AI819" s="50" t="n">
        <f aca="false">AH819*CB819</f>
        <v>1.10714285714286</v>
      </c>
      <c r="AJ819" s="51" t="n">
        <f aca="false">IF(LEFT(Cockpit!$C$5,1)="A",H819,IF(CH819=1,(CK819+CI819)/2,IF(LEFT(Cockpit!$C$5,1)="B",(CK819+AL819)/2,MAX((CK819+AL819)/2,H819))))</f>
        <v>75</v>
      </c>
      <c r="AK819" s="50" t="n">
        <f aca="false">AJ819*G819</f>
        <v>14.25</v>
      </c>
      <c r="AL819" s="50" t="n">
        <f aca="false">ROUNDUP(CK819+MAX(CL819,2*(J819/IF(CG819&gt;0,CG819,MAX(0.1,N(Cockpit!$C$6)))-CK819)),0)</f>
        <v>322</v>
      </c>
      <c r="AM819" s="51" t="n">
        <f aca="false">IF(AI819&gt;0,J819/AI819,-1)</f>
        <v>280</v>
      </c>
      <c r="AN819" s="51" t="n">
        <f aca="false">IF(AND(OR(CF819="L1",CF819="L23",CF819="LIFT"),AI819&gt;0),SUMIFS($AI$7:$AI$1843,$CF$7:$CF$1843,CF819,$AM$7:$AM$1843,"&gt;"&amp;AM819)+SUMIFS($AI$7:$AI$1843,$CF$7:$CF$1843,CF819,$AM$7:$AM$1843,AM819,$BW$7:$BW$1843,"&lt;="&amp;BW819),"")</f>
        <v>271.46336996337</v>
      </c>
      <c r="AO819" s="58" t="n">
        <f aca="false">IF(AN819="",0,MAX(0,MIN(1,(IF(CF819="L1",Parameter!$H$5,IF(CF819="L23",Parameter!$H$6+Parameter!$H$7,Parameter!$H$5+Parameter!$H$6+Parameter!$H$7))-(AN819-AI819))/AI819)))</f>
        <v>1</v>
      </c>
      <c r="AP819" s="50" t="n">
        <f aca="false">IF(LEFT(Cockpit!$I$5,1)="A",H819,IF(Parameter!$E$30="MAX-Bestand",IF(CH819=1,CI819,IF(LEFT(Cockpit!$I$5,1)="B",AV819,MAX(AV819,H819))),ROUNDUP(AT819,0)))</f>
        <v>167</v>
      </c>
      <c r="AQ819" s="50" t="n">
        <f aca="false">IF(BZ819=1,0,ROUNDUP(AP819/BY819,0))</f>
        <v>1</v>
      </c>
      <c r="AR819" s="52" t="n">
        <f aca="false">IF(CQ819&gt;0,CQ819*MAX(1,AP819/X819),IF(BZ819=1,IF(AP819&lt;=0,0,CD819*MAX(1,IF(H819&gt;0,AP819/H819,1))),IF(R819&gt;0,AQ819/R819,0))/MAX(0.1,N(Parameter!$M$21)))</f>
        <v>0.00714285714285714</v>
      </c>
      <c r="AS819" s="50" t="n">
        <f aca="false">AR819*CB819</f>
        <v>1.10714285714286</v>
      </c>
      <c r="AT819" s="51" t="n">
        <f aca="false">IF(LEFT(Cockpit!$I$5,1)="A",H819,IF(CH819=1,(CK819+CI819)/2,IF(LEFT(Cockpit!$I$5,1)="B",(CK819+AV819)/2,MAX((CK819+AV819)/2,H819))))</f>
        <v>167</v>
      </c>
      <c r="AU819" s="50" t="n">
        <f aca="false">AT819*G819</f>
        <v>31.73</v>
      </c>
      <c r="AV819" s="50" t="n">
        <f aca="false">ROUNDUP(CK819+MAX(CL819,2*(J819/IF(CG819&gt;0,CG819,MAX(0.1,N(Cockpit!$I$6)))-CK819)),0)</f>
        <v>322</v>
      </c>
      <c r="AW819" s="51" t="n">
        <f aca="false">IF(AS819&gt;0,J819/AS819,-1)</f>
        <v>280</v>
      </c>
      <c r="AX819" s="51" t="n">
        <f aca="false">IF(AND(OR(CF819="L1",CF819="L23",CF819="LIFT"),AS819&gt;0),SUMIFS($AS$7:$AS$1843,$CF$7:$CF$1843,CF819,$AW$7:$AW$1843,"&gt;"&amp;AW819)+SUMIFS($AS$7:$AS$1843,$CF$7:$CF$1843,CF819,$AW$7:$AW$1843,AW819,$BW$7:$BW$1843,"&lt;="&amp;BW819),"")</f>
        <v>224.525641025641</v>
      </c>
      <c r="AY819" s="58" t="n">
        <f aca="false">IF(AX819="",0,MAX(0,MIN(1,(IF(CF819="L1",Parameter!$H$5,IF(CF819="L23",Parameter!$H$6+Parameter!$H$7,Parameter!$H$5+Parameter!$H$6+Parameter!$H$7))-(AX819-AS819))/AS819)))</f>
        <v>1</v>
      </c>
      <c r="AZ819" s="50" t="n">
        <f aca="false">IF(LEFT(Cockpit!$O$5,1)="A",H819,IF(Parameter!$E$30="MAX-Bestand",IF(CH819=1,CI819,IF(LEFT(Cockpit!$O$5,1)="B",BF819,MAX(BF819,H819))),ROUNDUP(BD819,0)))</f>
        <v>167</v>
      </c>
      <c r="BA819" s="50" t="n">
        <f aca="false">IF(BZ819=1,0,ROUNDUP(AZ819/BY819,0))</f>
        <v>1</v>
      </c>
      <c r="BB819" s="52" t="n">
        <f aca="false">IF(CQ819&gt;0,CQ819*MAX(1,AZ819/X819),IF(BZ819=1,IF(AZ819&lt;=0,0,CD819*MAX(1,IF(H819&gt;0,AZ819/H819,1))),IF(R819&gt;0,BA819/R819,0))/MAX(0.1,N(Parameter!$M$21)))</f>
        <v>0.00714285714285714</v>
      </c>
      <c r="BC819" s="50" t="n">
        <f aca="false">BB819*CB819</f>
        <v>1.10714285714286</v>
      </c>
      <c r="BD819" s="51" t="n">
        <f aca="false">IF(LEFT(Cockpit!$O$5,1)="A",H819,IF(CH819=1,(CK819+CI819)/2,IF(LEFT(Cockpit!$O$5,1)="B",(CK819+BF819)/2,MAX((CK819+BF819)/2,H819))))</f>
        <v>167</v>
      </c>
      <c r="BE819" s="50" t="n">
        <f aca="false">BD819*G819</f>
        <v>31.73</v>
      </c>
      <c r="BF819" s="50" t="n">
        <f aca="false">ROUNDUP(CK819+MAX(CL819,2*(J819/IF(CG819&gt;0,CG819,MAX(0.1,N(Cockpit!$O$6)))-CK819)),0)</f>
        <v>322</v>
      </c>
      <c r="BG819" s="51" t="n">
        <f aca="false">IF(BC819&gt;0,J819/BC819,-1)</f>
        <v>280</v>
      </c>
      <c r="BH819" s="51" t="n">
        <f aca="false">IF(AND(OR(CF819="L1",CF819="L23",CF819="LIFT"),BC819&gt;0),SUMIFS($BC$7:$BC$1843,$CF$7:$CF$1843,CF819,$BG$7:$BG$1843,"&gt;"&amp;BG819)+SUMIFS($BC$7:$BC$1843,$CF$7:$CF$1843,CF819,$BG$7:$BG$1843,BG819,$BW$7:$BW$1843,"&lt;="&amp;BW819),"")</f>
        <v>262.863095238095</v>
      </c>
      <c r="BI819" s="58" t="n">
        <f aca="false">IF(BH819="",0,MAX(0,MIN(1,(IF(CF819="L1",Parameter!$H$5,IF(CF819="L23",Parameter!$H$6+Parameter!$H$7,Parameter!$H$5+Parameter!$H$6+Parameter!$H$7))-(BH819-BC819))/BC819)))</f>
        <v>1</v>
      </c>
      <c r="BJ819" s="48" t="str">
        <f aca="false">IF(AI819&lt;=0,"",IF(CF819="Aussen","Aussenlager",IF(CF819="-","Nicht im Lift",IF(AO819&gt;=1,"Lift",IF(AO819&lt;=0,"Aussenlager","teilweise")))))</f>
        <v>Lift</v>
      </c>
      <c r="BK819" s="48" t="str">
        <f aca="false">IF(AS819&lt;=0,"",IF(CF819="Aussen","Aussenlager",IF(CF819="-","Nicht im Lift",IF(AY819&gt;=1,"Lift",IF(AY819&lt;=0,"Aussenlager","teilweise")))))</f>
        <v>Lift</v>
      </c>
      <c r="BL819" s="48" t="str">
        <f aca="false">IF(BC819&lt;=0,"",IF(CF819="Aussen","Aussenlager",IF(CF819="-","Nicht im Lift",IF(BI819&gt;=1,"Lift",IF(BI819&lt;=0,"Aussenlager","teilweise")))))</f>
        <v>Lift</v>
      </c>
      <c r="BM819" s="48" t="str">
        <f aca="false">IF(A819="","",IF(BV819=1,"Neu; ","")&amp;IF(AND(BV819=0,BQ819&lt;0),"negativer Bestand (Export "&amp;BQ819&amp;"); ","")&amp;IF(J819&lt;=0,"Kein Verbrauch; ","")&amp;IF(CQ819&gt;0,"Lift "&amp;W819&amp;" lt. Liftbericht (Fach "&amp;X819&amp;" Stk); ",IF(CA819=1,"Gebinde geschätzt ("&amp;T819&amp;"); ",IF(BZ819=1,"Lose – Tablare geschätzt; ","")))&amp;IF(H819&gt;AV819,"Überbestand "&amp;ROUND(H819-AV819,0)&amp;" Stk / CHF "&amp;ROUND((H819-AV819)*G819,0)&amp;"; ","")&amp;IF(AND(CH819=1,CI819&lt;CJ819),"MAX &lt; MB+LG; ","")&amp;IF(AND(CP819&gt;0,CO819*10&gt;CP819),"zu hoch für Tablar; ","")&amp;IF(AND(BV819=0,OR(CH819=1,AA819&lt;&gt;"",U819&lt;&gt;"",V819&lt;&gt;"",AB819&lt;&gt;"")),"manuell übersteuert; ","")&amp;IF(AND(BZ819=0,R819=0),"Gebinde unbekannt / Stellmass fehlt; ","")&amp;IF(AND(BZ819=0,N(V819)&lt;=0,N(Q819)&lt;=0),"Menge pro Gebinde fehlt (Ist = 1 Gebinde); ","")&amp;BU819)</f>
        <v>negativer Bestand (Export -47); </v>
      </c>
      <c r="BN819" s="48"/>
      <c r="BO819" s="48"/>
      <c r="BP819" s="55"/>
      <c r="BQ819" s="50" t="n">
        <v>-47</v>
      </c>
      <c r="BR819" s="50" t="n">
        <v>122</v>
      </c>
      <c r="BS819" s="49" t="n">
        <v>-8.93000000000001</v>
      </c>
      <c r="BT819" s="50" t="n">
        <v>310</v>
      </c>
      <c r="BU819" s="48"/>
      <c r="BV819" s="53" t="n">
        <v>0</v>
      </c>
      <c r="BW819" s="53" t="n">
        <v>819</v>
      </c>
      <c r="BX819" s="48" t="str">
        <f aca="false">IF(U819&lt;&gt;"",UPPER(TRIM(U819)),IF(CA819=1,UPPER(VLOOKUP(T819,Parameter!$I$27:$K$29,2,0)),IF(P819="","LOSE",P819)))</f>
        <v>S22</v>
      </c>
      <c r="BY819" s="50" t="n">
        <f aca="false">IF(BX819="LOSE",1,IF(N(V819)&gt;0,V819,IF(CA819=1,MAX(1,N(VLOOKUP(T819,Parameter!$I$27:$K$29,3,0)),H819,N(N819)),IF(N(Q819)&gt;0,Q819,MAX(1,H819)))))</f>
        <v>195</v>
      </c>
      <c r="BZ819" s="53" t="n">
        <f aca="false">IF(BX819="LOSE",1,0)</f>
        <v>0</v>
      </c>
      <c r="CA819" s="53" t="n">
        <f aca="false">IF(AND(U819="",OR(P819="",P819="LOSE"),T819&lt;&gt;"",N(S819)&lt;=0,ISNUMBER(MATCH(T819,Parameter!$I$27:$I$29,0))),1,0)</f>
        <v>0</v>
      </c>
      <c r="CB819" s="53" t="n">
        <f aca="false">IF(CQ819&gt;0,INDEX(Parameter!$H$5:$H$7,W819)/INDEX(Parameter!$E$5:$E$7,W819),IF(AND(BZ819=0,N(IFERROR(VLOOKUP(BX819,'Gebinde-Kategorie'!$A$5:$N$45,14,0),0))&gt;0),VLOOKUP(BX819,'Gebinde-Kategorie'!$A$5:$N$45,14,0)*10+Parameter!$M$23,Parameter!$M$24))</f>
        <v>155</v>
      </c>
      <c r="CC819" s="48" t="str">
        <f aca="false">IF(AND(Parameter!$B$19="Ja",E819&lt;&gt;"",ISNUMBER(MATCH(E819,Parameter!$I$35:$I$52,0))),VLOOKUP(E819,Parameter!$I$35:$J$52,2,0),IFERROR(VLOOKUP(D819,Parameter!$A$35:$C$64,2,0),"Nein"))</f>
        <v>2+3</v>
      </c>
      <c r="CD819" s="52" t="n">
        <f aca="false">IF(BZ819=0,0,IF(N(S819)&gt;0,S819,IFERROR(VLOOKUP(D819,Parameter!$A$35:$C$64,3,0)+0,0)))</f>
        <v>0</v>
      </c>
      <c r="CE819" s="48" t="n">
        <f aca="false">IF(AA819&lt;&gt;"",AA819,Z819)</f>
        <v>3</v>
      </c>
      <c r="CF819" s="48" t="str">
        <f aca="false">IF(OR(CE819=1,CE819=2,CE819=3),IF(Parameter!$E$27="Ja","LIFT",IF(CE819=1,"L1","L23")),IF(CE819="Aussen","Aussen","-"))</f>
        <v>LIFT</v>
      </c>
      <c r="CG819" s="59" t="n">
        <f aca="false">IF(N(AB819)&gt;0,AB819,0)</f>
        <v>0</v>
      </c>
      <c r="CH819" s="53" t="n">
        <f aca="false">IF(ISNUMBER(AE819),1,0)</f>
        <v>0</v>
      </c>
      <c r="CI819" s="50" t="n">
        <f aca="false">N(AE819)</f>
        <v>0</v>
      </c>
      <c r="CJ819" s="50" t="n">
        <f aca="false">N(M819)+N(N819)</f>
        <v>322</v>
      </c>
      <c r="CK819" s="50" t="n">
        <f aca="false">N(M819)</f>
        <v>12</v>
      </c>
      <c r="CL819" s="50" t="n">
        <f aca="false">N(N819)</f>
        <v>310</v>
      </c>
      <c r="CM819" s="50" t="n">
        <f aca="false">ROUNDUP(H819/BY819,0)</f>
        <v>1</v>
      </c>
      <c r="CN819" s="50" t="n">
        <f aca="false">ROUNDUP(CI819/BY819,0)</f>
        <v>0</v>
      </c>
      <c r="CO819" s="53" t="n">
        <f aca="false">IF(BZ819=1,0,IFERROR(VLOOKUP(BX819,'Gebinde-Kategorie'!$A$5:$N$45,5,0)+0,0))</f>
        <v>8</v>
      </c>
      <c r="CP819" s="53" t="n">
        <f aca="false">IFERROR(IF(OR(CE819=1,CE819=2,CE819=3),N(INDEX(Parameter!$I$5:$I$7,CE819)),0),0)</f>
        <v>0</v>
      </c>
      <c r="CQ819" s="52" t="n">
        <f aca="false">IF(AND(Parameter!$B$21="Ja",ISNUMBER(W819),N(X819)&gt;0),IFERROR(N(INDEX(Parameter!$L$5:$L$7,W819))*INDEX(Parameter!$E$5:$E$7,W819)*X819/SUMIFS($X$7:$X$1843,$W$7:$W$1843,W819),0),0)</f>
        <v>0</v>
      </c>
    </row>
    <row r="820" customFormat="false" ht="15" hidden="false" customHeight="false" outlineLevel="0" collapsed="false">
      <c r="A820" s="48" t="s">
        <v>1591</v>
      </c>
      <c r="B820" s="48" t="s">
        <v>1592</v>
      </c>
      <c r="C820" s="48" t="s">
        <v>173</v>
      </c>
      <c r="D820" s="48" t="s">
        <v>193</v>
      </c>
      <c r="E820" s="48" t="s">
        <v>194</v>
      </c>
      <c r="F820" s="48" t="s">
        <v>227</v>
      </c>
      <c r="G820" s="49" t="n">
        <v>9.4</v>
      </c>
      <c r="H820" s="50" t="n">
        <f aca="false">MAX(0,IF(AND(Parameter!$B$21="Ja",ISNUMBER(Y820)),Y820,IF(Parameter!$B$20="Jahresanfang 2025 + Export",BR820+BQ820,BQ820)))</f>
        <v>10</v>
      </c>
      <c r="I820" s="50" t="n">
        <f aca="false">H820*G820</f>
        <v>94</v>
      </c>
      <c r="J820" s="50" t="n">
        <f aca="false">BT820*Parameter!$B$18</f>
        <v>0</v>
      </c>
      <c r="K820" s="51" t="n">
        <v>10.5</v>
      </c>
      <c r="L820" s="52" t="n">
        <v>0</v>
      </c>
      <c r="M820" s="50" t="n">
        <v>0</v>
      </c>
      <c r="N820" s="50" t="n">
        <v>1</v>
      </c>
      <c r="O820" s="53" t="n">
        <v>14</v>
      </c>
      <c r="P820" s="48" t="s">
        <v>435</v>
      </c>
      <c r="Q820" s="50" t="n">
        <v>15</v>
      </c>
      <c r="R820" s="53" t="n">
        <f aca="false">IF(BZ820=1,0,IFERROR(VLOOKUP(BX820,'Gebinde-Kategorie'!$A$5:$N$45,13,0)+0,0))</f>
        <v>140</v>
      </c>
      <c r="S820" s="54"/>
      <c r="T820" s="55"/>
      <c r="U820" s="55"/>
      <c r="V820" s="55"/>
      <c r="W820" s="48"/>
      <c r="X820" s="50"/>
      <c r="Y820" s="50"/>
      <c r="Z820" s="48" t="n">
        <f aca="false">IF(A820="","",IF(AND(Parameter!$B$21="Ja",ISNUMBER(W820)),W820,IF(CC820="2+3",IF(ISNUMBER(SEARCH("grosser Artikel",BU820)),2,IFERROR(VLOOKUP(BX820,Parameter!$F$35:$G$64,2,0),2)),IF(OR(CC820="Nein",CC820=""),"-",CC820))))</f>
        <v>3</v>
      </c>
      <c r="AA820" s="55"/>
      <c r="AB820" s="56"/>
      <c r="AC820" s="50" t="n">
        <f aca="false">AV820</f>
        <v>1</v>
      </c>
      <c r="AD820" s="50" t="n">
        <f aca="false">MAX(AV820,H820)</f>
        <v>10</v>
      </c>
      <c r="AE820" s="57"/>
      <c r="AF820" s="50" t="n">
        <f aca="false">IF(LEFT(Cockpit!$C$5,1)="A",H820,IF(Parameter!$E$30="MAX-Bestand",IF(CH820=1,CI820,IF(LEFT(Cockpit!$C$5,1)="B",AL820,MAX(AL820,H820))),ROUNDUP(AJ820,0)))</f>
        <v>10</v>
      </c>
      <c r="AG820" s="50" t="n">
        <f aca="false">IF(BZ820=1,0,ROUNDUP(AF820/BY820,0))</f>
        <v>1</v>
      </c>
      <c r="AH820" s="52" t="n">
        <f aca="false">IF(CQ820&gt;0,CQ820*MAX(1,AF820/X820),IF(BZ820=1,IF(AF820&lt;=0,0,CD820*MAX(1,IF(H820&gt;0,AF820/H820,1))),IF(R820&gt;0,AG820/R820,0))/MAX(0.1,N(Parameter!$M$21)))</f>
        <v>0.00714285714285714</v>
      </c>
      <c r="AI820" s="50" t="n">
        <f aca="false">AH820*CB820</f>
        <v>1.10714285714286</v>
      </c>
      <c r="AJ820" s="51" t="n">
        <f aca="false">IF(LEFT(Cockpit!$C$5,1)="A",H820,IF(CH820=1,(CK820+CI820)/2,IF(LEFT(Cockpit!$C$5,1)="B",(CK820+AL820)/2,MAX((CK820+AL820)/2,H820))))</f>
        <v>10</v>
      </c>
      <c r="AK820" s="50" t="n">
        <f aca="false">AJ820*G820</f>
        <v>94</v>
      </c>
      <c r="AL820" s="50" t="n">
        <f aca="false">ROUNDUP(CK820+MAX(CL820,2*(J820/IF(CG820&gt;0,CG820,MAX(0.1,N(Cockpit!$C$6)))-CK820)),0)</f>
        <v>1</v>
      </c>
      <c r="AM820" s="51" t="n">
        <f aca="false">IF(AI820&gt;0,J820/AI820,-1)</f>
        <v>0</v>
      </c>
      <c r="AN820" s="51" t="n">
        <f aca="false">IF(AND(OR(CF820="L1",CF820="L23",CF820="LIFT"),AI820&gt;0),SUMIFS($AI$7:$AI$1843,$CF$7:$CF$1843,CF820,$AM$7:$AM$1843,"&gt;"&amp;AM820)+SUMIFS($AI$7:$AI$1843,$CF$7:$CF$1843,CF820,$AM$7:$AM$1843,AM820,$BW$7:$BW$1843,"&lt;="&amp;BW820),"")</f>
        <v>28783.6952230914</v>
      </c>
      <c r="AO820" s="58" t="n">
        <f aca="false">IF(AN820="",0,MAX(0,MIN(1,(IF(CF820="L1",Parameter!$H$5,IF(CF820="L23",Parameter!$H$6+Parameter!$H$7,Parameter!$H$5+Parameter!$H$6+Parameter!$H$7))-(AN820-AI820))/AI820)))</f>
        <v>1</v>
      </c>
      <c r="AP820" s="50" t="n">
        <f aca="false">IF(LEFT(Cockpit!$I$5,1)="A",H820,IF(Parameter!$E$30="MAX-Bestand",IF(CH820=1,CI820,IF(LEFT(Cockpit!$I$5,1)="B",AV820,MAX(AV820,H820))),ROUNDUP(AT820,0)))</f>
        <v>10</v>
      </c>
      <c r="AQ820" s="50" t="n">
        <f aca="false">IF(BZ820=1,0,ROUNDUP(AP820/BY820,0))</f>
        <v>1</v>
      </c>
      <c r="AR820" s="52" t="n">
        <f aca="false">IF(CQ820&gt;0,CQ820*MAX(1,AP820/X820),IF(BZ820=1,IF(AP820&lt;=0,0,CD820*MAX(1,IF(H820&gt;0,AP820/H820,1))),IF(R820&gt;0,AQ820/R820,0))/MAX(0.1,N(Parameter!$M$21)))</f>
        <v>0.00714285714285714</v>
      </c>
      <c r="AS820" s="50" t="n">
        <f aca="false">AR820*CB820</f>
        <v>1.10714285714286</v>
      </c>
      <c r="AT820" s="51" t="n">
        <f aca="false">IF(LEFT(Cockpit!$I$5,1)="A",H820,IF(CH820=1,(CK820+CI820)/2,IF(LEFT(Cockpit!$I$5,1)="B",(CK820+AV820)/2,MAX((CK820+AV820)/2,H820))))</f>
        <v>10</v>
      </c>
      <c r="AU820" s="50" t="n">
        <f aca="false">AT820*G820</f>
        <v>94</v>
      </c>
      <c r="AV820" s="50" t="n">
        <f aca="false">ROUNDUP(CK820+MAX(CL820,2*(J820/IF(CG820&gt;0,CG820,MAX(0.1,N(Cockpit!$I$6)))-CK820)),0)</f>
        <v>1</v>
      </c>
      <c r="AW820" s="51" t="n">
        <f aca="false">IF(AS820&gt;0,J820/AS820,-1)</f>
        <v>0</v>
      </c>
      <c r="AX820" s="51" t="n">
        <f aca="false">IF(AND(OR(CF820="L1",CF820="L23",CF820="LIFT"),AS820&gt;0),SUMIFS($AS$7:$AS$1843,$CF$7:$CF$1843,CF820,$AW$7:$AW$1843,"&gt;"&amp;AW820)+SUMIFS($AS$7:$AS$1843,$CF$7:$CF$1843,CF820,$AW$7:$AW$1843,AW820,$BW$7:$BW$1843,"&lt;="&amp;BW820),"")</f>
        <v>34394.9935897436</v>
      </c>
      <c r="AY820" s="58" t="n">
        <f aca="false">IF(AX820="",0,MAX(0,MIN(1,(IF(CF820="L1",Parameter!$H$5,IF(CF820="L23",Parameter!$H$6+Parameter!$H$7,Parameter!$H$5+Parameter!$H$6+Parameter!$H$7))-(AX820-AS820))/AS820)))</f>
        <v>1</v>
      </c>
      <c r="AZ820" s="50" t="n">
        <f aca="false">IF(LEFT(Cockpit!$O$5,1)="A",H820,IF(Parameter!$E$30="MAX-Bestand",IF(CH820=1,CI820,IF(LEFT(Cockpit!$O$5,1)="B",BF820,MAX(BF820,H820))),ROUNDUP(BD820,0)))</f>
        <v>1</v>
      </c>
      <c r="BA820" s="50" t="n">
        <f aca="false">IF(BZ820=1,0,ROUNDUP(AZ820/BY820,0))</f>
        <v>1</v>
      </c>
      <c r="BB820" s="52" t="n">
        <f aca="false">IF(CQ820&gt;0,CQ820*MAX(1,AZ820/X820),IF(BZ820=1,IF(AZ820&lt;=0,0,CD820*MAX(1,IF(H820&gt;0,AZ820/H820,1))),IF(R820&gt;0,BA820/R820,0))/MAX(0.1,N(Parameter!$M$21)))</f>
        <v>0.00714285714285714</v>
      </c>
      <c r="BC820" s="50" t="n">
        <f aca="false">BB820*CB820</f>
        <v>1.10714285714286</v>
      </c>
      <c r="BD820" s="51" t="n">
        <f aca="false">IF(LEFT(Cockpit!$O$5,1)="A",H820,IF(CH820=1,(CK820+CI820)/2,IF(LEFT(Cockpit!$O$5,1)="B",(CK820+BF820)/2,MAX((CK820+BF820)/2,H820))))</f>
        <v>0.5</v>
      </c>
      <c r="BE820" s="50" t="n">
        <f aca="false">BD820*G820</f>
        <v>4.7</v>
      </c>
      <c r="BF820" s="50" t="n">
        <f aca="false">ROUNDUP(CK820+MAX(CL820,2*(J820/IF(CG820&gt;0,CG820,MAX(0.1,N(Cockpit!$O$6)))-CK820)),0)</f>
        <v>1</v>
      </c>
      <c r="BG820" s="51" t="n">
        <f aca="false">IF(BC820&gt;0,J820/BC820,-1)</f>
        <v>0</v>
      </c>
      <c r="BH820" s="51" t="n">
        <f aca="false">IF(AND(OR(CF820="L1",CF820="L23",CF820="LIFT"),BC820&gt;0),SUMIFS($BC$7:$BC$1843,$CF$7:$CF$1843,CF820,$BG$7:$BG$1843,"&gt;"&amp;BG820)+SUMIFS($BC$7:$BC$1843,$CF$7:$CF$1843,CF820,$BG$7:$BG$1843,BG820,$BW$7:$BW$1843,"&lt;="&amp;BW820),"")</f>
        <v>28434.7755246166</v>
      </c>
      <c r="BI820" s="58" t="n">
        <f aca="false">IF(BH820="",0,MAX(0,MIN(1,(IF(CF820="L1",Parameter!$H$5,IF(CF820="L23",Parameter!$H$6+Parameter!$H$7,Parameter!$H$5+Parameter!$H$6+Parameter!$H$7))-(BH820-BC820))/BC820)))</f>
        <v>1</v>
      </c>
      <c r="BJ820" s="48" t="str">
        <f aca="false">IF(AI820&lt;=0,"",IF(CF820="Aussen","Aussenlager",IF(CF820="-","Nicht im Lift",IF(AO820&gt;=1,"Lift",IF(AO820&lt;=0,"Aussenlager","teilweise")))))</f>
        <v>Lift</v>
      </c>
      <c r="BK820" s="48" t="str">
        <f aca="false">IF(AS820&lt;=0,"",IF(CF820="Aussen","Aussenlager",IF(CF820="-","Nicht im Lift",IF(AY820&gt;=1,"Lift",IF(AY820&lt;=0,"Aussenlager","teilweise")))))</f>
        <v>Lift</v>
      </c>
      <c r="BL820" s="48" t="str">
        <f aca="false">IF(BC820&lt;=0,"",IF(CF820="Aussen","Aussenlager",IF(CF820="-","Nicht im Lift",IF(BI820&gt;=1,"Lift",IF(BI820&lt;=0,"Aussenlager","teilweise")))))</f>
        <v>Lift</v>
      </c>
      <c r="BM820" s="48" t="str">
        <f aca="false">IF(A820="","",IF(BV820=1,"Neu; ","")&amp;IF(AND(BV820=0,BQ820&lt;0),"negativer Bestand (Export "&amp;BQ820&amp;"); ","")&amp;IF(J820&lt;=0,"Kein Verbrauch; ","")&amp;IF(CQ820&gt;0,"Lift "&amp;W820&amp;" lt. Liftbericht (Fach "&amp;X820&amp;" Stk); ",IF(CA820=1,"Gebinde geschätzt ("&amp;T820&amp;"); ",IF(BZ820=1,"Lose – Tablare geschätzt; ","")))&amp;IF(H820&gt;AV820,"Überbestand "&amp;ROUND(H820-AV820,0)&amp;" Stk / CHF "&amp;ROUND((H820-AV820)*G820,0)&amp;"; ","")&amp;IF(AND(CH820=1,CI820&lt;CJ820),"MAX &lt; MB+LG; ","")&amp;IF(AND(CP820&gt;0,CO820*10&gt;CP820),"zu hoch für Tablar; ","")&amp;IF(AND(BV820=0,OR(CH820=1,AA820&lt;&gt;"",U820&lt;&gt;"",V820&lt;&gt;"",AB820&lt;&gt;"")),"manuell übersteuert; ","")&amp;IF(AND(BZ820=0,R820=0),"Gebinde unbekannt / Stellmass fehlt; ","")&amp;IF(AND(BZ820=0,N(V820)&lt;=0,N(Q820)&lt;=0),"Menge pro Gebinde fehlt (Ist = 1 Gebinde); ","")&amp;BU820)</f>
        <v>negativer Bestand (Export -1); Kein Verbrauch; Überbestand 9 Stk / CHF 85; Neu</v>
      </c>
      <c r="BN820" s="48"/>
      <c r="BO820" s="48"/>
      <c r="BP820" s="55"/>
      <c r="BQ820" s="50" t="n">
        <v>-1</v>
      </c>
      <c r="BR820" s="50" t="n">
        <v>11</v>
      </c>
      <c r="BS820" s="49" t="n">
        <v>-9.4</v>
      </c>
      <c r="BT820" s="50" t="n">
        <v>0</v>
      </c>
      <c r="BU820" s="48" t="s">
        <v>635</v>
      </c>
      <c r="BV820" s="53" t="n">
        <v>0</v>
      </c>
      <c r="BW820" s="53" t="n">
        <v>820</v>
      </c>
      <c r="BX820" s="48" t="str">
        <f aca="false">IF(U820&lt;&gt;"",UPPER(TRIM(U820)),IF(CA820=1,UPPER(VLOOKUP(T820,Parameter!$I$27:$K$29,2,0)),IF(P820="","LOSE",P820)))</f>
        <v>S22</v>
      </c>
      <c r="BY820" s="50" t="n">
        <f aca="false">IF(BX820="LOSE",1,IF(N(V820)&gt;0,V820,IF(CA820=1,MAX(1,N(VLOOKUP(T820,Parameter!$I$27:$K$29,3,0)),H820,N(N820)),IF(N(Q820)&gt;0,Q820,MAX(1,H820)))))</f>
        <v>15</v>
      </c>
      <c r="BZ820" s="53" t="n">
        <f aca="false">IF(BX820="LOSE",1,0)</f>
        <v>0</v>
      </c>
      <c r="CA820" s="53" t="n">
        <f aca="false">IF(AND(U820="",OR(P820="",P820="LOSE"),T820&lt;&gt;"",N(S820)&lt;=0,ISNUMBER(MATCH(T820,Parameter!$I$27:$I$29,0))),1,0)</f>
        <v>0</v>
      </c>
      <c r="CB820" s="53" t="n">
        <f aca="false">IF(CQ820&gt;0,INDEX(Parameter!$H$5:$H$7,W820)/INDEX(Parameter!$E$5:$E$7,W820),IF(AND(BZ820=0,N(IFERROR(VLOOKUP(BX820,'Gebinde-Kategorie'!$A$5:$N$45,14,0),0))&gt;0),VLOOKUP(BX820,'Gebinde-Kategorie'!$A$5:$N$45,14,0)*10+Parameter!$M$23,Parameter!$M$24))</f>
        <v>155</v>
      </c>
      <c r="CC820" s="48" t="str">
        <f aca="false">IF(AND(Parameter!$B$19="Ja",E820&lt;&gt;"",ISNUMBER(MATCH(E820,Parameter!$I$35:$I$52,0))),VLOOKUP(E820,Parameter!$I$35:$J$52,2,0),IFERROR(VLOOKUP(D820,Parameter!$A$35:$C$64,2,0),"Nein"))</f>
        <v>2+3</v>
      </c>
      <c r="CD820" s="52" t="n">
        <f aca="false">IF(BZ820=0,0,IF(N(S820)&gt;0,S820,IFERROR(VLOOKUP(D820,Parameter!$A$35:$C$64,3,0)+0,0)))</f>
        <v>0</v>
      </c>
      <c r="CE820" s="48" t="n">
        <f aca="false">IF(AA820&lt;&gt;"",AA820,Z820)</f>
        <v>3</v>
      </c>
      <c r="CF820" s="48" t="str">
        <f aca="false">IF(OR(CE820=1,CE820=2,CE820=3),IF(Parameter!$E$27="Ja","LIFT",IF(CE820=1,"L1","L23")),IF(CE820="Aussen","Aussen","-"))</f>
        <v>LIFT</v>
      </c>
      <c r="CG820" s="59" t="n">
        <f aca="false">IF(N(AB820)&gt;0,AB820,0)</f>
        <v>0</v>
      </c>
      <c r="CH820" s="53" t="n">
        <f aca="false">IF(ISNUMBER(AE820),1,0)</f>
        <v>0</v>
      </c>
      <c r="CI820" s="50" t="n">
        <f aca="false">N(AE820)</f>
        <v>0</v>
      </c>
      <c r="CJ820" s="50" t="n">
        <f aca="false">N(M820)+N(N820)</f>
        <v>1</v>
      </c>
      <c r="CK820" s="50" t="n">
        <f aca="false">N(M820)</f>
        <v>0</v>
      </c>
      <c r="CL820" s="50" t="n">
        <f aca="false">N(N820)</f>
        <v>1</v>
      </c>
      <c r="CM820" s="50" t="n">
        <f aca="false">ROUNDUP(H820/BY820,0)</f>
        <v>1</v>
      </c>
      <c r="CN820" s="50" t="n">
        <f aca="false">ROUNDUP(CI820/BY820,0)</f>
        <v>0</v>
      </c>
      <c r="CO820" s="53" t="n">
        <f aca="false">IF(BZ820=1,0,IFERROR(VLOOKUP(BX820,'Gebinde-Kategorie'!$A$5:$N$45,5,0)+0,0))</f>
        <v>8</v>
      </c>
      <c r="CP820" s="53" t="n">
        <f aca="false">IFERROR(IF(OR(CE820=1,CE820=2,CE820=3),N(INDEX(Parameter!$I$5:$I$7,CE820)),0),0)</f>
        <v>0</v>
      </c>
      <c r="CQ820" s="52" t="n">
        <f aca="false">IF(AND(Parameter!$B$21="Ja",ISNUMBER(W820),N(X820)&gt;0),IFERROR(N(INDEX(Parameter!$L$5:$L$7,W820))*INDEX(Parameter!$E$5:$E$7,W820)*X820/SUMIFS($X$7:$X$1843,$W$7:$W$1843,W820),0),0)</f>
        <v>0</v>
      </c>
    </row>
    <row r="821" customFormat="false" ht="15" hidden="false" customHeight="false" outlineLevel="0" collapsed="false">
      <c r="A821" s="48" t="s">
        <v>1593</v>
      </c>
      <c r="B821" s="48" t="s">
        <v>416</v>
      </c>
      <c r="C821" s="48" t="s">
        <v>173</v>
      </c>
      <c r="D821" s="48" t="s">
        <v>193</v>
      </c>
      <c r="E821" s="48" t="s">
        <v>194</v>
      </c>
      <c r="F821" s="48" t="s">
        <v>227</v>
      </c>
      <c r="G821" s="49" t="n">
        <v>0.02</v>
      </c>
      <c r="H821" s="50" t="n">
        <f aca="false">MAX(0,IF(AND(Parameter!$B$21="Ja",ISNUMBER(Y821)),Y821,IF(Parameter!$B$20="Jahresanfang 2025 + Export",BR821+BQ821,BQ821)))</f>
        <v>216</v>
      </c>
      <c r="I821" s="50" t="n">
        <f aca="false">H821*G821</f>
        <v>4.32</v>
      </c>
      <c r="J821" s="50" t="n">
        <f aca="false">BT821*Parameter!$B$18</f>
        <v>684</v>
      </c>
      <c r="K821" s="51" t="n">
        <v>535.5</v>
      </c>
      <c r="L821" s="52" t="n">
        <v>1.27731092436975</v>
      </c>
      <c r="M821" s="50" t="n">
        <v>39</v>
      </c>
      <c r="N821" s="50" t="n">
        <v>1000</v>
      </c>
      <c r="O821" s="53" t="n">
        <v>21</v>
      </c>
      <c r="P821" s="48" t="s">
        <v>410</v>
      </c>
      <c r="Q821" s="50" t="n">
        <v>218</v>
      </c>
      <c r="R821" s="53" t="n">
        <f aca="false">IF(BZ821=1,0,IFERROR(VLOOKUP(BX821,'Gebinde-Kategorie'!$A$5:$N$45,13,0)+0,0))</f>
        <v>280</v>
      </c>
      <c r="S821" s="54"/>
      <c r="T821" s="55"/>
      <c r="U821" s="55"/>
      <c r="V821" s="55"/>
      <c r="W821" s="48"/>
      <c r="X821" s="50"/>
      <c r="Y821" s="50"/>
      <c r="Z821" s="48" t="n">
        <f aca="false">IF(A821="","",IF(AND(Parameter!$B$21="Ja",ISNUMBER(W821)),W821,IF(CC821="2+3",IF(ISNUMBER(SEARCH("grosser Artikel",BU821)),2,IFERROR(VLOOKUP(BX821,Parameter!$F$35:$G$64,2,0),2)),IF(OR(CC821="Nein",CC821=""),"-",CC821))))</f>
        <v>3</v>
      </c>
      <c r="AA821" s="55"/>
      <c r="AB821" s="56"/>
      <c r="AC821" s="50" t="n">
        <f aca="false">AV821</f>
        <v>1039</v>
      </c>
      <c r="AD821" s="50" t="n">
        <f aca="false">MAX(AV821,H821)</f>
        <v>1039</v>
      </c>
      <c r="AE821" s="57"/>
      <c r="AF821" s="50" t="n">
        <f aca="false">IF(LEFT(Cockpit!$C$5,1)="A",H821,IF(Parameter!$E$30="MAX-Bestand",IF(CH821=1,CI821,IF(LEFT(Cockpit!$C$5,1)="B",AL821,MAX(AL821,H821))),ROUNDUP(AJ821,0)))</f>
        <v>216</v>
      </c>
      <c r="AG821" s="50" t="n">
        <f aca="false">IF(BZ821=1,0,ROUNDUP(AF821/BY821,0))</f>
        <v>1</v>
      </c>
      <c r="AH821" s="52" t="n">
        <f aca="false">IF(CQ821&gt;0,CQ821*MAX(1,AF821/X821),IF(BZ821=1,IF(AF821&lt;=0,0,CD821*MAX(1,IF(H821&gt;0,AF821/H821,1))),IF(R821&gt;0,AG821/R821,0))/MAX(0.1,N(Parameter!$M$21)))</f>
        <v>0.00357142857142857</v>
      </c>
      <c r="AI821" s="50" t="n">
        <f aca="false">AH821*CB821</f>
        <v>0.553571428571429</v>
      </c>
      <c r="AJ821" s="51" t="n">
        <f aca="false">IF(LEFT(Cockpit!$C$5,1)="A",H821,IF(CH821=1,(CK821+CI821)/2,IF(LEFT(Cockpit!$C$5,1)="B",(CK821+AL821)/2,MAX((CK821+AL821)/2,H821))))</f>
        <v>216</v>
      </c>
      <c r="AK821" s="50" t="n">
        <f aca="false">AJ821*G821</f>
        <v>4.32</v>
      </c>
      <c r="AL821" s="50" t="n">
        <f aca="false">ROUNDUP(CK821+MAX(CL821,2*(J821/IF(CG821&gt;0,CG821,MAX(0.1,N(Cockpit!$C$6)))-CK821)),0)</f>
        <v>1039</v>
      </c>
      <c r="AM821" s="51" t="n">
        <f aca="false">IF(AI821&gt;0,J821/AI821,-1)</f>
        <v>1235.61290322581</v>
      </c>
      <c r="AN821" s="51" t="n">
        <f aca="false">IF(AND(OR(CF821="L1",CF821="L23",CF821="LIFT"),AI821&gt;0),SUMIFS($AI$7:$AI$1843,$CF$7:$CF$1843,CF821,$AM$7:$AM$1843,"&gt;"&amp;AM821)+SUMIFS($AI$7:$AI$1843,$CF$7:$CF$1843,CF821,$AM$7:$AM$1843,AM821,$BW$7:$BW$1843,"&lt;="&amp;BW821),"")</f>
        <v>12.4766483516484</v>
      </c>
      <c r="AO821" s="58" t="n">
        <f aca="false">IF(AN821="",0,MAX(0,MIN(1,(IF(CF821="L1",Parameter!$H$5,IF(CF821="L23",Parameter!$H$6+Parameter!$H$7,Parameter!$H$5+Parameter!$H$6+Parameter!$H$7))-(AN821-AI821))/AI821)))</f>
        <v>1</v>
      </c>
      <c r="AP821" s="50" t="n">
        <f aca="false">IF(LEFT(Cockpit!$I$5,1)="A",H821,IF(Parameter!$E$30="MAX-Bestand",IF(CH821=1,CI821,IF(LEFT(Cockpit!$I$5,1)="B",AV821,MAX(AV821,H821))),ROUNDUP(AT821,0)))</f>
        <v>539</v>
      </c>
      <c r="AQ821" s="50" t="n">
        <f aca="false">IF(BZ821=1,0,ROUNDUP(AP821/BY821,0))</f>
        <v>3</v>
      </c>
      <c r="AR821" s="52" t="n">
        <f aca="false">IF(CQ821&gt;0,CQ821*MAX(1,AP821/X821),IF(BZ821=1,IF(AP821&lt;=0,0,CD821*MAX(1,IF(H821&gt;0,AP821/H821,1))),IF(R821&gt;0,AQ821/R821,0))/MAX(0.1,N(Parameter!$M$21)))</f>
        <v>0.0107142857142857</v>
      </c>
      <c r="AS821" s="50" t="n">
        <f aca="false">AR821*CB821</f>
        <v>1.66071428571429</v>
      </c>
      <c r="AT821" s="51" t="n">
        <f aca="false">IF(LEFT(Cockpit!$I$5,1)="A",H821,IF(CH821=1,(CK821+CI821)/2,IF(LEFT(Cockpit!$I$5,1)="B",(CK821+AV821)/2,MAX((CK821+AV821)/2,H821))))</f>
        <v>539</v>
      </c>
      <c r="AU821" s="50" t="n">
        <f aca="false">AT821*G821</f>
        <v>10.78</v>
      </c>
      <c r="AV821" s="50" t="n">
        <f aca="false">ROUNDUP(CK821+MAX(CL821,2*(J821/IF(CG821&gt;0,CG821,MAX(0.1,N(Cockpit!$I$6)))-CK821)),0)</f>
        <v>1039</v>
      </c>
      <c r="AW821" s="51" t="n">
        <f aca="false">IF(AS821&gt;0,J821/AS821,-1)</f>
        <v>411.870967741936</v>
      </c>
      <c r="AX821" s="51" t="n">
        <f aca="false">IF(AND(OR(CF821="L1",CF821="L23",CF821="LIFT"),AS821&gt;0),SUMIFS($AS$7:$AS$1843,$CF$7:$CF$1843,CF821,$AW$7:$AW$1843,"&gt;"&amp;AW821)+SUMIFS($AS$7:$AS$1843,$CF$7:$CF$1843,CF821,$AW$7:$AW$1843,AW821,$BW$7:$BW$1843,"&lt;="&amp;BW821),"")</f>
        <v>105.781593406593</v>
      </c>
      <c r="AY821" s="58" t="n">
        <f aca="false">IF(AX821="",0,MAX(0,MIN(1,(IF(CF821="L1",Parameter!$H$5,IF(CF821="L23",Parameter!$H$6+Parameter!$H$7,Parameter!$H$5+Parameter!$H$6+Parameter!$H$7))-(AX821-AS821))/AS821)))</f>
        <v>1</v>
      </c>
      <c r="AZ821" s="50" t="n">
        <f aca="false">IF(LEFT(Cockpit!$O$5,1)="A",H821,IF(Parameter!$E$30="MAX-Bestand",IF(CH821=1,CI821,IF(LEFT(Cockpit!$O$5,1)="B",BF821,MAX(BF821,H821))),ROUNDUP(BD821,0)))</f>
        <v>539</v>
      </c>
      <c r="BA821" s="50" t="n">
        <f aca="false">IF(BZ821=1,0,ROUNDUP(AZ821/BY821,0))</f>
        <v>3</v>
      </c>
      <c r="BB821" s="52" t="n">
        <f aca="false">IF(CQ821&gt;0,CQ821*MAX(1,AZ821/X821),IF(BZ821=1,IF(AZ821&lt;=0,0,CD821*MAX(1,IF(H821&gt;0,AZ821/H821,1))),IF(R821&gt;0,BA821/R821,0))/MAX(0.1,N(Parameter!$M$21)))</f>
        <v>0.0107142857142857</v>
      </c>
      <c r="BC821" s="50" t="n">
        <f aca="false">BB821*CB821</f>
        <v>1.66071428571429</v>
      </c>
      <c r="BD821" s="51" t="n">
        <f aca="false">IF(LEFT(Cockpit!$O$5,1)="A",H821,IF(CH821=1,(CK821+CI821)/2,IF(LEFT(Cockpit!$O$5,1)="B",(CK821+BF821)/2,MAX((CK821+BF821)/2,H821))))</f>
        <v>539</v>
      </c>
      <c r="BE821" s="50" t="n">
        <f aca="false">BD821*G821</f>
        <v>10.78</v>
      </c>
      <c r="BF821" s="50" t="n">
        <f aca="false">ROUNDUP(CK821+MAX(CL821,2*(J821/IF(CG821&gt;0,CG821,MAX(0.1,N(Cockpit!$O$6)))-CK821)),0)</f>
        <v>1039</v>
      </c>
      <c r="BG821" s="51" t="n">
        <f aca="false">IF(BC821&gt;0,J821/BC821,-1)</f>
        <v>411.870967741936</v>
      </c>
      <c r="BH821" s="51" t="n">
        <f aca="false">IF(AND(OR(CF821="L1",CF821="L23",CF821="LIFT"),BC821&gt;0),SUMIFS($BC$7:$BC$1843,$CF$7:$CF$1843,CF821,$BG$7:$BG$1843,"&gt;"&amp;BG821)+SUMIFS($BC$7:$BC$1843,$CF$7:$CF$1843,CF821,$BG$7:$BG$1843,BG821,$BW$7:$BW$1843,"&lt;="&amp;BW821),"")</f>
        <v>177.440934065934</v>
      </c>
      <c r="BI821" s="58" t="n">
        <f aca="false">IF(BH821="",0,MAX(0,MIN(1,(IF(CF821="L1",Parameter!$H$5,IF(CF821="L23",Parameter!$H$6+Parameter!$H$7,Parameter!$H$5+Parameter!$H$6+Parameter!$H$7))-(BH821-BC821))/BC821)))</f>
        <v>1</v>
      </c>
      <c r="BJ821" s="48" t="str">
        <f aca="false">IF(AI821&lt;=0,"",IF(CF821="Aussen","Aussenlager",IF(CF821="-","Nicht im Lift",IF(AO821&gt;=1,"Lift",IF(AO821&lt;=0,"Aussenlager","teilweise")))))</f>
        <v>Lift</v>
      </c>
      <c r="BK821" s="48" t="str">
        <f aca="false">IF(AS821&lt;=0,"",IF(CF821="Aussen","Aussenlager",IF(CF821="-","Nicht im Lift",IF(AY821&gt;=1,"Lift",IF(AY821&lt;=0,"Aussenlager","teilweise")))))</f>
        <v>Lift</v>
      </c>
      <c r="BL821" s="48" t="str">
        <f aca="false">IF(BC821&lt;=0,"",IF(CF821="Aussen","Aussenlager",IF(CF821="-","Nicht im Lift",IF(BI821&gt;=1,"Lift",IF(BI821&lt;=0,"Aussenlager","teilweise")))))</f>
        <v>Lift</v>
      </c>
      <c r="BM821" s="48" t="str">
        <f aca="false">IF(A821="","",IF(BV821=1,"Neu; ","")&amp;IF(AND(BV821=0,BQ821&lt;0),"negativer Bestand (Export "&amp;BQ821&amp;"); ","")&amp;IF(J821&lt;=0,"Kein Verbrauch; ","")&amp;IF(CQ821&gt;0,"Lift "&amp;W821&amp;" lt. Liftbericht (Fach "&amp;X821&amp;" Stk); ",IF(CA821=1,"Gebinde geschätzt ("&amp;T821&amp;"); ",IF(BZ821=1,"Lose – Tablare geschätzt; ","")))&amp;IF(H821&gt;AV821,"Überbestand "&amp;ROUND(H821-AV821,0)&amp;" Stk / CHF "&amp;ROUND((H821-AV821)*G821,0)&amp;"; ","")&amp;IF(AND(CH821=1,CI821&lt;CJ821),"MAX &lt; MB+LG; ","")&amp;IF(AND(CP821&gt;0,CO821*10&gt;CP821),"zu hoch für Tablar; ","")&amp;IF(AND(BV821=0,OR(CH821=1,AA821&lt;&gt;"",U821&lt;&gt;"",V821&lt;&gt;"",AB821&lt;&gt;"")),"manuell übersteuert; ","")&amp;IF(AND(BZ821=0,R821=0),"Gebinde unbekannt / Stellmass fehlt; ","")&amp;IF(AND(BZ821=0,N(V821)&lt;=0,N(Q821)&lt;=0),"Menge pro Gebinde fehlt (Ist = 1 Gebinde); ","")&amp;BU821)</f>
        <v>negativer Bestand (Export -272); </v>
      </c>
      <c r="BN821" s="48"/>
      <c r="BO821" s="48"/>
      <c r="BP821" s="55"/>
      <c r="BQ821" s="50" t="n">
        <v>-272</v>
      </c>
      <c r="BR821" s="50" t="n">
        <v>488</v>
      </c>
      <c r="BS821" s="49" t="n">
        <v>-9.70999999999995</v>
      </c>
      <c r="BT821" s="50" t="n">
        <v>684</v>
      </c>
      <c r="BU821" s="48"/>
      <c r="BV821" s="53" t="n">
        <v>0</v>
      </c>
      <c r="BW821" s="53" t="n">
        <v>821</v>
      </c>
      <c r="BX821" s="48" t="str">
        <f aca="false">IF(U821&lt;&gt;"",UPPER(TRIM(U821)),IF(CA821=1,UPPER(VLOOKUP(T821,Parameter!$I$27:$K$29,2,0)),IF(P821="","LOSE",P821)))</f>
        <v>S21</v>
      </c>
      <c r="BY821" s="50" t="n">
        <f aca="false">IF(BX821="LOSE",1,IF(N(V821)&gt;0,V821,IF(CA821=1,MAX(1,N(VLOOKUP(T821,Parameter!$I$27:$K$29,3,0)),H821,N(N821)),IF(N(Q821)&gt;0,Q821,MAX(1,H821)))))</f>
        <v>218</v>
      </c>
      <c r="BZ821" s="53" t="n">
        <f aca="false">IF(BX821="LOSE",1,0)</f>
        <v>0</v>
      </c>
      <c r="CA821" s="53" t="n">
        <f aca="false">IF(AND(U821="",OR(P821="",P821="LOSE"),T821&lt;&gt;"",N(S821)&lt;=0,ISNUMBER(MATCH(T821,Parameter!$I$27:$I$29,0))),1,0)</f>
        <v>0</v>
      </c>
      <c r="CB821" s="53" t="n">
        <f aca="false">IF(CQ821&gt;0,INDEX(Parameter!$H$5:$H$7,W821)/INDEX(Parameter!$E$5:$E$7,W821),IF(AND(BZ821=0,N(IFERROR(VLOOKUP(BX821,'Gebinde-Kategorie'!$A$5:$N$45,14,0),0))&gt;0),VLOOKUP(BX821,'Gebinde-Kategorie'!$A$5:$N$45,14,0)*10+Parameter!$M$23,Parameter!$M$24))</f>
        <v>155</v>
      </c>
      <c r="CC821" s="48" t="str">
        <f aca="false">IF(AND(Parameter!$B$19="Ja",E821&lt;&gt;"",ISNUMBER(MATCH(E821,Parameter!$I$35:$I$52,0))),VLOOKUP(E821,Parameter!$I$35:$J$52,2,0),IFERROR(VLOOKUP(D821,Parameter!$A$35:$C$64,2,0),"Nein"))</f>
        <v>2+3</v>
      </c>
      <c r="CD821" s="52" t="n">
        <f aca="false">IF(BZ821=0,0,IF(N(S821)&gt;0,S821,IFERROR(VLOOKUP(D821,Parameter!$A$35:$C$64,3,0)+0,0)))</f>
        <v>0</v>
      </c>
      <c r="CE821" s="48" t="n">
        <f aca="false">IF(AA821&lt;&gt;"",AA821,Z821)</f>
        <v>3</v>
      </c>
      <c r="CF821" s="48" t="str">
        <f aca="false">IF(OR(CE821=1,CE821=2,CE821=3),IF(Parameter!$E$27="Ja","LIFT",IF(CE821=1,"L1","L23")),IF(CE821="Aussen","Aussen","-"))</f>
        <v>LIFT</v>
      </c>
      <c r="CG821" s="59" t="n">
        <f aca="false">IF(N(AB821)&gt;0,AB821,0)</f>
        <v>0</v>
      </c>
      <c r="CH821" s="53" t="n">
        <f aca="false">IF(ISNUMBER(AE821),1,0)</f>
        <v>0</v>
      </c>
      <c r="CI821" s="50" t="n">
        <f aca="false">N(AE821)</f>
        <v>0</v>
      </c>
      <c r="CJ821" s="50" t="n">
        <f aca="false">N(M821)+N(N821)</f>
        <v>1039</v>
      </c>
      <c r="CK821" s="50" t="n">
        <f aca="false">N(M821)</f>
        <v>39</v>
      </c>
      <c r="CL821" s="50" t="n">
        <f aca="false">N(N821)</f>
        <v>1000</v>
      </c>
      <c r="CM821" s="50" t="n">
        <f aca="false">ROUNDUP(H821/BY821,0)</f>
        <v>1</v>
      </c>
      <c r="CN821" s="50" t="n">
        <f aca="false">ROUNDUP(CI821/BY821,0)</f>
        <v>0</v>
      </c>
      <c r="CO821" s="53" t="n">
        <f aca="false">IF(BZ821=1,0,IFERROR(VLOOKUP(BX821,'Gebinde-Kategorie'!$A$5:$N$45,5,0)+0,0))</f>
        <v>8</v>
      </c>
      <c r="CP821" s="53" t="n">
        <f aca="false">IFERROR(IF(OR(CE821=1,CE821=2,CE821=3),N(INDEX(Parameter!$I$5:$I$7,CE821)),0),0)</f>
        <v>0</v>
      </c>
      <c r="CQ821" s="52" t="n">
        <f aca="false">IF(AND(Parameter!$B$21="Ja",ISNUMBER(W821),N(X821)&gt;0),IFERROR(N(INDEX(Parameter!$L$5:$L$7,W821))*INDEX(Parameter!$E$5:$E$7,W821)*X821/SUMIFS($X$7:$X$1843,$W$7:$W$1843,W821),0),0)</f>
        <v>0</v>
      </c>
    </row>
    <row r="822" customFormat="false" ht="15" hidden="false" customHeight="false" outlineLevel="0" collapsed="false">
      <c r="A822" s="48" t="s">
        <v>1594</v>
      </c>
      <c r="B822" s="48" t="s">
        <v>1595</v>
      </c>
      <c r="C822" s="48" t="s">
        <v>173</v>
      </c>
      <c r="D822" s="48" t="s">
        <v>193</v>
      </c>
      <c r="E822" s="48" t="s">
        <v>194</v>
      </c>
      <c r="F822" s="48" t="s">
        <v>227</v>
      </c>
      <c r="G822" s="49" t="n">
        <v>0.82</v>
      </c>
      <c r="H822" s="50" t="n">
        <f aca="false">MAX(0,IF(AND(Parameter!$B$21="Ja",ISNUMBER(Y822)),Y822,IF(Parameter!$B$20="Jahresanfang 2025 + Export",BR822+BQ822,BQ822)))</f>
        <v>0</v>
      </c>
      <c r="I822" s="50" t="n">
        <f aca="false">H822*G822</f>
        <v>0</v>
      </c>
      <c r="J822" s="50" t="n">
        <f aca="false">BT822*Parameter!$B$18</f>
        <v>0</v>
      </c>
      <c r="K822" s="51" t="n">
        <v>21</v>
      </c>
      <c r="L822" s="52" t="n">
        <v>0</v>
      </c>
      <c r="M822" s="50" t="n">
        <v>0</v>
      </c>
      <c r="N822" s="50" t="n">
        <v>1</v>
      </c>
      <c r="O822" s="53" t="n">
        <v>21</v>
      </c>
      <c r="P822" s="48" t="s">
        <v>485</v>
      </c>
      <c r="Q822" s="50" t="n">
        <v>54</v>
      </c>
      <c r="R822" s="53" t="n">
        <f aca="false">IF(BZ822=1,0,IFERROR(VLOOKUP(BX822,'Gebinde-Kategorie'!$A$5:$N$45,13,0)+0,0))</f>
        <v>52</v>
      </c>
      <c r="S822" s="54"/>
      <c r="T822" s="55"/>
      <c r="U822" s="55"/>
      <c r="V822" s="55"/>
      <c r="W822" s="48"/>
      <c r="X822" s="50"/>
      <c r="Y822" s="50"/>
      <c r="Z822" s="48" t="n">
        <f aca="false">IF(A822="","",IF(AND(Parameter!$B$21="Ja",ISNUMBER(W822)),W822,IF(CC822="2+3",IF(ISNUMBER(SEARCH("grosser Artikel",BU822)),2,IFERROR(VLOOKUP(BX822,Parameter!$F$35:$G$64,2,0),2)),IF(OR(CC822="Nein",CC822=""),"-",CC822))))</f>
        <v>3</v>
      </c>
      <c r="AA822" s="55"/>
      <c r="AB822" s="56"/>
      <c r="AC822" s="50" t="n">
        <f aca="false">AV822</f>
        <v>1</v>
      </c>
      <c r="AD822" s="50" t="n">
        <f aca="false">MAX(AV822,H822)</f>
        <v>1</v>
      </c>
      <c r="AE822" s="57"/>
      <c r="AF822" s="50" t="n">
        <f aca="false">IF(LEFT(Cockpit!$C$5,1)="A",H822,IF(Parameter!$E$30="MAX-Bestand",IF(CH822=1,CI822,IF(LEFT(Cockpit!$C$5,1)="B",AL822,MAX(AL822,H822))),ROUNDUP(AJ822,0)))</f>
        <v>0</v>
      </c>
      <c r="AG822" s="50" t="n">
        <f aca="false">IF(BZ822=1,0,ROUNDUP(AF822/BY822,0))</f>
        <v>0</v>
      </c>
      <c r="AH822" s="52" t="n">
        <f aca="false">IF(CQ822&gt;0,CQ822*MAX(1,AF822/X822),IF(BZ822=1,IF(AF822&lt;=0,0,CD822*MAX(1,IF(H822&gt;0,AF822/H822,1))),IF(R822&gt;0,AG822/R822,0))/MAX(0.1,N(Parameter!$M$21)))</f>
        <v>0</v>
      </c>
      <c r="AI822" s="50" t="n">
        <f aca="false">AH822*CB822</f>
        <v>0</v>
      </c>
      <c r="AJ822" s="51" t="n">
        <f aca="false">IF(LEFT(Cockpit!$C$5,1)="A",H822,IF(CH822=1,(CK822+CI822)/2,IF(LEFT(Cockpit!$C$5,1)="B",(CK822+AL822)/2,MAX((CK822+AL822)/2,H822))))</f>
        <v>0</v>
      </c>
      <c r="AK822" s="50" t="n">
        <f aca="false">AJ822*G822</f>
        <v>0</v>
      </c>
      <c r="AL822" s="50" t="n">
        <f aca="false">ROUNDUP(CK822+MAX(CL822,2*(J822/IF(CG822&gt;0,CG822,MAX(0.1,N(Cockpit!$C$6)))-CK822)),0)</f>
        <v>1</v>
      </c>
      <c r="AM822" s="51" t="n">
        <f aca="false">IF(AI822&gt;0,J822/AI822,-1)</f>
        <v>-1</v>
      </c>
      <c r="AN822" s="51" t="str">
        <f aca="false">IF(AND(OR(CF822="L1",CF822="L23",CF822="LIFT"),AI822&gt;0),SUMIFS($AI$7:$AI$1843,$CF$7:$CF$1843,CF822,$AM$7:$AM$1843,"&gt;"&amp;AM822)+SUMIFS($AI$7:$AI$1843,$CF$7:$CF$1843,CF822,$AM$7:$AM$1843,AM822,$BW$7:$BW$1843,"&lt;="&amp;BW822),"")</f>
        <v/>
      </c>
      <c r="AO822" s="58" t="n">
        <f aca="false">IF(AN822="",0,MAX(0,MIN(1,(IF(CF822="L1",Parameter!$H$5,IF(CF822="L23",Parameter!$H$6+Parameter!$H$7,Parameter!$H$5+Parameter!$H$6+Parameter!$H$7))-(AN822-AI822))/AI822)))</f>
        <v>0</v>
      </c>
      <c r="AP822" s="50" t="n">
        <f aca="false">IF(LEFT(Cockpit!$I$5,1)="A",H822,IF(Parameter!$E$30="MAX-Bestand",IF(CH822=1,CI822,IF(LEFT(Cockpit!$I$5,1)="B",AV822,MAX(AV822,H822))),ROUNDUP(AT822,0)))</f>
        <v>1</v>
      </c>
      <c r="AQ822" s="50" t="n">
        <f aca="false">IF(BZ822=1,0,ROUNDUP(AP822/BY822,0))</f>
        <v>1</v>
      </c>
      <c r="AR822" s="52" t="n">
        <f aca="false">IF(CQ822&gt;0,CQ822*MAX(1,AP822/X822),IF(BZ822=1,IF(AP822&lt;=0,0,CD822*MAX(1,IF(H822&gt;0,AP822/H822,1))),IF(R822&gt;0,AQ822/R822,0))/MAX(0.1,N(Parameter!$M$21)))</f>
        <v>0.0192307692307692</v>
      </c>
      <c r="AS822" s="50" t="n">
        <f aca="false">AR822*CB822</f>
        <v>2.98076923076923</v>
      </c>
      <c r="AT822" s="51" t="n">
        <f aca="false">IF(LEFT(Cockpit!$I$5,1)="A",H822,IF(CH822=1,(CK822+CI822)/2,IF(LEFT(Cockpit!$I$5,1)="B",(CK822+AV822)/2,MAX((CK822+AV822)/2,H822))))</f>
        <v>0.5</v>
      </c>
      <c r="AU822" s="50" t="n">
        <f aca="false">AT822*G822</f>
        <v>0.41</v>
      </c>
      <c r="AV822" s="50" t="n">
        <f aca="false">ROUNDUP(CK822+MAX(CL822,2*(J822/IF(CG822&gt;0,CG822,MAX(0.1,N(Cockpit!$I$6)))-CK822)),0)</f>
        <v>1</v>
      </c>
      <c r="AW822" s="51" t="n">
        <f aca="false">IF(AS822&gt;0,J822/AS822,-1)</f>
        <v>0</v>
      </c>
      <c r="AX822" s="51" t="n">
        <f aca="false">IF(AND(OR(CF822="L1",CF822="L23",CF822="LIFT"),AS822&gt;0),SUMIFS($AS$7:$AS$1843,$CF$7:$CF$1843,CF822,$AW$7:$AW$1843,"&gt;"&amp;AW822)+SUMIFS($AS$7:$AS$1843,$CF$7:$CF$1843,CF822,$AW$7:$AW$1843,AW822,$BW$7:$BW$1843,"&lt;="&amp;BW822),"")</f>
        <v>34397.9743589744</v>
      </c>
      <c r="AY822" s="58" t="n">
        <f aca="false">IF(AX822="",0,MAX(0,MIN(1,(IF(CF822="L1",Parameter!$H$5,IF(CF822="L23",Parameter!$H$6+Parameter!$H$7,Parameter!$H$5+Parameter!$H$6+Parameter!$H$7))-(AX822-AS822))/AS822)))</f>
        <v>1</v>
      </c>
      <c r="AZ822" s="50" t="n">
        <f aca="false">IF(LEFT(Cockpit!$O$5,1)="A",H822,IF(Parameter!$E$30="MAX-Bestand",IF(CH822=1,CI822,IF(LEFT(Cockpit!$O$5,1)="B",BF822,MAX(BF822,H822))),ROUNDUP(BD822,0)))</f>
        <v>1</v>
      </c>
      <c r="BA822" s="50" t="n">
        <f aca="false">IF(BZ822=1,0,ROUNDUP(AZ822/BY822,0))</f>
        <v>1</v>
      </c>
      <c r="BB822" s="52" t="n">
        <f aca="false">IF(CQ822&gt;0,CQ822*MAX(1,AZ822/X822),IF(BZ822=1,IF(AZ822&lt;=0,0,CD822*MAX(1,IF(H822&gt;0,AZ822/H822,1))),IF(R822&gt;0,BA822/R822,0))/MAX(0.1,N(Parameter!$M$21)))</f>
        <v>0.0192307692307692</v>
      </c>
      <c r="BC822" s="50" t="n">
        <f aca="false">BB822*CB822</f>
        <v>2.98076923076923</v>
      </c>
      <c r="BD822" s="51" t="n">
        <f aca="false">IF(LEFT(Cockpit!$O$5,1)="A",H822,IF(CH822=1,(CK822+CI822)/2,IF(LEFT(Cockpit!$O$5,1)="B",(CK822+BF822)/2,MAX((CK822+BF822)/2,H822))))</f>
        <v>0.5</v>
      </c>
      <c r="BE822" s="50" t="n">
        <f aca="false">BD822*G822</f>
        <v>0.41</v>
      </c>
      <c r="BF822" s="50" t="n">
        <f aca="false">ROUNDUP(CK822+MAX(CL822,2*(J822/IF(CG822&gt;0,CG822,MAX(0.1,N(Cockpit!$O$6)))-CK822)),0)</f>
        <v>1</v>
      </c>
      <c r="BG822" s="51" t="n">
        <f aca="false">IF(BC822&gt;0,J822/BC822,-1)</f>
        <v>0</v>
      </c>
      <c r="BH822" s="51" t="n">
        <f aca="false">IF(AND(OR(CF822="L1",CF822="L23",CF822="LIFT"),BC822&gt;0),SUMIFS($BC$7:$BC$1843,$CF$7:$CF$1843,CF822,$BG$7:$BG$1843,"&gt;"&amp;BG822)+SUMIFS($BC$7:$BC$1843,$CF$7:$CF$1843,CF822,$BG$7:$BG$1843,BG822,$BW$7:$BW$1843,"&lt;="&amp;BW822),"")</f>
        <v>28437.7562938474</v>
      </c>
      <c r="BI822" s="58" t="n">
        <f aca="false">IF(BH822="",0,MAX(0,MIN(1,(IF(CF822="L1",Parameter!$H$5,IF(CF822="L23",Parameter!$H$6+Parameter!$H$7,Parameter!$H$5+Parameter!$H$6+Parameter!$H$7))-(BH822-BC822))/BC822)))</f>
        <v>1</v>
      </c>
      <c r="BJ822" s="48" t="str">
        <f aca="false">IF(AI822&lt;=0,"",IF(CF822="Aussen","Aussenlager",IF(CF822="-","Nicht im Lift",IF(AO822&gt;=1,"Lift",IF(AO822&lt;=0,"Aussenlager","teilweise")))))</f>
        <v/>
      </c>
      <c r="BK822" s="48" t="str">
        <f aca="false">IF(AS822&lt;=0,"",IF(CF822="Aussen","Aussenlager",IF(CF822="-","Nicht im Lift",IF(AY822&gt;=1,"Lift",IF(AY822&lt;=0,"Aussenlager","teilweise")))))</f>
        <v>Lift</v>
      </c>
      <c r="BL822" s="48" t="str">
        <f aca="false">IF(BC822&lt;=0,"",IF(CF822="Aussen","Aussenlager",IF(CF822="-","Nicht im Lift",IF(BI822&gt;=1,"Lift",IF(BI822&lt;=0,"Aussenlager","teilweise")))))</f>
        <v>Lift</v>
      </c>
      <c r="BM822" s="48" t="str">
        <f aca="false">IF(A822="","",IF(BV822=1,"Neu; ","")&amp;IF(AND(BV822=0,BQ822&lt;0),"negativer Bestand (Export "&amp;BQ822&amp;"); ","")&amp;IF(J822&lt;=0,"Kein Verbrauch; ","")&amp;IF(CQ822&gt;0,"Lift "&amp;W822&amp;" lt. Liftbericht (Fach "&amp;X822&amp;" Stk); ",IF(CA822=1,"Gebinde geschätzt ("&amp;T822&amp;"); ",IF(BZ822=1,"Lose – Tablare geschätzt; ","")))&amp;IF(H822&gt;AV822,"Überbestand "&amp;ROUND(H822-AV822,0)&amp;" Stk / CHF "&amp;ROUND((H822-AV822)*G822,0)&amp;"; ","")&amp;IF(AND(CH822=1,CI822&lt;CJ822),"MAX &lt; MB+LG; ","")&amp;IF(AND(CP822&gt;0,CO822*10&gt;CP822),"zu hoch für Tablar; ","")&amp;IF(AND(BV822=0,OR(CH822=1,AA822&lt;&gt;"",U822&lt;&gt;"",V822&lt;&gt;"",AB822&lt;&gt;"")),"manuell übersteuert; ","")&amp;IF(AND(BZ822=0,R822=0),"Gebinde unbekannt / Stellmass fehlt; ","")&amp;IF(AND(BZ822=0,N(V822)&lt;=0,N(Q822)&lt;=0),"Menge pro Gebinde fehlt (Ist = 1 Gebinde); ","")&amp;BU822)</f>
        <v>negativer Bestand (Export -12); Kein Verbrauch; Überbestand</v>
      </c>
      <c r="BN822" s="48"/>
      <c r="BO822" s="48"/>
      <c r="BP822" s="55"/>
      <c r="BQ822" s="50" t="n">
        <v>-12</v>
      </c>
      <c r="BR822" s="50" t="n">
        <v>12</v>
      </c>
      <c r="BS822" s="49" t="n">
        <v>-9.84</v>
      </c>
      <c r="BT822" s="50" t="n">
        <v>0</v>
      </c>
      <c r="BU822" s="48" t="s">
        <v>401</v>
      </c>
      <c r="BV822" s="53" t="n">
        <v>0</v>
      </c>
      <c r="BW822" s="53" t="n">
        <v>822</v>
      </c>
      <c r="BX822" s="48" t="str">
        <f aca="false">IF(U822&lt;&gt;"",UPPER(TRIM(U822)),IF(CA822=1,UPPER(VLOOKUP(T822,Parameter!$I$27:$K$29,2,0)),IF(P822="","LOSE",P822)))</f>
        <v>S33</v>
      </c>
      <c r="BY822" s="50" t="n">
        <f aca="false">IF(BX822="LOSE",1,IF(N(V822)&gt;0,V822,IF(CA822=1,MAX(1,N(VLOOKUP(T822,Parameter!$I$27:$K$29,3,0)),H822,N(N822)),IF(N(Q822)&gt;0,Q822,MAX(1,H822)))))</f>
        <v>54</v>
      </c>
      <c r="BZ822" s="53" t="n">
        <f aca="false">IF(BX822="LOSE",1,0)</f>
        <v>0</v>
      </c>
      <c r="CA822" s="53" t="n">
        <f aca="false">IF(AND(U822="",OR(P822="",P822="LOSE"),T822&lt;&gt;"",N(S822)&lt;=0,ISNUMBER(MATCH(T822,Parameter!$I$27:$I$29,0))),1,0)</f>
        <v>0</v>
      </c>
      <c r="CB822" s="53" t="n">
        <f aca="false">IF(CQ822&gt;0,INDEX(Parameter!$H$5:$H$7,W822)/INDEX(Parameter!$E$5:$E$7,W822),IF(AND(BZ822=0,N(IFERROR(VLOOKUP(BX822,'Gebinde-Kategorie'!$A$5:$N$45,14,0),0))&gt;0),VLOOKUP(BX822,'Gebinde-Kategorie'!$A$5:$N$45,14,0)*10+Parameter!$M$23,Parameter!$M$24))</f>
        <v>155</v>
      </c>
      <c r="CC822" s="48" t="str">
        <f aca="false">IF(AND(Parameter!$B$19="Ja",E822&lt;&gt;"",ISNUMBER(MATCH(E822,Parameter!$I$35:$I$52,0))),VLOOKUP(E822,Parameter!$I$35:$J$52,2,0),IFERROR(VLOOKUP(D822,Parameter!$A$35:$C$64,2,0),"Nein"))</f>
        <v>2+3</v>
      </c>
      <c r="CD822" s="52" t="n">
        <f aca="false">IF(BZ822=0,0,IF(N(S822)&gt;0,S822,IFERROR(VLOOKUP(D822,Parameter!$A$35:$C$64,3,0)+0,0)))</f>
        <v>0</v>
      </c>
      <c r="CE822" s="48" t="n">
        <f aca="false">IF(AA822&lt;&gt;"",AA822,Z822)</f>
        <v>3</v>
      </c>
      <c r="CF822" s="48" t="str">
        <f aca="false">IF(OR(CE822=1,CE822=2,CE822=3),IF(Parameter!$E$27="Ja","LIFT",IF(CE822=1,"L1","L23")),IF(CE822="Aussen","Aussen","-"))</f>
        <v>LIFT</v>
      </c>
      <c r="CG822" s="59" t="n">
        <f aca="false">IF(N(AB822)&gt;0,AB822,0)</f>
        <v>0</v>
      </c>
      <c r="CH822" s="53" t="n">
        <f aca="false">IF(ISNUMBER(AE822),1,0)</f>
        <v>0</v>
      </c>
      <c r="CI822" s="50" t="n">
        <f aca="false">N(AE822)</f>
        <v>0</v>
      </c>
      <c r="CJ822" s="50" t="n">
        <f aca="false">N(M822)+N(N822)</f>
        <v>1</v>
      </c>
      <c r="CK822" s="50" t="n">
        <f aca="false">N(M822)</f>
        <v>0</v>
      </c>
      <c r="CL822" s="50" t="n">
        <f aca="false">N(N822)</f>
        <v>1</v>
      </c>
      <c r="CM822" s="50" t="n">
        <f aca="false">ROUNDUP(H822/BY822,0)</f>
        <v>0</v>
      </c>
      <c r="CN822" s="50" t="n">
        <f aca="false">ROUNDUP(CI822/BY822,0)</f>
        <v>0</v>
      </c>
      <c r="CO822" s="53" t="n">
        <f aca="false">IF(BZ822=1,0,IFERROR(VLOOKUP(BX822,'Gebinde-Kategorie'!$A$5:$N$45,5,0)+0,0))</f>
        <v>8</v>
      </c>
      <c r="CP822" s="53" t="n">
        <f aca="false">IFERROR(IF(OR(CE822=1,CE822=2,CE822=3),N(INDEX(Parameter!$I$5:$I$7,CE822)),0),0)</f>
        <v>0</v>
      </c>
      <c r="CQ822" s="52" t="n">
        <f aca="false">IF(AND(Parameter!$B$21="Ja",ISNUMBER(W822),N(X822)&gt;0),IFERROR(N(INDEX(Parameter!$L$5:$L$7,W822))*INDEX(Parameter!$E$5:$E$7,W822)*X822/SUMIFS($X$7:$X$1843,$W$7:$W$1843,W822),0),0)</f>
        <v>0</v>
      </c>
    </row>
    <row r="823" customFormat="false" ht="15" hidden="false" customHeight="false" outlineLevel="0" collapsed="false">
      <c r="A823" s="48" t="s">
        <v>1596</v>
      </c>
      <c r="B823" s="48" t="s">
        <v>607</v>
      </c>
      <c r="C823" s="48" t="s">
        <v>173</v>
      </c>
      <c r="D823" s="48" t="s">
        <v>193</v>
      </c>
      <c r="E823" s="48" t="s">
        <v>194</v>
      </c>
      <c r="F823" s="48" t="s">
        <v>227</v>
      </c>
      <c r="G823" s="49" t="n">
        <v>10.17</v>
      </c>
      <c r="H823" s="50" t="n">
        <f aca="false">MAX(0,IF(AND(Parameter!$B$21="Ja",ISNUMBER(Y823)),Y823,IF(Parameter!$B$20="Jahresanfang 2025 + Export",BR823+BQ823,BQ823)))</f>
        <v>36</v>
      </c>
      <c r="I823" s="50" t="n">
        <f aca="false">H823*G823</f>
        <v>366.12</v>
      </c>
      <c r="J823" s="50" t="n">
        <f aca="false">BT823*Parameter!$B$18</f>
        <v>0</v>
      </c>
      <c r="K823" s="51" t="n">
        <v>36.5</v>
      </c>
      <c r="L823" s="52" t="n">
        <v>0</v>
      </c>
      <c r="M823" s="50" t="n">
        <v>0</v>
      </c>
      <c r="N823" s="50" t="n">
        <v>1</v>
      </c>
      <c r="O823" s="53" t="n">
        <v>21</v>
      </c>
      <c r="P823" s="48" t="s">
        <v>485</v>
      </c>
      <c r="Q823" s="50" t="n">
        <v>75</v>
      </c>
      <c r="R823" s="53" t="n">
        <f aca="false">IF(BZ823=1,0,IFERROR(VLOOKUP(BX823,'Gebinde-Kategorie'!$A$5:$N$45,13,0)+0,0))</f>
        <v>52</v>
      </c>
      <c r="S823" s="54"/>
      <c r="T823" s="55"/>
      <c r="U823" s="55"/>
      <c r="V823" s="55"/>
      <c r="W823" s="48"/>
      <c r="X823" s="50"/>
      <c r="Y823" s="50"/>
      <c r="Z823" s="48" t="n">
        <f aca="false">IF(A823="","",IF(AND(Parameter!$B$21="Ja",ISNUMBER(W823)),W823,IF(CC823="2+3",IF(ISNUMBER(SEARCH("grosser Artikel",BU823)),2,IFERROR(VLOOKUP(BX823,Parameter!$F$35:$G$64,2,0),2)),IF(OR(CC823="Nein",CC823=""),"-",CC823))))</f>
        <v>3</v>
      </c>
      <c r="AA823" s="55"/>
      <c r="AB823" s="56"/>
      <c r="AC823" s="50" t="n">
        <f aca="false">AV823</f>
        <v>1</v>
      </c>
      <c r="AD823" s="50" t="n">
        <f aca="false">MAX(AV823,H823)</f>
        <v>36</v>
      </c>
      <c r="AE823" s="57"/>
      <c r="AF823" s="50" t="n">
        <f aca="false">IF(LEFT(Cockpit!$C$5,1)="A",H823,IF(Parameter!$E$30="MAX-Bestand",IF(CH823=1,CI823,IF(LEFT(Cockpit!$C$5,1)="B",AL823,MAX(AL823,H823))),ROUNDUP(AJ823,0)))</f>
        <v>36</v>
      </c>
      <c r="AG823" s="50" t="n">
        <f aca="false">IF(BZ823=1,0,ROUNDUP(AF823/BY823,0))</f>
        <v>1</v>
      </c>
      <c r="AH823" s="52" t="n">
        <f aca="false">IF(CQ823&gt;0,CQ823*MAX(1,AF823/X823),IF(BZ823=1,IF(AF823&lt;=0,0,CD823*MAX(1,IF(H823&gt;0,AF823/H823,1))),IF(R823&gt;0,AG823/R823,0))/MAX(0.1,N(Parameter!$M$21)))</f>
        <v>0.0192307692307692</v>
      </c>
      <c r="AI823" s="50" t="n">
        <f aca="false">AH823*CB823</f>
        <v>2.98076923076923</v>
      </c>
      <c r="AJ823" s="51" t="n">
        <f aca="false">IF(LEFT(Cockpit!$C$5,1)="A",H823,IF(CH823=1,(CK823+CI823)/2,IF(LEFT(Cockpit!$C$5,1)="B",(CK823+AL823)/2,MAX((CK823+AL823)/2,H823))))</f>
        <v>36</v>
      </c>
      <c r="AK823" s="50" t="n">
        <f aca="false">AJ823*G823</f>
        <v>366.12</v>
      </c>
      <c r="AL823" s="50" t="n">
        <f aca="false">ROUNDUP(CK823+MAX(CL823,2*(J823/IF(CG823&gt;0,CG823,MAX(0.1,N(Cockpit!$C$6)))-CK823)),0)</f>
        <v>1</v>
      </c>
      <c r="AM823" s="51" t="n">
        <f aca="false">IF(AI823&gt;0,J823/AI823,-1)</f>
        <v>0</v>
      </c>
      <c r="AN823" s="51" t="n">
        <f aca="false">IF(AND(OR(CF823="L1",CF823="L23",CF823="LIFT"),AI823&gt;0),SUMIFS($AI$7:$AI$1843,$CF$7:$CF$1843,CF823,$AM$7:$AM$1843,"&gt;"&amp;AM823)+SUMIFS($AI$7:$AI$1843,$CF$7:$CF$1843,CF823,$AM$7:$AM$1843,AM823,$BW$7:$BW$1843,"&lt;="&amp;BW823),"")</f>
        <v>28786.6759923222</v>
      </c>
      <c r="AO823" s="58" t="n">
        <f aca="false">IF(AN823="",0,MAX(0,MIN(1,(IF(CF823="L1",Parameter!$H$5,IF(CF823="L23",Parameter!$H$6+Parameter!$H$7,Parameter!$H$5+Parameter!$H$6+Parameter!$H$7))-(AN823-AI823))/AI823)))</f>
        <v>1</v>
      </c>
      <c r="AP823" s="50" t="n">
        <f aca="false">IF(LEFT(Cockpit!$I$5,1)="A",H823,IF(Parameter!$E$30="MAX-Bestand",IF(CH823=1,CI823,IF(LEFT(Cockpit!$I$5,1)="B",AV823,MAX(AV823,H823))),ROUNDUP(AT823,0)))</f>
        <v>36</v>
      </c>
      <c r="AQ823" s="50" t="n">
        <f aca="false">IF(BZ823=1,0,ROUNDUP(AP823/BY823,0))</f>
        <v>1</v>
      </c>
      <c r="AR823" s="52" t="n">
        <f aca="false">IF(CQ823&gt;0,CQ823*MAX(1,AP823/X823),IF(BZ823=1,IF(AP823&lt;=0,0,CD823*MAX(1,IF(H823&gt;0,AP823/H823,1))),IF(R823&gt;0,AQ823/R823,0))/MAX(0.1,N(Parameter!$M$21)))</f>
        <v>0.0192307692307692</v>
      </c>
      <c r="AS823" s="50" t="n">
        <f aca="false">AR823*CB823</f>
        <v>2.98076923076923</v>
      </c>
      <c r="AT823" s="51" t="n">
        <f aca="false">IF(LEFT(Cockpit!$I$5,1)="A",H823,IF(CH823=1,(CK823+CI823)/2,IF(LEFT(Cockpit!$I$5,1)="B",(CK823+AV823)/2,MAX((CK823+AV823)/2,H823))))</f>
        <v>36</v>
      </c>
      <c r="AU823" s="50" t="n">
        <f aca="false">AT823*G823</f>
        <v>366.12</v>
      </c>
      <c r="AV823" s="50" t="n">
        <f aca="false">ROUNDUP(CK823+MAX(CL823,2*(J823/IF(CG823&gt;0,CG823,MAX(0.1,N(Cockpit!$I$6)))-CK823)),0)</f>
        <v>1</v>
      </c>
      <c r="AW823" s="51" t="n">
        <f aca="false">IF(AS823&gt;0,J823/AS823,-1)</f>
        <v>0</v>
      </c>
      <c r="AX823" s="51" t="n">
        <f aca="false">IF(AND(OR(CF823="L1",CF823="L23",CF823="LIFT"),AS823&gt;0),SUMIFS($AS$7:$AS$1843,$CF$7:$CF$1843,CF823,$AW$7:$AW$1843,"&gt;"&amp;AW823)+SUMIFS($AS$7:$AS$1843,$CF$7:$CF$1843,CF823,$AW$7:$AW$1843,AW823,$BW$7:$BW$1843,"&lt;="&amp;BW823),"")</f>
        <v>34400.9551282051</v>
      </c>
      <c r="AY823" s="58" t="n">
        <f aca="false">IF(AX823="",0,MAX(0,MIN(1,(IF(CF823="L1",Parameter!$H$5,IF(CF823="L23",Parameter!$H$6+Parameter!$H$7,Parameter!$H$5+Parameter!$H$6+Parameter!$H$7))-(AX823-AS823))/AS823)))</f>
        <v>1</v>
      </c>
      <c r="AZ823" s="50" t="n">
        <f aca="false">IF(LEFT(Cockpit!$O$5,1)="A",H823,IF(Parameter!$E$30="MAX-Bestand",IF(CH823=1,CI823,IF(LEFT(Cockpit!$O$5,1)="B",BF823,MAX(BF823,H823))),ROUNDUP(BD823,0)))</f>
        <v>1</v>
      </c>
      <c r="BA823" s="50" t="n">
        <f aca="false">IF(BZ823=1,0,ROUNDUP(AZ823/BY823,0))</f>
        <v>1</v>
      </c>
      <c r="BB823" s="52" t="n">
        <f aca="false">IF(CQ823&gt;0,CQ823*MAX(1,AZ823/X823),IF(BZ823=1,IF(AZ823&lt;=0,0,CD823*MAX(1,IF(H823&gt;0,AZ823/H823,1))),IF(R823&gt;0,BA823/R823,0))/MAX(0.1,N(Parameter!$M$21)))</f>
        <v>0.0192307692307692</v>
      </c>
      <c r="BC823" s="50" t="n">
        <f aca="false">BB823*CB823</f>
        <v>2.98076923076923</v>
      </c>
      <c r="BD823" s="51" t="n">
        <f aca="false">IF(LEFT(Cockpit!$O$5,1)="A",H823,IF(CH823=1,(CK823+CI823)/2,IF(LEFT(Cockpit!$O$5,1)="B",(CK823+BF823)/2,MAX((CK823+BF823)/2,H823))))</f>
        <v>0.5</v>
      </c>
      <c r="BE823" s="50" t="n">
        <f aca="false">BD823*G823</f>
        <v>5.085</v>
      </c>
      <c r="BF823" s="50" t="n">
        <f aca="false">ROUNDUP(CK823+MAX(CL823,2*(J823/IF(CG823&gt;0,CG823,MAX(0.1,N(Cockpit!$O$6)))-CK823)),0)</f>
        <v>1</v>
      </c>
      <c r="BG823" s="51" t="n">
        <f aca="false">IF(BC823&gt;0,J823/BC823,-1)</f>
        <v>0</v>
      </c>
      <c r="BH823" s="51" t="n">
        <f aca="false">IF(AND(OR(CF823="L1",CF823="L23",CF823="LIFT"),BC823&gt;0),SUMIFS($BC$7:$BC$1843,$CF$7:$CF$1843,CF823,$BG$7:$BG$1843,"&gt;"&amp;BG823)+SUMIFS($BC$7:$BC$1843,$CF$7:$CF$1843,CF823,$BG$7:$BG$1843,BG823,$BW$7:$BW$1843,"&lt;="&amp;BW823),"")</f>
        <v>28440.7370630782</v>
      </c>
      <c r="BI823" s="58" t="n">
        <f aca="false">IF(BH823="",0,MAX(0,MIN(1,(IF(CF823="L1",Parameter!$H$5,IF(CF823="L23",Parameter!$H$6+Parameter!$H$7,Parameter!$H$5+Parameter!$H$6+Parameter!$H$7))-(BH823-BC823))/BC823)))</f>
        <v>1</v>
      </c>
      <c r="BJ823" s="48" t="str">
        <f aca="false">IF(AI823&lt;=0,"",IF(CF823="Aussen","Aussenlager",IF(CF823="-","Nicht im Lift",IF(AO823&gt;=1,"Lift",IF(AO823&lt;=0,"Aussenlager","teilweise")))))</f>
        <v>Lift</v>
      </c>
      <c r="BK823" s="48" t="str">
        <f aca="false">IF(AS823&lt;=0,"",IF(CF823="Aussen","Aussenlager",IF(CF823="-","Nicht im Lift",IF(AY823&gt;=1,"Lift",IF(AY823&lt;=0,"Aussenlager","teilweise")))))</f>
        <v>Lift</v>
      </c>
      <c r="BL823" s="48" t="str">
        <f aca="false">IF(BC823&lt;=0,"",IF(CF823="Aussen","Aussenlager",IF(CF823="-","Nicht im Lift",IF(BI823&gt;=1,"Lift",IF(BI823&lt;=0,"Aussenlager","teilweise")))))</f>
        <v>Lift</v>
      </c>
      <c r="BM823" s="48" t="str">
        <f aca="false">IF(A823="","",IF(BV823=1,"Neu; ","")&amp;IF(AND(BV823=0,BQ823&lt;0),"negativer Bestand (Export "&amp;BQ823&amp;"); ","")&amp;IF(J823&lt;=0,"Kein Verbrauch; ","")&amp;IF(CQ823&gt;0,"Lift "&amp;W823&amp;" lt. Liftbericht (Fach "&amp;X823&amp;" Stk); ",IF(CA823=1,"Gebinde geschätzt ("&amp;T823&amp;"); ",IF(BZ823=1,"Lose – Tablare geschätzt; ","")))&amp;IF(H823&gt;AV823,"Überbestand "&amp;ROUND(H823-AV823,0)&amp;" Stk / CHF "&amp;ROUND((H823-AV823)*G823,0)&amp;"; ","")&amp;IF(AND(CH823=1,CI823&lt;CJ823),"MAX &lt; MB+LG; ","")&amp;IF(AND(CP823&gt;0,CO823*10&gt;CP823),"zu hoch für Tablar; ","")&amp;IF(AND(BV823=0,OR(CH823=1,AA823&lt;&gt;"",U823&lt;&gt;"",V823&lt;&gt;"",AB823&lt;&gt;"")),"manuell übersteuert; ","")&amp;IF(AND(BZ823=0,R823=0),"Gebinde unbekannt / Stellmass fehlt; ","")&amp;IF(AND(BZ823=0,N(V823)&lt;=0,N(Q823)&lt;=0),"Menge pro Gebinde fehlt (Ist = 1 Gebinde); ","")&amp;BU823)</f>
        <v>negativer Bestand (Export -1); Kein Verbrauch; Überbestand 35 Stk / CHF 356; </v>
      </c>
      <c r="BN823" s="48"/>
      <c r="BO823" s="48"/>
      <c r="BP823" s="55"/>
      <c r="BQ823" s="50" t="n">
        <v>-1</v>
      </c>
      <c r="BR823" s="50" t="n">
        <v>37</v>
      </c>
      <c r="BS823" s="49" t="n">
        <v>-10.17</v>
      </c>
      <c r="BT823" s="50" t="n">
        <v>0</v>
      </c>
      <c r="BU823" s="48"/>
      <c r="BV823" s="53" t="n">
        <v>0</v>
      </c>
      <c r="BW823" s="53" t="n">
        <v>823</v>
      </c>
      <c r="BX823" s="48" t="str">
        <f aca="false">IF(U823&lt;&gt;"",UPPER(TRIM(U823)),IF(CA823=1,UPPER(VLOOKUP(T823,Parameter!$I$27:$K$29,2,0)),IF(P823="","LOSE",P823)))</f>
        <v>S33</v>
      </c>
      <c r="BY823" s="50" t="n">
        <f aca="false">IF(BX823="LOSE",1,IF(N(V823)&gt;0,V823,IF(CA823=1,MAX(1,N(VLOOKUP(T823,Parameter!$I$27:$K$29,3,0)),H823,N(N823)),IF(N(Q823)&gt;0,Q823,MAX(1,H823)))))</f>
        <v>75</v>
      </c>
      <c r="BZ823" s="53" t="n">
        <f aca="false">IF(BX823="LOSE",1,0)</f>
        <v>0</v>
      </c>
      <c r="CA823" s="53" t="n">
        <f aca="false">IF(AND(U823="",OR(P823="",P823="LOSE"),T823&lt;&gt;"",N(S823)&lt;=0,ISNUMBER(MATCH(T823,Parameter!$I$27:$I$29,0))),1,0)</f>
        <v>0</v>
      </c>
      <c r="CB823" s="53" t="n">
        <f aca="false">IF(CQ823&gt;0,INDEX(Parameter!$H$5:$H$7,W823)/INDEX(Parameter!$E$5:$E$7,W823),IF(AND(BZ823=0,N(IFERROR(VLOOKUP(BX823,'Gebinde-Kategorie'!$A$5:$N$45,14,0),0))&gt;0),VLOOKUP(BX823,'Gebinde-Kategorie'!$A$5:$N$45,14,0)*10+Parameter!$M$23,Parameter!$M$24))</f>
        <v>155</v>
      </c>
      <c r="CC823" s="48" t="str">
        <f aca="false">IF(AND(Parameter!$B$19="Ja",E823&lt;&gt;"",ISNUMBER(MATCH(E823,Parameter!$I$35:$I$52,0))),VLOOKUP(E823,Parameter!$I$35:$J$52,2,0),IFERROR(VLOOKUP(D823,Parameter!$A$35:$C$64,2,0),"Nein"))</f>
        <v>2+3</v>
      </c>
      <c r="CD823" s="52" t="n">
        <f aca="false">IF(BZ823=0,0,IF(N(S823)&gt;0,S823,IFERROR(VLOOKUP(D823,Parameter!$A$35:$C$64,3,0)+0,0)))</f>
        <v>0</v>
      </c>
      <c r="CE823" s="48" t="n">
        <f aca="false">IF(AA823&lt;&gt;"",AA823,Z823)</f>
        <v>3</v>
      </c>
      <c r="CF823" s="48" t="str">
        <f aca="false">IF(OR(CE823=1,CE823=2,CE823=3),IF(Parameter!$E$27="Ja","LIFT",IF(CE823=1,"L1","L23")),IF(CE823="Aussen","Aussen","-"))</f>
        <v>LIFT</v>
      </c>
      <c r="CG823" s="59" t="n">
        <f aca="false">IF(N(AB823)&gt;0,AB823,0)</f>
        <v>0</v>
      </c>
      <c r="CH823" s="53" t="n">
        <f aca="false">IF(ISNUMBER(AE823),1,0)</f>
        <v>0</v>
      </c>
      <c r="CI823" s="50" t="n">
        <f aca="false">N(AE823)</f>
        <v>0</v>
      </c>
      <c r="CJ823" s="50" t="n">
        <f aca="false">N(M823)+N(N823)</f>
        <v>1</v>
      </c>
      <c r="CK823" s="50" t="n">
        <f aca="false">N(M823)</f>
        <v>0</v>
      </c>
      <c r="CL823" s="50" t="n">
        <f aca="false">N(N823)</f>
        <v>1</v>
      </c>
      <c r="CM823" s="50" t="n">
        <f aca="false">ROUNDUP(H823/BY823,0)</f>
        <v>1</v>
      </c>
      <c r="CN823" s="50" t="n">
        <f aca="false">ROUNDUP(CI823/BY823,0)</f>
        <v>0</v>
      </c>
      <c r="CO823" s="53" t="n">
        <f aca="false">IF(BZ823=1,0,IFERROR(VLOOKUP(BX823,'Gebinde-Kategorie'!$A$5:$N$45,5,0)+0,0))</f>
        <v>8</v>
      </c>
      <c r="CP823" s="53" t="n">
        <f aca="false">IFERROR(IF(OR(CE823=1,CE823=2,CE823=3),N(INDEX(Parameter!$I$5:$I$7,CE823)),0),0)</f>
        <v>0</v>
      </c>
      <c r="CQ823" s="52" t="n">
        <f aca="false">IF(AND(Parameter!$B$21="Ja",ISNUMBER(W823),N(X823)&gt;0),IFERROR(N(INDEX(Parameter!$L$5:$L$7,W823))*INDEX(Parameter!$E$5:$E$7,W823)*X823/SUMIFS($X$7:$X$1843,$W$7:$W$1843,W823),0),0)</f>
        <v>0</v>
      </c>
    </row>
    <row r="824" customFormat="false" ht="15" hidden="false" customHeight="false" outlineLevel="0" collapsed="false">
      <c r="A824" s="48" t="s">
        <v>1597</v>
      </c>
      <c r="B824" s="48" t="s">
        <v>412</v>
      </c>
      <c r="C824" s="48" t="s">
        <v>173</v>
      </c>
      <c r="D824" s="48" t="s">
        <v>193</v>
      </c>
      <c r="E824" s="48" t="s">
        <v>194</v>
      </c>
      <c r="F824" s="48" t="s">
        <v>227</v>
      </c>
      <c r="G824" s="49" t="n">
        <v>0.37</v>
      </c>
      <c r="H824" s="50" t="n">
        <f aca="false">MAX(0,IF(AND(Parameter!$B$21="Ja",ISNUMBER(Y824)),Y824,IF(Parameter!$B$20="Jahresanfang 2025 + Export",BR824+BQ824,BQ824)))</f>
        <v>397</v>
      </c>
      <c r="I824" s="50" t="n">
        <f aca="false">H824*G824</f>
        <v>146.89</v>
      </c>
      <c r="J824" s="50" t="n">
        <f aca="false">BT824*Parameter!$B$18</f>
        <v>23</v>
      </c>
      <c r="K824" s="51" t="n">
        <v>423.5</v>
      </c>
      <c r="L824" s="52" t="n">
        <v>0.0543093270365998</v>
      </c>
      <c r="M824" s="50" t="n">
        <v>1</v>
      </c>
      <c r="N824" s="50" t="n">
        <v>25</v>
      </c>
      <c r="O824" s="53" t="n">
        <v>21</v>
      </c>
      <c r="P824" s="48" t="s">
        <v>235</v>
      </c>
      <c r="Q824" s="50" t="n">
        <v>439</v>
      </c>
      <c r="R824" s="53" t="n">
        <f aca="false">IF(BZ824=1,0,IFERROR(VLOOKUP(BX824,'Gebinde-Kategorie'!$A$5:$N$45,13,0)+0,0))</f>
        <v>12</v>
      </c>
      <c r="S824" s="54"/>
      <c r="T824" s="55"/>
      <c r="U824" s="55"/>
      <c r="V824" s="55"/>
      <c r="W824" s="48"/>
      <c r="X824" s="50"/>
      <c r="Y824" s="50"/>
      <c r="Z824" s="48" t="n">
        <f aca="false">IF(A824="","",IF(AND(Parameter!$B$21="Ja",ISNUMBER(W824)),W824,IF(CC824="2+3",IF(ISNUMBER(SEARCH("grosser Artikel",BU824)),2,IFERROR(VLOOKUP(BX824,Parameter!$F$35:$G$64,2,0),2)),IF(OR(CC824="Nein",CC824=""),"-",CC824))))</f>
        <v>2</v>
      </c>
      <c r="AA824" s="55"/>
      <c r="AB824" s="56"/>
      <c r="AC824" s="50" t="n">
        <f aca="false">AV824</f>
        <v>26</v>
      </c>
      <c r="AD824" s="50" t="n">
        <f aca="false">MAX(AV824,H824)</f>
        <v>397</v>
      </c>
      <c r="AE824" s="57"/>
      <c r="AF824" s="50" t="n">
        <f aca="false">IF(LEFT(Cockpit!$C$5,1)="A",H824,IF(Parameter!$E$30="MAX-Bestand",IF(CH824=1,CI824,IF(LEFT(Cockpit!$C$5,1)="B",AL824,MAX(AL824,H824))),ROUNDUP(AJ824,0)))</f>
        <v>397</v>
      </c>
      <c r="AG824" s="50" t="n">
        <f aca="false">IF(BZ824=1,0,ROUNDUP(AF824/BY824,0))</f>
        <v>1</v>
      </c>
      <c r="AH824" s="52" t="n">
        <f aca="false">IF(CQ824&gt;0,CQ824*MAX(1,AF824/X824),IF(BZ824=1,IF(AF824&lt;=0,0,CD824*MAX(1,IF(H824&gt;0,AF824/H824,1))),IF(R824&gt;0,AG824/R824,0))/MAX(0.1,N(Parameter!$M$21)))</f>
        <v>0.0833333333333333</v>
      </c>
      <c r="AI824" s="50" t="n">
        <f aca="false">AH824*CB824</f>
        <v>28.75</v>
      </c>
      <c r="AJ824" s="51" t="n">
        <f aca="false">IF(LEFT(Cockpit!$C$5,1)="A",H824,IF(CH824=1,(CK824+CI824)/2,IF(LEFT(Cockpit!$C$5,1)="B",(CK824+AL824)/2,MAX((CK824+AL824)/2,H824))))</f>
        <v>397</v>
      </c>
      <c r="AK824" s="50" t="n">
        <f aca="false">AJ824*G824</f>
        <v>146.89</v>
      </c>
      <c r="AL824" s="50" t="n">
        <f aca="false">ROUNDUP(CK824+MAX(CL824,2*(J824/IF(CG824&gt;0,CG824,MAX(0.1,N(Cockpit!$C$6)))-CK824)),0)</f>
        <v>26</v>
      </c>
      <c r="AM824" s="51" t="n">
        <f aca="false">IF(AI824&gt;0,J824/AI824,-1)</f>
        <v>0.8</v>
      </c>
      <c r="AN824" s="51" t="n">
        <f aca="false">IF(AND(OR(CF824="L1",CF824="L23",CF824="LIFT"),AI824&gt;0),SUMIFS($AI$7:$AI$1843,$CF$7:$CF$1843,CF824,$AM$7:$AM$1843,"&gt;"&amp;AM824)+SUMIFS($AI$7:$AI$1843,$CF$7:$CF$1843,CF824,$AM$7:$AM$1843,AM824,$BW$7:$BW$1843,"&lt;="&amp;BW824),"")</f>
        <v>8046.20833333333</v>
      </c>
      <c r="AO824" s="58" t="n">
        <f aca="false">IF(AN824="",0,MAX(0,MIN(1,(IF(CF824="L1",Parameter!$H$5,IF(CF824="L23",Parameter!$H$6+Parameter!$H$7,Parameter!$H$5+Parameter!$H$6+Parameter!$H$7))-(AN824-AI824))/AI824)))</f>
        <v>1</v>
      </c>
      <c r="AP824" s="50" t="n">
        <f aca="false">IF(LEFT(Cockpit!$I$5,1)="A",H824,IF(Parameter!$E$30="MAX-Bestand",IF(CH824=1,CI824,IF(LEFT(Cockpit!$I$5,1)="B",AV824,MAX(AV824,H824))),ROUNDUP(AT824,0)))</f>
        <v>397</v>
      </c>
      <c r="AQ824" s="50" t="n">
        <f aca="false">IF(BZ824=1,0,ROUNDUP(AP824/BY824,0))</f>
        <v>1</v>
      </c>
      <c r="AR824" s="52" t="n">
        <f aca="false">IF(CQ824&gt;0,CQ824*MAX(1,AP824/X824),IF(BZ824=1,IF(AP824&lt;=0,0,CD824*MAX(1,IF(H824&gt;0,AP824/H824,1))),IF(R824&gt;0,AQ824/R824,0))/MAX(0.1,N(Parameter!$M$21)))</f>
        <v>0.0833333333333333</v>
      </c>
      <c r="AS824" s="50" t="n">
        <f aca="false">AR824*CB824</f>
        <v>28.75</v>
      </c>
      <c r="AT824" s="51" t="n">
        <f aca="false">IF(LEFT(Cockpit!$I$5,1)="A",H824,IF(CH824=1,(CK824+CI824)/2,IF(LEFT(Cockpit!$I$5,1)="B",(CK824+AV824)/2,MAX((CK824+AV824)/2,H824))))</f>
        <v>397</v>
      </c>
      <c r="AU824" s="50" t="n">
        <f aca="false">AT824*G824</f>
        <v>146.89</v>
      </c>
      <c r="AV824" s="50" t="n">
        <f aca="false">ROUNDUP(CK824+MAX(CL824,2*(J824/IF(CG824&gt;0,CG824,MAX(0.1,N(Cockpit!$I$6)))-CK824)),0)</f>
        <v>26</v>
      </c>
      <c r="AW824" s="51" t="n">
        <f aca="false">IF(AS824&gt;0,J824/AS824,-1)</f>
        <v>0.8</v>
      </c>
      <c r="AX824" s="51" t="n">
        <f aca="false">IF(AND(OR(CF824="L1",CF824="L23",CF824="LIFT"),AS824&gt;0),SUMIFS($AS$7:$AS$1843,$CF$7:$CF$1843,CF824,$AW$7:$AW$1843,"&gt;"&amp;AW824)+SUMIFS($AS$7:$AS$1843,$CF$7:$CF$1843,CF824,$AW$7:$AW$1843,AW824,$BW$7:$BW$1843,"&lt;="&amp;BW824),"")</f>
        <v>10305.7765567766</v>
      </c>
      <c r="AY824" s="58" t="n">
        <f aca="false">IF(AX824="",0,MAX(0,MIN(1,(IF(CF824="L1",Parameter!$H$5,IF(CF824="L23",Parameter!$H$6+Parameter!$H$7,Parameter!$H$5+Parameter!$H$6+Parameter!$H$7))-(AX824-AS824))/AS824)))</f>
        <v>1</v>
      </c>
      <c r="AZ824" s="50" t="n">
        <f aca="false">IF(LEFT(Cockpit!$O$5,1)="A",H824,IF(Parameter!$E$30="MAX-Bestand",IF(CH824=1,CI824,IF(LEFT(Cockpit!$O$5,1)="B",BF824,MAX(BF824,H824))),ROUNDUP(BD824,0)))</f>
        <v>14</v>
      </c>
      <c r="BA824" s="50" t="n">
        <f aca="false">IF(BZ824=1,0,ROUNDUP(AZ824/BY824,0))</f>
        <v>1</v>
      </c>
      <c r="BB824" s="52" t="n">
        <f aca="false">IF(CQ824&gt;0,CQ824*MAX(1,AZ824/X824),IF(BZ824=1,IF(AZ824&lt;=0,0,CD824*MAX(1,IF(H824&gt;0,AZ824/H824,1))),IF(R824&gt;0,BA824/R824,0))/MAX(0.1,N(Parameter!$M$21)))</f>
        <v>0.0833333333333333</v>
      </c>
      <c r="BC824" s="50" t="n">
        <f aca="false">BB824*CB824</f>
        <v>28.75</v>
      </c>
      <c r="BD824" s="51" t="n">
        <f aca="false">IF(LEFT(Cockpit!$O$5,1)="A",H824,IF(CH824=1,(CK824+CI824)/2,IF(LEFT(Cockpit!$O$5,1)="B",(CK824+BF824)/2,MAX((CK824+BF824)/2,H824))))</f>
        <v>13.5</v>
      </c>
      <c r="BE824" s="50" t="n">
        <f aca="false">BD824*G824</f>
        <v>4.995</v>
      </c>
      <c r="BF824" s="50" t="n">
        <f aca="false">ROUNDUP(CK824+MAX(CL824,2*(J824/IF(CG824&gt;0,CG824,MAX(0.1,N(Cockpit!$O$6)))-CK824)),0)</f>
        <v>26</v>
      </c>
      <c r="BG824" s="51" t="n">
        <f aca="false">IF(BC824&gt;0,J824/BC824,-1)</f>
        <v>0.8</v>
      </c>
      <c r="BH824" s="51" t="n">
        <f aca="false">IF(AND(OR(CF824="L1",CF824="L23",CF824="LIFT"),BC824&gt;0),SUMIFS($BC$7:$BC$1843,$CF$7:$CF$1843,CF824,$BG$7:$BG$1843,"&gt;"&amp;BG824)+SUMIFS($BC$7:$BC$1843,$CF$7:$CF$1843,CF824,$BG$7:$BG$1843,BG824,$BW$7:$BW$1843,"&lt;="&amp;BW824),"")</f>
        <v>8922.68635531135</v>
      </c>
      <c r="BI824" s="58" t="n">
        <f aca="false">IF(BH824="",0,MAX(0,MIN(1,(IF(CF824="L1",Parameter!$H$5,IF(CF824="L23",Parameter!$H$6+Parameter!$H$7,Parameter!$H$5+Parameter!$H$6+Parameter!$H$7))-(BH824-BC824))/BC824)))</f>
        <v>1</v>
      </c>
      <c r="BJ824" s="48" t="str">
        <f aca="false">IF(AI824&lt;=0,"",IF(CF824="Aussen","Aussenlager",IF(CF824="-","Nicht im Lift",IF(AO824&gt;=1,"Lift",IF(AO824&lt;=0,"Aussenlager","teilweise")))))</f>
        <v>Lift</v>
      </c>
      <c r="BK824" s="48" t="str">
        <f aca="false">IF(AS824&lt;=0,"",IF(CF824="Aussen","Aussenlager",IF(CF824="-","Nicht im Lift",IF(AY824&gt;=1,"Lift",IF(AY824&lt;=0,"Aussenlager","teilweise")))))</f>
        <v>Lift</v>
      </c>
      <c r="BL824" s="48" t="str">
        <f aca="false">IF(BC824&lt;=0,"",IF(CF824="Aussen","Aussenlager",IF(CF824="-","Nicht im Lift",IF(BI824&gt;=1,"Lift",IF(BI824&lt;=0,"Aussenlager","teilweise")))))</f>
        <v>Lift</v>
      </c>
      <c r="BM824" s="48" t="str">
        <f aca="false">IF(A824="","",IF(BV824=1,"Neu; ","")&amp;IF(AND(BV824=0,BQ824&lt;0),"negativer Bestand (Export "&amp;BQ824&amp;"); ","")&amp;IF(J824&lt;=0,"Kein Verbrauch; ","")&amp;IF(CQ824&gt;0,"Lift "&amp;W824&amp;" lt. Liftbericht (Fach "&amp;X824&amp;" Stk); ",IF(CA824=1,"Gebinde geschätzt ("&amp;T824&amp;"); ",IF(BZ824=1,"Lose – Tablare geschätzt; ","")))&amp;IF(H824&gt;AV824,"Überbestand "&amp;ROUND(H824-AV824,0)&amp;" Stk / CHF "&amp;ROUND((H824-AV824)*G824,0)&amp;"; ","")&amp;IF(AND(CH824=1,CI824&lt;CJ824),"MAX &lt; MB+LG; ","")&amp;IF(AND(CP824&gt;0,CO824*10&gt;CP824),"zu hoch für Tablar; ","")&amp;IF(AND(BV824=0,OR(CH824=1,AA824&lt;&gt;"",U824&lt;&gt;"",V824&lt;&gt;"",AB824&lt;&gt;"")),"manuell übersteuert; ","")&amp;IF(AND(BZ824=0,R824=0),"Gebinde unbekannt / Stellmass fehlt; ","")&amp;IF(AND(BZ824=0,N(V824)&lt;=0,N(Q824)&lt;=0),"Menge pro Gebinde fehlt (Ist = 1 Gebinde); ","")&amp;BU824)</f>
        <v>negativer Bestand (Export -28); Überbestand 371 Stk / CHF 137; Überbestand</v>
      </c>
      <c r="BN824" s="48"/>
      <c r="BO824" s="48"/>
      <c r="BP824" s="55"/>
      <c r="BQ824" s="50" t="n">
        <v>-28</v>
      </c>
      <c r="BR824" s="50" t="n">
        <v>425</v>
      </c>
      <c r="BS824" s="49" t="n">
        <v>-10.36</v>
      </c>
      <c r="BT824" s="50" t="n">
        <v>23</v>
      </c>
      <c r="BU824" s="48" t="s">
        <v>401</v>
      </c>
      <c r="BV824" s="53" t="n">
        <v>0</v>
      </c>
      <c r="BW824" s="53" t="n">
        <v>824</v>
      </c>
      <c r="BX824" s="48" t="str">
        <f aca="false">IF(U824&lt;&gt;"",UPPER(TRIM(U824)),IF(CA824=1,UPPER(VLOOKUP(T824,Parameter!$I$27:$K$29,2,0)),IF(P824="","LOSE",P824)))</f>
        <v>S63</v>
      </c>
      <c r="BY824" s="50" t="n">
        <f aca="false">IF(BX824="LOSE",1,IF(N(V824)&gt;0,V824,IF(CA824=1,MAX(1,N(VLOOKUP(T824,Parameter!$I$27:$K$29,3,0)),H824,N(N824)),IF(N(Q824)&gt;0,Q824,MAX(1,H824)))))</f>
        <v>439</v>
      </c>
      <c r="BZ824" s="53" t="n">
        <f aca="false">IF(BX824="LOSE",1,0)</f>
        <v>0</v>
      </c>
      <c r="CA824" s="53" t="n">
        <f aca="false">IF(AND(U824="",OR(P824="",P824="LOSE"),T824&lt;&gt;"",N(S824)&lt;=0,ISNUMBER(MATCH(T824,Parameter!$I$27:$I$29,0))),1,0)</f>
        <v>0</v>
      </c>
      <c r="CB824" s="53" t="n">
        <f aca="false">IF(CQ824&gt;0,INDEX(Parameter!$H$5:$H$7,W824)/INDEX(Parameter!$E$5:$E$7,W824),IF(AND(BZ824=0,N(IFERROR(VLOOKUP(BX824,'Gebinde-Kategorie'!$A$5:$N$45,14,0),0))&gt;0),VLOOKUP(BX824,'Gebinde-Kategorie'!$A$5:$N$45,14,0)*10+Parameter!$M$23,Parameter!$M$24))</f>
        <v>345</v>
      </c>
      <c r="CC824" s="48" t="str">
        <f aca="false">IF(AND(Parameter!$B$19="Ja",E824&lt;&gt;"",ISNUMBER(MATCH(E824,Parameter!$I$35:$I$52,0))),VLOOKUP(E824,Parameter!$I$35:$J$52,2,0),IFERROR(VLOOKUP(D824,Parameter!$A$35:$C$64,2,0),"Nein"))</f>
        <v>2+3</v>
      </c>
      <c r="CD824" s="52" t="n">
        <f aca="false">IF(BZ824=0,0,IF(N(S824)&gt;0,S824,IFERROR(VLOOKUP(D824,Parameter!$A$35:$C$64,3,0)+0,0)))</f>
        <v>0</v>
      </c>
      <c r="CE824" s="48" t="n">
        <f aca="false">IF(AA824&lt;&gt;"",AA824,Z824)</f>
        <v>2</v>
      </c>
      <c r="CF824" s="48" t="str">
        <f aca="false">IF(OR(CE824=1,CE824=2,CE824=3),IF(Parameter!$E$27="Ja","LIFT",IF(CE824=1,"L1","L23")),IF(CE824="Aussen","Aussen","-"))</f>
        <v>LIFT</v>
      </c>
      <c r="CG824" s="59" t="n">
        <f aca="false">IF(N(AB824)&gt;0,AB824,0)</f>
        <v>0</v>
      </c>
      <c r="CH824" s="53" t="n">
        <f aca="false">IF(ISNUMBER(AE824),1,0)</f>
        <v>0</v>
      </c>
      <c r="CI824" s="50" t="n">
        <f aca="false">N(AE824)</f>
        <v>0</v>
      </c>
      <c r="CJ824" s="50" t="n">
        <f aca="false">N(M824)+N(N824)</f>
        <v>26</v>
      </c>
      <c r="CK824" s="50" t="n">
        <f aca="false">N(M824)</f>
        <v>1</v>
      </c>
      <c r="CL824" s="50" t="n">
        <f aca="false">N(N824)</f>
        <v>25</v>
      </c>
      <c r="CM824" s="50" t="n">
        <f aca="false">ROUNDUP(H824/BY824,0)</f>
        <v>1</v>
      </c>
      <c r="CN824" s="50" t="n">
        <f aca="false">ROUNDUP(CI824/BY824,0)</f>
        <v>0</v>
      </c>
      <c r="CO824" s="53" t="n">
        <f aca="false">IF(BZ824=1,0,IFERROR(VLOOKUP(BX824,'Gebinde-Kategorie'!$A$5:$N$45,5,0)+0,0))</f>
        <v>31</v>
      </c>
      <c r="CP824" s="53" t="n">
        <f aca="false">IFERROR(IF(OR(CE824=1,CE824=2,CE824=3),N(INDEX(Parameter!$I$5:$I$7,CE824)),0),0)</f>
        <v>0</v>
      </c>
      <c r="CQ824" s="52" t="n">
        <f aca="false">IF(AND(Parameter!$B$21="Ja",ISNUMBER(W824),N(X824)&gt;0),IFERROR(N(INDEX(Parameter!$L$5:$L$7,W824))*INDEX(Parameter!$E$5:$E$7,W824)*X824/SUMIFS($X$7:$X$1843,$W$7:$W$1843,W824),0),0)</f>
        <v>0</v>
      </c>
    </row>
    <row r="825" customFormat="false" ht="15" hidden="false" customHeight="false" outlineLevel="0" collapsed="false">
      <c r="A825" s="48" t="s">
        <v>1598</v>
      </c>
      <c r="B825" s="48" t="s">
        <v>1599</v>
      </c>
      <c r="C825" s="48" t="s">
        <v>173</v>
      </c>
      <c r="D825" s="48" t="s">
        <v>193</v>
      </c>
      <c r="E825" s="48" t="s">
        <v>194</v>
      </c>
      <c r="F825" s="48" t="s">
        <v>227</v>
      </c>
      <c r="G825" s="49" t="n">
        <v>1.23</v>
      </c>
      <c r="H825" s="50" t="n">
        <f aca="false">MAX(0,IF(AND(Parameter!$B$21="Ja",ISNUMBER(Y825)),Y825,IF(Parameter!$B$20="Jahresanfang 2025 + Export",BR825+BQ825,BQ825)))</f>
        <v>80</v>
      </c>
      <c r="I825" s="50" t="n">
        <f aca="false">H825*G825</f>
        <v>98.4</v>
      </c>
      <c r="J825" s="50" t="n">
        <f aca="false">BT825*Parameter!$B$18</f>
        <v>55</v>
      </c>
      <c r="K825" s="51" t="n">
        <v>117.5</v>
      </c>
      <c r="L825" s="52" t="n">
        <v>0.468085106382979</v>
      </c>
      <c r="M825" s="50" t="n">
        <v>3</v>
      </c>
      <c r="N825" s="50" t="n">
        <v>50</v>
      </c>
      <c r="O825" s="53" t="n">
        <v>21</v>
      </c>
      <c r="P825" s="48" t="s">
        <v>430</v>
      </c>
      <c r="Q825" s="50" t="n">
        <v>97</v>
      </c>
      <c r="R825" s="53" t="n">
        <f aca="false">IF(BZ825=1,0,IFERROR(VLOOKUP(BX825,'Gebinde-Kategorie'!$A$5:$N$45,13,0)+0,0))</f>
        <v>104</v>
      </c>
      <c r="S825" s="54"/>
      <c r="T825" s="55"/>
      <c r="U825" s="55"/>
      <c r="V825" s="55"/>
      <c r="W825" s="48"/>
      <c r="X825" s="50"/>
      <c r="Y825" s="50"/>
      <c r="Z825" s="48" t="n">
        <f aca="false">IF(A825="","",IF(AND(Parameter!$B$21="Ja",ISNUMBER(W825)),W825,IF(CC825="2+3",IF(ISNUMBER(SEARCH("grosser Artikel",BU825)),2,IFERROR(VLOOKUP(BX825,Parameter!$F$35:$G$64,2,0),2)),IF(OR(CC825="Nein",CC825=""),"-",CC825))))</f>
        <v>3</v>
      </c>
      <c r="AA825" s="55"/>
      <c r="AB825" s="56"/>
      <c r="AC825" s="50" t="n">
        <f aca="false">AV825</f>
        <v>53</v>
      </c>
      <c r="AD825" s="50" t="n">
        <f aca="false">MAX(AV825,H825)</f>
        <v>80</v>
      </c>
      <c r="AE825" s="57"/>
      <c r="AF825" s="50" t="n">
        <f aca="false">IF(LEFT(Cockpit!$C$5,1)="A",H825,IF(Parameter!$E$30="MAX-Bestand",IF(CH825=1,CI825,IF(LEFT(Cockpit!$C$5,1)="B",AL825,MAX(AL825,H825))),ROUNDUP(AJ825,0)))</f>
        <v>80</v>
      </c>
      <c r="AG825" s="50" t="n">
        <f aca="false">IF(BZ825=1,0,ROUNDUP(AF825/BY825,0))</f>
        <v>1</v>
      </c>
      <c r="AH825" s="52" t="n">
        <f aca="false">IF(CQ825&gt;0,CQ825*MAX(1,AF825/X825),IF(BZ825=1,IF(AF825&lt;=0,0,CD825*MAX(1,IF(H825&gt;0,AF825/H825,1))),IF(R825&gt;0,AG825/R825,0))/MAX(0.1,N(Parameter!$M$21)))</f>
        <v>0.00961538461538462</v>
      </c>
      <c r="AI825" s="50" t="n">
        <f aca="false">AH825*CB825</f>
        <v>1.49038461538462</v>
      </c>
      <c r="AJ825" s="51" t="n">
        <f aca="false">IF(LEFT(Cockpit!$C$5,1)="A",H825,IF(CH825=1,(CK825+CI825)/2,IF(LEFT(Cockpit!$C$5,1)="B",(CK825+AL825)/2,MAX((CK825+AL825)/2,H825))))</f>
        <v>80</v>
      </c>
      <c r="AK825" s="50" t="n">
        <f aca="false">AJ825*G825</f>
        <v>98.4</v>
      </c>
      <c r="AL825" s="50" t="n">
        <f aca="false">ROUNDUP(CK825+MAX(CL825,2*(J825/IF(CG825&gt;0,CG825,MAX(0.1,N(Cockpit!$C$6)))-CK825)),0)</f>
        <v>53</v>
      </c>
      <c r="AM825" s="51" t="n">
        <f aca="false">IF(AI825&gt;0,J825/AI825,-1)</f>
        <v>36.9032258064516</v>
      </c>
      <c r="AN825" s="51" t="n">
        <f aca="false">IF(AND(OR(CF825="L1",CF825="L23",CF825="LIFT"),AI825&gt;0),SUMIFS($AI$7:$AI$1843,$CF$7:$CF$1843,CF825,$AM$7:$AM$1843,"&gt;"&amp;AM825)+SUMIFS($AI$7:$AI$1843,$CF$7:$CF$1843,CF825,$AM$7:$AM$1843,AM825,$BW$7:$BW$1843,"&lt;="&amp;BW825),"")</f>
        <v>1261.85576923077</v>
      </c>
      <c r="AO825" s="58" t="n">
        <f aca="false">IF(AN825="",0,MAX(0,MIN(1,(IF(CF825="L1",Parameter!$H$5,IF(CF825="L23",Parameter!$H$6+Parameter!$H$7,Parameter!$H$5+Parameter!$H$6+Parameter!$H$7))-(AN825-AI825))/AI825)))</f>
        <v>1</v>
      </c>
      <c r="AP825" s="50" t="n">
        <f aca="false">IF(LEFT(Cockpit!$I$5,1)="A",H825,IF(Parameter!$E$30="MAX-Bestand",IF(CH825=1,CI825,IF(LEFT(Cockpit!$I$5,1)="B",AV825,MAX(AV825,H825))),ROUNDUP(AT825,0)))</f>
        <v>80</v>
      </c>
      <c r="AQ825" s="50" t="n">
        <f aca="false">IF(BZ825=1,0,ROUNDUP(AP825/BY825,0))</f>
        <v>1</v>
      </c>
      <c r="AR825" s="52" t="n">
        <f aca="false">IF(CQ825&gt;0,CQ825*MAX(1,AP825/X825),IF(BZ825=1,IF(AP825&lt;=0,0,CD825*MAX(1,IF(H825&gt;0,AP825/H825,1))),IF(R825&gt;0,AQ825/R825,0))/MAX(0.1,N(Parameter!$M$21)))</f>
        <v>0.00961538461538462</v>
      </c>
      <c r="AS825" s="50" t="n">
        <f aca="false">AR825*CB825</f>
        <v>1.49038461538462</v>
      </c>
      <c r="AT825" s="51" t="n">
        <f aca="false">IF(LEFT(Cockpit!$I$5,1)="A",H825,IF(CH825=1,(CK825+CI825)/2,IF(LEFT(Cockpit!$I$5,1)="B",(CK825+AV825)/2,MAX((CK825+AV825)/2,H825))))</f>
        <v>80</v>
      </c>
      <c r="AU825" s="50" t="n">
        <f aca="false">AT825*G825</f>
        <v>98.4</v>
      </c>
      <c r="AV825" s="50" t="n">
        <f aca="false">ROUNDUP(CK825+MAX(CL825,2*(J825/IF(CG825&gt;0,CG825,MAX(0.1,N(Cockpit!$I$6)))-CK825)),0)</f>
        <v>53</v>
      </c>
      <c r="AW825" s="51" t="n">
        <f aca="false">IF(AS825&gt;0,J825/AS825,-1)</f>
        <v>36.9032258064516</v>
      </c>
      <c r="AX825" s="51" t="n">
        <f aca="false">IF(AND(OR(CF825="L1",CF825="L23",CF825="LIFT"),AS825&gt;0),SUMIFS($AS$7:$AS$1843,$CF$7:$CF$1843,CF825,$AW$7:$AW$1843,"&gt;"&amp;AW825)+SUMIFS($AS$7:$AS$1843,$CF$7:$CF$1843,CF825,$AW$7:$AW$1843,AW825,$BW$7:$BW$1843,"&lt;="&amp;BW825),"")</f>
        <v>1580.40750915751</v>
      </c>
      <c r="AY825" s="58" t="n">
        <f aca="false">IF(AX825="",0,MAX(0,MIN(1,(IF(CF825="L1",Parameter!$H$5,IF(CF825="L23",Parameter!$H$6+Parameter!$H$7,Parameter!$H$5+Parameter!$H$6+Parameter!$H$7))-(AX825-AS825))/AS825)))</f>
        <v>1</v>
      </c>
      <c r="AZ825" s="50" t="n">
        <f aca="false">IF(LEFT(Cockpit!$O$5,1)="A",H825,IF(Parameter!$E$30="MAX-Bestand",IF(CH825=1,CI825,IF(LEFT(Cockpit!$O$5,1)="B",BF825,MAX(BF825,H825))),ROUNDUP(BD825,0)))</f>
        <v>28</v>
      </c>
      <c r="BA825" s="50" t="n">
        <f aca="false">IF(BZ825=1,0,ROUNDUP(AZ825/BY825,0))</f>
        <v>1</v>
      </c>
      <c r="BB825" s="52" t="n">
        <f aca="false">IF(CQ825&gt;0,CQ825*MAX(1,AZ825/X825),IF(BZ825=1,IF(AZ825&lt;=0,0,CD825*MAX(1,IF(H825&gt;0,AZ825/H825,1))),IF(R825&gt;0,BA825/R825,0))/MAX(0.1,N(Parameter!$M$21)))</f>
        <v>0.00961538461538462</v>
      </c>
      <c r="BC825" s="50" t="n">
        <f aca="false">BB825*CB825</f>
        <v>1.49038461538462</v>
      </c>
      <c r="BD825" s="51" t="n">
        <f aca="false">IF(LEFT(Cockpit!$O$5,1)="A",H825,IF(CH825=1,(CK825+CI825)/2,IF(LEFT(Cockpit!$O$5,1)="B",(CK825+BF825)/2,MAX((CK825+BF825)/2,H825))))</f>
        <v>28</v>
      </c>
      <c r="BE825" s="50" t="n">
        <f aca="false">BD825*G825</f>
        <v>34.44</v>
      </c>
      <c r="BF825" s="50" t="n">
        <f aca="false">ROUNDUP(CK825+MAX(CL825,2*(J825/IF(CG825&gt;0,CG825,MAX(0.1,N(Cockpit!$O$6)))-CK825)),0)</f>
        <v>53</v>
      </c>
      <c r="BG825" s="51" t="n">
        <f aca="false">IF(BC825&gt;0,J825/BC825,-1)</f>
        <v>36.9032258064516</v>
      </c>
      <c r="BH825" s="51" t="n">
        <f aca="false">IF(AND(OR(CF825="L1",CF825="L23",CF825="LIFT"),BC825&gt;0),SUMIFS($BC$7:$BC$1843,$CF$7:$CF$1843,CF825,$BG$7:$BG$1843,"&gt;"&amp;BG825)+SUMIFS($BC$7:$BC$1843,$CF$7:$CF$1843,CF825,$BG$7:$BG$1843,BG825,$BW$7:$BW$1843,"&lt;="&amp;BW825),"")</f>
        <v>1508.60897435897</v>
      </c>
      <c r="BI825" s="58" t="n">
        <f aca="false">IF(BH825="",0,MAX(0,MIN(1,(IF(CF825="L1",Parameter!$H$5,IF(CF825="L23",Parameter!$H$6+Parameter!$H$7,Parameter!$H$5+Parameter!$H$6+Parameter!$H$7))-(BH825-BC825))/BC825)))</f>
        <v>1</v>
      </c>
      <c r="BJ825" s="48" t="str">
        <f aca="false">IF(AI825&lt;=0,"",IF(CF825="Aussen","Aussenlager",IF(CF825="-","Nicht im Lift",IF(AO825&gt;=1,"Lift",IF(AO825&lt;=0,"Aussenlager","teilweise")))))</f>
        <v>Lift</v>
      </c>
      <c r="BK825" s="48" t="str">
        <f aca="false">IF(AS825&lt;=0,"",IF(CF825="Aussen","Aussenlager",IF(CF825="-","Nicht im Lift",IF(AY825&gt;=1,"Lift",IF(AY825&lt;=0,"Aussenlager","teilweise")))))</f>
        <v>Lift</v>
      </c>
      <c r="BL825" s="48" t="str">
        <f aca="false">IF(BC825&lt;=0,"",IF(CF825="Aussen","Aussenlager",IF(CF825="-","Nicht im Lift",IF(BI825&gt;=1,"Lift",IF(BI825&lt;=0,"Aussenlager","teilweise")))))</f>
        <v>Lift</v>
      </c>
      <c r="BM825" s="48" t="str">
        <f aca="false">IF(A825="","",IF(BV825=1,"Neu; ","")&amp;IF(AND(BV825=0,BQ825&lt;0),"negativer Bestand (Export "&amp;BQ825&amp;"); ","")&amp;IF(J825&lt;=0,"Kein Verbrauch; ","")&amp;IF(CQ825&gt;0,"Lift "&amp;W825&amp;" lt. Liftbericht (Fach "&amp;X825&amp;" Stk); ",IF(CA825=1,"Gebinde geschätzt ("&amp;T825&amp;"); ",IF(BZ825=1,"Lose – Tablare geschätzt; ","")))&amp;IF(H825&gt;AV825,"Überbestand "&amp;ROUND(H825-AV825,0)&amp;" Stk / CHF "&amp;ROUND((H825-AV825)*G825,0)&amp;"; ","")&amp;IF(AND(CH825=1,CI825&lt;CJ825),"MAX &lt; MB+LG; ","")&amp;IF(AND(CP825&gt;0,CO825*10&gt;CP825),"zu hoch für Tablar; ","")&amp;IF(AND(BV825=0,OR(CH825=1,AA825&lt;&gt;"",U825&lt;&gt;"",V825&lt;&gt;"",AB825&lt;&gt;"")),"manuell übersteuert; ","")&amp;IF(AND(BZ825=0,R825=0),"Gebinde unbekannt / Stellmass fehlt; ","")&amp;IF(AND(BZ825=0,N(V825)&lt;=0,N(Q825)&lt;=0),"Menge pro Gebinde fehlt (Ist = 1 Gebinde); ","")&amp;BU825)</f>
        <v>negativer Bestand (Export -5); Überbestand 27 Stk / CHF 33; Neu</v>
      </c>
      <c r="BN825" s="48"/>
      <c r="BO825" s="48"/>
      <c r="BP825" s="55"/>
      <c r="BQ825" s="50" t="n">
        <v>-5</v>
      </c>
      <c r="BR825" s="50" t="n">
        <v>85</v>
      </c>
      <c r="BS825" s="49" t="n">
        <v>-10.4000000000001</v>
      </c>
      <c r="BT825" s="50" t="n">
        <v>55</v>
      </c>
      <c r="BU825" s="48" t="s">
        <v>635</v>
      </c>
      <c r="BV825" s="53" t="n">
        <v>0</v>
      </c>
      <c r="BW825" s="53" t="n">
        <v>825</v>
      </c>
      <c r="BX825" s="48" t="str">
        <f aca="false">IF(U825&lt;&gt;"",UPPER(TRIM(U825)),IF(CA825=1,UPPER(VLOOKUP(T825,Parameter!$I$27:$K$29,2,0)),IF(P825="","LOSE",P825)))</f>
        <v>S32</v>
      </c>
      <c r="BY825" s="50" t="n">
        <f aca="false">IF(BX825="LOSE",1,IF(N(V825)&gt;0,V825,IF(CA825=1,MAX(1,N(VLOOKUP(T825,Parameter!$I$27:$K$29,3,0)),H825,N(N825)),IF(N(Q825)&gt;0,Q825,MAX(1,H825)))))</f>
        <v>97</v>
      </c>
      <c r="BZ825" s="53" t="n">
        <f aca="false">IF(BX825="LOSE",1,0)</f>
        <v>0</v>
      </c>
      <c r="CA825" s="53" t="n">
        <f aca="false">IF(AND(U825="",OR(P825="",P825="LOSE"),T825&lt;&gt;"",N(S825)&lt;=0,ISNUMBER(MATCH(T825,Parameter!$I$27:$I$29,0))),1,0)</f>
        <v>0</v>
      </c>
      <c r="CB825" s="53" t="n">
        <f aca="false">IF(CQ825&gt;0,INDEX(Parameter!$H$5:$H$7,W825)/INDEX(Parameter!$E$5:$E$7,W825),IF(AND(BZ825=0,N(IFERROR(VLOOKUP(BX825,'Gebinde-Kategorie'!$A$5:$N$45,14,0),0))&gt;0),VLOOKUP(BX825,'Gebinde-Kategorie'!$A$5:$N$45,14,0)*10+Parameter!$M$23,Parameter!$M$24))</f>
        <v>155</v>
      </c>
      <c r="CC825" s="48" t="str">
        <f aca="false">IF(AND(Parameter!$B$19="Ja",E825&lt;&gt;"",ISNUMBER(MATCH(E825,Parameter!$I$35:$I$52,0))),VLOOKUP(E825,Parameter!$I$35:$J$52,2,0),IFERROR(VLOOKUP(D825,Parameter!$A$35:$C$64,2,0),"Nein"))</f>
        <v>2+3</v>
      </c>
      <c r="CD825" s="52" t="n">
        <f aca="false">IF(BZ825=0,0,IF(N(S825)&gt;0,S825,IFERROR(VLOOKUP(D825,Parameter!$A$35:$C$64,3,0)+0,0)))</f>
        <v>0</v>
      </c>
      <c r="CE825" s="48" t="n">
        <f aca="false">IF(AA825&lt;&gt;"",AA825,Z825)</f>
        <v>3</v>
      </c>
      <c r="CF825" s="48" t="str">
        <f aca="false">IF(OR(CE825=1,CE825=2,CE825=3),IF(Parameter!$E$27="Ja","LIFT",IF(CE825=1,"L1","L23")),IF(CE825="Aussen","Aussen","-"))</f>
        <v>LIFT</v>
      </c>
      <c r="CG825" s="59" t="n">
        <f aca="false">IF(N(AB825)&gt;0,AB825,0)</f>
        <v>0</v>
      </c>
      <c r="CH825" s="53" t="n">
        <f aca="false">IF(ISNUMBER(AE825),1,0)</f>
        <v>0</v>
      </c>
      <c r="CI825" s="50" t="n">
        <f aca="false">N(AE825)</f>
        <v>0</v>
      </c>
      <c r="CJ825" s="50" t="n">
        <f aca="false">N(M825)+N(N825)</f>
        <v>53</v>
      </c>
      <c r="CK825" s="50" t="n">
        <f aca="false">N(M825)</f>
        <v>3</v>
      </c>
      <c r="CL825" s="50" t="n">
        <f aca="false">N(N825)</f>
        <v>50</v>
      </c>
      <c r="CM825" s="50" t="n">
        <f aca="false">ROUNDUP(H825/BY825,0)</f>
        <v>1</v>
      </c>
      <c r="CN825" s="50" t="n">
        <f aca="false">ROUNDUP(CI825/BY825,0)</f>
        <v>0</v>
      </c>
      <c r="CO825" s="53" t="n">
        <f aca="false">IF(BZ825=1,0,IFERROR(VLOOKUP(BX825,'Gebinde-Kategorie'!$A$5:$N$45,5,0)+0,0))</f>
        <v>8</v>
      </c>
      <c r="CP825" s="53" t="n">
        <f aca="false">IFERROR(IF(OR(CE825=1,CE825=2,CE825=3),N(INDEX(Parameter!$I$5:$I$7,CE825)),0),0)</f>
        <v>0</v>
      </c>
      <c r="CQ825" s="52" t="n">
        <f aca="false">IF(AND(Parameter!$B$21="Ja",ISNUMBER(W825),N(X825)&gt;0),IFERROR(N(INDEX(Parameter!$L$5:$L$7,W825))*INDEX(Parameter!$E$5:$E$7,W825)*X825/SUMIFS($X$7:$X$1843,$W$7:$W$1843,W825),0),0)</f>
        <v>0</v>
      </c>
    </row>
    <row r="826" customFormat="false" ht="15" hidden="false" customHeight="false" outlineLevel="0" collapsed="false">
      <c r="A826" s="48" t="s">
        <v>1600</v>
      </c>
      <c r="B826" s="48" t="s">
        <v>1601</v>
      </c>
      <c r="C826" s="48" t="s">
        <v>173</v>
      </c>
      <c r="D826" s="48" t="s">
        <v>193</v>
      </c>
      <c r="E826" s="48"/>
      <c r="F826" s="48" t="s">
        <v>227</v>
      </c>
      <c r="G826" s="49" t="n">
        <v>10.43</v>
      </c>
      <c r="H826" s="50" t="n">
        <f aca="false">MAX(0,IF(AND(Parameter!$B$21="Ja",ISNUMBER(Y826)),Y826,IF(Parameter!$B$20="Jahresanfang 2025 + Export",BR826+BQ826,BQ826)))</f>
        <v>0</v>
      </c>
      <c r="I826" s="50" t="n">
        <f aca="false">H826*G826</f>
        <v>0</v>
      </c>
      <c r="J826" s="50" t="n">
        <f aca="false">BT826*Parameter!$B$18</f>
        <v>1</v>
      </c>
      <c r="K826" s="51" t="n">
        <v>0.5</v>
      </c>
      <c r="L826" s="52" t="n">
        <v>2</v>
      </c>
      <c r="M826" s="50" t="n">
        <v>0</v>
      </c>
      <c r="N826" s="50" t="n">
        <v>1</v>
      </c>
      <c r="O826" s="53" t="n">
        <v>21</v>
      </c>
      <c r="P826" s="48" t="s">
        <v>410</v>
      </c>
      <c r="Q826" s="50" t="n">
        <v>100</v>
      </c>
      <c r="R826" s="53" t="n">
        <f aca="false">IF(BZ826=1,0,IFERROR(VLOOKUP(BX826,'Gebinde-Kategorie'!$A$5:$N$45,13,0)+0,0))</f>
        <v>280</v>
      </c>
      <c r="S826" s="54"/>
      <c r="T826" s="55"/>
      <c r="U826" s="55"/>
      <c r="V826" s="55"/>
      <c r="W826" s="48"/>
      <c r="X826" s="50"/>
      <c r="Y826" s="50"/>
      <c r="Z826" s="48" t="n">
        <f aca="false">IF(A826="","",IF(AND(Parameter!$B$21="Ja",ISNUMBER(W826)),W826,IF(CC826="2+3",IF(ISNUMBER(SEARCH("grosser Artikel",BU826)),2,IFERROR(VLOOKUP(BX826,Parameter!$F$35:$G$64,2,0),2)),IF(OR(CC826="Nein",CC826=""),"-",CC826))))</f>
        <v>3</v>
      </c>
      <c r="AA826" s="55"/>
      <c r="AB826" s="56"/>
      <c r="AC826" s="50" t="n">
        <f aca="false">AV826</f>
        <v>1</v>
      </c>
      <c r="AD826" s="50" t="n">
        <f aca="false">MAX(AV826,H826)</f>
        <v>1</v>
      </c>
      <c r="AE826" s="57"/>
      <c r="AF826" s="50" t="n">
        <f aca="false">IF(LEFT(Cockpit!$C$5,1)="A",H826,IF(Parameter!$E$30="MAX-Bestand",IF(CH826=1,CI826,IF(LEFT(Cockpit!$C$5,1)="B",AL826,MAX(AL826,H826))),ROUNDUP(AJ826,0)))</f>
        <v>0</v>
      </c>
      <c r="AG826" s="50" t="n">
        <f aca="false">IF(BZ826=1,0,ROUNDUP(AF826/BY826,0))</f>
        <v>0</v>
      </c>
      <c r="AH826" s="52" t="n">
        <f aca="false">IF(CQ826&gt;0,CQ826*MAX(1,AF826/X826),IF(BZ826=1,IF(AF826&lt;=0,0,CD826*MAX(1,IF(H826&gt;0,AF826/H826,1))),IF(R826&gt;0,AG826/R826,0))/MAX(0.1,N(Parameter!$M$21)))</f>
        <v>0</v>
      </c>
      <c r="AI826" s="50" t="n">
        <f aca="false">AH826*CB826</f>
        <v>0</v>
      </c>
      <c r="AJ826" s="51" t="n">
        <f aca="false">IF(LEFT(Cockpit!$C$5,1)="A",H826,IF(CH826=1,(CK826+CI826)/2,IF(LEFT(Cockpit!$C$5,1)="B",(CK826+AL826)/2,MAX((CK826+AL826)/2,H826))))</f>
        <v>0</v>
      </c>
      <c r="AK826" s="50" t="n">
        <f aca="false">AJ826*G826</f>
        <v>0</v>
      </c>
      <c r="AL826" s="50" t="n">
        <f aca="false">ROUNDUP(CK826+MAX(CL826,2*(J826/IF(CG826&gt;0,CG826,MAX(0.1,N(Cockpit!$C$6)))-CK826)),0)</f>
        <v>1</v>
      </c>
      <c r="AM826" s="51" t="n">
        <f aca="false">IF(AI826&gt;0,J826/AI826,-1)</f>
        <v>-1</v>
      </c>
      <c r="AN826" s="51" t="str">
        <f aca="false">IF(AND(OR(CF826="L1",CF826="L23",CF826="LIFT"),AI826&gt;0),SUMIFS($AI$7:$AI$1843,$CF$7:$CF$1843,CF826,$AM$7:$AM$1843,"&gt;"&amp;AM826)+SUMIFS($AI$7:$AI$1843,$CF$7:$CF$1843,CF826,$AM$7:$AM$1843,AM826,$BW$7:$BW$1843,"&lt;="&amp;BW826),"")</f>
        <v/>
      </c>
      <c r="AO826" s="58" t="n">
        <f aca="false">IF(AN826="",0,MAX(0,MIN(1,(IF(CF826="L1",Parameter!$H$5,IF(CF826="L23",Parameter!$H$6+Parameter!$H$7,Parameter!$H$5+Parameter!$H$6+Parameter!$H$7))-(AN826-AI826))/AI826)))</f>
        <v>0</v>
      </c>
      <c r="AP826" s="50" t="n">
        <f aca="false">IF(LEFT(Cockpit!$I$5,1)="A",H826,IF(Parameter!$E$30="MAX-Bestand",IF(CH826=1,CI826,IF(LEFT(Cockpit!$I$5,1)="B",AV826,MAX(AV826,H826))),ROUNDUP(AT826,0)))</f>
        <v>1</v>
      </c>
      <c r="AQ826" s="50" t="n">
        <f aca="false">IF(BZ826=1,0,ROUNDUP(AP826/BY826,0))</f>
        <v>1</v>
      </c>
      <c r="AR826" s="52" t="n">
        <f aca="false">IF(CQ826&gt;0,CQ826*MAX(1,AP826/X826),IF(BZ826=1,IF(AP826&lt;=0,0,CD826*MAX(1,IF(H826&gt;0,AP826/H826,1))),IF(R826&gt;0,AQ826/R826,0))/MAX(0.1,N(Parameter!$M$21)))</f>
        <v>0.00357142857142857</v>
      </c>
      <c r="AS826" s="50" t="n">
        <f aca="false">AR826*CB826</f>
        <v>0.553571428571429</v>
      </c>
      <c r="AT826" s="51" t="n">
        <f aca="false">IF(LEFT(Cockpit!$I$5,1)="A",H826,IF(CH826=1,(CK826+CI826)/2,IF(LEFT(Cockpit!$I$5,1)="B",(CK826+AV826)/2,MAX((CK826+AV826)/2,H826))))</f>
        <v>0.5</v>
      </c>
      <c r="AU826" s="50" t="n">
        <f aca="false">AT826*G826</f>
        <v>5.215</v>
      </c>
      <c r="AV826" s="50" t="n">
        <f aca="false">ROUNDUP(CK826+MAX(CL826,2*(J826/IF(CG826&gt;0,CG826,MAX(0.1,N(Cockpit!$I$6)))-CK826)),0)</f>
        <v>1</v>
      </c>
      <c r="AW826" s="51" t="n">
        <f aca="false">IF(AS826&gt;0,J826/AS826,-1)</f>
        <v>1.80645161290323</v>
      </c>
      <c r="AX826" s="51" t="n">
        <f aca="false">IF(AND(OR(CF826="L1",CF826="L23",CF826="LIFT"),AS826&gt;0),SUMIFS($AS$7:$AS$1843,$CF$7:$CF$1843,CF826,$AW$7:$AW$1843,"&gt;"&amp;AW826)+SUMIFS($AS$7:$AS$1843,$CF$7:$CF$1843,CF826,$AW$7:$AW$1843,AW826,$BW$7:$BW$1843,"&lt;="&amp;BW826),"")</f>
        <v>7403.9739010989</v>
      </c>
      <c r="AY826" s="58" t="n">
        <f aca="false">IF(AX826="",0,MAX(0,MIN(1,(IF(CF826="L1",Parameter!$H$5,IF(CF826="L23",Parameter!$H$6+Parameter!$H$7,Parameter!$H$5+Parameter!$H$6+Parameter!$H$7))-(AX826-AS826))/AS826)))</f>
        <v>1</v>
      </c>
      <c r="AZ826" s="50" t="n">
        <f aca="false">IF(LEFT(Cockpit!$O$5,1)="A",H826,IF(Parameter!$E$30="MAX-Bestand",IF(CH826=1,CI826,IF(LEFT(Cockpit!$O$5,1)="B",BF826,MAX(BF826,H826))),ROUNDUP(BD826,0)))</f>
        <v>1</v>
      </c>
      <c r="BA826" s="50" t="n">
        <f aca="false">IF(BZ826=1,0,ROUNDUP(AZ826/BY826,0))</f>
        <v>1</v>
      </c>
      <c r="BB826" s="52" t="n">
        <f aca="false">IF(CQ826&gt;0,CQ826*MAX(1,AZ826/X826),IF(BZ826=1,IF(AZ826&lt;=0,0,CD826*MAX(1,IF(H826&gt;0,AZ826/H826,1))),IF(R826&gt;0,BA826/R826,0))/MAX(0.1,N(Parameter!$M$21)))</f>
        <v>0.00357142857142857</v>
      </c>
      <c r="BC826" s="50" t="n">
        <f aca="false">BB826*CB826</f>
        <v>0.553571428571429</v>
      </c>
      <c r="BD826" s="51" t="n">
        <f aca="false">IF(LEFT(Cockpit!$O$5,1)="A",H826,IF(CH826=1,(CK826+CI826)/2,IF(LEFT(Cockpit!$O$5,1)="B",(CK826+BF826)/2,MAX((CK826+BF826)/2,H826))))</f>
        <v>0.5</v>
      </c>
      <c r="BE826" s="50" t="n">
        <f aca="false">BD826*G826</f>
        <v>5.215</v>
      </c>
      <c r="BF826" s="50" t="n">
        <f aca="false">ROUNDUP(CK826+MAX(CL826,2*(J826/IF(CG826&gt;0,CG826,MAX(0.1,N(Cockpit!$O$6)))-CK826)),0)</f>
        <v>1</v>
      </c>
      <c r="BG826" s="51" t="n">
        <f aca="false">IF(BC826&gt;0,J826/BC826,-1)</f>
        <v>1.80645161290323</v>
      </c>
      <c r="BH826" s="51" t="n">
        <f aca="false">IF(AND(OR(CF826="L1",CF826="L23",CF826="LIFT"),BC826&gt;0),SUMIFS($BC$7:$BC$1843,$CF$7:$CF$1843,CF826,$BG$7:$BG$1843,"&gt;"&amp;BG826)+SUMIFS($BC$7:$BC$1843,$CF$7:$CF$1843,CF826,$BG$7:$BG$1843,BG826,$BW$7:$BW$1843,"&lt;="&amp;BW826),"")</f>
        <v>6091.89468864469</v>
      </c>
      <c r="BI826" s="58" t="n">
        <f aca="false">IF(BH826="",0,MAX(0,MIN(1,(IF(CF826="L1",Parameter!$H$5,IF(CF826="L23",Parameter!$H$6+Parameter!$H$7,Parameter!$H$5+Parameter!$H$6+Parameter!$H$7))-(BH826-BC826))/BC826)))</f>
        <v>1</v>
      </c>
      <c r="BJ826" s="48" t="str">
        <f aca="false">IF(AI826&lt;=0,"",IF(CF826="Aussen","Aussenlager",IF(CF826="-","Nicht im Lift",IF(AO826&gt;=1,"Lift",IF(AO826&lt;=0,"Aussenlager","teilweise")))))</f>
        <v/>
      </c>
      <c r="BK826" s="48" t="str">
        <f aca="false">IF(AS826&lt;=0,"",IF(CF826="Aussen","Aussenlager",IF(CF826="-","Nicht im Lift",IF(AY826&gt;=1,"Lift",IF(AY826&lt;=0,"Aussenlager","teilweise")))))</f>
        <v>Lift</v>
      </c>
      <c r="BL826" s="48" t="str">
        <f aca="false">IF(BC826&lt;=0,"",IF(CF826="Aussen","Aussenlager",IF(CF826="-","Nicht im Lift",IF(BI826&gt;=1,"Lift",IF(BI826&lt;=0,"Aussenlager","teilweise")))))</f>
        <v>Lift</v>
      </c>
      <c r="BM826" s="48" t="str">
        <f aca="false">IF(A826="","",IF(BV826=1,"Neu; ","")&amp;IF(AND(BV826=0,BQ826&lt;0),"negativer Bestand (Export "&amp;BQ826&amp;"); ","")&amp;IF(J826&lt;=0,"Kein Verbrauch; ","")&amp;IF(CQ826&gt;0,"Lift "&amp;W826&amp;" lt. Liftbericht (Fach "&amp;X826&amp;" Stk); ",IF(CA826=1,"Gebinde geschätzt ("&amp;T826&amp;"); ",IF(BZ826=1,"Lose – Tablare geschätzt; ","")))&amp;IF(H826&gt;AV826,"Überbestand "&amp;ROUND(H826-AV826,0)&amp;" Stk / CHF "&amp;ROUND((H826-AV826)*G826,0)&amp;"; ","")&amp;IF(AND(CH826=1,CI826&lt;CJ826),"MAX &lt; MB+LG; ","")&amp;IF(AND(CP826&gt;0,CO826*10&gt;CP826),"zu hoch für Tablar; ","")&amp;IF(AND(BV826=0,OR(CH826=1,AA826&lt;&gt;"",U826&lt;&gt;"",V826&lt;&gt;"",AB826&lt;&gt;"")),"manuell übersteuert; ","")&amp;IF(AND(BZ826=0,R826=0),"Gebinde unbekannt / Stellmass fehlt; ","")&amp;IF(AND(BZ826=0,N(V826)&lt;=0,N(Q826)&lt;=0),"Menge pro Gebinde fehlt (Ist = 1 Gebinde); ","")&amp;BU826)</f>
        <v>negativer Bestand (Export -1); </v>
      </c>
      <c r="BN826" s="48"/>
      <c r="BO826" s="48"/>
      <c r="BP826" s="55"/>
      <c r="BQ826" s="50" t="n">
        <v>-1</v>
      </c>
      <c r="BR826" s="50" t="n">
        <v>1</v>
      </c>
      <c r="BS826" s="49" t="n">
        <v>-10.43</v>
      </c>
      <c r="BT826" s="50" t="n">
        <v>1</v>
      </c>
      <c r="BU826" s="48"/>
      <c r="BV826" s="53" t="n">
        <v>0</v>
      </c>
      <c r="BW826" s="53" t="n">
        <v>826</v>
      </c>
      <c r="BX826" s="48" t="str">
        <f aca="false">IF(U826&lt;&gt;"",UPPER(TRIM(U826)),IF(CA826=1,UPPER(VLOOKUP(T826,Parameter!$I$27:$K$29,2,0)),IF(P826="","LOSE",P826)))</f>
        <v>S21</v>
      </c>
      <c r="BY826" s="50" t="n">
        <f aca="false">IF(BX826="LOSE",1,IF(N(V826)&gt;0,V826,IF(CA826=1,MAX(1,N(VLOOKUP(T826,Parameter!$I$27:$K$29,3,0)),H826,N(N826)),IF(N(Q826)&gt;0,Q826,MAX(1,H826)))))</f>
        <v>100</v>
      </c>
      <c r="BZ826" s="53" t="n">
        <f aca="false">IF(BX826="LOSE",1,0)</f>
        <v>0</v>
      </c>
      <c r="CA826" s="53" t="n">
        <f aca="false">IF(AND(U826="",OR(P826="",P826="LOSE"),T826&lt;&gt;"",N(S826)&lt;=0,ISNUMBER(MATCH(T826,Parameter!$I$27:$I$29,0))),1,0)</f>
        <v>0</v>
      </c>
      <c r="CB826" s="53" t="n">
        <f aca="false">IF(CQ826&gt;0,INDEX(Parameter!$H$5:$H$7,W826)/INDEX(Parameter!$E$5:$E$7,W826),IF(AND(BZ826=0,N(IFERROR(VLOOKUP(BX826,'Gebinde-Kategorie'!$A$5:$N$45,14,0),0))&gt;0),VLOOKUP(BX826,'Gebinde-Kategorie'!$A$5:$N$45,14,0)*10+Parameter!$M$23,Parameter!$M$24))</f>
        <v>155</v>
      </c>
      <c r="CC826" s="48" t="str">
        <f aca="false">IF(AND(Parameter!$B$19="Ja",E826&lt;&gt;"",ISNUMBER(MATCH(E826,Parameter!$I$35:$I$52,0))),VLOOKUP(E826,Parameter!$I$35:$J$52,2,0),IFERROR(VLOOKUP(D826,Parameter!$A$35:$C$64,2,0),"Nein"))</f>
        <v>2+3</v>
      </c>
      <c r="CD826" s="52" t="n">
        <f aca="false">IF(BZ826=0,0,IF(N(S826)&gt;0,S826,IFERROR(VLOOKUP(D826,Parameter!$A$35:$C$64,3,0)+0,0)))</f>
        <v>0</v>
      </c>
      <c r="CE826" s="48" t="n">
        <f aca="false">IF(AA826&lt;&gt;"",AA826,Z826)</f>
        <v>3</v>
      </c>
      <c r="CF826" s="48" t="str">
        <f aca="false">IF(OR(CE826=1,CE826=2,CE826=3),IF(Parameter!$E$27="Ja","LIFT",IF(CE826=1,"L1","L23")),IF(CE826="Aussen","Aussen","-"))</f>
        <v>LIFT</v>
      </c>
      <c r="CG826" s="59" t="n">
        <f aca="false">IF(N(AB826)&gt;0,AB826,0)</f>
        <v>0</v>
      </c>
      <c r="CH826" s="53" t="n">
        <f aca="false">IF(ISNUMBER(AE826),1,0)</f>
        <v>0</v>
      </c>
      <c r="CI826" s="50" t="n">
        <f aca="false">N(AE826)</f>
        <v>0</v>
      </c>
      <c r="CJ826" s="50" t="n">
        <f aca="false">N(M826)+N(N826)</f>
        <v>1</v>
      </c>
      <c r="CK826" s="50" t="n">
        <f aca="false">N(M826)</f>
        <v>0</v>
      </c>
      <c r="CL826" s="50" t="n">
        <f aca="false">N(N826)</f>
        <v>1</v>
      </c>
      <c r="CM826" s="50" t="n">
        <f aca="false">ROUNDUP(H826/BY826,0)</f>
        <v>0</v>
      </c>
      <c r="CN826" s="50" t="n">
        <f aca="false">ROUNDUP(CI826/BY826,0)</f>
        <v>0</v>
      </c>
      <c r="CO826" s="53" t="n">
        <f aca="false">IF(BZ826=1,0,IFERROR(VLOOKUP(BX826,'Gebinde-Kategorie'!$A$5:$N$45,5,0)+0,0))</f>
        <v>8</v>
      </c>
      <c r="CP826" s="53" t="n">
        <f aca="false">IFERROR(IF(OR(CE826=1,CE826=2,CE826=3),N(INDEX(Parameter!$I$5:$I$7,CE826)),0),0)</f>
        <v>0</v>
      </c>
      <c r="CQ826" s="52" t="n">
        <f aca="false">IF(AND(Parameter!$B$21="Ja",ISNUMBER(W826),N(X826)&gt;0),IFERROR(N(INDEX(Parameter!$L$5:$L$7,W826))*INDEX(Parameter!$E$5:$E$7,W826)*X826/SUMIFS($X$7:$X$1843,$W$7:$W$1843,W826),0),0)</f>
        <v>0</v>
      </c>
    </row>
    <row r="827" customFormat="false" ht="15" hidden="false" customHeight="false" outlineLevel="0" collapsed="false">
      <c r="A827" s="48" t="s">
        <v>1602</v>
      </c>
      <c r="B827" s="48" t="s">
        <v>1603</v>
      </c>
      <c r="C827" s="48" t="s">
        <v>173</v>
      </c>
      <c r="D827" s="48" t="s">
        <v>193</v>
      </c>
      <c r="E827" s="48" t="s">
        <v>194</v>
      </c>
      <c r="F827" s="48" t="s">
        <v>227</v>
      </c>
      <c r="G827" s="49" t="n">
        <v>0.88</v>
      </c>
      <c r="H827" s="50" t="n">
        <f aca="false">MAX(0,IF(AND(Parameter!$B$21="Ja",ISNUMBER(Y827)),Y827,IF(Parameter!$B$20="Jahresanfang 2025 + Export",BR827+BQ827,BQ827)))</f>
        <v>69</v>
      </c>
      <c r="I827" s="50" t="n">
        <f aca="false">H827*G827</f>
        <v>60.72</v>
      </c>
      <c r="J827" s="50" t="n">
        <f aca="false">BT827*Parameter!$B$18</f>
        <v>3</v>
      </c>
      <c r="K827" s="51" t="n">
        <v>79.5</v>
      </c>
      <c r="L827" s="52" t="n">
        <v>0.0377358490566038</v>
      </c>
      <c r="M827" s="50" t="n">
        <v>0</v>
      </c>
      <c r="N827" s="50" t="n">
        <v>5</v>
      </c>
      <c r="O827" s="53" t="n">
        <v>21</v>
      </c>
      <c r="P827" s="48" t="s">
        <v>435</v>
      </c>
      <c r="Q827" s="50" t="n">
        <v>84</v>
      </c>
      <c r="R827" s="53" t="n">
        <f aca="false">IF(BZ827=1,0,IFERROR(VLOOKUP(BX827,'Gebinde-Kategorie'!$A$5:$N$45,13,0)+0,0))</f>
        <v>140</v>
      </c>
      <c r="S827" s="54"/>
      <c r="T827" s="55"/>
      <c r="U827" s="55"/>
      <c r="V827" s="55"/>
      <c r="W827" s="48"/>
      <c r="X827" s="50"/>
      <c r="Y827" s="50"/>
      <c r="Z827" s="48" t="n">
        <f aca="false">IF(A827="","",IF(AND(Parameter!$B$21="Ja",ISNUMBER(W827)),W827,IF(CC827="2+3",IF(ISNUMBER(SEARCH("grosser Artikel",BU827)),2,IFERROR(VLOOKUP(BX827,Parameter!$F$35:$G$64,2,0),2)),IF(OR(CC827="Nein",CC827=""),"-",CC827))))</f>
        <v>3</v>
      </c>
      <c r="AA827" s="55"/>
      <c r="AB827" s="56"/>
      <c r="AC827" s="50" t="n">
        <f aca="false">AV827</f>
        <v>5</v>
      </c>
      <c r="AD827" s="50" t="n">
        <f aca="false">MAX(AV827,H827)</f>
        <v>69</v>
      </c>
      <c r="AE827" s="57"/>
      <c r="AF827" s="50" t="n">
        <f aca="false">IF(LEFT(Cockpit!$C$5,1)="A",H827,IF(Parameter!$E$30="MAX-Bestand",IF(CH827=1,CI827,IF(LEFT(Cockpit!$C$5,1)="B",AL827,MAX(AL827,H827))),ROUNDUP(AJ827,0)))</f>
        <v>69</v>
      </c>
      <c r="AG827" s="50" t="n">
        <f aca="false">IF(BZ827=1,0,ROUNDUP(AF827/BY827,0))</f>
        <v>1</v>
      </c>
      <c r="AH827" s="52" t="n">
        <f aca="false">IF(CQ827&gt;0,CQ827*MAX(1,AF827/X827),IF(BZ827=1,IF(AF827&lt;=0,0,CD827*MAX(1,IF(H827&gt;0,AF827/H827,1))),IF(R827&gt;0,AG827/R827,0))/MAX(0.1,N(Parameter!$M$21)))</f>
        <v>0.00714285714285714</v>
      </c>
      <c r="AI827" s="50" t="n">
        <f aca="false">AH827*CB827</f>
        <v>1.10714285714286</v>
      </c>
      <c r="AJ827" s="51" t="n">
        <f aca="false">IF(LEFT(Cockpit!$C$5,1)="A",H827,IF(CH827=1,(CK827+CI827)/2,IF(LEFT(Cockpit!$C$5,1)="B",(CK827+AL827)/2,MAX((CK827+AL827)/2,H827))))</f>
        <v>69</v>
      </c>
      <c r="AK827" s="50" t="n">
        <f aca="false">AJ827*G827</f>
        <v>60.72</v>
      </c>
      <c r="AL827" s="50" t="n">
        <f aca="false">ROUNDUP(CK827+MAX(CL827,2*(J827/IF(CG827&gt;0,CG827,MAX(0.1,N(Cockpit!$C$6)))-CK827)),0)</f>
        <v>5</v>
      </c>
      <c r="AM827" s="51" t="n">
        <f aca="false">IF(AI827&gt;0,J827/AI827,-1)</f>
        <v>2.70967741935484</v>
      </c>
      <c r="AN827" s="51" t="n">
        <f aca="false">IF(AND(OR(CF827="L1",CF827="L23",CF827="LIFT"),AI827&gt;0),SUMIFS($AI$7:$AI$1843,$CF$7:$CF$1843,CF827,$AM$7:$AM$1843,"&gt;"&amp;AM827)+SUMIFS($AI$7:$AI$1843,$CF$7:$CF$1843,CF827,$AM$7:$AM$1843,AM827,$BW$7:$BW$1843,"&lt;="&amp;BW827),"")</f>
        <v>5318.98672161172</v>
      </c>
      <c r="AO827" s="58" t="n">
        <f aca="false">IF(AN827="",0,MAX(0,MIN(1,(IF(CF827="L1",Parameter!$H$5,IF(CF827="L23",Parameter!$H$6+Parameter!$H$7,Parameter!$H$5+Parameter!$H$6+Parameter!$H$7))-(AN827-AI827))/AI827)))</f>
        <v>1</v>
      </c>
      <c r="AP827" s="50" t="n">
        <f aca="false">IF(LEFT(Cockpit!$I$5,1)="A",H827,IF(Parameter!$E$30="MAX-Bestand",IF(CH827=1,CI827,IF(LEFT(Cockpit!$I$5,1)="B",AV827,MAX(AV827,H827))),ROUNDUP(AT827,0)))</f>
        <v>69</v>
      </c>
      <c r="AQ827" s="50" t="n">
        <f aca="false">IF(BZ827=1,0,ROUNDUP(AP827/BY827,0))</f>
        <v>1</v>
      </c>
      <c r="AR827" s="52" t="n">
        <f aca="false">IF(CQ827&gt;0,CQ827*MAX(1,AP827/X827),IF(BZ827=1,IF(AP827&lt;=0,0,CD827*MAX(1,IF(H827&gt;0,AP827/H827,1))),IF(R827&gt;0,AQ827/R827,0))/MAX(0.1,N(Parameter!$M$21)))</f>
        <v>0.00714285714285714</v>
      </c>
      <c r="AS827" s="50" t="n">
        <f aca="false">AR827*CB827</f>
        <v>1.10714285714286</v>
      </c>
      <c r="AT827" s="51" t="n">
        <f aca="false">IF(LEFT(Cockpit!$I$5,1)="A",H827,IF(CH827=1,(CK827+CI827)/2,IF(LEFT(Cockpit!$I$5,1)="B",(CK827+AV827)/2,MAX((CK827+AV827)/2,H827))))</f>
        <v>69</v>
      </c>
      <c r="AU827" s="50" t="n">
        <f aca="false">AT827*G827</f>
        <v>60.72</v>
      </c>
      <c r="AV827" s="50" t="n">
        <f aca="false">ROUNDUP(CK827+MAX(CL827,2*(J827/IF(CG827&gt;0,CG827,MAX(0.1,N(Cockpit!$I$6)))-CK827)),0)</f>
        <v>5</v>
      </c>
      <c r="AW827" s="51" t="n">
        <f aca="false">IF(AS827&gt;0,J827/AS827,-1)</f>
        <v>2.70967741935484</v>
      </c>
      <c r="AX827" s="51" t="n">
        <f aca="false">IF(AND(OR(CF827="L1",CF827="L23",CF827="LIFT"),AS827&gt;0),SUMIFS($AS$7:$AS$1843,$CF$7:$CF$1843,CF827,$AW$7:$AW$1843,"&gt;"&amp;AW827)+SUMIFS($AS$7:$AS$1843,$CF$7:$CF$1843,CF827,$AW$7:$AW$1843,AW827,$BW$7:$BW$1843,"&lt;="&amp;BW827),"")</f>
        <v>6153.46474358974</v>
      </c>
      <c r="AY827" s="58" t="n">
        <f aca="false">IF(AX827="",0,MAX(0,MIN(1,(IF(CF827="L1",Parameter!$H$5,IF(CF827="L23",Parameter!$H$6+Parameter!$H$7,Parameter!$H$5+Parameter!$H$6+Parameter!$H$7))-(AX827-AS827))/AS827)))</f>
        <v>1</v>
      </c>
      <c r="AZ827" s="50" t="n">
        <f aca="false">IF(LEFT(Cockpit!$O$5,1)="A",H827,IF(Parameter!$E$30="MAX-Bestand",IF(CH827=1,CI827,IF(LEFT(Cockpit!$O$5,1)="B",BF827,MAX(BF827,H827))),ROUNDUP(BD827,0)))</f>
        <v>3</v>
      </c>
      <c r="BA827" s="50" t="n">
        <f aca="false">IF(BZ827=1,0,ROUNDUP(AZ827/BY827,0))</f>
        <v>1</v>
      </c>
      <c r="BB827" s="52" t="n">
        <f aca="false">IF(CQ827&gt;0,CQ827*MAX(1,AZ827/X827),IF(BZ827=1,IF(AZ827&lt;=0,0,CD827*MAX(1,IF(H827&gt;0,AZ827/H827,1))),IF(R827&gt;0,BA827/R827,0))/MAX(0.1,N(Parameter!$M$21)))</f>
        <v>0.00714285714285714</v>
      </c>
      <c r="BC827" s="50" t="n">
        <f aca="false">BB827*CB827</f>
        <v>1.10714285714286</v>
      </c>
      <c r="BD827" s="51" t="n">
        <f aca="false">IF(LEFT(Cockpit!$O$5,1)="A",H827,IF(CH827=1,(CK827+CI827)/2,IF(LEFT(Cockpit!$O$5,1)="B",(CK827+BF827)/2,MAX((CK827+BF827)/2,H827))))</f>
        <v>2.5</v>
      </c>
      <c r="BE827" s="50" t="n">
        <f aca="false">BD827*G827</f>
        <v>2.2</v>
      </c>
      <c r="BF827" s="50" t="n">
        <f aca="false">ROUNDUP(CK827+MAX(CL827,2*(J827/IF(CG827&gt;0,CG827,MAX(0.1,N(Cockpit!$O$6)))-CK827)),0)</f>
        <v>5</v>
      </c>
      <c r="BG827" s="51" t="n">
        <f aca="false">IF(BC827&gt;0,J827/BC827,-1)</f>
        <v>2.70967741935484</v>
      </c>
      <c r="BH827" s="51" t="n">
        <f aca="false">IF(AND(OR(CF827="L1",CF827="L23",CF827="LIFT"),BC827&gt;0),SUMIFS($BC$7:$BC$1843,$CF$7:$CF$1843,CF827,$BG$7:$BG$1843,"&gt;"&amp;BG827)+SUMIFS($BC$7:$BC$1843,$CF$7:$CF$1843,CF827,$BG$7:$BG$1843,BG827,$BW$7:$BW$1843,"&lt;="&amp;BW827),"")</f>
        <v>5016.69551282051</v>
      </c>
      <c r="BI827" s="58" t="n">
        <f aca="false">IF(BH827="",0,MAX(0,MIN(1,(IF(CF827="L1",Parameter!$H$5,IF(CF827="L23",Parameter!$H$6+Parameter!$H$7,Parameter!$H$5+Parameter!$H$6+Parameter!$H$7))-(BH827-BC827))/BC827)))</f>
        <v>1</v>
      </c>
      <c r="BJ827" s="48" t="str">
        <f aca="false">IF(AI827&lt;=0,"",IF(CF827="Aussen","Aussenlager",IF(CF827="-","Nicht im Lift",IF(AO827&gt;=1,"Lift",IF(AO827&lt;=0,"Aussenlager","teilweise")))))</f>
        <v>Lift</v>
      </c>
      <c r="BK827" s="48" t="str">
        <f aca="false">IF(AS827&lt;=0,"",IF(CF827="Aussen","Aussenlager",IF(CF827="-","Nicht im Lift",IF(AY827&gt;=1,"Lift",IF(AY827&lt;=0,"Aussenlager","teilweise")))))</f>
        <v>Lift</v>
      </c>
      <c r="BL827" s="48" t="str">
        <f aca="false">IF(BC827&lt;=0,"",IF(CF827="Aussen","Aussenlager",IF(CF827="-","Nicht im Lift",IF(BI827&gt;=1,"Lift",IF(BI827&lt;=0,"Aussenlager","teilweise")))))</f>
        <v>Lift</v>
      </c>
      <c r="BM827" s="48" t="str">
        <f aca="false">IF(A827="","",IF(BV827=1,"Neu; ","")&amp;IF(AND(BV827=0,BQ827&lt;0),"negativer Bestand (Export "&amp;BQ827&amp;"); ","")&amp;IF(J827&lt;=0,"Kein Verbrauch; ","")&amp;IF(CQ827&gt;0,"Lift "&amp;W827&amp;" lt. Liftbericht (Fach "&amp;X827&amp;" Stk); ",IF(CA827=1,"Gebinde geschätzt ("&amp;T827&amp;"); ",IF(BZ827=1,"Lose – Tablare geschätzt; ","")))&amp;IF(H827&gt;AV827,"Überbestand "&amp;ROUND(H827-AV827,0)&amp;" Stk / CHF "&amp;ROUND((H827-AV827)*G827,0)&amp;"; ","")&amp;IF(AND(CH827=1,CI827&lt;CJ827),"MAX &lt; MB+LG; ","")&amp;IF(AND(CP827&gt;0,CO827*10&gt;CP827),"zu hoch für Tablar; ","")&amp;IF(AND(BV827=0,OR(CH827=1,AA827&lt;&gt;"",U827&lt;&gt;"",V827&lt;&gt;"",AB827&lt;&gt;"")),"manuell übersteuert; ","")&amp;IF(AND(BZ827=0,R827=0),"Gebinde unbekannt / Stellmass fehlt; ","")&amp;IF(AND(BZ827=0,N(V827)&lt;=0,N(Q827)&lt;=0),"Menge pro Gebinde fehlt (Ist = 1 Gebinde); ","")&amp;BU827)</f>
        <v>negativer Bestand (Export -12); Überbestand 64 Stk / CHF 56; Überbestand</v>
      </c>
      <c r="BN827" s="48"/>
      <c r="BO827" s="48"/>
      <c r="BP827" s="55"/>
      <c r="BQ827" s="50" t="n">
        <v>-12</v>
      </c>
      <c r="BR827" s="50" t="n">
        <v>81</v>
      </c>
      <c r="BS827" s="49" t="n">
        <v>-10.56</v>
      </c>
      <c r="BT827" s="50" t="n">
        <v>3</v>
      </c>
      <c r="BU827" s="48" t="s">
        <v>401</v>
      </c>
      <c r="BV827" s="53" t="n">
        <v>0</v>
      </c>
      <c r="BW827" s="53" t="n">
        <v>827</v>
      </c>
      <c r="BX827" s="48" t="str">
        <f aca="false">IF(U827&lt;&gt;"",UPPER(TRIM(U827)),IF(CA827=1,UPPER(VLOOKUP(T827,Parameter!$I$27:$K$29,2,0)),IF(P827="","LOSE",P827)))</f>
        <v>S22</v>
      </c>
      <c r="BY827" s="50" t="n">
        <f aca="false">IF(BX827="LOSE",1,IF(N(V827)&gt;0,V827,IF(CA827=1,MAX(1,N(VLOOKUP(T827,Parameter!$I$27:$K$29,3,0)),H827,N(N827)),IF(N(Q827)&gt;0,Q827,MAX(1,H827)))))</f>
        <v>84</v>
      </c>
      <c r="BZ827" s="53" t="n">
        <f aca="false">IF(BX827="LOSE",1,0)</f>
        <v>0</v>
      </c>
      <c r="CA827" s="53" t="n">
        <f aca="false">IF(AND(U827="",OR(P827="",P827="LOSE"),T827&lt;&gt;"",N(S827)&lt;=0,ISNUMBER(MATCH(T827,Parameter!$I$27:$I$29,0))),1,0)</f>
        <v>0</v>
      </c>
      <c r="CB827" s="53" t="n">
        <f aca="false">IF(CQ827&gt;0,INDEX(Parameter!$H$5:$H$7,W827)/INDEX(Parameter!$E$5:$E$7,W827),IF(AND(BZ827=0,N(IFERROR(VLOOKUP(BX827,'Gebinde-Kategorie'!$A$5:$N$45,14,0),0))&gt;0),VLOOKUP(BX827,'Gebinde-Kategorie'!$A$5:$N$45,14,0)*10+Parameter!$M$23,Parameter!$M$24))</f>
        <v>155</v>
      </c>
      <c r="CC827" s="48" t="str">
        <f aca="false">IF(AND(Parameter!$B$19="Ja",E827&lt;&gt;"",ISNUMBER(MATCH(E827,Parameter!$I$35:$I$52,0))),VLOOKUP(E827,Parameter!$I$35:$J$52,2,0),IFERROR(VLOOKUP(D827,Parameter!$A$35:$C$64,2,0),"Nein"))</f>
        <v>2+3</v>
      </c>
      <c r="CD827" s="52" t="n">
        <f aca="false">IF(BZ827=0,0,IF(N(S827)&gt;0,S827,IFERROR(VLOOKUP(D827,Parameter!$A$35:$C$64,3,0)+0,0)))</f>
        <v>0</v>
      </c>
      <c r="CE827" s="48" t="n">
        <f aca="false">IF(AA827&lt;&gt;"",AA827,Z827)</f>
        <v>3</v>
      </c>
      <c r="CF827" s="48" t="str">
        <f aca="false">IF(OR(CE827=1,CE827=2,CE827=3),IF(Parameter!$E$27="Ja","LIFT",IF(CE827=1,"L1","L23")),IF(CE827="Aussen","Aussen","-"))</f>
        <v>LIFT</v>
      </c>
      <c r="CG827" s="59" t="n">
        <f aca="false">IF(N(AB827)&gt;0,AB827,0)</f>
        <v>0</v>
      </c>
      <c r="CH827" s="53" t="n">
        <f aca="false">IF(ISNUMBER(AE827),1,0)</f>
        <v>0</v>
      </c>
      <c r="CI827" s="50" t="n">
        <f aca="false">N(AE827)</f>
        <v>0</v>
      </c>
      <c r="CJ827" s="50" t="n">
        <f aca="false">N(M827)+N(N827)</f>
        <v>5</v>
      </c>
      <c r="CK827" s="50" t="n">
        <f aca="false">N(M827)</f>
        <v>0</v>
      </c>
      <c r="CL827" s="50" t="n">
        <f aca="false">N(N827)</f>
        <v>5</v>
      </c>
      <c r="CM827" s="50" t="n">
        <f aca="false">ROUNDUP(H827/BY827,0)</f>
        <v>1</v>
      </c>
      <c r="CN827" s="50" t="n">
        <f aca="false">ROUNDUP(CI827/BY827,0)</f>
        <v>0</v>
      </c>
      <c r="CO827" s="53" t="n">
        <f aca="false">IF(BZ827=1,0,IFERROR(VLOOKUP(BX827,'Gebinde-Kategorie'!$A$5:$N$45,5,0)+0,0))</f>
        <v>8</v>
      </c>
      <c r="CP827" s="53" t="n">
        <f aca="false">IFERROR(IF(OR(CE827=1,CE827=2,CE827=3),N(INDEX(Parameter!$I$5:$I$7,CE827)),0),0)</f>
        <v>0</v>
      </c>
      <c r="CQ827" s="52" t="n">
        <f aca="false">IF(AND(Parameter!$B$21="Ja",ISNUMBER(W827),N(X827)&gt;0),IFERROR(N(INDEX(Parameter!$L$5:$L$7,W827))*INDEX(Parameter!$E$5:$E$7,W827)*X827/SUMIFS($X$7:$X$1843,$W$7:$W$1843,W827),0),0)</f>
        <v>0</v>
      </c>
    </row>
    <row r="828" customFormat="false" ht="15" hidden="false" customHeight="false" outlineLevel="0" collapsed="false">
      <c r="A828" s="48" t="s">
        <v>1604</v>
      </c>
      <c r="B828" s="48" t="s">
        <v>477</v>
      </c>
      <c r="C828" s="48" t="s">
        <v>173</v>
      </c>
      <c r="D828" s="48" t="s">
        <v>193</v>
      </c>
      <c r="E828" s="48" t="s">
        <v>194</v>
      </c>
      <c r="F828" s="48" t="s">
        <v>227</v>
      </c>
      <c r="G828" s="49" t="n">
        <v>0.14</v>
      </c>
      <c r="H828" s="50" t="n">
        <f aca="false">MAX(0,IF(AND(Parameter!$B$21="Ja",ISNUMBER(Y828)),Y828,IF(Parameter!$B$20="Jahresanfang 2025 + Export",BR828+BQ828,BQ828)))</f>
        <v>118</v>
      </c>
      <c r="I828" s="50" t="n">
        <f aca="false">H828*G828</f>
        <v>16.52</v>
      </c>
      <c r="J828" s="50" t="n">
        <f aca="false">BT828*Parameter!$B$18</f>
        <v>177</v>
      </c>
      <c r="K828" s="51" t="n">
        <v>224.5</v>
      </c>
      <c r="L828" s="52" t="n">
        <v>0.788418708240535</v>
      </c>
      <c r="M828" s="50" t="n">
        <v>6</v>
      </c>
      <c r="N828" s="50" t="n">
        <v>175</v>
      </c>
      <c r="O828" s="53" t="n">
        <v>14</v>
      </c>
      <c r="P828" s="48" t="s">
        <v>435</v>
      </c>
      <c r="Q828" s="50" t="n">
        <v>360</v>
      </c>
      <c r="R828" s="53" t="n">
        <f aca="false">IF(BZ828=1,0,IFERROR(VLOOKUP(BX828,'Gebinde-Kategorie'!$A$5:$N$45,13,0)+0,0))</f>
        <v>140</v>
      </c>
      <c r="S828" s="54"/>
      <c r="T828" s="55"/>
      <c r="U828" s="55"/>
      <c r="V828" s="55"/>
      <c r="W828" s="48"/>
      <c r="X828" s="50"/>
      <c r="Y828" s="50"/>
      <c r="Z828" s="48" t="n">
        <f aca="false">IF(A828="","",IF(AND(Parameter!$B$21="Ja",ISNUMBER(W828)),W828,IF(CC828="2+3",IF(ISNUMBER(SEARCH("grosser Artikel",BU828)),2,IFERROR(VLOOKUP(BX828,Parameter!$F$35:$G$64,2,0),2)),IF(OR(CC828="Nein",CC828=""),"-",CC828))))</f>
        <v>3</v>
      </c>
      <c r="AA828" s="55"/>
      <c r="AB828" s="56"/>
      <c r="AC828" s="50" t="n">
        <f aca="false">AV828</f>
        <v>181</v>
      </c>
      <c r="AD828" s="50" t="n">
        <f aca="false">MAX(AV828,H828)</f>
        <v>181</v>
      </c>
      <c r="AE828" s="57"/>
      <c r="AF828" s="50" t="n">
        <f aca="false">IF(LEFT(Cockpit!$C$5,1)="A",H828,IF(Parameter!$E$30="MAX-Bestand",IF(CH828=1,CI828,IF(LEFT(Cockpit!$C$5,1)="B",AL828,MAX(AL828,H828))),ROUNDUP(AJ828,0)))</f>
        <v>118</v>
      </c>
      <c r="AG828" s="50" t="n">
        <f aca="false">IF(BZ828=1,0,ROUNDUP(AF828/BY828,0))</f>
        <v>1</v>
      </c>
      <c r="AH828" s="52" t="n">
        <f aca="false">IF(CQ828&gt;0,CQ828*MAX(1,AF828/X828),IF(BZ828=1,IF(AF828&lt;=0,0,CD828*MAX(1,IF(H828&gt;0,AF828/H828,1))),IF(R828&gt;0,AG828/R828,0))/MAX(0.1,N(Parameter!$M$21)))</f>
        <v>0.00714285714285714</v>
      </c>
      <c r="AI828" s="50" t="n">
        <f aca="false">AH828*CB828</f>
        <v>1.10714285714286</v>
      </c>
      <c r="AJ828" s="51" t="n">
        <f aca="false">IF(LEFT(Cockpit!$C$5,1)="A",H828,IF(CH828=1,(CK828+CI828)/2,IF(LEFT(Cockpit!$C$5,1)="B",(CK828+AL828)/2,MAX((CK828+AL828)/2,H828))))</f>
        <v>118</v>
      </c>
      <c r="AK828" s="50" t="n">
        <f aca="false">AJ828*G828</f>
        <v>16.52</v>
      </c>
      <c r="AL828" s="50" t="n">
        <f aca="false">ROUNDUP(CK828+MAX(CL828,2*(J828/IF(CG828&gt;0,CG828,MAX(0.1,N(Cockpit!$C$6)))-CK828)),0)</f>
        <v>181</v>
      </c>
      <c r="AM828" s="51" t="n">
        <f aca="false">IF(AI828&gt;0,J828/AI828,-1)</f>
        <v>159.870967741936</v>
      </c>
      <c r="AN828" s="51" t="n">
        <f aca="false">IF(AND(OR(CF828="L1",CF828="L23",CF828="LIFT"),AI828&gt;0),SUMIFS($AI$7:$AI$1843,$CF$7:$CF$1843,CF828,$AM$7:$AM$1843,"&gt;"&amp;AM828)+SUMIFS($AI$7:$AI$1843,$CF$7:$CF$1843,CF828,$AM$7:$AM$1843,AM828,$BW$7:$BW$1843,"&lt;="&amp;BW828),"")</f>
        <v>421.415293040293</v>
      </c>
      <c r="AO828" s="58" t="n">
        <f aca="false">IF(AN828="",0,MAX(0,MIN(1,(IF(CF828="L1",Parameter!$H$5,IF(CF828="L23",Parameter!$H$6+Parameter!$H$7,Parameter!$H$5+Parameter!$H$6+Parameter!$H$7))-(AN828-AI828))/AI828)))</f>
        <v>1</v>
      </c>
      <c r="AP828" s="50" t="n">
        <f aca="false">IF(LEFT(Cockpit!$I$5,1)="A",H828,IF(Parameter!$E$30="MAX-Bestand",IF(CH828=1,CI828,IF(LEFT(Cockpit!$I$5,1)="B",AV828,MAX(AV828,H828))),ROUNDUP(AT828,0)))</f>
        <v>118</v>
      </c>
      <c r="AQ828" s="50" t="n">
        <f aca="false">IF(BZ828=1,0,ROUNDUP(AP828/BY828,0))</f>
        <v>1</v>
      </c>
      <c r="AR828" s="52" t="n">
        <f aca="false">IF(CQ828&gt;0,CQ828*MAX(1,AP828/X828),IF(BZ828=1,IF(AP828&lt;=0,0,CD828*MAX(1,IF(H828&gt;0,AP828/H828,1))),IF(R828&gt;0,AQ828/R828,0))/MAX(0.1,N(Parameter!$M$21)))</f>
        <v>0.00714285714285714</v>
      </c>
      <c r="AS828" s="50" t="n">
        <f aca="false">AR828*CB828</f>
        <v>1.10714285714286</v>
      </c>
      <c r="AT828" s="51" t="n">
        <f aca="false">IF(LEFT(Cockpit!$I$5,1)="A",H828,IF(CH828=1,(CK828+CI828)/2,IF(LEFT(Cockpit!$I$5,1)="B",(CK828+AV828)/2,MAX((CK828+AV828)/2,H828))))</f>
        <v>118</v>
      </c>
      <c r="AU828" s="50" t="n">
        <f aca="false">AT828*G828</f>
        <v>16.52</v>
      </c>
      <c r="AV828" s="50" t="n">
        <f aca="false">ROUNDUP(CK828+MAX(CL828,2*(J828/IF(CG828&gt;0,CG828,MAX(0.1,N(Cockpit!$I$6)))-CK828)),0)</f>
        <v>181</v>
      </c>
      <c r="AW828" s="51" t="n">
        <f aca="false">IF(AS828&gt;0,J828/AS828,-1)</f>
        <v>159.870967741936</v>
      </c>
      <c r="AX828" s="51" t="n">
        <f aca="false">IF(AND(OR(CF828="L1",CF828="L23",CF828="LIFT"),AS828&gt;0),SUMIFS($AS$7:$AS$1843,$CF$7:$CF$1843,CF828,$AW$7:$AW$1843,"&gt;"&amp;AW828)+SUMIFS($AS$7:$AS$1843,$CF$7:$CF$1843,CF828,$AW$7:$AW$1843,AW828,$BW$7:$BW$1843,"&lt;="&amp;BW828),"")</f>
        <v>539.052197802198</v>
      </c>
      <c r="AY828" s="58" t="n">
        <f aca="false">IF(AX828="",0,MAX(0,MIN(1,(IF(CF828="L1",Parameter!$H$5,IF(CF828="L23",Parameter!$H$6+Parameter!$H$7,Parameter!$H$5+Parameter!$H$6+Parameter!$H$7))-(AX828-AS828))/AS828)))</f>
        <v>1</v>
      </c>
      <c r="AZ828" s="50" t="n">
        <f aca="false">IF(LEFT(Cockpit!$O$5,1)="A",H828,IF(Parameter!$E$30="MAX-Bestand",IF(CH828=1,CI828,IF(LEFT(Cockpit!$O$5,1)="B",BF828,MAX(BF828,H828))),ROUNDUP(BD828,0)))</f>
        <v>94</v>
      </c>
      <c r="BA828" s="50" t="n">
        <f aca="false">IF(BZ828=1,0,ROUNDUP(AZ828/BY828,0))</f>
        <v>1</v>
      </c>
      <c r="BB828" s="52" t="n">
        <f aca="false">IF(CQ828&gt;0,CQ828*MAX(1,AZ828/X828),IF(BZ828=1,IF(AZ828&lt;=0,0,CD828*MAX(1,IF(H828&gt;0,AZ828/H828,1))),IF(R828&gt;0,BA828/R828,0))/MAX(0.1,N(Parameter!$M$21)))</f>
        <v>0.00714285714285714</v>
      </c>
      <c r="BC828" s="50" t="n">
        <f aca="false">BB828*CB828</f>
        <v>1.10714285714286</v>
      </c>
      <c r="BD828" s="51" t="n">
        <f aca="false">IF(LEFT(Cockpit!$O$5,1)="A",H828,IF(CH828=1,(CK828+CI828)/2,IF(LEFT(Cockpit!$O$5,1)="B",(CK828+BF828)/2,MAX((CK828+BF828)/2,H828))))</f>
        <v>93.5</v>
      </c>
      <c r="BE828" s="50" t="n">
        <f aca="false">BD828*G828</f>
        <v>13.09</v>
      </c>
      <c r="BF828" s="50" t="n">
        <f aca="false">ROUNDUP(CK828+MAX(CL828,2*(J828/IF(CG828&gt;0,CG828,MAX(0.1,N(Cockpit!$O$6)))-CK828)),0)</f>
        <v>181</v>
      </c>
      <c r="BG828" s="51" t="n">
        <f aca="false">IF(BC828&gt;0,J828/BC828,-1)</f>
        <v>159.870967741936</v>
      </c>
      <c r="BH828" s="51" t="n">
        <f aca="false">IF(AND(OR(CF828="L1",CF828="L23",CF828="LIFT"),BC828&gt;0),SUMIFS($BC$7:$BC$1843,$CF$7:$CF$1843,CF828,$BG$7:$BG$1843,"&gt;"&amp;BG828)+SUMIFS($BC$7:$BC$1843,$CF$7:$CF$1843,CF828,$BG$7:$BG$1843,BG828,$BW$7:$BW$1843,"&lt;="&amp;BW828),"")</f>
        <v>535.446428571429</v>
      </c>
      <c r="BI828" s="58" t="n">
        <f aca="false">IF(BH828="",0,MAX(0,MIN(1,(IF(CF828="L1",Parameter!$H$5,IF(CF828="L23",Parameter!$H$6+Parameter!$H$7,Parameter!$H$5+Parameter!$H$6+Parameter!$H$7))-(BH828-BC828))/BC828)))</f>
        <v>1</v>
      </c>
      <c r="BJ828" s="48" t="str">
        <f aca="false">IF(AI828&lt;=0,"",IF(CF828="Aussen","Aussenlager",IF(CF828="-","Nicht im Lift",IF(AO828&gt;=1,"Lift",IF(AO828&lt;=0,"Aussenlager","teilweise")))))</f>
        <v>Lift</v>
      </c>
      <c r="BK828" s="48" t="str">
        <f aca="false">IF(AS828&lt;=0,"",IF(CF828="Aussen","Aussenlager",IF(CF828="-","Nicht im Lift",IF(AY828&gt;=1,"Lift",IF(AY828&lt;=0,"Aussenlager","teilweise")))))</f>
        <v>Lift</v>
      </c>
      <c r="BL828" s="48" t="str">
        <f aca="false">IF(BC828&lt;=0,"",IF(CF828="Aussen","Aussenlager",IF(CF828="-","Nicht im Lift",IF(BI828&gt;=1,"Lift",IF(BI828&lt;=0,"Aussenlager","teilweise")))))</f>
        <v>Lift</v>
      </c>
      <c r="BM828" s="48" t="str">
        <f aca="false">IF(A828="","",IF(BV828=1,"Neu; ","")&amp;IF(AND(BV828=0,BQ828&lt;0),"negativer Bestand (Export "&amp;BQ828&amp;"); ","")&amp;IF(J828&lt;=0,"Kein Verbrauch; ","")&amp;IF(CQ828&gt;0,"Lift "&amp;W828&amp;" lt. Liftbericht (Fach "&amp;X828&amp;" Stk); ",IF(CA828=1,"Gebinde geschätzt ("&amp;T828&amp;"); ",IF(BZ828=1,"Lose – Tablare geschätzt; ","")))&amp;IF(H828&gt;AV828,"Überbestand "&amp;ROUND(H828-AV828,0)&amp;" Stk / CHF "&amp;ROUND((H828-AV828)*G828,0)&amp;"; ","")&amp;IF(AND(CH828=1,CI828&lt;CJ828),"MAX &lt; MB+LG; ","")&amp;IF(AND(CP828&gt;0,CO828*10&gt;CP828),"zu hoch für Tablar; ","")&amp;IF(AND(BV828=0,OR(CH828=1,AA828&lt;&gt;"",U828&lt;&gt;"",V828&lt;&gt;"",AB828&lt;&gt;"")),"manuell übersteuert; ","")&amp;IF(AND(BZ828=0,R828=0),"Gebinde unbekannt / Stellmass fehlt; ","")&amp;IF(AND(BZ828=0,N(V828)&lt;=0,N(Q828)&lt;=0),"Menge pro Gebinde fehlt (Ist = 1 Gebinde); ","")&amp;BU828)</f>
        <v>negativer Bestand (Export -76); </v>
      </c>
      <c r="BN828" s="48"/>
      <c r="BO828" s="48"/>
      <c r="BP828" s="55"/>
      <c r="BQ828" s="50" t="n">
        <v>-76</v>
      </c>
      <c r="BR828" s="50" t="n">
        <v>194</v>
      </c>
      <c r="BS828" s="49" t="n">
        <v>-10.64</v>
      </c>
      <c r="BT828" s="50" t="n">
        <v>177</v>
      </c>
      <c r="BU828" s="48"/>
      <c r="BV828" s="53" t="n">
        <v>0</v>
      </c>
      <c r="BW828" s="53" t="n">
        <v>828</v>
      </c>
      <c r="BX828" s="48" t="str">
        <f aca="false">IF(U828&lt;&gt;"",UPPER(TRIM(U828)),IF(CA828=1,UPPER(VLOOKUP(T828,Parameter!$I$27:$K$29,2,0)),IF(P828="","LOSE",P828)))</f>
        <v>S22</v>
      </c>
      <c r="BY828" s="50" t="n">
        <f aca="false">IF(BX828="LOSE",1,IF(N(V828)&gt;0,V828,IF(CA828=1,MAX(1,N(VLOOKUP(T828,Parameter!$I$27:$K$29,3,0)),H828,N(N828)),IF(N(Q828)&gt;0,Q828,MAX(1,H828)))))</f>
        <v>360</v>
      </c>
      <c r="BZ828" s="53" t="n">
        <f aca="false">IF(BX828="LOSE",1,0)</f>
        <v>0</v>
      </c>
      <c r="CA828" s="53" t="n">
        <f aca="false">IF(AND(U828="",OR(P828="",P828="LOSE"),T828&lt;&gt;"",N(S828)&lt;=0,ISNUMBER(MATCH(T828,Parameter!$I$27:$I$29,0))),1,0)</f>
        <v>0</v>
      </c>
      <c r="CB828" s="53" t="n">
        <f aca="false">IF(CQ828&gt;0,INDEX(Parameter!$H$5:$H$7,W828)/INDEX(Parameter!$E$5:$E$7,W828),IF(AND(BZ828=0,N(IFERROR(VLOOKUP(BX828,'Gebinde-Kategorie'!$A$5:$N$45,14,0),0))&gt;0),VLOOKUP(BX828,'Gebinde-Kategorie'!$A$5:$N$45,14,0)*10+Parameter!$M$23,Parameter!$M$24))</f>
        <v>155</v>
      </c>
      <c r="CC828" s="48" t="str">
        <f aca="false">IF(AND(Parameter!$B$19="Ja",E828&lt;&gt;"",ISNUMBER(MATCH(E828,Parameter!$I$35:$I$52,0))),VLOOKUP(E828,Parameter!$I$35:$J$52,2,0),IFERROR(VLOOKUP(D828,Parameter!$A$35:$C$64,2,0),"Nein"))</f>
        <v>2+3</v>
      </c>
      <c r="CD828" s="52" t="n">
        <f aca="false">IF(BZ828=0,0,IF(N(S828)&gt;0,S828,IFERROR(VLOOKUP(D828,Parameter!$A$35:$C$64,3,0)+0,0)))</f>
        <v>0</v>
      </c>
      <c r="CE828" s="48" t="n">
        <f aca="false">IF(AA828&lt;&gt;"",AA828,Z828)</f>
        <v>3</v>
      </c>
      <c r="CF828" s="48" t="str">
        <f aca="false">IF(OR(CE828=1,CE828=2,CE828=3),IF(Parameter!$E$27="Ja","LIFT",IF(CE828=1,"L1","L23")),IF(CE828="Aussen","Aussen","-"))</f>
        <v>LIFT</v>
      </c>
      <c r="CG828" s="59" t="n">
        <f aca="false">IF(N(AB828)&gt;0,AB828,0)</f>
        <v>0</v>
      </c>
      <c r="CH828" s="53" t="n">
        <f aca="false">IF(ISNUMBER(AE828),1,0)</f>
        <v>0</v>
      </c>
      <c r="CI828" s="50" t="n">
        <f aca="false">N(AE828)</f>
        <v>0</v>
      </c>
      <c r="CJ828" s="50" t="n">
        <f aca="false">N(M828)+N(N828)</f>
        <v>181</v>
      </c>
      <c r="CK828" s="50" t="n">
        <f aca="false">N(M828)</f>
        <v>6</v>
      </c>
      <c r="CL828" s="50" t="n">
        <f aca="false">N(N828)</f>
        <v>175</v>
      </c>
      <c r="CM828" s="50" t="n">
        <f aca="false">ROUNDUP(H828/BY828,0)</f>
        <v>1</v>
      </c>
      <c r="CN828" s="50" t="n">
        <f aca="false">ROUNDUP(CI828/BY828,0)</f>
        <v>0</v>
      </c>
      <c r="CO828" s="53" t="n">
        <f aca="false">IF(BZ828=1,0,IFERROR(VLOOKUP(BX828,'Gebinde-Kategorie'!$A$5:$N$45,5,0)+0,0))</f>
        <v>8</v>
      </c>
      <c r="CP828" s="53" t="n">
        <f aca="false">IFERROR(IF(OR(CE828=1,CE828=2,CE828=3),N(INDEX(Parameter!$I$5:$I$7,CE828)),0),0)</f>
        <v>0</v>
      </c>
      <c r="CQ828" s="52" t="n">
        <f aca="false">IF(AND(Parameter!$B$21="Ja",ISNUMBER(W828),N(X828)&gt;0),IFERROR(N(INDEX(Parameter!$L$5:$L$7,W828))*INDEX(Parameter!$E$5:$E$7,W828)*X828/SUMIFS($X$7:$X$1843,$W$7:$W$1843,W828),0),0)</f>
        <v>0</v>
      </c>
    </row>
    <row r="829" customFormat="false" ht="15" hidden="false" customHeight="false" outlineLevel="0" collapsed="false">
      <c r="A829" s="48" t="s">
        <v>1605</v>
      </c>
      <c r="B829" s="48" t="s">
        <v>414</v>
      </c>
      <c r="C829" s="48" t="s">
        <v>173</v>
      </c>
      <c r="D829" s="48" t="s">
        <v>193</v>
      </c>
      <c r="E829" s="48" t="s">
        <v>194</v>
      </c>
      <c r="F829" s="48" t="s">
        <v>227</v>
      </c>
      <c r="G829" s="49" t="n">
        <v>0.14</v>
      </c>
      <c r="H829" s="50" t="n">
        <f aca="false">MAX(0,IF(AND(Parameter!$B$21="Ja",ISNUMBER(Y829)),Y829,IF(Parameter!$B$20="Jahresanfang 2025 + Export",BR829+BQ829,BQ829)))</f>
        <v>250</v>
      </c>
      <c r="I829" s="50" t="n">
        <f aca="false">H829*G829</f>
        <v>35</v>
      </c>
      <c r="J829" s="50" t="n">
        <f aca="false">BT829*Parameter!$B$18</f>
        <v>40</v>
      </c>
      <c r="K829" s="51" t="n">
        <v>296.5</v>
      </c>
      <c r="L829" s="52" t="n">
        <v>0.134907251264756</v>
      </c>
      <c r="M829" s="50" t="n">
        <v>1</v>
      </c>
      <c r="N829" s="50" t="n">
        <v>40</v>
      </c>
      <c r="O829" s="53" t="n">
        <v>14</v>
      </c>
      <c r="P829" s="48" t="s">
        <v>430</v>
      </c>
      <c r="Q829" s="50" t="n">
        <v>411</v>
      </c>
      <c r="R829" s="53" t="n">
        <f aca="false">IF(BZ829=1,0,IFERROR(VLOOKUP(BX829,'Gebinde-Kategorie'!$A$5:$N$45,13,0)+0,0))</f>
        <v>104</v>
      </c>
      <c r="S829" s="54"/>
      <c r="T829" s="55"/>
      <c r="U829" s="55"/>
      <c r="V829" s="55"/>
      <c r="W829" s="48"/>
      <c r="X829" s="50"/>
      <c r="Y829" s="50"/>
      <c r="Z829" s="48" t="n">
        <f aca="false">IF(A829="","",IF(AND(Parameter!$B$21="Ja",ISNUMBER(W829)),W829,IF(CC829="2+3",IF(ISNUMBER(SEARCH("grosser Artikel",BU829)),2,IFERROR(VLOOKUP(BX829,Parameter!$F$35:$G$64,2,0),2)),IF(OR(CC829="Nein",CC829=""),"-",CC829))))</f>
        <v>3</v>
      </c>
      <c r="AA829" s="55"/>
      <c r="AB829" s="56"/>
      <c r="AC829" s="50" t="n">
        <f aca="false">AV829</f>
        <v>41</v>
      </c>
      <c r="AD829" s="50" t="n">
        <f aca="false">MAX(AV829,H829)</f>
        <v>250</v>
      </c>
      <c r="AE829" s="57"/>
      <c r="AF829" s="50" t="n">
        <f aca="false">IF(LEFT(Cockpit!$C$5,1)="A",H829,IF(Parameter!$E$30="MAX-Bestand",IF(CH829=1,CI829,IF(LEFT(Cockpit!$C$5,1)="B",AL829,MAX(AL829,H829))),ROUNDUP(AJ829,0)))</f>
        <v>250</v>
      </c>
      <c r="AG829" s="50" t="n">
        <f aca="false">IF(BZ829=1,0,ROUNDUP(AF829/BY829,0))</f>
        <v>1</v>
      </c>
      <c r="AH829" s="52" t="n">
        <f aca="false">IF(CQ829&gt;0,CQ829*MAX(1,AF829/X829),IF(BZ829=1,IF(AF829&lt;=0,0,CD829*MAX(1,IF(H829&gt;0,AF829/H829,1))),IF(R829&gt;0,AG829/R829,0))/MAX(0.1,N(Parameter!$M$21)))</f>
        <v>0.00961538461538462</v>
      </c>
      <c r="AI829" s="50" t="n">
        <f aca="false">AH829*CB829</f>
        <v>1.49038461538462</v>
      </c>
      <c r="AJ829" s="51" t="n">
        <f aca="false">IF(LEFT(Cockpit!$C$5,1)="A",H829,IF(CH829=1,(CK829+CI829)/2,IF(LEFT(Cockpit!$C$5,1)="B",(CK829+AL829)/2,MAX((CK829+AL829)/2,H829))))</f>
        <v>250</v>
      </c>
      <c r="AK829" s="50" t="n">
        <f aca="false">AJ829*G829</f>
        <v>35</v>
      </c>
      <c r="AL829" s="50" t="n">
        <f aca="false">ROUNDUP(CK829+MAX(CL829,2*(J829/IF(CG829&gt;0,CG829,MAX(0.1,N(Cockpit!$C$6)))-CK829)),0)</f>
        <v>41</v>
      </c>
      <c r="AM829" s="51" t="n">
        <f aca="false">IF(AI829&gt;0,J829/AI829,-1)</f>
        <v>26.8387096774194</v>
      </c>
      <c r="AN829" s="51" t="n">
        <f aca="false">IF(AND(OR(CF829="L1",CF829="L23",CF829="LIFT"),AI829&gt;0),SUMIFS($AI$7:$AI$1843,$CF$7:$CF$1843,CF829,$AM$7:$AM$1843,"&gt;"&amp;AM829)+SUMIFS($AI$7:$AI$1843,$CF$7:$CF$1843,CF829,$AM$7:$AM$1843,AM829,$BW$7:$BW$1843,"&lt;="&amp;BW829),"")</f>
        <v>1504.52152014652</v>
      </c>
      <c r="AO829" s="58" t="n">
        <f aca="false">IF(AN829="",0,MAX(0,MIN(1,(IF(CF829="L1",Parameter!$H$5,IF(CF829="L23",Parameter!$H$6+Parameter!$H$7,Parameter!$H$5+Parameter!$H$6+Parameter!$H$7))-(AN829-AI829))/AI829)))</f>
        <v>1</v>
      </c>
      <c r="AP829" s="50" t="n">
        <f aca="false">IF(LEFT(Cockpit!$I$5,1)="A",H829,IF(Parameter!$E$30="MAX-Bestand",IF(CH829=1,CI829,IF(LEFT(Cockpit!$I$5,1)="B",AV829,MAX(AV829,H829))),ROUNDUP(AT829,0)))</f>
        <v>250</v>
      </c>
      <c r="AQ829" s="50" t="n">
        <f aca="false">IF(BZ829=1,0,ROUNDUP(AP829/BY829,0))</f>
        <v>1</v>
      </c>
      <c r="AR829" s="52" t="n">
        <f aca="false">IF(CQ829&gt;0,CQ829*MAX(1,AP829/X829),IF(BZ829=1,IF(AP829&lt;=0,0,CD829*MAX(1,IF(H829&gt;0,AP829/H829,1))),IF(R829&gt;0,AQ829/R829,0))/MAX(0.1,N(Parameter!$M$21)))</f>
        <v>0.00961538461538462</v>
      </c>
      <c r="AS829" s="50" t="n">
        <f aca="false">AR829*CB829</f>
        <v>1.49038461538462</v>
      </c>
      <c r="AT829" s="51" t="n">
        <f aca="false">IF(LEFT(Cockpit!$I$5,1)="A",H829,IF(CH829=1,(CK829+CI829)/2,IF(LEFT(Cockpit!$I$5,1)="B",(CK829+AV829)/2,MAX((CK829+AV829)/2,H829))))</f>
        <v>250</v>
      </c>
      <c r="AU829" s="50" t="n">
        <f aca="false">AT829*G829</f>
        <v>35</v>
      </c>
      <c r="AV829" s="50" t="n">
        <f aca="false">ROUNDUP(CK829+MAX(CL829,2*(J829/IF(CG829&gt;0,CG829,MAX(0.1,N(Cockpit!$I$6)))-CK829)),0)</f>
        <v>41</v>
      </c>
      <c r="AW829" s="51" t="n">
        <f aca="false">IF(AS829&gt;0,J829/AS829,-1)</f>
        <v>26.8387096774194</v>
      </c>
      <c r="AX829" s="51" t="n">
        <f aca="false">IF(AND(OR(CF829="L1",CF829="L23",CF829="LIFT"),AS829&gt;0),SUMIFS($AS$7:$AS$1843,$CF$7:$CF$1843,CF829,$AW$7:$AW$1843,"&gt;"&amp;AW829)+SUMIFS($AS$7:$AS$1843,$CF$7:$CF$1843,CF829,$AW$7:$AW$1843,AW829,$BW$7:$BW$1843,"&lt;="&amp;BW829),"")</f>
        <v>2130.36034798535</v>
      </c>
      <c r="AY829" s="58" t="n">
        <f aca="false">IF(AX829="",0,MAX(0,MIN(1,(IF(CF829="L1",Parameter!$H$5,IF(CF829="L23",Parameter!$H$6+Parameter!$H$7,Parameter!$H$5+Parameter!$H$6+Parameter!$H$7))-(AX829-AS829))/AS829)))</f>
        <v>1</v>
      </c>
      <c r="AZ829" s="50" t="n">
        <f aca="false">IF(LEFT(Cockpit!$O$5,1)="A",H829,IF(Parameter!$E$30="MAX-Bestand",IF(CH829=1,CI829,IF(LEFT(Cockpit!$O$5,1)="B",BF829,MAX(BF829,H829))),ROUNDUP(BD829,0)))</f>
        <v>21</v>
      </c>
      <c r="BA829" s="50" t="n">
        <f aca="false">IF(BZ829=1,0,ROUNDUP(AZ829/BY829,0))</f>
        <v>1</v>
      </c>
      <c r="BB829" s="52" t="n">
        <f aca="false">IF(CQ829&gt;0,CQ829*MAX(1,AZ829/X829),IF(BZ829=1,IF(AZ829&lt;=0,0,CD829*MAX(1,IF(H829&gt;0,AZ829/H829,1))),IF(R829&gt;0,BA829/R829,0))/MAX(0.1,N(Parameter!$M$21)))</f>
        <v>0.00961538461538462</v>
      </c>
      <c r="BC829" s="50" t="n">
        <f aca="false">BB829*CB829</f>
        <v>1.49038461538462</v>
      </c>
      <c r="BD829" s="51" t="n">
        <f aca="false">IF(LEFT(Cockpit!$O$5,1)="A",H829,IF(CH829=1,(CK829+CI829)/2,IF(LEFT(Cockpit!$O$5,1)="B",(CK829+BF829)/2,MAX((CK829+BF829)/2,H829))))</f>
        <v>21</v>
      </c>
      <c r="BE829" s="50" t="n">
        <f aca="false">BD829*G829</f>
        <v>2.94</v>
      </c>
      <c r="BF829" s="50" t="n">
        <f aca="false">ROUNDUP(CK829+MAX(CL829,2*(J829/IF(CG829&gt;0,CG829,MAX(0.1,N(Cockpit!$O$6)))-CK829)),0)</f>
        <v>41</v>
      </c>
      <c r="BG829" s="51" t="n">
        <f aca="false">IF(BC829&gt;0,J829/BC829,-1)</f>
        <v>26.8387096774194</v>
      </c>
      <c r="BH829" s="51" t="n">
        <f aca="false">IF(AND(OR(CF829="L1",CF829="L23",CF829="LIFT"),BC829&gt;0),SUMIFS($BC$7:$BC$1843,$CF$7:$CF$1843,CF829,$BG$7:$BG$1843,"&gt;"&amp;BG829)+SUMIFS($BC$7:$BC$1843,$CF$7:$CF$1843,CF829,$BG$7:$BG$1843,BG829,$BW$7:$BW$1843,"&lt;="&amp;BW829),"")</f>
        <v>1950.27518315018</v>
      </c>
      <c r="BI829" s="58" t="n">
        <f aca="false">IF(BH829="",0,MAX(0,MIN(1,(IF(CF829="L1",Parameter!$H$5,IF(CF829="L23",Parameter!$H$6+Parameter!$H$7,Parameter!$H$5+Parameter!$H$6+Parameter!$H$7))-(BH829-BC829))/BC829)))</f>
        <v>1</v>
      </c>
      <c r="BJ829" s="48" t="str">
        <f aca="false">IF(AI829&lt;=0,"",IF(CF829="Aussen","Aussenlager",IF(CF829="-","Nicht im Lift",IF(AO829&gt;=1,"Lift",IF(AO829&lt;=0,"Aussenlager","teilweise")))))</f>
        <v>Lift</v>
      </c>
      <c r="BK829" s="48" t="str">
        <f aca="false">IF(AS829&lt;=0,"",IF(CF829="Aussen","Aussenlager",IF(CF829="-","Nicht im Lift",IF(AY829&gt;=1,"Lift",IF(AY829&lt;=0,"Aussenlager","teilweise")))))</f>
        <v>Lift</v>
      </c>
      <c r="BL829" s="48" t="str">
        <f aca="false">IF(BC829&lt;=0,"",IF(CF829="Aussen","Aussenlager",IF(CF829="-","Nicht im Lift",IF(BI829&gt;=1,"Lift",IF(BI829&lt;=0,"Aussenlager","teilweise")))))</f>
        <v>Lift</v>
      </c>
      <c r="BM829" s="48" t="str">
        <f aca="false">IF(A829="","",IF(BV829=1,"Neu; ","")&amp;IF(AND(BV829=0,BQ829&lt;0),"negativer Bestand (Export "&amp;BQ829&amp;"); ","")&amp;IF(J829&lt;=0,"Kein Verbrauch; ","")&amp;IF(CQ829&gt;0,"Lift "&amp;W829&amp;" lt. Liftbericht (Fach "&amp;X829&amp;" Stk); ",IF(CA829=1,"Gebinde geschätzt ("&amp;T829&amp;"); ",IF(BZ829=1,"Lose – Tablare geschätzt; ","")))&amp;IF(H829&gt;AV829,"Überbestand "&amp;ROUND(H829-AV829,0)&amp;" Stk / CHF "&amp;ROUND((H829-AV829)*G829,0)&amp;"; ","")&amp;IF(AND(CH829=1,CI829&lt;CJ829),"MAX &lt; MB+LG; ","")&amp;IF(AND(CP829&gt;0,CO829*10&gt;CP829),"zu hoch für Tablar; ","")&amp;IF(AND(BV829=0,OR(CH829=1,AA829&lt;&gt;"",U829&lt;&gt;"",V829&lt;&gt;"",AB829&lt;&gt;"")),"manuell übersteuert; ","")&amp;IF(AND(BZ829=0,R829=0),"Gebinde unbekannt / Stellmass fehlt; ","")&amp;IF(AND(BZ829=0,N(V829)&lt;=0,N(Q829)&lt;=0),"Menge pro Gebinde fehlt (Ist = 1 Gebinde); ","")&amp;BU829)</f>
        <v>negativer Bestand (Export -76); Überbestand 209 Stk / CHF 29; </v>
      </c>
      <c r="BN829" s="48"/>
      <c r="BO829" s="48"/>
      <c r="BP829" s="55"/>
      <c r="BQ829" s="50" t="n">
        <v>-76</v>
      </c>
      <c r="BR829" s="50" t="n">
        <v>326</v>
      </c>
      <c r="BS829" s="49" t="n">
        <v>-10.64</v>
      </c>
      <c r="BT829" s="50" t="n">
        <v>40</v>
      </c>
      <c r="BU829" s="48"/>
      <c r="BV829" s="53" t="n">
        <v>0</v>
      </c>
      <c r="BW829" s="53" t="n">
        <v>829</v>
      </c>
      <c r="BX829" s="48" t="str">
        <f aca="false">IF(U829&lt;&gt;"",UPPER(TRIM(U829)),IF(CA829=1,UPPER(VLOOKUP(T829,Parameter!$I$27:$K$29,2,0)),IF(P829="","LOSE",P829)))</f>
        <v>S32</v>
      </c>
      <c r="BY829" s="50" t="n">
        <f aca="false">IF(BX829="LOSE",1,IF(N(V829)&gt;0,V829,IF(CA829=1,MAX(1,N(VLOOKUP(T829,Parameter!$I$27:$K$29,3,0)),H829,N(N829)),IF(N(Q829)&gt;0,Q829,MAX(1,H829)))))</f>
        <v>411</v>
      </c>
      <c r="BZ829" s="53" t="n">
        <f aca="false">IF(BX829="LOSE",1,0)</f>
        <v>0</v>
      </c>
      <c r="CA829" s="53" t="n">
        <f aca="false">IF(AND(U829="",OR(P829="",P829="LOSE"),T829&lt;&gt;"",N(S829)&lt;=0,ISNUMBER(MATCH(T829,Parameter!$I$27:$I$29,0))),1,0)</f>
        <v>0</v>
      </c>
      <c r="CB829" s="53" t="n">
        <f aca="false">IF(CQ829&gt;0,INDEX(Parameter!$H$5:$H$7,W829)/INDEX(Parameter!$E$5:$E$7,W829),IF(AND(BZ829=0,N(IFERROR(VLOOKUP(BX829,'Gebinde-Kategorie'!$A$5:$N$45,14,0),0))&gt;0),VLOOKUP(BX829,'Gebinde-Kategorie'!$A$5:$N$45,14,0)*10+Parameter!$M$23,Parameter!$M$24))</f>
        <v>155</v>
      </c>
      <c r="CC829" s="48" t="str">
        <f aca="false">IF(AND(Parameter!$B$19="Ja",E829&lt;&gt;"",ISNUMBER(MATCH(E829,Parameter!$I$35:$I$52,0))),VLOOKUP(E829,Parameter!$I$35:$J$52,2,0),IFERROR(VLOOKUP(D829,Parameter!$A$35:$C$64,2,0),"Nein"))</f>
        <v>2+3</v>
      </c>
      <c r="CD829" s="52" t="n">
        <f aca="false">IF(BZ829=0,0,IF(N(S829)&gt;0,S829,IFERROR(VLOOKUP(D829,Parameter!$A$35:$C$64,3,0)+0,0)))</f>
        <v>0</v>
      </c>
      <c r="CE829" s="48" t="n">
        <f aca="false">IF(AA829&lt;&gt;"",AA829,Z829)</f>
        <v>3</v>
      </c>
      <c r="CF829" s="48" t="str">
        <f aca="false">IF(OR(CE829=1,CE829=2,CE829=3),IF(Parameter!$E$27="Ja","LIFT",IF(CE829=1,"L1","L23")),IF(CE829="Aussen","Aussen","-"))</f>
        <v>LIFT</v>
      </c>
      <c r="CG829" s="59" t="n">
        <f aca="false">IF(N(AB829)&gt;0,AB829,0)</f>
        <v>0</v>
      </c>
      <c r="CH829" s="53" t="n">
        <f aca="false">IF(ISNUMBER(AE829),1,0)</f>
        <v>0</v>
      </c>
      <c r="CI829" s="50" t="n">
        <f aca="false">N(AE829)</f>
        <v>0</v>
      </c>
      <c r="CJ829" s="50" t="n">
        <f aca="false">N(M829)+N(N829)</f>
        <v>41</v>
      </c>
      <c r="CK829" s="50" t="n">
        <f aca="false">N(M829)</f>
        <v>1</v>
      </c>
      <c r="CL829" s="50" t="n">
        <f aca="false">N(N829)</f>
        <v>40</v>
      </c>
      <c r="CM829" s="50" t="n">
        <f aca="false">ROUNDUP(H829/BY829,0)</f>
        <v>1</v>
      </c>
      <c r="CN829" s="50" t="n">
        <f aca="false">ROUNDUP(CI829/BY829,0)</f>
        <v>0</v>
      </c>
      <c r="CO829" s="53" t="n">
        <f aca="false">IF(BZ829=1,0,IFERROR(VLOOKUP(BX829,'Gebinde-Kategorie'!$A$5:$N$45,5,0)+0,0))</f>
        <v>8</v>
      </c>
      <c r="CP829" s="53" t="n">
        <f aca="false">IFERROR(IF(OR(CE829=1,CE829=2,CE829=3),N(INDEX(Parameter!$I$5:$I$7,CE829)),0),0)</f>
        <v>0</v>
      </c>
      <c r="CQ829" s="52" t="n">
        <f aca="false">IF(AND(Parameter!$B$21="Ja",ISNUMBER(W829),N(X829)&gt;0),IFERROR(N(INDEX(Parameter!$L$5:$L$7,W829))*INDEX(Parameter!$E$5:$E$7,W829)*X829/SUMIFS($X$7:$X$1843,$W$7:$W$1843,W829),0),0)</f>
        <v>0</v>
      </c>
    </row>
    <row r="830" customFormat="false" ht="15" hidden="false" customHeight="false" outlineLevel="0" collapsed="false">
      <c r="A830" s="48" t="s">
        <v>1606</v>
      </c>
      <c r="B830" s="48" t="s">
        <v>1607</v>
      </c>
      <c r="C830" s="48" t="s">
        <v>173</v>
      </c>
      <c r="D830" s="48" t="s">
        <v>193</v>
      </c>
      <c r="E830" s="48" t="s">
        <v>194</v>
      </c>
      <c r="F830" s="48" t="s">
        <v>227</v>
      </c>
      <c r="G830" s="49" t="n">
        <v>0.28</v>
      </c>
      <c r="H830" s="50" t="n">
        <f aca="false">MAX(0,IF(AND(Parameter!$B$21="Ja",ISNUMBER(Y830)),Y830,IF(Parameter!$B$20="Jahresanfang 2025 + Export",BR830+BQ830,BQ830)))</f>
        <v>25</v>
      </c>
      <c r="I830" s="50" t="n">
        <f aca="false">H830*G830</f>
        <v>7</v>
      </c>
      <c r="J830" s="50" t="n">
        <f aca="false">BT830*Parameter!$B$18</f>
        <v>128</v>
      </c>
      <c r="K830" s="51" t="n">
        <v>44.5</v>
      </c>
      <c r="L830" s="52" t="n">
        <v>2.87640449438202</v>
      </c>
      <c r="M830" s="50" t="n">
        <v>7</v>
      </c>
      <c r="N830" s="50" t="n">
        <v>200</v>
      </c>
      <c r="O830" s="53" t="n">
        <v>2</v>
      </c>
      <c r="P830" s="48" t="s">
        <v>430</v>
      </c>
      <c r="Q830" s="50" t="n">
        <v>135</v>
      </c>
      <c r="R830" s="53" t="n">
        <f aca="false">IF(BZ830=1,0,IFERROR(VLOOKUP(BX830,'Gebinde-Kategorie'!$A$5:$N$45,13,0)+0,0))</f>
        <v>104</v>
      </c>
      <c r="S830" s="54"/>
      <c r="T830" s="55"/>
      <c r="U830" s="55"/>
      <c r="V830" s="55"/>
      <c r="W830" s="48"/>
      <c r="X830" s="50"/>
      <c r="Y830" s="50"/>
      <c r="Z830" s="48" t="n">
        <f aca="false">IF(A830="","",IF(AND(Parameter!$B$21="Ja",ISNUMBER(W830)),W830,IF(CC830="2+3",IF(ISNUMBER(SEARCH("grosser Artikel",BU830)),2,IFERROR(VLOOKUP(BX830,Parameter!$F$35:$G$64,2,0),2)),IF(OR(CC830="Nein",CC830=""),"-",CC830))))</f>
        <v>3</v>
      </c>
      <c r="AA830" s="55"/>
      <c r="AB830" s="56"/>
      <c r="AC830" s="50" t="n">
        <f aca="false">AV830</f>
        <v>207</v>
      </c>
      <c r="AD830" s="50" t="n">
        <f aca="false">MAX(AV830,H830)</f>
        <v>207</v>
      </c>
      <c r="AE830" s="57"/>
      <c r="AF830" s="50" t="n">
        <f aca="false">IF(LEFT(Cockpit!$C$5,1)="A",H830,IF(Parameter!$E$30="MAX-Bestand",IF(CH830=1,CI830,IF(LEFT(Cockpit!$C$5,1)="B",AL830,MAX(AL830,H830))),ROUNDUP(AJ830,0)))</f>
        <v>25</v>
      </c>
      <c r="AG830" s="50" t="n">
        <f aca="false">IF(BZ830=1,0,ROUNDUP(AF830/BY830,0))</f>
        <v>1</v>
      </c>
      <c r="AH830" s="52" t="n">
        <f aca="false">IF(CQ830&gt;0,CQ830*MAX(1,AF830/X830),IF(BZ830=1,IF(AF830&lt;=0,0,CD830*MAX(1,IF(H830&gt;0,AF830/H830,1))),IF(R830&gt;0,AG830/R830,0))/MAX(0.1,N(Parameter!$M$21)))</f>
        <v>0.00961538461538462</v>
      </c>
      <c r="AI830" s="50" t="n">
        <f aca="false">AH830*CB830</f>
        <v>1.49038461538462</v>
      </c>
      <c r="AJ830" s="51" t="n">
        <f aca="false">IF(LEFT(Cockpit!$C$5,1)="A",H830,IF(CH830=1,(CK830+CI830)/2,IF(LEFT(Cockpit!$C$5,1)="B",(CK830+AL830)/2,MAX((CK830+AL830)/2,H830))))</f>
        <v>25</v>
      </c>
      <c r="AK830" s="50" t="n">
        <f aca="false">AJ830*G830</f>
        <v>7</v>
      </c>
      <c r="AL830" s="50" t="n">
        <f aca="false">ROUNDUP(CK830+MAX(CL830,2*(J830/IF(CG830&gt;0,CG830,MAX(0.1,N(Cockpit!$C$6)))-CK830)),0)</f>
        <v>207</v>
      </c>
      <c r="AM830" s="51" t="n">
        <f aca="false">IF(AI830&gt;0,J830/AI830,-1)</f>
        <v>85.8838709677419</v>
      </c>
      <c r="AN830" s="51" t="n">
        <f aca="false">IF(AND(OR(CF830="L1",CF830="L23",CF830="LIFT"),AI830&gt;0),SUMIFS($AI$7:$AI$1843,$CF$7:$CF$1843,CF830,$AM$7:$AM$1843,"&gt;"&amp;AM830)+SUMIFS($AI$7:$AI$1843,$CF$7:$CF$1843,CF830,$AM$7:$AM$1843,AM830,$BW$7:$BW$1843,"&lt;="&amp;BW830),"")</f>
        <v>841.348901098901</v>
      </c>
      <c r="AO830" s="58" t="n">
        <f aca="false">IF(AN830="",0,MAX(0,MIN(1,(IF(CF830="L1",Parameter!$H$5,IF(CF830="L23",Parameter!$H$6+Parameter!$H$7,Parameter!$H$5+Parameter!$H$6+Parameter!$H$7))-(AN830-AI830))/AI830)))</f>
        <v>1</v>
      </c>
      <c r="AP830" s="50" t="n">
        <f aca="false">IF(LEFT(Cockpit!$I$5,1)="A",H830,IF(Parameter!$E$30="MAX-Bestand",IF(CH830=1,CI830,IF(LEFT(Cockpit!$I$5,1)="B",AV830,MAX(AV830,H830))),ROUNDUP(AT830,0)))</f>
        <v>107</v>
      </c>
      <c r="AQ830" s="50" t="n">
        <f aca="false">IF(BZ830=1,0,ROUNDUP(AP830/BY830,0))</f>
        <v>1</v>
      </c>
      <c r="AR830" s="52" t="n">
        <f aca="false">IF(CQ830&gt;0,CQ830*MAX(1,AP830/X830),IF(BZ830=1,IF(AP830&lt;=0,0,CD830*MAX(1,IF(H830&gt;0,AP830/H830,1))),IF(R830&gt;0,AQ830/R830,0))/MAX(0.1,N(Parameter!$M$21)))</f>
        <v>0.00961538461538462</v>
      </c>
      <c r="AS830" s="50" t="n">
        <f aca="false">AR830*CB830</f>
        <v>1.49038461538462</v>
      </c>
      <c r="AT830" s="51" t="n">
        <f aca="false">IF(LEFT(Cockpit!$I$5,1)="A",H830,IF(CH830=1,(CK830+CI830)/2,IF(LEFT(Cockpit!$I$5,1)="B",(CK830+AV830)/2,MAX((CK830+AV830)/2,H830))))</f>
        <v>107</v>
      </c>
      <c r="AU830" s="50" t="n">
        <f aca="false">AT830*G830</f>
        <v>29.96</v>
      </c>
      <c r="AV830" s="50" t="n">
        <f aca="false">ROUNDUP(CK830+MAX(CL830,2*(J830/IF(CG830&gt;0,CG830,MAX(0.1,N(Cockpit!$I$6)))-CK830)),0)</f>
        <v>207</v>
      </c>
      <c r="AW830" s="51" t="n">
        <f aca="false">IF(AS830&gt;0,J830/AS830,-1)</f>
        <v>85.8838709677419</v>
      </c>
      <c r="AX830" s="51" t="n">
        <f aca="false">IF(AND(OR(CF830="L1",CF830="L23",CF830="LIFT"),AS830&gt;0),SUMIFS($AS$7:$AS$1843,$CF$7:$CF$1843,CF830,$AW$7:$AW$1843,"&gt;"&amp;AW830)+SUMIFS($AS$7:$AS$1843,$CF$7:$CF$1843,CF830,$AW$7:$AW$1843,AW830,$BW$7:$BW$1843,"&lt;="&amp;BW830),"")</f>
        <v>1054.26098901099</v>
      </c>
      <c r="AY830" s="58" t="n">
        <f aca="false">IF(AX830="",0,MAX(0,MIN(1,(IF(CF830="L1",Parameter!$H$5,IF(CF830="L23",Parameter!$H$6+Parameter!$H$7,Parameter!$H$5+Parameter!$H$6+Parameter!$H$7))-(AX830-AS830))/AS830)))</f>
        <v>1</v>
      </c>
      <c r="AZ830" s="50" t="n">
        <f aca="false">IF(LEFT(Cockpit!$O$5,1)="A",H830,IF(Parameter!$E$30="MAX-Bestand",IF(CH830=1,CI830,IF(LEFT(Cockpit!$O$5,1)="B",BF830,MAX(BF830,H830))),ROUNDUP(BD830,0)))</f>
        <v>107</v>
      </c>
      <c r="BA830" s="50" t="n">
        <f aca="false">IF(BZ830=1,0,ROUNDUP(AZ830/BY830,0))</f>
        <v>1</v>
      </c>
      <c r="BB830" s="52" t="n">
        <f aca="false">IF(CQ830&gt;0,CQ830*MAX(1,AZ830/X830),IF(BZ830=1,IF(AZ830&lt;=0,0,CD830*MAX(1,IF(H830&gt;0,AZ830/H830,1))),IF(R830&gt;0,BA830/R830,0))/MAX(0.1,N(Parameter!$M$21)))</f>
        <v>0.00961538461538462</v>
      </c>
      <c r="BC830" s="50" t="n">
        <f aca="false">BB830*CB830</f>
        <v>1.49038461538462</v>
      </c>
      <c r="BD830" s="51" t="n">
        <f aca="false">IF(LEFT(Cockpit!$O$5,1)="A",H830,IF(CH830=1,(CK830+CI830)/2,IF(LEFT(Cockpit!$O$5,1)="B",(CK830+BF830)/2,MAX((CK830+BF830)/2,H830))))</f>
        <v>107</v>
      </c>
      <c r="BE830" s="50" t="n">
        <f aca="false">BD830*G830</f>
        <v>29.96</v>
      </c>
      <c r="BF830" s="50" t="n">
        <f aca="false">ROUNDUP(CK830+MAX(CL830,2*(J830/IF(CG830&gt;0,CG830,MAX(0.1,N(Cockpit!$O$6)))-CK830)),0)</f>
        <v>207</v>
      </c>
      <c r="BG830" s="51" t="n">
        <f aca="false">IF(BC830&gt;0,J830/BC830,-1)</f>
        <v>85.8838709677419</v>
      </c>
      <c r="BH830" s="51" t="n">
        <f aca="false">IF(AND(OR(CF830="L1",CF830="L23",CF830="LIFT"),BC830&gt;0),SUMIFS($BC$7:$BC$1843,$CF$7:$CF$1843,CF830,$BG$7:$BG$1843,"&gt;"&amp;BG830)+SUMIFS($BC$7:$BC$1843,$CF$7:$CF$1843,CF830,$BG$7:$BG$1843,BG830,$BW$7:$BW$1843,"&lt;="&amp;BW830),"")</f>
        <v>988.410256410257</v>
      </c>
      <c r="BI830" s="58" t="n">
        <f aca="false">IF(BH830="",0,MAX(0,MIN(1,(IF(CF830="L1",Parameter!$H$5,IF(CF830="L23",Parameter!$H$6+Parameter!$H$7,Parameter!$H$5+Parameter!$H$6+Parameter!$H$7))-(BH830-BC830))/BC830)))</f>
        <v>1</v>
      </c>
      <c r="BJ830" s="48" t="str">
        <f aca="false">IF(AI830&lt;=0,"",IF(CF830="Aussen","Aussenlager",IF(CF830="-","Nicht im Lift",IF(AO830&gt;=1,"Lift",IF(AO830&lt;=0,"Aussenlager","teilweise")))))</f>
        <v>Lift</v>
      </c>
      <c r="BK830" s="48" t="str">
        <f aca="false">IF(AS830&lt;=0,"",IF(CF830="Aussen","Aussenlager",IF(CF830="-","Nicht im Lift",IF(AY830&gt;=1,"Lift",IF(AY830&lt;=0,"Aussenlager","teilweise")))))</f>
        <v>Lift</v>
      </c>
      <c r="BL830" s="48" t="str">
        <f aca="false">IF(BC830&lt;=0,"",IF(CF830="Aussen","Aussenlager",IF(CF830="-","Nicht im Lift",IF(BI830&gt;=1,"Lift",IF(BI830&lt;=0,"Aussenlager","teilweise")))))</f>
        <v>Lift</v>
      </c>
      <c r="BM830" s="48" t="str">
        <f aca="false">IF(A830="","",IF(BV830=1,"Neu; ","")&amp;IF(AND(BV830=0,BQ830&lt;0),"negativer Bestand (Export "&amp;BQ830&amp;"); ","")&amp;IF(J830&lt;=0,"Kein Verbrauch; ","")&amp;IF(CQ830&gt;0,"Lift "&amp;W830&amp;" lt. Liftbericht (Fach "&amp;X830&amp;" Stk); ",IF(CA830=1,"Gebinde geschätzt ("&amp;T830&amp;"); ",IF(BZ830=1,"Lose – Tablare geschätzt; ","")))&amp;IF(H830&gt;AV830,"Überbestand "&amp;ROUND(H830-AV830,0)&amp;" Stk / CHF "&amp;ROUND((H830-AV830)*G830,0)&amp;"; ","")&amp;IF(AND(CH830=1,CI830&lt;CJ830),"MAX &lt; MB+LG; ","")&amp;IF(AND(CP830&gt;0,CO830*10&gt;CP830),"zu hoch für Tablar; ","")&amp;IF(AND(BV830=0,OR(CH830=1,AA830&lt;&gt;"",U830&lt;&gt;"",V830&lt;&gt;"",AB830&lt;&gt;"")),"manuell übersteuert; ","")&amp;IF(AND(BZ830=0,R830=0),"Gebinde unbekannt / Stellmass fehlt; ","")&amp;IF(AND(BZ830=0,N(V830)&lt;=0,N(Q830)&lt;=0),"Menge pro Gebinde fehlt (Ist = 1 Gebinde); ","")&amp;BU830)</f>
        <v>negativer Bestand (Export -39); </v>
      </c>
      <c r="BN830" s="48"/>
      <c r="BO830" s="48"/>
      <c r="BP830" s="55"/>
      <c r="BQ830" s="50" t="n">
        <v>-39</v>
      </c>
      <c r="BR830" s="50" t="n">
        <v>64</v>
      </c>
      <c r="BS830" s="49" t="n">
        <v>-10.92</v>
      </c>
      <c r="BT830" s="50" t="n">
        <v>128</v>
      </c>
      <c r="BU830" s="48"/>
      <c r="BV830" s="53" t="n">
        <v>0</v>
      </c>
      <c r="BW830" s="53" t="n">
        <v>830</v>
      </c>
      <c r="BX830" s="48" t="str">
        <f aca="false">IF(U830&lt;&gt;"",UPPER(TRIM(U830)),IF(CA830=1,UPPER(VLOOKUP(T830,Parameter!$I$27:$K$29,2,0)),IF(P830="","LOSE",P830)))</f>
        <v>S32</v>
      </c>
      <c r="BY830" s="50" t="n">
        <f aca="false">IF(BX830="LOSE",1,IF(N(V830)&gt;0,V830,IF(CA830=1,MAX(1,N(VLOOKUP(T830,Parameter!$I$27:$K$29,3,0)),H830,N(N830)),IF(N(Q830)&gt;0,Q830,MAX(1,H830)))))</f>
        <v>135</v>
      </c>
      <c r="BZ830" s="53" t="n">
        <f aca="false">IF(BX830="LOSE",1,0)</f>
        <v>0</v>
      </c>
      <c r="CA830" s="53" t="n">
        <f aca="false">IF(AND(U830="",OR(P830="",P830="LOSE"),T830&lt;&gt;"",N(S830)&lt;=0,ISNUMBER(MATCH(T830,Parameter!$I$27:$I$29,0))),1,0)</f>
        <v>0</v>
      </c>
      <c r="CB830" s="53" t="n">
        <f aca="false">IF(CQ830&gt;0,INDEX(Parameter!$H$5:$H$7,W830)/INDEX(Parameter!$E$5:$E$7,W830),IF(AND(BZ830=0,N(IFERROR(VLOOKUP(BX830,'Gebinde-Kategorie'!$A$5:$N$45,14,0),0))&gt;0),VLOOKUP(BX830,'Gebinde-Kategorie'!$A$5:$N$45,14,0)*10+Parameter!$M$23,Parameter!$M$24))</f>
        <v>155</v>
      </c>
      <c r="CC830" s="48" t="str">
        <f aca="false">IF(AND(Parameter!$B$19="Ja",E830&lt;&gt;"",ISNUMBER(MATCH(E830,Parameter!$I$35:$I$52,0))),VLOOKUP(E830,Parameter!$I$35:$J$52,2,0),IFERROR(VLOOKUP(D830,Parameter!$A$35:$C$64,2,0),"Nein"))</f>
        <v>2+3</v>
      </c>
      <c r="CD830" s="52" t="n">
        <f aca="false">IF(BZ830=0,0,IF(N(S830)&gt;0,S830,IFERROR(VLOOKUP(D830,Parameter!$A$35:$C$64,3,0)+0,0)))</f>
        <v>0</v>
      </c>
      <c r="CE830" s="48" t="n">
        <f aca="false">IF(AA830&lt;&gt;"",AA830,Z830)</f>
        <v>3</v>
      </c>
      <c r="CF830" s="48" t="str">
        <f aca="false">IF(OR(CE830=1,CE830=2,CE830=3),IF(Parameter!$E$27="Ja","LIFT",IF(CE830=1,"L1","L23")),IF(CE830="Aussen","Aussen","-"))</f>
        <v>LIFT</v>
      </c>
      <c r="CG830" s="59" t="n">
        <f aca="false">IF(N(AB830)&gt;0,AB830,0)</f>
        <v>0</v>
      </c>
      <c r="CH830" s="53" t="n">
        <f aca="false">IF(ISNUMBER(AE830),1,0)</f>
        <v>0</v>
      </c>
      <c r="CI830" s="50" t="n">
        <f aca="false">N(AE830)</f>
        <v>0</v>
      </c>
      <c r="CJ830" s="50" t="n">
        <f aca="false">N(M830)+N(N830)</f>
        <v>207</v>
      </c>
      <c r="CK830" s="50" t="n">
        <f aca="false">N(M830)</f>
        <v>7</v>
      </c>
      <c r="CL830" s="50" t="n">
        <f aca="false">N(N830)</f>
        <v>200</v>
      </c>
      <c r="CM830" s="50" t="n">
        <f aca="false">ROUNDUP(H830/BY830,0)</f>
        <v>1</v>
      </c>
      <c r="CN830" s="50" t="n">
        <f aca="false">ROUNDUP(CI830/BY830,0)</f>
        <v>0</v>
      </c>
      <c r="CO830" s="53" t="n">
        <f aca="false">IF(BZ830=1,0,IFERROR(VLOOKUP(BX830,'Gebinde-Kategorie'!$A$5:$N$45,5,0)+0,0))</f>
        <v>8</v>
      </c>
      <c r="CP830" s="53" t="n">
        <f aca="false">IFERROR(IF(OR(CE830=1,CE830=2,CE830=3),N(INDEX(Parameter!$I$5:$I$7,CE830)),0),0)</f>
        <v>0</v>
      </c>
      <c r="CQ830" s="52" t="n">
        <f aca="false">IF(AND(Parameter!$B$21="Ja",ISNUMBER(W830),N(X830)&gt;0),IFERROR(N(INDEX(Parameter!$L$5:$L$7,W830))*INDEX(Parameter!$E$5:$E$7,W830)*X830/SUMIFS($X$7:$X$1843,$W$7:$W$1843,W830),0),0)</f>
        <v>0</v>
      </c>
    </row>
    <row r="831" customFormat="false" ht="15" hidden="false" customHeight="false" outlineLevel="0" collapsed="false">
      <c r="A831" s="48" t="s">
        <v>1608</v>
      </c>
      <c r="B831" s="48" t="s">
        <v>383</v>
      </c>
      <c r="C831" s="48" t="s">
        <v>173</v>
      </c>
      <c r="D831" s="48" t="s">
        <v>193</v>
      </c>
      <c r="E831" s="48"/>
      <c r="F831" s="48" t="s">
        <v>227</v>
      </c>
      <c r="G831" s="49" t="n">
        <v>1.1</v>
      </c>
      <c r="H831" s="50" t="n">
        <f aca="false">MAX(0,IF(AND(Parameter!$B$21="Ja",ISNUMBER(Y831)),Y831,IF(Parameter!$B$20="Jahresanfang 2025 + Export",BR831+BQ831,BQ831)))</f>
        <v>0</v>
      </c>
      <c r="I831" s="50" t="n">
        <f aca="false">H831*G831</f>
        <v>0</v>
      </c>
      <c r="J831" s="50" t="n">
        <f aca="false">BT831*Parameter!$B$18</f>
        <v>0</v>
      </c>
      <c r="K831" s="51" t="n">
        <v>5</v>
      </c>
      <c r="L831" s="52" t="n">
        <v>0</v>
      </c>
      <c r="M831" s="50" t="n">
        <v>0</v>
      </c>
      <c r="N831" s="50" t="n">
        <v>1</v>
      </c>
      <c r="O831" s="53" t="n">
        <v>28</v>
      </c>
      <c r="P831" s="48" t="s">
        <v>177</v>
      </c>
      <c r="Q831" s="50"/>
      <c r="R831" s="53" t="n">
        <f aca="false">IF(BZ831=1,0,IFERROR(VLOOKUP(BX831,'Gebinde-Kategorie'!$A$5:$N$45,13,0)+0,0))</f>
        <v>26</v>
      </c>
      <c r="S831" s="54"/>
      <c r="T831" s="55" t="s">
        <v>284</v>
      </c>
      <c r="U831" s="55"/>
      <c r="V831" s="55"/>
      <c r="W831" s="48"/>
      <c r="X831" s="50"/>
      <c r="Y831" s="50"/>
      <c r="Z831" s="48" t="n">
        <f aca="false">IF(A831="","",IF(AND(Parameter!$B$21="Ja",ISNUMBER(W831)),W831,IF(CC831="2+3",IF(ISNUMBER(SEARCH("grosser Artikel",BU831)),2,IFERROR(VLOOKUP(BX831,Parameter!$F$35:$G$64,2,0),2)),IF(OR(CC831="Nein",CC831=""),"-",CC831))))</f>
        <v>3</v>
      </c>
      <c r="AA831" s="55"/>
      <c r="AB831" s="56"/>
      <c r="AC831" s="50" t="n">
        <f aca="false">AV831</f>
        <v>1</v>
      </c>
      <c r="AD831" s="50" t="n">
        <f aca="false">MAX(AV831,H831)</f>
        <v>1</v>
      </c>
      <c r="AE831" s="57"/>
      <c r="AF831" s="50" t="n">
        <f aca="false">IF(LEFT(Cockpit!$C$5,1)="A",H831,IF(Parameter!$E$30="MAX-Bestand",IF(CH831=1,CI831,IF(LEFT(Cockpit!$C$5,1)="B",AL831,MAX(AL831,H831))),ROUNDUP(AJ831,0)))</f>
        <v>0</v>
      </c>
      <c r="AG831" s="50" t="n">
        <f aca="false">IF(BZ831=1,0,ROUNDUP(AF831/BY831,0))</f>
        <v>0</v>
      </c>
      <c r="AH831" s="52" t="n">
        <f aca="false">IF(CQ831&gt;0,CQ831*MAX(1,AF831/X831),IF(BZ831=1,IF(AF831&lt;=0,0,CD831*MAX(1,IF(H831&gt;0,AF831/H831,1))),IF(R831&gt;0,AG831/R831,0))/MAX(0.1,N(Parameter!$M$21)))</f>
        <v>0</v>
      </c>
      <c r="AI831" s="50" t="n">
        <f aca="false">AH831*CB831</f>
        <v>0</v>
      </c>
      <c r="AJ831" s="51" t="n">
        <f aca="false">IF(LEFT(Cockpit!$C$5,1)="A",H831,IF(CH831=1,(CK831+CI831)/2,IF(LEFT(Cockpit!$C$5,1)="B",(CK831+AL831)/2,MAX((CK831+AL831)/2,H831))))</f>
        <v>0</v>
      </c>
      <c r="AK831" s="50" t="n">
        <f aca="false">AJ831*G831</f>
        <v>0</v>
      </c>
      <c r="AL831" s="50" t="n">
        <f aca="false">ROUNDUP(CK831+MAX(CL831,2*(J831/IF(CG831&gt;0,CG831,MAX(0.1,N(Cockpit!$C$6)))-CK831)),0)</f>
        <v>1</v>
      </c>
      <c r="AM831" s="51" t="n">
        <f aca="false">IF(AI831&gt;0,J831/AI831,-1)</f>
        <v>-1</v>
      </c>
      <c r="AN831" s="51" t="str">
        <f aca="false">IF(AND(OR(CF831="L1",CF831="L23",CF831="LIFT"),AI831&gt;0),SUMIFS($AI$7:$AI$1843,$CF$7:$CF$1843,CF831,$AM$7:$AM$1843,"&gt;"&amp;AM831)+SUMIFS($AI$7:$AI$1843,$CF$7:$CF$1843,CF831,$AM$7:$AM$1843,AM831,$BW$7:$BW$1843,"&lt;="&amp;BW831),"")</f>
        <v/>
      </c>
      <c r="AO831" s="58" t="n">
        <f aca="false">IF(AN831="",0,MAX(0,MIN(1,(IF(CF831="L1",Parameter!$H$5,IF(CF831="L23",Parameter!$H$6+Parameter!$H$7,Parameter!$H$5+Parameter!$H$6+Parameter!$H$7))-(AN831-AI831))/AI831)))</f>
        <v>0</v>
      </c>
      <c r="AP831" s="50" t="n">
        <f aca="false">IF(LEFT(Cockpit!$I$5,1)="A",H831,IF(Parameter!$E$30="MAX-Bestand",IF(CH831=1,CI831,IF(LEFT(Cockpit!$I$5,1)="B",AV831,MAX(AV831,H831))),ROUNDUP(AT831,0)))</f>
        <v>1</v>
      </c>
      <c r="AQ831" s="50" t="n">
        <f aca="false">IF(BZ831=1,0,ROUNDUP(AP831/BY831,0))</f>
        <v>1</v>
      </c>
      <c r="AR831" s="52" t="n">
        <f aca="false">IF(CQ831&gt;0,CQ831*MAX(1,AP831/X831),IF(BZ831=1,IF(AP831&lt;=0,0,CD831*MAX(1,IF(H831&gt;0,AP831/H831,1))),IF(R831&gt;0,AQ831/R831,0))/MAX(0.1,N(Parameter!$M$21)))</f>
        <v>0.0384615384615385</v>
      </c>
      <c r="AS831" s="50" t="n">
        <f aca="false">AR831*CB831</f>
        <v>5.96153846153846</v>
      </c>
      <c r="AT831" s="51" t="n">
        <f aca="false">IF(LEFT(Cockpit!$I$5,1)="A",H831,IF(CH831=1,(CK831+CI831)/2,IF(LEFT(Cockpit!$I$5,1)="B",(CK831+AV831)/2,MAX((CK831+AV831)/2,H831))))</f>
        <v>0.5</v>
      </c>
      <c r="AU831" s="50" t="n">
        <f aca="false">AT831*G831</f>
        <v>0.55</v>
      </c>
      <c r="AV831" s="50" t="n">
        <f aca="false">ROUNDUP(CK831+MAX(CL831,2*(J831/IF(CG831&gt;0,CG831,MAX(0.1,N(Cockpit!$I$6)))-CK831)),0)</f>
        <v>1</v>
      </c>
      <c r="AW831" s="51" t="n">
        <f aca="false">IF(AS831&gt;0,J831/AS831,-1)</f>
        <v>0</v>
      </c>
      <c r="AX831" s="51" t="n">
        <f aca="false">IF(AND(OR(CF831="L1",CF831="L23",CF831="LIFT"),AS831&gt;0),SUMIFS($AS$7:$AS$1843,$CF$7:$CF$1843,CF831,$AW$7:$AW$1843,"&gt;"&amp;AW831)+SUMIFS($AS$7:$AS$1843,$CF$7:$CF$1843,CF831,$AW$7:$AW$1843,AW831,$BW$7:$BW$1843,"&lt;="&amp;BW831),"")</f>
        <v>34406.9166666667</v>
      </c>
      <c r="AY831" s="58" t="n">
        <f aca="false">IF(AX831="",0,MAX(0,MIN(1,(IF(CF831="L1",Parameter!$H$5,IF(CF831="L23",Parameter!$H$6+Parameter!$H$7,Parameter!$H$5+Parameter!$H$6+Parameter!$H$7))-(AX831-AS831))/AS831)))</f>
        <v>1</v>
      </c>
      <c r="AZ831" s="50" t="n">
        <f aca="false">IF(LEFT(Cockpit!$O$5,1)="A",H831,IF(Parameter!$E$30="MAX-Bestand",IF(CH831=1,CI831,IF(LEFT(Cockpit!$O$5,1)="B",BF831,MAX(BF831,H831))),ROUNDUP(BD831,0)))</f>
        <v>1</v>
      </c>
      <c r="BA831" s="50" t="n">
        <f aca="false">IF(BZ831=1,0,ROUNDUP(AZ831/BY831,0))</f>
        <v>1</v>
      </c>
      <c r="BB831" s="52" t="n">
        <f aca="false">IF(CQ831&gt;0,CQ831*MAX(1,AZ831/X831),IF(BZ831=1,IF(AZ831&lt;=0,0,CD831*MAX(1,IF(H831&gt;0,AZ831/H831,1))),IF(R831&gt;0,BA831/R831,0))/MAX(0.1,N(Parameter!$M$21)))</f>
        <v>0.0384615384615385</v>
      </c>
      <c r="BC831" s="50" t="n">
        <f aca="false">BB831*CB831</f>
        <v>5.96153846153846</v>
      </c>
      <c r="BD831" s="51" t="n">
        <f aca="false">IF(LEFT(Cockpit!$O$5,1)="A",H831,IF(CH831=1,(CK831+CI831)/2,IF(LEFT(Cockpit!$O$5,1)="B",(CK831+BF831)/2,MAX((CK831+BF831)/2,H831))))</f>
        <v>0.5</v>
      </c>
      <c r="BE831" s="50" t="n">
        <f aca="false">BD831*G831</f>
        <v>0.55</v>
      </c>
      <c r="BF831" s="50" t="n">
        <f aca="false">ROUNDUP(CK831+MAX(CL831,2*(J831/IF(CG831&gt;0,CG831,MAX(0.1,N(Cockpit!$O$6)))-CK831)),0)</f>
        <v>1</v>
      </c>
      <c r="BG831" s="51" t="n">
        <f aca="false">IF(BC831&gt;0,J831/BC831,-1)</f>
        <v>0</v>
      </c>
      <c r="BH831" s="51" t="n">
        <f aca="false">IF(AND(OR(CF831="L1",CF831="L23",CF831="LIFT"),BC831&gt;0),SUMIFS($BC$7:$BC$1843,$CF$7:$CF$1843,CF831,$BG$7:$BG$1843,"&gt;"&amp;BG831)+SUMIFS($BC$7:$BC$1843,$CF$7:$CF$1843,CF831,$BG$7:$BG$1843,BG831,$BW$7:$BW$1843,"&lt;="&amp;BW831),"")</f>
        <v>28446.6986015397</v>
      </c>
      <c r="BI831" s="58" t="n">
        <f aca="false">IF(BH831="",0,MAX(0,MIN(1,(IF(CF831="L1",Parameter!$H$5,IF(CF831="L23",Parameter!$H$6+Parameter!$H$7,Parameter!$H$5+Parameter!$H$6+Parameter!$H$7))-(BH831-BC831))/BC831)))</f>
        <v>1</v>
      </c>
      <c r="BJ831" s="48" t="str">
        <f aca="false">IF(AI831&lt;=0,"",IF(CF831="Aussen","Aussenlager",IF(CF831="-","Nicht im Lift",IF(AO831&gt;=1,"Lift",IF(AO831&lt;=0,"Aussenlager","teilweise")))))</f>
        <v/>
      </c>
      <c r="BK831" s="48" t="str">
        <f aca="false">IF(AS831&lt;=0,"",IF(CF831="Aussen","Aussenlager",IF(CF831="-","Nicht im Lift",IF(AY831&gt;=1,"Lift",IF(AY831&lt;=0,"Aussenlager","teilweise")))))</f>
        <v>Lift</v>
      </c>
      <c r="BL831" s="48" t="str">
        <f aca="false">IF(BC831&lt;=0,"",IF(CF831="Aussen","Aussenlager",IF(CF831="-","Nicht im Lift",IF(BI831&gt;=1,"Lift",IF(BI831&lt;=0,"Aussenlager","teilweise")))))</f>
        <v>Lift</v>
      </c>
      <c r="BM831" s="48" t="str">
        <f aca="false">IF(A831="","",IF(BV831=1,"Neu; ","")&amp;IF(AND(BV831=0,BQ831&lt;0),"negativer Bestand (Export "&amp;BQ831&amp;"); ","")&amp;IF(J831&lt;=0,"Kein Verbrauch; ","")&amp;IF(CQ831&gt;0,"Lift "&amp;W831&amp;" lt. Liftbericht (Fach "&amp;X831&amp;" Stk); ",IF(CA831=1,"Gebinde geschätzt ("&amp;T831&amp;"); ",IF(BZ831=1,"Lose – Tablare geschätzt; ","")))&amp;IF(H831&gt;AV831,"Überbestand "&amp;ROUND(H831-AV831,0)&amp;" Stk / CHF "&amp;ROUND((H831-AV831)*G831,0)&amp;"; ","")&amp;IF(AND(CH831=1,CI831&lt;CJ831),"MAX &lt; MB+LG; ","")&amp;IF(AND(CP831&gt;0,CO831*10&gt;CP831),"zu hoch für Tablar; ","")&amp;IF(AND(BV831=0,OR(CH831=1,AA831&lt;&gt;"",U831&lt;&gt;"",V831&lt;&gt;"",AB831&lt;&gt;"")),"manuell übersteuert; ","")&amp;IF(AND(BZ831=0,R831=0),"Gebinde unbekannt / Stellmass fehlt; ","")&amp;IF(AND(BZ831=0,N(V831)&lt;=0,N(Q831)&lt;=0),"Menge pro Gebinde fehlt (Ist = 1 Gebinde); ","")&amp;BU831)</f>
        <v>negativer Bestand (Export -10); Kein Verbrauch; Gebinde geschätzt (Klein); Menge pro Gebinde fehlt (Ist = 1 Gebinde); </v>
      </c>
      <c r="BN831" s="48"/>
      <c r="BO831" s="48"/>
      <c r="BP831" s="55"/>
      <c r="BQ831" s="50" t="n">
        <v>-10</v>
      </c>
      <c r="BR831" s="50" t="n">
        <v>10</v>
      </c>
      <c r="BS831" s="49" t="n">
        <v>-11</v>
      </c>
      <c r="BT831" s="50" t="n">
        <v>0</v>
      </c>
      <c r="BU831" s="48"/>
      <c r="BV831" s="53" t="n">
        <v>0</v>
      </c>
      <c r="BW831" s="53" t="n">
        <v>831</v>
      </c>
      <c r="BX831" s="48" t="str">
        <f aca="false">IF(U831&lt;&gt;"",UPPER(TRIM(U831)),IF(CA831=1,UPPER(VLOOKUP(T831,Parameter!$I$27:$K$29,2,0)),IF(P831="","LOSE",P831)))</f>
        <v>S51</v>
      </c>
      <c r="BY831" s="50" t="n">
        <f aca="false">IF(BX831="LOSE",1,IF(N(V831)&gt;0,V831,IF(CA831=1,MAX(1,N(VLOOKUP(T831,Parameter!$I$27:$K$29,3,0)),H831,N(N831)),IF(N(Q831)&gt;0,Q831,MAX(1,H831)))))</f>
        <v>20</v>
      </c>
      <c r="BZ831" s="53" t="n">
        <f aca="false">IF(BX831="LOSE",1,0)</f>
        <v>0</v>
      </c>
      <c r="CA831" s="53" t="n">
        <f aca="false">IF(AND(U831="",OR(P831="",P831="LOSE"),T831&lt;&gt;"",N(S831)&lt;=0,ISNUMBER(MATCH(T831,Parameter!$I$27:$I$29,0))),1,0)</f>
        <v>1</v>
      </c>
      <c r="CB831" s="53" t="n">
        <f aca="false">IF(CQ831&gt;0,INDEX(Parameter!$H$5:$H$7,W831)/INDEX(Parameter!$E$5:$E$7,W831),IF(AND(BZ831=0,N(IFERROR(VLOOKUP(BX831,'Gebinde-Kategorie'!$A$5:$N$45,14,0),0))&gt;0),VLOOKUP(BX831,'Gebinde-Kategorie'!$A$5:$N$45,14,0)*10+Parameter!$M$23,Parameter!$M$24))</f>
        <v>155</v>
      </c>
      <c r="CC831" s="48" t="str">
        <f aca="false">IF(AND(Parameter!$B$19="Ja",E831&lt;&gt;"",ISNUMBER(MATCH(E831,Parameter!$I$35:$I$52,0))),VLOOKUP(E831,Parameter!$I$35:$J$52,2,0),IFERROR(VLOOKUP(D831,Parameter!$A$35:$C$64,2,0),"Nein"))</f>
        <v>2+3</v>
      </c>
      <c r="CD831" s="52" t="n">
        <f aca="false">IF(BZ831=0,0,IF(N(S831)&gt;0,S831,IFERROR(VLOOKUP(D831,Parameter!$A$35:$C$64,3,0)+0,0)))</f>
        <v>0</v>
      </c>
      <c r="CE831" s="48" t="n">
        <f aca="false">IF(AA831&lt;&gt;"",AA831,Z831)</f>
        <v>3</v>
      </c>
      <c r="CF831" s="48" t="str">
        <f aca="false">IF(OR(CE831=1,CE831=2,CE831=3),IF(Parameter!$E$27="Ja","LIFT",IF(CE831=1,"L1","L23")),IF(CE831="Aussen","Aussen","-"))</f>
        <v>LIFT</v>
      </c>
      <c r="CG831" s="59" t="n">
        <f aca="false">IF(N(AB831)&gt;0,AB831,0)</f>
        <v>0</v>
      </c>
      <c r="CH831" s="53" t="n">
        <f aca="false">IF(ISNUMBER(AE831),1,0)</f>
        <v>0</v>
      </c>
      <c r="CI831" s="50" t="n">
        <f aca="false">N(AE831)</f>
        <v>0</v>
      </c>
      <c r="CJ831" s="50" t="n">
        <f aca="false">N(M831)+N(N831)</f>
        <v>1</v>
      </c>
      <c r="CK831" s="50" t="n">
        <f aca="false">N(M831)</f>
        <v>0</v>
      </c>
      <c r="CL831" s="50" t="n">
        <f aca="false">N(N831)</f>
        <v>1</v>
      </c>
      <c r="CM831" s="50" t="n">
        <f aca="false">ROUNDUP(H831/BY831,0)</f>
        <v>0</v>
      </c>
      <c r="CN831" s="50" t="n">
        <f aca="false">ROUNDUP(CI831/BY831,0)</f>
        <v>0</v>
      </c>
      <c r="CO831" s="53" t="n">
        <f aca="false">IF(BZ831=1,0,IFERROR(VLOOKUP(BX831,'Gebinde-Kategorie'!$A$5:$N$45,5,0)+0,0))</f>
        <v>11</v>
      </c>
      <c r="CP831" s="53" t="n">
        <f aca="false">IFERROR(IF(OR(CE831=1,CE831=2,CE831=3),N(INDEX(Parameter!$I$5:$I$7,CE831)),0),0)</f>
        <v>0</v>
      </c>
      <c r="CQ831" s="52" t="n">
        <f aca="false">IF(AND(Parameter!$B$21="Ja",ISNUMBER(W831),N(X831)&gt;0),IFERROR(N(INDEX(Parameter!$L$5:$L$7,W831))*INDEX(Parameter!$E$5:$E$7,W831)*X831/SUMIFS($X$7:$X$1843,$W$7:$W$1843,W831),0),0)</f>
        <v>0</v>
      </c>
    </row>
    <row r="832" customFormat="false" ht="15" hidden="false" customHeight="false" outlineLevel="0" collapsed="false">
      <c r="A832" s="48" t="s">
        <v>1609</v>
      </c>
      <c r="B832" s="48" t="s">
        <v>1610</v>
      </c>
      <c r="C832" s="48" t="s">
        <v>173</v>
      </c>
      <c r="D832" s="48" t="s">
        <v>193</v>
      </c>
      <c r="E832" s="48" t="s">
        <v>194</v>
      </c>
      <c r="F832" s="48" t="s">
        <v>227</v>
      </c>
      <c r="G832" s="49" t="n">
        <v>1.13</v>
      </c>
      <c r="H832" s="50" t="n">
        <f aca="false">MAX(0,IF(AND(Parameter!$B$21="Ja",ISNUMBER(Y832)),Y832,IF(Parameter!$B$20="Jahresanfang 2025 + Export",BR832+BQ832,BQ832)))</f>
        <v>10</v>
      </c>
      <c r="I832" s="50" t="n">
        <f aca="false">H832*G832</f>
        <v>11.3</v>
      </c>
      <c r="J832" s="50" t="n">
        <f aca="false">BT832*Parameter!$B$18</f>
        <v>7</v>
      </c>
      <c r="K832" s="51" t="n">
        <v>17.5</v>
      </c>
      <c r="L832" s="52" t="n">
        <v>0.4</v>
      </c>
      <c r="M832" s="50" t="n">
        <v>0</v>
      </c>
      <c r="N832" s="50" t="n">
        <v>10</v>
      </c>
      <c r="O832" s="53" t="n">
        <v>14</v>
      </c>
      <c r="P832" s="48" t="s">
        <v>435</v>
      </c>
      <c r="Q832" s="50" t="n">
        <v>20</v>
      </c>
      <c r="R832" s="53" t="n">
        <f aca="false">IF(BZ832=1,0,IFERROR(VLOOKUP(BX832,'Gebinde-Kategorie'!$A$5:$N$45,13,0)+0,0))</f>
        <v>140</v>
      </c>
      <c r="S832" s="54"/>
      <c r="T832" s="55"/>
      <c r="U832" s="55"/>
      <c r="V832" s="55"/>
      <c r="W832" s="48"/>
      <c r="X832" s="50"/>
      <c r="Y832" s="50"/>
      <c r="Z832" s="48" t="n">
        <f aca="false">IF(A832="","",IF(AND(Parameter!$B$21="Ja",ISNUMBER(W832)),W832,IF(CC832="2+3",IF(ISNUMBER(SEARCH("grosser Artikel",BU832)),2,IFERROR(VLOOKUP(BX832,Parameter!$F$35:$G$64,2,0),2)),IF(OR(CC832="Nein",CC832=""),"-",CC832))))</f>
        <v>3</v>
      </c>
      <c r="AA832" s="55"/>
      <c r="AB832" s="56"/>
      <c r="AC832" s="50" t="n">
        <f aca="false">AV832</f>
        <v>10</v>
      </c>
      <c r="AD832" s="50" t="n">
        <f aca="false">MAX(AV832,H832)</f>
        <v>10</v>
      </c>
      <c r="AE832" s="57"/>
      <c r="AF832" s="50" t="n">
        <f aca="false">IF(LEFT(Cockpit!$C$5,1)="A",H832,IF(Parameter!$E$30="MAX-Bestand",IF(CH832=1,CI832,IF(LEFT(Cockpit!$C$5,1)="B",AL832,MAX(AL832,H832))),ROUNDUP(AJ832,0)))</f>
        <v>10</v>
      </c>
      <c r="AG832" s="50" t="n">
        <f aca="false">IF(BZ832=1,0,ROUNDUP(AF832/BY832,0))</f>
        <v>1</v>
      </c>
      <c r="AH832" s="52" t="n">
        <f aca="false">IF(CQ832&gt;0,CQ832*MAX(1,AF832/X832),IF(BZ832=1,IF(AF832&lt;=0,0,CD832*MAX(1,IF(H832&gt;0,AF832/H832,1))),IF(R832&gt;0,AG832/R832,0))/MAX(0.1,N(Parameter!$M$21)))</f>
        <v>0.00714285714285714</v>
      </c>
      <c r="AI832" s="50" t="n">
        <f aca="false">AH832*CB832</f>
        <v>1.10714285714286</v>
      </c>
      <c r="AJ832" s="51" t="n">
        <f aca="false">IF(LEFT(Cockpit!$C$5,1)="A",H832,IF(CH832=1,(CK832+CI832)/2,IF(LEFT(Cockpit!$C$5,1)="B",(CK832+AL832)/2,MAX((CK832+AL832)/2,H832))))</f>
        <v>10</v>
      </c>
      <c r="AK832" s="50" t="n">
        <f aca="false">AJ832*G832</f>
        <v>11.3</v>
      </c>
      <c r="AL832" s="50" t="n">
        <f aca="false">ROUNDUP(CK832+MAX(CL832,2*(J832/IF(CG832&gt;0,CG832,MAX(0.1,N(Cockpit!$C$6)))-CK832)),0)</f>
        <v>10</v>
      </c>
      <c r="AM832" s="51" t="n">
        <f aca="false">IF(AI832&gt;0,J832/AI832,-1)</f>
        <v>6.32258064516129</v>
      </c>
      <c r="AN832" s="51" t="n">
        <f aca="false">IF(AND(OR(CF832="L1",CF832="L23",CF832="LIFT"),AI832&gt;0),SUMIFS($AI$7:$AI$1843,$CF$7:$CF$1843,CF832,$AM$7:$AM$1843,"&gt;"&amp;AM832)+SUMIFS($AI$7:$AI$1843,$CF$7:$CF$1843,CF832,$AM$7:$AM$1843,AM832,$BW$7:$BW$1843,"&lt;="&amp;BW832),"")</f>
        <v>3451.78891941392</v>
      </c>
      <c r="AO832" s="58" t="n">
        <f aca="false">IF(AN832="",0,MAX(0,MIN(1,(IF(CF832="L1",Parameter!$H$5,IF(CF832="L23",Parameter!$H$6+Parameter!$H$7,Parameter!$H$5+Parameter!$H$6+Parameter!$H$7))-(AN832-AI832))/AI832)))</f>
        <v>1</v>
      </c>
      <c r="AP832" s="50" t="n">
        <f aca="false">IF(LEFT(Cockpit!$I$5,1)="A",H832,IF(Parameter!$E$30="MAX-Bestand",IF(CH832=1,CI832,IF(LEFT(Cockpit!$I$5,1)="B",AV832,MAX(AV832,H832))),ROUNDUP(AT832,0)))</f>
        <v>10</v>
      </c>
      <c r="AQ832" s="50" t="n">
        <f aca="false">IF(BZ832=1,0,ROUNDUP(AP832/BY832,0))</f>
        <v>1</v>
      </c>
      <c r="AR832" s="52" t="n">
        <f aca="false">IF(CQ832&gt;0,CQ832*MAX(1,AP832/X832),IF(BZ832=1,IF(AP832&lt;=0,0,CD832*MAX(1,IF(H832&gt;0,AP832/H832,1))),IF(R832&gt;0,AQ832/R832,0))/MAX(0.1,N(Parameter!$M$21)))</f>
        <v>0.00714285714285714</v>
      </c>
      <c r="AS832" s="50" t="n">
        <f aca="false">AR832*CB832</f>
        <v>1.10714285714286</v>
      </c>
      <c r="AT832" s="51" t="n">
        <f aca="false">IF(LEFT(Cockpit!$I$5,1)="A",H832,IF(CH832=1,(CK832+CI832)/2,IF(LEFT(Cockpit!$I$5,1)="B",(CK832+AV832)/2,MAX((CK832+AV832)/2,H832))))</f>
        <v>10</v>
      </c>
      <c r="AU832" s="50" t="n">
        <f aca="false">AT832*G832</f>
        <v>11.3</v>
      </c>
      <c r="AV832" s="50" t="n">
        <f aca="false">ROUNDUP(CK832+MAX(CL832,2*(J832/IF(CG832&gt;0,CG832,MAX(0.1,N(Cockpit!$I$6)))-CK832)),0)</f>
        <v>10</v>
      </c>
      <c r="AW832" s="51" t="n">
        <f aca="false">IF(AS832&gt;0,J832/AS832,-1)</f>
        <v>6.32258064516129</v>
      </c>
      <c r="AX832" s="51" t="n">
        <f aca="false">IF(AND(OR(CF832="L1",CF832="L23",CF832="LIFT"),AS832&gt;0),SUMIFS($AS$7:$AS$1843,$CF$7:$CF$1843,CF832,$AW$7:$AW$1843,"&gt;"&amp;AW832)+SUMIFS($AS$7:$AS$1843,$CF$7:$CF$1843,CF832,$AW$7:$AW$1843,AW832,$BW$7:$BW$1843,"&lt;="&amp;BW832),"")</f>
        <v>4137.86950549451</v>
      </c>
      <c r="AY832" s="58" t="n">
        <f aca="false">IF(AX832="",0,MAX(0,MIN(1,(IF(CF832="L1",Parameter!$H$5,IF(CF832="L23",Parameter!$H$6+Parameter!$H$7,Parameter!$H$5+Parameter!$H$6+Parameter!$H$7))-(AX832-AS832))/AS832)))</f>
        <v>1</v>
      </c>
      <c r="AZ832" s="50" t="n">
        <f aca="false">IF(LEFT(Cockpit!$O$5,1)="A",H832,IF(Parameter!$E$30="MAX-Bestand",IF(CH832=1,CI832,IF(LEFT(Cockpit!$O$5,1)="B",BF832,MAX(BF832,H832))),ROUNDUP(BD832,0)))</f>
        <v>5</v>
      </c>
      <c r="BA832" s="50" t="n">
        <f aca="false">IF(BZ832=1,0,ROUNDUP(AZ832/BY832,0))</f>
        <v>1</v>
      </c>
      <c r="BB832" s="52" t="n">
        <f aca="false">IF(CQ832&gt;0,CQ832*MAX(1,AZ832/X832),IF(BZ832=1,IF(AZ832&lt;=0,0,CD832*MAX(1,IF(H832&gt;0,AZ832/H832,1))),IF(R832&gt;0,BA832/R832,0))/MAX(0.1,N(Parameter!$M$21)))</f>
        <v>0.00714285714285714</v>
      </c>
      <c r="BC832" s="50" t="n">
        <f aca="false">BB832*CB832</f>
        <v>1.10714285714286</v>
      </c>
      <c r="BD832" s="51" t="n">
        <f aca="false">IF(LEFT(Cockpit!$O$5,1)="A",H832,IF(CH832=1,(CK832+CI832)/2,IF(LEFT(Cockpit!$O$5,1)="B",(CK832+BF832)/2,MAX((CK832+BF832)/2,H832))))</f>
        <v>5</v>
      </c>
      <c r="BE832" s="50" t="n">
        <f aca="false">BD832*G832</f>
        <v>5.65</v>
      </c>
      <c r="BF832" s="50" t="n">
        <f aca="false">ROUNDUP(CK832+MAX(CL832,2*(J832/IF(CG832&gt;0,CG832,MAX(0.1,N(Cockpit!$O$6)))-CK832)),0)</f>
        <v>10</v>
      </c>
      <c r="BG832" s="51" t="n">
        <f aca="false">IF(BC832&gt;0,J832/BC832,-1)</f>
        <v>6.32258064516129</v>
      </c>
      <c r="BH832" s="51" t="n">
        <f aca="false">IF(AND(OR(CF832="L1",CF832="L23",CF832="LIFT"),BC832&gt;0),SUMIFS($BC$7:$BC$1843,$CF$7:$CF$1843,CF832,$BG$7:$BG$1843,"&gt;"&amp;BG832)+SUMIFS($BC$7:$BC$1843,$CF$7:$CF$1843,CF832,$BG$7:$BG$1843,BG832,$BW$7:$BW$1843,"&lt;="&amp;BW832),"")</f>
        <v>3410.91712454212</v>
      </c>
      <c r="BI832" s="58" t="n">
        <f aca="false">IF(BH832="",0,MAX(0,MIN(1,(IF(CF832="L1",Parameter!$H$5,IF(CF832="L23",Parameter!$H$6+Parameter!$H$7,Parameter!$H$5+Parameter!$H$6+Parameter!$H$7))-(BH832-BC832))/BC832)))</f>
        <v>1</v>
      </c>
      <c r="BJ832" s="48" t="str">
        <f aca="false">IF(AI832&lt;=0,"",IF(CF832="Aussen","Aussenlager",IF(CF832="-","Nicht im Lift",IF(AO832&gt;=1,"Lift",IF(AO832&lt;=0,"Aussenlager","teilweise")))))</f>
        <v>Lift</v>
      </c>
      <c r="BK832" s="48" t="str">
        <f aca="false">IF(AS832&lt;=0,"",IF(CF832="Aussen","Aussenlager",IF(CF832="-","Nicht im Lift",IF(AY832&gt;=1,"Lift",IF(AY832&lt;=0,"Aussenlager","teilweise")))))</f>
        <v>Lift</v>
      </c>
      <c r="BL832" s="48" t="str">
        <f aca="false">IF(BC832&lt;=0,"",IF(CF832="Aussen","Aussenlager",IF(CF832="-","Nicht im Lift",IF(BI832&gt;=1,"Lift",IF(BI832&lt;=0,"Aussenlager","teilweise")))))</f>
        <v>Lift</v>
      </c>
      <c r="BM832" s="48" t="str">
        <f aca="false">IF(A832="","",IF(BV832=1,"Neu; ","")&amp;IF(AND(BV832=0,BQ832&lt;0),"negativer Bestand (Export "&amp;BQ832&amp;"); ","")&amp;IF(J832&lt;=0,"Kein Verbrauch; ","")&amp;IF(CQ832&gt;0,"Lift "&amp;W832&amp;" lt. Liftbericht (Fach "&amp;X832&amp;" Stk); ",IF(CA832=1,"Gebinde geschätzt ("&amp;T832&amp;"); ",IF(BZ832=1,"Lose – Tablare geschätzt; ","")))&amp;IF(H832&gt;AV832,"Überbestand "&amp;ROUND(H832-AV832,0)&amp;" Stk / CHF "&amp;ROUND((H832-AV832)*G832,0)&amp;"; ","")&amp;IF(AND(CH832=1,CI832&lt;CJ832),"MAX &lt; MB+LG; ","")&amp;IF(AND(CP832&gt;0,CO832*10&gt;CP832),"zu hoch für Tablar; ","")&amp;IF(AND(BV832=0,OR(CH832=1,AA832&lt;&gt;"",U832&lt;&gt;"",V832&lt;&gt;"",AB832&lt;&gt;"")),"manuell übersteuert; ","")&amp;IF(AND(BZ832=0,R832=0),"Gebinde unbekannt / Stellmass fehlt; ","")&amp;IF(AND(BZ832=0,N(V832)&lt;=0,N(Q832)&lt;=0),"Menge pro Gebinde fehlt (Ist = 1 Gebinde); ","")&amp;BU832)</f>
        <v>negativer Bestand (Export -10); </v>
      </c>
      <c r="BN832" s="48"/>
      <c r="BO832" s="48"/>
      <c r="BP832" s="55"/>
      <c r="BQ832" s="50" t="n">
        <v>-10</v>
      </c>
      <c r="BR832" s="50" t="n">
        <v>20</v>
      </c>
      <c r="BS832" s="49" t="n">
        <v>-11.1</v>
      </c>
      <c r="BT832" s="50" t="n">
        <v>7</v>
      </c>
      <c r="BU832" s="48"/>
      <c r="BV832" s="53" t="n">
        <v>0</v>
      </c>
      <c r="BW832" s="53" t="n">
        <v>832</v>
      </c>
      <c r="BX832" s="48" t="str">
        <f aca="false">IF(U832&lt;&gt;"",UPPER(TRIM(U832)),IF(CA832=1,UPPER(VLOOKUP(T832,Parameter!$I$27:$K$29,2,0)),IF(P832="","LOSE",P832)))</f>
        <v>S22</v>
      </c>
      <c r="BY832" s="50" t="n">
        <f aca="false">IF(BX832="LOSE",1,IF(N(V832)&gt;0,V832,IF(CA832=1,MAX(1,N(VLOOKUP(T832,Parameter!$I$27:$K$29,3,0)),H832,N(N832)),IF(N(Q832)&gt;0,Q832,MAX(1,H832)))))</f>
        <v>20</v>
      </c>
      <c r="BZ832" s="53" t="n">
        <f aca="false">IF(BX832="LOSE",1,0)</f>
        <v>0</v>
      </c>
      <c r="CA832" s="53" t="n">
        <f aca="false">IF(AND(U832="",OR(P832="",P832="LOSE"),T832&lt;&gt;"",N(S832)&lt;=0,ISNUMBER(MATCH(T832,Parameter!$I$27:$I$29,0))),1,0)</f>
        <v>0</v>
      </c>
      <c r="CB832" s="53" t="n">
        <f aca="false">IF(CQ832&gt;0,INDEX(Parameter!$H$5:$H$7,W832)/INDEX(Parameter!$E$5:$E$7,W832),IF(AND(BZ832=0,N(IFERROR(VLOOKUP(BX832,'Gebinde-Kategorie'!$A$5:$N$45,14,0),0))&gt;0),VLOOKUP(BX832,'Gebinde-Kategorie'!$A$5:$N$45,14,0)*10+Parameter!$M$23,Parameter!$M$24))</f>
        <v>155</v>
      </c>
      <c r="CC832" s="48" t="str">
        <f aca="false">IF(AND(Parameter!$B$19="Ja",E832&lt;&gt;"",ISNUMBER(MATCH(E832,Parameter!$I$35:$I$52,0))),VLOOKUP(E832,Parameter!$I$35:$J$52,2,0),IFERROR(VLOOKUP(D832,Parameter!$A$35:$C$64,2,0),"Nein"))</f>
        <v>2+3</v>
      </c>
      <c r="CD832" s="52" t="n">
        <f aca="false">IF(BZ832=0,0,IF(N(S832)&gt;0,S832,IFERROR(VLOOKUP(D832,Parameter!$A$35:$C$64,3,0)+0,0)))</f>
        <v>0</v>
      </c>
      <c r="CE832" s="48" t="n">
        <f aca="false">IF(AA832&lt;&gt;"",AA832,Z832)</f>
        <v>3</v>
      </c>
      <c r="CF832" s="48" t="str">
        <f aca="false">IF(OR(CE832=1,CE832=2,CE832=3),IF(Parameter!$E$27="Ja","LIFT",IF(CE832=1,"L1","L23")),IF(CE832="Aussen","Aussen","-"))</f>
        <v>LIFT</v>
      </c>
      <c r="CG832" s="59" t="n">
        <f aca="false">IF(N(AB832)&gt;0,AB832,0)</f>
        <v>0</v>
      </c>
      <c r="CH832" s="53" t="n">
        <f aca="false">IF(ISNUMBER(AE832),1,0)</f>
        <v>0</v>
      </c>
      <c r="CI832" s="50" t="n">
        <f aca="false">N(AE832)</f>
        <v>0</v>
      </c>
      <c r="CJ832" s="50" t="n">
        <f aca="false">N(M832)+N(N832)</f>
        <v>10</v>
      </c>
      <c r="CK832" s="50" t="n">
        <f aca="false">N(M832)</f>
        <v>0</v>
      </c>
      <c r="CL832" s="50" t="n">
        <f aca="false">N(N832)</f>
        <v>10</v>
      </c>
      <c r="CM832" s="50" t="n">
        <f aca="false">ROUNDUP(H832/BY832,0)</f>
        <v>1</v>
      </c>
      <c r="CN832" s="50" t="n">
        <f aca="false">ROUNDUP(CI832/BY832,0)</f>
        <v>0</v>
      </c>
      <c r="CO832" s="53" t="n">
        <f aca="false">IF(BZ832=1,0,IFERROR(VLOOKUP(BX832,'Gebinde-Kategorie'!$A$5:$N$45,5,0)+0,0))</f>
        <v>8</v>
      </c>
      <c r="CP832" s="53" t="n">
        <f aca="false">IFERROR(IF(OR(CE832=1,CE832=2,CE832=3),N(INDEX(Parameter!$I$5:$I$7,CE832)),0),0)</f>
        <v>0</v>
      </c>
      <c r="CQ832" s="52" t="n">
        <f aca="false">IF(AND(Parameter!$B$21="Ja",ISNUMBER(W832),N(X832)&gt;0),IFERROR(N(INDEX(Parameter!$L$5:$L$7,W832))*INDEX(Parameter!$E$5:$E$7,W832)*X832/SUMIFS($X$7:$X$1843,$W$7:$W$1843,W832),0),0)</f>
        <v>0</v>
      </c>
    </row>
    <row r="833" customFormat="false" ht="15" hidden="false" customHeight="false" outlineLevel="0" collapsed="false">
      <c r="A833" s="48" t="s">
        <v>1611</v>
      </c>
      <c r="B833" s="48" t="s">
        <v>1145</v>
      </c>
      <c r="C833" s="48" t="s">
        <v>173</v>
      </c>
      <c r="D833" s="48" t="s">
        <v>193</v>
      </c>
      <c r="E833" s="48"/>
      <c r="F833" s="48" t="s">
        <v>227</v>
      </c>
      <c r="G833" s="49" t="n">
        <v>3.91</v>
      </c>
      <c r="H833" s="50" t="n">
        <f aca="false">MAX(0,IF(AND(Parameter!$B$21="Ja",ISNUMBER(Y833)),Y833,IF(Parameter!$B$20="Jahresanfang 2025 + Export",BR833+BQ833,BQ833)))</f>
        <v>2</v>
      </c>
      <c r="I833" s="50" t="n">
        <f aca="false">H833*G833</f>
        <v>7.82</v>
      </c>
      <c r="J833" s="50" t="n">
        <f aca="false">BT833*Parameter!$B$18</f>
        <v>5</v>
      </c>
      <c r="K833" s="51" t="n">
        <v>14</v>
      </c>
      <c r="L833" s="52" t="n">
        <v>0.357142857142857</v>
      </c>
      <c r="M833" s="50" t="n">
        <v>0</v>
      </c>
      <c r="N833" s="50" t="n">
        <v>5</v>
      </c>
      <c r="O833" s="53" t="n">
        <v>14</v>
      </c>
      <c r="P833" s="48" t="s">
        <v>177</v>
      </c>
      <c r="Q833" s="50"/>
      <c r="R833" s="53" t="n">
        <f aca="false">IF(BZ833=1,0,IFERROR(VLOOKUP(BX833,'Gebinde-Kategorie'!$A$5:$N$45,13,0)+0,0))</f>
        <v>26</v>
      </c>
      <c r="S833" s="54"/>
      <c r="T833" s="55" t="s">
        <v>284</v>
      </c>
      <c r="U833" s="55"/>
      <c r="V833" s="55"/>
      <c r="W833" s="48"/>
      <c r="X833" s="50"/>
      <c r="Y833" s="50"/>
      <c r="Z833" s="48" t="n">
        <f aca="false">IF(A833="","",IF(AND(Parameter!$B$21="Ja",ISNUMBER(W833)),W833,IF(CC833="2+3",IF(ISNUMBER(SEARCH("grosser Artikel",BU833)),2,IFERROR(VLOOKUP(BX833,Parameter!$F$35:$G$64,2,0),2)),IF(OR(CC833="Nein",CC833=""),"-",CC833))))</f>
        <v>3</v>
      </c>
      <c r="AA833" s="55"/>
      <c r="AB833" s="56"/>
      <c r="AC833" s="50" t="n">
        <f aca="false">AV833</f>
        <v>5</v>
      </c>
      <c r="AD833" s="50" t="n">
        <f aca="false">MAX(AV833,H833)</f>
        <v>5</v>
      </c>
      <c r="AE833" s="57"/>
      <c r="AF833" s="50" t="n">
        <f aca="false">IF(LEFT(Cockpit!$C$5,1)="A",H833,IF(Parameter!$E$30="MAX-Bestand",IF(CH833=1,CI833,IF(LEFT(Cockpit!$C$5,1)="B",AL833,MAX(AL833,H833))),ROUNDUP(AJ833,0)))</f>
        <v>2</v>
      </c>
      <c r="AG833" s="50" t="n">
        <f aca="false">IF(BZ833=1,0,ROUNDUP(AF833/BY833,0))</f>
        <v>1</v>
      </c>
      <c r="AH833" s="52" t="n">
        <f aca="false">IF(CQ833&gt;0,CQ833*MAX(1,AF833/X833),IF(BZ833=1,IF(AF833&lt;=0,0,CD833*MAX(1,IF(H833&gt;0,AF833/H833,1))),IF(R833&gt;0,AG833/R833,0))/MAX(0.1,N(Parameter!$M$21)))</f>
        <v>0.0384615384615385</v>
      </c>
      <c r="AI833" s="50" t="n">
        <f aca="false">AH833*CB833</f>
        <v>5.96153846153846</v>
      </c>
      <c r="AJ833" s="51" t="n">
        <f aca="false">IF(LEFT(Cockpit!$C$5,1)="A",H833,IF(CH833=1,(CK833+CI833)/2,IF(LEFT(Cockpit!$C$5,1)="B",(CK833+AL833)/2,MAX((CK833+AL833)/2,H833))))</f>
        <v>2</v>
      </c>
      <c r="AK833" s="50" t="n">
        <f aca="false">AJ833*G833</f>
        <v>7.82</v>
      </c>
      <c r="AL833" s="50" t="n">
        <f aca="false">ROUNDUP(CK833+MAX(CL833,2*(J833/IF(CG833&gt;0,CG833,MAX(0.1,N(Cockpit!$C$6)))-CK833)),0)</f>
        <v>5</v>
      </c>
      <c r="AM833" s="51" t="n">
        <f aca="false">IF(AI833&gt;0,J833/AI833,-1)</f>
        <v>0.838709677419355</v>
      </c>
      <c r="AN833" s="51" t="n">
        <f aca="false">IF(AND(OR(CF833="L1",CF833="L23",CF833="LIFT"),AI833&gt;0),SUMIFS($AI$7:$AI$1843,$CF$7:$CF$1843,CF833,$AM$7:$AM$1843,"&gt;"&amp;AM833)+SUMIFS($AI$7:$AI$1843,$CF$7:$CF$1843,CF833,$AM$7:$AM$1843,AM833,$BW$7:$BW$1843,"&lt;="&amp;BW833),"")</f>
        <v>7884.70192307692</v>
      </c>
      <c r="AO833" s="58" t="n">
        <f aca="false">IF(AN833="",0,MAX(0,MIN(1,(IF(CF833="L1",Parameter!$H$5,IF(CF833="L23",Parameter!$H$6+Parameter!$H$7,Parameter!$H$5+Parameter!$H$6+Parameter!$H$7))-(AN833-AI833))/AI833)))</f>
        <v>1</v>
      </c>
      <c r="AP833" s="50" t="n">
        <f aca="false">IF(LEFT(Cockpit!$I$5,1)="A",H833,IF(Parameter!$E$30="MAX-Bestand",IF(CH833=1,CI833,IF(LEFT(Cockpit!$I$5,1)="B",AV833,MAX(AV833,H833))),ROUNDUP(AT833,0)))</f>
        <v>3</v>
      </c>
      <c r="AQ833" s="50" t="n">
        <f aca="false">IF(BZ833=1,0,ROUNDUP(AP833/BY833,0))</f>
        <v>1</v>
      </c>
      <c r="AR833" s="52" t="n">
        <f aca="false">IF(CQ833&gt;0,CQ833*MAX(1,AP833/X833),IF(BZ833=1,IF(AP833&lt;=0,0,CD833*MAX(1,IF(H833&gt;0,AP833/H833,1))),IF(R833&gt;0,AQ833/R833,0))/MAX(0.1,N(Parameter!$M$21)))</f>
        <v>0.0384615384615385</v>
      </c>
      <c r="AS833" s="50" t="n">
        <f aca="false">AR833*CB833</f>
        <v>5.96153846153846</v>
      </c>
      <c r="AT833" s="51" t="n">
        <f aca="false">IF(LEFT(Cockpit!$I$5,1)="A",H833,IF(CH833=1,(CK833+CI833)/2,IF(LEFT(Cockpit!$I$5,1)="B",(CK833+AV833)/2,MAX((CK833+AV833)/2,H833))))</f>
        <v>2.5</v>
      </c>
      <c r="AU833" s="50" t="n">
        <f aca="false">AT833*G833</f>
        <v>9.775</v>
      </c>
      <c r="AV833" s="50" t="n">
        <f aca="false">ROUNDUP(CK833+MAX(CL833,2*(J833/IF(CG833&gt;0,CG833,MAX(0.1,N(Cockpit!$I$6)))-CK833)),0)</f>
        <v>5</v>
      </c>
      <c r="AW833" s="51" t="n">
        <f aca="false">IF(AS833&gt;0,J833/AS833,-1)</f>
        <v>0.838709677419355</v>
      </c>
      <c r="AX833" s="51" t="n">
        <f aca="false">IF(AND(OR(CF833="L1",CF833="L23",CF833="LIFT"),AS833&gt;0),SUMIFS($AS$7:$AS$1843,$CF$7:$CF$1843,CF833,$AW$7:$AW$1843,"&gt;"&amp;AW833)+SUMIFS($AS$7:$AS$1843,$CF$7:$CF$1843,CF833,$AW$7:$AW$1843,AW833,$BW$7:$BW$1843,"&lt;="&amp;BW833),"")</f>
        <v>9640.10347985348</v>
      </c>
      <c r="AY833" s="58" t="n">
        <f aca="false">IF(AX833="",0,MAX(0,MIN(1,(IF(CF833="L1",Parameter!$H$5,IF(CF833="L23",Parameter!$H$6+Parameter!$H$7,Parameter!$H$5+Parameter!$H$6+Parameter!$H$7))-(AX833-AS833))/AS833)))</f>
        <v>1</v>
      </c>
      <c r="AZ833" s="50" t="n">
        <f aca="false">IF(LEFT(Cockpit!$O$5,1)="A",H833,IF(Parameter!$E$30="MAX-Bestand",IF(CH833=1,CI833,IF(LEFT(Cockpit!$O$5,1)="B",BF833,MAX(BF833,H833))),ROUNDUP(BD833,0)))</f>
        <v>3</v>
      </c>
      <c r="BA833" s="50" t="n">
        <f aca="false">IF(BZ833=1,0,ROUNDUP(AZ833/BY833,0))</f>
        <v>1</v>
      </c>
      <c r="BB833" s="52" t="n">
        <f aca="false">IF(CQ833&gt;0,CQ833*MAX(1,AZ833/X833),IF(BZ833=1,IF(AZ833&lt;=0,0,CD833*MAX(1,IF(H833&gt;0,AZ833/H833,1))),IF(R833&gt;0,BA833/R833,0))/MAX(0.1,N(Parameter!$M$21)))</f>
        <v>0.0384615384615385</v>
      </c>
      <c r="BC833" s="50" t="n">
        <f aca="false">BB833*CB833</f>
        <v>5.96153846153846</v>
      </c>
      <c r="BD833" s="51" t="n">
        <f aca="false">IF(LEFT(Cockpit!$O$5,1)="A",H833,IF(CH833=1,(CK833+CI833)/2,IF(LEFT(Cockpit!$O$5,1)="B",(CK833+BF833)/2,MAX((CK833+BF833)/2,H833))))</f>
        <v>2.5</v>
      </c>
      <c r="BE833" s="50" t="n">
        <f aca="false">BD833*G833</f>
        <v>9.775</v>
      </c>
      <c r="BF833" s="50" t="n">
        <f aca="false">ROUNDUP(CK833+MAX(CL833,2*(J833/IF(CG833&gt;0,CG833,MAX(0.1,N(Cockpit!$O$6)))-CK833)),0)</f>
        <v>5</v>
      </c>
      <c r="BG833" s="51" t="n">
        <f aca="false">IF(BC833&gt;0,J833/BC833,-1)</f>
        <v>0.838709677419355</v>
      </c>
      <c r="BH833" s="51" t="n">
        <f aca="false">IF(AND(OR(CF833="L1",CF833="L23",CF833="LIFT"),BC833&gt;0),SUMIFS($BC$7:$BC$1843,$CF$7:$CF$1843,CF833,$BG$7:$BG$1843,"&gt;"&amp;BG833)+SUMIFS($BC$7:$BC$1843,$CF$7:$CF$1843,CF833,$BG$7:$BG$1843,BG833,$BW$7:$BW$1843,"&lt;="&amp;BW833),"")</f>
        <v>8601.17994505494</v>
      </c>
      <c r="BI833" s="58" t="n">
        <f aca="false">IF(BH833="",0,MAX(0,MIN(1,(IF(CF833="L1",Parameter!$H$5,IF(CF833="L23",Parameter!$H$6+Parameter!$H$7,Parameter!$H$5+Parameter!$H$6+Parameter!$H$7))-(BH833-BC833))/BC833)))</f>
        <v>1</v>
      </c>
      <c r="BJ833" s="48" t="str">
        <f aca="false">IF(AI833&lt;=0,"",IF(CF833="Aussen","Aussenlager",IF(CF833="-","Nicht im Lift",IF(AO833&gt;=1,"Lift",IF(AO833&lt;=0,"Aussenlager","teilweise")))))</f>
        <v>Lift</v>
      </c>
      <c r="BK833" s="48" t="str">
        <f aca="false">IF(AS833&lt;=0,"",IF(CF833="Aussen","Aussenlager",IF(CF833="-","Nicht im Lift",IF(AY833&gt;=1,"Lift",IF(AY833&lt;=0,"Aussenlager","teilweise")))))</f>
        <v>Lift</v>
      </c>
      <c r="BL833" s="48" t="str">
        <f aca="false">IF(BC833&lt;=0,"",IF(CF833="Aussen","Aussenlager",IF(CF833="-","Nicht im Lift",IF(BI833&gt;=1,"Lift",IF(BI833&lt;=0,"Aussenlager","teilweise")))))</f>
        <v>Lift</v>
      </c>
      <c r="BM833" s="48" t="str">
        <f aca="false">IF(A833="","",IF(BV833=1,"Neu; ","")&amp;IF(AND(BV833=0,BQ833&lt;0),"negativer Bestand (Export "&amp;BQ833&amp;"); ","")&amp;IF(J833&lt;=0,"Kein Verbrauch; ","")&amp;IF(CQ833&gt;0,"Lift "&amp;W833&amp;" lt. Liftbericht (Fach "&amp;X833&amp;" Stk); ",IF(CA833=1,"Gebinde geschätzt ("&amp;T833&amp;"); ",IF(BZ833=1,"Lose – Tablare geschätzt; ","")))&amp;IF(H833&gt;AV833,"Überbestand "&amp;ROUND(H833-AV833,0)&amp;" Stk / CHF "&amp;ROUND((H833-AV833)*G833,0)&amp;"; ","")&amp;IF(AND(CH833=1,CI833&lt;CJ833),"MAX &lt; MB+LG; ","")&amp;IF(AND(CP833&gt;0,CO833*10&gt;CP833),"zu hoch für Tablar; ","")&amp;IF(AND(BV833=0,OR(CH833=1,AA833&lt;&gt;"",U833&lt;&gt;"",V833&lt;&gt;"",AB833&lt;&gt;"")),"manuell übersteuert; ","")&amp;IF(AND(BZ833=0,R833=0),"Gebinde unbekannt / Stellmass fehlt; ","")&amp;IF(AND(BZ833=0,N(V833)&lt;=0,N(Q833)&lt;=0),"Menge pro Gebinde fehlt (Ist = 1 Gebinde); ","")&amp;BU833)</f>
        <v>Gebinde geschätzt (Klein); Menge pro Gebinde fehlt (Ist = 1 Gebinde); </v>
      </c>
      <c r="BN833" s="48"/>
      <c r="BO833" s="48"/>
      <c r="BP833" s="55"/>
      <c r="BQ833" s="50" t="n">
        <v>0</v>
      </c>
      <c r="BR833" s="50" t="n">
        <v>2</v>
      </c>
      <c r="BS833" s="49" t="n">
        <v>-11.26</v>
      </c>
      <c r="BT833" s="50" t="n">
        <v>5</v>
      </c>
      <c r="BU833" s="48"/>
      <c r="BV833" s="53" t="n">
        <v>0</v>
      </c>
      <c r="BW833" s="53" t="n">
        <v>833</v>
      </c>
      <c r="BX833" s="48" t="str">
        <f aca="false">IF(U833&lt;&gt;"",UPPER(TRIM(U833)),IF(CA833=1,UPPER(VLOOKUP(T833,Parameter!$I$27:$K$29,2,0)),IF(P833="","LOSE",P833)))</f>
        <v>S51</v>
      </c>
      <c r="BY833" s="50" t="n">
        <f aca="false">IF(BX833="LOSE",1,IF(N(V833)&gt;0,V833,IF(CA833=1,MAX(1,N(VLOOKUP(T833,Parameter!$I$27:$K$29,3,0)),H833,N(N833)),IF(N(Q833)&gt;0,Q833,MAX(1,H833)))))</f>
        <v>20</v>
      </c>
      <c r="BZ833" s="53" t="n">
        <f aca="false">IF(BX833="LOSE",1,0)</f>
        <v>0</v>
      </c>
      <c r="CA833" s="53" t="n">
        <f aca="false">IF(AND(U833="",OR(P833="",P833="LOSE"),T833&lt;&gt;"",N(S833)&lt;=0,ISNUMBER(MATCH(T833,Parameter!$I$27:$I$29,0))),1,0)</f>
        <v>1</v>
      </c>
      <c r="CB833" s="53" t="n">
        <f aca="false">IF(CQ833&gt;0,INDEX(Parameter!$H$5:$H$7,W833)/INDEX(Parameter!$E$5:$E$7,W833),IF(AND(BZ833=0,N(IFERROR(VLOOKUP(BX833,'Gebinde-Kategorie'!$A$5:$N$45,14,0),0))&gt;0),VLOOKUP(BX833,'Gebinde-Kategorie'!$A$5:$N$45,14,0)*10+Parameter!$M$23,Parameter!$M$24))</f>
        <v>155</v>
      </c>
      <c r="CC833" s="48" t="str">
        <f aca="false">IF(AND(Parameter!$B$19="Ja",E833&lt;&gt;"",ISNUMBER(MATCH(E833,Parameter!$I$35:$I$52,0))),VLOOKUP(E833,Parameter!$I$35:$J$52,2,0),IFERROR(VLOOKUP(D833,Parameter!$A$35:$C$64,2,0),"Nein"))</f>
        <v>2+3</v>
      </c>
      <c r="CD833" s="52" t="n">
        <f aca="false">IF(BZ833=0,0,IF(N(S833)&gt;0,S833,IFERROR(VLOOKUP(D833,Parameter!$A$35:$C$64,3,0)+0,0)))</f>
        <v>0</v>
      </c>
      <c r="CE833" s="48" t="n">
        <f aca="false">IF(AA833&lt;&gt;"",AA833,Z833)</f>
        <v>3</v>
      </c>
      <c r="CF833" s="48" t="str">
        <f aca="false">IF(OR(CE833=1,CE833=2,CE833=3),IF(Parameter!$E$27="Ja","LIFT",IF(CE833=1,"L1","L23")),IF(CE833="Aussen","Aussen","-"))</f>
        <v>LIFT</v>
      </c>
      <c r="CG833" s="59" t="n">
        <f aca="false">IF(N(AB833)&gt;0,AB833,0)</f>
        <v>0</v>
      </c>
      <c r="CH833" s="53" t="n">
        <f aca="false">IF(ISNUMBER(AE833),1,0)</f>
        <v>0</v>
      </c>
      <c r="CI833" s="50" t="n">
        <f aca="false">N(AE833)</f>
        <v>0</v>
      </c>
      <c r="CJ833" s="50" t="n">
        <f aca="false">N(M833)+N(N833)</f>
        <v>5</v>
      </c>
      <c r="CK833" s="50" t="n">
        <f aca="false">N(M833)</f>
        <v>0</v>
      </c>
      <c r="CL833" s="50" t="n">
        <f aca="false">N(N833)</f>
        <v>5</v>
      </c>
      <c r="CM833" s="50" t="n">
        <f aca="false">ROUNDUP(H833/BY833,0)</f>
        <v>1</v>
      </c>
      <c r="CN833" s="50" t="n">
        <f aca="false">ROUNDUP(CI833/BY833,0)</f>
        <v>0</v>
      </c>
      <c r="CO833" s="53" t="n">
        <f aca="false">IF(BZ833=1,0,IFERROR(VLOOKUP(BX833,'Gebinde-Kategorie'!$A$5:$N$45,5,0)+0,0))</f>
        <v>11</v>
      </c>
      <c r="CP833" s="53" t="n">
        <f aca="false">IFERROR(IF(OR(CE833=1,CE833=2,CE833=3),N(INDEX(Parameter!$I$5:$I$7,CE833)),0),0)</f>
        <v>0</v>
      </c>
      <c r="CQ833" s="52" t="n">
        <f aca="false">IF(AND(Parameter!$B$21="Ja",ISNUMBER(W833),N(X833)&gt;0),IFERROR(N(INDEX(Parameter!$L$5:$L$7,W833))*INDEX(Parameter!$E$5:$E$7,W833)*X833/SUMIFS($X$7:$X$1843,$W$7:$W$1843,W833),0),0)</f>
        <v>0</v>
      </c>
    </row>
    <row r="834" customFormat="false" ht="15" hidden="false" customHeight="false" outlineLevel="0" collapsed="false">
      <c r="A834" s="48" t="s">
        <v>1612</v>
      </c>
      <c r="B834" s="48" t="s">
        <v>733</v>
      </c>
      <c r="C834" s="48" t="s">
        <v>173</v>
      </c>
      <c r="D834" s="48" t="s">
        <v>193</v>
      </c>
      <c r="E834" s="48" t="s">
        <v>194</v>
      </c>
      <c r="F834" s="48" t="s">
        <v>227</v>
      </c>
      <c r="G834" s="49" t="n">
        <v>11.59</v>
      </c>
      <c r="H834" s="50" t="n">
        <f aca="false">MAX(0,IF(AND(Parameter!$B$21="Ja",ISNUMBER(Y834)),Y834,IF(Parameter!$B$20="Jahresanfang 2025 + Export",BR834+BQ834,BQ834)))</f>
        <v>10</v>
      </c>
      <c r="I834" s="50" t="n">
        <f aca="false">H834*G834</f>
        <v>115.9</v>
      </c>
      <c r="J834" s="50" t="n">
        <f aca="false">BT834*Parameter!$B$18</f>
        <v>0</v>
      </c>
      <c r="K834" s="51" t="n">
        <v>10.5</v>
      </c>
      <c r="L834" s="52" t="n">
        <v>0</v>
      </c>
      <c r="M834" s="50" t="n">
        <v>0</v>
      </c>
      <c r="N834" s="50" t="n">
        <v>1</v>
      </c>
      <c r="O834" s="53" t="n">
        <v>14</v>
      </c>
      <c r="P834" s="48" t="s">
        <v>410</v>
      </c>
      <c r="Q834" s="50" t="n">
        <v>11</v>
      </c>
      <c r="R834" s="53" t="n">
        <f aca="false">IF(BZ834=1,0,IFERROR(VLOOKUP(BX834,'Gebinde-Kategorie'!$A$5:$N$45,13,0)+0,0))</f>
        <v>280</v>
      </c>
      <c r="S834" s="54"/>
      <c r="T834" s="55"/>
      <c r="U834" s="55"/>
      <c r="V834" s="55"/>
      <c r="W834" s="48"/>
      <c r="X834" s="50"/>
      <c r="Y834" s="50"/>
      <c r="Z834" s="48" t="n">
        <f aca="false">IF(A834="","",IF(AND(Parameter!$B$21="Ja",ISNUMBER(W834)),W834,IF(CC834="2+3",IF(ISNUMBER(SEARCH("grosser Artikel",BU834)),2,IFERROR(VLOOKUP(BX834,Parameter!$F$35:$G$64,2,0),2)),IF(OR(CC834="Nein",CC834=""),"-",CC834))))</f>
        <v>3</v>
      </c>
      <c r="AA834" s="55"/>
      <c r="AB834" s="56"/>
      <c r="AC834" s="50" t="n">
        <f aca="false">AV834</f>
        <v>1</v>
      </c>
      <c r="AD834" s="50" t="n">
        <f aca="false">MAX(AV834,H834)</f>
        <v>10</v>
      </c>
      <c r="AE834" s="57"/>
      <c r="AF834" s="50" t="n">
        <f aca="false">IF(LEFT(Cockpit!$C$5,1)="A",H834,IF(Parameter!$E$30="MAX-Bestand",IF(CH834=1,CI834,IF(LEFT(Cockpit!$C$5,1)="B",AL834,MAX(AL834,H834))),ROUNDUP(AJ834,0)))</f>
        <v>10</v>
      </c>
      <c r="AG834" s="50" t="n">
        <f aca="false">IF(BZ834=1,0,ROUNDUP(AF834/BY834,0))</f>
        <v>1</v>
      </c>
      <c r="AH834" s="52" t="n">
        <f aca="false">IF(CQ834&gt;0,CQ834*MAX(1,AF834/X834),IF(BZ834=1,IF(AF834&lt;=0,0,CD834*MAX(1,IF(H834&gt;0,AF834/H834,1))),IF(R834&gt;0,AG834/R834,0))/MAX(0.1,N(Parameter!$M$21)))</f>
        <v>0.00357142857142857</v>
      </c>
      <c r="AI834" s="50" t="n">
        <f aca="false">AH834*CB834</f>
        <v>0.553571428571429</v>
      </c>
      <c r="AJ834" s="51" t="n">
        <f aca="false">IF(LEFT(Cockpit!$C$5,1)="A",H834,IF(CH834=1,(CK834+CI834)/2,IF(LEFT(Cockpit!$C$5,1)="B",(CK834+AL834)/2,MAX((CK834+AL834)/2,H834))))</f>
        <v>10</v>
      </c>
      <c r="AK834" s="50" t="n">
        <f aca="false">AJ834*G834</f>
        <v>115.9</v>
      </c>
      <c r="AL834" s="50" t="n">
        <f aca="false">ROUNDUP(CK834+MAX(CL834,2*(J834/IF(CG834&gt;0,CG834,MAX(0.1,N(Cockpit!$C$6)))-CK834)),0)</f>
        <v>1</v>
      </c>
      <c r="AM834" s="51" t="n">
        <f aca="false">IF(AI834&gt;0,J834/AI834,-1)</f>
        <v>0</v>
      </c>
      <c r="AN834" s="51" t="n">
        <f aca="false">IF(AND(OR(CF834="L1",CF834="L23",CF834="LIFT"),AI834&gt;0),SUMIFS($AI$7:$AI$1843,$CF$7:$CF$1843,CF834,$AM$7:$AM$1843,"&gt;"&amp;AM834)+SUMIFS($AI$7:$AI$1843,$CF$7:$CF$1843,CF834,$AM$7:$AM$1843,AM834,$BW$7:$BW$1843,"&lt;="&amp;BW834),"")</f>
        <v>28787.2295637508</v>
      </c>
      <c r="AO834" s="58" t="n">
        <f aca="false">IF(AN834="",0,MAX(0,MIN(1,(IF(CF834="L1",Parameter!$H$5,IF(CF834="L23",Parameter!$H$6+Parameter!$H$7,Parameter!$H$5+Parameter!$H$6+Parameter!$H$7))-(AN834-AI834))/AI834)))</f>
        <v>1</v>
      </c>
      <c r="AP834" s="50" t="n">
        <f aca="false">IF(LEFT(Cockpit!$I$5,1)="A",H834,IF(Parameter!$E$30="MAX-Bestand",IF(CH834=1,CI834,IF(LEFT(Cockpit!$I$5,1)="B",AV834,MAX(AV834,H834))),ROUNDUP(AT834,0)))</f>
        <v>10</v>
      </c>
      <c r="AQ834" s="50" t="n">
        <f aca="false">IF(BZ834=1,0,ROUNDUP(AP834/BY834,0))</f>
        <v>1</v>
      </c>
      <c r="AR834" s="52" t="n">
        <f aca="false">IF(CQ834&gt;0,CQ834*MAX(1,AP834/X834),IF(BZ834=1,IF(AP834&lt;=0,0,CD834*MAX(1,IF(H834&gt;0,AP834/H834,1))),IF(R834&gt;0,AQ834/R834,0))/MAX(0.1,N(Parameter!$M$21)))</f>
        <v>0.00357142857142857</v>
      </c>
      <c r="AS834" s="50" t="n">
        <f aca="false">AR834*CB834</f>
        <v>0.553571428571429</v>
      </c>
      <c r="AT834" s="51" t="n">
        <f aca="false">IF(LEFT(Cockpit!$I$5,1)="A",H834,IF(CH834=1,(CK834+CI834)/2,IF(LEFT(Cockpit!$I$5,1)="B",(CK834+AV834)/2,MAX((CK834+AV834)/2,H834))))</f>
        <v>10</v>
      </c>
      <c r="AU834" s="50" t="n">
        <f aca="false">AT834*G834</f>
        <v>115.9</v>
      </c>
      <c r="AV834" s="50" t="n">
        <f aca="false">ROUNDUP(CK834+MAX(CL834,2*(J834/IF(CG834&gt;0,CG834,MAX(0.1,N(Cockpit!$I$6)))-CK834)),0)</f>
        <v>1</v>
      </c>
      <c r="AW834" s="51" t="n">
        <f aca="false">IF(AS834&gt;0,J834/AS834,-1)</f>
        <v>0</v>
      </c>
      <c r="AX834" s="51" t="n">
        <f aca="false">IF(AND(OR(CF834="L1",CF834="L23",CF834="LIFT"),AS834&gt;0),SUMIFS($AS$7:$AS$1843,$CF$7:$CF$1843,CF834,$AW$7:$AW$1843,"&gt;"&amp;AW834)+SUMIFS($AS$7:$AS$1843,$CF$7:$CF$1843,CF834,$AW$7:$AW$1843,AW834,$BW$7:$BW$1843,"&lt;="&amp;BW834),"")</f>
        <v>34407.4702380952</v>
      </c>
      <c r="AY834" s="58" t="n">
        <f aca="false">IF(AX834="",0,MAX(0,MIN(1,(IF(CF834="L1",Parameter!$H$5,IF(CF834="L23",Parameter!$H$6+Parameter!$H$7,Parameter!$H$5+Parameter!$H$6+Parameter!$H$7))-(AX834-AS834))/AS834)))</f>
        <v>1</v>
      </c>
      <c r="AZ834" s="50" t="n">
        <f aca="false">IF(LEFT(Cockpit!$O$5,1)="A",H834,IF(Parameter!$E$30="MAX-Bestand",IF(CH834=1,CI834,IF(LEFT(Cockpit!$O$5,1)="B",BF834,MAX(BF834,H834))),ROUNDUP(BD834,0)))</f>
        <v>1</v>
      </c>
      <c r="BA834" s="50" t="n">
        <f aca="false">IF(BZ834=1,0,ROUNDUP(AZ834/BY834,0))</f>
        <v>1</v>
      </c>
      <c r="BB834" s="52" t="n">
        <f aca="false">IF(CQ834&gt;0,CQ834*MAX(1,AZ834/X834),IF(BZ834=1,IF(AZ834&lt;=0,0,CD834*MAX(1,IF(H834&gt;0,AZ834/H834,1))),IF(R834&gt;0,BA834/R834,0))/MAX(0.1,N(Parameter!$M$21)))</f>
        <v>0.00357142857142857</v>
      </c>
      <c r="BC834" s="50" t="n">
        <f aca="false">BB834*CB834</f>
        <v>0.553571428571429</v>
      </c>
      <c r="BD834" s="51" t="n">
        <f aca="false">IF(LEFT(Cockpit!$O$5,1)="A",H834,IF(CH834=1,(CK834+CI834)/2,IF(LEFT(Cockpit!$O$5,1)="B",(CK834+BF834)/2,MAX((CK834+BF834)/2,H834))))</f>
        <v>0.5</v>
      </c>
      <c r="BE834" s="50" t="n">
        <f aca="false">BD834*G834</f>
        <v>5.795</v>
      </c>
      <c r="BF834" s="50" t="n">
        <f aca="false">ROUNDUP(CK834+MAX(CL834,2*(J834/IF(CG834&gt;0,CG834,MAX(0.1,N(Cockpit!$O$6)))-CK834)),0)</f>
        <v>1</v>
      </c>
      <c r="BG834" s="51" t="n">
        <f aca="false">IF(BC834&gt;0,J834/BC834,-1)</f>
        <v>0</v>
      </c>
      <c r="BH834" s="51" t="n">
        <f aca="false">IF(AND(OR(CF834="L1",CF834="L23",CF834="LIFT"),BC834&gt;0),SUMIFS($BC$7:$BC$1843,$CF$7:$CF$1843,CF834,$BG$7:$BG$1843,"&gt;"&amp;BG834)+SUMIFS($BC$7:$BC$1843,$CF$7:$CF$1843,CF834,$BG$7:$BG$1843,BG834,$BW$7:$BW$1843,"&lt;="&amp;BW834),"")</f>
        <v>28447.2521729683</v>
      </c>
      <c r="BI834" s="58" t="n">
        <f aca="false">IF(BH834="",0,MAX(0,MIN(1,(IF(CF834="L1",Parameter!$H$5,IF(CF834="L23",Parameter!$H$6+Parameter!$H$7,Parameter!$H$5+Parameter!$H$6+Parameter!$H$7))-(BH834-BC834))/BC834)))</f>
        <v>1</v>
      </c>
      <c r="BJ834" s="48" t="str">
        <f aca="false">IF(AI834&lt;=0,"",IF(CF834="Aussen","Aussenlager",IF(CF834="-","Nicht im Lift",IF(AO834&gt;=1,"Lift",IF(AO834&lt;=0,"Aussenlager","teilweise")))))</f>
        <v>Lift</v>
      </c>
      <c r="BK834" s="48" t="str">
        <f aca="false">IF(AS834&lt;=0,"",IF(CF834="Aussen","Aussenlager",IF(CF834="-","Nicht im Lift",IF(AY834&gt;=1,"Lift",IF(AY834&lt;=0,"Aussenlager","teilweise")))))</f>
        <v>Lift</v>
      </c>
      <c r="BL834" s="48" t="str">
        <f aca="false">IF(BC834&lt;=0,"",IF(CF834="Aussen","Aussenlager",IF(CF834="-","Nicht im Lift",IF(BI834&gt;=1,"Lift",IF(BI834&lt;=0,"Aussenlager","teilweise")))))</f>
        <v>Lift</v>
      </c>
      <c r="BM834" s="48" t="str">
        <f aca="false">IF(A834="","",IF(BV834=1,"Neu; ","")&amp;IF(AND(BV834=0,BQ834&lt;0),"negativer Bestand (Export "&amp;BQ834&amp;"); ","")&amp;IF(J834&lt;=0,"Kein Verbrauch; ","")&amp;IF(CQ834&gt;0,"Lift "&amp;W834&amp;" lt. Liftbericht (Fach "&amp;X834&amp;" Stk); ",IF(CA834=1,"Gebinde geschätzt ("&amp;T834&amp;"); ",IF(BZ834=1,"Lose – Tablare geschätzt; ","")))&amp;IF(H834&gt;AV834,"Überbestand "&amp;ROUND(H834-AV834,0)&amp;" Stk / CHF "&amp;ROUND((H834-AV834)*G834,0)&amp;"; ","")&amp;IF(AND(CH834=1,CI834&lt;CJ834),"MAX &lt; MB+LG; ","")&amp;IF(AND(CP834&gt;0,CO834*10&gt;CP834),"zu hoch für Tablar; ","")&amp;IF(AND(BV834=0,OR(CH834=1,AA834&lt;&gt;"",U834&lt;&gt;"",V834&lt;&gt;"",AB834&lt;&gt;"")),"manuell übersteuert; ","")&amp;IF(AND(BZ834=0,R834=0),"Gebinde unbekannt / Stellmass fehlt; ","")&amp;IF(AND(BZ834=0,N(V834)&lt;=0,N(Q834)&lt;=0),"Menge pro Gebinde fehlt (Ist = 1 Gebinde); ","")&amp;BU834)</f>
        <v>negativer Bestand (Export -1); Kein Verbrauch; Überbestand 9 Stk / CHF 104; Neu</v>
      </c>
      <c r="BN834" s="48"/>
      <c r="BO834" s="48"/>
      <c r="BP834" s="55"/>
      <c r="BQ834" s="50" t="n">
        <v>-1</v>
      </c>
      <c r="BR834" s="50" t="n">
        <v>11</v>
      </c>
      <c r="BS834" s="49" t="n">
        <v>-11.59</v>
      </c>
      <c r="BT834" s="50" t="n">
        <v>0</v>
      </c>
      <c r="BU834" s="48" t="s">
        <v>635</v>
      </c>
      <c r="BV834" s="53" t="n">
        <v>0</v>
      </c>
      <c r="BW834" s="53" t="n">
        <v>834</v>
      </c>
      <c r="BX834" s="48" t="str">
        <f aca="false">IF(U834&lt;&gt;"",UPPER(TRIM(U834)),IF(CA834=1,UPPER(VLOOKUP(T834,Parameter!$I$27:$K$29,2,0)),IF(P834="","LOSE",P834)))</f>
        <v>S21</v>
      </c>
      <c r="BY834" s="50" t="n">
        <f aca="false">IF(BX834="LOSE",1,IF(N(V834)&gt;0,V834,IF(CA834=1,MAX(1,N(VLOOKUP(T834,Parameter!$I$27:$K$29,3,0)),H834,N(N834)),IF(N(Q834)&gt;0,Q834,MAX(1,H834)))))</f>
        <v>11</v>
      </c>
      <c r="BZ834" s="53" t="n">
        <f aca="false">IF(BX834="LOSE",1,0)</f>
        <v>0</v>
      </c>
      <c r="CA834" s="53" t="n">
        <f aca="false">IF(AND(U834="",OR(P834="",P834="LOSE"),T834&lt;&gt;"",N(S834)&lt;=0,ISNUMBER(MATCH(T834,Parameter!$I$27:$I$29,0))),1,0)</f>
        <v>0</v>
      </c>
      <c r="CB834" s="53" t="n">
        <f aca="false">IF(CQ834&gt;0,INDEX(Parameter!$H$5:$H$7,W834)/INDEX(Parameter!$E$5:$E$7,W834),IF(AND(BZ834=0,N(IFERROR(VLOOKUP(BX834,'Gebinde-Kategorie'!$A$5:$N$45,14,0),0))&gt;0),VLOOKUP(BX834,'Gebinde-Kategorie'!$A$5:$N$45,14,0)*10+Parameter!$M$23,Parameter!$M$24))</f>
        <v>155</v>
      </c>
      <c r="CC834" s="48" t="str">
        <f aca="false">IF(AND(Parameter!$B$19="Ja",E834&lt;&gt;"",ISNUMBER(MATCH(E834,Parameter!$I$35:$I$52,0))),VLOOKUP(E834,Parameter!$I$35:$J$52,2,0),IFERROR(VLOOKUP(D834,Parameter!$A$35:$C$64,2,0),"Nein"))</f>
        <v>2+3</v>
      </c>
      <c r="CD834" s="52" t="n">
        <f aca="false">IF(BZ834=0,0,IF(N(S834)&gt;0,S834,IFERROR(VLOOKUP(D834,Parameter!$A$35:$C$64,3,0)+0,0)))</f>
        <v>0</v>
      </c>
      <c r="CE834" s="48" t="n">
        <f aca="false">IF(AA834&lt;&gt;"",AA834,Z834)</f>
        <v>3</v>
      </c>
      <c r="CF834" s="48" t="str">
        <f aca="false">IF(OR(CE834=1,CE834=2,CE834=3),IF(Parameter!$E$27="Ja","LIFT",IF(CE834=1,"L1","L23")),IF(CE834="Aussen","Aussen","-"))</f>
        <v>LIFT</v>
      </c>
      <c r="CG834" s="59" t="n">
        <f aca="false">IF(N(AB834)&gt;0,AB834,0)</f>
        <v>0</v>
      </c>
      <c r="CH834" s="53" t="n">
        <f aca="false">IF(ISNUMBER(AE834),1,0)</f>
        <v>0</v>
      </c>
      <c r="CI834" s="50" t="n">
        <f aca="false">N(AE834)</f>
        <v>0</v>
      </c>
      <c r="CJ834" s="50" t="n">
        <f aca="false">N(M834)+N(N834)</f>
        <v>1</v>
      </c>
      <c r="CK834" s="50" t="n">
        <f aca="false">N(M834)</f>
        <v>0</v>
      </c>
      <c r="CL834" s="50" t="n">
        <f aca="false">N(N834)</f>
        <v>1</v>
      </c>
      <c r="CM834" s="50" t="n">
        <f aca="false">ROUNDUP(H834/BY834,0)</f>
        <v>1</v>
      </c>
      <c r="CN834" s="50" t="n">
        <f aca="false">ROUNDUP(CI834/BY834,0)</f>
        <v>0</v>
      </c>
      <c r="CO834" s="53" t="n">
        <f aca="false">IF(BZ834=1,0,IFERROR(VLOOKUP(BX834,'Gebinde-Kategorie'!$A$5:$N$45,5,0)+0,0))</f>
        <v>8</v>
      </c>
      <c r="CP834" s="53" t="n">
        <f aca="false">IFERROR(IF(OR(CE834=1,CE834=2,CE834=3),N(INDEX(Parameter!$I$5:$I$7,CE834)),0),0)</f>
        <v>0</v>
      </c>
      <c r="CQ834" s="52" t="n">
        <f aca="false">IF(AND(Parameter!$B$21="Ja",ISNUMBER(W834),N(X834)&gt;0),IFERROR(N(INDEX(Parameter!$L$5:$L$7,W834))*INDEX(Parameter!$E$5:$E$7,W834)*X834/SUMIFS($X$7:$X$1843,$W$7:$W$1843,W834),0),0)</f>
        <v>0</v>
      </c>
    </row>
    <row r="835" customFormat="false" ht="15" hidden="false" customHeight="false" outlineLevel="0" collapsed="false">
      <c r="A835" s="48" t="s">
        <v>1613</v>
      </c>
      <c r="B835" s="48" t="s">
        <v>1614</v>
      </c>
      <c r="C835" s="48" t="s">
        <v>173</v>
      </c>
      <c r="D835" s="48" t="s">
        <v>193</v>
      </c>
      <c r="E835" s="48" t="s">
        <v>194</v>
      </c>
      <c r="F835" s="48" t="s">
        <v>227</v>
      </c>
      <c r="G835" s="49" t="n">
        <v>0.91</v>
      </c>
      <c r="H835" s="50" t="n">
        <f aca="false">MAX(0,IF(AND(Parameter!$B$21="Ja",ISNUMBER(Y835)),Y835,IF(Parameter!$B$20="Jahresanfang 2025 + Export",BR835+BQ835,BQ835)))</f>
        <v>26</v>
      </c>
      <c r="I835" s="50" t="n">
        <f aca="false">H835*G835</f>
        <v>23.66</v>
      </c>
      <c r="J835" s="50" t="n">
        <f aca="false">BT835*Parameter!$B$18</f>
        <v>10</v>
      </c>
      <c r="K835" s="51" t="n">
        <v>34</v>
      </c>
      <c r="L835" s="52" t="n">
        <v>0.294117647058824</v>
      </c>
      <c r="M835" s="50" t="n">
        <v>0</v>
      </c>
      <c r="N835" s="50" t="n">
        <v>10</v>
      </c>
      <c r="O835" s="53" t="n">
        <v>21</v>
      </c>
      <c r="P835" s="48" t="s">
        <v>485</v>
      </c>
      <c r="Q835" s="50" t="n">
        <v>65</v>
      </c>
      <c r="R835" s="53" t="n">
        <f aca="false">IF(BZ835=1,0,IFERROR(VLOOKUP(BX835,'Gebinde-Kategorie'!$A$5:$N$45,13,0)+0,0))</f>
        <v>52</v>
      </c>
      <c r="S835" s="54"/>
      <c r="T835" s="55"/>
      <c r="U835" s="55"/>
      <c r="V835" s="55"/>
      <c r="W835" s="48"/>
      <c r="X835" s="50"/>
      <c r="Y835" s="50"/>
      <c r="Z835" s="48" t="n">
        <f aca="false">IF(A835="","",IF(AND(Parameter!$B$21="Ja",ISNUMBER(W835)),W835,IF(CC835="2+3",IF(ISNUMBER(SEARCH("grosser Artikel",BU835)),2,IFERROR(VLOOKUP(BX835,Parameter!$F$35:$G$64,2,0),2)),IF(OR(CC835="Nein",CC835=""),"-",CC835))))</f>
        <v>3</v>
      </c>
      <c r="AA835" s="55"/>
      <c r="AB835" s="56"/>
      <c r="AC835" s="50" t="n">
        <f aca="false">AV835</f>
        <v>10</v>
      </c>
      <c r="AD835" s="50" t="n">
        <f aca="false">MAX(AV835,H835)</f>
        <v>26</v>
      </c>
      <c r="AE835" s="57"/>
      <c r="AF835" s="50" t="n">
        <f aca="false">IF(LEFT(Cockpit!$C$5,1)="A",H835,IF(Parameter!$E$30="MAX-Bestand",IF(CH835=1,CI835,IF(LEFT(Cockpit!$C$5,1)="B",AL835,MAX(AL835,H835))),ROUNDUP(AJ835,0)))</f>
        <v>26</v>
      </c>
      <c r="AG835" s="50" t="n">
        <f aca="false">IF(BZ835=1,0,ROUNDUP(AF835/BY835,0))</f>
        <v>1</v>
      </c>
      <c r="AH835" s="52" t="n">
        <f aca="false">IF(CQ835&gt;0,CQ835*MAX(1,AF835/X835),IF(BZ835=1,IF(AF835&lt;=0,0,CD835*MAX(1,IF(H835&gt;0,AF835/H835,1))),IF(R835&gt;0,AG835/R835,0))/MAX(0.1,N(Parameter!$M$21)))</f>
        <v>0.0192307692307692</v>
      </c>
      <c r="AI835" s="50" t="n">
        <f aca="false">AH835*CB835</f>
        <v>2.98076923076923</v>
      </c>
      <c r="AJ835" s="51" t="n">
        <f aca="false">IF(LEFT(Cockpit!$C$5,1)="A",H835,IF(CH835=1,(CK835+CI835)/2,IF(LEFT(Cockpit!$C$5,1)="B",(CK835+AL835)/2,MAX((CK835+AL835)/2,H835))))</f>
        <v>26</v>
      </c>
      <c r="AK835" s="50" t="n">
        <f aca="false">AJ835*G835</f>
        <v>23.66</v>
      </c>
      <c r="AL835" s="50" t="n">
        <f aca="false">ROUNDUP(CK835+MAX(CL835,2*(J835/IF(CG835&gt;0,CG835,MAX(0.1,N(Cockpit!$C$6)))-CK835)),0)</f>
        <v>10</v>
      </c>
      <c r="AM835" s="51" t="n">
        <f aca="false">IF(AI835&gt;0,J835/AI835,-1)</f>
        <v>3.35483870967742</v>
      </c>
      <c r="AN835" s="51" t="n">
        <f aca="false">IF(AND(OR(CF835="L1",CF835="L23",CF835="LIFT"),AI835&gt;0),SUMIFS($AI$7:$AI$1843,$CF$7:$CF$1843,CF835,$AM$7:$AM$1843,"&gt;"&amp;AM835)+SUMIFS($AI$7:$AI$1843,$CF$7:$CF$1843,CF835,$AM$7:$AM$1843,AM835,$BW$7:$BW$1843,"&lt;="&amp;BW835),"")</f>
        <v>4945.15521978022</v>
      </c>
      <c r="AO835" s="58" t="n">
        <f aca="false">IF(AN835="",0,MAX(0,MIN(1,(IF(CF835="L1",Parameter!$H$5,IF(CF835="L23",Parameter!$H$6+Parameter!$H$7,Parameter!$H$5+Parameter!$H$6+Parameter!$H$7))-(AN835-AI835))/AI835)))</f>
        <v>1</v>
      </c>
      <c r="AP835" s="50" t="n">
        <f aca="false">IF(LEFT(Cockpit!$I$5,1)="A",H835,IF(Parameter!$E$30="MAX-Bestand",IF(CH835=1,CI835,IF(LEFT(Cockpit!$I$5,1)="B",AV835,MAX(AV835,H835))),ROUNDUP(AT835,0)))</f>
        <v>26</v>
      </c>
      <c r="AQ835" s="50" t="n">
        <f aca="false">IF(BZ835=1,0,ROUNDUP(AP835/BY835,0))</f>
        <v>1</v>
      </c>
      <c r="AR835" s="52" t="n">
        <f aca="false">IF(CQ835&gt;0,CQ835*MAX(1,AP835/X835),IF(BZ835=1,IF(AP835&lt;=0,0,CD835*MAX(1,IF(H835&gt;0,AP835/H835,1))),IF(R835&gt;0,AQ835/R835,0))/MAX(0.1,N(Parameter!$M$21)))</f>
        <v>0.0192307692307692</v>
      </c>
      <c r="AS835" s="50" t="n">
        <f aca="false">AR835*CB835</f>
        <v>2.98076923076923</v>
      </c>
      <c r="AT835" s="51" t="n">
        <f aca="false">IF(LEFT(Cockpit!$I$5,1)="A",H835,IF(CH835=1,(CK835+CI835)/2,IF(LEFT(Cockpit!$I$5,1)="B",(CK835+AV835)/2,MAX((CK835+AV835)/2,H835))))</f>
        <v>26</v>
      </c>
      <c r="AU835" s="50" t="n">
        <f aca="false">AT835*G835</f>
        <v>23.66</v>
      </c>
      <c r="AV835" s="50" t="n">
        <f aca="false">ROUNDUP(CK835+MAX(CL835,2*(J835/IF(CG835&gt;0,CG835,MAX(0.1,N(Cockpit!$I$6)))-CK835)),0)</f>
        <v>10</v>
      </c>
      <c r="AW835" s="51" t="n">
        <f aca="false">IF(AS835&gt;0,J835/AS835,-1)</f>
        <v>3.35483870967742</v>
      </c>
      <c r="AX835" s="51" t="n">
        <f aca="false">IF(AND(OR(CF835="L1",CF835="L23",CF835="LIFT"),AS835&gt;0),SUMIFS($AS$7:$AS$1843,$CF$7:$CF$1843,CF835,$AW$7:$AW$1843,"&gt;"&amp;AW835)+SUMIFS($AS$7:$AS$1843,$CF$7:$CF$1843,CF835,$AW$7:$AW$1843,AW835,$BW$7:$BW$1843,"&lt;="&amp;BW835),"")</f>
        <v>5608.99221611722</v>
      </c>
      <c r="AY835" s="58" t="n">
        <f aca="false">IF(AX835="",0,MAX(0,MIN(1,(IF(CF835="L1",Parameter!$H$5,IF(CF835="L23",Parameter!$H$6+Parameter!$H$7,Parameter!$H$5+Parameter!$H$6+Parameter!$H$7))-(AX835-AS835))/AS835)))</f>
        <v>1</v>
      </c>
      <c r="AZ835" s="50" t="n">
        <f aca="false">IF(LEFT(Cockpit!$O$5,1)="A",H835,IF(Parameter!$E$30="MAX-Bestand",IF(CH835=1,CI835,IF(LEFT(Cockpit!$O$5,1)="B",BF835,MAX(BF835,H835))),ROUNDUP(BD835,0)))</f>
        <v>5</v>
      </c>
      <c r="BA835" s="50" t="n">
        <f aca="false">IF(BZ835=1,0,ROUNDUP(AZ835/BY835,0))</f>
        <v>1</v>
      </c>
      <c r="BB835" s="52" t="n">
        <f aca="false">IF(CQ835&gt;0,CQ835*MAX(1,AZ835/X835),IF(BZ835=1,IF(AZ835&lt;=0,0,CD835*MAX(1,IF(H835&gt;0,AZ835/H835,1))),IF(R835&gt;0,BA835/R835,0))/MAX(0.1,N(Parameter!$M$21)))</f>
        <v>0.0192307692307692</v>
      </c>
      <c r="BC835" s="50" t="n">
        <f aca="false">BB835*CB835</f>
        <v>2.98076923076923</v>
      </c>
      <c r="BD835" s="51" t="n">
        <f aca="false">IF(LEFT(Cockpit!$O$5,1)="A",H835,IF(CH835=1,(CK835+CI835)/2,IF(LEFT(Cockpit!$O$5,1)="B",(CK835+BF835)/2,MAX((CK835+BF835)/2,H835))))</f>
        <v>5</v>
      </c>
      <c r="BE835" s="50" t="n">
        <f aca="false">BD835*G835</f>
        <v>4.55</v>
      </c>
      <c r="BF835" s="50" t="n">
        <f aca="false">ROUNDUP(CK835+MAX(CL835,2*(J835/IF(CG835&gt;0,CG835,MAX(0.1,N(Cockpit!$O$6)))-CK835)),0)</f>
        <v>10</v>
      </c>
      <c r="BG835" s="51" t="n">
        <f aca="false">IF(BC835&gt;0,J835/BC835,-1)</f>
        <v>3.35483870967742</v>
      </c>
      <c r="BH835" s="51" t="n">
        <f aca="false">IF(AND(OR(CF835="L1",CF835="L23",CF835="LIFT"),BC835&gt;0),SUMIFS($BC$7:$BC$1843,$CF$7:$CF$1843,CF835,$BG$7:$BG$1843,"&gt;"&amp;BG835)+SUMIFS($BC$7:$BC$1843,$CF$7:$CF$1843,CF835,$BG$7:$BG$1843,BG835,$BW$7:$BW$1843,"&lt;="&amp;BW835),"")</f>
        <v>4589.21016483516</v>
      </c>
      <c r="BI835" s="58" t="n">
        <f aca="false">IF(BH835="",0,MAX(0,MIN(1,(IF(CF835="L1",Parameter!$H$5,IF(CF835="L23",Parameter!$H$6+Parameter!$H$7,Parameter!$H$5+Parameter!$H$6+Parameter!$H$7))-(BH835-BC835))/BC835)))</f>
        <v>1</v>
      </c>
      <c r="BJ835" s="48" t="str">
        <f aca="false">IF(AI835&lt;=0,"",IF(CF835="Aussen","Aussenlager",IF(CF835="-","Nicht im Lift",IF(AO835&gt;=1,"Lift",IF(AO835&lt;=0,"Aussenlager","teilweise")))))</f>
        <v>Lift</v>
      </c>
      <c r="BK835" s="48" t="str">
        <f aca="false">IF(AS835&lt;=0,"",IF(CF835="Aussen","Aussenlager",IF(CF835="-","Nicht im Lift",IF(AY835&gt;=1,"Lift",IF(AY835&lt;=0,"Aussenlager","teilweise")))))</f>
        <v>Lift</v>
      </c>
      <c r="BL835" s="48" t="str">
        <f aca="false">IF(BC835&lt;=0,"",IF(CF835="Aussen","Aussenlager",IF(CF835="-","Nicht im Lift",IF(BI835&gt;=1,"Lift",IF(BI835&lt;=0,"Aussenlager","teilweise")))))</f>
        <v>Lift</v>
      </c>
      <c r="BM835" s="48" t="str">
        <f aca="false">IF(A835="","",IF(BV835=1,"Neu; ","")&amp;IF(AND(BV835=0,BQ835&lt;0),"negativer Bestand (Export "&amp;BQ835&amp;"); ","")&amp;IF(J835&lt;=0,"Kein Verbrauch; ","")&amp;IF(CQ835&gt;0,"Lift "&amp;W835&amp;" lt. Liftbericht (Fach "&amp;X835&amp;" Stk); ",IF(CA835=1,"Gebinde geschätzt ("&amp;T835&amp;"); ",IF(BZ835=1,"Lose – Tablare geschätzt; ","")))&amp;IF(H835&gt;AV835,"Überbestand "&amp;ROUND(H835-AV835,0)&amp;" Stk / CHF "&amp;ROUND((H835-AV835)*G835,0)&amp;"; ","")&amp;IF(AND(CH835=1,CI835&lt;CJ835),"MAX &lt; MB+LG; ","")&amp;IF(AND(CP835&gt;0,CO835*10&gt;CP835),"zu hoch für Tablar; ","")&amp;IF(AND(BV835=0,OR(CH835=1,AA835&lt;&gt;"",U835&lt;&gt;"",V835&lt;&gt;"",AB835&lt;&gt;"")),"manuell übersteuert; ","")&amp;IF(AND(BZ835=0,R835=0),"Gebinde unbekannt / Stellmass fehlt; ","")&amp;IF(AND(BZ835=0,N(V835)&lt;=0,N(Q835)&lt;=0),"Menge pro Gebinde fehlt (Ist = 1 Gebinde); ","")&amp;BU835)</f>
        <v>negativer Bestand (Export -13); Überbestand 16 Stk / CHF 15; Überbestand</v>
      </c>
      <c r="BN835" s="48"/>
      <c r="BO835" s="48"/>
      <c r="BP835" s="55"/>
      <c r="BQ835" s="50" t="n">
        <v>-13</v>
      </c>
      <c r="BR835" s="50" t="n">
        <v>39</v>
      </c>
      <c r="BS835" s="49" t="n">
        <v>-11.83</v>
      </c>
      <c r="BT835" s="50" t="n">
        <v>10</v>
      </c>
      <c r="BU835" s="48" t="s">
        <v>401</v>
      </c>
      <c r="BV835" s="53" t="n">
        <v>0</v>
      </c>
      <c r="BW835" s="53" t="n">
        <v>835</v>
      </c>
      <c r="BX835" s="48" t="str">
        <f aca="false">IF(U835&lt;&gt;"",UPPER(TRIM(U835)),IF(CA835=1,UPPER(VLOOKUP(T835,Parameter!$I$27:$K$29,2,0)),IF(P835="","LOSE",P835)))</f>
        <v>S33</v>
      </c>
      <c r="BY835" s="50" t="n">
        <f aca="false">IF(BX835="LOSE",1,IF(N(V835)&gt;0,V835,IF(CA835=1,MAX(1,N(VLOOKUP(T835,Parameter!$I$27:$K$29,3,0)),H835,N(N835)),IF(N(Q835)&gt;0,Q835,MAX(1,H835)))))</f>
        <v>65</v>
      </c>
      <c r="BZ835" s="53" t="n">
        <f aca="false">IF(BX835="LOSE",1,0)</f>
        <v>0</v>
      </c>
      <c r="CA835" s="53" t="n">
        <f aca="false">IF(AND(U835="",OR(P835="",P835="LOSE"),T835&lt;&gt;"",N(S835)&lt;=0,ISNUMBER(MATCH(T835,Parameter!$I$27:$I$29,0))),1,0)</f>
        <v>0</v>
      </c>
      <c r="CB835" s="53" t="n">
        <f aca="false">IF(CQ835&gt;0,INDEX(Parameter!$H$5:$H$7,W835)/INDEX(Parameter!$E$5:$E$7,W835),IF(AND(BZ835=0,N(IFERROR(VLOOKUP(BX835,'Gebinde-Kategorie'!$A$5:$N$45,14,0),0))&gt;0),VLOOKUP(BX835,'Gebinde-Kategorie'!$A$5:$N$45,14,0)*10+Parameter!$M$23,Parameter!$M$24))</f>
        <v>155</v>
      </c>
      <c r="CC835" s="48" t="str">
        <f aca="false">IF(AND(Parameter!$B$19="Ja",E835&lt;&gt;"",ISNUMBER(MATCH(E835,Parameter!$I$35:$I$52,0))),VLOOKUP(E835,Parameter!$I$35:$J$52,2,0),IFERROR(VLOOKUP(D835,Parameter!$A$35:$C$64,2,0),"Nein"))</f>
        <v>2+3</v>
      </c>
      <c r="CD835" s="52" t="n">
        <f aca="false">IF(BZ835=0,0,IF(N(S835)&gt;0,S835,IFERROR(VLOOKUP(D835,Parameter!$A$35:$C$64,3,0)+0,0)))</f>
        <v>0</v>
      </c>
      <c r="CE835" s="48" t="n">
        <f aca="false">IF(AA835&lt;&gt;"",AA835,Z835)</f>
        <v>3</v>
      </c>
      <c r="CF835" s="48" t="str">
        <f aca="false">IF(OR(CE835=1,CE835=2,CE835=3),IF(Parameter!$E$27="Ja","LIFT",IF(CE835=1,"L1","L23")),IF(CE835="Aussen","Aussen","-"))</f>
        <v>LIFT</v>
      </c>
      <c r="CG835" s="59" t="n">
        <f aca="false">IF(N(AB835)&gt;0,AB835,0)</f>
        <v>0</v>
      </c>
      <c r="CH835" s="53" t="n">
        <f aca="false">IF(ISNUMBER(AE835),1,0)</f>
        <v>0</v>
      </c>
      <c r="CI835" s="50" t="n">
        <f aca="false">N(AE835)</f>
        <v>0</v>
      </c>
      <c r="CJ835" s="50" t="n">
        <f aca="false">N(M835)+N(N835)</f>
        <v>10</v>
      </c>
      <c r="CK835" s="50" t="n">
        <f aca="false">N(M835)</f>
        <v>0</v>
      </c>
      <c r="CL835" s="50" t="n">
        <f aca="false">N(N835)</f>
        <v>10</v>
      </c>
      <c r="CM835" s="50" t="n">
        <f aca="false">ROUNDUP(H835/BY835,0)</f>
        <v>1</v>
      </c>
      <c r="CN835" s="50" t="n">
        <f aca="false">ROUNDUP(CI835/BY835,0)</f>
        <v>0</v>
      </c>
      <c r="CO835" s="53" t="n">
        <f aca="false">IF(BZ835=1,0,IFERROR(VLOOKUP(BX835,'Gebinde-Kategorie'!$A$5:$N$45,5,0)+0,0))</f>
        <v>8</v>
      </c>
      <c r="CP835" s="53" t="n">
        <f aca="false">IFERROR(IF(OR(CE835=1,CE835=2,CE835=3),N(INDEX(Parameter!$I$5:$I$7,CE835)),0),0)</f>
        <v>0</v>
      </c>
      <c r="CQ835" s="52" t="n">
        <f aca="false">IF(AND(Parameter!$B$21="Ja",ISNUMBER(W835),N(X835)&gt;0),IFERROR(N(INDEX(Parameter!$L$5:$L$7,W835))*INDEX(Parameter!$E$5:$E$7,W835)*X835/SUMIFS($X$7:$X$1843,$W$7:$W$1843,W835),0),0)</f>
        <v>0</v>
      </c>
    </row>
    <row r="836" customFormat="false" ht="15" hidden="false" customHeight="false" outlineLevel="0" collapsed="false">
      <c r="A836" s="48" t="s">
        <v>1615</v>
      </c>
      <c r="B836" s="48" t="s">
        <v>414</v>
      </c>
      <c r="C836" s="48" t="s">
        <v>173</v>
      </c>
      <c r="D836" s="48" t="s">
        <v>182</v>
      </c>
      <c r="E836" s="48" t="s">
        <v>194</v>
      </c>
      <c r="F836" s="48" t="s">
        <v>227</v>
      </c>
      <c r="G836" s="49" t="n">
        <v>2.27</v>
      </c>
      <c r="H836" s="50" t="n">
        <f aca="false">MAX(0,IF(AND(Parameter!$B$21="Ja",ISNUMBER(Y836)),Y836,IF(Parameter!$B$20="Jahresanfang 2025 + Export",BR836+BQ836,BQ836)))</f>
        <v>1430</v>
      </c>
      <c r="I836" s="50" t="n">
        <f aca="false">H836*G836</f>
        <v>3246.1</v>
      </c>
      <c r="J836" s="50" t="n">
        <f aca="false">BT836*Parameter!$B$18</f>
        <v>2274</v>
      </c>
      <c r="K836" s="51" t="n">
        <v>1423.5</v>
      </c>
      <c r="L836" s="52" t="n">
        <v>1.59747102212856</v>
      </c>
      <c r="M836" s="50" t="n">
        <v>140</v>
      </c>
      <c r="N836" s="50" t="n">
        <v>500</v>
      </c>
      <c r="O836" s="53" t="n">
        <v>21</v>
      </c>
      <c r="P836" s="48" t="s">
        <v>235</v>
      </c>
      <c r="Q836" s="50" t="n">
        <v>200</v>
      </c>
      <c r="R836" s="53" t="n">
        <f aca="false">IF(BZ836=1,0,IFERROR(VLOOKUP(BX836,'Gebinde-Kategorie'!$A$5:$N$45,13,0)+0,0))</f>
        <v>12</v>
      </c>
      <c r="S836" s="54"/>
      <c r="T836" s="55"/>
      <c r="U836" s="55"/>
      <c r="V836" s="55"/>
      <c r="W836" s="48"/>
      <c r="X836" s="50"/>
      <c r="Y836" s="50"/>
      <c r="Z836" s="48" t="n">
        <f aca="false">IF(A836="","",IF(AND(Parameter!$B$21="Ja",ISNUMBER(W836)),W836,IF(CC836="2+3",IF(ISNUMBER(SEARCH("grosser Artikel",BU836)),2,IFERROR(VLOOKUP(BX836,Parameter!$F$35:$G$64,2,0),2)),IF(OR(CC836="Nein",CC836=""),"-",CC836))))</f>
        <v>2</v>
      </c>
      <c r="AA836" s="55"/>
      <c r="AB836" s="56"/>
      <c r="AC836" s="50" t="n">
        <f aca="false">AV836</f>
        <v>1376</v>
      </c>
      <c r="AD836" s="50" t="n">
        <f aca="false">MAX(AV836,H836)</f>
        <v>1430</v>
      </c>
      <c r="AE836" s="57"/>
      <c r="AF836" s="50" t="n">
        <f aca="false">IF(LEFT(Cockpit!$C$5,1)="A",H836,IF(Parameter!$E$30="MAX-Bestand",IF(CH836=1,CI836,IF(LEFT(Cockpit!$C$5,1)="B",AL836,MAX(AL836,H836))),ROUNDUP(AJ836,0)))</f>
        <v>1430</v>
      </c>
      <c r="AG836" s="50" t="n">
        <f aca="false">IF(BZ836=1,0,ROUNDUP(AF836/BY836,0))</f>
        <v>8</v>
      </c>
      <c r="AH836" s="52" t="n">
        <f aca="false">IF(CQ836&gt;0,CQ836*MAX(1,AF836/X836),IF(BZ836=1,IF(AF836&lt;=0,0,CD836*MAX(1,IF(H836&gt;0,AF836/H836,1))),IF(R836&gt;0,AG836/R836,0))/MAX(0.1,N(Parameter!$M$21)))</f>
        <v>0.666666666666667</v>
      </c>
      <c r="AI836" s="50" t="n">
        <f aca="false">AH836*CB836</f>
        <v>230</v>
      </c>
      <c r="AJ836" s="51" t="n">
        <f aca="false">IF(LEFT(Cockpit!$C$5,1)="A",H836,IF(CH836=1,(CK836+CI836)/2,IF(LEFT(Cockpit!$C$5,1)="B",(CK836+AL836)/2,MAX((CK836+AL836)/2,H836))))</f>
        <v>1430</v>
      </c>
      <c r="AK836" s="50" t="n">
        <f aca="false">AJ836*G836</f>
        <v>3246.1</v>
      </c>
      <c r="AL836" s="50" t="n">
        <f aca="false">ROUNDUP(CK836+MAX(CL836,2*(J836/IF(CG836&gt;0,CG836,MAX(0.1,N(Cockpit!$C$6)))-CK836)),0)</f>
        <v>1376</v>
      </c>
      <c r="AM836" s="51" t="n">
        <f aca="false">IF(AI836&gt;0,J836/AI836,-1)</f>
        <v>9.88695652173913</v>
      </c>
      <c r="AN836" s="51" t="n">
        <f aca="false">IF(AND(OR(CF836="L1",CF836="L23",CF836="LIFT"),AI836&gt;0),SUMIFS($AI$7:$AI$1843,$CF$7:$CF$1843,CF836,$AM$7:$AM$1843,"&gt;"&amp;AM836)+SUMIFS($AI$7:$AI$1843,$CF$7:$CF$1843,CF836,$AM$7:$AM$1843,AM836,$BW$7:$BW$1843,"&lt;="&amp;BW836),"")</f>
        <v>2872.40613553114</v>
      </c>
      <c r="AO836" s="58" t="n">
        <f aca="false">IF(AN836="",0,MAX(0,MIN(1,(IF(CF836="L1",Parameter!$H$5,IF(CF836="L23",Parameter!$H$6+Parameter!$H$7,Parameter!$H$5+Parameter!$H$6+Parameter!$H$7))-(AN836-AI836))/AI836)))</f>
        <v>1</v>
      </c>
      <c r="AP836" s="50" t="n">
        <f aca="false">IF(LEFT(Cockpit!$I$5,1)="A",H836,IF(Parameter!$E$30="MAX-Bestand",IF(CH836=1,CI836,IF(LEFT(Cockpit!$I$5,1)="B",AV836,MAX(AV836,H836))),ROUNDUP(AT836,0)))</f>
        <v>1430</v>
      </c>
      <c r="AQ836" s="50" t="n">
        <f aca="false">IF(BZ836=1,0,ROUNDUP(AP836/BY836,0))</f>
        <v>8</v>
      </c>
      <c r="AR836" s="52" t="n">
        <f aca="false">IF(CQ836&gt;0,CQ836*MAX(1,AP836/X836),IF(BZ836=1,IF(AP836&lt;=0,0,CD836*MAX(1,IF(H836&gt;0,AP836/H836,1))),IF(R836&gt;0,AQ836/R836,0))/MAX(0.1,N(Parameter!$M$21)))</f>
        <v>0.666666666666667</v>
      </c>
      <c r="AS836" s="50" t="n">
        <f aca="false">AR836*CB836</f>
        <v>230</v>
      </c>
      <c r="AT836" s="51" t="n">
        <f aca="false">IF(LEFT(Cockpit!$I$5,1)="A",H836,IF(CH836=1,(CK836+CI836)/2,IF(LEFT(Cockpit!$I$5,1)="B",(CK836+AV836)/2,MAX((CK836+AV836)/2,H836))))</f>
        <v>1430</v>
      </c>
      <c r="AU836" s="50" t="n">
        <f aca="false">AT836*G836</f>
        <v>3246.1</v>
      </c>
      <c r="AV836" s="50" t="n">
        <f aca="false">ROUNDUP(CK836+MAX(CL836,2*(J836/IF(CG836&gt;0,CG836,MAX(0.1,N(Cockpit!$I$6)))-CK836)),0)</f>
        <v>1376</v>
      </c>
      <c r="AW836" s="51" t="n">
        <f aca="false">IF(AS836&gt;0,J836/AS836,-1)</f>
        <v>9.88695652173913</v>
      </c>
      <c r="AX836" s="51" t="n">
        <f aca="false">IF(AND(OR(CF836="L1",CF836="L23",CF836="LIFT"),AS836&gt;0),SUMIFS($AS$7:$AS$1843,$CF$7:$CF$1843,CF836,$AW$7:$AW$1843,"&gt;"&amp;AW836)+SUMIFS($AS$7:$AS$1843,$CF$7:$CF$1843,CF836,$AW$7:$AW$1843,AW836,$BW$7:$BW$1843,"&lt;="&amp;BW836),"")</f>
        <v>3468.54807692308</v>
      </c>
      <c r="AY836" s="58" t="n">
        <f aca="false">IF(AX836="",0,MAX(0,MIN(1,(IF(CF836="L1",Parameter!$H$5,IF(CF836="L23",Parameter!$H$6+Parameter!$H$7,Parameter!$H$5+Parameter!$H$6+Parameter!$H$7))-(AX836-AS836))/AS836)))</f>
        <v>1</v>
      </c>
      <c r="AZ836" s="50" t="n">
        <f aca="false">IF(LEFT(Cockpit!$O$5,1)="A",H836,IF(Parameter!$E$30="MAX-Bestand",IF(CH836=1,CI836,IF(LEFT(Cockpit!$O$5,1)="B",BF836,MAX(BF836,H836))),ROUNDUP(BD836,0)))</f>
        <v>569</v>
      </c>
      <c r="BA836" s="50" t="n">
        <f aca="false">IF(BZ836=1,0,ROUNDUP(AZ836/BY836,0))</f>
        <v>3</v>
      </c>
      <c r="BB836" s="52" t="n">
        <f aca="false">IF(CQ836&gt;0,CQ836*MAX(1,AZ836/X836),IF(BZ836=1,IF(AZ836&lt;=0,0,CD836*MAX(1,IF(H836&gt;0,AZ836/H836,1))),IF(R836&gt;0,BA836/R836,0))/MAX(0.1,N(Parameter!$M$21)))</f>
        <v>0.25</v>
      </c>
      <c r="BC836" s="50" t="n">
        <f aca="false">BB836*CB836</f>
        <v>86.25</v>
      </c>
      <c r="BD836" s="51" t="n">
        <f aca="false">IF(LEFT(Cockpit!$O$5,1)="A",H836,IF(CH836=1,(CK836+CI836)/2,IF(LEFT(Cockpit!$O$5,1)="B",(CK836+BF836)/2,MAX((CK836+BF836)/2,H836))))</f>
        <v>568.5</v>
      </c>
      <c r="BE836" s="50" t="n">
        <f aca="false">BD836*G836</f>
        <v>1290.495</v>
      </c>
      <c r="BF836" s="50" t="n">
        <f aca="false">ROUNDUP(CK836+MAX(CL836,2*(J836/IF(CG836&gt;0,CG836,MAX(0.1,N(Cockpit!$O$6)))-CK836)),0)</f>
        <v>997</v>
      </c>
      <c r="BG836" s="51" t="n">
        <f aca="false">IF(BC836&gt;0,J836/BC836,-1)</f>
        <v>26.3652173913044</v>
      </c>
      <c r="BH836" s="51" t="n">
        <f aca="false">IF(AND(OR(CF836="L1",CF836="L23",CF836="LIFT"),BC836&gt;0),SUMIFS($BC$7:$BC$1843,$CF$7:$CF$1843,CF836,$BG$7:$BG$1843,"&gt;"&amp;BG836)+SUMIFS($BC$7:$BC$1843,$CF$7:$CF$1843,CF836,$BG$7:$BG$1843,BG836,$BW$7:$BW$1843,"&lt;="&amp;BW836),"")</f>
        <v>2036.52518315018</v>
      </c>
      <c r="BI836" s="58" t="n">
        <f aca="false">IF(BH836="",0,MAX(0,MIN(1,(IF(CF836="L1",Parameter!$H$5,IF(CF836="L23",Parameter!$H$6+Parameter!$H$7,Parameter!$H$5+Parameter!$H$6+Parameter!$H$7))-(BH836-BC836))/BC836)))</f>
        <v>1</v>
      </c>
      <c r="BJ836" s="48" t="str">
        <f aca="false">IF(AI836&lt;=0,"",IF(CF836="Aussen","Aussenlager",IF(CF836="-","Nicht im Lift",IF(AO836&gt;=1,"Lift",IF(AO836&lt;=0,"Aussenlager","teilweise")))))</f>
        <v>Lift</v>
      </c>
      <c r="BK836" s="48" t="str">
        <f aca="false">IF(AS836&lt;=0,"",IF(CF836="Aussen","Aussenlager",IF(CF836="-","Nicht im Lift",IF(AY836&gt;=1,"Lift",IF(AY836&lt;=0,"Aussenlager","teilweise")))))</f>
        <v>Lift</v>
      </c>
      <c r="BL836" s="48" t="str">
        <f aca="false">IF(BC836&lt;=0,"",IF(CF836="Aussen","Aussenlager",IF(CF836="-","Nicht im Lift",IF(BI836&gt;=1,"Lift",IF(BI836&lt;=0,"Aussenlager","teilweise")))))</f>
        <v>Lift</v>
      </c>
      <c r="BM836" s="48" t="str">
        <f aca="false">IF(A836="","",IF(BV836=1,"Neu; ","")&amp;IF(AND(BV836=0,BQ836&lt;0),"negativer Bestand (Export "&amp;BQ836&amp;"); ","")&amp;IF(J836&lt;=0,"Kein Verbrauch; ","")&amp;IF(CQ836&gt;0,"Lift "&amp;W836&amp;" lt. Liftbericht (Fach "&amp;X836&amp;" Stk); ",IF(CA836=1,"Gebinde geschätzt ("&amp;T836&amp;"); ",IF(BZ836=1,"Lose – Tablare geschätzt; ","")))&amp;IF(H836&gt;AV836,"Überbestand "&amp;ROUND(H836-AV836,0)&amp;" Stk / CHF "&amp;ROUND((H836-AV836)*G836,0)&amp;"; ","")&amp;IF(AND(CH836=1,CI836&lt;CJ836),"MAX &lt; MB+LG; ","")&amp;IF(AND(CP836&gt;0,CO836*10&gt;CP836),"zu hoch für Tablar; ","")&amp;IF(AND(BV836=0,OR(CH836=1,AA836&lt;&gt;"",U836&lt;&gt;"",V836&lt;&gt;"",AB836&lt;&gt;"")),"manuell übersteuert; ","")&amp;IF(AND(BZ836=0,R836=0),"Gebinde unbekannt / Stellmass fehlt; ","")&amp;IF(AND(BZ836=0,N(V836)&lt;=0,N(Q836)&lt;=0),"Menge pro Gebinde fehlt (Ist = 1 Gebinde); ","")&amp;BU836)</f>
        <v>negativer Bestand (Export -63); Überbestand 54 Stk / CHF 123; grosse  Artikelmenge</v>
      </c>
      <c r="BN836" s="48"/>
      <c r="BO836" s="48"/>
      <c r="BP836" s="55"/>
      <c r="BQ836" s="50" t="n">
        <v>-63</v>
      </c>
      <c r="BR836" s="50" t="n">
        <v>1493</v>
      </c>
      <c r="BS836" s="49" t="n">
        <v>-11.8799999999993</v>
      </c>
      <c r="BT836" s="50" t="n">
        <v>2274</v>
      </c>
      <c r="BU836" s="48" t="s">
        <v>1616</v>
      </c>
      <c r="BV836" s="53" t="n">
        <v>0</v>
      </c>
      <c r="BW836" s="53" t="n">
        <v>836</v>
      </c>
      <c r="BX836" s="48" t="str">
        <f aca="false">IF(U836&lt;&gt;"",UPPER(TRIM(U836)),IF(CA836=1,UPPER(VLOOKUP(T836,Parameter!$I$27:$K$29,2,0)),IF(P836="","LOSE",P836)))</f>
        <v>S63</v>
      </c>
      <c r="BY836" s="50" t="n">
        <f aca="false">IF(BX836="LOSE",1,IF(N(V836)&gt;0,V836,IF(CA836=1,MAX(1,N(VLOOKUP(T836,Parameter!$I$27:$K$29,3,0)),H836,N(N836)),IF(N(Q836)&gt;0,Q836,MAX(1,H836)))))</f>
        <v>200</v>
      </c>
      <c r="BZ836" s="53" t="n">
        <f aca="false">IF(BX836="LOSE",1,0)</f>
        <v>0</v>
      </c>
      <c r="CA836" s="53" t="n">
        <f aca="false">IF(AND(U836="",OR(P836="",P836="LOSE"),T836&lt;&gt;"",N(S836)&lt;=0,ISNUMBER(MATCH(T836,Parameter!$I$27:$I$29,0))),1,0)</f>
        <v>0</v>
      </c>
      <c r="CB836" s="53" t="n">
        <f aca="false">IF(CQ836&gt;0,INDEX(Parameter!$H$5:$H$7,W836)/INDEX(Parameter!$E$5:$E$7,W836),IF(AND(BZ836=0,N(IFERROR(VLOOKUP(BX836,'Gebinde-Kategorie'!$A$5:$N$45,14,0),0))&gt;0),VLOOKUP(BX836,'Gebinde-Kategorie'!$A$5:$N$45,14,0)*10+Parameter!$M$23,Parameter!$M$24))</f>
        <v>345</v>
      </c>
      <c r="CC836" s="48" t="str">
        <f aca="false">IF(AND(Parameter!$B$19="Ja",E836&lt;&gt;"",ISNUMBER(MATCH(E836,Parameter!$I$35:$I$52,0))),VLOOKUP(E836,Parameter!$I$35:$J$52,2,0),IFERROR(VLOOKUP(D836,Parameter!$A$35:$C$64,2,0),"Nein"))</f>
        <v>2+3</v>
      </c>
      <c r="CD836" s="52" t="n">
        <f aca="false">IF(BZ836=0,0,IF(N(S836)&gt;0,S836,IFERROR(VLOOKUP(D836,Parameter!$A$35:$C$64,3,0)+0,0)))</f>
        <v>0</v>
      </c>
      <c r="CE836" s="48" t="n">
        <f aca="false">IF(AA836&lt;&gt;"",AA836,Z836)</f>
        <v>2</v>
      </c>
      <c r="CF836" s="48" t="str">
        <f aca="false">IF(OR(CE836=1,CE836=2,CE836=3),IF(Parameter!$E$27="Ja","LIFT",IF(CE836=1,"L1","L23")),IF(CE836="Aussen","Aussen","-"))</f>
        <v>LIFT</v>
      </c>
      <c r="CG836" s="59" t="n">
        <f aca="false">IF(N(AB836)&gt;0,AB836,0)</f>
        <v>0</v>
      </c>
      <c r="CH836" s="53" t="n">
        <f aca="false">IF(ISNUMBER(AE836),1,0)</f>
        <v>0</v>
      </c>
      <c r="CI836" s="50" t="n">
        <f aca="false">N(AE836)</f>
        <v>0</v>
      </c>
      <c r="CJ836" s="50" t="n">
        <f aca="false">N(M836)+N(N836)</f>
        <v>640</v>
      </c>
      <c r="CK836" s="50" t="n">
        <f aca="false">N(M836)</f>
        <v>140</v>
      </c>
      <c r="CL836" s="50" t="n">
        <f aca="false">N(N836)</f>
        <v>500</v>
      </c>
      <c r="CM836" s="50" t="n">
        <f aca="false">ROUNDUP(H836/BY836,0)</f>
        <v>8</v>
      </c>
      <c r="CN836" s="50" t="n">
        <f aca="false">ROUNDUP(CI836/BY836,0)</f>
        <v>0</v>
      </c>
      <c r="CO836" s="53" t="n">
        <f aca="false">IF(BZ836=1,0,IFERROR(VLOOKUP(BX836,'Gebinde-Kategorie'!$A$5:$N$45,5,0)+0,0))</f>
        <v>31</v>
      </c>
      <c r="CP836" s="53" t="n">
        <f aca="false">IFERROR(IF(OR(CE836=1,CE836=2,CE836=3),N(INDEX(Parameter!$I$5:$I$7,CE836)),0),0)</f>
        <v>0</v>
      </c>
      <c r="CQ836" s="52" t="n">
        <f aca="false">IF(AND(Parameter!$B$21="Ja",ISNUMBER(W836),N(X836)&gt;0),IFERROR(N(INDEX(Parameter!$L$5:$L$7,W836))*INDEX(Parameter!$E$5:$E$7,W836)*X836/SUMIFS($X$7:$X$1843,$W$7:$W$1843,W836),0),0)</f>
        <v>0</v>
      </c>
    </row>
    <row r="837" customFormat="false" ht="15" hidden="false" customHeight="false" outlineLevel="0" collapsed="false">
      <c r="A837" s="48" t="s">
        <v>1617</v>
      </c>
      <c r="B837" s="48" t="s">
        <v>541</v>
      </c>
      <c r="C837" s="48" t="s">
        <v>176</v>
      </c>
      <c r="D837" s="48" t="s">
        <v>193</v>
      </c>
      <c r="E837" s="48" t="s">
        <v>194</v>
      </c>
      <c r="F837" s="48" t="s">
        <v>227</v>
      </c>
      <c r="G837" s="49" t="n">
        <v>12.09</v>
      </c>
      <c r="H837" s="50" t="n">
        <f aca="false">MAX(0,IF(AND(Parameter!$B$21="Ja",ISNUMBER(Y837)),Y837,IF(Parameter!$B$20="Jahresanfang 2025 + Export",BR837+BQ837,BQ837)))</f>
        <v>153</v>
      </c>
      <c r="I837" s="50" t="n">
        <f aca="false">H837*G837</f>
        <v>1849.77</v>
      </c>
      <c r="J837" s="50" t="n">
        <f aca="false">BT837*Parameter!$B$18</f>
        <v>0</v>
      </c>
      <c r="K837" s="51" t="n">
        <v>153.5</v>
      </c>
      <c r="L837" s="52" t="n">
        <v>0</v>
      </c>
      <c r="M837" s="50" t="n">
        <v>0</v>
      </c>
      <c r="N837" s="50" t="n">
        <v>1</v>
      </c>
      <c r="O837" s="53" t="n">
        <v>35</v>
      </c>
      <c r="P837" s="48" t="s">
        <v>302</v>
      </c>
      <c r="Q837" s="50" t="n">
        <v>169</v>
      </c>
      <c r="R837" s="53" t="n">
        <f aca="false">IF(BZ837=1,0,IFERROR(VLOOKUP(BX837,'Gebinde-Kategorie'!$A$5:$N$45,13,0)+0,0))</f>
        <v>12</v>
      </c>
      <c r="S837" s="54"/>
      <c r="T837" s="55"/>
      <c r="U837" s="55"/>
      <c r="V837" s="55"/>
      <c r="W837" s="48"/>
      <c r="X837" s="50"/>
      <c r="Y837" s="50"/>
      <c r="Z837" s="48" t="n">
        <f aca="false">IF(A837="","",IF(AND(Parameter!$B$21="Ja",ISNUMBER(W837)),W837,IF(CC837="2+3",IF(ISNUMBER(SEARCH("grosser Artikel",BU837)),2,IFERROR(VLOOKUP(BX837,Parameter!$F$35:$G$64,2,0),2)),IF(OR(CC837="Nein",CC837=""),"-",CC837))))</f>
        <v>2</v>
      </c>
      <c r="AA837" s="55"/>
      <c r="AB837" s="56"/>
      <c r="AC837" s="50" t="n">
        <f aca="false">AV837</f>
        <v>1</v>
      </c>
      <c r="AD837" s="50" t="n">
        <f aca="false">MAX(AV837,H837)</f>
        <v>153</v>
      </c>
      <c r="AE837" s="57"/>
      <c r="AF837" s="50" t="n">
        <f aca="false">IF(LEFT(Cockpit!$C$5,1)="A",H837,IF(Parameter!$E$30="MAX-Bestand",IF(CH837=1,CI837,IF(LEFT(Cockpit!$C$5,1)="B",AL837,MAX(AL837,H837))),ROUNDUP(AJ837,0)))</f>
        <v>153</v>
      </c>
      <c r="AG837" s="50" t="n">
        <f aca="false">IF(BZ837=1,0,ROUNDUP(AF837/BY837,0))</f>
        <v>1</v>
      </c>
      <c r="AH837" s="52" t="n">
        <f aca="false">IF(CQ837&gt;0,CQ837*MAX(1,AF837/X837),IF(BZ837=1,IF(AF837&lt;=0,0,CD837*MAX(1,IF(H837&gt;0,AF837/H837,1))),IF(R837&gt;0,AG837/R837,0))/MAX(0.1,N(Parameter!$M$21)))</f>
        <v>0.0833333333333333</v>
      </c>
      <c r="AI837" s="50" t="n">
        <f aca="false">AH837*CB837</f>
        <v>20.4166666666667</v>
      </c>
      <c r="AJ837" s="51" t="n">
        <f aca="false">IF(LEFT(Cockpit!$C$5,1)="A",H837,IF(CH837=1,(CK837+CI837)/2,IF(LEFT(Cockpit!$C$5,1)="B",(CK837+AL837)/2,MAX((CK837+AL837)/2,H837))))</f>
        <v>153</v>
      </c>
      <c r="AK837" s="50" t="n">
        <f aca="false">AJ837*G837</f>
        <v>1849.77</v>
      </c>
      <c r="AL837" s="50" t="n">
        <f aca="false">ROUNDUP(CK837+MAX(CL837,2*(J837/IF(CG837&gt;0,CG837,MAX(0.1,N(Cockpit!$C$6)))-CK837)),0)</f>
        <v>1</v>
      </c>
      <c r="AM837" s="51" t="n">
        <f aca="false">IF(AI837&gt;0,J837/AI837,-1)</f>
        <v>0</v>
      </c>
      <c r="AN837" s="51" t="n">
        <f aca="false">IF(AND(OR(CF837="L1",CF837="L23",CF837="LIFT"),AI837&gt;0),SUMIFS($AI$7:$AI$1843,$CF$7:$CF$1843,CF837,$AM$7:$AM$1843,"&gt;"&amp;AM837)+SUMIFS($AI$7:$AI$1843,$CF$7:$CF$1843,CF837,$AM$7:$AM$1843,AM837,$BW$7:$BW$1843,"&lt;="&amp;BW837),"")</f>
        <v>28807.6462304174</v>
      </c>
      <c r="AO837" s="58" t="n">
        <f aca="false">IF(AN837="",0,MAX(0,MIN(1,(IF(CF837="L1",Parameter!$H$5,IF(CF837="L23",Parameter!$H$6+Parameter!$H$7,Parameter!$H$5+Parameter!$H$6+Parameter!$H$7))-(AN837-AI837))/AI837)))</f>
        <v>1</v>
      </c>
      <c r="AP837" s="50" t="n">
        <f aca="false">IF(LEFT(Cockpit!$I$5,1)="A",H837,IF(Parameter!$E$30="MAX-Bestand",IF(CH837=1,CI837,IF(LEFT(Cockpit!$I$5,1)="B",AV837,MAX(AV837,H837))),ROUNDUP(AT837,0)))</f>
        <v>153</v>
      </c>
      <c r="AQ837" s="50" t="n">
        <f aca="false">IF(BZ837=1,0,ROUNDUP(AP837/BY837,0))</f>
        <v>1</v>
      </c>
      <c r="AR837" s="52" t="n">
        <f aca="false">IF(CQ837&gt;0,CQ837*MAX(1,AP837/X837),IF(BZ837=1,IF(AP837&lt;=0,0,CD837*MAX(1,IF(H837&gt;0,AP837/H837,1))),IF(R837&gt;0,AQ837/R837,0))/MAX(0.1,N(Parameter!$M$21)))</f>
        <v>0.0833333333333333</v>
      </c>
      <c r="AS837" s="50" t="n">
        <f aca="false">AR837*CB837</f>
        <v>20.4166666666667</v>
      </c>
      <c r="AT837" s="51" t="n">
        <f aca="false">IF(LEFT(Cockpit!$I$5,1)="A",H837,IF(CH837=1,(CK837+CI837)/2,IF(LEFT(Cockpit!$I$5,1)="B",(CK837+AV837)/2,MAX((CK837+AV837)/2,H837))))</f>
        <v>153</v>
      </c>
      <c r="AU837" s="50" t="n">
        <f aca="false">AT837*G837</f>
        <v>1849.77</v>
      </c>
      <c r="AV837" s="50" t="n">
        <f aca="false">ROUNDUP(CK837+MAX(CL837,2*(J837/IF(CG837&gt;0,CG837,MAX(0.1,N(Cockpit!$I$6)))-CK837)),0)</f>
        <v>1</v>
      </c>
      <c r="AW837" s="51" t="n">
        <f aca="false">IF(AS837&gt;0,J837/AS837,-1)</f>
        <v>0</v>
      </c>
      <c r="AX837" s="51" t="n">
        <f aca="false">IF(AND(OR(CF837="L1",CF837="L23",CF837="LIFT"),AS837&gt;0),SUMIFS($AS$7:$AS$1843,$CF$7:$CF$1843,CF837,$AW$7:$AW$1843,"&gt;"&amp;AW837)+SUMIFS($AS$7:$AS$1843,$CF$7:$CF$1843,CF837,$AW$7:$AW$1843,AW837,$BW$7:$BW$1843,"&lt;="&amp;BW837),"")</f>
        <v>34427.8869047619</v>
      </c>
      <c r="AY837" s="58" t="n">
        <f aca="false">IF(AX837="",0,MAX(0,MIN(1,(IF(CF837="L1",Parameter!$H$5,IF(CF837="L23",Parameter!$H$6+Parameter!$H$7,Parameter!$H$5+Parameter!$H$6+Parameter!$H$7))-(AX837-AS837))/AS837)))</f>
        <v>1</v>
      </c>
      <c r="AZ837" s="50" t="n">
        <f aca="false">IF(LEFT(Cockpit!$O$5,1)="A",H837,IF(Parameter!$E$30="MAX-Bestand",IF(CH837=1,CI837,IF(LEFT(Cockpit!$O$5,1)="B",BF837,MAX(BF837,H837))),ROUNDUP(BD837,0)))</f>
        <v>1</v>
      </c>
      <c r="BA837" s="50" t="n">
        <f aca="false">IF(BZ837=1,0,ROUNDUP(AZ837/BY837,0))</f>
        <v>1</v>
      </c>
      <c r="BB837" s="52" t="n">
        <f aca="false">IF(CQ837&gt;0,CQ837*MAX(1,AZ837/X837),IF(BZ837=1,IF(AZ837&lt;=0,0,CD837*MAX(1,IF(H837&gt;0,AZ837/H837,1))),IF(R837&gt;0,BA837/R837,0))/MAX(0.1,N(Parameter!$M$21)))</f>
        <v>0.0833333333333333</v>
      </c>
      <c r="BC837" s="50" t="n">
        <f aca="false">BB837*CB837</f>
        <v>20.4166666666667</v>
      </c>
      <c r="BD837" s="51" t="n">
        <f aca="false">IF(LEFT(Cockpit!$O$5,1)="A",H837,IF(CH837=1,(CK837+CI837)/2,IF(LEFT(Cockpit!$O$5,1)="B",(CK837+BF837)/2,MAX((CK837+BF837)/2,H837))))</f>
        <v>0.5</v>
      </c>
      <c r="BE837" s="50" t="n">
        <f aca="false">BD837*G837</f>
        <v>6.045</v>
      </c>
      <c r="BF837" s="50" t="n">
        <f aca="false">ROUNDUP(CK837+MAX(CL837,2*(J837/IF(CG837&gt;0,CG837,MAX(0.1,N(Cockpit!$O$6)))-CK837)),0)</f>
        <v>1</v>
      </c>
      <c r="BG837" s="51" t="n">
        <f aca="false">IF(BC837&gt;0,J837/BC837,-1)</f>
        <v>0</v>
      </c>
      <c r="BH837" s="51" t="n">
        <f aca="false">IF(AND(OR(CF837="L1",CF837="L23",CF837="LIFT"),BC837&gt;0),SUMIFS($BC$7:$BC$1843,$CF$7:$CF$1843,CF837,$BG$7:$BG$1843,"&gt;"&amp;BG837)+SUMIFS($BC$7:$BC$1843,$CF$7:$CF$1843,CF837,$BG$7:$BG$1843,BG837,$BW$7:$BW$1843,"&lt;="&amp;BW837),"")</f>
        <v>28467.6688396349</v>
      </c>
      <c r="BI837" s="58" t="n">
        <f aca="false">IF(BH837="",0,MAX(0,MIN(1,(IF(CF837="L1",Parameter!$H$5,IF(CF837="L23",Parameter!$H$6+Parameter!$H$7,Parameter!$H$5+Parameter!$H$6+Parameter!$H$7))-(BH837-BC837))/BC837)))</f>
        <v>1</v>
      </c>
      <c r="BJ837" s="48" t="str">
        <f aca="false">IF(AI837&lt;=0,"",IF(CF837="Aussen","Aussenlager",IF(CF837="-","Nicht im Lift",IF(AO837&gt;=1,"Lift",IF(AO837&lt;=0,"Aussenlager","teilweise")))))</f>
        <v>Lift</v>
      </c>
      <c r="BK837" s="48" t="str">
        <f aca="false">IF(AS837&lt;=0,"",IF(CF837="Aussen","Aussenlager",IF(CF837="-","Nicht im Lift",IF(AY837&gt;=1,"Lift",IF(AY837&lt;=0,"Aussenlager","teilweise")))))</f>
        <v>Lift</v>
      </c>
      <c r="BL837" s="48" t="str">
        <f aca="false">IF(BC837&lt;=0,"",IF(CF837="Aussen","Aussenlager",IF(CF837="-","Nicht im Lift",IF(BI837&gt;=1,"Lift",IF(BI837&lt;=0,"Aussenlager","teilweise")))))</f>
        <v>Lift</v>
      </c>
      <c r="BM837" s="48" t="str">
        <f aca="false">IF(A837="","",IF(BV837=1,"Neu; ","")&amp;IF(AND(BV837=0,BQ837&lt;0),"negativer Bestand (Export "&amp;BQ837&amp;"); ","")&amp;IF(J837&lt;=0,"Kein Verbrauch; ","")&amp;IF(CQ837&gt;0,"Lift "&amp;W837&amp;" lt. Liftbericht (Fach "&amp;X837&amp;" Stk); ",IF(CA837=1,"Gebinde geschätzt ("&amp;T837&amp;"); ",IF(BZ837=1,"Lose – Tablare geschätzt; ","")))&amp;IF(H837&gt;AV837,"Überbestand "&amp;ROUND(H837-AV837,0)&amp;" Stk / CHF "&amp;ROUND((H837-AV837)*G837,0)&amp;"; ","")&amp;IF(AND(CH837=1,CI837&lt;CJ837),"MAX &lt; MB+LG; ","")&amp;IF(AND(CP837&gt;0,CO837*10&gt;CP837),"zu hoch für Tablar; ","")&amp;IF(AND(BV837=0,OR(CH837=1,AA837&lt;&gt;"",U837&lt;&gt;"",V837&lt;&gt;"",AB837&lt;&gt;"")),"manuell übersteuert; ","")&amp;IF(AND(BZ837=0,R837=0),"Gebinde unbekannt / Stellmass fehlt; ","")&amp;IF(AND(BZ837=0,N(V837)&lt;=0,N(Q837)&lt;=0),"Menge pro Gebinde fehlt (Ist = 1 Gebinde); ","")&amp;BU837)</f>
        <v>negativer Bestand (Export -1); Kein Verbrauch; Überbestand 152 Stk / CHF 1838; </v>
      </c>
      <c r="BN837" s="48"/>
      <c r="BO837" s="48"/>
      <c r="BP837" s="55"/>
      <c r="BQ837" s="50" t="n">
        <v>-1</v>
      </c>
      <c r="BR837" s="50" t="n">
        <v>154</v>
      </c>
      <c r="BS837" s="49" t="n">
        <v>-12.09</v>
      </c>
      <c r="BT837" s="50" t="n">
        <v>0</v>
      </c>
      <c r="BU837" s="48"/>
      <c r="BV837" s="53" t="n">
        <v>0</v>
      </c>
      <c r="BW837" s="53" t="n">
        <v>837</v>
      </c>
      <c r="BX837" s="48" t="str">
        <f aca="false">IF(U837&lt;&gt;"",UPPER(TRIM(U837)),IF(CA837=1,UPPER(VLOOKUP(T837,Parameter!$I$27:$K$29,2,0)),IF(P837="","LOSE",P837)))</f>
        <v>S62</v>
      </c>
      <c r="BY837" s="50" t="n">
        <f aca="false">IF(BX837="LOSE",1,IF(N(V837)&gt;0,V837,IF(CA837=1,MAX(1,N(VLOOKUP(T837,Parameter!$I$27:$K$29,3,0)),H837,N(N837)),IF(N(Q837)&gt;0,Q837,MAX(1,H837)))))</f>
        <v>169</v>
      </c>
      <c r="BZ837" s="53" t="n">
        <f aca="false">IF(BX837="LOSE",1,0)</f>
        <v>0</v>
      </c>
      <c r="CA837" s="53" t="n">
        <f aca="false">IF(AND(U837="",OR(P837="",P837="LOSE"),T837&lt;&gt;"",N(S837)&lt;=0,ISNUMBER(MATCH(T837,Parameter!$I$27:$I$29,0))),1,0)</f>
        <v>0</v>
      </c>
      <c r="CB837" s="53" t="n">
        <f aca="false">IF(CQ837&gt;0,INDEX(Parameter!$H$5:$H$7,W837)/INDEX(Parameter!$E$5:$E$7,W837),IF(AND(BZ837=0,N(IFERROR(VLOOKUP(BX837,'Gebinde-Kategorie'!$A$5:$N$45,14,0),0))&gt;0),VLOOKUP(BX837,'Gebinde-Kategorie'!$A$5:$N$45,14,0)*10+Parameter!$M$23,Parameter!$M$24))</f>
        <v>245</v>
      </c>
      <c r="CC837" s="48" t="str">
        <f aca="false">IF(AND(Parameter!$B$19="Ja",E837&lt;&gt;"",ISNUMBER(MATCH(E837,Parameter!$I$35:$I$52,0))),VLOOKUP(E837,Parameter!$I$35:$J$52,2,0),IFERROR(VLOOKUP(D837,Parameter!$A$35:$C$64,2,0),"Nein"))</f>
        <v>2+3</v>
      </c>
      <c r="CD837" s="52" t="n">
        <f aca="false">IF(BZ837=0,0,IF(N(S837)&gt;0,S837,IFERROR(VLOOKUP(D837,Parameter!$A$35:$C$64,3,0)+0,0)))</f>
        <v>0</v>
      </c>
      <c r="CE837" s="48" t="n">
        <f aca="false">IF(AA837&lt;&gt;"",AA837,Z837)</f>
        <v>2</v>
      </c>
      <c r="CF837" s="48" t="str">
        <f aca="false">IF(OR(CE837=1,CE837=2,CE837=3),IF(Parameter!$E$27="Ja","LIFT",IF(CE837=1,"L1","L23")),IF(CE837="Aussen","Aussen","-"))</f>
        <v>LIFT</v>
      </c>
      <c r="CG837" s="59" t="n">
        <f aca="false">IF(N(AB837)&gt;0,AB837,0)</f>
        <v>0</v>
      </c>
      <c r="CH837" s="53" t="n">
        <f aca="false">IF(ISNUMBER(AE837),1,0)</f>
        <v>0</v>
      </c>
      <c r="CI837" s="50" t="n">
        <f aca="false">N(AE837)</f>
        <v>0</v>
      </c>
      <c r="CJ837" s="50" t="n">
        <f aca="false">N(M837)+N(N837)</f>
        <v>1</v>
      </c>
      <c r="CK837" s="50" t="n">
        <f aca="false">N(M837)</f>
        <v>0</v>
      </c>
      <c r="CL837" s="50" t="n">
        <f aca="false">N(N837)</f>
        <v>1</v>
      </c>
      <c r="CM837" s="50" t="n">
        <f aca="false">ROUNDUP(H837/BY837,0)</f>
        <v>1</v>
      </c>
      <c r="CN837" s="50" t="n">
        <f aca="false">ROUNDUP(CI837/BY837,0)</f>
        <v>0</v>
      </c>
      <c r="CO837" s="53" t="n">
        <f aca="false">IF(BZ837=1,0,IFERROR(VLOOKUP(BX837,'Gebinde-Kategorie'!$A$5:$N$45,5,0)+0,0))</f>
        <v>21</v>
      </c>
      <c r="CP837" s="53" t="n">
        <f aca="false">IFERROR(IF(OR(CE837=1,CE837=2,CE837=3),N(INDEX(Parameter!$I$5:$I$7,CE837)),0),0)</f>
        <v>0</v>
      </c>
      <c r="CQ837" s="52" t="n">
        <f aca="false">IF(AND(Parameter!$B$21="Ja",ISNUMBER(W837),N(X837)&gt;0),IFERROR(N(INDEX(Parameter!$L$5:$L$7,W837))*INDEX(Parameter!$E$5:$E$7,W837)*X837/SUMIFS($X$7:$X$1843,$W$7:$W$1843,W837),0),0)</f>
        <v>0</v>
      </c>
    </row>
    <row r="838" customFormat="false" ht="15" hidden="false" customHeight="false" outlineLevel="0" collapsed="false">
      <c r="A838" s="48" t="s">
        <v>1618</v>
      </c>
      <c r="B838" s="48" t="s">
        <v>498</v>
      </c>
      <c r="C838" s="48" t="s">
        <v>173</v>
      </c>
      <c r="D838" s="48" t="s">
        <v>193</v>
      </c>
      <c r="E838" s="48" t="s">
        <v>194</v>
      </c>
      <c r="F838" s="48" t="s">
        <v>227</v>
      </c>
      <c r="G838" s="49" t="n">
        <v>1.53</v>
      </c>
      <c r="H838" s="50" t="n">
        <f aca="false">MAX(0,IF(AND(Parameter!$B$21="Ja",ISNUMBER(Y838)),Y838,IF(Parameter!$B$20="Jahresanfang 2025 + Export",BR838+BQ838,BQ838)))</f>
        <v>214</v>
      </c>
      <c r="I838" s="50" t="n">
        <f aca="false">H838*G838</f>
        <v>327.42</v>
      </c>
      <c r="J838" s="50" t="n">
        <f aca="false">BT838*Parameter!$B$18</f>
        <v>264</v>
      </c>
      <c r="K838" s="51" t="n">
        <v>191.5</v>
      </c>
      <c r="L838" s="52" t="n">
        <v>1.37859007832898</v>
      </c>
      <c r="M838" s="50" t="n">
        <v>10</v>
      </c>
      <c r="N838" s="50" t="n">
        <v>200</v>
      </c>
      <c r="O838" s="53" t="n">
        <v>14</v>
      </c>
      <c r="P838" s="48" t="s">
        <v>430</v>
      </c>
      <c r="Q838" s="50" t="n">
        <v>513</v>
      </c>
      <c r="R838" s="53" t="n">
        <f aca="false">IF(BZ838=1,0,IFERROR(VLOOKUP(BX838,'Gebinde-Kategorie'!$A$5:$N$45,13,0)+0,0))</f>
        <v>104</v>
      </c>
      <c r="S838" s="54"/>
      <c r="T838" s="55"/>
      <c r="U838" s="55"/>
      <c r="V838" s="55"/>
      <c r="W838" s="48"/>
      <c r="X838" s="50"/>
      <c r="Y838" s="50"/>
      <c r="Z838" s="48" t="n">
        <f aca="false">IF(A838="","",IF(AND(Parameter!$B$21="Ja",ISNUMBER(W838)),W838,IF(CC838="2+3",IF(ISNUMBER(SEARCH("grosser Artikel",BU838)),2,IFERROR(VLOOKUP(BX838,Parameter!$F$35:$G$64,2,0),2)),IF(OR(CC838="Nein",CC838=""),"-",CC838))))</f>
        <v>3</v>
      </c>
      <c r="AA838" s="55"/>
      <c r="AB838" s="56"/>
      <c r="AC838" s="50" t="n">
        <f aca="false">AV838</f>
        <v>210</v>
      </c>
      <c r="AD838" s="50" t="n">
        <f aca="false">MAX(AV838,H838)</f>
        <v>214</v>
      </c>
      <c r="AE838" s="57"/>
      <c r="AF838" s="50" t="n">
        <f aca="false">IF(LEFT(Cockpit!$C$5,1)="A",H838,IF(Parameter!$E$30="MAX-Bestand",IF(CH838=1,CI838,IF(LEFT(Cockpit!$C$5,1)="B",AL838,MAX(AL838,H838))),ROUNDUP(AJ838,0)))</f>
        <v>214</v>
      </c>
      <c r="AG838" s="50" t="n">
        <f aca="false">IF(BZ838=1,0,ROUNDUP(AF838/BY838,0))</f>
        <v>1</v>
      </c>
      <c r="AH838" s="52" t="n">
        <f aca="false">IF(CQ838&gt;0,CQ838*MAX(1,AF838/X838),IF(BZ838=1,IF(AF838&lt;=0,0,CD838*MAX(1,IF(H838&gt;0,AF838/H838,1))),IF(R838&gt;0,AG838/R838,0))/MAX(0.1,N(Parameter!$M$21)))</f>
        <v>0.00961538461538462</v>
      </c>
      <c r="AI838" s="50" t="n">
        <f aca="false">AH838*CB838</f>
        <v>1.49038461538462</v>
      </c>
      <c r="AJ838" s="51" t="n">
        <f aca="false">IF(LEFT(Cockpit!$C$5,1)="A",H838,IF(CH838=1,(CK838+CI838)/2,IF(LEFT(Cockpit!$C$5,1)="B",(CK838+AL838)/2,MAX((CK838+AL838)/2,H838))))</f>
        <v>214</v>
      </c>
      <c r="AK838" s="50" t="n">
        <f aca="false">AJ838*G838</f>
        <v>327.42</v>
      </c>
      <c r="AL838" s="50" t="n">
        <f aca="false">ROUNDUP(CK838+MAX(CL838,2*(J838/IF(CG838&gt;0,CG838,MAX(0.1,N(Cockpit!$C$6)))-CK838)),0)</f>
        <v>210</v>
      </c>
      <c r="AM838" s="51" t="n">
        <f aca="false">IF(AI838&gt;0,J838/AI838,-1)</f>
        <v>177.135483870968</v>
      </c>
      <c r="AN838" s="51" t="n">
        <f aca="false">IF(AND(OR(CF838="L1",CF838="L23",CF838="LIFT"),AI838&gt;0),SUMIFS($AI$7:$AI$1843,$CF$7:$CF$1843,CF838,$AM$7:$AM$1843,"&gt;"&amp;AM838)+SUMIFS($AI$7:$AI$1843,$CF$7:$CF$1843,CF838,$AM$7:$AM$1843,AM838,$BW$7:$BW$1843,"&lt;="&amp;BW838),"")</f>
        <v>403.74358974359</v>
      </c>
      <c r="AO838" s="58" t="n">
        <f aca="false">IF(AN838="",0,MAX(0,MIN(1,(IF(CF838="L1",Parameter!$H$5,IF(CF838="L23",Parameter!$H$6+Parameter!$H$7,Parameter!$H$5+Parameter!$H$6+Parameter!$H$7))-(AN838-AI838))/AI838)))</f>
        <v>1</v>
      </c>
      <c r="AP838" s="50" t="n">
        <f aca="false">IF(LEFT(Cockpit!$I$5,1)="A",H838,IF(Parameter!$E$30="MAX-Bestand",IF(CH838=1,CI838,IF(LEFT(Cockpit!$I$5,1)="B",AV838,MAX(AV838,H838))),ROUNDUP(AT838,0)))</f>
        <v>214</v>
      </c>
      <c r="AQ838" s="50" t="n">
        <f aca="false">IF(BZ838=1,0,ROUNDUP(AP838/BY838,0))</f>
        <v>1</v>
      </c>
      <c r="AR838" s="52" t="n">
        <f aca="false">IF(CQ838&gt;0,CQ838*MAX(1,AP838/X838),IF(BZ838=1,IF(AP838&lt;=0,0,CD838*MAX(1,IF(H838&gt;0,AP838/H838,1))),IF(R838&gt;0,AQ838/R838,0))/MAX(0.1,N(Parameter!$M$21)))</f>
        <v>0.00961538461538462</v>
      </c>
      <c r="AS838" s="50" t="n">
        <f aca="false">AR838*CB838</f>
        <v>1.49038461538462</v>
      </c>
      <c r="AT838" s="51" t="n">
        <f aca="false">IF(LEFT(Cockpit!$I$5,1)="A",H838,IF(CH838=1,(CK838+CI838)/2,IF(LEFT(Cockpit!$I$5,1)="B",(CK838+AV838)/2,MAX((CK838+AV838)/2,H838))))</f>
        <v>214</v>
      </c>
      <c r="AU838" s="50" t="n">
        <f aca="false">AT838*G838</f>
        <v>327.42</v>
      </c>
      <c r="AV838" s="50" t="n">
        <f aca="false">ROUNDUP(CK838+MAX(CL838,2*(J838/IF(CG838&gt;0,CG838,MAX(0.1,N(Cockpit!$I$6)))-CK838)),0)</f>
        <v>210</v>
      </c>
      <c r="AW838" s="51" t="n">
        <f aca="false">IF(AS838&gt;0,J838/AS838,-1)</f>
        <v>177.135483870968</v>
      </c>
      <c r="AX838" s="51" t="n">
        <f aca="false">IF(AND(OR(CF838="L1",CF838="L23",CF838="LIFT"),AS838&gt;0),SUMIFS($AS$7:$AS$1843,$CF$7:$CF$1843,CF838,$AW$7:$AW$1843,"&gt;"&amp;AW838)+SUMIFS($AS$7:$AS$1843,$CF$7:$CF$1843,CF838,$AW$7:$AW$1843,AW838,$BW$7:$BW$1843,"&lt;="&amp;BW838),"")</f>
        <v>521.380494505495</v>
      </c>
      <c r="AY838" s="58" t="n">
        <f aca="false">IF(AX838="",0,MAX(0,MIN(1,(IF(CF838="L1",Parameter!$H$5,IF(CF838="L23",Parameter!$H$6+Parameter!$H$7,Parameter!$H$5+Parameter!$H$6+Parameter!$H$7))-(AX838-AS838))/AS838)))</f>
        <v>1</v>
      </c>
      <c r="AZ838" s="50" t="n">
        <f aca="false">IF(LEFT(Cockpit!$O$5,1)="A",H838,IF(Parameter!$E$30="MAX-Bestand",IF(CH838=1,CI838,IF(LEFT(Cockpit!$O$5,1)="B",BF838,MAX(BF838,H838))),ROUNDUP(BD838,0)))</f>
        <v>110</v>
      </c>
      <c r="BA838" s="50" t="n">
        <f aca="false">IF(BZ838=1,0,ROUNDUP(AZ838/BY838,0))</f>
        <v>1</v>
      </c>
      <c r="BB838" s="52" t="n">
        <f aca="false">IF(CQ838&gt;0,CQ838*MAX(1,AZ838/X838),IF(BZ838=1,IF(AZ838&lt;=0,0,CD838*MAX(1,IF(H838&gt;0,AZ838/H838,1))),IF(R838&gt;0,BA838/R838,0))/MAX(0.1,N(Parameter!$M$21)))</f>
        <v>0.00961538461538462</v>
      </c>
      <c r="BC838" s="50" t="n">
        <f aca="false">BB838*CB838</f>
        <v>1.49038461538462</v>
      </c>
      <c r="BD838" s="51" t="n">
        <f aca="false">IF(LEFT(Cockpit!$O$5,1)="A",H838,IF(CH838=1,(CK838+CI838)/2,IF(LEFT(Cockpit!$O$5,1)="B",(CK838+BF838)/2,MAX((CK838+BF838)/2,H838))))</f>
        <v>110</v>
      </c>
      <c r="BE838" s="50" t="n">
        <f aca="false">BD838*G838</f>
        <v>168.3</v>
      </c>
      <c r="BF838" s="50" t="n">
        <f aca="false">ROUNDUP(CK838+MAX(CL838,2*(J838/IF(CG838&gt;0,CG838,MAX(0.1,N(Cockpit!$O$6)))-CK838)),0)</f>
        <v>210</v>
      </c>
      <c r="BG838" s="51" t="n">
        <f aca="false">IF(BC838&gt;0,J838/BC838,-1)</f>
        <v>177.135483870968</v>
      </c>
      <c r="BH838" s="51" t="n">
        <f aca="false">IF(AND(OR(CF838="L1",CF838="L23",CF838="LIFT"),BC838&gt;0),SUMIFS($BC$7:$BC$1843,$CF$7:$CF$1843,CF838,$BG$7:$BG$1843,"&gt;"&amp;BG838)+SUMIFS($BC$7:$BC$1843,$CF$7:$CF$1843,CF838,$BG$7:$BG$1843,BG838,$BW$7:$BW$1843,"&lt;="&amp;BW838),"")</f>
        <v>514.070054945055</v>
      </c>
      <c r="BI838" s="58" t="n">
        <f aca="false">IF(BH838="",0,MAX(0,MIN(1,(IF(CF838="L1",Parameter!$H$5,IF(CF838="L23",Parameter!$H$6+Parameter!$H$7,Parameter!$H$5+Parameter!$H$6+Parameter!$H$7))-(BH838-BC838))/BC838)))</f>
        <v>1</v>
      </c>
      <c r="BJ838" s="48" t="str">
        <f aca="false">IF(AI838&lt;=0,"",IF(CF838="Aussen","Aussenlager",IF(CF838="-","Nicht im Lift",IF(AO838&gt;=1,"Lift",IF(AO838&lt;=0,"Aussenlager","teilweise")))))</f>
        <v>Lift</v>
      </c>
      <c r="BK838" s="48" t="str">
        <f aca="false">IF(AS838&lt;=0,"",IF(CF838="Aussen","Aussenlager",IF(CF838="-","Nicht im Lift",IF(AY838&gt;=1,"Lift",IF(AY838&lt;=0,"Aussenlager","teilweise")))))</f>
        <v>Lift</v>
      </c>
      <c r="BL838" s="48" t="str">
        <f aca="false">IF(BC838&lt;=0,"",IF(CF838="Aussen","Aussenlager",IF(CF838="-","Nicht im Lift",IF(BI838&gt;=1,"Lift",IF(BI838&lt;=0,"Aussenlager","teilweise")))))</f>
        <v>Lift</v>
      </c>
      <c r="BM838" s="48" t="str">
        <f aca="false">IF(A838="","",IF(BV838=1,"Neu; ","")&amp;IF(AND(BV838=0,BQ838&lt;0),"negativer Bestand (Export "&amp;BQ838&amp;"); ","")&amp;IF(J838&lt;=0,"Kein Verbrauch; ","")&amp;IF(CQ838&gt;0,"Lift "&amp;W838&amp;" lt. Liftbericht (Fach "&amp;X838&amp;" Stk); ",IF(CA838=1,"Gebinde geschätzt ("&amp;T838&amp;"); ",IF(BZ838=1,"Lose – Tablare geschätzt; ","")))&amp;IF(H838&gt;AV838,"Überbestand "&amp;ROUND(H838-AV838,0)&amp;" Stk / CHF "&amp;ROUND((H838-AV838)*G838,0)&amp;"; ","")&amp;IF(AND(CH838=1,CI838&lt;CJ838),"MAX &lt; MB+LG; ","")&amp;IF(AND(CP838&gt;0,CO838*10&gt;CP838),"zu hoch für Tablar; ","")&amp;IF(AND(BV838=0,OR(CH838=1,AA838&lt;&gt;"",U838&lt;&gt;"",V838&lt;&gt;"",AB838&lt;&gt;"")),"manuell übersteuert; ","")&amp;IF(AND(BZ838=0,R838=0),"Gebinde unbekannt / Stellmass fehlt; ","")&amp;IF(AND(BZ838=0,N(V838)&lt;=0,N(Q838)&lt;=0),"Menge pro Gebinde fehlt (Ist = 1 Gebinde); ","")&amp;BU838)</f>
        <v>negativer Bestand (Export -8); Überbestand 4 Stk / CHF 6; </v>
      </c>
      <c r="BN838" s="48"/>
      <c r="BO838" s="48"/>
      <c r="BP838" s="55"/>
      <c r="BQ838" s="50" t="n">
        <v>-8</v>
      </c>
      <c r="BR838" s="50" t="n">
        <v>222</v>
      </c>
      <c r="BS838" s="49" t="n">
        <v>-12.1599999999998</v>
      </c>
      <c r="BT838" s="50" t="n">
        <v>264</v>
      </c>
      <c r="BU838" s="48"/>
      <c r="BV838" s="53" t="n">
        <v>0</v>
      </c>
      <c r="BW838" s="53" t="n">
        <v>838</v>
      </c>
      <c r="BX838" s="48" t="str">
        <f aca="false">IF(U838&lt;&gt;"",UPPER(TRIM(U838)),IF(CA838=1,UPPER(VLOOKUP(T838,Parameter!$I$27:$K$29,2,0)),IF(P838="","LOSE",P838)))</f>
        <v>S32</v>
      </c>
      <c r="BY838" s="50" t="n">
        <f aca="false">IF(BX838="LOSE",1,IF(N(V838)&gt;0,V838,IF(CA838=1,MAX(1,N(VLOOKUP(T838,Parameter!$I$27:$K$29,3,0)),H838,N(N838)),IF(N(Q838)&gt;0,Q838,MAX(1,H838)))))</f>
        <v>513</v>
      </c>
      <c r="BZ838" s="53" t="n">
        <f aca="false">IF(BX838="LOSE",1,0)</f>
        <v>0</v>
      </c>
      <c r="CA838" s="53" t="n">
        <f aca="false">IF(AND(U838="",OR(P838="",P838="LOSE"),T838&lt;&gt;"",N(S838)&lt;=0,ISNUMBER(MATCH(T838,Parameter!$I$27:$I$29,0))),1,0)</f>
        <v>0</v>
      </c>
      <c r="CB838" s="53" t="n">
        <f aca="false">IF(CQ838&gt;0,INDEX(Parameter!$H$5:$H$7,W838)/INDEX(Parameter!$E$5:$E$7,W838),IF(AND(BZ838=0,N(IFERROR(VLOOKUP(BX838,'Gebinde-Kategorie'!$A$5:$N$45,14,0),0))&gt;0),VLOOKUP(BX838,'Gebinde-Kategorie'!$A$5:$N$45,14,0)*10+Parameter!$M$23,Parameter!$M$24))</f>
        <v>155</v>
      </c>
      <c r="CC838" s="48" t="str">
        <f aca="false">IF(AND(Parameter!$B$19="Ja",E838&lt;&gt;"",ISNUMBER(MATCH(E838,Parameter!$I$35:$I$52,0))),VLOOKUP(E838,Parameter!$I$35:$J$52,2,0),IFERROR(VLOOKUP(D838,Parameter!$A$35:$C$64,2,0),"Nein"))</f>
        <v>2+3</v>
      </c>
      <c r="CD838" s="52" t="n">
        <f aca="false">IF(BZ838=0,0,IF(N(S838)&gt;0,S838,IFERROR(VLOOKUP(D838,Parameter!$A$35:$C$64,3,0)+0,0)))</f>
        <v>0</v>
      </c>
      <c r="CE838" s="48" t="n">
        <f aca="false">IF(AA838&lt;&gt;"",AA838,Z838)</f>
        <v>3</v>
      </c>
      <c r="CF838" s="48" t="str">
        <f aca="false">IF(OR(CE838=1,CE838=2,CE838=3),IF(Parameter!$E$27="Ja","LIFT",IF(CE838=1,"L1","L23")),IF(CE838="Aussen","Aussen","-"))</f>
        <v>LIFT</v>
      </c>
      <c r="CG838" s="59" t="n">
        <f aca="false">IF(N(AB838)&gt;0,AB838,0)</f>
        <v>0</v>
      </c>
      <c r="CH838" s="53" t="n">
        <f aca="false">IF(ISNUMBER(AE838),1,0)</f>
        <v>0</v>
      </c>
      <c r="CI838" s="50" t="n">
        <f aca="false">N(AE838)</f>
        <v>0</v>
      </c>
      <c r="CJ838" s="50" t="n">
        <f aca="false">N(M838)+N(N838)</f>
        <v>210</v>
      </c>
      <c r="CK838" s="50" t="n">
        <f aca="false">N(M838)</f>
        <v>10</v>
      </c>
      <c r="CL838" s="50" t="n">
        <f aca="false">N(N838)</f>
        <v>200</v>
      </c>
      <c r="CM838" s="50" t="n">
        <f aca="false">ROUNDUP(H838/BY838,0)</f>
        <v>1</v>
      </c>
      <c r="CN838" s="50" t="n">
        <f aca="false">ROUNDUP(CI838/BY838,0)</f>
        <v>0</v>
      </c>
      <c r="CO838" s="53" t="n">
        <f aca="false">IF(BZ838=1,0,IFERROR(VLOOKUP(BX838,'Gebinde-Kategorie'!$A$5:$N$45,5,0)+0,0))</f>
        <v>8</v>
      </c>
      <c r="CP838" s="53" t="n">
        <f aca="false">IFERROR(IF(OR(CE838=1,CE838=2,CE838=3),N(INDEX(Parameter!$I$5:$I$7,CE838)),0),0)</f>
        <v>0</v>
      </c>
      <c r="CQ838" s="52" t="n">
        <f aca="false">IF(AND(Parameter!$B$21="Ja",ISNUMBER(W838),N(X838)&gt;0),IFERROR(N(INDEX(Parameter!$L$5:$L$7,W838))*INDEX(Parameter!$E$5:$E$7,W838)*X838/SUMIFS($X$7:$X$1843,$W$7:$W$1843,W838),0),0)</f>
        <v>0</v>
      </c>
    </row>
    <row r="839" customFormat="false" ht="15" hidden="false" customHeight="false" outlineLevel="0" collapsed="false">
      <c r="A839" s="48" t="s">
        <v>1619</v>
      </c>
      <c r="B839" s="48" t="s">
        <v>1007</v>
      </c>
      <c r="C839" s="48" t="s">
        <v>173</v>
      </c>
      <c r="D839" s="48" t="s">
        <v>193</v>
      </c>
      <c r="E839" s="48" t="s">
        <v>194</v>
      </c>
      <c r="F839" s="48" t="s">
        <v>227</v>
      </c>
      <c r="G839" s="49" t="n">
        <v>15.42</v>
      </c>
      <c r="H839" s="50" t="n">
        <f aca="false">MAX(0,IF(AND(Parameter!$B$21="Ja",ISNUMBER(Y839)),Y839,IF(Parameter!$B$20="Jahresanfang 2025 + Export",BR839+BQ839,BQ839)))</f>
        <v>44</v>
      </c>
      <c r="I839" s="50" t="n">
        <f aca="false">H839*G839</f>
        <v>678.48</v>
      </c>
      <c r="J839" s="50" t="n">
        <f aca="false">BT839*Parameter!$B$18</f>
        <v>30</v>
      </c>
      <c r="K839" s="51" t="n">
        <v>30.5</v>
      </c>
      <c r="L839" s="52" t="n">
        <v>0.983606557377049</v>
      </c>
      <c r="M839" s="50" t="n">
        <v>2</v>
      </c>
      <c r="N839" s="50" t="n">
        <v>30</v>
      </c>
      <c r="O839" s="53" t="n">
        <v>35</v>
      </c>
      <c r="P839" s="48" t="s">
        <v>302</v>
      </c>
      <c r="Q839" s="50" t="n">
        <v>11</v>
      </c>
      <c r="R839" s="53" t="n">
        <f aca="false">IF(BZ839=1,0,IFERROR(VLOOKUP(BX839,'Gebinde-Kategorie'!$A$5:$N$45,13,0)+0,0))</f>
        <v>12</v>
      </c>
      <c r="S839" s="54"/>
      <c r="T839" s="55"/>
      <c r="U839" s="55"/>
      <c r="V839" s="55"/>
      <c r="W839" s="48"/>
      <c r="X839" s="50"/>
      <c r="Y839" s="50"/>
      <c r="Z839" s="48" t="n">
        <f aca="false">IF(A839="","",IF(AND(Parameter!$B$21="Ja",ISNUMBER(W839)),W839,IF(CC839="2+3",IF(ISNUMBER(SEARCH("grosser Artikel",BU839)),2,IFERROR(VLOOKUP(BX839,Parameter!$F$35:$G$64,2,0),2)),IF(OR(CC839="Nein",CC839=""),"-",CC839))))</f>
        <v>2</v>
      </c>
      <c r="AA839" s="55"/>
      <c r="AB839" s="56"/>
      <c r="AC839" s="50" t="n">
        <f aca="false">AV839</f>
        <v>32</v>
      </c>
      <c r="AD839" s="50" t="n">
        <f aca="false">MAX(AV839,H839)</f>
        <v>44</v>
      </c>
      <c r="AE839" s="57"/>
      <c r="AF839" s="50" t="n">
        <f aca="false">IF(LEFT(Cockpit!$C$5,1)="A",H839,IF(Parameter!$E$30="MAX-Bestand",IF(CH839=1,CI839,IF(LEFT(Cockpit!$C$5,1)="B",AL839,MAX(AL839,H839))),ROUNDUP(AJ839,0)))</f>
        <v>44</v>
      </c>
      <c r="AG839" s="50" t="n">
        <f aca="false">IF(BZ839=1,0,ROUNDUP(AF839/BY839,0))</f>
        <v>4</v>
      </c>
      <c r="AH839" s="52" t="n">
        <f aca="false">IF(CQ839&gt;0,CQ839*MAX(1,AF839/X839),IF(BZ839=1,IF(AF839&lt;=0,0,CD839*MAX(1,IF(H839&gt;0,AF839/H839,1))),IF(R839&gt;0,AG839/R839,0))/MAX(0.1,N(Parameter!$M$21)))</f>
        <v>0.333333333333333</v>
      </c>
      <c r="AI839" s="50" t="n">
        <f aca="false">AH839*CB839</f>
        <v>81.6666666666667</v>
      </c>
      <c r="AJ839" s="51" t="n">
        <f aca="false">IF(LEFT(Cockpit!$C$5,1)="A",H839,IF(CH839=1,(CK839+CI839)/2,IF(LEFT(Cockpit!$C$5,1)="B",(CK839+AL839)/2,MAX((CK839+AL839)/2,H839))))</f>
        <v>44</v>
      </c>
      <c r="AK839" s="50" t="n">
        <f aca="false">AJ839*G839</f>
        <v>678.48</v>
      </c>
      <c r="AL839" s="50" t="n">
        <f aca="false">ROUNDUP(CK839+MAX(CL839,2*(J839/IF(CG839&gt;0,CG839,MAX(0.1,N(Cockpit!$C$6)))-CK839)),0)</f>
        <v>32</v>
      </c>
      <c r="AM839" s="51" t="n">
        <f aca="false">IF(AI839&gt;0,J839/AI839,-1)</f>
        <v>0.36734693877551</v>
      </c>
      <c r="AN839" s="51" t="n">
        <f aca="false">IF(AND(OR(CF839="L1",CF839="L23",CF839="LIFT"),AI839&gt;0),SUMIFS($AI$7:$AI$1843,$CF$7:$CF$1843,CF839,$AM$7:$AM$1843,"&gt;"&amp;AM839)+SUMIFS($AI$7:$AI$1843,$CF$7:$CF$1843,CF839,$AM$7:$AM$1843,AM839,$BW$7:$BW$1843,"&lt;="&amp;BW839),"")</f>
        <v>10540.9999715445</v>
      </c>
      <c r="AO839" s="58" t="n">
        <f aca="false">IF(AN839="",0,MAX(0,MIN(1,(IF(CF839="L1",Parameter!$H$5,IF(CF839="L23",Parameter!$H$6+Parameter!$H$7,Parameter!$H$5+Parameter!$H$6+Parameter!$H$7))-(AN839-AI839))/AI839)))</f>
        <v>1</v>
      </c>
      <c r="AP839" s="50" t="n">
        <f aca="false">IF(LEFT(Cockpit!$I$5,1)="A",H839,IF(Parameter!$E$30="MAX-Bestand",IF(CH839=1,CI839,IF(LEFT(Cockpit!$I$5,1)="B",AV839,MAX(AV839,H839))),ROUNDUP(AT839,0)))</f>
        <v>44</v>
      </c>
      <c r="AQ839" s="50" t="n">
        <f aca="false">IF(BZ839=1,0,ROUNDUP(AP839/BY839,0))</f>
        <v>4</v>
      </c>
      <c r="AR839" s="52" t="n">
        <f aca="false">IF(CQ839&gt;0,CQ839*MAX(1,AP839/X839),IF(BZ839=1,IF(AP839&lt;=0,0,CD839*MAX(1,IF(H839&gt;0,AP839/H839,1))),IF(R839&gt;0,AQ839/R839,0))/MAX(0.1,N(Parameter!$M$21)))</f>
        <v>0.333333333333333</v>
      </c>
      <c r="AS839" s="50" t="n">
        <f aca="false">AR839*CB839</f>
        <v>81.6666666666667</v>
      </c>
      <c r="AT839" s="51" t="n">
        <f aca="false">IF(LEFT(Cockpit!$I$5,1)="A",H839,IF(CH839=1,(CK839+CI839)/2,IF(LEFT(Cockpit!$I$5,1)="B",(CK839+AV839)/2,MAX((CK839+AV839)/2,H839))))</f>
        <v>44</v>
      </c>
      <c r="AU839" s="50" t="n">
        <f aca="false">AT839*G839</f>
        <v>678.48</v>
      </c>
      <c r="AV839" s="50" t="n">
        <f aca="false">ROUNDUP(CK839+MAX(CL839,2*(J839/IF(CG839&gt;0,CG839,MAX(0.1,N(Cockpit!$I$6)))-CK839)),0)</f>
        <v>32</v>
      </c>
      <c r="AW839" s="51" t="n">
        <f aca="false">IF(AS839&gt;0,J839/AS839,-1)</f>
        <v>0.36734693877551</v>
      </c>
      <c r="AX839" s="51" t="n">
        <f aca="false">IF(AND(OR(CF839="L1",CF839="L23",CF839="LIFT"),AS839&gt;0),SUMIFS($AS$7:$AS$1843,$CF$7:$CF$1843,CF839,$AW$7:$AW$1843,"&gt;"&amp;AW839)+SUMIFS($AS$7:$AS$1843,$CF$7:$CF$1843,CF839,$AW$7:$AW$1843,AW839,$BW$7:$BW$1843,"&lt;="&amp;BW839),"")</f>
        <v>13272.7532051282</v>
      </c>
      <c r="AY839" s="58" t="n">
        <f aca="false">IF(AX839="",0,MAX(0,MIN(1,(IF(CF839="L1",Parameter!$H$5,IF(CF839="L23",Parameter!$H$6+Parameter!$H$7,Parameter!$H$5+Parameter!$H$6+Parameter!$H$7))-(AX839-AS839))/AS839)))</f>
        <v>1</v>
      </c>
      <c r="AZ839" s="50" t="n">
        <f aca="false">IF(LEFT(Cockpit!$O$5,1)="A",H839,IF(Parameter!$E$30="MAX-Bestand",IF(CH839=1,CI839,IF(LEFT(Cockpit!$O$5,1)="B",BF839,MAX(BF839,H839))),ROUNDUP(BD839,0)))</f>
        <v>17</v>
      </c>
      <c r="BA839" s="50" t="n">
        <f aca="false">IF(BZ839=1,0,ROUNDUP(AZ839/BY839,0))</f>
        <v>2</v>
      </c>
      <c r="BB839" s="52" t="n">
        <f aca="false">IF(CQ839&gt;0,CQ839*MAX(1,AZ839/X839),IF(BZ839=1,IF(AZ839&lt;=0,0,CD839*MAX(1,IF(H839&gt;0,AZ839/H839,1))),IF(R839&gt;0,BA839/R839,0))/MAX(0.1,N(Parameter!$M$21)))</f>
        <v>0.166666666666667</v>
      </c>
      <c r="BC839" s="50" t="n">
        <f aca="false">BB839*CB839</f>
        <v>40.8333333333333</v>
      </c>
      <c r="BD839" s="51" t="n">
        <f aca="false">IF(LEFT(Cockpit!$O$5,1)="A",H839,IF(CH839=1,(CK839+CI839)/2,IF(LEFT(Cockpit!$O$5,1)="B",(CK839+BF839)/2,MAX((CK839+BF839)/2,H839))))</f>
        <v>17</v>
      </c>
      <c r="BE839" s="50" t="n">
        <f aca="false">BD839*G839</f>
        <v>262.14</v>
      </c>
      <c r="BF839" s="50" t="n">
        <f aca="false">ROUNDUP(CK839+MAX(CL839,2*(J839/IF(CG839&gt;0,CG839,MAX(0.1,N(Cockpit!$O$6)))-CK839)),0)</f>
        <v>32</v>
      </c>
      <c r="BG839" s="51" t="n">
        <f aca="false">IF(BC839&gt;0,J839/BC839,-1)</f>
        <v>0.73469387755102</v>
      </c>
      <c r="BH839" s="51" t="n">
        <f aca="false">IF(AND(OR(CF839="L1",CF839="L23",CF839="LIFT"),BC839&gt;0),SUMIFS($BC$7:$BC$1843,$CF$7:$CF$1843,CF839,$BG$7:$BG$1843,"&gt;"&amp;BG839)+SUMIFS($BC$7:$BC$1843,$CF$7:$CF$1843,CF839,$BG$7:$BG$1843,BG839,$BW$7:$BW$1843,"&lt;="&amp;BW839),"")</f>
        <v>9318.87225274725</v>
      </c>
      <c r="BI839" s="58" t="n">
        <f aca="false">IF(BH839="",0,MAX(0,MIN(1,(IF(CF839="L1",Parameter!$H$5,IF(CF839="L23",Parameter!$H$6+Parameter!$H$7,Parameter!$H$5+Parameter!$H$6+Parameter!$H$7))-(BH839-BC839))/BC839)))</f>
        <v>1</v>
      </c>
      <c r="BJ839" s="48" t="str">
        <f aca="false">IF(AI839&lt;=0,"",IF(CF839="Aussen","Aussenlager",IF(CF839="-","Nicht im Lift",IF(AO839&gt;=1,"Lift",IF(AO839&lt;=0,"Aussenlager","teilweise")))))</f>
        <v>Lift</v>
      </c>
      <c r="BK839" s="48" t="str">
        <f aca="false">IF(AS839&lt;=0,"",IF(CF839="Aussen","Aussenlager",IF(CF839="-","Nicht im Lift",IF(AY839&gt;=1,"Lift",IF(AY839&lt;=0,"Aussenlager","teilweise")))))</f>
        <v>Lift</v>
      </c>
      <c r="BL839" s="48" t="str">
        <f aca="false">IF(BC839&lt;=0,"",IF(CF839="Aussen","Aussenlager",IF(CF839="-","Nicht im Lift",IF(BI839&gt;=1,"Lift",IF(BI839&lt;=0,"Aussenlager","teilweise")))))</f>
        <v>Lift</v>
      </c>
      <c r="BM839" s="48" t="str">
        <f aca="false">IF(A839="","",IF(BV839=1,"Neu; ","")&amp;IF(AND(BV839=0,BQ839&lt;0),"negativer Bestand (Export "&amp;BQ839&amp;"); ","")&amp;IF(J839&lt;=0,"Kein Verbrauch; ","")&amp;IF(CQ839&gt;0,"Lift "&amp;W839&amp;" lt. Liftbericht (Fach "&amp;X839&amp;" Stk); ",IF(CA839=1,"Gebinde geschätzt ("&amp;T839&amp;"); ",IF(BZ839=1,"Lose – Tablare geschätzt; ","")))&amp;IF(H839&gt;AV839,"Überbestand "&amp;ROUND(H839-AV839,0)&amp;" Stk / CHF "&amp;ROUND((H839-AV839)*G839,0)&amp;"; ","")&amp;IF(AND(CH839=1,CI839&lt;CJ839),"MAX &lt; MB+LG; ","")&amp;IF(AND(CP839&gt;0,CO839*10&gt;CP839),"zu hoch für Tablar; ","")&amp;IF(AND(BV839=0,OR(CH839=1,AA839&lt;&gt;"",U839&lt;&gt;"",V839&lt;&gt;"",AB839&lt;&gt;"")),"manuell übersteuert; ","")&amp;IF(AND(BZ839=0,R839=0),"Gebinde unbekannt / Stellmass fehlt; ","")&amp;IF(AND(BZ839=0,N(V839)&lt;=0,N(Q839)&lt;=0),"Menge pro Gebinde fehlt (Ist = 1 Gebinde); ","")&amp;BU839)</f>
        <v>negativer Bestand (Export -2); Überbestand 12 Stk / CHF 185; </v>
      </c>
      <c r="BN839" s="48"/>
      <c r="BO839" s="48"/>
      <c r="BP839" s="55"/>
      <c r="BQ839" s="50" t="n">
        <v>-2</v>
      </c>
      <c r="BR839" s="50" t="n">
        <v>46</v>
      </c>
      <c r="BS839" s="49" t="n">
        <v>-12.8999999999999</v>
      </c>
      <c r="BT839" s="50" t="n">
        <v>30</v>
      </c>
      <c r="BU839" s="48"/>
      <c r="BV839" s="53" t="n">
        <v>0</v>
      </c>
      <c r="BW839" s="53" t="n">
        <v>839</v>
      </c>
      <c r="BX839" s="48" t="str">
        <f aca="false">IF(U839&lt;&gt;"",UPPER(TRIM(U839)),IF(CA839=1,UPPER(VLOOKUP(T839,Parameter!$I$27:$K$29,2,0)),IF(P839="","LOSE",P839)))</f>
        <v>S62</v>
      </c>
      <c r="BY839" s="50" t="n">
        <f aca="false">IF(BX839="LOSE",1,IF(N(V839)&gt;0,V839,IF(CA839=1,MAX(1,N(VLOOKUP(T839,Parameter!$I$27:$K$29,3,0)),H839,N(N839)),IF(N(Q839)&gt;0,Q839,MAX(1,H839)))))</f>
        <v>11</v>
      </c>
      <c r="BZ839" s="53" t="n">
        <f aca="false">IF(BX839="LOSE",1,0)</f>
        <v>0</v>
      </c>
      <c r="CA839" s="53" t="n">
        <f aca="false">IF(AND(U839="",OR(P839="",P839="LOSE"),T839&lt;&gt;"",N(S839)&lt;=0,ISNUMBER(MATCH(T839,Parameter!$I$27:$I$29,0))),1,0)</f>
        <v>0</v>
      </c>
      <c r="CB839" s="53" t="n">
        <f aca="false">IF(CQ839&gt;0,INDEX(Parameter!$H$5:$H$7,W839)/INDEX(Parameter!$E$5:$E$7,W839),IF(AND(BZ839=0,N(IFERROR(VLOOKUP(BX839,'Gebinde-Kategorie'!$A$5:$N$45,14,0),0))&gt;0),VLOOKUP(BX839,'Gebinde-Kategorie'!$A$5:$N$45,14,0)*10+Parameter!$M$23,Parameter!$M$24))</f>
        <v>245</v>
      </c>
      <c r="CC839" s="48" t="str">
        <f aca="false">IF(AND(Parameter!$B$19="Ja",E839&lt;&gt;"",ISNUMBER(MATCH(E839,Parameter!$I$35:$I$52,0))),VLOOKUP(E839,Parameter!$I$35:$J$52,2,0),IFERROR(VLOOKUP(D839,Parameter!$A$35:$C$64,2,0),"Nein"))</f>
        <v>2+3</v>
      </c>
      <c r="CD839" s="52" t="n">
        <f aca="false">IF(BZ839=0,0,IF(N(S839)&gt;0,S839,IFERROR(VLOOKUP(D839,Parameter!$A$35:$C$64,3,0)+0,0)))</f>
        <v>0</v>
      </c>
      <c r="CE839" s="48" t="n">
        <f aca="false">IF(AA839&lt;&gt;"",AA839,Z839)</f>
        <v>2</v>
      </c>
      <c r="CF839" s="48" t="str">
        <f aca="false">IF(OR(CE839=1,CE839=2,CE839=3),IF(Parameter!$E$27="Ja","LIFT",IF(CE839=1,"L1","L23")),IF(CE839="Aussen","Aussen","-"))</f>
        <v>LIFT</v>
      </c>
      <c r="CG839" s="59" t="n">
        <f aca="false">IF(N(AB839)&gt;0,AB839,0)</f>
        <v>0</v>
      </c>
      <c r="CH839" s="53" t="n">
        <f aca="false">IF(ISNUMBER(AE839),1,0)</f>
        <v>0</v>
      </c>
      <c r="CI839" s="50" t="n">
        <f aca="false">N(AE839)</f>
        <v>0</v>
      </c>
      <c r="CJ839" s="50" t="n">
        <f aca="false">N(M839)+N(N839)</f>
        <v>32</v>
      </c>
      <c r="CK839" s="50" t="n">
        <f aca="false">N(M839)</f>
        <v>2</v>
      </c>
      <c r="CL839" s="50" t="n">
        <f aca="false">N(N839)</f>
        <v>30</v>
      </c>
      <c r="CM839" s="50" t="n">
        <f aca="false">ROUNDUP(H839/BY839,0)</f>
        <v>4</v>
      </c>
      <c r="CN839" s="50" t="n">
        <f aca="false">ROUNDUP(CI839/BY839,0)</f>
        <v>0</v>
      </c>
      <c r="CO839" s="53" t="n">
        <f aca="false">IF(BZ839=1,0,IFERROR(VLOOKUP(BX839,'Gebinde-Kategorie'!$A$5:$N$45,5,0)+0,0))</f>
        <v>21</v>
      </c>
      <c r="CP839" s="53" t="n">
        <f aca="false">IFERROR(IF(OR(CE839=1,CE839=2,CE839=3),N(INDEX(Parameter!$I$5:$I$7,CE839)),0),0)</f>
        <v>0</v>
      </c>
      <c r="CQ839" s="52" t="n">
        <f aca="false">IF(AND(Parameter!$B$21="Ja",ISNUMBER(W839),N(X839)&gt;0),IFERROR(N(INDEX(Parameter!$L$5:$L$7,W839))*INDEX(Parameter!$E$5:$E$7,W839)*X839/SUMIFS($X$7:$X$1843,$W$7:$W$1843,W839),0),0)</f>
        <v>0</v>
      </c>
    </row>
    <row r="840" customFormat="false" ht="15" hidden="false" customHeight="false" outlineLevel="0" collapsed="false">
      <c r="A840" s="48" t="s">
        <v>1620</v>
      </c>
      <c r="B840" s="48" t="s">
        <v>1275</v>
      </c>
      <c r="C840" s="48" t="s">
        <v>173</v>
      </c>
      <c r="D840" s="48" t="s">
        <v>193</v>
      </c>
      <c r="E840" s="48" t="s">
        <v>194</v>
      </c>
      <c r="F840" s="48" t="s">
        <v>227</v>
      </c>
      <c r="G840" s="49" t="n">
        <v>0.06</v>
      </c>
      <c r="H840" s="50" t="n">
        <f aca="false">MAX(0,IF(AND(Parameter!$B$21="Ja",ISNUMBER(Y840)),Y840,IF(Parameter!$B$20="Jahresanfang 2025 + Export",BR840+BQ840,BQ840)))</f>
        <v>433</v>
      </c>
      <c r="I840" s="50" t="n">
        <f aca="false">H840*G840</f>
        <v>25.98</v>
      </c>
      <c r="J840" s="50" t="n">
        <f aca="false">BT840*Parameter!$B$18</f>
        <v>94</v>
      </c>
      <c r="K840" s="51" t="n">
        <v>590</v>
      </c>
      <c r="L840" s="52" t="n">
        <v>0.159322033898305</v>
      </c>
      <c r="M840" s="50" t="n">
        <v>5</v>
      </c>
      <c r="N840" s="50" t="n">
        <v>95</v>
      </c>
      <c r="O840" s="53" t="n">
        <v>21</v>
      </c>
      <c r="P840" s="48" t="s">
        <v>485</v>
      </c>
      <c r="Q840" s="50" t="n">
        <v>1050</v>
      </c>
      <c r="R840" s="53" t="n">
        <f aca="false">IF(BZ840=1,0,IFERROR(VLOOKUP(BX840,'Gebinde-Kategorie'!$A$5:$N$45,13,0)+0,0))</f>
        <v>52</v>
      </c>
      <c r="S840" s="54"/>
      <c r="T840" s="55"/>
      <c r="U840" s="55"/>
      <c r="V840" s="55"/>
      <c r="W840" s="48"/>
      <c r="X840" s="50"/>
      <c r="Y840" s="50"/>
      <c r="Z840" s="48" t="n">
        <f aca="false">IF(A840="","",IF(AND(Parameter!$B$21="Ja",ISNUMBER(W840)),W840,IF(CC840="2+3",IF(ISNUMBER(SEARCH("grosser Artikel",BU840)),2,IFERROR(VLOOKUP(BX840,Parameter!$F$35:$G$64,2,0),2)),IF(OR(CC840="Nein",CC840=""),"-",CC840))))</f>
        <v>3</v>
      </c>
      <c r="AA840" s="55"/>
      <c r="AB840" s="56"/>
      <c r="AC840" s="50" t="n">
        <f aca="false">AV840</f>
        <v>100</v>
      </c>
      <c r="AD840" s="50" t="n">
        <f aca="false">MAX(AV840,H840)</f>
        <v>433</v>
      </c>
      <c r="AE840" s="57"/>
      <c r="AF840" s="50" t="n">
        <f aca="false">IF(LEFT(Cockpit!$C$5,1)="A",H840,IF(Parameter!$E$30="MAX-Bestand",IF(CH840=1,CI840,IF(LEFT(Cockpit!$C$5,1)="B",AL840,MAX(AL840,H840))),ROUNDUP(AJ840,0)))</f>
        <v>433</v>
      </c>
      <c r="AG840" s="50" t="n">
        <f aca="false">IF(BZ840=1,0,ROUNDUP(AF840/BY840,0))</f>
        <v>1</v>
      </c>
      <c r="AH840" s="52" t="n">
        <f aca="false">IF(CQ840&gt;0,CQ840*MAX(1,AF840/X840),IF(BZ840=1,IF(AF840&lt;=0,0,CD840*MAX(1,IF(H840&gt;0,AF840/H840,1))),IF(R840&gt;0,AG840/R840,0))/MAX(0.1,N(Parameter!$M$21)))</f>
        <v>0.0192307692307692</v>
      </c>
      <c r="AI840" s="50" t="n">
        <f aca="false">AH840*CB840</f>
        <v>2.98076923076923</v>
      </c>
      <c r="AJ840" s="51" t="n">
        <f aca="false">IF(LEFT(Cockpit!$C$5,1)="A",H840,IF(CH840=1,(CK840+CI840)/2,IF(LEFT(Cockpit!$C$5,1)="B",(CK840+AL840)/2,MAX((CK840+AL840)/2,H840))))</f>
        <v>433</v>
      </c>
      <c r="AK840" s="50" t="n">
        <f aca="false">AJ840*G840</f>
        <v>25.98</v>
      </c>
      <c r="AL840" s="50" t="n">
        <f aca="false">ROUNDUP(CK840+MAX(CL840,2*(J840/IF(CG840&gt;0,CG840,MAX(0.1,N(Cockpit!$C$6)))-CK840)),0)</f>
        <v>100</v>
      </c>
      <c r="AM840" s="51" t="n">
        <f aca="false">IF(AI840&gt;0,J840/AI840,-1)</f>
        <v>31.5354838709677</v>
      </c>
      <c r="AN840" s="51" t="n">
        <f aca="false">IF(AND(OR(CF840="L1",CF840="L23",CF840="LIFT"),AI840&gt;0),SUMIFS($AI$7:$AI$1843,$CF$7:$CF$1843,CF840,$AM$7:$AM$1843,"&gt;"&amp;AM840)+SUMIFS($AI$7:$AI$1843,$CF$7:$CF$1843,CF840,$AM$7:$AM$1843,AM840,$BW$7:$BW$1843,"&lt;="&amp;BW840),"")</f>
        <v>1382.00549450549</v>
      </c>
      <c r="AO840" s="58" t="n">
        <f aca="false">IF(AN840="",0,MAX(0,MIN(1,(IF(CF840="L1",Parameter!$H$5,IF(CF840="L23",Parameter!$H$6+Parameter!$H$7,Parameter!$H$5+Parameter!$H$6+Parameter!$H$7))-(AN840-AI840))/AI840)))</f>
        <v>1</v>
      </c>
      <c r="AP840" s="50" t="n">
        <f aca="false">IF(LEFT(Cockpit!$I$5,1)="A",H840,IF(Parameter!$E$30="MAX-Bestand",IF(CH840=1,CI840,IF(LEFT(Cockpit!$I$5,1)="B",AV840,MAX(AV840,H840))),ROUNDUP(AT840,0)))</f>
        <v>433</v>
      </c>
      <c r="AQ840" s="50" t="n">
        <f aca="false">IF(BZ840=1,0,ROUNDUP(AP840/BY840,0))</f>
        <v>1</v>
      </c>
      <c r="AR840" s="52" t="n">
        <f aca="false">IF(CQ840&gt;0,CQ840*MAX(1,AP840/X840),IF(BZ840=1,IF(AP840&lt;=0,0,CD840*MAX(1,IF(H840&gt;0,AP840/H840,1))),IF(R840&gt;0,AQ840/R840,0))/MAX(0.1,N(Parameter!$M$21)))</f>
        <v>0.0192307692307692</v>
      </c>
      <c r="AS840" s="50" t="n">
        <f aca="false">AR840*CB840</f>
        <v>2.98076923076923</v>
      </c>
      <c r="AT840" s="51" t="n">
        <f aca="false">IF(LEFT(Cockpit!$I$5,1)="A",H840,IF(CH840=1,(CK840+CI840)/2,IF(LEFT(Cockpit!$I$5,1)="B",(CK840+AV840)/2,MAX((CK840+AV840)/2,H840))))</f>
        <v>433</v>
      </c>
      <c r="AU840" s="50" t="n">
        <f aca="false">AT840*G840</f>
        <v>25.98</v>
      </c>
      <c r="AV840" s="50" t="n">
        <f aca="false">ROUNDUP(CK840+MAX(CL840,2*(J840/IF(CG840&gt;0,CG840,MAX(0.1,N(Cockpit!$I$6)))-CK840)),0)</f>
        <v>100</v>
      </c>
      <c r="AW840" s="51" t="n">
        <f aca="false">IF(AS840&gt;0,J840/AS840,-1)</f>
        <v>31.5354838709677</v>
      </c>
      <c r="AX840" s="51" t="n">
        <f aca="false">IF(AND(OR(CF840="L1",CF840="L23",CF840="LIFT"),AS840&gt;0),SUMIFS($AS$7:$AS$1843,$CF$7:$CF$1843,CF840,$AW$7:$AW$1843,"&gt;"&amp;AW840)+SUMIFS($AS$7:$AS$1843,$CF$7:$CF$1843,CF840,$AW$7:$AW$1843,AW840,$BW$7:$BW$1843,"&lt;="&amp;BW840),"")</f>
        <v>1794.11767399267</v>
      </c>
      <c r="AY840" s="58" t="n">
        <f aca="false">IF(AX840="",0,MAX(0,MIN(1,(IF(CF840="L1",Parameter!$H$5,IF(CF840="L23",Parameter!$H$6+Parameter!$H$7,Parameter!$H$5+Parameter!$H$6+Parameter!$H$7))-(AX840-AS840))/AS840)))</f>
        <v>1</v>
      </c>
      <c r="AZ840" s="50" t="n">
        <f aca="false">IF(LEFT(Cockpit!$O$5,1)="A",H840,IF(Parameter!$E$30="MAX-Bestand",IF(CH840=1,CI840,IF(LEFT(Cockpit!$O$5,1)="B",BF840,MAX(BF840,H840))),ROUNDUP(BD840,0)))</f>
        <v>53</v>
      </c>
      <c r="BA840" s="50" t="n">
        <f aca="false">IF(BZ840=1,0,ROUNDUP(AZ840/BY840,0))</f>
        <v>1</v>
      </c>
      <c r="BB840" s="52" t="n">
        <f aca="false">IF(CQ840&gt;0,CQ840*MAX(1,AZ840/X840),IF(BZ840=1,IF(AZ840&lt;=0,0,CD840*MAX(1,IF(H840&gt;0,AZ840/H840,1))),IF(R840&gt;0,BA840/R840,0))/MAX(0.1,N(Parameter!$M$21)))</f>
        <v>0.0192307692307692</v>
      </c>
      <c r="BC840" s="50" t="n">
        <f aca="false">BB840*CB840</f>
        <v>2.98076923076923</v>
      </c>
      <c r="BD840" s="51" t="n">
        <f aca="false">IF(LEFT(Cockpit!$O$5,1)="A",H840,IF(CH840=1,(CK840+CI840)/2,IF(LEFT(Cockpit!$O$5,1)="B",(CK840+BF840)/2,MAX((CK840+BF840)/2,H840))))</f>
        <v>52.5</v>
      </c>
      <c r="BE840" s="50" t="n">
        <f aca="false">BD840*G840</f>
        <v>3.15</v>
      </c>
      <c r="BF840" s="50" t="n">
        <f aca="false">ROUNDUP(CK840+MAX(CL840,2*(J840/IF(CG840&gt;0,CG840,MAX(0.1,N(Cockpit!$O$6)))-CK840)),0)</f>
        <v>100</v>
      </c>
      <c r="BG840" s="51" t="n">
        <f aca="false">IF(BC840&gt;0,J840/BC840,-1)</f>
        <v>31.5354838709677</v>
      </c>
      <c r="BH840" s="51" t="n">
        <f aca="false">IF(AND(OR(CF840="L1",CF840="L23",CF840="LIFT"),BC840&gt;0),SUMIFS($BC$7:$BC$1843,$CF$7:$CF$1843,CF840,$BG$7:$BG$1843,"&gt;"&amp;BG840)+SUMIFS($BC$7:$BC$1843,$CF$7:$CF$1843,CF840,$BG$7:$BG$1843,BG840,$BW$7:$BW$1843,"&lt;="&amp;BW840),"")</f>
        <v>1731.57921245421</v>
      </c>
      <c r="BI840" s="58" t="n">
        <f aca="false">IF(BH840="",0,MAX(0,MIN(1,(IF(CF840="L1",Parameter!$H$5,IF(CF840="L23",Parameter!$H$6+Parameter!$H$7,Parameter!$H$5+Parameter!$H$6+Parameter!$H$7))-(BH840-BC840))/BC840)))</f>
        <v>1</v>
      </c>
      <c r="BJ840" s="48" t="str">
        <f aca="false">IF(AI840&lt;=0,"",IF(CF840="Aussen","Aussenlager",IF(CF840="-","Nicht im Lift",IF(AO840&gt;=1,"Lift",IF(AO840&lt;=0,"Aussenlager","teilweise")))))</f>
        <v>Lift</v>
      </c>
      <c r="BK840" s="48" t="str">
        <f aca="false">IF(AS840&lt;=0,"",IF(CF840="Aussen","Aussenlager",IF(CF840="-","Nicht im Lift",IF(AY840&gt;=1,"Lift",IF(AY840&lt;=0,"Aussenlager","teilweise")))))</f>
        <v>Lift</v>
      </c>
      <c r="BL840" s="48" t="str">
        <f aca="false">IF(BC840&lt;=0,"",IF(CF840="Aussen","Aussenlager",IF(CF840="-","Nicht im Lift",IF(BI840&gt;=1,"Lift",IF(BI840&lt;=0,"Aussenlager","teilweise")))))</f>
        <v>Lift</v>
      </c>
      <c r="BM840" s="48" t="str">
        <f aca="false">IF(A840="","",IF(BV840=1,"Neu; ","")&amp;IF(AND(BV840=0,BQ840&lt;0),"negativer Bestand (Export "&amp;BQ840&amp;"); ","")&amp;IF(J840&lt;=0,"Kein Verbrauch; ","")&amp;IF(CQ840&gt;0,"Lift "&amp;W840&amp;" lt. Liftbericht (Fach "&amp;X840&amp;" Stk); ",IF(CA840=1,"Gebinde geschätzt ("&amp;T840&amp;"); ",IF(BZ840=1,"Lose – Tablare geschätzt; ","")))&amp;IF(H840&gt;AV840,"Überbestand "&amp;ROUND(H840-AV840,0)&amp;" Stk / CHF "&amp;ROUND((H840-AV840)*G840,0)&amp;"; ","")&amp;IF(AND(CH840=1,CI840&lt;CJ840),"MAX &lt; MB+LG; ","")&amp;IF(AND(CP840&gt;0,CO840*10&gt;CP840),"zu hoch für Tablar; ","")&amp;IF(AND(BV840=0,OR(CH840=1,AA840&lt;&gt;"",U840&lt;&gt;"",V840&lt;&gt;"",AB840&lt;&gt;"")),"manuell übersteuert; ","")&amp;IF(AND(BZ840=0,R840=0),"Gebinde unbekannt / Stellmass fehlt; ","")&amp;IF(AND(BZ840=0,N(V840)&lt;=0,N(Q840)&lt;=0),"Menge pro Gebinde fehlt (Ist = 1 Gebinde); ","")&amp;BU840)</f>
        <v>negativer Bestand (Export -219); Überbestand 333 Stk / CHF 20; Neu</v>
      </c>
      <c r="BN840" s="48"/>
      <c r="BO840" s="48"/>
      <c r="BP840" s="55"/>
      <c r="BQ840" s="50" t="n">
        <v>-219</v>
      </c>
      <c r="BR840" s="50" t="n">
        <v>652</v>
      </c>
      <c r="BS840" s="49" t="n">
        <v>-13.14</v>
      </c>
      <c r="BT840" s="50" t="n">
        <v>94</v>
      </c>
      <c r="BU840" s="48" t="s">
        <v>635</v>
      </c>
      <c r="BV840" s="53" t="n">
        <v>0</v>
      </c>
      <c r="BW840" s="53" t="n">
        <v>840</v>
      </c>
      <c r="BX840" s="48" t="str">
        <f aca="false">IF(U840&lt;&gt;"",UPPER(TRIM(U840)),IF(CA840=1,UPPER(VLOOKUP(T840,Parameter!$I$27:$K$29,2,0)),IF(P840="","LOSE",P840)))</f>
        <v>S33</v>
      </c>
      <c r="BY840" s="50" t="n">
        <f aca="false">IF(BX840="LOSE",1,IF(N(V840)&gt;0,V840,IF(CA840=1,MAX(1,N(VLOOKUP(T840,Parameter!$I$27:$K$29,3,0)),H840,N(N840)),IF(N(Q840)&gt;0,Q840,MAX(1,H840)))))</f>
        <v>1050</v>
      </c>
      <c r="BZ840" s="53" t="n">
        <f aca="false">IF(BX840="LOSE",1,0)</f>
        <v>0</v>
      </c>
      <c r="CA840" s="53" t="n">
        <f aca="false">IF(AND(U840="",OR(P840="",P840="LOSE"),T840&lt;&gt;"",N(S840)&lt;=0,ISNUMBER(MATCH(T840,Parameter!$I$27:$I$29,0))),1,0)</f>
        <v>0</v>
      </c>
      <c r="CB840" s="53" t="n">
        <f aca="false">IF(CQ840&gt;0,INDEX(Parameter!$H$5:$H$7,W840)/INDEX(Parameter!$E$5:$E$7,W840),IF(AND(BZ840=0,N(IFERROR(VLOOKUP(BX840,'Gebinde-Kategorie'!$A$5:$N$45,14,0),0))&gt;0),VLOOKUP(BX840,'Gebinde-Kategorie'!$A$5:$N$45,14,0)*10+Parameter!$M$23,Parameter!$M$24))</f>
        <v>155</v>
      </c>
      <c r="CC840" s="48" t="str">
        <f aca="false">IF(AND(Parameter!$B$19="Ja",E840&lt;&gt;"",ISNUMBER(MATCH(E840,Parameter!$I$35:$I$52,0))),VLOOKUP(E840,Parameter!$I$35:$J$52,2,0),IFERROR(VLOOKUP(D840,Parameter!$A$35:$C$64,2,0),"Nein"))</f>
        <v>2+3</v>
      </c>
      <c r="CD840" s="52" t="n">
        <f aca="false">IF(BZ840=0,0,IF(N(S840)&gt;0,S840,IFERROR(VLOOKUP(D840,Parameter!$A$35:$C$64,3,0)+0,0)))</f>
        <v>0</v>
      </c>
      <c r="CE840" s="48" t="n">
        <f aca="false">IF(AA840&lt;&gt;"",AA840,Z840)</f>
        <v>3</v>
      </c>
      <c r="CF840" s="48" t="str">
        <f aca="false">IF(OR(CE840=1,CE840=2,CE840=3),IF(Parameter!$E$27="Ja","LIFT",IF(CE840=1,"L1","L23")),IF(CE840="Aussen","Aussen","-"))</f>
        <v>LIFT</v>
      </c>
      <c r="CG840" s="59" t="n">
        <f aca="false">IF(N(AB840)&gt;0,AB840,0)</f>
        <v>0</v>
      </c>
      <c r="CH840" s="53" t="n">
        <f aca="false">IF(ISNUMBER(AE840),1,0)</f>
        <v>0</v>
      </c>
      <c r="CI840" s="50" t="n">
        <f aca="false">N(AE840)</f>
        <v>0</v>
      </c>
      <c r="CJ840" s="50" t="n">
        <f aca="false">N(M840)+N(N840)</f>
        <v>100</v>
      </c>
      <c r="CK840" s="50" t="n">
        <f aca="false">N(M840)</f>
        <v>5</v>
      </c>
      <c r="CL840" s="50" t="n">
        <f aca="false">N(N840)</f>
        <v>95</v>
      </c>
      <c r="CM840" s="50" t="n">
        <f aca="false">ROUNDUP(H840/BY840,0)</f>
        <v>1</v>
      </c>
      <c r="CN840" s="50" t="n">
        <f aca="false">ROUNDUP(CI840/BY840,0)</f>
        <v>0</v>
      </c>
      <c r="CO840" s="53" t="n">
        <f aca="false">IF(BZ840=1,0,IFERROR(VLOOKUP(BX840,'Gebinde-Kategorie'!$A$5:$N$45,5,0)+0,0))</f>
        <v>8</v>
      </c>
      <c r="CP840" s="53" t="n">
        <f aca="false">IFERROR(IF(OR(CE840=1,CE840=2,CE840=3),N(INDEX(Parameter!$I$5:$I$7,CE840)),0),0)</f>
        <v>0</v>
      </c>
      <c r="CQ840" s="52" t="n">
        <f aca="false">IF(AND(Parameter!$B$21="Ja",ISNUMBER(W840),N(X840)&gt;0),IFERROR(N(INDEX(Parameter!$L$5:$L$7,W840))*INDEX(Parameter!$E$5:$E$7,W840)*X840/SUMIFS($X$7:$X$1843,$W$7:$W$1843,W840),0),0)</f>
        <v>0</v>
      </c>
    </row>
    <row r="841" customFormat="false" ht="15" hidden="false" customHeight="false" outlineLevel="0" collapsed="false">
      <c r="A841" s="48" t="s">
        <v>1621</v>
      </c>
      <c r="B841" s="48" t="s">
        <v>1504</v>
      </c>
      <c r="C841" s="48" t="s">
        <v>173</v>
      </c>
      <c r="D841" s="48" t="s">
        <v>193</v>
      </c>
      <c r="E841" s="48" t="s">
        <v>175</v>
      </c>
      <c r="F841" s="48" t="s">
        <v>227</v>
      </c>
      <c r="G841" s="49" t="n">
        <v>0.02</v>
      </c>
      <c r="H841" s="50" t="n">
        <f aca="false">MAX(0,IF(AND(Parameter!$B$21="Ja",ISNUMBER(Y841)),Y841,IF(Parameter!$B$20="Jahresanfang 2025 + Export",BR841+BQ841,BQ841)))</f>
        <v>61</v>
      </c>
      <c r="I841" s="50" t="n">
        <f aca="false">H841*G841</f>
        <v>1.22</v>
      </c>
      <c r="J841" s="50" t="n">
        <f aca="false">BT841*Parameter!$B$18</f>
        <v>301</v>
      </c>
      <c r="K841" s="51" t="n">
        <v>837</v>
      </c>
      <c r="L841" s="52" t="n">
        <v>0.359617682198327</v>
      </c>
      <c r="M841" s="50" t="n">
        <v>17</v>
      </c>
      <c r="N841" s="50" t="n">
        <v>300</v>
      </c>
      <c r="O841" s="53" t="n">
        <v>21</v>
      </c>
      <c r="P841" s="48" t="s">
        <v>410</v>
      </c>
      <c r="Q841" s="50" t="n">
        <v>1000</v>
      </c>
      <c r="R841" s="53" t="n">
        <f aca="false">IF(BZ841=1,0,IFERROR(VLOOKUP(BX841,'Gebinde-Kategorie'!$A$5:$N$45,13,0)+0,0))</f>
        <v>280</v>
      </c>
      <c r="S841" s="54"/>
      <c r="T841" s="55"/>
      <c r="U841" s="55"/>
      <c r="V841" s="55"/>
      <c r="W841" s="48"/>
      <c r="X841" s="50"/>
      <c r="Y841" s="50"/>
      <c r="Z841" s="48" t="n">
        <f aca="false">IF(A841="","",IF(AND(Parameter!$B$21="Ja",ISNUMBER(W841)),W841,IF(CC841="2+3",IF(ISNUMBER(SEARCH("grosser Artikel",BU841)),2,IFERROR(VLOOKUP(BX841,Parameter!$F$35:$G$64,2,0),2)),IF(OR(CC841="Nein",CC841=""),"-",CC841))))</f>
        <v>1</v>
      </c>
      <c r="AA841" s="55"/>
      <c r="AB841" s="56"/>
      <c r="AC841" s="50" t="n">
        <f aca="false">AV841</f>
        <v>317</v>
      </c>
      <c r="AD841" s="50" t="n">
        <f aca="false">MAX(AV841,H841)</f>
        <v>317</v>
      </c>
      <c r="AE841" s="57"/>
      <c r="AF841" s="50" t="n">
        <f aca="false">IF(LEFT(Cockpit!$C$5,1)="A",H841,IF(Parameter!$E$30="MAX-Bestand",IF(CH841=1,CI841,IF(LEFT(Cockpit!$C$5,1)="B",AL841,MAX(AL841,H841))),ROUNDUP(AJ841,0)))</f>
        <v>61</v>
      </c>
      <c r="AG841" s="50" t="n">
        <f aca="false">IF(BZ841=1,0,ROUNDUP(AF841/BY841,0))</f>
        <v>1</v>
      </c>
      <c r="AH841" s="52" t="n">
        <f aca="false">IF(CQ841&gt;0,CQ841*MAX(1,AF841/X841),IF(BZ841=1,IF(AF841&lt;=0,0,CD841*MAX(1,IF(H841&gt;0,AF841/H841,1))),IF(R841&gt;0,AG841/R841,0))/MAX(0.1,N(Parameter!$M$21)))</f>
        <v>0.00357142857142857</v>
      </c>
      <c r="AI841" s="50" t="n">
        <f aca="false">AH841*CB841</f>
        <v>0.553571428571429</v>
      </c>
      <c r="AJ841" s="51" t="n">
        <f aca="false">IF(LEFT(Cockpit!$C$5,1)="A",H841,IF(CH841=1,(CK841+CI841)/2,IF(LEFT(Cockpit!$C$5,1)="B",(CK841+AL841)/2,MAX((CK841+AL841)/2,H841))))</f>
        <v>61</v>
      </c>
      <c r="AK841" s="50" t="n">
        <f aca="false">AJ841*G841</f>
        <v>1.22</v>
      </c>
      <c r="AL841" s="50" t="n">
        <f aca="false">ROUNDUP(CK841+MAX(CL841,2*(J841/IF(CG841&gt;0,CG841,MAX(0.1,N(Cockpit!$C$6)))-CK841)),0)</f>
        <v>317</v>
      </c>
      <c r="AM841" s="51" t="n">
        <f aca="false">IF(AI841&gt;0,J841/AI841,-1)</f>
        <v>543.741935483871</v>
      </c>
      <c r="AN841" s="51" t="n">
        <f aca="false">IF(AND(OR(CF841="L1",CF841="L23",CF841="LIFT"),AI841&gt;0),SUMIFS($AI$7:$AI$1843,$CF$7:$CF$1843,CF841,$AM$7:$AM$1843,"&gt;"&amp;AM841)+SUMIFS($AI$7:$AI$1843,$CF$7:$CF$1843,CF841,$AM$7:$AM$1843,AM841,$BW$7:$BW$1843,"&lt;="&amp;BW841),"")</f>
        <v>81.521978021978</v>
      </c>
      <c r="AO841" s="58" t="n">
        <f aca="false">IF(AN841="",0,MAX(0,MIN(1,(IF(CF841="L1",Parameter!$H$5,IF(CF841="L23",Parameter!$H$6+Parameter!$H$7,Parameter!$H$5+Parameter!$H$6+Parameter!$H$7))-(AN841-AI841))/AI841)))</f>
        <v>1</v>
      </c>
      <c r="AP841" s="50" t="n">
        <f aca="false">IF(LEFT(Cockpit!$I$5,1)="A",H841,IF(Parameter!$E$30="MAX-Bestand",IF(CH841=1,CI841,IF(LEFT(Cockpit!$I$5,1)="B",AV841,MAX(AV841,H841))),ROUNDUP(AT841,0)))</f>
        <v>167</v>
      </c>
      <c r="AQ841" s="50" t="n">
        <f aca="false">IF(BZ841=1,0,ROUNDUP(AP841/BY841,0))</f>
        <v>1</v>
      </c>
      <c r="AR841" s="52" t="n">
        <f aca="false">IF(CQ841&gt;0,CQ841*MAX(1,AP841/X841),IF(BZ841=1,IF(AP841&lt;=0,0,CD841*MAX(1,IF(H841&gt;0,AP841/H841,1))),IF(R841&gt;0,AQ841/R841,0))/MAX(0.1,N(Parameter!$M$21)))</f>
        <v>0.00357142857142857</v>
      </c>
      <c r="AS841" s="50" t="n">
        <f aca="false">AR841*CB841</f>
        <v>0.553571428571429</v>
      </c>
      <c r="AT841" s="51" t="n">
        <f aca="false">IF(LEFT(Cockpit!$I$5,1)="A",H841,IF(CH841=1,(CK841+CI841)/2,IF(LEFT(Cockpit!$I$5,1)="B",(CK841+AV841)/2,MAX((CK841+AV841)/2,H841))))</f>
        <v>167</v>
      </c>
      <c r="AU841" s="50" t="n">
        <f aca="false">AT841*G841</f>
        <v>3.34</v>
      </c>
      <c r="AV841" s="50" t="n">
        <f aca="false">ROUNDUP(CK841+MAX(CL841,2*(J841/IF(CG841&gt;0,CG841,MAX(0.1,N(Cockpit!$I$6)))-CK841)),0)</f>
        <v>317</v>
      </c>
      <c r="AW841" s="51" t="n">
        <f aca="false">IF(AS841&gt;0,J841/AS841,-1)</f>
        <v>543.741935483871</v>
      </c>
      <c r="AX841" s="51" t="n">
        <f aca="false">IF(AND(OR(CF841="L1",CF841="L23",CF841="LIFT"),AS841&gt;0),SUMIFS($AS$7:$AS$1843,$CF$7:$CF$1843,CF841,$AW$7:$AW$1843,"&gt;"&amp;AW841)+SUMIFS($AS$7:$AS$1843,$CF$7:$CF$1843,CF841,$AW$7:$AW$1843,AW841,$BW$7:$BW$1843,"&lt;="&amp;BW841),"")</f>
        <v>86.4491758241758</v>
      </c>
      <c r="AY841" s="58" t="n">
        <f aca="false">IF(AX841="",0,MAX(0,MIN(1,(IF(CF841="L1",Parameter!$H$5,IF(CF841="L23",Parameter!$H$6+Parameter!$H$7,Parameter!$H$5+Parameter!$H$6+Parameter!$H$7))-(AX841-AS841))/AS841)))</f>
        <v>1</v>
      </c>
      <c r="AZ841" s="50" t="n">
        <f aca="false">IF(LEFT(Cockpit!$O$5,1)="A",H841,IF(Parameter!$E$30="MAX-Bestand",IF(CH841=1,CI841,IF(LEFT(Cockpit!$O$5,1)="B",BF841,MAX(BF841,H841))),ROUNDUP(BD841,0)))</f>
        <v>167</v>
      </c>
      <c r="BA841" s="50" t="n">
        <f aca="false">IF(BZ841=1,0,ROUNDUP(AZ841/BY841,0))</f>
        <v>1</v>
      </c>
      <c r="BB841" s="52" t="n">
        <f aca="false">IF(CQ841&gt;0,CQ841*MAX(1,AZ841/X841),IF(BZ841=1,IF(AZ841&lt;=0,0,CD841*MAX(1,IF(H841&gt;0,AZ841/H841,1))),IF(R841&gt;0,BA841/R841,0))/MAX(0.1,N(Parameter!$M$21)))</f>
        <v>0.00357142857142857</v>
      </c>
      <c r="BC841" s="50" t="n">
        <f aca="false">BB841*CB841</f>
        <v>0.553571428571429</v>
      </c>
      <c r="BD841" s="51" t="n">
        <f aca="false">IF(LEFT(Cockpit!$O$5,1)="A",H841,IF(CH841=1,(CK841+CI841)/2,IF(LEFT(Cockpit!$O$5,1)="B",(CK841+BF841)/2,MAX((CK841+BF841)/2,H841))))</f>
        <v>167</v>
      </c>
      <c r="BE841" s="50" t="n">
        <f aca="false">BD841*G841</f>
        <v>3.34</v>
      </c>
      <c r="BF841" s="50" t="n">
        <f aca="false">ROUNDUP(CK841+MAX(CL841,2*(J841/IF(CG841&gt;0,CG841,MAX(0.1,N(Cockpit!$O$6)))-CK841)),0)</f>
        <v>317</v>
      </c>
      <c r="BG841" s="51" t="n">
        <f aca="false">IF(BC841&gt;0,J841/BC841,-1)</f>
        <v>543.741935483871</v>
      </c>
      <c r="BH841" s="51" t="n">
        <f aca="false">IF(AND(OR(CF841="L1",CF841="L23",CF841="LIFT"),BC841&gt;0),SUMIFS($BC$7:$BC$1843,$CF$7:$CF$1843,CF841,$BG$7:$BG$1843,"&gt;"&amp;BG841)+SUMIFS($BC$7:$BC$1843,$CF$7:$CF$1843,CF841,$BG$7:$BG$1843,BG841,$BW$7:$BW$1843,"&lt;="&amp;BW841),"")</f>
        <v>107.091575091575</v>
      </c>
      <c r="BI841" s="58" t="n">
        <f aca="false">IF(BH841="",0,MAX(0,MIN(1,(IF(CF841="L1",Parameter!$H$5,IF(CF841="L23",Parameter!$H$6+Parameter!$H$7,Parameter!$H$5+Parameter!$H$6+Parameter!$H$7))-(BH841-BC841))/BC841)))</f>
        <v>1</v>
      </c>
      <c r="BJ841" s="48" t="str">
        <f aca="false">IF(AI841&lt;=0,"",IF(CF841="Aussen","Aussenlager",IF(CF841="-","Nicht im Lift",IF(AO841&gt;=1,"Lift",IF(AO841&lt;=0,"Aussenlager","teilweise")))))</f>
        <v>Lift</v>
      </c>
      <c r="BK841" s="48" t="str">
        <f aca="false">IF(AS841&lt;=0,"",IF(CF841="Aussen","Aussenlager",IF(CF841="-","Nicht im Lift",IF(AY841&gt;=1,"Lift",IF(AY841&lt;=0,"Aussenlager","teilweise")))))</f>
        <v>Lift</v>
      </c>
      <c r="BL841" s="48" t="str">
        <f aca="false">IF(BC841&lt;=0,"",IF(CF841="Aussen","Aussenlager",IF(CF841="-","Nicht im Lift",IF(BI841&gt;=1,"Lift",IF(BI841&lt;=0,"Aussenlager","teilweise")))))</f>
        <v>Lift</v>
      </c>
      <c r="BM841" s="48" t="str">
        <f aca="false">IF(A841="","",IF(BV841=1,"Neu; ","")&amp;IF(AND(BV841=0,BQ841&lt;0),"negativer Bestand (Export "&amp;BQ841&amp;"); ","")&amp;IF(J841&lt;=0,"Kein Verbrauch; ","")&amp;IF(CQ841&gt;0,"Lift "&amp;W841&amp;" lt. Liftbericht (Fach "&amp;X841&amp;" Stk); ",IF(CA841=1,"Gebinde geschätzt ("&amp;T841&amp;"); ",IF(BZ841=1,"Lose – Tablare geschätzt; ","")))&amp;IF(H841&gt;AV841,"Überbestand "&amp;ROUND(H841-AV841,0)&amp;" Stk / CHF "&amp;ROUND((H841-AV841)*G841,0)&amp;"; ","")&amp;IF(AND(CH841=1,CI841&lt;CJ841),"MAX &lt; MB+LG; ","")&amp;IF(AND(CP841&gt;0,CO841*10&gt;CP841),"zu hoch für Tablar; ","")&amp;IF(AND(BV841=0,OR(CH841=1,AA841&lt;&gt;"",U841&lt;&gt;"",V841&lt;&gt;"",AB841&lt;&gt;"")),"manuell übersteuert; ","")&amp;IF(AND(BZ841=0,R841=0),"Gebinde unbekannt / Stellmass fehlt; ","")&amp;IF(AND(BZ841=0,N(V841)&lt;=0,N(Q841)&lt;=0),"Menge pro Gebinde fehlt (Ist = 1 Gebinde); ","")&amp;BU841)</f>
        <v>negativer Bestand (Export -1393); </v>
      </c>
      <c r="BN841" s="48"/>
      <c r="BO841" s="48"/>
      <c r="BP841" s="55"/>
      <c r="BQ841" s="50" t="n">
        <v>-1393</v>
      </c>
      <c r="BR841" s="50" t="n">
        <v>1454</v>
      </c>
      <c r="BS841" s="49" t="n">
        <v>-13.32</v>
      </c>
      <c r="BT841" s="50" t="n">
        <v>301</v>
      </c>
      <c r="BU841" s="48"/>
      <c r="BV841" s="53" t="n">
        <v>0</v>
      </c>
      <c r="BW841" s="53" t="n">
        <v>841</v>
      </c>
      <c r="BX841" s="48" t="str">
        <f aca="false">IF(U841&lt;&gt;"",UPPER(TRIM(U841)),IF(CA841=1,UPPER(VLOOKUP(T841,Parameter!$I$27:$K$29,2,0)),IF(P841="","LOSE",P841)))</f>
        <v>S21</v>
      </c>
      <c r="BY841" s="50" t="n">
        <f aca="false">IF(BX841="LOSE",1,IF(N(V841)&gt;0,V841,IF(CA841=1,MAX(1,N(VLOOKUP(T841,Parameter!$I$27:$K$29,3,0)),H841,N(N841)),IF(N(Q841)&gt;0,Q841,MAX(1,H841)))))</f>
        <v>1000</v>
      </c>
      <c r="BZ841" s="53" t="n">
        <f aca="false">IF(BX841="LOSE",1,0)</f>
        <v>0</v>
      </c>
      <c r="CA841" s="53" t="n">
        <f aca="false">IF(AND(U841="",OR(P841="",P841="LOSE"),T841&lt;&gt;"",N(S841)&lt;=0,ISNUMBER(MATCH(T841,Parameter!$I$27:$I$29,0))),1,0)</f>
        <v>0</v>
      </c>
      <c r="CB841" s="53" t="n">
        <f aca="false">IF(CQ841&gt;0,INDEX(Parameter!$H$5:$H$7,W841)/INDEX(Parameter!$E$5:$E$7,W841),IF(AND(BZ841=0,N(IFERROR(VLOOKUP(BX841,'Gebinde-Kategorie'!$A$5:$N$45,14,0),0))&gt;0),VLOOKUP(BX841,'Gebinde-Kategorie'!$A$5:$N$45,14,0)*10+Parameter!$M$23,Parameter!$M$24))</f>
        <v>155</v>
      </c>
      <c r="CC841" s="48" t="n">
        <f aca="false">IF(AND(Parameter!$B$19="Ja",E841&lt;&gt;"",ISNUMBER(MATCH(E841,Parameter!$I$35:$I$52,0))),VLOOKUP(E841,Parameter!$I$35:$J$52,2,0),IFERROR(VLOOKUP(D841,Parameter!$A$35:$C$64,2,0),"Nein"))</f>
        <v>1</v>
      </c>
      <c r="CD841" s="52" t="n">
        <f aca="false">IF(BZ841=0,0,IF(N(S841)&gt;0,S841,IFERROR(VLOOKUP(D841,Parameter!$A$35:$C$64,3,0)+0,0)))</f>
        <v>0</v>
      </c>
      <c r="CE841" s="48" t="n">
        <f aca="false">IF(AA841&lt;&gt;"",AA841,Z841)</f>
        <v>1</v>
      </c>
      <c r="CF841" s="48" t="str">
        <f aca="false">IF(OR(CE841=1,CE841=2,CE841=3),IF(Parameter!$E$27="Ja","LIFT",IF(CE841=1,"L1","L23")),IF(CE841="Aussen","Aussen","-"))</f>
        <v>LIFT</v>
      </c>
      <c r="CG841" s="59" t="n">
        <f aca="false">IF(N(AB841)&gt;0,AB841,0)</f>
        <v>0</v>
      </c>
      <c r="CH841" s="53" t="n">
        <f aca="false">IF(ISNUMBER(AE841),1,0)</f>
        <v>0</v>
      </c>
      <c r="CI841" s="50" t="n">
        <f aca="false">N(AE841)</f>
        <v>0</v>
      </c>
      <c r="CJ841" s="50" t="n">
        <f aca="false">N(M841)+N(N841)</f>
        <v>317</v>
      </c>
      <c r="CK841" s="50" t="n">
        <f aca="false">N(M841)</f>
        <v>17</v>
      </c>
      <c r="CL841" s="50" t="n">
        <f aca="false">N(N841)</f>
        <v>300</v>
      </c>
      <c r="CM841" s="50" t="n">
        <f aca="false">ROUNDUP(H841/BY841,0)</f>
        <v>1</v>
      </c>
      <c r="CN841" s="50" t="n">
        <f aca="false">ROUNDUP(CI841/BY841,0)</f>
        <v>0</v>
      </c>
      <c r="CO841" s="53" t="n">
        <f aca="false">IF(BZ841=1,0,IFERROR(VLOOKUP(BX841,'Gebinde-Kategorie'!$A$5:$N$45,5,0)+0,0))</f>
        <v>8</v>
      </c>
      <c r="CP841" s="53" t="n">
        <f aca="false">IFERROR(IF(OR(CE841=1,CE841=2,CE841=3),N(INDEX(Parameter!$I$5:$I$7,CE841)),0),0)</f>
        <v>0</v>
      </c>
      <c r="CQ841" s="52" t="n">
        <f aca="false">IF(AND(Parameter!$B$21="Ja",ISNUMBER(W841),N(X841)&gt;0),IFERROR(N(INDEX(Parameter!$L$5:$L$7,W841))*INDEX(Parameter!$E$5:$E$7,W841)*X841/SUMIFS($X$7:$X$1843,$W$7:$W$1843,W841),0),0)</f>
        <v>0</v>
      </c>
    </row>
    <row r="842" customFormat="false" ht="15" hidden="false" customHeight="false" outlineLevel="0" collapsed="false">
      <c r="A842" s="48" t="s">
        <v>1622</v>
      </c>
      <c r="B842" s="48" t="s">
        <v>416</v>
      </c>
      <c r="C842" s="48" t="s">
        <v>173</v>
      </c>
      <c r="D842" s="48" t="s">
        <v>193</v>
      </c>
      <c r="E842" s="48" t="s">
        <v>194</v>
      </c>
      <c r="F842" s="48" t="s">
        <v>227</v>
      </c>
      <c r="G842" s="49" t="n">
        <v>0.02</v>
      </c>
      <c r="H842" s="50" t="n">
        <f aca="false">MAX(0,IF(AND(Parameter!$B$21="Ja",ISNUMBER(Y842)),Y842,IF(Parameter!$B$20="Jahresanfang 2025 + Export",BR842+BQ842,BQ842)))</f>
        <v>1497</v>
      </c>
      <c r="I842" s="50" t="n">
        <f aca="false">H842*G842</f>
        <v>29.94</v>
      </c>
      <c r="J842" s="50" t="n">
        <f aca="false">BT842*Parameter!$B$18</f>
        <v>7159</v>
      </c>
      <c r="K842" s="51" t="n">
        <v>2330.5</v>
      </c>
      <c r="L842" s="52" t="n">
        <v>3.07187298862905</v>
      </c>
      <c r="M842" s="50" t="n">
        <v>417</v>
      </c>
      <c r="N842" s="50" t="n">
        <v>2000</v>
      </c>
      <c r="O842" s="53" t="n">
        <v>21</v>
      </c>
      <c r="P842" s="48" t="s">
        <v>337</v>
      </c>
      <c r="Q842" s="50" t="n">
        <v>3706</v>
      </c>
      <c r="R842" s="53" t="n">
        <f aca="false">IF(BZ842=1,0,IFERROR(VLOOKUP(BX842,'Gebinde-Kategorie'!$A$5:$N$45,13,0)+0,0))</f>
        <v>52</v>
      </c>
      <c r="S842" s="54"/>
      <c r="T842" s="55"/>
      <c r="U842" s="55"/>
      <c r="V842" s="55"/>
      <c r="W842" s="48"/>
      <c r="X842" s="50"/>
      <c r="Y842" s="50"/>
      <c r="Z842" s="48" t="n">
        <f aca="false">IF(A842="","",IF(AND(Parameter!$B$21="Ja",ISNUMBER(W842)),W842,IF(CC842="2+3",IF(ISNUMBER(SEARCH("grosser Artikel",BU842)),2,IFERROR(VLOOKUP(BX842,Parameter!$F$35:$G$64,2,0),2)),IF(OR(CC842="Nein",CC842=""),"-",CC842))))</f>
        <v>3</v>
      </c>
      <c r="AA842" s="55"/>
      <c r="AB842" s="56"/>
      <c r="AC842" s="50" t="n">
        <f aca="false">AV842</f>
        <v>4356</v>
      </c>
      <c r="AD842" s="50" t="n">
        <f aca="false">MAX(AV842,H842)</f>
        <v>4356</v>
      </c>
      <c r="AE842" s="57"/>
      <c r="AF842" s="50" t="n">
        <f aca="false">IF(LEFT(Cockpit!$C$5,1)="A",H842,IF(Parameter!$E$30="MAX-Bestand",IF(CH842=1,CI842,IF(LEFT(Cockpit!$C$5,1)="B",AL842,MAX(AL842,H842))),ROUNDUP(AJ842,0)))</f>
        <v>1497</v>
      </c>
      <c r="AG842" s="50" t="n">
        <f aca="false">IF(BZ842=1,0,ROUNDUP(AF842/BY842,0))</f>
        <v>1</v>
      </c>
      <c r="AH842" s="52" t="n">
        <f aca="false">IF(CQ842&gt;0,CQ842*MAX(1,AF842/X842),IF(BZ842=1,IF(AF842&lt;=0,0,CD842*MAX(1,IF(H842&gt;0,AF842/H842,1))),IF(R842&gt;0,AG842/R842,0))/MAX(0.1,N(Parameter!$M$21)))</f>
        <v>0.0192307692307692</v>
      </c>
      <c r="AI842" s="50" t="n">
        <f aca="false">AH842*CB842</f>
        <v>2.98076923076923</v>
      </c>
      <c r="AJ842" s="51" t="n">
        <f aca="false">IF(LEFT(Cockpit!$C$5,1)="A",H842,IF(CH842=1,(CK842+CI842)/2,IF(LEFT(Cockpit!$C$5,1)="B",(CK842+AL842)/2,MAX((CK842+AL842)/2,H842))))</f>
        <v>1497</v>
      </c>
      <c r="AK842" s="50" t="n">
        <f aca="false">AJ842*G842</f>
        <v>29.94</v>
      </c>
      <c r="AL842" s="50" t="n">
        <f aca="false">ROUNDUP(CK842+MAX(CL842,2*(J842/IF(CG842&gt;0,CG842,MAX(0.1,N(Cockpit!$C$6)))-CK842)),0)</f>
        <v>4356</v>
      </c>
      <c r="AM842" s="51" t="n">
        <f aca="false">IF(AI842&gt;0,J842/AI842,-1)</f>
        <v>2401.72903225806</v>
      </c>
      <c r="AN842" s="51" t="n">
        <f aca="false">IF(AND(OR(CF842="L1",CF842="L23",CF842="LIFT"),AI842&gt;0),SUMIFS($AI$7:$AI$1843,$CF$7:$CF$1843,CF842,$AM$7:$AM$1843,"&gt;"&amp;AM842)+SUMIFS($AI$7:$AI$1843,$CF$7:$CF$1843,CF842,$AM$7:$AM$1843,AM842,$BW$7:$BW$1843,"&lt;="&amp;BW842),"")</f>
        <v>2.98076923076923</v>
      </c>
      <c r="AO842" s="58" t="n">
        <f aca="false">IF(AN842="",0,MAX(0,MIN(1,(IF(CF842="L1",Parameter!$H$5,IF(CF842="L23",Parameter!$H$6+Parameter!$H$7,Parameter!$H$5+Parameter!$H$6+Parameter!$H$7))-(AN842-AI842))/AI842)))</f>
        <v>1</v>
      </c>
      <c r="AP842" s="50" t="n">
        <f aca="false">IF(LEFT(Cockpit!$I$5,1)="A",H842,IF(Parameter!$E$30="MAX-Bestand",IF(CH842=1,CI842,IF(LEFT(Cockpit!$I$5,1)="B",AV842,MAX(AV842,H842))),ROUNDUP(AT842,0)))</f>
        <v>2387</v>
      </c>
      <c r="AQ842" s="50" t="n">
        <f aca="false">IF(BZ842=1,0,ROUNDUP(AP842/BY842,0))</f>
        <v>1</v>
      </c>
      <c r="AR842" s="52" t="n">
        <f aca="false">IF(CQ842&gt;0,CQ842*MAX(1,AP842/X842),IF(BZ842=1,IF(AP842&lt;=0,0,CD842*MAX(1,IF(H842&gt;0,AP842/H842,1))),IF(R842&gt;0,AQ842/R842,0))/MAX(0.1,N(Parameter!$M$21)))</f>
        <v>0.0192307692307692</v>
      </c>
      <c r="AS842" s="50" t="n">
        <f aca="false">AR842*CB842</f>
        <v>2.98076923076923</v>
      </c>
      <c r="AT842" s="51" t="n">
        <f aca="false">IF(LEFT(Cockpit!$I$5,1)="A",H842,IF(CH842=1,(CK842+CI842)/2,IF(LEFT(Cockpit!$I$5,1)="B",(CK842+AV842)/2,MAX((CK842+AV842)/2,H842))))</f>
        <v>2386.5</v>
      </c>
      <c r="AU842" s="50" t="n">
        <f aca="false">AT842*G842</f>
        <v>47.73</v>
      </c>
      <c r="AV842" s="50" t="n">
        <f aca="false">ROUNDUP(CK842+MAX(CL842,2*(J842/IF(CG842&gt;0,CG842,MAX(0.1,N(Cockpit!$I$6)))-CK842)),0)</f>
        <v>4356</v>
      </c>
      <c r="AW842" s="51" t="n">
        <f aca="false">IF(AS842&gt;0,J842/AS842,-1)</f>
        <v>2401.72903225806</v>
      </c>
      <c r="AX842" s="51" t="n">
        <f aca="false">IF(AND(OR(CF842="L1",CF842="L23",CF842="LIFT"),AS842&gt;0),SUMIFS($AS$7:$AS$1843,$CF$7:$CF$1843,CF842,$AW$7:$AW$1843,"&gt;"&amp;AW842)+SUMIFS($AS$7:$AS$1843,$CF$7:$CF$1843,CF842,$AW$7:$AW$1843,AW842,$BW$7:$BW$1843,"&lt;="&amp;BW842),"")</f>
        <v>2.98076923076923</v>
      </c>
      <c r="AY842" s="58" t="n">
        <f aca="false">IF(AX842="",0,MAX(0,MIN(1,(IF(CF842="L1",Parameter!$H$5,IF(CF842="L23",Parameter!$H$6+Parameter!$H$7,Parameter!$H$5+Parameter!$H$6+Parameter!$H$7))-(AX842-AS842))/AS842)))</f>
        <v>1</v>
      </c>
      <c r="AZ842" s="50" t="n">
        <f aca="false">IF(LEFT(Cockpit!$O$5,1)="A",H842,IF(Parameter!$E$30="MAX-Bestand",IF(CH842=1,CI842,IF(LEFT(Cockpit!$O$5,1)="B",BF842,MAX(BF842,H842))),ROUNDUP(BD842,0)))</f>
        <v>1790</v>
      </c>
      <c r="BA842" s="50" t="n">
        <f aca="false">IF(BZ842=1,0,ROUNDUP(AZ842/BY842,0))</f>
        <v>1</v>
      </c>
      <c r="BB842" s="52" t="n">
        <f aca="false">IF(CQ842&gt;0,CQ842*MAX(1,AZ842/X842),IF(BZ842=1,IF(AZ842&lt;=0,0,CD842*MAX(1,IF(H842&gt;0,AZ842/H842,1))),IF(R842&gt;0,BA842/R842,0))/MAX(0.1,N(Parameter!$M$21)))</f>
        <v>0.0192307692307692</v>
      </c>
      <c r="BC842" s="50" t="n">
        <f aca="false">BB842*CB842</f>
        <v>2.98076923076923</v>
      </c>
      <c r="BD842" s="51" t="n">
        <f aca="false">IF(LEFT(Cockpit!$O$5,1)="A",H842,IF(CH842=1,(CK842+CI842)/2,IF(LEFT(Cockpit!$O$5,1)="B",(CK842+BF842)/2,MAX((CK842+BF842)/2,H842))))</f>
        <v>1790</v>
      </c>
      <c r="BE842" s="50" t="n">
        <f aca="false">BD842*G842</f>
        <v>35.8</v>
      </c>
      <c r="BF842" s="50" t="n">
        <f aca="false">ROUNDUP(CK842+MAX(CL842,2*(J842/IF(CG842&gt;0,CG842,MAX(0.1,N(Cockpit!$O$6)))-CK842)),0)</f>
        <v>3163</v>
      </c>
      <c r="BG842" s="51" t="n">
        <f aca="false">IF(BC842&gt;0,J842/BC842,-1)</f>
        <v>2401.72903225806</v>
      </c>
      <c r="BH842" s="51" t="n">
        <f aca="false">IF(AND(OR(CF842="L1",CF842="L23",CF842="LIFT"),BC842&gt;0),SUMIFS($BC$7:$BC$1843,$CF$7:$CF$1843,CF842,$BG$7:$BG$1843,"&gt;"&amp;BG842)+SUMIFS($BC$7:$BC$1843,$CF$7:$CF$1843,CF842,$BG$7:$BG$1843,BG842,$BW$7:$BW$1843,"&lt;="&amp;BW842),"")</f>
        <v>2.98076923076923</v>
      </c>
      <c r="BI842" s="58" t="n">
        <f aca="false">IF(BH842="",0,MAX(0,MIN(1,(IF(CF842="L1",Parameter!$H$5,IF(CF842="L23",Parameter!$H$6+Parameter!$H$7,Parameter!$H$5+Parameter!$H$6+Parameter!$H$7))-(BH842-BC842))/BC842)))</f>
        <v>1</v>
      </c>
      <c r="BJ842" s="48" t="str">
        <f aca="false">IF(AI842&lt;=0,"",IF(CF842="Aussen","Aussenlager",IF(CF842="-","Nicht im Lift",IF(AO842&gt;=1,"Lift",IF(AO842&lt;=0,"Aussenlager","teilweise")))))</f>
        <v>Lift</v>
      </c>
      <c r="BK842" s="48" t="str">
        <f aca="false">IF(AS842&lt;=0,"",IF(CF842="Aussen","Aussenlager",IF(CF842="-","Nicht im Lift",IF(AY842&gt;=1,"Lift",IF(AY842&lt;=0,"Aussenlager","teilweise")))))</f>
        <v>Lift</v>
      </c>
      <c r="BL842" s="48" t="str">
        <f aca="false">IF(BC842&lt;=0,"",IF(CF842="Aussen","Aussenlager",IF(CF842="-","Nicht im Lift",IF(BI842&gt;=1,"Lift",IF(BI842&lt;=0,"Aussenlager","teilweise")))))</f>
        <v>Lift</v>
      </c>
      <c r="BM842" s="48" t="str">
        <f aca="false">IF(A842="","",IF(BV842=1,"Neu; ","")&amp;IF(AND(BV842=0,BQ842&lt;0),"negativer Bestand (Export "&amp;BQ842&amp;"); ","")&amp;IF(J842&lt;=0,"Kein Verbrauch; ","")&amp;IF(CQ842&gt;0,"Lift "&amp;W842&amp;" lt. Liftbericht (Fach "&amp;X842&amp;" Stk); ",IF(CA842=1,"Gebinde geschätzt ("&amp;T842&amp;"); ",IF(BZ842=1,"Lose – Tablare geschätzt; ","")))&amp;IF(H842&gt;AV842,"Überbestand "&amp;ROUND(H842-AV842,0)&amp;" Stk / CHF "&amp;ROUND((H842-AV842)*G842,0)&amp;"; ","")&amp;IF(AND(CH842=1,CI842&lt;CJ842),"MAX &lt; MB+LG; ","")&amp;IF(AND(CP842&gt;0,CO842*10&gt;CP842),"zu hoch für Tablar; ","")&amp;IF(AND(BV842=0,OR(CH842=1,AA842&lt;&gt;"",U842&lt;&gt;"",V842&lt;&gt;"",AB842&lt;&gt;"")),"manuell übersteuert; ","")&amp;IF(AND(BZ842=0,R842=0),"Gebinde unbekannt / Stellmass fehlt; ","")&amp;IF(AND(BZ842=0,N(V842)&lt;=0,N(Q842)&lt;=0),"Menge pro Gebinde fehlt (Ist = 1 Gebinde); ","")&amp;BU842)</f>
        <v>negativer Bestand (Export -703); </v>
      </c>
      <c r="BN842" s="48"/>
      <c r="BO842" s="48"/>
      <c r="BP842" s="55"/>
      <c r="BQ842" s="50" t="n">
        <v>-703</v>
      </c>
      <c r="BR842" s="50" t="n">
        <v>2200</v>
      </c>
      <c r="BS842" s="49" t="n">
        <v>-14.0599999999999</v>
      </c>
      <c r="BT842" s="50" t="n">
        <v>7159</v>
      </c>
      <c r="BU842" s="48"/>
      <c r="BV842" s="53" t="n">
        <v>0</v>
      </c>
      <c r="BW842" s="53" t="n">
        <v>842</v>
      </c>
      <c r="BX842" s="48" t="str">
        <f aca="false">IF(U842&lt;&gt;"",UPPER(TRIM(U842)),IF(CA842=1,UPPER(VLOOKUP(T842,Parameter!$I$27:$K$29,2,0)),IF(P842="","LOSE",P842)))</f>
        <v>S41</v>
      </c>
      <c r="BY842" s="50" t="n">
        <f aca="false">IF(BX842="LOSE",1,IF(N(V842)&gt;0,V842,IF(CA842=1,MAX(1,N(VLOOKUP(T842,Parameter!$I$27:$K$29,3,0)),H842,N(N842)),IF(N(Q842)&gt;0,Q842,MAX(1,H842)))))</f>
        <v>3706</v>
      </c>
      <c r="BZ842" s="53" t="n">
        <f aca="false">IF(BX842="LOSE",1,0)</f>
        <v>0</v>
      </c>
      <c r="CA842" s="53" t="n">
        <f aca="false">IF(AND(U842="",OR(P842="",P842="LOSE"),T842&lt;&gt;"",N(S842)&lt;=0,ISNUMBER(MATCH(T842,Parameter!$I$27:$I$29,0))),1,0)</f>
        <v>0</v>
      </c>
      <c r="CB842" s="53" t="n">
        <f aca="false">IF(CQ842&gt;0,INDEX(Parameter!$H$5:$H$7,W842)/INDEX(Parameter!$E$5:$E$7,W842),IF(AND(BZ842=0,N(IFERROR(VLOOKUP(BX842,'Gebinde-Kategorie'!$A$5:$N$45,14,0),0))&gt;0),VLOOKUP(BX842,'Gebinde-Kategorie'!$A$5:$N$45,14,0)*10+Parameter!$M$23,Parameter!$M$24))</f>
        <v>155</v>
      </c>
      <c r="CC842" s="48" t="str">
        <f aca="false">IF(AND(Parameter!$B$19="Ja",E842&lt;&gt;"",ISNUMBER(MATCH(E842,Parameter!$I$35:$I$52,0))),VLOOKUP(E842,Parameter!$I$35:$J$52,2,0),IFERROR(VLOOKUP(D842,Parameter!$A$35:$C$64,2,0),"Nein"))</f>
        <v>2+3</v>
      </c>
      <c r="CD842" s="52" t="n">
        <f aca="false">IF(BZ842=0,0,IF(N(S842)&gt;0,S842,IFERROR(VLOOKUP(D842,Parameter!$A$35:$C$64,3,0)+0,0)))</f>
        <v>0</v>
      </c>
      <c r="CE842" s="48" t="n">
        <f aca="false">IF(AA842&lt;&gt;"",AA842,Z842)</f>
        <v>3</v>
      </c>
      <c r="CF842" s="48" t="str">
        <f aca="false">IF(OR(CE842=1,CE842=2,CE842=3),IF(Parameter!$E$27="Ja","LIFT",IF(CE842=1,"L1","L23")),IF(CE842="Aussen","Aussen","-"))</f>
        <v>LIFT</v>
      </c>
      <c r="CG842" s="59" t="n">
        <f aca="false">IF(N(AB842)&gt;0,AB842,0)</f>
        <v>0</v>
      </c>
      <c r="CH842" s="53" t="n">
        <f aca="false">IF(ISNUMBER(AE842),1,0)</f>
        <v>0</v>
      </c>
      <c r="CI842" s="50" t="n">
        <f aca="false">N(AE842)</f>
        <v>0</v>
      </c>
      <c r="CJ842" s="50" t="n">
        <f aca="false">N(M842)+N(N842)</f>
        <v>2417</v>
      </c>
      <c r="CK842" s="50" t="n">
        <f aca="false">N(M842)</f>
        <v>417</v>
      </c>
      <c r="CL842" s="50" t="n">
        <f aca="false">N(N842)</f>
        <v>2000</v>
      </c>
      <c r="CM842" s="50" t="n">
        <f aca="false">ROUNDUP(H842/BY842,0)</f>
        <v>1</v>
      </c>
      <c r="CN842" s="50" t="n">
        <f aca="false">ROUNDUP(CI842/BY842,0)</f>
        <v>0</v>
      </c>
      <c r="CO842" s="53" t="n">
        <f aca="false">IF(BZ842=1,0,IFERROR(VLOOKUP(BX842,'Gebinde-Kategorie'!$A$5:$N$45,5,0)+0,0))</f>
        <v>11</v>
      </c>
      <c r="CP842" s="53" t="n">
        <f aca="false">IFERROR(IF(OR(CE842=1,CE842=2,CE842=3),N(INDEX(Parameter!$I$5:$I$7,CE842)),0),0)</f>
        <v>0</v>
      </c>
      <c r="CQ842" s="52" t="n">
        <f aca="false">IF(AND(Parameter!$B$21="Ja",ISNUMBER(W842),N(X842)&gt;0),IFERROR(N(INDEX(Parameter!$L$5:$L$7,W842))*INDEX(Parameter!$E$5:$E$7,W842)*X842/SUMIFS($X$7:$X$1843,$W$7:$W$1843,W842),0),0)</f>
        <v>0</v>
      </c>
    </row>
    <row r="843" customFormat="false" ht="15" hidden="false" customHeight="false" outlineLevel="0" collapsed="false">
      <c r="A843" s="48" t="s">
        <v>1623</v>
      </c>
      <c r="B843" s="48" t="s">
        <v>477</v>
      </c>
      <c r="C843" s="48" t="s">
        <v>173</v>
      </c>
      <c r="D843" s="48" t="s">
        <v>193</v>
      </c>
      <c r="E843" s="48" t="s">
        <v>194</v>
      </c>
      <c r="F843" s="48" t="s">
        <v>227</v>
      </c>
      <c r="G843" s="49" t="n">
        <v>0.11</v>
      </c>
      <c r="H843" s="50" t="n">
        <f aca="false">MAX(0,IF(AND(Parameter!$B$21="Ja",ISNUMBER(Y843)),Y843,IF(Parameter!$B$20="Jahresanfang 2025 + Export",BR843+BQ843,BQ843)))</f>
        <v>21</v>
      </c>
      <c r="I843" s="50" t="n">
        <f aca="false">H843*G843</f>
        <v>2.31</v>
      </c>
      <c r="J843" s="50" t="n">
        <f aca="false">BT843*Parameter!$B$18</f>
        <v>93</v>
      </c>
      <c r="K843" s="51" t="n">
        <v>108</v>
      </c>
      <c r="L843" s="52" t="n">
        <v>0.861111111111111</v>
      </c>
      <c r="M843" s="50" t="n">
        <v>4</v>
      </c>
      <c r="N843" s="50" t="n">
        <v>95</v>
      </c>
      <c r="O843" s="53" t="n">
        <v>14</v>
      </c>
      <c r="P843" s="48" t="s">
        <v>435</v>
      </c>
      <c r="Q843" s="50" t="n">
        <v>131</v>
      </c>
      <c r="R843" s="53" t="n">
        <f aca="false">IF(BZ843=1,0,IFERROR(VLOOKUP(BX843,'Gebinde-Kategorie'!$A$5:$N$45,13,0)+0,0))</f>
        <v>140</v>
      </c>
      <c r="S843" s="54"/>
      <c r="T843" s="55"/>
      <c r="U843" s="55"/>
      <c r="V843" s="55"/>
      <c r="W843" s="48"/>
      <c r="X843" s="50"/>
      <c r="Y843" s="50"/>
      <c r="Z843" s="48" t="n">
        <f aca="false">IF(A843="","",IF(AND(Parameter!$B$21="Ja",ISNUMBER(W843)),W843,IF(CC843="2+3",IF(ISNUMBER(SEARCH("grosser Artikel",BU843)),2,IFERROR(VLOOKUP(BX843,Parameter!$F$35:$G$64,2,0),2)),IF(OR(CC843="Nein",CC843=""),"-",CC843))))</f>
        <v>3</v>
      </c>
      <c r="AA843" s="55"/>
      <c r="AB843" s="56"/>
      <c r="AC843" s="50" t="n">
        <f aca="false">AV843</f>
        <v>99</v>
      </c>
      <c r="AD843" s="50" t="n">
        <f aca="false">MAX(AV843,H843)</f>
        <v>99</v>
      </c>
      <c r="AE843" s="57"/>
      <c r="AF843" s="50" t="n">
        <f aca="false">IF(LEFT(Cockpit!$C$5,1)="A",H843,IF(Parameter!$E$30="MAX-Bestand",IF(CH843=1,CI843,IF(LEFT(Cockpit!$C$5,1)="B",AL843,MAX(AL843,H843))),ROUNDUP(AJ843,0)))</f>
        <v>21</v>
      </c>
      <c r="AG843" s="50" t="n">
        <f aca="false">IF(BZ843=1,0,ROUNDUP(AF843/BY843,0))</f>
        <v>1</v>
      </c>
      <c r="AH843" s="52" t="n">
        <f aca="false">IF(CQ843&gt;0,CQ843*MAX(1,AF843/X843),IF(BZ843=1,IF(AF843&lt;=0,0,CD843*MAX(1,IF(H843&gt;0,AF843/H843,1))),IF(R843&gt;0,AG843/R843,0))/MAX(0.1,N(Parameter!$M$21)))</f>
        <v>0.00714285714285714</v>
      </c>
      <c r="AI843" s="50" t="n">
        <f aca="false">AH843*CB843</f>
        <v>1.10714285714286</v>
      </c>
      <c r="AJ843" s="51" t="n">
        <f aca="false">IF(LEFT(Cockpit!$C$5,1)="A",H843,IF(CH843=1,(CK843+CI843)/2,IF(LEFT(Cockpit!$C$5,1)="B",(CK843+AL843)/2,MAX((CK843+AL843)/2,H843))))</f>
        <v>21</v>
      </c>
      <c r="AK843" s="50" t="n">
        <f aca="false">AJ843*G843</f>
        <v>2.31</v>
      </c>
      <c r="AL843" s="50" t="n">
        <f aca="false">ROUNDUP(CK843+MAX(CL843,2*(J843/IF(CG843&gt;0,CG843,MAX(0.1,N(Cockpit!$C$6)))-CK843)),0)</f>
        <v>99</v>
      </c>
      <c r="AM843" s="51" t="n">
        <f aca="false">IF(AI843&gt;0,J843/AI843,-1)</f>
        <v>84</v>
      </c>
      <c r="AN843" s="51" t="n">
        <f aca="false">IF(AND(OR(CF843="L1",CF843="L23",CF843="LIFT"),AI843&gt;0),SUMIFS($AI$7:$AI$1843,$CF$7:$CF$1843,CF843,$AM$7:$AM$1843,"&gt;"&amp;AM843)+SUMIFS($AI$7:$AI$1843,$CF$7:$CF$1843,CF843,$AM$7:$AM$1843,AM843,$BW$7:$BW$1843,"&lt;="&amp;BW843),"")</f>
        <v>842.456043956044</v>
      </c>
      <c r="AO843" s="58" t="n">
        <f aca="false">IF(AN843="",0,MAX(0,MIN(1,(IF(CF843="L1",Parameter!$H$5,IF(CF843="L23",Parameter!$H$6+Parameter!$H$7,Parameter!$H$5+Parameter!$H$6+Parameter!$H$7))-(AN843-AI843))/AI843)))</f>
        <v>1</v>
      </c>
      <c r="AP843" s="50" t="n">
        <f aca="false">IF(LEFT(Cockpit!$I$5,1)="A",H843,IF(Parameter!$E$30="MAX-Bestand",IF(CH843=1,CI843,IF(LEFT(Cockpit!$I$5,1)="B",AV843,MAX(AV843,H843))),ROUNDUP(AT843,0)))</f>
        <v>52</v>
      </c>
      <c r="AQ843" s="50" t="n">
        <f aca="false">IF(BZ843=1,0,ROUNDUP(AP843/BY843,0))</f>
        <v>1</v>
      </c>
      <c r="AR843" s="52" t="n">
        <f aca="false">IF(CQ843&gt;0,CQ843*MAX(1,AP843/X843),IF(BZ843=1,IF(AP843&lt;=0,0,CD843*MAX(1,IF(H843&gt;0,AP843/H843,1))),IF(R843&gt;0,AQ843/R843,0))/MAX(0.1,N(Parameter!$M$21)))</f>
        <v>0.00714285714285714</v>
      </c>
      <c r="AS843" s="50" t="n">
        <f aca="false">AR843*CB843</f>
        <v>1.10714285714286</v>
      </c>
      <c r="AT843" s="51" t="n">
        <f aca="false">IF(LEFT(Cockpit!$I$5,1)="A",H843,IF(CH843=1,(CK843+CI843)/2,IF(LEFT(Cockpit!$I$5,1)="B",(CK843+AV843)/2,MAX((CK843+AV843)/2,H843))))</f>
        <v>51.5</v>
      </c>
      <c r="AU843" s="50" t="n">
        <f aca="false">AT843*G843</f>
        <v>5.665</v>
      </c>
      <c r="AV843" s="50" t="n">
        <f aca="false">ROUNDUP(CK843+MAX(CL843,2*(J843/IF(CG843&gt;0,CG843,MAX(0.1,N(Cockpit!$I$6)))-CK843)),0)</f>
        <v>99</v>
      </c>
      <c r="AW843" s="51" t="n">
        <f aca="false">IF(AS843&gt;0,J843/AS843,-1)</f>
        <v>84</v>
      </c>
      <c r="AX843" s="51" t="n">
        <f aca="false">IF(AND(OR(CF843="L1",CF843="L23",CF843="LIFT"),AS843&gt;0),SUMIFS($AS$7:$AS$1843,$CF$7:$CF$1843,CF843,$AW$7:$AW$1843,"&gt;"&amp;AW843)+SUMIFS($AS$7:$AS$1843,$CF$7:$CF$1843,CF843,$AW$7:$AW$1843,AW843,$BW$7:$BW$1843,"&lt;="&amp;BW843),"")</f>
        <v>1055.36813186813</v>
      </c>
      <c r="AY843" s="58" t="n">
        <f aca="false">IF(AX843="",0,MAX(0,MIN(1,(IF(CF843="L1",Parameter!$H$5,IF(CF843="L23",Parameter!$H$6+Parameter!$H$7,Parameter!$H$5+Parameter!$H$6+Parameter!$H$7))-(AX843-AS843))/AS843)))</f>
        <v>1</v>
      </c>
      <c r="AZ843" s="50" t="n">
        <f aca="false">IF(LEFT(Cockpit!$O$5,1)="A",H843,IF(Parameter!$E$30="MAX-Bestand",IF(CH843=1,CI843,IF(LEFT(Cockpit!$O$5,1)="B",BF843,MAX(BF843,H843))),ROUNDUP(BD843,0)))</f>
        <v>52</v>
      </c>
      <c r="BA843" s="50" t="n">
        <f aca="false">IF(BZ843=1,0,ROUNDUP(AZ843/BY843,0))</f>
        <v>1</v>
      </c>
      <c r="BB843" s="52" t="n">
        <f aca="false">IF(CQ843&gt;0,CQ843*MAX(1,AZ843/X843),IF(BZ843=1,IF(AZ843&lt;=0,0,CD843*MAX(1,IF(H843&gt;0,AZ843/H843,1))),IF(R843&gt;0,BA843/R843,0))/MAX(0.1,N(Parameter!$M$21)))</f>
        <v>0.00714285714285714</v>
      </c>
      <c r="BC843" s="50" t="n">
        <f aca="false">BB843*CB843</f>
        <v>1.10714285714286</v>
      </c>
      <c r="BD843" s="51" t="n">
        <f aca="false">IF(LEFT(Cockpit!$O$5,1)="A",H843,IF(CH843=1,(CK843+CI843)/2,IF(LEFT(Cockpit!$O$5,1)="B",(CK843+BF843)/2,MAX((CK843+BF843)/2,H843))))</f>
        <v>51.5</v>
      </c>
      <c r="BE843" s="50" t="n">
        <f aca="false">BD843*G843</f>
        <v>5.665</v>
      </c>
      <c r="BF843" s="50" t="n">
        <f aca="false">ROUNDUP(CK843+MAX(CL843,2*(J843/IF(CG843&gt;0,CG843,MAX(0.1,N(Cockpit!$O$6)))-CK843)),0)</f>
        <v>99</v>
      </c>
      <c r="BG843" s="51" t="n">
        <f aca="false">IF(BC843&gt;0,J843/BC843,-1)</f>
        <v>84</v>
      </c>
      <c r="BH843" s="51" t="n">
        <f aca="false">IF(AND(OR(CF843="L1",CF843="L23",CF843="LIFT"),BC843&gt;0),SUMIFS($BC$7:$BC$1843,$CF$7:$CF$1843,CF843,$BG$7:$BG$1843,"&gt;"&amp;BG843)+SUMIFS($BC$7:$BC$1843,$CF$7:$CF$1843,CF843,$BG$7:$BG$1843,BG843,$BW$7:$BW$1843,"&lt;="&amp;BW843),"")</f>
        <v>989.517399267399</v>
      </c>
      <c r="BI843" s="58" t="n">
        <f aca="false">IF(BH843="",0,MAX(0,MIN(1,(IF(CF843="L1",Parameter!$H$5,IF(CF843="L23",Parameter!$H$6+Parameter!$H$7,Parameter!$H$5+Parameter!$H$6+Parameter!$H$7))-(BH843-BC843))/BC843)))</f>
        <v>1</v>
      </c>
      <c r="BJ843" s="48" t="str">
        <f aca="false">IF(AI843&lt;=0,"",IF(CF843="Aussen","Aussenlager",IF(CF843="-","Nicht im Lift",IF(AO843&gt;=1,"Lift",IF(AO843&lt;=0,"Aussenlager","teilweise")))))</f>
        <v>Lift</v>
      </c>
      <c r="BK843" s="48" t="str">
        <f aca="false">IF(AS843&lt;=0,"",IF(CF843="Aussen","Aussenlager",IF(CF843="-","Nicht im Lift",IF(AY843&gt;=1,"Lift",IF(AY843&lt;=0,"Aussenlager","teilweise")))))</f>
        <v>Lift</v>
      </c>
      <c r="BL843" s="48" t="str">
        <f aca="false">IF(BC843&lt;=0,"",IF(CF843="Aussen","Aussenlager",IF(CF843="-","Nicht im Lift",IF(BI843&gt;=1,"Lift",IF(BI843&lt;=0,"Aussenlager","teilweise")))))</f>
        <v>Lift</v>
      </c>
      <c r="BM843" s="48" t="str">
        <f aca="false">IF(A843="","",IF(BV843=1,"Neu; ","")&amp;IF(AND(BV843=0,BQ843&lt;0),"negativer Bestand (Export "&amp;BQ843&amp;"); ","")&amp;IF(J843&lt;=0,"Kein Verbrauch; ","")&amp;IF(CQ843&gt;0,"Lift "&amp;W843&amp;" lt. Liftbericht (Fach "&amp;X843&amp;" Stk); ",IF(CA843=1,"Gebinde geschätzt ("&amp;T843&amp;"); ",IF(BZ843=1,"Lose – Tablare geschätzt; ","")))&amp;IF(H843&gt;AV843,"Überbestand "&amp;ROUND(H843-AV843,0)&amp;" Stk / CHF "&amp;ROUND((H843-AV843)*G843,0)&amp;"; ","")&amp;IF(AND(CH843=1,CI843&lt;CJ843),"MAX &lt; MB+LG; ","")&amp;IF(AND(CP843&gt;0,CO843*10&gt;CP843),"zu hoch für Tablar; ","")&amp;IF(AND(BV843=0,OR(CH843=1,AA843&lt;&gt;"",U843&lt;&gt;"",V843&lt;&gt;"",AB843&lt;&gt;"")),"manuell übersteuert; ","")&amp;IF(AND(BZ843=0,R843=0),"Gebinde unbekannt / Stellmass fehlt; ","")&amp;IF(AND(BZ843=0,N(V843)&lt;=0,N(Q843)&lt;=0),"Menge pro Gebinde fehlt (Ist = 1 Gebinde); ","")&amp;BU843)</f>
        <v>negativer Bestand (Export -134); Neu</v>
      </c>
      <c r="BN843" s="48"/>
      <c r="BO843" s="48"/>
      <c r="BP843" s="55"/>
      <c r="BQ843" s="50" t="n">
        <v>-134</v>
      </c>
      <c r="BR843" s="50" t="n">
        <v>155</v>
      </c>
      <c r="BS843" s="49" t="n">
        <v>-14.74</v>
      </c>
      <c r="BT843" s="50" t="n">
        <v>93</v>
      </c>
      <c r="BU843" s="48" t="s">
        <v>635</v>
      </c>
      <c r="BV843" s="53" t="n">
        <v>0</v>
      </c>
      <c r="BW843" s="53" t="n">
        <v>843</v>
      </c>
      <c r="BX843" s="48" t="str">
        <f aca="false">IF(U843&lt;&gt;"",UPPER(TRIM(U843)),IF(CA843=1,UPPER(VLOOKUP(T843,Parameter!$I$27:$K$29,2,0)),IF(P843="","LOSE",P843)))</f>
        <v>S22</v>
      </c>
      <c r="BY843" s="50" t="n">
        <f aca="false">IF(BX843="LOSE",1,IF(N(V843)&gt;0,V843,IF(CA843=1,MAX(1,N(VLOOKUP(T843,Parameter!$I$27:$K$29,3,0)),H843,N(N843)),IF(N(Q843)&gt;0,Q843,MAX(1,H843)))))</f>
        <v>131</v>
      </c>
      <c r="BZ843" s="53" t="n">
        <f aca="false">IF(BX843="LOSE",1,0)</f>
        <v>0</v>
      </c>
      <c r="CA843" s="53" t="n">
        <f aca="false">IF(AND(U843="",OR(P843="",P843="LOSE"),T843&lt;&gt;"",N(S843)&lt;=0,ISNUMBER(MATCH(T843,Parameter!$I$27:$I$29,0))),1,0)</f>
        <v>0</v>
      </c>
      <c r="CB843" s="53" t="n">
        <f aca="false">IF(CQ843&gt;0,INDEX(Parameter!$H$5:$H$7,W843)/INDEX(Parameter!$E$5:$E$7,W843),IF(AND(BZ843=0,N(IFERROR(VLOOKUP(BX843,'Gebinde-Kategorie'!$A$5:$N$45,14,0),0))&gt;0),VLOOKUP(BX843,'Gebinde-Kategorie'!$A$5:$N$45,14,0)*10+Parameter!$M$23,Parameter!$M$24))</f>
        <v>155</v>
      </c>
      <c r="CC843" s="48" t="str">
        <f aca="false">IF(AND(Parameter!$B$19="Ja",E843&lt;&gt;"",ISNUMBER(MATCH(E843,Parameter!$I$35:$I$52,0))),VLOOKUP(E843,Parameter!$I$35:$J$52,2,0),IFERROR(VLOOKUP(D843,Parameter!$A$35:$C$64,2,0),"Nein"))</f>
        <v>2+3</v>
      </c>
      <c r="CD843" s="52" t="n">
        <f aca="false">IF(BZ843=0,0,IF(N(S843)&gt;0,S843,IFERROR(VLOOKUP(D843,Parameter!$A$35:$C$64,3,0)+0,0)))</f>
        <v>0</v>
      </c>
      <c r="CE843" s="48" t="n">
        <f aca="false">IF(AA843&lt;&gt;"",AA843,Z843)</f>
        <v>3</v>
      </c>
      <c r="CF843" s="48" t="str">
        <f aca="false">IF(OR(CE843=1,CE843=2,CE843=3),IF(Parameter!$E$27="Ja","LIFT",IF(CE843=1,"L1","L23")),IF(CE843="Aussen","Aussen","-"))</f>
        <v>LIFT</v>
      </c>
      <c r="CG843" s="59" t="n">
        <f aca="false">IF(N(AB843)&gt;0,AB843,0)</f>
        <v>0</v>
      </c>
      <c r="CH843" s="53" t="n">
        <f aca="false">IF(ISNUMBER(AE843),1,0)</f>
        <v>0</v>
      </c>
      <c r="CI843" s="50" t="n">
        <f aca="false">N(AE843)</f>
        <v>0</v>
      </c>
      <c r="CJ843" s="50" t="n">
        <f aca="false">N(M843)+N(N843)</f>
        <v>99</v>
      </c>
      <c r="CK843" s="50" t="n">
        <f aca="false">N(M843)</f>
        <v>4</v>
      </c>
      <c r="CL843" s="50" t="n">
        <f aca="false">N(N843)</f>
        <v>95</v>
      </c>
      <c r="CM843" s="50" t="n">
        <f aca="false">ROUNDUP(H843/BY843,0)</f>
        <v>1</v>
      </c>
      <c r="CN843" s="50" t="n">
        <f aca="false">ROUNDUP(CI843/BY843,0)</f>
        <v>0</v>
      </c>
      <c r="CO843" s="53" t="n">
        <f aca="false">IF(BZ843=1,0,IFERROR(VLOOKUP(BX843,'Gebinde-Kategorie'!$A$5:$N$45,5,0)+0,0))</f>
        <v>8</v>
      </c>
      <c r="CP843" s="53" t="n">
        <f aca="false">IFERROR(IF(OR(CE843=1,CE843=2,CE843=3),N(INDEX(Parameter!$I$5:$I$7,CE843)),0),0)</f>
        <v>0</v>
      </c>
      <c r="CQ843" s="52" t="n">
        <f aca="false">IF(AND(Parameter!$B$21="Ja",ISNUMBER(W843),N(X843)&gt;0),IFERROR(N(INDEX(Parameter!$L$5:$L$7,W843))*INDEX(Parameter!$E$5:$E$7,W843)*X843/SUMIFS($X$7:$X$1843,$W$7:$W$1843,W843),0),0)</f>
        <v>0</v>
      </c>
    </row>
    <row r="844" customFormat="false" ht="15" hidden="false" customHeight="false" outlineLevel="0" collapsed="false">
      <c r="A844" s="48" t="s">
        <v>1624</v>
      </c>
      <c r="B844" s="48" t="s">
        <v>1288</v>
      </c>
      <c r="C844" s="48" t="s">
        <v>173</v>
      </c>
      <c r="D844" s="48" t="s">
        <v>193</v>
      </c>
      <c r="E844" s="48"/>
      <c r="F844" s="48" t="s">
        <v>227</v>
      </c>
      <c r="G844" s="49" t="n">
        <v>2.97</v>
      </c>
      <c r="H844" s="50" t="n">
        <f aca="false">MAX(0,IF(AND(Parameter!$B$21="Ja",ISNUMBER(Y844)),Y844,IF(Parameter!$B$20="Jahresanfang 2025 + Export",BR844+BQ844,BQ844)))</f>
        <v>7</v>
      </c>
      <c r="I844" s="50" t="n">
        <f aca="false">H844*G844</f>
        <v>20.79</v>
      </c>
      <c r="J844" s="50" t="n">
        <f aca="false">BT844*Parameter!$B$18</f>
        <v>0</v>
      </c>
      <c r="K844" s="51" t="n">
        <v>12</v>
      </c>
      <c r="L844" s="52" t="n">
        <v>0</v>
      </c>
      <c r="M844" s="50" t="n">
        <v>0</v>
      </c>
      <c r="N844" s="50" t="n">
        <v>1</v>
      </c>
      <c r="O844" s="53" t="n">
        <v>14</v>
      </c>
      <c r="P844" s="48" t="s">
        <v>410</v>
      </c>
      <c r="Q844" s="50" t="n">
        <v>7</v>
      </c>
      <c r="R844" s="53" t="n">
        <f aca="false">IF(BZ844=1,0,IFERROR(VLOOKUP(BX844,'Gebinde-Kategorie'!$A$5:$N$45,13,0)+0,0))</f>
        <v>280</v>
      </c>
      <c r="S844" s="54"/>
      <c r="T844" s="55"/>
      <c r="U844" s="55"/>
      <c r="V844" s="55"/>
      <c r="W844" s="48"/>
      <c r="X844" s="50"/>
      <c r="Y844" s="50"/>
      <c r="Z844" s="48" t="n">
        <f aca="false">IF(A844="","",IF(AND(Parameter!$B$21="Ja",ISNUMBER(W844)),W844,IF(CC844="2+3",IF(ISNUMBER(SEARCH("grosser Artikel",BU844)),2,IFERROR(VLOOKUP(BX844,Parameter!$F$35:$G$64,2,0),2)),IF(OR(CC844="Nein",CC844=""),"-",CC844))))</f>
        <v>3</v>
      </c>
      <c r="AA844" s="55"/>
      <c r="AB844" s="56"/>
      <c r="AC844" s="50" t="n">
        <f aca="false">AV844</f>
        <v>1</v>
      </c>
      <c r="AD844" s="50" t="n">
        <f aca="false">MAX(AV844,H844)</f>
        <v>7</v>
      </c>
      <c r="AE844" s="57"/>
      <c r="AF844" s="50" t="n">
        <f aca="false">IF(LEFT(Cockpit!$C$5,1)="A",H844,IF(Parameter!$E$30="MAX-Bestand",IF(CH844=1,CI844,IF(LEFT(Cockpit!$C$5,1)="B",AL844,MAX(AL844,H844))),ROUNDUP(AJ844,0)))</f>
        <v>7</v>
      </c>
      <c r="AG844" s="50" t="n">
        <f aca="false">IF(BZ844=1,0,ROUNDUP(AF844/BY844,0))</f>
        <v>1</v>
      </c>
      <c r="AH844" s="52" t="n">
        <f aca="false">IF(CQ844&gt;0,CQ844*MAX(1,AF844/X844),IF(BZ844=1,IF(AF844&lt;=0,0,CD844*MAX(1,IF(H844&gt;0,AF844/H844,1))),IF(R844&gt;0,AG844/R844,0))/MAX(0.1,N(Parameter!$M$21)))</f>
        <v>0.00357142857142857</v>
      </c>
      <c r="AI844" s="50" t="n">
        <f aca="false">AH844*CB844</f>
        <v>0.553571428571429</v>
      </c>
      <c r="AJ844" s="51" t="n">
        <f aca="false">IF(LEFT(Cockpit!$C$5,1)="A",H844,IF(CH844=1,(CK844+CI844)/2,IF(LEFT(Cockpit!$C$5,1)="B",(CK844+AL844)/2,MAX((CK844+AL844)/2,H844))))</f>
        <v>7</v>
      </c>
      <c r="AK844" s="50" t="n">
        <f aca="false">AJ844*G844</f>
        <v>20.79</v>
      </c>
      <c r="AL844" s="50" t="n">
        <f aca="false">ROUNDUP(CK844+MAX(CL844,2*(J844/IF(CG844&gt;0,CG844,MAX(0.1,N(Cockpit!$C$6)))-CK844)),0)</f>
        <v>1</v>
      </c>
      <c r="AM844" s="51" t="n">
        <f aca="false">IF(AI844&gt;0,J844/AI844,-1)</f>
        <v>0</v>
      </c>
      <c r="AN844" s="51" t="n">
        <f aca="false">IF(AND(OR(CF844="L1",CF844="L23",CF844="LIFT"),AI844&gt;0),SUMIFS($AI$7:$AI$1843,$CF$7:$CF$1843,CF844,$AM$7:$AM$1843,"&gt;"&amp;AM844)+SUMIFS($AI$7:$AI$1843,$CF$7:$CF$1843,CF844,$AM$7:$AM$1843,AM844,$BW$7:$BW$1843,"&lt;="&amp;BW844),"")</f>
        <v>28808.199801846</v>
      </c>
      <c r="AO844" s="58" t="n">
        <f aca="false">IF(AN844="",0,MAX(0,MIN(1,(IF(CF844="L1",Parameter!$H$5,IF(CF844="L23",Parameter!$H$6+Parameter!$H$7,Parameter!$H$5+Parameter!$H$6+Parameter!$H$7))-(AN844-AI844))/AI844)))</f>
        <v>1</v>
      </c>
      <c r="AP844" s="50" t="n">
        <f aca="false">IF(LEFT(Cockpit!$I$5,1)="A",H844,IF(Parameter!$E$30="MAX-Bestand",IF(CH844=1,CI844,IF(LEFT(Cockpit!$I$5,1)="B",AV844,MAX(AV844,H844))),ROUNDUP(AT844,0)))</f>
        <v>7</v>
      </c>
      <c r="AQ844" s="50" t="n">
        <f aca="false">IF(BZ844=1,0,ROUNDUP(AP844/BY844,0))</f>
        <v>1</v>
      </c>
      <c r="AR844" s="52" t="n">
        <f aca="false">IF(CQ844&gt;0,CQ844*MAX(1,AP844/X844),IF(BZ844=1,IF(AP844&lt;=0,0,CD844*MAX(1,IF(H844&gt;0,AP844/H844,1))),IF(R844&gt;0,AQ844/R844,0))/MAX(0.1,N(Parameter!$M$21)))</f>
        <v>0.00357142857142857</v>
      </c>
      <c r="AS844" s="50" t="n">
        <f aca="false">AR844*CB844</f>
        <v>0.553571428571429</v>
      </c>
      <c r="AT844" s="51" t="n">
        <f aca="false">IF(LEFT(Cockpit!$I$5,1)="A",H844,IF(CH844=1,(CK844+CI844)/2,IF(LEFT(Cockpit!$I$5,1)="B",(CK844+AV844)/2,MAX((CK844+AV844)/2,H844))))</f>
        <v>7</v>
      </c>
      <c r="AU844" s="50" t="n">
        <f aca="false">AT844*G844</f>
        <v>20.79</v>
      </c>
      <c r="AV844" s="50" t="n">
        <f aca="false">ROUNDUP(CK844+MAX(CL844,2*(J844/IF(CG844&gt;0,CG844,MAX(0.1,N(Cockpit!$I$6)))-CK844)),0)</f>
        <v>1</v>
      </c>
      <c r="AW844" s="51" t="n">
        <f aca="false">IF(AS844&gt;0,J844/AS844,-1)</f>
        <v>0</v>
      </c>
      <c r="AX844" s="51" t="n">
        <f aca="false">IF(AND(OR(CF844="L1",CF844="L23",CF844="LIFT"),AS844&gt;0),SUMIFS($AS$7:$AS$1843,$CF$7:$CF$1843,CF844,$AW$7:$AW$1843,"&gt;"&amp;AW844)+SUMIFS($AS$7:$AS$1843,$CF$7:$CF$1843,CF844,$AW$7:$AW$1843,AW844,$BW$7:$BW$1843,"&lt;="&amp;BW844),"")</f>
        <v>34428.4404761905</v>
      </c>
      <c r="AY844" s="58" t="n">
        <f aca="false">IF(AX844="",0,MAX(0,MIN(1,(IF(CF844="L1",Parameter!$H$5,IF(CF844="L23",Parameter!$H$6+Parameter!$H$7,Parameter!$H$5+Parameter!$H$6+Parameter!$H$7))-(AX844-AS844))/AS844)))</f>
        <v>1</v>
      </c>
      <c r="AZ844" s="50" t="n">
        <f aca="false">IF(LEFT(Cockpit!$O$5,1)="A",H844,IF(Parameter!$E$30="MAX-Bestand",IF(CH844=1,CI844,IF(LEFT(Cockpit!$O$5,1)="B",BF844,MAX(BF844,H844))),ROUNDUP(BD844,0)))</f>
        <v>1</v>
      </c>
      <c r="BA844" s="50" t="n">
        <f aca="false">IF(BZ844=1,0,ROUNDUP(AZ844/BY844,0))</f>
        <v>1</v>
      </c>
      <c r="BB844" s="52" t="n">
        <f aca="false">IF(CQ844&gt;0,CQ844*MAX(1,AZ844/X844),IF(BZ844=1,IF(AZ844&lt;=0,0,CD844*MAX(1,IF(H844&gt;0,AZ844/H844,1))),IF(R844&gt;0,BA844/R844,0))/MAX(0.1,N(Parameter!$M$21)))</f>
        <v>0.00357142857142857</v>
      </c>
      <c r="BC844" s="50" t="n">
        <f aca="false">BB844*CB844</f>
        <v>0.553571428571429</v>
      </c>
      <c r="BD844" s="51" t="n">
        <f aca="false">IF(LEFT(Cockpit!$O$5,1)="A",H844,IF(CH844=1,(CK844+CI844)/2,IF(LEFT(Cockpit!$O$5,1)="B",(CK844+BF844)/2,MAX((CK844+BF844)/2,H844))))</f>
        <v>0.5</v>
      </c>
      <c r="BE844" s="50" t="n">
        <f aca="false">BD844*G844</f>
        <v>1.485</v>
      </c>
      <c r="BF844" s="50" t="n">
        <f aca="false">ROUNDUP(CK844+MAX(CL844,2*(J844/IF(CG844&gt;0,CG844,MAX(0.1,N(Cockpit!$O$6)))-CK844)),0)</f>
        <v>1</v>
      </c>
      <c r="BG844" s="51" t="n">
        <f aca="false">IF(BC844&gt;0,J844/BC844,-1)</f>
        <v>0</v>
      </c>
      <c r="BH844" s="51" t="n">
        <f aca="false">IF(AND(OR(CF844="L1",CF844="L23",CF844="LIFT"),BC844&gt;0),SUMIFS($BC$7:$BC$1843,$CF$7:$CF$1843,CF844,$BG$7:$BG$1843,"&gt;"&amp;BG844)+SUMIFS($BC$7:$BC$1843,$CF$7:$CF$1843,CF844,$BG$7:$BG$1843,BG844,$BW$7:$BW$1843,"&lt;="&amp;BW844),"")</f>
        <v>28468.2224110635</v>
      </c>
      <c r="BI844" s="58" t="n">
        <f aca="false">IF(BH844="",0,MAX(0,MIN(1,(IF(CF844="L1",Parameter!$H$5,IF(CF844="L23",Parameter!$H$6+Parameter!$H$7,Parameter!$H$5+Parameter!$H$6+Parameter!$H$7))-(BH844-BC844))/BC844)))</f>
        <v>1</v>
      </c>
      <c r="BJ844" s="48" t="str">
        <f aca="false">IF(AI844&lt;=0,"",IF(CF844="Aussen","Aussenlager",IF(CF844="-","Nicht im Lift",IF(AO844&gt;=1,"Lift",IF(AO844&lt;=0,"Aussenlager","teilweise")))))</f>
        <v>Lift</v>
      </c>
      <c r="BK844" s="48" t="str">
        <f aca="false">IF(AS844&lt;=0,"",IF(CF844="Aussen","Aussenlager",IF(CF844="-","Nicht im Lift",IF(AY844&gt;=1,"Lift",IF(AY844&lt;=0,"Aussenlager","teilweise")))))</f>
        <v>Lift</v>
      </c>
      <c r="BL844" s="48" t="str">
        <f aca="false">IF(BC844&lt;=0,"",IF(CF844="Aussen","Aussenlager",IF(CF844="-","Nicht im Lift",IF(BI844&gt;=1,"Lift",IF(BI844&lt;=0,"Aussenlager","teilweise")))))</f>
        <v>Lift</v>
      </c>
      <c r="BM844" s="48" t="str">
        <f aca="false">IF(A844="","",IF(BV844=1,"Neu; ","")&amp;IF(AND(BV844=0,BQ844&lt;0),"negativer Bestand (Export "&amp;BQ844&amp;"); ","")&amp;IF(J844&lt;=0,"Kein Verbrauch; ","")&amp;IF(CQ844&gt;0,"Lift "&amp;W844&amp;" lt. Liftbericht (Fach "&amp;X844&amp;" Stk); ",IF(CA844=1,"Gebinde geschätzt ("&amp;T844&amp;"); ",IF(BZ844=1,"Lose – Tablare geschätzt; ","")))&amp;IF(H844&gt;AV844,"Überbestand "&amp;ROUND(H844-AV844,0)&amp;" Stk / CHF "&amp;ROUND((H844-AV844)*G844,0)&amp;"; ","")&amp;IF(AND(CH844=1,CI844&lt;CJ844),"MAX &lt; MB+LG; ","")&amp;IF(AND(CP844&gt;0,CO844*10&gt;CP844),"zu hoch für Tablar; ","")&amp;IF(AND(BV844=0,OR(CH844=1,AA844&lt;&gt;"",U844&lt;&gt;"",V844&lt;&gt;"",AB844&lt;&gt;"")),"manuell übersteuert; ","")&amp;IF(AND(BZ844=0,R844=0),"Gebinde unbekannt / Stellmass fehlt; ","")&amp;IF(AND(BZ844=0,N(V844)&lt;=0,N(Q844)&lt;=0),"Menge pro Gebinde fehlt (Ist = 1 Gebinde); ","")&amp;BU844)</f>
        <v>negativer Bestand (Export -5); Kein Verbrauch; Überbestand 6 Stk / CHF 18; </v>
      </c>
      <c r="BN844" s="48"/>
      <c r="BO844" s="48"/>
      <c r="BP844" s="55"/>
      <c r="BQ844" s="50" t="n">
        <v>-5</v>
      </c>
      <c r="BR844" s="50" t="n">
        <v>12</v>
      </c>
      <c r="BS844" s="49" t="n">
        <v>-14.85</v>
      </c>
      <c r="BT844" s="50" t="n">
        <v>0</v>
      </c>
      <c r="BU844" s="48"/>
      <c r="BV844" s="53" t="n">
        <v>0</v>
      </c>
      <c r="BW844" s="53" t="n">
        <v>844</v>
      </c>
      <c r="BX844" s="48" t="str">
        <f aca="false">IF(U844&lt;&gt;"",UPPER(TRIM(U844)),IF(CA844=1,UPPER(VLOOKUP(T844,Parameter!$I$27:$K$29,2,0)),IF(P844="","LOSE",P844)))</f>
        <v>S21</v>
      </c>
      <c r="BY844" s="50" t="n">
        <f aca="false">IF(BX844="LOSE",1,IF(N(V844)&gt;0,V844,IF(CA844=1,MAX(1,N(VLOOKUP(T844,Parameter!$I$27:$K$29,3,0)),H844,N(N844)),IF(N(Q844)&gt;0,Q844,MAX(1,H844)))))</f>
        <v>7</v>
      </c>
      <c r="BZ844" s="53" t="n">
        <f aca="false">IF(BX844="LOSE",1,0)</f>
        <v>0</v>
      </c>
      <c r="CA844" s="53" t="n">
        <f aca="false">IF(AND(U844="",OR(P844="",P844="LOSE"),T844&lt;&gt;"",N(S844)&lt;=0,ISNUMBER(MATCH(T844,Parameter!$I$27:$I$29,0))),1,0)</f>
        <v>0</v>
      </c>
      <c r="CB844" s="53" t="n">
        <f aca="false">IF(CQ844&gt;0,INDEX(Parameter!$H$5:$H$7,W844)/INDEX(Parameter!$E$5:$E$7,W844),IF(AND(BZ844=0,N(IFERROR(VLOOKUP(BX844,'Gebinde-Kategorie'!$A$5:$N$45,14,0),0))&gt;0),VLOOKUP(BX844,'Gebinde-Kategorie'!$A$5:$N$45,14,0)*10+Parameter!$M$23,Parameter!$M$24))</f>
        <v>155</v>
      </c>
      <c r="CC844" s="48" t="str">
        <f aca="false">IF(AND(Parameter!$B$19="Ja",E844&lt;&gt;"",ISNUMBER(MATCH(E844,Parameter!$I$35:$I$52,0))),VLOOKUP(E844,Parameter!$I$35:$J$52,2,0),IFERROR(VLOOKUP(D844,Parameter!$A$35:$C$64,2,0),"Nein"))</f>
        <v>2+3</v>
      </c>
      <c r="CD844" s="52" t="n">
        <f aca="false">IF(BZ844=0,0,IF(N(S844)&gt;0,S844,IFERROR(VLOOKUP(D844,Parameter!$A$35:$C$64,3,0)+0,0)))</f>
        <v>0</v>
      </c>
      <c r="CE844" s="48" t="n">
        <f aca="false">IF(AA844&lt;&gt;"",AA844,Z844)</f>
        <v>3</v>
      </c>
      <c r="CF844" s="48" t="str">
        <f aca="false">IF(OR(CE844=1,CE844=2,CE844=3),IF(Parameter!$E$27="Ja","LIFT",IF(CE844=1,"L1","L23")),IF(CE844="Aussen","Aussen","-"))</f>
        <v>LIFT</v>
      </c>
      <c r="CG844" s="59" t="n">
        <f aca="false">IF(N(AB844)&gt;0,AB844,0)</f>
        <v>0</v>
      </c>
      <c r="CH844" s="53" t="n">
        <f aca="false">IF(ISNUMBER(AE844),1,0)</f>
        <v>0</v>
      </c>
      <c r="CI844" s="50" t="n">
        <f aca="false">N(AE844)</f>
        <v>0</v>
      </c>
      <c r="CJ844" s="50" t="n">
        <f aca="false">N(M844)+N(N844)</f>
        <v>1</v>
      </c>
      <c r="CK844" s="50" t="n">
        <f aca="false">N(M844)</f>
        <v>0</v>
      </c>
      <c r="CL844" s="50" t="n">
        <f aca="false">N(N844)</f>
        <v>1</v>
      </c>
      <c r="CM844" s="50" t="n">
        <f aca="false">ROUNDUP(H844/BY844,0)</f>
        <v>1</v>
      </c>
      <c r="CN844" s="50" t="n">
        <f aca="false">ROUNDUP(CI844/BY844,0)</f>
        <v>0</v>
      </c>
      <c r="CO844" s="53" t="n">
        <f aca="false">IF(BZ844=1,0,IFERROR(VLOOKUP(BX844,'Gebinde-Kategorie'!$A$5:$N$45,5,0)+0,0))</f>
        <v>8</v>
      </c>
      <c r="CP844" s="53" t="n">
        <f aca="false">IFERROR(IF(OR(CE844=1,CE844=2,CE844=3),N(INDEX(Parameter!$I$5:$I$7,CE844)),0),0)</f>
        <v>0</v>
      </c>
      <c r="CQ844" s="52" t="n">
        <f aca="false">IF(AND(Parameter!$B$21="Ja",ISNUMBER(W844),N(X844)&gt;0),IFERROR(N(INDEX(Parameter!$L$5:$L$7,W844))*INDEX(Parameter!$E$5:$E$7,W844)*X844/SUMIFS($X$7:$X$1843,$W$7:$W$1843,W844),0),0)</f>
        <v>0</v>
      </c>
    </row>
    <row r="845" customFormat="false" ht="15" hidden="false" customHeight="false" outlineLevel="0" collapsed="false">
      <c r="A845" s="48" t="s">
        <v>1625</v>
      </c>
      <c r="B845" s="48" t="s">
        <v>414</v>
      </c>
      <c r="C845" s="48" t="s">
        <v>173</v>
      </c>
      <c r="D845" s="48" t="s">
        <v>193</v>
      </c>
      <c r="E845" s="48" t="s">
        <v>194</v>
      </c>
      <c r="F845" s="48" t="s">
        <v>227</v>
      </c>
      <c r="G845" s="49" t="n">
        <v>0.11</v>
      </c>
      <c r="H845" s="50" t="n">
        <f aca="false">MAX(0,IF(AND(Parameter!$B$21="Ja",ISNUMBER(Y845)),Y845,IF(Parameter!$B$20="Jahresanfang 2025 + Export",BR845+BQ845,BQ845)))</f>
        <v>643</v>
      </c>
      <c r="I845" s="50" t="n">
        <f aca="false">H845*G845</f>
        <v>70.73</v>
      </c>
      <c r="J845" s="50" t="n">
        <f aca="false">BT845*Parameter!$B$18</f>
        <v>8</v>
      </c>
      <c r="K845" s="51" t="n">
        <v>732</v>
      </c>
      <c r="L845" s="52" t="n">
        <v>0.0109289617486339</v>
      </c>
      <c r="M845" s="50" t="n">
        <v>0</v>
      </c>
      <c r="N845" s="50" t="n">
        <v>10</v>
      </c>
      <c r="O845" s="53" t="n">
        <v>21</v>
      </c>
      <c r="P845" s="48" t="s">
        <v>337</v>
      </c>
      <c r="Q845" s="50" t="n">
        <v>823</v>
      </c>
      <c r="R845" s="53" t="n">
        <f aca="false">IF(BZ845=1,0,IFERROR(VLOOKUP(BX845,'Gebinde-Kategorie'!$A$5:$N$45,13,0)+0,0))</f>
        <v>52</v>
      </c>
      <c r="S845" s="54"/>
      <c r="T845" s="55"/>
      <c r="U845" s="55"/>
      <c r="V845" s="55"/>
      <c r="W845" s="48"/>
      <c r="X845" s="50"/>
      <c r="Y845" s="50"/>
      <c r="Z845" s="48" t="n">
        <f aca="false">IF(A845="","",IF(AND(Parameter!$B$21="Ja",ISNUMBER(W845)),W845,IF(CC845="2+3",IF(ISNUMBER(SEARCH("grosser Artikel",BU845)),2,IFERROR(VLOOKUP(BX845,Parameter!$F$35:$G$64,2,0),2)),IF(OR(CC845="Nein",CC845=""),"-",CC845))))</f>
        <v>3</v>
      </c>
      <c r="AA845" s="55"/>
      <c r="AB845" s="56"/>
      <c r="AC845" s="50" t="n">
        <f aca="false">AV845</f>
        <v>10</v>
      </c>
      <c r="AD845" s="50" t="n">
        <f aca="false">MAX(AV845,H845)</f>
        <v>643</v>
      </c>
      <c r="AE845" s="57"/>
      <c r="AF845" s="50" t="n">
        <f aca="false">IF(LEFT(Cockpit!$C$5,1)="A",H845,IF(Parameter!$E$30="MAX-Bestand",IF(CH845=1,CI845,IF(LEFT(Cockpit!$C$5,1)="B",AL845,MAX(AL845,H845))),ROUNDUP(AJ845,0)))</f>
        <v>643</v>
      </c>
      <c r="AG845" s="50" t="n">
        <f aca="false">IF(BZ845=1,0,ROUNDUP(AF845/BY845,0))</f>
        <v>1</v>
      </c>
      <c r="AH845" s="52" t="n">
        <f aca="false">IF(CQ845&gt;0,CQ845*MAX(1,AF845/X845),IF(BZ845=1,IF(AF845&lt;=0,0,CD845*MAX(1,IF(H845&gt;0,AF845/H845,1))),IF(R845&gt;0,AG845/R845,0))/MAX(0.1,N(Parameter!$M$21)))</f>
        <v>0.0192307692307692</v>
      </c>
      <c r="AI845" s="50" t="n">
        <f aca="false">AH845*CB845</f>
        <v>2.98076923076923</v>
      </c>
      <c r="AJ845" s="51" t="n">
        <f aca="false">IF(LEFT(Cockpit!$C$5,1)="A",H845,IF(CH845=1,(CK845+CI845)/2,IF(LEFT(Cockpit!$C$5,1)="B",(CK845+AL845)/2,MAX((CK845+AL845)/2,H845))))</f>
        <v>643</v>
      </c>
      <c r="AK845" s="50" t="n">
        <f aca="false">AJ845*G845</f>
        <v>70.73</v>
      </c>
      <c r="AL845" s="50" t="n">
        <f aca="false">ROUNDUP(CK845+MAX(CL845,2*(J845/IF(CG845&gt;0,CG845,MAX(0.1,N(Cockpit!$C$6)))-CK845)),0)</f>
        <v>10</v>
      </c>
      <c r="AM845" s="51" t="n">
        <f aca="false">IF(AI845&gt;0,J845/AI845,-1)</f>
        <v>2.68387096774194</v>
      </c>
      <c r="AN845" s="51" t="n">
        <f aca="false">IF(AND(OR(CF845="L1",CF845="L23",CF845="LIFT"),AI845&gt;0),SUMIFS($AI$7:$AI$1843,$CF$7:$CF$1843,CF845,$AM$7:$AM$1843,"&gt;"&amp;AM845)+SUMIFS($AI$7:$AI$1843,$CF$7:$CF$1843,CF845,$AM$7:$AM$1843,AM845,$BW$7:$BW$1843,"&lt;="&amp;BW845),"")</f>
        <v>5327.92902930403</v>
      </c>
      <c r="AO845" s="58" t="n">
        <f aca="false">IF(AN845="",0,MAX(0,MIN(1,(IF(CF845="L1",Parameter!$H$5,IF(CF845="L23",Parameter!$H$6+Parameter!$H$7,Parameter!$H$5+Parameter!$H$6+Parameter!$H$7))-(AN845-AI845))/AI845)))</f>
        <v>1</v>
      </c>
      <c r="AP845" s="50" t="n">
        <f aca="false">IF(LEFT(Cockpit!$I$5,1)="A",H845,IF(Parameter!$E$30="MAX-Bestand",IF(CH845=1,CI845,IF(LEFT(Cockpit!$I$5,1)="B",AV845,MAX(AV845,H845))),ROUNDUP(AT845,0)))</f>
        <v>643</v>
      </c>
      <c r="AQ845" s="50" t="n">
        <f aca="false">IF(BZ845=1,0,ROUNDUP(AP845/BY845,0))</f>
        <v>1</v>
      </c>
      <c r="AR845" s="52" t="n">
        <f aca="false">IF(CQ845&gt;0,CQ845*MAX(1,AP845/X845),IF(BZ845=1,IF(AP845&lt;=0,0,CD845*MAX(1,IF(H845&gt;0,AP845/H845,1))),IF(R845&gt;0,AQ845/R845,0))/MAX(0.1,N(Parameter!$M$21)))</f>
        <v>0.0192307692307692</v>
      </c>
      <c r="AS845" s="50" t="n">
        <f aca="false">AR845*CB845</f>
        <v>2.98076923076923</v>
      </c>
      <c r="AT845" s="51" t="n">
        <f aca="false">IF(LEFT(Cockpit!$I$5,1)="A",H845,IF(CH845=1,(CK845+CI845)/2,IF(LEFT(Cockpit!$I$5,1)="B",(CK845+AV845)/2,MAX((CK845+AV845)/2,H845))))</f>
        <v>643</v>
      </c>
      <c r="AU845" s="50" t="n">
        <f aca="false">AT845*G845</f>
        <v>70.73</v>
      </c>
      <c r="AV845" s="50" t="n">
        <f aca="false">ROUNDUP(CK845+MAX(CL845,2*(J845/IF(CG845&gt;0,CG845,MAX(0.1,N(Cockpit!$I$6)))-CK845)),0)</f>
        <v>10</v>
      </c>
      <c r="AW845" s="51" t="n">
        <f aca="false">IF(AS845&gt;0,J845/AS845,-1)</f>
        <v>2.68387096774194</v>
      </c>
      <c r="AX845" s="51" t="n">
        <f aca="false">IF(AND(OR(CF845="L1",CF845="L23",CF845="LIFT"),AS845&gt;0),SUMIFS($AS$7:$AS$1843,$CF$7:$CF$1843,CF845,$AW$7:$AW$1843,"&gt;"&amp;AW845)+SUMIFS($AS$7:$AS$1843,$CF$7:$CF$1843,CF845,$AW$7:$AW$1843,AW845,$BW$7:$BW$1843,"&lt;="&amp;BW845),"")</f>
        <v>6162.40705128205</v>
      </c>
      <c r="AY845" s="58" t="n">
        <f aca="false">IF(AX845="",0,MAX(0,MIN(1,(IF(CF845="L1",Parameter!$H$5,IF(CF845="L23",Parameter!$H$6+Parameter!$H$7,Parameter!$H$5+Parameter!$H$6+Parameter!$H$7))-(AX845-AS845))/AS845)))</f>
        <v>1</v>
      </c>
      <c r="AZ845" s="50" t="n">
        <f aca="false">IF(LEFT(Cockpit!$O$5,1)="A",H845,IF(Parameter!$E$30="MAX-Bestand",IF(CH845=1,CI845,IF(LEFT(Cockpit!$O$5,1)="B",BF845,MAX(BF845,H845))),ROUNDUP(BD845,0)))</f>
        <v>5</v>
      </c>
      <c r="BA845" s="50" t="n">
        <f aca="false">IF(BZ845=1,0,ROUNDUP(AZ845/BY845,0))</f>
        <v>1</v>
      </c>
      <c r="BB845" s="52" t="n">
        <f aca="false">IF(CQ845&gt;0,CQ845*MAX(1,AZ845/X845),IF(BZ845=1,IF(AZ845&lt;=0,0,CD845*MAX(1,IF(H845&gt;0,AZ845/H845,1))),IF(R845&gt;0,BA845/R845,0))/MAX(0.1,N(Parameter!$M$21)))</f>
        <v>0.0192307692307692</v>
      </c>
      <c r="BC845" s="50" t="n">
        <f aca="false">BB845*CB845</f>
        <v>2.98076923076923</v>
      </c>
      <c r="BD845" s="51" t="n">
        <f aca="false">IF(LEFT(Cockpit!$O$5,1)="A",H845,IF(CH845=1,(CK845+CI845)/2,IF(LEFT(Cockpit!$O$5,1)="B",(CK845+BF845)/2,MAX((CK845+BF845)/2,H845))))</f>
        <v>5</v>
      </c>
      <c r="BE845" s="50" t="n">
        <f aca="false">BD845*G845</f>
        <v>0.55</v>
      </c>
      <c r="BF845" s="50" t="n">
        <f aca="false">ROUNDUP(CK845+MAX(CL845,2*(J845/IF(CG845&gt;0,CG845,MAX(0.1,N(Cockpit!$O$6)))-CK845)),0)</f>
        <v>10</v>
      </c>
      <c r="BG845" s="51" t="n">
        <f aca="false">IF(BC845&gt;0,J845/BC845,-1)</f>
        <v>2.68387096774194</v>
      </c>
      <c r="BH845" s="51" t="n">
        <f aca="false">IF(AND(OR(CF845="L1",CF845="L23",CF845="LIFT"),BC845&gt;0),SUMIFS($BC$7:$BC$1843,$CF$7:$CF$1843,CF845,$BG$7:$BG$1843,"&gt;"&amp;BG845)+SUMIFS($BC$7:$BC$1843,$CF$7:$CF$1843,CF845,$BG$7:$BG$1843,BG845,$BW$7:$BW$1843,"&lt;="&amp;BW845),"")</f>
        <v>5340.46153846154</v>
      </c>
      <c r="BI845" s="58" t="n">
        <f aca="false">IF(BH845="",0,MAX(0,MIN(1,(IF(CF845="L1",Parameter!$H$5,IF(CF845="L23",Parameter!$H$6+Parameter!$H$7,Parameter!$H$5+Parameter!$H$6+Parameter!$H$7))-(BH845-BC845))/BC845)))</f>
        <v>1</v>
      </c>
      <c r="BJ845" s="48" t="str">
        <f aca="false">IF(AI845&lt;=0,"",IF(CF845="Aussen","Aussenlager",IF(CF845="-","Nicht im Lift",IF(AO845&gt;=1,"Lift",IF(AO845&lt;=0,"Aussenlager","teilweise")))))</f>
        <v>Lift</v>
      </c>
      <c r="BK845" s="48" t="str">
        <f aca="false">IF(AS845&lt;=0,"",IF(CF845="Aussen","Aussenlager",IF(CF845="-","Nicht im Lift",IF(AY845&gt;=1,"Lift",IF(AY845&lt;=0,"Aussenlager","teilweise")))))</f>
        <v>Lift</v>
      </c>
      <c r="BL845" s="48" t="str">
        <f aca="false">IF(BC845&lt;=0,"",IF(CF845="Aussen","Aussenlager",IF(CF845="-","Nicht im Lift",IF(BI845&gt;=1,"Lift",IF(BI845&lt;=0,"Aussenlager","teilweise")))))</f>
        <v>Lift</v>
      </c>
      <c r="BM845" s="48" t="str">
        <f aca="false">IF(A845="","",IF(BV845=1,"Neu; ","")&amp;IF(AND(BV845=0,BQ845&lt;0),"negativer Bestand (Export "&amp;BQ845&amp;"); ","")&amp;IF(J845&lt;=0,"Kein Verbrauch; ","")&amp;IF(CQ845&gt;0,"Lift "&amp;W845&amp;" lt. Liftbericht (Fach "&amp;X845&amp;" Stk); ",IF(CA845=1,"Gebinde geschätzt ("&amp;T845&amp;"); ",IF(BZ845=1,"Lose – Tablare geschätzt; ","")))&amp;IF(H845&gt;AV845,"Überbestand "&amp;ROUND(H845-AV845,0)&amp;" Stk / CHF "&amp;ROUND((H845-AV845)*G845,0)&amp;"; ","")&amp;IF(AND(CH845=1,CI845&lt;CJ845),"MAX &lt; MB+LG; ","")&amp;IF(AND(CP845&gt;0,CO845*10&gt;CP845),"zu hoch für Tablar; ","")&amp;IF(AND(BV845=0,OR(CH845=1,AA845&lt;&gt;"",U845&lt;&gt;"",V845&lt;&gt;"",AB845&lt;&gt;"")),"manuell übersteuert; ","")&amp;IF(AND(BZ845=0,R845=0),"Gebinde unbekannt / Stellmass fehlt; ","")&amp;IF(AND(BZ845=0,N(V845)&lt;=0,N(Q845)&lt;=0),"Menge pro Gebinde fehlt (Ist = 1 Gebinde); ","")&amp;BU845)</f>
        <v>negativer Bestand (Export -137); Überbestand 633 Stk / CHF 70; Überbestand</v>
      </c>
      <c r="BN845" s="48"/>
      <c r="BO845" s="48"/>
      <c r="BP845" s="55"/>
      <c r="BQ845" s="50" t="n">
        <v>-137</v>
      </c>
      <c r="BR845" s="50" t="n">
        <v>780</v>
      </c>
      <c r="BS845" s="49" t="n">
        <v>-15.07</v>
      </c>
      <c r="BT845" s="50" t="n">
        <v>8</v>
      </c>
      <c r="BU845" s="48" t="s">
        <v>401</v>
      </c>
      <c r="BV845" s="53" t="n">
        <v>0</v>
      </c>
      <c r="BW845" s="53" t="n">
        <v>845</v>
      </c>
      <c r="BX845" s="48" t="str">
        <f aca="false">IF(U845&lt;&gt;"",UPPER(TRIM(U845)),IF(CA845=1,UPPER(VLOOKUP(T845,Parameter!$I$27:$K$29,2,0)),IF(P845="","LOSE",P845)))</f>
        <v>S41</v>
      </c>
      <c r="BY845" s="50" t="n">
        <f aca="false">IF(BX845="LOSE",1,IF(N(V845)&gt;0,V845,IF(CA845=1,MAX(1,N(VLOOKUP(T845,Parameter!$I$27:$K$29,3,0)),H845,N(N845)),IF(N(Q845)&gt;0,Q845,MAX(1,H845)))))</f>
        <v>823</v>
      </c>
      <c r="BZ845" s="53" t="n">
        <f aca="false">IF(BX845="LOSE",1,0)</f>
        <v>0</v>
      </c>
      <c r="CA845" s="53" t="n">
        <f aca="false">IF(AND(U845="",OR(P845="",P845="LOSE"),T845&lt;&gt;"",N(S845)&lt;=0,ISNUMBER(MATCH(T845,Parameter!$I$27:$I$29,0))),1,0)</f>
        <v>0</v>
      </c>
      <c r="CB845" s="53" t="n">
        <f aca="false">IF(CQ845&gt;0,INDEX(Parameter!$H$5:$H$7,W845)/INDEX(Parameter!$E$5:$E$7,W845),IF(AND(BZ845=0,N(IFERROR(VLOOKUP(BX845,'Gebinde-Kategorie'!$A$5:$N$45,14,0),0))&gt;0),VLOOKUP(BX845,'Gebinde-Kategorie'!$A$5:$N$45,14,0)*10+Parameter!$M$23,Parameter!$M$24))</f>
        <v>155</v>
      </c>
      <c r="CC845" s="48" t="str">
        <f aca="false">IF(AND(Parameter!$B$19="Ja",E845&lt;&gt;"",ISNUMBER(MATCH(E845,Parameter!$I$35:$I$52,0))),VLOOKUP(E845,Parameter!$I$35:$J$52,2,0),IFERROR(VLOOKUP(D845,Parameter!$A$35:$C$64,2,0),"Nein"))</f>
        <v>2+3</v>
      </c>
      <c r="CD845" s="52" t="n">
        <f aca="false">IF(BZ845=0,0,IF(N(S845)&gt;0,S845,IFERROR(VLOOKUP(D845,Parameter!$A$35:$C$64,3,0)+0,0)))</f>
        <v>0</v>
      </c>
      <c r="CE845" s="48" t="n">
        <f aca="false">IF(AA845&lt;&gt;"",AA845,Z845)</f>
        <v>3</v>
      </c>
      <c r="CF845" s="48" t="str">
        <f aca="false">IF(OR(CE845=1,CE845=2,CE845=3),IF(Parameter!$E$27="Ja","LIFT",IF(CE845=1,"L1","L23")),IF(CE845="Aussen","Aussen","-"))</f>
        <v>LIFT</v>
      </c>
      <c r="CG845" s="59" t="n">
        <f aca="false">IF(N(AB845)&gt;0,AB845,0)</f>
        <v>0</v>
      </c>
      <c r="CH845" s="53" t="n">
        <f aca="false">IF(ISNUMBER(AE845),1,0)</f>
        <v>0</v>
      </c>
      <c r="CI845" s="50" t="n">
        <f aca="false">N(AE845)</f>
        <v>0</v>
      </c>
      <c r="CJ845" s="50" t="n">
        <f aca="false">N(M845)+N(N845)</f>
        <v>10</v>
      </c>
      <c r="CK845" s="50" t="n">
        <f aca="false">N(M845)</f>
        <v>0</v>
      </c>
      <c r="CL845" s="50" t="n">
        <f aca="false">N(N845)</f>
        <v>10</v>
      </c>
      <c r="CM845" s="50" t="n">
        <f aca="false">ROUNDUP(H845/BY845,0)</f>
        <v>1</v>
      </c>
      <c r="CN845" s="50" t="n">
        <f aca="false">ROUNDUP(CI845/BY845,0)</f>
        <v>0</v>
      </c>
      <c r="CO845" s="53" t="n">
        <f aca="false">IF(BZ845=1,0,IFERROR(VLOOKUP(BX845,'Gebinde-Kategorie'!$A$5:$N$45,5,0)+0,0))</f>
        <v>11</v>
      </c>
      <c r="CP845" s="53" t="n">
        <f aca="false">IFERROR(IF(OR(CE845=1,CE845=2,CE845=3),N(INDEX(Parameter!$I$5:$I$7,CE845)),0),0)</f>
        <v>0</v>
      </c>
      <c r="CQ845" s="52" t="n">
        <f aca="false">IF(AND(Parameter!$B$21="Ja",ISNUMBER(W845),N(X845)&gt;0),IFERROR(N(INDEX(Parameter!$L$5:$L$7,W845))*INDEX(Parameter!$E$5:$E$7,W845)*X845/SUMIFS($X$7:$X$1843,$W$7:$W$1843,W845),0),0)</f>
        <v>0</v>
      </c>
    </row>
    <row r="846" customFormat="false" ht="15" hidden="false" customHeight="false" outlineLevel="0" collapsed="false">
      <c r="A846" s="48" t="s">
        <v>1626</v>
      </c>
      <c r="B846" s="48" t="s">
        <v>1627</v>
      </c>
      <c r="C846" s="48" t="s">
        <v>173</v>
      </c>
      <c r="D846" s="48" t="s">
        <v>193</v>
      </c>
      <c r="E846" s="48" t="s">
        <v>194</v>
      </c>
      <c r="F846" s="48" t="s">
        <v>227</v>
      </c>
      <c r="G846" s="49" t="n">
        <v>3.14</v>
      </c>
      <c r="H846" s="50" t="n">
        <f aca="false">MAX(0,IF(AND(Parameter!$B$21="Ja",ISNUMBER(Y846)),Y846,IF(Parameter!$B$20="Jahresanfang 2025 + Export",BR846+BQ846,BQ846)))</f>
        <v>43</v>
      </c>
      <c r="I846" s="50" t="n">
        <f aca="false">H846*G846</f>
        <v>135.02</v>
      </c>
      <c r="J846" s="50" t="n">
        <f aca="false">BT846*Parameter!$B$18</f>
        <v>60</v>
      </c>
      <c r="K846" s="51" t="n">
        <v>91</v>
      </c>
      <c r="L846" s="52" t="n">
        <v>0.659340659340659</v>
      </c>
      <c r="M846" s="50" t="n">
        <v>4</v>
      </c>
      <c r="N846" s="50" t="n">
        <v>60</v>
      </c>
      <c r="O846" s="53" t="n">
        <v>28</v>
      </c>
      <c r="P846" s="48" t="s">
        <v>430</v>
      </c>
      <c r="Q846" s="50" t="n">
        <v>25</v>
      </c>
      <c r="R846" s="53" t="n">
        <f aca="false">IF(BZ846=1,0,IFERROR(VLOOKUP(BX846,'Gebinde-Kategorie'!$A$5:$N$45,13,0)+0,0))</f>
        <v>104</v>
      </c>
      <c r="S846" s="54"/>
      <c r="T846" s="55"/>
      <c r="U846" s="55"/>
      <c r="V846" s="55"/>
      <c r="W846" s="48"/>
      <c r="X846" s="50"/>
      <c r="Y846" s="50"/>
      <c r="Z846" s="48" t="n">
        <f aca="false">IF(A846="","",IF(AND(Parameter!$B$21="Ja",ISNUMBER(W846)),W846,IF(CC846="2+3",IF(ISNUMBER(SEARCH("grosser Artikel",BU846)),2,IFERROR(VLOOKUP(BX846,Parameter!$F$35:$G$64,2,0),2)),IF(OR(CC846="Nein",CC846=""),"-",CC846))))</f>
        <v>3</v>
      </c>
      <c r="AA846" s="55"/>
      <c r="AB846" s="56"/>
      <c r="AC846" s="50" t="n">
        <f aca="false">AV846</f>
        <v>64</v>
      </c>
      <c r="AD846" s="50" t="n">
        <f aca="false">MAX(AV846,H846)</f>
        <v>64</v>
      </c>
      <c r="AE846" s="57"/>
      <c r="AF846" s="50" t="n">
        <f aca="false">IF(LEFT(Cockpit!$C$5,1)="A",H846,IF(Parameter!$E$30="MAX-Bestand",IF(CH846=1,CI846,IF(LEFT(Cockpit!$C$5,1)="B",AL846,MAX(AL846,H846))),ROUNDUP(AJ846,0)))</f>
        <v>43</v>
      </c>
      <c r="AG846" s="50" t="n">
        <f aca="false">IF(BZ846=1,0,ROUNDUP(AF846/BY846,0))</f>
        <v>2</v>
      </c>
      <c r="AH846" s="52" t="n">
        <f aca="false">IF(CQ846&gt;0,CQ846*MAX(1,AF846/X846),IF(BZ846=1,IF(AF846&lt;=0,0,CD846*MAX(1,IF(H846&gt;0,AF846/H846,1))),IF(R846&gt;0,AG846/R846,0))/MAX(0.1,N(Parameter!$M$21)))</f>
        <v>0.0192307692307692</v>
      </c>
      <c r="AI846" s="50" t="n">
        <f aca="false">AH846*CB846</f>
        <v>2.98076923076923</v>
      </c>
      <c r="AJ846" s="51" t="n">
        <f aca="false">IF(LEFT(Cockpit!$C$5,1)="A",H846,IF(CH846=1,(CK846+CI846)/2,IF(LEFT(Cockpit!$C$5,1)="B",(CK846+AL846)/2,MAX((CK846+AL846)/2,H846))))</f>
        <v>43</v>
      </c>
      <c r="AK846" s="50" t="n">
        <f aca="false">AJ846*G846</f>
        <v>135.02</v>
      </c>
      <c r="AL846" s="50" t="n">
        <f aca="false">ROUNDUP(CK846+MAX(CL846,2*(J846/IF(CG846&gt;0,CG846,MAX(0.1,N(Cockpit!$C$6)))-CK846)),0)</f>
        <v>64</v>
      </c>
      <c r="AM846" s="51" t="n">
        <f aca="false">IF(AI846&gt;0,J846/AI846,-1)</f>
        <v>20.1290322580645</v>
      </c>
      <c r="AN846" s="51" t="n">
        <f aca="false">IF(AND(OR(CF846="L1",CF846="L23",CF846="LIFT"),AI846&gt;0),SUMIFS($AI$7:$AI$1843,$CF$7:$CF$1843,CF846,$AM$7:$AM$1843,"&gt;"&amp;AM846)+SUMIFS($AI$7:$AI$1843,$CF$7:$CF$1843,CF846,$AM$7:$AM$1843,AM846,$BW$7:$BW$1843,"&lt;="&amp;BW846),"")</f>
        <v>1655.62545787546</v>
      </c>
      <c r="AO846" s="58" t="n">
        <f aca="false">IF(AN846="",0,MAX(0,MIN(1,(IF(CF846="L1",Parameter!$H$5,IF(CF846="L23",Parameter!$H$6+Parameter!$H$7,Parameter!$H$5+Parameter!$H$6+Parameter!$H$7))-(AN846-AI846))/AI846)))</f>
        <v>1</v>
      </c>
      <c r="AP846" s="50" t="n">
        <f aca="false">IF(LEFT(Cockpit!$I$5,1)="A",H846,IF(Parameter!$E$30="MAX-Bestand",IF(CH846=1,CI846,IF(LEFT(Cockpit!$I$5,1)="B",AV846,MAX(AV846,H846))),ROUNDUP(AT846,0)))</f>
        <v>43</v>
      </c>
      <c r="AQ846" s="50" t="n">
        <f aca="false">IF(BZ846=1,0,ROUNDUP(AP846/BY846,0))</f>
        <v>2</v>
      </c>
      <c r="AR846" s="52" t="n">
        <f aca="false">IF(CQ846&gt;0,CQ846*MAX(1,AP846/X846),IF(BZ846=1,IF(AP846&lt;=0,0,CD846*MAX(1,IF(H846&gt;0,AP846/H846,1))),IF(R846&gt;0,AQ846/R846,0))/MAX(0.1,N(Parameter!$M$21)))</f>
        <v>0.0192307692307692</v>
      </c>
      <c r="AS846" s="50" t="n">
        <f aca="false">AR846*CB846</f>
        <v>2.98076923076923</v>
      </c>
      <c r="AT846" s="51" t="n">
        <f aca="false">IF(LEFT(Cockpit!$I$5,1)="A",H846,IF(CH846=1,(CK846+CI846)/2,IF(LEFT(Cockpit!$I$5,1)="B",(CK846+AV846)/2,MAX((CK846+AV846)/2,H846))))</f>
        <v>43</v>
      </c>
      <c r="AU846" s="50" t="n">
        <f aca="false">AT846*G846</f>
        <v>135.02</v>
      </c>
      <c r="AV846" s="50" t="n">
        <f aca="false">ROUNDUP(CK846+MAX(CL846,2*(J846/IF(CG846&gt;0,CG846,MAX(0.1,N(Cockpit!$I$6)))-CK846)),0)</f>
        <v>64</v>
      </c>
      <c r="AW846" s="51" t="n">
        <f aca="false">IF(AS846&gt;0,J846/AS846,-1)</f>
        <v>20.1290322580645</v>
      </c>
      <c r="AX846" s="51" t="n">
        <f aca="false">IF(AND(OR(CF846="L1",CF846="L23",CF846="LIFT"),AS846&gt;0),SUMIFS($AS$7:$AS$1843,$CF$7:$CF$1843,CF846,$AW$7:$AW$1843,"&gt;"&amp;AW846)+SUMIFS($AS$7:$AS$1843,$CF$7:$CF$1843,CF846,$AW$7:$AW$1843,AW846,$BW$7:$BW$1843,"&lt;="&amp;BW846),"")</f>
        <v>2292.74633699634</v>
      </c>
      <c r="AY846" s="58" t="n">
        <f aca="false">IF(AX846="",0,MAX(0,MIN(1,(IF(CF846="L1",Parameter!$H$5,IF(CF846="L23",Parameter!$H$6+Parameter!$H$7,Parameter!$H$5+Parameter!$H$6+Parameter!$H$7))-(AX846-AS846))/AS846)))</f>
        <v>1</v>
      </c>
      <c r="AZ846" s="50" t="n">
        <f aca="false">IF(LEFT(Cockpit!$O$5,1)="A",H846,IF(Parameter!$E$30="MAX-Bestand",IF(CH846=1,CI846,IF(LEFT(Cockpit!$O$5,1)="B",BF846,MAX(BF846,H846))),ROUNDUP(BD846,0)))</f>
        <v>34</v>
      </c>
      <c r="BA846" s="50" t="n">
        <f aca="false">IF(BZ846=1,0,ROUNDUP(AZ846/BY846,0))</f>
        <v>2</v>
      </c>
      <c r="BB846" s="52" t="n">
        <f aca="false">IF(CQ846&gt;0,CQ846*MAX(1,AZ846/X846),IF(BZ846=1,IF(AZ846&lt;=0,0,CD846*MAX(1,IF(H846&gt;0,AZ846/H846,1))),IF(R846&gt;0,BA846/R846,0))/MAX(0.1,N(Parameter!$M$21)))</f>
        <v>0.0192307692307692</v>
      </c>
      <c r="BC846" s="50" t="n">
        <f aca="false">BB846*CB846</f>
        <v>2.98076923076923</v>
      </c>
      <c r="BD846" s="51" t="n">
        <f aca="false">IF(LEFT(Cockpit!$O$5,1)="A",H846,IF(CH846=1,(CK846+CI846)/2,IF(LEFT(Cockpit!$O$5,1)="B",(CK846+BF846)/2,MAX((CK846+BF846)/2,H846))))</f>
        <v>34</v>
      </c>
      <c r="BE846" s="50" t="n">
        <f aca="false">BD846*G846</f>
        <v>106.76</v>
      </c>
      <c r="BF846" s="50" t="n">
        <f aca="false">ROUNDUP(CK846+MAX(CL846,2*(J846/IF(CG846&gt;0,CG846,MAX(0.1,N(Cockpit!$O$6)))-CK846)),0)</f>
        <v>64</v>
      </c>
      <c r="BG846" s="51" t="n">
        <f aca="false">IF(BC846&gt;0,J846/BC846,-1)</f>
        <v>20.1290322580645</v>
      </c>
      <c r="BH846" s="51" t="n">
        <f aca="false">IF(AND(OR(CF846="L1",CF846="L23",CF846="LIFT"),BC846&gt;0),SUMIFS($BC$7:$BC$1843,$CF$7:$CF$1843,CF846,$BG$7:$BG$1843,"&gt;"&amp;BG846)+SUMIFS($BC$7:$BC$1843,$CF$7:$CF$1843,CF846,$BG$7:$BG$1843,BG846,$BW$7:$BW$1843,"&lt;="&amp;BW846),"")</f>
        <v>2223.51373626374</v>
      </c>
      <c r="BI846" s="58" t="n">
        <f aca="false">IF(BH846="",0,MAX(0,MIN(1,(IF(CF846="L1",Parameter!$H$5,IF(CF846="L23",Parameter!$H$6+Parameter!$H$7,Parameter!$H$5+Parameter!$H$6+Parameter!$H$7))-(BH846-BC846))/BC846)))</f>
        <v>1</v>
      </c>
      <c r="BJ846" s="48" t="str">
        <f aca="false">IF(AI846&lt;=0,"",IF(CF846="Aussen","Aussenlager",IF(CF846="-","Nicht im Lift",IF(AO846&gt;=1,"Lift",IF(AO846&lt;=0,"Aussenlager","teilweise")))))</f>
        <v>Lift</v>
      </c>
      <c r="BK846" s="48" t="str">
        <f aca="false">IF(AS846&lt;=0,"",IF(CF846="Aussen","Aussenlager",IF(CF846="-","Nicht im Lift",IF(AY846&gt;=1,"Lift",IF(AY846&lt;=0,"Aussenlager","teilweise")))))</f>
        <v>Lift</v>
      </c>
      <c r="BL846" s="48" t="str">
        <f aca="false">IF(BC846&lt;=0,"",IF(CF846="Aussen","Aussenlager",IF(CF846="-","Nicht im Lift",IF(BI846&gt;=1,"Lift",IF(BI846&lt;=0,"Aussenlager","teilweise")))))</f>
        <v>Lift</v>
      </c>
      <c r="BM846" s="48" t="str">
        <f aca="false">IF(A846="","",IF(BV846=1,"Neu; ","")&amp;IF(AND(BV846=0,BQ846&lt;0),"negativer Bestand (Export "&amp;BQ846&amp;"); ","")&amp;IF(J846&lt;=0,"Kein Verbrauch; ","")&amp;IF(CQ846&gt;0,"Lift "&amp;W846&amp;" lt. Liftbericht (Fach "&amp;X846&amp;" Stk); ",IF(CA846=1,"Gebinde geschätzt ("&amp;T846&amp;"); ",IF(BZ846=1,"Lose – Tablare geschätzt; ","")))&amp;IF(H846&gt;AV846,"Überbestand "&amp;ROUND(H846-AV846,0)&amp;" Stk / CHF "&amp;ROUND((H846-AV846)*G846,0)&amp;"; ","")&amp;IF(AND(CH846=1,CI846&lt;CJ846),"MAX &lt; MB+LG; ","")&amp;IF(AND(CP846&gt;0,CO846*10&gt;CP846),"zu hoch für Tablar; ","")&amp;IF(AND(BV846=0,OR(CH846=1,AA846&lt;&gt;"",U846&lt;&gt;"",V846&lt;&gt;"",AB846&lt;&gt;"")),"manuell übersteuert; ","")&amp;IF(AND(BZ846=0,R846=0),"Gebinde unbekannt / Stellmass fehlt; ","")&amp;IF(AND(BZ846=0,N(V846)&lt;=0,N(Q846)&lt;=0),"Menge pro Gebinde fehlt (Ist = 1 Gebinde); ","")&amp;BU846)</f>
        <v>negativer Bestand (Export -29); </v>
      </c>
      <c r="BN846" s="48"/>
      <c r="BO846" s="48"/>
      <c r="BP846" s="55"/>
      <c r="BQ846" s="50" t="n">
        <v>-29</v>
      </c>
      <c r="BR846" s="50" t="n">
        <v>72</v>
      </c>
      <c r="BS846" s="49" t="n">
        <v>-15.4599999999997</v>
      </c>
      <c r="BT846" s="50" t="n">
        <v>60</v>
      </c>
      <c r="BU846" s="48"/>
      <c r="BV846" s="53" t="n">
        <v>0</v>
      </c>
      <c r="BW846" s="53" t="n">
        <v>846</v>
      </c>
      <c r="BX846" s="48" t="str">
        <f aca="false">IF(U846&lt;&gt;"",UPPER(TRIM(U846)),IF(CA846=1,UPPER(VLOOKUP(T846,Parameter!$I$27:$K$29,2,0)),IF(P846="","LOSE",P846)))</f>
        <v>S32</v>
      </c>
      <c r="BY846" s="50" t="n">
        <f aca="false">IF(BX846="LOSE",1,IF(N(V846)&gt;0,V846,IF(CA846=1,MAX(1,N(VLOOKUP(T846,Parameter!$I$27:$K$29,3,0)),H846,N(N846)),IF(N(Q846)&gt;0,Q846,MAX(1,H846)))))</f>
        <v>25</v>
      </c>
      <c r="BZ846" s="53" t="n">
        <f aca="false">IF(BX846="LOSE",1,0)</f>
        <v>0</v>
      </c>
      <c r="CA846" s="53" t="n">
        <f aca="false">IF(AND(U846="",OR(P846="",P846="LOSE"),T846&lt;&gt;"",N(S846)&lt;=0,ISNUMBER(MATCH(T846,Parameter!$I$27:$I$29,0))),1,0)</f>
        <v>0</v>
      </c>
      <c r="CB846" s="53" t="n">
        <f aca="false">IF(CQ846&gt;0,INDEX(Parameter!$H$5:$H$7,W846)/INDEX(Parameter!$E$5:$E$7,W846),IF(AND(BZ846=0,N(IFERROR(VLOOKUP(BX846,'Gebinde-Kategorie'!$A$5:$N$45,14,0),0))&gt;0),VLOOKUP(BX846,'Gebinde-Kategorie'!$A$5:$N$45,14,0)*10+Parameter!$M$23,Parameter!$M$24))</f>
        <v>155</v>
      </c>
      <c r="CC846" s="48" t="str">
        <f aca="false">IF(AND(Parameter!$B$19="Ja",E846&lt;&gt;"",ISNUMBER(MATCH(E846,Parameter!$I$35:$I$52,0))),VLOOKUP(E846,Parameter!$I$35:$J$52,2,0),IFERROR(VLOOKUP(D846,Parameter!$A$35:$C$64,2,0),"Nein"))</f>
        <v>2+3</v>
      </c>
      <c r="CD846" s="52" t="n">
        <f aca="false">IF(BZ846=0,0,IF(N(S846)&gt;0,S846,IFERROR(VLOOKUP(D846,Parameter!$A$35:$C$64,3,0)+0,0)))</f>
        <v>0</v>
      </c>
      <c r="CE846" s="48" t="n">
        <f aca="false">IF(AA846&lt;&gt;"",AA846,Z846)</f>
        <v>3</v>
      </c>
      <c r="CF846" s="48" t="str">
        <f aca="false">IF(OR(CE846=1,CE846=2,CE846=3),IF(Parameter!$E$27="Ja","LIFT",IF(CE846=1,"L1","L23")),IF(CE846="Aussen","Aussen","-"))</f>
        <v>LIFT</v>
      </c>
      <c r="CG846" s="59" t="n">
        <f aca="false">IF(N(AB846)&gt;0,AB846,0)</f>
        <v>0</v>
      </c>
      <c r="CH846" s="53" t="n">
        <f aca="false">IF(ISNUMBER(AE846),1,0)</f>
        <v>0</v>
      </c>
      <c r="CI846" s="50" t="n">
        <f aca="false">N(AE846)</f>
        <v>0</v>
      </c>
      <c r="CJ846" s="50" t="n">
        <f aca="false">N(M846)+N(N846)</f>
        <v>64</v>
      </c>
      <c r="CK846" s="50" t="n">
        <f aca="false">N(M846)</f>
        <v>4</v>
      </c>
      <c r="CL846" s="50" t="n">
        <f aca="false">N(N846)</f>
        <v>60</v>
      </c>
      <c r="CM846" s="50" t="n">
        <f aca="false">ROUNDUP(H846/BY846,0)</f>
        <v>2</v>
      </c>
      <c r="CN846" s="50" t="n">
        <f aca="false">ROUNDUP(CI846/BY846,0)</f>
        <v>0</v>
      </c>
      <c r="CO846" s="53" t="n">
        <f aca="false">IF(BZ846=1,0,IFERROR(VLOOKUP(BX846,'Gebinde-Kategorie'!$A$5:$N$45,5,0)+0,0))</f>
        <v>8</v>
      </c>
      <c r="CP846" s="53" t="n">
        <f aca="false">IFERROR(IF(OR(CE846=1,CE846=2,CE846=3),N(INDEX(Parameter!$I$5:$I$7,CE846)),0),0)</f>
        <v>0</v>
      </c>
      <c r="CQ846" s="52" t="n">
        <f aca="false">IF(AND(Parameter!$B$21="Ja",ISNUMBER(W846),N(X846)&gt;0),IFERROR(N(INDEX(Parameter!$L$5:$L$7,W846))*INDEX(Parameter!$E$5:$E$7,W846)*X846/SUMIFS($X$7:$X$1843,$W$7:$W$1843,W846),0),0)</f>
        <v>0</v>
      </c>
    </row>
    <row r="847" customFormat="false" ht="15" hidden="false" customHeight="false" outlineLevel="0" collapsed="false">
      <c r="A847" s="48" t="s">
        <v>1628</v>
      </c>
      <c r="B847" s="48" t="s">
        <v>1299</v>
      </c>
      <c r="C847" s="48" t="s">
        <v>173</v>
      </c>
      <c r="D847" s="48" t="s">
        <v>193</v>
      </c>
      <c r="E847" s="48" t="s">
        <v>194</v>
      </c>
      <c r="F847" s="48" t="s">
        <v>227</v>
      </c>
      <c r="G847" s="49" t="n">
        <v>0.85</v>
      </c>
      <c r="H847" s="50" t="n">
        <f aca="false">MAX(0,IF(AND(Parameter!$B$21="Ja",ISNUMBER(Y847)),Y847,IF(Parameter!$B$20="Jahresanfang 2025 + Export",BR847+BQ847,BQ847)))</f>
        <v>9</v>
      </c>
      <c r="I847" s="50" t="n">
        <f aca="false">H847*G847</f>
        <v>7.65</v>
      </c>
      <c r="J847" s="50" t="n">
        <f aca="false">BT847*Parameter!$B$18</f>
        <v>29</v>
      </c>
      <c r="K847" s="51" t="n">
        <v>30.5</v>
      </c>
      <c r="L847" s="52" t="n">
        <v>0.950819672131148</v>
      </c>
      <c r="M847" s="50" t="n">
        <v>1</v>
      </c>
      <c r="N847" s="50" t="n">
        <v>30</v>
      </c>
      <c r="O847" s="53" t="n">
        <v>21</v>
      </c>
      <c r="P847" s="48" t="s">
        <v>235</v>
      </c>
      <c r="Q847" s="50" t="n">
        <v>65</v>
      </c>
      <c r="R847" s="53" t="n">
        <f aca="false">IF(BZ847=1,0,IFERROR(VLOOKUP(BX847,'Gebinde-Kategorie'!$A$5:$N$45,13,0)+0,0))</f>
        <v>12</v>
      </c>
      <c r="S847" s="54"/>
      <c r="T847" s="55"/>
      <c r="U847" s="55"/>
      <c r="V847" s="55"/>
      <c r="W847" s="48"/>
      <c r="X847" s="50"/>
      <c r="Y847" s="50"/>
      <c r="Z847" s="48" t="n">
        <f aca="false">IF(A847="","",IF(AND(Parameter!$B$21="Ja",ISNUMBER(W847)),W847,IF(CC847="2+3",IF(ISNUMBER(SEARCH("grosser Artikel",BU847)),2,IFERROR(VLOOKUP(BX847,Parameter!$F$35:$G$64,2,0),2)),IF(OR(CC847="Nein",CC847=""),"-",CC847))))</f>
        <v>2</v>
      </c>
      <c r="AA847" s="55"/>
      <c r="AB847" s="56"/>
      <c r="AC847" s="50" t="n">
        <f aca="false">AV847</f>
        <v>31</v>
      </c>
      <c r="AD847" s="50" t="n">
        <f aca="false">MAX(AV847,H847)</f>
        <v>31</v>
      </c>
      <c r="AE847" s="57"/>
      <c r="AF847" s="50" t="n">
        <f aca="false">IF(LEFT(Cockpit!$C$5,1)="A",H847,IF(Parameter!$E$30="MAX-Bestand",IF(CH847=1,CI847,IF(LEFT(Cockpit!$C$5,1)="B",AL847,MAX(AL847,H847))),ROUNDUP(AJ847,0)))</f>
        <v>9</v>
      </c>
      <c r="AG847" s="50" t="n">
        <f aca="false">IF(BZ847=1,0,ROUNDUP(AF847/BY847,0))</f>
        <v>1</v>
      </c>
      <c r="AH847" s="52" t="n">
        <f aca="false">IF(CQ847&gt;0,CQ847*MAX(1,AF847/X847),IF(BZ847=1,IF(AF847&lt;=0,0,CD847*MAX(1,IF(H847&gt;0,AF847/H847,1))),IF(R847&gt;0,AG847/R847,0))/MAX(0.1,N(Parameter!$M$21)))</f>
        <v>0.0833333333333333</v>
      </c>
      <c r="AI847" s="50" t="n">
        <f aca="false">AH847*CB847</f>
        <v>28.75</v>
      </c>
      <c r="AJ847" s="51" t="n">
        <f aca="false">IF(LEFT(Cockpit!$C$5,1)="A",H847,IF(CH847=1,(CK847+CI847)/2,IF(LEFT(Cockpit!$C$5,1)="B",(CK847+AL847)/2,MAX((CK847+AL847)/2,H847))))</f>
        <v>9</v>
      </c>
      <c r="AK847" s="50" t="n">
        <f aca="false">AJ847*G847</f>
        <v>7.65</v>
      </c>
      <c r="AL847" s="50" t="n">
        <f aca="false">ROUNDUP(CK847+MAX(CL847,2*(J847/IF(CG847&gt;0,CG847,MAX(0.1,N(Cockpit!$C$6)))-CK847)),0)</f>
        <v>31</v>
      </c>
      <c r="AM847" s="51" t="n">
        <f aca="false">IF(AI847&gt;0,J847/AI847,-1)</f>
        <v>1.00869565217391</v>
      </c>
      <c r="AN847" s="51" t="n">
        <f aca="false">IF(AND(OR(CF847="L1",CF847="L23",CF847="LIFT"),AI847&gt;0),SUMIFS($AI$7:$AI$1843,$CF$7:$CF$1843,CF847,$AM$7:$AM$1843,"&gt;"&amp;AM847)+SUMIFS($AI$7:$AI$1843,$CF$7:$CF$1843,CF847,$AM$7:$AM$1843,AM847,$BW$7:$BW$1843,"&lt;="&amp;BW847),"")</f>
        <v>6988.9043040293</v>
      </c>
      <c r="AO847" s="58" t="n">
        <f aca="false">IF(AN847="",0,MAX(0,MIN(1,(IF(CF847="L1",Parameter!$H$5,IF(CF847="L23",Parameter!$H$6+Parameter!$H$7,Parameter!$H$5+Parameter!$H$6+Parameter!$H$7))-(AN847-AI847))/AI847)))</f>
        <v>1</v>
      </c>
      <c r="AP847" s="50" t="n">
        <f aca="false">IF(LEFT(Cockpit!$I$5,1)="A",H847,IF(Parameter!$E$30="MAX-Bestand",IF(CH847=1,CI847,IF(LEFT(Cockpit!$I$5,1)="B",AV847,MAX(AV847,H847))),ROUNDUP(AT847,0)))</f>
        <v>16</v>
      </c>
      <c r="AQ847" s="50" t="n">
        <f aca="false">IF(BZ847=1,0,ROUNDUP(AP847/BY847,0))</f>
        <v>1</v>
      </c>
      <c r="AR847" s="52" t="n">
        <f aca="false">IF(CQ847&gt;0,CQ847*MAX(1,AP847/X847),IF(BZ847=1,IF(AP847&lt;=0,0,CD847*MAX(1,IF(H847&gt;0,AP847/H847,1))),IF(R847&gt;0,AQ847/R847,0))/MAX(0.1,N(Parameter!$M$21)))</f>
        <v>0.0833333333333333</v>
      </c>
      <c r="AS847" s="50" t="n">
        <f aca="false">AR847*CB847</f>
        <v>28.75</v>
      </c>
      <c r="AT847" s="51" t="n">
        <f aca="false">IF(LEFT(Cockpit!$I$5,1)="A",H847,IF(CH847=1,(CK847+CI847)/2,IF(LEFT(Cockpit!$I$5,1)="B",(CK847+AV847)/2,MAX((CK847+AV847)/2,H847))))</f>
        <v>16</v>
      </c>
      <c r="AU847" s="50" t="n">
        <f aca="false">AT847*G847</f>
        <v>13.6</v>
      </c>
      <c r="AV847" s="50" t="n">
        <f aca="false">ROUNDUP(CK847+MAX(CL847,2*(J847/IF(CG847&gt;0,CG847,MAX(0.1,N(Cockpit!$I$6)))-CK847)),0)</f>
        <v>31</v>
      </c>
      <c r="AW847" s="51" t="n">
        <f aca="false">IF(AS847&gt;0,J847/AS847,-1)</f>
        <v>1.00869565217391</v>
      </c>
      <c r="AX847" s="51" t="n">
        <f aca="false">IF(AND(OR(CF847="L1",CF847="L23",CF847="LIFT"),AS847&gt;0),SUMIFS($AS$7:$AS$1843,$CF$7:$CF$1843,CF847,$AW$7:$AW$1843,"&gt;"&amp;AW847)+SUMIFS($AS$7:$AS$1843,$CF$7:$CF$1843,CF847,$AW$7:$AW$1843,AW847,$BW$7:$BW$1843,"&lt;="&amp;BW847),"")</f>
        <v>8363.56868131868</v>
      </c>
      <c r="AY847" s="58" t="n">
        <f aca="false">IF(AX847="",0,MAX(0,MIN(1,(IF(CF847="L1",Parameter!$H$5,IF(CF847="L23",Parameter!$H$6+Parameter!$H$7,Parameter!$H$5+Parameter!$H$6+Parameter!$H$7))-(AX847-AS847))/AS847)))</f>
        <v>1</v>
      </c>
      <c r="AZ847" s="50" t="n">
        <f aca="false">IF(LEFT(Cockpit!$O$5,1)="A",H847,IF(Parameter!$E$30="MAX-Bestand",IF(CH847=1,CI847,IF(LEFT(Cockpit!$O$5,1)="B",BF847,MAX(BF847,H847))),ROUNDUP(BD847,0)))</f>
        <v>16</v>
      </c>
      <c r="BA847" s="50" t="n">
        <f aca="false">IF(BZ847=1,0,ROUNDUP(AZ847/BY847,0))</f>
        <v>1</v>
      </c>
      <c r="BB847" s="52" t="n">
        <f aca="false">IF(CQ847&gt;0,CQ847*MAX(1,AZ847/X847),IF(BZ847=1,IF(AZ847&lt;=0,0,CD847*MAX(1,IF(H847&gt;0,AZ847/H847,1))),IF(R847&gt;0,BA847/R847,0))/MAX(0.1,N(Parameter!$M$21)))</f>
        <v>0.0833333333333333</v>
      </c>
      <c r="BC847" s="50" t="n">
        <f aca="false">BB847*CB847</f>
        <v>28.75</v>
      </c>
      <c r="BD847" s="51" t="n">
        <f aca="false">IF(LEFT(Cockpit!$O$5,1)="A",H847,IF(CH847=1,(CK847+CI847)/2,IF(LEFT(Cockpit!$O$5,1)="B",(CK847+BF847)/2,MAX((CK847+BF847)/2,H847))))</f>
        <v>16</v>
      </c>
      <c r="BE847" s="50" t="n">
        <f aca="false">BD847*G847</f>
        <v>13.6</v>
      </c>
      <c r="BF847" s="50" t="n">
        <f aca="false">ROUNDUP(CK847+MAX(CL847,2*(J847/IF(CG847&gt;0,CG847,MAX(0.1,N(Cockpit!$O$6)))-CK847)),0)</f>
        <v>31</v>
      </c>
      <c r="BG847" s="51" t="n">
        <f aca="false">IF(BC847&gt;0,J847/BC847,-1)</f>
        <v>1.00869565217391</v>
      </c>
      <c r="BH847" s="51" t="n">
        <f aca="false">IF(AND(OR(CF847="L1",CF847="L23",CF847="LIFT"),BC847&gt;0),SUMIFS($BC$7:$BC$1843,$CF$7:$CF$1843,CF847,$BG$7:$BG$1843,"&gt;"&amp;BG847)+SUMIFS($BC$7:$BC$1843,$CF$7:$CF$1843,CF847,$BG$7:$BG$1843,BG847,$BW$7:$BW$1843,"&lt;="&amp;BW847),"")</f>
        <v>7607.64331501832</v>
      </c>
      <c r="BI847" s="58" t="n">
        <f aca="false">IF(BH847="",0,MAX(0,MIN(1,(IF(CF847="L1",Parameter!$H$5,IF(CF847="L23",Parameter!$H$6+Parameter!$H$7,Parameter!$H$5+Parameter!$H$6+Parameter!$H$7))-(BH847-BC847))/BC847)))</f>
        <v>1</v>
      </c>
      <c r="BJ847" s="48" t="str">
        <f aca="false">IF(AI847&lt;=0,"",IF(CF847="Aussen","Aussenlager",IF(CF847="-","Nicht im Lift",IF(AO847&gt;=1,"Lift",IF(AO847&lt;=0,"Aussenlager","teilweise")))))</f>
        <v>Lift</v>
      </c>
      <c r="BK847" s="48" t="str">
        <f aca="false">IF(AS847&lt;=0,"",IF(CF847="Aussen","Aussenlager",IF(CF847="-","Nicht im Lift",IF(AY847&gt;=1,"Lift",IF(AY847&lt;=0,"Aussenlager","teilweise")))))</f>
        <v>Lift</v>
      </c>
      <c r="BL847" s="48" t="str">
        <f aca="false">IF(BC847&lt;=0,"",IF(CF847="Aussen","Aussenlager",IF(CF847="-","Nicht im Lift",IF(BI847&gt;=1,"Lift",IF(BI847&lt;=0,"Aussenlager","teilweise")))))</f>
        <v>Lift</v>
      </c>
      <c r="BM847" s="48" t="str">
        <f aca="false">IF(A847="","",IF(BV847=1,"Neu; ","")&amp;IF(AND(BV847=0,BQ847&lt;0),"negativer Bestand (Export "&amp;BQ847&amp;"); ","")&amp;IF(J847&lt;=0,"Kein Verbrauch; ","")&amp;IF(CQ847&gt;0,"Lift "&amp;W847&amp;" lt. Liftbericht (Fach "&amp;X847&amp;" Stk); ",IF(CA847=1,"Gebinde geschätzt ("&amp;T847&amp;"); ",IF(BZ847=1,"Lose – Tablare geschätzt; ","")))&amp;IF(H847&gt;AV847,"Überbestand "&amp;ROUND(H847-AV847,0)&amp;" Stk / CHF "&amp;ROUND((H847-AV847)*G847,0)&amp;"; ","")&amp;IF(AND(CH847=1,CI847&lt;CJ847),"MAX &lt; MB+LG; ","")&amp;IF(AND(CP847&gt;0,CO847*10&gt;CP847),"zu hoch für Tablar; ","")&amp;IF(AND(BV847=0,OR(CH847=1,AA847&lt;&gt;"",U847&lt;&gt;"",V847&lt;&gt;"",AB847&lt;&gt;"")),"manuell übersteuert; ","")&amp;IF(AND(BZ847=0,R847=0),"Gebinde unbekannt / Stellmass fehlt; ","")&amp;IF(AND(BZ847=0,N(V847)&lt;=0,N(Q847)&lt;=0),"Menge pro Gebinde fehlt (Ist = 1 Gebinde); ","")&amp;BU847)</f>
        <v>negativer Bestand (Export -22); </v>
      </c>
      <c r="BN847" s="48"/>
      <c r="BO847" s="48"/>
      <c r="BP847" s="55"/>
      <c r="BQ847" s="50" t="n">
        <v>-22</v>
      </c>
      <c r="BR847" s="50" t="n">
        <v>31</v>
      </c>
      <c r="BS847" s="49" t="n">
        <v>-15.91</v>
      </c>
      <c r="BT847" s="50" t="n">
        <v>29</v>
      </c>
      <c r="BU847" s="48"/>
      <c r="BV847" s="53" t="n">
        <v>0</v>
      </c>
      <c r="BW847" s="53" t="n">
        <v>847</v>
      </c>
      <c r="BX847" s="48" t="str">
        <f aca="false">IF(U847&lt;&gt;"",UPPER(TRIM(U847)),IF(CA847=1,UPPER(VLOOKUP(T847,Parameter!$I$27:$K$29,2,0)),IF(P847="","LOSE",P847)))</f>
        <v>S63</v>
      </c>
      <c r="BY847" s="50" t="n">
        <f aca="false">IF(BX847="LOSE",1,IF(N(V847)&gt;0,V847,IF(CA847=1,MAX(1,N(VLOOKUP(T847,Parameter!$I$27:$K$29,3,0)),H847,N(N847)),IF(N(Q847)&gt;0,Q847,MAX(1,H847)))))</f>
        <v>65</v>
      </c>
      <c r="BZ847" s="53" t="n">
        <f aca="false">IF(BX847="LOSE",1,0)</f>
        <v>0</v>
      </c>
      <c r="CA847" s="53" t="n">
        <f aca="false">IF(AND(U847="",OR(P847="",P847="LOSE"),T847&lt;&gt;"",N(S847)&lt;=0,ISNUMBER(MATCH(T847,Parameter!$I$27:$I$29,0))),1,0)</f>
        <v>0</v>
      </c>
      <c r="CB847" s="53" t="n">
        <f aca="false">IF(CQ847&gt;0,INDEX(Parameter!$H$5:$H$7,W847)/INDEX(Parameter!$E$5:$E$7,W847),IF(AND(BZ847=0,N(IFERROR(VLOOKUP(BX847,'Gebinde-Kategorie'!$A$5:$N$45,14,0),0))&gt;0),VLOOKUP(BX847,'Gebinde-Kategorie'!$A$5:$N$45,14,0)*10+Parameter!$M$23,Parameter!$M$24))</f>
        <v>345</v>
      </c>
      <c r="CC847" s="48" t="str">
        <f aca="false">IF(AND(Parameter!$B$19="Ja",E847&lt;&gt;"",ISNUMBER(MATCH(E847,Parameter!$I$35:$I$52,0))),VLOOKUP(E847,Parameter!$I$35:$J$52,2,0),IFERROR(VLOOKUP(D847,Parameter!$A$35:$C$64,2,0),"Nein"))</f>
        <v>2+3</v>
      </c>
      <c r="CD847" s="52" t="n">
        <f aca="false">IF(BZ847=0,0,IF(N(S847)&gt;0,S847,IFERROR(VLOOKUP(D847,Parameter!$A$35:$C$64,3,0)+0,0)))</f>
        <v>0</v>
      </c>
      <c r="CE847" s="48" t="n">
        <f aca="false">IF(AA847&lt;&gt;"",AA847,Z847)</f>
        <v>2</v>
      </c>
      <c r="CF847" s="48" t="str">
        <f aca="false">IF(OR(CE847=1,CE847=2,CE847=3),IF(Parameter!$E$27="Ja","LIFT",IF(CE847=1,"L1","L23")),IF(CE847="Aussen","Aussen","-"))</f>
        <v>LIFT</v>
      </c>
      <c r="CG847" s="59" t="n">
        <f aca="false">IF(N(AB847)&gt;0,AB847,0)</f>
        <v>0</v>
      </c>
      <c r="CH847" s="53" t="n">
        <f aca="false">IF(ISNUMBER(AE847),1,0)</f>
        <v>0</v>
      </c>
      <c r="CI847" s="50" t="n">
        <f aca="false">N(AE847)</f>
        <v>0</v>
      </c>
      <c r="CJ847" s="50" t="n">
        <f aca="false">N(M847)+N(N847)</f>
        <v>31</v>
      </c>
      <c r="CK847" s="50" t="n">
        <f aca="false">N(M847)</f>
        <v>1</v>
      </c>
      <c r="CL847" s="50" t="n">
        <f aca="false">N(N847)</f>
        <v>30</v>
      </c>
      <c r="CM847" s="50" t="n">
        <f aca="false">ROUNDUP(H847/BY847,0)</f>
        <v>1</v>
      </c>
      <c r="CN847" s="50" t="n">
        <f aca="false">ROUNDUP(CI847/BY847,0)</f>
        <v>0</v>
      </c>
      <c r="CO847" s="53" t="n">
        <f aca="false">IF(BZ847=1,0,IFERROR(VLOOKUP(BX847,'Gebinde-Kategorie'!$A$5:$N$45,5,0)+0,0))</f>
        <v>31</v>
      </c>
      <c r="CP847" s="53" t="n">
        <f aca="false">IFERROR(IF(OR(CE847=1,CE847=2,CE847=3),N(INDEX(Parameter!$I$5:$I$7,CE847)),0),0)</f>
        <v>0</v>
      </c>
      <c r="CQ847" s="52" t="n">
        <f aca="false">IF(AND(Parameter!$B$21="Ja",ISNUMBER(W847),N(X847)&gt;0),IFERROR(N(INDEX(Parameter!$L$5:$L$7,W847))*INDEX(Parameter!$E$5:$E$7,W847)*X847/SUMIFS($X$7:$X$1843,$W$7:$W$1843,W847),0),0)</f>
        <v>0</v>
      </c>
    </row>
    <row r="848" customFormat="false" ht="15" hidden="false" customHeight="false" outlineLevel="0" collapsed="false">
      <c r="A848" s="48" t="s">
        <v>1629</v>
      </c>
      <c r="B848" s="48" t="s">
        <v>414</v>
      </c>
      <c r="C848" s="48" t="s">
        <v>173</v>
      </c>
      <c r="D848" s="48" t="s">
        <v>193</v>
      </c>
      <c r="E848" s="48" t="s">
        <v>194</v>
      </c>
      <c r="F848" s="48" t="s">
        <v>227</v>
      </c>
      <c r="G848" s="49" t="n">
        <v>0.37</v>
      </c>
      <c r="H848" s="50" t="n">
        <f aca="false">MAX(0,IF(AND(Parameter!$B$21="Ja",ISNUMBER(Y848)),Y848,IF(Parameter!$B$20="Jahresanfang 2025 + Export",BR848+BQ848,BQ848)))</f>
        <v>737</v>
      </c>
      <c r="I848" s="50" t="n">
        <f aca="false">H848*G848</f>
        <v>272.69</v>
      </c>
      <c r="J848" s="50" t="n">
        <f aca="false">BT848*Parameter!$B$18</f>
        <v>48</v>
      </c>
      <c r="K848" s="51" t="n">
        <v>758.5</v>
      </c>
      <c r="L848" s="52" t="n">
        <v>0.0632827949901121</v>
      </c>
      <c r="M848" s="50" t="n">
        <v>1</v>
      </c>
      <c r="N848" s="50" t="n">
        <v>50</v>
      </c>
      <c r="O848" s="53" t="n">
        <v>14</v>
      </c>
      <c r="P848" s="48" t="s">
        <v>235</v>
      </c>
      <c r="Q848" s="50" t="n">
        <v>601</v>
      </c>
      <c r="R848" s="53" t="n">
        <f aca="false">IF(BZ848=1,0,IFERROR(VLOOKUP(BX848,'Gebinde-Kategorie'!$A$5:$N$45,13,0)+0,0))</f>
        <v>12</v>
      </c>
      <c r="S848" s="54"/>
      <c r="T848" s="55"/>
      <c r="U848" s="55"/>
      <c r="V848" s="55"/>
      <c r="W848" s="48"/>
      <c r="X848" s="50"/>
      <c r="Y848" s="50"/>
      <c r="Z848" s="48" t="n">
        <f aca="false">IF(A848="","",IF(AND(Parameter!$B$21="Ja",ISNUMBER(W848)),W848,IF(CC848="2+3",IF(ISNUMBER(SEARCH("grosser Artikel",BU848)),2,IFERROR(VLOOKUP(BX848,Parameter!$F$35:$G$64,2,0),2)),IF(OR(CC848="Nein",CC848=""),"-",CC848))))</f>
        <v>2</v>
      </c>
      <c r="AA848" s="55"/>
      <c r="AB848" s="56"/>
      <c r="AC848" s="50" t="n">
        <f aca="false">AV848</f>
        <v>51</v>
      </c>
      <c r="AD848" s="50" t="n">
        <f aca="false">MAX(AV848,H848)</f>
        <v>737</v>
      </c>
      <c r="AE848" s="57"/>
      <c r="AF848" s="50" t="n">
        <f aca="false">IF(LEFT(Cockpit!$C$5,1)="A",H848,IF(Parameter!$E$30="MAX-Bestand",IF(CH848=1,CI848,IF(LEFT(Cockpit!$C$5,1)="B",AL848,MAX(AL848,H848))),ROUNDUP(AJ848,0)))</f>
        <v>737</v>
      </c>
      <c r="AG848" s="50" t="n">
        <f aca="false">IF(BZ848=1,0,ROUNDUP(AF848/BY848,0))</f>
        <v>2</v>
      </c>
      <c r="AH848" s="52" t="n">
        <f aca="false">IF(CQ848&gt;0,CQ848*MAX(1,AF848/X848),IF(BZ848=1,IF(AF848&lt;=0,0,CD848*MAX(1,IF(H848&gt;0,AF848/H848,1))),IF(R848&gt;0,AG848/R848,0))/MAX(0.1,N(Parameter!$M$21)))</f>
        <v>0.166666666666667</v>
      </c>
      <c r="AI848" s="50" t="n">
        <f aca="false">AH848*CB848</f>
        <v>57.5</v>
      </c>
      <c r="AJ848" s="51" t="n">
        <f aca="false">IF(LEFT(Cockpit!$C$5,1)="A",H848,IF(CH848=1,(CK848+CI848)/2,IF(LEFT(Cockpit!$C$5,1)="B",(CK848+AL848)/2,MAX((CK848+AL848)/2,H848))))</f>
        <v>737</v>
      </c>
      <c r="AK848" s="50" t="n">
        <f aca="false">AJ848*G848</f>
        <v>272.69</v>
      </c>
      <c r="AL848" s="50" t="n">
        <f aca="false">ROUNDUP(CK848+MAX(CL848,2*(J848/IF(CG848&gt;0,CG848,MAX(0.1,N(Cockpit!$C$6)))-CK848)),0)</f>
        <v>51</v>
      </c>
      <c r="AM848" s="51" t="n">
        <f aca="false">IF(AI848&gt;0,J848/AI848,-1)</f>
        <v>0.834782608695652</v>
      </c>
      <c r="AN848" s="51" t="n">
        <f aca="false">IF(AND(OR(CF848="L1",CF848="L23",CF848="LIFT"),AI848&gt;0),SUMIFS($AI$7:$AI$1843,$CF$7:$CF$1843,CF848,$AM$7:$AM$1843,"&gt;"&amp;AM848)+SUMIFS($AI$7:$AI$1843,$CF$7:$CF$1843,CF848,$AM$7:$AM$1843,AM848,$BW$7:$BW$1843,"&lt;="&amp;BW848),"")</f>
        <v>7954.125</v>
      </c>
      <c r="AO848" s="58" t="n">
        <f aca="false">IF(AN848="",0,MAX(0,MIN(1,(IF(CF848="L1",Parameter!$H$5,IF(CF848="L23",Parameter!$H$6+Parameter!$H$7,Parameter!$H$5+Parameter!$H$6+Parameter!$H$7))-(AN848-AI848))/AI848)))</f>
        <v>1</v>
      </c>
      <c r="AP848" s="50" t="n">
        <f aca="false">IF(LEFT(Cockpit!$I$5,1)="A",H848,IF(Parameter!$E$30="MAX-Bestand",IF(CH848=1,CI848,IF(LEFT(Cockpit!$I$5,1)="B",AV848,MAX(AV848,H848))),ROUNDUP(AT848,0)))</f>
        <v>737</v>
      </c>
      <c r="AQ848" s="50" t="n">
        <f aca="false">IF(BZ848=1,0,ROUNDUP(AP848/BY848,0))</f>
        <v>2</v>
      </c>
      <c r="AR848" s="52" t="n">
        <f aca="false">IF(CQ848&gt;0,CQ848*MAX(1,AP848/X848),IF(BZ848=1,IF(AP848&lt;=0,0,CD848*MAX(1,IF(H848&gt;0,AP848/H848,1))),IF(R848&gt;0,AQ848/R848,0))/MAX(0.1,N(Parameter!$M$21)))</f>
        <v>0.166666666666667</v>
      </c>
      <c r="AS848" s="50" t="n">
        <f aca="false">AR848*CB848</f>
        <v>57.5</v>
      </c>
      <c r="AT848" s="51" t="n">
        <f aca="false">IF(LEFT(Cockpit!$I$5,1)="A",H848,IF(CH848=1,(CK848+CI848)/2,IF(LEFT(Cockpit!$I$5,1)="B",(CK848+AV848)/2,MAX((CK848+AV848)/2,H848))))</f>
        <v>737</v>
      </c>
      <c r="AU848" s="50" t="n">
        <f aca="false">AT848*G848</f>
        <v>272.69</v>
      </c>
      <c r="AV848" s="50" t="n">
        <f aca="false">ROUNDUP(CK848+MAX(CL848,2*(J848/IF(CG848&gt;0,CG848,MAX(0.1,N(Cockpit!$I$6)))-CK848)),0)</f>
        <v>51</v>
      </c>
      <c r="AW848" s="51" t="n">
        <f aca="false">IF(AS848&gt;0,J848/AS848,-1)</f>
        <v>0.834782608695652</v>
      </c>
      <c r="AX848" s="51" t="n">
        <f aca="false">IF(AND(OR(CF848="L1",CF848="L23",CF848="LIFT"),AS848&gt;0),SUMIFS($AS$7:$AS$1843,$CF$7:$CF$1843,CF848,$AW$7:$AW$1843,"&gt;"&amp;AW848)+SUMIFS($AS$7:$AS$1843,$CF$7:$CF$1843,CF848,$AW$7:$AW$1843,AW848,$BW$7:$BW$1843,"&lt;="&amp;BW848),"")</f>
        <v>9709.52655677656</v>
      </c>
      <c r="AY848" s="58" t="n">
        <f aca="false">IF(AX848="",0,MAX(0,MIN(1,(IF(CF848="L1",Parameter!$H$5,IF(CF848="L23",Parameter!$H$6+Parameter!$H$7,Parameter!$H$5+Parameter!$H$6+Parameter!$H$7))-(AX848-AS848))/AS848)))</f>
        <v>1</v>
      </c>
      <c r="AZ848" s="50" t="n">
        <f aca="false">IF(LEFT(Cockpit!$O$5,1)="A",H848,IF(Parameter!$E$30="MAX-Bestand",IF(CH848=1,CI848,IF(LEFT(Cockpit!$O$5,1)="B",BF848,MAX(BF848,H848))),ROUNDUP(BD848,0)))</f>
        <v>26</v>
      </c>
      <c r="BA848" s="50" t="n">
        <f aca="false">IF(BZ848=1,0,ROUNDUP(AZ848/BY848,0))</f>
        <v>1</v>
      </c>
      <c r="BB848" s="52" t="n">
        <f aca="false">IF(CQ848&gt;0,CQ848*MAX(1,AZ848/X848),IF(BZ848=1,IF(AZ848&lt;=0,0,CD848*MAX(1,IF(H848&gt;0,AZ848/H848,1))),IF(R848&gt;0,BA848/R848,0))/MAX(0.1,N(Parameter!$M$21)))</f>
        <v>0.0833333333333333</v>
      </c>
      <c r="BC848" s="50" t="n">
        <f aca="false">BB848*CB848</f>
        <v>28.75</v>
      </c>
      <c r="BD848" s="51" t="n">
        <f aca="false">IF(LEFT(Cockpit!$O$5,1)="A",H848,IF(CH848=1,(CK848+CI848)/2,IF(LEFT(Cockpit!$O$5,1)="B",(CK848+BF848)/2,MAX((CK848+BF848)/2,H848))))</f>
        <v>26</v>
      </c>
      <c r="BE848" s="50" t="n">
        <f aca="false">BD848*G848</f>
        <v>9.62</v>
      </c>
      <c r="BF848" s="50" t="n">
        <f aca="false">ROUNDUP(CK848+MAX(CL848,2*(J848/IF(CG848&gt;0,CG848,MAX(0.1,N(Cockpit!$O$6)))-CK848)),0)</f>
        <v>51</v>
      </c>
      <c r="BG848" s="51" t="n">
        <f aca="false">IF(BC848&gt;0,J848/BC848,-1)</f>
        <v>1.6695652173913</v>
      </c>
      <c r="BH848" s="51" t="n">
        <f aca="false">IF(AND(OR(CF848="L1",CF848="L23",CF848="LIFT"),BC848&gt;0),SUMIFS($BC$7:$BC$1843,$CF$7:$CF$1843,CF848,$BG$7:$BG$1843,"&gt;"&amp;BG848)+SUMIFS($BC$7:$BC$1843,$CF$7:$CF$1843,CF848,$BG$7:$BG$1843,BG848,$BW$7:$BW$1843,"&lt;="&amp;BW848),"")</f>
        <v>6347.2586996337</v>
      </c>
      <c r="BI848" s="58" t="n">
        <f aca="false">IF(BH848="",0,MAX(0,MIN(1,(IF(CF848="L1",Parameter!$H$5,IF(CF848="L23",Parameter!$H$6+Parameter!$H$7,Parameter!$H$5+Parameter!$H$6+Parameter!$H$7))-(BH848-BC848))/BC848)))</f>
        <v>1</v>
      </c>
      <c r="BJ848" s="48" t="str">
        <f aca="false">IF(AI848&lt;=0,"",IF(CF848="Aussen","Aussenlager",IF(CF848="-","Nicht im Lift",IF(AO848&gt;=1,"Lift",IF(AO848&lt;=0,"Aussenlager","teilweise")))))</f>
        <v>Lift</v>
      </c>
      <c r="BK848" s="48" t="str">
        <f aca="false">IF(AS848&lt;=0,"",IF(CF848="Aussen","Aussenlager",IF(CF848="-","Nicht im Lift",IF(AY848&gt;=1,"Lift",IF(AY848&lt;=0,"Aussenlager","teilweise")))))</f>
        <v>Lift</v>
      </c>
      <c r="BL848" s="48" t="str">
        <f aca="false">IF(BC848&lt;=0,"",IF(CF848="Aussen","Aussenlager",IF(CF848="-","Nicht im Lift",IF(BI848&gt;=1,"Lift",IF(BI848&lt;=0,"Aussenlager","teilweise")))))</f>
        <v>Lift</v>
      </c>
      <c r="BM848" s="48" t="str">
        <f aca="false">IF(A848="","",IF(BV848=1,"Neu; ","")&amp;IF(AND(BV848=0,BQ848&lt;0),"negativer Bestand (Export "&amp;BQ848&amp;"); ","")&amp;IF(J848&lt;=0,"Kein Verbrauch; ","")&amp;IF(CQ848&gt;0,"Lift "&amp;W848&amp;" lt. Liftbericht (Fach "&amp;X848&amp;" Stk); ",IF(CA848=1,"Gebinde geschätzt ("&amp;T848&amp;"); ",IF(BZ848=1,"Lose – Tablare geschätzt; ","")))&amp;IF(H848&gt;AV848,"Überbestand "&amp;ROUND(H848-AV848,0)&amp;" Stk / CHF "&amp;ROUND((H848-AV848)*G848,0)&amp;"; ","")&amp;IF(AND(CH848=1,CI848&lt;CJ848),"MAX &lt; MB+LG; ","")&amp;IF(AND(CP848&gt;0,CO848*10&gt;CP848),"zu hoch für Tablar; ","")&amp;IF(AND(BV848=0,OR(CH848=1,AA848&lt;&gt;"",U848&lt;&gt;"",V848&lt;&gt;"",AB848&lt;&gt;"")),"manuell übersteuert; ","")&amp;IF(AND(BZ848=0,R848=0),"Gebinde unbekannt / Stellmass fehlt; ","")&amp;IF(AND(BZ848=0,N(V848)&lt;=0,N(Q848)&lt;=0),"Menge pro Gebinde fehlt (Ist = 1 Gebinde); ","")&amp;BU848)</f>
        <v>negativer Bestand (Export -43); Überbestand 686 Stk / CHF 254; Überbestand</v>
      </c>
      <c r="BN848" s="48"/>
      <c r="BO848" s="48"/>
      <c r="BP848" s="55"/>
      <c r="BQ848" s="50" t="n">
        <v>-43</v>
      </c>
      <c r="BR848" s="50" t="n">
        <v>780</v>
      </c>
      <c r="BS848" s="49" t="n">
        <v>-15.91</v>
      </c>
      <c r="BT848" s="50" t="n">
        <v>48</v>
      </c>
      <c r="BU848" s="48" t="s">
        <v>401</v>
      </c>
      <c r="BV848" s="53" t="n">
        <v>0</v>
      </c>
      <c r="BW848" s="53" t="n">
        <v>848</v>
      </c>
      <c r="BX848" s="48" t="str">
        <f aca="false">IF(U848&lt;&gt;"",UPPER(TRIM(U848)),IF(CA848=1,UPPER(VLOOKUP(T848,Parameter!$I$27:$K$29,2,0)),IF(P848="","LOSE",P848)))</f>
        <v>S63</v>
      </c>
      <c r="BY848" s="50" t="n">
        <f aca="false">IF(BX848="LOSE",1,IF(N(V848)&gt;0,V848,IF(CA848=1,MAX(1,N(VLOOKUP(T848,Parameter!$I$27:$K$29,3,0)),H848,N(N848)),IF(N(Q848)&gt;0,Q848,MAX(1,H848)))))</f>
        <v>601</v>
      </c>
      <c r="BZ848" s="53" t="n">
        <f aca="false">IF(BX848="LOSE",1,0)</f>
        <v>0</v>
      </c>
      <c r="CA848" s="53" t="n">
        <f aca="false">IF(AND(U848="",OR(P848="",P848="LOSE"),T848&lt;&gt;"",N(S848)&lt;=0,ISNUMBER(MATCH(T848,Parameter!$I$27:$I$29,0))),1,0)</f>
        <v>0</v>
      </c>
      <c r="CB848" s="53" t="n">
        <f aca="false">IF(CQ848&gt;0,INDEX(Parameter!$H$5:$H$7,W848)/INDEX(Parameter!$E$5:$E$7,W848),IF(AND(BZ848=0,N(IFERROR(VLOOKUP(BX848,'Gebinde-Kategorie'!$A$5:$N$45,14,0),0))&gt;0),VLOOKUP(BX848,'Gebinde-Kategorie'!$A$5:$N$45,14,0)*10+Parameter!$M$23,Parameter!$M$24))</f>
        <v>345</v>
      </c>
      <c r="CC848" s="48" t="str">
        <f aca="false">IF(AND(Parameter!$B$19="Ja",E848&lt;&gt;"",ISNUMBER(MATCH(E848,Parameter!$I$35:$I$52,0))),VLOOKUP(E848,Parameter!$I$35:$J$52,2,0),IFERROR(VLOOKUP(D848,Parameter!$A$35:$C$64,2,0),"Nein"))</f>
        <v>2+3</v>
      </c>
      <c r="CD848" s="52" t="n">
        <f aca="false">IF(BZ848=0,0,IF(N(S848)&gt;0,S848,IFERROR(VLOOKUP(D848,Parameter!$A$35:$C$64,3,0)+0,0)))</f>
        <v>0</v>
      </c>
      <c r="CE848" s="48" t="n">
        <f aca="false">IF(AA848&lt;&gt;"",AA848,Z848)</f>
        <v>2</v>
      </c>
      <c r="CF848" s="48" t="str">
        <f aca="false">IF(OR(CE848=1,CE848=2,CE848=3),IF(Parameter!$E$27="Ja","LIFT",IF(CE848=1,"L1","L23")),IF(CE848="Aussen","Aussen","-"))</f>
        <v>LIFT</v>
      </c>
      <c r="CG848" s="59" t="n">
        <f aca="false">IF(N(AB848)&gt;0,AB848,0)</f>
        <v>0</v>
      </c>
      <c r="CH848" s="53" t="n">
        <f aca="false">IF(ISNUMBER(AE848),1,0)</f>
        <v>0</v>
      </c>
      <c r="CI848" s="50" t="n">
        <f aca="false">N(AE848)</f>
        <v>0</v>
      </c>
      <c r="CJ848" s="50" t="n">
        <f aca="false">N(M848)+N(N848)</f>
        <v>51</v>
      </c>
      <c r="CK848" s="50" t="n">
        <f aca="false">N(M848)</f>
        <v>1</v>
      </c>
      <c r="CL848" s="50" t="n">
        <f aca="false">N(N848)</f>
        <v>50</v>
      </c>
      <c r="CM848" s="50" t="n">
        <f aca="false">ROUNDUP(H848/BY848,0)</f>
        <v>2</v>
      </c>
      <c r="CN848" s="50" t="n">
        <f aca="false">ROUNDUP(CI848/BY848,0)</f>
        <v>0</v>
      </c>
      <c r="CO848" s="53" t="n">
        <f aca="false">IF(BZ848=1,0,IFERROR(VLOOKUP(BX848,'Gebinde-Kategorie'!$A$5:$N$45,5,0)+0,0))</f>
        <v>31</v>
      </c>
      <c r="CP848" s="53" t="n">
        <f aca="false">IFERROR(IF(OR(CE848=1,CE848=2,CE848=3),N(INDEX(Parameter!$I$5:$I$7,CE848)),0),0)</f>
        <v>0</v>
      </c>
      <c r="CQ848" s="52" t="n">
        <f aca="false">IF(AND(Parameter!$B$21="Ja",ISNUMBER(W848),N(X848)&gt;0),IFERROR(N(INDEX(Parameter!$L$5:$L$7,W848))*INDEX(Parameter!$E$5:$E$7,W848)*X848/SUMIFS($X$7:$X$1843,$W$7:$W$1843,W848),0),0)</f>
        <v>0</v>
      </c>
    </row>
    <row r="849" customFormat="false" ht="15" hidden="false" customHeight="false" outlineLevel="0" collapsed="false">
      <c r="A849" s="48" t="s">
        <v>1630</v>
      </c>
      <c r="B849" s="48" t="s">
        <v>383</v>
      </c>
      <c r="C849" s="48" t="s">
        <v>173</v>
      </c>
      <c r="D849" s="48" t="s">
        <v>193</v>
      </c>
      <c r="E849" s="48" t="s">
        <v>194</v>
      </c>
      <c r="F849" s="48" t="s">
        <v>227</v>
      </c>
      <c r="G849" s="49" t="n">
        <v>2.55</v>
      </c>
      <c r="H849" s="50" t="n">
        <f aca="false">MAX(0,IF(AND(Parameter!$B$21="Ja",ISNUMBER(Y849)),Y849,IF(Parameter!$B$20="Jahresanfang 2025 + Export",BR849+BQ849,BQ849)))</f>
        <v>29</v>
      </c>
      <c r="I849" s="50" t="n">
        <f aca="false">H849*G849</f>
        <v>73.95</v>
      </c>
      <c r="J849" s="50" t="n">
        <f aca="false">BT849*Parameter!$B$18</f>
        <v>54</v>
      </c>
      <c r="K849" s="51" t="n">
        <v>58.5</v>
      </c>
      <c r="L849" s="52" t="n">
        <v>0.923076923076923</v>
      </c>
      <c r="M849" s="50" t="n">
        <v>2</v>
      </c>
      <c r="N849" s="50" t="n">
        <v>55</v>
      </c>
      <c r="O849" s="53" t="n">
        <v>14</v>
      </c>
      <c r="P849" s="48" t="s">
        <v>430</v>
      </c>
      <c r="Q849" s="50" t="n">
        <v>46</v>
      </c>
      <c r="R849" s="53" t="n">
        <f aca="false">IF(BZ849=1,0,IFERROR(VLOOKUP(BX849,'Gebinde-Kategorie'!$A$5:$N$45,13,0)+0,0))</f>
        <v>104</v>
      </c>
      <c r="S849" s="54"/>
      <c r="T849" s="55"/>
      <c r="U849" s="55"/>
      <c r="V849" s="55"/>
      <c r="W849" s="48"/>
      <c r="X849" s="50"/>
      <c r="Y849" s="50"/>
      <c r="Z849" s="48" t="n">
        <f aca="false">IF(A849="","",IF(AND(Parameter!$B$21="Ja",ISNUMBER(W849)),W849,IF(CC849="2+3",IF(ISNUMBER(SEARCH("grosser Artikel",BU849)),2,IFERROR(VLOOKUP(BX849,Parameter!$F$35:$G$64,2,0),2)),IF(OR(CC849="Nein",CC849=""),"-",CC849))))</f>
        <v>3</v>
      </c>
      <c r="AA849" s="55"/>
      <c r="AB849" s="56"/>
      <c r="AC849" s="50" t="n">
        <f aca="false">AV849</f>
        <v>57</v>
      </c>
      <c r="AD849" s="50" t="n">
        <f aca="false">MAX(AV849,H849)</f>
        <v>57</v>
      </c>
      <c r="AE849" s="57"/>
      <c r="AF849" s="50" t="n">
        <f aca="false">IF(LEFT(Cockpit!$C$5,1)="A",H849,IF(Parameter!$E$30="MAX-Bestand",IF(CH849=1,CI849,IF(LEFT(Cockpit!$C$5,1)="B",AL849,MAX(AL849,H849))),ROUNDUP(AJ849,0)))</f>
        <v>29</v>
      </c>
      <c r="AG849" s="50" t="n">
        <f aca="false">IF(BZ849=1,0,ROUNDUP(AF849/BY849,0))</f>
        <v>1</v>
      </c>
      <c r="AH849" s="52" t="n">
        <f aca="false">IF(CQ849&gt;0,CQ849*MAX(1,AF849/X849),IF(BZ849=1,IF(AF849&lt;=0,0,CD849*MAX(1,IF(H849&gt;0,AF849/H849,1))),IF(R849&gt;0,AG849/R849,0))/MAX(0.1,N(Parameter!$M$21)))</f>
        <v>0.00961538461538462</v>
      </c>
      <c r="AI849" s="50" t="n">
        <f aca="false">AH849*CB849</f>
        <v>1.49038461538462</v>
      </c>
      <c r="AJ849" s="51" t="n">
        <f aca="false">IF(LEFT(Cockpit!$C$5,1)="A",H849,IF(CH849=1,(CK849+CI849)/2,IF(LEFT(Cockpit!$C$5,1)="B",(CK849+AL849)/2,MAX((CK849+AL849)/2,H849))))</f>
        <v>29</v>
      </c>
      <c r="AK849" s="50" t="n">
        <f aca="false">AJ849*G849</f>
        <v>73.95</v>
      </c>
      <c r="AL849" s="50" t="n">
        <f aca="false">ROUNDUP(CK849+MAX(CL849,2*(J849/IF(CG849&gt;0,CG849,MAX(0.1,N(Cockpit!$C$6)))-CK849)),0)</f>
        <v>57</v>
      </c>
      <c r="AM849" s="51" t="n">
        <f aca="false">IF(AI849&gt;0,J849/AI849,-1)</f>
        <v>36.2322580645161</v>
      </c>
      <c r="AN849" s="51" t="n">
        <f aca="false">IF(AND(OR(CF849="L1",CF849="L23",CF849="LIFT"),AI849&gt;0),SUMIFS($AI$7:$AI$1843,$CF$7:$CF$1843,CF849,$AM$7:$AM$1843,"&gt;"&amp;AM849)+SUMIFS($AI$7:$AI$1843,$CF$7:$CF$1843,CF849,$AM$7:$AM$1843,AM849,$BW$7:$BW$1843,"&lt;="&amp;BW849),"")</f>
        <v>1282.19230769231</v>
      </c>
      <c r="AO849" s="58" t="n">
        <f aca="false">IF(AN849="",0,MAX(0,MIN(1,(IF(CF849="L1",Parameter!$H$5,IF(CF849="L23",Parameter!$H$6+Parameter!$H$7,Parameter!$H$5+Parameter!$H$6+Parameter!$H$7))-(AN849-AI849))/AI849)))</f>
        <v>1</v>
      </c>
      <c r="AP849" s="50" t="n">
        <f aca="false">IF(LEFT(Cockpit!$I$5,1)="A",H849,IF(Parameter!$E$30="MAX-Bestand",IF(CH849=1,CI849,IF(LEFT(Cockpit!$I$5,1)="B",AV849,MAX(AV849,H849))),ROUNDUP(AT849,0)))</f>
        <v>30</v>
      </c>
      <c r="AQ849" s="50" t="n">
        <f aca="false">IF(BZ849=1,0,ROUNDUP(AP849/BY849,0))</f>
        <v>1</v>
      </c>
      <c r="AR849" s="52" t="n">
        <f aca="false">IF(CQ849&gt;0,CQ849*MAX(1,AP849/X849),IF(BZ849=1,IF(AP849&lt;=0,0,CD849*MAX(1,IF(H849&gt;0,AP849/H849,1))),IF(R849&gt;0,AQ849/R849,0))/MAX(0.1,N(Parameter!$M$21)))</f>
        <v>0.00961538461538462</v>
      </c>
      <c r="AS849" s="50" t="n">
        <f aca="false">AR849*CB849</f>
        <v>1.49038461538462</v>
      </c>
      <c r="AT849" s="51" t="n">
        <f aca="false">IF(LEFT(Cockpit!$I$5,1)="A",H849,IF(CH849=1,(CK849+CI849)/2,IF(LEFT(Cockpit!$I$5,1)="B",(CK849+AV849)/2,MAX((CK849+AV849)/2,H849))))</f>
        <v>29.5</v>
      </c>
      <c r="AU849" s="50" t="n">
        <f aca="false">AT849*G849</f>
        <v>75.225</v>
      </c>
      <c r="AV849" s="50" t="n">
        <f aca="false">ROUNDUP(CK849+MAX(CL849,2*(J849/IF(CG849&gt;0,CG849,MAX(0.1,N(Cockpit!$I$6)))-CK849)),0)</f>
        <v>57</v>
      </c>
      <c r="AW849" s="51" t="n">
        <f aca="false">IF(AS849&gt;0,J849/AS849,-1)</f>
        <v>36.2322580645161</v>
      </c>
      <c r="AX849" s="51" t="n">
        <f aca="false">IF(AND(OR(CF849="L1",CF849="L23",CF849="LIFT"),AS849&gt;0),SUMIFS($AS$7:$AS$1843,$CF$7:$CF$1843,CF849,$AW$7:$AW$1843,"&gt;"&amp;AW849)+SUMIFS($AS$7:$AS$1843,$CF$7:$CF$1843,CF849,$AW$7:$AW$1843,AW849,$BW$7:$BW$1843,"&lt;="&amp;BW849),"")</f>
        <v>1600.74404761905</v>
      </c>
      <c r="AY849" s="58" t="n">
        <f aca="false">IF(AX849="",0,MAX(0,MIN(1,(IF(CF849="L1",Parameter!$H$5,IF(CF849="L23",Parameter!$H$6+Parameter!$H$7,Parameter!$H$5+Parameter!$H$6+Parameter!$H$7))-(AX849-AS849))/AS849)))</f>
        <v>1</v>
      </c>
      <c r="AZ849" s="50" t="n">
        <f aca="false">IF(LEFT(Cockpit!$O$5,1)="A",H849,IF(Parameter!$E$30="MAX-Bestand",IF(CH849=1,CI849,IF(LEFT(Cockpit!$O$5,1)="B",BF849,MAX(BF849,H849))),ROUNDUP(BD849,0)))</f>
        <v>30</v>
      </c>
      <c r="BA849" s="50" t="n">
        <f aca="false">IF(BZ849=1,0,ROUNDUP(AZ849/BY849,0))</f>
        <v>1</v>
      </c>
      <c r="BB849" s="52" t="n">
        <f aca="false">IF(CQ849&gt;0,CQ849*MAX(1,AZ849/X849),IF(BZ849=1,IF(AZ849&lt;=0,0,CD849*MAX(1,IF(H849&gt;0,AZ849/H849,1))),IF(R849&gt;0,BA849/R849,0))/MAX(0.1,N(Parameter!$M$21)))</f>
        <v>0.00961538461538462</v>
      </c>
      <c r="BC849" s="50" t="n">
        <f aca="false">BB849*CB849</f>
        <v>1.49038461538462</v>
      </c>
      <c r="BD849" s="51" t="n">
        <f aca="false">IF(LEFT(Cockpit!$O$5,1)="A",H849,IF(CH849=1,(CK849+CI849)/2,IF(LEFT(Cockpit!$O$5,1)="B",(CK849+BF849)/2,MAX((CK849+BF849)/2,H849))))</f>
        <v>29.5</v>
      </c>
      <c r="BE849" s="50" t="n">
        <f aca="false">BD849*G849</f>
        <v>75.225</v>
      </c>
      <c r="BF849" s="50" t="n">
        <f aca="false">ROUNDUP(CK849+MAX(CL849,2*(J849/IF(CG849&gt;0,CG849,MAX(0.1,N(Cockpit!$O$6)))-CK849)),0)</f>
        <v>57</v>
      </c>
      <c r="BG849" s="51" t="n">
        <f aca="false">IF(BC849&gt;0,J849/BC849,-1)</f>
        <v>36.2322580645161</v>
      </c>
      <c r="BH849" s="51" t="n">
        <f aca="false">IF(AND(OR(CF849="L1",CF849="L23",CF849="LIFT"),BC849&gt;0),SUMIFS($BC$7:$BC$1843,$CF$7:$CF$1843,CF849,$BG$7:$BG$1843,"&gt;"&amp;BG849)+SUMIFS($BC$7:$BC$1843,$CF$7:$CF$1843,CF849,$BG$7:$BG$1843,BG849,$BW$7:$BW$1843,"&lt;="&amp;BW849),"")</f>
        <v>1528.94551282051</v>
      </c>
      <c r="BI849" s="58" t="n">
        <f aca="false">IF(BH849="",0,MAX(0,MIN(1,(IF(CF849="L1",Parameter!$H$5,IF(CF849="L23",Parameter!$H$6+Parameter!$H$7,Parameter!$H$5+Parameter!$H$6+Parameter!$H$7))-(BH849-BC849))/BC849)))</f>
        <v>1</v>
      </c>
      <c r="BJ849" s="48" t="str">
        <f aca="false">IF(AI849&lt;=0,"",IF(CF849="Aussen","Aussenlager",IF(CF849="-","Nicht im Lift",IF(AO849&gt;=1,"Lift",IF(AO849&lt;=0,"Aussenlager","teilweise")))))</f>
        <v>Lift</v>
      </c>
      <c r="BK849" s="48" t="str">
        <f aca="false">IF(AS849&lt;=0,"",IF(CF849="Aussen","Aussenlager",IF(CF849="-","Nicht im Lift",IF(AY849&gt;=1,"Lift",IF(AY849&lt;=0,"Aussenlager","teilweise")))))</f>
        <v>Lift</v>
      </c>
      <c r="BL849" s="48" t="str">
        <f aca="false">IF(BC849&lt;=0,"",IF(CF849="Aussen","Aussenlager",IF(CF849="-","Nicht im Lift",IF(BI849&gt;=1,"Lift",IF(BI849&lt;=0,"Aussenlager","teilweise")))))</f>
        <v>Lift</v>
      </c>
      <c r="BM849" s="48" t="str">
        <f aca="false">IF(A849="","",IF(BV849=1,"Neu; ","")&amp;IF(AND(BV849=0,BQ849&lt;0),"negativer Bestand (Export "&amp;BQ849&amp;"); ","")&amp;IF(J849&lt;=0,"Kein Verbrauch; ","")&amp;IF(CQ849&gt;0,"Lift "&amp;W849&amp;" lt. Liftbericht (Fach "&amp;X849&amp;" Stk); ",IF(CA849=1,"Gebinde geschätzt ("&amp;T849&amp;"); ",IF(BZ849=1,"Lose – Tablare geschätzt; ","")))&amp;IF(H849&gt;AV849,"Überbestand "&amp;ROUND(H849-AV849,0)&amp;" Stk / CHF "&amp;ROUND((H849-AV849)*G849,0)&amp;"; ","")&amp;IF(AND(CH849=1,CI849&lt;CJ849),"MAX &lt; MB+LG; ","")&amp;IF(AND(CP849&gt;0,CO849*10&gt;CP849),"zu hoch für Tablar; ","")&amp;IF(AND(BV849=0,OR(CH849=1,AA849&lt;&gt;"",U849&lt;&gt;"",V849&lt;&gt;"",AB849&lt;&gt;"")),"manuell übersteuert; ","")&amp;IF(AND(BZ849=0,R849=0),"Gebinde unbekannt / Stellmass fehlt; ","")&amp;IF(AND(BZ849=0,N(V849)&lt;=0,N(Q849)&lt;=0),"Menge pro Gebinde fehlt (Ist = 1 Gebinde); ","")&amp;BU849)</f>
        <v/>
      </c>
      <c r="BN849" s="48"/>
      <c r="BO849" s="48"/>
      <c r="BP849" s="55"/>
      <c r="BQ849" s="50" t="n">
        <v>0</v>
      </c>
      <c r="BR849" s="50" t="n">
        <v>29</v>
      </c>
      <c r="BS849" s="49" t="n">
        <v>-15.9500000000002</v>
      </c>
      <c r="BT849" s="50" t="n">
        <v>54</v>
      </c>
      <c r="BU849" s="48"/>
      <c r="BV849" s="53" t="n">
        <v>0</v>
      </c>
      <c r="BW849" s="53" t="n">
        <v>849</v>
      </c>
      <c r="BX849" s="48" t="str">
        <f aca="false">IF(U849&lt;&gt;"",UPPER(TRIM(U849)),IF(CA849=1,UPPER(VLOOKUP(T849,Parameter!$I$27:$K$29,2,0)),IF(P849="","LOSE",P849)))</f>
        <v>S32</v>
      </c>
      <c r="BY849" s="50" t="n">
        <f aca="false">IF(BX849="LOSE",1,IF(N(V849)&gt;0,V849,IF(CA849=1,MAX(1,N(VLOOKUP(T849,Parameter!$I$27:$K$29,3,0)),H849,N(N849)),IF(N(Q849)&gt;0,Q849,MAX(1,H849)))))</f>
        <v>46</v>
      </c>
      <c r="BZ849" s="53" t="n">
        <f aca="false">IF(BX849="LOSE",1,0)</f>
        <v>0</v>
      </c>
      <c r="CA849" s="53" t="n">
        <f aca="false">IF(AND(U849="",OR(P849="",P849="LOSE"),T849&lt;&gt;"",N(S849)&lt;=0,ISNUMBER(MATCH(T849,Parameter!$I$27:$I$29,0))),1,0)</f>
        <v>0</v>
      </c>
      <c r="CB849" s="53" t="n">
        <f aca="false">IF(CQ849&gt;0,INDEX(Parameter!$H$5:$H$7,W849)/INDEX(Parameter!$E$5:$E$7,W849),IF(AND(BZ849=0,N(IFERROR(VLOOKUP(BX849,'Gebinde-Kategorie'!$A$5:$N$45,14,0),0))&gt;0),VLOOKUP(BX849,'Gebinde-Kategorie'!$A$5:$N$45,14,0)*10+Parameter!$M$23,Parameter!$M$24))</f>
        <v>155</v>
      </c>
      <c r="CC849" s="48" t="str">
        <f aca="false">IF(AND(Parameter!$B$19="Ja",E849&lt;&gt;"",ISNUMBER(MATCH(E849,Parameter!$I$35:$I$52,0))),VLOOKUP(E849,Parameter!$I$35:$J$52,2,0),IFERROR(VLOOKUP(D849,Parameter!$A$35:$C$64,2,0),"Nein"))</f>
        <v>2+3</v>
      </c>
      <c r="CD849" s="52" t="n">
        <f aca="false">IF(BZ849=0,0,IF(N(S849)&gt;0,S849,IFERROR(VLOOKUP(D849,Parameter!$A$35:$C$64,3,0)+0,0)))</f>
        <v>0</v>
      </c>
      <c r="CE849" s="48" t="n">
        <f aca="false">IF(AA849&lt;&gt;"",AA849,Z849)</f>
        <v>3</v>
      </c>
      <c r="CF849" s="48" t="str">
        <f aca="false">IF(OR(CE849=1,CE849=2,CE849=3),IF(Parameter!$E$27="Ja","LIFT",IF(CE849=1,"L1","L23")),IF(CE849="Aussen","Aussen","-"))</f>
        <v>LIFT</v>
      </c>
      <c r="CG849" s="59" t="n">
        <f aca="false">IF(N(AB849)&gt;0,AB849,0)</f>
        <v>0</v>
      </c>
      <c r="CH849" s="53" t="n">
        <f aca="false">IF(ISNUMBER(AE849),1,0)</f>
        <v>0</v>
      </c>
      <c r="CI849" s="50" t="n">
        <f aca="false">N(AE849)</f>
        <v>0</v>
      </c>
      <c r="CJ849" s="50" t="n">
        <f aca="false">N(M849)+N(N849)</f>
        <v>57</v>
      </c>
      <c r="CK849" s="50" t="n">
        <f aca="false">N(M849)</f>
        <v>2</v>
      </c>
      <c r="CL849" s="50" t="n">
        <f aca="false">N(N849)</f>
        <v>55</v>
      </c>
      <c r="CM849" s="50" t="n">
        <f aca="false">ROUNDUP(H849/BY849,0)</f>
        <v>1</v>
      </c>
      <c r="CN849" s="50" t="n">
        <f aca="false">ROUNDUP(CI849/BY849,0)</f>
        <v>0</v>
      </c>
      <c r="CO849" s="53" t="n">
        <f aca="false">IF(BZ849=1,0,IFERROR(VLOOKUP(BX849,'Gebinde-Kategorie'!$A$5:$N$45,5,0)+0,0))</f>
        <v>8</v>
      </c>
      <c r="CP849" s="53" t="n">
        <f aca="false">IFERROR(IF(OR(CE849=1,CE849=2,CE849=3),N(INDEX(Parameter!$I$5:$I$7,CE849)),0),0)</f>
        <v>0</v>
      </c>
      <c r="CQ849" s="52" t="n">
        <f aca="false">IF(AND(Parameter!$B$21="Ja",ISNUMBER(W849),N(X849)&gt;0),IFERROR(N(INDEX(Parameter!$L$5:$L$7,W849))*INDEX(Parameter!$E$5:$E$7,W849)*X849/SUMIFS($X$7:$X$1843,$W$7:$W$1843,W849),0),0)</f>
        <v>0</v>
      </c>
    </row>
    <row r="850" customFormat="false" ht="15" hidden="false" customHeight="false" outlineLevel="0" collapsed="false">
      <c r="A850" s="48" t="s">
        <v>1631</v>
      </c>
      <c r="B850" s="48" t="s">
        <v>414</v>
      </c>
      <c r="C850" s="48" t="s">
        <v>173</v>
      </c>
      <c r="D850" s="48" t="s">
        <v>193</v>
      </c>
      <c r="E850" s="48" t="s">
        <v>194</v>
      </c>
      <c r="F850" s="48" t="s">
        <v>227</v>
      </c>
      <c r="G850" s="49" t="n">
        <v>0.64</v>
      </c>
      <c r="H850" s="50" t="n">
        <f aca="false">MAX(0,IF(AND(Parameter!$B$21="Ja",ISNUMBER(Y850)),Y850,IF(Parameter!$B$20="Jahresanfang 2025 + Export",BR850+BQ850,BQ850)))</f>
        <v>83</v>
      </c>
      <c r="I850" s="50" t="n">
        <f aca="false">H850*G850</f>
        <v>53.12</v>
      </c>
      <c r="J850" s="50" t="n">
        <f aca="false">BT850*Parameter!$B$18</f>
        <v>254</v>
      </c>
      <c r="K850" s="51" t="n">
        <v>86.5</v>
      </c>
      <c r="L850" s="52" t="n">
        <v>2.9364161849711</v>
      </c>
      <c r="M850" s="50" t="n">
        <v>14</v>
      </c>
      <c r="N850" s="50" t="n">
        <v>255</v>
      </c>
      <c r="O850" s="53" t="n">
        <v>21</v>
      </c>
      <c r="P850" s="48" t="s">
        <v>311</v>
      </c>
      <c r="Q850" s="50" t="n">
        <v>126</v>
      </c>
      <c r="R850" s="53" t="n">
        <f aca="false">IF(BZ850=1,0,IFERROR(VLOOKUP(BX850,'Gebinde-Kategorie'!$A$5:$N$45,13,0)+0,0))</f>
        <v>26</v>
      </c>
      <c r="S850" s="54"/>
      <c r="T850" s="55"/>
      <c r="U850" s="55"/>
      <c r="V850" s="55"/>
      <c r="W850" s="48"/>
      <c r="X850" s="50"/>
      <c r="Y850" s="50"/>
      <c r="Z850" s="48" t="n">
        <f aca="false">IF(A850="","",IF(AND(Parameter!$B$21="Ja",ISNUMBER(W850)),W850,IF(CC850="2+3",IF(ISNUMBER(SEARCH("grosser Artikel",BU850)),2,IFERROR(VLOOKUP(BX850,Parameter!$F$35:$G$64,2,0),2)),IF(OR(CC850="Nein",CC850=""),"-",CC850))))</f>
        <v>3</v>
      </c>
      <c r="AA850" s="55"/>
      <c r="AB850" s="56"/>
      <c r="AC850" s="50" t="n">
        <f aca="false">AV850</f>
        <v>269</v>
      </c>
      <c r="AD850" s="50" t="n">
        <f aca="false">MAX(AV850,H850)</f>
        <v>269</v>
      </c>
      <c r="AE850" s="57"/>
      <c r="AF850" s="50" t="n">
        <f aca="false">IF(LEFT(Cockpit!$C$5,1)="A",H850,IF(Parameter!$E$30="MAX-Bestand",IF(CH850=1,CI850,IF(LEFT(Cockpit!$C$5,1)="B",AL850,MAX(AL850,H850))),ROUNDUP(AJ850,0)))</f>
        <v>83</v>
      </c>
      <c r="AG850" s="50" t="n">
        <f aca="false">IF(BZ850=1,0,ROUNDUP(AF850/BY850,0))</f>
        <v>1</v>
      </c>
      <c r="AH850" s="52" t="n">
        <f aca="false">IF(CQ850&gt;0,CQ850*MAX(1,AF850/X850),IF(BZ850=1,IF(AF850&lt;=0,0,CD850*MAX(1,IF(H850&gt;0,AF850/H850,1))),IF(R850&gt;0,AG850/R850,0))/MAX(0.1,N(Parameter!$M$21)))</f>
        <v>0.0384615384615385</v>
      </c>
      <c r="AI850" s="50" t="n">
        <f aca="false">AH850*CB850</f>
        <v>5.96153846153846</v>
      </c>
      <c r="AJ850" s="51" t="n">
        <f aca="false">IF(LEFT(Cockpit!$C$5,1)="A",H850,IF(CH850=1,(CK850+CI850)/2,IF(LEFT(Cockpit!$C$5,1)="B",(CK850+AL850)/2,MAX((CK850+AL850)/2,H850))))</f>
        <v>83</v>
      </c>
      <c r="AK850" s="50" t="n">
        <f aca="false">AJ850*G850</f>
        <v>53.12</v>
      </c>
      <c r="AL850" s="50" t="n">
        <f aca="false">ROUNDUP(CK850+MAX(CL850,2*(J850/IF(CG850&gt;0,CG850,MAX(0.1,N(Cockpit!$C$6)))-CK850)),0)</f>
        <v>269</v>
      </c>
      <c r="AM850" s="51" t="n">
        <f aca="false">IF(AI850&gt;0,J850/AI850,-1)</f>
        <v>42.6064516129032</v>
      </c>
      <c r="AN850" s="51" t="n">
        <f aca="false">IF(AND(OR(CF850="L1",CF850="L23",CF850="LIFT"),AI850&gt;0),SUMIFS($AI$7:$AI$1843,$CF$7:$CF$1843,CF850,$AM$7:$AM$1843,"&gt;"&amp;AM850)+SUMIFS($AI$7:$AI$1843,$CF$7:$CF$1843,CF850,$AM$7:$AM$1843,AM850,$BW$7:$BW$1843,"&lt;="&amp;BW850),"")</f>
        <v>1181.51923076923</v>
      </c>
      <c r="AO850" s="58" t="n">
        <f aca="false">IF(AN850="",0,MAX(0,MIN(1,(IF(CF850="L1",Parameter!$H$5,IF(CF850="L23",Parameter!$H$6+Parameter!$H$7,Parameter!$H$5+Parameter!$H$6+Parameter!$H$7))-(AN850-AI850))/AI850)))</f>
        <v>1</v>
      </c>
      <c r="AP850" s="50" t="n">
        <f aca="false">IF(LEFT(Cockpit!$I$5,1)="A",H850,IF(Parameter!$E$30="MAX-Bestand",IF(CH850=1,CI850,IF(LEFT(Cockpit!$I$5,1)="B",AV850,MAX(AV850,H850))),ROUNDUP(AT850,0)))</f>
        <v>142</v>
      </c>
      <c r="AQ850" s="50" t="n">
        <f aca="false">IF(BZ850=1,0,ROUNDUP(AP850/BY850,0))</f>
        <v>2</v>
      </c>
      <c r="AR850" s="52" t="n">
        <f aca="false">IF(CQ850&gt;0,CQ850*MAX(1,AP850/X850),IF(BZ850=1,IF(AP850&lt;=0,0,CD850*MAX(1,IF(H850&gt;0,AP850/H850,1))),IF(R850&gt;0,AQ850/R850,0))/MAX(0.1,N(Parameter!$M$21)))</f>
        <v>0.0769230769230769</v>
      </c>
      <c r="AS850" s="50" t="n">
        <f aca="false">AR850*CB850</f>
        <v>11.9230769230769</v>
      </c>
      <c r="AT850" s="51" t="n">
        <f aca="false">IF(LEFT(Cockpit!$I$5,1)="A",H850,IF(CH850=1,(CK850+CI850)/2,IF(LEFT(Cockpit!$I$5,1)="B",(CK850+AV850)/2,MAX((CK850+AV850)/2,H850))))</f>
        <v>141.5</v>
      </c>
      <c r="AU850" s="50" t="n">
        <f aca="false">AT850*G850</f>
        <v>90.56</v>
      </c>
      <c r="AV850" s="50" t="n">
        <f aca="false">ROUNDUP(CK850+MAX(CL850,2*(J850/IF(CG850&gt;0,CG850,MAX(0.1,N(Cockpit!$I$6)))-CK850)),0)</f>
        <v>269</v>
      </c>
      <c r="AW850" s="51" t="n">
        <f aca="false">IF(AS850&gt;0,J850/AS850,-1)</f>
        <v>21.3032258064516</v>
      </c>
      <c r="AX850" s="51" t="n">
        <f aca="false">IF(AND(OR(CF850="L1",CF850="L23",CF850="LIFT"),AS850&gt;0),SUMIFS($AS$7:$AS$1843,$CF$7:$CF$1843,CF850,$AW$7:$AW$1843,"&gt;"&amp;AW850)+SUMIFS($AS$7:$AS$1843,$CF$7:$CF$1843,CF850,$AW$7:$AW$1843,AW850,$BW$7:$BW$1843,"&lt;="&amp;BW850),"")</f>
        <v>2262.45787545788</v>
      </c>
      <c r="AY850" s="58" t="n">
        <f aca="false">IF(AX850="",0,MAX(0,MIN(1,(IF(CF850="L1",Parameter!$H$5,IF(CF850="L23",Parameter!$H$6+Parameter!$H$7,Parameter!$H$5+Parameter!$H$6+Parameter!$H$7))-(AX850-AS850))/AS850)))</f>
        <v>1</v>
      </c>
      <c r="AZ850" s="50" t="n">
        <f aca="false">IF(LEFT(Cockpit!$O$5,1)="A",H850,IF(Parameter!$E$30="MAX-Bestand",IF(CH850=1,CI850,IF(LEFT(Cockpit!$O$5,1)="B",BF850,MAX(BF850,H850))),ROUNDUP(BD850,0)))</f>
        <v>142</v>
      </c>
      <c r="BA850" s="50" t="n">
        <f aca="false">IF(BZ850=1,0,ROUNDUP(AZ850/BY850,0))</f>
        <v>2</v>
      </c>
      <c r="BB850" s="52" t="n">
        <f aca="false">IF(CQ850&gt;0,CQ850*MAX(1,AZ850/X850),IF(BZ850=1,IF(AZ850&lt;=0,0,CD850*MAX(1,IF(H850&gt;0,AZ850/H850,1))),IF(R850&gt;0,BA850/R850,0))/MAX(0.1,N(Parameter!$M$21)))</f>
        <v>0.0769230769230769</v>
      </c>
      <c r="BC850" s="50" t="n">
        <f aca="false">BB850*CB850</f>
        <v>11.9230769230769</v>
      </c>
      <c r="BD850" s="51" t="n">
        <f aca="false">IF(LEFT(Cockpit!$O$5,1)="A",H850,IF(CH850=1,(CK850+CI850)/2,IF(LEFT(Cockpit!$O$5,1)="B",(CK850+BF850)/2,MAX((CK850+BF850)/2,H850))))</f>
        <v>141.5</v>
      </c>
      <c r="BE850" s="50" t="n">
        <f aca="false">BD850*G850</f>
        <v>90.56</v>
      </c>
      <c r="BF850" s="50" t="n">
        <f aca="false">ROUNDUP(CK850+MAX(CL850,2*(J850/IF(CG850&gt;0,CG850,MAX(0.1,N(Cockpit!$O$6)))-CK850)),0)</f>
        <v>269</v>
      </c>
      <c r="BG850" s="51" t="n">
        <f aca="false">IF(BC850&gt;0,J850/BC850,-1)</f>
        <v>21.3032258064516</v>
      </c>
      <c r="BH850" s="51" t="n">
        <f aca="false">IF(AND(OR(CF850="L1",CF850="L23",CF850="LIFT"),BC850&gt;0),SUMIFS($BC$7:$BC$1843,$CF$7:$CF$1843,CF850,$BG$7:$BG$1843,"&gt;"&amp;BG850)+SUMIFS($BC$7:$BC$1843,$CF$7:$CF$1843,CF850,$BG$7:$BG$1843,BG850,$BW$7:$BW$1843,"&lt;="&amp;BW850),"")</f>
        <v>2175.86950549451</v>
      </c>
      <c r="BI850" s="58" t="n">
        <f aca="false">IF(BH850="",0,MAX(0,MIN(1,(IF(CF850="L1",Parameter!$H$5,IF(CF850="L23",Parameter!$H$6+Parameter!$H$7,Parameter!$H$5+Parameter!$H$6+Parameter!$H$7))-(BH850-BC850))/BC850)))</f>
        <v>1</v>
      </c>
      <c r="BJ850" s="48" t="str">
        <f aca="false">IF(AI850&lt;=0,"",IF(CF850="Aussen","Aussenlager",IF(CF850="-","Nicht im Lift",IF(AO850&gt;=1,"Lift",IF(AO850&lt;=0,"Aussenlager","teilweise")))))</f>
        <v>Lift</v>
      </c>
      <c r="BK850" s="48" t="str">
        <f aca="false">IF(AS850&lt;=0,"",IF(CF850="Aussen","Aussenlager",IF(CF850="-","Nicht im Lift",IF(AY850&gt;=1,"Lift",IF(AY850&lt;=0,"Aussenlager","teilweise")))))</f>
        <v>Lift</v>
      </c>
      <c r="BL850" s="48" t="str">
        <f aca="false">IF(BC850&lt;=0,"",IF(CF850="Aussen","Aussenlager",IF(CF850="-","Nicht im Lift",IF(BI850&gt;=1,"Lift",IF(BI850&lt;=0,"Aussenlager","teilweise")))))</f>
        <v>Lift</v>
      </c>
      <c r="BM850" s="48" t="str">
        <f aca="false">IF(A850="","",IF(BV850=1,"Neu; ","")&amp;IF(AND(BV850=0,BQ850&lt;0),"negativer Bestand (Export "&amp;BQ850&amp;"); ","")&amp;IF(J850&lt;=0,"Kein Verbrauch; ","")&amp;IF(CQ850&gt;0,"Lift "&amp;W850&amp;" lt. Liftbericht (Fach "&amp;X850&amp;" Stk); ",IF(CA850=1,"Gebinde geschätzt ("&amp;T850&amp;"); ",IF(BZ850=1,"Lose – Tablare geschätzt; ","")))&amp;IF(H850&gt;AV850,"Überbestand "&amp;ROUND(H850-AV850,0)&amp;" Stk / CHF "&amp;ROUND((H850-AV850)*G850,0)&amp;"; ","")&amp;IF(AND(CH850=1,CI850&lt;CJ850),"MAX &lt; MB+LG; ","")&amp;IF(AND(CP850&gt;0,CO850*10&gt;CP850),"zu hoch für Tablar; ","")&amp;IF(AND(BV850=0,OR(CH850=1,AA850&lt;&gt;"",U850&lt;&gt;"",V850&lt;&gt;"",AB850&lt;&gt;"")),"manuell übersteuert; ","")&amp;IF(AND(BZ850=0,R850=0),"Gebinde unbekannt / Stellmass fehlt; ","")&amp;IF(AND(BZ850=0,N(V850)&lt;=0,N(Q850)&lt;=0),"Menge pro Gebinde fehlt (Ist = 1 Gebinde); ","")&amp;BU850)</f>
        <v>negativer Bestand (Export -37); </v>
      </c>
      <c r="BN850" s="48"/>
      <c r="BO850" s="48"/>
      <c r="BP850" s="55"/>
      <c r="BQ850" s="50" t="n">
        <v>-37</v>
      </c>
      <c r="BR850" s="50" t="n">
        <v>120</v>
      </c>
      <c r="BS850" s="49" t="n">
        <v>-16.48</v>
      </c>
      <c r="BT850" s="50" t="n">
        <v>254</v>
      </c>
      <c r="BU850" s="48"/>
      <c r="BV850" s="53" t="n">
        <v>0</v>
      </c>
      <c r="BW850" s="53" t="n">
        <v>850</v>
      </c>
      <c r="BX850" s="48" t="str">
        <f aca="false">IF(U850&lt;&gt;"",UPPER(TRIM(U850)),IF(CA850=1,UPPER(VLOOKUP(T850,Parameter!$I$27:$K$29,2,0)),IF(P850="","LOSE",P850)))</f>
        <v>S51</v>
      </c>
      <c r="BY850" s="50" t="n">
        <f aca="false">IF(BX850="LOSE",1,IF(N(V850)&gt;0,V850,IF(CA850=1,MAX(1,N(VLOOKUP(T850,Parameter!$I$27:$K$29,3,0)),H850,N(N850)),IF(N(Q850)&gt;0,Q850,MAX(1,H850)))))</f>
        <v>126</v>
      </c>
      <c r="BZ850" s="53" t="n">
        <f aca="false">IF(BX850="LOSE",1,0)</f>
        <v>0</v>
      </c>
      <c r="CA850" s="53" t="n">
        <f aca="false">IF(AND(U850="",OR(P850="",P850="LOSE"),T850&lt;&gt;"",N(S850)&lt;=0,ISNUMBER(MATCH(T850,Parameter!$I$27:$I$29,0))),1,0)</f>
        <v>0</v>
      </c>
      <c r="CB850" s="53" t="n">
        <f aca="false">IF(CQ850&gt;0,INDEX(Parameter!$H$5:$H$7,W850)/INDEX(Parameter!$E$5:$E$7,W850),IF(AND(BZ850=0,N(IFERROR(VLOOKUP(BX850,'Gebinde-Kategorie'!$A$5:$N$45,14,0),0))&gt;0),VLOOKUP(BX850,'Gebinde-Kategorie'!$A$5:$N$45,14,0)*10+Parameter!$M$23,Parameter!$M$24))</f>
        <v>155</v>
      </c>
      <c r="CC850" s="48" t="str">
        <f aca="false">IF(AND(Parameter!$B$19="Ja",E850&lt;&gt;"",ISNUMBER(MATCH(E850,Parameter!$I$35:$I$52,0))),VLOOKUP(E850,Parameter!$I$35:$J$52,2,0),IFERROR(VLOOKUP(D850,Parameter!$A$35:$C$64,2,0),"Nein"))</f>
        <v>2+3</v>
      </c>
      <c r="CD850" s="52" t="n">
        <f aca="false">IF(BZ850=0,0,IF(N(S850)&gt;0,S850,IFERROR(VLOOKUP(D850,Parameter!$A$35:$C$64,3,0)+0,0)))</f>
        <v>0</v>
      </c>
      <c r="CE850" s="48" t="n">
        <f aca="false">IF(AA850&lt;&gt;"",AA850,Z850)</f>
        <v>3</v>
      </c>
      <c r="CF850" s="48" t="str">
        <f aca="false">IF(OR(CE850=1,CE850=2,CE850=3),IF(Parameter!$E$27="Ja","LIFT",IF(CE850=1,"L1","L23")),IF(CE850="Aussen","Aussen","-"))</f>
        <v>LIFT</v>
      </c>
      <c r="CG850" s="59" t="n">
        <f aca="false">IF(N(AB850)&gt;0,AB850,0)</f>
        <v>0</v>
      </c>
      <c r="CH850" s="53" t="n">
        <f aca="false">IF(ISNUMBER(AE850),1,0)</f>
        <v>0</v>
      </c>
      <c r="CI850" s="50" t="n">
        <f aca="false">N(AE850)</f>
        <v>0</v>
      </c>
      <c r="CJ850" s="50" t="n">
        <f aca="false">N(M850)+N(N850)</f>
        <v>269</v>
      </c>
      <c r="CK850" s="50" t="n">
        <f aca="false">N(M850)</f>
        <v>14</v>
      </c>
      <c r="CL850" s="50" t="n">
        <f aca="false">N(N850)</f>
        <v>255</v>
      </c>
      <c r="CM850" s="50" t="n">
        <f aca="false">ROUNDUP(H850/BY850,0)</f>
        <v>1</v>
      </c>
      <c r="CN850" s="50" t="n">
        <f aca="false">ROUNDUP(CI850/BY850,0)</f>
        <v>0</v>
      </c>
      <c r="CO850" s="53" t="n">
        <f aca="false">IF(BZ850=1,0,IFERROR(VLOOKUP(BX850,'Gebinde-Kategorie'!$A$5:$N$45,5,0)+0,0))</f>
        <v>11</v>
      </c>
      <c r="CP850" s="53" t="n">
        <f aca="false">IFERROR(IF(OR(CE850=1,CE850=2,CE850=3),N(INDEX(Parameter!$I$5:$I$7,CE850)),0),0)</f>
        <v>0</v>
      </c>
      <c r="CQ850" s="52" t="n">
        <f aca="false">IF(AND(Parameter!$B$21="Ja",ISNUMBER(W850),N(X850)&gt;0),IFERROR(N(INDEX(Parameter!$L$5:$L$7,W850))*INDEX(Parameter!$E$5:$E$7,W850)*X850/SUMIFS($X$7:$X$1843,$W$7:$W$1843,W850),0),0)</f>
        <v>0</v>
      </c>
    </row>
    <row r="851" customFormat="false" ht="15" hidden="false" customHeight="false" outlineLevel="0" collapsed="false">
      <c r="A851" s="48" t="s">
        <v>1632</v>
      </c>
      <c r="B851" s="48" t="s">
        <v>1633</v>
      </c>
      <c r="C851" s="48" t="s">
        <v>173</v>
      </c>
      <c r="D851" s="48" t="s">
        <v>193</v>
      </c>
      <c r="E851" s="48" t="s">
        <v>194</v>
      </c>
      <c r="F851" s="48" t="s">
        <v>227</v>
      </c>
      <c r="G851" s="49" t="n">
        <v>0.03</v>
      </c>
      <c r="H851" s="50" t="n">
        <f aca="false">MAX(0,IF(AND(Parameter!$B$21="Ja",ISNUMBER(Y851)),Y851,IF(Parameter!$B$20="Jahresanfang 2025 + Export",BR851+BQ851,BQ851)))</f>
        <v>350</v>
      </c>
      <c r="I851" s="50" t="n">
        <f aca="false">H851*G851</f>
        <v>10.5</v>
      </c>
      <c r="J851" s="50" t="n">
        <f aca="false">BT851*Parameter!$B$18</f>
        <v>150</v>
      </c>
      <c r="K851" s="51" t="n">
        <v>800</v>
      </c>
      <c r="L851" s="52" t="n">
        <v>0.1875</v>
      </c>
      <c r="M851" s="50" t="n">
        <v>5</v>
      </c>
      <c r="N851" s="50" t="n">
        <v>150</v>
      </c>
      <c r="O851" s="53" t="n">
        <v>14</v>
      </c>
      <c r="P851" s="48" t="s">
        <v>410</v>
      </c>
      <c r="Q851" s="50" t="n">
        <v>500</v>
      </c>
      <c r="R851" s="53" t="n">
        <f aca="false">IF(BZ851=1,0,IFERROR(VLOOKUP(BX851,'Gebinde-Kategorie'!$A$5:$N$45,13,0)+0,0))</f>
        <v>280</v>
      </c>
      <c r="S851" s="54"/>
      <c r="T851" s="55"/>
      <c r="U851" s="55"/>
      <c r="V851" s="55"/>
      <c r="W851" s="48"/>
      <c r="X851" s="50"/>
      <c r="Y851" s="50"/>
      <c r="Z851" s="48" t="n">
        <f aca="false">IF(A851="","",IF(AND(Parameter!$B$21="Ja",ISNUMBER(W851)),W851,IF(CC851="2+3",IF(ISNUMBER(SEARCH("grosser Artikel",BU851)),2,IFERROR(VLOOKUP(BX851,Parameter!$F$35:$G$64,2,0),2)),IF(OR(CC851="Nein",CC851=""),"-",CC851))))</f>
        <v>3</v>
      </c>
      <c r="AA851" s="55"/>
      <c r="AB851" s="56"/>
      <c r="AC851" s="50" t="n">
        <f aca="false">AV851</f>
        <v>155</v>
      </c>
      <c r="AD851" s="50" t="n">
        <f aca="false">MAX(AV851,H851)</f>
        <v>350</v>
      </c>
      <c r="AE851" s="57"/>
      <c r="AF851" s="50" t="n">
        <f aca="false">IF(LEFT(Cockpit!$C$5,1)="A",H851,IF(Parameter!$E$30="MAX-Bestand",IF(CH851=1,CI851,IF(LEFT(Cockpit!$C$5,1)="B",AL851,MAX(AL851,H851))),ROUNDUP(AJ851,0)))</f>
        <v>350</v>
      </c>
      <c r="AG851" s="50" t="n">
        <f aca="false">IF(BZ851=1,0,ROUNDUP(AF851/BY851,0))</f>
        <v>1</v>
      </c>
      <c r="AH851" s="52" t="n">
        <f aca="false">IF(CQ851&gt;0,CQ851*MAX(1,AF851/X851),IF(BZ851=1,IF(AF851&lt;=0,0,CD851*MAX(1,IF(H851&gt;0,AF851/H851,1))),IF(R851&gt;0,AG851/R851,0))/MAX(0.1,N(Parameter!$M$21)))</f>
        <v>0.00357142857142857</v>
      </c>
      <c r="AI851" s="50" t="n">
        <f aca="false">AH851*CB851</f>
        <v>0.553571428571429</v>
      </c>
      <c r="AJ851" s="51" t="n">
        <f aca="false">IF(LEFT(Cockpit!$C$5,1)="A",H851,IF(CH851=1,(CK851+CI851)/2,IF(LEFT(Cockpit!$C$5,1)="B",(CK851+AL851)/2,MAX((CK851+AL851)/2,H851))))</f>
        <v>350</v>
      </c>
      <c r="AK851" s="50" t="n">
        <f aca="false">AJ851*G851</f>
        <v>10.5</v>
      </c>
      <c r="AL851" s="50" t="n">
        <f aca="false">ROUNDUP(CK851+MAX(CL851,2*(J851/IF(CG851&gt;0,CG851,MAX(0.1,N(Cockpit!$C$6)))-CK851)),0)</f>
        <v>155</v>
      </c>
      <c r="AM851" s="51" t="n">
        <f aca="false">IF(AI851&gt;0,J851/AI851,-1)</f>
        <v>270.967741935484</v>
      </c>
      <c r="AN851" s="51" t="n">
        <f aca="false">IF(AND(OR(CF851="L1",CF851="L23",CF851="LIFT"),AI851&gt;0),SUMIFS($AI$7:$AI$1843,$CF$7:$CF$1843,CF851,$AM$7:$AM$1843,"&gt;"&amp;AM851)+SUMIFS($AI$7:$AI$1843,$CF$7:$CF$1843,CF851,$AM$7:$AM$1843,AM851,$BW$7:$BW$1843,"&lt;="&amp;BW851),"")</f>
        <v>273.124084249084</v>
      </c>
      <c r="AO851" s="58" t="n">
        <f aca="false">IF(AN851="",0,MAX(0,MIN(1,(IF(CF851="L1",Parameter!$H$5,IF(CF851="L23",Parameter!$H$6+Parameter!$H$7,Parameter!$H$5+Parameter!$H$6+Parameter!$H$7))-(AN851-AI851))/AI851)))</f>
        <v>1</v>
      </c>
      <c r="AP851" s="50" t="n">
        <f aca="false">IF(LEFT(Cockpit!$I$5,1)="A",H851,IF(Parameter!$E$30="MAX-Bestand",IF(CH851=1,CI851,IF(LEFT(Cockpit!$I$5,1)="B",AV851,MAX(AV851,H851))),ROUNDUP(AT851,0)))</f>
        <v>350</v>
      </c>
      <c r="AQ851" s="50" t="n">
        <f aca="false">IF(BZ851=1,0,ROUNDUP(AP851/BY851,0))</f>
        <v>1</v>
      </c>
      <c r="AR851" s="52" t="n">
        <f aca="false">IF(CQ851&gt;0,CQ851*MAX(1,AP851/X851),IF(BZ851=1,IF(AP851&lt;=0,0,CD851*MAX(1,IF(H851&gt;0,AP851/H851,1))),IF(R851&gt;0,AQ851/R851,0))/MAX(0.1,N(Parameter!$M$21)))</f>
        <v>0.00357142857142857</v>
      </c>
      <c r="AS851" s="50" t="n">
        <f aca="false">AR851*CB851</f>
        <v>0.553571428571429</v>
      </c>
      <c r="AT851" s="51" t="n">
        <f aca="false">IF(LEFT(Cockpit!$I$5,1)="A",H851,IF(CH851=1,(CK851+CI851)/2,IF(LEFT(Cockpit!$I$5,1)="B",(CK851+AV851)/2,MAX((CK851+AV851)/2,H851))))</f>
        <v>350</v>
      </c>
      <c r="AU851" s="50" t="n">
        <f aca="false">AT851*G851</f>
        <v>10.5</v>
      </c>
      <c r="AV851" s="50" t="n">
        <f aca="false">ROUNDUP(CK851+MAX(CL851,2*(J851/IF(CG851&gt;0,CG851,MAX(0.1,N(Cockpit!$I$6)))-CK851)),0)</f>
        <v>155</v>
      </c>
      <c r="AW851" s="51" t="n">
        <f aca="false">IF(AS851&gt;0,J851/AS851,-1)</f>
        <v>270.967741935484</v>
      </c>
      <c r="AX851" s="51" t="n">
        <f aca="false">IF(AND(OR(CF851="L1",CF851="L23",CF851="LIFT"),AS851&gt;0),SUMIFS($AS$7:$AS$1843,$CF$7:$CF$1843,CF851,$AW$7:$AW$1843,"&gt;"&amp;AW851)+SUMIFS($AS$7:$AS$1843,$CF$7:$CF$1843,CF851,$AW$7:$AW$1843,AW851,$BW$7:$BW$1843,"&lt;="&amp;BW851),"")</f>
        <v>226.186355311355</v>
      </c>
      <c r="AY851" s="58" t="n">
        <f aca="false">IF(AX851="",0,MAX(0,MIN(1,(IF(CF851="L1",Parameter!$H$5,IF(CF851="L23",Parameter!$H$6+Parameter!$H$7,Parameter!$H$5+Parameter!$H$6+Parameter!$H$7))-(AX851-AS851))/AS851)))</f>
        <v>1</v>
      </c>
      <c r="AZ851" s="50" t="n">
        <f aca="false">IF(LEFT(Cockpit!$O$5,1)="A",H851,IF(Parameter!$E$30="MAX-Bestand",IF(CH851=1,CI851,IF(LEFT(Cockpit!$O$5,1)="B",BF851,MAX(BF851,H851))),ROUNDUP(BD851,0)))</f>
        <v>80</v>
      </c>
      <c r="BA851" s="50" t="n">
        <f aca="false">IF(BZ851=1,0,ROUNDUP(AZ851/BY851,0))</f>
        <v>1</v>
      </c>
      <c r="BB851" s="52" t="n">
        <f aca="false">IF(CQ851&gt;0,CQ851*MAX(1,AZ851/X851),IF(BZ851=1,IF(AZ851&lt;=0,0,CD851*MAX(1,IF(H851&gt;0,AZ851/H851,1))),IF(R851&gt;0,BA851/R851,0))/MAX(0.1,N(Parameter!$M$21)))</f>
        <v>0.00357142857142857</v>
      </c>
      <c r="BC851" s="50" t="n">
        <f aca="false">BB851*CB851</f>
        <v>0.553571428571429</v>
      </c>
      <c r="BD851" s="51" t="n">
        <f aca="false">IF(LEFT(Cockpit!$O$5,1)="A",H851,IF(CH851=1,(CK851+CI851)/2,IF(LEFT(Cockpit!$O$5,1)="B",(CK851+BF851)/2,MAX((CK851+BF851)/2,H851))))</f>
        <v>80</v>
      </c>
      <c r="BE851" s="50" t="n">
        <f aca="false">BD851*G851</f>
        <v>2.4</v>
      </c>
      <c r="BF851" s="50" t="n">
        <f aca="false">ROUNDUP(CK851+MAX(CL851,2*(J851/IF(CG851&gt;0,CG851,MAX(0.1,N(Cockpit!$O$6)))-CK851)),0)</f>
        <v>155</v>
      </c>
      <c r="BG851" s="51" t="n">
        <f aca="false">IF(BC851&gt;0,J851/BC851,-1)</f>
        <v>270.967741935484</v>
      </c>
      <c r="BH851" s="51" t="n">
        <f aca="false">IF(AND(OR(CF851="L1",CF851="L23",CF851="LIFT"),BC851&gt;0),SUMIFS($BC$7:$BC$1843,$CF$7:$CF$1843,CF851,$BG$7:$BG$1843,"&gt;"&amp;BG851)+SUMIFS($BC$7:$BC$1843,$CF$7:$CF$1843,CF851,$BG$7:$BG$1843,BG851,$BW$7:$BW$1843,"&lt;="&amp;BW851),"")</f>
        <v>271.592490842491</v>
      </c>
      <c r="BI851" s="58" t="n">
        <f aca="false">IF(BH851="",0,MAX(0,MIN(1,(IF(CF851="L1",Parameter!$H$5,IF(CF851="L23",Parameter!$H$6+Parameter!$H$7,Parameter!$H$5+Parameter!$H$6+Parameter!$H$7))-(BH851-BC851))/BC851)))</f>
        <v>1</v>
      </c>
      <c r="BJ851" s="48" t="str">
        <f aca="false">IF(AI851&lt;=0,"",IF(CF851="Aussen","Aussenlager",IF(CF851="-","Nicht im Lift",IF(AO851&gt;=1,"Lift",IF(AO851&lt;=0,"Aussenlager","teilweise")))))</f>
        <v>Lift</v>
      </c>
      <c r="BK851" s="48" t="str">
        <f aca="false">IF(AS851&lt;=0,"",IF(CF851="Aussen","Aussenlager",IF(CF851="-","Nicht im Lift",IF(AY851&gt;=1,"Lift",IF(AY851&lt;=0,"Aussenlager","teilweise")))))</f>
        <v>Lift</v>
      </c>
      <c r="BL851" s="48" t="str">
        <f aca="false">IF(BC851&lt;=0,"",IF(CF851="Aussen","Aussenlager",IF(CF851="-","Nicht im Lift",IF(BI851&gt;=1,"Lift",IF(BI851&lt;=0,"Aussenlager","teilweise")))))</f>
        <v>Lift</v>
      </c>
      <c r="BM851" s="48" t="str">
        <f aca="false">IF(A851="","",IF(BV851=1,"Neu; ","")&amp;IF(AND(BV851=0,BQ851&lt;0),"negativer Bestand (Export "&amp;BQ851&amp;"); ","")&amp;IF(J851&lt;=0,"Kein Verbrauch; ","")&amp;IF(CQ851&gt;0,"Lift "&amp;W851&amp;" lt. Liftbericht (Fach "&amp;X851&amp;" Stk); ",IF(CA851=1,"Gebinde geschätzt ("&amp;T851&amp;"); ",IF(BZ851=1,"Lose – Tablare geschätzt; ","")))&amp;IF(H851&gt;AV851,"Überbestand "&amp;ROUND(H851-AV851,0)&amp;" Stk / CHF "&amp;ROUND((H851-AV851)*G851,0)&amp;"; ","")&amp;IF(AND(CH851=1,CI851&lt;CJ851),"MAX &lt; MB+LG; ","")&amp;IF(AND(CP851&gt;0,CO851*10&gt;CP851),"zu hoch für Tablar; ","")&amp;IF(AND(BV851=0,OR(CH851=1,AA851&lt;&gt;"",U851&lt;&gt;"",V851&lt;&gt;"",AB851&lt;&gt;"")),"manuell übersteuert; ","")&amp;IF(AND(BZ851=0,R851=0),"Gebinde unbekannt / Stellmass fehlt; ","")&amp;IF(AND(BZ851=0,N(V851)&lt;=0,N(Q851)&lt;=0),"Menge pro Gebinde fehlt (Ist = 1 Gebinde); ","")&amp;BU851)</f>
        <v>negativer Bestand (Export -550); Überbestand 195 Stk / CHF 6; </v>
      </c>
      <c r="BN851" s="48"/>
      <c r="BO851" s="48"/>
      <c r="BP851" s="55"/>
      <c r="BQ851" s="50" t="n">
        <v>-550</v>
      </c>
      <c r="BR851" s="50" t="n">
        <v>900</v>
      </c>
      <c r="BS851" s="49" t="n">
        <v>-16.5</v>
      </c>
      <c r="BT851" s="50" t="n">
        <v>150</v>
      </c>
      <c r="BU851" s="48"/>
      <c r="BV851" s="53" t="n">
        <v>0</v>
      </c>
      <c r="BW851" s="53" t="n">
        <v>851</v>
      </c>
      <c r="BX851" s="48" t="str">
        <f aca="false">IF(U851&lt;&gt;"",UPPER(TRIM(U851)),IF(CA851=1,UPPER(VLOOKUP(T851,Parameter!$I$27:$K$29,2,0)),IF(P851="","LOSE",P851)))</f>
        <v>S21</v>
      </c>
      <c r="BY851" s="50" t="n">
        <f aca="false">IF(BX851="LOSE",1,IF(N(V851)&gt;0,V851,IF(CA851=1,MAX(1,N(VLOOKUP(T851,Parameter!$I$27:$K$29,3,0)),H851,N(N851)),IF(N(Q851)&gt;0,Q851,MAX(1,H851)))))</f>
        <v>500</v>
      </c>
      <c r="BZ851" s="53" t="n">
        <f aca="false">IF(BX851="LOSE",1,0)</f>
        <v>0</v>
      </c>
      <c r="CA851" s="53" t="n">
        <f aca="false">IF(AND(U851="",OR(P851="",P851="LOSE"),T851&lt;&gt;"",N(S851)&lt;=0,ISNUMBER(MATCH(T851,Parameter!$I$27:$I$29,0))),1,0)</f>
        <v>0</v>
      </c>
      <c r="CB851" s="53" t="n">
        <f aca="false">IF(CQ851&gt;0,INDEX(Parameter!$H$5:$H$7,W851)/INDEX(Parameter!$E$5:$E$7,W851),IF(AND(BZ851=0,N(IFERROR(VLOOKUP(BX851,'Gebinde-Kategorie'!$A$5:$N$45,14,0),0))&gt;0),VLOOKUP(BX851,'Gebinde-Kategorie'!$A$5:$N$45,14,0)*10+Parameter!$M$23,Parameter!$M$24))</f>
        <v>155</v>
      </c>
      <c r="CC851" s="48" t="str">
        <f aca="false">IF(AND(Parameter!$B$19="Ja",E851&lt;&gt;"",ISNUMBER(MATCH(E851,Parameter!$I$35:$I$52,0))),VLOOKUP(E851,Parameter!$I$35:$J$52,2,0),IFERROR(VLOOKUP(D851,Parameter!$A$35:$C$64,2,0),"Nein"))</f>
        <v>2+3</v>
      </c>
      <c r="CD851" s="52" t="n">
        <f aca="false">IF(BZ851=0,0,IF(N(S851)&gt;0,S851,IFERROR(VLOOKUP(D851,Parameter!$A$35:$C$64,3,0)+0,0)))</f>
        <v>0</v>
      </c>
      <c r="CE851" s="48" t="n">
        <f aca="false">IF(AA851&lt;&gt;"",AA851,Z851)</f>
        <v>3</v>
      </c>
      <c r="CF851" s="48" t="str">
        <f aca="false">IF(OR(CE851=1,CE851=2,CE851=3),IF(Parameter!$E$27="Ja","LIFT",IF(CE851=1,"L1","L23")),IF(CE851="Aussen","Aussen","-"))</f>
        <v>LIFT</v>
      </c>
      <c r="CG851" s="59" t="n">
        <f aca="false">IF(N(AB851)&gt;0,AB851,0)</f>
        <v>0</v>
      </c>
      <c r="CH851" s="53" t="n">
        <f aca="false">IF(ISNUMBER(AE851),1,0)</f>
        <v>0</v>
      </c>
      <c r="CI851" s="50" t="n">
        <f aca="false">N(AE851)</f>
        <v>0</v>
      </c>
      <c r="CJ851" s="50" t="n">
        <f aca="false">N(M851)+N(N851)</f>
        <v>155</v>
      </c>
      <c r="CK851" s="50" t="n">
        <f aca="false">N(M851)</f>
        <v>5</v>
      </c>
      <c r="CL851" s="50" t="n">
        <f aca="false">N(N851)</f>
        <v>150</v>
      </c>
      <c r="CM851" s="50" t="n">
        <f aca="false">ROUNDUP(H851/BY851,0)</f>
        <v>1</v>
      </c>
      <c r="CN851" s="50" t="n">
        <f aca="false">ROUNDUP(CI851/BY851,0)</f>
        <v>0</v>
      </c>
      <c r="CO851" s="53" t="n">
        <f aca="false">IF(BZ851=1,0,IFERROR(VLOOKUP(BX851,'Gebinde-Kategorie'!$A$5:$N$45,5,0)+0,0))</f>
        <v>8</v>
      </c>
      <c r="CP851" s="53" t="n">
        <f aca="false">IFERROR(IF(OR(CE851=1,CE851=2,CE851=3),N(INDEX(Parameter!$I$5:$I$7,CE851)),0),0)</f>
        <v>0</v>
      </c>
      <c r="CQ851" s="52" t="n">
        <f aca="false">IF(AND(Parameter!$B$21="Ja",ISNUMBER(W851),N(X851)&gt;0),IFERROR(N(INDEX(Parameter!$L$5:$L$7,W851))*INDEX(Parameter!$E$5:$E$7,W851)*X851/SUMIFS($X$7:$X$1843,$W$7:$W$1843,W851),0),0)</f>
        <v>0</v>
      </c>
    </row>
    <row r="852" customFormat="false" ht="15" hidden="false" customHeight="false" outlineLevel="0" collapsed="false">
      <c r="A852" s="48" t="s">
        <v>1634</v>
      </c>
      <c r="B852" s="48" t="s">
        <v>1635</v>
      </c>
      <c r="C852" s="48" t="s">
        <v>173</v>
      </c>
      <c r="D852" s="48" t="s">
        <v>193</v>
      </c>
      <c r="E852" s="48" t="s">
        <v>194</v>
      </c>
      <c r="F852" s="48" t="s">
        <v>227</v>
      </c>
      <c r="G852" s="49" t="n">
        <v>8.46</v>
      </c>
      <c r="H852" s="50" t="n">
        <f aca="false">MAX(0,IF(AND(Parameter!$B$21="Ja",ISNUMBER(Y852)),Y852,IF(Parameter!$B$20="Jahresanfang 2025 + Export",BR852+BQ852,BQ852)))</f>
        <v>25</v>
      </c>
      <c r="I852" s="50" t="n">
        <f aca="false">H852*G852</f>
        <v>211.5</v>
      </c>
      <c r="J852" s="50" t="n">
        <f aca="false">BT852*Parameter!$B$18</f>
        <v>4</v>
      </c>
      <c r="K852" s="51" t="n">
        <v>25.5</v>
      </c>
      <c r="L852" s="52" t="n">
        <v>0.156862745098039</v>
      </c>
      <c r="M852" s="50" t="n">
        <v>0</v>
      </c>
      <c r="N852" s="50" t="n">
        <v>5</v>
      </c>
      <c r="O852" s="53" t="n">
        <v>14</v>
      </c>
      <c r="P852" s="48" t="s">
        <v>337</v>
      </c>
      <c r="Q852" s="50" t="n">
        <v>28</v>
      </c>
      <c r="R852" s="53" t="n">
        <f aca="false">IF(BZ852=1,0,IFERROR(VLOOKUP(BX852,'Gebinde-Kategorie'!$A$5:$N$45,13,0)+0,0))</f>
        <v>52</v>
      </c>
      <c r="S852" s="54"/>
      <c r="T852" s="55"/>
      <c r="U852" s="55"/>
      <c r="V852" s="55"/>
      <c r="W852" s="48"/>
      <c r="X852" s="50"/>
      <c r="Y852" s="50"/>
      <c r="Z852" s="48" t="n">
        <f aca="false">IF(A852="","",IF(AND(Parameter!$B$21="Ja",ISNUMBER(W852)),W852,IF(CC852="2+3",IF(ISNUMBER(SEARCH("grosser Artikel",BU852)),2,IFERROR(VLOOKUP(BX852,Parameter!$F$35:$G$64,2,0),2)),IF(OR(CC852="Nein",CC852=""),"-",CC852))))</f>
        <v>3</v>
      </c>
      <c r="AA852" s="55"/>
      <c r="AB852" s="56"/>
      <c r="AC852" s="50" t="n">
        <f aca="false">AV852</f>
        <v>5</v>
      </c>
      <c r="AD852" s="50" t="n">
        <f aca="false">MAX(AV852,H852)</f>
        <v>25</v>
      </c>
      <c r="AE852" s="57"/>
      <c r="AF852" s="50" t="n">
        <f aca="false">IF(LEFT(Cockpit!$C$5,1)="A",H852,IF(Parameter!$E$30="MAX-Bestand",IF(CH852=1,CI852,IF(LEFT(Cockpit!$C$5,1)="B",AL852,MAX(AL852,H852))),ROUNDUP(AJ852,0)))</f>
        <v>25</v>
      </c>
      <c r="AG852" s="50" t="n">
        <f aca="false">IF(BZ852=1,0,ROUNDUP(AF852/BY852,0))</f>
        <v>1</v>
      </c>
      <c r="AH852" s="52" t="n">
        <f aca="false">IF(CQ852&gt;0,CQ852*MAX(1,AF852/X852),IF(BZ852=1,IF(AF852&lt;=0,0,CD852*MAX(1,IF(H852&gt;0,AF852/H852,1))),IF(R852&gt;0,AG852/R852,0))/MAX(0.1,N(Parameter!$M$21)))</f>
        <v>0.0192307692307692</v>
      </c>
      <c r="AI852" s="50" t="n">
        <f aca="false">AH852*CB852</f>
        <v>2.98076923076923</v>
      </c>
      <c r="AJ852" s="51" t="n">
        <f aca="false">IF(LEFT(Cockpit!$C$5,1)="A",H852,IF(CH852=1,(CK852+CI852)/2,IF(LEFT(Cockpit!$C$5,1)="B",(CK852+AL852)/2,MAX((CK852+AL852)/2,H852))))</f>
        <v>25</v>
      </c>
      <c r="AK852" s="50" t="n">
        <f aca="false">AJ852*G852</f>
        <v>211.5</v>
      </c>
      <c r="AL852" s="50" t="n">
        <f aca="false">ROUNDUP(CK852+MAX(CL852,2*(J852/IF(CG852&gt;0,CG852,MAX(0.1,N(Cockpit!$C$6)))-CK852)),0)</f>
        <v>5</v>
      </c>
      <c r="AM852" s="51" t="n">
        <f aca="false">IF(AI852&gt;0,J852/AI852,-1)</f>
        <v>1.34193548387097</v>
      </c>
      <c r="AN852" s="51" t="n">
        <f aca="false">IF(AND(OR(CF852="L1",CF852="L23",CF852="LIFT"),AI852&gt;0),SUMIFS($AI$7:$AI$1843,$CF$7:$CF$1843,CF852,$AM$7:$AM$1843,"&gt;"&amp;AM852)+SUMIFS($AI$7:$AI$1843,$CF$7:$CF$1843,CF852,$AM$7:$AM$1843,AM852,$BW$7:$BW$1843,"&lt;="&amp;BW852),"")</f>
        <v>6334.12866300366</v>
      </c>
      <c r="AO852" s="58" t="n">
        <f aca="false">IF(AN852="",0,MAX(0,MIN(1,(IF(CF852="L1",Parameter!$H$5,IF(CF852="L23",Parameter!$H$6+Parameter!$H$7,Parameter!$H$5+Parameter!$H$6+Parameter!$H$7))-(AN852-AI852))/AI852)))</f>
        <v>1</v>
      </c>
      <c r="AP852" s="50" t="n">
        <f aca="false">IF(LEFT(Cockpit!$I$5,1)="A",H852,IF(Parameter!$E$30="MAX-Bestand",IF(CH852=1,CI852,IF(LEFT(Cockpit!$I$5,1)="B",AV852,MAX(AV852,H852))),ROUNDUP(AT852,0)))</f>
        <v>25</v>
      </c>
      <c r="AQ852" s="50" t="n">
        <f aca="false">IF(BZ852=1,0,ROUNDUP(AP852/BY852,0))</f>
        <v>1</v>
      </c>
      <c r="AR852" s="52" t="n">
        <f aca="false">IF(CQ852&gt;0,CQ852*MAX(1,AP852/X852),IF(BZ852=1,IF(AP852&lt;=0,0,CD852*MAX(1,IF(H852&gt;0,AP852/H852,1))),IF(R852&gt;0,AQ852/R852,0))/MAX(0.1,N(Parameter!$M$21)))</f>
        <v>0.0192307692307692</v>
      </c>
      <c r="AS852" s="50" t="n">
        <f aca="false">AR852*CB852</f>
        <v>2.98076923076923</v>
      </c>
      <c r="AT852" s="51" t="n">
        <f aca="false">IF(LEFT(Cockpit!$I$5,1)="A",H852,IF(CH852=1,(CK852+CI852)/2,IF(LEFT(Cockpit!$I$5,1)="B",(CK852+AV852)/2,MAX((CK852+AV852)/2,H852))))</f>
        <v>25</v>
      </c>
      <c r="AU852" s="50" t="n">
        <f aca="false">AT852*G852</f>
        <v>211.5</v>
      </c>
      <c r="AV852" s="50" t="n">
        <f aca="false">ROUNDUP(CK852+MAX(CL852,2*(J852/IF(CG852&gt;0,CG852,MAX(0.1,N(Cockpit!$I$6)))-CK852)),0)</f>
        <v>5</v>
      </c>
      <c r="AW852" s="51" t="n">
        <f aca="false">IF(AS852&gt;0,J852/AS852,-1)</f>
        <v>1.34193548387097</v>
      </c>
      <c r="AX852" s="51" t="n">
        <f aca="false">IF(AND(OR(CF852="L1",CF852="L23",CF852="LIFT"),AS852&gt;0),SUMIFS($AS$7:$AS$1843,$CF$7:$CF$1843,CF852,$AW$7:$AW$1843,"&gt;"&amp;AW852)+SUMIFS($AS$7:$AS$1843,$CF$7:$CF$1843,CF852,$AW$7:$AW$1843,AW852,$BW$7:$BW$1843,"&lt;="&amp;BW852),"")</f>
        <v>7858.31227106227</v>
      </c>
      <c r="AY852" s="58" t="n">
        <f aca="false">IF(AX852="",0,MAX(0,MIN(1,(IF(CF852="L1",Parameter!$H$5,IF(CF852="L23",Parameter!$H$6+Parameter!$H$7,Parameter!$H$5+Parameter!$H$6+Parameter!$H$7))-(AX852-AS852))/AS852)))</f>
        <v>1</v>
      </c>
      <c r="AZ852" s="50" t="n">
        <f aca="false">IF(LEFT(Cockpit!$O$5,1)="A",H852,IF(Parameter!$E$30="MAX-Bestand",IF(CH852=1,CI852,IF(LEFT(Cockpit!$O$5,1)="B",BF852,MAX(BF852,H852))),ROUNDUP(BD852,0)))</f>
        <v>3</v>
      </c>
      <c r="BA852" s="50" t="n">
        <f aca="false">IF(BZ852=1,0,ROUNDUP(AZ852/BY852,0))</f>
        <v>1</v>
      </c>
      <c r="BB852" s="52" t="n">
        <f aca="false">IF(CQ852&gt;0,CQ852*MAX(1,AZ852/X852),IF(BZ852=1,IF(AZ852&lt;=0,0,CD852*MAX(1,IF(H852&gt;0,AZ852/H852,1))),IF(R852&gt;0,BA852/R852,0))/MAX(0.1,N(Parameter!$M$21)))</f>
        <v>0.0192307692307692</v>
      </c>
      <c r="BC852" s="50" t="n">
        <f aca="false">BB852*CB852</f>
        <v>2.98076923076923</v>
      </c>
      <c r="BD852" s="51" t="n">
        <f aca="false">IF(LEFT(Cockpit!$O$5,1)="A",H852,IF(CH852=1,(CK852+CI852)/2,IF(LEFT(Cockpit!$O$5,1)="B",(CK852+BF852)/2,MAX((CK852+BF852)/2,H852))))</f>
        <v>2.5</v>
      </c>
      <c r="BE852" s="50" t="n">
        <f aca="false">BD852*G852</f>
        <v>21.15</v>
      </c>
      <c r="BF852" s="50" t="n">
        <f aca="false">ROUNDUP(CK852+MAX(CL852,2*(J852/IF(CG852&gt;0,CG852,MAX(0.1,N(Cockpit!$O$6)))-CK852)),0)</f>
        <v>5</v>
      </c>
      <c r="BG852" s="51" t="n">
        <f aca="false">IF(BC852&gt;0,J852/BC852,-1)</f>
        <v>1.34193548387097</v>
      </c>
      <c r="BH852" s="51" t="n">
        <f aca="false">IF(AND(OR(CF852="L1",CF852="L23",CF852="LIFT"),BC852&gt;0),SUMIFS($BC$7:$BC$1843,$CF$7:$CF$1843,CF852,$BG$7:$BG$1843,"&gt;"&amp;BG852)+SUMIFS($BC$7:$BC$1843,$CF$7:$CF$1843,CF852,$BG$7:$BG$1843,BG852,$BW$7:$BW$1843,"&lt;="&amp;BW852),"")</f>
        <v>6795.52793040293</v>
      </c>
      <c r="BI852" s="58" t="n">
        <f aca="false">IF(BH852="",0,MAX(0,MIN(1,(IF(CF852="L1",Parameter!$H$5,IF(CF852="L23",Parameter!$H$6+Parameter!$H$7,Parameter!$H$5+Parameter!$H$6+Parameter!$H$7))-(BH852-BC852))/BC852)))</f>
        <v>1</v>
      </c>
      <c r="BJ852" s="48" t="str">
        <f aca="false">IF(AI852&lt;=0,"",IF(CF852="Aussen","Aussenlager",IF(CF852="-","Nicht im Lift",IF(AO852&gt;=1,"Lift",IF(AO852&lt;=0,"Aussenlager","teilweise")))))</f>
        <v>Lift</v>
      </c>
      <c r="BK852" s="48" t="str">
        <f aca="false">IF(AS852&lt;=0,"",IF(CF852="Aussen","Aussenlager",IF(CF852="-","Nicht im Lift",IF(AY852&gt;=1,"Lift",IF(AY852&lt;=0,"Aussenlager","teilweise")))))</f>
        <v>Lift</v>
      </c>
      <c r="BL852" s="48" t="str">
        <f aca="false">IF(BC852&lt;=0,"",IF(CF852="Aussen","Aussenlager",IF(CF852="-","Nicht im Lift",IF(BI852&gt;=1,"Lift",IF(BI852&lt;=0,"Aussenlager","teilweise")))))</f>
        <v>Lift</v>
      </c>
      <c r="BM852" s="48" t="str">
        <f aca="false">IF(A852="","",IF(BV852=1,"Neu; ","")&amp;IF(AND(BV852=0,BQ852&lt;0),"negativer Bestand (Export "&amp;BQ852&amp;"); ","")&amp;IF(J852&lt;=0,"Kein Verbrauch; ","")&amp;IF(CQ852&gt;0,"Lift "&amp;W852&amp;" lt. Liftbericht (Fach "&amp;X852&amp;" Stk); ",IF(CA852=1,"Gebinde geschätzt ("&amp;T852&amp;"); ",IF(BZ852=1,"Lose – Tablare geschätzt; ","")))&amp;IF(H852&gt;AV852,"Überbestand "&amp;ROUND(H852-AV852,0)&amp;" Stk / CHF "&amp;ROUND((H852-AV852)*G852,0)&amp;"; ","")&amp;IF(AND(CH852=1,CI852&lt;CJ852),"MAX &lt; MB+LG; ","")&amp;IF(AND(CP852&gt;0,CO852*10&gt;CP852),"zu hoch für Tablar; ","")&amp;IF(AND(BV852=0,OR(CH852=1,AA852&lt;&gt;"",U852&lt;&gt;"",V852&lt;&gt;"",AB852&lt;&gt;"")),"manuell übersteuert; ","")&amp;IF(AND(BZ852=0,R852=0),"Gebinde unbekannt / Stellmass fehlt; ","")&amp;IF(AND(BZ852=0,N(V852)&lt;=0,N(Q852)&lt;=0),"Menge pro Gebinde fehlt (Ist = 1 Gebinde); ","")&amp;BU852)</f>
        <v>negativer Bestand (Export -2); Überbestand 20 Stk / CHF 169; </v>
      </c>
      <c r="BN852" s="48"/>
      <c r="BO852" s="48"/>
      <c r="BP852" s="55"/>
      <c r="BQ852" s="50" t="n">
        <v>-2</v>
      </c>
      <c r="BR852" s="50" t="n">
        <v>27</v>
      </c>
      <c r="BS852" s="49" t="n">
        <v>-16.92</v>
      </c>
      <c r="BT852" s="50" t="n">
        <v>4</v>
      </c>
      <c r="BU852" s="48"/>
      <c r="BV852" s="53" t="n">
        <v>0</v>
      </c>
      <c r="BW852" s="53" t="n">
        <v>852</v>
      </c>
      <c r="BX852" s="48" t="str">
        <f aca="false">IF(U852&lt;&gt;"",UPPER(TRIM(U852)),IF(CA852=1,UPPER(VLOOKUP(T852,Parameter!$I$27:$K$29,2,0)),IF(P852="","LOSE",P852)))</f>
        <v>S41</v>
      </c>
      <c r="BY852" s="50" t="n">
        <f aca="false">IF(BX852="LOSE",1,IF(N(V852)&gt;0,V852,IF(CA852=1,MAX(1,N(VLOOKUP(T852,Parameter!$I$27:$K$29,3,0)),H852,N(N852)),IF(N(Q852)&gt;0,Q852,MAX(1,H852)))))</f>
        <v>28</v>
      </c>
      <c r="BZ852" s="53" t="n">
        <f aca="false">IF(BX852="LOSE",1,0)</f>
        <v>0</v>
      </c>
      <c r="CA852" s="53" t="n">
        <f aca="false">IF(AND(U852="",OR(P852="",P852="LOSE"),T852&lt;&gt;"",N(S852)&lt;=0,ISNUMBER(MATCH(T852,Parameter!$I$27:$I$29,0))),1,0)</f>
        <v>0</v>
      </c>
      <c r="CB852" s="53" t="n">
        <f aca="false">IF(CQ852&gt;0,INDEX(Parameter!$H$5:$H$7,W852)/INDEX(Parameter!$E$5:$E$7,W852),IF(AND(BZ852=0,N(IFERROR(VLOOKUP(BX852,'Gebinde-Kategorie'!$A$5:$N$45,14,0),0))&gt;0),VLOOKUP(BX852,'Gebinde-Kategorie'!$A$5:$N$45,14,0)*10+Parameter!$M$23,Parameter!$M$24))</f>
        <v>155</v>
      </c>
      <c r="CC852" s="48" t="str">
        <f aca="false">IF(AND(Parameter!$B$19="Ja",E852&lt;&gt;"",ISNUMBER(MATCH(E852,Parameter!$I$35:$I$52,0))),VLOOKUP(E852,Parameter!$I$35:$J$52,2,0),IFERROR(VLOOKUP(D852,Parameter!$A$35:$C$64,2,0),"Nein"))</f>
        <v>2+3</v>
      </c>
      <c r="CD852" s="52" t="n">
        <f aca="false">IF(BZ852=0,0,IF(N(S852)&gt;0,S852,IFERROR(VLOOKUP(D852,Parameter!$A$35:$C$64,3,0)+0,0)))</f>
        <v>0</v>
      </c>
      <c r="CE852" s="48" t="n">
        <f aca="false">IF(AA852&lt;&gt;"",AA852,Z852)</f>
        <v>3</v>
      </c>
      <c r="CF852" s="48" t="str">
        <f aca="false">IF(OR(CE852=1,CE852=2,CE852=3),IF(Parameter!$E$27="Ja","LIFT",IF(CE852=1,"L1","L23")),IF(CE852="Aussen","Aussen","-"))</f>
        <v>LIFT</v>
      </c>
      <c r="CG852" s="59" t="n">
        <f aca="false">IF(N(AB852)&gt;0,AB852,0)</f>
        <v>0</v>
      </c>
      <c r="CH852" s="53" t="n">
        <f aca="false">IF(ISNUMBER(AE852),1,0)</f>
        <v>0</v>
      </c>
      <c r="CI852" s="50" t="n">
        <f aca="false">N(AE852)</f>
        <v>0</v>
      </c>
      <c r="CJ852" s="50" t="n">
        <f aca="false">N(M852)+N(N852)</f>
        <v>5</v>
      </c>
      <c r="CK852" s="50" t="n">
        <f aca="false">N(M852)</f>
        <v>0</v>
      </c>
      <c r="CL852" s="50" t="n">
        <f aca="false">N(N852)</f>
        <v>5</v>
      </c>
      <c r="CM852" s="50" t="n">
        <f aca="false">ROUNDUP(H852/BY852,0)</f>
        <v>1</v>
      </c>
      <c r="CN852" s="50" t="n">
        <f aca="false">ROUNDUP(CI852/BY852,0)</f>
        <v>0</v>
      </c>
      <c r="CO852" s="53" t="n">
        <f aca="false">IF(BZ852=1,0,IFERROR(VLOOKUP(BX852,'Gebinde-Kategorie'!$A$5:$N$45,5,0)+0,0))</f>
        <v>11</v>
      </c>
      <c r="CP852" s="53" t="n">
        <f aca="false">IFERROR(IF(OR(CE852=1,CE852=2,CE852=3),N(INDEX(Parameter!$I$5:$I$7,CE852)),0),0)</f>
        <v>0</v>
      </c>
      <c r="CQ852" s="52" t="n">
        <f aca="false">IF(AND(Parameter!$B$21="Ja",ISNUMBER(W852),N(X852)&gt;0),IFERROR(N(INDEX(Parameter!$L$5:$L$7,W852))*INDEX(Parameter!$E$5:$E$7,W852)*X852/SUMIFS($X$7:$X$1843,$W$7:$W$1843,W852),0),0)</f>
        <v>0</v>
      </c>
    </row>
    <row r="853" customFormat="false" ht="15" hidden="false" customHeight="false" outlineLevel="0" collapsed="false">
      <c r="A853" s="48" t="s">
        <v>1636</v>
      </c>
      <c r="B853" s="48" t="s">
        <v>1275</v>
      </c>
      <c r="C853" s="48" t="s">
        <v>173</v>
      </c>
      <c r="D853" s="48" t="s">
        <v>193</v>
      </c>
      <c r="E853" s="48"/>
      <c r="F853" s="48" t="s">
        <v>227</v>
      </c>
      <c r="G853" s="49" t="n">
        <v>0.07</v>
      </c>
      <c r="H853" s="50" t="n">
        <f aca="false">MAX(0,IF(AND(Parameter!$B$21="Ja",ISNUMBER(Y853)),Y853,IF(Parameter!$B$20="Jahresanfang 2025 + Export",BR853+BQ853,BQ853)))</f>
        <v>287</v>
      </c>
      <c r="I853" s="50" t="n">
        <f aca="false">H853*G853</f>
        <v>20.09</v>
      </c>
      <c r="J853" s="50" t="n">
        <f aca="false">BT853*Parameter!$B$18</f>
        <v>124</v>
      </c>
      <c r="K853" s="51" t="n">
        <v>461</v>
      </c>
      <c r="L853" s="52" t="n">
        <v>0.268980477223427</v>
      </c>
      <c r="M853" s="50" t="n">
        <v>7</v>
      </c>
      <c r="N853" s="50" t="n">
        <v>125</v>
      </c>
      <c r="O853" s="53" t="n">
        <v>21</v>
      </c>
      <c r="P853" s="48" t="s">
        <v>435</v>
      </c>
      <c r="Q853" s="50" t="n">
        <v>300</v>
      </c>
      <c r="R853" s="53" t="n">
        <f aca="false">IF(BZ853=1,0,IFERROR(VLOOKUP(BX853,'Gebinde-Kategorie'!$A$5:$N$45,13,0)+0,0))</f>
        <v>140</v>
      </c>
      <c r="S853" s="54"/>
      <c r="T853" s="55"/>
      <c r="U853" s="55"/>
      <c r="V853" s="55"/>
      <c r="W853" s="48"/>
      <c r="X853" s="50"/>
      <c r="Y853" s="50"/>
      <c r="Z853" s="48" t="n">
        <f aca="false">IF(A853="","",IF(AND(Parameter!$B$21="Ja",ISNUMBER(W853)),W853,IF(CC853="2+3",IF(ISNUMBER(SEARCH("grosser Artikel",BU853)),2,IFERROR(VLOOKUP(BX853,Parameter!$F$35:$G$64,2,0),2)),IF(OR(CC853="Nein",CC853=""),"-",CC853))))</f>
        <v>3</v>
      </c>
      <c r="AA853" s="55"/>
      <c r="AB853" s="56"/>
      <c r="AC853" s="50" t="n">
        <f aca="false">AV853</f>
        <v>132</v>
      </c>
      <c r="AD853" s="50" t="n">
        <f aca="false">MAX(AV853,H853)</f>
        <v>287</v>
      </c>
      <c r="AE853" s="57"/>
      <c r="AF853" s="50" t="n">
        <f aca="false">IF(LEFT(Cockpit!$C$5,1)="A",H853,IF(Parameter!$E$30="MAX-Bestand",IF(CH853=1,CI853,IF(LEFT(Cockpit!$C$5,1)="B",AL853,MAX(AL853,H853))),ROUNDUP(AJ853,0)))</f>
        <v>287</v>
      </c>
      <c r="AG853" s="50" t="n">
        <f aca="false">IF(BZ853=1,0,ROUNDUP(AF853/BY853,0))</f>
        <v>1</v>
      </c>
      <c r="AH853" s="52" t="n">
        <f aca="false">IF(CQ853&gt;0,CQ853*MAX(1,AF853/X853),IF(BZ853=1,IF(AF853&lt;=0,0,CD853*MAX(1,IF(H853&gt;0,AF853/H853,1))),IF(R853&gt;0,AG853/R853,0))/MAX(0.1,N(Parameter!$M$21)))</f>
        <v>0.00714285714285714</v>
      </c>
      <c r="AI853" s="50" t="n">
        <f aca="false">AH853*CB853</f>
        <v>1.10714285714286</v>
      </c>
      <c r="AJ853" s="51" t="n">
        <f aca="false">IF(LEFT(Cockpit!$C$5,1)="A",H853,IF(CH853=1,(CK853+CI853)/2,IF(LEFT(Cockpit!$C$5,1)="B",(CK853+AL853)/2,MAX((CK853+AL853)/2,H853))))</f>
        <v>287</v>
      </c>
      <c r="AK853" s="50" t="n">
        <f aca="false">AJ853*G853</f>
        <v>20.09</v>
      </c>
      <c r="AL853" s="50" t="n">
        <f aca="false">ROUNDUP(CK853+MAX(CL853,2*(J853/IF(CG853&gt;0,CG853,MAX(0.1,N(Cockpit!$C$6)))-CK853)),0)</f>
        <v>132</v>
      </c>
      <c r="AM853" s="51" t="n">
        <f aca="false">IF(AI853&gt;0,J853/AI853,-1)</f>
        <v>112</v>
      </c>
      <c r="AN853" s="51" t="n">
        <f aca="false">IF(AND(OR(CF853="L1",CF853="L23",CF853="LIFT"),AI853&gt;0),SUMIFS($AI$7:$AI$1843,$CF$7:$CF$1843,CF853,$AM$7:$AM$1843,"&gt;"&amp;AM853)+SUMIFS($AI$7:$AI$1843,$CF$7:$CF$1843,CF853,$AM$7:$AM$1843,AM853,$BW$7:$BW$1843,"&lt;="&amp;BW853),"")</f>
        <v>746.812728937729</v>
      </c>
      <c r="AO853" s="58" t="n">
        <f aca="false">IF(AN853="",0,MAX(0,MIN(1,(IF(CF853="L1",Parameter!$H$5,IF(CF853="L23",Parameter!$H$6+Parameter!$H$7,Parameter!$H$5+Parameter!$H$6+Parameter!$H$7))-(AN853-AI853))/AI853)))</f>
        <v>1</v>
      </c>
      <c r="AP853" s="50" t="n">
        <f aca="false">IF(LEFT(Cockpit!$I$5,1)="A",H853,IF(Parameter!$E$30="MAX-Bestand",IF(CH853=1,CI853,IF(LEFT(Cockpit!$I$5,1)="B",AV853,MAX(AV853,H853))),ROUNDUP(AT853,0)))</f>
        <v>287</v>
      </c>
      <c r="AQ853" s="50" t="n">
        <f aca="false">IF(BZ853=1,0,ROUNDUP(AP853/BY853,0))</f>
        <v>1</v>
      </c>
      <c r="AR853" s="52" t="n">
        <f aca="false">IF(CQ853&gt;0,CQ853*MAX(1,AP853/X853),IF(BZ853=1,IF(AP853&lt;=0,0,CD853*MAX(1,IF(H853&gt;0,AP853/H853,1))),IF(R853&gt;0,AQ853/R853,0))/MAX(0.1,N(Parameter!$M$21)))</f>
        <v>0.00714285714285714</v>
      </c>
      <c r="AS853" s="50" t="n">
        <f aca="false">AR853*CB853</f>
        <v>1.10714285714286</v>
      </c>
      <c r="AT853" s="51" t="n">
        <f aca="false">IF(LEFT(Cockpit!$I$5,1)="A",H853,IF(CH853=1,(CK853+CI853)/2,IF(LEFT(Cockpit!$I$5,1)="B",(CK853+AV853)/2,MAX((CK853+AV853)/2,H853))))</f>
        <v>287</v>
      </c>
      <c r="AU853" s="50" t="n">
        <f aca="false">AT853*G853</f>
        <v>20.09</v>
      </c>
      <c r="AV853" s="50" t="n">
        <f aca="false">ROUNDUP(CK853+MAX(CL853,2*(J853/IF(CG853&gt;0,CG853,MAX(0.1,N(Cockpit!$I$6)))-CK853)),0)</f>
        <v>132</v>
      </c>
      <c r="AW853" s="51" t="n">
        <f aca="false">IF(AS853&gt;0,J853/AS853,-1)</f>
        <v>112</v>
      </c>
      <c r="AX853" s="51" t="n">
        <f aca="false">IF(AND(OR(CF853="L1",CF853="L23",CF853="LIFT"),AS853&gt;0),SUMIFS($AS$7:$AS$1843,$CF$7:$CF$1843,CF853,$AW$7:$AW$1843,"&gt;"&amp;AW853)+SUMIFS($AS$7:$AS$1843,$CF$7:$CF$1843,CF853,$AW$7:$AW$1843,AW853,$BW$7:$BW$1843,"&lt;="&amp;BW853),"")</f>
        <v>821.535714285714</v>
      </c>
      <c r="AY853" s="58" t="n">
        <f aca="false">IF(AX853="",0,MAX(0,MIN(1,(IF(CF853="L1",Parameter!$H$5,IF(CF853="L23",Parameter!$H$6+Parameter!$H$7,Parameter!$H$5+Parameter!$H$6+Parameter!$H$7))-(AX853-AS853))/AS853)))</f>
        <v>1</v>
      </c>
      <c r="AZ853" s="50" t="n">
        <f aca="false">IF(LEFT(Cockpit!$O$5,1)="A",H853,IF(Parameter!$E$30="MAX-Bestand",IF(CH853=1,CI853,IF(LEFT(Cockpit!$O$5,1)="B",BF853,MAX(BF853,H853))),ROUNDUP(BD853,0)))</f>
        <v>70</v>
      </c>
      <c r="BA853" s="50" t="n">
        <f aca="false">IF(BZ853=1,0,ROUNDUP(AZ853/BY853,0))</f>
        <v>1</v>
      </c>
      <c r="BB853" s="52" t="n">
        <f aca="false">IF(CQ853&gt;0,CQ853*MAX(1,AZ853/X853),IF(BZ853=1,IF(AZ853&lt;=0,0,CD853*MAX(1,IF(H853&gt;0,AZ853/H853,1))),IF(R853&gt;0,BA853/R853,0))/MAX(0.1,N(Parameter!$M$21)))</f>
        <v>0.00714285714285714</v>
      </c>
      <c r="BC853" s="50" t="n">
        <f aca="false">BB853*CB853</f>
        <v>1.10714285714286</v>
      </c>
      <c r="BD853" s="51" t="n">
        <f aca="false">IF(LEFT(Cockpit!$O$5,1)="A",H853,IF(CH853=1,(CK853+CI853)/2,IF(LEFT(Cockpit!$O$5,1)="B",(CK853+BF853)/2,MAX((CK853+BF853)/2,H853))))</f>
        <v>69.5</v>
      </c>
      <c r="BE853" s="50" t="n">
        <f aca="false">BD853*G853</f>
        <v>4.865</v>
      </c>
      <c r="BF853" s="50" t="n">
        <f aca="false">ROUNDUP(CK853+MAX(CL853,2*(J853/IF(CG853&gt;0,CG853,MAX(0.1,N(Cockpit!$O$6)))-CK853)),0)</f>
        <v>132</v>
      </c>
      <c r="BG853" s="51" t="n">
        <f aca="false">IF(BC853&gt;0,J853/BC853,-1)</f>
        <v>112</v>
      </c>
      <c r="BH853" s="51" t="n">
        <f aca="false">IF(AND(OR(CF853="L1",CF853="L23",CF853="LIFT"),BC853&gt;0),SUMIFS($BC$7:$BC$1843,$CF$7:$CF$1843,CF853,$BG$7:$BG$1843,"&gt;"&amp;BG853)+SUMIFS($BC$7:$BC$1843,$CF$7:$CF$1843,CF853,$BG$7:$BG$1843,BG853,$BW$7:$BW$1843,"&lt;="&amp;BW853),"")</f>
        <v>877.650183150183</v>
      </c>
      <c r="BI853" s="58" t="n">
        <f aca="false">IF(BH853="",0,MAX(0,MIN(1,(IF(CF853="L1",Parameter!$H$5,IF(CF853="L23",Parameter!$H$6+Parameter!$H$7,Parameter!$H$5+Parameter!$H$6+Parameter!$H$7))-(BH853-BC853))/BC853)))</f>
        <v>1</v>
      </c>
      <c r="BJ853" s="48" t="str">
        <f aca="false">IF(AI853&lt;=0,"",IF(CF853="Aussen","Aussenlager",IF(CF853="-","Nicht im Lift",IF(AO853&gt;=1,"Lift",IF(AO853&lt;=0,"Aussenlager","teilweise")))))</f>
        <v>Lift</v>
      </c>
      <c r="BK853" s="48" t="str">
        <f aca="false">IF(AS853&lt;=0,"",IF(CF853="Aussen","Aussenlager",IF(CF853="-","Nicht im Lift",IF(AY853&gt;=1,"Lift",IF(AY853&lt;=0,"Aussenlager","teilweise")))))</f>
        <v>Lift</v>
      </c>
      <c r="BL853" s="48" t="str">
        <f aca="false">IF(BC853&lt;=0,"",IF(CF853="Aussen","Aussenlager",IF(CF853="-","Nicht im Lift",IF(BI853&gt;=1,"Lift",IF(BI853&lt;=0,"Aussenlager","teilweise")))))</f>
        <v>Lift</v>
      </c>
      <c r="BM853" s="48" t="str">
        <f aca="false">IF(A853="","",IF(BV853=1,"Neu; ","")&amp;IF(AND(BV853=0,BQ853&lt;0),"negativer Bestand (Export "&amp;BQ853&amp;"); ","")&amp;IF(J853&lt;=0,"Kein Verbrauch; ","")&amp;IF(CQ853&gt;0,"Lift "&amp;W853&amp;" lt. Liftbericht (Fach "&amp;X853&amp;" Stk); ",IF(CA853=1,"Gebinde geschätzt ("&amp;T853&amp;"); ",IF(BZ853=1,"Lose – Tablare geschätzt; ","")))&amp;IF(H853&gt;AV853,"Überbestand "&amp;ROUND(H853-AV853,0)&amp;" Stk / CHF "&amp;ROUND((H853-AV853)*G853,0)&amp;"; ","")&amp;IF(AND(CH853=1,CI853&lt;CJ853),"MAX &lt; MB+LG; ","")&amp;IF(AND(CP853&gt;0,CO853*10&gt;CP853),"zu hoch für Tablar; ","")&amp;IF(AND(BV853=0,OR(CH853=1,AA853&lt;&gt;"",U853&lt;&gt;"",V853&lt;&gt;"",AB853&lt;&gt;"")),"manuell übersteuert; ","")&amp;IF(AND(BZ853=0,R853=0),"Gebinde unbekannt / Stellmass fehlt; ","")&amp;IF(AND(BZ853=0,N(V853)&lt;=0,N(Q853)&lt;=0),"Menge pro Gebinde fehlt (Ist = 1 Gebinde); ","")&amp;BU853)</f>
        <v>negativer Bestand (Export -252); Überbestand 155 Stk / CHF 11; </v>
      </c>
      <c r="BN853" s="48"/>
      <c r="BO853" s="48"/>
      <c r="BP853" s="55"/>
      <c r="BQ853" s="50" t="n">
        <v>-252</v>
      </c>
      <c r="BR853" s="50" t="n">
        <v>539</v>
      </c>
      <c r="BS853" s="49" t="n">
        <v>-17.64</v>
      </c>
      <c r="BT853" s="50" t="n">
        <v>124</v>
      </c>
      <c r="BU853" s="48"/>
      <c r="BV853" s="53" t="n">
        <v>0</v>
      </c>
      <c r="BW853" s="53" t="n">
        <v>853</v>
      </c>
      <c r="BX853" s="48" t="str">
        <f aca="false">IF(U853&lt;&gt;"",UPPER(TRIM(U853)),IF(CA853=1,UPPER(VLOOKUP(T853,Parameter!$I$27:$K$29,2,0)),IF(P853="","LOSE",P853)))</f>
        <v>S22</v>
      </c>
      <c r="BY853" s="50" t="n">
        <f aca="false">IF(BX853="LOSE",1,IF(N(V853)&gt;0,V853,IF(CA853=1,MAX(1,N(VLOOKUP(T853,Parameter!$I$27:$K$29,3,0)),H853,N(N853)),IF(N(Q853)&gt;0,Q853,MAX(1,H853)))))</f>
        <v>300</v>
      </c>
      <c r="BZ853" s="53" t="n">
        <f aca="false">IF(BX853="LOSE",1,0)</f>
        <v>0</v>
      </c>
      <c r="CA853" s="53" t="n">
        <f aca="false">IF(AND(U853="",OR(P853="",P853="LOSE"),T853&lt;&gt;"",N(S853)&lt;=0,ISNUMBER(MATCH(T853,Parameter!$I$27:$I$29,0))),1,0)</f>
        <v>0</v>
      </c>
      <c r="CB853" s="53" t="n">
        <f aca="false">IF(CQ853&gt;0,INDEX(Parameter!$H$5:$H$7,W853)/INDEX(Parameter!$E$5:$E$7,W853),IF(AND(BZ853=0,N(IFERROR(VLOOKUP(BX853,'Gebinde-Kategorie'!$A$5:$N$45,14,0),0))&gt;0),VLOOKUP(BX853,'Gebinde-Kategorie'!$A$5:$N$45,14,0)*10+Parameter!$M$23,Parameter!$M$24))</f>
        <v>155</v>
      </c>
      <c r="CC853" s="48" t="str">
        <f aca="false">IF(AND(Parameter!$B$19="Ja",E853&lt;&gt;"",ISNUMBER(MATCH(E853,Parameter!$I$35:$I$52,0))),VLOOKUP(E853,Parameter!$I$35:$J$52,2,0),IFERROR(VLOOKUP(D853,Parameter!$A$35:$C$64,2,0),"Nein"))</f>
        <v>2+3</v>
      </c>
      <c r="CD853" s="52" t="n">
        <f aca="false">IF(BZ853=0,0,IF(N(S853)&gt;0,S853,IFERROR(VLOOKUP(D853,Parameter!$A$35:$C$64,3,0)+0,0)))</f>
        <v>0</v>
      </c>
      <c r="CE853" s="48" t="n">
        <f aca="false">IF(AA853&lt;&gt;"",AA853,Z853)</f>
        <v>3</v>
      </c>
      <c r="CF853" s="48" t="str">
        <f aca="false">IF(OR(CE853=1,CE853=2,CE853=3),IF(Parameter!$E$27="Ja","LIFT",IF(CE853=1,"L1","L23")),IF(CE853="Aussen","Aussen","-"))</f>
        <v>LIFT</v>
      </c>
      <c r="CG853" s="59" t="n">
        <f aca="false">IF(N(AB853)&gt;0,AB853,0)</f>
        <v>0</v>
      </c>
      <c r="CH853" s="53" t="n">
        <f aca="false">IF(ISNUMBER(AE853),1,0)</f>
        <v>0</v>
      </c>
      <c r="CI853" s="50" t="n">
        <f aca="false">N(AE853)</f>
        <v>0</v>
      </c>
      <c r="CJ853" s="50" t="n">
        <f aca="false">N(M853)+N(N853)</f>
        <v>132</v>
      </c>
      <c r="CK853" s="50" t="n">
        <f aca="false">N(M853)</f>
        <v>7</v>
      </c>
      <c r="CL853" s="50" t="n">
        <f aca="false">N(N853)</f>
        <v>125</v>
      </c>
      <c r="CM853" s="50" t="n">
        <f aca="false">ROUNDUP(H853/BY853,0)</f>
        <v>1</v>
      </c>
      <c r="CN853" s="50" t="n">
        <f aca="false">ROUNDUP(CI853/BY853,0)</f>
        <v>0</v>
      </c>
      <c r="CO853" s="53" t="n">
        <f aca="false">IF(BZ853=1,0,IFERROR(VLOOKUP(BX853,'Gebinde-Kategorie'!$A$5:$N$45,5,0)+0,0))</f>
        <v>8</v>
      </c>
      <c r="CP853" s="53" t="n">
        <f aca="false">IFERROR(IF(OR(CE853=1,CE853=2,CE853=3),N(INDEX(Parameter!$I$5:$I$7,CE853)),0),0)</f>
        <v>0</v>
      </c>
      <c r="CQ853" s="52" t="n">
        <f aca="false">IF(AND(Parameter!$B$21="Ja",ISNUMBER(W853),N(X853)&gt;0),IFERROR(N(INDEX(Parameter!$L$5:$L$7,W853))*INDEX(Parameter!$E$5:$E$7,W853)*X853/SUMIFS($X$7:$X$1843,$W$7:$W$1843,W853),0),0)</f>
        <v>0</v>
      </c>
    </row>
    <row r="854" customFormat="false" ht="15" hidden="false" customHeight="false" outlineLevel="0" collapsed="false">
      <c r="A854" s="48" t="s">
        <v>1637</v>
      </c>
      <c r="B854" s="48" t="s">
        <v>412</v>
      </c>
      <c r="C854" s="48" t="s">
        <v>173</v>
      </c>
      <c r="D854" s="48" t="s">
        <v>193</v>
      </c>
      <c r="E854" s="48" t="s">
        <v>194</v>
      </c>
      <c r="F854" s="48" t="s">
        <v>227</v>
      </c>
      <c r="G854" s="49" t="n">
        <v>0.34</v>
      </c>
      <c r="H854" s="50" t="n">
        <f aca="false">MAX(0,IF(AND(Parameter!$B$21="Ja",ISNUMBER(Y854)),Y854,IF(Parameter!$B$20="Jahresanfang 2025 + Export",BR854+BQ854,BQ854)))</f>
        <v>50</v>
      </c>
      <c r="I854" s="50" t="n">
        <f aca="false">H854*G854</f>
        <v>17</v>
      </c>
      <c r="J854" s="50" t="n">
        <f aca="false">BT854*Parameter!$B$18</f>
        <v>400</v>
      </c>
      <c r="K854" s="51" t="n">
        <v>178</v>
      </c>
      <c r="L854" s="52" t="n">
        <v>2.24719101123596</v>
      </c>
      <c r="M854" s="50" t="n">
        <v>23</v>
      </c>
      <c r="N854" s="50" t="n">
        <v>400</v>
      </c>
      <c r="O854" s="53" t="n">
        <v>21</v>
      </c>
      <c r="P854" s="48" t="s">
        <v>235</v>
      </c>
      <c r="Q854" s="50" t="n">
        <v>555</v>
      </c>
      <c r="R854" s="53" t="n">
        <f aca="false">IF(BZ854=1,0,IFERROR(VLOOKUP(BX854,'Gebinde-Kategorie'!$A$5:$N$45,13,0)+0,0))</f>
        <v>12</v>
      </c>
      <c r="S854" s="54"/>
      <c r="T854" s="55"/>
      <c r="U854" s="55"/>
      <c r="V854" s="55"/>
      <c r="W854" s="48"/>
      <c r="X854" s="50"/>
      <c r="Y854" s="50"/>
      <c r="Z854" s="48" t="n">
        <f aca="false">IF(A854="","",IF(AND(Parameter!$B$21="Ja",ISNUMBER(W854)),W854,IF(CC854="2+3",IF(ISNUMBER(SEARCH("grosser Artikel",BU854)),2,IFERROR(VLOOKUP(BX854,Parameter!$F$35:$G$64,2,0),2)),IF(OR(CC854="Nein",CC854=""),"-",CC854))))</f>
        <v>2</v>
      </c>
      <c r="AA854" s="55"/>
      <c r="AB854" s="56"/>
      <c r="AC854" s="50" t="n">
        <f aca="false">AV854</f>
        <v>423</v>
      </c>
      <c r="AD854" s="50" t="n">
        <f aca="false">MAX(AV854,H854)</f>
        <v>423</v>
      </c>
      <c r="AE854" s="57"/>
      <c r="AF854" s="50" t="n">
        <f aca="false">IF(LEFT(Cockpit!$C$5,1)="A",H854,IF(Parameter!$E$30="MAX-Bestand",IF(CH854=1,CI854,IF(LEFT(Cockpit!$C$5,1)="B",AL854,MAX(AL854,H854))),ROUNDUP(AJ854,0)))</f>
        <v>50</v>
      </c>
      <c r="AG854" s="50" t="n">
        <f aca="false">IF(BZ854=1,0,ROUNDUP(AF854/BY854,0))</f>
        <v>1</v>
      </c>
      <c r="AH854" s="52" t="n">
        <f aca="false">IF(CQ854&gt;0,CQ854*MAX(1,AF854/X854),IF(BZ854=1,IF(AF854&lt;=0,0,CD854*MAX(1,IF(H854&gt;0,AF854/H854,1))),IF(R854&gt;0,AG854/R854,0))/MAX(0.1,N(Parameter!$M$21)))</f>
        <v>0.0833333333333333</v>
      </c>
      <c r="AI854" s="50" t="n">
        <f aca="false">AH854*CB854</f>
        <v>28.75</v>
      </c>
      <c r="AJ854" s="51" t="n">
        <f aca="false">IF(LEFT(Cockpit!$C$5,1)="A",H854,IF(CH854=1,(CK854+CI854)/2,IF(LEFT(Cockpit!$C$5,1)="B",(CK854+AL854)/2,MAX((CK854+AL854)/2,H854))))</f>
        <v>50</v>
      </c>
      <c r="AK854" s="50" t="n">
        <f aca="false">AJ854*G854</f>
        <v>17</v>
      </c>
      <c r="AL854" s="50" t="n">
        <f aca="false">ROUNDUP(CK854+MAX(CL854,2*(J854/IF(CG854&gt;0,CG854,MAX(0.1,N(Cockpit!$C$6)))-CK854)),0)</f>
        <v>423</v>
      </c>
      <c r="AM854" s="51" t="n">
        <f aca="false">IF(AI854&gt;0,J854/AI854,-1)</f>
        <v>13.9130434782609</v>
      </c>
      <c r="AN854" s="51" t="n">
        <f aca="false">IF(AND(OR(CF854="L1",CF854="L23",CF854="LIFT"),AI854&gt;0),SUMIFS($AI$7:$AI$1843,$CF$7:$CF$1843,CF854,$AM$7:$AM$1843,"&gt;"&amp;AM854)+SUMIFS($AI$7:$AI$1843,$CF$7:$CF$1843,CF854,$AM$7:$AM$1843,AM854,$BW$7:$BW$1843,"&lt;="&amp;BW854),"")</f>
        <v>2200.84340659341</v>
      </c>
      <c r="AO854" s="58" t="n">
        <f aca="false">IF(AN854="",0,MAX(0,MIN(1,(IF(CF854="L1",Parameter!$H$5,IF(CF854="L23",Parameter!$H$6+Parameter!$H$7,Parameter!$H$5+Parameter!$H$6+Parameter!$H$7))-(AN854-AI854))/AI854)))</f>
        <v>1</v>
      </c>
      <c r="AP854" s="50" t="n">
        <f aca="false">IF(LEFT(Cockpit!$I$5,1)="A",H854,IF(Parameter!$E$30="MAX-Bestand",IF(CH854=1,CI854,IF(LEFT(Cockpit!$I$5,1)="B",AV854,MAX(AV854,H854))),ROUNDUP(AT854,0)))</f>
        <v>223</v>
      </c>
      <c r="AQ854" s="50" t="n">
        <f aca="false">IF(BZ854=1,0,ROUNDUP(AP854/BY854,0))</f>
        <v>1</v>
      </c>
      <c r="AR854" s="52" t="n">
        <f aca="false">IF(CQ854&gt;0,CQ854*MAX(1,AP854/X854),IF(BZ854=1,IF(AP854&lt;=0,0,CD854*MAX(1,IF(H854&gt;0,AP854/H854,1))),IF(R854&gt;0,AQ854/R854,0))/MAX(0.1,N(Parameter!$M$21)))</f>
        <v>0.0833333333333333</v>
      </c>
      <c r="AS854" s="50" t="n">
        <f aca="false">AR854*CB854</f>
        <v>28.75</v>
      </c>
      <c r="AT854" s="51" t="n">
        <f aca="false">IF(LEFT(Cockpit!$I$5,1)="A",H854,IF(CH854=1,(CK854+CI854)/2,IF(LEFT(Cockpit!$I$5,1)="B",(CK854+AV854)/2,MAX((CK854+AV854)/2,H854))))</f>
        <v>223</v>
      </c>
      <c r="AU854" s="50" t="n">
        <f aca="false">AT854*G854</f>
        <v>75.82</v>
      </c>
      <c r="AV854" s="50" t="n">
        <f aca="false">ROUNDUP(CK854+MAX(CL854,2*(J854/IF(CG854&gt;0,CG854,MAX(0.1,N(Cockpit!$I$6)))-CK854)),0)</f>
        <v>423</v>
      </c>
      <c r="AW854" s="51" t="n">
        <f aca="false">IF(AS854&gt;0,J854/AS854,-1)</f>
        <v>13.9130434782609</v>
      </c>
      <c r="AX854" s="51" t="n">
        <f aca="false">IF(AND(OR(CF854="L1",CF854="L23",CF854="LIFT"),AS854&gt;0),SUMIFS($AS$7:$AS$1843,$CF$7:$CF$1843,CF854,$AW$7:$AW$1843,"&gt;"&amp;AW854)+SUMIFS($AS$7:$AS$1843,$CF$7:$CF$1843,CF854,$AW$7:$AW$1843,AW854,$BW$7:$BW$1843,"&lt;="&amp;BW854),"")</f>
        <v>2820.03021978022</v>
      </c>
      <c r="AY854" s="58" t="n">
        <f aca="false">IF(AX854="",0,MAX(0,MIN(1,(IF(CF854="L1",Parameter!$H$5,IF(CF854="L23",Parameter!$H$6+Parameter!$H$7,Parameter!$H$5+Parameter!$H$6+Parameter!$H$7))-(AX854-AS854))/AS854)))</f>
        <v>1</v>
      </c>
      <c r="AZ854" s="50" t="n">
        <f aca="false">IF(LEFT(Cockpit!$O$5,1)="A",H854,IF(Parameter!$E$30="MAX-Bestand",IF(CH854=1,CI854,IF(LEFT(Cockpit!$O$5,1)="B",BF854,MAX(BF854,H854))),ROUNDUP(BD854,0)))</f>
        <v>223</v>
      </c>
      <c r="BA854" s="50" t="n">
        <f aca="false">IF(BZ854=1,0,ROUNDUP(AZ854/BY854,0))</f>
        <v>1</v>
      </c>
      <c r="BB854" s="52" t="n">
        <f aca="false">IF(CQ854&gt;0,CQ854*MAX(1,AZ854/X854),IF(BZ854=1,IF(AZ854&lt;=0,0,CD854*MAX(1,IF(H854&gt;0,AZ854/H854,1))),IF(R854&gt;0,BA854/R854,0))/MAX(0.1,N(Parameter!$M$21)))</f>
        <v>0.0833333333333333</v>
      </c>
      <c r="BC854" s="50" t="n">
        <f aca="false">BB854*CB854</f>
        <v>28.75</v>
      </c>
      <c r="BD854" s="51" t="n">
        <f aca="false">IF(LEFT(Cockpit!$O$5,1)="A",H854,IF(CH854=1,(CK854+CI854)/2,IF(LEFT(Cockpit!$O$5,1)="B",(CK854+BF854)/2,MAX((CK854+BF854)/2,H854))))</f>
        <v>223</v>
      </c>
      <c r="BE854" s="50" t="n">
        <f aca="false">BD854*G854</f>
        <v>75.82</v>
      </c>
      <c r="BF854" s="50" t="n">
        <f aca="false">ROUNDUP(CK854+MAX(CL854,2*(J854/IF(CG854&gt;0,CG854,MAX(0.1,N(Cockpit!$O$6)))-CK854)),0)</f>
        <v>423</v>
      </c>
      <c r="BG854" s="51" t="n">
        <f aca="false">IF(BC854&gt;0,J854/BC854,-1)</f>
        <v>13.9130434782609</v>
      </c>
      <c r="BH854" s="51" t="n">
        <f aca="false">IF(AND(OR(CF854="L1",CF854="L23",CF854="LIFT"),BC854&gt;0),SUMIFS($BC$7:$BC$1843,$CF$7:$CF$1843,CF854,$BG$7:$BG$1843,"&gt;"&amp;BG854)+SUMIFS($BC$7:$BC$1843,$CF$7:$CF$1843,CF854,$BG$7:$BG$1843,BG854,$BW$7:$BW$1843,"&lt;="&amp;BW854),"")</f>
        <v>2488.71703296703</v>
      </c>
      <c r="BI854" s="58" t="n">
        <f aca="false">IF(BH854="",0,MAX(0,MIN(1,(IF(CF854="L1",Parameter!$H$5,IF(CF854="L23",Parameter!$H$6+Parameter!$H$7,Parameter!$H$5+Parameter!$H$6+Parameter!$H$7))-(BH854-BC854))/BC854)))</f>
        <v>1</v>
      </c>
      <c r="BJ854" s="48" t="str">
        <f aca="false">IF(AI854&lt;=0,"",IF(CF854="Aussen","Aussenlager",IF(CF854="-","Nicht im Lift",IF(AO854&gt;=1,"Lift",IF(AO854&lt;=0,"Aussenlager","teilweise")))))</f>
        <v>Lift</v>
      </c>
      <c r="BK854" s="48" t="str">
        <f aca="false">IF(AS854&lt;=0,"",IF(CF854="Aussen","Aussenlager",IF(CF854="-","Nicht im Lift",IF(AY854&gt;=1,"Lift",IF(AY854&lt;=0,"Aussenlager","teilweise")))))</f>
        <v>Lift</v>
      </c>
      <c r="BL854" s="48" t="str">
        <f aca="false">IF(BC854&lt;=0,"",IF(CF854="Aussen","Aussenlager",IF(CF854="-","Nicht im Lift",IF(BI854&gt;=1,"Lift",IF(BI854&lt;=0,"Aussenlager","teilweise")))))</f>
        <v>Lift</v>
      </c>
      <c r="BM854" s="48" t="str">
        <f aca="false">IF(A854="","",IF(BV854=1,"Neu; ","")&amp;IF(AND(BV854=0,BQ854&lt;0),"negativer Bestand (Export "&amp;BQ854&amp;"); ","")&amp;IF(J854&lt;=0,"Kein Verbrauch; ","")&amp;IF(CQ854&gt;0,"Lift "&amp;W854&amp;" lt. Liftbericht (Fach "&amp;X854&amp;" Stk); ",IF(CA854=1,"Gebinde geschätzt ("&amp;T854&amp;"); ",IF(BZ854=1,"Lose – Tablare geschätzt; ","")))&amp;IF(H854&gt;AV854,"Überbestand "&amp;ROUND(H854-AV854,0)&amp;" Stk / CHF "&amp;ROUND((H854-AV854)*G854,0)&amp;"; ","")&amp;IF(AND(CH854=1,CI854&lt;CJ854),"MAX &lt; MB+LG; ","")&amp;IF(AND(CP854&gt;0,CO854*10&gt;CP854),"zu hoch für Tablar; ","")&amp;IF(AND(BV854=0,OR(CH854=1,AA854&lt;&gt;"",U854&lt;&gt;"",V854&lt;&gt;"",AB854&lt;&gt;"")),"manuell übersteuert; ","")&amp;IF(AND(BZ854=0,R854=0),"Gebinde unbekannt / Stellmass fehlt; ","")&amp;IF(AND(BZ854=0,N(V854)&lt;=0,N(Q854)&lt;=0),"Menge pro Gebinde fehlt (Ist = 1 Gebinde); ","")&amp;BU854)</f>
        <v>negativer Bestand (Export -56); </v>
      </c>
      <c r="BN854" s="48"/>
      <c r="BO854" s="48"/>
      <c r="BP854" s="55"/>
      <c r="BQ854" s="50" t="n">
        <v>-56</v>
      </c>
      <c r="BR854" s="50" t="n">
        <v>106</v>
      </c>
      <c r="BS854" s="49" t="n">
        <v>-17.98</v>
      </c>
      <c r="BT854" s="50" t="n">
        <v>400</v>
      </c>
      <c r="BU854" s="48"/>
      <c r="BV854" s="53" t="n">
        <v>0</v>
      </c>
      <c r="BW854" s="53" t="n">
        <v>854</v>
      </c>
      <c r="BX854" s="48" t="str">
        <f aca="false">IF(U854&lt;&gt;"",UPPER(TRIM(U854)),IF(CA854=1,UPPER(VLOOKUP(T854,Parameter!$I$27:$K$29,2,0)),IF(P854="","LOSE",P854)))</f>
        <v>S63</v>
      </c>
      <c r="BY854" s="50" t="n">
        <f aca="false">IF(BX854="LOSE",1,IF(N(V854)&gt;0,V854,IF(CA854=1,MAX(1,N(VLOOKUP(T854,Parameter!$I$27:$K$29,3,0)),H854,N(N854)),IF(N(Q854)&gt;0,Q854,MAX(1,H854)))))</f>
        <v>555</v>
      </c>
      <c r="BZ854" s="53" t="n">
        <f aca="false">IF(BX854="LOSE",1,0)</f>
        <v>0</v>
      </c>
      <c r="CA854" s="53" t="n">
        <f aca="false">IF(AND(U854="",OR(P854="",P854="LOSE"),T854&lt;&gt;"",N(S854)&lt;=0,ISNUMBER(MATCH(T854,Parameter!$I$27:$I$29,0))),1,0)</f>
        <v>0</v>
      </c>
      <c r="CB854" s="53" t="n">
        <f aca="false">IF(CQ854&gt;0,INDEX(Parameter!$H$5:$H$7,W854)/INDEX(Parameter!$E$5:$E$7,W854),IF(AND(BZ854=0,N(IFERROR(VLOOKUP(BX854,'Gebinde-Kategorie'!$A$5:$N$45,14,0),0))&gt;0),VLOOKUP(BX854,'Gebinde-Kategorie'!$A$5:$N$45,14,0)*10+Parameter!$M$23,Parameter!$M$24))</f>
        <v>345</v>
      </c>
      <c r="CC854" s="48" t="str">
        <f aca="false">IF(AND(Parameter!$B$19="Ja",E854&lt;&gt;"",ISNUMBER(MATCH(E854,Parameter!$I$35:$I$52,0))),VLOOKUP(E854,Parameter!$I$35:$J$52,2,0),IFERROR(VLOOKUP(D854,Parameter!$A$35:$C$64,2,0),"Nein"))</f>
        <v>2+3</v>
      </c>
      <c r="CD854" s="52" t="n">
        <f aca="false">IF(BZ854=0,0,IF(N(S854)&gt;0,S854,IFERROR(VLOOKUP(D854,Parameter!$A$35:$C$64,3,0)+0,0)))</f>
        <v>0</v>
      </c>
      <c r="CE854" s="48" t="n">
        <f aca="false">IF(AA854&lt;&gt;"",AA854,Z854)</f>
        <v>2</v>
      </c>
      <c r="CF854" s="48" t="str">
        <f aca="false">IF(OR(CE854=1,CE854=2,CE854=3),IF(Parameter!$E$27="Ja","LIFT",IF(CE854=1,"L1","L23")),IF(CE854="Aussen","Aussen","-"))</f>
        <v>LIFT</v>
      </c>
      <c r="CG854" s="59" t="n">
        <f aca="false">IF(N(AB854)&gt;0,AB854,0)</f>
        <v>0</v>
      </c>
      <c r="CH854" s="53" t="n">
        <f aca="false">IF(ISNUMBER(AE854),1,0)</f>
        <v>0</v>
      </c>
      <c r="CI854" s="50" t="n">
        <f aca="false">N(AE854)</f>
        <v>0</v>
      </c>
      <c r="CJ854" s="50" t="n">
        <f aca="false">N(M854)+N(N854)</f>
        <v>423</v>
      </c>
      <c r="CK854" s="50" t="n">
        <f aca="false">N(M854)</f>
        <v>23</v>
      </c>
      <c r="CL854" s="50" t="n">
        <f aca="false">N(N854)</f>
        <v>400</v>
      </c>
      <c r="CM854" s="50" t="n">
        <f aca="false">ROUNDUP(H854/BY854,0)</f>
        <v>1</v>
      </c>
      <c r="CN854" s="50" t="n">
        <f aca="false">ROUNDUP(CI854/BY854,0)</f>
        <v>0</v>
      </c>
      <c r="CO854" s="53" t="n">
        <f aca="false">IF(BZ854=1,0,IFERROR(VLOOKUP(BX854,'Gebinde-Kategorie'!$A$5:$N$45,5,0)+0,0))</f>
        <v>31</v>
      </c>
      <c r="CP854" s="53" t="n">
        <f aca="false">IFERROR(IF(OR(CE854=1,CE854=2,CE854=3),N(INDEX(Parameter!$I$5:$I$7,CE854)),0),0)</f>
        <v>0</v>
      </c>
      <c r="CQ854" s="52" t="n">
        <f aca="false">IF(AND(Parameter!$B$21="Ja",ISNUMBER(W854),N(X854)&gt;0),IFERROR(N(INDEX(Parameter!$L$5:$L$7,W854))*INDEX(Parameter!$E$5:$E$7,W854)*X854/SUMIFS($X$7:$X$1843,$W$7:$W$1843,W854),0),0)</f>
        <v>0</v>
      </c>
    </row>
    <row r="855" customFormat="false" ht="15" hidden="false" customHeight="false" outlineLevel="0" collapsed="false">
      <c r="A855" s="48" t="s">
        <v>1638</v>
      </c>
      <c r="B855" s="48" t="s">
        <v>1639</v>
      </c>
      <c r="C855" s="48" t="s">
        <v>173</v>
      </c>
      <c r="D855" s="48" t="s">
        <v>193</v>
      </c>
      <c r="E855" s="48" t="s">
        <v>194</v>
      </c>
      <c r="F855" s="48" t="s">
        <v>227</v>
      </c>
      <c r="G855" s="49" t="n">
        <v>0.77</v>
      </c>
      <c r="H855" s="50" t="n">
        <f aca="false">MAX(0,IF(AND(Parameter!$B$21="Ja",ISNUMBER(Y855)),Y855,IF(Parameter!$B$20="Jahresanfang 2025 + Export",BR855+BQ855,BQ855)))</f>
        <v>5</v>
      </c>
      <c r="I855" s="50" t="n">
        <f aca="false">H855*G855</f>
        <v>3.85</v>
      </c>
      <c r="J855" s="50" t="n">
        <f aca="false">BT855*Parameter!$B$18</f>
        <v>2</v>
      </c>
      <c r="K855" s="51" t="n">
        <v>16</v>
      </c>
      <c r="L855" s="52" t="n">
        <v>0.125</v>
      </c>
      <c r="M855" s="50" t="n">
        <v>0</v>
      </c>
      <c r="N855" s="50" t="n">
        <v>1</v>
      </c>
      <c r="O855" s="53" t="n">
        <v>14</v>
      </c>
      <c r="P855" s="48" t="s">
        <v>177</v>
      </c>
      <c r="Q855" s="50"/>
      <c r="R855" s="53" t="n">
        <f aca="false">IF(BZ855=1,0,IFERROR(VLOOKUP(BX855,'Gebinde-Kategorie'!$A$5:$N$45,13,0)+0,0))</f>
        <v>26</v>
      </c>
      <c r="S855" s="54"/>
      <c r="T855" s="55" t="s">
        <v>284</v>
      </c>
      <c r="U855" s="55"/>
      <c r="V855" s="55"/>
      <c r="W855" s="48"/>
      <c r="X855" s="50"/>
      <c r="Y855" s="50"/>
      <c r="Z855" s="48" t="n">
        <f aca="false">IF(A855="","",IF(AND(Parameter!$B$21="Ja",ISNUMBER(W855)),W855,IF(CC855="2+3",IF(ISNUMBER(SEARCH("grosser Artikel",BU855)),2,IFERROR(VLOOKUP(BX855,Parameter!$F$35:$G$64,2,0),2)),IF(OR(CC855="Nein",CC855=""),"-",CC855))))</f>
        <v>3</v>
      </c>
      <c r="AA855" s="55"/>
      <c r="AB855" s="56"/>
      <c r="AC855" s="50" t="n">
        <f aca="false">AV855</f>
        <v>2</v>
      </c>
      <c r="AD855" s="50" t="n">
        <f aca="false">MAX(AV855,H855)</f>
        <v>5</v>
      </c>
      <c r="AE855" s="57"/>
      <c r="AF855" s="50" t="n">
        <f aca="false">IF(LEFT(Cockpit!$C$5,1)="A",H855,IF(Parameter!$E$30="MAX-Bestand",IF(CH855=1,CI855,IF(LEFT(Cockpit!$C$5,1)="B",AL855,MAX(AL855,H855))),ROUNDUP(AJ855,0)))</f>
        <v>5</v>
      </c>
      <c r="AG855" s="50" t="n">
        <f aca="false">IF(BZ855=1,0,ROUNDUP(AF855/BY855,0))</f>
        <v>1</v>
      </c>
      <c r="AH855" s="52" t="n">
        <f aca="false">IF(CQ855&gt;0,CQ855*MAX(1,AF855/X855),IF(BZ855=1,IF(AF855&lt;=0,0,CD855*MAX(1,IF(H855&gt;0,AF855/H855,1))),IF(R855&gt;0,AG855/R855,0))/MAX(0.1,N(Parameter!$M$21)))</f>
        <v>0.0384615384615385</v>
      </c>
      <c r="AI855" s="50" t="n">
        <f aca="false">AH855*CB855</f>
        <v>5.96153846153846</v>
      </c>
      <c r="AJ855" s="51" t="n">
        <f aca="false">IF(LEFT(Cockpit!$C$5,1)="A",H855,IF(CH855=1,(CK855+CI855)/2,IF(LEFT(Cockpit!$C$5,1)="B",(CK855+AL855)/2,MAX((CK855+AL855)/2,H855))))</f>
        <v>5</v>
      </c>
      <c r="AK855" s="50" t="n">
        <f aca="false">AJ855*G855</f>
        <v>3.85</v>
      </c>
      <c r="AL855" s="50" t="n">
        <f aca="false">ROUNDUP(CK855+MAX(CL855,2*(J855/IF(CG855&gt;0,CG855,MAX(0.1,N(Cockpit!$C$6)))-CK855)),0)</f>
        <v>2</v>
      </c>
      <c r="AM855" s="51" t="n">
        <f aca="false">IF(AI855&gt;0,J855/AI855,-1)</f>
        <v>0.335483870967742</v>
      </c>
      <c r="AN855" s="51" t="n">
        <f aca="false">IF(AND(OR(CF855="L1",CF855="L23",CF855="LIFT"),AI855&gt;0),SUMIFS($AI$7:$AI$1843,$CF$7:$CF$1843,CF855,$AM$7:$AM$1843,"&gt;"&amp;AM855)+SUMIFS($AI$7:$AI$1843,$CF$7:$CF$1843,CF855,$AM$7:$AM$1843,AM855,$BW$7:$BW$1843,"&lt;="&amp;BW855),"")</f>
        <v>11209.8655010244</v>
      </c>
      <c r="AO855" s="58" t="n">
        <f aca="false">IF(AN855="",0,MAX(0,MIN(1,(IF(CF855="L1",Parameter!$H$5,IF(CF855="L23",Parameter!$H$6+Parameter!$H$7,Parameter!$H$5+Parameter!$H$6+Parameter!$H$7))-(AN855-AI855))/AI855)))</f>
        <v>1</v>
      </c>
      <c r="AP855" s="50" t="n">
        <f aca="false">IF(LEFT(Cockpit!$I$5,1)="A",H855,IF(Parameter!$E$30="MAX-Bestand",IF(CH855=1,CI855,IF(LEFT(Cockpit!$I$5,1)="B",AV855,MAX(AV855,H855))),ROUNDUP(AT855,0)))</f>
        <v>5</v>
      </c>
      <c r="AQ855" s="50" t="n">
        <f aca="false">IF(BZ855=1,0,ROUNDUP(AP855/BY855,0))</f>
        <v>1</v>
      </c>
      <c r="AR855" s="52" t="n">
        <f aca="false">IF(CQ855&gt;0,CQ855*MAX(1,AP855/X855),IF(BZ855=1,IF(AP855&lt;=0,0,CD855*MAX(1,IF(H855&gt;0,AP855/H855,1))),IF(R855&gt;0,AQ855/R855,0))/MAX(0.1,N(Parameter!$M$21)))</f>
        <v>0.0384615384615385</v>
      </c>
      <c r="AS855" s="50" t="n">
        <f aca="false">AR855*CB855</f>
        <v>5.96153846153846</v>
      </c>
      <c r="AT855" s="51" t="n">
        <f aca="false">IF(LEFT(Cockpit!$I$5,1)="A",H855,IF(CH855=1,(CK855+CI855)/2,IF(LEFT(Cockpit!$I$5,1)="B",(CK855+AV855)/2,MAX((CK855+AV855)/2,H855))))</f>
        <v>5</v>
      </c>
      <c r="AU855" s="50" t="n">
        <f aca="false">AT855*G855</f>
        <v>3.85</v>
      </c>
      <c r="AV855" s="50" t="n">
        <f aca="false">ROUNDUP(CK855+MAX(CL855,2*(J855/IF(CG855&gt;0,CG855,MAX(0.1,N(Cockpit!$I$6)))-CK855)),0)</f>
        <v>2</v>
      </c>
      <c r="AW855" s="51" t="n">
        <f aca="false">IF(AS855&gt;0,J855/AS855,-1)</f>
        <v>0.335483870967742</v>
      </c>
      <c r="AX855" s="51" t="n">
        <f aca="false">IF(AND(OR(CF855="L1",CF855="L23",CF855="LIFT"),AS855&gt;0),SUMIFS($AS$7:$AS$1843,$CF$7:$CF$1843,CF855,$AW$7:$AW$1843,"&gt;"&amp;AW855)+SUMIFS($AS$7:$AS$1843,$CF$7:$CF$1843,CF855,$AW$7:$AW$1843,AW855,$BW$7:$BW$1843,"&lt;="&amp;BW855),"")</f>
        <v>13744.0032051282</v>
      </c>
      <c r="AY855" s="58" t="n">
        <f aca="false">IF(AX855="",0,MAX(0,MIN(1,(IF(CF855="L1",Parameter!$H$5,IF(CF855="L23",Parameter!$H$6+Parameter!$H$7,Parameter!$H$5+Parameter!$H$6+Parameter!$H$7))-(AX855-AS855))/AS855)))</f>
        <v>1</v>
      </c>
      <c r="AZ855" s="50" t="n">
        <f aca="false">IF(LEFT(Cockpit!$O$5,1)="A",H855,IF(Parameter!$E$30="MAX-Bestand",IF(CH855=1,CI855,IF(LEFT(Cockpit!$O$5,1)="B",BF855,MAX(BF855,H855))),ROUNDUP(BD855,0)))</f>
        <v>1</v>
      </c>
      <c r="BA855" s="50" t="n">
        <f aca="false">IF(BZ855=1,0,ROUNDUP(AZ855/BY855,0))</f>
        <v>1</v>
      </c>
      <c r="BB855" s="52" t="n">
        <f aca="false">IF(CQ855&gt;0,CQ855*MAX(1,AZ855/X855),IF(BZ855=1,IF(AZ855&lt;=0,0,CD855*MAX(1,IF(H855&gt;0,AZ855/H855,1))),IF(R855&gt;0,BA855/R855,0))/MAX(0.1,N(Parameter!$M$21)))</f>
        <v>0.0384615384615385</v>
      </c>
      <c r="BC855" s="50" t="n">
        <f aca="false">BB855*CB855</f>
        <v>5.96153846153846</v>
      </c>
      <c r="BD855" s="51" t="n">
        <f aca="false">IF(LEFT(Cockpit!$O$5,1)="A",H855,IF(CH855=1,(CK855+CI855)/2,IF(LEFT(Cockpit!$O$5,1)="B",(CK855+BF855)/2,MAX((CK855+BF855)/2,H855))))</f>
        <v>0.5</v>
      </c>
      <c r="BE855" s="50" t="n">
        <f aca="false">BD855*G855</f>
        <v>0.385</v>
      </c>
      <c r="BF855" s="50" t="n">
        <f aca="false">ROUNDUP(CK855+MAX(CL855,2*(J855/IF(CG855&gt;0,CG855,MAX(0.1,N(Cockpit!$O$6)))-CK855)),0)</f>
        <v>1</v>
      </c>
      <c r="BG855" s="51" t="n">
        <f aca="false">IF(BC855&gt;0,J855/BC855,-1)</f>
        <v>0.335483870967742</v>
      </c>
      <c r="BH855" s="51" t="n">
        <f aca="false">IF(AND(OR(CF855="L1",CF855="L23",CF855="LIFT"),BC855&gt;0),SUMIFS($BC$7:$BC$1843,$CF$7:$CF$1843,CF855,$BG$7:$BG$1843,"&gt;"&amp;BG855)+SUMIFS($BC$7:$BC$1843,$CF$7:$CF$1843,CF855,$BG$7:$BG$1843,BG855,$BW$7:$BW$1843,"&lt;="&amp;BW855),"")</f>
        <v>11594.961996337</v>
      </c>
      <c r="BI855" s="58" t="n">
        <f aca="false">IF(BH855="",0,MAX(0,MIN(1,(IF(CF855="L1",Parameter!$H$5,IF(CF855="L23",Parameter!$H$6+Parameter!$H$7,Parameter!$H$5+Parameter!$H$6+Parameter!$H$7))-(BH855-BC855))/BC855)))</f>
        <v>1</v>
      </c>
      <c r="BJ855" s="48" t="str">
        <f aca="false">IF(AI855&lt;=0,"",IF(CF855="Aussen","Aussenlager",IF(CF855="-","Nicht im Lift",IF(AO855&gt;=1,"Lift",IF(AO855&lt;=0,"Aussenlager","teilweise")))))</f>
        <v>Lift</v>
      </c>
      <c r="BK855" s="48" t="str">
        <f aca="false">IF(AS855&lt;=0,"",IF(CF855="Aussen","Aussenlager",IF(CF855="-","Nicht im Lift",IF(AY855&gt;=1,"Lift",IF(AY855&lt;=0,"Aussenlager","teilweise")))))</f>
        <v>Lift</v>
      </c>
      <c r="BL855" s="48" t="str">
        <f aca="false">IF(BC855&lt;=0,"",IF(CF855="Aussen","Aussenlager",IF(CF855="-","Nicht im Lift",IF(BI855&gt;=1,"Lift",IF(BI855&lt;=0,"Aussenlager","teilweise")))))</f>
        <v>Lift</v>
      </c>
      <c r="BM855" s="48" t="str">
        <f aca="false">IF(A855="","",IF(BV855=1,"Neu; ","")&amp;IF(AND(BV855=0,BQ855&lt;0),"negativer Bestand (Export "&amp;BQ855&amp;"); ","")&amp;IF(J855&lt;=0,"Kein Verbrauch; ","")&amp;IF(CQ855&gt;0,"Lift "&amp;W855&amp;" lt. Liftbericht (Fach "&amp;X855&amp;" Stk); ",IF(CA855=1,"Gebinde geschätzt ("&amp;T855&amp;"); ",IF(BZ855=1,"Lose – Tablare geschätzt; ","")))&amp;IF(H855&gt;AV855,"Überbestand "&amp;ROUND(H855-AV855,0)&amp;" Stk / CHF "&amp;ROUND((H855-AV855)*G855,0)&amp;"; ","")&amp;IF(AND(CH855=1,CI855&lt;CJ855),"MAX &lt; MB+LG; ","")&amp;IF(AND(CP855&gt;0,CO855*10&gt;CP855),"zu hoch für Tablar; ","")&amp;IF(AND(BV855=0,OR(CH855=1,AA855&lt;&gt;"",U855&lt;&gt;"",V855&lt;&gt;"",AB855&lt;&gt;"")),"manuell übersteuert; ","")&amp;IF(AND(BZ855=0,R855=0),"Gebinde unbekannt / Stellmass fehlt; ","")&amp;IF(AND(BZ855=0,N(V855)&lt;=0,N(Q855)&lt;=0),"Menge pro Gebinde fehlt (Ist = 1 Gebinde); ","")&amp;BU855)</f>
        <v>negativer Bestand (Export -24); Gebinde geschätzt (Klein); Überbestand 3 Stk / CHF 2; Menge pro Gebinde fehlt (Ist = 1 Gebinde); Überbestand; nicht im KTL vorhanden</v>
      </c>
      <c r="BN855" s="48"/>
      <c r="BO855" s="48"/>
      <c r="BP855" s="55"/>
      <c r="BQ855" s="50" t="n">
        <v>-24</v>
      </c>
      <c r="BR855" s="50" t="n">
        <v>29</v>
      </c>
      <c r="BS855" s="49" t="n">
        <v>-18.48</v>
      </c>
      <c r="BT855" s="50" t="n">
        <v>2</v>
      </c>
      <c r="BU855" s="48" t="s">
        <v>1640</v>
      </c>
      <c r="BV855" s="53" t="n">
        <v>0</v>
      </c>
      <c r="BW855" s="53" t="n">
        <v>855</v>
      </c>
      <c r="BX855" s="48" t="str">
        <f aca="false">IF(U855&lt;&gt;"",UPPER(TRIM(U855)),IF(CA855=1,UPPER(VLOOKUP(T855,Parameter!$I$27:$K$29,2,0)),IF(P855="","LOSE",P855)))</f>
        <v>S51</v>
      </c>
      <c r="BY855" s="50" t="n">
        <f aca="false">IF(BX855="LOSE",1,IF(N(V855)&gt;0,V855,IF(CA855=1,MAX(1,N(VLOOKUP(T855,Parameter!$I$27:$K$29,3,0)),H855,N(N855)),IF(N(Q855)&gt;0,Q855,MAX(1,H855)))))</f>
        <v>20</v>
      </c>
      <c r="BZ855" s="53" t="n">
        <f aca="false">IF(BX855="LOSE",1,0)</f>
        <v>0</v>
      </c>
      <c r="CA855" s="53" t="n">
        <f aca="false">IF(AND(U855="",OR(P855="",P855="LOSE"),T855&lt;&gt;"",N(S855)&lt;=0,ISNUMBER(MATCH(T855,Parameter!$I$27:$I$29,0))),1,0)</f>
        <v>1</v>
      </c>
      <c r="CB855" s="53" t="n">
        <f aca="false">IF(CQ855&gt;0,INDEX(Parameter!$H$5:$H$7,W855)/INDEX(Parameter!$E$5:$E$7,W855),IF(AND(BZ855=0,N(IFERROR(VLOOKUP(BX855,'Gebinde-Kategorie'!$A$5:$N$45,14,0),0))&gt;0),VLOOKUP(BX855,'Gebinde-Kategorie'!$A$5:$N$45,14,0)*10+Parameter!$M$23,Parameter!$M$24))</f>
        <v>155</v>
      </c>
      <c r="CC855" s="48" t="str">
        <f aca="false">IF(AND(Parameter!$B$19="Ja",E855&lt;&gt;"",ISNUMBER(MATCH(E855,Parameter!$I$35:$I$52,0))),VLOOKUP(E855,Parameter!$I$35:$J$52,2,0),IFERROR(VLOOKUP(D855,Parameter!$A$35:$C$64,2,0),"Nein"))</f>
        <v>2+3</v>
      </c>
      <c r="CD855" s="52" t="n">
        <f aca="false">IF(BZ855=0,0,IF(N(S855)&gt;0,S855,IFERROR(VLOOKUP(D855,Parameter!$A$35:$C$64,3,0)+0,0)))</f>
        <v>0</v>
      </c>
      <c r="CE855" s="48" t="n">
        <f aca="false">IF(AA855&lt;&gt;"",AA855,Z855)</f>
        <v>3</v>
      </c>
      <c r="CF855" s="48" t="str">
        <f aca="false">IF(OR(CE855=1,CE855=2,CE855=3),IF(Parameter!$E$27="Ja","LIFT",IF(CE855=1,"L1","L23")),IF(CE855="Aussen","Aussen","-"))</f>
        <v>LIFT</v>
      </c>
      <c r="CG855" s="59" t="n">
        <f aca="false">IF(N(AB855)&gt;0,AB855,0)</f>
        <v>0</v>
      </c>
      <c r="CH855" s="53" t="n">
        <f aca="false">IF(ISNUMBER(AE855),1,0)</f>
        <v>0</v>
      </c>
      <c r="CI855" s="50" t="n">
        <f aca="false">N(AE855)</f>
        <v>0</v>
      </c>
      <c r="CJ855" s="50" t="n">
        <f aca="false">N(M855)+N(N855)</f>
        <v>1</v>
      </c>
      <c r="CK855" s="50" t="n">
        <f aca="false">N(M855)</f>
        <v>0</v>
      </c>
      <c r="CL855" s="50" t="n">
        <f aca="false">N(N855)</f>
        <v>1</v>
      </c>
      <c r="CM855" s="50" t="n">
        <f aca="false">ROUNDUP(H855/BY855,0)</f>
        <v>1</v>
      </c>
      <c r="CN855" s="50" t="n">
        <f aca="false">ROUNDUP(CI855/BY855,0)</f>
        <v>0</v>
      </c>
      <c r="CO855" s="53" t="n">
        <f aca="false">IF(BZ855=1,0,IFERROR(VLOOKUP(BX855,'Gebinde-Kategorie'!$A$5:$N$45,5,0)+0,0))</f>
        <v>11</v>
      </c>
      <c r="CP855" s="53" t="n">
        <f aca="false">IFERROR(IF(OR(CE855=1,CE855=2,CE855=3),N(INDEX(Parameter!$I$5:$I$7,CE855)),0),0)</f>
        <v>0</v>
      </c>
      <c r="CQ855" s="52" t="n">
        <f aca="false">IF(AND(Parameter!$B$21="Ja",ISNUMBER(W855),N(X855)&gt;0),IFERROR(N(INDEX(Parameter!$L$5:$L$7,W855))*INDEX(Parameter!$E$5:$E$7,W855)*X855/SUMIFS($X$7:$X$1843,$W$7:$W$1843,W855),0),0)</f>
        <v>0</v>
      </c>
    </row>
    <row r="856" customFormat="false" ht="15" hidden="false" customHeight="false" outlineLevel="0" collapsed="false">
      <c r="A856" s="48" t="s">
        <v>1641</v>
      </c>
      <c r="B856" s="48" t="s">
        <v>1299</v>
      </c>
      <c r="C856" s="48" t="s">
        <v>173</v>
      </c>
      <c r="D856" s="48" t="s">
        <v>193</v>
      </c>
      <c r="E856" s="48" t="s">
        <v>194</v>
      </c>
      <c r="F856" s="48" t="s">
        <v>227</v>
      </c>
      <c r="G856" s="49" t="n">
        <v>0.72</v>
      </c>
      <c r="H856" s="50" t="n">
        <f aca="false">MAX(0,IF(AND(Parameter!$B$21="Ja",ISNUMBER(Y856)),Y856,IF(Parameter!$B$20="Jahresanfang 2025 + Export",BR856+BQ856,BQ856)))</f>
        <v>464</v>
      </c>
      <c r="I856" s="50" t="n">
        <f aca="false">H856*G856</f>
        <v>334.08</v>
      </c>
      <c r="J856" s="50" t="n">
        <f aca="false">BT856*Parameter!$B$18</f>
        <v>60</v>
      </c>
      <c r="K856" s="51" t="n">
        <v>519.5</v>
      </c>
      <c r="L856" s="52" t="n">
        <v>0.115495668912416</v>
      </c>
      <c r="M856" s="50" t="n">
        <v>2</v>
      </c>
      <c r="N856" s="50" t="n">
        <v>60</v>
      </c>
      <c r="O856" s="53" t="n">
        <v>14</v>
      </c>
      <c r="P856" s="48" t="s">
        <v>242</v>
      </c>
      <c r="Q856" s="50" t="n">
        <v>831</v>
      </c>
      <c r="R856" s="53" t="n">
        <f aca="false">IF(BZ856=1,0,IFERROR(VLOOKUP(BX856,'Gebinde-Kategorie'!$A$5:$N$45,13,0)+0,0))</f>
        <v>26</v>
      </c>
      <c r="S856" s="54"/>
      <c r="T856" s="55"/>
      <c r="U856" s="55"/>
      <c r="V856" s="55"/>
      <c r="W856" s="48"/>
      <c r="X856" s="50"/>
      <c r="Y856" s="50"/>
      <c r="Z856" s="48" t="n">
        <f aca="false">IF(A856="","",IF(AND(Parameter!$B$21="Ja",ISNUMBER(W856)),W856,IF(CC856="2+3",IF(ISNUMBER(SEARCH("grosser Artikel",BU856)),2,IFERROR(VLOOKUP(BX856,Parameter!$F$35:$G$64,2,0),2)),IF(OR(CC856="Nein",CC856=""),"-",CC856))))</f>
        <v>3</v>
      </c>
      <c r="AA856" s="55"/>
      <c r="AB856" s="56"/>
      <c r="AC856" s="50" t="n">
        <f aca="false">AV856</f>
        <v>62</v>
      </c>
      <c r="AD856" s="50" t="n">
        <f aca="false">MAX(AV856,H856)</f>
        <v>464</v>
      </c>
      <c r="AE856" s="57"/>
      <c r="AF856" s="50" t="n">
        <f aca="false">IF(LEFT(Cockpit!$C$5,1)="A",H856,IF(Parameter!$E$30="MAX-Bestand",IF(CH856=1,CI856,IF(LEFT(Cockpit!$C$5,1)="B",AL856,MAX(AL856,H856))),ROUNDUP(AJ856,0)))</f>
        <v>464</v>
      </c>
      <c r="AG856" s="50" t="n">
        <f aca="false">IF(BZ856=1,0,ROUNDUP(AF856/BY856,0))</f>
        <v>1</v>
      </c>
      <c r="AH856" s="52" t="n">
        <f aca="false">IF(CQ856&gt;0,CQ856*MAX(1,AF856/X856),IF(BZ856=1,IF(AF856&lt;=0,0,CD856*MAX(1,IF(H856&gt;0,AF856/H856,1))),IF(R856&gt;0,AG856/R856,0))/MAX(0.1,N(Parameter!$M$21)))</f>
        <v>0.0384615384615385</v>
      </c>
      <c r="AI856" s="50" t="n">
        <f aca="false">AH856*CB856</f>
        <v>9.42307692307692</v>
      </c>
      <c r="AJ856" s="51" t="n">
        <f aca="false">IF(LEFT(Cockpit!$C$5,1)="A",H856,IF(CH856=1,(CK856+CI856)/2,IF(LEFT(Cockpit!$C$5,1)="B",(CK856+AL856)/2,MAX((CK856+AL856)/2,H856))))</f>
        <v>464</v>
      </c>
      <c r="AK856" s="50" t="n">
        <f aca="false">AJ856*G856</f>
        <v>334.08</v>
      </c>
      <c r="AL856" s="50" t="n">
        <f aca="false">ROUNDUP(CK856+MAX(CL856,2*(J856/IF(CG856&gt;0,CG856,MAX(0.1,N(Cockpit!$C$6)))-CK856)),0)</f>
        <v>62</v>
      </c>
      <c r="AM856" s="51" t="n">
        <f aca="false">IF(AI856&gt;0,J856/AI856,-1)</f>
        <v>6.36734693877551</v>
      </c>
      <c r="AN856" s="51" t="n">
        <f aca="false">IF(AND(OR(CF856="L1",CF856="L23",CF856="LIFT"),AI856&gt;0),SUMIFS($AI$7:$AI$1843,$CF$7:$CF$1843,CF856,$AM$7:$AM$1843,"&gt;"&amp;AM856)+SUMIFS($AI$7:$AI$1843,$CF$7:$CF$1843,CF856,$AM$7:$AM$1843,AM856,$BW$7:$BW$1843,"&lt;="&amp;BW856),"")</f>
        <v>3450.68177655678</v>
      </c>
      <c r="AO856" s="58" t="n">
        <f aca="false">IF(AN856="",0,MAX(0,MIN(1,(IF(CF856="L1",Parameter!$H$5,IF(CF856="L23",Parameter!$H$6+Parameter!$H$7,Parameter!$H$5+Parameter!$H$6+Parameter!$H$7))-(AN856-AI856))/AI856)))</f>
        <v>1</v>
      </c>
      <c r="AP856" s="50" t="n">
        <f aca="false">IF(LEFT(Cockpit!$I$5,1)="A",H856,IF(Parameter!$E$30="MAX-Bestand",IF(CH856=1,CI856,IF(LEFT(Cockpit!$I$5,1)="B",AV856,MAX(AV856,H856))),ROUNDUP(AT856,0)))</f>
        <v>464</v>
      </c>
      <c r="AQ856" s="50" t="n">
        <f aca="false">IF(BZ856=1,0,ROUNDUP(AP856/BY856,0))</f>
        <v>1</v>
      </c>
      <c r="AR856" s="52" t="n">
        <f aca="false">IF(CQ856&gt;0,CQ856*MAX(1,AP856/X856),IF(BZ856=1,IF(AP856&lt;=0,0,CD856*MAX(1,IF(H856&gt;0,AP856/H856,1))),IF(R856&gt;0,AQ856/R856,0))/MAX(0.1,N(Parameter!$M$21)))</f>
        <v>0.0384615384615385</v>
      </c>
      <c r="AS856" s="50" t="n">
        <f aca="false">AR856*CB856</f>
        <v>9.42307692307692</v>
      </c>
      <c r="AT856" s="51" t="n">
        <f aca="false">IF(LEFT(Cockpit!$I$5,1)="A",H856,IF(CH856=1,(CK856+CI856)/2,IF(LEFT(Cockpit!$I$5,1)="B",(CK856+AV856)/2,MAX((CK856+AV856)/2,H856))))</f>
        <v>464</v>
      </c>
      <c r="AU856" s="50" t="n">
        <f aca="false">AT856*G856</f>
        <v>334.08</v>
      </c>
      <c r="AV856" s="50" t="n">
        <f aca="false">ROUNDUP(CK856+MAX(CL856,2*(J856/IF(CG856&gt;0,CG856,MAX(0.1,N(Cockpit!$I$6)))-CK856)),0)</f>
        <v>62</v>
      </c>
      <c r="AW856" s="51" t="n">
        <f aca="false">IF(AS856&gt;0,J856/AS856,-1)</f>
        <v>6.36734693877551</v>
      </c>
      <c r="AX856" s="51" t="n">
        <f aca="false">IF(AND(OR(CF856="L1",CF856="L23",CF856="LIFT"),AS856&gt;0),SUMIFS($AS$7:$AS$1843,$CF$7:$CF$1843,CF856,$AW$7:$AW$1843,"&gt;"&amp;AW856)+SUMIFS($AS$7:$AS$1843,$CF$7:$CF$1843,CF856,$AW$7:$AW$1843,AW856,$BW$7:$BW$1843,"&lt;="&amp;BW856),"")</f>
        <v>4136.76236263736</v>
      </c>
      <c r="AY856" s="58" t="n">
        <f aca="false">IF(AX856="",0,MAX(0,MIN(1,(IF(CF856="L1",Parameter!$H$5,IF(CF856="L23",Parameter!$H$6+Parameter!$H$7,Parameter!$H$5+Parameter!$H$6+Parameter!$H$7))-(AX856-AS856))/AS856)))</f>
        <v>1</v>
      </c>
      <c r="AZ856" s="50" t="n">
        <f aca="false">IF(LEFT(Cockpit!$O$5,1)="A",H856,IF(Parameter!$E$30="MAX-Bestand",IF(CH856=1,CI856,IF(LEFT(Cockpit!$O$5,1)="B",BF856,MAX(BF856,H856))),ROUNDUP(BD856,0)))</f>
        <v>32</v>
      </c>
      <c r="BA856" s="50" t="n">
        <f aca="false">IF(BZ856=1,0,ROUNDUP(AZ856/BY856,0))</f>
        <v>1</v>
      </c>
      <c r="BB856" s="52" t="n">
        <f aca="false">IF(CQ856&gt;0,CQ856*MAX(1,AZ856/X856),IF(BZ856=1,IF(AZ856&lt;=0,0,CD856*MAX(1,IF(H856&gt;0,AZ856/H856,1))),IF(R856&gt;0,BA856/R856,0))/MAX(0.1,N(Parameter!$M$21)))</f>
        <v>0.0384615384615385</v>
      </c>
      <c r="BC856" s="50" t="n">
        <f aca="false">BB856*CB856</f>
        <v>9.42307692307692</v>
      </c>
      <c r="BD856" s="51" t="n">
        <f aca="false">IF(LEFT(Cockpit!$O$5,1)="A",H856,IF(CH856=1,(CK856+CI856)/2,IF(LEFT(Cockpit!$O$5,1)="B",(CK856+BF856)/2,MAX((CK856+BF856)/2,H856))))</f>
        <v>32</v>
      </c>
      <c r="BE856" s="50" t="n">
        <f aca="false">BD856*G856</f>
        <v>23.04</v>
      </c>
      <c r="BF856" s="50" t="n">
        <f aca="false">ROUNDUP(CK856+MAX(CL856,2*(J856/IF(CG856&gt;0,CG856,MAX(0.1,N(Cockpit!$O$6)))-CK856)),0)</f>
        <v>62</v>
      </c>
      <c r="BG856" s="51" t="n">
        <f aca="false">IF(BC856&gt;0,J856/BC856,-1)</f>
        <v>6.36734693877551</v>
      </c>
      <c r="BH856" s="51" t="n">
        <f aca="false">IF(AND(OR(CF856="L1",CF856="L23",CF856="LIFT"),BC856&gt;0),SUMIFS($BC$7:$BC$1843,$CF$7:$CF$1843,CF856,$BG$7:$BG$1843,"&gt;"&amp;BG856)+SUMIFS($BC$7:$BC$1843,$CF$7:$CF$1843,CF856,$BG$7:$BG$1843,BG856,$BW$7:$BW$1843,"&lt;="&amp;BW856),"")</f>
        <v>3409.80998168498</v>
      </c>
      <c r="BI856" s="58" t="n">
        <f aca="false">IF(BH856="",0,MAX(0,MIN(1,(IF(CF856="L1",Parameter!$H$5,IF(CF856="L23",Parameter!$H$6+Parameter!$H$7,Parameter!$H$5+Parameter!$H$6+Parameter!$H$7))-(BH856-BC856))/BC856)))</f>
        <v>1</v>
      </c>
      <c r="BJ856" s="48" t="str">
        <f aca="false">IF(AI856&lt;=0,"",IF(CF856="Aussen","Aussenlager",IF(CF856="-","Nicht im Lift",IF(AO856&gt;=1,"Lift",IF(AO856&lt;=0,"Aussenlager","teilweise")))))</f>
        <v>Lift</v>
      </c>
      <c r="BK856" s="48" t="str">
        <f aca="false">IF(AS856&lt;=0,"",IF(CF856="Aussen","Aussenlager",IF(CF856="-","Nicht im Lift",IF(AY856&gt;=1,"Lift",IF(AY856&lt;=0,"Aussenlager","teilweise")))))</f>
        <v>Lift</v>
      </c>
      <c r="BL856" s="48" t="str">
        <f aca="false">IF(BC856&lt;=0,"",IF(CF856="Aussen","Aussenlager",IF(CF856="-","Nicht im Lift",IF(BI856&gt;=1,"Lift",IF(BI856&lt;=0,"Aussenlager","teilweise")))))</f>
        <v>Lift</v>
      </c>
      <c r="BM856" s="48" t="str">
        <f aca="false">IF(A856="","",IF(BV856=1,"Neu; ","")&amp;IF(AND(BV856=0,BQ856&lt;0),"negativer Bestand (Export "&amp;BQ856&amp;"); ","")&amp;IF(J856&lt;=0,"Kein Verbrauch; ","")&amp;IF(CQ856&gt;0,"Lift "&amp;W856&amp;" lt. Liftbericht (Fach "&amp;X856&amp;" Stk); ",IF(CA856=1,"Gebinde geschätzt ("&amp;T856&amp;"); ",IF(BZ856=1,"Lose – Tablare geschätzt; ","")))&amp;IF(H856&gt;AV856,"Überbestand "&amp;ROUND(H856-AV856,0)&amp;" Stk / CHF "&amp;ROUND((H856-AV856)*G856,0)&amp;"; ","")&amp;IF(AND(CH856=1,CI856&lt;CJ856),"MAX &lt; MB+LG; ","")&amp;IF(AND(CP856&gt;0,CO856*10&gt;CP856),"zu hoch für Tablar; ","")&amp;IF(AND(BV856=0,OR(CH856=1,AA856&lt;&gt;"",U856&lt;&gt;"",V856&lt;&gt;"",AB856&lt;&gt;"")),"manuell übersteuert; ","")&amp;IF(AND(BZ856=0,R856=0),"Gebinde unbekannt / Stellmass fehlt; ","")&amp;IF(AND(BZ856=0,N(V856)&lt;=0,N(Q856)&lt;=0),"Menge pro Gebinde fehlt (Ist = 1 Gebinde); ","")&amp;BU856)</f>
        <v>negativer Bestand (Export -26); Überbestand 402 Stk / CHF 289; Überbestand</v>
      </c>
      <c r="BN856" s="48"/>
      <c r="BO856" s="48"/>
      <c r="BP856" s="55"/>
      <c r="BQ856" s="50" t="n">
        <v>-26</v>
      </c>
      <c r="BR856" s="50" t="n">
        <v>490</v>
      </c>
      <c r="BS856" s="49" t="n">
        <v>-18.7199999999999</v>
      </c>
      <c r="BT856" s="50" t="n">
        <v>60</v>
      </c>
      <c r="BU856" s="48" t="s">
        <v>401</v>
      </c>
      <c r="BV856" s="53" t="n">
        <v>0</v>
      </c>
      <c r="BW856" s="53" t="n">
        <v>856</v>
      </c>
      <c r="BX856" s="48" t="str">
        <f aca="false">IF(U856&lt;&gt;"",UPPER(TRIM(U856)),IF(CA856=1,UPPER(VLOOKUP(T856,Parameter!$I$27:$K$29,2,0)),IF(P856="","LOSE",P856)))</f>
        <v>S52</v>
      </c>
      <c r="BY856" s="50" t="n">
        <f aca="false">IF(BX856="LOSE",1,IF(N(V856)&gt;0,V856,IF(CA856=1,MAX(1,N(VLOOKUP(T856,Parameter!$I$27:$K$29,3,0)),H856,N(N856)),IF(N(Q856)&gt;0,Q856,MAX(1,H856)))))</f>
        <v>831</v>
      </c>
      <c r="BZ856" s="53" t="n">
        <f aca="false">IF(BX856="LOSE",1,0)</f>
        <v>0</v>
      </c>
      <c r="CA856" s="53" t="n">
        <f aca="false">IF(AND(U856="",OR(P856="",P856="LOSE"),T856&lt;&gt;"",N(S856)&lt;=0,ISNUMBER(MATCH(T856,Parameter!$I$27:$I$29,0))),1,0)</f>
        <v>0</v>
      </c>
      <c r="CB856" s="53" t="n">
        <f aca="false">IF(CQ856&gt;0,INDEX(Parameter!$H$5:$H$7,W856)/INDEX(Parameter!$E$5:$E$7,W856),IF(AND(BZ856=0,N(IFERROR(VLOOKUP(BX856,'Gebinde-Kategorie'!$A$5:$N$45,14,0),0))&gt;0),VLOOKUP(BX856,'Gebinde-Kategorie'!$A$5:$N$45,14,0)*10+Parameter!$M$23,Parameter!$M$24))</f>
        <v>245</v>
      </c>
      <c r="CC856" s="48" t="str">
        <f aca="false">IF(AND(Parameter!$B$19="Ja",E856&lt;&gt;"",ISNUMBER(MATCH(E856,Parameter!$I$35:$I$52,0))),VLOOKUP(E856,Parameter!$I$35:$J$52,2,0),IFERROR(VLOOKUP(D856,Parameter!$A$35:$C$64,2,0),"Nein"))</f>
        <v>2+3</v>
      </c>
      <c r="CD856" s="52" t="n">
        <f aca="false">IF(BZ856=0,0,IF(N(S856)&gt;0,S856,IFERROR(VLOOKUP(D856,Parameter!$A$35:$C$64,3,0)+0,0)))</f>
        <v>0</v>
      </c>
      <c r="CE856" s="48" t="n">
        <f aca="false">IF(AA856&lt;&gt;"",AA856,Z856)</f>
        <v>3</v>
      </c>
      <c r="CF856" s="48" t="str">
        <f aca="false">IF(OR(CE856=1,CE856=2,CE856=3),IF(Parameter!$E$27="Ja","LIFT",IF(CE856=1,"L1","L23")),IF(CE856="Aussen","Aussen","-"))</f>
        <v>LIFT</v>
      </c>
      <c r="CG856" s="59" t="n">
        <f aca="false">IF(N(AB856)&gt;0,AB856,0)</f>
        <v>0</v>
      </c>
      <c r="CH856" s="53" t="n">
        <f aca="false">IF(ISNUMBER(AE856),1,0)</f>
        <v>0</v>
      </c>
      <c r="CI856" s="50" t="n">
        <f aca="false">N(AE856)</f>
        <v>0</v>
      </c>
      <c r="CJ856" s="50" t="n">
        <f aca="false">N(M856)+N(N856)</f>
        <v>62</v>
      </c>
      <c r="CK856" s="50" t="n">
        <f aca="false">N(M856)</f>
        <v>2</v>
      </c>
      <c r="CL856" s="50" t="n">
        <f aca="false">N(N856)</f>
        <v>60</v>
      </c>
      <c r="CM856" s="50" t="n">
        <f aca="false">ROUNDUP(H856/BY856,0)</f>
        <v>1</v>
      </c>
      <c r="CN856" s="50" t="n">
        <f aca="false">ROUNDUP(CI856/BY856,0)</f>
        <v>0</v>
      </c>
      <c r="CO856" s="53" t="n">
        <f aca="false">IF(BZ856=1,0,IFERROR(VLOOKUP(BX856,'Gebinde-Kategorie'!$A$5:$N$45,5,0)+0,0))</f>
        <v>21</v>
      </c>
      <c r="CP856" s="53" t="n">
        <f aca="false">IFERROR(IF(OR(CE856=1,CE856=2,CE856=3),N(INDEX(Parameter!$I$5:$I$7,CE856)),0),0)</f>
        <v>0</v>
      </c>
      <c r="CQ856" s="52" t="n">
        <f aca="false">IF(AND(Parameter!$B$21="Ja",ISNUMBER(W856),N(X856)&gt;0),IFERROR(N(INDEX(Parameter!$L$5:$L$7,W856))*INDEX(Parameter!$E$5:$E$7,W856)*X856/SUMIFS($X$7:$X$1843,$W$7:$W$1843,W856),0),0)</f>
        <v>0</v>
      </c>
    </row>
    <row r="857" customFormat="false" ht="15" hidden="false" customHeight="false" outlineLevel="0" collapsed="false">
      <c r="A857" s="48" t="s">
        <v>1642</v>
      </c>
      <c r="B857" s="48" t="s">
        <v>1643</v>
      </c>
      <c r="C857" s="48" t="s">
        <v>173</v>
      </c>
      <c r="D857" s="48" t="s">
        <v>182</v>
      </c>
      <c r="E857" s="48"/>
      <c r="F857" s="48" t="s">
        <v>227</v>
      </c>
      <c r="G857" s="49" t="n">
        <v>13.44</v>
      </c>
      <c r="H857" s="50" t="n">
        <f aca="false">MAX(0,IF(AND(Parameter!$B$21="Ja",ISNUMBER(Y857)),Y857,IF(Parameter!$B$20="Jahresanfang 2025 + Export",BR857+BQ857,BQ857)))</f>
        <v>42</v>
      </c>
      <c r="I857" s="50" t="n">
        <f aca="false">H857*G857</f>
        <v>564.48</v>
      </c>
      <c r="J857" s="50" t="n">
        <f aca="false">BT857*Parameter!$B$18</f>
        <v>146</v>
      </c>
      <c r="K857" s="51" t="n">
        <v>47</v>
      </c>
      <c r="L857" s="52" t="n">
        <v>3.1063829787234</v>
      </c>
      <c r="M857" s="50" t="n">
        <v>5</v>
      </c>
      <c r="N857" s="50" t="n">
        <v>25</v>
      </c>
      <c r="O857" s="53" t="n">
        <v>14</v>
      </c>
      <c r="P857" s="48" t="s">
        <v>183</v>
      </c>
      <c r="Q857" s="50" t="n">
        <v>80</v>
      </c>
      <c r="R857" s="53" t="n">
        <f aca="false">IF(BZ857=1,0,IFERROR(VLOOKUP(BX857,'Gebinde-Kategorie'!$A$5:$N$45,13,0)+0,0))</f>
        <v>6</v>
      </c>
      <c r="S857" s="54"/>
      <c r="T857" s="55"/>
      <c r="U857" s="55"/>
      <c r="V857" s="55"/>
      <c r="W857" s="48"/>
      <c r="X857" s="50"/>
      <c r="Y857" s="50"/>
      <c r="Z857" s="48" t="n">
        <f aca="false">IF(A857="","",IF(AND(Parameter!$B$21="Ja",ISNUMBER(W857)),W857,IF(CC857="2+3",IF(ISNUMBER(SEARCH("grosser Artikel",BU857)),2,IFERROR(VLOOKUP(BX857,Parameter!$F$35:$G$64,2,0),2)),IF(OR(CC857="Nein",CC857=""),"-",CC857))))</f>
        <v>2</v>
      </c>
      <c r="AA857" s="55"/>
      <c r="AB857" s="56"/>
      <c r="AC857" s="50" t="n">
        <f aca="false">AV857</f>
        <v>93</v>
      </c>
      <c r="AD857" s="50" t="n">
        <f aca="false">MAX(AV857,H857)</f>
        <v>93</v>
      </c>
      <c r="AE857" s="57"/>
      <c r="AF857" s="50" t="n">
        <f aca="false">IF(LEFT(Cockpit!$C$5,1)="A",H857,IF(Parameter!$E$30="MAX-Bestand",IF(CH857=1,CI857,IF(LEFT(Cockpit!$C$5,1)="B",AL857,MAX(AL857,H857))),ROUNDUP(AJ857,0)))</f>
        <v>42</v>
      </c>
      <c r="AG857" s="50" t="n">
        <f aca="false">IF(BZ857=1,0,ROUNDUP(AF857/BY857,0))</f>
        <v>1</v>
      </c>
      <c r="AH857" s="52" t="n">
        <f aca="false">IF(CQ857&gt;0,CQ857*MAX(1,AF857/X857),IF(BZ857=1,IF(AF857&lt;=0,0,CD857*MAX(1,IF(H857&gt;0,AF857/H857,1))),IF(R857&gt;0,AG857/R857,0))/MAX(0.1,N(Parameter!$M$21)))</f>
        <v>0.166666666666667</v>
      </c>
      <c r="AI857" s="50" t="n">
        <f aca="false">AH857*CB857</f>
        <v>39.1666666666667</v>
      </c>
      <c r="AJ857" s="51" t="n">
        <f aca="false">IF(LEFT(Cockpit!$C$5,1)="A",H857,IF(CH857=1,(CK857+CI857)/2,IF(LEFT(Cockpit!$C$5,1)="B",(CK857+AL857)/2,MAX((CK857+AL857)/2,H857))))</f>
        <v>42</v>
      </c>
      <c r="AK857" s="50" t="n">
        <f aca="false">AJ857*G857</f>
        <v>564.48</v>
      </c>
      <c r="AL857" s="50" t="n">
        <f aca="false">ROUNDUP(CK857+MAX(CL857,2*(J857/IF(CG857&gt;0,CG857,MAX(0.1,N(Cockpit!$C$6)))-CK857)),0)</f>
        <v>93</v>
      </c>
      <c r="AM857" s="51" t="n">
        <f aca="false">IF(AI857&gt;0,J857/AI857,-1)</f>
        <v>3.72765957446809</v>
      </c>
      <c r="AN857" s="51" t="n">
        <f aca="false">IF(AND(OR(CF857="L1",CF857="L23",CF857="LIFT"),AI857&gt;0),SUMIFS($AI$7:$AI$1843,$CF$7:$CF$1843,CF857,$AM$7:$AM$1843,"&gt;"&amp;AM857)+SUMIFS($AI$7:$AI$1843,$CF$7:$CF$1843,CF857,$AM$7:$AM$1843,AM857,$BW$7:$BW$1843,"&lt;="&amp;BW857),"")</f>
        <v>4718.22435897436</v>
      </c>
      <c r="AO857" s="58" t="n">
        <f aca="false">IF(AN857="",0,MAX(0,MIN(1,(IF(CF857="L1",Parameter!$H$5,IF(CF857="L23",Parameter!$H$6+Parameter!$H$7,Parameter!$H$5+Parameter!$H$6+Parameter!$H$7))-(AN857-AI857))/AI857)))</f>
        <v>1</v>
      </c>
      <c r="AP857" s="50" t="n">
        <f aca="false">IF(LEFT(Cockpit!$I$5,1)="A",H857,IF(Parameter!$E$30="MAX-Bestand",IF(CH857=1,CI857,IF(LEFT(Cockpit!$I$5,1)="B",AV857,MAX(AV857,H857))),ROUNDUP(AT857,0)))</f>
        <v>49</v>
      </c>
      <c r="AQ857" s="50" t="n">
        <f aca="false">IF(BZ857=1,0,ROUNDUP(AP857/BY857,0))</f>
        <v>1</v>
      </c>
      <c r="AR857" s="52" t="n">
        <f aca="false">IF(CQ857&gt;0,CQ857*MAX(1,AP857/X857),IF(BZ857=1,IF(AP857&lt;=0,0,CD857*MAX(1,IF(H857&gt;0,AP857/H857,1))),IF(R857&gt;0,AQ857/R857,0))/MAX(0.1,N(Parameter!$M$21)))</f>
        <v>0.166666666666667</v>
      </c>
      <c r="AS857" s="50" t="n">
        <f aca="false">AR857*CB857</f>
        <v>39.1666666666667</v>
      </c>
      <c r="AT857" s="51" t="n">
        <f aca="false">IF(LEFT(Cockpit!$I$5,1)="A",H857,IF(CH857=1,(CK857+CI857)/2,IF(LEFT(Cockpit!$I$5,1)="B",(CK857+AV857)/2,MAX((CK857+AV857)/2,H857))))</f>
        <v>49</v>
      </c>
      <c r="AU857" s="50" t="n">
        <f aca="false">AT857*G857</f>
        <v>658.56</v>
      </c>
      <c r="AV857" s="50" t="n">
        <f aca="false">ROUNDUP(CK857+MAX(CL857,2*(J857/IF(CG857&gt;0,CG857,MAX(0.1,N(Cockpit!$I$6)))-CK857)),0)</f>
        <v>93</v>
      </c>
      <c r="AW857" s="51" t="n">
        <f aca="false">IF(AS857&gt;0,J857/AS857,-1)</f>
        <v>3.72765957446809</v>
      </c>
      <c r="AX857" s="51" t="n">
        <f aca="false">IF(AND(OR(CF857="L1",CF857="L23",CF857="LIFT"),AS857&gt;0),SUMIFS($AS$7:$AS$1843,$CF$7:$CF$1843,CF857,$AW$7:$AW$1843,"&gt;"&amp;AW857)+SUMIFS($AS$7:$AS$1843,$CF$7:$CF$1843,CF857,$AW$7:$AW$1843,AW857,$BW$7:$BW$1843,"&lt;="&amp;BW857),"")</f>
        <v>5336.64468864469</v>
      </c>
      <c r="AY857" s="58" t="n">
        <f aca="false">IF(AX857="",0,MAX(0,MIN(1,(IF(CF857="L1",Parameter!$H$5,IF(CF857="L23",Parameter!$H$6+Parameter!$H$7,Parameter!$H$5+Parameter!$H$6+Parameter!$H$7))-(AX857-AS857))/AS857)))</f>
        <v>1</v>
      </c>
      <c r="AZ857" s="50" t="n">
        <f aca="false">IF(LEFT(Cockpit!$O$5,1)="A",H857,IF(Parameter!$E$30="MAX-Bestand",IF(CH857=1,CI857,IF(LEFT(Cockpit!$O$5,1)="B",BF857,MAX(BF857,H857))),ROUNDUP(BD857,0)))</f>
        <v>37</v>
      </c>
      <c r="BA857" s="50" t="n">
        <f aca="false">IF(BZ857=1,0,ROUNDUP(AZ857/BY857,0))</f>
        <v>1</v>
      </c>
      <c r="BB857" s="52" t="n">
        <f aca="false">IF(CQ857&gt;0,CQ857*MAX(1,AZ857/X857),IF(BZ857=1,IF(AZ857&lt;=0,0,CD857*MAX(1,IF(H857&gt;0,AZ857/H857,1))),IF(R857&gt;0,BA857/R857,0))/MAX(0.1,N(Parameter!$M$21)))</f>
        <v>0.166666666666667</v>
      </c>
      <c r="BC857" s="50" t="n">
        <f aca="false">BB857*CB857</f>
        <v>39.1666666666667</v>
      </c>
      <c r="BD857" s="51" t="n">
        <f aca="false">IF(LEFT(Cockpit!$O$5,1)="A",H857,IF(CH857=1,(CK857+CI857)/2,IF(LEFT(Cockpit!$O$5,1)="B",(CK857+BF857)/2,MAX((CK857+BF857)/2,H857))))</f>
        <v>36.5</v>
      </c>
      <c r="BE857" s="50" t="n">
        <f aca="false">BD857*G857</f>
        <v>490.56</v>
      </c>
      <c r="BF857" s="50" t="n">
        <f aca="false">ROUNDUP(CK857+MAX(CL857,2*(J857/IF(CG857&gt;0,CG857,MAX(0.1,N(Cockpit!$O$6)))-CK857)),0)</f>
        <v>68</v>
      </c>
      <c r="BG857" s="51" t="n">
        <f aca="false">IF(BC857&gt;0,J857/BC857,-1)</f>
        <v>3.72765957446809</v>
      </c>
      <c r="BH857" s="51" t="n">
        <f aca="false">IF(AND(OR(CF857="L1",CF857="L23",CF857="LIFT"),BC857&gt;0),SUMIFS($BC$7:$BC$1843,$CF$7:$CF$1843,CF857,$BG$7:$BG$1843,"&gt;"&amp;BG857)+SUMIFS($BC$7:$BC$1843,$CF$7:$CF$1843,CF857,$BG$7:$BG$1843,BG857,$BW$7:$BW$1843,"&lt;="&amp;BW857),"")</f>
        <v>4355.01648351648</v>
      </c>
      <c r="BI857" s="58" t="n">
        <f aca="false">IF(BH857="",0,MAX(0,MIN(1,(IF(CF857="L1",Parameter!$H$5,IF(CF857="L23",Parameter!$H$6+Parameter!$H$7,Parameter!$H$5+Parameter!$H$6+Parameter!$H$7))-(BH857-BC857))/BC857)))</f>
        <v>1</v>
      </c>
      <c r="BJ857" s="48" t="str">
        <f aca="false">IF(AI857&lt;=0,"",IF(CF857="Aussen","Aussenlager",IF(CF857="-","Nicht im Lift",IF(AO857&gt;=1,"Lift",IF(AO857&lt;=0,"Aussenlager","teilweise")))))</f>
        <v>Lift</v>
      </c>
      <c r="BK857" s="48" t="str">
        <f aca="false">IF(AS857&lt;=0,"",IF(CF857="Aussen","Aussenlager",IF(CF857="-","Nicht im Lift",IF(AY857&gt;=1,"Lift",IF(AY857&lt;=0,"Aussenlager","teilweise")))))</f>
        <v>Lift</v>
      </c>
      <c r="BL857" s="48" t="str">
        <f aca="false">IF(BC857&lt;=0,"",IF(CF857="Aussen","Aussenlager",IF(CF857="-","Nicht im Lift",IF(BI857&gt;=1,"Lift",IF(BI857&lt;=0,"Aussenlager","teilweise")))))</f>
        <v>Lift</v>
      </c>
      <c r="BM857" s="48" t="str">
        <f aca="false">IF(A857="","",IF(BV857=1,"Neu; ","")&amp;IF(AND(BV857=0,BQ857&lt;0),"negativer Bestand (Export "&amp;BQ857&amp;"); ","")&amp;IF(J857&lt;=0,"Kein Verbrauch; ","")&amp;IF(CQ857&gt;0,"Lift "&amp;W857&amp;" lt. Liftbericht (Fach "&amp;X857&amp;" Stk); ",IF(CA857=1,"Gebinde geschätzt ("&amp;T857&amp;"); ",IF(BZ857=1,"Lose – Tablare geschätzt; ","")))&amp;IF(H857&gt;AV857,"Überbestand "&amp;ROUND(H857-AV857,0)&amp;" Stk / CHF "&amp;ROUND((H857-AV857)*G857,0)&amp;"; ","")&amp;IF(AND(CH857=1,CI857&lt;CJ857),"MAX &lt; MB+LG; ","")&amp;IF(AND(CP857&gt;0,CO857*10&gt;CP857),"zu hoch für Tablar; ","")&amp;IF(AND(BV857=0,OR(CH857=1,AA857&lt;&gt;"",U857&lt;&gt;"",V857&lt;&gt;"",AB857&lt;&gt;"")),"manuell übersteuert; ","")&amp;IF(AND(BZ857=0,R857=0),"Gebinde unbekannt / Stellmass fehlt; ","")&amp;IF(AND(BZ857=0,N(V857)&lt;=0,N(Q857)&lt;=0),"Menge pro Gebinde fehlt (Ist = 1 Gebinde); ","")&amp;BU857)</f>
        <v>negativer Bestand (Export -2); </v>
      </c>
      <c r="BN857" s="48"/>
      <c r="BO857" s="48"/>
      <c r="BP857" s="55"/>
      <c r="BQ857" s="50" t="n">
        <v>-2</v>
      </c>
      <c r="BR857" s="50" t="n">
        <v>44</v>
      </c>
      <c r="BS857" s="49" t="n">
        <v>-18.96</v>
      </c>
      <c r="BT857" s="50" t="n">
        <v>146</v>
      </c>
      <c r="BU857" s="48"/>
      <c r="BV857" s="53" t="n">
        <v>0</v>
      </c>
      <c r="BW857" s="53" t="n">
        <v>857</v>
      </c>
      <c r="BX857" s="48" t="str">
        <f aca="false">IF(U857&lt;&gt;"",UPPER(TRIM(U857)),IF(CA857=1,UPPER(VLOOKUP(T857,Parameter!$I$27:$K$29,2,0)),IF(P857="","LOSE",P857)))</f>
        <v>S71</v>
      </c>
      <c r="BY857" s="50" t="n">
        <f aca="false">IF(BX857="LOSE",1,IF(N(V857)&gt;0,V857,IF(CA857=1,MAX(1,N(VLOOKUP(T857,Parameter!$I$27:$K$29,3,0)),H857,N(N857)),IF(N(Q857)&gt;0,Q857,MAX(1,H857)))))</f>
        <v>80</v>
      </c>
      <c r="BZ857" s="53" t="n">
        <f aca="false">IF(BX857="LOSE",1,0)</f>
        <v>0</v>
      </c>
      <c r="CA857" s="53" t="n">
        <f aca="false">IF(AND(U857="",OR(P857="",P857="LOSE"),T857&lt;&gt;"",N(S857)&lt;=0,ISNUMBER(MATCH(T857,Parameter!$I$27:$I$29,0))),1,0)</f>
        <v>0</v>
      </c>
      <c r="CB857" s="53" t="n">
        <f aca="false">IF(CQ857&gt;0,INDEX(Parameter!$H$5:$H$7,W857)/INDEX(Parameter!$E$5:$E$7,W857),IF(AND(BZ857=0,N(IFERROR(VLOOKUP(BX857,'Gebinde-Kategorie'!$A$5:$N$45,14,0),0))&gt;0),VLOOKUP(BX857,'Gebinde-Kategorie'!$A$5:$N$45,14,0)*10+Parameter!$M$23,Parameter!$M$24))</f>
        <v>235</v>
      </c>
      <c r="CC857" s="48" t="str">
        <f aca="false">IF(AND(Parameter!$B$19="Ja",E857&lt;&gt;"",ISNUMBER(MATCH(E857,Parameter!$I$35:$I$52,0))),VLOOKUP(E857,Parameter!$I$35:$J$52,2,0),IFERROR(VLOOKUP(D857,Parameter!$A$35:$C$64,2,0),"Nein"))</f>
        <v>2+3</v>
      </c>
      <c r="CD857" s="52" t="n">
        <f aca="false">IF(BZ857=0,0,IF(N(S857)&gt;0,S857,IFERROR(VLOOKUP(D857,Parameter!$A$35:$C$64,3,0)+0,0)))</f>
        <v>0</v>
      </c>
      <c r="CE857" s="48" t="n">
        <f aca="false">IF(AA857&lt;&gt;"",AA857,Z857)</f>
        <v>2</v>
      </c>
      <c r="CF857" s="48" t="str">
        <f aca="false">IF(OR(CE857=1,CE857=2,CE857=3),IF(Parameter!$E$27="Ja","LIFT",IF(CE857=1,"L1","L23")),IF(CE857="Aussen","Aussen","-"))</f>
        <v>LIFT</v>
      </c>
      <c r="CG857" s="59" t="n">
        <f aca="false">IF(N(AB857)&gt;0,AB857,0)</f>
        <v>0</v>
      </c>
      <c r="CH857" s="53" t="n">
        <f aca="false">IF(ISNUMBER(AE857),1,0)</f>
        <v>0</v>
      </c>
      <c r="CI857" s="50" t="n">
        <f aca="false">N(AE857)</f>
        <v>0</v>
      </c>
      <c r="CJ857" s="50" t="n">
        <f aca="false">N(M857)+N(N857)</f>
        <v>30</v>
      </c>
      <c r="CK857" s="50" t="n">
        <f aca="false">N(M857)</f>
        <v>5</v>
      </c>
      <c r="CL857" s="50" t="n">
        <f aca="false">N(N857)</f>
        <v>25</v>
      </c>
      <c r="CM857" s="50" t="n">
        <f aca="false">ROUNDUP(H857/BY857,0)</f>
        <v>1</v>
      </c>
      <c r="CN857" s="50" t="n">
        <f aca="false">ROUNDUP(CI857/BY857,0)</f>
        <v>0</v>
      </c>
      <c r="CO857" s="53" t="n">
        <f aca="false">IF(BZ857=1,0,IFERROR(VLOOKUP(BX857,'Gebinde-Kategorie'!$A$5:$N$45,5,0)+0,0))</f>
        <v>20</v>
      </c>
      <c r="CP857" s="53" t="n">
        <f aca="false">IFERROR(IF(OR(CE857=1,CE857=2,CE857=3),N(INDEX(Parameter!$I$5:$I$7,CE857)),0),0)</f>
        <v>0</v>
      </c>
      <c r="CQ857" s="52" t="n">
        <f aca="false">IF(AND(Parameter!$B$21="Ja",ISNUMBER(W857),N(X857)&gt;0),IFERROR(N(INDEX(Parameter!$L$5:$L$7,W857))*INDEX(Parameter!$E$5:$E$7,W857)*X857/SUMIFS($X$7:$X$1843,$W$7:$W$1843,W857),0),0)</f>
        <v>0</v>
      </c>
    </row>
    <row r="858" customFormat="false" ht="15" hidden="false" customHeight="false" outlineLevel="0" collapsed="false">
      <c r="A858" s="48" t="s">
        <v>1644</v>
      </c>
      <c r="B858" s="48" t="s">
        <v>1645</v>
      </c>
      <c r="C858" s="48" t="s">
        <v>173</v>
      </c>
      <c r="D858" s="48" t="s">
        <v>193</v>
      </c>
      <c r="E858" s="48" t="s">
        <v>194</v>
      </c>
      <c r="F858" s="48" t="s">
        <v>227</v>
      </c>
      <c r="G858" s="49" t="n">
        <v>19.39</v>
      </c>
      <c r="H858" s="50" t="n">
        <f aca="false">MAX(0,IF(AND(Parameter!$B$21="Ja",ISNUMBER(Y858)),Y858,IF(Parameter!$B$20="Jahresanfang 2025 + Export",BR858+BQ858,BQ858)))</f>
        <v>17</v>
      </c>
      <c r="I858" s="50" t="n">
        <f aca="false">H858*G858</f>
        <v>329.63</v>
      </c>
      <c r="J858" s="50" t="n">
        <f aca="false">BT858*Parameter!$B$18</f>
        <v>2</v>
      </c>
      <c r="K858" s="51" t="n">
        <v>17</v>
      </c>
      <c r="L858" s="52" t="n">
        <v>0.117647058823529</v>
      </c>
      <c r="M858" s="50" t="n">
        <v>0</v>
      </c>
      <c r="N858" s="50" t="n">
        <v>1</v>
      </c>
      <c r="O858" s="53" t="n">
        <v>21</v>
      </c>
      <c r="P858" s="48" t="s">
        <v>430</v>
      </c>
      <c r="Q858" s="50" t="n">
        <v>23</v>
      </c>
      <c r="R858" s="53" t="n">
        <f aca="false">IF(BZ858=1,0,IFERROR(VLOOKUP(BX858,'Gebinde-Kategorie'!$A$5:$N$45,13,0)+0,0))</f>
        <v>104</v>
      </c>
      <c r="S858" s="54"/>
      <c r="T858" s="55"/>
      <c r="U858" s="55"/>
      <c r="V858" s="55"/>
      <c r="W858" s="48"/>
      <c r="X858" s="50"/>
      <c r="Y858" s="50"/>
      <c r="Z858" s="48" t="n">
        <f aca="false">IF(A858="","",IF(AND(Parameter!$B$21="Ja",ISNUMBER(W858)),W858,IF(CC858="2+3",IF(ISNUMBER(SEARCH("grosser Artikel",BU858)),2,IFERROR(VLOOKUP(BX858,Parameter!$F$35:$G$64,2,0),2)),IF(OR(CC858="Nein",CC858=""),"-",CC858))))</f>
        <v>3</v>
      </c>
      <c r="AA858" s="55"/>
      <c r="AB858" s="56"/>
      <c r="AC858" s="50" t="n">
        <f aca="false">AV858</f>
        <v>2</v>
      </c>
      <c r="AD858" s="50" t="n">
        <f aca="false">MAX(AV858,H858)</f>
        <v>17</v>
      </c>
      <c r="AE858" s="57"/>
      <c r="AF858" s="50" t="n">
        <f aca="false">IF(LEFT(Cockpit!$C$5,1)="A",H858,IF(Parameter!$E$30="MAX-Bestand",IF(CH858=1,CI858,IF(LEFT(Cockpit!$C$5,1)="B",AL858,MAX(AL858,H858))),ROUNDUP(AJ858,0)))</f>
        <v>17</v>
      </c>
      <c r="AG858" s="50" t="n">
        <f aca="false">IF(BZ858=1,0,ROUNDUP(AF858/BY858,0))</f>
        <v>1</v>
      </c>
      <c r="AH858" s="52" t="n">
        <f aca="false">IF(CQ858&gt;0,CQ858*MAX(1,AF858/X858),IF(BZ858=1,IF(AF858&lt;=0,0,CD858*MAX(1,IF(H858&gt;0,AF858/H858,1))),IF(R858&gt;0,AG858/R858,0))/MAX(0.1,N(Parameter!$M$21)))</f>
        <v>0.00961538461538462</v>
      </c>
      <c r="AI858" s="50" t="n">
        <f aca="false">AH858*CB858</f>
        <v>1.49038461538462</v>
      </c>
      <c r="AJ858" s="51" t="n">
        <f aca="false">IF(LEFT(Cockpit!$C$5,1)="A",H858,IF(CH858=1,(CK858+CI858)/2,IF(LEFT(Cockpit!$C$5,1)="B",(CK858+AL858)/2,MAX((CK858+AL858)/2,H858))))</f>
        <v>17</v>
      </c>
      <c r="AK858" s="50" t="n">
        <f aca="false">AJ858*G858</f>
        <v>329.63</v>
      </c>
      <c r="AL858" s="50" t="n">
        <f aca="false">ROUNDUP(CK858+MAX(CL858,2*(J858/IF(CG858&gt;0,CG858,MAX(0.1,N(Cockpit!$C$6)))-CK858)),0)</f>
        <v>2</v>
      </c>
      <c r="AM858" s="51" t="n">
        <f aca="false">IF(AI858&gt;0,J858/AI858,-1)</f>
        <v>1.34193548387097</v>
      </c>
      <c r="AN858" s="51" t="n">
        <f aca="false">IF(AND(OR(CF858="L1",CF858="L23",CF858="LIFT"),AI858&gt;0),SUMIFS($AI$7:$AI$1843,$CF$7:$CF$1843,CF858,$AM$7:$AM$1843,"&gt;"&amp;AM858)+SUMIFS($AI$7:$AI$1843,$CF$7:$CF$1843,CF858,$AM$7:$AM$1843,AM858,$BW$7:$BW$1843,"&lt;="&amp;BW858),"")</f>
        <v>6335.61904761905</v>
      </c>
      <c r="AO858" s="58" t="n">
        <f aca="false">IF(AN858="",0,MAX(0,MIN(1,(IF(CF858="L1",Parameter!$H$5,IF(CF858="L23",Parameter!$H$6+Parameter!$H$7,Parameter!$H$5+Parameter!$H$6+Parameter!$H$7))-(AN858-AI858))/AI858)))</f>
        <v>1</v>
      </c>
      <c r="AP858" s="50" t="n">
        <f aca="false">IF(LEFT(Cockpit!$I$5,1)="A",H858,IF(Parameter!$E$30="MAX-Bestand",IF(CH858=1,CI858,IF(LEFT(Cockpit!$I$5,1)="B",AV858,MAX(AV858,H858))),ROUNDUP(AT858,0)))</f>
        <v>17</v>
      </c>
      <c r="AQ858" s="50" t="n">
        <f aca="false">IF(BZ858=1,0,ROUNDUP(AP858/BY858,0))</f>
        <v>1</v>
      </c>
      <c r="AR858" s="52" t="n">
        <f aca="false">IF(CQ858&gt;0,CQ858*MAX(1,AP858/X858),IF(BZ858=1,IF(AP858&lt;=0,0,CD858*MAX(1,IF(H858&gt;0,AP858/H858,1))),IF(R858&gt;0,AQ858/R858,0))/MAX(0.1,N(Parameter!$M$21)))</f>
        <v>0.00961538461538462</v>
      </c>
      <c r="AS858" s="50" t="n">
        <f aca="false">AR858*CB858</f>
        <v>1.49038461538462</v>
      </c>
      <c r="AT858" s="51" t="n">
        <f aca="false">IF(LEFT(Cockpit!$I$5,1)="A",H858,IF(CH858=1,(CK858+CI858)/2,IF(LEFT(Cockpit!$I$5,1)="B",(CK858+AV858)/2,MAX((CK858+AV858)/2,H858))))</f>
        <v>17</v>
      </c>
      <c r="AU858" s="50" t="n">
        <f aca="false">AT858*G858</f>
        <v>329.63</v>
      </c>
      <c r="AV858" s="50" t="n">
        <f aca="false">ROUNDUP(CK858+MAX(CL858,2*(J858/IF(CG858&gt;0,CG858,MAX(0.1,N(Cockpit!$I$6)))-CK858)),0)</f>
        <v>2</v>
      </c>
      <c r="AW858" s="51" t="n">
        <f aca="false">IF(AS858&gt;0,J858/AS858,-1)</f>
        <v>1.34193548387097</v>
      </c>
      <c r="AX858" s="51" t="n">
        <f aca="false">IF(AND(OR(CF858="L1",CF858="L23",CF858="LIFT"),AS858&gt;0),SUMIFS($AS$7:$AS$1843,$CF$7:$CF$1843,CF858,$AW$7:$AW$1843,"&gt;"&amp;AW858)+SUMIFS($AS$7:$AS$1843,$CF$7:$CF$1843,CF858,$AW$7:$AW$1843,AW858,$BW$7:$BW$1843,"&lt;="&amp;BW858),"")</f>
        <v>7859.80265567766</v>
      </c>
      <c r="AY858" s="58" t="n">
        <f aca="false">IF(AX858="",0,MAX(0,MIN(1,(IF(CF858="L1",Parameter!$H$5,IF(CF858="L23",Parameter!$H$6+Parameter!$H$7,Parameter!$H$5+Parameter!$H$6+Parameter!$H$7))-(AX858-AS858))/AS858)))</f>
        <v>1</v>
      </c>
      <c r="AZ858" s="50" t="n">
        <f aca="false">IF(LEFT(Cockpit!$O$5,1)="A",H858,IF(Parameter!$E$30="MAX-Bestand",IF(CH858=1,CI858,IF(LEFT(Cockpit!$O$5,1)="B",BF858,MAX(BF858,H858))),ROUNDUP(BD858,0)))</f>
        <v>1</v>
      </c>
      <c r="BA858" s="50" t="n">
        <f aca="false">IF(BZ858=1,0,ROUNDUP(AZ858/BY858,0))</f>
        <v>1</v>
      </c>
      <c r="BB858" s="52" t="n">
        <f aca="false">IF(CQ858&gt;0,CQ858*MAX(1,AZ858/X858),IF(BZ858=1,IF(AZ858&lt;=0,0,CD858*MAX(1,IF(H858&gt;0,AZ858/H858,1))),IF(R858&gt;0,BA858/R858,0))/MAX(0.1,N(Parameter!$M$21)))</f>
        <v>0.00961538461538462</v>
      </c>
      <c r="BC858" s="50" t="n">
        <f aca="false">BB858*CB858</f>
        <v>1.49038461538462</v>
      </c>
      <c r="BD858" s="51" t="n">
        <f aca="false">IF(LEFT(Cockpit!$O$5,1)="A",H858,IF(CH858=1,(CK858+CI858)/2,IF(LEFT(Cockpit!$O$5,1)="B",(CK858+BF858)/2,MAX((CK858+BF858)/2,H858))))</f>
        <v>0.5</v>
      </c>
      <c r="BE858" s="50" t="n">
        <f aca="false">BD858*G858</f>
        <v>9.695</v>
      </c>
      <c r="BF858" s="50" t="n">
        <f aca="false">ROUNDUP(CK858+MAX(CL858,2*(J858/IF(CG858&gt;0,CG858,MAX(0.1,N(Cockpit!$O$6)))-CK858)),0)</f>
        <v>1</v>
      </c>
      <c r="BG858" s="51" t="n">
        <f aca="false">IF(BC858&gt;0,J858/BC858,-1)</f>
        <v>1.34193548387097</v>
      </c>
      <c r="BH858" s="51" t="n">
        <f aca="false">IF(AND(OR(CF858="L1",CF858="L23",CF858="LIFT"),BC858&gt;0),SUMIFS($BC$7:$BC$1843,$CF$7:$CF$1843,CF858,$BG$7:$BG$1843,"&gt;"&amp;BG858)+SUMIFS($BC$7:$BC$1843,$CF$7:$CF$1843,CF858,$BG$7:$BG$1843,BG858,$BW$7:$BW$1843,"&lt;="&amp;BW858),"")</f>
        <v>6797.01831501832</v>
      </c>
      <c r="BI858" s="58" t="n">
        <f aca="false">IF(BH858="",0,MAX(0,MIN(1,(IF(CF858="L1",Parameter!$H$5,IF(CF858="L23",Parameter!$H$6+Parameter!$H$7,Parameter!$H$5+Parameter!$H$6+Parameter!$H$7))-(BH858-BC858))/BC858)))</f>
        <v>1</v>
      </c>
      <c r="BJ858" s="48" t="str">
        <f aca="false">IF(AI858&lt;=0,"",IF(CF858="Aussen","Aussenlager",IF(CF858="-","Nicht im Lift",IF(AO858&gt;=1,"Lift",IF(AO858&lt;=0,"Aussenlager","teilweise")))))</f>
        <v>Lift</v>
      </c>
      <c r="BK858" s="48" t="str">
        <f aca="false">IF(AS858&lt;=0,"",IF(CF858="Aussen","Aussenlager",IF(CF858="-","Nicht im Lift",IF(AY858&gt;=1,"Lift",IF(AY858&lt;=0,"Aussenlager","teilweise")))))</f>
        <v>Lift</v>
      </c>
      <c r="BL858" s="48" t="str">
        <f aca="false">IF(BC858&lt;=0,"",IF(CF858="Aussen","Aussenlager",IF(CF858="-","Nicht im Lift",IF(BI858&gt;=1,"Lift",IF(BI858&lt;=0,"Aussenlager","teilweise")))))</f>
        <v>Lift</v>
      </c>
      <c r="BM858" s="48" t="str">
        <f aca="false">IF(A858="","",IF(BV858=1,"Neu; ","")&amp;IF(AND(BV858=0,BQ858&lt;0),"negativer Bestand (Export "&amp;BQ858&amp;"); ","")&amp;IF(J858&lt;=0,"Kein Verbrauch; ","")&amp;IF(CQ858&gt;0,"Lift "&amp;W858&amp;" lt. Liftbericht (Fach "&amp;X858&amp;" Stk); ",IF(CA858=1,"Gebinde geschätzt ("&amp;T858&amp;"); ",IF(BZ858=1,"Lose – Tablare geschätzt; ","")))&amp;IF(H858&gt;AV858,"Überbestand "&amp;ROUND(H858-AV858,0)&amp;" Stk / CHF "&amp;ROUND((H858-AV858)*G858,0)&amp;"; ","")&amp;IF(AND(CH858=1,CI858&lt;CJ858),"MAX &lt; MB+LG; ","")&amp;IF(AND(CP858&gt;0,CO858*10&gt;CP858),"zu hoch für Tablar; ","")&amp;IF(AND(BV858=0,OR(CH858=1,AA858&lt;&gt;"",U858&lt;&gt;"",V858&lt;&gt;"",AB858&lt;&gt;"")),"manuell übersteuert; ","")&amp;IF(AND(BZ858=0,R858=0),"Gebinde unbekannt / Stellmass fehlt; ","")&amp;IF(AND(BZ858=0,N(V858)&lt;=0,N(Q858)&lt;=0),"Menge pro Gebinde fehlt (Ist = 1 Gebinde); ","")&amp;BU858)</f>
        <v>negativer Bestand (Export -1); Überbestand 15 Stk / CHF 291; </v>
      </c>
      <c r="BN858" s="48"/>
      <c r="BO858" s="48"/>
      <c r="BP858" s="55"/>
      <c r="BQ858" s="50" t="n">
        <v>-1</v>
      </c>
      <c r="BR858" s="50" t="n">
        <v>18</v>
      </c>
      <c r="BS858" s="49" t="n">
        <v>-19.39</v>
      </c>
      <c r="BT858" s="50" t="n">
        <v>2</v>
      </c>
      <c r="BU858" s="48"/>
      <c r="BV858" s="53" t="n">
        <v>0</v>
      </c>
      <c r="BW858" s="53" t="n">
        <v>858</v>
      </c>
      <c r="BX858" s="48" t="str">
        <f aca="false">IF(U858&lt;&gt;"",UPPER(TRIM(U858)),IF(CA858=1,UPPER(VLOOKUP(T858,Parameter!$I$27:$K$29,2,0)),IF(P858="","LOSE",P858)))</f>
        <v>S32</v>
      </c>
      <c r="BY858" s="50" t="n">
        <f aca="false">IF(BX858="LOSE",1,IF(N(V858)&gt;0,V858,IF(CA858=1,MAX(1,N(VLOOKUP(T858,Parameter!$I$27:$K$29,3,0)),H858,N(N858)),IF(N(Q858)&gt;0,Q858,MAX(1,H858)))))</f>
        <v>23</v>
      </c>
      <c r="BZ858" s="53" t="n">
        <f aca="false">IF(BX858="LOSE",1,0)</f>
        <v>0</v>
      </c>
      <c r="CA858" s="53" t="n">
        <f aca="false">IF(AND(U858="",OR(P858="",P858="LOSE"),T858&lt;&gt;"",N(S858)&lt;=0,ISNUMBER(MATCH(T858,Parameter!$I$27:$I$29,0))),1,0)</f>
        <v>0</v>
      </c>
      <c r="CB858" s="53" t="n">
        <f aca="false">IF(CQ858&gt;0,INDEX(Parameter!$H$5:$H$7,W858)/INDEX(Parameter!$E$5:$E$7,W858),IF(AND(BZ858=0,N(IFERROR(VLOOKUP(BX858,'Gebinde-Kategorie'!$A$5:$N$45,14,0),0))&gt;0),VLOOKUP(BX858,'Gebinde-Kategorie'!$A$5:$N$45,14,0)*10+Parameter!$M$23,Parameter!$M$24))</f>
        <v>155</v>
      </c>
      <c r="CC858" s="48" t="str">
        <f aca="false">IF(AND(Parameter!$B$19="Ja",E858&lt;&gt;"",ISNUMBER(MATCH(E858,Parameter!$I$35:$I$52,0))),VLOOKUP(E858,Parameter!$I$35:$J$52,2,0),IFERROR(VLOOKUP(D858,Parameter!$A$35:$C$64,2,0),"Nein"))</f>
        <v>2+3</v>
      </c>
      <c r="CD858" s="52" t="n">
        <f aca="false">IF(BZ858=0,0,IF(N(S858)&gt;0,S858,IFERROR(VLOOKUP(D858,Parameter!$A$35:$C$64,3,0)+0,0)))</f>
        <v>0</v>
      </c>
      <c r="CE858" s="48" t="n">
        <f aca="false">IF(AA858&lt;&gt;"",AA858,Z858)</f>
        <v>3</v>
      </c>
      <c r="CF858" s="48" t="str">
        <f aca="false">IF(OR(CE858=1,CE858=2,CE858=3),IF(Parameter!$E$27="Ja","LIFT",IF(CE858=1,"L1","L23")),IF(CE858="Aussen","Aussen","-"))</f>
        <v>LIFT</v>
      </c>
      <c r="CG858" s="59" t="n">
        <f aca="false">IF(N(AB858)&gt;0,AB858,0)</f>
        <v>0</v>
      </c>
      <c r="CH858" s="53" t="n">
        <f aca="false">IF(ISNUMBER(AE858),1,0)</f>
        <v>0</v>
      </c>
      <c r="CI858" s="50" t="n">
        <f aca="false">N(AE858)</f>
        <v>0</v>
      </c>
      <c r="CJ858" s="50" t="n">
        <f aca="false">N(M858)+N(N858)</f>
        <v>1</v>
      </c>
      <c r="CK858" s="50" t="n">
        <f aca="false">N(M858)</f>
        <v>0</v>
      </c>
      <c r="CL858" s="50" t="n">
        <f aca="false">N(N858)</f>
        <v>1</v>
      </c>
      <c r="CM858" s="50" t="n">
        <f aca="false">ROUNDUP(H858/BY858,0)</f>
        <v>1</v>
      </c>
      <c r="CN858" s="50" t="n">
        <f aca="false">ROUNDUP(CI858/BY858,0)</f>
        <v>0</v>
      </c>
      <c r="CO858" s="53" t="n">
        <f aca="false">IF(BZ858=1,0,IFERROR(VLOOKUP(BX858,'Gebinde-Kategorie'!$A$5:$N$45,5,0)+0,0))</f>
        <v>8</v>
      </c>
      <c r="CP858" s="53" t="n">
        <f aca="false">IFERROR(IF(OR(CE858=1,CE858=2,CE858=3),N(INDEX(Parameter!$I$5:$I$7,CE858)),0),0)</f>
        <v>0</v>
      </c>
      <c r="CQ858" s="52" t="n">
        <f aca="false">IF(AND(Parameter!$B$21="Ja",ISNUMBER(W858),N(X858)&gt;0),IFERROR(N(INDEX(Parameter!$L$5:$L$7,W858))*INDEX(Parameter!$E$5:$E$7,W858)*X858/SUMIFS($X$7:$X$1843,$W$7:$W$1843,W858),0),0)</f>
        <v>0</v>
      </c>
    </row>
    <row r="859" customFormat="false" ht="15" hidden="false" customHeight="false" outlineLevel="0" collapsed="false">
      <c r="A859" s="48" t="s">
        <v>1646</v>
      </c>
      <c r="B859" s="48" t="s">
        <v>1647</v>
      </c>
      <c r="C859" s="48" t="s">
        <v>173</v>
      </c>
      <c r="D859" s="48" t="s">
        <v>193</v>
      </c>
      <c r="E859" s="48" t="s">
        <v>194</v>
      </c>
      <c r="F859" s="48" t="s">
        <v>227</v>
      </c>
      <c r="G859" s="49" t="n">
        <v>0.2</v>
      </c>
      <c r="H859" s="50" t="n">
        <f aca="false">MAX(0,IF(AND(Parameter!$B$21="Ja",ISNUMBER(Y859)),Y859,IF(Parameter!$B$20="Jahresanfang 2025 + Export",BR859+BQ859,BQ859)))</f>
        <v>109</v>
      </c>
      <c r="I859" s="50" t="n">
        <f aca="false">H859*G859</f>
        <v>21.8</v>
      </c>
      <c r="J859" s="50" t="n">
        <f aca="false">BT859*Parameter!$B$18</f>
        <v>163</v>
      </c>
      <c r="K859" s="51" t="n">
        <v>291.5</v>
      </c>
      <c r="L859" s="52" t="n">
        <v>0.55917667238422</v>
      </c>
      <c r="M859" s="50" t="n">
        <v>9</v>
      </c>
      <c r="N859" s="50" t="n">
        <v>250</v>
      </c>
      <c r="O859" s="53" t="n">
        <v>21</v>
      </c>
      <c r="P859" s="48" t="s">
        <v>485</v>
      </c>
      <c r="Q859" s="50" t="n">
        <v>125</v>
      </c>
      <c r="R859" s="53" t="n">
        <f aca="false">IF(BZ859=1,0,IFERROR(VLOOKUP(BX859,'Gebinde-Kategorie'!$A$5:$N$45,13,0)+0,0))</f>
        <v>52</v>
      </c>
      <c r="S859" s="54"/>
      <c r="T859" s="55"/>
      <c r="U859" s="55"/>
      <c r="V859" s="55"/>
      <c r="W859" s="48"/>
      <c r="X859" s="50"/>
      <c r="Y859" s="50"/>
      <c r="Z859" s="48" t="n">
        <f aca="false">IF(A859="","",IF(AND(Parameter!$B$21="Ja",ISNUMBER(W859)),W859,IF(CC859="2+3",IF(ISNUMBER(SEARCH("grosser Artikel",BU859)),2,IFERROR(VLOOKUP(BX859,Parameter!$F$35:$G$64,2,0),2)),IF(OR(CC859="Nein",CC859=""),"-",CC859))))</f>
        <v>3</v>
      </c>
      <c r="AA859" s="55"/>
      <c r="AB859" s="56"/>
      <c r="AC859" s="50" t="n">
        <f aca="false">AV859</f>
        <v>259</v>
      </c>
      <c r="AD859" s="50" t="n">
        <f aca="false">MAX(AV859,H859)</f>
        <v>259</v>
      </c>
      <c r="AE859" s="57"/>
      <c r="AF859" s="50" t="n">
        <f aca="false">IF(LEFT(Cockpit!$C$5,1)="A",H859,IF(Parameter!$E$30="MAX-Bestand",IF(CH859=1,CI859,IF(LEFT(Cockpit!$C$5,1)="B",AL859,MAX(AL859,H859))),ROUNDUP(AJ859,0)))</f>
        <v>109</v>
      </c>
      <c r="AG859" s="50" t="n">
        <f aca="false">IF(BZ859=1,0,ROUNDUP(AF859/BY859,0))</f>
        <v>1</v>
      </c>
      <c r="AH859" s="52" t="n">
        <f aca="false">IF(CQ859&gt;0,CQ859*MAX(1,AF859/X859),IF(BZ859=1,IF(AF859&lt;=0,0,CD859*MAX(1,IF(H859&gt;0,AF859/H859,1))),IF(R859&gt;0,AG859/R859,0))/MAX(0.1,N(Parameter!$M$21)))</f>
        <v>0.0192307692307692</v>
      </c>
      <c r="AI859" s="50" t="n">
        <f aca="false">AH859*CB859</f>
        <v>2.98076923076923</v>
      </c>
      <c r="AJ859" s="51" t="n">
        <f aca="false">IF(LEFT(Cockpit!$C$5,1)="A",H859,IF(CH859=1,(CK859+CI859)/2,IF(LEFT(Cockpit!$C$5,1)="B",(CK859+AL859)/2,MAX((CK859+AL859)/2,H859))))</f>
        <v>109</v>
      </c>
      <c r="AK859" s="50" t="n">
        <f aca="false">AJ859*G859</f>
        <v>21.8</v>
      </c>
      <c r="AL859" s="50" t="n">
        <f aca="false">ROUNDUP(CK859+MAX(CL859,2*(J859/IF(CG859&gt;0,CG859,MAX(0.1,N(Cockpit!$C$6)))-CK859)),0)</f>
        <v>259</v>
      </c>
      <c r="AM859" s="51" t="n">
        <f aca="false">IF(AI859&gt;0,J859/AI859,-1)</f>
        <v>54.6838709677419</v>
      </c>
      <c r="AN859" s="51" t="n">
        <f aca="false">IF(AND(OR(CF859="L1",CF859="L23",CF859="LIFT"),AI859&gt;0),SUMIFS($AI$7:$AI$1843,$CF$7:$CF$1843,CF859,$AM$7:$AM$1843,"&gt;"&amp;AM859)+SUMIFS($AI$7:$AI$1843,$CF$7:$CF$1843,CF859,$AM$7:$AM$1843,AM859,$BW$7:$BW$1843,"&lt;="&amp;BW859),"")</f>
        <v>998.460164835165</v>
      </c>
      <c r="AO859" s="58" t="n">
        <f aca="false">IF(AN859="",0,MAX(0,MIN(1,(IF(CF859="L1",Parameter!$H$5,IF(CF859="L23",Parameter!$H$6+Parameter!$H$7,Parameter!$H$5+Parameter!$H$6+Parameter!$H$7))-(AN859-AI859))/AI859)))</f>
        <v>1</v>
      </c>
      <c r="AP859" s="50" t="n">
        <f aca="false">IF(LEFT(Cockpit!$I$5,1)="A",H859,IF(Parameter!$E$30="MAX-Bestand",IF(CH859=1,CI859,IF(LEFT(Cockpit!$I$5,1)="B",AV859,MAX(AV859,H859))),ROUNDUP(AT859,0)))</f>
        <v>134</v>
      </c>
      <c r="AQ859" s="50" t="n">
        <f aca="false">IF(BZ859=1,0,ROUNDUP(AP859/BY859,0))</f>
        <v>2</v>
      </c>
      <c r="AR859" s="52" t="n">
        <f aca="false">IF(CQ859&gt;0,CQ859*MAX(1,AP859/X859),IF(BZ859=1,IF(AP859&lt;=0,0,CD859*MAX(1,IF(H859&gt;0,AP859/H859,1))),IF(R859&gt;0,AQ859/R859,0))/MAX(0.1,N(Parameter!$M$21)))</f>
        <v>0.0384615384615385</v>
      </c>
      <c r="AS859" s="50" t="n">
        <f aca="false">AR859*CB859</f>
        <v>5.96153846153846</v>
      </c>
      <c r="AT859" s="51" t="n">
        <f aca="false">IF(LEFT(Cockpit!$I$5,1)="A",H859,IF(CH859=1,(CK859+CI859)/2,IF(LEFT(Cockpit!$I$5,1)="B",(CK859+AV859)/2,MAX((CK859+AV859)/2,H859))))</f>
        <v>134</v>
      </c>
      <c r="AU859" s="50" t="n">
        <f aca="false">AT859*G859</f>
        <v>26.8</v>
      </c>
      <c r="AV859" s="50" t="n">
        <f aca="false">ROUNDUP(CK859+MAX(CL859,2*(J859/IF(CG859&gt;0,CG859,MAX(0.1,N(Cockpit!$I$6)))-CK859)),0)</f>
        <v>259</v>
      </c>
      <c r="AW859" s="51" t="n">
        <f aca="false">IF(AS859&gt;0,J859/AS859,-1)</f>
        <v>27.341935483871</v>
      </c>
      <c r="AX859" s="51" t="n">
        <f aca="false">IF(AND(OR(CF859="L1",CF859="L23",CF859="LIFT"),AS859&gt;0),SUMIFS($AS$7:$AS$1843,$CF$7:$CF$1843,CF859,$AW$7:$AW$1843,"&gt;"&amp;AW859)+SUMIFS($AS$7:$AS$1843,$CF$7:$CF$1843,CF859,$AW$7:$AW$1843,AW859,$BW$7:$BW$1843,"&lt;="&amp;BW859),"")</f>
        <v>2127.37957875458</v>
      </c>
      <c r="AY859" s="58" t="n">
        <f aca="false">IF(AX859="",0,MAX(0,MIN(1,(IF(CF859="L1",Parameter!$H$5,IF(CF859="L23",Parameter!$H$6+Parameter!$H$7,Parameter!$H$5+Parameter!$H$6+Parameter!$H$7))-(AX859-AS859))/AS859)))</f>
        <v>1</v>
      </c>
      <c r="AZ859" s="50" t="n">
        <f aca="false">IF(LEFT(Cockpit!$O$5,1)="A",H859,IF(Parameter!$E$30="MAX-Bestand",IF(CH859=1,CI859,IF(LEFT(Cockpit!$O$5,1)="B",BF859,MAX(BF859,H859))),ROUNDUP(BD859,0)))</f>
        <v>134</v>
      </c>
      <c r="BA859" s="50" t="n">
        <f aca="false">IF(BZ859=1,0,ROUNDUP(AZ859/BY859,0))</f>
        <v>2</v>
      </c>
      <c r="BB859" s="52" t="n">
        <f aca="false">IF(CQ859&gt;0,CQ859*MAX(1,AZ859/X859),IF(BZ859=1,IF(AZ859&lt;=0,0,CD859*MAX(1,IF(H859&gt;0,AZ859/H859,1))),IF(R859&gt;0,BA859/R859,0))/MAX(0.1,N(Parameter!$M$21)))</f>
        <v>0.0384615384615385</v>
      </c>
      <c r="BC859" s="50" t="n">
        <f aca="false">BB859*CB859</f>
        <v>5.96153846153846</v>
      </c>
      <c r="BD859" s="51" t="n">
        <f aca="false">IF(LEFT(Cockpit!$O$5,1)="A",H859,IF(CH859=1,(CK859+CI859)/2,IF(LEFT(Cockpit!$O$5,1)="B",(CK859+BF859)/2,MAX((CK859+BF859)/2,H859))))</f>
        <v>134</v>
      </c>
      <c r="BE859" s="50" t="n">
        <f aca="false">BD859*G859</f>
        <v>26.8</v>
      </c>
      <c r="BF859" s="50" t="n">
        <f aca="false">ROUNDUP(CK859+MAX(CL859,2*(J859/IF(CG859&gt;0,CG859,MAX(0.1,N(Cockpit!$O$6)))-CK859)),0)</f>
        <v>259</v>
      </c>
      <c r="BG859" s="51" t="n">
        <f aca="false">IF(BC859&gt;0,J859/BC859,-1)</f>
        <v>27.341935483871</v>
      </c>
      <c r="BH859" s="51" t="n">
        <f aca="false">IF(AND(OR(CF859="L1",CF859="L23",CF859="LIFT"),BC859&gt;0),SUMIFS($BC$7:$BC$1843,$CF$7:$CF$1843,CF859,$BG$7:$BG$1843,"&gt;"&amp;BG859)+SUMIFS($BC$7:$BC$1843,$CF$7:$CF$1843,CF859,$BG$7:$BG$1843,BG859,$BW$7:$BW$1843,"&lt;="&amp;BW859),"")</f>
        <v>1944.69688644689</v>
      </c>
      <c r="BI859" s="58" t="n">
        <f aca="false">IF(BH859="",0,MAX(0,MIN(1,(IF(CF859="L1",Parameter!$H$5,IF(CF859="L23",Parameter!$H$6+Parameter!$H$7,Parameter!$H$5+Parameter!$H$6+Parameter!$H$7))-(BH859-BC859))/BC859)))</f>
        <v>1</v>
      </c>
      <c r="BJ859" s="48" t="str">
        <f aca="false">IF(AI859&lt;=0,"",IF(CF859="Aussen","Aussenlager",IF(CF859="-","Nicht im Lift",IF(AO859&gt;=1,"Lift",IF(AO859&lt;=0,"Aussenlager","teilweise")))))</f>
        <v>Lift</v>
      </c>
      <c r="BK859" s="48" t="str">
        <f aca="false">IF(AS859&lt;=0,"",IF(CF859="Aussen","Aussenlager",IF(CF859="-","Nicht im Lift",IF(AY859&gt;=1,"Lift",IF(AY859&lt;=0,"Aussenlager","teilweise")))))</f>
        <v>Lift</v>
      </c>
      <c r="BL859" s="48" t="str">
        <f aca="false">IF(BC859&lt;=0,"",IF(CF859="Aussen","Aussenlager",IF(CF859="-","Nicht im Lift",IF(BI859&gt;=1,"Lift",IF(BI859&lt;=0,"Aussenlager","teilweise")))))</f>
        <v>Lift</v>
      </c>
      <c r="BM859" s="48" t="str">
        <f aca="false">IF(A859="","",IF(BV859=1,"Neu; ","")&amp;IF(AND(BV859=0,BQ859&lt;0),"negativer Bestand (Export "&amp;BQ859&amp;"); ","")&amp;IF(J859&lt;=0,"Kein Verbrauch; ","")&amp;IF(CQ859&gt;0,"Lift "&amp;W859&amp;" lt. Liftbericht (Fach "&amp;X859&amp;" Stk); ",IF(CA859=1,"Gebinde geschätzt ("&amp;T859&amp;"); ",IF(BZ859=1,"Lose – Tablare geschätzt; ","")))&amp;IF(H859&gt;AV859,"Überbestand "&amp;ROUND(H859-AV859,0)&amp;" Stk / CHF "&amp;ROUND((H859-AV859)*G859,0)&amp;"; ","")&amp;IF(AND(CH859=1,CI859&lt;CJ859),"MAX &lt; MB+LG; ","")&amp;IF(AND(CP859&gt;0,CO859*10&gt;CP859),"zu hoch für Tablar; ","")&amp;IF(AND(BV859=0,OR(CH859=1,AA859&lt;&gt;"",U859&lt;&gt;"",V859&lt;&gt;"",AB859&lt;&gt;"")),"manuell übersteuert; ","")&amp;IF(AND(BZ859=0,R859=0),"Gebinde unbekannt / Stellmass fehlt; ","")&amp;IF(AND(BZ859=0,N(V859)&lt;=0,N(Q859)&lt;=0),"Menge pro Gebinde fehlt (Ist = 1 Gebinde); ","")&amp;BU859)</f>
        <v>negativer Bestand (Export -223); </v>
      </c>
      <c r="BN859" s="48"/>
      <c r="BO859" s="48"/>
      <c r="BP859" s="55"/>
      <c r="BQ859" s="50" t="n">
        <v>-223</v>
      </c>
      <c r="BR859" s="50" t="n">
        <v>332</v>
      </c>
      <c r="BS859" s="49" t="n">
        <v>-19.88</v>
      </c>
      <c r="BT859" s="50" t="n">
        <v>163</v>
      </c>
      <c r="BU859" s="48"/>
      <c r="BV859" s="53" t="n">
        <v>0</v>
      </c>
      <c r="BW859" s="53" t="n">
        <v>859</v>
      </c>
      <c r="BX859" s="48" t="str">
        <f aca="false">IF(U859&lt;&gt;"",UPPER(TRIM(U859)),IF(CA859=1,UPPER(VLOOKUP(T859,Parameter!$I$27:$K$29,2,0)),IF(P859="","LOSE",P859)))</f>
        <v>S33</v>
      </c>
      <c r="BY859" s="50" t="n">
        <f aca="false">IF(BX859="LOSE",1,IF(N(V859)&gt;0,V859,IF(CA859=1,MAX(1,N(VLOOKUP(T859,Parameter!$I$27:$K$29,3,0)),H859,N(N859)),IF(N(Q859)&gt;0,Q859,MAX(1,H859)))))</f>
        <v>125</v>
      </c>
      <c r="BZ859" s="53" t="n">
        <f aca="false">IF(BX859="LOSE",1,0)</f>
        <v>0</v>
      </c>
      <c r="CA859" s="53" t="n">
        <f aca="false">IF(AND(U859="",OR(P859="",P859="LOSE"),T859&lt;&gt;"",N(S859)&lt;=0,ISNUMBER(MATCH(T859,Parameter!$I$27:$I$29,0))),1,0)</f>
        <v>0</v>
      </c>
      <c r="CB859" s="53" t="n">
        <f aca="false">IF(CQ859&gt;0,INDEX(Parameter!$H$5:$H$7,W859)/INDEX(Parameter!$E$5:$E$7,W859),IF(AND(BZ859=0,N(IFERROR(VLOOKUP(BX859,'Gebinde-Kategorie'!$A$5:$N$45,14,0),0))&gt;0),VLOOKUP(BX859,'Gebinde-Kategorie'!$A$5:$N$45,14,0)*10+Parameter!$M$23,Parameter!$M$24))</f>
        <v>155</v>
      </c>
      <c r="CC859" s="48" t="str">
        <f aca="false">IF(AND(Parameter!$B$19="Ja",E859&lt;&gt;"",ISNUMBER(MATCH(E859,Parameter!$I$35:$I$52,0))),VLOOKUP(E859,Parameter!$I$35:$J$52,2,0),IFERROR(VLOOKUP(D859,Parameter!$A$35:$C$64,2,0),"Nein"))</f>
        <v>2+3</v>
      </c>
      <c r="CD859" s="52" t="n">
        <f aca="false">IF(BZ859=0,0,IF(N(S859)&gt;0,S859,IFERROR(VLOOKUP(D859,Parameter!$A$35:$C$64,3,0)+0,0)))</f>
        <v>0</v>
      </c>
      <c r="CE859" s="48" t="n">
        <f aca="false">IF(AA859&lt;&gt;"",AA859,Z859)</f>
        <v>3</v>
      </c>
      <c r="CF859" s="48" t="str">
        <f aca="false">IF(OR(CE859=1,CE859=2,CE859=3),IF(Parameter!$E$27="Ja","LIFT",IF(CE859=1,"L1","L23")),IF(CE859="Aussen","Aussen","-"))</f>
        <v>LIFT</v>
      </c>
      <c r="CG859" s="59" t="n">
        <f aca="false">IF(N(AB859)&gt;0,AB859,0)</f>
        <v>0</v>
      </c>
      <c r="CH859" s="53" t="n">
        <f aca="false">IF(ISNUMBER(AE859),1,0)</f>
        <v>0</v>
      </c>
      <c r="CI859" s="50" t="n">
        <f aca="false">N(AE859)</f>
        <v>0</v>
      </c>
      <c r="CJ859" s="50" t="n">
        <f aca="false">N(M859)+N(N859)</f>
        <v>259</v>
      </c>
      <c r="CK859" s="50" t="n">
        <f aca="false">N(M859)</f>
        <v>9</v>
      </c>
      <c r="CL859" s="50" t="n">
        <f aca="false">N(N859)</f>
        <v>250</v>
      </c>
      <c r="CM859" s="50" t="n">
        <f aca="false">ROUNDUP(H859/BY859,0)</f>
        <v>1</v>
      </c>
      <c r="CN859" s="50" t="n">
        <f aca="false">ROUNDUP(CI859/BY859,0)</f>
        <v>0</v>
      </c>
      <c r="CO859" s="53" t="n">
        <f aca="false">IF(BZ859=1,0,IFERROR(VLOOKUP(BX859,'Gebinde-Kategorie'!$A$5:$N$45,5,0)+0,0))</f>
        <v>8</v>
      </c>
      <c r="CP859" s="53" t="n">
        <f aca="false">IFERROR(IF(OR(CE859=1,CE859=2,CE859=3),N(INDEX(Parameter!$I$5:$I$7,CE859)),0),0)</f>
        <v>0</v>
      </c>
      <c r="CQ859" s="52" t="n">
        <f aca="false">IF(AND(Parameter!$B$21="Ja",ISNUMBER(W859),N(X859)&gt;0),IFERROR(N(INDEX(Parameter!$L$5:$L$7,W859))*INDEX(Parameter!$E$5:$E$7,W859)*X859/SUMIFS($X$7:$X$1843,$W$7:$W$1843,W859),0),0)</f>
        <v>0</v>
      </c>
    </row>
    <row r="860" customFormat="false" ht="15" hidden="false" customHeight="false" outlineLevel="0" collapsed="false">
      <c r="A860" s="48" t="s">
        <v>1648</v>
      </c>
      <c r="B860" s="48" t="s">
        <v>1649</v>
      </c>
      <c r="C860" s="48" t="s">
        <v>465</v>
      </c>
      <c r="D860" s="48" t="s">
        <v>193</v>
      </c>
      <c r="E860" s="48"/>
      <c r="F860" s="48" t="s">
        <v>227</v>
      </c>
      <c r="G860" s="49" t="n">
        <v>1.25</v>
      </c>
      <c r="H860" s="50" t="n">
        <f aca="false">MAX(0,IF(AND(Parameter!$B$21="Ja",ISNUMBER(Y860)),Y860,IF(Parameter!$B$20="Jahresanfang 2025 + Export",BR860+BQ860,BQ860)))</f>
        <v>16</v>
      </c>
      <c r="I860" s="50" t="n">
        <f aca="false">H860*G860</f>
        <v>20</v>
      </c>
      <c r="J860" s="50" t="n">
        <f aca="false">BT860*Parameter!$B$18</f>
        <v>16</v>
      </c>
      <c r="K860" s="51" t="n">
        <v>16</v>
      </c>
      <c r="L860" s="52" t="n">
        <v>1</v>
      </c>
      <c r="M860" s="50" t="n">
        <v>0</v>
      </c>
      <c r="N860" s="50" t="n">
        <v>15</v>
      </c>
      <c r="O860" s="53" t="n">
        <v>21</v>
      </c>
      <c r="P860" s="48" t="s">
        <v>177</v>
      </c>
      <c r="Q860" s="50"/>
      <c r="R860" s="53" t="n">
        <f aca="false">IF(BZ860=1,0,IFERROR(VLOOKUP(BX860,'Gebinde-Kategorie'!$A$5:$N$45,13,0)+0,0))</f>
        <v>4</v>
      </c>
      <c r="S860" s="54"/>
      <c r="T860" s="55" t="s">
        <v>198</v>
      </c>
      <c r="U860" s="55"/>
      <c r="V860" s="55"/>
      <c r="W860" s="48"/>
      <c r="X860" s="50"/>
      <c r="Y860" s="50"/>
      <c r="Z860" s="48" t="n">
        <f aca="false">IF(A860="","",IF(AND(Parameter!$B$21="Ja",ISNUMBER(W860)),W860,IF(CC860="2+3",IF(ISNUMBER(SEARCH("grosser Artikel",BU860)),2,IFERROR(VLOOKUP(BX860,Parameter!$F$35:$G$64,2,0),2)),IF(OR(CC860="Nein",CC860=""),"-",CC860))))</f>
        <v>2</v>
      </c>
      <c r="AA860" s="55"/>
      <c r="AB860" s="56"/>
      <c r="AC860" s="50" t="n">
        <f aca="false">AV860</f>
        <v>15</v>
      </c>
      <c r="AD860" s="50" t="n">
        <f aca="false">MAX(AV860,H860)</f>
        <v>16</v>
      </c>
      <c r="AE860" s="57"/>
      <c r="AF860" s="50" t="n">
        <f aca="false">IF(LEFT(Cockpit!$C$5,1)="A",H860,IF(Parameter!$E$30="MAX-Bestand",IF(CH860=1,CI860,IF(LEFT(Cockpit!$C$5,1)="B",AL860,MAX(AL860,H860))),ROUNDUP(AJ860,0)))</f>
        <v>16</v>
      </c>
      <c r="AG860" s="50" t="n">
        <f aca="false">IF(BZ860=1,0,ROUNDUP(AF860/BY860,0))</f>
        <v>1</v>
      </c>
      <c r="AH860" s="52" t="n">
        <f aca="false">IF(CQ860&gt;0,CQ860*MAX(1,AF860/X860),IF(BZ860=1,IF(AF860&lt;=0,0,CD860*MAX(1,IF(H860&gt;0,AF860/H860,1))),IF(R860&gt;0,AG860/R860,0))/MAX(0.1,N(Parameter!$M$21)))</f>
        <v>0.25</v>
      </c>
      <c r="AI860" s="50" t="n">
        <f aca="false">AH860*CB860</f>
        <v>58.75</v>
      </c>
      <c r="AJ860" s="51" t="n">
        <f aca="false">IF(LEFT(Cockpit!$C$5,1)="A",H860,IF(CH860=1,(CK860+CI860)/2,IF(LEFT(Cockpit!$C$5,1)="B",(CK860+AL860)/2,MAX((CK860+AL860)/2,H860))))</f>
        <v>16</v>
      </c>
      <c r="AK860" s="50" t="n">
        <f aca="false">AJ860*G860</f>
        <v>20</v>
      </c>
      <c r="AL860" s="50" t="n">
        <f aca="false">ROUNDUP(CK860+MAX(CL860,2*(J860/IF(CG860&gt;0,CG860,MAX(0.1,N(Cockpit!$C$6)))-CK860)),0)</f>
        <v>15</v>
      </c>
      <c r="AM860" s="51" t="n">
        <f aca="false">IF(AI860&gt;0,J860/AI860,-1)</f>
        <v>0.272340425531915</v>
      </c>
      <c r="AN860" s="51" t="n">
        <f aca="false">IF(AND(OR(CF860="L1",CF860="L23",CF860="LIFT"),AI860&gt;0),SUMIFS($AI$7:$AI$1843,$CF$7:$CF$1843,CF860,$AM$7:$AM$1843,"&gt;"&amp;AM860)+SUMIFS($AI$7:$AI$1843,$CF$7:$CF$1843,CF860,$AM$7:$AM$1843,AM860,$BW$7:$BW$1843,"&lt;="&amp;BW860),"")</f>
        <v>11707.7702629292</v>
      </c>
      <c r="AO860" s="58" t="n">
        <f aca="false">IF(AN860="",0,MAX(0,MIN(1,(IF(CF860="L1",Parameter!$H$5,IF(CF860="L23",Parameter!$H$6+Parameter!$H$7,Parameter!$H$5+Parameter!$H$6+Parameter!$H$7))-(AN860-AI860))/AI860)))</f>
        <v>1</v>
      </c>
      <c r="AP860" s="50" t="n">
        <f aca="false">IF(LEFT(Cockpit!$I$5,1)="A",H860,IF(Parameter!$E$30="MAX-Bestand",IF(CH860=1,CI860,IF(LEFT(Cockpit!$I$5,1)="B",AV860,MAX(AV860,H860))),ROUNDUP(AT860,0)))</f>
        <v>16</v>
      </c>
      <c r="AQ860" s="50" t="n">
        <f aca="false">IF(BZ860=1,0,ROUNDUP(AP860/BY860,0))</f>
        <v>1</v>
      </c>
      <c r="AR860" s="52" t="n">
        <f aca="false">IF(CQ860&gt;0,CQ860*MAX(1,AP860/X860),IF(BZ860=1,IF(AP860&lt;=0,0,CD860*MAX(1,IF(H860&gt;0,AP860/H860,1))),IF(R860&gt;0,AQ860/R860,0))/MAX(0.1,N(Parameter!$M$21)))</f>
        <v>0.25</v>
      </c>
      <c r="AS860" s="50" t="n">
        <f aca="false">AR860*CB860</f>
        <v>58.75</v>
      </c>
      <c r="AT860" s="51" t="n">
        <f aca="false">IF(LEFT(Cockpit!$I$5,1)="A",H860,IF(CH860=1,(CK860+CI860)/2,IF(LEFT(Cockpit!$I$5,1)="B",(CK860+AV860)/2,MAX((CK860+AV860)/2,H860))))</f>
        <v>16</v>
      </c>
      <c r="AU860" s="50" t="n">
        <f aca="false">AT860*G860</f>
        <v>20</v>
      </c>
      <c r="AV860" s="50" t="n">
        <f aca="false">ROUNDUP(CK860+MAX(CL860,2*(J860/IF(CG860&gt;0,CG860,MAX(0.1,N(Cockpit!$I$6)))-CK860)),0)</f>
        <v>15</v>
      </c>
      <c r="AW860" s="51" t="n">
        <f aca="false">IF(AS860&gt;0,J860/AS860,-1)</f>
        <v>0.272340425531915</v>
      </c>
      <c r="AX860" s="51" t="n">
        <f aca="false">IF(AND(OR(CF860="L1",CF860="L23",CF860="LIFT"),AS860&gt;0),SUMIFS($AS$7:$AS$1843,$CF$7:$CF$1843,CF860,$AW$7:$AW$1843,"&gt;"&amp;AW860)+SUMIFS($AS$7:$AS$1843,$CF$7:$CF$1843,CF860,$AW$7:$AW$1843,AW860,$BW$7:$BW$1843,"&lt;="&amp;BW860),"")</f>
        <v>14784.6643772894</v>
      </c>
      <c r="AY860" s="58" t="n">
        <f aca="false">IF(AX860="",0,MAX(0,MIN(1,(IF(CF860="L1",Parameter!$H$5,IF(CF860="L23",Parameter!$H$6+Parameter!$H$7,Parameter!$H$5+Parameter!$H$6+Parameter!$H$7))-(AX860-AS860))/AS860)))</f>
        <v>1</v>
      </c>
      <c r="AZ860" s="50" t="n">
        <f aca="false">IF(LEFT(Cockpit!$O$5,1)="A",H860,IF(Parameter!$E$30="MAX-Bestand",IF(CH860=1,CI860,IF(LEFT(Cockpit!$O$5,1)="B",BF860,MAX(BF860,H860))),ROUNDUP(BD860,0)))</f>
        <v>8</v>
      </c>
      <c r="BA860" s="50" t="n">
        <f aca="false">IF(BZ860=1,0,ROUNDUP(AZ860/BY860,0))</f>
        <v>1</v>
      </c>
      <c r="BB860" s="52" t="n">
        <f aca="false">IF(CQ860&gt;0,CQ860*MAX(1,AZ860/X860),IF(BZ860=1,IF(AZ860&lt;=0,0,CD860*MAX(1,IF(H860&gt;0,AZ860/H860,1))),IF(R860&gt;0,BA860/R860,0))/MAX(0.1,N(Parameter!$M$21)))</f>
        <v>0.25</v>
      </c>
      <c r="BC860" s="50" t="n">
        <f aca="false">BB860*CB860</f>
        <v>58.75</v>
      </c>
      <c r="BD860" s="51" t="n">
        <f aca="false">IF(LEFT(Cockpit!$O$5,1)="A",H860,IF(CH860=1,(CK860+CI860)/2,IF(LEFT(Cockpit!$O$5,1)="B",(CK860+BF860)/2,MAX((CK860+BF860)/2,H860))))</f>
        <v>7.5</v>
      </c>
      <c r="BE860" s="50" t="n">
        <f aca="false">BD860*G860</f>
        <v>9.375</v>
      </c>
      <c r="BF860" s="50" t="n">
        <f aca="false">ROUNDUP(CK860+MAX(CL860,2*(J860/IF(CG860&gt;0,CG860,MAX(0.1,N(Cockpit!$O$6)))-CK860)),0)</f>
        <v>15</v>
      </c>
      <c r="BG860" s="51" t="n">
        <f aca="false">IF(BC860&gt;0,J860/BC860,-1)</f>
        <v>0.272340425531915</v>
      </c>
      <c r="BH860" s="51" t="n">
        <f aca="false">IF(AND(OR(CF860="L1",CF860="L23",CF860="LIFT"),BC860&gt;0),SUMIFS($BC$7:$BC$1843,$CF$7:$CF$1843,CF860,$BG$7:$BG$1843,"&gt;"&amp;BG860)+SUMIFS($BC$7:$BC$1843,$CF$7:$CF$1843,CF860,$BG$7:$BG$1843,BG860,$BW$7:$BW$1843,"&lt;="&amp;BW860),"")</f>
        <v>11960.0581501832</v>
      </c>
      <c r="BI860" s="58" t="n">
        <f aca="false">IF(BH860="",0,MAX(0,MIN(1,(IF(CF860="L1",Parameter!$H$5,IF(CF860="L23",Parameter!$H$6+Parameter!$H$7,Parameter!$H$5+Parameter!$H$6+Parameter!$H$7))-(BH860-BC860))/BC860)))</f>
        <v>1</v>
      </c>
      <c r="BJ860" s="48" t="str">
        <f aca="false">IF(AI860&lt;=0,"",IF(CF860="Aussen","Aussenlager",IF(CF860="-","Nicht im Lift",IF(AO860&gt;=1,"Lift",IF(AO860&lt;=0,"Aussenlager","teilweise")))))</f>
        <v>Lift</v>
      </c>
      <c r="BK860" s="48" t="str">
        <f aca="false">IF(AS860&lt;=0,"",IF(CF860="Aussen","Aussenlager",IF(CF860="-","Nicht im Lift",IF(AY860&gt;=1,"Lift",IF(AY860&lt;=0,"Aussenlager","teilweise")))))</f>
        <v>Lift</v>
      </c>
      <c r="BL860" s="48" t="str">
        <f aca="false">IF(BC860&lt;=0,"",IF(CF860="Aussen","Aussenlager",IF(CF860="-","Nicht im Lift",IF(BI860&gt;=1,"Lift",IF(BI860&lt;=0,"Aussenlager","teilweise")))))</f>
        <v>Lift</v>
      </c>
      <c r="BM860" s="48" t="str">
        <f aca="false">IF(A860="","",IF(BV860=1,"Neu; ","")&amp;IF(AND(BV860=0,BQ860&lt;0),"negativer Bestand (Export "&amp;BQ860&amp;"); ","")&amp;IF(J860&lt;=0,"Kein Verbrauch; ","")&amp;IF(CQ860&gt;0,"Lift "&amp;W860&amp;" lt. Liftbericht (Fach "&amp;X860&amp;" Stk); ",IF(CA860=1,"Gebinde geschätzt ("&amp;T860&amp;"); ",IF(BZ860=1,"Lose – Tablare geschätzt; ","")))&amp;IF(H860&gt;AV860,"Überbestand "&amp;ROUND(H860-AV860,0)&amp;" Stk / CHF "&amp;ROUND((H860-AV860)*G860,0)&amp;"; ","")&amp;IF(AND(CH860=1,CI860&lt;CJ860),"MAX &lt; MB+LG; ","")&amp;IF(AND(CP860&gt;0,CO860*10&gt;CP860),"zu hoch für Tablar; ","")&amp;IF(AND(BV860=0,OR(CH860=1,AA860&lt;&gt;"",U860&lt;&gt;"",V860&lt;&gt;"",AB860&lt;&gt;"")),"manuell übersteuert; ","")&amp;IF(AND(BZ860=0,R860=0),"Gebinde unbekannt / Stellmass fehlt; ","")&amp;IF(AND(BZ860=0,N(V860)&lt;=0,N(Q860)&lt;=0),"Menge pro Gebinde fehlt (Ist = 1 Gebinde); ","")&amp;BU860)</f>
        <v>negativer Bestand (Export -16); Gebinde geschätzt (Gross); Überbestand 1 Stk / CHF 1; Menge pro Gebinde fehlt (Ist = 1 Gebinde); </v>
      </c>
      <c r="BN860" s="48"/>
      <c r="BO860" s="48"/>
      <c r="BP860" s="55"/>
      <c r="BQ860" s="50" t="n">
        <v>-16</v>
      </c>
      <c r="BR860" s="50" t="n">
        <v>32</v>
      </c>
      <c r="BS860" s="49" t="n">
        <v>-20</v>
      </c>
      <c r="BT860" s="50" t="n">
        <v>16</v>
      </c>
      <c r="BU860" s="48"/>
      <c r="BV860" s="53" t="n">
        <v>0</v>
      </c>
      <c r="BW860" s="53" t="n">
        <v>860</v>
      </c>
      <c r="BX860" s="48" t="str">
        <f aca="false">IF(U860&lt;&gt;"",UPPER(TRIM(U860)),IF(CA860=1,UPPER(VLOOKUP(T860,Parameter!$I$27:$K$29,2,0)),IF(P860="","LOSE",P860)))</f>
        <v>S81</v>
      </c>
      <c r="BY860" s="50" t="n">
        <f aca="false">IF(BX860="LOSE",1,IF(N(V860)&gt;0,V860,IF(CA860=1,MAX(1,N(VLOOKUP(T860,Parameter!$I$27:$K$29,3,0)),H860,N(N860)),IF(N(Q860)&gt;0,Q860,MAX(1,H860)))))</f>
        <v>16</v>
      </c>
      <c r="BZ860" s="53" t="n">
        <f aca="false">IF(BX860="LOSE",1,0)</f>
        <v>0</v>
      </c>
      <c r="CA860" s="53" t="n">
        <f aca="false">IF(AND(U860="",OR(P860="",P860="LOSE"),T860&lt;&gt;"",N(S860)&lt;=0,ISNUMBER(MATCH(T860,Parameter!$I$27:$I$29,0))),1,0)</f>
        <v>1</v>
      </c>
      <c r="CB860" s="53" t="n">
        <f aca="false">IF(CQ860&gt;0,INDEX(Parameter!$H$5:$H$7,W860)/INDEX(Parameter!$E$5:$E$7,W860),IF(AND(BZ860=0,N(IFERROR(VLOOKUP(BX860,'Gebinde-Kategorie'!$A$5:$N$45,14,0),0))&gt;0),VLOOKUP(BX860,'Gebinde-Kategorie'!$A$5:$N$45,14,0)*10+Parameter!$M$23,Parameter!$M$24))</f>
        <v>235</v>
      </c>
      <c r="CC860" s="48" t="str">
        <f aca="false">IF(AND(Parameter!$B$19="Ja",E860&lt;&gt;"",ISNUMBER(MATCH(E860,Parameter!$I$35:$I$52,0))),VLOOKUP(E860,Parameter!$I$35:$J$52,2,0),IFERROR(VLOOKUP(D860,Parameter!$A$35:$C$64,2,0),"Nein"))</f>
        <v>2+3</v>
      </c>
      <c r="CD860" s="52" t="n">
        <f aca="false">IF(BZ860=0,0,IF(N(S860)&gt;0,S860,IFERROR(VLOOKUP(D860,Parameter!$A$35:$C$64,3,0)+0,0)))</f>
        <v>0</v>
      </c>
      <c r="CE860" s="48" t="n">
        <f aca="false">IF(AA860&lt;&gt;"",AA860,Z860)</f>
        <v>2</v>
      </c>
      <c r="CF860" s="48" t="str">
        <f aca="false">IF(OR(CE860=1,CE860=2,CE860=3),IF(Parameter!$E$27="Ja","LIFT",IF(CE860=1,"L1","L23")),IF(CE860="Aussen","Aussen","-"))</f>
        <v>LIFT</v>
      </c>
      <c r="CG860" s="59" t="n">
        <f aca="false">IF(N(AB860)&gt;0,AB860,0)</f>
        <v>0</v>
      </c>
      <c r="CH860" s="53" t="n">
        <f aca="false">IF(ISNUMBER(AE860),1,0)</f>
        <v>0</v>
      </c>
      <c r="CI860" s="50" t="n">
        <f aca="false">N(AE860)</f>
        <v>0</v>
      </c>
      <c r="CJ860" s="50" t="n">
        <f aca="false">N(M860)+N(N860)</f>
        <v>15</v>
      </c>
      <c r="CK860" s="50" t="n">
        <f aca="false">N(M860)</f>
        <v>0</v>
      </c>
      <c r="CL860" s="50" t="n">
        <f aca="false">N(N860)</f>
        <v>15</v>
      </c>
      <c r="CM860" s="50" t="n">
        <f aca="false">ROUNDUP(H860/BY860,0)</f>
        <v>1</v>
      </c>
      <c r="CN860" s="50" t="n">
        <f aca="false">ROUNDUP(CI860/BY860,0)</f>
        <v>0</v>
      </c>
      <c r="CO860" s="53" t="n">
        <f aca="false">IF(BZ860=1,0,IFERROR(VLOOKUP(BX860,'Gebinde-Kategorie'!$A$5:$N$45,5,0)+0,0))</f>
        <v>20</v>
      </c>
      <c r="CP860" s="53" t="n">
        <f aca="false">IFERROR(IF(OR(CE860=1,CE860=2,CE860=3),N(INDEX(Parameter!$I$5:$I$7,CE860)),0),0)</f>
        <v>0</v>
      </c>
      <c r="CQ860" s="52" t="n">
        <f aca="false">IF(AND(Parameter!$B$21="Ja",ISNUMBER(W860),N(X860)&gt;0),IFERROR(N(INDEX(Parameter!$L$5:$L$7,W860))*INDEX(Parameter!$E$5:$E$7,W860)*X860/SUMIFS($X$7:$X$1843,$W$7:$W$1843,W860),0),0)</f>
        <v>0</v>
      </c>
    </row>
    <row r="861" customFormat="false" ht="15" hidden="false" customHeight="false" outlineLevel="0" collapsed="false">
      <c r="A861" s="48" t="s">
        <v>1650</v>
      </c>
      <c r="B861" s="48" t="s">
        <v>1101</v>
      </c>
      <c r="C861" s="48" t="s">
        <v>173</v>
      </c>
      <c r="D861" s="48" t="s">
        <v>193</v>
      </c>
      <c r="E861" s="48" t="s">
        <v>194</v>
      </c>
      <c r="F861" s="48" t="s">
        <v>227</v>
      </c>
      <c r="G861" s="49" t="n">
        <v>4.13</v>
      </c>
      <c r="H861" s="50" t="n">
        <f aca="false">MAX(0,IF(AND(Parameter!$B$21="Ja",ISNUMBER(Y861)),Y861,IF(Parameter!$B$20="Jahresanfang 2025 + Export",BR861+BQ861,BQ861)))</f>
        <v>6</v>
      </c>
      <c r="I861" s="50" t="n">
        <f aca="false">H861*G861</f>
        <v>24.78</v>
      </c>
      <c r="J861" s="50" t="n">
        <f aca="false">BT861*Parameter!$B$18</f>
        <v>10</v>
      </c>
      <c r="K861" s="51" t="n">
        <v>10.5</v>
      </c>
      <c r="L861" s="52" t="n">
        <v>0.952380952380952</v>
      </c>
      <c r="M861" s="50" t="n">
        <v>0</v>
      </c>
      <c r="N861" s="50" t="n">
        <v>10</v>
      </c>
      <c r="O861" s="53" t="n">
        <v>14</v>
      </c>
      <c r="P861" s="48" t="s">
        <v>430</v>
      </c>
      <c r="Q861" s="50" t="n">
        <v>20</v>
      </c>
      <c r="R861" s="53" t="n">
        <f aca="false">IF(BZ861=1,0,IFERROR(VLOOKUP(BX861,'Gebinde-Kategorie'!$A$5:$N$45,13,0)+0,0))</f>
        <v>104</v>
      </c>
      <c r="S861" s="54"/>
      <c r="T861" s="55"/>
      <c r="U861" s="55"/>
      <c r="V861" s="55"/>
      <c r="W861" s="48"/>
      <c r="X861" s="50"/>
      <c r="Y861" s="50"/>
      <c r="Z861" s="48" t="n">
        <f aca="false">IF(A861="","",IF(AND(Parameter!$B$21="Ja",ISNUMBER(W861)),W861,IF(CC861="2+3",IF(ISNUMBER(SEARCH("grosser Artikel",BU861)),2,IFERROR(VLOOKUP(BX861,Parameter!$F$35:$G$64,2,0),2)),IF(OR(CC861="Nein",CC861=""),"-",CC861))))</f>
        <v>3</v>
      </c>
      <c r="AA861" s="55"/>
      <c r="AB861" s="56"/>
      <c r="AC861" s="50" t="n">
        <f aca="false">AV861</f>
        <v>10</v>
      </c>
      <c r="AD861" s="50" t="n">
        <f aca="false">MAX(AV861,H861)</f>
        <v>10</v>
      </c>
      <c r="AE861" s="57"/>
      <c r="AF861" s="50" t="n">
        <f aca="false">IF(LEFT(Cockpit!$C$5,1)="A",H861,IF(Parameter!$E$30="MAX-Bestand",IF(CH861=1,CI861,IF(LEFT(Cockpit!$C$5,1)="B",AL861,MAX(AL861,H861))),ROUNDUP(AJ861,0)))</f>
        <v>6</v>
      </c>
      <c r="AG861" s="50" t="n">
        <f aca="false">IF(BZ861=1,0,ROUNDUP(AF861/BY861,0))</f>
        <v>1</v>
      </c>
      <c r="AH861" s="52" t="n">
        <f aca="false">IF(CQ861&gt;0,CQ861*MAX(1,AF861/X861),IF(BZ861=1,IF(AF861&lt;=0,0,CD861*MAX(1,IF(H861&gt;0,AF861/H861,1))),IF(R861&gt;0,AG861/R861,0))/MAX(0.1,N(Parameter!$M$21)))</f>
        <v>0.00961538461538462</v>
      </c>
      <c r="AI861" s="50" t="n">
        <f aca="false">AH861*CB861</f>
        <v>1.49038461538462</v>
      </c>
      <c r="AJ861" s="51" t="n">
        <f aca="false">IF(LEFT(Cockpit!$C$5,1)="A",H861,IF(CH861=1,(CK861+CI861)/2,IF(LEFT(Cockpit!$C$5,1)="B",(CK861+AL861)/2,MAX((CK861+AL861)/2,H861))))</f>
        <v>6</v>
      </c>
      <c r="AK861" s="50" t="n">
        <f aca="false">AJ861*G861</f>
        <v>24.78</v>
      </c>
      <c r="AL861" s="50" t="n">
        <f aca="false">ROUNDUP(CK861+MAX(CL861,2*(J861/IF(CG861&gt;0,CG861,MAX(0.1,N(Cockpit!$C$6)))-CK861)),0)</f>
        <v>10</v>
      </c>
      <c r="AM861" s="51" t="n">
        <f aca="false">IF(AI861&gt;0,J861/AI861,-1)</f>
        <v>6.70967741935484</v>
      </c>
      <c r="AN861" s="51" t="n">
        <f aca="false">IF(AND(OR(CF861="L1",CF861="L23",CF861="LIFT"),AI861&gt;0),SUMIFS($AI$7:$AI$1843,$CF$7:$CF$1843,CF861,$AM$7:$AM$1843,"&gt;"&amp;AM861)+SUMIFS($AI$7:$AI$1843,$CF$7:$CF$1843,CF861,$AM$7:$AM$1843,AM861,$BW$7:$BW$1843,"&lt;="&amp;BW861),"")</f>
        <v>3394.14331501832</v>
      </c>
      <c r="AO861" s="58" t="n">
        <f aca="false">IF(AN861="",0,MAX(0,MIN(1,(IF(CF861="L1",Parameter!$H$5,IF(CF861="L23",Parameter!$H$6+Parameter!$H$7,Parameter!$H$5+Parameter!$H$6+Parameter!$H$7))-(AN861-AI861))/AI861)))</f>
        <v>1</v>
      </c>
      <c r="AP861" s="50" t="n">
        <f aca="false">IF(LEFT(Cockpit!$I$5,1)="A",H861,IF(Parameter!$E$30="MAX-Bestand",IF(CH861=1,CI861,IF(LEFT(Cockpit!$I$5,1)="B",AV861,MAX(AV861,H861))),ROUNDUP(AT861,0)))</f>
        <v>6</v>
      </c>
      <c r="AQ861" s="50" t="n">
        <f aca="false">IF(BZ861=1,0,ROUNDUP(AP861/BY861,0))</f>
        <v>1</v>
      </c>
      <c r="AR861" s="52" t="n">
        <f aca="false">IF(CQ861&gt;0,CQ861*MAX(1,AP861/X861),IF(BZ861=1,IF(AP861&lt;=0,0,CD861*MAX(1,IF(H861&gt;0,AP861/H861,1))),IF(R861&gt;0,AQ861/R861,0))/MAX(0.1,N(Parameter!$M$21)))</f>
        <v>0.00961538461538462</v>
      </c>
      <c r="AS861" s="50" t="n">
        <f aca="false">AR861*CB861</f>
        <v>1.49038461538462</v>
      </c>
      <c r="AT861" s="51" t="n">
        <f aca="false">IF(LEFT(Cockpit!$I$5,1)="A",H861,IF(CH861=1,(CK861+CI861)/2,IF(LEFT(Cockpit!$I$5,1)="B",(CK861+AV861)/2,MAX((CK861+AV861)/2,H861))))</f>
        <v>6</v>
      </c>
      <c r="AU861" s="50" t="n">
        <f aca="false">AT861*G861</f>
        <v>24.78</v>
      </c>
      <c r="AV861" s="50" t="n">
        <f aca="false">ROUNDUP(CK861+MAX(CL861,2*(J861/IF(CG861&gt;0,CG861,MAX(0.1,N(Cockpit!$I$6)))-CK861)),0)</f>
        <v>10</v>
      </c>
      <c r="AW861" s="51" t="n">
        <f aca="false">IF(AS861&gt;0,J861/AS861,-1)</f>
        <v>6.70967741935484</v>
      </c>
      <c r="AX861" s="51" t="n">
        <f aca="false">IF(AND(OR(CF861="L1",CF861="L23",CF861="LIFT"),AS861&gt;0),SUMIFS($AS$7:$AS$1843,$CF$7:$CF$1843,CF861,$AW$7:$AW$1843,"&gt;"&amp;AW861)+SUMIFS($AS$7:$AS$1843,$CF$7:$CF$1843,CF861,$AW$7:$AW$1843,AW861,$BW$7:$BW$1843,"&lt;="&amp;BW861),"")</f>
        <v>4111.95467032967</v>
      </c>
      <c r="AY861" s="58" t="n">
        <f aca="false">IF(AX861="",0,MAX(0,MIN(1,(IF(CF861="L1",Parameter!$H$5,IF(CF861="L23",Parameter!$H$6+Parameter!$H$7,Parameter!$H$5+Parameter!$H$6+Parameter!$H$7))-(AX861-AS861))/AS861)))</f>
        <v>1</v>
      </c>
      <c r="AZ861" s="50" t="n">
        <f aca="false">IF(LEFT(Cockpit!$O$5,1)="A",H861,IF(Parameter!$E$30="MAX-Bestand",IF(CH861=1,CI861,IF(LEFT(Cockpit!$O$5,1)="B",BF861,MAX(BF861,H861))),ROUNDUP(BD861,0)))</f>
        <v>5</v>
      </c>
      <c r="BA861" s="50" t="n">
        <f aca="false">IF(BZ861=1,0,ROUNDUP(AZ861/BY861,0))</f>
        <v>1</v>
      </c>
      <c r="BB861" s="52" t="n">
        <f aca="false">IF(CQ861&gt;0,CQ861*MAX(1,AZ861/X861),IF(BZ861=1,IF(AZ861&lt;=0,0,CD861*MAX(1,IF(H861&gt;0,AZ861/H861,1))),IF(R861&gt;0,BA861/R861,0))/MAX(0.1,N(Parameter!$M$21)))</f>
        <v>0.00961538461538462</v>
      </c>
      <c r="BC861" s="50" t="n">
        <f aca="false">BB861*CB861</f>
        <v>1.49038461538462</v>
      </c>
      <c r="BD861" s="51" t="n">
        <f aca="false">IF(LEFT(Cockpit!$O$5,1)="A",H861,IF(CH861=1,(CK861+CI861)/2,IF(LEFT(Cockpit!$O$5,1)="B",(CK861+BF861)/2,MAX((CK861+BF861)/2,H861))))</f>
        <v>5</v>
      </c>
      <c r="BE861" s="50" t="n">
        <f aca="false">BD861*G861</f>
        <v>20.65</v>
      </c>
      <c r="BF861" s="50" t="n">
        <f aca="false">ROUNDUP(CK861+MAX(CL861,2*(J861/IF(CG861&gt;0,CG861,MAX(0.1,N(Cockpit!$O$6)))-CK861)),0)</f>
        <v>10</v>
      </c>
      <c r="BG861" s="51" t="n">
        <f aca="false">IF(BC861&gt;0,J861/BC861,-1)</f>
        <v>6.70967741935484</v>
      </c>
      <c r="BH861" s="51" t="n">
        <f aca="false">IF(AND(OR(CF861="L1",CF861="L23",CF861="LIFT"),BC861&gt;0),SUMIFS($BC$7:$BC$1843,$CF$7:$CF$1843,CF861,$BG$7:$BG$1843,"&gt;"&amp;BG861)+SUMIFS($BC$7:$BC$1843,$CF$7:$CF$1843,CF861,$BG$7:$BG$1843,BG861,$BW$7:$BW$1843,"&lt;="&amp;BW861),"")</f>
        <v>3382.02152014652</v>
      </c>
      <c r="BI861" s="58" t="n">
        <f aca="false">IF(BH861="",0,MAX(0,MIN(1,(IF(CF861="L1",Parameter!$H$5,IF(CF861="L23",Parameter!$H$6+Parameter!$H$7,Parameter!$H$5+Parameter!$H$6+Parameter!$H$7))-(BH861-BC861))/BC861)))</f>
        <v>1</v>
      </c>
      <c r="BJ861" s="48" t="str">
        <f aca="false">IF(AI861&lt;=0,"",IF(CF861="Aussen","Aussenlager",IF(CF861="-","Nicht im Lift",IF(AO861&gt;=1,"Lift",IF(AO861&lt;=0,"Aussenlager","teilweise")))))</f>
        <v>Lift</v>
      </c>
      <c r="BK861" s="48" t="str">
        <f aca="false">IF(AS861&lt;=0,"",IF(CF861="Aussen","Aussenlager",IF(CF861="-","Nicht im Lift",IF(AY861&gt;=1,"Lift",IF(AY861&lt;=0,"Aussenlager","teilweise")))))</f>
        <v>Lift</v>
      </c>
      <c r="BL861" s="48" t="str">
        <f aca="false">IF(BC861&lt;=0,"",IF(CF861="Aussen","Aussenlager",IF(CF861="-","Nicht im Lift",IF(BI861&gt;=1,"Lift",IF(BI861&lt;=0,"Aussenlager","teilweise")))))</f>
        <v>Lift</v>
      </c>
      <c r="BM861" s="48" t="str">
        <f aca="false">IF(A861="","",IF(BV861=1,"Neu; ","")&amp;IF(AND(BV861=0,BQ861&lt;0),"negativer Bestand (Export "&amp;BQ861&amp;"); ","")&amp;IF(J861&lt;=0,"Kein Verbrauch; ","")&amp;IF(CQ861&gt;0,"Lift "&amp;W861&amp;" lt. Liftbericht (Fach "&amp;X861&amp;" Stk); ",IF(CA861=1,"Gebinde geschätzt ("&amp;T861&amp;"); ",IF(BZ861=1,"Lose – Tablare geschätzt; ","")))&amp;IF(H861&gt;AV861,"Überbestand "&amp;ROUND(H861-AV861,0)&amp;" Stk / CHF "&amp;ROUND((H861-AV861)*G861,0)&amp;"; ","")&amp;IF(AND(CH861=1,CI861&lt;CJ861),"MAX &lt; MB+LG; ","")&amp;IF(AND(CP861&gt;0,CO861*10&gt;CP861),"zu hoch für Tablar; ","")&amp;IF(AND(BV861=0,OR(CH861=1,AA861&lt;&gt;"",U861&lt;&gt;"",V861&lt;&gt;"",AB861&lt;&gt;"")),"manuell übersteuert; ","")&amp;IF(AND(BZ861=0,R861=0),"Gebinde unbekannt / Stellmass fehlt; ","")&amp;IF(AND(BZ861=0,N(V861)&lt;=0,N(Q861)&lt;=0),"Menge pro Gebinde fehlt (Ist = 1 Gebinde); ","")&amp;BU861)</f>
        <v>negativer Bestand (Export -5); </v>
      </c>
      <c r="BN861" s="48"/>
      <c r="BO861" s="48"/>
      <c r="BP861" s="55"/>
      <c r="BQ861" s="50" t="n">
        <v>-5</v>
      </c>
      <c r="BR861" s="50" t="n">
        <v>11</v>
      </c>
      <c r="BS861" s="49" t="n">
        <v>-20.43</v>
      </c>
      <c r="BT861" s="50" t="n">
        <v>10</v>
      </c>
      <c r="BU861" s="48"/>
      <c r="BV861" s="53" t="n">
        <v>0</v>
      </c>
      <c r="BW861" s="53" t="n">
        <v>861</v>
      </c>
      <c r="BX861" s="48" t="str">
        <f aca="false">IF(U861&lt;&gt;"",UPPER(TRIM(U861)),IF(CA861=1,UPPER(VLOOKUP(T861,Parameter!$I$27:$K$29,2,0)),IF(P861="","LOSE",P861)))</f>
        <v>S32</v>
      </c>
      <c r="BY861" s="50" t="n">
        <f aca="false">IF(BX861="LOSE",1,IF(N(V861)&gt;0,V861,IF(CA861=1,MAX(1,N(VLOOKUP(T861,Parameter!$I$27:$K$29,3,0)),H861,N(N861)),IF(N(Q861)&gt;0,Q861,MAX(1,H861)))))</f>
        <v>20</v>
      </c>
      <c r="BZ861" s="53" t="n">
        <f aca="false">IF(BX861="LOSE",1,0)</f>
        <v>0</v>
      </c>
      <c r="CA861" s="53" t="n">
        <f aca="false">IF(AND(U861="",OR(P861="",P861="LOSE"),T861&lt;&gt;"",N(S861)&lt;=0,ISNUMBER(MATCH(T861,Parameter!$I$27:$I$29,0))),1,0)</f>
        <v>0</v>
      </c>
      <c r="CB861" s="53" t="n">
        <f aca="false">IF(CQ861&gt;0,INDEX(Parameter!$H$5:$H$7,W861)/INDEX(Parameter!$E$5:$E$7,W861),IF(AND(BZ861=0,N(IFERROR(VLOOKUP(BX861,'Gebinde-Kategorie'!$A$5:$N$45,14,0),0))&gt;0),VLOOKUP(BX861,'Gebinde-Kategorie'!$A$5:$N$45,14,0)*10+Parameter!$M$23,Parameter!$M$24))</f>
        <v>155</v>
      </c>
      <c r="CC861" s="48" t="str">
        <f aca="false">IF(AND(Parameter!$B$19="Ja",E861&lt;&gt;"",ISNUMBER(MATCH(E861,Parameter!$I$35:$I$52,0))),VLOOKUP(E861,Parameter!$I$35:$J$52,2,0),IFERROR(VLOOKUP(D861,Parameter!$A$35:$C$64,2,0),"Nein"))</f>
        <v>2+3</v>
      </c>
      <c r="CD861" s="52" t="n">
        <f aca="false">IF(BZ861=0,0,IF(N(S861)&gt;0,S861,IFERROR(VLOOKUP(D861,Parameter!$A$35:$C$64,3,0)+0,0)))</f>
        <v>0</v>
      </c>
      <c r="CE861" s="48" t="n">
        <f aca="false">IF(AA861&lt;&gt;"",AA861,Z861)</f>
        <v>3</v>
      </c>
      <c r="CF861" s="48" t="str">
        <f aca="false">IF(OR(CE861=1,CE861=2,CE861=3),IF(Parameter!$E$27="Ja","LIFT",IF(CE861=1,"L1","L23")),IF(CE861="Aussen","Aussen","-"))</f>
        <v>LIFT</v>
      </c>
      <c r="CG861" s="59" t="n">
        <f aca="false">IF(N(AB861)&gt;0,AB861,0)</f>
        <v>0</v>
      </c>
      <c r="CH861" s="53" t="n">
        <f aca="false">IF(ISNUMBER(AE861),1,0)</f>
        <v>0</v>
      </c>
      <c r="CI861" s="50" t="n">
        <f aca="false">N(AE861)</f>
        <v>0</v>
      </c>
      <c r="CJ861" s="50" t="n">
        <f aca="false">N(M861)+N(N861)</f>
        <v>10</v>
      </c>
      <c r="CK861" s="50" t="n">
        <f aca="false">N(M861)</f>
        <v>0</v>
      </c>
      <c r="CL861" s="50" t="n">
        <f aca="false">N(N861)</f>
        <v>10</v>
      </c>
      <c r="CM861" s="50" t="n">
        <f aca="false">ROUNDUP(H861/BY861,0)</f>
        <v>1</v>
      </c>
      <c r="CN861" s="50" t="n">
        <f aca="false">ROUNDUP(CI861/BY861,0)</f>
        <v>0</v>
      </c>
      <c r="CO861" s="53" t="n">
        <f aca="false">IF(BZ861=1,0,IFERROR(VLOOKUP(BX861,'Gebinde-Kategorie'!$A$5:$N$45,5,0)+0,0))</f>
        <v>8</v>
      </c>
      <c r="CP861" s="53" t="n">
        <f aca="false">IFERROR(IF(OR(CE861=1,CE861=2,CE861=3),N(INDEX(Parameter!$I$5:$I$7,CE861)),0),0)</f>
        <v>0</v>
      </c>
      <c r="CQ861" s="52" t="n">
        <f aca="false">IF(AND(Parameter!$B$21="Ja",ISNUMBER(W861),N(X861)&gt;0),IFERROR(N(INDEX(Parameter!$L$5:$L$7,W861))*INDEX(Parameter!$E$5:$E$7,W861)*X861/SUMIFS($X$7:$X$1843,$W$7:$W$1843,W861),0),0)</f>
        <v>0</v>
      </c>
    </row>
    <row r="862" customFormat="false" ht="15" hidden="false" customHeight="false" outlineLevel="0" collapsed="false">
      <c r="A862" s="48" t="s">
        <v>1651</v>
      </c>
      <c r="B862" s="48" t="s">
        <v>1652</v>
      </c>
      <c r="C862" s="48" t="s">
        <v>173</v>
      </c>
      <c r="D862" s="48" t="s">
        <v>193</v>
      </c>
      <c r="E862" s="48" t="s">
        <v>194</v>
      </c>
      <c r="F862" s="48" t="s">
        <v>227</v>
      </c>
      <c r="G862" s="49" t="n">
        <v>20.5</v>
      </c>
      <c r="H862" s="50" t="n">
        <f aca="false">MAX(0,IF(AND(Parameter!$B$21="Ja",ISNUMBER(Y862)),Y862,IF(Parameter!$B$20="Jahresanfang 2025 + Export",BR862+BQ862,BQ862)))</f>
        <v>12</v>
      </c>
      <c r="I862" s="50" t="n">
        <f aca="false">H862*G862</f>
        <v>246</v>
      </c>
      <c r="J862" s="50" t="n">
        <f aca="false">BT862*Parameter!$B$18</f>
        <v>1</v>
      </c>
      <c r="K862" s="51" t="n">
        <v>12.5</v>
      </c>
      <c r="L862" s="52" t="n">
        <v>0.08</v>
      </c>
      <c r="M862" s="50" t="n">
        <v>0</v>
      </c>
      <c r="N862" s="50" t="n">
        <v>1</v>
      </c>
      <c r="O862" s="53" t="n">
        <v>42</v>
      </c>
      <c r="P862" s="48" t="s">
        <v>485</v>
      </c>
      <c r="Q862" s="50" t="n">
        <v>22</v>
      </c>
      <c r="R862" s="53" t="n">
        <f aca="false">IF(BZ862=1,0,IFERROR(VLOOKUP(BX862,'Gebinde-Kategorie'!$A$5:$N$45,13,0)+0,0))</f>
        <v>52</v>
      </c>
      <c r="S862" s="54"/>
      <c r="T862" s="55"/>
      <c r="U862" s="55"/>
      <c r="V862" s="55"/>
      <c r="W862" s="48"/>
      <c r="X862" s="50"/>
      <c r="Y862" s="50"/>
      <c r="Z862" s="48" t="n">
        <f aca="false">IF(A862="","",IF(AND(Parameter!$B$21="Ja",ISNUMBER(W862)),W862,IF(CC862="2+3",IF(ISNUMBER(SEARCH("grosser Artikel",BU862)),2,IFERROR(VLOOKUP(BX862,Parameter!$F$35:$G$64,2,0),2)),IF(OR(CC862="Nein",CC862=""),"-",CC862))))</f>
        <v>3</v>
      </c>
      <c r="AA862" s="55"/>
      <c r="AB862" s="56"/>
      <c r="AC862" s="50" t="n">
        <f aca="false">AV862</f>
        <v>1</v>
      </c>
      <c r="AD862" s="50" t="n">
        <f aca="false">MAX(AV862,H862)</f>
        <v>12</v>
      </c>
      <c r="AE862" s="57"/>
      <c r="AF862" s="50" t="n">
        <f aca="false">IF(LEFT(Cockpit!$C$5,1)="A",H862,IF(Parameter!$E$30="MAX-Bestand",IF(CH862=1,CI862,IF(LEFT(Cockpit!$C$5,1)="B",AL862,MAX(AL862,H862))),ROUNDUP(AJ862,0)))</f>
        <v>12</v>
      </c>
      <c r="AG862" s="50" t="n">
        <f aca="false">IF(BZ862=1,0,ROUNDUP(AF862/BY862,0))</f>
        <v>1</v>
      </c>
      <c r="AH862" s="52" t="n">
        <f aca="false">IF(CQ862&gt;0,CQ862*MAX(1,AF862/X862),IF(BZ862=1,IF(AF862&lt;=0,0,CD862*MAX(1,IF(H862&gt;0,AF862/H862,1))),IF(R862&gt;0,AG862/R862,0))/MAX(0.1,N(Parameter!$M$21)))</f>
        <v>0.0192307692307692</v>
      </c>
      <c r="AI862" s="50" t="n">
        <f aca="false">AH862*CB862</f>
        <v>2.98076923076923</v>
      </c>
      <c r="AJ862" s="51" t="n">
        <f aca="false">IF(LEFT(Cockpit!$C$5,1)="A",H862,IF(CH862=1,(CK862+CI862)/2,IF(LEFT(Cockpit!$C$5,1)="B",(CK862+AL862)/2,MAX((CK862+AL862)/2,H862))))</f>
        <v>12</v>
      </c>
      <c r="AK862" s="50" t="n">
        <f aca="false">AJ862*G862</f>
        <v>246</v>
      </c>
      <c r="AL862" s="50" t="n">
        <f aca="false">ROUNDUP(CK862+MAX(CL862,2*(J862/IF(CG862&gt;0,CG862,MAX(0.1,N(Cockpit!$C$6)))-CK862)),0)</f>
        <v>1</v>
      </c>
      <c r="AM862" s="51" t="n">
        <f aca="false">IF(AI862&gt;0,J862/AI862,-1)</f>
        <v>0.335483870967742</v>
      </c>
      <c r="AN862" s="51" t="n">
        <f aca="false">IF(AND(OR(CF862="L1",CF862="L23",CF862="LIFT"),AI862&gt;0),SUMIFS($AI$7:$AI$1843,$CF$7:$CF$1843,CF862,$AM$7:$AM$1843,"&gt;"&amp;AM862)+SUMIFS($AI$7:$AI$1843,$CF$7:$CF$1843,CF862,$AM$7:$AM$1843,AM862,$BW$7:$BW$1843,"&lt;="&amp;BW862),"")</f>
        <v>11212.8462702552</v>
      </c>
      <c r="AO862" s="58" t="n">
        <f aca="false">IF(AN862="",0,MAX(0,MIN(1,(IF(CF862="L1",Parameter!$H$5,IF(CF862="L23",Parameter!$H$6+Parameter!$H$7,Parameter!$H$5+Parameter!$H$6+Parameter!$H$7))-(AN862-AI862))/AI862)))</f>
        <v>1</v>
      </c>
      <c r="AP862" s="50" t="n">
        <f aca="false">IF(LEFT(Cockpit!$I$5,1)="A",H862,IF(Parameter!$E$30="MAX-Bestand",IF(CH862=1,CI862,IF(LEFT(Cockpit!$I$5,1)="B",AV862,MAX(AV862,H862))),ROUNDUP(AT862,0)))</f>
        <v>12</v>
      </c>
      <c r="AQ862" s="50" t="n">
        <f aca="false">IF(BZ862=1,0,ROUNDUP(AP862/BY862,0))</f>
        <v>1</v>
      </c>
      <c r="AR862" s="52" t="n">
        <f aca="false">IF(CQ862&gt;0,CQ862*MAX(1,AP862/X862),IF(BZ862=1,IF(AP862&lt;=0,0,CD862*MAX(1,IF(H862&gt;0,AP862/H862,1))),IF(R862&gt;0,AQ862/R862,0))/MAX(0.1,N(Parameter!$M$21)))</f>
        <v>0.0192307692307692</v>
      </c>
      <c r="AS862" s="50" t="n">
        <f aca="false">AR862*CB862</f>
        <v>2.98076923076923</v>
      </c>
      <c r="AT862" s="51" t="n">
        <f aca="false">IF(LEFT(Cockpit!$I$5,1)="A",H862,IF(CH862=1,(CK862+CI862)/2,IF(LEFT(Cockpit!$I$5,1)="B",(CK862+AV862)/2,MAX((CK862+AV862)/2,H862))))</f>
        <v>12</v>
      </c>
      <c r="AU862" s="50" t="n">
        <f aca="false">AT862*G862</f>
        <v>246</v>
      </c>
      <c r="AV862" s="50" t="n">
        <f aca="false">ROUNDUP(CK862+MAX(CL862,2*(J862/IF(CG862&gt;0,CG862,MAX(0.1,N(Cockpit!$I$6)))-CK862)),0)</f>
        <v>1</v>
      </c>
      <c r="AW862" s="51" t="n">
        <f aca="false">IF(AS862&gt;0,J862/AS862,-1)</f>
        <v>0.335483870967742</v>
      </c>
      <c r="AX862" s="51" t="n">
        <f aca="false">IF(AND(OR(CF862="L1",CF862="L23",CF862="LIFT"),AS862&gt;0),SUMIFS($AS$7:$AS$1843,$CF$7:$CF$1843,CF862,$AW$7:$AW$1843,"&gt;"&amp;AW862)+SUMIFS($AS$7:$AS$1843,$CF$7:$CF$1843,CF862,$AW$7:$AW$1843,AW862,$BW$7:$BW$1843,"&lt;="&amp;BW862),"")</f>
        <v>13746.983974359</v>
      </c>
      <c r="AY862" s="58" t="n">
        <f aca="false">IF(AX862="",0,MAX(0,MIN(1,(IF(CF862="L1",Parameter!$H$5,IF(CF862="L23",Parameter!$H$6+Parameter!$H$7,Parameter!$H$5+Parameter!$H$6+Parameter!$H$7))-(AX862-AS862))/AS862)))</f>
        <v>1</v>
      </c>
      <c r="AZ862" s="50" t="n">
        <f aca="false">IF(LEFT(Cockpit!$O$5,1)="A",H862,IF(Parameter!$E$30="MAX-Bestand",IF(CH862=1,CI862,IF(LEFT(Cockpit!$O$5,1)="B",BF862,MAX(BF862,H862))),ROUNDUP(BD862,0)))</f>
        <v>1</v>
      </c>
      <c r="BA862" s="50" t="n">
        <f aca="false">IF(BZ862=1,0,ROUNDUP(AZ862/BY862,0))</f>
        <v>1</v>
      </c>
      <c r="BB862" s="52" t="n">
        <f aca="false">IF(CQ862&gt;0,CQ862*MAX(1,AZ862/X862),IF(BZ862=1,IF(AZ862&lt;=0,0,CD862*MAX(1,IF(H862&gt;0,AZ862/H862,1))),IF(R862&gt;0,BA862/R862,0))/MAX(0.1,N(Parameter!$M$21)))</f>
        <v>0.0192307692307692</v>
      </c>
      <c r="BC862" s="50" t="n">
        <f aca="false">BB862*CB862</f>
        <v>2.98076923076923</v>
      </c>
      <c r="BD862" s="51" t="n">
        <f aca="false">IF(LEFT(Cockpit!$O$5,1)="A",H862,IF(CH862=1,(CK862+CI862)/2,IF(LEFT(Cockpit!$O$5,1)="B",(CK862+BF862)/2,MAX((CK862+BF862)/2,H862))))</f>
        <v>0.5</v>
      </c>
      <c r="BE862" s="50" t="n">
        <f aca="false">BD862*G862</f>
        <v>10.25</v>
      </c>
      <c r="BF862" s="50" t="n">
        <f aca="false">ROUNDUP(CK862+MAX(CL862,2*(J862/IF(CG862&gt;0,CG862,MAX(0.1,N(Cockpit!$O$6)))-CK862)),0)</f>
        <v>1</v>
      </c>
      <c r="BG862" s="51" t="n">
        <f aca="false">IF(BC862&gt;0,J862/BC862,-1)</f>
        <v>0.335483870967742</v>
      </c>
      <c r="BH862" s="51" t="n">
        <f aca="false">IF(AND(OR(CF862="L1",CF862="L23",CF862="LIFT"),BC862&gt;0),SUMIFS($BC$7:$BC$1843,$CF$7:$CF$1843,CF862,$BG$7:$BG$1843,"&gt;"&amp;BG862)+SUMIFS($BC$7:$BC$1843,$CF$7:$CF$1843,CF862,$BG$7:$BG$1843,BG862,$BW$7:$BW$1843,"&lt;="&amp;BW862),"")</f>
        <v>11597.9427655678</v>
      </c>
      <c r="BI862" s="58" t="n">
        <f aca="false">IF(BH862="",0,MAX(0,MIN(1,(IF(CF862="L1",Parameter!$H$5,IF(CF862="L23",Parameter!$H$6+Parameter!$H$7,Parameter!$H$5+Parameter!$H$6+Parameter!$H$7))-(BH862-BC862))/BC862)))</f>
        <v>1</v>
      </c>
      <c r="BJ862" s="48" t="str">
        <f aca="false">IF(AI862&lt;=0,"",IF(CF862="Aussen","Aussenlager",IF(CF862="-","Nicht im Lift",IF(AO862&gt;=1,"Lift",IF(AO862&lt;=0,"Aussenlager","teilweise")))))</f>
        <v>Lift</v>
      </c>
      <c r="BK862" s="48" t="str">
        <f aca="false">IF(AS862&lt;=0,"",IF(CF862="Aussen","Aussenlager",IF(CF862="-","Nicht im Lift",IF(AY862&gt;=1,"Lift",IF(AY862&lt;=0,"Aussenlager","teilweise")))))</f>
        <v>Lift</v>
      </c>
      <c r="BL862" s="48" t="str">
        <f aca="false">IF(BC862&lt;=0,"",IF(CF862="Aussen","Aussenlager",IF(CF862="-","Nicht im Lift",IF(BI862&gt;=1,"Lift",IF(BI862&lt;=0,"Aussenlager","teilweise")))))</f>
        <v>Lift</v>
      </c>
      <c r="BM862" s="48" t="str">
        <f aca="false">IF(A862="","",IF(BV862=1,"Neu; ","")&amp;IF(AND(BV862=0,BQ862&lt;0),"negativer Bestand (Export "&amp;BQ862&amp;"); ","")&amp;IF(J862&lt;=0,"Kein Verbrauch; ","")&amp;IF(CQ862&gt;0,"Lift "&amp;W862&amp;" lt. Liftbericht (Fach "&amp;X862&amp;" Stk); ",IF(CA862=1,"Gebinde geschätzt ("&amp;T862&amp;"); ",IF(BZ862=1,"Lose – Tablare geschätzt; ","")))&amp;IF(H862&gt;AV862,"Überbestand "&amp;ROUND(H862-AV862,0)&amp;" Stk / CHF "&amp;ROUND((H862-AV862)*G862,0)&amp;"; ","")&amp;IF(AND(CH862=1,CI862&lt;CJ862),"MAX &lt; MB+LG; ","")&amp;IF(AND(CP862&gt;0,CO862*10&gt;CP862),"zu hoch für Tablar; ","")&amp;IF(AND(BV862=0,OR(CH862=1,AA862&lt;&gt;"",U862&lt;&gt;"",V862&lt;&gt;"",AB862&lt;&gt;"")),"manuell übersteuert; ","")&amp;IF(AND(BZ862=0,R862=0),"Gebinde unbekannt / Stellmass fehlt; ","")&amp;IF(AND(BZ862=0,N(V862)&lt;=0,N(Q862)&lt;=0),"Menge pro Gebinde fehlt (Ist = 1 Gebinde); ","")&amp;BU862)</f>
        <v>negativer Bestand (Export -1); Überbestand 11 Stk / CHF 226; </v>
      </c>
      <c r="BN862" s="48"/>
      <c r="BO862" s="48"/>
      <c r="BP862" s="55"/>
      <c r="BQ862" s="50" t="n">
        <v>-1</v>
      </c>
      <c r="BR862" s="50" t="n">
        <v>13</v>
      </c>
      <c r="BS862" s="49" t="n">
        <v>-20.5</v>
      </c>
      <c r="BT862" s="50" t="n">
        <v>1</v>
      </c>
      <c r="BU862" s="48"/>
      <c r="BV862" s="53" t="n">
        <v>0</v>
      </c>
      <c r="BW862" s="53" t="n">
        <v>862</v>
      </c>
      <c r="BX862" s="48" t="str">
        <f aca="false">IF(U862&lt;&gt;"",UPPER(TRIM(U862)),IF(CA862=1,UPPER(VLOOKUP(T862,Parameter!$I$27:$K$29,2,0)),IF(P862="","LOSE",P862)))</f>
        <v>S33</v>
      </c>
      <c r="BY862" s="50" t="n">
        <f aca="false">IF(BX862="LOSE",1,IF(N(V862)&gt;0,V862,IF(CA862=1,MAX(1,N(VLOOKUP(T862,Parameter!$I$27:$K$29,3,0)),H862,N(N862)),IF(N(Q862)&gt;0,Q862,MAX(1,H862)))))</f>
        <v>22</v>
      </c>
      <c r="BZ862" s="53" t="n">
        <f aca="false">IF(BX862="LOSE",1,0)</f>
        <v>0</v>
      </c>
      <c r="CA862" s="53" t="n">
        <f aca="false">IF(AND(U862="",OR(P862="",P862="LOSE"),T862&lt;&gt;"",N(S862)&lt;=0,ISNUMBER(MATCH(T862,Parameter!$I$27:$I$29,0))),1,0)</f>
        <v>0</v>
      </c>
      <c r="CB862" s="53" t="n">
        <f aca="false">IF(CQ862&gt;0,INDEX(Parameter!$H$5:$H$7,W862)/INDEX(Parameter!$E$5:$E$7,W862),IF(AND(BZ862=0,N(IFERROR(VLOOKUP(BX862,'Gebinde-Kategorie'!$A$5:$N$45,14,0),0))&gt;0),VLOOKUP(BX862,'Gebinde-Kategorie'!$A$5:$N$45,14,0)*10+Parameter!$M$23,Parameter!$M$24))</f>
        <v>155</v>
      </c>
      <c r="CC862" s="48" t="str">
        <f aca="false">IF(AND(Parameter!$B$19="Ja",E862&lt;&gt;"",ISNUMBER(MATCH(E862,Parameter!$I$35:$I$52,0))),VLOOKUP(E862,Parameter!$I$35:$J$52,2,0),IFERROR(VLOOKUP(D862,Parameter!$A$35:$C$64,2,0),"Nein"))</f>
        <v>2+3</v>
      </c>
      <c r="CD862" s="52" t="n">
        <f aca="false">IF(BZ862=0,0,IF(N(S862)&gt;0,S862,IFERROR(VLOOKUP(D862,Parameter!$A$35:$C$64,3,0)+0,0)))</f>
        <v>0</v>
      </c>
      <c r="CE862" s="48" t="n">
        <f aca="false">IF(AA862&lt;&gt;"",AA862,Z862)</f>
        <v>3</v>
      </c>
      <c r="CF862" s="48" t="str">
        <f aca="false">IF(OR(CE862=1,CE862=2,CE862=3),IF(Parameter!$E$27="Ja","LIFT",IF(CE862=1,"L1","L23")),IF(CE862="Aussen","Aussen","-"))</f>
        <v>LIFT</v>
      </c>
      <c r="CG862" s="59" t="n">
        <f aca="false">IF(N(AB862)&gt;0,AB862,0)</f>
        <v>0</v>
      </c>
      <c r="CH862" s="53" t="n">
        <f aca="false">IF(ISNUMBER(AE862),1,0)</f>
        <v>0</v>
      </c>
      <c r="CI862" s="50" t="n">
        <f aca="false">N(AE862)</f>
        <v>0</v>
      </c>
      <c r="CJ862" s="50" t="n">
        <f aca="false">N(M862)+N(N862)</f>
        <v>1</v>
      </c>
      <c r="CK862" s="50" t="n">
        <f aca="false">N(M862)</f>
        <v>0</v>
      </c>
      <c r="CL862" s="50" t="n">
        <f aca="false">N(N862)</f>
        <v>1</v>
      </c>
      <c r="CM862" s="50" t="n">
        <f aca="false">ROUNDUP(H862/BY862,0)</f>
        <v>1</v>
      </c>
      <c r="CN862" s="50" t="n">
        <f aca="false">ROUNDUP(CI862/BY862,0)</f>
        <v>0</v>
      </c>
      <c r="CO862" s="53" t="n">
        <f aca="false">IF(BZ862=1,0,IFERROR(VLOOKUP(BX862,'Gebinde-Kategorie'!$A$5:$N$45,5,0)+0,0))</f>
        <v>8</v>
      </c>
      <c r="CP862" s="53" t="n">
        <f aca="false">IFERROR(IF(OR(CE862=1,CE862=2,CE862=3),N(INDEX(Parameter!$I$5:$I$7,CE862)),0),0)</f>
        <v>0</v>
      </c>
      <c r="CQ862" s="52" t="n">
        <f aca="false">IF(AND(Parameter!$B$21="Ja",ISNUMBER(W862),N(X862)&gt;0),IFERROR(N(INDEX(Parameter!$L$5:$L$7,W862))*INDEX(Parameter!$E$5:$E$7,W862)*X862/SUMIFS($X$7:$X$1843,$W$7:$W$1843,W862),0),0)</f>
        <v>0</v>
      </c>
    </row>
    <row r="863" customFormat="false" ht="15" hidden="false" customHeight="false" outlineLevel="0" collapsed="false">
      <c r="A863" s="48" t="s">
        <v>1653</v>
      </c>
      <c r="B863" s="48" t="s">
        <v>416</v>
      </c>
      <c r="C863" s="48" t="s">
        <v>173</v>
      </c>
      <c r="D863" s="48" t="s">
        <v>193</v>
      </c>
      <c r="E863" s="48" t="s">
        <v>194</v>
      </c>
      <c r="F863" s="48" t="s">
        <v>227</v>
      </c>
      <c r="G863" s="49" t="n">
        <v>0.24</v>
      </c>
      <c r="H863" s="50" t="n">
        <f aca="false">MAX(0,IF(AND(Parameter!$B$21="Ja",ISNUMBER(Y863)),Y863,IF(Parameter!$B$20="Jahresanfang 2025 + Export",BR863+BQ863,BQ863)))</f>
        <v>1798</v>
      </c>
      <c r="I863" s="50" t="n">
        <f aca="false">H863*G863</f>
        <v>431.52</v>
      </c>
      <c r="J863" s="50" t="n">
        <f aca="false">BT863*Parameter!$B$18</f>
        <v>7214</v>
      </c>
      <c r="K863" s="51" t="n">
        <v>2296</v>
      </c>
      <c r="L863" s="52" t="n">
        <v>3.14198606271777</v>
      </c>
      <c r="M863" s="50" t="n">
        <v>281</v>
      </c>
      <c r="N863" s="50" t="n">
        <v>2000</v>
      </c>
      <c r="O863" s="53" t="n">
        <v>14</v>
      </c>
      <c r="P863" s="48" t="s">
        <v>311</v>
      </c>
      <c r="Q863" s="50" t="n">
        <v>1444</v>
      </c>
      <c r="R863" s="53" t="n">
        <f aca="false">IF(BZ863=1,0,IFERROR(VLOOKUP(BX863,'Gebinde-Kategorie'!$A$5:$N$45,13,0)+0,0))</f>
        <v>26</v>
      </c>
      <c r="S863" s="54"/>
      <c r="T863" s="55"/>
      <c r="U863" s="55"/>
      <c r="V863" s="55"/>
      <c r="W863" s="48"/>
      <c r="X863" s="50"/>
      <c r="Y863" s="50"/>
      <c r="Z863" s="48" t="n">
        <f aca="false">IF(A863="","",IF(AND(Parameter!$B$21="Ja",ISNUMBER(W863)),W863,IF(CC863="2+3",IF(ISNUMBER(SEARCH("grosser Artikel",BU863)),2,IFERROR(VLOOKUP(BX863,Parameter!$F$35:$G$64,2,0),2)),IF(OR(CC863="Nein",CC863=""),"-",CC863))))</f>
        <v>3</v>
      </c>
      <c r="AA863" s="55"/>
      <c r="AB863" s="56"/>
      <c r="AC863" s="50" t="n">
        <f aca="false">AV863</f>
        <v>4529</v>
      </c>
      <c r="AD863" s="50" t="n">
        <f aca="false">MAX(AV863,H863)</f>
        <v>4529</v>
      </c>
      <c r="AE863" s="57"/>
      <c r="AF863" s="50" t="n">
        <f aca="false">IF(LEFT(Cockpit!$C$5,1)="A",H863,IF(Parameter!$E$30="MAX-Bestand",IF(CH863=1,CI863,IF(LEFT(Cockpit!$C$5,1)="B",AL863,MAX(AL863,H863))),ROUNDUP(AJ863,0)))</f>
        <v>1798</v>
      </c>
      <c r="AG863" s="50" t="n">
        <f aca="false">IF(BZ863=1,0,ROUNDUP(AF863/BY863,0))</f>
        <v>2</v>
      </c>
      <c r="AH863" s="52" t="n">
        <f aca="false">IF(CQ863&gt;0,CQ863*MAX(1,AF863/X863),IF(BZ863=1,IF(AF863&lt;=0,0,CD863*MAX(1,IF(H863&gt;0,AF863/H863,1))),IF(R863&gt;0,AG863/R863,0))/MAX(0.1,N(Parameter!$M$21)))</f>
        <v>0.0769230769230769</v>
      </c>
      <c r="AI863" s="50" t="n">
        <f aca="false">AH863*CB863</f>
        <v>11.9230769230769</v>
      </c>
      <c r="AJ863" s="51" t="n">
        <f aca="false">IF(LEFT(Cockpit!$C$5,1)="A",H863,IF(CH863=1,(CK863+CI863)/2,IF(LEFT(Cockpit!$C$5,1)="B",(CK863+AL863)/2,MAX((CK863+AL863)/2,H863))))</f>
        <v>1798</v>
      </c>
      <c r="AK863" s="50" t="n">
        <f aca="false">AJ863*G863</f>
        <v>431.52</v>
      </c>
      <c r="AL863" s="50" t="n">
        <f aca="false">ROUNDUP(CK863+MAX(CL863,2*(J863/IF(CG863&gt;0,CG863,MAX(0.1,N(Cockpit!$C$6)))-CK863)),0)</f>
        <v>4529</v>
      </c>
      <c r="AM863" s="51" t="n">
        <f aca="false">IF(AI863&gt;0,J863/AI863,-1)</f>
        <v>605.045161290323</v>
      </c>
      <c r="AN863" s="51" t="n">
        <f aca="false">IF(AND(OR(CF863="L1",CF863="L23",CF863="LIFT"),AI863&gt;0),SUMIFS($AI$7:$AI$1843,$CF$7:$CF$1843,CF863,$AM$7:$AM$1843,"&gt;"&amp;AM863)+SUMIFS($AI$7:$AI$1843,$CF$7:$CF$1843,CF863,$AM$7:$AM$1843,AM863,$BW$7:$BW$1843,"&lt;="&amp;BW863),"")</f>
        <v>48.896978021978</v>
      </c>
      <c r="AO863" s="58" t="n">
        <f aca="false">IF(AN863="",0,MAX(0,MIN(1,(IF(CF863="L1",Parameter!$H$5,IF(CF863="L23",Parameter!$H$6+Parameter!$H$7,Parameter!$H$5+Parameter!$H$6+Parameter!$H$7))-(AN863-AI863))/AI863)))</f>
        <v>1</v>
      </c>
      <c r="AP863" s="50" t="n">
        <f aca="false">IF(LEFT(Cockpit!$I$5,1)="A",H863,IF(Parameter!$E$30="MAX-Bestand",IF(CH863=1,CI863,IF(LEFT(Cockpit!$I$5,1)="B",AV863,MAX(AV863,H863))),ROUNDUP(AT863,0)))</f>
        <v>2405</v>
      </c>
      <c r="AQ863" s="50" t="n">
        <f aca="false">IF(BZ863=1,0,ROUNDUP(AP863/BY863,0))</f>
        <v>2</v>
      </c>
      <c r="AR863" s="52" t="n">
        <f aca="false">IF(CQ863&gt;0,CQ863*MAX(1,AP863/X863),IF(BZ863=1,IF(AP863&lt;=0,0,CD863*MAX(1,IF(H863&gt;0,AP863/H863,1))),IF(R863&gt;0,AQ863/R863,0))/MAX(0.1,N(Parameter!$M$21)))</f>
        <v>0.0769230769230769</v>
      </c>
      <c r="AS863" s="50" t="n">
        <f aca="false">AR863*CB863</f>
        <v>11.9230769230769</v>
      </c>
      <c r="AT863" s="51" t="n">
        <f aca="false">IF(LEFT(Cockpit!$I$5,1)="A",H863,IF(CH863=1,(CK863+CI863)/2,IF(LEFT(Cockpit!$I$5,1)="B",(CK863+AV863)/2,MAX((CK863+AV863)/2,H863))))</f>
        <v>2405</v>
      </c>
      <c r="AU863" s="50" t="n">
        <f aca="false">AT863*G863</f>
        <v>577.2</v>
      </c>
      <c r="AV863" s="50" t="n">
        <f aca="false">ROUNDUP(CK863+MAX(CL863,2*(J863/IF(CG863&gt;0,CG863,MAX(0.1,N(Cockpit!$I$6)))-CK863)),0)</f>
        <v>4529</v>
      </c>
      <c r="AW863" s="51" t="n">
        <f aca="false">IF(AS863&gt;0,J863/AS863,-1)</f>
        <v>605.045161290323</v>
      </c>
      <c r="AX863" s="51" t="n">
        <f aca="false">IF(AND(OR(CF863="L1",CF863="L23",CF863="LIFT"),AS863&gt;0),SUMIFS($AS$7:$AS$1843,$CF$7:$CF$1843,CF863,$AW$7:$AW$1843,"&gt;"&amp;AW863)+SUMIFS($AS$7:$AS$1843,$CF$7:$CF$1843,CF863,$AW$7:$AW$1843,AW863,$BW$7:$BW$1843,"&lt;="&amp;BW863),"")</f>
        <v>41.9010989010989</v>
      </c>
      <c r="AY863" s="58" t="n">
        <f aca="false">IF(AX863="",0,MAX(0,MIN(1,(IF(CF863="L1",Parameter!$H$5,IF(CF863="L23",Parameter!$H$6+Parameter!$H$7,Parameter!$H$5+Parameter!$H$6+Parameter!$H$7))-(AX863-AS863))/AS863)))</f>
        <v>1</v>
      </c>
      <c r="AZ863" s="50" t="n">
        <f aca="false">IF(LEFT(Cockpit!$O$5,1)="A",H863,IF(Parameter!$E$30="MAX-Bestand",IF(CH863=1,CI863,IF(LEFT(Cockpit!$O$5,1)="B",BF863,MAX(BF863,H863))),ROUNDUP(BD863,0)))</f>
        <v>1804</v>
      </c>
      <c r="BA863" s="50" t="n">
        <f aca="false">IF(BZ863=1,0,ROUNDUP(AZ863/BY863,0))</f>
        <v>2</v>
      </c>
      <c r="BB863" s="52" t="n">
        <f aca="false">IF(CQ863&gt;0,CQ863*MAX(1,AZ863/X863),IF(BZ863=1,IF(AZ863&lt;=0,0,CD863*MAX(1,IF(H863&gt;0,AZ863/H863,1))),IF(R863&gt;0,BA863/R863,0))/MAX(0.1,N(Parameter!$M$21)))</f>
        <v>0.0769230769230769</v>
      </c>
      <c r="BC863" s="50" t="n">
        <f aca="false">BB863*CB863</f>
        <v>11.9230769230769</v>
      </c>
      <c r="BD863" s="51" t="n">
        <f aca="false">IF(LEFT(Cockpit!$O$5,1)="A",H863,IF(CH863=1,(CK863+CI863)/2,IF(LEFT(Cockpit!$O$5,1)="B",(CK863+BF863)/2,MAX((CK863+BF863)/2,H863))))</f>
        <v>1803.5</v>
      </c>
      <c r="BE863" s="50" t="n">
        <f aca="false">BD863*G863</f>
        <v>432.84</v>
      </c>
      <c r="BF863" s="50" t="n">
        <f aca="false">ROUNDUP(CK863+MAX(CL863,2*(J863/IF(CG863&gt;0,CG863,MAX(0.1,N(Cockpit!$O$6)))-CK863)),0)</f>
        <v>3326</v>
      </c>
      <c r="BG863" s="51" t="n">
        <f aca="false">IF(BC863&gt;0,J863/BC863,-1)</f>
        <v>605.045161290323</v>
      </c>
      <c r="BH863" s="51" t="n">
        <f aca="false">IF(AND(OR(CF863="L1",CF863="L23",CF863="LIFT"),BC863&gt;0),SUMIFS($BC$7:$BC$1843,$CF$7:$CF$1843,CF863,$BG$7:$BG$1843,"&gt;"&amp;BG863)+SUMIFS($BC$7:$BC$1843,$CF$7:$CF$1843,CF863,$BG$7:$BG$1843,BG863,$BW$7:$BW$1843,"&lt;="&amp;BW863),"")</f>
        <v>61.9899267399267</v>
      </c>
      <c r="BI863" s="58" t="n">
        <f aca="false">IF(BH863="",0,MAX(0,MIN(1,(IF(CF863="L1",Parameter!$H$5,IF(CF863="L23",Parameter!$H$6+Parameter!$H$7,Parameter!$H$5+Parameter!$H$6+Parameter!$H$7))-(BH863-BC863))/BC863)))</f>
        <v>1</v>
      </c>
      <c r="BJ863" s="48" t="str">
        <f aca="false">IF(AI863&lt;=0,"",IF(CF863="Aussen","Aussenlager",IF(CF863="-","Nicht im Lift",IF(AO863&gt;=1,"Lift",IF(AO863&lt;=0,"Aussenlager","teilweise")))))</f>
        <v>Lift</v>
      </c>
      <c r="BK863" s="48" t="str">
        <f aca="false">IF(AS863&lt;=0,"",IF(CF863="Aussen","Aussenlager",IF(CF863="-","Nicht im Lift",IF(AY863&gt;=1,"Lift",IF(AY863&lt;=0,"Aussenlager","teilweise")))))</f>
        <v>Lift</v>
      </c>
      <c r="BL863" s="48" t="str">
        <f aca="false">IF(BC863&lt;=0,"",IF(CF863="Aussen","Aussenlager",IF(CF863="-","Nicht im Lift",IF(BI863&gt;=1,"Lift",IF(BI863&lt;=0,"Aussenlager","teilweise")))))</f>
        <v>Lift</v>
      </c>
      <c r="BM863" s="48" t="str">
        <f aca="false">IF(A863="","",IF(BV863=1,"Neu; ","")&amp;IF(AND(BV863=0,BQ863&lt;0),"negativer Bestand (Export "&amp;BQ863&amp;"); ","")&amp;IF(J863&lt;=0,"Kein Verbrauch; ","")&amp;IF(CQ863&gt;0,"Lift "&amp;W863&amp;" lt. Liftbericht (Fach "&amp;X863&amp;" Stk); ",IF(CA863=1,"Gebinde geschätzt ("&amp;T863&amp;"); ",IF(BZ863=1,"Lose – Tablare geschätzt; ","")))&amp;IF(H863&gt;AV863,"Überbestand "&amp;ROUND(H863-AV863,0)&amp;" Stk / CHF "&amp;ROUND((H863-AV863)*G863,0)&amp;"; ","")&amp;IF(AND(CH863=1,CI863&lt;CJ863),"MAX &lt; MB+LG; ","")&amp;IF(AND(CP863&gt;0,CO863*10&gt;CP863),"zu hoch für Tablar; ","")&amp;IF(AND(BV863=0,OR(CH863=1,AA863&lt;&gt;"",U863&lt;&gt;"",V863&lt;&gt;"",AB863&lt;&gt;"")),"manuell übersteuert; ","")&amp;IF(AND(BZ863=0,R863=0),"Gebinde unbekannt / Stellmass fehlt; ","")&amp;IF(AND(BZ863=0,N(V863)&lt;=0,N(Q863)&lt;=0),"Menge pro Gebinde fehlt (Ist = 1 Gebinde); ","")&amp;BU863)</f>
        <v>negativer Bestand (Export -164); </v>
      </c>
      <c r="BN863" s="48"/>
      <c r="BO863" s="48"/>
      <c r="BP863" s="55"/>
      <c r="BQ863" s="50" t="n">
        <v>-164</v>
      </c>
      <c r="BR863" s="50" t="n">
        <v>1962</v>
      </c>
      <c r="BS863" s="49" t="n">
        <v>-20.9600000000002</v>
      </c>
      <c r="BT863" s="50" t="n">
        <v>7214</v>
      </c>
      <c r="BU863" s="48"/>
      <c r="BV863" s="53" t="n">
        <v>0</v>
      </c>
      <c r="BW863" s="53" t="n">
        <v>863</v>
      </c>
      <c r="BX863" s="48" t="str">
        <f aca="false">IF(U863&lt;&gt;"",UPPER(TRIM(U863)),IF(CA863=1,UPPER(VLOOKUP(T863,Parameter!$I$27:$K$29,2,0)),IF(P863="","LOSE",P863)))</f>
        <v>S51</v>
      </c>
      <c r="BY863" s="50" t="n">
        <f aca="false">IF(BX863="LOSE",1,IF(N(V863)&gt;0,V863,IF(CA863=1,MAX(1,N(VLOOKUP(T863,Parameter!$I$27:$K$29,3,0)),H863,N(N863)),IF(N(Q863)&gt;0,Q863,MAX(1,H863)))))</f>
        <v>1444</v>
      </c>
      <c r="BZ863" s="53" t="n">
        <f aca="false">IF(BX863="LOSE",1,0)</f>
        <v>0</v>
      </c>
      <c r="CA863" s="53" t="n">
        <f aca="false">IF(AND(U863="",OR(P863="",P863="LOSE"),T863&lt;&gt;"",N(S863)&lt;=0,ISNUMBER(MATCH(T863,Parameter!$I$27:$I$29,0))),1,0)</f>
        <v>0</v>
      </c>
      <c r="CB863" s="53" t="n">
        <f aca="false">IF(CQ863&gt;0,INDEX(Parameter!$H$5:$H$7,W863)/INDEX(Parameter!$E$5:$E$7,W863),IF(AND(BZ863=0,N(IFERROR(VLOOKUP(BX863,'Gebinde-Kategorie'!$A$5:$N$45,14,0),0))&gt;0),VLOOKUP(BX863,'Gebinde-Kategorie'!$A$5:$N$45,14,0)*10+Parameter!$M$23,Parameter!$M$24))</f>
        <v>155</v>
      </c>
      <c r="CC863" s="48" t="str">
        <f aca="false">IF(AND(Parameter!$B$19="Ja",E863&lt;&gt;"",ISNUMBER(MATCH(E863,Parameter!$I$35:$I$52,0))),VLOOKUP(E863,Parameter!$I$35:$J$52,2,0),IFERROR(VLOOKUP(D863,Parameter!$A$35:$C$64,2,0),"Nein"))</f>
        <v>2+3</v>
      </c>
      <c r="CD863" s="52" t="n">
        <f aca="false">IF(BZ863=0,0,IF(N(S863)&gt;0,S863,IFERROR(VLOOKUP(D863,Parameter!$A$35:$C$64,3,0)+0,0)))</f>
        <v>0</v>
      </c>
      <c r="CE863" s="48" t="n">
        <f aca="false">IF(AA863&lt;&gt;"",AA863,Z863)</f>
        <v>3</v>
      </c>
      <c r="CF863" s="48" t="str">
        <f aca="false">IF(OR(CE863=1,CE863=2,CE863=3),IF(Parameter!$E$27="Ja","LIFT",IF(CE863=1,"L1","L23")),IF(CE863="Aussen","Aussen","-"))</f>
        <v>LIFT</v>
      </c>
      <c r="CG863" s="59" t="n">
        <f aca="false">IF(N(AB863)&gt;0,AB863,0)</f>
        <v>0</v>
      </c>
      <c r="CH863" s="53" t="n">
        <f aca="false">IF(ISNUMBER(AE863),1,0)</f>
        <v>0</v>
      </c>
      <c r="CI863" s="50" t="n">
        <f aca="false">N(AE863)</f>
        <v>0</v>
      </c>
      <c r="CJ863" s="50" t="n">
        <f aca="false">N(M863)+N(N863)</f>
        <v>2281</v>
      </c>
      <c r="CK863" s="50" t="n">
        <f aca="false">N(M863)</f>
        <v>281</v>
      </c>
      <c r="CL863" s="50" t="n">
        <f aca="false">N(N863)</f>
        <v>2000</v>
      </c>
      <c r="CM863" s="50" t="n">
        <f aca="false">ROUNDUP(H863/BY863,0)</f>
        <v>2</v>
      </c>
      <c r="CN863" s="50" t="n">
        <f aca="false">ROUNDUP(CI863/BY863,0)</f>
        <v>0</v>
      </c>
      <c r="CO863" s="53" t="n">
        <f aca="false">IF(BZ863=1,0,IFERROR(VLOOKUP(BX863,'Gebinde-Kategorie'!$A$5:$N$45,5,0)+0,0))</f>
        <v>11</v>
      </c>
      <c r="CP863" s="53" t="n">
        <f aca="false">IFERROR(IF(OR(CE863=1,CE863=2,CE863=3),N(INDEX(Parameter!$I$5:$I$7,CE863)),0),0)</f>
        <v>0</v>
      </c>
      <c r="CQ863" s="52" t="n">
        <f aca="false">IF(AND(Parameter!$B$21="Ja",ISNUMBER(W863),N(X863)&gt;0),IFERROR(N(INDEX(Parameter!$L$5:$L$7,W863))*INDEX(Parameter!$E$5:$E$7,W863)*X863/SUMIFS($X$7:$X$1843,$W$7:$W$1843,W863),0),0)</f>
        <v>0</v>
      </c>
    </row>
    <row r="864" customFormat="false" ht="15" hidden="false" customHeight="false" outlineLevel="0" collapsed="false">
      <c r="A864" s="48" t="s">
        <v>1654</v>
      </c>
      <c r="B864" s="48" t="s">
        <v>1174</v>
      </c>
      <c r="C864" s="48" t="s">
        <v>173</v>
      </c>
      <c r="D864" s="48" t="s">
        <v>193</v>
      </c>
      <c r="E864" s="48" t="s">
        <v>194</v>
      </c>
      <c r="F864" s="48" t="s">
        <v>227</v>
      </c>
      <c r="G864" s="49" t="n">
        <v>9.37</v>
      </c>
      <c r="H864" s="50" t="n">
        <f aca="false">MAX(0,IF(AND(Parameter!$B$21="Ja",ISNUMBER(Y864)),Y864,IF(Parameter!$B$20="Jahresanfang 2025 + Export",BR864+BQ864,BQ864)))</f>
        <v>3</v>
      </c>
      <c r="I864" s="50" t="n">
        <f aca="false">H864*G864</f>
        <v>28.11</v>
      </c>
      <c r="J864" s="50" t="n">
        <f aca="false">BT864*Parameter!$B$18</f>
        <v>8</v>
      </c>
      <c r="K864" s="51" t="n">
        <v>3.5</v>
      </c>
      <c r="L864" s="52" t="n">
        <v>2.28571428571429</v>
      </c>
      <c r="M864" s="50" t="n">
        <v>0</v>
      </c>
      <c r="N864" s="50" t="n">
        <v>10</v>
      </c>
      <c r="O864" s="53" t="n">
        <v>18</v>
      </c>
      <c r="P864" s="48" t="s">
        <v>430</v>
      </c>
      <c r="Q864" s="50" t="n">
        <v>16</v>
      </c>
      <c r="R864" s="53" t="n">
        <f aca="false">IF(BZ864=1,0,IFERROR(VLOOKUP(BX864,'Gebinde-Kategorie'!$A$5:$N$45,13,0)+0,0))</f>
        <v>104</v>
      </c>
      <c r="S864" s="54"/>
      <c r="T864" s="55"/>
      <c r="U864" s="55"/>
      <c r="V864" s="55"/>
      <c r="W864" s="48"/>
      <c r="X864" s="50"/>
      <c r="Y864" s="50"/>
      <c r="Z864" s="48" t="n">
        <f aca="false">IF(A864="","",IF(AND(Parameter!$B$21="Ja",ISNUMBER(W864)),W864,IF(CC864="2+3",IF(ISNUMBER(SEARCH("grosser Artikel",BU864)),2,IFERROR(VLOOKUP(BX864,Parameter!$F$35:$G$64,2,0),2)),IF(OR(CC864="Nein",CC864=""),"-",CC864))))</f>
        <v>3</v>
      </c>
      <c r="AA864" s="55"/>
      <c r="AB864" s="56"/>
      <c r="AC864" s="50" t="n">
        <f aca="false">AV864</f>
        <v>10</v>
      </c>
      <c r="AD864" s="50" t="n">
        <f aca="false">MAX(AV864,H864)</f>
        <v>10</v>
      </c>
      <c r="AE864" s="57"/>
      <c r="AF864" s="50" t="n">
        <f aca="false">IF(LEFT(Cockpit!$C$5,1)="A",H864,IF(Parameter!$E$30="MAX-Bestand",IF(CH864=1,CI864,IF(LEFT(Cockpit!$C$5,1)="B",AL864,MAX(AL864,H864))),ROUNDUP(AJ864,0)))</f>
        <v>3</v>
      </c>
      <c r="AG864" s="50" t="n">
        <f aca="false">IF(BZ864=1,0,ROUNDUP(AF864/BY864,0))</f>
        <v>1</v>
      </c>
      <c r="AH864" s="52" t="n">
        <f aca="false">IF(CQ864&gt;0,CQ864*MAX(1,AF864/X864),IF(BZ864=1,IF(AF864&lt;=0,0,CD864*MAX(1,IF(H864&gt;0,AF864/H864,1))),IF(R864&gt;0,AG864/R864,0))/MAX(0.1,N(Parameter!$M$21)))</f>
        <v>0.00961538461538462</v>
      </c>
      <c r="AI864" s="50" t="n">
        <f aca="false">AH864*CB864</f>
        <v>1.49038461538462</v>
      </c>
      <c r="AJ864" s="51" t="n">
        <f aca="false">IF(LEFT(Cockpit!$C$5,1)="A",H864,IF(CH864=1,(CK864+CI864)/2,IF(LEFT(Cockpit!$C$5,1)="B",(CK864+AL864)/2,MAX((CK864+AL864)/2,H864))))</f>
        <v>3</v>
      </c>
      <c r="AK864" s="50" t="n">
        <f aca="false">AJ864*G864</f>
        <v>28.11</v>
      </c>
      <c r="AL864" s="50" t="n">
        <f aca="false">ROUNDUP(CK864+MAX(CL864,2*(J864/IF(CG864&gt;0,CG864,MAX(0.1,N(Cockpit!$C$6)))-CK864)),0)</f>
        <v>10</v>
      </c>
      <c r="AM864" s="51" t="n">
        <f aca="false">IF(AI864&gt;0,J864/AI864,-1)</f>
        <v>5.36774193548387</v>
      </c>
      <c r="AN864" s="51" t="n">
        <f aca="false">IF(AND(OR(CF864="L1",CF864="L23",CF864="LIFT"),AI864&gt;0),SUMIFS($AI$7:$AI$1843,$CF$7:$CF$1843,CF864,$AM$7:$AM$1843,"&gt;"&amp;AM864)+SUMIFS($AI$7:$AI$1843,$CF$7:$CF$1843,CF864,$AM$7:$AM$1843,AM864,$BW$7:$BW$1843,"&lt;="&amp;BW864),"")</f>
        <v>3729.17216117216</v>
      </c>
      <c r="AO864" s="58" t="n">
        <f aca="false">IF(AN864="",0,MAX(0,MIN(1,(IF(CF864="L1",Parameter!$H$5,IF(CF864="L23",Parameter!$H$6+Parameter!$H$7,Parameter!$H$5+Parameter!$H$6+Parameter!$H$7))-(AN864-AI864))/AI864)))</f>
        <v>1</v>
      </c>
      <c r="AP864" s="50" t="n">
        <f aca="false">IF(LEFT(Cockpit!$I$5,1)="A",H864,IF(Parameter!$E$30="MAX-Bestand",IF(CH864=1,CI864,IF(LEFT(Cockpit!$I$5,1)="B",AV864,MAX(AV864,H864))),ROUNDUP(AT864,0)))</f>
        <v>5</v>
      </c>
      <c r="AQ864" s="50" t="n">
        <f aca="false">IF(BZ864=1,0,ROUNDUP(AP864/BY864,0))</f>
        <v>1</v>
      </c>
      <c r="AR864" s="52" t="n">
        <f aca="false">IF(CQ864&gt;0,CQ864*MAX(1,AP864/X864),IF(BZ864=1,IF(AP864&lt;=0,0,CD864*MAX(1,IF(H864&gt;0,AP864/H864,1))),IF(R864&gt;0,AQ864/R864,0))/MAX(0.1,N(Parameter!$M$21)))</f>
        <v>0.00961538461538462</v>
      </c>
      <c r="AS864" s="50" t="n">
        <f aca="false">AR864*CB864</f>
        <v>1.49038461538462</v>
      </c>
      <c r="AT864" s="51" t="n">
        <f aca="false">IF(LEFT(Cockpit!$I$5,1)="A",H864,IF(CH864=1,(CK864+CI864)/2,IF(LEFT(Cockpit!$I$5,1)="B",(CK864+AV864)/2,MAX((CK864+AV864)/2,H864))))</f>
        <v>5</v>
      </c>
      <c r="AU864" s="50" t="n">
        <f aca="false">AT864*G864</f>
        <v>46.85</v>
      </c>
      <c r="AV864" s="50" t="n">
        <f aca="false">ROUNDUP(CK864+MAX(CL864,2*(J864/IF(CG864&gt;0,CG864,MAX(0.1,N(Cockpit!$I$6)))-CK864)),0)</f>
        <v>10</v>
      </c>
      <c r="AW864" s="51" t="n">
        <f aca="false">IF(AS864&gt;0,J864/AS864,-1)</f>
        <v>5.36774193548387</v>
      </c>
      <c r="AX864" s="51" t="n">
        <f aca="false">IF(AND(OR(CF864="L1",CF864="L23",CF864="LIFT"),AS864&gt;0),SUMIFS($AS$7:$AS$1843,$CF$7:$CF$1843,CF864,$AW$7:$AW$1843,"&gt;"&amp;AW864)+SUMIFS($AS$7:$AS$1843,$CF$7:$CF$1843,CF864,$AW$7:$AW$1843,AW864,$BW$7:$BW$1843,"&lt;="&amp;BW864),"")</f>
        <v>4382.913003663</v>
      </c>
      <c r="AY864" s="58" t="n">
        <f aca="false">IF(AX864="",0,MAX(0,MIN(1,(IF(CF864="L1",Parameter!$H$5,IF(CF864="L23",Parameter!$H$6+Parameter!$H$7,Parameter!$H$5+Parameter!$H$6+Parameter!$H$7))-(AX864-AS864))/AS864)))</f>
        <v>1</v>
      </c>
      <c r="AZ864" s="50" t="n">
        <f aca="false">IF(LEFT(Cockpit!$O$5,1)="A",H864,IF(Parameter!$E$30="MAX-Bestand",IF(CH864=1,CI864,IF(LEFT(Cockpit!$O$5,1)="B",BF864,MAX(BF864,H864))),ROUNDUP(BD864,0)))</f>
        <v>5</v>
      </c>
      <c r="BA864" s="50" t="n">
        <f aca="false">IF(BZ864=1,0,ROUNDUP(AZ864/BY864,0))</f>
        <v>1</v>
      </c>
      <c r="BB864" s="52" t="n">
        <f aca="false">IF(CQ864&gt;0,CQ864*MAX(1,AZ864/X864),IF(BZ864=1,IF(AZ864&lt;=0,0,CD864*MAX(1,IF(H864&gt;0,AZ864/H864,1))),IF(R864&gt;0,BA864/R864,0))/MAX(0.1,N(Parameter!$M$21)))</f>
        <v>0.00961538461538462</v>
      </c>
      <c r="BC864" s="50" t="n">
        <f aca="false">BB864*CB864</f>
        <v>1.49038461538462</v>
      </c>
      <c r="BD864" s="51" t="n">
        <f aca="false">IF(LEFT(Cockpit!$O$5,1)="A",H864,IF(CH864=1,(CK864+CI864)/2,IF(LEFT(Cockpit!$O$5,1)="B",(CK864+BF864)/2,MAX((CK864+BF864)/2,H864))))</f>
        <v>5</v>
      </c>
      <c r="BE864" s="50" t="n">
        <f aca="false">BD864*G864</f>
        <v>46.85</v>
      </c>
      <c r="BF864" s="50" t="n">
        <f aca="false">ROUNDUP(CK864+MAX(CL864,2*(J864/IF(CG864&gt;0,CG864,MAX(0.1,N(Cockpit!$O$6)))-CK864)),0)</f>
        <v>10</v>
      </c>
      <c r="BG864" s="51" t="n">
        <f aca="false">IF(BC864&gt;0,J864/BC864,-1)</f>
        <v>5.36774193548387</v>
      </c>
      <c r="BH864" s="51" t="n">
        <f aca="false">IF(AND(OR(CF864="L1",CF864="L23",CF864="LIFT"),BC864&gt;0),SUMIFS($BC$7:$BC$1843,$CF$7:$CF$1843,CF864,$BG$7:$BG$1843,"&gt;"&amp;BG864)+SUMIFS($BC$7:$BC$1843,$CF$7:$CF$1843,CF864,$BG$7:$BG$1843,BG864,$BW$7:$BW$1843,"&lt;="&amp;BW864),"")</f>
        <v>3695.9445970696</v>
      </c>
      <c r="BI864" s="58" t="n">
        <f aca="false">IF(BH864="",0,MAX(0,MIN(1,(IF(CF864="L1",Parameter!$H$5,IF(CF864="L23",Parameter!$H$6+Parameter!$H$7,Parameter!$H$5+Parameter!$H$6+Parameter!$H$7))-(BH864-BC864))/BC864)))</f>
        <v>1</v>
      </c>
      <c r="BJ864" s="48" t="str">
        <f aca="false">IF(AI864&lt;=0,"",IF(CF864="Aussen","Aussenlager",IF(CF864="-","Nicht im Lift",IF(AO864&gt;=1,"Lift",IF(AO864&lt;=0,"Aussenlager","teilweise")))))</f>
        <v>Lift</v>
      </c>
      <c r="BK864" s="48" t="str">
        <f aca="false">IF(AS864&lt;=0,"",IF(CF864="Aussen","Aussenlager",IF(CF864="-","Nicht im Lift",IF(AY864&gt;=1,"Lift",IF(AY864&lt;=0,"Aussenlager","teilweise")))))</f>
        <v>Lift</v>
      </c>
      <c r="BL864" s="48" t="str">
        <f aca="false">IF(BC864&lt;=0,"",IF(CF864="Aussen","Aussenlager",IF(CF864="-","Nicht im Lift",IF(BI864&gt;=1,"Lift",IF(BI864&lt;=0,"Aussenlager","teilweise")))))</f>
        <v>Lift</v>
      </c>
      <c r="BM864" s="48" t="str">
        <f aca="false">IF(A864="","",IF(BV864=1,"Neu; ","")&amp;IF(AND(BV864=0,BQ864&lt;0),"negativer Bestand (Export "&amp;BQ864&amp;"); ","")&amp;IF(J864&lt;=0,"Kein Verbrauch; ","")&amp;IF(CQ864&gt;0,"Lift "&amp;W864&amp;" lt. Liftbericht (Fach "&amp;X864&amp;" Stk); ",IF(CA864=1,"Gebinde geschätzt ("&amp;T864&amp;"); ",IF(BZ864=1,"Lose – Tablare geschätzt; ","")))&amp;IF(H864&gt;AV864,"Überbestand "&amp;ROUND(H864-AV864,0)&amp;" Stk / CHF "&amp;ROUND((H864-AV864)*G864,0)&amp;"; ","")&amp;IF(AND(CH864=1,CI864&lt;CJ864),"MAX &lt; MB+LG; ","")&amp;IF(AND(CP864&gt;0,CO864*10&gt;CP864),"zu hoch für Tablar; ","")&amp;IF(AND(BV864=0,OR(CH864=1,AA864&lt;&gt;"",U864&lt;&gt;"",V864&lt;&gt;"",AB864&lt;&gt;"")),"manuell übersteuert; ","")&amp;IF(AND(BZ864=0,R864=0),"Gebinde unbekannt / Stellmass fehlt; ","")&amp;IF(AND(BZ864=0,N(V864)&lt;=0,N(Q864)&lt;=0),"Menge pro Gebinde fehlt (Ist = 1 Gebinde); ","")&amp;BU864)</f>
        <v>negativer Bestand (Export -2); </v>
      </c>
      <c r="BN864" s="48"/>
      <c r="BO864" s="48"/>
      <c r="BP864" s="55"/>
      <c r="BQ864" s="50" t="n">
        <v>-2</v>
      </c>
      <c r="BR864" s="50" t="n">
        <v>5</v>
      </c>
      <c r="BS864" s="49" t="n">
        <v>-21.04</v>
      </c>
      <c r="BT864" s="50" t="n">
        <v>8</v>
      </c>
      <c r="BU864" s="48"/>
      <c r="BV864" s="53" t="n">
        <v>0</v>
      </c>
      <c r="BW864" s="53" t="n">
        <v>864</v>
      </c>
      <c r="BX864" s="48" t="str">
        <f aca="false">IF(U864&lt;&gt;"",UPPER(TRIM(U864)),IF(CA864=1,UPPER(VLOOKUP(T864,Parameter!$I$27:$K$29,2,0)),IF(P864="","LOSE",P864)))</f>
        <v>S32</v>
      </c>
      <c r="BY864" s="50" t="n">
        <f aca="false">IF(BX864="LOSE",1,IF(N(V864)&gt;0,V864,IF(CA864=1,MAX(1,N(VLOOKUP(T864,Parameter!$I$27:$K$29,3,0)),H864,N(N864)),IF(N(Q864)&gt;0,Q864,MAX(1,H864)))))</f>
        <v>16</v>
      </c>
      <c r="BZ864" s="53" t="n">
        <f aca="false">IF(BX864="LOSE",1,0)</f>
        <v>0</v>
      </c>
      <c r="CA864" s="53" t="n">
        <f aca="false">IF(AND(U864="",OR(P864="",P864="LOSE"),T864&lt;&gt;"",N(S864)&lt;=0,ISNUMBER(MATCH(T864,Parameter!$I$27:$I$29,0))),1,0)</f>
        <v>0</v>
      </c>
      <c r="CB864" s="53" t="n">
        <f aca="false">IF(CQ864&gt;0,INDEX(Parameter!$H$5:$H$7,W864)/INDEX(Parameter!$E$5:$E$7,W864),IF(AND(BZ864=0,N(IFERROR(VLOOKUP(BX864,'Gebinde-Kategorie'!$A$5:$N$45,14,0),0))&gt;0),VLOOKUP(BX864,'Gebinde-Kategorie'!$A$5:$N$45,14,0)*10+Parameter!$M$23,Parameter!$M$24))</f>
        <v>155</v>
      </c>
      <c r="CC864" s="48" t="str">
        <f aca="false">IF(AND(Parameter!$B$19="Ja",E864&lt;&gt;"",ISNUMBER(MATCH(E864,Parameter!$I$35:$I$52,0))),VLOOKUP(E864,Parameter!$I$35:$J$52,2,0),IFERROR(VLOOKUP(D864,Parameter!$A$35:$C$64,2,0),"Nein"))</f>
        <v>2+3</v>
      </c>
      <c r="CD864" s="52" t="n">
        <f aca="false">IF(BZ864=0,0,IF(N(S864)&gt;0,S864,IFERROR(VLOOKUP(D864,Parameter!$A$35:$C$64,3,0)+0,0)))</f>
        <v>0</v>
      </c>
      <c r="CE864" s="48" t="n">
        <f aca="false">IF(AA864&lt;&gt;"",AA864,Z864)</f>
        <v>3</v>
      </c>
      <c r="CF864" s="48" t="str">
        <f aca="false">IF(OR(CE864=1,CE864=2,CE864=3),IF(Parameter!$E$27="Ja","LIFT",IF(CE864=1,"L1","L23")),IF(CE864="Aussen","Aussen","-"))</f>
        <v>LIFT</v>
      </c>
      <c r="CG864" s="59" t="n">
        <f aca="false">IF(N(AB864)&gt;0,AB864,0)</f>
        <v>0</v>
      </c>
      <c r="CH864" s="53" t="n">
        <f aca="false">IF(ISNUMBER(AE864),1,0)</f>
        <v>0</v>
      </c>
      <c r="CI864" s="50" t="n">
        <f aca="false">N(AE864)</f>
        <v>0</v>
      </c>
      <c r="CJ864" s="50" t="n">
        <f aca="false">N(M864)+N(N864)</f>
        <v>10</v>
      </c>
      <c r="CK864" s="50" t="n">
        <f aca="false">N(M864)</f>
        <v>0</v>
      </c>
      <c r="CL864" s="50" t="n">
        <f aca="false">N(N864)</f>
        <v>10</v>
      </c>
      <c r="CM864" s="50" t="n">
        <f aca="false">ROUNDUP(H864/BY864,0)</f>
        <v>1</v>
      </c>
      <c r="CN864" s="50" t="n">
        <f aca="false">ROUNDUP(CI864/BY864,0)</f>
        <v>0</v>
      </c>
      <c r="CO864" s="53" t="n">
        <f aca="false">IF(BZ864=1,0,IFERROR(VLOOKUP(BX864,'Gebinde-Kategorie'!$A$5:$N$45,5,0)+0,0))</f>
        <v>8</v>
      </c>
      <c r="CP864" s="53" t="n">
        <f aca="false">IFERROR(IF(OR(CE864=1,CE864=2,CE864=3),N(INDEX(Parameter!$I$5:$I$7,CE864)),0),0)</f>
        <v>0</v>
      </c>
      <c r="CQ864" s="52" t="n">
        <f aca="false">IF(AND(Parameter!$B$21="Ja",ISNUMBER(W864),N(X864)&gt;0),IFERROR(N(INDEX(Parameter!$L$5:$L$7,W864))*INDEX(Parameter!$E$5:$E$7,W864)*X864/SUMIFS($X$7:$X$1843,$W$7:$W$1843,W864),0),0)</f>
        <v>0</v>
      </c>
    </row>
    <row r="865" customFormat="false" ht="15" hidden="false" customHeight="false" outlineLevel="0" collapsed="false">
      <c r="A865" s="48" t="s">
        <v>1655</v>
      </c>
      <c r="B865" s="48" t="s">
        <v>414</v>
      </c>
      <c r="C865" s="48" t="s">
        <v>173</v>
      </c>
      <c r="D865" s="48" t="s">
        <v>193</v>
      </c>
      <c r="E865" s="48" t="s">
        <v>194</v>
      </c>
      <c r="F865" s="48" t="s">
        <v>227</v>
      </c>
      <c r="G865" s="49" t="n">
        <v>0.88</v>
      </c>
      <c r="H865" s="50" t="n">
        <f aca="false">MAX(0,IF(AND(Parameter!$B$21="Ja",ISNUMBER(Y865)),Y865,IF(Parameter!$B$20="Jahresanfang 2025 + Export",BR865+BQ865,BQ865)))</f>
        <v>79</v>
      </c>
      <c r="I865" s="50" t="n">
        <f aca="false">H865*G865</f>
        <v>69.52</v>
      </c>
      <c r="J865" s="50" t="n">
        <f aca="false">BT865*Parameter!$B$18</f>
        <v>24</v>
      </c>
      <c r="K865" s="51" t="n">
        <v>91</v>
      </c>
      <c r="L865" s="52" t="n">
        <v>0.263736263736264</v>
      </c>
      <c r="M865" s="50" t="n">
        <v>0</v>
      </c>
      <c r="N865" s="50" t="n">
        <v>25</v>
      </c>
      <c r="O865" s="53" t="n">
        <v>14</v>
      </c>
      <c r="P865" s="48" t="s">
        <v>311</v>
      </c>
      <c r="Q865" s="50" t="n">
        <v>177</v>
      </c>
      <c r="R865" s="53" t="n">
        <f aca="false">IF(BZ865=1,0,IFERROR(VLOOKUP(BX865,'Gebinde-Kategorie'!$A$5:$N$45,13,0)+0,0))</f>
        <v>26</v>
      </c>
      <c r="S865" s="54"/>
      <c r="T865" s="55"/>
      <c r="U865" s="55"/>
      <c r="V865" s="55"/>
      <c r="W865" s="48"/>
      <c r="X865" s="50"/>
      <c r="Y865" s="50"/>
      <c r="Z865" s="48" t="n">
        <f aca="false">IF(A865="","",IF(AND(Parameter!$B$21="Ja",ISNUMBER(W865)),W865,IF(CC865="2+3",IF(ISNUMBER(SEARCH("grosser Artikel",BU865)),2,IFERROR(VLOOKUP(BX865,Parameter!$F$35:$G$64,2,0),2)),IF(OR(CC865="Nein",CC865=""),"-",CC865))))</f>
        <v>3</v>
      </c>
      <c r="AA865" s="55"/>
      <c r="AB865" s="56"/>
      <c r="AC865" s="50" t="n">
        <f aca="false">AV865</f>
        <v>25</v>
      </c>
      <c r="AD865" s="50" t="n">
        <f aca="false">MAX(AV865,H865)</f>
        <v>79</v>
      </c>
      <c r="AE865" s="57"/>
      <c r="AF865" s="50" t="n">
        <f aca="false">IF(LEFT(Cockpit!$C$5,1)="A",H865,IF(Parameter!$E$30="MAX-Bestand",IF(CH865=1,CI865,IF(LEFT(Cockpit!$C$5,1)="B",AL865,MAX(AL865,H865))),ROUNDUP(AJ865,0)))</f>
        <v>79</v>
      </c>
      <c r="AG865" s="50" t="n">
        <f aca="false">IF(BZ865=1,0,ROUNDUP(AF865/BY865,0))</f>
        <v>1</v>
      </c>
      <c r="AH865" s="52" t="n">
        <f aca="false">IF(CQ865&gt;0,CQ865*MAX(1,AF865/X865),IF(BZ865=1,IF(AF865&lt;=0,0,CD865*MAX(1,IF(H865&gt;0,AF865/H865,1))),IF(R865&gt;0,AG865/R865,0))/MAX(0.1,N(Parameter!$M$21)))</f>
        <v>0.0384615384615385</v>
      </c>
      <c r="AI865" s="50" t="n">
        <f aca="false">AH865*CB865</f>
        <v>5.96153846153846</v>
      </c>
      <c r="AJ865" s="51" t="n">
        <f aca="false">IF(LEFT(Cockpit!$C$5,1)="A",H865,IF(CH865=1,(CK865+CI865)/2,IF(LEFT(Cockpit!$C$5,1)="B",(CK865+AL865)/2,MAX((CK865+AL865)/2,H865))))</f>
        <v>79</v>
      </c>
      <c r="AK865" s="50" t="n">
        <f aca="false">AJ865*G865</f>
        <v>69.52</v>
      </c>
      <c r="AL865" s="50" t="n">
        <f aca="false">ROUNDUP(CK865+MAX(CL865,2*(J865/IF(CG865&gt;0,CG865,MAX(0.1,N(Cockpit!$C$6)))-CK865)),0)</f>
        <v>25</v>
      </c>
      <c r="AM865" s="51" t="n">
        <f aca="false">IF(AI865&gt;0,J865/AI865,-1)</f>
        <v>4.0258064516129</v>
      </c>
      <c r="AN865" s="51" t="n">
        <f aca="false">IF(AND(OR(CF865="L1",CF865="L23",CF865="LIFT"),AI865&gt;0),SUMIFS($AI$7:$AI$1843,$CF$7:$CF$1843,CF865,$AM$7:$AM$1843,"&gt;"&amp;AM865)+SUMIFS($AI$7:$AI$1843,$CF$7:$CF$1843,CF865,$AM$7:$AM$1843,AM865,$BW$7:$BW$1843,"&lt;="&amp;BW865),"")</f>
        <v>4352.72756410256</v>
      </c>
      <c r="AO865" s="58" t="n">
        <f aca="false">IF(AN865="",0,MAX(0,MIN(1,(IF(CF865="L1",Parameter!$H$5,IF(CF865="L23",Parameter!$H$6+Parameter!$H$7,Parameter!$H$5+Parameter!$H$6+Parameter!$H$7))-(AN865-AI865))/AI865)))</f>
        <v>1</v>
      </c>
      <c r="AP865" s="50" t="n">
        <f aca="false">IF(LEFT(Cockpit!$I$5,1)="A",H865,IF(Parameter!$E$30="MAX-Bestand",IF(CH865=1,CI865,IF(LEFT(Cockpit!$I$5,1)="B",AV865,MAX(AV865,H865))),ROUNDUP(AT865,0)))</f>
        <v>79</v>
      </c>
      <c r="AQ865" s="50" t="n">
        <f aca="false">IF(BZ865=1,0,ROUNDUP(AP865/BY865,0))</f>
        <v>1</v>
      </c>
      <c r="AR865" s="52" t="n">
        <f aca="false">IF(CQ865&gt;0,CQ865*MAX(1,AP865/X865),IF(BZ865=1,IF(AP865&lt;=0,0,CD865*MAX(1,IF(H865&gt;0,AP865/H865,1))),IF(R865&gt;0,AQ865/R865,0))/MAX(0.1,N(Parameter!$M$21)))</f>
        <v>0.0384615384615385</v>
      </c>
      <c r="AS865" s="50" t="n">
        <f aca="false">AR865*CB865</f>
        <v>5.96153846153846</v>
      </c>
      <c r="AT865" s="51" t="n">
        <f aca="false">IF(LEFT(Cockpit!$I$5,1)="A",H865,IF(CH865=1,(CK865+CI865)/2,IF(LEFT(Cockpit!$I$5,1)="B",(CK865+AV865)/2,MAX((CK865+AV865)/2,H865))))</f>
        <v>79</v>
      </c>
      <c r="AU865" s="50" t="n">
        <f aca="false">AT865*G865</f>
        <v>69.52</v>
      </c>
      <c r="AV865" s="50" t="n">
        <f aca="false">ROUNDUP(CK865+MAX(CL865,2*(J865/IF(CG865&gt;0,CG865,MAX(0.1,N(Cockpit!$I$6)))-CK865)),0)</f>
        <v>25</v>
      </c>
      <c r="AW865" s="51" t="n">
        <f aca="false">IF(AS865&gt;0,J865/AS865,-1)</f>
        <v>4.0258064516129</v>
      </c>
      <c r="AX865" s="51" t="n">
        <f aca="false">IF(AND(OR(CF865="L1",CF865="L23",CF865="LIFT"),AS865&gt;0),SUMIFS($AS$7:$AS$1843,$CF$7:$CF$1843,CF865,$AW$7:$AW$1843,"&gt;"&amp;AW865)+SUMIFS($AS$7:$AS$1843,$CF$7:$CF$1843,CF865,$AW$7:$AW$1843,AW865,$BW$7:$BW$1843,"&lt;="&amp;BW865),"")</f>
        <v>4961.72481684982</v>
      </c>
      <c r="AY865" s="58" t="n">
        <f aca="false">IF(AX865="",0,MAX(0,MIN(1,(IF(CF865="L1",Parameter!$H$5,IF(CF865="L23",Parameter!$H$6+Parameter!$H$7,Parameter!$H$5+Parameter!$H$6+Parameter!$H$7))-(AX865-AS865))/AS865)))</f>
        <v>1</v>
      </c>
      <c r="AZ865" s="50" t="n">
        <f aca="false">IF(LEFT(Cockpit!$O$5,1)="A",H865,IF(Parameter!$E$30="MAX-Bestand",IF(CH865=1,CI865,IF(LEFT(Cockpit!$O$5,1)="B",BF865,MAX(BF865,H865))),ROUNDUP(BD865,0)))</f>
        <v>13</v>
      </c>
      <c r="BA865" s="50" t="n">
        <f aca="false">IF(BZ865=1,0,ROUNDUP(AZ865/BY865,0))</f>
        <v>1</v>
      </c>
      <c r="BB865" s="52" t="n">
        <f aca="false">IF(CQ865&gt;0,CQ865*MAX(1,AZ865/X865),IF(BZ865=1,IF(AZ865&lt;=0,0,CD865*MAX(1,IF(H865&gt;0,AZ865/H865,1))),IF(R865&gt;0,BA865/R865,0))/MAX(0.1,N(Parameter!$M$21)))</f>
        <v>0.0384615384615385</v>
      </c>
      <c r="BC865" s="50" t="n">
        <f aca="false">BB865*CB865</f>
        <v>5.96153846153846</v>
      </c>
      <c r="BD865" s="51" t="n">
        <f aca="false">IF(LEFT(Cockpit!$O$5,1)="A",H865,IF(CH865=1,(CK865+CI865)/2,IF(LEFT(Cockpit!$O$5,1)="B",(CK865+BF865)/2,MAX((CK865+BF865)/2,H865))))</f>
        <v>12.5</v>
      </c>
      <c r="BE865" s="50" t="n">
        <f aca="false">BD865*G865</f>
        <v>11</v>
      </c>
      <c r="BF865" s="50" t="n">
        <f aca="false">ROUNDUP(CK865+MAX(CL865,2*(J865/IF(CG865&gt;0,CG865,MAX(0.1,N(Cockpit!$O$6)))-CK865)),0)</f>
        <v>25</v>
      </c>
      <c r="BG865" s="51" t="n">
        <f aca="false">IF(BC865&gt;0,J865/BC865,-1)</f>
        <v>4.0258064516129</v>
      </c>
      <c r="BH865" s="51" t="n">
        <f aca="false">IF(AND(OR(CF865="L1",CF865="L23",CF865="LIFT"),BC865&gt;0),SUMIFS($BC$7:$BC$1843,$CF$7:$CF$1843,CF865,$BG$7:$BG$1843,"&gt;"&amp;BG865)+SUMIFS($BC$7:$BC$1843,$CF$7:$CF$1843,CF865,$BG$7:$BG$1843,BG865,$BW$7:$BW$1843,"&lt;="&amp;BW865),"")</f>
        <v>4073.33379120879</v>
      </c>
      <c r="BI865" s="58" t="n">
        <f aca="false">IF(BH865="",0,MAX(0,MIN(1,(IF(CF865="L1",Parameter!$H$5,IF(CF865="L23",Parameter!$H$6+Parameter!$H$7,Parameter!$H$5+Parameter!$H$6+Parameter!$H$7))-(BH865-BC865))/BC865)))</f>
        <v>1</v>
      </c>
      <c r="BJ865" s="48" t="str">
        <f aca="false">IF(AI865&lt;=0,"",IF(CF865="Aussen","Aussenlager",IF(CF865="-","Nicht im Lift",IF(AO865&gt;=1,"Lift",IF(AO865&lt;=0,"Aussenlager","teilweise")))))</f>
        <v>Lift</v>
      </c>
      <c r="BK865" s="48" t="str">
        <f aca="false">IF(AS865&lt;=0,"",IF(CF865="Aussen","Aussenlager",IF(CF865="-","Nicht im Lift",IF(AY865&gt;=1,"Lift",IF(AY865&lt;=0,"Aussenlager","teilweise")))))</f>
        <v>Lift</v>
      </c>
      <c r="BL865" s="48" t="str">
        <f aca="false">IF(BC865&lt;=0,"",IF(CF865="Aussen","Aussenlager",IF(CF865="-","Nicht im Lift",IF(BI865&gt;=1,"Lift",IF(BI865&lt;=0,"Aussenlager","teilweise")))))</f>
        <v>Lift</v>
      </c>
      <c r="BM865" s="48" t="str">
        <f aca="false">IF(A865="","",IF(BV865=1,"Neu; ","")&amp;IF(AND(BV865=0,BQ865&lt;0),"negativer Bestand (Export "&amp;BQ865&amp;"); ","")&amp;IF(J865&lt;=0,"Kein Verbrauch; ","")&amp;IF(CQ865&gt;0,"Lift "&amp;W865&amp;" lt. Liftbericht (Fach "&amp;X865&amp;" Stk); ",IF(CA865=1,"Gebinde geschätzt ("&amp;T865&amp;"); ",IF(BZ865=1,"Lose – Tablare geschätzt; ","")))&amp;IF(H865&gt;AV865,"Überbestand "&amp;ROUND(H865-AV865,0)&amp;" Stk / CHF "&amp;ROUND((H865-AV865)*G865,0)&amp;"; ","")&amp;IF(AND(CH865=1,CI865&lt;CJ865),"MAX &lt; MB+LG; ","")&amp;IF(AND(CP865&gt;0,CO865*10&gt;CP865),"zu hoch für Tablar; ","")&amp;IF(AND(BV865=0,OR(CH865=1,AA865&lt;&gt;"",U865&lt;&gt;"",V865&lt;&gt;"",AB865&lt;&gt;"")),"manuell übersteuert; ","")&amp;IF(AND(BZ865=0,R865=0),"Gebinde unbekannt / Stellmass fehlt; ","")&amp;IF(AND(BZ865=0,N(V865)&lt;=0,N(Q865)&lt;=0),"Menge pro Gebinde fehlt (Ist = 1 Gebinde); ","")&amp;BU865)</f>
        <v>negativer Bestand (Export -24); Überbestand 54 Stk / CHF 48; Neu</v>
      </c>
      <c r="BN865" s="48"/>
      <c r="BO865" s="48"/>
      <c r="BP865" s="55"/>
      <c r="BQ865" s="50" t="n">
        <v>-24</v>
      </c>
      <c r="BR865" s="50" t="n">
        <v>103</v>
      </c>
      <c r="BS865" s="49" t="n">
        <v>-21.12</v>
      </c>
      <c r="BT865" s="50" t="n">
        <v>24</v>
      </c>
      <c r="BU865" s="48" t="s">
        <v>635</v>
      </c>
      <c r="BV865" s="53" t="n">
        <v>0</v>
      </c>
      <c r="BW865" s="53" t="n">
        <v>865</v>
      </c>
      <c r="BX865" s="48" t="str">
        <f aca="false">IF(U865&lt;&gt;"",UPPER(TRIM(U865)),IF(CA865=1,UPPER(VLOOKUP(T865,Parameter!$I$27:$K$29,2,0)),IF(P865="","LOSE",P865)))</f>
        <v>S51</v>
      </c>
      <c r="BY865" s="50" t="n">
        <f aca="false">IF(BX865="LOSE",1,IF(N(V865)&gt;0,V865,IF(CA865=1,MAX(1,N(VLOOKUP(T865,Parameter!$I$27:$K$29,3,0)),H865,N(N865)),IF(N(Q865)&gt;0,Q865,MAX(1,H865)))))</f>
        <v>177</v>
      </c>
      <c r="BZ865" s="53" t="n">
        <f aca="false">IF(BX865="LOSE",1,0)</f>
        <v>0</v>
      </c>
      <c r="CA865" s="53" t="n">
        <f aca="false">IF(AND(U865="",OR(P865="",P865="LOSE"),T865&lt;&gt;"",N(S865)&lt;=0,ISNUMBER(MATCH(T865,Parameter!$I$27:$I$29,0))),1,0)</f>
        <v>0</v>
      </c>
      <c r="CB865" s="53" t="n">
        <f aca="false">IF(CQ865&gt;0,INDEX(Parameter!$H$5:$H$7,W865)/INDEX(Parameter!$E$5:$E$7,W865),IF(AND(BZ865=0,N(IFERROR(VLOOKUP(BX865,'Gebinde-Kategorie'!$A$5:$N$45,14,0),0))&gt;0),VLOOKUP(BX865,'Gebinde-Kategorie'!$A$5:$N$45,14,0)*10+Parameter!$M$23,Parameter!$M$24))</f>
        <v>155</v>
      </c>
      <c r="CC865" s="48" t="str">
        <f aca="false">IF(AND(Parameter!$B$19="Ja",E865&lt;&gt;"",ISNUMBER(MATCH(E865,Parameter!$I$35:$I$52,0))),VLOOKUP(E865,Parameter!$I$35:$J$52,2,0),IFERROR(VLOOKUP(D865,Parameter!$A$35:$C$64,2,0),"Nein"))</f>
        <v>2+3</v>
      </c>
      <c r="CD865" s="52" t="n">
        <f aca="false">IF(BZ865=0,0,IF(N(S865)&gt;0,S865,IFERROR(VLOOKUP(D865,Parameter!$A$35:$C$64,3,0)+0,0)))</f>
        <v>0</v>
      </c>
      <c r="CE865" s="48" t="n">
        <f aca="false">IF(AA865&lt;&gt;"",AA865,Z865)</f>
        <v>3</v>
      </c>
      <c r="CF865" s="48" t="str">
        <f aca="false">IF(OR(CE865=1,CE865=2,CE865=3),IF(Parameter!$E$27="Ja","LIFT",IF(CE865=1,"L1","L23")),IF(CE865="Aussen","Aussen","-"))</f>
        <v>LIFT</v>
      </c>
      <c r="CG865" s="59" t="n">
        <f aca="false">IF(N(AB865)&gt;0,AB865,0)</f>
        <v>0</v>
      </c>
      <c r="CH865" s="53" t="n">
        <f aca="false">IF(ISNUMBER(AE865),1,0)</f>
        <v>0</v>
      </c>
      <c r="CI865" s="50" t="n">
        <f aca="false">N(AE865)</f>
        <v>0</v>
      </c>
      <c r="CJ865" s="50" t="n">
        <f aca="false">N(M865)+N(N865)</f>
        <v>25</v>
      </c>
      <c r="CK865" s="50" t="n">
        <f aca="false">N(M865)</f>
        <v>0</v>
      </c>
      <c r="CL865" s="50" t="n">
        <f aca="false">N(N865)</f>
        <v>25</v>
      </c>
      <c r="CM865" s="50" t="n">
        <f aca="false">ROUNDUP(H865/BY865,0)</f>
        <v>1</v>
      </c>
      <c r="CN865" s="50" t="n">
        <f aca="false">ROUNDUP(CI865/BY865,0)</f>
        <v>0</v>
      </c>
      <c r="CO865" s="53" t="n">
        <f aca="false">IF(BZ865=1,0,IFERROR(VLOOKUP(BX865,'Gebinde-Kategorie'!$A$5:$N$45,5,0)+0,0))</f>
        <v>11</v>
      </c>
      <c r="CP865" s="53" t="n">
        <f aca="false">IFERROR(IF(OR(CE865=1,CE865=2,CE865=3),N(INDEX(Parameter!$I$5:$I$7,CE865)),0),0)</f>
        <v>0</v>
      </c>
      <c r="CQ865" s="52" t="n">
        <f aca="false">IF(AND(Parameter!$B$21="Ja",ISNUMBER(W865),N(X865)&gt;0),IFERROR(N(INDEX(Parameter!$L$5:$L$7,W865))*INDEX(Parameter!$E$5:$E$7,W865)*X865/SUMIFS($X$7:$X$1843,$W$7:$W$1843,W865),0),0)</f>
        <v>0</v>
      </c>
    </row>
    <row r="866" customFormat="false" ht="15" hidden="false" customHeight="false" outlineLevel="0" collapsed="false">
      <c r="A866" s="48" t="s">
        <v>1656</v>
      </c>
      <c r="B866" s="48" t="s">
        <v>414</v>
      </c>
      <c r="C866" s="48" t="s">
        <v>465</v>
      </c>
      <c r="D866" s="48" t="s">
        <v>193</v>
      </c>
      <c r="E866" s="48"/>
      <c r="F866" s="48" t="s">
        <v>227</v>
      </c>
      <c r="G866" s="49" t="n">
        <v>0.11</v>
      </c>
      <c r="H866" s="50" t="n">
        <f aca="false">MAX(0,IF(AND(Parameter!$B$21="Ja",ISNUMBER(Y866)),Y866,IF(Parameter!$B$20="Jahresanfang 2025 + Export",BR866+BQ866,BQ866)))</f>
        <v>196</v>
      </c>
      <c r="I866" s="50" t="n">
        <f aca="false">H866*G866</f>
        <v>21.56</v>
      </c>
      <c r="J866" s="50" t="n">
        <f aca="false">BT866*Parameter!$B$18</f>
        <v>196</v>
      </c>
      <c r="K866" s="51" t="n">
        <v>196</v>
      </c>
      <c r="L866" s="52" t="n">
        <v>1</v>
      </c>
      <c r="M866" s="50" t="n">
        <v>7</v>
      </c>
      <c r="N866" s="50" t="n">
        <v>195</v>
      </c>
      <c r="O866" s="53" t="n">
        <v>14</v>
      </c>
      <c r="P866" s="48" t="s">
        <v>177</v>
      </c>
      <c r="Q866" s="50"/>
      <c r="R866" s="53" t="n">
        <f aca="false">IF(BZ866=1,0,IFERROR(VLOOKUP(BX866,'Gebinde-Kategorie'!$A$5:$N$45,13,0)+0,0))</f>
        <v>26</v>
      </c>
      <c r="S866" s="54"/>
      <c r="T866" s="55" t="s">
        <v>284</v>
      </c>
      <c r="U866" s="55"/>
      <c r="V866" s="55"/>
      <c r="W866" s="48"/>
      <c r="X866" s="50"/>
      <c r="Y866" s="50"/>
      <c r="Z866" s="48" t="n">
        <f aca="false">IF(A866="","",IF(AND(Parameter!$B$21="Ja",ISNUMBER(W866)),W866,IF(CC866="2+3",IF(ISNUMBER(SEARCH("grosser Artikel",BU866)),2,IFERROR(VLOOKUP(BX866,Parameter!$F$35:$G$64,2,0),2)),IF(OR(CC866="Nein",CC866=""),"-",CC866))))</f>
        <v>3</v>
      </c>
      <c r="AA866" s="55"/>
      <c r="AB866" s="56"/>
      <c r="AC866" s="50" t="n">
        <f aca="false">AV866</f>
        <v>202</v>
      </c>
      <c r="AD866" s="50" t="n">
        <f aca="false">MAX(AV866,H866)</f>
        <v>202</v>
      </c>
      <c r="AE866" s="57"/>
      <c r="AF866" s="50" t="n">
        <f aca="false">IF(LEFT(Cockpit!$C$5,1)="A",H866,IF(Parameter!$E$30="MAX-Bestand",IF(CH866=1,CI866,IF(LEFT(Cockpit!$C$5,1)="B",AL866,MAX(AL866,H866))),ROUNDUP(AJ866,0)))</f>
        <v>196</v>
      </c>
      <c r="AG866" s="50" t="n">
        <f aca="false">IF(BZ866=1,0,ROUNDUP(AF866/BY866,0))</f>
        <v>1</v>
      </c>
      <c r="AH866" s="52" t="n">
        <f aca="false">IF(CQ866&gt;0,CQ866*MAX(1,AF866/X866),IF(BZ866=1,IF(AF866&lt;=0,0,CD866*MAX(1,IF(H866&gt;0,AF866/H866,1))),IF(R866&gt;0,AG866/R866,0))/MAX(0.1,N(Parameter!$M$21)))</f>
        <v>0.0384615384615385</v>
      </c>
      <c r="AI866" s="50" t="n">
        <f aca="false">AH866*CB866</f>
        <v>5.96153846153846</v>
      </c>
      <c r="AJ866" s="51" t="n">
        <f aca="false">IF(LEFT(Cockpit!$C$5,1)="A",H866,IF(CH866=1,(CK866+CI866)/2,IF(LEFT(Cockpit!$C$5,1)="B",(CK866+AL866)/2,MAX((CK866+AL866)/2,H866))))</f>
        <v>196</v>
      </c>
      <c r="AK866" s="50" t="n">
        <f aca="false">AJ866*G866</f>
        <v>21.56</v>
      </c>
      <c r="AL866" s="50" t="n">
        <f aca="false">ROUNDUP(CK866+MAX(CL866,2*(J866/IF(CG866&gt;0,CG866,MAX(0.1,N(Cockpit!$C$6)))-CK866)),0)</f>
        <v>202</v>
      </c>
      <c r="AM866" s="51" t="n">
        <f aca="false">IF(AI866&gt;0,J866/AI866,-1)</f>
        <v>32.8774193548387</v>
      </c>
      <c r="AN866" s="51" t="n">
        <f aca="false">IF(AND(OR(CF866="L1",CF866="L23",CF866="LIFT"),AI866&gt;0),SUMIFS($AI$7:$AI$1843,$CF$7:$CF$1843,CF866,$AM$7:$AM$1843,"&gt;"&amp;AM866)+SUMIFS($AI$7:$AI$1843,$CF$7:$CF$1843,CF866,$AM$7:$AM$1843,AM866,$BW$7:$BW$1843,"&lt;="&amp;BW866),"")</f>
        <v>1346.44917582418</v>
      </c>
      <c r="AO866" s="58" t="n">
        <f aca="false">IF(AN866="",0,MAX(0,MIN(1,(IF(CF866="L1",Parameter!$H$5,IF(CF866="L23",Parameter!$H$6+Parameter!$H$7,Parameter!$H$5+Parameter!$H$6+Parameter!$H$7))-(AN866-AI866))/AI866)))</f>
        <v>1</v>
      </c>
      <c r="AP866" s="50" t="n">
        <f aca="false">IF(LEFT(Cockpit!$I$5,1)="A",H866,IF(Parameter!$E$30="MAX-Bestand",IF(CH866=1,CI866,IF(LEFT(Cockpit!$I$5,1)="B",AV866,MAX(AV866,H866))),ROUNDUP(AT866,0)))</f>
        <v>196</v>
      </c>
      <c r="AQ866" s="50" t="n">
        <f aca="false">IF(BZ866=1,0,ROUNDUP(AP866/BY866,0))</f>
        <v>1</v>
      </c>
      <c r="AR866" s="52" t="n">
        <f aca="false">IF(CQ866&gt;0,CQ866*MAX(1,AP866/X866),IF(BZ866=1,IF(AP866&lt;=0,0,CD866*MAX(1,IF(H866&gt;0,AP866/H866,1))),IF(R866&gt;0,AQ866/R866,0))/MAX(0.1,N(Parameter!$M$21)))</f>
        <v>0.0384615384615385</v>
      </c>
      <c r="AS866" s="50" t="n">
        <f aca="false">AR866*CB866</f>
        <v>5.96153846153846</v>
      </c>
      <c r="AT866" s="51" t="n">
        <f aca="false">IF(LEFT(Cockpit!$I$5,1)="A",H866,IF(CH866=1,(CK866+CI866)/2,IF(LEFT(Cockpit!$I$5,1)="B",(CK866+AV866)/2,MAX((CK866+AV866)/2,H866))))</f>
        <v>196</v>
      </c>
      <c r="AU866" s="50" t="n">
        <f aca="false">AT866*G866</f>
        <v>21.56</v>
      </c>
      <c r="AV866" s="50" t="n">
        <f aca="false">ROUNDUP(CK866+MAX(CL866,2*(J866/IF(CG866&gt;0,CG866,MAX(0.1,N(Cockpit!$I$6)))-CK866)),0)</f>
        <v>202</v>
      </c>
      <c r="AW866" s="51" t="n">
        <f aca="false">IF(AS866&gt;0,J866/AS866,-1)</f>
        <v>32.8774193548387</v>
      </c>
      <c r="AX866" s="51" t="n">
        <f aca="false">IF(AND(OR(CF866="L1",CF866="L23",CF866="LIFT"),AS866&gt;0),SUMIFS($AS$7:$AS$1843,$CF$7:$CF$1843,CF866,$AW$7:$AW$1843,"&gt;"&amp;AW866)+SUMIFS($AS$7:$AS$1843,$CF$7:$CF$1843,CF866,$AW$7:$AW$1843,AW866,$BW$7:$BW$1843,"&lt;="&amp;BW866),"")</f>
        <v>1739.7152014652</v>
      </c>
      <c r="AY866" s="58" t="n">
        <f aca="false">IF(AX866="",0,MAX(0,MIN(1,(IF(CF866="L1",Parameter!$H$5,IF(CF866="L23",Parameter!$H$6+Parameter!$H$7,Parameter!$H$5+Parameter!$H$6+Parameter!$H$7))-(AX866-AS866))/AS866)))</f>
        <v>1</v>
      </c>
      <c r="AZ866" s="50" t="n">
        <f aca="false">IF(LEFT(Cockpit!$O$5,1)="A",H866,IF(Parameter!$E$30="MAX-Bestand",IF(CH866=1,CI866,IF(LEFT(Cockpit!$O$5,1)="B",BF866,MAX(BF866,H866))),ROUNDUP(BD866,0)))</f>
        <v>105</v>
      </c>
      <c r="BA866" s="50" t="n">
        <f aca="false">IF(BZ866=1,0,ROUNDUP(AZ866/BY866,0))</f>
        <v>1</v>
      </c>
      <c r="BB866" s="52" t="n">
        <f aca="false">IF(CQ866&gt;0,CQ866*MAX(1,AZ866/X866),IF(BZ866=1,IF(AZ866&lt;=0,0,CD866*MAX(1,IF(H866&gt;0,AZ866/H866,1))),IF(R866&gt;0,BA866/R866,0))/MAX(0.1,N(Parameter!$M$21)))</f>
        <v>0.0384615384615385</v>
      </c>
      <c r="BC866" s="50" t="n">
        <f aca="false">BB866*CB866</f>
        <v>5.96153846153846</v>
      </c>
      <c r="BD866" s="51" t="n">
        <f aca="false">IF(LEFT(Cockpit!$O$5,1)="A",H866,IF(CH866=1,(CK866+CI866)/2,IF(LEFT(Cockpit!$O$5,1)="B",(CK866+BF866)/2,MAX((CK866+BF866)/2,H866))))</f>
        <v>104.5</v>
      </c>
      <c r="BE866" s="50" t="n">
        <f aca="false">BD866*G866</f>
        <v>11.495</v>
      </c>
      <c r="BF866" s="50" t="n">
        <f aca="false">ROUNDUP(CK866+MAX(CL866,2*(J866/IF(CG866&gt;0,CG866,MAX(0.1,N(Cockpit!$O$6)))-CK866)),0)</f>
        <v>202</v>
      </c>
      <c r="BG866" s="51" t="n">
        <f aca="false">IF(BC866&gt;0,J866/BC866,-1)</f>
        <v>32.8774193548387</v>
      </c>
      <c r="BH866" s="51" t="n">
        <f aca="false">IF(AND(OR(CF866="L1",CF866="L23",CF866="LIFT"),BC866&gt;0),SUMIFS($BC$7:$BC$1843,$CF$7:$CF$1843,CF866,$BG$7:$BG$1843,"&gt;"&amp;BG866)+SUMIFS($BC$7:$BC$1843,$CF$7:$CF$1843,CF866,$BG$7:$BG$1843,BG866,$BW$7:$BW$1843,"&lt;="&amp;BW866),"")</f>
        <v>1679.39102564103</v>
      </c>
      <c r="BI866" s="58" t="n">
        <f aca="false">IF(BH866="",0,MAX(0,MIN(1,(IF(CF866="L1",Parameter!$H$5,IF(CF866="L23",Parameter!$H$6+Parameter!$H$7,Parameter!$H$5+Parameter!$H$6+Parameter!$H$7))-(BH866-BC866))/BC866)))</f>
        <v>1</v>
      </c>
      <c r="BJ866" s="48" t="str">
        <f aca="false">IF(AI866&lt;=0,"",IF(CF866="Aussen","Aussenlager",IF(CF866="-","Nicht im Lift",IF(AO866&gt;=1,"Lift",IF(AO866&lt;=0,"Aussenlager","teilweise")))))</f>
        <v>Lift</v>
      </c>
      <c r="BK866" s="48" t="str">
        <f aca="false">IF(AS866&lt;=0,"",IF(CF866="Aussen","Aussenlager",IF(CF866="-","Nicht im Lift",IF(AY866&gt;=1,"Lift",IF(AY866&lt;=0,"Aussenlager","teilweise")))))</f>
        <v>Lift</v>
      </c>
      <c r="BL866" s="48" t="str">
        <f aca="false">IF(BC866&lt;=0,"",IF(CF866="Aussen","Aussenlager",IF(CF866="-","Nicht im Lift",IF(BI866&gt;=1,"Lift",IF(BI866&lt;=0,"Aussenlager","teilweise")))))</f>
        <v>Lift</v>
      </c>
      <c r="BM866" s="48" t="str">
        <f aca="false">IF(A866="","",IF(BV866=1,"Neu; ","")&amp;IF(AND(BV866=0,BQ866&lt;0),"negativer Bestand (Export "&amp;BQ866&amp;"); ","")&amp;IF(J866&lt;=0,"Kein Verbrauch; ","")&amp;IF(CQ866&gt;0,"Lift "&amp;W866&amp;" lt. Liftbericht (Fach "&amp;X866&amp;" Stk); ",IF(CA866=1,"Gebinde geschätzt ("&amp;T866&amp;"); ",IF(BZ866=1,"Lose – Tablare geschätzt; ","")))&amp;IF(H866&gt;AV866,"Überbestand "&amp;ROUND(H866-AV866,0)&amp;" Stk / CHF "&amp;ROUND((H866-AV866)*G866,0)&amp;"; ","")&amp;IF(AND(CH866=1,CI866&lt;CJ866),"MAX &lt; MB+LG; ","")&amp;IF(AND(CP866&gt;0,CO866*10&gt;CP866),"zu hoch für Tablar; ","")&amp;IF(AND(BV866=0,OR(CH866=1,AA866&lt;&gt;"",U866&lt;&gt;"",V866&lt;&gt;"",AB866&lt;&gt;"")),"manuell übersteuert; ","")&amp;IF(AND(BZ866=0,R866=0),"Gebinde unbekannt / Stellmass fehlt; ","")&amp;IF(AND(BZ866=0,N(V866)&lt;=0,N(Q866)&lt;=0),"Menge pro Gebinde fehlt (Ist = 1 Gebinde); ","")&amp;BU866)</f>
        <v>negativer Bestand (Export -196); Gebinde geschätzt (Klein); Menge pro Gebinde fehlt (Ist = 1 Gebinde); </v>
      </c>
      <c r="BN866" s="48"/>
      <c r="BO866" s="48"/>
      <c r="BP866" s="55"/>
      <c r="BQ866" s="50" t="n">
        <v>-196</v>
      </c>
      <c r="BR866" s="50" t="n">
        <v>392</v>
      </c>
      <c r="BS866" s="49" t="n">
        <v>-21.56</v>
      </c>
      <c r="BT866" s="50" t="n">
        <v>196</v>
      </c>
      <c r="BU866" s="48"/>
      <c r="BV866" s="53" t="n">
        <v>0</v>
      </c>
      <c r="BW866" s="53" t="n">
        <v>866</v>
      </c>
      <c r="BX866" s="48" t="str">
        <f aca="false">IF(U866&lt;&gt;"",UPPER(TRIM(U866)),IF(CA866=1,UPPER(VLOOKUP(T866,Parameter!$I$27:$K$29,2,0)),IF(P866="","LOSE",P866)))</f>
        <v>S51</v>
      </c>
      <c r="BY866" s="50" t="n">
        <f aca="false">IF(BX866="LOSE",1,IF(N(V866)&gt;0,V866,IF(CA866=1,MAX(1,N(VLOOKUP(T866,Parameter!$I$27:$K$29,3,0)),H866,N(N866)),IF(N(Q866)&gt;0,Q866,MAX(1,H866)))))</f>
        <v>196</v>
      </c>
      <c r="BZ866" s="53" t="n">
        <f aca="false">IF(BX866="LOSE",1,0)</f>
        <v>0</v>
      </c>
      <c r="CA866" s="53" t="n">
        <f aca="false">IF(AND(U866="",OR(P866="",P866="LOSE"),T866&lt;&gt;"",N(S866)&lt;=0,ISNUMBER(MATCH(T866,Parameter!$I$27:$I$29,0))),1,0)</f>
        <v>1</v>
      </c>
      <c r="CB866" s="53" t="n">
        <f aca="false">IF(CQ866&gt;0,INDEX(Parameter!$H$5:$H$7,W866)/INDEX(Parameter!$E$5:$E$7,W866),IF(AND(BZ866=0,N(IFERROR(VLOOKUP(BX866,'Gebinde-Kategorie'!$A$5:$N$45,14,0),0))&gt;0),VLOOKUP(BX866,'Gebinde-Kategorie'!$A$5:$N$45,14,0)*10+Parameter!$M$23,Parameter!$M$24))</f>
        <v>155</v>
      </c>
      <c r="CC866" s="48" t="str">
        <f aca="false">IF(AND(Parameter!$B$19="Ja",E866&lt;&gt;"",ISNUMBER(MATCH(E866,Parameter!$I$35:$I$52,0))),VLOOKUP(E866,Parameter!$I$35:$J$52,2,0),IFERROR(VLOOKUP(D866,Parameter!$A$35:$C$64,2,0),"Nein"))</f>
        <v>2+3</v>
      </c>
      <c r="CD866" s="52" t="n">
        <f aca="false">IF(BZ866=0,0,IF(N(S866)&gt;0,S866,IFERROR(VLOOKUP(D866,Parameter!$A$35:$C$64,3,0)+0,0)))</f>
        <v>0</v>
      </c>
      <c r="CE866" s="48" t="n">
        <f aca="false">IF(AA866&lt;&gt;"",AA866,Z866)</f>
        <v>3</v>
      </c>
      <c r="CF866" s="48" t="str">
        <f aca="false">IF(OR(CE866=1,CE866=2,CE866=3),IF(Parameter!$E$27="Ja","LIFT",IF(CE866=1,"L1","L23")),IF(CE866="Aussen","Aussen","-"))</f>
        <v>LIFT</v>
      </c>
      <c r="CG866" s="59" t="n">
        <f aca="false">IF(N(AB866)&gt;0,AB866,0)</f>
        <v>0</v>
      </c>
      <c r="CH866" s="53" t="n">
        <f aca="false">IF(ISNUMBER(AE866),1,0)</f>
        <v>0</v>
      </c>
      <c r="CI866" s="50" t="n">
        <f aca="false">N(AE866)</f>
        <v>0</v>
      </c>
      <c r="CJ866" s="50" t="n">
        <f aca="false">N(M866)+N(N866)</f>
        <v>202</v>
      </c>
      <c r="CK866" s="50" t="n">
        <f aca="false">N(M866)</f>
        <v>7</v>
      </c>
      <c r="CL866" s="50" t="n">
        <f aca="false">N(N866)</f>
        <v>195</v>
      </c>
      <c r="CM866" s="50" t="n">
        <f aca="false">ROUNDUP(H866/BY866,0)</f>
        <v>1</v>
      </c>
      <c r="CN866" s="50" t="n">
        <f aca="false">ROUNDUP(CI866/BY866,0)</f>
        <v>0</v>
      </c>
      <c r="CO866" s="53" t="n">
        <f aca="false">IF(BZ866=1,0,IFERROR(VLOOKUP(BX866,'Gebinde-Kategorie'!$A$5:$N$45,5,0)+0,0))</f>
        <v>11</v>
      </c>
      <c r="CP866" s="53" t="n">
        <f aca="false">IFERROR(IF(OR(CE866=1,CE866=2,CE866=3),N(INDEX(Parameter!$I$5:$I$7,CE866)),0),0)</f>
        <v>0</v>
      </c>
      <c r="CQ866" s="52" t="n">
        <f aca="false">IF(AND(Parameter!$B$21="Ja",ISNUMBER(W866),N(X866)&gt;0),IFERROR(N(INDEX(Parameter!$L$5:$L$7,W866))*INDEX(Parameter!$E$5:$E$7,W866)*X866/SUMIFS($X$7:$X$1843,$W$7:$W$1843,W866),0),0)</f>
        <v>0</v>
      </c>
    </row>
    <row r="867" customFormat="false" ht="15" hidden="false" customHeight="false" outlineLevel="0" collapsed="false">
      <c r="A867" s="48" t="s">
        <v>1657</v>
      </c>
      <c r="B867" s="48" t="s">
        <v>1108</v>
      </c>
      <c r="C867" s="48" t="s">
        <v>173</v>
      </c>
      <c r="D867" s="48" t="s">
        <v>193</v>
      </c>
      <c r="E867" s="48"/>
      <c r="F867" s="48" t="s">
        <v>227</v>
      </c>
      <c r="G867" s="49" t="n">
        <v>10.9</v>
      </c>
      <c r="H867" s="50" t="n">
        <f aca="false">MAX(0,IF(AND(Parameter!$B$21="Ja",ISNUMBER(Y867)),Y867,IF(Parameter!$B$20="Jahresanfang 2025 + Export",BR867+BQ867,BQ867)))</f>
        <v>54</v>
      </c>
      <c r="I867" s="50" t="n">
        <f aca="false">H867*G867</f>
        <v>588.6</v>
      </c>
      <c r="J867" s="50" t="n">
        <f aca="false">BT867*Parameter!$B$18</f>
        <v>1</v>
      </c>
      <c r="K867" s="51" t="n">
        <v>55</v>
      </c>
      <c r="L867" s="52" t="n">
        <v>0.0181818181818182</v>
      </c>
      <c r="M867" s="50" t="n">
        <v>0</v>
      </c>
      <c r="N867" s="50" t="n">
        <v>1</v>
      </c>
      <c r="O867" s="53" t="n">
        <v>70</v>
      </c>
      <c r="P867" s="48" t="s">
        <v>311</v>
      </c>
      <c r="Q867" s="50" t="n">
        <v>54</v>
      </c>
      <c r="R867" s="53" t="n">
        <f aca="false">IF(BZ867=1,0,IFERROR(VLOOKUP(BX867,'Gebinde-Kategorie'!$A$5:$N$45,13,0)+0,0))</f>
        <v>26</v>
      </c>
      <c r="S867" s="54"/>
      <c r="T867" s="55"/>
      <c r="U867" s="55"/>
      <c r="V867" s="55"/>
      <c r="W867" s="48"/>
      <c r="X867" s="50"/>
      <c r="Y867" s="50"/>
      <c r="Z867" s="48" t="n">
        <f aca="false">IF(A867="","",IF(AND(Parameter!$B$21="Ja",ISNUMBER(W867)),W867,IF(CC867="2+3",IF(ISNUMBER(SEARCH("grosser Artikel",BU867)),2,IFERROR(VLOOKUP(BX867,Parameter!$F$35:$G$64,2,0),2)),IF(OR(CC867="Nein",CC867=""),"-",CC867))))</f>
        <v>3</v>
      </c>
      <c r="AA867" s="55"/>
      <c r="AB867" s="56"/>
      <c r="AC867" s="50" t="n">
        <f aca="false">AV867</f>
        <v>1</v>
      </c>
      <c r="AD867" s="50" t="n">
        <f aca="false">MAX(AV867,H867)</f>
        <v>54</v>
      </c>
      <c r="AE867" s="57"/>
      <c r="AF867" s="50" t="n">
        <f aca="false">IF(LEFT(Cockpit!$C$5,1)="A",H867,IF(Parameter!$E$30="MAX-Bestand",IF(CH867=1,CI867,IF(LEFT(Cockpit!$C$5,1)="B",AL867,MAX(AL867,H867))),ROUNDUP(AJ867,0)))</f>
        <v>54</v>
      </c>
      <c r="AG867" s="50" t="n">
        <f aca="false">IF(BZ867=1,0,ROUNDUP(AF867/BY867,0))</f>
        <v>1</v>
      </c>
      <c r="AH867" s="52" t="n">
        <f aca="false">IF(CQ867&gt;0,CQ867*MAX(1,AF867/X867),IF(BZ867=1,IF(AF867&lt;=0,0,CD867*MAX(1,IF(H867&gt;0,AF867/H867,1))),IF(R867&gt;0,AG867/R867,0))/MAX(0.1,N(Parameter!$M$21)))</f>
        <v>0.0384615384615385</v>
      </c>
      <c r="AI867" s="50" t="n">
        <f aca="false">AH867*CB867</f>
        <v>5.96153846153846</v>
      </c>
      <c r="AJ867" s="51" t="n">
        <f aca="false">IF(LEFT(Cockpit!$C$5,1)="A",H867,IF(CH867=1,(CK867+CI867)/2,IF(LEFT(Cockpit!$C$5,1)="B",(CK867+AL867)/2,MAX((CK867+AL867)/2,H867))))</f>
        <v>54</v>
      </c>
      <c r="AK867" s="50" t="n">
        <f aca="false">AJ867*G867</f>
        <v>588.6</v>
      </c>
      <c r="AL867" s="50" t="n">
        <f aca="false">ROUNDUP(CK867+MAX(CL867,2*(J867/IF(CG867&gt;0,CG867,MAX(0.1,N(Cockpit!$C$6)))-CK867)),0)</f>
        <v>1</v>
      </c>
      <c r="AM867" s="51" t="n">
        <f aca="false">IF(AI867&gt;0,J867/AI867,-1)</f>
        <v>0.167741935483871</v>
      </c>
      <c r="AN867" s="51" t="n">
        <f aca="false">IF(AND(OR(CF867="L1",CF867="L23",CF867="LIFT"),AI867&gt;0),SUMIFS($AI$7:$AI$1843,$CF$7:$CF$1843,CF867,$AM$7:$AM$1843,"&gt;"&amp;AM867)+SUMIFS($AI$7:$AI$1843,$CF$7:$CF$1843,CF867,$AM$7:$AM$1843,AM867,$BW$7:$BW$1843,"&lt;="&amp;BW867),"")</f>
        <v>12727.4260285383</v>
      </c>
      <c r="AO867" s="58" t="n">
        <f aca="false">IF(AN867="",0,MAX(0,MIN(1,(IF(CF867="L1",Parameter!$H$5,IF(CF867="L23",Parameter!$H$6+Parameter!$H$7,Parameter!$H$5+Parameter!$H$6+Parameter!$H$7))-(AN867-AI867))/AI867)))</f>
        <v>1</v>
      </c>
      <c r="AP867" s="50" t="n">
        <f aca="false">IF(LEFT(Cockpit!$I$5,1)="A",H867,IF(Parameter!$E$30="MAX-Bestand",IF(CH867=1,CI867,IF(LEFT(Cockpit!$I$5,1)="B",AV867,MAX(AV867,H867))),ROUNDUP(AT867,0)))</f>
        <v>54</v>
      </c>
      <c r="AQ867" s="50" t="n">
        <f aca="false">IF(BZ867=1,0,ROUNDUP(AP867/BY867,0))</f>
        <v>1</v>
      </c>
      <c r="AR867" s="52" t="n">
        <f aca="false">IF(CQ867&gt;0,CQ867*MAX(1,AP867/X867),IF(BZ867=1,IF(AP867&lt;=0,0,CD867*MAX(1,IF(H867&gt;0,AP867/H867,1))),IF(R867&gt;0,AQ867/R867,0))/MAX(0.1,N(Parameter!$M$21)))</f>
        <v>0.0384615384615385</v>
      </c>
      <c r="AS867" s="50" t="n">
        <f aca="false">AR867*CB867</f>
        <v>5.96153846153846</v>
      </c>
      <c r="AT867" s="51" t="n">
        <f aca="false">IF(LEFT(Cockpit!$I$5,1)="A",H867,IF(CH867=1,(CK867+CI867)/2,IF(LEFT(Cockpit!$I$5,1)="B",(CK867+AV867)/2,MAX((CK867+AV867)/2,H867))))</f>
        <v>54</v>
      </c>
      <c r="AU867" s="50" t="n">
        <f aca="false">AT867*G867</f>
        <v>588.6</v>
      </c>
      <c r="AV867" s="50" t="n">
        <f aca="false">ROUNDUP(CK867+MAX(CL867,2*(J867/IF(CG867&gt;0,CG867,MAX(0.1,N(Cockpit!$I$6)))-CK867)),0)</f>
        <v>1</v>
      </c>
      <c r="AW867" s="51" t="n">
        <f aca="false">IF(AS867&gt;0,J867/AS867,-1)</f>
        <v>0.167741935483871</v>
      </c>
      <c r="AX867" s="51" t="n">
        <f aca="false">IF(AND(OR(CF867="L1",CF867="L23",CF867="LIFT"),AS867&gt;0),SUMIFS($AS$7:$AS$1843,$CF$7:$CF$1843,CF867,$AW$7:$AW$1843,"&gt;"&amp;AW867)+SUMIFS($AS$7:$AS$1843,$CF$7:$CF$1843,CF867,$AW$7:$AW$1843,AW867,$BW$7:$BW$1843,"&lt;="&amp;BW867),"")</f>
        <v>15656.1066849817</v>
      </c>
      <c r="AY867" s="58" t="n">
        <f aca="false">IF(AX867="",0,MAX(0,MIN(1,(IF(CF867="L1",Parameter!$H$5,IF(CF867="L23",Parameter!$H$6+Parameter!$H$7,Parameter!$H$5+Parameter!$H$6+Parameter!$H$7))-(AX867-AS867))/AS867)))</f>
        <v>1</v>
      </c>
      <c r="AZ867" s="50" t="n">
        <f aca="false">IF(LEFT(Cockpit!$O$5,1)="A",H867,IF(Parameter!$E$30="MAX-Bestand",IF(CH867=1,CI867,IF(LEFT(Cockpit!$O$5,1)="B",BF867,MAX(BF867,H867))),ROUNDUP(BD867,0)))</f>
        <v>1</v>
      </c>
      <c r="BA867" s="50" t="n">
        <f aca="false">IF(BZ867=1,0,ROUNDUP(AZ867/BY867,0))</f>
        <v>1</v>
      </c>
      <c r="BB867" s="52" t="n">
        <f aca="false">IF(CQ867&gt;0,CQ867*MAX(1,AZ867/X867),IF(BZ867=1,IF(AZ867&lt;=0,0,CD867*MAX(1,IF(H867&gt;0,AZ867/H867,1))),IF(R867&gt;0,BA867/R867,0))/MAX(0.1,N(Parameter!$M$21)))</f>
        <v>0.0384615384615385</v>
      </c>
      <c r="BC867" s="50" t="n">
        <f aca="false">BB867*CB867</f>
        <v>5.96153846153846</v>
      </c>
      <c r="BD867" s="51" t="n">
        <f aca="false">IF(LEFT(Cockpit!$O$5,1)="A",H867,IF(CH867=1,(CK867+CI867)/2,IF(LEFT(Cockpit!$O$5,1)="B",(CK867+BF867)/2,MAX((CK867+BF867)/2,H867))))</f>
        <v>0.5</v>
      </c>
      <c r="BE867" s="50" t="n">
        <f aca="false">BD867*G867</f>
        <v>5.45</v>
      </c>
      <c r="BF867" s="50" t="n">
        <f aca="false">ROUNDUP(CK867+MAX(CL867,2*(J867/IF(CG867&gt;0,CG867,MAX(0.1,N(Cockpit!$O$6)))-CK867)),0)</f>
        <v>1</v>
      </c>
      <c r="BG867" s="51" t="n">
        <f aca="false">IF(BC867&gt;0,J867/BC867,-1)</f>
        <v>0.167741935483871</v>
      </c>
      <c r="BH867" s="51" t="n">
        <f aca="false">IF(AND(OR(CF867="L1",CF867="L23",CF867="LIFT"),BC867&gt;0),SUMIFS($BC$7:$BC$1843,$CF$7:$CF$1843,CF867,$BG$7:$BG$1843,"&gt;"&amp;BG867)+SUMIFS($BC$7:$BC$1843,$CF$7:$CF$1843,CF867,$BG$7:$BG$1843,BG867,$BW$7:$BW$1843,"&lt;="&amp;BW867),"")</f>
        <v>13458.4065132137</v>
      </c>
      <c r="BI867" s="58" t="n">
        <f aca="false">IF(BH867="",0,MAX(0,MIN(1,(IF(CF867="L1",Parameter!$H$5,IF(CF867="L23",Parameter!$H$6+Parameter!$H$7,Parameter!$H$5+Parameter!$H$6+Parameter!$H$7))-(BH867-BC867))/BC867)))</f>
        <v>1</v>
      </c>
      <c r="BJ867" s="48" t="str">
        <f aca="false">IF(AI867&lt;=0,"",IF(CF867="Aussen","Aussenlager",IF(CF867="-","Nicht im Lift",IF(AO867&gt;=1,"Lift",IF(AO867&lt;=0,"Aussenlager","teilweise")))))</f>
        <v>Lift</v>
      </c>
      <c r="BK867" s="48" t="str">
        <f aca="false">IF(AS867&lt;=0,"",IF(CF867="Aussen","Aussenlager",IF(CF867="-","Nicht im Lift",IF(AY867&gt;=1,"Lift",IF(AY867&lt;=0,"Aussenlager","teilweise")))))</f>
        <v>Lift</v>
      </c>
      <c r="BL867" s="48" t="str">
        <f aca="false">IF(BC867&lt;=0,"",IF(CF867="Aussen","Aussenlager",IF(CF867="-","Nicht im Lift",IF(BI867&gt;=1,"Lift",IF(BI867&lt;=0,"Aussenlager","teilweise")))))</f>
        <v>Lift</v>
      </c>
      <c r="BM867" s="48" t="str">
        <f aca="false">IF(A867="","",IF(BV867=1,"Neu; ","")&amp;IF(AND(BV867=0,BQ867&lt;0),"negativer Bestand (Export "&amp;BQ867&amp;"); ","")&amp;IF(J867&lt;=0,"Kein Verbrauch; ","")&amp;IF(CQ867&gt;0,"Lift "&amp;W867&amp;" lt. Liftbericht (Fach "&amp;X867&amp;" Stk); ",IF(CA867=1,"Gebinde geschätzt ("&amp;T867&amp;"); ",IF(BZ867=1,"Lose – Tablare geschätzt; ","")))&amp;IF(H867&gt;AV867,"Überbestand "&amp;ROUND(H867-AV867,0)&amp;" Stk / CHF "&amp;ROUND((H867-AV867)*G867,0)&amp;"; ","")&amp;IF(AND(CH867=1,CI867&lt;CJ867),"MAX &lt; MB+LG; ","")&amp;IF(AND(CP867&gt;0,CO867*10&gt;CP867),"zu hoch für Tablar; ","")&amp;IF(AND(BV867=0,OR(CH867=1,AA867&lt;&gt;"",U867&lt;&gt;"",V867&lt;&gt;"",AB867&lt;&gt;"")),"manuell übersteuert; ","")&amp;IF(AND(BZ867=0,R867=0),"Gebinde unbekannt / Stellmass fehlt; ","")&amp;IF(AND(BZ867=0,N(V867)&lt;=0,N(Q867)&lt;=0),"Menge pro Gebinde fehlt (Ist = 1 Gebinde); ","")&amp;BU867)</f>
        <v>negativer Bestand (Export -2); Überbestand 53 Stk / CHF 578; i.o</v>
      </c>
      <c r="BN867" s="48"/>
      <c r="BO867" s="48"/>
      <c r="BP867" s="55"/>
      <c r="BQ867" s="50" t="n">
        <v>-2</v>
      </c>
      <c r="BR867" s="50" t="n">
        <v>56</v>
      </c>
      <c r="BS867" s="49" t="n">
        <v>-21.8</v>
      </c>
      <c r="BT867" s="50" t="n">
        <v>1</v>
      </c>
      <c r="BU867" s="48" t="s">
        <v>545</v>
      </c>
      <c r="BV867" s="53" t="n">
        <v>0</v>
      </c>
      <c r="BW867" s="53" t="n">
        <v>867</v>
      </c>
      <c r="BX867" s="48" t="str">
        <f aca="false">IF(U867&lt;&gt;"",UPPER(TRIM(U867)),IF(CA867=1,UPPER(VLOOKUP(T867,Parameter!$I$27:$K$29,2,0)),IF(P867="","LOSE",P867)))</f>
        <v>S51</v>
      </c>
      <c r="BY867" s="50" t="n">
        <f aca="false">IF(BX867="LOSE",1,IF(N(V867)&gt;0,V867,IF(CA867=1,MAX(1,N(VLOOKUP(T867,Parameter!$I$27:$K$29,3,0)),H867,N(N867)),IF(N(Q867)&gt;0,Q867,MAX(1,H867)))))</f>
        <v>54</v>
      </c>
      <c r="BZ867" s="53" t="n">
        <f aca="false">IF(BX867="LOSE",1,0)</f>
        <v>0</v>
      </c>
      <c r="CA867" s="53" t="n">
        <f aca="false">IF(AND(U867="",OR(P867="",P867="LOSE"),T867&lt;&gt;"",N(S867)&lt;=0,ISNUMBER(MATCH(T867,Parameter!$I$27:$I$29,0))),1,0)</f>
        <v>0</v>
      </c>
      <c r="CB867" s="53" t="n">
        <f aca="false">IF(CQ867&gt;0,INDEX(Parameter!$H$5:$H$7,W867)/INDEX(Parameter!$E$5:$E$7,W867),IF(AND(BZ867=0,N(IFERROR(VLOOKUP(BX867,'Gebinde-Kategorie'!$A$5:$N$45,14,0),0))&gt;0),VLOOKUP(BX867,'Gebinde-Kategorie'!$A$5:$N$45,14,0)*10+Parameter!$M$23,Parameter!$M$24))</f>
        <v>155</v>
      </c>
      <c r="CC867" s="48" t="str">
        <f aca="false">IF(AND(Parameter!$B$19="Ja",E867&lt;&gt;"",ISNUMBER(MATCH(E867,Parameter!$I$35:$I$52,0))),VLOOKUP(E867,Parameter!$I$35:$J$52,2,0),IFERROR(VLOOKUP(D867,Parameter!$A$35:$C$64,2,0),"Nein"))</f>
        <v>2+3</v>
      </c>
      <c r="CD867" s="52" t="n">
        <f aca="false">IF(BZ867=0,0,IF(N(S867)&gt;0,S867,IFERROR(VLOOKUP(D867,Parameter!$A$35:$C$64,3,0)+0,0)))</f>
        <v>0</v>
      </c>
      <c r="CE867" s="48" t="n">
        <f aca="false">IF(AA867&lt;&gt;"",AA867,Z867)</f>
        <v>3</v>
      </c>
      <c r="CF867" s="48" t="str">
        <f aca="false">IF(OR(CE867=1,CE867=2,CE867=3),IF(Parameter!$E$27="Ja","LIFT",IF(CE867=1,"L1","L23")),IF(CE867="Aussen","Aussen","-"))</f>
        <v>LIFT</v>
      </c>
      <c r="CG867" s="59" t="n">
        <f aca="false">IF(N(AB867)&gt;0,AB867,0)</f>
        <v>0</v>
      </c>
      <c r="CH867" s="53" t="n">
        <f aca="false">IF(ISNUMBER(AE867),1,0)</f>
        <v>0</v>
      </c>
      <c r="CI867" s="50" t="n">
        <f aca="false">N(AE867)</f>
        <v>0</v>
      </c>
      <c r="CJ867" s="50" t="n">
        <f aca="false">N(M867)+N(N867)</f>
        <v>1</v>
      </c>
      <c r="CK867" s="50" t="n">
        <f aca="false">N(M867)</f>
        <v>0</v>
      </c>
      <c r="CL867" s="50" t="n">
        <f aca="false">N(N867)</f>
        <v>1</v>
      </c>
      <c r="CM867" s="50" t="n">
        <f aca="false">ROUNDUP(H867/BY867,0)</f>
        <v>1</v>
      </c>
      <c r="CN867" s="50" t="n">
        <f aca="false">ROUNDUP(CI867/BY867,0)</f>
        <v>0</v>
      </c>
      <c r="CO867" s="53" t="n">
        <f aca="false">IF(BZ867=1,0,IFERROR(VLOOKUP(BX867,'Gebinde-Kategorie'!$A$5:$N$45,5,0)+0,0))</f>
        <v>11</v>
      </c>
      <c r="CP867" s="53" t="n">
        <f aca="false">IFERROR(IF(OR(CE867=1,CE867=2,CE867=3),N(INDEX(Parameter!$I$5:$I$7,CE867)),0),0)</f>
        <v>0</v>
      </c>
      <c r="CQ867" s="52" t="n">
        <f aca="false">IF(AND(Parameter!$B$21="Ja",ISNUMBER(W867),N(X867)&gt;0),IFERROR(N(INDEX(Parameter!$L$5:$L$7,W867))*INDEX(Parameter!$E$5:$E$7,W867)*X867/SUMIFS($X$7:$X$1843,$W$7:$W$1843,W867),0),0)</f>
        <v>0</v>
      </c>
    </row>
    <row r="868" customFormat="false" ht="15" hidden="false" customHeight="false" outlineLevel="0" collapsed="false">
      <c r="A868" s="48" t="s">
        <v>1658</v>
      </c>
      <c r="B868" s="48" t="s">
        <v>1659</v>
      </c>
      <c r="C868" s="48" t="s">
        <v>173</v>
      </c>
      <c r="D868" s="48" t="s">
        <v>193</v>
      </c>
      <c r="E868" s="48" t="s">
        <v>194</v>
      </c>
      <c r="F868" s="48" t="s">
        <v>227</v>
      </c>
      <c r="G868" s="49" t="n">
        <v>39.04</v>
      </c>
      <c r="H868" s="50" t="n">
        <f aca="false">MAX(0,IF(AND(Parameter!$B$21="Ja",ISNUMBER(Y868)),Y868,IF(Parameter!$B$20="Jahresanfang 2025 + Export",BR868+BQ868,BQ868)))</f>
        <v>2</v>
      </c>
      <c r="I868" s="50" t="n">
        <f aca="false">H868*G868</f>
        <v>78.08</v>
      </c>
      <c r="J868" s="50" t="n">
        <f aca="false">BT868*Parameter!$B$18</f>
        <v>6</v>
      </c>
      <c r="K868" s="51" t="n">
        <v>5</v>
      </c>
      <c r="L868" s="52" t="n">
        <v>1.2</v>
      </c>
      <c r="M868" s="50" t="n">
        <v>0</v>
      </c>
      <c r="N868" s="50" t="n">
        <v>5</v>
      </c>
      <c r="O868" s="53" t="n">
        <v>21</v>
      </c>
      <c r="P868" s="48" t="s">
        <v>485</v>
      </c>
      <c r="Q868" s="50" t="n">
        <v>10</v>
      </c>
      <c r="R868" s="53" t="n">
        <f aca="false">IF(BZ868=1,0,IFERROR(VLOOKUP(BX868,'Gebinde-Kategorie'!$A$5:$N$45,13,0)+0,0))</f>
        <v>52</v>
      </c>
      <c r="S868" s="54"/>
      <c r="T868" s="55"/>
      <c r="U868" s="55"/>
      <c r="V868" s="55"/>
      <c r="W868" s="48"/>
      <c r="X868" s="50"/>
      <c r="Y868" s="50"/>
      <c r="Z868" s="48" t="n">
        <f aca="false">IF(A868="","",IF(AND(Parameter!$B$21="Ja",ISNUMBER(W868)),W868,IF(CC868="2+3",IF(ISNUMBER(SEARCH("grosser Artikel",BU868)),2,IFERROR(VLOOKUP(BX868,Parameter!$F$35:$G$64,2,0),2)),IF(OR(CC868="Nein",CC868=""),"-",CC868))))</f>
        <v>3</v>
      </c>
      <c r="AA868" s="55"/>
      <c r="AB868" s="56"/>
      <c r="AC868" s="50" t="n">
        <f aca="false">AV868</f>
        <v>5</v>
      </c>
      <c r="AD868" s="50" t="n">
        <f aca="false">MAX(AV868,H868)</f>
        <v>5</v>
      </c>
      <c r="AE868" s="57"/>
      <c r="AF868" s="50" t="n">
        <f aca="false">IF(LEFT(Cockpit!$C$5,1)="A",H868,IF(Parameter!$E$30="MAX-Bestand",IF(CH868=1,CI868,IF(LEFT(Cockpit!$C$5,1)="B",AL868,MAX(AL868,H868))),ROUNDUP(AJ868,0)))</f>
        <v>2</v>
      </c>
      <c r="AG868" s="50" t="n">
        <f aca="false">IF(BZ868=1,0,ROUNDUP(AF868/BY868,0))</f>
        <v>1</v>
      </c>
      <c r="AH868" s="52" t="n">
        <f aca="false">IF(CQ868&gt;0,CQ868*MAX(1,AF868/X868),IF(BZ868=1,IF(AF868&lt;=0,0,CD868*MAX(1,IF(H868&gt;0,AF868/H868,1))),IF(R868&gt;0,AG868/R868,0))/MAX(0.1,N(Parameter!$M$21)))</f>
        <v>0.0192307692307692</v>
      </c>
      <c r="AI868" s="50" t="n">
        <f aca="false">AH868*CB868</f>
        <v>2.98076923076923</v>
      </c>
      <c r="AJ868" s="51" t="n">
        <f aca="false">IF(LEFT(Cockpit!$C$5,1)="A",H868,IF(CH868=1,(CK868+CI868)/2,IF(LEFT(Cockpit!$C$5,1)="B",(CK868+AL868)/2,MAX((CK868+AL868)/2,H868))))</f>
        <v>2</v>
      </c>
      <c r="AK868" s="50" t="n">
        <f aca="false">AJ868*G868</f>
        <v>78.08</v>
      </c>
      <c r="AL868" s="50" t="n">
        <f aca="false">ROUNDUP(CK868+MAX(CL868,2*(J868/IF(CG868&gt;0,CG868,MAX(0.1,N(Cockpit!$C$6)))-CK868)),0)</f>
        <v>5</v>
      </c>
      <c r="AM868" s="51" t="n">
        <f aca="false">IF(AI868&gt;0,J868/AI868,-1)</f>
        <v>2.01290322580645</v>
      </c>
      <c r="AN868" s="51" t="n">
        <f aca="false">IF(AND(OR(CF868="L1",CF868="L23",CF868="LIFT"),AI868&gt;0),SUMIFS($AI$7:$AI$1843,$CF$7:$CF$1843,CF868,$AM$7:$AM$1843,"&gt;"&amp;AM868)+SUMIFS($AI$7:$AI$1843,$CF$7:$CF$1843,CF868,$AM$7:$AM$1843,AM868,$BW$7:$BW$1843,"&lt;="&amp;BW868),"")</f>
        <v>5787.86904761905</v>
      </c>
      <c r="AO868" s="58" t="n">
        <f aca="false">IF(AN868="",0,MAX(0,MIN(1,(IF(CF868="L1",Parameter!$H$5,IF(CF868="L23",Parameter!$H$6+Parameter!$H$7,Parameter!$H$5+Parameter!$H$6+Parameter!$H$7))-(AN868-AI868))/AI868)))</f>
        <v>1</v>
      </c>
      <c r="AP868" s="50" t="n">
        <f aca="false">IF(LEFT(Cockpit!$I$5,1)="A",H868,IF(Parameter!$E$30="MAX-Bestand",IF(CH868=1,CI868,IF(LEFT(Cockpit!$I$5,1)="B",AV868,MAX(AV868,H868))),ROUNDUP(AT868,0)))</f>
        <v>3</v>
      </c>
      <c r="AQ868" s="50" t="n">
        <f aca="false">IF(BZ868=1,0,ROUNDUP(AP868/BY868,0))</f>
        <v>1</v>
      </c>
      <c r="AR868" s="52" t="n">
        <f aca="false">IF(CQ868&gt;0,CQ868*MAX(1,AP868/X868),IF(BZ868=1,IF(AP868&lt;=0,0,CD868*MAX(1,IF(H868&gt;0,AP868/H868,1))),IF(R868&gt;0,AQ868/R868,0))/MAX(0.1,N(Parameter!$M$21)))</f>
        <v>0.0192307692307692</v>
      </c>
      <c r="AS868" s="50" t="n">
        <f aca="false">AR868*CB868</f>
        <v>2.98076923076923</v>
      </c>
      <c r="AT868" s="51" t="n">
        <f aca="false">IF(LEFT(Cockpit!$I$5,1)="A",H868,IF(CH868=1,(CK868+CI868)/2,IF(LEFT(Cockpit!$I$5,1)="B",(CK868+AV868)/2,MAX((CK868+AV868)/2,H868))))</f>
        <v>2.5</v>
      </c>
      <c r="AU868" s="50" t="n">
        <f aca="false">AT868*G868</f>
        <v>97.6</v>
      </c>
      <c r="AV868" s="50" t="n">
        <f aca="false">ROUNDUP(CK868+MAX(CL868,2*(J868/IF(CG868&gt;0,CG868,MAX(0.1,N(Cockpit!$I$6)))-CK868)),0)</f>
        <v>5</v>
      </c>
      <c r="AW868" s="51" t="n">
        <f aca="false">IF(AS868&gt;0,J868/AS868,-1)</f>
        <v>2.01290322580645</v>
      </c>
      <c r="AX868" s="51" t="n">
        <f aca="false">IF(AND(OR(CF868="L1",CF868="L23",CF868="LIFT"),AS868&gt;0),SUMIFS($AS$7:$AS$1843,$CF$7:$CF$1843,CF868,$AW$7:$AW$1843,"&gt;"&amp;AW868)+SUMIFS($AS$7:$AS$1843,$CF$7:$CF$1843,CF868,$AW$7:$AW$1843,AW868,$BW$7:$BW$1843,"&lt;="&amp;BW868),"")</f>
        <v>7155.80860805861</v>
      </c>
      <c r="AY868" s="58" t="n">
        <f aca="false">IF(AX868="",0,MAX(0,MIN(1,(IF(CF868="L1",Parameter!$H$5,IF(CF868="L23",Parameter!$H$6+Parameter!$H$7,Parameter!$H$5+Parameter!$H$6+Parameter!$H$7))-(AX868-AS868))/AS868)))</f>
        <v>1</v>
      </c>
      <c r="AZ868" s="50" t="n">
        <f aca="false">IF(LEFT(Cockpit!$O$5,1)="A",H868,IF(Parameter!$E$30="MAX-Bestand",IF(CH868=1,CI868,IF(LEFT(Cockpit!$O$5,1)="B",BF868,MAX(BF868,H868))),ROUNDUP(BD868,0)))</f>
        <v>3</v>
      </c>
      <c r="BA868" s="50" t="n">
        <f aca="false">IF(BZ868=1,0,ROUNDUP(AZ868/BY868,0))</f>
        <v>1</v>
      </c>
      <c r="BB868" s="52" t="n">
        <f aca="false">IF(CQ868&gt;0,CQ868*MAX(1,AZ868/X868),IF(BZ868=1,IF(AZ868&lt;=0,0,CD868*MAX(1,IF(H868&gt;0,AZ868/H868,1))),IF(R868&gt;0,BA868/R868,0))/MAX(0.1,N(Parameter!$M$21)))</f>
        <v>0.0192307692307692</v>
      </c>
      <c r="BC868" s="50" t="n">
        <f aca="false">BB868*CB868</f>
        <v>2.98076923076923</v>
      </c>
      <c r="BD868" s="51" t="n">
        <f aca="false">IF(LEFT(Cockpit!$O$5,1)="A",H868,IF(CH868=1,(CK868+CI868)/2,IF(LEFT(Cockpit!$O$5,1)="B",(CK868+BF868)/2,MAX((CK868+BF868)/2,H868))))</f>
        <v>2.5</v>
      </c>
      <c r="BE868" s="50" t="n">
        <f aca="false">BD868*G868</f>
        <v>97.6</v>
      </c>
      <c r="BF868" s="50" t="n">
        <f aca="false">ROUNDUP(CK868+MAX(CL868,2*(J868/IF(CG868&gt;0,CG868,MAX(0.1,N(Cockpit!$O$6)))-CK868)),0)</f>
        <v>5</v>
      </c>
      <c r="BG868" s="51" t="n">
        <f aca="false">IF(BC868&gt;0,J868/BC868,-1)</f>
        <v>2.01290322580645</v>
      </c>
      <c r="BH868" s="51" t="n">
        <f aca="false">IF(AND(OR(CF868="L1",CF868="L23",CF868="LIFT"),BC868&gt;0),SUMIFS($BC$7:$BC$1843,$CF$7:$CF$1843,CF868,$BG$7:$BG$1843,"&gt;"&amp;BG868)+SUMIFS($BC$7:$BC$1843,$CF$7:$CF$1843,CF868,$BG$7:$BG$1843,BG868,$BW$7:$BW$1843,"&lt;="&amp;BW868),"")</f>
        <v>5866.58333333333</v>
      </c>
      <c r="BI868" s="58" t="n">
        <f aca="false">IF(BH868="",0,MAX(0,MIN(1,(IF(CF868="L1",Parameter!$H$5,IF(CF868="L23",Parameter!$H$6+Parameter!$H$7,Parameter!$H$5+Parameter!$H$6+Parameter!$H$7))-(BH868-BC868))/BC868)))</f>
        <v>1</v>
      </c>
      <c r="BJ868" s="48" t="str">
        <f aca="false">IF(AI868&lt;=0,"",IF(CF868="Aussen","Aussenlager",IF(CF868="-","Nicht im Lift",IF(AO868&gt;=1,"Lift",IF(AO868&lt;=0,"Aussenlager","teilweise")))))</f>
        <v>Lift</v>
      </c>
      <c r="BK868" s="48" t="str">
        <f aca="false">IF(AS868&lt;=0,"",IF(CF868="Aussen","Aussenlager",IF(CF868="-","Nicht im Lift",IF(AY868&gt;=1,"Lift",IF(AY868&lt;=0,"Aussenlager","teilweise")))))</f>
        <v>Lift</v>
      </c>
      <c r="BL868" s="48" t="str">
        <f aca="false">IF(BC868&lt;=0,"",IF(CF868="Aussen","Aussenlager",IF(CF868="-","Nicht im Lift",IF(BI868&gt;=1,"Lift",IF(BI868&lt;=0,"Aussenlager","teilweise")))))</f>
        <v>Lift</v>
      </c>
      <c r="BM868" s="48" t="str">
        <f aca="false">IF(A868="","",IF(BV868=1,"Neu; ","")&amp;IF(AND(BV868=0,BQ868&lt;0),"negativer Bestand (Export "&amp;BQ868&amp;"); ","")&amp;IF(J868&lt;=0,"Kein Verbrauch; ","")&amp;IF(CQ868&gt;0,"Lift "&amp;W868&amp;" lt. Liftbericht (Fach "&amp;X868&amp;" Stk); ",IF(CA868=1,"Gebinde geschätzt ("&amp;T868&amp;"); ",IF(BZ868=1,"Lose – Tablare geschätzt; ","")))&amp;IF(H868&gt;AV868,"Überbestand "&amp;ROUND(H868-AV868,0)&amp;" Stk / CHF "&amp;ROUND((H868-AV868)*G868,0)&amp;"; ","")&amp;IF(AND(CH868=1,CI868&lt;CJ868),"MAX &lt; MB+LG; ","")&amp;IF(AND(CP868&gt;0,CO868*10&gt;CP868),"zu hoch für Tablar; ","")&amp;IF(AND(BV868=0,OR(CH868=1,AA868&lt;&gt;"",U868&lt;&gt;"",V868&lt;&gt;"",AB868&lt;&gt;"")),"manuell übersteuert; ","")&amp;IF(AND(BZ868=0,R868=0),"Gebinde unbekannt / Stellmass fehlt; ","")&amp;IF(AND(BZ868=0,N(V868)&lt;=0,N(Q868)&lt;=0),"Menge pro Gebinde fehlt (Ist = 1 Gebinde); ","")&amp;BU868)</f>
        <v>negativer Bestand (Export -1); </v>
      </c>
      <c r="BN868" s="48"/>
      <c r="BO868" s="48"/>
      <c r="BP868" s="55"/>
      <c r="BQ868" s="50" t="n">
        <v>-1</v>
      </c>
      <c r="BR868" s="50" t="n">
        <v>3</v>
      </c>
      <c r="BS868" s="49" t="n">
        <v>-21.88</v>
      </c>
      <c r="BT868" s="50" t="n">
        <v>6</v>
      </c>
      <c r="BU868" s="48"/>
      <c r="BV868" s="53" t="n">
        <v>0</v>
      </c>
      <c r="BW868" s="53" t="n">
        <v>868</v>
      </c>
      <c r="BX868" s="48" t="str">
        <f aca="false">IF(U868&lt;&gt;"",UPPER(TRIM(U868)),IF(CA868=1,UPPER(VLOOKUP(T868,Parameter!$I$27:$K$29,2,0)),IF(P868="","LOSE",P868)))</f>
        <v>S33</v>
      </c>
      <c r="BY868" s="50" t="n">
        <f aca="false">IF(BX868="LOSE",1,IF(N(V868)&gt;0,V868,IF(CA868=1,MAX(1,N(VLOOKUP(T868,Parameter!$I$27:$K$29,3,0)),H868,N(N868)),IF(N(Q868)&gt;0,Q868,MAX(1,H868)))))</f>
        <v>10</v>
      </c>
      <c r="BZ868" s="53" t="n">
        <f aca="false">IF(BX868="LOSE",1,0)</f>
        <v>0</v>
      </c>
      <c r="CA868" s="53" t="n">
        <f aca="false">IF(AND(U868="",OR(P868="",P868="LOSE"),T868&lt;&gt;"",N(S868)&lt;=0,ISNUMBER(MATCH(T868,Parameter!$I$27:$I$29,0))),1,0)</f>
        <v>0</v>
      </c>
      <c r="CB868" s="53" t="n">
        <f aca="false">IF(CQ868&gt;0,INDEX(Parameter!$H$5:$H$7,W868)/INDEX(Parameter!$E$5:$E$7,W868),IF(AND(BZ868=0,N(IFERROR(VLOOKUP(BX868,'Gebinde-Kategorie'!$A$5:$N$45,14,0),0))&gt;0),VLOOKUP(BX868,'Gebinde-Kategorie'!$A$5:$N$45,14,0)*10+Parameter!$M$23,Parameter!$M$24))</f>
        <v>155</v>
      </c>
      <c r="CC868" s="48" t="str">
        <f aca="false">IF(AND(Parameter!$B$19="Ja",E868&lt;&gt;"",ISNUMBER(MATCH(E868,Parameter!$I$35:$I$52,0))),VLOOKUP(E868,Parameter!$I$35:$J$52,2,0),IFERROR(VLOOKUP(D868,Parameter!$A$35:$C$64,2,0),"Nein"))</f>
        <v>2+3</v>
      </c>
      <c r="CD868" s="52" t="n">
        <f aca="false">IF(BZ868=0,0,IF(N(S868)&gt;0,S868,IFERROR(VLOOKUP(D868,Parameter!$A$35:$C$64,3,0)+0,0)))</f>
        <v>0</v>
      </c>
      <c r="CE868" s="48" t="n">
        <f aca="false">IF(AA868&lt;&gt;"",AA868,Z868)</f>
        <v>3</v>
      </c>
      <c r="CF868" s="48" t="str">
        <f aca="false">IF(OR(CE868=1,CE868=2,CE868=3),IF(Parameter!$E$27="Ja","LIFT",IF(CE868=1,"L1","L23")),IF(CE868="Aussen","Aussen","-"))</f>
        <v>LIFT</v>
      </c>
      <c r="CG868" s="59" t="n">
        <f aca="false">IF(N(AB868)&gt;0,AB868,0)</f>
        <v>0</v>
      </c>
      <c r="CH868" s="53" t="n">
        <f aca="false">IF(ISNUMBER(AE868),1,0)</f>
        <v>0</v>
      </c>
      <c r="CI868" s="50" t="n">
        <f aca="false">N(AE868)</f>
        <v>0</v>
      </c>
      <c r="CJ868" s="50" t="n">
        <f aca="false">N(M868)+N(N868)</f>
        <v>5</v>
      </c>
      <c r="CK868" s="50" t="n">
        <f aca="false">N(M868)</f>
        <v>0</v>
      </c>
      <c r="CL868" s="50" t="n">
        <f aca="false">N(N868)</f>
        <v>5</v>
      </c>
      <c r="CM868" s="50" t="n">
        <f aca="false">ROUNDUP(H868/BY868,0)</f>
        <v>1</v>
      </c>
      <c r="CN868" s="50" t="n">
        <f aca="false">ROUNDUP(CI868/BY868,0)</f>
        <v>0</v>
      </c>
      <c r="CO868" s="53" t="n">
        <f aca="false">IF(BZ868=1,0,IFERROR(VLOOKUP(BX868,'Gebinde-Kategorie'!$A$5:$N$45,5,0)+0,0))</f>
        <v>8</v>
      </c>
      <c r="CP868" s="53" t="n">
        <f aca="false">IFERROR(IF(OR(CE868=1,CE868=2,CE868=3),N(INDEX(Parameter!$I$5:$I$7,CE868)),0),0)</f>
        <v>0</v>
      </c>
      <c r="CQ868" s="52" t="n">
        <f aca="false">IF(AND(Parameter!$B$21="Ja",ISNUMBER(W868),N(X868)&gt;0),IFERROR(N(INDEX(Parameter!$L$5:$L$7,W868))*INDEX(Parameter!$E$5:$E$7,W868)*X868/SUMIFS($X$7:$X$1843,$W$7:$W$1843,W868),0),0)</f>
        <v>0</v>
      </c>
    </row>
    <row r="869" customFormat="false" ht="15" hidden="false" customHeight="false" outlineLevel="0" collapsed="false">
      <c r="A869" s="48" t="s">
        <v>1660</v>
      </c>
      <c r="B869" s="48" t="s">
        <v>598</v>
      </c>
      <c r="C869" s="48" t="s">
        <v>173</v>
      </c>
      <c r="D869" s="48" t="s">
        <v>193</v>
      </c>
      <c r="E869" s="48"/>
      <c r="F869" s="48" t="s">
        <v>227</v>
      </c>
      <c r="G869" s="49" t="n">
        <v>2.2</v>
      </c>
      <c r="H869" s="50" t="n">
        <f aca="false">MAX(0,IF(AND(Parameter!$B$21="Ja",ISNUMBER(Y869)),Y869,IF(Parameter!$B$20="Jahresanfang 2025 + Export",BR869+BQ869,BQ869)))</f>
        <v>12</v>
      </c>
      <c r="I869" s="50" t="n">
        <f aca="false">H869*G869</f>
        <v>26.4</v>
      </c>
      <c r="J869" s="50" t="n">
        <f aca="false">BT869*Parameter!$B$18</f>
        <v>1</v>
      </c>
      <c r="K869" s="51" t="n">
        <v>21.5</v>
      </c>
      <c r="L869" s="52" t="n">
        <v>0.0465116279069767</v>
      </c>
      <c r="M869" s="50" t="n">
        <v>0</v>
      </c>
      <c r="N869" s="50" t="n">
        <v>1</v>
      </c>
      <c r="O869" s="53" t="n">
        <v>14</v>
      </c>
      <c r="P869" s="48" t="s">
        <v>410</v>
      </c>
      <c r="Q869" s="50" t="n">
        <v>22</v>
      </c>
      <c r="R869" s="53" t="n">
        <f aca="false">IF(BZ869=1,0,IFERROR(VLOOKUP(BX869,'Gebinde-Kategorie'!$A$5:$N$45,13,0)+0,0))</f>
        <v>280</v>
      </c>
      <c r="S869" s="54"/>
      <c r="T869" s="55"/>
      <c r="U869" s="55"/>
      <c r="V869" s="55"/>
      <c r="W869" s="48"/>
      <c r="X869" s="50"/>
      <c r="Y869" s="50"/>
      <c r="Z869" s="48" t="n">
        <f aca="false">IF(A869="","",IF(AND(Parameter!$B$21="Ja",ISNUMBER(W869)),W869,IF(CC869="2+3",IF(ISNUMBER(SEARCH("grosser Artikel",BU869)),2,IFERROR(VLOOKUP(BX869,Parameter!$F$35:$G$64,2,0),2)),IF(OR(CC869="Nein",CC869=""),"-",CC869))))</f>
        <v>3</v>
      </c>
      <c r="AA869" s="55"/>
      <c r="AB869" s="56"/>
      <c r="AC869" s="50" t="n">
        <f aca="false">AV869</f>
        <v>1</v>
      </c>
      <c r="AD869" s="50" t="n">
        <f aca="false">MAX(AV869,H869)</f>
        <v>12</v>
      </c>
      <c r="AE869" s="57"/>
      <c r="AF869" s="50" t="n">
        <f aca="false">IF(LEFT(Cockpit!$C$5,1)="A",H869,IF(Parameter!$E$30="MAX-Bestand",IF(CH869=1,CI869,IF(LEFT(Cockpit!$C$5,1)="B",AL869,MAX(AL869,H869))),ROUNDUP(AJ869,0)))</f>
        <v>12</v>
      </c>
      <c r="AG869" s="50" t="n">
        <f aca="false">IF(BZ869=1,0,ROUNDUP(AF869/BY869,0))</f>
        <v>1</v>
      </c>
      <c r="AH869" s="52" t="n">
        <f aca="false">IF(CQ869&gt;0,CQ869*MAX(1,AF869/X869),IF(BZ869=1,IF(AF869&lt;=0,0,CD869*MAX(1,IF(H869&gt;0,AF869/H869,1))),IF(R869&gt;0,AG869/R869,0))/MAX(0.1,N(Parameter!$M$21)))</f>
        <v>0.00357142857142857</v>
      </c>
      <c r="AI869" s="50" t="n">
        <f aca="false">AH869*CB869</f>
        <v>0.553571428571429</v>
      </c>
      <c r="AJ869" s="51" t="n">
        <f aca="false">IF(LEFT(Cockpit!$C$5,1)="A",H869,IF(CH869=1,(CK869+CI869)/2,IF(LEFT(Cockpit!$C$5,1)="B",(CK869+AL869)/2,MAX((CK869+AL869)/2,H869))))</f>
        <v>12</v>
      </c>
      <c r="AK869" s="50" t="n">
        <f aca="false">AJ869*G869</f>
        <v>26.4</v>
      </c>
      <c r="AL869" s="50" t="n">
        <f aca="false">ROUNDUP(CK869+MAX(CL869,2*(J869/IF(CG869&gt;0,CG869,MAX(0.1,N(Cockpit!$C$6)))-CK869)),0)</f>
        <v>1</v>
      </c>
      <c r="AM869" s="51" t="n">
        <f aca="false">IF(AI869&gt;0,J869/AI869,-1)</f>
        <v>1.80645161290323</v>
      </c>
      <c r="AN869" s="51" t="n">
        <f aca="false">IF(AND(OR(CF869="L1",CF869="L23",CF869="LIFT"),AI869&gt;0),SUMIFS($AI$7:$AI$1843,$CF$7:$CF$1843,CF869,$AM$7:$AM$1843,"&gt;"&amp;AM869)+SUMIFS($AI$7:$AI$1843,$CF$7:$CF$1843,CF869,$AM$7:$AM$1843,AM869,$BW$7:$BW$1843,"&lt;="&amp;BW869),"")</f>
        <v>5966.45100732601</v>
      </c>
      <c r="AO869" s="58" t="n">
        <f aca="false">IF(AN869="",0,MAX(0,MIN(1,(IF(CF869="L1",Parameter!$H$5,IF(CF869="L23",Parameter!$H$6+Parameter!$H$7,Parameter!$H$5+Parameter!$H$6+Parameter!$H$7))-(AN869-AI869))/AI869)))</f>
        <v>1</v>
      </c>
      <c r="AP869" s="50" t="n">
        <f aca="false">IF(LEFT(Cockpit!$I$5,1)="A",H869,IF(Parameter!$E$30="MAX-Bestand",IF(CH869=1,CI869,IF(LEFT(Cockpit!$I$5,1)="B",AV869,MAX(AV869,H869))),ROUNDUP(AT869,0)))</f>
        <v>12</v>
      </c>
      <c r="AQ869" s="50" t="n">
        <f aca="false">IF(BZ869=1,0,ROUNDUP(AP869/BY869,0))</f>
        <v>1</v>
      </c>
      <c r="AR869" s="52" t="n">
        <f aca="false">IF(CQ869&gt;0,CQ869*MAX(1,AP869/X869),IF(BZ869=1,IF(AP869&lt;=0,0,CD869*MAX(1,IF(H869&gt;0,AP869/H869,1))),IF(R869&gt;0,AQ869/R869,0))/MAX(0.1,N(Parameter!$M$21)))</f>
        <v>0.00357142857142857</v>
      </c>
      <c r="AS869" s="50" t="n">
        <f aca="false">AR869*CB869</f>
        <v>0.553571428571429</v>
      </c>
      <c r="AT869" s="51" t="n">
        <f aca="false">IF(LEFT(Cockpit!$I$5,1)="A",H869,IF(CH869=1,(CK869+CI869)/2,IF(LEFT(Cockpit!$I$5,1)="B",(CK869+AV869)/2,MAX((CK869+AV869)/2,H869))))</f>
        <v>12</v>
      </c>
      <c r="AU869" s="50" t="n">
        <f aca="false">AT869*G869</f>
        <v>26.4</v>
      </c>
      <c r="AV869" s="50" t="n">
        <f aca="false">ROUNDUP(CK869+MAX(CL869,2*(J869/IF(CG869&gt;0,CG869,MAX(0.1,N(Cockpit!$I$6)))-CK869)),0)</f>
        <v>1</v>
      </c>
      <c r="AW869" s="51" t="n">
        <f aca="false">IF(AS869&gt;0,J869/AS869,-1)</f>
        <v>1.80645161290323</v>
      </c>
      <c r="AX869" s="51" t="n">
        <f aca="false">IF(AND(OR(CF869="L1",CF869="L23",CF869="LIFT"),AS869&gt;0),SUMIFS($AS$7:$AS$1843,$CF$7:$CF$1843,CF869,$AW$7:$AW$1843,"&gt;"&amp;AW869)+SUMIFS($AS$7:$AS$1843,$CF$7:$CF$1843,CF869,$AW$7:$AW$1843,AW869,$BW$7:$BW$1843,"&lt;="&amp;BW869),"")</f>
        <v>7404.52747252747</v>
      </c>
      <c r="AY869" s="58" t="n">
        <f aca="false">IF(AX869="",0,MAX(0,MIN(1,(IF(CF869="L1",Parameter!$H$5,IF(CF869="L23",Parameter!$H$6+Parameter!$H$7,Parameter!$H$5+Parameter!$H$6+Parameter!$H$7))-(AX869-AS869))/AS869)))</f>
        <v>1</v>
      </c>
      <c r="AZ869" s="50" t="n">
        <f aca="false">IF(LEFT(Cockpit!$O$5,1)="A",H869,IF(Parameter!$E$30="MAX-Bestand",IF(CH869=1,CI869,IF(LEFT(Cockpit!$O$5,1)="B",BF869,MAX(BF869,H869))),ROUNDUP(BD869,0)))</f>
        <v>1</v>
      </c>
      <c r="BA869" s="50" t="n">
        <f aca="false">IF(BZ869=1,0,ROUNDUP(AZ869/BY869,0))</f>
        <v>1</v>
      </c>
      <c r="BB869" s="52" t="n">
        <f aca="false">IF(CQ869&gt;0,CQ869*MAX(1,AZ869/X869),IF(BZ869=1,IF(AZ869&lt;=0,0,CD869*MAX(1,IF(H869&gt;0,AZ869/H869,1))),IF(R869&gt;0,BA869/R869,0))/MAX(0.1,N(Parameter!$M$21)))</f>
        <v>0.00357142857142857</v>
      </c>
      <c r="BC869" s="50" t="n">
        <f aca="false">BB869*CB869</f>
        <v>0.553571428571429</v>
      </c>
      <c r="BD869" s="51" t="n">
        <f aca="false">IF(LEFT(Cockpit!$O$5,1)="A",H869,IF(CH869=1,(CK869+CI869)/2,IF(LEFT(Cockpit!$O$5,1)="B",(CK869+BF869)/2,MAX((CK869+BF869)/2,H869))))</f>
        <v>0.5</v>
      </c>
      <c r="BE869" s="50" t="n">
        <f aca="false">BD869*G869</f>
        <v>1.1</v>
      </c>
      <c r="BF869" s="50" t="n">
        <f aca="false">ROUNDUP(CK869+MAX(CL869,2*(J869/IF(CG869&gt;0,CG869,MAX(0.1,N(Cockpit!$O$6)))-CK869)),0)</f>
        <v>1</v>
      </c>
      <c r="BG869" s="51" t="n">
        <f aca="false">IF(BC869&gt;0,J869/BC869,-1)</f>
        <v>1.80645161290323</v>
      </c>
      <c r="BH869" s="51" t="n">
        <f aca="false">IF(AND(OR(CF869="L1",CF869="L23",CF869="LIFT"),BC869&gt;0),SUMIFS($BC$7:$BC$1843,$CF$7:$CF$1843,CF869,$BG$7:$BG$1843,"&gt;"&amp;BG869)+SUMIFS($BC$7:$BC$1843,$CF$7:$CF$1843,CF869,$BG$7:$BG$1843,BG869,$BW$7:$BW$1843,"&lt;="&amp;BW869),"")</f>
        <v>6092.44826007326</v>
      </c>
      <c r="BI869" s="58" t="n">
        <f aca="false">IF(BH869="",0,MAX(0,MIN(1,(IF(CF869="L1",Parameter!$H$5,IF(CF869="L23",Parameter!$H$6+Parameter!$H$7,Parameter!$H$5+Parameter!$H$6+Parameter!$H$7))-(BH869-BC869))/BC869)))</f>
        <v>1</v>
      </c>
      <c r="BJ869" s="48" t="str">
        <f aca="false">IF(AI869&lt;=0,"",IF(CF869="Aussen","Aussenlager",IF(CF869="-","Nicht im Lift",IF(AO869&gt;=1,"Lift",IF(AO869&lt;=0,"Aussenlager","teilweise")))))</f>
        <v>Lift</v>
      </c>
      <c r="BK869" s="48" t="str">
        <f aca="false">IF(AS869&lt;=0,"",IF(CF869="Aussen","Aussenlager",IF(CF869="-","Nicht im Lift",IF(AY869&gt;=1,"Lift",IF(AY869&lt;=0,"Aussenlager","teilweise")))))</f>
        <v>Lift</v>
      </c>
      <c r="BL869" s="48" t="str">
        <f aca="false">IF(BC869&lt;=0,"",IF(CF869="Aussen","Aussenlager",IF(CF869="-","Nicht im Lift",IF(BI869&gt;=1,"Lift",IF(BI869&lt;=0,"Aussenlager","teilweise")))))</f>
        <v>Lift</v>
      </c>
      <c r="BM869" s="48" t="str">
        <f aca="false">IF(A869="","",IF(BV869=1,"Neu; ","")&amp;IF(AND(BV869=0,BQ869&lt;0),"negativer Bestand (Export "&amp;BQ869&amp;"); ","")&amp;IF(J869&lt;=0,"Kein Verbrauch; ","")&amp;IF(CQ869&gt;0,"Lift "&amp;W869&amp;" lt. Liftbericht (Fach "&amp;X869&amp;" Stk); ",IF(CA869=1,"Gebinde geschätzt ("&amp;T869&amp;"); ",IF(BZ869=1,"Lose – Tablare geschätzt; ","")))&amp;IF(H869&gt;AV869,"Überbestand "&amp;ROUND(H869-AV869,0)&amp;" Stk / CHF "&amp;ROUND((H869-AV869)*G869,0)&amp;"; ","")&amp;IF(AND(CH869=1,CI869&lt;CJ869),"MAX &lt; MB+LG; ","")&amp;IF(AND(CP869&gt;0,CO869*10&gt;CP869),"zu hoch für Tablar; ","")&amp;IF(AND(BV869=0,OR(CH869=1,AA869&lt;&gt;"",U869&lt;&gt;"",V869&lt;&gt;"",AB869&lt;&gt;"")),"manuell übersteuert; ","")&amp;IF(AND(BZ869=0,R869=0),"Gebinde unbekannt / Stellmass fehlt; ","")&amp;IF(AND(BZ869=0,N(V869)&lt;=0,N(Q869)&lt;=0),"Menge pro Gebinde fehlt (Ist = 1 Gebinde); ","")&amp;BU869)</f>
        <v>negativer Bestand (Export -10); Überbestand 11 Stk / CHF 24; </v>
      </c>
      <c r="BN869" s="48"/>
      <c r="BO869" s="48"/>
      <c r="BP869" s="55"/>
      <c r="BQ869" s="50" t="n">
        <v>-10</v>
      </c>
      <c r="BR869" s="50" t="n">
        <v>22</v>
      </c>
      <c r="BS869" s="49" t="n">
        <v>-22</v>
      </c>
      <c r="BT869" s="50" t="n">
        <v>1</v>
      </c>
      <c r="BU869" s="48"/>
      <c r="BV869" s="53" t="n">
        <v>0</v>
      </c>
      <c r="BW869" s="53" t="n">
        <v>869</v>
      </c>
      <c r="BX869" s="48" t="str">
        <f aca="false">IF(U869&lt;&gt;"",UPPER(TRIM(U869)),IF(CA869=1,UPPER(VLOOKUP(T869,Parameter!$I$27:$K$29,2,0)),IF(P869="","LOSE",P869)))</f>
        <v>S21</v>
      </c>
      <c r="BY869" s="50" t="n">
        <f aca="false">IF(BX869="LOSE",1,IF(N(V869)&gt;0,V869,IF(CA869=1,MAX(1,N(VLOOKUP(T869,Parameter!$I$27:$K$29,3,0)),H869,N(N869)),IF(N(Q869)&gt;0,Q869,MAX(1,H869)))))</f>
        <v>22</v>
      </c>
      <c r="BZ869" s="53" t="n">
        <f aca="false">IF(BX869="LOSE",1,0)</f>
        <v>0</v>
      </c>
      <c r="CA869" s="53" t="n">
        <f aca="false">IF(AND(U869="",OR(P869="",P869="LOSE"),T869&lt;&gt;"",N(S869)&lt;=0,ISNUMBER(MATCH(T869,Parameter!$I$27:$I$29,0))),1,0)</f>
        <v>0</v>
      </c>
      <c r="CB869" s="53" t="n">
        <f aca="false">IF(CQ869&gt;0,INDEX(Parameter!$H$5:$H$7,W869)/INDEX(Parameter!$E$5:$E$7,W869),IF(AND(BZ869=0,N(IFERROR(VLOOKUP(BX869,'Gebinde-Kategorie'!$A$5:$N$45,14,0),0))&gt;0),VLOOKUP(BX869,'Gebinde-Kategorie'!$A$5:$N$45,14,0)*10+Parameter!$M$23,Parameter!$M$24))</f>
        <v>155</v>
      </c>
      <c r="CC869" s="48" t="str">
        <f aca="false">IF(AND(Parameter!$B$19="Ja",E869&lt;&gt;"",ISNUMBER(MATCH(E869,Parameter!$I$35:$I$52,0))),VLOOKUP(E869,Parameter!$I$35:$J$52,2,0),IFERROR(VLOOKUP(D869,Parameter!$A$35:$C$64,2,0),"Nein"))</f>
        <v>2+3</v>
      </c>
      <c r="CD869" s="52" t="n">
        <f aca="false">IF(BZ869=0,0,IF(N(S869)&gt;0,S869,IFERROR(VLOOKUP(D869,Parameter!$A$35:$C$64,3,0)+0,0)))</f>
        <v>0</v>
      </c>
      <c r="CE869" s="48" t="n">
        <f aca="false">IF(AA869&lt;&gt;"",AA869,Z869)</f>
        <v>3</v>
      </c>
      <c r="CF869" s="48" t="str">
        <f aca="false">IF(OR(CE869=1,CE869=2,CE869=3),IF(Parameter!$E$27="Ja","LIFT",IF(CE869=1,"L1","L23")),IF(CE869="Aussen","Aussen","-"))</f>
        <v>LIFT</v>
      </c>
      <c r="CG869" s="59" t="n">
        <f aca="false">IF(N(AB869)&gt;0,AB869,0)</f>
        <v>0</v>
      </c>
      <c r="CH869" s="53" t="n">
        <f aca="false">IF(ISNUMBER(AE869),1,0)</f>
        <v>0</v>
      </c>
      <c r="CI869" s="50" t="n">
        <f aca="false">N(AE869)</f>
        <v>0</v>
      </c>
      <c r="CJ869" s="50" t="n">
        <f aca="false">N(M869)+N(N869)</f>
        <v>1</v>
      </c>
      <c r="CK869" s="50" t="n">
        <f aca="false">N(M869)</f>
        <v>0</v>
      </c>
      <c r="CL869" s="50" t="n">
        <f aca="false">N(N869)</f>
        <v>1</v>
      </c>
      <c r="CM869" s="50" t="n">
        <f aca="false">ROUNDUP(H869/BY869,0)</f>
        <v>1</v>
      </c>
      <c r="CN869" s="50" t="n">
        <f aca="false">ROUNDUP(CI869/BY869,0)</f>
        <v>0</v>
      </c>
      <c r="CO869" s="53" t="n">
        <f aca="false">IF(BZ869=1,0,IFERROR(VLOOKUP(BX869,'Gebinde-Kategorie'!$A$5:$N$45,5,0)+0,0))</f>
        <v>8</v>
      </c>
      <c r="CP869" s="53" t="n">
        <f aca="false">IFERROR(IF(OR(CE869=1,CE869=2,CE869=3),N(INDEX(Parameter!$I$5:$I$7,CE869)),0),0)</f>
        <v>0</v>
      </c>
      <c r="CQ869" s="52" t="n">
        <f aca="false">IF(AND(Parameter!$B$21="Ja",ISNUMBER(W869),N(X869)&gt;0),IFERROR(N(INDEX(Parameter!$L$5:$L$7,W869))*INDEX(Parameter!$E$5:$E$7,W869)*X869/SUMIFS($X$7:$X$1843,$W$7:$W$1843,W869),0),0)</f>
        <v>0</v>
      </c>
    </row>
    <row r="870" customFormat="false" ht="15" hidden="false" customHeight="false" outlineLevel="0" collapsed="false">
      <c r="A870" s="48" t="s">
        <v>1661</v>
      </c>
      <c r="B870" s="48" t="s">
        <v>1043</v>
      </c>
      <c r="C870" s="48" t="s">
        <v>173</v>
      </c>
      <c r="D870" s="48" t="s">
        <v>193</v>
      </c>
      <c r="E870" s="48"/>
      <c r="F870" s="48" t="s">
        <v>227</v>
      </c>
      <c r="G870" s="49" t="n">
        <v>7.13</v>
      </c>
      <c r="H870" s="50" t="n">
        <f aca="false">MAX(0,IF(AND(Parameter!$B$21="Ja",ISNUMBER(Y870)),Y870,IF(Parameter!$B$20="Jahresanfang 2025 + Export",BR870+BQ870,BQ870)))</f>
        <v>1</v>
      </c>
      <c r="I870" s="50" t="n">
        <f aca="false">H870*G870</f>
        <v>7.13</v>
      </c>
      <c r="J870" s="50" t="n">
        <f aca="false">BT870*Parameter!$B$18</f>
        <v>3</v>
      </c>
      <c r="K870" s="51" t="n">
        <v>3</v>
      </c>
      <c r="L870" s="52" t="n">
        <v>1</v>
      </c>
      <c r="M870" s="50" t="n">
        <v>0</v>
      </c>
      <c r="N870" s="50" t="n">
        <v>5</v>
      </c>
      <c r="O870" s="53" t="n">
        <v>28</v>
      </c>
      <c r="P870" s="48" t="s">
        <v>177</v>
      </c>
      <c r="Q870" s="50"/>
      <c r="R870" s="53" t="n">
        <f aca="false">IF(BZ870=1,0,IFERROR(VLOOKUP(BX870,'Gebinde-Kategorie'!$A$5:$N$45,13,0)+0,0))</f>
        <v>26</v>
      </c>
      <c r="S870" s="54"/>
      <c r="T870" s="55" t="s">
        <v>284</v>
      </c>
      <c r="U870" s="55"/>
      <c r="V870" s="55"/>
      <c r="W870" s="48"/>
      <c r="X870" s="50"/>
      <c r="Y870" s="50"/>
      <c r="Z870" s="48" t="n">
        <f aca="false">IF(A870="","",IF(AND(Parameter!$B$21="Ja",ISNUMBER(W870)),W870,IF(CC870="2+3",IF(ISNUMBER(SEARCH("grosser Artikel",BU870)),2,IFERROR(VLOOKUP(BX870,Parameter!$F$35:$G$64,2,0),2)),IF(OR(CC870="Nein",CC870=""),"-",CC870))))</f>
        <v>3</v>
      </c>
      <c r="AA870" s="55"/>
      <c r="AB870" s="56"/>
      <c r="AC870" s="50" t="n">
        <f aca="false">AV870</f>
        <v>5</v>
      </c>
      <c r="AD870" s="50" t="n">
        <f aca="false">MAX(AV870,H870)</f>
        <v>5</v>
      </c>
      <c r="AE870" s="57"/>
      <c r="AF870" s="50" t="n">
        <f aca="false">IF(LEFT(Cockpit!$C$5,1)="A",H870,IF(Parameter!$E$30="MAX-Bestand",IF(CH870=1,CI870,IF(LEFT(Cockpit!$C$5,1)="B",AL870,MAX(AL870,H870))),ROUNDUP(AJ870,0)))</f>
        <v>1</v>
      </c>
      <c r="AG870" s="50" t="n">
        <f aca="false">IF(BZ870=1,0,ROUNDUP(AF870/BY870,0))</f>
        <v>1</v>
      </c>
      <c r="AH870" s="52" t="n">
        <f aca="false">IF(CQ870&gt;0,CQ870*MAX(1,AF870/X870),IF(BZ870=1,IF(AF870&lt;=0,0,CD870*MAX(1,IF(H870&gt;0,AF870/H870,1))),IF(R870&gt;0,AG870/R870,0))/MAX(0.1,N(Parameter!$M$21)))</f>
        <v>0.0384615384615385</v>
      </c>
      <c r="AI870" s="50" t="n">
        <f aca="false">AH870*CB870</f>
        <v>5.96153846153846</v>
      </c>
      <c r="AJ870" s="51" t="n">
        <f aca="false">IF(LEFT(Cockpit!$C$5,1)="A",H870,IF(CH870=1,(CK870+CI870)/2,IF(LEFT(Cockpit!$C$5,1)="B",(CK870+AL870)/2,MAX((CK870+AL870)/2,H870))))</f>
        <v>1</v>
      </c>
      <c r="AK870" s="50" t="n">
        <f aca="false">AJ870*G870</f>
        <v>7.13</v>
      </c>
      <c r="AL870" s="50" t="n">
        <f aca="false">ROUNDUP(CK870+MAX(CL870,2*(J870/IF(CG870&gt;0,CG870,MAX(0.1,N(Cockpit!$C$6)))-CK870)),0)</f>
        <v>5</v>
      </c>
      <c r="AM870" s="51" t="n">
        <f aca="false">IF(AI870&gt;0,J870/AI870,-1)</f>
        <v>0.503225806451613</v>
      </c>
      <c r="AN870" s="51" t="n">
        <f aca="false">IF(AND(OR(CF870="L1",CF870="L23",CF870="LIFT"),AI870&gt;0),SUMIFS($AI$7:$AI$1843,$CF$7:$CF$1843,CF870,$AM$7:$AM$1843,"&gt;"&amp;AM870)+SUMIFS($AI$7:$AI$1843,$CF$7:$CF$1843,CF870,$AM$7:$AM$1843,AM870,$BW$7:$BW$1843,"&lt;="&amp;BW870),"")</f>
        <v>9574.08742575692</v>
      </c>
      <c r="AO870" s="58" t="n">
        <f aca="false">IF(AN870="",0,MAX(0,MIN(1,(IF(CF870="L1",Parameter!$H$5,IF(CF870="L23",Parameter!$H$6+Parameter!$H$7,Parameter!$H$5+Parameter!$H$6+Parameter!$H$7))-(AN870-AI870))/AI870)))</f>
        <v>1</v>
      </c>
      <c r="AP870" s="50" t="n">
        <f aca="false">IF(LEFT(Cockpit!$I$5,1)="A",H870,IF(Parameter!$E$30="MAX-Bestand",IF(CH870=1,CI870,IF(LEFT(Cockpit!$I$5,1)="B",AV870,MAX(AV870,H870))),ROUNDUP(AT870,0)))</f>
        <v>3</v>
      </c>
      <c r="AQ870" s="50" t="n">
        <f aca="false">IF(BZ870=1,0,ROUNDUP(AP870/BY870,0))</f>
        <v>1</v>
      </c>
      <c r="AR870" s="52" t="n">
        <f aca="false">IF(CQ870&gt;0,CQ870*MAX(1,AP870/X870),IF(BZ870=1,IF(AP870&lt;=0,0,CD870*MAX(1,IF(H870&gt;0,AP870/H870,1))),IF(R870&gt;0,AQ870/R870,0))/MAX(0.1,N(Parameter!$M$21)))</f>
        <v>0.0384615384615385</v>
      </c>
      <c r="AS870" s="50" t="n">
        <f aca="false">AR870*CB870</f>
        <v>5.96153846153846</v>
      </c>
      <c r="AT870" s="51" t="n">
        <f aca="false">IF(LEFT(Cockpit!$I$5,1)="A",H870,IF(CH870=1,(CK870+CI870)/2,IF(LEFT(Cockpit!$I$5,1)="B",(CK870+AV870)/2,MAX((CK870+AV870)/2,H870))))</f>
        <v>2.5</v>
      </c>
      <c r="AU870" s="50" t="n">
        <f aca="false">AT870*G870</f>
        <v>17.825</v>
      </c>
      <c r="AV870" s="50" t="n">
        <f aca="false">ROUNDUP(CK870+MAX(CL870,2*(J870/IF(CG870&gt;0,CG870,MAX(0.1,N(Cockpit!$I$6)))-CK870)),0)</f>
        <v>5</v>
      </c>
      <c r="AW870" s="51" t="n">
        <f aca="false">IF(AS870&gt;0,J870/AS870,-1)</f>
        <v>0.503225806451613</v>
      </c>
      <c r="AX870" s="51" t="n">
        <f aca="false">IF(AND(OR(CF870="L1",CF870="L23",CF870="LIFT"),AS870&gt;0),SUMIFS($AS$7:$AS$1843,$CF$7:$CF$1843,CF870,$AW$7:$AW$1843,"&gt;"&amp;AW870)+SUMIFS($AS$7:$AS$1843,$CF$7:$CF$1843,CF870,$AW$7:$AW$1843,AW870,$BW$7:$BW$1843,"&lt;="&amp;BW870),"")</f>
        <v>11981.9624542125</v>
      </c>
      <c r="AY870" s="58" t="n">
        <f aca="false">IF(AX870="",0,MAX(0,MIN(1,(IF(CF870="L1",Parameter!$H$5,IF(CF870="L23",Parameter!$H$6+Parameter!$H$7,Parameter!$H$5+Parameter!$H$6+Parameter!$H$7))-(AX870-AS870))/AS870)))</f>
        <v>1</v>
      </c>
      <c r="AZ870" s="50" t="n">
        <f aca="false">IF(LEFT(Cockpit!$O$5,1)="A",H870,IF(Parameter!$E$30="MAX-Bestand",IF(CH870=1,CI870,IF(LEFT(Cockpit!$O$5,1)="B",BF870,MAX(BF870,H870))),ROUNDUP(BD870,0)))</f>
        <v>3</v>
      </c>
      <c r="BA870" s="50" t="n">
        <f aca="false">IF(BZ870=1,0,ROUNDUP(AZ870/BY870,0))</f>
        <v>1</v>
      </c>
      <c r="BB870" s="52" t="n">
        <f aca="false">IF(CQ870&gt;0,CQ870*MAX(1,AZ870/X870),IF(BZ870=1,IF(AZ870&lt;=0,0,CD870*MAX(1,IF(H870&gt;0,AZ870/H870,1))),IF(R870&gt;0,BA870/R870,0))/MAX(0.1,N(Parameter!$M$21)))</f>
        <v>0.0384615384615385</v>
      </c>
      <c r="BC870" s="50" t="n">
        <f aca="false">BB870*CB870</f>
        <v>5.96153846153846</v>
      </c>
      <c r="BD870" s="51" t="n">
        <f aca="false">IF(LEFT(Cockpit!$O$5,1)="A",H870,IF(CH870=1,(CK870+CI870)/2,IF(LEFT(Cockpit!$O$5,1)="B",(CK870+BF870)/2,MAX((CK870+BF870)/2,H870))))</f>
        <v>2.5</v>
      </c>
      <c r="BE870" s="50" t="n">
        <f aca="false">BD870*G870</f>
        <v>17.825</v>
      </c>
      <c r="BF870" s="50" t="n">
        <f aca="false">ROUNDUP(CK870+MAX(CL870,2*(J870/IF(CG870&gt;0,CG870,MAX(0.1,N(Cockpit!$O$6)))-CK870)),0)</f>
        <v>5</v>
      </c>
      <c r="BG870" s="51" t="n">
        <f aca="false">IF(BC870&gt;0,J870/BC870,-1)</f>
        <v>0.503225806451613</v>
      </c>
      <c r="BH870" s="51" t="n">
        <f aca="false">IF(AND(OR(CF870="L1",CF870="L23",CF870="LIFT"),BC870&gt;0),SUMIFS($BC$7:$BC$1843,$CF$7:$CF$1843,CF870,$BG$7:$BG$1843,"&gt;"&amp;BG870)+SUMIFS($BC$7:$BC$1843,$CF$7:$CF$1843,CF870,$BG$7:$BG$1843,BG870,$BW$7:$BW$1843,"&lt;="&amp;BW870),"")</f>
        <v>10345.3786630037</v>
      </c>
      <c r="BI870" s="58" t="n">
        <f aca="false">IF(BH870="",0,MAX(0,MIN(1,(IF(CF870="L1",Parameter!$H$5,IF(CF870="L23",Parameter!$H$6+Parameter!$H$7,Parameter!$H$5+Parameter!$H$6+Parameter!$H$7))-(BH870-BC870))/BC870)))</f>
        <v>1</v>
      </c>
      <c r="BJ870" s="48" t="str">
        <f aca="false">IF(AI870&lt;=0,"",IF(CF870="Aussen","Aussenlager",IF(CF870="-","Nicht im Lift",IF(AO870&gt;=1,"Lift",IF(AO870&lt;=0,"Aussenlager","teilweise")))))</f>
        <v>Lift</v>
      </c>
      <c r="BK870" s="48" t="str">
        <f aca="false">IF(AS870&lt;=0,"",IF(CF870="Aussen","Aussenlager",IF(CF870="-","Nicht im Lift",IF(AY870&gt;=1,"Lift",IF(AY870&lt;=0,"Aussenlager","teilweise")))))</f>
        <v>Lift</v>
      </c>
      <c r="BL870" s="48" t="str">
        <f aca="false">IF(BC870&lt;=0,"",IF(CF870="Aussen","Aussenlager",IF(CF870="-","Nicht im Lift",IF(BI870&gt;=1,"Lift",IF(BI870&lt;=0,"Aussenlager","teilweise")))))</f>
        <v>Lift</v>
      </c>
      <c r="BM870" s="48" t="str">
        <f aca="false">IF(A870="","",IF(BV870=1,"Neu; ","")&amp;IF(AND(BV870=0,BQ870&lt;0),"negativer Bestand (Export "&amp;BQ870&amp;"); ","")&amp;IF(J870&lt;=0,"Kein Verbrauch; ","")&amp;IF(CQ870&gt;0,"Lift "&amp;W870&amp;" lt. Liftbericht (Fach "&amp;X870&amp;" Stk); ",IF(CA870=1,"Gebinde geschätzt ("&amp;T870&amp;"); ",IF(BZ870=1,"Lose – Tablare geschätzt; ","")))&amp;IF(H870&gt;AV870,"Überbestand "&amp;ROUND(H870-AV870,0)&amp;" Stk / CHF "&amp;ROUND((H870-AV870)*G870,0)&amp;"; ","")&amp;IF(AND(CH870=1,CI870&lt;CJ870),"MAX &lt; MB+LG; ","")&amp;IF(AND(CP870&gt;0,CO870*10&gt;CP870),"zu hoch für Tablar; ","")&amp;IF(AND(BV870=0,OR(CH870=1,AA870&lt;&gt;"",U870&lt;&gt;"",V870&lt;&gt;"",AB870&lt;&gt;"")),"manuell übersteuert; ","")&amp;IF(AND(BZ870=0,R870=0),"Gebinde unbekannt / Stellmass fehlt; ","")&amp;IF(AND(BZ870=0,N(V870)&lt;=0,N(Q870)&lt;=0),"Menge pro Gebinde fehlt (Ist = 1 Gebinde); ","")&amp;BU870)</f>
        <v>negativer Bestand (Export -2); Gebinde geschätzt (Klein); Menge pro Gebinde fehlt (Ist = 1 Gebinde); </v>
      </c>
      <c r="BN870" s="48"/>
      <c r="BO870" s="48"/>
      <c r="BP870" s="55"/>
      <c r="BQ870" s="50" t="n">
        <v>-2</v>
      </c>
      <c r="BR870" s="50" t="n">
        <v>3</v>
      </c>
      <c r="BS870" s="49" t="n">
        <v>-22.45</v>
      </c>
      <c r="BT870" s="50" t="n">
        <v>3</v>
      </c>
      <c r="BU870" s="48"/>
      <c r="BV870" s="53" t="n">
        <v>0</v>
      </c>
      <c r="BW870" s="53" t="n">
        <v>870</v>
      </c>
      <c r="BX870" s="48" t="str">
        <f aca="false">IF(U870&lt;&gt;"",UPPER(TRIM(U870)),IF(CA870=1,UPPER(VLOOKUP(T870,Parameter!$I$27:$K$29,2,0)),IF(P870="","LOSE",P870)))</f>
        <v>S51</v>
      </c>
      <c r="BY870" s="50" t="n">
        <f aca="false">IF(BX870="LOSE",1,IF(N(V870)&gt;0,V870,IF(CA870=1,MAX(1,N(VLOOKUP(T870,Parameter!$I$27:$K$29,3,0)),H870,N(N870)),IF(N(Q870)&gt;0,Q870,MAX(1,H870)))))</f>
        <v>20</v>
      </c>
      <c r="BZ870" s="53" t="n">
        <f aca="false">IF(BX870="LOSE",1,0)</f>
        <v>0</v>
      </c>
      <c r="CA870" s="53" t="n">
        <f aca="false">IF(AND(U870="",OR(P870="",P870="LOSE"),T870&lt;&gt;"",N(S870)&lt;=0,ISNUMBER(MATCH(T870,Parameter!$I$27:$I$29,0))),1,0)</f>
        <v>1</v>
      </c>
      <c r="CB870" s="53" t="n">
        <f aca="false">IF(CQ870&gt;0,INDEX(Parameter!$H$5:$H$7,W870)/INDEX(Parameter!$E$5:$E$7,W870),IF(AND(BZ870=0,N(IFERROR(VLOOKUP(BX870,'Gebinde-Kategorie'!$A$5:$N$45,14,0),0))&gt;0),VLOOKUP(BX870,'Gebinde-Kategorie'!$A$5:$N$45,14,0)*10+Parameter!$M$23,Parameter!$M$24))</f>
        <v>155</v>
      </c>
      <c r="CC870" s="48" t="str">
        <f aca="false">IF(AND(Parameter!$B$19="Ja",E870&lt;&gt;"",ISNUMBER(MATCH(E870,Parameter!$I$35:$I$52,0))),VLOOKUP(E870,Parameter!$I$35:$J$52,2,0),IFERROR(VLOOKUP(D870,Parameter!$A$35:$C$64,2,0),"Nein"))</f>
        <v>2+3</v>
      </c>
      <c r="CD870" s="52" t="n">
        <f aca="false">IF(BZ870=0,0,IF(N(S870)&gt;0,S870,IFERROR(VLOOKUP(D870,Parameter!$A$35:$C$64,3,0)+0,0)))</f>
        <v>0</v>
      </c>
      <c r="CE870" s="48" t="n">
        <f aca="false">IF(AA870&lt;&gt;"",AA870,Z870)</f>
        <v>3</v>
      </c>
      <c r="CF870" s="48" t="str">
        <f aca="false">IF(OR(CE870=1,CE870=2,CE870=3),IF(Parameter!$E$27="Ja","LIFT",IF(CE870=1,"L1","L23")),IF(CE870="Aussen","Aussen","-"))</f>
        <v>LIFT</v>
      </c>
      <c r="CG870" s="59" t="n">
        <f aca="false">IF(N(AB870)&gt;0,AB870,0)</f>
        <v>0</v>
      </c>
      <c r="CH870" s="53" t="n">
        <f aca="false">IF(ISNUMBER(AE870),1,0)</f>
        <v>0</v>
      </c>
      <c r="CI870" s="50" t="n">
        <f aca="false">N(AE870)</f>
        <v>0</v>
      </c>
      <c r="CJ870" s="50" t="n">
        <f aca="false">N(M870)+N(N870)</f>
        <v>5</v>
      </c>
      <c r="CK870" s="50" t="n">
        <f aca="false">N(M870)</f>
        <v>0</v>
      </c>
      <c r="CL870" s="50" t="n">
        <f aca="false">N(N870)</f>
        <v>5</v>
      </c>
      <c r="CM870" s="50" t="n">
        <f aca="false">ROUNDUP(H870/BY870,0)</f>
        <v>1</v>
      </c>
      <c r="CN870" s="50" t="n">
        <f aca="false">ROUNDUP(CI870/BY870,0)</f>
        <v>0</v>
      </c>
      <c r="CO870" s="53" t="n">
        <f aca="false">IF(BZ870=1,0,IFERROR(VLOOKUP(BX870,'Gebinde-Kategorie'!$A$5:$N$45,5,0)+0,0))</f>
        <v>11</v>
      </c>
      <c r="CP870" s="53" t="n">
        <f aca="false">IFERROR(IF(OR(CE870=1,CE870=2,CE870=3),N(INDEX(Parameter!$I$5:$I$7,CE870)),0),0)</f>
        <v>0</v>
      </c>
      <c r="CQ870" s="52" t="n">
        <f aca="false">IF(AND(Parameter!$B$21="Ja",ISNUMBER(W870),N(X870)&gt;0),IFERROR(N(INDEX(Parameter!$L$5:$L$7,W870))*INDEX(Parameter!$E$5:$E$7,W870)*X870/SUMIFS($X$7:$X$1843,$W$7:$W$1843,W870),0),0)</f>
        <v>0</v>
      </c>
    </row>
    <row r="871" customFormat="false" ht="15" hidden="false" customHeight="false" outlineLevel="0" collapsed="false">
      <c r="A871" s="48" t="s">
        <v>1662</v>
      </c>
      <c r="B871" s="48" t="s">
        <v>1663</v>
      </c>
      <c r="C871" s="48" t="s">
        <v>173</v>
      </c>
      <c r="D871" s="48" t="s">
        <v>193</v>
      </c>
      <c r="E871" s="48" t="s">
        <v>194</v>
      </c>
      <c r="F871" s="48" t="s">
        <v>227</v>
      </c>
      <c r="G871" s="49" t="n">
        <v>5.66</v>
      </c>
      <c r="H871" s="50" t="n">
        <f aca="false">MAX(0,IF(AND(Parameter!$B$21="Ja",ISNUMBER(Y871)),Y871,IF(Parameter!$B$20="Jahresanfang 2025 + Export",BR871+BQ871,BQ871)))</f>
        <v>0</v>
      </c>
      <c r="I871" s="50" t="n">
        <f aca="false">H871*G871</f>
        <v>0</v>
      </c>
      <c r="J871" s="50" t="n">
        <f aca="false">BT871*Parameter!$B$18</f>
        <v>2</v>
      </c>
      <c r="K871" s="51" t="n">
        <v>3</v>
      </c>
      <c r="L871" s="52" t="n">
        <v>0.666666666666667</v>
      </c>
      <c r="M871" s="50" t="n">
        <v>0</v>
      </c>
      <c r="N871" s="50" t="n">
        <v>1</v>
      </c>
      <c r="O871" s="53" t="n">
        <v>28</v>
      </c>
      <c r="P871" s="48" t="s">
        <v>435</v>
      </c>
      <c r="Q871" s="50" t="n">
        <v>5</v>
      </c>
      <c r="R871" s="53" t="n">
        <f aca="false">IF(BZ871=1,0,IFERROR(VLOOKUP(BX871,'Gebinde-Kategorie'!$A$5:$N$45,13,0)+0,0))</f>
        <v>140</v>
      </c>
      <c r="S871" s="54"/>
      <c r="T871" s="55"/>
      <c r="U871" s="55"/>
      <c r="V871" s="55"/>
      <c r="W871" s="48"/>
      <c r="X871" s="50"/>
      <c r="Y871" s="50"/>
      <c r="Z871" s="48" t="n">
        <f aca="false">IF(A871="","",IF(AND(Parameter!$B$21="Ja",ISNUMBER(W871)),W871,IF(CC871="2+3",IF(ISNUMBER(SEARCH("grosser Artikel",BU871)),2,IFERROR(VLOOKUP(BX871,Parameter!$F$35:$G$64,2,0),2)),IF(OR(CC871="Nein",CC871=""),"-",CC871))))</f>
        <v>3</v>
      </c>
      <c r="AA871" s="55"/>
      <c r="AB871" s="56"/>
      <c r="AC871" s="50" t="n">
        <f aca="false">AV871</f>
        <v>2</v>
      </c>
      <c r="AD871" s="50" t="n">
        <f aca="false">MAX(AV871,H871)</f>
        <v>2</v>
      </c>
      <c r="AE871" s="57"/>
      <c r="AF871" s="50" t="n">
        <f aca="false">IF(LEFT(Cockpit!$C$5,1)="A",H871,IF(Parameter!$E$30="MAX-Bestand",IF(CH871=1,CI871,IF(LEFT(Cockpit!$C$5,1)="B",AL871,MAX(AL871,H871))),ROUNDUP(AJ871,0)))</f>
        <v>0</v>
      </c>
      <c r="AG871" s="50" t="n">
        <f aca="false">IF(BZ871=1,0,ROUNDUP(AF871/BY871,0))</f>
        <v>0</v>
      </c>
      <c r="AH871" s="52" t="n">
        <f aca="false">IF(CQ871&gt;0,CQ871*MAX(1,AF871/X871),IF(BZ871=1,IF(AF871&lt;=0,0,CD871*MAX(1,IF(H871&gt;0,AF871/H871,1))),IF(R871&gt;0,AG871/R871,0))/MAX(0.1,N(Parameter!$M$21)))</f>
        <v>0</v>
      </c>
      <c r="AI871" s="50" t="n">
        <f aca="false">AH871*CB871</f>
        <v>0</v>
      </c>
      <c r="AJ871" s="51" t="n">
        <f aca="false">IF(LEFT(Cockpit!$C$5,1)="A",H871,IF(CH871=1,(CK871+CI871)/2,IF(LEFT(Cockpit!$C$5,1)="B",(CK871+AL871)/2,MAX((CK871+AL871)/2,H871))))</f>
        <v>0</v>
      </c>
      <c r="AK871" s="50" t="n">
        <f aca="false">AJ871*G871</f>
        <v>0</v>
      </c>
      <c r="AL871" s="50" t="n">
        <f aca="false">ROUNDUP(CK871+MAX(CL871,2*(J871/IF(CG871&gt;0,CG871,MAX(0.1,N(Cockpit!$C$6)))-CK871)),0)</f>
        <v>2</v>
      </c>
      <c r="AM871" s="51" t="n">
        <f aca="false">IF(AI871&gt;0,J871/AI871,-1)</f>
        <v>-1</v>
      </c>
      <c r="AN871" s="51" t="str">
        <f aca="false">IF(AND(OR(CF871="L1",CF871="L23",CF871="LIFT"),AI871&gt;0),SUMIFS($AI$7:$AI$1843,$CF$7:$CF$1843,CF871,$AM$7:$AM$1843,"&gt;"&amp;AM871)+SUMIFS($AI$7:$AI$1843,$CF$7:$CF$1843,CF871,$AM$7:$AM$1843,AM871,$BW$7:$BW$1843,"&lt;="&amp;BW871),"")</f>
        <v/>
      </c>
      <c r="AO871" s="58" t="n">
        <f aca="false">IF(AN871="",0,MAX(0,MIN(1,(IF(CF871="L1",Parameter!$H$5,IF(CF871="L23",Parameter!$H$6+Parameter!$H$7,Parameter!$H$5+Parameter!$H$6+Parameter!$H$7))-(AN871-AI871))/AI871)))</f>
        <v>0</v>
      </c>
      <c r="AP871" s="50" t="n">
        <f aca="false">IF(LEFT(Cockpit!$I$5,1)="A",H871,IF(Parameter!$E$30="MAX-Bestand",IF(CH871=1,CI871,IF(LEFT(Cockpit!$I$5,1)="B",AV871,MAX(AV871,H871))),ROUNDUP(AT871,0)))</f>
        <v>1</v>
      </c>
      <c r="AQ871" s="50" t="n">
        <f aca="false">IF(BZ871=1,0,ROUNDUP(AP871/BY871,0))</f>
        <v>1</v>
      </c>
      <c r="AR871" s="52" t="n">
        <f aca="false">IF(CQ871&gt;0,CQ871*MAX(1,AP871/X871),IF(BZ871=1,IF(AP871&lt;=0,0,CD871*MAX(1,IF(H871&gt;0,AP871/H871,1))),IF(R871&gt;0,AQ871/R871,0))/MAX(0.1,N(Parameter!$M$21)))</f>
        <v>0.00714285714285714</v>
      </c>
      <c r="AS871" s="50" t="n">
        <f aca="false">AR871*CB871</f>
        <v>1.10714285714286</v>
      </c>
      <c r="AT871" s="51" t="n">
        <f aca="false">IF(LEFT(Cockpit!$I$5,1)="A",H871,IF(CH871=1,(CK871+CI871)/2,IF(LEFT(Cockpit!$I$5,1)="B",(CK871+AV871)/2,MAX((CK871+AV871)/2,H871))))</f>
        <v>1</v>
      </c>
      <c r="AU871" s="50" t="n">
        <f aca="false">AT871*G871</f>
        <v>5.66</v>
      </c>
      <c r="AV871" s="50" t="n">
        <f aca="false">ROUNDUP(CK871+MAX(CL871,2*(J871/IF(CG871&gt;0,CG871,MAX(0.1,N(Cockpit!$I$6)))-CK871)),0)</f>
        <v>2</v>
      </c>
      <c r="AW871" s="51" t="n">
        <f aca="false">IF(AS871&gt;0,J871/AS871,-1)</f>
        <v>1.80645161290323</v>
      </c>
      <c r="AX871" s="51" t="n">
        <f aca="false">IF(AND(OR(CF871="L1",CF871="L23",CF871="LIFT"),AS871&gt;0),SUMIFS($AS$7:$AS$1843,$CF$7:$CF$1843,CF871,$AW$7:$AW$1843,"&gt;"&amp;AW871)+SUMIFS($AS$7:$AS$1843,$CF$7:$CF$1843,CF871,$AW$7:$AW$1843,AW871,$BW$7:$BW$1843,"&lt;="&amp;BW871),"")</f>
        <v>7405.63461538462</v>
      </c>
      <c r="AY871" s="58" t="n">
        <f aca="false">IF(AX871="",0,MAX(0,MIN(1,(IF(CF871="L1",Parameter!$H$5,IF(CF871="L23",Parameter!$H$6+Parameter!$H$7,Parameter!$H$5+Parameter!$H$6+Parameter!$H$7))-(AX871-AS871))/AS871)))</f>
        <v>1</v>
      </c>
      <c r="AZ871" s="50" t="n">
        <f aca="false">IF(LEFT(Cockpit!$O$5,1)="A",H871,IF(Parameter!$E$30="MAX-Bestand",IF(CH871=1,CI871,IF(LEFT(Cockpit!$O$5,1)="B",BF871,MAX(BF871,H871))),ROUNDUP(BD871,0)))</f>
        <v>1</v>
      </c>
      <c r="BA871" s="50" t="n">
        <f aca="false">IF(BZ871=1,0,ROUNDUP(AZ871/BY871,0))</f>
        <v>1</v>
      </c>
      <c r="BB871" s="52" t="n">
        <f aca="false">IF(CQ871&gt;0,CQ871*MAX(1,AZ871/X871),IF(BZ871=1,IF(AZ871&lt;=0,0,CD871*MAX(1,IF(H871&gt;0,AZ871/H871,1))),IF(R871&gt;0,BA871/R871,0))/MAX(0.1,N(Parameter!$M$21)))</f>
        <v>0.00714285714285714</v>
      </c>
      <c r="BC871" s="50" t="n">
        <f aca="false">BB871*CB871</f>
        <v>1.10714285714286</v>
      </c>
      <c r="BD871" s="51" t="n">
        <f aca="false">IF(LEFT(Cockpit!$O$5,1)="A",H871,IF(CH871=1,(CK871+CI871)/2,IF(LEFT(Cockpit!$O$5,1)="B",(CK871+BF871)/2,MAX((CK871+BF871)/2,H871))))</f>
        <v>0.5</v>
      </c>
      <c r="BE871" s="50" t="n">
        <f aca="false">BD871*G871</f>
        <v>2.83</v>
      </c>
      <c r="BF871" s="50" t="n">
        <f aca="false">ROUNDUP(CK871+MAX(CL871,2*(J871/IF(CG871&gt;0,CG871,MAX(0.1,N(Cockpit!$O$6)))-CK871)),0)</f>
        <v>1</v>
      </c>
      <c r="BG871" s="51" t="n">
        <f aca="false">IF(BC871&gt;0,J871/BC871,-1)</f>
        <v>1.80645161290323</v>
      </c>
      <c r="BH871" s="51" t="n">
        <f aca="false">IF(AND(OR(CF871="L1",CF871="L23",CF871="LIFT"),BC871&gt;0),SUMIFS($BC$7:$BC$1843,$CF$7:$CF$1843,CF871,$BG$7:$BG$1843,"&gt;"&amp;BG871)+SUMIFS($BC$7:$BC$1843,$CF$7:$CF$1843,CF871,$BG$7:$BG$1843,BG871,$BW$7:$BW$1843,"&lt;="&amp;BW871),"")</f>
        <v>6093.5554029304</v>
      </c>
      <c r="BI871" s="58" t="n">
        <f aca="false">IF(BH871="",0,MAX(0,MIN(1,(IF(CF871="L1",Parameter!$H$5,IF(CF871="L23",Parameter!$H$6+Parameter!$H$7,Parameter!$H$5+Parameter!$H$6+Parameter!$H$7))-(BH871-BC871))/BC871)))</f>
        <v>1</v>
      </c>
      <c r="BJ871" s="48" t="str">
        <f aca="false">IF(AI871&lt;=0,"",IF(CF871="Aussen","Aussenlager",IF(CF871="-","Nicht im Lift",IF(AO871&gt;=1,"Lift",IF(AO871&lt;=0,"Aussenlager","teilweise")))))</f>
        <v/>
      </c>
      <c r="BK871" s="48" t="str">
        <f aca="false">IF(AS871&lt;=0,"",IF(CF871="Aussen","Aussenlager",IF(CF871="-","Nicht im Lift",IF(AY871&gt;=1,"Lift",IF(AY871&lt;=0,"Aussenlager","teilweise")))))</f>
        <v>Lift</v>
      </c>
      <c r="BL871" s="48" t="str">
        <f aca="false">IF(BC871&lt;=0,"",IF(CF871="Aussen","Aussenlager",IF(CF871="-","Nicht im Lift",IF(BI871&gt;=1,"Lift",IF(BI871&lt;=0,"Aussenlager","teilweise")))))</f>
        <v>Lift</v>
      </c>
      <c r="BM871" s="48" t="str">
        <f aca="false">IF(A871="","",IF(BV871=1,"Neu; ","")&amp;IF(AND(BV871=0,BQ871&lt;0),"negativer Bestand (Export "&amp;BQ871&amp;"); ","")&amp;IF(J871&lt;=0,"Kein Verbrauch; ","")&amp;IF(CQ871&gt;0,"Lift "&amp;W871&amp;" lt. Liftbericht (Fach "&amp;X871&amp;" Stk); ",IF(CA871=1,"Gebinde geschätzt ("&amp;T871&amp;"); ",IF(BZ871=1,"Lose – Tablare geschätzt; ","")))&amp;IF(H871&gt;AV871,"Überbestand "&amp;ROUND(H871-AV871,0)&amp;" Stk / CHF "&amp;ROUND((H871-AV871)*G871,0)&amp;"; ","")&amp;IF(AND(CH871=1,CI871&lt;CJ871),"MAX &lt; MB+LG; ","")&amp;IF(AND(CP871&gt;0,CO871*10&gt;CP871),"zu hoch für Tablar; ","")&amp;IF(AND(BV871=0,OR(CH871=1,AA871&lt;&gt;"",U871&lt;&gt;"",V871&lt;&gt;"",AB871&lt;&gt;"")),"manuell übersteuert; ","")&amp;IF(AND(BZ871=0,R871=0),"Gebinde unbekannt / Stellmass fehlt; ","")&amp;IF(AND(BZ871=0,N(V871)&lt;=0,N(Q871)&lt;=0),"Menge pro Gebinde fehlt (Ist = 1 Gebinde); ","")&amp;BU871)</f>
        <v>negativer Bestand (Export -4); </v>
      </c>
      <c r="BN871" s="48"/>
      <c r="BO871" s="48"/>
      <c r="BP871" s="55"/>
      <c r="BQ871" s="50" t="n">
        <v>-4</v>
      </c>
      <c r="BR871" s="50" t="n">
        <v>4</v>
      </c>
      <c r="BS871" s="49" t="n">
        <v>-23.48</v>
      </c>
      <c r="BT871" s="50" t="n">
        <v>2</v>
      </c>
      <c r="BU871" s="48"/>
      <c r="BV871" s="53" t="n">
        <v>0</v>
      </c>
      <c r="BW871" s="53" t="n">
        <v>871</v>
      </c>
      <c r="BX871" s="48" t="str">
        <f aca="false">IF(U871&lt;&gt;"",UPPER(TRIM(U871)),IF(CA871=1,UPPER(VLOOKUP(T871,Parameter!$I$27:$K$29,2,0)),IF(P871="","LOSE",P871)))</f>
        <v>S22</v>
      </c>
      <c r="BY871" s="50" t="n">
        <f aca="false">IF(BX871="LOSE",1,IF(N(V871)&gt;0,V871,IF(CA871=1,MAX(1,N(VLOOKUP(T871,Parameter!$I$27:$K$29,3,0)),H871,N(N871)),IF(N(Q871)&gt;0,Q871,MAX(1,H871)))))</f>
        <v>5</v>
      </c>
      <c r="BZ871" s="53" t="n">
        <f aca="false">IF(BX871="LOSE",1,0)</f>
        <v>0</v>
      </c>
      <c r="CA871" s="53" t="n">
        <f aca="false">IF(AND(U871="",OR(P871="",P871="LOSE"),T871&lt;&gt;"",N(S871)&lt;=0,ISNUMBER(MATCH(T871,Parameter!$I$27:$I$29,0))),1,0)</f>
        <v>0</v>
      </c>
      <c r="CB871" s="53" t="n">
        <f aca="false">IF(CQ871&gt;0,INDEX(Parameter!$H$5:$H$7,W871)/INDEX(Parameter!$E$5:$E$7,W871),IF(AND(BZ871=0,N(IFERROR(VLOOKUP(BX871,'Gebinde-Kategorie'!$A$5:$N$45,14,0),0))&gt;0),VLOOKUP(BX871,'Gebinde-Kategorie'!$A$5:$N$45,14,0)*10+Parameter!$M$23,Parameter!$M$24))</f>
        <v>155</v>
      </c>
      <c r="CC871" s="48" t="str">
        <f aca="false">IF(AND(Parameter!$B$19="Ja",E871&lt;&gt;"",ISNUMBER(MATCH(E871,Parameter!$I$35:$I$52,0))),VLOOKUP(E871,Parameter!$I$35:$J$52,2,0),IFERROR(VLOOKUP(D871,Parameter!$A$35:$C$64,2,0),"Nein"))</f>
        <v>2+3</v>
      </c>
      <c r="CD871" s="52" t="n">
        <f aca="false">IF(BZ871=0,0,IF(N(S871)&gt;0,S871,IFERROR(VLOOKUP(D871,Parameter!$A$35:$C$64,3,0)+0,0)))</f>
        <v>0</v>
      </c>
      <c r="CE871" s="48" t="n">
        <f aca="false">IF(AA871&lt;&gt;"",AA871,Z871)</f>
        <v>3</v>
      </c>
      <c r="CF871" s="48" t="str">
        <f aca="false">IF(OR(CE871=1,CE871=2,CE871=3),IF(Parameter!$E$27="Ja","LIFT",IF(CE871=1,"L1","L23")),IF(CE871="Aussen","Aussen","-"))</f>
        <v>LIFT</v>
      </c>
      <c r="CG871" s="59" t="n">
        <f aca="false">IF(N(AB871)&gt;0,AB871,0)</f>
        <v>0</v>
      </c>
      <c r="CH871" s="53" t="n">
        <f aca="false">IF(ISNUMBER(AE871),1,0)</f>
        <v>0</v>
      </c>
      <c r="CI871" s="50" t="n">
        <f aca="false">N(AE871)</f>
        <v>0</v>
      </c>
      <c r="CJ871" s="50" t="n">
        <f aca="false">N(M871)+N(N871)</f>
        <v>1</v>
      </c>
      <c r="CK871" s="50" t="n">
        <f aca="false">N(M871)</f>
        <v>0</v>
      </c>
      <c r="CL871" s="50" t="n">
        <f aca="false">N(N871)</f>
        <v>1</v>
      </c>
      <c r="CM871" s="50" t="n">
        <f aca="false">ROUNDUP(H871/BY871,0)</f>
        <v>0</v>
      </c>
      <c r="CN871" s="50" t="n">
        <f aca="false">ROUNDUP(CI871/BY871,0)</f>
        <v>0</v>
      </c>
      <c r="CO871" s="53" t="n">
        <f aca="false">IF(BZ871=1,0,IFERROR(VLOOKUP(BX871,'Gebinde-Kategorie'!$A$5:$N$45,5,0)+0,0))</f>
        <v>8</v>
      </c>
      <c r="CP871" s="53" t="n">
        <f aca="false">IFERROR(IF(OR(CE871=1,CE871=2,CE871=3),N(INDEX(Parameter!$I$5:$I$7,CE871)),0),0)</f>
        <v>0</v>
      </c>
      <c r="CQ871" s="52" t="n">
        <f aca="false">IF(AND(Parameter!$B$21="Ja",ISNUMBER(W871),N(X871)&gt;0),IFERROR(N(INDEX(Parameter!$L$5:$L$7,W871))*INDEX(Parameter!$E$5:$E$7,W871)*X871/SUMIFS($X$7:$X$1843,$W$7:$W$1843,W871),0),0)</f>
        <v>0</v>
      </c>
    </row>
    <row r="872" customFormat="false" ht="15" hidden="false" customHeight="false" outlineLevel="0" collapsed="false">
      <c r="A872" s="48" t="s">
        <v>1664</v>
      </c>
      <c r="B872" s="48" t="s">
        <v>697</v>
      </c>
      <c r="C872" s="48" t="s">
        <v>173</v>
      </c>
      <c r="D872" s="48" t="s">
        <v>193</v>
      </c>
      <c r="E872" s="48" t="s">
        <v>194</v>
      </c>
      <c r="F872" s="48" t="s">
        <v>227</v>
      </c>
      <c r="G872" s="49" t="n">
        <v>36.4</v>
      </c>
      <c r="H872" s="50" t="n">
        <f aca="false">MAX(0,IF(AND(Parameter!$B$21="Ja",ISNUMBER(Y872)),Y872,IF(Parameter!$B$20="Jahresanfang 2025 + Export",BR872+BQ872,BQ872)))</f>
        <v>40</v>
      </c>
      <c r="I872" s="50" t="n">
        <f aca="false">H872*G872</f>
        <v>1456</v>
      </c>
      <c r="J872" s="50" t="n">
        <f aca="false">BT872*Parameter!$B$18</f>
        <v>72</v>
      </c>
      <c r="K872" s="51" t="n">
        <v>20.5</v>
      </c>
      <c r="L872" s="52" t="n">
        <v>3.51219512195122</v>
      </c>
      <c r="M872" s="50" t="n">
        <v>10</v>
      </c>
      <c r="N872" s="50" t="n">
        <v>70</v>
      </c>
      <c r="O872" s="53" t="n">
        <v>50</v>
      </c>
      <c r="P872" s="48" t="s">
        <v>302</v>
      </c>
      <c r="Q872" s="50" t="n">
        <v>45</v>
      </c>
      <c r="R872" s="53" t="n">
        <f aca="false">IF(BZ872=1,0,IFERROR(VLOOKUP(BX872,'Gebinde-Kategorie'!$A$5:$N$45,13,0)+0,0))</f>
        <v>12</v>
      </c>
      <c r="S872" s="54"/>
      <c r="T872" s="55"/>
      <c r="U872" s="55"/>
      <c r="V872" s="55"/>
      <c r="W872" s="48"/>
      <c r="X872" s="50"/>
      <c r="Y872" s="50"/>
      <c r="Z872" s="48" t="n">
        <f aca="false">IF(A872="","",IF(AND(Parameter!$B$21="Ja",ISNUMBER(W872)),W872,IF(CC872="2+3",IF(ISNUMBER(SEARCH("grosser Artikel",BU872)),2,IFERROR(VLOOKUP(BX872,Parameter!$F$35:$G$64,2,0),2)),IF(OR(CC872="Nein",CC872=""),"-",CC872))))</f>
        <v>2</v>
      </c>
      <c r="AA872" s="55"/>
      <c r="AB872" s="56"/>
      <c r="AC872" s="50" t="n">
        <f aca="false">AV872</f>
        <v>80</v>
      </c>
      <c r="AD872" s="50" t="n">
        <f aca="false">MAX(AV872,H872)</f>
        <v>80</v>
      </c>
      <c r="AE872" s="57"/>
      <c r="AF872" s="50" t="n">
        <f aca="false">IF(LEFT(Cockpit!$C$5,1)="A",H872,IF(Parameter!$E$30="MAX-Bestand",IF(CH872=1,CI872,IF(LEFT(Cockpit!$C$5,1)="B",AL872,MAX(AL872,H872))),ROUNDUP(AJ872,0)))</f>
        <v>40</v>
      </c>
      <c r="AG872" s="50" t="n">
        <f aca="false">IF(BZ872=1,0,ROUNDUP(AF872/BY872,0))</f>
        <v>1</v>
      </c>
      <c r="AH872" s="52" t="n">
        <f aca="false">IF(CQ872&gt;0,CQ872*MAX(1,AF872/X872),IF(BZ872=1,IF(AF872&lt;=0,0,CD872*MAX(1,IF(H872&gt;0,AF872/H872,1))),IF(R872&gt;0,AG872/R872,0))/MAX(0.1,N(Parameter!$M$21)))</f>
        <v>0.0833333333333333</v>
      </c>
      <c r="AI872" s="50" t="n">
        <f aca="false">AH872*CB872</f>
        <v>20.4166666666667</v>
      </c>
      <c r="AJ872" s="51" t="n">
        <f aca="false">IF(LEFT(Cockpit!$C$5,1)="A",H872,IF(CH872=1,(CK872+CI872)/2,IF(LEFT(Cockpit!$C$5,1)="B",(CK872+AL872)/2,MAX((CK872+AL872)/2,H872))))</f>
        <v>40</v>
      </c>
      <c r="AK872" s="50" t="n">
        <f aca="false">AJ872*G872</f>
        <v>1456</v>
      </c>
      <c r="AL872" s="50" t="n">
        <f aca="false">ROUNDUP(CK872+MAX(CL872,2*(J872/IF(CG872&gt;0,CG872,MAX(0.1,N(Cockpit!$C$6)))-CK872)),0)</f>
        <v>80</v>
      </c>
      <c r="AM872" s="51" t="n">
        <f aca="false">IF(AI872&gt;0,J872/AI872,-1)</f>
        <v>3.5265306122449</v>
      </c>
      <c r="AN872" s="51" t="n">
        <f aca="false">IF(AND(OR(CF872="L1",CF872="L23",CF872="LIFT"),AI872&gt;0),SUMIFS($AI$7:$AI$1843,$CF$7:$CF$1843,CF872,$AM$7:$AM$1843,"&gt;"&amp;AM872)+SUMIFS($AI$7:$AI$1843,$CF$7:$CF$1843,CF872,$AM$7:$AM$1843,AM872,$BW$7:$BW$1843,"&lt;="&amp;BW872),"")</f>
        <v>4882.55906593407</v>
      </c>
      <c r="AO872" s="58" t="n">
        <f aca="false">IF(AN872="",0,MAX(0,MIN(1,(IF(CF872="L1",Parameter!$H$5,IF(CF872="L23",Parameter!$H$6+Parameter!$H$7,Parameter!$H$5+Parameter!$H$6+Parameter!$H$7))-(AN872-AI872))/AI872)))</f>
        <v>1</v>
      </c>
      <c r="AP872" s="50" t="n">
        <f aca="false">IF(LEFT(Cockpit!$I$5,1)="A",H872,IF(Parameter!$E$30="MAX-Bestand",IF(CH872=1,CI872,IF(LEFT(Cockpit!$I$5,1)="B",AV872,MAX(AV872,H872))),ROUNDUP(AT872,0)))</f>
        <v>45</v>
      </c>
      <c r="AQ872" s="50" t="n">
        <f aca="false">IF(BZ872=1,0,ROUNDUP(AP872/BY872,0))</f>
        <v>1</v>
      </c>
      <c r="AR872" s="52" t="n">
        <f aca="false">IF(CQ872&gt;0,CQ872*MAX(1,AP872/X872),IF(BZ872=1,IF(AP872&lt;=0,0,CD872*MAX(1,IF(H872&gt;0,AP872/H872,1))),IF(R872&gt;0,AQ872/R872,0))/MAX(0.1,N(Parameter!$M$21)))</f>
        <v>0.0833333333333333</v>
      </c>
      <c r="AS872" s="50" t="n">
        <f aca="false">AR872*CB872</f>
        <v>20.4166666666667</v>
      </c>
      <c r="AT872" s="51" t="n">
        <f aca="false">IF(LEFT(Cockpit!$I$5,1)="A",H872,IF(CH872=1,(CK872+CI872)/2,IF(LEFT(Cockpit!$I$5,1)="B",(CK872+AV872)/2,MAX((CK872+AV872)/2,H872))))</f>
        <v>45</v>
      </c>
      <c r="AU872" s="50" t="n">
        <f aca="false">AT872*G872</f>
        <v>1638</v>
      </c>
      <c r="AV872" s="50" t="n">
        <f aca="false">ROUNDUP(CK872+MAX(CL872,2*(J872/IF(CG872&gt;0,CG872,MAX(0.1,N(Cockpit!$I$6)))-CK872)),0)</f>
        <v>80</v>
      </c>
      <c r="AW872" s="51" t="n">
        <f aca="false">IF(AS872&gt;0,J872/AS872,-1)</f>
        <v>3.5265306122449</v>
      </c>
      <c r="AX872" s="51" t="n">
        <f aca="false">IF(AND(OR(CF872="L1",CF872="L23",CF872="LIFT"),AS872&gt;0),SUMIFS($AS$7:$AS$1843,$CF$7:$CF$1843,CF872,$AW$7:$AW$1843,"&gt;"&amp;AW872)+SUMIFS($AS$7:$AS$1843,$CF$7:$CF$1843,CF872,$AW$7:$AW$1843,AW872,$BW$7:$BW$1843,"&lt;="&amp;BW872),"")</f>
        <v>5460.14606227106</v>
      </c>
      <c r="AY872" s="58" t="n">
        <f aca="false">IF(AX872="",0,MAX(0,MIN(1,(IF(CF872="L1",Parameter!$H$5,IF(CF872="L23",Parameter!$H$6+Parameter!$H$7,Parameter!$H$5+Parameter!$H$6+Parameter!$H$7))-(AX872-AS872))/AS872)))</f>
        <v>1</v>
      </c>
      <c r="AZ872" s="50" t="n">
        <f aca="false">IF(LEFT(Cockpit!$O$5,1)="A",H872,IF(Parameter!$E$30="MAX-Bestand",IF(CH872=1,CI872,IF(LEFT(Cockpit!$O$5,1)="B",BF872,MAX(BF872,H872))),ROUNDUP(BD872,0)))</f>
        <v>45</v>
      </c>
      <c r="BA872" s="50" t="n">
        <f aca="false">IF(BZ872=1,0,ROUNDUP(AZ872/BY872,0))</f>
        <v>1</v>
      </c>
      <c r="BB872" s="52" t="n">
        <f aca="false">IF(CQ872&gt;0,CQ872*MAX(1,AZ872/X872),IF(BZ872=1,IF(AZ872&lt;=0,0,CD872*MAX(1,IF(H872&gt;0,AZ872/H872,1))),IF(R872&gt;0,BA872/R872,0))/MAX(0.1,N(Parameter!$M$21)))</f>
        <v>0.0833333333333333</v>
      </c>
      <c r="BC872" s="50" t="n">
        <f aca="false">BB872*CB872</f>
        <v>20.4166666666667</v>
      </c>
      <c r="BD872" s="51" t="n">
        <f aca="false">IF(LEFT(Cockpit!$O$5,1)="A",H872,IF(CH872=1,(CK872+CI872)/2,IF(LEFT(Cockpit!$O$5,1)="B",(CK872+BF872)/2,MAX((CK872+BF872)/2,H872))))</f>
        <v>45</v>
      </c>
      <c r="BE872" s="50" t="n">
        <f aca="false">BD872*G872</f>
        <v>1638</v>
      </c>
      <c r="BF872" s="50" t="n">
        <f aca="false">ROUNDUP(CK872+MAX(CL872,2*(J872/IF(CG872&gt;0,CG872,MAX(0.1,N(Cockpit!$O$6)))-CK872)),0)</f>
        <v>80</v>
      </c>
      <c r="BG872" s="51" t="n">
        <f aca="false">IF(BC872&gt;0,J872/BC872,-1)</f>
        <v>3.5265306122449</v>
      </c>
      <c r="BH872" s="51" t="n">
        <f aca="false">IF(AND(OR(CF872="L1",CF872="L23",CF872="LIFT"),BC872&gt;0),SUMIFS($BC$7:$BC$1843,$CF$7:$CF$1843,CF872,$BG$7:$BG$1843,"&gt;"&amp;BG872)+SUMIFS($BC$7:$BC$1843,$CF$7:$CF$1843,CF872,$BG$7:$BG$1843,BG872,$BW$7:$BW$1843,"&lt;="&amp;BW872),"")</f>
        <v>4474.64285714286</v>
      </c>
      <c r="BI872" s="58" t="n">
        <f aca="false">IF(BH872="",0,MAX(0,MIN(1,(IF(CF872="L1",Parameter!$H$5,IF(CF872="L23",Parameter!$H$6+Parameter!$H$7,Parameter!$H$5+Parameter!$H$6+Parameter!$H$7))-(BH872-BC872))/BC872)))</f>
        <v>1</v>
      </c>
      <c r="BJ872" s="48" t="str">
        <f aca="false">IF(AI872&lt;=0,"",IF(CF872="Aussen","Aussenlager",IF(CF872="-","Nicht im Lift",IF(AO872&gt;=1,"Lift",IF(AO872&lt;=0,"Aussenlager","teilweise")))))</f>
        <v>Lift</v>
      </c>
      <c r="BK872" s="48" t="str">
        <f aca="false">IF(AS872&lt;=0,"",IF(CF872="Aussen","Aussenlager",IF(CF872="-","Nicht im Lift",IF(AY872&gt;=1,"Lift",IF(AY872&lt;=0,"Aussenlager","teilweise")))))</f>
        <v>Lift</v>
      </c>
      <c r="BL872" s="48" t="str">
        <f aca="false">IF(BC872&lt;=0,"",IF(CF872="Aussen","Aussenlager",IF(CF872="-","Nicht im Lift",IF(BI872&gt;=1,"Lift",IF(BI872&lt;=0,"Aussenlager","teilweise")))))</f>
        <v>Lift</v>
      </c>
      <c r="BM872" s="48" t="str">
        <f aca="false">IF(A872="","",IF(BV872=1,"Neu; ","")&amp;IF(AND(BV872=0,BQ872&lt;0),"negativer Bestand (Export "&amp;BQ872&amp;"); ","")&amp;IF(J872&lt;=0,"Kein Verbrauch; ","")&amp;IF(CQ872&gt;0,"Lift "&amp;W872&amp;" lt. Liftbericht (Fach "&amp;X872&amp;" Stk); ",IF(CA872=1,"Gebinde geschätzt ("&amp;T872&amp;"); ",IF(BZ872=1,"Lose – Tablare geschätzt; ","")))&amp;IF(H872&gt;AV872,"Überbestand "&amp;ROUND(H872-AV872,0)&amp;" Stk / CHF "&amp;ROUND((H872-AV872)*G872,0)&amp;"; ","")&amp;IF(AND(CH872=1,CI872&lt;CJ872),"MAX &lt; MB+LG; ","")&amp;IF(AND(CP872&gt;0,CO872*10&gt;CP872),"zu hoch für Tablar; ","")&amp;IF(AND(BV872=0,OR(CH872=1,AA872&lt;&gt;"",U872&lt;&gt;"",V872&lt;&gt;"",AB872&lt;&gt;"")),"manuell übersteuert; ","")&amp;IF(AND(BZ872=0,R872=0),"Gebinde unbekannt / Stellmass fehlt; ","")&amp;IF(AND(BZ872=0,N(V872)&lt;=0,N(Q872)&lt;=0),"Menge pro Gebinde fehlt (Ist = 1 Gebinde); ","")&amp;BU872)</f>
        <v/>
      </c>
      <c r="BN872" s="48"/>
      <c r="BO872" s="48"/>
      <c r="BP872" s="55"/>
      <c r="BQ872" s="50" t="n">
        <v>14</v>
      </c>
      <c r="BR872" s="50" t="n">
        <v>26</v>
      </c>
      <c r="BS872" s="49" t="n">
        <v>-23.9200000000017</v>
      </c>
      <c r="BT872" s="50" t="n">
        <v>72</v>
      </c>
      <c r="BU872" s="48"/>
      <c r="BV872" s="53" t="n">
        <v>0</v>
      </c>
      <c r="BW872" s="53" t="n">
        <v>872</v>
      </c>
      <c r="BX872" s="48" t="str">
        <f aca="false">IF(U872&lt;&gt;"",UPPER(TRIM(U872)),IF(CA872=1,UPPER(VLOOKUP(T872,Parameter!$I$27:$K$29,2,0)),IF(P872="","LOSE",P872)))</f>
        <v>S62</v>
      </c>
      <c r="BY872" s="50" t="n">
        <f aca="false">IF(BX872="LOSE",1,IF(N(V872)&gt;0,V872,IF(CA872=1,MAX(1,N(VLOOKUP(T872,Parameter!$I$27:$K$29,3,0)),H872,N(N872)),IF(N(Q872)&gt;0,Q872,MAX(1,H872)))))</f>
        <v>45</v>
      </c>
      <c r="BZ872" s="53" t="n">
        <f aca="false">IF(BX872="LOSE",1,0)</f>
        <v>0</v>
      </c>
      <c r="CA872" s="53" t="n">
        <f aca="false">IF(AND(U872="",OR(P872="",P872="LOSE"),T872&lt;&gt;"",N(S872)&lt;=0,ISNUMBER(MATCH(T872,Parameter!$I$27:$I$29,0))),1,0)</f>
        <v>0</v>
      </c>
      <c r="CB872" s="53" t="n">
        <f aca="false">IF(CQ872&gt;0,INDEX(Parameter!$H$5:$H$7,W872)/INDEX(Parameter!$E$5:$E$7,W872),IF(AND(BZ872=0,N(IFERROR(VLOOKUP(BX872,'Gebinde-Kategorie'!$A$5:$N$45,14,0),0))&gt;0),VLOOKUP(BX872,'Gebinde-Kategorie'!$A$5:$N$45,14,0)*10+Parameter!$M$23,Parameter!$M$24))</f>
        <v>245</v>
      </c>
      <c r="CC872" s="48" t="str">
        <f aca="false">IF(AND(Parameter!$B$19="Ja",E872&lt;&gt;"",ISNUMBER(MATCH(E872,Parameter!$I$35:$I$52,0))),VLOOKUP(E872,Parameter!$I$35:$J$52,2,0),IFERROR(VLOOKUP(D872,Parameter!$A$35:$C$64,2,0),"Nein"))</f>
        <v>2+3</v>
      </c>
      <c r="CD872" s="52" t="n">
        <f aca="false">IF(BZ872=0,0,IF(N(S872)&gt;0,S872,IFERROR(VLOOKUP(D872,Parameter!$A$35:$C$64,3,0)+0,0)))</f>
        <v>0</v>
      </c>
      <c r="CE872" s="48" t="n">
        <f aca="false">IF(AA872&lt;&gt;"",AA872,Z872)</f>
        <v>2</v>
      </c>
      <c r="CF872" s="48" t="str">
        <f aca="false">IF(OR(CE872=1,CE872=2,CE872=3),IF(Parameter!$E$27="Ja","LIFT",IF(CE872=1,"L1","L23")),IF(CE872="Aussen","Aussen","-"))</f>
        <v>LIFT</v>
      </c>
      <c r="CG872" s="59" t="n">
        <f aca="false">IF(N(AB872)&gt;0,AB872,0)</f>
        <v>0</v>
      </c>
      <c r="CH872" s="53" t="n">
        <f aca="false">IF(ISNUMBER(AE872),1,0)</f>
        <v>0</v>
      </c>
      <c r="CI872" s="50" t="n">
        <f aca="false">N(AE872)</f>
        <v>0</v>
      </c>
      <c r="CJ872" s="50" t="n">
        <f aca="false">N(M872)+N(N872)</f>
        <v>80</v>
      </c>
      <c r="CK872" s="50" t="n">
        <f aca="false">N(M872)</f>
        <v>10</v>
      </c>
      <c r="CL872" s="50" t="n">
        <f aca="false">N(N872)</f>
        <v>70</v>
      </c>
      <c r="CM872" s="50" t="n">
        <f aca="false">ROUNDUP(H872/BY872,0)</f>
        <v>1</v>
      </c>
      <c r="CN872" s="50" t="n">
        <f aca="false">ROUNDUP(CI872/BY872,0)</f>
        <v>0</v>
      </c>
      <c r="CO872" s="53" t="n">
        <f aca="false">IF(BZ872=1,0,IFERROR(VLOOKUP(BX872,'Gebinde-Kategorie'!$A$5:$N$45,5,0)+0,0))</f>
        <v>21</v>
      </c>
      <c r="CP872" s="53" t="n">
        <f aca="false">IFERROR(IF(OR(CE872=1,CE872=2,CE872=3),N(INDEX(Parameter!$I$5:$I$7,CE872)),0),0)</f>
        <v>0</v>
      </c>
      <c r="CQ872" s="52" t="n">
        <f aca="false">IF(AND(Parameter!$B$21="Ja",ISNUMBER(W872),N(X872)&gt;0),IFERROR(N(INDEX(Parameter!$L$5:$L$7,W872))*INDEX(Parameter!$E$5:$E$7,W872)*X872/SUMIFS($X$7:$X$1843,$W$7:$W$1843,W872),0),0)</f>
        <v>0</v>
      </c>
    </row>
    <row r="873" customFormat="false" ht="15" hidden="false" customHeight="false" outlineLevel="0" collapsed="false">
      <c r="A873" s="48" t="s">
        <v>1665</v>
      </c>
      <c r="B873" s="48" t="s">
        <v>1587</v>
      </c>
      <c r="C873" s="48" t="s">
        <v>173</v>
      </c>
      <c r="D873" s="48" t="s">
        <v>193</v>
      </c>
      <c r="E873" s="48"/>
      <c r="F873" s="48" t="s">
        <v>227</v>
      </c>
      <c r="G873" s="49" t="n">
        <v>4.8</v>
      </c>
      <c r="H873" s="50" t="n">
        <f aca="false">MAX(0,IF(AND(Parameter!$B$21="Ja",ISNUMBER(Y873)),Y873,IF(Parameter!$B$20="Jahresanfang 2025 + Export",BR873+BQ873,BQ873)))</f>
        <v>27</v>
      </c>
      <c r="I873" s="50" t="n">
        <f aca="false">H873*G873</f>
        <v>129.6</v>
      </c>
      <c r="J873" s="50" t="n">
        <f aca="false">BT873*Parameter!$B$18</f>
        <v>1</v>
      </c>
      <c r="K873" s="51" t="n">
        <v>30</v>
      </c>
      <c r="L873" s="52" t="n">
        <v>0.0333333333333333</v>
      </c>
      <c r="M873" s="50" t="n">
        <v>0</v>
      </c>
      <c r="N873" s="50" t="n">
        <v>1</v>
      </c>
      <c r="O873" s="53" t="n">
        <v>28</v>
      </c>
      <c r="P873" s="48" t="s">
        <v>177</v>
      </c>
      <c r="Q873" s="50"/>
      <c r="R873" s="53" t="n">
        <f aca="false">IF(BZ873=1,0,IFERROR(VLOOKUP(BX873,'Gebinde-Kategorie'!$A$5:$N$45,13,0)+0,0))</f>
        <v>12</v>
      </c>
      <c r="S873" s="54"/>
      <c r="T873" s="55" t="s">
        <v>188</v>
      </c>
      <c r="U873" s="55"/>
      <c r="V873" s="55"/>
      <c r="W873" s="48"/>
      <c r="X873" s="50"/>
      <c r="Y873" s="50"/>
      <c r="Z873" s="48" t="n">
        <f aca="false">IF(A873="","",IF(AND(Parameter!$B$21="Ja",ISNUMBER(W873)),W873,IF(CC873="2+3",IF(ISNUMBER(SEARCH("grosser Artikel",BU873)),2,IFERROR(VLOOKUP(BX873,Parameter!$F$35:$G$64,2,0),2)),IF(OR(CC873="Nein",CC873=""),"-",CC873))))</f>
        <v>2</v>
      </c>
      <c r="AA873" s="55"/>
      <c r="AB873" s="56"/>
      <c r="AC873" s="50" t="n">
        <f aca="false">AV873</f>
        <v>1</v>
      </c>
      <c r="AD873" s="50" t="n">
        <f aca="false">MAX(AV873,H873)</f>
        <v>27</v>
      </c>
      <c r="AE873" s="57"/>
      <c r="AF873" s="50" t="n">
        <f aca="false">IF(LEFT(Cockpit!$C$5,1)="A",H873,IF(Parameter!$E$30="MAX-Bestand",IF(CH873=1,CI873,IF(LEFT(Cockpit!$C$5,1)="B",AL873,MAX(AL873,H873))),ROUNDUP(AJ873,0)))</f>
        <v>27</v>
      </c>
      <c r="AG873" s="50" t="n">
        <f aca="false">IF(BZ873=1,0,ROUNDUP(AF873/BY873,0))</f>
        <v>1</v>
      </c>
      <c r="AH873" s="52" t="n">
        <f aca="false">IF(CQ873&gt;0,CQ873*MAX(1,AF873/X873),IF(BZ873=1,IF(AF873&lt;=0,0,CD873*MAX(1,IF(H873&gt;0,AF873/H873,1))),IF(R873&gt;0,AG873/R873,0))/MAX(0.1,N(Parameter!$M$21)))</f>
        <v>0.0833333333333333</v>
      </c>
      <c r="AI873" s="50" t="n">
        <f aca="false">AH873*CB873</f>
        <v>12.0833333333333</v>
      </c>
      <c r="AJ873" s="51" t="n">
        <f aca="false">IF(LEFT(Cockpit!$C$5,1)="A",H873,IF(CH873=1,(CK873+CI873)/2,IF(LEFT(Cockpit!$C$5,1)="B",(CK873+AL873)/2,MAX((CK873+AL873)/2,H873))))</f>
        <v>27</v>
      </c>
      <c r="AK873" s="50" t="n">
        <f aca="false">AJ873*G873</f>
        <v>129.6</v>
      </c>
      <c r="AL873" s="50" t="n">
        <f aca="false">ROUNDUP(CK873+MAX(CL873,2*(J873/IF(CG873&gt;0,CG873,MAX(0.1,N(Cockpit!$C$6)))-CK873)),0)</f>
        <v>1</v>
      </c>
      <c r="AM873" s="51" t="n">
        <f aca="false">IF(AI873&gt;0,J873/AI873,-1)</f>
        <v>0.0827586206896552</v>
      </c>
      <c r="AN873" s="51" t="n">
        <f aca="false">IF(AND(OR(CF873="L1",CF873="L23",CF873="LIFT"),AI873&gt;0),SUMIFS($AI$7:$AI$1843,$CF$7:$CF$1843,CF873,$AM$7:$AM$1843,"&gt;"&amp;AM873)+SUMIFS($AI$7:$AI$1843,$CF$7:$CF$1843,CF873,$AM$7:$AM$1843,AM873,$BW$7:$BW$1843,"&lt;="&amp;BW873),"")</f>
        <v>16725.6907322903</v>
      </c>
      <c r="AO873" s="58" t="n">
        <f aca="false">IF(AN873="",0,MAX(0,MIN(1,(IF(CF873="L1",Parameter!$H$5,IF(CF873="L23",Parameter!$H$6+Parameter!$H$7,Parameter!$H$5+Parameter!$H$6+Parameter!$H$7))-(AN873-AI873))/AI873)))</f>
        <v>1</v>
      </c>
      <c r="AP873" s="50" t="n">
        <f aca="false">IF(LEFT(Cockpit!$I$5,1)="A",H873,IF(Parameter!$E$30="MAX-Bestand",IF(CH873=1,CI873,IF(LEFT(Cockpit!$I$5,1)="B",AV873,MAX(AV873,H873))),ROUNDUP(AT873,0)))</f>
        <v>27</v>
      </c>
      <c r="AQ873" s="50" t="n">
        <f aca="false">IF(BZ873=1,0,ROUNDUP(AP873/BY873,0))</f>
        <v>1</v>
      </c>
      <c r="AR873" s="52" t="n">
        <f aca="false">IF(CQ873&gt;0,CQ873*MAX(1,AP873/X873),IF(BZ873=1,IF(AP873&lt;=0,0,CD873*MAX(1,IF(H873&gt;0,AP873/H873,1))),IF(R873&gt;0,AQ873/R873,0))/MAX(0.1,N(Parameter!$M$21)))</f>
        <v>0.0833333333333333</v>
      </c>
      <c r="AS873" s="50" t="n">
        <f aca="false">AR873*CB873</f>
        <v>12.0833333333333</v>
      </c>
      <c r="AT873" s="51" t="n">
        <f aca="false">IF(LEFT(Cockpit!$I$5,1)="A",H873,IF(CH873=1,(CK873+CI873)/2,IF(LEFT(Cockpit!$I$5,1)="B",(CK873+AV873)/2,MAX((CK873+AV873)/2,H873))))</f>
        <v>27</v>
      </c>
      <c r="AU873" s="50" t="n">
        <f aca="false">AT873*G873</f>
        <v>129.6</v>
      </c>
      <c r="AV873" s="50" t="n">
        <f aca="false">ROUNDUP(CK873+MAX(CL873,2*(J873/IF(CG873&gt;0,CG873,MAX(0.1,N(Cockpit!$I$6)))-CK873)),0)</f>
        <v>1</v>
      </c>
      <c r="AW873" s="51" t="n">
        <f aca="false">IF(AS873&gt;0,J873/AS873,-1)</f>
        <v>0.0827586206896552</v>
      </c>
      <c r="AX873" s="51" t="n">
        <f aca="false">IF(AND(OR(CF873="L1",CF873="L23",CF873="LIFT"),AS873&gt;0),SUMIFS($AS$7:$AS$1843,$CF$7:$CF$1843,CF873,$AW$7:$AW$1843,"&gt;"&amp;AW873)+SUMIFS($AS$7:$AS$1843,$CF$7:$CF$1843,CF873,$AW$7:$AW$1843,AW873,$BW$7:$BW$1843,"&lt;="&amp;BW873),"")</f>
        <v>21785.0893736678</v>
      </c>
      <c r="AY873" s="58" t="n">
        <f aca="false">IF(AX873="",0,MAX(0,MIN(1,(IF(CF873="L1",Parameter!$H$5,IF(CF873="L23",Parameter!$H$6+Parameter!$H$7,Parameter!$H$5+Parameter!$H$6+Parameter!$H$7))-(AX873-AS873))/AS873)))</f>
        <v>1</v>
      </c>
      <c r="AZ873" s="50" t="n">
        <f aca="false">IF(LEFT(Cockpit!$O$5,1)="A",H873,IF(Parameter!$E$30="MAX-Bestand",IF(CH873=1,CI873,IF(LEFT(Cockpit!$O$5,1)="B",BF873,MAX(BF873,H873))),ROUNDUP(BD873,0)))</f>
        <v>1</v>
      </c>
      <c r="BA873" s="50" t="n">
        <f aca="false">IF(BZ873=1,0,ROUNDUP(AZ873/BY873,0))</f>
        <v>1</v>
      </c>
      <c r="BB873" s="52" t="n">
        <f aca="false">IF(CQ873&gt;0,CQ873*MAX(1,AZ873/X873),IF(BZ873=1,IF(AZ873&lt;=0,0,CD873*MAX(1,IF(H873&gt;0,AZ873/H873,1))),IF(R873&gt;0,BA873/R873,0))/MAX(0.1,N(Parameter!$M$21)))</f>
        <v>0.0833333333333333</v>
      </c>
      <c r="BC873" s="50" t="n">
        <f aca="false">BB873*CB873</f>
        <v>12.0833333333333</v>
      </c>
      <c r="BD873" s="51" t="n">
        <f aca="false">IF(LEFT(Cockpit!$O$5,1)="A",H873,IF(CH873=1,(CK873+CI873)/2,IF(LEFT(Cockpit!$O$5,1)="B",(CK873+BF873)/2,MAX((CK873+BF873)/2,H873))))</f>
        <v>0.5</v>
      </c>
      <c r="BE873" s="50" t="n">
        <f aca="false">BD873*G873</f>
        <v>2.4</v>
      </c>
      <c r="BF873" s="50" t="n">
        <f aca="false">ROUNDUP(CK873+MAX(CL873,2*(J873/IF(CG873&gt;0,CG873,MAX(0.1,N(Cockpit!$O$6)))-CK873)),0)</f>
        <v>1</v>
      </c>
      <c r="BG873" s="51" t="n">
        <f aca="false">IF(BC873&gt;0,J873/BC873,-1)</f>
        <v>0.0827586206896552</v>
      </c>
      <c r="BH873" s="51" t="n">
        <f aca="false">IF(AND(OR(CF873="L1",CF873="L23",CF873="LIFT"),BC873&gt;0),SUMIFS($BC$7:$BC$1843,$CF$7:$CF$1843,CF873,$BG$7:$BG$1843,"&gt;"&amp;BG873)+SUMIFS($BC$7:$BC$1843,$CF$7:$CF$1843,CF873,$BG$7:$BG$1843,BG873,$BW$7:$BW$1843,"&lt;="&amp;BW873),"")</f>
        <v>18323.1455759401</v>
      </c>
      <c r="BI873" s="58" t="n">
        <f aca="false">IF(BH873="",0,MAX(0,MIN(1,(IF(CF873="L1",Parameter!$H$5,IF(CF873="L23",Parameter!$H$6+Parameter!$H$7,Parameter!$H$5+Parameter!$H$6+Parameter!$H$7))-(BH873-BC873))/BC873)))</f>
        <v>1</v>
      </c>
      <c r="BJ873" s="48" t="str">
        <f aca="false">IF(AI873&lt;=0,"",IF(CF873="Aussen","Aussenlager",IF(CF873="-","Nicht im Lift",IF(AO873&gt;=1,"Lift",IF(AO873&lt;=0,"Aussenlager","teilweise")))))</f>
        <v>Lift</v>
      </c>
      <c r="BK873" s="48" t="str">
        <f aca="false">IF(AS873&lt;=0,"",IF(CF873="Aussen","Aussenlager",IF(CF873="-","Nicht im Lift",IF(AY873&gt;=1,"Lift",IF(AY873&lt;=0,"Aussenlager","teilweise")))))</f>
        <v>Lift</v>
      </c>
      <c r="BL873" s="48" t="str">
        <f aca="false">IF(BC873&lt;=0,"",IF(CF873="Aussen","Aussenlager",IF(CF873="-","Nicht im Lift",IF(BI873&gt;=1,"Lift",IF(BI873&lt;=0,"Aussenlager","teilweise")))))</f>
        <v>Lift</v>
      </c>
      <c r="BM873" s="48" t="str">
        <f aca="false">IF(A873="","",IF(BV873=1,"Neu; ","")&amp;IF(AND(BV873=0,BQ873&lt;0),"negativer Bestand (Export "&amp;BQ873&amp;"); ","")&amp;IF(J873&lt;=0,"Kein Verbrauch; ","")&amp;IF(CQ873&gt;0,"Lift "&amp;W873&amp;" lt. Liftbericht (Fach "&amp;X873&amp;" Stk); ",IF(CA873=1,"Gebinde geschätzt ("&amp;T873&amp;"); ",IF(BZ873=1,"Lose – Tablare geschätzt; ","")))&amp;IF(H873&gt;AV873,"Überbestand "&amp;ROUND(H873-AV873,0)&amp;" Stk / CHF "&amp;ROUND((H873-AV873)*G873,0)&amp;"; ","")&amp;IF(AND(CH873=1,CI873&lt;CJ873),"MAX &lt; MB+LG; ","")&amp;IF(AND(CP873&gt;0,CO873*10&gt;CP873),"zu hoch für Tablar; ","")&amp;IF(AND(BV873=0,OR(CH873=1,AA873&lt;&gt;"",U873&lt;&gt;"",V873&lt;&gt;"",AB873&lt;&gt;"")),"manuell übersteuert; ","")&amp;IF(AND(BZ873=0,R873=0),"Gebinde unbekannt / Stellmass fehlt; ","")&amp;IF(AND(BZ873=0,N(V873)&lt;=0,N(Q873)&lt;=0),"Menge pro Gebinde fehlt (Ist = 1 Gebinde); ","")&amp;BU873)</f>
        <v>negativer Bestand (Export -5); Gebinde geschätzt (Mittel); Überbestand 26 Stk / CHF 125; Menge pro Gebinde fehlt (Ist = 1 Gebinde); </v>
      </c>
      <c r="BN873" s="48"/>
      <c r="BO873" s="48"/>
      <c r="BP873" s="55"/>
      <c r="BQ873" s="50" t="n">
        <v>-5</v>
      </c>
      <c r="BR873" s="50" t="n">
        <v>32</v>
      </c>
      <c r="BS873" s="49" t="n">
        <v>-24</v>
      </c>
      <c r="BT873" s="50" t="n">
        <v>1</v>
      </c>
      <c r="BU873" s="48"/>
      <c r="BV873" s="53" t="n">
        <v>0</v>
      </c>
      <c r="BW873" s="53" t="n">
        <v>873</v>
      </c>
      <c r="BX873" s="48" t="str">
        <f aca="false">IF(U873&lt;&gt;"",UPPER(TRIM(U873)),IF(CA873=1,UPPER(VLOOKUP(T873,Parameter!$I$27:$K$29,2,0)),IF(P873="","LOSE",P873)))</f>
        <v>S61</v>
      </c>
      <c r="BY873" s="50" t="n">
        <f aca="false">IF(BX873="LOSE",1,IF(N(V873)&gt;0,V873,IF(CA873=1,MAX(1,N(VLOOKUP(T873,Parameter!$I$27:$K$29,3,0)),H873,N(N873)),IF(N(Q873)&gt;0,Q873,MAX(1,H873)))))</f>
        <v>27</v>
      </c>
      <c r="BZ873" s="53" t="n">
        <f aca="false">IF(BX873="LOSE",1,0)</f>
        <v>0</v>
      </c>
      <c r="CA873" s="53" t="n">
        <f aca="false">IF(AND(U873="",OR(P873="",P873="LOSE"),T873&lt;&gt;"",N(S873)&lt;=0,ISNUMBER(MATCH(T873,Parameter!$I$27:$I$29,0))),1,0)</f>
        <v>1</v>
      </c>
      <c r="CB873" s="53" t="n">
        <f aca="false">IF(CQ873&gt;0,INDEX(Parameter!$H$5:$H$7,W873)/INDEX(Parameter!$E$5:$E$7,W873),IF(AND(BZ873=0,N(IFERROR(VLOOKUP(BX873,'Gebinde-Kategorie'!$A$5:$N$45,14,0),0))&gt;0),VLOOKUP(BX873,'Gebinde-Kategorie'!$A$5:$N$45,14,0)*10+Parameter!$M$23,Parameter!$M$24))</f>
        <v>145</v>
      </c>
      <c r="CC873" s="48" t="str">
        <f aca="false">IF(AND(Parameter!$B$19="Ja",E873&lt;&gt;"",ISNUMBER(MATCH(E873,Parameter!$I$35:$I$52,0))),VLOOKUP(E873,Parameter!$I$35:$J$52,2,0),IFERROR(VLOOKUP(D873,Parameter!$A$35:$C$64,2,0),"Nein"))</f>
        <v>2+3</v>
      </c>
      <c r="CD873" s="52" t="n">
        <f aca="false">IF(BZ873=0,0,IF(N(S873)&gt;0,S873,IFERROR(VLOOKUP(D873,Parameter!$A$35:$C$64,3,0)+0,0)))</f>
        <v>0</v>
      </c>
      <c r="CE873" s="48" t="n">
        <f aca="false">IF(AA873&lt;&gt;"",AA873,Z873)</f>
        <v>2</v>
      </c>
      <c r="CF873" s="48" t="str">
        <f aca="false">IF(OR(CE873=1,CE873=2,CE873=3),IF(Parameter!$E$27="Ja","LIFT",IF(CE873=1,"L1","L23")),IF(CE873="Aussen","Aussen","-"))</f>
        <v>LIFT</v>
      </c>
      <c r="CG873" s="59" t="n">
        <f aca="false">IF(N(AB873)&gt;0,AB873,0)</f>
        <v>0</v>
      </c>
      <c r="CH873" s="53" t="n">
        <f aca="false">IF(ISNUMBER(AE873),1,0)</f>
        <v>0</v>
      </c>
      <c r="CI873" s="50" t="n">
        <f aca="false">N(AE873)</f>
        <v>0</v>
      </c>
      <c r="CJ873" s="50" t="n">
        <f aca="false">N(M873)+N(N873)</f>
        <v>1</v>
      </c>
      <c r="CK873" s="50" t="n">
        <f aca="false">N(M873)</f>
        <v>0</v>
      </c>
      <c r="CL873" s="50" t="n">
        <f aca="false">N(N873)</f>
        <v>1</v>
      </c>
      <c r="CM873" s="50" t="n">
        <f aca="false">ROUNDUP(H873/BY873,0)</f>
        <v>1</v>
      </c>
      <c r="CN873" s="50" t="n">
        <f aca="false">ROUNDUP(CI873/BY873,0)</f>
        <v>0</v>
      </c>
      <c r="CO873" s="53" t="n">
        <f aca="false">IF(BZ873=1,0,IFERROR(VLOOKUP(BX873,'Gebinde-Kategorie'!$A$5:$N$45,5,0)+0,0))</f>
        <v>11</v>
      </c>
      <c r="CP873" s="53" t="n">
        <f aca="false">IFERROR(IF(OR(CE873=1,CE873=2,CE873=3),N(INDEX(Parameter!$I$5:$I$7,CE873)),0),0)</f>
        <v>0</v>
      </c>
      <c r="CQ873" s="52" t="n">
        <f aca="false">IF(AND(Parameter!$B$21="Ja",ISNUMBER(W873),N(X873)&gt;0),IFERROR(N(INDEX(Parameter!$L$5:$L$7,W873))*INDEX(Parameter!$E$5:$E$7,W873)*X873/SUMIFS($X$7:$X$1843,$W$7:$W$1843,W873),0),0)</f>
        <v>0</v>
      </c>
    </row>
    <row r="874" customFormat="false" ht="15" hidden="false" customHeight="false" outlineLevel="0" collapsed="false">
      <c r="A874" s="48" t="s">
        <v>1666</v>
      </c>
      <c r="B874" s="48" t="s">
        <v>870</v>
      </c>
      <c r="C874" s="48" t="s">
        <v>173</v>
      </c>
      <c r="D874" s="48" t="s">
        <v>193</v>
      </c>
      <c r="E874" s="48"/>
      <c r="F874" s="48" t="s">
        <v>227</v>
      </c>
      <c r="G874" s="49" t="n">
        <v>24.36</v>
      </c>
      <c r="H874" s="50" t="n">
        <f aca="false">MAX(0,IF(AND(Parameter!$B$21="Ja",ISNUMBER(Y874)),Y874,IF(Parameter!$B$20="Jahresanfang 2025 + Export",BR874+BQ874,BQ874)))</f>
        <v>2</v>
      </c>
      <c r="I874" s="50" t="n">
        <f aca="false">H874*G874</f>
        <v>48.72</v>
      </c>
      <c r="J874" s="50" t="n">
        <f aca="false">BT874*Parameter!$B$18</f>
        <v>1</v>
      </c>
      <c r="K874" s="51" t="n">
        <v>2.5</v>
      </c>
      <c r="L874" s="52" t="n">
        <v>0.4</v>
      </c>
      <c r="M874" s="50" t="n">
        <v>0</v>
      </c>
      <c r="N874" s="50" t="n">
        <v>1</v>
      </c>
      <c r="O874" s="53" t="n">
        <v>28</v>
      </c>
      <c r="P874" s="48" t="s">
        <v>410</v>
      </c>
      <c r="Q874" s="50" t="n">
        <v>5</v>
      </c>
      <c r="R874" s="53" t="n">
        <f aca="false">IF(BZ874=1,0,IFERROR(VLOOKUP(BX874,'Gebinde-Kategorie'!$A$5:$N$45,13,0)+0,0))</f>
        <v>280</v>
      </c>
      <c r="S874" s="54"/>
      <c r="T874" s="55"/>
      <c r="U874" s="55"/>
      <c r="V874" s="55"/>
      <c r="W874" s="48"/>
      <c r="X874" s="50"/>
      <c r="Y874" s="50"/>
      <c r="Z874" s="48" t="n">
        <f aca="false">IF(A874="","",IF(AND(Parameter!$B$21="Ja",ISNUMBER(W874)),W874,IF(CC874="2+3",IF(ISNUMBER(SEARCH("grosser Artikel",BU874)),2,IFERROR(VLOOKUP(BX874,Parameter!$F$35:$G$64,2,0),2)),IF(OR(CC874="Nein",CC874=""),"-",CC874))))</f>
        <v>3</v>
      </c>
      <c r="AA874" s="55"/>
      <c r="AB874" s="56"/>
      <c r="AC874" s="50" t="n">
        <f aca="false">AV874</f>
        <v>1</v>
      </c>
      <c r="AD874" s="50" t="n">
        <f aca="false">MAX(AV874,H874)</f>
        <v>2</v>
      </c>
      <c r="AE874" s="57"/>
      <c r="AF874" s="50" t="n">
        <f aca="false">IF(LEFT(Cockpit!$C$5,1)="A",H874,IF(Parameter!$E$30="MAX-Bestand",IF(CH874=1,CI874,IF(LEFT(Cockpit!$C$5,1)="B",AL874,MAX(AL874,H874))),ROUNDUP(AJ874,0)))</f>
        <v>2</v>
      </c>
      <c r="AG874" s="50" t="n">
        <f aca="false">IF(BZ874=1,0,ROUNDUP(AF874/BY874,0))</f>
        <v>1</v>
      </c>
      <c r="AH874" s="52" t="n">
        <f aca="false">IF(CQ874&gt;0,CQ874*MAX(1,AF874/X874),IF(BZ874=1,IF(AF874&lt;=0,0,CD874*MAX(1,IF(H874&gt;0,AF874/H874,1))),IF(R874&gt;0,AG874/R874,0))/MAX(0.1,N(Parameter!$M$21)))</f>
        <v>0.00357142857142857</v>
      </c>
      <c r="AI874" s="50" t="n">
        <f aca="false">AH874*CB874</f>
        <v>0.553571428571429</v>
      </c>
      <c r="AJ874" s="51" t="n">
        <f aca="false">IF(LEFT(Cockpit!$C$5,1)="A",H874,IF(CH874=1,(CK874+CI874)/2,IF(LEFT(Cockpit!$C$5,1)="B",(CK874+AL874)/2,MAX((CK874+AL874)/2,H874))))</f>
        <v>2</v>
      </c>
      <c r="AK874" s="50" t="n">
        <f aca="false">AJ874*G874</f>
        <v>48.72</v>
      </c>
      <c r="AL874" s="50" t="n">
        <f aca="false">ROUNDUP(CK874+MAX(CL874,2*(J874/IF(CG874&gt;0,CG874,MAX(0.1,N(Cockpit!$C$6)))-CK874)),0)</f>
        <v>1</v>
      </c>
      <c r="AM874" s="51" t="n">
        <f aca="false">IF(AI874&gt;0,J874/AI874,-1)</f>
        <v>1.80645161290323</v>
      </c>
      <c r="AN874" s="51" t="n">
        <f aca="false">IF(AND(OR(CF874="L1",CF874="L23",CF874="LIFT"),AI874&gt;0),SUMIFS($AI$7:$AI$1843,$CF$7:$CF$1843,CF874,$AM$7:$AM$1843,"&gt;"&amp;AM874)+SUMIFS($AI$7:$AI$1843,$CF$7:$CF$1843,CF874,$AM$7:$AM$1843,AM874,$BW$7:$BW$1843,"&lt;="&amp;BW874),"")</f>
        <v>5967.00457875458</v>
      </c>
      <c r="AO874" s="58" t="n">
        <f aca="false">IF(AN874="",0,MAX(0,MIN(1,(IF(CF874="L1",Parameter!$H$5,IF(CF874="L23",Parameter!$H$6+Parameter!$H$7,Parameter!$H$5+Parameter!$H$6+Parameter!$H$7))-(AN874-AI874))/AI874)))</f>
        <v>1</v>
      </c>
      <c r="AP874" s="50" t="n">
        <f aca="false">IF(LEFT(Cockpit!$I$5,1)="A",H874,IF(Parameter!$E$30="MAX-Bestand",IF(CH874=1,CI874,IF(LEFT(Cockpit!$I$5,1)="B",AV874,MAX(AV874,H874))),ROUNDUP(AT874,0)))</f>
        <v>2</v>
      </c>
      <c r="AQ874" s="50" t="n">
        <f aca="false">IF(BZ874=1,0,ROUNDUP(AP874/BY874,0))</f>
        <v>1</v>
      </c>
      <c r="AR874" s="52" t="n">
        <f aca="false">IF(CQ874&gt;0,CQ874*MAX(1,AP874/X874),IF(BZ874=1,IF(AP874&lt;=0,0,CD874*MAX(1,IF(H874&gt;0,AP874/H874,1))),IF(R874&gt;0,AQ874/R874,0))/MAX(0.1,N(Parameter!$M$21)))</f>
        <v>0.00357142857142857</v>
      </c>
      <c r="AS874" s="50" t="n">
        <f aca="false">AR874*CB874</f>
        <v>0.553571428571429</v>
      </c>
      <c r="AT874" s="51" t="n">
        <f aca="false">IF(LEFT(Cockpit!$I$5,1)="A",H874,IF(CH874=1,(CK874+CI874)/2,IF(LEFT(Cockpit!$I$5,1)="B",(CK874+AV874)/2,MAX((CK874+AV874)/2,H874))))</f>
        <v>2</v>
      </c>
      <c r="AU874" s="50" t="n">
        <f aca="false">AT874*G874</f>
        <v>48.72</v>
      </c>
      <c r="AV874" s="50" t="n">
        <f aca="false">ROUNDUP(CK874+MAX(CL874,2*(J874/IF(CG874&gt;0,CG874,MAX(0.1,N(Cockpit!$I$6)))-CK874)),0)</f>
        <v>1</v>
      </c>
      <c r="AW874" s="51" t="n">
        <f aca="false">IF(AS874&gt;0,J874/AS874,-1)</f>
        <v>1.80645161290323</v>
      </c>
      <c r="AX874" s="51" t="n">
        <f aca="false">IF(AND(OR(CF874="L1",CF874="L23",CF874="LIFT"),AS874&gt;0),SUMIFS($AS$7:$AS$1843,$CF$7:$CF$1843,CF874,$AW$7:$AW$1843,"&gt;"&amp;AW874)+SUMIFS($AS$7:$AS$1843,$CF$7:$CF$1843,CF874,$AW$7:$AW$1843,AW874,$BW$7:$BW$1843,"&lt;="&amp;BW874),"")</f>
        <v>7406.18818681319</v>
      </c>
      <c r="AY874" s="58" t="n">
        <f aca="false">IF(AX874="",0,MAX(0,MIN(1,(IF(CF874="L1",Parameter!$H$5,IF(CF874="L23",Parameter!$H$6+Parameter!$H$7,Parameter!$H$5+Parameter!$H$6+Parameter!$H$7))-(AX874-AS874))/AS874)))</f>
        <v>1</v>
      </c>
      <c r="AZ874" s="50" t="n">
        <f aca="false">IF(LEFT(Cockpit!$O$5,1)="A",H874,IF(Parameter!$E$30="MAX-Bestand",IF(CH874=1,CI874,IF(LEFT(Cockpit!$O$5,1)="B",BF874,MAX(BF874,H874))),ROUNDUP(BD874,0)))</f>
        <v>1</v>
      </c>
      <c r="BA874" s="50" t="n">
        <f aca="false">IF(BZ874=1,0,ROUNDUP(AZ874/BY874,0))</f>
        <v>1</v>
      </c>
      <c r="BB874" s="52" t="n">
        <f aca="false">IF(CQ874&gt;0,CQ874*MAX(1,AZ874/X874),IF(BZ874=1,IF(AZ874&lt;=0,0,CD874*MAX(1,IF(H874&gt;0,AZ874/H874,1))),IF(R874&gt;0,BA874/R874,0))/MAX(0.1,N(Parameter!$M$21)))</f>
        <v>0.00357142857142857</v>
      </c>
      <c r="BC874" s="50" t="n">
        <f aca="false">BB874*CB874</f>
        <v>0.553571428571429</v>
      </c>
      <c r="BD874" s="51" t="n">
        <f aca="false">IF(LEFT(Cockpit!$O$5,1)="A",H874,IF(CH874=1,(CK874+CI874)/2,IF(LEFT(Cockpit!$O$5,1)="B",(CK874+BF874)/2,MAX((CK874+BF874)/2,H874))))</f>
        <v>0.5</v>
      </c>
      <c r="BE874" s="50" t="n">
        <f aca="false">BD874*G874</f>
        <v>12.18</v>
      </c>
      <c r="BF874" s="50" t="n">
        <f aca="false">ROUNDUP(CK874+MAX(CL874,2*(J874/IF(CG874&gt;0,CG874,MAX(0.1,N(Cockpit!$O$6)))-CK874)),0)</f>
        <v>1</v>
      </c>
      <c r="BG874" s="51" t="n">
        <f aca="false">IF(BC874&gt;0,J874/BC874,-1)</f>
        <v>1.80645161290323</v>
      </c>
      <c r="BH874" s="51" t="n">
        <f aca="false">IF(AND(OR(CF874="L1",CF874="L23",CF874="LIFT"),BC874&gt;0),SUMIFS($BC$7:$BC$1843,$CF$7:$CF$1843,CF874,$BG$7:$BG$1843,"&gt;"&amp;BG874)+SUMIFS($BC$7:$BC$1843,$CF$7:$CF$1843,CF874,$BG$7:$BG$1843,BG874,$BW$7:$BW$1843,"&lt;="&amp;BW874),"")</f>
        <v>6094.10897435898</v>
      </c>
      <c r="BI874" s="58" t="n">
        <f aca="false">IF(BH874="",0,MAX(0,MIN(1,(IF(CF874="L1",Parameter!$H$5,IF(CF874="L23",Parameter!$H$6+Parameter!$H$7,Parameter!$H$5+Parameter!$H$6+Parameter!$H$7))-(BH874-BC874))/BC874)))</f>
        <v>1</v>
      </c>
      <c r="BJ874" s="48" t="str">
        <f aca="false">IF(AI874&lt;=0,"",IF(CF874="Aussen","Aussenlager",IF(CF874="-","Nicht im Lift",IF(AO874&gt;=1,"Lift",IF(AO874&lt;=0,"Aussenlager","teilweise")))))</f>
        <v>Lift</v>
      </c>
      <c r="BK874" s="48" t="str">
        <f aca="false">IF(AS874&lt;=0,"",IF(CF874="Aussen","Aussenlager",IF(CF874="-","Nicht im Lift",IF(AY874&gt;=1,"Lift",IF(AY874&lt;=0,"Aussenlager","teilweise")))))</f>
        <v>Lift</v>
      </c>
      <c r="BL874" s="48" t="str">
        <f aca="false">IF(BC874&lt;=0,"",IF(CF874="Aussen","Aussenlager",IF(CF874="-","Nicht im Lift",IF(BI874&gt;=1,"Lift",IF(BI874&lt;=0,"Aussenlager","teilweise")))))</f>
        <v>Lift</v>
      </c>
      <c r="BM874" s="48" t="str">
        <f aca="false">IF(A874="","",IF(BV874=1,"Neu; ","")&amp;IF(AND(BV874=0,BQ874&lt;0),"negativer Bestand (Export "&amp;BQ874&amp;"); ","")&amp;IF(J874&lt;=0,"Kein Verbrauch; ","")&amp;IF(CQ874&gt;0,"Lift "&amp;W874&amp;" lt. Liftbericht (Fach "&amp;X874&amp;" Stk); ",IF(CA874=1,"Gebinde geschätzt ("&amp;T874&amp;"); ",IF(BZ874=1,"Lose – Tablare geschätzt; ","")))&amp;IF(H874&gt;AV874,"Überbestand "&amp;ROUND(H874-AV874,0)&amp;" Stk / CHF "&amp;ROUND((H874-AV874)*G874,0)&amp;"; ","")&amp;IF(AND(CH874=1,CI874&lt;CJ874),"MAX &lt; MB+LG; ","")&amp;IF(AND(CP874&gt;0,CO874*10&gt;CP874),"zu hoch für Tablar; ","")&amp;IF(AND(BV874=0,OR(CH874=1,AA874&lt;&gt;"",U874&lt;&gt;"",V874&lt;&gt;"",AB874&lt;&gt;"")),"manuell übersteuert; ","")&amp;IF(AND(BZ874=0,R874=0),"Gebinde unbekannt / Stellmass fehlt; ","")&amp;IF(AND(BZ874=0,N(V874)&lt;=0,N(Q874)&lt;=0),"Menge pro Gebinde fehlt (Ist = 1 Gebinde); ","")&amp;BU874)</f>
        <v>negativer Bestand (Export -1); Überbestand 1 Stk / CHF 24; </v>
      </c>
      <c r="BN874" s="48"/>
      <c r="BO874" s="48"/>
      <c r="BP874" s="55"/>
      <c r="BQ874" s="50" t="n">
        <v>-1</v>
      </c>
      <c r="BR874" s="50" t="n">
        <v>3</v>
      </c>
      <c r="BS874" s="49" t="n">
        <v>-24.36</v>
      </c>
      <c r="BT874" s="50" t="n">
        <v>1</v>
      </c>
      <c r="BU874" s="48"/>
      <c r="BV874" s="53" t="n">
        <v>0</v>
      </c>
      <c r="BW874" s="53" t="n">
        <v>874</v>
      </c>
      <c r="BX874" s="48" t="str">
        <f aca="false">IF(U874&lt;&gt;"",UPPER(TRIM(U874)),IF(CA874=1,UPPER(VLOOKUP(T874,Parameter!$I$27:$K$29,2,0)),IF(P874="","LOSE",P874)))</f>
        <v>S21</v>
      </c>
      <c r="BY874" s="50" t="n">
        <f aca="false">IF(BX874="LOSE",1,IF(N(V874)&gt;0,V874,IF(CA874=1,MAX(1,N(VLOOKUP(T874,Parameter!$I$27:$K$29,3,0)),H874,N(N874)),IF(N(Q874)&gt;0,Q874,MAX(1,H874)))))</f>
        <v>5</v>
      </c>
      <c r="BZ874" s="53" t="n">
        <f aca="false">IF(BX874="LOSE",1,0)</f>
        <v>0</v>
      </c>
      <c r="CA874" s="53" t="n">
        <f aca="false">IF(AND(U874="",OR(P874="",P874="LOSE"),T874&lt;&gt;"",N(S874)&lt;=0,ISNUMBER(MATCH(T874,Parameter!$I$27:$I$29,0))),1,0)</f>
        <v>0</v>
      </c>
      <c r="CB874" s="53" t="n">
        <f aca="false">IF(CQ874&gt;0,INDEX(Parameter!$H$5:$H$7,W874)/INDEX(Parameter!$E$5:$E$7,W874),IF(AND(BZ874=0,N(IFERROR(VLOOKUP(BX874,'Gebinde-Kategorie'!$A$5:$N$45,14,0),0))&gt;0),VLOOKUP(BX874,'Gebinde-Kategorie'!$A$5:$N$45,14,0)*10+Parameter!$M$23,Parameter!$M$24))</f>
        <v>155</v>
      </c>
      <c r="CC874" s="48" t="str">
        <f aca="false">IF(AND(Parameter!$B$19="Ja",E874&lt;&gt;"",ISNUMBER(MATCH(E874,Parameter!$I$35:$I$52,0))),VLOOKUP(E874,Parameter!$I$35:$J$52,2,0),IFERROR(VLOOKUP(D874,Parameter!$A$35:$C$64,2,0),"Nein"))</f>
        <v>2+3</v>
      </c>
      <c r="CD874" s="52" t="n">
        <f aca="false">IF(BZ874=0,0,IF(N(S874)&gt;0,S874,IFERROR(VLOOKUP(D874,Parameter!$A$35:$C$64,3,0)+0,0)))</f>
        <v>0</v>
      </c>
      <c r="CE874" s="48" t="n">
        <f aca="false">IF(AA874&lt;&gt;"",AA874,Z874)</f>
        <v>3</v>
      </c>
      <c r="CF874" s="48" t="str">
        <f aca="false">IF(OR(CE874=1,CE874=2,CE874=3),IF(Parameter!$E$27="Ja","LIFT",IF(CE874=1,"L1","L23")),IF(CE874="Aussen","Aussen","-"))</f>
        <v>LIFT</v>
      </c>
      <c r="CG874" s="59" t="n">
        <f aca="false">IF(N(AB874)&gt;0,AB874,0)</f>
        <v>0</v>
      </c>
      <c r="CH874" s="53" t="n">
        <f aca="false">IF(ISNUMBER(AE874),1,0)</f>
        <v>0</v>
      </c>
      <c r="CI874" s="50" t="n">
        <f aca="false">N(AE874)</f>
        <v>0</v>
      </c>
      <c r="CJ874" s="50" t="n">
        <f aca="false">N(M874)+N(N874)</f>
        <v>1</v>
      </c>
      <c r="CK874" s="50" t="n">
        <f aca="false">N(M874)</f>
        <v>0</v>
      </c>
      <c r="CL874" s="50" t="n">
        <f aca="false">N(N874)</f>
        <v>1</v>
      </c>
      <c r="CM874" s="50" t="n">
        <f aca="false">ROUNDUP(H874/BY874,0)</f>
        <v>1</v>
      </c>
      <c r="CN874" s="50" t="n">
        <f aca="false">ROUNDUP(CI874/BY874,0)</f>
        <v>0</v>
      </c>
      <c r="CO874" s="53" t="n">
        <f aca="false">IF(BZ874=1,0,IFERROR(VLOOKUP(BX874,'Gebinde-Kategorie'!$A$5:$N$45,5,0)+0,0))</f>
        <v>8</v>
      </c>
      <c r="CP874" s="53" t="n">
        <f aca="false">IFERROR(IF(OR(CE874=1,CE874=2,CE874=3),N(INDEX(Parameter!$I$5:$I$7,CE874)),0),0)</f>
        <v>0</v>
      </c>
      <c r="CQ874" s="52" t="n">
        <f aca="false">IF(AND(Parameter!$B$21="Ja",ISNUMBER(W874),N(X874)&gt;0),IFERROR(N(INDEX(Parameter!$L$5:$L$7,W874))*INDEX(Parameter!$E$5:$E$7,W874)*X874/SUMIFS($X$7:$X$1843,$W$7:$W$1843,W874),0),0)</f>
        <v>0</v>
      </c>
    </row>
    <row r="875" customFormat="false" ht="15" hidden="false" customHeight="false" outlineLevel="0" collapsed="false">
      <c r="A875" s="48" t="s">
        <v>1667</v>
      </c>
      <c r="B875" s="48" t="s">
        <v>1668</v>
      </c>
      <c r="C875" s="48" t="s">
        <v>173</v>
      </c>
      <c r="D875" s="48" t="s">
        <v>193</v>
      </c>
      <c r="E875" s="48"/>
      <c r="F875" s="48" t="s">
        <v>227</v>
      </c>
      <c r="G875" s="49" t="n">
        <v>24.52</v>
      </c>
      <c r="H875" s="50" t="n">
        <f aca="false">MAX(0,IF(AND(Parameter!$B$21="Ja",ISNUMBER(Y875)),Y875,IF(Parameter!$B$20="Jahresanfang 2025 + Export",BR875+BQ875,BQ875)))</f>
        <v>14</v>
      </c>
      <c r="I875" s="50" t="n">
        <f aca="false">H875*G875</f>
        <v>343.28</v>
      </c>
      <c r="J875" s="50" t="n">
        <f aca="false">BT875*Parameter!$B$18</f>
        <v>0</v>
      </c>
      <c r="K875" s="51" t="n">
        <v>15</v>
      </c>
      <c r="L875" s="52" t="n">
        <v>0</v>
      </c>
      <c r="M875" s="50" t="n">
        <v>0</v>
      </c>
      <c r="N875" s="50" t="n">
        <v>1</v>
      </c>
      <c r="O875" s="53" t="n">
        <v>35</v>
      </c>
      <c r="P875" s="48" t="s">
        <v>430</v>
      </c>
      <c r="Q875" s="50" t="n">
        <v>15</v>
      </c>
      <c r="R875" s="53" t="n">
        <f aca="false">IF(BZ875=1,0,IFERROR(VLOOKUP(BX875,'Gebinde-Kategorie'!$A$5:$N$45,13,0)+0,0))</f>
        <v>104</v>
      </c>
      <c r="S875" s="54"/>
      <c r="T875" s="55"/>
      <c r="U875" s="55"/>
      <c r="V875" s="55"/>
      <c r="W875" s="48"/>
      <c r="X875" s="50"/>
      <c r="Y875" s="50"/>
      <c r="Z875" s="48" t="n">
        <f aca="false">IF(A875="","",IF(AND(Parameter!$B$21="Ja",ISNUMBER(W875)),W875,IF(CC875="2+3",IF(ISNUMBER(SEARCH("grosser Artikel",BU875)),2,IFERROR(VLOOKUP(BX875,Parameter!$F$35:$G$64,2,0),2)),IF(OR(CC875="Nein",CC875=""),"-",CC875))))</f>
        <v>3</v>
      </c>
      <c r="AA875" s="55"/>
      <c r="AB875" s="56"/>
      <c r="AC875" s="50" t="n">
        <f aca="false">AV875</f>
        <v>1</v>
      </c>
      <c r="AD875" s="50" t="n">
        <f aca="false">MAX(AV875,H875)</f>
        <v>14</v>
      </c>
      <c r="AE875" s="57"/>
      <c r="AF875" s="50" t="n">
        <f aca="false">IF(LEFT(Cockpit!$C$5,1)="A",H875,IF(Parameter!$E$30="MAX-Bestand",IF(CH875=1,CI875,IF(LEFT(Cockpit!$C$5,1)="B",AL875,MAX(AL875,H875))),ROUNDUP(AJ875,0)))</f>
        <v>14</v>
      </c>
      <c r="AG875" s="50" t="n">
        <f aca="false">IF(BZ875=1,0,ROUNDUP(AF875/BY875,0))</f>
        <v>1</v>
      </c>
      <c r="AH875" s="52" t="n">
        <f aca="false">IF(CQ875&gt;0,CQ875*MAX(1,AF875/X875),IF(BZ875=1,IF(AF875&lt;=0,0,CD875*MAX(1,IF(H875&gt;0,AF875/H875,1))),IF(R875&gt;0,AG875/R875,0))/MAX(0.1,N(Parameter!$M$21)))</f>
        <v>0.00961538461538462</v>
      </c>
      <c r="AI875" s="50" t="n">
        <f aca="false">AH875*CB875</f>
        <v>1.49038461538462</v>
      </c>
      <c r="AJ875" s="51" t="n">
        <f aca="false">IF(LEFT(Cockpit!$C$5,1)="A",H875,IF(CH875=1,(CK875+CI875)/2,IF(LEFT(Cockpit!$C$5,1)="B",(CK875+AL875)/2,MAX((CK875+AL875)/2,H875))))</f>
        <v>14</v>
      </c>
      <c r="AK875" s="50" t="n">
        <f aca="false">AJ875*G875</f>
        <v>343.28</v>
      </c>
      <c r="AL875" s="50" t="n">
        <f aca="false">ROUNDUP(CK875+MAX(CL875,2*(J875/IF(CG875&gt;0,CG875,MAX(0.1,N(Cockpit!$C$6)))-CK875)),0)</f>
        <v>1</v>
      </c>
      <c r="AM875" s="51" t="n">
        <f aca="false">IF(AI875&gt;0,J875/AI875,-1)</f>
        <v>0</v>
      </c>
      <c r="AN875" s="51" t="n">
        <f aca="false">IF(AND(OR(CF875="L1",CF875="L23",CF875="LIFT"),AI875&gt;0),SUMIFS($AI$7:$AI$1843,$CF$7:$CF$1843,CF875,$AM$7:$AM$1843,"&gt;"&amp;AM875)+SUMIFS($AI$7:$AI$1843,$CF$7:$CF$1843,CF875,$AM$7:$AM$1843,AM875,$BW$7:$BW$1843,"&lt;="&amp;BW875),"")</f>
        <v>28809.6901864614</v>
      </c>
      <c r="AO875" s="58" t="n">
        <f aca="false">IF(AN875="",0,MAX(0,MIN(1,(IF(CF875="L1",Parameter!$H$5,IF(CF875="L23",Parameter!$H$6+Parameter!$H$7,Parameter!$H$5+Parameter!$H$6+Parameter!$H$7))-(AN875-AI875))/AI875)))</f>
        <v>1</v>
      </c>
      <c r="AP875" s="50" t="n">
        <f aca="false">IF(LEFT(Cockpit!$I$5,1)="A",H875,IF(Parameter!$E$30="MAX-Bestand",IF(CH875=1,CI875,IF(LEFT(Cockpit!$I$5,1)="B",AV875,MAX(AV875,H875))),ROUNDUP(AT875,0)))</f>
        <v>14</v>
      </c>
      <c r="AQ875" s="50" t="n">
        <f aca="false">IF(BZ875=1,0,ROUNDUP(AP875/BY875,0))</f>
        <v>1</v>
      </c>
      <c r="AR875" s="52" t="n">
        <f aca="false">IF(CQ875&gt;0,CQ875*MAX(1,AP875/X875),IF(BZ875=1,IF(AP875&lt;=0,0,CD875*MAX(1,IF(H875&gt;0,AP875/H875,1))),IF(R875&gt;0,AQ875/R875,0))/MAX(0.1,N(Parameter!$M$21)))</f>
        <v>0.00961538461538462</v>
      </c>
      <c r="AS875" s="50" t="n">
        <f aca="false">AR875*CB875</f>
        <v>1.49038461538462</v>
      </c>
      <c r="AT875" s="51" t="n">
        <f aca="false">IF(LEFT(Cockpit!$I$5,1)="A",H875,IF(CH875=1,(CK875+CI875)/2,IF(LEFT(Cockpit!$I$5,1)="B",(CK875+AV875)/2,MAX((CK875+AV875)/2,H875))))</f>
        <v>14</v>
      </c>
      <c r="AU875" s="50" t="n">
        <f aca="false">AT875*G875</f>
        <v>343.28</v>
      </c>
      <c r="AV875" s="50" t="n">
        <f aca="false">ROUNDUP(CK875+MAX(CL875,2*(J875/IF(CG875&gt;0,CG875,MAX(0.1,N(Cockpit!$I$6)))-CK875)),0)</f>
        <v>1</v>
      </c>
      <c r="AW875" s="51" t="n">
        <f aca="false">IF(AS875&gt;0,J875/AS875,-1)</f>
        <v>0</v>
      </c>
      <c r="AX875" s="51" t="n">
        <f aca="false">IF(AND(OR(CF875="L1",CF875="L23",CF875="LIFT"),AS875&gt;0),SUMIFS($AS$7:$AS$1843,$CF$7:$CF$1843,CF875,$AW$7:$AW$1843,"&gt;"&amp;AW875)+SUMIFS($AS$7:$AS$1843,$CF$7:$CF$1843,CF875,$AW$7:$AW$1843,AW875,$BW$7:$BW$1843,"&lt;="&amp;BW875),"")</f>
        <v>34429.9308608059</v>
      </c>
      <c r="AY875" s="58" t="n">
        <f aca="false">IF(AX875="",0,MAX(0,MIN(1,(IF(CF875="L1",Parameter!$H$5,IF(CF875="L23",Parameter!$H$6+Parameter!$H$7,Parameter!$H$5+Parameter!$H$6+Parameter!$H$7))-(AX875-AS875))/AS875)))</f>
        <v>1</v>
      </c>
      <c r="AZ875" s="50" t="n">
        <f aca="false">IF(LEFT(Cockpit!$O$5,1)="A",H875,IF(Parameter!$E$30="MAX-Bestand",IF(CH875=1,CI875,IF(LEFT(Cockpit!$O$5,1)="B",BF875,MAX(BF875,H875))),ROUNDUP(BD875,0)))</f>
        <v>1</v>
      </c>
      <c r="BA875" s="50" t="n">
        <f aca="false">IF(BZ875=1,0,ROUNDUP(AZ875/BY875,0))</f>
        <v>1</v>
      </c>
      <c r="BB875" s="52" t="n">
        <f aca="false">IF(CQ875&gt;0,CQ875*MAX(1,AZ875/X875),IF(BZ875=1,IF(AZ875&lt;=0,0,CD875*MAX(1,IF(H875&gt;0,AZ875/H875,1))),IF(R875&gt;0,BA875/R875,0))/MAX(0.1,N(Parameter!$M$21)))</f>
        <v>0.00961538461538462</v>
      </c>
      <c r="BC875" s="50" t="n">
        <f aca="false">BB875*CB875</f>
        <v>1.49038461538462</v>
      </c>
      <c r="BD875" s="51" t="n">
        <f aca="false">IF(LEFT(Cockpit!$O$5,1)="A",H875,IF(CH875=1,(CK875+CI875)/2,IF(LEFT(Cockpit!$O$5,1)="B",(CK875+BF875)/2,MAX((CK875+BF875)/2,H875))))</f>
        <v>0.5</v>
      </c>
      <c r="BE875" s="50" t="n">
        <f aca="false">BD875*G875</f>
        <v>12.26</v>
      </c>
      <c r="BF875" s="50" t="n">
        <f aca="false">ROUNDUP(CK875+MAX(CL875,2*(J875/IF(CG875&gt;0,CG875,MAX(0.1,N(Cockpit!$O$6)))-CK875)),0)</f>
        <v>1</v>
      </c>
      <c r="BG875" s="51" t="n">
        <f aca="false">IF(BC875&gt;0,J875/BC875,-1)</f>
        <v>0</v>
      </c>
      <c r="BH875" s="51" t="n">
        <f aca="false">IF(AND(OR(CF875="L1",CF875="L23",CF875="LIFT"),BC875&gt;0),SUMIFS($BC$7:$BC$1843,$CF$7:$CF$1843,CF875,$BG$7:$BG$1843,"&gt;"&amp;BG875)+SUMIFS($BC$7:$BC$1843,$CF$7:$CF$1843,CF875,$BG$7:$BG$1843,BG875,$BW$7:$BW$1843,"&lt;="&amp;BW875),"")</f>
        <v>28469.7127956789</v>
      </c>
      <c r="BI875" s="58" t="n">
        <f aca="false">IF(BH875="",0,MAX(0,MIN(1,(IF(CF875="L1",Parameter!$H$5,IF(CF875="L23",Parameter!$H$6+Parameter!$H$7,Parameter!$H$5+Parameter!$H$6+Parameter!$H$7))-(BH875-BC875))/BC875)))</f>
        <v>1</v>
      </c>
      <c r="BJ875" s="48" t="str">
        <f aca="false">IF(AI875&lt;=0,"",IF(CF875="Aussen","Aussenlager",IF(CF875="-","Nicht im Lift",IF(AO875&gt;=1,"Lift",IF(AO875&lt;=0,"Aussenlager","teilweise")))))</f>
        <v>Lift</v>
      </c>
      <c r="BK875" s="48" t="str">
        <f aca="false">IF(AS875&lt;=0,"",IF(CF875="Aussen","Aussenlager",IF(CF875="-","Nicht im Lift",IF(AY875&gt;=1,"Lift",IF(AY875&lt;=0,"Aussenlager","teilweise")))))</f>
        <v>Lift</v>
      </c>
      <c r="BL875" s="48" t="str">
        <f aca="false">IF(BC875&lt;=0,"",IF(CF875="Aussen","Aussenlager",IF(CF875="-","Nicht im Lift",IF(BI875&gt;=1,"Lift",IF(BI875&lt;=0,"Aussenlager","teilweise")))))</f>
        <v>Lift</v>
      </c>
      <c r="BM875" s="48" t="str">
        <f aca="false">IF(A875="","",IF(BV875=1,"Neu; ","")&amp;IF(AND(BV875=0,BQ875&lt;0),"negativer Bestand (Export "&amp;BQ875&amp;"); ","")&amp;IF(J875&lt;=0,"Kein Verbrauch; ","")&amp;IF(CQ875&gt;0,"Lift "&amp;W875&amp;" lt. Liftbericht (Fach "&amp;X875&amp;" Stk); ",IF(CA875=1,"Gebinde geschätzt ("&amp;T875&amp;"); ",IF(BZ875=1,"Lose – Tablare geschätzt; ","")))&amp;IF(H875&gt;AV875,"Überbestand "&amp;ROUND(H875-AV875,0)&amp;" Stk / CHF "&amp;ROUND((H875-AV875)*G875,0)&amp;"; ","")&amp;IF(AND(CH875=1,CI875&lt;CJ875),"MAX &lt; MB+LG; ","")&amp;IF(AND(CP875&gt;0,CO875*10&gt;CP875),"zu hoch für Tablar; ","")&amp;IF(AND(BV875=0,OR(CH875=1,AA875&lt;&gt;"",U875&lt;&gt;"",V875&lt;&gt;"",AB875&lt;&gt;"")),"manuell übersteuert; ","")&amp;IF(AND(BZ875=0,R875=0),"Gebinde unbekannt / Stellmass fehlt; ","")&amp;IF(AND(BZ875=0,N(V875)&lt;=0,N(Q875)&lt;=0),"Menge pro Gebinde fehlt (Ist = 1 Gebinde); ","")&amp;BU875)</f>
        <v>negativer Bestand (Export -1); Kein Verbrauch; Überbestand 13 Stk / CHF 319; </v>
      </c>
      <c r="BN875" s="48"/>
      <c r="BO875" s="48"/>
      <c r="BP875" s="55"/>
      <c r="BQ875" s="50" t="n">
        <v>-1</v>
      </c>
      <c r="BR875" s="50" t="n">
        <v>15</v>
      </c>
      <c r="BS875" s="49" t="n">
        <v>-24.52</v>
      </c>
      <c r="BT875" s="50" t="n">
        <v>0</v>
      </c>
      <c r="BU875" s="48"/>
      <c r="BV875" s="53" t="n">
        <v>0</v>
      </c>
      <c r="BW875" s="53" t="n">
        <v>875</v>
      </c>
      <c r="BX875" s="48" t="str">
        <f aca="false">IF(U875&lt;&gt;"",UPPER(TRIM(U875)),IF(CA875=1,UPPER(VLOOKUP(T875,Parameter!$I$27:$K$29,2,0)),IF(P875="","LOSE",P875)))</f>
        <v>S32</v>
      </c>
      <c r="BY875" s="50" t="n">
        <f aca="false">IF(BX875="LOSE",1,IF(N(V875)&gt;0,V875,IF(CA875=1,MAX(1,N(VLOOKUP(T875,Parameter!$I$27:$K$29,3,0)),H875,N(N875)),IF(N(Q875)&gt;0,Q875,MAX(1,H875)))))</f>
        <v>15</v>
      </c>
      <c r="BZ875" s="53" t="n">
        <f aca="false">IF(BX875="LOSE",1,0)</f>
        <v>0</v>
      </c>
      <c r="CA875" s="53" t="n">
        <f aca="false">IF(AND(U875="",OR(P875="",P875="LOSE"),T875&lt;&gt;"",N(S875)&lt;=0,ISNUMBER(MATCH(T875,Parameter!$I$27:$I$29,0))),1,0)</f>
        <v>0</v>
      </c>
      <c r="CB875" s="53" t="n">
        <f aca="false">IF(CQ875&gt;0,INDEX(Parameter!$H$5:$H$7,W875)/INDEX(Parameter!$E$5:$E$7,W875),IF(AND(BZ875=0,N(IFERROR(VLOOKUP(BX875,'Gebinde-Kategorie'!$A$5:$N$45,14,0),0))&gt;0),VLOOKUP(BX875,'Gebinde-Kategorie'!$A$5:$N$45,14,0)*10+Parameter!$M$23,Parameter!$M$24))</f>
        <v>155</v>
      </c>
      <c r="CC875" s="48" t="str">
        <f aca="false">IF(AND(Parameter!$B$19="Ja",E875&lt;&gt;"",ISNUMBER(MATCH(E875,Parameter!$I$35:$I$52,0))),VLOOKUP(E875,Parameter!$I$35:$J$52,2,0),IFERROR(VLOOKUP(D875,Parameter!$A$35:$C$64,2,0),"Nein"))</f>
        <v>2+3</v>
      </c>
      <c r="CD875" s="52" t="n">
        <f aca="false">IF(BZ875=0,0,IF(N(S875)&gt;0,S875,IFERROR(VLOOKUP(D875,Parameter!$A$35:$C$64,3,0)+0,0)))</f>
        <v>0</v>
      </c>
      <c r="CE875" s="48" t="n">
        <f aca="false">IF(AA875&lt;&gt;"",AA875,Z875)</f>
        <v>3</v>
      </c>
      <c r="CF875" s="48" t="str">
        <f aca="false">IF(OR(CE875=1,CE875=2,CE875=3),IF(Parameter!$E$27="Ja","LIFT",IF(CE875=1,"L1","L23")),IF(CE875="Aussen","Aussen","-"))</f>
        <v>LIFT</v>
      </c>
      <c r="CG875" s="59" t="n">
        <f aca="false">IF(N(AB875)&gt;0,AB875,0)</f>
        <v>0</v>
      </c>
      <c r="CH875" s="53" t="n">
        <f aca="false">IF(ISNUMBER(AE875),1,0)</f>
        <v>0</v>
      </c>
      <c r="CI875" s="50" t="n">
        <f aca="false">N(AE875)</f>
        <v>0</v>
      </c>
      <c r="CJ875" s="50" t="n">
        <f aca="false">N(M875)+N(N875)</f>
        <v>1</v>
      </c>
      <c r="CK875" s="50" t="n">
        <f aca="false">N(M875)</f>
        <v>0</v>
      </c>
      <c r="CL875" s="50" t="n">
        <f aca="false">N(N875)</f>
        <v>1</v>
      </c>
      <c r="CM875" s="50" t="n">
        <f aca="false">ROUNDUP(H875/BY875,0)</f>
        <v>1</v>
      </c>
      <c r="CN875" s="50" t="n">
        <f aca="false">ROUNDUP(CI875/BY875,0)</f>
        <v>0</v>
      </c>
      <c r="CO875" s="53" t="n">
        <f aca="false">IF(BZ875=1,0,IFERROR(VLOOKUP(BX875,'Gebinde-Kategorie'!$A$5:$N$45,5,0)+0,0))</f>
        <v>8</v>
      </c>
      <c r="CP875" s="53" t="n">
        <f aca="false">IFERROR(IF(OR(CE875=1,CE875=2,CE875=3),N(INDEX(Parameter!$I$5:$I$7,CE875)),0),0)</f>
        <v>0</v>
      </c>
      <c r="CQ875" s="52" t="n">
        <f aca="false">IF(AND(Parameter!$B$21="Ja",ISNUMBER(W875),N(X875)&gt;0),IFERROR(N(INDEX(Parameter!$L$5:$L$7,W875))*INDEX(Parameter!$E$5:$E$7,W875)*X875/SUMIFS($X$7:$X$1843,$W$7:$W$1843,W875),0),0)</f>
        <v>0</v>
      </c>
    </row>
    <row r="876" customFormat="false" ht="15" hidden="false" customHeight="false" outlineLevel="0" collapsed="false">
      <c r="A876" s="48" t="s">
        <v>1669</v>
      </c>
      <c r="B876" s="48" t="s">
        <v>1174</v>
      </c>
      <c r="C876" s="48" t="s">
        <v>173</v>
      </c>
      <c r="D876" s="48" t="s">
        <v>193</v>
      </c>
      <c r="E876" s="48" t="s">
        <v>194</v>
      </c>
      <c r="F876" s="48" t="s">
        <v>227</v>
      </c>
      <c r="G876" s="49" t="n">
        <v>9.35</v>
      </c>
      <c r="H876" s="50" t="n">
        <f aca="false">MAX(0,IF(AND(Parameter!$B$21="Ja",ISNUMBER(Y876)),Y876,IF(Parameter!$B$20="Jahresanfang 2025 + Export",BR876+BQ876,BQ876)))</f>
        <v>3</v>
      </c>
      <c r="I876" s="50" t="n">
        <f aca="false">H876*G876</f>
        <v>28.05</v>
      </c>
      <c r="J876" s="50" t="n">
        <f aca="false">BT876*Parameter!$B$18</f>
        <v>6</v>
      </c>
      <c r="K876" s="51" t="n">
        <v>4.5</v>
      </c>
      <c r="L876" s="52" t="n">
        <v>1.33333333333333</v>
      </c>
      <c r="M876" s="50" t="n">
        <v>0</v>
      </c>
      <c r="N876" s="50" t="n">
        <v>5</v>
      </c>
      <c r="O876" s="53" t="n">
        <v>18</v>
      </c>
      <c r="P876" s="48" t="s">
        <v>430</v>
      </c>
      <c r="Q876" s="50" t="n">
        <v>8</v>
      </c>
      <c r="R876" s="53" t="n">
        <f aca="false">IF(BZ876=1,0,IFERROR(VLOOKUP(BX876,'Gebinde-Kategorie'!$A$5:$N$45,13,0)+0,0))</f>
        <v>104</v>
      </c>
      <c r="S876" s="54"/>
      <c r="T876" s="55"/>
      <c r="U876" s="55"/>
      <c r="V876" s="55"/>
      <c r="W876" s="48"/>
      <c r="X876" s="50"/>
      <c r="Y876" s="50"/>
      <c r="Z876" s="48" t="n">
        <f aca="false">IF(A876="","",IF(AND(Parameter!$B$21="Ja",ISNUMBER(W876)),W876,IF(CC876="2+3",IF(ISNUMBER(SEARCH("grosser Artikel",BU876)),2,IFERROR(VLOOKUP(BX876,Parameter!$F$35:$G$64,2,0),2)),IF(OR(CC876="Nein",CC876=""),"-",CC876))))</f>
        <v>3</v>
      </c>
      <c r="AA876" s="55"/>
      <c r="AB876" s="56"/>
      <c r="AC876" s="50" t="n">
        <f aca="false">AV876</f>
        <v>5</v>
      </c>
      <c r="AD876" s="50" t="n">
        <f aca="false">MAX(AV876,H876)</f>
        <v>5</v>
      </c>
      <c r="AE876" s="57"/>
      <c r="AF876" s="50" t="n">
        <f aca="false">IF(LEFT(Cockpit!$C$5,1)="A",H876,IF(Parameter!$E$30="MAX-Bestand",IF(CH876=1,CI876,IF(LEFT(Cockpit!$C$5,1)="B",AL876,MAX(AL876,H876))),ROUNDUP(AJ876,0)))</f>
        <v>3</v>
      </c>
      <c r="AG876" s="50" t="n">
        <f aca="false">IF(BZ876=1,0,ROUNDUP(AF876/BY876,0))</f>
        <v>1</v>
      </c>
      <c r="AH876" s="52" t="n">
        <f aca="false">IF(CQ876&gt;0,CQ876*MAX(1,AF876/X876),IF(BZ876=1,IF(AF876&lt;=0,0,CD876*MAX(1,IF(H876&gt;0,AF876/H876,1))),IF(R876&gt;0,AG876/R876,0))/MAX(0.1,N(Parameter!$M$21)))</f>
        <v>0.00961538461538462</v>
      </c>
      <c r="AI876" s="50" t="n">
        <f aca="false">AH876*CB876</f>
        <v>1.49038461538462</v>
      </c>
      <c r="AJ876" s="51" t="n">
        <f aca="false">IF(LEFT(Cockpit!$C$5,1)="A",H876,IF(CH876=1,(CK876+CI876)/2,IF(LEFT(Cockpit!$C$5,1)="B",(CK876+AL876)/2,MAX((CK876+AL876)/2,H876))))</f>
        <v>3</v>
      </c>
      <c r="AK876" s="50" t="n">
        <f aca="false">AJ876*G876</f>
        <v>28.05</v>
      </c>
      <c r="AL876" s="50" t="n">
        <f aca="false">ROUNDUP(CK876+MAX(CL876,2*(J876/IF(CG876&gt;0,CG876,MAX(0.1,N(Cockpit!$C$6)))-CK876)),0)</f>
        <v>5</v>
      </c>
      <c r="AM876" s="51" t="n">
        <f aca="false">IF(AI876&gt;0,J876/AI876,-1)</f>
        <v>4.0258064516129</v>
      </c>
      <c r="AN876" s="51" t="n">
        <f aca="false">IF(AND(OR(CF876="L1",CF876="L23",CF876="LIFT"),AI876&gt;0),SUMIFS($AI$7:$AI$1843,$CF$7:$CF$1843,CF876,$AM$7:$AM$1843,"&gt;"&amp;AM876)+SUMIFS($AI$7:$AI$1843,$CF$7:$CF$1843,CF876,$AM$7:$AM$1843,AM876,$BW$7:$BW$1843,"&lt;="&amp;BW876),"")</f>
        <v>4354.21794871795</v>
      </c>
      <c r="AO876" s="58" t="n">
        <f aca="false">IF(AN876="",0,MAX(0,MIN(1,(IF(CF876="L1",Parameter!$H$5,IF(CF876="L23",Parameter!$H$6+Parameter!$H$7,Parameter!$H$5+Parameter!$H$6+Parameter!$H$7))-(AN876-AI876))/AI876)))</f>
        <v>1</v>
      </c>
      <c r="AP876" s="50" t="n">
        <f aca="false">IF(LEFT(Cockpit!$I$5,1)="A",H876,IF(Parameter!$E$30="MAX-Bestand",IF(CH876=1,CI876,IF(LEFT(Cockpit!$I$5,1)="B",AV876,MAX(AV876,H876))),ROUNDUP(AT876,0)))</f>
        <v>3</v>
      </c>
      <c r="AQ876" s="50" t="n">
        <f aca="false">IF(BZ876=1,0,ROUNDUP(AP876/BY876,0))</f>
        <v>1</v>
      </c>
      <c r="AR876" s="52" t="n">
        <f aca="false">IF(CQ876&gt;0,CQ876*MAX(1,AP876/X876),IF(BZ876=1,IF(AP876&lt;=0,0,CD876*MAX(1,IF(H876&gt;0,AP876/H876,1))),IF(R876&gt;0,AQ876/R876,0))/MAX(0.1,N(Parameter!$M$21)))</f>
        <v>0.00961538461538462</v>
      </c>
      <c r="AS876" s="50" t="n">
        <f aca="false">AR876*CB876</f>
        <v>1.49038461538462</v>
      </c>
      <c r="AT876" s="51" t="n">
        <f aca="false">IF(LEFT(Cockpit!$I$5,1)="A",H876,IF(CH876=1,(CK876+CI876)/2,IF(LEFT(Cockpit!$I$5,1)="B",(CK876+AV876)/2,MAX((CK876+AV876)/2,H876))))</f>
        <v>3</v>
      </c>
      <c r="AU876" s="50" t="n">
        <f aca="false">AT876*G876</f>
        <v>28.05</v>
      </c>
      <c r="AV876" s="50" t="n">
        <f aca="false">ROUNDUP(CK876+MAX(CL876,2*(J876/IF(CG876&gt;0,CG876,MAX(0.1,N(Cockpit!$I$6)))-CK876)),0)</f>
        <v>5</v>
      </c>
      <c r="AW876" s="51" t="n">
        <f aca="false">IF(AS876&gt;0,J876/AS876,-1)</f>
        <v>4.0258064516129</v>
      </c>
      <c r="AX876" s="51" t="n">
        <f aca="false">IF(AND(OR(CF876="L1",CF876="L23",CF876="LIFT"),AS876&gt;0),SUMIFS($AS$7:$AS$1843,$CF$7:$CF$1843,CF876,$AW$7:$AW$1843,"&gt;"&amp;AW876)+SUMIFS($AS$7:$AS$1843,$CF$7:$CF$1843,CF876,$AW$7:$AW$1843,AW876,$BW$7:$BW$1843,"&lt;="&amp;BW876),"")</f>
        <v>4963.2152014652</v>
      </c>
      <c r="AY876" s="58" t="n">
        <f aca="false">IF(AX876="",0,MAX(0,MIN(1,(IF(CF876="L1",Parameter!$H$5,IF(CF876="L23",Parameter!$H$6+Parameter!$H$7,Parameter!$H$5+Parameter!$H$6+Parameter!$H$7))-(AX876-AS876))/AS876)))</f>
        <v>1</v>
      </c>
      <c r="AZ876" s="50" t="n">
        <f aca="false">IF(LEFT(Cockpit!$O$5,1)="A",H876,IF(Parameter!$E$30="MAX-Bestand",IF(CH876=1,CI876,IF(LEFT(Cockpit!$O$5,1)="B",BF876,MAX(BF876,H876))),ROUNDUP(BD876,0)))</f>
        <v>3</v>
      </c>
      <c r="BA876" s="50" t="n">
        <f aca="false">IF(BZ876=1,0,ROUNDUP(AZ876/BY876,0))</f>
        <v>1</v>
      </c>
      <c r="BB876" s="52" t="n">
        <f aca="false">IF(CQ876&gt;0,CQ876*MAX(1,AZ876/X876),IF(BZ876=1,IF(AZ876&lt;=0,0,CD876*MAX(1,IF(H876&gt;0,AZ876/H876,1))),IF(R876&gt;0,BA876/R876,0))/MAX(0.1,N(Parameter!$M$21)))</f>
        <v>0.00961538461538462</v>
      </c>
      <c r="BC876" s="50" t="n">
        <f aca="false">BB876*CB876</f>
        <v>1.49038461538462</v>
      </c>
      <c r="BD876" s="51" t="n">
        <f aca="false">IF(LEFT(Cockpit!$O$5,1)="A",H876,IF(CH876=1,(CK876+CI876)/2,IF(LEFT(Cockpit!$O$5,1)="B",(CK876+BF876)/2,MAX((CK876+BF876)/2,H876))))</f>
        <v>2.5</v>
      </c>
      <c r="BE876" s="50" t="n">
        <f aca="false">BD876*G876</f>
        <v>23.375</v>
      </c>
      <c r="BF876" s="50" t="n">
        <f aca="false">ROUNDUP(CK876+MAX(CL876,2*(J876/IF(CG876&gt;0,CG876,MAX(0.1,N(Cockpit!$O$6)))-CK876)),0)</f>
        <v>5</v>
      </c>
      <c r="BG876" s="51" t="n">
        <f aca="false">IF(BC876&gt;0,J876/BC876,-1)</f>
        <v>4.0258064516129</v>
      </c>
      <c r="BH876" s="51" t="n">
        <f aca="false">IF(AND(OR(CF876="L1",CF876="L23",CF876="LIFT"),BC876&gt;0),SUMIFS($BC$7:$BC$1843,$CF$7:$CF$1843,CF876,$BG$7:$BG$1843,"&gt;"&amp;BG876)+SUMIFS($BC$7:$BC$1843,$CF$7:$CF$1843,CF876,$BG$7:$BG$1843,BG876,$BW$7:$BW$1843,"&lt;="&amp;BW876),"")</f>
        <v>4074.82417582418</v>
      </c>
      <c r="BI876" s="58" t="n">
        <f aca="false">IF(BH876="",0,MAX(0,MIN(1,(IF(CF876="L1",Parameter!$H$5,IF(CF876="L23",Parameter!$H$6+Parameter!$H$7,Parameter!$H$5+Parameter!$H$6+Parameter!$H$7))-(BH876-BC876))/BC876)))</f>
        <v>1</v>
      </c>
      <c r="BJ876" s="48" t="str">
        <f aca="false">IF(AI876&lt;=0,"",IF(CF876="Aussen","Aussenlager",IF(CF876="-","Nicht im Lift",IF(AO876&gt;=1,"Lift",IF(AO876&lt;=0,"Aussenlager","teilweise")))))</f>
        <v>Lift</v>
      </c>
      <c r="BK876" s="48" t="str">
        <f aca="false">IF(AS876&lt;=0,"",IF(CF876="Aussen","Aussenlager",IF(CF876="-","Nicht im Lift",IF(AY876&gt;=1,"Lift",IF(AY876&lt;=0,"Aussenlager","teilweise")))))</f>
        <v>Lift</v>
      </c>
      <c r="BL876" s="48" t="str">
        <f aca="false">IF(BC876&lt;=0,"",IF(CF876="Aussen","Aussenlager",IF(CF876="-","Nicht im Lift",IF(BI876&gt;=1,"Lift",IF(BI876&lt;=0,"Aussenlager","teilweise")))))</f>
        <v>Lift</v>
      </c>
      <c r="BM876" s="48" t="str">
        <f aca="false">IF(A876="","",IF(BV876=1,"Neu; ","")&amp;IF(AND(BV876=0,BQ876&lt;0),"negativer Bestand (Export "&amp;BQ876&amp;"); ","")&amp;IF(J876&lt;=0,"Kein Verbrauch; ","")&amp;IF(CQ876&gt;0,"Lift "&amp;W876&amp;" lt. Liftbericht (Fach "&amp;X876&amp;" Stk); ",IF(CA876=1,"Gebinde geschätzt ("&amp;T876&amp;"); ",IF(BZ876=1,"Lose – Tablare geschätzt; ","")))&amp;IF(H876&gt;AV876,"Überbestand "&amp;ROUND(H876-AV876,0)&amp;" Stk / CHF "&amp;ROUND((H876-AV876)*G876,0)&amp;"; ","")&amp;IF(AND(CH876=1,CI876&lt;CJ876),"MAX &lt; MB+LG; ","")&amp;IF(AND(CP876&gt;0,CO876*10&gt;CP876),"zu hoch für Tablar; ","")&amp;IF(AND(BV876=0,OR(CH876=1,AA876&lt;&gt;"",U876&lt;&gt;"",V876&lt;&gt;"",AB876&lt;&gt;"")),"manuell übersteuert; ","")&amp;IF(AND(BZ876=0,R876=0),"Gebinde unbekannt / Stellmass fehlt; ","")&amp;IF(AND(BZ876=0,N(V876)&lt;=0,N(Q876)&lt;=0),"Menge pro Gebinde fehlt (Ist = 1 Gebinde); ","")&amp;BU876)</f>
        <v>negativer Bestand (Export -3); </v>
      </c>
      <c r="BN876" s="48"/>
      <c r="BO876" s="48"/>
      <c r="BP876" s="55"/>
      <c r="BQ876" s="50" t="n">
        <v>-3</v>
      </c>
      <c r="BR876" s="50" t="n">
        <v>6</v>
      </c>
      <c r="BS876" s="49" t="n">
        <v>-24.63</v>
      </c>
      <c r="BT876" s="50" t="n">
        <v>6</v>
      </c>
      <c r="BU876" s="48"/>
      <c r="BV876" s="53" t="n">
        <v>0</v>
      </c>
      <c r="BW876" s="53" t="n">
        <v>876</v>
      </c>
      <c r="BX876" s="48" t="str">
        <f aca="false">IF(U876&lt;&gt;"",UPPER(TRIM(U876)),IF(CA876=1,UPPER(VLOOKUP(T876,Parameter!$I$27:$K$29,2,0)),IF(P876="","LOSE",P876)))</f>
        <v>S32</v>
      </c>
      <c r="BY876" s="50" t="n">
        <f aca="false">IF(BX876="LOSE",1,IF(N(V876)&gt;0,V876,IF(CA876=1,MAX(1,N(VLOOKUP(T876,Parameter!$I$27:$K$29,3,0)),H876,N(N876)),IF(N(Q876)&gt;0,Q876,MAX(1,H876)))))</f>
        <v>8</v>
      </c>
      <c r="BZ876" s="53" t="n">
        <f aca="false">IF(BX876="LOSE",1,0)</f>
        <v>0</v>
      </c>
      <c r="CA876" s="53" t="n">
        <f aca="false">IF(AND(U876="",OR(P876="",P876="LOSE"),T876&lt;&gt;"",N(S876)&lt;=0,ISNUMBER(MATCH(T876,Parameter!$I$27:$I$29,0))),1,0)</f>
        <v>0</v>
      </c>
      <c r="CB876" s="53" t="n">
        <f aca="false">IF(CQ876&gt;0,INDEX(Parameter!$H$5:$H$7,W876)/INDEX(Parameter!$E$5:$E$7,W876),IF(AND(BZ876=0,N(IFERROR(VLOOKUP(BX876,'Gebinde-Kategorie'!$A$5:$N$45,14,0),0))&gt;0),VLOOKUP(BX876,'Gebinde-Kategorie'!$A$5:$N$45,14,0)*10+Parameter!$M$23,Parameter!$M$24))</f>
        <v>155</v>
      </c>
      <c r="CC876" s="48" t="str">
        <f aca="false">IF(AND(Parameter!$B$19="Ja",E876&lt;&gt;"",ISNUMBER(MATCH(E876,Parameter!$I$35:$I$52,0))),VLOOKUP(E876,Parameter!$I$35:$J$52,2,0),IFERROR(VLOOKUP(D876,Parameter!$A$35:$C$64,2,0),"Nein"))</f>
        <v>2+3</v>
      </c>
      <c r="CD876" s="52" t="n">
        <f aca="false">IF(BZ876=0,0,IF(N(S876)&gt;0,S876,IFERROR(VLOOKUP(D876,Parameter!$A$35:$C$64,3,0)+0,0)))</f>
        <v>0</v>
      </c>
      <c r="CE876" s="48" t="n">
        <f aca="false">IF(AA876&lt;&gt;"",AA876,Z876)</f>
        <v>3</v>
      </c>
      <c r="CF876" s="48" t="str">
        <f aca="false">IF(OR(CE876=1,CE876=2,CE876=3),IF(Parameter!$E$27="Ja","LIFT",IF(CE876=1,"L1","L23")),IF(CE876="Aussen","Aussen","-"))</f>
        <v>LIFT</v>
      </c>
      <c r="CG876" s="59" t="n">
        <f aca="false">IF(N(AB876)&gt;0,AB876,0)</f>
        <v>0</v>
      </c>
      <c r="CH876" s="53" t="n">
        <f aca="false">IF(ISNUMBER(AE876),1,0)</f>
        <v>0</v>
      </c>
      <c r="CI876" s="50" t="n">
        <f aca="false">N(AE876)</f>
        <v>0</v>
      </c>
      <c r="CJ876" s="50" t="n">
        <f aca="false">N(M876)+N(N876)</f>
        <v>5</v>
      </c>
      <c r="CK876" s="50" t="n">
        <f aca="false">N(M876)</f>
        <v>0</v>
      </c>
      <c r="CL876" s="50" t="n">
        <f aca="false">N(N876)</f>
        <v>5</v>
      </c>
      <c r="CM876" s="50" t="n">
        <f aca="false">ROUNDUP(H876/BY876,0)</f>
        <v>1</v>
      </c>
      <c r="CN876" s="50" t="n">
        <f aca="false">ROUNDUP(CI876/BY876,0)</f>
        <v>0</v>
      </c>
      <c r="CO876" s="53" t="n">
        <f aca="false">IF(BZ876=1,0,IFERROR(VLOOKUP(BX876,'Gebinde-Kategorie'!$A$5:$N$45,5,0)+0,0))</f>
        <v>8</v>
      </c>
      <c r="CP876" s="53" t="n">
        <f aca="false">IFERROR(IF(OR(CE876=1,CE876=2,CE876=3),N(INDEX(Parameter!$I$5:$I$7,CE876)),0),0)</f>
        <v>0</v>
      </c>
      <c r="CQ876" s="52" t="n">
        <f aca="false">IF(AND(Parameter!$B$21="Ja",ISNUMBER(W876),N(X876)&gt;0),IFERROR(N(INDEX(Parameter!$L$5:$L$7,W876))*INDEX(Parameter!$E$5:$E$7,W876)*X876/SUMIFS($X$7:$X$1843,$W$7:$W$1843,W876),0),0)</f>
        <v>0</v>
      </c>
    </row>
    <row r="877" customFormat="false" ht="15" hidden="false" customHeight="false" outlineLevel="0" collapsed="false">
      <c r="A877" s="48" t="s">
        <v>1670</v>
      </c>
      <c r="B877" s="48" t="s">
        <v>1031</v>
      </c>
      <c r="C877" s="48" t="s">
        <v>173</v>
      </c>
      <c r="D877" s="48" t="s">
        <v>193</v>
      </c>
      <c r="E877" s="48" t="s">
        <v>194</v>
      </c>
      <c r="F877" s="48" t="s">
        <v>227</v>
      </c>
      <c r="G877" s="49" t="n">
        <v>0.56</v>
      </c>
      <c r="H877" s="50" t="n">
        <f aca="false">MAX(0,IF(AND(Parameter!$B$21="Ja",ISNUMBER(Y877)),Y877,IF(Parameter!$B$20="Jahresanfang 2025 + Export",BR877+BQ877,BQ877)))</f>
        <v>437</v>
      </c>
      <c r="I877" s="50" t="n">
        <f aca="false">H877*G877</f>
        <v>244.72</v>
      </c>
      <c r="J877" s="50" t="n">
        <f aca="false">BT877*Parameter!$B$18</f>
        <v>28</v>
      </c>
      <c r="K877" s="51" t="n">
        <v>466</v>
      </c>
      <c r="L877" s="52" t="n">
        <v>0.0600858369098712</v>
      </c>
      <c r="M877" s="50" t="n">
        <v>1</v>
      </c>
      <c r="N877" s="50" t="n">
        <v>30</v>
      </c>
      <c r="O877" s="53" t="n">
        <v>21</v>
      </c>
      <c r="P877" s="48" t="s">
        <v>311</v>
      </c>
      <c r="Q877" s="50" t="n">
        <v>471</v>
      </c>
      <c r="R877" s="53" t="n">
        <f aca="false">IF(BZ877=1,0,IFERROR(VLOOKUP(BX877,'Gebinde-Kategorie'!$A$5:$N$45,13,0)+0,0))</f>
        <v>26</v>
      </c>
      <c r="S877" s="54"/>
      <c r="T877" s="55"/>
      <c r="U877" s="55"/>
      <c r="V877" s="55"/>
      <c r="W877" s="48"/>
      <c r="X877" s="50"/>
      <c r="Y877" s="50"/>
      <c r="Z877" s="48" t="n">
        <f aca="false">IF(A877="","",IF(AND(Parameter!$B$21="Ja",ISNUMBER(W877)),W877,IF(CC877="2+3",IF(ISNUMBER(SEARCH("grosser Artikel",BU877)),2,IFERROR(VLOOKUP(BX877,Parameter!$F$35:$G$64,2,0),2)),IF(OR(CC877="Nein",CC877=""),"-",CC877))))</f>
        <v>3</v>
      </c>
      <c r="AA877" s="55"/>
      <c r="AB877" s="56"/>
      <c r="AC877" s="50" t="n">
        <f aca="false">AV877</f>
        <v>31</v>
      </c>
      <c r="AD877" s="50" t="n">
        <f aca="false">MAX(AV877,H877)</f>
        <v>437</v>
      </c>
      <c r="AE877" s="57"/>
      <c r="AF877" s="50" t="n">
        <f aca="false">IF(LEFT(Cockpit!$C$5,1)="A",H877,IF(Parameter!$E$30="MAX-Bestand",IF(CH877=1,CI877,IF(LEFT(Cockpit!$C$5,1)="B",AL877,MAX(AL877,H877))),ROUNDUP(AJ877,0)))</f>
        <v>437</v>
      </c>
      <c r="AG877" s="50" t="n">
        <f aca="false">IF(BZ877=1,0,ROUNDUP(AF877/BY877,0))</f>
        <v>1</v>
      </c>
      <c r="AH877" s="52" t="n">
        <f aca="false">IF(CQ877&gt;0,CQ877*MAX(1,AF877/X877),IF(BZ877=1,IF(AF877&lt;=0,0,CD877*MAX(1,IF(H877&gt;0,AF877/H877,1))),IF(R877&gt;0,AG877/R877,0))/MAX(0.1,N(Parameter!$M$21)))</f>
        <v>0.0384615384615385</v>
      </c>
      <c r="AI877" s="50" t="n">
        <f aca="false">AH877*CB877</f>
        <v>5.96153846153846</v>
      </c>
      <c r="AJ877" s="51" t="n">
        <f aca="false">IF(LEFT(Cockpit!$C$5,1)="A",H877,IF(CH877=1,(CK877+CI877)/2,IF(LEFT(Cockpit!$C$5,1)="B",(CK877+AL877)/2,MAX((CK877+AL877)/2,H877))))</f>
        <v>437</v>
      </c>
      <c r="AK877" s="50" t="n">
        <f aca="false">AJ877*G877</f>
        <v>244.72</v>
      </c>
      <c r="AL877" s="50" t="n">
        <f aca="false">ROUNDUP(CK877+MAX(CL877,2*(J877/IF(CG877&gt;0,CG877,MAX(0.1,N(Cockpit!$C$6)))-CK877)),0)</f>
        <v>31</v>
      </c>
      <c r="AM877" s="51" t="n">
        <f aca="false">IF(AI877&gt;0,J877/AI877,-1)</f>
        <v>4.69677419354839</v>
      </c>
      <c r="AN877" s="51" t="n">
        <f aca="false">IF(AND(OR(CF877="L1",CF877="L23",CF877="LIFT"),AI877&gt;0),SUMIFS($AI$7:$AI$1843,$CF$7:$CF$1843,CF877,$AM$7:$AM$1843,"&gt;"&amp;AM877)+SUMIFS($AI$7:$AI$1843,$CF$7:$CF$1843,CF877,$AM$7:$AM$1843,AM877,$BW$7:$BW$1843,"&lt;="&amp;BW877),"")</f>
        <v>4117.48580586081</v>
      </c>
      <c r="AO877" s="58" t="n">
        <f aca="false">IF(AN877="",0,MAX(0,MIN(1,(IF(CF877="L1",Parameter!$H$5,IF(CF877="L23",Parameter!$H$6+Parameter!$H$7,Parameter!$H$5+Parameter!$H$6+Parameter!$H$7))-(AN877-AI877))/AI877)))</f>
        <v>1</v>
      </c>
      <c r="AP877" s="50" t="n">
        <f aca="false">IF(LEFT(Cockpit!$I$5,1)="A",H877,IF(Parameter!$E$30="MAX-Bestand",IF(CH877=1,CI877,IF(LEFT(Cockpit!$I$5,1)="B",AV877,MAX(AV877,H877))),ROUNDUP(AT877,0)))</f>
        <v>437</v>
      </c>
      <c r="AQ877" s="50" t="n">
        <f aca="false">IF(BZ877=1,0,ROUNDUP(AP877/BY877,0))</f>
        <v>1</v>
      </c>
      <c r="AR877" s="52" t="n">
        <f aca="false">IF(CQ877&gt;0,CQ877*MAX(1,AP877/X877),IF(BZ877=1,IF(AP877&lt;=0,0,CD877*MAX(1,IF(H877&gt;0,AP877/H877,1))),IF(R877&gt;0,AQ877/R877,0))/MAX(0.1,N(Parameter!$M$21)))</f>
        <v>0.0384615384615385</v>
      </c>
      <c r="AS877" s="50" t="n">
        <f aca="false">AR877*CB877</f>
        <v>5.96153846153846</v>
      </c>
      <c r="AT877" s="51" t="n">
        <f aca="false">IF(LEFT(Cockpit!$I$5,1)="A",H877,IF(CH877=1,(CK877+CI877)/2,IF(LEFT(Cockpit!$I$5,1)="B",(CK877+AV877)/2,MAX((CK877+AV877)/2,H877))))</f>
        <v>437</v>
      </c>
      <c r="AU877" s="50" t="n">
        <f aca="false">AT877*G877</f>
        <v>244.72</v>
      </c>
      <c r="AV877" s="50" t="n">
        <f aca="false">ROUNDUP(CK877+MAX(CL877,2*(J877/IF(CG877&gt;0,CG877,MAX(0.1,N(Cockpit!$I$6)))-CK877)),0)</f>
        <v>31</v>
      </c>
      <c r="AW877" s="51" t="n">
        <f aca="false">IF(AS877&gt;0,J877/AS877,-1)</f>
        <v>4.69677419354839</v>
      </c>
      <c r="AX877" s="51" t="n">
        <f aca="false">IF(AND(OR(CF877="L1",CF877="L23",CF877="LIFT"),AS877&gt;0),SUMIFS($AS$7:$AS$1843,$CF$7:$CF$1843,CF877,$AW$7:$AW$1843,"&gt;"&amp;AW877)+SUMIFS($AS$7:$AS$1843,$CF$7:$CF$1843,CF877,$AW$7:$AW$1843,AW877,$BW$7:$BW$1843,"&lt;="&amp;BW877),"")</f>
        <v>4713.72664835165</v>
      </c>
      <c r="AY877" s="58" t="n">
        <f aca="false">IF(AX877="",0,MAX(0,MIN(1,(IF(CF877="L1",Parameter!$H$5,IF(CF877="L23",Parameter!$H$6+Parameter!$H$7,Parameter!$H$5+Parameter!$H$6+Parameter!$H$7))-(AX877-AS877))/AS877)))</f>
        <v>1</v>
      </c>
      <c r="AZ877" s="50" t="n">
        <f aca="false">IF(LEFT(Cockpit!$O$5,1)="A",H877,IF(Parameter!$E$30="MAX-Bestand",IF(CH877=1,CI877,IF(LEFT(Cockpit!$O$5,1)="B",BF877,MAX(BF877,H877))),ROUNDUP(BD877,0)))</f>
        <v>16</v>
      </c>
      <c r="BA877" s="50" t="n">
        <f aca="false">IF(BZ877=1,0,ROUNDUP(AZ877/BY877,0))</f>
        <v>1</v>
      </c>
      <c r="BB877" s="52" t="n">
        <f aca="false">IF(CQ877&gt;0,CQ877*MAX(1,AZ877/X877),IF(BZ877=1,IF(AZ877&lt;=0,0,CD877*MAX(1,IF(H877&gt;0,AZ877/H877,1))),IF(R877&gt;0,BA877/R877,0))/MAX(0.1,N(Parameter!$M$21)))</f>
        <v>0.0384615384615385</v>
      </c>
      <c r="BC877" s="50" t="n">
        <f aca="false">BB877*CB877</f>
        <v>5.96153846153846</v>
      </c>
      <c r="BD877" s="51" t="n">
        <f aca="false">IF(LEFT(Cockpit!$O$5,1)="A",H877,IF(CH877=1,(CK877+CI877)/2,IF(LEFT(Cockpit!$O$5,1)="B",(CK877+BF877)/2,MAX((CK877+BF877)/2,H877))))</f>
        <v>16</v>
      </c>
      <c r="BE877" s="50" t="n">
        <f aca="false">BD877*G877</f>
        <v>8.96</v>
      </c>
      <c r="BF877" s="50" t="n">
        <f aca="false">ROUNDUP(CK877+MAX(CL877,2*(J877/IF(CG877&gt;0,CG877,MAX(0.1,N(Cockpit!$O$6)))-CK877)),0)</f>
        <v>31</v>
      </c>
      <c r="BG877" s="51" t="n">
        <f aca="false">IF(BC877&gt;0,J877/BC877,-1)</f>
        <v>4.69677419354839</v>
      </c>
      <c r="BH877" s="51" t="n">
        <f aca="false">IF(AND(OR(CF877="L1",CF877="L23",CF877="LIFT"),BC877&gt;0),SUMIFS($BC$7:$BC$1843,$CF$7:$CF$1843,CF877,$BG$7:$BG$1843,"&gt;"&amp;BG877)+SUMIFS($BC$7:$BC$1843,$CF$7:$CF$1843,CF877,$BG$7:$BG$1843,BG877,$BW$7:$BW$1843,"&lt;="&amp;BW877),"")</f>
        <v>3881.40934065934</v>
      </c>
      <c r="BI877" s="58" t="n">
        <f aca="false">IF(BH877="",0,MAX(0,MIN(1,(IF(CF877="L1",Parameter!$H$5,IF(CF877="L23",Parameter!$H$6+Parameter!$H$7,Parameter!$H$5+Parameter!$H$6+Parameter!$H$7))-(BH877-BC877))/BC877)))</f>
        <v>1</v>
      </c>
      <c r="BJ877" s="48" t="str">
        <f aca="false">IF(AI877&lt;=0,"",IF(CF877="Aussen","Aussenlager",IF(CF877="-","Nicht im Lift",IF(AO877&gt;=1,"Lift",IF(AO877&lt;=0,"Aussenlager","teilweise")))))</f>
        <v>Lift</v>
      </c>
      <c r="BK877" s="48" t="str">
        <f aca="false">IF(AS877&lt;=0,"",IF(CF877="Aussen","Aussenlager",IF(CF877="-","Nicht im Lift",IF(AY877&gt;=1,"Lift",IF(AY877&lt;=0,"Aussenlager","teilweise")))))</f>
        <v>Lift</v>
      </c>
      <c r="BL877" s="48" t="str">
        <f aca="false">IF(BC877&lt;=0,"",IF(CF877="Aussen","Aussenlager",IF(CF877="-","Nicht im Lift",IF(BI877&gt;=1,"Lift",IF(BI877&lt;=0,"Aussenlager","teilweise")))))</f>
        <v>Lift</v>
      </c>
      <c r="BM877" s="48" t="str">
        <f aca="false">IF(A877="","",IF(BV877=1,"Neu; ","")&amp;IF(AND(BV877=0,BQ877&lt;0),"negativer Bestand (Export "&amp;BQ877&amp;"); ","")&amp;IF(J877&lt;=0,"Kein Verbrauch; ","")&amp;IF(CQ877&gt;0,"Lift "&amp;W877&amp;" lt. Liftbericht (Fach "&amp;X877&amp;" Stk); ",IF(CA877=1,"Gebinde geschätzt ("&amp;T877&amp;"); ",IF(BZ877=1,"Lose – Tablare geschätzt; ","")))&amp;IF(H877&gt;AV877,"Überbestand "&amp;ROUND(H877-AV877,0)&amp;" Stk / CHF "&amp;ROUND((H877-AV877)*G877,0)&amp;"; ","")&amp;IF(AND(CH877=1,CI877&lt;CJ877),"MAX &lt; MB+LG; ","")&amp;IF(AND(CP877&gt;0,CO877*10&gt;CP877),"zu hoch für Tablar; ","")&amp;IF(AND(BV877=0,OR(CH877=1,AA877&lt;&gt;"",U877&lt;&gt;"",V877&lt;&gt;"",AB877&lt;&gt;"")),"manuell übersteuert; ","")&amp;IF(AND(BZ877=0,R877=0),"Gebinde unbekannt / Stellmass fehlt; ","")&amp;IF(AND(BZ877=0,N(V877)&lt;=0,N(Q877)&lt;=0),"Menge pro Gebinde fehlt (Ist = 1 Gebinde); ","")&amp;BU877)</f>
        <v>negativer Bestand (Export -44); Überbestand 406 Stk / CHF 227; Überbestand</v>
      </c>
      <c r="BN877" s="48"/>
      <c r="BO877" s="48"/>
      <c r="BP877" s="55"/>
      <c r="BQ877" s="50" t="n">
        <v>-44</v>
      </c>
      <c r="BR877" s="50" t="n">
        <v>481</v>
      </c>
      <c r="BS877" s="49" t="n">
        <v>-24.64</v>
      </c>
      <c r="BT877" s="50" t="n">
        <v>28</v>
      </c>
      <c r="BU877" s="48" t="s">
        <v>401</v>
      </c>
      <c r="BV877" s="53" t="n">
        <v>0</v>
      </c>
      <c r="BW877" s="53" t="n">
        <v>877</v>
      </c>
      <c r="BX877" s="48" t="str">
        <f aca="false">IF(U877&lt;&gt;"",UPPER(TRIM(U877)),IF(CA877=1,UPPER(VLOOKUP(T877,Parameter!$I$27:$K$29,2,0)),IF(P877="","LOSE",P877)))</f>
        <v>S51</v>
      </c>
      <c r="BY877" s="50" t="n">
        <f aca="false">IF(BX877="LOSE",1,IF(N(V877)&gt;0,V877,IF(CA877=1,MAX(1,N(VLOOKUP(T877,Parameter!$I$27:$K$29,3,0)),H877,N(N877)),IF(N(Q877)&gt;0,Q877,MAX(1,H877)))))</f>
        <v>471</v>
      </c>
      <c r="BZ877" s="53" t="n">
        <f aca="false">IF(BX877="LOSE",1,0)</f>
        <v>0</v>
      </c>
      <c r="CA877" s="53" t="n">
        <f aca="false">IF(AND(U877="",OR(P877="",P877="LOSE"),T877&lt;&gt;"",N(S877)&lt;=0,ISNUMBER(MATCH(T877,Parameter!$I$27:$I$29,0))),1,0)</f>
        <v>0</v>
      </c>
      <c r="CB877" s="53" t="n">
        <f aca="false">IF(CQ877&gt;0,INDEX(Parameter!$H$5:$H$7,W877)/INDEX(Parameter!$E$5:$E$7,W877),IF(AND(BZ877=0,N(IFERROR(VLOOKUP(BX877,'Gebinde-Kategorie'!$A$5:$N$45,14,0),0))&gt;0),VLOOKUP(BX877,'Gebinde-Kategorie'!$A$5:$N$45,14,0)*10+Parameter!$M$23,Parameter!$M$24))</f>
        <v>155</v>
      </c>
      <c r="CC877" s="48" t="str">
        <f aca="false">IF(AND(Parameter!$B$19="Ja",E877&lt;&gt;"",ISNUMBER(MATCH(E877,Parameter!$I$35:$I$52,0))),VLOOKUP(E877,Parameter!$I$35:$J$52,2,0),IFERROR(VLOOKUP(D877,Parameter!$A$35:$C$64,2,0),"Nein"))</f>
        <v>2+3</v>
      </c>
      <c r="CD877" s="52" t="n">
        <f aca="false">IF(BZ877=0,0,IF(N(S877)&gt;0,S877,IFERROR(VLOOKUP(D877,Parameter!$A$35:$C$64,3,0)+0,0)))</f>
        <v>0</v>
      </c>
      <c r="CE877" s="48" t="n">
        <f aca="false">IF(AA877&lt;&gt;"",AA877,Z877)</f>
        <v>3</v>
      </c>
      <c r="CF877" s="48" t="str">
        <f aca="false">IF(OR(CE877=1,CE877=2,CE877=3),IF(Parameter!$E$27="Ja","LIFT",IF(CE877=1,"L1","L23")),IF(CE877="Aussen","Aussen","-"))</f>
        <v>LIFT</v>
      </c>
      <c r="CG877" s="59" t="n">
        <f aca="false">IF(N(AB877)&gt;0,AB877,0)</f>
        <v>0</v>
      </c>
      <c r="CH877" s="53" t="n">
        <f aca="false">IF(ISNUMBER(AE877),1,0)</f>
        <v>0</v>
      </c>
      <c r="CI877" s="50" t="n">
        <f aca="false">N(AE877)</f>
        <v>0</v>
      </c>
      <c r="CJ877" s="50" t="n">
        <f aca="false">N(M877)+N(N877)</f>
        <v>31</v>
      </c>
      <c r="CK877" s="50" t="n">
        <f aca="false">N(M877)</f>
        <v>1</v>
      </c>
      <c r="CL877" s="50" t="n">
        <f aca="false">N(N877)</f>
        <v>30</v>
      </c>
      <c r="CM877" s="50" t="n">
        <f aca="false">ROUNDUP(H877/BY877,0)</f>
        <v>1</v>
      </c>
      <c r="CN877" s="50" t="n">
        <f aca="false">ROUNDUP(CI877/BY877,0)</f>
        <v>0</v>
      </c>
      <c r="CO877" s="53" t="n">
        <f aca="false">IF(BZ877=1,0,IFERROR(VLOOKUP(BX877,'Gebinde-Kategorie'!$A$5:$N$45,5,0)+0,0))</f>
        <v>11</v>
      </c>
      <c r="CP877" s="53" t="n">
        <f aca="false">IFERROR(IF(OR(CE877=1,CE877=2,CE877=3),N(INDEX(Parameter!$I$5:$I$7,CE877)),0),0)</f>
        <v>0</v>
      </c>
      <c r="CQ877" s="52" t="n">
        <f aca="false">IF(AND(Parameter!$B$21="Ja",ISNUMBER(W877),N(X877)&gt;0),IFERROR(N(INDEX(Parameter!$L$5:$L$7,W877))*INDEX(Parameter!$E$5:$E$7,W877)*X877/SUMIFS($X$7:$X$1843,$W$7:$W$1843,W877),0),0)</f>
        <v>0</v>
      </c>
    </row>
    <row r="878" customFormat="false" ht="15" hidden="false" customHeight="false" outlineLevel="0" collapsed="false">
      <c r="A878" s="48" t="s">
        <v>1671</v>
      </c>
      <c r="B878" s="48" t="s">
        <v>1220</v>
      </c>
      <c r="C878" s="48" t="s">
        <v>173</v>
      </c>
      <c r="D878" s="48" t="s">
        <v>193</v>
      </c>
      <c r="E878" s="48" t="s">
        <v>194</v>
      </c>
      <c r="F878" s="48" t="s">
        <v>227</v>
      </c>
      <c r="G878" s="49" t="n">
        <v>0.85</v>
      </c>
      <c r="H878" s="50" t="n">
        <f aca="false">MAX(0,IF(AND(Parameter!$B$21="Ja",ISNUMBER(Y878)),Y878,IF(Parameter!$B$20="Jahresanfang 2025 + Export",BR878+BQ878,BQ878)))</f>
        <v>15</v>
      </c>
      <c r="I878" s="50" t="n">
        <f aca="false">H878*G878</f>
        <v>12.75</v>
      </c>
      <c r="J878" s="50" t="n">
        <f aca="false">BT878*Parameter!$B$18</f>
        <v>0</v>
      </c>
      <c r="K878" s="51" t="n">
        <v>32.5</v>
      </c>
      <c r="L878" s="52" t="n">
        <v>0</v>
      </c>
      <c r="M878" s="50" t="n">
        <v>0</v>
      </c>
      <c r="N878" s="50" t="n">
        <v>1</v>
      </c>
      <c r="O878" s="53" t="n">
        <v>42</v>
      </c>
      <c r="P878" s="48" t="s">
        <v>337</v>
      </c>
      <c r="Q878" s="50" t="n">
        <v>50</v>
      </c>
      <c r="R878" s="53" t="n">
        <f aca="false">IF(BZ878=1,0,IFERROR(VLOOKUP(BX878,'Gebinde-Kategorie'!$A$5:$N$45,13,0)+0,0))</f>
        <v>52</v>
      </c>
      <c r="S878" s="54"/>
      <c r="T878" s="55"/>
      <c r="U878" s="55"/>
      <c r="V878" s="55"/>
      <c r="W878" s="48"/>
      <c r="X878" s="50"/>
      <c r="Y878" s="50"/>
      <c r="Z878" s="48" t="n">
        <f aca="false">IF(A878="","",IF(AND(Parameter!$B$21="Ja",ISNUMBER(W878)),W878,IF(CC878="2+3",IF(ISNUMBER(SEARCH("grosser Artikel",BU878)),2,IFERROR(VLOOKUP(BX878,Parameter!$F$35:$G$64,2,0),2)),IF(OR(CC878="Nein",CC878=""),"-",CC878))))</f>
        <v>3</v>
      </c>
      <c r="AA878" s="55"/>
      <c r="AB878" s="56"/>
      <c r="AC878" s="50" t="n">
        <f aca="false">AV878</f>
        <v>1</v>
      </c>
      <c r="AD878" s="50" t="n">
        <f aca="false">MAX(AV878,H878)</f>
        <v>15</v>
      </c>
      <c r="AE878" s="57"/>
      <c r="AF878" s="50" t="n">
        <f aca="false">IF(LEFT(Cockpit!$C$5,1)="A",H878,IF(Parameter!$E$30="MAX-Bestand",IF(CH878=1,CI878,IF(LEFT(Cockpit!$C$5,1)="B",AL878,MAX(AL878,H878))),ROUNDUP(AJ878,0)))</f>
        <v>15</v>
      </c>
      <c r="AG878" s="50" t="n">
        <f aca="false">IF(BZ878=1,0,ROUNDUP(AF878/BY878,0))</f>
        <v>1</v>
      </c>
      <c r="AH878" s="52" t="n">
        <f aca="false">IF(CQ878&gt;0,CQ878*MAX(1,AF878/X878),IF(BZ878=1,IF(AF878&lt;=0,0,CD878*MAX(1,IF(H878&gt;0,AF878/H878,1))),IF(R878&gt;0,AG878/R878,0))/MAX(0.1,N(Parameter!$M$21)))</f>
        <v>0.0192307692307692</v>
      </c>
      <c r="AI878" s="50" t="n">
        <f aca="false">AH878*CB878</f>
        <v>2.98076923076923</v>
      </c>
      <c r="AJ878" s="51" t="n">
        <f aca="false">IF(LEFT(Cockpit!$C$5,1)="A",H878,IF(CH878=1,(CK878+CI878)/2,IF(LEFT(Cockpit!$C$5,1)="B",(CK878+AL878)/2,MAX((CK878+AL878)/2,H878))))</f>
        <v>15</v>
      </c>
      <c r="AK878" s="50" t="n">
        <f aca="false">AJ878*G878</f>
        <v>12.75</v>
      </c>
      <c r="AL878" s="50" t="n">
        <f aca="false">ROUNDUP(CK878+MAX(CL878,2*(J878/IF(CG878&gt;0,CG878,MAX(0.1,N(Cockpit!$C$6)))-CK878)),0)</f>
        <v>1</v>
      </c>
      <c r="AM878" s="51" t="n">
        <f aca="false">IF(AI878&gt;0,J878/AI878,-1)</f>
        <v>0</v>
      </c>
      <c r="AN878" s="51" t="n">
        <f aca="false">IF(AND(OR(CF878="L1",CF878="L23",CF878="LIFT"),AI878&gt;0),SUMIFS($AI$7:$AI$1843,$CF$7:$CF$1843,CF878,$AM$7:$AM$1843,"&gt;"&amp;AM878)+SUMIFS($AI$7:$AI$1843,$CF$7:$CF$1843,CF878,$AM$7:$AM$1843,AM878,$BW$7:$BW$1843,"&lt;="&amp;BW878),"")</f>
        <v>28812.6709556921</v>
      </c>
      <c r="AO878" s="58" t="n">
        <f aca="false">IF(AN878="",0,MAX(0,MIN(1,(IF(CF878="L1",Parameter!$H$5,IF(CF878="L23",Parameter!$H$6+Parameter!$H$7,Parameter!$H$5+Parameter!$H$6+Parameter!$H$7))-(AN878-AI878))/AI878)))</f>
        <v>1</v>
      </c>
      <c r="AP878" s="50" t="n">
        <f aca="false">IF(LEFT(Cockpit!$I$5,1)="A",H878,IF(Parameter!$E$30="MAX-Bestand",IF(CH878=1,CI878,IF(LEFT(Cockpit!$I$5,1)="B",AV878,MAX(AV878,H878))),ROUNDUP(AT878,0)))</f>
        <v>15</v>
      </c>
      <c r="AQ878" s="50" t="n">
        <f aca="false">IF(BZ878=1,0,ROUNDUP(AP878/BY878,0))</f>
        <v>1</v>
      </c>
      <c r="AR878" s="52" t="n">
        <f aca="false">IF(CQ878&gt;0,CQ878*MAX(1,AP878/X878),IF(BZ878=1,IF(AP878&lt;=0,0,CD878*MAX(1,IF(H878&gt;0,AP878/H878,1))),IF(R878&gt;0,AQ878/R878,0))/MAX(0.1,N(Parameter!$M$21)))</f>
        <v>0.0192307692307692</v>
      </c>
      <c r="AS878" s="50" t="n">
        <f aca="false">AR878*CB878</f>
        <v>2.98076923076923</v>
      </c>
      <c r="AT878" s="51" t="n">
        <f aca="false">IF(LEFT(Cockpit!$I$5,1)="A",H878,IF(CH878=1,(CK878+CI878)/2,IF(LEFT(Cockpit!$I$5,1)="B",(CK878+AV878)/2,MAX((CK878+AV878)/2,H878))))</f>
        <v>15</v>
      </c>
      <c r="AU878" s="50" t="n">
        <f aca="false">AT878*G878</f>
        <v>12.75</v>
      </c>
      <c r="AV878" s="50" t="n">
        <f aca="false">ROUNDUP(CK878+MAX(CL878,2*(J878/IF(CG878&gt;0,CG878,MAX(0.1,N(Cockpit!$I$6)))-CK878)),0)</f>
        <v>1</v>
      </c>
      <c r="AW878" s="51" t="n">
        <f aca="false">IF(AS878&gt;0,J878/AS878,-1)</f>
        <v>0</v>
      </c>
      <c r="AX878" s="51" t="n">
        <f aca="false">IF(AND(OR(CF878="L1",CF878="L23",CF878="LIFT"),AS878&gt;0),SUMIFS($AS$7:$AS$1843,$CF$7:$CF$1843,CF878,$AW$7:$AW$1843,"&gt;"&amp;AW878)+SUMIFS($AS$7:$AS$1843,$CF$7:$CF$1843,CF878,$AW$7:$AW$1843,AW878,$BW$7:$BW$1843,"&lt;="&amp;BW878),"")</f>
        <v>34432.9116300366</v>
      </c>
      <c r="AY878" s="58" t="n">
        <f aca="false">IF(AX878="",0,MAX(0,MIN(1,(IF(CF878="L1",Parameter!$H$5,IF(CF878="L23",Parameter!$H$6+Parameter!$H$7,Parameter!$H$5+Parameter!$H$6+Parameter!$H$7))-(AX878-AS878))/AS878)))</f>
        <v>1</v>
      </c>
      <c r="AZ878" s="50" t="n">
        <f aca="false">IF(LEFT(Cockpit!$O$5,1)="A",H878,IF(Parameter!$E$30="MAX-Bestand",IF(CH878=1,CI878,IF(LEFT(Cockpit!$O$5,1)="B",BF878,MAX(BF878,H878))),ROUNDUP(BD878,0)))</f>
        <v>1</v>
      </c>
      <c r="BA878" s="50" t="n">
        <f aca="false">IF(BZ878=1,0,ROUNDUP(AZ878/BY878,0))</f>
        <v>1</v>
      </c>
      <c r="BB878" s="52" t="n">
        <f aca="false">IF(CQ878&gt;0,CQ878*MAX(1,AZ878/X878),IF(BZ878=1,IF(AZ878&lt;=0,0,CD878*MAX(1,IF(H878&gt;0,AZ878/H878,1))),IF(R878&gt;0,BA878/R878,0))/MAX(0.1,N(Parameter!$M$21)))</f>
        <v>0.0192307692307692</v>
      </c>
      <c r="BC878" s="50" t="n">
        <f aca="false">BB878*CB878</f>
        <v>2.98076923076923</v>
      </c>
      <c r="BD878" s="51" t="n">
        <f aca="false">IF(LEFT(Cockpit!$O$5,1)="A",H878,IF(CH878=1,(CK878+CI878)/2,IF(LEFT(Cockpit!$O$5,1)="B",(CK878+BF878)/2,MAX((CK878+BF878)/2,H878))))</f>
        <v>0.5</v>
      </c>
      <c r="BE878" s="50" t="n">
        <f aca="false">BD878*G878</f>
        <v>0.425</v>
      </c>
      <c r="BF878" s="50" t="n">
        <f aca="false">ROUNDUP(CK878+MAX(CL878,2*(J878/IF(CG878&gt;0,CG878,MAX(0.1,N(Cockpit!$O$6)))-CK878)),0)</f>
        <v>1</v>
      </c>
      <c r="BG878" s="51" t="n">
        <f aca="false">IF(BC878&gt;0,J878/BC878,-1)</f>
        <v>0</v>
      </c>
      <c r="BH878" s="51" t="n">
        <f aca="false">IF(AND(OR(CF878="L1",CF878="L23",CF878="LIFT"),BC878&gt;0),SUMIFS($BC$7:$BC$1843,$CF$7:$CF$1843,CF878,$BG$7:$BG$1843,"&gt;"&amp;BG878)+SUMIFS($BC$7:$BC$1843,$CF$7:$CF$1843,CF878,$BG$7:$BG$1843,BG878,$BW$7:$BW$1843,"&lt;="&amp;BW878),"")</f>
        <v>28472.6935649097</v>
      </c>
      <c r="BI878" s="58" t="n">
        <f aca="false">IF(BH878="",0,MAX(0,MIN(1,(IF(CF878="L1",Parameter!$H$5,IF(CF878="L23",Parameter!$H$6+Parameter!$H$7,Parameter!$H$5+Parameter!$H$6+Parameter!$H$7))-(BH878-BC878))/BC878)))</f>
        <v>1</v>
      </c>
      <c r="BJ878" s="48" t="str">
        <f aca="false">IF(AI878&lt;=0,"",IF(CF878="Aussen","Aussenlager",IF(CF878="-","Nicht im Lift",IF(AO878&gt;=1,"Lift",IF(AO878&lt;=0,"Aussenlager","teilweise")))))</f>
        <v>Lift</v>
      </c>
      <c r="BK878" s="48" t="str">
        <f aca="false">IF(AS878&lt;=0,"",IF(CF878="Aussen","Aussenlager",IF(CF878="-","Nicht im Lift",IF(AY878&gt;=1,"Lift",IF(AY878&lt;=0,"Aussenlager","teilweise")))))</f>
        <v>Lift</v>
      </c>
      <c r="BL878" s="48" t="str">
        <f aca="false">IF(BC878&lt;=0,"",IF(CF878="Aussen","Aussenlager",IF(CF878="-","Nicht im Lift",IF(BI878&gt;=1,"Lift",IF(BI878&lt;=0,"Aussenlager","teilweise")))))</f>
        <v>Lift</v>
      </c>
      <c r="BM878" s="48" t="str">
        <f aca="false">IF(A878="","",IF(BV878=1,"Neu; ","")&amp;IF(AND(BV878=0,BQ878&lt;0),"negativer Bestand (Export "&amp;BQ878&amp;"); ","")&amp;IF(J878&lt;=0,"Kein Verbrauch; ","")&amp;IF(CQ878&gt;0,"Lift "&amp;W878&amp;" lt. Liftbericht (Fach "&amp;X878&amp;" Stk); ",IF(CA878=1,"Gebinde geschätzt ("&amp;T878&amp;"); ",IF(BZ878=1,"Lose – Tablare geschätzt; ","")))&amp;IF(H878&gt;AV878,"Überbestand "&amp;ROUND(H878-AV878,0)&amp;" Stk / CHF "&amp;ROUND((H878-AV878)*G878,0)&amp;"; ","")&amp;IF(AND(CH878=1,CI878&lt;CJ878),"MAX &lt; MB+LG; ","")&amp;IF(AND(CP878&gt;0,CO878*10&gt;CP878),"zu hoch für Tablar; ","")&amp;IF(AND(BV878=0,OR(CH878=1,AA878&lt;&gt;"",U878&lt;&gt;"",V878&lt;&gt;"",AB878&lt;&gt;"")),"manuell übersteuert; ","")&amp;IF(AND(BZ878=0,R878=0),"Gebinde unbekannt / Stellmass fehlt; ","")&amp;IF(AND(BZ878=0,N(V878)&lt;=0,N(Q878)&lt;=0),"Menge pro Gebinde fehlt (Ist = 1 Gebinde); ","")&amp;BU878)</f>
        <v>negativer Bestand (Export -35); Kein Verbrauch; Überbestand 14 Stk / CHF 12; Überbestand</v>
      </c>
      <c r="BN878" s="48"/>
      <c r="BO878" s="48"/>
      <c r="BP878" s="55"/>
      <c r="BQ878" s="50" t="n">
        <v>-35</v>
      </c>
      <c r="BR878" s="50" t="n">
        <v>50</v>
      </c>
      <c r="BS878" s="49" t="n">
        <v>-24.75</v>
      </c>
      <c r="BT878" s="50" t="n">
        <v>0</v>
      </c>
      <c r="BU878" s="48" t="s">
        <v>401</v>
      </c>
      <c r="BV878" s="53" t="n">
        <v>0</v>
      </c>
      <c r="BW878" s="53" t="n">
        <v>878</v>
      </c>
      <c r="BX878" s="48" t="str">
        <f aca="false">IF(U878&lt;&gt;"",UPPER(TRIM(U878)),IF(CA878=1,UPPER(VLOOKUP(T878,Parameter!$I$27:$K$29,2,0)),IF(P878="","LOSE",P878)))</f>
        <v>S41</v>
      </c>
      <c r="BY878" s="50" t="n">
        <f aca="false">IF(BX878="LOSE",1,IF(N(V878)&gt;0,V878,IF(CA878=1,MAX(1,N(VLOOKUP(T878,Parameter!$I$27:$K$29,3,0)),H878,N(N878)),IF(N(Q878)&gt;0,Q878,MAX(1,H878)))))</f>
        <v>50</v>
      </c>
      <c r="BZ878" s="53" t="n">
        <f aca="false">IF(BX878="LOSE",1,0)</f>
        <v>0</v>
      </c>
      <c r="CA878" s="53" t="n">
        <f aca="false">IF(AND(U878="",OR(P878="",P878="LOSE"),T878&lt;&gt;"",N(S878)&lt;=0,ISNUMBER(MATCH(T878,Parameter!$I$27:$I$29,0))),1,0)</f>
        <v>0</v>
      </c>
      <c r="CB878" s="53" t="n">
        <f aca="false">IF(CQ878&gt;0,INDEX(Parameter!$H$5:$H$7,W878)/INDEX(Parameter!$E$5:$E$7,W878),IF(AND(BZ878=0,N(IFERROR(VLOOKUP(BX878,'Gebinde-Kategorie'!$A$5:$N$45,14,0),0))&gt;0),VLOOKUP(BX878,'Gebinde-Kategorie'!$A$5:$N$45,14,0)*10+Parameter!$M$23,Parameter!$M$24))</f>
        <v>155</v>
      </c>
      <c r="CC878" s="48" t="str">
        <f aca="false">IF(AND(Parameter!$B$19="Ja",E878&lt;&gt;"",ISNUMBER(MATCH(E878,Parameter!$I$35:$I$52,0))),VLOOKUP(E878,Parameter!$I$35:$J$52,2,0),IFERROR(VLOOKUP(D878,Parameter!$A$35:$C$64,2,0),"Nein"))</f>
        <v>2+3</v>
      </c>
      <c r="CD878" s="52" t="n">
        <f aca="false">IF(BZ878=0,0,IF(N(S878)&gt;0,S878,IFERROR(VLOOKUP(D878,Parameter!$A$35:$C$64,3,0)+0,0)))</f>
        <v>0</v>
      </c>
      <c r="CE878" s="48" t="n">
        <f aca="false">IF(AA878&lt;&gt;"",AA878,Z878)</f>
        <v>3</v>
      </c>
      <c r="CF878" s="48" t="str">
        <f aca="false">IF(OR(CE878=1,CE878=2,CE878=3),IF(Parameter!$E$27="Ja","LIFT",IF(CE878=1,"L1","L23")),IF(CE878="Aussen","Aussen","-"))</f>
        <v>LIFT</v>
      </c>
      <c r="CG878" s="59" t="n">
        <f aca="false">IF(N(AB878)&gt;0,AB878,0)</f>
        <v>0</v>
      </c>
      <c r="CH878" s="53" t="n">
        <f aca="false">IF(ISNUMBER(AE878),1,0)</f>
        <v>0</v>
      </c>
      <c r="CI878" s="50" t="n">
        <f aca="false">N(AE878)</f>
        <v>0</v>
      </c>
      <c r="CJ878" s="50" t="n">
        <f aca="false">N(M878)+N(N878)</f>
        <v>1</v>
      </c>
      <c r="CK878" s="50" t="n">
        <f aca="false">N(M878)</f>
        <v>0</v>
      </c>
      <c r="CL878" s="50" t="n">
        <f aca="false">N(N878)</f>
        <v>1</v>
      </c>
      <c r="CM878" s="50" t="n">
        <f aca="false">ROUNDUP(H878/BY878,0)</f>
        <v>1</v>
      </c>
      <c r="CN878" s="50" t="n">
        <f aca="false">ROUNDUP(CI878/BY878,0)</f>
        <v>0</v>
      </c>
      <c r="CO878" s="53" t="n">
        <f aca="false">IF(BZ878=1,0,IFERROR(VLOOKUP(BX878,'Gebinde-Kategorie'!$A$5:$N$45,5,0)+0,0))</f>
        <v>11</v>
      </c>
      <c r="CP878" s="53" t="n">
        <f aca="false">IFERROR(IF(OR(CE878=1,CE878=2,CE878=3),N(INDEX(Parameter!$I$5:$I$7,CE878)),0),0)</f>
        <v>0</v>
      </c>
      <c r="CQ878" s="52" t="n">
        <f aca="false">IF(AND(Parameter!$B$21="Ja",ISNUMBER(W878),N(X878)&gt;0),IFERROR(N(INDEX(Parameter!$L$5:$L$7,W878))*INDEX(Parameter!$E$5:$E$7,W878)*X878/SUMIFS($X$7:$X$1843,$W$7:$W$1843,W878),0),0)</f>
        <v>0</v>
      </c>
    </row>
    <row r="879" customFormat="false" ht="15" hidden="false" customHeight="false" outlineLevel="0" collapsed="false">
      <c r="A879" s="48" t="s">
        <v>1672</v>
      </c>
      <c r="B879" s="48" t="s">
        <v>414</v>
      </c>
      <c r="C879" s="48" t="s">
        <v>173</v>
      </c>
      <c r="D879" s="48" t="s">
        <v>193</v>
      </c>
      <c r="E879" s="48" t="s">
        <v>194</v>
      </c>
      <c r="F879" s="48" t="s">
        <v>227</v>
      </c>
      <c r="G879" s="49" t="n">
        <v>0.04</v>
      </c>
      <c r="H879" s="50" t="n">
        <f aca="false">MAX(0,IF(AND(Parameter!$B$21="Ja",ISNUMBER(Y879)),Y879,IF(Parameter!$B$20="Jahresanfang 2025 + Export",BR879+BQ879,BQ879)))</f>
        <v>419</v>
      </c>
      <c r="I879" s="50" t="n">
        <f aca="false">H879*G879</f>
        <v>16.76</v>
      </c>
      <c r="J879" s="50" t="n">
        <f aca="false">BT879*Parameter!$B$18</f>
        <v>356</v>
      </c>
      <c r="K879" s="51" t="n">
        <v>638.5</v>
      </c>
      <c r="L879" s="52" t="n">
        <v>0.557556773688332</v>
      </c>
      <c r="M879" s="50" t="n">
        <v>20</v>
      </c>
      <c r="N879" s="50" t="n">
        <v>355</v>
      </c>
      <c r="O879" s="53" t="n">
        <v>21</v>
      </c>
      <c r="P879" s="48" t="s">
        <v>430</v>
      </c>
      <c r="Q879" s="50" t="n">
        <v>1419</v>
      </c>
      <c r="R879" s="53" t="n">
        <f aca="false">IF(BZ879=1,0,IFERROR(VLOOKUP(BX879,'Gebinde-Kategorie'!$A$5:$N$45,13,0)+0,0))</f>
        <v>104</v>
      </c>
      <c r="S879" s="54"/>
      <c r="T879" s="55"/>
      <c r="U879" s="55"/>
      <c r="V879" s="55"/>
      <c r="W879" s="48"/>
      <c r="X879" s="50"/>
      <c r="Y879" s="50"/>
      <c r="Z879" s="48" t="n">
        <f aca="false">IF(A879="","",IF(AND(Parameter!$B$21="Ja",ISNUMBER(W879)),W879,IF(CC879="2+3",IF(ISNUMBER(SEARCH("grosser Artikel",BU879)),2,IFERROR(VLOOKUP(BX879,Parameter!$F$35:$G$64,2,0),2)),IF(OR(CC879="Nein",CC879=""),"-",CC879))))</f>
        <v>3</v>
      </c>
      <c r="AA879" s="55"/>
      <c r="AB879" s="56"/>
      <c r="AC879" s="50" t="n">
        <f aca="false">AV879</f>
        <v>375</v>
      </c>
      <c r="AD879" s="50" t="n">
        <f aca="false">MAX(AV879,H879)</f>
        <v>419</v>
      </c>
      <c r="AE879" s="57"/>
      <c r="AF879" s="50" t="n">
        <f aca="false">IF(LEFT(Cockpit!$C$5,1)="A",H879,IF(Parameter!$E$30="MAX-Bestand",IF(CH879=1,CI879,IF(LEFT(Cockpit!$C$5,1)="B",AL879,MAX(AL879,H879))),ROUNDUP(AJ879,0)))</f>
        <v>419</v>
      </c>
      <c r="AG879" s="50" t="n">
        <f aca="false">IF(BZ879=1,0,ROUNDUP(AF879/BY879,0))</f>
        <v>1</v>
      </c>
      <c r="AH879" s="52" t="n">
        <f aca="false">IF(CQ879&gt;0,CQ879*MAX(1,AF879/X879),IF(BZ879=1,IF(AF879&lt;=0,0,CD879*MAX(1,IF(H879&gt;0,AF879/H879,1))),IF(R879&gt;0,AG879/R879,0))/MAX(0.1,N(Parameter!$M$21)))</f>
        <v>0.00961538461538462</v>
      </c>
      <c r="AI879" s="50" t="n">
        <f aca="false">AH879*CB879</f>
        <v>1.49038461538462</v>
      </c>
      <c r="AJ879" s="51" t="n">
        <f aca="false">IF(LEFT(Cockpit!$C$5,1)="A",H879,IF(CH879=1,(CK879+CI879)/2,IF(LEFT(Cockpit!$C$5,1)="B",(CK879+AL879)/2,MAX((CK879+AL879)/2,H879))))</f>
        <v>419</v>
      </c>
      <c r="AK879" s="50" t="n">
        <f aca="false">AJ879*G879</f>
        <v>16.76</v>
      </c>
      <c r="AL879" s="50" t="n">
        <f aca="false">ROUNDUP(CK879+MAX(CL879,2*(J879/IF(CG879&gt;0,CG879,MAX(0.1,N(Cockpit!$C$6)))-CK879)),0)</f>
        <v>375</v>
      </c>
      <c r="AM879" s="51" t="n">
        <f aca="false">IF(AI879&gt;0,J879/AI879,-1)</f>
        <v>238.864516129032</v>
      </c>
      <c r="AN879" s="51" t="n">
        <f aca="false">IF(AND(OR(CF879="L1",CF879="L23",CF879="LIFT"),AI879&gt;0),SUMIFS($AI$7:$AI$1843,$CF$7:$CF$1843,CF879,$AM$7:$AM$1843,"&gt;"&amp;AM879)+SUMIFS($AI$7:$AI$1843,$CF$7:$CF$1843,CF879,$AM$7:$AM$1843,AM879,$BW$7:$BW$1843,"&lt;="&amp;BW879),"")</f>
        <v>305.937271062271</v>
      </c>
      <c r="AO879" s="58" t="n">
        <f aca="false">IF(AN879="",0,MAX(0,MIN(1,(IF(CF879="L1",Parameter!$H$5,IF(CF879="L23",Parameter!$H$6+Parameter!$H$7,Parameter!$H$5+Parameter!$H$6+Parameter!$H$7))-(AN879-AI879))/AI879)))</f>
        <v>1</v>
      </c>
      <c r="AP879" s="50" t="n">
        <f aca="false">IF(LEFT(Cockpit!$I$5,1)="A",H879,IF(Parameter!$E$30="MAX-Bestand",IF(CH879=1,CI879,IF(LEFT(Cockpit!$I$5,1)="B",AV879,MAX(AV879,H879))),ROUNDUP(AT879,0)))</f>
        <v>419</v>
      </c>
      <c r="AQ879" s="50" t="n">
        <f aca="false">IF(BZ879=1,0,ROUNDUP(AP879/BY879,0))</f>
        <v>1</v>
      </c>
      <c r="AR879" s="52" t="n">
        <f aca="false">IF(CQ879&gt;0,CQ879*MAX(1,AP879/X879),IF(BZ879=1,IF(AP879&lt;=0,0,CD879*MAX(1,IF(H879&gt;0,AP879/H879,1))),IF(R879&gt;0,AQ879/R879,0))/MAX(0.1,N(Parameter!$M$21)))</f>
        <v>0.00961538461538462</v>
      </c>
      <c r="AS879" s="50" t="n">
        <f aca="false">AR879*CB879</f>
        <v>1.49038461538462</v>
      </c>
      <c r="AT879" s="51" t="n">
        <f aca="false">IF(LEFT(Cockpit!$I$5,1)="A",H879,IF(CH879=1,(CK879+CI879)/2,IF(LEFT(Cockpit!$I$5,1)="B",(CK879+AV879)/2,MAX((CK879+AV879)/2,H879))))</f>
        <v>419</v>
      </c>
      <c r="AU879" s="50" t="n">
        <f aca="false">AT879*G879</f>
        <v>16.76</v>
      </c>
      <c r="AV879" s="50" t="n">
        <f aca="false">ROUNDUP(CK879+MAX(CL879,2*(J879/IF(CG879&gt;0,CG879,MAX(0.1,N(Cockpit!$I$6)))-CK879)),0)</f>
        <v>375</v>
      </c>
      <c r="AW879" s="51" t="n">
        <f aca="false">IF(AS879&gt;0,J879/AS879,-1)</f>
        <v>238.864516129032</v>
      </c>
      <c r="AX879" s="51" t="n">
        <f aca="false">IF(AND(OR(CF879="L1",CF879="L23",CF879="LIFT"),AS879&gt;0),SUMIFS($AS$7:$AS$1843,$CF$7:$CF$1843,CF879,$AW$7:$AW$1843,"&gt;"&amp;AW879)+SUMIFS($AS$7:$AS$1843,$CF$7:$CF$1843,CF879,$AW$7:$AW$1843,AW879,$BW$7:$BW$1843,"&lt;="&amp;BW879),"")</f>
        <v>258.999542124542</v>
      </c>
      <c r="AY879" s="58" t="n">
        <f aca="false">IF(AX879="",0,MAX(0,MIN(1,(IF(CF879="L1",Parameter!$H$5,IF(CF879="L23",Parameter!$H$6+Parameter!$H$7,Parameter!$H$5+Parameter!$H$6+Parameter!$H$7))-(AX879-AS879))/AS879)))</f>
        <v>1</v>
      </c>
      <c r="AZ879" s="50" t="n">
        <f aca="false">IF(LEFT(Cockpit!$O$5,1)="A",H879,IF(Parameter!$E$30="MAX-Bestand",IF(CH879=1,CI879,IF(LEFT(Cockpit!$O$5,1)="B",BF879,MAX(BF879,H879))),ROUNDUP(BD879,0)))</f>
        <v>198</v>
      </c>
      <c r="BA879" s="50" t="n">
        <f aca="false">IF(BZ879=1,0,ROUNDUP(AZ879/BY879,0))</f>
        <v>1</v>
      </c>
      <c r="BB879" s="52" t="n">
        <f aca="false">IF(CQ879&gt;0,CQ879*MAX(1,AZ879/X879),IF(BZ879=1,IF(AZ879&lt;=0,0,CD879*MAX(1,IF(H879&gt;0,AZ879/H879,1))),IF(R879&gt;0,BA879/R879,0))/MAX(0.1,N(Parameter!$M$21)))</f>
        <v>0.00961538461538462</v>
      </c>
      <c r="BC879" s="50" t="n">
        <f aca="false">BB879*CB879</f>
        <v>1.49038461538462</v>
      </c>
      <c r="BD879" s="51" t="n">
        <f aca="false">IF(LEFT(Cockpit!$O$5,1)="A",H879,IF(CH879=1,(CK879+CI879)/2,IF(LEFT(Cockpit!$O$5,1)="B",(CK879+BF879)/2,MAX((CK879+BF879)/2,H879))))</f>
        <v>197.5</v>
      </c>
      <c r="BE879" s="50" t="n">
        <f aca="false">BD879*G879</f>
        <v>7.9</v>
      </c>
      <c r="BF879" s="50" t="n">
        <f aca="false">ROUNDUP(CK879+MAX(CL879,2*(J879/IF(CG879&gt;0,CG879,MAX(0.1,N(Cockpit!$O$6)))-CK879)),0)</f>
        <v>375</v>
      </c>
      <c r="BG879" s="51" t="n">
        <f aca="false">IF(BC879&gt;0,J879/BC879,-1)</f>
        <v>238.864516129032</v>
      </c>
      <c r="BH879" s="51" t="n">
        <f aca="false">IF(AND(OR(CF879="L1",CF879="L23",CF879="LIFT"),BC879&gt;0),SUMIFS($BC$7:$BC$1843,$CF$7:$CF$1843,CF879,$BG$7:$BG$1843,"&gt;"&amp;BG879)+SUMIFS($BC$7:$BC$1843,$CF$7:$CF$1843,CF879,$BG$7:$BG$1843,BG879,$BW$7:$BW$1843,"&lt;="&amp;BW879),"")</f>
        <v>314.309523809524</v>
      </c>
      <c r="BI879" s="58" t="n">
        <f aca="false">IF(BH879="",0,MAX(0,MIN(1,(IF(CF879="L1",Parameter!$H$5,IF(CF879="L23",Parameter!$H$6+Parameter!$H$7,Parameter!$H$5+Parameter!$H$6+Parameter!$H$7))-(BH879-BC879))/BC879)))</f>
        <v>1</v>
      </c>
      <c r="BJ879" s="48" t="str">
        <f aca="false">IF(AI879&lt;=0,"",IF(CF879="Aussen","Aussenlager",IF(CF879="-","Nicht im Lift",IF(AO879&gt;=1,"Lift",IF(AO879&lt;=0,"Aussenlager","teilweise")))))</f>
        <v>Lift</v>
      </c>
      <c r="BK879" s="48" t="str">
        <f aca="false">IF(AS879&lt;=0,"",IF(CF879="Aussen","Aussenlager",IF(CF879="-","Nicht im Lift",IF(AY879&gt;=1,"Lift",IF(AY879&lt;=0,"Aussenlager","teilweise")))))</f>
        <v>Lift</v>
      </c>
      <c r="BL879" s="48" t="str">
        <f aca="false">IF(BC879&lt;=0,"",IF(CF879="Aussen","Aussenlager",IF(CF879="-","Nicht im Lift",IF(BI879&gt;=1,"Lift",IF(BI879&lt;=0,"Aussenlager","teilweise")))))</f>
        <v>Lift</v>
      </c>
      <c r="BM879" s="48" t="str">
        <f aca="false">IF(A879="","",IF(BV879=1,"Neu; ","")&amp;IF(AND(BV879=0,BQ879&lt;0),"negativer Bestand (Export "&amp;BQ879&amp;"); ","")&amp;IF(J879&lt;=0,"Kein Verbrauch; ","")&amp;IF(CQ879&gt;0,"Lift "&amp;W879&amp;" lt. Liftbericht (Fach "&amp;X879&amp;" Stk); ",IF(CA879=1,"Gebinde geschätzt ("&amp;T879&amp;"); ",IF(BZ879=1,"Lose – Tablare geschätzt; ","")))&amp;IF(H879&gt;AV879,"Überbestand "&amp;ROUND(H879-AV879,0)&amp;" Stk / CHF "&amp;ROUND((H879-AV879)*G879,0)&amp;"; ","")&amp;IF(AND(CH879=1,CI879&lt;CJ879),"MAX &lt; MB+LG; ","")&amp;IF(AND(CP879&gt;0,CO879*10&gt;CP879),"zu hoch für Tablar; ","")&amp;IF(AND(BV879=0,OR(CH879=1,AA879&lt;&gt;"",U879&lt;&gt;"",V879&lt;&gt;"",AB879&lt;&gt;"")),"manuell übersteuert; ","")&amp;IF(AND(BZ879=0,R879=0),"Gebinde unbekannt / Stellmass fehlt; ","")&amp;IF(AND(BZ879=0,N(V879)&lt;=0,N(Q879)&lt;=0),"Menge pro Gebinde fehlt (Ist = 1 Gebinde); ","")&amp;BU879)</f>
        <v>negativer Bestand (Export -657); Überbestand 44 Stk / CHF 2; </v>
      </c>
      <c r="BN879" s="48"/>
      <c r="BO879" s="48"/>
      <c r="BP879" s="55"/>
      <c r="BQ879" s="50" t="n">
        <v>-657</v>
      </c>
      <c r="BR879" s="50" t="n">
        <v>1076</v>
      </c>
      <c r="BS879" s="49" t="n">
        <v>-26.28</v>
      </c>
      <c r="BT879" s="50" t="n">
        <v>356</v>
      </c>
      <c r="BU879" s="48"/>
      <c r="BV879" s="53" t="n">
        <v>0</v>
      </c>
      <c r="BW879" s="53" t="n">
        <v>879</v>
      </c>
      <c r="BX879" s="48" t="str">
        <f aca="false">IF(U879&lt;&gt;"",UPPER(TRIM(U879)),IF(CA879=1,UPPER(VLOOKUP(T879,Parameter!$I$27:$K$29,2,0)),IF(P879="","LOSE",P879)))</f>
        <v>S32</v>
      </c>
      <c r="BY879" s="50" t="n">
        <f aca="false">IF(BX879="LOSE",1,IF(N(V879)&gt;0,V879,IF(CA879=1,MAX(1,N(VLOOKUP(T879,Parameter!$I$27:$K$29,3,0)),H879,N(N879)),IF(N(Q879)&gt;0,Q879,MAX(1,H879)))))</f>
        <v>1419</v>
      </c>
      <c r="BZ879" s="53" t="n">
        <f aca="false">IF(BX879="LOSE",1,0)</f>
        <v>0</v>
      </c>
      <c r="CA879" s="53" t="n">
        <f aca="false">IF(AND(U879="",OR(P879="",P879="LOSE"),T879&lt;&gt;"",N(S879)&lt;=0,ISNUMBER(MATCH(T879,Parameter!$I$27:$I$29,0))),1,0)</f>
        <v>0</v>
      </c>
      <c r="CB879" s="53" t="n">
        <f aca="false">IF(CQ879&gt;0,INDEX(Parameter!$H$5:$H$7,W879)/INDEX(Parameter!$E$5:$E$7,W879),IF(AND(BZ879=0,N(IFERROR(VLOOKUP(BX879,'Gebinde-Kategorie'!$A$5:$N$45,14,0),0))&gt;0),VLOOKUP(BX879,'Gebinde-Kategorie'!$A$5:$N$45,14,0)*10+Parameter!$M$23,Parameter!$M$24))</f>
        <v>155</v>
      </c>
      <c r="CC879" s="48" t="str">
        <f aca="false">IF(AND(Parameter!$B$19="Ja",E879&lt;&gt;"",ISNUMBER(MATCH(E879,Parameter!$I$35:$I$52,0))),VLOOKUP(E879,Parameter!$I$35:$J$52,2,0),IFERROR(VLOOKUP(D879,Parameter!$A$35:$C$64,2,0),"Nein"))</f>
        <v>2+3</v>
      </c>
      <c r="CD879" s="52" t="n">
        <f aca="false">IF(BZ879=0,0,IF(N(S879)&gt;0,S879,IFERROR(VLOOKUP(D879,Parameter!$A$35:$C$64,3,0)+0,0)))</f>
        <v>0</v>
      </c>
      <c r="CE879" s="48" t="n">
        <f aca="false">IF(AA879&lt;&gt;"",AA879,Z879)</f>
        <v>3</v>
      </c>
      <c r="CF879" s="48" t="str">
        <f aca="false">IF(OR(CE879=1,CE879=2,CE879=3),IF(Parameter!$E$27="Ja","LIFT",IF(CE879=1,"L1","L23")),IF(CE879="Aussen","Aussen","-"))</f>
        <v>LIFT</v>
      </c>
      <c r="CG879" s="59" t="n">
        <f aca="false">IF(N(AB879)&gt;0,AB879,0)</f>
        <v>0</v>
      </c>
      <c r="CH879" s="53" t="n">
        <f aca="false">IF(ISNUMBER(AE879),1,0)</f>
        <v>0</v>
      </c>
      <c r="CI879" s="50" t="n">
        <f aca="false">N(AE879)</f>
        <v>0</v>
      </c>
      <c r="CJ879" s="50" t="n">
        <f aca="false">N(M879)+N(N879)</f>
        <v>375</v>
      </c>
      <c r="CK879" s="50" t="n">
        <f aca="false">N(M879)</f>
        <v>20</v>
      </c>
      <c r="CL879" s="50" t="n">
        <f aca="false">N(N879)</f>
        <v>355</v>
      </c>
      <c r="CM879" s="50" t="n">
        <f aca="false">ROUNDUP(H879/BY879,0)</f>
        <v>1</v>
      </c>
      <c r="CN879" s="50" t="n">
        <f aca="false">ROUNDUP(CI879/BY879,0)</f>
        <v>0</v>
      </c>
      <c r="CO879" s="53" t="n">
        <f aca="false">IF(BZ879=1,0,IFERROR(VLOOKUP(BX879,'Gebinde-Kategorie'!$A$5:$N$45,5,0)+0,0))</f>
        <v>8</v>
      </c>
      <c r="CP879" s="53" t="n">
        <f aca="false">IFERROR(IF(OR(CE879=1,CE879=2,CE879=3),N(INDEX(Parameter!$I$5:$I$7,CE879)),0),0)</f>
        <v>0</v>
      </c>
      <c r="CQ879" s="52" t="n">
        <f aca="false">IF(AND(Parameter!$B$21="Ja",ISNUMBER(W879),N(X879)&gt;0),IFERROR(N(INDEX(Parameter!$L$5:$L$7,W879))*INDEX(Parameter!$E$5:$E$7,W879)*X879/SUMIFS($X$7:$X$1843,$W$7:$W$1843,W879),0),0)</f>
        <v>0</v>
      </c>
    </row>
    <row r="880" customFormat="false" ht="15" hidden="false" customHeight="false" outlineLevel="0" collapsed="false">
      <c r="A880" s="48" t="s">
        <v>1673</v>
      </c>
      <c r="B880" s="48" t="s">
        <v>1674</v>
      </c>
      <c r="C880" s="48" t="s">
        <v>173</v>
      </c>
      <c r="D880" s="48" t="s">
        <v>193</v>
      </c>
      <c r="E880" s="48" t="s">
        <v>194</v>
      </c>
      <c r="F880" s="48" t="s">
        <v>227</v>
      </c>
      <c r="G880" s="49" t="n">
        <v>3.68</v>
      </c>
      <c r="H880" s="50" t="n">
        <f aca="false">MAX(0,IF(AND(Parameter!$B$21="Ja",ISNUMBER(Y880)),Y880,IF(Parameter!$B$20="Jahresanfang 2025 + Export",BR880+BQ880,BQ880)))</f>
        <v>29</v>
      </c>
      <c r="I880" s="50" t="n">
        <f aca="false">H880*G880</f>
        <v>106.72</v>
      </c>
      <c r="J880" s="50" t="n">
        <f aca="false">BT880*Parameter!$B$18</f>
        <v>74</v>
      </c>
      <c r="K880" s="51" t="n">
        <v>50</v>
      </c>
      <c r="L880" s="52" t="n">
        <v>1.48</v>
      </c>
      <c r="M880" s="50" t="n">
        <v>4</v>
      </c>
      <c r="N880" s="50" t="n">
        <v>50</v>
      </c>
      <c r="O880" s="53" t="n">
        <v>30</v>
      </c>
      <c r="P880" s="48" t="s">
        <v>311</v>
      </c>
      <c r="Q880" s="50" t="n">
        <v>30</v>
      </c>
      <c r="R880" s="53" t="n">
        <f aca="false">IF(BZ880=1,0,IFERROR(VLOOKUP(BX880,'Gebinde-Kategorie'!$A$5:$N$45,13,0)+0,0))</f>
        <v>26</v>
      </c>
      <c r="S880" s="54"/>
      <c r="T880" s="55"/>
      <c r="U880" s="55"/>
      <c r="V880" s="55"/>
      <c r="W880" s="48"/>
      <c r="X880" s="50"/>
      <c r="Y880" s="50"/>
      <c r="Z880" s="48" t="n">
        <f aca="false">IF(A880="","",IF(AND(Parameter!$B$21="Ja",ISNUMBER(W880)),W880,IF(CC880="2+3",IF(ISNUMBER(SEARCH("grosser Artikel",BU880)),2,IFERROR(VLOOKUP(BX880,Parameter!$F$35:$G$64,2,0),2)),IF(OR(CC880="Nein",CC880=""),"-",CC880))))</f>
        <v>3</v>
      </c>
      <c r="AA880" s="55"/>
      <c r="AB880" s="56"/>
      <c r="AC880" s="50" t="n">
        <f aca="false">AV880</f>
        <v>54</v>
      </c>
      <c r="AD880" s="50" t="n">
        <f aca="false">MAX(AV880,H880)</f>
        <v>54</v>
      </c>
      <c r="AE880" s="57"/>
      <c r="AF880" s="50" t="n">
        <f aca="false">IF(LEFT(Cockpit!$C$5,1)="A",H880,IF(Parameter!$E$30="MAX-Bestand",IF(CH880=1,CI880,IF(LEFT(Cockpit!$C$5,1)="B",AL880,MAX(AL880,H880))),ROUNDUP(AJ880,0)))</f>
        <v>29</v>
      </c>
      <c r="AG880" s="50" t="n">
        <f aca="false">IF(BZ880=1,0,ROUNDUP(AF880/BY880,0))</f>
        <v>1</v>
      </c>
      <c r="AH880" s="52" t="n">
        <f aca="false">IF(CQ880&gt;0,CQ880*MAX(1,AF880/X880),IF(BZ880=1,IF(AF880&lt;=0,0,CD880*MAX(1,IF(H880&gt;0,AF880/H880,1))),IF(R880&gt;0,AG880/R880,0))/MAX(0.1,N(Parameter!$M$21)))</f>
        <v>0.0384615384615385</v>
      </c>
      <c r="AI880" s="50" t="n">
        <f aca="false">AH880*CB880</f>
        <v>5.96153846153846</v>
      </c>
      <c r="AJ880" s="51" t="n">
        <f aca="false">IF(LEFT(Cockpit!$C$5,1)="A",H880,IF(CH880=1,(CK880+CI880)/2,IF(LEFT(Cockpit!$C$5,1)="B",(CK880+AL880)/2,MAX((CK880+AL880)/2,H880))))</f>
        <v>29</v>
      </c>
      <c r="AK880" s="50" t="n">
        <f aca="false">AJ880*G880</f>
        <v>106.72</v>
      </c>
      <c r="AL880" s="50" t="n">
        <f aca="false">ROUNDUP(CK880+MAX(CL880,2*(J880/IF(CG880&gt;0,CG880,MAX(0.1,N(Cockpit!$C$6)))-CK880)),0)</f>
        <v>54</v>
      </c>
      <c r="AM880" s="51" t="n">
        <f aca="false">IF(AI880&gt;0,J880/AI880,-1)</f>
        <v>12.4129032258065</v>
      </c>
      <c r="AN880" s="51" t="n">
        <f aca="false">IF(AND(OR(CF880="L1",CF880="L23",CF880="LIFT"),AI880&gt;0),SUMIFS($AI$7:$AI$1843,$CF$7:$CF$1843,CF880,$AM$7:$AM$1843,"&gt;"&amp;AM880)+SUMIFS($AI$7:$AI$1843,$CF$7:$CF$1843,CF880,$AM$7:$AM$1843,AM880,$BW$7:$BW$1843,"&lt;="&amp;BW880),"")</f>
        <v>2498.47710622711</v>
      </c>
      <c r="AO880" s="58" t="n">
        <f aca="false">IF(AN880="",0,MAX(0,MIN(1,(IF(CF880="L1",Parameter!$H$5,IF(CF880="L23",Parameter!$H$6+Parameter!$H$7,Parameter!$H$5+Parameter!$H$6+Parameter!$H$7))-(AN880-AI880))/AI880)))</f>
        <v>1</v>
      </c>
      <c r="AP880" s="50" t="n">
        <f aca="false">IF(LEFT(Cockpit!$I$5,1)="A",H880,IF(Parameter!$E$30="MAX-Bestand",IF(CH880=1,CI880,IF(LEFT(Cockpit!$I$5,1)="B",AV880,MAX(AV880,H880))),ROUNDUP(AT880,0)))</f>
        <v>29</v>
      </c>
      <c r="AQ880" s="50" t="n">
        <f aca="false">IF(BZ880=1,0,ROUNDUP(AP880/BY880,0))</f>
        <v>1</v>
      </c>
      <c r="AR880" s="52" t="n">
        <f aca="false">IF(CQ880&gt;0,CQ880*MAX(1,AP880/X880),IF(BZ880=1,IF(AP880&lt;=0,0,CD880*MAX(1,IF(H880&gt;0,AP880/H880,1))),IF(R880&gt;0,AQ880/R880,0))/MAX(0.1,N(Parameter!$M$21)))</f>
        <v>0.0384615384615385</v>
      </c>
      <c r="AS880" s="50" t="n">
        <f aca="false">AR880*CB880</f>
        <v>5.96153846153846</v>
      </c>
      <c r="AT880" s="51" t="n">
        <f aca="false">IF(LEFT(Cockpit!$I$5,1)="A",H880,IF(CH880=1,(CK880+CI880)/2,IF(LEFT(Cockpit!$I$5,1)="B",(CK880+AV880)/2,MAX((CK880+AV880)/2,H880))))</f>
        <v>29</v>
      </c>
      <c r="AU880" s="50" t="n">
        <f aca="false">AT880*G880</f>
        <v>106.72</v>
      </c>
      <c r="AV880" s="50" t="n">
        <f aca="false">ROUNDUP(CK880+MAX(CL880,2*(J880/IF(CG880&gt;0,CG880,MAX(0.1,N(Cockpit!$I$6)))-CK880)),0)</f>
        <v>54</v>
      </c>
      <c r="AW880" s="51" t="n">
        <f aca="false">IF(AS880&gt;0,J880/AS880,-1)</f>
        <v>12.4129032258065</v>
      </c>
      <c r="AX880" s="51" t="n">
        <f aca="false">IF(AND(OR(CF880="L1",CF880="L23",CF880="LIFT"),AS880&gt;0),SUMIFS($AS$7:$AS$1843,$CF$7:$CF$1843,CF880,$AW$7:$AW$1843,"&gt;"&amp;AW880)+SUMIFS($AS$7:$AS$1843,$CF$7:$CF$1843,CF880,$AW$7:$AW$1843,AW880,$BW$7:$BW$1843,"&lt;="&amp;BW880),"")</f>
        <v>3087.85622710623</v>
      </c>
      <c r="AY880" s="58" t="n">
        <f aca="false">IF(AX880="",0,MAX(0,MIN(1,(IF(CF880="L1",Parameter!$H$5,IF(CF880="L23",Parameter!$H$6+Parameter!$H$7,Parameter!$H$5+Parameter!$H$6+Parameter!$H$7))-(AX880-AS880))/AS880)))</f>
        <v>1</v>
      </c>
      <c r="AZ880" s="50" t="n">
        <f aca="false">IF(LEFT(Cockpit!$O$5,1)="A",H880,IF(Parameter!$E$30="MAX-Bestand",IF(CH880=1,CI880,IF(LEFT(Cockpit!$O$5,1)="B",BF880,MAX(BF880,H880))),ROUNDUP(BD880,0)))</f>
        <v>29</v>
      </c>
      <c r="BA880" s="50" t="n">
        <f aca="false">IF(BZ880=1,0,ROUNDUP(AZ880/BY880,0))</f>
        <v>1</v>
      </c>
      <c r="BB880" s="52" t="n">
        <f aca="false">IF(CQ880&gt;0,CQ880*MAX(1,AZ880/X880),IF(BZ880=1,IF(AZ880&lt;=0,0,CD880*MAX(1,IF(H880&gt;0,AZ880/H880,1))),IF(R880&gt;0,BA880/R880,0))/MAX(0.1,N(Parameter!$M$21)))</f>
        <v>0.0384615384615385</v>
      </c>
      <c r="BC880" s="50" t="n">
        <f aca="false">BB880*CB880</f>
        <v>5.96153846153846</v>
      </c>
      <c r="BD880" s="51" t="n">
        <f aca="false">IF(LEFT(Cockpit!$O$5,1)="A",H880,IF(CH880=1,(CK880+CI880)/2,IF(LEFT(Cockpit!$O$5,1)="B",(CK880+BF880)/2,MAX((CK880+BF880)/2,H880))))</f>
        <v>29</v>
      </c>
      <c r="BE880" s="50" t="n">
        <f aca="false">BD880*G880</f>
        <v>106.72</v>
      </c>
      <c r="BF880" s="50" t="n">
        <f aca="false">ROUNDUP(CK880+MAX(CL880,2*(J880/IF(CG880&gt;0,CG880,MAX(0.1,N(Cockpit!$O$6)))-CK880)),0)</f>
        <v>54</v>
      </c>
      <c r="BG880" s="51" t="n">
        <f aca="false">IF(BC880&gt;0,J880/BC880,-1)</f>
        <v>12.4129032258065</v>
      </c>
      <c r="BH880" s="51" t="n">
        <f aca="false">IF(AND(OR(CF880="L1",CF880="L23",CF880="LIFT"),BC880&gt;0),SUMIFS($BC$7:$BC$1843,$CF$7:$CF$1843,CF880,$BG$7:$BG$1843,"&gt;"&amp;BG880)+SUMIFS($BC$7:$BC$1843,$CF$7:$CF$1843,CF880,$BG$7:$BG$1843,BG880,$BW$7:$BW$1843,"&lt;="&amp;BW880),"")</f>
        <v>2562.79029304029</v>
      </c>
      <c r="BI880" s="58" t="n">
        <f aca="false">IF(BH880="",0,MAX(0,MIN(1,(IF(CF880="L1",Parameter!$H$5,IF(CF880="L23",Parameter!$H$6+Parameter!$H$7,Parameter!$H$5+Parameter!$H$6+Parameter!$H$7))-(BH880-BC880))/BC880)))</f>
        <v>1</v>
      </c>
      <c r="BJ880" s="48" t="str">
        <f aca="false">IF(AI880&lt;=0,"",IF(CF880="Aussen","Aussenlager",IF(CF880="-","Nicht im Lift",IF(AO880&gt;=1,"Lift",IF(AO880&lt;=0,"Aussenlager","teilweise")))))</f>
        <v>Lift</v>
      </c>
      <c r="BK880" s="48" t="str">
        <f aca="false">IF(AS880&lt;=0,"",IF(CF880="Aussen","Aussenlager",IF(CF880="-","Nicht im Lift",IF(AY880&gt;=1,"Lift",IF(AY880&lt;=0,"Aussenlager","teilweise")))))</f>
        <v>Lift</v>
      </c>
      <c r="BL880" s="48" t="str">
        <f aca="false">IF(BC880&lt;=0,"",IF(CF880="Aussen","Aussenlager",IF(CF880="-","Nicht im Lift",IF(BI880&gt;=1,"Lift",IF(BI880&lt;=0,"Aussenlager","teilweise")))))</f>
        <v>Lift</v>
      </c>
      <c r="BM880" s="48" t="str">
        <f aca="false">IF(A880="","",IF(BV880=1,"Neu; ","")&amp;IF(AND(BV880=0,BQ880&lt;0),"negativer Bestand (Export "&amp;BQ880&amp;"); ","")&amp;IF(J880&lt;=0,"Kein Verbrauch; ","")&amp;IF(CQ880&gt;0,"Lift "&amp;W880&amp;" lt. Liftbericht (Fach "&amp;X880&amp;" Stk); ",IF(CA880=1,"Gebinde geschätzt ("&amp;T880&amp;"); ",IF(BZ880=1,"Lose – Tablare geschätzt; ","")))&amp;IF(H880&gt;AV880,"Überbestand "&amp;ROUND(H880-AV880,0)&amp;" Stk / CHF "&amp;ROUND((H880-AV880)*G880,0)&amp;"; ","")&amp;IF(AND(CH880=1,CI880&lt;CJ880),"MAX &lt; MB+LG; ","")&amp;IF(AND(CP880&gt;0,CO880*10&gt;CP880),"zu hoch für Tablar; ","")&amp;IF(AND(BV880=0,OR(CH880=1,AA880&lt;&gt;"",U880&lt;&gt;"",V880&lt;&gt;"",AB880&lt;&gt;"")),"manuell übersteuert; ","")&amp;IF(AND(BZ880=0,R880=0),"Gebinde unbekannt / Stellmass fehlt; ","")&amp;IF(AND(BZ880=0,N(V880)&lt;=0,N(Q880)&lt;=0),"Menge pro Gebinde fehlt (Ist = 1 Gebinde); ","")&amp;BU880)</f>
        <v>negativer Bestand (Export -8); </v>
      </c>
      <c r="BN880" s="48"/>
      <c r="BO880" s="48"/>
      <c r="BP880" s="55"/>
      <c r="BQ880" s="50" t="n">
        <v>-8</v>
      </c>
      <c r="BR880" s="50" t="n">
        <v>37</v>
      </c>
      <c r="BS880" s="49" t="n">
        <v>-26.85</v>
      </c>
      <c r="BT880" s="50" t="n">
        <v>74</v>
      </c>
      <c r="BU880" s="48"/>
      <c r="BV880" s="53" t="n">
        <v>0</v>
      </c>
      <c r="BW880" s="53" t="n">
        <v>880</v>
      </c>
      <c r="BX880" s="48" t="str">
        <f aca="false">IF(U880&lt;&gt;"",UPPER(TRIM(U880)),IF(CA880=1,UPPER(VLOOKUP(T880,Parameter!$I$27:$K$29,2,0)),IF(P880="","LOSE",P880)))</f>
        <v>S51</v>
      </c>
      <c r="BY880" s="50" t="n">
        <f aca="false">IF(BX880="LOSE",1,IF(N(V880)&gt;0,V880,IF(CA880=1,MAX(1,N(VLOOKUP(T880,Parameter!$I$27:$K$29,3,0)),H880,N(N880)),IF(N(Q880)&gt;0,Q880,MAX(1,H880)))))</f>
        <v>30</v>
      </c>
      <c r="BZ880" s="53" t="n">
        <f aca="false">IF(BX880="LOSE",1,0)</f>
        <v>0</v>
      </c>
      <c r="CA880" s="53" t="n">
        <f aca="false">IF(AND(U880="",OR(P880="",P880="LOSE"),T880&lt;&gt;"",N(S880)&lt;=0,ISNUMBER(MATCH(T880,Parameter!$I$27:$I$29,0))),1,0)</f>
        <v>0</v>
      </c>
      <c r="CB880" s="53" t="n">
        <f aca="false">IF(CQ880&gt;0,INDEX(Parameter!$H$5:$H$7,W880)/INDEX(Parameter!$E$5:$E$7,W880),IF(AND(BZ880=0,N(IFERROR(VLOOKUP(BX880,'Gebinde-Kategorie'!$A$5:$N$45,14,0),0))&gt;0),VLOOKUP(BX880,'Gebinde-Kategorie'!$A$5:$N$45,14,0)*10+Parameter!$M$23,Parameter!$M$24))</f>
        <v>155</v>
      </c>
      <c r="CC880" s="48" t="str">
        <f aca="false">IF(AND(Parameter!$B$19="Ja",E880&lt;&gt;"",ISNUMBER(MATCH(E880,Parameter!$I$35:$I$52,0))),VLOOKUP(E880,Parameter!$I$35:$J$52,2,0),IFERROR(VLOOKUP(D880,Parameter!$A$35:$C$64,2,0),"Nein"))</f>
        <v>2+3</v>
      </c>
      <c r="CD880" s="52" t="n">
        <f aca="false">IF(BZ880=0,0,IF(N(S880)&gt;0,S880,IFERROR(VLOOKUP(D880,Parameter!$A$35:$C$64,3,0)+0,0)))</f>
        <v>0</v>
      </c>
      <c r="CE880" s="48" t="n">
        <f aca="false">IF(AA880&lt;&gt;"",AA880,Z880)</f>
        <v>3</v>
      </c>
      <c r="CF880" s="48" t="str">
        <f aca="false">IF(OR(CE880=1,CE880=2,CE880=3),IF(Parameter!$E$27="Ja","LIFT",IF(CE880=1,"L1","L23")),IF(CE880="Aussen","Aussen","-"))</f>
        <v>LIFT</v>
      </c>
      <c r="CG880" s="59" t="n">
        <f aca="false">IF(N(AB880)&gt;0,AB880,0)</f>
        <v>0</v>
      </c>
      <c r="CH880" s="53" t="n">
        <f aca="false">IF(ISNUMBER(AE880),1,0)</f>
        <v>0</v>
      </c>
      <c r="CI880" s="50" t="n">
        <f aca="false">N(AE880)</f>
        <v>0</v>
      </c>
      <c r="CJ880" s="50" t="n">
        <f aca="false">N(M880)+N(N880)</f>
        <v>54</v>
      </c>
      <c r="CK880" s="50" t="n">
        <f aca="false">N(M880)</f>
        <v>4</v>
      </c>
      <c r="CL880" s="50" t="n">
        <f aca="false">N(N880)</f>
        <v>50</v>
      </c>
      <c r="CM880" s="50" t="n">
        <f aca="false">ROUNDUP(H880/BY880,0)</f>
        <v>1</v>
      </c>
      <c r="CN880" s="50" t="n">
        <f aca="false">ROUNDUP(CI880/BY880,0)</f>
        <v>0</v>
      </c>
      <c r="CO880" s="53" t="n">
        <f aca="false">IF(BZ880=1,0,IFERROR(VLOOKUP(BX880,'Gebinde-Kategorie'!$A$5:$N$45,5,0)+0,0))</f>
        <v>11</v>
      </c>
      <c r="CP880" s="53" t="n">
        <f aca="false">IFERROR(IF(OR(CE880=1,CE880=2,CE880=3),N(INDEX(Parameter!$I$5:$I$7,CE880)),0),0)</f>
        <v>0</v>
      </c>
      <c r="CQ880" s="52" t="n">
        <f aca="false">IF(AND(Parameter!$B$21="Ja",ISNUMBER(W880),N(X880)&gt;0),IFERROR(N(INDEX(Parameter!$L$5:$L$7,W880))*INDEX(Parameter!$E$5:$E$7,W880)*X880/SUMIFS($X$7:$X$1843,$W$7:$W$1843,W880),0),0)</f>
        <v>0</v>
      </c>
    </row>
    <row r="881" customFormat="false" ht="15" hidden="false" customHeight="false" outlineLevel="0" collapsed="false">
      <c r="A881" s="48" t="s">
        <v>1675</v>
      </c>
      <c r="B881" s="48" t="s">
        <v>1676</v>
      </c>
      <c r="C881" s="48" t="s">
        <v>173</v>
      </c>
      <c r="D881" s="48" t="s">
        <v>193</v>
      </c>
      <c r="E881" s="48" t="s">
        <v>194</v>
      </c>
      <c r="F881" s="48" t="s">
        <v>227</v>
      </c>
      <c r="G881" s="49" t="n">
        <v>0.18</v>
      </c>
      <c r="H881" s="50" t="n">
        <f aca="false">MAX(0,IF(AND(Parameter!$B$21="Ja",ISNUMBER(Y881)),Y881,IF(Parameter!$B$20="Jahresanfang 2025 + Export",BR881+BQ881,BQ881)))</f>
        <v>949</v>
      </c>
      <c r="I881" s="50" t="n">
        <f aca="false">H881*G881</f>
        <v>170.82</v>
      </c>
      <c r="J881" s="50" t="n">
        <f aca="false">BT881*Parameter!$B$18</f>
        <v>300</v>
      </c>
      <c r="K881" s="51" t="n">
        <v>675</v>
      </c>
      <c r="L881" s="52" t="n">
        <v>0.444444444444444</v>
      </c>
      <c r="M881" s="50" t="n">
        <v>17</v>
      </c>
      <c r="N881" s="50" t="n">
        <v>1000</v>
      </c>
      <c r="O881" s="53" t="n">
        <v>21</v>
      </c>
      <c r="P881" s="48" t="s">
        <v>195</v>
      </c>
      <c r="Q881" s="50" t="n">
        <v>850</v>
      </c>
      <c r="R881" s="53" t="n">
        <f aca="false">IF(BZ881=1,0,IFERROR(VLOOKUP(BX881,'Gebinde-Kategorie'!$A$5:$N$45,13,0)+0,0))</f>
        <v>12</v>
      </c>
      <c r="S881" s="54"/>
      <c r="T881" s="55"/>
      <c r="U881" s="55"/>
      <c r="V881" s="55"/>
      <c r="W881" s="48"/>
      <c r="X881" s="50"/>
      <c r="Y881" s="50"/>
      <c r="Z881" s="48" t="n">
        <f aca="false">IF(A881="","",IF(AND(Parameter!$B$21="Ja",ISNUMBER(W881)),W881,IF(CC881="2+3",IF(ISNUMBER(SEARCH("grosser Artikel",BU881)),2,IFERROR(VLOOKUP(BX881,Parameter!$F$35:$G$64,2,0),2)),IF(OR(CC881="Nein",CC881=""),"-",CC881))))</f>
        <v>2</v>
      </c>
      <c r="AA881" s="55"/>
      <c r="AB881" s="56"/>
      <c r="AC881" s="50" t="n">
        <f aca="false">AV881</f>
        <v>1017</v>
      </c>
      <c r="AD881" s="50" t="n">
        <f aca="false">MAX(AV881,H881)</f>
        <v>1017</v>
      </c>
      <c r="AE881" s="57"/>
      <c r="AF881" s="50" t="n">
        <f aca="false">IF(LEFT(Cockpit!$C$5,1)="A",H881,IF(Parameter!$E$30="MAX-Bestand",IF(CH881=1,CI881,IF(LEFT(Cockpit!$C$5,1)="B",AL881,MAX(AL881,H881))),ROUNDUP(AJ881,0)))</f>
        <v>949</v>
      </c>
      <c r="AG881" s="50" t="n">
        <f aca="false">IF(BZ881=1,0,ROUNDUP(AF881/BY881,0))</f>
        <v>2</v>
      </c>
      <c r="AH881" s="52" t="n">
        <f aca="false">IF(CQ881&gt;0,CQ881*MAX(1,AF881/X881),IF(BZ881=1,IF(AF881&lt;=0,0,CD881*MAX(1,IF(H881&gt;0,AF881/H881,1))),IF(R881&gt;0,AG881/R881,0))/MAX(0.1,N(Parameter!$M$21)))</f>
        <v>0.166666666666667</v>
      </c>
      <c r="AI881" s="50" t="n">
        <f aca="false">AH881*CB881</f>
        <v>24.1666666666667</v>
      </c>
      <c r="AJ881" s="51" t="n">
        <f aca="false">IF(LEFT(Cockpit!$C$5,1)="A",H881,IF(CH881=1,(CK881+CI881)/2,IF(LEFT(Cockpit!$C$5,1)="B",(CK881+AL881)/2,MAX((CK881+AL881)/2,H881))))</f>
        <v>949</v>
      </c>
      <c r="AK881" s="50" t="n">
        <f aca="false">AJ881*G881</f>
        <v>170.82</v>
      </c>
      <c r="AL881" s="50" t="n">
        <f aca="false">ROUNDUP(CK881+MAX(CL881,2*(J881/IF(CG881&gt;0,CG881,MAX(0.1,N(Cockpit!$C$6)))-CK881)),0)</f>
        <v>1017</v>
      </c>
      <c r="AM881" s="51" t="n">
        <f aca="false">IF(AI881&gt;0,J881/AI881,-1)</f>
        <v>12.4137931034483</v>
      </c>
      <c r="AN881" s="51" t="n">
        <f aca="false">IF(AND(OR(CF881="L1",CF881="L23",CF881="LIFT"),AI881&gt;0),SUMIFS($AI$7:$AI$1843,$CF$7:$CF$1843,CF881,$AM$7:$AM$1843,"&gt;"&amp;AM881)+SUMIFS($AI$7:$AI$1843,$CF$7:$CF$1843,CF881,$AM$7:$AM$1843,AM881,$BW$7:$BW$1843,"&lt;="&amp;BW881),"")</f>
        <v>2474.63095238095</v>
      </c>
      <c r="AO881" s="58" t="n">
        <f aca="false">IF(AN881="",0,MAX(0,MIN(1,(IF(CF881="L1",Parameter!$H$5,IF(CF881="L23",Parameter!$H$6+Parameter!$H$7,Parameter!$H$5+Parameter!$H$6+Parameter!$H$7))-(AN881-AI881))/AI881)))</f>
        <v>1</v>
      </c>
      <c r="AP881" s="50" t="n">
        <f aca="false">IF(LEFT(Cockpit!$I$5,1)="A",H881,IF(Parameter!$E$30="MAX-Bestand",IF(CH881=1,CI881,IF(LEFT(Cockpit!$I$5,1)="B",AV881,MAX(AV881,H881))),ROUNDUP(AT881,0)))</f>
        <v>949</v>
      </c>
      <c r="AQ881" s="50" t="n">
        <f aca="false">IF(BZ881=1,0,ROUNDUP(AP881/BY881,0))</f>
        <v>2</v>
      </c>
      <c r="AR881" s="52" t="n">
        <f aca="false">IF(CQ881&gt;0,CQ881*MAX(1,AP881/X881),IF(BZ881=1,IF(AP881&lt;=0,0,CD881*MAX(1,IF(H881&gt;0,AP881/H881,1))),IF(R881&gt;0,AQ881/R881,0))/MAX(0.1,N(Parameter!$M$21)))</f>
        <v>0.166666666666667</v>
      </c>
      <c r="AS881" s="50" t="n">
        <f aca="false">AR881*CB881</f>
        <v>24.1666666666667</v>
      </c>
      <c r="AT881" s="51" t="n">
        <f aca="false">IF(LEFT(Cockpit!$I$5,1)="A",H881,IF(CH881=1,(CK881+CI881)/2,IF(LEFT(Cockpit!$I$5,1)="B",(CK881+AV881)/2,MAX((CK881+AV881)/2,H881))))</f>
        <v>949</v>
      </c>
      <c r="AU881" s="50" t="n">
        <f aca="false">AT881*G881</f>
        <v>170.82</v>
      </c>
      <c r="AV881" s="50" t="n">
        <f aca="false">ROUNDUP(CK881+MAX(CL881,2*(J881/IF(CG881&gt;0,CG881,MAX(0.1,N(Cockpit!$I$6)))-CK881)),0)</f>
        <v>1017</v>
      </c>
      <c r="AW881" s="51" t="n">
        <f aca="false">IF(AS881&gt;0,J881/AS881,-1)</f>
        <v>12.4137931034483</v>
      </c>
      <c r="AX881" s="51" t="n">
        <f aca="false">IF(AND(OR(CF881="L1",CF881="L23",CF881="LIFT"),AS881&gt;0),SUMIFS($AS$7:$AS$1843,$CF$7:$CF$1843,CF881,$AW$7:$AW$1843,"&gt;"&amp;AW881)+SUMIFS($AS$7:$AS$1843,$CF$7:$CF$1843,CF881,$AW$7:$AW$1843,AW881,$BW$7:$BW$1843,"&lt;="&amp;BW881),"")</f>
        <v>3064.01007326007</v>
      </c>
      <c r="AY881" s="58" t="n">
        <f aca="false">IF(AX881="",0,MAX(0,MIN(1,(IF(CF881="L1",Parameter!$H$5,IF(CF881="L23",Parameter!$H$6+Parameter!$H$7,Parameter!$H$5+Parameter!$H$6+Parameter!$H$7))-(AX881-AS881))/AS881)))</f>
        <v>1</v>
      </c>
      <c r="AZ881" s="50" t="n">
        <f aca="false">IF(LEFT(Cockpit!$O$5,1)="A",H881,IF(Parameter!$E$30="MAX-Bestand",IF(CH881=1,CI881,IF(LEFT(Cockpit!$O$5,1)="B",BF881,MAX(BF881,H881))),ROUNDUP(BD881,0)))</f>
        <v>517</v>
      </c>
      <c r="BA881" s="50" t="n">
        <f aca="false">IF(BZ881=1,0,ROUNDUP(AZ881/BY881,0))</f>
        <v>1</v>
      </c>
      <c r="BB881" s="52" t="n">
        <f aca="false">IF(CQ881&gt;0,CQ881*MAX(1,AZ881/X881),IF(BZ881=1,IF(AZ881&lt;=0,0,CD881*MAX(1,IF(H881&gt;0,AZ881/H881,1))),IF(R881&gt;0,BA881/R881,0))/MAX(0.1,N(Parameter!$M$21)))</f>
        <v>0.0833333333333333</v>
      </c>
      <c r="BC881" s="50" t="n">
        <f aca="false">BB881*CB881</f>
        <v>12.0833333333333</v>
      </c>
      <c r="BD881" s="51" t="n">
        <f aca="false">IF(LEFT(Cockpit!$O$5,1)="A",H881,IF(CH881=1,(CK881+CI881)/2,IF(LEFT(Cockpit!$O$5,1)="B",(CK881+BF881)/2,MAX((CK881+BF881)/2,H881))))</f>
        <v>517</v>
      </c>
      <c r="BE881" s="50" t="n">
        <f aca="false">BD881*G881</f>
        <v>93.06</v>
      </c>
      <c r="BF881" s="50" t="n">
        <f aca="false">ROUNDUP(CK881+MAX(CL881,2*(J881/IF(CG881&gt;0,CG881,MAX(0.1,N(Cockpit!$O$6)))-CK881)),0)</f>
        <v>1017</v>
      </c>
      <c r="BG881" s="51" t="n">
        <f aca="false">IF(BC881&gt;0,J881/BC881,-1)</f>
        <v>24.8275862068966</v>
      </c>
      <c r="BH881" s="51" t="n">
        <f aca="false">IF(AND(OR(CF881="L1",CF881="L23",CF881="LIFT"),BC881&gt;0),SUMIFS($BC$7:$BC$1843,$CF$7:$CF$1843,CF881,$BG$7:$BG$1843,"&gt;"&amp;BG881)+SUMIFS($BC$7:$BC$1843,$CF$7:$CF$1843,CF881,$BG$7:$BG$1843,BG881,$BW$7:$BW$1843,"&lt;="&amp;BW881),"")</f>
        <v>2084.93131868132</v>
      </c>
      <c r="BI881" s="58" t="n">
        <f aca="false">IF(BH881="",0,MAX(0,MIN(1,(IF(CF881="L1",Parameter!$H$5,IF(CF881="L23",Parameter!$H$6+Parameter!$H$7,Parameter!$H$5+Parameter!$H$6+Parameter!$H$7))-(BH881-BC881))/BC881)))</f>
        <v>1</v>
      </c>
      <c r="BJ881" s="48" t="str">
        <f aca="false">IF(AI881&lt;=0,"",IF(CF881="Aussen","Aussenlager",IF(CF881="-","Nicht im Lift",IF(AO881&gt;=1,"Lift",IF(AO881&lt;=0,"Aussenlager","teilweise")))))</f>
        <v>Lift</v>
      </c>
      <c r="BK881" s="48" t="str">
        <f aca="false">IF(AS881&lt;=0,"",IF(CF881="Aussen","Aussenlager",IF(CF881="-","Nicht im Lift",IF(AY881&gt;=1,"Lift",IF(AY881&lt;=0,"Aussenlager","teilweise")))))</f>
        <v>Lift</v>
      </c>
      <c r="BL881" s="48" t="str">
        <f aca="false">IF(BC881&lt;=0,"",IF(CF881="Aussen","Aussenlager",IF(CF881="-","Nicht im Lift",IF(BI881&gt;=1,"Lift",IF(BI881&lt;=0,"Aussenlager","teilweise")))))</f>
        <v>Lift</v>
      </c>
      <c r="BM881" s="48" t="str">
        <f aca="false">IF(A881="","",IF(BV881=1,"Neu; ","")&amp;IF(AND(BV881=0,BQ881&lt;0),"negativer Bestand (Export "&amp;BQ881&amp;"); ","")&amp;IF(J881&lt;=0,"Kein Verbrauch; ","")&amp;IF(CQ881&gt;0,"Lift "&amp;W881&amp;" lt. Liftbericht (Fach "&amp;X881&amp;" Stk); ",IF(CA881=1,"Gebinde geschätzt ("&amp;T881&amp;"); ",IF(BZ881=1,"Lose – Tablare geschätzt; ","")))&amp;IF(H881&gt;AV881,"Überbestand "&amp;ROUND(H881-AV881,0)&amp;" Stk / CHF "&amp;ROUND((H881-AV881)*G881,0)&amp;"; ","")&amp;IF(AND(CH881=1,CI881&lt;CJ881),"MAX &lt; MB+LG; ","")&amp;IF(AND(CP881&gt;0,CO881*10&gt;CP881),"zu hoch für Tablar; ","")&amp;IF(AND(BV881=0,OR(CH881=1,AA881&lt;&gt;"",U881&lt;&gt;"",V881&lt;&gt;"",AB881&lt;&gt;"")),"manuell übersteuert; ","")&amp;IF(AND(BZ881=0,R881=0),"Gebinde unbekannt / Stellmass fehlt; ","")&amp;IF(AND(BZ881=0,N(V881)&lt;=0,N(Q881)&lt;=0),"Menge pro Gebinde fehlt (Ist = 1 Gebinde); ","")&amp;BU881)</f>
        <v>negativer Bestand (Export -151); </v>
      </c>
      <c r="BN881" s="48"/>
      <c r="BO881" s="48"/>
      <c r="BP881" s="55"/>
      <c r="BQ881" s="50" t="n">
        <v>-151</v>
      </c>
      <c r="BR881" s="50" t="n">
        <v>1100</v>
      </c>
      <c r="BS881" s="49" t="n">
        <v>-27.18</v>
      </c>
      <c r="BT881" s="50" t="n">
        <v>300</v>
      </c>
      <c r="BU881" s="48"/>
      <c r="BV881" s="53" t="n">
        <v>0</v>
      </c>
      <c r="BW881" s="53" t="n">
        <v>881</v>
      </c>
      <c r="BX881" s="48" t="str">
        <f aca="false">IF(U881&lt;&gt;"",UPPER(TRIM(U881)),IF(CA881=1,UPPER(VLOOKUP(T881,Parameter!$I$27:$K$29,2,0)),IF(P881="","LOSE",P881)))</f>
        <v>S61</v>
      </c>
      <c r="BY881" s="50" t="n">
        <f aca="false">IF(BX881="LOSE",1,IF(N(V881)&gt;0,V881,IF(CA881=1,MAX(1,N(VLOOKUP(T881,Parameter!$I$27:$K$29,3,0)),H881,N(N881)),IF(N(Q881)&gt;0,Q881,MAX(1,H881)))))</f>
        <v>850</v>
      </c>
      <c r="BZ881" s="53" t="n">
        <f aca="false">IF(BX881="LOSE",1,0)</f>
        <v>0</v>
      </c>
      <c r="CA881" s="53" t="n">
        <f aca="false">IF(AND(U881="",OR(P881="",P881="LOSE"),T881&lt;&gt;"",N(S881)&lt;=0,ISNUMBER(MATCH(T881,Parameter!$I$27:$I$29,0))),1,0)</f>
        <v>0</v>
      </c>
      <c r="CB881" s="53" t="n">
        <f aca="false">IF(CQ881&gt;0,INDEX(Parameter!$H$5:$H$7,W881)/INDEX(Parameter!$E$5:$E$7,W881),IF(AND(BZ881=0,N(IFERROR(VLOOKUP(BX881,'Gebinde-Kategorie'!$A$5:$N$45,14,0),0))&gt;0),VLOOKUP(BX881,'Gebinde-Kategorie'!$A$5:$N$45,14,0)*10+Parameter!$M$23,Parameter!$M$24))</f>
        <v>145</v>
      </c>
      <c r="CC881" s="48" t="str">
        <f aca="false">IF(AND(Parameter!$B$19="Ja",E881&lt;&gt;"",ISNUMBER(MATCH(E881,Parameter!$I$35:$I$52,0))),VLOOKUP(E881,Parameter!$I$35:$J$52,2,0),IFERROR(VLOOKUP(D881,Parameter!$A$35:$C$64,2,0),"Nein"))</f>
        <v>2+3</v>
      </c>
      <c r="CD881" s="52" t="n">
        <f aca="false">IF(BZ881=0,0,IF(N(S881)&gt;0,S881,IFERROR(VLOOKUP(D881,Parameter!$A$35:$C$64,3,0)+0,0)))</f>
        <v>0</v>
      </c>
      <c r="CE881" s="48" t="n">
        <f aca="false">IF(AA881&lt;&gt;"",AA881,Z881)</f>
        <v>2</v>
      </c>
      <c r="CF881" s="48" t="str">
        <f aca="false">IF(OR(CE881=1,CE881=2,CE881=3),IF(Parameter!$E$27="Ja","LIFT",IF(CE881=1,"L1","L23")),IF(CE881="Aussen","Aussen","-"))</f>
        <v>LIFT</v>
      </c>
      <c r="CG881" s="59" t="n">
        <f aca="false">IF(N(AB881)&gt;0,AB881,0)</f>
        <v>0</v>
      </c>
      <c r="CH881" s="53" t="n">
        <f aca="false">IF(ISNUMBER(AE881),1,0)</f>
        <v>0</v>
      </c>
      <c r="CI881" s="50" t="n">
        <f aca="false">N(AE881)</f>
        <v>0</v>
      </c>
      <c r="CJ881" s="50" t="n">
        <f aca="false">N(M881)+N(N881)</f>
        <v>1017</v>
      </c>
      <c r="CK881" s="50" t="n">
        <f aca="false">N(M881)</f>
        <v>17</v>
      </c>
      <c r="CL881" s="50" t="n">
        <f aca="false">N(N881)</f>
        <v>1000</v>
      </c>
      <c r="CM881" s="50" t="n">
        <f aca="false">ROUNDUP(H881/BY881,0)</f>
        <v>2</v>
      </c>
      <c r="CN881" s="50" t="n">
        <f aca="false">ROUNDUP(CI881/BY881,0)</f>
        <v>0</v>
      </c>
      <c r="CO881" s="53" t="n">
        <f aca="false">IF(BZ881=1,0,IFERROR(VLOOKUP(BX881,'Gebinde-Kategorie'!$A$5:$N$45,5,0)+0,0))</f>
        <v>11</v>
      </c>
      <c r="CP881" s="53" t="n">
        <f aca="false">IFERROR(IF(OR(CE881=1,CE881=2,CE881=3),N(INDEX(Parameter!$I$5:$I$7,CE881)),0),0)</f>
        <v>0</v>
      </c>
      <c r="CQ881" s="52" t="n">
        <f aca="false">IF(AND(Parameter!$B$21="Ja",ISNUMBER(W881),N(X881)&gt;0),IFERROR(N(INDEX(Parameter!$L$5:$L$7,W881))*INDEX(Parameter!$E$5:$E$7,W881)*X881/SUMIFS($X$7:$X$1843,$W$7:$W$1843,W881),0),0)</f>
        <v>0</v>
      </c>
    </row>
    <row r="882" customFormat="false" ht="15" hidden="false" customHeight="false" outlineLevel="0" collapsed="false">
      <c r="A882" s="48" t="s">
        <v>1677</v>
      </c>
      <c r="B882" s="48" t="s">
        <v>498</v>
      </c>
      <c r="C882" s="48" t="s">
        <v>173</v>
      </c>
      <c r="D882" s="48" t="s">
        <v>193</v>
      </c>
      <c r="E882" s="48" t="s">
        <v>194</v>
      </c>
      <c r="F882" s="48" t="s">
        <v>227</v>
      </c>
      <c r="G882" s="49" t="n">
        <v>1.78</v>
      </c>
      <c r="H882" s="50" t="n">
        <f aca="false">MAX(0,IF(AND(Parameter!$B$21="Ja",ISNUMBER(Y882)),Y882,IF(Parameter!$B$20="Jahresanfang 2025 + Export",BR882+BQ882,BQ882)))</f>
        <v>104</v>
      </c>
      <c r="I882" s="50" t="n">
        <f aca="false">H882*G882</f>
        <v>185.12</v>
      </c>
      <c r="J882" s="50" t="n">
        <f aca="false">BT882*Parameter!$B$18</f>
        <v>187</v>
      </c>
      <c r="K882" s="51" t="n">
        <v>180</v>
      </c>
      <c r="L882" s="52" t="n">
        <v>1.03888888888889</v>
      </c>
      <c r="M882" s="50" t="n">
        <v>7</v>
      </c>
      <c r="N882" s="50" t="n">
        <v>185</v>
      </c>
      <c r="O882" s="53" t="n">
        <v>14</v>
      </c>
      <c r="P882" s="48" t="s">
        <v>435</v>
      </c>
      <c r="Q882" s="50" t="n">
        <v>547</v>
      </c>
      <c r="R882" s="53" t="n">
        <f aca="false">IF(BZ882=1,0,IFERROR(VLOOKUP(BX882,'Gebinde-Kategorie'!$A$5:$N$45,13,0)+0,0))</f>
        <v>140</v>
      </c>
      <c r="S882" s="54"/>
      <c r="T882" s="55"/>
      <c r="U882" s="55"/>
      <c r="V882" s="55"/>
      <c r="W882" s="48"/>
      <c r="X882" s="50"/>
      <c r="Y882" s="50"/>
      <c r="Z882" s="48" t="n">
        <f aca="false">IF(A882="","",IF(AND(Parameter!$B$21="Ja",ISNUMBER(W882)),W882,IF(CC882="2+3",IF(ISNUMBER(SEARCH("grosser Artikel",BU882)),2,IFERROR(VLOOKUP(BX882,Parameter!$F$35:$G$64,2,0),2)),IF(OR(CC882="Nein",CC882=""),"-",CC882))))</f>
        <v>3</v>
      </c>
      <c r="AA882" s="55"/>
      <c r="AB882" s="56"/>
      <c r="AC882" s="50" t="n">
        <f aca="false">AV882</f>
        <v>192</v>
      </c>
      <c r="AD882" s="50" t="n">
        <f aca="false">MAX(AV882,H882)</f>
        <v>192</v>
      </c>
      <c r="AE882" s="57"/>
      <c r="AF882" s="50" t="n">
        <f aca="false">IF(LEFT(Cockpit!$C$5,1)="A",H882,IF(Parameter!$E$30="MAX-Bestand",IF(CH882=1,CI882,IF(LEFT(Cockpit!$C$5,1)="B",AL882,MAX(AL882,H882))),ROUNDUP(AJ882,0)))</f>
        <v>104</v>
      </c>
      <c r="AG882" s="50" t="n">
        <f aca="false">IF(BZ882=1,0,ROUNDUP(AF882/BY882,0))</f>
        <v>1</v>
      </c>
      <c r="AH882" s="52" t="n">
        <f aca="false">IF(CQ882&gt;0,CQ882*MAX(1,AF882/X882),IF(BZ882=1,IF(AF882&lt;=0,0,CD882*MAX(1,IF(H882&gt;0,AF882/H882,1))),IF(R882&gt;0,AG882/R882,0))/MAX(0.1,N(Parameter!$M$21)))</f>
        <v>0.00714285714285714</v>
      </c>
      <c r="AI882" s="50" t="n">
        <f aca="false">AH882*CB882</f>
        <v>1.10714285714286</v>
      </c>
      <c r="AJ882" s="51" t="n">
        <f aca="false">IF(LEFT(Cockpit!$C$5,1)="A",H882,IF(CH882=1,(CK882+CI882)/2,IF(LEFT(Cockpit!$C$5,1)="B",(CK882+AL882)/2,MAX((CK882+AL882)/2,H882))))</f>
        <v>104</v>
      </c>
      <c r="AK882" s="50" t="n">
        <f aca="false">AJ882*G882</f>
        <v>185.12</v>
      </c>
      <c r="AL882" s="50" t="n">
        <f aca="false">ROUNDUP(CK882+MAX(CL882,2*(J882/IF(CG882&gt;0,CG882,MAX(0.1,N(Cockpit!$C$6)))-CK882)),0)</f>
        <v>192</v>
      </c>
      <c r="AM882" s="51" t="n">
        <f aca="false">IF(AI882&gt;0,J882/AI882,-1)</f>
        <v>168.903225806452</v>
      </c>
      <c r="AN882" s="51" t="n">
        <f aca="false">IF(AND(OR(CF882="L1",CF882="L23",CF882="LIFT"),AI882&gt;0),SUMIFS($AI$7:$AI$1843,$CF$7:$CF$1843,CF882,$AM$7:$AM$1843,"&gt;"&amp;AM882)+SUMIFS($AI$7:$AI$1843,$CF$7:$CF$1843,CF882,$AM$7:$AM$1843,AM882,$BW$7:$BW$1843,"&lt;="&amp;BW882),"")</f>
        <v>407.831501831502</v>
      </c>
      <c r="AO882" s="58" t="n">
        <f aca="false">IF(AN882="",0,MAX(0,MIN(1,(IF(CF882="L1",Parameter!$H$5,IF(CF882="L23",Parameter!$H$6+Parameter!$H$7,Parameter!$H$5+Parameter!$H$6+Parameter!$H$7))-(AN882-AI882))/AI882)))</f>
        <v>1</v>
      </c>
      <c r="AP882" s="50" t="n">
        <f aca="false">IF(LEFT(Cockpit!$I$5,1)="A",H882,IF(Parameter!$E$30="MAX-Bestand",IF(CH882=1,CI882,IF(LEFT(Cockpit!$I$5,1)="B",AV882,MAX(AV882,H882))),ROUNDUP(AT882,0)))</f>
        <v>104</v>
      </c>
      <c r="AQ882" s="50" t="n">
        <f aca="false">IF(BZ882=1,0,ROUNDUP(AP882/BY882,0))</f>
        <v>1</v>
      </c>
      <c r="AR882" s="52" t="n">
        <f aca="false">IF(CQ882&gt;0,CQ882*MAX(1,AP882/X882),IF(BZ882=1,IF(AP882&lt;=0,0,CD882*MAX(1,IF(H882&gt;0,AP882/H882,1))),IF(R882&gt;0,AQ882/R882,0))/MAX(0.1,N(Parameter!$M$21)))</f>
        <v>0.00714285714285714</v>
      </c>
      <c r="AS882" s="50" t="n">
        <f aca="false">AR882*CB882</f>
        <v>1.10714285714286</v>
      </c>
      <c r="AT882" s="51" t="n">
        <f aca="false">IF(LEFT(Cockpit!$I$5,1)="A",H882,IF(CH882=1,(CK882+CI882)/2,IF(LEFT(Cockpit!$I$5,1)="B",(CK882+AV882)/2,MAX((CK882+AV882)/2,H882))))</f>
        <v>104</v>
      </c>
      <c r="AU882" s="50" t="n">
        <f aca="false">AT882*G882</f>
        <v>185.12</v>
      </c>
      <c r="AV882" s="50" t="n">
        <f aca="false">ROUNDUP(CK882+MAX(CL882,2*(J882/IF(CG882&gt;0,CG882,MAX(0.1,N(Cockpit!$I$6)))-CK882)),0)</f>
        <v>192</v>
      </c>
      <c r="AW882" s="51" t="n">
        <f aca="false">IF(AS882&gt;0,J882/AS882,-1)</f>
        <v>168.903225806452</v>
      </c>
      <c r="AX882" s="51" t="n">
        <f aca="false">IF(AND(OR(CF882="L1",CF882="L23",CF882="LIFT"),AS882&gt;0),SUMIFS($AS$7:$AS$1843,$CF$7:$CF$1843,CF882,$AW$7:$AW$1843,"&gt;"&amp;AW882)+SUMIFS($AS$7:$AS$1843,$CF$7:$CF$1843,CF882,$AW$7:$AW$1843,AW882,$BW$7:$BW$1843,"&lt;="&amp;BW882),"")</f>
        <v>525.468406593407</v>
      </c>
      <c r="AY882" s="58" t="n">
        <f aca="false">IF(AX882="",0,MAX(0,MIN(1,(IF(CF882="L1",Parameter!$H$5,IF(CF882="L23",Parameter!$H$6+Parameter!$H$7,Parameter!$H$5+Parameter!$H$6+Parameter!$H$7))-(AX882-AS882))/AS882)))</f>
        <v>1</v>
      </c>
      <c r="AZ882" s="50" t="n">
        <f aca="false">IF(LEFT(Cockpit!$O$5,1)="A",H882,IF(Parameter!$E$30="MAX-Bestand",IF(CH882=1,CI882,IF(LEFT(Cockpit!$O$5,1)="B",BF882,MAX(BF882,H882))),ROUNDUP(BD882,0)))</f>
        <v>100</v>
      </c>
      <c r="BA882" s="50" t="n">
        <f aca="false">IF(BZ882=1,0,ROUNDUP(AZ882/BY882,0))</f>
        <v>1</v>
      </c>
      <c r="BB882" s="52" t="n">
        <f aca="false">IF(CQ882&gt;0,CQ882*MAX(1,AZ882/X882),IF(BZ882=1,IF(AZ882&lt;=0,0,CD882*MAX(1,IF(H882&gt;0,AZ882/H882,1))),IF(R882&gt;0,BA882/R882,0))/MAX(0.1,N(Parameter!$M$21)))</f>
        <v>0.00714285714285714</v>
      </c>
      <c r="BC882" s="50" t="n">
        <f aca="false">BB882*CB882</f>
        <v>1.10714285714286</v>
      </c>
      <c r="BD882" s="51" t="n">
        <f aca="false">IF(LEFT(Cockpit!$O$5,1)="A",H882,IF(CH882=1,(CK882+CI882)/2,IF(LEFT(Cockpit!$O$5,1)="B",(CK882+BF882)/2,MAX((CK882+BF882)/2,H882))))</f>
        <v>99.5</v>
      </c>
      <c r="BE882" s="50" t="n">
        <f aca="false">BD882*G882</f>
        <v>177.11</v>
      </c>
      <c r="BF882" s="50" t="n">
        <f aca="false">ROUNDUP(CK882+MAX(CL882,2*(J882/IF(CG882&gt;0,CG882,MAX(0.1,N(Cockpit!$O$6)))-CK882)),0)</f>
        <v>192</v>
      </c>
      <c r="BG882" s="51" t="n">
        <f aca="false">IF(BC882&gt;0,J882/BC882,-1)</f>
        <v>168.903225806452</v>
      </c>
      <c r="BH882" s="51" t="n">
        <f aca="false">IF(AND(OR(CF882="L1",CF882="L23",CF882="LIFT"),BC882&gt;0),SUMIFS($BC$7:$BC$1843,$CF$7:$CF$1843,CF882,$BG$7:$BG$1843,"&gt;"&amp;BG882)+SUMIFS($BC$7:$BC$1843,$CF$7:$CF$1843,CF882,$BG$7:$BG$1843,BG882,$BW$7:$BW$1843,"&lt;="&amp;BW882),"")</f>
        <v>519.648351648352</v>
      </c>
      <c r="BI882" s="58" t="n">
        <f aca="false">IF(BH882="",0,MAX(0,MIN(1,(IF(CF882="L1",Parameter!$H$5,IF(CF882="L23",Parameter!$H$6+Parameter!$H$7,Parameter!$H$5+Parameter!$H$6+Parameter!$H$7))-(BH882-BC882))/BC882)))</f>
        <v>1</v>
      </c>
      <c r="BJ882" s="48" t="str">
        <f aca="false">IF(AI882&lt;=0,"",IF(CF882="Aussen","Aussenlager",IF(CF882="-","Nicht im Lift",IF(AO882&gt;=1,"Lift",IF(AO882&lt;=0,"Aussenlager","teilweise")))))</f>
        <v>Lift</v>
      </c>
      <c r="BK882" s="48" t="str">
        <f aca="false">IF(AS882&lt;=0,"",IF(CF882="Aussen","Aussenlager",IF(CF882="-","Nicht im Lift",IF(AY882&gt;=1,"Lift",IF(AY882&lt;=0,"Aussenlager","teilweise")))))</f>
        <v>Lift</v>
      </c>
      <c r="BL882" s="48" t="str">
        <f aca="false">IF(BC882&lt;=0,"",IF(CF882="Aussen","Aussenlager",IF(CF882="-","Nicht im Lift",IF(BI882&gt;=1,"Lift",IF(BI882&lt;=0,"Aussenlager","teilweise")))))</f>
        <v>Lift</v>
      </c>
      <c r="BM882" s="48" t="str">
        <f aca="false">IF(A882="","",IF(BV882=1,"Neu; ","")&amp;IF(AND(BV882=0,BQ882&lt;0),"negativer Bestand (Export "&amp;BQ882&amp;"); ","")&amp;IF(J882&lt;=0,"Kein Verbrauch; ","")&amp;IF(CQ882&gt;0,"Lift "&amp;W882&amp;" lt. Liftbericht (Fach "&amp;X882&amp;" Stk); ",IF(CA882=1,"Gebinde geschätzt ("&amp;T882&amp;"); ",IF(BZ882=1,"Lose – Tablare geschätzt; ","")))&amp;IF(H882&gt;AV882,"Überbestand "&amp;ROUND(H882-AV882,0)&amp;" Stk / CHF "&amp;ROUND((H882-AV882)*G882,0)&amp;"; ","")&amp;IF(AND(CH882=1,CI882&lt;CJ882),"MAX &lt; MB+LG; ","")&amp;IF(AND(CP882&gt;0,CO882*10&gt;CP882),"zu hoch für Tablar; ","")&amp;IF(AND(BV882=0,OR(CH882=1,AA882&lt;&gt;"",U882&lt;&gt;"",V882&lt;&gt;"",AB882&lt;&gt;"")),"manuell übersteuert; ","")&amp;IF(AND(BZ882=0,R882=0),"Gebinde unbekannt / Stellmass fehlt; ","")&amp;IF(AND(BZ882=0,N(V882)&lt;=0,N(Q882)&lt;=0),"Menge pro Gebinde fehlt (Ist = 1 Gebinde); ","")&amp;BU882)</f>
        <v>negativer Bestand (Export -14); </v>
      </c>
      <c r="BN882" s="48"/>
      <c r="BO882" s="48"/>
      <c r="BP882" s="55"/>
      <c r="BQ882" s="50" t="n">
        <v>-14</v>
      </c>
      <c r="BR882" s="50" t="n">
        <v>118</v>
      </c>
      <c r="BS882" s="49" t="n">
        <v>-27.1800000000001</v>
      </c>
      <c r="BT882" s="50" t="n">
        <v>187</v>
      </c>
      <c r="BU882" s="48"/>
      <c r="BV882" s="53" t="n">
        <v>0</v>
      </c>
      <c r="BW882" s="53" t="n">
        <v>882</v>
      </c>
      <c r="BX882" s="48" t="str">
        <f aca="false">IF(U882&lt;&gt;"",UPPER(TRIM(U882)),IF(CA882=1,UPPER(VLOOKUP(T882,Parameter!$I$27:$K$29,2,0)),IF(P882="","LOSE",P882)))</f>
        <v>S22</v>
      </c>
      <c r="BY882" s="50" t="n">
        <f aca="false">IF(BX882="LOSE",1,IF(N(V882)&gt;0,V882,IF(CA882=1,MAX(1,N(VLOOKUP(T882,Parameter!$I$27:$K$29,3,0)),H882,N(N882)),IF(N(Q882)&gt;0,Q882,MAX(1,H882)))))</f>
        <v>547</v>
      </c>
      <c r="BZ882" s="53" t="n">
        <f aca="false">IF(BX882="LOSE",1,0)</f>
        <v>0</v>
      </c>
      <c r="CA882" s="53" t="n">
        <f aca="false">IF(AND(U882="",OR(P882="",P882="LOSE"),T882&lt;&gt;"",N(S882)&lt;=0,ISNUMBER(MATCH(T882,Parameter!$I$27:$I$29,0))),1,0)</f>
        <v>0</v>
      </c>
      <c r="CB882" s="53" t="n">
        <f aca="false">IF(CQ882&gt;0,INDEX(Parameter!$H$5:$H$7,W882)/INDEX(Parameter!$E$5:$E$7,W882),IF(AND(BZ882=0,N(IFERROR(VLOOKUP(BX882,'Gebinde-Kategorie'!$A$5:$N$45,14,0),0))&gt;0),VLOOKUP(BX882,'Gebinde-Kategorie'!$A$5:$N$45,14,0)*10+Parameter!$M$23,Parameter!$M$24))</f>
        <v>155</v>
      </c>
      <c r="CC882" s="48" t="str">
        <f aca="false">IF(AND(Parameter!$B$19="Ja",E882&lt;&gt;"",ISNUMBER(MATCH(E882,Parameter!$I$35:$I$52,0))),VLOOKUP(E882,Parameter!$I$35:$J$52,2,0),IFERROR(VLOOKUP(D882,Parameter!$A$35:$C$64,2,0),"Nein"))</f>
        <v>2+3</v>
      </c>
      <c r="CD882" s="52" t="n">
        <f aca="false">IF(BZ882=0,0,IF(N(S882)&gt;0,S882,IFERROR(VLOOKUP(D882,Parameter!$A$35:$C$64,3,0)+0,0)))</f>
        <v>0</v>
      </c>
      <c r="CE882" s="48" t="n">
        <f aca="false">IF(AA882&lt;&gt;"",AA882,Z882)</f>
        <v>3</v>
      </c>
      <c r="CF882" s="48" t="str">
        <f aca="false">IF(OR(CE882=1,CE882=2,CE882=3),IF(Parameter!$E$27="Ja","LIFT",IF(CE882=1,"L1","L23")),IF(CE882="Aussen","Aussen","-"))</f>
        <v>LIFT</v>
      </c>
      <c r="CG882" s="59" t="n">
        <f aca="false">IF(N(AB882)&gt;0,AB882,0)</f>
        <v>0</v>
      </c>
      <c r="CH882" s="53" t="n">
        <f aca="false">IF(ISNUMBER(AE882),1,0)</f>
        <v>0</v>
      </c>
      <c r="CI882" s="50" t="n">
        <f aca="false">N(AE882)</f>
        <v>0</v>
      </c>
      <c r="CJ882" s="50" t="n">
        <f aca="false">N(M882)+N(N882)</f>
        <v>192</v>
      </c>
      <c r="CK882" s="50" t="n">
        <f aca="false">N(M882)</f>
        <v>7</v>
      </c>
      <c r="CL882" s="50" t="n">
        <f aca="false">N(N882)</f>
        <v>185</v>
      </c>
      <c r="CM882" s="50" t="n">
        <f aca="false">ROUNDUP(H882/BY882,0)</f>
        <v>1</v>
      </c>
      <c r="CN882" s="50" t="n">
        <f aca="false">ROUNDUP(CI882/BY882,0)</f>
        <v>0</v>
      </c>
      <c r="CO882" s="53" t="n">
        <f aca="false">IF(BZ882=1,0,IFERROR(VLOOKUP(BX882,'Gebinde-Kategorie'!$A$5:$N$45,5,0)+0,0))</f>
        <v>8</v>
      </c>
      <c r="CP882" s="53" t="n">
        <f aca="false">IFERROR(IF(OR(CE882=1,CE882=2,CE882=3),N(INDEX(Parameter!$I$5:$I$7,CE882)),0),0)</f>
        <v>0</v>
      </c>
      <c r="CQ882" s="52" t="n">
        <f aca="false">IF(AND(Parameter!$B$21="Ja",ISNUMBER(W882),N(X882)&gt;0),IFERROR(N(INDEX(Parameter!$L$5:$L$7,W882))*INDEX(Parameter!$E$5:$E$7,W882)*X882/SUMIFS($X$7:$X$1843,$W$7:$W$1843,W882),0),0)</f>
        <v>0</v>
      </c>
    </row>
    <row r="883" customFormat="false" ht="15" hidden="false" customHeight="false" outlineLevel="0" collapsed="false">
      <c r="A883" s="48" t="s">
        <v>1678</v>
      </c>
      <c r="B883" s="48" t="s">
        <v>1679</v>
      </c>
      <c r="C883" s="48" t="s">
        <v>173</v>
      </c>
      <c r="D883" s="48" t="s">
        <v>193</v>
      </c>
      <c r="E883" s="48" t="s">
        <v>194</v>
      </c>
      <c r="F883" s="48" t="s">
        <v>227</v>
      </c>
      <c r="G883" s="49" t="n">
        <v>27.73</v>
      </c>
      <c r="H883" s="50" t="n">
        <f aca="false">MAX(0,IF(AND(Parameter!$B$21="Ja",ISNUMBER(Y883)),Y883,IF(Parameter!$B$20="Jahresanfang 2025 + Export",BR883+BQ883,BQ883)))</f>
        <v>27</v>
      </c>
      <c r="I883" s="50" t="n">
        <f aca="false">H883*G883</f>
        <v>748.71</v>
      </c>
      <c r="J883" s="50" t="n">
        <f aca="false">BT883*Parameter!$B$18</f>
        <v>1</v>
      </c>
      <c r="K883" s="51" t="n">
        <v>27.5</v>
      </c>
      <c r="L883" s="52" t="n">
        <v>0.0363636363636364</v>
      </c>
      <c r="M883" s="50" t="n">
        <v>0</v>
      </c>
      <c r="N883" s="50" t="n">
        <v>1</v>
      </c>
      <c r="O883" s="53" t="n">
        <v>21</v>
      </c>
      <c r="P883" s="48" t="s">
        <v>430</v>
      </c>
      <c r="Q883" s="50" t="n">
        <v>36</v>
      </c>
      <c r="R883" s="53" t="n">
        <f aca="false">IF(BZ883=1,0,IFERROR(VLOOKUP(BX883,'Gebinde-Kategorie'!$A$5:$N$45,13,0)+0,0))</f>
        <v>104</v>
      </c>
      <c r="S883" s="54"/>
      <c r="T883" s="55"/>
      <c r="U883" s="55"/>
      <c r="V883" s="55"/>
      <c r="W883" s="48"/>
      <c r="X883" s="50"/>
      <c r="Y883" s="50"/>
      <c r="Z883" s="48" t="n">
        <f aca="false">IF(A883="","",IF(AND(Parameter!$B$21="Ja",ISNUMBER(W883)),W883,IF(CC883="2+3",IF(ISNUMBER(SEARCH("grosser Artikel",BU883)),2,IFERROR(VLOOKUP(BX883,Parameter!$F$35:$G$64,2,0),2)),IF(OR(CC883="Nein",CC883=""),"-",CC883))))</f>
        <v>3</v>
      </c>
      <c r="AA883" s="55"/>
      <c r="AB883" s="56"/>
      <c r="AC883" s="50" t="n">
        <f aca="false">AV883</f>
        <v>1</v>
      </c>
      <c r="AD883" s="50" t="n">
        <f aca="false">MAX(AV883,H883)</f>
        <v>27</v>
      </c>
      <c r="AE883" s="57"/>
      <c r="AF883" s="50" t="n">
        <f aca="false">IF(LEFT(Cockpit!$C$5,1)="A",H883,IF(Parameter!$E$30="MAX-Bestand",IF(CH883=1,CI883,IF(LEFT(Cockpit!$C$5,1)="B",AL883,MAX(AL883,H883))),ROUNDUP(AJ883,0)))</f>
        <v>27</v>
      </c>
      <c r="AG883" s="50" t="n">
        <f aca="false">IF(BZ883=1,0,ROUNDUP(AF883/BY883,0))</f>
        <v>1</v>
      </c>
      <c r="AH883" s="52" t="n">
        <f aca="false">IF(CQ883&gt;0,CQ883*MAX(1,AF883/X883),IF(BZ883=1,IF(AF883&lt;=0,0,CD883*MAX(1,IF(H883&gt;0,AF883/H883,1))),IF(R883&gt;0,AG883/R883,0))/MAX(0.1,N(Parameter!$M$21)))</f>
        <v>0.00961538461538462</v>
      </c>
      <c r="AI883" s="50" t="n">
        <f aca="false">AH883*CB883</f>
        <v>1.49038461538462</v>
      </c>
      <c r="AJ883" s="51" t="n">
        <f aca="false">IF(LEFT(Cockpit!$C$5,1)="A",H883,IF(CH883=1,(CK883+CI883)/2,IF(LEFT(Cockpit!$C$5,1)="B",(CK883+AL883)/2,MAX((CK883+AL883)/2,H883))))</f>
        <v>27</v>
      </c>
      <c r="AK883" s="50" t="n">
        <f aca="false">AJ883*G883</f>
        <v>748.71</v>
      </c>
      <c r="AL883" s="50" t="n">
        <f aca="false">ROUNDUP(CK883+MAX(CL883,2*(J883/IF(CG883&gt;0,CG883,MAX(0.1,N(Cockpit!$C$6)))-CK883)),0)</f>
        <v>1</v>
      </c>
      <c r="AM883" s="51" t="n">
        <f aca="false">IF(AI883&gt;0,J883/AI883,-1)</f>
        <v>0.670967741935484</v>
      </c>
      <c r="AN883" s="51" t="n">
        <f aca="false">IF(AND(OR(CF883="L1",CF883="L23",CF883="LIFT"),AI883&gt;0),SUMIFS($AI$7:$AI$1843,$CF$7:$CF$1843,CF883,$AM$7:$AM$1843,"&gt;"&amp;AM883)+SUMIFS($AI$7:$AI$1843,$CF$7:$CF$1843,CF883,$AM$7:$AM$1843,AM883,$BW$7:$BW$1843,"&lt;="&amp;BW883),"")</f>
        <v>8620.58333333333</v>
      </c>
      <c r="AO883" s="58" t="n">
        <f aca="false">IF(AN883="",0,MAX(0,MIN(1,(IF(CF883="L1",Parameter!$H$5,IF(CF883="L23",Parameter!$H$6+Parameter!$H$7,Parameter!$H$5+Parameter!$H$6+Parameter!$H$7))-(AN883-AI883))/AI883)))</f>
        <v>1</v>
      </c>
      <c r="AP883" s="50" t="n">
        <f aca="false">IF(LEFT(Cockpit!$I$5,1)="A",H883,IF(Parameter!$E$30="MAX-Bestand",IF(CH883=1,CI883,IF(LEFT(Cockpit!$I$5,1)="B",AV883,MAX(AV883,H883))),ROUNDUP(AT883,0)))</f>
        <v>27</v>
      </c>
      <c r="AQ883" s="50" t="n">
        <f aca="false">IF(BZ883=1,0,ROUNDUP(AP883/BY883,0))</f>
        <v>1</v>
      </c>
      <c r="AR883" s="52" t="n">
        <f aca="false">IF(CQ883&gt;0,CQ883*MAX(1,AP883/X883),IF(BZ883=1,IF(AP883&lt;=0,0,CD883*MAX(1,IF(H883&gt;0,AP883/H883,1))),IF(R883&gt;0,AQ883/R883,0))/MAX(0.1,N(Parameter!$M$21)))</f>
        <v>0.00961538461538462</v>
      </c>
      <c r="AS883" s="50" t="n">
        <f aca="false">AR883*CB883</f>
        <v>1.49038461538462</v>
      </c>
      <c r="AT883" s="51" t="n">
        <f aca="false">IF(LEFT(Cockpit!$I$5,1)="A",H883,IF(CH883=1,(CK883+CI883)/2,IF(LEFT(Cockpit!$I$5,1)="B",(CK883+AV883)/2,MAX((CK883+AV883)/2,H883))))</f>
        <v>27</v>
      </c>
      <c r="AU883" s="50" t="n">
        <f aca="false">AT883*G883</f>
        <v>748.71</v>
      </c>
      <c r="AV883" s="50" t="n">
        <f aca="false">ROUNDUP(CK883+MAX(CL883,2*(J883/IF(CG883&gt;0,CG883,MAX(0.1,N(Cockpit!$I$6)))-CK883)),0)</f>
        <v>1</v>
      </c>
      <c r="AW883" s="51" t="n">
        <f aca="false">IF(AS883&gt;0,J883/AS883,-1)</f>
        <v>0.670967741935484</v>
      </c>
      <c r="AX883" s="51" t="n">
        <f aca="false">IF(AND(OR(CF883="L1",CF883="L23",CF883="LIFT"),AS883&gt;0),SUMIFS($AS$7:$AS$1843,$CF$7:$CF$1843,CF883,$AW$7:$AW$1843,"&gt;"&amp;AW883)+SUMIFS($AS$7:$AS$1843,$CF$7:$CF$1843,CF883,$AW$7:$AW$1843,AW883,$BW$7:$BW$1843,"&lt;="&amp;BW883),"")</f>
        <v>10914.7509157509</v>
      </c>
      <c r="AY883" s="58" t="n">
        <f aca="false">IF(AX883="",0,MAX(0,MIN(1,(IF(CF883="L1",Parameter!$H$5,IF(CF883="L23",Parameter!$H$6+Parameter!$H$7,Parameter!$H$5+Parameter!$H$6+Parameter!$H$7))-(AX883-AS883))/AS883)))</f>
        <v>1</v>
      </c>
      <c r="AZ883" s="50" t="n">
        <f aca="false">IF(LEFT(Cockpit!$O$5,1)="A",H883,IF(Parameter!$E$30="MAX-Bestand",IF(CH883=1,CI883,IF(LEFT(Cockpit!$O$5,1)="B",BF883,MAX(BF883,H883))),ROUNDUP(BD883,0)))</f>
        <v>1</v>
      </c>
      <c r="BA883" s="50" t="n">
        <f aca="false">IF(BZ883=1,0,ROUNDUP(AZ883/BY883,0))</f>
        <v>1</v>
      </c>
      <c r="BB883" s="52" t="n">
        <f aca="false">IF(CQ883&gt;0,CQ883*MAX(1,AZ883/X883),IF(BZ883=1,IF(AZ883&lt;=0,0,CD883*MAX(1,IF(H883&gt;0,AZ883/H883,1))),IF(R883&gt;0,BA883/R883,0))/MAX(0.1,N(Parameter!$M$21)))</f>
        <v>0.00961538461538462</v>
      </c>
      <c r="BC883" s="50" t="n">
        <f aca="false">BB883*CB883</f>
        <v>1.49038461538462</v>
      </c>
      <c r="BD883" s="51" t="n">
        <f aca="false">IF(LEFT(Cockpit!$O$5,1)="A",H883,IF(CH883=1,(CK883+CI883)/2,IF(LEFT(Cockpit!$O$5,1)="B",(CK883+BF883)/2,MAX((CK883+BF883)/2,H883))))</f>
        <v>0.5</v>
      </c>
      <c r="BE883" s="50" t="n">
        <f aca="false">BD883*G883</f>
        <v>13.865</v>
      </c>
      <c r="BF883" s="50" t="n">
        <f aca="false">ROUNDUP(CK883+MAX(CL883,2*(J883/IF(CG883&gt;0,CG883,MAX(0.1,N(Cockpit!$O$6)))-CK883)),0)</f>
        <v>1</v>
      </c>
      <c r="BG883" s="51" t="n">
        <f aca="false">IF(BC883&gt;0,J883/BC883,-1)</f>
        <v>0.670967741935484</v>
      </c>
      <c r="BH883" s="51" t="n">
        <f aca="false">IF(AND(OR(CF883="L1",CF883="L23",CF883="LIFT"),BC883&gt;0),SUMIFS($BC$7:$BC$1843,$CF$7:$CF$1843,CF883,$BG$7:$BG$1843,"&gt;"&amp;BG883)+SUMIFS($BC$7:$BC$1843,$CF$7:$CF$1843,CF883,$BG$7:$BG$1843,BG883,$BW$7:$BW$1843,"&lt;="&amp;BW883),"")</f>
        <v>9524.38507326007</v>
      </c>
      <c r="BI883" s="58" t="n">
        <f aca="false">IF(BH883="",0,MAX(0,MIN(1,(IF(CF883="L1",Parameter!$H$5,IF(CF883="L23",Parameter!$H$6+Parameter!$H$7,Parameter!$H$5+Parameter!$H$6+Parameter!$H$7))-(BH883-BC883))/BC883)))</f>
        <v>1</v>
      </c>
      <c r="BJ883" s="48" t="str">
        <f aca="false">IF(AI883&lt;=0,"",IF(CF883="Aussen","Aussenlager",IF(CF883="-","Nicht im Lift",IF(AO883&gt;=1,"Lift",IF(AO883&lt;=0,"Aussenlager","teilweise")))))</f>
        <v>Lift</v>
      </c>
      <c r="BK883" s="48" t="str">
        <f aca="false">IF(AS883&lt;=0,"",IF(CF883="Aussen","Aussenlager",IF(CF883="-","Nicht im Lift",IF(AY883&gt;=1,"Lift",IF(AY883&lt;=0,"Aussenlager","teilweise")))))</f>
        <v>Lift</v>
      </c>
      <c r="BL883" s="48" t="str">
        <f aca="false">IF(BC883&lt;=0,"",IF(CF883="Aussen","Aussenlager",IF(CF883="-","Nicht im Lift",IF(BI883&gt;=1,"Lift",IF(BI883&lt;=0,"Aussenlager","teilweise")))))</f>
        <v>Lift</v>
      </c>
      <c r="BM883" s="48" t="str">
        <f aca="false">IF(A883="","",IF(BV883=1,"Neu; ","")&amp;IF(AND(BV883=0,BQ883&lt;0),"negativer Bestand (Export "&amp;BQ883&amp;"); ","")&amp;IF(J883&lt;=0,"Kein Verbrauch; ","")&amp;IF(CQ883&gt;0,"Lift "&amp;W883&amp;" lt. Liftbericht (Fach "&amp;X883&amp;" Stk); ",IF(CA883=1,"Gebinde geschätzt ("&amp;T883&amp;"); ",IF(BZ883=1,"Lose – Tablare geschätzt; ","")))&amp;IF(H883&gt;AV883,"Überbestand "&amp;ROUND(H883-AV883,0)&amp;" Stk / CHF "&amp;ROUND((H883-AV883)*G883,0)&amp;"; ","")&amp;IF(AND(CH883=1,CI883&lt;CJ883),"MAX &lt; MB+LG; ","")&amp;IF(AND(CP883&gt;0,CO883*10&gt;CP883),"zu hoch für Tablar; ","")&amp;IF(AND(BV883=0,OR(CH883=1,AA883&lt;&gt;"",U883&lt;&gt;"",V883&lt;&gt;"",AB883&lt;&gt;"")),"manuell übersteuert; ","")&amp;IF(AND(BZ883=0,R883=0),"Gebinde unbekannt / Stellmass fehlt; ","")&amp;IF(AND(BZ883=0,N(V883)&lt;=0,N(Q883)&lt;=0),"Menge pro Gebinde fehlt (Ist = 1 Gebinde); ","")&amp;BU883)</f>
        <v>negativer Bestand (Export -1); Überbestand 26 Stk / CHF 721; Neu</v>
      </c>
      <c r="BN883" s="48"/>
      <c r="BO883" s="48"/>
      <c r="BP883" s="55"/>
      <c r="BQ883" s="50" t="n">
        <v>-1</v>
      </c>
      <c r="BR883" s="50" t="n">
        <v>28</v>
      </c>
      <c r="BS883" s="49" t="n">
        <v>-27.73</v>
      </c>
      <c r="BT883" s="50" t="n">
        <v>1</v>
      </c>
      <c r="BU883" s="48" t="s">
        <v>635</v>
      </c>
      <c r="BV883" s="53" t="n">
        <v>0</v>
      </c>
      <c r="BW883" s="53" t="n">
        <v>883</v>
      </c>
      <c r="BX883" s="48" t="str">
        <f aca="false">IF(U883&lt;&gt;"",UPPER(TRIM(U883)),IF(CA883=1,UPPER(VLOOKUP(T883,Parameter!$I$27:$K$29,2,0)),IF(P883="","LOSE",P883)))</f>
        <v>S32</v>
      </c>
      <c r="BY883" s="50" t="n">
        <f aca="false">IF(BX883="LOSE",1,IF(N(V883)&gt;0,V883,IF(CA883=1,MAX(1,N(VLOOKUP(T883,Parameter!$I$27:$K$29,3,0)),H883,N(N883)),IF(N(Q883)&gt;0,Q883,MAX(1,H883)))))</f>
        <v>36</v>
      </c>
      <c r="BZ883" s="53" t="n">
        <f aca="false">IF(BX883="LOSE",1,0)</f>
        <v>0</v>
      </c>
      <c r="CA883" s="53" t="n">
        <f aca="false">IF(AND(U883="",OR(P883="",P883="LOSE"),T883&lt;&gt;"",N(S883)&lt;=0,ISNUMBER(MATCH(T883,Parameter!$I$27:$I$29,0))),1,0)</f>
        <v>0</v>
      </c>
      <c r="CB883" s="53" t="n">
        <f aca="false">IF(CQ883&gt;0,INDEX(Parameter!$H$5:$H$7,W883)/INDEX(Parameter!$E$5:$E$7,W883),IF(AND(BZ883=0,N(IFERROR(VLOOKUP(BX883,'Gebinde-Kategorie'!$A$5:$N$45,14,0),0))&gt;0),VLOOKUP(BX883,'Gebinde-Kategorie'!$A$5:$N$45,14,0)*10+Parameter!$M$23,Parameter!$M$24))</f>
        <v>155</v>
      </c>
      <c r="CC883" s="48" t="str">
        <f aca="false">IF(AND(Parameter!$B$19="Ja",E883&lt;&gt;"",ISNUMBER(MATCH(E883,Parameter!$I$35:$I$52,0))),VLOOKUP(E883,Parameter!$I$35:$J$52,2,0),IFERROR(VLOOKUP(D883,Parameter!$A$35:$C$64,2,0),"Nein"))</f>
        <v>2+3</v>
      </c>
      <c r="CD883" s="52" t="n">
        <f aca="false">IF(BZ883=0,0,IF(N(S883)&gt;0,S883,IFERROR(VLOOKUP(D883,Parameter!$A$35:$C$64,3,0)+0,0)))</f>
        <v>0</v>
      </c>
      <c r="CE883" s="48" t="n">
        <f aca="false">IF(AA883&lt;&gt;"",AA883,Z883)</f>
        <v>3</v>
      </c>
      <c r="CF883" s="48" t="str">
        <f aca="false">IF(OR(CE883=1,CE883=2,CE883=3),IF(Parameter!$E$27="Ja","LIFT",IF(CE883=1,"L1","L23")),IF(CE883="Aussen","Aussen","-"))</f>
        <v>LIFT</v>
      </c>
      <c r="CG883" s="59" t="n">
        <f aca="false">IF(N(AB883)&gt;0,AB883,0)</f>
        <v>0</v>
      </c>
      <c r="CH883" s="53" t="n">
        <f aca="false">IF(ISNUMBER(AE883),1,0)</f>
        <v>0</v>
      </c>
      <c r="CI883" s="50" t="n">
        <f aca="false">N(AE883)</f>
        <v>0</v>
      </c>
      <c r="CJ883" s="50" t="n">
        <f aca="false">N(M883)+N(N883)</f>
        <v>1</v>
      </c>
      <c r="CK883" s="50" t="n">
        <f aca="false">N(M883)</f>
        <v>0</v>
      </c>
      <c r="CL883" s="50" t="n">
        <f aca="false">N(N883)</f>
        <v>1</v>
      </c>
      <c r="CM883" s="50" t="n">
        <f aca="false">ROUNDUP(H883/BY883,0)</f>
        <v>1</v>
      </c>
      <c r="CN883" s="50" t="n">
        <f aca="false">ROUNDUP(CI883/BY883,0)</f>
        <v>0</v>
      </c>
      <c r="CO883" s="53" t="n">
        <f aca="false">IF(BZ883=1,0,IFERROR(VLOOKUP(BX883,'Gebinde-Kategorie'!$A$5:$N$45,5,0)+0,0))</f>
        <v>8</v>
      </c>
      <c r="CP883" s="53" t="n">
        <f aca="false">IFERROR(IF(OR(CE883=1,CE883=2,CE883=3),N(INDEX(Parameter!$I$5:$I$7,CE883)),0),0)</f>
        <v>0</v>
      </c>
      <c r="CQ883" s="52" t="n">
        <f aca="false">IF(AND(Parameter!$B$21="Ja",ISNUMBER(W883),N(X883)&gt;0),IFERROR(N(INDEX(Parameter!$L$5:$L$7,W883))*INDEX(Parameter!$E$5:$E$7,W883)*X883/SUMIFS($X$7:$X$1843,$W$7:$W$1843,W883),0),0)</f>
        <v>0</v>
      </c>
    </row>
    <row r="884" customFormat="false" ht="15" hidden="false" customHeight="false" outlineLevel="0" collapsed="false">
      <c r="A884" s="48" t="s">
        <v>1680</v>
      </c>
      <c r="B884" s="48" t="s">
        <v>901</v>
      </c>
      <c r="C884" s="48" t="s">
        <v>173</v>
      </c>
      <c r="D884" s="48" t="s">
        <v>193</v>
      </c>
      <c r="E884" s="48" t="s">
        <v>194</v>
      </c>
      <c r="F884" s="48" t="s">
        <v>227</v>
      </c>
      <c r="G884" s="49" t="n">
        <v>3.77</v>
      </c>
      <c r="H884" s="50" t="n">
        <f aca="false">MAX(0,IF(AND(Parameter!$B$21="Ja",ISNUMBER(Y884)),Y884,IF(Parameter!$B$20="Jahresanfang 2025 + Export",BR884+BQ884,BQ884)))</f>
        <v>4</v>
      </c>
      <c r="I884" s="50" t="n">
        <f aca="false">H884*G884</f>
        <v>15.08</v>
      </c>
      <c r="J884" s="50" t="n">
        <f aca="false">BT884*Parameter!$B$18</f>
        <v>23</v>
      </c>
      <c r="K884" s="51" t="n">
        <v>10.5</v>
      </c>
      <c r="L884" s="52" t="n">
        <v>2.19047619047619</v>
      </c>
      <c r="M884" s="50" t="n">
        <v>0</v>
      </c>
      <c r="N884" s="50" t="n">
        <v>25</v>
      </c>
      <c r="O884" s="53" t="n">
        <v>14</v>
      </c>
      <c r="P884" s="48" t="s">
        <v>430</v>
      </c>
      <c r="Q884" s="50" t="n">
        <v>37</v>
      </c>
      <c r="R884" s="53" t="n">
        <f aca="false">IF(BZ884=1,0,IFERROR(VLOOKUP(BX884,'Gebinde-Kategorie'!$A$5:$N$45,13,0)+0,0))</f>
        <v>104</v>
      </c>
      <c r="S884" s="54"/>
      <c r="T884" s="55"/>
      <c r="U884" s="55"/>
      <c r="V884" s="55"/>
      <c r="W884" s="48"/>
      <c r="X884" s="50"/>
      <c r="Y884" s="50"/>
      <c r="Z884" s="48" t="n">
        <f aca="false">IF(A884="","",IF(AND(Parameter!$B$21="Ja",ISNUMBER(W884)),W884,IF(CC884="2+3",IF(ISNUMBER(SEARCH("grosser Artikel",BU884)),2,IFERROR(VLOOKUP(BX884,Parameter!$F$35:$G$64,2,0),2)),IF(OR(CC884="Nein",CC884=""),"-",CC884))))</f>
        <v>3</v>
      </c>
      <c r="AA884" s="55"/>
      <c r="AB884" s="56"/>
      <c r="AC884" s="50" t="n">
        <f aca="false">AV884</f>
        <v>25</v>
      </c>
      <c r="AD884" s="50" t="n">
        <f aca="false">MAX(AV884,H884)</f>
        <v>25</v>
      </c>
      <c r="AE884" s="57"/>
      <c r="AF884" s="50" t="n">
        <f aca="false">IF(LEFT(Cockpit!$C$5,1)="A",H884,IF(Parameter!$E$30="MAX-Bestand",IF(CH884=1,CI884,IF(LEFT(Cockpit!$C$5,1)="B",AL884,MAX(AL884,H884))),ROUNDUP(AJ884,0)))</f>
        <v>4</v>
      </c>
      <c r="AG884" s="50" t="n">
        <f aca="false">IF(BZ884=1,0,ROUNDUP(AF884/BY884,0))</f>
        <v>1</v>
      </c>
      <c r="AH884" s="52" t="n">
        <f aca="false">IF(CQ884&gt;0,CQ884*MAX(1,AF884/X884),IF(BZ884=1,IF(AF884&lt;=0,0,CD884*MAX(1,IF(H884&gt;0,AF884/H884,1))),IF(R884&gt;0,AG884/R884,0))/MAX(0.1,N(Parameter!$M$21)))</f>
        <v>0.00961538461538462</v>
      </c>
      <c r="AI884" s="50" t="n">
        <f aca="false">AH884*CB884</f>
        <v>1.49038461538462</v>
      </c>
      <c r="AJ884" s="51" t="n">
        <f aca="false">IF(LEFT(Cockpit!$C$5,1)="A",H884,IF(CH884=1,(CK884+CI884)/2,IF(LEFT(Cockpit!$C$5,1)="B",(CK884+AL884)/2,MAX((CK884+AL884)/2,H884))))</f>
        <v>4</v>
      </c>
      <c r="AK884" s="50" t="n">
        <f aca="false">AJ884*G884</f>
        <v>15.08</v>
      </c>
      <c r="AL884" s="50" t="n">
        <f aca="false">ROUNDUP(CK884+MAX(CL884,2*(J884/IF(CG884&gt;0,CG884,MAX(0.1,N(Cockpit!$C$6)))-CK884)),0)</f>
        <v>25</v>
      </c>
      <c r="AM884" s="51" t="n">
        <f aca="false">IF(AI884&gt;0,J884/AI884,-1)</f>
        <v>15.4322580645161</v>
      </c>
      <c r="AN884" s="51" t="n">
        <f aca="false">IF(AND(OR(CF884="L1",CF884="L23",CF884="LIFT"),AI884&gt;0),SUMIFS($AI$7:$AI$1843,$CF$7:$CF$1843,CF884,$AM$7:$AM$1843,"&gt;"&amp;AM884)+SUMIFS($AI$7:$AI$1843,$CF$7:$CF$1843,CF884,$AM$7:$AM$1843,AM884,$BW$7:$BW$1843,"&lt;="&amp;BW884),"")</f>
        <v>2067.17948717949</v>
      </c>
      <c r="AO884" s="58" t="n">
        <f aca="false">IF(AN884="",0,MAX(0,MIN(1,(IF(CF884="L1",Parameter!$H$5,IF(CF884="L23",Parameter!$H$6+Parameter!$H$7,Parameter!$H$5+Parameter!$H$6+Parameter!$H$7))-(AN884-AI884))/AI884)))</f>
        <v>1</v>
      </c>
      <c r="AP884" s="50" t="n">
        <f aca="false">IF(LEFT(Cockpit!$I$5,1)="A",H884,IF(Parameter!$E$30="MAX-Bestand",IF(CH884=1,CI884,IF(LEFT(Cockpit!$I$5,1)="B",AV884,MAX(AV884,H884))),ROUNDUP(AT884,0)))</f>
        <v>13</v>
      </c>
      <c r="AQ884" s="50" t="n">
        <f aca="false">IF(BZ884=1,0,ROUNDUP(AP884/BY884,0))</f>
        <v>1</v>
      </c>
      <c r="AR884" s="52" t="n">
        <f aca="false">IF(CQ884&gt;0,CQ884*MAX(1,AP884/X884),IF(BZ884=1,IF(AP884&lt;=0,0,CD884*MAX(1,IF(H884&gt;0,AP884/H884,1))),IF(R884&gt;0,AQ884/R884,0))/MAX(0.1,N(Parameter!$M$21)))</f>
        <v>0.00961538461538462</v>
      </c>
      <c r="AS884" s="50" t="n">
        <f aca="false">AR884*CB884</f>
        <v>1.49038461538462</v>
      </c>
      <c r="AT884" s="51" t="n">
        <f aca="false">IF(LEFT(Cockpit!$I$5,1)="A",H884,IF(CH884=1,(CK884+CI884)/2,IF(LEFT(Cockpit!$I$5,1)="B",(CK884+AV884)/2,MAX((CK884+AV884)/2,H884))))</f>
        <v>12.5</v>
      </c>
      <c r="AU884" s="50" t="n">
        <f aca="false">AT884*G884</f>
        <v>47.125</v>
      </c>
      <c r="AV884" s="50" t="n">
        <f aca="false">ROUNDUP(CK884+MAX(CL884,2*(J884/IF(CG884&gt;0,CG884,MAX(0.1,N(Cockpit!$I$6)))-CK884)),0)</f>
        <v>25</v>
      </c>
      <c r="AW884" s="51" t="n">
        <f aca="false">IF(AS884&gt;0,J884/AS884,-1)</f>
        <v>15.4322580645161</v>
      </c>
      <c r="AX884" s="51" t="n">
        <f aca="false">IF(AND(OR(CF884="L1",CF884="L23",CF884="LIFT"),AS884&gt;0),SUMIFS($AS$7:$AS$1843,$CF$7:$CF$1843,CF884,$AW$7:$AW$1843,"&gt;"&amp;AW884)+SUMIFS($AS$7:$AS$1843,$CF$7:$CF$1843,CF884,$AW$7:$AW$1843,AW884,$BW$7:$BW$1843,"&lt;="&amp;BW884),"")</f>
        <v>2715.1163003663</v>
      </c>
      <c r="AY884" s="58" t="n">
        <f aca="false">IF(AX884="",0,MAX(0,MIN(1,(IF(CF884="L1",Parameter!$H$5,IF(CF884="L23",Parameter!$H$6+Parameter!$H$7,Parameter!$H$5+Parameter!$H$6+Parameter!$H$7))-(AX884-AS884))/AS884)))</f>
        <v>1</v>
      </c>
      <c r="AZ884" s="50" t="n">
        <f aca="false">IF(LEFT(Cockpit!$O$5,1)="A",H884,IF(Parameter!$E$30="MAX-Bestand",IF(CH884=1,CI884,IF(LEFT(Cockpit!$O$5,1)="B",BF884,MAX(BF884,H884))),ROUNDUP(BD884,0)))</f>
        <v>13</v>
      </c>
      <c r="BA884" s="50" t="n">
        <f aca="false">IF(BZ884=1,0,ROUNDUP(AZ884/BY884,0))</f>
        <v>1</v>
      </c>
      <c r="BB884" s="52" t="n">
        <f aca="false">IF(CQ884&gt;0,CQ884*MAX(1,AZ884/X884),IF(BZ884=1,IF(AZ884&lt;=0,0,CD884*MAX(1,IF(H884&gt;0,AZ884/H884,1))),IF(R884&gt;0,BA884/R884,0))/MAX(0.1,N(Parameter!$M$21)))</f>
        <v>0.00961538461538462</v>
      </c>
      <c r="BC884" s="50" t="n">
        <f aca="false">BB884*CB884</f>
        <v>1.49038461538462</v>
      </c>
      <c r="BD884" s="51" t="n">
        <f aca="false">IF(LEFT(Cockpit!$O$5,1)="A",H884,IF(CH884=1,(CK884+CI884)/2,IF(LEFT(Cockpit!$O$5,1)="B",(CK884+BF884)/2,MAX((CK884+BF884)/2,H884))))</f>
        <v>12.5</v>
      </c>
      <c r="BE884" s="50" t="n">
        <f aca="false">BD884*G884</f>
        <v>47.125</v>
      </c>
      <c r="BF884" s="50" t="n">
        <f aca="false">ROUNDUP(CK884+MAX(CL884,2*(J884/IF(CG884&gt;0,CG884,MAX(0.1,N(Cockpit!$O$6)))-CK884)),0)</f>
        <v>25</v>
      </c>
      <c r="BG884" s="51" t="n">
        <f aca="false">IF(BC884&gt;0,J884/BC884,-1)</f>
        <v>15.4322580645161</v>
      </c>
      <c r="BH884" s="51" t="n">
        <f aca="false">IF(AND(OR(CF884="L1",CF884="L23",CF884="LIFT"),BC884&gt;0),SUMIFS($BC$7:$BC$1843,$CF$7:$CF$1843,CF884,$BG$7:$BG$1843,"&gt;"&amp;BG884)+SUMIFS($BC$7:$BC$1843,$CF$7:$CF$1843,CF884,$BG$7:$BG$1843,BG884,$BW$7:$BW$1843,"&lt;="&amp;BW884),"")</f>
        <v>2398.15338827839</v>
      </c>
      <c r="BI884" s="58" t="n">
        <f aca="false">IF(BH884="",0,MAX(0,MIN(1,(IF(CF884="L1",Parameter!$H$5,IF(CF884="L23",Parameter!$H$6+Parameter!$H$7,Parameter!$H$5+Parameter!$H$6+Parameter!$H$7))-(BH884-BC884))/BC884)))</f>
        <v>1</v>
      </c>
      <c r="BJ884" s="48" t="str">
        <f aca="false">IF(AI884&lt;=0,"",IF(CF884="Aussen","Aussenlager",IF(CF884="-","Nicht im Lift",IF(AO884&gt;=1,"Lift",IF(AO884&lt;=0,"Aussenlager","teilweise")))))</f>
        <v>Lift</v>
      </c>
      <c r="BK884" s="48" t="str">
        <f aca="false">IF(AS884&lt;=0,"",IF(CF884="Aussen","Aussenlager",IF(CF884="-","Nicht im Lift",IF(AY884&gt;=1,"Lift",IF(AY884&lt;=0,"Aussenlager","teilweise")))))</f>
        <v>Lift</v>
      </c>
      <c r="BL884" s="48" t="str">
        <f aca="false">IF(BC884&lt;=0,"",IF(CF884="Aussen","Aussenlager",IF(CF884="-","Nicht im Lift",IF(BI884&gt;=1,"Lift",IF(BI884&lt;=0,"Aussenlager","teilweise")))))</f>
        <v>Lift</v>
      </c>
      <c r="BM884" s="48" t="str">
        <f aca="false">IF(A884="","",IF(BV884=1,"Neu; ","")&amp;IF(AND(BV884=0,BQ884&lt;0),"negativer Bestand (Export "&amp;BQ884&amp;"); ","")&amp;IF(J884&lt;=0,"Kein Verbrauch; ","")&amp;IF(CQ884&gt;0,"Lift "&amp;W884&amp;" lt. Liftbericht (Fach "&amp;X884&amp;" Stk); ",IF(CA884=1,"Gebinde geschätzt ("&amp;T884&amp;"); ",IF(BZ884=1,"Lose – Tablare geschätzt; ","")))&amp;IF(H884&gt;AV884,"Überbestand "&amp;ROUND(H884-AV884,0)&amp;" Stk / CHF "&amp;ROUND((H884-AV884)*G884,0)&amp;"; ","")&amp;IF(AND(CH884=1,CI884&lt;CJ884),"MAX &lt; MB+LG; ","")&amp;IF(AND(CP884&gt;0,CO884*10&gt;CP884),"zu hoch für Tablar; ","")&amp;IF(AND(BV884=0,OR(CH884=1,AA884&lt;&gt;"",U884&lt;&gt;"",V884&lt;&gt;"",AB884&lt;&gt;"")),"manuell übersteuert; ","")&amp;IF(AND(BZ884=0,R884=0),"Gebinde unbekannt / Stellmass fehlt; ","")&amp;IF(AND(BZ884=0,N(V884)&lt;=0,N(Q884)&lt;=0),"Menge pro Gebinde fehlt (Ist = 1 Gebinde); ","")&amp;BU884)</f>
        <v>negativer Bestand (Export -8); </v>
      </c>
      <c r="BN884" s="48"/>
      <c r="BO884" s="48"/>
      <c r="BP884" s="55"/>
      <c r="BQ884" s="50" t="n">
        <v>-8</v>
      </c>
      <c r="BR884" s="50" t="n">
        <v>12</v>
      </c>
      <c r="BS884" s="49" t="n">
        <v>-28.12</v>
      </c>
      <c r="BT884" s="50" t="n">
        <v>23</v>
      </c>
      <c r="BU884" s="48"/>
      <c r="BV884" s="53" t="n">
        <v>0</v>
      </c>
      <c r="BW884" s="53" t="n">
        <v>884</v>
      </c>
      <c r="BX884" s="48" t="str">
        <f aca="false">IF(U884&lt;&gt;"",UPPER(TRIM(U884)),IF(CA884=1,UPPER(VLOOKUP(T884,Parameter!$I$27:$K$29,2,0)),IF(P884="","LOSE",P884)))</f>
        <v>S32</v>
      </c>
      <c r="BY884" s="50" t="n">
        <f aca="false">IF(BX884="LOSE",1,IF(N(V884)&gt;0,V884,IF(CA884=1,MAX(1,N(VLOOKUP(T884,Parameter!$I$27:$K$29,3,0)),H884,N(N884)),IF(N(Q884)&gt;0,Q884,MAX(1,H884)))))</f>
        <v>37</v>
      </c>
      <c r="BZ884" s="53" t="n">
        <f aca="false">IF(BX884="LOSE",1,0)</f>
        <v>0</v>
      </c>
      <c r="CA884" s="53" t="n">
        <f aca="false">IF(AND(U884="",OR(P884="",P884="LOSE"),T884&lt;&gt;"",N(S884)&lt;=0,ISNUMBER(MATCH(T884,Parameter!$I$27:$I$29,0))),1,0)</f>
        <v>0</v>
      </c>
      <c r="CB884" s="53" t="n">
        <f aca="false">IF(CQ884&gt;0,INDEX(Parameter!$H$5:$H$7,W884)/INDEX(Parameter!$E$5:$E$7,W884),IF(AND(BZ884=0,N(IFERROR(VLOOKUP(BX884,'Gebinde-Kategorie'!$A$5:$N$45,14,0),0))&gt;0),VLOOKUP(BX884,'Gebinde-Kategorie'!$A$5:$N$45,14,0)*10+Parameter!$M$23,Parameter!$M$24))</f>
        <v>155</v>
      </c>
      <c r="CC884" s="48" t="str">
        <f aca="false">IF(AND(Parameter!$B$19="Ja",E884&lt;&gt;"",ISNUMBER(MATCH(E884,Parameter!$I$35:$I$52,0))),VLOOKUP(E884,Parameter!$I$35:$J$52,2,0),IFERROR(VLOOKUP(D884,Parameter!$A$35:$C$64,2,0),"Nein"))</f>
        <v>2+3</v>
      </c>
      <c r="CD884" s="52" t="n">
        <f aca="false">IF(BZ884=0,0,IF(N(S884)&gt;0,S884,IFERROR(VLOOKUP(D884,Parameter!$A$35:$C$64,3,0)+0,0)))</f>
        <v>0</v>
      </c>
      <c r="CE884" s="48" t="n">
        <f aca="false">IF(AA884&lt;&gt;"",AA884,Z884)</f>
        <v>3</v>
      </c>
      <c r="CF884" s="48" t="str">
        <f aca="false">IF(OR(CE884=1,CE884=2,CE884=3),IF(Parameter!$E$27="Ja","LIFT",IF(CE884=1,"L1","L23")),IF(CE884="Aussen","Aussen","-"))</f>
        <v>LIFT</v>
      </c>
      <c r="CG884" s="59" t="n">
        <f aca="false">IF(N(AB884)&gt;0,AB884,0)</f>
        <v>0</v>
      </c>
      <c r="CH884" s="53" t="n">
        <f aca="false">IF(ISNUMBER(AE884),1,0)</f>
        <v>0</v>
      </c>
      <c r="CI884" s="50" t="n">
        <f aca="false">N(AE884)</f>
        <v>0</v>
      </c>
      <c r="CJ884" s="50" t="n">
        <f aca="false">N(M884)+N(N884)</f>
        <v>25</v>
      </c>
      <c r="CK884" s="50" t="n">
        <f aca="false">N(M884)</f>
        <v>0</v>
      </c>
      <c r="CL884" s="50" t="n">
        <f aca="false">N(N884)</f>
        <v>25</v>
      </c>
      <c r="CM884" s="50" t="n">
        <f aca="false">ROUNDUP(H884/BY884,0)</f>
        <v>1</v>
      </c>
      <c r="CN884" s="50" t="n">
        <f aca="false">ROUNDUP(CI884/BY884,0)</f>
        <v>0</v>
      </c>
      <c r="CO884" s="53" t="n">
        <f aca="false">IF(BZ884=1,0,IFERROR(VLOOKUP(BX884,'Gebinde-Kategorie'!$A$5:$N$45,5,0)+0,0))</f>
        <v>8</v>
      </c>
      <c r="CP884" s="53" t="n">
        <f aca="false">IFERROR(IF(OR(CE884=1,CE884=2,CE884=3),N(INDEX(Parameter!$I$5:$I$7,CE884)),0),0)</f>
        <v>0</v>
      </c>
      <c r="CQ884" s="52" t="n">
        <f aca="false">IF(AND(Parameter!$B$21="Ja",ISNUMBER(W884),N(X884)&gt;0),IFERROR(N(INDEX(Parameter!$L$5:$L$7,W884))*INDEX(Parameter!$E$5:$E$7,W884)*X884/SUMIFS($X$7:$X$1843,$W$7:$W$1843,W884),0),0)</f>
        <v>0</v>
      </c>
    </row>
    <row r="885" customFormat="false" ht="15" hidden="false" customHeight="false" outlineLevel="0" collapsed="false">
      <c r="A885" s="48" t="s">
        <v>1681</v>
      </c>
      <c r="B885" s="48" t="s">
        <v>1297</v>
      </c>
      <c r="C885" s="48" t="s">
        <v>173</v>
      </c>
      <c r="D885" s="48" t="s">
        <v>193</v>
      </c>
      <c r="E885" s="48" t="s">
        <v>194</v>
      </c>
      <c r="F885" s="48" t="s">
        <v>227</v>
      </c>
      <c r="G885" s="49" t="n">
        <v>7.34</v>
      </c>
      <c r="H885" s="50" t="n">
        <f aca="false">MAX(0,IF(AND(Parameter!$B$21="Ja",ISNUMBER(Y885)),Y885,IF(Parameter!$B$20="Jahresanfang 2025 + Export",BR885+BQ885,BQ885)))</f>
        <v>3</v>
      </c>
      <c r="I885" s="50" t="n">
        <f aca="false">H885*G885</f>
        <v>22.02</v>
      </c>
      <c r="J885" s="50" t="n">
        <f aca="false">BT885*Parameter!$B$18</f>
        <v>6</v>
      </c>
      <c r="K885" s="51" t="n">
        <v>6.5</v>
      </c>
      <c r="L885" s="52" t="n">
        <v>0.923076923076923</v>
      </c>
      <c r="M885" s="50" t="n">
        <v>0</v>
      </c>
      <c r="N885" s="50" t="n">
        <v>5</v>
      </c>
      <c r="O885" s="53" t="n">
        <v>14</v>
      </c>
      <c r="P885" s="48" t="s">
        <v>485</v>
      </c>
      <c r="Q885" s="50" t="n">
        <v>5</v>
      </c>
      <c r="R885" s="53" t="n">
        <f aca="false">IF(BZ885=1,0,IFERROR(VLOOKUP(BX885,'Gebinde-Kategorie'!$A$5:$N$45,13,0)+0,0))</f>
        <v>52</v>
      </c>
      <c r="S885" s="54"/>
      <c r="T885" s="55"/>
      <c r="U885" s="55"/>
      <c r="V885" s="55"/>
      <c r="W885" s="48"/>
      <c r="X885" s="50"/>
      <c r="Y885" s="50"/>
      <c r="Z885" s="48" t="n">
        <f aca="false">IF(A885="","",IF(AND(Parameter!$B$21="Ja",ISNUMBER(W885)),W885,IF(CC885="2+3",IF(ISNUMBER(SEARCH("grosser Artikel",BU885)),2,IFERROR(VLOOKUP(BX885,Parameter!$F$35:$G$64,2,0),2)),IF(OR(CC885="Nein",CC885=""),"-",CC885))))</f>
        <v>3</v>
      </c>
      <c r="AA885" s="55"/>
      <c r="AB885" s="56"/>
      <c r="AC885" s="50" t="n">
        <f aca="false">AV885</f>
        <v>5</v>
      </c>
      <c r="AD885" s="50" t="n">
        <f aca="false">MAX(AV885,H885)</f>
        <v>5</v>
      </c>
      <c r="AE885" s="57"/>
      <c r="AF885" s="50" t="n">
        <f aca="false">IF(LEFT(Cockpit!$C$5,1)="A",H885,IF(Parameter!$E$30="MAX-Bestand",IF(CH885=1,CI885,IF(LEFT(Cockpit!$C$5,1)="B",AL885,MAX(AL885,H885))),ROUNDUP(AJ885,0)))</f>
        <v>3</v>
      </c>
      <c r="AG885" s="50" t="n">
        <f aca="false">IF(BZ885=1,0,ROUNDUP(AF885/BY885,0))</f>
        <v>1</v>
      </c>
      <c r="AH885" s="52" t="n">
        <f aca="false">IF(CQ885&gt;0,CQ885*MAX(1,AF885/X885),IF(BZ885=1,IF(AF885&lt;=0,0,CD885*MAX(1,IF(H885&gt;0,AF885/H885,1))),IF(R885&gt;0,AG885/R885,0))/MAX(0.1,N(Parameter!$M$21)))</f>
        <v>0.0192307692307692</v>
      </c>
      <c r="AI885" s="50" t="n">
        <f aca="false">AH885*CB885</f>
        <v>2.98076923076923</v>
      </c>
      <c r="AJ885" s="51" t="n">
        <f aca="false">IF(LEFT(Cockpit!$C$5,1)="A",H885,IF(CH885=1,(CK885+CI885)/2,IF(LEFT(Cockpit!$C$5,1)="B",(CK885+AL885)/2,MAX((CK885+AL885)/2,H885))))</f>
        <v>3</v>
      </c>
      <c r="AK885" s="50" t="n">
        <f aca="false">AJ885*G885</f>
        <v>22.02</v>
      </c>
      <c r="AL885" s="50" t="n">
        <f aca="false">ROUNDUP(CK885+MAX(CL885,2*(J885/IF(CG885&gt;0,CG885,MAX(0.1,N(Cockpit!$C$6)))-CK885)),0)</f>
        <v>5</v>
      </c>
      <c r="AM885" s="51" t="n">
        <f aca="false">IF(AI885&gt;0,J885/AI885,-1)</f>
        <v>2.01290322580645</v>
      </c>
      <c r="AN885" s="51" t="n">
        <f aca="false">IF(AND(OR(CF885="L1",CF885="L23",CF885="LIFT"),AI885&gt;0),SUMIFS($AI$7:$AI$1843,$CF$7:$CF$1843,CF885,$AM$7:$AM$1843,"&gt;"&amp;AM885)+SUMIFS($AI$7:$AI$1843,$CF$7:$CF$1843,CF885,$AM$7:$AM$1843,AM885,$BW$7:$BW$1843,"&lt;="&amp;BW885),"")</f>
        <v>5790.84981684982</v>
      </c>
      <c r="AO885" s="58" t="n">
        <f aca="false">IF(AN885="",0,MAX(0,MIN(1,(IF(CF885="L1",Parameter!$H$5,IF(CF885="L23",Parameter!$H$6+Parameter!$H$7,Parameter!$H$5+Parameter!$H$6+Parameter!$H$7))-(AN885-AI885))/AI885)))</f>
        <v>1</v>
      </c>
      <c r="AP885" s="50" t="n">
        <f aca="false">IF(LEFT(Cockpit!$I$5,1)="A",H885,IF(Parameter!$E$30="MAX-Bestand",IF(CH885=1,CI885,IF(LEFT(Cockpit!$I$5,1)="B",AV885,MAX(AV885,H885))),ROUNDUP(AT885,0)))</f>
        <v>3</v>
      </c>
      <c r="AQ885" s="50" t="n">
        <f aca="false">IF(BZ885=1,0,ROUNDUP(AP885/BY885,0))</f>
        <v>1</v>
      </c>
      <c r="AR885" s="52" t="n">
        <f aca="false">IF(CQ885&gt;0,CQ885*MAX(1,AP885/X885),IF(BZ885=1,IF(AP885&lt;=0,0,CD885*MAX(1,IF(H885&gt;0,AP885/H885,1))),IF(R885&gt;0,AQ885/R885,0))/MAX(0.1,N(Parameter!$M$21)))</f>
        <v>0.0192307692307692</v>
      </c>
      <c r="AS885" s="50" t="n">
        <f aca="false">AR885*CB885</f>
        <v>2.98076923076923</v>
      </c>
      <c r="AT885" s="51" t="n">
        <f aca="false">IF(LEFT(Cockpit!$I$5,1)="A",H885,IF(CH885=1,(CK885+CI885)/2,IF(LEFT(Cockpit!$I$5,1)="B",(CK885+AV885)/2,MAX((CK885+AV885)/2,H885))))</f>
        <v>3</v>
      </c>
      <c r="AU885" s="50" t="n">
        <f aca="false">AT885*G885</f>
        <v>22.02</v>
      </c>
      <c r="AV885" s="50" t="n">
        <f aca="false">ROUNDUP(CK885+MAX(CL885,2*(J885/IF(CG885&gt;0,CG885,MAX(0.1,N(Cockpit!$I$6)))-CK885)),0)</f>
        <v>5</v>
      </c>
      <c r="AW885" s="51" t="n">
        <f aca="false">IF(AS885&gt;0,J885/AS885,-1)</f>
        <v>2.01290322580645</v>
      </c>
      <c r="AX885" s="51" t="n">
        <f aca="false">IF(AND(OR(CF885="L1",CF885="L23",CF885="LIFT"),AS885&gt;0),SUMIFS($AS$7:$AS$1843,$CF$7:$CF$1843,CF885,$AW$7:$AW$1843,"&gt;"&amp;AW885)+SUMIFS($AS$7:$AS$1843,$CF$7:$CF$1843,CF885,$AW$7:$AW$1843,AW885,$BW$7:$BW$1843,"&lt;="&amp;BW885),"")</f>
        <v>7158.78937728938</v>
      </c>
      <c r="AY885" s="58" t="n">
        <f aca="false">IF(AX885="",0,MAX(0,MIN(1,(IF(CF885="L1",Parameter!$H$5,IF(CF885="L23",Parameter!$H$6+Parameter!$H$7,Parameter!$H$5+Parameter!$H$6+Parameter!$H$7))-(AX885-AS885))/AS885)))</f>
        <v>1</v>
      </c>
      <c r="AZ885" s="50" t="n">
        <f aca="false">IF(LEFT(Cockpit!$O$5,1)="A",H885,IF(Parameter!$E$30="MAX-Bestand",IF(CH885=1,CI885,IF(LEFT(Cockpit!$O$5,1)="B",BF885,MAX(BF885,H885))),ROUNDUP(BD885,0)))</f>
        <v>3</v>
      </c>
      <c r="BA885" s="50" t="n">
        <f aca="false">IF(BZ885=1,0,ROUNDUP(AZ885/BY885,0))</f>
        <v>1</v>
      </c>
      <c r="BB885" s="52" t="n">
        <f aca="false">IF(CQ885&gt;0,CQ885*MAX(1,AZ885/X885),IF(BZ885=1,IF(AZ885&lt;=0,0,CD885*MAX(1,IF(H885&gt;0,AZ885/H885,1))),IF(R885&gt;0,BA885/R885,0))/MAX(0.1,N(Parameter!$M$21)))</f>
        <v>0.0192307692307692</v>
      </c>
      <c r="BC885" s="50" t="n">
        <f aca="false">BB885*CB885</f>
        <v>2.98076923076923</v>
      </c>
      <c r="BD885" s="51" t="n">
        <f aca="false">IF(LEFT(Cockpit!$O$5,1)="A",H885,IF(CH885=1,(CK885+CI885)/2,IF(LEFT(Cockpit!$O$5,1)="B",(CK885+BF885)/2,MAX((CK885+BF885)/2,H885))))</f>
        <v>2.5</v>
      </c>
      <c r="BE885" s="50" t="n">
        <f aca="false">BD885*G885</f>
        <v>18.35</v>
      </c>
      <c r="BF885" s="50" t="n">
        <f aca="false">ROUNDUP(CK885+MAX(CL885,2*(J885/IF(CG885&gt;0,CG885,MAX(0.1,N(Cockpit!$O$6)))-CK885)),0)</f>
        <v>5</v>
      </c>
      <c r="BG885" s="51" t="n">
        <f aca="false">IF(BC885&gt;0,J885/BC885,-1)</f>
        <v>2.01290322580645</v>
      </c>
      <c r="BH885" s="51" t="n">
        <f aca="false">IF(AND(OR(CF885="L1",CF885="L23",CF885="LIFT"),BC885&gt;0),SUMIFS($BC$7:$BC$1843,$CF$7:$CF$1843,CF885,$BG$7:$BG$1843,"&gt;"&amp;BG885)+SUMIFS($BC$7:$BC$1843,$CF$7:$CF$1843,CF885,$BG$7:$BG$1843,BG885,$BW$7:$BW$1843,"&lt;="&amp;BW885),"")</f>
        <v>5869.5641025641</v>
      </c>
      <c r="BI885" s="58" t="n">
        <f aca="false">IF(BH885="",0,MAX(0,MIN(1,(IF(CF885="L1",Parameter!$H$5,IF(CF885="L23",Parameter!$H$6+Parameter!$H$7,Parameter!$H$5+Parameter!$H$6+Parameter!$H$7))-(BH885-BC885))/BC885)))</f>
        <v>1</v>
      </c>
      <c r="BJ885" s="48" t="str">
        <f aca="false">IF(AI885&lt;=0,"",IF(CF885="Aussen","Aussenlager",IF(CF885="-","Nicht im Lift",IF(AO885&gt;=1,"Lift",IF(AO885&lt;=0,"Aussenlager","teilweise")))))</f>
        <v>Lift</v>
      </c>
      <c r="BK885" s="48" t="str">
        <f aca="false">IF(AS885&lt;=0,"",IF(CF885="Aussen","Aussenlager",IF(CF885="-","Nicht im Lift",IF(AY885&gt;=1,"Lift",IF(AY885&lt;=0,"Aussenlager","teilweise")))))</f>
        <v>Lift</v>
      </c>
      <c r="BL885" s="48" t="str">
        <f aca="false">IF(BC885&lt;=0,"",IF(CF885="Aussen","Aussenlager",IF(CF885="-","Nicht im Lift",IF(BI885&gt;=1,"Lift",IF(BI885&lt;=0,"Aussenlager","teilweise")))))</f>
        <v>Lift</v>
      </c>
      <c r="BM885" s="48" t="str">
        <f aca="false">IF(A885="","",IF(BV885=1,"Neu; ","")&amp;IF(AND(BV885=0,BQ885&lt;0),"negativer Bestand (Export "&amp;BQ885&amp;"); ","")&amp;IF(J885&lt;=0,"Kein Verbrauch; ","")&amp;IF(CQ885&gt;0,"Lift "&amp;W885&amp;" lt. Liftbericht (Fach "&amp;X885&amp;" Stk); ",IF(CA885=1,"Gebinde geschätzt ("&amp;T885&amp;"); ",IF(BZ885=1,"Lose – Tablare geschätzt; ","")))&amp;IF(H885&gt;AV885,"Überbestand "&amp;ROUND(H885-AV885,0)&amp;" Stk / CHF "&amp;ROUND((H885-AV885)*G885,0)&amp;"; ","")&amp;IF(AND(CH885=1,CI885&lt;CJ885),"MAX &lt; MB+LG; ","")&amp;IF(AND(CP885&gt;0,CO885*10&gt;CP885),"zu hoch für Tablar; ","")&amp;IF(AND(BV885=0,OR(CH885=1,AA885&lt;&gt;"",U885&lt;&gt;"",V885&lt;&gt;"",AB885&lt;&gt;"")),"manuell übersteuert; ","")&amp;IF(AND(BZ885=0,R885=0),"Gebinde unbekannt / Stellmass fehlt; ","")&amp;IF(AND(BZ885=0,N(V885)&lt;=0,N(Q885)&lt;=0),"Menge pro Gebinde fehlt (Ist = 1 Gebinde); ","")&amp;BU885)</f>
        <v>negativer Bestand (Export -4); </v>
      </c>
      <c r="BN885" s="48"/>
      <c r="BO885" s="48"/>
      <c r="BP885" s="55"/>
      <c r="BQ885" s="50" t="n">
        <v>-4</v>
      </c>
      <c r="BR885" s="50" t="n">
        <v>7</v>
      </c>
      <c r="BS885" s="49" t="n">
        <v>-28.17</v>
      </c>
      <c r="BT885" s="50" t="n">
        <v>6</v>
      </c>
      <c r="BU885" s="48"/>
      <c r="BV885" s="53" t="n">
        <v>0</v>
      </c>
      <c r="BW885" s="53" t="n">
        <v>885</v>
      </c>
      <c r="BX885" s="48" t="str">
        <f aca="false">IF(U885&lt;&gt;"",UPPER(TRIM(U885)),IF(CA885=1,UPPER(VLOOKUP(T885,Parameter!$I$27:$K$29,2,0)),IF(P885="","LOSE",P885)))</f>
        <v>S33</v>
      </c>
      <c r="BY885" s="50" t="n">
        <f aca="false">IF(BX885="LOSE",1,IF(N(V885)&gt;0,V885,IF(CA885=1,MAX(1,N(VLOOKUP(T885,Parameter!$I$27:$K$29,3,0)),H885,N(N885)),IF(N(Q885)&gt;0,Q885,MAX(1,H885)))))</f>
        <v>5</v>
      </c>
      <c r="BZ885" s="53" t="n">
        <f aca="false">IF(BX885="LOSE",1,0)</f>
        <v>0</v>
      </c>
      <c r="CA885" s="53" t="n">
        <f aca="false">IF(AND(U885="",OR(P885="",P885="LOSE"),T885&lt;&gt;"",N(S885)&lt;=0,ISNUMBER(MATCH(T885,Parameter!$I$27:$I$29,0))),1,0)</f>
        <v>0</v>
      </c>
      <c r="CB885" s="53" t="n">
        <f aca="false">IF(CQ885&gt;0,INDEX(Parameter!$H$5:$H$7,W885)/INDEX(Parameter!$E$5:$E$7,W885),IF(AND(BZ885=0,N(IFERROR(VLOOKUP(BX885,'Gebinde-Kategorie'!$A$5:$N$45,14,0),0))&gt;0),VLOOKUP(BX885,'Gebinde-Kategorie'!$A$5:$N$45,14,0)*10+Parameter!$M$23,Parameter!$M$24))</f>
        <v>155</v>
      </c>
      <c r="CC885" s="48" t="str">
        <f aca="false">IF(AND(Parameter!$B$19="Ja",E885&lt;&gt;"",ISNUMBER(MATCH(E885,Parameter!$I$35:$I$52,0))),VLOOKUP(E885,Parameter!$I$35:$J$52,2,0),IFERROR(VLOOKUP(D885,Parameter!$A$35:$C$64,2,0),"Nein"))</f>
        <v>2+3</v>
      </c>
      <c r="CD885" s="52" t="n">
        <f aca="false">IF(BZ885=0,0,IF(N(S885)&gt;0,S885,IFERROR(VLOOKUP(D885,Parameter!$A$35:$C$64,3,0)+0,0)))</f>
        <v>0</v>
      </c>
      <c r="CE885" s="48" t="n">
        <f aca="false">IF(AA885&lt;&gt;"",AA885,Z885)</f>
        <v>3</v>
      </c>
      <c r="CF885" s="48" t="str">
        <f aca="false">IF(OR(CE885=1,CE885=2,CE885=3),IF(Parameter!$E$27="Ja","LIFT",IF(CE885=1,"L1","L23")),IF(CE885="Aussen","Aussen","-"))</f>
        <v>LIFT</v>
      </c>
      <c r="CG885" s="59" t="n">
        <f aca="false">IF(N(AB885)&gt;0,AB885,0)</f>
        <v>0</v>
      </c>
      <c r="CH885" s="53" t="n">
        <f aca="false">IF(ISNUMBER(AE885),1,0)</f>
        <v>0</v>
      </c>
      <c r="CI885" s="50" t="n">
        <f aca="false">N(AE885)</f>
        <v>0</v>
      </c>
      <c r="CJ885" s="50" t="n">
        <f aca="false">N(M885)+N(N885)</f>
        <v>5</v>
      </c>
      <c r="CK885" s="50" t="n">
        <f aca="false">N(M885)</f>
        <v>0</v>
      </c>
      <c r="CL885" s="50" t="n">
        <f aca="false">N(N885)</f>
        <v>5</v>
      </c>
      <c r="CM885" s="50" t="n">
        <f aca="false">ROUNDUP(H885/BY885,0)</f>
        <v>1</v>
      </c>
      <c r="CN885" s="50" t="n">
        <f aca="false">ROUNDUP(CI885/BY885,0)</f>
        <v>0</v>
      </c>
      <c r="CO885" s="53" t="n">
        <f aca="false">IF(BZ885=1,0,IFERROR(VLOOKUP(BX885,'Gebinde-Kategorie'!$A$5:$N$45,5,0)+0,0))</f>
        <v>8</v>
      </c>
      <c r="CP885" s="53" t="n">
        <f aca="false">IFERROR(IF(OR(CE885=1,CE885=2,CE885=3),N(INDEX(Parameter!$I$5:$I$7,CE885)),0),0)</f>
        <v>0</v>
      </c>
      <c r="CQ885" s="52" t="n">
        <f aca="false">IF(AND(Parameter!$B$21="Ja",ISNUMBER(W885),N(X885)&gt;0),IFERROR(N(INDEX(Parameter!$L$5:$L$7,W885))*INDEX(Parameter!$E$5:$E$7,W885)*X885/SUMIFS($X$7:$X$1843,$W$7:$W$1843,W885),0),0)</f>
        <v>0</v>
      </c>
    </row>
    <row r="886" customFormat="false" ht="15" hidden="false" customHeight="false" outlineLevel="0" collapsed="false">
      <c r="A886" s="48" t="s">
        <v>1682</v>
      </c>
      <c r="B886" s="48" t="s">
        <v>901</v>
      </c>
      <c r="C886" s="48" t="s">
        <v>173</v>
      </c>
      <c r="D886" s="48" t="s">
        <v>193</v>
      </c>
      <c r="E886" s="48" t="s">
        <v>194</v>
      </c>
      <c r="F886" s="48" t="s">
        <v>227</v>
      </c>
      <c r="G886" s="49" t="n">
        <v>11.11</v>
      </c>
      <c r="H886" s="50" t="n">
        <f aca="false">MAX(0,IF(AND(Parameter!$B$21="Ja",ISNUMBER(Y886)),Y886,IF(Parameter!$B$20="Jahresanfang 2025 + Export",BR886+BQ886,BQ886)))</f>
        <v>7</v>
      </c>
      <c r="I886" s="50" t="n">
        <f aca="false">H886*G886</f>
        <v>77.77</v>
      </c>
      <c r="J886" s="50" t="n">
        <f aca="false">BT886*Parameter!$B$18</f>
        <v>18</v>
      </c>
      <c r="K886" s="51" t="n">
        <v>11</v>
      </c>
      <c r="L886" s="52" t="n">
        <v>1.63636363636364</v>
      </c>
      <c r="M886" s="50" t="n">
        <v>0</v>
      </c>
      <c r="N886" s="50" t="n">
        <v>20</v>
      </c>
      <c r="O886" s="53" t="n">
        <v>14</v>
      </c>
      <c r="P886" s="48" t="s">
        <v>435</v>
      </c>
      <c r="Q886" s="50" t="n">
        <v>8</v>
      </c>
      <c r="R886" s="53" t="n">
        <f aca="false">IF(BZ886=1,0,IFERROR(VLOOKUP(BX886,'Gebinde-Kategorie'!$A$5:$N$45,13,0)+0,0))</f>
        <v>140</v>
      </c>
      <c r="S886" s="54"/>
      <c r="T886" s="55"/>
      <c r="U886" s="55"/>
      <c r="V886" s="55"/>
      <c r="W886" s="48"/>
      <c r="X886" s="50"/>
      <c r="Y886" s="50"/>
      <c r="Z886" s="48" t="n">
        <f aca="false">IF(A886="","",IF(AND(Parameter!$B$21="Ja",ISNUMBER(W886)),W886,IF(CC886="2+3",IF(ISNUMBER(SEARCH("grosser Artikel",BU886)),2,IFERROR(VLOOKUP(BX886,Parameter!$F$35:$G$64,2,0),2)),IF(OR(CC886="Nein",CC886=""),"-",CC886))))</f>
        <v>3</v>
      </c>
      <c r="AA886" s="55"/>
      <c r="AB886" s="56"/>
      <c r="AC886" s="50" t="n">
        <f aca="false">AV886</f>
        <v>20</v>
      </c>
      <c r="AD886" s="50" t="n">
        <f aca="false">MAX(AV886,H886)</f>
        <v>20</v>
      </c>
      <c r="AE886" s="57"/>
      <c r="AF886" s="50" t="n">
        <f aca="false">IF(LEFT(Cockpit!$C$5,1)="A",H886,IF(Parameter!$E$30="MAX-Bestand",IF(CH886=1,CI886,IF(LEFT(Cockpit!$C$5,1)="B",AL886,MAX(AL886,H886))),ROUNDUP(AJ886,0)))</f>
        <v>7</v>
      </c>
      <c r="AG886" s="50" t="n">
        <f aca="false">IF(BZ886=1,0,ROUNDUP(AF886/BY886,0))</f>
        <v>1</v>
      </c>
      <c r="AH886" s="52" t="n">
        <f aca="false">IF(CQ886&gt;0,CQ886*MAX(1,AF886/X886),IF(BZ886=1,IF(AF886&lt;=0,0,CD886*MAX(1,IF(H886&gt;0,AF886/H886,1))),IF(R886&gt;0,AG886/R886,0))/MAX(0.1,N(Parameter!$M$21)))</f>
        <v>0.00714285714285714</v>
      </c>
      <c r="AI886" s="50" t="n">
        <f aca="false">AH886*CB886</f>
        <v>1.10714285714286</v>
      </c>
      <c r="AJ886" s="51" t="n">
        <f aca="false">IF(LEFT(Cockpit!$C$5,1)="A",H886,IF(CH886=1,(CK886+CI886)/2,IF(LEFT(Cockpit!$C$5,1)="B",(CK886+AL886)/2,MAX((CK886+AL886)/2,H886))))</f>
        <v>7</v>
      </c>
      <c r="AK886" s="50" t="n">
        <f aca="false">AJ886*G886</f>
        <v>77.77</v>
      </c>
      <c r="AL886" s="50" t="n">
        <f aca="false">ROUNDUP(CK886+MAX(CL886,2*(J886/IF(CG886&gt;0,CG886,MAX(0.1,N(Cockpit!$C$6)))-CK886)),0)</f>
        <v>20</v>
      </c>
      <c r="AM886" s="51" t="n">
        <f aca="false">IF(AI886&gt;0,J886/AI886,-1)</f>
        <v>16.258064516129</v>
      </c>
      <c r="AN886" s="51" t="n">
        <f aca="false">IF(AND(OR(CF886="L1",CF886="L23",CF886="LIFT"),AI886&gt;0),SUMIFS($AI$7:$AI$1843,$CF$7:$CF$1843,CF886,$AM$7:$AM$1843,"&gt;"&amp;AM886)+SUMIFS($AI$7:$AI$1843,$CF$7:$CF$1843,CF886,$AM$7:$AM$1843,AM886,$BW$7:$BW$1843,"&lt;="&amp;BW886),"")</f>
        <v>2046.77014652015</v>
      </c>
      <c r="AO886" s="58" t="n">
        <f aca="false">IF(AN886="",0,MAX(0,MIN(1,(IF(CF886="L1",Parameter!$H$5,IF(CF886="L23",Parameter!$H$6+Parameter!$H$7,Parameter!$H$5+Parameter!$H$6+Parameter!$H$7))-(AN886-AI886))/AI886)))</f>
        <v>1</v>
      </c>
      <c r="AP886" s="50" t="n">
        <f aca="false">IF(LEFT(Cockpit!$I$5,1)="A",H886,IF(Parameter!$E$30="MAX-Bestand",IF(CH886=1,CI886,IF(LEFT(Cockpit!$I$5,1)="B",AV886,MAX(AV886,H886))),ROUNDUP(AT886,0)))</f>
        <v>10</v>
      </c>
      <c r="AQ886" s="50" t="n">
        <f aca="false">IF(BZ886=1,0,ROUNDUP(AP886/BY886,0))</f>
        <v>2</v>
      </c>
      <c r="AR886" s="52" t="n">
        <f aca="false">IF(CQ886&gt;0,CQ886*MAX(1,AP886/X886),IF(BZ886=1,IF(AP886&lt;=0,0,CD886*MAX(1,IF(H886&gt;0,AP886/H886,1))),IF(R886&gt;0,AQ886/R886,0))/MAX(0.1,N(Parameter!$M$21)))</f>
        <v>0.0142857142857143</v>
      </c>
      <c r="AS886" s="50" t="n">
        <f aca="false">AR886*CB886</f>
        <v>2.21428571428571</v>
      </c>
      <c r="AT886" s="51" t="n">
        <f aca="false">IF(LEFT(Cockpit!$I$5,1)="A",H886,IF(CH886=1,(CK886+CI886)/2,IF(LEFT(Cockpit!$I$5,1)="B",(CK886+AV886)/2,MAX((CK886+AV886)/2,H886))))</f>
        <v>10</v>
      </c>
      <c r="AU886" s="50" t="n">
        <f aca="false">AT886*G886</f>
        <v>111.1</v>
      </c>
      <c r="AV886" s="50" t="n">
        <f aca="false">ROUNDUP(CK886+MAX(CL886,2*(J886/IF(CG886&gt;0,CG886,MAX(0.1,N(Cockpit!$I$6)))-CK886)),0)</f>
        <v>20</v>
      </c>
      <c r="AW886" s="51" t="n">
        <f aca="false">IF(AS886&gt;0,J886/AS886,-1)</f>
        <v>8.12903225806452</v>
      </c>
      <c r="AX886" s="51" t="n">
        <f aca="false">IF(AND(OR(CF886="L1",CF886="L23",CF886="LIFT"),AS886&gt;0),SUMIFS($AS$7:$AS$1843,$CF$7:$CF$1843,CF886,$AW$7:$AW$1843,"&gt;"&amp;AW886)+SUMIFS($AS$7:$AS$1843,$CF$7:$CF$1843,CF886,$AW$7:$AW$1843,AW886,$BW$7:$BW$1843,"&lt;="&amp;BW886),"")</f>
        <v>3655.7793040293</v>
      </c>
      <c r="AY886" s="58" t="n">
        <f aca="false">IF(AX886="",0,MAX(0,MIN(1,(IF(CF886="L1",Parameter!$H$5,IF(CF886="L23",Parameter!$H$6+Parameter!$H$7,Parameter!$H$5+Parameter!$H$6+Parameter!$H$7))-(AX886-AS886))/AS886)))</f>
        <v>1</v>
      </c>
      <c r="AZ886" s="50" t="n">
        <f aca="false">IF(LEFT(Cockpit!$O$5,1)="A",H886,IF(Parameter!$E$30="MAX-Bestand",IF(CH886=1,CI886,IF(LEFT(Cockpit!$O$5,1)="B",BF886,MAX(BF886,H886))),ROUNDUP(BD886,0)))</f>
        <v>10</v>
      </c>
      <c r="BA886" s="50" t="n">
        <f aca="false">IF(BZ886=1,0,ROUNDUP(AZ886/BY886,0))</f>
        <v>2</v>
      </c>
      <c r="BB886" s="52" t="n">
        <f aca="false">IF(CQ886&gt;0,CQ886*MAX(1,AZ886/X886),IF(BZ886=1,IF(AZ886&lt;=0,0,CD886*MAX(1,IF(H886&gt;0,AZ886/H886,1))),IF(R886&gt;0,BA886/R886,0))/MAX(0.1,N(Parameter!$M$21)))</f>
        <v>0.0142857142857143</v>
      </c>
      <c r="BC886" s="50" t="n">
        <f aca="false">BB886*CB886</f>
        <v>2.21428571428571</v>
      </c>
      <c r="BD886" s="51" t="n">
        <f aca="false">IF(LEFT(Cockpit!$O$5,1)="A",H886,IF(CH886=1,(CK886+CI886)/2,IF(LEFT(Cockpit!$O$5,1)="B",(CK886+BF886)/2,MAX((CK886+BF886)/2,H886))))</f>
        <v>10</v>
      </c>
      <c r="BE886" s="50" t="n">
        <f aca="false">BD886*G886</f>
        <v>111.1</v>
      </c>
      <c r="BF886" s="50" t="n">
        <f aca="false">ROUNDUP(CK886+MAX(CL886,2*(J886/IF(CG886&gt;0,CG886,MAX(0.1,N(Cockpit!$O$6)))-CK886)),0)</f>
        <v>20</v>
      </c>
      <c r="BG886" s="51" t="n">
        <f aca="false">IF(BC886&gt;0,J886/BC886,-1)</f>
        <v>8.12903225806452</v>
      </c>
      <c r="BH886" s="51" t="n">
        <f aca="false">IF(AND(OR(CF886="L1",CF886="L23",CF886="LIFT"),BC886&gt;0),SUMIFS($BC$7:$BC$1843,$CF$7:$CF$1843,CF886,$BG$7:$BG$1843,"&gt;"&amp;BG886)+SUMIFS($BC$7:$BC$1843,$CF$7:$CF$1843,CF886,$BG$7:$BG$1843,BG886,$BW$7:$BW$1843,"&lt;="&amp;BW886),"")</f>
        <v>3019.96932234432</v>
      </c>
      <c r="BI886" s="58" t="n">
        <f aca="false">IF(BH886="",0,MAX(0,MIN(1,(IF(CF886="L1",Parameter!$H$5,IF(CF886="L23",Parameter!$H$6+Parameter!$H$7,Parameter!$H$5+Parameter!$H$6+Parameter!$H$7))-(BH886-BC886))/BC886)))</f>
        <v>1</v>
      </c>
      <c r="BJ886" s="48" t="str">
        <f aca="false">IF(AI886&lt;=0,"",IF(CF886="Aussen","Aussenlager",IF(CF886="-","Nicht im Lift",IF(AO886&gt;=1,"Lift",IF(AO886&lt;=0,"Aussenlager","teilweise")))))</f>
        <v>Lift</v>
      </c>
      <c r="BK886" s="48" t="str">
        <f aca="false">IF(AS886&lt;=0,"",IF(CF886="Aussen","Aussenlager",IF(CF886="-","Nicht im Lift",IF(AY886&gt;=1,"Lift",IF(AY886&lt;=0,"Aussenlager","teilweise")))))</f>
        <v>Lift</v>
      </c>
      <c r="BL886" s="48" t="str">
        <f aca="false">IF(BC886&lt;=0,"",IF(CF886="Aussen","Aussenlager",IF(CF886="-","Nicht im Lift",IF(BI886&gt;=1,"Lift",IF(BI886&lt;=0,"Aussenlager","teilweise")))))</f>
        <v>Lift</v>
      </c>
      <c r="BM886" s="48" t="str">
        <f aca="false">IF(A886="","",IF(BV886=1,"Neu; ","")&amp;IF(AND(BV886=0,BQ886&lt;0),"negativer Bestand (Export "&amp;BQ886&amp;"); ","")&amp;IF(J886&lt;=0,"Kein Verbrauch; ","")&amp;IF(CQ886&gt;0,"Lift "&amp;W886&amp;" lt. Liftbericht (Fach "&amp;X886&amp;" Stk); ",IF(CA886=1,"Gebinde geschätzt ("&amp;T886&amp;"); ",IF(BZ886=1,"Lose – Tablare geschätzt; ","")))&amp;IF(H886&gt;AV886,"Überbestand "&amp;ROUND(H886-AV886,0)&amp;" Stk / CHF "&amp;ROUND((H886-AV886)*G886,0)&amp;"; ","")&amp;IF(AND(CH886=1,CI886&lt;CJ886),"MAX &lt; MB+LG; ","")&amp;IF(AND(CP886&gt;0,CO886*10&gt;CP886),"zu hoch für Tablar; ","")&amp;IF(AND(BV886=0,OR(CH886=1,AA886&lt;&gt;"",U886&lt;&gt;"",V886&lt;&gt;"",AB886&lt;&gt;"")),"manuell übersteuert; ","")&amp;IF(AND(BZ886=0,R886=0),"Gebinde unbekannt / Stellmass fehlt; ","")&amp;IF(AND(BZ886=0,N(V886)&lt;=0,N(Q886)&lt;=0),"Menge pro Gebinde fehlt (Ist = 1 Gebinde); ","")&amp;BU886)</f>
        <v>negativer Bestand (Export -3); </v>
      </c>
      <c r="BN886" s="48"/>
      <c r="BO886" s="48"/>
      <c r="BP886" s="55"/>
      <c r="BQ886" s="50" t="n">
        <v>-3</v>
      </c>
      <c r="BR886" s="50" t="n">
        <v>10</v>
      </c>
      <c r="BS886" s="49" t="n">
        <v>-28.33</v>
      </c>
      <c r="BT886" s="50" t="n">
        <v>18</v>
      </c>
      <c r="BU886" s="48"/>
      <c r="BV886" s="53" t="n">
        <v>0</v>
      </c>
      <c r="BW886" s="53" t="n">
        <v>886</v>
      </c>
      <c r="BX886" s="48" t="str">
        <f aca="false">IF(U886&lt;&gt;"",UPPER(TRIM(U886)),IF(CA886=1,UPPER(VLOOKUP(T886,Parameter!$I$27:$K$29,2,0)),IF(P886="","LOSE",P886)))</f>
        <v>S22</v>
      </c>
      <c r="BY886" s="50" t="n">
        <f aca="false">IF(BX886="LOSE",1,IF(N(V886)&gt;0,V886,IF(CA886=1,MAX(1,N(VLOOKUP(T886,Parameter!$I$27:$K$29,3,0)),H886,N(N886)),IF(N(Q886)&gt;0,Q886,MAX(1,H886)))))</f>
        <v>8</v>
      </c>
      <c r="BZ886" s="53" t="n">
        <f aca="false">IF(BX886="LOSE",1,0)</f>
        <v>0</v>
      </c>
      <c r="CA886" s="53" t="n">
        <f aca="false">IF(AND(U886="",OR(P886="",P886="LOSE"),T886&lt;&gt;"",N(S886)&lt;=0,ISNUMBER(MATCH(T886,Parameter!$I$27:$I$29,0))),1,0)</f>
        <v>0</v>
      </c>
      <c r="CB886" s="53" t="n">
        <f aca="false">IF(CQ886&gt;0,INDEX(Parameter!$H$5:$H$7,W886)/INDEX(Parameter!$E$5:$E$7,W886),IF(AND(BZ886=0,N(IFERROR(VLOOKUP(BX886,'Gebinde-Kategorie'!$A$5:$N$45,14,0),0))&gt;0),VLOOKUP(BX886,'Gebinde-Kategorie'!$A$5:$N$45,14,0)*10+Parameter!$M$23,Parameter!$M$24))</f>
        <v>155</v>
      </c>
      <c r="CC886" s="48" t="str">
        <f aca="false">IF(AND(Parameter!$B$19="Ja",E886&lt;&gt;"",ISNUMBER(MATCH(E886,Parameter!$I$35:$I$52,0))),VLOOKUP(E886,Parameter!$I$35:$J$52,2,0),IFERROR(VLOOKUP(D886,Parameter!$A$35:$C$64,2,0),"Nein"))</f>
        <v>2+3</v>
      </c>
      <c r="CD886" s="52" t="n">
        <f aca="false">IF(BZ886=0,0,IF(N(S886)&gt;0,S886,IFERROR(VLOOKUP(D886,Parameter!$A$35:$C$64,3,0)+0,0)))</f>
        <v>0</v>
      </c>
      <c r="CE886" s="48" t="n">
        <f aca="false">IF(AA886&lt;&gt;"",AA886,Z886)</f>
        <v>3</v>
      </c>
      <c r="CF886" s="48" t="str">
        <f aca="false">IF(OR(CE886=1,CE886=2,CE886=3),IF(Parameter!$E$27="Ja","LIFT",IF(CE886=1,"L1","L23")),IF(CE886="Aussen","Aussen","-"))</f>
        <v>LIFT</v>
      </c>
      <c r="CG886" s="59" t="n">
        <f aca="false">IF(N(AB886)&gt;0,AB886,0)</f>
        <v>0</v>
      </c>
      <c r="CH886" s="53" t="n">
        <f aca="false">IF(ISNUMBER(AE886),1,0)</f>
        <v>0</v>
      </c>
      <c r="CI886" s="50" t="n">
        <f aca="false">N(AE886)</f>
        <v>0</v>
      </c>
      <c r="CJ886" s="50" t="n">
        <f aca="false">N(M886)+N(N886)</f>
        <v>20</v>
      </c>
      <c r="CK886" s="50" t="n">
        <f aca="false">N(M886)</f>
        <v>0</v>
      </c>
      <c r="CL886" s="50" t="n">
        <f aca="false">N(N886)</f>
        <v>20</v>
      </c>
      <c r="CM886" s="50" t="n">
        <f aca="false">ROUNDUP(H886/BY886,0)</f>
        <v>1</v>
      </c>
      <c r="CN886" s="50" t="n">
        <f aca="false">ROUNDUP(CI886/BY886,0)</f>
        <v>0</v>
      </c>
      <c r="CO886" s="53" t="n">
        <f aca="false">IF(BZ886=1,0,IFERROR(VLOOKUP(BX886,'Gebinde-Kategorie'!$A$5:$N$45,5,0)+0,0))</f>
        <v>8</v>
      </c>
      <c r="CP886" s="53" t="n">
        <f aca="false">IFERROR(IF(OR(CE886=1,CE886=2,CE886=3),N(INDEX(Parameter!$I$5:$I$7,CE886)),0),0)</f>
        <v>0</v>
      </c>
      <c r="CQ886" s="52" t="n">
        <f aca="false">IF(AND(Parameter!$B$21="Ja",ISNUMBER(W886),N(X886)&gt;0),IFERROR(N(INDEX(Parameter!$L$5:$L$7,W886))*INDEX(Parameter!$E$5:$E$7,W886)*X886/SUMIFS($X$7:$X$1843,$W$7:$W$1843,W886),0),0)</f>
        <v>0</v>
      </c>
    </row>
    <row r="887" customFormat="false" ht="15" hidden="false" customHeight="false" outlineLevel="0" collapsed="false">
      <c r="A887" s="48" t="s">
        <v>1683</v>
      </c>
      <c r="B887" s="48" t="s">
        <v>1684</v>
      </c>
      <c r="C887" s="48" t="s">
        <v>173</v>
      </c>
      <c r="D887" s="48" t="s">
        <v>193</v>
      </c>
      <c r="E887" s="48"/>
      <c r="F887" s="48" t="s">
        <v>227</v>
      </c>
      <c r="G887" s="49" t="n">
        <v>5.69</v>
      </c>
      <c r="H887" s="50" t="n">
        <f aca="false">MAX(0,IF(AND(Parameter!$B$21="Ja",ISNUMBER(Y887)),Y887,IF(Parameter!$B$20="Jahresanfang 2025 + Export",BR887+BQ887,BQ887)))</f>
        <v>10</v>
      </c>
      <c r="I887" s="50" t="n">
        <f aca="false">H887*G887</f>
        <v>56.9</v>
      </c>
      <c r="J887" s="50" t="n">
        <f aca="false">BT887*Parameter!$B$18</f>
        <v>3</v>
      </c>
      <c r="K887" s="51" t="n">
        <v>12.5</v>
      </c>
      <c r="L887" s="52" t="n">
        <v>0.24</v>
      </c>
      <c r="M887" s="50" t="n">
        <v>0</v>
      </c>
      <c r="N887" s="50" t="n">
        <v>5</v>
      </c>
      <c r="O887" s="53" t="n">
        <v>28</v>
      </c>
      <c r="P887" s="48" t="s">
        <v>410</v>
      </c>
      <c r="Q887" s="50" t="n">
        <v>50</v>
      </c>
      <c r="R887" s="53" t="n">
        <f aca="false">IF(BZ887=1,0,IFERROR(VLOOKUP(BX887,'Gebinde-Kategorie'!$A$5:$N$45,13,0)+0,0))</f>
        <v>280</v>
      </c>
      <c r="S887" s="54"/>
      <c r="T887" s="55"/>
      <c r="U887" s="55"/>
      <c r="V887" s="55"/>
      <c r="W887" s="48"/>
      <c r="X887" s="50"/>
      <c r="Y887" s="50"/>
      <c r="Z887" s="48" t="n">
        <f aca="false">IF(A887="","",IF(AND(Parameter!$B$21="Ja",ISNUMBER(W887)),W887,IF(CC887="2+3",IF(ISNUMBER(SEARCH("grosser Artikel",BU887)),2,IFERROR(VLOOKUP(BX887,Parameter!$F$35:$G$64,2,0),2)),IF(OR(CC887="Nein",CC887=""),"-",CC887))))</f>
        <v>3</v>
      </c>
      <c r="AA887" s="55"/>
      <c r="AB887" s="56"/>
      <c r="AC887" s="50" t="n">
        <f aca="false">AV887</f>
        <v>5</v>
      </c>
      <c r="AD887" s="50" t="n">
        <f aca="false">MAX(AV887,H887)</f>
        <v>10</v>
      </c>
      <c r="AE887" s="57"/>
      <c r="AF887" s="50" t="n">
        <f aca="false">IF(LEFT(Cockpit!$C$5,1)="A",H887,IF(Parameter!$E$30="MAX-Bestand",IF(CH887=1,CI887,IF(LEFT(Cockpit!$C$5,1)="B",AL887,MAX(AL887,H887))),ROUNDUP(AJ887,0)))</f>
        <v>10</v>
      </c>
      <c r="AG887" s="50" t="n">
        <f aca="false">IF(BZ887=1,0,ROUNDUP(AF887/BY887,0))</f>
        <v>1</v>
      </c>
      <c r="AH887" s="52" t="n">
        <f aca="false">IF(CQ887&gt;0,CQ887*MAX(1,AF887/X887),IF(BZ887=1,IF(AF887&lt;=0,0,CD887*MAX(1,IF(H887&gt;0,AF887/H887,1))),IF(R887&gt;0,AG887/R887,0))/MAX(0.1,N(Parameter!$M$21)))</f>
        <v>0.00357142857142857</v>
      </c>
      <c r="AI887" s="50" t="n">
        <f aca="false">AH887*CB887</f>
        <v>0.553571428571429</v>
      </c>
      <c r="AJ887" s="51" t="n">
        <f aca="false">IF(LEFT(Cockpit!$C$5,1)="A",H887,IF(CH887=1,(CK887+CI887)/2,IF(LEFT(Cockpit!$C$5,1)="B",(CK887+AL887)/2,MAX((CK887+AL887)/2,H887))))</f>
        <v>10</v>
      </c>
      <c r="AK887" s="50" t="n">
        <f aca="false">AJ887*G887</f>
        <v>56.9</v>
      </c>
      <c r="AL887" s="50" t="n">
        <f aca="false">ROUNDUP(CK887+MAX(CL887,2*(J887/IF(CG887&gt;0,CG887,MAX(0.1,N(Cockpit!$C$6)))-CK887)),0)</f>
        <v>5</v>
      </c>
      <c r="AM887" s="51" t="n">
        <f aca="false">IF(AI887&gt;0,J887/AI887,-1)</f>
        <v>5.41935483870968</v>
      </c>
      <c r="AN887" s="51" t="n">
        <f aca="false">IF(AND(OR(CF887="L1",CF887="L23",CF887="LIFT"),AI887&gt;0),SUMIFS($AI$7:$AI$1843,$CF$7:$CF$1843,CF887,$AM$7:$AM$1843,"&gt;"&amp;AM887)+SUMIFS($AI$7:$AI$1843,$CF$7:$CF$1843,CF887,$AM$7:$AM$1843,AM887,$BW$7:$BW$1843,"&lt;="&amp;BW887),"")</f>
        <v>3716.14194139194</v>
      </c>
      <c r="AO887" s="58" t="n">
        <f aca="false">IF(AN887="",0,MAX(0,MIN(1,(IF(CF887="L1",Parameter!$H$5,IF(CF887="L23",Parameter!$H$6+Parameter!$H$7,Parameter!$H$5+Parameter!$H$6+Parameter!$H$7))-(AN887-AI887))/AI887)))</f>
        <v>1</v>
      </c>
      <c r="AP887" s="50" t="n">
        <f aca="false">IF(LEFT(Cockpit!$I$5,1)="A",H887,IF(Parameter!$E$30="MAX-Bestand",IF(CH887=1,CI887,IF(LEFT(Cockpit!$I$5,1)="B",AV887,MAX(AV887,H887))),ROUNDUP(AT887,0)))</f>
        <v>10</v>
      </c>
      <c r="AQ887" s="50" t="n">
        <f aca="false">IF(BZ887=1,0,ROUNDUP(AP887/BY887,0))</f>
        <v>1</v>
      </c>
      <c r="AR887" s="52" t="n">
        <f aca="false">IF(CQ887&gt;0,CQ887*MAX(1,AP887/X887),IF(BZ887=1,IF(AP887&lt;=0,0,CD887*MAX(1,IF(H887&gt;0,AP887/H887,1))),IF(R887&gt;0,AQ887/R887,0))/MAX(0.1,N(Parameter!$M$21)))</f>
        <v>0.00357142857142857</v>
      </c>
      <c r="AS887" s="50" t="n">
        <f aca="false">AR887*CB887</f>
        <v>0.553571428571429</v>
      </c>
      <c r="AT887" s="51" t="n">
        <f aca="false">IF(LEFT(Cockpit!$I$5,1)="A",H887,IF(CH887=1,(CK887+CI887)/2,IF(LEFT(Cockpit!$I$5,1)="B",(CK887+AV887)/2,MAX((CK887+AV887)/2,H887))))</f>
        <v>10</v>
      </c>
      <c r="AU887" s="50" t="n">
        <f aca="false">AT887*G887</f>
        <v>56.9</v>
      </c>
      <c r="AV887" s="50" t="n">
        <f aca="false">ROUNDUP(CK887+MAX(CL887,2*(J887/IF(CG887&gt;0,CG887,MAX(0.1,N(Cockpit!$I$6)))-CK887)),0)</f>
        <v>5</v>
      </c>
      <c r="AW887" s="51" t="n">
        <f aca="false">IF(AS887&gt;0,J887/AS887,-1)</f>
        <v>5.41935483870968</v>
      </c>
      <c r="AX887" s="51" t="n">
        <f aca="false">IF(AND(OR(CF887="L1",CF887="L23",CF887="LIFT"),AS887&gt;0),SUMIFS($AS$7:$AS$1843,$CF$7:$CF$1843,CF887,$AW$7:$AW$1843,"&gt;"&amp;AW887)+SUMIFS($AS$7:$AS$1843,$CF$7:$CF$1843,CF887,$AW$7:$AW$1843,AW887,$BW$7:$BW$1843,"&lt;="&amp;BW887),"")</f>
        <v>4369.88278388279</v>
      </c>
      <c r="AY887" s="58" t="n">
        <f aca="false">IF(AX887="",0,MAX(0,MIN(1,(IF(CF887="L1",Parameter!$H$5,IF(CF887="L23",Parameter!$H$6+Parameter!$H$7,Parameter!$H$5+Parameter!$H$6+Parameter!$H$7))-(AX887-AS887))/AS887)))</f>
        <v>1</v>
      </c>
      <c r="AZ887" s="50" t="n">
        <f aca="false">IF(LEFT(Cockpit!$O$5,1)="A",H887,IF(Parameter!$E$30="MAX-Bestand",IF(CH887=1,CI887,IF(LEFT(Cockpit!$O$5,1)="B",BF887,MAX(BF887,H887))),ROUNDUP(BD887,0)))</f>
        <v>3</v>
      </c>
      <c r="BA887" s="50" t="n">
        <f aca="false">IF(BZ887=1,0,ROUNDUP(AZ887/BY887,0))</f>
        <v>1</v>
      </c>
      <c r="BB887" s="52" t="n">
        <f aca="false">IF(CQ887&gt;0,CQ887*MAX(1,AZ887/X887),IF(BZ887=1,IF(AZ887&lt;=0,0,CD887*MAX(1,IF(H887&gt;0,AZ887/H887,1))),IF(R887&gt;0,BA887/R887,0))/MAX(0.1,N(Parameter!$M$21)))</f>
        <v>0.00357142857142857</v>
      </c>
      <c r="BC887" s="50" t="n">
        <f aca="false">BB887*CB887</f>
        <v>0.553571428571429</v>
      </c>
      <c r="BD887" s="51" t="n">
        <f aca="false">IF(LEFT(Cockpit!$O$5,1)="A",H887,IF(CH887=1,(CK887+CI887)/2,IF(LEFT(Cockpit!$O$5,1)="B",(CK887+BF887)/2,MAX((CK887+BF887)/2,H887))))</f>
        <v>2.5</v>
      </c>
      <c r="BE887" s="50" t="n">
        <f aca="false">BD887*G887</f>
        <v>14.225</v>
      </c>
      <c r="BF887" s="50" t="n">
        <f aca="false">ROUNDUP(CK887+MAX(CL887,2*(J887/IF(CG887&gt;0,CG887,MAX(0.1,N(Cockpit!$O$6)))-CK887)),0)</f>
        <v>5</v>
      </c>
      <c r="BG887" s="51" t="n">
        <f aca="false">IF(BC887&gt;0,J887/BC887,-1)</f>
        <v>5.41935483870968</v>
      </c>
      <c r="BH887" s="51" t="n">
        <f aca="false">IF(AND(OR(CF887="L1",CF887="L23",CF887="LIFT"),BC887&gt;0),SUMIFS($BC$7:$BC$1843,$CF$7:$CF$1843,CF887,$BG$7:$BG$1843,"&gt;"&amp;BG887)+SUMIFS($BC$7:$BC$1843,$CF$7:$CF$1843,CF887,$BG$7:$BG$1843,BG887,$BW$7:$BW$1843,"&lt;="&amp;BW887),"")</f>
        <v>3684.40476190476</v>
      </c>
      <c r="BI887" s="58" t="n">
        <f aca="false">IF(BH887="",0,MAX(0,MIN(1,(IF(CF887="L1",Parameter!$H$5,IF(CF887="L23",Parameter!$H$6+Parameter!$H$7,Parameter!$H$5+Parameter!$H$6+Parameter!$H$7))-(BH887-BC887))/BC887)))</f>
        <v>1</v>
      </c>
      <c r="BJ887" s="48" t="str">
        <f aca="false">IF(AI887&lt;=0,"",IF(CF887="Aussen","Aussenlager",IF(CF887="-","Nicht im Lift",IF(AO887&gt;=1,"Lift",IF(AO887&lt;=0,"Aussenlager","teilweise")))))</f>
        <v>Lift</v>
      </c>
      <c r="BK887" s="48" t="str">
        <f aca="false">IF(AS887&lt;=0,"",IF(CF887="Aussen","Aussenlager",IF(CF887="-","Nicht im Lift",IF(AY887&gt;=1,"Lift",IF(AY887&lt;=0,"Aussenlager","teilweise")))))</f>
        <v>Lift</v>
      </c>
      <c r="BL887" s="48" t="str">
        <f aca="false">IF(BC887&lt;=0,"",IF(CF887="Aussen","Aussenlager",IF(CF887="-","Nicht im Lift",IF(BI887&gt;=1,"Lift",IF(BI887&lt;=0,"Aussenlager","teilweise")))))</f>
        <v>Lift</v>
      </c>
      <c r="BM887" s="48" t="str">
        <f aca="false">IF(A887="","",IF(BV887=1,"Neu; ","")&amp;IF(AND(BV887=0,BQ887&lt;0),"negativer Bestand (Export "&amp;BQ887&amp;"); ","")&amp;IF(J887&lt;=0,"Kein Verbrauch; ","")&amp;IF(CQ887&gt;0,"Lift "&amp;W887&amp;" lt. Liftbericht (Fach "&amp;X887&amp;" Stk); ",IF(CA887=1,"Gebinde geschätzt ("&amp;T887&amp;"); ",IF(BZ887=1,"Lose – Tablare geschätzt; ","")))&amp;IF(H887&gt;AV887,"Überbestand "&amp;ROUND(H887-AV887,0)&amp;" Stk / CHF "&amp;ROUND((H887-AV887)*G887,0)&amp;"; ","")&amp;IF(AND(CH887=1,CI887&lt;CJ887),"MAX &lt; MB+LG; ","")&amp;IF(AND(CP887&gt;0,CO887*10&gt;CP887),"zu hoch für Tablar; ","")&amp;IF(AND(BV887=0,OR(CH887=1,AA887&lt;&gt;"",U887&lt;&gt;"",V887&lt;&gt;"",AB887&lt;&gt;"")),"manuell übersteuert; ","")&amp;IF(AND(BZ887=0,R887=0),"Gebinde unbekannt / Stellmass fehlt; ","")&amp;IF(AND(BZ887=0,N(V887)&lt;=0,N(Q887)&lt;=0),"Menge pro Gebinde fehlt (Ist = 1 Gebinde); ","")&amp;BU887)</f>
        <v>negativer Bestand (Export -5); Überbestand 5 Stk / CHF 28; </v>
      </c>
      <c r="BN887" s="48"/>
      <c r="BO887" s="48"/>
      <c r="BP887" s="55"/>
      <c r="BQ887" s="50" t="n">
        <v>-5</v>
      </c>
      <c r="BR887" s="50" t="n">
        <v>15</v>
      </c>
      <c r="BS887" s="49" t="n">
        <v>-28.45</v>
      </c>
      <c r="BT887" s="50" t="n">
        <v>3</v>
      </c>
      <c r="BU887" s="48"/>
      <c r="BV887" s="53" t="n">
        <v>0</v>
      </c>
      <c r="BW887" s="53" t="n">
        <v>887</v>
      </c>
      <c r="BX887" s="48" t="str">
        <f aca="false">IF(U887&lt;&gt;"",UPPER(TRIM(U887)),IF(CA887=1,UPPER(VLOOKUP(T887,Parameter!$I$27:$K$29,2,0)),IF(P887="","LOSE",P887)))</f>
        <v>S21</v>
      </c>
      <c r="BY887" s="50" t="n">
        <f aca="false">IF(BX887="LOSE",1,IF(N(V887)&gt;0,V887,IF(CA887=1,MAX(1,N(VLOOKUP(T887,Parameter!$I$27:$K$29,3,0)),H887,N(N887)),IF(N(Q887)&gt;0,Q887,MAX(1,H887)))))</f>
        <v>50</v>
      </c>
      <c r="BZ887" s="53" t="n">
        <f aca="false">IF(BX887="LOSE",1,0)</f>
        <v>0</v>
      </c>
      <c r="CA887" s="53" t="n">
        <f aca="false">IF(AND(U887="",OR(P887="",P887="LOSE"),T887&lt;&gt;"",N(S887)&lt;=0,ISNUMBER(MATCH(T887,Parameter!$I$27:$I$29,0))),1,0)</f>
        <v>0</v>
      </c>
      <c r="CB887" s="53" t="n">
        <f aca="false">IF(CQ887&gt;0,INDEX(Parameter!$H$5:$H$7,W887)/INDEX(Parameter!$E$5:$E$7,W887),IF(AND(BZ887=0,N(IFERROR(VLOOKUP(BX887,'Gebinde-Kategorie'!$A$5:$N$45,14,0),0))&gt;0),VLOOKUP(BX887,'Gebinde-Kategorie'!$A$5:$N$45,14,0)*10+Parameter!$M$23,Parameter!$M$24))</f>
        <v>155</v>
      </c>
      <c r="CC887" s="48" t="str">
        <f aca="false">IF(AND(Parameter!$B$19="Ja",E887&lt;&gt;"",ISNUMBER(MATCH(E887,Parameter!$I$35:$I$52,0))),VLOOKUP(E887,Parameter!$I$35:$J$52,2,0),IFERROR(VLOOKUP(D887,Parameter!$A$35:$C$64,2,0),"Nein"))</f>
        <v>2+3</v>
      </c>
      <c r="CD887" s="52" t="n">
        <f aca="false">IF(BZ887=0,0,IF(N(S887)&gt;0,S887,IFERROR(VLOOKUP(D887,Parameter!$A$35:$C$64,3,0)+0,0)))</f>
        <v>0</v>
      </c>
      <c r="CE887" s="48" t="n">
        <f aca="false">IF(AA887&lt;&gt;"",AA887,Z887)</f>
        <v>3</v>
      </c>
      <c r="CF887" s="48" t="str">
        <f aca="false">IF(OR(CE887=1,CE887=2,CE887=3),IF(Parameter!$E$27="Ja","LIFT",IF(CE887=1,"L1","L23")),IF(CE887="Aussen","Aussen","-"))</f>
        <v>LIFT</v>
      </c>
      <c r="CG887" s="59" t="n">
        <f aca="false">IF(N(AB887)&gt;0,AB887,0)</f>
        <v>0</v>
      </c>
      <c r="CH887" s="53" t="n">
        <f aca="false">IF(ISNUMBER(AE887),1,0)</f>
        <v>0</v>
      </c>
      <c r="CI887" s="50" t="n">
        <f aca="false">N(AE887)</f>
        <v>0</v>
      </c>
      <c r="CJ887" s="50" t="n">
        <f aca="false">N(M887)+N(N887)</f>
        <v>5</v>
      </c>
      <c r="CK887" s="50" t="n">
        <f aca="false">N(M887)</f>
        <v>0</v>
      </c>
      <c r="CL887" s="50" t="n">
        <f aca="false">N(N887)</f>
        <v>5</v>
      </c>
      <c r="CM887" s="50" t="n">
        <f aca="false">ROUNDUP(H887/BY887,0)</f>
        <v>1</v>
      </c>
      <c r="CN887" s="50" t="n">
        <f aca="false">ROUNDUP(CI887/BY887,0)</f>
        <v>0</v>
      </c>
      <c r="CO887" s="53" t="n">
        <f aca="false">IF(BZ887=1,0,IFERROR(VLOOKUP(BX887,'Gebinde-Kategorie'!$A$5:$N$45,5,0)+0,0))</f>
        <v>8</v>
      </c>
      <c r="CP887" s="53" t="n">
        <f aca="false">IFERROR(IF(OR(CE887=1,CE887=2,CE887=3),N(INDEX(Parameter!$I$5:$I$7,CE887)),0),0)</f>
        <v>0</v>
      </c>
      <c r="CQ887" s="52" t="n">
        <f aca="false">IF(AND(Parameter!$B$21="Ja",ISNUMBER(W887),N(X887)&gt;0),IFERROR(N(INDEX(Parameter!$L$5:$L$7,W887))*INDEX(Parameter!$E$5:$E$7,W887)*X887/SUMIFS($X$7:$X$1843,$W$7:$W$1843,W887),0),0)</f>
        <v>0</v>
      </c>
    </row>
    <row r="888" customFormat="false" ht="15" hidden="false" customHeight="false" outlineLevel="0" collapsed="false">
      <c r="A888" s="48" t="s">
        <v>1685</v>
      </c>
      <c r="B888" s="48" t="s">
        <v>1686</v>
      </c>
      <c r="C888" s="48" t="s">
        <v>173</v>
      </c>
      <c r="D888" s="48" t="s">
        <v>193</v>
      </c>
      <c r="E888" s="48"/>
      <c r="F888" s="48" t="s">
        <v>227</v>
      </c>
      <c r="G888" s="49" t="n">
        <v>14.44</v>
      </c>
      <c r="H888" s="50" t="n">
        <f aca="false">MAX(0,IF(AND(Parameter!$B$21="Ja",ISNUMBER(Y888)),Y888,IF(Parameter!$B$20="Jahresanfang 2025 + Export",BR888+BQ888,BQ888)))</f>
        <v>0</v>
      </c>
      <c r="I888" s="50" t="n">
        <f aca="false">H888*G888</f>
        <v>0</v>
      </c>
      <c r="J888" s="50" t="n">
        <f aca="false">BT888*Parameter!$B$18</f>
        <v>0</v>
      </c>
      <c r="K888" s="51" t="n">
        <v>2</v>
      </c>
      <c r="L888" s="52" t="n">
        <v>0</v>
      </c>
      <c r="M888" s="50" t="n">
        <v>0</v>
      </c>
      <c r="N888" s="50" t="n">
        <v>1</v>
      </c>
      <c r="O888" s="53" t="n">
        <v>14</v>
      </c>
      <c r="P888" s="48" t="s">
        <v>177</v>
      </c>
      <c r="Q888" s="50"/>
      <c r="R888" s="53" t="n">
        <f aca="false">IF(BZ888=1,0,IFERROR(VLOOKUP(BX888,'Gebinde-Kategorie'!$A$5:$N$45,13,0)+0,0))</f>
        <v>26</v>
      </c>
      <c r="S888" s="54"/>
      <c r="T888" s="55" t="s">
        <v>284</v>
      </c>
      <c r="U888" s="55"/>
      <c r="V888" s="55"/>
      <c r="W888" s="48"/>
      <c r="X888" s="50"/>
      <c r="Y888" s="50"/>
      <c r="Z888" s="48" t="n">
        <f aca="false">IF(A888="","",IF(AND(Parameter!$B$21="Ja",ISNUMBER(W888)),W888,IF(CC888="2+3",IF(ISNUMBER(SEARCH("grosser Artikel",BU888)),2,IFERROR(VLOOKUP(BX888,Parameter!$F$35:$G$64,2,0),2)),IF(OR(CC888="Nein",CC888=""),"-",CC888))))</f>
        <v>3</v>
      </c>
      <c r="AA888" s="55"/>
      <c r="AB888" s="56"/>
      <c r="AC888" s="50" t="n">
        <f aca="false">AV888</f>
        <v>1</v>
      </c>
      <c r="AD888" s="50" t="n">
        <f aca="false">MAX(AV888,H888)</f>
        <v>1</v>
      </c>
      <c r="AE888" s="57"/>
      <c r="AF888" s="50" t="n">
        <f aca="false">IF(LEFT(Cockpit!$C$5,1)="A",H888,IF(Parameter!$E$30="MAX-Bestand",IF(CH888=1,CI888,IF(LEFT(Cockpit!$C$5,1)="B",AL888,MAX(AL888,H888))),ROUNDUP(AJ888,0)))</f>
        <v>0</v>
      </c>
      <c r="AG888" s="50" t="n">
        <f aca="false">IF(BZ888=1,0,ROUNDUP(AF888/BY888,0))</f>
        <v>0</v>
      </c>
      <c r="AH888" s="52" t="n">
        <f aca="false">IF(CQ888&gt;0,CQ888*MAX(1,AF888/X888),IF(BZ888=1,IF(AF888&lt;=0,0,CD888*MAX(1,IF(H888&gt;0,AF888/H888,1))),IF(R888&gt;0,AG888/R888,0))/MAX(0.1,N(Parameter!$M$21)))</f>
        <v>0</v>
      </c>
      <c r="AI888" s="50" t="n">
        <f aca="false">AH888*CB888</f>
        <v>0</v>
      </c>
      <c r="AJ888" s="51" t="n">
        <f aca="false">IF(LEFT(Cockpit!$C$5,1)="A",H888,IF(CH888=1,(CK888+CI888)/2,IF(LEFT(Cockpit!$C$5,1)="B",(CK888+AL888)/2,MAX((CK888+AL888)/2,H888))))</f>
        <v>0</v>
      </c>
      <c r="AK888" s="50" t="n">
        <f aca="false">AJ888*G888</f>
        <v>0</v>
      </c>
      <c r="AL888" s="50" t="n">
        <f aca="false">ROUNDUP(CK888+MAX(CL888,2*(J888/IF(CG888&gt;0,CG888,MAX(0.1,N(Cockpit!$C$6)))-CK888)),0)</f>
        <v>1</v>
      </c>
      <c r="AM888" s="51" t="n">
        <f aca="false">IF(AI888&gt;0,J888/AI888,-1)</f>
        <v>-1</v>
      </c>
      <c r="AN888" s="51" t="str">
        <f aca="false">IF(AND(OR(CF888="L1",CF888="L23",CF888="LIFT"),AI888&gt;0),SUMIFS($AI$7:$AI$1843,$CF$7:$CF$1843,CF888,$AM$7:$AM$1843,"&gt;"&amp;AM888)+SUMIFS($AI$7:$AI$1843,$CF$7:$CF$1843,CF888,$AM$7:$AM$1843,AM888,$BW$7:$BW$1843,"&lt;="&amp;BW888),"")</f>
        <v/>
      </c>
      <c r="AO888" s="58" t="n">
        <f aca="false">IF(AN888="",0,MAX(0,MIN(1,(IF(CF888="L1",Parameter!$H$5,IF(CF888="L23",Parameter!$H$6+Parameter!$H$7,Parameter!$H$5+Parameter!$H$6+Parameter!$H$7))-(AN888-AI888))/AI888)))</f>
        <v>0</v>
      </c>
      <c r="AP888" s="50" t="n">
        <f aca="false">IF(LEFT(Cockpit!$I$5,1)="A",H888,IF(Parameter!$E$30="MAX-Bestand",IF(CH888=1,CI888,IF(LEFT(Cockpit!$I$5,1)="B",AV888,MAX(AV888,H888))),ROUNDUP(AT888,0)))</f>
        <v>1</v>
      </c>
      <c r="AQ888" s="50" t="n">
        <f aca="false">IF(BZ888=1,0,ROUNDUP(AP888/BY888,0))</f>
        <v>1</v>
      </c>
      <c r="AR888" s="52" t="n">
        <f aca="false">IF(CQ888&gt;0,CQ888*MAX(1,AP888/X888),IF(BZ888=1,IF(AP888&lt;=0,0,CD888*MAX(1,IF(H888&gt;0,AP888/H888,1))),IF(R888&gt;0,AQ888/R888,0))/MAX(0.1,N(Parameter!$M$21)))</f>
        <v>0.0384615384615385</v>
      </c>
      <c r="AS888" s="50" t="n">
        <f aca="false">AR888*CB888</f>
        <v>5.96153846153846</v>
      </c>
      <c r="AT888" s="51" t="n">
        <f aca="false">IF(LEFT(Cockpit!$I$5,1)="A",H888,IF(CH888=1,(CK888+CI888)/2,IF(LEFT(Cockpit!$I$5,1)="B",(CK888+AV888)/2,MAX((CK888+AV888)/2,H888))))</f>
        <v>0.5</v>
      </c>
      <c r="AU888" s="50" t="n">
        <f aca="false">AT888*G888</f>
        <v>7.22</v>
      </c>
      <c r="AV888" s="50" t="n">
        <f aca="false">ROUNDUP(CK888+MAX(CL888,2*(J888/IF(CG888&gt;0,CG888,MAX(0.1,N(Cockpit!$I$6)))-CK888)),0)</f>
        <v>1</v>
      </c>
      <c r="AW888" s="51" t="n">
        <f aca="false">IF(AS888&gt;0,J888/AS888,-1)</f>
        <v>0</v>
      </c>
      <c r="AX888" s="51" t="n">
        <f aca="false">IF(AND(OR(CF888="L1",CF888="L23",CF888="LIFT"),AS888&gt;0),SUMIFS($AS$7:$AS$1843,$CF$7:$CF$1843,CF888,$AW$7:$AW$1843,"&gt;"&amp;AW888)+SUMIFS($AS$7:$AS$1843,$CF$7:$CF$1843,CF888,$AW$7:$AW$1843,AW888,$BW$7:$BW$1843,"&lt;="&amp;BW888),"")</f>
        <v>34438.8731684982</v>
      </c>
      <c r="AY888" s="58" t="n">
        <f aca="false">IF(AX888="",0,MAX(0,MIN(1,(IF(CF888="L1",Parameter!$H$5,IF(CF888="L23",Parameter!$H$6+Parameter!$H$7,Parameter!$H$5+Parameter!$H$6+Parameter!$H$7))-(AX888-AS888))/AS888)))</f>
        <v>1</v>
      </c>
      <c r="AZ888" s="50" t="n">
        <f aca="false">IF(LEFT(Cockpit!$O$5,1)="A",H888,IF(Parameter!$E$30="MAX-Bestand",IF(CH888=1,CI888,IF(LEFT(Cockpit!$O$5,1)="B",BF888,MAX(BF888,H888))),ROUNDUP(BD888,0)))</f>
        <v>1</v>
      </c>
      <c r="BA888" s="50" t="n">
        <f aca="false">IF(BZ888=1,0,ROUNDUP(AZ888/BY888,0))</f>
        <v>1</v>
      </c>
      <c r="BB888" s="52" t="n">
        <f aca="false">IF(CQ888&gt;0,CQ888*MAX(1,AZ888/X888),IF(BZ888=1,IF(AZ888&lt;=0,0,CD888*MAX(1,IF(H888&gt;0,AZ888/H888,1))),IF(R888&gt;0,BA888/R888,0))/MAX(0.1,N(Parameter!$M$21)))</f>
        <v>0.0384615384615385</v>
      </c>
      <c r="BC888" s="50" t="n">
        <f aca="false">BB888*CB888</f>
        <v>5.96153846153846</v>
      </c>
      <c r="BD888" s="51" t="n">
        <f aca="false">IF(LEFT(Cockpit!$O$5,1)="A",H888,IF(CH888=1,(CK888+CI888)/2,IF(LEFT(Cockpit!$O$5,1)="B",(CK888+BF888)/2,MAX((CK888+BF888)/2,H888))))</f>
        <v>0.5</v>
      </c>
      <c r="BE888" s="50" t="n">
        <f aca="false">BD888*G888</f>
        <v>7.22</v>
      </c>
      <c r="BF888" s="50" t="n">
        <f aca="false">ROUNDUP(CK888+MAX(CL888,2*(J888/IF(CG888&gt;0,CG888,MAX(0.1,N(Cockpit!$O$6)))-CK888)),0)</f>
        <v>1</v>
      </c>
      <c r="BG888" s="51" t="n">
        <f aca="false">IF(BC888&gt;0,J888/BC888,-1)</f>
        <v>0</v>
      </c>
      <c r="BH888" s="51" t="n">
        <f aca="false">IF(AND(OR(CF888="L1",CF888="L23",CF888="LIFT"),BC888&gt;0),SUMIFS($BC$7:$BC$1843,$CF$7:$CF$1843,CF888,$BG$7:$BG$1843,"&gt;"&amp;BG888)+SUMIFS($BC$7:$BC$1843,$CF$7:$CF$1843,CF888,$BG$7:$BG$1843,BG888,$BW$7:$BW$1843,"&lt;="&amp;BW888),"")</f>
        <v>28478.6551033712</v>
      </c>
      <c r="BI888" s="58" t="n">
        <f aca="false">IF(BH888="",0,MAX(0,MIN(1,(IF(CF888="L1",Parameter!$H$5,IF(CF888="L23",Parameter!$H$6+Parameter!$H$7,Parameter!$H$5+Parameter!$H$6+Parameter!$H$7))-(BH888-BC888))/BC888)))</f>
        <v>1</v>
      </c>
      <c r="BJ888" s="48" t="str">
        <f aca="false">IF(AI888&lt;=0,"",IF(CF888="Aussen","Aussenlager",IF(CF888="-","Nicht im Lift",IF(AO888&gt;=1,"Lift",IF(AO888&lt;=0,"Aussenlager","teilweise")))))</f>
        <v/>
      </c>
      <c r="BK888" s="48" t="str">
        <f aca="false">IF(AS888&lt;=0,"",IF(CF888="Aussen","Aussenlager",IF(CF888="-","Nicht im Lift",IF(AY888&gt;=1,"Lift",IF(AY888&lt;=0,"Aussenlager","teilweise")))))</f>
        <v>Lift</v>
      </c>
      <c r="BL888" s="48" t="str">
        <f aca="false">IF(BC888&lt;=0,"",IF(CF888="Aussen","Aussenlager",IF(CF888="-","Nicht im Lift",IF(BI888&gt;=1,"Lift",IF(BI888&lt;=0,"Aussenlager","teilweise")))))</f>
        <v>Lift</v>
      </c>
      <c r="BM888" s="48" t="str">
        <f aca="false">IF(A888="","",IF(BV888=1,"Neu; ","")&amp;IF(AND(BV888=0,BQ888&lt;0),"negativer Bestand (Export "&amp;BQ888&amp;"); ","")&amp;IF(J888&lt;=0,"Kein Verbrauch; ","")&amp;IF(CQ888&gt;0,"Lift "&amp;W888&amp;" lt. Liftbericht (Fach "&amp;X888&amp;" Stk); ",IF(CA888=1,"Gebinde geschätzt ("&amp;T888&amp;"); ",IF(BZ888=1,"Lose – Tablare geschätzt; ","")))&amp;IF(H888&gt;AV888,"Überbestand "&amp;ROUND(H888-AV888,0)&amp;" Stk / CHF "&amp;ROUND((H888-AV888)*G888,0)&amp;"; ","")&amp;IF(AND(CH888=1,CI888&lt;CJ888),"MAX &lt; MB+LG; ","")&amp;IF(AND(CP888&gt;0,CO888*10&gt;CP888),"zu hoch für Tablar; ","")&amp;IF(AND(BV888=0,OR(CH888=1,AA888&lt;&gt;"",U888&lt;&gt;"",V888&lt;&gt;"",AB888&lt;&gt;"")),"manuell übersteuert; ","")&amp;IF(AND(BZ888=0,R888=0),"Gebinde unbekannt / Stellmass fehlt; ","")&amp;IF(AND(BZ888=0,N(V888)&lt;=0,N(Q888)&lt;=0),"Menge pro Gebinde fehlt (Ist = 1 Gebinde); ","")&amp;BU888)</f>
        <v>negativer Bestand (Export -2); Kein Verbrauch; Gebinde geschätzt (Klein); Menge pro Gebinde fehlt (Ist = 1 Gebinde); </v>
      </c>
      <c r="BN888" s="48"/>
      <c r="BO888" s="48"/>
      <c r="BP888" s="55"/>
      <c r="BQ888" s="50" t="n">
        <v>-2</v>
      </c>
      <c r="BR888" s="50" t="n">
        <v>2</v>
      </c>
      <c r="BS888" s="49" t="n">
        <v>-28.88</v>
      </c>
      <c r="BT888" s="50" t="n">
        <v>0</v>
      </c>
      <c r="BU888" s="48"/>
      <c r="BV888" s="53" t="n">
        <v>0</v>
      </c>
      <c r="BW888" s="53" t="n">
        <v>888</v>
      </c>
      <c r="BX888" s="48" t="str">
        <f aca="false">IF(U888&lt;&gt;"",UPPER(TRIM(U888)),IF(CA888=1,UPPER(VLOOKUP(T888,Parameter!$I$27:$K$29,2,0)),IF(P888="","LOSE",P888)))</f>
        <v>S51</v>
      </c>
      <c r="BY888" s="50" t="n">
        <f aca="false">IF(BX888="LOSE",1,IF(N(V888)&gt;0,V888,IF(CA888=1,MAX(1,N(VLOOKUP(T888,Parameter!$I$27:$K$29,3,0)),H888,N(N888)),IF(N(Q888)&gt;0,Q888,MAX(1,H888)))))</f>
        <v>20</v>
      </c>
      <c r="BZ888" s="53" t="n">
        <f aca="false">IF(BX888="LOSE",1,0)</f>
        <v>0</v>
      </c>
      <c r="CA888" s="53" t="n">
        <f aca="false">IF(AND(U888="",OR(P888="",P888="LOSE"),T888&lt;&gt;"",N(S888)&lt;=0,ISNUMBER(MATCH(T888,Parameter!$I$27:$I$29,0))),1,0)</f>
        <v>1</v>
      </c>
      <c r="CB888" s="53" t="n">
        <f aca="false">IF(CQ888&gt;0,INDEX(Parameter!$H$5:$H$7,W888)/INDEX(Parameter!$E$5:$E$7,W888),IF(AND(BZ888=0,N(IFERROR(VLOOKUP(BX888,'Gebinde-Kategorie'!$A$5:$N$45,14,0),0))&gt;0),VLOOKUP(BX888,'Gebinde-Kategorie'!$A$5:$N$45,14,0)*10+Parameter!$M$23,Parameter!$M$24))</f>
        <v>155</v>
      </c>
      <c r="CC888" s="48" t="str">
        <f aca="false">IF(AND(Parameter!$B$19="Ja",E888&lt;&gt;"",ISNUMBER(MATCH(E888,Parameter!$I$35:$I$52,0))),VLOOKUP(E888,Parameter!$I$35:$J$52,2,0),IFERROR(VLOOKUP(D888,Parameter!$A$35:$C$64,2,0),"Nein"))</f>
        <v>2+3</v>
      </c>
      <c r="CD888" s="52" t="n">
        <f aca="false">IF(BZ888=0,0,IF(N(S888)&gt;0,S888,IFERROR(VLOOKUP(D888,Parameter!$A$35:$C$64,3,0)+0,0)))</f>
        <v>0</v>
      </c>
      <c r="CE888" s="48" t="n">
        <f aca="false">IF(AA888&lt;&gt;"",AA888,Z888)</f>
        <v>3</v>
      </c>
      <c r="CF888" s="48" t="str">
        <f aca="false">IF(OR(CE888=1,CE888=2,CE888=3),IF(Parameter!$E$27="Ja","LIFT",IF(CE888=1,"L1","L23")),IF(CE888="Aussen","Aussen","-"))</f>
        <v>LIFT</v>
      </c>
      <c r="CG888" s="59" t="n">
        <f aca="false">IF(N(AB888)&gt;0,AB888,0)</f>
        <v>0</v>
      </c>
      <c r="CH888" s="53" t="n">
        <f aca="false">IF(ISNUMBER(AE888),1,0)</f>
        <v>0</v>
      </c>
      <c r="CI888" s="50" t="n">
        <f aca="false">N(AE888)</f>
        <v>0</v>
      </c>
      <c r="CJ888" s="50" t="n">
        <f aca="false">N(M888)+N(N888)</f>
        <v>1</v>
      </c>
      <c r="CK888" s="50" t="n">
        <f aca="false">N(M888)</f>
        <v>0</v>
      </c>
      <c r="CL888" s="50" t="n">
        <f aca="false">N(N888)</f>
        <v>1</v>
      </c>
      <c r="CM888" s="50" t="n">
        <f aca="false">ROUNDUP(H888/BY888,0)</f>
        <v>0</v>
      </c>
      <c r="CN888" s="50" t="n">
        <f aca="false">ROUNDUP(CI888/BY888,0)</f>
        <v>0</v>
      </c>
      <c r="CO888" s="53" t="n">
        <f aca="false">IF(BZ888=1,0,IFERROR(VLOOKUP(BX888,'Gebinde-Kategorie'!$A$5:$N$45,5,0)+0,0))</f>
        <v>11</v>
      </c>
      <c r="CP888" s="53" t="n">
        <f aca="false">IFERROR(IF(OR(CE888=1,CE888=2,CE888=3),N(INDEX(Parameter!$I$5:$I$7,CE888)),0),0)</f>
        <v>0</v>
      </c>
      <c r="CQ888" s="52" t="n">
        <f aca="false">IF(AND(Parameter!$B$21="Ja",ISNUMBER(W888),N(X888)&gt;0),IFERROR(N(INDEX(Parameter!$L$5:$L$7,W888))*INDEX(Parameter!$E$5:$E$7,W888)*X888/SUMIFS($X$7:$X$1843,$W$7:$W$1843,W888),0),0)</f>
        <v>0</v>
      </c>
    </row>
    <row r="889" customFormat="false" ht="15" hidden="false" customHeight="false" outlineLevel="0" collapsed="false">
      <c r="A889" s="48" t="s">
        <v>1687</v>
      </c>
      <c r="B889" s="48" t="s">
        <v>1688</v>
      </c>
      <c r="C889" s="48" t="s">
        <v>173</v>
      </c>
      <c r="D889" s="48" t="s">
        <v>193</v>
      </c>
      <c r="E889" s="48" t="s">
        <v>194</v>
      </c>
      <c r="F889" s="48" t="s">
        <v>227</v>
      </c>
      <c r="G889" s="49" t="n">
        <v>14.5</v>
      </c>
      <c r="H889" s="50" t="n">
        <f aca="false">MAX(0,IF(AND(Parameter!$B$21="Ja",ISNUMBER(Y889)),Y889,IF(Parameter!$B$20="Jahresanfang 2025 + Export",BR889+BQ889,BQ889)))</f>
        <v>53</v>
      </c>
      <c r="I889" s="50" t="n">
        <f aca="false">H889*G889</f>
        <v>768.5</v>
      </c>
      <c r="J889" s="50" t="n">
        <f aca="false">BT889*Parameter!$B$18</f>
        <v>0</v>
      </c>
      <c r="K889" s="51" t="n">
        <v>54</v>
      </c>
      <c r="L889" s="52" t="n">
        <v>0</v>
      </c>
      <c r="M889" s="50" t="n">
        <v>0</v>
      </c>
      <c r="N889" s="50" t="n">
        <v>1</v>
      </c>
      <c r="O889" s="53" t="n">
        <v>28</v>
      </c>
      <c r="P889" s="48" t="s">
        <v>435</v>
      </c>
      <c r="Q889" s="50" t="n">
        <v>22</v>
      </c>
      <c r="R889" s="53" t="n">
        <f aca="false">IF(BZ889=1,0,IFERROR(VLOOKUP(BX889,'Gebinde-Kategorie'!$A$5:$N$45,13,0)+0,0))</f>
        <v>140</v>
      </c>
      <c r="S889" s="54"/>
      <c r="T889" s="55"/>
      <c r="U889" s="55"/>
      <c r="V889" s="55"/>
      <c r="W889" s="48"/>
      <c r="X889" s="50"/>
      <c r="Y889" s="50"/>
      <c r="Z889" s="48" t="n">
        <f aca="false">IF(A889="","",IF(AND(Parameter!$B$21="Ja",ISNUMBER(W889)),W889,IF(CC889="2+3",IF(ISNUMBER(SEARCH("grosser Artikel",BU889)),2,IFERROR(VLOOKUP(BX889,Parameter!$F$35:$G$64,2,0),2)),IF(OR(CC889="Nein",CC889=""),"-",CC889))))</f>
        <v>3</v>
      </c>
      <c r="AA889" s="55"/>
      <c r="AB889" s="56"/>
      <c r="AC889" s="50" t="n">
        <f aca="false">AV889</f>
        <v>1</v>
      </c>
      <c r="AD889" s="50" t="n">
        <f aca="false">MAX(AV889,H889)</f>
        <v>53</v>
      </c>
      <c r="AE889" s="57"/>
      <c r="AF889" s="50" t="n">
        <f aca="false">IF(LEFT(Cockpit!$C$5,1)="A",H889,IF(Parameter!$E$30="MAX-Bestand",IF(CH889=1,CI889,IF(LEFT(Cockpit!$C$5,1)="B",AL889,MAX(AL889,H889))),ROUNDUP(AJ889,0)))</f>
        <v>53</v>
      </c>
      <c r="AG889" s="50" t="n">
        <f aca="false">IF(BZ889=1,0,ROUNDUP(AF889/BY889,0))</f>
        <v>3</v>
      </c>
      <c r="AH889" s="52" t="n">
        <f aca="false">IF(CQ889&gt;0,CQ889*MAX(1,AF889/X889),IF(BZ889=1,IF(AF889&lt;=0,0,CD889*MAX(1,IF(H889&gt;0,AF889/H889,1))),IF(R889&gt;0,AG889/R889,0))/MAX(0.1,N(Parameter!$M$21)))</f>
        <v>0.0214285714285714</v>
      </c>
      <c r="AI889" s="50" t="n">
        <f aca="false">AH889*CB889</f>
        <v>3.32142857142857</v>
      </c>
      <c r="AJ889" s="51" t="n">
        <f aca="false">IF(LEFT(Cockpit!$C$5,1)="A",H889,IF(CH889=1,(CK889+CI889)/2,IF(LEFT(Cockpit!$C$5,1)="B",(CK889+AL889)/2,MAX((CK889+AL889)/2,H889))))</f>
        <v>53</v>
      </c>
      <c r="AK889" s="50" t="n">
        <f aca="false">AJ889*G889</f>
        <v>768.5</v>
      </c>
      <c r="AL889" s="50" t="n">
        <f aca="false">ROUNDUP(CK889+MAX(CL889,2*(J889/IF(CG889&gt;0,CG889,MAX(0.1,N(Cockpit!$C$6)))-CK889)),0)</f>
        <v>1</v>
      </c>
      <c r="AM889" s="51" t="n">
        <f aca="false">IF(AI889&gt;0,J889/AI889,-1)</f>
        <v>0</v>
      </c>
      <c r="AN889" s="51" t="n">
        <f aca="false">IF(AND(OR(CF889="L1",CF889="L23",CF889="LIFT"),AI889&gt;0),SUMIFS($AI$7:$AI$1843,$CF$7:$CF$1843,CF889,$AM$7:$AM$1843,"&gt;"&amp;AM889)+SUMIFS($AI$7:$AI$1843,$CF$7:$CF$1843,CF889,$AM$7:$AM$1843,AM889,$BW$7:$BW$1843,"&lt;="&amp;BW889),"")</f>
        <v>28815.9923842636</v>
      </c>
      <c r="AO889" s="58" t="n">
        <f aca="false">IF(AN889="",0,MAX(0,MIN(1,(IF(CF889="L1",Parameter!$H$5,IF(CF889="L23",Parameter!$H$6+Parameter!$H$7,Parameter!$H$5+Parameter!$H$6+Parameter!$H$7))-(AN889-AI889))/AI889)))</f>
        <v>1</v>
      </c>
      <c r="AP889" s="50" t="n">
        <f aca="false">IF(LEFT(Cockpit!$I$5,1)="A",H889,IF(Parameter!$E$30="MAX-Bestand",IF(CH889=1,CI889,IF(LEFT(Cockpit!$I$5,1)="B",AV889,MAX(AV889,H889))),ROUNDUP(AT889,0)))</f>
        <v>53</v>
      </c>
      <c r="AQ889" s="50" t="n">
        <f aca="false">IF(BZ889=1,0,ROUNDUP(AP889/BY889,0))</f>
        <v>3</v>
      </c>
      <c r="AR889" s="52" t="n">
        <f aca="false">IF(CQ889&gt;0,CQ889*MAX(1,AP889/X889),IF(BZ889=1,IF(AP889&lt;=0,0,CD889*MAX(1,IF(H889&gt;0,AP889/H889,1))),IF(R889&gt;0,AQ889/R889,0))/MAX(0.1,N(Parameter!$M$21)))</f>
        <v>0.0214285714285714</v>
      </c>
      <c r="AS889" s="50" t="n">
        <f aca="false">AR889*CB889</f>
        <v>3.32142857142857</v>
      </c>
      <c r="AT889" s="51" t="n">
        <f aca="false">IF(LEFT(Cockpit!$I$5,1)="A",H889,IF(CH889=1,(CK889+CI889)/2,IF(LEFT(Cockpit!$I$5,1)="B",(CK889+AV889)/2,MAX((CK889+AV889)/2,H889))))</f>
        <v>53</v>
      </c>
      <c r="AU889" s="50" t="n">
        <f aca="false">AT889*G889</f>
        <v>768.5</v>
      </c>
      <c r="AV889" s="50" t="n">
        <f aca="false">ROUNDUP(CK889+MAX(CL889,2*(J889/IF(CG889&gt;0,CG889,MAX(0.1,N(Cockpit!$I$6)))-CK889)),0)</f>
        <v>1</v>
      </c>
      <c r="AW889" s="51" t="n">
        <f aca="false">IF(AS889&gt;0,J889/AS889,-1)</f>
        <v>0</v>
      </c>
      <c r="AX889" s="51" t="n">
        <f aca="false">IF(AND(OR(CF889="L1",CF889="L23",CF889="LIFT"),AS889&gt;0),SUMIFS($AS$7:$AS$1843,$CF$7:$CF$1843,CF889,$AW$7:$AW$1843,"&gt;"&amp;AW889)+SUMIFS($AS$7:$AS$1843,$CF$7:$CF$1843,CF889,$AW$7:$AW$1843,AW889,$BW$7:$BW$1843,"&lt;="&amp;BW889),"")</f>
        <v>34442.1945970696</v>
      </c>
      <c r="AY889" s="58" t="n">
        <f aca="false">IF(AX889="",0,MAX(0,MIN(1,(IF(CF889="L1",Parameter!$H$5,IF(CF889="L23",Parameter!$H$6+Parameter!$H$7,Parameter!$H$5+Parameter!$H$6+Parameter!$H$7))-(AX889-AS889))/AS889)))</f>
        <v>1</v>
      </c>
      <c r="AZ889" s="50" t="n">
        <f aca="false">IF(LEFT(Cockpit!$O$5,1)="A",H889,IF(Parameter!$E$30="MAX-Bestand",IF(CH889=1,CI889,IF(LEFT(Cockpit!$O$5,1)="B",BF889,MAX(BF889,H889))),ROUNDUP(BD889,0)))</f>
        <v>1</v>
      </c>
      <c r="BA889" s="50" t="n">
        <f aca="false">IF(BZ889=1,0,ROUNDUP(AZ889/BY889,0))</f>
        <v>1</v>
      </c>
      <c r="BB889" s="52" t="n">
        <f aca="false">IF(CQ889&gt;0,CQ889*MAX(1,AZ889/X889),IF(BZ889=1,IF(AZ889&lt;=0,0,CD889*MAX(1,IF(H889&gt;0,AZ889/H889,1))),IF(R889&gt;0,BA889/R889,0))/MAX(0.1,N(Parameter!$M$21)))</f>
        <v>0.00714285714285714</v>
      </c>
      <c r="BC889" s="50" t="n">
        <f aca="false">BB889*CB889</f>
        <v>1.10714285714286</v>
      </c>
      <c r="BD889" s="51" t="n">
        <f aca="false">IF(LEFT(Cockpit!$O$5,1)="A",H889,IF(CH889=1,(CK889+CI889)/2,IF(LEFT(Cockpit!$O$5,1)="B",(CK889+BF889)/2,MAX((CK889+BF889)/2,H889))))</f>
        <v>0.5</v>
      </c>
      <c r="BE889" s="50" t="n">
        <f aca="false">BD889*G889</f>
        <v>7.25</v>
      </c>
      <c r="BF889" s="50" t="n">
        <f aca="false">ROUNDUP(CK889+MAX(CL889,2*(J889/IF(CG889&gt;0,CG889,MAX(0.1,N(Cockpit!$O$6)))-CK889)),0)</f>
        <v>1</v>
      </c>
      <c r="BG889" s="51" t="n">
        <f aca="false">IF(BC889&gt;0,J889/BC889,-1)</f>
        <v>0</v>
      </c>
      <c r="BH889" s="51" t="n">
        <f aca="false">IF(AND(OR(CF889="L1",CF889="L23",CF889="LIFT"),BC889&gt;0),SUMIFS($BC$7:$BC$1843,$CF$7:$CF$1843,CF889,$BG$7:$BG$1843,"&gt;"&amp;BG889)+SUMIFS($BC$7:$BC$1843,$CF$7:$CF$1843,CF889,$BG$7:$BG$1843,BG889,$BW$7:$BW$1843,"&lt;="&amp;BW889),"")</f>
        <v>28479.7622462283</v>
      </c>
      <c r="BI889" s="58" t="n">
        <f aca="false">IF(BH889="",0,MAX(0,MIN(1,(IF(CF889="L1",Parameter!$H$5,IF(CF889="L23",Parameter!$H$6+Parameter!$H$7,Parameter!$H$5+Parameter!$H$6+Parameter!$H$7))-(BH889-BC889))/BC889)))</f>
        <v>1</v>
      </c>
      <c r="BJ889" s="48" t="str">
        <f aca="false">IF(AI889&lt;=0,"",IF(CF889="Aussen","Aussenlager",IF(CF889="-","Nicht im Lift",IF(AO889&gt;=1,"Lift",IF(AO889&lt;=0,"Aussenlager","teilweise")))))</f>
        <v>Lift</v>
      </c>
      <c r="BK889" s="48" t="str">
        <f aca="false">IF(AS889&lt;=0,"",IF(CF889="Aussen","Aussenlager",IF(CF889="-","Nicht im Lift",IF(AY889&gt;=1,"Lift",IF(AY889&lt;=0,"Aussenlager","teilweise")))))</f>
        <v>Lift</v>
      </c>
      <c r="BL889" s="48" t="str">
        <f aca="false">IF(BC889&lt;=0,"",IF(CF889="Aussen","Aussenlager",IF(CF889="-","Nicht im Lift",IF(BI889&gt;=1,"Lift",IF(BI889&lt;=0,"Aussenlager","teilweise")))))</f>
        <v>Lift</v>
      </c>
      <c r="BM889" s="48" t="str">
        <f aca="false">IF(A889="","",IF(BV889=1,"Neu; ","")&amp;IF(AND(BV889=0,BQ889&lt;0),"negativer Bestand (Export "&amp;BQ889&amp;"); ","")&amp;IF(J889&lt;=0,"Kein Verbrauch; ","")&amp;IF(CQ889&gt;0,"Lift "&amp;W889&amp;" lt. Liftbericht (Fach "&amp;X889&amp;" Stk); ",IF(CA889=1,"Gebinde geschätzt ("&amp;T889&amp;"); ",IF(BZ889=1,"Lose – Tablare geschätzt; ","")))&amp;IF(H889&gt;AV889,"Überbestand "&amp;ROUND(H889-AV889,0)&amp;" Stk / CHF "&amp;ROUND((H889-AV889)*G889,0)&amp;"; ","")&amp;IF(AND(CH889=1,CI889&lt;CJ889),"MAX &lt; MB+LG; ","")&amp;IF(AND(CP889&gt;0,CO889*10&gt;CP889),"zu hoch für Tablar; ","")&amp;IF(AND(BV889=0,OR(CH889=1,AA889&lt;&gt;"",U889&lt;&gt;"",V889&lt;&gt;"",AB889&lt;&gt;"")),"manuell übersteuert; ","")&amp;IF(AND(BZ889=0,R889=0),"Gebinde unbekannt / Stellmass fehlt; ","")&amp;IF(AND(BZ889=0,N(V889)&lt;=0,N(Q889)&lt;=0),"Menge pro Gebinde fehlt (Ist = 1 Gebinde); ","")&amp;BU889)</f>
        <v>negativer Bestand (Export -2); Kein Verbrauch; Überbestand 52 Stk / CHF 754; </v>
      </c>
      <c r="BN889" s="48"/>
      <c r="BO889" s="48"/>
      <c r="BP889" s="55"/>
      <c r="BQ889" s="50" t="n">
        <v>-2</v>
      </c>
      <c r="BR889" s="50" t="n">
        <v>55</v>
      </c>
      <c r="BS889" s="49" t="n">
        <v>-29</v>
      </c>
      <c r="BT889" s="50" t="n">
        <v>0</v>
      </c>
      <c r="BU889" s="48"/>
      <c r="BV889" s="53" t="n">
        <v>0</v>
      </c>
      <c r="BW889" s="53" t="n">
        <v>889</v>
      </c>
      <c r="BX889" s="48" t="str">
        <f aca="false">IF(U889&lt;&gt;"",UPPER(TRIM(U889)),IF(CA889=1,UPPER(VLOOKUP(T889,Parameter!$I$27:$K$29,2,0)),IF(P889="","LOSE",P889)))</f>
        <v>S22</v>
      </c>
      <c r="BY889" s="50" t="n">
        <f aca="false">IF(BX889="LOSE",1,IF(N(V889)&gt;0,V889,IF(CA889=1,MAX(1,N(VLOOKUP(T889,Parameter!$I$27:$K$29,3,0)),H889,N(N889)),IF(N(Q889)&gt;0,Q889,MAX(1,H889)))))</f>
        <v>22</v>
      </c>
      <c r="BZ889" s="53" t="n">
        <f aca="false">IF(BX889="LOSE",1,0)</f>
        <v>0</v>
      </c>
      <c r="CA889" s="53" t="n">
        <f aca="false">IF(AND(U889="",OR(P889="",P889="LOSE"),T889&lt;&gt;"",N(S889)&lt;=0,ISNUMBER(MATCH(T889,Parameter!$I$27:$I$29,0))),1,0)</f>
        <v>0</v>
      </c>
      <c r="CB889" s="53" t="n">
        <f aca="false">IF(CQ889&gt;0,INDEX(Parameter!$H$5:$H$7,W889)/INDEX(Parameter!$E$5:$E$7,W889),IF(AND(BZ889=0,N(IFERROR(VLOOKUP(BX889,'Gebinde-Kategorie'!$A$5:$N$45,14,0),0))&gt;0),VLOOKUP(BX889,'Gebinde-Kategorie'!$A$5:$N$45,14,0)*10+Parameter!$M$23,Parameter!$M$24))</f>
        <v>155</v>
      </c>
      <c r="CC889" s="48" t="str">
        <f aca="false">IF(AND(Parameter!$B$19="Ja",E889&lt;&gt;"",ISNUMBER(MATCH(E889,Parameter!$I$35:$I$52,0))),VLOOKUP(E889,Parameter!$I$35:$J$52,2,0),IFERROR(VLOOKUP(D889,Parameter!$A$35:$C$64,2,0),"Nein"))</f>
        <v>2+3</v>
      </c>
      <c r="CD889" s="52" t="n">
        <f aca="false">IF(BZ889=0,0,IF(N(S889)&gt;0,S889,IFERROR(VLOOKUP(D889,Parameter!$A$35:$C$64,3,0)+0,0)))</f>
        <v>0</v>
      </c>
      <c r="CE889" s="48" t="n">
        <f aca="false">IF(AA889&lt;&gt;"",AA889,Z889)</f>
        <v>3</v>
      </c>
      <c r="CF889" s="48" t="str">
        <f aca="false">IF(OR(CE889=1,CE889=2,CE889=3),IF(Parameter!$E$27="Ja","LIFT",IF(CE889=1,"L1","L23")),IF(CE889="Aussen","Aussen","-"))</f>
        <v>LIFT</v>
      </c>
      <c r="CG889" s="59" t="n">
        <f aca="false">IF(N(AB889)&gt;0,AB889,0)</f>
        <v>0</v>
      </c>
      <c r="CH889" s="53" t="n">
        <f aca="false">IF(ISNUMBER(AE889),1,0)</f>
        <v>0</v>
      </c>
      <c r="CI889" s="50" t="n">
        <f aca="false">N(AE889)</f>
        <v>0</v>
      </c>
      <c r="CJ889" s="50" t="n">
        <f aca="false">N(M889)+N(N889)</f>
        <v>1</v>
      </c>
      <c r="CK889" s="50" t="n">
        <f aca="false">N(M889)</f>
        <v>0</v>
      </c>
      <c r="CL889" s="50" t="n">
        <f aca="false">N(N889)</f>
        <v>1</v>
      </c>
      <c r="CM889" s="50" t="n">
        <f aca="false">ROUNDUP(H889/BY889,0)</f>
        <v>3</v>
      </c>
      <c r="CN889" s="50" t="n">
        <f aca="false">ROUNDUP(CI889/BY889,0)</f>
        <v>0</v>
      </c>
      <c r="CO889" s="53" t="n">
        <f aca="false">IF(BZ889=1,0,IFERROR(VLOOKUP(BX889,'Gebinde-Kategorie'!$A$5:$N$45,5,0)+0,0))</f>
        <v>8</v>
      </c>
      <c r="CP889" s="53" t="n">
        <f aca="false">IFERROR(IF(OR(CE889=1,CE889=2,CE889=3),N(INDEX(Parameter!$I$5:$I$7,CE889)),0),0)</f>
        <v>0</v>
      </c>
      <c r="CQ889" s="52" t="n">
        <f aca="false">IF(AND(Parameter!$B$21="Ja",ISNUMBER(W889),N(X889)&gt;0),IFERROR(N(INDEX(Parameter!$L$5:$L$7,W889))*INDEX(Parameter!$E$5:$E$7,W889)*X889/SUMIFS($X$7:$X$1843,$W$7:$W$1843,W889),0),0)</f>
        <v>0</v>
      </c>
    </row>
    <row r="890" customFormat="false" ht="15" hidden="false" customHeight="false" outlineLevel="0" collapsed="false">
      <c r="A890" s="48" t="s">
        <v>1689</v>
      </c>
      <c r="B890" s="48" t="s">
        <v>1690</v>
      </c>
      <c r="C890" s="48" t="s">
        <v>173</v>
      </c>
      <c r="D890" s="48" t="s">
        <v>193</v>
      </c>
      <c r="E890" s="48"/>
      <c r="F890" s="48" t="s">
        <v>227</v>
      </c>
      <c r="G890" s="49" t="n">
        <v>14.71</v>
      </c>
      <c r="H890" s="50" t="n">
        <f aca="false">MAX(0,IF(AND(Parameter!$B$21="Ja",ISNUMBER(Y890)),Y890,IF(Parameter!$B$20="Jahresanfang 2025 + Export",BR890+BQ890,BQ890)))</f>
        <v>4</v>
      </c>
      <c r="I890" s="50" t="n">
        <f aca="false">H890*G890</f>
        <v>58.84</v>
      </c>
      <c r="J890" s="50" t="n">
        <f aca="false">BT890*Parameter!$B$18</f>
        <v>0</v>
      </c>
      <c r="K890" s="51" t="n">
        <v>5</v>
      </c>
      <c r="L890" s="52" t="n">
        <v>0</v>
      </c>
      <c r="M890" s="50" t="n">
        <v>0</v>
      </c>
      <c r="N890" s="50" t="n">
        <v>1</v>
      </c>
      <c r="O890" s="53" t="n">
        <v>14</v>
      </c>
      <c r="P890" s="48" t="s">
        <v>410</v>
      </c>
      <c r="Q890" s="50" t="n">
        <v>5</v>
      </c>
      <c r="R890" s="53" t="n">
        <f aca="false">IF(BZ890=1,0,IFERROR(VLOOKUP(BX890,'Gebinde-Kategorie'!$A$5:$N$45,13,0)+0,0))</f>
        <v>280</v>
      </c>
      <c r="S890" s="54"/>
      <c r="T890" s="55"/>
      <c r="U890" s="55"/>
      <c r="V890" s="55"/>
      <c r="W890" s="48"/>
      <c r="X890" s="50"/>
      <c r="Y890" s="50"/>
      <c r="Z890" s="48" t="n">
        <f aca="false">IF(A890="","",IF(AND(Parameter!$B$21="Ja",ISNUMBER(W890)),W890,IF(CC890="2+3",IF(ISNUMBER(SEARCH("grosser Artikel",BU890)),2,IFERROR(VLOOKUP(BX890,Parameter!$F$35:$G$64,2,0),2)),IF(OR(CC890="Nein",CC890=""),"-",CC890))))</f>
        <v>3</v>
      </c>
      <c r="AA890" s="55"/>
      <c r="AB890" s="56"/>
      <c r="AC890" s="50" t="n">
        <f aca="false">AV890</f>
        <v>1</v>
      </c>
      <c r="AD890" s="50" t="n">
        <f aca="false">MAX(AV890,H890)</f>
        <v>4</v>
      </c>
      <c r="AE890" s="57"/>
      <c r="AF890" s="50" t="n">
        <f aca="false">IF(LEFT(Cockpit!$C$5,1)="A",H890,IF(Parameter!$E$30="MAX-Bestand",IF(CH890=1,CI890,IF(LEFT(Cockpit!$C$5,1)="B",AL890,MAX(AL890,H890))),ROUNDUP(AJ890,0)))</f>
        <v>4</v>
      </c>
      <c r="AG890" s="50" t="n">
        <f aca="false">IF(BZ890=1,0,ROUNDUP(AF890/BY890,0))</f>
        <v>1</v>
      </c>
      <c r="AH890" s="52" t="n">
        <f aca="false">IF(CQ890&gt;0,CQ890*MAX(1,AF890/X890),IF(BZ890=1,IF(AF890&lt;=0,0,CD890*MAX(1,IF(H890&gt;0,AF890/H890,1))),IF(R890&gt;0,AG890/R890,0))/MAX(0.1,N(Parameter!$M$21)))</f>
        <v>0.00357142857142857</v>
      </c>
      <c r="AI890" s="50" t="n">
        <f aca="false">AH890*CB890</f>
        <v>0.553571428571429</v>
      </c>
      <c r="AJ890" s="51" t="n">
        <f aca="false">IF(LEFT(Cockpit!$C$5,1)="A",H890,IF(CH890=1,(CK890+CI890)/2,IF(LEFT(Cockpit!$C$5,1)="B",(CK890+AL890)/2,MAX((CK890+AL890)/2,H890))))</f>
        <v>4</v>
      </c>
      <c r="AK890" s="50" t="n">
        <f aca="false">AJ890*G890</f>
        <v>58.84</v>
      </c>
      <c r="AL890" s="50" t="n">
        <f aca="false">ROUNDUP(CK890+MAX(CL890,2*(J890/IF(CG890&gt;0,CG890,MAX(0.1,N(Cockpit!$C$6)))-CK890)),0)</f>
        <v>1</v>
      </c>
      <c r="AM890" s="51" t="n">
        <f aca="false">IF(AI890&gt;0,J890/AI890,-1)</f>
        <v>0</v>
      </c>
      <c r="AN890" s="51" t="n">
        <f aca="false">IF(AND(OR(CF890="L1",CF890="L23",CF890="LIFT"),AI890&gt;0),SUMIFS($AI$7:$AI$1843,$CF$7:$CF$1843,CF890,$AM$7:$AM$1843,"&gt;"&amp;AM890)+SUMIFS($AI$7:$AI$1843,$CF$7:$CF$1843,CF890,$AM$7:$AM$1843,AM890,$BW$7:$BW$1843,"&lt;="&amp;BW890),"")</f>
        <v>28816.5459556921</v>
      </c>
      <c r="AO890" s="58" t="n">
        <f aca="false">IF(AN890="",0,MAX(0,MIN(1,(IF(CF890="L1",Parameter!$H$5,IF(CF890="L23",Parameter!$H$6+Parameter!$H$7,Parameter!$H$5+Parameter!$H$6+Parameter!$H$7))-(AN890-AI890))/AI890)))</f>
        <v>1</v>
      </c>
      <c r="AP890" s="50" t="n">
        <f aca="false">IF(LEFT(Cockpit!$I$5,1)="A",H890,IF(Parameter!$E$30="MAX-Bestand",IF(CH890=1,CI890,IF(LEFT(Cockpit!$I$5,1)="B",AV890,MAX(AV890,H890))),ROUNDUP(AT890,0)))</f>
        <v>4</v>
      </c>
      <c r="AQ890" s="50" t="n">
        <f aca="false">IF(BZ890=1,0,ROUNDUP(AP890/BY890,0))</f>
        <v>1</v>
      </c>
      <c r="AR890" s="52" t="n">
        <f aca="false">IF(CQ890&gt;0,CQ890*MAX(1,AP890/X890),IF(BZ890=1,IF(AP890&lt;=0,0,CD890*MAX(1,IF(H890&gt;0,AP890/H890,1))),IF(R890&gt;0,AQ890/R890,0))/MAX(0.1,N(Parameter!$M$21)))</f>
        <v>0.00357142857142857</v>
      </c>
      <c r="AS890" s="50" t="n">
        <f aca="false">AR890*CB890</f>
        <v>0.553571428571429</v>
      </c>
      <c r="AT890" s="51" t="n">
        <f aca="false">IF(LEFT(Cockpit!$I$5,1)="A",H890,IF(CH890=1,(CK890+CI890)/2,IF(LEFT(Cockpit!$I$5,1)="B",(CK890+AV890)/2,MAX((CK890+AV890)/2,H890))))</f>
        <v>4</v>
      </c>
      <c r="AU890" s="50" t="n">
        <f aca="false">AT890*G890</f>
        <v>58.84</v>
      </c>
      <c r="AV890" s="50" t="n">
        <f aca="false">ROUNDUP(CK890+MAX(CL890,2*(J890/IF(CG890&gt;0,CG890,MAX(0.1,N(Cockpit!$I$6)))-CK890)),0)</f>
        <v>1</v>
      </c>
      <c r="AW890" s="51" t="n">
        <f aca="false">IF(AS890&gt;0,J890/AS890,-1)</f>
        <v>0</v>
      </c>
      <c r="AX890" s="51" t="n">
        <f aca="false">IF(AND(OR(CF890="L1",CF890="L23",CF890="LIFT"),AS890&gt;0),SUMIFS($AS$7:$AS$1843,$CF$7:$CF$1843,CF890,$AW$7:$AW$1843,"&gt;"&amp;AW890)+SUMIFS($AS$7:$AS$1843,$CF$7:$CF$1843,CF890,$AW$7:$AW$1843,AW890,$BW$7:$BW$1843,"&lt;="&amp;BW890),"")</f>
        <v>34442.7481684982</v>
      </c>
      <c r="AY890" s="58" t="n">
        <f aca="false">IF(AX890="",0,MAX(0,MIN(1,(IF(CF890="L1",Parameter!$H$5,IF(CF890="L23",Parameter!$H$6+Parameter!$H$7,Parameter!$H$5+Parameter!$H$6+Parameter!$H$7))-(AX890-AS890))/AS890)))</f>
        <v>1</v>
      </c>
      <c r="AZ890" s="50" t="n">
        <f aca="false">IF(LEFT(Cockpit!$O$5,1)="A",H890,IF(Parameter!$E$30="MAX-Bestand",IF(CH890=1,CI890,IF(LEFT(Cockpit!$O$5,1)="B",BF890,MAX(BF890,H890))),ROUNDUP(BD890,0)))</f>
        <v>1</v>
      </c>
      <c r="BA890" s="50" t="n">
        <f aca="false">IF(BZ890=1,0,ROUNDUP(AZ890/BY890,0))</f>
        <v>1</v>
      </c>
      <c r="BB890" s="52" t="n">
        <f aca="false">IF(CQ890&gt;0,CQ890*MAX(1,AZ890/X890),IF(BZ890=1,IF(AZ890&lt;=0,0,CD890*MAX(1,IF(H890&gt;0,AZ890/H890,1))),IF(R890&gt;0,BA890/R890,0))/MAX(0.1,N(Parameter!$M$21)))</f>
        <v>0.00357142857142857</v>
      </c>
      <c r="BC890" s="50" t="n">
        <f aca="false">BB890*CB890</f>
        <v>0.553571428571429</v>
      </c>
      <c r="BD890" s="51" t="n">
        <f aca="false">IF(LEFT(Cockpit!$O$5,1)="A",H890,IF(CH890=1,(CK890+CI890)/2,IF(LEFT(Cockpit!$O$5,1)="B",(CK890+BF890)/2,MAX((CK890+BF890)/2,H890))))</f>
        <v>0.5</v>
      </c>
      <c r="BE890" s="50" t="n">
        <f aca="false">BD890*G890</f>
        <v>7.355</v>
      </c>
      <c r="BF890" s="50" t="n">
        <f aca="false">ROUNDUP(CK890+MAX(CL890,2*(J890/IF(CG890&gt;0,CG890,MAX(0.1,N(Cockpit!$O$6)))-CK890)),0)</f>
        <v>1</v>
      </c>
      <c r="BG890" s="51" t="n">
        <f aca="false">IF(BC890&gt;0,J890/BC890,-1)</f>
        <v>0</v>
      </c>
      <c r="BH890" s="51" t="n">
        <f aca="false">IF(AND(OR(CF890="L1",CF890="L23",CF890="LIFT"),BC890&gt;0),SUMIFS($BC$7:$BC$1843,$CF$7:$CF$1843,CF890,$BG$7:$BG$1843,"&gt;"&amp;BG890)+SUMIFS($BC$7:$BC$1843,$CF$7:$CF$1843,CF890,$BG$7:$BG$1843,BG890,$BW$7:$BW$1843,"&lt;="&amp;BW890),"")</f>
        <v>28480.3158176569</v>
      </c>
      <c r="BI890" s="58" t="n">
        <f aca="false">IF(BH890="",0,MAX(0,MIN(1,(IF(CF890="L1",Parameter!$H$5,IF(CF890="L23",Parameter!$H$6+Parameter!$H$7,Parameter!$H$5+Parameter!$H$6+Parameter!$H$7))-(BH890-BC890))/BC890)))</f>
        <v>1</v>
      </c>
      <c r="BJ890" s="48" t="str">
        <f aca="false">IF(AI890&lt;=0,"",IF(CF890="Aussen","Aussenlager",IF(CF890="-","Nicht im Lift",IF(AO890&gt;=1,"Lift",IF(AO890&lt;=0,"Aussenlager","teilweise")))))</f>
        <v>Lift</v>
      </c>
      <c r="BK890" s="48" t="str">
        <f aca="false">IF(AS890&lt;=0,"",IF(CF890="Aussen","Aussenlager",IF(CF890="-","Nicht im Lift",IF(AY890&gt;=1,"Lift",IF(AY890&lt;=0,"Aussenlager","teilweise")))))</f>
        <v>Lift</v>
      </c>
      <c r="BL890" s="48" t="str">
        <f aca="false">IF(BC890&lt;=0,"",IF(CF890="Aussen","Aussenlager",IF(CF890="-","Nicht im Lift",IF(BI890&gt;=1,"Lift",IF(BI890&lt;=0,"Aussenlager","teilweise")))))</f>
        <v>Lift</v>
      </c>
      <c r="BM890" s="48" t="str">
        <f aca="false">IF(A890="","",IF(BV890=1,"Neu; ","")&amp;IF(AND(BV890=0,BQ890&lt;0),"negativer Bestand (Export "&amp;BQ890&amp;"); ","")&amp;IF(J890&lt;=0,"Kein Verbrauch; ","")&amp;IF(CQ890&gt;0,"Lift "&amp;W890&amp;" lt. Liftbericht (Fach "&amp;X890&amp;" Stk); ",IF(CA890=1,"Gebinde geschätzt ("&amp;T890&amp;"); ",IF(BZ890=1,"Lose – Tablare geschätzt; ","")))&amp;IF(H890&gt;AV890,"Überbestand "&amp;ROUND(H890-AV890,0)&amp;" Stk / CHF "&amp;ROUND((H890-AV890)*G890,0)&amp;"; ","")&amp;IF(AND(CH890=1,CI890&lt;CJ890),"MAX &lt; MB+LG; ","")&amp;IF(AND(CP890&gt;0,CO890*10&gt;CP890),"zu hoch für Tablar; ","")&amp;IF(AND(BV890=0,OR(CH890=1,AA890&lt;&gt;"",U890&lt;&gt;"",V890&lt;&gt;"",AB890&lt;&gt;"")),"manuell übersteuert; ","")&amp;IF(AND(BZ890=0,R890=0),"Gebinde unbekannt / Stellmass fehlt; ","")&amp;IF(AND(BZ890=0,N(V890)&lt;=0,N(Q890)&lt;=0),"Menge pro Gebinde fehlt (Ist = 1 Gebinde); ","")&amp;BU890)</f>
        <v>negativer Bestand (Export -2); Kein Verbrauch; Überbestand 3 Stk / CHF 44; </v>
      </c>
      <c r="BN890" s="48"/>
      <c r="BO890" s="48"/>
      <c r="BP890" s="55"/>
      <c r="BQ890" s="50" t="n">
        <v>-2</v>
      </c>
      <c r="BR890" s="50" t="n">
        <v>6</v>
      </c>
      <c r="BS890" s="49" t="n">
        <v>-29.42</v>
      </c>
      <c r="BT890" s="50" t="n">
        <v>0</v>
      </c>
      <c r="BU890" s="48"/>
      <c r="BV890" s="53" t="n">
        <v>0</v>
      </c>
      <c r="BW890" s="53" t="n">
        <v>890</v>
      </c>
      <c r="BX890" s="48" t="str">
        <f aca="false">IF(U890&lt;&gt;"",UPPER(TRIM(U890)),IF(CA890=1,UPPER(VLOOKUP(T890,Parameter!$I$27:$K$29,2,0)),IF(P890="","LOSE",P890)))</f>
        <v>S21</v>
      </c>
      <c r="BY890" s="50" t="n">
        <f aca="false">IF(BX890="LOSE",1,IF(N(V890)&gt;0,V890,IF(CA890=1,MAX(1,N(VLOOKUP(T890,Parameter!$I$27:$K$29,3,0)),H890,N(N890)),IF(N(Q890)&gt;0,Q890,MAX(1,H890)))))</f>
        <v>5</v>
      </c>
      <c r="BZ890" s="53" t="n">
        <f aca="false">IF(BX890="LOSE",1,0)</f>
        <v>0</v>
      </c>
      <c r="CA890" s="53" t="n">
        <f aca="false">IF(AND(U890="",OR(P890="",P890="LOSE"),T890&lt;&gt;"",N(S890)&lt;=0,ISNUMBER(MATCH(T890,Parameter!$I$27:$I$29,0))),1,0)</f>
        <v>0</v>
      </c>
      <c r="CB890" s="53" t="n">
        <f aca="false">IF(CQ890&gt;0,INDEX(Parameter!$H$5:$H$7,W890)/INDEX(Parameter!$E$5:$E$7,W890),IF(AND(BZ890=0,N(IFERROR(VLOOKUP(BX890,'Gebinde-Kategorie'!$A$5:$N$45,14,0),0))&gt;0),VLOOKUP(BX890,'Gebinde-Kategorie'!$A$5:$N$45,14,0)*10+Parameter!$M$23,Parameter!$M$24))</f>
        <v>155</v>
      </c>
      <c r="CC890" s="48" t="str">
        <f aca="false">IF(AND(Parameter!$B$19="Ja",E890&lt;&gt;"",ISNUMBER(MATCH(E890,Parameter!$I$35:$I$52,0))),VLOOKUP(E890,Parameter!$I$35:$J$52,2,0),IFERROR(VLOOKUP(D890,Parameter!$A$35:$C$64,2,0),"Nein"))</f>
        <v>2+3</v>
      </c>
      <c r="CD890" s="52" t="n">
        <f aca="false">IF(BZ890=0,0,IF(N(S890)&gt;0,S890,IFERROR(VLOOKUP(D890,Parameter!$A$35:$C$64,3,0)+0,0)))</f>
        <v>0</v>
      </c>
      <c r="CE890" s="48" t="n">
        <f aca="false">IF(AA890&lt;&gt;"",AA890,Z890)</f>
        <v>3</v>
      </c>
      <c r="CF890" s="48" t="str">
        <f aca="false">IF(OR(CE890=1,CE890=2,CE890=3),IF(Parameter!$E$27="Ja","LIFT",IF(CE890=1,"L1","L23")),IF(CE890="Aussen","Aussen","-"))</f>
        <v>LIFT</v>
      </c>
      <c r="CG890" s="59" t="n">
        <f aca="false">IF(N(AB890)&gt;0,AB890,0)</f>
        <v>0</v>
      </c>
      <c r="CH890" s="53" t="n">
        <f aca="false">IF(ISNUMBER(AE890),1,0)</f>
        <v>0</v>
      </c>
      <c r="CI890" s="50" t="n">
        <f aca="false">N(AE890)</f>
        <v>0</v>
      </c>
      <c r="CJ890" s="50" t="n">
        <f aca="false">N(M890)+N(N890)</f>
        <v>1</v>
      </c>
      <c r="CK890" s="50" t="n">
        <f aca="false">N(M890)</f>
        <v>0</v>
      </c>
      <c r="CL890" s="50" t="n">
        <f aca="false">N(N890)</f>
        <v>1</v>
      </c>
      <c r="CM890" s="50" t="n">
        <f aca="false">ROUNDUP(H890/BY890,0)</f>
        <v>1</v>
      </c>
      <c r="CN890" s="50" t="n">
        <f aca="false">ROUNDUP(CI890/BY890,0)</f>
        <v>0</v>
      </c>
      <c r="CO890" s="53" t="n">
        <f aca="false">IF(BZ890=1,0,IFERROR(VLOOKUP(BX890,'Gebinde-Kategorie'!$A$5:$N$45,5,0)+0,0))</f>
        <v>8</v>
      </c>
      <c r="CP890" s="53" t="n">
        <f aca="false">IFERROR(IF(OR(CE890=1,CE890=2,CE890=3),N(INDEX(Parameter!$I$5:$I$7,CE890)),0),0)</f>
        <v>0</v>
      </c>
      <c r="CQ890" s="52" t="n">
        <f aca="false">IF(AND(Parameter!$B$21="Ja",ISNUMBER(W890),N(X890)&gt;0),IFERROR(N(INDEX(Parameter!$L$5:$L$7,W890))*INDEX(Parameter!$E$5:$E$7,W890)*X890/SUMIFS($X$7:$X$1843,$W$7:$W$1843,W890),0),0)</f>
        <v>0</v>
      </c>
    </row>
    <row r="891" customFormat="false" ht="15" hidden="false" customHeight="false" outlineLevel="0" collapsed="false">
      <c r="A891" s="48" t="s">
        <v>1691</v>
      </c>
      <c r="B891" s="48" t="s">
        <v>956</v>
      </c>
      <c r="C891" s="48" t="s">
        <v>173</v>
      </c>
      <c r="D891" s="48" t="s">
        <v>193</v>
      </c>
      <c r="E891" s="48" t="s">
        <v>194</v>
      </c>
      <c r="F891" s="48" t="s">
        <v>227</v>
      </c>
      <c r="G891" s="49" t="n">
        <v>2.79</v>
      </c>
      <c r="H891" s="50" t="n">
        <f aca="false">MAX(0,IF(AND(Parameter!$B$21="Ja",ISNUMBER(Y891)),Y891,IF(Parameter!$B$20="Jahresanfang 2025 + Export",BR891+BQ891,BQ891)))</f>
        <v>50</v>
      </c>
      <c r="I891" s="50" t="n">
        <f aca="false">H891*G891</f>
        <v>139.5</v>
      </c>
      <c r="J891" s="50" t="n">
        <f aca="false">BT891*Parameter!$B$18</f>
        <v>0</v>
      </c>
      <c r="K891" s="51" t="n">
        <v>60.5</v>
      </c>
      <c r="L891" s="52" t="n">
        <v>0</v>
      </c>
      <c r="M891" s="50" t="n">
        <v>0</v>
      </c>
      <c r="N891" s="50" t="n">
        <v>1</v>
      </c>
      <c r="O891" s="53" t="n">
        <v>14</v>
      </c>
      <c r="P891" s="48" t="s">
        <v>177</v>
      </c>
      <c r="Q891" s="50"/>
      <c r="R891" s="53" t="n">
        <f aca="false">IF(BZ891=1,0,IFERROR(VLOOKUP(BX891,'Gebinde-Kategorie'!$A$5:$N$45,13,0)+0,0))</f>
        <v>26</v>
      </c>
      <c r="S891" s="54"/>
      <c r="T891" s="55" t="s">
        <v>284</v>
      </c>
      <c r="U891" s="55"/>
      <c r="V891" s="55"/>
      <c r="W891" s="48"/>
      <c r="X891" s="50"/>
      <c r="Y891" s="50"/>
      <c r="Z891" s="48" t="n">
        <f aca="false">IF(A891="","",IF(AND(Parameter!$B$21="Ja",ISNUMBER(W891)),W891,IF(CC891="2+3",IF(ISNUMBER(SEARCH("grosser Artikel",BU891)),2,IFERROR(VLOOKUP(BX891,Parameter!$F$35:$G$64,2,0),2)),IF(OR(CC891="Nein",CC891=""),"-",CC891))))</f>
        <v>3</v>
      </c>
      <c r="AA891" s="55"/>
      <c r="AB891" s="56"/>
      <c r="AC891" s="50" t="n">
        <f aca="false">AV891</f>
        <v>1</v>
      </c>
      <c r="AD891" s="50" t="n">
        <f aca="false">MAX(AV891,H891)</f>
        <v>50</v>
      </c>
      <c r="AE891" s="57"/>
      <c r="AF891" s="50" t="n">
        <f aca="false">IF(LEFT(Cockpit!$C$5,1)="A",H891,IF(Parameter!$E$30="MAX-Bestand",IF(CH891=1,CI891,IF(LEFT(Cockpit!$C$5,1)="B",AL891,MAX(AL891,H891))),ROUNDUP(AJ891,0)))</f>
        <v>50</v>
      </c>
      <c r="AG891" s="50" t="n">
        <f aca="false">IF(BZ891=1,0,ROUNDUP(AF891/BY891,0))</f>
        <v>1</v>
      </c>
      <c r="AH891" s="52" t="n">
        <f aca="false">IF(CQ891&gt;0,CQ891*MAX(1,AF891/X891),IF(BZ891=1,IF(AF891&lt;=0,0,CD891*MAX(1,IF(H891&gt;0,AF891/H891,1))),IF(R891&gt;0,AG891/R891,0))/MAX(0.1,N(Parameter!$M$21)))</f>
        <v>0.0384615384615385</v>
      </c>
      <c r="AI891" s="50" t="n">
        <f aca="false">AH891*CB891</f>
        <v>5.96153846153846</v>
      </c>
      <c r="AJ891" s="51" t="n">
        <f aca="false">IF(LEFT(Cockpit!$C$5,1)="A",H891,IF(CH891=1,(CK891+CI891)/2,IF(LEFT(Cockpit!$C$5,1)="B",(CK891+AL891)/2,MAX((CK891+AL891)/2,H891))))</f>
        <v>50</v>
      </c>
      <c r="AK891" s="50" t="n">
        <f aca="false">AJ891*G891</f>
        <v>139.5</v>
      </c>
      <c r="AL891" s="50" t="n">
        <f aca="false">ROUNDUP(CK891+MAX(CL891,2*(J891/IF(CG891&gt;0,CG891,MAX(0.1,N(Cockpit!$C$6)))-CK891)),0)</f>
        <v>1</v>
      </c>
      <c r="AM891" s="51" t="n">
        <f aca="false">IF(AI891&gt;0,J891/AI891,-1)</f>
        <v>0</v>
      </c>
      <c r="AN891" s="51" t="n">
        <f aca="false">IF(AND(OR(CF891="L1",CF891="L23",CF891="LIFT"),AI891&gt;0),SUMIFS($AI$7:$AI$1843,$CF$7:$CF$1843,CF891,$AM$7:$AM$1843,"&gt;"&amp;AM891)+SUMIFS($AI$7:$AI$1843,$CF$7:$CF$1843,CF891,$AM$7:$AM$1843,AM891,$BW$7:$BW$1843,"&lt;="&amp;BW891),"")</f>
        <v>28822.5074941537</v>
      </c>
      <c r="AO891" s="58" t="n">
        <f aca="false">IF(AN891="",0,MAX(0,MIN(1,(IF(CF891="L1",Parameter!$H$5,IF(CF891="L23",Parameter!$H$6+Parameter!$H$7,Parameter!$H$5+Parameter!$H$6+Parameter!$H$7))-(AN891-AI891))/AI891)))</f>
        <v>1</v>
      </c>
      <c r="AP891" s="50" t="n">
        <f aca="false">IF(LEFT(Cockpit!$I$5,1)="A",H891,IF(Parameter!$E$30="MAX-Bestand",IF(CH891=1,CI891,IF(LEFT(Cockpit!$I$5,1)="B",AV891,MAX(AV891,H891))),ROUNDUP(AT891,0)))</f>
        <v>50</v>
      </c>
      <c r="AQ891" s="50" t="n">
        <f aca="false">IF(BZ891=1,0,ROUNDUP(AP891/BY891,0))</f>
        <v>1</v>
      </c>
      <c r="AR891" s="52" t="n">
        <f aca="false">IF(CQ891&gt;0,CQ891*MAX(1,AP891/X891),IF(BZ891=1,IF(AP891&lt;=0,0,CD891*MAX(1,IF(H891&gt;0,AP891/H891,1))),IF(R891&gt;0,AQ891/R891,0))/MAX(0.1,N(Parameter!$M$21)))</f>
        <v>0.0384615384615385</v>
      </c>
      <c r="AS891" s="50" t="n">
        <f aca="false">AR891*CB891</f>
        <v>5.96153846153846</v>
      </c>
      <c r="AT891" s="51" t="n">
        <f aca="false">IF(LEFT(Cockpit!$I$5,1)="A",H891,IF(CH891=1,(CK891+CI891)/2,IF(LEFT(Cockpit!$I$5,1)="B",(CK891+AV891)/2,MAX((CK891+AV891)/2,H891))))</f>
        <v>50</v>
      </c>
      <c r="AU891" s="50" t="n">
        <f aca="false">AT891*G891</f>
        <v>139.5</v>
      </c>
      <c r="AV891" s="50" t="n">
        <f aca="false">ROUNDUP(CK891+MAX(CL891,2*(J891/IF(CG891&gt;0,CG891,MAX(0.1,N(Cockpit!$I$6)))-CK891)),0)</f>
        <v>1</v>
      </c>
      <c r="AW891" s="51" t="n">
        <f aca="false">IF(AS891&gt;0,J891/AS891,-1)</f>
        <v>0</v>
      </c>
      <c r="AX891" s="51" t="n">
        <f aca="false">IF(AND(OR(CF891="L1",CF891="L23",CF891="LIFT"),AS891&gt;0),SUMIFS($AS$7:$AS$1843,$CF$7:$CF$1843,CF891,$AW$7:$AW$1843,"&gt;"&amp;AW891)+SUMIFS($AS$7:$AS$1843,$CF$7:$CF$1843,CF891,$AW$7:$AW$1843,AW891,$BW$7:$BW$1843,"&lt;="&amp;BW891),"")</f>
        <v>34448.7097069597</v>
      </c>
      <c r="AY891" s="58" t="n">
        <f aca="false">IF(AX891="",0,MAX(0,MIN(1,(IF(CF891="L1",Parameter!$H$5,IF(CF891="L23",Parameter!$H$6+Parameter!$H$7,Parameter!$H$5+Parameter!$H$6+Parameter!$H$7))-(AX891-AS891))/AS891)))</f>
        <v>1</v>
      </c>
      <c r="AZ891" s="50" t="n">
        <f aca="false">IF(LEFT(Cockpit!$O$5,1)="A",H891,IF(Parameter!$E$30="MAX-Bestand",IF(CH891=1,CI891,IF(LEFT(Cockpit!$O$5,1)="B",BF891,MAX(BF891,H891))),ROUNDUP(BD891,0)))</f>
        <v>1</v>
      </c>
      <c r="BA891" s="50" t="n">
        <f aca="false">IF(BZ891=1,0,ROUNDUP(AZ891/BY891,0))</f>
        <v>1</v>
      </c>
      <c r="BB891" s="52" t="n">
        <f aca="false">IF(CQ891&gt;0,CQ891*MAX(1,AZ891/X891),IF(BZ891=1,IF(AZ891&lt;=0,0,CD891*MAX(1,IF(H891&gt;0,AZ891/H891,1))),IF(R891&gt;0,BA891/R891,0))/MAX(0.1,N(Parameter!$M$21)))</f>
        <v>0.0384615384615385</v>
      </c>
      <c r="BC891" s="50" t="n">
        <f aca="false">BB891*CB891</f>
        <v>5.96153846153846</v>
      </c>
      <c r="BD891" s="51" t="n">
        <f aca="false">IF(LEFT(Cockpit!$O$5,1)="A",H891,IF(CH891=1,(CK891+CI891)/2,IF(LEFT(Cockpit!$O$5,1)="B",(CK891+BF891)/2,MAX((CK891+BF891)/2,H891))))</f>
        <v>0.5</v>
      </c>
      <c r="BE891" s="50" t="n">
        <f aca="false">BD891*G891</f>
        <v>1.395</v>
      </c>
      <c r="BF891" s="50" t="n">
        <f aca="false">ROUNDUP(CK891+MAX(CL891,2*(J891/IF(CG891&gt;0,CG891,MAX(0.1,N(Cockpit!$O$6)))-CK891)),0)</f>
        <v>1</v>
      </c>
      <c r="BG891" s="51" t="n">
        <f aca="false">IF(BC891&gt;0,J891/BC891,-1)</f>
        <v>0</v>
      </c>
      <c r="BH891" s="51" t="n">
        <f aca="false">IF(AND(OR(CF891="L1",CF891="L23",CF891="LIFT"),BC891&gt;0),SUMIFS($BC$7:$BC$1843,$CF$7:$CF$1843,CF891,$BG$7:$BG$1843,"&gt;"&amp;BG891)+SUMIFS($BC$7:$BC$1843,$CF$7:$CF$1843,CF891,$BG$7:$BG$1843,BG891,$BW$7:$BW$1843,"&lt;="&amp;BW891),"")</f>
        <v>28486.2773561185</v>
      </c>
      <c r="BI891" s="58" t="n">
        <f aca="false">IF(BH891="",0,MAX(0,MIN(1,(IF(CF891="L1",Parameter!$H$5,IF(CF891="L23",Parameter!$H$6+Parameter!$H$7,Parameter!$H$5+Parameter!$H$6+Parameter!$H$7))-(BH891-BC891))/BC891)))</f>
        <v>1</v>
      </c>
      <c r="BJ891" s="48" t="str">
        <f aca="false">IF(AI891&lt;=0,"",IF(CF891="Aussen","Aussenlager",IF(CF891="-","Nicht im Lift",IF(AO891&gt;=1,"Lift",IF(AO891&lt;=0,"Aussenlager","teilweise")))))</f>
        <v>Lift</v>
      </c>
      <c r="BK891" s="48" t="str">
        <f aca="false">IF(AS891&lt;=0,"",IF(CF891="Aussen","Aussenlager",IF(CF891="-","Nicht im Lift",IF(AY891&gt;=1,"Lift",IF(AY891&lt;=0,"Aussenlager","teilweise")))))</f>
        <v>Lift</v>
      </c>
      <c r="BL891" s="48" t="str">
        <f aca="false">IF(BC891&lt;=0,"",IF(CF891="Aussen","Aussenlager",IF(CF891="-","Nicht im Lift",IF(BI891&gt;=1,"Lift",IF(BI891&lt;=0,"Aussenlager","teilweise")))))</f>
        <v>Lift</v>
      </c>
      <c r="BM891" s="48" t="str">
        <f aca="false">IF(A891="","",IF(BV891=1,"Neu; ","")&amp;IF(AND(BV891=0,BQ891&lt;0),"negativer Bestand (Export "&amp;BQ891&amp;"); ","")&amp;IF(J891&lt;=0,"Kein Verbrauch; ","")&amp;IF(CQ891&gt;0,"Lift "&amp;W891&amp;" lt. Liftbericht (Fach "&amp;X891&amp;" Stk); ",IF(CA891=1,"Gebinde geschätzt ("&amp;T891&amp;"); ",IF(BZ891=1,"Lose – Tablare geschätzt; ","")))&amp;IF(H891&gt;AV891,"Überbestand "&amp;ROUND(H891-AV891,0)&amp;" Stk / CHF "&amp;ROUND((H891-AV891)*G891,0)&amp;"; ","")&amp;IF(AND(CH891=1,CI891&lt;CJ891),"MAX &lt; MB+LG; ","")&amp;IF(AND(CP891&gt;0,CO891*10&gt;CP891),"zu hoch für Tablar; ","")&amp;IF(AND(BV891=0,OR(CH891=1,AA891&lt;&gt;"",U891&lt;&gt;"",V891&lt;&gt;"",AB891&lt;&gt;"")),"manuell übersteuert; ","")&amp;IF(AND(BZ891=0,R891=0),"Gebinde unbekannt / Stellmass fehlt; ","")&amp;IF(AND(BZ891=0,N(V891)&lt;=0,N(Q891)&lt;=0),"Menge pro Gebinde fehlt (Ist = 1 Gebinde); ","")&amp;BU891)</f>
        <v>negativer Bestand (Export -21); Kein Verbrauch; Gebinde geschätzt (Klein); Überbestand 49 Stk / CHF 137; Menge pro Gebinde fehlt (Ist = 1 Gebinde); Überbestand; nicht im KTL vorhanden</v>
      </c>
      <c r="BN891" s="48"/>
      <c r="BO891" s="48"/>
      <c r="BP891" s="55"/>
      <c r="BQ891" s="50" t="n">
        <v>-21</v>
      </c>
      <c r="BR891" s="50" t="n">
        <v>71</v>
      </c>
      <c r="BS891" s="49" t="n">
        <v>-29.48</v>
      </c>
      <c r="BT891" s="50" t="n">
        <v>0</v>
      </c>
      <c r="BU891" s="48" t="s">
        <v>1640</v>
      </c>
      <c r="BV891" s="53" t="n">
        <v>0</v>
      </c>
      <c r="BW891" s="53" t="n">
        <v>891</v>
      </c>
      <c r="BX891" s="48" t="str">
        <f aca="false">IF(U891&lt;&gt;"",UPPER(TRIM(U891)),IF(CA891=1,UPPER(VLOOKUP(T891,Parameter!$I$27:$K$29,2,0)),IF(P891="","LOSE",P891)))</f>
        <v>S51</v>
      </c>
      <c r="BY891" s="50" t="n">
        <f aca="false">IF(BX891="LOSE",1,IF(N(V891)&gt;0,V891,IF(CA891=1,MAX(1,N(VLOOKUP(T891,Parameter!$I$27:$K$29,3,0)),H891,N(N891)),IF(N(Q891)&gt;0,Q891,MAX(1,H891)))))</f>
        <v>50</v>
      </c>
      <c r="BZ891" s="53" t="n">
        <f aca="false">IF(BX891="LOSE",1,0)</f>
        <v>0</v>
      </c>
      <c r="CA891" s="53" t="n">
        <f aca="false">IF(AND(U891="",OR(P891="",P891="LOSE"),T891&lt;&gt;"",N(S891)&lt;=0,ISNUMBER(MATCH(T891,Parameter!$I$27:$I$29,0))),1,0)</f>
        <v>1</v>
      </c>
      <c r="CB891" s="53" t="n">
        <f aca="false">IF(CQ891&gt;0,INDEX(Parameter!$H$5:$H$7,W891)/INDEX(Parameter!$E$5:$E$7,W891),IF(AND(BZ891=0,N(IFERROR(VLOOKUP(BX891,'Gebinde-Kategorie'!$A$5:$N$45,14,0),0))&gt;0),VLOOKUP(BX891,'Gebinde-Kategorie'!$A$5:$N$45,14,0)*10+Parameter!$M$23,Parameter!$M$24))</f>
        <v>155</v>
      </c>
      <c r="CC891" s="48" t="str">
        <f aca="false">IF(AND(Parameter!$B$19="Ja",E891&lt;&gt;"",ISNUMBER(MATCH(E891,Parameter!$I$35:$I$52,0))),VLOOKUP(E891,Parameter!$I$35:$J$52,2,0),IFERROR(VLOOKUP(D891,Parameter!$A$35:$C$64,2,0),"Nein"))</f>
        <v>2+3</v>
      </c>
      <c r="CD891" s="52" t="n">
        <f aca="false">IF(BZ891=0,0,IF(N(S891)&gt;0,S891,IFERROR(VLOOKUP(D891,Parameter!$A$35:$C$64,3,0)+0,0)))</f>
        <v>0</v>
      </c>
      <c r="CE891" s="48" t="n">
        <f aca="false">IF(AA891&lt;&gt;"",AA891,Z891)</f>
        <v>3</v>
      </c>
      <c r="CF891" s="48" t="str">
        <f aca="false">IF(OR(CE891=1,CE891=2,CE891=3),IF(Parameter!$E$27="Ja","LIFT",IF(CE891=1,"L1","L23")),IF(CE891="Aussen","Aussen","-"))</f>
        <v>LIFT</v>
      </c>
      <c r="CG891" s="59" t="n">
        <f aca="false">IF(N(AB891)&gt;0,AB891,0)</f>
        <v>0</v>
      </c>
      <c r="CH891" s="53" t="n">
        <f aca="false">IF(ISNUMBER(AE891),1,0)</f>
        <v>0</v>
      </c>
      <c r="CI891" s="50" t="n">
        <f aca="false">N(AE891)</f>
        <v>0</v>
      </c>
      <c r="CJ891" s="50" t="n">
        <f aca="false">N(M891)+N(N891)</f>
        <v>1</v>
      </c>
      <c r="CK891" s="50" t="n">
        <f aca="false">N(M891)</f>
        <v>0</v>
      </c>
      <c r="CL891" s="50" t="n">
        <f aca="false">N(N891)</f>
        <v>1</v>
      </c>
      <c r="CM891" s="50" t="n">
        <f aca="false">ROUNDUP(H891/BY891,0)</f>
        <v>1</v>
      </c>
      <c r="CN891" s="50" t="n">
        <f aca="false">ROUNDUP(CI891/BY891,0)</f>
        <v>0</v>
      </c>
      <c r="CO891" s="53" t="n">
        <f aca="false">IF(BZ891=1,0,IFERROR(VLOOKUP(BX891,'Gebinde-Kategorie'!$A$5:$N$45,5,0)+0,0))</f>
        <v>11</v>
      </c>
      <c r="CP891" s="53" t="n">
        <f aca="false">IFERROR(IF(OR(CE891=1,CE891=2,CE891=3),N(INDEX(Parameter!$I$5:$I$7,CE891)),0),0)</f>
        <v>0</v>
      </c>
      <c r="CQ891" s="52" t="n">
        <f aca="false">IF(AND(Parameter!$B$21="Ja",ISNUMBER(W891),N(X891)&gt;0),IFERROR(N(INDEX(Parameter!$L$5:$L$7,W891))*INDEX(Parameter!$E$5:$E$7,W891)*X891/SUMIFS($X$7:$X$1843,$W$7:$W$1843,W891),0),0)</f>
        <v>0</v>
      </c>
    </row>
    <row r="892" customFormat="false" ht="15" hidden="false" customHeight="false" outlineLevel="0" collapsed="false">
      <c r="A892" s="48" t="s">
        <v>1692</v>
      </c>
      <c r="B892" s="48" t="s">
        <v>1693</v>
      </c>
      <c r="C892" s="48" t="s">
        <v>173</v>
      </c>
      <c r="D892" s="48" t="s">
        <v>193</v>
      </c>
      <c r="E892" s="48"/>
      <c r="F892" s="48" t="s">
        <v>227</v>
      </c>
      <c r="G892" s="49" t="n">
        <v>30.21</v>
      </c>
      <c r="H892" s="50" t="n">
        <f aca="false">MAX(0,IF(AND(Parameter!$B$21="Ja",ISNUMBER(Y892)),Y892,IF(Parameter!$B$20="Jahresanfang 2025 + Export",BR892+BQ892,BQ892)))</f>
        <v>0</v>
      </c>
      <c r="I892" s="50" t="n">
        <f aca="false">H892*G892</f>
        <v>0</v>
      </c>
      <c r="J892" s="50" t="n">
        <f aca="false">BT892*Parameter!$B$18</f>
        <v>0</v>
      </c>
      <c r="K892" s="51" t="n">
        <v>0.5</v>
      </c>
      <c r="L892" s="52" t="n">
        <v>0</v>
      </c>
      <c r="M892" s="50" t="n">
        <v>0</v>
      </c>
      <c r="N892" s="50" t="n">
        <v>1</v>
      </c>
      <c r="O892" s="53" t="n">
        <v>28</v>
      </c>
      <c r="P892" s="48" t="s">
        <v>177</v>
      </c>
      <c r="Q892" s="50"/>
      <c r="R892" s="53" t="n">
        <f aca="false">IF(BZ892=1,0,IFERROR(VLOOKUP(BX892,'Gebinde-Kategorie'!$A$5:$N$45,13,0)+0,0))</f>
        <v>26</v>
      </c>
      <c r="S892" s="54"/>
      <c r="T892" s="55" t="s">
        <v>284</v>
      </c>
      <c r="U892" s="55"/>
      <c r="V892" s="55"/>
      <c r="W892" s="48"/>
      <c r="X892" s="50"/>
      <c r="Y892" s="50"/>
      <c r="Z892" s="48" t="n">
        <f aca="false">IF(A892="","",IF(AND(Parameter!$B$21="Ja",ISNUMBER(W892)),W892,IF(CC892="2+3",IF(ISNUMBER(SEARCH("grosser Artikel",BU892)),2,IFERROR(VLOOKUP(BX892,Parameter!$F$35:$G$64,2,0),2)),IF(OR(CC892="Nein",CC892=""),"-",CC892))))</f>
        <v>3</v>
      </c>
      <c r="AA892" s="55"/>
      <c r="AB892" s="56"/>
      <c r="AC892" s="50" t="n">
        <f aca="false">AV892</f>
        <v>1</v>
      </c>
      <c r="AD892" s="50" t="n">
        <f aca="false">MAX(AV892,H892)</f>
        <v>1</v>
      </c>
      <c r="AE892" s="57"/>
      <c r="AF892" s="50" t="n">
        <f aca="false">IF(LEFT(Cockpit!$C$5,1)="A",H892,IF(Parameter!$E$30="MAX-Bestand",IF(CH892=1,CI892,IF(LEFT(Cockpit!$C$5,1)="B",AL892,MAX(AL892,H892))),ROUNDUP(AJ892,0)))</f>
        <v>0</v>
      </c>
      <c r="AG892" s="50" t="n">
        <f aca="false">IF(BZ892=1,0,ROUNDUP(AF892/BY892,0))</f>
        <v>0</v>
      </c>
      <c r="AH892" s="52" t="n">
        <f aca="false">IF(CQ892&gt;0,CQ892*MAX(1,AF892/X892),IF(BZ892=1,IF(AF892&lt;=0,0,CD892*MAX(1,IF(H892&gt;0,AF892/H892,1))),IF(R892&gt;0,AG892/R892,0))/MAX(0.1,N(Parameter!$M$21)))</f>
        <v>0</v>
      </c>
      <c r="AI892" s="50" t="n">
        <f aca="false">AH892*CB892</f>
        <v>0</v>
      </c>
      <c r="AJ892" s="51" t="n">
        <f aca="false">IF(LEFT(Cockpit!$C$5,1)="A",H892,IF(CH892=1,(CK892+CI892)/2,IF(LEFT(Cockpit!$C$5,1)="B",(CK892+AL892)/2,MAX((CK892+AL892)/2,H892))))</f>
        <v>0</v>
      </c>
      <c r="AK892" s="50" t="n">
        <f aca="false">AJ892*G892</f>
        <v>0</v>
      </c>
      <c r="AL892" s="50" t="n">
        <f aca="false">ROUNDUP(CK892+MAX(CL892,2*(J892/IF(CG892&gt;0,CG892,MAX(0.1,N(Cockpit!$C$6)))-CK892)),0)</f>
        <v>1</v>
      </c>
      <c r="AM892" s="51" t="n">
        <f aca="false">IF(AI892&gt;0,J892/AI892,-1)</f>
        <v>-1</v>
      </c>
      <c r="AN892" s="51" t="str">
        <f aca="false">IF(AND(OR(CF892="L1",CF892="L23",CF892="LIFT"),AI892&gt;0),SUMIFS($AI$7:$AI$1843,$CF$7:$CF$1843,CF892,$AM$7:$AM$1843,"&gt;"&amp;AM892)+SUMIFS($AI$7:$AI$1843,$CF$7:$CF$1843,CF892,$AM$7:$AM$1843,AM892,$BW$7:$BW$1843,"&lt;="&amp;BW892),"")</f>
        <v/>
      </c>
      <c r="AO892" s="58" t="n">
        <f aca="false">IF(AN892="",0,MAX(0,MIN(1,(IF(CF892="L1",Parameter!$H$5,IF(CF892="L23",Parameter!$H$6+Parameter!$H$7,Parameter!$H$5+Parameter!$H$6+Parameter!$H$7))-(AN892-AI892))/AI892)))</f>
        <v>0</v>
      </c>
      <c r="AP892" s="50" t="n">
        <f aca="false">IF(LEFT(Cockpit!$I$5,1)="A",H892,IF(Parameter!$E$30="MAX-Bestand",IF(CH892=1,CI892,IF(LEFT(Cockpit!$I$5,1)="B",AV892,MAX(AV892,H892))),ROUNDUP(AT892,0)))</f>
        <v>1</v>
      </c>
      <c r="AQ892" s="50" t="n">
        <f aca="false">IF(BZ892=1,0,ROUNDUP(AP892/BY892,0))</f>
        <v>1</v>
      </c>
      <c r="AR892" s="52" t="n">
        <f aca="false">IF(CQ892&gt;0,CQ892*MAX(1,AP892/X892),IF(BZ892=1,IF(AP892&lt;=0,0,CD892*MAX(1,IF(H892&gt;0,AP892/H892,1))),IF(R892&gt;0,AQ892/R892,0))/MAX(0.1,N(Parameter!$M$21)))</f>
        <v>0.0384615384615385</v>
      </c>
      <c r="AS892" s="50" t="n">
        <f aca="false">AR892*CB892</f>
        <v>5.96153846153846</v>
      </c>
      <c r="AT892" s="51" t="n">
        <f aca="false">IF(LEFT(Cockpit!$I$5,1)="A",H892,IF(CH892=1,(CK892+CI892)/2,IF(LEFT(Cockpit!$I$5,1)="B",(CK892+AV892)/2,MAX((CK892+AV892)/2,H892))))</f>
        <v>0.5</v>
      </c>
      <c r="AU892" s="50" t="n">
        <f aca="false">AT892*G892</f>
        <v>15.105</v>
      </c>
      <c r="AV892" s="50" t="n">
        <f aca="false">ROUNDUP(CK892+MAX(CL892,2*(J892/IF(CG892&gt;0,CG892,MAX(0.1,N(Cockpit!$I$6)))-CK892)),0)</f>
        <v>1</v>
      </c>
      <c r="AW892" s="51" t="n">
        <f aca="false">IF(AS892&gt;0,J892/AS892,-1)</f>
        <v>0</v>
      </c>
      <c r="AX892" s="51" t="n">
        <f aca="false">IF(AND(OR(CF892="L1",CF892="L23",CF892="LIFT"),AS892&gt;0),SUMIFS($AS$7:$AS$1843,$CF$7:$CF$1843,CF892,$AW$7:$AW$1843,"&gt;"&amp;AW892)+SUMIFS($AS$7:$AS$1843,$CF$7:$CF$1843,CF892,$AW$7:$AW$1843,AW892,$BW$7:$BW$1843,"&lt;="&amp;BW892),"")</f>
        <v>34454.6712454213</v>
      </c>
      <c r="AY892" s="58" t="n">
        <f aca="false">IF(AX892="",0,MAX(0,MIN(1,(IF(CF892="L1",Parameter!$H$5,IF(CF892="L23",Parameter!$H$6+Parameter!$H$7,Parameter!$H$5+Parameter!$H$6+Parameter!$H$7))-(AX892-AS892))/AS892)))</f>
        <v>1</v>
      </c>
      <c r="AZ892" s="50" t="n">
        <f aca="false">IF(LEFT(Cockpit!$O$5,1)="A",H892,IF(Parameter!$E$30="MAX-Bestand",IF(CH892=1,CI892,IF(LEFT(Cockpit!$O$5,1)="B",BF892,MAX(BF892,H892))),ROUNDUP(BD892,0)))</f>
        <v>1</v>
      </c>
      <c r="BA892" s="50" t="n">
        <f aca="false">IF(BZ892=1,0,ROUNDUP(AZ892/BY892,0))</f>
        <v>1</v>
      </c>
      <c r="BB892" s="52" t="n">
        <f aca="false">IF(CQ892&gt;0,CQ892*MAX(1,AZ892/X892),IF(BZ892=1,IF(AZ892&lt;=0,0,CD892*MAX(1,IF(H892&gt;0,AZ892/H892,1))),IF(R892&gt;0,BA892/R892,0))/MAX(0.1,N(Parameter!$M$21)))</f>
        <v>0.0384615384615385</v>
      </c>
      <c r="BC892" s="50" t="n">
        <f aca="false">BB892*CB892</f>
        <v>5.96153846153846</v>
      </c>
      <c r="BD892" s="51" t="n">
        <f aca="false">IF(LEFT(Cockpit!$O$5,1)="A",H892,IF(CH892=1,(CK892+CI892)/2,IF(LEFT(Cockpit!$O$5,1)="B",(CK892+BF892)/2,MAX((CK892+BF892)/2,H892))))</f>
        <v>0.5</v>
      </c>
      <c r="BE892" s="50" t="n">
        <f aca="false">BD892*G892</f>
        <v>15.105</v>
      </c>
      <c r="BF892" s="50" t="n">
        <f aca="false">ROUNDUP(CK892+MAX(CL892,2*(J892/IF(CG892&gt;0,CG892,MAX(0.1,N(Cockpit!$O$6)))-CK892)),0)</f>
        <v>1</v>
      </c>
      <c r="BG892" s="51" t="n">
        <f aca="false">IF(BC892&gt;0,J892/BC892,-1)</f>
        <v>0</v>
      </c>
      <c r="BH892" s="51" t="n">
        <f aca="false">IF(AND(OR(CF892="L1",CF892="L23",CF892="LIFT"),BC892&gt;0),SUMIFS($BC$7:$BC$1843,$CF$7:$CF$1843,CF892,$BG$7:$BG$1843,"&gt;"&amp;BG892)+SUMIFS($BC$7:$BC$1843,$CF$7:$CF$1843,CF892,$BG$7:$BG$1843,BG892,$BW$7:$BW$1843,"&lt;="&amp;BW892),"")</f>
        <v>28492.23889458</v>
      </c>
      <c r="BI892" s="58" t="n">
        <f aca="false">IF(BH892="",0,MAX(0,MIN(1,(IF(CF892="L1",Parameter!$H$5,IF(CF892="L23",Parameter!$H$6+Parameter!$H$7,Parameter!$H$5+Parameter!$H$6+Parameter!$H$7))-(BH892-BC892))/BC892)))</f>
        <v>1</v>
      </c>
      <c r="BJ892" s="48" t="str">
        <f aca="false">IF(AI892&lt;=0,"",IF(CF892="Aussen","Aussenlager",IF(CF892="-","Nicht im Lift",IF(AO892&gt;=1,"Lift",IF(AO892&lt;=0,"Aussenlager","teilweise")))))</f>
        <v/>
      </c>
      <c r="BK892" s="48" t="str">
        <f aca="false">IF(AS892&lt;=0,"",IF(CF892="Aussen","Aussenlager",IF(CF892="-","Nicht im Lift",IF(AY892&gt;=1,"Lift",IF(AY892&lt;=0,"Aussenlager","teilweise")))))</f>
        <v>Lift</v>
      </c>
      <c r="BL892" s="48" t="str">
        <f aca="false">IF(BC892&lt;=0,"",IF(CF892="Aussen","Aussenlager",IF(CF892="-","Nicht im Lift",IF(BI892&gt;=1,"Lift",IF(BI892&lt;=0,"Aussenlager","teilweise")))))</f>
        <v>Lift</v>
      </c>
      <c r="BM892" s="48" t="str">
        <f aca="false">IF(A892="","",IF(BV892=1,"Neu; ","")&amp;IF(AND(BV892=0,BQ892&lt;0),"negativer Bestand (Export "&amp;BQ892&amp;"); ","")&amp;IF(J892&lt;=0,"Kein Verbrauch; ","")&amp;IF(CQ892&gt;0,"Lift "&amp;W892&amp;" lt. Liftbericht (Fach "&amp;X892&amp;" Stk); ",IF(CA892=1,"Gebinde geschätzt ("&amp;T892&amp;"); ",IF(BZ892=1,"Lose – Tablare geschätzt; ","")))&amp;IF(H892&gt;AV892,"Überbestand "&amp;ROUND(H892-AV892,0)&amp;" Stk / CHF "&amp;ROUND((H892-AV892)*G892,0)&amp;"; ","")&amp;IF(AND(CH892=1,CI892&lt;CJ892),"MAX &lt; MB+LG; ","")&amp;IF(AND(CP892&gt;0,CO892*10&gt;CP892),"zu hoch für Tablar; ","")&amp;IF(AND(BV892=0,OR(CH892=1,AA892&lt;&gt;"",U892&lt;&gt;"",V892&lt;&gt;"",AB892&lt;&gt;"")),"manuell übersteuert; ","")&amp;IF(AND(BZ892=0,R892=0),"Gebinde unbekannt / Stellmass fehlt; ","")&amp;IF(AND(BZ892=0,N(V892)&lt;=0,N(Q892)&lt;=0),"Menge pro Gebinde fehlt (Ist = 1 Gebinde); ","")&amp;BU892)</f>
        <v>negativer Bestand (Export -1); Kein Verbrauch; Gebinde geschätzt (Klein); Menge pro Gebinde fehlt (Ist = 1 Gebinde); </v>
      </c>
      <c r="BN892" s="48"/>
      <c r="BO892" s="48"/>
      <c r="BP892" s="55"/>
      <c r="BQ892" s="50" t="n">
        <v>-1</v>
      </c>
      <c r="BR892" s="50" t="n">
        <v>1</v>
      </c>
      <c r="BS892" s="49" t="n">
        <v>-30.21</v>
      </c>
      <c r="BT892" s="50" t="n">
        <v>0</v>
      </c>
      <c r="BU892" s="48"/>
      <c r="BV892" s="53" t="n">
        <v>0</v>
      </c>
      <c r="BW892" s="53" t="n">
        <v>892</v>
      </c>
      <c r="BX892" s="48" t="str">
        <f aca="false">IF(U892&lt;&gt;"",UPPER(TRIM(U892)),IF(CA892=1,UPPER(VLOOKUP(T892,Parameter!$I$27:$K$29,2,0)),IF(P892="","LOSE",P892)))</f>
        <v>S51</v>
      </c>
      <c r="BY892" s="50" t="n">
        <f aca="false">IF(BX892="LOSE",1,IF(N(V892)&gt;0,V892,IF(CA892=1,MAX(1,N(VLOOKUP(T892,Parameter!$I$27:$K$29,3,0)),H892,N(N892)),IF(N(Q892)&gt;0,Q892,MAX(1,H892)))))</f>
        <v>20</v>
      </c>
      <c r="BZ892" s="53" t="n">
        <f aca="false">IF(BX892="LOSE",1,0)</f>
        <v>0</v>
      </c>
      <c r="CA892" s="53" t="n">
        <f aca="false">IF(AND(U892="",OR(P892="",P892="LOSE"),T892&lt;&gt;"",N(S892)&lt;=0,ISNUMBER(MATCH(T892,Parameter!$I$27:$I$29,0))),1,0)</f>
        <v>1</v>
      </c>
      <c r="CB892" s="53" t="n">
        <f aca="false">IF(CQ892&gt;0,INDEX(Parameter!$H$5:$H$7,W892)/INDEX(Parameter!$E$5:$E$7,W892),IF(AND(BZ892=0,N(IFERROR(VLOOKUP(BX892,'Gebinde-Kategorie'!$A$5:$N$45,14,0),0))&gt;0),VLOOKUP(BX892,'Gebinde-Kategorie'!$A$5:$N$45,14,0)*10+Parameter!$M$23,Parameter!$M$24))</f>
        <v>155</v>
      </c>
      <c r="CC892" s="48" t="str">
        <f aca="false">IF(AND(Parameter!$B$19="Ja",E892&lt;&gt;"",ISNUMBER(MATCH(E892,Parameter!$I$35:$I$52,0))),VLOOKUP(E892,Parameter!$I$35:$J$52,2,0),IFERROR(VLOOKUP(D892,Parameter!$A$35:$C$64,2,0),"Nein"))</f>
        <v>2+3</v>
      </c>
      <c r="CD892" s="52" t="n">
        <f aca="false">IF(BZ892=0,0,IF(N(S892)&gt;0,S892,IFERROR(VLOOKUP(D892,Parameter!$A$35:$C$64,3,0)+0,0)))</f>
        <v>0</v>
      </c>
      <c r="CE892" s="48" t="n">
        <f aca="false">IF(AA892&lt;&gt;"",AA892,Z892)</f>
        <v>3</v>
      </c>
      <c r="CF892" s="48" t="str">
        <f aca="false">IF(OR(CE892=1,CE892=2,CE892=3),IF(Parameter!$E$27="Ja","LIFT",IF(CE892=1,"L1","L23")),IF(CE892="Aussen","Aussen","-"))</f>
        <v>LIFT</v>
      </c>
      <c r="CG892" s="59" t="n">
        <f aca="false">IF(N(AB892)&gt;0,AB892,0)</f>
        <v>0</v>
      </c>
      <c r="CH892" s="53" t="n">
        <f aca="false">IF(ISNUMBER(AE892),1,0)</f>
        <v>0</v>
      </c>
      <c r="CI892" s="50" t="n">
        <f aca="false">N(AE892)</f>
        <v>0</v>
      </c>
      <c r="CJ892" s="50" t="n">
        <f aca="false">N(M892)+N(N892)</f>
        <v>1</v>
      </c>
      <c r="CK892" s="50" t="n">
        <f aca="false">N(M892)</f>
        <v>0</v>
      </c>
      <c r="CL892" s="50" t="n">
        <f aca="false">N(N892)</f>
        <v>1</v>
      </c>
      <c r="CM892" s="50" t="n">
        <f aca="false">ROUNDUP(H892/BY892,0)</f>
        <v>0</v>
      </c>
      <c r="CN892" s="50" t="n">
        <f aca="false">ROUNDUP(CI892/BY892,0)</f>
        <v>0</v>
      </c>
      <c r="CO892" s="53" t="n">
        <f aca="false">IF(BZ892=1,0,IFERROR(VLOOKUP(BX892,'Gebinde-Kategorie'!$A$5:$N$45,5,0)+0,0))</f>
        <v>11</v>
      </c>
      <c r="CP892" s="53" t="n">
        <f aca="false">IFERROR(IF(OR(CE892=1,CE892=2,CE892=3),N(INDEX(Parameter!$I$5:$I$7,CE892)),0),0)</f>
        <v>0</v>
      </c>
      <c r="CQ892" s="52" t="n">
        <f aca="false">IF(AND(Parameter!$B$21="Ja",ISNUMBER(W892),N(X892)&gt;0),IFERROR(N(INDEX(Parameter!$L$5:$L$7,W892))*INDEX(Parameter!$E$5:$E$7,W892)*X892/SUMIFS($X$7:$X$1843,$W$7:$W$1843,W892),0),0)</f>
        <v>0</v>
      </c>
    </row>
    <row r="893" customFormat="false" ht="15" hidden="false" customHeight="false" outlineLevel="0" collapsed="false">
      <c r="A893" s="48" t="s">
        <v>1694</v>
      </c>
      <c r="B893" s="48" t="s">
        <v>598</v>
      </c>
      <c r="C893" s="48" t="s">
        <v>173</v>
      </c>
      <c r="D893" s="48" t="s">
        <v>193</v>
      </c>
      <c r="E893" s="48" t="s">
        <v>194</v>
      </c>
      <c r="F893" s="48" t="s">
        <v>227</v>
      </c>
      <c r="G893" s="49" t="n">
        <v>2.2</v>
      </c>
      <c r="H893" s="50" t="n">
        <f aca="false">MAX(0,IF(AND(Parameter!$B$21="Ja",ISNUMBER(Y893)),Y893,IF(Parameter!$B$20="Jahresanfang 2025 + Export",BR893+BQ893,BQ893)))</f>
        <v>34</v>
      </c>
      <c r="I893" s="50" t="n">
        <f aca="false">H893*G893</f>
        <v>74.8</v>
      </c>
      <c r="J893" s="50" t="n">
        <f aca="false">BT893*Parameter!$B$18</f>
        <v>11</v>
      </c>
      <c r="K893" s="51" t="n">
        <v>41</v>
      </c>
      <c r="L893" s="52" t="n">
        <v>0.268292682926829</v>
      </c>
      <c r="M893" s="50" t="n">
        <v>0</v>
      </c>
      <c r="N893" s="50" t="n">
        <v>10</v>
      </c>
      <c r="O893" s="53" t="n">
        <v>21</v>
      </c>
      <c r="P893" s="48" t="s">
        <v>435</v>
      </c>
      <c r="Q893" s="50" t="n">
        <v>21</v>
      </c>
      <c r="R893" s="53" t="n">
        <f aca="false">IF(BZ893=1,0,IFERROR(VLOOKUP(BX893,'Gebinde-Kategorie'!$A$5:$N$45,13,0)+0,0))</f>
        <v>140</v>
      </c>
      <c r="S893" s="54"/>
      <c r="T893" s="55"/>
      <c r="U893" s="55"/>
      <c r="V893" s="55"/>
      <c r="W893" s="48"/>
      <c r="X893" s="50"/>
      <c r="Y893" s="50"/>
      <c r="Z893" s="48" t="n">
        <f aca="false">IF(A893="","",IF(AND(Parameter!$B$21="Ja",ISNUMBER(W893)),W893,IF(CC893="2+3",IF(ISNUMBER(SEARCH("grosser Artikel",BU893)),2,IFERROR(VLOOKUP(BX893,Parameter!$F$35:$G$64,2,0),2)),IF(OR(CC893="Nein",CC893=""),"-",CC893))))</f>
        <v>3</v>
      </c>
      <c r="AA893" s="55"/>
      <c r="AB893" s="56"/>
      <c r="AC893" s="50" t="n">
        <f aca="false">AV893</f>
        <v>10</v>
      </c>
      <c r="AD893" s="50" t="n">
        <f aca="false">MAX(AV893,H893)</f>
        <v>34</v>
      </c>
      <c r="AE893" s="57"/>
      <c r="AF893" s="50" t="n">
        <f aca="false">IF(LEFT(Cockpit!$C$5,1)="A",H893,IF(Parameter!$E$30="MAX-Bestand",IF(CH893=1,CI893,IF(LEFT(Cockpit!$C$5,1)="B",AL893,MAX(AL893,H893))),ROUNDUP(AJ893,0)))</f>
        <v>34</v>
      </c>
      <c r="AG893" s="50" t="n">
        <f aca="false">IF(BZ893=1,0,ROUNDUP(AF893/BY893,0))</f>
        <v>2</v>
      </c>
      <c r="AH893" s="52" t="n">
        <f aca="false">IF(CQ893&gt;0,CQ893*MAX(1,AF893/X893),IF(BZ893=1,IF(AF893&lt;=0,0,CD893*MAX(1,IF(H893&gt;0,AF893/H893,1))),IF(R893&gt;0,AG893/R893,0))/MAX(0.1,N(Parameter!$M$21)))</f>
        <v>0.0142857142857143</v>
      </c>
      <c r="AI893" s="50" t="n">
        <f aca="false">AH893*CB893</f>
        <v>2.21428571428571</v>
      </c>
      <c r="AJ893" s="51" t="n">
        <f aca="false">IF(LEFT(Cockpit!$C$5,1)="A",H893,IF(CH893=1,(CK893+CI893)/2,IF(LEFT(Cockpit!$C$5,1)="B",(CK893+AL893)/2,MAX((CK893+AL893)/2,H893))))</f>
        <v>34</v>
      </c>
      <c r="AK893" s="50" t="n">
        <f aca="false">AJ893*G893</f>
        <v>74.8</v>
      </c>
      <c r="AL893" s="50" t="n">
        <f aca="false">ROUNDUP(CK893+MAX(CL893,2*(J893/IF(CG893&gt;0,CG893,MAX(0.1,N(Cockpit!$C$6)))-CK893)),0)</f>
        <v>10</v>
      </c>
      <c r="AM893" s="51" t="n">
        <f aca="false">IF(AI893&gt;0,J893/AI893,-1)</f>
        <v>4.96774193548387</v>
      </c>
      <c r="AN893" s="51" t="n">
        <f aca="false">IF(AND(OR(CF893="L1",CF893="L23",CF893="LIFT"),AI893&gt;0),SUMIFS($AI$7:$AI$1843,$CF$7:$CF$1843,CF893,$AM$7:$AM$1843,"&gt;"&amp;AM893)+SUMIFS($AI$7:$AI$1843,$CF$7:$CF$1843,CF893,$AM$7:$AM$1843,AM893,$BW$7:$BW$1843,"&lt;="&amp;BW893),"")</f>
        <v>3925.04990842491</v>
      </c>
      <c r="AO893" s="58" t="n">
        <f aca="false">IF(AN893="",0,MAX(0,MIN(1,(IF(CF893="L1",Parameter!$H$5,IF(CF893="L23",Parameter!$H$6+Parameter!$H$7,Parameter!$H$5+Parameter!$H$6+Parameter!$H$7))-(AN893-AI893))/AI893)))</f>
        <v>1</v>
      </c>
      <c r="AP893" s="50" t="n">
        <f aca="false">IF(LEFT(Cockpit!$I$5,1)="A",H893,IF(Parameter!$E$30="MAX-Bestand",IF(CH893=1,CI893,IF(LEFT(Cockpit!$I$5,1)="B",AV893,MAX(AV893,H893))),ROUNDUP(AT893,0)))</f>
        <v>34</v>
      </c>
      <c r="AQ893" s="50" t="n">
        <f aca="false">IF(BZ893=1,0,ROUNDUP(AP893/BY893,0))</f>
        <v>2</v>
      </c>
      <c r="AR893" s="52" t="n">
        <f aca="false">IF(CQ893&gt;0,CQ893*MAX(1,AP893/X893),IF(BZ893=1,IF(AP893&lt;=0,0,CD893*MAX(1,IF(H893&gt;0,AP893/H893,1))),IF(R893&gt;0,AQ893/R893,0))/MAX(0.1,N(Parameter!$M$21)))</f>
        <v>0.0142857142857143</v>
      </c>
      <c r="AS893" s="50" t="n">
        <f aca="false">AR893*CB893</f>
        <v>2.21428571428571</v>
      </c>
      <c r="AT893" s="51" t="n">
        <f aca="false">IF(LEFT(Cockpit!$I$5,1)="A",H893,IF(CH893=1,(CK893+CI893)/2,IF(LEFT(Cockpit!$I$5,1)="B",(CK893+AV893)/2,MAX((CK893+AV893)/2,H893))))</f>
        <v>34</v>
      </c>
      <c r="AU893" s="50" t="n">
        <f aca="false">AT893*G893</f>
        <v>74.8</v>
      </c>
      <c r="AV893" s="50" t="n">
        <f aca="false">ROUNDUP(CK893+MAX(CL893,2*(J893/IF(CG893&gt;0,CG893,MAX(0.1,N(Cockpit!$I$6)))-CK893)),0)</f>
        <v>10</v>
      </c>
      <c r="AW893" s="51" t="n">
        <f aca="false">IF(AS893&gt;0,J893/AS893,-1)</f>
        <v>4.96774193548387</v>
      </c>
      <c r="AX893" s="51" t="n">
        <f aca="false">IF(AND(OR(CF893="L1",CF893="L23",CF893="LIFT"),AS893&gt;0),SUMIFS($AS$7:$AS$1843,$CF$7:$CF$1843,CF893,$AW$7:$AW$1843,"&gt;"&amp;AW893)+SUMIFS($AS$7:$AS$1843,$CF$7:$CF$1843,CF893,$AW$7:$AW$1843,AW893,$BW$7:$BW$1843,"&lt;="&amp;BW893),"")</f>
        <v>4521.29075091575</v>
      </c>
      <c r="AY893" s="58" t="n">
        <f aca="false">IF(AX893="",0,MAX(0,MIN(1,(IF(CF893="L1",Parameter!$H$5,IF(CF893="L23",Parameter!$H$6+Parameter!$H$7,Parameter!$H$5+Parameter!$H$6+Parameter!$H$7))-(AX893-AS893))/AS893)))</f>
        <v>1</v>
      </c>
      <c r="AZ893" s="50" t="n">
        <f aca="false">IF(LEFT(Cockpit!$O$5,1)="A",H893,IF(Parameter!$E$30="MAX-Bestand",IF(CH893=1,CI893,IF(LEFT(Cockpit!$O$5,1)="B",BF893,MAX(BF893,H893))),ROUNDUP(BD893,0)))</f>
        <v>5</v>
      </c>
      <c r="BA893" s="50" t="n">
        <f aca="false">IF(BZ893=1,0,ROUNDUP(AZ893/BY893,0))</f>
        <v>1</v>
      </c>
      <c r="BB893" s="52" t="n">
        <f aca="false">IF(CQ893&gt;0,CQ893*MAX(1,AZ893/X893),IF(BZ893=1,IF(AZ893&lt;=0,0,CD893*MAX(1,IF(H893&gt;0,AZ893/H893,1))),IF(R893&gt;0,BA893/R893,0))/MAX(0.1,N(Parameter!$M$21)))</f>
        <v>0.00714285714285714</v>
      </c>
      <c r="BC893" s="50" t="n">
        <f aca="false">BB893*CB893</f>
        <v>1.10714285714286</v>
      </c>
      <c r="BD893" s="51" t="n">
        <f aca="false">IF(LEFT(Cockpit!$O$5,1)="A",H893,IF(CH893=1,(CK893+CI893)/2,IF(LEFT(Cockpit!$O$5,1)="B",(CK893+BF893)/2,MAX((CK893+BF893)/2,H893))))</f>
        <v>5</v>
      </c>
      <c r="BE893" s="50" t="n">
        <f aca="false">BD893*G893</f>
        <v>11</v>
      </c>
      <c r="BF893" s="50" t="n">
        <f aca="false">ROUNDUP(CK893+MAX(CL893,2*(J893/IF(CG893&gt;0,CG893,MAX(0.1,N(Cockpit!$O$6)))-CK893)),0)</f>
        <v>10</v>
      </c>
      <c r="BG893" s="51" t="n">
        <f aca="false">IF(BC893&gt;0,J893/BC893,-1)</f>
        <v>9.93548387096774</v>
      </c>
      <c r="BH893" s="51" t="n">
        <f aca="false">IF(AND(OR(CF893="L1",CF893="L23",CF893="LIFT"),BC893&gt;0),SUMIFS($BC$7:$BC$1843,$CF$7:$CF$1843,CF893,$BG$7:$BG$1843,"&gt;"&amp;BG893)+SUMIFS($BC$7:$BC$1843,$CF$7:$CF$1843,CF893,$BG$7:$BG$1843,BG893,$BW$7:$BW$1843,"&lt;="&amp;BW893),"")</f>
        <v>2672.56730769231</v>
      </c>
      <c r="BI893" s="58" t="n">
        <f aca="false">IF(BH893="",0,MAX(0,MIN(1,(IF(CF893="L1",Parameter!$H$5,IF(CF893="L23",Parameter!$H$6+Parameter!$H$7,Parameter!$H$5+Parameter!$H$6+Parameter!$H$7))-(BH893-BC893))/BC893)))</f>
        <v>1</v>
      </c>
      <c r="BJ893" s="48" t="str">
        <f aca="false">IF(AI893&lt;=0,"",IF(CF893="Aussen","Aussenlager",IF(CF893="-","Nicht im Lift",IF(AO893&gt;=1,"Lift",IF(AO893&lt;=0,"Aussenlager","teilweise")))))</f>
        <v>Lift</v>
      </c>
      <c r="BK893" s="48" t="str">
        <f aca="false">IF(AS893&lt;=0,"",IF(CF893="Aussen","Aussenlager",IF(CF893="-","Nicht im Lift",IF(AY893&gt;=1,"Lift",IF(AY893&lt;=0,"Aussenlager","teilweise")))))</f>
        <v>Lift</v>
      </c>
      <c r="BL893" s="48" t="str">
        <f aca="false">IF(BC893&lt;=0,"",IF(CF893="Aussen","Aussenlager",IF(CF893="-","Nicht im Lift",IF(BI893&gt;=1,"Lift",IF(BI893&lt;=0,"Aussenlager","teilweise")))))</f>
        <v>Lift</v>
      </c>
      <c r="BM893" s="48" t="str">
        <f aca="false">IF(A893="","",IF(BV893=1,"Neu; ","")&amp;IF(AND(BV893=0,BQ893&lt;0),"negativer Bestand (Export "&amp;BQ893&amp;"); ","")&amp;IF(J893&lt;=0,"Kein Verbrauch; ","")&amp;IF(CQ893&gt;0,"Lift "&amp;W893&amp;" lt. Liftbericht (Fach "&amp;X893&amp;" Stk); ",IF(CA893=1,"Gebinde geschätzt ("&amp;T893&amp;"); ",IF(BZ893=1,"Lose – Tablare geschätzt; ","")))&amp;IF(H893&gt;AV893,"Überbestand "&amp;ROUND(H893-AV893,0)&amp;" Stk / CHF "&amp;ROUND((H893-AV893)*G893,0)&amp;"; ","")&amp;IF(AND(CH893=1,CI893&lt;CJ893),"MAX &lt; MB+LG; ","")&amp;IF(AND(CP893&gt;0,CO893*10&gt;CP893),"zu hoch für Tablar; ","")&amp;IF(AND(BV893=0,OR(CH893=1,AA893&lt;&gt;"",U893&lt;&gt;"",V893&lt;&gt;"",AB893&lt;&gt;"")),"manuell übersteuert; ","")&amp;IF(AND(BZ893=0,R893=0),"Gebinde unbekannt / Stellmass fehlt; ","")&amp;IF(AND(BZ893=0,N(V893)&lt;=0,N(Q893)&lt;=0),"Menge pro Gebinde fehlt (Ist = 1 Gebinde); ","")&amp;BU893)</f>
        <v>negativer Bestand (Export -14); Überbestand 24 Stk / CHF 53; </v>
      </c>
      <c r="BN893" s="48"/>
      <c r="BO893" s="48"/>
      <c r="BP893" s="55"/>
      <c r="BQ893" s="50" t="n">
        <v>-14</v>
      </c>
      <c r="BR893" s="50" t="n">
        <v>48</v>
      </c>
      <c r="BS893" s="49" t="n">
        <v>-30.8</v>
      </c>
      <c r="BT893" s="50" t="n">
        <v>11</v>
      </c>
      <c r="BU893" s="48"/>
      <c r="BV893" s="53" t="n">
        <v>0</v>
      </c>
      <c r="BW893" s="53" t="n">
        <v>893</v>
      </c>
      <c r="BX893" s="48" t="str">
        <f aca="false">IF(U893&lt;&gt;"",UPPER(TRIM(U893)),IF(CA893=1,UPPER(VLOOKUP(T893,Parameter!$I$27:$K$29,2,0)),IF(P893="","LOSE",P893)))</f>
        <v>S22</v>
      </c>
      <c r="BY893" s="50" t="n">
        <f aca="false">IF(BX893="LOSE",1,IF(N(V893)&gt;0,V893,IF(CA893=1,MAX(1,N(VLOOKUP(T893,Parameter!$I$27:$K$29,3,0)),H893,N(N893)),IF(N(Q893)&gt;0,Q893,MAX(1,H893)))))</f>
        <v>21</v>
      </c>
      <c r="BZ893" s="53" t="n">
        <f aca="false">IF(BX893="LOSE",1,0)</f>
        <v>0</v>
      </c>
      <c r="CA893" s="53" t="n">
        <f aca="false">IF(AND(U893="",OR(P893="",P893="LOSE"),T893&lt;&gt;"",N(S893)&lt;=0,ISNUMBER(MATCH(T893,Parameter!$I$27:$I$29,0))),1,0)</f>
        <v>0</v>
      </c>
      <c r="CB893" s="53" t="n">
        <f aca="false">IF(CQ893&gt;0,INDEX(Parameter!$H$5:$H$7,W893)/INDEX(Parameter!$E$5:$E$7,W893),IF(AND(BZ893=0,N(IFERROR(VLOOKUP(BX893,'Gebinde-Kategorie'!$A$5:$N$45,14,0),0))&gt;0),VLOOKUP(BX893,'Gebinde-Kategorie'!$A$5:$N$45,14,0)*10+Parameter!$M$23,Parameter!$M$24))</f>
        <v>155</v>
      </c>
      <c r="CC893" s="48" t="str">
        <f aca="false">IF(AND(Parameter!$B$19="Ja",E893&lt;&gt;"",ISNUMBER(MATCH(E893,Parameter!$I$35:$I$52,0))),VLOOKUP(E893,Parameter!$I$35:$J$52,2,0),IFERROR(VLOOKUP(D893,Parameter!$A$35:$C$64,2,0),"Nein"))</f>
        <v>2+3</v>
      </c>
      <c r="CD893" s="52" t="n">
        <f aca="false">IF(BZ893=0,0,IF(N(S893)&gt;0,S893,IFERROR(VLOOKUP(D893,Parameter!$A$35:$C$64,3,0)+0,0)))</f>
        <v>0</v>
      </c>
      <c r="CE893" s="48" t="n">
        <f aca="false">IF(AA893&lt;&gt;"",AA893,Z893)</f>
        <v>3</v>
      </c>
      <c r="CF893" s="48" t="str">
        <f aca="false">IF(OR(CE893=1,CE893=2,CE893=3),IF(Parameter!$E$27="Ja","LIFT",IF(CE893=1,"L1","L23")),IF(CE893="Aussen","Aussen","-"))</f>
        <v>LIFT</v>
      </c>
      <c r="CG893" s="59" t="n">
        <f aca="false">IF(N(AB893)&gt;0,AB893,0)</f>
        <v>0</v>
      </c>
      <c r="CH893" s="53" t="n">
        <f aca="false">IF(ISNUMBER(AE893),1,0)</f>
        <v>0</v>
      </c>
      <c r="CI893" s="50" t="n">
        <f aca="false">N(AE893)</f>
        <v>0</v>
      </c>
      <c r="CJ893" s="50" t="n">
        <f aca="false">N(M893)+N(N893)</f>
        <v>10</v>
      </c>
      <c r="CK893" s="50" t="n">
        <f aca="false">N(M893)</f>
        <v>0</v>
      </c>
      <c r="CL893" s="50" t="n">
        <f aca="false">N(N893)</f>
        <v>10</v>
      </c>
      <c r="CM893" s="50" t="n">
        <f aca="false">ROUNDUP(H893/BY893,0)</f>
        <v>2</v>
      </c>
      <c r="CN893" s="50" t="n">
        <f aca="false">ROUNDUP(CI893/BY893,0)</f>
        <v>0</v>
      </c>
      <c r="CO893" s="53" t="n">
        <f aca="false">IF(BZ893=1,0,IFERROR(VLOOKUP(BX893,'Gebinde-Kategorie'!$A$5:$N$45,5,0)+0,0))</f>
        <v>8</v>
      </c>
      <c r="CP893" s="53" t="n">
        <f aca="false">IFERROR(IF(OR(CE893=1,CE893=2,CE893=3),N(INDEX(Parameter!$I$5:$I$7,CE893)),0),0)</f>
        <v>0</v>
      </c>
      <c r="CQ893" s="52" t="n">
        <f aca="false">IF(AND(Parameter!$B$21="Ja",ISNUMBER(W893),N(X893)&gt;0),IFERROR(N(INDEX(Parameter!$L$5:$L$7,W893))*INDEX(Parameter!$E$5:$E$7,W893)*X893/SUMIFS($X$7:$X$1843,$W$7:$W$1843,W893),0),0)</f>
        <v>0</v>
      </c>
    </row>
    <row r="894" customFormat="false" ht="15" hidden="false" customHeight="false" outlineLevel="0" collapsed="false">
      <c r="A894" s="48" t="s">
        <v>1695</v>
      </c>
      <c r="B894" s="48" t="s">
        <v>1696</v>
      </c>
      <c r="C894" s="48" t="s">
        <v>173</v>
      </c>
      <c r="D894" s="48" t="s">
        <v>193</v>
      </c>
      <c r="E894" s="48"/>
      <c r="F894" s="48" t="s">
        <v>227</v>
      </c>
      <c r="G894" s="49" t="n">
        <v>0.24</v>
      </c>
      <c r="H894" s="50" t="n">
        <f aca="false">MAX(0,IF(AND(Parameter!$B$21="Ja",ISNUMBER(Y894)),Y894,IF(Parameter!$B$20="Jahresanfang 2025 + Export",BR894+BQ894,BQ894)))</f>
        <v>771</v>
      </c>
      <c r="I894" s="50" t="n">
        <f aca="false">H894*G894</f>
        <v>185.04</v>
      </c>
      <c r="J894" s="50" t="n">
        <f aca="false">BT894*Parameter!$B$18</f>
        <v>0</v>
      </c>
      <c r="K894" s="51" t="n">
        <v>900</v>
      </c>
      <c r="L894" s="52" t="n">
        <v>0</v>
      </c>
      <c r="M894" s="50" t="n">
        <v>1</v>
      </c>
      <c r="N894" s="50" t="n">
        <v>1</v>
      </c>
      <c r="O894" s="53" t="n">
        <v>21</v>
      </c>
      <c r="P894" s="48" t="s">
        <v>311</v>
      </c>
      <c r="Q894" s="50" t="n">
        <v>400</v>
      </c>
      <c r="R894" s="53" t="n">
        <f aca="false">IF(BZ894=1,0,IFERROR(VLOOKUP(BX894,'Gebinde-Kategorie'!$A$5:$N$45,13,0)+0,0))</f>
        <v>26</v>
      </c>
      <c r="S894" s="54"/>
      <c r="T894" s="55"/>
      <c r="U894" s="55"/>
      <c r="V894" s="55"/>
      <c r="W894" s="48"/>
      <c r="X894" s="50"/>
      <c r="Y894" s="50"/>
      <c r="Z894" s="48" t="n">
        <f aca="false">IF(A894="","",IF(AND(Parameter!$B$21="Ja",ISNUMBER(W894)),W894,IF(CC894="2+3",IF(ISNUMBER(SEARCH("grosser Artikel",BU894)),2,IFERROR(VLOOKUP(BX894,Parameter!$F$35:$G$64,2,0),2)),IF(OR(CC894="Nein",CC894=""),"-",CC894))))</f>
        <v>3</v>
      </c>
      <c r="AA894" s="55"/>
      <c r="AB894" s="56"/>
      <c r="AC894" s="50" t="n">
        <f aca="false">AV894</f>
        <v>2</v>
      </c>
      <c r="AD894" s="50" t="n">
        <f aca="false">MAX(AV894,H894)</f>
        <v>771</v>
      </c>
      <c r="AE894" s="57"/>
      <c r="AF894" s="50" t="n">
        <f aca="false">IF(LEFT(Cockpit!$C$5,1)="A",H894,IF(Parameter!$E$30="MAX-Bestand",IF(CH894=1,CI894,IF(LEFT(Cockpit!$C$5,1)="B",AL894,MAX(AL894,H894))),ROUNDUP(AJ894,0)))</f>
        <v>771</v>
      </c>
      <c r="AG894" s="50" t="n">
        <f aca="false">IF(BZ894=1,0,ROUNDUP(AF894/BY894,0))</f>
        <v>2</v>
      </c>
      <c r="AH894" s="52" t="n">
        <f aca="false">IF(CQ894&gt;0,CQ894*MAX(1,AF894/X894),IF(BZ894=1,IF(AF894&lt;=0,0,CD894*MAX(1,IF(H894&gt;0,AF894/H894,1))),IF(R894&gt;0,AG894/R894,0))/MAX(0.1,N(Parameter!$M$21)))</f>
        <v>0.0769230769230769</v>
      </c>
      <c r="AI894" s="50" t="n">
        <f aca="false">AH894*CB894</f>
        <v>11.9230769230769</v>
      </c>
      <c r="AJ894" s="51" t="n">
        <f aca="false">IF(LEFT(Cockpit!$C$5,1)="A",H894,IF(CH894=1,(CK894+CI894)/2,IF(LEFT(Cockpit!$C$5,1)="B",(CK894+AL894)/2,MAX((CK894+AL894)/2,H894))))</f>
        <v>771</v>
      </c>
      <c r="AK894" s="50" t="n">
        <f aca="false">AJ894*G894</f>
        <v>185.04</v>
      </c>
      <c r="AL894" s="50" t="n">
        <f aca="false">ROUNDUP(CK894+MAX(CL894,2*(J894/IF(CG894&gt;0,CG894,MAX(0.1,N(Cockpit!$C$6)))-CK894)),0)</f>
        <v>2</v>
      </c>
      <c r="AM894" s="51" t="n">
        <f aca="false">IF(AI894&gt;0,J894/AI894,-1)</f>
        <v>0</v>
      </c>
      <c r="AN894" s="51" t="n">
        <f aca="false">IF(AND(OR(CF894="L1",CF894="L23",CF894="LIFT"),AI894&gt;0),SUMIFS($AI$7:$AI$1843,$CF$7:$CF$1843,CF894,$AM$7:$AM$1843,"&gt;"&amp;AM894)+SUMIFS($AI$7:$AI$1843,$CF$7:$CF$1843,CF894,$AM$7:$AM$1843,AM894,$BW$7:$BW$1843,"&lt;="&amp;BW894),"")</f>
        <v>28834.4305710768</v>
      </c>
      <c r="AO894" s="58" t="n">
        <f aca="false">IF(AN894="",0,MAX(0,MIN(1,(IF(CF894="L1",Parameter!$H$5,IF(CF894="L23",Parameter!$H$6+Parameter!$H$7,Parameter!$H$5+Parameter!$H$6+Parameter!$H$7))-(AN894-AI894))/AI894)))</f>
        <v>1</v>
      </c>
      <c r="AP894" s="50" t="n">
        <f aca="false">IF(LEFT(Cockpit!$I$5,1)="A",H894,IF(Parameter!$E$30="MAX-Bestand",IF(CH894=1,CI894,IF(LEFT(Cockpit!$I$5,1)="B",AV894,MAX(AV894,H894))),ROUNDUP(AT894,0)))</f>
        <v>771</v>
      </c>
      <c r="AQ894" s="50" t="n">
        <f aca="false">IF(BZ894=1,0,ROUNDUP(AP894/BY894,0))</f>
        <v>2</v>
      </c>
      <c r="AR894" s="52" t="n">
        <f aca="false">IF(CQ894&gt;0,CQ894*MAX(1,AP894/X894),IF(BZ894=1,IF(AP894&lt;=0,0,CD894*MAX(1,IF(H894&gt;0,AP894/H894,1))),IF(R894&gt;0,AQ894/R894,0))/MAX(0.1,N(Parameter!$M$21)))</f>
        <v>0.0769230769230769</v>
      </c>
      <c r="AS894" s="50" t="n">
        <f aca="false">AR894*CB894</f>
        <v>11.9230769230769</v>
      </c>
      <c r="AT894" s="51" t="n">
        <f aca="false">IF(LEFT(Cockpit!$I$5,1)="A",H894,IF(CH894=1,(CK894+CI894)/2,IF(LEFT(Cockpit!$I$5,1)="B",(CK894+AV894)/2,MAX((CK894+AV894)/2,H894))))</f>
        <v>771</v>
      </c>
      <c r="AU894" s="50" t="n">
        <f aca="false">AT894*G894</f>
        <v>185.04</v>
      </c>
      <c r="AV894" s="50" t="n">
        <f aca="false">ROUNDUP(CK894+MAX(CL894,2*(J894/IF(CG894&gt;0,CG894,MAX(0.1,N(Cockpit!$I$6)))-CK894)),0)</f>
        <v>2</v>
      </c>
      <c r="AW894" s="51" t="n">
        <f aca="false">IF(AS894&gt;0,J894/AS894,-1)</f>
        <v>0</v>
      </c>
      <c r="AX894" s="51" t="n">
        <f aca="false">IF(AND(OR(CF894="L1",CF894="L23",CF894="LIFT"),AS894&gt;0),SUMIFS($AS$7:$AS$1843,$CF$7:$CF$1843,CF894,$AW$7:$AW$1843,"&gt;"&amp;AW894)+SUMIFS($AS$7:$AS$1843,$CF$7:$CF$1843,CF894,$AW$7:$AW$1843,AW894,$BW$7:$BW$1843,"&lt;="&amp;BW894),"")</f>
        <v>34466.5943223443</v>
      </c>
      <c r="AY894" s="58" t="n">
        <f aca="false">IF(AX894="",0,MAX(0,MIN(1,(IF(CF894="L1",Parameter!$H$5,IF(CF894="L23",Parameter!$H$6+Parameter!$H$7,Parameter!$H$5+Parameter!$H$6+Parameter!$H$7))-(AX894-AS894))/AS894)))</f>
        <v>1</v>
      </c>
      <c r="AZ894" s="50" t="n">
        <f aca="false">IF(LEFT(Cockpit!$O$5,1)="A",H894,IF(Parameter!$E$30="MAX-Bestand",IF(CH894=1,CI894,IF(LEFT(Cockpit!$O$5,1)="B",BF894,MAX(BF894,H894))),ROUNDUP(BD894,0)))</f>
        <v>2</v>
      </c>
      <c r="BA894" s="50" t="n">
        <f aca="false">IF(BZ894=1,0,ROUNDUP(AZ894/BY894,0))</f>
        <v>1</v>
      </c>
      <c r="BB894" s="52" t="n">
        <f aca="false">IF(CQ894&gt;0,CQ894*MAX(1,AZ894/X894),IF(BZ894=1,IF(AZ894&lt;=0,0,CD894*MAX(1,IF(H894&gt;0,AZ894/H894,1))),IF(R894&gt;0,BA894/R894,0))/MAX(0.1,N(Parameter!$M$21)))</f>
        <v>0.0384615384615385</v>
      </c>
      <c r="BC894" s="50" t="n">
        <f aca="false">BB894*CB894</f>
        <v>5.96153846153846</v>
      </c>
      <c r="BD894" s="51" t="n">
        <f aca="false">IF(LEFT(Cockpit!$O$5,1)="A",H894,IF(CH894=1,(CK894+CI894)/2,IF(LEFT(Cockpit!$O$5,1)="B",(CK894+BF894)/2,MAX((CK894+BF894)/2,H894))))</f>
        <v>1.5</v>
      </c>
      <c r="BE894" s="50" t="n">
        <f aca="false">BD894*G894</f>
        <v>0.36</v>
      </c>
      <c r="BF894" s="50" t="n">
        <f aca="false">ROUNDUP(CK894+MAX(CL894,2*(J894/IF(CG894&gt;0,CG894,MAX(0.1,N(Cockpit!$O$6)))-CK894)),0)</f>
        <v>2</v>
      </c>
      <c r="BG894" s="51" t="n">
        <f aca="false">IF(BC894&gt;0,J894/BC894,-1)</f>
        <v>0</v>
      </c>
      <c r="BH894" s="51" t="n">
        <f aca="false">IF(AND(OR(CF894="L1",CF894="L23",CF894="LIFT"),BC894&gt;0),SUMIFS($BC$7:$BC$1843,$CF$7:$CF$1843,CF894,$BG$7:$BG$1843,"&gt;"&amp;BG894)+SUMIFS($BC$7:$BC$1843,$CF$7:$CF$1843,CF894,$BG$7:$BG$1843,BG894,$BW$7:$BW$1843,"&lt;="&amp;BW894),"")</f>
        <v>28498.2004330415</v>
      </c>
      <c r="BI894" s="58" t="n">
        <f aca="false">IF(BH894="",0,MAX(0,MIN(1,(IF(CF894="L1",Parameter!$H$5,IF(CF894="L23",Parameter!$H$6+Parameter!$H$7,Parameter!$H$5+Parameter!$H$6+Parameter!$H$7))-(BH894-BC894))/BC894)))</f>
        <v>1</v>
      </c>
      <c r="BJ894" s="48" t="str">
        <f aca="false">IF(AI894&lt;=0,"",IF(CF894="Aussen","Aussenlager",IF(CF894="-","Nicht im Lift",IF(AO894&gt;=1,"Lift",IF(AO894&lt;=0,"Aussenlager","teilweise")))))</f>
        <v>Lift</v>
      </c>
      <c r="BK894" s="48" t="str">
        <f aca="false">IF(AS894&lt;=0,"",IF(CF894="Aussen","Aussenlager",IF(CF894="-","Nicht im Lift",IF(AY894&gt;=1,"Lift",IF(AY894&lt;=0,"Aussenlager","teilweise")))))</f>
        <v>Lift</v>
      </c>
      <c r="BL894" s="48" t="str">
        <f aca="false">IF(BC894&lt;=0,"",IF(CF894="Aussen","Aussenlager",IF(CF894="-","Nicht im Lift",IF(BI894&gt;=1,"Lift",IF(BI894&lt;=0,"Aussenlager","teilweise")))))</f>
        <v>Lift</v>
      </c>
      <c r="BM894" s="48" t="str">
        <f aca="false">IF(A894="","",IF(BV894=1,"Neu; ","")&amp;IF(AND(BV894=0,BQ894&lt;0),"negativer Bestand (Export "&amp;BQ894&amp;"); ","")&amp;IF(J894&lt;=0,"Kein Verbrauch; ","")&amp;IF(CQ894&gt;0,"Lift "&amp;W894&amp;" lt. Liftbericht (Fach "&amp;X894&amp;" Stk); ",IF(CA894=1,"Gebinde geschätzt ("&amp;T894&amp;"); ",IF(BZ894=1,"Lose – Tablare geschätzt; ","")))&amp;IF(H894&gt;AV894,"Überbestand "&amp;ROUND(H894-AV894,0)&amp;" Stk / CHF "&amp;ROUND((H894-AV894)*G894,0)&amp;"; ","")&amp;IF(AND(CH894=1,CI894&lt;CJ894),"MAX &lt; MB+LG; ","")&amp;IF(AND(CP894&gt;0,CO894*10&gt;CP894),"zu hoch für Tablar; ","")&amp;IF(AND(BV894=0,OR(CH894=1,AA894&lt;&gt;"",U894&lt;&gt;"",V894&lt;&gt;"",AB894&lt;&gt;"")),"manuell übersteuert; ","")&amp;IF(AND(BZ894=0,R894=0),"Gebinde unbekannt / Stellmass fehlt; ","")&amp;IF(AND(BZ894=0,N(V894)&lt;=0,N(Q894)&lt;=0),"Menge pro Gebinde fehlt (Ist = 1 Gebinde); ","")&amp;BU894)</f>
        <v>negativer Bestand (Export -129); Kein Verbrauch; Überbestand 769 Stk / CHF 185; Handlager</v>
      </c>
      <c r="BN894" s="48"/>
      <c r="BO894" s="48"/>
      <c r="BP894" s="55"/>
      <c r="BQ894" s="50" t="n">
        <v>-129</v>
      </c>
      <c r="BR894" s="50" t="n">
        <v>900</v>
      </c>
      <c r="BS894" s="49" t="n">
        <v>-30.96</v>
      </c>
      <c r="BT894" s="50" t="n">
        <v>0</v>
      </c>
      <c r="BU894" s="48" t="s">
        <v>904</v>
      </c>
      <c r="BV894" s="53" t="n">
        <v>0</v>
      </c>
      <c r="BW894" s="53" t="n">
        <v>894</v>
      </c>
      <c r="BX894" s="48" t="str">
        <f aca="false">IF(U894&lt;&gt;"",UPPER(TRIM(U894)),IF(CA894=1,UPPER(VLOOKUP(T894,Parameter!$I$27:$K$29,2,0)),IF(P894="","LOSE",P894)))</f>
        <v>S51</v>
      </c>
      <c r="BY894" s="50" t="n">
        <f aca="false">IF(BX894="LOSE",1,IF(N(V894)&gt;0,V894,IF(CA894=1,MAX(1,N(VLOOKUP(T894,Parameter!$I$27:$K$29,3,0)),H894,N(N894)),IF(N(Q894)&gt;0,Q894,MAX(1,H894)))))</f>
        <v>400</v>
      </c>
      <c r="BZ894" s="53" t="n">
        <f aca="false">IF(BX894="LOSE",1,0)</f>
        <v>0</v>
      </c>
      <c r="CA894" s="53" t="n">
        <f aca="false">IF(AND(U894="",OR(P894="",P894="LOSE"),T894&lt;&gt;"",N(S894)&lt;=0,ISNUMBER(MATCH(T894,Parameter!$I$27:$I$29,0))),1,0)</f>
        <v>0</v>
      </c>
      <c r="CB894" s="53" t="n">
        <f aca="false">IF(CQ894&gt;0,INDEX(Parameter!$H$5:$H$7,W894)/INDEX(Parameter!$E$5:$E$7,W894),IF(AND(BZ894=0,N(IFERROR(VLOOKUP(BX894,'Gebinde-Kategorie'!$A$5:$N$45,14,0),0))&gt;0),VLOOKUP(BX894,'Gebinde-Kategorie'!$A$5:$N$45,14,0)*10+Parameter!$M$23,Parameter!$M$24))</f>
        <v>155</v>
      </c>
      <c r="CC894" s="48" t="str">
        <f aca="false">IF(AND(Parameter!$B$19="Ja",E894&lt;&gt;"",ISNUMBER(MATCH(E894,Parameter!$I$35:$I$52,0))),VLOOKUP(E894,Parameter!$I$35:$J$52,2,0),IFERROR(VLOOKUP(D894,Parameter!$A$35:$C$64,2,0),"Nein"))</f>
        <v>2+3</v>
      </c>
      <c r="CD894" s="52" t="n">
        <f aca="false">IF(BZ894=0,0,IF(N(S894)&gt;0,S894,IFERROR(VLOOKUP(D894,Parameter!$A$35:$C$64,3,0)+0,0)))</f>
        <v>0</v>
      </c>
      <c r="CE894" s="48" t="n">
        <f aca="false">IF(AA894&lt;&gt;"",AA894,Z894)</f>
        <v>3</v>
      </c>
      <c r="CF894" s="48" t="str">
        <f aca="false">IF(OR(CE894=1,CE894=2,CE894=3),IF(Parameter!$E$27="Ja","LIFT",IF(CE894=1,"L1","L23")),IF(CE894="Aussen","Aussen","-"))</f>
        <v>LIFT</v>
      </c>
      <c r="CG894" s="59" t="n">
        <f aca="false">IF(N(AB894)&gt;0,AB894,0)</f>
        <v>0</v>
      </c>
      <c r="CH894" s="53" t="n">
        <f aca="false">IF(ISNUMBER(AE894),1,0)</f>
        <v>0</v>
      </c>
      <c r="CI894" s="50" t="n">
        <f aca="false">N(AE894)</f>
        <v>0</v>
      </c>
      <c r="CJ894" s="50" t="n">
        <f aca="false">N(M894)+N(N894)</f>
        <v>2</v>
      </c>
      <c r="CK894" s="50" t="n">
        <f aca="false">N(M894)</f>
        <v>1</v>
      </c>
      <c r="CL894" s="50" t="n">
        <f aca="false">N(N894)</f>
        <v>1</v>
      </c>
      <c r="CM894" s="50" t="n">
        <f aca="false">ROUNDUP(H894/BY894,0)</f>
        <v>2</v>
      </c>
      <c r="CN894" s="50" t="n">
        <f aca="false">ROUNDUP(CI894/BY894,0)</f>
        <v>0</v>
      </c>
      <c r="CO894" s="53" t="n">
        <f aca="false">IF(BZ894=1,0,IFERROR(VLOOKUP(BX894,'Gebinde-Kategorie'!$A$5:$N$45,5,0)+0,0))</f>
        <v>11</v>
      </c>
      <c r="CP894" s="53" t="n">
        <f aca="false">IFERROR(IF(OR(CE894=1,CE894=2,CE894=3),N(INDEX(Parameter!$I$5:$I$7,CE894)),0),0)</f>
        <v>0</v>
      </c>
      <c r="CQ894" s="52" t="n">
        <f aca="false">IF(AND(Parameter!$B$21="Ja",ISNUMBER(W894),N(X894)&gt;0),IFERROR(N(INDEX(Parameter!$L$5:$L$7,W894))*INDEX(Parameter!$E$5:$E$7,W894)*X894/SUMIFS($X$7:$X$1843,$W$7:$W$1843,W894),0),0)</f>
        <v>0</v>
      </c>
    </row>
    <row r="895" customFormat="false" ht="15" hidden="false" customHeight="false" outlineLevel="0" collapsed="false">
      <c r="A895" s="48" t="s">
        <v>1697</v>
      </c>
      <c r="B895" s="48" t="s">
        <v>477</v>
      </c>
      <c r="C895" s="48" t="s">
        <v>173</v>
      </c>
      <c r="D895" s="48" t="s">
        <v>193</v>
      </c>
      <c r="E895" s="48" t="s">
        <v>194</v>
      </c>
      <c r="F895" s="48" t="s">
        <v>227</v>
      </c>
      <c r="G895" s="49" t="n">
        <v>0.11</v>
      </c>
      <c r="H895" s="50" t="n">
        <f aca="false">MAX(0,IF(AND(Parameter!$B$21="Ja",ISNUMBER(Y895)),Y895,IF(Parameter!$B$20="Jahresanfang 2025 + Export",BR895+BQ895,BQ895)))</f>
        <v>203</v>
      </c>
      <c r="I895" s="50" t="n">
        <f aca="false">H895*G895</f>
        <v>22.33</v>
      </c>
      <c r="J895" s="50" t="n">
        <f aca="false">BT895*Parameter!$B$18</f>
        <v>524</v>
      </c>
      <c r="K895" s="51" t="n">
        <v>485.5</v>
      </c>
      <c r="L895" s="52" t="n">
        <v>1.07929969104017</v>
      </c>
      <c r="M895" s="50" t="n">
        <v>20</v>
      </c>
      <c r="N895" s="50" t="n">
        <v>525</v>
      </c>
      <c r="O895" s="53" t="n">
        <v>14</v>
      </c>
      <c r="P895" s="48" t="s">
        <v>430</v>
      </c>
      <c r="Q895" s="50" t="n">
        <v>831</v>
      </c>
      <c r="R895" s="53" t="n">
        <f aca="false">IF(BZ895=1,0,IFERROR(VLOOKUP(BX895,'Gebinde-Kategorie'!$A$5:$N$45,13,0)+0,0))</f>
        <v>104</v>
      </c>
      <c r="S895" s="54"/>
      <c r="T895" s="55"/>
      <c r="U895" s="55"/>
      <c r="V895" s="55"/>
      <c r="W895" s="48"/>
      <c r="X895" s="50"/>
      <c r="Y895" s="50"/>
      <c r="Z895" s="48" t="n">
        <f aca="false">IF(A895="","",IF(AND(Parameter!$B$21="Ja",ISNUMBER(W895)),W895,IF(CC895="2+3",IF(ISNUMBER(SEARCH("grosser Artikel",BU895)),2,IFERROR(VLOOKUP(BX895,Parameter!$F$35:$G$64,2,0),2)),IF(OR(CC895="Nein",CC895=""),"-",CC895))))</f>
        <v>3</v>
      </c>
      <c r="AA895" s="55"/>
      <c r="AB895" s="56"/>
      <c r="AC895" s="50" t="n">
        <f aca="false">AV895</f>
        <v>545</v>
      </c>
      <c r="AD895" s="50" t="n">
        <f aca="false">MAX(AV895,H895)</f>
        <v>545</v>
      </c>
      <c r="AE895" s="57"/>
      <c r="AF895" s="50" t="n">
        <f aca="false">IF(LEFT(Cockpit!$C$5,1)="A",H895,IF(Parameter!$E$30="MAX-Bestand",IF(CH895=1,CI895,IF(LEFT(Cockpit!$C$5,1)="B",AL895,MAX(AL895,H895))),ROUNDUP(AJ895,0)))</f>
        <v>203</v>
      </c>
      <c r="AG895" s="50" t="n">
        <f aca="false">IF(BZ895=1,0,ROUNDUP(AF895/BY895,0))</f>
        <v>1</v>
      </c>
      <c r="AH895" s="52" t="n">
        <f aca="false">IF(CQ895&gt;0,CQ895*MAX(1,AF895/X895),IF(BZ895=1,IF(AF895&lt;=0,0,CD895*MAX(1,IF(H895&gt;0,AF895/H895,1))),IF(R895&gt;0,AG895/R895,0))/MAX(0.1,N(Parameter!$M$21)))</f>
        <v>0.00961538461538462</v>
      </c>
      <c r="AI895" s="50" t="n">
        <f aca="false">AH895*CB895</f>
        <v>1.49038461538462</v>
      </c>
      <c r="AJ895" s="51" t="n">
        <f aca="false">IF(LEFT(Cockpit!$C$5,1)="A",H895,IF(CH895=1,(CK895+CI895)/2,IF(LEFT(Cockpit!$C$5,1)="B",(CK895+AL895)/2,MAX((CK895+AL895)/2,H895))))</f>
        <v>203</v>
      </c>
      <c r="AK895" s="50" t="n">
        <f aca="false">AJ895*G895</f>
        <v>22.33</v>
      </c>
      <c r="AL895" s="50" t="n">
        <f aca="false">ROUNDUP(CK895+MAX(CL895,2*(J895/IF(CG895&gt;0,CG895,MAX(0.1,N(Cockpit!$C$6)))-CK895)),0)</f>
        <v>545</v>
      </c>
      <c r="AM895" s="51" t="n">
        <f aca="false">IF(AI895&gt;0,J895/AI895,-1)</f>
        <v>351.587096774194</v>
      </c>
      <c r="AN895" s="51" t="n">
        <f aca="false">IF(AND(OR(CF895="L1",CF895="L23",CF895="LIFT"),AI895&gt;0),SUMIFS($AI$7:$AI$1843,$CF$7:$CF$1843,CF895,$AM$7:$AM$1843,"&gt;"&amp;AM895)+SUMIFS($AI$7:$AI$1843,$CF$7:$CF$1843,CF895,$AM$7:$AM$1843,AM895,$BW$7:$BW$1843,"&lt;="&amp;BW895),"")</f>
        <v>219.362637362637</v>
      </c>
      <c r="AO895" s="58" t="n">
        <f aca="false">IF(AN895="",0,MAX(0,MIN(1,(IF(CF895="L1",Parameter!$H$5,IF(CF895="L23",Parameter!$H$6+Parameter!$H$7,Parameter!$H$5+Parameter!$H$6+Parameter!$H$7))-(AN895-AI895))/AI895)))</f>
        <v>1</v>
      </c>
      <c r="AP895" s="50" t="n">
        <f aca="false">IF(LEFT(Cockpit!$I$5,1)="A",H895,IF(Parameter!$E$30="MAX-Bestand",IF(CH895=1,CI895,IF(LEFT(Cockpit!$I$5,1)="B",AV895,MAX(AV895,H895))),ROUNDUP(AT895,0)))</f>
        <v>283</v>
      </c>
      <c r="AQ895" s="50" t="n">
        <f aca="false">IF(BZ895=1,0,ROUNDUP(AP895/BY895,0))</f>
        <v>1</v>
      </c>
      <c r="AR895" s="52" t="n">
        <f aca="false">IF(CQ895&gt;0,CQ895*MAX(1,AP895/X895),IF(BZ895=1,IF(AP895&lt;=0,0,CD895*MAX(1,IF(H895&gt;0,AP895/H895,1))),IF(R895&gt;0,AQ895/R895,0))/MAX(0.1,N(Parameter!$M$21)))</f>
        <v>0.00961538461538462</v>
      </c>
      <c r="AS895" s="50" t="n">
        <f aca="false">AR895*CB895</f>
        <v>1.49038461538462</v>
      </c>
      <c r="AT895" s="51" t="n">
        <f aca="false">IF(LEFT(Cockpit!$I$5,1)="A",H895,IF(CH895=1,(CK895+CI895)/2,IF(LEFT(Cockpit!$I$5,1)="B",(CK895+AV895)/2,MAX((CK895+AV895)/2,H895))))</f>
        <v>282.5</v>
      </c>
      <c r="AU895" s="50" t="n">
        <f aca="false">AT895*G895</f>
        <v>31.075</v>
      </c>
      <c r="AV895" s="50" t="n">
        <f aca="false">ROUNDUP(CK895+MAX(CL895,2*(J895/IF(CG895&gt;0,CG895,MAX(0.1,N(Cockpit!$I$6)))-CK895)),0)</f>
        <v>545</v>
      </c>
      <c r="AW895" s="51" t="n">
        <f aca="false">IF(AS895&gt;0,J895/AS895,-1)</f>
        <v>351.587096774194</v>
      </c>
      <c r="AX895" s="51" t="n">
        <f aca="false">IF(AND(OR(CF895="L1",CF895="L23",CF895="LIFT"),AS895&gt;0),SUMIFS($AS$7:$AS$1843,$CF$7:$CF$1843,CF895,$AW$7:$AW$1843,"&gt;"&amp;AW895)+SUMIFS($AS$7:$AS$1843,$CF$7:$CF$1843,CF895,$AW$7:$AW$1843,AW895,$BW$7:$BW$1843,"&lt;="&amp;BW895),"")</f>
        <v>153.578754578755</v>
      </c>
      <c r="AY895" s="58" t="n">
        <f aca="false">IF(AX895="",0,MAX(0,MIN(1,(IF(CF895="L1",Parameter!$H$5,IF(CF895="L23",Parameter!$H$6+Parameter!$H$7,Parameter!$H$5+Parameter!$H$6+Parameter!$H$7))-(AX895-AS895))/AS895)))</f>
        <v>1</v>
      </c>
      <c r="AZ895" s="50" t="n">
        <f aca="false">IF(LEFT(Cockpit!$O$5,1)="A",H895,IF(Parameter!$E$30="MAX-Bestand",IF(CH895=1,CI895,IF(LEFT(Cockpit!$O$5,1)="B",BF895,MAX(BF895,H895))),ROUNDUP(BD895,0)))</f>
        <v>283</v>
      </c>
      <c r="BA895" s="50" t="n">
        <f aca="false">IF(BZ895=1,0,ROUNDUP(AZ895/BY895,0))</f>
        <v>1</v>
      </c>
      <c r="BB895" s="52" t="n">
        <f aca="false">IF(CQ895&gt;0,CQ895*MAX(1,AZ895/X895),IF(BZ895=1,IF(AZ895&lt;=0,0,CD895*MAX(1,IF(H895&gt;0,AZ895/H895,1))),IF(R895&gt;0,BA895/R895,0))/MAX(0.1,N(Parameter!$M$21)))</f>
        <v>0.00961538461538462</v>
      </c>
      <c r="BC895" s="50" t="n">
        <f aca="false">BB895*CB895</f>
        <v>1.49038461538462</v>
      </c>
      <c r="BD895" s="51" t="n">
        <f aca="false">IF(LEFT(Cockpit!$O$5,1)="A",H895,IF(CH895=1,(CK895+CI895)/2,IF(LEFT(Cockpit!$O$5,1)="B",(CK895+BF895)/2,MAX((CK895+BF895)/2,H895))))</f>
        <v>282.5</v>
      </c>
      <c r="BE895" s="50" t="n">
        <f aca="false">BD895*G895</f>
        <v>31.075</v>
      </c>
      <c r="BF895" s="50" t="n">
        <f aca="false">ROUNDUP(CK895+MAX(CL895,2*(J895/IF(CG895&gt;0,CG895,MAX(0.1,N(Cockpit!$O$6)))-CK895)),0)</f>
        <v>545</v>
      </c>
      <c r="BG895" s="51" t="n">
        <f aca="false">IF(BC895&gt;0,J895/BC895,-1)</f>
        <v>351.587096774194</v>
      </c>
      <c r="BH895" s="51" t="n">
        <f aca="false">IF(AND(OR(CF895="L1",CF895="L23",CF895="LIFT"),BC895&gt;0),SUMIFS($BC$7:$BC$1843,$CF$7:$CF$1843,CF895,$BG$7:$BG$1843,"&gt;"&amp;BG895)+SUMIFS($BC$7:$BC$1843,$CF$7:$CF$1843,CF895,$BG$7:$BG$1843,BG895,$BW$7:$BW$1843,"&lt;="&amp;BW895),"")</f>
        <v>228.772435897436</v>
      </c>
      <c r="BI895" s="58" t="n">
        <f aca="false">IF(BH895="",0,MAX(0,MIN(1,(IF(CF895="L1",Parameter!$H$5,IF(CF895="L23",Parameter!$H$6+Parameter!$H$7,Parameter!$H$5+Parameter!$H$6+Parameter!$H$7))-(BH895-BC895))/BC895)))</f>
        <v>1</v>
      </c>
      <c r="BJ895" s="48" t="str">
        <f aca="false">IF(AI895&lt;=0,"",IF(CF895="Aussen","Aussenlager",IF(CF895="-","Nicht im Lift",IF(AO895&gt;=1,"Lift",IF(AO895&lt;=0,"Aussenlager","teilweise")))))</f>
        <v>Lift</v>
      </c>
      <c r="BK895" s="48" t="str">
        <f aca="false">IF(AS895&lt;=0,"",IF(CF895="Aussen","Aussenlager",IF(CF895="-","Nicht im Lift",IF(AY895&gt;=1,"Lift",IF(AY895&lt;=0,"Aussenlager","teilweise")))))</f>
        <v>Lift</v>
      </c>
      <c r="BL895" s="48" t="str">
        <f aca="false">IF(BC895&lt;=0,"",IF(CF895="Aussen","Aussenlager",IF(CF895="-","Nicht im Lift",IF(BI895&gt;=1,"Lift",IF(BI895&lt;=0,"Aussenlager","teilweise")))))</f>
        <v>Lift</v>
      </c>
      <c r="BM895" s="48" t="str">
        <f aca="false">IF(A895="","",IF(BV895=1,"Neu; ","")&amp;IF(AND(BV895=0,BQ895&lt;0),"negativer Bestand (Export "&amp;BQ895&amp;"); ","")&amp;IF(J895&lt;=0,"Kein Verbrauch; ","")&amp;IF(CQ895&gt;0,"Lift "&amp;W895&amp;" lt. Liftbericht (Fach "&amp;X895&amp;" Stk); ",IF(CA895=1,"Gebinde geschätzt ("&amp;T895&amp;"); ",IF(BZ895=1,"Lose – Tablare geschätzt; ","")))&amp;IF(H895&gt;AV895,"Überbestand "&amp;ROUND(H895-AV895,0)&amp;" Stk / CHF "&amp;ROUND((H895-AV895)*G895,0)&amp;"; ","")&amp;IF(AND(CH895=1,CI895&lt;CJ895),"MAX &lt; MB+LG; ","")&amp;IF(AND(CP895&gt;0,CO895*10&gt;CP895),"zu hoch für Tablar; ","")&amp;IF(AND(BV895=0,OR(CH895=1,AA895&lt;&gt;"",U895&lt;&gt;"",V895&lt;&gt;"",AB895&lt;&gt;"")),"manuell übersteuert; ","")&amp;IF(AND(BZ895=0,R895=0),"Gebinde unbekannt / Stellmass fehlt; ","")&amp;IF(AND(BZ895=0,N(V895)&lt;=0,N(Q895)&lt;=0),"Menge pro Gebinde fehlt (Ist = 1 Gebinde); ","")&amp;BU895)</f>
        <v>negativer Bestand (Export -282); </v>
      </c>
      <c r="BN895" s="48"/>
      <c r="BO895" s="48"/>
      <c r="BP895" s="55"/>
      <c r="BQ895" s="50" t="n">
        <v>-282</v>
      </c>
      <c r="BR895" s="50" t="n">
        <v>485</v>
      </c>
      <c r="BS895" s="49" t="n">
        <v>-31.0200000000001</v>
      </c>
      <c r="BT895" s="50" t="n">
        <v>524</v>
      </c>
      <c r="BU895" s="48"/>
      <c r="BV895" s="53" t="n">
        <v>0</v>
      </c>
      <c r="BW895" s="53" t="n">
        <v>895</v>
      </c>
      <c r="BX895" s="48" t="str">
        <f aca="false">IF(U895&lt;&gt;"",UPPER(TRIM(U895)),IF(CA895=1,UPPER(VLOOKUP(T895,Parameter!$I$27:$K$29,2,0)),IF(P895="","LOSE",P895)))</f>
        <v>S32</v>
      </c>
      <c r="BY895" s="50" t="n">
        <f aca="false">IF(BX895="LOSE",1,IF(N(V895)&gt;0,V895,IF(CA895=1,MAX(1,N(VLOOKUP(T895,Parameter!$I$27:$K$29,3,0)),H895,N(N895)),IF(N(Q895)&gt;0,Q895,MAX(1,H895)))))</f>
        <v>831</v>
      </c>
      <c r="BZ895" s="53" t="n">
        <f aca="false">IF(BX895="LOSE",1,0)</f>
        <v>0</v>
      </c>
      <c r="CA895" s="53" t="n">
        <f aca="false">IF(AND(U895="",OR(P895="",P895="LOSE"),T895&lt;&gt;"",N(S895)&lt;=0,ISNUMBER(MATCH(T895,Parameter!$I$27:$I$29,0))),1,0)</f>
        <v>0</v>
      </c>
      <c r="CB895" s="53" t="n">
        <f aca="false">IF(CQ895&gt;0,INDEX(Parameter!$H$5:$H$7,W895)/INDEX(Parameter!$E$5:$E$7,W895),IF(AND(BZ895=0,N(IFERROR(VLOOKUP(BX895,'Gebinde-Kategorie'!$A$5:$N$45,14,0),0))&gt;0),VLOOKUP(BX895,'Gebinde-Kategorie'!$A$5:$N$45,14,0)*10+Parameter!$M$23,Parameter!$M$24))</f>
        <v>155</v>
      </c>
      <c r="CC895" s="48" t="str">
        <f aca="false">IF(AND(Parameter!$B$19="Ja",E895&lt;&gt;"",ISNUMBER(MATCH(E895,Parameter!$I$35:$I$52,0))),VLOOKUP(E895,Parameter!$I$35:$J$52,2,0),IFERROR(VLOOKUP(D895,Parameter!$A$35:$C$64,2,0),"Nein"))</f>
        <v>2+3</v>
      </c>
      <c r="CD895" s="52" t="n">
        <f aca="false">IF(BZ895=0,0,IF(N(S895)&gt;0,S895,IFERROR(VLOOKUP(D895,Parameter!$A$35:$C$64,3,0)+0,0)))</f>
        <v>0</v>
      </c>
      <c r="CE895" s="48" t="n">
        <f aca="false">IF(AA895&lt;&gt;"",AA895,Z895)</f>
        <v>3</v>
      </c>
      <c r="CF895" s="48" t="str">
        <f aca="false">IF(OR(CE895=1,CE895=2,CE895=3),IF(Parameter!$E$27="Ja","LIFT",IF(CE895=1,"L1","L23")),IF(CE895="Aussen","Aussen","-"))</f>
        <v>LIFT</v>
      </c>
      <c r="CG895" s="59" t="n">
        <f aca="false">IF(N(AB895)&gt;0,AB895,0)</f>
        <v>0</v>
      </c>
      <c r="CH895" s="53" t="n">
        <f aca="false">IF(ISNUMBER(AE895),1,0)</f>
        <v>0</v>
      </c>
      <c r="CI895" s="50" t="n">
        <f aca="false">N(AE895)</f>
        <v>0</v>
      </c>
      <c r="CJ895" s="50" t="n">
        <f aca="false">N(M895)+N(N895)</f>
        <v>545</v>
      </c>
      <c r="CK895" s="50" t="n">
        <f aca="false">N(M895)</f>
        <v>20</v>
      </c>
      <c r="CL895" s="50" t="n">
        <f aca="false">N(N895)</f>
        <v>525</v>
      </c>
      <c r="CM895" s="50" t="n">
        <f aca="false">ROUNDUP(H895/BY895,0)</f>
        <v>1</v>
      </c>
      <c r="CN895" s="50" t="n">
        <f aca="false">ROUNDUP(CI895/BY895,0)</f>
        <v>0</v>
      </c>
      <c r="CO895" s="53" t="n">
        <f aca="false">IF(BZ895=1,0,IFERROR(VLOOKUP(BX895,'Gebinde-Kategorie'!$A$5:$N$45,5,0)+0,0))</f>
        <v>8</v>
      </c>
      <c r="CP895" s="53" t="n">
        <f aca="false">IFERROR(IF(OR(CE895=1,CE895=2,CE895=3),N(INDEX(Parameter!$I$5:$I$7,CE895)),0),0)</f>
        <v>0</v>
      </c>
      <c r="CQ895" s="52" t="n">
        <f aca="false">IF(AND(Parameter!$B$21="Ja",ISNUMBER(W895),N(X895)&gt;0),IFERROR(N(INDEX(Parameter!$L$5:$L$7,W895))*INDEX(Parameter!$E$5:$E$7,W895)*X895/SUMIFS($X$7:$X$1843,$W$7:$W$1843,W895),0),0)</f>
        <v>0</v>
      </c>
    </row>
    <row r="896" customFormat="false" ht="15" hidden="false" customHeight="false" outlineLevel="0" collapsed="false">
      <c r="A896" s="48" t="s">
        <v>1698</v>
      </c>
      <c r="B896" s="48" t="s">
        <v>733</v>
      </c>
      <c r="C896" s="48" t="s">
        <v>173</v>
      </c>
      <c r="D896" s="48" t="s">
        <v>193</v>
      </c>
      <c r="E896" s="48" t="s">
        <v>194</v>
      </c>
      <c r="F896" s="48" t="s">
        <v>227</v>
      </c>
      <c r="G896" s="49" t="n">
        <v>13.68</v>
      </c>
      <c r="H896" s="50" t="n">
        <f aca="false">MAX(0,IF(AND(Parameter!$B$21="Ja",ISNUMBER(Y896)),Y896,IF(Parameter!$B$20="Jahresanfang 2025 + Export",BR896+BQ896,BQ896)))</f>
        <v>6</v>
      </c>
      <c r="I896" s="50" t="n">
        <f aca="false">H896*G896</f>
        <v>82.08</v>
      </c>
      <c r="J896" s="50" t="n">
        <f aca="false">BT896*Parameter!$B$18</f>
        <v>9</v>
      </c>
      <c r="K896" s="51" t="n">
        <v>7</v>
      </c>
      <c r="L896" s="52" t="n">
        <v>1.28571428571429</v>
      </c>
      <c r="M896" s="50" t="n">
        <v>0</v>
      </c>
      <c r="N896" s="50" t="n">
        <v>10</v>
      </c>
      <c r="O896" s="53" t="n">
        <v>19</v>
      </c>
      <c r="P896" s="48" t="s">
        <v>430</v>
      </c>
      <c r="Q896" s="50" t="n">
        <v>18</v>
      </c>
      <c r="R896" s="53" t="n">
        <f aca="false">IF(BZ896=1,0,IFERROR(VLOOKUP(BX896,'Gebinde-Kategorie'!$A$5:$N$45,13,0)+0,0))</f>
        <v>104</v>
      </c>
      <c r="S896" s="54"/>
      <c r="T896" s="55"/>
      <c r="U896" s="55"/>
      <c r="V896" s="55"/>
      <c r="W896" s="48"/>
      <c r="X896" s="50"/>
      <c r="Y896" s="50"/>
      <c r="Z896" s="48" t="n">
        <f aca="false">IF(A896="","",IF(AND(Parameter!$B$21="Ja",ISNUMBER(W896)),W896,IF(CC896="2+3",IF(ISNUMBER(SEARCH("grosser Artikel",BU896)),2,IFERROR(VLOOKUP(BX896,Parameter!$F$35:$G$64,2,0),2)),IF(OR(CC896="Nein",CC896=""),"-",CC896))))</f>
        <v>3</v>
      </c>
      <c r="AA896" s="55"/>
      <c r="AB896" s="56"/>
      <c r="AC896" s="50" t="n">
        <f aca="false">AV896</f>
        <v>10</v>
      </c>
      <c r="AD896" s="50" t="n">
        <f aca="false">MAX(AV896,H896)</f>
        <v>10</v>
      </c>
      <c r="AE896" s="57"/>
      <c r="AF896" s="50" t="n">
        <f aca="false">IF(LEFT(Cockpit!$C$5,1)="A",H896,IF(Parameter!$E$30="MAX-Bestand",IF(CH896=1,CI896,IF(LEFT(Cockpit!$C$5,1)="B",AL896,MAX(AL896,H896))),ROUNDUP(AJ896,0)))</f>
        <v>6</v>
      </c>
      <c r="AG896" s="50" t="n">
        <f aca="false">IF(BZ896=1,0,ROUNDUP(AF896/BY896,0))</f>
        <v>1</v>
      </c>
      <c r="AH896" s="52" t="n">
        <f aca="false">IF(CQ896&gt;0,CQ896*MAX(1,AF896/X896),IF(BZ896=1,IF(AF896&lt;=0,0,CD896*MAX(1,IF(H896&gt;0,AF896/H896,1))),IF(R896&gt;0,AG896/R896,0))/MAX(0.1,N(Parameter!$M$21)))</f>
        <v>0.00961538461538462</v>
      </c>
      <c r="AI896" s="50" t="n">
        <f aca="false">AH896*CB896</f>
        <v>1.49038461538462</v>
      </c>
      <c r="AJ896" s="51" t="n">
        <f aca="false">IF(LEFT(Cockpit!$C$5,1)="A",H896,IF(CH896=1,(CK896+CI896)/2,IF(LEFT(Cockpit!$C$5,1)="B",(CK896+AL896)/2,MAX((CK896+AL896)/2,H896))))</f>
        <v>6</v>
      </c>
      <c r="AK896" s="50" t="n">
        <f aca="false">AJ896*G896</f>
        <v>82.08</v>
      </c>
      <c r="AL896" s="50" t="n">
        <f aca="false">ROUNDUP(CK896+MAX(CL896,2*(J896/IF(CG896&gt;0,CG896,MAX(0.1,N(Cockpit!$C$6)))-CK896)),0)</f>
        <v>10</v>
      </c>
      <c r="AM896" s="51" t="n">
        <f aca="false">IF(AI896&gt;0,J896/AI896,-1)</f>
        <v>6.03870967741935</v>
      </c>
      <c r="AN896" s="51" t="n">
        <f aca="false">IF(AND(OR(CF896="L1",CF896="L23",CF896="LIFT"),AI896&gt;0),SUMIFS($AI$7:$AI$1843,$CF$7:$CF$1843,CF896,$AM$7:$AM$1843,"&gt;"&amp;AM896)+SUMIFS($AI$7:$AI$1843,$CF$7:$CF$1843,CF896,$AM$7:$AM$1843,AM896,$BW$7:$BW$1843,"&lt;="&amp;BW896),"")</f>
        <v>3513.48763736264</v>
      </c>
      <c r="AO896" s="58" t="n">
        <f aca="false">IF(AN896="",0,MAX(0,MIN(1,(IF(CF896="L1",Parameter!$H$5,IF(CF896="L23",Parameter!$H$6+Parameter!$H$7,Parameter!$H$5+Parameter!$H$6+Parameter!$H$7))-(AN896-AI896))/AI896)))</f>
        <v>1</v>
      </c>
      <c r="AP896" s="50" t="n">
        <f aca="false">IF(LEFT(Cockpit!$I$5,1)="A",H896,IF(Parameter!$E$30="MAX-Bestand",IF(CH896=1,CI896,IF(LEFT(Cockpit!$I$5,1)="B",AV896,MAX(AV896,H896))),ROUNDUP(AT896,0)))</f>
        <v>6</v>
      </c>
      <c r="AQ896" s="50" t="n">
        <f aca="false">IF(BZ896=1,0,ROUNDUP(AP896/BY896,0))</f>
        <v>1</v>
      </c>
      <c r="AR896" s="52" t="n">
        <f aca="false">IF(CQ896&gt;0,CQ896*MAX(1,AP896/X896),IF(BZ896=1,IF(AP896&lt;=0,0,CD896*MAX(1,IF(H896&gt;0,AP896/H896,1))),IF(R896&gt;0,AQ896/R896,0))/MAX(0.1,N(Parameter!$M$21)))</f>
        <v>0.00961538461538462</v>
      </c>
      <c r="AS896" s="50" t="n">
        <f aca="false">AR896*CB896</f>
        <v>1.49038461538462</v>
      </c>
      <c r="AT896" s="51" t="n">
        <f aca="false">IF(LEFT(Cockpit!$I$5,1)="A",H896,IF(CH896=1,(CK896+CI896)/2,IF(LEFT(Cockpit!$I$5,1)="B",(CK896+AV896)/2,MAX((CK896+AV896)/2,H896))))</f>
        <v>6</v>
      </c>
      <c r="AU896" s="50" t="n">
        <f aca="false">AT896*G896</f>
        <v>82.08</v>
      </c>
      <c r="AV896" s="50" t="n">
        <f aca="false">ROUNDUP(CK896+MAX(CL896,2*(J896/IF(CG896&gt;0,CG896,MAX(0.1,N(Cockpit!$I$6)))-CK896)),0)</f>
        <v>10</v>
      </c>
      <c r="AW896" s="51" t="n">
        <f aca="false">IF(AS896&gt;0,J896/AS896,-1)</f>
        <v>6.03870967741935</v>
      </c>
      <c r="AX896" s="51" t="n">
        <f aca="false">IF(AND(OR(CF896="L1",CF896="L23",CF896="LIFT"),AS896&gt;0),SUMIFS($AS$7:$AS$1843,$CF$7:$CF$1843,CF896,$AW$7:$AW$1843,"&gt;"&amp;AW896)+SUMIFS($AS$7:$AS$1843,$CF$7:$CF$1843,CF896,$AW$7:$AW$1843,AW896,$BW$7:$BW$1843,"&lt;="&amp;BW896),"")</f>
        <v>4179.15155677656</v>
      </c>
      <c r="AY896" s="58" t="n">
        <f aca="false">IF(AX896="",0,MAX(0,MIN(1,(IF(CF896="L1",Parameter!$H$5,IF(CF896="L23",Parameter!$H$6+Parameter!$H$7,Parameter!$H$5+Parameter!$H$6+Parameter!$H$7))-(AX896-AS896))/AS896)))</f>
        <v>1</v>
      </c>
      <c r="AZ896" s="50" t="n">
        <f aca="false">IF(LEFT(Cockpit!$O$5,1)="A",H896,IF(Parameter!$E$30="MAX-Bestand",IF(CH896=1,CI896,IF(LEFT(Cockpit!$O$5,1)="B",BF896,MAX(BF896,H896))),ROUNDUP(BD896,0)))</f>
        <v>5</v>
      </c>
      <c r="BA896" s="50" t="n">
        <f aca="false">IF(BZ896=1,0,ROUNDUP(AZ896/BY896,0))</f>
        <v>1</v>
      </c>
      <c r="BB896" s="52" t="n">
        <f aca="false">IF(CQ896&gt;0,CQ896*MAX(1,AZ896/X896),IF(BZ896=1,IF(AZ896&lt;=0,0,CD896*MAX(1,IF(H896&gt;0,AZ896/H896,1))),IF(R896&gt;0,BA896/R896,0))/MAX(0.1,N(Parameter!$M$21)))</f>
        <v>0.00961538461538462</v>
      </c>
      <c r="BC896" s="50" t="n">
        <f aca="false">BB896*CB896</f>
        <v>1.49038461538462</v>
      </c>
      <c r="BD896" s="51" t="n">
        <f aca="false">IF(LEFT(Cockpit!$O$5,1)="A",H896,IF(CH896=1,(CK896+CI896)/2,IF(LEFT(Cockpit!$O$5,1)="B",(CK896+BF896)/2,MAX((CK896+BF896)/2,H896))))</f>
        <v>5</v>
      </c>
      <c r="BE896" s="50" t="n">
        <f aca="false">BD896*G896</f>
        <v>68.4</v>
      </c>
      <c r="BF896" s="50" t="n">
        <f aca="false">ROUNDUP(CK896+MAX(CL896,2*(J896/IF(CG896&gt;0,CG896,MAX(0.1,N(Cockpit!$O$6)))-CK896)),0)</f>
        <v>10</v>
      </c>
      <c r="BG896" s="51" t="n">
        <f aca="false">IF(BC896&gt;0,J896/BC896,-1)</f>
        <v>6.03870967741935</v>
      </c>
      <c r="BH896" s="51" t="n">
        <f aca="false">IF(AND(OR(CF896="L1",CF896="L23",CF896="LIFT"),BC896&gt;0),SUMIFS($BC$7:$BC$1843,$CF$7:$CF$1843,CF896,$BG$7:$BG$1843,"&gt;"&amp;BG896)+SUMIFS($BC$7:$BC$1843,$CF$7:$CF$1843,CF896,$BG$7:$BG$1843,BG896,$BW$7:$BW$1843,"&lt;="&amp;BW896),"")</f>
        <v>3501.73443223443</v>
      </c>
      <c r="BI896" s="58" t="n">
        <f aca="false">IF(BH896="",0,MAX(0,MIN(1,(IF(CF896="L1",Parameter!$H$5,IF(CF896="L23",Parameter!$H$6+Parameter!$H$7,Parameter!$H$5+Parameter!$H$6+Parameter!$H$7))-(BH896-BC896))/BC896)))</f>
        <v>1</v>
      </c>
      <c r="BJ896" s="48" t="str">
        <f aca="false">IF(AI896&lt;=0,"",IF(CF896="Aussen","Aussenlager",IF(CF896="-","Nicht im Lift",IF(AO896&gt;=1,"Lift",IF(AO896&lt;=0,"Aussenlager","teilweise")))))</f>
        <v>Lift</v>
      </c>
      <c r="BK896" s="48" t="str">
        <f aca="false">IF(AS896&lt;=0,"",IF(CF896="Aussen","Aussenlager",IF(CF896="-","Nicht im Lift",IF(AY896&gt;=1,"Lift",IF(AY896&lt;=0,"Aussenlager","teilweise")))))</f>
        <v>Lift</v>
      </c>
      <c r="BL896" s="48" t="str">
        <f aca="false">IF(BC896&lt;=0,"",IF(CF896="Aussen","Aussenlager",IF(CF896="-","Nicht im Lift",IF(BI896&gt;=1,"Lift",IF(BI896&lt;=0,"Aussenlager","teilweise")))))</f>
        <v>Lift</v>
      </c>
      <c r="BM896" s="48" t="str">
        <f aca="false">IF(A896="","",IF(BV896=1,"Neu; ","")&amp;IF(AND(BV896=0,BQ896&lt;0),"negativer Bestand (Export "&amp;BQ896&amp;"); ","")&amp;IF(J896&lt;=0,"Kein Verbrauch; ","")&amp;IF(CQ896&gt;0,"Lift "&amp;W896&amp;" lt. Liftbericht (Fach "&amp;X896&amp;" Stk); ",IF(CA896=1,"Gebinde geschätzt ("&amp;T896&amp;"); ",IF(BZ896=1,"Lose – Tablare geschätzt; ","")))&amp;IF(H896&gt;AV896,"Überbestand "&amp;ROUND(H896-AV896,0)&amp;" Stk / CHF "&amp;ROUND((H896-AV896)*G896,0)&amp;"; ","")&amp;IF(AND(CH896=1,CI896&lt;CJ896),"MAX &lt; MB+LG; ","")&amp;IF(AND(CP896&gt;0,CO896*10&gt;CP896),"zu hoch für Tablar; ","")&amp;IF(AND(BV896=0,OR(CH896=1,AA896&lt;&gt;"",U896&lt;&gt;"",V896&lt;&gt;"",AB896&lt;&gt;"")),"manuell übersteuert; ","")&amp;IF(AND(BZ896=0,R896=0),"Gebinde unbekannt / Stellmass fehlt; ","")&amp;IF(AND(BZ896=0,N(V896)&lt;=0,N(Q896)&lt;=0),"Menge pro Gebinde fehlt (Ist = 1 Gebinde); ","")&amp;BU896)</f>
        <v>negativer Bestand (Export -1); </v>
      </c>
      <c r="BN896" s="48"/>
      <c r="BO896" s="48"/>
      <c r="BP896" s="55"/>
      <c r="BQ896" s="50" t="n">
        <v>-1</v>
      </c>
      <c r="BR896" s="50" t="n">
        <v>7</v>
      </c>
      <c r="BS896" s="49" t="n">
        <v>-31.74</v>
      </c>
      <c r="BT896" s="50" t="n">
        <v>9</v>
      </c>
      <c r="BU896" s="48"/>
      <c r="BV896" s="53" t="n">
        <v>0</v>
      </c>
      <c r="BW896" s="53" t="n">
        <v>896</v>
      </c>
      <c r="BX896" s="48" t="str">
        <f aca="false">IF(U896&lt;&gt;"",UPPER(TRIM(U896)),IF(CA896=1,UPPER(VLOOKUP(T896,Parameter!$I$27:$K$29,2,0)),IF(P896="","LOSE",P896)))</f>
        <v>S32</v>
      </c>
      <c r="BY896" s="50" t="n">
        <f aca="false">IF(BX896="LOSE",1,IF(N(V896)&gt;0,V896,IF(CA896=1,MAX(1,N(VLOOKUP(T896,Parameter!$I$27:$K$29,3,0)),H896,N(N896)),IF(N(Q896)&gt;0,Q896,MAX(1,H896)))))</f>
        <v>18</v>
      </c>
      <c r="BZ896" s="53" t="n">
        <f aca="false">IF(BX896="LOSE",1,0)</f>
        <v>0</v>
      </c>
      <c r="CA896" s="53" t="n">
        <f aca="false">IF(AND(U896="",OR(P896="",P896="LOSE"),T896&lt;&gt;"",N(S896)&lt;=0,ISNUMBER(MATCH(T896,Parameter!$I$27:$I$29,0))),1,0)</f>
        <v>0</v>
      </c>
      <c r="CB896" s="53" t="n">
        <f aca="false">IF(CQ896&gt;0,INDEX(Parameter!$H$5:$H$7,W896)/INDEX(Parameter!$E$5:$E$7,W896),IF(AND(BZ896=0,N(IFERROR(VLOOKUP(BX896,'Gebinde-Kategorie'!$A$5:$N$45,14,0),0))&gt;0),VLOOKUP(BX896,'Gebinde-Kategorie'!$A$5:$N$45,14,0)*10+Parameter!$M$23,Parameter!$M$24))</f>
        <v>155</v>
      </c>
      <c r="CC896" s="48" t="str">
        <f aca="false">IF(AND(Parameter!$B$19="Ja",E896&lt;&gt;"",ISNUMBER(MATCH(E896,Parameter!$I$35:$I$52,0))),VLOOKUP(E896,Parameter!$I$35:$J$52,2,0),IFERROR(VLOOKUP(D896,Parameter!$A$35:$C$64,2,0),"Nein"))</f>
        <v>2+3</v>
      </c>
      <c r="CD896" s="52" t="n">
        <f aca="false">IF(BZ896=0,0,IF(N(S896)&gt;0,S896,IFERROR(VLOOKUP(D896,Parameter!$A$35:$C$64,3,0)+0,0)))</f>
        <v>0</v>
      </c>
      <c r="CE896" s="48" t="n">
        <f aca="false">IF(AA896&lt;&gt;"",AA896,Z896)</f>
        <v>3</v>
      </c>
      <c r="CF896" s="48" t="str">
        <f aca="false">IF(OR(CE896=1,CE896=2,CE896=3),IF(Parameter!$E$27="Ja","LIFT",IF(CE896=1,"L1","L23")),IF(CE896="Aussen","Aussen","-"))</f>
        <v>LIFT</v>
      </c>
      <c r="CG896" s="59" t="n">
        <f aca="false">IF(N(AB896)&gt;0,AB896,0)</f>
        <v>0</v>
      </c>
      <c r="CH896" s="53" t="n">
        <f aca="false">IF(ISNUMBER(AE896),1,0)</f>
        <v>0</v>
      </c>
      <c r="CI896" s="50" t="n">
        <f aca="false">N(AE896)</f>
        <v>0</v>
      </c>
      <c r="CJ896" s="50" t="n">
        <f aca="false">N(M896)+N(N896)</f>
        <v>10</v>
      </c>
      <c r="CK896" s="50" t="n">
        <f aca="false">N(M896)</f>
        <v>0</v>
      </c>
      <c r="CL896" s="50" t="n">
        <f aca="false">N(N896)</f>
        <v>10</v>
      </c>
      <c r="CM896" s="50" t="n">
        <f aca="false">ROUNDUP(H896/BY896,0)</f>
        <v>1</v>
      </c>
      <c r="CN896" s="50" t="n">
        <f aca="false">ROUNDUP(CI896/BY896,0)</f>
        <v>0</v>
      </c>
      <c r="CO896" s="53" t="n">
        <f aca="false">IF(BZ896=1,0,IFERROR(VLOOKUP(BX896,'Gebinde-Kategorie'!$A$5:$N$45,5,0)+0,0))</f>
        <v>8</v>
      </c>
      <c r="CP896" s="53" t="n">
        <f aca="false">IFERROR(IF(OR(CE896=1,CE896=2,CE896=3),N(INDEX(Parameter!$I$5:$I$7,CE896)),0),0)</f>
        <v>0</v>
      </c>
      <c r="CQ896" s="52" t="n">
        <f aca="false">IF(AND(Parameter!$B$21="Ja",ISNUMBER(W896),N(X896)&gt;0),IFERROR(N(INDEX(Parameter!$L$5:$L$7,W896))*INDEX(Parameter!$E$5:$E$7,W896)*X896/SUMIFS($X$7:$X$1843,$W$7:$W$1843,W896),0),0)</f>
        <v>0</v>
      </c>
    </row>
    <row r="897" customFormat="false" ht="15" hidden="false" customHeight="false" outlineLevel="0" collapsed="false">
      <c r="A897" s="48" t="s">
        <v>1699</v>
      </c>
      <c r="B897" s="48" t="s">
        <v>1684</v>
      </c>
      <c r="C897" s="48" t="s">
        <v>173</v>
      </c>
      <c r="D897" s="48" t="s">
        <v>193</v>
      </c>
      <c r="E897" s="48"/>
      <c r="F897" s="48" t="s">
        <v>227</v>
      </c>
      <c r="G897" s="49" t="n">
        <v>0.71</v>
      </c>
      <c r="H897" s="50" t="n">
        <f aca="false">MAX(0,IF(AND(Parameter!$B$21="Ja",ISNUMBER(Y897)),Y897,IF(Parameter!$B$20="Jahresanfang 2025 + Export",BR897+BQ897,BQ897)))</f>
        <v>116</v>
      </c>
      <c r="I897" s="50" t="n">
        <f aca="false">H897*G897</f>
        <v>82.36</v>
      </c>
      <c r="J897" s="50" t="n">
        <f aca="false">BT897*Parameter!$B$18</f>
        <v>9</v>
      </c>
      <c r="K897" s="51" t="n">
        <v>156.5</v>
      </c>
      <c r="L897" s="52" t="n">
        <v>0.0575079872204473</v>
      </c>
      <c r="M897" s="50" t="n">
        <v>0</v>
      </c>
      <c r="N897" s="50" t="n">
        <v>10</v>
      </c>
      <c r="O897" s="53" t="n">
        <v>14</v>
      </c>
      <c r="P897" s="48" t="s">
        <v>410</v>
      </c>
      <c r="Q897" s="50" t="n">
        <v>150</v>
      </c>
      <c r="R897" s="53" t="n">
        <f aca="false">IF(BZ897=1,0,IFERROR(VLOOKUP(BX897,'Gebinde-Kategorie'!$A$5:$N$45,13,0)+0,0))</f>
        <v>280</v>
      </c>
      <c r="S897" s="54"/>
      <c r="T897" s="55"/>
      <c r="U897" s="55"/>
      <c r="V897" s="55"/>
      <c r="W897" s="48"/>
      <c r="X897" s="50"/>
      <c r="Y897" s="50"/>
      <c r="Z897" s="48" t="n">
        <f aca="false">IF(A897="","",IF(AND(Parameter!$B$21="Ja",ISNUMBER(W897)),W897,IF(CC897="2+3",IF(ISNUMBER(SEARCH("grosser Artikel",BU897)),2,IFERROR(VLOOKUP(BX897,Parameter!$F$35:$G$64,2,0),2)),IF(OR(CC897="Nein",CC897=""),"-",CC897))))</f>
        <v>3</v>
      </c>
      <c r="AA897" s="55"/>
      <c r="AB897" s="56"/>
      <c r="AC897" s="50" t="n">
        <f aca="false">AV897</f>
        <v>10</v>
      </c>
      <c r="AD897" s="50" t="n">
        <f aca="false">MAX(AV897,H897)</f>
        <v>116</v>
      </c>
      <c r="AE897" s="57"/>
      <c r="AF897" s="50" t="n">
        <f aca="false">IF(LEFT(Cockpit!$C$5,1)="A",H897,IF(Parameter!$E$30="MAX-Bestand",IF(CH897=1,CI897,IF(LEFT(Cockpit!$C$5,1)="B",AL897,MAX(AL897,H897))),ROUNDUP(AJ897,0)))</f>
        <v>116</v>
      </c>
      <c r="AG897" s="50" t="n">
        <f aca="false">IF(BZ897=1,0,ROUNDUP(AF897/BY897,0))</f>
        <v>1</v>
      </c>
      <c r="AH897" s="52" t="n">
        <f aca="false">IF(CQ897&gt;0,CQ897*MAX(1,AF897/X897),IF(BZ897=1,IF(AF897&lt;=0,0,CD897*MAX(1,IF(H897&gt;0,AF897/H897,1))),IF(R897&gt;0,AG897/R897,0))/MAX(0.1,N(Parameter!$M$21)))</f>
        <v>0.00357142857142857</v>
      </c>
      <c r="AI897" s="50" t="n">
        <f aca="false">AH897*CB897</f>
        <v>0.553571428571429</v>
      </c>
      <c r="AJ897" s="51" t="n">
        <f aca="false">IF(LEFT(Cockpit!$C$5,1)="A",H897,IF(CH897=1,(CK897+CI897)/2,IF(LEFT(Cockpit!$C$5,1)="B",(CK897+AL897)/2,MAX((CK897+AL897)/2,H897))))</f>
        <v>116</v>
      </c>
      <c r="AK897" s="50" t="n">
        <f aca="false">AJ897*G897</f>
        <v>82.36</v>
      </c>
      <c r="AL897" s="50" t="n">
        <f aca="false">ROUNDUP(CK897+MAX(CL897,2*(J897/IF(CG897&gt;0,CG897,MAX(0.1,N(Cockpit!$C$6)))-CK897)),0)</f>
        <v>10</v>
      </c>
      <c r="AM897" s="51" t="n">
        <f aca="false">IF(AI897&gt;0,J897/AI897,-1)</f>
        <v>16.258064516129</v>
      </c>
      <c r="AN897" s="51" t="n">
        <f aca="false">IF(AND(OR(CF897="L1",CF897="L23",CF897="LIFT"),AI897&gt;0),SUMIFS($AI$7:$AI$1843,$CF$7:$CF$1843,CF897,$AM$7:$AM$1843,"&gt;"&amp;AM897)+SUMIFS($AI$7:$AI$1843,$CF$7:$CF$1843,CF897,$AM$7:$AM$1843,AM897,$BW$7:$BW$1843,"&lt;="&amp;BW897),"")</f>
        <v>2047.32371794872</v>
      </c>
      <c r="AO897" s="58" t="n">
        <f aca="false">IF(AN897="",0,MAX(0,MIN(1,(IF(CF897="L1",Parameter!$H$5,IF(CF897="L23",Parameter!$H$6+Parameter!$H$7,Parameter!$H$5+Parameter!$H$6+Parameter!$H$7))-(AN897-AI897))/AI897)))</f>
        <v>1</v>
      </c>
      <c r="AP897" s="50" t="n">
        <f aca="false">IF(LEFT(Cockpit!$I$5,1)="A",H897,IF(Parameter!$E$30="MAX-Bestand",IF(CH897=1,CI897,IF(LEFT(Cockpit!$I$5,1)="B",AV897,MAX(AV897,H897))),ROUNDUP(AT897,0)))</f>
        <v>116</v>
      </c>
      <c r="AQ897" s="50" t="n">
        <f aca="false">IF(BZ897=1,0,ROUNDUP(AP897/BY897,0))</f>
        <v>1</v>
      </c>
      <c r="AR897" s="52" t="n">
        <f aca="false">IF(CQ897&gt;0,CQ897*MAX(1,AP897/X897),IF(BZ897=1,IF(AP897&lt;=0,0,CD897*MAX(1,IF(H897&gt;0,AP897/H897,1))),IF(R897&gt;0,AQ897/R897,0))/MAX(0.1,N(Parameter!$M$21)))</f>
        <v>0.00357142857142857</v>
      </c>
      <c r="AS897" s="50" t="n">
        <f aca="false">AR897*CB897</f>
        <v>0.553571428571429</v>
      </c>
      <c r="AT897" s="51" t="n">
        <f aca="false">IF(LEFT(Cockpit!$I$5,1)="A",H897,IF(CH897=1,(CK897+CI897)/2,IF(LEFT(Cockpit!$I$5,1)="B",(CK897+AV897)/2,MAX((CK897+AV897)/2,H897))))</f>
        <v>116</v>
      </c>
      <c r="AU897" s="50" t="n">
        <f aca="false">AT897*G897</f>
        <v>82.36</v>
      </c>
      <c r="AV897" s="50" t="n">
        <f aca="false">ROUNDUP(CK897+MAX(CL897,2*(J897/IF(CG897&gt;0,CG897,MAX(0.1,N(Cockpit!$I$6)))-CK897)),0)</f>
        <v>10</v>
      </c>
      <c r="AW897" s="51" t="n">
        <f aca="false">IF(AS897&gt;0,J897/AS897,-1)</f>
        <v>16.258064516129</v>
      </c>
      <c r="AX897" s="51" t="n">
        <f aca="false">IF(AND(OR(CF897="L1",CF897="L23",CF897="LIFT"),AS897&gt;0),SUMIFS($AS$7:$AS$1843,$CF$7:$CF$1843,CF897,$AW$7:$AW$1843,"&gt;"&amp;AW897)+SUMIFS($AS$7:$AS$1843,$CF$7:$CF$1843,CF897,$AW$7:$AW$1843,AW897,$BW$7:$BW$1843,"&lt;="&amp;BW897),"")</f>
        <v>2683.33745421245</v>
      </c>
      <c r="AY897" s="58" t="n">
        <f aca="false">IF(AX897="",0,MAX(0,MIN(1,(IF(CF897="L1",Parameter!$H$5,IF(CF897="L23",Parameter!$H$6+Parameter!$H$7,Parameter!$H$5+Parameter!$H$6+Parameter!$H$7))-(AX897-AS897))/AS897)))</f>
        <v>1</v>
      </c>
      <c r="AZ897" s="50" t="n">
        <f aca="false">IF(LEFT(Cockpit!$O$5,1)="A",H897,IF(Parameter!$E$30="MAX-Bestand",IF(CH897=1,CI897,IF(LEFT(Cockpit!$O$5,1)="B",BF897,MAX(BF897,H897))),ROUNDUP(BD897,0)))</f>
        <v>5</v>
      </c>
      <c r="BA897" s="50" t="n">
        <f aca="false">IF(BZ897=1,0,ROUNDUP(AZ897/BY897,0))</f>
        <v>1</v>
      </c>
      <c r="BB897" s="52" t="n">
        <f aca="false">IF(CQ897&gt;0,CQ897*MAX(1,AZ897/X897),IF(BZ897=1,IF(AZ897&lt;=0,0,CD897*MAX(1,IF(H897&gt;0,AZ897/H897,1))),IF(R897&gt;0,BA897/R897,0))/MAX(0.1,N(Parameter!$M$21)))</f>
        <v>0.00357142857142857</v>
      </c>
      <c r="BC897" s="50" t="n">
        <f aca="false">BB897*CB897</f>
        <v>0.553571428571429</v>
      </c>
      <c r="BD897" s="51" t="n">
        <f aca="false">IF(LEFT(Cockpit!$O$5,1)="A",H897,IF(CH897=1,(CK897+CI897)/2,IF(LEFT(Cockpit!$O$5,1)="B",(CK897+BF897)/2,MAX((CK897+BF897)/2,H897))))</f>
        <v>5</v>
      </c>
      <c r="BE897" s="50" t="n">
        <f aca="false">BD897*G897</f>
        <v>3.55</v>
      </c>
      <c r="BF897" s="50" t="n">
        <f aca="false">ROUNDUP(CK897+MAX(CL897,2*(J897/IF(CG897&gt;0,CG897,MAX(0.1,N(Cockpit!$O$6)))-CK897)),0)</f>
        <v>10</v>
      </c>
      <c r="BG897" s="51" t="n">
        <f aca="false">IF(BC897&gt;0,J897/BC897,-1)</f>
        <v>16.258064516129</v>
      </c>
      <c r="BH897" s="51" t="n">
        <f aca="false">IF(AND(OR(CF897="L1",CF897="L23",CF897="LIFT"),BC897&gt;0),SUMIFS($BC$7:$BC$1843,$CF$7:$CF$1843,CF897,$BG$7:$BG$1843,"&gt;"&amp;BG897)+SUMIFS($BC$7:$BC$1843,$CF$7:$CF$1843,CF897,$BG$7:$BG$1843,BG897,$BW$7:$BW$1843,"&lt;="&amp;BW897),"")</f>
        <v>2375.31684981685</v>
      </c>
      <c r="BI897" s="58" t="n">
        <f aca="false">IF(BH897="",0,MAX(0,MIN(1,(IF(CF897="L1",Parameter!$H$5,IF(CF897="L23",Parameter!$H$6+Parameter!$H$7,Parameter!$H$5+Parameter!$H$6+Parameter!$H$7))-(BH897-BC897))/BC897)))</f>
        <v>1</v>
      </c>
      <c r="BJ897" s="48" t="str">
        <f aca="false">IF(AI897&lt;=0,"",IF(CF897="Aussen","Aussenlager",IF(CF897="-","Nicht im Lift",IF(AO897&gt;=1,"Lift",IF(AO897&lt;=0,"Aussenlager","teilweise")))))</f>
        <v>Lift</v>
      </c>
      <c r="BK897" s="48" t="str">
        <f aca="false">IF(AS897&lt;=0,"",IF(CF897="Aussen","Aussenlager",IF(CF897="-","Nicht im Lift",IF(AY897&gt;=1,"Lift",IF(AY897&lt;=0,"Aussenlager","teilweise")))))</f>
        <v>Lift</v>
      </c>
      <c r="BL897" s="48" t="str">
        <f aca="false">IF(BC897&lt;=0,"",IF(CF897="Aussen","Aussenlager",IF(CF897="-","Nicht im Lift",IF(BI897&gt;=1,"Lift",IF(BI897&lt;=0,"Aussenlager","teilweise")))))</f>
        <v>Lift</v>
      </c>
      <c r="BM897" s="48" t="str">
        <f aca="false">IF(A897="","",IF(BV897=1,"Neu; ","")&amp;IF(AND(BV897=0,BQ897&lt;0),"negativer Bestand (Export "&amp;BQ897&amp;"); ","")&amp;IF(J897&lt;=0,"Kein Verbrauch; ","")&amp;IF(CQ897&gt;0,"Lift "&amp;W897&amp;" lt. Liftbericht (Fach "&amp;X897&amp;" Stk); ",IF(CA897=1,"Gebinde geschätzt ("&amp;T897&amp;"); ",IF(BZ897=1,"Lose – Tablare geschätzt; ","")))&amp;IF(H897&gt;AV897,"Überbestand "&amp;ROUND(H897-AV897,0)&amp;" Stk / CHF "&amp;ROUND((H897-AV897)*G897,0)&amp;"; ","")&amp;IF(AND(CH897=1,CI897&lt;CJ897),"MAX &lt; MB+LG; ","")&amp;IF(AND(CP897&gt;0,CO897*10&gt;CP897),"zu hoch für Tablar; ","")&amp;IF(AND(BV897=0,OR(CH897=1,AA897&lt;&gt;"",U897&lt;&gt;"",V897&lt;&gt;"",AB897&lt;&gt;"")),"manuell übersteuert; ","")&amp;IF(AND(BZ897=0,R897=0),"Gebinde unbekannt / Stellmass fehlt; ","")&amp;IF(AND(BZ897=0,N(V897)&lt;=0,N(Q897)&lt;=0),"Menge pro Gebinde fehlt (Ist = 1 Gebinde); ","")&amp;BU897)</f>
        <v>negativer Bestand (Export -45); Überbestand 106 Stk / CHF 75; </v>
      </c>
      <c r="BN897" s="48"/>
      <c r="BO897" s="48"/>
      <c r="BP897" s="55"/>
      <c r="BQ897" s="50" t="n">
        <v>-45</v>
      </c>
      <c r="BR897" s="50" t="n">
        <v>161</v>
      </c>
      <c r="BS897" s="49" t="n">
        <v>-31.95</v>
      </c>
      <c r="BT897" s="50" t="n">
        <v>9</v>
      </c>
      <c r="BU897" s="48"/>
      <c r="BV897" s="53" t="n">
        <v>0</v>
      </c>
      <c r="BW897" s="53" t="n">
        <v>897</v>
      </c>
      <c r="BX897" s="48" t="str">
        <f aca="false">IF(U897&lt;&gt;"",UPPER(TRIM(U897)),IF(CA897=1,UPPER(VLOOKUP(T897,Parameter!$I$27:$K$29,2,0)),IF(P897="","LOSE",P897)))</f>
        <v>S21</v>
      </c>
      <c r="BY897" s="50" t="n">
        <f aca="false">IF(BX897="LOSE",1,IF(N(V897)&gt;0,V897,IF(CA897=1,MAX(1,N(VLOOKUP(T897,Parameter!$I$27:$K$29,3,0)),H897,N(N897)),IF(N(Q897)&gt;0,Q897,MAX(1,H897)))))</f>
        <v>150</v>
      </c>
      <c r="BZ897" s="53" t="n">
        <f aca="false">IF(BX897="LOSE",1,0)</f>
        <v>0</v>
      </c>
      <c r="CA897" s="53" t="n">
        <f aca="false">IF(AND(U897="",OR(P897="",P897="LOSE"),T897&lt;&gt;"",N(S897)&lt;=0,ISNUMBER(MATCH(T897,Parameter!$I$27:$I$29,0))),1,0)</f>
        <v>0</v>
      </c>
      <c r="CB897" s="53" t="n">
        <f aca="false">IF(CQ897&gt;0,INDEX(Parameter!$H$5:$H$7,W897)/INDEX(Parameter!$E$5:$E$7,W897),IF(AND(BZ897=0,N(IFERROR(VLOOKUP(BX897,'Gebinde-Kategorie'!$A$5:$N$45,14,0),0))&gt;0),VLOOKUP(BX897,'Gebinde-Kategorie'!$A$5:$N$45,14,0)*10+Parameter!$M$23,Parameter!$M$24))</f>
        <v>155</v>
      </c>
      <c r="CC897" s="48" t="str">
        <f aca="false">IF(AND(Parameter!$B$19="Ja",E897&lt;&gt;"",ISNUMBER(MATCH(E897,Parameter!$I$35:$I$52,0))),VLOOKUP(E897,Parameter!$I$35:$J$52,2,0),IFERROR(VLOOKUP(D897,Parameter!$A$35:$C$64,2,0),"Nein"))</f>
        <v>2+3</v>
      </c>
      <c r="CD897" s="52" t="n">
        <f aca="false">IF(BZ897=0,0,IF(N(S897)&gt;0,S897,IFERROR(VLOOKUP(D897,Parameter!$A$35:$C$64,3,0)+0,0)))</f>
        <v>0</v>
      </c>
      <c r="CE897" s="48" t="n">
        <f aca="false">IF(AA897&lt;&gt;"",AA897,Z897)</f>
        <v>3</v>
      </c>
      <c r="CF897" s="48" t="str">
        <f aca="false">IF(OR(CE897=1,CE897=2,CE897=3),IF(Parameter!$E$27="Ja","LIFT",IF(CE897=1,"L1","L23")),IF(CE897="Aussen","Aussen","-"))</f>
        <v>LIFT</v>
      </c>
      <c r="CG897" s="59" t="n">
        <f aca="false">IF(N(AB897)&gt;0,AB897,0)</f>
        <v>0</v>
      </c>
      <c r="CH897" s="53" t="n">
        <f aca="false">IF(ISNUMBER(AE897),1,0)</f>
        <v>0</v>
      </c>
      <c r="CI897" s="50" t="n">
        <f aca="false">N(AE897)</f>
        <v>0</v>
      </c>
      <c r="CJ897" s="50" t="n">
        <f aca="false">N(M897)+N(N897)</f>
        <v>10</v>
      </c>
      <c r="CK897" s="50" t="n">
        <f aca="false">N(M897)</f>
        <v>0</v>
      </c>
      <c r="CL897" s="50" t="n">
        <f aca="false">N(N897)</f>
        <v>10</v>
      </c>
      <c r="CM897" s="50" t="n">
        <f aca="false">ROUNDUP(H897/BY897,0)</f>
        <v>1</v>
      </c>
      <c r="CN897" s="50" t="n">
        <f aca="false">ROUNDUP(CI897/BY897,0)</f>
        <v>0</v>
      </c>
      <c r="CO897" s="53" t="n">
        <f aca="false">IF(BZ897=1,0,IFERROR(VLOOKUP(BX897,'Gebinde-Kategorie'!$A$5:$N$45,5,0)+0,0))</f>
        <v>8</v>
      </c>
      <c r="CP897" s="53" t="n">
        <f aca="false">IFERROR(IF(OR(CE897=1,CE897=2,CE897=3),N(INDEX(Parameter!$I$5:$I$7,CE897)),0),0)</f>
        <v>0</v>
      </c>
      <c r="CQ897" s="52" t="n">
        <f aca="false">IF(AND(Parameter!$B$21="Ja",ISNUMBER(W897),N(X897)&gt;0),IFERROR(N(INDEX(Parameter!$L$5:$L$7,W897))*INDEX(Parameter!$E$5:$E$7,W897)*X897/SUMIFS($X$7:$X$1843,$W$7:$W$1843,W897),0),0)</f>
        <v>0</v>
      </c>
    </row>
    <row r="898" customFormat="false" ht="15" hidden="false" customHeight="false" outlineLevel="0" collapsed="false">
      <c r="A898" s="48" t="s">
        <v>1700</v>
      </c>
      <c r="B898" s="48" t="s">
        <v>1101</v>
      </c>
      <c r="C898" s="48" t="s">
        <v>173</v>
      </c>
      <c r="D898" s="48" t="s">
        <v>193</v>
      </c>
      <c r="E898" s="48" t="s">
        <v>194</v>
      </c>
      <c r="F898" s="48" t="s">
        <v>227</v>
      </c>
      <c r="G898" s="49" t="n">
        <v>6.47</v>
      </c>
      <c r="H898" s="50" t="n">
        <f aca="false">MAX(0,IF(AND(Parameter!$B$21="Ja",ISNUMBER(Y898)),Y898,IF(Parameter!$B$20="Jahresanfang 2025 + Export",BR898+BQ898,BQ898)))</f>
        <v>6</v>
      </c>
      <c r="I898" s="50" t="n">
        <f aca="false">H898*G898</f>
        <v>38.82</v>
      </c>
      <c r="J898" s="50" t="n">
        <f aca="false">BT898*Parameter!$B$18</f>
        <v>6</v>
      </c>
      <c r="K898" s="51" t="n">
        <v>10.5</v>
      </c>
      <c r="L898" s="52" t="n">
        <v>0.571428571428571</v>
      </c>
      <c r="M898" s="50" t="n">
        <v>0</v>
      </c>
      <c r="N898" s="50" t="n">
        <v>5</v>
      </c>
      <c r="O898" s="53" t="n">
        <v>14</v>
      </c>
      <c r="P898" s="48" t="s">
        <v>485</v>
      </c>
      <c r="Q898" s="50" t="n">
        <v>5</v>
      </c>
      <c r="R898" s="53" t="n">
        <f aca="false">IF(BZ898=1,0,IFERROR(VLOOKUP(BX898,'Gebinde-Kategorie'!$A$5:$N$45,13,0)+0,0))</f>
        <v>52</v>
      </c>
      <c r="S898" s="54"/>
      <c r="T898" s="55"/>
      <c r="U898" s="55"/>
      <c r="V898" s="55"/>
      <c r="W898" s="48"/>
      <c r="X898" s="50"/>
      <c r="Y898" s="50"/>
      <c r="Z898" s="48" t="n">
        <f aca="false">IF(A898="","",IF(AND(Parameter!$B$21="Ja",ISNUMBER(W898)),W898,IF(CC898="2+3",IF(ISNUMBER(SEARCH("grosser Artikel",BU898)),2,IFERROR(VLOOKUP(BX898,Parameter!$F$35:$G$64,2,0),2)),IF(OR(CC898="Nein",CC898=""),"-",CC898))))</f>
        <v>3</v>
      </c>
      <c r="AA898" s="55"/>
      <c r="AB898" s="56"/>
      <c r="AC898" s="50" t="n">
        <f aca="false">AV898</f>
        <v>5</v>
      </c>
      <c r="AD898" s="50" t="n">
        <f aca="false">MAX(AV898,H898)</f>
        <v>6</v>
      </c>
      <c r="AE898" s="57"/>
      <c r="AF898" s="50" t="n">
        <f aca="false">IF(LEFT(Cockpit!$C$5,1)="A",H898,IF(Parameter!$E$30="MAX-Bestand",IF(CH898=1,CI898,IF(LEFT(Cockpit!$C$5,1)="B",AL898,MAX(AL898,H898))),ROUNDUP(AJ898,0)))</f>
        <v>6</v>
      </c>
      <c r="AG898" s="50" t="n">
        <f aca="false">IF(BZ898=1,0,ROUNDUP(AF898/BY898,0))</f>
        <v>2</v>
      </c>
      <c r="AH898" s="52" t="n">
        <f aca="false">IF(CQ898&gt;0,CQ898*MAX(1,AF898/X898),IF(BZ898=1,IF(AF898&lt;=0,0,CD898*MAX(1,IF(H898&gt;0,AF898/H898,1))),IF(R898&gt;0,AG898/R898,0))/MAX(0.1,N(Parameter!$M$21)))</f>
        <v>0.0384615384615385</v>
      </c>
      <c r="AI898" s="50" t="n">
        <f aca="false">AH898*CB898</f>
        <v>5.96153846153846</v>
      </c>
      <c r="AJ898" s="51" t="n">
        <f aca="false">IF(LEFT(Cockpit!$C$5,1)="A",H898,IF(CH898=1,(CK898+CI898)/2,IF(LEFT(Cockpit!$C$5,1)="B",(CK898+AL898)/2,MAX((CK898+AL898)/2,H898))))</f>
        <v>6</v>
      </c>
      <c r="AK898" s="50" t="n">
        <f aca="false">AJ898*G898</f>
        <v>38.82</v>
      </c>
      <c r="AL898" s="50" t="n">
        <f aca="false">ROUNDUP(CK898+MAX(CL898,2*(J898/IF(CG898&gt;0,CG898,MAX(0.1,N(Cockpit!$C$6)))-CK898)),0)</f>
        <v>5</v>
      </c>
      <c r="AM898" s="51" t="n">
        <f aca="false">IF(AI898&gt;0,J898/AI898,-1)</f>
        <v>1.00645161290323</v>
      </c>
      <c r="AN898" s="51" t="n">
        <f aca="false">IF(AND(OR(CF898="L1",CF898="L23",CF898="LIFT"),AI898&gt;0),SUMIFS($AI$7:$AI$1843,$CF$7:$CF$1843,CF898,$AM$7:$AM$1843,"&gt;"&amp;AM898)+SUMIFS($AI$7:$AI$1843,$CF$7:$CF$1843,CF898,$AM$7:$AM$1843,AM898,$BW$7:$BW$1843,"&lt;="&amp;BW898),"")</f>
        <v>7038.51968864469</v>
      </c>
      <c r="AO898" s="58" t="n">
        <f aca="false">IF(AN898="",0,MAX(0,MIN(1,(IF(CF898="L1",Parameter!$H$5,IF(CF898="L23",Parameter!$H$6+Parameter!$H$7,Parameter!$H$5+Parameter!$H$6+Parameter!$H$7))-(AN898-AI898))/AI898)))</f>
        <v>1</v>
      </c>
      <c r="AP898" s="50" t="n">
        <f aca="false">IF(LEFT(Cockpit!$I$5,1)="A",H898,IF(Parameter!$E$30="MAX-Bestand",IF(CH898=1,CI898,IF(LEFT(Cockpit!$I$5,1)="B",AV898,MAX(AV898,H898))),ROUNDUP(AT898,0)))</f>
        <v>6</v>
      </c>
      <c r="AQ898" s="50" t="n">
        <f aca="false">IF(BZ898=1,0,ROUNDUP(AP898/BY898,0))</f>
        <v>2</v>
      </c>
      <c r="AR898" s="52" t="n">
        <f aca="false">IF(CQ898&gt;0,CQ898*MAX(1,AP898/X898),IF(BZ898=1,IF(AP898&lt;=0,0,CD898*MAX(1,IF(H898&gt;0,AP898/H898,1))),IF(R898&gt;0,AQ898/R898,0))/MAX(0.1,N(Parameter!$M$21)))</f>
        <v>0.0384615384615385</v>
      </c>
      <c r="AS898" s="50" t="n">
        <f aca="false">AR898*CB898</f>
        <v>5.96153846153846</v>
      </c>
      <c r="AT898" s="51" t="n">
        <f aca="false">IF(LEFT(Cockpit!$I$5,1)="A",H898,IF(CH898=1,(CK898+CI898)/2,IF(LEFT(Cockpit!$I$5,1)="B",(CK898+AV898)/2,MAX((CK898+AV898)/2,H898))))</f>
        <v>6</v>
      </c>
      <c r="AU898" s="50" t="n">
        <f aca="false">AT898*G898</f>
        <v>38.82</v>
      </c>
      <c r="AV898" s="50" t="n">
        <f aca="false">ROUNDUP(CK898+MAX(CL898,2*(J898/IF(CG898&gt;0,CG898,MAX(0.1,N(Cockpit!$I$6)))-CK898)),0)</f>
        <v>5</v>
      </c>
      <c r="AW898" s="51" t="n">
        <f aca="false">IF(AS898&gt;0,J898/AS898,-1)</f>
        <v>1.00645161290323</v>
      </c>
      <c r="AX898" s="51" t="n">
        <f aca="false">IF(AND(OR(CF898="L1",CF898="L23",CF898="LIFT"),AS898&gt;0),SUMIFS($AS$7:$AS$1843,$CF$7:$CF$1843,CF898,$AW$7:$AW$1843,"&gt;"&amp;AW898)+SUMIFS($AS$7:$AS$1843,$CF$7:$CF$1843,CF898,$AW$7:$AW$1843,AW898,$BW$7:$BW$1843,"&lt;="&amp;BW898),"")</f>
        <v>8410.2032967033</v>
      </c>
      <c r="AY898" s="58" t="n">
        <f aca="false">IF(AX898="",0,MAX(0,MIN(1,(IF(CF898="L1",Parameter!$H$5,IF(CF898="L23",Parameter!$H$6+Parameter!$H$7,Parameter!$H$5+Parameter!$H$6+Parameter!$H$7))-(AX898-AS898))/AS898)))</f>
        <v>1</v>
      </c>
      <c r="AZ898" s="50" t="n">
        <f aca="false">IF(LEFT(Cockpit!$O$5,1)="A",H898,IF(Parameter!$E$30="MAX-Bestand",IF(CH898=1,CI898,IF(LEFT(Cockpit!$O$5,1)="B",BF898,MAX(BF898,H898))),ROUNDUP(BD898,0)))</f>
        <v>3</v>
      </c>
      <c r="BA898" s="50" t="n">
        <f aca="false">IF(BZ898=1,0,ROUNDUP(AZ898/BY898,0))</f>
        <v>1</v>
      </c>
      <c r="BB898" s="52" t="n">
        <f aca="false">IF(CQ898&gt;0,CQ898*MAX(1,AZ898/X898),IF(BZ898=1,IF(AZ898&lt;=0,0,CD898*MAX(1,IF(H898&gt;0,AZ898/H898,1))),IF(R898&gt;0,BA898/R898,0))/MAX(0.1,N(Parameter!$M$21)))</f>
        <v>0.0192307692307692</v>
      </c>
      <c r="BC898" s="50" t="n">
        <f aca="false">BB898*CB898</f>
        <v>2.98076923076923</v>
      </c>
      <c r="BD898" s="51" t="n">
        <f aca="false">IF(LEFT(Cockpit!$O$5,1)="A",H898,IF(CH898=1,(CK898+CI898)/2,IF(LEFT(Cockpit!$O$5,1)="B",(CK898+BF898)/2,MAX((CK898+BF898)/2,H898))))</f>
        <v>2.5</v>
      </c>
      <c r="BE898" s="50" t="n">
        <f aca="false">BD898*G898</f>
        <v>16.175</v>
      </c>
      <c r="BF898" s="50" t="n">
        <f aca="false">ROUNDUP(CK898+MAX(CL898,2*(J898/IF(CG898&gt;0,CG898,MAX(0.1,N(Cockpit!$O$6)))-CK898)),0)</f>
        <v>5</v>
      </c>
      <c r="BG898" s="51" t="n">
        <f aca="false">IF(BC898&gt;0,J898/BC898,-1)</f>
        <v>2.01290322580645</v>
      </c>
      <c r="BH898" s="51" t="n">
        <f aca="false">IF(AND(OR(CF898="L1",CF898="L23",CF898="LIFT"),BC898&gt;0),SUMIFS($BC$7:$BC$1843,$CF$7:$CF$1843,CF898,$BG$7:$BG$1843,"&gt;"&amp;BG898)+SUMIFS($BC$7:$BC$1843,$CF$7:$CF$1843,CF898,$BG$7:$BG$1843,BG898,$BW$7:$BW$1843,"&lt;="&amp;BW898),"")</f>
        <v>5872.54487179487</v>
      </c>
      <c r="BI898" s="58" t="n">
        <f aca="false">IF(BH898="",0,MAX(0,MIN(1,(IF(CF898="L1",Parameter!$H$5,IF(CF898="L23",Parameter!$H$6+Parameter!$H$7,Parameter!$H$5+Parameter!$H$6+Parameter!$H$7))-(BH898-BC898))/BC898)))</f>
        <v>1</v>
      </c>
      <c r="BJ898" s="48" t="str">
        <f aca="false">IF(AI898&lt;=0,"",IF(CF898="Aussen","Aussenlager",IF(CF898="-","Nicht im Lift",IF(AO898&gt;=1,"Lift",IF(AO898&lt;=0,"Aussenlager","teilweise")))))</f>
        <v>Lift</v>
      </c>
      <c r="BK898" s="48" t="str">
        <f aca="false">IF(AS898&lt;=0,"",IF(CF898="Aussen","Aussenlager",IF(CF898="-","Nicht im Lift",IF(AY898&gt;=1,"Lift",IF(AY898&lt;=0,"Aussenlager","teilweise")))))</f>
        <v>Lift</v>
      </c>
      <c r="BL898" s="48" t="str">
        <f aca="false">IF(BC898&lt;=0,"",IF(CF898="Aussen","Aussenlager",IF(CF898="-","Nicht im Lift",IF(BI898&gt;=1,"Lift",IF(BI898&lt;=0,"Aussenlager","teilweise")))))</f>
        <v>Lift</v>
      </c>
      <c r="BM898" s="48" t="str">
        <f aca="false">IF(A898="","",IF(BV898=1,"Neu; ","")&amp;IF(AND(BV898=0,BQ898&lt;0),"negativer Bestand (Export "&amp;BQ898&amp;"); ","")&amp;IF(J898&lt;=0,"Kein Verbrauch; ","")&amp;IF(CQ898&gt;0,"Lift "&amp;W898&amp;" lt. Liftbericht (Fach "&amp;X898&amp;" Stk); ",IF(CA898=1,"Gebinde geschätzt ("&amp;T898&amp;"); ",IF(BZ898=1,"Lose – Tablare geschätzt; ","")))&amp;IF(H898&gt;AV898,"Überbestand "&amp;ROUND(H898-AV898,0)&amp;" Stk / CHF "&amp;ROUND((H898-AV898)*G898,0)&amp;"; ","")&amp;IF(AND(CH898=1,CI898&lt;CJ898),"MAX &lt; MB+LG; ","")&amp;IF(AND(CP898&gt;0,CO898*10&gt;CP898),"zu hoch für Tablar; ","")&amp;IF(AND(BV898=0,OR(CH898=1,AA898&lt;&gt;"",U898&lt;&gt;"",V898&lt;&gt;"",AB898&lt;&gt;"")),"manuell übersteuert; ","")&amp;IF(AND(BZ898=0,R898=0),"Gebinde unbekannt / Stellmass fehlt; ","")&amp;IF(AND(BZ898=0,N(V898)&lt;=0,N(Q898)&lt;=0),"Menge pro Gebinde fehlt (Ist = 1 Gebinde); ","")&amp;BU898)</f>
        <v>negativer Bestand (Export -5); Überbestand 1 Stk / CHF 6; </v>
      </c>
      <c r="BN898" s="48"/>
      <c r="BO898" s="48"/>
      <c r="BP898" s="55"/>
      <c r="BQ898" s="50" t="n">
        <v>-5</v>
      </c>
      <c r="BR898" s="50" t="n">
        <v>11</v>
      </c>
      <c r="BS898" s="49" t="n">
        <v>-32.46</v>
      </c>
      <c r="BT898" s="50" t="n">
        <v>6</v>
      </c>
      <c r="BU898" s="48"/>
      <c r="BV898" s="53" t="n">
        <v>0</v>
      </c>
      <c r="BW898" s="53" t="n">
        <v>898</v>
      </c>
      <c r="BX898" s="48" t="str">
        <f aca="false">IF(U898&lt;&gt;"",UPPER(TRIM(U898)),IF(CA898=1,UPPER(VLOOKUP(T898,Parameter!$I$27:$K$29,2,0)),IF(P898="","LOSE",P898)))</f>
        <v>S33</v>
      </c>
      <c r="BY898" s="50" t="n">
        <f aca="false">IF(BX898="LOSE",1,IF(N(V898)&gt;0,V898,IF(CA898=1,MAX(1,N(VLOOKUP(T898,Parameter!$I$27:$K$29,3,0)),H898,N(N898)),IF(N(Q898)&gt;0,Q898,MAX(1,H898)))))</f>
        <v>5</v>
      </c>
      <c r="BZ898" s="53" t="n">
        <f aca="false">IF(BX898="LOSE",1,0)</f>
        <v>0</v>
      </c>
      <c r="CA898" s="53" t="n">
        <f aca="false">IF(AND(U898="",OR(P898="",P898="LOSE"),T898&lt;&gt;"",N(S898)&lt;=0,ISNUMBER(MATCH(T898,Parameter!$I$27:$I$29,0))),1,0)</f>
        <v>0</v>
      </c>
      <c r="CB898" s="53" t="n">
        <f aca="false">IF(CQ898&gt;0,INDEX(Parameter!$H$5:$H$7,W898)/INDEX(Parameter!$E$5:$E$7,W898),IF(AND(BZ898=0,N(IFERROR(VLOOKUP(BX898,'Gebinde-Kategorie'!$A$5:$N$45,14,0),0))&gt;0),VLOOKUP(BX898,'Gebinde-Kategorie'!$A$5:$N$45,14,0)*10+Parameter!$M$23,Parameter!$M$24))</f>
        <v>155</v>
      </c>
      <c r="CC898" s="48" t="str">
        <f aca="false">IF(AND(Parameter!$B$19="Ja",E898&lt;&gt;"",ISNUMBER(MATCH(E898,Parameter!$I$35:$I$52,0))),VLOOKUP(E898,Parameter!$I$35:$J$52,2,0),IFERROR(VLOOKUP(D898,Parameter!$A$35:$C$64,2,0),"Nein"))</f>
        <v>2+3</v>
      </c>
      <c r="CD898" s="52" t="n">
        <f aca="false">IF(BZ898=0,0,IF(N(S898)&gt;0,S898,IFERROR(VLOOKUP(D898,Parameter!$A$35:$C$64,3,0)+0,0)))</f>
        <v>0</v>
      </c>
      <c r="CE898" s="48" t="n">
        <f aca="false">IF(AA898&lt;&gt;"",AA898,Z898)</f>
        <v>3</v>
      </c>
      <c r="CF898" s="48" t="str">
        <f aca="false">IF(OR(CE898=1,CE898=2,CE898=3),IF(Parameter!$E$27="Ja","LIFT",IF(CE898=1,"L1","L23")),IF(CE898="Aussen","Aussen","-"))</f>
        <v>LIFT</v>
      </c>
      <c r="CG898" s="59" t="n">
        <f aca="false">IF(N(AB898)&gt;0,AB898,0)</f>
        <v>0</v>
      </c>
      <c r="CH898" s="53" t="n">
        <f aca="false">IF(ISNUMBER(AE898),1,0)</f>
        <v>0</v>
      </c>
      <c r="CI898" s="50" t="n">
        <f aca="false">N(AE898)</f>
        <v>0</v>
      </c>
      <c r="CJ898" s="50" t="n">
        <f aca="false">N(M898)+N(N898)</f>
        <v>5</v>
      </c>
      <c r="CK898" s="50" t="n">
        <f aca="false">N(M898)</f>
        <v>0</v>
      </c>
      <c r="CL898" s="50" t="n">
        <f aca="false">N(N898)</f>
        <v>5</v>
      </c>
      <c r="CM898" s="50" t="n">
        <f aca="false">ROUNDUP(H898/BY898,0)</f>
        <v>2</v>
      </c>
      <c r="CN898" s="50" t="n">
        <f aca="false">ROUNDUP(CI898/BY898,0)</f>
        <v>0</v>
      </c>
      <c r="CO898" s="53" t="n">
        <f aca="false">IF(BZ898=1,0,IFERROR(VLOOKUP(BX898,'Gebinde-Kategorie'!$A$5:$N$45,5,0)+0,0))</f>
        <v>8</v>
      </c>
      <c r="CP898" s="53" t="n">
        <f aca="false">IFERROR(IF(OR(CE898=1,CE898=2,CE898=3),N(INDEX(Parameter!$I$5:$I$7,CE898)),0),0)</f>
        <v>0</v>
      </c>
      <c r="CQ898" s="52" t="n">
        <f aca="false">IF(AND(Parameter!$B$21="Ja",ISNUMBER(W898),N(X898)&gt;0),IFERROR(N(INDEX(Parameter!$L$5:$L$7,W898))*INDEX(Parameter!$E$5:$E$7,W898)*X898/SUMIFS($X$7:$X$1843,$W$7:$W$1843,W898),0),0)</f>
        <v>0</v>
      </c>
    </row>
    <row r="899" customFormat="false" ht="15" hidden="false" customHeight="false" outlineLevel="0" collapsed="false">
      <c r="A899" s="48" t="s">
        <v>1701</v>
      </c>
      <c r="B899" s="48" t="s">
        <v>972</v>
      </c>
      <c r="C899" s="48" t="s">
        <v>173</v>
      </c>
      <c r="D899" s="48" t="s">
        <v>193</v>
      </c>
      <c r="E899" s="48"/>
      <c r="F899" s="48" t="s">
        <v>227</v>
      </c>
      <c r="G899" s="49" t="n">
        <v>0.93</v>
      </c>
      <c r="H899" s="50" t="n">
        <f aca="false">MAX(0,IF(AND(Parameter!$B$21="Ja",ISNUMBER(Y899)),Y899,IF(Parameter!$B$20="Jahresanfang 2025 + Export",BR899+BQ899,BQ899)))</f>
        <v>45</v>
      </c>
      <c r="I899" s="50" t="n">
        <f aca="false">H899*G899</f>
        <v>41.85</v>
      </c>
      <c r="J899" s="50" t="n">
        <f aca="false">BT899*Parameter!$B$18</f>
        <v>0</v>
      </c>
      <c r="K899" s="51" t="n">
        <v>63.5</v>
      </c>
      <c r="L899" s="52" t="n">
        <v>0</v>
      </c>
      <c r="M899" s="50" t="n">
        <v>0</v>
      </c>
      <c r="N899" s="50" t="n">
        <v>1</v>
      </c>
      <c r="O899" s="53" t="n">
        <v>21</v>
      </c>
      <c r="P899" s="48" t="s">
        <v>435</v>
      </c>
      <c r="Q899" s="50" t="n">
        <v>50</v>
      </c>
      <c r="R899" s="53" t="n">
        <f aca="false">IF(BZ899=1,0,IFERROR(VLOOKUP(BX899,'Gebinde-Kategorie'!$A$5:$N$45,13,0)+0,0))</f>
        <v>140</v>
      </c>
      <c r="S899" s="54"/>
      <c r="T899" s="55"/>
      <c r="U899" s="55"/>
      <c r="V899" s="55"/>
      <c r="W899" s="48"/>
      <c r="X899" s="50"/>
      <c r="Y899" s="50"/>
      <c r="Z899" s="48" t="n">
        <f aca="false">IF(A899="","",IF(AND(Parameter!$B$21="Ja",ISNUMBER(W899)),W899,IF(CC899="2+3",IF(ISNUMBER(SEARCH("grosser Artikel",BU899)),2,IFERROR(VLOOKUP(BX899,Parameter!$F$35:$G$64,2,0),2)),IF(OR(CC899="Nein",CC899=""),"-",CC899))))</f>
        <v>3</v>
      </c>
      <c r="AA899" s="55"/>
      <c r="AB899" s="56"/>
      <c r="AC899" s="50" t="n">
        <f aca="false">AV899</f>
        <v>1</v>
      </c>
      <c r="AD899" s="50" t="n">
        <f aca="false">MAX(AV899,H899)</f>
        <v>45</v>
      </c>
      <c r="AE899" s="57"/>
      <c r="AF899" s="50" t="n">
        <f aca="false">IF(LEFT(Cockpit!$C$5,1)="A",H899,IF(Parameter!$E$30="MAX-Bestand",IF(CH899=1,CI899,IF(LEFT(Cockpit!$C$5,1)="B",AL899,MAX(AL899,H899))),ROUNDUP(AJ899,0)))</f>
        <v>45</v>
      </c>
      <c r="AG899" s="50" t="n">
        <f aca="false">IF(BZ899=1,0,ROUNDUP(AF899/BY899,0))</f>
        <v>1</v>
      </c>
      <c r="AH899" s="52" t="n">
        <f aca="false">IF(CQ899&gt;0,CQ899*MAX(1,AF899/X899),IF(BZ899=1,IF(AF899&lt;=0,0,CD899*MAX(1,IF(H899&gt;0,AF899/H899,1))),IF(R899&gt;0,AG899/R899,0))/MAX(0.1,N(Parameter!$M$21)))</f>
        <v>0.00714285714285714</v>
      </c>
      <c r="AI899" s="50" t="n">
        <f aca="false">AH899*CB899</f>
        <v>1.10714285714286</v>
      </c>
      <c r="AJ899" s="51" t="n">
        <f aca="false">IF(LEFT(Cockpit!$C$5,1)="A",H899,IF(CH899=1,(CK899+CI899)/2,IF(LEFT(Cockpit!$C$5,1)="B",(CK899+AL899)/2,MAX((CK899+AL899)/2,H899))))</f>
        <v>45</v>
      </c>
      <c r="AK899" s="50" t="n">
        <f aca="false">AJ899*G899</f>
        <v>41.85</v>
      </c>
      <c r="AL899" s="50" t="n">
        <f aca="false">ROUNDUP(CK899+MAX(CL899,2*(J899/IF(CG899&gt;0,CG899,MAX(0.1,N(Cockpit!$C$6)))-CK899)),0)</f>
        <v>1</v>
      </c>
      <c r="AM899" s="51" t="n">
        <f aca="false">IF(AI899&gt;0,J899/AI899,-1)</f>
        <v>0</v>
      </c>
      <c r="AN899" s="51" t="n">
        <f aca="false">IF(AND(OR(CF899="L1",CF899="L23",CF899="LIFT"),AI899&gt;0),SUMIFS($AI$7:$AI$1843,$CF$7:$CF$1843,CF899,$AM$7:$AM$1843,"&gt;"&amp;AM899)+SUMIFS($AI$7:$AI$1843,$CF$7:$CF$1843,CF899,$AM$7:$AM$1843,AM899,$BW$7:$BW$1843,"&lt;="&amp;BW899),"")</f>
        <v>28835.5377139339</v>
      </c>
      <c r="AO899" s="58" t="n">
        <f aca="false">IF(AN899="",0,MAX(0,MIN(1,(IF(CF899="L1",Parameter!$H$5,IF(CF899="L23",Parameter!$H$6+Parameter!$H$7,Parameter!$H$5+Parameter!$H$6+Parameter!$H$7))-(AN899-AI899))/AI899)))</f>
        <v>1</v>
      </c>
      <c r="AP899" s="50" t="n">
        <f aca="false">IF(LEFT(Cockpit!$I$5,1)="A",H899,IF(Parameter!$E$30="MAX-Bestand",IF(CH899=1,CI899,IF(LEFT(Cockpit!$I$5,1)="B",AV899,MAX(AV899,H899))),ROUNDUP(AT899,0)))</f>
        <v>45</v>
      </c>
      <c r="AQ899" s="50" t="n">
        <f aca="false">IF(BZ899=1,0,ROUNDUP(AP899/BY899,0))</f>
        <v>1</v>
      </c>
      <c r="AR899" s="52" t="n">
        <f aca="false">IF(CQ899&gt;0,CQ899*MAX(1,AP899/X899),IF(BZ899=1,IF(AP899&lt;=0,0,CD899*MAX(1,IF(H899&gt;0,AP899/H899,1))),IF(R899&gt;0,AQ899/R899,0))/MAX(0.1,N(Parameter!$M$21)))</f>
        <v>0.00714285714285714</v>
      </c>
      <c r="AS899" s="50" t="n">
        <f aca="false">AR899*CB899</f>
        <v>1.10714285714286</v>
      </c>
      <c r="AT899" s="51" t="n">
        <f aca="false">IF(LEFT(Cockpit!$I$5,1)="A",H899,IF(CH899=1,(CK899+CI899)/2,IF(LEFT(Cockpit!$I$5,1)="B",(CK899+AV899)/2,MAX((CK899+AV899)/2,H899))))</f>
        <v>45</v>
      </c>
      <c r="AU899" s="50" t="n">
        <f aca="false">AT899*G899</f>
        <v>41.85</v>
      </c>
      <c r="AV899" s="50" t="n">
        <f aca="false">ROUNDUP(CK899+MAX(CL899,2*(J899/IF(CG899&gt;0,CG899,MAX(0.1,N(Cockpit!$I$6)))-CK899)),0)</f>
        <v>1</v>
      </c>
      <c r="AW899" s="51" t="n">
        <f aca="false">IF(AS899&gt;0,J899/AS899,-1)</f>
        <v>0</v>
      </c>
      <c r="AX899" s="51" t="n">
        <f aca="false">IF(AND(OR(CF899="L1",CF899="L23",CF899="LIFT"),AS899&gt;0),SUMIFS($AS$7:$AS$1843,$CF$7:$CF$1843,CF899,$AW$7:$AW$1843,"&gt;"&amp;AW899)+SUMIFS($AS$7:$AS$1843,$CF$7:$CF$1843,CF899,$AW$7:$AW$1843,AW899,$BW$7:$BW$1843,"&lt;="&amp;BW899),"")</f>
        <v>34467.7014652015</v>
      </c>
      <c r="AY899" s="58" t="n">
        <f aca="false">IF(AX899="",0,MAX(0,MIN(1,(IF(CF899="L1",Parameter!$H$5,IF(CF899="L23",Parameter!$H$6+Parameter!$H$7,Parameter!$H$5+Parameter!$H$6+Parameter!$H$7))-(AX899-AS899))/AS899)))</f>
        <v>1</v>
      </c>
      <c r="AZ899" s="50" t="n">
        <f aca="false">IF(LEFT(Cockpit!$O$5,1)="A",H899,IF(Parameter!$E$30="MAX-Bestand",IF(CH899=1,CI899,IF(LEFT(Cockpit!$O$5,1)="B",BF899,MAX(BF899,H899))),ROUNDUP(BD899,0)))</f>
        <v>1</v>
      </c>
      <c r="BA899" s="50" t="n">
        <f aca="false">IF(BZ899=1,0,ROUNDUP(AZ899/BY899,0))</f>
        <v>1</v>
      </c>
      <c r="BB899" s="52" t="n">
        <f aca="false">IF(CQ899&gt;0,CQ899*MAX(1,AZ899/X899),IF(BZ899=1,IF(AZ899&lt;=0,0,CD899*MAX(1,IF(H899&gt;0,AZ899/H899,1))),IF(R899&gt;0,BA899/R899,0))/MAX(0.1,N(Parameter!$M$21)))</f>
        <v>0.00714285714285714</v>
      </c>
      <c r="BC899" s="50" t="n">
        <f aca="false">BB899*CB899</f>
        <v>1.10714285714286</v>
      </c>
      <c r="BD899" s="51" t="n">
        <f aca="false">IF(LEFT(Cockpit!$O$5,1)="A",H899,IF(CH899=1,(CK899+CI899)/2,IF(LEFT(Cockpit!$O$5,1)="B",(CK899+BF899)/2,MAX((CK899+BF899)/2,H899))))</f>
        <v>0.5</v>
      </c>
      <c r="BE899" s="50" t="n">
        <f aca="false">BD899*G899</f>
        <v>0.465</v>
      </c>
      <c r="BF899" s="50" t="n">
        <f aca="false">ROUNDUP(CK899+MAX(CL899,2*(J899/IF(CG899&gt;0,CG899,MAX(0.1,N(Cockpit!$O$6)))-CK899)),0)</f>
        <v>1</v>
      </c>
      <c r="BG899" s="51" t="n">
        <f aca="false">IF(BC899&gt;0,J899/BC899,-1)</f>
        <v>0</v>
      </c>
      <c r="BH899" s="51" t="n">
        <f aca="false">IF(AND(OR(CF899="L1",CF899="L23",CF899="LIFT"),BC899&gt;0),SUMIFS($BC$7:$BC$1843,$CF$7:$CF$1843,CF899,$BG$7:$BG$1843,"&gt;"&amp;BG899)+SUMIFS($BC$7:$BC$1843,$CF$7:$CF$1843,CF899,$BG$7:$BG$1843,BG899,$BW$7:$BW$1843,"&lt;="&amp;BW899),"")</f>
        <v>28499.3075758987</v>
      </c>
      <c r="BI899" s="58" t="n">
        <f aca="false">IF(BH899="",0,MAX(0,MIN(1,(IF(CF899="L1",Parameter!$H$5,IF(CF899="L23",Parameter!$H$6+Parameter!$H$7,Parameter!$H$5+Parameter!$H$6+Parameter!$H$7))-(BH899-BC899))/BC899)))</f>
        <v>1</v>
      </c>
      <c r="BJ899" s="48" t="str">
        <f aca="false">IF(AI899&lt;=0,"",IF(CF899="Aussen","Aussenlager",IF(CF899="-","Nicht im Lift",IF(AO899&gt;=1,"Lift",IF(AO899&lt;=0,"Aussenlager","teilweise")))))</f>
        <v>Lift</v>
      </c>
      <c r="BK899" s="48" t="str">
        <f aca="false">IF(AS899&lt;=0,"",IF(CF899="Aussen","Aussenlager",IF(CF899="-","Nicht im Lift",IF(AY899&gt;=1,"Lift",IF(AY899&lt;=0,"Aussenlager","teilweise")))))</f>
        <v>Lift</v>
      </c>
      <c r="BL899" s="48" t="str">
        <f aca="false">IF(BC899&lt;=0,"",IF(CF899="Aussen","Aussenlager",IF(CF899="-","Nicht im Lift",IF(BI899&gt;=1,"Lift",IF(BI899&lt;=0,"Aussenlager","teilweise")))))</f>
        <v>Lift</v>
      </c>
      <c r="BM899" s="48" t="str">
        <f aca="false">IF(A899="","",IF(BV899=1,"Neu; ","")&amp;IF(AND(BV899=0,BQ899&lt;0),"negativer Bestand (Export "&amp;BQ899&amp;"); ","")&amp;IF(J899&lt;=0,"Kein Verbrauch; ","")&amp;IF(CQ899&gt;0,"Lift "&amp;W899&amp;" lt. Liftbericht (Fach "&amp;X899&amp;" Stk); ",IF(CA899=1,"Gebinde geschätzt ("&amp;T899&amp;"); ",IF(BZ899=1,"Lose – Tablare geschätzt; ","")))&amp;IF(H899&gt;AV899,"Überbestand "&amp;ROUND(H899-AV899,0)&amp;" Stk / CHF "&amp;ROUND((H899-AV899)*G899,0)&amp;"; ","")&amp;IF(AND(CH899=1,CI899&lt;CJ899),"MAX &lt; MB+LG; ","")&amp;IF(AND(CP899&gt;0,CO899*10&gt;CP899),"zu hoch für Tablar; ","")&amp;IF(AND(BV899=0,OR(CH899=1,AA899&lt;&gt;"",U899&lt;&gt;"",V899&lt;&gt;"",AB899&lt;&gt;"")),"manuell übersteuert; ","")&amp;IF(AND(BZ899=0,R899=0),"Gebinde unbekannt / Stellmass fehlt; ","")&amp;IF(AND(BZ899=0,N(V899)&lt;=0,N(Q899)&lt;=0),"Menge pro Gebinde fehlt (Ist = 1 Gebinde); ","")&amp;BU899)</f>
        <v>negativer Bestand (Export -35); Kein Verbrauch; Überbestand 44 Stk / CHF 41; Twin</v>
      </c>
      <c r="BN899" s="48"/>
      <c r="BO899" s="48"/>
      <c r="BP899" s="55"/>
      <c r="BQ899" s="50" t="n">
        <v>-35</v>
      </c>
      <c r="BR899" s="50" t="n">
        <v>80</v>
      </c>
      <c r="BS899" s="49" t="n">
        <v>-32.55</v>
      </c>
      <c r="BT899" s="50" t="n">
        <v>0</v>
      </c>
      <c r="BU899" s="48" t="s">
        <v>223</v>
      </c>
      <c r="BV899" s="53" t="n">
        <v>0</v>
      </c>
      <c r="BW899" s="53" t="n">
        <v>899</v>
      </c>
      <c r="BX899" s="48" t="str">
        <f aca="false">IF(U899&lt;&gt;"",UPPER(TRIM(U899)),IF(CA899=1,UPPER(VLOOKUP(T899,Parameter!$I$27:$K$29,2,0)),IF(P899="","LOSE",P899)))</f>
        <v>S22</v>
      </c>
      <c r="BY899" s="50" t="n">
        <f aca="false">IF(BX899="LOSE",1,IF(N(V899)&gt;0,V899,IF(CA899=1,MAX(1,N(VLOOKUP(T899,Parameter!$I$27:$K$29,3,0)),H899,N(N899)),IF(N(Q899)&gt;0,Q899,MAX(1,H899)))))</f>
        <v>50</v>
      </c>
      <c r="BZ899" s="53" t="n">
        <f aca="false">IF(BX899="LOSE",1,0)</f>
        <v>0</v>
      </c>
      <c r="CA899" s="53" t="n">
        <f aca="false">IF(AND(U899="",OR(P899="",P899="LOSE"),T899&lt;&gt;"",N(S899)&lt;=0,ISNUMBER(MATCH(T899,Parameter!$I$27:$I$29,0))),1,0)</f>
        <v>0</v>
      </c>
      <c r="CB899" s="53" t="n">
        <f aca="false">IF(CQ899&gt;0,INDEX(Parameter!$H$5:$H$7,W899)/INDEX(Parameter!$E$5:$E$7,W899),IF(AND(BZ899=0,N(IFERROR(VLOOKUP(BX899,'Gebinde-Kategorie'!$A$5:$N$45,14,0),0))&gt;0),VLOOKUP(BX899,'Gebinde-Kategorie'!$A$5:$N$45,14,0)*10+Parameter!$M$23,Parameter!$M$24))</f>
        <v>155</v>
      </c>
      <c r="CC899" s="48" t="str">
        <f aca="false">IF(AND(Parameter!$B$19="Ja",E899&lt;&gt;"",ISNUMBER(MATCH(E899,Parameter!$I$35:$I$52,0))),VLOOKUP(E899,Parameter!$I$35:$J$52,2,0),IFERROR(VLOOKUP(D899,Parameter!$A$35:$C$64,2,0),"Nein"))</f>
        <v>2+3</v>
      </c>
      <c r="CD899" s="52" t="n">
        <f aca="false">IF(BZ899=0,0,IF(N(S899)&gt;0,S899,IFERROR(VLOOKUP(D899,Parameter!$A$35:$C$64,3,0)+0,0)))</f>
        <v>0</v>
      </c>
      <c r="CE899" s="48" t="n">
        <f aca="false">IF(AA899&lt;&gt;"",AA899,Z899)</f>
        <v>3</v>
      </c>
      <c r="CF899" s="48" t="str">
        <f aca="false">IF(OR(CE899=1,CE899=2,CE899=3),IF(Parameter!$E$27="Ja","LIFT",IF(CE899=1,"L1","L23")),IF(CE899="Aussen","Aussen","-"))</f>
        <v>LIFT</v>
      </c>
      <c r="CG899" s="59" t="n">
        <f aca="false">IF(N(AB899)&gt;0,AB899,0)</f>
        <v>0</v>
      </c>
      <c r="CH899" s="53" t="n">
        <f aca="false">IF(ISNUMBER(AE899),1,0)</f>
        <v>0</v>
      </c>
      <c r="CI899" s="50" t="n">
        <f aca="false">N(AE899)</f>
        <v>0</v>
      </c>
      <c r="CJ899" s="50" t="n">
        <f aca="false">N(M899)+N(N899)</f>
        <v>1</v>
      </c>
      <c r="CK899" s="50" t="n">
        <f aca="false">N(M899)</f>
        <v>0</v>
      </c>
      <c r="CL899" s="50" t="n">
        <f aca="false">N(N899)</f>
        <v>1</v>
      </c>
      <c r="CM899" s="50" t="n">
        <f aca="false">ROUNDUP(H899/BY899,0)</f>
        <v>1</v>
      </c>
      <c r="CN899" s="50" t="n">
        <f aca="false">ROUNDUP(CI899/BY899,0)</f>
        <v>0</v>
      </c>
      <c r="CO899" s="53" t="n">
        <f aca="false">IF(BZ899=1,0,IFERROR(VLOOKUP(BX899,'Gebinde-Kategorie'!$A$5:$N$45,5,0)+0,0))</f>
        <v>8</v>
      </c>
      <c r="CP899" s="53" t="n">
        <f aca="false">IFERROR(IF(OR(CE899=1,CE899=2,CE899=3),N(INDEX(Parameter!$I$5:$I$7,CE899)),0),0)</f>
        <v>0</v>
      </c>
      <c r="CQ899" s="52" t="n">
        <f aca="false">IF(AND(Parameter!$B$21="Ja",ISNUMBER(W899),N(X899)&gt;0),IFERROR(N(INDEX(Parameter!$L$5:$L$7,W899))*INDEX(Parameter!$E$5:$E$7,W899)*X899/SUMIFS($X$7:$X$1843,$W$7:$W$1843,W899),0),0)</f>
        <v>0</v>
      </c>
    </row>
    <row r="900" customFormat="false" ht="15" hidden="false" customHeight="false" outlineLevel="0" collapsed="false">
      <c r="A900" s="48" t="s">
        <v>1702</v>
      </c>
      <c r="B900" s="48" t="s">
        <v>1703</v>
      </c>
      <c r="C900" s="48" t="s">
        <v>173</v>
      </c>
      <c r="D900" s="48" t="s">
        <v>193</v>
      </c>
      <c r="E900" s="48"/>
      <c r="F900" s="48" t="s">
        <v>227</v>
      </c>
      <c r="G900" s="49" t="n">
        <v>11.39</v>
      </c>
      <c r="H900" s="50" t="n">
        <f aca="false">MAX(0,IF(AND(Parameter!$B$21="Ja",ISNUMBER(Y900)),Y900,IF(Parameter!$B$20="Jahresanfang 2025 + Export",BR900+BQ900,BQ900)))</f>
        <v>0</v>
      </c>
      <c r="I900" s="50" t="n">
        <f aca="false">H900*G900</f>
        <v>0</v>
      </c>
      <c r="J900" s="50" t="n">
        <f aca="false">BT900*Parameter!$B$18</f>
        <v>0</v>
      </c>
      <c r="K900" s="51" t="n">
        <v>1.5</v>
      </c>
      <c r="L900" s="52" t="n">
        <v>0</v>
      </c>
      <c r="M900" s="50" t="n">
        <v>0</v>
      </c>
      <c r="N900" s="50" t="n">
        <v>1</v>
      </c>
      <c r="O900" s="53" t="n">
        <v>28</v>
      </c>
      <c r="P900" s="48" t="s">
        <v>177</v>
      </c>
      <c r="Q900" s="50"/>
      <c r="R900" s="53" t="n">
        <f aca="false">IF(BZ900=1,0,IFERROR(VLOOKUP(BX900,'Gebinde-Kategorie'!$A$5:$N$45,13,0)+0,0))</f>
        <v>26</v>
      </c>
      <c r="S900" s="54"/>
      <c r="T900" s="55" t="s">
        <v>284</v>
      </c>
      <c r="U900" s="55"/>
      <c r="V900" s="55"/>
      <c r="W900" s="48"/>
      <c r="X900" s="50"/>
      <c r="Y900" s="50"/>
      <c r="Z900" s="48" t="n">
        <f aca="false">IF(A900="","",IF(AND(Parameter!$B$21="Ja",ISNUMBER(W900)),W900,IF(CC900="2+3",IF(ISNUMBER(SEARCH("grosser Artikel",BU900)),2,IFERROR(VLOOKUP(BX900,Parameter!$F$35:$G$64,2,0),2)),IF(OR(CC900="Nein",CC900=""),"-",CC900))))</f>
        <v>3</v>
      </c>
      <c r="AA900" s="55"/>
      <c r="AB900" s="56"/>
      <c r="AC900" s="50" t="n">
        <f aca="false">AV900</f>
        <v>1</v>
      </c>
      <c r="AD900" s="50" t="n">
        <f aca="false">MAX(AV900,H900)</f>
        <v>1</v>
      </c>
      <c r="AE900" s="57"/>
      <c r="AF900" s="50" t="n">
        <f aca="false">IF(LEFT(Cockpit!$C$5,1)="A",H900,IF(Parameter!$E$30="MAX-Bestand",IF(CH900=1,CI900,IF(LEFT(Cockpit!$C$5,1)="B",AL900,MAX(AL900,H900))),ROUNDUP(AJ900,0)))</f>
        <v>0</v>
      </c>
      <c r="AG900" s="50" t="n">
        <f aca="false">IF(BZ900=1,0,ROUNDUP(AF900/BY900,0))</f>
        <v>0</v>
      </c>
      <c r="AH900" s="52" t="n">
        <f aca="false">IF(CQ900&gt;0,CQ900*MAX(1,AF900/X900),IF(BZ900=1,IF(AF900&lt;=0,0,CD900*MAX(1,IF(H900&gt;0,AF900/H900,1))),IF(R900&gt;0,AG900/R900,0))/MAX(0.1,N(Parameter!$M$21)))</f>
        <v>0</v>
      </c>
      <c r="AI900" s="50" t="n">
        <f aca="false">AH900*CB900</f>
        <v>0</v>
      </c>
      <c r="AJ900" s="51" t="n">
        <f aca="false">IF(LEFT(Cockpit!$C$5,1)="A",H900,IF(CH900=1,(CK900+CI900)/2,IF(LEFT(Cockpit!$C$5,1)="B",(CK900+AL900)/2,MAX((CK900+AL900)/2,H900))))</f>
        <v>0</v>
      </c>
      <c r="AK900" s="50" t="n">
        <f aca="false">AJ900*G900</f>
        <v>0</v>
      </c>
      <c r="AL900" s="50" t="n">
        <f aca="false">ROUNDUP(CK900+MAX(CL900,2*(J900/IF(CG900&gt;0,CG900,MAX(0.1,N(Cockpit!$C$6)))-CK900)),0)</f>
        <v>1</v>
      </c>
      <c r="AM900" s="51" t="n">
        <f aca="false">IF(AI900&gt;0,J900/AI900,-1)</f>
        <v>-1</v>
      </c>
      <c r="AN900" s="51" t="str">
        <f aca="false">IF(AND(OR(CF900="L1",CF900="L23",CF900="LIFT"),AI900&gt;0),SUMIFS($AI$7:$AI$1843,$CF$7:$CF$1843,CF900,$AM$7:$AM$1843,"&gt;"&amp;AM900)+SUMIFS($AI$7:$AI$1843,$CF$7:$CF$1843,CF900,$AM$7:$AM$1843,AM900,$BW$7:$BW$1843,"&lt;="&amp;BW900),"")</f>
        <v/>
      </c>
      <c r="AO900" s="58" t="n">
        <f aca="false">IF(AN900="",0,MAX(0,MIN(1,(IF(CF900="L1",Parameter!$H$5,IF(CF900="L23",Parameter!$H$6+Parameter!$H$7,Parameter!$H$5+Parameter!$H$6+Parameter!$H$7))-(AN900-AI900))/AI900)))</f>
        <v>0</v>
      </c>
      <c r="AP900" s="50" t="n">
        <f aca="false">IF(LEFT(Cockpit!$I$5,1)="A",H900,IF(Parameter!$E$30="MAX-Bestand",IF(CH900=1,CI900,IF(LEFT(Cockpit!$I$5,1)="B",AV900,MAX(AV900,H900))),ROUNDUP(AT900,0)))</f>
        <v>1</v>
      </c>
      <c r="AQ900" s="50" t="n">
        <f aca="false">IF(BZ900=1,0,ROUNDUP(AP900/BY900,0))</f>
        <v>1</v>
      </c>
      <c r="AR900" s="52" t="n">
        <f aca="false">IF(CQ900&gt;0,CQ900*MAX(1,AP900/X900),IF(BZ900=1,IF(AP900&lt;=0,0,CD900*MAX(1,IF(H900&gt;0,AP900/H900,1))),IF(R900&gt;0,AQ900/R900,0))/MAX(0.1,N(Parameter!$M$21)))</f>
        <v>0.0384615384615385</v>
      </c>
      <c r="AS900" s="50" t="n">
        <f aca="false">AR900*CB900</f>
        <v>5.96153846153846</v>
      </c>
      <c r="AT900" s="51" t="n">
        <f aca="false">IF(LEFT(Cockpit!$I$5,1)="A",H900,IF(CH900=1,(CK900+CI900)/2,IF(LEFT(Cockpit!$I$5,1)="B",(CK900+AV900)/2,MAX((CK900+AV900)/2,H900))))</f>
        <v>0.5</v>
      </c>
      <c r="AU900" s="50" t="n">
        <f aca="false">AT900*G900</f>
        <v>5.695</v>
      </c>
      <c r="AV900" s="50" t="n">
        <f aca="false">ROUNDUP(CK900+MAX(CL900,2*(J900/IF(CG900&gt;0,CG900,MAX(0.1,N(Cockpit!$I$6)))-CK900)),0)</f>
        <v>1</v>
      </c>
      <c r="AW900" s="51" t="n">
        <f aca="false">IF(AS900&gt;0,J900/AS900,-1)</f>
        <v>0</v>
      </c>
      <c r="AX900" s="51" t="n">
        <f aca="false">IF(AND(OR(CF900="L1",CF900="L23",CF900="LIFT"),AS900&gt;0),SUMIFS($AS$7:$AS$1843,$CF$7:$CF$1843,CF900,$AW$7:$AW$1843,"&gt;"&amp;AW900)+SUMIFS($AS$7:$AS$1843,$CF$7:$CF$1843,CF900,$AW$7:$AW$1843,AW900,$BW$7:$BW$1843,"&lt;="&amp;BW900),"")</f>
        <v>34473.663003663</v>
      </c>
      <c r="AY900" s="58" t="n">
        <f aca="false">IF(AX900="",0,MAX(0,MIN(1,(IF(CF900="L1",Parameter!$H$5,IF(CF900="L23",Parameter!$H$6+Parameter!$H$7,Parameter!$H$5+Parameter!$H$6+Parameter!$H$7))-(AX900-AS900))/AS900)))</f>
        <v>1</v>
      </c>
      <c r="AZ900" s="50" t="n">
        <f aca="false">IF(LEFT(Cockpit!$O$5,1)="A",H900,IF(Parameter!$E$30="MAX-Bestand",IF(CH900=1,CI900,IF(LEFT(Cockpit!$O$5,1)="B",BF900,MAX(BF900,H900))),ROUNDUP(BD900,0)))</f>
        <v>1</v>
      </c>
      <c r="BA900" s="50" t="n">
        <f aca="false">IF(BZ900=1,0,ROUNDUP(AZ900/BY900,0))</f>
        <v>1</v>
      </c>
      <c r="BB900" s="52" t="n">
        <f aca="false">IF(CQ900&gt;0,CQ900*MAX(1,AZ900/X900),IF(BZ900=1,IF(AZ900&lt;=0,0,CD900*MAX(1,IF(H900&gt;0,AZ900/H900,1))),IF(R900&gt;0,BA900/R900,0))/MAX(0.1,N(Parameter!$M$21)))</f>
        <v>0.0384615384615385</v>
      </c>
      <c r="BC900" s="50" t="n">
        <f aca="false">BB900*CB900</f>
        <v>5.96153846153846</v>
      </c>
      <c r="BD900" s="51" t="n">
        <f aca="false">IF(LEFT(Cockpit!$O$5,1)="A",H900,IF(CH900=1,(CK900+CI900)/2,IF(LEFT(Cockpit!$O$5,1)="B",(CK900+BF900)/2,MAX((CK900+BF900)/2,H900))))</f>
        <v>0.5</v>
      </c>
      <c r="BE900" s="50" t="n">
        <f aca="false">BD900*G900</f>
        <v>5.695</v>
      </c>
      <c r="BF900" s="50" t="n">
        <f aca="false">ROUNDUP(CK900+MAX(CL900,2*(J900/IF(CG900&gt;0,CG900,MAX(0.1,N(Cockpit!$O$6)))-CK900)),0)</f>
        <v>1</v>
      </c>
      <c r="BG900" s="51" t="n">
        <f aca="false">IF(BC900&gt;0,J900/BC900,-1)</f>
        <v>0</v>
      </c>
      <c r="BH900" s="51" t="n">
        <f aca="false">IF(AND(OR(CF900="L1",CF900="L23",CF900="LIFT"),BC900&gt;0),SUMIFS($BC$7:$BC$1843,$CF$7:$CF$1843,CF900,$BG$7:$BG$1843,"&gt;"&amp;BG900)+SUMIFS($BC$7:$BC$1843,$CF$7:$CF$1843,CF900,$BG$7:$BG$1843,BG900,$BW$7:$BW$1843,"&lt;="&amp;BW900),"")</f>
        <v>28505.2691143602</v>
      </c>
      <c r="BI900" s="58" t="n">
        <f aca="false">IF(BH900="",0,MAX(0,MIN(1,(IF(CF900="L1",Parameter!$H$5,IF(CF900="L23",Parameter!$H$6+Parameter!$H$7,Parameter!$H$5+Parameter!$H$6+Parameter!$H$7))-(BH900-BC900))/BC900)))</f>
        <v>1</v>
      </c>
      <c r="BJ900" s="48" t="str">
        <f aca="false">IF(AI900&lt;=0,"",IF(CF900="Aussen","Aussenlager",IF(CF900="-","Nicht im Lift",IF(AO900&gt;=1,"Lift",IF(AO900&lt;=0,"Aussenlager","teilweise")))))</f>
        <v/>
      </c>
      <c r="BK900" s="48" t="str">
        <f aca="false">IF(AS900&lt;=0,"",IF(CF900="Aussen","Aussenlager",IF(CF900="-","Nicht im Lift",IF(AY900&gt;=1,"Lift",IF(AY900&lt;=0,"Aussenlager","teilweise")))))</f>
        <v>Lift</v>
      </c>
      <c r="BL900" s="48" t="str">
        <f aca="false">IF(BC900&lt;=0,"",IF(CF900="Aussen","Aussenlager",IF(CF900="-","Nicht im Lift",IF(BI900&gt;=1,"Lift",IF(BI900&lt;=0,"Aussenlager","teilweise")))))</f>
        <v>Lift</v>
      </c>
      <c r="BM900" s="48" t="str">
        <f aca="false">IF(A900="","",IF(BV900=1,"Neu; ","")&amp;IF(AND(BV900=0,BQ900&lt;0),"negativer Bestand (Export "&amp;BQ900&amp;"); ","")&amp;IF(J900&lt;=0,"Kein Verbrauch; ","")&amp;IF(CQ900&gt;0,"Lift "&amp;W900&amp;" lt. Liftbericht (Fach "&amp;X900&amp;" Stk); ",IF(CA900=1,"Gebinde geschätzt ("&amp;T900&amp;"); ",IF(BZ900=1,"Lose – Tablare geschätzt; ","")))&amp;IF(H900&gt;AV900,"Überbestand "&amp;ROUND(H900-AV900,0)&amp;" Stk / CHF "&amp;ROUND((H900-AV900)*G900,0)&amp;"; ","")&amp;IF(AND(CH900=1,CI900&lt;CJ900),"MAX &lt; MB+LG; ","")&amp;IF(AND(CP900&gt;0,CO900*10&gt;CP900),"zu hoch für Tablar; ","")&amp;IF(AND(BV900=0,OR(CH900=1,AA900&lt;&gt;"",U900&lt;&gt;"",V900&lt;&gt;"",AB900&lt;&gt;"")),"manuell übersteuert; ","")&amp;IF(AND(BZ900=0,R900=0),"Gebinde unbekannt / Stellmass fehlt; ","")&amp;IF(AND(BZ900=0,N(V900)&lt;=0,N(Q900)&lt;=0),"Menge pro Gebinde fehlt (Ist = 1 Gebinde); ","")&amp;BU900)</f>
        <v>negativer Bestand (Export -3); Kein Verbrauch; Gebinde geschätzt (Klein); Menge pro Gebinde fehlt (Ist = 1 Gebinde); </v>
      </c>
      <c r="BN900" s="48"/>
      <c r="BO900" s="48"/>
      <c r="BP900" s="55"/>
      <c r="BQ900" s="50" t="n">
        <v>-3</v>
      </c>
      <c r="BR900" s="50" t="n">
        <v>3</v>
      </c>
      <c r="BS900" s="49" t="n">
        <v>-34.17</v>
      </c>
      <c r="BT900" s="50" t="n">
        <v>0</v>
      </c>
      <c r="BU900" s="48"/>
      <c r="BV900" s="53" t="n">
        <v>0</v>
      </c>
      <c r="BW900" s="53" t="n">
        <v>900</v>
      </c>
      <c r="BX900" s="48" t="str">
        <f aca="false">IF(U900&lt;&gt;"",UPPER(TRIM(U900)),IF(CA900=1,UPPER(VLOOKUP(T900,Parameter!$I$27:$K$29,2,0)),IF(P900="","LOSE",P900)))</f>
        <v>S51</v>
      </c>
      <c r="BY900" s="50" t="n">
        <f aca="false">IF(BX900="LOSE",1,IF(N(V900)&gt;0,V900,IF(CA900=1,MAX(1,N(VLOOKUP(T900,Parameter!$I$27:$K$29,3,0)),H900,N(N900)),IF(N(Q900)&gt;0,Q900,MAX(1,H900)))))</f>
        <v>20</v>
      </c>
      <c r="BZ900" s="53" t="n">
        <f aca="false">IF(BX900="LOSE",1,0)</f>
        <v>0</v>
      </c>
      <c r="CA900" s="53" t="n">
        <f aca="false">IF(AND(U900="",OR(P900="",P900="LOSE"),T900&lt;&gt;"",N(S900)&lt;=0,ISNUMBER(MATCH(T900,Parameter!$I$27:$I$29,0))),1,0)</f>
        <v>1</v>
      </c>
      <c r="CB900" s="53" t="n">
        <f aca="false">IF(CQ900&gt;0,INDEX(Parameter!$H$5:$H$7,W900)/INDEX(Parameter!$E$5:$E$7,W900),IF(AND(BZ900=0,N(IFERROR(VLOOKUP(BX900,'Gebinde-Kategorie'!$A$5:$N$45,14,0),0))&gt;0),VLOOKUP(BX900,'Gebinde-Kategorie'!$A$5:$N$45,14,0)*10+Parameter!$M$23,Parameter!$M$24))</f>
        <v>155</v>
      </c>
      <c r="CC900" s="48" t="str">
        <f aca="false">IF(AND(Parameter!$B$19="Ja",E900&lt;&gt;"",ISNUMBER(MATCH(E900,Parameter!$I$35:$I$52,0))),VLOOKUP(E900,Parameter!$I$35:$J$52,2,0),IFERROR(VLOOKUP(D900,Parameter!$A$35:$C$64,2,0),"Nein"))</f>
        <v>2+3</v>
      </c>
      <c r="CD900" s="52" t="n">
        <f aca="false">IF(BZ900=0,0,IF(N(S900)&gt;0,S900,IFERROR(VLOOKUP(D900,Parameter!$A$35:$C$64,3,0)+0,0)))</f>
        <v>0</v>
      </c>
      <c r="CE900" s="48" t="n">
        <f aca="false">IF(AA900&lt;&gt;"",AA900,Z900)</f>
        <v>3</v>
      </c>
      <c r="CF900" s="48" t="str">
        <f aca="false">IF(OR(CE900=1,CE900=2,CE900=3),IF(Parameter!$E$27="Ja","LIFT",IF(CE900=1,"L1","L23")),IF(CE900="Aussen","Aussen","-"))</f>
        <v>LIFT</v>
      </c>
      <c r="CG900" s="59" t="n">
        <f aca="false">IF(N(AB900)&gt;0,AB900,0)</f>
        <v>0</v>
      </c>
      <c r="CH900" s="53" t="n">
        <f aca="false">IF(ISNUMBER(AE900),1,0)</f>
        <v>0</v>
      </c>
      <c r="CI900" s="50" t="n">
        <f aca="false">N(AE900)</f>
        <v>0</v>
      </c>
      <c r="CJ900" s="50" t="n">
        <f aca="false">N(M900)+N(N900)</f>
        <v>1</v>
      </c>
      <c r="CK900" s="50" t="n">
        <f aca="false">N(M900)</f>
        <v>0</v>
      </c>
      <c r="CL900" s="50" t="n">
        <f aca="false">N(N900)</f>
        <v>1</v>
      </c>
      <c r="CM900" s="50" t="n">
        <f aca="false">ROUNDUP(H900/BY900,0)</f>
        <v>0</v>
      </c>
      <c r="CN900" s="50" t="n">
        <f aca="false">ROUNDUP(CI900/BY900,0)</f>
        <v>0</v>
      </c>
      <c r="CO900" s="53" t="n">
        <f aca="false">IF(BZ900=1,0,IFERROR(VLOOKUP(BX900,'Gebinde-Kategorie'!$A$5:$N$45,5,0)+0,0))</f>
        <v>11</v>
      </c>
      <c r="CP900" s="53" t="n">
        <f aca="false">IFERROR(IF(OR(CE900=1,CE900=2,CE900=3),N(INDEX(Parameter!$I$5:$I$7,CE900)),0),0)</f>
        <v>0</v>
      </c>
      <c r="CQ900" s="52" t="n">
        <f aca="false">IF(AND(Parameter!$B$21="Ja",ISNUMBER(W900),N(X900)&gt;0),IFERROR(N(INDEX(Parameter!$L$5:$L$7,W900))*INDEX(Parameter!$E$5:$E$7,W900)*X900/SUMIFS($X$7:$X$1843,$W$7:$W$1843,W900),0),0)</f>
        <v>0</v>
      </c>
    </row>
    <row r="901" customFormat="false" ht="15" hidden="false" customHeight="false" outlineLevel="0" collapsed="false">
      <c r="A901" s="48" t="s">
        <v>1704</v>
      </c>
      <c r="B901" s="48" t="s">
        <v>1703</v>
      </c>
      <c r="C901" s="48" t="s">
        <v>173</v>
      </c>
      <c r="D901" s="48" t="s">
        <v>193</v>
      </c>
      <c r="E901" s="48"/>
      <c r="F901" s="48" t="s">
        <v>227</v>
      </c>
      <c r="G901" s="49" t="n">
        <v>11.39</v>
      </c>
      <c r="H901" s="50" t="n">
        <f aca="false">MAX(0,IF(AND(Parameter!$B$21="Ja",ISNUMBER(Y901)),Y901,IF(Parameter!$B$20="Jahresanfang 2025 + Export",BR901+BQ901,BQ901)))</f>
        <v>0</v>
      </c>
      <c r="I901" s="50" t="n">
        <f aca="false">H901*G901</f>
        <v>0</v>
      </c>
      <c r="J901" s="50" t="n">
        <f aca="false">BT901*Parameter!$B$18</f>
        <v>0</v>
      </c>
      <c r="K901" s="51" t="n">
        <v>1.5</v>
      </c>
      <c r="L901" s="52" t="n">
        <v>0</v>
      </c>
      <c r="M901" s="50" t="n">
        <v>0</v>
      </c>
      <c r="N901" s="50" t="n">
        <v>1</v>
      </c>
      <c r="O901" s="53" t="n">
        <v>28</v>
      </c>
      <c r="P901" s="48" t="s">
        <v>177</v>
      </c>
      <c r="Q901" s="50"/>
      <c r="R901" s="53" t="n">
        <f aca="false">IF(BZ901=1,0,IFERROR(VLOOKUP(BX901,'Gebinde-Kategorie'!$A$5:$N$45,13,0)+0,0))</f>
        <v>26</v>
      </c>
      <c r="S901" s="54"/>
      <c r="T901" s="55" t="s">
        <v>284</v>
      </c>
      <c r="U901" s="55"/>
      <c r="V901" s="55"/>
      <c r="W901" s="48"/>
      <c r="X901" s="50"/>
      <c r="Y901" s="50"/>
      <c r="Z901" s="48" t="n">
        <f aca="false">IF(A901="","",IF(AND(Parameter!$B$21="Ja",ISNUMBER(W901)),W901,IF(CC901="2+3",IF(ISNUMBER(SEARCH("grosser Artikel",BU901)),2,IFERROR(VLOOKUP(BX901,Parameter!$F$35:$G$64,2,0),2)),IF(OR(CC901="Nein",CC901=""),"-",CC901))))</f>
        <v>3</v>
      </c>
      <c r="AA901" s="55"/>
      <c r="AB901" s="56"/>
      <c r="AC901" s="50" t="n">
        <f aca="false">AV901</f>
        <v>1</v>
      </c>
      <c r="AD901" s="50" t="n">
        <f aca="false">MAX(AV901,H901)</f>
        <v>1</v>
      </c>
      <c r="AE901" s="57"/>
      <c r="AF901" s="50" t="n">
        <f aca="false">IF(LEFT(Cockpit!$C$5,1)="A",H901,IF(Parameter!$E$30="MAX-Bestand",IF(CH901=1,CI901,IF(LEFT(Cockpit!$C$5,1)="B",AL901,MAX(AL901,H901))),ROUNDUP(AJ901,0)))</f>
        <v>0</v>
      </c>
      <c r="AG901" s="50" t="n">
        <f aca="false">IF(BZ901=1,0,ROUNDUP(AF901/BY901,0))</f>
        <v>0</v>
      </c>
      <c r="AH901" s="52" t="n">
        <f aca="false">IF(CQ901&gt;0,CQ901*MAX(1,AF901/X901),IF(BZ901=1,IF(AF901&lt;=0,0,CD901*MAX(1,IF(H901&gt;0,AF901/H901,1))),IF(R901&gt;0,AG901/R901,0))/MAX(0.1,N(Parameter!$M$21)))</f>
        <v>0</v>
      </c>
      <c r="AI901" s="50" t="n">
        <f aca="false">AH901*CB901</f>
        <v>0</v>
      </c>
      <c r="AJ901" s="51" t="n">
        <f aca="false">IF(LEFT(Cockpit!$C$5,1)="A",H901,IF(CH901=1,(CK901+CI901)/2,IF(LEFT(Cockpit!$C$5,1)="B",(CK901+AL901)/2,MAX((CK901+AL901)/2,H901))))</f>
        <v>0</v>
      </c>
      <c r="AK901" s="50" t="n">
        <f aca="false">AJ901*G901</f>
        <v>0</v>
      </c>
      <c r="AL901" s="50" t="n">
        <f aca="false">ROUNDUP(CK901+MAX(CL901,2*(J901/IF(CG901&gt;0,CG901,MAX(0.1,N(Cockpit!$C$6)))-CK901)),0)</f>
        <v>1</v>
      </c>
      <c r="AM901" s="51" t="n">
        <f aca="false">IF(AI901&gt;0,J901/AI901,-1)</f>
        <v>-1</v>
      </c>
      <c r="AN901" s="51" t="str">
        <f aca="false">IF(AND(OR(CF901="L1",CF901="L23",CF901="LIFT"),AI901&gt;0),SUMIFS($AI$7:$AI$1843,$CF$7:$CF$1843,CF901,$AM$7:$AM$1843,"&gt;"&amp;AM901)+SUMIFS($AI$7:$AI$1843,$CF$7:$CF$1843,CF901,$AM$7:$AM$1843,AM901,$BW$7:$BW$1843,"&lt;="&amp;BW901),"")</f>
        <v/>
      </c>
      <c r="AO901" s="58" t="n">
        <f aca="false">IF(AN901="",0,MAX(0,MIN(1,(IF(CF901="L1",Parameter!$H$5,IF(CF901="L23",Parameter!$H$6+Parameter!$H$7,Parameter!$H$5+Parameter!$H$6+Parameter!$H$7))-(AN901-AI901))/AI901)))</f>
        <v>0</v>
      </c>
      <c r="AP901" s="50" t="n">
        <f aca="false">IF(LEFT(Cockpit!$I$5,1)="A",H901,IF(Parameter!$E$30="MAX-Bestand",IF(CH901=1,CI901,IF(LEFT(Cockpit!$I$5,1)="B",AV901,MAX(AV901,H901))),ROUNDUP(AT901,0)))</f>
        <v>1</v>
      </c>
      <c r="AQ901" s="50" t="n">
        <f aca="false">IF(BZ901=1,0,ROUNDUP(AP901/BY901,0))</f>
        <v>1</v>
      </c>
      <c r="AR901" s="52" t="n">
        <f aca="false">IF(CQ901&gt;0,CQ901*MAX(1,AP901/X901),IF(BZ901=1,IF(AP901&lt;=0,0,CD901*MAX(1,IF(H901&gt;0,AP901/H901,1))),IF(R901&gt;0,AQ901/R901,0))/MAX(0.1,N(Parameter!$M$21)))</f>
        <v>0.0384615384615385</v>
      </c>
      <c r="AS901" s="50" t="n">
        <f aca="false">AR901*CB901</f>
        <v>5.96153846153846</v>
      </c>
      <c r="AT901" s="51" t="n">
        <f aca="false">IF(LEFT(Cockpit!$I$5,1)="A",H901,IF(CH901=1,(CK901+CI901)/2,IF(LEFT(Cockpit!$I$5,1)="B",(CK901+AV901)/2,MAX((CK901+AV901)/2,H901))))</f>
        <v>0.5</v>
      </c>
      <c r="AU901" s="50" t="n">
        <f aca="false">AT901*G901</f>
        <v>5.695</v>
      </c>
      <c r="AV901" s="50" t="n">
        <f aca="false">ROUNDUP(CK901+MAX(CL901,2*(J901/IF(CG901&gt;0,CG901,MAX(0.1,N(Cockpit!$I$6)))-CK901)),0)</f>
        <v>1</v>
      </c>
      <c r="AW901" s="51" t="n">
        <f aca="false">IF(AS901&gt;0,J901/AS901,-1)</f>
        <v>0</v>
      </c>
      <c r="AX901" s="51" t="n">
        <f aca="false">IF(AND(OR(CF901="L1",CF901="L23",CF901="LIFT"),AS901&gt;0),SUMIFS($AS$7:$AS$1843,$CF$7:$CF$1843,CF901,$AW$7:$AW$1843,"&gt;"&amp;AW901)+SUMIFS($AS$7:$AS$1843,$CF$7:$CF$1843,CF901,$AW$7:$AW$1843,AW901,$BW$7:$BW$1843,"&lt;="&amp;BW901),"")</f>
        <v>34479.6245421245</v>
      </c>
      <c r="AY901" s="58" t="n">
        <f aca="false">IF(AX901="",0,MAX(0,MIN(1,(IF(CF901="L1",Parameter!$H$5,IF(CF901="L23",Parameter!$H$6+Parameter!$H$7,Parameter!$H$5+Parameter!$H$6+Parameter!$H$7))-(AX901-AS901))/AS901)))</f>
        <v>1</v>
      </c>
      <c r="AZ901" s="50" t="n">
        <f aca="false">IF(LEFT(Cockpit!$O$5,1)="A",H901,IF(Parameter!$E$30="MAX-Bestand",IF(CH901=1,CI901,IF(LEFT(Cockpit!$O$5,1)="B",BF901,MAX(BF901,H901))),ROUNDUP(BD901,0)))</f>
        <v>1</v>
      </c>
      <c r="BA901" s="50" t="n">
        <f aca="false">IF(BZ901=1,0,ROUNDUP(AZ901/BY901,0))</f>
        <v>1</v>
      </c>
      <c r="BB901" s="52" t="n">
        <f aca="false">IF(CQ901&gt;0,CQ901*MAX(1,AZ901/X901),IF(BZ901=1,IF(AZ901&lt;=0,0,CD901*MAX(1,IF(H901&gt;0,AZ901/H901,1))),IF(R901&gt;0,BA901/R901,0))/MAX(0.1,N(Parameter!$M$21)))</f>
        <v>0.0384615384615385</v>
      </c>
      <c r="BC901" s="50" t="n">
        <f aca="false">BB901*CB901</f>
        <v>5.96153846153846</v>
      </c>
      <c r="BD901" s="51" t="n">
        <f aca="false">IF(LEFT(Cockpit!$O$5,1)="A",H901,IF(CH901=1,(CK901+CI901)/2,IF(LEFT(Cockpit!$O$5,1)="B",(CK901+BF901)/2,MAX((CK901+BF901)/2,H901))))</f>
        <v>0.5</v>
      </c>
      <c r="BE901" s="50" t="n">
        <f aca="false">BD901*G901</f>
        <v>5.695</v>
      </c>
      <c r="BF901" s="50" t="n">
        <f aca="false">ROUNDUP(CK901+MAX(CL901,2*(J901/IF(CG901&gt;0,CG901,MAX(0.1,N(Cockpit!$O$6)))-CK901)),0)</f>
        <v>1</v>
      </c>
      <c r="BG901" s="51" t="n">
        <f aca="false">IF(BC901&gt;0,J901/BC901,-1)</f>
        <v>0</v>
      </c>
      <c r="BH901" s="51" t="n">
        <f aca="false">IF(AND(OR(CF901="L1",CF901="L23",CF901="LIFT"),BC901&gt;0),SUMIFS($BC$7:$BC$1843,$CF$7:$CF$1843,CF901,$BG$7:$BG$1843,"&gt;"&amp;BG901)+SUMIFS($BC$7:$BC$1843,$CF$7:$CF$1843,CF901,$BG$7:$BG$1843,BG901,$BW$7:$BW$1843,"&lt;="&amp;BW901),"")</f>
        <v>28511.2306528218</v>
      </c>
      <c r="BI901" s="58" t="n">
        <f aca="false">IF(BH901="",0,MAX(0,MIN(1,(IF(CF901="L1",Parameter!$H$5,IF(CF901="L23",Parameter!$H$6+Parameter!$H$7,Parameter!$H$5+Parameter!$H$6+Parameter!$H$7))-(BH901-BC901))/BC901)))</f>
        <v>1</v>
      </c>
      <c r="BJ901" s="48" t="str">
        <f aca="false">IF(AI901&lt;=0,"",IF(CF901="Aussen","Aussenlager",IF(CF901="-","Nicht im Lift",IF(AO901&gt;=1,"Lift",IF(AO901&lt;=0,"Aussenlager","teilweise")))))</f>
        <v/>
      </c>
      <c r="BK901" s="48" t="str">
        <f aca="false">IF(AS901&lt;=0,"",IF(CF901="Aussen","Aussenlager",IF(CF901="-","Nicht im Lift",IF(AY901&gt;=1,"Lift",IF(AY901&lt;=0,"Aussenlager","teilweise")))))</f>
        <v>Lift</v>
      </c>
      <c r="BL901" s="48" t="str">
        <f aca="false">IF(BC901&lt;=0,"",IF(CF901="Aussen","Aussenlager",IF(CF901="-","Nicht im Lift",IF(BI901&gt;=1,"Lift",IF(BI901&lt;=0,"Aussenlager","teilweise")))))</f>
        <v>Lift</v>
      </c>
      <c r="BM901" s="48" t="str">
        <f aca="false">IF(A901="","",IF(BV901=1,"Neu; ","")&amp;IF(AND(BV901=0,BQ901&lt;0),"negativer Bestand (Export "&amp;BQ901&amp;"); ","")&amp;IF(J901&lt;=0,"Kein Verbrauch; ","")&amp;IF(CQ901&gt;0,"Lift "&amp;W901&amp;" lt. Liftbericht (Fach "&amp;X901&amp;" Stk); ",IF(CA901=1,"Gebinde geschätzt ("&amp;T901&amp;"); ",IF(BZ901=1,"Lose – Tablare geschätzt; ","")))&amp;IF(H901&gt;AV901,"Überbestand "&amp;ROUND(H901-AV901,0)&amp;" Stk / CHF "&amp;ROUND((H901-AV901)*G901,0)&amp;"; ","")&amp;IF(AND(CH901=1,CI901&lt;CJ901),"MAX &lt; MB+LG; ","")&amp;IF(AND(CP901&gt;0,CO901*10&gt;CP901),"zu hoch für Tablar; ","")&amp;IF(AND(BV901=0,OR(CH901=1,AA901&lt;&gt;"",U901&lt;&gt;"",V901&lt;&gt;"",AB901&lt;&gt;"")),"manuell übersteuert; ","")&amp;IF(AND(BZ901=0,R901=0),"Gebinde unbekannt / Stellmass fehlt; ","")&amp;IF(AND(BZ901=0,N(V901)&lt;=0,N(Q901)&lt;=0),"Menge pro Gebinde fehlt (Ist = 1 Gebinde); ","")&amp;BU901)</f>
        <v>negativer Bestand (Export -3); Kein Verbrauch; Gebinde geschätzt (Klein); Menge pro Gebinde fehlt (Ist = 1 Gebinde); </v>
      </c>
      <c r="BN901" s="48"/>
      <c r="BO901" s="48"/>
      <c r="BP901" s="55"/>
      <c r="BQ901" s="50" t="n">
        <v>-3</v>
      </c>
      <c r="BR901" s="50" t="n">
        <v>3</v>
      </c>
      <c r="BS901" s="49" t="n">
        <v>-34.17</v>
      </c>
      <c r="BT901" s="50" t="n">
        <v>0</v>
      </c>
      <c r="BU901" s="48"/>
      <c r="BV901" s="53" t="n">
        <v>0</v>
      </c>
      <c r="BW901" s="53" t="n">
        <v>901</v>
      </c>
      <c r="BX901" s="48" t="str">
        <f aca="false">IF(U901&lt;&gt;"",UPPER(TRIM(U901)),IF(CA901=1,UPPER(VLOOKUP(T901,Parameter!$I$27:$K$29,2,0)),IF(P901="","LOSE",P901)))</f>
        <v>S51</v>
      </c>
      <c r="BY901" s="50" t="n">
        <f aca="false">IF(BX901="LOSE",1,IF(N(V901)&gt;0,V901,IF(CA901=1,MAX(1,N(VLOOKUP(T901,Parameter!$I$27:$K$29,3,0)),H901,N(N901)),IF(N(Q901)&gt;0,Q901,MAX(1,H901)))))</f>
        <v>20</v>
      </c>
      <c r="BZ901" s="53" t="n">
        <f aca="false">IF(BX901="LOSE",1,0)</f>
        <v>0</v>
      </c>
      <c r="CA901" s="53" t="n">
        <f aca="false">IF(AND(U901="",OR(P901="",P901="LOSE"),T901&lt;&gt;"",N(S901)&lt;=0,ISNUMBER(MATCH(T901,Parameter!$I$27:$I$29,0))),1,0)</f>
        <v>1</v>
      </c>
      <c r="CB901" s="53" t="n">
        <f aca="false">IF(CQ901&gt;0,INDEX(Parameter!$H$5:$H$7,W901)/INDEX(Parameter!$E$5:$E$7,W901),IF(AND(BZ901=0,N(IFERROR(VLOOKUP(BX901,'Gebinde-Kategorie'!$A$5:$N$45,14,0),0))&gt;0),VLOOKUP(BX901,'Gebinde-Kategorie'!$A$5:$N$45,14,0)*10+Parameter!$M$23,Parameter!$M$24))</f>
        <v>155</v>
      </c>
      <c r="CC901" s="48" t="str">
        <f aca="false">IF(AND(Parameter!$B$19="Ja",E901&lt;&gt;"",ISNUMBER(MATCH(E901,Parameter!$I$35:$I$52,0))),VLOOKUP(E901,Parameter!$I$35:$J$52,2,0),IFERROR(VLOOKUP(D901,Parameter!$A$35:$C$64,2,0),"Nein"))</f>
        <v>2+3</v>
      </c>
      <c r="CD901" s="52" t="n">
        <f aca="false">IF(BZ901=0,0,IF(N(S901)&gt;0,S901,IFERROR(VLOOKUP(D901,Parameter!$A$35:$C$64,3,0)+0,0)))</f>
        <v>0</v>
      </c>
      <c r="CE901" s="48" t="n">
        <f aca="false">IF(AA901&lt;&gt;"",AA901,Z901)</f>
        <v>3</v>
      </c>
      <c r="CF901" s="48" t="str">
        <f aca="false">IF(OR(CE901=1,CE901=2,CE901=3),IF(Parameter!$E$27="Ja","LIFT",IF(CE901=1,"L1","L23")),IF(CE901="Aussen","Aussen","-"))</f>
        <v>LIFT</v>
      </c>
      <c r="CG901" s="59" t="n">
        <f aca="false">IF(N(AB901)&gt;0,AB901,0)</f>
        <v>0</v>
      </c>
      <c r="CH901" s="53" t="n">
        <f aca="false">IF(ISNUMBER(AE901),1,0)</f>
        <v>0</v>
      </c>
      <c r="CI901" s="50" t="n">
        <f aca="false">N(AE901)</f>
        <v>0</v>
      </c>
      <c r="CJ901" s="50" t="n">
        <f aca="false">N(M901)+N(N901)</f>
        <v>1</v>
      </c>
      <c r="CK901" s="50" t="n">
        <f aca="false">N(M901)</f>
        <v>0</v>
      </c>
      <c r="CL901" s="50" t="n">
        <f aca="false">N(N901)</f>
        <v>1</v>
      </c>
      <c r="CM901" s="50" t="n">
        <f aca="false">ROUNDUP(H901/BY901,0)</f>
        <v>0</v>
      </c>
      <c r="CN901" s="50" t="n">
        <f aca="false">ROUNDUP(CI901/BY901,0)</f>
        <v>0</v>
      </c>
      <c r="CO901" s="53" t="n">
        <f aca="false">IF(BZ901=1,0,IFERROR(VLOOKUP(BX901,'Gebinde-Kategorie'!$A$5:$N$45,5,0)+0,0))</f>
        <v>11</v>
      </c>
      <c r="CP901" s="53" t="n">
        <f aca="false">IFERROR(IF(OR(CE901=1,CE901=2,CE901=3),N(INDEX(Parameter!$I$5:$I$7,CE901)),0),0)</f>
        <v>0</v>
      </c>
      <c r="CQ901" s="52" t="n">
        <f aca="false">IF(AND(Parameter!$B$21="Ja",ISNUMBER(W901),N(X901)&gt;0),IFERROR(N(INDEX(Parameter!$L$5:$L$7,W901))*INDEX(Parameter!$E$5:$E$7,W901)*X901/SUMIFS($X$7:$X$1843,$W$7:$W$1843,W901),0),0)</f>
        <v>0</v>
      </c>
    </row>
    <row r="902" customFormat="false" ht="15" hidden="false" customHeight="false" outlineLevel="0" collapsed="false">
      <c r="A902" s="48" t="s">
        <v>1705</v>
      </c>
      <c r="B902" s="48" t="s">
        <v>1018</v>
      </c>
      <c r="C902" s="48" t="s">
        <v>173</v>
      </c>
      <c r="D902" s="48" t="s">
        <v>193</v>
      </c>
      <c r="E902" s="48"/>
      <c r="F902" s="48" t="s">
        <v>227</v>
      </c>
      <c r="G902" s="49" t="n">
        <v>4.31</v>
      </c>
      <c r="H902" s="50" t="n">
        <f aca="false">MAX(0,IF(AND(Parameter!$B$21="Ja",ISNUMBER(Y902)),Y902,IF(Parameter!$B$20="Jahresanfang 2025 + Export",BR902+BQ902,BQ902)))</f>
        <v>4</v>
      </c>
      <c r="I902" s="50" t="n">
        <f aca="false">H902*G902</f>
        <v>17.24</v>
      </c>
      <c r="J902" s="50" t="n">
        <f aca="false">BT902*Parameter!$B$18</f>
        <v>1</v>
      </c>
      <c r="K902" s="51" t="n">
        <v>11</v>
      </c>
      <c r="L902" s="52" t="n">
        <v>0.0909090909090909</v>
      </c>
      <c r="M902" s="50" t="n">
        <v>0</v>
      </c>
      <c r="N902" s="50" t="n">
        <v>1</v>
      </c>
      <c r="O902" s="53" t="n">
        <v>70</v>
      </c>
      <c r="P902" s="48" t="s">
        <v>410</v>
      </c>
      <c r="Q902" s="50" t="n">
        <v>5</v>
      </c>
      <c r="R902" s="53" t="n">
        <f aca="false">IF(BZ902=1,0,IFERROR(VLOOKUP(BX902,'Gebinde-Kategorie'!$A$5:$N$45,13,0)+0,0))</f>
        <v>280</v>
      </c>
      <c r="S902" s="54"/>
      <c r="T902" s="55"/>
      <c r="U902" s="55"/>
      <c r="V902" s="55"/>
      <c r="W902" s="48"/>
      <c r="X902" s="50"/>
      <c r="Y902" s="50"/>
      <c r="Z902" s="48" t="n">
        <f aca="false">IF(A902="","",IF(AND(Parameter!$B$21="Ja",ISNUMBER(W902)),W902,IF(CC902="2+3",IF(ISNUMBER(SEARCH("grosser Artikel",BU902)),2,IFERROR(VLOOKUP(BX902,Parameter!$F$35:$G$64,2,0),2)),IF(OR(CC902="Nein",CC902=""),"-",CC902))))</f>
        <v>3</v>
      </c>
      <c r="AA902" s="55"/>
      <c r="AB902" s="56"/>
      <c r="AC902" s="50" t="n">
        <f aca="false">AV902</f>
        <v>1</v>
      </c>
      <c r="AD902" s="50" t="n">
        <f aca="false">MAX(AV902,H902)</f>
        <v>4</v>
      </c>
      <c r="AE902" s="57"/>
      <c r="AF902" s="50" t="n">
        <f aca="false">IF(LEFT(Cockpit!$C$5,1)="A",H902,IF(Parameter!$E$30="MAX-Bestand",IF(CH902=1,CI902,IF(LEFT(Cockpit!$C$5,1)="B",AL902,MAX(AL902,H902))),ROUNDUP(AJ902,0)))</f>
        <v>4</v>
      </c>
      <c r="AG902" s="50" t="n">
        <f aca="false">IF(BZ902=1,0,ROUNDUP(AF902/BY902,0))</f>
        <v>1</v>
      </c>
      <c r="AH902" s="52" t="n">
        <f aca="false">IF(CQ902&gt;0,CQ902*MAX(1,AF902/X902),IF(BZ902=1,IF(AF902&lt;=0,0,CD902*MAX(1,IF(H902&gt;0,AF902/H902,1))),IF(R902&gt;0,AG902/R902,0))/MAX(0.1,N(Parameter!$M$21)))</f>
        <v>0.00357142857142857</v>
      </c>
      <c r="AI902" s="50" t="n">
        <f aca="false">AH902*CB902</f>
        <v>0.553571428571429</v>
      </c>
      <c r="AJ902" s="51" t="n">
        <f aca="false">IF(LEFT(Cockpit!$C$5,1)="A",H902,IF(CH902=1,(CK902+CI902)/2,IF(LEFT(Cockpit!$C$5,1)="B",(CK902+AL902)/2,MAX((CK902+AL902)/2,H902))))</f>
        <v>4</v>
      </c>
      <c r="AK902" s="50" t="n">
        <f aca="false">AJ902*G902</f>
        <v>17.24</v>
      </c>
      <c r="AL902" s="50" t="n">
        <f aca="false">ROUNDUP(CK902+MAX(CL902,2*(J902/IF(CG902&gt;0,CG902,MAX(0.1,N(Cockpit!$C$6)))-CK902)),0)</f>
        <v>1</v>
      </c>
      <c r="AM902" s="51" t="n">
        <f aca="false">IF(AI902&gt;0,J902/AI902,-1)</f>
        <v>1.80645161290323</v>
      </c>
      <c r="AN902" s="51" t="n">
        <f aca="false">IF(AND(OR(CF902="L1",CF902="L23",CF902="LIFT"),AI902&gt;0),SUMIFS($AI$7:$AI$1843,$CF$7:$CF$1843,CF902,$AM$7:$AM$1843,"&gt;"&amp;AM902)+SUMIFS($AI$7:$AI$1843,$CF$7:$CF$1843,CF902,$AM$7:$AM$1843,AM902,$BW$7:$BW$1843,"&lt;="&amp;BW902),"")</f>
        <v>5967.55815018315</v>
      </c>
      <c r="AO902" s="58" t="n">
        <f aca="false">IF(AN902="",0,MAX(0,MIN(1,(IF(CF902="L1",Parameter!$H$5,IF(CF902="L23",Parameter!$H$6+Parameter!$H$7,Parameter!$H$5+Parameter!$H$6+Parameter!$H$7))-(AN902-AI902))/AI902)))</f>
        <v>1</v>
      </c>
      <c r="AP902" s="50" t="n">
        <f aca="false">IF(LEFT(Cockpit!$I$5,1)="A",H902,IF(Parameter!$E$30="MAX-Bestand",IF(CH902=1,CI902,IF(LEFT(Cockpit!$I$5,1)="B",AV902,MAX(AV902,H902))),ROUNDUP(AT902,0)))</f>
        <v>4</v>
      </c>
      <c r="AQ902" s="50" t="n">
        <f aca="false">IF(BZ902=1,0,ROUNDUP(AP902/BY902,0))</f>
        <v>1</v>
      </c>
      <c r="AR902" s="52" t="n">
        <f aca="false">IF(CQ902&gt;0,CQ902*MAX(1,AP902/X902),IF(BZ902=1,IF(AP902&lt;=0,0,CD902*MAX(1,IF(H902&gt;0,AP902/H902,1))),IF(R902&gt;0,AQ902/R902,0))/MAX(0.1,N(Parameter!$M$21)))</f>
        <v>0.00357142857142857</v>
      </c>
      <c r="AS902" s="50" t="n">
        <f aca="false">AR902*CB902</f>
        <v>0.553571428571429</v>
      </c>
      <c r="AT902" s="51" t="n">
        <f aca="false">IF(LEFT(Cockpit!$I$5,1)="A",H902,IF(CH902=1,(CK902+CI902)/2,IF(LEFT(Cockpit!$I$5,1)="B",(CK902+AV902)/2,MAX((CK902+AV902)/2,H902))))</f>
        <v>4</v>
      </c>
      <c r="AU902" s="50" t="n">
        <f aca="false">AT902*G902</f>
        <v>17.24</v>
      </c>
      <c r="AV902" s="50" t="n">
        <f aca="false">ROUNDUP(CK902+MAX(CL902,2*(J902/IF(CG902&gt;0,CG902,MAX(0.1,N(Cockpit!$I$6)))-CK902)),0)</f>
        <v>1</v>
      </c>
      <c r="AW902" s="51" t="n">
        <f aca="false">IF(AS902&gt;0,J902/AS902,-1)</f>
        <v>1.80645161290323</v>
      </c>
      <c r="AX902" s="51" t="n">
        <f aca="false">IF(AND(OR(CF902="L1",CF902="L23",CF902="LIFT"),AS902&gt;0),SUMIFS($AS$7:$AS$1843,$CF$7:$CF$1843,CF902,$AW$7:$AW$1843,"&gt;"&amp;AW902)+SUMIFS($AS$7:$AS$1843,$CF$7:$CF$1843,CF902,$AW$7:$AW$1843,AW902,$BW$7:$BW$1843,"&lt;="&amp;BW902),"")</f>
        <v>7406.74175824176</v>
      </c>
      <c r="AY902" s="58" t="n">
        <f aca="false">IF(AX902="",0,MAX(0,MIN(1,(IF(CF902="L1",Parameter!$H$5,IF(CF902="L23",Parameter!$H$6+Parameter!$H$7,Parameter!$H$5+Parameter!$H$6+Parameter!$H$7))-(AX902-AS902))/AS902)))</f>
        <v>1</v>
      </c>
      <c r="AZ902" s="50" t="n">
        <f aca="false">IF(LEFT(Cockpit!$O$5,1)="A",H902,IF(Parameter!$E$30="MAX-Bestand",IF(CH902=1,CI902,IF(LEFT(Cockpit!$O$5,1)="B",BF902,MAX(BF902,H902))),ROUNDUP(BD902,0)))</f>
        <v>1</v>
      </c>
      <c r="BA902" s="50" t="n">
        <f aca="false">IF(BZ902=1,0,ROUNDUP(AZ902/BY902,0))</f>
        <v>1</v>
      </c>
      <c r="BB902" s="52" t="n">
        <f aca="false">IF(CQ902&gt;0,CQ902*MAX(1,AZ902/X902),IF(BZ902=1,IF(AZ902&lt;=0,0,CD902*MAX(1,IF(H902&gt;0,AZ902/H902,1))),IF(R902&gt;0,BA902/R902,0))/MAX(0.1,N(Parameter!$M$21)))</f>
        <v>0.00357142857142857</v>
      </c>
      <c r="BC902" s="50" t="n">
        <f aca="false">BB902*CB902</f>
        <v>0.553571428571429</v>
      </c>
      <c r="BD902" s="51" t="n">
        <f aca="false">IF(LEFT(Cockpit!$O$5,1)="A",H902,IF(CH902=1,(CK902+CI902)/2,IF(LEFT(Cockpit!$O$5,1)="B",(CK902+BF902)/2,MAX((CK902+BF902)/2,H902))))</f>
        <v>0.5</v>
      </c>
      <c r="BE902" s="50" t="n">
        <f aca="false">BD902*G902</f>
        <v>2.155</v>
      </c>
      <c r="BF902" s="50" t="n">
        <f aca="false">ROUNDUP(CK902+MAX(CL902,2*(J902/IF(CG902&gt;0,CG902,MAX(0.1,N(Cockpit!$O$6)))-CK902)),0)</f>
        <v>1</v>
      </c>
      <c r="BG902" s="51" t="n">
        <f aca="false">IF(BC902&gt;0,J902/BC902,-1)</f>
        <v>1.80645161290323</v>
      </c>
      <c r="BH902" s="51" t="n">
        <f aca="false">IF(AND(OR(CF902="L1",CF902="L23",CF902="LIFT"),BC902&gt;0),SUMIFS($BC$7:$BC$1843,$CF$7:$CF$1843,CF902,$BG$7:$BG$1843,"&gt;"&amp;BG902)+SUMIFS($BC$7:$BC$1843,$CF$7:$CF$1843,CF902,$BG$7:$BG$1843,BG902,$BW$7:$BW$1843,"&lt;="&amp;BW902),"")</f>
        <v>6094.66254578755</v>
      </c>
      <c r="BI902" s="58" t="n">
        <f aca="false">IF(BH902="",0,MAX(0,MIN(1,(IF(CF902="L1",Parameter!$H$5,IF(CF902="L23",Parameter!$H$6+Parameter!$H$7,Parameter!$H$5+Parameter!$H$6+Parameter!$H$7))-(BH902-BC902))/BC902)))</f>
        <v>1</v>
      </c>
      <c r="BJ902" s="48" t="str">
        <f aca="false">IF(AI902&lt;=0,"",IF(CF902="Aussen","Aussenlager",IF(CF902="-","Nicht im Lift",IF(AO902&gt;=1,"Lift",IF(AO902&lt;=0,"Aussenlager","teilweise")))))</f>
        <v>Lift</v>
      </c>
      <c r="BK902" s="48" t="str">
        <f aca="false">IF(AS902&lt;=0,"",IF(CF902="Aussen","Aussenlager",IF(CF902="-","Nicht im Lift",IF(AY902&gt;=1,"Lift",IF(AY902&lt;=0,"Aussenlager","teilweise")))))</f>
        <v>Lift</v>
      </c>
      <c r="BL902" s="48" t="str">
        <f aca="false">IF(BC902&lt;=0,"",IF(CF902="Aussen","Aussenlager",IF(CF902="-","Nicht im Lift",IF(BI902&gt;=1,"Lift",IF(BI902&lt;=0,"Aussenlager","teilweise")))))</f>
        <v>Lift</v>
      </c>
      <c r="BM902" s="48" t="str">
        <f aca="false">IF(A902="","",IF(BV902=1,"Neu; ","")&amp;IF(AND(BV902=0,BQ902&lt;0),"negativer Bestand (Export "&amp;BQ902&amp;"); ","")&amp;IF(J902&lt;=0,"Kein Verbrauch; ","")&amp;IF(CQ902&gt;0,"Lift "&amp;W902&amp;" lt. Liftbericht (Fach "&amp;X902&amp;" Stk); ",IF(CA902=1,"Gebinde geschätzt ("&amp;T902&amp;"); ",IF(BZ902=1,"Lose – Tablare geschätzt; ","")))&amp;IF(H902&gt;AV902,"Überbestand "&amp;ROUND(H902-AV902,0)&amp;" Stk / CHF "&amp;ROUND((H902-AV902)*G902,0)&amp;"; ","")&amp;IF(AND(CH902=1,CI902&lt;CJ902),"MAX &lt; MB+LG; ","")&amp;IF(AND(CP902&gt;0,CO902*10&gt;CP902),"zu hoch für Tablar; ","")&amp;IF(AND(BV902=0,OR(CH902=1,AA902&lt;&gt;"",U902&lt;&gt;"",V902&lt;&gt;"",AB902&lt;&gt;"")),"manuell übersteuert; ","")&amp;IF(AND(BZ902=0,R902=0),"Gebinde unbekannt / Stellmass fehlt; ","")&amp;IF(AND(BZ902=0,N(V902)&lt;=0,N(Q902)&lt;=0),"Menge pro Gebinde fehlt (Ist = 1 Gebinde); ","")&amp;BU902)</f>
        <v>negativer Bestand (Export -8); Überbestand 3 Stk / CHF 13; </v>
      </c>
      <c r="BN902" s="48"/>
      <c r="BO902" s="48"/>
      <c r="BP902" s="55"/>
      <c r="BQ902" s="50" t="n">
        <v>-8</v>
      </c>
      <c r="BR902" s="50" t="n">
        <v>12</v>
      </c>
      <c r="BS902" s="49" t="n">
        <v>-34.48</v>
      </c>
      <c r="BT902" s="50" t="n">
        <v>1</v>
      </c>
      <c r="BU902" s="48"/>
      <c r="BV902" s="53" t="n">
        <v>0</v>
      </c>
      <c r="BW902" s="53" t="n">
        <v>902</v>
      </c>
      <c r="BX902" s="48" t="str">
        <f aca="false">IF(U902&lt;&gt;"",UPPER(TRIM(U902)),IF(CA902=1,UPPER(VLOOKUP(T902,Parameter!$I$27:$K$29,2,0)),IF(P902="","LOSE",P902)))</f>
        <v>S21</v>
      </c>
      <c r="BY902" s="50" t="n">
        <f aca="false">IF(BX902="LOSE",1,IF(N(V902)&gt;0,V902,IF(CA902=1,MAX(1,N(VLOOKUP(T902,Parameter!$I$27:$K$29,3,0)),H902,N(N902)),IF(N(Q902)&gt;0,Q902,MAX(1,H902)))))</f>
        <v>5</v>
      </c>
      <c r="BZ902" s="53" t="n">
        <f aca="false">IF(BX902="LOSE",1,0)</f>
        <v>0</v>
      </c>
      <c r="CA902" s="53" t="n">
        <f aca="false">IF(AND(U902="",OR(P902="",P902="LOSE"),T902&lt;&gt;"",N(S902)&lt;=0,ISNUMBER(MATCH(T902,Parameter!$I$27:$I$29,0))),1,0)</f>
        <v>0</v>
      </c>
      <c r="CB902" s="53" t="n">
        <f aca="false">IF(CQ902&gt;0,INDEX(Parameter!$H$5:$H$7,W902)/INDEX(Parameter!$E$5:$E$7,W902),IF(AND(BZ902=0,N(IFERROR(VLOOKUP(BX902,'Gebinde-Kategorie'!$A$5:$N$45,14,0),0))&gt;0),VLOOKUP(BX902,'Gebinde-Kategorie'!$A$5:$N$45,14,0)*10+Parameter!$M$23,Parameter!$M$24))</f>
        <v>155</v>
      </c>
      <c r="CC902" s="48" t="str">
        <f aca="false">IF(AND(Parameter!$B$19="Ja",E902&lt;&gt;"",ISNUMBER(MATCH(E902,Parameter!$I$35:$I$52,0))),VLOOKUP(E902,Parameter!$I$35:$J$52,2,0),IFERROR(VLOOKUP(D902,Parameter!$A$35:$C$64,2,0),"Nein"))</f>
        <v>2+3</v>
      </c>
      <c r="CD902" s="52" t="n">
        <f aca="false">IF(BZ902=0,0,IF(N(S902)&gt;0,S902,IFERROR(VLOOKUP(D902,Parameter!$A$35:$C$64,3,0)+0,0)))</f>
        <v>0</v>
      </c>
      <c r="CE902" s="48" t="n">
        <f aca="false">IF(AA902&lt;&gt;"",AA902,Z902)</f>
        <v>3</v>
      </c>
      <c r="CF902" s="48" t="str">
        <f aca="false">IF(OR(CE902=1,CE902=2,CE902=3),IF(Parameter!$E$27="Ja","LIFT",IF(CE902=1,"L1","L23")),IF(CE902="Aussen","Aussen","-"))</f>
        <v>LIFT</v>
      </c>
      <c r="CG902" s="59" t="n">
        <f aca="false">IF(N(AB902)&gt;0,AB902,0)</f>
        <v>0</v>
      </c>
      <c r="CH902" s="53" t="n">
        <f aca="false">IF(ISNUMBER(AE902),1,0)</f>
        <v>0</v>
      </c>
      <c r="CI902" s="50" t="n">
        <f aca="false">N(AE902)</f>
        <v>0</v>
      </c>
      <c r="CJ902" s="50" t="n">
        <f aca="false">N(M902)+N(N902)</f>
        <v>1</v>
      </c>
      <c r="CK902" s="50" t="n">
        <f aca="false">N(M902)</f>
        <v>0</v>
      </c>
      <c r="CL902" s="50" t="n">
        <f aca="false">N(N902)</f>
        <v>1</v>
      </c>
      <c r="CM902" s="50" t="n">
        <f aca="false">ROUNDUP(H902/BY902,0)</f>
        <v>1</v>
      </c>
      <c r="CN902" s="50" t="n">
        <f aca="false">ROUNDUP(CI902/BY902,0)</f>
        <v>0</v>
      </c>
      <c r="CO902" s="53" t="n">
        <f aca="false">IF(BZ902=1,0,IFERROR(VLOOKUP(BX902,'Gebinde-Kategorie'!$A$5:$N$45,5,0)+0,0))</f>
        <v>8</v>
      </c>
      <c r="CP902" s="53" t="n">
        <f aca="false">IFERROR(IF(OR(CE902=1,CE902=2,CE902=3),N(INDEX(Parameter!$I$5:$I$7,CE902)),0),0)</f>
        <v>0</v>
      </c>
      <c r="CQ902" s="52" t="n">
        <f aca="false">IF(AND(Parameter!$B$21="Ja",ISNUMBER(W902),N(X902)&gt;0),IFERROR(N(INDEX(Parameter!$L$5:$L$7,W902))*INDEX(Parameter!$E$5:$E$7,W902)*X902/SUMIFS($X$7:$X$1843,$W$7:$W$1843,W902),0),0)</f>
        <v>0</v>
      </c>
    </row>
    <row r="903" customFormat="false" ht="15" hidden="false" customHeight="false" outlineLevel="0" collapsed="false">
      <c r="A903" s="48" t="s">
        <v>1706</v>
      </c>
      <c r="B903" s="48" t="s">
        <v>1174</v>
      </c>
      <c r="C903" s="48" t="s">
        <v>173</v>
      </c>
      <c r="D903" s="48" t="s">
        <v>193</v>
      </c>
      <c r="E903" s="48" t="s">
        <v>194</v>
      </c>
      <c r="F903" s="48" t="s">
        <v>227</v>
      </c>
      <c r="G903" s="49" t="n">
        <v>12.71</v>
      </c>
      <c r="H903" s="50" t="n">
        <f aca="false">MAX(0,IF(AND(Parameter!$B$21="Ja",ISNUMBER(Y903)),Y903,IF(Parameter!$B$20="Jahresanfang 2025 + Export",BR903+BQ903,BQ903)))</f>
        <v>6</v>
      </c>
      <c r="I903" s="50" t="n">
        <f aca="false">H903*G903</f>
        <v>76.26</v>
      </c>
      <c r="J903" s="50" t="n">
        <f aca="false">BT903*Parameter!$B$18</f>
        <v>8</v>
      </c>
      <c r="K903" s="51" t="n">
        <v>6.5</v>
      </c>
      <c r="L903" s="52" t="n">
        <v>1.23076923076923</v>
      </c>
      <c r="M903" s="50" t="n">
        <v>0</v>
      </c>
      <c r="N903" s="50" t="n">
        <v>10</v>
      </c>
      <c r="O903" s="53" t="n">
        <v>18</v>
      </c>
      <c r="P903" s="48" t="s">
        <v>485</v>
      </c>
      <c r="Q903" s="50" t="n">
        <v>17</v>
      </c>
      <c r="R903" s="53" t="n">
        <f aca="false">IF(BZ903=1,0,IFERROR(VLOOKUP(BX903,'Gebinde-Kategorie'!$A$5:$N$45,13,0)+0,0))</f>
        <v>52</v>
      </c>
      <c r="S903" s="54"/>
      <c r="T903" s="55"/>
      <c r="U903" s="55"/>
      <c r="V903" s="55"/>
      <c r="W903" s="48"/>
      <c r="X903" s="50"/>
      <c r="Y903" s="50"/>
      <c r="Z903" s="48" t="n">
        <f aca="false">IF(A903="","",IF(AND(Parameter!$B$21="Ja",ISNUMBER(W903)),W903,IF(CC903="2+3",IF(ISNUMBER(SEARCH("grosser Artikel",BU903)),2,IFERROR(VLOOKUP(BX903,Parameter!$F$35:$G$64,2,0),2)),IF(OR(CC903="Nein",CC903=""),"-",CC903))))</f>
        <v>3</v>
      </c>
      <c r="AA903" s="55"/>
      <c r="AB903" s="56"/>
      <c r="AC903" s="50" t="n">
        <f aca="false">AV903</f>
        <v>10</v>
      </c>
      <c r="AD903" s="50" t="n">
        <f aca="false">MAX(AV903,H903)</f>
        <v>10</v>
      </c>
      <c r="AE903" s="57"/>
      <c r="AF903" s="50" t="n">
        <f aca="false">IF(LEFT(Cockpit!$C$5,1)="A",H903,IF(Parameter!$E$30="MAX-Bestand",IF(CH903=1,CI903,IF(LEFT(Cockpit!$C$5,1)="B",AL903,MAX(AL903,H903))),ROUNDUP(AJ903,0)))</f>
        <v>6</v>
      </c>
      <c r="AG903" s="50" t="n">
        <f aca="false">IF(BZ903=1,0,ROUNDUP(AF903/BY903,0))</f>
        <v>1</v>
      </c>
      <c r="AH903" s="52" t="n">
        <f aca="false">IF(CQ903&gt;0,CQ903*MAX(1,AF903/X903),IF(BZ903=1,IF(AF903&lt;=0,0,CD903*MAX(1,IF(H903&gt;0,AF903/H903,1))),IF(R903&gt;0,AG903/R903,0))/MAX(0.1,N(Parameter!$M$21)))</f>
        <v>0.0192307692307692</v>
      </c>
      <c r="AI903" s="50" t="n">
        <f aca="false">AH903*CB903</f>
        <v>2.98076923076923</v>
      </c>
      <c r="AJ903" s="51" t="n">
        <f aca="false">IF(LEFT(Cockpit!$C$5,1)="A",H903,IF(CH903=1,(CK903+CI903)/2,IF(LEFT(Cockpit!$C$5,1)="B",(CK903+AL903)/2,MAX((CK903+AL903)/2,H903))))</f>
        <v>6</v>
      </c>
      <c r="AK903" s="50" t="n">
        <f aca="false">AJ903*G903</f>
        <v>76.26</v>
      </c>
      <c r="AL903" s="50" t="n">
        <f aca="false">ROUNDUP(CK903+MAX(CL903,2*(J903/IF(CG903&gt;0,CG903,MAX(0.1,N(Cockpit!$C$6)))-CK903)),0)</f>
        <v>10</v>
      </c>
      <c r="AM903" s="51" t="n">
        <f aca="false">IF(AI903&gt;0,J903/AI903,-1)</f>
        <v>2.68387096774194</v>
      </c>
      <c r="AN903" s="51" t="n">
        <f aca="false">IF(AND(OR(CF903="L1",CF903="L23",CF903="LIFT"),AI903&gt;0),SUMIFS($AI$7:$AI$1843,$CF$7:$CF$1843,CF903,$AM$7:$AM$1843,"&gt;"&amp;AM903)+SUMIFS($AI$7:$AI$1843,$CF$7:$CF$1843,CF903,$AM$7:$AM$1843,AM903,$BW$7:$BW$1843,"&lt;="&amp;BW903),"")</f>
        <v>5330.9097985348</v>
      </c>
      <c r="AO903" s="58" t="n">
        <f aca="false">IF(AN903="",0,MAX(0,MIN(1,(IF(CF903="L1",Parameter!$H$5,IF(CF903="L23",Parameter!$H$6+Parameter!$H$7,Parameter!$H$5+Parameter!$H$6+Parameter!$H$7))-(AN903-AI903))/AI903)))</f>
        <v>1</v>
      </c>
      <c r="AP903" s="50" t="n">
        <f aca="false">IF(LEFT(Cockpit!$I$5,1)="A",H903,IF(Parameter!$E$30="MAX-Bestand",IF(CH903=1,CI903,IF(LEFT(Cockpit!$I$5,1)="B",AV903,MAX(AV903,H903))),ROUNDUP(AT903,0)))</f>
        <v>6</v>
      </c>
      <c r="AQ903" s="50" t="n">
        <f aca="false">IF(BZ903=1,0,ROUNDUP(AP903/BY903,0))</f>
        <v>1</v>
      </c>
      <c r="AR903" s="52" t="n">
        <f aca="false">IF(CQ903&gt;0,CQ903*MAX(1,AP903/X903),IF(BZ903=1,IF(AP903&lt;=0,0,CD903*MAX(1,IF(H903&gt;0,AP903/H903,1))),IF(R903&gt;0,AQ903/R903,0))/MAX(0.1,N(Parameter!$M$21)))</f>
        <v>0.0192307692307692</v>
      </c>
      <c r="AS903" s="50" t="n">
        <f aca="false">AR903*CB903</f>
        <v>2.98076923076923</v>
      </c>
      <c r="AT903" s="51" t="n">
        <f aca="false">IF(LEFT(Cockpit!$I$5,1)="A",H903,IF(CH903=1,(CK903+CI903)/2,IF(LEFT(Cockpit!$I$5,1)="B",(CK903+AV903)/2,MAX((CK903+AV903)/2,H903))))</f>
        <v>6</v>
      </c>
      <c r="AU903" s="50" t="n">
        <f aca="false">AT903*G903</f>
        <v>76.26</v>
      </c>
      <c r="AV903" s="50" t="n">
        <f aca="false">ROUNDUP(CK903+MAX(CL903,2*(J903/IF(CG903&gt;0,CG903,MAX(0.1,N(Cockpit!$I$6)))-CK903)),0)</f>
        <v>10</v>
      </c>
      <c r="AW903" s="51" t="n">
        <f aca="false">IF(AS903&gt;0,J903/AS903,-1)</f>
        <v>2.68387096774194</v>
      </c>
      <c r="AX903" s="51" t="n">
        <f aca="false">IF(AND(OR(CF903="L1",CF903="L23",CF903="LIFT"),AS903&gt;0),SUMIFS($AS$7:$AS$1843,$CF$7:$CF$1843,CF903,$AW$7:$AW$1843,"&gt;"&amp;AW903)+SUMIFS($AS$7:$AS$1843,$CF$7:$CF$1843,CF903,$AW$7:$AW$1843,AW903,$BW$7:$BW$1843,"&lt;="&amp;BW903),"")</f>
        <v>6165.38782051282</v>
      </c>
      <c r="AY903" s="58" t="n">
        <f aca="false">IF(AX903="",0,MAX(0,MIN(1,(IF(CF903="L1",Parameter!$H$5,IF(CF903="L23",Parameter!$H$6+Parameter!$H$7,Parameter!$H$5+Parameter!$H$6+Parameter!$H$7))-(AX903-AS903))/AS903)))</f>
        <v>1</v>
      </c>
      <c r="AZ903" s="50" t="n">
        <f aca="false">IF(LEFT(Cockpit!$O$5,1)="A",H903,IF(Parameter!$E$30="MAX-Bestand",IF(CH903=1,CI903,IF(LEFT(Cockpit!$O$5,1)="B",BF903,MAX(BF903,H903))),ROUNDUP(BD903,0)))</f>
        <v>5</v>
      </c>
      <c r="BA903" s="50" t="n">
        <f aca="false">IF(BZ903=1,0,ROUNDUP(AZ903/BY903,0))</f>
        <v>1</v>
      </c>
      <c r="BB903" s="52" t="n">
        <f aca="false">IF(CQ903&gt;0,CQ903*MAX(1,AZ903/X903),IF(BZ903=1,IF(AZ903&lt;=0,0,CD903*MAX(1,IF(H903&gt;0,AZ903/H903,1))),IF(R903&gt;0,BA903/R903,0))/MAX(0.1,N(Parameter!$M$21)))</f>
        <v>0.0192307692307692</v>
      </c>
      <c r="BC903" s="50" t="n">
        <f aca="false">BB903*CB903</f>
        <v>2.98076923076923</v>
      </c>
      <c r="BD903" s="51" t="n">
        <f aca="false">IF(LEFT(Cockpit!$O$5,1)="A",H903,IF(CH903=1,(CK903+CI903)/2,IF(LEFT(Cockpit!$O$5,1)="B",(CK903+BF903)/2,MAX((CK903+BF903)/2,H903))))</f>
        <v>5</v>
      </c>
      <c r="BE903" s="50" t="n">
        <f aca="false">BD903*G903</f>
        <v>63.55</v>
      </c>
      <c r="BF903" s="50" t="n">
        <f aca="false">ROUNDUP(CK903+MAX(CL903,2*(J903/IF(CG903&gt;0,CG903,MAX(0.1,N(Cockpit!$O$6)))-CK903)),0)</f>
        <v>10</v>
      </c>
      <c r="BG903" s="51" t="n">
        <f aca="false">IF(BC903&gt;0,J903/BC903,-1)</f>
        <v>2.68387096774194</v>
      </c>
      <c r="BH903" s="51" t="n">
        <f aca="false">IF(AND(OR(CF903="L1",CF903="L23",CF903="LIFT"),BC903&gt;0),SUMIFS($BC$7:$BC$1843,$CF$7:$CF$1843,CF903,$BG$7:$BG$1843,"&gt;"&amp;BG903)+SUMIFS($BC$7:$BC$1843,$CF$7:$CF$1843,CF903,$BG$7:$BG$1843,BG903,$BW$7:$BW$1843,"&lt;="&amp;BW903),"")</f>
        <v>5343.44230769231</v>
      </c>
      <c r="BI903" s="58" t="n">
        <f aca="false">IF(BH903="",0,MAX(0,MIN(1,(IF(CF903="L1",Parameter!$H$5,IF(CF903="L23",Parameter!$H$6+Parameter!$H$7,Parameter!$H$5+Parameter!$H$6+Parameter!$H$7))-(BH903-BC903))/BC903)))</f>
        <v>1</v>
      </c>
      <c r="BJ903" s="48" t="str">
        <f aca="false">IF(AI903&lt;=0,"",IF(CF903="Aussen","Aussenlager",IF(CF903="-","Nicht im Lift",IF(AO903&gt;=1,"Lift",IF(AO903&lt;=0,"Aussenlager","teilweise")))))</f>
        <v>Lift</v>
      </c>
      <c r="BK903" s="48" t="str">
        <f aca="false">IF(AS903&lt;=0,"",IF(CF903="Aussen","Aussenlager",IF(CF903="-","Nicht im Lift",IF(AY903&gt;=1,"Lift",IF(AY903&lt;=0,"Aussenlager","teilweise")))))</f>
        <v>Lift</v>
      </c>
      <c r="BL903" s="48" t="str">
        <f aca="false">IF(BC903&lt;=0,"",IF(CF903="Aussen","Aussenlager",IF(CF903="-","Nicht im Lift",IF(BI903&gt;=1,"Lift",IF(BI903&lt;=0,"Aussenlager","teilweise")))))</f>
        <v>Lift</v>
      </c>
      <c r="BM903" s="48" t="str">
        <f aca="false">IF(A903="","",IF(BV903=1,"Neu; ","")&amp;IF(AND(BV903=0,BQ903&lt;0),"negativer Bestand (Export "&amp;BQ903&amp;"); ","")&amp;IF(J903&lt;=0,"Kein Verbrauch; ","")&amp;IF(CQ903&gt;0,"Lift "&amp;W903&amp;" lt. Liftbericht (Fach "&amp;X903&amp;" Stk); ",IF(CA903=1,"Gebinde geschätzt ("&amp;T903&amp;"); ",IF(BZ903=1,"Lose – Tablare geschätzt; ","")))&amp;IF(H903&gt;AV903,"Überbestand "&amp;ROUND(H903-AV903,0)&amp;" Stk / CHF "&amp;ROUND((H903-AV903)*G903,0)&amp;"; ","")&amp;IF(AND(CH903=1,CI903&lt;CJ903),"MAX &lt; MB+LG; ","")&amp;IF(AND(CP903&gt;0,CO903*10&gt;CP903),"zu hoch für Tablar; ","")&amp;IF(AND(BV903=0,OR(CH903=1,AA903&lt;&gt;"",U903&lt;&gt;"",V903&lt;&gt;"",AB903&lt;&gt;"")),"manuell übersteuert; ","")&amp;IF(AND(BZ903=0,R903=0),"Gebinde unbekannt / Stellmass fehlt; ","")&amp;IF(AND(BZ903=0,N(V903)&lt;=0,N(Q903)&lt;=0),"Menge pro Gebinde fehlt (Ist = 1 Gebinde); ","")&amp;BU903)</f>
        <v>negativer Bestand (Export -2); </v>
      </c>
      <c r="BN903" s="48"/>
      <c r="BO903" s="48"/>
      <c r="BP903" s="55"/>
      <c r="BQ903" s="50" t="n">
        <v>-2</v>
      </c>
      <c r="BR903" s="50" t="n">
        <v>8</v>
      </c>
      <c r="BS903" s="49" t="n">
        <v>-35.5</v>
      </c>
      <c r="BT903" s="50" t="n">
        <v>8</v>
      </c>
      <c r="BU903" s="48"/>
      <c r="BV903" s="53" t="n">
        <v>0</v>
      </c>
      <c r="BW903" s="53" t="n">
        <v>903</v>
      </c>
      <c r="BX903" s="48" t="str">
        <f aca="false">IF(U903&lt;&gt;"",UPPER(TRIM(U903)),IF(CA903=1,UPPER(VLOOKUP(T903,Parameter!$I$27:$K$29,2,0)),IF(P903="","LOSE",P903)))</f>
        <v>S33</v>
      </c>
      <c r="BY903" s="50" t="n">
        <f aca="false">IF(BX903="LOSE",1,IF(N(V903)&gt;0,V903,IF(CA903=1,MAX(1,N(VLOOKUP(T903,Parameter!$I$27:$K$29,3,0)),H903,N(N903)),IF(N(Q903)&gt;0,Q903,MAX(1,H903)))))</f>
        <v>17</v>
      </c>
      <c r="BZ903" s="53" t="n">
        <f aca="false">IF(BX903="LOSE",1,0)</f>
        <v>0</v>
      </c>
      <c r="CA903" s="53" t="n">
        <f aca="false">IF(AND(U903="",OR(P903="",P903="LOSE"),T903&lt;&gt;"",N(S903)&lt;=0,ISNUMBER(MATCH(T903,Parameter!$I$27:$I$29,0))),1,0)</f>
        <v>0</v>
      </c>
      <c r="CB903" s="53" t="n">
        <f aca="false">IF(CQ903&gt;0,INDEX(Parameter!$H$5:$H$7,W903)/INDEX(Parameter!$E$5:$E$7,W903),IF(AND(BZ903=0,N(IFERROR(VLOOKUP(BX903,'Gebinde-Kategorie'!$A$5:$N$45,14,0),0))&gt;0),VLOOKUP(BX903,'Gebinde-Kategorie'!$A$5:$N$45,14,0)*10+Parameter!$M$23,Parameter!$M$24))</f>
        <v>155</v>
      </c>
      <c r="CC903" s="48" t="str">
        <f aca="false">IF(AND(Parameter!$B$19="Ja",E903&lt;&gt;"",ISNUMBER(MATCH(E903,Parameter!$I$35:$I$52,0))),VLOOKUP(E903,Parameter!$I$35:$J$52,2,0),IFERROR(VLOOKUP(D903,Parameter!$A$35:$C$64,2,0),"Nein"))</f>
        <v>2+3</v>
      </c>
      <c r="CD903" s="52" t="n">
        <f aca="false">IF(BZ903=0,0,IF(N(S903)&gt;0,S903,IFERROR(VLOOKUP(D903,Parameter!$A$35:$C$64,3,0)+0,0)))</f>
        <v>0</v>
      </c>
      <c r="CE903" s="48" t="n">
        <f aca="false">IF(AA903&lt;&gt;"",AA903,Z903)</f>
        <v>3</v>
      </c>
      <c r="CF903" s="48" t="str">
        <f aca="false">IF(OR(CE903=1,CE903=2,CE903=3),IF(Parameter!$E$27="Ja","LIFT",IF(CE903=1,"L1","L23")),IF(CE903="Aussen","Aussen","-"))</f>
        <v>LIFT</v>
      </c>
      <c r="CG903" s="59" t="n">
        <f aca="false">IF(N(AB903)&gt;0,AB903,0)</f>
        <v>0</v>
      </c>
      <c r="CH903" s="53" t="n">
        <f aca="false">IF(ISNUMBER(AE903),1,0)</f>
        <v>0</v>
      </c>
      <c r="CI903" s="50" t="n">
        <f aca="false">N(AE903)</f>
        <v>0</v>
      </c>
      <c r="CJ903" s="50" t="n">
        <f aca="false">N(M903)+N(N903)</f>
        <v>10</v>
      </c>
      <c r="CK903" s="50" t="n">
        <f aca="false">N(M903)</f>
        <v>0</v>
      </c>
      <c r="CL903" s="50" t="n">
        <f aca="false">N(N903)</f>
        <v>10</v>
      </c>
      <c r="CM903" s="50" t="n">
        <f aca="false">ROUNDUP(H903/BY903,0)</f>
        <v>1</v>
      </c>
      <c r="CN903" s="50" t="n">
        <f aca="false">ROUNDUP(CI903/BY903,0)</f>
        <v>0</v>
      </c>
      <c r="CO903" s="53" t="n">
        <f aca="false">IF(BZ903=1,0,IFERROR(VLOOKUP(BX903,'Gebinde-Kategorie'!$A$5:$N$45,5,0)+0,0))</f>
        <v>8</v>
      </c>
      <c r="CP903" s="53" t="n">
        <f aca="false">IFERROR(IF(OR(CE903=1,CE903=2,CE903=3),N(INDEX(Parameter!$I$5:$I$7,CE903)),0),0)</f>
        <v>0</v>
      </c>
      <c r="CQ903" s="52" t="n">
        <f aca="false">IF(AND(Parameter!$B$21="Ja",ISNUMBER(W903),N(X903)&gt;0),IFERROR(N(INDEX(Parameter!$L$5:$L$7,W903))*INDEX(Parameter!$E$5:$E$7,W903)*X903/SUMIFS($X$7:$X$1843,$W$7:$W$1843,W903),0),0)</f>
        <v>0</v>
      </c>
    </row>
    <row r="904" customFormat="false" ht="15" hidden="false" customHeight="false" outlineLevel="0" collapsed="false">
      <c r="A904" s="48" t="s">
        <v>1707</v>
      </c>
      <c r="B904" s="48" t="s">
        <v>663</v>
      </c>
      <c r="C904" s="48" t="s">
        <v>173</v>
      </c>
      <c r="D904" s="48" t="s">
        <v>193</v>
      </c>
      <c r="E904" s="48" t="s">
        <v>194</v>
      </c>
      <c r="F904" s="48" t="s">
        <v>227</v>
      </c>
      <c r="G904" s="49" t="n">
        <v>0.06</v>
      </c>
      <c r="H904" s="50" t="n">
        <f aca="false">MAX(0,IF(AND(Parameter!$B$21="Ja",ISNUMBER(Y904)),Y904,IF(Parameter!$B$20="Jahresanfang 2025 + Export",BR904+BQ904,BQ904)))</f>
        <v>593</v>
      </c>
      <c r="I904" s="50" t="n">
        <f aca="false">H904*G904</f>
        <v>35.58</v>
      </c>
      <c r="J904" s="50" t="n">
        <f aca="false">BT904*Parameter!$B$18</f>
        <v>392</v>
      </c>
      <c r="K904" s="51" t="n">
        <v>993</v>
      </c>
      <c r="L904" s="52" t="n">
        <v>0.394763343403827</v>
      </c>
      <c r="M904" s="50" t="n">
        <v>22</v>
      </c>
      <c r="N904" s="50" t="n">
        <v>400</v>
      </c>
      <c r="O904" s="53" t="n">
        <v>21</v>
      </c>
      <c r="P904" s="48" t="s">
        <v>311</v>
      </c>
      <c r="Q904" s="50" t="n">
        <v>756</v>
      </c>
      <c r="R904" s="53" t="n">
        <f aca="false">IF(BZ904=1,0,IFERROR(VLOOKUP(BX904,'Gebinde-Kategorie'!$A$5:$N$45,13,0)+0,0))</f>
        <v>26</v>
      </c>
      <c r="S904" s="54"/>
      <c r="T904" s="55"/>
      <c r="U904" s="55"/>
      <c r="V904" s="55"/>
      <c r="W904" s="48"/>
      <c r="X904" s="50"/>
      <c r="Y904" s="50"/>
      <c r="Z904" s="48" t="n">
        <f aca="false">IF(A904="","",IF(AND(Parameter!$B$21="Ja",ISNUMBER(W904)),W904,IF(CC904="2+3",IF(ISNUMBER(SEARCH("grosser Artikel",BU904)),2,IFERROR(VLOOKUP(BX904,Parameter!$F$35:$G$64,2,0),2)),IF(OR(CC904="Nein",CC904=""),"-",CC904))))</f>
        <v>3</v>
      </c>
      <c r="AA904" s="55"/>
      <c r="AB904" s="56"/>
      <c r="AC904" s="50" t="n">
        <f aca="false">AV904</f>
        <v>422</v>
      </c>
      <c r="AD904" s="50" t="n">
        <f aca="false">MAX(AV904,H904)</f>
        <v>593</v>
      </c>
      <c r="AE904" s="57"/>
      <c r="AF904" s="50" t="n">
        <f aca="false">IF(LEFT(Cockpit!$C$5,1)="A",H904,IF(Parameter!$E$30="MAX-Bestand",IF(CH904=1,CI904,IF(LEFT(Cockpit!$C$5,1)="B",AL904,MAX(AL904,H904))),ROUNDUP(AJ904,0)))</f>
        <v>593</v>
      </c>
      <c r="AG904" s="50" t="n">
        <f aca="false">IF(BZ904=1,0,ROUNDUP(AF904/BY904,0))</f>
        <v>1</v>
      </c>
      <c r="AH904" s="52" t="n">
        <f aca="false">IF(CQ904&gt;0,CQ904*MAX(1,AF904/X904),IF(BZ904=1,IF(AF904&lt;=0,0,CD904*MAX(1,IF(H904&gt;0,AF904/H904,1))),IF(R904&gt;0,AG904/R904,0))/MAX(0.1,N(Parameter!$M$21)))</f>
        <v>0.0384615384615385</v>
      </c>
      <c r="AI904" s="50" t="n">
        <f aca="false">AH904*CB904</f>
        <v>5.96153846153846</v>
      </c>
      <c r="AJ904" s="51" t="n">
        <f aca="false">IF(LEFT(Cockpit!$C$5,1)="A",H904,IF(CH904=1,(CK904+CI904)/2,IF(LEFT(Cockpit!$C$5,1)="B",(CK904+AL904)/2,MAX((CK904+AL904)/2,H904))))</f>
        <v>593</v>
      </c>
      <c r="AK904" s="50" t="n">
        <f aca="false">AJ904*G904</f>
        <v>35.58</v>
      </c>
      <c r="AL904" s="50" t="n">
        <f aca="false">ROUNDUP(CK904+MAX(CL904,2*(J904/IF(CG904&gt;0,CG904,MAX(0.1,N(Cockpit!$C$6)))-CK904)),0)</f>
        <v>422</v>
      </c>
      <c r="AM904" s="51" t="n">
        <f aca="false">IF(AI904&gt;0,J904/AI904,-1)</f>
        <v>65.7548387096774</v>
      </c>
      <c r="AN904" s="51" t="n">
        <f aca="false">IF(AND(OR(CF904="L1",CF904="L23",CF904="LIFT"),AI904&gt;0),SUMIFS($AI$7:$AI$1843,$CF$7:$CF$1843,CF904,$AM$7:$AM$1843,"&gt;"&amp;AM904)+SUMIFS($AI$7:$AI$1843,$CF$7:$CF$1843,CF904,$AM$7:$AM$1843,AM904,$BW$7:$BW$1843,"&lt;="&amp;BW904),"")</f>
        <v>928.740384615385</v>
      </c>
      <c r="AO904" s="58" t="n">
        <f aca="false">IF(AN904="",0,MAX(0,MIN(1,(IF(CF904="L1",Parameter!$H$5,IF(CF904="L23",Parameter!$H$6+Parameter!$H$7,Parameter!$H$5+Parameter!$H$6+Parameter!$H$7))-(AN904-AI904))/AI904)))</f>
        <v>1</v>
      </c>
      <c r="AP904" s="50" t="n">
        <f aca="false">IF(LEFT(Cockpit!$I$5,1)="A",H904,IF(Parameter!$E$30="MAX-Bestand",IF(CH904=1,CI904,IF(LEFT(Cockpit!$I$5,1)="B",AV904,MAX(AV904,H904))),ROUNDUP(AT904,0)))</f>
        <v>593</v>
      </c>
      <c r="AQ904" s="50" t="n">
        <f aca="false">IF(BZ904=1,0,ROUNDUP(AP904/BY904,0))</f>
        <v>1</v>
      </c>
      <c r="AR904" s="52" t="n">
        <f aca="false">IF(CQ904&gt;0,CQ904*MAX(1,AP904/X904),IF(BZ904=1,IF(AP904&lt;=0,0,CD904*MAX(1,IF(H904&gt;0,AP904/H904,1))),IF(R904&gt;0,AQ904/R904,0))/MAX(0.1,N(Parameter!$M$21)))</f>
        <v>0.0384615384615385</v>
      </c>
      <c r="AS904" s="50" t="n">
        <f aca="false">AR904*CB904</f>
        <v>5.96153846153846</v>
      </c>
      <c r="AT904" s="51" t="n">
        <f aca="false">IF(LEFT(Cockpit!$I$5,1)="A",H904,IF(CH904=1,(CK904+CI904)/2,IF(LEFT(Cockpit!$I$5,1)="B",(CK904+AV904)/2,MAX((CK904+AV904)/2,H904))))</f>
        <v>593</v>
      </c>
      <c r="AU904" s="50" t="n">
        <f aca="false">AT904*G904</f>
        <v>35.58</v>
      </c>
      <c r="AV904" s="50" t="n">
        <f aca="false">ROUNDUP(CK904+MAX(CL904,2*(J904/IF(CG904&gt;0,CG904,MAX(0.1,N(Cockpit!$I$6)))-CK904)),0)</f>
        <v>422</v>
      </c>
      <c r="AW904" s="51" t="n">
        <f aca="false">IF(AS904&gt;0,J904/AS904,-1)</f>
        <v>65.7548387096774</v>
      </c>
      <c r="AX904" s="51" t="n">
        <f aca="false">IF(AND(OR(CF904="L1",CF904="L23",CF904="LIFT"),AS904&gt;0),SUMIFS($AS$7:$AS$1843,$CF$7:$CF$1843,CF904,$AW$7:$AW$1843,"&gt;"&amp;AW904)+SUMIFS($AS$7:$AS$1843,$CF$7:$CF$1843,CF904,$AW$7:$AW$1843,AW904,$BW$7:$BW$1843,"&lt;="&amp;BW904),"")</f>
        <v>1140.54532967033</v>
      </c>
      <c r="AY904" s="58" t="n">
        <f aca="false">IF(AX904="",0,MAX(0,MIN(1,(IF(CF904="L1",Parameter!$H$5,IF(CF904="L23",Parameter!$H$6+Parameter!$H$7,Parameter!$H$5+Parameter!$H$6+Parameter!$H$7))-(AX904-AS904))/AS904)))</f>
        <v>1</v>
      </c>
      <c r="AZ904" s="50" t="n">
        <f aca="false">IF(LEFT(Cockpit!$O$5,1)="A",H904,IF(Parameter!$E$30="MAX-Bestand",IF(CH904=1,CI904,IF(LEFT(Cockpit!$O$5,1)="B",BF904,MAX(BF904,H904))),ROUNDUP(BD904,0)))</f>
        <v>222</v>
      </c>
      <c r="BA904" s="50" t="n">
        <f aca="false">IF(BZ904=1,0,ROUNDUP(AZ904/BY904,0))</f>
        <v>1</v>
      </c>
      <c r="BB904" s="52" t="n">
        <f aca="false">IF(CQ904&gt;0,CQ904*MAX(1,AZ904/X904),IF(BZ904=1,IF(AZ904&lt;=0,0,CD904*MAX(1,IF(H904&gt;0,AZ904/H904,1))),IF(R904&gt;0,BA904/R904,0))/MAX(0.1,N(Parameter!$M$21)))</f>
        <v>0.0384615384615385</v>
      </c>
      <c r="BC904" s="50" t="n">
        <f aca="false">BB904*CB904</f>
        <v>5.96153846153846</v>
      </c>
      <c r="BD904" s="51" t="n">
        <f aca="false">IF(LEFT(Cockpit!$O$5,1)="A",H904,IF(CH904=1,(CK904+CI904)/2,IF(LEFT(Cockpit!$O$5,1)="B",(CK904+BF904)/2,MAX((CK904+BF904)/2,H904))))</f>
        <v>222</v>
      </c>
      <c r="BE904" s="50" t="n">
        <f aca="false">BD904*G904</f>
        <v>13.32</v>
      </c>
      <c r="BF904" s="50" t="n">
        <f aca="false">ROUNDUP(CK904+MAX(CL904,2*(J904/IF(CG904&gt;0,CG904,MAX(0.1,N(Cockpit!$O$6)))-CK904)),0)</f>
        <v>422</v>
      </c>
      <c r="BG904" s="51" t="n">
        <f aca="false">IF(BC904&gt;0,J904/BC904,-1)</f>
        <v>65.7548387096774</v>
      </c>
      <c r="BH904" s="51" t="n">
        <f aca="false">IF(AND(OR(CF904="L1",CF904="L23",CF904="LIFT"),BC904&gt;0),SUMIFS($BC$7:$BC$1843,$CF$7:$CF$1843,CF904,$BG$7:$BG$1843,"&gt;"&amp;BG904)+SUMIFS($BC$7:$BC$1843,$CF$7:$CF$1843,CF904,$BG$7:$BG$1843,BG904,$BW$7:$BW$1843,"&lt;="&amp;BW904),"")</f>
        <v>1039.90476190476</v>
      </c>
      <c r="BI904" s="58" t="n">
        <f aca="false">IF(BH904="",0,MAX(0,MIN(1,(IF(CF904="L1",Parameter!$H$5,IF(CF904="L23",Parameter!$H$6+Parameter!$H$7,Parameter!$H$5+Parameter!$H$6+Parameter!$H$7))-(BH904-BC904))/BC904)))</f>
        <v>1</v>
      </c>
      <c r="BJ904" s="48" t="str">
        <f aca="false">IF(AI904&lt;=0,"",IF(CF904="Aussen","Aussenlager",IF(CF904="-","Nicht im Lift",IF(AO904&gt;=1,"Lift",IF(AO904&lt;=0,"Aussenlager","teilweise")))))</f>
        <v>Lift</v>
      </c>
      <c r="BK904" s="48" t="str">
        <f aca="false">IF(AS904&lt;=0,"",IF(CF904="Aussen","Aussenlager",IF(CF904="-","Nicht im Lift",IF(AY904&gt;=1,"Lift",IF(AY904&lt;=0,"Aussenlager","teilweise")))))</f>
        <v>Lift</v>
      </c>
      <c r="BL904" s="48" t="str">
        <f aca="false">IF(BC904&lt;=0,"",IF(CF904="Aussen","Aussenlager",IF(CF904="-","Nicht im Lift",IF(BI904&gt;=1,"Lift",IF(BI904&lt;=0,"Aussenlager","teilweise")))))</f>
        <v>Lift</v>
      </c>
      <c r="BM904" s="48" t="str">
        <f aca="false">IF(A904="","",IF(BV904=1,"Neu; ","")&amp;IF(AND(BV904=0,BQ904&lt;0),"negativer Bestand (Export "&amp;BQ904&amp;"); ","")&amp;IF(J904&lt;=0,"Kein Verbrauch; ","")&amp;IF(CQ904&gt;0,"Lift "&amp;W904&amp;" lt. Liftbericht (Fach "&amp;X904&amp;" Stk); ",IF(CA904=1,"Gebinde geschätzt ("&amp;T904&amp;"); ",IF(BZ904=1,"Lose – Tablare geschätzt; ","")))&amp;IF(H904&gt;AV904,"Überbestand "&amp;ROUND(H904-AV904,0)&amp;" Stk / CHF "&amp;ROUND((H904-AV904)*G904,0)&amp;"; ","")&amp;IF(AND(CH904=1,CI904&lt;CJ904),"MAX &lt; MB+LG; ","")&amp;IF(AND(CP904&gt;0,CO904*10&gt;CP904),"zu hoch für Tablar; ","")&amp;IF(AND(BV904=0,OR(CH904=1,AA904&lt;&gt;"",U904&lt;&gt;"",V904&lt;&gt;"",AB904&lt;&gt;"")),"manuell übersteuert; ","")&amp;IF(AND(BZ904=0,R904=0),"Gebinde unbekannt / Stellmass fehlt; ","")&amp;IF(AND(BZ904=0,N(V904)&lt;=0,N(Q904)&lt;=0),"Menge pro Gebinde fehlt (Ist = 1 Gebinde); ","")&amp;BU904)</f>
        <v>negativer Bestand (Export -600); Überbestand 171 Stk / CHF 10; </v>
      </c>
      <c r="BN904" s="48"/>
      <c r="BO904" s="48"/>
      <c r="BP904" s="55"/>
      <c r="BQ904" s="50" t="n">
        <v>-600</v>
      </c>
      <c r="BR904" s="50" t="n">
        <v>1193</v>
      </c>
      <c r="BS904" s="49" t="n">
        <v>-36</v>
      </c>
      <c r="BT904" s="50" t="n">
        <v>392</v>
      </c>
      <c r="BU904" s="48"/>
      <c r="BV904" s="53" t="n">
        <v>0</v>
      </c>
      <c r="BW904" s="53" t="n">
        <v>904</v>
      </c>
      <c r="BX904" s="48" t="str">
        <f aca="false">IF(U904&lt;&gt;"",UPPER(TRIM(U904)),IF(CA904=1,UPPER(VLOOKUP(T904,Parameter!$I$27:$K$29,2,0)),IF(P904="","LOSE",P904)))</f>
        <v>S51</v>
      </c>
      <c r="BY904" s="50" t="n">
        <f aca="false">IF(BX904="LOSE",1,IF(N(V904)&gt;0,V904,IF(CA904=1,MAX(1,N(VLOOKUP(T904,Parameter!$I$27:$K$29,3,0)),H904,N(N904)),IF(N(Q904)&gt;0,Q904,MAX(1,H904)))))</f>
        <v>756</v>
      </c>
      <c r="BZ904" s="53" t="n">
        <f aca="false">IF(BX904="LOSE",1,0)</f>
        <v>0</v>
      </c>
      <c r="CA904" s="53" t="n">
        <f aca="false">IF(AND(U904="",OR(P904="",P904="LOSE"),T904&lt;&gt;"",N(S904)&lt;=0,ISNUMBER(MATCH(T904,Parameter!$I$27:$I$29,0))),1,0)</f>
        <v>0</v>
      </c>
      <c r="CB904" s="53" t="n">
        <f aca="false">IF(CQ904&gt;0,INDEX(Parameter!$H$5:$H$7,W904)/INDEX(Parameter!$E$5:$E$7,W904),IF(AND(BZ904=0,N(IFERROR(VLOOKUP(BX904,'Gebinde-Kategorie'!$A$5:$N$45,14,0),0))&gt;0),VLOOKUP(BX904,'Gebinde-Kategorie'!$A$5:$N$45,14,0)*10+Parameter!$M$23,Parameter!$M$24))</f>
        <v>155</v>
      </c>
      <c r="CC904" s="48" t="str">
        <f aca="false">IF(AND(Parameter!$B$19="Ja",E904&lt;&gt;"",ISNUMBER(MATCH(E904,Parameter!$I$35:$I$52,0))),VLOOKUP(E904,Parameter!$I$35:$J$52,2,0),IFERROR(VLOOKUP(D904,Parameter!$A$35:$C$64,2,0),"Nein"))</f>
        <v>2+3</v>
      </c>
      <c r="CD904" s="52" t="n">
        <f aca="false">IF(BZ904=0,0,IF(N(S904)&gt;0,S904,IFERROR(VLOOKUP(D904,Parameter!$A$35:$C$64,3,0)+0,0)))</f>
        <v>0</v>
      </c>
      <c r="CE904" s="48" t="n">
        <f aca="false">IF(AA904&lt;&gt;"",AA904,Z904)</f>
        <v>3</v>
      </c>
      <c r="CF904" s="48" t="str">
        <f aca="false">IF(OR(CE904=1,CE904=2,CE904=3),IF(Parameter!$E$27="Ja","LIFT",IF(CE904=1,"L1","L23")),IF(CE904="Aussen","Aussen","-"))</f>
        <v>LIFT</v>
      </c>
      <c r="CG904" s="59" t="n">
        <f aca="false">IF(N(AB904)&gt;0,AB904,0)</f>
        <v>0</v>
      </c>
      <c r="CH904" s="53" t="n">
        <f aca="false">IF(ISNUMBER(AE904),1,0)</f>
        <v>0</v>
      </c>
      <c r="CI904" s="50" t="n">
        <f aca="false">N(AE904)</f>
        <v>0</v>
      </c>
      <c r="CJ904" s="50" t="n">
        <f aca="false">N(M904)+N(N904)</f>
        <v>422</v>
      </c>
      <c r="CK904" s="50" t="n">
        <f aca="false">N(M904)</f>
        <v>22</v>
      </c>
      <c r="CL904" s="50" t="n">
        <f aca="false">N(N904)</f>
        <v>400</v>
      </c>
      <c r="CM904" s="50" t="n">
        <f aca="false">ROUNDUP(H904/BY904,0)</f>
        <v>1</v>
      </c>
      <c r="CN904" s="50" t="n">
        <f aca="false">ROUNDUP(CI904/BY904,0)</f>
        <v>0</v>
      </c>
      <c r="CO904" s="53" t="n">
        <f aca="false">IF(BZ904=1,0,IFERROR(VLOOKUP(BX904,'Gebinde-Kategorie'!$A$5:$N$45,5,0)+0,0))</f>
        <v>11</v>
      </c>
      <c r="CP904" s="53" t="n">
        <f aca="false">IFERROR(IF(OR(CE904=1,CE904=2,CE904=3),N(INDEX(Parameter!$I$5:$I$7,CE904)),0),0)</f>
        <v>0</v>
      </c>
      <c r="CQ904" s="52" t="n">
        <f aca="false">IF(AND(Parameter!$B$21="Ja",ISNUMBER(W904),N(X904)&gt;0),IFERROR(N(INDEX(Parameter!$L$5:$L$7,W904))*INDEX(Parameter!$E$5:$E$7,W904)*X904/SUMIFS($X$7:$X$1843,$W$7:$W$1843,W904),0),0)</f>
        <v>0</v>
      </c>
    </row>
    <row r="905" customFormat="false" ht="15" hidden="false" customHeight="false" outlineLevel="0" collapsed="false">
      <c r="A905" s="48" t="s">
        <v>1708</v>
      </c>
      <c r="B905" s="48" t="s">
        <v>1709</v>
      </c>
      <c r="C905" s="48" t="s">
        <v>173</v>
      </c>
      <c r="D905" s="48" t="s">
        <v>193</v>
      </c>
      <c r="E905" s="48" t="s">
        <v>194</v>
      </c>
      <c r="F905" s="48" t="s">
        <v>227</v>
      </c>
      <c r="G905" s="49" t="n">
        <v>0.04</v>
      </c>
      <c r="H905" s="50" t="n">
        <f aca="false">MAX(0,IF(AND(Parameter!$B$21="Ja",ISNUMBER(Y905)),Y905,IF(Parameter!$B$20="Jahresanfang 2025 + Export",BR905+BQ905,BQ905)))</f>
        <v>263</v>
      </c>
      <c r="I905" s="50" t="n">
        <f aca="false">H905*G905</f>
        <v>10.52</v>
      </c>
      <c r="J905" s="50" t="n">
        <f aca="false">BT905*Parameter!$B$18</f>
        <v>600</v>
      </c>
      <c r="K905" s="51" t="n">
        <v>1164</v>
      </c>
      <c r="L905" s="52" t="n">
        <v>0.515463917525773</v>
      </c>
      <c r="M905" s="50" t="n">
        <v>46</v>
      </c>
      <c r="N905" s="50" t="n">
        <v>600</v>
      </c>
      <c r="O905" s="53" t="n">
        <v>28</v>
      </c>
      <c r="P905" s="48" t="s">
        <v>410</v>
      </c>
      <c r="Q905" s="50" t="n">
        <v>2242</v>
      </c>
      <c r="R905" s="53" t="n">
        <f aca="false">IF(BZ905=1,0,IFERROR(VLOOKUP(BX905,'Gebinde-Kategorie'!$A$5:$N$45,13,0)+0,0))</f>
        <v>280</v>
      </c>
      <c r="S905" s="54"/>
      <c r="T905" s="55"/>
      <c r="U905" s="55"/>
      <c r="V905" s="55"/>
      <c r="W905" s="48"/>
      <c r="X905" s="50"/>
      <c r="Y905" s="50"/>
      <c r="Z905" s="48" t="n">
        <f aca="false">IF(A905="","",IF(AND(Parameter!$B$21="Ja",ISNUMBER(W905)),W905,IF(CC905="2+3",IF(ISNUMBER(SEARCH("grosser Artikel",BU905)),2,IFERROR(VLOOKUP(BX905,Parameter!$F$35:$G$64,2,0),2)),IF(OR(CC905="Nein",CC905=""),"-",CC905))))</f>
        <v>3</v>
      </c>
      <c r="AA905" s="55"/>
      <c r="AB905" s="56"/>
      <c r="AC905" s="50" t="n">
        <f aca="false">AV905</f>
        <v>646</v>
      </c>
      <c r="AD905" s="50" t="n">
        <f aca="false">MAX(AV905,H905)</f>
        <v>646</v>
      </c>
      <c r="AE905" s="57"/>
      <c r="AF905" s="50" t="n">
        <f aca="false">IF(LEFT(Cockpit!$C$5,1)="A",H905,IF(Parameter!$E$30="MAX-Bestand",IF(CH905=1,CI905,IF(LEFT(Cockpit!$C$5,1)="B",AL905,MAX(AL905,H905))),ROUNDUP(AJ905,0)))</f>
        <v>263</v>
      </c>
      <c r="AG905" s="50" t="n">
        <f aca="false">IF(BZ905=1,0,ROUNDUP(AF905/BY905,0))</f>
        <v>1</v>
      </c>
      <c r="AH905" s="52" t="n">
        <f aca="false">IF(CQ905&gt;0,CQ905*MAX(1,AF905/X905),IF(BZ905=1,IF(AF905&lt;=0,0,CD905*MAX(1,IF(H905&gt;0,AF905/H905,1))),IF(R905&gt;0,AG905/R905,0))/MAX(0.1,N(Parameter!$M$21)))</f>
        <v>0.00357142857142857</v>
      </c>
      <c r="AI905" s="50" t="n">
        <f aca="false">AH905*CB905</f>
        <v>0.553571428571429</v>
      </c>
      <c r="AJ905" s="51" t="n">
        <f aca="false">IF(LEFT(Cockpit!$C$5,1)="A",H905,IF(CH905=1,(CK905+CI905)/2,IF(LEFT(Cockpit!$C$5,1)="B",(CK905+AL905)/2,MAX((CK905+AL905)/2,H905))))</f>
        <v>263</v>
      </c>
      <c r="AK905" s="50" t="n">
        <f aca="false">AJ905*G905</f>
        <v>10.52</v>
      </c>
      <c r="AL905" s="50" t="n">
        <f aca="false">ROUNDUP(CK905+MAX(CL905,2*(J905/IF(CG905&gt;0,CG905,MAX(0.1,N(Cockpit!$C$6)))-CK905)),0)</f>
        <v>646</v>
      </c>
      <c r="AM905" s="51" t="n">
        <f aca="false">IF(AI905&gt;0,J905/AI905,-1)</f>
        <v>1083.87096774194</v>
      </c>
      <c r="AN905" s="51" t="n">
        <f aca="false">IF(AND(OR(CF905="L1",CF905="L23",CF905="LIFT"),AI905&gt;0),SUMIFS($AI$7:$AI$1843,$CF$7:$CF$1843,CF905,$AM$7:$AM$1843,"&gt;"&amp;AM905)+SUMIFS($AI$7:$AI$1843,$CF$7:$CF$1843,CF905,$AM$7:$AM$1843,AM905,$BW$7:$BW$1843,"&lt;="&amp;BW905),"")</f>
        <v>13.0302197802198</v>
      </c>
      <c r="AO905" s="58" t="n">
        <f aca="false">IF(AN905="",0,MAX(0,MIN(1,(IF(CF905="L1",Parameter!$H$5,IF(CF905="L23",Parameter!$H$6+Parameter!$H$7,Parameter!$H$5+Parameter!$H$6+Parameter!$H$7))-(AN905-AI905))/AI905)))</f>
        <v>1</v>
      </c>
      <c r="AP905" s="50" t="n">
        <f aca="false">IF(LEFT(Cockpit!$I$5,1)="A",H905,IF(Parameter!$E$30="MAX-Bestand",IF(CH905=1,CI905,IF(LEFT(Cockpit!$I$5,1)="B",AV905,MAX(AV905,H905))),ROUNDUP(AT905,0)))</f>
        <v>346</v>
      </c>
      <c r="AQ905" s="50" t="n">
        <f aca="false">IF(BZ905=1,0,ROUNDUP(AP905/BY905,0))</f>
        <v>1</v>
      </c>
      <c r="AR905" s="52" t="n">
        <f aca="false">IF(CQ905&gt;0,CQ905*MAX(1,AP905/X905),IF(BZ905=1,IF(AP905&lt;=0,0,CD905*MAX(1,IF(H905&gt;0,AP905/H905,1))),IF(R905&gt;0,AQ905/R905,0))/MAX(0.1,N(Parameter!$M$21)))</f>
        <v>0.00357142857142857</v>
      </c>
      <c r="AS905" s="50" t="n">
        <f aca="false">AR905*CB905</f>
        <v>0.553571428571429</v>
      </c>
      <c r="AT905" s="51" t="n">
        <f aca="false">IF(LEFT(Cockpit!$I$5,1)="A",H905,IF(CH905=1,(CK905+CI905)/2,IF(LEFT(Cockpit!$I$5,1)="B",(CK905+AV905)/2,MAX((CK905+AV905)/2,H905))))</f>
        <v>346</v>
      </c>
      <c r="AU905" s="50" t="n">
        <f aca="false">AT905*G905</f>
        <v>13.84</v>
      </c>
      <c r="AV905" s="50" t="n">
        <f aca="false">ROUNDUP(CK905+MAX(CL905,2*(J905/IF(CG905&gt;0,CG905,MAX(0.1,N(Cockpit!$I$6)))-CK905)),0)</f>
        <v>646</v>
      </c>
      <c r="AW905" s="51" t="n">
        <f aca="false">IF(AS905&gt;0,J905/AS905,-1)</f>
        <v>1083.87096774194</v>
      </c>
      <c r="AX905" s="51" t="n">
        <f aca="false">IF(AND(OR(CF905="L1",CF905="L23",CF905="LIFT"),AS905&gt;0),SUMIFS($AS$7:$AS$1843,$CF$7:$CF$1843,CF905,$AW$7:$AW$1843,"&gt;"&amp;AW905)+SUMIFS($AS$7:$AS$1843,$CF$7:$CF$1843,CF905,$AW$7:$AW$1843,AW905,$BW$7:$BW$1843,"&lt;="&amp;BW905),"")</f>
        <v>6.51510989010989</v>
      </c>
      <c r="AY905" s="58" t="n">
        <f aca="false">IF(AX905="",0,MAX(0,MIN(1,(IF(CF905="L1",Parameter!$H$5,IF(CF905="L23",Parameter!$H$6+Parameter!$H$7,Parameter!$H$5+Parameter!$H$6+Parameter!$H$7))-(AX905-AS905))/AS905)))</f>
        <v>1</v>
      </c>
      <c r="AZ905" s="50" t="n">
        <f aca="false">IF(LEFT(Cockpit!$O$5,1)="A",H905,IF(Parameter!$E$30="MAX-Bestand",IF(CH905=1,CI905,IF(LEFT(Cockpit!$O$5,1)="B",BF905,MAX(BF905,H905))),ROUNDUP(BD905,0)))</f>
        <v>346</v>
      </c>
      <c r="BA905" s="50" t="n">
        <f aca="false">IF(BZ905=1,0,ROUNDUP(AZ905/BY905,0))</f>
        <v>1</v>
      </c>
      <c r="BB905" s="52" t="n">
        <f aca="false">IF(CQ905&gt;0,CQ905*MAX(1,AZ905/X905),IF(BZ905=1,IF(AZ905&lt;=0,0,CD905*MAX(1,IF(H905&gt;0,AZ905/H905,1))),IF(R905&gt;0,BA905/R905,0))/MAX(0.1,N(Parameter!$M$21)))</f>
        <v>0.00357142857142857</v>
      </c>
      <c r="BC905" s="50" t="n">
        <f aca="false">BB905*CB905</f>
        <v>0.553571428571429</v>
      </c>
      <c r="BD905" s="51" t="n">
        <f aca="false">IF(LEFT(Cockpit!$O$5,1)="A",H905,IF(CH905=1,(CK905+CI905)/2,IF(LEFT(Cockpit!$O$5,1)="B",(CK905+BF905)/2,MAX((CK905+BF905)/2,H905))))</f>
        <v>346</v>
      </c>
      <c r="BE905" s="50" t="n">
        <f aca="false">BD905*G905</f>
        <v>13.84</v>
      </c>
      <c r="BF905" s="50" t="n">
        <f aca="false">ROUNDUP(CK905+MAX(CL905,2*(J905/IF(CG905&gt;0,CG905,MAX(0.1,N(Cockpit!$O$6)))-CK905)),0)</f>
        <v>646</v>
      </c>
      <c r="BG905" s="51" t="n">
        <f aca="false">IF(BC905&gt;0,J905/BC905,-1)</f>
        <v>1083.87096774194</v>
      </c>
      <c r="BH905" s="51" t="n">
        <f aca="false">IF(AND(OR(CF905="L1",CF905="L23",CF905="LIFT"),BC905&gt;0),SUMIFS($BC$7:$BC$1843,$CF$7:$CF$1843,CF905,$BG$7:$BG$1843,"&gt;"&amp;BG905)+SUMIFS($BC$7:$BC$1843,$CF$7:$CF$1843,CF905,$BG$7:$BG$1843,BG905,$BW$7:$BW$1843,"&lt;="&amp;BW905),"")</f>
        <v>8.55906593406593</v>
      </c>
      <c r="BI905" s="58" t="n">
        <f aca="false">IF(BH905="",0,MAX(0,MIN(1,(IF(CF905="L1",Parameter!$H$5,IF(CF905="L23",Parameter!$H$6+Parameter!$H$7,Parameter!$H$5+Parameter!$H$6+Parameter!$H$7))-(BH905-BC905))/BC905)))</f>
        <v>1</v>
      </c>
      <c r="BJ905" s="48" t="str">
        <f aca="false">IF(AI905&lt;=0,"",IF(CF905="Aussen","Aussenlager",IF(CF905="-","Nicht im Lift",IF(AO905&gt;=1,"Lift",IF(AO905&lt;=0,"Aussenlager","teilweise")))))</f>
        <v>Lift</v>
      </c>
      <c r="BK905" s="48" t="str">
        <f aca="false">IF(AS905&lt;=0,"",IF(CF905="Aussen","Aussenlager",IF(CF905="-","Nicht im Lift",IF(AY905&gt;=1,"Lift",IF(AY905&lt;=0,"Aussenlager","teilweise")))))</f>
        <v>Lift</v>
      </c>
      <c r="BL905" s="48" t="str">
        <f aca="false">IF(BC905&lt;=0,"",IF(CF905="Aussen","Aussenlager",IF(CF905="-","Nicht im Lift",IF(BI905&gt;=1,"Lift",IF(BI905&lt;=0,"Aussenlager","teilweise")))))</f>
        <v>Lift</v>
      </c>
      <c r="BM905" s="48" t="str">
        <f aca="false">IF(A905="","",IF(BV905=1,"Neu; ","")&amp;IF(AND(BV905=0,BQ905&lt;0),"negativer Bestand (Export "&amp;BQ905&amp;"); ","")&amp;IF(J905&lt;=0,"Kein Verbrauch; ","")&amp;IF(CQ905&gt;0,"Lift "&amp;W905&amp;" lt. Liftbericht (Fach "&amp;X905&amp;" Stk); ",IF(CA905=1,"Gebinde geschätzt ("&amp;T905&amp;"); ",IF(BZ905=1,"Lose – Tablare geschätzt; ","")))&amp;IF(H905&gt;AV905,"Überbestand "&amp;ROUND(H905-AV905,0)&amp;" Stk / CHF "&amp;ROUND((H905-AV905)*G905,0)&amp;"; ","")&amp;IF(AND(CH905=1,CI905&lt;CJ905),"MAX &lt; MB+LG; ","")&amp;IF(AND(CP905&gt;0,CO905*10&gt;CP905),"zu hoch für Tablar; ","")&amp;IF(AND(BV905=0,OR(CH905=1,AA905&lt;&gt;"",U905&lt;&gt;"",V905&lt;&gt;"",AB905&lt;&gt;"")),"manuell übersteuert; ","")&amp;IF(AND(BZ905=0,R905=0),"Gebinde unbekannt / Stellmass fehlt; ","")&amp;IF(AND(BZ905=0,N(V905)&lt;=0,N(Q905)&lt;=0),"Menge pro Gebinde fehlt (Ist = 1 Gebinde); ","")&amp;BU905)</f>
        <v>negativer Bestand (Export -1257); Handlager</v>
      </c>
      <c r="BN905" s="48"/>
      <c r="BO905" s="48"/>
      <c r="BP905" s="55"/>
      <c r="BQ905" s="50" t="n">
        <v>-1257</v>
      </c>
      <c r="BR905" s="50" t="n">
        <v>1520</v>
      </c>
      <c r="BS905" s="49" t="n">
        <v>-36.28</v>
      </c>
      <c r="BT905" s="50" t="n">
        <v>600</v>
      </c>
      <c r="BU905" s="48" t="s">
        <v>904</v>
      </c>
      <c r="BV905" s="53" t="n">
        <v>0</v>
      </c>
      <c r="BW905" s="53" t="n">
        <v>905</v>
      </c>
      <c r="BX905" s="48" t="str">
        <f aca="false">IF(U905&lt;&gt;"",UPPER(TRIM(U905)),IF(CA905=1,UPPER(VLOOKUP(T905,Parameter!$I$27:$K$29,2,0)),IF(P905="","LOSE",P905)))</f>
        <v>S21</v>
      </c>
      <c r="BY905" s="50" t="n">
        <f aca="false">IF(BX905="LOSE",1,IF(N(V905)&gt;0,V905,IF(CA905=1,MAX(1,N(VLOOKUP(T905,Parameter!$I$27:$K$29,3,0)),H905,N(N905)),IF(N(Q905)&gt;0,Q905,MAX(1,H905)))))</f>
        <v>2242</v>
      </c>
      <c r="BZ905" s="53" t="n">
        <f aca="false">IF(BX905="LOSE",1,0)</f>
        <v>0</v>
      </c>
      <c r="CA905" s="53" t="n">
        <f aca="false">IF(AND(U905="",OR(P905="",P905="LOSE"),T905&lt;&gt;"",N(S905)&lt;=0,ISNUMBER(MATCH(T905,Parameter!$I$27:$I$29,0))),1,0)</f>
        <v>0</v>
      </c>
      <c r="CB905" s="53" t="n">
        <f aca="false">IF(CQ905&gt;0,INDEX(Parameter!$H$5:$H$7,W905)/INDEX(Parameter!$E$5:$E$7,W905),IF(AND(BZ905=0,N(IFERROR(VLOOKUP(BX905,'Gebinde-Kategorie'!$A$5:$N$45,14,0),0))&gt;0),VLOOKUP(BX905,'Gebinde-Kategorie'!$A$5:$N$45,14,0)*10+Parameter!$M$23,Parameter!$M$24))</f>
        <v>155</v>
      </c>
      <c r="CC905" s="48" t="str">
        <f aca="false">IF(AND(Parameter!$B$19="Ja",E905&lt;&gt;"",ISNUMBER(MATCH(E905,Parameter!$I$35:$I$52,0))),VLOOKUP(E905,Parameter!$I$35:$J$52,2,0),IFERROR(VLOOKUP(D905,Parameter!$A$35:$C$64,2,0),"Nein"))</f>
        <v>2+3</v>
      </c>
      <c r="CD905" s="52" t="n">
        <f aca="false">IF(BZ905=0,0,IF(N(S905)&gt;0,S905,IFERROR(VLOOKUP(D905,Parameter!$A$35:$C$64,3,0)+0,0)))</f>
        <v>0</v>
      </c>
      <c r="CE905" s="48" t="n">
        <f aca="false">IF(AA905&lt;&gt;"",AA905,Z905)</f>
        <v>3</v>
      </c>
      <c r="CF905" s="48" t="str">
        <f aca="false">IF(OR(CE905=1,CE905=2,CE905=3),IF(Parameter!$E$27="Ja","LIFT",IF(CE905=1,"L1","L23")),IF(CE905="Aussen","Aussen","-"))</f>
        <v>LIFT</v>
      </c>
      <c r="CG905" s="59" t="n">
        <f aca="false">IF(N(AB905)&gt;0,AB905,0)</f>
        <v>0</v>
      </c>
      <c r="CH905" s="53" t="n">
        <f aca="false">IF(ISNUMBER(AE905),1,0)</f>
        <v>0</v>
      </c>
      <c r="CI905" s="50" t="n">
        <f aca="false">N(AE905)</f>
        <v>0</v>
      </c>
      <c r="CJ905" s="50" t="n">
        <f aca="false">N(M905)+N(N905)</f>
        <v>646</v>
      </c>
      <c r="CK905" s="50" t="n">
        <f aca="false">N(M905)</f>
        <v>46</v>
      </c>
      <c r="CL905" s="50" t="n">
        <f aca="false">N(N905)</f>
        <v>600</v>
      </c>
      <c r="CM905" s="50" t="n">
        <f aca="false">ROUNDUP(H905/BY905,0)</f>
        <v>1</v>
      </c>
      <c r="CN905" s="50" t="n">
        <f aca="false">ROUNDUP(CI905/BY905,0)</f>
        <v>0</v>
      </c>
      <c r="CO905" s="53" t="n">
        <f aca="false">IF(BZ905=1,0,IFERROR(VLOOKUP(BX905,'Gebinde-Kategorie'!$A$5:$N$45,5,0)+0,0))</f>
        <v>8</v>
      </c>
      <c r="CP905" s="53" t="n">
        <f aca="false">IFERROR(IF(OR(CE905=1,CE905=2,CE905=3),N(INDEX(Parameter!$I$5:$I$7,CE905)),0),0)</f>
        <v>0</v>
      </c>
      <c r="CQ905" s="52" t="n">
        <f aca="false">IF(AND(Parameter!$B$21="Ja",ISNUMBER(W905),N(X905)&gt;0),IFERROR(N(INDEX(Parameter!$L$5:$L$7,W905))*INDEX(Parameter!$E$5:$E$7,W905)*X905/SUMIFS($X$7:$X$1843,$W$7:$W$1843,W905),0),0)</f>
        <v>0</v>
      </c>
    </row>
    <row r="906" customFormat="false" ht="15" hidden="false" customHeight="false" outlineLevel="0" collapsed="false">
      <c r="A906" s="48" t="s">
        <v>1710</v>
      </c>
      <c r="B906" s="48" t="s">
        <v>414</v>
      </c>
      <c r="C906" s="48" t="s">
        <v>173</v>
      </c>
      <c r="D906" s="48" t="s">
        <v>193</v>
      </c>
      <c r="E906" s="48" t="s">
        <v>194</v>
      </c>
      <c r="F906" s="48" t="s">
        <v>227</v>
      </c>
      <c r="G906" s="49" t="n">
        <v>0.16</v>
      </c>
      <c r="H906" s="50" t="n">
        <f aca="false">MAX(0,IF(AND(Parameter!$B$21="Ja",ISNUMBER(Y906)),Y906,IF(Parameter!$B$20="Jahresanfang 2025 + Export",BR906+BQ906,BQ906)))</f>
        <v>135</v>
      </c>
      <c r="I906" s="50" t="n">
        <f aca="false">H906*G906</f>
        <v>21.6</v>
      </c>
      <c r="J906" s="50" t="n">
        <f aca="false">BT906*Parameter!$B$18</f>
        <v>288</v>
      </c>
      <c r="K906" s="51" t="n">
        <v>298</v>
      </c>
      <c r="L906" s="52" t="n">
        <v>0.966442953020134</v>
      </c>
      <c r="M906" s="50" t="n">
        <v>22</v>
      </c>
      <c r="N906" s="50" t="n">
        <v>300</v>
      </c>
      <c r="O906" s="53" t="n">
        <v>28</v>
      </c>
      <c r="P906" s="48" t="s">
        <v>242</v>
      </c>
      <c r="Q906" s="50" t="n">
        <v>224</v>
      </c>
      <c r="R906" s="53" t="n">
        <f aca="false">IF(BZ906=1,0,IFERROR(VLOOKUP(BX906,'Gebinde-Kategorie'!$A$5:$N$45,13,0)+0,0))</f>
        <v>26</v>
      </c>
      <c r="S906" s="54"/>
      <c r="T906" s="55"/>
      <c r="U906" s="55"/>
      <c r="V906" s="55"/>
      <c r="W906" s="48"/>
      <c r="X906" s="50"/>
      <c r="Y906" s="50"/>
      <c r="Z906" s="48" t="n">
        <f aca="false">IF(A906="","",IF(AND(Parameter!$B$21="Ja",ISNUMBER(W906)),W906,IF(CC906="2+3",IF(ISNUMBER(SEARCH("grosser Artikel",BU906)),2,IFERROR(VLOOKUP(BX906,Parameter!$F$35:$G$64,2,0),2)),IF(OR(CC906="Nein",CC906=""),"-",CC906))))</f>
        <v>3</v>
      </c>
      <c r="AA906" s="55"/>
      <c r="AB906" s="56"/>
      <c r="AC906" s="50" t="n">
        <f aca="false">AV906</f>
        <v>322</v>
      </c>
      <c r="AD906" s="50" t="n">
        <f aca="false">MAX(AV906,H906)</f>
        <v>322</v>
      </c>
      <c r="AE906" s="57"/>
      <c r="AF906" s="50" t="n">
        <f aca="false">IF(LEFT(Cockpit!$C$5,1)="A",H906,IF(Parameter!$E$30="MAX-Bestand",IF(CH906=1,CI906,IF(LEFT(Cockpit!$C$5,1)="B",AL906,MAX(AL906,H906))),ROUNDUP(AJ906,0)))</f>
        <v>135</v>
      </c>
      <c r="AG906" s="50" t="n">
        <f aca="false">IF(BZ906=1,0,ROUNDUP(AF906/BY906,0))</f>
        <v>1</v>
      </c>
      <c r="AH906" s="52" t="n">
        <f aca="false">IF(CQ906&gt;0,CQ906*MAX(1,AF906/X906),IF(BZ906=1,IF(AF906&lt;=0,0,CD906*MAX(1,IF(H906&gt;0,AF906/H906,1))),IF(R906&gt;0,AG906/R906,0))/MAX(0.1,N(Parameter!$M$21)))</f>
        <v>0.0384615384615385</v>
      </c>
      <c r="AI906" s="50" t="n">
        <f aca="false">AH906*CB906</f>
        <v>9.42307692307692</v>
      </c>
      <c r="AJ906" s="51" t="n">
        <f aca="false">IF(LEFT(Cockpit!$C$5,1)="A",H906,IF(CH906=1,(CK906+CI906)/2,IF(LEFT(Cockpit!$C$5,1)="B",(CK906+AL906)/2,MAX((CK906+AL906)/2,H906))))</f>
        <v>135</v>
      </c>
      <c r="AK906" s="50" t="n">
        <f aca="false">AJ906*G906</f>
        <v>21.6</v>
      </c>
      <c r="AL906" s="50" t="n">
        <f aca="false">ROUNDUP(CK906+MAX(CL906,2*(J906/IF(CG906&gt;0,CG906,MAX(0.1,N(Cockpit!$C$6)))-CK906)),0)</f>
        <v>322</v>
      </c>
      <c r="AM906" s="51" t="n">
        <f aca="false">IF(AI906&gt;0,J906/AI906,-1)</f>
        <v>30.5632653061225</v>
      </c>
      <c r="AN906" s="51" t="n">
        <f aca="false">IF(AND(OR(CF906="L1",CF906="L23",CF906="LIFT"),AI906&gt;0),SUMIFS($AI$7:$AI$1843,$CF$7:$CF$1843,CF906,$AM$7:$AM$1843,"&gt;"&amp;AM906)+SUMIFS($AI$7:$AI$1843,$CF$7:$CF$1843,CF906,$AM$7:$AM$1843,AM906,$BW$7:$BW$1843,"&lt;="&amp;BW906),"")</f>
        <v>1403.35164835165</v>
      </c>
      <c r="AO906" s="58" t="n">
        <f aca="false">IF(AN906="",0,MAX(0,MIN(1,(IF(CF906="L1",Parameter!$H$5,IF(CF906="L23",Parameter!$H$6+Parameter!$H$7,Parameter!$H$5+Parameter!$H$6+Parameter!$H$7))-(AN906-AI906))/AI906)))</f>
        <v>1</v>
      </c>
      <c r="AP906" s="50" t="n">
        <f aca="false">IF(LEFT(Cockpit!$I$5,1)="A",H906,IF(Parameter!$E$30="MAX-Bestand",IF(CH906=1,CI906,IF(LEFT(Cockpit!$I$5,1)="B",AV906,MAX(AV906,H906))),ROUNDUP(AT906,0)))</f>
        <v>172</v>
      </c>
      <c r="AQ906" s="50" t="n">
        <f aca="false">IF(BZ906=1,0,ROUNDUP(AP906/BY906,0))</f>
        <v>1</v>
      </c>
      <c r="AR906" s="52" t="n">
        <f aca="false">IF(CQ906&gt;0,CQ906*MAX(1,AP906/X906),IF(BZ906=1,IF(AP906&lt;=0,0,CD906*MAX(1,IF(H906&gt;0,AP906/H906,1))),IF(R906&gt;0,AQ906/R906,0))/MAX(0.1,N(Parameter!$M$21)))</f>
        <v>0.0384615384615385</v>
      </c>
      <c r="AS906" s="50" t="n">
        <f aca="false">AR906*CB906</f>
        <v>9.42307692307692</v>
      </c>
      <c r="AT906" s="51" t="n">
        <f aca="false">IF(LEFT(Cockpit!$I$5,1)="A",H906,IF(CH906=1,(CK906+CI906)/2,IF(LEFT(Cockpit!$I$5,1)="B",(CK906+AV906)/2,MAX((CK906+AV906)/2,H906))))</f>
        <v>172</v>
      </c>
      <c r="AU906" s="50" t="n">
        <f aca="false">AT906*G906</f>
        <v>27.52</v>
      </c>
      <c r="AV906" s="50" t="n">
        <f aca="false">ROUNDUP(CK906+MAX(CL906,2*(J906/IF(CG906&gt;0,CG906,MAX(0.1,N(Cockpit!$I$6)))-CK906)),0)</f>
        <v>322</v>
      </c>
      <c r="AW906" s="51" t="n">
        <f aca="false">IF(AS906&gt;0,J906/AS906,-1)</f>
        <v>30.5632653061225</v>
      </c>
      <c r="AX906" s="51" t="n">
        <f aca="false">IF(AND(OR(CF906="L1",CF906="L23",CF906="LIFT"),AS906&gt;0),SUMIFS($AS$7:$AS$1843,$CF$7:$CF$1843,CF906,$AW$7:$AW$1843,"&gt;"&amp;AW906)+SUMIFS($AS$7:$AS$1843,$CF$7:$CF$1843,CF906,$AW$7:$AW$1843,AW906,$BW$7:$BW$1843,"&lt;="&amp;BW906),"")</f>
        <v>1821.97893772894</v>
      </c>
      <c r="AY906" s="58" t="n">
        <f aca="false">IF(AX906="",0,MAX(0,MIN(1,(IF(CF906="L1",Parameter!$H$5,IF(CF906="L23",Parameter!$H$6+Parameter!$H$7,Parameter!$H$5+Parameter!$H$6+Parameter!$H$7))-(AX906-AS906))/AS906)))</f>
        <v>1</v>
      </c>
      <c r="AZ906" s="50" t="n">
        <f aca="false">IF(LEFT(Cockpit!$O$5,1)="A",H906,IF(Parameter!$E$30="MAX-Bestand",IF(CH906=1,CI906,IF(LEFT(Cockpit!$O$5,1)="B",BF906,MAX(BF906,H906))),ROUNDUP(BD906,0)))</f>
        <v>172</v>
      </c>
      <c r="BA906" s="50" t="n">
        <f aca="false">IF(BZ906=1,0,ROUNDUP(AZ906/BY906,0))</f>
        <v>1</v>
      </c>
      <c r="BB906" s="52" t="n">
        <f aca="false">IF(CQ906&gt;0,CQ906*MAX(1,AZ906/X906),IF(BZ906=1,IF(AZ906&lt;=0,0,CD906*MAX(1,IF(H906&gt;0,AZ906/H906,1))),IF(R906&gt;0,BA906/R906,0))/MAX(0.1,N(Parameter!$M$21)))</f>
        <v>0.0384615384615385</v>
      </c>
      <c r="BC906" s="50" t="n">
        <f aca="false">BB906*CB906</f>
        <v>9.42307692307692</v>
      </c>
      <c r="BD906" s="51" t="n">
        <f aca="false">IF(LEFT(Cockpit!$O$5,1)="A",H906,IF(CH906=1,(CK906+CI906)/2,IF(LEFT(Cockpit!$O$5,1)="B",(CK906+BF906)/2,MAX((CK906+BF906)/2,H906))))</f>
        <v>172</v>
      </c>
      <c r="BE906" s="50" t="n">
        <f aca="false">BD906*G906</f>
        <v>27.52</v>
      </c>
      <c r="BF906" s="50" t="n">
        <f aca="false">ROUNDUP(CK906+MAX(CL906,2*(J906/IF(CG906&gt;0,CG906,MAX(0.1,N(Cockpit!$O$6)))-CK906)),0)</f>
        <v>322</v>
      </c>
      <c r="BG906" s="51" t="n">
        <f aca="false">IF(BC906&gt;0,J906/BC906,-1)</f>
        <v>30.5632653061225</v>
      </c>
      <c r="BH906" s="51" t="n">
        <f aca="false">IF(AND(OR(CF906="L1",CF906="L23",CF906="LIFT"),BC906&gt;0),SUMIFS($BC$7:$BC$1843,$CF$7:$CF$1843,CF906,$BG$7:$BG$1843,"&gt;"&amp;BG906)+SUMIFS($BC$7:$BC$1843,$CF$7:$CF$1843,CF906,$BG$7:$BG$1843,BG906,$BW$7:$BW$1843,"&lt;="&amp;BW906),"")</f>
        <v>1765.40201465201</v>
      </c>
      <c r="BI906" s="58" t="n">
        <f aca="false">IF(BH906="",0,MAX(0,MIN(1,(IF(CF906="L1",Parameter!$H$5,IF(CF906="L23",Parameter!$H$6+Parameter!$H$7,Parameter!$H$5+Parameter!$H$6+Parameter!$H$7))-(BH906-BC906))/BC906)))</f>
        <v>1</v>
      </c>
      <c r="BJ906" s="48" t="str">
        <f aca="false">IF(AI906&lt;=0,"",IF(CF906="Aussen","Aussenlager",IF(CF906="-","Nicht im Lift",IF(AO906&gt;=1,"Lift",IF(AO906&lt;=0,"Aussenlager","teilweise")))))</f>
        <v>Lift</v>
      </c>
      <c r="BK906" s="48" t="str">
        <f aca="false">IF(AS906&lt;=0,"",IF(CF906="Aussen","Aussenlager",IF(CF906="-","Nicht im Lift",IF(AY906&gt;=1,"Lift",IF(AY906&lt;=0,"Aussenlager","teilweise")))))</f>
        <v>Lift</v>
      </c>
      <c r="BL906" s="48" t="str">
        <f aca="false">IF(BC906&lt;=0,"",IF(CF906="Aussen","Aussenlager",IF(CF906="-","Nicht im Lift",IF(BI906&gt;=1,"Lift",IF(BI906&lt;=0,"Aussenlager","teilweise")))))</f>
        <v>Lift</v>
      </c>
      <c r="BM906" s="48" t="str">
        <f aca="false">IF(A906="","",IF(BV906=1,"Neu; ","")&amp;IF(AND(BV906=0,BQ906&lt;0),"negativer Bestand (Export "&amp;BQ906&amp;"); ","")&amp;IF(J906&lt;=0,"Kein Verbrauch; ","")&amp;IF(CQ906&gt;0,"Lift "&amp;W906&amp;" lt. Liftbericht (Fach "&amp;X906&amp;" Stk); ",IF(CA906=1,"Gebinde geschätzt ("&amp;T906&amp;"); ",IF(BZ906=1,"Lose – Tablare geschätzt; ","")))&amp;IF(H906&gt;AV906,"Überbestand "&amp;ROUND(H906-AV906,0)&amp;" Stk / CHF "&amp;ROUND((H906-AV906)*G906,0)&amp;"; ","")&amp;IF(AND(CH906=1,CI906&lt;CJ906),"MAX &lt; MB+LG; ","")&amp;IF(AND(CP906&gt;0,CO906*10&gt;CP906),"zu hoch für Tablar; ","")&amp;IF(AND(BV906=0,OR(CH906=1,AA906&lt;&gt;"",U906&lt;&gt;"",V906&lt;&gt;"",AB906&lt;&gt;"")),"manuell übersteuert; ","")&amp;IF(AND(BZ906=0,R906=0),"Gebinde unbekannt / Stellmass fehlt; ","")&amp;IF(AND(BZ906=0,N(V906)&lt;=0,N(Q906)&lt;=0),"Menge pro Gebinde fehlt (Ist = 1 Gebinde); ","")&amp;BU906)</f>
        <v>negativer Bestand (Export -206); </v>
      </c>
      <c r="BN906" s="48"/>
      <c r="BO906" s="48"/>
      <c r="BP906" s="55"/>
      <c r="BQ906" s="50" t="n">
        <v>-206</v>
      </c>
      <c r="BR906" s="50" t="n">
        <v>341</v>
      </c>
      <c r="BS906" s="49" t="n">
        <v>-36.37</v>
      </c>
      <c r="BT906" s="50" t="n">
        <v>288</v>
      </c>
      <c r="BU906" s="48"/>
      <c r="BV906" s="53" t="n">
        <v>0</v>
      </c>
      <c r="BW906" s="53" t="n">
        <v>906</v>
      </c>
      <c r="BX906" s="48" t="str">
        <f aca="false">IF(U906&lt;&gt;"",UPPER(TRIM(U906)),IF(CA906=1,UPPER(VLOOKUP(T906,Parameter!$I$27:$K$29,2,0)),IF(P906="","LOSE",P906)))</f>
        <v>S52</v>
      </c>
      <c r="BY906" s="50" t="n">
        <f aca="false">IF(BX906="LOSE",1,IF(N(V906)&gt;0,V906,IF(CA906=1,MAX(1,N(VLOOKUP(T906,Parameter!$I$27:$K$29,3,0)),H906,N(N906)),IF(N(Q906)&gt;0,Q906,MAX(1,H906)))))</f>
        <v>224</v>
      </c>
      <c r="BZ906" s="53" t="n">
        <f aca="false">IF(BX906="LOSE",1,0)</f>
        <v>0</v>
      </c>
      <c r="CA906" s="53" t="n">
        <f aca="false">IF(AND(U906="",OR(P906="",P906="LOSE"),T906&lt;&gt;"",N(S906)&lt;=0,ISNUMBER(MATCH(T906,Parameter!$I$27:$I$29,0))),1,0)</f>
        <v>0</v>
      </c>
      <c r="CB906" s="53" t="n">
        <f aca="false">IF(CQ906&gt;0,INDEX(Parameter!$H$5:$H$7,W906)/INDEX(Parameter!$E$5:$E$7,W906),IF(AND(BZ906=0,N(IFERROR(VLOOKUP(BX906,'Gebinde-Kategorie'!$A$5:$N$45,14,0),0))&gt;0),VLOOKUP(BX906,'Gebinde-Kategorie'!$A$5:$N$45,14,0)*10+Parameter!$M$23,Parameter!$M$24))</f>
        <v>245</v>
      </c>
      <c r="CC906" s="48" t="str">
        <f aca="false">IF(AND(Parameter!$B$19="Ja",E906&lt;&gt;"",ISNUMBER(MATCH(E906,Parameter!$I$35:$I$52,0))),VLOOKUP(E906,Parameter!$I$35:$J$52,2,0),IFERROR(VLOOKUP(D906,Parameter!$A$35:$C$64,2,0),"Nein"))</f>
        <v>2+3</v>
      </c>
      <c r="CD906" s="52" t="n">
        <f aca="false">IF(BZ906=0,0,IF(N(S906)&gt;0,S906,IFERROR(VLOOKUP(D906,Parameter!$A$35:$C$64,3,0)+0,0)))</f>
        <v>0</v>
      </c>
      <c r="CE906" s="48" t="n">
        <f aca="false">IF(AA906&lt;&gt;"",AA906,Z906)</f>
        <v>3</v>
      </c>
      <c r="CF906" s="48" t="str">
        <f aca="false">IF(OR(CE906=1,CE906=2,CE906=3),IF(Parameter!$E$27="Ja","LIFT",IF(CE906=1,"L1","L23")),IF(CE906="Aussen","Aussen","-"))</f>
        <v>LIFT</v>
      </c>
      <c r="CG906" s="59" t="n">
        <f aca="false">IF(N(AB906)&gt;0,AB906,0)</f>
        <v>0</v>
      </c>
      <c r="CH906" s="53" t="n">
        <f aca="false">IF(ISNUMBER(AE906),1,0)</f>
        <v>0</v>
      </c>
      <c r="CI906" s="50" t="n">
        <f aca="false">N(AE906)</f>
        <v>0</v>
      </c>
      <c r="CJ906" s="50" t="n">
        <f aca="false">N(M906)+N(N906)</f>
        <v>322</v>
      </c>
      <c r="CK906" s="50" t="n">
        <f aca="false">N(M906)</f>
        <v>22</v>
      </c>
      <c r="CL906" s="50" t="n">
        <f aca="false">N(N906)</f>
        <v>300</v>
      </c>
      <c r="CM906" s="50" t="n">
        <f aca="false">ROUNDUP(H906/BY906,0)</f>
        <v>1</v>
      </c>
      <c r="CN906" s="50" t="n">
        <f aca="false">ROUNDUP(CI906/BY906,0)</f>
        <v>0</v>
      </c>
      <c r="CO906" s="53" t="n">
        <f aca="false">IF(BZ906=1,0,IFERROR(VLOOKUP(BX906,'Gebinde-Kategorie'!$A$5:$N$45,5,0)+0,0))</f>
        <v>21</v>
      </c>
      <c r="CP906" s="53" t="n">
        <f aca="false">IFERROR(IF(OR(CE906=1,CE906=2,CE906=3),N(INDEX(Parameter!$I$5:$I$7,CE906)),0),0)</f>
        <v>0</v>
      </c>
      <c r="CQ906" s="52" t="n">
        <f aca="false">IF(AND(Parameter!$B$21="Ja",ISNUMBER(W906),N(X906)&gt;0),IFERROR(N(INDEX(Parameter!$L$5:$L$7,W906))*INDEX(Parameter!$E$5:$E$7,W906)*X906/SUMIFS($X$7:$X$1843,$W$7:$W$1843,W906),0),0)</f>
        <v>0</v>
      </c>
    </row>
    <row r="907" customFormat="false" ht="15" hidden="false" customHeight="false" outlineLevel="0" collapsed="false">
      <c r="A907" s="48" t="s">
        <v>1711</v>
      </c>
      <c r="B907" s="48" t="s">
        <v>1693</v>
      </c>
      <c r="C907" s="48" t="s">
        <v>173</v>
      </c>
      <c r="D907" s="48" t="s">
        <v>193</v>
      </c>
      <c r="E907" s="48"/>
      <c r="F907" s="48" t="s">
        <v>227</v>
      </c>
      <c r="G907" s="49" t="n">
        <v>0.37</v>
      </c>
      <c r="H907" s="50" t="n">
        <f aca="false">MAX(0,IF(AND(Parameter!$B$21="Ja",ISNUMBER(Y907)),Y907,IF(Parameter!$B$20="Jahresanfang 2025 + Export",BR907+BQ907,BQ907)))</f>
        <v>0</v>
      </c>
      <c r="I907" s="50" t="n">
        <f aca="false">H907*G907</f>
        <v>0</v>
      </c>
      <c r="J907" s="50" t="n">
        <f aca="false">BT907*Parameter!$B$18</f>
        <v>0</v>
      </c>
      <c r="K907" s="51" t="n">
        <v>50</v>
      </c>
      <c r="L907" s="52" t="n">
        <v>0</v>
      </c>
      <c r="M907" s="50" t="n">
        <v>0</v>
      </c>
      <c r="N907" s="50" t="n">
        <v>1</v>
      </c>
      <c r="O907" s="53" t="n">
        <v>28</v>
      </c>
      <c r="P907" s="48" t="s">
        <v>177</v>
      </c>
      <c r="Q907" s="50"/>
      <c r="R907" s="53" t="n">
        <f aca="false">IF(BZ907=1,0,IFERROR(VLOOKUP(BX907,'Gebinde-Kategorie'!$A$5:$N$45,13,0)+0,0))</f>
        <v>26</v>
      </c>
      <c r="S907" s="54"/>
      <c r="T907" s="55" t="s">
        <v>284</v>
      </c>
      <c r="U907" s="55"/>
      <c r="V907" s="55"/>
      <c r="W907" s="48"/>
      <c r="X907" s="50"/>
      <c r="Y907" s="50"/>
      <c r="Z907" s="48" t="n">
        <f aca="false">IF(A907="","",IF(AND(Parameter!$B$21="Ja",ISNUMBER(W907)),W907,IF(CC907="2+3",IF(ISNUMBER(SEARCH("grosser Artikel",BU907)),2,IFERROR(VLOOKUP(BX907,Parameter!$F$35:$G$64,2,0),2)),IF(OR(CC907="Nein",CC907=""),"-",CC907))))</f>
        <v>3</v>
      </c>
      <c r="AA907" s="55"/>
      <c r="AB907" s="56"/>
      <c r="AC907" s="50" t="n">
        <f aca="false">AV907</f>
        <v>1</v>
      </c>
      <c r="AD907" s="50" t="n">
        <f aca="false">MAX(AV907,H907)</f>
        <v>1</v>
      </c>
      <c r="AE907" s="57"/>
      <c r="AF907" s="50" t="n">
        <f aca="false">IF(LEFT(Cockpit!$C$5,1)="A",H907,IF(Parameter!$E$30="MAX-Bestand",IF(CH907=1,CI907,IF(LEFT(Cockpit!$C$5,1)="B",AL907,MAX(AL907,H907))),ROUNDUP(AJ907,0)))</f>
        <v>0</v>
      </c>
      <c r="AG907" s="50" t="n">
        <f aca="false">IF(BZ907=1,0,ROUNDUP(AF907/BY907,0))</f>
        <v>0</v>
      </c>
      <c r="AH907" s="52" t="n">
        <f aca="false">IF(CQ907&gt;0,CQ907*MAX(1,AF907/X907),IF(BZ907=1,IF(AF907&lt;=0,0,CD907*MAX(1,IF(H907&gt;0,AF907/H907,1))),IF(R907&gt;0,AG907/R907,0))/MAX(0.1,N(Parameter!$M$21)))</f>
        <v>0</v>
      </c>
      <c r="AI907" s="50" t="n">
        <f aca="false">AH907*CB907</f>
        <v>0</v>
      </c>
      <c r="AJ907" s="51" t="n">
        <f aca="false">IF(LEFT(Cockpit!$C$5,1)="A",H907,IF(CH907=1,(CK907+CI907)/2,IF(LEFT(Cockpit!$C$5,1)="B",(CK907+AL907)/2,MAX((CK907+AL907)/2,H907))))</f>
        <v>0</v>
      </c>
      <c r="AK907" s="50" t="n">
        <f aca="false">AJ907*G907</f>
        <v>0</v>
      </c>
      <c r="AL907" s="50" t="n">
        <f aca="false">ROUNDUP(CK907+MAX(CL907,2*(J907/IF(CG907&gt;0,CG907,MAX(0.1,N(Cockpit!$C$6)))-CK907)),0)</f>
        <v>1</v>
      </c>
      <c r="AM907" s="51" t="n">
        <f aca="false">IF(AI907&gt;0,J907/AI907,-1)</f>
        <v>-1</v>
      </c>
      <c r="AN907" s="51" t="str">
        <f aca="false">IF(AND(OR(CF907="L1",CF907="L23",CF907="LIFT"),AI907&gt;0),SUMIFS($AI$7:$AI$1843,$CF$7:$CF$1843,CF907,$AM$7:$AM$1843,"&gt;"&amp;AM907)+SUMIFS($AI$7:$AI$1843,$CF$7:$CF$1843,CF907,$AM$7:$AM$1843,AM907,$BW$7:$BW$1843,"&lt;="&amp;BW907),"")</f>
        <v/>
      </c>
      <c r="AO907" s="58" t="n">
        <f aca="false">IF(AN907="",0,MAX(0,MIN(1,(IF(CF907="L1",Parameter!$H$5,IF(CF907="L23",Parameter!$H$6+Parameter!$H$7,Parameter!$H$5+Parameter!$H$6+Parameter!$H$7))-(AN907-AI907))/AI907)))</f>
        <v>0</v>
      </c>
      <c r="AP907" s="50" t="n">
        <f aca="false">IF(LEFT(Cockpit!$I$5,1)="A",H907,IF(Parameter!$E$30="MAX-Bestand",IF(CH907=1,CI907,IF(LEFT(Cockpit!$I$5,1)="B",AV907,MAX(AV907,H907))),ROUNDUP(AT907,0)))</f>
        <v>1</v>
      </c>
      <c r="AQ907" s="50" t="n">
        <f aca="false">IF(BZ907=1,0,ROUNDUP(AP907/BY907,0))</f>
        <v>1</v>
      </c>
      <c r="AR907" s="52" t="n">
        <f aca="false">IF(CQ907&gt;0,CQ907*MAX(1,AP907/X907),IF(BZ907=1,IF(AP907&lt;=0,0,CD907*MAX(1,IF(H907&gt;0,AP907/H907,1))),IF(R907&gt;0,AQ907/R907,0))/MAX(0.1,N(Parameter!$M$21)))</f>
        <v>0.0384615384615385</v>
      </c>
      <c r="AS907" s="50" t="n">
        <f aca="false">AR907*CB907</f>
        <v>5.96153846153846</v>
      </c>
      <c r="AT907" s="51" t="n">
        <f aca="false">IF(LEFT(Cockpit!$I$5,1)="A",H907,IF(CH907=1,(CK907+CI907)/2,IF(LEFT(Cockpit!$I$5,1)="B",(CK907+AV907)/2,MAX((CK907+AV907)/2,H907))))</f>
        <v>0.5</v>
      </c>
      <c r="AU907" s="50" t="n">
        <f aca="false">AT907*G907</f>
        <v>0.185</v>
      </c>
      <c r="AV907" s="50" t="n">
        <f aca="false">ROUNDUP(CK907+MAX(CL907,2*(J907/IF(CG907&gt;0,CG907,MAX(0.1,N(Cockpit!$I$6)))-CK907)),0)</f>
        <v>1</v>
      </c>
      <c r="AW907" s="51" t="n">
        <f aca="false">IF(AS907&gt;0,J907/AS907,-1)</f>
        <v>0</v>
      </c>
      <c r="AX907" s="51" t="n">
        <f aca="false">IF(AND(OR(CF907="L1",CF907="L23",CF907="LIFT"),AS907&gt;0),SUMIFS($AS$7:$AS$1843,$CF$7:$CF$1843,CF907,$AW$7:$AW$1843,"&gt;"&amp;AW907)+SUMIFS($AS$7:$AS$1843,$CF$7:$CF$1843,CF907,$AW$7:$AW$1843,AW907,$BW$7:$BW$1843,"&lt;="&amp;BW907),"")</f>
        <v>34485.5860805861</v>
      </c>
      <c r="AY907" s="58" t="n">
        <f aca="false">IF(AX907="",0,MAX(0,MIN(1,(IF(CF907="L1",Parameter!$H$5,IF(CF907="L23",Parameter!$H$6+Parameter!$H$7,Parameter!$H$5+Parameter!$H$6+Parameter!$H$7))-(AX907-AS907))/AS907)))</f>
        <v>1</v>
      </c>
      <c r="AZ907" s="50" t="n">
        <f aca="false">IF(LEFT(Cockpit!$O$5,1)="A",H907,IF(Parameter!$E$30="MAX-Bestand",IF(CH907=1,CI907,IF(LEFT(Cockpit!$O$5,1)="B",BF907,MAX(BF907,H907))),ROUNDUP(BD907,0)))</f>
        <v>1</v>
      </c>
      <c r="BA907" s="50" t="n">
        <f aca="false">IF(BZ907=1,0,ROUNDUP(AZ907/BY907,0))</f>
        <v>1</v>
      </c>
      <c r="BB907" s="52" t="n">
        <f aca="false">IF(CQ907&gt;0,CQ907*MAX(1,AZ907/X907),IF(BZ907=1,IF(AZ907&lt;=0,0,CD907*MAX(1,IF(H907&gt;0,AZ907/H907,1))),IF(R907&gt;0,BA907/R907,0))/MAX(0.1,N(Parameter!$M$21)))</f>
        <v>0.0384615384615385</v>
      </c>
      <c r="BC907" s="50" t="n">
        <f aca="false">BB907*CB907</f>
        <v>5.96153846153846</v>
      </c>
      <c r="BD907" s="51" t="n">
        <f aca="false">IF(LEFT(Cockpit!$O$5,1)="A",H907,IF(CH907=1,(CK907+CI907)/2,IF(LEFT(Cockpit!$O$5,1)="B",(CK907+BF907)/2,MAX((CK907+BF907)/2,H907))))</f>
        <v>0.5</v>
      </c>
      <c r="BE907" s="50" t="n">
        <f aca="false">BD907*G907</f>
        <v>0.185</v>
      </c>
      <c r="BF907" s="50" t="n">
        <f aca="false">ROUNDUP(CK907+MAX(CL907,2*(J907/IF(CG907&gt;0,CG907,MAX(0.1,N(Cockpit!$O$6)))-CK907)),0)</f>
        <v>1</v>
      </c>
      <c r="BG907" s="51" t="n">
        <f aca="false">IF(BC907&gt;0,J907/BC907,-1)</f>
        <v>0</v>
      </c>
      <c r="BH907" s="51" t="n">
        <f aca="false">IF(AND(OR(CF907="L1",CF907="L23",CF907="LIFT"),BC907&gt;0),SUMIFS($BC$7:$BC$1843,$CF$7:$CF$1843,CF907,$BG$7:$BG$1843,"&gt;"&amp;BG907)+SUMIFS($BC$7:$BC$1843,$CF$7:$CF$1843,CF907,$BG$7:$BG$1843,BG907,$BW$7:$BW$1843,"&lt;="&amp;BW907),"")</f>
        <v>28517.1921912833</v>
      </c>
      <c r="BI907" s="58" t="n">
        <f aca="false">IF(BH907="",0,MAX(0,MIN(1,(IF(CF907="L1",Parameter!$H$5,IF(CF907="L23",Parameter!$H$6+Parameter!$H$7,Parameter!$H$5+Parameter!$H$6+Parameter!$H$7))-(BH907-BC907))/BC907)))</f>
        <v>1</v>
      </c>
      <c r="BJ907" s="48" t="str">
        <f aca="false">IF(AI907&lt;=0,"",IF(CF907="Aussen","Aussenlager",IF(CF907="-","Nicht im Lift",IF(AO907&gt;=1,"Lift",IF(AO907&lt;=0,"Aussenlager","teilweise")))))</f>
        <v/>
      </c>
      <c r="BK907" s="48" t="str">
        <f aca="false">IF(AS907&lt;=0,"",IF(CF907="Aussen","Aussenlager",IF(CF907="-","Nicht im Lift",IF(AY907&gt;=1,"Lift",IF(AY907&lt;=0,"Aussenlager","teilweise")))))</f>
        <v>Lift</v>
      </c>
      <c r="BL907" s="48" t="str">
        <f aca="false">IF(BC907&lt;=0,"",IF(CF907="Aussen","Aussenlager",IF(CF907="-","Nicht im Lift",IF(BI907&gt;=1,"Lift",IF(BI907&lt;=0,"Aussenlager","teilweise")))))</f>
        <v>Lift</v>
      </c>
      <c r="BM907" s="48" t="str">
        <f aca="false">IF(A907="","",IF(BV907=1,"Neu; ","")&amp;IF(AND(BV907=0,BQ907&lt;0),"negativer Bestand (Export "&amp;BQ907&amp;"); ","")&amp;IF(J907&lt;=0,"Kein Verbrauch; ","")&amp;IF(CQ907&gt;0,"Lift "&amp;W907&amp;" lt. Liftbericht (Fach "&amp;X907&amp;" Stk); ",IF(CA907=1,"Gebinde geschätzt ("&amp;T907&amp;"); ",IF(BZ907=1,"Lose – Tablare geschätzt; ","")))&amp;IF(H907&gt;AV907,"Überbestand "&amp;ROUND(H907-AV907,0)&amp;" Stk / CHF "&amp;ROUND((H907-AV907)*G907,0)&amp;"; ","")&amp;IF(AND(CH907=1,CI907&lt;CJ907),"MAX &lt; MB+LG; ","")&amp;IF(AND(CP907&gt;0,CO907*10&gt;CP907),"zu hoch für Tablar; ","")&amp;IF(AND(BV907=0,OR(CH907=1,AA907&lt;&gt;"",U907&lt;&gt;"",V907&lt;&gt;"",AB907&lt;&gt;"")),"manuell übersteuert; ","")&amp;IF(AND(BZ907=0,R907=0),"Gebinde unbekannt / Stellmass fehlt; ","")&amp;IF(AND(BZ907=0,N(V907)&lt;=0,N(Q907)&lt;=0),"Menge pro Gebinde fehlt (Ist = 1 Gebinde); ","")&amp;BU907)</f>
        <v>negativer Bestand (Export -100); Kein Verbrauch; Gebinde geschätzt (Klein); Menge pro Gebinde fehlt (Ist = 1 Gebinde); </v>
      </c>
      <c r="BN907" s="48"/>
      <c r="BO907" s="48"/>
      <c r="BP907" s="55"/>
      <c r="BQ907" s="50" t="n">
        <v>-100</v>
      </c>
      <c r="BR907" s="50" t="n">
        <v>100</v>
      </c>
      <c r="BS907" s="49" t="n">
        <v>-37</v>
      </c>
      <c r="BT907" s="50" t="n">
        <v>0</v>
      </c>
      <c r="BU907" s="48"/>
      <c r="BV907" s="53" t="n">
        <v>0</v>
      </c>
      <c r="BW907" s="53" t="n">
        <v>907</v>
      </c>
      <c r="BX907" s="48" t="str">
        <f aca="false">IF(U907&lt;&gt;"",UPPER(TRIM(U907)),IF(CA907=1,UPPER(VLOOKUP(T907,Parameter!$I$27:$K$29,2,0)),IF(P907="","LOSE",P907)))</f>
        <v>S51</v>
      </c>
      <c r="BY907" s="50" t="n">
        <f aca="false">IF(BX907="LOSE",1,IF(N(V907)&gt;0,V907,IF(CA907=1,MAX(1,N(VLOOKUP(T907,Parameter!$I$27:$K$29,3,0)),H907,N(N907)),IF(N(Q907)&gt;0,Q907,MAX(1,H907)))))</f>
        <v>20</v>
      </c>
      <c r="BZ907" s="53" t="n">
        <f aca="false">IF(BX907="LOSE",1,0)</f>
        <v>0</v>
      </c>
      <c r="CA907" s="53" t="n">
        <f aca="false">IF(AND(U907="",OR(P907="",P907="LOSE"),T907&lt;&gt;"",N(S907)&lt;=0,ISNUMBER(MATCH(T907,Parameter!$I$27:$I$29,0))),1,0)</f>
        <v>1</v>
      </c>
      <c r="CB907" s="53" t="n">
        <f aca="false">IF(CQ907&gt;0,INDEX(Parameter!$H$5:$H$7,W907)/INDEX(Parameter!$E$5:$E$7,W907),IF(AND(BZ907=0,N(IFERROR(VLOOKUP(BX907,'Gebinde-Kategorie'!$A$5:$N$45,14,0),0))&gt;0),VLOOKUP(BX907,'Gebinde-Kategorie'!$A$5:$N$45,14,0)*10+Parameter!$M$23,Parameter!$M$24))</f>
        <v>155</v>
      </c>
      <c r="CC907" s="48" t="str">
        <f aca="false">IF(AND(Parameter!$B$19="Ja",E907&lt;&gt;"",ISNUMBER(MATCH(E907,Parameter!$I$35:$I$52,0))),VLOOKUP(E907,Parameter!$I$35:$J$52,2,0),IFERROR(VLOOKUP(D907,Parameter!$A$35:$C$64,2,0),"Nein"))</f>
        <v>2+3</v>
      </c>
      <c r="CD907" s="52" t="n">
        <f aca="false">IF(BZ907=0,0,IF(N(S907)&gt;0,S907,IFERROR(VLOOKUP(D907,Parameter!$A$35:$C$64,3,0)+0,0)))</f>
        <v>0</v>
      </c>
      <c r="CE907" s="48" t="n">
        <f aca="false">IF(AA907&lt;&gt;"",AA907,Z907)</f>
        <v>3</v>
      </c>
      <c r="CF907" s="48" t="str">
        <f aca="false">IF(OR(CE907=1,CE907=2,CE907=3),IF(Parameter!$E$27="Ja","LIFT",IF(CE907=1,"L1","L23")),IF(CE907="Aussen","Aussen","-"))</f>
        <v>LIFT</v>
      </c>
      <c r="CG907" s="59" t="n">
        <f aca="false">IF(N(AB907)&gt;0,AB907,0)</f>
        <v>0</v>
      </c>
      <c r="CH907" s="53" t="n">
        <f aca="false">IF(ISNUMBER(AE907),1,0)</f>
        <v>0</v>
      </c>
      <c r="CI907" s="50" t="n">
        <f aca="false">N(AE907)</f>
        <v>0</v>
      </c>
      <c r="CJ907" s="50" t="n">
        <f aca="false">N(M907)+N(N907)</f>
        <v>1</v>
      </c>
      <c r="CK907" s="50" t="n">
        <f aca="false">N(M907)</f>
        <v>0</v>
      </c>
      <c r="CL907" s="50" t="n">
        <f aca="false">N(N907)</f>
        <v>1</v>
      </c>
      <c r="CM907" s="50" t="n">
        <f aca="false">ROUNDUP(H907/BY907,0)</f>
        <v>0</v>
      </c>
      <c r="CN907" s="50" t="n">
        <f aca="false">ROUNDUP(CI907/BY907,0)</f>
        <v>0</v>
      </c>
      <c r="CO907" s="53" t="n">
        <f aca="false">IF(BZ907=1,0,IFERROR(VLOOKUP(BX907,'Gebinde-Kategorie'!$A$5:$N$45,5,0)+0,0))</f>
        <v>11</v>
      </c>
      <c r="CP907" s="53" t="n">
        <f aca="false">IFERROR(IF(OR(CE907=1,CE907=2,CE907=3),N(INDEX(Parameter!$I$5:$I$7,CE907)),0),0)</f>
        <v>0</v>
      </c>
      <c r="CQ907" s="52" t="n">
        <f aca="false">IF(AND(Parameter!$B$21="Ja",ISNUMBER(W907),N(X907)&gt;0),IFERROR(N(INDEX(Parameter!$L$5:$L$7,W907))*INDEX(Parameter!$E$5:$E$7,W907)*X907/SUMIFS($X$7:$X$1843,$W$7:$W$1843,W907),0),0)</f>
        <v>0</v>
      </c>
    </row>
    <row r="908" customFormat="false" ht="15" hidden="false" customHeight="false" outlineLevel="0" collapsed="false">
      <c r="A908" s="48" t="s">
        <v>1712</v>
      </c>
      <c r="B908" s="48" t="s">
        <v>1713</v>
      </c>
      <c r="C908" s="48" t="s">
        <v>173</v>
      </c>
      <c r="D908" s="48" t="s">
        <v>193</v>
      </c>
      <c r="E908" s="48"/>
      <c r="F908" s="48" t="s">
        <v>227</v>
      </c>
      <c r="G908" s="49" t="n">
        <v>12.37</v>
      </c>
      <c r="H908" s="50" t="n">
        <f aca="false">MAX(0,IF(AND(Parameter!$B$21="Ja",ISNUMBER(Y908)),Y908,IF(Parameter!$B$20="Jahresanfang 2025 + Export",BR908+BQ908,BQ908)))</f>
        <v>28</v>
      </c>
      <c r="I908" s="50" t="n">
        <f aca="false">H908*G908</f>
        <v>346.36</v>
      </c>
      <c r="J908" s="50" t="n">
        <f aca="false">BT908*Parameter!$B$18</f>
        <v>1</v>
      </c>
      <c r="K908" s="51" t="n">
        <v>30</v>
      </c>
      <c r="L908" s="52" t="n">
        <v>0.0333333333333333</v>
      </c>
      <c r="M908" s="50" t="n">
        <v>0</v>
      </c>
      <c r="N908" s="50" t="n">
        <v>1</v>
      </c>
      <c r="O908" s="53" t="n">
        <v>28</v>
      </c>
      <c r="P908" s="48" t="s">
        <v>435</v>
      </c>
      <c r="Q908" s="50" t="n">
        <v>20</v>
      </c>
      <c r="R908" s="53" t="n">
        <f aca="false">IF(BZ908=1,0,IFERROR(VLOOKUP(BX908,'Gebinde-Kategorie'!$A$5:$N$45,13,0)+0,0))</f>
        <v>140</v>
      </c>
      <c r="S908" s="54"/>
      <c r="T908" s="55"/>
      <c r="U908" s="55"/>
      <c r="V908" s="55"/>
      <c r="W908" s="48"/>
      <c r="X908" s="50"/>
      <c r="Y908" s="50"/>
      <c r="Z908" s="48" t="n">
        <f aca="false">IF(A908="","",IF(AND(Parameter!$B$21="Ja",ISNUMBER(W908)),W908,IF(CC908="2+3",IF(ISNUMBER(SEARCH("grosser Artikel",BU908)),2,IFERROR(VLOOKUP(BX908,Parameter!$F$35:$G$64,2,0),2)),IF(OR(CC908="Nein",CC908=""),"-",CC908))))</f>
        <v>3</v>
      </c>
      <c r="AA908" s="55"/>
      <c r="AB908" s="56"/>
      <c r="AC908" s="50" t="n">
        <f aca="false">AV908</f>
        <v>1</v>
      </c>
      <c r="AD908" s="50" t="n">
        <f aca="false">MAX(AV908,H908)</f>
        <v>28</v>
      </c>
      <c r="AE908" s="57"/>
      <c r="AF908" s="50" t="n">
        <f aca="false">IF(LEFT(Cockpit!$C$5,1)="A",H908,IF(Parameter!$E$30="MAX-Bestand",IF(CH908=1,CI908,IF(LEFT(Cockpit!$C$5,1)="B",AL908,MAX(AL908,H908))),ROUNDUP(AJ908,0)))</f>
        <v>28</v>
      </c>
      <c r="AG908" s="50" t="n">
        <f aca="false">IF(BZ908=1,0,ROUNDUP(AF908/BY908,0))</f>
        <v>2</v>
      </c>
      <c r="AH908" s="52" t="n">
        <f aca="false">IF(CQ908&gt;0,CQ908*MAX(1,AF908/X908),IF(BZ908=1,IF(AF908&lt;=0,0,CD908*MAX(1,IF(H908&gt;0,AF908/H908,1))),IF(R908&gt;0,AG908/R908,0))/MAX(0.1,N(Parameter!$M$21)))</f>
        <v>0.0142857142857143</v>
      </c>
      <c r="AI908" s="50" t="n">
        <f aca="false">AH908*CB908</f>
        <v>2.21428571428571</v>
      </c>
      <c r="AJ908" s="51" t="n">
        <f aca="false">IF(LEFT(Cockpit!$C$5,1)="A",H908,IF(CH908=1,(CK908+CI908)/2,IF(LEFT(Cockpit!$C$5,1)="B",(CK908+AL908)/2,MAX((CK908+AL908)/2,H908))))</f>
        <v>28</v>
      </c>
      <c r="AK908" s="50" t="n">
        <f aca="false">AJ908*G908</f>
        <v>346.36</v>
      </c>
      <c r="AL908" s="50" t="n">
        <f aca="false">ROUNDUP(CK908+MAX(CL908,2*(J908/IF(CG908&gt;0,CG908,MAX(0.1,N(Cockpit!$C$6)))-CK908)),0)</f>
        <v>1</v>
      </c>
      <c r="AM908" s="51" t="n">
        <f aca="false">IF(AI908&gt;0,J908/AI908,-1)</f>
        <v>0.451612903225806</v>
      </c>
      <c r="AN908" s="51" t="n">
        <f aca="false">IF(AND(OR(CF908="L1",CF908="L23",CF908="LIFT"),AI908&gt;0),SUMIFS($AI$7:$AI$1843,$CF$7:$CF$1843,CF908,$AM$7:$AM$1843,"&gt;"&amp;AM908)+SUMIFS($AI$7:$AI$1843,$CF$7:$CF$1843,CF908,$AM$7:$AM$1843,AM908,$BW$7:$BW$1843,"&lt;="&amp;BW908),"")</f>
        <v>9861.2724074419</v>
      </c>
      <c r="AO908" s="58" t="n">
        <f aca="false">IF(AN908="",0,MAX(0,MIN(1,(IF(CF908="L1",Parameter!$H$5,IF(CF908="L23",Parameter!$H$6+Parameter!$H$7,Parameter!$H$5+Parameter!$H$6+Parameter!$H$7))-(AN908-AI908))/AI908)))</f>
        <v>1</v>
      </c>
      <c r="AP908" s="50" t="n">
        <f aca="false">IF(LEFT(Cockpit!$I$5,1)="A",H908,IF(Parameter!$E$30="MAX-Bestand",IF(CH908=1,CI908,IF(LEFT(Cockpit!$I$5,1)="B",AV908,MAX(AV908,H908))),ROUNDUP(AT908,0)))</f>
        <v>28</v>
      </c>
      <c r="AQ908" s="50" t="n">
        <f aca="false">IF(BZ908=1,0,ROUNDUP(AP908/BY908,0))</f>
        <v>2</v>
      </c>
      <c r="AR908" s="52" t="n">
        <f aca="false">IF(CQ908&gt;0,CQ908*MAX(1,AP908/X908),IF(BZ908=1,IF(AP908&lt;=0,0,CD908*MAX(1,IF(H908&gt;0,AP908/H908,1))),IF(R908&gt;0,AQ908/R908,0))/MAX(0.1,N(Parameter!$M$21)))</f>
        <v>0.0142857142857143</v>
      </c>
      <c r="AS908" s="50" t="n">
        <f aca="false">AR908*CB908</f>
        <v>2.21428571428571</v>
      </c>
      <c r="AT908" s="51" t="n">
        <f aca="false">IF(LEFT(Cockpit!$I$5,1)="A",H908,IF(CH908=1,(CK908+CI908)/2,IF(LEFT(Cockpit!$I$5,1)="B",(CK908+AV908)/2,MAX((CK908+AV908)/2,H908))))</f>
        <v>28</v>
      </c>
      <c r="AU908" s="50" t="n">
        <f aca="false">AT908*G908</f>
        <v>346.36</v>
      </c>
      <c r="AV908" s="50" t="n">
        <f aca="false">ROUNDUP(CK908+MAX(CL908,2*(J908/IF(CG908&gt;0,CG908,MAX(0.1,N(Cockpit!$I$6)))-CK908)),0)</f>
        <v>1</v>
      </c>
      <c r="AW908" s="51" t="n">
        <f aca="false">IF(AS908&gt;0,J908/AS908,-1)</f>
        <v>0.451612903225806</v>
      </c>
      <c r="AX908" s="51" t="n">
        <f aca="false">IF(AND(OR(CF908="L1",CF908="L23",CF908="LIFT"),AS908&gt;0),SUMIFS($AS$7:$AS$1843,$CF$7:$CF$1843,CF908,$AW$7:$AW$1843,"&gt;"&amp;AW908)+SUMIFS($AS$7:$AS$1843,$CF$7:$CF$1843,CF908,$AW$7:$AW$1843,AW908,$BW$7:$BW$1843,"&lt;="&amp;BW908),"")</f>
        <v>12275.108974359</v>
      </c>
      <c r="AY908" s="58" t="n">
        <f aca="false">IF(AX908="",0,MAX(0,MIN(1,(IF(CF908="L1",Parameter!$H$5,IF(CF908="L23",Parameter!$H$6+Parameter!$H$7,Parameter!$H$5+Parameter!$H$6+Parameter!$H$7))-(AX908-AS908))/AS908)))</f>
        <v>1</v>
      </c>
      <c r="AZ908" s="50" t="n">
        <f aca="false">IF(LEFT(Cockpit!$O$5,1)="A",H908,IF(Parameter!$E$30="MAX-Bestand",IF(CH908=1,CI908,IF(LEFT(Cockpit!$O$5,1)="B",BF908,MAX(BF908,H908))),ROUNDUP(BD908,0)))</f>
        <v>1</v>
      </c>
      <c r="BA908" s="50" t="n">
        <f aca="false">IF(BZ908=1,0,ROUNDUP(AZ908/BY908,0))</f>
        <v>1</v>
      </c>
      <c r="BB908" s="52" t="n">
        <f aca="false">IF(CQ908&gt;0,CQ908*MAX(1,AZ908/X908),IF(BZ908=1,IF(AZ908&lt;=0,0,CD908*MAX(1,IF(H908&gt;0,AZ908/H908,1))),IF(R908&gt;0,BA908/R908,0))/MAX(0.1,N(Parameter!$M$21)))</f>
        <v>0.00714285714285714</v>
      </c>
      <c r="BC908" s="50" t="n">
        <f aca="false">BB908*CB908</f>
        <v>1.10714285714286</v>
      </c>
      <c r="BD908" s="51" t="n">
        <f aca="false">IF(LEFT(Cockpit!$O$5,1)="A",H908,IF(CH908=1,(CK908+CI908)/2,IF(LEFT(Cockpit!$O$5,1)="B",(CK908+BF908)/2,MAX((CK908+BF908)/2,H908))))</f>
        <v>0.5</v>
      </c>
      <c r="BE908" s="50" t="n">
        <f aca="false">BD908*G908</f>
        <v>6.185</v>
      </c>
      <c r="BF908" s="50" t="n">
        <f aca="false">ROUNDUP(CK908+MAX(CL908,2*(J908/IF(CG908&gt;0,CG908,MAX(0.1,N(Cockpit!$O$6)))-CK908)),0)</f>
        <v>1</v>
      </c>
      <c r="BG908" s="51" t="n">
        <f aca="false">IF(BC908&gt;0,J908/BC908,-1)</f>
        <v>0.903225806451613</v>
      </c>
      <c r="BH908" s="51" t="n">
        <f aca="false">IF(AND(OR(CF908="L1",CF908="L23",CF908="LIFT"),BC908&gt;0),SUMIFS($BC$7:$BC$1843,$CF$7:$CF$1843,CF908,$BG$7:$BG$1843,"&gt;"&amp;BG908)+SUMIFS($BC$7:$BC$1843,$CF$7:$CF$1843,CF908,$BG$7:$BG$1843,BG908,$BW$7:$BW$1843,"&lt;="&amp;BW908),"")</f>
        <v>8246.72206959707</v>
      </c>
      <c r="BI908" s="58" t="n">
        <f aca="false">IF(BH908="",0,MAX(0,MIN(1,(IF(CF908="L1",Parameter!$H$5,IF(CF908="L23",Parameter!$H$6+Parameter!$H$7,Parameter!$H$5+Parameter!$H$6+Parameter!$H$7))-(BH908-BC908))/BC908)))</f>
        <v>1</v>
      </c>
      <c r="BJ908" s="48" t="str">
        <f aca="false">IF(AI908&lt;=0,"",IF(CF908="Aussen","Aussenlager",IF(CF908="-","Nicht im Lift",IF(AO908&gt;=1,"Lift",IF(AO908&lt;=0,"Aussenlager","teilweise")))))</f>
        <v>Lift</v>
      </c>
      <c r="BK908" s="48" t="str">
        <f aca="false">IF(AS908&lt;=0,"",IF(CF908="Aussen","Aussenlager",IF(CF908="-","Nicht im Lift",IF(AY908&gt;=1,"Lift",IF(AY908&lt;=0,"Aussenlager","teilweise")))))</f>
        <v>Lift</v>
      </c>
      <c r="BL908" s="48" t="str">
        <f aca="false">IF(BC908&lt;=0,"",IF(CF908="Aussen","Aussenlager",IF(CF908="-","Nicht im Lift",IF(BI908&gt;=1,"Lift",IF(BI908&lt;=0,"Aussenlager","teilweise")))))</f>
        <v>Lift</v>
      </c>
      <c r="BM908" s="48" t="str">
        <f aca="false">IF(A908="","",IF(BV908=1,"Neu; ","")&amp;IF(AND(BV908=0,BQ908&lt;0),"negativer Bestand (Export "&amp;BQ908&amp;"); ","")&amp;IF(J908&lt;=0,"Kein Verbrauch; ","")&amp;IF(CQ908&gt;0,"Lift "&amp;W908&amp;" lt. Liftbericht (Fach "&amp;X908&amp;" Stk); ",IF(CA908=1,"Gebinde geschätzt ("&amp;T908&amp;"); ",IF(BZ908=1,"Lose – Tablare geschätzt; ","")))&amp;IF(H908&gt;AV908,"Überbestand "&amp;ROUND(H908-AV908,0)&amp;" Stk / CHF "&amp;ROUND((H908-AV908)*G908,0)&amp;"; ","")&amp;IF(AND(CH908=1,CI908&lt;CJ908),"MAX &lt; MB+LG; ","")&amp;IF(AND(CP908&gt;0,CO908*10&gt;CP908),"zu hoch für Tablar; ","")&amp;IF(AND(BV908=0,OR(CH908=1,AA908&lt;&gt;"",U908&lt;&gt;"",V908&lt;&gt;"",AB908&lt;&gt;"")),"manuell übersteuert; ","")&amp;IF(AND(BZ908=0,R908=0),"Gebinde unbekannt / Stellmass fehlt; ","")&amp;IF(AND(BZ908=0,N(V908)&lt;=0,N(Q908)&lt;=0),"Menge pro Gebinde fehlt (Ist = 1 Gebinde); ","")&amp;BU908)</f>
        <v>negativer Bestand (Export -3); Überbestand 27 Stk / CHF 334; </v>
      </c>
      <c r="BN908" s="48"/>
      <c r="BO908" s="48"/>
      <c r="BP908" s="55"/>
      <c r="BQ908" s="50" t="n">
        <v>-3</v>
      </c>
      <c r="BR908" s="50" t="n">
        <v>31</v>
      </c>
      <c r="BS908" s="49" t="n">
        <v>-37.11</v>
      </c>
      <c r="BT908" s="50" t="n">
        <v>1</v>
      </c>
      <c r="BU908" s="48"/>
      <c r="BV908" s="53" t="n">
        <v>0</v>
      </c>
      <c r="BW908" s="53" t="n">
        <v>908</v>
      </c>
      <c r="BX908" s="48" t="str">
        <f aca="false">IF(U908&lt;&gt;"",UPPER(TRIM(U908)),IF(CA908=1,UPPER(VLOOKUP(T908,Parameter!$I$27:$K$29,2,0)),IF(P908="","LOSE",P908)))</f>
        <v>S22</v>
      </c>
      <c r="BY908" s="50" t="n">
        <f aca="false">IF(BX908="LOSE",1,IF(N(V908)&gt;0,V908,IF(CA908=1,MAX(1,N(VLOOKUP(T908,Parameter!$I$27:$K$29,3,0)),H908,N(N908)),IF(N(Q908)&gt;0,Q908,MAX(1,H908)))))</f>
        <v>20</v>
      </c>
      <c r="BZ908" s="53" t="n">
        <f aca="false">IF(BX908="LOSE",1,0)</f>
        <v>0</v>
      </c>
      <c r="CA908" s="53" t="n">
        <f aca="false">IF(AND(U908="",OR(P908="",P908="LOSE"),T908&lt;&gt;"",N(S908)&lt;=0,ISNUMBER(MATCH(T908,Parameter!$I$27:$I$29,0))),1,0)</f>
        <v>0</v>
      </c>
      <c r="CB908" s="53" t="n">
        <f aca="false">IF(CQ908&gt;0,INDEX(Parameter!$H$5:$H$7,W908)/INDEX(Parameter!$E$5:$E$7,W908),IF(AND(BZ908=0,N(IFERROR(VLOOKUP(BX908,'Gebinde-Kategorie'!$A$5:$N$45,14,0),0))&gt;0),VLOOKUP(BX908,'Gebinde-Kategorie'!$A$5:$N$45,14,0)*10+Parameter!$M$23,Parameter!$M$24))</f>
        <v>155</v>
      </c>
      <c r="CC908" s="48" t="str">
        <f aca="false">IF(AND(Parameter!$B$19="Ja",E908&lt;&gt;"",ISNUMBER(MATCH(E908,Parameter!$I$35:$I$52,0))),VLOOKUP(E908,Parameter!$I$35:$J$52,2,0),IFERROR(VLOOKUP(D908,Parameter!$A$35:$C$64,2,0),"Nein"))</f>
        <v>2+3</v>
      </c>
      <c r="CD908" s="52" t="n">
        <f aca="false">IF(BZ908=0,0,IF(N(S908)&gt;0,S908,IFERROR(VLOOKUP(D908,Parameter!$A$35:$C$64,3,0)+0,0)))</f>
        <v>0</v>
      </c>
      <c r="CE908" s="48" t="n">
        <f aca="false">IF(AA908&lt;&gt;"",AA908,Z908)</f>
        <v>3</v>
      </c>
      <c r="CF908" s="48" t="str">
        <f aca="false">IF(OR(CE908=1,CE908=2,CE908=3),IF(Parameter!$E$27="Ja","LIFT",IF(CE908=1,"L1","L23")),IF(CE908="Aussen","Aussen","-"))</f>
        <v>LIFT</v>
      </c>
      <c r="CG908" s="59" t="n">
        <f aca="false">IF(N(AB908)&gt;0,AB908,0)</f>
        <v>0</v>
      </c>
      <c r="CH908" s="53" t="n">
        <f aca="false">IF(ISNUMBER(AE908),1,0)</f>
        <v>0</v>
      </c>
      <c r="CI908" s="50" t="n">
        <f aca="false">N(AE908)</f>
        <v>0</v>
      </c>
      <c r="CJ908" s="50" t="n">
        <f aca="false">N(M908)+N(N908)</f>
        <v>1</v>
      </c>
      <c r="CK908" s="50" t="n">
        <f aca="false">N(M908)</f>
        <v>0</v>
      </c>
      <c r="CL908" s="50" t="n">
        <f aca="false">N(N908)</f>
        <v>1</v>
      </c>
      <c r="CM908" s="50" t="n">
        <f aca="false">ROUNDUP(H908/BY908,0)</f>
        <v>2</v>
      </c>
      <c r="CN908" s="50" t="n">
        <f aca="false">ROUNDUP(CI908/BY908,0)</f>
        <v>0</v>
      </c>
      <c r="CO908" s="53" t="n">
        <f aca="false">IF(BZ908=1,0,IFERROR(VLOOKUP(BX908,'Gebinde-Kategorie'!$A$5:$N$45,5,0)+0,0))</f>
        <v>8</v>
      </c>
      <c r="CP908" s="53" t="n">
        <f aca="false">IFERROR(IF(OR(CE908=1,CE908=2,CE908=3),N(INDEX(Parameter!$I$5:$I$7,CE908)),0),0)</f>
        <v>0</v>
      </c>
      <c r="CQ908" s="52" t="n">
        <f aca="false">IF(AND(Parameter!$B$21="Ja",ISNUMBER(W908),N(X908)&gt;0),IFERROR(N(INDEX(Parameter!$L$5:$L$7,W908))*INDEX(Parameter!$E$5:$E$7,W908)*X908/SUMIFS($X$7:$X$1843,$W$7:$W$1843,W908),0),0)</f>
        <v>0</v>
      </c>
    </row>
    <row r="909" customFormat="false" ht="15" hidden="false" customHeight="false" outlineLevel="0" collapsed="false">
      <c r="A909" s="48" t="s">
        <v>1714</v>
      </c>
      <c r="B909" s="48" t="s">
        <v>1043</v>
      </c>
      <c r="C909" s="48" t="s">
        <v>173</v>
      </c>
      <c r="D909" s="48" t="s">
        <v>193</v>
      </c>
      <c r="E909" s="48" t="s">
        <v>194</v>
      </c>
      <c r="F909" s="48" t="s">
        <v>227</v>
      </c>
      <c r="G909" s="49" t="n">
        <v>7.19</v>
      </c>
      <c r="H909" s="50" t="n">
        <f aca="false">MAX(0,IF(AND(Parameter!$B$21="Ja",ISNUMBER(Y909)),Y909,IF(Parameter!$B$20="Jahresanfang 2025 + Export",BR909+BQ909,BQ909)))</f>
        <v>9</v>
      </c>
      <c r="I909" s="50" t="n">
        <f aca="false">H909*G909</f>
        <v>64.71</v>
      </c>
      <c r="J909" s="50" t="n">
        <f aca="false">BT909*Parameter!$B$18</f>
        <v>22</v>
      </c>
      <c r="K909" s="51" t="n">
        <v>12.5</v>
      </c>
      <c r="L909" s="52" t="n">
        <v>1.76</v>
      </c>
      <c r="M909" s="50" t="n">
        <v>0</v>
      </c>
      <c r="N909" s="50" t="n">
        <v>20</v>
      </c>
      <c r="O909" s="53" t="n">
        <v>14</v>
      </c>
      <c r="P909" s="48" t="s">
        <v>430</v>
      </c>
      <c r="Q909" s="50" t="n">
        <v>22</v>
      </c>
      <c r="R909" s="53" t="n">
        <f aca="false">IF(BZ909=1,0,IFERROR(VLOOKUP(BX909,'Gebinde-Kategorie'!$A$5:$N$45,13,0)+0,0))</f>
        <v>104</v>
      </c>
      <c r="S909" s="54"/>
      <c r="T909" s="55"/>
      <c r="U909" s="55"/>
      <c r="V909" s="55"/>
      <c r="W909" s="48"/>
      <c r="X909" s="50"/>
      <c r="Y909" s="50"/>
      <c r="Z909" s="48" t="n">
        <f aca="false">IF(A909="","",IF(AND(Parameter!$B$21="Ja",ISNUMBER(W909)),W909,IF(CC909="2+3",IF(ISNUMBER(SEARCH("grosser Artikel",BU909)),2,IFERROR(VLOOKUP(BX909,Parameter!$F$35:$G$64,2,0),2)),IF(OR(CC909="Nein",CC909=""),"-",CC909))))</f>
        <v>3</v>
      </c>
      <c r="AA909" s="55"/>
      <c r="AB909" s="56"/>
      <c r="AC909" s="50" t="n">
        <f aca="false">AV909</f>
        <v>20</v>
      </c>
      <c r="AD909" s="50" t="n">
        <f aca="false">MAX(AV909,H909)</f>
        <v>20</v>
      </c>
      <c r="AE909" s="57"/>
      <c r="AF909" s="50" t="n">
        <f aca="false">IF(LEFT(Cockpit!$C$5,1)="A",H909,IF(Parameter!$E$30="MAX-Bestand",IF(CH909=1,CI909,IF(LEFT(Cockpit!$C$5,1)="B",AL909,MAX(AL909,H909))),ROUNDUP(AJ909,0)))</f>
        <v>9</v>
      </c>
      <c r="AG909" s="50" t="n">
        <f aca="false">IF(BZ909=1,0,ROUNDUP(AF909/BY909,0))</f>
        <v>1</v>
      </c>
      <c r="AH909" s="52" t="n">
        <f aca="false">IF(CQ909&gt;0,CQ909*MAX(1,AF909/X909),IF(BZ909=1,IF(AF909&lt;=0,0,CD909*MAX(1,IF(H909&gt;0,AF909/H909,1))),IF(R909&gt;0,AG909/R909,0))/MAX(0.1,N(Parameter!$M$21)))</f>
        <v>0.00961538461538462</v>
      </c>
      <c r="AI909" s="50" t="n">
        <f aca="false">AH909*CB909</f>
        <v>1.49038461538462</v>
      </c>
      <c r="AJ909" s="51" t="n">
        <f aca="false">IF(LEFT(Cockpit!$C$5,1)="A",H909,IF(CH909=1,(CK909+CI909)/2,IF(LEFT(Cockpit!$C$5,1)="B",(CK909+AL909)/2,MAX((CK909+AL909)/2,H909))))</f>
        <v>9</v>
      </c>
      <c r="AK909" s="50" t="n">
        <f aca="false">AJ909*G909</f>
        <v>64.71</v>
      </c>
      <c r="AL909" s="50" t="n">
        <f aca="false">ROUNDUP(CK909+MAX(CL909,2*(J909/IF(CG909&gt;0,CG909,MAX(0.1,N(Cockpit!$C$6)))-CK909)),0)</f>
        <v>20</v>
      </c>
      <c r="AM909" s="51" t="n">
        <f aca="false">IF(AI909&gt;0,J909/AI909,-1)</f>
        <v>14.7612903225806</v>
      </c>
      <c r="AN909" s="51" t="n">
        <f aca="false">IF(AND(OR(CF909="L1",CF909="L23",CF909="LIFT"),AI909&gt;0),SUMIFS($AI$7:$AI$1843,$CF$7:$CF$1843,CF909,$AM$7:$AM$1843,"&gt;"&amp;AM909)+SUMIFS($AI$7:$AI$1843,$CF$7:$CF$1843,CF909,$AM$7:$AM$1843,AM909,$BW$7:$BW$1843,"&lt;="&amp;BW909),"")</f>
        <v>2098.02884615385</v>
      </c>
      <c r="AO909" s="58" t="n">
        <f aca="false">IF(AN909="",0,MAX(0,MIN(1,(IF(CF909="L1",Parameter!$H$5,IF(CF909="L23",Parameter!$H$6+Parameter!$H$7,Parameter!$H$5+Parameter!$H$6+Parameter!$H$7))-(AN909-AI909))/AI909)))</f>
        <v>1</v>
      </c>
      <c r="AP909" s="50" t="n">
        <f aca="false">IF(LEFT(Cockpit!$I$5,1)="A",H909,IF(Parameter!$E$30="MAX-Bestand",IF(CH909=1,CI909,IF(LEFT(Cockpit!$I$5,1)="B",AV909,MAX(AV909,H909))),ROUNDUP(AT909,0)))</f>
        <v>10</v>
      </c>
      <c r="AQ909" s="50" t="n">
        <f aca="false">IF(BZ909=1,0,ROUNDUP(AP909/BY909,0))</f>
        <v>1</v>
      </c>
      <c r="AR909" s="52" t="n">
        <f aca="false">IF(CQ909&gt;0,CQ909*MAX(1,AP909/X909),IF(BZ909=1,IF(AP909&lt;=0,0,CD909*MAX(1,IF(H909&gt;0,AP909/H909,1))),IF(R909&gt;0,AQ909/R909,0))/MAX(0.1,N(Parameter!$M$21)))</f>
        <v>0.00961538461538462</v>
      </c>
      <c r="AS909" s="50" t="n">
        <f aca="false">AR909*CB909</f>
        <v>1.49038461538462</v>
      </c>
      <c r="AT909" s="51" t="n">
        <f aca="false">IF(LEFT(Cockpit!$I$5,1)="A",H909,IF(CH909=1,(CK909+CI909)/2,IF(LEFT(Cockpit!$I$5,1)="B",(CK909+AV909)/2,MAX((CK909+AV909)/2,H909))))</f>
        <v>10</v>
      </c>
      <c r="AU909" s="50" t="n">
        <f aca="false">AT909*G909</f>
        <v>71.9</v>
      </c>
      <c r="AV909" s="50" t="n">
        <f aca="false">ROUNDUP(CK909+MAX(CL909,2*(J909/IF(CG909&gt;0,CG909,MAX(0.1,N(Cockpit!$I$6)))-CK909)),0)</f>
        <v>20</v>
      </c>
      <c r="AW909" s="51" t="n">
        <f aca="false">IF(AS909&gt;0,J909/AS909,-1)</f>
        <v>14.7612903225806</v>
      </c>
      <c r="AX909" s="51" t="n">
        <f aca="false">IF(AND(OR(CF909="L1",CF909="L23",CF909="LIFT"),AS909&gt;0),SUMIFS($AS$7:$AS$1843,$CF$7:$CF$1843,CF909,$AW$7:$AW$1843,"&gt;"&amp;AW909)+SUMIFS($AS$7:$AS$1843,$CF$7:$CF$1843,CF909,$AW$7:$AW$1843,AW909,$BW$7:$BW$1843,"&lt;="&amp;BW909),"")</f>
        <v>2745.96565934066</v>
      </c>
      <c r="AY909" s="58" t="n">
        <f aca="false">IF(AX909="",0,MAX(0,MIN(1,(IF(CF909="L1",Parameter!$H$5,IF(CF909="L23",Parameter!$H$6+Parameter!$H$7,Parameter!$H$5+Parameter!$H$6+Parameter!$H$7))-(AX909-AS909))/AS909)))</f>
        <v>1</v>
      </c>
      <c r="AZ909" s="50" t="n">
        <f aca="false">IF(LEFT(Cockpit!$O$5,1)="A",H909,IF(Parameter!$E$30="MAX-Bestand",IF(CH909=1,CI909,IF(LEFT(Cockpit!$O$5,1)="B",BF909,MAX(BF909,H909))),ROUNDUP(BD909,0)))</f>
        <v>10</v>
      </c>
      <c r="BA909" s="50" t="n">
        <f aca="false">IF(BZ909=1,0,ROUNDUP(AZ909/BY909,0))</f>
        <v>1</v>
      </c>
      <c r="BB909" s="52" t="n">
        <f aca="false">IF(CQ909&gt;0,CQ909*MAX(1,AZ909/X909),IF(BZ909=1,IF(AZ909&lt;=0,0,CD909*MAX(1,IF(H909&gt;0,AZ909/H909,1))),IF(R909&gt;0,BA909/R909,0))/MAX(0.1,N(Parameter!$M$21)))</f>
        <v>0.00961538461538462</v>
      </c>
      <c r="BC909" s="50" t="n">
        <f aca="false">BB909*CB909</f>
        <v>1.49038461538462</v>
      </c>
      <c r="BD909" s="51" t="n">
        <f aca="false">IF(LEFT(Cockpit!$O$5,1)="A",H909,IF(CH909=1,(CK909+CI909)/2,IF(LEFT(Cockpit!$O$5,1)="B",(CK909+BF909)/2,MAX((CK909+BF909)/2,H909))))</f>
        <v>10</v>
      </c>
      <c r="BE909" s="50" t="n">
        <f aca="false">BD909*G909</f>
        <v>71.9</v>
      </c>
      <c r="BF909" s="50" t="n">
        <f aca="false">ROUNDUP(CK909+MAX(CL909,2*(J909/IF(CG909&gt;0,CG909,MAX(0.1,N(Cockpit!$O$6)))-CK909)),0)</f>
        <v>20</v>
      </c>
      <c r="BG909" s="51" t="n">
        <f aca="false">IF(BC909&gt;0,J909/BC909,-1)</f>
        <v>14.7612903225806</v>
      </c>
      <c r="BH909" s="51" t="n">
        <f aca="false">IF(AND(OR(CF909="L1",CF909="L23",CF909="LIFT"),BC909&gt;0),SUMIFS($BC$7:$BC$1843,$CF$7:$CF$1843,CF909,$BG$7:$BG$1843,"&gt;"&amp;BG909)+SUMIFS($BC$7:$BC$1843,$CF$7:$CF$1843,CF909,$BG$7:$BG$1843,BG909,$BW$7:$BW$1843,"&lt;="&amp;BW909),"")</f>
        <v>2429.00274725275</v>
      </c>
      <c r="BI909" s="58" t="n">
        <f aca="false">IF(BH909="",0,MAX(0,MIN(1,(IF(CF909="L1",Parameter!$H$5,IF(CF909="L23",Parameter!$H$6+Parameter!$H$7,Parameter!$H$5+Parameter!$H$6+Parameter!$H$7))-(BH909-BC909))/BC909)))</f>
        <v>1</v>
      </c>
      <c r="BJ909" s="48" t="str">
        <f aca="false">IF(AI909&lt;=0,"",IF(CF909="Aussen","Aussenlager",IF(CF909="-","Nicht im Lift",IF(AO909&gt;=1,"Lift",IF(AO909&lt;=0,"Aussenlager","teilweise")))))</f>
        <v>Lift</v>
      </c>
      <c r="BK909" s="48" t="str">
        <f aca="false">IF(AS909&lt;=0,"",IF(CF909="Aussen","Aussenlager",IF(CF909="-","Nicht im Lift",IF(AY909&gt;=1,"Lift",IF(AY909&lt;=0,"Aussenlager","teilweise")))))</f>
        <v>Lift</v>
      </c>
      <c r="BL909" s="48" t="str">
        <f aca="false">IF(BC909&lt;=0,"",IF(CF909="Aussen","Aussenlager",IF(CF909="-","Nicht im Lift",IF(BI909&gt;=1,"Lift",IF(BI909&lt;=0,"Aussenlager","teilweise")))))</f>
        <v>Lift</v>
      </c>
      <c r="BM909" s="48" t="str">
        <f aca="false">IF(A909="","",IF(BV909=1,"Neu; ","")&amp;IF(AND(BV909=0,BQ909&lt;0),"negativer Bestand (Export "&amp;BQ909&amp;"); ","")&amp;IF(J909&lt;=0,"Kein Verbrauch; ","")&amp;IF(CQ909&gt;0,"Lift "&amp;W909&amp;" lt. Liftbericht (Fach "&amp;X909&amp;" Stk); ",IF(CA909=1,"Gebinde geschätzt ("&amp;T909&amp;"); ",IF(BZ909=1,"Lose – Tablare geschätzt; ","")))&amp;IF(H909&gt;AV909,"Überbestand "&amp;ROUND(H909-AV909,0)&amp;" Stk / CHF "&amp;ROUND((H909-AV909)*G909,0)&amp;"; ","")&amp;IF(AND(CH909=1,CI909&lt;CJ909),"MAX &lt; MB+LG; ","")&amp;IF(AND(CP909&gt;0,CO909*10&gt;CP909),"zu hoch für Tablar; ","")&amp;IF(AND(BV909=0,OR(CH909=1,AA909&lt;&gt;"",U909&lt;&gt;"",V909&lt;&gt;"",AB909&lt;&gt;"")),"manuell übersteuert; ","")&amp;IF(AND(BZ909=0,R909=0),"Gebinde unbekannt / Stellmass fehlt; ","")&amp;IF(AND(BZ909=0,N(V909)&lt;=0,N(Q909)&lt;=0),"Menge pro Gebinde fehlt (Ist = 1 Gebinde); ","")&amp;BU909)</f>
        <v>negativer Bestand (Export -5); </v>
      </c>
      <c r="BN909" s="48"/>
      <c r="BO909" s="48"/>
      <c r="BP909" s="55"/>
      <c r="BQ909" s="50" t="n">
        <v>-5</v>
      </c>
      <c r="BR909" s="50" t="n">
        <v>14</v>
      </c>
      <c r="BS909" s="49" t="n">
        <v>-37.35</v>
      </c>
      <c r="BT909" s="50" t="n">
        <v>22</v>
      </c>
      <c r="BU909" s="48"/>
      <c r="BV909" s="53" t="n">
        <v>0</v>
      </c>
      <c r="BW909" s="53" t="n">
        <v>909</v>
      </c>
      <c r="BX909" s="48" t="str">
        <f aca="false">IF(U909&lt;&gt;"",UPPER(TRIM(U909)),IF(CA909=1,UPPER(VLOOKUP(T909,Parameter!$I$27:$K$29,2,0)),IF(P909="","LOSE",P909)))</f>
        <v>S32</v>
      </c>
      <c r="BY909" s="50" t="n">
        <f aca="false">IF(BX909="LOSE",1,IF(N(V909)&gt;0,V909,IF(CA909=1,MAX(1,N(VLOOKUP(T909,Parameter!$I$27:$K$29,3,0)),H909,N(N909)),IF(N(Q909)&gt;0,Q909,MAX(1,H909)))))</f>
        <v>22</v>
      </c>
      <c r="BZ909" s="53" t="n">
        <f aca="false">IF(BX909="LOSE",1,0)</f>
        <v>0</v>
      </c>
      <c r="CA909" s="53" t="n">
        <f aca="false">IF(AND(U909="",OR(P909="",P909="LOSE"),T909&lt;&gt;"",N(S909)&lt;=0,ISNUMBER(MATCH(T909,Parameter!$I$27:$I$29,0))),1,0)</f>
        <v>0</v>
      </c>
      <c r="CB909" s="53" t="n">
        <f aca="false">IF(CQ909&gt;0,INDEX(Parameter!$H$5:$H$7,W909)/INDEX(Parameter!$E$5:$E$7,W909),IF(AND(BZ909=0,N(IFERROR(VLOOKUP(BX909,'Gebinde-Kategorie'!$A$5:$N$45,14,0),0))&gt;0),VLOOKUP(BX909,'Gebinde-Kategorie'!$A$5:$N$45,14,0)*10+Parameter!$M$23,Parameter!$M$24))</f>
        <v>155</v>
      </c>
      <c r="CC909" s="48" t="str">
        <f aca="false">IF(AND(Parameter!$B$19="Ja",E909&lt;&gt;"",ISNUMBER(MATCH(E909,Parameter!$I$35:$I$52,0))),VLOOKUP(E909,Parameter!$I$35:$J$52,2,0),IFERROR(VLOOKUP(D909,Parameter!$A$35:$C$64,2,0),"Nein"))</f>
        <v>2+3</v>
      </c>
      <c r="CD909" s="52" t="n">
        <f aca="false">IF(BZ909=0,0,IF(N(S909)&gt;0,S909,IFERROR(VLOOKUP(D909,Parameter!$A$35:$C$64,3,0)+0,0)))</f>
        <v>0</v>
      </c>
      <c r="CE909" s="48" t="n">
        <f aca="false">IF(AA909&lt;&gt;"",AA909,Z909)</f>
        <v>3</v>
      </c>
      <c r="CF909" s="48" t="str">
        <f aca="false">IF(OR(CE909=1,CE909=2,CE909=3),IF(Parameter!$E$27="Ja","LIFT",IF(CE909=1,"L1","L23")),IF(CE909="Aussen","Aussen","-"))</f>
        <v>LIFT</v>
      </c>
      <c r="CG909" s="59" t="n">
        <f aca="false">IF(N(AB909)&gt;0,AB909,0)</f>
        <v>0</v>
      </c>
      <c r="CH909" s="53" t="n">
        <f aca="false">IF(ISNUMBER(AE909),1,0)</f>
        <v>0</v>
      </c>
      <c r="CI909" s="50" t="n">
        <f aca="false">N(AE909)</f>
        <v>0</v>
      </c>
      <c r="CJ909" s="50" t="n">
        <f aca="false">N(M909)+N(N909)</f>
        <v>20</v>
      </c>
      <c r="CK909" s="50" t="n">
        <f aca="false">N(M909)</f>
        <v>0</v>
      </c>
      <c r="CL909" s="50" t="n">
        <f aca="false">N(N909)</f>
        <v>20</v>
      </c>
      <c r="CM909" s="50" t="n">
        <f aca="false">ROUNDUP(H909/BY909,0)</f>
        <v>1</v>
      </c>
      <c r="CN909" s="50" t="n">
        <f aca="false">ROUNDUP(CI909/BY909,0)</f>
        <v>0</v>
      </c>
      <c r="CO909" s="53" t="n">
        <f aca="false">IF(BZ909=1,0,IFERROR(VLOOKUP(BX909,'Gebinde-Kategorie'!$A$5:$N$45,5,0)+0,0))</f>
        <v>8</v>
      </c>
      <c r="CP909" s="53" t="n">
        <f aca="false">IFERROR(IF(OR(CE909=1,CE909=2,CE909=3),N(INDEX(Parameter!$I$5:$I$7,CE909)),0),0)</f>
        <v>0</v>
      </c>
      <c r="CQ909" s="52" t="n">
        <f aca="false">IF(AND(Parameter!$B$21="Ja",ISNUMBER(W909),N(X909)&gt;0),IFERROR(N(INDEX(Parameter!$L$5:$L$7,W909))*INDEX(Parameter!$E$5:$E$7,W909)*X909/SUMIFS($X$7:$X$1843,$W$7:$W$1843,W909),0),0)</f>
        <v>0</v>
      </c>
    </row>
    <row r="910" customFormat="false" ht="15" hidden="false" customHeight="false" outlineLevel="0" collapsed="false">
      <c r="A910" s="48" t="s">
        <v>1715</v>
      </c>
      <c r="B910" s="48" t="s">
        <v>1060</v>
      </c>
      <c r="C910" s="48" t="s">
        <v>173</v>
      </c>
      <c r="D910" s="48" t="s">
        <v>193</v>
      </c>
      <c r="E910" s="48"/>
      <c r="F910" s="48" t="s">
        <v>227</v>
      </c>
      <c r="G910" s="49" t="n">
        <v>37.68</v>
      </c>
      <c r="H910" s="50" t="n">
        <f aca="false">MAX(0,IF(AND(Parameter!$B$21="Ja",ISNUMBER(Y910)),Y910,IF(Parameter!$B$20="Jahresanfang 2025 + Export",BR910+BQ910,BQ910)))</f>
        <v>19</v>
      </c>
      <c r="I910" s="50" t="n">
        <f aca="false">H910*G910</f>
        <v>715.92</v>
      </c>
      <c r="J910" s="50" t="n">
        <f aca="false">BT910*Parameter!$B$18</f>
        <v>0</v>
      </c>
      <c r="K910" s="51" t="n">
        <v>19.5</v>
      </c>
      <c r="L910" s="52" t="n">
        <v>0</v>
      </c>
      <c r="M910" s="50" t="n">
        <v>0</v>
      </c>
      <c r="N910" s="50" t="n">
        <v>1</v>
      </c>
      <c r="O910" s="53" t="n">
        <v>70</v>
      </c>
      <c r="P910" s="48" t="s">
        <v>177</v>
      </c>
      <c r="Q910" s="50"/>
      <c r="R910" s="53" t="n">
        <f aca="false">IF(BZ910=1,0,IFERROR(VLOOKUP(BX910,'Gebinde-Kategorie'!$A$5:$N$45,13,0)+0,0))</f>
        <v>12</v>
      </c>
      <c r="S910" s="54"/>
      <c r="T910" s="55" t="s">
        <v>188</v>
      </c>
      <c r="U910" s="55"/>
      <c r="V910" s="55"/>
      <c r="W910" s="48"/>
      <c r="X910" s="50"/>
      <c r="Y910" s="50"/>
      <c r="Z910" s="48" t="n">
        <f aca="false">IF(A910="","",IF(AND(Parameter!$B$21="Ja",ISNUMBER(W910)),W910,IF(CC910="2+3",IF(ISNUMBER(SEARCH("grosser Artikel",BU910)),2,IFERROR(VLOOKUP(BX910,Parameter!$F$35:$G$64,2,0),2)),IF(OR(CC910="Nein",CC910=""),"-",CC910))))</f>
        <v>2</v>
      </c>
      <c r="AA910" s="55"/>
      <c r="AB910" s="56"/>
      <c r="AC910" s="50" t="n">
        <f aca="false">AV910</f>
        <v>1</v>
      </c>
      <c r="AD910" s="50" t="n">
        <f aca="false">MAX(AV910,H910)</f>
        <v>19</v>
      </c>
      <c r="AE910" s="57"/>
      <c r="AF910" s="50" t="n">
        <f aca="false">IF(LEFT(Cockpit!$C$5,1)="A",H910,IF(Parameter!$E$30="MAX-Bestand",IF(CH910=1,CI910,IF(LEFT(Cockpit!$C$5,1)="B",AL910,MAX(AL910,H910))),ROUNDUP(AJ910,0)))</f>
        <v>19</v>
      </c>
      <c r="AG910" s="50" t="n">
        <f aca="false">IF(BZ910=1,0,ROUNDUP(AF910/BY910,0))</f>
        <v>1</v>
      </c>
      <c r="AH910" s="52" t="n">
        <f aca="false">IF(CQ910&gt;0,CQ910*MAX(1,AF910/X910),IF(BZ910=1,IF(AF910&lt;=0,0,CD910*MAX(1,IF(H910&gt;0,AF910/H910,1))),IF(R910&gt;0,AG910/R910,0))/MAX(0.1,N(Parameter!$M$21)))</f>
        <v>0.0833333333333333</v>
      </c>
      <c r="AI910" s="50" t="n">
        <f aca="false">AH910*CB910</f>
        <v>12.0833333333333</v>
      </c>
      <c r="AJ910" s="51" t="n">
        <f aca="false">IF(LEFT(Cockpit!$C$5,1)="A",H910,IF(CH910=1,(CK910+CI910)/2,IF(LEFT(Cockpit!$C$5,1)="B",(CK910+AL910)/2,MAX((CK910+AL910)/2,H910))))</f>
        <v>19</v>
      </c>
      <c r="AK910" s="50" t="n">
        <f aca="false">AJ910*G910</f>
        <v>715.92</v>
      </c>
      <c r="AL910" s="50" t="n">
        <f aca="false">ROUNDUP(CK910+MAX(CL910,2*(J910/IF(CG910&gt;0,CG910,MAX(0.1,N(Cockpit!$C$6)))-CK910)),0)</f>
        <v>1</v>
      </c>
      <c r="AM910" s="51" t="n">
        <f aca="false">IF(AI910&gt;0,J910/AI910,-1)</f>
        <v>0</v>
      </c>
      <c r="AN910" s="51" t="n">
        <f aca="false">IF(AND(OR(CF910="L1",CF910="L23",CF910="LIFT"),AI910&gt;0),SUMIFS($AI$7:$AI$1843,$CF$7:$CF$1843,CF910,$AM$7:$AM$1843,"&gt;"&amp;AM910)+SUMIFS($AI$7:$AI$1843,$CF$7:$CF$1843,CF910,$AM$7:$AM$1843,AM910,$BW$7:$BW$1843,"&lt;="&amp;BW910),"")</f>
        <v>28847.6210472672</v>
      </c>
      <c r="AO910" s="58" t="n">
        <f aca="false">IF(AN910="",0,MAX(0,MIN(1,(IF(CF910="L1",Parameter!$H$5,IF(CF910="L23",Parameter!$H$6+Parameter!$H$7,Parameter!$H$5+Parameter!$H$6+Parameter!$H$7))-(AN910-AI910))/AI910)))</f>
        <v>1</v>
      </c>
      <c r="AP910" s="50" t="n">
        <f aca="false">IF(LEFT(Cockpit!$I$5,1)="A",H910,IF(Parameter!$E$30="MAX-Bestand",IF(CH910=1,CI910,IF(LEFT(Cockpit!$I$5,1)="B",AV910,MAX(AV910,H910))),ROUNDUP(AT910,0)))</f>
        <v>19</v>
      </c>
      <c r="AQ910" s="50" t="n">
        <f aca="false">IF(BZ910=1,0,ROUNDUP(AP910/BY910,0))</f>
        <v>1</v>
      </c>
      <c r="AR910" s="52" t="n">
        <f aca="false">IF(CQ910&gt;0,CQ910*MAX(1,AP910/X910),IF(BZ910=1,IF(AP910&lt;=0,0,CD910*MAX(1,IF(H910&gt;0,AP910/H910,1))),IF(R910&gt;0,AQ910/R910,0))/MAX(0.1,N(Parameter!$M$21)))</f>
        <v>0.0833333333333333</v>
      </c>
      <c r="AS910" s="50" t="n">
        <f aca="false">AR910*CB910</f>
        <v>12.0833333333333</v>
      </c>
      <c r="AT910" s="51" t="n">
        <f aca="false">IF(LEFT(Cockpit!$I$5,1)="A",H910,IF(CH910=1,(CK910+CI910)/2,IF(LEFT(Cockpit!$I$5,1)="B",(CK910+AV910)/2,MAX((CK910+AV910)/2,H910))))</f>
        <v>19</v>
      </c>
      <c r="AU910" s="50" t="n">
        <f aca="false">AT910*G910</f>
        <v>715.92</v>
      </c>
      <c r="AV910" s="50" t="n">
        <f aca="false">ROUNDUP(CK910+MAX(CL910,2*(J910/IF(CG910&gt;0,CG910,MAX(0.1,N(Cockpit!$I$6)))-CK910)),0)</f>
        <v>1</v>
      </c>
      <c r="AW910" s="51" t="n">
        <f aca="false">IF(AS910&gt;0,J910/AS910,-1)</f>
        <v>0</v>
      </c>
      <c r="AX910" s="51" t="n">
        <f aca="false">IF(AND(OR(CF910="L1",CF910="L23",CF910="LIFT"),AS910&gt;0),SUMIFS($AS$7:$AS$1843,$CF$7:$CF$1843,CF910,$AW$7:$AW$1843,"&gt;"&amp;AW910)+SUMIFS($AS$7:$AS$1843,$CF$7:$CF$1843,CF910,$AW$7:$AW$1843,AW910,$BW$7:$BW$1843,"&lt;="&amp;BW910),"")</f>
        <v>34497.6694139194</v>
      </c>
      <c r="AY910" s="58" t="n">
        <f aca="false">IF(AX910="",0,MAX(0,MIN(1,(IF(CF910="L1",Parameter!$H$5,IF(CF910="L23",Parameter!$H$6+Parameter!$H$7,Parameter!$H$5+Parameter!$H$6+Parameter!$H$7))-(AX910-AS910))/AS910)))</f>
        <v>1</v>
      </c>
      <c r="AZ910" s="50" t="n">
        <f aca="false">IF(LEFT(Cockpit!$O$5,1)="A",H910,IF(Parameter!$E$30="MAX-Bestand",IF(CH910=1,CI910,IF(LEFT(Cockpit!$O$5,1)="B",BF910,MAX(BF910,H910))),ROUNDUP(BD910,0)))</f>
        <v>1</v>
      </c>
      <c r="BA910" s="50" t="n">
        <f aca="false">IF(BZ910=1,0,ROUNDUP(AZ910/BY910,0))</f>
        <v>1</v>
      </c>
      <c r="BB910" s="52" t="n">
        <f aca="false">IF(CQ910&gt;0,CQ910*MAX(1,AZ910/X910),IF(BZ910=1,IF(AZ910&lt;=0,0,CD910*MAX(1,IF(H910&gt;0,AZ910/H910,1))),IF(R910&gt;0,BA910/R910,0))/MAX(0.1,N(Parameter!$M$21)))</f>
        <v>0.0833333333333333</v>
      </c>
      <c r="BC910" s="50" t="n">
        <f aca="false">BB910*CB910</f>
        <v>12.0833333333333</v>
      </c>
      <c r="BD910" s="51" t="n">
        <f aca="false">IF(LEFT(Cockpit!$O$5,1)="A",H910,IF(CH910=1,(CK910+CI910)/2,IF(LEFT(Cockpit!$O$5,1)="B",(CK910+BF910)/2,MAX((CK910+BF910)/2,H910))))</f>
        <v>0.5</v>
      </c>
      <c r="BE910" s="50" t="n">
        <f aca="false">BD910*G910</f>
        <v>18.84</v>
      </c>
      <c r="BF910" s="50" t="n">
        <f aca="false">ROUNDUP(CK910+MAX(CL910,2*(J910/IF(CG910&gt;0,CG910,MAX(0.1,N(Cockpit!$O$6)))-CK910)),0)</f>
        <v>1</v>
      </c>
      <c r="BG910" s="51" t="n">
        <f aca="false">IF(BC910&gt;0,J910/BC910,-1)</f>
        <v>0</v>
      </c>
      <c r="BH910" s="51" t="n">
        <f aca="false">IF(AND(OR(CF910="L1",CF910="L23",CF910="LIFT"),BC910&gt;0),SUMIFS($BC$7:$BC$1843,$CF$7:$CF$1843,CF910,$BG$7:$BG$1843,"&gt;"&amp;BG910)+SUMIFS($BC$7:$BC$1843,$CF$7:$CF$1843,CF910,$BG$7:$BG$1843,BG910,$BW$7:$BW$1843,"&lt;="&amp;BW910),"")</f>
        <v>28529.2755246166</v>
      </c>
      <c r="BI910" s="58" t="n">
        <f aca="false">IF(BH910="",0,MAX(0,MIN(1,(IF(CF910="L1",Parameter!$H$5,IF(CF910="L23",Parameter!$H$6+Parameter!$H$7,Parameter!$H$5+Parameter!$H$6+Parameter!$H$7))-(BH910-BC910))/BC910)))</f>
        <v>1</v>
      </c>
      <c r="BJ910" s="48" t="str">
        <f aca="false">IF(AI910&lt;=0,"",IF(CF910="Aussen","Aussenlager",IF(CF910="-","Nicht im Lift",IF(AO910&gt;=1,"Lift",IF(AO910&lt;=0,"Aussenlager","teilweise")))))</f>
        <v>Lift</v>
      </c>
      <c r="BK910" s="48" t="str">
        <f aca="false">IF(AS910&lt;=0,"",IF(CF910="Aussen","Aussenlager",IF(CF910="-","Nicht im Lift",IF(AY910&gt;=1,"Lift",IF(AY910&lt;=0,"Aussenlager","teilweise")))))</f>
        <v>Lift</v>
      </c>
      <c r="BL910" s="48" t="str">
        <f aca="false">IF(BC910&lt;=0,"",IF(CF910="Aussen","Aussenlager",IF(CF910="-","Nicht im Lift",IF(BI910&gt;=1,"Lift",IF(BI910&lt;=0,"Aussenlager","teilweise")))))</f>
        <v>Lift</v>
      </c>
      <c r="BM910" s="48" t="str">
        <f aca="false">IF(A910="","",IF(BV910=1,"Neu; ","")&amp;IF(AND(BV910=0,BQ910&lt;0),"negativer Bestand (Export "&amp;BQ910&amp;"); ","")&amp;IF(J910&lt;=0,"Kein Verbrauch; ","")&amp;IF(CQ910&gt;0,"Lift "&amp;W910&amp;" lt. Liftbericht (Fach "&amp;X910&amp;" Stk); ",IF(CA910=1,"Gebinde geschätzt ("&amp;T910&amp;"); ",IF(BZ910=1,"Lose – Tablare geschätzt; ","")))&amp;IF(H910&gt;AV910,"Überbestand "&amp;ROUND(H910-AV910,0)&amp;" Stk / CHF "&amp;ROUND((H910-AV910)*G910,0)&amp;"; ","")&amp;IF(AND(CH910=1,CI910&lt;CJ910),"MAX &lt; MB+LG; ","")&amp;IF(AND(CP910&gt;0,CO910*10&gt;CP910),"zu hoch für Tablar; ","")&amp;IF(AND(BV910=0,OR(CH910=1,AA910&lt;&gt;"",U910&lt;&gt;"",V910&lt;&gt;"",AB910&lt;&gt;"")),"manuell übersteuert; ","")&amp;IF(AND(BZ910=0,R910=0),"Gebinde unbekannt / Stellmass fehlt; ","")&amp;IF(AND(BZ910=0,N(V910)&lt;=0,N(Q910)&lt;=0),"Menge pro Gebinde fehlt (Ist = 1 Gebinde); ","")&amp;BU910)</f>
        <v>negativer Bestand (Export -1); Kein Verbrauch; Gebinde geschätzt (Mittel); Überbestand 18 Stk / CHF 678; Menge pro Gebinde fehlt (Ist = 1 Gebinde); </v>
      </c>
      <c r="BN910" s="48"/>
      <c r="BO910" s="48"/>
      <c r="BP910" s="55"/>
      <c r="BQ910" s="50" t="n">
        <v>-1</v>
      </c>
      <c r="BR910" s="50" t="n">
        <v>20</v>
      </c>
      <c r="BS910" s="49" t="n">
        <v>-37.68</v>
      </c>
      <c r="BT910" s="50" t="n">
        <v>0</v>
      </c>
      <c r="BU910" s="48"/>
      <c r="BV910" s="53" t="n">
        <v>0</v>
      </c>
      <c r="BW910" s="53" t="n">
        <v>910</v>
      </c>
      <c r="BX910" s="48" t="str">
        <f aca="false">IF(U910&lt;&gt;"",UPPER(TRIM(U910)),IF(CA910=1,UPPER(VLOOKUP(T910,Parameter!$I$27:$K$29,2,0)),IF(P910="","LOSE",P910)))</f>
        <v>S61</v>
      </c>
      <c r="BY910" s="50" t="n">
        <f aca="false">IF(BX910="LOSE",1,IF(N(V910)&gt;0,V910,IF(CA910=1,MAX(1,N(VLOOKUP(T910,Parameter!$I$27:$K$29,3,0)),H910,N(N910)),IF(N(Q910)&gt;0,Q910,MAX(1,H910)))))</f>
        <v>19</v>
      </c>
      <c r="BZ910" s="53" t="n">
        <f aca="false">IF(BX910="LOSE",1,0)</f>
        <v>0</v>
      </c>
      <c r="CA910" s="53" t="n">
        <f aca="false">IF(AND(U910="",OR(P910="",P910="LOSE"),T910&lt;&gt;"",N(S910)&lt;=0,ISNUMBER(MATCH(T910,Parameter!$I$27:$I$29,0))),1,0)</f>
        <v>1</v>
      </c>
      <c r="CB910" s="53" t="n">
        <f aca="false">IF(CQ910&gt;0,INDEX(Parameter!$H$5:$H$7,W910)/INDEX(Parameter!$E$5:$E$7,W910),IF(AND(BZ910=0,N(IFERROR(VLOOKUP(BX910,'Gebinde-Kategorie'!$A$5:$N$45,14,0),0))&gt;0),VLOOKUP(BX910,'Gebinde-Kategorie'!$A$5:$N$45,14,0)*10+Parameter!$M$23,Parameter!$M$24))</f>
        <v>145</v>
      </c>
      <c r="CC910" s="48" t="str">
        <f aca="false">IF(AND(Parameter!$B$19="Ja",E910&lt;&gt;"",ISNUMBER(MATCH(E910,Parameter!$I$35:$I$52,0))),VLOOKUP(E910,Parameter!$I$35:$J$52,2,0),IFERROR(VLOOKUP(D910,Parameter!$A$35:$C$64,2,0),"Nein"))</f>
        <v>2+3</v>
      </c>
      <c r="CD910" s="52" t="n">
        <f aca="false">IF(BZ910=0,0,IF(N(S910)&gt;0,S910,IFERROR(VLOOKUP(D910,Parameter!$A$35:$C$64,3,0)+0,0)))</f>
        <v>0</v>
      </c>
      <c r="CE910" s="48" t="n">
        <f aca="false">IF(AA910&lt;&gt;"",AA910,Z910)</f>
        <v>2</v>
      </c>
      <c r="CF910" s="48" t="str">
        <f aca="false">IF(OR(CE910=1,CE910=2,CE910=3),IF(Parameter!$E$27="Ja","LIFT",IF(CE910=1,"L1","L23")),IF(CE910="Aussen","Aussen","-"))</f>
        <v>LIFT</v>
      </c>
      <c r="CG910" s="59" t="n">
        <f aca="false">IF(N(AB910)&gt;0,AB910,0)</f>
        <v>0</v>
      </c>
      <c r="CH910" s="53" t="n">
        <f aca="false">IF(ISNUMBER(AE910),1,0)</f>
        <v>0</v>
      </c>
      <c r="CI910" s="50" t="n">
        <f aca="false">N(AE910)</f>
        <v>0</v>
      </c>
      <c r="CJ910" s="50" t="n">
        <f aca="false">N(M910)+N(N910)</f>
        <v>1</v>
      </c>
      <c r="CK910" s="50" t="n">
        <f aca="false">N(M910)</f>
        <v>0</v>
      </c>
      <c r="CL910" s="50" t="n">
        <f aca="false">N(N910)</f>
        <v>1</v>
      </c>
      <c r="CM910" s="50" t="n">
        <f aca="false">ROUNDUP(H910/BY910,0)</f>
        <v>1</v>
      </c>
      <c r="CN910" s="50" t="n">
        <f aca="false">ROUNDUP(CI910/BY910,0)</f>
        <v>0</v>
      </c>
      <c r="CO910" s="53" t="n">
        <f aca="false">IF(BZ910=1,0,IFERROR(VLOOKUP(BX910,'Gebinde-Kategorie'!$A$5:$N$45,5,0)+0,0))</f>
        <v>11</v>
      </c>
      <c r="CP910" s="53" t="n">
        <f aca="false">IFERROR(IF(OR(CE910=1,CE910=2,CE910=3),N(INDEX(Parameter!$I$5:$I$7,CE910)),0),0)</f>
        <v>0</v>
      </c>
      <c r="CQ910" s="52" t="n">
        <f aca="false">IF(AND(Parameter!$B$21="Ja",ISNUMBER(W910),N(X910)&gt;0),IFERROR(N(INDEX(Parameter!$L$5:$L$7,W910))*INDEX(Parameter!$E$5:$E$7,W910)*X910/SUMIFS($X$7:$X$1843,$W$7:$W$1843,W910),0),0)</f>
        <v>0</v>
      </c>
    </row>
    <row r="911" customFormat="false" ht="15" hidden="false" customHeight="false" outlineLevel="0" collapsed="false">
      <c r="A911" s="48" t="s">
        <v>1716</v>
      </c>
      <c r="B911" s="48" t="s">
        <v>1717</v>
      </c>
      <c r="C911" s="48" t="s">
        <v>173</v>
      </c>
      <c r="D911" s="48" t="s">
        <v>193</v>
      </c>
      <c r="E911" s="48" t="s">
        <v>194</v>
      </c>
      <c r="F911" s="48" t="s">
        <v>227</v>
      </c>
      <c r="G911" s="49" t="n">
        <v>38.53</v>
      </c>
      <c r="H911" s="50" t="n">
        <f aca="false">MAX(0,IF(AND(Parameter!$B$21="Ja",ISNUMBER(Y911)),Y911,IF(Parameter!$B$20="Jahresanfang 2025 + Export",BR911+BQ911,BQ911)))</f>
        <v>7</v>
      </c>
      <c r="I911" s="50" t="n">
        <f aca="false">H911*G911</f>
        <v>269.71</v>
      </c>
      <c r="J911" s="50" t="n">
        <f aca="false">BT911*Parameter!$B$18</f>
        <v>0</v>
      </c>
      <c r="K911" s="51" t="n">
        <v>8</v>
      </c>
      <c r="L911" s="52" t="n">
        <v>0</v>
      </c>
      <c r="M911" s="50" t="n">
        <v>0</v>
      </c>
      <c r="N911" s="50" t="n">
        <v>1</v>
      </c>
      <c r="O911" s="53" t="n">
        <v>70</v>
      </c>
      <c r="P911" s="48" t="s">
        <v>485</v>
      </c>
      <c r="Q911" s="50" t="n">
        <v>16</v>
      </c>
      <c r="R911" s="53" t="n">
        <f aca="false">IF(BZ911=1,0,IFERROR(VLOOKUP(BX911,'Gebinde-Kategorie'!$A$5:$N$45,13,0)+0,0))</f>
        <v>52</v>
      </c>
      <c r="S911" s="54"/>
      <c r="T911" s="55"/>
      <c r="U911" s="55"/>
      <c r="V911" s="55"/>
      <c r="W911" s="48"/>
      <c r="X911" s="50"/>
      <c r="Y911" s="50"/>
      <c r="Z911" s="48" t="n">
        <f aca="false">IF(A911="","",IF(AND(Parameter!$B$21="Ja",ISNUMBER(W911)),W911,IF(CC911="2+3",IF(ISNUMBER(SEARCH("grosser Artikel",BU911)),2,IFERROR(VLOOKUP(BX911,Parameter!$F$35:$G$64,2,0),2)),IF(OR(CC911="Nein",CC911=""),"-",CC911))))</f>
        <v>3</v>
      </c>
      <c r="AA911" s="55"/>
      <c r="AB911" s="56"/>
      <c r="AC911" s="50" t="n">
        <f aca="false">AV911</f>
        <v>1</v>
      </c>
      <c r="AD911" s="50" t="n">
        <f aca="false">MAX(AV911,H911)</f>
        <v>7</v>
      </c>
      <c r="AE911" s="57"/>
      <c r="AF911" s="50" t="n">
        <f aca="false">IF(LEFT(Cockpit!$C$5,1)="A",H911,IF(Parameter!$E$30="MAX-Bestand",IF(CH911=1,CI911,IF(LEFT(Cockpit!$C$5,1)="B",AL911,MAX(AL911,H911))),ROUNDUP(AJ911,0)))</f>
        <v>7</v>
      </c>
      <c r="AG911" s="50" t="n">
        <f aca="false">IF(BZ911=1,0,ROUNDUP(AF911/BY911,0))</f>
        <v>1</v>
      </c>
      <c r="AH911" s="52" t="n">
        <f aca="false">IF(CQ911&gt;0,CQ911*MAX(1,AF911/X911),IF(BZ911=1,IF(AF911&lt;=0,0,CD911*MAX(1,IF(H911&gt;0,AF911/H911,1))),IF(R911&gt;0,AG911/R911,0))/MAX(0.1,N(Parameter!$M$21)))</f>
        <v>0.0192307692307692</v>
      </c>
      <c r="AI911" s="50" t="n">
        <f aca="false">AH911*CB911</f>
        <v>2.98076923076923</v>
      </c>
      <c r="AJ911" s="51" t="n">
        <f aca="false">IF(LEFT(Cockpit!$C$5,1)="A",H911,IF(CH911=1,(CK911+CI911)/2,IF(LEFT(Cockpit!$C$5,1)="B",(CK911+AL911)/2,MAX((CK911+AL911)/2,H911))))</f>
        <v>7</v>
      </c>
      <c r="AK911" s="50" t="n">
        <f aca="false">AJ911*G911</f>
        <v>269.71</v>
      </c>
      <c r="AL911" s="50" t="n">
        <f aca="false">ROUNDUP(CK911+MAX(CL911,2*(J911/IF(CG911&gt;0,CG911,MAX(0.1,N(Cockpit!$C$6)))-CK911)),0)</f>
        <v>1</v>
      </c>
      <c r="AM911" s="51" t="n">
        <f aca="false">IF(AI911&gt;0,J911/AI911,-1)</f>
        <v>0</v>
      </c>
      <c r="AN911" s="51" t="n">
        <f aca="false">IF(AND(OR(CF911="L1",CF911="L23",CF911="LIFT"),AI911&gt;0),SUMIFS($AI$7:$AI$1843,$CF$7:$CF$1843,CF911,$AM$7:$AM$1843,"&gt;"&amp;AM911)+SUMIFS($AI$7:$AI$1843,$CF$7:$CF$1843,CF911,$AM$7:$AM$1843,AM911,$BW$7:$BW$1843,"&lt;="&amp;BW911),"")</f>
        <v>28850.601816498</v>
      </c>
      <c r="AO911" s="58" t="n">
        <f aca="false">IF(AN911="",0,MAX(0,MIN(1,(IF(CF911="L1",Parameter!$H$5,IF(CF911="L23",Parameter!$H$6+Parameter!$H$7,Parameter!$H$5+Parameter!$H$6+Parameter!$H$7))-(AN911-AI911))/AI911)))</f>
        <v>1</v>
      </c>
      <c r="AP911" s="50" t="n">
        <f aca="false">IF(LEFT(Cockpit!$I$5,1)="A",H911,IF(Parameter!$E$30="MAX-Bestand",IF(CH911=1,CI911,IF(LEFT(Cockpit!$I$5,1)="B",AV911,MAX(AV911,H911))),ROUNDUP(AT911,0)))</f>
        <v>7</v>
      </c>
      <c r="AQ911" s="50" t="n">
        <f aca="false">IF(BZ911=1,0,ROUNDUP(AP911/BY911,0))</f>
        <v>1</v>
      </c>
      <c r="AR911" s="52" t="n">
        <f aca="false">IF(CQ911&gt;0,CQ911*MAX(1,AP911/X911),IF(BZ911=1,IF(AP911&lt;=0,0,CD911*MAX(1,IF(H911&gt;0,AP911/H911,1))),IF(R911&gt;0,AQ911/R911,0))/MAX(0.1,N(Parameter!$M$21)))</f>
        <v>0.0192307692307692</v>
      </c>
      <c r="AS911" s="50" t="n">
        <f aca="false">AR911*CB911</f>
        <v>2.98076923076923</v>
      </c>
      <c r="AT911" s="51" t="n">
        <f aca="false">IF(LEFT(Cockpit!$I$5,1)="A",H911,IF(CH911=1,(CK911+CI911)/2,IF(LEFT(Cockpit!$I$5,1)="B",(CK911+AV911)/2,MAX((CK911+AV911)/2,H911))))</f>
        <v>7</v>
      </c>
      <c r="AU911" s="50" t="n">
        <f aca="false">AT911*G911</f>
        <v>269.71</v>
      </c>
      <c r="AV911" s="50" t="n">
        <f aca="false">ROUNDUP(CK911+MAX(CL911,2*(J911/IF(CG911&gt;0,CG911,MAX(0.1,N(Cockpit!$I$6)))-CK911)),0)</f>
        <v>1</v>
      </c>
      <c r="AW911" s="51" t="n">
        <f aca="false">IF(AS911&gt;0,J911/AS911,-1)</f>
        <v>0</v>
      </c>
      <c r="AX911" s="51" t="n">
        <f aca="false">IF(AND(OR(CF911="L1",CF911="L23",CF911="LIFT"),AS911&gt;0),SUMIFS($AS$7:$AS$1843,$CF$7:$CF$1843,CF911,$AW$7:$AW$1843,"&gt;"&amp;AW911)+SUMIFS($AS$7:$AS$1843,$CF$7:$CF$1843,CF911,$AW$7:$AW$1843,AW911,$BW$7:$BW$1843,"&lt;="&amp;BW911),"")</f>
        <v>34500.6501831502</v>
      </c>
      <c r="AY911" s="58" t="n">
        <f aca="false">IF(AX911="",0,MAX(0,MIN(1,(IF(CF911="L1",Parameter!$H$5,IF(CF911="L23",Parameter!$H$6+Parameter!$H$7,Parameter!$H$5+Parameter!$H$6+Parameter!$H$7))-(AX911-AS911))/AS911)))</f>
        <v>1</v>
      </c>
      <c r="AZ911" s="50" t="n">
        <f aca="false">IF(LEFT(Cockpit!$O$5,1)="A",H911,IF(Parameter!$E$30="MAX-Bestand",IF(CH911=1,CI911,IF(LEFT(Cockpit!$O$5,1)="B",BF911,MAX(BF911,H911))),ROUNDUP(BD911,0)))</f>
        <v>1</v>
      </c>
      <c r="BA911" s="50" t="n">
        <f aca="false">IF(BZ911=1,0,ROUNDUP(AZ911/BY911,0))</f>
        <v>1</v>
      </c>
      <c r="BB911" s="52" t="n">
        <f aca="false">IF(CQ911&gt;0,CQ911*MAX(1,AZ911/X911),IF(BZ911=1,IF(AZ911&lt;=0,0,CD911*MAX(1,IF(H911&gt;0,AZ911/H911,1))),IF(R911&gt;0,BA911/R911,0))/MAX(0.1,N(Parameter!$M$21)))</f>
        <v>0.0192307692307692</v>
      </c>
      <c r="BC911" s="50" t="n">
        <f aca="false">BB911*CB911</f>
        <v>2.98076923076923</v>
      </c>
      <c r="BD911" s="51" t="n">
        <f aca="false">IF(LEFT(Cockpit!$O$5,1)="A",H911,IF(CH911=1,(CK911+CI911)/2,IF(LEFT(Cockpit!$O$5,1)="B",(CK911+BF911)/2,MAX((CK911+BF911)/2,H911))))</f>
        <v>0.5</v>
      </c>
      <c r="BE911" s="50" t="n">
        <f aca="false">BD911*G911</f>
        <v>19.265</v>
      </c>
      <c r="BF911" s="50" t="n">
        <f aca="false">ROUNDUP(CK911+MAX(CL911,2*(J911/IF(CG911&gt;0,CG911,MAX(0.1,N(Cockpit!$O$6)))-CK911)),0)</f>
        <v>1</v>
      </c>
      <c r="BG911" s="51" t="n">
        <f aca="false">IF(BC911&gt;0,J911/BC911,-1)</f>
        <v>0</v>
      </c>
      <c r="BH911" s="51" t="n">
        <f aca="false">IF(AND(OR(CF911="L1",CF911="L23",CF911="LIFT"),BC911&gt;0),SUMIFS($BC$7:$BC$1843,$CF$7:$CF$1843,CF911,$BG$7:$BG$1843,"&gt;"&amp;BG911)+SUMIFS($BC$7:$BC$1843,$CF$7:$CF$1843,CF911,$BG$7:$BG$1843,BG911,$BW$7:$BW$1843,"&lt;="&amp;BW911),"")</f>
        <v>28532.2562938474</v>
      </c>
      <c r="BI911" s="58" t="n">
        <f aca="false">IF(BH911="",0,MAX(0,MIN(1,(IF(CF911="L1",Parameter!$H$5,IF(CF911="L23",Parameter!$H$6+Parameter!$H$7,Parameter!$H$5+Parameter!$H$6+Parameter!$H$7))-(BH911-BC911))/BC911)))</f>
        <v>1</v>
      </c>
      <c r="BJ911" s="48" t="str">
        <f aca="false">IF(AI911&lt;=0,"",IF(CF911="Aussen","Aussenlager",IF(CF911="-","Nicht im Lift",IF(AO911&gt;=1,"Lift",IF(AO911&lt;=0,"Aussenlager","teilweise")))))</f>
        <v>Lift</v>
      </c>
      <c r="BK911" s="48" t="str">
        <f aca="false">IF(AS911&lt;=0,"",IF(CF911="Aussen","Aussenlager",IF(CF911="-","Nicht im Lift",IF(AY911&gt;=1,"Lift",IF(AY911&lt;=0,"Aussenlager","teilweise")))))</f>
        <v>Lift</v>
      </c>
      <c r="BL911" s="48" t="str">
        <f aca="false">IF(BC911&lt;=0,"",IF(CF911="Aussen","Aussenlager",IF(CF911="-","Nicht im Lift",IF(BI911&gt;=1,"Lift",IF(BI911&lt;=0,"Aussenlager","teilweise")))))</f>
        <v>Lift</v>
      </c>
      <c r="BM911" s="48" t="str">
        <f aca="false">IF(A911="","",IF(BV911=1,"Neu; ","")&amp;IF(AND(BV911=0,BQ911&lt;0),"negativer Bestand (Export "&amp;BQ911&amp;"); ","")&amp;IF(J911&lt;=0,"Kein Verbrauch; ","")&amp;IF(CQ911&gt;0,"Lift "&amp;W911&amp;" lt. Liftbericht (Fach "&amp;X911&amp;" Stk); ",IF(CA911=1,"Gebinde geschätzt ("&amp;T911&amp;"); ",IF(BZ911=1,"Lose – Tablare geschätzt; ","")))&amp;IF(H911&gt;AV911,"Überbestand "&amp;ROUND(H911-AV911,0)&amp;" Stk / CHF "&amp;ROUND((H911-AV911)*G911,0)&amp;"; ","")&amp;IF(AND(CH911=1,CI911&lt;CJ911),"MAX &lt; MB+LG; ","")&amp;IF(AND(CP911&gt;0,CO911*10&gt;CP911),"zu hoch für Tablar; ","")&amp;IF(AND(BV911=0,OR(CH911=1,AA911&lt;&gt;"",U911&lt;&gt;"",V911&lt;&gt;"",AB911&lt;&gt;"")),"manuell übersteuert; ","")&amp;IF(AND(BZ911=0,R911=0),"Gebinde unbekannt / Stellmass fehlt; ","")&amp;IF(AND(BZ911=0,N(V911)&lt;=0,N(Q911)&lt;=0),"Menge pro Gebinde fehlt (Ist = 1 Gebinde); ","")&amp;BU911)</f>
        <v>negativer Bestand (Export -1); Kein Verbrauch; Überbestand 6 Stk / CHF 231; </v>
      </c>
      <c r="BN911" s="48"/>
      <c r="BO911" s="48"/>
      <c r="BP911" s="55"/>
      <c r="BQ911" s="50" t="n">
        <v>-1</v>
      </c>
      <c r="BR911" s="50" t="n">
        <v>8</v>
      </c>
      <c r="BS911" s="49" t="n">
        <v>-38.53</v>
      </c>
      <c r="BT911" s="50" t="n">
        <v>0</v>
      </c>
      <c r="BU911" s="48"/>
      <c r="BV911" s="53" t="n">
        <v>0</v>
      </c>
      <c r="BW911" s="53" t="n">
        <v>911</v>
      </c>
      <c r="BX911" s="48" t="str">
        <f aca="false">IF(U911&lt;&gt;"",UPPER(TRIM(U911)),IF(CA911=1,UPPER(VLOOKUP(T911,Parameter!$I$27:$K$29,2,0)),IF(P911="","LOSE",P911)))</f>
        <v>S33</v>
      </c>
      <c r="BY911" s="50" t="n">
        <f aca="false">IF(BX911="LOSE",1,IF(N(V911)&gt;0,V911,IF(CA911=1,MAX(1,N(VLOOKUP(T911,Parameter!$I$27:$K$29,3,0)),H911,N(N911)),IF(N(Q911)&gt;0,Q911,MAX(1,H911)))))</f>
        <v>16</v>
      </c>
      <c r="BZ911" s="53" t="n">
        <f aca="false">IF(BX911="LOSE",1,0)</f>
        <v>0</v>
      </c>
      <c r="CA911" s="53" t="n">
        <f aca="false">IF(AND(U911="",OR(P911="",P911="LOSE"),T911&lt;&gt;"",N(S911)&lt;=0,ISNUMBER(MATCH(T911,Parameter!$I$27:$I$29,0))),1,0)</f>
        <v>0</v>
      </c>
      <c r="CB911" s="53" t="n">
        <f aca="false">IF(CQ911&gt;0,INDEX(Parameter!$H$5:$H$7,W911)/INDEX(Parameter!$E$5:$E$7,W911),IF(AND(BZ911=0,N(IFERROR(VLOOKUP(BX911,'Gebinde-Kategorie'!$A$5:$N$45,14,0),0))&gt;0),VLOOKUP(BX911,'Gebinde-Kategorie'!$A$5:$N$45,14,0)*10+Parameter!$M$23,Parameter!$M$24))</f>
        <v>155</v>
      </c>
      <c r="CC911" s="48" t="str">
        <f aca="false">IF(AND(Parameter!$B$19="Ja",E911&lt;&gt;"",ISNUMBER(MATCH(E911,Parameter!$I$35:$I$52,0))),VLOOKUP(E911,Parameter!$I$35:$J$52,2,0),IFERROR(VLOOKUP(D911,Parameter!$A$35:$C$64,2,0),"Nein"))</f>
        <v>2+3</v>
      </c>
      <c r="CD911" s="52" t="n">
        <f aca="false">IF(BZ911=0,0,IF(N(S911)&gt;0,S911,IFERROR(VLOOKUP(D911,Parameter!$A$35:$C$64,3,0)+0,0)))</f>
        <v>0</v>
      </c>
      <c r="CE911" s="48" t="n">
        <f aca="false">IF(AA911&lt;&gt;"",AA911,Z911)</f>
        <v>3</v>
      </c>
      <c r="CF911" s="48" t="str">
        <f aca="false">IF(OR(CE911=1,CE911=2,CE911=3),IF(Parameter!$E$27="Ja","LIFT",IF(CE911=1,"L1","L23")),IF(CE911="Aussen","Aussen","-"))</f>
        <v>LIFT</v>
      </c>
      <c r="CG911" s="59" t="n">
        <f aca="false">IF(N(AB911)&gt;0,AB911,0)</f>
        <v>0</v>
      </c>
      <c r="CH911" s="53" t="n">
        <f aca="false">IF(ISNUMBER(AE911),1,0)</f>
        <v>0</v>
      </c>
      <c r="CI911" s="50" t="n">
        <f aca="false">N(AE911)</f>
        <v>0</v>
      </c>
      <c r="CJ911" s="50" t="n">
        <f aca="false">N(M911)+N(N911)</f>
        <v>1</v>
      </c>
      <c r="CK911" s="50" t="n">
        <f aca="false">N(M911)</f>
        <v>0</v>
      </c>
      <c r="CL911" s="50" t="n">
        <f aca="false">N(N911)</f>
        <v>1</v>
      </c>
      <c r="CM911" s="50" t="n">
        <f aca="false">ROUNDUP(H911/BY911,0)</f>
        <v>1</v>
      </c>
      <c r="CN911" s="50" t="n">
        <f aca="false">ROUNDUP(CI911/BY911,0)</f>
        <v>0</v>
      </c>
      <c r="CO911" s="53" t="n">
        <f aca="false">IF(BZ911=1,0,IFERROR(VLOOKUP(BX911,'Gebinde-Kategorie'!$A$5:$N$45,5,0)+0,0))</f>
        <v>8</v>
      </c>
      <c r="CP911" s="53" t="n">
        <f aca="false">IFERROR(IF(OR(CE911=1,CE911=2,CE911=3),N(INDEX(Parameter!$I$5:$I$7,CE911)),0),0)</f>
        <v>0</v>
      </c>
      <c r="CQ911" s="52" t="n">
        <f aca="false">IF(AND(Parameter!$B$21="Ja",ISNUMBER(W911),N(X911)&gt;0),IFERROR(N(INDEX(Parameter!$L$5:$L$7,W911))*INDEX(Parameter!$E$5:$E$7,W911)*X911/SUMIFS($X$7:$X$1843,$W$7:$W$1843,W911),0),0)</f>
        <v>0</v>
      </c>
    </row>
    <row r="912" customFormat="false" ht="15" hidden="false" customHeight="false" outlineLevel="0" collapsed="false">
      <c r="A912" s="48" t="s">
        <v>1718</v>
      </c>
      <c r="B912" s="48" t="s">
        <v>414</v>
      </c>
      <c r="C912" s="48" t="s">
        <v>173</v>
      </c>
      <c r="D912" s="48" t="s">
        <v>193</v>
      </c>
      <c r="E912" s="48"/>
      <c r="F912" s="48" t="s">
        <v>227</v>
      </c>
      <c r="G912" s="49" t="n">
        <v>0.31</v>
      </c>
      <c r="H912" s="50" t="n">
        <f aca="false">MAX(0,IF(AND(Parameter!$B$21="Ja",ISNUMBER(Y912)),Y912,IF(Parameter!$B$20="Jahresanfang 2025 + Export",BR912+BQ912,BQ912)))</f>
        <v>14</v>
      </c>
      <c r="I912" s="50" t="n">
        <f aca="false">H912*G912</f>
        <v>4.34</v>
      </c>
      <c r="J912" s="50" t="n">
        <f aca="false">BT912*Parameter!$B$18</f>
        <v>136</v>
      </c>
      <c r="K912" s="51" t="n">
        <v>122.5</v>
      </c>
      <c r="L912" s="52" t="n">
        <v>1.11020408163265</v>
      </c>
      <c r="M912" s="50" t="n">
        <v>5</v>
      </c>
      <c r="N912" s="50" t="n">
        <v>200</v>
      </c>
      <c r="O912" s="53" t="n">
        <v>14</v>
      </c>
      <c r="P912" s="48" t="s">
        <v>430</v>
      </c>
      <c r="Q912" s="50" t="n">
        <v>70</v>
      </c>
      <c r="R912" s="53" t="n">
        <f aca="false">IF(BZ912=1,0,IFERROR(VLOOKUP(BX912,'Gebinde-Kategorie'!$A$5:$N$45,13,0)+0,0))</f>
        <v>104</v>
      </c>
      <c r="S912" s="54"/>
      <c r="T912" s="55"/>
      <c r="U912" s="55"/>
      <c r="V912" s="55"/>
      <c r="W912" s="48"/>
      <c r="X912" s="50"/>
      <c r="Y912" s="50"/>
      <c r="Z912" s="48" t="n">
        <f aca="false">IF(A912="","",IF(AND(Parameter!$B$21="Ja",ISNUMBER(W912)),W912,IF(CC912="2+3",IF(ISNUMBER(SEARCH("grosser Artikel",BU912)),2,IFERROR(VLOOKUP(BX912,Parameter!$F$35:$G$64,2,0),2)),IF(OR(CC912="Nein",CC912=""),"-",CC912))))</f>
        <v>3</v>
      </c>
      <c r="AA912" s="55"/>
      <c r="AB912" s="56"/>
      <c r="AC912" s="50" t="n">
        <f aca="false">AV912</f>
        <v>205</v>
      </c>
      <c r="AD912" s="50" t="n">
        <f aca="false">MAX(AV912,H912)</f>
        <v>205</v>
      </c>
      <c r="AE912" s="57"/>
      <c r="AF912" s="50" t="n">
        <f aca="false">IF(LEFT(Cockpit!$C$5,1)="A",H912,IF(Parameter!$E$30="MAX-Bestand",IF(CH912=1,CI912,IF(LEFT(Cockpit!$C$5,1)="B",AL912,MAX(AL912,H912))),ROUNDUP(AJ912,0)))</f>
        <v>14</v>
      </c>
      <c r="AG912" s="50" t="n">
        <f aca="false">IF(BZ912=1,0,ROUNDUP(AF912/BY912,0))</f>
        <v>1</v>
      </c>
      <c r="AH912" s="52" t="n">
        <f aca="false">IF(CQ912&gt;0,CQ912*MAX(1,AF912/X912),IF(BZ912=1,IF(AF912&lt;=0,0,CD912*MAX(1,IF(H912&gt;0,AF912/H912,1))),IF(R912&gt;0,AG912/R912,0))/MAX(0.1,N(Parameter!$M$21)))</f>
        <v>0.00961538461538462</v>
      </c>
      <c r="AI912" s="50" t="n">
        <f aca="false">AH912*CB912</f>
        <v>1.49038461538462</v>
      </c>
      <c r="AJ912" s="51" t="n">
        <f aca="false">IF(LEFT(Cockpit!$C$5,1)="A",H912,IF(CH912=1,(CK912+CI912)/2,IF(LEFT(Cockpit!$C$5,1)="B",(CK912+AL912)/2,MAX((CK912+AL912)/2,H912))))</f>
        <v>14</v>
      </c>
      <c r="AK912" s="50" t="n">
        <f aca="false">AJ912*G912</f>
        <v>4.34</v>
      </c>
      <c r="AL912" s="50" t="n">
        <f aca="false">ROUNDUP(CK912+MAX(CL912,2*(J912/IF(CG912&gt;0,CG912,MAX(0.1,N(Cockpit!$C$6)))-CK912)),0)</f>
        <v>205</v>
      </c>
      <c r="AM912" s="51" t="n">
        <f aca="false">IF(AI912&gt;0,J912/AI912,-1)</f>
        <v>91.2516129032258</v>
      </c>
      <c r="AN912" s="51" t="n">
        <f aca="false">IF(AND(OR(CF912="L1",CF912="L23",CF912="LIFT"),AI912&gt;0),SUMIFS($AI$7:$AI$1843,$CF$7:$CF$1843,CF912,$AM$7:$AM$1843,"&gt;"&amp;AM912)+SUMIFS($AI$7:$AI$1843,$CF$7:$CF$1843,CF912,$AM$7:$AM$1843,AM912,$BW$7:$BW$1843,"&lt;="&amp;BW912),"")</f>
        <v>818.993131868132</v>
      </c>
      <c r="AO912" s="58" t="n">
        <f aca="false">IF(AN912="",0,MAX(0,MIN(1,(IF(CF912="L1",Parameter!$H$5,IF(CF912="L23",Parameter!$H$6+Parameter!$H$7,Parameter!$H$5+Parameter!$H$6+Parameter!$H$7))-(AN912-AI912))/AI912)))</f>
        <v>1</v>
      </c>
      <c r="AP912" s="50" t="n">
        <f aca="false">IF(LEFT(Cockpit!$I$5,1)="A",H912,IF(Parameter!$E$30="MAX-Bestand",IF(CH912=1,CI912,IF(LEFT(Cockpit!$I$5,1)="B",AV912,MAX(AV912,H912))),ROUNDUP(AT912,0)))</f>
        <v>105</v>
      </c>
      <c r="AQ912" s="50" t="n">
        <f aca="false">IF(BZ912=1,0,ROUNDUP(AP912/BY912,0))</f>
        <v>2</v>
      </c>
      <c r="AR912" s="52" t="n">
        <f aca="false">IF(CQ912&gt;0,CQ912*MAX(1,AP912/X912),IF(BZ912=1,IF(AP912&lt;=0,0,CD912*MAX(1,IF(H912&gt;0,AP912/H912,1))),IF(R912&gt;0,AQ912/R912,0))/MAX(0.1,N(Parameter!$M$21)))</f>
        <v>0.0192307692307692</v>
      </c>
      <c r="AS912" s="50" t="n">
        <f aca="false">AR912*CB912</f>
        <v>2.98076923076923</v>
      </c>
      <c r="AT912" s="51" t="n">
        <f aca="false">IF(LEFT(Cockpit!$I$5,1)="A",H912,IF(CH912=1,(CK912+CI912)/2,IF(LEFT(Cockpit!$I$5,1)="B",(CK912+AV912)/2,MAX((CK912+AV912)/2,H912))))</f>
        <v>105</v>
      </c>
      <c r="AU912" s="50" t="n">
        <f aca="false">AT912*G912</f>
        <v>32.55</v>
      </c>
      <c r="AV912" s="50" t="n">
        <f aca="false">ROUNDUP(CK912+MAX(CL912,2*(J912/IF(CG912&gt;0,CG912,MAX(0.1,N(Cockpit!$I$6)))-CK912)),0)</f>
        <v>205</v>
      </c>
      <c r="AW912" s="51" t="n">
        <f aca="false">IF(AS912&gt;0,J912/AS912,-1)</f>
        <v>45.6258064516129</v>
      </c>
      <c r="AX912" s="51" t="n">
        <f aca="false">IF(AND(OR(CF912="L1",CF912="L23",CF912="LIFT"),AS912&gt;0),SUMIFS($AS$7:$AS$1843,$CF$7:$CF$1843,CF912,$AW$7:$AW$1843,"&gt;"&amp;AW912)+SUMIFS($AS$7:$AS$1843,$CF$7:$CF$1843,CF912,$AW$7:$AW$1843,AW912,$BW$7:$BW$1843,"&lt;="&amp;BW912),"")</f>
        <v>1447.07875457875</v>
      </c>
      <c r="AY912" s="58" t="n">
        <f aca="false">IF(AX912="",0,MAX(0,MIN(1,(IF(CF912="L1",Parameter!$H$5,IF(CF912="L23",Parameter!$H$6+Parameter!$H$7,Parameter!$H$5+Parameter!$H$6+Parameter!$H$7))-(AX912-AS912))/AS912)))</f>
        <v>1</v>
      </c>
      <c r="AZ912" s="50" t="n">
        <f aca="false">IF(LEFT(Cockpit!$O$5,1)="A",H912,IF(Parameter!$E$30="MAX-Bestand",IF(CH912=1,CI912,IF(LEFT(Cockpit!$O$5,1)="B",BF912,MAX(BF912,H912))),ROUNDUP(BD912,0)))</f>
        <v>105</v>
      </c>
      <c r="BA912" s="50" t="n">
        <f aca="false">IF(BZ912=1,0,ROUNDUP(AZ912/BY912,0))</f>
        <v>2</v>
      </c>
      <c r="BB912" s="52" t="n">
        <f aca="false">IF(CQ912&gt;0,CQ912*MAX(1,AZ912/X912),IF(BZ912=1,IF(AZ912&lt;=0,0,CD912*MAX(1,IF(H912&gt;0,AZ912/H912,1))),IF(R912&gt;0,BA912/R912,0))/MAX(0.1,N(Parameter!$M$21)))</f>
        <v>0.0192307692307692</v>
      </c>
      <c r="BC912" s="50" t="n">
        <f aca="false">BB912*CB912</f>
        <v>2.98076923076923</v>
      </c>
      <c r="BD912" s="51" t="n">
        <f aca="false">IF(LEFT(Cockpit!$O$5,1)="A",H912,IF(CH912=1,(CK912+CI912)/2,IF(LEFT(Cockpit!$O$5,1)="B",(CK912+BF912)/2,MAX((CK912+BF912)/2,H912))))</f>
        <v>105</v>
      </c>
      <c r="BE912" s="50" t="n">
        <f aca="false">BD912*G912</f>
        <v>32.55</v>
      </c>
      <c r="BF912" s="50" t="n">
        <f aca="false">ROUNDUP(CK912+MAX(CL912,2*(J912/IF(CG912&gt;0,CG912,MAX(0.1,N(Cockpit!$O$6)))-CK912)),0)</f>
        <v>205</v>
      </c>
      <c r="BG912" s="51" t="n">
        <f aca="false">IF(BC912&gt;0,J912/BC912,-1)</f>
        <v>45.6258064516129</v>
      </c>
      <c r="BH912" s="51" t="n">
        <f aca="false">IF(AND(OR(CF912="L1",CF912="L23",CF912="LIFT"),BC912&gt;0),SUMIFS($BC$7:$BC$1843,$CF$7:$CF$1843,CF912,$BG$7:$BG$1843,"&gt;"&amp;BG912)+SUMIFS($BC$7:$BC$1843,$CF$7:$CF$1843,CF912,$BG$7:$BG$1843,BG912,$BW$7:$BW$1843,"&lt;="&amp;BW912),"")</f>
        <v>1225.06318681319</v>
      </c>
      <c r="BI912" s="58" t="n">
        <f aca="false">IF(BH912="",0,MAX(0,MIN(1,(IF(CF912="L1",Parameter!$H$5,IF(CF912="L23",Parameter!$H$6+Parameter!$H$7,Parameter!$H$5+Parameter!$H$6+Parameter!$H$7))-(BH912-BC912))/BC912)))</f>
        <v>1</v>
      </c>
      <c r="BJ912" s="48" t="str">
        <f aca="false">IF(AI912&lt;=0,"",IF(CF912="Aussen","Aussenlager",IF(CF912="-","Nicht im Lift",IF(AO912&gt;=1,"Lift",IF(AO912&lt;=0,"Aussenlager","teilweise")))))</f>
        <v>Lift</v>
      </c>
      <c r="BK912" s="48" t="str">
        <f aca="false">IF(AS912&lt;=0,"",IF(CF912="Aussen","Aussenlager",IF(CF912="-","Nicht im Lift",IF(AY912&gt;=1,"Lift",IF(AY912&lt;=0,"Aussenlager","teilweise")))))</f>
        <v>Lift</v>
      </c>
      <c r="BL912" s="48" t="str">
        <f aca="false">IF(BC912&lt;=0,"",IF(CF912="Aussen","Aussenlager",IF(CF912="-","Nicht im Lift",IF(BI912&gt;=1,"Lift",IF(BI912&lt;=0,"Aussenlager","teilweise")))))</f>
        <v>Lift</v>
      </c>
      <c r="BM912" s="48" t="str">
        <f aca="false">IF(A912="","",IF(BV912=1,"Neu; ","")&amp;IF(AND(BV912=0,BQ912&lt;0),"negativer Bestand (Export "&amp;BQ912&amp;"); ","")&amp;IF(J912&lt;=0,"Kein Verbrauch; ","")&amp;IF(CQ912&gt;0,"Lift "&amp;W912&amp;" lt. Liftbericht (Fach "&amp;X912&amp;" Stk); ",IF(CA912=1,"Gebinde geschätzt ("&amp;T912&amp;"); ",IF(BZ912=1,"Lose – Tablare geschätzt; ","")))&amp;IF(H912&gt;AV912,"Überbestand "&amp;ROUND(H912-AV912,0)&amp;" Stk / CHF "&amp;ROUND((H912-AV912)*G912,0)&amp;"; ","")&amp;IF(AND(CH912=1,CI912&lt;CJ912),"MAX &lt; MB+LG; ","")&amp;IF(AND(CP912&gt;0,CO912*10&gt;CP912),"zu hoch für Tablar; ","")&amp;IF(AND(BV912=0,OR(CH912=1,AA912&lt;&gt;"",U912&lt;&gt;"",V912&lt;&gt;"",AB912&lt;&gt;"")),"manuell übersteuert; ","")&amp;IF(AND(BZ912=0,R912=0),"Gebinde unbekannt / Stellmass fehlt; ","")&amp;IF(AND(BZ912=0,N(V912)&lt;=0,N(Q912)&lt;=0),"Menge pro Gebinde fehlt (Ist = 1 Gebinde); ","")&amp;BU912)</f>
        <v>negativer Bestand (Export -129); </v>
      </c>
      <c r="BN912" s="48"/>
      <c r="BO912" s="48"/>
      <c r="BP912" s="55"/>
      <c r="BQ912" s="50" t="n">
        <v>-129</v>
      </c>
      <c r="BR912" s="50" t="n">
        <v>143</v>
      </c>
      <c r="BS912" s="49" t="n">
        <v>-38.56</v>
      </c>
      <c r="BT912" s="50" t="n">
        <v>136</v>
      </c>
      <c r="BU912" s="48"/>
      <c r="BV912" s="53" t="n">
        <v>0</v>
      </c>
      <c r="BW912" s="53" t="n">
        <v>912</v>
      </c>
      <c r="BX912" s="48" t="str">
        <f aca="false">IF(U912&lt;&gt;"",UPPER(TRIM(U912)),IF(CA912=1,UPPER(VLOOKUP(T912,Parameter!$I$27:$K$29,2,0)),IF(P912="","LOSE",P912)))</f>
        <v>S32</v>
      </c>
      <c r="BY912" s="50" t="n">
        <f aca="false">IF(BX912="LOSE",1,IF(N(V912)&gt;0,V912,IF(CA912=1,MAX(1,N(VLOOKUP(T912,Parameter!$I$27:$K$29,3,0)),H912,N(N912)),IF(N(Q912)&gt;0,Q912,MAX(1,H912)))))</f>
        <v>70</v>
      </c>
      <c r="BZ912" s="53" t="n">
        <f aca="false">IF(BX912="LOSE",1,0)</f>
        <v>0</v>
      </c>
      <c r="CA912" s="53" t="n">
        <f aca="false">IF(AND(U912="",OR(P912="",P912="LOSE"),T912&lt;&gt;"",N(S912)&lt;=0,ISNUMBER(MATCH(T912,Parameter!$I$27:$I$29,0))),1,0)</f>
        <v>0</v>
      </c>
      <c r="CB912" s="53" t="n">
        <f aca="false">IF(CQ912&gt;0,INDEX(Parameter!$H$5:$H$7,W912)/INDEX(Parameter!$E$5:$E$7,W912),IF(AND(BZ912=0,N(IFERROR(VLOOKUP(BX912,'Gebinde-Kategorie'!$A$5:$N$45,14,0),0))&gt;0),VLOOKUP(BX912,'Gebinde-Kategorie'!$A$5:$N$45,14,0)*10+Parameter!$M$23,Parameter!$M$24))</f>
        <v>155</v>
      </c>
      <c r="CC912" s="48" t="str">
        <f aca="false">IF(AND(Parameter!$B$19="Ja",E912&lt;&gt;"",ISNUMBER(MATCH(E912,Parameter!$I$35:$I$52,0))),VLOOKUP(E912,Parameter!$I$35:$J$52,2,0),IFERROR(VLOOKUP(D912,Parameter!$A$35:$C$64,2,0),"Nein"))</f>
        <v>2+3</v>
      </c>
      <c r="CD912" s="52" t="n">
        <f aca="false">IF(BZ912=0,0,IF(N(S912)&gt;0,S912,IFERROR(VLOOKUP(D912,Parameter!$A$35:$C$64,3,0)+0,0)))</f>
        <v>0</v>
      </c>
      <c r="CE912" s="48" t="n">
        <f aca="false">IF(AA912&lt;&gt;"",AA912,Z912)</f>
        <v>3</v>
      </c>
      <c r="CF912" s="48" t="str">
        <f aca="false">IF(OR(CE912=1,CE912=2,CE912=3),IF(Parameter!$E$27="Ja","LIFT",IF(CE912=1,"L1","L23")),IF(CE912="Aussen","Aussen","-"))</f>
        <v>LIFT</v>
      </c>
      <c r="CG912" s="59" t="n">
        <f aca="false">IF(N(AB912)&gt;0,AB912,0)</f>
        <v>0</v>
      </c>
      <c r="CH912" s="53" t="n">
        <f aca="false">IF(ISNUMBER(AE912),1,0)</f>
        <v>0</v>
      </c>
      <c r="CI912" s="50" t="n">
        <f aca="false">N(AE912)</f>
        <v>0</v>
      </c>
      <c r="CJ912" s="50" t="n">
        <f aca="false">N(M912)+N(N912)</f>
        <v>205</v>
      </c>
      <c r="CK912" s="50" t="n">
        <f aca="false">N(M912)</f>
        <v>5</v>
      </c>
      <c r="CL912" s="50" t="n">
        <f aca="false">N(N912)</f>
        <v>200</v>
      </c>
      <c r="CM912" s="50" t="n">
        <f aca="false">ROUNDUP(H912/BY912,0)</f>
        <v>1</v>
      </c>
      <c r="CN912" s="50" t="n">
        <f aca="false">ROUNDUP(CI912/BY912,0)</f>
        <v>0</v>
      </c>
      <c r="CO912" s="53" t="n">
        <f aca="false">IF(BZ912=1,0,IFERROR(VLOOKUP(BX912,'Gebinde-Kategorie'!$A$5:$N$45,5,0)+0,0))</f>
        <v>8</v>
      </c>
      <c r="CP912" s="53" t="n">
        <f aca="false">IFERROR(IF(OR(CE912=1,CE912=2,CE912=3),N(INDEX(Parameter!$I$5:$I$7,CE912)),0),0)</f>
        <v>0</v>
      </c>
      <c r="CQ912" s="52" t="n">
        <f aca="false">IF(AND(Parameter!$B$21="Ja",ISNUMBER(W912),N(X912)&gt;0),IFERROR(N(INDEX(Parameter!$L$5:$L$7,W912))*INDEX(Parameter!$E$5:$E$7,W912)*X912/SUMIFS($X$7:$X$1843,$W$7:$W$1843,W912),0),0)</f>
        <v>0</v>
      </c>
    </row>
    <row r="913" customFormat="false" ht="15" hidden="false" customHeight="false" outlineLevel="0" collapsed="false">
      <c r="A913" s="48" t="s">
        <v>1719</v>
      </c>
      <c r="B913" s="48" t="s">
        <v>958</v>
      </c>
      <c r="C913" s="48" t="s">
        <v>173</v>
      </c>
      <c r="D913" s="48" t="s">
        <v>193</v>
      </c>
      <c r="E913" s="48" t="s">
        <v>194</v>
      </c>
      <c r="F913" s="48" t="s">
        <v>227</v>
      </c>
      <c r="G913" s="49" t="n">
        <v>0.17</v>
      </c>
      <c r="H913" s="50" t="n">
        <f aca="false">MAX(0,IF(AND(Parameter!$B$21="Ja",ISNUMBER(Y913)),Y913,IF(Parameter!$B$20="Jahresanfang 2025 + Export",BR913+BQ913,BQ913)))</f>
        <v>646</v>
      </c>
      <c r="I913" s="50" t="n">
        <f aca="false">H913*G913</f>
        <v>109.82</v>
      </c>
      <c r="J913" s="50" t="n">
        <f aca="false">BT913*Parameter!$B$18</f>
        <v>124</v>
      </c>
      <c r="K913" s="51" t="n">
        <v>812.5</v>
      </c>
      <c r="L913" s="52" t="n">
        <v>0.152615384615385</v>
      </c>
      <c r="M913" s="50" t="n">
        <v>7</v>
      </c>
      <c r="N913" s="50" t="n">
        <v>125</v>
      </c>
      <c r="O913" s="53" t="n">
        <v>21</v>
      </c>
      <c r="P913" s="48" t="s">
        <v>485</v>
      </c>
      <c r="Q913" s="50" t="n">
        <v>909</v>
      </c>
      <c r="R913" s="53" t="n">
        <f aca="false">IF(BZ913=1,0,IFERROR(VLOOKUP(BX913,'Gebinde-Kategorie'!$A$5:$N$45,13,0)+0,0))</f>
        <v>52</v>
      </c>
      <c r="S913" s="54"/>
      <c r="T913" s="55"/>
      <c r="U913" s="55"/>
      <c r="V913" s="55"/>
      <c r="W913" s="48"/>
      <c r="X913" s="50"/>
      <c r="Y913" s="50"/>
      <c r="Z913" s="48" t="n">
        <f aca="false">IF(A913="","",IF(AND(Parameter!$B$21="Ja",ISNUMBER(W913)),W913,IF(CC913="2+3",IF(ISNUMBER(SEARCH("grosser Artikel",BU913)),2,IFERROR(VLOOKUP(BX913,Parameter!$F$35:$G$64,2,0),2)),IF(OR(CC913="Nein",CC913=""),"-",CC913))))</f>
        <v>3</v>
      </c>
      <c r="AA913" s="55"/>
      <c r="AB913" s="56"/>
      <c r="AC913" s="50" t="n">
        <f aca="false">AV913</f>
        <v>132</v>
      </c>
      <c r="AD913" s="50" t="n">
        <f aca="false">MAX(AV913,H913)</f>
        <v>646</v>
      </c>
      <c r="AE913" s="57"/>
      <c r="AF913" s="50" t="n">
        <f aca="false">IF(LEFT(Cockpit!$C$5,1)="A",H913,IF(Parameter!$E$30="MAX-Bestand",IF(CH913=1,CI913,IF(LEFT(Cockpit!$C$5,1)="B",AL913,MAX(AL913,H913))),ROUNDUP(AJ913,0)))</f>
        <v>646</v>
      </c>
      <c r="AG913" s="50" t="n">
        <f aca="false">IF(BZ913=1,0,ROUNDUP(AF913/BY913,0))</f>
        <v>1</v>
      </c>
      <c r="AH913" s="52" t="n">
        <f aca="false">IF(CQ913&gt;0,CQ913*MAX(1,AF913/X913),IF(BZ913=1,IF(AF913&lt;=0,0,CD913*MAX(1,IF(H913&gt;0,AF913/H913,1))),IF(R913&gt;0,AG913/R913,0))/MAX(0.1,N(Parameter!$M$21)))</f>
        <v>0.0192307692307692</v>
      </c>
      <c r="AI913" s="50" t="n">
        <f aca="false">AH913*CB913</f>
        <v>2.98076923076923</v>
      </c>
      <c r="AJ913" s="51" t="n">
        <f aca="false">IF(LEFT(Cockpit!$C$5,1)="A",H913,IF(CH913=1,(CK913+CI913)/2,IF(LEFT(Cockpit!$C$5,1)="B",(CK913+AL913)/2,MAX((CK913+AL913)/2,H913))))</f>
        <v>646</v>
      </c>
      <c r="AK913" s="50" t="n">
        <f aca="false">AJ913*G913</f>
        <v>109.82</v>
      </c>
      <c r="AL913" s="50" t="n">
        <f aca="false">ROUNDUP(CK913+MAX(CL913,2*(J913/IF(CG913&gt;0,CG913,MAX(0.1,N(Cockpit!$C$6)))-CK913)),0)</f>
        <v>132</v>
      </c>
      <c r="AM913" s="51" t="n">
        <f aca="false">IF(AI913&gt;0,J913/AI913,-1)</f>
        <v>41.6</v>
      </c>
      <c r="AN913" s="51" t="n">
        <f aca="false">IF(AND(OR(CF913="L1",CF913="L23",CF913="LIFT"),AI913&gt;0),SUMIFS($AI$7:$AI$1843,$CF$7:$CF$1843,CF913,$AM$7:$AM$1843,"&gt;"&amp;AM913)+SUMIFS($AI$7:$AI$1843,$CF$7:$CF$1843,CF913,$AM$7:$AM$1843,AM913,$BW$7:$BW$1843,"&lt;="&amp;BW913),"")</f>
        <v>1184.5</v>
      </c>
      <c r="AO913" s="58" t="n">
        <f aca="false">IF(AN913="",0,MAX(0,MIN(1,(IF(CF913="L1",Parameter!$H$5,IF(CF913="L23",Parameter!$H$6+Parameter!$H$7,Parameter!$H$5+Parameter!$H$6+Parameter!$H$7))-(AN913-AI913))/AI913)))</f>
        <v>1</v>
      </c>
      <c r="AP913" s="50" t="n">
        <f aca="false">IF(LEFT(Cockpit!$I$5,1)="A",H913,IF(Parameter!$E$30="MAX-Bestand",IF(CH913=1,CI913,IF(LEFT(Cockpit!$I$5,1)="B",AV913,MAX(AV913,H913))),ROUNDUP(AT913,0)))</f>
        <v>646</v>
      </c>
      <c r="AQ913" s="50" t="n">
        <f aca="false">IF(BZ913=1,0,ROUNDUP(AP913/BY913,0))</f>
        <v>1</v>
      </c>
      <c r="AR913" s="52" t="n">
        <f aca="false">IF(CQ913&gt;0,CQ913*MAX(1,AP913/X913),IF(BZ913=1,IF(AP913&lt;=0,0,CD913*MAX(1,IF(H913&gt;0,AP913/H913,1))),IF(R913&gt;0,AQ913/R913,0))/MAX(0.1,N(Parameter!$M$21)))</f>
        <v>0.0192307692307692</v>
      </c>
      <c r="AS913" s="50" t="n">
        <f aca="false">AR913*CB913</f>
        <v>2.98076923076923</v>
      </c>
      <c r="AT913" s="51" t="n">
        <f aca="false">IF(LEFT(Cockpit!$I$5,1)="A",H913,IF(CH913=1,(CK913+CI913)/2,IF(LEFT(Cockpit!$I$5,1)="B",(CK913+AV913)/2,MAX((CK913+AV913)/2,H913))))</f>
        <v>646</v>
      </c>
      <c r="AU913" s="50" t="n">
        <f aca="false">AT913*G913</f>
        <v>109.82</v>
      </c>
      <c r="AV913" s="50" t="n">
        <f aca="false">ROUNDUP(CK913+MAX(CL913,2*(J913/IF(CG913&gt;0,CG913,MAX(0.1,N(Cockpit!$I$6)))-CK913)),0)</f>
        <v>132</v>
      </c>
      <c r="AW913" s="51" t="n">
        <f aca="false">IF(AS913&gt;0,J913/AS913,-1)</f>
        <v>41.6</v>
      </c>
      <c r="AX913" s="51" t="n">
        <f aca="false">IF(AND(OR(CF913="L1",CF913="L23",CF913="LIFT"),AS913&gt;0),SUMIFS($AS$7:$AS$1843,$CF$7:$CF$1843,CF913,$AW$7:$AW$1843,"&gt;"&amp;AW913)+SUMIFS($AS$7:$AS$1843,$CF$7:$CF$1843,CF913,$AW$7:$AW$1843,AW913,$BW$7:$BW$1843,"&lt;="&amp;BW913),"")</f>
        <v>1485.16712454212</v>
      </c>
      <c r="AY913" s="58" t="n">
        <f aca="false">IF(AX913="",0,MAX(0,MIN(1,(IF(CF913="L1",Parameter!$H$5,IF(CF913="L23",Parameter!$H$6+Parameter!$H$7,Parameter!$H$5+Parameter!$H$6+Parameter!$H$7))-(AX913-AS913))/AS913)))</f>
        <v>1</v>
      </c>
      <c r="AZ913" s="50" t="n">
        <f aca="false">IF(LEFT(Cockpit!$O$5,1)="A",H913,IF(Parameter!$E$30="MAX-Bestand",IF(CH913=1,CI913,IF(LEFT(Cockpit!$O$5,1)="B",BF913,MAX(BF913,H913))),ROUNDUP(BD913,0)))</f>
        <v>70</v>
      </c>
      <c r="BA913" s="50" t="n">
        <f aca="false">IF(BZ913=1,0,ROUNDUP(AZ913/BY913,0))</f>
        <v>1</v>
      </c>
      <c r="BB913" s="52" t="n">
        <f aca="false">IF(CQ913&gt;0,CQ913*MAX(1,AZ913/X913),IF(BZ913=1,IF(AZ913&lt;=0,0,CD913*MAX(1,IF(H913&gt;0,AZ913/H913,1))),IF(R913&gt;0,BA913/R913,0))/MAX(0.1,N(Parameter!$M$21)))</f>
        <v>0.0192307692307692</v>
      </c>
      <c r="BC913" s="50" t="n">
        <f aca="false">BB913*CB913</f>
        <v>2.98076923076923</v>
      </c>
      <c r="BD913" s="51" t="n">
        <f aca="false">IF(LEFT(Cockpit!$O$5,1)="A",H913,IF(CH913=1,(CK913+CI913)/2,IF(LEFT(Cockpit!$O$5,1)="B",(CK913+BF913)/2,MAX((CK913+BF913)/2,H913))))</f>
        <v>69.5</v>
      </c>
      <c r="BE913" s="50" t="n">
        <f aca="false">BD913*G913</f>
        <v>11.815</v>
      </c>
      <c r="BF913" s="50" t="n">
        <f aca="false">ROUNDUP(CK913+MAX(CL913,2*(J913/IF(CG913&gt;0,CG913,MAX(0.1,N(Cockpit!$O$6)))-CK913)),0)</f>
        <v>132</v>
      </c>
      <c r="BG913" s="51" t="n">
        <f aca="false">IF(BC913&gt;0,J913/BC913,-1)</f>
        <v>41.6</v>
      </c>
      <c r="BH913" s="51" t="n">
        <f aca="false">IF(AND(OR(CF913="L1",CF913="L23",CF913="LIFT"),BC913&gt;0),SUMIFS($BC$7:$BC$1843,$CF$7:$CF$1843,CF913,$BG$7:$BG$1843,"&gt;"&amp;BG913)+SUMIFS($BC$7:$BC$1843,$CF$7:$CF$1843,CF913,$BG$7:$BG$1843,BG913,$BW$7:$BW$1843,"&lt;="&amp;BW913),"")</f>
        <v>1260.93727106227</v>
      </c>
      <c r="BI913" s="58" t="n">
        <f aca="false">IF(BH913="",0,MAX(0,MIN(1,(IF(CF913="L1",Parameter!$H$5,IF(CF913="L23",Parameter!$H$6+Parameter!$H$7,Parameter!$H$5+Parameter!$H$6+Parameter!$H$7))-(BH913-BC913))/BC913)))</f>
        <v>1</v>
      </c>
      <c r="BJ913" s="48" t="str">
        <f aca="false">IF(AI913&lt;=0,"",IF(CF913="Aussen","Aussenlager",IF(CF913="-","Nicht im Lift",IF(AO913&gt;=1,"Lift",IF(AO913&lt;=0,"Aussenlager","teilweise")))))</f>
        <v>Lift</v>
      </c>
      <c r="BK913" s="48" t="str">
        <f aca="false">IF(AS913&lt;=0,"",IF(CF913="Aussen","Aussenlager",IF(CF913="-","Nicht im Lift",IF(AY913&gt;=1,"Lift",IF(AY913&lt;=0,"Aussenlager","teilweise")))))</f>
        <v>Lift</v>
      </c>
      <c r="BL913" s="48" t="str">
        <f aca="false">IF(BC913&lt;=0,"",IF(CF913="Aussen","Aussenlager",IF(CF913="-","Nicht im Lift",IF(BI913&gt;=1,"Lift",IF(BI913&lt;=0,"Aussenlager","teilweise")))))</f>
        <v>Lift</v>
      </c>
      <c r="BM913" s="48" t="str">
        <f aca="false">IF(A913="","",IF(BV913=1,"Neu; ","")&amp;IF(AND(BV913=0,BQ913&lt;0),"negativer Bestand (Export "&amp;BQ913&amp;"); ","")&amp;IF(J913&lt;=0,"Kein Verbrauch; ","")&amp;IF(CQ913&gt;0,"Lift "&amp;W913&amp;" lt. Liftbericht (Fach "&amp;X913&amp;" Stk); ",IF(CA913=1,"Gebinde geschätzt ("&amp;T913&amp;"); ",IF(BZ913=1,"Lose – Tablare geschätzt; ","")))&amp;IF(H913&gt;AV913,"Überbestand "&amp;ROUND(H913-AV913,0)&amp;" Stk / CHF "&amp;ROUND((H913-AV913)*G913,0)&amp;"; ","")&amp;IF(AND(CH913=1,CI913&lt;CJ913),"MAX &lt; MB+LG; ","")&amp;IF(AND(CP913&gt;0,CO913*10&gt;CP913),"zu hoch für Tablar; ","")&amp;IF(AND(BV913=0,OR(CH913=1,AA913&lt;&gt;"",U913&lt;&gt;"",V913&lt;&gt;"",AB913&lt;&gt;"")),"manuell übersteuert; ","")&amp;IF(AND(BZ913=0,R913=0),"Gebinde unbekannt / Stellmass fehlt; ","")&amp;IF(AND(BZ913=0,N(V913)&lt;=0,N(Q913)&lt;=0),"Menge pro Gebinde fehlt (Ist = 1 Gebinde); ","")&amp;BU913)</f>
        <v>negativer Bestand (Export -227); Überbestand 514 Stk / CHF 87; Überbestand</v>
      </c>
      <c r="BN913" s="48"/>
      <c r="BO913" s="48"/>
      <c r="BP913" s="55"/>
      <c r="BQ913" s="50" t="n">
        <v>-227</v>
      </c>
      <c r="BR913" s="50" t="n">
        <v>873</v>
      </c>
      <c r="BS913" s="49" t="n">
        <v>-38.59</v>
      </c>
      <c r="BT913" s="50" t="n">
        <v>124</v>
      </c>
      <c r="BU913" s="48" t="s">
        <v>401</v>
      </c>
      <c r="BV913" s="53" t="n">
        <v>0</v>
      </c>
      <c r="BW913" s="53" t="n">
        <v>913</v>
      </c>
      <c r="BX913" s="48" t="str">
        <f aca="false">IF(U913&lt;&gt;"",UPPER(TRIM(U913)),IF(CA913=1,UPPER(VLOOKUP(T913,Parameter!$I$27:$K$29,2,0)),IF(P913="","LOSE",P913)))</f>
        <v>S33</v>
      </c>
      <c r="BY913" s="50" t="n">
        <f aca="false">IF(BX913="LOSE",1,IF(N(V913)&gt;0,V913,IF(CA913=1,MAX(1,N(VLOOKUP(T913,Parameter!$I$27:$K$29,3,0)),H913,N(N913)),IF(N(Q913)&gt;0,Q913,MAX(1,H913)))))</f>
        <v>909</v>
      </c>
      <c r="BZ913" s="53" t="n">
        <f aca="false">IF(BX913="LOSE",1,0)</f>
        <v>0</v>
      </c>
      <c r="CA913" s="53" t="n">
        <f aca="false">IF(AND(U913="",OR(P913="",P913="LOSE"),T913&lt;&gt;"",N(S913)&lt;=0,ISNUMBER(MATCH(T913,Parameter!$I$27:$I$29,0))),1,0)</f>
        <v>0</v>
      </c>
      <c r="CB913" s="53" t="n">
        <f aca="false">IF(CQ913&gt;0,INDEX(Parameter!$H$5:$H$7,W913)/INDEX(Parameter!$E$5:$E$7,W913),IF(AND(BZ913=0,N(IFERROR(VLOOKUP(BX913,'Gebinde-Kategorie'!$A$5:$N$45,14,0),0))&gt;0),VLOOKUP(BX913,'Gebinde-Kategorie'!$A$5:$N$45,14,0)*10+Parameter!$M$23,Parameter!$M$24))</f>
        <v>155</v>
      </c>
      <c r="CC913" s="48" t="str">
        <f aca="false">IF(AND(Parameter!$B$19="Ja",E913&lt;&gt;"",ISNUMBER(MATCH(E913,Parameter!$I$35:$I$52,0))),VLOOKUP(E913,Parameter!$I$35:$J$52,2,0),IFERROR(VLOOKUP(D913,Parameter!$A$35:$C$64,2,0),"Nein"))</f>
        <v>2+3</v>
      </c>
      <c r="CD913" s="52" t="n">
        <f aca="false">IF(BZ913=0,0,IF(N(S913)&gt;0,S913,IFERROR(VLOOKUP(D913,Parameter!$A$35:$C$64,3,0)+0,0)))</f>
        <v>0</v>
      </c>
      <c r="CE913" s="48" t="n">
        <f aca="false">IF(AA913&lt;&gt;"",AA913,Z913)</f>
        <v>3</v>
      </c>
      <c r="CF913" s="48" t="str">
        <f aca="false">IF(OR(CE913=1,CE913=2,CE913=3),IF(Parameter!$E$27="Ja","LIFT",IF(CE913=1,"L1","L23")),IF(CE913="Aussen","Aussen","-"))</f>
        <v>LIFT</v>
      </c>
      <c r="CG913" s="59" t="n">
        <f aca="false">IF(N(AB913)&gt;0,AB913,0)</f>
        <v>0</v>
      </c>
      <c r="CH913" s="53" t="n">
        <f aca="false">IF(ISNUMBER(AE913),1,0)</f>
        <v>0</v>
      </c>
      <c r="CI913" s="50" t="n">
        <f aca="false">N(AE913)</f>
        <v>0</v>
      </c>
      <c r="CJ913" s="50" t="n">
        <f aca="false">N(M913)+N(N913)</f>
        <v>132</v>
      </c>
      <c r="CK913" s="50" t="n">
        <f aca="false">N(M913)</f>
        <v>7</v>
      </c>
      <c r="CL913" s="50" t="n">
        <f aca="false">N(N913)</f>
        <v>125</v>
      </c>
      <c r="CM913" s="50" t="n">
        <f aca="false">ROUNDUP(H913/BY913,0)</f>
        <v>1</v>
      </c>
      <c r="CN913" s="50" t="n">
        <f aca="false">ROUNDUP(CI913/BY913,0)</f>
        <v>0</v>
      </c>
      <c r="CO913" s="53" t="n">
        <f aca="false">IF(BZ913=1,0,IFERROR(VLOOKUP(BX913,'Gebinde-Kategorie'!$A$5:$N$45,5,0)+0,0))</f>
        <v>8</v>
      </c>
      <c r="CP913" s="53" t="n">
        <f aca="false">IFERROR(IF(OR(CE913=1,CE913=2,CE913=3),N(INDEX(Parameter!$I$5:$I$7,CE913)),0),0)</f>
        <v>0</v>
      </c>
      <c r="CQ913" s="52" t="n">
        <f aca="false">IF(AND(Parameter!$B$21="Ja",ISNUMBER(W913),N(X913)&gt;0),IFERROR(N(INDEX(Parameter!$L$5:$L$7,W913))*INDEX(Parameter!$E$5:$E$7,W913)*X913/SUMIFS($X$7:$X$1843,$W$7:$W$1843,W913),0),0)</f>
        <v>0</v>
      </c>
    </row>
    <row r="914" customFormat="false" ht="15" hidden="false" customHeight="false" outlineLevel="0" collapsed="false">
      <c r="A914" s="48" t="s">
        <v>1720</v>
      </c>
      <c r="B914" s="48" t="s">
        <v>1721</v>
      </c>
      <c r="C914" s="48" t="s">
        <v>465</v>
      </c>
      <c r="D914" s="48" t="s">
        <v>193</v>
      </c>
      <c r="E914" s="48"/>
      <c r="F914" s="48" t="s">
        <v>227</v>
      </c>
      <c r="G914" s="49" t="n">
        <v>0.76</v>
      </c>
      <c r="H914" s="50" t="n">
        <f aca="false">MAX(0,IF(AND(Parameter!$B$21="Ja",ISNUMBER(Y914)),Y914,IF(Parameter!$B$20="Jahresanfang 2025 + Export",BR914+BQ914,BQ914)))</f>
        <v>0</v>
      </c>
      <c r="I914" s="50" t="n">
        <f aca="false">H914*G914</f>
        <v>0</v>
      </c>
      <c r="J914" s="50" t="n">
        <f aca="false">BT914*Parameter!$B$18</f>
        <v>0</v>
      </c>
      <c r="K914" s="51" t="n">
        <v>40.5</v>
      </c>
      <c r="L914" s="52" t="n">
        <v>0</v>
      </c>
      <c r="M914" s="50" t="n">
        <v>0</v>
      </c>
      <c r="N914" s="50" t="n">
        <v>1</v>
      </c>
      <c r="O914" s="53" t="n">
        <v>21</v>
      </c>
      <c r="P914" s="48" t="s">
        <v>177</v>
      </c>
      <c r="Q914" s="50"/>
      <c r="R914" s="53" t="n">
        <f aca="false">IF(BZ914=1,0,IFERROR(VLOOKUP(BX914,'Gebinde-Kategorie'!$A$5:$N$45,13,0)+0,0))</f>
        <v>26</v>
      </c>
      <c r="S914" s="54"/>
      <c r="T914" s="55" t="s">
        <v>284</v>
      </c>
      <c r="U914" s="55"/>
      <c r="V914" s="55"/>
      <c r="W914" s="48"/>
      <c r="X914" s="50"/>
      <c r="Y914" s="50"/>
      <c r="Z914" s="48" t="n">
        <f aca="false">IF(A914="","",IF(AND(Parameter!$B$21="Ja",ISNUMBER(W914)),W914,IF(CC914="2+3",IF(ISNUMBER(SEARCH("grosser Artikel",BU914)),2,IFERROR(VLOOKUP(BX914,Parameter!$F$35:$G$64,2,0),2)),IF(OR(CC914="Nein",CC914=""),"-",CC914))))</f>
        <v>3</v>
      </c>
      <c r="AA914" s="55"/>
      <c r="AB914" s="56"/>
      <c r="AC914" s="50" t="n">
        <f aca="false">AV914</f>
        <v>1</v>
      </c>
      <c r="AD914" s="50" t="n">
        <f aca="false">MAX(AV914,H914)</f>
        <v>1</v>
      </c>
      <c r="AE914" s="57"/>
      <c r="AF914" s="50" t="n">
        <f aca="false">IF(LEFT(Cockpit!$C$5,1)="A",H914,IF(Parameter!$E$30="MAX-Bestand",IF(CH914=1,CI914,IF(LEFT(Cockpit!$C$5,1)="B",AL914,MAX(AL914,H914))),ROUNDUP(AJ914,0)))</f>
        <v>0</v>
      </c>
      <c r="AG914" s="50" t="n">
        <f aca="false">IF(BZ914=1,0,ROUNDUP(AF914/BY914,0))</f>
        <v>0</v>
      </c>
      <c r="AH914" s="52" t="n">
        <f aca="false">IF(CQ914&gt;0,CQ914*MAX(1,AF914/X914),IF(BZ914=1,IF(AF914&lt;=0,0,CD914*MAX(1,IF(H914&gt;0,AF914/H914,1))),IF(R914&gt;0,AG914/R914,0))/MAX(0.1,N(Parameter!$M$21)))</f>
        <v>0</v>
      </c>
      <c r="AI914" s="50" t="n">
        <f aca="false">AH914*CB914</f>
        <v>0</v>
      </c>
      <c r="AJ914" s="51" t="n">
        <f aca="false">IF(LEFT(Cockpit!$C$5,1)="A",H914,IF(CH914=1,(CK914+CI914)/2,IF(LEFT(Cockpit!$C$5,1)="B",(CK914+AL914)/2,MAX((CK914+AL914)/2,H914))))</f>
        <v>0</v>
      </c>
      <c r="AK914" s="50" t="n">
        <f aca="false">AJ914*G914</f>
        <v>0</v>
      </c>
      <c r="AL914" s="50" t="n">
        <f aca="false">ROUNDUP(CK914+MAX(CL914,2*(J914/IF(CG914&gt;0,CG914,MAX(0.1,N(Cockpit!$C$6)))-CK914)),0)</f>
        <v>1</v>
      </c>
      <c r="AM914" s="51" t="n">
        <f aca="false">IF(AI914&gt;0,J914/AI914,-1)</f>
        <v>-1</v>
      </c>
      <c r="AN914" s="51" t="str">
        <f aca="false">IF(AND(OR(CF914="L1",CF914="L23",CF914="LIFT"),AI914&gt;0),SUMIFS($AI$7:$AI$1843,$CF$7:$CF$1843,CF914,$AM$7:$AM$1843,"&gt;"&amp;AM914)+SUMIFS($AI$7:$AI$1843,$CF$7:$CF$1843,CF914,$AM$7:$AM$1843,AM914,$BW$7:$BW$1843,"&lt;="&amp;BW914),"")</f>
        <v/>
      </c>
      <c r="AO914" s="58" t="n">
        <f aca="false">IF(AN914="",0,MAX(0,MIN(1,(IF(CF914="L1",Parameter!$H$5,IF(CF914="L23",Parameter!$H$6+Parameter!$H$7,Parameter!$H$5+Parameter!$H$6+Parameter!$H$7))-(AN914-AI914))/AI914)))</f>
        <v>0</v>
      </c>
      <c r="AP914" s="50" t="n">
        <f aca="false">IF(LEFT(Cockpit!$I$5,1)="A",H914,IF(Parameter!$E$30="MAX-Bestand",IF(CH914=1,CI914,IF(LEFT(Cockpit!$I$5,1)="B",AV914,MAX(AV914,H914))),ROUNDUP(AT914,0)))</f>
        <v>1</v>
      </c>
      <c r="AQ914" s="50" t="n">
        <f aca="false">IF(BZ914=1,0,ROUNDUP(AP914/BY914,0))</f>
        <v>1</v>
      </c>
      <c r="AR914" s="52" t="n">
        <f aca="false">IF(CQ914&gt;0,CQ914*MAX(1,AP914/X914),IF(BZ914=1,IF(AP914&lt;=0,0,CD914*MAX(1,IF(H914&gt;0,AP914/H914,1))),IF(R914&gt;0,AQ914/R914,0))/MAX(0.1,N(Parameter!$M$21)))</f>
        <v>0.0384615384615385</v>
      </c>
      <c r="AS914" s="50" t="n">
        <f aca="false">AR914*CB914</f>
        <v>5.96153846153846</v>
      </c>
      <c r="AT914" s="51" t="n">
        <f aca="false">IF(LEFT(Cockpit!$I$5,1)="A",H914,IF(CH914=1,(CK914+CI914)/2,IF(LEFT(Cockpit!$I$5,1)="B",(CK914+AV914)/2,MAX((CK914+AV914)/2,H914))))</f>
        <v>0.5</v>
      </c>
      <c r="AU914" s="50" t="n">
        <f aca="false">AT914*G914</f>
        <v>0.38</v>
      </c>
      <c r="AV914" s="50" t="n">
        <f aca="false">ROUNDUP(CK914+MAX(CL914,2*(J914/IF(CG914&gt;0,CG914,MAX(0.1,N(Cockpit!$I$6)))-CK914)),0)</f>
        <v>1</v>
      </c>
      <c r="AW914" s="51" t="n">
        <f aca="false">IF(AS914&gt;0,J914/AS914,-1)</f>
        <v>0</v>
      </c>
      <c r="AX914" s="51" t="n">
        <f aca="false">IF(AND(OR(CF914="L1",CF914="L23",CF914="LIFT"),AS914&gt;0),SUMIFS($AS$7:$AS$1843,$CF$7:$CF$1843,CF914,$AW$7:$AW$1843,"&gt;"&amp;AW914)+SUMIFS($AS$7:$AS$1843,$CF$7:$CF$1843,CF914,$AW$7:$AW$1843,AW914,$BW$7:$BW$1843,"&lt;="&amp;BW914),"")</f>
        <v>34506.6117216117</v>
      </c>
      <c r="AY914" s="58" t="n">
        <f aca="false">IF(AX914="",0,MAX(0,MIN(1,(IF(CF914="L1",Parameter!$H$5,IF(CF914="L23",Parameter!$H$6+Parameter!$H$7,Parameter!$H$5+Parameter!$H$6+Parameter!$H$7))-(AX914-AS914))/AS914)))</f>
        <v>1</v>
      </c>
      <c r="AZ914" s="50" t="n">
        <f aca="false">IF(LEFT(Cockpit!$O$5,1)="A",H914,IF(Parameter!$E$30="MAX-Bestand",IF(CH914=1,CI914,IF(LEFT(Cockpit!$O$5,1)="B",BF914,MAX(BF914,H914))),ROUNDUP(BD914,0)))</f>
        <v>1</v>
      </c>
      <c r="BA914" s="50" t="n">
        <f aca="false">IF(BZ914=1,0,ROUNDUP(AZ914/BY914,0))</f>
        <v>1</v>
      </c>
      <c r="BB914" s="52" t="n">
        <f aca="false">IF(CQ914&gt;0,CQ914*MAX(1,AZ914/X914),IF(BZ914=1,IF(AZ914&lt;=0,0,CD914*MAX(1,IF(H914&gt;0,AZ914/H914,1))),IF(R914&gt;0,BA914/R914,0))/MAX(0.1,N(Parameter!$M$21)))</f>
        <v>0.0384615384615385</v>
      </c>
      <c r="BC914" s="50" t="n">
        <f aca="false">BB914*CB914</f>
        <v>5.96153846153846</v>
      </c>
      <c r="BD914" s="51" t="n">
        <f aca="false">IF(LEFT(Cockpit!$O$5,1)="A",H914,IF(CH914=1,(CK914+CI914)/2,IF(LEFT(Cockpit!$O$5,1)="B",(CK914+BF914)/2,MAX((CK914+BF914)/2,H914))))</f>
        <v>0.5</v>
      </c>
      <c r="BE914" s="50" t="n">
        <f aca="false">BD914*G914</f>
        <v>0.38</v>
      </c>
      <c r="BF914" s="50" t="n">
        <f aca="false">ROUNDUP(CK914+MAX(CL914,2*(J914/IF(CG914&gt;0,CG914,MAX(0.1,N(Cockpit!$O$6)))-CK914)),0)</f>
        <v>1</v>
      </c>
      <c r="BG914" s="51" t="n">
        <f aca="false">IF(BC914&gt;0,J914/BC914,-1)</f>
        <v>0</v>
      </c>
      <c r="BH914" s="51" t="n">
        <f aca="false">IF(AND(OR(CF914="L1",CF914="L23",CF914="LIFT"),BC914&gt;0),SUMIFS($BC$7:$BC$1843,$CF$7:$CF$1843,CF914,$BG$7:$BG$1843,"&gt;"&amp;BG914)+SUMIFS($BC$7:$BC$1843,$CF$7:$CF$1843,CF914,$BG$7:$BG$1843,BG914,$BW$7:$BW$1843,"&lt;="&amp;BW914),"")</f>
        <v>28538.2178323089</v>
      </c>
      <c r="BI914" s="58" t="n">
        <f aca="false">IF(BH914="",0,MAX(0,MIN(1,(IF(CF914="L1",Parameter!$H$5,IF(CF914="L23",Parameter!$H$6+Parameter!$H$7,Parameter!$H$5+Parameter!$H$6+Parameter!$H$7))-(BH914-BC914))/BC914)))</f>
        <v>1</v>
      </c>
      <c r="BJ914" s="48" t="str">
        <f aca="false">IF(AI914&lt;=0,"",IF(CF914="Aussen","Aussenlager",IF(CF914="-","Nicht im Lift",IF(AO914&gt;=1,"Lift",IF(AO914&lt;=0,"Aussenlager","teilweise")))))</f>
        <v/>
      </c>
      <c r="BK914" s="48" t="str">
        <f aca="false">IF(AS914&lt;=0,"",IF(CF914="Aussen","Aussenlager",IF(CF914="-","Nicht im Lift",IF(AY914&gt;=1,"Lift",IF(AY914&lt;=0,"Aussenlager","teilweise")))))</f>
        <v>Lift</v>
      </c>
      <c r="BL914" s="48" t="str">
        <f aca="false">IF(BC914&lt;=0,"",IF(CF914="Aussen","Aussenlager",IF(CF914="-","Nicht im Lift",IF(BI914&gt;=1,"Lift",IF(BI914&lt;=0,"Aussenlager","teilweise")))))</f>
        <v>Lift</v>
      </c>
      <c r="BM914" s="48" t="str">
        <f aca="false">IF(A914="","",IF(BV914=1,"Neu; ","")&amp;IF(AND(BV914=0,BQ914&lt;0),"negativer Bestand (Export "&amp;BQ914&amp;"); ","")&amp;IF(J914&lt;=0,"Kein Verbrauch; ","")&amp;IF(CQ914&gt;0,"Lift "&amp;W914&amp;" lt. Liftbericht (Fach "&amp;X914&amp;" Stk); ",IF(CA914=1,"Gebinde geschätzt ("&amp;T914&amp;"); ",IF(BZ914=1,"Lose – Tablare geschätzt; ","")))&amp;IF(H914&gt;AV914,"Überbestand "&amp;ROUND(H914-AV914,0)&amp;" Stk / CHF "&amp;ROUND((H914-AV914)*G914,0)&amp;"; ","")&amp;IF(AND(CH914=1,CI914&lt;CJ914),"MAX &lt; MB+LG; ","")&amp;IF(AND(CP914&gt;0,CO914*10&gt;CP914),"zu hoch für Tablar; ","")&amp;IF(AND(BV914=0,OR(CH914=1,AA914&lt;&gt;"",U914&lt;&gt;"",V914&lt;&gt;"",AB914&lt;&gt;"")),"manuell übersteuert; ","")&amp;IF(AND(BZ914=0,R914=0),"Gebinde unbekannt / Stellmass fehlt; ","")&amp;IF(AND(BZ914=0,N(V914)&lt;=0,N(Q914)&lt;=0),"Menge pro Gebinde fehlt (Ist = 1 Gebinde); ","")&amp;BU914)</f>
        <v>negativer Bestand (Export -51); Kein Verbrauch; Gebinde geschätzt (Klein); Menge pro Gebinde fehlt (Ist = 1 Gebinde); </v>
      </c>
      <c r="BN914" s="48"/>
      <c r="BO914" s="48"/>
      <c r="BP914" s="55"/>
      <c r="BQ914" s="50" t="n">
        <v>-51</v>
      </c>
      <c r="BR914" s="50" t="n">
        <v>51</v>
      </c>
      <c r="BS914" s="49" t="n">
        <v>-38.76</v>
      </c>
      <c r="BT914" s="50" t="n">
        <v>0</v>
      </c>
      <c r="BU914" s="48"/>
      <c r="BV914" s="53" t="n">
        <v>0</v>
      </c>
      <c r="BW914" s="53" t="n">
        <v>914</v>
      </c>
      <c r="BX914" s="48" t="str">
        <f aca="false">IF(U914&lt;&gt;"",UPPER(TRIM(U914)),IF(CA914=1,UPPER(VLOOKUP(T914,Parameter!$I$27:$K$29,2,0)),IF(P914="","LOSE",P914)))</f>
        <v>S51</v>
      </c>
      <c r="BY914" s="50" t="n">
        <f aca="false">IF(BX914="LOSE",1,IF(N(V914)&gt;0,V914,IF(CA914=1,MAX(1,N(VLOOKUP(T914,Parameter!$I$27:$K$29,3,0)),H914,N(N914)),IF(N(Q914)&gt;0,Q914,MAX(1,H914)))))</f>
        <v>20</v>
      </c>
      <c r="BZ914" s="53" t="n">
        <f aca="false">IF(BX914="LOSE",1,0)</f>
        <v>0</v>
      </c>
      <c r="CA914" s="53" t="n">
        <f aca="false">IF(AND(U914="",OR(P914="",P914="LOSE"),T914&lt;&gt;"",N(S914)&lt;=0,ISNUMBER(MATCH(T914,Parameter!$I$27:$I$29,0))),1,0)</f>
        <v>1</v>
      </c>
      <c r="CB914" s="53" t="n">
        <f aca="false">IF(CQ914&gt;0,INDEX(Parameter!$H$5:$H$7,W914)/INDEX(Parameter!$E$5:$E$7,W914),IF(AND(BZ914=0,N(IFERROR(VLOOKUP(BX914,'Gebinde-Kategorie'!$A$5:$N$45,14,0),0))&gt;0),VLOOKUP(BX914,'Gebinde-Kategorie'!$A$5:$N$45,14,0)*10+Parameter!$M$23,Parameter!$M$24))</f>
        <v>155</v>
      </c>
      <c r="CC914" s="48" t="str">
        <f aca="false">IF(AND(Parameter!$B$19="Ja",E914&lt;&gt;"",ISNUMBER(MATCH(E914,Parameter!$I$35:$I$52,0))),VLOOKUP(E914,Parameter!$I$35:$J$52,2,0),IFERROR(VLOOKUP(D914,Parameter!$A$35:$C$64,2,0),"Nein"))</f>
        <v>2+3</v>
      </c>
      <c r="CD914" s="52" t="n">
        <f aca="false">IF(BZ914=0,0,IF(N(S914)&gt;0,S914,IFERROR(VLOOKUP(D914,Parameter!$A$35:$C$64,3,0)+0,0)))</f>
        <v>0</v>
      </c>
      <c r="CE914" s="48" t="n">
        <f aca="false">IF(AA914&lt;&gt;"",AA914,Z914)</f>
        <v>3</v>
      </c>
      <c r="CF914" s="48" t="str">
        <f aca="false">IF(OR(CE914=1,CE914=2,CE914=3),IF(Parameter!$E$27="Ja","LIFT",IF(CE914=1,"L1","L23")),IF(CE914="Aussen","Aussen","-"))</f>
        <v>LIFT</v>
      </c>
      <c r="CG914" s="59" t="n">
        <f aca="false">IF(N(AB914)&gt;0,AB914,0)</f>
        <v>0</v>
      </c>
      <c r="CH914" s="53" t="n">
        <f aca="false">IF(ISNUMBER(AE914),1,0)</f>
        <v>0</v>
      </c>
      <c r="CI914" s="50" t="n">
        <f aca="false">N(AE914)</f>
        <v>0</v>
      </c>
      <c r="CJ914" s="50" t="n">
        <f aca="false">N(M914)+N(N914)</f>
        <v>1</v>
      </c>
      <c r="CK914" s="50" t="n">
        <f aca="false">N(M914)</f>
        <v>0</v>
      </c>
      <c r="CL914" s="50" t="n">
        <f aca="false">N(N914)</f>
        <v>1</v>
      </c>
      <c r="CM914" s="50" t="n">
        <f aca="false">ROUNDUP(H914/BY914,0)</f>
        <v>0</v>
      </c>
      <c r="CN914" s="50" t="n">
        <f aca="false">ROUNDUP(CI914/BY914,0)</f>
        <v>0</v>
      </c>
      <c r="CO914" s="53" t="n">
        <f aca="false">IF(BZ914=1,0,IFERROR(VLOOKUP(BX914,'Gebinde-Kategorie'!$A$5:$N$45,5,0)+0,0))</f>
        <v>11</v>
      </c>
      <c r="CP914" s="53" t="n">
        <f aca="false">IFERROR(IF(OR(CE914=1,CE914=2,CE914=3),N(INDEX(Parameter!$I$5:$I$7,CE914)),0),0)</f>
        <v>0</v>
      </c>
      <c r="CQ914" s="52" t="n">
        <f aca="false">IF(AND(Parameter!$B$21="Ja",ISNUMBER(W914),N(X914)&gt;0),IFERROR(N(INDEX(Parameter!$L$5:$L$7,W914))*INDEX(Parameter!$E$5:$E$7,W914)*X914/SUMIFS($X$7:$X$1843,$W$7:$W$1843,W914),0),0)</f>
        <v>0</v>
      </c>
    </row>
    <row r="915" customFormat="false" ht="15" hidden="false" customHeight="false" outlineLevel="0" collapsed="false">
      <c r="A915" s="48" t="s">
        <v>1722</v>
      </c>
      <c r="B915" s="48" t="s">
        <v>1723</v>
      </c>
      <c r="C915" s="48" t="s">
        <v>173</v>
      </c>
      <c r="D915" s="48" t="s">
        <v>182</v>
      </c>
      <c r="E915" s="48"/>
      <c r="F915" s="48" t="s">
        <v>227</v>
      </c>
      <c r="G915" s="49" t="n">
        <v>2.09</v>
      </c>
      <c r="H915" s="50" t="n">
        <f aca="false">MAX(0,IF(AND(Parameter!$B$21="Ja",ISNUMBER(Y915)),Y915,IF(Parameter!$B$20="Jahresanfang 2025 + Export",BR915+BQ915,BQ915)))</f>
        <v>100</v>
      </c>
      <c r="I915" s="50" t="n">
        <f aca="false">H915*G915</f>
        <v>209</v>
      </c>
      <c r="J915" s="50" t="n">
        <f aca="false">BT915*Parameter!$B$18</f>
        <v>160</v>
      </c>
      <c r="K915" s="51" t="n">
        <v>100</v>
      </c>
      <c r="L915" s="52" t="n">
        <v>1.6</v>
      </c>
      <c r="M915" s="50" t="n">
        <v>25</v>
      </c>
      <c r="N915" s="50" t="n">
        <v>100</v>
      </c>
      <c r="O915" s="53" t="n">
        <v>28</v>
      </c>
      <c r="P915" s="48" t="s">
        <v>177</v>
      </c>
      <c r="Q915" s="50"/>
      <c r="R915" s="53" t="n">
        <f aca="false">IF(BZ915=1,0,IFERROR(VLOOKUP(BX915,'Gebinde-Kategorie'!$A$5:$N$45,13,0)+0,0))</f>
        <v>4</v>
      </c>
      <c r="S915" s="54"/>
      <c r="T915" s="55" t="s">
        <v>198</v>
      </c>
      <c r="U915" s="55"/>
      <c r="V915" s="55"/>
      <c r="W915" s="48"/>
      <c r="X915" s="50"/>
      <c r="Y915" s="50"/>
      <c r="Z915" s="48" t="n">
        <f aca="false">IF(A915="","",IF(AND(Parameter!$B$21="Ja",ISNUMBER(W915)),W915,IF(CC915="2+3",IF(ISNUMBER(SEARCH("grosser Artikel",BU915)),2,IFERROR(VLOOKUP(BX915,Parameter!$F$35:$G$64,2,0),2)),IF(OR(CC915="Nein",CC915=""),"-",CC915))))</f>
        <v>2</v>
      </c>
      <c r="AA915" s="55"/>
      <c r="AB915" s="56"/>
      <c r="AC915" s="50" t="n">
        <f aca="false">AV915</f>
        <v>125</v>
      </c>
      <c r="AD915" s="50" t="n">
        <f aca="false">MAX(AV915,H915)</f>
        <v>125</v>
      </c>
      <c r="AE915" s="57"/>
      <c r="AF915" s="50" t="n">
        <f aca="false">IF(LEFT(Cockpit!$C$5,1)="A",H915,IF(Parameter!$E$30="MAX-Bestand",IF(CH915=1,CI915,IF(LEFT(Cockpit!$C$5,1)="B",AL915,MAX(AL915,H915))),ROUNDUP(AJ915,0)))</f>
        <v>100</v>
      </c>
      <c r="AG915" s="50" t="n">
        <f aca="false">IF(BZ915=1,0,ROUNDUP(AF915/BY915,0))</f>
        <v>1</v>
      </c>
      <c r="AH915" s="52" t="n">
        <f aca="false">IF(CQ915&gt;0,CQ915*MAX(1,AF915/X915),IF(BZ915=1,IF(AF915&lt;=0,0,CD915*MAX(1,IF(H915&gt;0,AF915/H915,1))),IF(R915&gt;0,AG915/R915,0))/MAX(0.1,N(Parameter!$M$21)))</f>
        <v>0.25</v>
      </c>
      <c r="AI915" s="50" t="n">
        <f aca="false">AH915*CB915</f>
        <v>58.75</v>
      </c>
      <c r="AJ915" s="51" t="n">
        <f aca="false">IF(LEFT(Cockpit!$C$5,1)="A",H915,IF(CH915=1,(CK915+CI915)/2,IF(LEFT(Cockpit!$C$5,1)="B",(CK915+AL915)/2,MAX((CK915+AL915)/2,H915))))</f>
        <v>100</v>
      </c>
      <c r="AK915" s="50" t="n">
        <f aca="false">AJ915*G915</f>
        <v>209</v>
      </c>
      <c r="AL915" s="50" t="n">
        <f aca="false">ROUNDUP(CK915+MAX(CL915,2*(J915/IF(CG915&gt;0,CG915,MAX(0.1,N(Cockpit!$C$6)))-CK915)),0)</f>
        <v>125</v>
      </c>
      <c r="AM915" s="51" t="n">
        <f aca="false">IF(AI915&gt;0,J915/AI915,-1)</f>
        <v>2.72340425531915</v>
      </c>
      <c r="AN915" s="51" t="n">
        <f aca="false">IF(AND(OR(CF915="L1",CF915="L23",CF915="LIFT"),AI915&gt;0),SUMIFS($AI$7:$AI$1843,$CF$7:$CF$1843,CF915,$AM$7:$AM$1843,"&gt;"&amp;AM915)+SUMIFS($AI$7:$AI$1843,$CF$7:$CF$1843,CF915,$AM$7:$AM$1843,AM915,$BW$7:$BW$1843,"&lt;="&amp;BW915),"")</f>
        <v>5317.87957875458</v>
      </c>
      <c r="AO915" s="58" t="n">
        <f aca="false">IF(AN915="",0,MAX(0,MIN(1,(IF(CF915="L1",Parameter!$H$5,IF(CF915="L23",Parameter!$H$6+Parameter!$H$7,Parameter!$H$5+Parameter!$H$6+Parameter!$H$7))-(AN915-AI915))/AI915)))</f>
        <v>1</v>
      </c>
      <c r="AP915" s="50" t="n">
        <f aca="false">IF(LEFT(Cockpit!$I$5,1)="A",H915,IF(Parameter!$E$30="MAX-Bestand",IF(CH915=1,CI915,IF(LEFT(Cockpit!$I$5,1)="B",AV915,MAX(AV915,H915))),ROUNDUP(AT915,0)))</f>
        <v>100</v>
      </c>
      <c r="AQ915" s="50" t="n">
        <f aca="false">IF(BZ915=1,0,ROUNDUP(AP915/BY915,0))</f>
        <v>1</v>
      </c>
      <c r="AR915" s="52" t="n">
        <f aca="false">IF(CQ915&gt;0,CQ915*MAX(1,AP915/X915),IF(BZ915=1,IF(AP915&lt;=0,0,CD915*MAX(1,IF(H915&gt;0,AP915/H915,1))),IF(R915&gt;0,AQ915/R915,0))/MAX(0.1,N(Parameter!$M$21)))</f>
        <v>0.25</v>
      </c>
      <c r="AS915" s="50" t="n">
        <f aca="false">AR915*CB915</f>
        <v>58.75</v>
      </c>
      <c r="AT915" s="51" t="n">
        <f aca="false">IF(LEFT(Cockpit!$I$5,1)="A",H915,IF(CH915=1,(CK915+CI915)/2,IF(LEFT(Cockpit!$I$5,1)="B",(CK915+AV915)/2,MAX((CK915+AV915)/2,H915))))</f>
        <v>100</v>
      </c>
      <c r="AU915" s="50" t="n">
        <f aca="false">AT915*G915</f>
        <v>209</v>
      </c>
      <c r="AV915" s="50" t="n">
        <f aca="false">ROUNDUP(CK915+MAX(CL915,2*(J915/IF(CG915&gt;0,CG915,MAX(0.1,N(Cockpit!$I$6)))-CK915)),0)</f>
        <v>125</v>
      </c>
      <c r="AW915" s="51" t="n">
        <f aca="false">IF(AS915&gt;0,J915/AS915,-1)</f>
        <v>2.72340425531915</v>
      </c>
      <c r="AX915" s="51" t="n">
        <f aca="false">IF(AND(OR(CF915="L1",CF915="L23",CF915="LIFT"),AS915&gt;0),SUMIFS($AS$7:$AS$1843,$CF$7:$CF$1843,CF915,$AW$7:$AW$1843,"&gt;"&amp;AW915)+SUMIFS($AS$7:$AS$1843,$CF$7:$CF$1843,CF915,$AW$7:$AW$1843,AW915,$BW$7:$BW$1843,"&lt;="&amp;BW915),"")</f>
        <v>6152.3576007326</v>
      </c>
      <c r="AY915" s="58" t="n">
        <f aca="false">IF(AX915="",0,MAX(0,MIN(1,(IF(CF915="L1",Parameter!$H$5,IF(CF915="L23",Parameter!$H$6+Parameter!$H$7,Parameter!$H$5+Parameter!$H$6+Parameter!$H$7))-(AX915-AS915))/AS915)))</f>
        <v>1</v>
      </c>
      <c r="AZ915" s="50" t="n">
        <f aca="false">IF(LEFT(Cockpit!$O$5,1)="A",H915,IF(Parameter!$E$30="MAX-Bestand",IF(CH915=1,CI915,IF(LEFT(Cockpit!$O$5,1)="B",BF915,MAX(BF915,H915))),ROUNDUP(BD915,0)))</f>
        <v>75</v>
      </c>
      <c r="BA915" s="50" t="n">
        <f aca="false">IF(BZ915=1,0,ROUNDUP(AZ915/BY915,0))</f>
        <v>1</v>
      </c>
      <c r="BB915" s="52" t="n">
        <f aca="false">IF(CQ915&gt;0,CQ915*MAX(1,AZ915/X915),IF(BZ915=1,IF(AZ915&lt;=0,0,CD915*MAX(1,IF(H915&gt;0,AZ915/H915,1))),IF(R915&gt;0,BA915/R915,0))/MAX(0.1,N(Parameter!$M$21)))</f>
        <v>0.25</v>
      </c>
      <c r="BC915" s="50" t="n">
        <f aca="false">BB915*CB915</f>
        <v>58.75</v>
      </c>
      <c r="BD915" s="51" t="n">
        <f aca="false">IF(LEFT(Cockpit!$O$5,1)="A",H915,IF(CH915=1,(CK915+CI915)/2,IF(LEFT(Cockpit!$O$5,1)="B",(CK915+BF915)/2,MAX((CK915+BF915)/2,H915))))</f>
        <v>75</v>
      </c>
      <c r="BE915" s="50" t="n">
        <f aca="false">BD915*G915</f>
        <v>156.75</v>
      </c>
      <c r="BF915" s="50" t="n">
        <f aca="false">ROUNDUP(CK915+MAX(CL915,2*(J915/IF(CG915&gt;0,CG915,MAX(0.1,N(Cockpit!$O$6)))-CK915)),0)</f>
        <v>125</v>
      </c>
      <c r="BG915" s="51" t="n">
        <f aca="false">IF(BC915&gt;0,J915/BC915,-1)</f>
        <v>2.72340425531915</v>
      </c>
      <c r="BH915" s="51" t="n">
        <f aca="false">IF(AND(OR(CF915="L1",CF915="L23",CF915="LIFT"),BC915&gt;0),SUMIFS($BC$7:$BC$1843,$CF$7:$CF$1843,CF915,$BG$7:$BG$1843,"&gt;"&amp;BG915)+SUMIFS($BC$7:$BC$1843,$CF$7:$CF$1843,CF915,$BG$7:$BG$1843,BG915,$BW$7:$BW$1843,"&lt;="&amp;BW915),"")</f>
        <v>5015.58836996337</v>
      </c>
      <c r="BI915" s="58" t="n">
        <f aca="false">IF(BH915="",0,MAX(0,MIN(1,(IF(CF915="L1",Parameter!$H$5,IF(CF915="L23",Parameter!$H$6+Parameter!$H$7,Parameter!$H$5+Parameter!$H$6+Parameter!$H$7))-(BH915-BC915))/BC915)))</f>
        <v>1</v>
      </c>
      <c r="BJ915" s="48" t="str">
        <f aca="false">IF(AI915&lt;=0,"",IF(CF915="Aussen","Aussenlager",IF(CF915="-","Nicht im Lift",IF(AO915&gt;=1,"Lift",IF(AO915&lt;=0,"Aussenlager","teilweise")))))</f>
        <v>Lift</v>
      </c>
      <c r="BK915" s="48" t="str">
        <f aca="false">IF(AS915&lt;=0,"",IF(CF915="Aussen","Aussenlager",IF(CF915="-","Nicht im Lift",IF(AY915&gt;=1,"Lift",IF(AY915&lt;=0,"Aussenlager","teilweise")))))</f>
        <v>Lift</v>
      </c>
      <c r="BL915" s="48" t="str">
        <f aca="false">IF(BC915&lt;=0,"",IF(CF915="Aussen","Aussenlager",IF(CF915="-","Nicht im Lift",IF(BI915&gt;=1,"Lift",IF(BI915&lt;=0,"Aussenlager","teilweise")))))</f>
        <v>Lift</v>
      </c>
      <c r="BM915" s="48" t="str">
        <f aca="false">IF(A915="","",IF(BV915=1,"Neu; ","")&amp;IF(AND(BV915=0,BQ915&lt;0),"negativer Bestand (Export "&amp;BQ915&amp;"); ","")&amp;IF(J915&lt;=0,"Kein Verbrauch; ","")&amp;IF(CQ915&gt;0,"Lift "&amp;W915&amp;" lt. Liftbericht (Fach "&amp;X915&amp;" Stk); ",IF(CA915=1,"Gebinde geschätzt ("&amp;T915&amp;"); ",IF(BZ915=1,"Lose – Tablare geschätzt; ","")))&amp;IF(H915&gt;AV915,"Überbestand "&amp;ROUND(H915-AV915,0)&amp;" Stk / CHF "&amp;ROUND((H915-AV915)*G915,0)&amp;"; ","")&amp;IF(AND(CH915=1,CI915&lt;CJ915),"MAX &lt; MB+LG; ","")&amp;IF(AND(CP915&gt;0,CO915*10&gt;CP915),"zu hoch für Tablar; ","")&amp;IF(AND(BV915=0,OR(CH915=1,AA915&lt;&gt;"",U915&lt;&gt;"",V915&lt;&gt;"",AB915&lt;&gt;"")),"manuell übersteuert; ","")&amp;IF(AND(BZ915=0,R915=0),"Gebinde unbekannt / Stellmass fehlt; ","")&amp;IF(AND(BZ915=0,N(V915)&lt;=0,N(Q915)&lt;=0),"Menge pro Gebinde fehlt (Ist = 1 Gebinde); ","")&amp;BU915)</f>
        <v>Gebinde geschätzt (Gross); Menge pro Gebinde fehlt (Ist = 1 Gebinde); </v>
      </c>
      <c r="BN915" s="48"/>
      <c r="BO915" s="48"/>
      <c r="BP915" s="55"/>
      <c r="BQ915" s="50" t="n">
        <v>0</v>
      </c>
      <c r="BR915" s="50" t="n">
        <v>100</v>
      </c>
      <c r="BS915" s="49" t="n">
        <v>-40</v>
      </c>
      <c r="BT915" s="50" t="n">
        <v>160</v>
      </c>
      <c r="BU915" s="48"/>
      <c r="BV915" s="53" t="n">
        <v>0</v>
      </c>
      <c r="BW915" s="53" t="n">
        <v>915</v>
      </c>
      <c r="BX915" s="48" t="str">
        <f aca="false">IF(U915&lt;&gt;"",UPPER(TRIM(U915)),IF(CA915=1,UPPER(VLOOKUP(T915,Parameter!$I$27:$K$29,2,0)),IF(P915="","LOSE",P915)))</f>
        <v>S81</v>
      </c>
      <c r="BY915" s="50" t="n">
        <f aca="false">IF(BX915="LOSE",1,IF(N(V915)&gt;0,V915,IF(CA915=1,MAX(1,N(VLOOKUP(T915,Parameter!$I$27:$K$29,3,0)),H915,N(N915)),IF(N(Q915)&gt;0,Q915,MAX(1,H915)))))</f>
        <v>100</v>
      </c>
      <c r="BZ915" s="53" t="n">
        <f aca="false">IF(BX915="LOSE",1,0)</f>
        <v>0</v>
      </c>
      <c r="CA915" s="53" t="n">
        <f aca="false">IF(AND(U915="",OR(P915="",P915="LOSE"),T915&lt;&gt;"",N(S915)&lt;=0,ISNUMBER(MATCH(T915,Parameter!$I$27:$I$29,0))),1,0)</f>
        <v>1</v>
      </c>
      <c r="CB915" s="53" t="n">
        <f aca="false">IF(CQ915&gt;0,INDEX(Parameter!$H$5:$H$7,W915)/INDEX(Parameter!$E$5:$E$7,W915),IF(AND(BZ915=0,N(IFERROR(VLOOKUP(BX915,'Gebinde-Kategorie'!$A$5:$N$45,14,0),0))&gt;0),VLOOKUP(BX915,'Gebinde-Kategorie'!$A$5:$N$45,14,0)*10+Parameter!$M$23,Parameter!$M$24))</f>
        <v>235</v>
      </c>
      <c r="CC915" s="48" t="str">
        <f aca="false">IF(AND(Parameter!$B$19="Ja",E915&lt;&gt;"",ISNUMBER(MATCH(E915,Parameter!$I$35:$I$52,0))),VLOOKUP(E915,Parameter!$I$35:$J$52,2,0),IFERROR(VLOOKUP(D915,Parameter!$A$35:$C$64,2,0),"Nein"))</f>
        <v>2+3</v>
      </c>
      <c r="CD915" s="52" t="n">
        <f aca="false">IF(BZ915=0,0,IF(N(S915)&gt;0,S915,IFERROR(VLOOKUP(D915,Parameter!$A$35:$C$64,3,0)+0,0)))</f>
        <v>0</v>
      </c>
      <c r="CE915" s="48" t="n">
        <f aca="false">IF(AA915&lt;&gt;"",AA915,Z915)</f>
        <v>2</v>
      </c>
      <c r="CF915" s="48" t="str">
        <f aca="false">IF(OR(CE915=1,CE915=2,CE915=3),IF(Parameter!$E$27="Ja","LIFT",IF(CE915=1,"L1","L23")),IF(CE915="Aussen","Aussen","-"))</f>
        <v>LIFT</v>
      </c>
      <c r="CG915" s="59" t="n">
        <f aca="false">IF(N(AB915)&gt;0,AB915,0)</f>
        <v>0</v>
      </c>
      <c r="CH915" s="53" t="n">
        <f aca="false">IF(ISNUMBER(AE915),1,0)</f>
        <v>0</v>
      </c>
      <c r="CI915" s="50" t="n">
        <f aca="false">N(AE915)</f>
        <v>0</v>
      </c>
      <c r="CJ915" s="50" t="n">
        <f aca="false">N(M915)+N(N915)</f>
        <v>125</v>
      </c>
      <c r="CK915" s="50" t="n">
        <f aca="false">N(M915)</f>
        <v>25</v>
      </c>
      <c r="CL915" s="50" t="n">
        <f aca="false">N(N915)</f>
        <v>100</v>
      </c>
      <c r="CM915" s="50" t="n">
        <f aca="false">ROUNDUP(H915/BY915,0)</f>
        <v>1</v>
      </c>
      <c r="CN915" s="50" t="n">
        <f aca="false">ROUNDUP(CI915/BY915,0)</f>
        <v>0</v>
      </c>
      <c r="CO915" s="53" t="n">
        <f aca="false">IF(BZ915=1,0,IFERROR(VLOOKUP(BX915,'Gebinde-Kategorie'!$A$5:$N$45,5,0)+0,0))</f>
        <v>20</v>
      </c>
      <c r="CP915" s="53" t="n">
        <f aca="false">IFERROR(IF(OR(CE915=1,CE915=2,CE915=3),N(INDEX(Parameter!$I$5:$I$7,CE915)),0),0)</f>
        <v>0</v>
      </c>
      <c r="CQ915" s="52" t="n">
        <f aca="false">IF(AND(Parameter!$B$21="Ja",ISNUMBER(W915),N(X915)&gt;0),IFERROR(N(INDEX(Parameter!$L$5:$L$7,W915))*INDEX(Parameter!$E$5:$E$7,W915)*X915/SUMIFS($X$7:$X$1843,$W$7:$W$1843,W915),0),0)</f>
        <v>0</v>
      </c>
    </row>
    <row r="916" customFormat="false" ht="15" hidden="false" customHeight="false" outlineLevel="0" collapsed="false">
      <c r="A916" s="48" t="s">
        <v>1724</v>
      </c>
      <c r="B916" s="48" t="s">
        <v>1725</v>
      </c>
      <c r="C916" s="48" t="s">
        <v>173</v>
      </c>
      <c r="D916" s="48" t="s">
        <v>193</v>
      </c>
      <c r="E916" s="48" t="s">
        <v>194</v>
      </c>
      <c r="F916" s="48" t="s">
        <v>227</v>
      </c>
      <c r="G916" s="49" t="n">
        <v>14.19</v>
      </c>
      <c r="H916" s="50" t="n">
        <f aca="false">MAX(0,IF(AND(Parameter!$B$21="Ja",ISNUMBER(Y916)),Y916,IF(Parameter!$B$20="Jahresanfang 2025 + Export",BR916+BQ916,BQ916)))</f>
        <v>32.3</v>
      </c>
      <c r="I916" s="50" t="n">
        <f aca="false">H916*G916</f>
        <v>458.337</v>
      </c>
      <c r="J916" s="50" t="n">
        <f aca="false">BT916*Parameter!$B$18</f>
        <v>0.3</v>
      </c>
      <c r="K916" s="51" t="n">
        <v>44.9</v>
      </c>
      <c r="L916" s="52" t="n">
        <v>0.0066815144766147</v>
      </c>
      <c r="M916" s="50" t="n">
        <v>0</v>
      </c>
      <c r="N916" s="50" t="n">
        <v>1</v>
      </c>
      <c r="O916" s="53" t="n">
        <v>21</v>
      </c>
      <c r="P916" s="48" t="s">
        <v>311</v>
      </c>
      <c r="Q916" s="50" t="n">
        <v>35</v>
      </c>
      <c r="R916" s="53" t="n">
        <f aca="false">IF(BZ916=1,0,IFERROR(VLOOKUP(BX916,'Gebinde-Kategorie'!$A$5:$N$45,13,0)+0,0))</f>
        <v>26</v>
      </c>
      <c r="S916" s="54"/>
      <c r="T916" s="55"/>
      <c r="U916" s="55"/>
      <c r="V916" s="55"/>
      <c r="W916" s="48"/>
      <c r="X916" s="50"/>
      <c r="Y916" s="50"/>
      <c r="Z916" s="48" t="n">
        <f aca="false">IF(A916="","",IF(AND(Parameter!$B$21="Ja",ISNUMBER(W916)),W916,IF(CC916="2+3",IF(ISNUMBER(SEARCH("grosser Artikel",BU916)),2,IFERROR(VLOOKUP(BX916,Parameter!$F$35:$G$64,2,0),2)),IF(OR(CC916="Nein",CC916=""),"-",CC916))))</f>
        <v>3</v>
      </c>
      <c r="AA916" s="55"/>
      <c r="AB916" s="56"/>
      <c r="AC916" s="50" t="n">
        <f aca="false">AV916</f>
        <v>1</v>
      </c>
      <c r="AD916" s="50" t="n">
        <f aca="false">MAX(AV916,H916)</f>
        <v>32.3</v>
      </c>
      <c r="AE916" s="57"/>
      <c r="AF916" s="50" t="n">
        <f aca="false">IF(LEFT(Cockpit!$C$5,1)="A",H916,IF(Parameter!$E$30="MAX-Bestand",IF(CH916=1,CI916,IF(LEFT(Cockpit!$C$5,1)="B",AL916,MAX(AL916,H916))),ROUNDUP(AJ916,0)))</f>
        <v>32.3</v>
      </c>
      <c r="AG916" s="50" t="n">
        <f aca="false">IF(BZ916=1,0,ROUNDUP(AF916/BY916,0))</f>
        <v>1</v>
      </c>
      <c r="AH916" s="52" t="n">
        <f aca="false">IF(CQ916&gt;0,CQ916*MAX(1,AF916/X916),IF(BZ916=1,IF(AF916&lt;=0,0,CD916*MAX(1,IF(H916&gt;0,AF916/H916,1))),IF(R916&gt;0,AG916/R916,0))/MAX(0.1,N(Parameter!$M$21)))</f>
        <v>0.0384615384615385</v>
      </c>
      <c r="AI916" s="50" t="n">
        <f aca="false">AH916*CB916</f>
        <v>5.96153846153846</v>
      </c>
      <c r="AJ916" s="51" t="n">
        <f aca="false">IF(LEFT(Cockpit!$C$5,1)="A",H916,IF(CH916=1,(CK916+CI916)/2,IF(LEFT(Cockpit!$C$5,1)="B",(CK916+AL916)/2,MAX((CK916+AL916)/2,H916))))</f>
        <v>32.3</v>
      </c>
      <c r="AK916" s="50" t="n">
        <f aca="false">AJ916*G916</f>
        <v>458.337</v>
      </c>
      <c r="AL916" s="50" t="n">
        <f aca="false">ROUNDUP(CK916+MAX(CL916,2*(J916/IF(CG916&gt;0,CG916,MAX(0.1,N(Cockpit!$C$6)))-CK916)),0)</f>
        <v>1</v>
      </c>
      <c r="AM916" s="51" t="n">
        <f aca="false">IF(AI916&gt;0,J916/AI916,-1)</f>
        <v>0.0503225806451613</v>
      </c>
      <c r="AN916" s="51" t="n">
        <f aca="false">IF(AND(OR(CF916="L1",CF916="L23",CF916="LIFT"),AI916&gt;0),SUMIFS($AI$7:$AI$1843,$CF$7:$CF$1843,CF916,$AM$7:$AM$1843,"&gt;"&amp;AM916)+SUMIFS($AI$7:$AI$1843,$CF$7:$CF$1843,CF916,$AM$7:$AM$1843,AM916,$BW$7:$BW$1843,"&lt;="&amp;BW916),"")</f>
        <v>19323.7739931914</v>
      </c>
      <c r="AO916" s="58" t="n">
        <f aca="false">IF(AN916="",0,MAX(0,MIN(1,(IF(CF916="L1",Parameter!$H$5,IF(CF916="L23",Parameter!$H$6+Parameter!$H$7,Parameter!$H$5+Parameter!$H$6+Parameter!$H$7))-(AN916-AI916))/AI916)))</f>
        <v>1</v>
      </c>
      <c r="AP916" s="50" t="n">
        <f aca="false">IF(LEFT(Cockpit!$I$5,1)="A",H916,IF(Parameter!$E$30="MAX-Bestand",IF(CH916=1,CI916,IF(LEFT(Cockpit!$I$5,1)="B",AV916,MAX(AV916,H916))),ROUNDUP(AT916,0)))</f>
        <v>33</v>
      </c>
      <c r="AQ916" s="50" t="n">
        <f aca="false">IF(BZ916=1,0,ROUNDUP(AP916/BY916,0))</f>
        <v>1</v>
      </c>
      <c r="AR916" s="52" t="n">
        <f aca="false">IF(CQ916&gt;0,CQ916*MAX(1,AP916/X916),IF(BZ916=1,IF(AP916&lt;=0,0,CD916*MAX(1,IF(H916&gt;0,AP916/H916,1))),IF(R916&gt;0,AQ916/R916,0))/MAX(0.1,N(Parameter!$M$21)))</f>
        <v>0.0384615384615385</v>
      </c>
      <c r="AS916" s="50" t="n">
        <f aca="false">AR916*CB916</f>
        <v>5.96153846153846</v>
      </c>
      <c r="AT916" s="51" t="n">
        <f aca="false">IF(LEFT(Cockpit!$I$5,1)="A",H916,IF(CH916=1,(CK916+CI916)/2,IF(LEFT(Cockpit!$I$5,1)="B",(CK916+AV916)/2,MAX((CK916+AV916)/2,H916))))</f>
        <v>32.3</v>
      </c>
      <c r="AU916" s="50" t="n">
        <f aca="false">AT916*G916</f>
        <v>458.337</v>
      </c>
      <c r="AV916" s="50" t="n">
        <f aca="false">ROUNDUP(CK916+MAX(CL916,2*(J916/IF(CG916&gt;0,CG916,MAX(0.1,N(Cockpit!$I$6)))-CK916)),0)</f>
        <v>1</v>
      </c>
      <c r="AW916" s="51" t="n">
        <f aca="false">IF(AS916&gt;0,J916/AS916,-1)</f>
        <v>0.0503225806451613</v>
      </c>
      <c r="AX916" s="51" t="n">
        <f aca="false">IF(AND(OR(CF916="L1",CF916="L23",CF916="LIFT"),AS916&gt;0),SUMIFS($AS$7:$AS$1843,$CF$7:$CF$1843,CF916,$AW$7:$AW$1843,"&gt;"&amp;AW916)+SUMIFS($AS$7:$AS$1843,$CF$7:$CF$1843,CF916,$AW$7:$AW$1843,AW916,$BW$7:$BW$1843,"&lt;="&amp;BW916),"")</f>
        <v>24383.1726345688</v>
      </c>
      <c r="AY916" s="58" t="n">
        <f aca="false">IF(AX916="",0,MAX(0,MIN(1,(IF(CF916="L1",Parameter!$H$5,IF(CF916="L23",Parameter!$H$6+Parameter!$H$7,Parameter!$H$5+Parameter!$H$6+Parameter!$H$7))-(AX916-AS916))/AS916)))</f>
        <v>1</v>
      </c>
      <c r="AZ916" s="50" t="n">
        <f aca="false">IF(LEFT(Cockpit!$O$5,1)="A",H916,IF(Parameter!$E$30="MAX-Bestand",IF(CH916=1,CI916,IF(LEFT(Cockpit!$O$5,1)="B",BF916,MAX(BF916,H916))),ROUNDUP(BD916,0)))</f>
        <v>1</v>
      </c>
      <c r="BA916" s="50" t="n">
        <f aca="false">IF(BZ916=1,0,ROUNDUP(AZ916/BY916,0))</f>
        <v>1</v>
      </c>
      <c r="BB916" s="52" t="n">
        <f aca="false">IF(CQ916&gt;0,CQ916*MAX(1,AZ916/X916),IF(BZ916=1,IF(AZ916&lt;=0,0,CD916*MAX(1,IF(H916&gt;0,AZ916/H916,1))),IF(R916&gt;0,BA916/R916,0))/MAX(0.1,N(Parameter!$M$21)))</f>
        <v>0.0384615384615385</v>
      </c>
      <c r="BC916" s="50" t="n">
        <f aca="false">BB916*CB916</f>
        <v>5.96153846153846</v>
      </c>
      <c r="BD916" s="51" t="n">
        <f aca="false">IF(LEFT(Cockpit!$O$5,1)="A",H916,IF(CH916=1,(CK916+CI916)/2,IF(LEFT(Cockpit!$O$5,1)="B",(CK916+BF916)/2,MAX((CK916+BF916)/2,H916))))</f>
        <v>0.5</v>
      </c>
      <c r="BE916" s="50" t="n">
        <f aca="false">BD916*G916</f>
        <v>7.095</v>
      </c>
      <c r="BF916" s="50" t="n">
        <f aca="false">ROUNDUP(CK916+MAX(CL916,2*(J916/IF(CG916&gt;0,CG916,MAX(0.1,N(Cockpit!$O$6)))-CK916)),0)</f>
        <v>1</v>
      </c>
      <c r="BG916" s="51" t="n">
        <f aca="false">IF(BC916&gt;0,J916/BC916,-1)</f>
        <v>0.0503225806451613</v>
      </c>
      <c r="BH916" s="51" t="n">
        <f aca="false">IF(AND(OR(CF916="L1",CF916="L23",CF916="LIFT"),BC916&gt;0),SUMIFS($BC$7:$BC$1843,$CF$7:$CF$1843,CF916,$BG$7:$BG$1843,"&gt;"&amp;BG916)+SUMIFS($BC$7:$BC$1843,$CF$7:$CF$1843,CF916,$BG$7:$BG$1843,BG916,$BW$7:$BW$1843,"&lt;="&amp;BW916),"")</f>
        <v>20312.6711445334</v>
      </c>
      <c r="BI916" s="58" t="n">
        <f aca="false">IF(BH916="",0,MAX(0,MIN(1,(IF(CF916="L1",Parameter!$H$5,IF(CF916="L23",Parameter!$H$6+Parameter!$H$7,Parameter!$H$5+Parameter!$H$6+Parameter!$H$7))-(BH916-BC916))/BC916)))</f>
        <v>1</v>
      </c>
      <c r="BJ916" s="48" t="str">
        <f aca="false">IF(AI916&lt;=0,"",IF(CF916="Aussen","Aussenlager",IF(CF916="-","Nicht im Lift",IF(AO916&gt;=1,"Lift",IF(AO916&lt;=0,"Aussenlager","teilweise")))))</f>
        <v>Lift</v>
      </c>
      <c r="BK916" s="48" t="str">
        <f aca="false">IF(AS916&lt;=0,"",IF(CF916="Aussen","Aussenlager",IF(CF916="-","Nicht im Lift",IF(AY916&gt;=1,"Lift",IF(AY916&lt;=0,"Aussenlager","teilweise")))))</f>
        <v>Lift</v>
      </c>
      <c r="BL916" s="48" t="str">
        <f aca="false">IF(BC916&lt;=0,"",IF(CF916="Aussen","Aussenlager",IF(CF916="-","Nicht im Lift",IF(BI916&gt;=1,"Lift",IF(BI916&lt;=0,"Aussenlager","teilweise")))))</f>
        <v>Lift</v>
      </c>
      <c r="BM916" s="48" t="str">
        <f aca="false">IF(A916="","",IF(BV916=1,"Neu; ","")&amp;IF(AND(BV916=0,BQ916&lt;0),"negativer Bestand (Export "&amp;BQ916&amp;"); ","")&amp;IF(J916&lt;=0,"Kein Verbrauch; ","")&amp;IF(CQ916&gt;0,"Lift "&amp;W916&amp;" lt. Liftbericht (Fach "&amp;X916&amp;" Stk); ",IF(CA916=1,"Gebinde geschätzt ("&amp;T916&amp;"); ",IF(BZ916=1,"Lose – Tablare geschätzt; ","")))&amp;IF(H916&gt;AV916,"Überbestand "&amp;ROUND(H916-AV916,0)&amp;" Stk / CHF "&amp;ROUND((H916-AV916)*G916,0)&amp;"; ","")&amp;IF(AND(CH916=1,CI916&lt;CJ916),"MAX &lt; MB+LG; ","")&amp;IF(AND(CP916&gt;0,CO916*10&gt;CP916),"zu hoch für Tablar; ","")&amp;IF(AND(BV916=0,OR(CH916=1,AA916&lt;&gt;"",U916&lt;&gt;"",V916&lt;&gt;"",AB916&lt;&gt;"")),"manuell übersteuert; ","")&amp;IF(AND(BZ916=0,R916=0),"Gebinde unbekannt / Stellmass fehlt; ","")&amp;IF(AND(BZ916=0,N(V916)&lt;=0,N(Q916)&lt;=0),"Menge pro Gebinde fehlt (Ist = 1 Gebinde); ","")&amp;BU916)</f>
        <v>negativer Bestand (Export -2.9); Überbestand 31 Stk / CHF 444; </v>
      </c>
      <c r="BN916" s="48"/>
      <c r="BO916" s="48"/>
      <c r="BP916" s="55"/>
      <c r="BQ916" s="50" t="n">
        <v>-2.9</v>
      </c>
      <c r="BR916" s="50" t="n">
        <v>35.2</v>
      </c>
      <c r="BS916" s="49" t="n">
        <v>-41.15</v>
      </c>
      <c r="BT916" s="50" t="n">
        <v>0.3</v>
      </c>
      <c r="BU916" s="48"/>
      <c r="BV916" s="53" t="n">
        <v>0</v>
      </c>
      <c r="BW916" s="53" t="n">
        <v>916</v>
      </c>
      <c r="BX916" s="48" t="str">
        <f aca="false">IF(U916&lt;&gt;"",UPPER(TRIM(U916)),IF(CA916=1,UPPER(VLOOKUP(T916,Parameter!$I$27:$K$29,2,0)),IF(P916="","LOSE",P916)))</f>
        <v>S51</v>
      </c>
      <c r="BY916" s="50" t="n">
        <f aca="false">IF(BX916="LOSE",1,IF(N(V916)&gt;0,V916,IF(CA916=1,MAX(1,N(VLOOKUP(T916,Parameter!$I$27:$K$29,3,0)),H916,N(N916)),IF(N(Q916)&gt;0,Q916,MAX(1,H916)))))</f>
        <v>35</v>
      </c>
      <c r="BZ916" s="53" t="n">
        <f aca="false">IF(BX916="LOSE",1,0)</f>
        <v>0</v>
      </c>
      <c r="CA916" s="53" t="n">
        <f aca="false">IF(AND(U916="",OR(P916="",P916="LOSE"),T916&lt;&gt;"",N(S916)&lt;=0,ISNUMBER(MATCH(T916,Parameter!$I$27:$I$29,0))),1,0)</f>
        <v>0</v>
      </c>
      <c r="CB916" s="53" t="n">
        <f aca="false">IF(CQ916&gt;0,INDEX(Parameter!$H$5:$H$7,W916)/INDEX(Parameter!$E$5:$E$7,W916),IF(AND(BZ916=0,N(IFERROR(VLOOKUP(BX916,'Gebinde-Kategorie'!$A$5:$N$45,14,0),0))&gt;0),VLOOKUP(BX916,'Gebinde-Kategorie'!$A$5:$N$45,14,0)*10+Parameter!$M$23,Parameter!$M$24))</f>
        <v>155</v>
      </c>
      <c r="CC916" s="48" t="str">
        <f aca="false">IF(AND(Parameter!$B$19="Ja",E916&lt;&gt;"",ISNUMBER(MATCH(E916,Parameter!$I$35:$I$52,0))),VLOOKUP(E916,Parameter!$I$35:$J$52,2,0),IFERROR(VLOOKUP(D916,Parameter!$A$35:$C$64,2,0),"Nein"))</f>
        <v>2+3</v>
      </c>
      <c r="CD916" s="52" t="n">
        <f aca="false">IF(BZ916=0,0,IF(N(S916)&gt;0,S916,IFERROR(VLOOKUP(D916,Parameter!$A$35:$C$64,3,0)+0,0)))</f>
        <v>0</v>
      </c>
      <c r="CE916" s="48" t="n">
        <f aca="false">IF(AA916&lt;&gt;"",AA916,Z916)</f>
        <v>3</v>
      </c>
      <c r="CF916" s="48" t="str">
        <f aca="false">IF(OR(CE916=1,CE916=2,CE916=3),IF(Parameter!$E$27="Ja","LIFT",IF(CE916=1,"L1","L23")),IF(CE916="Aussen","Aussen","-"))</f>
        <v>LIFT</v>
      </c>
      <c r="CG916" s="59" t="n">
        <f aca="false">IF(N(AB916)&gt;0,AB916,0)</f>
        <v>0</v>
      </c>
      <c r="CH916" s="53" t="n">
        <f aca="false">IF(ISNUMBER(AE916),1,0)</f>
        <v>0</v>
      </c>
      <c r="CI916" s="50" t="n">
        <f aca="false">N(AE916)</f>
        <v>0</v>
      </c>
      <c r="CJ916" s="50" t="n">
        <f aca="false">N(M916)+N(N916)</f>
        <v>1</v>
      </c>
      <c r="CK916" s="50" t="n">
        <f aca="false">N(M916)</f>
        <v>0</v>
      </c>
      <c r="CL916" s="50" t="n">
        <f aca="false">N(N916)</f>
        <v>1</v>
      </c>
      <c r="CM916" s="50" t="n">
        <f aca="false">ROUNDUP(H916/BY916,0)</f>
        <v>1</v>
      </c>
      <c r="CN916" s="50" t="n">
        <f aca="false">ROUNDUP(CI916/BY916,0)</f>
        <v>0</v>
      </c>
      <c r="CO916" s="53" t="n">
        <f aca="false">IF(BZ916=1,0,IFERROR(VLOOKUP(BX916,'Gebinde-Kategorie'!$A$5:$N$45,5,0)+0,0))</f>
        <v>11</v>
      </c>
      <c r="CP916" s="53" t="n">
        <f aca="false">IFERROR(IF(OR(CE916=1,CE916=2,CE916=3),N(INDEX(Parameter!$I$5:$I$7,CE916)),0),0)</f>
        <v>0</v>
      </c>
      <c r="CQ916" s="52" t="n">
        <f aca="false">IF(AND(Parameter!$B$21="Ja",ISNUMBER(W916),N(X916)&gt;0),IFERROR(N(INDEX(Parameter!$L$5:$L$7,W916))*INDEX(Parameter!$E$5:$E$7,W916)*X916/SUMIFS($X$7:$X$1843,$W$7:$W$1843,W916),0),0)</f>
        <v>0</v>
      </c>
    </row>
    <row r="917" customFormat="false" ht="15" hidden="false" customHeight="false" outlineLevel="0" collapsed="false">
      <c r="A917" s="48" t="s">
        <v>1726</v>
      </c>
      <c r="B917" s="48" t="s">
        <v>1299</v>
      </c>
      <c r="C917" s="48" t="s">
        <v>173</v>
      </c>
      <c r="D917" s="48" t="s">
        <v>193</v>
      </c>
      <c r="E917" s="48" t="s">
        <v>194</v>
      </c>
      <c r="F917" s="48" t="s">
        <v>227</v>
      </c>
      <c r="G917" s="49" t="n">
        <v>1.1</v>
      </c>
      <c r="H917" s="50" t="n">
        <f aca="false">MAX(0,IF(AND(Parameter!$B$21="Ja",ISNUMBER(Y917)),Y917,IF(Parameter!$B$20="Jahresanfang 2025 + Export",BR917+BQ917,BQ917)))</f>
        <v>87</v>
      </c>
      <c r="I917" s="50" t="n">
        <f aca="false">H917*G917</f>
        <v>95.7</v>
      </c>
      <c r="J917" s="50" t="n">
        <f aca="false">BT917*Parameter!$B$18</f>
        <v>27</v>
      </c>
      <c r="K917" s="51" t="n">
        <v>116.5</v>
      </c>
      <c r="L917" s="52" t="n">
        <v>0.231759656652361</v>
      </c>
      <c r="M917" s="50" t="n">
        <v>1</v>
      </c>
      <c r="N917" s="50" t="n">
        <v>25</v>
      </c>
      <c r="O917" s="53" t="n">
        <v>21</v>
      </c>
      <c r="P917" s="48" t="s">
        <v>235</v>
      </c>
      <c r="Q917" s="50" t="n">
        <v>179</v>
      </c>
      <c r="R917" s="53" t="n">
        <f aca="false">IF(BZ917=1,0,IFERROR(VLOOKUP(BX917,'Gebinde-Kategorie'!$A$5:$N$45,13,0)+0,0))</f>
        <v>12</v>
      </c>
      <c r="S917" s="54"/>
      <c r="T917" s="55"/>
      <c r="U917" s="55"/>
      <c r="V917" s="55"/>
      <c r="W917" s="48"/>
      <c r="X917" s="50"/>
      <c r="Y917" s="50"/>
      <c r="Z917" s="48" t="n">
        <f aca="false">IF(A917="","",IF(AND(Parameter!$B$21="Ja",ISNUMBER(W917)),W917,IF(CC917="2+3",IF(ISNUMBER(SEARCH("grosser Artikel",BU917)),2,IFERROR(VLOOKUP(BX917,Parameter!$F$35:$G$64,2,0),2)),IF(OR(CC917="Nein",CC917=""),"-",CC917))))</f>
        <v>2</v>
      </c>
      <c r="AA917" s="55"/>
      <c r="AB917" s="56"/>
      <c r="AC917" s="50" t="n">
        <f aca="false">AV917</f>
        <v>26</v>
      </c>
      <c r="AD917" s="50" t="n">
        <f aca="false">MAX(AV917,H917)</f>
        <v>87</v>
      </c>
      <c r="AE917" s="57"/>
      <c r="AF917" s="50" t="n">
        <f aca="false">IF(LEFT(Cockpit!$C$5,1)="A",H917,IF(Parameter!$E$30="MAX-Bestand",IF(CH917=1,CI917,IF(LEFT(Cockpit!$C$5,1)="B",AL917,MAX(AL917,H917))),ROUNDUP(AJ917,0)))</f>
        <v>87</v>
      </c>
      <c r="AG917" s="50" t="n">
        <f aca="false">IF(BZ917=1,0,ROUNDUP(AF917/BY917,0))</f>
        <v>1</v>
      </c>
      <c r="AH917" s="52" t="n">
        <f aca="false">IF(CQ917&gt;0,CQ917*MAX(1,AF917/X917),IF(BZ917=1,IF(AF917&lt;=0,0,CD917*MAX(1,IF(H917&gt;0,AF917/H917,1))),IF(R917&gt;0,AG917/R917,0))/MAX(0.1,N(Parameter!$M$21)))</f>
        <v>0.0833333333333333</v>
      </c>
      <c r="AI917" s="50" t="n">
        <f aca="false">AH917*CB917</f>
        <v>28.75</v>
      </c>
      <c r="AJ917" s="51" t="n">
        <f aca="false">IF(LEFT(Cockpit!$C$5,1)="A",H917,IF(CH917=1,(CK917+CI917)/2,IF(LEFT(Cockpit!$C$5,1)="B",(CK917+AL917)/2,MAX((CK917+AL917)/2,H917))))</f>
        <v>87</v>
      </c>
      <c r="AK917" s="50" t="n">
        <f aca="false">AJ917*G917</f>
        <v>95.7</v>
      </c>
      <c r="AL917" s="50" t="n">
        <f aca="false">ROUNDUP(CK917+MAX(CL917,2*(J917/IF(CG917&gt;0,CG917,MAX(0.1,N(Cockpit!$C$6)))-CK917)),0)</f>
        <v>26</v>
      </c>
      <c r="AM917" s="51" t="n">
        <f aca="false">IF(AI917&gt;0,J917/AI917,-1)</f>
        <v>0.939130434782609</v>
      </c>
      <c r="AN917" s="51" t="n">
        <f aca="false">IF(AND(OR(CF917="L1",CF917="L23",CF917="LIFT"),AI917&gt;0),SUMIFS($AI$7:$AI$1843,$CF$7:$CF$1843,CF917,$AM$7:$AM$1843,"&gt;"&amp;AM917)+SUMIFS($AI$7:$AI$1843,$CF$7:$CF$1843,CF917,$AM$7:$AM$1843,AM917,$BW$7:$BW$1843,"&lt;="&amp;BW917),"")</f>
        <v>7335.12225274725</v>
      </c>
      <c r="AO917" s="58" t="n">
        <f aca="false">IF(AN917="",0,MAX(0,MIN(1,(IF(CF917="L1",Parameter!$H$5,IF(CF917="L23",Parameter!$H$6+Parameter!$H$7,Parameter!$H$5+Parameter!$H$6+Parameter!$H$7))-(AN917-AI917))/AI917)))</f>
        <v>1</v>
      </c>
      <c r="AP917" s="50" t="n">
        <f aca="false">IF(LEFT(Cockpit!$I$5,1)="A",H917,IF(Parameter!$E$30="MAX-Bestand",IF(CH917=1,CI917,IF(LEFT(Cockpit!$I$5,1)="B",AV917,MAX(AV917,H917))),ROUNDUP(AT917,0)))</f>
        <v>87</v>
      </c>
      <c r="AQ917" s="50" t="n">
        <f aca="false">IF(BZ917=1,0,ROUNDUP(AP917/BY917,0))</f>
        <v>1</v>
      </c>
      <c r="AR917" s="52" t="n">
        <f aca="false">IF(CQ917&gt;0,CQ917*MAX(1,AP917/X917),IF(BZ917=1,IF(AP917&lt;=0,0,CD917*MAX(1,IF(H917&gt;0,AP917/H917,1))),IF(R917&gt;0,AQ917/R917,0))/MAX(0.1,N(Parameter!$M$21)))</f>
        <v>0.0833333333333333</v>
      </c>
      <c r="AS917" s="50" t="n">
        <f aca="false">AR917*CB917</f>
        <v>28.75</v>
      </c>
      <c r="AT917" s="51" t="n">
        <f aca="false">IF(LEFT(Cockpit!$I$5,1)="A",H917,IF(CH917=1,(CK917+CI917)/2,IF(LEFT(Cockpit!$I$5,1)="B",(CK917+AV917)/2,MAX((CK917+AV917)/2,H917))))</f>
        <v>87</v>
      </c>
      <c r="AU917" s="50" t="n">
        <f aca="false">AT917*G917</f>
        <v>95.7</v>
      </c>
      <c r="AV917" s="50" t="n">
        <f aca="false">ROUNDUP(CK917+MAX(CL917,2*(J917/IF(CG917&gt;0,CG917,MAX(0.1,N(Cockpit!$I$6)))-CK917)),0)</f>
        <v>26</v>
      </c>
      <c r="AW917" s="51" t="n">
        <f aca="false">IF(AS917&gt;0,J917/AS917,-1)</f>
        <v>0.939130434782609</v>
      </c>
      <c r="AX917" s="51" t="n">
        <f aca="false">IF(AND(OR(CF917="L1",CF917="L23",CF917="LIFT"),AS917&gt;0),SUMIFS($AS$7:$AS$1843,$CF$7:$CF$1843,CF917,$AW$7:$AW$1843,"&gt;"&amp;AW917)+SUMIFS($AS$7:$AS$1843,$CF$7:$CF$1843,CF917,$AW$7:$AW$1843,AW917,$BW$7:$BW$1843,"&lt;="&amp;BW917),"")</f>
        <v>8764.56227106227</v>
      </c>
      <c r="AY917" s="58" t="n">
        <f aca="false">IF(AX917="",0,MAX(0,MIN(1,(IF(CF917="L1",Parameter!$H$5,IF(CF917="L23",Parameter!$H$6+Parameter!$H$7,Parameter!$H$5+Parameter!$H$6+Parameter!$H$7))-(AX917-AS917))/AS917)))</f>
        <v>1</v>
      </c>
      <c r="AZ917" s="50" t="n">
        <f aca="false">IF(LEFT(Cockpit!$O$5,1)="A",H917,IF(Parameter!$E$30="MAX-Bestand",IF(CH917=1,CI917,IF(LEFT(Cockpit!$O$5,1)="B",BF917,MAX(BF917,H917))),ROUNDUP(BD917,0)))</f>
        <v>14</v>
      </c>
      <c r="BA917" s="50" t="n">
        <f aca="false">IF(BZ917=1,0,ROUNDUP(AZ917/BY917,0))</f>
        <v>1</v>
      </c>
      <c r="BB917" s="52" t="n">
        <f aca="false">IF(CQ917&gt;0,CQ917*MAX(1,AZ917/X917),IF(BZ917=1,IF(AZ917&lt;=0,0,CD917*MAX(1,IF(H917&gt;0,AZ917/H917,1))),IF(R917&gt;0,BA917/R917,0))/MAX(0.1,N(Parameter!$M$21)))</f>
        <v>0.0833333333333333</v>
      </c>
      <c r="BC917" s="50" t="n">
        <f aca="false">BB917*CB917</f>
        <v>28.75</v>
      </c>
      <c r="BD917" s="51" t="n">
        <f aca="false">IF(LEFT(Cockpit!$O$5,1)="A",H917,IF(CH917=1,(CK917+CI917)/2,IF(LEFT(Cockpit!$O$5,1)="B",(CK917+BF917)/2,MAX((CK917+BF917)/2,H917))))</f>
        <v>13.5</v>
      </c>
      <c r="BE917" s="50" t="n">
        <f aca="false">BD917*G917</f>
        <v>14.85</v>
      </c>
      <c r="BF917" s="50" t="n">
        <f aca="false">ROUNDUP(CK917+MAX(CL917,2*(J917/IF(CG917&gt;0,CG917,MAX(0.1,N(Cockpit!$O$6)))-CK917)),0)</f>
        <v>26</v>
      </c>
      <c r="BG917" s="51" t="n">
        <f aca="false">IF(BC917&gt;0,J917/BC917,-1)</f>
        <v>0.939130434782609</v>
      </c>
      <c r="BH917" s="51" t="n">
        <f aca="false">IF(AND(OR(CF917="L1",CF917="L23",CF917="LIFT"),BC917&gt;0),SUMIFS($BC$7:$BC$1843,$CF$7:$CF$1843,CF917,$BG$7:$BG$1843,"&gt;"&amp;BG917)+SUMIFS($BC$7:$BC$1843,$CF$7:$CF$1843,CF917,$BG$7:$BG$1843,BG917,$BW$7:$BW$1843,"&lt;="&amp;BW917),"")</f>
        <v>8079.24587912088</v>
      </c>
      <c r="BI917" s="58" t="n">
        <f aca="false">IF(BH917="",0,MAX(0,MIN(1,(IF(CF917="L1",Parameter!$H$5,IF(CF917="L23",Parameter!$H$6+Parameter!$H$7,Parameter!$H$5+Parameter!$H$6+Parameter!$H$7))-(BH917-BC917))/BC917)))</f>
        <v>1</v>
      </c>
      <c r="BJ917" s="48" t="str">
        <f aca="false">IF(AI917&lt;=0,"",IF(CF917="Aussen","Aussenlager",IF(CF917="-","Nicht im Lift",IF(AO917&gt;=1,"Lift",IF(AO917&lt;=0,"Aussenlager","teilweise")))))</f>
        <v>Lift</v>
      </c>
      <c r="BK917" s="48" t="str">
        <f aca="false">IF(AS917&lt;=0,"",IF(CF917="Aussen","Aussenlager",IF(CF917="-","Nicht im Lift",IF(AY917&gt;=1,"Lift",IF(AY917&lt;=0,"Aussenlager","teilweise")))))</f>
        <v>Lift</v>
      </c>
      <c r="BL917" s="48" t="str">
        <f aca="false">IF(BC917&lt;=0,"",IF(CF917="Aussen","Aussenlager",IF(CF917="-","Nicht im Lift",IF(BI917&gt;=1,"Lift",IF(BI917&lt;=0,"Aussenlager","teilweise")))))</f>
        <v>Lift</v>
      </c>
      <c r="BM917" s="48" t="str">
        <f aca="false">IF(A917="","",IF(BV917=1,"Neu; ","")&amp;IF(AND(BV917=0,BQ917&lt;0),"negativer Bestand (Export "&amp;BQ917&amp;"); ","")&amp;IF(J917&lt;=0,"Kein Verbrauch; ","")&amp;IF(CQ917&gt;0,"Lift "&amp;W917&amp;" lt. Liftbericht (Fach "&amp;X917&amp;" Stk); ",IF(CA917=1,"Gebinde geschätzt ("&amp;T917&amp;"); ",IF(BZ917=1,"Lose – Tablare geschätzt; ","")))&amp;IF(H917&gt;AV917,"Überbestand "&amp;ROUND(H917-AV917,0)&amp;" Stk / CHF "&amp;ROUND((H917-AV917)*G917,0)&amp;"; ","")&amp;IF(AND(CH917=1,CI917&lt;CJ917),"MAX &lt; MB+LG; ","")&amp;IF(AND(CP917&gt;0,CO917*10&gt;CP917),"zu hoch für Tablar; ","")&amp;IF(AND(BV917=0,OR(CH917=1,AA917&lt;&gt;"",U917&lt;&gt;"",V917&lt;&gt;"",AB917&lt;&gt;"")),"manuell übersteuert; ","")&amp;IF(AND(BZ917=0,R917=0),"Gebinde unbekannt / Stellmass fehlt; ","")&amp;IF(AND(BZ917=0,N(V917)&lt;=0,N(Q917)&lt;=0),"Menge pro Gebinde fehlt (Ist = 1 Gebinde); ","")&amp;BU917)</f>
        <v>negativer Bestand (Export -38); Überbestand 61 Stk / CHF 67; Neu</v>
      </c>
      <c r="BN917" s="48"/>
      <c r="BO917" s="48"/>
      <c r="BP917" s="55"/>
      <c r="BQ917" s="50" t="n">
        <v>-38</v>
      </c>
      <c r="BR917" s="50" t="n">
        <v>125</v>
      </c>
      <c r="BS917" s="49" t="n">
        <v>-41.8</v>
      </c>
      <c r="BT917" s="50" t="n">
        <v>27</v>
      </c>
      <c r="BU917" s="48" t="s">
        <v>635</v>
      </c>
      <c r="BV917" s="53" t="n">
        <v>0</v>
      </c>
      <c r="BW917" s="53" t="n">
        <v>917</v>
      </c>
      <c r="BX917" s="48" t="str">
        <f aca="false">IF(U917&lt;&gt;"",UPPER(TRIM(U917)),IF(CA917=1,UPPER(VLOOKUP(T917,Parameter!$I$27:$K$29,2,0)),IF(P917="","LOSE",P917)))</f>
        <v>S63</v>
      </c>
      <c r="BY917" s="50" t="n">
        <f aca="false">IF(BX917="LOSE",1,IF(N(V917)&gt;0,V917,IF(CA917=1,MAX(1,N(VLOOKUP(T917,Parameter!$I$27:$K$29,3,0)),H917,N(N917)),IF(N(Q917)&gt;0,Q917,MAX(1,H917)))))</f>
        <v>179</v>
      </c>
      <c r="BZ917" s="53" t="n">
        <f aca="false">IF(BX917="LOSE",1,0)</f>
        <v>0</v>
      </c>
      <c r="CA917" s="53" t="n">
        <f aca="false">IF(AND(U917="",OR(P917="",P917="LOSE"),T917&lt;&gt;"",N(S917)&lt;=0,ISNUMBER(MATCH(T917,Parameter!$I$27:$I$29,0))),1,0)</f>
        <v>0</v>
      </c>
      <c r="CB917" s="53" t="n">
        <f aca="false">IF(CQ917&gt;0,INDEX(Parameter!$H$5:$H$7,W917)/INDEX(Parameter!$E$5:$E$7,W917),IF(AND(BZ917=0,N(IFERROR(VLOOKUP(BX917,'Gebinde-Kategorie'!$A$5:$N$45,14,0),0))&gt;0),VLOOKUP(BX917,'Gebinde-Kategorie'!$A$5:$N$45,14,0)*10+Parameter!$M$23,Parameter!$M$24))</f>
        <v>345</v>
      </c>
      <c r="CC917" s="48" t="str">
        <f aca="false">IF(AND(Parameter!$B$19="Ja",E917&lt;&gt;"",ISNUMBER(MATCH(E917,Parameter!$I$35:$I$52,0))),VLOOKUP(E917,Parameter!$I$35:$J$52,2,0),IFERROR(VLOOKUP(D917,Parameter!$A$35:$C$64,2,0),"Nein"))</f>
        <v>2+3</v>
      </c>
      <c r="CD917" s="52" t="n">
        <f aca="false">IF(BZ917=0,0,IF(N(S917)&gt;0,S917,IFERROR(VLOOKUP(D917,Parameter!$A$35:$C$64,3,0)+0,0)))</f>
        <v>0</v>
      </c>
      <c r="CE917" s="48" t="n">
        <f aca="false">IF(AA917&lt;&gt;"",AA917,Z917)</f>
        <v>2</v>
      </c>
      <c r="CF917" s="48" t="str">
        <f aca="false">IF(OR(CE917=1,CE917=2,CE917=3),IF(Parameter!$E$27="Ja","LIFT",IF(CE917=1,"L1","L23")),IF(CE917="Aussen","Aussen","-"))</f>
        <v>LIFT</v>
      </c>
      <c r="CG917" s="59" t="n">
        <f aca="false">IF(N(AB917)&gt;0,AB917,0)</f>
        <v>0</v>
      </c>
      <c r="CH917" s="53" t="n">
        <f aca="false">IF(ISNUMBER(AE917),1,0)</f>
        <v>0</v>
      </c>
      <c r="CI917" s="50" t="n">
        <f aca="false">N(AE917)</f>
        <v>0</v>
      </c>
      <c r="CJ917" s="50" t="n">
        <f aca="false">N(M917)+N(N917)</f>
        <v>26</v>
      </c>
      <c r="CK917" s="50" t="n">
        <f aca="false">N(M917)</f>
        <v>1</v>
      </c>
      <c r="CL917" s="50" t="n">
        <f aca="false">N(N917)</f>
        <v>25</v>
      </c>
      <c r="CM917" s="50" t="n">
        <f aca="false">ROUNDUP(H917/BY917,0)</f>
        <v>1</v>
      </c>
      <c r="CN917" s="50" t="n">
        <f aca="false">ROUNDUP(CI917/BY917,0)</f>
        <v>0</v>
      </c>
      <c r="CO917" s="53" t="n">
        <f aca="false">IF(BZ917=1,0,IFERROR(VLOOKUP(BX917,'Gebinde-Kategorie'!$A$5:$N$45,5,0)+0,0))</f>
        <v>31</v>
      </c>
      <c r="CP917" s="53" t="n">
        <f aca="false">IFERROR(IF(OR(CE917=1,CE917=2,CE917=3),N(INDEX(Parameter!$I$5:$I$7,CE917)),0),0)</f>
        <v>0</v>
      </c>
      <c r="CQ917" s="52" t="n">
        <f aca="false">IF(AND(Parameter!$B$21="Ja",ISNUMBER(W917),N(X917)&gt;0),IFERROR(N(INDEX(Parameter!$L$5:$L$7,W917))*INDEX(Parameter!$E$5:$E$7,W917)*X917/SUMIFS($X$7:$X$1843,$W$7:$W$1843,W917),0),0)</f>
        <v>0</v>
      </c>
    </row>
    <row r="918" customFormat="false" ht="15" hidden="false" customHeight="false" outlineLevel="0" collapsed="false">
      <c r="A918" s="48" t="s">
        <v>1727</v>
      </c>
      <c r="B918" s="48" t="s">
        <v>1728</v>
      </c>
      <c r="C918" s="48" t="s">
        <v>173</v>
      </c>
      <c r="D918" s="48" t="s">
        <v>182</v>
      </c>
      <c r="E918" s="48"/>
      <c r="F918" s="48" t="s">
        <v>227</v>
      </c>
      <c r="G918" s="49" t="n">
        <v>1.05</v>
      </c>
      <c r="H918" s="50" t="n">
        <f aca="false">MAX(0,IF(AND(Parameter!$B$21="Ja",ISNUMBER(Y918)),Y918,IF(Parameter!$B$20="Jahresanfang 2025 + Export",BR918+BQ918,BQ918)))</f>
        <v>5</v>
      </c>
      <c r="I918" s="50" t="n">
        <f aca="false">H918*G918</f>
        <v>5.25</v>
      </c>
      <c r="J918" s="50" t="n">
        <f aca="false">BT918*Parameter!$B$18</f>
        <v>0</v>
      </c>
      <c r="K918" s="51" t="n">
        <v>25.5</v>
      </c>
      <c r="L918" s="52" t="n">
        <v>0</v>
      </c>
      <c r="M918" s="50" t="n">
        <v>0</v>
      </c>
      <c r="N918" s="50" t="n">
        <v>1</v>
      </c>
      <c r="O918" s="53" t="n">
        <v>35</v>
      </c>
      <c r="P918" s="48" t="s">
        <v>177</v>
      </c>
      <c r="Q918" s="50"/>
      <c r="R918" s="53" t="n">
        <f aca="false">IF(BZ918=1,0,IFERROR(VLOOKUP(BX918,'Gebinde-Kategorie'!$A$5:$N$45,13,0)+0,0))</f>
        <v>26</v>
      </c>
      <c r="S918" s="54"/>
      <c r="T918" s="55" t="s">
        <v>284</v>
      </c>
      <c r="U918" s="55"/>
      <c r="V918" s="55"/>
      <c r="W918" s="48"/>
      <c r="X918" s="50"/>
      <c r="Y918" s="50"/>
      <c r="Z918" s="48" t="n">
        <f aca="false">IF(A918="","",IF(AND(Parameter!$B$21="Ja",ISNUMBER(W918)),W918,IF(CC918="2+3",IF(ISNUMBER(SEARCH("grosser Artikel",BU918)),2,IFERROR(VLOOKUP(BX918,Parameter!$F$35:$G$64,2,0),2)),IF(OR(CC918="Nein",CC918=""),"-",CC918))))</f>
        <v>3</v>
      </c>
      <c r="AA918" s="55"/>
      <c r="AB918" s="56"/>
      <c r="AC918" s="50" t="n">
        <f aca="false">AV918</f>
        <v>1</v>
      </c>
      <c r="AD918" s="50" t="n">
        <f aca="false">MAX(AV918,H918)</f>
        <v>5</v>
      </c>
      <c r="AE918" s="57"/>
      <c r="AF918" s="50" t="n">
        <f aca="false">IF(LEFT(Cockpit!$C$5,1)="A",H918,IF(Parameter!$E$30="MAX-Bestand",IF(CH918=1,CI918,IF(LEFT(Cockpit!$C$5,1)="B",AL918,MAX(AL918,H918))),ROUNDUP(AJ918,0)))</f>
        <v>5</v>
      </c>
      <c r="AG918" s="50" t="n">
        <f aca="false">IF(BZ918=1,0,ROUNDUP(AF918/BY918,0))</f>
        <v>1</v>
      </c>
      <c r="AH918" s="52" t="n">
        <f aca="false">IF(CQ918&gt;0,CQ918*MAX(1,AF918/X918),IF(BZ918=1,IF(AF918&lt;=0,0,CD918*MAX(1,IF(H918&gt;0,AF918/H918,1))),IF(R918&gt;0,AG918/R918,0))/MAX(0.1,N(Parameter!$M$21)))</f>
        <v>0.0384615384615385</v>
      </c>
      <c r="AI918" s="50" t="n">
        <f aca="false">AH918*CB918</f>
        <v>5.96153846153846</v>
      </c>
      <c r="AJ918" s="51" t="n">
        <f aca="false">IF(LEFT(Cockpit!$C$5,1)="A",H918,IF(CH918=1,(CK918+CI918)/2,IF(LEFT(Cockpit!$C$5,1)="B",(CK918+AL918)/2,MAX((CK918+AL918)/2,H918))))</f>
        <v>5</v>
      </c>
      <c r="AK918" s="50" t="n">
        <f aca="false">AJ918*G918</f>
        <v>5.25</v>
      </c>
      <c r="AL918" s="50" t="n">
        <f aca="false">ROUNDUP(CK918+MAX(CL918,2*(J918/IF(CG918&gt;0,CG918,MAX(0.1,N(Cockpit!$C$6)))-CK918)),0)</f>
        <v>1</v>
      </c>
      <c r="AM918" s="51" t="n">
        <f aca="false">IF(AI918&gt;0,J918/AI918,-1)</f>
        <v>0</v>
      </c>
      <c r="AN918" s="51" t="n">
        <f aca="false">IF(AND(OR(CF918="L1",CF918="L23",CF918="LIFT"),AI918&gt;0),SUMIFS($AI$7:$AI$1843,$CF$7:$CF$1843,CF918,$AM$7:$AM$1843,"&gt;"&amp;AM918)+SUMIFS($AI$7:$AI$1843,$CF$7:$CF$1843,CF918,$AM$7:$AM$1843,AM918,$BW$7:$BW$1843,"&lt;="&amp;BW918),"")</f>
        <v>28856.5633549595</v>
      </c>
      <c r="AO918" s="58" t="n">
        <f aca="false">IF(AN918="",0,MAX(0,MIN(1,(IF(CF918="L1",Parameter!$H$5,IF(CF918="L23",Parameter!$H$6+Parameter!$H$7,Parameter!$H$5+Parameter!$H$6+Parameter!$H$7))-(AN918-AI918))/AI918)))</f>
        <v>1</v>
      </c>
      <c r="AP918" s="50" t="n">
        <f aca="false">IF(LEFT(Cockpit!$I$5,1)="A",H918,IF(Parameter!$E$30="MAX-Bestand",IF(CH918=1,CI918,IF(LEFT(Cockpit!$I$5,1)="B",AV918,MAX(AV918,H918))),ROUNDUP(AT918,0)))</f>
        <v>5</v>
      </c>
      <c r="AQ918" s="50" t="n">
        <f aca="false">IF(BZ918=1,0,ROUNDUP(AP918/BY918,0))</f>
        <v>1</v>
      </c>
      <c r="AR918" s="52" t="n">
        <f aca="false">IF(CQ918&gt;0,CQ918*MAX(1,AP918/X918),IF(BZ918=1,IF(AP918&lt;=0,0,CD918*MAX(1,IF(H918&gt;0,AP918/H918,1))),IF(R918&gt;0,AQ918/R918,0))/MAX(0.1,N(Parameter!$M$21)))</f>
        <v>0.0384615384615385</v>
      </c>
      <c r="AS918" s="50" t="n">
        <f aca="false">AR918*CB918</f>
        <v>5.96153846153846</v>
      </c>
      <c r="AT918" s="51" t="n">
        <f aca="false">IF(LEFT(Cockpit!$I$5,1)="A",H918,IF(CH918=1,(CK918+CI918)/2,IF(LEFT(Cockpit!$I$5,1)="B",(CK918+AV918)/2,MAX((CK918+AV918)/2,H918))))</f>
        <v>5</v>
      </c>
      <c r="AU918" s="50" t="n">
        <f aca="false">AT918*G918</f>
        <v>5.25</v>
      </c>
      <c r="AV918" s="50" t="n">
        <f aca="false">ROUNDUP(CK918+MAX(CL918,2*(J918/IF(CG918&gt;0,CG918,MAX(0.1,N(Cockpit!$I$6)))-CK918)),0)</f>
        <v>1</v>
      </c>
      <c r="AW918" s="51" t="n">
        <f aca="false">IF(AS918&gt;0,J918/AS918,-1)</f>
        <v>0</v>
      </c>
      <c r="AX918" s="51" t="n">
        <f aca="false">IF(AND(OR(CF918="L1",CF918="L23",CF918="LIFT"),AS918&gt;0),SUMIFS($AS$7:$AS$1843,$CF$7:$CF$1843,CF918,$AW$7:$AW$1843,"&gt;"&amp;AW918)+SUMIFS($AS$7:$AS$1843,$CF$7:$CF$1843,CF918,$AW$7:$AW$1843,AW918,$BW$7:$BW$1843,"&lt;="&amp;BW918),"")</f>
        <v>34512.5732600733</v>
      </c>
      <c r="AY918" s="58" t="n">
        <f aca="false">IF(AX918="",0,MAX(0,MIN(1,(IF(CF918="L1",Parameter!$H$5,IF(CF918="L23",Parameter!$H$6+Parameter!$H$7,Parameter!$H$5+Parameter!$H$6+Parameter!$H$7))-(AX918-AS918))/AS918)))</f>
        <v>1</v>
      </c>
      <c r="AZ918" s="50" t="n">
        <f aca="false">IF(LEFT(Cockpit!$O$5,1)="A",H918,IF(Parameter!$E$30="MAX-Bestand",IF(CH918=1,CI918,IF(LEFT(Cockpit!$O$5,1)="B",BF918,MAX(BF918,H918))),ROUNDUP(BD918,0)))</f>
        <v>1</v>
      </c>
      <c r="BA918" s="50" t="n">
        <f aca="false">IF(BZ918=1,0,ROUNDUP(AZ918/BY918,0))</f>
        <v>1</v>
      </c>
      <c r="BB918" s="52" t="n">
        <f aca="false">IF(CQ918&gt;0,CQ918*MAX(1,AZ918/X918),IF(BZ918=1,IF(AZ918&lt;=0,0,CD918*MAX(1,IF(H918&gt;0,AZ918/H918,1))),IF(R918&gt;0,BA918/R918,0))/MAX(0.1,N(Parameter!$M$21)))</f>
        <v>0.0384615384615385</v>
      </c>
      <c r="BC918" s="50" t="n">
        <f aca="false">BB918*CB918</f>
        <v>5.96153846153846</v>
      </c>
      <c r="BD918" s="51" t="n">
        <f aca="false">IF(LEFT(Cockpit!$O$5,1)="A",H918,IF(CH918=1,(CK918+CI918)/2,IF(LEFT(Cockpit!$O$5,1)="B",(CK918+BF918)/2,MAX((CK918+BF918)/2,H918))))</f>
        <v>0.5</v>
      </c>
      <c r="BE918" s="50" t="n">
        <f aca="false">BD918*G918</f>
        <v>0.525</v>
      </c>
      <c r="BF918" s="50" t="n">
        <f aca="false">ROUNDUP(CK918+MAX(CL918,2*(J918/IF(CG918&gt;0,CG918,MAX(0.1,N(Cockpit!$O$6)))-CK918)),0)</f>
        <v>1</v>
      </c>
      <c r="BG918" s="51" t="n">
        <f aca="false">IF(BC918&gt;0,J918/BC918,-1)</f>
        <v>0</v>
      </c>
      <c r="BH918" s="51" t="n">
        <f aca="false">IF(AND(OR(CF918="L1",CF918="L23",CF918="LIFT"),BC918&gt;0),SUMIFS($BC$7:$BC$1843,$CF$7:$CF$1843,CF918,$BG$7:$BG$1843,"&gt;"&amp;BG918)+SUMIFS($BC$7:$BC$1843,$CF$7:$CF$1843,CF918,$BG$7:$BG$1843,BG918,$BW$7:$BW$1843,"&lt;="&amp;BW918),"")</f>
        <v>28544.1793707705</v>
      </c>
      <c r="BI918" s="58" t="n">
        <f aca="false">IF(BH918="",0,MAX(0,MIN(1,(IF(CF918="L1",Parameter!$H$5,IF(CF918="L23",Parameter!$H$6+Parameter!$H$7,Parameter!$H$5+Parameter!$H$6+Parameter!$H$7))-(BH918-BC918))/BC918)))</f>
        <v>1</v>
      </c>
      <c r="BJ918" s="48" t="str">
        <f aca="false">IF(AI918&lt;=0,"",IF(CF918="Aussen","Aussenlager",IF(CF918="-","Nicht im Lift",IF(AO918&gt;=1,"Lift",IF(AO918&lt;=0,"Aussenlager","teilweise")))))</f>
        <v>Lift</v>
      </c>
      <c r="BK918" s="48" t="str">
        <f aca="false">IF(AS918&lt;=0,"",IF(CF918="Aussen","Aussenlager",IF(CF918="-","Nicht im Lift",IF(AY918&gt;=1,"Lift",IF(AY918&lt;=0,"Aussenlager","teilweise")))))</f>
        <v>Lift</v>
      </c>
      <c r="BL918" s="48" t="str">
        <f aca="false">IF(BC918&lt;=0,"",IF(CF918="Aussen","Aussenlager",IF(CF918="-","Nicht im Lift",IF(BI918&gt;=1,"Lift",IF(BI918&lt;=0,"Aussenlager","teilweise")))))</f>
        <v>Lift</v>
      </c>
      <c r="BM918" s="48" t="str">
        <f aca="false">IF(A918="","",IF(BV918=1,"Neu; ","")&amp;IF(AND(BV918=0,BQ918&lt;0),"negativer Bestand (Export "&amp;BQ918&amp;"); ","")&amp;IF(J918&lt;=0,"Kein Verbrauch; ","")&amp;IF(CQ918&gt;0,"Lift "&amp;W918&amp;" lt. Liftbericht (Fach "&amp;X918&amp;" Stk); ",IF(CA918=1,"Gebinde geschätzt ("&amp;T918&amp;"); ",IF(BZ918=1,"Lose – Tablare geschätzt; ","")))&amp;IF(H918&gt;AV918,"Überbestand "&amp;ROUND(H918-AV918,0)&amp;" Stk / CHF "&amp;ROUND((H918-AV918)*G918,0)&amp;"; ","")&amp;IF(AND(CH918=1,CI918&lt;CJ918),"MAX &lt; MB+LG; ","")&amp;IF(AND(CP918&gt;0,CO918*10&gt;CP918),"zu hoch für Tablar; ","")&amp;IF(AND(BV918=0,OR(CH918=1,AA918&lt;&gt;"",U918&lt;&gt;"",V918&lt;&gt;"",AB918&lt;&gt;"")),"manuell übersteuert; ","")&amp;IF(AND(BZ918=0,R918=0),"Gebinde unbekannt / Stellmass fehlt; ","")&amp;IF(AND(BZ918=0,N(V918)&lt;=0,N(Q918)&lt;=0),"Menge pro Gebinde fehlt (Ist = 1 Gebinde); ","")&amp;BU918)</f>
        <v>negativer Bestand (Export -41); Kein Verbrauch; Gebinde geschätzt (Klein); Überbestand 4 Stk / CHF 4; Menge pro Gebinde fehlt (Ist = 1 Gebinde); Neuer Art.</v>
      </c>
      <c r="BN918" s="48"/>
      <c r="BO918" s="48"/>
      <c r="BP918" s="55"/>
      <c r="BQ918" s="50" t="n">
        <v>-41</v>
      </c>
      <c r="BR918" s="50" t="n">
        <v>46</v>
      </c>
      <c r="BS918" s="49" t="n">
        <v>-43.05</v>
      </c>
      <c r="BT918" s="50" t="n">
        <v>0</v>
      </c>
      <c r="BU918" s="48" t="s">
        <v>521</v>
      </c>
      <c r="BV918" s="53" t="n">
        <v>0</v>
      </c>
      <c r="BW918" s="53" t="n">
        <v>918</v>
      </c>
      <c r="BX918" s="48" t="str">
        <f aca="false">IF(U918&lt;&gt;"",UPPER(TRIM(U918)),IF(CA918=1,UPPER(VLOOKUP(T918,Parameter!$I$27:$K$29,2,0)),IF(P918="","LOSE",P918)))</f>
        <v>S51</v>
      </c>
      <c r="BY918" s="50" t="n">
        <f aca="false">IF(BX918="LOSE",1,IF(N(V918)&gt;0,V918,IF(CA918=1,MAX(1,N(VLOOKUP(T918,Parameter!$I$27:$K$29,3,0)),H918,N(N918)),IF(N(Q918)&gt;0,Q918,MAX(1,H918)))))</f>
        <v>20</v>
      </c>
      <c r="BZ918" s="53" t="n">
        <f aca="false">IF(BX918="LOSE",1,0)</f>
        <v>0</v>
      </c>
      <c r="CA918" s="53" t="n">
        <f aca="false">IF(AND(U918="",OR(P918="",P918="LOSE"),T918&lt;&gt;"",N(S918)&lt;=0,ISNUMBER(MATCH(T918,Parameter!$I$27:$I$29,0))),1,0)</f>
        <v>1</v>
      </c>
      <c r="CB918" s="53" t="n">
        <f aca="false">IF(CQ918&gt;0,INDEX(Parameter!$H$5:$H$7,W918)/INDEX(Parameter!$E$5:$E$7,W918),IF(AND(BZ918=0,N(IFERROR(VLOOKUP(BX918,'Gebinde-Kategorie'!$A$5:$N$45,14,0),0))&gt;0),VLOOKUP(BX918,'Gebinde-Kategorie'!$A$5:$N$45,14,0)*10+Parameter!$M$23,Parameter!$M$24))</f>
        <v>155</v>
      </c>
      <c r="CC918" s="48" t="str">
        <f aca="false">IF(AND(Parameter!$B$19="Ja",E918&lt;&gt;"",ISNUMBER(MATCH(E918,Parameter!$I$35:$I$52,0))),VLOOKUP(E918,Parameter!$I$35:$J$52,2,0),IFERROR(VLOOKUP(D918,Parameter!$A$35:$C$64,2,0),"Nein"))</f>
        <v>2+3</v>
      </c>
      <c r="CD918" s="52" t="n">
        <f aca="false">IF(BZ918=0,0,IF(N(S918)&gt;0,S918,IFERROR(VLOOKUP(D918,Parameter!$A$35:$C$64,3,0)+0,0)))</f>
        <v>0</v>
      </c>
      <c r="CE918" s="48" t="n">
        <f aca="false">IF(AA918&lt;&gt;"",AA918,Z918)</f>
        <v>3</v>
      </c>
      <c r="CF918" s="48" t="str">
        <f aca="false">IF(OR(CE918=1,CE918=2,CE918=3),IF(Parameter!$E$27="Ja","LIFT",IF(CE918=1,"L1","L23")),IF(CE918="Aussen","Aussen","-"))</f>
        <v>LIFT</v>
      </c>
      <c r="CG918" s="59" t="n">
        <f aca="false">IF(N(AB918)&gt;0,AB918,0)</f>
        <v>0</v>
      </c>
      <c r="CH918" s="53" t="n">
        <f aca="false">IF(ISNUMBER(AE918),1,0)</f>
        <v>0</v>
      </c>
      <c r="CI918" s="50" t="n">
        <f aca="false">N(AE918)</f>
        <v>0</v>
      </c>
      <c r="CJ918" s="50" t="n">
        <f aca="false">N(M918)+N(N918)</f>
        <v>1</v>
      </c>
      <c r="CK918" s="50" t="n">
        <f aca="false">N(M918)</f>
        <v>0</v>
      </c>
      <c r="CL918" s="50" t="n">
        <f aca="false">N(N918)</f>
        <v>1</v>
      </c>
      <c r="CM918" s="50" t="n">
        <f aca="false">ROUNDUP(H918/BY918,0)</f>
        <v>1</v>
      </c>
      <c r="CN918" s="50" t="n">
        <f aca="false">ROUNDUP(CI918/BY918,0)</f>
        <v>0</v>
      </c>
      <c r="CO918" s="53" t="n">
        <f aca="false">IF(BZ918=1,0,IFERROR(VLOOKUP(BX918,'Gebinde-Kategorie'!$A$5:$N$45,5,0)+0,0))</f>
        <v>11</v>
      </c>
      <c r="CP918" s="53" t="n">
        <f aca="false">IFERROR(IF(OR(CE918=1,CE918=2,CE918=3),N(INDEX(Parameter!$I$5:$I$7,CE918)),0),0)</f>
        <v>0</v>
      </c>
      <c r="CQ918" s="52" t="n">
        <f aca="false">IF(AND(Parameter!$B$21="Ja",ISNUMBER(W918),N(X918)&gt;0),IFERROR(N(INDEX(Parameter!$L$5:$L$7,W918))*INDEX(Parameter!$E$5:$E$7,W918)*X918/SUMIFS($X$7:$X$1843,$W$7:$W$1843,W918),0),0)</f>
        <v>0</v>
      </c>
    </row>
    <row r="919" customFormat="false" ht="15" hidden="false" customHeight="false" outlineLevel="0" collapsed="false">
      <c r="A919" s="48" t="s">
        <v>1729</v>
      </c>
      <c r="B919" s="48" t="s">
        <v>1686</v>
      </c>
      <c r="C919" s="48" t="s">
        <v>173</v>
      </c>
      <c r="D919" s="48" t="s">
        <v>193</v>
      </c>
      <c r="E919" s="48"/>
      <c r="F919" s="48" t="s">
        <v>227</v>
      </c>
      <c r="G919" s="49" t="n">
        <v>14.44</v>
      </c>
      <c r="H919" s="50" t="n">
        <f aca="false">MAX(0,IF(AND(Parameter!$B$21="Ja",ISNUMBER(Y919)),Y919,IF(Parameter!$B$20="Jahresanfang 2025 + Export",BR919+BQ919,BQ919)))</f>
        <v>0</v>
      </c>
      <c r="I919" s="50" t="n">
        <f aca="false">H919*G919</f>
        <v>0</v>
      </c>
      <c r="J919" s="50" t="n">
        <f aca="false">BT919*Parameter!$B$18</f>
        <v>0</v>
      </c>
      <c r="K919" s="51" t="n">
        <v>2.5</v>
      </c>
      <c r="L919" s="52" t="n">
        <v>0</v>
      </c>
      <c r="M919" s="50" t="n">
        <v>0</v>
      </c>
      <c r="N919" s="50" t="n">
        <v>1</v>
      </c>
      <c r="O919" s="53" t="n">
        <v>14</v>
      </c>
      <c r="P919" s="48" t="s">
        <v>177</v>
      </c>
      <c r="Q919" s="50"/>
      <c r="R919" s="53" t="n">
        <f aca="false">IF(BZ919=1,0,IFERROR(VLOOKUP(BX919,'Gebinde-Kategorie'!$A$5:$N$45,13,0)+0,0))</f>
        <v>26</v>
      </c>
      <c r="S919" s="54"/>
      <c r="T919" s="55" t="s">
        <v>284</v>
      </c>
      <c r="U919" s="55"/>
      <c r="V919" s="55"/>
      <c r="W919" s="48"/>
      <c r="X919" s="50"/>
      <c r="Y919" s="50"/>
      <c r="Z919" s="48" t="n">
        <f aca="false">IF(A919="","",IF(AND(Parameter!$B$21="Ja",ISNUMBER(W919)),W919,IF(CC919="2+3",IF(ISNUMBER(SEARCH("grosser Artikel",BU919)),2,IFERROR(VLOOKUP(BX919,Parameter!$F$35:$G$64,2,0),2)),IF(OR(CC919="Nein",CC919=""),"-",CC919))))</f>
        <v>3</v>
      </c>
      <c r="AA919" s="55"/>
      <c r="AB919" s="56"/>
      <c r="AC919" s="50" t="n">
        <f aca="false">AV919</f>
        <v>1</v>
      </c>
      <c r="AD919" s="50" t="n">
        <f aca="false">MAX(AV919,H919)</f>
        <v>1</v>
      </c>
      <c r="AE919" s="57"/>
      <c r="AF919" s="50" t="n">
        <f aca="false">IF(LEFT(Cockpit!$C$5,1)="A",H919,IF(Parameter!$E$30="MAX-Bestand",IF(CH919=1,CI919,IF(LEFT(Cockpit!$C$5,1)="B",AL919,MAX(AL919,H919))),ROUNDUP(AJ919,0)))</f>
        <v>0</v>
      </c>
      <c r="AG919" s="50" t="n">
        <f aca="false">IF(BZ919=1,0,ROUNDUP(AF919/BY919,0))</f>
        <v>0</v>
      </c>
      <c r="AH919" s="52" t="n">
        <f aca="false">IF(CQ919&gt;0,CQ919*MAX(1,AF919/X919),IF(BZ919=1,IF(AF919&lt;=0,0,CD919*MAX(1,IF(H919&gt;0,AF919/H919,1))),IF(R919&gt;0,AG919/R919,0))/MAX(0.1,N(Parameter!$M$21)))</f>
        <v>0</v>
      </c>
      <c r="AI919" s="50" t="n">
        <f aca="false">AH919*CB919</f>
        <v>0</v>
      </c>
      <c r="AJ919" s="51" t="n">
        <f aca="false">IF(LEFT(Cockpit!$C$5,1)="A",H919,IF(CH919=1,(CK919+CI919)/2,IF(LEFT(Cockpit!$C$5,1)="B",(CK919+AL919)/2,MAX((CK919+AL919)/2,H919))))</f>
        <v>0</v>
      </c>
      <c r="AK919" s="50" t="n">
        <f aca="false">AJ919*G919</f>
        <v>0</v>
      </c>
      <c r="AL919" s="50" t="n">
        <f aca="false">ROUNDUP(CK919+MAX(CL919,2*(J919/IF(CG919&gt;0,CG919,MAX(0.1,N(Cockpit!$C$6)))-CK919)),0)</f>
        <v>1</v>
      </c>
      <c r="AM919" s="51" t="n">
        <f aca="false">IF(AI919&gt;0,J919/AI919,-1)</f>
        <v>-1</v>
      </c>
      <c r="AN919" s="51" t="str">
        <f aca="false">IF(AND(OR(CF919="L1",CF919="L23",CF919="LIFT"),AI919&gt;0),SUMIFS($AI$7:$AI$1843,$CF$7:$CF$1843,CF919,$AM$7:$AM$1843,"&gt;"&amp;AM919)+SUMIFS($AI$7:$AI$1843,$CF$7:$CF$1843,CF919,$AM$7:$AM$1843,AM919,$BW$7:$BW$1843,"&lt;="&amp;BW919),"")</f>
        <v/>
      </c>
      <c r="AO919" s="58" t="n">
        <f aca="false">IF(AN919="",0,MAX(0,MIN(1,(IF(CF919="L1",Parameter!$H$5,IF(CF919="L23",Parameter!$H$6+Parameter!$H$7,Parameter!$H$5+Parameter!$H$6+Parameter!$H$7))-(AN919-AI919))/AI919)))</f>
        <v>0</v>
      </c>
      <c r="AP919" s="50" t="n">
        <f aca="false">IF(LEFT(Cockpit!$I$5,1)="A",H919,IF(Parameter!$E$30="MAX-Bestand",IF(CH919=1,CI919,IF(LEFT(Cockpit!$I$5,1)="B",AV919,MAX(AV919,H919))),ROUNDUP(AT919,0)))</f>
        <v>1</v>
      </c>
      <c r="AQ919" s="50" t="n">
        <f aca="false">IF(BZ919=1,0,ROUNDUP(AP919/BY919,0))</f>
        <v>1</v>
      </c>
      <c r="AR919" s="52" t="n">
        <f aca="false">IF(CQ919&gt;0,CQ919*MAX(1,AP919/X919),IF(BZ919=1,IF(AP919&lt;=0,0,CD919*MAX(1,IF(H919&gt;0,AP919/H919,1))),IF(R919&gt;0,AQ919/R919,0))/MAX(0.1,N(Parameter!$M$21)))</f>
        <v>0.0384615384615385</v>
      </c>
      <c r="AS919" s="50" t="n">
        <f aca="false">AR919*CB919</f>
        <v>5.96153846153846</v>
      </c>
      <c r="AT919" s="51" t="n">
        <f aca="false">IF(LEFT(Cockpit!$I$5,1)="A",H919,IF(CH919=1,(CK919+CI919)/2,IF(LEFT(Cockpit!$I$5,1)="B",(CK919+AV919)/2,MAX((CK919+AV919)/2,H919))))</f>
        <v>0.5</v>
      </c>
      <c r="AU919" s="50" t="n">
        <f aca="false">AT919*G919</f>
        <v>7.22</v>
      </c>
      <c r="AV919" s="50" t="n">
        <f aca="false">ROUNDUP(CK919+MAX(CL919,2*(J919/IF(CG919&gt;0,CG919,MAX(0.1,N(Cockpit!$I$6)))-CK919)),0)</f>
        <v>1</v>
      </c>
      <c r="AW919" s="51" t="n">
        <f aca="false">IF(AS919&gt;0,J919/AS919,-1)</f>
        <v>0</v>
      </c>
      <c r="AX919" s="51" t="n">
        <f aca="false">IF(AND(OR(CF919="L1",CF919="L23",CF919="LIFT"),AS919&gt;0),SUMIFS($AS$7:$AS$1843,$CF$7:$CF$1843,CF919,$AW$7:$AW$1843,"&gt;"&amp;AW919)+SUMIFS($AS$7:$AS$1843,$CF$7:$CF$1843,CF919,$AW$7:$AW$1843,AW919,$BW$7:$BW$1843,"&lt;="&amp;BW919),"")</f>
        <v>34518.5347985348</v>
      </c>
      <c r="AY919" s="58" t="n">
        <f aca="false">IF(AX919="",0,MAX(0,MIN(1,(IF(CF919="L1",Parameter!$H$5,IF(CF919="L23",Parameter!$H$6+Parameter!$H$7,Parameter!$H$5+Parameter!$H$6+Parameter!$H$7))-(AX919-AS919))/AS919)))</f>
        <v>1</v>
      </c>
      <c r="AZ919" s="50" t="n">
        <f aca="false">IF(LEFT(Cockpit!$O$5,1)="A",H919,IF(Parameter!$E$30="MAX-Bestand",IF(CH919=1,CI919,IF(LEFT(Cockpit!$O$5,1)="B",BF919,MAX(BF919,H919))),ROUNDUP(BD919,0)))</f>
        <v>1</v>
      </c>
      <c r="BA919" s="50" t="n">
        <f aca="false">IF(BZ919=1,0,ROUNDUP(AZ919/BY919,0))</f>
        <v>1</v>
      </c>
      <c r="BB919" s="52" t="n">
        <f aca="false">IF(CQ919&gt;0,CQ919*MAX(1,AZ919/X919),IF(BZ919=1,IF(AZ919&lt;=0,0,CD919*MAX(1,IF(H919&gt;0,AZ919/H919,1))),IF(R919&gt;0,BA919/R919,0))/MAX(0.1,N(Parameter!$M$21)))</f>
        <v>0.0384615384615385</v>
      </c>
      <c r="BC919" s="50" t="n">
        <f aca="false">BB919*CB919</f>
        <v>5.96153846153846</v>
      </c>
      <c r="BD919" s="51" t="n">
        <f aca="false">IF(LEFT(Cockpit!$O$5,1)="A",H919,IF(CH919=1,(CK919+CI919)/2,IF(LEFT(Cockpit!$O$5,1)="B",(CK919+BF919)/2,MAX((CK919+BF919)/2,H919))))</f>
        <v>0.5</v>
      </c>
      <c r="BE919" s="50" t="n">
        <f aca="false">BD919*G919</f>
        <v>7.22</v>
      </c>
      <c r="BF919" s="50" t="n">
        <f aca="false">ROUNDUP(CK919+MAX(CL919,2*(J919/IF(CG919&gt;0,CG919,MAX(0.1,N(Cockpit!$O$6)))-CK919)),0)</f>
        <v>1</v>
      </c>
      <c r="BG919" s="51" t="n">
        <f aca="false">IF(BC919&gt;0,J919/BC919,-1)</f>
        <v>0</v>
      </c>
      <c r="BH919" s="51" t="n">
        <f aca="false">IF(AND(OR(CF919="L1",CF919="L23",CF919="LIFT"),BC919&gt;0),SUMIFS($BC$7:$BC$1843,$CF$7:$CF$1843,CF919,$BG$7:$BG$1843,"&gt;"&amp;BG919)+SUMIFS($BC$7:$BC$1843,$CF$7:$CF$1843,CF919,$BG$7:$BG$1843,BG919,$BW$7:$BW$1843,"&lt;="&amp;BW919),"")</f>
        <v>28550.140909232</v>
      </c>
      <c r="BI919" s="58" t="n">
        <f aca="false">IF(BH919="",0,MAX(0,MIN(1,(IF(CF919="L1",Parameter!$H$5,IF(CF919="L23",Parameter!$H$6+Parameter!$H$7,Parameter!$H$5+Parameter!$H$6+Parameter!$H$7))-(BH919-BC919))/BC919)))</f>
        <v>1</v>
      </c>
      <c r="BJ919" s="48" t="str">
        <f aca="false">IF(AI919&lt;=0,"",IF(CF919="Aussen","Aussenlager",IF(CF919="-","Nicht im Lift",IF(AO919&gt;=1,"Lift",IF(AO919&lt;=0,"Aussenlager","teilweise")))))</f>
        <v/>
      </c>
      <c r="BK919" s="48" t="str">
        <f aca="false">IF(AS919&lt;=0,"",IF(CF919="Aussen","Aussenlager",IF(CF919="-","Nicht im Lift",IF(AY919&gt;=1,"Lift",IF(AY919&lt;=0,"Aussenlager","teilweise")))))</f>
        <v>Lift</v>
      </c>
      <c r="BL919" s="48" t="str">
        <f aca="false">IF(BC919&lt;=0,"",IF(CF919="Aussen","Aussenlager",IF(CF919="-","Nicht im Lift",IF(BI919&gt;=1,"Lift",IF(BI919&lt;=0,"Aussenlager","teilweise")))))</f>
        <v>Lift</v>
      </c>
      <c r="BM919" s="48" t="str">
        <f aca="false">IF(A919="","",IF(BV919=1,"Neu; ","")&amp;IF(AND(BV919=0,BQ919&lt;0),"negativer Bestand (Export "&amp;BQ919&amp;"); ","")&amp;IF(J919&lt;=0,"Kein Verbrauch; ","")&amp;IF(CQ919&gt;0,"Lift "&amp;W919&amp;" lt. Liftbericht (Fach "&amp;X919&amp;" Stk); ",IF(CA919=1,"Gebinde geschätzt ("&amp;T919&amp;"); ",IF(BZ919=1,"Lose – Tablare geschätzt; ","")))&amp;IF(H919&gt;AV919,"Überbestand "&amp;ROUND(H919-AV919,0)&amp;" Stk / CHF "&amp;ROUND((H919-AV919)*G919,0)&amp;"; ","")&amp;IF(AND(CH919=1,CI919&lt;CJ919),"MAX &lt; MB+LG; ","")&amp;IF(AND(CP919&gt;0,CO919*10&gt;CP919),"zu hoch für Tablar; ","")&amp;IF(AND(BV919=0,OR(CH919=1,AA919&lt;&gt;"",U919&lt;&gt;"",V919&lt;&gt;"",AB919&lt;&gt;"")),"manuell übersteuert; ","")&amp;IF(AND(BZ919=0,R919=0),"Gebinde unbekannt / Stellmass fehlt; ","")&amp;IF(AND(BZ919=0,N(V919)&lt;=0,N(Q919)&lt;=0),"Menge pro Gebinde fehlt (Ist = 1 Gebinde); ","")&amp;BU919)</f>
        <v>negativer Bestand (Export -3); Kein Verbrauch; Gebinde geschätzt (Klein); Menge pro Gebinde fehlt (Ist = 1 Gebinde); </v>
      </c>
      <c r="BN919" s="48"/>
      <c r="BO919" s="48"/>
      <c r="BP919" s="55"/>
      <c r="BQ919" s="50" t="n">
        <v>-3</v>
      </c>
      <c r="BR919" s="50" t="n">
        <v>3</v>
      </c>
      <c r="BS919" s="49" t="n">
        <v>-43.32</v>
      </c>
      <c r="BT919" s="50" t="n">
        <v>0</v>
      </c>
      <c r="BU919" s="48"/>
      <c r="BV919" s="53" t="n">
        <v>0</v>
      </c>
      <c r="BW919" s="53" t="n">
        <v>919</v>
      </c>
      <c r="BX919" s="48" t="str">
        <f aca="false">IF(U919&lt;&gt;"",UPPER(TRIM(U919)),IF(CA919=1,UPPER(VLOOKUP(T919,Parameter!$I$27:$K$29,2,0)),IF(P919="","LOSE",P919)))</f>
        <v>S51</v>
      </c>
      <c r="BY919" s="50" t="n">
        <f aca="false">IF(BX919="LOSE",1,IF(N(V919)&gt;0,V919,IF(CA919=1,MAX(1,N(VLOOKUP(T919,Parameter!$I$27:$K$29,3,0)),H919,N(N919)),IF(N(Q919)&gt;0,Q919,MAX(1,H919)))))</f>
        <v>20</v>
      </c>
      <c r="BZ919" s="53" t="n">
        <f aca="false">IF(BX919="LOSE",1,0)</f>
        <v>0</v>
      </c>
      <c r="CA919" s="53" t="n">
        <f aca="false">IF(AND(U919="",OR(P919="",P919="LOSE"),T919&lt;&gt;"",N(S919)&lt;=0,ISNUMBER(MATCH(T919,Parameter!$I$27:$I$29,0))),1,0)</f>
        <v>1</v>
      </c>
      <c r="CB919" s="53" t="n">
        <f aca="false">IF(CQ919&gt;0,INDEX(Parameter!$H$5:$H$7,W919)/INDEX(Parameter!$E$5:$E$7,W919),IF(AND(BZ919=0,N(IFERROR(VLOOKUP(BX919,'Gebinde-Kategorie'!$A$5:$N$45,14,0),0))&gt;0),VLOOKUP(BX919,'Gebinde-Kategorie'!$A$5:$N$45,14,0)*10+Parameter!$M$23,Parameter!$M$24))</f>
        <v>155</v>
      </c>
      <c r="CC919" s="48" t="str">
        <f aca="false">IF(AND(Parameter!$B$19="Ja",E919&lt;&gt;"",ISNUMBER(MATCH(E919,Parameter!$I$35:$I$52,0))),VLOOKUP(E919,Parameter!$I$35:$J$52,2,0),IFERROR(VLOOKUP(D919,Parameter!$A$35:$C$64,2,0),"Nein"))</f>
        <v>2+3</v>
      </c>
      <c r="CD919" s="52" t="n">
        <f aca="false">IF(BZ919=0,0,IF(N(S919)&gt;0,S919,IFERROR(VLOOKUP(D919,Parameter!$A$35:$C$64,3,0)+0,0)))</f>
        <v>0</v>
      </c>
      <c r="CE919" s="48" t="n">
        <f aca="false">IF(AA919&lt;&gt;"",AA919,Z919)</f>
        <v>3</v>
      </c>
      <c r="CF919" s="48" t="str">
        <f aca="false">IF(OR(CE919=1,CE919=2,CE919=3),IF(Parameter!$E$27="Ja","LIFT",IF(CE919=1,"L1","L23")),IF(CE919="Aussen","Aussen","-"))</f>
        <v>LIFT</v>
      </c>
      <c r="CG919" s="59" t="n">
        <f aca="false">IF(N(AB919)&gt;0,AB919,0)</f>
        <v>0</v>
      </c>
      <c r="CH919" s="53" t="n">
        <f aca="false">IF(ISNUMBER(AE919),1,0)</f>
        <v>0</v>
      </c>
      <c r="CI919" s="50" t="n">
        <f aca="false">N(AE919)</f>
        <v>0</v>
      </c>
      <c r="CJ919" s="50" t="n">
        <f aca="false">N(M919)+N(N919)</f>
        <v>1</v>
      </c>
      <c r="CK919" s="50" t="n">
        <f aca="false">N(M919)</f>
        <v>0</v>
      </c>
      <c r="CL919" s="50" t="n">
        <f aca="false">N(N919)</f>
        <v>1</v>
      </c>
      <c r="CM919" s="50" t="n">
        <f aca="false">ROUNDUP(H919/BY919,0)</f>
        <v>0</v>
      </c>
      <c r="CN919" s="50" t="n">
        <f aca="false">ROUNDUP(CI919/BY919,0)</f>
        <v>0</v>
      </c>
      <c r="CO919" s="53" t="n">
        <f aca="false">IF(BZ919=1,0,IFERROR(VLOOKUP(BX919,'Gebinde-Kategorie'!$A$5:$N$45,5,0)+0,0))</f>
        <v>11</v>
      </c>
      <c r="CP919" s="53" t="n">
        <f aca="false">IFERROR(IF(OR(CE919=1,CE919=2,CE919=3),N(INDEX(Parameter!$I$5:$I$7,CE919)),0),0)</f>
        <v>0</v>
      </c>
      <c r="CQ919" s="52" t="n">
        <f aca="false">IF(AND(Parameter!$B$21="Ja",ISNUMBER(W919),N(X919)&gt;0),IFERROR(N(INDEX(Parameter!$L$5:$L$7,W919))*INDEX(Parameter!$E$5:$E$7,W919)*X919/SUMIFS($X$7:$X$1843,$W$7:$W$1843,W919),0),0)</f>
        <v>0</v>
      </c>
    </row>
    <row r="920" customFormat="false" ht="15" hidden="false" customHeight="false" outlineLevel="0" collapsed="false">
      <c r="A920" s="48" t="s">
        <v>1730</v>
      </c>
      <c r="B920" s="48" t="s">
        <v>414</v>
      </c>
      <c r="C920" s="48" t="s">
        <v>173</v>
      </c>
      <c r="D920" s="48" t="s">
        <v>193</v>
      </c>
      <c r="E920" s="48" t="s">
        <v>194</v>
      </c>
      <c r="F920" s="48" t="s">
        <v>227</v>
      </c>
      <c r="G920" s="49" t="n">
        <v>0.02</v>
      </c>
      <c r="H920" s="50" t="n">
        <f aca="false">MAX(0,IF(AND(Parameter!$B$21="Ja",ISNUMBER(Y920)),Y920,IF(Parameter!$B$20="Jahresanfang 2025 + Export",BR920+BQ920,BQ920)))</f>
        <v>695</v>
      </c>
      <c r="I920" s="50" t="n">
        <f aca="false">H920*G920</f>
        <v>13.9</v>
      </c>
      <c r="J920" s="50" t="n">
        <f aca="false">BT920*Parameter!$B$18</f>
        <v>5412</v>
      </c>
      <c r="K920" s="51" t="n">
        <v>3182.5</v>
      </c>
      <c r="L920" s="52" t="n">
        <v>1.70054988216811</v>
      </c>
      <c r="M920" s="50" t="n">
        <v>315</v>
      </c>
      <c r="N920" s="50" t="n">
        <v>2000</v>
      </c>
      <c r="O920" s="53" t="n">
        <v>21</v>
      </c>
      <c r="P920" s="48" t="s">
        <v>311</v>
      </c>
      <c r="Q920" s="50" t="n">
        <v>2951</v>
      </c>
      <c r="R920" s="53" t="n">
        <f aca="false">IF(BZ920=1,0,IFERROR(VLOOKUP(BX920,'Gebinde-Kategorie'!$A$5:$N$45,13,0)+0,0))</f>
        <v>26</v>
      </c>
      <c r="S920" s="54"/>
      <c r="T920" s="55"/>
      <c r="U920" s="55"/>
      <c r="V920" s="55"/>
      <c r="W920" s="48"/>
      <c r="X920" s="50"/>
      <c r="Y920" s="50"/>
      <c r="Z920" s="48" t="n">
        <f aca="false">IF(A920="","",IF(AND(Parameter!$B$21="Ja",ISNUMBER(W920)),W920,IF(CC920="2+3",IF(ISNUMBER(SEARCH("grosser Artikel",BU920)),2,IFERROR(VLOOKUP(BX920,Parameter!$F$35:$G$64,2,0),2)),IF(OR(CC920="Nein",CC920=""),"-",CC920))))</f>
        <v>3</v>
      </c>
      <c r="AA920" s="55"/>
      <c r="AB920" s="56"/>
      <c r="AC920" s="50" t="n">
        <f aca="false">AV920</f>
        <v>3293</v>
      </c>
      <c r="AD920" s="50" t="n">
        <f aca="false">MAX(AV920,H920)</f>
        <v>3293</v>
      </c>
      <c r="AE920" s="57"/>
      <c r="AF920" s="50" t="n">
        <f aca="false">IF(LEFT(Cockpit!$C$5,1)="A",H920,IF(Parameter!$E$30="MAX-Bestand",IF(CH920=1,CI920,IF(LEFT(Cockpit!$C$5,1)="B",AL920,MAX(AL920,H920))),ROUNDUP(AJ920,0)))</f>
        <v>695</v>
      </c>
      <c r="AG920" s="50" t="n">
        <f aca="false">IF(BZ920=1,0,ROUNDUP(AF920/BY920,0))</f>
        <v>1</v>
      </c>
      <c r="AH920" s="52" t="n">
        <f aca="false">IF(CQ920&gt;0,CQ920*MAX(1,AF920/X920),IF(BZ920=1,IF(AF920&lt;=0,0,CD920*MAX(1,IF(H920&gt;0,AF920/H920,1))),IF(R920&gt;0,AG920/R920,0))/MAX(0.1,N(Parameter!$M$21)))</f>
        <v>0.0384615384615385</v>
      </c>
      <c r="AI920" s="50" t="n">
        <f aca="false">AH920*CB920</f>
        <v>5.96153846153846</v>
      </c>
      <c r="AJ920" s="51" t="n">
        <f aca="false">IF(LEFT(Cockpit!$C$5,1)="A",H920,IF(CH920=1,(CK920+CI920)/2,IF(LEFT(Cockpit!$C$5,1)="B",(CK920+AL920)/2,MAX((CK920+AL920)/2,H920))))</f>
        <v>695</v>
      </c>
      <c r="AK920" s="50" t="n">
        <f aca="false">AJ920*G920</f>
        <v>13.9</v>
      </c>
      <c r="AL920" s="50" t="n">
        <f aca="false">ROUNDUP(CK920+MAX(CL920,2*(J920/IF(CG920&gt;0,CG920,MAX(0.1,N(Cockpit!$C$6)))-CK920)),0)</f>
        <v>3293</v>
      </c>
      <c r="AM920" s="51" t="n">
        <f aca="false">IF(AI920&gt;0,J920/AI920,-1)</f>
        <v>907.81935483871</v>
      </c>
      <c r="AN920" s="51" t="n">
        <f aca="false">IF(AND(OR(CF920="L1",CF920="L23",CF920="LIFT"),AI920&gt;0),SUMIFS($AI$7:$AI$1843,$CF$7:$CF$1843,CF920,$AM$7:$AM$1843,"&gt;"&amp;AM920)+SUMIFS($AI$7:$AI$1843,$CF$7:$CF$1843,CF920,$AM$7:$AM$1843,AM920,$BW$7:$BW$1843,"&lt;="&amp;BW920),"")</f>
        <v>24.9532967032967</v>
      </c>
      <c r="AO920" s="58" t="n">
        <f aca="false">IF(AN920="",0,MAX(0,MIN(1,(IF(CF920="L1",Parameter!$H$5,IF(CF920="L23",Parameter!$H$6+Parameter!$H$7,Parameter!$H$5+Parameter!$H$6+Parameter!$H$7))-(AN920-AI920))/AI920)))</f>
        <v>1</v>
      </c>
      <c r="AP920" s="50" t="n">
        <f aca="false">IF(LEFT(Cockpit!$I$5,1)="A",H920,IF(Parameter!$E$30="MAX-Bestand",IF(CH920=1,CI920,IF(LEFT(Cockpit!$I$5,1)="B",AV920,MAX(AV920,H920))),ROUNDUP(AT920,0)))</f>
        <v>1804</v>
      </c>
      <c r="AQ920" s="50" t="n">
        <f aca="false">IF(BZ920=1,0,ROUNDUP(AP920/BY920,0))</f>
        <v>1</v>
      </c>
      <c r="AR920" s="52" t="n">
        <f aca="false">IF(CQ920&gt;0,CQ920*MAX(1,AP920/X920),IF(BZ920=1,IF(AP920&lt;=0,0,CD920*MAX(1,IF(H920&gt;0,AP920/H920,1))),IF(R920&gt;0,AQ920/R920,0))/MAX(0.1,N(Parameter!$M$21)))</f>
        <v>0.0384615384615385</v>
      </c>
      <c r="AS920" s="50" t="n">
        <f aca="false">AR920*CB920</f>
        <v>5.96153846153846</v>
      </c>
      <c r="AT920" s="51" t="n">
        <f aca="false">IF(LEFT(Cockpit!$I$5,1)="A",H920,IF(CH920=1,(CK920+CI920)/2,IF(LEFT(Cockpit!$I$5,1)="B",(CK920+AV920)/2,MAX((CK920+AV920)/2,H920))))</f>
        <v>1804</v>
      </c>
      <c r="AU920" s="50" t="n">
        <f aca="false">AT920*G920</f>
        <v>36.08</v>
      </c>
      <c r="AV920" s="50" t="n">
        <f aca="false">ROUNDUP(CK920+MAX(CL920,2*(J920/IF(CG920&gt;0,CG920,MAX(0.1,N(Cockpit!$I$6)))-CK920)),0)</f>
        <v>3293</v>
      </c>
      <c r="AW920" s="51" t="n">
        <f aca="false">IF(AS920&gt;0,J920/AS920,-1)</f>
        <v>907.81935483871</v>
      </c>
      <c r="AX920" s="51" t="n">
        <f aca="false">IF(AND(OR(CF920="L1",CF920="L23",CF920="LIFT"),AS920&gt;0),SUMIFS($AS$7:$AS$1843,$CF$7:$CF$1843,CF920,$AW$7:$AW$1843,"&gt;"&amp;AW920)+SUMIFS($AS$7:$AS$1843,$CF$7:$CF$1843,CF920,$AW$7:$AW$1843,AW920,$BW$7:$BW$1843,"&lt;="&amp;BW920),"")</f>
        <v>15.4574175824176</v>
      </c>
      <c r="AY920" s="58" t="n">
        <f aca="false">IF(AX920="",0,MAX(0,MIN(1,(IF(CF920="L1",Parameter!$H$5,IF(CF920="L23",Parameter!$H$6+Parameter!$H$7,Parameter!$H$5+Parameter!$H$6+Parameter!$H$7))-(AX920-AS920))/AS920)))</f>
        <v>1</v>
      </c>
      <c r="AZ920" s="50" t="n">
        <f aca="false">IF(LEFT(Cockpit!$O$5,1)="A",H920,IF(Parameter!$E$30="MAX-Bestand",IF(CH920=1,CI920,IF(LEFT(Cockpit!$O$5,1)="B",BF920,MAX(BF920,H920))),ROUNDUP(BD920,0)))</f>
        <v>1353</v>
      </c>
      <c r="BA920" s="50" t="n">
        <f aca="false">IF(BZ920=1,0,ROUNDUP(AZ920/BY920,0))</f>
        <v>1</v>
      </c>
      <c r="BB920" s="52" t="n">
        <f aca="false">IF(CQ920&gt;0,CQ920*MAX(1,AZ920/X920),IF(BZ920=1,IF(AZ920&lt;=0,0,CD920*MAX(1,IF(H920&gt;0,AZ920/H920,1))),IF(R920&gt;0,BA920/R920,0))/MAX(0.1,N(Parameter!$M$21)))</f>
        <v>0.0384615384615385</v>
      </c>
      <c r="BC920" s="50" t="n">
        <f aca="false">BB920*CB920</f>
        <v>5.96153846153846</v>
      </c>
      <c r="BD920" s="51" t="n">
        <f aca="false">IF(LEFT(Cockpit!$O$5,1)="A",H920,IF(CH920=1,(CK920+CI920)/2,IF(LEFT(Cockpit!$O$5,1)="B",(CK920+BF920)/2,MAX((CK920+BF920)/2,H920))))</f>
        <v>1353</v>
      </c>
      <c r="BE920" s="50" t="n">
        <f aca="false">BD920*G920</f>
        <v>27.06</v>
      </c>
      <c r="BF920" s="50" t="n">
        <f aca="false">ROUNDUP(CK920+MAX(CL920,2*(J920/IF(CG920&gt;0,CG920,MAX(0.1,N(Cockpit!$O$6)))-CK920)),0)</f>
        <v>2391</v>
      </c>
      <c r="BG920" s="51" t="n">
        <f aca="false">IF(BC920&gt;0,J920/BC920,-1)</f>
        <v>907.81935483871</v>
      </c>
      <c r="BH920" s="51" t="n">
        <f aca="false">IF(AND(OR(CF920="L1",CF920="L23",CF920="LIFT"),BC920&gt;0),SUMIFS($BC$7:$BC$1843,$CF$7:$CF$1843,CF920,$BG$7:$BG$1843,"&gt;"&amp;BG920)+SUMIFS($BC$7:$BC$1843,$CF$7:$CF$1843,CF920,$BG$7:$BG$1843,BG920,$BW$7:$BW$1843,"&lt;="&amp;BW920),"")</f>
        <v>17.5013736263736</v>
      </c>
      <c r="BI920" s="58" t="n">
        <f aca="false">IF(BH920="",0,MAX(0,MIN(1,(IF(CF920="L1",Parameter!$H$5,IF(CF920="L23",Parameter!$H$6+Parameter!$H$7,Parameter!$H$5+Parameter!$H$6+Parameter!$H$7))-(BH920-BC920))/BC920)))</f>
        <v>1</v>
      </c>
      <c r="BJ920" s="48" t="str">
        <f aca="false">IF(AI920&lt;=0,"",IF(CF920="Aussen","Aussenlager",IF(CF920="-","Nicht im Lift",IF(AO920&gt;=1,"Lift",IF(AO920&lt;=0,"Aussenlager","teilweise")))))</f>
        <v>Lift</v>
      </c>
      <c r="BK920" s="48" t="str">
        <f aca="false">IF(AS920&lt;=0,"",IF(CF920="Aussen","Aussenlager",IF(CF920="-","Nicht im Lift",IF(AY920&gt;=1,"Lift",IF(AY920&lt;=0,"Aussenlager","teilweise")))))</f>
        <v>Lift</v>
      </c>
      <c r="BL920" s="48" t="str">
        <f aca="false">IF(BC920&lt;=0,"",IF(CF920="Aussen","Aussenlager",IF(CF920="-","Nicht im Lift",IF(BI920&gt;=1,"Lift",IF(BI920&lt;=0,"Aussenlager","teilweise")))))</f>
        <v>Lift</v>
      </c>
      <c r="BM920" s="48" t="str">
        <f aca="false">IF(A920="","",IF(BV920=1,"Neu; ","")&amp;IF(AND(BV920=0,BQ920&lt;0),"negativer Bestand (Export "&amp;BQ920&amp;"); ","")&amp;IF(J920&lt;=0,"Kein Verbrauch; ","")&amp;IF(CQ920&gt;0,"Lift "&amp;W920&amp;" lt. Liftbericht (Fach "&amp;X920&amp;" Stk); ",IF(CA920=1,"Gebinde geschätzt ("&amp;T920&amp;"); ",IF(BZ920=1,"Lose – Tablare geschätzt; ","")))&amp;IF(H920&gt;AV920,"Überbestand "&amp;ROUND(H920-AV920,0)&amp;" Stk / CHF "&amp;ROUND((H920-AV920)*G920,0)&amp;"; ","")&amp;IF(AND(CH920=1,CI920&lt;CJ920),"MAX &lt; MB+LG; ","")&amp;IF(AND(CP920&gt;0,CO920*10&gt;CP920),"zu hoch für Tablar; ","")&amp;IF(AND(BV920=0,OR(CH920=1,AA920&lt;&gt;"",U920&lt;&gt;"",V920&lt;&gt;"",AB920&lt;&gt;"")),"manuell übersteuert; ","")&amp;IF(AND(BZ920=0,R920=0),"Gebinde unbekannt / Stellmass fehlt; ","")&amp;IF(AND(BZ920=0,N(V920)&lt;=0,N(Q920)&lt;=0),"Menge pro Gebinde fehlt (Ist = 1 Gebinde); ","")&amp;BU920)</f>
        <v>negativer Bestand (Export -2198); </v>
      </c>
      <c r="BN920" s="48"/>
      <c r="BO920" s="48"/>
      <c r="BP920" s="55"/>
      <c r="BQ920" s="50" t="n">
        <v>-2198</v>
      </c>
      <c r="BR920" s="50" t="n">
        <v>2893</v>
      </c>
      <c r="BS920" s="49" t="n">
        <v>-43.96</v>
      </c>
      <c r="BT920" s="50" t="n">
        <v>5412</v>
      </c>
      <c r="BU920" s="48"/>
      <c r="BV920" s="53" t="n">
        <v>0</v>
      </c>
      <c r="BW920" s="53" t="n">
        <v>920</v>
      </c>
      <c r="BX920" s="48" t="str">
        <f aca="false">IF(U920&lt;&gt;"",UPPER(TRIM(U920)),IF(CA920=1,UPPER(VLOOKUP(T920,Parameter!$I$27:$K$29,2,0)),IF(P920="","LOSE",P920)))</f>
        <v>S51</v>
      </c>
      <c r="BY920" s="50" t="n">
        <f aca="false">IF(BX920="LOSE",1,IF(N(V920)&gt;0,V920,IF(CA920=1,MAX(1,N(VLOOKUP(T920,Parameter!$I$27:$K$29,3,0)),H920,N(N920)),IF(N(Q920)&gt;0,Q920,MAX(1,H920)))))</f>
        <v>2951</v>
      </c>
      <c r="BZ920" s="53" t="n">
        <f aca="false">IF(BX920="LOSE",1,0)</f>
        <v>0</v>
      </c>
      <c r="CA920" s="53" t="n">
        <f aca="false">IF(AND(U920="",OR(P920="",P920="LOSE"),T920&lt;&gt;"",N(S920)&lt;=0,ISNUMBER(MATCH(T920,Parameter!$I$27:$I$29,0))),1,0)</f>
        <v>0</v>
      </c>
      <c r="CB920" s="53" t="n">
        <f aca="false">IF(CQ920&gt;0,INDEX(Parameter!$H$5:$H$7,W920)/INDEX(Parameter!$E$5:$E$7,W920),IF(AND(BZ920=0,N(IFERROR(VLOOKUP(BX920,'Gebinde-Kategorie'!$A$5:$N$45,14,0),0))&gt;0),VLOOKUP(BX920,'Gebinde-Kategorie'!$A$5:$N$45,14,0)*10+Parameter!$M$23,Parameter!$M$24))</f>
        <v>155</v>
      </c>
      <c r="CC920" s="48" t="str">
        <f aca="false">IF(AND(Parameter!$B$19="Ja",E920&lt;&gt;"",ISNUMBER(MATCH(E920,Parameter!$I$35:$I$52,0))),VLOOKUP(E920,Parameter!$I$35:$J$52,2,0),IFERROR(VLOOKUP(D920,Parameter!$A$35:$C$64,2,0),"Nein"))</f>
        <v>2+3</v>
      </c>
      <c r="CD920" s="52" t="n">
        <f aca="false">IF(BZ920=0,0,IF(N(S920)&gt;0,S920,IFERROR(VLOOKUP(D920,Parameter!$A$35:$C$64,3,0)+0,0)))</f>
        <v>0</v>
      </c>
      <c r="CE920" s="48" t="n">
        <f aca="false">IF(AA920&lt;&gt;"",AA920,Z920)</f>
        <v>3</v>
      </c>
      <c r="CF920" s="48" t="str">
        <f aca="false">IF(OR(CE920=1,CE920=2,CE920=3),IF(Parameter!$E$27="Ja","LIFT",IF(CE920=1,"L1","L23")),IF(CE920="Aussen","Aussen","-"))</f>
        <v>LIFT</v>
      </c>
      <c r="CG920" s="59" t="n">
        <f aca="false">IF(N(AB920)&gt;0,AB920,0)</f>
        <v>0</v>
      </c>
      <c r="CH920" s="53" t="n">
        <f aca="false">IF(ISNUMBER(AE920),1,0)</f>
        <v>0</v>
      </c>
      <c r="CI920" s="50" t="n">
        <f aca="false">N(AE920)</f>
        <v>0</v>
      </c>
      <c r="CJ920" s="50" t="n">
        <f aca="false">N(M920)+N(N920)</f>
        <v>2315</v>
      </c>
      <c r="CK920" s="50" t="n">
        <f aca="false">N(M920)</f>
        <v>315</v>
      </c>
      <c r="CL920" s="50" t="n">
        <f aca="false">N(N920)</f>
        <v>2000</v>
      </c>
      <c r="CM920" s="50" t="n">
        <f aca="false">ROUNDUP(H920/BY920,0)</f>
        <v>1</v>
      </c>
      <c r="CN920" s="50" t="n">
        <f aca="false">ROUNDUP(CI920/BY920,0)</f>
        <v>0</v>
      </c>
      <c r="CO920" s="53" t="n">
        <f aca="false">IF(BZ920=1,0,IFERROR(VLOOKUP(BX920,'Gebinde-Kategorie'!$A$5:$N$45,5,0)+0,0))</f>
        <v>11</v>
      </c>
      <c r="CP920" s="53" t="n">
        <f aca="false">IFERROR(IF(OR(CE920=1,CE920=2,CE920=3),N(INDEX(Parameter!$I$5:$I$7,CE920)),0),0)</f>
        <v>0</v>
      </c>
      <c r="CQ920" s="52" t="n">
        <f aca="false">IF(AND(Parameter!$B$21="Ja",ISNUMBER(W920),N(X920)&gt;0),IFERROR(N(INDEX(Parameter!$L$5:$L$7,W920))*INDEX(Parameter!$E$5:$E$7,W920)*X920/SUMIFS($X$7:$X$1843,$W$7:$W$1843,W920),0),0)</f>
        <v>0</v>
      </c>
    </row>
    <row r="921" customFormat="false" ht="15" hidden="false" customHeight="false" outlineLevel="0" collapsed="false">
      <c r="A921" s="48" t="s">
        <v>1731</v>
      </c>
      <c r="B921" s="48" t="s">
        <v>733</v>
      </c>
      <c r="C921" s="48" t="s">
        <v>173</v>
      </c>
      <c r="D921" s="48" t="s">
        <v>193</v>
      </c>
      <c r="E921" s="48" t="s">
        <v>194</v>
      </c>
      <c r="F921" s="48" t="s">
        <v>227</v>
      </c>
      <c r="G921" s="49" t="n">
        <v>39.78</v>
      </c>
      <c r="H921" s="50" t="n">
        <f aca="false">MAX(0,IF(AND(Parameter!$B$21="Ja",ISNUMBER(Y921)),Y921,IF(Parameter!$B$20="Jahresanfang 2025 + Export",BR921+BQ921,BQ921)))</f>
        <v>10</v>
      </c>
      <c r="I921" s="50" t="n">
        <f aca="false">H921*G921</f>
        <v>397.8</v>
      </c>
      <c r="J921" s="50" t="n">
        <f aca="false">BT921*Parameter!$B$18</f>
        <v>4</v>
      </c>
      <c r="K921" s="51" t="n">
        <v>8</v>
      </c>
      <c r="L921" s="52" t="n">
        <v>0.5</v>
      </c>
      <c r="M921" s="50" t="n">
        <v>0</v>
      </c>
      <c r="N921" s="50" t="n">
        <v>5</v>
      </c>
      <c r="O921" s="53" t="n">
        <v>17</v>
      </c>
      <c r="P921" s="48" t="s">
        <v>430</v>
      </c>
      <c r="Q921" s="50" t="n">
        <v>13</v>
      </c>
      <c r="R921" s="53" t="n">
        <f aca="false">IF(BZ921=1,0,IFERROR(VLOOKUP(BX921,'Gebinde-Kategorie'!$A$5:$N$45,13,0)+0,0))</f>
        <v>104</v>
      </c>
      <c r="S921" s="54"/>
      <c r="T921" s="55"/>
      <c r="U921" s="55"/>
      <c r="V921" s="55"/>
      <c r="W921" s="48"/>
      <c r="X921" s="50"/>
      <c r="Y921" s="50"/>
      <c r="Z921" s="48" t="n">
        <f aca="false">IF(A921="","",IF(AND(Parameter!$B$21="Ja",ISNUMBER(W921)),W921,IF(CC921="2+3",IF(ISNUMBER(SEARCH("grosser Artikel",BU921)),2,IFERROR(VLOOKUP(BX921,Parameter!$F$35:$G$64,2,0),2)),IF(OR(CC921="Nein",CC921=""),"-",CC921))))</f>
        <v>3</v>
      </c>
      <c r="AA921" s="55"/>
      <c r="AB921" s="56"/>
      <c r="AC921" s="50" t="n">
        <f aca="false">AV921</f>
        <v>5</v>
      </c>
      <c r="AD921" s="50" t="n">
        <f aca="false">MAX(AV921,H921)</f>
        <v>10</v>
      </c>
      <c r="AE921" s="57"/>
      <c r="AF921" s="50" t="n">
        <f aca="false">IF(LEFT(Cockpit!$C$5,1)="A",H921,IF(Parameter!$E$30="MAX-Bestand",IF(CH921=1,CI921,IF(LEFT(Cockpit!$C$5,1)="B",AL921,MAX(AL921,H921))),ROUNDUP(AJ921,0)))</f>
        <v>10</v>
      </c>
      <c r="AG921" s="50" t="n">
        <f aca="false">IF(BZ921=1,0,ROUNDUP(AF921/BY921,0))</f>
        <v>1</v>
      </c>
      <c r="AH921" s="52" t="n">
        <f aca="false">IF(CQ921&gt;0,CQ921*MAX(1,AF921/X921),IF(BZ921=1,IF(AF921&lt;=0,0,CD921*MAX(1,IF(H921&gt;0,AF921/H921,1))),IF(R921&gt;0,AG921/R921,0))/MAX(0.1,N(Parameter!$M$21)))</f>
        <v>0.00961538461538462</v>
      </c>
      <c r="AI921" s="50" t="n">
        <f aca="false">AH921*CB921</f>
        <v>1.49038461538462</v>
      </c>
      <c r="AJ921" s="51" t="n">
        <f aca="false">IF(LEFT(Cockpit!$C$5,1)="A",H921,IF(CH921=1,(CK921+CI921)/2,IF(LEFT(Cockpit!$C$5,1)="B",(CK921+AL921)/2,MAX((CK921+AL921)/2,H921))))</f>
        <v>10</v>
      </c>
      <c r="AK921" s="50" t="n">
        <f aca="false">AJ921*G921</f>
        <v>397.8</v>
      </c>
      <c r="AL921" s="50" t="n">
        <f aca="false">ROUNDUP(CK921+MAX(CL921,2*(J921/IF(CG921&gt;0,CG921,MAX(0.1,N(Cockpit!$C$6)))-CK921)),0)</f>
        <v>5</v>
      </c>
      <c r="AM921" s="51" t="n">
        <f aca="false">IF(AI921&gt;0,J921/AI921,-1)</f>
        <v>2.68387096774194</v>
      </c>
      <c r="AN921" s="51" t="n">
        <f aca="false">IF(AND(OR(CF921="L1",CF921="L23",CF921="LIFT"),AI921&gt;0),SUMIFS($AI$7:$AI$1843,$CF$7:$CF$1843,CF921,$AM$7:$AM$1843,"&gt;"&amp;AM921)+SUMIFS($AI$7:$AI$1843,$CF$7:$CF$1843,CF921,$AM$7:$AM$1843,AM921,$BW$7:$BW$1843,"&lt;="&amp;BW921),"")</f>
        <v>5332.40018315018</v>
      </c>
      <c r="AO921" s="58" t="n">
        <f aca="false">IF(AN921="",0,MAX(0,MIN(1,(IF(CF921="L1",Parameter!$H$5,IF(CF921="L23",Parameter!$H$6+Parameter!$H$7,Parameter!$H$5+Parameter!$H$6+Parameter!$H$7))-(AN921-AI921))/AI921)))</f>
        <v>1</v>
      </c>
      <c r="AP921" s="50" t="n">
        <f aca="false">IF(LEFT(Cockpit!$I$5,1)="A",H921,IF(Parameter!$E$30="MAX-Bestand",IF(CH921=1,CI921,IF(LEFT(Cockpit!$I$5,1)="B",AV921,MAX(AV921,H921))),ROUNDUP(AT921,0)))</f>
        <v>10</v>
      </c>
      <c r="AQ921" s="50" t="n">
        <f aca="false">IF(BZ921=1,0,ROUNDUP(AP921/BY921,0))</f>
        <v>1</v>
      </c>
      <c r="AR921" s="52" t="n">
        <f aca="false">IF(CQ921&gt;0,CQ921*MAX(1,AP921/X921),IF(BZ921=1,IF(AP921&lt;=0,0,CD921*MAX(1,IF(H921&gt;0,AP921/H921,1))),IF(R921&gt;0,AQ921/R921,0))/MAX(0.1,N(Parameter!$M$21)))</f>
        <v>0.00961538461538462</v>
      </c>
      <c r="AS921" s="50" t="n">
        <f aca="false">AR921*CB921</f>
        <v>1.49038461538462</v>
      </c>
      <c r="AT921" s="51" t="n">
        <f aca="false">IF(LEFT(Cockpit!$I$5,1)="A",H921,IF(CH921=1,(CK921+CI921)/2,IF(LEFT(Cockpit!$I$5,1)="B",(CK921+AV921)/2,MAX((CK921+AV921)/2,H921))))</f>
        <v>10</v>
      </c>
      <c r="AU921" s="50" t="n">
        <f aca="false">AT921*G921</f>
        <v>397.8</v>
      </c>
      <c r="AV921" s="50" t="n">
        <f aca="false">ROUNDUP(CK921+MAX(CL921,2*(J921/IF(CG921&gt;0,CG921,MAX(0.1,N(Cockpit!$I$6)))-CK921)),0)</f>
        <v>5</v>
      </c>
      <c r="AW921" s="51" t="n">
        <f aca="false">IF(AS921&gt;0,J921/AS921,-1)</f>
        <v>2.68387096774194</v>
      </c>
      <c r="AX921" s="51" t="n">
        <f aca="false">IF(AND(OR(CF921="L1",CF921="L23",CF921="LIFT"),AS921&gt;0),SUMIFS($AS$7:$AS$1843,$CF$7:$CF$1843,CF921,$AW$7:$AW$1843,"&gt;"&amp;AW921)+SUMIFS($AS$7:$AS$1843,$CF$7:$CF$1843,CF921,$AW$7:$AW$1843,AW921,$BW$7:$BW$1843,"&lt;="&amp;BW921),"")</f>
        <v>6166.87820512821</v>
      </c>
      <c r="AY921" s="58" t="n">
        <f aca="false">IF(AX921="",0,MAX(0,MIN(1,(IF(CF921="L1",Parameter!$H$5,IF(CF921="L23",Parameter!$H$6+Parameter!$H$7,Parameter!$H$5+Parameter!$H$6+Parameter!$H$7))-(AX921-AS921))/AS921)))</f>
        <v>1</v>
      </c>
      <c r="AZ921" s="50" t="n">
        <f aca="false">IF(LEFT(Cockpit!$O$5,1)="A",H921,IF(Parameter!$E$30="MAX-Bestand",IF(CH921=1,CI921,IF(LEFT(Cockpit!$O$5,1)="B",BF921,MAX(BF921,H921))),ROUNDUP(BD921,0)))</f>
        <v>3</v>
      </c>
      <c r="BA921" s="50" t="n">
        <f aca="false">IF(BZ921=1,0,ROUNDUP(AZ921/BY921,0))</f>
        <v>1</v>
      </c>
      <c r="BB921" s="52" t="n">
        <f aca="false">IF(CQ921&gt;0,CQ921*MAX(1,AZ921/X921),IF(BZ921=1,IF(AZ921&lt;=0,0,CD921*MAX(1,IF(H921&gt;0,AZ921/H921,1))),IF(R921&gt;0,BA921/R921,0))/MAX(0.1,N(Parameter!$M$21)))</f>
        <v>0.00961538461538462</v>
      </c>
      <c r="BC921" s="50" t="n">
        <f aca="false">BB921*CB921</f>
        <v>1.49038461538462</v>
      </c>
      <c r="BD921" s="51" t="n">
        <f aca="false">IF(LEFT(Cockpit!$O$5,1)="A",H921,IF(CH921=1,(CK921+CI921)/2,IF(LEFT(Cockpit!$O$5,1)="B",(CK921+BF921)/2,MAX((CK921+BF921)/2,H921))))</f>
        <v>2.5</v>
      </c>
      <c r="BE921" s="50" t="n">
        <f aca="false">BD921*G921</f>
        <v>99.45</v>
      </c>
      <c r="BF921" s="50" t="n">
        <f aca="false">ROUNDUP(CK921+MAX(CL921,2*(J921/IF(CG921&gt;0,CG921,MAX(0.1,N(Cockpit!$O$6)))-CK921)),0)</f>
        <v>5</v>
      </c>
      <c r="BG921" s="51" t="n">
        <f aca="false">IF(BC921&gt;0,J921/BC921,-1)</f>
        <v>2.68387096774194</v>
      </c>
      <c r="BH921" s="51" t="n">
        <f aca="false">IF(AND(OR(CF921="L1",CF921="L23",CF921="LIFT"),BC921&gt;0),SUMIFS($BC$7:$BC$1843,$CF$7:$CF$1843,CF921,$BG$7:$BG$1843,"&gt;"&amp;BG921)+SUMIFS($BC$7:$BC$1843,$CF$7:$CF$1843,CF921,$BG$7:$BG$1843,BG921,$BW$7:$BW$1843,"&lt;="&amp;BW921),"")</f>
        <v>5344.93269230769</v>
      </c>
      <c r="BI921" s="58" t="n">
        <f aca="false">IF(BH921="",0,MAX(0,MIN(1,(IF(CF921="L1",Parameter!$H$5,IF(CF921="L23",Parameter!$H$6+Parameter!$H$7,Parameter!$H$5+Parameter!$H$6+Parameter!$H$7))-(BH921-BC921))/BC921)))</f>
        <v>1</v>
      </c>
      <c r="BJ921" s="48" t="str">
        <f aca="false">IF(AI921&lt;=0,"",IF(CF921="Aussen","Aussenlager",IF(CF921="-","Nicht im Lift",IF(AO921&gt;=1,"Lift",IF(AO921&lt;=0,"Aussenlager","teilweise")))))</f>
        <v>Lift</v>
      </c>
      <c r="BK921" s="48" t="str">
        <f aca="false">IF(AS921&lt;=0,"",IF(CF921="Aussen","Aussenlager",IF(CF921="-","Nicht im Lift",IF(AY921&gt;=1,"Lift",IF(AY921&lt;=0,"Aussenlager","teilweise")))))</f>
        <v>Lift</v>
      </c>
      <c r="BL921" s="48" t="str">
        <f aca="false">IF(BC921&lt;=0,"",IF(CF921="Aussen","Aussenlager",IF(CF921="-","Nicht im Lift",IF(BI921&gt;=1,"Lift",IF(BI921&lt;=0,"Aussenlager","teilweise")))))</f>
        <v>Lift</v>
      </c>
      <c r="BM921" s="48" t="str">
        <f aca="false">IF(A921="","",IF(BV921=1,"Neu; ","")&amp;IF(AND(BV921=0,BQ921&lt;0),"negativer Bestand (Export "&amp;BQ921&amp;"); ","")&amp;IF(J921&lt;=0,"Kein Verbrauch; ","")&amp;IF(CQ921&gt;0,"Lift "&amp;W921&amp;" lt. Liftbericht (Fach "&amp;X921&amp;" Stk); ",IF(CA921=1,"Gebinde geschätzt ("&amp;T921&amp;"); ",IF(BZ921=1,"Lose – Tablare geschätzt; ","")))&amp;IF(H921&gt;AV921,"Überbestand "&amp;ROUND(H921-AV921,0)&amp;" Stk / CHF "&amp;ROUND((H921-AV921)*G921,0)&amp;"; ","")&amp;IF(AND(CH921=1,CI921&lt;CJ921),"MAX &lt; MB+LG; ","")&amp;IF(AND(CP921&gt;0,CO921*10&gt;CP921),"zu hoch für Tablar; ","")&amp;IF(AND(BV921=0,OR(CH921=1,AA921&lt;&gt;"",U921&lt;&gt;"",V921&lt;&gt;"",AB921&lt;&gt;"")),"manuell übersteuert; ","")&amp;IF(AND(BZ921=0,R921=0),"Gebinde unbekannt / Stellmass fehlt; ","")&amp;IF(AND(BZ921=0,N(V921)&lt;=0,N(Q921)&lt;=0),"Menge pro Gebinde fehlt (Ist = 1 Gebinde); ","")&amp;BU921)</f>
        <v>Überbestand 5 Stk / CHF 199; </v>
      </c>
      <c r="BN921" s="48"/>
      <c r="BO921" s="48"/>
      <c r="BP921" s="55"/>
      <c r="BQ921" s="50" t="n">
        <v>0</v>
      </c>
      <c r="BR921" s="50" t="n">
        <v>10</v>
      </c>
      <c r="BS921" s="49" t="n">
        <v>-44.0000000000001</v>
      </c>
      <c r="BT921" s="50" t="n">
        <v>4</v>
      </c>
      <c r="BU921" s="48"/>
      <c r="BV921" s="53" t="n">
        <v>0</v>
      </c>
      <c r="BW921" s="53" t="n">
        <v>921</v>
      </c>
      <c r="BX921" s="48" t="str">
        <f aca="false">IF(U921&lt;&gt;"",UPPER(TRIM(U921)),IF(CA921=1,UPPER(VLOOKUP(T921,Parameter!$I$27:$K$29,2,0)),IF(P921="","LOSE",P921)))</f>
        <v>S32</v>
      </c>
      <c r="BY921" s="50" t="n">
        <f aca="false">IF(BX921="LOSE",1,IF(N(V921)&gt;0,V921,IF(CA921=1,MAX(1,N(VLOOKUP(T921,Parameter!$I$27:$K$29,3,0)),H921,N(N921)),IF(N(Q921)&gt;0,Q921,MAX(1,H921)))))</f>
        <v>13</v>
      </c>
      <c r="BZ921" s="53" t="n">
        <f aca="false">IF(BX921="LOSE",1,0)</f>
        <v>0</v>
      </c>
      <c r="CA921" s="53" t="n">
        <f aca="false">IF(AND(U921="",OR(P921="",P921="LOSE"),T921&lt;&gt;"",N(S921)&lt;=0,ISNUMBER(MATCH(T921,Parameter!$I$27:$I$29,0))),1,0)</f>
        <v>0</v>
      </c>
      <c r="CB921" s="53" t="n">
        <f aca="false">IF(CQ921&gt;0,INDEX(Parameter!$H$5:$H$7,W921)/INDEX(Parameter!$E$5:$E$7,W921),IF(AND(BZ921=0,N(IFERROR(VLOOKUP(BX921,'Gebinde-Kategorie'!$A$5:$N$45,14,0),0))&gt;0),VLOOKUP(BX921,'Gebinde-Kategorie'!$A$5:$N$45,14,0)*10+Parameter!$M$23,Parameter!$M$24))</f>
        <v>155</v>
      </c>
      <c r="CC921" s="48" t="str">
        <f aca="false">IF(AND(Parameter!$B$19="Ja",E921&lt;&gt;"",ISNUMBER(MATCH(E921,Parameter!$I$35:$I$52,0))),VLOOKUP(E921,Parameter!$I$35:$J$52,2,0),IFERROR(VLOOKUP(D921,Parameter!$A$35:$C$64,2,0),"Nein"))</f>
        <v>2+3</v>
      </c>
      <c r="CD921" s="52" t="n">
        <f aca="false">IF(BZ921=0,0,IF(N(S921)&gt;0,S921,IFERROR(VLOOKUP(D921,Parameter!$A$35:$C$64,3,0)+0,0)))</f>
        <v>0</v>
      </c>
      <c r="CE921" s="48" t="n">
        <f aca="false">IF(AA921&lt;&gt;"",AA921,Z921)</f>
        <v>3</v>
      </c>
      <c r="CF921" s="48" t="str">
        <f aca="false">IF(OR(CE921=1,CE921=2,CE921=3),IF(Parameter!$E$27="Ja","LIFT",IF(CE921=1,"L1","L23")),IF(CE921="Aussen","Aussen","-"))</f>
        <v>LIFT</v>
      </c>
      <c r="CG921" s="59" t="n">
        <f aca="false">IF(N(AB921)&gt;0,AB921,0)</f>
        <v>0</v>
      </c>
      <c r="CH921" s="53" t="n">
        <f aca="false">IF(ISNUMBER(AE921),1,0)</f>
        <v>0</v>
      </c>
      <c r="CI921" s="50" t="n">
        <f aca="false">N(AE921)</f>
        <v>0</v>
      </c>
      <c r="CJ921" s="50" t="n">
        <f aca="false">N(M921)+N(N921)</f>
        <v>5</v>
      </c>
      <c r="CK921" s="50" t="n">
        <f aca="false">N(M921)</f>
        <v>0</v>
      </c>
      <c r="CL921" s="50" t="n">
        <f aca="false">N(N921)</f>
        <v>5</v>
      </c>
      <c r="CM921" s="50" t="n">
        <f aca="false">ROUNDUP(H921/BY921,0)</f>
        <v>1</v>
      </c>
      <c r="CN921" s="50" t="n">
        <f aca="false">ROUNDUP(CI921/BY921,0)</f>
        <v>0</v>
      </c>
      <c r="CO921" s="53" t="n">
        <f aca="false">IF(BZ921=1,0,IFERROR(VLOOKUP(BX921,'Gebinde-Kategorie'!$A$5:$N$45,5,0)+0,0))</f>
        <v>8</v>
      </c>
      <c r="CP921" s="53" t="n">
        <f aca="false">IFERROR(IF(OR(CE921=1,CE921=2,CE921=3),N(INDEX(Parameter!$I$5:$I$7,CE921)),0),0)</f>
        <v>0</v>
      </c>
      <c r="CQ921" s="52" t="n">
        <f aca="false">IF(AND(Parameter!$B$21="Ja",ISNUMBER(W921),N(X921)&gt;0),IFERROR(N(INDEX(Parameter!$L$5:$L$7,W921))*INDEX(Parameter!$E$5:$E$7,W921)*X921/SUMIFS($X$7:$X$1843,$W$7:$W$1843,W921),0),0)</f>
        <v>0</v>
      </c>
    </row>
    <row r="922" customFormat="false" ht="15" hidden="false" customHeight="false" outlineLevel="0" collapsed="false">
      <c r="A922" s="48" t="s">
        <v>1732</v>
      </c>
      <c r="B922" s="48" t="s">
        <v>1563</v>
      </c>
      <c r="C922" s="48" t="s">
        <v>173</v>
      </c>
      <c r="D922" s="48" t="s">
        <v>182</v>
      </c>
      <c r="E922" s="48" t="s">
        <v>474</v>
      </c>
      <c r="F922" s="48" t="s">
        <v>227</v>
      </c>
      <c r="G922" s="49" t="n">
        <v>0.75</v>
      </c>
      <c r="H922" s="50" t="n">
        <f aca="false">MAX(0,IF(AND(Parameter!$B$21="Ja",ISNUMBER(Y922)),Y922,IF(Parameter!$B$20="Jahresanfang 2025 + Export",BR922+BQ922,BQ922)))</f>
        <v>71</v>
      </c>
      <c r="I922" s="50" t="n">
        <f aca="false">H922*G922</f>
        <v>53.25</v>
      </c>
      <c r="J922" s="50" t="n">
        <f aca="false">BT922*Parameter!$B$18</f>
        <v>463</v>
      </c>
      <c r="K922" s="51" t="n">
        <v>115.5</v>
      </c>
      <c r="L922" s="52" t="n">
        <v>4.00865800865801</v>
      </c>
      <c r="M922" s="50" t="n">
        <v>27</v>
      </c>
      <c r="N922" s="50" t="n">
        <v>100</v>
      </c>
      <c r="O922" s="53" t="n">
        <v>21</v>
      </c>
      <c r="P922" s="48" t="s">
        <v>177</v>
      </c>
      <c r="Q922" s="50"/>
      <c r="R922" s="53" t="n">
        <f aca="false">IF(BZ922=1,0,IFERROR(VLOOKUP(BX922,'Gebinde-Kategorie'!$A$5:$N$45,13,0)+0,0))</f>
        <v>4</v>
      </c>
      <c r="S922" s="54"/>
      <c r="T922" s="55" t="s">
        <v>198</v>
      </c>
      <c r="U922" s="55"/>
      <c r="V922" s="55"/>
      <c r="W922" s="48"/>
      <c r="X922" s="50"/>
      <c r="Y922" s="50"/>
      <c r="Z922" s="48" t="str">
        <f aca="false">IF(A922="","",IF(AND(Parameter!$B$21="Ja",ISNUMBER(W922)),W922,IF(CC922="2+3",IF(ISNUMBER(SEARCH("grosser Artikel",BU922)),2,IFERROR(VLOOKUP(BX922,Parameter!$F$35:$G$64,2,0),2)),IF(OR(CC922="Nein",CC922=""),"-",CC922))))</f>
        <v>-</v>
      </c>
      <c r="AA922" s="55"/>
      <c r="AB922" s="56"/>
      <c r="AC922" s="50" t="n">
        <f aca="false">AV922</f>
        <v>282</v>
      </c>
      <c r="AD922" s="50" t="n">
        <f aca="false">MAX(AV922,H922)</f>
        <v>282</v>
      </c>
      <c r="AE922" s="57"/>
      <c r="AF922" s="50" t="n">
        <f aca="false">IF(LEFT(Cockpit!$C$5,1)="A",H922,IF(Parameter!$E$30="MAX-Bestand",IF(CH922=1,CI922,IF(LEFT(Cockpit!$C$5,1)="B",AL922,MAX(AL922,H922))),ROUNDUP(AJ922,0)))</f>
        <v>71</v>
      </c>
      <c r="AG922" s="50" t="n">
        <f aca="false">IF(BZ922=1,0,ROUNDUP(AF922/BY922,0))</f>
        <v>1</v>
      </c>
      <c r="AH922" s="52" t="n">
        <f aca="false">IF(CQ922&gt;0,CQ922*MAX(1,AF922/X922),IF(BZ922=1,IF(AF922&lt;=0,0,CD922*MAX(1,IF(H922&gt;0,AF922/H922,1))),IF(R922&gt;0,AG922/R922,0))/MAX(0.1,N(Parameter!$M$21)))</f>
        <v>0.25</v>
      </c>
      <c r="AI922" s="50" t="n">
        <f aca="false">AH922*CB922</f>
        <v>58.75</v>
      </c>
      <c r="AJ922" s="51" t="n">
        <f aca="false">IF(LEFT(Cockpit!$C$5,1)="A",H922,IF(CH922=1,(CK922+CI922)/2,IF(LEFT(Cockpit!$C$5,1)="B",(CK922+AL922)/2,MAX((CK922+AL922)/2,H922))))</f>
        <v>71</v>
      </c>
      <c r="AK922" s="50" t="n">
        <f aca="false">AJ922*G922</f>
        <v>53.25</v>
      </c>
      <c r="AL922" s="50" t="n">
        <f aca="false">ROUNDUP(CK922+MAX(CL922,2*(J922/IF(CG922&gt;0,CG922,MAX(0.1,N(Cockpit!$C$6)))-CK922)),0)</f>
        <v>282</v>
      </c>
      <c r="AM922" s="51" t="n">
        <f aca="false">IF(AI922&gt;0,J922/AI922,-1)</f>
        <v>7.88085106382979</v>
      </c>
      <c r="AN922" s="51" t="str">
        <f aca="false">IF(AND(OR(CF922="L1",CF922="L23",CF922="LIFT"),AI922&gt;0),SUMIFS($AI$7:$AI$1843,$CF$7:$CF$1843,CF922,$AM$7:$AM$1843,"&gt;"&amp;AM922)+SUMIFS($AI$7:$AI$1843,$CF$7:$CF$1843,CF922,$AM$7:$AM$1843,AM922,$BW$7:$BW$1843,"&lt;="&amp;BW922),"")</f>
        <v/>
      </c>
      <c r="AO922" s="58" t="n">
        <f aca="false">IF(AN922="",0,MAX(0,MIN(1,(IF(CF922="L1",Parameter!$H$5,IF(CF922="L23",Parameter!$H$6+Parameter!$H$7,Parameter!$H$5+Parameter!$H$6+Parameter!$H$7))-(AN922-AI922))/AI922)))</f>
        <v>0</v>
      </c>
      <c r="AP922" s="50" t="n">
        <f aca="false">IF(LEFT(Cockpit!$I$5,1)="A",H922,IF(Parameter!$E$30="MAX-Bestand",IF(CH922=1,CI922,IF(LEFT(Cockpit!$I$5,1)="B",AV922,MAX(AV922,H922))),ROUNDUP(AT922,0)))</f>
        <v>155</v>
      </c>
      <c r="AQ922" s="50" t="n">
        <f aca="false">IF(BZ922=1,0,ROUNDUP(AP922/BY922,0))</f>
        <v>2</v>
      </c>
      <c r="AR922" s="52" t="n">
        <f aca="false">IF(CQ922&gt;0,CQ922*MAX(1,AP922/X922),IF(BZ922=1,IF(AP922&lt;=0,0,CD922*MAX(1,IF(H922&gt;0,AP922/H922,1))),IF(R922&gt;0,AQ922/R922,0))/MAX(0.1,N(Parameter!$M$21)))</f>
        <v>0.5</v>
      </c>
      <c r="AS922" s="50" t="n">
        <f aca="false">AR922*CB922</f>
        <v>117.5</v>
      </c>
      <c r="AT922" s="51" t="n">
        <f aca="false">IF(LEFT(Cockpit!$I$5,1)="A",H922,IF(CH922=1,(CK922+CI922)/2,IF(LEFT(Cockpit!$I$5,1)="B",(CK922+AV922)/2,MAX((CK922+AV922)/2,H922))))</f>
        <v>154.5</v>
      </c>
      <c r="AU922" s="50" t="n">
        <f aca="false">AT922*G922</f>
        <v>115.875</v>
      </c>
      <c r="AV922" s="50" t="n">
        <f aca="false">ROUNDUP(CK922+MAX(CL922,2*(J922/IF(CG922&gt;0,CG922,MAX(0.1,N(Cockpit!$I$6)))-CK922)),0)</f>
        <v>282</v>
      </c>
      <c r="AW922" s="51" t="n">
        <f aca="false">IF(AS922&gt;0,J922/AS922,-1)</f>
        <v>3.94042553191489</v>
      </c>
      <c r="AX922" s="51" t="str">
        <f aca="false">IF(AND(OR(CF922="L1",CF922="L23",CF922="LIFT"),AS922&gt;0),SUMIFS($AS$7:$AS$1843,$CF$7:$CF$1843,CF922,$AW$7:$AW$1843,"&gt;"&amp;AW922)+SUMIFS($AS$7:$AS$1843,$CF$7:$CF$1843,CF922,$AW$7:$AW$1843,AW922,$BW$7:$BW$1843,"&lt;="&amp;BW922),"")</f>
        <v/>
      </c>
      <c r="AY922" s="58" t="n">
        <f aca="false">IF(AX922="",0,MAX(0,MIN(1,(IF(CF922="L1",Parameter!$H$5,IF(CF922="L23",Parameter!$H$6+Parameter!$H$7,Parameter!$H$5+Parameter!$H$6+Parameter!$H$7))-(AX922-AS922))/AS922)))</f>
        <v>0</v>
      </c>
      <c r="AZ922" s="50" t="n">
        <f aca="false">IF(LEFT(Cockpit!$O$5,1)="A",H922,IF(Parameter!$E$30="MAX-Bestand",IF(CH922=1,CI922,IF(LEFT(Cockpit!$O$5,1)="B",BF922,MAX(BF922,H922))),ROUNDUP(BD922,0)))</f>
        <v>116</v>
      </c>
      <c r="BA922" s="50" t="n">
        <f aca="false">IF(BZ922=1,0,ROUNDUP(AZ922/BY922,0))</f>
        <v>2</v>
      </c>
      <c r="BB922" s="52" t="n">
        <f aca="false">IF(CQ922&gt;0,CQ922*MAX(1,AZ922/X922),IF(BZ922=1,IF(AZ922&lt;=0,0,CD922*MAX(1,IF(H922&gt;0,AZ922/H922,1))),IF(R922&gt;0,BA922/R922,0))/MAX(0.1,N(Parameter!$M$21)))</f>
        <v>0.5</v>
      </c>
      <c r="BC922" s="50" t="n">
        <f aca="false">BB922*CB922</f>
        <v>117.5</v>
      </c>
      <c r="BD922" s="51" t="n">
        <f aca="false">IF(LEFT(Cockpit!$O$5,1)="A",H922,IF(CH922=1,(CK922+CI922)/2,IF(LEFT(Cockpit!$O$5,1)="B",(CK922+BF922)/2,MAX((CK922+BF922)/2,H922))))</f>
        <v>116</v>
      </c>
      <c r="BE922" s="50" t="n">
        <f aca="false">BD922*G922</f>
        <v>87</v>
      </c>
      <c r="BF922" s="50" t="n">
        <f aca="false">ROUNDUP(CK922+MAX(CL922,2*(J922/IF(CG922&gt;0,CG922,MAX(0.1,N(Cockpit!$O$6)))-CK922)),0)</f>
        <v>205</v>
      </c>
      <c r="BG922" s="51" t="n">
        <f aca="false">IF(BC922&gt;0,J922/BC922,-1)</f>
        <v>3.94042553191489</v>
      </c>
      <c r="BH922" s="51" t="str">
        <f aca="false">IF(AND(OR(CF922="L1",CF922="L23",CF922="LIFT"),BC922&gt;0),SUMIFS($BC$7:$BC$1843,$CF$7:$CF$1843,CF922,$BG$7:$BG$1843,"&gt;"&amp;BG922)+SUMIFS($BC$7:$BC$1843,$CF$7:$CF$1843,CF922,$BG$7:$BG$1843,BG922,$BW$7:$BW$1843,"&lt;="&amp;BW922),"")</f>
        <v/>
      </c>
      <c r="BI922" s="58" t="n">
        <f aca="false">IF(BH922="",0,MAX(0,MIN(1,(IF(CF922="L1",Parameter!$H$5,IF(CF922="L23",Parameter!$H$6+Parameter!$H$7,Parameter!$H$5+Parameter!$H$6+Parameter!$H$7))-(BH922-BC922))/BC922)))</f>
        <v>0</v>
      </c>
      <c r="BJ922" s="48" t="str">
        <f aca="false">IF(AI922&lt;=0,"",IF(CF922="Aussen","Aussenlager",IF(CF922="-","Nicht im Lift",IF(AO922&gt;=1,"Lift",IF(AO922&lt;=0,"Aussenlager","teilweise")))))</f>
        <v>Nicht im Lift</v>
      </c>
      <c r="BK922" s="48" t="str">
        <f aca="false">IF(AS922&lt;=0,"",IF(CF922="Aussen","Aussenlager",IF(CF922="-","Nicht im Lift",IF(AY922&gt;=1,"Lift",IF(AY922&lt;=0,"Aussenlager","teilweise")))))</f>
        <v>Nicht im Lift</v>
      </c>
      <c r="BL922" s="48" t="str">
        <f aca="false">IF(BC922&lt;=0,"",IF(CF922="Aussen","Aussenlager",IF(CF922="-","Nicht im Lift",IF(BI922&gt;=1,"Lift",IF(BI922&lt;=0,"Aussenlager","teilweise")))))</f>
        <v>Nicht im Lift</v>
      </c>
      <c r="BM922" s="48" t="str">
        <f aca="false">IF(A922="","",IF(BV922=1,"Neu; ","")&amp;IF(AND(BV922=0,BQ922&lt;0),"negativer Bestand (Export "&amp;BQ922&amp;"); ","")&amp;IF(J922&lt;=0,"Kein Verbrauch; ","")&amp;IF(CQ922&gt;0,"Lift "&amp;W922&amp;" lt. Liftbericht (Fach "&amp;X922&amp;" Stk); ",IF(CA922=1,"Gebinde geschätzt ("&amp;T922&amp;"); ",IF(BZ922=1,"Lose – Tablare geschätzt; ","")))&amp;IF(H922&gt;AV922,"Überbestand "&amp;ROUND(H922-AV922,0)&amp;" Stk / CHF "&amp;ROUND((H922-AV922)*G922,0)&amp;"; ","")&amp;IF(AND(CH922=1,CI922&lt;CJ922),"MAX &lt; MB+LG; ","")&amp;IF(AND(CP922&gt;0,CO922*10&gt;CP922),"zu hoch für Tablar; ","")&amp;IF(AND(BV922=0,OR(CH922=1,AA922&lt;&gt;"",U922&lt;&gt;"",V922&lt;&gt;"",AB922&lt;&gt;"")),"manuell übersteuert; ","")&amp;IF(AND(BZ922=0,R922=0),"Gebinde unbekannt / Stellmass fehlt; ","")&amp;IF(AND(BZ922=0,N(V922)&lt;=0,N(Q922)&lt;=0),"Menge pro Gebinde fehlt (Ist = 1 Gebinde); ","")&amp;BU922)</f>
        <v>negativer Bestand (Export -86); Gebinde geschätzt (Gross); Menge pro Gebinde fehlt (Ist = 1 Gebinde); </v>
      </c>
      <c r="BN922" s="48"/>
      <c r="BO922" s="48"/>
      <c r="BP922" s="55"/>
      <c r="BQ922" s="50" t="n">
        <v>-86</v>
      </c>
      <c r="BR922" s="50" t="n">
        <v>157</v>
      </c>
      <c r="BS922" s="49" t="n">
        <v>-44.09</v>
      </c>
      <c r="BT922" s="50" t="n">
        <v>463</v>
      </c>
      <c r="BU922" s="48"/>
      <c r="BV922" s="53" t="n">
        <v>0</v>
      </c>
      <c r="BW922" s="53" t="n">
        <v>922</v>
      </c>
      <c r="BX922" s="48" t="str">
        <f aca="false">IF(U922&lt;&gt;"",UPPER(TRIM(U922)),IF(CA922=1,UPPER(VLOOKUP(T922,Parameter!$I$27:$K$29,2,0)),IF(P922="","LOSE",P922)))</f>
        <v>S81</v>
      </c>
      <c r="BY922" s="50" t="n">
        <f aca="false">IF(BX922="LOSE",1,IF(N(V922)&gt;0,V922,IF(CA922=1,MAX(1,N(VLOOKUP(T922,Parameter!$I$27:$K$29,3,0)),H922,N(N922)),IF(N(Q922)&gt;0,Q922,MAX(1,H922)))))</f>
        <v>100</v>
      </c>
      <c r="BZ922" s="53" t="n">
        <f aca="false">IF(BX922="LOSE",1,0)</f>
        <v>0</v>
      </c>
      <c r="CA922" s="53" t="n">
        <f aca="false">IF(AND(U922="",OR(P922="",P922="LOSE"),T922&lt;&gt;"",N(S922)&lt;=0,ISNUMBER(MATCH(T922,Parameter!$I$27:$I$29,0))),1,0)</f>
        <v>1</v>
      </c>
      <c r="CB922" s="53" t="n">
        <f aca="false">IF(CQ922&gt;0,INDEX(Parameter!$H$5:$H$7,W922)/INDEX(Parameter!$E$5:$E$7,W922),IF(AND(BZ922=0,N(IFERROR(VLOOKUP(BX922,'Gebinde-Kategorie'!$A$5:$N$45,14,0),0))&gt;0),VLOOKUP(BX922,'Gebinde-Kategorie'!$A$5:$N$45,14,0)*10+Parameter!$M$23,Parameter!$M$24))</f>
        <v>235</v>
      </c>
      <c r="CC922" s="48" t="str">
        <f aca="false">IF(AND(Parameter!$B$19="Ja",E922&lt;&gt;"",ISNUMBER(MATCH(E922,Parameter!$I$35:$I$52,0))),VLOOKUP(E922,Parameter!$I$35:$J$52,2,0),IFERROR(VLOOKUP(D922,Parameter!$A$35:$C$64,2,0),"Nein"))</f>
        <v>Nein</v>
      </c>
      <c r="CD922" s="52" t="n">
        <f aca="false">IF(BZ922=0,0,IF(N(S922)&gt;0,S922,IFERROR(VLOOKUP(D922,Parameter!$A$35:$C$64,3,0)+0,0)))</f>
        <v>0</v>
      </c>
      <c r="CE922" s="48" t="str">
        <f aca="false">IF(AA922&lt;&gt;"",AA922,Z922)</f>
        <v>-</v>
      </c>
      <c r="CF922" s="48" t="str">
        <f aca="false">IF(OR(CE922=1,CE922=2,CE922=3),IF(Parameter!$E$27="Ja","LIFT",IF(CE922=1,"L1","L23")),IF(CE922="Aussen","Aussen","-"))</f>
        <v>-</v>
      </c>
      <c r="CG922" s="59" t="n">
        <f aca="false">IF(N(AB922)&gt;0,AB922,0)</f>
        <v>0</v>
      </c>
      <c r="CH922" s="53" t="n">
        <f aca="false">IF(ISNUMBER(AE922),1,0)</f>
        <v>0</v>
      </c>
      <c r="CI922" s="50" t="n">
        <f aca="false">N(AE922)</f>
        <v>0</v>
      </c>
      <c r="CJ922" s="50" t="n">
        <f aca="false">N(M922)+N(N922)</f>
        <v>127</v>
      </c>
      <c r="CK922" s="50" t="n">
        <f aca="false">N(M922)</f>
        <v>27</v>
      </c>
      <c r="CL922" s="50" t="n">
        <f aca="false">N(N922)</f>
        <v>100</v>
      </c>
      <c r="CM922" s="50" t="n">
        <f aca="false">ROUNDUP(H922/BY922,0)</f>
        <v>1</v>
      </c>
      <c r="CN922" s="50" t="n">
        <f aca="false">ROUNDUP(CI922/BY922,0)</f>
        <v>0</v>
      </c>
      <c r="CO922" s="53" t="n">
        <f aca="false">IF(BZ922=1,0,IFERROR(VLOOKUP(BX922,'Gebinde-Kategorie'!$A$5:$N$45,5,0)+0,0))</f>
        <v>20</v>
      </c>
      <c r="CP922" s="53" t="n">
        <f aca="false">IFERROR(IF(OR(CE922=1,CE922=2,CE922=3),N(INDEX(Parameter!$I$5:$I$7,CE922)),0),0)</f>
        <v>0</v>
      </c>
      <c r="CQ922" s="52" t="n">
        <f aca="false">IF(AND(Parameter!$B$21="Ja",ISNUMBER(W922),N(X922)&gt;0),IFERROR(N(INDEX(Parameter!$L$5:$L$7,W922))*INDEX(Parameter!$E$5:$E$7,W922)*X922/SUMIFS($X$7:$X$1843,$W$7:$W$1843,W922),0),0)</f>
        <v>0</v>
      </c>
    </row>
    <row r="923" customFormat="false" ht="15" hidden="false" customHeight="false" outlineLevel="0" collapsed="false">
      <c r="A923" s="48" t="s">
        <v>1733</v>
      </c>
      <c r="B923" s="48" t="s">
        <v>1734</v>
      </c>
      <c r="C923" s="48" t="s">
        <v>173</v>
      </c>
      <c r="D923" s="48" t="s">
        <v>182</v>
      </c>
      <c r="E923" s="48" t="s">
        <v>194</v>
      </c>
      <c r="F923" s="48" t="s">
        <v>227</v>
      </c>
      <c r="G923" s="49" t="n">
        <v>2.29</v>
      </c>
      <c r="H923" s="50" t="n">
        <f aca="false">MAX(0,IF(AND(Parameter!$B$21="Ja",ISNUMBER(Y923)),Y923,IF(Parameter!$B$20="Jahresanfang 2025 + Export",BR923+BQ923,BQ923)))</f>
        <v>870</v>
      </c>
      <c r="I923" s="50" t="n">
        <f aca="false">H923*G923</f>
        <v>1992.3</v>
      </c>
      <c r="J923" s="50" t="n">
        <f aca="false">BT923*Parameter!$B$18</f>
        <v>20</v>
      </c>
      <c r="K923" s="51" t="n">
        <v>880</v>
      </c>
      <c r="L923" s="52" t="n">
        <v>0.0227272727272727</v>
      </c>
      <c r="M923" s="50" t="n">
        <v>1</v>
      </c>
      <c r="N923" s="50" t="n">
        <v>20</v>
      </c>
      <c r="O923" s="53" t="n">
        <v>21</v>
      </c>
      <c r="P923" s="48" t="s">
        <v>177</v>
      </c>
      <c r="Q923" s="50"/>
      <c r="R923" s="53" t="n">
        <f aca="false">IF(BZ923=1,0,IFERROR(VLOOKUP(BX923,'Gebinde-Kategorie'!$A$5:$N$45,13,0)+0,0))</f>
        <v>12</v>
      </c>
      <c r="S923" s="54"/>
      <c r="T923" s="55" t="s">
        <v>188</v>
      </c>
      <c r="U923" s="55"/>
      <c r="V923" s="55"/>
      <c r="W923" s="48"/>
      <c r="X923" s="50"/>
      <c r="Y923" s="50"/>
      <c r="Z923" s="48" t="n">
        <f aca="false">IF(A923="","",IF(AND(Parameter!$B$21="Ja",ISNUMBER(W923)),W923,IF(CC923="2+3",IF(ISNUMBER(SEARCH("grosser Artikel",BU923)),2,IFERROR(VLOOKUP(BX923,Parameter!$F$35:$G$64,2,0),2)),IF(OR(CC923="Nein",CC923=""),"-",CC923))))</f>
        <v>2</v>
      </c>
      <c r="AA923" s="55"/>
      <c r="AB923" s="56"/>
      <c r="AC923" s="50" t="n">
        <f aca="false">AV923</f>
        <v>21</v>
      </c>
      <c r="AD923" s="50" t="n">
        <f aca="false">MAX(AV923,H923)</f>
        <v>870</v>
      </c>
      <c r="AE923" s="57"/>
      <c r="AF923" s="50" t="n">
        <f aca="false">IF(LEFT(Cockpit!$C$5,1)="A",H923,IF(Parameter!$E$30="MAX-Bestand",IF(CH923=1,CI923,IF(LEFT(Cockpit!$C$5,1)="B",AL923,MAX(AL923,H923))),ROUNDUP(AJ923,0)))</f>
        <v>870</v>
      </c>
      <c r="AG923" s="50" t="n">
        <f aca="false">IF(BZ923=1,0,ROUNDUP(AF923/BY923,0))</f>
        <v>1</v>
      </c>
      <c r="AH923" s="52" t="n">
        <f aca="false">IF(CQ923&gt;0,CQ923*MAX(1,AF923/X923),IF(BZ923=1,IF(AF923&lt;=0,0,CD923*MAX(1,IF(H923&gt;0,AF923/H923,1))),IF(R923&gt;0,AG923/R923,0))/MAX(0.1,N(Parameter!$M$21)))</f>
        <v>0.0833333333333333</v>
      </c>
      <c r="AI923" s="50" t="n">
        <f aca="false">AH923*CB923</f>
        <v>12.0833333333333</v>
      </c>
      <c r="AJ923" s="51" t="n">
        <f aca="false">IF(LEFT(Cockpit!$C$5,1)="A",H923,IF(CH923=1,(CK923+CI923)/2,IF(LEFT(Cockpit!$C$5,1)="B",(CK923+AL923)/2,MAX((CK923+AL923)/2,H923))))</f>
        <v>870</v>
      </c>
      <c r="AK923" s="50" t="n">
        <f aca="false">AJ923*G923</f>
        <v>1992.3</v>
      </c>
      <c r="AL923" s="50" t="n">
        <f aca="false">ROUNDUP(CK923+MAX(CL923,2*(J923/IF(CG923&gt;0,CG923,MAX(0.1,N(Cockpit!$C$6)))-CK923)),0)</f>
        <v>21</v>
      </c>
      <c r="AM923" s="51" t="n">
        <f aca="false">IF(AI923&gt;0,J923/AI923,-1)</f>
        <v>1.6551724137931</v>
      </c>
      <c r="AN923" s="51" t="n">
        <f aca="false">IF(AND(OR(CF923="L1",CF923="L23",CF923="LIFT"),AI923&gt;0),SUMIFS($AI$7:$AI$1843,$CF$7:$CF$1843,CF923,$AM$7:$AM$1843,"&gt;"&amp;AM923)+SUMIFS($AI$7:$AI$1843,$CF$7:$CF$1843,CF923,$AM$7:$AM$1843,AM923,$BW$7:$BW$1843,"&lt;="&amp;BW923),"")</f>
        <v>6128.7760989011</v>
      </c>
      <c r="AO923" s="58" t="n">
        <f aca="false">IF(AN923="",0,MAX(0,MIN(1,(IF(CF923="L1",Parameter!$H$5,IF(CF923="L23",Parameter!$H$6+Parameter!$H$7,Parameter!$H$5+Parameter!$H$6+Parameter!$H$7))-(AN923-AI923))/AI923)))</f>
        <v>1</v>
      </c>
      <c r="AP923" s="50" t="n">
        <f aca="false">IF(LEFT(Cockpit!$I$5,1)="A",H923,IF(Parameter!$E$30="MAX-Bestand",IF(CH923=1,CI923,IF(LEFT(Cockpit!$I$5,1)="B",AV923,MAX(AV923,H923))),ROUNDUP(AT923,0)))</f>
        <v>870</v>
      </c>
      <c r="AQ923" s="50" t="n">
        <f aca="false">IF(BZ923=1,0,ROUNDUP(AP923/BY923,0))</f>
        <v>1</v>
      </c>
      <c r="AR923" s="52" t="n">
        <f aca="false">IF(CQ923&gt;0,CQ923*MAX(1,AP923/X923),IF(BZ923=1,IF(AP923&lt;=0,0,CD923*MAX(1,IF(H923&gt;0,AP923/H923,1))),IF(R923&gt;0,AQ923/R923,0))/MAX(0.1,N(Parameter!$M$21)))</f>
        <v>0.0833333333333333</v>
      </c>
      <c r="AS923" s="50" t="n">
        <f aca="false">AR923*CB923</f>
        <v>12.0833333333333</v>
      </c>
      <c r="AT923" s="51" t="n">
        <f aca="false">IF(LEFT(Cockpit!$I$5,1)="A",H923,IF(CH923=1,(CK923+CI923)/2,IF(LEFT(Cockpit!$I$5,1)="B",(CK923+AV923)/2,MAX((CK923+AV923)/2,H923))))</f>
        <v>870</v>
      </c>
      <c r="AU923" s="50" t="n">
        <f aca="false">AT923*G923</f>
        <v>1992.3</v>
      </c>
      <c r="AV923" s="50" t="n">
        <f aca="false">ROUNDUP(CK923+MAX(CL923,2*(J923/IF(CG923&gt;0,CG923,MAX(0.1,N(Cockpit!$I$6)))-CK923)),0)</f>
        <v>21</v>
      </c>
      <c r="AW923" s="51" t="n">
        <f aca="false">IF(AS923&gt;0,J923/AS923,-1)</f>
        <v>1.6551724137931</v>
      </c>
      <c r="AX923" s="51" t="n">
        <f aca="false">IF(AND(OR(CF923="L1",CF923="L23",CF923="LIFT"),AS923&gt;0),SUMIFS($AS$7:$AS$1843,$CF$7:$CF$1843,CF923,$AW$7:$AW$1843,"&gt;"&amp;AW923)+SUMIFS($AS$7:$AS$1843,$CF$7:$CF$1843,CF923,$AW$7:$AW$1843,AW923,$BW$7:$BW$1843,"&lt;="&amp;BW923),"")</f>
        <v>7568.66483516484</v>
      </c>
      <c r="AY923" s="58" t="n">
        <f aca="false">IF(AX923="",0,MAX(0,MIN(1,(IF(CF923="L1",Parameter!$H$5,IF(CF923="L23",Parameter!$H$6+Parameter!$H$7,Parameter!$H$5+Parameter!$H$6+Parameter!$H$7))-(AX923-AS923))/AS923)))</f>
        <v>1</v>
      </c>
      <c r="AZ923" s="50" t="n">
        <f aca="false">IF(LEFT(Cockpit!$O$5,1)="A",H923,IF(Parameter!$E$30="MAX-Bestand",IF(CH923=1,CI923,IF(LEFT(Cockpit!$O$5,1)="B",BF923,MAX(BF923,H923))),ROUNDUP(BD923,0)))</f>
        <v>11</v>
      </c>
      <c r="BA923" s="50" t="n">
        <f aca="false">IF(BZ923=1,0,ROUNDUP(AZ923/BY923,0))</f>
        <v>1</v>
      </c>
      <c r="BB923" s="52" t="n">
        <f aca="false">IF(CQ923&gt;0,CQ923*MAX(1,AZ923/X923),IF(BZ923=1,IF(AZ923&lt;=0,0,CD923*MAX(1,IF(H923&gt;0,AZ923/H923,1))),IF(R923&gt;0,BA923/R923,0))/MAX(0.1,N(Parameter!$M$21)))</f>
        <v>0.0833333333333333</v>
      </c>
      <c r="BC923" s="50" t="n">
        <f aca="false">BB923*CB923</f>
        <v>12.0833333333333</v>
      </c>
      <c r="BD923" s="51" t="n">
        <f aca="false">IF(LEFT(Cockpit!$O$5,1)="A",H923,IF(CH923=1,(CK923+CI923)/2,IF(LEFT(Cockpit!$O$5,1)="B",(CK923+BF923)/2,MAX((CK923+BF923)/2,H923))))</f>
        <v>11</v>
      </c>
      <c r="BE923" s="50" t="n">
        <f aca="false">BD923*G923</f>
        <v>25.19</v>
      </c>
      <c r="BF923" s="50" t="n">
        <f aca="false">ROUNDUP(CK923+MAX(CL923,2*(J923/IF(CG923&gt;0,CG923,MAX(0.1,N(Cockpit!$O$6)))-CK923)),0)</f>
        <v>21</v>
      </c>
      <c r="BG923" s="51" t="n">
        <f aca="false">IF(BC923&gt;0,J923/BC923,-1)</f>
        <v>1.6551724137931</v>
      </c>
      <c r="BH923" s="51" t="n">
        <f aca="false">IF(AND(OR(CF923="L1",CF923="L23",CF923="LIFT"),BC923&gt;0),SUMIFS($BC$7:$BC$1843,$CF$7:$CF$1843,CF923,$BG$7:$BG$1843,"&gt;"&amp;BG923)+SUMIFS($BC$7:$BC$1843,$CF$7:$CF$1843,CF923,$BG$7:$BG$1843,BG923,$BW$7:$BW$1843,"&lt;="&amp;BW923),"")</f>
        <v>6400.17536630037</v>
      </c>
      <c r="BI923" s="58" t="n">
        <f aca="false">IF(BH923="",0,MAX(0,MIN(1,(IF(CF923="L1",Parameter!$H$5,IF(CF923="L23",Parameter!$H$6+Parameter!$H$7,Parameter!$H$5+Parameter!$H$6+Parameter!$H$7))-(BH923-BC923))/BC923)))</f>
        <v>1</v>
      </c>
      <c r="BJ923" s="48" t="str">
        <f aca="false">IF(AI923&lt;=0,"",IF(CF923="Aussen","Aussenlager",IF(CF923="-","Nicht im Lift",IF(AO923&gt;=1,"Lift",IF(AO923&lt;=0,"Aussenlager","teilweise")))))</f>
        <v>Lift</v>
      </c>
      <c r="BK923" s="48" t="str">
        <f aca="false">IF(AS923&lt;=0,"",IF(CF923="Aussen","Aussenlager",IF(CF923="-","Nicht im Lift",IF(AY923&gt;=1,"Lift",IF(AY923&lt;=0,"Aussenlager","teilweise")))))</f>
        <v>Lift</v>
      </c>
      <c r="BL923" s="48" t="str">
        <f aca="false">IF(BC923&lt;=0,"",IF(CF923="Aussen","Aussenlager",IF(CF923="-","Nicht im Lift",IF(BI923&gt;=1,"Lift",IF(BI923&lt;=0,"Aussenlager","teilweise")))))</f>
        <v>Lift</v>
      </c>
      <c r="BM923" s="48" t="str">
        <f aca="false">IF(A923="","",IF(BV923=1,"Neu; ","")&amp;IF(AND(BV923=0,BQ923&lt;0),"negativer Bestand (Export "&amp;BQ923&amp;"); ","")&amp;IF(J923&lt;=0,"Kein Verbrauch; ","")&amp;IF(CQ923&gt;0,"Lift "&amp;W923&amp;" lt. Liftbericht (Fach "&amp;X923&amp;" Stk); ",IF(CA923=1,"Gebinde geschätzt ("&amp;T923&amp;"); ",IF(BZ923=1,"Lose – Tablare geschätzt; ","")))&amp;IF(H923&gt;AV923,"Überbestand "&amp;ROUND(H923-AV923,0)&amp;" Stk / CHF "&amp;ROUND((H923-AV923)*G923,0)&amp;"; ","")&amp;IF(AND(CH923=1,CI923&lt;CJ923),"MAX &lt; MB+LG; ","")&amp;IF(AND(CP923&gt;0,CO923*10&gt;CP923),"zu hoch für Tablar; ","")&amp;IF(AND(BV923=0,OR(CH923=1,AA923&lt;&gt;"",U923&lt;&gt;"",V923&lt;&gt;"",AB923&lt;&gt;"")),"manuell übersteuert; ","")&amp;IF(AND(BZ923=0,R923=0),"Gebinde unbekannt / Stellmass fehlt; ","")&amp;IF(AND(BZ923=0,N(V923)&lt;=0,N(Q923)&lt;=0),"Menge pro Gebinde fehlt (Ist = 1 Gebinde); ","")&amp;BU923)</f>
        <v>negativer Bestand (Export -20); Gebinde geschätzt (Mittel); Überbestand 849 Stk / CHF 1944; Menge pro Gebinde fehlt (Ist = 1 Gebinde); Überbestand; grosser Artikel &amp; nicht im KTL</v>
      </c>
      <c r="BN923" s="48"/>
      <c r="BO923" s="48"/>
      <c r="BP923" s="55"/>
      <c r="BQ923" s="50" t="n">
        <v>-20</v>
      </c>
      <c r="BR923" s="50" t="n">
        <v>890</v>
      </c>
      <c r="BS923" s="49" t="n">
        <v>-45.8</v>
      </c>
      <c r="BT923" s="50" t="n">
        <v>20</v>
      </c>
      <c r="BU923" s="48" t="s">
        <v>368</v>
      </c>
      <c r="BV923" s="53" t="n">
        <v>0</v>
      </c>
      <c r="BW923" s="53" t="n">
        <v>923</v>
      </c>
      <c r="BX923" s="48" t="str">
        <f aca="false">IF(U923&lt;&gt;"",UPPER(TRIM(U923)),IF(CA923=1,UPPER(VLOOKUP(T923,Parameter!$I$27:$K$29,2,0)),IF(P923="","LOSE",P923)))</f>
        <v>S61</v>
      </c>
      <c r="BY923" s="50" t="n">
        <f aca="false">IF(BX923="LOSE",1,IF(N(V923)&gt;0,V923,IF(CA923=1,MAX(1,N(VLOOKUP(T923,Parameter!$I$27:$K$29,3,0)),H923,N(N923)),IF(N(Q923)&gt;0,Q923,MAX(1,H923)))))</f>
        <v>870</v>
      </c>
      <c r="BZ923" s="53" t="n">
        <f aca="false">IF(BX923="LOSE",1,0)</f>
        <v>0</v>
      </c>
      <c r="CA923" s="53" t="n">
        <f aca="false">IF(AND(U923="",OR(P923="",P923="LOSE"),T923&lt;&gt;"",N(S923)&lt;=0,ISNUMBER(MATCH(T923,Parameter!$I$27:$I$29,0))),1,0)</f>
        <v>1</v>
      </c>
      <c r="CB923" s="53" t="n">
        <f aca="false">IF(CQ923&gt;0,INDEX(Parameter!$H$5:$H$7,W923)/INDEX(Parameter!$E$5:$E$7,W923),IF(AND(BZ923=0,N(IFERROR(VLOOKUP(BX923,'Gebinde-Kategorie'!$A$5:$N$45,14,0),0))&gt;0),VLOOKUP(BX923,'Gebinde-Kategorie'!$A$5:$N$45,14,0)*10+Parameter!$M$23,Parameter!$M$24))</f>
        <v>145</v>
      </c>
      <c r="CC923" s="48" t="str">
        <f aca="false">IF(AND(Parameter!$B$19="Ja",E923&lt;&gt;"",ISNUMBER(MATCH(E923,Parameter!$I$35:$I$52,0))),VLOOKUP(E923,Parameter!$I$35:$J$52,2,0),IFERROR(VLOOKUP(D923,Parameter!$A$35:$C$64,2,0),"Nein"))</f>
        <v>2+3</v>
      </c>
      <c r="CD923" s="52" t="n">
        <f aca="false">IF(BZ923=0,0,IF(N(S923)&gt;0,S923,IFERROR(VLOOKUP(D923,Parameter!$A$35:$C$64,3,0)+0,0)))</f>
        <v>0</v>
      </c>
      <c r="CE923" s="48" t="n">
        <f aca="false">IF(AA923&lt;&gt;"",AA923,Z923)</f>
        <v>2</v>
      </c>
      <c r="CF923" s="48" t="str">
        <f aca="false">IF(OR(CE923=1,CE923=2,CE923=3),IF(Parameter!$E$27="Ja","LIFT",IF(CE923=1,"L1","L23")),IF(CE923="Aussen","Aussen","-"))</f>
        <v>LIFT</v>
      </c>
      <c r="CG923" s="59" t="n">
        <f aca="false">IF(N(AB923)&gt;0,AB923,0)</f>
        <v>0</v>
      </c>
      <c r="CH923" s="53" t="n">
        <f aca="false">IF(ISNUMBER(AE923),1,0)</f>
        <v>0</v>
      </c>
      <c r="CI923" s="50" t="n">
        <f aca="false">N(AE923)</f>
        <v>0</v>
      </c>
      <c r="CJ923" s="50" t="n">
        <f aca="false">N(M923)+N(N923)</f>
        <v>21</v>
      </c>
      <c r="CK923" s="50" t="n">
        <f aca="false">N(M923)</f>
        <v>1</v>
      </c>
      <c r="CL923" s="50" t="n">
        <f aca="false">N(N923)</f>
        <v>20</v>
      </c>
      <c r="CM923" s="50" t="n">
        <f aca="false">ROUNDUP(H923/BY923,0)</f>
        <v>1</v>
      </c>
      <c r="CN923" s="50" t="n">
        <f aca="false">ROUNDUP(CI923/BY923,0)</f>
        <v>0</v>
      </c>
      <c r="CO923" s="53" t="n">
        <f aca="false">IF(BZ923=1,0,IFERROR(VLOOKUP(BX923,'Gebinde-Kategorie'!$A$5:$N$45,5,0)+0,0))</f>
        <v>11</v>
      </c>
      <c r="CP923" s="53" t="n">
        <f aca="false">IFERROR(IF(OR(CE923=1,CE923=2,CE923=3),N(INDEX(Parameter!$I$5:$I$7,CE923)),0),0)</f>
        <v>0</v>
      </c>
      <c r="CQ923" s="52" t="n">
        <f aca="false">IF(AND(Parameter!$B$21="Ja",ISNUMBER(W923),N(X923)&gt;0),IFERROR(N(INDEX(Parameter!$L$5:$L$7,W923))*INDEX(Parameter!$E$5:$E$7,W923)*X923/SUMIFS($X$7:$X$1843,$W$7:$W$1843,W923),0),0)</f>
        <v>0</v>
      </c>
    </row>
    <row r="924" customFormat="false" ht="15" hidden="false" customHeight="false" outlineLevel="0" collapsed="false">
      <c r="A924" s="48" t="s">
        <v>1735</v>
      </c>
      <c r="B924" s="48" t="s">
        <v>504</v>
      </c>
      <c r="C924" s="48" t="s">
        <v>173</v>
      </c>
      <c r="D924" s="48" t="s">
        <v>193</v>
      </c>
      <c r="E924" s="48" t="s">
        <v>194</v>
      </c>
      <c r="F924" s="48" t="s">
        <v>227</v>
      </c>
      <c r="G924" s="49" t="n">
        <v>0.25</v>
      </c>
      <c r="H924" s="50" t="n">
        <f aca="false">MAX(0,IF(AND(Parameter!$B$21="Ja",ISNUMBER(Y924)),Y924,IF(Parameter!$B$20="Jahresanfang 2025 + Export",BR924+BQ924,BQ924)))</f>
        <v>49</v>
      </c>
      <c r="I924" s="50" t="n">
        <f aca="false">H924*G924</f>
        <v>12.25</v>
      </c>
      <c r="J924" s="50" t="n">
        <f aca="false">BT924*Parameter!$B$18</f>
        <v>310</v>
      </c>
      <c r="K924" s="51" t="n">
        <v>143</v>
      </c>
      <c r="L924" s="52" t="n">
        <v>2.16783216783217</v>
      </c>
      <c r="M924" s="50" t="n">
        <v>18</v>
      </c>
      <c r="N924" s="50" t="n">
        <v>310</v>
      </c>
      <c r="O924" s="53" t="n">
        <v>21</v>
      </c>
      <c r="P924" s="48" t="s">
        <v>410</v>
      </c>
      <c r="Q924" s="50" t="n">
        <v>185</v>
      </c>
      <c r="R924" s="53" t="n">
        <f aca="false">IF(BZ924=1,0,IFERROR(VLOOKUP(BX924,'Gebinde-Kategorie'!$A$5:$N$45,13,0)+0,0))</f>
        <v>280</v>
      </c>
      <c r="S924" s="54"/>
      <c r="T924" s="55"/>
      <c r="U924" s="55"/>
      <c r="V924" s="55"/>
      <c r="W924" s="48"/>
      <c r="X924" s="50"/>
      <c r="Y924" s="50"/>
      <c r="Z924" s="48" t="n">
        <f aca="false">IF(A924="","",IF(AND(Parameter!$B$21="Ja",ISNUMBER(W924)),W924,IF(CC924="2+3",IF(ISNUMBER(SEARCH("grosser Artikel",BU924)),2,IFERROR(VLOOKUP(BX924,Parameter!$F$35:$G$64,2,0),2)),IF(OR(CC924="Nein",CC924=""),"-",CC924))))</f>
        <v>3</v>
      </c>
      <c r="AA924" s="55"/>
      <c r="AB924" s="56"/>
      <c r="AC924" s="50" t="n">
        <f aca="false">AV924</f>
        <v>328</v>
      </c>
      <c r="AD924" s="50" t="n">
        <f aca="false">MAX(AV924,H924)</f>
        <v>328</v>
      </c>
      <c r="AE924" s="57"/>
      <c r="AF924" s="50" t="n">
        <f aca="false">IF(LEFT(Cockpit!$C$5,1)="A",H924,IF(Parameter!$E$30="MAX-Bestand",IF(CH924=1,CI924,IF(LEFT(Cockpit!$C$5,1)="B",AL924,MAX(AL924,H924))),ROUNDUP(AJ924,0)))</f>
        <v>49</v>
      </c>
      <c r="AG924" s="50" t="n">
        <f aca="false">IF(BZ924=1,0,ROUNDUP(AF924/BY924,0))</f>
        <v>1</v>
      </c>
      <c r="AH924" s="52" t="n">
        <f aca="false">IF(CQ924&gt;0,CQ924*MAX(1,AF924/X924),IF(BZ924=1,IF(AF924&lt;=0,0,CD924*MAX(1,IF(H924&gt;0,AF924/H924,1))),IF(R924&gt;0,AG924/R924,0))/MAX(0.1,N(Parameter!$M$21)))</f>
        <v>0.00357142857142857</v>
      </c>
      <c r="AI924" s="50" t="n">
        <f aca="false">AH924*CB924</f>
        <v>0.553571428571429</v>
      </c>
      <c r="AJ924" s="51" t="n">
        <f aca="false">IF(LEFT(Cockpit!$C$5,1)="A",H924,IF(CH924=1,(CK924+CI924)/2,IF(LEFT(Cockpit!$C$5,1)="B",(CK924+AL924)/2,MAX((CK924+AL924)/2,H924))))</f>
        <v>49</v>
      </c>
      <c r="AK924" s="50" t="n">
        <f aca="false">AJ924*G924</f>
        <v>12.25</v>
      </c>
      <c r="AL924" s="50" t="n">
        <f aca="false">ROUNDUP(CK924+MAX(CL924,2*(J924/IF(CG924&gt;0,CG924,MAX(0.1,N(Cockpit!$C$6)))-CK924)),0)</f>
        <v>328</v>
      </c>
      <c r="AM924" s="51" t="n">
        <f aca="false">IF(AI924&gt;0,J924/AI924,-1)</f>
        <v>560</v>
      </c>
      <c r="AN924" s="51" t="n">
        <f aca="false">IF(AND(OR(CF924="L1",CF924="L23",CF924="LIFT"),AI924&gt;0),SUMIFS($AI$7:$AI$1843,$CF$7:$CF$1843,CF924,$AM$7:$AM$1843,"&gt;"&amp;AM924)+SUMIFS($AI$7:$AI$1843,$CF$7:$CF$1843,CF924,$AM$7:$AM$1843,AM924,$BW$7:$BW$1843,"&lt;="&amp;BW924),"")</f>
        <v>50.5576923076923</v>
      </c>
      <c r="AO924" s="58" t="n">
        <f aca="false">IF(AN924="",0,MAX(0,MIN(1,(IF(CF924="L1",Parameter!$H$5,IF(CF924="L23",Parameter!$H$6+Parameter!$H$7,Parameter!$H$5+Parameter!$H$6+Parameter!$H$7))-(AN924-AI924))/AI924)))</f>
        <v>1</v>
      </c>
      <c r="AP924" s="50" t="n">
        <f aca="false">IF(LEFT(Cockpit!$I$5,1)="A",H924,IF(Parameter!$E$30="MAX-Bestand",IF(CH924=1,CI924,IF(LEFT(Cockpit!$I$5,1)="B",AV924,MAX(AV924,H924))),ROUNDUP(AT924,0)))</f>
        <v>173</v>
      </c>
      <c r="AQ924" s="50" t="n">
        <f aca="false">IF(BZ924=1,0,ROUNDUP(AP924/BY924,0))</f>
        <v>1</v>
      </c>
      <c r="AR924" s="52" t="n">
        <f aca="false">IF(CQ924&gt;0,CQ924*MAX(1,AP924/X924),IF(BZ924=1,IF(AP924&lt;=0,0,CD924*MAX(1,IF(H924&gt;0,AP924/H924,1))),IF(R924&gt;0,AQ924/R924,0))/MAX(0.1,N(Parameter!$M$21)))</f>
        <v>0.00357142857142857</v>
      </c>
      <c r="AS924" s="50" t="n">
        <f aca="false">AR924*CB924</f>
        <v>0.553571428571429</v>
      </c>
      <c r="AT924" s="51" t="n">
        <f aca="false">IF(LEFT(Cockpit!$I$5,1)="A",H924,IF(CH924=1,(CK924+CI924)/2,IF(LEFT(Cockpit!$I$5,1)="B",(CK924+AV924)/2,MAX((CK924+AV924)/2,H924))))</f>
        <v>173</v>
      </c>
      <c r="AU924" s="50" t="n">
        <f aca="false">AT924*G924</f>
        <v>43.25</v>
      </c>
      <c r="AV924" s="50" t="n">
        <f aca="false">ROUNDUP(CK924+MAX(CL924,2*(J924/IF(CG924&gt;0,CG924,MAX(0.1,N(Cockpit!$I$6)))-CK924)),0)</f>
        <v>328</v>
      </c>
      <c r="AW924" s="51" t="n">
        <f aca="false">IF(AS924&gt;0,J924/AS924,-1)</f>
        <v>560</v>
      </c>
      <c r="AX924" s="51" t="n">
        <f aca="false">IF(AND(OR(CF924="L1",CF924="L23",CF924="LIFT"),AS924&gt;0),SUMIFS($AS$7:$AS$1843,$CF$7:$CF$1843,CF924,$AW$7:$AW$1843,"&gt;"&amp;AW924)+SUMIFS($AS$7:$AS$1843,$CF$7:$CF$1843,CF924,$AW$7:$AW$1843,AW924,$BW$7:$BW$1843,"&lt;="&amp;BW924),"")</f>
        <v>43.5618131868132</v>
      </c>
      <c r="AY924" s="58" t="n">
        <f aca="false">IF(AX924="",0,MAX(0,MIN(1,(IF(CF924="L1",Parameter!$H$5,IF(CF924="L23",Parameter!$H$6+Parameter!$H$7,Parameter!$H$5+Parameter!$H$6+Parameter!$H$7))-(AX924-AS924))/AS924)))</f>
        <v>1</v>
      </c>
      <c r="AZ924" s="50" t="n">
        <f aca="false">IF(LEFT(Cockpit!$O$5,1)="A",H924,IF(Parameter!$E$30="MAX-Bestand",IF(CH924=1,CI924,IF(LEFT(Cockpit!$O$5,1)="B",BF924,MAX(BF924,H924))),ROUNDUP(BD924,0)))</f>
        <v>173</v>
      </c>
      <c r="BA924" s="50" t="n">
        <f aca="false">IF(BZ924=1,0,ROUNDUP(AZ924/BY924,0))</f>
        <v>1</v>
      </c>
      <c r="BB924" s="52" t="n">
        <f aca="false">IF(CQ924&gt;0,CQ924*MAX(1,AZ924/X924),IF(BZ924=1,IF(AZ924&lt;=0,0,CD924*MAX(1,IF(H924&gt;0,AZ924/H924,1))),IF(R924&gt;0,BA924/R924,0))/MAX(0.1,N(Parameter!$M$21)))</f>
        <v>0.00357142857142857</v>
      </c>
      <c r="BC924" s="50" t="n">
        <f aca="false">BB924*CB924</f>
        <v>0.553571428571429</v>
      </c>
      <c r="BD924" s="51" t="n">
        <f aca="false">IF(LEFT(Cockpit!$O$5,1)="A",H924,IF(CH924=1,(CK924+CI924)/2,IF(LEFT(Cockpit!$O$5,1)="B",(CK924+BF924)/2,MAX((CK924+BF924)/2,H924))))</f>
        <v>173</v>
      </c>
      <c r="BE924" s="50" t="n">
        <f aca="false">BD924*G924</f>
        <v>43.25</v>
      </c>
      <c r="BF924" s="50" t="n">
        <f aca="false">ROUNDUP(CK924+MAX(CL924,2*(J924/IF(CG924&gt;0,CG924,MAX(0.1,N(Cockpit!$O$6)))-CK924)),0)</f>
        <v>328</v>
      </c>
      <c r="BG924" s="51" t="n">
        <f aca="false">IF(BC924&gt;0,J924/BC924,-1)</f>
        <v>560</v>
      </c>
      <c r="BH924" s="51" t="n">
        <f aca="false">IF(AND(OR(CF924="L1",CF924="L23",CF924="LIFT"),BC924&gt;0),SUMIFS($BC$7:$BC$1843,$CF$7:$CF$1843,CF924,$BG$7:$BG$1843,"&gt;"&amp;BG924)+SUMIFS($BC$7:$BC$1843,$CF$7:$CF$1843,CF924,$BG$7:$BG$1843,BG924,$BW$7:$BW$1843,"&lt;="&amp;BW924),"")</f>
        <v>63.650641025641</v>
      </c>
      <c r="BI924" s="58" t="n">
        <f aca="false">IF(BH924="",0,MAX(0,MIN(1,(IF(CF924="L1",Parameter!$H$5,IF(CF924="L23",Parameter!$H$6+Parameter!$H$7,Parameter!$H$5+Parameter!$H$6+Parameter!$H$7))-(BH924-BC924))/BC924)))</f>
        <v>1</v>
      </c>
      <c r="BJ924" s="48" t="str">
        <f aca="false">IF(AI924&lt;=0,"",IF(CF924="Aussen","Aussenlager",IF(CF924="-","Nicht im Lift",IF(AO924&gt;=1,"Lift",IF(AO924&lt;=0,"Aussenlager","teilweise")))))</f>
        <v>Lift</v>
      </c>
      <c r="BK924" s="48" t="str">
        <f aca="false">IF(AS924&lt;=0,"",IF(CF924="Aussen","Aussenlager",IF(CF924="-","Nicht im Lift",IF(AY924&gt;=1,"Lift",IF(AY924&lt;=0,"Aussenlager","teilweise")))))</f>
        <v>Lift</v>
      </c>
      <c r="BL924" s="48" t="str">
        <f aca="false">IF(BC924&lt;=0,"",IF(CF924="Aussen","Aussenlager",IF(CF924="-","Nicht im Lift",IF(BI924&gt;=1,"Lift",IF(BI924&lt;=0,"Aussenlager","teilweise")))))</f>
        <v>Lift</v>
      </c>
      <c r="BM924" s="48" t="str">
        <f aca="false">IF(A924="","",IF(BV924=1,"Neu; ","")&amp;IF(AND(BV924=0,BQ924&lt;0),"negativer Bestand (Export "&amp;BQ924&amp;"); ","")&amp;IF(J924&lt;=0,"Kein Verbrauch; ","")&amp;IF(CQ924&gt;0,"Lift "&amp;W924&amp;" lt. Liftbericht (Fach "&amp;X924&amp;" Stk); ",IF(CA924=1,"Gebinde geschätzt ("&amp;T924&amp;"); ",IF(BZ924=1,"Lose – Tablare geschätzt; ","")))&amp;IF(H924&gt;AV924,"Überbestand "&amp;ROUND(H924-AV924,0)&amp;" Stk / CHF "&amp;ROUND((H924-AV924)*G924,0)&amp;"; ","")&amp;IF(AND(CH924=1,CI924&lt;CJ924),"MAX &lt; MB+LG; ","")&amp;IF(AND(CP924&gt;0,CO924*10&gt;CP924),"zu hoch für Tablar; ","")&amp;IF(AND(BV924=0,OR(CH924=1,AA924&lt;&gt;"",U924&lt;&gt;"",V924&lt;&gt;"",AB924&lt;&gt;"")),"manuell übersteuert; ","")&amp;IF(AND(BZ924=0,R924=0),"Gebinde unbekannt / Stellmass fehlt; ","")&amp;IF(AND(BZ924=0,N(V924)&lt;=0,N(Q924)&lt;=0),"Menge pro Gebinde fehlt (Ist = 1 Gebinde); ","")&amp;BU924)</f>
        <v>negativer Bestand (Export -152); </v>
      </c>
      <c r="BN924" s="48"/>
      <c r="BO924" s="48"/>
      <c r="BP924" s="55"/>
      <c r="BQ924" s="50" t="n">
        <v>-152</v>
      </c>
      <c r="BR924" s="50" t="n">
        <v>201</v>
      </c>
      <c r="BS924" s="49" t="n">
        <v>-46.04</v>
      </c>
      <c r="BT924" s="50" t="n">
        <v>310</v>
      </c>
      <c r="BU924" s="48"/>
      <c r="BV924" s="53" t="n">
        <v>0</v>
      </c>
      <c r="BW924" s="53" t="n">
        <v>924</v>
      </c>
      <c r="BX924" s="48" t="str">
        <f aca="false">IF(U924&lt;&gt;"",UPPER(TRIM(U924)),IF(CA924=1,UPPER(VLOOKUP(T924,Parameter!$I$27:$K$29,2,0)),IF(P924="","LOSE",P924)))</f>
        <v>S21</v>
      </c>
      <c r="BY924" s="50" t="n">
        <f aca="false">IF(BX924="LOSE",1,IF(N(V924)&gt;0,V924,IF(CA924=1,MAX(1,N(VLOOKUP(T924,Parameter!$I$27:$K$29,3,0)),H924,N(N924)),IF(N(Q924)&gt;0,Q924,MAX(1,H924)))))</f>
        <v>185</v>
      </c>
      <c r="BZ924" s="53" t="n">
        <f aca="false">IF(BX924="LOSE",1,0)</f>
        <v>0</v>
      </c>
      <c r="CA924" s="53" t="n">
        <f aca="false">IF(AND(U924="",OR(P924="",P924="LOSE"),T924&lt;&gt;"",N(S924)&lt;=0,ISNUMBER(MATCH(T924,Parameter!$I$27:$I$29,0))),1,0)</f>
        <v>0</v>
      </c>
      <c r="CB924" s="53" t="n">
        <f aca="false">IF(CQ924&gt;0,INDEX(Parameter!$H$5:$H$7,W924)/INDEX(Parameter!$E$5:$E$7,W924),IF(AND(BZ924=0,N(IFERROR(VLOOKUP(BX924,'Gebinde-Kategorie'!$A$5:$N$45,14,0),0))&gt;0),VLOOKUP(BX924,'Gebinde-Kategorie'!$A$5:$N$45,14,0)*10+Parameter!$M$23,Parameter!$M$24))</f>
        <v>155</v>
      </c>
      <c r="CC924" s="48" t="str">
        <f aca="false">IF(AND(Parameter!$B$19="Ja",E924&lt;&gt;"",ISNUMBER(MATCH(E924,Parameter!$I$35:$I$52,0))),VLOOKUP(E924,Parameter!$I$35:$J$52,2,0),IFERROR(VLOOKUP(D924,Parameter!$A$35:$C$64,2,0),"Nein"))</f>
        <v>2+3</v>
      </c>
      <c r="CD924" s="52" t="n">
        <f aca="false">IF(BZ924=0,0,IF(N(S924)&gt;0,S924,IFERROR(VLOOKUP(D924,Parameter!$A$35:$C$64,3,0)+0,0)))</f>
        <v>0</v>
      </c>
      <c r="CE924" s="48" t="n">
        <f aca="false">IF(AA924&lt;&gt;"",AA924,Z924)</f>
        <v>3</v>
      </c>
      <c r="CF924" s="48" t="str">
        <f aca="false">IF(OR(CE924=1,CE924=2,CE924=3),IF(Parameter!$E$27="Ja","LIFT",IF(CE924=1,"L1","L23")),IF(CE924="Aussen","Aussen","-"))</f>
        <v>LIFT</v>
      </c>
      <c r="CG924" s="59" t="n">
        <f aca="false">IF(N(AB924)&gt;0,AB924,0)</f>
        <v>0</v>
      </c>
      <c r="CH924" s="53" t="n">
        <f aca="false">IF(ISNUMBER(AE924),1,0)</f>
        <v>0</v>
      </c>
      <c r="CI924" s="50" t="n">
        <f aca="false">N(AE924)</f>
        <v>0</v>
      </c>
      <c r="CJ924" s="50" t="n">
        <f aca="false">N(M924)+N(N924)</f>
        <v>328</v>
      </c>
      <c r="CK924" s="50" t="n">
        <f aca="false">N(M924)</f>
        <v>18</v>
      </c>
      <c r="CL924" s="50" t="n">
        <f aca="false">N(N924)</f>
        <v>310</v>
      </c>
      <c r="CM924" s="50" t="n">
        <f aca="false">ROUNDUP(H924/BY924,0)</f>
        <v>1</v>
      </c>
      <c r="CN924" s="50" t="n">
        <f aca="false">ROUNDUP(CI924/BY924,0)</f>
        <v>0</v>
      </c>
      <c r="CO924" s="53" t="n">
        <f aca="false">IF(BZ924=1,0,IFERROR(VLOOKUP(BX924,'Gebinde-Kategorie'!$A$5:$N$45,5,0)+0,0))</f>
        <v>8</v>
      </c>
      <c r="CP924" s="53" t="n">
        <f aca="false">IFERROR(IF(OR(CE924=1,CE924=2,CE924=3),N(INDEX(Parameter!$I$5:$I$7,CE924)),0),0)</f>
        <v>0</v>
      </c>
      <c r="CQ924" s="52" t="n">
        <f aca="false">IF(AND(Parameter!$B$21="Ja",ISNUMBER(W924),N(X924)&gt;0),IFERROR(N(INDEX(Parameter!$L$5:$L$7,W924))*INDEX(Parameter!$E$5:$E$7,W924)*X924/SUMIFS($X$7:$X$1843,$W$7:$W$1843,W924),0),0)</f>
        <v>0</v>
      </c>
    </row>
    <row r="925" customFormat="false" ht="15" hidden="false" customHeight="false" outlineLevel="0" collapsed="false">
      <c r="A925" s="48" t="s">
        <v>1736</v>
      </c>
      <c r="B925" s="48" t="s">
        <v>901</v>
      </c>
      <c r="C925" s="48" t="s">
        <v>173</v>
      </c>
      <c r="D925" s="48" t="s">
        <v>193</v>
      </c>
      <c r="E925" s="48" t="s">
        <v>194</v>
      </c>
      <c r="F925" s="48" t="s">
        <v>227</v>
      </c>
      <c r="G925" s="49" t="n">
        <v>10.02</v>
      </c>
      <c r="H925" s="50" t="n">
        <f aca="false">MAX(0,IF(AND(Parameter!$B$21="Ja",ISNUMBER(Y925)),Y925,IF(Parameter!$B$20="Jahresanfang 2025 + Export",BR925+BQ925,BQ925)))</f>
        <v>3</v>
      </c>
      <c r="I925" s="50" t="n">
        <f aca="false">H925*G925</f>
        <v>30.06</v>
      </c>
      <c r="J925" s="50" t="n">
        <f aca="false">BT925*Parameter!$B$18</f>
        <v>11</v>
      </c>
      <c r="K925" s="51" t="n">
        <v>7.5</v>
      </c>
      <c r="L925" s="52" t="n">
        <v>1.46666666666667</v>
      </c>
      <c r="M925" s="50" t="n">
        <v>0</v>
      </c>
      <c r="N925" s="50" t="n">
        <v>10</v>
      </c>
      <c r="O925" s="53" t="n">
        <v>14</v>
      </c>
      <c r="P925" s="48" t="s">
        <v>430</v>
      </c>
      <c r="Q925" s="50" t="n">
        <v>27</v>
      </c>
      <c r="R925" s="53" t="n">
        <f aca="false">IF(BZ925=1,0,IFERROR(VLOOKUP(BX925,'Gebinde-Kategorie'!$A$5:$N$45,13,0)+0,0))</f>
        <v>104</v>
      </c>
      <c r="S925" s="54"/>
      <c r="T925" s="55"/>
      <c r="U925" s="55"/>
      <c r="V925" s="55"/>
      <c r="W925" s="48"/>
      <c r="X925" s="50"/>
      <c r="Y925" s="50"/>
      <c r="Z925" s="48" t="n">
        <f aca="false">IF(A925="","",IF(AND(Parameter!$B$21="Ja",ISNUMBER(W925)),W925,IF(CC925="2+3",IF(ISNUMBER(SEARCH("grosser Artikel",BU925)),2,IFERROR(VLOOKUP(BX925,Parameter!$F$35:$G$64,2,0),2)),IF(OR(CC925="Nein",CC925=""),"-",CC925))))</f>
        <v>3</v>
      </c>
      <c r="AA925" s="55"/>
      <c r="AB925" s="56"/>
      <c r="AC925" s="50" t="n">
        <f aca="false">AV925</f>
        <v>10</v>
      </c>
      <c r="AD925" s="50" t="n">
        <f aca="false">MAX(AV925,H925)</f>
        <v>10</v>
      </c>
      <c r="AE925" s="57"/>
      <c r="AF925" s="50" t="n">
        <f aca="false">IF(LEFT(Cockpit!$C$5,1)="A",H925,IF(Parameter!$E$30="MAX-Bestand",IF(CH925=1,CI925,IF(LEFT(Cockpit!$C$5,1)="B",AL925,MAX(AL925,H925))),ROUNDUP(AJ925,0)))</f>
        <v>3</v>
      </c>
      <c r="AG925" s="50" t="n">
        <f aca="false">IF(BZ925=1,0,ROUNDUP(AF925/BY925,0))</f>
        <v>1</v>
      </c>
      <c r="AH925" s="52" t="n">
        <f aca="false">IF(CQ925&gt;0,CQ925*MAX(1,AF925/X925),IF(BZ925=1,IF(AF925&lt;=0,0,CD925*MAX(1,IF(H925&gt;0,AF925/H925,1))),IF(R925&gt;0,AG925/R925,0))/MAX(0.1,N(Parameter!$M$21)))</f>
        <v>0.00961538461538462</v>
      </c>
      <c r="AI925" s="50" t="n">
        <f aca="false">AH925*CB925</f>
        <v>1.49038461538462</v>
      </c>
      <c r="AJ925" s="51" t="n">
        <f aca="false">IF(LEFT(Cockpit!$C$5,1)="A",H925,IF(CH925=1,(CK925+CI925)/2,IF(LEFT(Cockpit!$C$5,1)="B",(CK925+AL925)/2,MAX((CK925+AL925)/2,H925))))</f>
        <v>3</v>
      </c>
      <c r="AK925" s="50" t="n">
        <f aca="false">AJ925*G925</f>
        <v>30.06</v>
      </c>
      <c r="AL925" s="50" t="n">
        <f aca="false">ROUNDUP(CK925+MAX(CL925,2*(J925/IF(CG925&gt;0,CG925,MAX(0.1,N(Cockpit!$C$6)))-CK925)),0)</f>
        <v>10</v>
      </c>
      <c r="AM925" s="51" t="n">
        <f aca="false">IF(AI925&gt;0,J925/AI925,-1)</f>
        <v>7.38064516129032</v>
      </c>
      <c r="AN925" s="51" t="n">
        <f aca="false">IF(AND(OR(CF925="L1",CF925="L23",CF925="LIFT"),AI925&gt;0),SUMIFS($AI$7:$AI$1843,$CF$7:$CF$1843,CF925,$AM$7:$AM$1843,"&gt;"&amp;AM925)+SUMIFS($AI$7:$AI$1843,$CF$7:$CF$1843,CF925,$AM$7:$AM$1843,AM925,$BW$7:$BW$1843,"&lt;="&amp;BW925),"")</f>
        <v>3153.36858974359</v>
      </c>
      <c r="AO925" s="58" t="n">
        <f aca="false">IF(AN925="",0,MAX(0,MIN(1,(IF(CF925="L1",Parameter!$H$5,IF(CF925="L23",Parameter!$H$6+Parameter!$H$7,Parameter!$H$5+Parameter!$H$6+Parameter!$H$7))-(AN925-AI925))/AI925)))</f>
        <v>1</v>
      </c>
      <c r="AP925" s="50" t="n">
        <f aca="false">IF(LEFT(Cockpit!$I$5,1)="A",H925,IF(Parameter!$E$30="MAX-Bestand",IF(CH925=1,CI925,IF(LEFT(Cockpit!$I$5,1)="B",AV925,MAX(AV925,H925))),ROUNDUP(AT925,0)))</f>
        <v>5</v>
      </c>
      <c r="AQ925" s="50" t="n">
        <f aca="false">IF(BZ925=1,0,ROUNDUP(AP925/BY925,0))</f>
        <v>1</v>
      </c>
      <c r="AR925" s="52" t="n">
        <f aca="false">IF(CQ925&gt;0,CQ925*MAX(1,AP925/X925),IF(BZ925=1,IF(AP925&lt;=0,0,CD925*MAX(1,IF(H925&gt;0,AP925/H925,1))),IF(R925&gt;0,AQ925/R925,0))/MAX(0.1,N(Parameter!$M$21)))</f>
        <v>0.00961538461538462</v>
      </c>
      <c r="AS925" s="50" t="n">
        <f aca="false">AR925*CB925</f>
        <v>1.49038461538462</v>
      </c>
      <c r="AT925" s="51" t="n">
        <f aca="false">IF(LEFT(Cockpit!$I$5,1)="A",H925,IF(CH925=1,(CK925+CI925)/2,IF(LEFT(Cockpit!$I$5,1)="B",(CK925+AV925)/2,MAX((CK925+AV925)/2,H925))))</f>
        <v>5</v>
      </c>
      <c r="AU925" s="50" t="n">
        <f aca="false">AT925*G925</f>
        <v>50.1</v>
      </c>
      <c r="AV925" s="50" t="n">
        <f aca="false">ROUNDUP(CK925+MAX(CL925,2*(J925/IF(CG925&gt;0,CG925,MAX(0.1,N(Cockpit!$I$6)))-CK925)),0)</f>
        <v>10</v>
      </c>
      <c r="AW925" s="51" t="n">
        <f aca="false">IF(AS925&gt;0,J925/AS925,-1)</f>
        <v>7.38064516129032</v>
      </c>
      <c r="AX925" s="51" t="n">
        <f aca="false">IF(AND(OR(CF925="L1",CF925="L23",CF925="LIFT"),AS925&gt;0),SUMIFS($AS$7:$AS$1843,$CF$7:$CF$1843,CF925,$AW$7:$AW$1843,"&gt;"&amp;AW925)+SUMIFS($AS$7:$AS$1843,$CF$7:$CF$1843,CF925,$AW$7:$AW$1843,AW925,$BW$7:$BW$1843,"&lt;="&amp;BW925),"")</f>
        <v>3813.67994505495</v>
      </c>
      <c r="AY925" s="58" t="n">
        <f aca="false">IF(AX925="",0,MAX(0,MIN(1,(IF(CF925="L1",Parameter!$H$5,IF(CF925="L23",Parameter!$H$6+Parameter!$H$7,Parameter!$H$5+Parameter!$H$6+Parameter!$H$7))-(AX925-AS925))/AS925)))</f>
        <v>1</v>
      </c>
      <c r="AZ925" s="50" t="n">
        <f aca="false">IF(LEFT(Cockpit!$O$5,1)="A",H925,IF(Parameter!$E$30="MAX-Bestand",IF(CH925=1,CI925,IF(LEFT(Cockpit!$O$5,1)="B",BF925,MAX(BF925,H925))),ROUNDUP(BD925,0)))</f>
        <v>5</v>
      </c>
      <c r="BA925" s="50" t="n">
        <f aca="false">IF(BZ925=1,0,ROUNDUP(AZ925/BY925,0))</f>
        <v>1</v>
      </c>
      <c r="BB925" s="52" t="n">
        <f aca="false">IF(CQ925&gt;0,CQ925*MAX(1,AZ925/X925),IF(BZ925=1,IF(AZ925&lt;=0,0,CD925*MAX(1,IF(H925&gt;0,AZ925/H925,1))),IF(R925&gt;0,BA925/R925,0))/MAX(0.1,N(Parameter!$M$21)))</f>
        <v>0.00961538461538462</v>
      </c>
      <c r="BC925" s="50" t="n">
        <f aca="false">BB925*CB925</f>
        <v>1.49038461538462</v>
      </c>
      <c r="BD925" s="51" t="n">
        <f aca="false">IF(LEFT(Cockpit!$O$5,1)="A",H925,IF(CH925=1,(CK925+CI925)/2,IF(LEFT(Cockpit!$O$5,1)="B",(CK925+BF925)/2,MAX((CK925+BF925)/2,H925))))</f>
        <v>5</v>
      </c>
      <c r="BE925" s="50" t="n">
        <f aca="false">BD925*G925</f>
        <v>50.1</v>
      </c>
      <c r="BF925" s="50" t="n">
        <f aca="false">ROUNDUP(CK925+MAX(CL925,2*(J925/IF(CG925&gt;0,CG925,MAX(0.1,N(Cockpit!$O$6)))-CK925)),0)</f>
        <v>10</v>
      </c>
      <c r="BG925" s="51" t="n">
        <f aca="false">IF(BC925&gt;0,J925/BC925,-1)</f>
        <v>7.38064516129032</v>
      </c>
      <c r="BH925" s="51" t="n">
        <f aca="false">IF(AND(OR(CF925="L1",CF925="L23",CF925="LIFT"),BC925&gt;0),SUMIFS($BC$7:$BC$1843,$CF$7:$CF$1843,CF925,$BG$7:$BG$1843,"&gt;"&amp;BG925)+SUMIFS($BC$7:$BC$1843,$CF$7:$CF$1843,CF925,$BG$7:$BG$1843,BG925,$BW$7:$BW$1843,"&lt;="&amp;BW925),"")</f>
        <v>3211.2032967033</v>
      </c>
      <c r="BI925" s="58" t="n">
        <f aca="false">IF(BH925="",0,MAX(0,MIN(1,(IF(CF925="L1",Parameter!$H$5,IF(CF925="L23",Parameter!$H$6+Parameter!$H$7,Parameter!$H$5+Parameter!$H$6+Parameter!$H$7))-(BH925-BC925))/BC925)))</f>
        <v>1</v>
      </c>
      <c r="BJ925" s="48" t="str">
        <f aca="false">IF(AI925&lt;=0,"",IF(CF925="Aussen","Aussenlager",IF(CF925="-","Nicht im Lift",IF(AO925&gt;=1,"Lift",IF(AO925&lt;=0,"Aussenlager","teilweise")))))</f>
        <v>Lift</v>
      </c>
      <c r="BK925" s="48" t="str">
        <f aca="false">IF(AS925&lt;=0,"",IF(CF925="Aussen","Aussenlager",IF(CF925="-","Nicht im Lift",IF(AY925&gt;=1,"Lift",IF(AY925&lt;=0,"Aussenlager","teilweise")))))</f>
        <v>Lift</v>
      </c>
      <c r="BL925" s="48" t="str">
        <f aca="false">IF(BC925&lt;=0,"",IF(CF925="Aussen","Aussenlager",IF(CF925="-","Nicht im Lift",IF(BI925&gt;=1,"Lift",IF(BI925&lt;=0,"Aussenlager","teilweise")))))</f>
        <v>Lift</v>
      </c>
      <c r="BM925" s="48" t="str">
        <f aca="false">IF(A925="","",IF(BV925=1,"Neu; ","")&amp;IF(AND(BV925=0,BQ925&lt;0),"negativer Bestand (Export "&amp;BQ925&amp;"); ","")&amp;IF(J925&lt;=0,"Kein Verbrauch; ","")&amp;IF(CQ925&gt;0,"Lift "&amp;W925&amp;" lt. Liftbericht (Fach "&amp;X925&amp;" Stk); ",IF(CA925=1,"Gebinde geschätzt ("&amp;T925&amp;"); ",IF(BZ925=1,"Lose – Tablare geschätzt; ","")))&amp;IF(H925&gt;AV925,"Überbestand "&amp;ROUND(H925-AV925,0)&amp;" Stk / CHF "&amp;ROUND((H925-AV925)*G925,0)&amp;"; ","")&amp;IF(AND(CH925=1,CI925&lt;CJ925),"MAX &lt; MB+LG; ","")&amp;IF(AND(CP925&gt;0,CO925*10&gt;CP925),"zu hoch für Tablar; ","")&amp;IF(AND(BV925=0,OR(CH925=1,AA925&lt;&gt;"",U925&lt;&gt;"",V925&lt;&gt;"",AB925&lt;&gt;"")),"manuell übersteuert; ","")&amp;IF(AND(BZ925=0,R925=0),"Gebinde unbekannt / Stellmass fehlt; ","")&amp;IF(AND(BZ925=0,N(V925)&lt;=0,N(Q925)&lt;=0),"Menge pro Gebinde fehlt (Ist = 1 Gebinde); ","")&amp;BU925)</f>
        <v>negativer Bestand (Export -5); </v>
      </c>
      <c r="BN925" s="48"/>
      <c r="BO925" s="48"/>
      <c r="BP925" s="55"/>
      <c r="BQ925" s="50" t="n">
        <v>-5</v>
      </c>
      <c r="BR925" s="50" t="n">
        <v>8</v>
      </c>
      <c r="BS925" s="49" t="n">
        <v>-46.74</v>
      </c>
      <c r="BT925" s="50" t="n">
        <v>11</v>
      </c>
      <c r="BU925" s="48"/>
      <c r="BV925" s="53" t="n">
        <v>0</v>
      </c>
      <c r="BW925" s="53" t="n">
        <v>925</v>
      </c>
      <c r="BX925" s="48" t="str">
        <f aca="false">IF(U925&lt;&gt;"",UPPER(TRIM(U925)),IF(CA925=1,UPPER(VLOOKUP(T925,Parameter!$I$27:$K$29,2,0)),IF(P925="","LOSE",P925)))</f>
        <v>S32</v>
      </c>
      <c r="BY925" s="50" t="n">
        <f aca="false">IF(BX925="LOSE",1,IF(N(V925)&gt;0,V925,IF(CA925=1,MAX(1,N(VLOOKUP(T925,Parameter!$I$27:$K$29,3,0)),H925,N(N925)),IF(N(Q925)&gt;0,Q925,MAX(1,H925)))))</f>
        <v>27</v>
      </c>
      <c r="BZ925" s="53" t="n">
        <f aca="false">IF(BX925="LOSE",1,0)</f>
        <v>0</v>
      </c>
      <c r="CA925" s="53" t="n">
        <f aca="false">IF(AND(U925="",OR(P925="",P925="LOSE"),T925&lt;&gt;"",N(S925)&lt;=0,ISNUMBER(MATCH(T925,Parameter!$I$27:$I$29,0))),1,0)</f>
        <v>0</v>
      </c>
      <c r="CB925" s="53" t="n">
        <f aca="false">IF(CQ925&gt;0,INDEX(Parameter!$H$5:$H$7,W925)/INDEX(Parameter!$E$5:$E$7,W925),IF(AND(BZ925=0,N(IFERROR(VLOOKUP(BX925,'Gebinde-Kategorie'!$A$5:$N$45,14,0),0))&gt;0),VLOOKUP(BX925,'Gebinde-Kategorie'!$A$5:$N$45,14,0)*10+Parameter!$M$23,Parameter!$M$24))</f>
        <v>155</v>
      </c>
      <c r="CC925" s="48" t="str">
        <f aca="false">IF(AND(Parameter!$B$19="Ja",E925&lt;&gt;"",ISNUMBER(MATCH(E925,Parameter!$I$35:$I$52,0))),VLOOKUP(E925,Parameter!$I$35:$J$52,2,0),IFERROR(VLOOKUP(D925,Parameter!$A$35:$C$64,2,0),"Nein"))</f>
        <v>2+3</v>
      </c>
      <c r="CD925" s="52" t="n">
        <f aca="false">IF(BZ925=0,0,IF(N(S925)&gt;0,S925,IFERROR(VLOOKUP(D925,Parameter!$A$35:$C$64,3,0)+0,0)))</f>
        <v>0</v>
      </c>
      <c r="CE925" s="48" t="n">
        <f aca="false">IF(AA925&lt;&gt;"",AA925,Z925)</f>
        <v>3</v>
      </c>
      <c r="CF925" s="48" t="str">
        <f aca="false">IF(OR(CE925=1,CE925=2,CE925=3),IF(Parameter!$E$27="Ja","LIFT",IF(CE925=1,"L1","L23")),IF(CE925="Aussen","Aussen","-"))</f>
        <v>LIFT</v>
      </c>
      <c r="CG925" s="59" t="n">
        <f aca="false">IF(N(AB925)&gt;0,AB925,0)</f>
        <v>0</v>
      </c>
      <c r="CH925" s="53" t="n">
        <f aca="false">IF(ISNUMBER(AE925),1,0)</f>
        <v>0</v>
      </c>
      <c r="CI925" s="50" t="n">
        <f aca="false">N(AE925)</f>
        <v>0</v>
      </c>
      <c r="CJ925" s="50" t="n">
        <f aca="false">N(M925)+N(N925)</f>
        <v>10</v>
      </c>
      <c r="CK925" s="50" t="n">
        <f aca="false">N(M925)</f>
        <v>0</v>
      </c>
      <c r="CL925" s="50" t="n">
        <f aca="false">N(N925)</f>
        <v>10</v>
      </c>
      <c r="CM925" s="50" t="n">
        <f aca="false">ROUNDUP(H925/BY925,0)</f>
        <v>1</v>
      </c>
      <c r="CN925" s="50" t="n">
        <f aca="false">ROUNDUP(CI925/BY925,0)</f>
        <v>0</v>
      </c>
      <c r="CO925" s="53" t="n">
        <f aca="false">IF(BZ925=1,0,IFERROR(VLOOKUP(BX925,'Gebinde-Kategorie'!$A$5:$N$45,5,0)+0,0))</f>
        <v>8</v>
      </c>
      <c r="CP925" s="53" t="n">
        <f aca="false">IFERROR(IF(OR(CE925=1,CE925=2,CE925=3),N(INDEX(Parameter!$I$5:$I$7,CE925)),0),0)</f>
        <v>0</v>
      </c>
      <c r="CQ925" s="52" t="n">
        <f aca="false">IF(AND(Parameter!$B$21="Ja",ISNUMBER(W925),N(X925)&gt;0),IFERROR(N(INDEX(Parameter!$L$5:$L$7,W925))*INDEX(Parameter!$E$5:$E$7,W925)*X925/SUMIFS($X$7:$X$1843,$W$7:$W$1843,W925),0),0)</f>
        <v>0</v>
      </c>
    </row>
    <row r="926" customFormat="false" ht="15" hidden="false" customHeight="false" outlineLevel="0" collapsed="false">
      <c r="A926" s="48" t="s">
        <v>1737</v>
      </c>
      <c r="B926" s="48" t="s">
        <v>1738</v>
      </c>
      <c r="C926" s="48" t="s">
        <v>173</v>
      </c>
      <c r="D926" s="48" t="s">
        <v>193</v>
      </c>
      <c r="E926" s="48"/>
      <c r="F926" s="48" t="s">
        <v>227</v>
      </c>
      <c r="G926" s="49" t="n">
        <v>9.45</v>
      </c>
      <c r="H926" s="50" t="n">
        <f aca="false">MAX(0,IF(AND(Parameter!$B$21="Ja",ISNUMBER(Y926)),Y926,IF(Parameter!$B$20="Jahresanfang 2025 + Export",BR926+BQ926,BQ926)))</f>
        <v>1</v>
      </c>
      <c r="I926" s="50" t="n">
        <f aca="false">H926*G926</f>
        <v>9.45</v>
      </c>
      <c r="J926" s="50" t="n">
        <f aca="false">BT926*Parameter!$B$18</f>
        <v>5</v>
      </c>
      <c r="K926" s="51" t="n">
        <v>4.5</v>
      </c>
      <c r="L926" s="52" t="n">
        <v>1.11111111111111</v>
      </c>
      <c r="M926" s="50" t="n">
        <v>0</v>
      </c>
      <c r="N926" s="50" t="n">
        <v>5</v>
      </c>
      <c r="O926" s="53" t="n">
        <v>35</v>
      </c>
      <c r="P926" s="48" t="s">
        <v>410</v>
      </c>
      <c r="Q926" s="50" t="n">
        <v>3</v>
      </c>
      <c r="R926" s="53" t="n">
        <f aca="false">IF(BZ926=1,0,IFERROR(VLOOKUP(BX926,'Gebinde-Kategorie'!$A$5:$N$45,13,0)+0,0))</f>
        <v>280</v>
      </c>
      <c r="S926" s="54"/>
      <c r="T926" s="55"/>
      <c r="U926" s="55"/>
      <c r="V926" s="55"/>
      <c r="W926" s="48"/>
      <c r="X926" s="50"/>
      <c r="Y926" s="50"/>
      <c r="Z926" s="48" t="n">
        <f aca="false">IF(A926="","",IF(AND(Parameter!$B$21="Ja",ISNUMBER(W926)),W926,IF(CC926="2+3",IF(ISNUMBER(SEARCH("grosser Artikel",BU926)),2,IFERROR(VLOOKUP(BX926,Parameter!$F$35:$G$64,2,0),2)),IF(OR(CC926="Nein",CC926=""),"-",CC926))))</f>
        <v>3</v>
      </c>
      <c r="AA926" s="55"/>
      <c r="AB926" s="56"/>
      <c r="AC926" s="50" t="n">
        <f aca="false">AV926</f>
        <v>5</v>
      </c>
      <c r="AD926" s="50" t="n">
        <f aca="false">MAX(AV926,H926)</f>
        <v>5</v>
      </c>
      <c r="AE926" s="57"/>
      <c r="AF926" s="50" t="n">
        <f aca="false">IF(LEFT(Cockpit!$C$5,1)="A",H926,IF(Parameter!$E$30="MAX-Bestand",IF(CH926=1,CI926,IF(LEFT(Cockpit!$C$5,1)="B",AL926,MAX(AL926,H926))),ROUNDUP(AJ926,0)))</f>
        <v>1</v>
      </c>
      <c r="AG926" s="50" t="n">
        <f aca="false">IF(BZ926=1,0,ROUNDUP(AF926/BY926,0))</f>
        <v>1</v>
      </c>
      <c r="AH926" s="52" t="n">
        <f aca="false">IF(CQ926&gt;0,CQ926*MAX(1,AF926/X926),IF(BZ926=1,IF(AF926&lt;=0,0,CD926*MAX(1,IF(H926&gt;0,AF926/H926,1))),IF(R926&gt;0,AG926/R926,0))/MAX(0.1,N(Parameter!$M$21)))</f>
        <v>0.00357142857142857</v>
      </c>
      <c r="AI926" s="50" t="n">
        <f aca="false">AH926*CB926</f>
        <v>0.553571428571429</v>
      </c>
      <c r="AJ926" s="51" t="n">
        <f aca="false">IF(LEFT(Cockpit!$C$5,1)="A",H926,IF(CH926=1,(CK926+CI926)/2,IF(LEFT(Cockpit!$C$5,1)="B",(CK926+AL926)/2,MAX((CK926+AL926)/2,H926))))</f>
        <v>1</v>
      </c>
      <c r="AK926" s="50" t="n">
        <f aca="false">AJ926*G926</f>
        <v>9.45</v>
      </c>
      <c r="AL926" s="50" t="n">
        <f aca="false">ROUNDUP(CK926+MAX(CL926,2*(J926/IF(CG926&gt;0,CG926,MAX(0.1,N(Cockpit!$C$6)))-CK926)),0)</f>
        <v>5</v>
      </c>
      <c r="AM926" s="51" t="n">
        <f aca="false">IF(AI926&gt;0,J926/AI926,-1)</f>
        <v>9.03225806451613</v>
      </c>
      <c r="AN926" s="51" t="n">
        <f aca="false">IF(AND(OR(CF926="L1",CF926="L23",CF926="LIFT"),AI926&gt;0),SUMIFS($AI$7:$AI$1843,$CF$7:$CF$1843,CF926,$AM$7:$AM$1843,"&gt;"&amp;AM926)+SUMIFS($AI$7:$AI$1843,$CF$7:$CF$1843,CF926,$AM$7:$AM$1843,AM926,$BW$7:$BW$1843,"&lt;="&amp;BW926),"")</f>
        <v>2922.99587912088</v>
      </c>
      <c r="AO926" s="58" t="n">
        <f aca="false">IF(AN926="",0,MAX(0,MIN(1,(IF(CF926="L1",Parameter!$H$5,IF(CF926="L23",Parameter!$H$6+Parameter!$H$7,Parameter!$H$5+Parameter!$H$6+Parameter!$H$7))-(AN926-AI926))/AI926)))</f>
        <v>1</v>
      </c>
      <c r="AP926" s="50" t="n">
        <f aca="false">IF(LEFT(Cockpit!$I$5,1)="A",H926,IF(Parameter!$E$30="MAX-Bestand",IF(CH926=1,CI926,IF(LEFT(Cockpit!$I$5,1)="B",AV926,MAX(AV926,H926))),ROUNDUP(AT926,0)))</f>
        <v>3</v>
      </c>
      <c r="AQ926" s="50" t="n">
        <f aca="false">IF(BZ926=1,0,ROUNDUP(AP926/BY926,0))</f>
        <v>1</v>
      </c>
      <c r="AR926" s="52" t="n">
        <f aca="false">IF(CQ926&gt;0,CQ926*MAX(1,AP926/X926),IF(BZ926=1,IF(AP926&lt;=0,0,CD926*MAX(1,IF(H926&gt;0,AP926/H926,1))),IF(R926&gt;0,AQ926/R926,0))/MAX(0.1,N(Parameter!$M$21)))</f>
        <v>0.00357142857142857</v>
      </c>
      <c r="AS926" s="50" t="n">
        <f aca="false">AR926*CB926</f>
        <v>0.553571428571429</v>
      </c>
      <c r="AT926" s="51" t="n">
        <f aca="false">IF(LEFT(Cockpit!$I$5,1)="A",H926,IF(CH926=1,(CK926+CI926)/2,IF(LEFT(Cockpit!$I$5,1)="B",(CK926+AV926)/2,MAX((CK926+AV926)/2,H926))))</f>
        <v>2.5</v>
      </c>
      <c r="AU926" s="50" t="n">
        <f aca="false">AT926*G926</f>
        <v>23.625</v>
      </c>
      <c r="AV926" s="50" t="n">
        <f aca="false">ROUNDUP(CK926+MAX(CL926,2*(J926/IF(CG926&gt;0,CG926,MAX(0.1,N(Cockpit!$I$6)))-CK926)),0)</f>
        <v>5</v>
      </c>
      <c r="AW926" s="51" t="n">
        <f aca="false">IF(AS926&gt;0,J926/AS926,-1)</f>
        <v>9.03225806451613</v>
      </c>
      <c r="AX926" s="51" t="n">
        <f aca="false">IF(AND(OR(CF926="L1",CF926="L23",CF926="LIFT"),AS926&gt;0),SUMIFS($AS$7:$AS$1843,$CF$7:$CF$1843,CF926,$AW$7:$AW$1843,"&gt;"&amp;AW926)+SUMIFS($AS$7:$AS$1843,$CF$7:$CF$1843,CF926,$AW$7:$AW$1843,AW926,$BW$7:$BW$1843,"&lt;="&amp;BW926),"")</f>
        <v>3537.98397435897</v>
      </c>
      <c r="AY926" s="58" t="n">
        <f aca="false">IF(AX926="",0,MAX(0,MIN(1,(IF(CF926="L1",Parameter!$H$5,IF(CF926="L23",Parameter!$H$6+Parameter!$H$7,Parameter!$H$5+Parameter!$H$6+Parameter!$H$7))-(AX926-AS926))/AS926)))</f>
        <v>1</v>
      </c>
      <c r="AZ926" s="50" t="n">
        <f aca="false">IF(LEFT(Cockpit!$O$5,1)="A",H926,IF(Parameter!$E$30="MAX-Bestand",IF(CH926=1,CI926,IF(LEFT(Cockpit!$O$5,1)="B",BF926,MAX(BF926,H926))),ROUNDUP(BD926,0)))</f>
        <v>3</v>
      </c>
      <c r="BA926" s="50" t="n">
        <f aca="false">IF(BZ926=1,0,ROUNDUP(AZ926/BY926,0))</f>
        <v>1</v>
      </c>
      <c r="BB926" s="52" t="n">
        <f aca="false">IF(CQ926&gt;0,CQ926*MAX(1,AZ926/X926),IF(BZ926=1,IF(AZ926&lt;=0,0,CD926*MAX(1,IF(H926&gt;0,AZ926/H926,1))),IF(R926&gt;0,BA926/R926,0))/MAX(0.1,N(Parameter!$M$21)))</f>
        <v>0.00357142857142857</v>
      </c>
      <c r="BC926" s="50" t="n">
        <f aca="false">BB926*CB926</f>
        <v>0.553571428571429</v>
      </c>
      <c r="BD926" s="51" t="n">
        <f aca="false">IF(LEFT(Cockpit!$O$5,1)="A",H926,IF(CH926=1,(CK926+CI926)/2,IF(LEFT(Cockpit!$O$5,1)="B",(CK926+BF926)/2,MAX((CK926+BF926)/2,H926))))</f>
        <v>2.5</v>
      </c>
      <c r="BE926" s="50" t="n">
        <f aca="false">BD926*G926</f>
        <v>23.625</v>
      </c>
      <c r="BF926" s="50" t="n">
        <f aca="false">ROUNDUP(CK926+MAX(CL926,2*(J926/IF(CG926&gt;0,CG926,MAX(0.1,N(Cockpit!$O$6)))-CK926)),0)</f>
        <v>5</v>
      </c>
      <c r="BG926" s="51" t="n">
        <f aca="false">IF(BC926&gt;0,J926/BC926,-1)</f>
        <v>9.03225806451613</v>
      </c>
      <c r="BH926" s="51" t="n">
        <f aca="false">IF(AND(OR(CF926="L1",CF926="L23",CF926="LIFT"),BC926&gt;0),SUMIFS($BC$7:$BC$1843,$CF$7:$CF$1843,CF926,$BG$7:$BG$1843,"&gt;"&amp;BG926)+SUMIFS($BC$7:$BC$1843,$CF$7:$CF$1843,CF926,$BG$7:$BG$1843,BG926,$BW$7:$BW$1843,"&lt;="&amp;BW926),"")</f>
        <v>2879.14789377289</v>
      </c>
      <c r="BI926" s="58" t="n">
        <f aca="false">IF(BH926="",0,MAX(0,MIN(1,(IF(CF926="L1",Parameter!$H$5,IF(CF926="L23",Parameter!$H$6+Parameter!$H$7,Parameter!$H$5+Parameter!$H$6+Parameter!$H$7))-(BH926-BC926))/BC926)))</f>
        <v>1</v>
      </c>
      <c r="BJ926" s="48" t="str">
        <f aca="false">IF(AI926&lt;=0,"",IF(CF926="Aussen","Aussenlager",IF(CF926="-","Nicht im Lift",IF(AO926&gt;=1,"Lift",IF(AO926&lt;=0,"Aussenlager","teilweise")))))</f>
        <v>Lift</v>
      </c>
      <c r="BK926" s="48" t="str">
        <f aca="false">IF(AS926&lt;=0,"",IF(CF926="Aussen","Aussenlager",IF(CF926="-","Nicht im Lift",IF(AY926&gt;=1,"Lift",IF(AY926&lt;=0,"Aussenlager","teilweise")))))</f>
        <v>Lift</v>
      </c>
      <c r="BL926" s="48" t="str">
        <f aca="false">IF(BC926&lt;=0,"",IF(CF926="Aussen","Aussenlager",IF(CF926="-","Nicht im Lift",IF(BI926&gt;=1,"Lift",IF(BI926&lt;=0,"Aussenlager","teilweise")))))</f>
        <v>Lift</v>
      </c>
      <c r="BM926" s="48" t="str">
        <f aca="false">IF(A926="","",IF(BV926=1,"Neu; ","")&amp;IF(AND(BV926=0,BQ926&lt;0),"negativer Bestand (Export "&amp;BQ926&amp;"); ","")&amp;IF(J926&lt;=0,"Kein Verbrauch; ","")&amp;IF(CQ926&gt;0,"Lift "&amp;W926&amp;" lt. Liftbericht (Fach "&amp;X926&amp;" Stk); ",IF(CA926=1,"Gebinde geschätzt ("&amp;T926&amp;"); ",IF(BZ926=1,"Lose – Tablare geschätzt; ","")))&amp;IF(H926&gt;AV926,"Überbestand "&amp;ROUND(H926-AV926,0)&amp;" Stk / CHF "&amp;ROUND((H926-AV926)*G926,0)&amp;"; ","")&amp;IF(AND(CH926=1,CI926&lt;CJ926),"MAX &lt; MB+LG; ","")&amp;IF(AND(CP926&gt;0,CO926*10&gt;CP926),"zu hoch für Tablar; ","")&amp;IF(AND(BV926=0,OR(CH926=1,AA926&lt;&gt;"",U926&lt;&gt;"",V926&lt;&gt;"",AB926&lt;&gt;"")),"manuell übersteuert; ","")&amp;IF(AND(BZ926=0,R926=0),"Gebinde unbekannt / Stellmass fehlt; ","")&amp;IF(AND(BZ926=0,N(V926)&lt;=0,N(Q926)&lt;=0),"Menge pro Gebinde fehlt (Ist = 1 Gebinde); ","")&amp;BU926)</f>
        <v>negativer Bestand (Export -5); </v>
      </c>
      <c r="BN926" s="48"/>
      <c r="BO926" s="48"/>
      <c r="BP926" s="55"/>
      <c r="BQ926" s="50" t="n">
        <v>-5</v>
      </c>
      <c r="BR926" s="50" t="n">
        <v>6</v>
      </c>
      <c r="BS926" s="49" t="n">
        <v>-47.25</v>
      </c>
      <c r="BT926" s="50" t="n">
        <v>5</v>
      </c>
      <c r="BU926" s="48"/>
      <c r="BV926" s="53" t="n">
        <v>0</v>
      </c>
      <c r="BW926" s="53" t="n">
        <v>926</v>
      </c>
      <c r="BX926" s="48" t="str">
        <f aca="false">IF(U926&lt;&gt;"",UPPER(TRIM(U926)),IF(CA926=1,UPPER(VLOOKUP(T926,Parameter!$I$27:$K$29,2,0)),IF(P926="","LOSE",P926)))</f>
        <v>S21</v>
      </c>
      <c r="BY926" s="50" t="n">
        <f aca="false">IF(BX926="LOSE",1,IF(N(V926)&gt;0,V926,IF(CA926=1,MAX(1,N(VLOOKUP(T926,Parameter!$I$27:$K$29,3,0)),H926,N(N926)),IF(N(Q926)&gt;0,Q926,MAX(1,H926)))))</f>
        <v>3</v>
      </c>
      <c r="BZ926" s="53" t="n">
        <f aca="false">IF(BX926="LOSE",1,0)</f>
        <v>0</v>
      </c>
      <c r="CA926" s="53" t="n">
        <f aca="false">IF(AND(U926="",OR(P926="",P926="LOSE"),T926&lt;&gt;"",N(S926)&lt;=0,ISNUMBER(MATCH(T926,Parameter!$I$27:$I$29,0))),1,0)</f>
        <v>0</v>
      </c>
      <c r="CB926" s="53" t="n">
        <f aca="false">IF(CQ926&gt;0,INDEX(Parameter!$H$5:$H$7,W926)/INDEX(Parameter!$E$5:$E$7,W926),IF(AND(BZ926=0,N(IFERROR(VLOOKUP(BX926,'Gebinde-Kategorie'!$A$5:$N$45,14,0),0))&gt;0),VLOOKUP(BX926,'Gebinde-Kategorie'!$A$5:$N$45,14,0)*10+Parameter!$M$23,Parameter!$M$24))</f>
        <v>155</v>
      </c>
      <c r="CC926" s="48" t="str">
        <f aca="false">IF(AND(Parameter!$B$19="Ja",E926&lt;&gt;"",ISNUMBER(MATCH(E926,Parameter!$I$35:$I$52,0))),VLOOKUP(E926,Parameter!$I$35:$J$52,2,0),IFERROR(VLOOKUP(D926,Parameter!$A$35:$C$64,2,0),"Nein"))</f>
        <v>2+3</v>
      </c>
      <c r="CD926" s="52" t="n">
        <f aca="false">IF(BZ926=0,0,IF(N(S926)&gt;0,S926,IFERROR(VLOOKUP(D926,Parameter!$A$35:$C$64,3,0)+0,0)))</f>
        <v>0</v>
      </c>
      <c r="CE926" s="48" t="n">
        <f aca="false">IF(AA926&lt;&gt;"",AA926,Z926)</f>
        <v>3</v>
      </c>
      <c r="CF926" s="48" t="str">
        <f aca="false">IF(OR(CE926=1,CE926=2,CE926=3),IF(Parameter!$E$27="Ja","LIFT",IF(CE926=1,"L1","L23")),IF(CE926="Aussen","Aussen","-"))</f>
        <v>LIFT</v>
      </c>
      <c r="CG926" s="59" t="n">
        <f aca="false">IF(N(AB926)&gt;0,AB926,0)</f>
        <v>0</v>
      </c>
      <c r="CH926" s="53" t="n">
        <f aca="false">IF(ISNUMBER(AE926),1,0)</f>
        <v>0</v>
      </c>
      <c r="CI926" s="50" t="n">
        <f aca="false">N(AE926)</f>
        <v>0</v>
      </c>
      <c r="CJ926" s="50" t="n">
        <f aca="false">N(M926)+N(N926)</f>
        <v>5</v>
      </c>
      <c r="CK926" s="50" t="n">
        <f aca="false">N(M926)</f>
        <v>0</v>
      </c>
      <c r="CL926" s="50" t="n">
        <f aca="false">N(N926)</f>
        <v>5</v>
      </c>
      <c r="CM926" s="50" t="n">
        <f aca="false">ROUNDUP(H926/BY926,0)</f>
        <v>1</v>
      </c>
      <c r="CN926" s="50" t="n">
        <f aca="false">ROUNDUP(CI926/BY926,0)</f>
        <v>0</v>
      </c>
      <c r="CO926" s="53" t="n">
        <f aca="false">IF(BZ926=1,0,IFERROR(VLOOKUP(BX926,'Gebinde-Kategorie'!$A$5:$N$45,5,0)+0,0))</f>
        <v>8</v>
      </c>
      <c r="CP926" s="53" t="n">
        <f aca="false">IFERROR(IF(OR(CE926=1,CE926=2,CE926=3),N(INDEX(Parameter!$I$5:$I$7,CE926)),0),0)</f>
        <v>0</v>
      </c>
      <c r="CQ926" s="52" t="n">
        <f aca="false">IF(AND(Parameter!$B$21="Ja",ISNUMBER(W926),N(X926)&gt;0),IFERROR(N(INDEX(Parameter!$L$5:$L$7,W926))*INDEX(Parameter!$E$5:$E$7,W926)*X926/SUMIFS($X$7:$X$1843,$W$7:$W$1843,W926),0),0)</f>
        <v>0</v>
      </c>
    </row>
    <row r="927" customFormat="false" ht="15" hidden="false" customHeight="false" outlineLevel="0" collapsed="false">
      <c r="A927" s="48" t="s">
        <v>1739</v>
      </c>
      <c r="B927" s="48" t="s">
        <v>673</v>
      </c>
      <c r="C927" s="48" t="s">
        <v>173</v>
      </c>
      <c r="D927" s="48" t="s">
        <v>193</v>
      </c>
      <c r="E927" s="48" t="s">
        <v>194</v>
      </c>
      <c r="F927" s="48" t="s">
        <v>227</v>
      </c>
      <c r="G927" s="49" t="n">
        <v>8</v>
      </c>
      <c r="H927" s="50" t="n">
        <f aca="false">MAX(0,IF(AND(Parameter!$B$21="Ja",ISNUMBER(Y927)),Y927,IF(Parameter!$B$20="Jahresanfang 2025 + Export",BR927+BQ927,BQ927)))</f>
        <v>6</v>
      </c>
      <c r="I927" s="50" t="n">
        <f aca="false">H927*G927</f>
        <v>48</v>
      </c>
      <c r="J927" s="50" t="n">
        <f aca="false">BT927*Parameter!$B$18</f>
        <v>11</v>
      </c>
      <c r="K927" s="51" t="n">
        <v>11</v>
      </c>
      <c r="L927" s="52" t="n">
        <v>1</v>
      </c>
      <c r="M927" s="50" t="n">
        <v>0</v>
      </c>
      <c r="N927" s="50" t="n">
        <v>10</v>
      </c>
      <c r="O927" s="53" t="n">
        <v>14</v>
      </c>
      <c r="P927" s="48" t="s">
        <v>302</v>
      </c>
      <c r="Q927" s="50" t="n">
        <v>20</v>
      </c>
      <c r="R927" s="53" t="n">
        <f aca="false">IF(BZ927=1,0,IFERROR(VLOOKUP(BX927,'Gebinde-Kategorie'!$A$5:$N$45,13,0)+0,0))</f>
        <v>12</v>
      </c>
      <c r="S927" s="54"/>
      <c r="T927" s="55"/>
      <c r="U927" s="55"/>
      <c r="V927" s="55"/>
      <c r="W927" s="48"/>
      <c r="X927" s="50"/>
      <c r="Y927" s="50"/>
      <c r="Z927" s="48" t="n">
        <f aca="false">IF(A927="","",IF(AND(Parameter!$B$21="Ja",ISNUMBER(W927)),W927,IF(CC927="2+3",IF(ISNUMBER(SEARCH("grosser Artikel",BU927)),2,IFERROR(VLOOKUP(BX927,Parameter!$F$35:$G$64,2,0),2)),IF(OR(CC927="Nein",CC927=""),"-",CC927))))</f>
        <v>2</v>
      </c>
      <c r="AA927" s="55"/>
      <c r="AB927" s="56"/>
      <c r="AC927" s="50" t="n">
        <f aca="false">AV927</f>
        <v>10</v>
      </c>
      <c r="AD927" s="50" t="n">
        <f aca="false">MAX(AV927,H927)</f>
        <v>10</v>
      </c>
      <c r="AE927" s="57"/>
      <c r="AF927" s="50" t="n">
        <f aca="false">IF(LEFT(Cockpit!$C$5,1)="A",H927,IF(Parameter!$E$30="MAX-Bestand",IF(CH927=1,CI927,IF(LEFT(Cockpit!$C$5,1)="B",AL927,MAX(AL927,H927))),ROUNDUP(AJ927,0)))</f>
        <v>6</v>
      </c>
      <c r="AG927" s="50" t="n">
        <f aca="false">IF(BZ927=1,0,ROUNDUP(AF927/BY927,0))</f>
        <v>1</v>
      </c>
      <c r="AH927" s="52" t="n">
        <f aca="false">IF(CQ927&gt;0,CQ927*MAX(1,AF927/X927),IF(BZ927=1,IF(AF927&lt;=0,0,CD927*MAX(1,IF(H927&gt;0,AF927/H927,1))),IF(R927&gt;0,AG927/R927,0))/MAX(0.1,N(Parameter!$M$21)))</f>
        <v>0.0833333333333333</v>
      </c>
      <c r="AI927" s="50" t="n">
        <f aca="false">AH927*CB927</f>
        <v>20.4166666666667</v>
      </c>
      <c r="AJ927" s="51" t="n">
        <f aca="false">IF(LEFT(Cockpit!$C$5,1)="A",H927,IF(CH927=1,(CK927+CI927)/2,IF(LEFT(Cockpit!$C$5,1)="B",(CK927+AL927)/2,MAX((CK927+AL927)/2,H927))))</f>
        <v>6</v>
      </c>
      <c r="AK927" s="50" t="n">
        <f aca="false">AJ927*G927</f>
        <v>48</v>
      </c>
      <c r="AL927" s="50" t="n">
        <f aca="false">ROUNDUP(CK927+MAX(CL927,2*(J927/IF(CG927&gt;0,CG927,MAX(0.1,N(Cockpit!$C$6)))-CK927)),0)</f>
        <v>10</v>
      </c>
      <c r="AM927" s="51" t="n">
        <f aca="false">IF(AI927&gt;0,J927/AI927,-1)</f>
        <v>0.538775510204082</v>
      </c>
      <c r="AN927" s="51" t="n">
        <f aca="false">IF(AND(OR(CF927="L1",CF927="L23",CF927="LIFT"),AI927&gt;0),SUMIFS($AI$7:$AI$1843,$CF$7:$CF$1843,CF927,$AM$7:$AM$1843,"&gt;"&amp;AM927)+SUMIFS($AI$7:$AI$1843,$CF$7:$CF$1843,CF927,$AM$7:$AM$1843,AM927,$BW$7:$BW$1843,"&lt;="&amp;BW927),"")</f>
        <v>9461.04255396205</v>
      </c>
      <c r="AO927" s="58" t="n">
        <f aca="false">IF(AN927="",0,MAX(0,MIN(1,(IF(CF927="L1",Parameter!$H$5,IF(CF927="L23",Parameter!$H$6+Parameter!$H$7,Parameter!$H$5+Parameter!$H$6+Parameter!$H$7))-(AN927-AI927))/AI927)))</f>
        <v>1</v>
      </c>
      <c r="AP927" s="50" t="n">
        <f aca="false">IF(LEFT(Cockpit!$I$5,1)="A",H927,IF(Parameter!$E$30="MAX-Bestand",IF(CH927=1,CI927,IF(LEFT(Cockpit!$I$5,1)="B",AV927,MAX(AV927,H927))),ROUNDUP(AT927,0)))</f>
        <v>6</v>
      </c>
      <c r="AQ927" s="50" t="n">
        <f aca="false">IF(BZ927=1,0,ROUNDUP(AP927/BY927,0))</f>
        <v>1</v>
      </c>
      <c r="AR927" s="52" t="n">
        <f aca="false">IF(CQ927&gt;0,CQ927*MAX(1,AP927/X927),IF(BZ927=1,IF(AP927&lt;=0,0,CD927*MAX(1,IF(H927&gt;0,AP927/H927,1))),IF(R927&gt;0,AQ927/R927,0))/MAX(0.1,N(Parameter!$M$21)))</f>
        <v>0.0833333333333333</v>
      </c>
      <c r="AS927" s="50" t="n">
        <f aca="false">AR927*CB927</f>
        <v>20.4166666666667</v>
      </c>
      <c r="AT927" s="51" t="n">
        <f aca="false">IF(LEFT(Cockpit!$I$5,1)="A",H927,IF(CH927=1,(CK927+CI927)/2,IF(LEFT(Cockpit!$I$5,1)="B",(CK927+AV927)/2,MAX((CK927+AV927)/2,H927))))</f>
        <v>6</v>
      </c>
      <c r="AU927" s="50" t="n">
        <f aca="false">AT927*G927</f>
        <v>48</v>
      </c>
      <c r="AV927" s="50" t="n">
        <f aca="false">ROUNDUP(CK927+MAX(CL927,2*(J927/IF(CG927&gt;0,CG927,MAX(0.1,N(Cockpit!$I$6)))-CK927)),0)</f>
        <v>10</v>
      </c>
      <c r="AW927" s="51" t="n">
        <f aca="false">IF(AS927&gt;0,J927/AS927,-1)</f>
        <v>0.538775510204082</v>
      </c>
      <c r="AX927" s="51" t="n">
        <f aca="false">IF(AND(OR(CF927="L1",CF927="L23",CF927="LIFT"),AS927&gt;0),SUMIFS($AS$7:$AS$1843,$CF$7:$CF$1843,CF927,$AW$7:$AW$1843,"&gt;"&amp;AW927)+SUMIFS($AS$7:$AS$1843,$CF$7:$CF$1843,CF927,$AW$7:$AW$1843,AW927,$BW$7:$BW$1843,"&lt;="&amp;BW927),"")</f>
        <v>11838.7893772894</v>
      </c>
      <c r="AY927" s="58" t="n">
        <f aca="false">IF(AX927="",0,MAX(0,MIN(1,(IF(CF927="L1",Parameter!$H$5,IF(CF927="L23",Parameter!$H$6+Parameter!$H$7,Parameter!$H$5+Parameter!$H$6+Parameter!$H$7))-(AX927-AS927))/AS927)))</f>
        <v>1</v>
      </c>
      <c r="AZ927" s="50" t="n">
        <f aca="false">IF(LEFT(Cockpit!$O$5,1)="A",H927,IF(Parameter!$E$30="MAX-Bestand",IF(CH927=1,CI927,IF(LEFT(Cockpit!$O$5,1)="B",BF927,MAX(BF927,H927))),ROUNDUP(BD927,0)))</f>
        <v>5</v>
      </c>
      <c r="BA927" s="50" t="n">
        <f aca="false">IF(BZ927=1,0,ROUNDUP(AZ927/BY927,0))</f>
        <v>1</v>
      </c>
      <c r="BB927" s="52" t="n">
        <f aca="false">IF(CQ927&gt;0,CQ927*MAX(1,AZ927/X927),IF(BZ927=1,IF(AZ927&lt;=0,0,CD927*MAX(1,IF(H927&gt;0,AZ927/H927,1))),IF(R927&gt;0,BA927/R927,0))/MAX(0.1,N(Parameter!$M$21)))</f>
        <v>0.0833333333333333</v>
      </c>
      <c r="BC927" s="50" t="n">
        <f aca="false">BB927*CB927</f>
        <v>20.4166666666667</v>
      </c>
      <c r="BD927" s="51" t="n">
        <f aca="false">IF(LEFT(Cockpit!$O$5,1)="A",H927,IF(CH927=1,(CK927+CI927)/2,IF(LEFT(Cockpit!$O$5,1)="B",(CK927+BF927)/2,MAX((CK927+BF927)/2,H927))))</f>
        <v>5</v>
      </c>
      <c r="BE927" s="50" t="n">
        <f aca="false">BD927*G927</f>
        <v>40</v>
      </c>
      <c r="BF927" s="50" t="n">
        <f aca="false">ROUNDUP(CK927+MAX(CL927,2*(J927/IF(CG927&gt;0,CG927,MAX(0.1,N(Cockpit!$O$6)))-CK927)),0)</f>
        <v>10</v>
      </c>
      <c r="BG927" s="51" t="n">
        <f aca="false">IF(BC927&gt;0,J927/BC927,-1)</f>
        <v>0.538775510204082</v>
      </c>
      <c r="BH927" s="51" t="n">
        <f aca="false">IF(AND(OR(CF927="L1",CF927="L23",CF927="LIFT"),BC927&gt;0),SUMIFS($BC$7:$BC$1843,$CF$7:$CF$1843,CF927,$BG$7:$BG$1843,"&gt;"&amp;BG927)+SUMIFS($BC$7:$BC$1843,$CF$7:$CF$1843,CF927,$BG$7:$BG$1843,BG927,$BW$7:$BW$1843,"&lt;="&amp;BW927),"")</f>
        <v>10226.3722527473</v>
      </c>
      <c r="BI927" s="58" t="n">
        <f aca="false">IF(BH927="",0,MAX(0,MIN(1,(IF(CF927="L1",Parameter!$H$5,IF(CF927="L23",Parameter!$H$6+Parameter!$H$7,Parameter!$H$5+Parameter!$H$6+Parameter!$H$7))-(BH927-BC927))/BC927)))</f>
        <v>1</v>
      </c>
      <c r="BJ927" s="48" t="str">
        <f aca="false">IF(AI927&lt;=0,"",IF(CF927="Aussen","Aussenlager",IF(CF927="-","Nicht im Lift",IF(AO927&gt;=1,"Lift",IF(AO927&lt;=0,"Aussenlager","teilweise")))))</f>
        <v>Lift</v>
      </c>
      <c r="BK927" s="48" t="str">
        <f aca="false">IF(AS927&lt;=0,"",IF(CF927="Aussen","Aussenlager",IF(CF927="-","Nicht im Lift",IF(AY927&gt;=1,"Lift",IF(AY927&lt;=0,"Aussenlager","teilweise")))))</f>
        <v>Lift</v>
      </c>
      <c r="BL927" s="48" t="str">
        <f aca="false">IF(BC927&lt;=0,"",IF(CF927="Aussen","Aussenlager",IF(CF927="-","Nicht im Lift",IF(BI927&gt;=1,"Lift",IF(BI927&lt;=0,"Aussenlager","teilweise")))))</f>
        <v>Lift</v>
      </c>
      <c r="BM927" s="48" t="str">
        <f aca="false">IF(A927="","",IF(BV927=1,"Neu; ","")&amp;IF(AND(BV927=0,BQ927&lt;0),"negativer Bestand (Export "&amp;BQ927&amp;"); ","")&amp;IF(J927&lt;=0,"Kein Verbrauch; ","")&amp;IF(CQ927&gt;0,"Lift "&amp;W927&amp;" lt. Liftbericht (Fach "&amp;X927&amp;" Stk); ",IF(CA927=1,"Gebinde geschätzt ("&amp;T927&amp;"); ",IF(BZ927=1,"Lose – Tablare geschätzt; ","")))&amp;IF(H927&gt;AV927,"Überbestand "&amp;ROUND(H927-AV927,0)&amp;" Stk / CHF "&amp;ROUND((H927-AV927)*G927,0)&amp;"; ","")&amp;IF(AND(CH927=1,CI927&lt;CJ927),"MAX &lt; MB+LG; ","")&amp;IF(AND(CP927&gt;0,CO927*10&gt;CP927),"zu hoch für Tablar; ","")&amp;IF(AND(BV927=0,OR(CH927=1,AA927&lt;&gt;"",U927&lt;&gt;"",V927&lt;&gt;"",AB927&lt;&gt;"")),"manuell übersteuert; ","")&amp;IF(AND(BZ927=0,R927=0),"Gebinde unbekannt / Stellmass fehlt; ","")&amp;IF(AND(BZ927=0,N(V927)&lt;=0,N(Q927)&lt;=0),"Menge pro Gebinde fehlt (Ist = 1 Gebinde); ","")&amp;BU927)</f>
        <v>negativer Bestand (Export -6); </v>
      </c>
      <c r="BN927" s="48"/>
      <c r="BO927" s="48"/>
      <c r="BP927" s="55"/>
      <c r="BQ927" s="50" t="n">
        <v>-6</v>
      </c>
      <c r="BR927" s="50" t="n">
        <v>12</v>
      </c>
      <c r="BS927" s="49" t="n">
        <v>-48</v>
      </c>
      <c r="BT927" s="50" t="n">
        <v>11</v>
      </c>
      <c r="BU927" s="48"/>
      <c r="BV927" s="53" t="n">
        <v>0</v>
      </c>
      <c r="BW927" s="53" t="n">
        <v>927</v>
      </c>
      <c r="BX927" s="48" t="str">
        <f aca="false">IF(U927&lt;&gt;"",UPPER(TRIM(U927)),IF(CA927=1,UPPER(VLOOKUP(T927,Parameter!$I$27:$K$29,2,0)),IF(P927="","LOSE",P927)))</f>
        <v>S62</v>
      </c>
      <c r="BY927" s="50" t="n">
        <f aca="false">IF(BX927="LOSE",1,IF(N(V927)&gt;0,V927,IF(CA927=1,MAX(1,N(VLOOKUP(T927,Parameter!$I$27:$K$29,3,0)),H927,N(N927)),IF(N(Q927)&gt;0,Q927,MAX(1,H927)))))</f>
        <v>20</v>
      </c>
      <c r="BZ927" s="53" t="n">
        <f aca="false">IF(BX927="LOSE",1,0)</f>
        <v>0</v>
      </c>
      <c r="CA927" s="53" t="n">
        <f aca="false">IF(AND(U927="",OR(P927="",P927="LOSE"),T927&lt;&gt;"",N(S927)&lt;=0,ISNUMBER(MATCH(T927,Parameter!$I$27:$I$29,0))),1,0)</f>
        <v>0</v>
      </c>
      <c r="CB927" s="53" t="n">
        <f aca="false">IF(CQ927&gt;0,INDEX(Parameter!$H$5:$H$7,W927)/INDEX(Parameter!$E$5:$E$7,W927),IF(AND(BZ927=0,N(IFERROR(VLOOKUP(BX927,'Gebinde-Kategorie'!$A$5:$N$45,14,0),0))&gt;0),VLOOKUP(BX927,'Gebinde-Kategorie'!$A$5:$N$45,14,0)*10+Parameter!$M$23,Parameter!$M$24))</f>
        <v>245</v>
      </c>
      <c r="CC927" s="48" t="str">
        <f aca="false">IF(AND(Parameter!$B$19="Ja",E927&lt;&gt;"",ISNUMBER(MATCH(E927,Parameter!$I$35:$I$52,0))),VLOOKUP(E927,Parameter!$I$35:$J$52,2,0),IFERROR(VLOOKUP(D927,Parameter!$A$35:$C$64,2,0),"Nein"))</f>
        <v>2+3</v>
      </c>
      <c r="CD927" s="52" t="n">
        <f aca="false">IF(BZ927=0,0,IF(N(S927)&gt;0,S927,IFERROR(VLOOKUP(D927,Parameter!$A$35:$C$64,3,0)+0,0)))</f>
        <v>0</v>
      </c>
      <c r="CE927" s="48" t="n">
        <f aca="false">IF(AA927&lt;&gt;"",AA927,Z927)</f>
        <v>2</v>
      </c>
      <c r="CF927" s="48" t="str">
        <f aca="false">IF(OR(CE927=1,CE927=2,CE927=3),IF(Parameter!$E$27="Ja","LIFT",IF(CE927=1,"L1","L23")),IF(CE927="Aussen","Aussen","-"))</f>
        <v>LIFT</v>
      </c>
      <c r="CG927" s="59" t="n">
        <f aca="false">IF(N(AB927)&gt;0,AB927,0)</f>
        <v>0</v>
      </c>
      <c r="CH927" s="53" t="n">
        <f aca="false">IF(ISNUMBER(AE927),1,0)</f>
        <v>0</v>
      </c>
      <c r="CI927" s="50" t="n">
        <f aca="false">N(AE927)</f>
        <v>0</v>
      </c>
      <c r="CJ927" s="50" t="n">
        <f aca="false">N(M927)+N(N927)</f>
        <v>10</v>
      </c>
      <c r="CK927" s="50" t="n">
        <f aca="false">N(M927)</f>
        <v>0</v>
      </c>
      <c r="CL927" s="50" t="n">
        <f aca="false">N(N927)</f>
        <v>10</v>
      </c>
      <c r="CM927" s="50" t="n">
        <f aca="false">ROUNDUP(H927/BY927,0)</f>
        <v>1</v>
      </c>
      <c r="CN927" s="50" t="n">
        <f aca="false">ROUNDUP(CI927/BY927,0)</f>
        <v>0</v>
      </c>
      <c r="CO927" s="53" t="n">
        <f aca="false">IF(BZ927=1,0,IFERROR(VLOOKUP(BX927,'Gebinde-Kategorie'!$A$5:$N$45,5,0)+0,0))</f>
        <v>21</v>
      </c>
      <c r="CP927" s="53" t="n">
        <f aca="false">IFERROR(IF(OR(CE927=1,CE927=2,CE927=3),N(INDEX(Parameter!$I$5:$I$7,CE927)),0),0)</f>
        <v>0</v>
      </c>
      <c r="CQ927" s="52" t="n">
        <f aca="false">IF(AND(Parameter!$B$21="Ja",ISNUMBER(W927),N(X927)&gt;0),IFERROR(N(INDEX(Parameter!$L$5:$L$7,W927))*INDEX(Parameter!$E$5:$E$7,W927)*X927/SUMIFS($X$7:$X$1843,$W$7:$W$1843,W927),0),0)</f>
        <v>0</v>
      </c>
    </row>
    <row r="928" customFormat="false" ht="15" hidden="false" customHeight="false" outlineLevel="0" collapsed="false">
      <c r="A928" s="48" t="s">
        <v>1740</v>
      </c>
      <c r="B928" s="48" t="s">
        <v>726</v>
      </c>
      <c r="C928" s="48" t="s">
        <v>173</v>
      </c>
      <c r="D928" s="48" t="s">
        <v>182</v>
      </c>
      <c r="E928" s="48" t="s">
        <v>175</v>
      </c>
      <c r="F928" s="48" t="s">
        <v>227</v>
      </c>
      <c r="G928" s="49" t="n">
        <v>48.24</v>
      </c>
      <c r="H928" s="50" t="n">
        <f aca="false">MAX(0,IF(AND(Parameter!$B$21="Ja",ISNUMBER(Y928)),Y928,IF(Parameter!$B$20="Jahresanfang 2025 + Export",BR928+BQ928,BQ928)))</f>
        <v>2</v>
      </c>
      <c r="I928" s="50" t="n">
        <f aca="false">H928*G928</f>
        <v>96.48</v>
      </c>
      <c r="J928" s="50" t="n">
        <f aca="false">BT928*Parameter!$B$18</f>
        <v>0</v>
      </c>
      <c r="K928" s="51" t="n">
        <v>3</v>
      </c>
      <c r="L928" s="52" t="n">
        <v>0</v>
      </c>
      <c r="M928" s="50" t="n">
        <v>0</v>
      </c>
      <c r="N928" s="50" t="n">
        <v>1</v>
      </c>
      <c r="O928" s="53" t="n">
        <v>28</v>
      </c>
      <c r="P928" s="48" t="s">
        <v>311</v>
      </c>
      <c r="Q928" s="50" t="n">
        <v>20</v>
      </c>
      <c r="R928" s="53" t="n">
        <f aca="false">IF(BZ928=1,0,IFERROR(VLOOKUP(BX928,'Gebinde-Kategorie'!$A$5:$N$45,13,0)+0,0))</f>
        <v>26</v>
      </c>
      <c r="S928" s="54"/>
      <c r="T928" s="55"/>
      <c r="U928" s="55"/>
      <c r="V928" s="55"/>
      <c r="W928" s="48"/>
      <c r="X928" s="50"/>
      <c r="Y928" s="50"/>
      <c r="Z928" s="48" t="n">
        <f aca="false">IF(A928="","",IF(AND(Parameter!$B$21="Ja",ISNUMBER(W928)),W928,IF(CC928="2+3",IF(ISNUMBER(SEARCH("grosser Artikel",BU928)),2,IFERROR(VLOOKUP(BX928,Parameter!$F$35:$G$64,2,0),2)),IF(OR(CC928="Nein",CC928=""),"-",CC928))))</f>
        <v>1</v>
      </c>
      <c r="AA928" s="55"/>
      <c r="AB928" s="56"/>
      <c r="AC928" s="50" t="n">
        <f aca="false">AV928</f>
        <v>1</v>
      </c>
      <c r="AD928" s="50" t="n">
        <f aca="false">MAX(AV928,H928)</f>
        <v>2</v>
      </c>
      <c r="AE928" s="57"/>
      <c r="AF928" s="50" t="n">
        <f aca="false">IF(LEFT(Cockpit!$C$5,1)="A",H928,IF(Parameter!$E$30="MAX-Bestand",IF(CH928=1,CI928,IF(LEFT(Cockpit!$C$5,1)="B",AL928,MAX(AL928,H928))),ROUNDUP(AJ928,0)))</f>
        <v>2</v>
      </c>
      <c r="AG928" s="50" t="n">
        <f aca="false">IF(BZ928=1,0,ROUNDUP(AF928/BY928,0))</f>
        <v>1</v>
      </c>
      <c r="AH928" s="52" t="n">
        <f aca="false">IF(CQ928&gt;0,CQ928*MAX(1,AF928/X928),IF(BZ928=1,IF(AF928&lt;=0,0,CD928*MAX(1,IF(H928&gt;0,AF928/H928,1))),IF(R928&gt;0,AG928/R928,0))/MAX(0.1,N(Parameter!$M$21)))</f>
        <v>0.0384615384615385</v>
      </c>
      <c r="AI928" s="50" t="n">
        <f aca="false">AH928*CB928</f>
        <v>5.96153846153846</v>
      </c>
      <c r="AJ928" s="51" t="n">
        <f aca="false">IF(LEFT(Cockpit!$C$5,1)="A",H928,IF(CH928=1,(CK928+CI928)/2,IF(LEFT(Cockpit!$C$5,1)="B",(CK928+AL928)/2,MAX((CK928+AL928)/2,H928))))</f>
        <v>2</v>
      </c>
      <c r="AK928" s="50" t="n">
        <f aca="false">AJ928*G928</f>
        <v>96.48</v>
      </c>
      <c r="AL928" s="50" t="n">
        <f aca="false">ROUNDUP(CK928+MAX(CL928,2*(J928/IF(CG928&gt;0,CG928,MAX(0.1,N(Cockpit!$C$6)))-CK928)),0)</f>
        <v>1</v>
      </c>
      <c r="AM928" s="51" t="n">
        <f aca="false">IF(AI928&gt;0,J928/AI928,-1)</f>
        <v>0</v>
      </c>
      <c r="AN928" s="51" t="n">
        <f aca="false">IF(AND(OR(CF928="L1",CF928="L23",CF928="LIFT"),AI928&gt;0),SUMIFS($AI$7:$AI$1843,$CF$7:$CF$1843,CF928,$AM$7:$AM$1843,"&gt;"&amp;AM928)+SUMIFS($AI$7:$AI$1843,$CF$7:$CF$1843,CF928,$AM$7:$AM$1843,AM928,$BW$7:$BW$1843,"&lt;="&amp;BW928),"")</f>
        <v>28862.5248934211</v>
      </c>
      <c r="AO928" s="58" t="n">
        <f aca="false">IF(AN928="",0,MAX(0,MIN(1,(IF(CF928="L1",Parameter!$H$5,IF(CF928="L23",Parameter!$H$6+Parameter!$H$7,Parameter!$H$5+Parameter!$H$6+Parameter!$H$7))-(AN928-AI928))/AI928)))</f>
        <v>1</v>
      </c>
      <c r="AP928" s="50" t="n">
        <f aca="false">IF(LEFT(Cockpit!$I$5,1)="A",H928,IF(Parameter!$E$30="MAX-Bestand",IF(CH928=1,CI928,IF(LEFT(Cockpit!$I$5,1)="B",AV928,MAX(AV928,H928))),ROUNDUP(AT928,0)))</f>
        <v>2</v>
      </c>
      <c r="AQ928" s="50" t="n">
        <f aca="false">IF(BZ928=1,0,ROUNDUP(AP928/BY928,0))</f>
        <v>1</v>
      </c>
      <c r="AR928" s="52" t="n">
        <f aca="false">IF(CQ928&gt;0,CQ928*MAX(1,AP928/X928),IF(BZ928=1,IF(AP928&lt;=0,0,CD928*MAX(1,IF(H928&gt;0,AP928/H928,1))),IF(R928&gt;0,AQ928/R928,0))/MAX(0.1,N(Parameter!$M$21)))</f>
        <v>0.0384615384615385</v>
      </c>
      <c r="AS928" s="50" t="n">
        <f aca="false">AR928*CB928</f>
        <v>5.96153846153846</v>
      </c>
      <c r="AT928" s="51" t="n">
        <f aca="false">IF(LEFT(Cockpit!$I$5,1)="A",H928,IF(CH928=1,(CK928+CI928)/2,IF(LEFT(Cockpit!$I$5,1)="B",(CK928+AV928)/2,MAX((CK928+AV928)/2,H928))))</f>
        <v>2</v>
      </c>
      <c r="AU928" s="50" t="n">
        <f aca="false">AT928*G928</f>
        <v>96.48</v>
      </c>
      <c r="AV928" s="50" t="n">
        <f aca="false">ROUNDUP(CK928+MAX(CL928,2*(J928/IF(CG928&gt;0,CG928,MAX(0.1,N(Cockpit!$I$6)))-CK928)),0)</f>
        <v>1</v>
      </c>
      <c r="AW928" s="51" t="n">
        <f aca="false">IF(AS928&gt;0,J928/AS928,-1)</f>
        <v>0</v>
      </c>
      <c r="AX928" s="51" t="n">
        <f aca="false">IF(AND(OR(CF928="L1",CF928="L23",CF928="LIFT"),AS928&gt;0),SUMIFS($AS$7:$AS$1843,$CF$7:$CF$1843,CF928,$AW$7:$AW$1843,"&gt;"&amp;AW928)+SUMIFS($AS$7:$AS$1843,$CF$7:$CF$1843,CF928,$AW$7:$AW$1843,AW928,$BW$7:$BW$1843,"&lt;="&amp;BW928),"")</f>
        <v>34524.4963369963</v>
      </c>
      <c r="AY928" s="58" t="n">
        <f aca="false">IF(AX928="",0,MAX(0,MIN(1,(IF(CF928="L1",Parameter!$H$5,IF(CF928="L23",Parameter!$H$6+Parameter!$H$7,Parameter!$H$5+Parameter!$H$6+Parameter!$H$7))-(AX928-AS928))/AS928)))</f>
        <v>1</v>
      </c>
      <c r="AZ928" s="50" t="n">
        <f aca="false">IF(LEFT(Cockpit!$O$5,1)="A",H928,IF(Parameter!$E$30="MAX-Bestand",IF(CH928=1,CI928,IF(LEFT(Cockpit!$O$5,1)="B",BF928,MAX(BF928,H928))),ROUNDUP(BD928,0)))</f>
        <v>1</v>
      </c>
      <c r="BA928" s="50" t="n">
        <f aca="false">IF(BZ928=1,0,ROUNDUP(AZ928/BY928,0))</f>
        <v>1</v>
      </c>
      <c r="BB928" s="52" t="n">
        <f aca="false">IF(CQ928&gt;0,CQ928*MAX(1,AZ928/X928),IF(BZ928=1,IF(AZ928&lt;=0,0,CD928*MAX(1,IF(H928&gt;0,AZ928/H928,1))),IF(R928&gt;0,BA928/R928,0))/MAX(0.1,N(Parameter!$M$21)))</f>
        <v>0.0384615384615385</v>
      </c>
      <c r="BC928" s="50" t="n">
        <f aca="false">BB928*CB928</f>
        <v>5.96153846153846</v>
      </c>
      <c r="BD928" s="51" t="n">
        <f aca="false">IF(LEFT(Cockpit!$O$5,1)="A",H928,IF(CH928=1,(CK928+CI928)/2,IF(LEFT(Cockpit!$O$5,1)="B",(CK928+BF928)/2,MAX((CK928+BF928)/2,H928))))</f>
        <v>0.5</v>
      </c>
      <c r="BE928" s="50" t="n">
        <f aca="false">BD928*G928</f>
        <v>24.12</v>
      </c>
      <c r="BF928" s="50" t="n">
        <f aca="false">ROUNDUP(CK928+MAX(CL928,2*(J928/IF(CG928&gt;0,CG928,MAX(0.1,N(Cockpit!$O$6)))-CK928)),0)</f>
        <v>1</v>
      </c>
      <c r="BG928" s="51" t="n">
        <f aca="false">IF(BC928&gt;0,J928/BC928,-1)</f>
        <v>0</v>
      </c>
      <c r="BH928" s="51" t="n">
        <f aca="false">IF(AND(OR(CF928="L1",CF928="L23",CF928="LIFT"),BC928&gt;0),SUMIFS($BC$7:$BC$1843,$CF$7:$CF$1843,CF928,$BG$7:$BG$1843,"&gt;"&amp;BG928)+SUMIFS($BC$7:$BC$1843,$CF$7:$CF$1843,CF928,$BG$7:$BG$1843,BG928,$BW$7:$BW$1843,"&lt;="&amp;BW928),"")</f>
        <v>28556.1024476936</v>
      </c>
      <c r="BI928" s="58" t="n">
        <f aca="false">IF(BH928="",0,MAX(0,MIN(1,(IF(CF928="L1",Parameter!$H$5,IF(CF928="L23",Parameter!$H$6+Parameter!$H$7,Parameter!$H$5+Parameter!$H$6+Parameter!$H$7))-(BH928-BC928))/BC928)))</f>
        <v>1</v>
      </c>
      <c r="BJ928" s="48" t="str">
        <f aca="false">IF(AI928&lt;=0,"",IF(CF928="Aussen","Aussenlager",IF(CF928="-","Nicht im Lift",IF(AO928&gt;=1,"Lift",IF(AO928&lt;=0,"Aussenlager","teilweise")))))</f>
        <v>Lift</v>
      </c>
      <c r="BK928" s="48" t="str">
        <f aca="false">IF(AS928&lt;=0,"",IF(CF928="Aussen","Aussenlager",IF(CF928="-","Nicht im Lift",IF(AY928&gt;=1,"Lift",IF(AY928&lt;=0,"Aussenlager","teilweise")))))</f>
        <v>Lift</v>
      </c>
      <c r="BL928" s="48" t="str">
        <f aca="false">IF(BC928&lt;=0,"",IF(CF928="Aussen","Aussenlager",IF(CF928="-","Nicht im Lift",IF(BI928&gt;=1,"Lift",IF(BI928&lt;=0,"Aussenlager","teilweise")))))</f>
        <v>Lift</v>
      </c>
      <c r="BM928" s="48" t="str">
        <f aca="false">IF(A928="","",IF(BV928=1,"Neu; ","")&amp;IF(AND(BV928=0,BQ928&lt;0),"negativer Bestand (Export "&amp;BQ928&amp;"); ","")&amp;IF(J928&lt;=0,"Kein Verbrauch; ","")&amp;IF(CQ928&gt;0,"Lift "&amp;W928&amp;" lt. Liftbericht (Fach "&amp;X928&amp;" Stk); ",IF(CA928=1,"Gebinde geschätzt ("&amp;T928&amp;"); ",IF(BZ928=1,"Lose – Tablare geschätzt; ","")))&amp;IF(H928&gt;AV928,"Überbestand "&amp;ROUND(H928-AV928,0)&amp;" Stk / CHF "&amp;ROUND((H928-AV928)*G928,0)&amp;"; ","")&amp;IF(AND(CH928=1,CI928&lt;CJ928),"MAX &lt; MB+LG; ","")&amp;IF(AND(CP928&gt;0,CO928*10&gt;CP928),"zu hoch für Tablar; ","")&amp;IF(AND(BV928=0,OR(CH928=1,AA928&lt;&gt;"",U928&lt;&gt;"",V928&lt;&gt;"",AB928&lt;&gt;"")),"manuell übersteuert; ","")&amp;IF(AND(BZ928=0,R928=0),"Gebinde unbekannt / Stellmass fehlt; ","")&amp;IF(AND(BZ928=0,N(V928)&lt;=0,N(Q928)&lt;=0),"Menge pro Gebinde fehlt (Ist = 1 Gebinde); ","")&amp;BU928)</f>
        <v>negativer Bestand (Export -1); Kein Verbrauch; Überbestand 1 Stk / CHF 48; </v>
      </c>
      <c r="BN928" s="48"/>
      <c r="BO928" s="48"/>
      <c r="BP928" s="55"/>
      <c r="BQ928" s="50" t="n">
        <v>-1</v>
      </c>
      <c r="BR928" s="50" t="n">
        <v>3</v>
      </c>
      <c r="BS928" s="49" t="n">
        <v>-48.24</v>
      </c>
      <c r="BT928" s="50" t="n">
        <v>0</v>
      </c>
      <c r="BU928" s="48"/>
      <c r="BV928" s="53" t="n">
        <v>0</v>
      </c>
      <c r="BW928" s="53" t="n">
        <v>928</v>
      </c>
      <c r="BX928" s="48" t="str">
        <f aca="false">IF(U928&lt;&gt;"",UPPER(TRIM(U928)),IF(CA928=1,UPPER(VLOOKUP(T928,Parameter!$I$27:$K$29,2,0)),IF(P928="","LOSE",P928)))</f>
        <v>S51</v>
      </c>
      <c r="BY928" s="50" t="n">
        <f aca="false">IF(BX928="LOSE",1,IF(N(V928)&gt;0,V928,IF(CA928=1,MAX(1,N(VLOOKUP(T928,Parameter!$I$27:$K$29,3,0)),H928,N(N928)),IF(N(Q928)&gt;0,Q928,MAX(1,H928)))))</f>
        <v>20</v>
      </c>
      <c r="BZ928" s="53" t="n">
        <f aca="false">IF(BX928="LOSE",1,0)</f>
        <v>0</v>
      </c>
      <c r="CA928" s="53" t="n">
        <f aca="false">IF(AND(U928="",OR(P928="",P928="LOSE"),T928&lt;&gt;"",N(S928)&lt;=0,ISNUMBER(MATCH(T928,Parameter!$I$27:$I$29,0))),1,0)</f>
        <v>0</v>
      </c>
      <c r="CB928" s="53" t="n">
        <f aca="false">IF(CQ928&gt;0,INDEX(Parameter!$H$5:$H$7,W928)/INDEX(Parameter!$E$5:$E$7,W928),IF(AND(BZ928=0,N(IFERROR(VLOOKUP(BX928,'Gebinde-Kategorie'!$A$5:$N$45,14,0),0))&gt;0),VLOOKUP(BX928,'Gebinde-Kategorie'!$A$5:$N$45,14,0)*10+Parameter!$M$23,Parameter!$M$24))</f>
        <v>155</v>
      </c>
      <c r="CC928" s="48" t="n">
        <f aca="false">IF(AND(Parameter!$B$19="Ja",E928&lt;&gt;"",ISNUMBER(MATCH(E928,Parameter!$I$35:$I$52,0))),VLOOKUP(E928,Parameter!$I$35:$J$52,2,0),IFERROR(VLOOKUP(D928,Parameter!$A$35:$C$64,2,0),"Nein"))</f>
        <v>1</v>
      </c>
      <c r="CD928" s="52" t="n">
        <f aca="false">IF(BZ928=0,0,IF(N(S928)&gt;0,S928,IFERROR(VLOOKUP(D928,Parameter!$A$35:$C$64,3,0)+0,0)))</f>
        <v>0</v>
      </c>
      <c r="CE928" s="48" t="n">
        <f aca="false">IF(AA928&lt;&gt;"",AA928,Z928)</f>
        <v>1</v>
      </c>
      <c r="CF928" s="48" t="str">
        <f aca="false">IF(OR(CE928=1,CE928=2,CE928=3),IF(Parameter!$E$27="Ja","LIFT",IF(CE928=1,"L1","L23")),IF(CE928="Aussen","Aussen","-"))</f>
        <v>LIFT</v>
      </c>
      <c r="CG928" s="59" t="n">
        <f aca="false">IF(N(AB928)&gt;0,AB928,0)</f>
        <v>0</v>
      </c>
      <c r="CH928" s="53" t="n">
        <f aca="false">IF(ISNUMBER(AE928),1,0)</f>
        <v>0</v>
      </c>
      <c r="CI928" s="50" t="n">
        <f aca="false">N(AE928)</f>
        <v>0</v>
      </c>
      <c r="CJ928" s="50" t="n">
        <f aca="false">N(M928)+N(N928)</f>
        <v>1</v>
      </c>
      <c r="CK928" s="50" t="n">
        <f aca="false">N(M928)</f>
        <v>0</v>
      </c>
      <c r="CL928" s="50" t="n">
        <f aca="false">N(N928)</f>
        <v>1</v>
      </c>
      <c r="CM928" s="50" t="n">
        <f aca="false">ROUNDUP(H928/BY928,0)</f>
        <v>1</v>
      </c>
      <c r="CN928" s="50" t="n">
        <f aca="false">ROUNDUP(CI928/BY928,0)</f>
        <v>0</v>
      </c>
      <c r="CO928" s="53" t="n">
        <f aca="false">IF(BZ928=1,0,IFERROR(VLOOKUP(BX928,'Gebinde-Kategorie'!$A$5:$N$45,5,0)+0,0))</f>
        <v>11</v>
      </c>
      <c r="CP928" s="53" t="n">
        <f aca="false">IFERROR(IF(OR(CE928=1,CE928=2,CE928=3),N(INDEX(Parameter!$I$5:$I$7,CE928)),0),0)</f>
        <v>0</v>
      </c>
      <c r="CQ928" s="52" t="n">
        <f aca="false">IF(AND(Parameter!$B$21="Ja",ISNUMBER(W928),N(X928)&gt;0),IFERROR(N(INDEX(Parameter!$L$5:$L$7,W928))*INDEX(Parameter!$E$5:$E$7,W928)*X928/SUMIFS($X$7:$X$1843,$W$7:$W$1843,W928),0),0)</f>
        <v>0</v>
      </c>
    </row>
    <row r="929" customFormat="false" ht="15" hidden="false" customHeight="false" outlineLevel="0" collapsed="false">
      <c r="A929" s="48" t="s">
        <v>1741</v>
      </c>
      <c r="B929" s="48" t="s">
        <v>1742</v>
      </c>
      <c r="C929" s="48" t="s">
        <v>173</v>
      </c>
      <c r="D929" s="48" t="s">
        <v>193</v>
      </c>
      <c r="E929" s="48" t="s">
        <v>194</v>
      </c>
      <c r="F929" s="48" t="s">
        <v>227</v>
      </c>
      <c r="G929" s="49" t="n">
        <v>14.45</v>
      </c>
      <c r="H929" s="50" t="n">
        <f aca="false">MAX(0,IF(AND(Parameter!$B$21="Ja",ISNUMBER(Y929)),Y929,IF(Parameter!$B$20="Jahresanfang 2025 + Export",BR929+BQ929,BQ929)))</f>
        <v>8</v>
      </c>
      <c r="I929" s="50" t="n">
        <f aca="false">H929*G929</f>
        <v>115.6</v>
      </c>
      <c r="J929" s="50" t="n">
        <f aca="false">BT929*Parameter!$B$18</f>
        <v>7</v>
      </c>
      <c r="K929" s="51" t="n">
        <v>10</v>
      </c>
      <c r="L929" s="52" t="n">
        <v>0.7</v>
      </c>
      <c r="M929" s="50" t="n">
        <v>0</v>
      </c>
      <c r="N929" s="50" t="n">
        <v>5</v>
      </c>
      <c r="O929" s="53" t="n">
        <v>22</v>
      </c>
      <c r="P929" s="48" t="s">
        <v>337</v>
      </c>
      <c r="Q929" s="50" t="n">
        <v>22</v>
      </c>
      <c r="R929" s="53" t="n">
        <f aca="false">IF(BZ929=1,0,IFERROR(VLOOKUP(BX929,'Gebinde-Kategorie'!$A$5:$N$45,13,0)+0,0))</f>
        <v>52</v>
      </c>
      <c r="S929" s="54"/>
      <c r="T929" s="55"/>
      <c r="U929" s="55"/>
      <c r="V929" s="55"/>
      <c r="W929" s="48"/>
      <c r="X929" s="50"/>
      <c r="Y929" s="50"/>
      <c r="Z929" s="48" t="n">
        <f aca="false">IF(A929="","",IF(AND(Parameter!$B$21="Ja",ISNUMBER(W929)),W929,IF(CC929="2+3",IF(ISNUMBER(SEARCH("grosser Artikel",BU929)),2,IFERROR(VLOOKUP(BX929,Parameter!$F$35:$G$64,2,0),2)),IF(OR(CC929="Nein",CC929=""),"-",CC929))))</f>
        <v>3</v>
      </c>
      <c r="AA929" s="55"/>
      <c r="AB929" s="56"/>
      <c r="AC929" s="50" t="n">
        <f aca="false">AV929</f>
        <v>5</v>
      </c>
      <c r="AD929" s="50" t="n">
        <f aca="false">MAX(AV929,H929)</f>
        <v>8</v>
      </c>
      <c r="AE929" s="57"/>
      <c r="AF929" s="50" t="n">
        <f aca="false">IF(LEFT(Cockpit!$C$5,1)="A",H929,IF(Parameter!$E$30="MAX-Bestand",IF(CH929=1,CI929,IF(LEFT(Cockpit!$C$5,1)="B",AL929,MAX(AL929,H929))),ROUNDUP(AJ929,0)))</f>
        <v>8</v>
      </c>
      <c r="AG929" s="50" t="n">
        <f aca="false">IF(BZ929=1,0,ROUNDUP(AF929/BY929,0))</f>
        <v>1</v>
      </c>
      <c r="AH929" s="52" t="n">
        <f aca="false">IF(CQ929&gt;0,CQ929*MAX(1,AF929/X929),IF(BZ929=1,IF(AF929&lt;=0,0,CD929*MAX(1,IF(H929&gt;0,AF929/H929,1))),IF(R929&gt;0,AG929/R929,0))/MAX(0.1,N(Parameter!$M$21)))</f>
        <v>0.0192307692307692</v>
      </c>
      <c r="AI929" s="50" t="n">
        <f aca="false">AH929*CB929</f>
        <v>2.98076923076923</v>
      </c>
      <c r="AJ929" s="51" t="n">
        <f aca="false">IF(LEFT(Cockpit!$C$5,1)="A",H929,IF(CH929=1,(CK929+CI929)/2,IF(LEFT(Cockpit!$C$5,1)="B",(CK929+AL929)/2,MAX((CK929+AL929)/2,H929))))</f>
        <v>8</v>
      </c>
      <c r="AK929" s="50" t="n">
        <f aca="false">AJ929*G929</f>
        <v>115.6</v>
      </c>
      <c r="AL929" s="50" t="n">
        <f aca="false">ROUNDUP(CK929+MAX(CL929,2*(J929/IF(CG929&gt;0,CG929,MAX(0.1,N(Cockpit!$C$6)))-CK929)),0)</f>
        <v>5</v>
      </c>
      <c r="AM929" s="51" t="n">
        <f aca="false">IF(AI929&gt;0,J929/AI929,-1)</f>
        <v>2.34838709677419</v>
      </c>
      <c r="AN929" s="51" t="n">
        <f aca="false">IF(AND(OR(CF929="L1",CF929="L23",CF929="LIFT"),AI929&gt;0),SUMIFS($AI$7:$AI$1843,$CF$7:$CF$1843,CF929,$AM$7:$AM$1843,"&gt;"&amp;AM929)+SUMIFS($AI$7:$AI$1843,$CF$7:$CF$1843,CF929,$AM$7:$AM$1843,AM929,$BW$7:$BW$1843,"&lt;="&amp;BW929),"")</f>
        <v>5634.19917582418</v>
      </c>
      <c r="AO929" s="58" t="n">
        <f aca="false">IF(AN929="",0,MAX(0,MIN(1,(IF(CF929="L1",Parameter!$H$5,IF(CF929="L23",Parameter!$H$6+Parameter!$H$7,Parameter!$H$5+Parameter!$H$6+Parameter!$H$7))-(AN929-AI929))/AI929)))</f>
        <v>1</v>
      </c>
      <c r="AP929" s="50" t="n">
        <f aca="false">IF(LEFT(Cockpit!$I$5,1)="A",H929,IF(Parameter!$E$30="MAX-Bestand",IF(CH929=1,CI929,IF(LEFT(Cockpit!$I$5,1)="B",AV929,MAX(AV929,H929))),ROUNDUP(AT929,0)))</f>
        <v>8</v>
      </c>
      <c r="AQ929" s="50" t="n">
        <f aca="false">IF(BZ929=1,0,ROUNDUP(AP929/BY929,0))</f>
        <v>1</v>
      </c>
      <c r="AR929" s="52" t="n">
        <f aca="false">IF(CQ929&gt;0,CQ929*MAX(1,AP929/X929),IF(BZ929=1,IF(AP929&lt;=0,0,CD929*MAX(1,IF(H929&gt;0,AP929/H929,1))),IF(R929&gt;0,AQ929/R929,0))/MAX(0.1,N(Parameter!$M$21)))</f>
        <v>0.0192307692307692</v>
      </c>
      <c r="AS929" s="50" t="n">
        <f aca="false">AR929*CB929</f>
        <v>2.98076923076923</v>
      </c>
      <c r="AT929" s="51" t="n">
        <f aca="false">IF(LEFT(Cockpit!$I$5,1)="A",H929,IF(CH929=1,(CK929+CI929)/2,IF(LEFT(Cockpit!$I$5,1)="B",(CK929+AV929)/2,MAX((CK929+AV929)/2,H929))))</f>
        <v>8</v>
      </c>
      <c r="AU929" s="50" t="n">
        <f aca="false">AT929*G929</f>
        <v>115.6</v>
      </c>
      <c r="AV929" s="50" t="n">
        <f aca="false">ROUNDUP(CK929+MAX(CL929,2*(J929/IF(CG929&gt;0,CG929,MAX(0.1,N(Cockpit!$I$6)))-CK929)),0)</f>
        <v>5</v>
      </c>
      <c r="AW929" s="51" t="n">
        <f aca="false">IF(AS929&gt;0,J929/AS929,-1)</f>
        <v>2.34838709677419</v>
      </c>
      <c r="AX929" s="51" t="n">
        <f aca="false">IF(AND(OR(CF929="L1",CF929="L23",CF929="LIFT"),AS929&gt;0),SUMIFS($AS$7:$AS$1843,$CF$7:$CF$1843,CF929,$AW$7:$AW$1843,"&gt;"&amp;AW929)+SUMIFS($AS$7:$AS$1843,$CF$7:$CF$1843,CF929,$AW$7:$AW$1843,AW929,$BW$7:$BW$1843,"&lt;="&amp;BW929),"")</f>
        <v>6456.59386446887</v>
      </c>
      <c r="AY929" s="58" t="n">
        <f aca="false">IF(AX929="",0,MAX(0,MIN(1,(IF(CF929="L1",Parameter!$H$5,IF(CF929="L23",Parameter!$H$6+Parameter!$H$7,Parameter!$H$5+Parameter!$H$6+Parameter!$H$7))-(AX929-AS929))/AS929)))</f>
        <v>1</v>
      </c>
      <c r="AZ929" s="50" t="n">
        <f aca="false">IF(LEFT(Cockpit!$O$5,1)="A",H929,IF(Parameter!$E$30="MAX-Bestand",IF(CH929=1,CI929,IF(LEFT(Cockpit!$O$5,1)="B",BF929,MAX(BF929,H929))),ROUNDUP(BD929,0)))</f>
        <v>3</v>
      </c>
      <c r="BA929" s="50" t="n">
        <f aca="false">IF(BZ929=1,0,ROUNDUP(AZ929/BY929,0))</f>
        <v>1</v>
      </c>
      <c r="BB929" s="52" t="n">
        <f aca="false">IF(CQ929&gt;0,CQ929*MAX(1,AZ929/X929),IF(BZ929=1,IF(AZ929&lt;=0,0,CD929*MAX(1,IF(H929&gt;0,AZ929/H929,1))),IF(R929&gt;0,BA929/R929,0))/MAX(0.1,N(Parameter!$M$21)))</f>
        <v>0.0192307692307692</v>
      </c>
      <c r="BC929" s="50" t="n">
        <f aca="false">BB929*CB929</f>
        <v>2.98076923076923</v>
      </c>
      <c r="BD929" s="51" t="n">
        <f aca="false">IF(LEFT(Cockpit!$O$5,1)="A",H929,IF(CH929=1,(CK929+CI929)/2,IF(LEFT(Cockpit!$O$5,1)="B",(CK929+BF929)/2,MAX((CK929+BF929)/2,H929))))</f>
        <v>2.5</v>
      </c>
      <c r="BE929" s="50" t="n">
        <f aca="false">BD929*G929</f>
        <v>36.125</v>
      </c>
      <c r="BF929" s="50" t="n">
        <f aca="false">ROUNDUP(CK929+MAX(CL929,2*(J929/IF(CG929&gt;0,CG929,MAX(0.1,N(Cockpit!$O$6)))-CK929)),0)</f>
        <v>5</v>
      </c>
      <c r="BG929" s="51" t="n">
        <f aca="false">IF(BC929&gt;0,J929/BC929,-1)</f>
        <v>2.34838709677419</v>
      </c>
      <c r="BH929" s="51" t="n">
        <f aca="false">IF(AND(OR(CF929="L1",CF929="L23",CF929="LIFT"),BC929&gt;0),SUMIFS($BC$7:$BC$1843,$CF$7:$CF$1843,CF929,$BG$7:$BG$1843,"&gt;"&amp;BG929)+SUMIFS($BC$7:$BC$1843,$CF$7:$CF$1843,CF929,$BG$7:$BG$1843,BG929,$BW$7:$BW$1843,"&lt;="&amp;BW929),"")</f>
        <v>5610.46153846154</v>
      </c>
      <c r="BI929" s="58" t="n">
        <f aca="false">IF(BH929="",0,MAX(0,MIN(1,(IF(CF929="L1",Parameter!$H$5,IF(CF929="L23",Parameter!$H$6+Parameter!$H$7,Parameter!$H$5+Parameter!$H$6+Parameter!$H$7))-(BH929-BC929))/BC929)))</f>
        <v>1</v>
      </c>
      <c r="BJ929" s="48" t="str">
        <f aca="false">IF(AI929&lt;=0,"",IF(CF929="Aussen","Aussenlager",IF(CF929="-","Nicht im Lift",IF(AO929&gt;=1,"Lift",IF(AO929&lt;=0,"Aussenlager","teilweise")))))</f>
        <v>Lift</v>
      </c>
      <c r="BK929" s="48" t="str">
        <f aca="false">IF(AS929&lt;=0,"",IF(CF929="Aussen","Aussenlager",IF(CF929="-","Nicht im Lift",IF(AY929&gt;=1,"Lift",IF(AY929&lt;=0,"Aussenlager","teilweise")))))</f>
        <v>Lift</v>
      </c>
      <c r="BL929" s="48" t="str">
        <f aca="false">IF(BC929&lt;=0,"",IF(CF929="Aussen","Aussenlager",IF(CF929="-","Nicht im Lift",IF(BI929&gt;=1,"Lift",IF(BI929&lt;=0,"Aussenlager","teilweise")))))</f>
        <v>Lift</v>
      </c>
      <c r="BM929" s="48" t="str">
        <f aca="false">IF(A929="","",IF(BV929=1,"Neu; ","")&amp;IF(AND(BV929=0,BQ929&lt;0),"negativer Bestand (Export "&amp;BQ929&amp;"); ","")&amp;IF(J929&lt;=0,"Kein Verbrauch; ","")&amp;IF(CQ929&gt;0,"Lift "&amp;W929&amp;" lt. Liftbericht (Fach "&amp;X929&amp;" Stk); ",IF(CA929=1,"Gebinde geschätzt ("&amp;T929&amp;"); ",IF(BZ929=1,"Lose – Tablare geschätzt; ","")))&amp;IF(H929&gt;AV929,"Überbestand "&amp;ROUND(H929-AV929,0)&amp;" Stk / CHF "&amp;ROUND((H929-AV929)*G929,0)&amp;"; ","")&amp;IF(AND(CH929=1,CI929&lt;CJ929),"MAX &lt; MB+LG; ","")&amp;IF(AND(CP929&gt;0,CO929*10&gt;CP929),"zu hoch für Tablar; ","")&amp;IF(AND(BV929=0,OR(CH929=1,AA929&lt;&gt;"",U929&lt;&gt;"",V929&lt;&gt;"",AB929&lt;&gt;"")),"manuell übersteuert; ","")&amp;IF(AND(BZ929=0,R929=0),"Gebinde unbekannt / Stellmass fehlt; ","")&amp;IF(AND(BZ929=0,N(V929)&lt;=0,N(Q929)&lt;=0),"Menge pro Gebinde fehlt (Ist = 1 Gebinde); ","")&amp;BU929)</f>
        <v>negativer Bestand (Export -3); Überbestand 3 Stk / CHF 43; </v>
      </c>
      <c r="BN929" s="48"/>
      <c r="BO929" s="48"/>
      <c r="BP929" s="55"/>
      <c r="BQ929" s="50" t="n">
        <v>-3</v>
      </c>
      <c r="BR929" s="50" t="n">
        <v>11</v>
      </c>
      <c r="BS929" s="49" t="n">
        <v>-48.63</v>
      </c>
      <c r="BT929" s="50" t="n">
        <v>7</v>
      </c>
      <c r="BU929" s="48"/>
      <c r="BV929" s="53" t="n">
        <v>0</v>
      </c>
      <c r="BW929" s="53" t="n">
        <v>929</v>
      </c>
      <c r="BX929" s="48" t="str">
        <f aca="false">IF(U929&lt;&gt;"",UPPER(TRIM(U929)),IF(CA929=1,UPPER(VLOOKUP(T929,Parameter!$I$27:$K$29,2,0)),IF(P929="","LOSE",P929)))</f>
        <v>S41</v>
      </c>
      <c r="BY929" s="50" t="n">
        <f aca="false">IF(BX929="LOSE",1,IF(N(V929)&gt;0,V929,IF(CA929=1,MAX(1,N(VLOOKUP(T929,Parameter!$I$27:$K$29,3,0)),H929,N(N929)),IF(N(Q929)&gt;0,Q929,MAX(1,H929)))))</f>
        <v>22</v>
      </c>
      <c r="BZ929" s="53" t="n">
        <f aca="false">IF(BX929="LOSE",1,0)</f>
        <v>0</v>
      </c>
      <c r="CA929" s="53" t="n">
        <f aca="false">IF(AND(U929="",OR(P929="",P929="LOSE"),T929&lt;&gt;"",N(S929)&lt;=0,ISNUMBER(MATCH(T929,Parameter!$I$27:$I$29,0))),1,0)</f>
        <v>0</v>
      </c>
      <c r="CB929" s="53" t="n">
        <f aca="false">IF(CQ929&gt;0,INDEX(Parameter!$H$5:$H$7,W929)/INDEX(Parameter!$E$5:$E$7,W929),IF(AND(BZ929=0,N(IFERROR(VLOOKUP(BX929,'Gebinde-Kategorie'!$A$5:$N$45,14,0),0))&gt;0),VLOOKUP(BX929,'Gebinde-Kategorie'!$A$5:$N$45,14,0)*10+Parameter!$M$23,Parameter!$M$24))</f>
        <v>155</v>
      </c>
      <c r="CC929" s="48" t="str">
        <f aca="false">IF(AND(Parameter!$B$19="Ja",E929&lt;&gt;"",ISNUMBER(MATCH(E929,Parameter!$I$35:$I$52,0))),VLOOKUP(E929,Parameter!$I$35:$J$52,2,0),IFERROR(VLOOKUP(D929,Parameter!$A$35:$C$64,2,0),"Nein"))</f>
        <v>2+3</v>
      </c>
      <c r="CD929" s="52" t="n">
        <f aca="false">IF(BZ929=0,0,IF(N(S929)&gt;0,S929,IFERROR(VLOOKUP(D929,Parameter!$A$35:$C$64,3,0)+0,0)))</f>
        <v>0</v>
      </c>
      <c r="CE929" s="48" t="n">
        <f aca="false">IF(AA929&lt;&gt;"",AA929,Z929)</f>
        <v>3</v>
      </c>
      <c r="CF929" s="48" t="str">
        <f aca="false">IF(OR(CE929=1,CE929=2,CE929=3),IF(Parameter!$E$27="Ja","LIFT",IF(CE929=1,"L1","L23")),IF(CE929="Aussen","Aussen","-"))</f>
        <v>LIFT</v>
      </c>
      <c r="CG929" s="59" t="n">
        <f aca="false">IF(N(AB929)&gt;0,AB929,0)</f>
        <v>0</v>
      </c>
      <c r="CH929" s="53" t="n">
        <f aca="false">IF(ISNUMBER(AE929),1,0)</f>
        <v>0</v>
      </c>
      <c r="CI929" s="50" t="n">
        <f aca="false">N(AE929)</f>
        <v>0</v>
      </c>
      <c r="CJ929" s="50" t="n">
        <f aca="false">N(M929)+N(N929)</f>
        <v>5</v>
      </c>
      <c r="CK929" s="50" t="n">
        <f aca="false">N(M929)</f>
        <v>0</v>
      </c>
      <c r="CL929" s="50" t="n">
        <f aca="false">N(N929)</f>
        <v>5</v>
      </c>
      <c r="CM929" s="50" t="n">
        <f aca="false">ROUNDUP(H929/BY929,0)</f>
        <v>1</v>
      </c>
      <c r="CN929" s="50" t="n">
        <f aca="false">ROUNDUP(CI929/BY929,0)</f>
        <v>0</v>
      </c>
      <c r="CO929" s="53" t="n">
        <f aca="false">IF(BZ929=1,0,IFERROR(VLOOKUP(BX929,'Gebinde-Kategorie'!$A$5:$N$45,5,0)+0,0))</f>
        <v>11</v>
      </c>
      <c r="CP929" s="53" t="n">
        <f aca="false">IFERROR(IF(OR(CE929=1,CE929=2,CE929=3),N(INDEX(Parameter!$I$5:$I$7,CE929)),0),0)</f>
        <v>0</v>
      </c>
      <c r="CQ929" s="52" t="n">
        <f aca="false">IF(AND(Parameter!$B$21="Ja",ISNUMBER(W929),N(X929)&gt;0),IFERROR(N(INDEX(Parameter!$L$5:$L$7,W929))*INDEX(Parameter!$E$5:$E$7,W929)*X929/SUMIFS($X$7:$X$1843,$W$7:$W$1843,W929),0),0)</f>
        <v>0</v>
      </c>
    </row>
    <row r="930" customFormat="false" ht="15" hidden="false" customHeight="false" outlineLevel="0" collapsed="false">
      <c r="A930" s="48" t="s">
        <v>1743</v>
      </c>
      <c r="B930" s="48" t="s">
        <v>1744</v>
      </c>
      <c r="C930" s="48" t="s">
        <v>173</v>
      </c>
      <c r="D930" s="48" t="s">
        <v>193</v>
      </c>
      <c r="E930" s="48" t="s">
        <v>194</v>
      </c>
      <c r="F930" s="48" t="s">
        <v>227</v>
      </c>
      <c r="G930" s="49" t="n">
        <v>48.79</v>
      </c>
      <c r="H930" s="50" t="n">
        <f aca="false">MAX(0,IF(AND(Parameter!$B$21="Ja",ISNUMBER(Y930)),Y930,IF(Parameter!$B$20="Jahresanfang 2025 + Export",BR930+BQ930,BQ930)))</f>
        <v>4</v>
      </c>
      <c r="I930" s="50" t="n">
        <f aca="false">H930*G930</f>
        <v>195.16</v>
      </c>
      <c r="J930" s="50" t="n">
        <f aca="false">BT930*Parameter!$B$18</f>
        <v>0</v>
      </c>
      <c r="K930" s="51" t="n">
        <v>5</v>
      </c>
      <c r="L930" s="52" t="n">
        <v>0</v>
      </c>
      <c r="M930" s="50" t="n">
        <v>0</v>
      </c>
      <c r="N930" s="50" t="n">
        <v>1</v>
      </c>
      <c r="O930" s="53" t="n">
        <v>42</v>
      </c>
      <c r="P930" s="48" t="s">
        <v>410</v>
      </c>
      <c r="Q930" s="50" t="n">
        <v>5</v>
      </c>
      <c r="R930" s="53" t="n">
        <f aca="false">IF(BZ930=1,0,IFERROR(VLOOKUP(BX930,'Gebinde-Kategorie'!$A$5:$N$45,13,0)+0,0))</f>
        <v>280</v>
      </c>
      <c r="S930" s="54"/>
      <c r="T930" s="55"/>
      <c r="U930" s="55"/>
      <c r="V930" s="55"/>
      <c r="W930" s="48"/>
      <c r="X930" s="50"/>
      <c r="Y930" s="50"/>
      <c r="Z930" s="48" t="n">
        <f aca="false">IF(A930="","",IF(AND(Parameter!$B$21="Ja",ISNUMBER(W930)),W930,IF(CC930="2+3",IF(ISNUMBER(SEARCH("grosser Artikel",BU930)),2,IFERROR(VLOOKUP(BX930,Parameter!$F$35:$G$64,2,0),2)),IF(OR(CC930="Nein",CC930=""),"-",CC930))))</f>
        <v>3</v>
      </c>
      <c r="AA930" s="55"/>
      <c r="AB930" s="56"/>
      <c r="AC930" s="50" t="n">
        <f aca="false">AV930</f>
        <v>1</v>
      </c>
      <c r="AD930" s="50" t="n">
        <f aca="false">MAX(AV930,H930)</f>
        <v>4</v>
      </c>
      <c r="AE930" s="57"/>
      <c r="AF930" s="50" t="n">
        <f aca="false">IF(LEFT(Cockpit!$C$5,1)="A",H930,IF(Parameter!$E$30="MAX-Bestand",IF(CH930=1,CI930,IF(LEFT(Cockpit!$C$5,1)="B",AL930,MAX(AL930,H930))),ROUNDUP(AJ930,0)))</f>
        <v>4</v>
      </c>
      <c r="AG930" s="50" t="n">
        <f aca="false">IF(BZ930=1,0,ROUNDUP(AF930/BY930,0))</f>
        <v>1</v>
      </c>
      <c r="AH930" s="52" t="n">
        <f aca="false">IF(CQ930&gt;0,CQ930*MAX(1,AF930/X930),IF(BZ930=1,IF(AF930&lt;=0,0,CD930*MAX(1,IF(H930&gt;0,AF930/H930,1))),IF(R930&gt;0,AG930/R930,0))/MAX(0.1,N(Parameter!$M$21)))</f>
        <v>0.00357142857142857</v>
      </c>
      <c r="AI930" s="50" t="n">
        <f aca="false">AH930*CB930</f>
        <v>0.553571428571429</v>
      </c>
      <c r="AJ930" s="51" t="n">
        <f aca="false">IF(LEFT(Cockpit!$C$5,1)="A",H930,IF(CH930=1,(CK930+CI930)/2,IF(LEFT(Cockpit!$C$5,1)="B",(CK930+AL930)/2,MAX((CK930+AL930)/2,H930))))</f>
        <v>4</v>
      </c>
      <c r="AK930" s="50" t="n">
        <f aca="false">AJ930*G930</f>
        <v>195.16</v>
      </c>
      <c r="AL930" s="50" t="n">
        <f aca="false">ROUNDUP(CK930+MAX(CL930,2*(J930/IF(CG930&gt;0,CG930,MAX(0.1,N(Cockpit!$C$6)))-CK930)),0)</f>
        <v>1</v>
      </c>
      <c r="AM930" s="51" t="n">
        <f aca="false">IF(AI930&gt;0,J930/AI930,-1)</f>
        <v>0</v>
      </c>
      <c r="AN930" s="51" t="n">
        <f aca="false">IF(AND(OR(CF930="L1",CF930="L23",CF930="LIFT"),AI930&gt;0),SUMIFS($AI$7:$AI$1843,$CF$7:$CF$1843,CF930,$AM$7:$AM$1843,"&gt;"&amp;AM930)+SUMIFS($AI$7:$AI$1843,$CF$7:$CF$1843,CF930,$AM$7:$AM$1843,AM930,$BW$7:$BW$1843,"&lt;="&amp;BW930),"")</f>
        <v>28863.0784648497</v>
      </c>
      <c r="AO930" s="58" t="n">
        <f aca="false">IF(AN930="",0,MAX(0,MIN(1,(IF(CF930="L1",Parameter!$H$5,IF(CF930="L23",Parameter!$H$6+Parameter!$H$7,Parameter!$H$5+Parameter!$H$6+Parameter!$H$7))-(AN930-AI930))/AI930)))</f>
        <v>1</v>
      </c>
      <c r="AP930" s="50" t="n">
        <f aca="false">IF(LEFT(Cockpit!$I$5,1)="A",H930,IF(Parameter!$E$30="MAX-Bestand",IF(CH930=1,CI930,IF(LEFT(Cockpit!$I$5,1)="B",AV930,MAX(AV930,H930))),ROUNDUP(AT930,0)))</f>
        <v>4</v>
      </c>
      <c r="AQ930" s="50" t="n">
        <f aca="false">IF(BZ930=1,0,ROUNDUP(AP930/BY930,0))</f>
        <v>1</v>
      </c>
      <c r="AR930" s="52" t="n">
        <f aca="false">IF(CQ930&gt;0,CQ930*MAX(1,AP930/X930),IF(BZ930=1,IF(AP930&lt;=0,0,CD930*MAX(1,IF(H930&gt;0,AP930/H930,1))),IF(R930&gt;0,AQ930/R930,0))/MAX(0.1,N(Parameter!$M$21)))</f>
        <v>0.00357142857142857</v>
      </c>
      <c r="AS930" s="50" t="n">
        <f aca="false">AR930*CB930</f>
        <v>0.553571428571429</v>
      </c>
      <c r="AT930" s="51" t="n">
        <f aca="false">IF(LEFT(Cockpit!$I$5,1)="A",H930,IF(CH930=1,(CK930+CI930)/2,IF(LEFT(Cockpit!$I$5,1)="B",(CK930+AV930)/2,MAX((CK930+AV930)/2,H930))))</f>
        <v>4</v>
      </c>
      <c r="AU930" s="50" t="n">
        <f aca="false">AT930*G930</f>
        <v>195.16</v>
      </c>
      <c r="AV930" s="50" t="n">
        <f aca="false">ROUNDUP(CK930+MAX(CL930,2*(J930/IF(CG930&gt;0,CG930,MAX(0.1,N(Cockpit!$I$6)))-CK930)),0)</f>
        <v>1</v>
      </c>
      <c r="AW930" s="51" t="n">
        <f aca="false">IF(AS930&gt;0,J930/AS930,-1)</f>
        <v>0</v>
      </c>
      <c r="AX930" s="51" t="n">
        <f aca="false">IF(AND(OR(CF930="L1",CF930="L23",CF930="LIFT"),AS930&gt;0),SUMIFS($AS$7:$AS$1843,$CF$7:$CF$1843,CF930,$AW$7:$AW$1843,"&gt;"&amp;AW930)+SUMIFS($AS$7:$AS$1843,$CF$7:$CF$1843,CF930,$AW$7:$AW$1843,AW930,$BW$7:$BW$1843,"&lt;="&amp;BW930),"")</f>
        <v>34525.0499084249</v>
      </c>
      <c r="AY930" s="58" t="n">
        <f aca="false">IF(AX930="",0,MAX(0,MIN(1,(IF(CF930="L1",Parameter!$H$5,IF(CF930="L23",Parameter!$H$6+Parameter!$H$7,Parameter!$H$5+Parameter!$H$6+Parameter!$H$7))-(AX930-AS930))/AS930)))</f>
        <v>1</v>
      </c>
      <c r="AZ930" s="50" t="n">
        <f aca="false">IF(LEFT(Cockpit!$O$5,1)="A",H930,IF(Parameter!$E$30="MAX-Bestand",IF(CH930=1,CI930,IF(LEFT(Cockpit!$O$5,1)="B",BF930,MAX(BF930,H930))),ROUNDUP(BD930,0)))</f>
        <v>1</v>
      </c>
      <c r="BA930" s="50" t="n">
        <f aca="false">IF(BZ930=1,0,ROUNDUP(AZ930/BY930,0))</f>
        <v>1</v>
      </c>
      <c r="BB930" s="52" t="n">
        <f aca="false">IF(CQ930&gt;0,CQ930*MAX(1,AZ930/X930),IF(BZ930=1,IF(AZ930&lt;=0,0,CD930*MAX(1,IF(H930&gt;0,AZ930/H930,1))),IF(R930&gt;0,BA930/R930,0))/MAX(0.1,N(Parameter!$M$21)))</f>
        <v>0.00357142857142857</v>
      </c>
      <c r="BC930" s="50" t="n">
        <f aca="false">BB930*CB930</f>
        <v>0.553571428571429</v>
      </c>
      <c r="BD930" s="51" t="n">
        <f aca="false">IF(LEFT(Cockpit!$O$5,1)="A",H930,IF(CH930=1,(CK930+CI930)/2,IF(LEFT(Cockpit!$O$5,1)="B",(CK930+BF930)/2,MAX((CK930+BF930)/2,H930))))</f>
        <v>0.5</v>
      </c>
      <c r="BE930" s="50" t="n">
        <f aca="false">BD930*G930</f>
        <v>24.395</v>
      </c>
      <c r="BF930" s="50" t="n">
        <f aca="false">ROUNDUP(CK930+MAX(CL930,2*(J930/IF(CG930&gt;0,CG930,MAX(0.1,N(Cockpit!$O$6)))-CK930)),0)</f>
        <v>1</v>
      </c>
      <c r="BG930" s="51" t="n">
        <f aca="false">IF(BC930&gt;0,J930/BC930,-1)</f>
        <v>0</v>
      </c>
      <c r="BH930" s="51" t="n">
        <f aca="false">IF(AND(OR(CF930="L1",CF930="L23",CF930="LIFT"),BC930&gt;0),SUMIFS($BC$7:$BC$1843,$CF$7:$CF$1843,CF930,$BG$7:$BG$1843,"&gt;"&amp;BG930)+SUMIFS($BC$7:$BC$1843,$CF$7:$CF$1843,CF930,$BG$7:$BG$1843,BG930,$BW$7:$BW$1843,"&lt;="&amp;BW930),"")</f>
        <v>28556.6560191221</v>
      </c>
      <c r="BI930" s="58" t="n">
        <f aca="false">IF(BH930="",0,MAX(0,MIN(1,(IF(CF930="L1",Parameter!$H$5,IF(CF930="L23",Parameter!$H$6+Parameter!$H$7,Parameter!$H$5+Parameter!$H$6+Parameter!$H$7))-(BH930-BC930))/BC930)))</f>
        <v>1</v>
      </c>
      <c r="BJ930" s="48" t="str">
        <f aca="false">IF(AI930&lt;=0,"",IF(CF930="Aussen","Aussenlager",IF(CF930="-","Nicht im Lift",IF(AO930&gt;=1,"Lift",IF(AO930&lt;=0,"Aussenlager","teilweise")))))</f>
        <v>Lift</v>
      </c>
      <c r="BK930" s="48" t="str">
        <f aca="false">IF(AS930&lt;=0,"",IF(CF930="Aussen","Aussenlager",IF(CF930="-","Nicht im Lift",IF(AY930&gt;=1,"Lift",IF(AY930&lt;=0,"Aussenlager","teilweise")))))</f>
        <v>Lift</v>
      </c>
      <c r="BL930" s="48" t="str">
        <f aca="false">IF(BC930&lt;=0,"",IF(CF930="Aussen","Aussenlager",IF(CF930="-","Nicht im Lift",IF(BI930&gt;=1,"Lift",IF(BI930&lt;=0,"Aussenlager","teilweise")))))</f>
        <v>Lift</v>
      </c>
      <c r="BM930" s="48" t="str">
        <f aca="false">IF(A930="","",IF(BV930=1,"Neu; ","")&amp;IF(AND(BV930=0,BQ930&lt;0),"negativer Bestand (Export "&amp;BQ930&amp;"); ","")&amp;IF(J930&lt;=0,"Kein Verbrauch; ","")&amp;IF(CQ930&gt;0,"Lift "&amp;W930&amp;" lt. Liftbericht (Fach "&amp;X930&amp;" Stk); ",IF(CA930=1,"Gebinde geschätzt ("&amp;T930&amp;"); ",IF(BZ930=1,"Lose – Tablare geschätzt; ","")))&amp;IF(H930&gt;AV930,"Überbestand "&amp;ROUND(H930-AV930,0)&amp;" Stk / CHF "&amp;ROUND((H930-AV930)*G930,0)&amp;"; ","")&amp;IF(AND(CH930=1,CI930&lt;CJ930),"MAX &lt; MB+LG; ","")&amp;IF(AND(CP930&gt;0,CO930*10&gt;CP930),"zu hoch für Tablar; ","")&amp;IF(AND(BV930=0,OR(CH930=1,AA930&lt;&gt;"",U930&lt;&gt;"",V930&lt;&gt;"",AB930&lt;&gt;"")),"manuell übersteuert; ","")&amp;IF(AND(BZ930=0,R930=0),"Gebinde unbekannt / Stellmass fehlt; ","")&amp;IF(AND(BZ930=0,N(V930)&lt;=0,N(Q930)&lt;=0),"Menge pro Gebinde fehlt (Ist = 1 Gebinde); ","")&amp;BU930)</f>
        <v>negativer Bestand (Export -1); Kein Verbrauch; Überbestand 3 Stk / CHF 146; B&amp;R; nicht im KTL vorhanden</v>
      </c>
      <c r="BN930" s="48"/>
      <c r="BO930" s="48"/>
      <c r="BP930" s="55"/>
      <c r="BQ930" s="50" t="n">
        <v>-1</v>
      </c>
      <c r="BR930" s="50" t="n">
        <v>5</v>
      </c>
      <c r="BS930" s="49" t="n">
        <v>-48.79</v>
      </c>
      <c r="BT930" s="50" t="n">
        <v>0</v>
      </c>
      <c r="BU930" s="48" t="s">
        <v>1745</v>
      </c>
      <c r="BV930" s="53" t="n">
        <v>0</v>
      </c>
      <c r="BW930" s="53" t="n">
        <v>930</v>
      </c>
      <c r="BX930" s="48" t="str">
        <f aca="false">IF(U930&lt;&gt;"",UPPER(TRIM(U930)),IF(CA930=1,UPPER(VLOOKUP(T930,Parameter!$I$27:$K$29,2,0)),IF(P930="","LOSE",P930)))</f>
        <v>S21</v>
      </c>
      <c r="BY930" s="50" t="n">
        <f aca="false">IF(BX930="LOSE",1,IF(N(V930)&gt;0,V930,IF(CA930=1,MAX(1,N(VLOOKUP(T930,Parameter!$I$27:$K$29,3,0)),H930,N(N930)),IF(N(Q930)&gt;0,Q930,MAX(1,H930)))))</f>
        <v>5</v>
      </c>
      <c r="BZ930" s="53" t="n">
        <f aca="false">IF(BX930="LOSE",1,0)</f>
        <v>0</v>
      </c>
      <c r="CA930" s="53" t="n">
        <f aca="false">IF(AND(U930="",OR(P930="",P930="LOSE"),T930&lt;&gt;"",N(S930)&lt;=0,ISNUMBER(MATCH(T930,Parameter!$I$27:$I$29,0))),1,0)</f>
        <v>0</v>
      </c>
      <c r="CB930" s="53" t="n">
        <f aca="false">IF(CQ930&gt;0,INDEX(Parameter!$H$5:$H$7,W930)/INDEX(Parameter!$E$5:$E$7,W930),IF(AND(BZ930=0,N(IFERROR(VLOOKUP(BX930,'Gebinde-Kategorie'!$A$5:$N$45,14,0),0))&gt;0),VLOOKUP(BX930,'Gebinde-Kategorie'!$A$5:$N$45,14,0)*10+Parameter!$M$23,Parameter!$M$24))</f>
        <v>155</v>
      </c>
      <c r="CC930" s="48" t="str">
        <f aca="false">IF(AND(Parameter!$B$19="Ja",E930&lt;&gt;"",ISNUMBER(MATCH(E930,Parameter!$I$35:$I$52,0))),VLOOKUP(E930,Parameter!$I$35:$J$52,2,0),IFERROR(VLOOKUP(D930,Parameter!$A$35:$C$64,2,0),"Nein"))</f>
        <v>2+3</v>
      </c>
      <c r="CD930" s="52" t="n">
        <f aca="false">IF(BZ930=0,0,IF(N(S930)&gt;0,S930,IFERROR(VLOOKUP(D930,Parameter!$A$35:$C$64,3,0)+0,0)))</f>
        <v>0</v>
      </c>
      <c r="CE930" s="48" t="n">
        <f aca="false">IF(AA930&lt;&gt;"",AA930,Z930)</f>
        <v>3</v>
      </c>
      <c r="CF930" s="48" t="str">
        <f aca="false">IF(OR(CE930=1,CE930=2,CE930=3),IF(Parameter!$E$27="Ja","LIFT",IF(CE930=1,"L1","L23")),IF(CE930="Aussen","Aussen","-"))</f>
        <v>LIFT</v>
      </c>
      <c r="CG930" s="59" t="n">
        <f aca="false">IF(N(AB930)&gt;0,AB930,0)</f>
        <v>0</v>
      </c>
      <c r="CH930" s="53" t="n">
        <f aca="false">IF(ISNUMBER(AE930),1,0)</f>
        <v>0</v>
      </c>
      <c r="CI930" s="50" t="n">
        <f aca="false">N(AE930)</f>
        <v>0</v>
      </c>
      <c r="CJ930" s="50" t="n">
        <f aca="false">N(M930)+N(N930)</f>
        <v>1</v>
      </c>
      <c r="CK930" s="50" t="n">
        <f aca="false">N(M930)</f>
        <v>0</v>
      </c>
      <c r="CL930" s="50" t="n">
        <f aca="false">N(N930)</f>
        <v>1</v>
      </c>
      <c r="CM930" s="50" t="n">
        <f aca="false">ROUNDUP(H930/BY930,0)</f>
        <v>1</v>
      </c>
      <c r="CN930" s="50" t="n">
        <f aca="false">ROUNDUP(CI930/BY930,0)</f>
        <v>0</v>
      </c>
      <c r="CO930" s="53" t="n">
        <f aca="false">IF(BZ930=1,0,IFERROR(VLOOKUP(BX930,'Gebinde-Kategorie'!$A$5:$N$45,5,0)+0,0))</f>
        <v>8</v>
      </c>
      <c r="CP930" s="53" t="n">
        <f aca="false">IFERROR(IF(OR(CE930=1,CE930=2,CE930=3),N(INDEX(Parameter!$I$5:$I$7,CE930)),0),0)</f>
        <v>0</v>
      </c>
      <c r="CQ930" s="52" t="n">
        <f aca="false">IF(AND(Parameter!$B$21="Ja",ISNUMBER(W930),N(X930)&gt;0),IFERROR(N(INDEX(Parameter!$L$5:$L$7,W930))*INDEX(Parameter!$E$5:$E$7,W930)*X930/SUMIFS($X$7:$X$1843,$W$7:$W$1843,W930),0),0)</f>
        <v>0</v>
      </c>
    </row>
    <row r="931" customFormat="false" ht="15" hidden="false" customHeight="false" outlineLevel="0" collapsed="false">
      <c r="A931" s="48" t="s">
        <v>1746</v>
      </c>
      <c r="B931" s="48" t="s">
        <v>1747</v>
      </c>
      <c r="C931" s="48" t="s">
        <v>173</v>
      </c>
      <c r="D931" s="48" t="s">
        <v>193</v>
      </c>
      <c r="E931" s="48" t="s">
        <v>194</v>
      </c>
      <c r="F931" s="48" t="s">
        <v>227</v>
      </c>
      <c r="G931" s="49" t="n">
        <v>1.2</v>
      </c>
      <c r="H931" s="50" t="n">
        <f aca="false">MAX(0,IF(AND(Parameter!$B$21="Ja",ISNUMBER(Y931)),Y931,IF(Parameter!$B$20="Jahresanfang 2025 + Export",BR931+BQ931,BQ931)))</f>
        <v>69</v>
      </c>
      <c r="I931" s="50" t="n">
        <f aca="false">H931*G931</f>
        <v>82.8</v>
      </c>
      <c r="J931" s="50" t="n">
        <f aca="false">BT931*Parameter!$B$18</f>
        <v>23</v>
      </c>
      <c r="K931" s="51" t="n">
        <v>96.5</v>
      </c>
      <c r="L931" s="52" t="n">
        <v>0.238341968911917</v>
      </c>
      <c r="M931" s="50" t="n">
        <v>0</v>
      </c>
      <c r="N931" s="50" t="n">
        <v>25</v>
      </c>
      <c r="O931" s="53" t="n">
        <v>14</v>
      </c>
      <c r="P931" s="48" t="s">
        <v>311</v>
      </c>
      <c r="Q931" s="50" t="n">
        <v>54</v>
      </c>
      <c r="R931" s="53" t="n">
        <f aca="false">IF(BZ931=1,0,IFERROR(VLOOKUP(BX931,'Gebinde-Kategorie'!$A$5:$N$45,13,0)+0,0))</f>
        <v>26</v>
      </c>
      <c r="S931" s="54"/>
      <c r="T931" s="55"/>
      <c r="U931" s="55"/>
      <c r="V931" s="55"/>
      <c r="W931" s="48"/>
      <c r="X931" s="50"/>
      <c r="Y931" s="50"/>
      <c r="Z931" s="48" t="n">
        <f aca="false">IF(A931="","",IF(AND(Parameter!$B$21="Ja",ISNUMBER(W931)),W931,IF(CC931="2+3",IF(ISNUMBER(SEARCH("grosser Artikel",BU931)),2,IFERROR(VLOOKUP(BX931,Parameter!$F$35:$G$64,2,0),2)),IF(OR(CC931="Nein",CC931=""),"-",CC931))))</f>
        <v>3</v>
      </c>
      <c r="AA931" s="55"/>
      <c r="AB931" s="56"/>
      <c r="AC931" s="50" t="n">
        <f aca="false">AV931</f>
        <v>25</v>
      </c>
      <c r="AD931" s="50" t="n">
        <f aca="false">MAX(AV931,H931)</f>
        <v>69</v>
      </c>
      <c r="AE931" s="57"/>
      <c r="AF931" s="50" t="n">
        <f aca="false">IF(LEFT(Cockpit!$C$5,1)="A",H931,IF(Parameter!$E$30="MAX-Bestand",IF(CH931=1,CI931,IF(LEFT(Cockpit!$C$5,1)="B",AL931,MAX(AL931,H931))),ROUNDUP(AJ931,0)))</f>
        <v>69</v>
      </c>
      <c r="AG931" s="50" t="n">
        <f aca="false">IF(BZ931=1,0,ROUNDUP(AF931/BY931,0))</f>
        <v>2</v>
      </c>
      <c r="AH931" s="52" t="n">
        <f aca="false">IF(CQ931&gt;0,CQ931*MAX(1,AF931/X931),IF(BZ931=1,IF(AF931&lt;=0,0,CD931*MAX(1,IF(H931&gt;0,AF931/H931,1))),IF(R931&gt;0,AG931/R931,0))/MAX(0.1,N(Parameter!$M$21)))</f>
        <v>0.0769230769230769</v>
      </c>
      <c r="AI931" s="50" t="n">
        <f aca="false">AH931*CB931</f>
        <v>11.9230769230769</v>
      </c>
      <c r="AJ931" s="51" t="n">
        <f aca="false">IF(LEFT(Cockpit!$C$5,1)="A",H931,IF(CH931=1,(CK931+CI931)/2,IF(LEFT(Cockpit!$C$5,1)="B",(CK931+AL931)/2,MAX((CK931+AL931)/2,H931))))</f>
        <v>69</v>
      </c>
      <c r="AK931" s="50" t="n">
        <f aca="false">AJ931*G931</f>
        <v>82.8</v>
      </c>
      <c r="AL931" s="50" t="n">
        <f aca="false">ROUNDUP(CK931+MAX(CL931,2*(J931/IF(CG931&gt;0,CG931,MAX(0.1,N(Cockpit!$C$6)))-CK931)),0)</f>
        <v>25</v>
      </c>
      <c r="AM931" s="51" t="n">
        <f aca="false">IF(AI931&gt;0,J931/AI931,-1)</f>
        <v>1.92903225806452</v>
      </c>
      <c r="AN931" s="51" t="n">
        <f aca="false">IF(AND(OR(CF931="L1",CF931="L23",CF931="LIFT"),AI931&gt;0),SUMIFS($AI$7:$AI$1843,$CF$7:$CF$1843,CF931,$AM$7:$AM$1843,"&gt;"&amp;AM931)+SUMIFS($AI$7:$AI$1843,$CF$7:$CF$1843,CF931,$AM$7:$AM$1843,AM931,$BW$7:$BW$1843,"&lt;="&amp;BW931),"")</f>
        <v>5863.42994505495</v>
      </c>
      <c r="AO931" s="58" t="n">
        <f aca="false">IF(AN931="",0,MAX(0,MIN(1,(IF(CF931="L1",Parameter!$H$5,IF(CF931="L23",Parameter!$H$6+Parameter!$H$7,Parameter!$H$5+Parameter!$H$6+Parameter!$H$7))-(AN931-AI931))/AI931)))</f>
        <v>1</v>
      </c>
      <c r="AP931" s="50" t="n">
        <f aca="false">IF(LEFT(Cockpit!$I$5,1)="A",H931,IF(Parameter!$E$30="MAX-Bestand",IF(CH931=1,CI931,IF(LEFT(Cockpit!$I$5,1)="B",AV931,MAX(AV931,H931))),ROUNDUP(AT931,0)))</f>
        <v>69</v>
      </c>
      <c r="AQ931" s="50" t="n">
        <f aca="false">IF(BZ931=1,0,ROUNDUP(AP931/BY931,0))</f>
        <v>2</v>
      </c>
      <c r="AR931" s="52" t="n">
        <f aca="false">IF(CQ931&gt;0,CQ931*MAX(1,AP931/X931),IF(BZ931=1,IF(AP931&lt;=0,0,CD931*MAX(1,IF(H931&gt;0,AP931/H931,1))),IF(R931&gt;0,AQ931/R931,0))/MAX(0.1,N(Parameter!$M$21)))</f>
        <v>0.0769230769230769</v>
      </c>
      <c r="AS931" s="50" t="n">
        <f aca="false">AR931*CB931</f>
        <v>11.9230769230769</v>
      </c>
      <c r="AT931" s="51" t="n">
        <f aca="false">IF(LEFT(Cockpit!$I$5,1)="A",H931,IF(CH931=1,(CK931+CI931)/2,IF(LEFT(Cockpit!$I$5,1)="B",(CK931+AV931)/2,MAX((CK931+AV931)/2,H931))))</f>
        <v>69</v>
      </c>
      <c r="AU931" s="50" t="n">
        <f aca="false">AT931*G931</f>
        <v>82.8</v>
      </c>
      <c r="AV931" s="50" t="n">
        <f aca="false">ROUNDUP(CK931+MAX(CL931,2*(J931/IF(CG931&gt;0,CG931,MAX(0.1,N(Cockpit!$I$6)))-CK931)),0)</f>
        <v>25</v>
      </c>
      <c r="AW931" s="51" t="n">
        <f aca="false">IF(AS931&gt;0,J931/AS931,-1)</f>
        <v>1.92903225806452</v>
      </c>
      <c r="AX931" s="51" t="n">
        <f aca="false">IF(AND(OR(CF931="L1",CF931="L23",CF931="LIFT"),AS931&gt;0),SUMIFS($AS$7:$AS$1843,$CF$7:$CF$1843,CF931,$AW$7:$AW$1843,"&gt;"&amp;AW931)+SUMIFS($AS$7:$AS$1843,$CF$7:$CF$1843,CF931,$AW$7:$AW$1843,AW931,$BW$7:$BW$1843,"&lt;="&amp;BW931),"")</f>
        <v>7313.03617216117</v>
      </c>
      <c r="AY931" s="58" t="n">
        <f aca="false">IF(AX931="",0,MAX(0,MIN(1,(IF(CF931="L1",Parameter!$H$5,IF(CF931="L23",Parameter!$H$6+Parameter!$H$7,Parameter!$H$5+Parameter!$H$6+Parameter!$H$7))-(AX931-AS931))/AS931)))</f>
        <v>1</v>
      </c>
      <c r="AZ931" s="50" t="n">
        <f aca="false">IF(LEFT(Cockpit!$O$5,1)="A",H931,IF(Parameter!$E$30="MAX-Bestand",IF(CH931=1,CI931,IF(LEFT(Cockpit!$O$5,1)="B",BF931,MAX(BF931,H931))),ROUNDUP(BD931,0)))</f>
        <v>13</v>
      </c>
      <c r="BA931" s="50" t="n">
        <f aca="false">IF(BZ931=1,0,ROUNDUP(AZ931/BY931,0))</f>
        <v>1</v>
      </c>
      <c r="BB931" s="52" t="n">
        <f aca="false">IF(CQ931&gt;0,CQ931*MAX(1,AZ931/X931),IF(BZ931=1,IF(AZ931&lt;=0,0,CD931*MAX(1,IF(H931&gt;0,AZ931/H931,1))),IF(R931&gt;0,BA931/R931,0))/MAX(0.1,N(Parameter!$M$21)))</f>
        <v>0.0384615384615385</v>
      </c>
      <c r="BC931" s="50" t="n">
        <f aca="false">BB931*CB931</f>
        <v>5.96153846153846</v>
      </c>
      <c r="BD931" s="51" t="n">
        <f aca="false">IF(LEFT(Cockpit!$O$5,1)="A",H931,IF(CH931=1,(CK931+CI931)/2,IF(LEFT(Cockpit!$O$5,1)="B",(CK931+BF931)/2,MAX((CK931+BF931)/2,H931))))</f>
        <v>12.5</v>
      </c>
      <c r="BE931" s="50" t="n">
        <f aca="false">BD931*G931</f>
        <v>15</v>
      </c>
      <c r="BF931" s="50" t="n">
        <f aca="false">ROUNDUP(CK931+MAX(CL931,2*(J931/IF(CG931&gt;0,CG931,MAX(0.1,N(Cockpit!$O$6)))-CK931)),0)</f>
        <v>25</v>
      </c>
      <c r="BG931" s="51" t="n">
        <f aca="false">IF(BC931&gt;0,J931/BC931,-1)</f>
        <v>3.85806451612903</v>
      </c>
      <c r="BH931" s="51" t="n">
        <f aca="false">IF(AND(OR(CF931="L1",CF931="L23",CF931="LIFT"),BC931&gt;0),SUMIFS($BC$7:$BC$1843,$CF$7:$CF$1843,CF931,$BG$7:$BG$1843,"&gt;"&amp;BG931)+SUMIFS($BC$7:$BC$1843,$CF$7:$CF$1843,CF931,$BG$7:$BG$1843,BG931,$BW$7:$BW$1843,"&lt;="&amp;BW931),"")</f>
        <v>4276.68315018315</v>
      </c>
      <c r="BI931" s="58" t="n">
        <f aca="false">IF(BH931="",0,MAX(0,MIN(1,(IF(CF931="L1",Parameter!$H$5,IF(CF931="L23",Parameter!$H$6+Parameter!$H$7,Parameter!$H$5+Parameter!$H$6+Parameter!$H$7))-(BH931-BC931))/BC931)))</f>
        <v>1</v>
      </c>
      <c r="BJ931" s="48" t="str">
        <f aca="false">IF(AI931&lt;=0,"",IF(CF931="Aussen","Aussenlager",IF(CF931="-","Nicht im Lift",IF(AO931&gt;=1,"Lift",IF(AO931&lt;=0,"Aussenlager","teilweise")))))</f>
        <v>Lift</v>
      </c>
      <c r="BK931" s="48" t="str">
        <f aca="false">IF(AS931&lt;=0,"",IF(CF931="Aussen","Aussenlager",IF(CF931="-","Nicht im Lift",IF(AY931&gt;=1,"Lift",IF(AY931&lt;=0,"Aussenlager","teilweise")))))</f>
        <v>Lift</v>
      </c>
      <c r="BL931" s="48" t="str">
        <f aca="false">IF(BC931&lt;=0,"",IF(CF931="Aussen","Aussenlager",IF(CF931="-","Nicht im Lift",IF(BI931&gt;=1,"Lift",IF(BI931&lt;=0,"Aussenlager","teilweise")))))</f>
        <v>Lift</v>
      </c>
      <c r="BM931" s="48" t="str">
        <f aca="false">IF(A931="","",IF(BV931=1,"Neu; ","")&amp;IF(AND(BV931=0,BQ931&lt;0),"negativer Bestand (Export "&amp;BQ931&amp;"); ","")&amp;IF(J931&lt;=0,"Kein Verbrauch; ","")&amp;IF(CQ931&gt;0,"Lift "&amp;W931&amp;" lt. Liftbericht (Fach "&amp;X931&amp;" Stk); ",IF(CA931=1,"Gebinde geschätzt ("&amp;T931&amp;"); ",IF(BZ931=1,"Lose – Tablare geschätzt; ","")))&amp;IF(H931&gt;AV931,"Überbestand "&amp;ROUND(H931-AV931,0)&amp;" Stk / CHF "&amp;ROUND((H931-AV931)*G931,0)&amp;"; ","")&amp;IF(AND(CH931=1,CI931&lt;CJ931),"MAX &lt; MB+LG; ","")&amp;IF(AND(CP931&gt;0,CO931*10&gt;CP931),"zu hoch für Tablar; ","")&amp;IF(AND(BV931=0,OR(CH931=1,AA931&lt;&gt;"",U931&lt;&gt;"",V931&lt;&gt;"",AB931&lt;&gt;"")),"manuell übersteuert; ","")&amp;IF(AND(BZ931=0,R931=0),"Gebinde unbekannt / Stellmass fehlt; ","")&amp;IF(AND(BZ931=0,N(V931)&lt;=0,N(Q931)&lt;=0),"Menge pro Gebinde fehlt (Ist = 1 Gebinde); ","")&amp;BU931)</f>
        <v>negativer Bestand (Export -41); Überbestand 44 Stk / CHF 53; </v>
      </c>
      <c r="BN931" s="48"/>
      <c r="BO931" s="48"/>
      <c r="BP931" s="55"/>
      <c r="BQ931" s="50" t="n">
        <v>-41</v>
      </c>
      <c r="BR931" s="50" t="n">
        <v>110</v>
      </c>
      <c r="BS931" s="49" t="n">
        <v>-49.2</v>
      </c>
      <c r="BT931" s="50" t="n">
        <v>23</v>
      </c>
      <c r="BU931" s="48"/>
      <c r="BV931" s="53" t="n">
        <v>0</v>
      </c>
      <c r="BW931" s="53" t="n">
        <v>931</v>
      </c>
      <c r="BX931" s="48" t="str">
        <f aca="false">IF(U931&lt;&gt;"",UPPER(TRIM(U931)),IF(CA931=1,UPPER(VLOOKUP(T931,Parameter!$I$27:$K$29,2,0)),IF(P931="","LOSE",P931)))</f>
        <v>S51</v>
      </c>
      <c r="BY931" s="50" t="n">
        <f aca="false">IF(BX931="LOSE",1,IF(N(V931)&gt;0,V931,IF(CA931=1,MAX(1,N(VLOOKUP(T931,Parameter!$I$27:$K$29,3,0)),H931,N(N931)),IF(N(Q931)&gt;0,Q931,MAX(1,H931)))))</f>
        <v>54</v>
      </c>
      <c r="BZ931" s="53" t="n">
        <f aca="false">IF(BX931="LOSE",1,0)</f>
        <v>0</v>
      </c>
      <c r="CA931" s="53" t="n">
        <f aca="false">IF(AND(U931="",OR(P931="",P931="LOSE"),T931&lt;&gt;"",N(S931)&lt;=0,ISNUMBER(MATCH(T931,Parameter!$I$27:$I$29,0))),1,0)</f>
        <v>0</v>
      </c>
      <c r="CB931" s="53" t="n">
        <f aca="false">IF(CQ931&gt;0,INDEX(Parameter!$H$5:$H$7,W931)/INDEX(Parameter!$E$5:$E$7,W931),IF(AND(BZ931=0,N(IFERROR(VLOOKUP(BX931,'Gebinde-Kategorie'!$A$5:$N$45,14,0),0))&gt;0),VLOOKUP(BX931,'Gebinde-Kategorie'!$A$5:$N$45,14,0)*10+Parameter!$M$23,Parameter!$M$24))</f>
        <v>155</v>
      </c>
      <c r="CC931" s="48" t="str">
        <f aca="false">IF(AND(Parameter!$B$19="Ja",E931&lt;&gt;"",ISNUMBER(MATCH(E931,Parameter!$I$35:$I$52,0))),VLOOKUP(E931,Parameter!$I$35:$J$52,2,0),IFERROR(VLOOKUP(D931,Parameter!$A$35:$C$64,2,0),"Nein"))</f>
        <v>2+3</v>
      </c>
      <c r="CD931" s="52" t="n">
        <f aca="false">IF(BZ931=0,0,IF(N(S931)&gt;0,S931,IFERROR(VLOOKUP(D931,Parameter!$A$35:$C$64,3,0)+0,0)))</f>
        <v>0</v>
      </c>
      <c r="CE931" s="48" t="n">
        <f aca="false">IF(AA931&lt;&gt;"",AA931,Z931)</f>
        <v>3</v>
      </c>
      <c r="CF931" s="48" t="str">
        <f aca="false">IF(OR(CE931=1,CE931=2,CE931=3),IF(Parameter!$E$27="Ja","LIFT",IF(CE931=1,"L1","L23")),IF(CE931="Aussen","Aussen","-"))</f>
        <v>LIFT</v>
      </c>
      <c r="CG931" s="59" t="n">
        <f aca="false">IF(N(AB931)&gt;0,AB931,0)</f>
        <v>0</v>
      </c>
      <c r="CH931" s="53" t="n">
        <f aca="false">IF(ISNUMBER(AE931),1,0)</f>
        <v>0</v>
      </c>
      <c r="CI931" s="50" t="n">
        <f aca="false">N(AE931)</f>
        <v>0</v>
      </c>
      <c r="CJ931" s="50" t="n">
        <f aca="false">N(M931)+N(N931)</f>
        <v>25</v>
      </c>
      <c r="CK931" s="50" t="n">
        <f aca="false">N(M931)</f>
        <v>0</v>
      </c>
      <c r="CL931" s="50" t="n">
        <f aca="false">N(N931)</f>
        <v>25</v>
      </c>
      <c r="CM931" s="50" t="n">
        <f aca="false">ROUNDUP(H931/BY931,0)</f>
        <v>2</v>
      </c>
      <c r="CN931" s="50" t="n">
        <f aca="false">ROUNDUP(CI931/BY931,0)</f>
        <v>0</v>
      </c>
      <c r="CO931" s="53" t="n">
        <f aca="false">IF(BZ931=1,0,IFERROR(VLOOKUP(BX931,'Gebinde-Kategorie'!$A$5:$N$45,5,0)+0,0))</f>
        <v>11</v>
      </c>
      <c r="CP931" s="53" t="n">
        <f aca="false">IFERROR(IF(OR(CE931=1,CE931=2,CE931=3),N(INDEX(Parameter!$I$5:$I$7,CE931)),0),0)</f>
        <v>0</v>
      </c>
      <c r="CQ931" s="52" t="n">
        <f aca="false">IF(AND(Parameter!$B$21="Ja",ISNUMBER(W931),N(X931)&gt;0),IFERROR(N(INDEX(Parameter!$L$5:$L$7,W931))*INDEX(Parameter!$E$5:$E$7,W931)*X931/SUMIFS($X$7:$X$1843,$W$7:$W$1843,W931),0),0)</f>
        <v>0</v>
      </c>
    </row>
    <row r="932" customFormat="false" ht="15" hidden="false" customHeight="false" outlineLevel="0" collapsed="false">
      <c r="A932" s="48" t="s">
        <v>1748</v>
      </c>
      <c r="B932" s="48" t="s">
        <v>1749</v>
      </c>
      <c r="C932" s="48" t="s">
        <v>173</v>
      </c>
      <c r="D932" s="48" t="s">
        <v>193</v>
      </c>
      <c r="E932" s="48" t="s">
        <v>194</v>
      </c>
      <c r="F932" s="48" t="s">
        <v>227</v>
      </c>
      <c r="G932" s="49" t="n">
        <v>24.9</v>
      </c>
      <c r="H932" s="50" t="n">
        <f aca="false">MAX(0,IF(AND(Parameter!$B$21="Ja",ISNUMBER(Y932)),Y932,IF(Parameter!$B$20="Jahresanfang 2025 + Export",BR932+BQ932,BQ932)))</f>
        <v>21</v>
      </c>
      <c r="I932" s="50" t="n">
        <f aca="false">H932*G932</f>
        <v>522.9</v>
      </c>
      <c r="J932" s="50" t="n">
        <f aca="false">BT932*Parameter!$B$18</f>
        <v>2</v>
      </c>
      <c r="K932" s="51" t="n">
        <v>22</v>
      </c>
      <c r="L932" s="52" t="n">
        <v>0.0909090909090909</v>
      </c>
      <c r="M932" s="50" t="n">
        <v>0</v>
      </c>
      <c r="N932" s="50" t="n">
        <v>1</v>
      </c>
      <c r="O932" s="53" t="n">
        <v>35</v>
      </c>
      <c r="P932" s="48" t="s">
        <v>430</v>
      </c>
      <c r="Q932" s="50" t="n">
        <v>26</v>
      </c>
      <c r="R932" s="53" t="n">
        <f aca="false">IF(BZ932=1,0,IFERROR(VLOOKUP(BX932,'Gebinde-Kategorie'!$A$5:$N$45,13,0)+0,0))</f>
        <v>104</v>
      </c>
      <c r="S932" s="54"/>
      <c r="T932" s="55"/>
      <c r="U932" s="55"/>
      <c r="V932" s="55"/>
      <c r="W932" s="48"/>
      <c r="X932" s="50"/>
      <c r="Y932" s="50"/>
      <c r="Z932" s="48" t="n">
        <f aca="false">IF(A932="","",IF(AND(Parameter!$B$21="Ja",ISNUMBER(W932)),W932,IF(CC932="2+3",IF(ISNUMBER(SEARCH("grosser Artikel",BU932)),2,IFERROR(VLOOKUP(BX932,Parameter!$F$35:$G$64,2,0),2)),IF(OR(CC932="Nein",CC932=""),"-",CC932))))</f>
        <v>3</v>
      </c>
      <c r="AA932" s="55"/>
      <c r="AB932" s="56"/>
      <c r="AC932" s="50" t="n">
        <f aca="false">AV932</f>
        <v>2</v>
      </c>
      <c r="AD932" s="50" t="n">
        <f aca="false">MAX(AV932,H932)</f>
        <v>21</v>
      </c>
      <c r="AE932" s="57"/>
      <c r="AF932" s="50" t="n">
        <f aca="false">IF(LEFT(Cockpit!$C$5,1)="A",H932,IF(Parameter!$E$30="MAX-Bestand",IF(CH932=1,CI932,IF(LEFT(Cockpit!$C$5,1)="B",AL932,MAX(AL932,H932))),ROUNDUP(AJ932,0)))</f>
        <v>21</v>
      </c>
      <c r="AG932" s="50" t="n">
        <f aca="false">IF(BZ932=1,0,ROUNDUP(AF932/BY932,0))</f>
        <v>1</v>
      </c>
      <c r="AH932" s="52" t="n">
        <f aca="false">IF(CQ932&gt;0,CQ932*MAX(1,AF932/X932),IF(BZ932=1,IF(AF932&lt;=0,0,CD932*MAX(1,IF(H932&gt;0,AF932/H932,1))),IF(R932&gt;0,AG932/R932,0))/MAX(0.1,N(Parameter!$M$21)))</f>
        <v>0.00961538461538462</v>
      </c>
      <c r="AI932" s="50" t="n">
        <f aca="false">AH932*CB932</f>
        <v>1.49038461538462</v>
      </c>
      <c r="AJ932" s="51" t="n">
        <f aca="false">IF(LEFT(Cockpit!$C$5,1)="A",H932,IF(CH932=1,(CK932+CI932)/2,IF(LEFT(Cockpit!$C$5,1)="B",(CK932+AL932)/2,MAX((CK932+AL932)/2,H932))))</f>
        <v>21</v>
      </c>
      <c r="AK932" s="50" t="n">
        <f aca="false">AJ932*G932</f>
        <v>522.9</v>
      </c>
      <c r="AL932" s="50" t="n">
        <f aca="false">ROUNDUP(CK932+MAX(CL932,2*(J932/IF(CG932&gt;0,CG932,MAX(0.1,N(Cockpit!$C$6)))-CK932)),0)</f>
        <v>2</v>
      </c>
      <c r="AM932" s="51" t="n">
        <f aca="false">IF(AI932&gt;0,J932/AI932,-1)</f>
        <v>1.34193548387097</v>
      </c>
      <c r="AN932" s="51" t="n">
        <f aca="false">IF(AND(OR(CF932="L1",CF932="L23",CF932="LIFT"),AI932&gt;0),SUMIFS($AI$7:$AI$1843,$CF$7:$CF$1843,CF932,$AM$7:$AM$1843,"&gt;"&amp;AM932)+SUMIFS($AI$7:$AI$1843,$CF$7:$CF$1843,CF932,$AM$7:$AM$1843,AM932,$BW$7:$BW$1843,"&lt;="&amp;BW932),"")</f>
        <v>6337.10943223443</v>
      </c>
      <c r="AO932" s="58" t="n">
        <f aca="false">IF(AN932="",0,MAX(0,MIN(1,(IF(CF932="L1",Parameter!$H$5,IF(CF932="L23",Parameter!$H$6+Parameter!$H$7,Parameter!$H$5+Parameter!$H$6+Parameter!$H$7))-(AN932-AI932))/AI932)))</f>
        <v>1</v>
      </c>
      <c r="AP932" s="50" t="n">
        <f aca="false">IF(LEFT(Cockpit!$I$5,1)="A",H932,IF(Parameter!$E$30="MAX-Bestand",IF(CH932=1,CI932,IF(LEFT(Cockpit!$I$5,1)="B",AV932,MAX(AV932,H932))),ROUNDUP(AT932,0)))</f>
        <v>21</v>
      </c>
      <c r="AQ932" s="50" t="n">
        <f aca="false">IF(BZ932=1,0,ROUNDUP(AP932/BY932,0))</f>
        <v>1</v>
      </c>
      <c r="AR932" s="52" t="n">
        <f aca="false">IF(CQ932&gt;0,CQ932*MAX(1,AP932/X932),IF(BZ932=1,IF(AP932&lt;=0,0,CD932*MAX(1,IF(H932&gt;0,AP932/H932,1))),IF(R932&gt;0,AQ932/R932,0))/MAX(0.1,N(Parameter!$M$21)))</f>
        <v>0.00961538461538462</v>
      </c>
      <c r="AS932" s="50" t="n">
        <f aca="false">AR932*CB932</f>
        <v>1.49038461538462</v>
      </c>
      <c r="AT932" s="51" t="n">
        <f aca="false">IF(LEFT(Cockpit!$I$5,1)="A",H932,IF(CH932=1,(CK932+CI932)/2,IF(LEFT(Cockpit!$I$5,1)="B",(CK932+AV932)/2,MAX((CK932+AV932)/2,H932))))</f>
        <v>21</v>
      </c>
      <c r="AU932" s="50" t="n">
        <f aca="false">AT932*G932</f>
        <v>522.9</v>
      </c>
      <c r="AV932" s="50" t="n">
        <f aca="false">ROUNDUP(CK932+MAX(CL932,2*(J932/IF(CG932&gt;0,CG932,MAX(0.1,N(Cockpit!$I$6)))-CK932)),0)</f>
        <v>2</v>
      </c>
      <c r="AW932" s="51" t="n">
        <f aca="false">IF(AS932&gt;0,J932/AS932,-1)</f>
        <v>1.34193548387097</v>
      </c>
      <c r="AX932" s="51" t="n">
        <f aca="false">IF(AND(OR(CF932="L1",CF932="L23",CF932="LIFT"),AS932&gt;0),SUMIFS($AS$7:$AS$1843,$CF$7:$CF$1843,CF932,$AW$7:$AW$1843,"&gt;"&amp;AW932)+SUMIFS($AS$7:$AS$1843,$CF$7:$CF$1843,CF932,$AW$7:$AW$1843,AW932,$BW$7:$BW$1843,"&lt;="&amp;BW932),"")</f>
        <v>7861.29304029304</v>
      </c>
      <c r="AY932" s="58" t="n">
        <f aca="false">IF(AX932="",0,MAX(0,MIN(1,(IF(CF932="L1",Parameter!$H$5,IF(CF932="L23",Parameter!$H$6+Parameter!$H$7,Parameter!$H$5+Parameter!$H$6+Parameter!$H$7))-(AX932-AS932))/AS932)))</f>
        <v>1</v>
      </c>
      <c r="AZ932" s="50" t="n">
        <f aca="false">IF(LEFT(Cockpit!$O$5,1)="A",H932,IF(Parameter!$E$30="MAX-Bestand",IF(CH932=1,CI932,IF(LEFT(Cockpit!$O$5,1)="B",BF932,MAX(BF932,H932))),ROUNDUP(BD932,0)))</f>
        <v>1</v>
      </c>
      <c r="BA932" s="50" t="n">
        <f aca="false">IF(BZ932=1,0,ROUNDUP(AZ932/BY932,0))</f>
        <v>1</v>
      </c>
      <c r="BB932" s="52" t="n">
        <f aca="false">IF(CQ932&gt;0,CQ932*MAX(1,AZ932/X932),IF(BZ932=1,IF(AZ932&lt;=0,0,CD932*MAX(1,IF(H932&gt;0,AZ932/H932,1))),IF(R932&gt;0,BA932/R932,0))/MAX(0.1,N(Parameter!$M$21)))</f>
        <v>0.00961538461538462</v>
      </c>
      <c r="BC932" s="50" t="n">
        <f aca="false">BB932*CB932</f>
        <v>1.49038461538462</v>
      </c>
      <c r="BD932" s="51" t="n">
        <f aca="false">IF(LEFT(Cockpit!$O$5,1)="A",H932,IF(CH932=1,(CK932+CI932)/2,IF(LEFT(Cockpit!$O$5,1)="B",(CK932+BF932)/2,MAX((CK932+BF932)/2,H932))))</f>
        <v>0.5</v>
      </c>
      <c r="BE932" s="50" t="n">
        <f aca="false">BD932*G932</f>
        <v>12.45</v>
      </c>
      <c r="BF932" s="50" t="n">
        <f aca="false">ROUNDUP(CK932+MAX(CL932,2*(J932/IF(CG932&gt;0,CG932,MAX(0.1,N(Cockpit!$O$6)))-CK932)),0)</f>
        <v>1</v>
      </c>
      <c r="BG932" s="51" t="n">
        <f aca="false">IF(BC932&gt;0,J932/BC932,-1)</f>
        <v>1.34193548387097</v>
      </c>
      <c r="BH932" s="51" t="n">
        <f aca="false">IF(AND(OR(CF932="L1",CF932="L23",CF932="LIFT"),BC932&gt;0),SUMIFS($BC$7:$BC$1843,$CF$7:$CF$1843,CF932,$BG$7:$BG$1843,"&gt;"&amp;BG932)+SUMIFS($BC$7:$BC$1843,$CF$7:$CF$1843,CF932,$BG$7:$BG$1843,BG932,$BW$7:$BW$1843,"&lt;="&amp;BW932),"")</f>
        <v>6798.5086996337</v>
      </c>
      <c r="BI932" s="58" t="n">
        <f aca="false">IF(BH932="",0,MAX(0,MIN(1,(IF(CF932="L1",Parameter!$H$5,IF(CF932="L23",Parameter!$H$6+Parameter!$H$7,Parameter!$H$5+Parameter!$H$6+Parameter!$H$7))-(BH932-BC932))/BC932)))</f>
        <v>1</v>
      </c>
      <c r="BJ932" s="48" t="str">
        <f aca="false">IF(AI932&lt;=0,"",IF(CF932="Aussen","Aussenlager",IF(CF932="-","Nicht im Lift",IF(AO932&gt;=1,"Lift",IF(AO932&lt;=0,"Aussenlager","teilweise")))))</f>
        <v>Lift</v>
      </c>
      <c r="BK932" s="48" t="str">
        <f aca="false">IF(AS932&lt;=0,"",IF(CF932="Aussen","Aussenlager",IF(CF932="-","Nicht im Lift",IF(AY932&gt;=1,"Lift",IF(AY932&lt;=0,"Aussenlager","teilweise")))))</f>
        <v>Lift</v>
      </c>
      <c r="BL932" s="48" t="str">
        <f aca="false">IF(BC932&lt;=0,"",IF(CF932="Aussen","Aussenlager",IF(CF932="-","Nicht im Lift",IF(BI932&gt;=1,"Lift",IF(BI932&lt;=0,"Aussenlager","teilweise")))))</f>
        <v>Lift</v>
      </c>
      <c r="BM932" s="48" t="str">
        <f aca="false">IF(A932="","",IF(BV932=1,"Neu; ","")&amp;IF(AND(BV932=0,BQ932&lt;0),"negativer Bestand (Export "&amp;BQ932&amp;"); ","")&amp;IF(J932&lt;=0,"Kein Verbrauch; ","")&amp;IF(CQ932&gt;0,"Lift "&amp;W932&amp;" lt. Liftbericht (Fach "&amp;X932&amp;" Stk); ",IF(CA932=1,"Gebinde geschätzt ("&amp;T932&amp;"); ",IF(BZ932=1,"Lose – Tablare geschätzt; ","")))&amp;IF(H932&gt;AV932,"Überbestand "&amp;ROUND(H932-AV932,0)&amp;" Stk / CHF "&amp;ROUND((H932-AV932)*G932,0)&amp;"; ","")&amp;IF(AND(CH932=1,CI932&lt;CJ932),"MAX &lt; MB+LG; ","")&amp;IF(AND(CP932&gt;0,CO932*10&gt;CP932),"zu hoch für Tablar; ","")&amp;IF(AND(BV932=0,OR(CH932=1,AA932&lt;&gt;"",U932&lt;&gt;"",V932&lt;&gt;"",AB932&lt;&gt;"")),"manuell übersteuert; ","")&amp;IF(AND(BZ932=0,R932=0),"Gebinde unbekannt / Stellmass fehlt; ","")&amp;IF(AND(BZ932=0,N(V932)&lt;=0,N(Q932)&lt;=0),"Menge pro Gebinde fehlt (Ist = 1 Gebinde); ","")&amp;BU932)</f>
        <v>negativer Bestand (Export -2); Überbestand 19 Stk / CHF 473; twin</v>
      </c>
      <c r="BN932" s="48"/>
      <c r="BO932" s="48"/>
      <c r="BP932" s="55"/>
      <c r="BQ932" s="50" t="n">
        <v>-2</v>
      </c>
      <c r="BR932" s="50" t="n">
        <v>23</v>
      </c>
      <c r="BS932" s="49" t="n">
        <v>-49.8</v>
      </c>
      <c r="BT932" s="50" t="n">
        <v>2</v>
      </c>
      <c r="BU932" s="48" t="s">
        <v>1750</v>
      </c>
      <c r="BV932" s="53" t="n">
        <v>0</v>
      </c>
      <c r="BW932" s="53" t="n">
        <v>932</v>
      </c>
      <c r="BX932" s="48" t="str">
        <f aca="false">IF(U932&lt;&gt;"",UPPER(TRIM(U932)),IF(CA932=1,UPPER(VLOOKUP(T932,Parameter!$I$27:$K$29,2,0)),IF(P932="","LOSE",P932)))</f>
        <v>S32</v>
      </c>
      <c r="BY932" s="50" t="n">
        <f aca="false">IF(BX932="LOSE",1,IF(N(V932)&gt;0,V932,IF(CA932=1,MAX(1,N(VLOOKUP(T932,Parameter!$I$27:$K$29,3,0)),H932,N(N932)),IF(N(Q932)&gt;0,Q932,MAX(1,H932)))))</f>
        <v>26</v>
      </c>
      <c r="BZ932" s="53" t="n">
        <f aca="false">IF(BX932="LOSE",1,0)</f>
        <v>0</v>
      </c>
      <c r="CA932" s="53" t="n">
        <f aca="false">IF(AND(U932="",OR(P932="",P932="LOSE"),T932&lt;&gt;"",N(S932)&lt;=0,ISNUMBER(MATCH(T932,Parameter!$I$27:$I$29,0))),1,0)</f>
        <v>0</v>
      </c>
      <c r="CB932" s="53" t="n">
        <f aca="false">IF(CQ932&gt;0,INDEX(Parameter!$H$5:$H$7,W932)/INDEX(Parameter!$E$5:$E$7,W932),IF(AND(BZ932=0,N(IFERROR(VLOOKUP(BX932,'Gebinde-Kategorie'!$A$5:$N$45,14,0),0))&gt;0),VLOOKUP(BX932,'Gebinde-Kategorie'!$A$5:$N$45,14,0)*10+Parameter!$M$23,Parameter!$M$24))</f>
        <v>155</v>
      </c>
      <c r="CC932" s="48" t="str">
        <f aca="false">IF(AND(Parameter!$B$19="Ja",E932&lt;&gt;"",ISNUMBER(MATCH(E932,Parameter!$I$35:$I$52,0))),VLOOKUP(E932,Parameter!$I$35:$J$52,2,0),IFERROR(VLOOKUP(D932,Parameter!$A$35:$C$64,2,0),"Nein"))</f>
        <v>2+3</v>
      </c>
      <c r="CD932" s="52" t="n">
        <f aca="false">IF(BZ932=0,0,IF(N(S932)&gt;0,S932,IFERROR(VLOOKUP(D932,Parameter!$A$35:$C$64,3,0)+0,0)))</f>
        <v>0</v>
      </c>
      <c r="CE932" s="48" t="n">
        <f aca="false">IF(AA932&lt;&gt;"",AA932,Z932)</f>
        <v>3</v>
      </c>
      <c r="CF932" s="48" t="str">
        <f aca="false">IF(OR(CE932=1,CE932=2,CE932=3),IF(Parameter!$E$27="Ja","LIFT",IF(CE932=1,"L1","L23")),IF(CE932="Aussen","Aussen","-"))</f>
        <v>LIFT</v>
      </c>
      <c r="CG932" s="59" t="n">
        <f aca="false">IF(N(AB932)&gt;0,AB932,0)</f>
        <v>0</v>
      </c>
      <c r="CH932" s="53" t="n">
        <f aca="false">IF(ISNUMBER(AE932),1,0)</f>
        <v>0</v>
      </c>
      <c r="CI932" s="50" t="n">
        <f aca="false">N(AE932)</f>
        <v>0</v>
      </c>
      <c r="CJ932" s="50" t="n">
        <f aca="false">N(M932)+N(N932)</f>
        <v>1</v>
      </c>
      <c r="CK932" s="50" t="n">
        <f aca="false">N(M932)</f>
        <v>0</v>
      </c>
      <c r="CL932" s="50" t="n">
        <f aca="false">N(N932)</f>
        <v>1</v>
      </c>
      <c r="CM932" s="50" t="n">
        <f aca="false">ROUNDUP(H932/BY932,0)</f>
        <v>1</v>
      </c>
      <c r="CN932" s="50" t="n">
        <f aca="false">ROUNDUP(CI932/BY932,0)</f>
        <v>0</v>
      </c>
      <c r="CO932" s="53" t="n">
        <f aca="false">IF(BZ932=1,0,IFERROR(VLOOKUP(BX932,'Gebinde-Kategorie'!$A$5:$N$45,5,0)+0,0))</f>
        <v>8</v>
      </c>
      <c r="CP932" s="53" t="n">
        <f aca="false">IFERROR(IF(OR(CE932=1,CE932=2,CE932=3),N(INDEX(Parameter!$I$5:$I$7,CE932)),0),0)</f>
        <v>0</v>
      </c>
      <c r="CQ932" s="52" t="n">
        <f aca="false">IF(AND(Parameter!$B$21="Ja",ISNUMBER(W932),N(X932)&gt;0),IFERROR(N(INDEX(Parameter!$L$5:$L$7,W932))*INDEX(Parameter!$E$5:$E$7,W932)*X932/SUMIFS($X$7:$X$1843,$W$7:$W$1843,W932),0),0)</f>
        <v>0</v>
      </c>
    </row>
    <row r="933" customFormat="false" ht="15" hidden="false" customHeight="false" outlineLevel="0" collapsed="false">
      <c r="A933" s="48" t="s">
        <v>1751</v>
      </c>
      <c r="B933" s="48" t="s">
        <v>1752</v>
      </c>
      <c r="C933" s="48" t="s">
        <v>173</v>
      </c>
      <c r="D933" s="48" t="s">
        <v>193</v>
      </c>
      <c r="E933" s="48"/>
      <c r="F933" s="48" t="s">
        <v>227</v>
      </c>
      <c r="G933" s="49" t="n">
        <v>10</v>
      </c>
      <c r="H933" s="50" t="n">
        <f aca="false">MAX(0,IF(AND(Parameter!$B$21="Ja",ISNUMBER(Y933)),Y933,IF(Parameter!$B$20="Jahresanfang 2025 + Export",BR933+BQ933,BQ933)))</f>
        <v>73</v>
      </c>
      <c r="I933" s="50" t="n">
        <f aca="false">H933*G933</f>
        <v>730</v>
      </c>
      <c r="J933" s="50" t="n">
        <f aca="false">BT933*Parameter!$B$18</f>
        <v>0</v>
      </c>
      <c r="K933" s="51" t="n">
        <v>75.5</v>
      </c>
      <c r="L933" s="52" t="n">
        <v>0</v>
      </c>
      <c r="M933" s="50" t="n">
        <v>0</v>
      </c>
      <c r="N933" s="50" t="n">
        <v>1</v>
      </c>
      <c r="O933" s="53" t="n">
        <v>21</v>
      </c>
      <c r="P933" s="48" t="s">
        <v>435</v>
      </c>
      <c r="Q933" s="50" t="n">
        <v>67</v>
      </c>
      <c r="R933" s="53" t="n">
        <f aca="false">IF(BZ933=1,0,IFERROR(VLOOKUP(BX933,'Gebinde-Kategorie'!$A$5:$N$45,13,0)+0,0))</f>
        <v>140</v>
      </c>
      <c r="S933" s="54"/>
      <c r="T933" s="55"/>
      <c r="U933" s="55"/>
      <c r="V933" s="55"/>
      <c r="W933" s="48"/>
      <c r="X933" s="50"/>
      <c r="Y933" s="50"/>
      <c r="Z933" s="48" t="n">
        <f aca="false">IF(A933="","",IF(AND(Parameter!$B$21="Ja",ISNUMBER(W933)),W933,IF(CC933="2+3",IF(ISNUMBER(SEARCH("grosser Artikel",BU933)),2,IFERROR(VLOOKUP(BX933,Parameter!$F$35:$G$64,2,0),2)),IF(OR(CC933="Nein",CC933=""),"-",CC933))))</f>
        <v>3</v>
      </c>
      <c r="AA933" s="55"/>
      <c r="AB933" s="56"/>
      <c r="AC933" s="50" t="n">
        <f aca="false">AV933</f>
        <v>1</v>
      </c>
      <c r="AD933" s="50" t="n">
        <f aca="false">MAX(AV933,H933)</f>
        <v>73</v>
      </c>
      <c r="AE933" s="57"/>
      <c r="AF933" s="50" t="n">
        <f aca="false">IF(LEFT(Cockpit!$C$5,1)="A",H933,IF(Parameter!$E$30="MAX-Bestand",IF(CH933=1,CI933,IF(LEFT(Cockpit!$C$5,1)="B",AL933,MAX(AL933,H933))),ROUNDUP(AJ933,0)))</f>
        <v>73</v>
      </c>
      <c r="AG933" s="50" t="n">
        <f aca="false">IF(BZ933=1,0,ROUNDUP(AF933/BY933,0))</f>
        <v>2</v>
      </c>
      <c r="AH933" s="52" t="n">
        <f aca="false">IF(CQ933&gt;0,CQ933*MAX(1,AF933/X933),IF(BZ933=1,IF(AF933&lt;=0,0,CD933*MAX(1,IF(H933&gt;0,AF933/H933,1))),IF(R933&gt;0,AG933/R933,0))/MAX(0.1,N(Parameter!$M$21)))</f>
        <v>0.0142857142857143</v>
      </c>
      <c r="AI933" s="50" t="n">
        <f aca="false">AH933*CB933</f>
        <v>2.21428571428571</v>
      </c>
      <c r="AJ933" s="51" t="n">
        <f aca="false">IF(LEFT(Cockpit!$C$5,1)="A",H933,IF(CH933=1,(CK933+CI933)/2,IF(LEFT(Cockpit!$C$5,1)="B",(CK933+AL933)/2,MAX((CK933+AL933)/2,H933))))</f>
        <v>73</v>
      </c>
      <c r="AK933" s="50" t="n">
        <f aca="false">AJ933*G933</f>
        <v>730</v>
      </c>
      <c r="AL933" s="50" t="n">
        <f aca="false">ROUNDUP(CK933+MAX(CL933,2*(J933/IF(CG933&gt;0,CG933,MAX(0.1,N(Cockpit!$C$6)))-CK933)),0)</f>
        <v>1</v>
      </c>
      <c r="AM933" s="51" t="n">
        <f aca="false">IF(AI933&gt;0,J933/AI933,-1)</f>
        <v>0</v>
      </c>
      <c r="AN933" s="51" t="n">
        <f aca="false">IF(AND(OR(CF933="L1",CF933="L23",CF933="LIFT"),AI933&gt;0),SUMIFS($AI$7:$AI$1843,$CF$7:$CF$1843,CF933,$AM$7:$AM$1843,"&gt;"&amp;AM933)+SUMIFS($AI$7:$AI$1843,$CF$7:$CF$1843,CF933,$AM$7:$AM$1843,AM933,$BW$7:$BW$1843,"&lt;="&amp;BW933),"")</f>
        <v>28865.2927505639</v>
      </c>
      <c r="AO933" s="58" t="n">
        <f aca="false">IF(AN933="",0,MAX(0,MIN(1,(IF(CF933="L1",Parameter!$H$5,IF(CF933="L23",Parameter!$H$6+Parameter!$H$7,Parameter!$H$5+Parameter!$H$6+Parameter!$H$7))-(AN933-AI933))/AI933)))</f>
        <v>1</v>
      </c>
      <c r="AP933" s="50" t="n">
        <f aca="false">IF(LEFT(Cockpit!$I$5,1)="A",H933,IF(Parameter!$E$30="MAX-Bestand",IF(CH933=1,CI933,IF(LEFT(Cockpit!$I$5,1)="B",AV933,MAX(AV933,H933))),ROUNDUP(AT933,0)))</f>
        <v>73</v>
      </c>
      <c r="AQ933" s="50" t="n">
        <f aca="false">IF(BZ933=1,0,ROUNDUP(AP933/BY933,0))</f>
        <v>2</v>
      </c>
      <c r="AR933" s="52" t="n">
        <f aca="false">IF(CQ933&gt;0,CQ933*MAX(1,AP933/X933),IF(BZ933=1,IF(AP933&lt;=0,0,CD933*MAX(1,IF(H933&gt;0,AP933/H933,1))),IF(R933&gt;0,AQ933/R933,0))/MAX(0.1,N(Parameter!$M$21)))</f>
        <v>0.0142857142857143</v>
      </c>
      <c r="AS933" s="50" t="n">
        <f aca="false">AR933*CB933</f>
        <v>2.21428571428571</v>
      </c>
      <c r="AT933" s="51" t="n">
        <f aca="false">IF(LEFT(Cockpit!$I$5,1)="A",H933,IF(CH933=1,(CK933+CI933)/2,IF(LEFT(Cockpit!$I$5,1)="B",(CK933+AV933)/2,MAX((CK933+AV933)/2,H933))))</f>
        <v>73</v>
      </c>
      <c r="AU933" s="50" t="n">
        <f aca="false">AT933*G933</f>
        <v>730</v>
      </c>
      <c r="AV933" s="50" t="n">
        <f aca="false">ROUNDUP(CK933+MAX(CL933,2*(J933/IF(CG933&gt;0,CG933,MAX(0.1,N(Cockpit!$I$6)))-CK933)),0)</f>
        <v>1</v>
      </c>
      <c r="AW933" s="51" t="n">
        <f aca="false">IF(AS933&gt;0,J933/AS933,-1)</f>
        <v>0</v>
      </c>
      <c r="AX933" s="51" t="n">
        <f aca="false">IF(AND(OR(CF933="L1",CF933="L23",CF933="LIFT"),AS933&gt;0),SUMIFS($AS$7:$AS$1843,$CF$7:$CF$1843,CF933,$AW$7:$AW$1843,"&gt;"&amp;AW933)+SUMIFS($AS$7:$AS$1843,$CF$7:$CF$1843,CF933,$AW$7:$AW$1843,AW933,$BW$7:$BW$1843,"&lt;="&amp;BW933),"")</f>
        <v>34527.2641941392</v>
      </c>
      <c r="AY933" s="58" t="n">
        <f aca="false">IF(AX933="",0,MAX(0,MIN(1,(IF(CF933="L1",Parameter!$H$5,IF(CF933="L23",Parameter!$H$6+Parameter!$H$7,Parameter!$H$5+Parameter!$H$6+Parameter!$H$7))-(AX933-AS933))/AS933)))</f>
        <v>1</v>
      </c>
      <c r="AZ933" s="50" t="n">
        <f aca="false">IF(LEFT(Cockpit!$O$5,1)="A",H933,IF(Parameter!$E$30="MAX-Bestand",IF(CH933=1,CI933,IF(LEFT(Cockpit!$O$5,1)="B",BF933,MAX(BF933,H933))),ROUNDUP(BD933,0)))</f>
        <v>1</v>
      </c>
      <c r="BA933" s="50" t="n">
        <f aca="false">IF(BZ933=1,0,ROUNDUP(AZ933/BY933,0))</f>
        <v>1</v>
      </c>
      <c r="BB933" s="52" t="n">
        <f aca="false">IF(CQ933&gt;0,CQ933*MAX(1,AZ933/X933),IF(BZ933=1,IF(AZ933&lt;=0,0,CD933*MAX(1,IF(H933&gt;0,AZ933/H933,1))),IF(R933&gt;0,BA933/R933,0))/MAX(0.1,N(Parameter!$M$21)))</f>
        <v>0.00714285714285714</v>
      </c>
      <c r="BC933" s="50" t="n">
        <f aca="false">BB933*CB933</f>
        <v>1.10714285714286</v>
      </c>
      <c r="BD933" s="51" t="n">
        <f aca="false">IF(LEFT(Cockpit!$O$5,1)="A",H933,IF(CH933=1,(CK933+CI933)/2,IF(LEFT(Cockpit!$O$5,1)="B",(CK933+BF933)/2,MAX((CK933+BF933)/2,H933))))</f>
        <v>0.5</v>
      </c>
      <c r="BE933" s="50" t="n">
        <f aca="false">BD933*G933</f>
        <v>5</v>
      </c>
      <c r="BF933" s="50" t="n">
        <f aca="false">ROUNDUP(CK933+MAX(CL933,2*(J933/IF(CG933&gt;0,CG933,MAX(0.1,N(Cockpit!$O$6)))-CK933)),0)</f>
        <v>1</v>
      </c>
      <c r="BG933" s="51" t="n">
        <f aca="false">IF(BC933&gt;0,J933/BC933,-1)</f>
        <v>0</v>
      </c>
      <c r="BH933" s="51" t="n">
        <f aca="false">IF(AND(OR(CF933="L1",CF933="L23",CF933="LIFT"),BC933&gt;0),SUMIFS($BC$7:$BC$1843,$CF$7:$CF$1843,CF933,$BG$7:$BG$1843,"&gt;"&amp;BG933)+SUMIFS($BC$7:$BC$1843,$CF$7:$CF$1843,CF933,$BG$7:$BG$1843,BG933,$BW$7:$BW$1843,"&lt;="&amp;BW933),"")</f>
        <v>28557.7631619793</v>
      </c>
      <c r="BI933" s="58" t="n">
        <f aca="false">IF(BH933="",0,MAX(0,MIN(1,(IF(CF933="L1",Parameter!$H$5,IF(CF933="L23",Parameter!$H$6+Parameter!$H$7,Parameter!$H$5+Parameter!$H$6+Parameter!$H$7))-(BH933-BC933))/BC933)))</f>
        <v>1</v>
      </c>
      <c r="BJ933" s="48" t="str">
        <f aca="false">IF(AI933&lt;=0,"",IF(CF933="Aussen","Aussenlager",IF(CF933="-","Nicht im Lift",IF(AO933&gt;=1,"Lift",IF(AO933&lt;=0,"Aussenlager","teilweise")))))</f>
        <v>Lift</v>
      </c>
      <c r="BK933" s="48" t="str">
        <f aca="false">IF(AS933&lt;=0,"",IF(CF933="Aussen","Aussenlager",IF(CF933="-","Nicht im Lift",IF(AY933&gt;=1,"Lift",IF(AY933&lt;=0,"Aussenlager","teilweise")))))</f>
        <v>Lift</v>
      </c>
      <c r="BL933" s="48" t="str">
        <f aca="false">IF(BC933&lt;=0,"",IF(CF933="Aussen","Aussenlager",IF(CF933="-","Nicht im Lift",IF(BI933&gt;=1,"Lift",IF(BI933&lt;=0,"Aussenlager","teilweise")))))</f>
        <v>Lift</v>
      </c>
      <c r="BM933" s="48" t="str">
        <f aca="false">IF(A933="","",IF(BV933=1,"Neu; ","")&amp;IF(AND(BV933=0,BQ933&lt;0),"negativer Bestand (Export "&amp;BQ933&amp;"); ","")&amp;IF(J933&lt;=0,"Kein Verbrauch; ","")&amp;IF(CQ933&gt;0,"Lift "&amp;W933&amp;" lt. Liftbericht (Fach "&amp;X933&amp;" Stk); ",IF(CA933=1,"Gebinde geschätzt ("&amp;T933&amp;"); ",IF(BZ933=1,"Lose – Tablare geschätzt; ","")))&amp;IF(H933&gt;AV933,"Überbestand "&amp;ROUND(H933-AV933,0)&amp;" Stk / CHF "&amp;ROUND((H933-AV933)*G933,0)&amp;"; ","")&amp;IF(AND(CH933=1,CI933&lt;CJ933),"MAX &lt; MB+LG; ","")&amp;IF(AND(CP933&gt;0,CO933*10&gt;CP933),"zu hoch für Tablar; ","")&amp;IF(AND(BV933=0,OR(CH933=1,AA933&lt;&gt;"",U933&lt;&gt;"",V933&lt;&gt;"",AB933&lt;&gt;"")),"manuell übersteuert; ","")&amp;IF(AND(BZ933=0,R933=0),"Gebinde unbekannt / Stellmass fehlt; ","")&amp;IF(AND(BZ933=0,N(V933)&lt;=0,N(Q933)&lt;=0),"Menge pro Gebinde fehlt (Ist = 1 Gebinde); ","")&amp;BU933)</f>
        <v>negativer Bestand (Export -5); Kein Verbrauch; Überbestand 72 Stk / CHF 720; </v>
      </c>
      <c r="BN933" s="48"/>
      <c r="BO933" s="48"/>
      <c r="BP933" s="55"/>
      <c r="BQ933" s="50" t="n">
        <v>-5</v>
      </c>
      <c r="BR933" s="50" t="n">
        <v>78</v>
      </c>
      <c r="BS933" s="49" t="n">
        <v>-50</v>
      </c>
      <c r="BT933" s="50" t="n">
        <v>0</v>
      </c>
      <c r="BU933" s="48"/>
      <c r="BV933" s="53" t="n">
        <v>0</v>
      </c>
      <c r="BW933" s="53" t="n">
        <v>933</v>
      </c>
      <c r="BX933" s="48" t="str">
        <f aca="false">IF(U933&lt;&gt;"",UPPER(TRIM(U933)),IF(CA933=1,UPPER(VLOOKUP(T933,Parameter!$I$27:$K$29,2,0)),IF(P933="","LOSE",P933)))</f>
        <v>S22</v>
      </c>
      <c r="BY933" s="50" t="n">
        <f aca="false">IF(BX933="LOSE",1,IF(N(V933)&gt;0,V933,IF(CA933=1,MAX(1,N(VLOOKUP(T933,Parameter!$I$27:$K$29,3,0)),H933,N(N933)),IF(N(Q933)&gt;0,Q933,MAX(1,H933)))))</f>
        <v>67</v>
      </c>
      <c r="BZ933" s="53" t="n">
        <f aca="false">IF(BX933="LOSE",1,0)</f>
        <v>0</v>
      </c>
      <c r="CA933" s="53" t="n">
        <f aca="false">IF(AND(U933="",OR(P933="",P933="LOSE"),T933&lt;&gt;"",N(S933)&lt;=0,ISNUMBER(MATCH(T933,Parameter!$I$27:$I$29,0))),1,0)</f>
        <v>0</v>
      </c>
      <c r="CB933" s="53" t="n">
        <f aca="false">IF(CQ933&gt;0,INDEX(Parameter!$H$5:$H$7,W933)/INDEX(Parameter!$E$5:$E$7,W933),IF(AND(BZ933=0,N(IFERROR(VLOOKUP(BX933,'Gebinde-Kategorie'!$A$5:$N$45,14,0),0))&gt;0),VLOOKUP(BX933,'Gebinde-Kategorie'!$A$5:$N$45,14,0)*10+Parameter!$M$23,Parameter!$M$24))</f>
        <v>155</v>
      </c>
      <c r="CC933" s="48" t="str">
        <f aca="false">IF(AND(Parameter!$B$19="Ja",E933&lt;&gt;"",ISNUMBER(MATCH(E933,Parameter!$I$35:$I$52,0))),VLOOKUP(E933,Parameter!$I$35:$J$52,2,0),IFERROR(VLOOKUP(D933,Parameter!$A$35:$C$64,2,0),"Nein"))</f>
        <v>2+3</v>
      </c>
      <c r="CD933" s="52" t="n">
        <f aca="false">IF(BZ933=0,0,IF(N(S933)&gt;0,S933,IFERROR(VLOOKUP(D933,Parameter!$A$35:$C$64,3,0)+0,0)))</f>
        <v>0</v>
      </c>
      <c r="CE933" s="48" t="n">
        <f aca="false">IF(AA933&lt;&gt;"",AA933,Z933)</f>
        <v>3</v>
      </c>
      <c r="CF933" s="48" t="str">
        <f aca="false">IF(OR(CE933=1,CE933=2,CE933=3),IF(Parameter!$E$27="Ja","LIFT",IF(CE933=1,"L1","L23")),IF(CE933="Aussen","Aussen","-"))</f>
        <v>LIFT</v>
      </c>
      <c r="CG933" s="59" t="n">
        <f aca="false">IF(N(AB933)&gt;0,AB933,0)</f>
        <v>0</v>
      </c>
      <c r="CH933" s="53" t="n">
        <f aca="false">IF(ISNUMBER(AE933),1,0)</f>
        <v>0</v>
      </c>
      <c r="CI933" s="50" t="n">
        <f aca="false">N(AE933)</f>
        <v>0</v>
      </c>
      <c r="CJ933" s="50" t="n">
        <f aca="false">N(M933)+N(N933)</f>
        <v>1</v>
      </c>
      <c r="CK933" s="50" t="n">
        <f aca="false">N(M933)</f>
        <v>0</v>
      </c>
      <c r="CL933" s="50" t="n">
        <f aca="false">N(N933)</f>
        <v>1</v>
      </c>
      <c r="CM933" s="50" t="n">
        <f aca="false">ROUNDUP(H933/BY933,0)</f>
        <v>2</v>
      </c>
      <c r="CN933" s="50" t="n">
        <f aca="false">ROUNDUP(CI933/BY933,0)</f>
        <v>0</v>
      </c>
      <c r="CO933" s="53" t="n">
        <f aca="false">IF(BZ933=1,0,IFERROR(VLOOKUP(BX933,'Gebinde-Kategorie'!$A$5:$N$45,5,0)+0,0))</f>
        <v>8</v>
      </c>
      <c r="CP933" s="53" t="n">
        <f aca="false">IFERROR(IF(OR(CE933=1,CE933=2,CE933=3),N(INDEX(Parameter!$I$5:$I$7,CE933)),0),0)</f>
        <v>0</v>
      </c>
      <c r="CQ933" s="52" t="n">
        <f aca="false">IF(AND(Parameter!$B$21="Ja",ISNUMBER(W933),N(X933)&gt;0),IFERROR(N(INDEX(Parameter!$L$5:$L$7,W933))*INDEX(Parameter!$E$5:$E$7,W933)*X933/SUMIFS($X$7:$X$1843,$W$7:$W$1843,W933),0),0)</f>
        <v>0</v>
      </c>
    </row>
    <row r="934" customFormat="false" ht="15" hidden="false" customHeight="false" outlineLevel="0" collapsed="false">
      <c r="A934" s="48" t="s">
        <v>1753</v>
      </c>
      <c r="B934" s="48" t="s">
        <v>697</v>
      </c>
      <c r="C934" s="48" t="s">
        <v>173</v>
      </c>
      <c r="D934" s="48" t="s">
        <v>193</v>
      </c>
      <c r="E934" s="48" t="s">
        <v>194</v>
      </c>
      <c r="F934" s="48" t="s">
        <v>227</v>
      </c>
      <c r="G934" s="49" t="n">
        <v>14.65</v>
      </c>
      <c r="H934" s="50" t="n">
        <f aca="false">MAX(0,IF(AND(Parameter!$B$21="Ja",ISNUMBER(Y934)),Y934,IF(Parameter!$B$20="Jahresanfang 2025 + Export",BR934+BQ934,BQ934)))</f>
        <v>22</v>
      </c>
      <c r="I934" s="50" t="n">
        <f aca="false">H934*G934</f>
        <v>322.3</v>
      </c>
      <c r="J934" s="50" t="n">
        <f aca="false">BT934*Parameter!$B$18</f>
        <v>29</v>
      </c>
      <c r="K934" s="51" t="n">
        <v>25.5</v>
      </c>
      <c r="L934" s="52" t="n">
        <v>1.13725490196078</v>
      </c>
      <c r="M934" s="50" t="n">
        <v>2</v>
      </c>
      <c r="N934" s="50" t="n">
        <v>30</v>
      </c>
      <c r="O934" s="53" t="n">
        <v>28</v>
      </c>
      <c r="P934" s="48" t="s">
        <v>242</v>
      </c>
      <c r="Q934" s="50" t="n">
        <v>46</v>
      </c>
      <c r="R934" s="53" t="n">
        <f aca="false">IF(BZ934=1,0,IFERROR(VLOOKUP(BX934,'Gebinde-Kategorie'!$A$5:$N$45,13,0)+0,0))</f>
        <v>26</v>
      </c>
      <c r="S934" s="54"/>
      <c r="T934" s="55"/>
      <c r="U934" s="55"/>
      <c r="V934" s="55"/>
      <c r="W934" s="48"/>
      <c r="X934" s="50"/>
      <c r="Y934" s="50"/>
      <c r="Z934" s="48" t="n">
        <f aca="false">IF(A934="","",IF(AND(Parameter!$B$21="Ja",ISNUMBER(W934)),W934,IF(CC934="2+3",IF(ISNUMBER(SEARCH("grosser Artikel",BU934)),2,IFERROR(VLOOKUP(BX934,Parameter!$F$35:$G$64,2,0),2)),IF(OR(CC934="Nein",CC934=""),"-",CC934))))</f>
        <v>3</v>
      </c>
      <c r="AA934" s="55"/>
      <c r="AB934" s="56"/>
      <c r="AC934" s="50" t="n">
        <f aca="false">AV934</f>
        <v>32</v>
      </c>
      <c r="AD934" s="50" t="n">
        <f aca="false">MAX(AV934,H934)</f>
        <v>32</v>
      </c>
      <c r="AE934" s="57"/>
      <c r="AF934" s="50" t="n">
        <f aca="false">IF(LEFT(Cockpit!$C$5,1)="A",H934,IF(Parameter!$E$30="MAX-Bestand",IF(CH934=1,CI934,IF(LEFT(Cockpit!$C$5,1)="B",AL934,MAX(AL934,H934))),ROUNDUP(AJ934,0)))</f>
        <v>22</v>
      </c>
      <c r="AG934" s="50" t="n">
        <f aca="false">IF(BZ934=1,0,ROUNDUP(AF934/BY934,0))</f>
        <v>1</v>
      </c>
      <c r="AH934" s="52" t="n">
        <f aca="false">IF(CQ934&gt;0,CQ934*MAX(1,AF934/X934),IF(BZ934=1,IF(AF934&lt;=0,0,CD934*MAX(1,IF(H934&gt;0,AF934/H934,1))),IF(R934&gt;0,AG934/R934,0))/MAX(0.1,N(Parameter!$M$21)))</f>
        <v>0.0384615384615385</v>
      </c>
      <c r="AI934" s="50" t="n">
        <f aca="false">AH934*CB934</f>
        <v>9.42307692307692</v>
      </c>
      <c r="AJ934" s="51" t="n">
        <f aca="false">IF(LEFT(Cockpit!$C$5,1)="A",H934,IF(CH934=1,(CK934+CI934)/2,IF(LEFT(Cockpit!$C$5,1)="B",(CK934+AL934)/2,MAX((CK934+AL934)/2,H934))))</f>
        <v>22</v>
      </c>
      <c r="AK934" s="50" t="n">
        <f aca="false">AJ934*G934</f>
        <v>322.3</v>
      </c>
      <c r="AL934" s="50" t="n">
        <f aca="false">ROUNDUP(CK934+MAX(CL934,2*(J934/IF(CG934&gt;0,CG934,MAX(0.1,N(Cockpit!$C$6)))-CK934)),0)</f>
        <v>32</v>
      </c>
      <c r="AM934" s="51" t="n">
        <f aca="false">IF(AI934&gt;0,J934/AI934,-1)</f>
        <v>3.07755102040816</v>
      </c>
      <c r="AN934" s="51" t="n">
        <f aca="false">IF(AND(OR(CF934="L1",CF934="L23",CF934="LIFT"),AI934&gt;0),SUMIFS($AI$7:$AI$1843,$CF$7:$CF$1843,CF934,$AM$7:$AM$1843,"&gt;"&amp;AM934)+SUMIFS($AI$7:$AI$1843,$CF$7:$CF$1843,CF934,$AM$7:$AM$1843,AM934,$BW$7:$BW$1843,"&lt;="&amp;BW934),"")</f>
        <v>5012.81547619048</v>
      </c>
      <c r="AO934" s="58" t="n">
        <f aca="false">IF(AN934="",0,MAX(0,MIN(1,(IF(CF934="L1",Parameter!$H$5,IF(CF934="L23",Parameter!$H$6+Parameter!$H$7,Parameter!$H$5+Parameter!$H$6+Parameter!$H$7))-(AN934-AI934))/AI934)))</f>
        <v>1</v>
      </c>
      <c r="AP934" s="50" t="n">
        <f aca="false">IF(LEFT(Cockpit!$I$5,1)="A",H934,IF(Parameter!$E$30="MAX-Bestand",IF(CH934=1,CI934,IF(LEFT(Cockpit!$I$5,1)="B",AV934,MAX(AV934,H934))),ROUNDUP(AT934,0)))</f>
        <v>22</v>
      </c>
      <c r="AQ934" s="50" t="n">
        <f aca="false">IF(BZ934=1,0,ROUNDUP(AP934/BY934,0))</f>
        <v>1</v>
      </c>
      <c r="AR934" s="52" t="n">
        <f aca="false">IF(CQ934&gt;0,CQ934*MAX(1,AP934/X934),IF(BZ934=1,IF(AP934&lt;=0,0,CD934*MAX(1,IF(H934&gt;0,AP934/H934,1))),IF(R934&gt;0,AQ934/R934,0))/MAX(0.1,N(Parameter!$M$21)))</f>
        <v>0.0384615384615385</v>
      </c>
      <c r="AS934" s="50" t="n">
        <f aca="false">AR934*CB934</f>
        <v>9.42307692307692</v>
      </c>
      <c r="AT934" s="51" t="n">
        <f aca="false">IF(LEFT(Cockpit!$I$5,1)="A",H934,IF(CH934=1,(CK934+CI934)/2,IF(LEFT(Cockpit!$I$5,1)="B",(CK934+AV934)/2,MAX((CK934+AV934)/2,H934))))</f>
        <v>22</v>
      </c>
      <c r="AU934" s="50" t="n">
        <f aca="false">AT934*G934</f>
        <v>322.3</v>
      </c>
      <c r="AV934" s="50" t="n">
        <f aca="false">ROUNDUP(CK934+MAX(CL934,2*(J934/IF(CG934&gt;0,CG934,MAX(0.1,N(Cockpit!$I$6)))-CK934)),0)</f>
        <v>32</v>
      </c>
      <c r="AW934" s="51" t="n">
        <f aca="false">IF(AS934&gt;0,J934/AS934,-1)</f>
        <v>3.07755102040816</v>
      </c>
      <c r="AX934" s="51" t="n">
        <f aca="false">IF(AND(OR(CF934="L1",CF934="L23",CF934="LIFT"),AS934&gt;0),SUMIFS($AS$7:$AS$1843,$CF$7:$CF$1843,CF934,$AW$7:$AW$1843,"&gt;"&amp;AW934)+SUMIFS($AS$7:$AS$1843,$CF$7:$CF$1843,CF934,$AW$7:$AW$1843,AW934,$BW$7:$BW$1843,"&lt;="&amp;BW934),"")</f>
        <v>5768.86401098901</v>
      </c>
      <c r="AY934" s="58" t="n">
        <f aca="false">IF(AX934="",0,MAX(0,MIN(1,(IF(CF934="L1",Parameter!$H$5,IF(CF934="L23",Parameter!$H$6+Parameter!$H$7,Parameter!$H$5+Parameter!$H$6+Parameter!$H$7))-(AX934-AS934))/AS934)))</f>
        <v>1</v>
      </c>
      <c r="AZ934" s="50" t="n">
        <f aca="false">IF(LEFT(Cockpit!$O$5,1)="A",H934,IF(Parameter!$E$30="MAX-Bestand",IF(CH934=1,CI934,IF(LEFT(Cockpit!$O$5,1)="B",BF934,MAX(BF934,H934))),ROUNDUP(BD934,0)))</f>
        <v>17</v>
      </c>
      <c r="BA934" s="50" t="n">
        <f aca="false">IF(BZ934=1,0,ROUNDUP(AZ934/BY934,0))</f>
        <v>1</v>
      </c>
      <c r="BB934" s="52" t="n">
        <f aca="false">IF(CQ934&gt;0,CQ934*MAX(1,AZ934/X934),IF(BZ934=1,IF(AZ934&lt;=0,0,CD934*MAX(1,IF(H934&gt;0,AZ934/H934,1))),IF(R934&gt;0,BA934/R934,0))/MAX(0.1,N(Parameter!$M$21)))</f>
        <v>0.0384615384615385</v>
      </c>
      <c r="BC934" s="50" t="n">
        <f aca="false">BB934*CB934</f>
        <v>9.42307692307692</v>
      </c>
      <c r="BD934" s="51" t="n">
        <f aca="false">IF(LEFT(Cockpit!$O$5,1)="A",H934,IF(CH934=1,(CK934+CI934)/2,IF(LEFT(Cockpit!$O$5,1)="B",(CK934+BF934)/2,MAX((CK934+BF934)/2,H934))))</f>
        <v>17</v>
      </c>
      <c r="BE934" s="50" t="n">
        <f aca="false">BD934*G934</f>
        <v>249.05</v>
      </c>
      <c r="BF934" s="50" t="n">
        <f aca="false">ROUNDUP(CK934+MAX(CL934,2*(J934/IF(CG934&gt;0,CG934,MAX(0.1,N(Cockpit!$O$6)))-CK934)),0)</f>
        <v>32</v>
      </c>
      <c r="BG934" s="51" t="n">
        <f aca="false">IF(BC934&gt;0,J934/BC934,-1)</f>
        <v>3.07755102040816</v>
      </c>
      <c r="BH934" s="51" t="n">
        <f aca="false">IF(AND(OR(CF934="L1",CF934="L23",CF934="LIFT"),BC934&gt;0),SUMIFS($BC$7:$BC$1843,$CF$7:$CF$1843,CF934,$BG$7:$BG$1843,"&gt;"&amp;BG934)+SUMIFS($BC$7:$BC$1843,$CF$7:$CF$1843,CF934,$BG$7:$BG$1843,BG934,$BW$7:$BW$1843,"&lt;="&amp;BW934),"")</f>
        <v>4732.12683150183</v>
      </c>
      <c r="BI934" s="58" t="n">
        <f aca="false">IF(BH934="",0,MAX(0,MIN(1,(IF(CF934="L1",Parameter!$H$5,IF(CF934="L23",Parameter!$H$6+Parameter!$H$7,Parameter!$H$5+Parameter!$H$6+Parameter!$H$7))-(BH934-BC934))/BC934)))</f>
        <v>1</v>
      </c>
      <c r="BJ934" s="48" t="str">
        <f aca="false">IF(AI934&lt;=0,"",IF(CF934="Aussen","Aussenlager",IF(CF934="-","Nicht im Lift",IF(AO934&gt;=1,"Lift",IF(AO934&lt;=0,"Aussenlager","teilweise")))))</f>
        <v>Lift</v>
      </c>
      <c r="BK934" s="48" t="str">
        <f aca="false">IF(AS934&lt;=0,"",IF(CF934="Aussen","Aussenlager",IF(CF934="-","Nicht im Lift",IF(AY934&gt;=1,"Lift",IF(AY934&lt;=0,"Aussenlager","teilweise")))))</f>
        <v>Lift</v>
      </c>
      <c r="BL934" s="48" t="str">
        <f aca="false">IF(BC934&lt;=0,"",IF(CF934="Aussen","Aussenlager",IF(CF934="-","Nicht im Lift",IF(BI934&gt;=1,"Lift",IF(BI934&lt;=0,"Aussenlager","teilweise")))))</f>
        <v>Lift</v>
      </c>
      <c r="BM934" s="48" t="str">
        <f aca="false">IF(A934="","",IF(BV934=1,"Neu; ","")&amp;IF(AND(BV934=0,BQ934&lt;0),"negativer Bestand (Export "&amp;BQ934&amp;"); ","")&amp;IF(J934&lt;=0,"Kein Verbrauch; ","")&amp;IF(CQ934&gt;0,"Lift "&amp;W934&amp;" lt. Liftbericht (Fach "&amp;X934&amp;" Stk); ",IF(CA934=1,"Gebinde geschätzt ("&amp;T934&amp;"); ",IF(BZ934=1,"Lose – Tablare geschätzt; ","")))&amp;IF(H934&gt;AV934,"Überbestand "&amp;ROUND(H934-AV934,0)&amp;" Stk / CHF "&amp;ROUND((H934-AV934)*G934,0)&amp;"; ","")&amp;IF(AND(CH934=1,CI934&lt;CJ934),"MAX &lt; MB+LG; ","")&amp;IF(AND(CP934&gt;0,CO934*10&gt;CP934),"zu hoch für Tablar; ","")&amp;IF(AND(BV934=0,OR(CH934=1,AA934&lt;&gt;"",U934&lt;&gt;"",V934&lt;&gt;"",AB934&lt;&gt;"")),"manuell übersteuert; ","")&amp;IF(AND(BZ934=0,R934=0),"Gebinde unbekannt / Stellmass fehlt; ","")&amp;IF(AND(BZ934=0,N(V934)&lt;=0,N(Q934)&lt;=0),"Menge pro Gebinde fehlt (Ist = 1 Gebinde); ","")&amp;BU934)</f>
        <v/>
      </c>
      <c r="BN934" s="48"/>
      <c r="BO934" s="48"/>
      <c r="BP934" s="55"/>
      <c r="BQ934" s="50" t="n">
        <v>2</v>
      </c>
      <c r="BR934" s="50" t="n">
        <v>20</v>
      </c>
      <c r="BS934" s="49" t="n">
        <v>-50.7000000000002</v>
      </c>
      <c r="BT934" s="50" t="n">
        <v>29</v>
      </c>
      <c r="BU934" s="48"/>
      <c r="BV934" s="53" t="n">
        <v>0</v>
      </c>
      <c r="BW934" s="53" t="n">
        <v>934</v>
      </c>
      <c r="BX934" s="48" t="str">
        <f aca="false">IF(U934&lt;&gt;"",UPPER(TRIM(U934)),IF(CA934=1,UPPER(VLOOKUP(T934,Parameter!$I$27:$K$29,2,0)),IF(P934="","LOSE",P934)))</f>
        <v>S52</v>
      </c>
      <c r="BY934" s="50" t="n">
        <f aca="false">IF(BX934="LOSE",1,IF(N(V934)&gt;0,V934,IF(CA934=1,MAX(1,N(VLOOKUP(T934,Parameter!$I$27:$K$29,3,0)),H934,N(N934)),IF(N(Q934)&gt;0,Q934,MAX(1,H934)))))</f>
        <v>46</v>
      </c>
      <c r="BZ934" s="53" t="n">
        <f aca="false">IF(BX934="LOSE",1,0)</f>
        <v>0</v>
      </c>
      <c r="CA934" s="53" t="n">
        <f aca="false">IF(AND(U934="",OR(P934="",P934="LOSE"),T934&lt;&gt;"",N(S934)&lt;=0,ISNUMBER(MATCH(T934,Parameter!$I$27:$I$29,0))),1,0)</f>
        <v>0</v>
      </c>
      <c r="CB934" s="53" t="n">
        <f aca="false">IF(CQ934&gt;0,INDEX(Parameter!$H$5:$H$7,W934)/INDEX(Parameter!$E$5:$E$7,W934),IF(AND(BZ934=0,N(IFERROR(VLOOKUP(BX934,'Gebinde-Kategorie'!$A$5:$N$45,14,0),0))&gt;0),VLOOKUP(BX934,'Gebinde-Kategorie'!$A$5:$N$45,14,0)*10+Parameter!$M$23,Parameter!$M$24))</f>
        <v>245</v>
      </c>
      <c r="CC934" s="48" t="str">
        <f aca="false">IF(AND(Parameter!$B$19="Ja",E934&lt;&gt;"",ISNUMBER(MATCH(E934,Parameter!$I$35:$I$52,0))),VLOOKUP(E934,Parameter!$I$35:$J$52,2,0),IFERROR(VLOOKUP(D934,Parameter!$A$35:$C$64,2,0),"Nein"))</f>
        <v>2+3</v>
      </c>
      <c r="CD934" s="52" t="n">
        <f aca="false">IF(BZ934=0,0,IF(N(S934)&gt;0,S934,IFERROR(VLOOKUP(D934,Parameter!$A$35:$C$64,3,0)+0,0)))</f>
        <v>0</v>
      </c>
      <c r="CE934" s="48" t="n">
        <f aca="false">IF(AA934&lt;&gt;"",AA934,Z934)</f>
        <v>3</v>
      </c>
      <c r="CF934" s="48" t="str">
        <f aca="false">IF(OR(CE934=1,CE934=2,CE934=3),IF(Parameter!$E$27="Ja","LIFT",IF(CE934=1,"L1","L23")),IF(CE934="Aussen","Aussen","-"))</f>
        <v>LIFT</v>
      </c>
      <c r="CG934" s="59" t="n">
        <f aca="false">IF(N(AB934)&gt;0,AB934,0)</f>
        <v>0</v>
      </c>
      <c r="CH934" s="53" t="n">
        <f aca="false">IF(ISNUMBER(AE934),1,0)</f>
        <v>0</v>
      </c>
      <c r="CI934" s="50" t="n">
        <f aca="false">N(AE934)</f>
        <v>0</v>
      </c>
      <c r="CJ934" s="50" t="n">
        <f aca="false">N(M934)+N(N934)</f>
        <v>32</v>
      </c>
      <c r="CK934" s="50" t="n">
        <f aca="false">N(M934)</f>
        <v>2</v>
      </c>
      <c r="CL934" s="50" t="n">
        <f aca="false">N(N934)</f>
        <v>30</v>
      </c>
      <c r="CM934" s="50" t="n">
        <f aca="false">ROUNDUP(H934/BY934,0)</f>
        <v>1</v>
      </c>
      <c r="CN934" s="50" t="n">
        <f aca="false">ROUNDUP(CI934/BY934,0)</f>
        <v>0</v>
      </c>
      <c r="CO934" s="53" t="n">
        <f aca="false">IF(BZ934=1,0,IFERROR(VLOOKUP(BX934,'Gebinde-Kategorie'!$A$5:$N$45,5,0)+0,0))</f>
        <v>21</v>
      </c>
      <c r="CP934" s="53" t="n">
        <f aca="false">IFERROR(IF(OR(CE934=1,CE934=2,CE934=3),N(INDEX(Parameter!$I$5:$I$7,CE934)),0),0)</f>
        <v>0</v>
      </c>
      <c r="CQ934" s="52" t="n">
        <f aca="false">IF(AND(Parameter!$B$21="Ja",ISNUMBER(W934),N(X934)&gt;0),IFERROR(N(INDEX(Parameter!$L$5:$L$7,W934))*INDEX(Parameter!$E$5:$E$7,W934)*X934/SUMIFS($X$7:$X$1843,$W$7:$W$1843,W934),0),0)</f>
        <v>0</v>
      </c>
    </row>
    <row r="935" customFormat="false" ht="15" hidden="false" customHeight="false" outlineLevel="0" collapsed="false">
      <c r="A935" s="48" t="s">
        <v>1754</v>
      </c>
      <c r="B935" s="48" t="s">
        <v>1755</v>
      </c>
      <c r="C935" s="48" t="s">
        <v>173</v>
      </c>
      <c r="D935" s="48" t="s">
        <v>193</v>
      </c>
      <c r="E935" s="48"/>
      <c r="F935" s="48" t="s">
        <v>227</v>
      </c>
      <c r="G935" s="49" t="n">
        <v>16.96</v>
      </c>
      <c r="H935" s="50" t="n">
        <f aca="false">MAX(0,IF(AND(Parameter!$B$21="Ja",ISNUMBER(Y935)),Y935,IF(Parameter!$B$20="Jahresanfang 2025 + Export",BR935+BQ935,BQ935)))</f>
        <v>4</v>
      </c>
      <c r="I935" s="50" t="n">
        <f aca="false">H935*G935</f>
        <v>67.84</v>
      </c>
      <c r="J935" s="50" t="n">
        <f aca="false">BT935*Parameter!$B$18</f>
        <v>3</v>
      </c>
      <c r="K935" s="51" t="n">
        <v>5.5</v>
      </c>
      <c r="L935" s="52" t="n">
        <v>0.545454545454545</v>
      </c>
      <c r="M935" s="50" t="n">
        <v>0</v>
      </c>
      <c r="N935" s="50" t="n">
        <v>5</v>
      </c>
      <c r="O935" s="53" t="n">
        <v>42</v>
      </c>
      <c r="P935" s="48" t="s">
        <v>410</v>
      </c>
      <c r="Q935" s="50" t="n">
        <v>5</v>
      </c>
      <c r="R935" s="53" t="n">
        <f aca="false">IF(BZ935=1,0,IFERROR(VLOOKUP(BX935,'Gebinde-Kategorie'!$A$5:$N$45,13,0)+0,0))</f>
        <v>280</v>
      </c>
      <c r="S935" s="54"/>
      <c r="T935" s="55"/>
      <c r="U935" s="55"/>
      <c r="V935" s="55"/>
      <c r="W935" s="48"/>
      <c r="X935" s="50"/>
      <c r="Y935" s="50"/>
      <c r="Z935" s="48" t="n">
        <f aca="false">IF(A935="","",IF(AND(Parameter!$B$21="Ja",ISNUMBER(W935)),W935,IF(CC935="2+3",IF(ISNUMBER(SEARCH("grosser Artikel",BU935)),2,IFERROR(VLOOKUP(BX935,Parameter!$F$35:$G$64,2,0),2)),IF(OR(CC935="Nein",CC935=""),"-",CC935))))</f>
        <v>3</v>
      </c>
      <c r="AA935" s="55"/>
      <c r="AB935" s="56"/>
      <c r="AC935" s="50" t="n">
        <f aca="false">AV935</f>
        <v>5</v>
      </c>
      <c r="AD935" s="50" t="n">
        <f aca="false">MAX(AV935,H935)</f>
        <v>5</v>
      </c>
      <c r="AE935" s="57"/>
      <c r="AF935" s="50" t="n">
        <f aca="false">IF(LEFT(Cockpit!$C$5,1)="A",H935,IF(Parameter!$E$30="MAX-Bestand",IF(CH935=1,CI935,IF(LEFT(Cockpit!$C$5,1)="B",AL935,MAX(AL935,H935))),ROUNDUP(AJ935,0)))</f>
        <v>4</v>
      </c>
      <c r="AG935" s="50" t="n">
        <f aca="false">IF(BZ935=1,0,ROUNDUP(AF935/BY935,0))</f>
        <v>1</v>
      </c>
      <c r="AH935" s="52" t="n">
        <f aca="false">IF(CQ935&gt;0,CQ935*MAX(1,AF935/X935),IF(BZ935=1,IF(AF935&lt;=0,0,CD935*MAX(1,IF(H935&gt;0,AF935/H935,1))),IF(R935&gt;0,AG935/R935,0))/MAX(0.1,N(Parameter!$M$21)))</f>
        <v>0.00357142857142857</v>
      </c>
      <c r="AI935" s="50" t="n">
        <f aca="false">AH935*CB935</f>
        <v>0.553571428571429</v>
      </c>
      <c r="AJ935" s="51" t="n">
        <f aca="false">IF(LEFT(Cockpit!$C$5,1)="A",H935,IF(CH935=1,(CK935+CI935)/2,IF(LEFT(Cockpit!$C$5,1)="B",(CK935+AL935)/2,MAX((CK935+AL935)/2,H935))))</f>
        <v>4</v>
      </c>
      <c r="AK935" s="50" t="n">
        <f aca="false">AJ935*G935</f>
        <v>67.84</v>
      </c>
      <c r="AL935" s="50" t="n">
        <f aca="false">ROUNDUP(CK935+MAX(CL935,2*(J935/IF(CG935&gt;0,CG935,MAX(0.1,N(Cockpit!$C$6)))-CK935)),0)</f>
        <v>5</v>
      </c>
      <c r="AM935" s="51" t="n">
        <f aca="false">IF(AI935&gt;0,J935/AI935,-1)</f>
        <v>5.41935483870968</v>
      </c>
      <c r="AN935" s="51" t="n">
        <f aca="false">IF(AND(OR(CF935="L1",CF935="L23",CF935="LIFT"),AI935&gt;0),SUMIFS($AI$7:$AI$1843,$CF$7:$CF$1843,CF935,$AM$7:$AM$1843,"&gt;"&amp;AM935)+SUMIFS($AI$7:$AI$1843,$CF$7:$CF$1843,CF935,$AM$7:$AM$1843,AM935,$BW$7:$BW$1843,"&lt;="&amp;BW935),"")</f>
        <v>3716.69551282051</v>
      </c>
      <c r="AO935" s="58" t="n">
        <f aca="false">IF(AN935="",0,MAX(0,MIN(1,(IF(CF935="L1",Parameter!$H$5,IF(CF935="L23",Parameter!$H$6+Parameter!$H$7,Parameter!$H$5+Parameter!$H$6+Parameter!$H$7))-(AN935-AI935))/AI935)))</f>
        <v>1</v>
      </c>
      <c r="AP935" s="50" t="n">
        <f aca="false">IF(LEFT(Cockpit!$I$5,1)="A",H935,IF(Parameter!$E$30="MAX-Bestand",IF(CH935=1,CI935,IF(LEFT(Cockpit!$I$5,1)="B",AV935,MAX(AV935,H935))),ROUNDUP(AT935,0)))</f>
        <v>4</v>
      </c>
      <c r="AQ935" s="50" t="n">
        <f aca="false">IF(BZ935=1,0,ROUNDUP(AP935/BY935,0))</f>
        <v>1</v>
      </c>
      <c r="AR935" s="52" t="n">
        <f aca="false">IF(CQ935&gt;0,CQ935*MAX(1,AP935/X935),IF(BZ935=1,IF(AP935&lt;=0,0,CD935*MAX(1,IF(H935&gt;0,AP935/H935,1))),IF(R935&gt;0,AQ935/R935,0))/MAX(0.1,N(Parameter!$M$21)))</f>
        <v>0.00357142857142857</v>
      </c>
      <c r="AS935" s="50" t="n">
        <f aca="false">AR935*CB935</f>
        <v>0.553571428571429</v>
      </c>
      <c r="AT935" s="51" t="n">
        <f aca="false">IF(LEFT(Cockpit!$I$5,1)="A",H935,IF(CH935=1,(CK935+CI935)/2,IF(LEFT(Cockpit!$I$5,1)="B",(CK935+AV935)/2,MAX((CK935+AV935)/2,H935))))</f>
        <v>4</v>
      </c>
      <c r="AU935" s="50" t="n">
        <f aca="false">AT935*G935</f>
        <v>67.84</v>
      </c>
      <c r="AV935" s="50" t="n">
        <f aca="false">ROUNDUP(CK935+MAX(CL935,2*(J935/IF(CG935&gt;0,CG935,MAX(0.1,N(Cockpit!$I$6)))-CK935)),0)</f>
        <v>5</v>
      </c>
      <c r="AW935" s="51" t="n">
        <f aca="false">IF(AS935&gt;0,J935/AS935,-1)</f>
        <v>5.41935483870968</v>
      </c>
      <c r="AX935" s="51" t="n">
        <f aca="false">IF(AND(OR(CF935="L1",CF935="L23",CF935="LIFT"),AS935&gt;0),SUMIFS($AS$7:$AS$1843,$CF$7:$CF$1843,CF935,$AW$7:$AW$1843,"&gt;"&amp;AW935)+SUMIFS($AS$7:$AS$1843,$CF$7:$CF$1843,CF935,$AW$7:$AW$1843,AW935,$BW$7:$BW$1843,"&lt;="&amp;BW935),"")</f>
        <v>4370.43635531136</v>
      </c>
      <c r="AY935" s="58" t="n">
        <f aca="false">IF(AX935="",0,MAX(0,MIN(1,(IF(CF935="L1",Parameter!$H$5,IF(CF935="L23",Parameter!$H$6+Parameter!$H$7,Parameter!$H$5+Parameter!$H$6+Parameter!$H$7))-(AX935-AS935))/AS935)))</f>
        <v>1</v>
      </c>
      <c r="AZ935" s="50" t="n">
        <f aca="false">IF(LEFT(Cockpit!$O$5,1)="A",H935,IF(Parameter!$E$30="MAX-Bestand",IF(CH935=1,CI935,IF(LEFT(Cockpit!$O$5,1)="B",BF935,MAX(BF935,H935))),ROUNDUP(BD935,0)))</f>
        <v>3</v>
      </c>
      <c r="BA935" s="50" t="n">
        <f aca="false">IF(BZ935=1,0,ROUNDUP(AZ935/BY935,0))</f>
        <v>1</v>
      </c>
      <c r="BB935" s="52" t="n">
        <f aca="false">IF(CQ935&gt;0,CQ935*MAX(1,AZ935/X935),IF(BZ935=1,IF(AZ935&lt;=0,0,CD935*MAX(1,IF(H935&gt;0,AZ935/H935,1))),IF(R935&gt;0,BA935/R935,0))/MAX(0.1,N(Parameter!$M$21)))</f>
        <v>0.00357142857142857</v>
      </c>
      <c r="BC935" s="50" t="n">
        <f aca="false">BB935*CB935</f>
        <v>0.553571428571429</v>
      </c>
      <c r="BD935" s="51" t="n">
        <f aca="false">IF(LEFT(Cockpit!$O$5,1)="A",H935,IF(CH935=1,(CK935+CI935)/2,IF(LEFT(Cockpit!$O$5,1)="B",(CK935+BF935)/2,MAX((CK935+BF935)/2,H935))))</f>
        <v>2.5</v>
      </c>
      <c r="BE935" s="50" t="n">
        <f aca="false">BD935*G935</f>
        <v>42.4</v>
      </c>
      <c r="BF935" s="50" t="n">
        <f aca="false">ROUNDUP(CK935+MAX(CL935,2*(J935/IF(CG935&gt;0,CG935,MAX(0.1,N(Cockpit!$O$6)))-CK935)),0)</f>
        <v>5</v>
      </c>
      <c r="BG935" s="51" t="n">
        <f aca="false">IF(BC935&gt;0,J935/BC935,-1)</f>
        <v>5.41935483870968</v>
      </c>
      <c r="BH935" s="51" t="n">
        <f aca="false">IF(AND(OR(CF935="L1",CF935="L23",CF935="LIFT"),BC935&gt;0),SUMIFS($BC$7:$BC$1843,$CF$7:$CF$1843,CF935,$BG$7:$BG$1843,"&gt;"&amp;BG935)+SUMIFS($BC$7:$BC$1843,$CF$7:$CF$1843,CF935,$BG$7:$BG$1843,BG935,$BW$7:$BW$1843,"&lt;="&amp;BW935),"")</f>
        <v>3684.95833333333</v>
      </c>
      <c r="BI935" s="58" t="n">
        <f aca="false">IF(BH935="",0,MAX(0,MIN(1,(IF(CF935="L1",Parameter!$H$5,IF(CF935="L23",Parameter!$H$6+Parameter!$H$7,Parameter!$H$5+Parameter!$H$6+Parameter!$H$7))-(BH935-BC935))/BC935)))</f>
        <v>1</v>
      </c>
      <c r="BJ935" s="48" t="str">
        <f aca="false">IF(AI935&lt;=0,"",IF(CF935="Aussen","Aussenlager",IF(CF935="-","Nicht im Lift",IF(AO935&gt;=1,"Lift",IF(AO935&lt;=0,"Aussenlager","teilweise")))))</f>
        <v>Lift</v>
      </c>
      <c r="BK935" s="48" t="str">
        <f aca="false">IF(AS935&lt;=0,"",IF(CF935="Aussen","Aussenlager",IF(CF935="-","Nicht im Lift",IF(AY935&gt;=1,"Lift",IF(AY935&lt;=0,"Aussenlager","teilweise")))))</f>
        <v>Lift</v>
      </c>
      <c r="BL935" s="48" t="str">
        <f aca="false">IF(BC935&lt;=0,"",IF(CF935="Aussen","Aussenlager",IF(CF935="-","Nicht im Lift",IF(BI935&gt;=1,"Lift",IF(BI935&lt;=0,"Aussenlager","teilweise")))))</f>
        <v>Lift</v>
      </c>
      <c r="BM935" s="48" t="str">
        <f aca="false">IF(A935="","",IF(BV935=1,"Neu; ","")&amp;IF(AND(BV935=0,BQ935&lt;0),"negativer Bestand (Export "&amp;BQ935&amp;"); ","")&amp;IF(J935&lt;=0,"Kein Verbrauch; ","")&amp;IF(CQ935&gt;0,"Lift "&amp;W935&amp;" lt. Liftbericht (Fach "&amp;X935&amp;" Stk); ",IF(CA935=1,"Gebinde geschätzt ("&amp;T935&amp;"); ",IF(BZ935=1,"Lose – Tablare geschätzt; ","")))&amp;IF(H935&gt;AV935,"Überbestand "&amp;ROUND(H935-AV935,0)&amp;" Stk / CHF "&amp;ROUND((H935-AV935)*G935,0)&amp;"; ","")&amp;IF(AND(CH935=1,CI935&lt;CJ935),"MAX &lt; MB+LG; ","")&amp;IF(AND(CP935&gt;0,CO935*10&gt;CP935),"zu hoch für Tablar; ","")&amp;IF(AND(BV935=0,OR(CH935=1,AA935&lt;&gt;"",U935&lt;&gt;"",V935&lt;&gt;"",AB935&lt;&gt;"")),"manuell übersteuert; ","")&amp;IF(AND(BZ935=0,R935=0),"Gebinde unbekannt / Stellmass fehlt; ","")&amp;IF(AND(BZ935=0,N(V935)&lt;=0,N(Q935)&lt;=0),"Menge pro Gebinde fehlt (Ist = 1 Gebinde); ","")&amp;BU935)</f>
        <v>negativer Bestand (Export -3); </v>
      </c>
      <c r="BN935" s="48"/>
      <c r="BO935" s="48"/>
      <c r="BP935" s="55"/>
      <c r="BQ935" s="50" t="n">
        <v>-3</v>
      </c>
      <c r="BR935" s="50" t="n">
        <v>7</v>
      </c>
      <c r="BS935" s="49" t="n">
        <v>-50.88</v>
      </c>
      <c r="BT935" s="50" t="n">
        <v>3</v>
      </c>
      <c r="BU935" s="48"/>
      <c r="BV935" s="53" t="n">
        <v>0</v>
      </c>
      <c r="BW935" s="53" t="n">
        <v>935</v>
      </c>
      <c r="BX935" s="48" t="str">
        <f aca="false">IF(U935&lt;&gt;"",UPPER(TRIM(U935)),IF(CA935=1,UPPER(VLOOKUP(T935,Parameter!$I$27:$K$29,2,0)),IF(P935="","LOSE",P935)))</f>
        <v>S21</v>
      </c>
      <c r="BY935" s="50" t="n">
        <f aca="false">IF(BX935="LOSE",1,IF(N(V935)&gt;0,V935,IF(CA935=1,MAX(1,N(VLOOKUP(T935,Parameter!$I$27:$K$29,3,0)),H935,N(N935)),IF(N(Q935)&gt;0,Q935,MAX(1,H935)))))</f>
        <v>5</v>
      </c>
      <c r="BZ935" s="53" t="n">
        <f aca="false">IF(BX935="LOSE",1,0)</f>
        <v>0</v>
      </c>
      <c r="CA935" s="53" t="n">
        <f aca="false">IF(AND(U935="",OR(P935="",P935="LOSE"),T935&lt;&gt;"",N(S935)&lt;=0,ISNUMBER(MATCH(T935,Parameter!$I$27:$I$29,0))),1,0)</f>
        <v>0</v>
      </c>
      <c r="CB935" s="53" t="n">
        <f aca="false">IF(CQ935&gt;0,INDEX(Parameter!$H$5:$H$7,W935)/INDEX(Parameter!$E$5:$E$7,W935),IF(AND(BZ935=0,N(IFERROR(VLOOKUP(BX935,'Gebinde-Kategorie'!$A$5:$N$45,14,0),0))&gt;0),VLOOKUP(BX935,'Gebinde-Kategorie'!$A$5:$N$45,14,0)*10+Parameter!$M$23,Parameter!$M$24))</f>
        <v>155</v>
      </c>
      <c r="CC935" s="48" t="str">
        <f aca="false">IF(AND(Parameter!$B$19="Ja",E935&lt;&gt;"",ISNUMBER(MATCH(E935,Parameter!$I$35:$I$52,0))),VLOOKUP(E935,Parameter!$I$35:$J$52,2,0),IFERROR(VLOOKUP(D935,Parameter!$A$35:$C$64,2,0),"Nein"))</f>
        <v>2+3</v>
      </c>
      <c r="CD935" s="52" t="n">
        <f aca="false">IF(BZ935=0,0,IF(N(S935)&gt;0,S935,IFERROR(VLOOKUP(D935,Parameter!$A$35:$C$64,3,0)+0,0)))</f>
        <v>0</v>
      </c>
      <c r="CE935" s="48" t="n">
        <f aca="false">IF(AA935&lt;&gt;"",AA935,Z935)</f>
        <v>3</v>
      </c>
      <c r="CF935" s="48" t="str">
        <f aca="false">IF(OR(CE935=1,CE935=2,CE935=3),IF(Parameter!$E$27="Ja","LIFT",IF(CE935=1,"L1","L23")),IF(CE935="Aussen","Aussen","-"))</f>
        <v>LIFT</v>
      </c>
      <c r="CG935" s="59" t="n">
        <f aca="false">IF(N(AB935)&gt;0,AB935,0)</f>
        <v>0</v>
      </c>
      <c r="CH935" s="53" t="n">
        <f aca="false">IF(ISNUMBER(AE935),1,0)</f>
        <v>0</v>
      </c>
      <c r="CI935" s="50" t="n">
        <f aca="false">N(AE935)</f>
        <v>0</v>
      </c>
      <c r="CJ935" s="50" t="n">
        <f aca="false">N(M935)+N(N935)</f>
        <v>5</v>
      </c>
      <c r="CK935" s="50" t="n">
        <f aca="false">N(M935)</f>
        <v>0</v>
      </c>
      <c r="CL935" s="50" t="n">
        <f aca="false">N(N935)</f>
        <v>5</v>
      </c>
      <c r="CM935" s="50" t="n">
        <f aca="false">ROUNDUP(H935/BY935,0)</f>
        <v>1</v>
      </c>
      <c r="CN935" s="50" t="n">
        <f aca="false">ROUNDUP(CI935/BY935,0)</f>
        <v>0</v>
      </c>
      <c r="CO935" s="53" t="n">
        <f aca="false">IF(BZ935=1,0,IFERROR(VLOOKUP(BX935,'Gebinde-Kategorie'!$A$5:$N$45,5,0)+0,0))</f>
        <v>8</v>
      </c>
      <c r="CP935" s="53" t="n">
        <f aca="false">IFERROR(IF(OR(CE935=1,CE935=2,CE935=3),N(INDEX(Parameter!$I$5:$I$7,CE935)),0),0)</f>
        <v>0</v>
      </c>
      <c r="CQ935" s="52" t="n">
        <f aca="false">IF(AND(Parameter!$B$21="Ja",ISNUMBER(W935),N(X935)&gt;0),IFERROR(N(INDEX(Parameter!$L$5:$L$7,W935))*INDEX(Parameter!$E$5:$E$7,W935)*X935/SUMIFS($X$7:$X$1843,$W$7:$W$1843,W935),0),0)</f>
        <v>0</v>
      </c>
    </row>
    <row r="936" customFormat="false" ht="15" hidden="false" customHeight="false" outlineLevel="0" collapsed="false">
      <c r="A936" s="48" t="s">
        <v>1756</v>
      </c>
      <c r="B936" s="48" t="s">
        <v>1757</v>
      </c>
      <c r="C936" s="48" t="s">
        <v>173</v>
      </c>
      <c r="D936" s="48" t="s">
        <v>193</v>
      </c>
      <c r="E936" s="48"/>
      <c r="F936" s="48" t="s">
        <v>227</v>
      </c>
      <c r="G936" s="49" t="n">
        <v>35.41</v>
      </c>
      <c r="H936" s="50" t="n">
        <f aca="false">MAX(0,IF(AND(Parameter!$B$21="Ja",ISNUMBER(Y936)),Y936,IF(Parameter!$B$20="Jahresanfang 2025 + Export",BR936+BQ936,BQ936)))</f>
        <v>3</v>
      </c>
      <c r="I936" s="50" t="n">
        <f aca="false">H936*G936</f>
        <v>106.23</v>
      </c>
      <c r="J936" s="50" t="n">
        <f aca="false">BT936*Parameter!$B$18</f>
        <v>0</v>
      </c>
      <c r="K936" s="51" t="n">
        <v>2.5</v>
      </c>
      <c r="L936" s="52" t="n">
        <v>0</v>
      </c>
      <c r="M936" s="50" t="n">
        <v>0</v>
      </c>
      <c r="N936" s="50" t="n">
        <v>1</v>
      </c>
      <c r="O936" s="53" t="n">
        <v>14</v>
      </c>
      <c r="P936" s="48" t="s">
        <v>177</v>
      </c>
      <c r="Q936" s="50"/>
      <c r="R936" s="53" t="n">
        <f aca="false">IF(BZ936=1,0,IFERROR(VLOOKUP(BX936,'Gebinde-Kategorie'!$A$5:$N$45,13,0)+0,0))</f>
        <v>26</v>
      </c>
      <c r="S936" s="54"/>
      <c r="T936" s="55" t="s">
        <v>284</v>
      </c>
      <c r="U936" s="55"/>
      <c r="V936" s="55"/>
      <c r="W936" s="48"/>
      <c r="X936" s="50"/>
      <c r="Y936" s="50"/>
      <c r="Z936" s="48" t="n">
        <f aca="false">IF(A936="","",IF(AND(Parameter!$B$21="Ja",ISNUMBER(W936)),W936,IF(CC936="2+3",IF(ISNUMBER(SEARCH("grosser Artikel",BU936)),2,IFERROR(VLOOKUP(BX936,Parameter!$F$35:$G$64,2,0),2)),IF(OR(CC936="Nein",CC936=""),"-",CC936))))</f>
        <v>3</v>
      </c>
      <c r="AA936" s="55"/>
      <c r="AB936" s="56"/>
      <c r="AC936" s="50" t="n">
        <f aca="false">AV936</f>
        <v>1</v>
      </c>
      <c r="AD936" s="50" t="n">
        <f aca="false">MAX(AV936,H936)</f>
        <v>3</v>
      </c>
      <c r="AE936" s="57"/>
      <c r="AF936" s="50" t="n">
        <f aca="false">IF(LEFT(Cockpit!$C$5,1)="A",H936,IF(Parameter!$E$30="MAX-Bestand",IF(CH936=1,CI936,IF(LEFT(Cockpit!$C$5,1)="B",AL936,MAX(AL936,H936))),ROUNDUP(AJ936,0)))</f>
        <v>3</v>
      </c>
      <c r="AG936" s="50" t="n">
        <f aca="false">IF(BZ936=1,0,ROUNDUP(AF936/BY936,0))</f>
        <v>1</v>
      </c>
      <c r="AH936" s="52" t="n">
        <f aca="false">IF(CQ936&gt;0,CQ936*MAX(1,AF936/X936),IF(BZ936=1,IF(AF936&lt;=0,0,CD936*MAX(1,IF(H936&gt;0,AF936/H936,1))),IF(R936&gt;0,AG936/R936,0))/MAX(0.1,N(Parameter!$M$21)))</f>
        <v>0.0384615384615385</v>
      </c>
      <c r="AI936" s="50" t="n">
        <f aca="false">AH936*CB936</f>
        <v>5.96153846153846</v>
      </c>
      <c r="AJ936" s="51" t="n">
        <f aca="false">IF(LEFT(Cockpit!$C$5,1)="A",H936,IF(CH936=1,(CK936+CI936)/2,IF(LEFT(Cockpit!$C$5,1)="B",(CK936+AL936)/2,MAX((CK936+AL936)/2,H936))))</f>
        <v>3</v>
      </c>
      <c r="AK936" s="50" t="n">
        <f aca="false">AJ936*G936</f>
        <v>106.23</v>
      </c>
      <c r="AL936" s="50" t="n">
        <f aca="false">ROUNDUP(CK936+MAX(CL936,2*(J936/IF(CG936&gt;0,CG936,MAX(0.1,N(Cockpit!$C$6)))-CK936)),0)</f>
        <v>1</v>
      </c>
      <c r="AM936" s="51" t="n">
        <f aca="false">IF(AI936&gt;0,J936/AI936,-1)</f>
        <v>0</v>
      </c>
      <c r="AN936" s="51" t="n">
        <f aca="false">IF(AND(OR(CF936="L1",CF936="L23",CF936="LIFT"),AI936&gt;0),SUMIFS($AI$7:$AI$1843,$CF$7:$CF$1843,CF936,$AM$7:$AM$1843,"&gt;"&amp;AM936)+SUMIFS($AI$7:$AI$1843,$CF$7:$CF$1843,CF936,$AM$7:$AM$1843,AM936,$BW$7:$BW$1843,"&lt;="&amp;BW936),"")</f>
        <v>28871.2542890255</v>
      </c>
      <c r="AO936" s="58" t="n">
        <f aca="false">IF(AN936="",0,MAX(0,MIN(1,(IF(CF936="L1",Parameter!$H$5,IF(CF936="L23",Parameter!$H$6+Parameter!$H$7,Parameter!$H$5+Parameter!$H$6+Parameter!$H$7))-(AN936-AI936))/AI936)))</f>
        <v>1</v>
      </c>
      <c r="AP936" s="50" t="n">
        <f aca="false">IF(LEFT(Cockpit!$I$5,1)="A",H936,IF(Parameter!$E$30="MAX-Bestand",IF(CH936=1,CI936,IF(LEFT(Cockpit!$I$5,1)="B",AV936,MAX(AV936,H936))),ROUNDUP(AT936,0)))</f>
        <v>3</v>
      </c>
      <c r="AQ936" s="50" t="n">
        <f aca="false">IF(BZ936=1,0,ROUNDUP(AP936/BY936,0))</f>
        <v>1</v>
      </c>
      <c r="AR936" s="52" t="n">
        <f aca="false">IF(CQ936&gt;0,CQ936*MAX(1,AP936/X936),IF(BZ936=1,IF(AP936&lt;=0,0,CD936*MAX(1,IF(H936&gt;0,AP936/H936,1))),IF(R936&gt;0,AQ936/R936,0))/MAX(0.1,N(Parameter!$M$21)))</f>
        <v>0.0384615384615385</v>
      </c>
      <c r="AS936" s="50" t="n">
        <f aca="false">AR936*CB936</f>
        <v>5.96153846153846</v>
      </c>
      <c r="AT936" s="51" t="n">
        <f aca="false">IF(LEFT(Cockpit!$I$5,1)="A",H936,IF(CH936=1,(CK936+CI936)/2,IF(LEFT(Cockpit!$I$5,1)="B",(CK936+AV936)/2,MAX((CK936+AV936)/2,H936))))</f>
        <v>3</v>
      </c>
      <c r="AU936" s="50" t="n">
        <f aca="false">AT936*G936</f>
        <v>106.23</v>
      </c>
      <c r="AV936" s="50" t="n">
        <f aca="false">ROUNDUP(CK936+MAX(CL936,2*(J936/IF(CG936&gt;0,CG936,MAX(0.1,N(Cockpit!$I$6)))-CK936)),0)</f>
        <v>1</v>
      </c>
      <c r="AW936" s="51" t="n">
        <f aca="false">IF(AS936&gt;0,J936/AS936,-1)</f>
        <v>0</v>
      </c>
      <c r="AX936" s="51" t="n">
        <f aca="false">IF(AND(OR(CF936="L1",CF936="L23",CF936="LIFT"),AS936&gt;0),SUMIFS($AS$7:$AS$1843,$CF$7:$CF$1843,CF936,$AW$7:$AW$1843,"&gt;"&amp;AW936)+SUMIFS($AS$7:$AS$1843,$CF$7:$CF$1843,CF936,$AW$7:$AW$1843,AW936,$BW$7:$BW$1843,"&lt;="&amp;BW936),"")</f>
        <v>34533.2257326007</v>
      </c>
      <c r="AY936" s="58" t="n">
        <f aca="false">IF(AX936="",0,MAX(0,MIN(1,(IF(CF936="L1",Parameter!$H$5,IF(CF936="L23",Parameter!$H$6+Parameter!$H$7,Parameter!$H$5+Parameter!$H$6+Parameter!$H$7))-(AX936-AS936))/AS936)))</f>
        <v>1</v>
      </c>
      <c r="AZ936" s="50" t="n">
        <f aca="false">IF(LEFT(Cockpit!$O$5,1)="A",H936,IF(Parameter!$E$30="MAX-Bestand",IF(CH936=1,CI936,IF(LEFT(Cockpit!$O$5,1)="B",BF936,MAX(BF936,H936))),ROUNDUP(BD936,0)))</f>
        <v>1</v>
      </c>
      <c r="BA936" s="50" t="n">
        <f aca="false">IF(BZ936=1,0,ROUNDUP(AZ936/BY936,0))</f>
        <v>1</v>
      </c>
      <c r="BB936" s="52" t="n">
        <f aca="false">IF(CQ936&gt;0,CQ936*MAX(1,AZ936/X936),IF(BZ936=1,IF(AZ936&lt;=0,0,CD936*MAX(1,IF(H936&gt;0,AZ936/H936,1))),IF(R936&gt;0,BA936/R936,0))/MAX(0.1,N(Parameter!$M$21)))</f>
        <v>0.0384615384615385</v>
      </c>
      <c r="BC936" s="50" t="n">
        <f aca="false">BB936*CB936</f>
        <v>5.96153846153846</v>
      </c>
      <c r="BD936" s="51" t="n">
        <f aca="false">IF(LEFT(Cockpit!$O$5,1)="A",H936,IF(CH936=1,(CK936+CI936)/2,IF(LEFT(Cockpit!$O$5,1)="B",(CK936+BF936)/2,MAX((CK936+BF936)/2,H936))))</f>
        <v>0.5</v>
      </c>
      <c r="BE936" s="50" t="n">
        <f aca="false">BD936*G936</f>
        <v>17.705</v>
      </c>
      <c r="BF936" s="50" t="n">
        <f aca="false">ROUNDUP(CK936+MAX(CL936,2*(J936/IF(CG936&gt;0,CG936,MAX(0.1,N(Cockpit!$O$6)))-CK936)),0)</f>
        <v>1</v>
      </c>
      <c r="BG936" s="51" t="n">
        <f aca="false">IF(BC936&gt;0,J936/BC936,-1)</f>
        <v>0</v>
      </c>
      <c r="BH936" s="51" t="n">
        <f aca="false">IF(AND(OR(CF936="L1",CF936="L23",CF936="LIFT"),BC936&gt;0),SUMIFS($BC$7:$BC$1843,$CF$7:$CF$1843,CF936,$BG$7:$BG$1843,"&gt;"&amp;BG936)+SUMIFS($BC$7:$BC$1843,$CF$7:$CF$1843,CF936,$BG$7:$BG$1843,BG936,$BW$7:$BW$1843,"&lt;="&amp;BW936),"")</f>
        <v>28563.7247004408</v>
      </c>
      <c r="BI936" s="58" t="n">
        <f aca="false">IF(BH936="",0,MAX(0,MIN(1,(IF(CF936="L1",Parameter!$H$5,IF(CF936="L23",Parameter!$H$6+Parameter!$H$7,Parameter!$H$5+Parameter!$H$6+Parameter!$H$7))-(BH936-BC936))/BC936)))</f>
        <v>1</v>
      </c>
      <c r="BJ936" s="48" t="str">
        <f aca="false">IF(AI936&lt;=0,"",IF(CF936="Aussen","Aussenlager",IF(CF936="-","Nicht im Lift",IF(AO936&gt;=1,"Lift",IF(AO936&lt;=0,"Aussenlager","teilweise")))))</f>
        <v>Lift</v>
      </c>
      <c r="BK936" s="48" t="str">
        <f aca="false">IF(AS936&lt;=0,"",IF(CF936="Aussen","Aussenlager",IF(CF936="-","Nicht im Lift",IF(AY936&gt;=1,"Lift",IF(AY936&lt;=0,"Aussenlager","teilweise")))))</f>
        <v>Lift</v>
      </c>
      <c r="BL936" s="48" t="str">
        <f aca="false">IF(BC936&lt;=0,"",IF(CF936="Aussen","Aussenlager",IF(CF936="-","Nicht im Lift",IF(BI936&gt;=1,"Lift",IF(BI936&lt;=0,"Aussenlager","teilweise")))))</f>
        <v>Lift</v>
      </c>
      <c r="BM936" s="48" t="str">
        <f aca="false">IF(A936="","",IF(BV936=1,"Neu; ","")&amp;IF(AND(BV936=0,BQ936&lt;0),"negativer Bestand (Export "&amp;BQ936&amp;"); ","")&amp;IF(J936&lt;=0,"Kein Verbrauch; ","")&amp;IF(CQ936&gt;0,"Lift "&amp;W936&amp;" lt. Liftbericht (Fach "&amp;X936&amp;" Stk); ",IF(CA936=1,"Gebinde geschätzt ("&amp;T936&amp;"); ",IF(BZ936=1,"Lose – Tablare geschätzt; ","")))&amp;IF(H936&gt;AV936,"Überbestand "&amp;ROUND(H936-AV936,0)&amp;" Stk / CHF "&amp;ROUND((H936-AV936)*G936,0)&amp;"; ","")&amp;IF(AND(CH936=1,CI936&lt;CJ936),"MAX &lt; MB+LG; ","")&amp;IF(AND(CP936&gt;0,CO936*10&gt;CP936),"zu hoch für Tablar; ","")&amp;IF(AND(BV936=0,OR(CH936=1,AA936&lt;&gt;"",U936&lt;&gt;"",V936&lt;&gt;"",AB936&lt;&gt;"")),"manuell übersteuert; ","")&amp;IF(AND(BZ936=0,R936=0),"Gebinde unbekannt / Stellmass fehlt; ","")&amp;IF(AND(BZ936=0,N(V936)&lt;=0,N(Q936)&lt;=0),"Menge pro Gebinde fehlt (Ist = 1 Gebinde); ","")&amp;BU936)</f>
        <v>Kein Verbrauch; Gebinde geschätzt (Klein); Überbestand 2 Stk / CHF 71; Menge pro Gebinde fehlt (Ist = 1 Gebinde); </v>
      </c>
      <c r="BN936" s="48"/>
      <c r="BO936" s="48"/>
      <c r="BP936" s="55"/>
      <c r="BQ936" s="50" t="n">
        <v>0</v>
      </c>
      <c r="BR936" s="50" t="n">
        <v>3</v>
      </c>
      <c r="BS936" s="49" t="n">
        <v>-51.54</v>
      </c>
      <c r="BT936" s="50" t="n">
        <v>0</v>
      </c>
      <c r="BU936" s="48"/>
      <c r="BV936" s="53" t="n">
        <v>0</v>
      </c>
      <c r="BW936" s="53" t="n">
        <v>936</v>
      </c>
      <c r="BX936" s="48" t="str">
        <f aca="false">IF(U936&lt;&gt;"",UPPER(TRIM(U936)),IF(CA936=1,UPPER(VLOOKUP(T936,Parameter!$I$27:$K$29,2,0)),IF(P936="","LOSE",P936)))</f>
        <v>S51</v>
      </c>
      <c r="BY936" s="50" t="n">
        <f aca="false">IF(BX936="LOSE",1,IF(N(V936)&gt;0,V936,IF(CA936=1,MAX(1,N(VLOOKUP(T936,Parameter!$I$27:$K$29,3,0)),H936,N(N936)),IF(N(Q936)&gt;0,Q936,MAX(1,H936)))))</f>
        <v>20</v>
      </c>
      <c r="BZ936" s="53" t="n">
        <f aca="false">IF(BX936="LOSE",1,0)</f>
        <v>0</v>
      </c>
      <c r="CA936" s="53" t="n">
        <f aca="false">IF(AND(U936="",OR(P936="",P936="LOSE"),T936&lt;&gt;"",N(S936)&lt;=0,ISNUMBER(MATCH(T936,Parameter!$I$27:$I$29,0))),1,0)</f>
        <v>1</v>
      </c>
      <c r="CB936" s="53" t="n">
        <f aca="false">IF(CQ936&gt;0,INDEX(Parameter!$H$5:$H$7,W936)/INDEX(Parameter!$E$5:$E$7,W936),IF(AND(BZ936=0,N(IFERROR(VLOOKUP(BX936,'Gebinde-Kategorie'!$A$5:$N$45,14,0),0))&gt;0),VLOOKUP(BX936,'Gebinde-Kategorie'!$A$5:$N$45,14,0)*10+Parameter!$M$23,Parameter!$M$24))</f>
        <v>155</v>
      </c>
      <c r="CC936" s="48" t="str">
        <f aca="false">IF(AND(Parameter!$B$19="Ja",E936&lt;&gt;"",ISNUMBER(MATCH(E936,Parameter!$I$35:$I$52,0))),VLOOKUP(E936,Parameter!$I$35:$J$52,2,0),IFERROR(VLOOKUP(D936,Parameter!$A$35:$C$64,2,0),"Nein"))</f>
        <v>2+3</v>
      </c>
      <c r="CD936" s="52" t="n">
        <f aca="false">IF(BZ936=0,0,IF(N(S936)&gt;0,S936,IFERROR(VLOOKUP(D936,Parameter!$A$35:$C$64,3,0)+0,0)))</f>
        <v>0</v>
      </c>
      <c r="CE936" s="48" t="n">
        <f aca="false">IF(AA936&lt;&gt;"",AA936,Z936)</f>
        <v>3</v>
      </c>
      <c r="CF936" s="48" t="str">
        <f aca="false">IF(OR(CE936=1,CE936=2,CE936=3),IF(Parameter!$E$27="Ja","LIFT",IF(CE936=1,"L1","L23")),IF(CE936="Aussen","Aussen","-"))</f>
        <v>LIFT</v>
      </c>
      <c r="CG936" s="59" t="n">
        <f aca="false">IF(N(AB936)&gt;0,AB936,0)</f>
        <v>0</v>
      </c>
      <c r="CH936" s="53" t="n">
        <f aca="false">IF(ISNUMBER(AE936),1,0)</f>
        <v>0</v>
      </c>
      <c r="CI936" s="50" t="n">
        <f aca="false">N(AE936)</f>
        <v>0</v>
      </c>
      <c r="CJ936" s="50" t="n">
        <f aca="false">N(M936)+N(N936)</f>
        <v>1</v>
      </c>
      <c r="CK936" s="50" t="n">
        <f aca="false">N(M936)</f>
        <v>0</v>
      </c>
      <c r="CL936" s="50" t="n">
        <f aca="false">N(N936)</f>
        <v>1</v>
      </c>
      <c r="CM936" s="50" t="n">
        <f aca="false">ROUNDUP(H936/BY936,0)</f>
        <v>1</v>
      </c>
      <c r="CN936" s="50" t="n">
        <f aca="false">ROUNDUP(CI936/BY936,0)</f>
        <v>0</v>
      </c>
      <c r="CO936" s="53" t="n">
        <f aca="false">IF(BZ936=1,0,IFERROR(VLOOKUP(BX936,'Gebinde-Kategorie'!$A$5:$N$45,5,0)+0,0))</f>
        <v>11</v>
      </c>
      <c r="CP936" s="53" t="n">
        <f aca="false">IFERROR(IF(OR(CE936=1,CE936=2,CE936=3),N(INDEX(Parameter!$I$5:$I$7,CE936)),0),0)</f>
        <v>0</v>
      </c>
      <c r="CQ936" s="52" t="n">
        <f aca="false">IF(AND(Parameter!$B$21="Ja",ISNUMBER(W936),N(X936)&gt;0),IFERROR(N(INDEX(Parameter!$L$5:$L$7,W936))*INDEX(Parameter!$E$5:$E$7,W936)*X936/SUMIFS($X$7:$X$1843,$W$7:$W$1843,W936),0),0)</f>
        <v>0</v>
      </c>
    </row>
    <row r="937" customFormat="false" ht="15" hidden="false" customHeight="false" outlineLevel="0" collapsed="false">
      <c r="A937" s="48" t="s">
        <v>1758</v>
      </c>
      <c r="B937" s="48" t="s">
        <v>1759</v>
      </c>
      <c r="C937" s="48" t="s">
        <v>173</v>
      </c>
      <c r="D937" s="48" t="s">
        <v>193</v>
      </c>
      <c r="E937" s="48" t="s">
        <v>194</v>
      </c>
      <c r="F937" s="48" t="s">
        <v>227</v>
      </c>
      <c r="G937" s="49" t="n">
        <v>9</v>
      </c>
      <c r="H937" s="50" t="n">
        <f aca="false">MAX(0,IF(AND(Parameter!$B$21="Ja",ISNUMBER(Y937)),Y937,IF(Parameter!$B$20="Jahresanfang 2025 + Export",BR937+BQ937,BQ937)))</f>
        <v>3</v>
      </c>
      <c r="I937" s="50" t="n">
        <f aca="false">H937*G937</f>
        <v>27</v>
      </c>
      <c r="J937" s="50" t="n">
        <f aca="false">BT937*Parameter!$B$18</f>
        <v>0</v>
      </c>
      <c r="K937" s="51" t="n">
        <v>6.5</v>
      </c>
      <c r="L937" s="52" t="n">
        <v>0</v>
      </c>
      <c r="M937" s="50" t="n">
        <v>0</v>
      </c>
      <c r="N937" s="50" t="n">
        <v>1</v>
      </c>
      <c r="O937" s="53" t="n">
        <v>14</v>
      </c>
      <c r="P937" s="48" t="s">
        <v>177</v>
      </c>
      <c r="Q937" s="50"/>
      <c r="R937" s="53" t="n">
        <f aca="false">IF(BZ937=1,0,IFERROR(VLOOKUP(BX937,'Gebinde-Kategorie'!$A$5:$N$45,13,0)+0,0))</f>
        <v>26</v>
      </c>
      <c r="S937" s="54"/>
      <c r="T937" s="55" t="s">
        <v>284</v>
      </c>
      <c r="U937" s="55"/>
      <c r="V937" s="55"/>
      <c r="W937" s="48"/>
      <c r="X937" s="50"/>
      <c r="Y937" s="50"/>
      <c r="Z937" s="48" t="n">
        <f aca="false">IF(A937="","",IF(AND(Parameter!$B$21="Ja",ISNUMBER(W937)),W937,IF(CC937="2+3",IF(ISNUMBER(SEARCH("grosser Artikel",BU937)),2,IFERROR(VLOOKUP(BX937,Parameter!$F$35:$G$64,2,0),2)),IF(OR(CC937="Nein",CC937=""),"-",CC937))))</f>
        <v>3</v>
      </c>
      <c r="AA937" s="55"/>
      <c r="AB937" s="56"/>
      <c r="AC937" s="50" t="n">
        <f aca="false">AV937</f>
        <v>1</v>
      </c>
      <c r="AD937" s="50" t="n">
        <f aca="false">MAX(AV937,H937)</f>
        <v>3</v>
      </c>
      <c r="AE937" s="57"/>
      <c r="AF937" s="50" t="n">
        <f aca="false">IF(LEFT(Cockpit!$C$5,1)="A",H937,IF(Parameter!$E$30="MAX-Bestand",IF(CH937=1,CI937,IF(LEFT(Cockpit!$C$5,1)="B",AL937,MAX(AL937,H937))),ROUNDUP(AJ937,0)))</f>
        <v>3</v>
      </c>
      <c r="AG937" s="50" t="n">
        <f aca="false">IF(BZ937=1,0,ROUNDUP(AF937/BY937,0))</f>
        <v>1</v>
      </c>
      <c r="AH937" s="52" t="n">
        <f aca="false">IF(CQ937&gt;0,CQ937*MAX(1,AF937/X937),IF(BZ937=1,IF(AF937&lt;=0,0,CD937*MAX(1,IF(H937&gt;0,AF937/H937,1))),IF(R937&gt;0,AG937/R937,0))/MAX(0.1,N(Parameter!$M$21)))</f>
        <v>0.0384615384615385</v>
      </c>
      <c r="AI937" s="50" t="n">
        <f aca="false">AH937*CB937</f>
        <v>5.96153846153846</v>
      </c>
      <c r="AJ937" s="51" t="n">
        <f aca="false">IF(LEFT(Cockpit!$C$5,1)="A",H937,IF(CH937=1,(CK937+CI937)/2,IF(LEFT(Cockpit!$C$5,1)="B",(CK937+AL937)/2,MAX((CK937+AL937)/2,H937))))</f>
        <v>3</v>
      </c>
      <c r="AK937" s="50" t="n">
        <f aca="false">AJ937*G937</f>
        <v>27</v>
      </c>
      <c r="AL937" s="50" t="n">
        <f aca="false">ROUNDUP(CK937+MAX(CL937,2*(J937/IF(CG937&gt;0,CG937,MAX(0.1,N(Cockpit!$C$6)))-CK937)),0)</f>
        <v>1</v>
      </c>
      <c r="AM937" s="51" t="n">
        <f aca="false">IF(AI937&gt;0,J937/AI937,-1)</f>
        <v>0</v>
      </c>
      <c r="AN937" s="51" t="n">
        <f aca="false">IF(AND(OR(CF937="L1",CF937="L23",CF937="LIFT"),AI937&gt;0),SUMIFS($AI$7:$AI$1843,$CF$7:$CF$1843,CF937,$AM$7:$AM$1843,"&gt;"&amp;AM937)+SUMIFS($AI$7:$AI$1843,$CF$7:$CF$1843,CF937,$AM$7:$AM$1843,AM937,$BW$7:$BW$1843,"&lt;="&amp;BW937),"")</f>
        <v>28877.215827487</v>
      </c>
      <c r="AO937" s="58" t="n">
        <f aca="false">IF(AN937="",0,MAX(0,MIN(1,(IF(CF937="L1",Parameter!$H$5,IF(CF937="L23",Parameter!$H$6+Parameter!$H$7,Parameter!$H$5+Parameter!$H$6+Parameter!$H$7))-(AN937-AI937))/AI937)))</f>
        <v>1</v>
      </c>
      <c r="AP937" s="50" t="n">
        <f aca="false">IF(LEFT(Cockpit!$I$5,1)="A",H937,IF(Parameter!$E$30="MAX-Bestand",IF(CH937=1,CI937,IF(LEFT(Cockpit!$I$5,1)="B",AV937,MAX(AV937,H937))),ROUNDUP(AT937,0)))</f>
        <v>3</v>
      </c>
      <c r="AQ937" s="50" t="n">
        <f aca="false">IF(BZ937=1,0,ROUNDUP(AP937/BY937,0))</f>
        <v>1</v>
      </c>
      <c r="AR937" s="52" t="n">
        <f aca="false">IF(CQ937&gt;0,CQ937*MAX(1,AP937/X937),IF(BZ937=1,IF(AP937&lt;=0,0,CD937*MAX(1,IF(H937&gt;0,AP937/H937,1))),IF(R937&gt;0,AQ937/R937,0))/MAX(0.1,N(Parameter!$M$21)))</f>
        <v>0.0384615384615385</v>
      </c>
      <c r="AS937" s="50" t="n">
        <f aca="false">AR937*CB937</f>
        <v>5.96153846153846</v>
      </c>
      <c r="AT937" s="51" t="n">
        <f aca="false">IF(LEFT(Cockpit!$I$5,1)="A",H937,IF(CH937=1,(CK937+CI937)/2,IF(LEFT(Cockpit!$I$5,1)="B",(CK937+AV937)/2,MAX((CK937+AV937)/2,H937))))</f>
        <v>3</v>
      </c>
      <c r="AU937" s="50" t="n">
        <f aca="false">AT937*G937</f>
        <v>27</v>
      </c>
      <c r="AV937" s="50" t="n">
        <f aca="false">ROUNDUP(CK937+MAX(CL937,2*(J937/IF(CG937&gt;0,CG937,MAX(0.1,N(Cockpit!$I$6)))-CK937)),0)</f>
        <v>1</v>
      </c>
      <c r="AW937" s="51" t="n">
        <f aca="false">IF(AS937&gt;0,J937/AS937,-1)</f>
        <v>0</v>
      </c>
      <c r="AX937" s="51" t="n">
        <f aca="false">IF(AND(OR(CF937="L1",CF937="L23",CF937="LIFT"),AS937&gt;0),SUMIFS($AS$7:$AS$1843,$CF$7:$CF$1843,CF937,$AW$7:$AW$1843,"&gt;"&amp;AW937)+SUMIFS($AS$7:$AS$1843,$CF$7:$CF$1843,CF937,$AW$7:$AW$1843,AW937,$BW$7:$BW$1843,"&lt;="&amp;BW937),"")</f>
        <v>34539.1872710623</v>
      </c>
      <c r="AY937" s="58" t="n">
        <f aca="false">IF(AX937="",0,MAX(0,MIN(1,(IF(CF937="L1",Parameter!$H$5,IF(CF937="L23",Parameter!$H$6+Parameter!$H$7,Parameter!$H$5+Parameter!$H$6+Parameter!$H$7))-(AX937-AS937))/AS937)))</f>
        <v>1</v>
      </c>
      <c r="AZ937" s="50" t="n">
        <f aca="false">IF(LEFT(Cockpit!$O$5,1)="A",H937,IF(Parameter!$E$30="MAX-Bestand",IF(CH937=1,CI937,IF(LEFT(Cockpit!$O$5,1)="B",BF937,MAX(BF937,H937))),ROUNDUP(BD937,0)))</f>
        <v>1</v>
      </c>
      <c r="BA937" s="50" t="n">
        <f aca="false">IF(BZ937=1,0,ROUNDUP(AZ937/BY937,0))</f>
        <v>1</v>
      </c>
      <c r="BB937" s="52" t="n">
        <f aca="false">IF(CQ937&gt;0,CQ937*MAX(1,AZ937/X937),IF(BZ937=1,IF(AZ937&lt;=0,0,CD937*MAX(1,IF(H937&gt;0,AZ937/H937,1))),IF(R937&gt;0,BA937/R937,0))/MAX(0.1,N(Parameter!$M$21)))</f>
        <v>0.0384615384615385</v>
      </c>
      <c r="BC937" s="50" t="n">
        <f aca="false">BB937*CB937</f>
        <v>5.96153846153846</v>
      </c>
      <c r="BD937" s="51" t="n">
        <f aca="false">IF(LEFT(Cockpit!$O$5,1)="A",H937,IF(CH937=1,(CK937+CI937)/2,IF(LEFT(Cockpit!$O$5,1)="B",(CK937+BF937)/2,MAX((CK937+BF937)/2,H937))))</f>
        <v>0.5</v>
      </c>
      <c r="BE937" s="50" t="n">
        <f aca="false">BD937*G937</f>
        <v>4.5</v>
      </c>
      <c r="BF937" s="50" t="n">
        <f aca="false">ROUNDUP(CK937+MAX(CL937,2*(J937/IF(CG937&gt;0,CG937,MAX(0.1,N(Cockpit!$O$6)))-CK937)),0)</f>
        <v>1</v>
      </c>
      <c r="BG937" s="51" t="n">
        <f aca="false">IF(BC937&gt;0,J937/BC937,-1)</f>
        <v>0</v>
      </c>
      <c r="BH937" s="51" t="n">
        <f aca="false">IF(AND(OR(CF937="L1",CF937="L23",CF937="LIFT"),BC937&gt;0),SUMIFS($BC$7:$BC$1843,$CF$7:$CF$1843,CF937,$BG$7:$BG$1843,"&gt;"&amp;BG937)+SUMIFS($BC$7:$BC$1843,$CF$7:$CF$1843,CF937,$BG$7:$BG$1843,BG937,$BW$7:$BW$1843,"&lt;="&amp;BW937),"")</f>
        <v>28569.6862389023</v>
      </c>
      <c r="BI937" s="58" t="n">
        <f aca="false">IF(BH937="",0,MAX(0,MIN(1,(IF(CF937="L1",Parameter!$H$5,IF(CF937="L23",Parameter!$H$6+Parameter!$H$7,Parameter!$H$5+Parameter!$H$6+Parameter!$H$7))-(BH937-BC937))/BC937)))</f>
        <v>1</v>
      </c>
      <c r="BJ937" s="48" t="str">
        <f aca="false">IF(AI937&lt;=0,"",IF(CF937="Aussen","Aussenlager",IF(CF937="-","Nicht im Lift",IF(AO937&gt;=1,"Lift",IF(AO937&lt;=0,"Aussenlager","teilweise")))))</f>
        <v>Lift</v>
      </c>
      <c r="BK937" s="48" t="str">
        <f aca="false">IF(AS937&lt;=0,"",IF(CF937="Aussen","Aussenlager",IF(CF937="-","Nicht im Lift",IF(AY937&gt;=1,"Lift",IF(AY937&lt;=0,"Aussenlager","teilweise")))))</f>
        <v>Lift</v>
      </c>
      <c r="BL937" s="48" t="str">
        <f aca="false">IF(BC937&lt;=0,"",IF(CF937="Aussen","Aussenlager",IF(CF937="-","Nicht im Lift",IF(BI937&gt;=1,"Lift",IF(BI937&lt;=0,"Aussenlager","teilweise")))))</f>
        <v>Lift</v>
      </c>
      <c r="BM937" s="48" t="str">
        <f aca="false">IF(A937="","",IF(BV937=1,"Neu; ","")&amp;IF(AND(BV937=0,BQ937&lt;0),"negativer Bestand (Export "&amp;BQ937&amp;"); ","")&amp;IF(J937&lt;=0,"Kein Verbrauch; ","")&amp;IF(CQ937&gt;0,"Lift "&amp;W937&amp;" lt. Liftbericht (Fach "&amp;X937&amp;" Stk); ",IF(CA937=1,"Gebinde geschätzt ("&amp;T937&amp;"); ",IF(BZ937=1,"Lose – Tablare geschätzt; ","")))&amp;IF(H937&gt;AV937,"Überbestand "&amp;ROUND(H937-AV937,0)&amp;" Stk / CHF "&amp;ROUND((H937-AV937)*G937,0)&amp;"; ","")&amp;IF(AND(CH937=1,CI937&lt;CJ937),"MAX &lt; MB+LG; ","")&amp;IF(AND(CP937&gt;0,CO937*10&gt;CP937),"zu hoch für Tablar; ","")&amp;IF(AND(BV937=0,OR(CH937=1,AA937&lt;&gt;"",U937&lt;&gt;"",V937&lt;&gt;"",AB937&lt;&gt;"")),"manuell übersteuert; ","")&amp;IF(AND(BZ937=0,R937=0),"Gebinde unbekannt / Stellmass fehlt; ","")&amp;IF(AND(BZ937=0,N(V937)&lt;=0,N(Q937)&lt;=0),"Menge pro Gebinde fehlt (Ist = 1 Gebinde); ","")&amp;BU937)</f>
        <v>negativer Bestand (Export -7); Kein Verbrauch; Gebinde geschätzt (Klein); Überbestand 2 Stk / CHF 18; Menge pro Gebinde fehlt (Ist = 1 Gebinde); Verb.Lager; nicht im KTL vorhanden</v>
      </c>
      <c r="BN937" s="48"/>
      <c r="BO937" s="48"/>
      <c r="BP937" s="55"/>
      <c r="BQ937" s="50" t="n">
        <v>-7</v>
      </c>
      <c r="BR937" s="50" t="n">
        <v>10</v>
      </c>
      <c r="BS937" s="49" t="n">
        <v>-52.5</v>
      </c>
      <c r="BT937" s="50" t="n">
        <v>0</v>
      </c>
      <c r="BU937" s="48" t="s">
        <v>1760</v>
      </c>
      <c r="BV937" s="53" t="n">
        <v>0</v>
      </c>
      <c r="BW937" s="53" t="n">
        <v>937</v>
      </c>
      <c r="BX937" s="48" t="str">
        <f aca="false">IF(U937&lt;&gt;"",UPPER(TRIM(U937)),IF(CA937=1,UPPER(VLOOKUP(T937,Parameter!$I$27:$K$29,2,0)),IF(P937="","LOSE",P937)))</f>
        <v>S51</v>
      </c>
      <c r="BY937" s="50" t="n">
        <f aca="false">IF(BX937="LOSE",1,IF(N(V937)&gt;0,V937,IF(CA937=1,MAX(1,N(VLOOKUP(T937,Parameter!$I$27:$K$29,3,0)),H937,N(N937)),IF(N(Q937)&gt;0,Q937,MAX(1,H937)))))</f>
        <v>20</v>
      </c>
      <c r="BZ937" s="53" t="n">
        <f aca="false">IF(BX937="LOSE",1,0)</f>
        <v>0</v>
      </c>
      <c r="CA937" s="53" t="n">
        <f aca="false">IF(AND(U937="",OR(P937="",P937="LOSE"),T937&lt;&gt;"",N(S937)&lt;=0,ISNUMBER(MATCH(T937,Parameter!$I$27:$I$29,0))),1,0)</f>
        <v>1</v>
      </c>
      <c r="CB937" s="53" t="n">
        <f aca="false">IF(CQ937&gt;0,INDEX(Parameter!$H$5:$H$7,W937)/INDEX(Parameter!$E$5:$E$7,W937),IF(AND(BZ937=0,N(IFERROR(VLOOKUP(BX937,'Gebinde-Kategorie'!$A$5:$N$45,14,0),0))&gt;0),VLOOKUP(BX937,'Gebinde-Kategorie'!$A$5:$N$45,14,0)*10+Parameter!$M$23,Parameter!$M$24))</f>
        <v>155</v>
      </c>
      <c r="CC937" s="48" t="str">
        <f aca="false">IF(AND(Parameter!$B$19="Ja",E937&lt;&gt;"",ISNUMBER(MATCH(E937,Parameter!$I$35:$I$52,0))),VLOOKUP(E937,Parameter!$I$35:$J$52,2,0),IFERROR(VLOOKUP(D937,Parameter!$A$35:$C$64,2,0),"Nein"))</f>
        <v>2+3</v>
      </c>
      <c r="CD937" s="52" t="n">
        <f aca="false">IF(BZ937=0,0,IF(N(S937)&gt;0,S937,IFERROR(VLOOKUP(D937,Parameter!$A$35:$C$64,3,0)+0,0)))</f>
        <v>0</v>
      </c>
      <c r="CE937" s="48" t="n">
        <f aca="false">IF(AA937&lt;&gt;"",AA937,Z937)</f>
        <v>3</v>
      </c>
      <c r="CF937" s="48" t="str">
        <f aca="false">IF(OR(CE937=1,CE937=2,CE937=3),IF(Parameter!$E$27="Ja","LIFT",IF(CE937=1,"L1","L23")),IF(CE937="Aussen","Aussen","-"))</f>
        <v>LIFT</v>
      </c>
      <c r="CG937" s="59" t="n">
        <f aca="false">IF(N(AB937)&gt;0,AB937,0)</f>
        <v>0</v>
      </c>
      <c r="CH937" s="53" t="n">
        <f aca="false">IF(ISNUMBER(AE937),1,0)</f>
        <v>0</v>
      </c>
      <c r="CI937" s="50" t="n">
        <f aca="false">N(AE937)</f>
        <v>0</v>
      </c>
      <c r="CJ937" s="50" t="n">
        <f aca="false">N(M937)+N(N937)</f>
        <v>1</v>
      </c>
      <c r="CK937" s="50" t="n">
        <f aca="false">N(M937)</f>
        <v>0</v>
      </c>
      <c r="CL937" s="50" t="n">
        <f aca="false">N(N937)</f>
        <v>1</v>
      </c>
      <c r="CM937" s="50" t="n">
        <f aca="false">ROUNDUP(H937/BY937,0)</f>
        <v>1</v>
      </c>
      <c r="CN937" s="50" t="n">
        <f aca="false">ROUNDUP(CI937/BY937,0)</f>
        <v>0</v>
      </c>
      <c r="CO937" s="53" t="n">
        <f aca="false">IF(BZ937=1,0,IFERROR(VLOOKUP(BX937,'Gebinde-Kategorie'!$A$5:$N$45,5,0)+0,0))</f>
        <v>11</v>
      </c>
      <c r="CP937" s="53" t="n">
        <f aca="false">IFERROR(IF(OR(CE937=1,CE937=2,CE937=3),N(INDEX(Parameter!$I$5:$I$7,CE937)),0),0)</f>
        <v>0</v>
      </c>
      <c r="CQ937" s="52" t="n">
        <f aca="false">IF(AND(Parameter!$B$21="Ja",ISNUMBER(W937),N(X937)&gt;0),IFERROR(N(INDEX(Parameter!$L$5:$L$7,W937))*INDEX(Parameter!$E$5:$E$7,W937)*X937/SUMIFS($X$7:$X$1843,$W$7:$W$1843,W937),0),0)</f>
        <v>0</v>
      </c>
    </row>
    <row r="938" customFormat="false" ht="15" hidden="false" customHeight="false" outlineLevel="0" collapsed="false">
      <c r="A938" s="48" t="s">
        <v>1761</v>
      </c>
      <c r="B938" s="48" t="s">
        <v>817</v>
      </c>
      <c r="C938" s="48" t="s">
        <v>173</v>
      </c>
      <c r="D938" s="48" t="s">
        <v>193</v>
      </c>
      <c r="E938" s="48" t="s">
        <v>194</v>
      </c>
      <c r="F938" s="48" t="s">
        <v>227</v>
      </c>
      <c r="G938" s="49" t="n">
        <v>3.68</v>
      </c>
      <c r="H938" s="50" t="n">
        <f aca="false">MAX(0,IF(AND(Parameter!$B$21="Ja",ISNUMBER(Y938)),Y938,IF(Parameter!$B$20="Jahresanfang 2025 + Export",BR938+BQ938,BQ938)))</f>
        <v>24</v>
      </c>
      <c r="I938" s="50" t="n">
        <f aca="false">H938*G938</f>
        <v>88.32</v>
      </c>
      <c r="J938" s="50" t="n">
        <f aca="false">BT938*Parameter!$B$18</f>
        <v>65</v>
      </c>
      <c r="K938" s="51" t="n">
        <v>55.5</v>
      </c>
      <c r="L938" s="52" t="n">
        <v>1.17117117117117</v>
      </c>
      <c r="M938" s="50" t="n">
        <v>2</v>
      </c>
      <c r="N938" s="50" t="n">
        <v>65</v>
      </c>
      <c r="O938" s="53" t="n">
        <v>14</v>
      </c>
      <c r="P938" s="48" t="s">
        <v>435</v>
      </c>
      <c r="Q938" s="50" t="n">
        <v>60</v>
      </c>
      <c r="R938" s="53" t="n">
        <f aca="false">IF(BZ938=1,0,IFERROR(VLOOKUP(BX938,'Gebinde-Kategorie'!$A$5:$N$45,13,0)+0,0))</f>
        <v>140</v>
      </c>
      <c r="S938" s="54"/>
      <c r="T938" s="55"/>
      <c r="U938" s="55"/>
      <c r="V938" s="55"/>
      <c r="W938" s="48"/>
      <c r="X938" s="50"/>
      <c r="Y938" s="50"/>
      <c r="Z938" s="48" t="n">
        <f aca="false">IF(A938="","",IF(AND(Parameter!$B$21="Ja",ISNUMBER(W938)),W938,IF(CC938="2+3",IF(ISNUMBER(SEARCH("grosser Artikel",BU938)),2,IFERROR(VLOOKUP(BX938,Parameter!$F$35:$G$64,2,0),2)),IF(OR(CC938="Nein",CC938=""),"-",CC938))))</f>
        <v>3</v>
      </c>
      <c r="AA938" s="55"/>
      <c r="AB938" s="56"/>
      <c r="AC938" s="50" t="n">
        <f aca="false">AV938</f>
        <v>67</v>
      </c>
      <c r="AD938" s="50" t="n">
        <f aca="false">MAX(AV938,H938)</f>
        <v>67</v>
      </c>
      <c r="AE938" s="57"/>
      <c r="AF938" s="50" t="n">
        <f aca="false">IF(LEFT(Cockpit!$C$5,1)="A",H938,IF(Parameter!$E$30="MAX-Bestand",IF(CH938=1,CI938,IF(LEFT(Cockpit!$C$5,1)="B",AL938,MAX(AL938,H938))),ROUNDUP(AJ938,0)))</f>
        <v>24</v>
      </c>
      <c r="AG938" s="50" t="n">
        <f aca="false">IF(BZ938=1,0,ROUNDUP(AF938/BY938,0))</f>
        <v>1</v>
      </c>
      <c r="AH938" s="52" t="n">
        <f aca="false">IF(CQ938&gt;0,CQ938*MAX(1,AF938/X938),IF(BZ938=1,IF(AF938&lt;=0,0,CD938*MAX(1,IF(H938&gt;0,AF938/H938,1))),IF(R938&gt;0,AG938/R938,0))/MAX(0.1,N(Parameter!$M$21)))</f>
        <v>0.00714285714285714</v>
      </c>
      <c r="AI938" s="50" t="n">
        <f aca="false">AH938*CB938</f>
        <v>1.10714285714286</v>
      </c>
      <c r="AJ938" s="51" t="n">
        <f aca="false">IF(LEFT(Cockpit!$C$5,1)="A",H938,IF(CH938=1,(CK938+CI938)/2,IF(LEFT(Cockpit!$C$5,1)="B",(CK938+AL938)/2,MAX((CK938+AL938)/2,H938))))</f>
        <v>24</v>
      </c>
      <c r="AK938" s="50" t="n">
        <f aca="false">AJ938*G938</f>
        <v>88.32</v>
      </c>
      <c r="AL938" s="50" t="n">
        <f aca="false">ROUNDUP(CK938+MAX(CL938,2*(J938/IF(CG938&gt;0,CG938,MAX(0.1,N(Cockpit!$C$6)))-CK938)),0)</f>
        <v>67</v>
      </c>
      <c r="AM938" s="51" t="n">
        <f aca="false">IF(AI938&gt;0,J938/AI938,-1)</f>
        <v>58.7096774193548</v>
      </c>
      <c r="AN938" s="51" t="n">
        <f aca="false">IF(AND(OR(CF938="L1",CF938="L23",CF938="LIFT"),AI938&gt;0),SUMIFS($AI$7:$AI$1843,$CF$7:$CF$1843,CF938,$AM$7:$AM$1843,"&gt;"&amp;AM938)+SUMIFS($AI$7:$AI$1843,$CF$7:$CF$1843,CF938,$AM$7:$AM$1843,AM938,$BW$7:$BW$1843,"&lt;="&amp;BW938),"")</f>
        <v>992.498626373626</v>
      </c>
      <c r="AO938" s="58" t="n">
        <f aca="false">IF(AN938="",0,MAX(0,MIN(1,(IF(CF938="L1",Parameter!$H$5,IF(CF938="L23",Parameter!$H$6+Parameter!$H$7,Parameter!$H$5+Parameter!$H$6+Parameter!$H$7))-(AN938-AI938))/AI938)))</f>
        <v>1</v>
      </c>
      <c r="AP938" s="50" t="n">
        <f aca="false">IF(LEFT(Cockpit!$I$5,1)="A",H938,IF(Parameter!$E$30="MAX-Bestand",IF(CH938=1,CI938,IF(LEFT(Cockpit!$I$5,1)="B",AV938,MAX(AV938,H938))),ROUNDUP(AT938,0)))</f>
        <v>35</v>
      </c>
      <c r="AQ938" s="50" t="n">
        <f aca="false">IF(BZ938=1,0,ROUNDUP(AP938/BY938,0))</f>
        <v>1</v>
      </c>
      <c r="AR938" s="52" t="n">
        <f aca="false">IF(CQ938&gt;0,CQ938*MAX(1,AP938/X938),IF(BZ938=1,IF(AP938&lt;=0,0,CD938*MAX(1,IF(H938&gt;0,AP938/H938,1))),IF(R938&gt;0,AQ938/R938,0))/MAX(0.1,N(Parameter!$M$21)))</f>
        <v>0.00714285714285714</v>
      </c>
      <c r="AS938" s="50" t="n">
        <f aca="false">AR938*CB938</f>
        <v>1.10714285714286</v>
      </c>
      <c r="AT938" s="51" t="n">
        <f aca="false">IF(LEFT(Cockpit!$I$5,1)="A",H938,IF(CH938=1,(CK938+CI938)/2,IF(LEFT(Cockpit!$I$5,1)="B",(CK938+AV938)/2,MAX((CK938+AV938)/2,H938))))</f>
        <v>34.5</v>
      </c>
      <c r="AU938" s="50" t="n">
        <f aca="false">AT938*G938</f>
        <v>126.96</v>
      </c>
      <c r="AV938" s="50" t="n">
        <f aca="false">ROUNDUP(CK938+MAX(CL938,2*(J938/IF(CG938&gt;0,CG938,MAX(0.1,N(Cockpit!$I$6)))-CK938)),0)</f>
        <v>67</v>
      </c>
      <c r="AW938" s="51" t="n">
        <f aca="false">IF(AS938&gt;0,J938/AS938,-1)</f>
        <v>58.7096774193548</v>
      </c>
      <c r="AX938" s="51" t="n">
        <f aca="false">IF(AND(OR(CF938="L1",CF938="L23",CF938="LIFT"),AS938&gt;0),SUMIFS($AS$7:$AS$1843,$CF$7:$CF$1843,CF938,$AW$7:$AW$1843,"&gt;"&amp;AW938)+SUMIFS($AS$7:$AS$1843,$CF$7:$CF$1843,CF938,$AW$7:$AW$1843,AW938,$BW$7:$BW$1843,"&lt;="&amp;BW938),"")</f>
        <v>1194.88049450549</v>
      </c>
      <c r="AY938" s="58" t="n">
        <f aca="false">IF(AX938="",0,MAX(0,MIN(1,(IF(CF938="L1",Parameter!$H$5,IF(CF938="L23",Parameter!$H$6+Parameter!$H$7,Parameter!$H$5+Parameter!$H$6+Parameter!$H$7))-(AX938-AS938))/AS938)))</f>
        <v>1</v>
      </c>
      <c r="AZ938" s="50" t="n">
        <f aca="false">IF(LEFT(Cockpit!$O$5,1)="A",H938,IF(Parameter!$E$30="MAX-Bestand",IF(CH938=1,CI938,IF(LEFT(Cockpit!$O$5,1)="B",BF938,MAX(BF938,H938))),ROUNDUP(BD938,0)))</f>
        <v>35</v>
      </c>
      <c r="BA938" s="50" t="n">
        <f aca="false">IF(BZ938=1,0,ROUNDUP(AZ938/BY938,0))</f>
        <v>1</v>
      </c>
      <c r="BB938" s="52" t="n">
        <f aca="false">IF(CQ938&gt;0,CQ938*MAX(1,AZ938/X938),IF(BZ938=1,IF(AZ938&lt;=0,0,CD938*MAX(1,IF(H938&gt;0,AZ938/H938,1))),IF(R938&gt;0,BA938/R938,0))/MAX(0.1,N(Parameter!$M$21)))</f>
        <v>0.00714285714285714</v>
      </c>
      <c r="BC938" s="50" t="n">
        <f aca="false">BB938*CB938</f>
        <v>1.10714285714286</v>
      </c>
      <c r="BD938" s="51" t="n">
        <f aca="false">IF(LEFT(Cockpit!$O$5,1)="A",H938,IF(CH938=1,(CK938+CI938)/2,IF(LEFT(Cockpit!$O$5,1)="B",(CK938+BF938)/2,MAX((CK938+BF938)/2,H938))))</f>
        <v>34.5</v>
      </c>
      <c r="BE938" s="50" t="n">
        <f aca="false">BD938*G938</f>
        <v>126.96</v>
      </c>
      <c r="BF938" s="50" t="n">
        <f aca="false">ROUNDUP(CK938+MAX(CL938,2*(J938/IF(CG938&gt;0,CG938,MAX(0.1,N(Cockpit!$O$6)))-CK938)),0)</f>
        <v>67</v>
      </c>
      <c r="BG938" s="51" t="n">
        <f aca="false">IF(BC938&gt;0,J938/BC938,-1)</f>
        <v>58.7096774193548</v>
      </c>
      <c r="BH938" s="51" t="n">
        <f aca="false">IF(AND(OR(CF938="L1",CF938="L23",CF938="LIFT"),BC938&gt;0),SUMIFS($BC$7:$BC$1843,$CF$7:$CF$1843,CF938,$BG$7:$BG$1843,"&gt;"&amp;BG938)+SUMIFS($BC$7:$BC$1843,$CF$7:$CF$1843,CF938,$BG$7:$BG$1843,BG938,$BW$7:$BW$1843,"&lt;="&amp;BW938),"")</f>
        <v>1118.08058608059</v>
      </c>
      <c r="BI938" s="58" t="n">
        <f aca="false">IF(BH938="",0,MAX(0,MIN(1,(IF(CF938="L1",Parameter!$H$5,IF(CF938="L23",Parameter!$H$6+Parameter!$H$7,Parameter!$H$5+Parameter!$H$6+Parameter!$H$7))-(BH938-BC938))/BC938)))</f>
        <v>1</v>
      </c>
      <c r="BJ938" s="48" t="str">
        <f aca="false">IF(AI938&lt;=0,"",IF(CF938="Aussen","Aussenlager",IF(CF938="-","Nicht im Lift",IF(AO938&gt;=1,"Lift",IF(AO938&lt;=0,"Aussenlager","teilweise")))))</f>
        <v>Lift</v>
      </c>
      <c r="BK938" s="48" t="str">
        <f aca="false">IF(AS938&lt;=0,"",IF(CF938="Aussen","Aussenlager",IF(CF938="-","Nicht im Lift",IF(AY938&gt;=1,"Lift",IF(AY938&lt;=0,"Aussenlager","teilweise")))))</f>
        <v>Lift</v>
      </c>
      <c r="BL938" s="48" t="str">
        <f aca="false">IF(BC938&lt;=0,"",IF(CF938="Aussen","Aussenlager",IF(CF938="-","Nicht im Lift",IF(BI938&gt;=1,"Lift",IF(BI938&lt;=0,"Aussenlager","teilweise")))))</f>
        <v>Lift</v>
      </c>
      <c r="BM938" s="48" t="str">
        <f aca="false">IF(A938="","",IF(BV938=1,"Neu; ","")&amp;IF(AND(BV938=0,BQ938&lt;0),"negativer Bestand (Export "&amp;BQ938&amp;"); ","")&amp;IF(J938&lt;=0,"Kein Verbrauch; ","")&amp;IF(CQ938&gt;0,"Lift "&amp;W938&amp;" lt. Liftbericht (Fach "&amp;X938&amp;" Stk); ",IF(CA938=1,"Gebinde geschätzt ("&amp;T938&amp;"); ",IF(BZ938=1,"Lose – Tablare geschätzt; ","")))&amp;IF(H938&gt;AV938,"Überbestand "&amp;ROUND(H938-AV938,0)&amp;" Stk / CHF "&amp;ROUND((H938-AV938)*G938,0)&amp;"; ","")&amp;IF(AND(CH938=1,CI938&lt;CJ938),"MAX &lt; MB+LG; ","")&amp;IF(AND(CP938&gt;0,CO938*10&gt;CP938),"zu hoch für Tablar; ","")&amp;IF(AND(BV938=0,OR(CH938=1,AA938&lt;&gt;"",U938&lt;&gt;"",V938&lt;&gt;"",AB938&lt;&gt;"")),"manuell übersteuert; ","")&amp;IF(AND(BZ938=0,R938=0),"Gebinde unbekannt / Stellmass fehlt; ","")&amp;IF(AND(BZ938=0,N(V938)&lt;=0,N(Q938)&lt;=0),"Menge pro Gebinde fehlt (Ist = 1 Gebinde); ","")&amp;BU938)</f>
        <v>negativer Bestand (Export -15); </v>
      </c>
      <c r="BN938" s="48"/>
      <c r="BO938" s="48"/>
      <c r="BP938" s="55"/>
      <c r="BQ938" s="50" t="n">
        <v>-15</v>
      </c>
      <c r="BR938" s="50" t="n">
        <v>39</v>
      </c>
      <c r="BS938" s="49" t="n">
        <v>-53.22</v>
      </c>
      <c r="BT938" s="50" t="n">
        <v>65</v>
      </c>
      <c r="BU938" s="48"/>
      <c r="BV938" s="53" t="n">
        <v>0</v>
      </c>
      <c r="BW938" s="53" t="n">
        <v>938</v>
      </c>
      <c r="BX938" s="48" t="str">
        <f aca="false">IF(U938&lt;&gt;"",UPPER(TRIM(U938)),IF(CA938=1,UPPER(VLOOKUP(T938,Parameter!$I$27:$K$29,2,0)),IF(P938="","LOSE",P938)))</f>
        <v>S22</v>
      </c>
      <c r="BY938" s="50" t="n">
        <f aca="false">IF(BX938="LOSE",1,IF(N(V938)&gt;0,V938,IF(CA938=1,MAX(1,N(VLOOKUP(T938,Parameter!$I$27:$K$29,3,0)),H938,N(N938)),IF(N(Q938)&gt;0,Q938,MAX(1,H938)))))</f>
        <v>60</v>
      </c>
      <c r="BZ938" s="53" t="n">
        <f aca="false">IF(BX938="LOSE",1,0)</f>
        <v>0</v>
      </c>
      <c r="CA938" s="53" t="n">
        <f aca="false">IF(AND(U938="",OR(P938="",P938="LOSE"),T938&lt;&gt;"",N(S938)&lt;=0,ISNUMBER(MATCH(T938,Parameter!$I$27:$I$29,0))),1,0)</f>
        <v>0</v>
      </c>
      <c r="CB938" s="53" t="n">
        <f aca="false">IF(CQ938&gt;0,INDEX(Parameter!$H$5:$H$7,W938)/INDEX(Parameter!$E$5:$E$7,W938),IF(AND(BZ938=0,N(IFERROR(VLOOKUP(BX938,'Gebinde-Kategorie'!$A$5:$N$45,14,0),0))&gt;0),VLOOKUP(BX938,'Gebinde-Kategorie'!$A$5:$N$45,14,0)*10+Parameter!$M$23,Parameter!$M$24))</f>
        <v>155</v>
      </c>
      <c r="CC938" s="48" t="str">
        <f aca="false">IF(AND(Parameter!$B$19="Ja",E938&lt;&gt;"",ISNUMBER(MATCH(E938,Parameter!$I$35:$I$52,0))),VLOOKUP(E938,Parameter!$I$35:$J$52,2,0),IFERROR(VLOOKUP(D938,Parameter!$A$35:$C$64,2,0),"Nein"))</f>
        <v>2+3</v>
      </c>
      <c r="CD938" s="52" t="n">
        <f aca="false">IF(BZ938=0,0,IF(N(S938)&gt;0,S938,IFERROR(VLOOKUP(D938,Parameter!$A$35:$C$64,3,0)+0,0)))</f>
        <v>0</v>
      </c>
      <c r="CE938" s="48" t="n">
        <f aca="false">IF(AA938&lt;&gt;"",AA938,Z938)</f>
        <v>3</v>
      </c>
      <c r="CF938" s="48" t="str">
        <f aca="false">IF(OR(CE938=1,CE938=2,CE938=3),IF(Parameter!$E$27="Ja","LIFT",IF(CE938=1,"L1","L23")),IF(CE938="Aussen","Aussen","-"))</f>
        <v>LIFT</v>
      </c>
      <c r="CG938" s="59" t="n">
        <f aca="false">IF(N(AB938)&gt;0,AB938,0)</f>
        <v>0</v>
      </c>
      <c r="CH938" s="53" t="n">
        <f aca="false">IF(ISNUMBER(AE938),1,0)</f>
        <v>0</v>
      </c>
      <c r="CI938" s="50" t="n">
        <f aca="false">N(AE938)</f>
        <v>0</v>
      </c>
      <c r="CJ938" s="50" t="n">
        <f aca="false">N(M938)+N(N938)</f>
        <v>67</v>
      </c>
      <c r="CK938" s="50" t="n">
        <f aca="false">N(M938)</f>
        <v>2</v>
      </c>
      <c r="CL938" s="50" t="n">
        <f aca="false">N(N938)</f>
        <v>65</v>
      </c>
      <c r="CM938" s="50" t="n">
        <f aca="false">ROUNDUP(H938/BY938,0)</f>
        <v>1</v>
      </c>
      <c r="CN938" s="50" t="n">
        <f aca="false">ROUNDUP(CI938/BY938,0)</f>
        <v>0</v>
      </c>
      <c r="CO938" s="53" t="n">
        <f aca="false">IF(BZ938=1,0,IFERROR(VLOOKUP(BX938,'Gebinde-Kategorie'!$A$5:$N$45,5,0)+0,0))</f>
        <v>8</v>
      </c>
      <c r="CP938" s="53" t="n">
        <f aca="false">IFERROR(IF(OR(CE938=1,CE938=2,CE938=3),N(INDEX(Parameter!$I$5:$I$7,CE938)),0),0)</f>
        <v>0</v>
      </c>
      <c r="CQ938" s="52" t="n">
        <f aca="false">IF(AND(Parameter!$B$21="Ja",ISNUMBER(W938),N(X938)&gt;0),IFERROR(N(INDEX(Parameter!$L$5:$L$7,W938))*INDEX(Parameter!$E$5:$E$7,W938)*X938/SUMIFS($X$7:$X$1843,$W$7:$W$1843,W938),0),0)</f>
        <v>0</v>
      </c>
    </row>
    <row r="939" customFormat="false" ht="15" hidden="false" customHeight="false" outlineLevel="0" collapsed="false">
      <c r="A939" s="48" t="s">
        <v>1762</v>
      </c>
      <c r="B939" s="48" t="s">
        <v>598</v>
      </c>
      <c r="C939" s="48" t="s">
        <v>173</v>
      </c>
      <c r="D939" s="48" t="s">
        <v>193</v>
      </c>
      <c r="E939" s="48" t="s">
        <v>194</v>
      </c>
      <c r="F939" s="48" t="s">
        <v>227</v>
      </c>
      <c r="G939" s="49" t="n">
        <v>17.75</v>
      </c>
      <c r="H939" s="50" t="n">
        <f aca="false">MAX(0,IF(AND(Parameter!$B$21="Ja",ISNUMBER(Y939)),Y939,IF(Parameter!$B$20="Jahresanfang 2025 + Export",BR939+BQ939,BQ939)))</f>
        <v>48</v>
      </c>
      <c r="I939" s="50" t="n">
        <f aca="false">H939*G939</f>
        <v>852</v>
      </c>
      <c r="J939" s="50" t="n">
        <f aca="false">BT939*Parameter!$B$18</f>
        <v>15</v>
      </c>
      <c r="K939" s="51" t="n">
        <v>49.5</v>
      </c>
      <c r="L939" s="52" t="n">
        <v>0.303030303030303</v>
      </c>
      <c r="M939" s="50" t="n">
        <v>1</v>
      </c>
      <c r="N939" s="50" t="n">
        <v>15</v>
      </c>
      <c r="O939" s="53" t="n">
        <v>28</v>
      </c>
      <c r="P939" s="48" t="s">
        <v>435</v>
      </c>
      <c r="Q939" s="50" t="n">
        <v>64</v>
      </c>
      <c r="R939" s="53" t="n">
        <f aca="false">IF(BZ939=1,0,IFERROR(VLOOKUP(BX939,'Gebinde-Kategorie'!$A$5:$N$45,13,0)+0,0))</f>
        <v>140</v>
      </c>
      <c r="S939" s="54"/>
      <c r="T939" s="55"/>
      <c r="U939" s="55"/>
      <c r="V939" s="55"/>
      <c r="W939" s="48"/>
      <c r="X939" s="50"/>
      <c r="Y939" s="50"/>
      <c r="Z939" s="48" t="n">
        <f aca="false">IF(A939="","",IF(AND(Parameter!$B$21="Ja",ISNUMBER(W939)),W939,IF(CC939="2+3",IF(ISNUMBER(SEARCH("grosser Artikel",BU939)),2,IFERROR(VLOOKUP(BX939,Parameter!$F$35:$G$64,2,0),2)),IF(OR(CC939="Nein",CC939=""),"-",CC939))))</f>
        <v>3</v>
      </c>
      <c r="AA939" s="55"/>
      <c r="AB939" s="56"/>
      <c r="AC939" s="50" t="n">
        <f aca="false">AV939</f>
        <v>16</v>
      </c>
      <c r="AD939" s="50" t="n">
        <f aca="false">MAX(AV939,H939)</f>
        <v>48</v>
      </c>
      <c r="AE939" s="57"/>
      <c r="AF939" s="50" t="n">
        <f aca="false">IF(LEFT(Cockpit!$C$5,1)="A",H939,IF(Parameter!$E$30="MAX-Bestand",IF(CH939=1,CI939,IF(LEFT(Cockpit!$C$5,1)="B",AL939,MAX(AL939,H939))),ROUNDUP(AJ939,0)))</f>
        <v>48</v>
      </c>
      <c r="AG939" s="50" t="n">
        <f aca="false">IF(BZ939=1,0,ROUNDUP(AF939/BY939,0))</f>
        <v>1</v>
      </c>
      <c r="AH939" s="52" t="n">
        <f aca="false">IF(CQ939&gt;0,CQ939*MAX(1,AF939/X939),IF(BZ939=1,IF(AF939&lt;=0,0,CD939*MAX(1,IF(H939&gt;0,AF939/H939,1))),IF(R939&gt;0,AG939/R939,0))/MAX(0.1,N(Parameter!$M$21)))</f>
        <v>0.00714285714285714</v>
      </c>
      <c r="AI939" s="50" t="n">
        <f aca="false">AH939*CB939</f>
        <v>1.10714285714286</v>
      </c>
      <c r="AJ939" s="51" t="n">
        <f aca="false">IF(LEFT(Cockpit!$C$5,1)="A",H939,IF(CH939=1,(CK939+CI939)/2,IF(LEFT(Cockpit!$C$5,1)="B",(CK939+AL939)/2,MAX((CK939+AL939)/2,H939))))</f>
        <v>48</v>
      </c>
      <c r="AK939" s="50" t="n">
        <f aca="false">AJ939*G939</f>
        <v>852</v>
      </c>
      <c r="AL939" s="50" t="n">
        <f aca="false">ROUNDUP(CK939+MAX(CL939,2*(J939/IF(CG939&gt;0,CG939,MAX(0.1,N(Cockpit!$C$6)))-CK939)),0)</f>
        <v>16</v>
      </c>
      <c r="AM939" s="51" t="n">
        <f aca="false">IF(AI939&gt;0,J939/AI939,-1)</f>
        <v>13.5483870967742</v>
      </c>
      <c r="AN939" s="51" t="n">
        <f aca="false">IF(AND(OR(CF939="L1",CF939="L23",CF939="LIFT"),AI939&gt;0),SUMIFS($AI$7:$AI$1843,$CF$7:$CF$1843,CF939,$AM$7:$AM$1843,"&gt;"&amp;AM939)+SUMIFS($AI$7:$AI$1843,$CF$7:$CF$1843,CF939,$AM$7:$AM$1843,AM939,$BW$7:$BW$1843,"&lt;="&amp;BW939),"")</f>
        <v>2341.72893772894</v>
      </c>
      <c r="AO939" s="58" t="n">
        <f aca="false">IF(AN939="",0,MAX(0,MIN(1,(IF(CF939="L1",Parameter!$H$5,IF(CF939="L23",Parameter!$H$6+Parameter!$H$7,Parameter!$H$5+Parameter!$H$6+Parameter!$H$7))-(AN939-AI939))/AI939)))</f>
        <v>1</v>
      </c>
      <c r="AP939" s="50" t="n">
        <f aca="false">IF(LEFT(Cockpit!$I$5,1)="A",H939,IF(Parameter!$E$30="MAX-Bestand",IF(CH939=1,CI939,IF(LEFT(Cockpit!$I$5,1)="B",AV939,MAX(AV939,H939))),ROUNDUP(AT939,0)))</f>
        <v>48</v>
      </c>
      <c r="AQ939" s="50" t="n">
        <f aca="false">IF(BZ939=1,0,ROUNDUP(AP939/BY939,0))</f>
        <v>1</v>
      </c>
      <c r="AR939" s="52" t="n">
        <f aca="false">IF(CQ939&gt;0,CQ939*MAX(1,AP939/X939),IF(BZ939=1,IF(AP939&lt;=0,0,CD939*MAX(1,IF(H939&gt;0,AP939/H939,1))),IF(R939&gt;0,AQ939/R939,0))/MAX(0.1,N(Parameter!$M$21)))</f>
        <v>0.00714285714285714</v>
      </c>
      <c r="AS939" s="50" t="n">
        <f aca="false">AR939*CB939</f>
        <v>1.10714285714286</v>
      </c>
      <c r="AT939" s="51" t="n">
        <f aca="false">IF(LEFT(Cockpit!$I$5,1)="A",H939,IF(CH939=1,(CK939+CI939)/2,IF(LEFT(Cockpit!$I$5,1)="B",(CK939+AV939)/2,MAX((CK939+AV939)/2,H939))))</f>
        <v>48</v>
      </c>
      <c r="AU939" s="50" t="n">
        <f aca="false">AT939*G939</f>
        <v>852</v>
      </c>
      <c r="AV939" s="50" t="n">
        <f aca="false">ROUNDUP(CK939+MAX(CL939,2*(J939/IF(CG939&gt;0,CG939,MAX(0.1,N(Cockpit!$I$6)))-CK939)),0)</f>
        <v>16</v>
      </c>
      <c r="AW939" s="51" t="n">
        <f aca="false">IF(AS939&gt;0,J939/AS939,-1)</f>
        <v>13.5483870967742</v>
      </c>
      <c r="AX939" s="51" t="n">
        <f aca="false">IF(AND(OR(CF939="L1",CF939="L23",CF939="LIFT"),AS939&gt;0),SUMIFS($AS$7:$AS$1843,$CF$7:$CF$1843,CF939,$AW$7:$AW$1843,"&gt;"&amp;AW939)+SUMIFS($AS$7:$AS$1843,$CF$7:$CF$1843,CF939,$AW$7:$AW$1843,AW939,$BW$7:$BW$1843,"&lt;="&amp;BW939),"")</f>
        <v>2960.91575091575</v>
      </c>
      <c r="AY939" s="58" t="n">
        <f aca="false">IF(AX939="",0,MAX(0,MIN(1,(IF(CF939="L1",Parameter!$H$5,IF(CF939="L23",Parameter!$H$6+Parameter!$H$7,Parameter!$H$5+Parameter!$H$6+Parameter!$H$7))-(AX939-AS939))/AS939)))</f>
        <v>1</v>
      </c>
      <c r="AZ939" s="50" t="n">
        <f aca="false">IF(LEFT(Cockpit!$O$5,1)="A",H939,IF(Parameter!$E$30="MAX-Bestand",IF(CH939=1,CI939,IF(LEFT(Cockpit!$O$5,1)="B",BF939,MAX(BF939,H939))),ROUNDUP(BD939,0)))</f>
        <v>9</v>
      </c>
      <c r="BA939" s="50" t="n">
        <f aca="false">IF(BZ939=1,0,ROUNDUP(AZ939/BY939,0))</f>
        <v>1</v>
      </c>
      <c r="BB939" s="52" t="n">
        <f aca="false">IF(CQ939&gt;0,CQ939*MAX(1,AZ939/X939),IF(BZ939=1,IF(AZ939&lt;=0,0,CD939*MAX(1,IF(H939&gt;0,AZ939/H939,1))),IF(R939&gt;0,BA939/R939,0))/MAX(0.1,N(Parameter!$M$21)))</f>
        <v>0.00714285714285714</v>
      </c>
      <c r="BC939" s="50" t="n">
        <f aca="false">BB939*CB939</f>
        <v>1.10714285714286</v>
      </c>
      <c r="BD939" s="51" t="n">
        <f aca="false">IF(LEFT(Cockpit!$O$5,1)="A",H939,IF(CH939=1,(CK939+CI939)/2,IF(LEFT(Cockpit!$O$5,1)="B",(CK939+BF939)/2,MAX((CK939+BF939)/2,H939))))</f>
        <v>8.5</v>
      </c>
      <c r="BE939" s="50" t="n">
        <f aca="false">BD939*G939</f>
        <v>150.875</v>
      </c>
      <c r="BF939" s="50" t="n">
        <f aca="false">ROUNDUP(CK939+MAX(CL939,2*(J939/IF(CG939&gt;0,CG939,MAX(0.1,N(Cockpit!$O$6)))-CK939)),0)</f>
        <v>16</v>
      </c>
      <c r="BG939" s="51" t="n">
        <f aca="false">IF(BC939&gt;0,J939/BC939,-1)</f>
        <v>13.5483870967742</v>
      </c>
      <c r="BH939" s="51" t="n">
        <f aca="false">IF(AND(OR(CF939="L1",CF939="L23",CF939="LIFT"),BC939&gt;0),SUMIFS($BC$7:$BC$1843,$CF$7:$CF$1843,CF939,$BG$7:$BG$1843,"&gt;"&amp;BG939)+SUMIFS($BC$7:$BC$1843,$CF$7:$CF$1843,CF939,$BG$7:$BG$1843,BG939,$BW$7:$BW$1843,"&lt;="&amp;BW939),"")</f>
        <v>2501.74725274725</v>
      </c>
      <c r="BI939" s="58" t="n">
        <f aca="false">IF(BH939="",0,MAX(0,MIN(1,(IF(CF939="L1",Parameter!$H$5,IF(CF939="L23",Parameter!$H$6+Parameter!$H$7,Parameter!$H$5+Parameter!$H$6+Parameter!$H$7))-(BH939-BC939))/BC939)))</f>
        <v>1</v>
      </c>
      <c r="BJ939" s="48" t="str">
        <f aca="false">IF(AI939&lt;=0,"",IF(CF939="Aussen","Aussenlager",IF(CF939="-","Nicht im Lift",IF(AO939&gt;=1,"Lift",IF(AO939&lt;=0,"Aussenlager","teilweise")))))</f>
        <v>Lift</v>
      </c>
      <c r="BK939" s="48" t="str">
        <f aca="false">IF(AS939&lt;=0,"",IF(CF939="Aussen","Aussenlager",IF(CF939="-","Nicht im Lift",IF(AY939&gt;=1,"Lift",IF(AY939&lt;=0,"Aussenlager","teilweise")))))</f>
        <v>Lift</v>
      </c>
      <c r="BL939" s="48" t="str">
        <f aca="false">IF(BC939&lt;=0,"",IF(CF939="Aussen","Aussenlager",IF(CF939="-","Nicht im Lift",IF(BI939&gt;=1,"Lift",IF(BI939&lt;=0,"Aussenlager","teilweise")))))</f>
        <v>Lift</v>
      </c>
      <c r="BM939" s="48" t="str">
        <f aca="false">IF(A939="","",IF(BV939=1,"Neu; ","")&amp;IF(AND(BV939=0,BQ939&lt;0),"negativer Bestand (Export "&amp;BQ939&amp;"); ","")&amp;IF(J939&lt;=0,"Kein Verbrauch; ","")&amp;IF(CQ939&gt;0,"Lift "&amp;W939&amp;" lt. Liftbericht (Fach "&amp;X939&amp;" Stk); ",IF(CA939=1,"Gebinde geschätzt ("&amp;T939&amp;"); ",IF(BZ939=1,"Lose – Tablare geschätzt; ","")))&amp;IF(H939&gt;AV939,"Überbestand "&amp;ROUND(H939-AV939,0)&amp;" Stk / CHF "&amp;ROUND((H939-AV939)*G939,0)&amp;"; ","")&amp;IF(AND(CH939=1,CI939&lt;CJ939),"MAX &lt; MB+LG; ","")&amp;IF(AND(CP939&gt;0,CO939*10&gt;CP939),"zu hoch für Tablar; ","")&amp;IF(AND(BV939=0,OR(CH939=1,AA939&lt;&gt;"",U939&lt;&gt;"",V939&lt;&gt;"",AB939&lt;&gt;"")),"manuell übersteuert; ","")&amp;IF(AND(BZ939=0,R939=0),"Gebinde unbekannt / Stellmass fehlt; ","")&amp;IF(AND(BZ939=0,N(V939)&lt;=0,N(Q939)&lt;=0),"Menge pro Gebinde fehlt (Ist = 1 Gebinde); ","")&amp;BU939)</f>
        <v>negativer Bestand (Export -3); Überbestand 32 Stk / CHF 568; twin</v>
      </c>
      <c r="BN939" s="48"/>
      <c r="BO939" s="48"/>
      <c r="BP939" s="55"/>
      <c r="BQ939" s="50" t="n">
        <v>-3</v>
      </c>
      <c r="BR939" s="50" t="n">
        <v>51</v>
      </c>
      <c r="BS939" s="49" t="n">
        <v>-53.25</v>
      </c>
      <c r="BT939" s="50" t="n">
        <v>15</v>
      </c>
      <c r="BU939" s="48" t="s">
        <v>1750</v>
      </c>
      <c r="BV939" s="53" t="n">
        <v>0</v>
      </c>
      <c r="BW939" s="53" t="n">
        <v>939</v>
      </c>
      <c r="BX939" s="48" t="str">
        <f aca="false">IF(U939&lt;&gt;"",UPPER(TRIM(U939)),IF(CA939=1,UPPER(VLOOKUP(T939,Parameter!$I$27:$K$29,2,0)),IF(P939="","LOSE",P939)))</f>
        <v>S22</v>
      </c>
      <c r="BY939" s="50" t="n">
        <f aca="false">IF(BX939="LOSE",1,IF(N(V939)&gt;0,V939,IF(CA939=1,MAX(1,N(VLOOKUP(T939,Parameter!$I$27:$K$29,3,0)),H939,N(N939)),IF(N(Q939)&gt;0,Q939,MAX(1,H939)))))</f>
        <v>64</v>
      </c>
      <c r="BZ939" s="53" t="n">
        <f aca="false">IF(BX939="LOSE",1,0)</f>
        <v>0</v>
      </c>
      <c r="CA939" s="53" t="n">
        <f aca="false">IF(AND(U939="",OR(P939="",P939="LOSE"),T939&lt;&gt;"",N(S939)&lt;=0,ISNUMBER(MATCH(T939,Parameter!$I$27:$I$29,0))),1,0)</f>
        <v>0</v>
      </c>
      <c r="CB939" s="53" t="n">
        <f aca="false">IF(CQ939&gt;0,INDEX(Parameter!$H$5:$H$7,W939)/INDEX(Parameter!$E$5:$E$7,W939),IF(AND(BZ939=0,N(IFERROR(VLOOKUP(BX939,'Gebinde-Kategorie'!$A$5:$N$45,14,0),0))&gt;0),VLOOKUP(BX939,'Gebinde-Kategorie'!$A$5:$N$45,14,0)*10+Parameter!$M$23,Parameter!$M$24))</f>
        <v>155</v>
      </c>
      <c r="CC939" s="48" t="str">
        <f aca="false">IF(AND(Parameter!$B$19="Ja",E939&lt;&gt;"",ISNUMBER(MATCH(E939,Parameter!$I$35:$I$52,0))),VLOOKUP(E939,Parameter!$I$35:$J$52,2,0),IFERROR(VLOOKUP(D939,Parameter!$A$35:$C$64,2,0),"Nein"))</f>
        <v>2+3</v>
      </c>
      <c r="CD939" s="52" t="n">
        <f aca="false">IF(BZ939=0,0,IF(N(S939)&gt;0,S939,IFERROR(VLOOKUP(D939,Parameter!$A$35:$C$64,3,0)+0,0)))</f>
        <v>0</v>
      </c>
      <c r="CE939" s="48" t="n">
        <f aca="false">IF(AA939&lt;&gt;"",AA939,Z939)</f>
        <v>3</v>
      </c>
      <c r="CF939" s="48" t="str">
        <f aca="false">IF(OR(CE939=1,CE939=2,CE939=3),IF(Parameter!$E$27="Ja","LIFT",IF(CE939=1,"L1","L23")),IF(CE939="Aussen","Aussen","-"))</f>
        <v>LIFT</v>
      </c>
      <c r="CG939" s="59" t="n">
        <f aca="false">IF(N(AB939)&gt;0,AB939,0)</f>
        <v>0</v>
      </c>
      <c r="CH939" s="53" t="n">
        <f aca="false">IF(ISNUMBER(AE939),1,0)</f>
        <v>0</v>
      </c>
      <c r="CI939" s="50" t="n">
        <f aca="false">N(AE939)</f>
        <v>0</v>
      </c>
      <c r="CJ939" s="50" t="n">
        <f aca="false">N(M939)+N(N939)</f>
        <v>16</v>
      </c>
      <c r="CK939" s="50" t="n">
        <f aca="false">N(M939)</f>
        <v>1</v>
      </c>
      <c r="CL939" s="50" t="n">
        <f aca="false">N(N939)</f>
        <v>15</v>
      </c>
      <c r="CM939" s="50" t="n">
        <f aca="false">ROUNDUP(H939/BY939,0)</f>
        <v>1</v>
      </c>
      <c r="CN939" s="50" t="n">
        <f aca="false">ROUNDUP(CI939/BY939,0)</f>
        <v>0</v>
      </c>
      <c r="CO939" s="53" t="n">
        <f aca="false">IF(BZ939=1,0,IFERROR(VLOOKUP(BX939,'Gebinde-Kategorie'!$A$5:$N$45,5,0)+0,0))</f>
        <v>8</v>
      </c>
      <c r="CP939" s="53" t="n">
        <f aca="false">IFERROR(IF(OR(CE939=1,CE939=2,CE939=3),N(INDEX(Parameter!$I$5:$I$7,CE939)),0),0)</f>
        <v>0</v>
      </c>
      <c r="CQ939" s="52" t="n">
        <f aca="false">IF(AND(Parameter!$B$21="Ja",ISNUMBER(W939),N(X939)&gt;0),IFERROR(N(INDEX(Parameter!$L$5:$L$7,W939))*INDEX(Parameter!$E$5:$E$7,W939)*X939/SUMIFS($X$7:$X$1843,$W$7:$W$1843,W939),0),0)</f>
        <v>0</v>
      </c>
    </row>
    <row r="940" customFormat="false" ht="15" hidden="false" customHeight="false" outlineLevel="0" collapsed="false">
      <c r="A940" s="48" t="s">
        <v>1763</v>
      </c>
      <c r="B940" s="48" t="s">
        <v>1764</v>
      </c>
      <c r="C940" s="48" t="s">
        <v>465</v>
      </c>
      <c r="D940" s="48" t="s">
        <v>193</v>
      </c>
      <c r="E940" s="48"/>
      <c r="F940" s="48" t="s">
        <v>227</v>
      </c>
      <c r="G940" s="49" t="n">
        <v>7.7</v>
      </c>
      <c r="H940" s="50" t="n">
        <f aca="false">MAX(0,IF(AND(Parameter!$B$21="Ja",ISNUMBER(Y940)),Y940,IF(Parameter!$B$20="Jahresanfang 2025 + Export",BR940+BQ940,BQ940)))</f>
        <v>7</v>
      </c>
      <c r="I940" s="50" t="n">
        <f aca="false">H940*G940</f>
        <v>53.9</v>
      </c>
      <c r="J940" s="50" t="n">
        <f aca="false">BT940*Parameter!$B$18</f>
        <v>7</v>
      </c>
      <c r="K940" s="51" t="n">
        <v>7</v>
      </c>
      <c r="L940" s="52" t="n">
        <v>1</v>
      </c>
      <c r="M940" s="50" t="n">
        <v>0</v>
      </c>
      <c r="N940" s="50" t="n">
        <v>5</v>
      </c>
      <c r="O940" s="53" t="n">
        <v>21</v>
      </c>
      <c r="P940" s="48" t="s">
        <v>177</v>
      </c>
      <c r="Q940" s="50"/>
      <c r="R940" s="53" t="n">
        <f aca="false">IF(BZ940=1,0,IFERROR(VLOOKUP(BX940,'Gebinde-Kategorie'!$A$5:$N$45,13,0)+0,0))</f>
        <v>26</v>
      </c>
      <c r="S940" s="54"/>
      <c r="T940" s="55" t="s">
        <v>284</v>
      </c>
      <c r="U940" s="55"/>
      <c r="V940" s="55"/>
      <c r="W940" s="48"/>
      <c r="X940" s="50"/>
      <c r="Y940" s="50"/>
      <c r="Z940" s="48" t="n">
        <f aca="false">IF(A940="","",IF(AND(Parameter!$B$21="Ja",ISNUMBER(W940)),W940,IF(CC940="2+3",IF(ISNUMBER(SEARCH("grosser Artikel",BU940)),2,IFERROR(VLOOKUP(BX940,Parameter!$F$35:$G$64,2,0),2)),IF(OR(CC940="Nein",CC940=""),"-",CC940))))</f>
        <v>3</v>
      </c>
      <c r="AA940" s="55"/>
      <c r="AB940" s="56"/>
      <c r="AC940" s="50" t="n">
        <f aca="false">AV940</f>
        <v>5</v>
      </c>
      <c r="AD940" s="50" t="n">
        <f aca="false">MAX(AV940,H940)</f>
        <v>7</v>
      </c>
      <c r="AE940" s="57"/>
      <c r="AF940" s="50" t="n">
        <f aca="false">IF(LEFT(Cockpit!$C$5,1)="A",H940,IF(Parameter!$E$30="MAX-Bestand",IF(CH940=1,CI940,IF(LEFT(Cockpit!$C$5,1)="B",AL940,MAX(AL940,H940))),ROUNDUP(AJ940,0)))</f>
        <v>7</v>
      </c>
      <c r="AG940" s="50" t="n">
        <f aca="false">IF(BZ940=1,0,ROUNDUP(AF940/BY940,0))</f>
        <v>1</v>
      </c>
      <c r="AH940" s="52" t="n">
        <f aca="false">IF(CQ940&gt;0,CQ940*MAX(1,AF940/X940),IF(BZ940=1,IF(AF940&lt;=0,0,CD940*MAX(1,IF(H940&gt;0,AF940/H940,1))),IF(R940&gt;0,AG940/R940,0))/MAX(0.1,N(Parameter!$M$21)))</f>
        <v>0.0384615384615385</v>
      </c>
      <c r="AI940" s="50" t="n">
        <f aca="false">AH940*CB940</f>
        <v>5.96153846153846</v>
      </c>
      <c r="AJ940" s="51" t="n">
        <f aca="false">IF(LEFT(Cockpit!$C$5,1)="A",H940,IF(CH940=1,(CK940+CI940)/2,IF(LEFT(Cockpit!$C$5,1)="B",(CK940+AL940)/2,MAX((CK940+AL940)/2,H940))))</f>
        <v>7</v>
      </c>
      <c r="AK940" s="50" t="n">
        <f aca="false">AJ940*G940</f>
        <v>53.9</v>
      </c>
      <c r="AL940" s="50" t="n">
        <f aca="false">ROUNDUP(CK940+MAX(CL940,2*(J940/IF(CG940&gt;0,CG940,MAX(0.1,N(Cockpit!$C$6)))-CK940)),0)</f>
        <v>5</v>
      </c>
      <c r="AM940" s="51" t="n">
        <f aca="false">IF(AI940&gt;0,J940/AI940,-1)</f>
        <v>1.1741935483871</v>
      </c>
      <c r="AN940" s="51" t="n">
        <f aca="false">IF(AND(OR(CF940="L1",CF940="L23",CF940="LIFT"),AI940&gt;0),SUMIFS($AI$7:$AI$1843,$CF$7:$CF$1843,CF940,$AM$7:$AM$1843,"&gt;"&amp;AM940)+SUMIFS($AI$7:$AI$1843,$CF$7:$CF$1843,CF940,$AM$7:$AM$1843,AM940,$BW$7:$BW$1843,"&lt;="&amp;BW940),"")</f>
        <v>6703.51968864469</v>
      </c>
      <c r="AO940" s="58" t="n">
        <f aca="false">IF(AN940="",0,MAX(0,MIN(1,(IF(CF940="L1",Parameter!$H$5,IF(CF940="L23",Parameter!$H$6+Parameter!$H$7,Parameter!$H$5+Parameter!$H$6+Parameter!$H$7))-(AN940-AI940))/AI940)))</f>
        <v>1</v>
      </c>
      <c r="AP940" s="50" t="n">
        <f aca="false">IF(LEFT(Cockpit!$I$5,1)="A",H940,IF(Parameter!$E$30="MAX-Bestand",IF(CH940=1,CI940,IF(LEFT(Cockpit!$I$5,1)="B",AV940,MAX(AV940,H940))),ROUNDUP(AT940,0)))</f>
        <v>7</v>
      </c>
      <c r="AQ940" s="50" t="n">
        <f aca="false">IF(BZ940=1,0,ROUNDUP(AP940/BY940,0))</f>
        <v>1</v>
      </c>
      <c r="AR940" s="52" t="n">
        <f aca="false">IF(CQ940&gt;0,CQ940*MAX(1,AP940/X940),IF(BZ940=1,IF(AP940&lt;=0,0,CD940*MAX(1,IF(H940&gt;0,AP940/H940,1))),IF(R940&gt;0,AQ940/R940,0))/MAX(0.1,N(Parameter!$M$21)))</f>
        <v>0.0384615384615385</v>
      </c>
      <c r="AS940" s="50" t="n">
        <f aca="false">AR940*CB940</f>
        <v>5.96153846153846</v>
      </c>
      <c r="AT940" s="51" t="n">
        <f aca="false">IF(LEFT(Cockpit!$I$5,1)="A",H940,IF(CH940=1,(CK940+CI940)/2,IF(LEFT(Cockpit!$I$5,1)="B",(CK940+AV940)/2,MAX((CK940+AV940)/2,H940))))</f>
        <v>7</v>
      </c>
      <c r="AU940" s="50" t="n">
        <f aca="false">AT940*G940</f>
        <v>53.9</v>
      </c>
      <c r="AV940" s="50" t="n">
        <f aca="false">ROUNDUP(CK940+MAX(CL940,2*(J940/IF(CG940&gt;0,CG940,MAX(0.1,N(Cockpit!$I$6)))-CK940)),0)</f>
        <v>5</v>
      </c>
      <c r="AW940" s="51" t="n">
        <f aca="false">IF(AS940&gt;0,J940/AS940,-1)</f>
        <v>1.1741935483871</v>
      </c>
      <c r="AX940" s="51" t="n">
        <f aca="false">IF(AND(OR(CF940="L1",CF940="L23",CF940="LIFT"),AS940&gt;0),SUMIFS($AS$7:$AS$1843,$CF$7:$CF$1843,CF940,$AW$7:$AW$1843,"&gt;"&amp;AW940)+SUMIFS($AS$7:$AS$1843,$CF$7:$CF$1843,CF940,$AW$7:$AW$1843,AW940,$BW$7:$BW$1843,"&lt;="&amp;BW940),"")</f>
        <v>8149.0173992674</v>
      </c>
      <c r="AY940" s="58" t="n">
        <f aca="false">IF(AX940="",0,MAX(0,MIN(1,(IF(CF940="L1",Parameter!$H$5,IF(CF940="L23",Parameter!$H$6+Parameter!$H$7,Parameter!$H$5+Parameter!$H$6+Parameter!$H$7))-(AX940-AS940))/AS940)))</f>
        <v>1</v>
      </c>
      <c r="AZ940" s="50" t="n">
        <f aca="false">IF(LEFT(Cockpit!$O$5,1)="A",H940,IF(Parameter!$E$30="MAX-Bestand",IF(CH940=1,CI940,IF(LEFT(Cockpit!$O$5,1)="B",BF940,MAX(BF940,H940))),ROUNDUP(BD940,0)))</f>
        <v>3</v>
      </c>
      <c r="BA940" s="50" t="n">
        <f aca="false">IF(BZ940=1,0,ROUNDUP(AZ940/BY940,0))</f>
        <v>1</v>
      </c>
      <c r="BB940" s="52" t="n">
        <f aca="false">IF(CQ940&gt;0,CQ940*MAX(1,AZ940/X940),IF(BZ940=1,IF(AZ940&lt;=0,0,CD940*MAX(1,IF(H940&gt;0,AZ940/H940,1))),IF(R940&gt;0,BA940/R940,0))/MAX(0.1,N(Parameter!$M$21)))</f>
        <v>0.0384615384615385</v>
      </c>
      <c r="BC940" s="50" t="n">
        <f aca="false">BB940*CB940</f>
        <v>5.96153846153846</v>
      </c>
      <c r="BD940" s="51" t="n">
        <f aca="false">IF(LEFT(Cockpit!$O$5,1)="A",H940,IF(CH940=1,(CK940+CI940)/2,IF(LEFT(Cockpit!$O$5,1)="B",(CK940+BF940)/2,MAX((CK940+BF940)/2,H940))))</f>
        <v>2.5</v>
      </c>
      <c r="BE940" s="50" t="n">
        <f aca="false">BD940*G940</f>
        <v>19.25</v>
      </c>
      <c r="BF940" s="50" t="n">
        <f aca="false">ROUNDUP(CK940+MAX(CL940,2*(J940/IF(CG940&gt;0,CG940,MAX(0.1,N(Cockpit!$O$6)))-CK940)),0)</f>
        <v>5</v>
      </c>
      <c r="BG940" s="51" t="n">
        <f aca="false">IF(BC940&gt;0,J940/BC940,-1)</f>
        <v>1.1741935483871</v>
      </c>
      <c r="BH940" s="51" t="n">
        <f aca="false">IF(AND(OR(CF940="L1",CF940="L23",CF940="LIFT"),BC940&gt;0),SUMIFS($BC$7:$BC$1843,$CF$7:$CF$1843,CF940,$BG$7:$BG$1843,"&gt;"&amp;BG940)+SUMIFS($BC$7:$BC$1843,$CF$7:$CF$1843,CF940,$BG$7:$BG$1843,BG940,$BW$7:$BW$1843,"&lt;="&amp;BW940),"")</f>
        <v>7200.30357142857</v>
      </c>
      <c r="BI940" s="58" t="n">
        <f aca="false">IF(BH940="",0,MAX(0,MIN(1,(IF(CF940="L1",Parameter!$H$5,IF(CF940="L23",Parameter!$H$6+Parameter!$H$7,Parameter!$H$5+Parameter!$H$6+Parameter!$H$7))-(BH940-BC940))/BC940)))</f>
        <v>1</v>
      </c>
      <c r="BJ940" s="48" t="str">
        <f aca="false">IF(AI940&lt;=0,"",IF(CF940="Aussen","Aussenlager",IF(CF940="-","Nicht im Lift",IF(AO940&gt;=1,"Lift",IF(AO940&lt;=0,"Aussenlager","teilweise")))))</f>
        <v>Lift</v>
      </c>
      <c r="BK940" s="48" t="str">
        <f aca="false">IF(AS940&lt;=0,"",IF(CF940="Aussen","Aussenlager",IF(CF940="-","Nicht im Lift",IF(AY940&gt;=1,"Lift",IF(AY940&lt;=0,"Aussenlager","teilweise")))))</f>
        <v>Lift</v>
      </c>
      <c r="BL940" s="48" t="str">
        <f aca="false">IF(BC940&lt;=0,"",IF(CF940="Aussen","Aussenlager",IF(CF940="-","Nicht im Lift",IF(BI940&gt;=1,"Lift",IF(BI940&lt;=0,"Aussenlager","teilweise")))))</f>
        <v>Lift</v>
      </c>
      <c r="BM940" s="48" t="str">
        <f aca="false">IF(A940="","",IF(BV940=1,"Neu; ","")&amp;IF(AND(BV940=0,BQ940&lt;0),"negativer Bestand (Export "&amp;BQ940&amp;"); ","")&amp;IF(J940&lt;=0,"Kein Verbrauch; ","")&amp;IF(CQ940&gt;0,"Lift "&amp;W940&amp;" lt. Liftbericht (Fach "&amp;X940&amp;" Stk); ",IF(CA940=1,"Gebinde geschätzt ("&amp;T940&amp;"); ",IF(BZ940=1,"Lose – Tablare geschätzt; ","")))&amp;IF(H940&gt;AV940,"Überbestand "&amp;ROUND(H940-AV940,0)&amp;" Stk / CHF "&amp;ROUND((H940-AV940)*G940,0)&amp;"; ","")&amp;IF(AND(CH940=1,CI940&lt;CJ940),"MAX &lt; MB+LG; ","")&amp;IF(AND(CP940&gt;0,CO940*10&gt;CP940),"zu hoch für Tablar; ","")&amp;IF(AND(BV940=0,OR(CH940=1,AA940&lt;&gt;"",U940&lt;&gt;"",V940&lt;&gt;"",AB940&lt;&gt;"")),"manuell übersteuert; ","")&amp;IF(AND(BZ940=0,R940=0),"Gebinde unbekannt / Stellmass fehlt; ","")&amp;IF(AND(BZ940=0,N(V940)&lt;=0,N(Q940)&lt;=0),"Menge pro Gebinde fehlt (Ist = 1 Gebinde); ","")&amp;BU940)</f>
        <v>negativer Bestand (Export -7); Gebinde geschätzt (Klein); Überbestand 2 Stk / CHF 15; Menge pro Gebinde fehlt (Ist = 1 Gebinde); </v>
      </c>
      <c r="BN940" s="48"/>
      <c r="BO940" s="48"/>
      <c r="BP940" s="55"/>
      <c r="BQ940" s="50" t="n">
        <v>-7</v>
      </c>
      <c r="BR940" s="50" t="n">
        <v>14</v>
      </c>
      <c r="BS940" s="49" t="n">
        <v>-53.9</v>
      </c>
      <c r="BT940" s="50" t="n">
        <v>7</v>
      </c>
      <c r="BU940" s="48"/>
      <c r="BV940" s="53" t="n">
        <v>0</v>
      </c>
      <c r="BW940" s="53" t="n">
        <v>940</v>
      </c>
      <c r="BX940" s="48" t="str">
        <f aca="false">IF(U940&lt;&gt;"",UPPER(TRIM(U940)),IF(CA940=1,UPPER(VLOOKUP(T940,Parameter!$I$27:$K$29,2,0)),IF(P940="","LOSE",P940)))</f>
        <v>S51</v>
      </c>
      <c r="BY940" s="50" t="n">
        <f aca="false">IF(BX940="LOSE",1,IF(N(V940)&gt;0,V940,IF(CA940=1,MAX(1,N(VLOOKUP(T940,Parameter!$I$27:$K$29,3,0)),H940,N(N940)),IF(N(Q940)&gt;0,Q940,MAX(1,H940)))))</f>
        <v>20</v>
      </c>
      <c r="BZ940" s="53" t="n">
        <f aca="false">IF(BX940="LOSE",1,0)</f>
        <v>0</v>
      </c>
      <c r="CA940" s="53" t="n">
        <f aca="false">IF(AND(U940="",OR(P940="",P940="LOSE"),T940&lt;&gt;"",N(S940)&lt;=0,ISNUMBER(MATCH(T940,Parameter!$I$27:$I$29,0))),1,0)</f>
        <v>1</v>
      </c>
      <c r="CB940" s="53" t="n">
        <f aca="false">IF(CQ940&gt;0,INDEX(Parameter!$H$5:$H$7,W940)/INDEX(Parameter!$E$5:$E$7,W940),IF(AND(BZ940=0,N(IFERROR(VLOOKUP(BX940,'Gebinde-Kategorie'!$A$5:$N$45,14,0),0))&gt;0),VLOOKUP(BX940,'Gebinde-Kategorie'!$A$5:$N$45,14,0)*10+Parameter!$M$23,Parameter!$M$24))</f>
        <v>155</v>
      </c>
      <c r="CC940" s="48" t="str">
        <f aca="false">IF(AND(Parameter!$B$19="Ja",E940&lt;&gt;"",ISNUMBER(MATCH(E940,Parameter!$I$35:$I$52,0))),VLOOKUP(E940,Parameter!$I$35:$J$52,2,0),IFERROR(VLOOKUP(D940,Parameter!$A$35:$C$64,2,0),"Nein"))</f>
        <v>2+3</v>
      </c>
      <c r="CD940" s="52" t="n">
        <f aca="false">IF(BZ940=0,0,IF(N(S940)&gt;0,S940,IFERROR(VLOOKUP(D940,Parameter!$A$35:$C$64,3,0)+0,0)))</f>
        <v>0</v>
      </c>
      <c r="CE940" s="48" t="n">
        <f aca="false">IF(AA940&lt;&gt;"",AA940,Z940)</f>
        <v>3</v>
      </c>
      <c r="CF940" s="48" t="str">
        <f aca="false">IF(OR(CE940=1,CE940=2,CE940=3),IF(Parameter!$E$27="Ja","LIFT",IF(CE940=1,"L1","L23")),IF(CE940="Aussen","Aussen","-"))</f>
        <v>LIFT</v>
      </c>
      <c r="CG940" s="59" t="n">
        <f aca="false">IF(N(AB940)&gt;0,AB940,0)</f>
        <v>0</v>
      </c>
      <c r="CH940" s="53" t="n">
        <f aca="false">IF(ISNUMBER(AE940),1,0)</f>
        <v>0</v>
      </c>
      <c r="CI940" s="50" t="n">
        <f aca="false">N(AE940)</f>
        <v>0</v>
      </c>
      <c r="CJ940" s="50" t="n">
        <f aca="false">N(M940)+N(N940)</f>
        <v>5</v>
      </c>
      <c r="CK940" s="50" t="n">
        <f aca="false">N(M940)</f>
        <v>0</v>
      </c>
      <c r="CL940" s="50" t="n">
        <f aca="false">N(N940)</f>
        <v>5</v>
      </c>
      <c r="CM940" s="50" t="n">
        <f aca="false">ROUNDUP(H940/BY940,0)</f>
        <v>1</v>
      </c>
      <c r="CN940" s="50" t="n">
        <f aca="false">ROUNDUP(CI940/BY940,0)</f>
        <v>0</v>
      </c>
      <c r="CO940" s="53" t="n">
        <f aca="false">IF(BZ940=1,0,IFERROR(VLOOKUP(BX940,'Gebinde-Kategorie'!$A$5:$N$45,5,0)+0,0))</f>
        <v>11</v>
      </c>
      <c r="CP940" s="53" t="n">
        <f aca="false">IFERROR(IF(OR(CE940=1,CE940=2,CE940=3),N(INDEX(Parameter!$I$5:$I$7,CE940)),0),0)</f>
        <v>0</v>
      </c>
      <c r="CQ940" s="52" t="n">
        <f aca="false">IF(AND(Parameter!$B$21="Ja",ISNUMBER(W940),N(X940)&gt;0),IFERROR(N(INDEX(Parameter!$L$5:$L$7,W940))*INDEX(Parameter!$E$5:$E$7,W940)*X940/SUMIFS($X$7:$X$1843,$W$7:$W$1843,W940),0),0)</f>
        <v>0</v>
      </c>
    </row>
    <row r="941" customFormat="false" ht="15" hidden="false" customHeight="false" outlineLevel="0" collapsed="false">
      <c r="A941" s="48" t="s">
        <v>1765</v>
      </c>
      <c r="B941" s="48" t="s">
        <v>414</v>
      </c>
      <c r="C941" s="48" t="s">
        <v>173</v>
      </c>
      <c r="D941" s="48" t="s">
        <v>193</v>
      </c>
      <c r="E941" s="48" t="s">
        <v>194</v>
      </c>
      <c r="F941" s="48" t="s">
        <v>227</v>
      </c>
      <c r="G941" s="49" t="n">
        <v>0.17</v>
      </c>
      <c r="H941" s="50" t="n">
        <f aca="false">MAX(0,IF(AND(Parameter!$B$21="Ja",ISNUMBER(Y941)),Y941,IF(Parameter!$B$20="Jahresanfang 2025 + Export",BR941+BQ941,BQ941)))</f>
        <v>179</v>
      </c>
      <c r="I941" s="50" t="n">
        <f aca="false">H941*G941</f>
        <v>30.43</v>
      </c>
      <c r="J941" s="50" t="n">
        <f aca="false">BT941*Parameter!$B$18</f>
        <v>1200</v>
      </c>
      <c r="K941" s="51" t="n">
        <v>458</v>
      </c>
      <c r="L941" s="52" t="n">
        <v>2.62008733624454</v>
      </c>
      <c r="M941" s="50" t="n">
        <v>70</v>
      </c>
      <c r="N941" s="50" t="n">
        <v>600</v>
      </c>
      <c r="O941" s="53" t="n">
        <v>21</v>
      </c>
      <c r="P941" s="48" t="s">
        <v>242</v>
      </c>
      <c r="Q941" s="50" t="n">
        <v>884</v>
      </c>
      <c r="R941" s="53" t="n">
        <f aca="false">IF(BZ941=1,0,IFERROR(VLOOKUP(BX941,'Gebinde-Kategorie'!$A$5:$N$45,13,0)+0,0))</f>
        <v>26</v>
      </c>
      <c r="S941" s="54"/>
      <c r="T941" s="55"/>
      <c r="U941" s="55"/>
      <c r="V941" s="55"/>
      <c r="W941" s="48"/>
      <c r="X941" s="50"/>
      <c r="Y941" s="50"/>
      <c r="Z941" s="48" t="n">
        <f aca="false">IF(A941="","",IF(AND(Parameter!$B$21="Ja",ISNUMBER(W941)),W941,IF(CC941="2+3",IF(ISNUMBER(SEARCH("grosser Artikel",BU941)),2,IFERROR(VLOOKUP(BX941,Parameter!$F$35:$G$64,2,0),2)),IF(OR(CC941="Nein",CC941=""),"-",CC941))))</f>
        <v>3</v>
      </c>
      <c r="AA941" s="55"/>
      <c r="AB941" s="56"/>
      <c r="AC941" s="50" t="n">
        <f aca="false">AV941</f>
        <v>730</v>
      </c>
      <c r="AD941" s="50" t="n">
        <f aca="false">MAX(AV941,H941)</f>
        <v>730</v>
      </c>
      <c r="AE941" s="57"/>
      <c r="AF941" s="50" t="n">
        <f aca="false">IF(LEFT(Cockpit!$C$5,1)="A",H941,IF(Parameter!$E$30="MAX-Bestand",IF(CH941=1,CI941,IF(LEFT(Cockpit!$C$5,1)="B",AL941,MAX(AL941,H941))),ROUNDUP(AJ941,0)))</f>
        <v>179</v>
      </c>
      <c r="AG941" s="50" t="n">
        <f aca="false">IF(BZ941=1,0,ROUNDUP(AF941/BY941,0))</f>
        <v>1</v>
      </c>
      <c r="AH941" s="52" t="n">
        <f aca="false">IF(CQ941&gt;0,CQ941*MAX(1,AF941/X941),IF(BZ941=1,IF(AF941&lt;=0,0,CD941*MAX(1,IF(H941&gt;0,AF941/H941,1))),IF(R941&gt;0,AG941/R941,0))/MAX(0.1,N(Parameter!$M$21)))</f>
        <v>0.0384615384615385</v>
      </c>
      <c r="AI941" s="50" t="n">
        <f aca="false">AH941*CB941</f>
        <v>9.42307692307692</v>
      </c>
      <c r="AJ941" s="51" t="n">
        <f aca="false">IF(LEFT(Cockpit!$C$5,1)="A",H941,IF(CH941=1,(CK941+CI941)/2,IF(LEFT(Cockpit!$C$5,1)="B",(CK941+AL941)/2,MAX((CK941+AL941)/2,H941))))</f>
        <v>179</v>
      </c>
      <c r="AK941" s="50" t="n">
        <f aca="false">AJ941*G941</f>
        <v>30.43</v>
      </c>
      <c r="AL941" s="50" t="n">
        <f aca="false">ROUNDUP(CK941+MAX(CL941,2*(J941/IF(CG941&gt;0,CG941,MAX(0.1,N(Cockpit!$C$6)))-CK941)),0)</f>
        <v>730</v>
      </c>
      <c r="AM941" s="51" t="n">
        <f aca="false">IF(AI941&gt;0,J941/AI941,-1)</f>
        <v>127.34693877551</v>
      </c>
      <c r="AN941" s="51" t="n">
        <f aca="false">IF(AND(OR(CF941="L1",CF941="L23",CF941="LIFT"),AI941&gt;0),SUMIFS($AI$7:$AI$1843,$CF$7:$CF$1843,CF941,$AM$7:$AM$1843,"&gt;"&amp;AM941)+SUMIFS($AI$7:$AI$1843,$CF$7:$CF$1843,CF941,$AM$7:$AM$1843,AM941,$BW$7:$BW$1843,"&lt;="&amp;BW941),"")</f>
        <v>650.43315018315</v>
      </c>
      <c r="AO941" s="58" t="n">
        <f aca="false">IF(AN941="",0,MAX(0,MIN(1,(IF(CF941="L1",Parameter!$H$5,IF(CF941="L23",Parameter!$H$6+Parameter!$H$7,Parameter!$H$5+Parameter!$H$6+Parameter!$H$7))-(AN941-AI941))/AI941)))</f>
        <v>1</v>
      </c>
      <c r="AP941" s="50" t="n">
        <f aca="false">IF(LEFT(Cockpit!$I$5,1)="A",H941,IF(Parameter!$E$30="MAX-Bestand",IF(CH941=1,CI941,IF(LEFT(Cockpit!$I$5,1)="B",AV941,MAX(AV941,H941))),ROUNDUP(AT941,0)))</f>
        <v>400</v>
      </c>
      <c r="AQ941" s="50" t="n">
        <f aca="false">IF(BZ941=1,0,ROUNDUP(AP941/BY941,0))</f>
        <v>1</v>
      </c>
      <c r="AR941" s="52" t="n">
        <f aca="false">IF(CQ941&gt;0,CQ941*MAX(1,AP941/X941),IF(BZ941=1,IF(AP941&lt;=0,0,CD941*MAX(1,IF(H941&gt;0,AP941/H941,1))),IF(R941&gt;0,AQ941/R941,0))/MAX(0.1,N(Parameter!$M$21)))</f>
        <v>0.0384615384615385</v>
      </c>
      <c r="AS941" s="50" t="n">
        <f aca="false">AR941*CB941</f>
        <v>9.42307692307692</v>
      </c>
      <c r="AT941" s="51" t="n">
        <f aca="false">IF(LEFT(Cockpit!$I$5,1)="A",H941,IF(CH941=1,(CK941+CI941)/2,IF(LEFT(Cockpit!$I$5,1)="B",(CK941+AV941)/2,MAX((CK941+AV941)/2,H941))))</f>
        <v>400</v>
      </c>
      <c r="AU941" s="50" t="n">
        <f aca="false">AT941*G941</f>
        <v>68</v>
      </c>
      <c r="AV941" s="50" t="n">
        <f aca="false">ROUNDUP(CK941+MAX(CL941,2*(J941/IF(CG941&gt;0,CG941,MAX(0.1,N(Cockpit!$I$6)))-CK941)),0)</f>
        <v>730</v>
      </c>
      <c r="AW941" s="51" t="n">
        <f aca="false">IF(AS941&gt;0,J941/AS941,-1)</f>
        <v>127.34693877551</v>
      </c>
      <c r="AX941" s="51" t="n">
        <f aca="false">IF(AND(OR(CF941="L1",CF941="L23",CF941="LIFT"),AS941&gt;0),SUMIFS($AS$7:$AS$1843,$CF$7:$CF$1843,CF941,$AW$7:$AW$1843,"&gt;"&amp;AW941)+SUMIFS($AS$7:$AS$1843,$CF$7:$CF$1843,CF941,$AW$7:$AW$1843,AW941,$BW$7:$BW$1843,"&lt;="&amp;BW941),"")</f>
        <v>762.108516483517</v>
      </c>
      <c r="AY941" s="58" t="n">
        <f aca="false">IF(AX941="",0,MAX(0,MIN(1,(IF(CF941="L1",Parameter!$H$5,IF(CF941="L23",Parameter!$H$6+Parameter!$H$7,Parameter!$H$5+Parameter!$H$6+Parameter!$H$7))-(AX941-AS941))/AS941)))</f>
        <v>1</v>
      </c>
      <c r="AZ941" s="50" t="n">
        <f aca="false">IF(LEFT(Cockpit!$O$5,1)="A",H941,IF(Parameter!$E$30="MAX-Bestand",IF(CH941=1,CI941,IF(LEFT(Cockpit!$O$5,1)="B",BF941,MAX(BF941,H941))),ROUNDUP(BD941,0)))</f>
        <v>370</v>
      </c>
      <c r="BA941" s="50" t="n">
        <f aca="false">IF(BZ941=1,0,ROUNDUP(AZ941/BY941,0))</f>
        <v>1</v>
      </c>
      <c r="BB941" s="52" t="n">
        <f aca="false">IF(CQ941&gt;0,CQ941*MAX(1,AZ941/X941),IF(BZ941=1,IF(AZ941&lt;=0,0,CD941*MAX(1,IF(H941&gt;0,AZ941/H941,1))),IF(R941&gt;0,BA941/R941,0))/MAX(0.1,N(Parameter!$M$21)))</f>
        <v>0.0384615384615385</v>
      </c>
      <c r="BC941" s="50" t="n">
        <f aca="false">BB941*CB941</f>
        <v>9.42307692307692</v>
      </c>
      <c r="BD941" s="51" t="n">
        <f aca="false">IF(LEFT(Cockpit!$O$5,1)="A",H941,IF(CH941=1,(CK941+CI941)/2,IF(LEFT(Cockpit!$O$5,1)="B",(CK941+BF941)/2,MAX((CK941+BF941)/2,H941))))</f>
        <v>370</v>
      </c>
      <c r="BE941" s="50" t="n">
        <f aca="false">BD941*G941</f>
        <v>62.9</v>
      </c>
      <c r="BF941" s="50" t="n">
        <f aca="false">ROUNDUP(CK941+MAX(CL941,2*(J941/IF(CG941&gt;0,CG941,MAX(0.1,N(Cockpit!$O$6)))-CK941)),0)</f>
        <v>670</v>
      </c>
      <c r="BG941" s="51" t="n">
        <f aca="false">IF(BC941&gt;0,J941/BC941,-1)</f>
        <v>127.34693877551</v>
      </c>
      <c r="BH941" s="51" t="n">
        <f aca="false">IF(AND(OR(CF941="L1",CF941="L23",CF941="LIFT"),BC941&gt;0),SUMIFS($BC$7:$BC$1843,$CF$7:$CF$1843,CF941,$BG$7:$BG$1843,"&gt;"&amp;BG941)+SUMIFS($BC$7:$BC$1843,$CF$7:$CF$1843,CF941,$BG$7:$BG$1843,BG941,$BW$7:$BW$1843,"&lt;="&amp;BW941),"")</f>
        <v>782.037087912088</v>
      </c>
      <c r="BI941" s="58" t="n">
        <f aca="false">IF(BH941="",0,MAX(0,MIN(1,(IF(CF941="L1",Parameter!$H$5,IF(CF941="L23",Parameter!$H$6+Parameter!$H$7,Parameter!$H$5+Parameter!$H$6+Parameter!$H$7))-(BH941-BC941))/BC941)))</f>
        <v>1</v>
      </c>
      <c r="BJ941" s="48" t="str">
        <f aca="false">IF(AI941&lt;=0,"",IF(CF941="Aussen","Aussenlager",IF(CF941="-","Nicht im Lift",IF(AO941&gt;=1,"Lift",IF(AO941&lt;=0,"Aussenlager","teilweise")))))</f>
        <v>Lift</v>
      </c>
      <c r="BK941" s="48" t="str">
        <f aca="false">IF(AS941&lt;=0,"",IF(CF941="Aussen","Aussenlager",IF(CF941="-","Nicht im Lift",IF(AY941&gt;=1,"Lift",IF(AY941&lt;=0,"Aussenlager","teilweise")))))</f>
        <v>Lift</v>
      </c>
      <c r="BL941" s="48" t="str">
        <f aca="false">IF(BC941&lt;=0,"",IF(CF941="Aussen","Aussenlager",IF(CF941="-","Nicht im Lift",IF(BI941&gt;=1,"Lift",IF(BI941&lt;=0,"Aussenlager","teilweise")))))</f>
        <v>Lift</v>
      </c>
      <c r="BM941" s="48" t="str">
        <f aca="false">IF(A941="","",IF(BV941=1,"Neu; ","")&amp;IF(AND(BV941=0,BQ941&lt;0),"negativer Bestand (Export "&amp;BQ941&amp;"); ","")&amp;IF(J941&lt;=0,"Kein Verbrauch; ","")&amp;IF(CQ941&gt;0,"Lift "&amp;W941&amp;" lt. Liftbericht (Fach "&amp;X941&amp;" Stk); ",IF(CA941=1,"Gebinde geschätzt ("&amp;T941&amp;"); ",IF(BZ941=1,"Lose – Tablare geschätzt; ","")))&amp;IF(H941&gt;AV941,"Überbestand "&amp;ROUND(H941-AV941,0)&amp;" Stk / CHF "&amp;ROUND((H941-AV941)*G941,0)&amp;"; ","")&amp;IF(AND(CH941=1,CI941&lt;CJ941),"MAX &lt; MB+LG; ","")&amp;IF(AND(CP941&gt;0,CO941*10&gt;CP941),"zu hoch für Tablar; ","")&amp;IF(AND(BV941=0,OR(CH941=1,AA941&lt;&gt;"",U941&lt;&gt;"",V941&lt;&gt;"",AB941&lt;&gt;"")),"manuell übersteuert; ","")&amp;IF(AND(BZ941=0,R941=0),"Gebinde unbekannt / Stellmass fehlt; ","")&amp;IF(AND(BZ941=0,N(V941)&lt;=0,N(Q941)&lt;=0),"Menge pro Gebinde fehlt (Ist = 1 Gebinde); ","")&amp;BU941)</f>
        <v>negativer Bestand (Export -292); </v>
      </c>
      <c r="BN941" s="48"/>
      <c r="BO941" s="48"/>
      <c r="BP941" s="55"/>
      <c r="BQ941" s="50" t="n">
        <v>-292</v>
      </c>
      <c r="BR941" s="50" t="n">
        <v>471</v>
      </c>
      <c r="BS941" s="49" t="n">
        <v>-54.29</v>
      </c>
      <c r="BT941" s="50" t="n">
        <v>1200</v>
      </c>
      <c r="BU941" s="48"/>
      <c r="BV941" s="53" t="n">
        <v>0</v>
      </c>
      <c r="BW941" s="53" t="n">
        <v>941</v>
      </c>
      <c r="BX941" s="48" t="str">
        <f aca="false">IF(U941&lt;&gt;"",UPPER(TRIM(U941)),IF(CA941=1,UPPER(VLOOKUP(T941,Parameter!$I$27:$K$29,2,0)),IF(P941="","LOSE",P941)))</f>
        <v>S52</v>
      </c>
      <c r="BY941" s="50" t="n">
        <f aca="false">IF(BX941="LOSE",1,IF(N(V941)&gt;0,V941,IF(CA941=1,MAX(1,N(VLOOKUP(T941,Parameter!$I$27:$K$29,3,0)),H941,N(N941)),IF(N(Q941)&gt;0,Q941,MAX(1,H941)))))</f>
        <v>884</v>
      </c>
      <c r="BZ941" s="53" t="n">
        <f aca="false">IF(BX941="LOSE",1,0)</f>
        <v>0</v>
      </c>
      <c r="CA941" s="53" t="n">
        <f aca="false">IF(AND(U941="",OR(P941="",P941="LOSE"),T941&lt;&gt;"",N(S941)&lt;=0,ISNUMBER(MATCH(T941,Parameter!$I$27:$I$29,0))),1,0)</f>
        <v>0</v>
      </c>
      <c r="CB941" s="53" t="n">
        <f aca="false">IF(CQ941&gt;0,INDEX(Parameter!$H$5:$H$7,W941)/INDEX(Parameter!$E$5:$E$7,W941),IF(AND(BZ941=0,N(IFERROR(VLOOKUP(BX941,'Gebinde-Kategorie'!$A$5:$N$45,14,0),0))&gt;0),VLOOKUP(BX941,'Gebinde-Kategorie'!$A$5:$N$45,14,0)*10+Parameter!$M$23,Parameter!$M$24))</f>
        <v>245</v>
      </c>
      <c r="CC941" s="48" t="str">
        <f aca="false">IF(AND(Parameter!$B$19="Ja",E941&lt;&gt;"",ISNUMBER(MATCH(E941,Parameter!$I$35:$I$52,0))),VLOOKUP(E941,Parameter!$I$35:$J$52,2,0),IFERROR(VLOOKUP(D941,Parameter!$A$35:$C$64,2,0),"Nein"))</f>
        <v>2+3</v>
      </c>
      <c r="CD941" s="52" t="n">
        <f aca="false">IF(BZ941=0,0,IF(N(S941)&gt;0,S941,IFERROR(VLOOKUP(D941,Parameter!$A$35:$C$64,3,0)+0,0)))</f>
        <v>0</v>
      </c>
      <c r="CE941" s="48" t="n">
        <f aca="false">IF(AA941&lt;&gt;"",AA941,Z941)</f>
        <v>3</v>
      </c>
      <c r="CF941" s="48" t="str">
        <f aca="false">IF(OR(CE941=1,CE941=2,CE941=3),IF(Parameter!$E$27="Ja","LIFT",IF(CE941=1,"L1","L23")),IF(CE941="Aussen","Aussen","-"))</f>
        <v>LIFT</v>
      </c>
      <c r="CG941" s="59" t="n">
        <f aca="false">IF(N(AB941)&gt;0,AB941,0)</f>
        <v>0</v>
      </c>
      <c r="CH941" s="53" t="n">
        <f aca="false">IF(ISNUMBER(AE941),1,0)</f>
        <v>0</v>
      </c>
      <c r="CI941" s="50" t="n">
        <f aca="false">N(AE941)</f>
        <v>0</v>
      </c>
      <c r="CJ941" s="50" t="n">
        <f aca="false">N(M941)+N(N941)</f>
        <v>670</v>
      </c>
      <c r="CK941" s="50" t="n">
        <f aca="false">N(M941)</f>
        <v>70</v>
      </c>
      <c r="CL941" s="50" t="n">
        <f aca="false">N(N941)</f>
        <v>600</v>
      </c>
      <c r="CM941" s="50" t="n">
        <f aca="false">ROUNDUP(H941/BY941,0)</f>
        <v>1</v>
      </c>
      <c r="CN941" s="50" t="n">
        <f aca="false">ROUNDUP(CI941/BY941,0)</f>
        <v>0</v>
      </c>
      <c r="CO941" s="53" t="n">
        <f aca="false">IF(BZ941=1,0,IFERROR(VLOOKUP(BX941,'Gebinde-Kategorie'!$A$5:$N$45,5,0)+0,0))</f>
        <v>21</v>
      </c>
      <c r="CP941" s="53" t="n">
        <f aca="false">IFERROR(IF(OR(CE941=1,CE941=2,CE941=3),N(INDEX(Parameter!$I$5:$I$7,CE941)),0),0)</f>
        <v>0</v>
      </c>
      <c r="CQ941" s="52" t="n">
        <f aca="false">IF(AND(Parameter!$B$21="Ja",ISNUMBER(W941),N(X941)&gt;0),IFERROR(N(INDEX(Parameter!$L$5:$L$7,W941))*INDEX(Parameter!$E$5:$E$7,W941)*X941/SUMIFS($X$7:$X$1843,$W$7:$W$1843,W941),0),0)</f>
        <v>0</v>
      </c>
    </row>
    <row r="942" customFormat="false" ht="15" hidden="false" customHeight="false" outlineLevel="0" collapsed="false">
      <c r="A942" s="48" t="s">
        <v>1766</v>
      </c>
      <c r="B942" s="48" t="s">
        <v>1174</v>
      </c>
      <c r="C942" s="48" t="s">
        <v>173</v>
      </c>
      <c r="D942" s="48" t="s">
        <v>193</v>
      </c>
      <c r="E942" s="48" t="s">
        <v>194</v>
      </c>
      <c r="F942" s="48" t="s">
        <v>227</v>
      </c>
      <c r="G942" s="49" t="n">
        <v>18.23</v>
      </c>
      <c r="H942" s="50" t="n">
        <f aca="false">MAX(0,IF(AND(Parameter!$B$21="Ja",ISNUMBER(Y942)),Y942,IF(Parameter!$B$20="Jahresanfang 2025 + Export",BR942+BQ942,BQ942)))</f>
        <v>4</v>
      </c>
      <c r="I942" s="50" t="n">
        <f aca="false">H942*G942</f>
        <v>72.92</v>
      </c>
      <c r="J942" s="50" t="n">
        <f aca="false">BT942*Parameter!$B$18</f>
        <v>8</v>
      </c>
      <c r="K942" s="51" t="n">
        <v>3.5</v>
      </c>
      <c r="L942" s="52" t="n">
        <v>2.28571428571429</v>
      </c>
      <c r="M942" s="50" t="n">
        <v>0</v>
      </c>
      <c r="N942" s="50" t="n">
        <v>10</v>
      </c>
      <c r="O942" s="53" t="n">
        <v>18</v>
      </c>
      <c r="P942" s="48" t="s">
        <v>485</v>
      </c>
      <c r="Q942" s="50" t="n">
        <v>16</v>
      </c>
      <c r="R942" s="53" t="n">
        <f aca="false">IF(BZ942=1,0,IFERROR(VLOOKUP(BX942,'Gebinde-Kategorie'!$A$5:$N$45,13,0)+0,0))</f>
        <v>52</v>
      </c>
      <c r="S942" s="54"/>
      <c r="T942" s="55"/>
      <c r="U942" s="55"/>
      <c r="V942" s="55"/>
      <c r="W942" s="48"/>
      <c r="X942" s="50"/>
      <c r="Y942" s="50"/>
      <c r="Z942" s="48" t="n">
        <f aca="false">IF(A942="","",IF(AND(Parameter!$B$21="Ja",ISNUMBER(W942)),W942,IF(CC942="2+3",IF(ISNUMBER(SEARCH("grosser Artikel",BU942)),2,IFERROR(VLOOKUP(BX942,Parameter!$F$35:$G$64,2,0),2)),IF(OR(CC942="Nein",CC942=""),"-",CC942))))</f>
        <v>3</v>
      </c>
      <c r="AA942" s="55"/>
      <c r="AB942" s="56"/>
      <c r="AC942" s="50" t="n">
        <f aca="false">AV942</f>
        <v>10</v>
      </c>
      <c r="AD942" s="50" t="n">
        <f aca="false">MAX(AV942,H942)</f>
        <v>10</v>
      </c>
      <c r="AE942" s="57"/>
      <c r="AF942" s="50" t="n">
        <f aca="false">IF(LEFT(Cockpit!$C$5,1)="A",H942,IF(Parameter!$E$30="MAX-Bestand",IF(CH942=1,CI942,IF(LEFT(Cockpit!$C$5,1)="B",AL942,MAX(AL942,H942))),ROUNDUP(AJ942,0)))</f>
        <v>4</v>
      </c>
      <c r="AG942" s="50" t="n">
        <f aca="false">IF(BZ942=1,0,ROUNDUP(AF942/BY942,0))</f>
        <v>1</v>
      </c>
      <c r="AH942" s="52" t="n">
        <f aca="false">IF(CQ942&gt;0,CQ942*MAX(1,AF942/X942),IF(BZ942=1,IF(AF942&lt;=0,0,CD942*MAX(1,IF(H942&gt;0,AF942/H942,1))),IF(R942&gt;0,AG942/R942,0))/MAX(0.1,N(Parameter!$M$21)))</f>
        <v>0.0192307692307692</v>
      </c>
      <c r="AI942" s="50" t="n">
        <f aca="false">AH942*CB942</f>
        <v>2.98076923076923</v>
      </c>
      <c r="AJ942" s="51" t="n">
        <f aca="false">IF(LEFT(Cockpit!$C$5,1)="A",H942,IF(CH942=1,(CK942+CI942)/2,IF(LEFT(Cockpit!$C$5,1)="B",(CK942+AL942)/2,MAX((CK942+AL942)/2,H942))))</f>
        <v>4</v>
      </c>
      <c r="AK942" s="50" t="n">
        <f aca="false">AJ942*G942</f>
        <v>72.92</v>
      </c>
      <c r="AL942" s="50" t="n">
        <f aca="false">ROUNDUP(CK942+MAX(CL942,2*(J942/IF(CG942&gt;0,CG942,MAX(0.1,N(Cockpit!$C$6)))-CK942)),0)</f>
        <v>10</v>
      </c>
      <c r="AM942" s="51" t="n">
        <f aca="false">IF(AI942&gt;0,J942/AI942,-1)</f>
        <v>2.68387096774194</v>
      </c>
      <c r="AN942" s="51" t="n">
        <f aca="false">IF(AND(OR(CF942="L1",CF942="L23",CF942="LIFT"),AI942&gt;0),SUMIFS($AI$7:$AI$1843,$CF$7:$CF$1843,CF942,$AM$7:$AM$1843,"&gt;"&amp;AM942)+SUMIFS($AI$7:$AI$1843,$CF$7:$CF$1843,CF942,$AM$7:$AM$1843,AM942,$BW$7:$BW$1843,"&lt;="&amp;BW942),"")</f>
        <v>5335.38095238095</v>
      </c>
      <c r="AO942" s="58" t="n">
        <f aca="false">IF(AN942="",0,MAX(0,MIN(1,(IF(CF942="L1",Parameter!$H$5,IF(CF942="L23",Parameter!$H$6+Parameter!$H$7,Parameter!$H$5+Parameter!$H$6+Parameter!$H$7))-(AN942-AI942))/AI942)))</f>
        <v>1</v>
      </c>
      <c r="AP942" s="50" t="n">
        <f aca="false">IF(LEFT(Cockpit!$I$5,1)="A",H942,IF(Parameter!$E$30="MAX-Bestand",IF(CH942=1,CI942,IF(LEFT(Cockpit!$I$5,1)="B",AV942,MAX(AV942,H942))),ROUNDUP(AT942,0)))</f>
        <v>5</v>
      </c>
      <c r="AQ942" s="50" t="n">
        <f aca="false">IF(BZ942=1,0,ROUNDUP(AP942/BY942,0))</f>
        <v>1</v>
      </c>
      <c r="AR942" s="52" t="n">
        <f aca="false">IF(CQ942&gt;0,CQ942*MAX(1,AP942/X942),IF(BZ942=1,IF(AP942&lt;=0,0,CD942*MAX(1,IF(H942&gt;0,AP942/H942,1))),IF(R942&gt;0,AQ942/R942,0))/MAX(0.1,N(Parameter!$M$21)))</f>
        <v>0.0192307692307692</v>
      </c>
      <c r="AS942" s="50" t="n">
        <f aca="false">AR942*CB942</f>
        <v>2.98076923076923</v>
      </c>
      <c r="AT942" s="51" t="n">
        <f aca="false">IF(LEFT(Cockpit!$I$5,1)="A",H942,IF(CH942=1,(CK942+CI942)/2,IF(LEFT(Cockpit!$I$5,1)="B",(CK942+AV942)/2,MAX((CK942+AV942)/2,H942))))</f>
        <v>5</v>
      </c>
      <c r="AU942" s="50" t="n">
        <f aca="false">AT942*G942</f>
        <v>91.15</v>
      </c>
      <c r="AV942" s="50" t="n">
        <f aca="false">ROUNDUP(CK942+MAX(CL942,2*(J942/IF(CG942&gt;0,CG942,MAX(0.1,N(Cockpit!$I$6)))-CK942)),0)</f>
        <v>10</v>
      </c>
      <c r="AW942" s="51" t="n">
        <f aca="false">IF(AS942&gt;0,J942/AS942,-1)</f>
        <v>2.68387096774194</v>
      </c>
      <c r="AX942" s="51" t="n">
        <f aca="false">IF(AND(OR(CF942="L1",CF942="L23",CF942="LIFT"),AS942&gt;0),SUMIFS($AS$7:$AS$1843,$CF$7:$CF$1843,CF942,$AW$7:$AW$1843,"&gt;"&amp;AW942)+SUMIFS($AS$7:$AS$1843,$CF$7:$CF$1843,CF942,$AW$7:$AW$1843,AW942,$BW$7:$BW$1843,"&lt;="&amp;BW942),"")</f>
        <v>6169.85897435897</v>
      </c>
      <c r="AY942" s="58" t="n">
        <f aca="false">IF(AX942="",0,MAX(0,MIN(1,(IF(CF942="L1",Parameter!$H$5,IF(CF942="L23",Parameter!$H$6+Parameter!$H$7,Parameter!$H$5+Parameter!$H$6+Parameter!$H$7))-(AX942-AS942))/AS942)))</f>
        <v>1</v>
      </c>
      <c r="AZ942" s="50" t="n">
        <f aca="false">IF(LEFT(Cockpit!$O$5,1)="A",H942,IF(Parameter!$E$30="MAX-Bestand",IF(CH942=1,CI942,IF(LEFT(Cockpit!$O$5,1)="B",BF942,MAX(BF942,H942))),ROUNDUP(BD942,0)))</f>
        <v>5</v>
      </c>
      <c r="BA942" s="50" t="n">
        <f aca="false">IF(BZ942=1,0,ROUNDUP(AZ942/BY942,0))</f>
        <v>1</v>
      </c>
      <c r="BB942" s="52" t="n">
        <f aca="false">IF(CQ942&gt;0,CQ942*MAX(1,AZ942/X942),IF(BZ942=1,IF(AZ942&lt;=0,0,CD942*MAX(1,IF(H942&gt;0,AZ942/H942,1))),IF(R942&gt;0,BA942/R942,0))/MAX(0.1,N(Parameter!$M$21)))</f>
        <v>0.0192307692307692</v>
      </c>
      <c r="BC942" s="50" t="n">
        <f aca="false">BB942*CB942</f>
        <v>2.98076923076923</v>
      </c>
      <c r="BD942" s="51" t="n">
        <f aca="false">IF(LEFT(Cockpit!$O$5,1)="A",H942,IF(CH942=1,(CK942+CI942)/2,IF(LEFT(Cockpit!$O$5,1)="B",(CK942+BF942)/2,MAX((CK942+BF942)/2,H942))))</f>
        <v>5</v>
      </c>
      <c r="BE942" s="50" t="n">
        <f aca="false">BD942*G942</f>
        <v>91.15</v>
      </c>
      <c r="BF942" s="50" t="n">
        <f aca="false">ROUNDUP(CK942+MAX(CL942,2*(J942/IF(CG942&gt;0,CG942,MAX(0.1,N(Cockpit!$O$6)))-CK942)),0)</f>
        <v>10</v>
      </c>
      <c r="BG942" s="51" t="n">
        <f aca="false">IF(BC942&gt;0,J942/BC942,-1)</f>
        <v>2.68387096774194</v>
      </c>
      <c r="BH942" s="51" t="n">
        <f aca="false">IF(AND(OR(CF942="L1",CF942="L23",CF942="LIFT"),BC942&gt;0),SUMIFS($BC$7:$BC$1843,$CF$7:$CF$1843,CF942,$BG$7:$BG$1843,"&gt;"&amp;BG942)+SUMIFS($BC$7:$BC$1843,$CF$7:$CF$1843,CF942,$BG$7:$BG$1843,BG942,$BW$7:$BW$1843,"&lt;="&amp;BW942),"")</f>
        <v>5347.91346153846</v>
      </c>
      <c r="BI942" s="58" t="n">
        <f aca="false">IF(BH942="",0,MAX(0,MIN(1,(IF(CF942="L1",Parameter!$H$5,IF(CF942="L23",Parameter!$H$6+Parameter!$H$7,Parameter!$H$5+Parameter!$H$6+Parameter!$H$7))-(BH942-BC942))/BC942)))</f>
        <v>1</v>
      </c>
      <c r="BJ942" s="48" t="str">
        <f aca="false">IF(AI942&lt;=0,"",IF(CF942="Aussen","Aussenlager",IF(CF942="-","Nicht im Lift",IF(AO942&gt;=1,"Lift",IF(AO942&lt;=0,"Aussenlager","teilweise")))))</f>
        <v>Lift</v>
      </c>
      <c r="BK942" s="48" t="str">
        <f aca="false">IF(AS942&lt;=0,"",IF(CF942="Aussen","Aussenlager",IF(CF942="-","Nicht im Lift",IF(AY942&gt;=1,"Lift",IF(AY942&lt;=0,"Aussenlager","teilweise")))))</f>
        <v>Lift</v>
      </c>
      <c r="BL942" s="48" t="str">
        <f aca="false">IF(BC942&lt;=0,"",IF(CF942="Aussen","Aussenlager",IF(CF942="-","Nicht im Lift",IF(BI942&gt;=1,"Lift",IF(BI942&lt;=0,"Aussenlager","teilweise")))))</f>
        <v>Lift</v>
      </c>
      <c r="BM942" s="48" t="str">
        <f aca="false">IF(A942="","",IF(BV942=1,"Neu; ","")&amp;IF(AND(BV942=0,BQ942&lt;0),"negativer Bestand (Export "&amp;BQ942&amp;"); ","")&amp;IF(J942&lt;=0,"Kein Verbrauch; ","")&amp;IF(CQ942&gt;0,"Lift "&amp;W942&amp;" lt. Liftbericht (Fach "&amp;X942&amp;" Stk); ",IF(CA942=1,"Gebinde geschätzt ("&amp;T942&amp;"); ",IF(BZ942=1,"Lose – Tablare geschätzt; ","")))&amp;IF(H942&gt;AV942,"Überbestand "&amp;ROUND(H942-AV942,0)&amp;" Stk / CHF "&amp;ROUND((H942-AV942)*G942,0)&amp;"; ","")&amp;IF(AND(CH942=1,CI942&lt;CJ942),"MAX &lt; MB+LG; ","")&amp;IF(AND(CP942&gt;0,CO942*10&gt;CP942),"zu hoch für Tablar; ","")&amp;IF(AND(BV942=0,OR(CH942=1,AA942&lt;&gt;"",U942&lt;&gt;"",V942&lt;&gt;"",AB942&lt;&gt;"")),"manuell übersteuert; ","")&amp;IF(AND(BZ942=0,R942=0),"Gebinde unbekannt / Stellmass fehlt; ","")&amp;IF(AND(BZ942=0,N(V942)&lt;=0,N(Q942)&lt;=0),"Menge pro Gebinde fehlt (Ist = 1 Gebinde); ","")&amp;BU942)</f>
        <v>negativer Bestand (Export -1); </v>
      </c>
      <c r="BN942" s="48"/>
      <c r="BO942" s="48"/>
      <c r="BP942" s="55"/>
      <c r="BQ942" s="50" t="n">
        <v>-1</v>
      </c>
      <c r="BR942" s="50" t="n">
        <v>5</v>
      </c>
      <c r="BS942" s="49" t="n">
        <v>-54.78</v>
      </c>
      <c r="BT942" s="50" t="n">
        <v>8</v>
      </c>
      <c r="BU942" s="48"/>
      <c r="BV942" s="53" t="n">
        <v>0</v>
      </c>
      <c r="BW942" s="53" t="n">
        <v>942</v>
      </c>
      <c r="BX942" s="48" t="str">
        <f aca="false">IF(U942&lt;&gt;"",UPPER(TRIM(U942)),IF(CA942=1,UPPER(VLOOKUP(T942,Parameter!$I$27:$K$29,2,0)),IF(P942="","LOSE",P942)))</f>
        <v>S33</v>
      </c>
      <c r="BY942" s="50" t="n">
        <f aca="false">IF(BX942="LOSE",1,IF(N(V942)&gt;0,V942,IF(CA942=1,MAX(1,N(VLOOKUP(T942,Parameter!$I$27:$K$29,3,0)),H942,N(N942)),IF(N(Q942)&gt;0,Q942,MAX(1,H942)))))</f>
        <v>16</v>
      </c>
      <c r="BZ942" s="53" t="n">
        <f aca="false">IF(BX942="LOSE",1,0)</f>
        <v>0</v>
      </c>
      <c r="CA942" s="53" t="n">
        <f aca="false">IF(AND(U942="",OR(P942="",P942="LOSE"),T942&lt;&gt;"",N(S942)&lt;=0,ISNUMBER(MATCH(T942,Parameter!$I$27:$I$29,0))),1,0)</f>
        <v>0</v>
      </c>
      <c r="CB942" s="53" t="n">
        <f aca="false">IF(CQ942&gt;0,INDEX(Parameter!$H$5:$H$7,W942)/INDEX(Parameter!$E$5:$E$7,W942),IF(AND(BZ942=0,N(IFERROR(VLOOKUP(BX942,'Gebinde-Kategorie'!$A$5:$N$45,14,0),0))&gt;0),VLOOKUP(BX942,'Gebinde-Kategorie'!$A$5:$N$45,14,0)*10+Parameter!$M$23,Parameter!$M$24))</f>
        <v>155</v>
      </c>
      <c r="CC942" s="48" t="str">
        <f aca="false">IF(AND(Parameter!$B$19="Ja",E942&lt;&gt;"",ISNUMBER(MATCH(E942,Parameter!$I$35:$I$52,0))),VLOOKUP(E942,Parameter!$I$35:$J$52,2,0),IFERROR(VLOOKUP(D942,Parameter!$A$35:$C$64,2,0),"Nein"))</f>
        <v>2+3</v>
      </c>
      <c r="CD942" s="52" t="n">
        <f aca="false">IF(BZ942=0,0,IF(N(S942)&gt;0,S942,IFERROR(VLOOKUP(D942,Parameter!$A$35:$C$64,3,0)+0,0)))</f>
        <v>0</v>
      </c>
      <c r="CE942" s="48" t="n">
        <f aca="false">IF(AA942&lt;&gt;"",AA942,Z942)</f>
        <v>3</v>
      </c>
      <c r="CF942" s="48" t="str">
        <f aca="false">IF(OR(CE942=1,CE942=2,CE942=3),IF(Parameter!$E$27="Ja","LIFT",IF(CE942=1,"L1","L23")),IF(CE942="Aussen","Aussen","-"))</f>
        <v>LIFT</v>
      </c>
      <c r="CG942" s="59" t="n">
        <f aca="false">IF(N(AB942)&gt;0,AB942,0)</f>
        <v>0</v>
      </c>
      <c r="CH942" s="53" t="n">
        <f aca="false">IF(ISNUMBER(AE942),1,0)</f>
        <v>0</v>
      </c>
      <c r="CI942" s="50" t="n">
        <f aca="false">N(AE942)</f>
        <v>0</v>
      </c>
      <c r="CJ942" s="50" t="n">
        <f aca="false">N(M942)+N(N942)</f>
        <v>10</v>
      </c>
      <c r="CK942" s="50" t="n">
        <f aca="false">N(M942)</f>
        <v>0</v>
      </c>
      <c r="CL942" s="50" t="n">
        <f aca="false">N(N942)</f>
        <v>10</v>
      </c>
      <c r="CM942" s="50" t="n">
        <f aca="false">ROUNDUP(H942/BY942,0)</f>
        <v>1</v>
      </c>
      <c r="CN942" s="50" t="n">
        <f aca="false">ROUNDUP(CI942/BY942,0)</f>
        <v>0</v>
      </c>
      <c r="CO942" s="53" t="n">
        <f aca="false">IF(BZ942=1,0,IFERROR(VLOOKUP(BX942,'Gebinde-Kategorie'!$A$5:$N$45,5,0)+0,0))</f>
        <v>8</v>
      </c>
      <c r="CP942" s="53" t="n">
        <f aca="false">IFERROR(IF(OR(CE942=1,CE942=2,CE942=3),N(INDEX(Parameter!$I$5:$I$7,CE942)),0),0)</f>
        <v>0</v>
      </c>
      <c r="CQ942" s="52" t="n">
        <f aca="false">IF(AND(Parameter!$B$21="Ja",ISNUMBER(W942),N(X942)&gt;0),IFERROR(N(INDEX(Parameter!$L$5:$L$7,W942))*INDEX(Parameter!$E$5:$E$7,W942)*X942/SUMIFS($X$7:$X$1843,$W$7:$W$1843,W942),0),0)</f>
        <v>0</v>
      </c>
    </row>
    <row r="943" customFormat="false" ht="15" hidden="false" customHeight="false" outlineLevel="0" collapsed="false">
      <c r="A943" s="48" t="s">
        <v>1767</v>
      </c>
      <c r="B943" s="48" t="s">
        <v>1768</v>
      </c>
      <c r="C943" s="48" t="s">
        <v>465</v>
      </c>
      <c r="D943" s="48" t="s">
        <v>193</v>
      </c>
      <c r="E943" s="48"/>
      <c r="F943" s="48" t="s">
        <v>227</v>
      </c>
      <c r="G943" s="49" t="n">
        <v>2.05</v>
      </c>
      <c r="H943" s="50" t="n">
        <f aca="false">MAX(0,IF(AND(Parameter!$B$21="Ja",ISNUMBER(Y943)),Y943,IF(Parameter!$B$20="Jahresanfang 2025 + Export",BR943+BQ943,BQ943)))</f>
        <v>27</v>
      </c>
      <c r="I943" s="50" t="n">
        <f aca="false">H943*G943</f>
        <v>55.35</v>
      </c>
      <c r="J943" s="50" t="n">
        <f aca="false">BT943*Parameter!$B$18</f>
        <v>27</v>
      </c>
      <c r="K943" s="51" t="n">
        <v>27</v>
      </c>
      <c r="L943" s="52" t="n">
        <v>1</v>
      </c>
      <c r="M943" s="50" t="n">
        <v>1</v>
      </c>
      <c r="N943" s="50" t="n">
        <v>25</v>
      </c>
      <c r="O943" s="53" t="n">
        <v>21</v>
      </c>
      <c r="P943" s="48" t="s">
        <v>177</v>
      </c>
      <c r="Q943" s="50"/>
      <c r="R943" s="53" t="n">
        <f aca="false">IF(BZ943=1,0,IFERROR(VLOOKUP(BX943,'Gebinde-Kategorie'!$A$5:$N$45,13,0)+0,0))</f>
        <v>26</v>
      </c>
      <c r="S943" s="54"/>
      <c r="T943" s="55" t="s">
        <v>284</v>
      </c>
      <c r="U943" s="55"/>
      <c r="V943" s="55"/>
      <c r="W943" s="48"/>
      <c r="X943" s="50"/>
      <c r="Y943" s="50"/>
      <c r="Z943" s="48" t="n">
        <f aca="false">IF(A943="","",IF(AND(Parameter!$B$21="Ja",ISNUMBER(W943)),W943,IF(CC943="2+3",IF(ISNUMBER(SEARCH("grosser Artikel",BU943)),2,IFERROR(VLOOKUP(BX943,Parameter!$F$35:$G$64,2,0),2)),IF(OR(CC943="Nein",CC943=""),"-",CC943))))</f>
        <v>3</v>
      </c>
      <c r="AA943" s="55"/>
      <c r="AB943" s="56"/>
      <c r="AC943" s="50" t="n">
        <f aca="false">AV943</f>
        <v>26</v>
      </c>
      <c r="AD943" s="50" t="n">
        <f aca="false">MAX(AV943,H943)</f>
        <v>27</v>
      </c>
      <c r="AE943" s="57"/>
      <c r="AF943" s="50" t="n">
        <f aca="false">IF(LEFT(Cockpit!$C$5,1)="A",H943,IF(Parameter!$E$30="MAX-Bestand",IF(CH943=1,CI943,IF(LEFT(Cockpit!$C$5,1)="B",AL943,MAX(AL943,H943))),ROUNDUP(AJ943,0)))</f>
        <v>27</v>
      </c>
      <c r="AG943" s="50" t="n">
        <f aca="false">IF(BZ943=1,0,ROUNDUP(AF943/BY943,0))</f>
        <v>1</v>
      </c>
      <c r="AH943" s="52" t="n">
        <f aca="false">IF(CQ943&gt;0,CQ943*MAX(1,AF943/X943),IF(BZ943=1,IF(AF943&lt;=0,0,CD943*MAX(1,IF(H943&gt;0,AF943/H943,1))),IF(R943&gt;0,AG943/R943,0))/MAX(0.1,N(Parameter!$M$21)))</f>
        <v>0.0384615384615385</v>
      </c>
      <c r="AI943" s="50" t="n">
        <f aca="false">AH943*CB943</f>
        <v>5.96153846153846</v>
      </c>
      <c r="AJ943" s="51" t="n">
        <f aca="false">IF(LEFT(Cockpit!$C$5,1)="A",H943,IF(CH943=1,(CK943+CI943)/2,IF(LEFT(Cockpit!$C$5,1)="B",(CK943+AL943)/2,MAX((CK943+AL943)/2,H943))))</f>
        <v>27</v>
      </c>
      <c r="AK943" s="50" t="n">
        <f aca="false">AJ943*G943</f>
        <v>55.35</v>
      </c>
      <c r="AL943" s="50" t="n">
        <f aca="false">ROUNDUP(CK943+MAX(CL943,2*(J943/IF(CG943&gt;0,CG943,MAX(0.1,N(Cockpit!$C$6)))-CK943)),0)</f>
        <v>26</v>
      </c>
      <c r="AM943" s="51" t="n">
        <f aca="false">IF(AI943&gt;0,J943/AI943,-1)</f>
        <v>4.52903225806452</v>
      </c>
      <c r="AN943" s="51" t="n">
        <f aca="false">IF(AND(OR(CF943="L1",CF943="L23",CF943="LIFT"),AI943&gt;0),SUMIFS($AI$7:$AI$1843,$CF$7:$CF$1843,CF943,$AM$7:$AM$1843,"&gt;"&amp;AM943)+SUMIFS($AI$7:$AI$1843,$CF$7:$CF$1843,CF943,$AM$7:$AM$1843,AM943,$BW$7:$BW$1843,"&lt;="&amp;BW943),"")</f>
        <v>4147.77426739927</v>
      </c>
      <c r="AO943" s="58" t="n">
        <f aca="false">IF(AN943="",0,MAX(0,MIN(1,(IF(CF943="L1",Parameter!$H$5,IF(CF943="L23",Parameter!$H$6+Parameter!$H$7,Parameter!$H$5+Parameter!$H$6+Parameter!$H$7))-(AN943-AI943))/AI943)))</f>
        <v>1</v>
      </c>
      <c r="AP943" s="50" t="n">
        <f aca="false">IF(LEFT(Cockpit!$I$5,1)="A",H943,IF(Parameter!$E$30="MAX-Bestand",IF(CH943=1,CI943,IF(LEFT(Cockpit!$I$5,1)="B",AV943,MAX(AV943,H943))),ROUNDUP(AT943,0)))</f>
        <v>27</v>
      </c>
      <c r="AQ943" s="50" t="n">
        <f aca="false">IF(BZ943=1,0,ROUNDUP(AP943/BY943,0))</f>
        <v>1</v>
      </c>
      <c r="AR943" s="52" t="n">
        <f aca="false">IF(CQ943&gt;0,CQ943*MAX(1,AP943/X943),IF(BZ943=1,IF(AP943&lt;=0,0,CD943*MAX(1,IF(H943&gt;0,AP943/H943,1))),IF(R943&gt;0,AQ943/R943,0))/MAX(0.1,N(Parameter!$M$21)))</f>
        <v>0.0384615384615385</v>
      </c>
      <c r="AS943" s="50" t="n">
        <f aca="false">AR943*CB943</f>
        <v>5.96153846153846</v>
      </c>
      <c r="AT943" s="51" t="n">
        <f aca="false">IF(LEFT(Cockpit!$I$5,1)="A",H943,IF(CH943=1,(CK943+CI943)/2,IF(LEFT(Cockpit!$I$5,1)="B",(CK943+AV943)/2,MAX((CK943+AV943)/2,H943))))</f>
        <v>27</v>
      </c>
      <c r="AU943" s="50" t="n">
        <f aca="false">AT943*G943</f>
        <v>55.35</v>
      </c>
      <c r="AV943" s="50" t="n">
        <f aca="false">ROUNDUP(CK943+MAX(CL943,2*(J943/IF(CG943&gt;0,CG943,MAX(0.1,N(Cockpit!$I$6)))-CK943)),0)</f>
        <v>26</v>
      </c>
      <c r="AW943" s="51" t="n">
        <f aca="false">IF(AS943&gt;0,J943/AS943,-1)</f>
        <v>4.52903225806452</v>
      </c>
      <c r="AX943" s="51" t="n">
        <f aca="false">IF(AND(OR(CF943="L1",CF943="L23",CF943="LIFT"),AS943&gt;0),SUMIFS($AS$7:$AS$1843,$CF$7:$CF$1843,CF943,$AW$7:$AW$1843,"&gt;"&amp;AW943)+SUMIFS($AS$7:$AS$1843,$CF$7:$CF$1843,CF943,$AW$7:$AW$1843,AW943,$BW$7:$BW$1843,"&lt;="&amp;BW943),"")</f>
        <v>4744.01510989011</v>
      </c>
      <c r="AY943" s="58" t="n">
        <f aca="false">IF(AX943="",0,MAX(0,MIN(1,(IF(CF943="L1",Parameter!$H$5,IF(CF943="L23",Parameter!$H$6+Parameter!$H$7,Parameter!$H$5+Parameter!$H$6+Parameter!$H$7))-(AX943-AS943))/AS943)))</f>
        <v>1</v>
      </c>
      <c r="AZ943" s="50" t="n">
        <f aca="false">IF(LEFT(Cockpit!$O$5,1)="A",H943,IF(Parameter!$E$30="MAX-Bestand",IF(CH943=1,CI943,IF(LEFT(Cockpit!$O$5,1)="B",BF943,MAX(BF943,H943))),ROUNDUP(BD943,0)))</f>
        <v>14</v>
      </c>
      <c r="BA943" s="50" t="n">
        <f aca="false">IF(BZ943=1,0,ROUNDUP(AZ943/BY943,0))</f>
        <v>1</v>
      </c>
      <c r="BB943" s="52" t="n">
        <f aca="false">IF(CQ943&gt;0,CQ943*MAX(1,AZ943/X943),IF(BZ943=1,IF(AZ943&lt;=0,0,CD943*MAX(1,IF(H943&gt;0,AZ943/H943,1))),IF(R943&gt;0,BA943/R943,0))/MAX(0.1,N(Parameter!$M$21)))</f>
        <v>0.0384615384615385</v>
      </c>
      <c r="BC943" s="50" t="n">
        <f aca="false">BB943*CB943</f>
        <v>5.96153846153846</v>
      </c>
      <c r="BD943" s="51" t="n">
        <f aca="false">IF(LEFT(Cockpit!$O$5,1)="A",H943,IF(CH943=1,(CK943+CI943)/2,IF(LEFT(Cockpit!$O$5,1)="B",(CK943+BF943)/2,MAX((CK943+BF943)/2,H943))))</f>
        <v>13.5</v>
      </c>
      <c r="BE943" s="50" t="n">
        <f aca="false">BD943*G943</f>
        <v>27.675</v>
      </c>
      <c r="BF943" s="50" t="n">
        <f aca="false">ROUNDUP(CK943+MAX(CL943,2*(J943/IF(CG943&gt;0,CG943,MAX(0.1,N(Cockpit!$O$6)))-CK943)),0)</f>
        <v>26</v>
      </c>
      <c r="BG943" s="51" t="n">
        <f aca="false">IF(BC943&gt;0,J943/BC943,-1)</f>
        <v>4.52903225806452</v>
      </c>
      <c r="BH943" s="51" t="n">
        <f aca="false">IF(AND(OR(CF943="L1",CF943="L23",CF943="LIFT"),BC943&gt;0),SUMIFS($BC$7:$BC$1843,$CF$7:$CF$1843,CF943,$BG$7:$BG$1843,"&gt;"&amp;BG943)+SUMIFS($BC$7:$BC$1843,$CF$7:$CF$1843,CF943,$BG$7:$BG$1843,BG943,$BW$7:$BW$1843,"&lt;="&amp;BW943),"")</f>
        <v>3911.85805860806</v>
      </c>
      <c r="BI943" s="58" t="n">
        <f aca="false">IF(BH943="",0,MAX(0,MIN(1,(IF(CF943="L1",Parameter!$H$5,IF(CF943="L23",Parameter!$H$6+Parameter!$H$7,Parameter!$H$5+Parameter!$H$6+Parameter!$H$7))-(BH943-BC943))/BC943)))</f>
        <v>1</v>
      </c>
      <c r="BJ943" s="48" t="str">
        <f aca="false">IF(AI943&lt;=0,"",IF(CF943="Aussen","Aussenlager",IF(CF943="-","Nicht im Lift",IF(AO943&gt;=1,"Lift",IF(AO943&lt;=0,"Aussenlager","teilweise")))))</f>
        <v>Lift</v>
      </c>
      <c r="BK943" s="48" t="str">
        <f aca="false">IF(AS943&lt;=0,"",IF(CF943="Aussen","Aussenlager",IF(CF943="-","Nicht im Lift",IF(AY943&gt;=1,"Lift",IF(AY943&lt;=0,"Aussenlager","teilweise")))))</f>
        <v>Lift</v>
      </c>
      <c r="BL943" s="48" t="str">
        <f aca="false">IF(BC943&lt;=0,"",IF(CF943="Aussen","Aussenlager",IF(CF943="-","Nicht im Lift",IF(BI943&gt;=1,"Lift",IF(BI943&lt;=0,"Aussenlager","teilweise")))))</f>
        <v>Lift</v>
      </c>
      <c r="BM943" s="48" t="str">
        <f aca="false">IF(A943="","",IF(BV943=1,"Neu; ","")&amp;IF(AND(BV943=0,BQ943&lt;0),"negativer Bestand (Export "&amp;BQ943&amp;"); ","")&amp;IF(J943&lt;=0,"Kein Verbrauch; ","")&amp;IF(CQ943&gt;0,"Lift "&amp;W943&amp;" lt. Liftbericht (Fach "&amp;X943&amp;" Stk); ",IF(CA943=1,"Gebinde geschätzt ("&amp;T943&amp;"); ",IF(BZ943=1,"Lose – Tablare geschätzt; ","")))&amp;IF(H943&gt;AV943,"Überbestand "&amp;ROUND(H943-AV943,0)&amp;" Stk / CHF "&amp;ROUND((H943-AV943)*G943,0)&amp;"; ","")&amp;IF(AND(CH943=1,CI943&lt;CJ943),"MAX &lt; MB+LG; ","")&amp;IF(AND(CP943&gt;0,CO943*10&gt;CP943),"zu hoch für Tablar; ","")&amp;IF(AND(BV943=0,OR(CH943=1,AA943&lt;&gt;"",U943&lt;&gt;"",V943&lt;&gt;"",AB943&lt;&gt;"")),"manuell übersteuert; ","")&amp;IF(AND(BZ943=0,R943=0),"Gebinde unbekannt / Stellmass fehlt; ","")&amp;IF(AND(BZ943=0,N(V943)&lt;=0,N(Q943)&lt;=0),"Menge pro Gebinde fehlt (Ist = 1 Gebinde); ","")&amp;BU943)</f>
        <v>negativer Bestand (Export -27); Gebinde geschätzt (Klein); Überbestand 1 Stk / CHF 2; Menge pro Gebinde fehlt (Ist = 1 Gebinde); </v>
      </c>
      <c r="BN943" s="48"/>
      <c r="BO943" s="48"/>
      <c r="BP943" s="55"/>
      <c r="BQ943" s="50" t="n">
        <v>-27</v>
      </c>
      <c r="BR943" s="50" t="n">
        <v>54</v>
      </c>
      <c r="BS943" s="49" t="n">
        <v>-55.35</v>
      </c>
      <c r="BT943" s="50" t="n">
        <v>27</v>
      </c>
      <c r="BU943" s="48"/>
      <c r="BV943" s="53" t="n">
        <v>0</v>
      </c>
      <c r="BW943" s="53" t="n">
        <v>943</v>
      </c>
      <c r="BX943" s="48" t="str">
        <f aca="false">IF(U943&lt;&gt;"",UPPER(TRIM(U943)),IF(CA943=1,UPPER(VLOOKUP(T943,Parameter!$I$27:$K$29,2,0)),IF(P943="","LOSE",P943)))</f>
        <v>S51</v>
      </c>
      <c r="BY943" s="50" t="n">
        <f aca="false">IF(BX943="LOSE",1,IF(N(V943)&gt;0,V943,IF(CA943=1,MAX(1,N(VLOOKUP(T943,Parameter!$I$27:$K$29,3,0)),H943,N(N943)),IF(N(Q943)&gt;0,Q943,MAX(1,H943)))))</f>
        <v>27</v>
      </c>
      <c r="BZ943" s="53" t="n">
        <f aca="false">IF(BX943="LOSE",1,0)</f>
        <v>0</v>
      </c>
      <c r="CA943" s="53" t="n">
        <f aca="false">IF(AND(U943="",OR(P943="",P943="LOSE"),T943&lt;&gt;"",N(S943)&lt;=0,ISNUMBER(MATCH(T943,Parameter!$I$27:$I$29,0))),1,0)</f>
        <v>1</v>
      </c>
      <c r="CB943" s="53" t="n">
        <f aca="false">IF(CQ943&gt;0,INDEX(Parameter!$H$5:$H$7,W943)/INDEX(Parameter!$E$5:$E$7,W943),IF(AND(BZ943=0,N(IFERROR(VLOOKUP(BX943,'Gebinde-Kategorie'!$A$5:$N$45,14,0),0))&gt;0),VLOOKUP(BX943,'Gebinde-Kategorie'!$A$5:$N$45,14,0)*10+Parameter!$M$23,Parameter!$M$24))</f>
        <v>155</v>
      </c>
      <c r="CC943" s="48" t="str">
        <f aca="false">IF(AND(Parameter!$B$19="Ja",E943&lt;&gt;"",ISNUMBER(MATCH(E943,Parameter!$I$35:$I$52,0))),VLOOKUP(E943,Parameter!$I$35:$J$52,2,0),IFERROR(VLOOKUP(D943,Parameter!$A$35:$C$64,2,0),"Nein"))</f>
        <v>2+3</v>
      </c>
      <c r="CD943" s="52" t="n">
        <f aca="false">IF(BZ943=0,0,IF(N(S943)&gt;0,S943,IFERROR(VLOOKUP(D943,Parameter!$A$35:$C$64,3,0)+0,0)))</f>
        <v>0</v>
      </c>
      <c r="CE943" s="48" t="n">
        <f aca="false">IF(AA943&lt;&gt;"",AA943,Z943)</f>
        <v>3</v>
      </c>
      <c r="CF943" s="48" t="str">
        <f aca="false">IF(OR(CE943=1,CE943=2,CE943=3),IF(Parameter!$E$27="Ja","LIFT",IF(CE943=1,"L1","L23")),IF(CE943="Aussen","Aussen","-"))</f>
        <v>LIFT</v>
      </c>
      <c r="CG943" s="59" t="n">
        <f aca="false">IF(N(AB943)&gt;0,AB943,0)</f>
        <v>0</v>
      </c>
      <c r="CH943" s="53" t="n">
        <f aca="false">IF(ISNUMBER(AE943),1,0)</f>
        <v>0</v>
      </c>
      <c r="CI943" s="50" t="n">
        <f aca="false">N(AE943)</f>
        <v>0</v>
      </c>
      <c r="CJ943" s="50" t="n">
        <f aca="false">N(M943)+N(N943)</f>
        <v>26</v>
      </c>
      <c r="CK943" s="50" t="n">
        <f aca="false">N(M943)</f>
        <v>1</v>
      </c>
      <c r="CL943" s="50" t="n">
        <f aca="false">N(N943)</f>
        <v>25</v>
      </c>
      <c r="CM943" s="50" t="n">
        <f aca="false">ROUNDUP(H943/BY943,0)</f>
        <v>1</v>
      </c>
      <c r="CN943" s="50" t="n">
        <f aca="false">ROUNDUP(CI943/BY943,0)</f>
        <v>0</v>
      </c>
      <c r="CO943" s="53" t="n">
        <f aca="false">IF(BZ943=1,0,IFERROR(VLOOKUP(BX943,'Gebinde-Kategorie'!$A$5:$N$45,5,0)+0,0))</f>
        <v>11</v>
      </c>
      <c r="CP943" s="53" t="n">
        <f aca="false">IFERROR(IF(OR(CE943=1,CE943=2,CE943=3),N(INDEX(Parameter!$I$5:$I$7,CE943)),0),0)</f>
        <v>0</v>
      </c>
      <c r="CQ943" s="52" t="n">
        <f aca="false">IF(AND(Parameter!$B$21="Ja",ISNUMBER(W943),N(X943)&gt;0),IFERROR(N(INDEX(Parameter!$L$5:$L$7,W943))*INDEX(Parameter!$E$5:$E$7,W943)*X943/SUMIFS($X$7:$X$1843,$W$7:$W$1843,W943),0),0)</f>
        <v>0</v>
      </c>
    </row>
    <row r="944" customFormat="false" ht="15" hidden="false" customHeight="false" outlineLevel="0" collapsed="false">
      <c r="A944" s="48" t="s">
        <v>1769</v>
      </c>
      <c r="B944" s="48" t="s">
        <v>1770</v>
      </c>
      <c r="C944" s="48" t="s">
        <v>465</v>
      </c>
      <c r="D944" s="48" t="s">
        <v>193</v>
      </c>
      <c r="E944" s="48"/>
      <c r="F944" s="48" t="s">
        <v>227</v>
      </c>
      <c r="G944" s="49" t="n">
        <v>6.15</v>
      </c>
      <c r="H944" s="50" t="n">
        <f aca="false">MAX(0,IF(AND(Parameter!$B$21="Ja",ISNUMBER(Y944)),Y944,IF(Parameter!$B$20="Jahresanfang 2025 + Export",BR944+BQ944,BQ944)))</f>
        <v>9</v>
      </c>
      <c r="I944" s="50" t="n">
        <f aca="false">H944*G944</f>
        <v>55.35</v>
      </c>
      <c r="J944" s="50" t="n">
        <f aca="false">BT944*Parameter!$B$18</f>
        <v>9</v>
      </c>
      <c r="K944" s="51" t="n">
        <v>9</v>
      </c>
      <c r="L944" s="52" t="n">
        <v>1</v>
      </c>
      <c r="M944" s="50" t="n">
        <v>0</v>
      </c>
      <c r="N944" s="50" t="n">
        <v>10</v>
      </c>
      <c r="O944" s="53" t="n">
        <v>21</v>
      </c>
      <c r="P944" s="48" t="s">
        <v>177</v>
      </c>
      <c r="Q944" s="50"/>
      <c r="R944" s="53" t="n">
        <f aca="false">IF(BZ944=1,0,IFERROR(VLOOKUP(BX944,'Gebinde-Kategorie'!$A$5:$N$45,13,0)+0,0))</f>
        <v>26</v>
      </c>
      <c r="S944" s="54"/>
      <c r="T944" s="55" t="s">
        <v>284</v>
      </c>
      <c r="U944" s="55"/>
      <c r="V944" s="55"/>
      <c r="W944" s="48"/>
      <c r="X944" s="50"/>
      <c r="Y944" s="50"/>
      <c r="Z944" s="48" t="n">
        <f aca="false">IF(A944="","",IF(AND(Parameter!$B$21="Ja",ISNUMBER(W944)),W944,IF(CC944="2+3",IF(ISNUMBER(SEARCH("grosser Artikel",BU944)),2,IFERROR(VLOOKUP(BX944,Parameter!$F$35:$G$64,2,0),2)),IF(OR(CC944="Nein",CC944=""),"-",CC944))))</f>
        <v>3</v>
      </c>
      <c r="AA944" s="55"/>
      <c r="AB944" s="56"/>
      <c r="AC944" s="50" t="n">
        <f aca="false">AV944</f>
        <v>10</v>
      </c>
      <c r="AD944" s="50" t="n">
        <f aca="false">MAX(AV944,H944)</f>
        <v>10</v>
      </c>
      <c r="AE944" s="57"/>
      <c r="AF944" s="50" t="n">
        <f aca="false">IF(LEFT(Cockpit!$C$5,1)="A",H944,IF(Parameter!$E$30="MAX-Bestand",IF(CH944=1,CI944,IF(LEFT(Cockpit!$C$5,1)="B",AL944,MAX(AL944,H944))),ROUNDUP(AJ944,0)))</f>
        <v>9</v>
      </c>
      <c r="AG944" s="50" t="n">
        <f aca="false">IF(BZ944=1,0,ROUNDUP(AF944/BY944,0))</f>
        <v>1</v>
      </c>
      <c r="AH944" s="52" t="n">
        <f aca="false">IF(CQ944&gt;0,CQ944*MAX(1,AF944/X944),IF(BZ944=1,IF(AF944&lt;=0,0,CD944*MAX(1,IF(H944&gt;0,AF944/H944,1))),IF(R944&gt;0,AG944/R944,0))/MAX(0.1,N(Parameter!$M$21)))</f>
        <v>0.0384615384615385</v>
      </c>
      <c r="AI944" s="50" t="n">
        <f aca="false">AH944*CB944</f>
        <v>5.96153846153846</v>
      </c>
      <c r="AJ944" s="51" t="n">
        <f aca="false">IF(LEFT(Cockpit!$C$5,1)="A",H944,IF(CH944=1,(CK944+CI944)/2,IF(LEFT(Cockpit!$C$5,1)="B",(CK944+AL944)/2,MAX((CK944+AL944)/2,H944))))</f>
        <v>9</v>
      </c>
      <c r="AK944" s="50" t="n">
        <f aca="false">AJ944*G944</f>
        <v>55.35</v>
      </c>
      <c r="AL944" s="50" t="n">
        <f aca="false">ROUNDUP(CK944+MAX(CL944,2*(J944/IF(CG944&gt;0,CG944,MAX(0.1,N(Cockpit!$C$6)))-CK944)),0)</f>
        <v>10</v>
      </c>
      <c r="AM944" s="51" t="n">
        <f aca="false">IF(AI944&gt;0,J944/AI944,-1)</f>
        <v>1.50967741935484</v>
      </c>
      <c r="AN944" s="51" t="n">
        <f aca="false">IF(AND(OR(CF944="L1",CF944="L23",CF944="LIFT"),AI944&gt;0),SUMIFS($AI$7:$AI$1843,$CF$7:$CF$1843,CF944,$AM$7:$AM$1843,"&gt;"&amp;AM944)+SUMIFS($AI$7:$AI$1843,$CF$7:$CF$1843,CF944,$AM$7:$AM$1843,AM944,$BW$7:$BW$1843,"&lt;="&amp;BW944),"")</f>
        <v>6221.85302197802</v>
      </c>
      <c r="AO944" s="58" t="n">
        <f aca="false">IF(AN944="",0,MAX(0,MIN(1,(IF(CF944="L1",Parameter!$H$5,IF(CF944="L23",Parameter!$H$6+Parameter!$H$7,Parameter!$H$5+Parameter!$H$6+Parameter!$H$7))-(AN944-AI944))/AI944)))</f>
        <v>1</v>
      </c>
      <c r="AP944" s="50" t="n">
        <f aca="false">IF(LEFT(Cockpit!$I$5,1)="A",H944,IF(Parameter!$E$30="MAX-Bestand",IF(CH944=1,CI944,IF(LEFT(Cockpit!$I$5,1)="B",AV944,MAX(AV944,H944))),ROUNDUP(AT944,0)))</f>
        <v>9</v>
      </c>
      <c r="AQ944" s="50" t="n">
        <f aca="false">IF(BZ944=1,0,ROUNDUP(AP944/BY944,0))</f>
        <v>1</v>
      </c>
      <c r="AR944" s="52" t="n">
        <f aca="false">IF(CQ944&gt;0,CQ944*MAX(1,AP944/X944),IF(BZ944=1,IF(AP944&lt;=0,0,CD944*MAX(1,IF(H944&gt;0,AP944/H944,1))),IF(R944&gt;0,AQ944/R944,0))/MAX(0.1,N(Parameter!$M$21)))</f>
        <v>0.0384615384615385</v>
      </c>
      <c r="AS944" s="50" t="n">
        <f aca="false">AR944*CB944</f>
        <v>5.96153846153846</v>
      </c>
      <c r="AT944" s="51" t="n">
        <f aca="false">IF(LEFT(Cockpit!$I$5,1)="A",H944,IF(CH944=1,(CK944+CI944)/2,IF(LEFT(Cockpit!$I$5,1)="B",(CK944+AV944)/2,MAX((CK944+AV944)/2,H944))))</f>
        <v>9</v>
      </c>
      <c r="AU944" s="50" t="n">
        <f aca="false">AT944*G944</f>
        <v>55.35</v>
      </c>
      <c r="AV944" s="50" t="n">
        <f aca="false">ROUNDUP(CK944+MAX(CL944,2*(J944/IF(CG944&gt;0,CG944,MAX(0.1,N(Cockpit!$I$6)))-CK944)),0)</f>
        <v>10</v>
      </c>
      <c r="AW944" s="51" t="n">
        <f aca="false">IF(AS944&gt;0,J944/AS944,-1)</f>
        <v>1.50967741935484</v>
      </c>
      <c r="AX944" s="51" t="n">
        <f aca="false">IF(AND(OR(CF944="L1",CF944="L23",CF944="LIFT"),AS944&gt;0),SUMIFS($AS$7:$AS$1843,$CF$7:$CF$1843,CF944,$AW$7:$AW$1843,"&gt;"&amp;AW944)+SUMIFS($AS$7:$AS$1843,$CF$7:$CF$1843,CF944,$AW$7:$AW$1843,AW944,$BW$7:$BW$1843,"&lt;="&amp;BW944),"")</f>
        <v>7661.74175824176</v>
      </c>
      <c r="AY944" s="58" t="n">
        <f aca="false">IF(AX944="",0,MAX(0,MIN(1,(IF(CF944="L1",Parameter!$H$5,IF(CF944="L23",Parameter!$H$6+Parameter!$H$7,Parameter!$H$5+Parameter!$H$6+Parameter!$H$7))-(AX944-AS944))/AS944)))</f>
        <v>1</v>
      </c>
      <c r="AZ944" s="50" t="n">
        <f aca="false">IF(LEFT(Cockpit!$O$5,1)="A",H944,IF(Parameter!$E$30="MAX-Bestand",IF(CH944=1,CI944,IF(LEFT(Cockpit!$O$5,1)="B",BF944,MAX(BF944,H944))),ROUNDUP(BD944,0)))</f>
        <v>5</v>
      </c>
      <c r="BA944" s="50" t="n">
        <f aca="false">IF(BZ944=1,0,ROUNDUP(AZ944/BY944,0))</f>
        <v>1</v>
      </c>
      <c r="BB944" s="52" t="n">
        <f aca="false">IF(CQ944&gt;0,CQ944*MAX(1,AZ944/X944),IF(BZ944=1,IF(AZ944&lt;=0,0,CD944*MAX(1,IF(H944&gt;0,AZ944/H944,1))),IF(R944&gt;0,BA944/R944,0))/MAX(0.1,N(Parameter!$M$21)))</f>
        <v>0.0384615384615385</v>
      </c>
      <c r="BC944" s="50" t="n">
        <f aca="false">BB944*CB944</f>
        <v>5.96153846153846</v>
      </c>
      <c r="BD944" s="51" t="n">
        <f aca="false">IF(LEFT(Cockpit!$O$5,1)="A",H944,IF(CH944=1,(CK944+CI944)/2,IF(LEFT(Cockpit!$O$5,1)="B",(CK944+BF944)/2,MAX((CK944+BF944)/2,H944))))</f>
        <v>5</v>
      </c>
      <c r="BE944" s="50" t="n">
        <f aca="false">BD944*G944</f>
        <v>30.75</v>
      </c>
      <c r="BF944" s="50" t="n">
        <f aca="false">ROUNDUP(CK944+MAX(CL944,2*(J944/IF(CG944&gt;0,CG944,MAX(0.1,N(Cockpit!$O$6)))-CK944)),0)</f>
        <v>10</v>
      </c>
      <c r="BG944" s="51" t="n">
        <f aca="false">IF(BC944&gt;0,J944/BC944,-1)</f>
        <v>1.50967741935484</v>
      </c>
      <c r="BH944" s="51" t="n">
        <f aca="false">IF(AND(OR(CF944="L1",CF944="L23",CF944="LIFT"),BC944&gt;0),SUMIFS($BC$7:$BC$1843,$CF$7:$CF$1843,CF944,$BG$7:$BG$1843,"&gt;"&amp;BG944)+SUMIFS($BC$7:$BC$1843,$CF$7:$CF$1843,CF944,$BG$7:$BG$1843,BG944,$BW$7:$BW$1843,"&lt;="&amp;BW944),"")</f>
        <v>6474.40613553114</v>
      </c>
      <c r="BI944" s="58" t="n">
        <f aca="false">IF(BH944="",0,MAX(0,MIN(1,(IF(CF944="L1",Parameter!$H$5,IF(CF944="L23",Parameter!$H$6+Parameter!$H$7,Parameter!$H$5+Parameter!$H$6+Parameter!$H$7))-(BH944-BC944))/BC944)))</f>
        <v>1</v>
      </c>
      <c r="BJ944" s="48" t="str">
        <f aca="false">IF(AI944&lt;=0,"",IF(CF944="Aussen","Aussenlager",IF(CF944="-","Nicht im Lift",IF(AO944&gt;=1,"Lift",IF(AO944&lt;=0,"Aussenlager","teilweise")))))</f>
        <v>Lift</v>
      </c>
      <c r="BK944" s="48" t="str">
        <f aca="false">IF(AS944&lt;=0,"",IF(CF944="Aussen","Aussenlager",IF(CF944="-","Nicht im Lift",IF(AY944&gt;=1,"Lift",IF(AY944&lt;=0,"Aussenlager","teilweise")))))</f>
        <v>Lift</v>
      </c>
      <c r="BL944" s="48" t="str">
        <f aca="false">IF(BC944&lt;=0,"",IF(CF944="Aussen","Aussenlager",IF(CF944="-","Nicht im Lift",IF(BI944&gt;=1,"Lift",IF(BI944&lt;=0,"Aussenlager","teilweise")))))</f>
        <v>Lift</v>
      </c>
      <c r="BM944" s="48" t="str">
        <f aca="false">IF(A944="","",IF(BV944=1,"Neu; ","")&amp;IF(AND(BV944=0,BQ944&lt;0),"negativer Bestand (Export "&amp;BQ944&amp;"); ","")&amp;IF(J944&lt;=0,"Kein Verbrauch; ","")&amp;IF(CQ944&gt;0,"Lift "&amp;W944&amp;" lt. Liftbericht (Fach "&amp;X944&amp;" Stk); ",IF(CA944=1,"Gebinde geschätzt ("&amp;T944&amp;"); ",IF(BZ944=1,"Lose – Tablare geschätzt; ","")))&amp;IF(H944&gt;AV944,"Überbestand "&amp;ROUND(H944-AV944,0)&amp;" Stk / CHF "&amp;ROUND((H944-AV944)*G944,0)&amp;"; ","")&amp;IF(AND(CH944=1,CI944&lt;CJ944),"MAX &lt; MB+LG; ","")&amp;IF(AND(CP944&gt;0,CO944*10&gt;CP944),"zu hoch für Tablar; ","")&amp;IF(AND(BV944=0,OR(CH944=1,AA944&lt;&gt;"",U944&lt;&gt;"",V944&lt;&gt;"",AB944&lt;&gt;"")),"manuell übersteuert; ","")&amp;IF(AND(BZ944=0,R944=0),"Gebinde unbekannt / Stellmass fehlt; ","")&amp;IF(AND(BZ944=0,N(V944)&lt;=0,N(Q944)&lt;=0),"Menge pro Gebinde fehlt (Ist = 1 Gebinde); ","")&amp;BU944)</f>
        <v>negativer Bestand (Export -9); Gebinde geschätzt (Klein); Menge pro Gebinde fehlt (Ist = 1 Gebinde); </v>
      </c>
      <c r="BN944" s="48"/>
      <c r="BO944" s="48"/>
      <c r="BP944" s="55"/>
      <c r="BQ944" s="50" t="n">
        <v>-9</v>
      </c>
      <c r="BR944" s="50" t="n">
        <v>18</v>
      </c>
      <c r="BS944" s="49" t="n">
        <v>-55.35</v>
      </c>
      <c r="BT944" s="50" t="n">
        <v>9</v>
      </c>
      <c r="BU944" s="48"/>
      <c r="BV944" s="53" t="n">
        <v>0</v>
      </c>
      <c r="BW944" s="53" t="n">
        <v>944</v>
      </c>
      <c r="BX944" s="48" t="str">
        <f aca="false">IF(U944&lt;&gt;"",UPPER(TRIM(U944)),IF(CA944=1,UPPER(VLOOKUP(T944,Parameter!$I$27:$K$29,2,0)),IF(P944="","LOSE",P944)))</f>
        <v>S51</v>
      </c>
      <c r="BY944" s="50" t="n">
        <f aca="false">IF(BX944="LOSE",1,IF(N(V944)&gt;0,V944,IF(CA944=1,MAX(1,N(VLOOKUP(T944,Parameter!$I$27:$K$29,3,0)),H944,N(N944)),IF(N(Q944)&gt;0,Q944,MAX(1,H944)))))</f>
        <v>20</v>
      </c>
      <c r="BZ944" s="53" t="n">
        <f aca="false">IF(BX944="LOSE",1,0)</f>
        <v>0</v>
      </c>
      <c r="CA944" s="53" t="n">
        <f aca="false">IF(AND(U944="",OR(P944="",P944="LOSE"),T944&lt;&gt;"",N(S944)&lt;=0,ISNUMBER(MATCH(T944,Parameter!$I$27:$I$29,0))),1,0)</f>
        <v>1</v>
      </c>
      <c r="CB944" s="53" t="n">
        <f aca="false">IF(CQ944&gt;0,INDEX(Parameter!$H$5:$H$7,W944)/INDEX(Parameter!$E$5:$E$7,W944),IF(AND(BZ944=0,N(IFERROR(VLOOKUP(BX944,'Gebinde-Kategorie'!$A$5:$N$45,14,0),0))&gt;0),VLOOKUP(BX944,'Gebinde-Kategorie'!$A$5:$N$45,14,0)*10+Parameter!$M$23,Parameter!$M$24))</f>
        <v>155</v>
      </c>
      <c r="CC944" s="48" t="str">
        <f aca="false">IF(AND(Parameter!$B$19="Ja",E944&lt;&gt;"",ISNUMBER(MATCH(E944,Parameter!$I$35:$I$52,0))),VLOOKUP(E944,Parameter!$I$35:$J$52,2,0),IFERROR(VLOOKUP(D944,Parameter!$A$35:$C$64,2,0),"Nein"))</f>
        <v>2+3</v>
      </c>
      <c r="CD944" s="52" t="n">
        <f aca="false">IF(BZ944=0,0,IF(N(S944)&gt;0,S944,IFERROR(VLOOKUP(D944,Parameter!$A$35:$C$64,3,0)+0,0)))</f>
        <v>0</v>
      </c>
      <c r="CE944" s="48" t="n">
        <f aca="false">IF(AA944&lt;&gt;"",AA944,Z944)</f>
        <v>3</v>
      </c>
      <c r="CF944" s="48" t="str">
        <f aca="false">IF(OR(CE944=1,CE944=2,CE944=3),IF(Parameter!$E$27="Ja","LIFT",IF(CE944=1,"L1","L23")),IF(CE944="Aussen","Aussen","-"))</f>
        <v>LIFT</v>
      </c>
      <c r="CG944" s="59" t="n">
        <f aca="false">IF(N(AB944)&gt;0,AB944,0)</f>
        <v>0</v>
      </c>
      <c r="CH944" s="53" t="n">
        <f aca="false">IF(ISNUMBER(AE944),1,0)</f>
        <v>0</v>
      </c>
      <c r="CI944" s="50" t="n">
        <f aca="false">N(AE944)</f>
        <v>0</v>
      </c>
      <c r="CJ944" s="50" t="n">
        <f aca="false">N(M944)+N(N944)</f>
        <v>10</v>
      </c>
      <c r="CK944" s="50" t="n">
        <f aca="false">N(M944)</f>
        <v>0</v>
      </c>
      <c r="CL944" s="50" t="n">
        <f aca="false">N(N944)</f>
        <v>10</v>
      </c>
      <c r="CM944" s="50" t="n">
        <f aca="false">ROUNDUP(H944/BY944,0)</f>
        <v>1</v>
      </c>
      <c r="CN944" s="50" t="n">
        <f aca="false">ROUNDUP(CI944/BY944,0)</f>
        <v>0</v>
      </c>
      <c r="CO944" s="53" t="n">
        <f aca="false">IF(BZ944=1,0,IFERROR(VLOOKUP(BX944,'Gebinde-Kategorie'!$A$5:$N$45,5,0)+0,0))</f>
        <v>11</v>
      </c>
      <c r="CP944" s="53" t="n">
        <f aca="false">IFERROR(IF(OR(CE944=1,CE944=2,CE944=3),N(INDEX(Parameter!$I$5:$I$7,CE944)),0),0)</f>
        <v>0</v>
      </c>
      <c r="CQ944" s="52" t="n">
        <f aca="false">IF(AND(Parameter!$B$21="Ja",ISNUMBER(W944),N(X944)&gt;0),IFERROR(N(INDEX(Parameter!$L$5:$L$7,W944))*INDEX(Parameter!$E$5:$E$7,W944)*X944/SUMIFS($X$7:$X$1843,$W$7:$W$1843,W944),0),0)</f>
        <v>0</v>
      </c>
    </row>
    <row r="945" customFormat="false" ht="15" hidden="false" customHeight="false" outlineLevel="0" collapsed="false">
      <c r="A945" s="48" t="s">
        <v>1771</v>
      </c>
      <c r="B945" s="48" t="s">
        <v>1772</v>
      </c>
      <c r="C945" s="48" t="s">
        <v>173</v>
      </c>
      <c r="D945" s="48" t="s">
        <v>193</v>
      </c>
      <c r="E945" s="48"/>
      <c r="F945" s="48" t="s">
        <v>227</v>
      </c>
      <c r="G945" s="49" t="n">
        <v>28</v>
      </c>
      <c r="H945" s="50" t="n">
        <f aca="false">MAX(0,IF(AND(Parameter!$B$21="Ja",ISNUMBER(Y945)),Y945,IF(Parameter!$B$20="Jahresanfang 2025 + Export",BR945+BQ945,BQ945)))</f>
        <v>0</v>
      </c>
      <c r="I945" s="50" t="n">
        <f aca="false">H945*G945</f>
        <v>0</v>
      </c>
      <c r="J945" s="50" t="n">
        <f aca="false">BT945*Parameter!$B$18</f>
        <v>0</v>
      </c>
      <c r="K945" s="51" t="n">
        <v>1</v>
      </c>
      <c r="L945" s="52" t="n">
        <v>0</v>
      </c>
      <c r="M945" s="50" t="n">
        <v>0</v>
      </c>
      <c r="N945" s="50" t="n">
        <v>1</v>
      </c>
      <c r="O945" s="53" t="n">
        <v>49</v>
      </c>
      <c r="P945" s="48" t="s">
        <v>177</v>
      </c>
      <c r="Q945" s="50"/>
      <c r="R945" s="53" t="n">
        <f aca="false">IF(BZ945=1,0,IFERROR(VLOOKUP(BX945,'Gebinde-Kategorie'!$A$5:$N$45,13,0)+0,0))</f>
        <v>26</v>
      </c>
      <c r="S945" s="54"/>
      <c r="T945" s="55" t="s">
        <v>284</v>
      </c>
      <c r="U945" s="55"/>
      <c r="V945" s="55"/>
      <c r="W945" s="48"/>
      <c r="X945" s="50"/>
      <c r="Y945" s="50"/>
      <c r="Z945" s="48" t="n">
        <f aca="false">IF(A945="","",IF(AND(Parameter!$B$21="Ja",ISNUMBER(W945)),W945,IF(CC945="2+3",IF(ISNUMBER(SEARCH("grosser Artikel",BU945)),2,IFERROR(VLOOKUP(BX945,Parameter!$F$35:$G$64,2,0),2)),IF(OR(CC945="Nein",CC945=""),"-",CC945))))</f>
        <v>3</v>
      </c>
      <c r="AA945" s="55"/>
      <c r="AB945" s="56"/>
      <c r="AC945" s="50" t="n">
        <f aca="false">AV945</f>
        <v>1</v>
      </c>
      <c r="AD945" s="50" t="n">
        <f aca="false">MAX(AV945,H945)</f>
        <v>1</v>
      </c>
      <c r="AE945" s="57"/>
      <c r="AF945" s="50" t="n">
        <f aca="false">IF(LEFT(Cockpit!$C$5,1)="A",H945,IF(Parameter!$E$30="MAX-Bestand",IF(CH945=1,CI945,IF(LEFT(Cockpit!$C$5,1)="B",AL945,MAX(AL945,H945))),ROUNDUP(AJ945,0)))</f>
        <v>0</v>
      </c>
      <c r="AG945" s="50" t="n">
        <f aca="false">IF(BZ945=1,0,ROUNDUP(AF945/BY945,0))</f>
        <v>0</v>
      </c>
      <c r="AH945" s="52" t="n">
        <f aca="false">IF(CQ945&gt;0,CQ945*MAX(1,AF945/X945),IF(BZ945=1,IF(AF945&lt;=0,0,CD945*MAX(1,IF(H945&gt;0,AF945/H945,1))),IF(R945&gt;0,AG945/R945,0))/MAX(0.1,N(Parameter!$M$21)))</f>
        <v>0</v>
      </c>
      <c r="AI945" s="50" t="n">
        <f aca="false">AH945*CB945</f>
        <v>0</v>
      </c>
      <c r="AJ945" s="51" t="n">
        <f aca="false">IF(LEFT(Cockpit!$C$5,1)="A",H945,IF(CH945=1,(CK945+CI945)/2,IF(LEFT(Cockpit!$C$5,1)="B",(CK945+AL945)/2,MAX((CK945+AL945)/2,H945))))</f>
        <v>0</v>
      </c>
      <c r="AK945" s="50" t="n">
        <f aca="false">AJ945*G945</f>
        <v>0</v>
      </c>
      <c r="AL945" s="50" t="n">
        <f aca="false">ROUNDUP(CK945+MAX(CL945,2*(J945/IF(CG945&gt;0,CG945,MAX(0.1,N(Cockpit!$C$6)))-CK945)),0)</f>
        <v>1</v>
      </c>
      <c r="AM945" s="51" t="n">
        <f aca="false">IF(AI945&gt;0,J945/AI945,-1)</f>
        <v>-1</v>
      </c>
      <c r="AN945" s="51" t="str">
        <f aca="false">IF(AND(OR(CF945="L1",CF945="L23",CF945="LIFT"),AI945&gt;0),SUMIFS($AI$7:$AI$1843,$CF$7:$CF$1843,CF945,$AM$7:$AM$1843,"&gt;"&amp;AM945)+SUMIFS($AI$7:$AI$1843,$CF$7:$CF$1843,CF945,$AM$7:$AM$1843,AM945,$BW$7:$BW$1843,"&lt;="&amp;BW945),"")</f>
        <v/>
      </c>
      <c r="AO945" s="58" t="n">
        <f aca="false">IF(AN945="",0,MAX(0,MIN(1,(IF(CF945="L1",Parameter!$H$5,IF(CF945="L23",Parameter!$H$6+Parameter!$H$7,Parameter!$H$5+Parameter!$H$6+Parameter!$H$7))-(AN945-AI945))/AI945)))</f>
        <v>0</v>
      </c>
      <c r="AP945" s="50" t="n">
        <f aca="false">IF(LEFT(Cockpit!$I$5,1)="A",H945,IF(Parameter!$E$30="MAX-Bestand",IF(CH945=1,CI945,IF(LEFT(Cockpit!$I$5,1)="B",AV945,MAX(AV945,H945))),ROUNDUP(AT945,0)))</f>
        <v>1</v>
      </c>
      <c r="AQ945" s="50" t="n">
        <f aca="false">IF(BZ945=1,0,ROUNDUP(AP945/BY945,0))</f>
        <v>1</v>
      </c>
      <c r="AR945" s="52" t="n">
        <f aca="false">IF(CQ945&gt;0,CQ945*MAX(1,AP945/X945),IF(BZ945=1,IF(AP945&lt;=0,0,CD945*MAX(1,IF(H945&gt;0,AP945/H945,1))),IF(R945&gt;0,AQ945/R945,0))/MAX(0.1,N(Parameter!$M$21)))</f>
        <v>0.0384615384615385</v>
      </c>
      <c r="AS945" s="50" t="n">
        <f aca="false">AR945*CB945</f>
        <v>5.96153846153846</v>
      </c>
      <c r="AT945" s="51" t="n">
        <f aca="false">IF(LEFT(Cockpit!$I$5,1)="A",H945,IF(CH945=1,(CK945+CI945)/2,IF(LEFT(Cockpit!$I$5,1)="B",(CK945+AV945)/2,MAX((CK945+AV945)/2,H945))))</f>
        <v>0.5</v>
      </c>
      <c r="AU945" s="50" t="n">
        <f aca="false">AT945*G945</f>
        <v>14</v>
      </c>
      <c r="AV945" s="50" t="n">
        <f aca="false">ROUNDUP(CK945+MAX(CL945,2*(J945/IF(CG945&gt;0,CG945,MAX(0.1,N(Cockpit!$I$6)))-CK945)),0)</f>
        <v>1</v>
      </c>
      <c r="AW945" s="51" t="n">
        <f aca="false">IF(AS945&gt;0,J945/AS945,-1)</f>
        <v>0</v>
      </c>
      <c r="AX945" s="51" t="n">
        <f aca="false">IF(AND(OR(CF945="L1",CF945="L23",CF945="LIFT"),AS945&gt;0),SUMIFS($AS$7:$AS$1843,$CF$7:$CF$1843,CF945,$AW$7:$AW$1843,"&gt;"&amp;AW945)+SUMIFS($AS$7:$AS$1843,$CF$7:$CF$1843,CF945,$AW$7:$AW$1843,AW945,$BW$7:$BW$1843,"&lt;="&amp;BW945),"")</f>
        <v>34545.1488095238</v>
      </c>
      <c r="AY945" s="58" t="n">
        <f aca="false">IF(AX945="",0,MAX(0,MIN(1,(IF(CF945="L1",Parameter!$H$5,IF(CF945="L23",Parameter!$H$6+Parameter!$H$7,Parameter!$H$5+Parameter!$H$6+Parameter!$H$7))-(AX945-AS945))/AS945)))</f>
        <v>1</v>
      </c>
      <c r="AZ945" s="50" t="n">
        <f aca="false">IF(LEFT(Cockpit!$O$5,1)="A",H945,IF(Parameter!$E$30="MAX-Bestand",IF(CH945=1,CI945,IF(LEFT(Cockpit!$O$5,1)="B",BF945,MAX(BF945,H945))),ROUNDUP(BD945,0)))</f>
        <v>1</v>
      </c>
      <c r="BA945" s="50" t="n">
        <f aca="false">IF(BZ945=1,0,ROUNDUP(AZ945/BY945,0))</f>
        <v>1</v>
      </c>
      <c r="BB945" s="52" t="n">
        <f aca="false">IF(CQ945&gt;0,CQ945*MAX(1,AZ945/X945),IF(BZ945=1,IF(AZ945&lt;=0,0,CD945*MAX(1,IF(H945&gt;0,AZ945/H945,1))),IF(R945&gt;0,BA945/R945,0))/MAX(0.1,N(Parameter!$M$21)))</f>
        <v>0.0384615384615385</v>
      </c>
      <c r="BC945" s="50" t="n">
        <f aca="false">BB945*CB945</f>
        <v>5.96153846153846</v>
      </c>
      <c r="BD945" s="51" t="n">
        <f aca="false">IF(LEFT(Cockpit!$O$5,1)="A",H945,IF(CH945=1,(CK945+CI945)/2,IF(LEFT(Cockpit!$O$5,1)="B",(CK945+BF945)/2,MAX((CK945+BF945)/2,H945))))</f>
        <v>0.5</v>
      </c>
      <c r="BE945" s="50" t="n">
        <f aca="false">BD945*G945</f>
        <v>14</v>
      </c>
      <c r="BF945" s="50" t="n">
        <f aca="false">ROUNDUP(CK945+MAX(CL945,2*(J945/IF(CG945&gt;0,CG945,MAX(0.1,N(Cockpit!$O$6)))-CK945)),0)</f>
        <v>1</v>
      </c>
      <c r="BG945" s="51" t="n">
        <f aca="false">IF(BC945&gt;0,J945/BC945,-1)</f>
        <v>0</v>
      </c>
      <c r="BH945" s="51" t="n">
        <f aca="false">IF(AND(OR(CF945="L1",CF945="L23",CF945="LIFT"),BC945&gt;0),SUMIFS($BC$7:$BC$1843,$CF$7:$CF$1843,CF945,$BG$7:$BG$1843,"&gt;"&amp;BG945)+SUMIFS($BC$7:$BC$1843,$CF$7:$CF$1843,CF945,$BG$7:$BG$1843,BG945,$BW$7:$BW$1843,"&lt;="&amp;BW945),"")</f>
        <v>28575.6477773639</v>
      </c>
      <c r="BI945" s="58" t="n">
        <f aca="false">IF(BH945="",0,MAX(0,MIN(1,(IF(CF945="L1",Parameter!$H$5,IF(CF945="L23",Parameter!$H$6+Parameter!$H$7,Parameter!$H$5+Parameter!$H$6+Parameter!$H$7))-(BH945-BC945))/BC945)))</f>
        <v>1</v>
      </c>
      <c r="BJ945" s="48" t="str">
        <f aca="false">IF(AI945&lt;=0,"",IF(CF945="Aussen","Aussenlager",IF(CF945="-","Nicht im Lift",IF(AO945&gt;=1,"Lift",IF(AO945&lt;=0,"Aussenlager","teilweise")))))</f>
        <v/>
      </c>
      <c r="BK945" s="48" t="str">
        <f aca="false">IF(AS945&lt;=0,"",IF(CF945="Aussen","Aussenlager",IF(CF945="-","Nicht im Lift",IF(AY945&gt;=1,"Lift",IF(AY945&lt;=0,"Aussenlager","teilweise")))))</f>
        <v>Lift</v>
      </c>
      <c r="BL945" s="48" t="str">
        <f aca="false">IF(BC945&lt;=0,"",IF(CF945="Aussen","Aussenlager",IF(CF945="-","Nicht im Lift",IF(BI945&gt;=1,"Lift",IF(BI945&lt;=0,"Aussenlager","teilweise")))))</f>
        <v>Lift</v>
      </c>
      <c r="BM945" s="48" t="str">
        <f aca="false">IF(A945="","",IF(BV945=1,"Neu; ","")&amp;IF(AND(BV945=0,BQ945&lt;0),"negativer Bestand (Export "&amp;BQ945&amp;"); ","")&amp;IF(J945&lt;=0,"Kein Verbrauch; ","")&amp;IF(CQ945&gt;0,"Lift "&amp;W945&amp;" lt. Liftbericht (Fach "&amp;X945&amp;" Stk); ",IF(CA945=1,"Gebinde geschätzt ("&amp;T945&amp;"); ",IF(BZ945=1,"Lose – Tablare geschätzt; ","")))&amp;IF(H945&gt;AV945,"Überbestand "&amp;ROUND(H945-AV945,0)&amp;" Stk / CHF "&amp;ROUND((H945-AV945)*G945,0)&amp;"; ","")&amp;IF(AND(CH945=1,CI945&lt;CJ945),"MAX &lt; MB+LG; ","")&amp;IF(AND(CP945&gt;0,CO945*10&gt;CP945),"zu hoch für Tablar; ","")&amp;IF(AND(BV945=0,OR(CH945=1,AA945&lt;&gt;"",U945&lt;&gt;"",V945&lt;&gt;"",AB945&lt;&gt;"")),"manuell übersteuert; ","")&amp;IF(AND(BZ945=0,R945=0),"Gebinde unbekannt / Stellmass fehlt; ","")&amp;IF(AND(BZ945=0,N(V945)&lt;=0,N(Q945)&lt;=0),"Menge pro Gebinde fehlt (Ist = 1 Gebinde); ","")&amp;BU945)</f>
        <v>negativer Bestand (Export -2); Kein Verbrauch; Gebinde geschätzt (Klein); Menge pro Gebinde fehlt (Ist = 1 Gebinde); </v>
      </c>
      <c r="BN945" s="48"/>
      <c r="BO945" s="48"/>
      <c r="BP945" s="55"/>
      <c r="BQ945" s="50" t="n">
        <v>-2</v>
      </c>
      <c r="BR945" s="50" t="n">
        <v>2</v>
      </c>
      <c r="BS945" s="49" t="n">
        <v>-56</v>
      </c>
      <c r="BT945" s="50" t="n">
        <v>0</v>
      </c>
      <c r="BU945" s="48"/>
      <c r="BV945" s="53" t="n">
        <v>0</v>
      </c>
      <c r="BW945" s="53" t="n">
        <v>945</v>
      </c>
      <c r="BX945" s="48" t="str">
        <f aca="false">IF(U945&lt;&gt;"",UPPER(TRIM(U945)),IF(CA945=1,UPPER(VLOOKUP(T945,Parameter!$I$27:$K$29,2,0)),IF(P945="","LOSE",P945)))</f>
        <v>S51</v>
      </c>
      <c r="BY945" s="50" t="n">
        <f aca="false">IF(BX945="LOSE",1,IF(N(V945)&gt;0,V945,IF(CA945=1,MAX(1,N(VLOOKUP(T945,Parameter!$I$27:$K$29,3,0)),H945,N(N945)),IF(N(Q945)&gt;0,Q945,MAX(1,H945)))))</f>
        <v>20</v>
      </c>
      <c r="BZ945" s="53" t="n">
        <f aca="false">IF(BX945="LOSE",1,0)</f>
        <v>0</v>
      </c>
      <c r="CA945" s="53" t="n">
        <f aca="false">IF(AND(U945="",OR(P945="",P945="LOSE"),T945&lt;&gt;"",N(S945)&lt;=0,ISNUMBER(MATCH(T945,Parameter!$I$27:$I$29,0))),1,0)</f>
        <v>1</v>
      </c>
      <c r="CB945" s="53" t="n">
        <f aca="false">IF(CQ945&gt;0,INDEX(Parameter!$H$5:$H$7,W945)/INDEX(Parameter!$E$5:$E$7,W945),IF(AND(BZ945=0,N(IFERROR(VLOOKUP(BX945,'Gebinde-Kategorie'!$A$5:$N$45,14,0),0))&gt;0),VLOOKUP(BX945,'Gebinde-Kategorie'!$A$5:$N$45,14,0)*10+Parameter!$M$23,Parameter!$M$24))</f>
        <v>155</v>
      </c>
      <c r="CC945" s="48" t="str">
        <f aca="false">IF(AND(Parameter!$B$19="Ja",E945&lt;&gt;"",ISNUMBER(MATCH(E945,Parameter!$I$35:$I$52,0))),VLOOKUP(E945,Parameter!$I$35:$J$52,2,0),IFERROR(VLOOKUP(D945,Parameter!$A$35:$C$64,2,0),"Nein"))</f>
        <v>2+3</v>
      </c>
      <c r="CD945" s="52" t="n">
        <f aca="false">IF(BZ945=0,0,IF(N(S945)&gt;0,S945,IFERROR(VLOOKUP(D945,Parameter!$A$35:$C$64,3,0)+0,0)))</f>
        <v>0</v>
      </c>
      <c r="CE945" s="48" t="n">
        <f aca="false">IF(AA945&lt;&gt;"",AA945,Z945)</f>
        <v>3</v>
      </c>
      <c r="CF945" s="48" t="str">
        <f aca="false">IF(OR(CE945=1,CE945=2,CE945=3),IF(Parameter!$E$27="Ja","LIFT",IF(CE945=1,"L1","L23")),IF(CE945="Aussen","Aussen","-"))</f>
        <v>LIFT</v>
      </c>
      <c r="CG945" s="59" t="n">
        <f aca="false">IF(N(AB945)&gt;0,AB945,0)</f>
        <v>0</v>
      </c>
      <c r="CH945" s="53" t="n">
        <f aca="false">IF(ISNUMBER(AE945),1,0)</f>
        <v>0</v>
      </c>
      <c r="CI945" s="50" t="n">
        <f aca="false">N(AE945)</f>
        <v>0</v>
      </c>
      <c r="CJ945" s="50" t="n">
        <f aca="false">N(M945)+N(N945)</f>
        <v>1</v>
      </c>
      <c r="CK945" s="50" t="n">
        <f aca="false">N(M945)</f>
        <v>0</v>
      </c>
      <c r="CL945" s="50" t="n">
        <f aca="false">N(N945)</f>
        <v>1</v>
      </c>
      <c r="CM945" s="50" t="n">
        <f aca="false">ROUNDUP(H945/BY945,0)</f>
        <v>0</v>
      </c>
      <c r="CN945" s="50" t="n">
        <f aca="false">ROUNDUP(CI945/BY945,0)</f>
        <v>0</v>
      </c>
      <c r="CO945" s="53" t="n">
        <f aca="false">IF(BZ945=1,0,IFERROR(VLOOKUP(BX945,'Gebinde-Kategorie'!$A$5:$N$45,5,0)+0,0))</f>
        <v>11</v>
      </c>
      <c r="CP945" s="53" t="n">
        <f aca="false">IFERROR(IF(OR(CE945=1,CE945=2,CE945=3),N(INDEX(Parameter!$I$5:$I$7,CE945)),0),0)</f>
        <v>0</v>
      </c>
      <c r="CQ945" s="52" t="n">
        <f aca="false">IF(AND(Parameter!$B$21="Ja",ISNUMBER(W945),N(X945)&gt;0),IFERROR(N(INDEX(Parameter!$L$5:$L$7,W945))*INDEX(Parameter!$E$5:$E$7,W945)*X945/SUMIFS($X$7:$X$1843,$W$7:$W$1843,W945),0),0)</f>
        <v>0</v>
      </c>
    </row>
    <row r="946" customFormat="false" ht="15" hidden="false" customHeight="false" outlineLevel="0" collapsed="false">
      <c r="A946" s="48" t="s">
        <v>1773</v>
      </c>
      <c r="B946" s="48" t="s">
        <v>992</v>
      </c>
      <c r="C946" s="48" t="s">
        <v>173</v>
      </c>
      <c r="D946" s="48" t="s">
        <v>193</v>
      </c>
      <c r="E946" s="48" t="s">
        <v>194</v>
      </c>
      <c r="F946" s="48" t="s">
        <v>227</v>
      </c>
      <c r="G946" s="49" t="n">
        <v>18.9</v>
      </c>
      <c r="H946" s="50" t="n">
        <f aca="false">MAX(0,IF(AND(Parameter!$B$21="Ja",ISNUMBER(Y946)),Y946,IF(Parameter!$B$20="Jahresanfang 2025 + Export",BR946+BQ946,BQ946)))</f>
        <v>2</v>
      </c>
      <c r="I946" s="50" t="n">
        <f aca="false">H946*G946</f>
        <v>37.8</v>
      </c>
      <c r="J946" s="50" t="n">
        <f aca="false">BT946*Parameter!$B$18</f>
        <v>8</v>
      </c>
      <c r="K946" s="51" t="n">
        <v>3.5</v>
      </c>
      <c r="L946" s="52" t="n">
        <v>2.28571428571429</v>
      </c>
      <c r="M946" s="50" t="n">
        <v>0</v>
      </c>
      <c r="N946" s="50" t="n">
        <v>10</v>
      </c>
      <c r="O946" s="53" t="n">
        <v>21</v>
      </c>
      <c r="P946" s="48" t="s">
        <v>311</v>
      </c>
      <c r="Q946" s="50" t="n">
        <v>10</v>
      </c>
      <c r="R946" s="53" t="n">
        <f aca="false">IF(BZ946=1,0,IFERROR(VLOOKUP(BX946,'Gebinde-Kategorie'!$A$5:$N$45,13,0)+0,0))</f>
        <v>26</v>
      </c>
      <c r="S946" s="54"/>
      <c r="T946" s="55"/>
      <c r="U946" s="55"/>
      <c r="V946" s="55"/>
      <c r="W946" s="48"/>
      <c r="X946" s="50"/>
      <c r="Y946" s="50"/>
      <c r="Z946" s="48" t="n">
        <f aca="false">IF(A946="","",IF(AND(Parameter!$B$21="Ja",ISNUMBER(W946)),W946,IF(CC946="2+3",IF(ISNUMBER(SEARCH("grosser Artikel",BU946)),2,IFERROR(VLOOKUP(BX946,Parameter!$F$35:$G$64,2,0),2)),IF(OR(CC946="Nein",CC946=""),"-",CC946))))</f>
        <v>3</v>
      </c>
      <c r="AA946" s="55"/>
      <c r="AB946" s="56"/>
      <c r="AC946" s="50" t="n">
        <f aca="false">AV946</f>
        <v>10</v>
      </c>
      <c r="AD946" s="50" t="n">
        <f aca="false">MAX(AV946,H946)</f>
        <v>10</v>
      </c>
      <c r="AE946" s="57"/>
      <c r="AF946" s="50" t="n">
        <f aca="false">IF(LEFT(Cockpit!$C$5,1)="A",H946,IF(Parameter!$E$30="MAX-Bestand",IF(CH946=1,CI946,IF(LEFT(Cockpit!$C$5,1)="B",AL946,MAX(AL946,H946))),ROUNDUP(AJ946,0)))</f>
        <v>2</v>
      </c>
      <c r="AG946" s="50" t="n">
        <f aca="false">IF(BZ946=1,0,ROUNDUP(AF946/BY946,0))</f>
        <v>1</v>
      </c>
      <c r="AH946" s="52" t="n">
        <f aca="false">IF(CQ946&gt;0,CQ946*MAX(1,AF946/X946),IF(BZ946=1,IF(AF946&lt;=0,0,CD946*MAX(1,IF(H946&gt;0,AF946/H946,1))),IF(R946&gt;0,AG946/R946,0))/MAX(0.1,N(Parameter!$M$21)))</f>
        <v>0.0384615384615385</v>
      </c>
      <c r="AI946" s="50" t="n">
        <f aca="false">AH946*CB946</f>
        <v>5.96153846153846</v>
      </c>
      <c r="AJ946" s="51" t="n">
        <f aca="false">IF(LEFT(Cockpit!$C$5,1)="A",H946,IF(CH946=1,(CK946+CI946)/2,IF(LEFT(Cockpit!$C$5,1)="B",(CK946+AL946)/2,MAX((CK946+AL946)/2,H946))))</f>
        <v>2</v>
      </c>
      <c r="AK946" s="50" t="n">
        <f aca="false">AJ946*G946</f>
        <v>37.8</v>
      </c>
      <c r="AL946" s="50" t="n">
        <f aca="false">ROUNDUP(CK946+MAX(CL946,2*(J946/IF(CG946&gt;0,CG946,MAX(0.1,N(Cockpit!$C$6)))-CK946)),0)</f>
        <v>10</v>
      </c>
      <c r="AM946" s="51" t="n">
        <f aca="false">IF(AI946&gt;0,J946/AI946,-1)</f>
        <v>1.34193548387097</v>
      </c>
      <c r="AN946" s="51" t="n">
        <f aca="false">IF(AND(OR(CF946="L1",CF946="L23",CF946="LIFT"),AI946&gt;0),SUMIFS($AI$7:$AI$1843,$CF$7:$CF$1843,CF946,$AM$7:$AM$1843,"&gt;"&amp;AM946)+SUMIFS($AI$7:$AI$1843,$CF$7:$CF$1843,CF946,$AM$7:$AM$1843,AM946,$BW$7:$BW$1843,"&lt;="&amp;BW946),"")</f>
        <v>6343.07097069597</v>
      </c>
      <c r="AO946" s="58" t="n">
        <f aca="false">IF(AN946="",0,MAX(0,MIN(1,(IF(CF946="L1",Parameter!$H$5,IF(CF946="L23",Parameter!$H$6+Parameter!$H$7,Parameter!$H$5+Parameter!$H$6+Parameter!$H$7))-(AN946-AI946))/AI946)))</f>
        <v>1</v>
      </c>
      <c r="AP946" s="50" t="n">
        <f aca="false">IF(LEFT(Cockpit!$I$5,1)="A",H946,IF(Parameter!$E$30="MAX-Bestand",IF(CH946=1,CI946,IF(LEFT(Cockpit!$I$5,1)="B",AV946,MAX(AV946,H946))),ROUNDUP(AT946,0)))</f>
        <v>5</v>
      </c>
      <c r="AQ946" s="50" t="n">
        <f aca="false">IF(BZ946=1,0,ROUNDUP(AP946/BY946,0))</f>
        <v>1</v>
      </c>
      <c r="AR946" s="52" t="n">
        <f aca="false">IF(CQ946&gt;0,CQ946*MAX(1,AP946/X946),IF(BZ946=1,IF(AP946&lt;=0,0,CD946*MAX(1,IF(H946&gt;0,AP946/H946,1))),IF(R946&gt;0,AQ946/R946,0))/MAX(0.1,N(Parameter!$M$21)))</f>
        <v>0.0384615384615385</v>
      </c>
      <c r="AS946" s="50" t="n">
        <f aca="false">AR946*CB946</f>
        <v>5.96153846153846</v>
      </c>
      <c r="AT946" s="51" t="n">
        <f aca="false">IF(LEFT(Cockpit!$I$5,1)="A",H946,IF(CH946=1,(CK946+CI946)/2,IF(LEFT(Cockpit!$I$5,1)="B",(CK946+AV946)/2,MAX((CK946+AV946)/2,H946))))</f>
        <v>5</v>
      </c>
      <c r="AU946" s="50" t="n">
        <f aca="false">AT946*G946</f>
        <v>94.5</v>
      </c>
      <c r="AV946" s="50" t="n">
        <f aca="false">ROUNDUP(CK946+MAX(CL946,2*(J946/IF(CG946&gt;0,CG946,MAX(0.1,N(Cockpit!$I$6)))-CK946)),0)</f>
        <v>10</v>
      </c>
      <c r="AW946" s="51" t="n">
        <f aca="false">IF(AS946&gt;0,J946/AS946,-1)</f>
        <v>1.34193548387097</v>
      </c>
      <c r="AX946" s="51" t="n">
        <f aca="false">IF(AND(OR(CF946="L1",CF946="L23",CF946="LIFT"),AS946&gt;0),SUMIFS($AS$7:$AS$1843,$CF$7:$CF$1843,CF946,$AW$7:$AW$1843,"&gt;"&amp;AW946)+SUMIFS($AS$7:$AS$1843,$CF$7:$CF$1843,CF946,$AW$7:$AW$1843,AW946,$BW$7:$BW$1843,"&lt;="&amp;BW946),"")</f>
        <v>7867.25457875458</v>
      </c>
      <c r="AY946" s="58" t="n">
        <f aca="false">IF(AX946="",0,MAX(0,MIN(1,(IF(CF946="L1",Parameter!$H$5,IF(CF946="L23",Parameter!$H$6+Parameter!$H$7,Parameter!$H$5+Parameter!$H$6+Parameter!$H$7))-(AX946-AS946))/AS946)))</f>
        <v>1</v>
      </c>
      <c r="AZ946" s="50" t="n">
        <f aca="false">IF(LEFT(Cockpit!$O$5,1)="A",H946,IF(Parameter!$E$30="MAX-Bestand",IF(CH946=1,CI946,IF(LEFT(Cockpit!$O$5,1)="B",BF946,MAX(BF946,H946))),ROUNDUP(BD946,0)))</f>
        <v>5</v>
      </c>
      <c r="BA946" s="50" t="n">
        <f aca="false">IF(BZ946=1,0,ROUNDUP(AZ946/BY946,0))</f>
        <v>1</v>
      </c>
      <c r="BB946" s="52" t="n">
        <f aca="false">IF(CQ946&gt;0,CQ946*MAX(1,AZ946/X946),IF(BZ946=1,IF(AZ946&lt;=0,0,CD946*MAX(1,IF(H946&gt;0,AZ946/H946,1))),IF(R946&gt;0,BA946/R946,0))/MAX(0.1,N(Parameter!$M$21)))</f>
        <v>0.0384615384615385</v>
      </c>
      <c r="BC946" s="50" t="n">
        <f aca="false">BB946*CB946</f>
        <v>5.96153846153846</v>
      </c>
      <c r="BD946" s="51" t="n">
        <f aca="false">IF(LEFT(Cockpit!$O$5,1)="A",H946,IF(CH946=1,(CK946+CI946)/2,IF(LEFT(Cockpit!$O$5,1)="B",(CK946+BF946)/2,MAX((CK946+BF946)/2,H946))))</f>
        <v>5</v>
      </c>
      <c r="BE946" s="50" t="n">
        <f aca="false">BD946*G946</f>
        <v>94.5</v>
      </c>
      <c r="BF946" s="50" t="n">
        <f aca="false">ROUNDUP(CK946+MAX(CL946,2*(J946/IF(CG946&gt;0,CG946,MAX(0.1,N(Cockpit!$O$6)))-CK946)),0)</f>
        <v>10</v>
      </c>
      <c r="BG946" s="51" t="n">
        <f aca="false">IF(BC946&gt;0,J946/BC946,-1)</f>
        <v>1.34193548387097</v>
      </c>
      <c r="BH946" s="51" t="n">
        <f aca="false">IF(AND(OR(CF946="L1",CF946="L23",CF946="LIFT"),BC946&gt;0),SUMIFS($BC$7:$BC$1843,$CF$7:$CF$1843,CF946,$BG$7:$BG$1843,"&gt;"&amp;BG946)+SUMIFS($BC$7:$BC$1843,$CF$7:$CF$1843,CF946,$BG$7:$BG$1843,BG946,$BW$7:$BW$1843,"&lt;="&amp;BW946),"")</f>
        <v>6804.47023809524</v>
      </c>
      <c r="BI946" s="58" t="n">
        <f aca="false">IF(BH946="",0,MAX(0,MIN(1,(IF(CF946="L1",Parameter!$H$5,IF(CF946="L23",Parameter!$H$6+Parameter!$H$7,Parameter!$H$5+Parameter!$H$6+Parameter!$H$7))-(BH946-BC946))/BC946)))</f>
        <v>1</v>
      </c>
      <c r="BJ946" s="48" t="str">
        <f aca="false">IF(AI946&lt;=0,"",IF(CF946="Aussen","Aussenlager",IF(CF946="-","Nicht im Lift",IF(AO946&gt;=1,"Lift",IF(AO946&lt;=0,"Aussenlager","teilweise")))))</f>
        <v>Lift</v>
      </c>
      <c r="BK946" s="48" t="str">
        <f aca="false">IF(AS946&lt;=0,"",IF(CF946="Aussen","Aussenlager",IF(CF946="-","Nicht im Lift",IF(AY946&gt;=1,"Lift",IF(AY946&lt;=0,"Aussenlager","teilweise")))))</f>
        <v>Lift</v>
      </c>
      <c r="BL946" s="48" t="str">
        <f aca="false">IF(BC946&lt;=0,"",IF(CF946="Aussen","Aussenlager",IF(CF946="-","Nicht im Lift",IF(BI946&gt;=1,"Lift",IF(BI946&lt;=0,"Aussenlager","teilweise")))))</f>
        <v>Lift</v>
      </c>
      <c r="BM946" s="48" t="str">
        <f aca="false">IF(A946="","",IF(BV946=1,"Neu; ","")&amp;IF(AND(BV946=0,BQ946&lt;0),"negativer Bestand (Export "&amp;BQ946&amp;"); ","")&amp;IF(J946&lt;=0,"Kein Verbrauch; ","")&amp;IF(CQ946&gt;0,"Lift "&amp;W946&amp;" lt. Liftbericht (Fach "&amp;X946&amp;" Stk); ",IF(CA946=1,"Gebinde geschätzt ("&amp;T946&amp;"); ",IF(BZ946=1,"Lose – Tablare geschätzt; ","")))&amp;IF(H946&gt;AV946,"Überbestand "&amp;ROUND(H946-AV946,0)&amp;" Stk / CHF "&amp;ROUND((H946-AV946)*G946,0)&amp;"; ","")&amp;IF(AND(CH946=1,CI946&lt;CJ946),"MAX &lt; MB+LG; ","")&amp;IF(AND(CP946&gt;0,CO946*10&gt;CP946),"zu hoch für Tablar; ","")&amp;IF(AND(BV946=0,OR(CH946=1,AA946&lt;&gt;"",U946&lt;&gt;"",V946&lt;&gt;"",AB946&lt;&gt;"")),"manuell übersteuert; ","")&amp;IF(AND(BZ946=0,R946=0),"Gebinde unbekannt / Stellmass fehlt; ","")&amp;IF(AND(BZ946=0,N(V946)&lt;=0,N(Q946)&lt;=0),"Menge pro Gebinde fehlt (Ist = 1 Gebinde); ","")&amp;BU946)</f>
        <v>negativer Bestand (Export -3); </v>
      </c>
      <c r="BN946" s="48"/>
      <c r="BO946" s="48"/>
      <c r="BP946" s="55"/>
      <c r="BQ946" s="50" t="n">
        <v>-3</v>
      </c>
      <c r="BR946" s="50" t="n">
        <v>5</v>
      </c>
      <c r="BS946" s="49" t="n">
        <v>-56.7</v>
      </c>
      <c r="BT946" s="50" t="n">
        <v>8</v>
      </c>
      <c r="BU946" s="48"/>
      <c r="BV946" s="53" t="n">
        <v>0</v>
      </c>
      <c r="BW946" s="53" t="n">
        <v>946</v>
      </c>
      <c r="BX946" s="48" t="str">
        <f aca="false">IF(U946&lt;&gt;"",UPPER(TRIM(U946)),IF(CA946=1,UPPER(VLOOKUP(T946,Parameter!$I$27:$K$29,2,0)),IF(P946="","LOSE",P946)))</f>
        <v>S51</v>
      </c>
      <c r="BY946" s="50" t="n">
        <f aca="false">IF(BX946="LOSE",1,IF(N(V946)&gt;0,V946,IF(CA946=1,MAX(1,N(VLOOKUP(T946,Parameter!$I$27:$K$29,3,0)),H946,N(N946)),IF(N(Q946)&gt;0,Q946,MAX(1,H946)))))</f>
        <v>10</v>
      </c>
      <c r="BZ946" s="53" t="n">
        <f aca="false">IF(BX946="LOSE",1,0)</f>
        <v>0</v>
      </c>
      <c r="CA946" s="53" t="n">
        <f aca="false">IF(AND(U946="",OR(P946="",P946="LOSE"),T946&lt;&gt;"",N(S946)&lt;=0,ISNUMBER(MATCH(T946,Parameter!$I$27:$I$29,0))),1,0)</f>
        <v>0</v>
      </c>
      <c r="CB946" s="53" t="n">
        <f aca="false">IF(CQ946&gt;0,INDEX(Parameter!$H$5:$H$7,W946)/INDEX(Parameter!$E$5:$E$7,W946),IF(AND(BZ946=0,N(IFERROR(VLOOKUP(BX946,'Gebinde-Kategorie'!$A$5:$N$45,14,0),0))&gt;0),VLOOKUP(BX946,'Gebinde-Kategorie'!$A$5:$N$45,14,0)*10+Parameter!$M$23,Parameter!$M$24))</f>
        <v>155</v>
      </c>
      <c r="CC946" s="48" t="str">
        <f aca="false">IF(AND(Parameter!$B$19="Ja",E946&lt;&gt;"",ISNUMBER(MATCH(E946,Parameter!$I$35:$I$52,0))),VLOOKUP(E946,Parameter!$I$35:$J$52,2,0),IFERROR(VLOOKUP(D946,Parameter!$A$35:$C$64,2,0),"Nein"))</f>
        <v>2+3</v>
      </c>
      <c r="CD946" s="52" t="n">
        <f aca="false">IF(BZ946=0,0,IF(N(S946)&gt;0,S946,IFERROR(VLOOKUP(D946,Parameter!$A$35:$C$64,3,0)+0,0)))</f>
        <v>0</v>
      </c>
      <c r="CE946" s="48" t="n">
        <f aca="false">IF(AA946&lt;&gt;"",AA946,Z946)</f>
        <v>3</v>
      </c>
      <c r="CF946" s="48" t="str">
        <f aca="false">IF(OR(CE946=1,CE946=2,CE946=3),IF(Parameter!$E$27="Ja","LIFT",IF(CE946=1,"L1","L23")),IF(CE946="Aussen","Aussen","-"))</f>
        <v>LIFT</v>
      </c>
      <c r="CG946" s="59" t="n">
        <f aca="false">IF(N(AB946)&gt;0,AB946,0)</f>
        <v>0</v>
      </c>
      <c r="CH946" s="53" t="n">
        <f aca="false">IF(ISNUMBER(AE946),1,0)</f>
        <v>0</v>
      </c>
      <c r="CI946" s="50" t="n">
        <f aca="false">N(AE946)</f>
        <v>0</v>
      </c>
      <c r="CJ946" s="50" t="n">
        <f aca="false">N(M946)+N(N946)</f>
        <v>10</v>
      </c>
      <c r="CK946" s="50" t="n">
        <f aca="false">N(M946)</f>
        <v>0</v>
      </c>
      <c r="CL946" s="50" t="n">
        <f aca="false">N(N946)</f>
        <v>10</v>
      </c>
      <c r="CM946" s="50" t="n">
        <f aca="false">ROUNDUP(H946/BY946,0)</f>
        <v>1</v>
      </c>
      <c r="CN946" s="50" t="n">
        <f aca="false">ROUNDUP(CI946/BY946,0)</f>
        <v>0</v>
      </c>
      <c r="CO946" s="53" t="n">
        <f aca="false">IF(BZ946=1,0,IFERROR(VLOOKUP(BX946,'Gebinde-Kategorie'!$A$5:$N$45,5,0)+0,0))</f>
        <v>11</v>
      </c>
      <c r="CP946" s="53" t="n">
        <f aca="false">IFERROR(IF(OR(CE946=1,CE946=2,CE946=3),N(INDEX(Parameter!$I$5:$I$7,CE946)),0),0)</f>
        <v>0</v>
      </c>
      <c r="CQ946" s="52" t="n">
        <f aca="false">IF(AND(Parameter!$B$21="Ja",ISNUMBER(W946),N(X946)&gt;0),IFERROR(N(INDEX(Parameter!$L$5:$L$7,W946))*INDEX(Parameter!$E$5:$E$7,W946)*X946/SUMIFS($X$7:$X$1843,$W$7:$W$1843,W946),0),0)</f>
        <v>0</v>
      </c>
    </row>
    <row r="947" customFormat="false" ht="15" hidden="false" customHeight="false" outlineLevel="0" collapsed="false">
      <c r="A947" s="48" t="s">
        <v>1774</v>
      </c>
      <c r="B947" s="48" t="s">
        <v>1775</v>
      </c>
      <c r="C947" s="48" t="s">
        <v>173</v>
      </c>
      <c r="D947" s="48" t="s">
        <v>193</v>
      </c>
      <c r="E947" s="48" t="s">
        <v>194</v>
      </c>
      <c r="F947" s="48" t="s">
        <v>227</v>
      </c>
      <c r="G947" s="49" t="n">
        <v>28.49</v>
      </c>
      <c r="H947" s="50" t="n">
        <f aca="false">MAX(0,IF(AND(Parameter!$B$21="Ja",ISNUMBER(Y947)),Y947,IF(Parameter!$B$20="Jahresanfang 2025 + Export",BR947+BQ947,BQ947)))</f>
        <v>2</v>
      </c>
      <c r="I947" s="50" t="n">
        <f aca="false">H947*G947</f>
        <v>56.98</v>
      </c>
      <c r="J947" s="50" t="n">
        <f aca="false">BT947*Parameter!$B$18</f>
        <v>0</v>
      </c>
      <c r="K947" s="51" t="n">
        <v>4</v>
      </c>
      <c r="L947" s="52" t="n">
        <v>0</v>
      </c>
      <c r="M947" s="50" t="n">
        <v>0</v>
      </c>
      <c r="N947" s="50" t="n">
        <v>1</v>
      </c>
      <c r="O947" s="53" t="n">
        <v>28</v>
      </c>
      <c r="P947" s="48" t="s">
        <v>337</v>
      </c>
      <c r="Q947" s="50" t="n">
        <v>3</v>
      </c>
      <c r="R947" s="53" t="n">
        <f aca="false">IF(BZ947=1,0,IFERROR(VLOOKUP(BX947,'Gebinde-Kategorie'!$A$5:$N$45,13,0)+0,0))</f>
        <v>52</v>
      </c>
      <c r="S947" s="54"/>
      <c r="T947" s="55"/>
      <c r="U947" s="55"/>
      <c r="V947" s="55"/>
      <c r="W947" s="48"/>
      <c r="X947" s="50"/>
      <c r="Y947" s="50"/>
      <c r="Z947" s="48" t="n">
        <f aca="false">IF(A947="","",IF(AND(Parameter!$B$21="Ja",ISNUMBER(W947)),W947,IF(CC947="2+3",IF(ISNUMBER(SEARCH("grosser Artikel",BU947)),2,IFERROR(VLOOKUP(BX947,Parameter!$F$35:$G$64,2,0),2)),IF(OR(CC947="Nein",CC947=""),"-",CC947))))</f>
        <v>3</v>
      </c>
      <c r="AA947" s="55"/>
      <c r="AB947" s="56"/>
      <c r="AC947" s="50" t="n">
        <f aca="false">AV947</f>
        <v>1</v>
      </c>
      <c r="AD947" s="50" t="n">
        <f aca="false">MAX(AV947,H947)</f>
        <v>2</v>
      </c>
      <c r="AE947" s="57"/>
      <c r="AF947" s="50" t="n">
        <f aca="false">IF(LEFT(Cockpit!$C$5,1)="A",H947,IF(Parameter!$E$30="MAX-Bestand",IF(CH947=1,CI947,IF(LEFT(Cockpit!$C$5,1)="B",AL947,MAX(AL947,H947))),ROUNDUP(AJ947,0)))</f>
        <v>2</v>
      </c>
      <c r="AG947" s="50" t="n">
        <f aca="false">IF(BZ947=1,0,ROUNDUP(AF947/BY947,0))</f>
        <v>1</v>
      </c>
      <c r="AH947" s="52" t="n">
        <f aca="false">IF(CQ947&gt;0,CQ947*MAX(1,AF947/X947),IF(BZ947=1,IF(AF947&lt;=0,0,CD947*MAX(1,IF(H947&gt;0,AF947/H947,1))),IF(R947&gt;0,AG947/R947,0))/MAX(0.1,N(Parameter!$M$21)))</f>
        <v>0.0192307692307692</v>
      </c>
      <c r="AI947" s="50" t="n">
        <f aca="false">AH947*CB947</f>
        <v>2.98076923076923</v>
      </c>
      <c r="AJ947" s="51" t="n">
        <f aca="false">IF(LEFT(Cockpit!$C$5,1)="A",H947,IF(CH947=1,(CK947+CI947)/2,IF(LEFT(Cockpit!$C$5,1)="B",(CK947+AL947)/2,MAX((CK947+AL947)/2,H947))))</f>
        <v>2</v>
      </c>
      <c r="AK947" s="50" t="n">
        <f aca="false">AJ947*G947</f>
        <v>56.98</v>
      </c>
      <c r="AL947" s="50" t="n">
        <f aca="false">ROUNDUP(CK947+MAX(CL947,2*(J947/IF(CG947&gt;0,CG947,MAX(0.1,N(Cockpit!$C$6)))-CK947)),0)</f>
        <v>1</v>
      </c>
      <c r="AM947" s="51" t="n">
        <f aca="false">IF(AI947&gt;0,J947/AI947,-1)</f>
        <v>0</v>
      </c>
      <c r="AN947" s="51" t="n">
        <f aca="false">IF(AND(OR(CF947="L1",CF947="L23",CF947="LIFT"),AI947&gt;0),SUMIFS($AI$7:$AI$1843,$CF$7:$CF$1843,CF947,$AM$7:$AM$1843,"&gt;"&amp;AM947)+SUMIFS($AI$7:$AI$1843,$CF$7:$CF$1843,CF947,$AM$7:$AM$1843,AM947,$BW$7:$BW$1843,"&lt;="&amp;BW947),"")</f>
        <v>28880.1965967178</v>
      </c>
      <c r="AO947" s="58" t="n">
        <f aca="false">IF(AN947="",0,MAX(0,MIN(1,(IF(CF947="L1",Parameter!$H$5,IF(CF947="L23",Parameter!$H$6+Parameter!$H$7,Parameter!$H$5+Parameter!$H$6+Parameter!$H$7))-(AN947-AI947))/AI947)))</f>
        <v>1</v>
      </c>
      <c r="AP947" s="50" t="n">
        <f aca="false">IF(LEFT(Cockpit!$I$5,1)="A",H947,IF(Parameter!$E$30="MAX-Bestand",IF(CH947=1,CI947,IF(LEFT(Cockpit!$I$5,1)="B",AV947,MAX(AV947,H947))),ROUNDUP(AT947,0)))</f>
        <v>2</v>
      </c>
      <c r="AQ947" s="50" t="n">
        <f aca="false">IF(BZ947=1,0,ROUNDUP(AP947/BY947,0))</f>
        <v>1</v>
      </c>
      <c r="AR947" s="52" t="n">
        <f aca="false">IF(CQ947&gt;0,CQ947*MAX(1,AP947/X947),IF(BZ947=1,IF(AP947&lt;=0,0,CD947*MAX(1,IF(H947&gt;0,AP947/H947,1))),IF(R947&gt;0,AQ947/R947,0))/MAX(0.1,N(Parameter!$M$21)))</f>
        <v>0.0192307692307692</v>
      </c>
      <c r="AS947" s="50" t="n">
        <f aca="false">AR947*CB947</f>
        <v>2.98076923076923</v>
      </c>
      <c r="AT947" s="51" t="n">
        <f aca="false">IF(LEFT(Cockpit!$I$5,1)="A",H947,IF(CH947=1,(CK947+CI947)/2,IF(LEFT(Cockpit!$I$5,1)="B",(CK947+AV947)/2,MAX((CK947+AV947)/2,H947))))</f>
        <v>2</v>
      </c>
      <c r="AU947" s="50" t="n">
        <f aca="false">AT947*G947</f>
        <v>56.98</v>
      </c>
      <c r="AV947" s="50" t="n">
        <f aca="false">ROUNDUP(CK947+MAX(CL947,2*(J947/IF(CG947&gt;0,CG947,MAX(0.1,N(Cockpit!$I$6)))-CK947)),0)</f>
        <v>1</v>
      </c>
      <c r="AW947" s="51" t="n">
        <f aca="false">IF(AS947&gt;0,J947/AS947,-1)</f>
        <v>0</v>
      </c>
      <c r="AX947" s="51" t="n">
        <f aca="false">IF(AND(OR(CF947="L1",CF947="L23",CF947="LIFT"),AS947&gt;0),SUMIFS($AS$7:$AS$1843,$CF$7:$CF$1843,CF947,$AW$7:$AW$1843,"&gt;"&amp;AW947)+SUMIFS($AS$7:$AS$1843,$CF$7:$CF$1843,CF947,$AW$7:$AW$1843,AW947,$BW$7:$BW$1843,"&lt;="&amp;BW947),"")</f>
        <v>34548.1295787546</v>
      </c>
      <c r="AY947" s="58" t="n">
        <f aca="false">IF(AX947="",0,MAX(0,MIN(1,(IF(CF947="L1",Parameter!$H$5,IF(CF947="L23",Parameter!$H$6+Parameter!$H$7,Parameter!$H$5+Parameter!$H$6+Parameter!$H$7))-(AX947-AS947))/AS947)))</f>
        <v>1</v>
      </c>
      <c r="AZ947" s="50" t="n">
        <f aca="false">IF(LEFT(Cockpit!$O$5,1)="A",H947,IF(Parameter!$E$30="MAX-Bestand",IF(CH947=1,CI947,IF(LEFT(Cockpit!$O$5,1)="B",BF947,MAX(BF947,H947))),ROUNDUP(BD947,0)))</f>
        <v>1</v>
      </c>
      <c r="BA947" s="50" t="n">
        <f aca="false">IF(BZ947=1,0,ROUNDUP(AZ947/BY947,0))</f>
        <v>1</v>
      </c>
      <c r="BB947" s="52" t="n">
        <f aca="false">IF(CQ947&gt;0,CQ947*MAX(1,AZ947/X947),IF(BZ947=1,IF(AZ947&lt;=0,0,CD947*MAX(1,IF(H947&gt;0,AZ947/H947,1))),IF(R947&gt;0,BA947/R947,0))/MAX(0.1,N(Parameter!$M$21)))</f>
        <v>0.0192307692307692</v>
      </c>
      <c r="BC947" s="50" t="n">
        <f aca="false">BB947*CB947</f>
        <v>2.98076923076923</v>
      </c>
      <c r="BD947" s="51" t="n">
        <f aca="false">IF(LEFT(Cockpit!$O$5,1)="A",H947,IF(CH947=1,(CK947+CI947)/2,IF(LEFT(Cockpit!$O$5,1)="B",(CK947+BF947)/2,MAX((CK947+BF947)/2,H947))))</f>
        <v>0.5</v>
      </c>
      <c r="BE947" s="50" t="n">
        <f aca="false">BD947*G947</f>
        <v>14.245</v>
      </c>
      <c r="BF947" s="50" t="n">
        <f aca="false">ROUNDUP(CK947+MAX(CL947,2*(J947/IF(CG947&gt;0,CG947,MAX(0.1,N(Cockpit!$O$6)))-CK947)),0)</f>
        <v>1</v>
      </c>
      <c r="BG947" s="51" t="n">
        <f aca="false">IF(BC947&gt;0,J947/BC947,-1)</f>
        <v>0</v>
      </c>
      <c r="BH947" s="51" t="n">
        <f aca="false">IF(AND(OR(CF947="L1",CF947="L23",CF947="LIFT"),BC947&gt;0),SUMIFS($BC$7:$BC$1843,$CF$7:$CF$1843,CF947,$BG$7:$BG$1843,"&gt;"&amp;BG947)+SUMIFS($BC$7:$BC$1843,$CF$7:$CF$1843,CF947,$BG$7:$BG$1843,BG947,$BW$7:$BW$1843,"&lt;="&amp;BW947),"")</f>
        <v>28578.6285465947</v>
      </c>
      <c r="BI947" s="58" t="n">
        <f aca="false">IF(BH947="",0,MAX(0,MIN(1,(IF(CF947="L1",Parameter!$H$5,IF(CF947="L23",Parameter!$H$6+Parameter!$H$7,Parameter!$H$5+Parameter!$H$6+Parameter!$H$7))-(BH947-BC947))/BC947)))</f>
        <v>1</v>
      </c>
      <c r="BJ947" s="48" t="str">
        <f aca="false">IF(AI947&lt;=0,"",IF(CF947="Aussen","Aussenlager",IF(CF947="-","Nicht im Lift",IF(AO947&gt;=1,"Lift",IF(AO947&lt;=0,"Aussenlager","teilweise")))))</f>
        <v>Lift</v>
      </c>
      <c r="BK947" s="48" t="str">
        <f aca="false">IF(AS947&lt;=0,"",IF(CF947="Aussen","Aussenlager",IF(CF947="-","Nicht im Lift",IF(AY947&gt;=1,"Lift",IF(AY947&lt;=0,"Aussenlager","teilweise")))))</f>
        <v>Lift</v>
      </c>
      <c r="BL947" s="48" t="str">
        <f aca="false">IF(BC947&lt;=0,"",IF(CF947="Aussen","Aussenlager",IF(CF947="-","Nicht im Lift",IF(BI947&gt;=1,"Lift",IF(BI947&lt;=0,"Aussenlager","teilweise")))))</f>
        <v>Lift</v>
      </c>
      <c r="BM947" s="48" t="str">
        <f aca="false">IF(A947="","",IF(BV947=1,"Neu; ","")&amp;IF(AND(BV947=0,BQ947&lt;0),"negativer Bestand (Export "&amp;BQ947&amp;"); ","")&amp;IF(J947&lt;=0,"Kein Verbrauch; ","")&amp;IF(CQ947&gt;0,"Lift "&amp;W947&amp;" lt. Liftbericht (Fach "&amp;X947&amp;" Stk); ",IF(CA947=1,"Gebinde geschätzt ("&amp;T947&amp;"); ",IF(BZ947=1,"Lose – Tablare geschätzt; ","")))&amp;IF(H947&gt;AV947,"Überbestand "&amp;ROUND(H947-AV947,0)&amp;" Stk / CHF "&amp;ROUND((H947-AV947)*G947,0)&amp;"; ","")&amp;IF(AND(CH947=1,CI947&lt;CJ947),"MAX &lt; MB+LG; ","")&amp;IF(AND(CP947&gt;0,CO947*10&gt;CP947),"zu hoch für Tablar; ","")&amp;IF(AND(BV947=0,OR(CH947=1,AA947&lt;&gt;"",U947&lt;&gt;"",V947&lt;&gt;"",AB947&lt;&gt;"")),"manuell übersteuert; ","")&amp;IF(AND(BZ947=0,R947=0),"Gebinde unbekannt / Stellmass fehlt; ","")&amp;IF(AND(BZ947=0,N(V947)&lt;=0,N(Q947)&lt;=0),"Menge pro Gebinde fehlt (Ist = 1 Gebinde); ","")&amp;BU947)</f>
        <v>negativer Bestand (Export -2); Kein Verbrauch; Überbestand 1 Stk / CHF 28; </v>
      </c>
      <c r="BN947" s="48"/>
      <c r="BO947" s="48"/>
      <c r="BP947" s="55"/>
      <c r="BQ947" s="50" t="n">
        <v>-2</v>
      </c>
      <c r="BR947" s="50" t="n">
        <v>4</v>
      </c>
      <c r="BS947" s="49" t="n">
        <v>-56.98</v>
      </c>
      <c r="BT947" s="50" t="n">
        <v>0</v>
      </c>
      <c r="BU947" s="48"/>
      <c r="BV947" s="53" t="n">
        <v>0</v>
      </c>
      <c r="BW947" s="53" t="n">
        <v>947</v>
      </c>
      <c r="BX947" s="48" t="str">
        <f aca="false">IF(U947&lt;&gt;"",UPPER(TRIM(U947)),IF(CA947=1,UPPER(VLOOKUP(T947,Parameter!$I$27:$K$29,2,0)),IF(P947="","LOSE",P947)))</f>
        <v>S41</v>
      </c>
      <c r="BY947" s="50" t="n">
        <f aca="false">IF(BX947="LOSE",1,IF(N(V947)&gt;0,V947,IF(CA947=1,MAX(1,N(VLOOKUP(T947,Parameter!$I$27:$K$29,3,0)),H947,N(N947)),IF(N(Q947)&gt;0,Q947,MAX(1,H947)))))</f>
        <v>3</v>
      </c>
      <c r="BZ947" s="53" t="n">
        <f aca="false">IF(BX947="LOSE",1,0)</f>
        <v>0</v>
      </c>
      <c r="CA947" s="53" t="n">
        <f aca="false">IF(AND(U947="",OR(P947="",P947="LOSE"),T947&lt;&gt;"",N(S947)&lt;=0,ISNUMBER(MATCH(T947,Parameter!$I$27:$I$29,0))),1,0)</f>
        <v>0</v>
      </c>
      <c r="CB947" s="53" t="n">
        <f aca="false">IF(CQ947&gt;0,INDEX(Parameter!$H$5:$H$7,W947)/INDEX(Parameter!$E$5:$E$7,W947),IF(AND(BZ947=0,N(IFERROR(VLOOKUP(BX947,'Gebinde-Kategorie'!$A$5:$N$45,14,0),0))&gt;0),VLOOKUP(BX947,'Gebinde-Kategorie'!$A$5:$N$45,14,0)*10+Parameter!$M$23,Parameter!$M$24))</f>
        <v>155</v>
      </c>
      <c r="CC947" s="48" t="str">
        <f aca="false">IF(AND(Parameter!$B$19="Ja",E947&lt;&gt;"",ISNUMBER(MATCH(E947,Parameter!$I$35:$I$52,0))),VLOOKUP(E947,Parameter!$I$35:$J$52,2,0),IFERROR(VLOOKUP(D947,Parameter!$A$35:$C$64,2,0),"Nein"))</f>
        <v>2+3</v>
      </c>
      <c r="CD947" s="52" t="n">
        <f aca="false">IF(BZ947=0,0,IF(N(S947)&gt;0,S947,IFERROR(VLOOKUP(D947,Parameter!$A$35:$C$64,3,0)+0,0)))</f>
        <v>0</v>
      </c>
      <c r="CE947" s="48" t="n">
        <f aca="false">IF(AA947&lt;&gt;"",AA947,Z947)</f>
        <v>3</v>
      </c>
      <c r="CF947" s="48" t="str">
        <f aca="false">IF(OR(CE947=1,CE947=2,CE947=3),IF(Parameter!$E$27="Ja","LIFT",IF(CE947=1,"L1","L23")),IF(CE947="Aussen","Aussen","-"))</f>
        <v>LIFT</v>
      </c>
      <c r="CG947" s="59" t="n">
        <f aca="false">IF(N(AB947)&gt;0,AB947,0)</f>
        <v>0</v>
      </c>
      <c r="CH947" s="53" t="n">
        <f aca="false">IF(ISNUMBER(AE947),1,0)</f>
        <v>0</v>
      </c>
      <c r="CI947" s="50" t="n">
        <f aca="false">N(AE947)</f>
        <v>0</v>
      </c>
      <c r="CJ947" s="50" t="n">
        <f aca="false">N(M947)+N(N947)</f>
        <v>1</v>
      </c>
      <c r="CK947" s="50" t="n">
        <f aca="false">N(M947)</f>
        <v>0</v>
      </c>
      <c r="CL947" s="50" t="n">
        <f aca="false">N(N947)</f>
        <v>1</v>
      </c>
      <c r="CM947" s="50" t="n">
        <f aca="false">ROUNDUP(H947/BY947,0)</f>
        <v>1</v>
      </c>
      <c r="CN947" s="50" t="n">
        <f aca="false">ROUNDUP(CI947/BY947,0)</f>
        <v>0</v>
      </c>
      <c r="CO947" s="53" t="n">
        <f aca="false">IF(BZ947=1,0,IFERROR(VLOOKUP(BX947,'Gebinde-Kategorie'!$A$5:$N$45,5,0)+0,0))</f>
        <v>11</v>
      </c>
      <c r="CP947" s="53" t="n">
        <f aca="false">IFERROR(IF(OR(CE947=1,CE947=2,CE947=3),N(INDEX(Parameter!$I$5:$I$7,CE947)),0),0)</f>
        <v>0</v>
      </c>
      <c r="CQ947" s="52" t="n">
        <f aca="false">IF(AND(Parameter!$B$21="Ja",ISNUMBER(W947),N(X947)&gt;0),IFERROR(N(INDEX(Parameter!$L$5:$L$7,W947))*INDEX(Parameter!$E$5:$E$7,W947)*X947/SUMIFS($X$7:$X$1843,$W$7:$W$1843,W947),0),0)</f>
        <v>0</v>
      </c>
    </row>
    <row r="948" customFormat="false" ht="15" hidden="false" customHeight="false" outlineLevel="0" collapsed="false">
      <c r="A948" s="48" t="s">
        <v>1776</v>
      </c>
      <c r="B948" s="48" t="s">
        <v>1777</v>
      </c>
      <c r="C948" s="48" t="s">
        <v>173</v>
      </c>
      <c r="D948" s="48" t="s">
        <v>193</v>
      </c>
      <c r="E948" s="48" t="s">
        <v>194</v>
      </c>
      <c r="F948" s="48" t="s">
        <v>227</v>
      </c>
      <c r="G948" s="49" t="n">
        <v>3.79</v>
      </c>
      <c r="H948" s="50" t="n">
        <f aca="false">MAX(0,IF(AND(Parameter!$B$21="Ja",ISNUMBER(Y948)),Y948,IF(Parameter!$B$20="Jahresanfang 2025 + Export",BR948+BQ948,BQ948)))</f>
        <v>22</v>
      </c>
      <c r="I948" s="50" t="n">
        <f aca="false">H948*G948</f>
        <v>83.38</v>
      </c>
      <c r="J948" s="50" t="n">
        <f aca="false">BT948*Parameter!$B$18</f>
        <v>35</v>
      </c>
      <c r="K948" s="51" t="n">
        <v>28.5</v>
      </c>
      <c r="L948" s="52" t="n">
        <v>1.2280701754386</v>
      </c>
      <c r="M948" s="50" t="n">
        <v>1</v>
      </c>
      <c r="N948" s="50" t="n">
        <v>35</v>
      </c>
      <c r="O948" s="53" t="n">
        <v>14</v>
      </c>
      <c r="P948" s="48" t="s">
        <v>242</v>
      </c>
      <c r="Q948" s="50" t="n">
        <v>48</v>
      </c>
      <c r="R948" s="53" t="n">
        <f aca="false">IF(BZ948=1,0,IFERROR(VLOOKUP(BX948,'Gebinde-Kategorie'!$A$5:$N$45,13,0)+0,0))</f>
        <v>26</v>
      </c>
      <c r="S948" s="54"/>
      <c r="T948" s="55"/>
      <c r="U948" s="55"/>
      <c r="V948" s="55"/>
      <c r="W948" s="48"/>
      <c r="X948" s="50"/>
      <c r="Y948" s="50"/>
      <c r="Z948" s="48" t="n">
        <f aca="false">IF(A948="","",IF(AND(Parameter!$B$21="Ja",ISNUMBER(W948)),W948,IF(CC948="2+3",IF(ISNUMBER(SEARCH("grosser Artikel",BU948)),2,IFERROR(VLOOKUP(BX948,Parameter!$F$35:$G$64,2,0),2)),IF(OR(CC948="Nein",CC948=""),"-",CC948))))</f>
        <v>3</v>
      </c>
      <c r="AA948" s="55"/>
      <c r="AB948" s="56"/>
      <c r="AC948" s="50" t="n">
        <f aca="false">AV948</f>
        <v>36</v>
      </c>
      <c r="AD948" s="50" t="n">
        <f aca="false">MAX(AV948,H948)</f>
        <v>36</v>
      </c>
      <c r="AE948" s="57"/>
      <c r="AF948" s="50" t="n">
        <f aca="false">IF(LEFT(Cockpit!$C$5,1)="A",H948,IF(Parameter!$E$30="MAX-Bestand",IF(CH948=1,CI948,IF(LEFT(Cockpit!$C$5,1)="B",AL948,MAX(AL948,H948))),ROUNDUP(AJ948,0)))</f>
        <v>22</v>
      </c>
      <c r="AG948" s="50" t="n">
        <f aca="false">IF(BZ948=1,0,ROUNDUP(AF948/BY948,0))</f>
        <v>1</v>
      </c>
      <c r="AH948" s="52" t="n">
        <f aca="false">IF(CQ948&gt;0,CQ948*MAX(1,AF948/X948),IF(BZ948=1,IF(AF948&lt;=0,0,CD948*MAX(1,IF(H948&gt;0,AF948/H948,1))),IF(R948&gt;0,AG948/R948,0))/MAX(0.1,N(Parameter!$M$21)))</f>
        <v>0.0384615384615385</v>
      </c>
      <c r="AI948" s="50" t="n">
        <f aca="false">AH948*CB948</f>
        <v>9.42307692307692</v>
      </c>
      <c r="AJ948" s="51" t="n">
        <f aca="false">IF(LEFT(Cockpit!$C$5,1)="A",H948,IF(CH948=1,(CK948+CI948)/2,IF(LEFT(Cockpit!$C$5,1)="B",(CK948+AL948)/2,MAX((CK948+AL948)/2,H948))))</f>
        <v>22</v>
      </c>
      <c r="AK948" s="50" t="n">
        <f aca="false">AJ948*G948</f>
        <v>83.38</v>
      </c>
      <c r="AL948" s="50" t="n">
        <f aca="false">ROUNDUP(CK948+MAX(CL948,2*(J948/IF(CG948&gt;0,CG948,MAX(0.1,N(Cockpit!$C$6)))-CK948)),0)</f>
        <v>36</v>
      </c>
      <c r="AM948" s="51" t="n">
        <f aca="false">IF(AI948&gt;0,J948/AI948,-1)</f>
        <v>3.71428571428571</v>
      </c>
      <c r="AN948" s="51" t="n">
        <f aca="false">IF(AND(OR(CF948="L1",CF948="L23",CF948="LIFT"),AI948&gt;0),SUMIFS($AI$7:$AI$1843,$CF$7:$CF$1843,CF948,$AM$7:$AM$1843,"&gt;"&amp;AM948)+SUMIFS($AI$7:$AI$1843,$CF$7:$CF$1843,CF948,$AM$7:$AM$1843,AM948,$BW$7:$BW$1843,"&lt;="&amp;BW948),"")</f>
        <v>4727.64743589744</v>
      </c>
      <c r="AO948" s="58" t="n">
        <f aca="false">IF(AN948="",0,MAX(0,MIN(1,(IF(CF948="L1",Parameter!$H$5,IF(CF948="L23",Parameter!$H$6+Parameter!$H$7,Parameter!$H$5+Parameter!$H$6+Parameter!$H$7))-(AN948-AI948))/AI948)))</f>
        <v>1</v>
      </c>
      <c r="AP948" s="50" t="n">
        <f aca="false">IF(LEFT(Cockpit!$I$5,1)="A",H948,IF(Parameter!$E$30="MAX-Bestand",IF(CH948=1,CI948,IF(LEFT(Cockpit!$I$5,1)="B",AV948,MAX(AV948,H948))),ROUNDUP(AT948,0)))</f>
        <v>22</v>
      </c>
      <c r="AQ948" s="50" t="n">
        <f aca="false">IF(BZ948=1,0,ROUNDUP(AP948/BY948,0))</f>
        <v>1</v>
      </c>
      <c r="AR948" s="52" t="n">
        <f aca="false">IF(CQ948&gt;0,CQ948*MAX(1,AP948/X948),IF(BZ948=1,IF(AP948&lt;=0,0,CD948*MAX(1,IF(H948&gt;0,AP948/H948,1))),IF(R948&gt;0,AQ948/R948,0))/MAX(0.1,N(Parameter!$M$21)))</f>
        <v>0.0384615384615385</v>
      </c>
      <c r="AS948" s="50" t="n">
        <f aca="false">AR948*CB948</f>
        <v>9.42307692307692</v>
      </c>
      <c r="AT948" s="51" t="n">
        <f aca="false">IF(LEFT(Cockpit!$I$5,1)="A",H948,IF(CH948=1,(CK948+CI948)/2,IF(LEFT(Cockpit!$I$5,1)="B",(CK948+AV948)/2,MAX((CK948+AV948)/2,H948))))</f>
        <v>22</v>
      </c>
      <c r="AU948" s="50" t="n">
        <f aca="false">AT948*G948</f>
        <v>83.38</v>
      </c>
      <c r="AV948" s="50" t="n">
        <f aca="false">ROUNDUP(CK948+MAX(CL948,2*(J948/IF(CG948&gt;0,CG948,MAX(0.1,N(Cockpit!$I$6)))-CK948)),0)</f>
        <v>36</v>
      </c>
      <c r="AW948" s="51" t="n">
        <f aca="false">IF(AS948&gt;0,J948/AS948,-1)</f>
        <v>3.71428571428571</v>
      </c>
      <c r="AX948" s="51" t="n">
        <f aca="false">IF(AND(OR(CF948="L1",CF948="L23",CF948="LIFT"),AS948&gt;0),SUMIFS($AS$7:$AS$1843,$CF$7:$CF$1843,CF948,$AW$7:$AW$1843,"&gt;"&amp;AW948)+SUMIFS($AS$7:$AS$1843,$CF$7:$CF$1843,CF948,$AW$7:$AW$1843,AW948,$BW$7:$BW$1843,"&lt;="&amp;BW948),"")</f>
        <v>5346.06776556777</v>
      </c>
      <c r="AY948" s="58" t="n">
        <f aca="false">IF(AX948="",0,MAX(0,MIN(1,(IF(CF948="L1",Parameter!$H$5,IF(CF948="L23",Parameter!$H$6+Parameter!$H$7,Parameter!$H$5+Parameter!$H$6+Parameter!$H$7))-(AX948-AS948))/AS948)))</f>
        <v>1</v>
      </c>
      <c r="AZ948" s="50" t="n">
        <f aca="false">IF(LEFT(Cockpit!$O$5,1)="A",H948,IF(Parameter!$E$30="MAX-Bestand",IF(CH948=1,CI948,IF(LEFT(Cockpit!$O$5,1)="B",BF948,MAX(BF948,H948))),ROUNDUP(BD948,0)))</f>
        <v>19</v>
      </c>
      <c r="BA948" s="50" t="n">
        <f aca="false">IF(BZ948=1,0,ROUNDUP(AZ948/BY948,0))</f>
        <v>1</v>
      </c>
      <c r="BB948" s="52" t="n">
        <f aca="false">IF(CQ948&gt;0,CQ948*MAX(1,AZ948/X948),IF(BZ948=1,IF(AZ948&lt;=0,0,CD948*MAX(1,IF(H948&gt;0,AZ948/H948,1))),IF(R948&gt;0,BA948/R948,0))/MAX(0.1,N(Parameter!$M$21)))</f>
        <v>0.0384615384615385</v>
      </c>
      <c r="BC948" s="50" t="n">
        <f aca="false">BB948*CB948</f>
        <v>9.42307692307692</v>
      </c>
      <c r="BD948" s="51" t="n">
        <f aca="false">IF(LEFT(Cockpit!$O$5,1)="A",H948,IF(CH948=1,(CK948+CI948)/2,IF(LEFT(Cockpit!$O$5,1)="B",(CK948+BF948)/2,MAX((CK948+BF948)/2,H948))))</f>
        <v>18.5</v>
      </c>
      <c r="BE948" s="50" t="n">
        <f aca="false">BD948*G948</f>
        <v>70.115</v>
      </c>
      <c r="BF948" s="50" t="n">
        <f aca="false">ROUNDUP(CK948+MAX(CL948,2*(J948/IF(CG948&gt;0,CG948,MAX(0.1,N(Cockpit!$O$6)))-CK948)),0)</f>
        <v>36</v>
      </c>
      <c r="BG948" s="51" t="n">
        <f aca="false">IF(BC948&gt;0,J948/BC948,-1)</f>
        <v>3.71428571428571</v>
      </c>
      <c r="BH948" s="51" t="n">
        <f aca="false">IF(AND(OR(CF948="L1",CF948="L23",CF948="LIFT"),BC948&gt;0),SUMIFS($BC$7:$BC$1843,$CF$7:$CF$1843,CF948,$BG$7:$BG$1843,"&gt;"&amp;BG948)+SUMIFS($BC$7:$BC$1843,$CF$7:$CF$1843,CF948,$BG$7:$BG$1843,BG948,$BW$7:$BW$1843,"&lt;="&amp;BW948),"")</f>
        <v>4364.43956043956</v>
      </c>
      <c r="BI948" s="58" t="n">
        <f aca="false">IF(BH948="",0,MAX(0,MIN(1,(IF(CF948="L1",Parameter!$H$5,IF(CF948="L23",Parameter!$H$6+Parameter!$H$7,Parameter!$H$5+Parameter!$H$6+Parameter!$H$7))-(BH948-BC948))/BC948)))</f>
        <v>1</v>
      </c>
      <c r="BJ948" s="48" t="str">
        <f aca="false">IF(AI948&lt;=0,"",IF(CF948="Aussen","Aussenlager",IF(CF948="-","Nicht im Lift",IF(AO948&gt;=1,"Lift",IF(AO948&lt;=0,"Aussenlager","teilweise")))))</f>
        <v>Lift</v>
      </c>
      <c r="BK948" s="48" t="str">
        <f aca="false">IF(AS948&lt;=0,"",IF(CF948="Aussen","Aussenlager",IF(CF948="-","Nicht im Lift",IF(AY948&gt;=1,"Lift",IF(AY948&lt;=0,"Aussenlager","teilweise")))))</f>
        <v>Lift</v>
      </c>
      <c r="BL948" s="48" t="str">
        <f aca="false">IF(BC948&lt;=0,"",IF(CF948="Aussen","Aussenlager",IF(CF948="-","Nicht im Lift",IF(BI948&gt;=1,"Lift",IF(BI948&lt;=0,"Aussenlager","teilweise")))))</f>
        <v>Lift</v>
      </c>
      <c r="BM948" s="48" t="str">
        <f aca="false">IF(A948="","",IF(BV948=1,"Neu; ","")&amp;IF(AND(BV948=0,BQ948&lt;0),"negativer Bestand (Export "&amp;BQ948&amp;"); ","")&amp;IF(J948&lt;=0,"Kein Verbrauch; ","")&amp;IF(CQ948&gt;0,"Lift "&amp;W948&amp;" lt. Liftbericht (Fach "&amp;X948&amp;" Stk); ",IF(CA948=1,"Gebinde geschätzt ("&amp;T948&amp;"); ",IF(BZ948=1,"Lose – Tablare geschätzt; ","")))&amp;IF(H948&gt;AV948,"Überbestand "&amp;ROUND(H948-AV948,0)&amp;" Stk / CHF "&amp;ROUND((H948-AV948)*G948,0)&amp;"; ","")&amp;IF(AND(CH948=1,CI948&lt;CJ948),"MAX &lt; MB+LG; ","")&amp;IF(AND(CP948&gt;0,CO948*10&gt;CP948),"zu hoch für Tablar; ","")&amp;IF(AND(BV948=0,OR(CH948=1,AA948&lt;&gt;"",U948&lt;&gt;"",V948&lt;&gt;"",AB948&lt;&gt;"")),"manuell übersteuert; ","")&amp;IF(AND(BZ948=0,R948=0),"Gebinde unbekannt / Stellmass fehlt; ","")&amp;IF(AND(BZ948=0,N(V948)&lt;=0,N(Q948)&lt;=0),"Menge pro Gebinde fehlt (Ist = 1 Gebinde); ","")&amp;BU948)</f>
        <v>negativer Bestand (Export -14); </v>
      </c>
      <c r="BN948" s="48"/>
      <c r="BO948" s="48"/>
      <c r="BP948" s="55"/>
      <c r="BQ948" s="50" t="n">
        <v>-14</v>
      </c>
      <c r="BR948" s="50" t="n">
        <v>36</v>
      </c>
      <c r="BS948" s="49" t="n">
        <v>-58.1</v>
      </c>
      <c r="BT948" s="50" t="n">
        <v>35</v>
      </c>
      <c r="BU948" s="48"/>
      <c r="BV948" s="53" t="n">
        <v>0</v>
      </c>
      <c r="BW948" s="53" t="n">
        <v>948</v>
      </c>
      <c r="BX948" s="48" t="str">
        <f aca="false">IF(U948&lt;&gt;"",UPPER(TRIM(U948)),IF(CA948=1,UPPER(VLOOKUP(T948,Parameter!$I$27:$K$29,2,0)),IF(P948="","LOSE",P948)))</f>
        <v>S52</v>
      </c>
      <c r="BY948" s="50" t="n">
        <f aca="false">IF(BX948="LOSE",1,IF(N(V948)&gt;0,V948,IF(CA948=1,MAX(1,N(VLOOKUP(T948,Parameter!$I$27:$K$29,3,0)),H948,N(N948)),IF(N(Q948)&gt;0,Q948,MAX(1,H948)))))</f>
        <v>48</v>
      </c>
      <c r="BZ948" s="53" t="n">
        <f aca="false">IF(BX948="LOSE",1,0)</f>
        <v>0</v>
      </c>
      <c r="CA948" s="53" t="n">
        <f aca="false">IF(AND(U948="",OR(P948="",P948="LOSE"),T948&lt;&gt;"",N(S948)&lt;=0,ISNUMBER(MATCH(T948,Parameter!$I$27:$I$29,0))),1,0)</f>
        <v>0</v>
      </c>
      <c r="CB948" s="53" t="n">
        <f aca="false">IF(CQ948&gt;0,INDEX(Parameter!$H$5:$H$7,W948)/INDEX(Parameter!$E$5:$E$7,W948),IF(AND(BZ948=0,N(IFERROR(VLOOKUP(BX948,'Gebinde-Kategorie'!$A$5:$N$45,14,0),0))&gt;0),VLOOKUP(BX948,'Gebinde-Kategorie'!$A$5:$N$45,14,0)*10+Parameter!$M$23,Parameter!$M$24))</f>
        <v>245</v>
      </c>
      <c r="CC948" s="48" t="str">
        <f aca="false">IF(AND(Parameter!$B$19="Ja",E948&lt;&gt;"",ISNUMBER(MATCH(E948,Parameter!$I$35:$I$52,0))),VLOOKUP(E948,Parameter!$I$35:$J$52,2,0),IFERROR(VLOOKUP(D948,Parameter!$A$35:$C$64,2,0),"Nein"))</f>
        <v>2+3</v>
      </c>
      <c r="CD948" s="52" t="n">
        <f aca="false">IF(BZ948=0,0,IF(N(S948)&gt;0,S948,IFERROR(VLOOKUP(D948,Parameter!$A$35:$C$64,3,0)+0,0)))</f>
        <v>0</v>
      </c>
      <c r="CE948" s="48" t="n">
        <f aca="false">IF(AA948&lt;&gt;"",AA948,Z948)</f>
        <v>3</v>
      </c>
      <c r="CF948" s="48" t="str">
        <f aca="false">IF(OR(CE948=1,CE948=2,CE948=3),IF(Parameter!$E$27="Ja","LIFT",IF(CE948=1,"L1","L23")),IF(CE948="Aussen","Aussen","-"))</f>
        <v>LIFT</v>
      </c>
      <c r="CG948" s="59" t="n">
        <f aca="false">IF(N(AB948)&gt;0,AB948,0)</f>
        <v>0</v>
      </c>
      <c r="CH948" s="53" t="n">
        <f aca="false">IF(ISNUMBER(AE948),1,0)</f>
        <v>0</v>
      </c>
      <c r="CI948" s="50" t="n">
        <f aca="false">N(AE948)</f>
        <v>0</v>
      </c>
      <c r="CJ948" s="50" t="n">
        <f aca="false">N(M948)+N(N948)</f>
        <v>36</v>
      </c>
      <c r="CK948" s="50" t="n">
        <f aca="false">N(M948)</f>
        <v>1</v>
      </c>
      <c r="CL948" s="50" t="n">
        <f aca="false">N(N948)</f>
        <v>35</v>
      </c>
      <c r="CM948" s="50" t="n">
        <f aca="false">ROUNDUP(H948/BY948,0)</f>
        <v>1</v>
      </c>
      <c r="CN948" s="50" t="n">
        <f aca="false">ROUNDUP(CI948/BY948,0)</f>
        <v>0</v>
      </c>
      <c r="CO948" s="53" t="n">
        <f aca="false">IF(BZ948=1,0,IFERROR(VLOOKUP(BX948,'Gebinde-Kategorie'!$A$5:$N$45,5,0)+0,0))</f>
        <v>21</v>
      </c>
      <c r="CP948" s="53" t="n">
        <f aca="false">IFERROR(IF(OR(CE948=1,CE948=2,CE948=3),N(INDEX(Parameter!$I$5:$I$7,CE948)),0),0)</f>
        <v>0</v>
      </c>
      <c r="CQ948" s="52" t="n">
        <f aca="false">IF(AND(Parameter!$B$21="Ja",ISNUMBER(W948),N(X948)&gt;0),IFERROR(N(INDEX(Parameter!$L$5:$L$7,W948))*INDEX(Parameter!$E$5:$E$7,W948)*X948/SUMIFS($X$7:$X$1843,$W$7:$W$1843,W948),0),0)</f>
        <v>0</v>
      </c>
    </row>
    <row r="949" customFormat="false" ht="15" hidden="false" customHeight="false" outlineLevel="0" collapsed="false">
      <c r="A949" s="48" t="s">
        <v>1778</v>
      </c>
      <c r="B949" s="48" t="s">
        <v>477</v>
      </c>
      <c r="C949" s="48" t="s">
        <v>173</v>
      </c>
      <c r="D949" s="48" t="s">
        <v>193</v>
      </c>
      <c r="E949" s="48" t="s">
        <v>194</v>
      </c>
      <c r="F949" s="48" t="s">
        <v>227</v>
      </c>
      <c r="G949" s="49" t="n">
        <v>0.84</v>
      </c>
      <c r="H949" s="50" t="n">
        <f aca="false">MAX(0,IF(AND(Parameter!$B$21="Ja",ISNUMBER(Y949)),Y949,IF(Parameter!$B$20="Jahresanfang 2025 + Export",BR949+BQ949,BQ949)))</f>
        <v>113</v>
      </c>
      <c r="I949" s="50" t="n">
        <f aca="false">H949*G949</f>
        <v>94.92</v>
      </c>
      <c r="J949" s="50" t="n">
        <f aca="false">BT949*Parameter!$B$18</f>
        <v>136</v>
      </c>
      <c r="K949" s="51" t="n">
        <v>196.5</v>
      </c>
      <c r="L949" s="52" t="n">
        <v>0.692111959287532</v>
      </c>
      <c r="M949" s="50" t="n">
        <v>5</v>
      </c>
      <c r="N949" s="50" t="n">
        <v>135</v>
      </c>
      <c r="O949" s="53" t="n">
        <v>14</v>
      </c>
      <c r="P949" s="48" t="s">
        <v>485</v>
      </c>
      <c r="Q949" s="50" t="n">
        <v>371</v>
      </c>
      <c r="R949" s="53" t="n">
        <f aca="false">IF(BZ949=1,0,IFERROR(VLOOKUP(BX949,'Gebinde-Kategorie'!$A$5:$N$45,13,0)+0,0))</f>
        <v>52</v>
      </c>
      <c r="S949" s="54"/>
      <c r="T949" s="55"/>
      <c r="U949" s="55"/>
      <c r="V949" s="55"/>
      <c r="W949" s="48"/>
      <c r="X949" s="50"/>
      <c r="Y949" s="50"/>
      <c r="Z949" s="48" t="n">
        <f aca="false">IF(A949="","",IF(AND(Parameter!$B$21="Ja",ISNUMBER(W949)),W949,IF(CC949="2+3",IF(ISNUMBER(SEARCH("grosser Artikel",BU949)),2,IFERROR(VLOOKUP(BX949,Parameter!$F$35:$G$64,2,0),2)),IF(OR(CC949="Nein",CC949=""),"-",CC949))))</f>
        <v>3</v>
      </c>
      <c r="AA949" s="55"/>
      <c r="AB949" s="56"/>
      <c r="AC949" s="50" t="n">
        <f aca="false">AV949</f>
        <v>140</v>
      </c>
      <c r="AD949" s="50" t="n">
        <f aca="false">MAX(AV949,H949)</f>
        <v>140</v>
      </c>
      <c r="AE949" s="57"/>
      <c r="AF949" s="50" t="n">
        <f aca="false">IF(LEFT(Cockpit!$C$5,1)="A",H949,IF(Parameter!$E$30="MAX-Bestand",IF(CH949=1,CI949,IF(LEFT(Cockpit!$C$5,1)="B",AL949,MAX(AL949,H949))),ROUNDUP(AJ949,0)))</f>
        <v>113</v>
      </c>
      <c r="AG949" s="50" t="n">
        <f aca="false">IF(BZ949=1,0,ROUNDUP(AF949/BY949,0))</f>
        <v>1</v>
      </c>
      <c r="AH949" s="52" t="n">
        <f aca="false">IF(CQ949&gt;0,CQ949*MAX(1,AF949/X949),IF(BZ949=1,IF(AF949&lt;=0,0,CD949*MAX(1,IF(H949&gt;0,AF949/H949,1))),IF(R949&gt;0,AG949/R949,0))/MAX(0.1,N(Parameter!$M$21)))</f>
        <v>0.0192307692307692</v>
      </c>
      <c r="AI949" s="50" t="n">
        <f aca="false">AH949*CB949</f>
        <v>2.98076923076923</v>
      </c>
      <c r="AJ949" s="51" t="n">
        <f aca="false">IF(LEFT(Cockpit!$C$5,1)="A",H949,IF(CH949=1,(CK949+CI949)/2,IF(LEFT(Cockpit!$C$5,1)="B",(CK949+AL949)/2,MAX((CK949+AL949)/2,H949))))</f>
        <v>113</v>
      </c>
      <c r="AK949" s="50" t="n">
        <f aca="false">AJ949*G949</f>
        <v>94.92</v>
      </c>
      <c r="AL949" s="50" t="n">
        <f aca="false">ROUNDUP(CK949+MAX(CL949,2*(J949/IF(CG949&gt;0,CG949,MAX(0.1,N(Cockpit!$C$6)))-CK949)),0)</f>
        <v>140</v>
      </c>
      <c r="AM949" s="51" t="n">
        <f aca="false">IF(AI949&gt;0,J949/AI949,-1)</f>
        <v>45.6258064516129</v>
      </c>
      <c r="AN949" s="51" t="n">
        <f aca="false">IF(AND(OR(CF949="L1",CF949="L23",CF949="LIFT"),AI949&gt;0),SUMIFS($AI$7:$AI$1843,$CF$7:$CF$1843,CF949,$AM$7:$AM$1843,"&gt;"&amp;AM949)+SUMIFS($AI$7:$AI$1843,$CF$7:$CF$1843,CF949,$AM$7:$AM$1843,AM949,$BW$7:$BW$1843,"&lt;="&amp;BW949),"")</f>
        <v>1163.84752747253</v>
      </c>
      <c r="AO949" s="58" t="n">
        <f aca="false">IF(AN949="",0,MAX(0,MIN(1,(IF(CF949="L1",Parameter!$H$5,IF(CF949="L23",Parameter!$H$6+Parameter!$H$7,Parameter!$H$5+Parameter!$H$6+Parameter!$H$7))-(AN949-AI949))/AI949)))</f>
        <v>1</v>
      </c>
      <c r="AP949" s="50" t="n">
        <f aca="false">IF(LEFT(Cockpit!$I$5,1)="A",H949,IF(Parameter!$E$30="MAX-Bestand",IF(CH949=1,CI949,IF(LEFT(Cockpit!$I$5,1)="B",AV949,MAX(AV949,H949))),ROUNDUP(AT949,0)))</f>
        <v>113</v>
      </c>
      <c r="AQ949" s="50" t="n">
        <f aca="false">IF(BZ949=1,0,ROUNDUP(AP949/BY949,0))</f>
        <v>1</v>
      </c>
      <c r="AR949" s="52" t="n">
        <f aca="false">IF(CQ949&gt;0,CQ949*MAX(1,AP949/X949),IF(BZ949=1,IF(AP949&lt;=0,0,CD949*MAX(1,IF(H949&gt;0,AP949/H949,1))),IF(R949&gt;0,AQ949/R949,0))/MAX(0.1,N(Parameter!$M$21)))</f>
        <v>0.0192307692307692</v>
      </c>
      <c r="AS949" s="50" t="n">
        <f aca="false">AR949*CB949</f>
        <v>2.98076923076923</v>
      </c>
      <c r="AT949" s="51" t="n">
        <f aca="false">IF(LEFT(Cockpit!$I$5,1)="A",H949,IF(CH949=1,(CK949+CI949)/2,IF(LEFT(Cockpit!$I$5,1)="B",(CK949+AV949)/2,MAX((CK949+AV949)/2,H949))))</f>
        <v>113</v>
      </c>
      <c r="AU949" s="50" t="n">
        <f aca="false">AT949*G949</f>
        <v>94.92</v>
      </c>
      <c r="AV949" s="50" t="n">
        <f aca="false">ROUNDUP(CK949+MAX(CL949,2*(J949/IF(CG949&gt;0,CG949,MAX(0.1,N(Cockpit!$I$6)))-CK949)),0)</f>
        <v>140</v>
      </c>
      <c r="AW949" s="51" t="n">
        <f aca="false">IF(AS949&gt;0,J949/AS949,-1)</f>
        <v>45.6258064516129</v>
      </c>
      <c r="AX949" s="51" t="n">
        <f aca="false">IF(AND(OR(CF949="L1",CF949="L23",CF949="LIFT"),AS949&gt;0),SUMIFS($AS$7:$AS$1843,$CF$7:$CF$1843,CF949,$AW$7:$AW$1843,"&gt;"&amp;AW949)+SUMIFS($AS$7:$AS$1843,$CF$7:$CF$1843,CF949,$AW$7:$AW$1843,AW949,$BW$7:$BW$1843,"&lt;="&amp;BW949),"")</f>
        <v>1450.05952380952</v>
      </c>
      <c r="AY949" s="58" t="n">
        <f aca="false">IF(AX949="",0,MAX(0,MIN(1,(IF(CF949="L1",Parameter!$H$5,IF(CF949="L23",Parameter!$H$6+Parameter!$H$7,Parameter!$H$5+Parameter!$H$6+Parameter!$H$7))-(AX949-AS949))/AS949)))</f>
        <v>1</v>
      </c>
      <c r="AZ949" s="50" t="n">
        <f aca="false">IF(LEFT(Cockpit!$O$5,1)="A",H949,IF(Parameter!$E$30="MAX-Bestand",IF(CH949=1,CI949,IF(LEFT(Cockpit!$O$5,1)="B",BF949,MAX(BF949,H949))),ROUNDUP(BD949,0)))</f>
        <v>73</v>
      </c>
      <c r="BA949" s="50" t="n">
        <f aca="false">IF(BZ949=1,0,ROUNDUP(AZ949/BY949,0))</f>
        <v>1</v>
      </c>
      <c r="BB949" s="52" t="n">
        <f aca="false">IF(CQ949&gt;0,CQ949*MAX(1,AZ949/X949),IF(BZ949=1,IF(AZ949&lt;=0,0,CD949*MAX(1,IF(H949&gt;0,AZ949/H949,1))),IF(R949&gt;0,BA949/R949,0))/MAX(0.1,N(Parameter!$M$21)))</f>
        <v>0.0192307692307692</v>
      </c>
      <c r="BC949" s="50" t="n">
        <f aca="false">BB949*CB949</f>
        <v>2.98076923076923</v>
      </c>
      <c r="BD949" s="51" t="n">
        <f aca="false">IF(LEFT(Cockpit!$O$5,1)="A",H949,IF(CH949=1,(CK949+CI949)/2,IF(LEFT(Cockpit!$O$5,1)="B",(CK949+BF949)/2,MAX((CK949+BF949)/2,H949))))</f>
        <v>72.5</v>
      </c>
      <c r="BE949" s="50" t="n">
        <f aca="false">BD949*G949</f>
        <v>60.9</v>
      </c>
      <c r="BF949" s="50" t="n">
        <f aca="false">ROUNDUP(CK949+MAX(CL949,2*(J949/IF(CG949&gt;0,CG949,MAX(0.1,N(Cockpit!$O$6)))-CK949)),0)</f>
        <v>140</v>
      </c>
      <c r="BG949" s="51" t="n">
        <f aca="false">IF(BC949&gt;0,J949/BC949,-1)</f>
        <v>45.6258064516129</v>
      </c>
      <c r="BH949" s="51" t="n">
        <f aca="false">IF(AND(OR(CF949="L1",CF949="L23",CF949="LIFT"),BC949&gt;0),SUMIFS($BC$7:$BC$1843,$CF$7:$CF$1843,CF949,$BG$7:$BG$1843,"&gt;"&amp;BG949)+SUMIFS($BC$7:$BC$1843,$CF$7:$CF$1843,CF949,$BG$7:$BG$1843,BG949,$BW$7:$BW$1843,"&lt;="&amp;BW949),"")</f>
        <v>1228.04395604396</v>
      </c>
      <c r="BI949" s="58" t="n">
        <f aca="false">IF(BH949="",0,MAX(0,MIN(1,(IF(CF949="L1",Parameter!$H$5,IF(CF949="L23",Parameter!$H$6+Parameter!$H$7,Parameter!$H$5+Parameter!$H$6+Parameter!$H$7))-(BH949-BC949))/BC949)))</f>
        <v>1</v>
      </c>
      <c r="BJ949" s="48" t="str">
        <f aca="false">IF(AI949&lt;=0,"",IF(CF949="Aussen","Aussenlager",IF(CF949="-","Nicht im Lift",IF(AO949&gt;=1,"Lift",IF(AO949&lt;=0,"Aussenlager","teilweise")))))</f>
        <v>Lift</v>
      </c>
      <c r="BK949" s="48" t="str">
        <f aca="false">IF(AS949&lt;=0,"",IF(CF949="Aussen","Aussenlager",IF(CF949="-","Nicht im Lift",IF(AY949&gt;=1,"Lift",IF(AY949&lt;=0,"Aussenlager","teilweise")))))</f>
        <v>Lift</v>
      </c>
      <c r="BL949" s="48" t="str">
        <f aca="false">IF(BC949&lt;=0,"",IF(CF949="Aussen","Aussenlager",IF(CF949="-","Nicht im Lift",IF(BI949&gt;=1,"Lift",IF(BI949&lt;=0,"Aussenlager","teilweise")))))</f>
        <v>Lift</v>
      </c>
      <c r="BM949" s="48" t="str">
        <f aca="false">IF(A949="","",IF(BV949=1,"Neu; ","")&amp;IF(AND(BV949=0,BQ949&lt;0),"negativer Bestand (Export "&amp;BQ949&amp;"); ","")&amp;IF(J949&lt;=0,"Kein Verbrauch; ","")&amp;IF(CQ949&gt;0,"Lift "&amp;W949&amp;" lt. Liftbericht (Fach "&amp;X949&amp;" Stk); ",IF(CA949=1,"Gebinde geschätzt ("&amp;T949&amp;"); ",IF(BZ949=1,"Lose – Tablare geschätzt; ","")))&amp;IF(H949&gt;AV949,"Überbestand "&amp;ROUND(H949-AV949,0)&amp;" Stk / CHF "&amp;ROUND((H949-AV949)*G949,0)&amp;"; ","")&amp;IF(AND(CH949=1,CI949&lt;CJ949),"MAX &lt; MB+LG; ","")&amp;IF(AND(CP949&gt;0,CO949*10&gt;CP949),"zu hoch für Tablar; ","")&amp;IF(AND(BV949=0,OR(CH949=1,AA949&lt;&gt;"",U949&lt;&gt;"",V949&lt;&gt;"",AB949&lt;&gt;"")),"manuell übersteuert; ","")&amp;IF(AND(BZ949=0,R949=0),"Gebinde unbekannt / Stellmass fehlt; ","")&amp;IF(AND(BZ949=0,N(V949)&lt;=0,N(Q949)&lt;=0),"Menge pro Gebinde fehlt (Ist = 1 Gebinde); ","")&amp;BU949)</f>
        <v>negativer Bestand (Export -62); </v>
      </c>
      <c r="BN949" s="48"/>
      <c r="BO949" s="48"/>
      <c r="BP949" s="55"/>
      <c r="BQ949" s="50" t="n">
        <v>-62</v>
      </c>
      <c r="BR949" s="50" t="n">
        <v>175</v>
      </c>
      <c r="BS949" s="49" t="n">
        <v>-58.7599999999999</v>
      </c>
      <c r="BT949" s="50" t="n">
        <v>136</v>
      </c>
      <c r="BU949" s="48"/>
      <c r="BV949" s="53" t="n">
        <v>0</v>
      </c>
      <c r="BW949" s="53" t="n">
        <v>949</v>
      </c>
      <c r="BX949" s="48" t="str">
        <f aca="false">IF(U949&lt;&gt;"",UPPER(TRIM(U949)),IF(CA949=1,UPPER(VLOOKUP(T949,Parameter!$I$27:$K$29,2,0)),IF(P949="","LOSE",P949)))</f>
        <v>S33</v>
      </c>
      <c r="BY949" s="50" t="n">
        <f aca="false">IF(BX949="LOSE",1,IF(N(V949)&gt;0,V949,IF(CA949=1,MAX(1,N(VLOOKUP(T949,Parameter!$I$27:$K$29,3,0)),H949,N(N949)),IF(N(Q949)&gt;0,Q949,MAX(1,H949)))))</f>
        <v>371</v>
      </c>
      <c r="BZ949" s="53" t="n">
        <f aca="false">IF(BX949="LOSE",1,0)</f>
        <v>0</v>
      </c>
      <c r="CA949" s="53" t="n">
        <f aca="false">IF(AND(U949="",OR(P949="",P949="LOSE"),T949&lt;&gt;"",N(S949)&lt;=0,ISNUMBER(MATCH(T949,Parameter!$I$27:$I$29,0))),1,0)</f>
        <v>0</v>
      </c>
      <c r="CB949" s="53" t="n">
        <f aca="false">IF(CQ949&gt;0,INDEX(Parameter!$H$5:$H$7,W949)/INDEX(Parameter!$E$5:$E$7,W949),IF(AND(BZ949=0,N(IFERROR(VLOOKUP(BX949,'Gebinde-Kategorie'!$A$5:$N$45,14,0),0))&gt;0),VLOOKUP(BX949,'Gebinde-Kategorie'!$A$5:$N$45,14,0)*10+Parameter!$M$23,Parameter!$M$24))</f>
        <v>155</v>
      </c>
      <c r="CC949" s="48" t="str">
        <f aca="false">IF(AND(Parameter!$B$19="Ja",E949&lt;&gt;"",ISNUMBER(MATCH(E949,Parameter!$I$35:$I$52,0))),VLOOKUP(E949,Parameter!$I$35:$J$52,2,0),IFERROR(VLOOKUP(D949,Parameter!$A$35:$C$64,2,0),"Nein"))</f>
        <v>2+3</v>
      </c>
      <c r="CD949" s="52" t="n">
        <f aca="false">IF(BZ949=0,0,IF(N(S949)&gt;0,S949,IFERROR(VLOOKUP(D949,Parameter!$A$35:$C$64,3,0)+0,0)))</f>
        <v>0</v>
      </c>
      <c r="CE949" s="48" t="n">
        <f aca="false">IF(AA949&lt;&gt;"",AA949,Z949)</f>
        <v>3</v>
      </c>
      <c r="CF949" s="48" t="str">
        <f aca="false">IF(OR(CE949=1,CE949=2,CE949=3),IF(Parameter!$E$27="Ja","LIFT",IF(CE949=1,"L1","L23")),IF(CE949="Aussen","Aussen","-"))</f>
        <v>LIFT</v>
      </c>
      <c r="CG949" s="59" t="n">
        <f aca="false">IF(N(AB949)&gt;0,AB949,0)</f>
        <v>0</v>
      </c>
      <c r="CH949" s="53" t="n">
        <f aca="false">IF(ISNUMBER(AE949),1,0)</f>
        <v>0</v>
      </c>
      <c r="CI949" s="50" t="n">
        <f aca="false">N(AE949)</f>
        <v>0</v>
      </c>
      <c r="CJ949" s="50" t="n">
        <f aca="false">N(M949)+N(N949)</f>
        <v>140</v>
      </c>
      <c r="CK949" s="50" t="n">
        <f aca="false">N(M949)</f>
        <v>5</v>
      </c>
      <c r="CL949" s="50" t="n">
        <f aca="false">N(N949)</f>
        <v>135</v>
      </c>
      <c r="CM949" s="50" t="n">
        <f aca="false">ROUNDUP(H949/BY949,0)</f>
        <v>1</v>
      </c>
      <c r="CN949" s="50" t="n">
        <f aca="false">ROUNDUP(CI949/BY949,0)</f>
        <v>0</v>
      </c>
      <c r="CO949" s="53" t="n">
        <f aca="false">IF(BZ949=1,0,IFERROR(VLOOKUP(BX949,'Gebinde-Kategorie'!$A$5:$N$45,5,0)+0,0))</f>
        <v>8</v>
      </c>
      <c r="CP949" s="53" t="n">
        <f aca="false">IFERROR(IF(OR(CE949=1,CE949=2,CE949=3),N(INDEX(Parameter!$I$5:$I$7,CE949)),0),0)</f>
        <v>0</v>
      </c>
      <c r="CQ949" s="52" t="n">
        <f aca="false">IF(AND(Parameter!$B$21="Ja",ISNUMBER(W949),N(X949)&gt;0),IFERROR(N(INDEX(Parameter!$L$5:$L$7,W949))*INDEX(Parameter!$E$5:$E$7,W949)*X949/SUMIFS($X$7:$X$1843,$W$7:$W$1843,W949),0),0)</f>
        <v>0</v>
      </c>
    </row>
    <row r="950" customFormat="false" ht="15" hidden="false" customHeight="false" outlineLevel="0" collapsed="false">
      <c r="A950" s="48" t="s">
        <v>1779</v>
      </c>
      <c r="B950" s="48" t="s">
        <v>1780</v>
      </c>
      <c r="C950" s="48" t="s">
        <v>173</v>
      </c>
      <c r="D950" s="48" t="s">
        <v>193</v>
      </c>
      <c r="E950" s="48" t="s">
        <v>194</v>
      </c>
      <c r="F950" s="48" t="s">
        <v>227</v>
      </c>
      <c r="G950" s="49" t="n">
        <v>58.07</v>
      </c>
      <c r="H950" s="50" t="n">
        <f aca="false">MAX(0,IF(AND(Parameter!$B$21="Ja",ISNUMBER(Y950)),Y950,IF(Parameter!$B$20="Jahresanfang 2025 + Export",BR950+BQ950,BQ950)))</f>
        <v>9</v>
      </c>
      <c r="I950" s="50" t="n">
        <f aca="false">H950*G950</f>
        <v>522.63</v>
      </c>
      <c r="J950" s="50" t="n">
        <f aca="false">BT950*Parameter!$B$18</f>
        <v>7</v>
      </c>
      <c r="K950" s="51" t="n">
        <v>9</v>
      </c>
      <c r="L950" s="52" t="n">
        <v>0.777777777777778</v>
      </c>
      <c r="M950" s="50" t="n">
        <v>0</v>
      </c>
      <c r="N950" s="50" t="n">
        <v>5</v>
      </c>
      <c r="O950" s="53" t="n">
        <v>28</v>
      </c>
      <c r="P950" s="48" t="s">
        <v>242</v>
      </c>
      <c r="Q950" s="50" t="n">
        <v>21</v>
      </c>
      <c r="R950" s="53" t="n">
        <f aca="false">IF(BZ950=1,0,IFERROR(VLOOKUP(BX950,'Gebinde-Kategorie'!$A$5:$N$45,13,0)+0,0))</f>
        <v>26</v>
      </c>
      <c r="S950" s="54"/>
      <c r="T950" s="55"/>
      <c r="U950" s="55"/>
      <c r="V950" s="55"/>
      <c r="W950" s="48"/>
      <c r="X950" s="50"/>
      <c r="Y950" s="50"/>
      <c r="Z950" s="48" t="n">
        <f aca="false">IF(A950="","",IF(AND(Parameter!$B$21="Ja",ISNUMBER(W950)),W950,IF(CC950="2+3",IF(ISNUMBER(SEARCH("grosser Artikel",BU950)),2,IFERROR(VLOOKUP(BX950,Parameter!$F$35:$G$64,2,0),2)),IF(OR(CC950="Nein",CC950=""),"-",CC950))))</f>
        <v>3</v>
      </c>
      <c r="AA950" s="55"/>
      <c r="AB950" s="56"/>
      <c r="AC950" s="50" t="n">
        <f aca="false">AV950</f>
        <v>5</v>
      </c>
      <c r="AD950" s="50" t="n">
        <f aca="false">MAX(AV950,H950)</f>
        <v>9</v>
      </c>
      <c r="AE950" s="57"/>
      <c r="AF950" s="50" t="n">
        <f aca="false">IF(LEFT(Cockpit!$C$5,1)="A",H950,IF(Parameter!$E$30="MAX-Bestand",IF(CH950=1,CI950,IF(LEFT(Cockpit!$C$5,1)="B",AL950,MAX(AL950,H950))),ROUNDUP(AJ950,0)))</f>
        <v>9</v>
      </c>
      <c r="AG950" s="50" t="n">
        <f aca="false">IF(BZ950=1,0,ROUNDUP(AF950/BY950,0))</f>
        <v>1</v>
      </c>
      <c r="AH950" s="52" t="n">
        <f aca="false">IF(CQ950&gt;0,CQ950*MAX(1,AF950/X950),IF(BZ950=1,IF(AF950&lt;=0,0,CD950*MAX(1,IF(H950&gt;0,AF950/H950,1))),IF(R950&gt;0,AG950/R950,0))/MAX(0.1,N(Parameter!$M$21)))</f>
        <v>0.0384615384615385</v>
      </c>
      <c r="AI950" s="50" t="n">
        <f aca="false">AH950*CB950</f>
        <v>9.42307692307692</v>
      </c>
      <c r="AJ950" s="51" t="n">
        <f aca="false">IF(LEFT(Cockpit!$C$5,1)="A",H950,IF(CH950=1,(CK950+CI950)/2,IF(LEFT(Cockpit!$C$5,1)="B",(CK950+AL950)/2,MAX((CK950+AL950)/2,H950))))</f>
        <v>9</v>
      </c>
      <c r="AK950" s="50" t="n">
        <f aca="false">AJ950*G950</f>
        <v>522.63</v>
      </c>
      <c r="AL950" s="50" t="n">
        <f aca="false">ROUNDUP(CK950+MAX(CL950,2*(J950/IF(CG950&gt;0,CG950,MAX(0.1,N(Cockpit!$C$6)))-CK950)),0)</f>
        <v>5</v>
      </c>
      <c r="AM950" s="51" t="n">
        <f aca="false">IF(AI950&gt;0,J950/AI950,-1)</f>
        <v>0.742857142857143</v>
      </c>
      <c r="AN950" s="51" t="n">
        <f aca="false">IF(AND(OR(CF950="L1",CF950="L23",CF950="LIFT"),AI950&gt;0),SUMIFS($AI$7:$AI$1843,$CF$7:$CF$1843,CF950,$AM$7:$AM$1843,"&gt;"&amp;AM950)+SUMIFS($AI$7:$AI$1843,$CF$7:$CF$1843,CF950,$AM$7:$AM$1843,AM950,$BW$7:$BW$1843,"&lt;="&amp;BW950),"")</f>
        <v>8388.9967948718</v>
      </c>
      <c r="AO950" s="58" t="n">
        <f aca="false">IF(AN950="",0,MAX(0,MIN(1,(IF(CF950="L1",Parameter!$H$5,IF(CF950="L23",Parameter!$H$6+Parameter!$H$7,Parameter!$H$5+Parameter!$H$6+Parameter!$H$7))-(AN950-AI950))/AI950)))</f>
        <v>1</v>
      </c>
      <c r="AP950" s="50" t="n">
        <f aca="false">IF(LEFT(Cockpit!$I$5,1)="A",H950,IF(Parameter!$E$30="MAX-Bestand",IF(CH950=1,CI950,IF(LEFT(Cockpit!$I$5,1)="B",AV950,MAX(AV950,H950))),ROUNDUP(AT950,0)))</f>
        <v>9</v>
      </c>
      <c r="AQ950" s="50" t="n">
        <f aca="false">IF(BZ950=1,0,ROUNDUP(AP950/BY950,0))</f>
        <v>1</v>
      </c>
      <c r="AR950" s="52" t="n">
        <f aca="false">IF(CQ950&gt;0,CQ950*MAX(1,AP950/X950),IF(BZ950=1,IF(AP950&lt;=0,0,CD950*MAX(1,IF(H950&gt;0,AP950/H950,1))),IF(R950&gt;0,AQ950/R950,0))/MAX(0.1,N(Parameter!$M$21)))</f>
        <v>0.0384615384615385</v>
      </c>
      <c r="AS950" s="50" t="n">
        <f aca="false">AR950*CB950</f>
        <v>9.42307692307692</v>
      </c>
      <c r="AT950" s="51" t="n">
        <f aca="false">IF(LEFT(Cockpit!$I$5,1)="A",H950,IF(CH950=1,(CK950+CI950)/2,IF(LEFT(Cockpit!$I$5,1)="B",(CK950+AV950)/2,MAX((CK950+AV950)/2,H950))))</f>
        <v>9</v>
      </c>
      <c r="AU950" s="50" t="n">
        <f aca="false">AT950*G950</f>
        <v>522.63</v>
      </c>
      <c r="AV950" s="50" t="n">
        <f aca="false">ROUNDUP(CK950+MAX(CL950,2*(J950/IF(CG950&gt;0,CG950,MAX(0.1,N(Cockpit!$I$6)))-CK950)),0)</f>
        <v>5</v>
      </c>
      <c r="AW950" s="51" t="n">
        <f aca="false">IF(AS950&gt;0,J950/AS950,-1)</f>
        <v>0.742857142857143</v>
      </c>
      <c r="AX950" s="51" t="n">
        <f aca="false">IF(AND(OR(CF950="L1",CF950="L23",CF950="LIFT"),AS950&gt;0),SUMIFS($AS$7:$AS$1843,$CF$7:$CF$1843,CF950,$AW$7:$AW$1843,"&gt;"&amp;AW950)+SUMIFS($AS$7:$AS$1843,$CF$7:$CF$1843,CF950,$AW$7:$AW$1843,AW950,$BW$7:$BW$1843,"&lt;="&amp;BW950),"")</f>
        <v>10648.565018315</v>
      </c>
      <c r="AY950" s="58" t="n">
        <f aca="false">IF(AX950="",0,MAX(0,MIN(1,(IF(CF950="L1",Parameter!$H$5,IF(CF950="L23",Parameter!$H$6+Parameter!$H$7,Parameter!$H$5+Parameter!$H$6+Parameter!$H$7))-(AX950-AS950))/AS950)))</f>
        <v>1</v>
      </c>
      <c r="AZ950" s="50" t="n">
        <f aca="false">IF(LEFT(Cockpit!$O$5,1)="A",H950,IF(Parameter!$E$30="MAX-Bestand",IF(CH950=1,CI950,IF(LEFT(Cockpit!$O$5,1)="B",BF950,MAX(BF950,H950))),ROUNDUP(BD950,0)))</f>
        <v>3</v>
      </c>
      <c r="BA950" s="50" t="n">
        <f aca="false">IF(BZ950=1,0,ROUNDUP(AZ950/BY950,0))</f>
        <v>1</v>
      </c>
      <c r="BB950" s="52" t="n">
        <f aca="false">IF(CQ950&gt;0,CQ950*MAX(1,AZ950/X950),IF(BZ950=1,IF(AZ950&lt;=0,0,CD950*MAX(1,IF(H950&gt;0,AZ950/H950,1))),IF(R950&gt;0,BA950/R950,0))/MAX(0.1,N(Parameter!$M$21)))</f>
        <v>0.0384615384615385</v>
      </c>
      <c r="BC950" s="50" t="n">
        <f aca="false">BB950*CB950</f>
        <v>9.42307692307692</v>
      </c>
      <c r="BD950" s="51" t="n">
        <f aca="false">IF(LEFT(Cockpit!$O$5,1)="A",H950,IF(CH950=1,(CK950+CI950)/2,IF(LEFT(Cockpit!$O$5,1)="B",(CK950+BF950)/2,MAX((CK950+BF950)/2,H950))))</f>
        <v>2.5</v>
      </c>
      <c r="BE950" s="50" t="n">
        <f aca="false">BD950*G950</f>
        <v>145.175</v>
      </c>
      <c r="BF950" s="50" t="n">
        <f aca="false">ROUNDUP(CK950+MAX(CL950,2*(J950/IF(CG950&gt;0,CG950,MAX(0.1,N(Cockpit!$O$6)))-CK950)),0)</f>
        <v>5</v>
      </c>
      <c r="BG950" s="51" t="n">
        <f aca="false">IF(BC950&gt;0,J950/BC950,-1)</f>
        <v>0.742857142857143</v>
      </c>
      <c r="BH950" s="51" t="n">
        <f aca="false">IF(AND(OR(CF950="L1",CF950="L23",CF950="LIFT"),BC950&gt;0),SUMIFS($BC$7:$BC$1843,$CF$7:$CF$1843,CF950,$BG$7:$BG$1843,"&gt;"&amp;BG950)+SUMIFS($BC$7:$BC$1843,$CF$7:$CF$1843,CF950,$BG$7:$BG$1843,BG950,$BW$7:$BW$1843,"&lt;="&amp;BW950),"")</f>
        <v>9111.94917582418</v>
      </c>
      <c r="BI950" s="58" t="n">
        <f aca="false">IF(BH950="",0,MAX(0,MIN(1,(IF(CF950="L1",Parameter!$H$5,IF(CF950="L23",Parameter!$H$6+Parameter!$H$7,Parameter!$H$5+Parameter!$H$6+Parameter!$H$7))-(BH950-BC950))/BC950)))</f>
        <v>1</v>
      </c>
      <c r="BJ950" s="48" t="str">
        <f aca="false">IF(AI950&lt;=0,"",IF(CF950="Aussen","Aussenlager",IF(CF950="-","Nicht im Lift",IF(AO950&gt;=1,"Lift",IF(AO950&lt;=0,"Aussenlager","teilweise")))))</f>
        <v>Lift</v>
      </c>
      <c r="BK950" s="48" t="str">
        <f aca="false">IF(AS950&lt;=0,"",IF(CF950="Aussen","Aussenlager",IF(CF950="-","Nicht im Lift",IF(AY950&gt;=1,"Lift",IF(AY950&lt;=0,"Aussenlager","teilweise")))))</f>
        <v>Lift</v>
      </c>
      <c r="BL950" s="48" t="str">
        <f aca="false">IF(BC950&lt;=0,"",IF(CF950="Aussen","Aussenlager",IF(CF950="-","Nicht im Lift",IF(BI950&gt;=1,"Lift",IF(BI950&lt;=0,"Aussenlager","teilweise")))))</f>
        <v>Lift</v>
      </c>
      <c r="BM950" s="48" t="str">
        <f aca="false">IF(A950="","",IF(BV950=1,"Neu; ","")&amp;IF(AND(BV950=0,BQ950&lt;0),"negativer Bestand (Export "&amp;BQ950&amp;"); ","")&amp;IF(J950&lt;=0,"Kein Verbrauch; ","")&amp;IF(CQ950&gt;0,"Lift "&amp;W950&amp;" lt. Liftbericht (Fach "&amp;X950&amp;" Stk); ",IF(CA950=1,"Gebinde geschätzt ("&amp;T950&amp;"); ",IF(BZ950=1,"Lose – Tablare geschätzt; ","")))&amp;IF(H950&gt;AV950,"Überbestand "&amp;ROUND(H950-AV950,0)&amp;" Stk / CHF "&amp;ROUND((H950-AV950)*G950,0)&amp;"; ","")&amp;IF(AND(CH950=1,CI950&lt;CJ950),"MAX &lt; MB+LG; ","")&amp;IF(AND(CP950&gt;0,CO950*10&gt;CP950),"zu hoch für Tablar; ","")&amp;IF(AND(BV950=0,OR(CH950=1,AA950&lt;&gt;"",U950&lt;&gt;"",V950&lt;&gt;"",AB950&lt;&gt;"")),"manuell übersteuert; ","")&amp;IF(AND(BZ950=0,R950=0),"Gebinde unbekannt / Stellmass fehlt; ","")&amp;IF(AND(BZ950=0,N(V950)&lt;=0,N(Q950)&lt;=0),"Menge pro Gebinde fehlt (Ist = 1 Gebinde); ","")&amp;BU950)</f>
        <v>negativer Bestand (Export -1); Überbestand 4 Stk / CHF 232; </v>
      </c>
      <c r="BN950" s="48"/>
      <c r="BO950" s="48"/>
      <c r="BP950" s="55"/>
      <c r="BQ950" s="50" t="n">
        <v>-1</v>
      </c>
      <c r="BR950" s="50" t="n">
        <v>10</v>
      </c>
      <c r="BS950" s="49" t="n">
        <v>-59.4699999999999</v>
      </c>
      <c r="BT950" s="50" t="n">
        <v>7</v>
      </c>
      <c r="BU950" s="48"/>
      <c r="BV950" s="53" t="n">
        <v>0</v>
      </c>
      <c r="BW950" s="53" t="n">
        <v>950</v>
      </c>
      <c r="BX950" s="48" t="str">
        <f aca="false">IF(U950&lt;&gt;"",UPPER(TRIM(U950)),IF(CA950=1,UPPER(VLOOKUP(T950,Parameter!$I$27:$K$29,2,0)),IF(P950="","LOSE",P950)))</f>
        <v>S52</v>
      </c>
      <c r="BY950" s="50" t="n">
        <f aca="false">IF(BX950="LOSE",1,IF(N(V950)&gt;0,V950,IF(CA950=1,MAX(1,N(VLOOKUP(T950,Parameter!$I$27:$K$29,3,0)),H950,N(N950)),IF(N(Q950)&gt;0,Q950,MAX(1,H950)))))</f>
        <v>21</v>
      </c>
      <c r="BZ950" s="53" t="n">
        <f aca="false">IF(BX950="LOSE",1,0)</f>
        <v>0</v>
      </c>
      <c r="CA950" s="53" t="n">
        <f aca="false">IF(AND(U950="",OR(P950="",P950="LOSE"),T950&lt;&gt;"",N(S950)&lt;=0,ISNUMBER(MATCH(T950,Parameter!$I$27:$I$29,0))),1,0)</f>
        <v>0</v>
      </c>
      <c r="CB950" s="53" t="n">
        <f aca="false">IF(CQ950&gt;0,INDEX(Parameter!$H$5:$H$7,W950)/INDEX(Parameter!$E$5:$E$7,W950),IF(AND(BZ950=0,N(IFERROR(VLOOKUP(BX950,'Gebinde-Kategorie'!$A$5:$N$45,14,0),0))&gt;0),VLOOKUP(BX950,'Gebinde-Kategorie'!$A$5:$N$45,14,0)*10+Parameter!$M$23,Parameter!$M$24))</f>
        <v>245</v>
      </c>
      <c r="CC950" s="48" t="str">
        <f aca="false">IF(AND(Parameter!$B$19="Ja",E950&lt;&gt;"",ISNUMBER(MATCH(E950,Parameter!$I$35:$I$52,0))),VLOOKUP(E950,Parameter!$I$35:$J$52,2,0),IFERROR(VLOOKUP(D950,Parameter!$A$35:$C$64,2,0),"Nein"))</f>
        <v>2+3</v>
      </c>
      <c r="CD950" s="52" t="n">
        <f aca="false">IF(BZ950=0,0,IF(N(S950)&gt;0,S950,IFERROR(VLOOKUP(D950,Parameter!$A$35:$C$64,3,0)+0,0)))</f>
        <v>0</v>
      </c>
      <c r="CE950" s="48" t="n">
        <f aca="false">IF(AA950&lt;&gt;"",AA950,Z950)</f>
        <v>3</v>
      </c>
      <c r="CF950" s="48" t="str">
        <f aca="false">IF(OR(CE950=1,CE950=2,CE950=3),IF(Parameter!$E$27="Ja","LIFT",IF(CE950=1,"L1","L23")),IF(CE950="Aussen","Aussen","-"))</f>
        <v>LIFT</v>
      </c>
      <c r="CG950" s="59" t="n">
        <f aca="false">IF(N(AB950)&gt;0,AB950,0)</f>
        <v>0</v>
      </c>
      <c r="CH950" s="53" t="n">
        <f aca="false">IF(ISNUMBER(AE950),1,0)</f>
        <v>0</v>
      </c>
      <c r="CI950" s="50" t="n">
        <f aca="false">N(AE950)</f>
        <v>0</v>
      </c>
      <c r="CJ950" s="50" t="n">
        <f aca="false">N(M950)+N(N950)</f>
        <v>5</v>
      </c>
      <c r="CK950" s="50" t="n">
        <f aca="false">N(M950)</f>
        <v>0</v>
      </c>
      <c r="CL950" s="50" t="n">
        <f aca="false">N(N950)</f>
        <v>5</v>
      </c>
      <c r="CM950" s="50" t="n">
        <f aca="false">ROUNDUP(H950/BY950,0)</f>
        <v>1</v>
      </c>
      <c r="CN950" s="50" t="n">
        <f aca="false">ROUNDUP(CI950/BY950,0)</f>
        <v>0</v>
      </c>
      <c r="CO950" s="53" t="n">
        <f aca="false">IF(BZ950=1,0,IFERROR(VLOOKUP(BX950,'Gebinde-Kategorie'!$A$5:$N$45,5,0)+0,0))</f>
        <v>21</v>
      </c>
      <c r="CP950" s="53" t="n">
        <f aca="false">IFERROR(IF(OR(CE950=1,CE950=2,CE950=3),N(INDEX(Parameter!$I$5:$I$7,CE950)),0),0)</f>
        <v>0</v>
      </c>
      <c r="CQ950" s="52" t="n">
        <f aca="false">IF(AND(Parameter!$B$21="Ja",ISNUMBER(W950),N(X950)&gt;0),IFERROR(N(INDEX(Parameter!$L$5:$L$7,W950))*INDEX(Parameter!$E$5:$E$7,W950)*X950/SUMIFS($X$7:$X$1843,$W$7:$W$1843,W950),0),0)</f>
        <v>0</v>
      </c>
    </row>
    <row r="951" customFormat="false" ht="15" hidden="false" customHeight="false" outlineLevel="0" collapsed="false">
      <c r="A951" s="48" t="s">
        <v>1781</v>
      </c>
      <c r="B951" s="48" t="s">
        <v>1782</v>
      </c>
      <c r="C951" s="48" t="s">
        <v>173</v>
      </c>
      <c r="D951" s="48" t="s">
        <v>193</v>
      </c>
      <c r="E951" s="48"/>
      <c r="F951" s="48" t="s">
        <v>227</v>
      </c>
      <c r="G951" s="49" t="n">
        <v>19.99</v>
      </c>
      <c r="H951" s="50" t="n">
        <f aca="false">MAX(0,IF(AND(Parameter!$B$21="Ja",ISNUMBER(Y951)),Y951,IF(Parameter!$B$20="Jahresanfang 2025 + Export",BR951+BQ951,BQ951)))</f>
        <v>4</v>
      </c>
      <c r="I951" s="50" t="n">
        <f aca="false">H951*G951</f>
        <v>79.96</v>
      </c>
      <c r="J951" s="50" t="n">
        <f aca="false">BT951*Parameter!$B$18</f>
        <v>1</v>
      </c>
      <c r="K951" s="51" t="n">
        <v>6</v>
      </c>
      <c r="L951" s="52" t="n">
        <v>0.166666666666667</v>
      </c>
      <c r="M951" s="50" t="n">
        <v>0</v>
      </c>
      <c r="N951" s="50" t="n">
        <v>1</v>
      </c>
      <c r="O951" s="53" t="n">
        <v>35</v>
      </c>
      <c r="P951" s="48" t="s">
        <v>435</v>
      </c>
      <c r="Q951" s="50" t="n">
        <v>5</v>
      </c>
      <c r="R951" s="53" t="n">
        <f aca="false">IF(BZ951=1,0,IFERROR(VLOOKUP(BX951,'Gebinde-Kategorie'!$A$5:$N$45,13,0)+0,0))</f>
        <v>140</v>
      </c>
      <c r="S951" s="54"/>
      <c r="T951" s="55"/>
      <c r="U951" s="55"/>
      <c r="V951" s="55"/>
      <c r="W951" s="48"/>
      <c r="X951" s="50"/>
      <c r="Y951" s="50"/>
      <c r="Z951" s="48" t="n">
        <f aca="false">IF(A951="","",IF(AND(Parameter!$B$21="Ja",ISNUMBER(W951)),W951,IF(CC951="2+3",IF(ISNUMBER(SEARCH("grosser Artikel",BU951)),2,IFERROR(VLOOKUP(BX951,Parameter!$F$35:$G$64,2,0),2)),IF(OR(CC951="Nein",CC951=""),"-",CC951))))</f>
        <v>3</v>
      </c>
      <c r="AA951" s="55"/>
      <c r="AB951" s="56"/>
      <c r="AC951" s="50" t="n">
        <f aca="false">AV951</f>
        <v>1</v>
      </c>
      <c r="AD951" s="50" t="n">
        <f aca="false">MAX(AV951,H951)</f>
        <v>4</v>
      </c>
      <c r="AE951" s="57"/>
      <c r="AF951" s="50" t="n">
        <f aca="false">IF(LEFT(Cockpit!$C$5,1)="A",H951,IF(Parameter!$E$30="MAX-Bestand",IF(CH951=1,CI951,IF(LEFT(Cockpit!$C$5,1)="B",AL951,MAX(AL951,H951))),ROUNDUP(AJ951,0)))</f>
        <v>4</v>
      </c>
      <c r="AG951" s="50" t="n">
        <f aca="false">IF(BZ951=1,0,ROUNDUP(AF951/BY951,0))</f>
        <v>1</v>
      </c>
      <c r="AH951" s="52" t="n">
        <f aca="false">IF(CQ951&gt;0,CQ951*MAX(1,AF951/X951),IF(BZ951=1,IF(AF951&lt;=0,0,CD951*MAX(1,IF(H951&gt;0,AF951/H951,1))),IF(R951&gt;0,AG951/R951,0))/MAX(0.1,N(Parameter!$M$21)))</f>
        <v>0.00714285714285714</v>
      </c>
      <c r="AI951" s="50" t="n">
        <f aca="false">AH951*CB951</f>
        <v>1.10714285714286</v>
      </c>
      <c r="AJ951" s="51" t="n">
        <f aca="false">IF(LEFT(Cockpit!$C$5,1)="A",H951,IF(CH951=1,(CK951+CI951)/2,IF(LEFT(Cockpit!$C$5,1)="B",(CK951+AL951)/2,MAX((CK951+AL951)/2,H951))))</f>
        <v>4</v>
      </c>
      <c r="AK951" s="50" t="n">
        <f aca="false">AJ951*G951</f>
        <v>79.96</v>
      </c>
      <c r="AL951" s="50" t="n">
        <f aca="false">ROUNDUP(CK951+MAX(CL951,2*(J951/IF(CG951&gt;0,CG951,MAX(0.1,N(Cockpit!$C$6)))-CK951)),0)</f>
        <v>1</v>
      </c>
      <c r="AM951" s="51" t="n">
        <f aca="false">IF(AI951&gt;0,J951/AI951,-1)</f>
        <v>0.903225806451613</v>
      </c>
      <c r="AN951" s="51" t="n">
        <f aca="false">IF(AND(OR(CF951="L1",CF951="L23",CF951="LIFT"),AI951&gt;0),SUMIFS($AI$7:$AI$1843,$CF$7:$CF$1843,CF951,$AM$7:$AM$1843,"&gt;"&amp;AM951)+SUMIFS($AI$7:$AI$1843,$CF$7:$CF$1843,CF951,$AM$7:$AM$1843,AM951,$BW$7:$BW$1843,"&lt;="&amp;BW951),"")</f>
        <v>7621.06272893773</v>
      </c>
      <c r="AO951" s="58" t="n">
        <f aca="false">IF(AN951="",0,MAX(0,MIN(1,(IF(CF951="L1",Parameter!$H$5,IF(CF951="L23",Parameter!$H$6+Parameter!$H$7,Parameter!$H$5+Parameter!$H$6+Parameter!$H$7))-(AN951-AI951))/AI951)))</f>
        <v>1</v>
      </c>
      <c r="AP951" s="50" t="n">
        <f aca="false">IF(LEFT(Cockpit!$I$5,1)="A",H951,IF(Parameter!$E$30="MAX-Bestand",IF(CH951=1,CI951,IF(LEFT(Cockpit!$I$5,1)="B",AV951,MAX(AV951,H951))),ROUNDUP(AT951,0)))</f>
        <v>4</v>
      </c>
      <c r="AQ951" s="50" t="n">
        <f aca="false">IF(BZ951=1,0,ROUNDUP(AP951/BY951,0))</f>
        <v>1</v>
      </c>
      <c r="AR951" s="52" t="n">
        <f aca="false">IF(CQ951&gt;0,CQ951*MAX(1,AP951/X951),IF(BZ951=1,IF(AP951&lt;=0,0,CD951*MAX(1,IF(H951&gt;0,AP951/H951,1))),IF(R951&gt;0,AQ951/R951,0))/MAX(0.1,N(Parameter!$M$21)))</f>
        <v>0.00714285714285714</v>
      </c>
      <c r="AS951" s="50" t="n">
        <f aca="false">AR951*CB951</f>
        <v>1.10714285714286</v>
      </c>
      <c r="AT951" s="51" t="n">
        <f aca="false">IF(LEFT(Cockpit!$I$5,1)="A",H951,IF(CH951=1,(CK951+CI951)/2,IF(LEFT(Cockpit!$I$5,1)="B",(CK951+AV951)/2,MAX((CK951+AV951)/2,H951))))</f>
        <v>4</v>
      </c>
      <c r="AU951" s="50" t="n">
        <f aca="false">AT951*G951</f>
        <v>79.96</v>
      </c>
      <c r="AV951" s="50" t="n">
        <f aca="false">ROUNDUP(CK951+MAX(CL951,2*(J951/IF(CG951&gt;0,CG951,MAX(0.1,N(Cockpit!$I$6)))-CK951)),0)</f>
        <v>1</v>
      </c>
      <c r="AW951" s="51" t="n">
        <f aca="false">IF(AS951&gt;0,J951/AS951,-1)</f>
        <v>0.903225806451613</v>
      </c>
      <c r="AX951" s="51" t="n">
        <f aca="false">IF(AND(OR(CF951="L1",CF951="L23",CF951="LIFT"),AS951&gt;0),SUMIFS($AS$7:$AS$1843,$CF$7:$CF$1843,CF951,$AW$7:$AW$1843,"&gt;"&amp;AW951)+SUMIFS($AS$7:$AS$1843,$CF$7:$CF$1843,CF951,$AW$7:$AW$1843,AW951,$BW$7:$BW$1843,"&lt;="&amp;BW951),"")</f>
        <v>9195.50274725275</v>
      </c>
      <c r="AY951" s="58" t="n">
        <f aca="false">IF(AX951="",0,MAX(0,MIN(1,(IF(CF951="L1",Parameter!$H$5,IF(CF951="L23",Parameter!$H$6+Parameter!$H$7,Parameter!$H$5+Parameter!$H$6+Parameter!$H$7))-(AX951-AS951))/AS951)))</f>
        <v>1</v>
      </c>
      <c r="AZ951" s="50" t="n">
        <f aca="false">IF(LEFT(Cockpit!$O$5,1)="A",H951,IF(Parameter!$E$30="MAX-Bestand",IF(CH951=1,CI951,IF(LEFT(Cockpit!$O$5,1)="B",BF951,MAX(BF951,H951))),ROUNDUP(BD951,0)))</f>
        <v>1</v>
      </c>
      <c r="BA951" s="50" t="n">
        <f aca="false">IF(BZ951=1,0,ROUNDUP(AZ951/BY951,0))</f>
        <v>1</v>
      </c>
      <c r="BB951" s="52" t="n">
        <f aca="false">IF(CQ951&gt;0,CQ951*MAX(1,AZ951/X951),IF(BZ951=1,IF(AZ951&lt;=0,0,CD951*MAX(1,IF(H951&gt;0,AZ951/H951,1))),IF(R951&gt;0,BA951/R951,0))/MAX(0.1,N(Parameter!$M$21)))</f>
        <v>0.00714285714285714</v>
      </c>
      <c r="BC951" s="50" t="n">
        <f aca="false">BB951*CB951</f>
        <v>1.10714285714286</v>
      </c>
      <c r="BD951" s="51" t="n">
        <f aca="false">IF(LEFT(Cockpit!$O$5,1)="A",H951,IF(CH951=1,(CK951+CI951)/2,IF(LEFT(Cockpit!$O$5,1)="B",(CK951+BF951)/2,MAX((CK951+BF951)/2,H951))))</f>
        <v>0.5</v>
      </c>
      <c r="BE951" s="50" t="n">
        <f aca="false">BD951*G951</f>
        <v>9.995</v>
      </c>
      <c r="BF951" s="50" t="n">
        <f aca="false">ROUNDUP(CK951+MAX(CL951,2*(J951/IF(CG951&gt;0,CG951,MAX(0.1,N(Cockpit!$O$6)))-CK951)),0)</f>
        <v>1</v>
      </c>
      <c r="BG951" s="51" t="n">
        <f aca="false">IF(BC951&gt;0,J951/BC951,-1)</f>
        <v>0.903225806451613</v>
      </c>
      <c r="BH951" s="51" t="n">
        <f aca="false">IF(AND(OR(CF951="L1",CF951="L23",CF951="LIFT"),BC951&gt;0),SUMIFS($BC$7:$BC$1843,$CF$7:$CF$1843,CF951,$BG$7:$BG$1843,"&gt;"&amp;BG951)+SUMIFS($BC$7:$BC$1843,$CF$7:$CF$1843,CF951,$BG$7:$BG$1843,BG951,$BW$7:$BW$1843,"&lt;="&amp;BW951),"")</f>
        <v>8247.82921245421</v>
      </c>
      <c r="BI951" s="58" t="n">
        <f aca="false">IF(BH951="",0,MAX(0,MIN(1,(IF(CF951="L1",Parameter!$H$5,IF(CF951="L23",Parameter!$H$6+Parameter!$H$7,Parameter!$H$5+Parameter!$H$6+Parameter!$H$7))-(BH951-BC951))/BC951)))</f>
        <v>1</v>
      </c>
      <c r="BJ951" s="48" t="str">
        <f aca="false">IF(AI951&lt;=0,"",IF(CF951="Aussen","Aussenlager",IF(CF951="-","Nicht im Lift",IF(AO951&gt;=1,"Lift",IF(AO951&lt;=0,"Aussenlager","teilweise")))))</f>
        <v>Lift</v>
      </c>
      <c r="BK951" s="48" t="str">
        <f aca="false">IF(AS951&lt;=0,"",IF(CF951="Aussen","Aussenlager",IF(CF951="-","Nicht im Lift",IF(AY951&gt;=1,"Lift",IF(AY951&lt;=0,"Aussenlager","teilweise")))))</f>
        <v>Lift</v>
      </c>
      <c r="BL951" s="48" t="str">
        <f aca="false">IF(BC951&lt;=0,"",IF(CF951="Aussen","Aussenlager",IF(CF951="-","Nicht im Lift",IF(BI951&gt;=1,"Lift",IF(BI951&lt;=0,"Aussenlager","teilweise")))))</f>
        <v>Lift</v>
      </c>
      <c r="BM951" s="48" t="str">
        <f aca="false">IF(A951="","",IF(BV951=1,"Neu; ","")&amp;IF(AND(BV951=0,BQ951&lt;0),"negativer Bestand (Export "&amp;BQ951&amp;"); ","")&amp;IF(J951&lt;=0,"Kein Verbrauch; ","")&amp;IF(CQ951&gt;0,"Lift "&amp;W951&amp;" lt. Liftbericht (Fach "&amp;X951&amp;" Stk); ",IF(CA951=1,"Gebinde geschätzt ("&amp;T951&amp;"); ",IF(BZ951=1,"Lose – Tablare geschätzt; ","")))&amp;IF(H951&gt;AV951,"Überbestand "&amp;ROUND(H951-AV951,0)&amp;" Stk / CHF "&amp;ROUND((H951-AV951)*G951,0)&amp;"; ","")&amp;IF(AND(CH951=1,CI951&lt;CJ951),"MAX &lt; MB+LG; ","")&amp;IF(AND(CP951&gt;0,CO951*10&gt;CP951),"zu hoch für Tablar; ","")&amp;IF(AND(BV951=0,OR(CH951=1,AA951&lt;&gt;"",U951&lt;&gt;"",V951&lt;&gt;"",AB951&lt;&gt;"")),"manuell übersteuert; ","")&amp;IF(AND(BZ951=0,R951=0),"Gebinde unbekannt / Stellmass fehlt; ","")&amp;IF(AND(BZ951=0,N(V951)&lt;=0,N(Q951)&lt;=0),"Menge pro Gebinde fehlt (Ist = 1 Gebinde); ","")&amp;BU951)</f>
        <v>negativer Bestand (Export -3); Überbestand 3 Stk / CHF 60; Neuer Art.</v>
      </c>
      <c r="BN951" s="48"/>
      <c r="BO951" s="48"/>
      <c r="BP951" s="55"/>
      <c r="BQ951" s="50" t="n">
        <v>-3</v>
      </c>
      <c r="BR951" s="50" t="n">
        <v>7</v>
      </c>
      <c r="BS951" s="49" t="n">
        <v>-59.97</v>
      </c>
      <c r="BT951" s="50" t="n">
        <v>1</v>
      </c>
      <c r="BU951" s="48" t="s">
        <v>521</v>
      </c>
      <c r="BV951" s="53" t="n">
        <v>0</v>
      </c>
      <c r="BW951" s="53" t="n">
        <v>951</v>
      </c>
      <c r="BX951" s="48" t="str">
        <f aca="false">IF(U951&lt;&gt;"",UPPER(TRIM(U951)),IF(CA951=1,UPPER(VLOOKUP(T951,Parameter!$I$27:$K$29,2,0)),IF(P951="","LOSE",P951)))</f>
        <v>S22</v>
      </c>
      <c r="BY951" s="50" t="n">
        <f aca="false">IF(BX951="LOSE",1,IF(N(V951)&gt;0,V951,IF(CA951=1,MAX(1,N(VLOOKUP(T951,Parameter!$I$27:$K$29,3,0)),H951,N(N951)),IF(N(Q951)&gt;0,Q951,MAX(1,H951)))))</f>
        <v>5</v>
      </c>
      <c r="BZ951" s="53" t="n">
        <f aca="false">IF(BX951="LOSE",1,0)</f>
        <v>0</v>
      </c>
      <c r="CA951" s="53" t="n">
        <f aca="false">IF(AND(U951="",OR(P951="",P951="LOSE"),T951&lt;&gt;"",N(S951)&lt;=0,ISNUMBER(MATCH(T951,Parameter!$I$27:$I$29,0))),1,0)</f>
        <v>0</v>
      </c>
      <c r="CB951" s="53" t="n">
        <f aca="false">IF(CQ951&gt;0,INDEX(Parameter!$H$5:$H$7,W951)/INDEX(Parameter!$E$5:$E$7,W951),IF(AND(BZ951=0,N(IFERROR(VLOOKUP(BX951,'Gebinde-Kategorie'!$A$5:$N$45,14,0),0))&gt;0),VLOOKUP(BX951,'Gebinde-Kategorie'!$A$5:$N$45,14,0)*10+Parameter!$M$23,Parameter!$M$24))</f>
        <v>155</v>
      </c>
      <c r="CC951" s="48" t="str">
        <f aca="false">IF(AND(Parameter!$B$19="Ja",E951&lt;&gt;"",ISNUMBER(MATCH(E951,Parameter!$I$35:$I$52,0))),VLOOKUP(E951,Parameter!$I$35:$J$52,2,0),IFERROR(VLOOKUP(D951,Parameter!$A$35:$C$64,2,0),"Nein"))</f>
        <v>2+3</v>
      </c>
      <c r="CD951" s="52" t="n">
        <f aca="false">IF(BZ951=0,0,IF(N(S951)&gt;0,S951,IFERROR(VLOOKUP(D951,Parameter!$A$35:$C$64,3,0)+0,0)))</f>
        <v>0</v>
      </c>
      <c r="CE951" s="48" t="n">
        <f aca="false">IF(AA951&lt;&gt;"",AA951,Z951)</f>
        <v>3</v>
      </c>
      <c r="CF951" s="48" t="str">
        <f aca="false">IF(OR(CE951=1,CE951=2,CE951=3),IF(Parameter!$E$27="Ja","LIFT",IF(CE951=1,"L1","L23")),IF(CE951="Aussen","Aussen","-"))</f>
        <v>LIFT</v>
      </c>
      <c r="CG951" s="59" t="n">
        <f aca="false">IF(N(AB951)&gt;0,AB951,0)</f>
        <v>0</v>
      </c>
      <c r="CH951" s="53" t="n">
        <f aca="false">IF(ISNUMBER(AE951),1,0)</f>
        <v>0</v>
      </c>
      <c r="CI951" s="50" t="n">
        <f aca="false">N(AE951)</f>
        <v>0</v>
      </c>
      <c r="CJ951" s="50" t="n">
        <f aca="false">N(M951)+N(N951)</f>
        <v>1</v>
      </c>
      <c r="CK951" s="50" t="n">
        <f aca="false">N(M951)</f>
        <v>0</v>
      </c>
      <c r="CL951" s="50" t="n">
        <f aca="false">N(N951)</f>
        <v>1</v>
      </c>
      <c r="CM951" s="50" t="n">
        <f aca="false">ROUNDUP(H951/BY951,0)</f>
        <v>1</v>
      </c>
      <c r="CN951" s="50" t="n">
        <f aca="false">ROUNDUP(CI951/BY951,0)</f>
        <v>0</v>
      </c>
      <c r="CO951" s="53" t="n">
        <f aca="false">IF(BZ951=1,0,IFERROR(VLOOKUP(BX951,'Gebinde-Kategorie'!$A$5:$N$45,5,0)+0,0))</f>
        <v>8</v>
      </c>
      <c r="CP951" s="53" t="n">
        <f aca="false">IFERROR(IF(OR(CE951=1,CE951=2,CE951=3),N(INDEX(Parameter!$I$5:$I$7,CE951)),0),0)</f>
        <v>0</v>
      </c>
      <c r="CQ951" s="52" t="n">
        <f aca="false">IF(AND(Parameter!$B$21="Ja",ISNUMBER(W951),N(X951)&gt;0),IFERROR(N(INDEX(Parameter!$L$5:$L$7,W951))*INDEX(Parameter!$E$5:$E$7,W951)*X951/SUMIFS($X$7:$X$1843,$W$7:$W$1843,W951),0),0)</f>
        <v>0</v>
      </c>
    </row>
    <row r="952" customFormat="false" ht="15" hidden="false" customHeight="false" outlineLevel="0" collapsed="false">
      <c r="A952" s="48" t="s">
        <v>1783</v>
      </c>
      <c r="B952" s="48" t="s">
        <v>1784</v>
      </c>
      <c r="C952" s="48" t="s">
        <v>173</v>
      </c>
      <c r="D952" s="48" t="s">
        <v>193</v>
      </c>
      <c r="E952" s="48" t="s">
        <v>194</v>
      </c>
      <c r="F952" s="48" t="s">
        <v>227</v>
      </c>
      <c r="G952" s="49" t="n">
        <v>12.28</v>
      </c>
      <c r="H952" s="50" t="n">
        <f aca="false">MAX(0,IF(AND(Parameter!$B$21="Ja",ISNUMBER(Y952)),Y952,IF(Parameter!$B$20="Jahresanfang 2025 + Export",BR952+BQ952,BQ952)))</f>
        <v>0</v>
      </c>
      <c r="I952" s="50" t="n">
        <f aca="false">H952*G952</f>
        <v>0</v>
      </c>
      <c r="J952" s="50" t="n">
        <f aca="false">BT952*Parameter!$B$18</f>
        <v>4</v>
      </c>
      <c r="K952" s="51" t="n">
        <v>2.5</v>
      </c>
      <c r="L952" s="52" t="n">
        <v>1.6</v>
      </c>
      <c r="M952" s="50" t="n">
        <v>0</v>
      </c>
      <c r="N952" s="50" t="n">
        <v>5</v>
      </c>
      <c r="O952" s="53" t="n">
        <v>28</v>
      </c>
      <c r="P952" s="48" t="s">
        <v>485</v>
      </c>
      <c r="Q952" s="50" t="n">
        <v>6</v>
      </c>
      <c r="R952" s="53" t="n">
        <f aca="false">IF(BZ952=1,0,IFERROR(VLOOKUP(BX952,'Gebinde-Kategorie'!$A$5:$N$45,13,0)+0,0))</f>
        <v>52</v>
      </c>
      <c r="S952" s="54"/>
      <c r="T952" s="55"/>
      <c r="U952" s="55"/>
      <c r="V952" s="55"/>
      <c r="W952" s="48"/>
      <c r="X952" s="50"/>
      <c r="Y952" s="50"/>
      <c r="Z952" s="48" t="n">
        <f aca="false">IF(A952="","",IF(AND(Parameter!$B$21="Ja",ISNUMBER(W952)),W952,IF(CC952="2+3",IF(ISNUMBER(SEARCH("grosser Artikel",BU952)),2,IFERROR(VLOOKUP(BX952,Parameter!$F$35:$G$64,2,0),2)),IF(OR(CC952="Nein",CC952=""),"-",CC952))))</f>
        <v>3</v>
      </c>
      <c r="AA952" s="55"/>
      <c r="AB952" s="56"/>
      <c r="AC952" s="50" t="n">
        <f aca="false">AV952</f>
        <v>5</v>
      </c>
      <c r="AD952" s="50" t="n">
        <f aca="false">MAX(AV952,H952)</f>
        <v>5</v>
      </c>
      <c r="AE952" s="57"/>
      <c r="AF952" s="50" t="n">
        <f aca="false">IF(LEFT(Cockpit!$C$5,1)="A",H952,IF(Parameter!$E$30="MAX-Bestand",IF(CH952=1,CI952,IF(LEFT(Cockpit!$C$5,1)="B",AL952,MAX(AL952,H952))),ROUNDUP(AJ952,0)))</f>
        <v>0</v>
      </c>
      <c r="AG952" s="50" t="n">
        <f aca="false">IF(BZ952=1,0,ROUNDUP(AF952/BY952,0))</f>
        <v>0</v>
      </c>
      <c r="AH952" s="52" t="n">
        <f aca="false">IF(CQ952&gt;0,CQ952*MAX(1,AF952/X952),IF(BZ952=1,IF(AF952&lt;=0,0,CD952*MAX(1,IF(H952&gt;0,AF952/H952,1))),IF(R952&gt;0,AG952/R952,0))/MAX(0.1,N(Parameter!$M$21)))</f>
        <v>0</v>
      </c>
      <c r="AI952" s="50" t="n">
        <f aca="false">AH952*CB952</f>
        <v>0</v>
      </c>
      <c r="AJ952" s="51" t="n">
        <f aca="false">IF(LEFT(Cockpit!$C$5,1)="A",H952,IF(CH952=1,(CK952+CI952)/2,IF(LEFT(Cockpit!$C$5,1)="B",(CK952+AL952)/2,MAX((CK952+AL952)/2,H952))))</f>
        <v>0</v>
      </c>
      <c r="AK952" s="50" t="n">
        <f aca="false">AJ952*G952</f>
        <v>0</v>
      </c>
      <c r="AL952" s="50" t="n">
        <f aca="false">ROUNDUP(CK952+MAX(CL952,2*(J952/IF(CG952&gt;0,CG952,MAX(0.1,N(Cockpit!$C$6)))-CK952)),0)</f>
        <v>5</v>
      </c>
      <c r="AM952" s="51" t="n">
        <f aca="false">IF(AI952&gt;0,J952/AI952,-1)</f>
        <v>-1</v>
      </c>
      <c r="AN952" s="51" t="str">
        <f aca="false">IF(AND(OR(CF952="L1",CF952="L23",CF952="LIFT"),AI952&gt;0),SUMIFS($AI$7:$AI$1843,$CF$7:$CF$1843,CF952,$AM$7:$AM$1843,"&gt;"&amp;AM952)+SUMIFS($AI$7:$AI$1843,$CF$7:$CF$1843,CF952,$AM$7:$AM$1843,AM952,$BW$7:$BW$1843,"&lt;="&amp;BW952),"")</f>
        <v/>
      </c>
      <c r="AO952" s="58" t="n">
        <f aca="false">IF(AN952="",0,MAX(0,MIN(1,(IF(CF952="L1",Parameter!$H$5,IF(CF952="L23",Parameter!$H$6+Parameter!$H$7,Parameter!$H$5+Parameter!$H$6+Parameter!$H$7))-(AN952-AI952))/AI952)))</f>
        <v>0</v>
      </c>
      <c r="AP952" s="50" t="n">
        <f aca="false">IF(LEFT(Cockpit!$I$5,1)="A",H952,IF(Parameter!$E$30="MAX-Bestand",IF(CH952=1,CI952,IF(LEFT(Cockpit!$I$5,1)="B",AV952,MAX(AV952,H952))),ROUNDUP(AT952,0)))</f>
        <v>3</v>
      </c>
      <c r="AQ952" s="50" t="n">
        <f aca="false">IF(BZ952=1,0,ROUNDUP(AP952/BY952,0))</f>
        <v>1</v>
      </c>
      <c r="AR952" s="52" t="n">
        <f aca="false">IF(CQ952&gt;0,CQ952*MAX(1,AP952/X952),IF(BZ952=1,IF(AP952&lt;=0,0,CD952*MAX(1,IF(H952&gt;0,AP952/H952,1))),IF(R952&gt;0,AQ952/R952,0))/MAX(0.1,N(Parameter!$M$21)))</f>
        <v>0.0192307692307692</v>
      </c>
      <c r="AS952" s="50" t="n">
        <f aca="false">AR952*CB952</f>
        <v>2.98076923076923</v>
      </c>
      <c r="AT952" s="51" t="n">
        <f aca="false">IF(LEFT(Cockpit!$I$5,1)="A",H952,IF(CH952=1,(CK952+CI952)/2,IF(LEFT(Cockpit!$I$5,1)="B",(CK952+AV952)/2,MAX((CK952+AV952)/2,H952))))</f>
        <v>2.5</v>
      </c>
      <c r="AU952" s="50" t="n">
        <f aca="false">AT952*G952</f>
        <v>30.7</v>
      </c>
      <c r="AV952" s="50" t="n">
        <f aca="false">ROUNDUP(CK952+MAX(CL952,2*(J952/IF(CG952&gt;0,CG952,MAX(0.1,N(Cockpit!$I$6)))-CK952)),0)</f>
        <v>5</v>
      </c>
      <c r="AW952" s="51" t="n">
        <f aca="false">IF(AS952&gt;0,J952/AS952,-1)</f>
        <v>1.34193548387097</v>
      </c>
      <c r="AX952" s="51" t="n">
        <f aca="false">IF(AND(OR(CF952="L1",CF952="L23",CF952="LIFT"),AS952&gt;0),SUMIFS($AS$7:$AS$1843,$CF$7:$CF$1843,CF952,$AW$7:$AW$1843,"&gt;"&amp;AW952)+SUMIFS($AS$7:$AS$1843,$CF$7:$CF$1843,CF952,$AW$7:$AW$1843,AW952,$BW$7:$BW$1843,"&lt;="&amp;BW952),"")</f>
        <v>7870.23534798535</v>
      </c>
      <c r="AY952" s="58" t="n">
        <f aca="false">IF(AX952="",0,MAX(0,MIN(1,(IF(CF952="L1",Parameter!$H$5,IF(CF952="L23",Parameter!$H$6+Parameter!$H$7,Parameter!$H$5+Parameter!$H$6+Parameter!$H$7))-(AX952-AS952))/AS952)))</f>
        <v>1</v>
      </c>
      <c r="AZ952" s="50" t="n">
        <f aca="false">IF(LEFT(Cockpit!$O$5,1)="A",H952,IF(Parameter!$E$30="MAX-Bestand",IF(CH952=1,CI952,IF(LEFT(Cockpit!$O$5,1)="B",BF952,MAX(BF952,H952))),ROUNDUP(BD952,0)))</f>
        <v>3</v>
      </c>
      <c r="BA952" s="50" t="n">
        <f aca="false">IF(BZ952=1,0,ROUNDUP(AZ952/BY952,0))</f>
        <v>1</v>
      </c>
      <c r="BB952" s="52" t="n">
        <f aca="false">IF(CQ952&gt;0,CQ952*MAX(1,AZ952/X952),IF(BZ952=1,IF(AZ952&lt;=0,0,CD952*MAX(1,IF(H952&gt;0,AZ952/H952,1))),IF(R952&gt;0,BA952/R952,0))/MAX(0.1,N(Parameter!$M$21)))</f>
        <v>0.0192307692307692</v>
      </c>
      <c r="BC952" s="50" t="n">
        <f aca="false">BB952*CB952</f>
        <v>2.98076923076923</v>
      </c>
      <c r="BD952" s="51" t="n">
        <f aca="false">IF(LEFT(Cockpit!$O$5,1)="A",H952,IF(CH952=1,(CK952+CI952)/2,IF(LEFT(Cockpit!$O$5,1)="B",(CK952+BF952)/2,MAX((CK952+BF952)/2,H952))))</f>
        <v>2.5</v>
      </c>
      <c r="BE952" s="50" t="n">
        <f aca="false">BD952*G952</f>
        <v>30.7</v>
      </c>
      <c r="BF952" s="50" t="n">
        <f aca="false">ROUNDUP(CK952+MAX(CL952,2*(J952/IF(CG952&gt;0,CG952,MAX(0.1,N(Cockpit!$O$6)))-CK952)),0)</f>
        <v>5</v>
      </c>
      <c r="BG952" s="51" t="n">
        <f aca="false">IF(BC952&gt;0,J952/BC952,-1)</f>
        <v>1.34193548387097</v>
      </c>
      <c r="BH952" s="51" t="n">
        <f aca="false">IF(AND(OR(CF952="L1",CF952="L23",CF952="LIFT"),BC952&gt;0),SUMIFS($BC$7:$BC$1843,$CF$7:$CF$1843,CF952,$BG$7:$BG$1843,"&gt;"&amp;BG952)+SUMIFS($BC$7:$BC$1843,$CF$7:$CF$1843,CF952,$BG$7:$BG$1843,BG952,$BW$7:$BW$1843,"&lt;="&amp;BW952),"")</f>
        <v>6807.45100732601</v>
      </c>
      <c r="BI952" s="58" t="n">
        <f aca="false">IF(BH952="",0,MAX(0,MIN(1,(IF(CF952="L1",Parameter!$H$5,IF(CF952="L23",Parameter!$H$6+Parameter!$H$7,Parameter!$H$5+Parameter!$H$6+Parameter!$H$7))-(BH952-BC952))/BC952)))</f>
        <v>1</v>
      </c>
      <c r="BJ952" s="48" t="str">
        <f aca="false">IF(AI952&lt;=0,"",IF(CF952="Aussen","Aussenlager",IF(CF952="-","Nicht im Lift",IF(AO952&gt;=1,"Lift",IF(AO952&lt;=0,"Aussenlager","teilweise")))))</f>
        <v/>
      </c>
      <c r="BK952" s="48" t="str">
        <f aca="false">IF(AS952&lt;=0,"",IF(CF952="Aussen","Aussenlager",IF(CF952="-","Nicht im Lift",IF(AY952&gt;=1,"Lift",IF(AY952&lt;=0,"Aussenlager","teilweise")))))</f>
        <v>Lift</v>
      </c>
      <c r="BL952" s="48" t="str">
        <f aca="false">IF(BC952&lt;=0,"",IF(CF952="Aussen","Aussenlager",IF(CF952="-","Nicht im Lift",IF(BI952&gt;=1,"Lift",IF(BI952&lt;=0,"Aussenlager","teilweise")))))</f>
        <v>Lift</v>
      </c>
      <c r="BM952" s="48" t="str">
        <f aca="false">IF(A952="","",IF(BV952=1,"Neu; ","")&amp;IF(AND(BV952=0,BQ952&lt;0),"negativer Bestand (Export "&amp;BQ952&amp;"); ","")&amp;IF(J952&lt;=0,"Kein Verbrauch; ","")&amp;IF(CQ952&gt;0,"Lift "&amp;W952&amp;" lt. Liftbericht (Fach "&amp;X952&amp;" Stk); ",IF(CA952=1,"Gebinde geschätzt ("&amp;T952&amp;"); ",IF(BZ952=1,"Lose – Tablare geschätzt; ","")))&amp;IF(H952&gt;AV952,"Überbestand "&amp;ROUND(H952-AV952,0)&amp;" Stk / CHF "&amp;ROUND((H952-AV952)*G952,0)&amp;"; ","")&amp;IF(AND(CH952=1,CI952&lt;CJ952),"MAX &lt; MB+LG; ","")&amp;IF(AND(CP952&gt;0,CO952*10&gt;CP952),"zu hoch für Tablar; ","")&amp;IF(AND(BV952=0,OR(CH952=1,AA952&lt;&gt;"",U952&lt;&gt;"",V952&lt;&gt;"",AB952&lt;&gt;"")),"manuell übersteuert; ","")&amp;IF(AND(BZ952=0,R952=0),"Gebinde unbekannt / Stellmass fehlt; ","")&amp;IF(AND(BZ952=0,N(V952)&lt;=0,N(Q952)&lt;=0),"Menge pro Gebinde fehlt (Ist = 1 Gebinde); ","")&amp;BU952)</f>
        <v>negativer Bestand (Export -5); Verb.Lager</v>
      </c>
      <c r="BN952" s="48"/>
      <c r="BO952" s="48"/>
      <c r="BP952" s="55"/>
      <c r="BQ952" s="50" t="n">
        <v>-5</v>
      </c>
      <c r="BR952" s="50" t="n">
        <v>5</v>
      </c>
      <c r="BS952" s="49" t="n">
        <v>-61.4</v>
      </c>
      <c r="BT952" s="50" t="n">
        <v>4</v>
      </c>
      <c r="BU952" s="48" t="s">
        <v>1039</v>
      </c>
      <c r="BV952" s="53" t="n">
        <v>0</v>
      </c>
      <c r="BW952" s="53" t="n">
        <v>952</v>
      </c>
      <c r="BX952" s="48" t="str">
        <f aca="false">IF(U952&lt;&gt;"",UPPER(TRIM(U952)),IF(CA952=1,UPPER(VLOOKUP(T952,Parameter!$I$27:$K$29,2,0)),IF(P952="","LOSE",P952)))</f>
        <v>S33</v>
      </c>
      <c r="BY952" s="50" t="n">
        <f aca="false">IF(BX952="LOSE",1,IF(N(V952)&gt;0,V952,IF(CA952=1,MAX(1,N(VLOOKUP(T952,Parameter!$I$27:$K$29,3,0)),H952,N(N952)),IF(N(Q952)&gt;0,Q952,MAX(1,H952)))))</f>
        <v>6</v>
      </c>
      <c r="BZ952" s="53" t="n">
        <f aca="false">IF(BX952="LOSE",1,0)</f>
        <v>0</v>
      </c>
      <c r="CA952" s="53" t="n">
        <f aca="false">IF(AND(U952="",OR(P952="",P952="LOSE"),T952&lt;&gt;"",N(S952)&lt;=0,ISNUMBER(MATCH(T952,Parameter!$I$27:$I$29,0))),1,0)</f>
        <v>0</v>
      </c>
      <c r="CB952" s="53" t="n">
        <f aca="false">IF(CQ952&gt;0,INDEX(Parameter!$H$5:$H$7,W952)/INDEX(Parameter!$E$5:$E$7,W952),IF(AND(BZ952=0,N(IFERROR(VLOOKUP(BX952,'Gebinde-Kategorie'!$A$5:$N$45,14,0),0))&gt;0),VLOOKUP(BX952,'Gebinde-Kategorie'!$A$5:$N$45,14,0)*10+Parameter!$M$23,Parameter!$M$24))</f>
        <v>155</v>
      </c>
      <c r="CC952" s="48" t="str">
        <f aca="false">IF(AND(Parameter!$B$19="Ja",E952&lt;&gt;"",ISNUMBER(MATCH(E952,Parameter!$I$35:$I$52,0))),VLOOKUP(E952,Parameter!$I$35:$J$52,2,0),IFERROR(VLOOKUP(D952,Parameter!$A$35:$C$64,2,0),"Nein"))</f>
        <v>2+3</v>
      </c>
      <c r="CD952" s="52" t="n">
        <f aca="false">IF(BZ952=0,0,IF(N(S952)&gt;0,S952,IFERROR(VLOOKUP(D952,Parameter!$A$35:$C$64,3,0)+0,0)))</f>
        <v>0</v>
      </c>
      <c r="CE952" s="48" t="n">
        <f aca="false">IF(AA952&lt;&gt;"",AA952,Z952)</f>
        <v>3</v>
      </c>
      <c r="CF952" s="48" t="str">
        <f aca="false">IF(OR(CE952=1,CE952=2,CE952=3),IF(Parameter!$E$27="Ja","LIFT",IF(CE952=1,"L1","L23")),IF(CE952="Aussen","Aussen","-"))</f>
        <v>LIFT</v>
      </c>
      <c r="CG952" s="59" t="n">
        <f aca="false">IF(N(AB952)&gt;0,AB952,0)</f>
        <v>0</v>
      </c>
      <c r="CH952" s="53" t="n">
        <f aca="false">IF(ISNUMBER(AE952),1,0)</f>
        <v>0</v>
      </c>
      <c r="CI952" s="50" t="n">
        <f aca="false">N(AE952)</f>
        <v>0</v>
      </c>
      <c r="CJ952" s="50" t="n">
        <f aca="false">N(M952)+N(N952)</f>
        <v>5</v>
      </c>
      <c r="CK952" s="50" t="n">
        <f aca="false">N(M952)</f>
        <v>0</v>
      </c>
      <c r="CL952" s="50" t="n">
        <f aca="false">N(N952)</f>
        <v>5</v>
      </c>
      <c r="CM952" s="50" t="n">
        <f aca="false">ROUNDUP(H952/BY952,0)</f>
        <v>0</v>
      </c>
      <c r="CN952" s="50" t="n">
        <f aca="false">ROUNDUP(CI952/BY952,0)</f>
        <v>0</v>
      </c>
      <c r="CO952" s="53" t="n">
        <f aca="false">IF(BZ952=1,0,IFERROR(VLOOKUP(BX952,'Gebinde-Kategorie'!$A$5:$N$45,5,0)+0,0))</f>
        <v>8</v>
      </c>
      <c r="CP952" s="53" t="n">
        <f aca="false">IFERROR(IF(OR(CE952=1,CE952=2,CE952=3),N(INDEX(Parameter!$I$5:$I$7,CE952)),0),0)</f>
        <v>0</v>
      </c>
      <c r="CQ952" s="52" t="n">
        <f aca="false">IF(AND(Parameter!$B$21="Ja",ISNUMBER(W952),N(X952)&gt;0),IFERROR(N(INDEX(Parameter!$L$5:$L$7,W952))*INDEX(Parameter!$E$5:$E$7,W952)*X952/SUMIFS($X$7:$X$1843,$W$7:$W$1843,W952),0),0)</f>
        <v>0</v>
      </c>
    </row>
    <row r="953" customFormat="false" ht="15" hidden="false" customHeight="false" outlineLevel="0" collapsed="false">
      <c r="A953" s="48" t="s">
        <v>1785</v>
      </c>
      <c r="B953" s="48" t="s">
        <v>553</v>
      </c>
      <c r="C953" s="48" t="s">
        <v>173</v>
      </c>
      <c r="D953" s="48" t="s">
        <v>193</v>
      </c>
      <c r="E953" s="48"/>
      <c r="F953" s="48" t="s">
        <v>227</v>
      </c>
      <c r="G953" s="49" t="n">
        <v>15.4</v>
      </c>
      <c r="H953" s="50" t="n">
        <f aca="false">MAX(0,IF(AND(Parameter!$B$21="Ja",ISNUMBER(Y953)),Y953,IF(Parameter!$B$20="Jahresanfang 2025 + Export",BR953+BQ953,BQ953)))</f>
        <v>25</v>
      </c>
      <c r="I953" s="50" t="n">
        <f aca="false">H953*G953</f>
        <v>385</v>
      </c>
      <c r="J953" s="50" t="n">
        <f aca="false">BT953*Parameter!$B$18</f>
        <v>0</v>
      </c>
      <c r="K953" s="51" t="n">
        <v>27</v>
      </c>
      <c r="L953" s="52" t="n">
        <v>0</v>
      </c>
      <c r="M953" s="50" t="n">
        <v>0</v>
      </c>
      <c r="N953" s="50" t="n">
        <v>1</v>
      </c>
      <c r="O953" s="53" t="n">
        <v>28</v>
      </c>
      <c r="P953" s="48" t="s">
        <v>435</v>
      </c>
      <c r="Q953" s="50" t="n">
        <v>25</v>
      </c>
      <c r="R953" s="53" t="n">
        <f aca="false">IF(BZ953=1,0,IFERROR(VLOOKUP(BX953,'Gebinde-Kategorie'!$A$5:$N$45,13,0)+0,0))</f>
        <v>140</v>
      </c>
      <c r="S953" s="54"/>
      <c r="T953" s="55"/>
      <c r="U953" s="55"/>
      <c r="V953" s="55"/>
      <c r="W953" s="48"/>
      <c r="X953" s="50"/>
      <c r="Y953" s="50"/>
      <c r="Z953" s="48" t="n">
        <f aca="false">IF(A953="","",IF(AND(Parameter!$B$21="Ja",ISNUMBER(W953)),W953,IF(CC953="2+3",IF(ISNUMBER(SEARCH("grosser Artikel",BU953)),2,IFERROR(VLOOKUP(BX953,Parameter!$F$35:$G$64,2,0),2)),IF(OR(CC953="Nein",CC953=""),"-",CC953))))</f>
        <v>3</v>
      </c>
      <c r="AA953" s="55"/>
      <c r="AB953" s="56"/>
      <c r="AC953" s="50" t="n">
        <f aca="false">AV953</f>
        <v>1</v>
      </c>
      <c r="AD953" s="50" t="n">
        <f aca="false">MAX(AV953,H953)</f>
        <v>25</v>
      </c>
      <c r="AE953" s="57"/>
      <c r="AF953" s="50" t="n">
        <f aca="false">IF(LEFT(Cockpit!$C$5,1)="A",H953,IF(Parameter!$E$30="MAX-Bestand",IF(CH953=1,CI953,IF(LEFT(Cockpit!$C$5,1)="B",AL953,MAX(AL953,H953))),ROUNDUP(AJ953,0)))</f>
        <v>25</v>
      </c>
      <c r="AG953" s="50" t="n">
        <f aca="false">IF(BZ953=1,0,ROUNDUP(AF953/BY953,0))</f>
        <v>1</v>
      </c>
      <c r="AH953" s="52" t="n">
        <f aca="false">IF(CQ953&gt;0,CQ953*MAX(1,AF953/X953),IF(BZ953=1,IF(AF953&lt;=0,0,CD953*MAX(1,IF(H953&gt;0,AF953/H953,1))),IF(R953&gt;0,AG953/R953,0))/MAX(0.1,N(Parameter!$M$21)))</f>
        <v>0.00714285714285714</v>
      </c>
      <c r="AI953" s="50" t="n">
        <f aca="false">AH953*CB953</f>
        <v>1.10714285714286</v>
      </c>
      <c r="AJ953" s="51" t="n">
        <f aca="false">IF(LEFT(Cockpit!$C$5,1)="A",H953,IF(CH953=1,(CK953+CI953)/2,IF(LEFT(Cockpit!$C$5,1)="B",(CK953+AL953)/2,MAX((CK953+AL953)/2,H953))))</f>
        <v>25</v>
      </c>
      <c r="AK953" s="50" t="n">
        <f aca="false">AJ953*G953</f>
        <v>385</v>
      </c>
      <c r="AL953" s="50" t="n">
        <f aca="false">ROUNDUP(CK953+MAX(CL953,2*(J953/IF(CG953&gt;0,CG953,MAX(0.1,N(Cockpit!$C$6)))-CK953)),0)</f>
        <v>1</v>
      </c>
      <c r="AM953" s="51" t="n">
        <f aca="false">IF(AI953&gt;0,J953/AI953,-1)</f>
        <v>0</v>
      </c>
      <c r="AN953" s="51" t="n">
        <f aca="false">IF(AND(OR(CF953="L1",CF953="L23",CF953="LIFT"),AI953&gt;0),SUMIFS($AI$7:$AI$1843,$CF$7:$CF$1843,CF953,$AM$7:$AM$1843,"&gt;"&amp;AM953)+SUMIFS($AI$7:$AI$1843,$CF$7:$CF$1843,CF953,$AM$7:$AM$1843,AM953,$BW$7:$BW$1843,"&lt;="&amp;BW953),"")</f>
        <v>28881.3037395749</v>
      </c>
      <c r="AO953" s="58" t="n">
        <f aca="false">IF(AN953="",0,MAX(0,MIN(1,(IF(CF953="L1",Parameter!$H$5,IF(CF953="L23",Parameter!$H$6+Parameter!$H$7,Parameter!$H$5+Parameter!$H$6+Parameter!$H$7))-(AN953-AI953))/AI953)))</f>
        <v>1</v>
      </c>
      <c r="AP953" s="50" t="n">
        <f aca="false">IF(LEFT(Cockpit!$I$5,1)="A",H953,IF(Parameter!$E$30="MAX-Bestand",IF(CH953=1,CI953,IF(LEFT(Cockpit!$I$5,1)="B",AV953,MAX(AV953,H953))),ROUNDUP(AT953,0)))</f>
        <v>25</v>
      </c>
      <c r="AQ953" s="50" t="n">
        <f aca="false">IF(BZ953=1,0,ROUNDUP(AP953/BY953,0))</f>
        <v>1</v>
      </c>
      <c r="AR953" s="52" t="n">
        <f aca="false">IF(CQ953&gt;0,CQ953*MAX(1,AP953/X953),IF(BZ953=1,IF(AP953&lt;=0,0,CD953*MAX(1,IF(H953&gt;0,AP953/H953,1))),IF(R953&gt;0,AQ953/R953,0))/MAX(0.1,N(Parameter!$M$21)))</f>
        <v>0.00714285714285714</v>
      </c>
      <c r="AS953" s="50" t="n">
        <f aca="false">AR953*CB953</f>
        <v>1.10714285714286</v>
      </c>
      <c r="AT953" s="51" t="n">
        <f aca="false">IF(LEFT(Cockpit!$I$5,1)="A",H953,IF(CH953=1,(CK953+CI953)/2,IF(LEFT(Cockpit!$I$5,1)="B",(CK953+AV953)/2,MAX((CK953+AV953)/2,H953))))</f>
        <v>25</v>
      </c>
      <c r="AU953" s="50" t="n">
        <f aca="false">AT953*G953</f>
        <v>385</v>
      </c>
      <c r="AV953" s="50" t="n">
        <f aca="false">ROUNDUP(CK953+MAX(CL953,2*(J953/IF(CG953&gt;0,CG953,MAX(0.1,N(Cockpit!$I$6)))-CK953)),0)</f>
        <v>1</v>
      </c>
      <c r="AW953" s="51" t="n">
        <f aca="false">IF(AS953&gt;0,J953/AS953,-1)</f>
        <v>0</v>
      </c>
      <c r="AX953" s="51" t="n">
        <f aca="false">IF(AND(OR(CF953="L1",CF953="L23",CF953="LIFT"),AS953&gt;0),SUMIFS($AS$7:$AS$1843,$CF$7:$CF$1843,CF953,$AW$7:$AW$1843,"&gt;"&amp;AW953)+SUMIFS($AS$7:$AS$1843,$CF$7:$CF$1843,CF953,$AW$7:$AW$1843,AW953,$BW$7:$BW$1843,"&lt;="&amp;BW953),"")</f>
        <v>34549.2367216117</v>
      </c>
      <c r="AY953" s="58" t="n">
        <f aca="false">IF(AX953="",0,MAX(0,MIN(1,(IF(CF953="L1",Parameter!$H$5,IF(CF953="L23",Parameter!$H$6+Parameter!$H$7,Parameter!$H$5+Parameter!$H$6+Parameter!$H$7))-(AX953-AS953))/AS953)))</f>
        <v>1</v>
      </c>
      <c r="AZ953" s="50" t="n">
        <f aca="false">IF(LEFT(Cockpit!$O$5,1)="A",H953,IF(Parameter!$E$30="MAX-Bestand",IF(CH953=1,CI953,IF(LEFT(Cockpit!$O$5,1)="B",BF953,MAX(BF953,H953))),ROUNDUP(BD953,0)))</f>
        <v>1</v>
      </c>
      <c r="BA953" s="50" t="n">
        <f aca="false">IF(BZ953=1,0,ROUNDUP(AZ953/BY953,0))</f>
        <v>1</v>
      </c>
      <c r="BB953" s="52" t="n">
        <f aca="false">IF(CQ953&gt;0,CQ953*MAX(1,AZ953/X953),IF(BZ953=1,IF(AZ953&lt;=0,0,CD953*MAX(1,IF(H953&gt;0,AZ953/H953,1))),IF(R953&gt;0,BA953/R953,0))/MAX(0.1,N(Parameter!$M$21)))</f>
        <v>0.00714285714285714</v>
      </c>
      <c r="BC953" s="50" t="n">
        <f aca="false">BB953*CB953</f>
        <v>1.10714285714286</v>
      </c>
      <c r="BD953" s="51" t="n">
        <f aca="false">IF(LEFT(Cockpit!$O$5,1)="A",H953,IF(CH953=1,(CK953+CI953)/2,IF(LEFT(Cockpit!$O$5,1)="B",(CK953+BF953)/2,MAX((CK953+BF953)/2,H953))))</f>
        <v>0.5</v>
      </c>
      <c r="BE953" s="50" t="n">
        <f aca="false">BD953*G953</f>
        <v>7.7</v>
      </c>
      <c r="BF953" s="50" t="n">
        <f aca="false">ROUNDUP(CK953+MAX(CL953,2*(J953/IF(CG953&gt;0,CG953,MAX(0.1,N(Cockpit!$O$6)))-CK953)),0)</f>
        <v>1</v>
      </c>
      <c r="BG953" s="51" t="n">
        <f aca="false">IF(BC953&gt;0,J953/BC953,-1)</f>
        <v>0</v>
      </c>
      <c r="BH953" s="51" t="n">
        <f aca="false">IF(AND(OR(CF953="L1",CF953="L23",CF953="LIFT"),BC953&gt;0),SUMIFS($BC$7:$BC$1843,$CF$7:$CF$1843,CF953,$BG$7:$BG$1843,"&gt;"&amp;BG953)+SUMIFS($BC$7:$BC$1843,$CF$7:$CF$1843,CF953,$BG$7:$BG$1843,BG953,$BW$7:$BW$1843,"&lt;="&amp;BW953),"")</f>
        <v>28579.7356894518</v>
      </c>
      <c r="BI953" s="58" t="n">
        <f aca="false">IF(BH953="",0,MAX(0,MIN(1,(IF(CF953="L1",Parameter!$H$5,IF(CF953="L23",Parameter!$H$6+Parameter!$H$7,Parameter!$H$5+Parameter!$H$6+Parameter!$H$7))-(BH953-BC953))/BC953)))</f>
        <v>1</v>
      </c>
      <c r="BJ953" s="48" t="str">
        <f aca="false">IF(AI953&lt;=0,"",IF(CF953="Aussen","Aussenlager",IF(CF953="-","Nicht im Lift",IF(AO953&gt;=1,"Lift",IF(AO953&lt;=0,"Aussenlager","teilweise")))))</f>
        <v>Lift</v>
      </c>
      <c r="BK953" s="48" t="str">
        <f aca="false">IF(AS953&lt;=0,"",IF(CF953="Aussen","Aussenlager",IF(CF953="-","Nicht im Lift",IF(AY953&gt;=1,"Lift",IF(AY953&lt;=0,"Aussenlager","teilweise")))))</f>
        <v>Lift</v>
      </c>
      <c r="BL953" s="48" t="str">
        <f aca="false">IF(BC953&lt;=0,"",IF(CF953="Aussen","Aussenlager",IF(CF953="-","Nicht im Lift",IF(BI953&gt;=1,"Lift",IF(BI953&lt;=0,"Aussenlager","teilweise")))))</f>
        <v>Lift</v>
      </c>
      <c r="BM953" s="48" t="str">
        <f aca="false">IF(A953="","",IF(BV953=1,"Neu; ","")&amp;IF(AND(BV953=0,BQ953&lt;0),"negativer Bestand (Export "&amp;BQ953&amp;"); ","")&amp;IF(J953&lt;=0,"Kein Verbrauch; ","")&amp;IF(CQ953&gt;0,"Lift "&amp;W953&amp;" lt. Liftbericht (Fach "&amp;X953&amp;" Stk); ",IF(CA953=1,"Gebinde geschätzt ("&amp;T953&amp;"); ",IF(BZ953=1,"Lose – Tablare geschätzt; ","")))&amp;IF(H953&gt;AV953,"Überbestand "&amp;ROUND(H953-AV953,0)&amp;" Stk / CHF "&amp;ROUND((H953-AV953)*G953,0)&amp;"; ","")&amp;IF(AND(CH953=1,CI953&lt;CJ953),"MAX &lt; MB+LG; ","")&amp;IF(AND(CP953&gt;0,CO953*10&gt;CP953),"zu hoch für Tablar; ","")&amp;IF(AND(BV953=0,OR(CH953=1,AA953&lt;&gt;"",U953&lt;&gt;"",V953&lt;&gt;"",AB953&lt;&gt;"")),"manuell übersteuert; ","")&amp;IF(AND(BZ953=0,R953=0),"Gebinde unbekannt / Stellmass fehlt; ","")&amp;IF(AND(BZ953=0,N(V953)&lt;=0,N(Q953)&lt;=0),"Menge pro Gebinde fehlt (Ist = 1 Gebinde); ","")&amp;BU953)</f>
        <v>negativer Bestand (Export -4); Kein Verbrauch; Überbestand 24 Stk / CHF 370; Neuer Art.</v>
      </c>
      <c r="BN953" s="48"/>
      <c r="BO953" s="48"/>
      <c r="BP953" s="55"/>
      <c r="BQ953" s="50" t="n">
        <v>-4</v>
      </c>
      <c r="BR953" s="50" t="n">
        <v>29</v>
      </c>
      <c r="BS953" s="49" t="n">
        <v>-61.6</v>
      </c>
      <c r="BT953" s="50" t="n">
        <v>0</v>
      </c>
      <c r="BU953" s="48" t="s">
        <v>521</v>
      </c>
      <c r="BV953" s="53" t="n">
        <v>0</v>
      </c>
      <c r="BW953" s="53" t="n">
        <v>953</v>
      </c>
      <c r="BX953" s="48" t="str">
        <f aca="false">IF(U953&lt;&gt;"",UPPER(TRIM(U953)),IF(CA953=1,UPPER(VLOOKUP(T953,Parameter!$I$27:$K$29,2,0)),IF(P953="","LOSE",P953)))</f>
        <v>S22</v>
      </c>
      <c r="BY953" s="50" t="n">
        <f aca="false">IF(BX953="LOSE",1,IF(N(V953)&gt;0,V953,IF(CA953=1,MAX(1,N(VLOOKUP(T953,Parameter!$I$27:$K$29,3,0)),H953,N(N953)),IF(N(Q953)&gt;0,Q953,MAX(1,H953)))))</f>
        <v>25</v>
      </c>
      <c r="BZ953" s="53" t="n">
        <f aca="false">IF(BX953="LOSE",1,0)</f>
        <v>0</v>
      </c>
      <c r="CA953" s="53" t="n">
        <f aca="false">IF(AND(U953="",OR(P953="",P953="LOSE"),T953&lt;&gt;"",N(S953)&lt;=0,ISNUMBER(MATCH(T953,Parameter!$I$27:$I$29,0))),1,0)</f>
        <v>0</v>
      </c>
      <c r="CB953" s="53" t="n">
        <f aca="false">IF(CQ953&gt;0,INDEX(Parameter!$H$5:$H$7,W953)/INDEX(Parameter!$E$5:$E$7,W953),IF(AND(BZ953=0,N(IFERROR(VLOOKUP(BX953,'Gebinde-Kategorie'!$A$5:$N$45,14,0),0))&gt;0),VLOOKUP(BX953,'Gebinde-Kategorie'!$A$5:$N$45,14,0)*10+Parameter!$M$23,Parameter!$M$24))</f>
        <v>155</v>
      </c>
      <c r="CC953" s="48" t="str">
        <f aca="false">IF(AND(Parameter!$B$19="Ja",E953&lt;&gt;"",ISNUMBER(MATCH(E953,Parameter!$I$35:$I$52,0))),VLOOKUP(E953,Parameter!$I$35:$J$52,2,0),IFERROR(VLOOKUP(D953,Parameter!$A$35:$C$64,2,0),"Nein"))</f>
        <v>2+3</v>
      </c>
      <c r="CD953" s="52" t="n">
        <f aca="false">IF(BZ953=0,0,IF(N(S953)&gt;0,S953,IFERROR(VLOOKUP(D953,Parameter!$A$35:$C$64,3,0)+0,0)))</f>
        <v>0</v>
      </c>
      <c r="CE953" s="48" t="n">
        <f aca="false">IF(AA953&lt;&gt;"",AA953,Z953)</f>
        <v>3</v>
      </c>
      <c r="CF953" s="48" t="str">
        <f aca="false">IF(OR(CE953=1,CE953=2,CE953=3),IF(Parameter!$E$27="Ja","LIFT",IF(CE953=1,"L1","L23")),IF(CE953="Aussen","Aussen","-"))</f>
        <v>LIFT</v>
      </c>
      <c r="CG953" s="59" t="n">
        <f aca="false">IF(N(AB953)&gt;0,AB953,0)</f>
        <v>0</v>
      </c>
      <c r="CH953" s="53" t="n">
        <f aca="false">IF(ISNUMBER(AE953),1,0)</f>
        <v>0</v>
      </c>
      <c r="CI953" s="50" t="n">
        <f aca="false">N(AE953)</f>
        <v>0</v>
      </c>
      <c r="CJ953" s="50" t="n">
        <f aca="false">N(M953)+N(N953)</f>
        <v>1</v>
      </c>
      <c r="CK953" s="50" t="n">
        <f aca="false">N(M953)</f>
        <v>0</v>
      </c>
      <c r="CL953" s="50" t="n">
        <f aca="false">N(N953)</f>
        <v>1</v>
      </c>
      <c r="CM953" s="50" t="n">
        <f aca="false">ROUNDUP(H953/BY953,0)</f>
        <v>1</v>
      </c>
      <c r="CN953" s="50" t="n">
        <f aca="false">ROUNDUP(CI953/BY953,0)</f>
        <v>0</v>
      </c>
      <c r="CO953" s="53" t="n">
        <f aca="false">IF(BZ953=1,0,IFERROR(VLOOKUP(BX953,'Gebinde-Kategorie'!$A$5:$N$45,5,0)+0,0))</f>
        <v>8</v>
      </c>
      <c r="CP953" s="53" t="n">
        <f aca="false">IFERROR(IF(OR(CE953=1,CE953=2,CE953=3),N(INDEX(Parameter!$I$5:$I$7,CE953)),0),0)</f>
        <v>0</v>
      </c>
      <c r="CQ953" s="52" t="n">
        <f aca="false">IF(AND(Parameter!$B$21="Ja",ISNUMBER(W953),N(X953)&gt;0),IFERROR(N(INDEX(Parameter!$L$5:$L$7,W953))*INDEX(Parameter!$E$5:$E$7,W953)*X953/SUMIFS($X$7:$X$1843,$W$7:$W$1843,W953),0),0)</f>
        <v>0</v>
      </c>
    </row>
    <row r="954" customFormat="false" ht="15" hidden="false" customHeight="false" outlineLevel="0" collapsed="false">
      <c r="A954" s="48" t="s">
        <v>1786</v>
      </c>
      <c r="B954" s="48" t="s">
        <v>1787</v>
      </c>
      <c r="C954" s="48" t="s">
        <v>173</v>
      </c>
      <c r="D954" s="48" t="s">
        <v>193</v>
      </c>
      <c r="E954" s="48"/>
      <c r="F954" s="48" t="s">
        <v>227</v>
      </c>
      <c r="G954" s="49" t="n">
        <v>62.04</v>
      </c>
      <c r="H954" s="50" t="n">
        <f aca="false">MAX(0,IF(AND(Parameter!$B$21="Ja",ISNUMBER(Y954)),Y954,IF(Parameter!$B$20="Jahresanfang 2025 + Export",BR954+BQ954,BQ954)))</f>
        <v>1</v>
      </c>
      <c r="I954" s="50" t="n">
        <f aca="false">H954*G954</f>
        <v>62.04</v>
      </c>
      <c r="J954" s="50" t="n">
        <f aca="false">BT954*Parameter!$B$18</f>
        <v>1</v>
      </c>
      <c r="K954" s="51" t="n">
        <v>1.5</v>
      </c>
      <c r="L954" s="52" t="n">
        <v>0.666666666666667</v>
      </c>
      <c r="M954" s="50" t="n">
        <v>0</v>
      </c>
      <c r="N954" s="50" t="n">
        <v>1</v>
      </c>
      <c r="O954" s="53" t="n">
        <v>35</v>
      </c>
      <c r="P954" s="48" t="s">
        <v>430</v>
      </c>
      <c r="Q954" s="50" t="n">
        <v>2</v>
      </c>
      <c r="R954" s="53" t="n">
        <f aca="false">IF(BZ954=1,0,IFERROR(VLOOKUP(BX954,'Gebinde-Kategorie'!$A$5:$N$45,13,0)+0,0))</f>
        <v>104</v>
      </c>
      <c r="S954" s="54"/>
      <c r="T954" s="55"/>
      <c r="U954" s="55"/>
      <c r="V954" s="55"/>
      <c r="W954" s="48"/>
      <c r="X954" s="50"/>
      <c r="Y954" s="50"/>
      <c r="Z954" s="48" t="n">
        <f aca="false">IF(A954="","",IF(AND(Parameter!$B$21="Ja",ISNUMBER(W954)),W954,IF(CC954="2+3",IF(ISNUMBER(SEARCH("grosser Artikel",BU954)),2,IFERROR(VLOOKUP(BX954,Parameter!$F$35:$G$64,2,0),2)),IF(OR(CC954="Nein",CC954=""),"-",CC954))))</f>
        <v>3</v>
      </c>
      <c r="AA954" s="55"/>
      <c r="AB954" s="56"/>
      <c r="AC954" s="50" t="n">
        <f aca="false">AV954</f>
        <v>1</v>
      </c>
      <c r="AD954" s="50" t="n">
        <f aca="false">MAX(AV954,H954)</f>
        <v>1</v>
      </c>
      <c r="AE954" s="57"/>
      <c r="AF954" s="50" t="n">
        <f aca="false">IF(LEFT(Cockpit!$C$5,1)="A",H954,IF(Parameter!$E$30="MAX-Bestand",IF(CH954=1,CI954,IF(LEFT(Cockpit!$C$5,1)="B",AL954,MAX(AL954,H954))),ROUNDUP(AJ954,0)))</f>
        <v>1</v>
      </c>
      <c r="AG954" s="50" t="n">
        <f aca="false">IF(BZ954=1,0,ROUNDUP(AF954/BY954,0))</f>
        <v>1</v>
      </c>
      <c r="AH954" s="52" t="n">
        <f aca="false">IF(CQ954&gt;0,CQ954*MAX(1,AF954/X954),IF(BZ954=1,IF(AF954&lt;=0,0,CD954*MAX(1,IF(H954&gt;0,AF954/H954,1))),IF(R954&gt;0,AG954/R954,0))/MAX(0.1,N(Parameter!$M$21)))</f>
        <v>0.00961538461538462</v>
      </c>
      <c r="AI954" s="50" t="n">
        <f aca="false">AH954*CB954</f>
        <v>1.49038461538462</v>
      </c>
      <c r="AJ954" s="51" t="n">
        <f aca="false">IF(LEFT(Cockpit!$C$5,1)="A",H954,IF(CH954=1,(CK954+CI954)/2,IF(LEFT(Cockpit!$C$5,1)="B",(CK954+AL954)/2,MAX((CK954+AL954)/2,H954))))</f>
        <v>1</v>
      </c>
      <c r="AK954" s="50" t="n">
        <f aca="false">AJ954*G954</f>
        <v>62.04</v>
      </c>
      <c r="AL954" s="50" t="n">
        <f aca="false">ROUNDUP(CK954+MAX(CL954,2*(J954/IF(CG954&gt;0,CG954,MAX(0.1,N(Cockpit!$C$6)))-CK954)),0)</f>
        <v>1</v>
      </c>
      <c r="AM954" s="51" t="n">
        <f aca="false">IF(AI954&gt;0,J954/AI954,-1)</f>
        <v>0.670967741935484</v>
      </c>
      <c r="AN954" s="51" t="n">
        <f aca="false">IF(AND(OR(CF954="L1",CF954="L23",CF954="LIFT"),AI954&gt;0),SUMIFS($AI$7:$AI$1843,$CF$7:$CF$1843,CF954,$AM$7:$AM$1843,"&gt;"&amp;AM954)+SUMIFS($AI$7:$AI$1843,$CF$7:$CF$1843,CF954,$AM$7:$AM$1843,AM954,$BW$7:$BW$1843,"&lt;="&amp;BW954),"")</f>
        <v>8622.07371794872</v>
      </c>
      <c r="AO954" s="58" t="n">
        <f aca="false">IF(AN954="",0,MAX(0,MIN(1,(IF(CF954="L1",Parameter!$H$5,IF(CF954="L23",Parameter!$H$6+Parameter!$H$7,Parameter!$H$5+Parameter!$H$6+Parameter!$H$7))-(AN954-AI954))/AI954)))</f>
        <v>1</v>
      </c>
      <c r="AP954" s="50" t="n">
        <f aca="false">IF(LEFT(Cockpit!$I$5,1)="A",H954,IF(Parameter!$E$30="MAX-Bestand",IF(CH954=1,CI954,IF(LEFT(Cockpit!$I$5,1)="B",AV954,MAX(AV954,H954))),ROUNDUP(AT954,0)))</f>
        <v>1</v>
      </c>
      <c r="AQ954" s="50" t="n">
        <f aca="false">IF(BZ954=1,0,ROUNDUP(AP954/BY954,0))</f>
        <v>1</v>
      </c>
      <c r="AR954" s="52" t="n">
        <f aca="false">IF(CQ954&gt;0,CQ954*MAX(1,AP954/X954),IF(BZ954=1,IF(AP954&lt;=0,0,CD954*MAX(1,IF(H954&gt;0,AP954/H954,1))),IF(R954&gt;0,AQ954/R954,0))/MAX(0.1,N(Parameter!$M$21)))</f>
        <v>0.00961538461538462</v>
      </c>
      <c r="AS954" s="50" t="n">
        <f aca="false">AR954*CB954</f>
        <v>1.49038461538462</v>
      </c>
      <c r="AT954" s="51" t="n">
        <f aca="false">IF(LEFT(Cockpit!$I$5,1)="A",H954,IF(CH954=1,(CK954+CI954)/2,IF(LEFT(Cockpit!$I$5,1)="B",(CK954+AV954)/2,MAX((CK954+AV954)/2,H954))))</f>
        <v>1</v>
      </c>
      <c r="AU954" s="50" t="n">
        <f aca="false">AT954*G954</f>
        <v>62.04</v>
      </c>
      <c r="AV954" s="50" t="n">
        <f aca="false">ROUNDUP(CK954+MAX(CL954,2*(J954/IF(CG954&gt;0,CG954,MAX(0.1,N(Cockpit!$I$6)))-CK954)),0)</f>
        <v>1</v>
      </c>
      <c r="AW954" s="51" t="n">
        <f aca="false">IF(AS954&gt;0,J954/AS954,-1)</f>
        <v>0.670967741935484</v>
      </c>
      <c r="AX954" s="51" t="n">
        <f aca="false">IF(AND(OR(CF954="L1",CF954="L23",CF954="LIFT"),AS954&gt;0),SUMIFS($AS$7:$AS$1843,$CF$7:$CF$1843,CF954,$AW$7:$AW$1843,"&gt;"&amp;AW954)+SUMIFS($AS$7:$AS$1843,$CF$7:$CF$1843,CF954,$AW$7:$AW$1843,AW954,$BW$7:$BW$1843,"&lt;="&amp;BW954),"")</f>
        <v>10916.2413003663</v>
      </c>
      <c r="AY954" s="58" t="n">
        <f aca="false">IF(AX954="",0,MAX(0,MIN(1,(IF(CF954="L1",Parameter!$H$5,IF(CF954="L23",Parameter!$H$6+Parameter!$H$7,Parameter!$H$5+Parameter!$H$6+Parameter!$H$7))-(AX954-AS954))/AS954)))</f>
        <v>1</v>
      </c>
      <c r="AZ954" s="50" t="n">
        <f aca="false">IF(LEFT(Cockpit!$O$5,1)="A",H954,IF(Parameter!$E$30="MAX-Bestand",IF(CH954=1,CI954,IF(LEFT(Cockpit!$O$5,1)="B",BF954,MAX(BF954,H954))),ROUNDUP(BD954,0)))</f>
        <v>1</v>
      </c>
      <c r="BA954" s="50" t="n">
        <f aca="false">IF(BZ954=1,0,ROUNDUP(AZ954/BY954,0))</f>
        <v>1</v>
      </c>
      <c r="BB954" s="52" t="n">
        <f aca="false">IF(CQ954&gt;0,CQ954*MAX(1,AZ954/X954),IF(BZ954=1,IF(AZ954&lt;=0,0,CD954*MAX(1,IF(H954&gt;0,AZ954/H954,1))),IF(R954&gt;0,BA954/R954,0))/MAX(0.1,N(Parameter!$M$21)))</f>
        <v>0.00961538461538462</v>
      </c>
      <c r="BC954" s="50" t="n">
        <f aca="false">BB954*CB954</f>
        <v>1.49038461538462</v>
      </c>
      <c r="BD954" s="51" t="n">
        <f aca="false">IF(LEFT(Cockpit!$O$5,1)="A",H954,IF(CH954=1,(CK954+CI954)/2,IF(LEFT(Cockpit!$O$5,1)="B",(CK954+BF954)/2,MAX((CK954+BF954)/2,H954))))</f>
        <v>0.5</v>
      </c>
      <c r="BE954" s="50" t="n">
        <f aca="false">BD954*G954</f>
        <v>31.02</v>
      </c>
      <c r="BF954" s="50" t="n">
        <f aca="false">ROUNDUP(CK954+MAX(CL954,2*(J954/IF(CG954&gt;0,CG954,MAX(0.1,N(Cockpit!$O$6)))-CK954)),0)</f>
        <v>1</v>
      </c>
      <c r="BG954" s="51" t="n">
        <f aca="false">IF(BC954&gt;0,J954/BC954,-1)</f>
        <v>0.670967741935484</v>
      </c>
      <c r="BH954" s="51" t="n">
        <f aca="false">IF(AND(OR(CF954="L1",CF954="L23",CF954="LIFT"),BC954&gt;0),SUMIFS($BC$7:$BC$1843,$CF$7:$CF$1843,CF954,$BG$7:$BG$1843,"&gt;"&amp;BG954)+SUMIFS($BC$7:$BC$1843,$CF$7:$CF$1843,CF954,$BG$7:$BG$1843,BG954,$BW$7:$BW$1843,"&lt;="&amp;BW954),"")</f>
        <v>9525.87545787546</v>
      </c>
      <c r="BI954" s="58" t="n">
        <f aca="false">IF(BH954="",0,MAX(0,MIN(1,(IF(CF954="L1",Parameter!$H$5,IF(CF954="L23",Parameter!$H$6+Parameter!$H$7,Parameter!$H$5+Parameter!$H$6+Parameter!$H$7))-(BH954-BC954))/BC954)))</f>
        <v>1</v>
      </c>
      <c r="BJ954" s="48" t="str">
        <f aca="false">IF(AI954&lt;=0,"",IF(CF954="Aussen","Aussenlager",IF(CF954="-","Nicht im Lift",IF(AO954&gt;=1,"Lift",IF(AO954&lt;=0,"Aussenlager","teilweise")))))</f>
        <v>Lift</v>
      </c>
      <c r="BK954" s="48" t="str">
        <f aca="false">IF(AS954&lt;=0,"",IF(CF954="Aussen","Aussenlager",IF(CF954="-","Nicht im Lift",IF(AY954&gt;=1,"Lift",IF(AY954&lt;=0,"Aussenlager","teilweise")))))</f>
        <v>Lift</v>
      </c>
      <c r="BL954" s="48" t="str">
        <f aca="false">IF(BC954&lt;=0,"",IF(CF954="Aussen","Aussenlager",IF(CF954="-","Nicht im Lift",IF(BI954&gt;=1,"Lift",IF(BI954&lt;=0,"Aussenlager","teilweise")))))</f>
        <v>Lift</v>
      </c>
      <c r="BM954" s="48" t="str">
        <f aca="false">IF(A954="","",IF(BV954=1,"Neu; ","")&amp;IF(AND(BV954=0,BQ954&lt;0),"negativer Bestand (Export "&amp;BQ954&amp;"); ","")&amp;IF(J954&lt;=0,"Kein Verbrauch; ","")&amp;IF(CQ954&gt;0,"Lift "&amp;W954&amp;" lt. Liftbericht (Fach "&amp;X954&amp;" Stk); ",IF(CA954=1,"Gebinde geschätzt ("&amp;T954&amp;"); ",IF(BZ954=1,"Lose – Tablare geschätzt; ","")))&amp;IF(H954&gt;AV954,"Überbestand "&amp;ROUND(H954-AV954,0)&amp;" Stk / CHF "&amp;ROUND((H954-AV954)*G954,0)&amp;"; ","")&amp;IF(AND(CH954=1,CI954&lt;CJ954),"MAX &lt; MB+LG; ","")&amp;IF(AND(CP954&gt;0,CO954*10&gt;CP954),"zu hoch für Tablar; ","")&amp;IF(AND(BV954=0,OR(CH954=1,AA954&lt;&gt;"",U954&lt;&gt;"",V954&lt;&gt;"",AB954&lt;&gt;"")),"manuell übersteuert; ","")&amp;IF(AND(BZ954=0,R954=0),"Gebinde unbekannt / Stellmass fehlt; ","")&amp;IF(AND(BZ954=0,N(V954)&lt;=0,N(Q954)&lt;=0),"Menge pro Gebinde fehlt (Ist = 1 Gebinde); ","")&amp;BU954)</f>
        <v>negativer Bestand (Export -1); </v>
      </c>
      <c r="BN954" s="48"/>
      <c r="BO954" s="48"/>
      <c r="BP954" s="55"/>
      <c r="BQ954" s="50" t="n">
        <v>-1</v>
      </c>
      <c r="BR954" s="50" t="n">
        <v>2</v>
      </c>
      <c r="BS954" s="49" t="n">
        <v>-62.04</v>
      </c>
      <c r="BT954" s="50" t="n">
        <v>1</v>
      </c>
      <c r="BU954" s="48"/>
      <c r="BV954" s="53" t="n">
        <v>0</v>
      </c>
      <c r="BW954" s="53" t="n">
        <v>954</v>
      </c>
      <c r="BX954" s="48" t="str">
        <f aca="false">IF(U954&lt;&gt;"",UPPER(TRIM(U954)),IF(CA954=1,UPPER(VLOOKUP(T954,Parameter!$I$27:$K$29,2,0)),IF(P954="","LOSE",P954)))</f>
        <v>S32</v>
      </c>
      <c r="BY954" s="50" t="n">
        <f aca="false">IF(BX954="LOSE",1,IF(N(V954)&gt;0,V954,IF(CA954=1,MAX(1,N(VLOOKUP(T954,Parameter!$I$27:$K$29,3,0)),H954,N(N954)),IF(N(Q954)&gt;0,Q954,MAX(1,H954)))))</f>
        <v>2</v>
      </c>
      <c r="BZ954" s="53" t="n">
        <f aca="false">IF(BX954="LOSE",1,0)</f>
        <v>0</v>
      </c>
      <c r="CA954" s="53" t="n">
        <f aca="false">IF(AND(U954="",OR(P954="",P954="LOSE"),T954&lt;&gt;"",N(S954)&lt;=0,ISNUMBER(MATCH(T954,Parameter!$I$27:$I$29,0))),1,0)</f>
        <v>0</v>
      </c>
      <c r="CB954" s="53" t="n">
        <f aca="false">IF(CQ954&gt;0,INDEX(Parameter!$H$5:$H$7,W954)/INDEX(Parameter!$E$5:$E$7,W954),IF(AND(BZ954=0,N(IFERROR(VLOOKUP(BX954,'Gebinde-Kategorie'!$A$5:$N$45,14,0),0))&gt;0),VLOOKUP(BX954,'Gebinde-Kategorie'!$A$5:$N$45,14,0)*10+Parameter!$M$23,Parameter!$M$24))</f>
        <v>155</v>
      </c>
      <c r="CC954" s="48" t="str">
        <f aca="false">IF(AND(Parameter!$B$19="Ja",E954&lt;&gt;"",ISNUMBER(MATCH(E954,Parameter!$I$35:$I$52,0))),VLOOKUP(E954,Parameter!$I$35:$J$52,2,0),IFERROR(VLOOKUP(D954,Parameter!$A$35:$C$64,2,0),"Nein"))</f>
        <v>2+3</v>
      </c>
      <c r="CD954" s="52" t="n">
        <f aca="false">IF(BZ954=0,0,IF(N(S954)&gt;0,S954,IFERROR(VLOOKUP(D954,Parameter!$A$35:$C$64,3,0)+0,0)))</f>
        <v>0</v>
      </c>
      <c r="CE954" s="48" t="n">
        <f aca="false">IF(AA954&lt;&gt;"",AA954,Z954)</f>
        <v>3</v>
      </c>
      <c r="CF954" s="48" t="str">
        <f aca="false">IF(OR(CE954=1,CE954=2,CE954=3),IF(Parameter!$E$27="Ja","LIFT",IF(CE954=1,"L1","L23")),IF(CE954="Aussen","Aussen","-"))</f>
        <v>LIFT</v>
      </c>
      <c r="CG954" s="59" t="n">
        <f aca="false">IF(N(AB954)&gt;0,AB954,0)</f>
        <v>0</v>
      </c>
      <c r="CH954" s="53" t="n">
        <f aca="false">IF(ISNUMBER(AE954),1,0)</f>
        <v>0</v>
      </c>
      <c r="CI954" s="50" t="n">
        <f aca="false">N(AE954)</f>
        <v>0</v>
      </c>
      <c r="CJ954" s="50" t="n">
        <f aca="false">N(M954)+N(N954)</f>
        <v>1</v>
      </c>
      <c r="CK954" s="50" t="n">
        <f aca="false">N(M954)</f>
        <v>0</v>
      </c>
      <c r="CL954" s="50" t="n">
        <f aca="false">N(N954)</f>
        <v>1</v>
      </c>
      <c r="CM954" s="50" t="n">
        <f aca="false">ROUNDUP(H954/BY954,0)</f>
        <v>1</v>
      </c>
      <c r="CN954" s="50" t="n">
        <f aca="false">ROUNDUP(CI954/BY954,0)</f>
        <v>0</v>
      </c>
      <c r="CO954" s="53" t="n">
        <f aca="false">IF(BZ954=1,0,IFERROR(VLOOKUP(BX954,'Gebinde-Kategorie'!$A$5:$N$45,5,0)+0,0))</f>
        <v>8</v>
      </c>
      <c r="CP954" s="53" t="n">
        <f aca="false">IFERROR(IF(OR(CE954=1,CE954=2,CE954=3),N(INDEX(Parameter!$I$5:$I$7,CE954)),0),0)</f>
        <v>0</v>
      </c>
      <c r="CQ954" s="52" t="n">
        <f aca="false">IF(AND(Parameter!$B$21="Ja",ISNUMBER(W954),N(X954)&gt;0),IFERROR(N(INDEX(Parameter!$L$5:$L$7,W954))*INDEX(Parameter!$E$5:$E$7,W954)*X954/SUMIFS($X$7:$X$1843,$W$7:$W$1843,W954),0),0)</f>
        <v>0</v>
      </c>
    </row>
    <row r="955" customFormat="false" ht="15" hidden="false" customHeight="false" outlineLevel="0" collapsed="false">
      <c r="A955" s="48" t="s">
        <v>1788</v>
      </c>
      <c r="B955" s="48" t="s">
        <v>1789</v>
      </c>
      <c r="C955" s="48" t="s">
        <v>173</v>
      </c>
      <c r="D955" s="48" t="s">
        <v>193</v>
      </c>
      <c r="E955" s="48" t="s">
        <v>194</v>
      </c>
      <c r="F955" s="48" t="s">
        <v>227</v>
      </c>
      <c r="G955" s="49" t="n">
        <v>9.01</v>
      </c>
      <c r="H955" s="50" t="n">
        <f aca="false">MAX(0,IF(AND(Parameter!$B$21="Ja",ISNUMBER(Y955)),Y955,IF(Parameter!$B$20="Jahresanfang 2025 + Export",BR955+BQ955,BQ955)))</f>
        <v>4</v>
      </c>
      <c r="I955" s="50" t="n">
        <f aca="false">H955*G955</f>
        <v>36.04</v>
      </c>
      <c r="J955" s="50" t="n">
        <f aca="false">BT955*Parameter!$B$18</f>
        <v>9</v>
      </c>
      <c r="K955" s="51" t="n">
        <v>8.5</v>
      </c>
      <c r="L955" s="52" t="n">
        <v>1.05882352941177</v>
      </c>
      <c r="M955" s="50" t="n">
        <v>0</v>
      </c>
      <c r="N955" s="50" t="n">
        <v>10</v>
      </c>
      <c r="O955" s="53" t="n">
        <v>17</v>
      </c>
      <c r="P955" s="48" t="s">
        <v>485</v>
      </c>
      <c r="Q955" s="50" t="n">
        <v>23</v>
      </c>
      <c r="R955" s="53" t="n">
        <f aca="false">IF(BZ955=1,0,IFERROR(VLOOKUP(BX955,'Gebinde-Kategorie'!$A$5:$N$45,13,0)+0,0))</f>
        <v>52</v>
      </c>
      <c r="S955" s="54"/>
      <c r="T955" s="55"/>
      <c r="U955" s="55"/>
      <c r="V955" s="55"/>
      <c r="W955" s="48"/>
      <c r="X955" s="50"/>
      <c r="Y955" s="50"/>
      <c r="Z955" s="48" t="n">
        <f aca="false">IF(A955="","",IF(AND(Parameter!$B$21="Ja",ISNUMBER(W955)),W955,IF(CC955="2+3",IF(ISNUMBER(SEARCH("grosser Artikel",BU955)),2,IFERROR(VLOOKUP(BX955,Parameter!$F$35:$G$64,2,0),2)),IF(OR(CC955="Nein",CC955=""),"-",CC955))))</f>
        <v>3</v>
      </c>
      <c r="AA955" s="55"/>
      <c r="AB955" s="56"/>
      <c r="AC955" s="50" t="n">
        <f aca="false">AV955</f>
        <v>10</v>
      </c>
      <c r="AD955" s="50" t="n">
        <f aca="false">MAX(AV955,H955)</f>
        <v>10</v>
      </c>
      <c r="AE955" s="57"/>
      <c r="AF955" s="50" t="n">
        <f aca="false">IF(LEFT(Cockpit!$C$5,1)="A",H955,IF(Parameter!$E$30="MAX-Bestand",IF(CH955=1,CI955,IF(LEFT(Cockpit!$C$5,1)="B",AL955,MAX(AL955,H955))),ROUNDUP(AJ955,0)))</f>
        <v>4</v>
      </c>
      <c r="AG955" s="50" t="n">
        <f aca="false">IF(BZ955=1,0,ROUNDUP(AF955/BY955,0))</f>
        <v>1</v>
      </c>
      <c r="AH955" s="52" t="n">
        <f aca="false">IF(CQ955&gt;0,CQ955*MAX(1,AF955/X955),IF(BZ955=1,IF(AF955&lt;=0,0,CD955*MAX(1,IF(H955&gt;0,AF955/H955,1))),IF(R955&gt;0,AG955/R955,0))/MAX(0.1,N(Parameter!$M$21)))</f>
        <v>0.0192307692307692</v>
      </c>
      <c r="AI955" s="50" t="n">
        <f aca="false">AH955*CB955</f>
        <v>2.98076923076923</v>
      </c>
      <c r="AJ955" s="51" t="n">
        <f aca="false">IF(LEFT(Cockpit!$C$5,1)="A",H955,IF(CH955=1,(CK955+CI955)/2,IF(LEFT(Cockpit!$C$5,1)="B",(CK955+AL955)/2,MAX((CK955+AL955)/2,H955))))</f>
        <v>4</v>
      </c>
      <c r="AK955" s="50" t="n">
        <f aca="false">AJ955*G955</f>
        <v>36.04</v>
      </c>
      <c r="AL955" s="50" t="n">
        <f aca="false">ROUNDUP(CK955+MAX(CL955,2*(J955/IF(CG955&gt;0,CG955,MAX(0.1,N(Cockpit!$C$6)))-CK955)),0)</f>
        <v>10</v>
      </c>
      <c r="AM955" s="51" t="n">
        <f aca="false">IF(AI955&gt;0,J955/AI955,-1)</f>
        <v>3.01935483870968</v>
      </c>
      <c r="AN955" s="51" t="n">
        <f aca="false">IF(AND(OR(CF955="L1",CF955="L23",CF955="LIFT"),AI955&gt;0),SUMIFS($AI$7:$AI$1843,$CF$7:$CF$1843,CF955,$AM$7:$AM$1843,"&gt;"&amp;AM955)+SUMIFS($AI$7:$AI$1843,$CF$7:$CF$1843,CF955,$AM$7:$AM$1843,AM955,$BW$7:$BW$1843,"&lt;="&amp;BW955),"")</f>
        <v>5075.79624542125</v>
      </c>
      <c r="AO955" s="58" t="n">
        <f aca="false">IF(AN955="",0,MAX(0,MIN(1,(IF(CF955="L1",Parameter!$H$5,IF(CF955="L23",Parameter!$H$6+Parameter!$H$7,Parameter!$H$5+Parameter!$H$6+Parameter!$H$7))-(AN955-AI955))/AI955)))</f>
        <v>1</v>
      </c>
      <c r="AP955" s="50" t="n">
        <f aca="false">IF(LEFT(Cockpit!$I$5,1)="A",H955,IF(Parameter!$E$30="MAX-Bestand",IF(CH955=1,CI955,IF(LEFT(Cockpit!$I$5,1)="B",AV955,MAX(AV955,H955))),ROUNDUP(AT955,0)))</f>
        <v>5</v>
      </c>
      <c r="AQ955" s="50" t="n">
        <f aca="false">IF(BZ955=1,0,ROUNDUP(AP955/BY955,0))</f>
        <v>1</v>
      </c>
      <c r="AR955" s="52" t="n">
        <f aca="false">IF(CQ955&gt;0,CQ955*MAX(1,AP955/X955),IF(BZ955=1,IF(AP955&lt;=0,0,CD955*MAX(1,IF(H955&gt;0,AP955/H955,1))),IF(R955&gt;0,AQ955/R955,0))/MAX(0.1,N(Parameter!$M$21)))</f>
        <v>0.0192307692307692</v>
      </c>
      <c r="AS955" s="50" t="n">
        <f aca="false">AR955*CB955</f>
        <v>2.98076923076923</v>
      </c>
      <c r="AT955" s="51" t="n">
        <f aca="false">IF(LEFT(Cockpit!$I$5,1)="A",H955,IF(CH955=1,(CK955+CI955)/2,IF(LEFT(Cockpit!$I$5,1)="B",(CK955+AV955)/2,MAX((CK955+AV955)/2,H955))))</f>
        <v>5</v>
      </c>
      <c r="AU955" s="50" t="n">
        <f aca="false">AT955*G955</f>
        <v>45.05</v>
      </c>
      <c r="AV955" s="50" t="n">
        <f aca="false">ROUNDUP(CK955+MAX(CL955,2*(J955/IF(CG955&gt;0,CG955,MAX(0.1,N(Cockpit!$I$6)))-CK955)),0)</f>
        <v>10</v>
      </c>
      <c r="AW955" s="51" t="n">
        <f aca="false">IF(AS955&gt;0,J955/AS955,-1)</f>
        <v>3.01935483870968</v>
      </c>
      <c r="AX955" s="51" t="n">
        <f aca="false">IF(AND(OR(CF955="L1",CF955="L23",CF955="LIFT"),AS955&gt;0),SUMIFS($AS$7:$AS$1843,$CF$7:$CF$1843,CF955,$AW$7:$AW$1843,"&gt;"&amp;AW955)+SUMIFS($AS$7:$AS$1843,$CF$7:$CF$1843,CF955,$AW$7:$AW$1843,AW955,$BW$7:$BW$1843,"&lt;="&amp;BW955),"")</f>
        <v>5913.51144688645</v>
      </c>
      <c r="AY955" s="58" t="n">
        <f aca="false">IF(AX955="",0,MAX(0,MIN(1,(IF(CF955="L1",Parameter!$H$5,IF(CF955="L23",Parameter!$H$6+Parameter!$H$7,Parameter!$H$5+Parameter!$H$6+Parameter!$H$7))-(AX955-AS955))/AS955)))</f>
        <v>1</v>
      </c>
      <c r="AZ955" s="50" t="n">
        <f aca="false">IF(LEFT(Cockpit!$O$5,1)="A",H955,IF(Parameter!$E$30="MAX-Bestand",IF(CH955=1,CI955,IF(LEFT(Cockpit!$O$5,1)="B",BF955,MAX(BF955,H955))),ROUNDUP(BD955,0)))</f>
        <v>5</v>
      </c>
      <c r="BA955" s="50" t="n">
        <f aca="false">IF(BZ955=1,0,ROUNDUP(AZ955/BY955,0))</f>
        <v>1</v>
      </c>
      <c r="BB955" s="52" t="n">
        <f aca="false">IF(CQ955&gt;0,CQ955*MAX(1,AZ955/X955),IF(BZ955=1,IF(AZ955&lt;=0,0,CD955*MAX(1,IF(H955&gt;0,AZ955/H955,1))),IF(R955&gt;0,BA955/R955,0))/MAX(0.1,N(Parameter!$M$21)))</f>
        <v>0.0192307692307692</v>
      </c>
      <c r="BC955" s="50" t="n">
        <f aca="false">BB955*CB955</f>
        <v>2.98076923076923</v>
      </c>
      <c r="BD955" s="51" t="n">
        <f aca="false">IF(LEFT(Cockpit!$O$5,1)="A",H955,IF(CH955=1,(CK955+CI955)/2,IF(LEFT(Cockpit!$O$5,1)="B",(CK955+BF955)/2,MAX((CK955+BF955)/2,H955))))</f>
        <v>5</v>
      </c>
      <c r="BE955" s="50" t="n">
        <f aca="false">BD955*G955</f>
        <v>45.05</v>
      </c>
      <c r="BF955" s="50" t="n">
        <f aca="false">ROUNDUP(CK955+MAX(CL955,2*(J955/IF(CG955&gt;0,CG955,MAX(0.1,N(Cockpit!$O$6)))-CK955)),0)</f>
        <v>10</v>
      </c>
      <c r="BG955" s="51" t="n">
        <f aca="false">IF(BC955&gt;0,J955/BC955,-1)</f>
        <v>3.01935483870968</v>
      </c>
      <c r="BH955" s="51" t="n">
        <f aca="false">IF(AND(OR(CF955="L1",CF955="L23",CF955="LIFT"),BC955&gt;0),SUMIFS($BC$7:$BC$1843,$CF$7:$CF$1843,CF955,$BG$7:$BG$1843,"&gt;"&amp;BG955)+SUMIFS($BC$7:$BC$1843,$CF$7:$CF$1843,CF955,$BG$7:$BG$1843,BG955,$BW$7:$BW$1843,"&lt;="&amp;BW955),"")</f>
        <v>4776.26144688645</v>
      </c>
      <c r="BI955" s="58" t="n">
        <f aca="false">IF(BH955="",0,MAX(0,MIN(1,(IF(CF955="L1",Parameter!$H$5,IF(CF955="L23",Parameter!$H$6+Parameter!$H$7,Parameter!$H$5+Parameter!$H$6+Parameter!$H$7))-(BH955-BC955))/BC955)))</f>
        <v>1</v>
      </c>
      <c r="BJ955" s="48" t="str">
        <f aca="false">IF(AI955&lt;=0,"",IF(CF955="Aussen","Aussenlager",IF(CF955="-","Nicht im Lift",IF(AO955&gt;=1,"Lift",IF(AO955&lt;=0,"Aussenlager","teilweise")))))</f>
        <v>Lift</v>
      </c>
      <c r="BK955" s="48" t="str">
        <f aca="false">IF(AS955&lt;=0,"",IF(CF955="Aussen","Aussenlager",IF(CF955="-","Nicht im Lift",IF(AY955&gt;=1,"Lift",IF(AY955&lt;=0,"Aussenlager","teilweise")))))</f>
        <v>Lift</v>
      </c>
      <c r="BL955" s="48" t="str">
        <f aca="false">IF(BC955&lt;=0,"",IF(CF955="Aussen","Aussenlager",IF(CF955="-","Nicht im Lift",IF(BI955&gt;=1,"Lift",IF(BI955&lt;=0,"Aussenlager","teilweise")))))</f>
        <v>Lift</v>
      </c>
      <c r="BM955" s="48" t="str">
        <f aca="false">IF(A955="","",IF(BV955=1,"Neu; ","")&amp;IF(AND(BV955=0,BQ955&lt;0),"negativer Bestand (Export "&amp;BQ955&amp;"); ","")&amp;IF(J955&lt;=0,"Kein Verbrauch; ","")&amp;IF(CQ955&gt;0,"Lift "&amp;W955&amp;" lt. Liftbericht (Fach "&amp;X955&amp;" Stk); ",IF(CA955=1,"Gebinde geschätzt ("&amp;T955&amp;"); ",IF(BZ955=1,"Lose – Tablare geschätzt; ","")))&amp;IF(H955&gt;AV955,"Überbestand "&amp;ROUND(H955-AV955,0)&amp;" Stk / CHF "&amp;ROUND((H955-AV955)*G955,0)&amp;"; ","")&amp;IF(AND(CH955=1,CI955&lt;CJ955),"MAX &lt; MB+LG; ","")&amp;IF(AND(CP955&gt;0,CO955*10&gt;CP955),"zu hoch für Tablar; ","")&amp;IF(AND(BV955=0,OR(CH955=1,AA955&lt;&gt;"",U955&lt;&gt;"",V955&lt;&gt;"",AB955&lt;&gt;"")),"manuell übersteuert; ","")&amp;IF(AND(BZ955=0,R955=0),"Gebinde unbekannt / Stellmass fehlt; ","")&amp;IF(AND(BZ955=0,N(V955)&lt;=0,N(Q955)&lt;=0),"Menge pro Gebinde fehlt (Ist = 1 Gebinde); ","")&amp;BU955)</f>
        <v>negativer Bestand (Export -8); </v>
      </c>
      <c r="BN955" s="48"/>
      <c r="BO955" s="48"/>
      <c r="BP955" s="55"/>
      <c r="BQ955" s="50" t="n">
        <v>-8</v>
      </c>
      <c r="BR955" s="50" t="n">
        <v>12</v>
      </c>
      <c r="BS955" s="49" t="n">
        <v>-62.6</v>
      </c>
      <c r="BT955" s="50" t="n">
        <v>9</v>
      </c>
      <c r="BU955" s="48"/>
      <c r="BV955" s="53" t="n">
        <v>0</v>
      </c>
      <c r="BW955" s="53" t="n">
        <v>955</v>
      </c>
      <c r="BX955" s="48" t="str">
        <f aca="false">IF(U955&lt;&gt;"",UPPER(TRIM(U955)),IF(CA955=1,UPPER(VLOOKUP(T955,Parameter!$I$27:$K$29,2,0)),IF(P955="","LOSE",P955)))</f>
        <v>S33</v>
      </c>
      <c r="BY955" s="50" t="n">
        <f aca="false">IF(BX955="LOSE",1,IF(N(V955)&gt;0,V955,IF(CA955=1,MAX(1,N(VLOOKUP(T955,Parameter!$I$27:$K$29,3,0)),H955,N(N955)),IF(N(Q955)&gt;0,Q955,MAX(1,H955)))))</f>
        <v>23</v>
      </c>
      <c r="BZ955" s="53" t="n">
        <f aca="false">IF(BX955="LOSE",1,0)</f>
        <v>0</v>
      </c>
      <c r="CA955" s="53" t="n">
        <f aca="false">IF(AND(U955="",OR(P955="",P955="LOSE"),T955&lt;&gt;"",N(S955)&lt;=0,ISNUMBER(MATCH(T955,Parameter!$I$27:$I$29,0))),1,0)</f>
        <v>0</v>
      </c>
      <c r="CB955" s="53" t="n">
        <f aca="false">IF(CQ955&gt;0,INDEX(Parameter!$H$5:$H$7,W955)/INDEX(Parameter!$E$5:$E$7,W955),IF(AND(BZ955=0,N(IFERROR(VLOOKUP(BX955,'Gebinde-Kategorie'!$A$5:$N$45,14,0),0))&gt;0),VLOOKUP(BX955,'Gebinde-Kategorie'!$A$5:$N$45,14,0)*10+Parameter!$M$23,Parameter!$M$24))</f>
        <v>155</v>
      </c>
      <c r="CC955" s="48" t="str">
        <f aca="false">IF(AND(Parameter!$B$19="Ja",E955&lt;&gt;"",ISNUMBER(MATCH(E955,Parameter!$I$35:$I$52,0))),VLOOKUP(E955,Parameter!$I$35:$J$52,2,0),IFERROR(VLOOKUP(D955,Parameter!$A$35:$C$64,2,0),"Nein"))</f>
        <v>2+3</v>
      </c>
      <c r="CD955" s="52" t="n">
        <f aca="false">IF(BZ955=0,0,IF(N(S955)&gt;0,S955,IFERROR(VLOOKUP(D955,Parameter!$A$35:$C$64,3,0)+0,0)))</f>
        <v>0</v>
      </c>
      <c r="CE955" s="48" t="n">
        <f aca="false">IF(AA955&lt;&gt;"",AA955,Z955)</f>
        <v>3</v>
      </c>
      <c r="CF955" s="48" t="str">
        <f aca="false">IF(OR(CE955=1,CE955=2,CE955=3),IF(Parameter!$E$27="Ja","LIFT",IF(CE955=1,"L1","L23")),IF(CE955="Aussen","Aussen","-"))</f>
        <v>LIFT</v>
      </c>
      <c r="CG955" s="59" t="n">
        <f aca="false">IF(N(AB955)&gt;0,AB955,0)</f>
        <v>0</v>
      </c>
      <c r="CH955" s="53" t="n">
        <f aca="false">IF(ISNUMBER(AE955),1,0)</f>
        <v>0</v>
      </c>
      <c r="CI955" s="50" t="n">
        <f aca="false">N(AE955)</f>
        <v>0</v>
      </c>
      <c r="CJ955" s="50" t="n">
        <f aca="false">N(M955)+N(N955)</f>
        <v>10</v>
      </c>
      <c r="CK955" s="50" t="n">
        <f aca="false">N(M955)</f>
        <v>0</v>
      </c>
      <c r="CL955" s="50" t="n">
        <f aca="false">N(N955)</f>
        <v>10</v>
      </c>
      <c r="CM955" s="50" t="n">
        <f aca="false">ROUNDUP(H955/BY955,0)</f>
        <v>1</v>
      </c>
      <c r="CN955" s="50" t="n">
        <f aca="false">ROUNDUP(CI955/BY955,0)</f>
        <v>0</v>
      </c>
      <c r="CO955" s="53" t="n">
        <f aca="false">IF(BZ955=1,0,IFERROR(VLOOKUP(BX955,'Gebinde-Kategorie'!$A$5:$N$45,5,0)+0,0))</f>
        <v>8</v>
      </c>
      <c r="CP955" s="53" t="n">
        <f aca="false">IFERROR(IF(OR(CE955=1,CE955=2,CE955=3),N(INDEX(Parameter!$I$5:$I$7,CE955)),0),0)</f>
        <v>0</v>
      </c>
      <c r="CQ955" s="52" t="n">
        <f aca="false">IF(AND(Parameter!$B$21="Ja",ISNUMBER(W955),N(X955)&gt;0),IFERROR(N(INDEX(Parameter!$L$5:$L$7,W955))*INDEX(Parameter!$E$5:$E$7,W955)*X955/SUMIFS($X$7:$X$1843,$W$7:$W$1843,W955),0),0)</f>
        <v>0</v>
      </c>
    </row>
    <row r="956" customFormat="false" ht="15" hidden="false" customHeight="false" outlineLevel="0" collapsed="false">
      <c r="A956" s="48" t="s">
        <v>1790</v>
      </c>
      <c r="B956" s="48" t="s">
        <v>1717</v>
      </c>
      <c r="C956" s="48" t="s">
        <v>173</v>
      </c>
      <c r="D956" s="48" t="s">
        <v>193</v>
      </c>
      <c r="E956" s="48" t="s">
        <v>194</v>
      </c>
      <c r="F956" s="48" t="s">
        <v>227</v>
      </c>
      <c r="G956" s="49" t="n">
        <v>31.64</v>
      </c>
      <c r="H956" s="50" t="n">
        <f aca="false">MAX(0,IF(AND(Parameter!$B$21="Ja",ISNUMBER(Y956)),Y956,IF(Parameter!$B$20="Jahresanfang 2025 + Export",BR956+BQ956,BQ956)))</f>
        <v>15</v>
      </c>
      <c r="I956" s="50" t="n">
        <f aca="false">H956*G956</f>
        <v>474.6</v>
      </c>
      <c r="J956" s="50" t="n">
        <f aca="false">BT956*Parameter!$B$18</f>
        <v>1</v>
      </c>
      <c r="K956" s="51" t="n">
        <v>16</v>
      </c>
      <c r="L956" s="52" t="n">
        <v>0.0625</v>
      </c>
      <c r="M956" s="50" t="n">
        <v>0</v>
      </c>
      <c r="N956" s="50" t="n">
        <v>5</v>
      </c>
      <c r="O956" s="53" t="n">
        <v>56</v>
      </c>
      <c r="P956" s="48" t="s">
        <v>485</v>
      </c>
      <c r="Q956" s="50" t="n">
        <v>22</v>
      </c>
      <c r="R956" s="53" t="n">
        <f aca="false">IF(BZ956=1,0,IFERROR(VLOOKUP(BX956,'Gebinde-Kategorie'!$A$5:$N$45,13,0)+0,0))</f>
        <v>52</v>
      </c>
      <c r="S956" s="54"/>
      <c r="T956" s="55"/>
      <c r="U956" s="55"/>
      <c r="V956" s="55"/>
      <c r="W956" s="48"/>
      <c r="X956" s="50"/>
      <c r="Y956" s="50"/>
      <c r="Z956" s="48" t="n">
        <f aca="false">IF(A956="","",IF(AND(Parameter!$B$21="Ja",ISNUMBER(W956)),W956,IF(CC956="2+3",IF(ISNUMBER(SEARCH("grosser Artikel",BU956)),2,IFERROR(VLOOKUP(BX956,Parameter!$F$35:$G$64,2,0),2)),IF(OR(CC956="Nein",CC956=""),"-",CC956))))</f>
        <v>3</v>
      </c>
      <c r="AA956" s="55"/>
      <c r="AB956" s="56"/>
      <c r="AC956" s="50" t="n">
        <f aca="false">AV956</f>
        <v>5</v>
      </c>
      <c r="AD956" s="50" t="n">
        <f aca="false">MAX(AV956,H956)</f>
        <v>15</v>
      </c>
      <c r="AE956" s="57"/>
      <c r="AF956" s="50" t="n">
        <f aca="false">IF(LEFT(Cockpit!$C$5,1)="A",H956,IF(Parameter!$E$30="MAX-Bestand",IF(CH956=1,CI956,IF(LEFT(Cockpit!$C$5,1)="B",AL956,MAX(AL956,H956))),ROUNDUP(AJ956,0)))</f>
        <v>15</v>
      </c>
      <c r="AG956" s="50" t="n">
        <f aca="false">IF(BZ956=1,0,ROUNDUP(AF956/BY956,0))</f>
        <v>1</v>
      </c>
      <c r="AH956" s="52" t="n">
        <f aca="false">IF(CQ956&gt;0,CQ956*MAX(1,AF956/X956),IF(BZ956=1,IF(AF956&lt;=0,0,CD956*MAX(1,IF(H956&gt;0,AF956/H956,1))),IF(R956&gt;0,AG956/R956,0))/MAX(0.1,N(Parameter!$M$21)))</f>
        <v>0.0192307692307692</v>
      </c>
      <c r="AI956" s="50" t="n">
        <f aca="false">AH956*CB956</f>
        <v>2.98076923076923</v>
      </c>
      <c r="AJ956" s="51" t="n">
        <f aca="false">IF(LEFT(Cockpit!$C$5,1)="A",H956,IF(CH956=1,(CK956+CI956)/2,IF(LEFT(Cockpit!$C$5,1)="B",(CK956+AL956)/2,MAX((CK956+AL956)/2,H956))))</f>
        <v>15</v>
      </c>
      <c r="AK956" s="50" t="n">
        <f aca="false">AJ956*G956</f>
        <v>474.6</v>
      </c>
      <c r="AL956" s="50" t="n">
        <f aca="false">ROUNDUP(CK956+MAX(CL956,2*(J956/IF(CG956&gt;0,CG956,MAX(0.1,N(Cockpit!$C$6)))-CK956)),0)</f>
        <v>5</v>
      </c>
      <c r="AM956" s="51" t="n">
        <f aca="false">IF(AI956&gt;0,J956/AI956,-1)</f>
        <v>0.335483870967742</v>
      </c>
      <c r="AN956" s="51" t="n">
        <f aca="false">IF(AND(OR(CF956="L1",CF956="L23",CF956="LIFT"),AI956&gt;0),SUMIFS($AI$7:$AI$1843,$CF$7:$CF$1843,CF956,$AM$7:$AM$1843,"&gt;"&amp;AM956)+SUMIFS($AI$7:$AI$1843,$CF$7:$CF$1843,CF956,$AM$7:$AM$1843,AM956,$BW$7:$BW$1843,"&lt;="&amp;BW956),"")</f>
        <v>11215.8270394859</v>
      </c>
      <c r="AO956" s="58" t="n">
        <f aca="false">IF(AN956="",0,MAX(0,MIN(1,(IF(CF956="L1",Parameter!$H$5,IF(CF956="L23",Parameter!$H$6+Parameter!$H$7,Parameter!$H$5+Parameter!$H$6+Parameter!$H$7))-(AN956-AI956))/AI956)))</f>
        <v>1</v>
      </c>
      <c r="AP956" s="50" t="n">
        <f aca="false">IF(LEFT(Cockpit!$I$5,1)="A",H956,IF(Parameter!$E$30="MAX-Bestand",IF(CH956=1,CI956,IF(LEFT(Cockpit!$I$5,1)="B",AV956,MAX(AV956,H956))),ROUNDUP(AT956,0)))</f>
        <v>15</v>
      </c>
      <c r="AQ956" s="50" t="n">
        <f aca="false">IF(BZ956=1,0,ROUNDUP(AP956/BY956,0))</f>
        <v>1</v>
      </c>
      <c r="AR956" s="52" t="n">
        <f aca="false">IF(CQ956&gt;0,CQ956*MAX(1,AP956/X956),IF(BZ956=1,IF(AP956&lt;=0,0,CD956*MAX(1,IF(H956&gt;0,AP956/H956,1))),IF(R956&gt;0,AQ956/R956,0))/MAX(0.1,N(Parameter!$M$21)))</f>
        <v>0.0192307692307692</v>
      </c>
      <c r="AS956" s="50" t="n">
        <f aca="false">AR956*CB956</f>
        <v>2.98076923076923</v>
      </c>
      <c r="AT956" s="51" t="n">
        <f aca="false">IF(LEFT(Cockpit!$I$5,1)="A",H956,IF(CH956=1,(CK956+CI956)/2,IF(LEFT(Cockpit!$I$5,1)="B",(CK956+AV956)/2,MAX((CK956+AV956)/2,H956))))</f>
        <v>15</v>
      </c>
      <c r="AU956" s="50" t="n">
        <f aca="false">AT956*G956</f>
        <v>474.6</v>
      </c>
      <c r="AV956" s="50" t="n">
        <f aca="false">ROUNDUP(CK956+MAX(CL956,2*(J956/IF(CG956&gt;0,CG956,MAX(0.1,N(Cockpit!$I$6)))-CK956)),0)</f>
        <v>5</v>
      </c>
      <c r="AW956" s="51" t="n">
        <f aca="false">IF(AS956&gt;0,J956/AS956,-1)</f>
        <v>0.335483870967742</v>
      </c>
      <c r="AX956" s="51" t="n">
        <f aca="false">IF(AND(OR(CF956="L1",CF956="L23",CF956="LIFT"),AS956&gt;0),SUMIFS($AS$7:$AS$1843,$CF$7:$CF$1843,CF956,$AW$7:$AW$1843,"&gt;"&amp;AW956)+SUMIFS($AS$7:$AS$1843,$CF$7:$CF$1843,CF956,$AW$7:$AW$1843,AW956,$BW$7:$BW$1843,"&lt;="&amp;BW956),"")</f>
        <v>13749.9647435897</v>
      </c>
      <c r="AY956" s="58" t="n">
        <f aca="false">IF(AX956="",0,MAX(0,MIN(1,(IF(CF956="L1",Parameter!$H$5,IF(CF956="L23",Parameter!$H$6+Parameter!$H$7,Parameter!$H$5+Parameter!$H$6+Parameter!$H$7))-(AX956-AS956))/AS956)))</f>
        <v>1</v>
      </c>
      <c r="AZ956" s="50" t="n">
        <f aca="false">IF(LEFT(Cockpit!$O$5,1)="A",H956,IF(Parameter!$E$30="MAX-Bestand",IF(CH956=1,CI956,IF(LEFT(Cockpit!$O$5,1)="B",BF956,MAX(BF956,H956))),ROUNDUP(BD956,0)))</f>
        <v>3</v>
      </c>
      <c r="BA956" s="50" t="n">
        <f aca="false">IF(BZ956=1,0,ROUNDUP(AZ956/BY956,0))</f>
        <v>1</v>
      </c>
      <c r="BB956" s="52" t="n">
        <f aca="false">IF(CQ956&gt;0,CQ956*MAX(1,AZ956/X956),IF(BZ956=1,IF(AZ956&lt;=0,0,CD956*MAX(1,IF(H956&gt;0,AZ956/H956,1))),IF(R956&gt;0,BA956/R956,0))/MAX(0.1,N(Parameter!$M$21)))</f>
        <v>0.0192307692307692</v>
      </c>
      <c r="BC956" s="50" t="n">
        <f aca="false">BB956*CB956</f>
        <v>2.98076923076923</v>
      </c>
      <c r="BD956" s="51" t="n">
        <f aca="false">IF(LEFT(Cockpit!$O$5,1)="A",H956,IF(CH956=1,(CK956+CI956)/2,IF(LEFT(Cockpit!$O$5,1)="B",(CK956+BF956)/2,MAX((CK956+BF956)/2,H956))))</f>
        <v>2.5</v>
      </c>
      <c r="BE956" s="50" t="n">
        <f aca="false">BD956*G956</f>
        <v>79.1</v>
      </c>
      <c r="BF956" s="50" t="n">
        <f aca="false">ROUNDUP(CK956+MAX(CL956,2*(J956/IF(CG956&gt;0,CG956,MAX(0.1,N(Cockpit!$O$6)))-CK956)),0)</f>
        <v>5</v>
      </c>
      <c r="BG956" s="51" t="n">
        <f aca="false">IF(BC956&gt;0,J956/BC956,-1)</f>
        <v>0.335483870967742</v>
      </c>
      <c r="BH956" s="51" t="n">
        <f aca="false">IF(AND(OR(CF956="L1",CF956="L23",CF956="LIFT"),BC956&gt;0),SUMIFS($BC$7:$BC$1843,$CF$7:$CF$1843,CF956,$BG$7:$BG$1843,"&gt;"&amp;BG956)+SUMIFS($BC$7:$BC$1843,$CF$7:$CF$1843,CF956,$BG$7:$BG$1843,BG956,$BW$7:$BW$1843,"&lt;="&amp;BW956),"")</f>
        <v>11600.9235347985</v>
      </c>
      <c r="BI956" s="58" t="n">
        <f aca="false">IF(BH956="",0,MAX(0,MIN(1,(IF(CF956="L1",Parameter!$H$5,IF(CF956="L23",Parameter!$H$6+Parameter!$H$7,Parameter!$H$5+Parameter!$H$6+Parameter!$H$7))-(BH956-BC956))/BC956)))</f>
        <v>1</v>
      </c>
      <c r="BJ956" s="48" t="str">
        <f aca="false">IF(AI956&lt;=0,"",IF(CF956="Aussen","Aussenlager",IF(CF956="-","Nicht im Lift",IF(AO956&gt;=1,"Lift",IF(AO956&lt;=0,"Aussenlager","teilweise")))))</f>
        <v>Lift</v>
      </c>
      <c r="BK956" s="48" t="str">
        <f aca="false">IF(AS956&lt;=0,"",IF(CF956="Aussen","Aussenlager",IF(CF956="-","Nicht im Lift",IF(AY956&gt;=1,"Lift",IF(AY956&lt;=0,"Aussenlager","teilweise")))))</f>
        <v>Lift</v>
      </c>
      <c r="BL956" s="48" t="str">
        <f aca="false">IF(BC956&lt;=0,"",IF(CF956="Aussen","Aussenlager",IF(CF956="-","Nicht im Lift",IF(BI956&gt;=1,"Lift",IF(BI956&lt;=0,"Aussenlager","teilweise")))))</f>
        <v>Lift</v>
      </c>
      <c r="BM956" s="48" t="str">
        <f aca="false">IF(A956="","",IF(BV956=1,"Neu; ","")&amp;IF(AND(BV956=0,BQ956&lt;0),"negativer Bestand (Export "&amp;BQ956&amp;"); ","")&amp;IF(J956&lt;=0,"Kein Verbrauch; ","")&amp;IF(CQ956&gt;0,"Lift "&amp;W956&amp;" lt. Liftbericht (Fach "&amp;X956&amp;" Stk); ",IF(CA956=1,"Gebinde geschätzt ("&amp;T956&amp;"); ",IF(BZ956=1,"Lose – Tablare geschätzt; ","")))&amp;IF(H956&gt;AV956,"Überbestand "&amp;ROUND(H956-AV956,0)&amp;" Stk / CHF "&amp;ROUND((H956-AV956)*G956,0)&amp;"; ","")&amp;IF(AND(CH956=1,CI956&lt;CJ956),"MAX &lt; MB+LG; ","")&amp;IF(AND(CP956&gt;0,CO956*10&gt;CP956),"zu hoch für Tablar; ","")&amp;IF(AND(BV956=0,OR(CH956=1,AA956&lt;&gt;"",U956&lt;&gt;"",V956&lt;&gt;"",AB956&lt;&gt;"")),"manuell übersteuert; ","")&amp;IF(AND(BZ956=0,R956=0),"Gebinde unbekannt / Stellmass fehlt; ","")&amp;IF(AND(BZ956=0,N(V956)&lt;=0,N(Q956)&lt;=0),"Menge pro Gebinde fehlt (Ist = 1 Gebinde); ","")&amp;BU956)</f>
        <v>negativer Bestand (Export -2); Überbestand 10 Stk / CHF 316; </v>
      </c>
      <c r="BN956" s="48"/>
      <c r="BO956" s="48"/>
      <c r="BP956" s="55"/>
      <c r="BQ956" s="50" t="n">
        <v>-2</v>
      </c>
      <c r="BR956" s="50" t="n">
        <v>17</v>
      </c>
      <c r="BS956" s="49" t="n">
        <v>-63.28</v>
      </c>
      <c r="BT956" s="50" t="n">
        <v>1</v>
      </c>
      <c r="BU956" s="48"/>
      <c r="BV956" s="53" t="n">
        <v>0</v>
      </c>
      <c r="BW956" s="53" t="n">
        <v>956</v>
      </c>
      <c r="BX956" s="48" t="str">
        <f aca="false">IF(U956&lt;&gt;"",UPPER(TRIM(U956)),IF(CA956=1,UPPER(VLOOKUP(T956,Parameter!$I$27:$K$29,2,0)),IF(P956="","LOSE",P956)))</f>
        <v>S33</v>
      </c>
      <c r="BY956" s="50" t="n">
        <f aca="false">IF(BX956="LOSE",1,IF(N(V956)&gt;0,V956,IF(CA956=1,MAX(1,N(VLOOKUP(T956,Parameter!$I$27:$K$29,3,0)),H956,N(N956)),IF(N(Q956)&gt;0,Q956,MAX(1,H956)))))</f>
        <v>22</v>
      </c>
      <c r="BZ956" s="53" t="n">
        <f aca="false">IF(BX956="LOSE",1,0)</f>
        <v>0</v>
      </c>
      <c r="CA956" s="53" t="n">
        <f aca="false">IF(AND(U956="",OR(P956="",P956="LOSE"),T956&lt;&gt;"",N(S956)&lt;=0,ISNUMBER(MATCH(T956,Parameter!$I$27:$I$29,0))),1,0)</f>
        <v>0</v>
      </c>
      <c r="CB956" s="53" t="n">
        <f aca="false">IF(CQ956&gt;0,INDEX(Parameter!$H$5:$H$7,W956)/INDEX(Parameter!$E$5:$E$7,W956),IF(AND(BZ956=0,N(IFERROR(VLOOKUP(BX956,'Gebinde-Kategorie'!$A$5:$N$45,14,0),0))&gt;0),VLOOKUP(BX956,'Gebinde-Kategorie'!$A$5:$N$45,14,0)*10+Parameter!$M$23,Parameter!$M$24))</f>
        <v>155</v>
      </c>
      <c r="CC956" s="48" t="str">
        <f aca="false">IF(AND(Parameter!$B$19="Ja",E956&lt;&gt;"",ISNUMBER(MATCH(E956,Parameter!$I$35:$I$52,0))),VLOOKUP(E956,Parameter!$I$35:$J$52,2,0),IFERROR(VLOOKUP(D956,Parameter!$A$35:$C$64,2,0),"Nein"))</f>
        <v>2+3</v>
      </c>
      <c r="CD956" s="52" t="n">
        <f aca="false">IF(BZ956=0,0,IF(N(S956)&gt;0,S956,IFERROR(VLOOKUP(D956,Parameter!$A$35:$C$64,3,0)+0,0)))</f>
        <v>0</v>
      </c>
      <c r="CE956" s="48" t="n">
        <f aca="false">IF(AA956&lt;&gt;"",AA956,Z956)</f>
        <v>3</v>
      </c>
      <c r="CF956" s="48" t="str">
        <f aca="false">IF(OR(CE956=1,CE956=2,CE956=3),IF(Parameter!$E$27="Ja","LIFT",IF(CE956=1,"L1","L23")),IF(CE956="Aussen","Aussen","-"))</f>
        <v>LIFT</v>
      </c>
      <c r="CG956" s="59" t="n">
        <f aca="false">IF(N(AB956)&gt;0,AB956,0)</f>
        <v>0</v>
      </c>
      <c r="CH956" s="53" t="n">
        <f aca="false">IF(ISNUMBER(AE956),1,0)</f>
        <v>0</v>
      </c>
      <c r="CI956" s="50" t="n">
        <f aca="false">N(AE956)</f>
        <v>0</v>
      </c>
      <c r="CJ956" s="50" t="n">
        <f aca="false">N(M956)+N(N956)</f>
        <v>5</v>
      </c>
      <c r="CK956" s="50" t="n">
        <f aca="false">N(M956)</f>
        <v>0</v>
      </c>
      <c r="CL956" s="50" t="n">
        <f aca="false">N(N956)</f>
        <v>5</v>
      </c>
      <c r="CM956" s="50" t="n">
        <f aca="false">ROUNDUP(H956/BY956,0)</f>
        <v>1</v>
      </c>
      <c r="CN956" s="50" t="n">
        <f aca="false">ROUNDUP(CI956/BY956,0)</f>
        <v>0</v>
      </c>
      <c r="CO956" s="53" t="n">
        <f aca="false">IF(BZ956=1,0,IFERROR(VLOOKUP(BX956,'Gebinde-Kategorie'!$A$5:$N$45,5,0)+0,0))</f>
        <v>8</v>
      </c>
      <c r="CP956" s="53" t="n">
        <f aca="false">IFERROR(IF(OR(CE956=1,CE956=2,CE956=3),N(INDEX(Parameter!$I$5:$I$7,CE956)),0),0)</f>
        <v>0</v>
      </c>
      <c r="CQ956" s="52" t="n">
        <f aca="false">IF(AND(Parameter!$B$21="Ja",ISNUMBER(W956),N(X956)&gt;0),IFERROR(N(INDEX(Parameter!$L$5:$L$7,W956))*INDEX(Parameter!$E$5:$E$7,W956)*X956/SUMIFS($X$7:$X$1843,$W$7:$W$1843,W956),0),0)</f>
        <v>0</v>
      </c>
    </row>
    <row r="957" customFormat="false" ht="15" hidden="false" customHeight="false" outlineLevel="0" collapsed="false">
      <c r="A957" s="48" t="s">
        <v>1791</v>
      </c>
      <c r="B957" s="48" t="s">
        <v>1770</v>
      </c>
      <c r="C957" s="48" t="s">
        <v>173</v>
      </c>
      <c r="D957" s="48" t="s">
        <v>193</v>
      </c>
      <c r="E957" s="48" t="s">
        <v>194</v>
      </c>
      <c r="F957" s="48" t="s">
        <v>227</v>
      </c>
      <c r="G957" s="49" t="n">
        <v>21.34</v>
      </c>
      <c r="H957" s="50" t="n">
        <f aca="false">MAX(0,IF(AND(Parameter!$B$21="Ja",ISNUMBER(Y957)),Y957,IF(Parameter!$B$20="Jahresanfang 2025 + Export",BR957+BQ957,BQ957)))</f>
        <v>42</v>
      </c>
      <c r="I957" s="50" t="n">
        <f aca="false">H957*G957</f>
        <v>896.28</v>
      </c>
      <c r="J957" s="50" t="n">
        <f aca="false">BT957*Parameter!$B$18</f>
        <v>0</v>
      </c>
      <c r="K957" s="51" t="n">
        <v>45</v>
      </c>
      <c r="L957" s="52" t="n">
        <v>0</v>
      </c>
      <c r="M957" s="50" t="n">
        <v>0</v>
      </c>
      <c r="N957" s="50" t="n">
        <v>1</v>
      </c>
      <c r="O957" s="53" t="n">
        <v>35</v>
      </c>
      <c r="P957" s="48" t="s">
        <v>430</v>
      </c>
      <c r="Q957" s="50" t="n">
        <v>54</v>
      </c>
      <c r="R957" s="53" t="n">
        <f aca="false">IF(BZ957=1,0,IFERROR(VLOOKUP(BX957,'Gebinde-Kategorie'!$A$5:$N$45,13,0)+0,0))</f>
        <v>104</v>
      </c>
      <c r="S957" s="54"/>
      <c r="T957" s="55"/>
      <c r="U957" s="55"/>
      <c r="V957" s="55"/>
      <c r="W957" s="48"/>
      <c r="X957" s="50"/>
      <c r="Y957" s="50"/>
      <c r="Z957" s="48" t="n">
        <f aca="false">IF(A957="","",IF(AND(Parameter!$B$21="Ja",ISNUMBER(W957)),W957,IF(CC957="2+3",IF(ISNUMBER(SEARCH("grosser Artikel",BU957)),2,IFERROR(VLOOKUP(BX957,Parameter!$F$35:$G$64,2,0),2)),IF(OR(CC957="Nein",CC957=""),"-",CC957))))</f>
        <v>3</v>
      </c>
      <c r="AA957" s="55"/>
      <c r="AB957" s="56"/>
      <c r="AC957" s="50" t="n">
        <f aca="false">AV957</f>
        <v>1</v>
      </c>
      <c r="AD957" s="50" t="n">
        <f aca="false">MAX(AV957,H957)</f>
        <v>42</v>
      </c>
      <c r="AE957" s="57"/>
      <c r="AF957" s="50" t="n">
        <f aca="false">IF(LEFT(Cockpit!$C$5,1)="A",H957,IF(Parameter!$E$30="MAX-Bestand",IF(CH957=1,CI957,IF(LEFT(Cockpit!$C$5,1)="B",AL957,MAX(AL957,H957))),ROUNDUP(AJ957,0)))</f>
        <v>42</v>
      </c>
      <c r="AG957" s="50" t="n">
        <f aca="false">IF(BZ957=1,0,ROUNDUP(AF957/BY957,0))</f>
        <v>1</v>
      </c>
      <c r="AH957" s="52" t="n">
        <f aca="false">IF(CQ957&gt;0,CQ957*MAX(1,AF957/X957),IF(BZ957=1,IF(AF957&lt;=0,0,CD957*MAX(1,IF(H957&gt;0,AF957/H957,1))),IF(R957&gt;0,AG957/R957,0))/MAX(0.1,N(Parameter!$M$21)))</f>
        <v>0.00961538461538462</v>
      </c>
      <c r="AI957" s="50" t="n">
        <f aca="false">AH957*CB957</f>
        <v>1.49038461538462</v>
      </c>
      <c r="AJ957" s="51" t="n">
        <f aca="false">IF(LEFT(Cockpit!$C$5,1)="A",H957,IF(CH957=1,(CK957+CI957)/2,IF(LEFT(Cockpit!$C$5,1)="B",(CK957+AL957)/2,MAX((CK957+AL957)/2,H957))))</f>
        <v>42</v>
      </c>
      <c r="AK957" s="50" t="n">
        <f aca="false">AJ957*G957</f>
        <v>896.28</v>
      </c>
      <c r="AL957" s="50" t="n">
        <f aca="false">ROUNDUP(CK957+MAX(CL957,2*(J957/IF(CG957&gt;0,CG957,MAX(0.1,N(Cockpit!$C$6)))-CK957)),0)</f>
        <v>1</v>
      </c>
      <c r="AM957" s="51" t="n">
        <f aca="false">IF(AI957&gt;0,J957/AI957,-1)</f>
        <v>0</v>
      </c>
      <c r="AN957" s="51" t="n">
        <f aca="false">IF(AND(OR(CF957="L1",CF957="L23",CF957="LIFT"),AI957&gt;0),SUMIFS($AI$7:$AI$1843,$CF$7:$CF$1843,CF957,$AM$7:$AM$1843,"&gt;"&amp;AM957)+SUMIFS($AI$7:$AI$1843,$CF$7:$CF$1843,CF957,$AM$7:$AM$1843,AM957,$BW$7:$BW$1843,"&lt;="&amp;BW957),"")</f>
        <v>28882.7941241903</v>
      </c>
      <c r="AO957" s="58" t="n">
        <f aca="false">IF(AN957="",0,MAX(0,MIN(1,(IF(CF957="L1",Parameter!$H$5,IF(CF957="L23",Parameter!$H$6+Parameter!$H$7,Parameter!$H$5+Parameter!$H$6+Parameter!$H$7))-(AN957-AI957))/AI957)))</f>
        <v>1</v>
      </c>
      <c r="AP957" s="50" t="n">
        <f aca="false">IF(LEFT(Cockpit!$I$5,1)="A",H957,IF(Parameter!$E$30="MAX-Bestand",IF(CH957=1,CI957,IF(LEFT(Cockpit!$I$5,1)="B",AV957,MAX(AV957,H957))),ROUNDUP(AT957,0)))</f>
        <v>42</v>
      </c>
      <c r="AQ957" s="50" t="n">
        <f aca="false">IF(BZ957=1,0,ROUNDUP(AP957/BY957,0))</f>
        <v>1</v>
      </c>
      <c r="AR957" s="52" t="n">
        <f aca="false">IF(CQ957&gt;0,CQ957*MAX(1,AP957/X957),IF(BZ957=1,IF(AP957&lt;=0,0,CD957*MAX(1,IF(H957&gt;0,AP957/H957,1))),IF(R957&gt;0,AQ957/R957,0))/MAX(0.1,N(Parameter!$M$21)))</f>
        <v>0.00961538461538462</v>
      </c>
      <c r="AS957" s="50" t="n">
        <f aca="false">AR957*CB957</f>
        <v>1.49038461538462</v>
      </c>
      <c r="AT957" s="51" t="n">
        <f aca="false">IF(LEFT(Cockpit!$I$5,1)="A",H957,IF(CH957=1,(CK957+CI957)/2,IF(LEFT(Cockpit!$I$5,1)="B",(CK957+AV957)/2,MAX((CK957+AV957)/2,H957))))</f>
        <v>42</v>
      </c>
      <c r="AU957" s="50" t="n">
        <f aca="false">AT957*G957</f>
        <v>896.28</v>
      </c>
      <c r="AV957" s="50" t="n">
        <f aca="false">ROUNDUP(CK957+MAX(CL957,2*(J957/IF(CG957&gt;0,CG957,MAX(0.1,N(Cockpit!$I$6)))-CK957)),0)</f>
        <v>1</v>
      </c>
      <c r="AW957" s="51" t="n">
        <f aca="false">IF(AS957&gt;0,J957/AS957,-1)</f>
        <v>0</v>
      </c>
      <c r="AX957" s="51" t="n">
        <f aca="false">IF(AND(OR(CF957="L1",CF957="L23",CF957="LIFT"),AS957&gt;0),SUMIFS($AS$7:$AS$1843,$CF$7:$CF$1843,CF957,$AW$7:$AW$1843,"&gt;"&amp;AW957)+SUMIFS($AS$7:$AS$1843,$CF$7:$CF$1843,CF957,$AW$7:$AW$1843,AW957,$BW$7:$BW$1843,"&lt;="&amp;BW957),"")</f>
        <v>34550.7271062271</v>
      </c>
      <c r="AY957" s="58" t="n">
        <f aca="false">IF(AX957="",0,MAX(0,MIN(1,(IF(CF957="L1",Parameter!$H$5,IF(CF957="L23",Parameter!$H$6+Parameter!$H$7,Parameter!$H$5+Parameter!$H$6+Parameter!$H$7))-(AX957-AS957))/AS957)))</f>
        <v>1</v>
      </c>
      <c r="AZ957" s="50" t="n">
        <f aca="false">IF(LEFT(Cockpit!$O$5,1)="A",H957,IF(Parameter!$E$30="MAX-Bestand",IF(CH957=1,CI957,IF(LEFT(Cockpit!$O$5,1)="B",BF957,MAX(BF957,H957))),ROUNDUP(BD957,0)))</f>
        <v>1</v>
      </c>
      <c r="BA957" s="50" t="n">
        <f aca="false">IF(BZ957=1,0,ROUNDUP(AZ957/BY957,0))</f>
        <v>1</v>
      </c>
      <c r="BB957" s="52" t="n">
        <f aca="false">IF(CQ957&gt;0,CQ957*MAX(1,AZ957/X957),IF(BZ957=1,IF(AZ957&lt;=0,0,CD957*MAX(1,IF(H957&gt;0,AZ957/H957,1))),IF(R957&gt;0,BA957/R957,0))/MAX(0.1,N(Parameter!$M$21)))</f>
        <v>0.00961538461538462</v>
      </c>
      <c r="BC957" s="50" t="n">
        <f aca="false">BB957*CB957</f>
        <v>1.49038461538462</v>
      </c>
      <c r="BD957" s="51" t="n">
        <f aca="false">IF(LEFT(Cockpit!$O$5,1)="A",H957,IF(CH957=1,(CK957+CI957)/2,IF(LEFT(Cockpit!$O$5,1)="B",(CK957+BF957)/2,MAX((CK957+BF957)/2,H957))))</f>
        <v>0.5</v>
      </c>
      <c r="BE957" s="50" t="n">
        <f aca="false">BD957*G957</f>
        <v>10.67</v>
      </c>
      <c r="BF957" s="50" t="n">
        <f aca="false">ROUNDUP(CK957+MAX(CL957,2*(J957/IF(CG957&gt;0,CG957,MAX(0.1,N(Cockpit!$O$6)))-CK957)),0)</f>
        <v>1</v>
      </c>
      <c r="BG957" s="51" t="n">
        <f aca="false">IF(BC957&gt;0,J957/BC957,-1)</f>
        <v>0</v>
      </c>
      <c r="BH957" s="51" t="n">
        <f aca="false">IF(AND(OR(CF957="L1",CF957="L23",CF957="LIFT"),BC957&gt;0),SUMIFS($BC$7:$BC$1843,$CF$7:$CF$1843,CF957,$BG$7:$BG$1843,"&gt;"&amp;BG957)+SUMIFS($BC$7:$BC$1843,$CF$7:$CF$1843,CF957,$BG$7:$BG$1843,BG957,$BW$7:$BW$1843,"&lt;="&amp;BW957),"")</f>
        <v>28581.2260740672</v>
      </c>
      <c r="BI957" s="58" t="n">
        <f aca="false">IF(BH957="",0,MAX(0,MIN(1,(IF(CF957="L1",Parameter!$H$5,IF(CF957="L23",Parameter!$H$6+Parameter!$H$7,Parameter!$H$5+Parameter!$H$6+Parameter!$H$7))-(BH957-BC957))/BC957)))</f>
        <v>1</v>
      </c>
      <c r="BJ957" s="48" t="str">
        <f aca="false">IF(AI957&lt;=0,"",IF(CF957="Aussen","Aussenlager",IF(CF957="-","Nicht im Lift",IF(AO957&gt;=1,"Lift",IF(AO957&lt;=0,"Aussenlager","teilweise")))))</f>
        <v>Lift</v>
      </c>
      <c r="BK957" s="48" t="str">
        <f aca="false">IF(AS957&lt;=0,"",IF(CF957="Aussen","Aussenlager",IF(CF957="-","Nicht im Lift",IF(AY957&gt;=1,"Lift",IF(AY957&lt;=0,"Aussenlager","teilweise")))))</f>
        <v>Lift</v>
      </c>
      <c r="BL957" s="48" t="str">
        <f aca="false">IF(BC957&lt;=0,"",IF(CF957="Aussen","Aussenlager",IF(CF957="-","Nicht im Lift",IF(BI957&gt;=1,"Lift",IF(BI957&lt;=0,"Aussenlager","teilweise")))))</f>
        <v>Lift</v>
      </c>
      <c r="BM957" s="48" t="str">
        <f aca="false">IF(A957="","",IF(BV957=1,"Neu; ","")&amp;IF(AND(BV957=0,BQ957&lt;0),"negativer Bestand (Export "&amp;BQ957&amp;"); ","")&amp;IF(J957&lt;=0,"Kein Verbrauch; ","")&amp;IF(CQ957&gt;0,"Lift "&amp;W957&amp;" lt. Liftbericht (Fach "&amp;X957&amp;" Stk); ",IF(CA957=1,"Gebinde geschätzt ("&amp;T957&amp;"); ",IF(BZ957=1,"Lose – Tablare geschätzt; ","")))&amp;IF(H957&gt;AV957,"Überbestand "&amp;ROUND(H957-AV957,0)&amp;" Stk / CHF "&amp;ROUND((H957-AV957)*G957,0)&amp;"; ","")&amp;IF(AND(CH957=1,CI957&lt;CJ957),"MAX &lt; MB+LG; ","")&amp;IF(AND(CP957&gt;0,CO957*10&gt;CP957),"zu hoch für Tablar; ","")&amp;IF(AND(BV957=0,OR(CH957=1,AA957&lt;&gt;"",U957&lt;&gt;"",V957&lt;&gt;"",AB957&lt;&gt;"")),"manuell übersteuert; ","")&amp;IF(AND(BZ957=0,R957=0),"Gebinde unbekannt / Stellmass fehlt; ","")&amp;IF(AND(BZ957=0,N(V957)&lt;=0,N(Q957)&lt;=0),"Menge pro Gebinde fehlt (Ist = 1 Gebinde); ","")&amp;BU957)</f>
        <v>negativer Bestand (Export -3); Kein Verbrauch; Überbestand 41 Stk / CHF 875; Twin</v>
      </c>
      <c r="BN957" s="48"/>
      <c r="BO957" s="48"/>
      <c r="BP957" s="55"/>
      <c r="BQ957" s="50" t="n">
        <v>-3</v>
      </c>
      <c r="BR957" s="50" t="n">
        <v>45</v>
      </c>
      <c r="BS957" s="49" t="n">
        <v>-64.02</v>
      </c>
      <c r="BT957" s="50" t="n">
        <v>0</v>
      </c>
      <c r="BU957" s="48" t="s">
        <v>223</v>
      </c>
      <c r="BV957" s="53" t="n">
        <v>0</v>
      </c>
      <c r="BW957" s="53" t="n">
        <v>957</v>
      </c>
      <c r="BX957" s="48" t="str">
        <f aca="false">IF(U957&lt;&gt;"",UPPER(TRIM(U957)),IF(CA957=1,UPPER(VLOOKUP(T957,Parameter!$I$27:$K$29,2,0)),IF(P957="","LOSE",P957)))</f>
        <v>S32</v>
      </c>
      <c r="BY957" s="50" t="n">
        <f aca="false">IF(BX957="LOSE",1,IF(N(V957)&gt;0,V957,IF(CA957=1,MAX(1,N(VLOOKUP(T957,Parameter!$I$27:$K$29,3,0)),H957,N(N957)),IF(N(Q957)&gt;0,Q957,MAX(1,H957)))))</f>
        <v>54</v>
      </c>
      <c r="BZ957" s="53" t="n">
        <f aca="false">IF(BX957="LOSE",1,0)</f>
        <v>0</v>
      </c>
      <c r="CA957" s="53" t="n">
        <f aca="false">IF(AND(U957="",OR(P957="",P957="LOSE"),T957&lt;&gt;"",N(S957)&lt;=0,ISNUMBER(MATCH(T957,Parameter!$I$27:$I$29,0))),1,0)</f>
        <v>0</v>
      </c>
      <c r="CB957" s="53" t="n">
        <f aca="false">IF(CQ957&gt;0,INDEX(Parameter!$H$5:$H$7,W957)/INDEX(Parameter!$E$5:$E$7,W957),IF(AND(BZ957=0,N(IFERROR(VLOOKUP(BX957,'Gebinde-Kategorie'!$A$5:$N$45,14,0),0))&gt;0),VLOOKUP(BX957,'Gebinde-Kategorie'!$A$5:$N$45,14,0)*10+Parameter!$M$23,Parameter!$M$24))</f>
        <v>155</v>
      </c>
      <c r="CC957" s="48" t="str">
        <f aca="false">IF(AND(Parameter!$B$19="Ja",E957&lt;&gt;"",ISNUMBER(MATCH(E957,Parameter!$I$35:$I$52,0))),VLOOKUP(E957,Parameter!$I$35:$J$52,2,0),IFERROR(VLOOKUP(D957,Parameter!$A$35:$C$64,2,0),"Nein"))</f>
        <v>2+3</v>
      </c>
      <c r="CD957" s="52" t="n">
        <f aca="false">IF(BZ957=0,0,IF(N(S957)&gt;0,S957,IFERROR(VLOOKUP(D957,Parameter!$A$35:$C$64,3,0)+0,0)))</f>
        <v>0</v>
      </c>
      <c r="CE957" s="48" t="n">
        <f aca="false">IF(AA957&lt;&gt;"",AA957,Z957)</f>
        <v>3</v>
      </c>
      <c r="CF957" s="48" t="str">
        <f aca="false">IF(OR(CE957=1,CE957=2,CE957=3),IF(Parameter!$E$27="Ja","LIFT",IF(CE957=1,"L1","L23")),IF(CE957="Aussen","Aussen","-"))</f>
        <v>LIFT</v>
      </c>
      <c r="CG957" s="59" t="n">
        <f aca="false">IF(N(AB957)&gt;0,AB957,0)</f>
        <v>0</v>
      </c>
      <c r="CH957" s="53" t="n">
        <f aca="false">IF(ISNUMBER(AE957),1,0)</f>
        <v>0</v>
      </c>
      <c r="CI957" s="50" t="n">
        <f aca="false">N(AE957)</f>
        <v>0</v>
      </c>
      <c r="CJ957" s="50" t="n">
        <f aca="false">N(M957)+N(N957)</f>
        <v>1</v>
      </c>
      <c r="CK957" s="50" t="n">
        <f aca="false">N(M957)</f>
        <v>0</v>
      </c>
      <c r="CL957" s="50" t="n">
        <f aca="false">N(N957)</f>
        <v>1</v>
      </c>
      <c r="CM957" s="50" t="n">
        <f aca="false">ROUNDUP(H957/BY957,0)</f>
        <v>1</v>
      </c>
      <c r="CN957" s="50" t="n">
        <f aca="false">ROUNDUP(CI957/BY957,0)</f>
        <v>0</v>
      </c>
      <c r="CO957" s="53" t="n">
        <f aca="false">IF(BZ957=1,0,IFERROR(VLOOKUP(BX957,'Gebinde-Kategorie'!$A$5:$N$45,5,0)+0,0))</f>
        <v>8</v>
      </c>
      <c r="CP957" s="53" t="n">
        <f aca="false">IFERROR(IF(OR(CE957=1,CE957=2,CE957=3),N(INDEX(Parameter!$I$5:$I$7,CE957)),0),0)</f>
        <v>0</v>
      </c>
      <c r="CQ957" s="52" t="n">
        <f aca="false">IF(AND(Parameter!$B$21="Ja",ISNUMBER(W957),N(X957)&gt;0),IFERROR(N(INDEX(Parameter!$L$5:$L$7,W957))*INDEX(Parameter!$E$5:$E$7,W957)*X957/SUMIFS($X$7:$X$1843,$W$7:$W$1843,W957),0),0)</f>
        <v>0</v>
      </c>
    </row>
    <row r="958" customFormat="false" ht="15" hidden="false" customHeight="false" outlineLevel="0" collapsed="false">
      <c r="A958" s="48" t="s">
        <v>1792</v>
      </c>
      <c r="B958" s="48" t="s">
        <v>1793</v>
      </c>
      <c r="C958" s="48" t="s">
        <v>173</v>
      </c>
      <c r="D958" s="48" t="s">
        <v>193</v>
      </c>
      <c r="E958" s="48" t="s">
        <v>194</v>
      </c>
      <c r="F958" s="48" t="s">
        <v>227</v>
      </c>
      <c r="G958" s="49" t="n">
        <v>65.36</v>
      </c>
      <c r="H958" s="50" t="n">
        <f aca="false">MAX(0,IF(AND(Parameter!$B$21="Ja",ISNUMBER(Y958)),Y958,IF(Parameter!$B$20="Jahresanfang 2025 + Export",BR958+BQ958,BQ958)))</f>
        <v>5</v>
      </c>
      <c r="I958" s="50" t="n">
        <f aca="false">H958*G958</f>
        <v>326.8</v>
      </c>
      <c r="J958" s="50" t="n">
        <f aca="false">BT958*Parameter!$B$18</f>
        <v>0</v>
      </c>
      <c r="K958" s="51" t="n">
        <v>5.5</v>
      </c>
      <c r="L958" s="52" t="n">
        <v>0</v>
      </c>
      <c r="M958" s="50" t="n">
        <v>0</v>
      </c>
      <c r="N958" s="50" t="n">
        <v>1</v>
      </c>
      <c r="O958" s="53" t="n">
        <v>28</v>
      </c>
      <c r="P958" s="48" t="s">
        <v>337</v>
      </c>
      <c r="Q958" s="50" t="n">
        <v>10</v>
      </c>
      <c r="R958" s="53" t="n">
        <f aca="false">IF(BZ958=1,0,IFERROR(VLOOKUP(BX958,'Gebinde-Kategorie'!$A$5:$N$45,13,0)+0,0))</f>
        <v>52</v>
      </c>
      <c r="S958" s="54"/>
      <c r="T958" s="55"/>
      <c r="U958" s="55"/>
      <c r="V958" s="55"/>
      <c r="W958" s="48"/>
      <c r="X958" s="50"/>
      <c r="Y958" s="50"/>
      <c r="Z958" s="48" t="n">
        <f aca="false">IF(A958="","",IF(AND(Parameter!$B$21="Ja",ISNUMBER(W958)),W958,IF(CC958="2+3",IF(ISNUMBER(SEARCH("grosser Artikel",BU958)),2,IFERROR(VLOOKUP(BX958,Parameter!$F$35:$G$64,2,0),2)),IF(OR(CC958="Nein",CC958=""),"-",CC958))))</f>
        <v>3</v>
      </c>
      <c r="AA958" s="55"/>
      <c r="AB958" s="56"/>
      <c r="AC958" s="50" t="n">
        <f aca="false">AV958</f>
        <v>1</v>
      </c>
      <c r="AD958" s="50" t="n">
        <f aca="false">MAX(AV958,H958)</f>
        <v>5</v>
      </c>
      <c r="AE958" s="57"/>
      <c r="AF958" s="50" t="n">
        <f aca="false">IF(LEFT(Cockpit!$C$5,1)="A",H958,IF(Parameter!$E$30="MAX-Bestand",IF(CH958=1,CI958,IF(LEFT(Cockpit!$C$5,1)="B",AL958,MAX(AL958,H958))),ROUNDUP(AJ958,0)))</f>
        <v>5</v>
      </c>
      <c r="AG958" s="50" t="n">
        <f aca="false">IF(BZ958=1,0,ROUNDUP(AF958/BY958,0))</f>
        <v>1</v>
      </c>
      <c r="AH958" s="52" t="n">
        <f aca="false">IF(CQ958&gt;0,CQ958*MAX(1,AF958/X958),IF(BZ958=1,IF(AF958&lt;=0,0,CD958*MAX(1,IF(H958&gt;0,AF958/H958,1))),IF(R958&gt;0,AG958/R958,0))/MAX(0.1,N(Parameter!$M$21)))</f>
        <v>0.0192307692307692</v>
      </c>
      <c r="AI958" s="50" t="n">
        <f aca="false">AH958*CB958</f>
        <v>2.98076923076923</v>
      </c>
      <c r="AJ958" s="51" t="n">
        <f aca="false">IF(LEFT(Cockpit!$C$5,1)="A",H958,IF(CH958=1,(CK958+CI958)/2,IF(LEFT(Cockpit!$C$5,1)="B",(CK958+AL958)/2,MAX((CK958+AL958)/2,H958))))</f>
        <v>5</v>
      </c>
      <c r="AK958" s="50" t="n">
        <f aca="false">AJ958*G958</f>
        <v>326.8</v>
      </c>
      <c r="AL958" s="50" t="n">
        <f aca="false">ROUNDUP(CK958+MAX(CL958,2*(J958/IF(CG958&gt;0,CG958,MAX(0.1,N(Cockpit!$C$6)))-CK958)),0)</f>
        <v>1</v>
      </c>
      <c r="AM958" s="51" t="n">
        <f aca="false">IF(AI958&gt;0,J958/AI958,-1)</f>
        <v>0</v>
      </c>
      <c r="AN958" s="51" t="n">
        <f aca="false">IF(AND(OR(CF958="L1",CF958="L23",CF958="LIFT"),AI958&gt;0),SUMIFS($AI$7:$AI$1843,$CF$7:$CF$1843,CF958,$AM$7:$AM$1843,"&gt;"&amp;AM958)+SUMIFS($AI$7:$AI$1843,$CF$7:$CF$1843,CF958,$AM$7:$AM$1843,AM958,$BW$7:$BW$1843,"&lt;="&amp;BW958),"")</f>
        <v>28885.7748934211</v>
      </c>
      <c r="AO958" s="58" t="n">
        <f aca="false">IF(AN958="",0,MAX(0,MIN(1,(IF(CF958="L1",Parameter!$H$5,IF(CF958="L23",Parameter!$H$6+Parameter!$H$7,Parameter!$H$5+Parameter!$H$6+Parameter!$H$7))-(AN958-AI958))/AI958)))</f>
        <v>1</v>
      </c>
      <c r="AP958" s="50" t="n">
        <f aca="false">IF(LEFT(Cockpit!$I$5,1)="A",H958,IF(Parameter!$E$30="MAX-Bestand",IF(CH958=1,CI958,IF(LEFT(Cockpit!$I$5,1)="B",AV958,MAX(AV958,H958))),ROUNDUP(AT958,0)))</f>
        <v>5</v>
      </c>
      <c r="AQ958" s="50" t="n">
        <f aca="false">IF(BZ958=1,0,ROUNDUP(AP958/BY958,0))</f>
        <v>1</v>
      </c>
      <c r="AR958" s="52" t="n">
        <f aca="false">IF(CQ958&gt;0,CQ958*MAX(1,AP958/X958),IF(BZ958=1,IF(AP958&lt;=0,0,CD958*MAX(1,IF(H958&gt;0,AP958/H958,1))),IF(R958&gt;0,AQ958/R958,0))/MAX(0.1,N(Parameter!$M$21)))</f>
        <v>0.0192307692307692</v>
      </c>
      <c r="AS958" s="50" t="n">
        <f aca="false">AR958*CB958</f>
        <v>2.98076923076923</v>
      </c>
      <c r="AT958" s="51" t="n">
        <f aca="false">IF(LEFT(Cockpit!$I$5,1)="A",H958,IF(CH958=1,(CK958+CI958)/2,IF(LEFT(Cockpit!$I$5,1)="B",(CK958+AV958)/2,MAX((CK958+AV958)/2,H958))))</f>
        <v>5</v>
      </c>
      <c r="AU958" s="50" t="n">
        <f aca="false">AT958*G958</f>
        <v>326.8</v>
      </c>
      <c r="AV958" s="50" t="n">
        <f aca="false">ROUNDUP(CK958+MAX(CL958,2*(J958/IF(CG958&gt;0,CG958,MAX(0.1,N(Cockpit!$I$6)))-CK958)),0)</f>
        <v>1</v>
      </c>
      <c r="AW958" s="51" t="n">
        <f aca="false">IF(AS958&gt;0,J958/AS958,-1)</f>
        <v>0</v>
      </c>
      <c r="AX958" s="51" t="n">
        <f aca="false">IF(AND(OR(CF958="L1",CF958="L23",CF958="LIFT"),AS958&gt;0),SUMIFS($AS$7:$AS$1843,$CF$7:$CF$1843,CF958,$AW$7:$AW$1843,"&gt;"&amp;AW958)+SUMIFS($AS$7:$AS$1843,$CF$7:$CF$1843,CF958,$AW$7:$AW$1843,AW958,$BW$7:$BW$1843,"&lt;="&amp;BW958),"")</f>
        <v>34553.7078754579</v>
      </c>
      <c r="AY958" s="58" t="n">
        <f aca="false">IF(AX958="",0,MAX(0,MIN(1,(IF(CF958="L1",Parameter!$H$5,IF(CF958="L23",Parameter!$H$6+Parameter!$H$7,Parameter!$H$5+Parameter!$H$6+Parameter!$H$7))-(AX958-AS958))/AS958)))</f>
        <v>1</v>
      </c>
      <c r="AZ958" s="50" t="n">
        <f aca="false">IF(LEFT(Cockpit!$O$5,1)="A",H958,IF(Parameter!$E$30="MAX-Bestand",IF(CH958=1,CI958,IF(LEFT(Cockpit!$O$5,1)="B",BF958,MAX(BF958,H958))),ROUNDUP(BD958,0)))</f>
        <v>1</v>
      </c>
      <c r="BA958" s="50" t="n">
        <f aca="false">IF(BZ958=1,0,ROUNDUP(AZ958/BY958,0))</f>
        <v>1</v>
      </c>
      <c r="BB958" s="52" t="n">
        <f aca="false">IF(CQ958&gt;0,CQ958*MAX(1,AZ958/X958),IF(BZ958=1,IF(AZ958&lt;=0,0,CD958*MAX(1,IF(H958&gt;0,AZ958/H958,1))),IF(R958&gt;0,BA958/R958,0))/MAX(0.1,N(Parameter!$M$21)))</f>
        <v>0.0192307692307692</v>
      </c>
      <c r="BC958" s="50" t="n">
        <f aca="false">BB958*CB958</f>
        <v>2.98076923076923</v>
      </c>
      <c r="BD958" s="51" t="n">
        <f aca="false">IF(LEFT(Cockpit!$O$5,1)="A",H958,IF(CH958=1,(CK958+CI958)/2,IF(LEFT(Cockpit!$O$5,1)="B",(CK958+BF958)/2,MAX((CK958+BF958)/2,H958))))</f>
        <v>0.5</v>
      </c>
      <c r="BE958" s="50" t="n">
        <f aca="false">BD958*G958</f>
        <v>32.68</v>
      </c>
      <c r="BF958" s="50" t="n">
        <f aca="false">ROUNDUP(CK958+MAX(CL958,2*(J958/IF(CG958&gt;0,CG958,MAX(0.1,N(Cockpit!$O$6)))-CK958)),0)</f>
        <v>1</v>
      </c>
      <c r="BG958" s="51" t="n">
        <f aca="false">IF(BC958&gt;0,J958/BC958,-1)</f>
        <v>0</v>
      </c>
      <c r="BH958" s="51" t="n">
        <f aca="false">IF(AND(OR(CF958="L1",CF958="L23",CF958="LIFT"),BC958&gt;0),SUMIFS($BC$7:$BC$1843,$CF$7:$CF$1843,CF958,$BG$7:$BG$1843,"&gt;"&amp;BG958)+SUMIFS($BC$7:$BC$1843,$CF$7:$CF$1843,CF958,$BG$7:$BG$1843,BG958,$BW$7:$BW$1843,"&lt;="&amp;BW958),"")</f>
        <v>28584.2068432979</v>
      </c>
      <c r="BI958" s="58" t="n">
        <f aca="false">IF(BH958="",0,MAX(0,MIN(1,(IF(CF958="L1",Parameter!$H$5,IF(CF958="L23",Parameter!$H$6+Parameter!$H$7,Parameter!$H$5+Parameter!$H$6+Parameter!$H$7))-(BH958-BC958))/BC958)))</f>
        <v>1</v>
      </c>
      <c r="BJ958" s="48" t="str">
        <f aca="false">IF(AI958&lt;=0,"",IF(CF958="Aussen","Aussenlager",IF(CF958="-","Nicht im Lift",IF(AO958&gt;=1,"Lift",IF(AO958&lt;=0,"Aussenlager","teilweise")))))</f>
        <v>Lift</v>
      </c>
      <c r="BK958" s="48" t="str">
        <f aca="false">IF(AS958&lt;=0,"",IF(CF958="Aussen","Aussenlager",IF(CF958="-","Nicht im Lift",IF(AY958&gt;=1,"Lift",IF(AY958&lt;=0,"Aussenlager","teilweise")))))</f>
        <v>Lift</v>
      </c>
      <c r="BL958" s="48" t="str">
        <f aca="false">IF(BC958&lt;=0,"",IF(CF958="Aussen","Aussenlager",IF(CF958="-","Nicht im Lift",IF(BI958&gt;=1,"Lift",IF(BI958&lt;=0,"Aussenlager","teilweise")))))</f>
        <v>Lift</v>
      </c>
      <c r="BM958" s="48" t="str">
        <f aca="false">IF(A958="","",IF(BV958=1,"Neu; ","")&amp;IF(AND(BV958=0,BQ958&lt;0),"negativer Bestand (Export "&amp;BQ958&amp;"); ","")&amp;IF(J958&lt;=0,"Kein Verbrauch; ","")&amp;IF(CQ958&gt;0,"Lift "&amp;W958&amp;" lt. Liftbericht (Fach "&amp;X958&amp;" Stk); ",IF(CA958=1,"Gebinde geschätzt ("&amp;T958&amp;"); ",IF(BZ958=1,"Lose – Tablare geschätzt; ","")))&amp;IF(H958&gt;AV958,"Überbestand "&amp;ROUND(H958-AV958,0)&amp;" Stk / CHF "&amp;ROUND((H958-AV958)*G958,0)&amp;"; ","")&amp;IF(AND(CH958=1,CI958&lt;CJ958),"MAX &lt; MB+LG; ","")&amp;IF(AND(CP958&gt;0,CO958*10&gt;CP958),"zu hoch für Tablar; ","")&amp;IF(AND(BV958=0,OR(CH958=1,AA958&lt;&gt;"",U958&lt;&gt;"",V958&lt;&gt;"",AB958&lt;&gt;"")),"manuell übersteuert; ","")&amp;IF(AND(BZ958=0,R958=0),"Gebinde unbekannt / Stellmass fehlt; ","")&amp;IF(AND(BZ958=0,N(V958)&lt;=0,N(Q958)&lt;=0),"Menge pro Gebinde fehlt (Ist = 1 Gebinde); ","")&amp;BU958)</f>
        <v>negativer Bestand (Export -1); Kein Verbrauch; Überbestand 4 Stk / CHF 261; Verb.Lager</v>
      </c>
      <c r="BN958" s="48"/>
      <c r="BO958" s="48"/>
      <c r="BP958" s="55"/>
      <c r="BQ958" s="50" t="n">
        <v>-1</v>
      </c>
      <c r="BR958" s="50" t="n">
        <v>6</v>
      </c>
      <c r="BS958" s="49" t="n">
        <v>-65.36</v>
      </c>
      <c r="BT958" s="50" t="n">
        <v>0</v>
      </c>
      <c r="BU958" s="48" t="s">
        <v>1039</v>
      </c>
      <c r="BV958" s="53" t="n">
        <v>0</v>
      </c>
      <c r="BW958" s="53" t="n">
        <v>958</v>
      </c>
      <c r="BX958" s="48" t="str">
        <f aca="false">IF(U958&lt;&gt;"",UPPER(TRIM(U958)),IF(CA958=1,UPPER(VLOOKUP(T958,Parameter!$I$27:$K$29,2,0)),IF(P958="","LOSE",P958)))</f>
        <v>S41</v>
      </c>
      <c r="BY958" s="50" t="n">
        <f aca="false">IF(BX958="LOSE",1,IF(N(V958)&gt;0,V958,IF(CA958=1,MAX(1,N(VLOOKUP(T958,Parameter!$I$27:$K$29,3,0)),H958,N(N958)),IF(N(Q958)&gt;0,Q958,MAX(1,H958)))))</f>
        <v>10</v>
      </c>
      <c r="BZ958" s="53" t="n">
        <f aca="false">IF(BX958="LOSE",1,0)</f>
        <v>0</v>
      </c>
      <c r="CA958" s="53" t="n">
        <f aca="false">IF(AND(U958="",OR(P958="",P958="LOSE"),T958&lt;&gt;"",N(S958)&lt;=0,ISNUMBER(MATCH(T958,Parameter!$I$27:$I$29,0))),1,0)</f>
        <v>0</v>
      </c>
      <c r="CB958" s="53" t="n">
        <f aca="false">IF(CQ958&gt;0,INDEX(Parameter!$H$5:$H$7,W958)/INDEX(Parameter!$E$5:$E$7,W958),IF(AND(BZ958=0,N(IFERROR(VLOOKUP(BX958,'Gebinde-Kategorie'!$A$5:$N$45,14,0),0))&gt;0),VLOOKUP(BX958,'Gebinde-Kategorie'!$A$5:$N$45,14,0)*10+Parameter!$M$23,Parameter!$M$24))</f>
        <v>155</v>
      </c>
      <c r="CC958" s="48" t="str">
        <f aca="false">IF(AND(Parameter!$B$19="Ja",E958&lt;&gt;"",ISNUMBER(MATCH(E958,Parameter!$I$35:$I$52,0))),VLOOKUP(E958,Parameter!$I$35:$J$52,2,0),IFERROR(VLOOKUP(D958,Parameter!$A$35:$C$64,2,0),"Nein"))</f>
        <v>2+3</v>
      </c>
      <c r="CD958" s="52" t="n">
        <f aca="false">IF(BZ958=0,0,IF(N(S958)&gt;0,S958,IFERROR(VLOOKUP(D958,Parameter!$A$35:$C$64,3,0)+0,0)))</f>
        <v>0</v>
      </c>
      <c r="CE958" s="48" t="n">
        <f aca="false">IF(AA958&lt;&gt;"",AA958,Z958)</f>
        <v>3</v>
      </c>
      <c r="CF958" s="48" t="str">
        <f aca="false">IF(OR(CE958=1,CE958=2,CE958=3),IF(Parameter!$E$27="Ja","LIFT",IF(CE958=1,"L1","L23")),IF(CE958="Aussen","Aussen","-"))</f>
        <v>LIFT</v>
      </c>
      <c r="CG958" s="59" t="n">
        <f aca="false">IF(N(AB958)&gt;0,AB958,0)</f>
        <v>0</v>
      </c>
      <c r="CH958" s="53" t="n">
        <f aca="false">IF(ISNUMBER(AE958),1,0)</f>
        <v>0</v>
      </c>
      <c r="CI958" s="50" t="n">
        <f aca="false">N(AE958)</f>
        <v>0</v>
      </c>
      <c r="CJ958" s="50" t="n">
        <f aca="false">N(M958)+N(N958)</f>
        <v>1</v>
      </c>
      <c r="CK958" s="50" t="n">
        <f aca="false">N(M958)</f>
        <v>0</v>
      </c>
      <c r="CL958" s="50" t="n">
        <f aca="false">N(N958)</f>
        <v>1</v>
      </c>
      <c r="CM958" s="50" t="n">
        <f aca="false">ROUNDUP(H958/BY958,0)</f>
        <v>1</v>
      </c>
      <c r="CN958" s="50" t="n">
        <f aca="false">ROUNDUP(CI958/BY958,0)</f>
        <v>0</v>
      </c>
      <c r="CO958" s="53" t="n">
        <f aca="false">IF(BZ958=1,0,IFERROR(VLOOKUP(BX958,'Gebinde-Kategorie'!$A$5:$N$45,5,0)+0,0))</f>
        <v>11</v>
      </c>
      <c r="CP958" s="53" t="n">
        <f aca="false">IFERROR(IF(OR(CE958=1,CE958=2,CE958=3),N(INDEX(Parameter!$I$5:$I$7,CE958)),0),0)</f>
        <v>0</v>
      </c>
      <c r="CQ958" s="52" t="n">
        <f aca="false">IF(AND(Parameter!$B$21="Ja",ISNUMBER(W958),N(X958)&gt;0),IFERROR(N(INDEX(Parameter!$L$5:$L$7,W958))*INDEX(Parameter!$E$5:$E$7,W958)*X958/SUMIFS($X$7:$X$1843,$W$7:$W$1843,W958),0),0)</f>
        <v>0</v>
      </c>
    </row>
    <row r="959" customFormat="false" ht="15" hidden="false" customHeight="false" outlineLevel="0" collapsed="false">
      <c r="A959" s="48" t="s">
        <v>1794</v>
      </c>
      <c r="B959" s="48" t="s">
        <v>1795</v>
      </c>
      <c r="C959" s="48" t="s">
        <v>173</v>
      </c>
      <c r="D959" s="48" t="s">
        <v>193</v>
      </c>
      <c r="E959" s="48" t="s">
        <v>194</v>
      </c>
      <c r="F959" s="48" t="s">
        <v>227</v>
      </c>
      <c r="G959" s="49" t="n">
        <v>21.84</v>
      </c>
      <c r="H959" s="50" t="n">
        <f aca="false">MAX(0,IF(AND(Parameter!$B$21="Ja",ISNUMBER(Y959)),Y959,IF(Parameter!$B$20="Jahresanfang 2025 + Export",BR959+BQ959,BQ959)))</f>
        <v>6</v>
      </c>
      <c r="I959" s="50" t="n">
        <f aca="false">H959*G959</f>
        <v>131.04</v>
      </c>
      <c r="J959" s="50" t="n">
        <f aca="false">BT959*Parameter!$B$18</f>
        <v>2.01</v>
      </c>
      <c r="K959" s="51" t="n">
        <v>7.5</v>
      </c>
      <c r="L959" s="52" t="n">
        <v>0.268</v>
      </c>
      <c r="M959" s="50" t="n">
        <v>0</v>
      </c>
      <c r="N959" s="50" t="n">
        <v>1</v>
      </c>
      <c r="O959" s="53" t="n">
        <v>28</v>
      </c>
      <c r="P959" s="48" t="s">
        <v>337</v>
      </c>
      <c r="Q959" s="50" t="n">
        <v>12</v>
      </c>
      <c r="R959" s="53" t="n">
        <f aca="false">IF(BZ959=1,0,IFERROR(VLOOKUP(BX959,'Gebinde-Kategorie'!$A$5:$N$45,13,0)+0,0))</f>
        <v>52</v>
      </c>
      <c r="S959" s="54"/>
      <c r="T959" s="55"/>
      <c r="U959" s="55"/>
      <c r="V959" s="55"/>
      <c r="W959" s="48"/>
      <c r="X959" s="50"/>
      <c r="Y959" s="50"/>
      <c r="Z959" s="48" t="n">
        <f aca="false">IF(A959="","",IF(AND(Parameter!$B$21="Ja",ISNUMBER(W959)),W959,IF(CC959="2+3",IF(ISNUMBER(SEARCH("grosser Artikel",BU959)),2,IFERROR(VLOOKUP(BX959,Parameter!$F$35:$G$64,2,0),2)),IF(OR(CC959="Nein",CC959=""),"-",CC959))))</f>
        <v>3</v>
      </c>
      <c r="AA959" s="55"/>
      <c r="AB959" s="56"/>
      <c r="AC959" s="50" t="n">
        <f aca="false">AV959</f>
        <v>2</v>
      </c>
      <c r="AD959" s="50" t="n">
        <f aca="false">MAX(AV959,H959)</f>
        <v>6</v>
      </c>
      <c r="AE959" s="57"/>
      <c r="AF959" s="50" t="n">
        <f aca="false">IF(LEFT(Cockpit!$C$5,1)="A",H959,IF(Parameter!$E$30="MAX-Bestand",IF(CH959=1,CI959,IF(LEFT(Cockpit!$C$5,1)="B",AL959,MAX(AL959,H959))),ROUNDUP(AJ959,0)))</f>
        <v>6</v>
      </c>
      <c r="AG959" s="50" t="n">
        <f aca="false">IF(BZ959=1,0,ROUNDUP(AF959/BY959,0))</f>
        <v>1</v>
      </c>
      <c r="AH959" s="52" t="n">
        <f aca="false">IF(CQ959&gt;0,CQ959*MAX(1,AF959/X959),IF(BZ959=1,IF(AF959&lt;=0,0,CD959*MAX(1,IF(H959&gt;0,AF959/H959,1))),IF(R959&gt;0,AG959/R959,0))/MAX(0.1,N(Parameter!$M$21)))</f>
        <v>0.0192307692307692</v>
      </c>
      <c r="AI959" s="50" t="n">
        <f aca="false">AH959*CB959</f>
        <v>2.98076923076923</v>
      </c>
      <c r="AJ959" s="51" t="n">
        <f aca="false">IF(LEFT(Cockpit!$C$5,1)="A",H959,IF(CH959=1,(CK959+CI959)/2,IF(LEFT(Cockpit!$C$5,1)="B",(CK959+AL959)/2,MAX((CK959+AL959)/2,H959))))</f>
        <v>6</v>
      </c>
      <c r="AK959" s="50" t="n">
        <f aca="false">AJ959*G959</f>
        <v>131.04</v>
      </c>
      <c r="AL959" s="50" t="n">
        <f aca="false">ROUNDUP(CK959+MAX(CL959,2*(J959/IF(CG959&gt;0,CG959,MAX(0.1,N(Cockpit!$C$6)))-CK959)),0)</f>
        <v>2</v>
      </c>
      <c r="AM959" s="51" t="n">
        <f aca="false">IF(AI959&gt;0,J959/AI959,-1)</f>
        <v>0.674322580645161</v>
      </c>
      <c r="AN959" s="51" t="n">
        <f aca="false">IF(AND(OR(CF959="L1",CF959="L23",CF959="LIFT"),AI959&gt;0),SUMIFS($AI$7:$AI$1843,$CF$7:$CF$1843,CF959,$AM$7:$AM$1843,"&gt;"&amp;AM959)+SUMIFS($AI$7:$AI$1843,$CF$7:$CF$1843,CF959,$AM$7:$AM$1843,AM959,$BW$7:$BW$1843,"&lt;="&amp;BW959),"")</f>
        <v>8595.2467948718</v>
      </c>
      <c r="AO959" s="58" t="n">
        <f aca="false">IF(AN959="",0,MAX(0,MIN(1,(IF(CF959="L1",Parameter!$H$5,IF(CF959="L23",Parameter!$H$6+Parameter!$H$7,Parameter!$H$5+Parameter!$H$6+Parameter!$H$7))-(AN959-AI959))/AI959)))</f>
        <v>1</v>
      </c>
      <c r="AP959" s="50" t="n">
        <f aca="false">IF(LEFT(Cockpit!$I$5,1)="A",H959,IF(Parameter!$E$30="MAX-Bestand",IF(CH959=1,CI959,IF(LEFT(Cockpit!$I$5,1)="B",AV959,MAX(AV959,H959))),ROUNDUP(AT959,0)))</f>
        <v>6</v>
      </c>
      <c r="AQ959" s="50" t="n">
        <f aca="false">IF(BZ959=1,0,ROUNDUP(AP959/BY959,0))</f>
        <v>1</v>
      </c>
      <c r="AR959" s="52" t="n">
        <f aca="false">IF(CQ959&gt;0,CQ959*MAX(1,AP959/X959),IF(BZ959=1,IF(AP959&lt;=0,0,CD959*MAX(1,IF(H959&gt;0,AP959/H959,1))),IF(R959&gt;0,AQ959/R959,0))/MAX(0.1,N(Parameter!$M$21)))</f>
        <v>0.0192307692307692</v>
      </c>
      <c r="AS959" s="50" t="n">
        <f aca="false">AR959*CB959</f>
        <v>2.98076923076923</v>
      </c>
      <c r="AT959" s="51" t="n">
        <f aca="false">IF(LEFT(Cockpit!$I$5,1)="A",H959,IF(CH959=1,(CK959+CI959)/2,IF(LEFT(Cockpit!$I$5,1)="B",(CK959+AV959)/2,MAX((CK959+AV959)/2,H959))))</f>
        <v>6</v>
      </c>
      <c r="AU959" s="50" t="n">
        <f aca="false">AT959*G959</f>
        <v>131.04</v>
      </c>
      <c r="AV959" s="50" t="n">
        <f aca="false">ROUNDUP(CK959+MAX(CL959,2*(J959/IF(CG959&gt;0,CG959,MAX(0.1,N(Cockpit!$I$6)))-CK959)),0)</f>
        <v>2</v>
      </c>
      <c r="AW959" s="51" t="n">
        <f aca="false">IF(AS959&gt;0,J959/AS959,-1)</f>
        <v>0.674322580645161</v>
      </c>
      <c r="AX959" s="51" t="n">
        <f aca="false">IF(AND(OR(CF959="L1",CF959="L23",CF959="LIFT"),AS959&gt;0),SUMIFS($AS$7:$AS$1843,$CF$7:$CF$1843,CF959,$AW$7:$AW$1843,"&gt;"&amp;AW959)+SUMIFS($AS$7:$AS$1843,$CF$7:$CF$1843,CF959,$AW$7:$AW$1843,AW959,$BW$7:$BW$1843,"&lt;="&amp;BW959),"")</f>
        <v>10878.9816849817</v>
      </c>
      <c r="AY959" s="58" t="n">
        <f aca="false">IF(AX959="",0,MAX(0,MIN(1,(IF(CF959="L1",Parameter!$H$5,IF(CF959="L23",Parameter!$H$6+Parameter!$H$7,Parameter!$H$5+Parameter!$H$6+Parameter!$H$7))-(AX959-AS959))/AS959)))</f>
        <v>1</v>
      </c>
      <c r="AZ959" s="50" t="n">
        <f aca="false">IF(LEFT(Cockpit!$O$5,1)="A",H959,IF(Parameter!$E$30="MAX-Bestand",IF(CH959=1,CI959,IF(LEFT(Cockpit!$O$5,1)="B",BF959,MAX(BF959,H959))),ROUNDUP(BD959,0)))</f>
        <v>1</v>
      </c>
      <c r="BA959" s="50" t="n">
        <f aca="false">IF(BZ959=1,0,ROUNDUP(AZ959/BY959,0))</f>
        <v>1</v>
      </c>
      <c r="BB959" s="52" t="n">
        <f aca="false">IF(CQ959&gt;0,CQ959*MAX(1,AZ959/X959),IF(BZ959=1,IF(AZ959&lt;=0,0,CD959*MAX(1,IF(H959&gt;0,AZ959/H959,1))),IF(R959&gt;0,BA959/R959,0))/MAX(0.1,N(Parameter!$M$21)))</f>
        <v>0.0192307692307692</v>
      </c>
      <c r="BC959" s="50" t="n">
        <f aca="false">BB959*CB959</f>
        <v>2.98076923076923</v>
      </c>
      <c r="BD959" s="51" t="n">
        <f aca="false">IF(LEFT(Cockpit!$O$5,1)="A",H959,IF(CH959=1,(CK959+CI959)/2,IF(LEFT(Cockpit!$O$5,1)="B",(CK959+BF959)/2,MAX((CK959+BF959)/2,H959))))</f>
        <v>1</v>
      </c>
      <c r="BE959" s="50" t="n">
        <f aca="false">BD959*G959</f>
        <v>21.84</v>
      </c>
      <c r="BF959" s="50" t="n">
        <f aca="false">ROUNDUP(CK959+MAX(CL959,2*(J959/IF(CG959&gt;0,CG959,MAX(0.1,N(Cockpit!$O$6)))-CK959)),0)</f>
        <v>2</v>
      </c>
      <c r="BG959" s="51" t="n">
        <f aca="false">IF(BC959&gt;0,J959/BC959,-1)</f>
        <v>0.674322580645161</v>
      </c>
      <c r="BH959" s="51" t="n">
        <f aca="false">IF(AND(OR(CF959="L1",CF959="L23",CF959="LIFT"),BC959&gt;0),SUMIFS($BC$7:$BC$1843,$CF$7:$CF$1843,CF959,$BG$7:$BG$1843,"&gt;"&amp;BG959)+SUMIFS($BC$7:$BC$1843,$CF$7:$CF$1843,CF959,$BG$7:$BG$1843,BG959,$BW$7:$BW$1843,"&lt;="&amp;BW959),"")</f>
        <v>9488.61584249084</v>
      </c>
      <c r="BI959" s="58" t="n">
        <f aca="false">IF(BH959="",0,MAX(0,MIN(1,(IF(CF959="L1",Parameter!$H$5,IF(CF959="L23",Parameter!$H$6+Parameter!$H$7,Parameter!$H$5+Parameter!$H$6+Parameter!$H$7))-(BH959-BC959))/BC959)))</f>
        <v>1</v>
      </c>
      <c r="BJ959" s="48" t="str">
        <f aca="false">IF(AI959&lt;=0,"",IF(CF959="Aussen","Aussenlager",IF(CF959="-","Nicht im Lift",IF(AO959&gt;=1,"Lift",IF(AO959&lt;=0,"Aussenlager","teilweise")))))</f>
        <v>Lift</v>
      </c>
      <c r="BK959" s="48" t="str">
        <f aca="false">IF(AS959&lt;=0,"",IF(CF959="Aussen","Aussenlager",IF(CF959="-","Nicht im Lift",IF(AY959&gt;=1,"Lift",IF(AY959&lt;=0,"Aussenlager","teilweise")))))</f>
        <v>Lift</v>
      </c>
      <c r="BL959" s="48" t="str">
        <f aca="false">IF(BC959&lt;=0,"",IF(CF959="Aussen","Aussenlager",IF(CF959="-","Nicht im Lift",IF(BI959&gt;=1,"Lift",IF(BI959&lt;=0,"Aussenlager","teilweise")))))</f>
        <v>Lift</v>
      </c>
      <c r="BM959" s="48" t="str">
        <f aca="false">IF(A959="","",IF(BV959=1,"Neu; ","")&amp;IF(AND(BV959=0,BQ959&lt;0),"negativer Bestand (Export "&amp;BQ959&amp;"); ","")&amp;IF(J959&lt;=0,"Kein Verbrauch; ","")&amp;IF(CQ959&gt;0,"Lift "&amp;W959&amp;" lt. Liftbericht (Fach "&amp;X959&amp;" Stk); ",IF(CA959=1,"Gebinde geschätzt ("&amp;T959&amp;"); ",IF(BZ959=1,"Lose – Tablare geschätzt; ","")))&amp;IF(H959&gt;AV959,"Überbestand "&amp;ROUND(H959-AV959,0)&amp;" Stk / CHF "&amp;ROUND((H959-AV959)*G959,0)&amp;"; ","")&amp;IF(AND(CH959=1,CI959&lt;CJ959),"MAX &lt; MB+LG; ","")&amp;IF(AND(CP959&gt;0,CO959*10&gt;CP959),"zu hoch für Tablar; ","")&amp;IF(AND(BV959=0,OR(CH959=1,AA959&lt;&gt;"",U959&lt;&gt;"",V959&lt;&gt;"",AB959&lt;&gt;"")),"manuell übersteuert; ","")&amp;IF(AND(BZ959=0,R959=0),"Gebinde unbekannt / Stellmass fehlt; ","")&amp;IF(AND(BZ959=0,N(V959)&lt;=0,N(Q959)&lt;=0),"Menge pro Gebinde fehlt (Ist = 1 Gebinde); ","")&amp;BU959)</f>
        <v>negativer Bestand (Export -3); Überbestand 4 Stk / CHF 87; </v>
      </c>
      <c r="BN959" s="48"/>
      <c r="BO959" s="48"/>
      <c r="BP959" s="55"/>
      <c r="BQ959" s="50" t="n">
        <v>-3</v>
      </c>
      <c r="BR959" s="50" t="n">
        <v>9</v>
      </c>
      <c r="BS959" s="49" t="n">
        <v>-65.52</v>
      </c>
      <c r="BT959" s="50" t="n">
        <v>2.01</v>
      </c>
      <c r="BU959" s="48"/>
      <c r="BV959" s="53" t="n">
        <v>0</v>
      </c>
      <c r="BW959" s="53" t="n">
        <v>959</v>
      </c>
      <c r="BX959" s="48" t="str">
        <f aca="false">IF(U959&lt;&gt;"",UPPER(TRIM(U959)),IF(CA959=1,UPPER(VLOOKUP(T959,Parameter!$I$27:$K$29,2,0)),IF(P959="","LOSE",P959)))</f>
        <v>S41</v>
      </c>
      <c r="BY959" s="50" t="n">
        <f aca="false">IF(BX959="LOSE",1,IF(N(V959)&gt;0,V959,IF(CA959=1,MAX(1,N(VLOOKUP(T959,Parameter!$I$27:$K$29,3,0)),H959,N(N959)),IF(N(Q959)&gt;0,Q959,MAX(1,H959)))))</f>
        <v>12</v>
      </c>
      <c r="BZ959" s="53" t="n">
        <f aca="false">IF(BX959="LOSE",1,0)</f>
        <v>0</v>
      </c>
      <c r="CA959" s="53" t="n">
        <f aca="false">IF(AND(U959="",OR(P959="",P959="LOSE"),T959&lt;&gt;"",N(S959)&lt;=0,ISNUMBER(MATCH(T959,Parameter!$I$27:$I$29,0))),1,0)</f>
        <v>0</v>
      </c>
      <c r="CB959" s="53" t="n">
        <f aca="false">IF(CQ959&gt;0,INDEX(Parameter!$H$5:$H$7,W959)/INDEX(Parameter!$E$5:$E$7,W959),IF(AND(BZ959=0,N(IFERROR(VLOOKUP(BX959,'Gebinde-Kategorie'!$A$5:$N$45,14,0),0))&gt;0),VLOOKUP(BX959,'Gebinde-Kategorie'!$A$5:$N$45,14,0)*10+Parameter!$M$23,Parameter!$M$24))</f>
        <v>155</v>
      </c>
      <c r="CC959" s="48" t="str">
        <f aca="false">IF(AND(Parameter!$B$19="Ja",E959&lt;&gt;"",ISNUMBER(MATCH(E959,Parameter!$I$35:$I$52,0))),VLOOKUP(E959,Parameter!$I$35:$J$52,2,0),IFERROR(VLOOKUP(D959,Parameter!$A$35:$C$64,2,0),"Nein"))</f>
        <v>2+3</v>
      </c>
      <c r="CD959" s="52" t="n">
        <f aca="false">IF(BZ959=0,0,IF(N(S959)&gt;0,S959,IFERROR(VLOOKUP(D959,Parameter!$A$35:$C$64,3,0)+0,0)))</f>
        <v>0</v>
      </c>
      <c r="CE959" s="48" t="n">
        <f aca="false">IF(AA959&lt;&gt;"",AA959,Z959)</f>
        <v>3</v>
      </c>
      <c r="CF959" s="48" t="str">
        <f aca="false">IF(OR(CE959=1,CE959=2,CE959=3),IF(Parameter!$E$27="Ja","LIFT",IF(CE959=1,"L1","L23")),IF(CE959="Aussen","Aussen","-"))</f>
        <v>LIFT</v>
      </c>
      <c r="CG959" s="59" t="n">
        <f aca="false">IF(N(AB959)&gt;0,AB959,0)</f>
        <v>0</v>
      </c>
      <c r="CH959" s="53" t="n">
        <f aca="false">IF(ISNUMBER(AE959),1,0)</f>
        <v>0</v>
      </c>
      <c r="CI959" s="50" t="n">
        <f aca="false">N(AE959)</f>
        <v>0</v>
      </c>
      <c r="CJ959" s="50" t="n">
        <f aca="false">N(M959)+N(N959)</f>
        <v>1</v>
      </c>
      <c r="CK959" s="50" t="n">
        <f aca="false">N(M959)</f>
        <v>0</v>
      </c>
      <c r="CL959" s="50" t="n">
        <f aca="false">N(N959)</f>
        <v>1</v>
      </c>
      <c r="CM959" s="50" t="n">
        <f aca="false">ROUNDUP(H959/BY959,0)</f>
        <v>1</v>
      </c>
      <c r="CN959" s="50" t="n">
        <f aca="false">ROUNDUP(CI959/BY959,0)</f>
        <v>0</v>
      </c>
      <c r="CO959" s="53" t="n">
        <f aca="false">IF(BZ959=1,0,IFERROR(VLOOKUP(BX959,'Gebinde-Kategorie'!$A$5:$N$45,5,0)+0,0))</f>
        <v>11</v>
      </c>
      <c r="CP959" s="53" t="n">
        <f aca="false">IFERROR(IF(OR(CE959=1,CE959=2,CE959=3),N(INDEX(Parameter!$I$5:$I$7,CE959)),0),0)</f>
        <v>0</v>
      </c>
      <c r="CQ959" s="52" t="n">
        <f aca="false">IF(AND(Parameter!$B$21="Ja",ISNUMBER(W959),N(X959)&gt;0),IFERROR(N(INDEX(Parameter!$L$5:$L$7,W959))*INDEX(Parameter!$E$5:$E$7,W959)*X959/SUMIFS($X$7:$X$1843,$W$7:$W$1843,W959),0),0)</f>
        <v>0</v>
      </c>
    </row>
    <row r="960" customFormat="false" ht="15" hidden="false" customHeight="false" outlineLevel="0" collapsed="false">
      <c r="A960" s="48" t="s">
        <v>1796</v>
      </c>
      <c r="B960" s="48" t="s">
        <v>974</v>
      </c>
      <c r="C960" s="48" t="s">
        <v>173</v>
      </c>
      <c r="D960" s="48" t="s">
        <v>193</v>
      </c>
      <c r="E960" s="48" t="s">
        <v>194</v>
      </c>
      <c r="F960" s="48" t="s">
        <v>227</v>
      </c>
      <c r="G960" s="49" t="n">
        <v>16.51</v>
      </c>
      <c r="H960" s="50" t="n">
        <f aca="false">MAX(0,IF(AND(Parameter!$B$21="Ja",ISNUMBER(Y960)),Y960,IF(Parameter!$B$20="Jahresanfang 2025 + Export",BR960+BQ960,BQ960)))</f>
        <v>8</v>
      </c>
      <c r="I960" s="50" t="n">
        <f aca="false">H960*G960</f>
        <v>132.08</v>
      </c>
      <c r="J960" s="50" t="n">
        <f aca="false">BT960*Parameter!$B$18</f>
        <v>0</v>
      </c>
      <c r="K960" s="51" t="n">
        <v>10.5</v>
      </c>
      <c r="L960" s="52" t="n">
        <v>0</v>
      </c>
      <c r="M960" s="50" t="n">
        <v>0</v>
      </c>
      <c r="N960" s="50" t="n">
        <v>1</v>
      </c>
      <c r="O960" s="53" t="n">
        <v>35</v>
      </c>
      <c r="P960" s="48" t="s">
        <v>485</v>
      </c>
      <c r="Q960" s="50" t="n">
        <v>14</v>
      </c>
      <c r="R960" s="53" t="n">
        <f aca="false">IF(BZ960=1,0,IFERROR(VLOOKUP(BX960,'Gebinde-Kategorie'!$A$5:$N$45,13,0)+0,0))</f>
        <v>52</v>
      </c>
      <c r="S960" s="54"/>
      <c r="T960" s="55"/>
      <c r="U960" s="55"/>
      <c r="V960" s="55"/>
      <c r="W960" s="48"/>
      <c r="X960" s="50"/>
      <c r="Y960" s="50"/>
      <c r="Z960" s="48" t="n">
        <f aca="false">IF(A960="","",IF(AND(Parameter!$B$21="Ja",ISNUMBER(W960)),W960,IF(CC960="2+3",IF(ISNUMBER(SEARCH("grosser Artikel",BU960)),2,IFERROR(VLOOKUP(BX960,Parameter!$F$35:$G$64,2,0),2)),IF(OR(CC960="Nein",CC960=""),"-",CC960))))</f>
        <v>3</v>
      </c>
      <c r="AA960" s="55"/>
      <c r="AB960" s="56"/>
      <c r="AC960" s="50" t="n">
        <f aca="false">AV960</f>
        <v>1</v>
      </c>
      <c r="AD960" s="50" t="n">
        <f aca="false">MAX(AV960,H960)</f>
        <v>8</v>
      </c>
      <c r="AE960" s="57"/>
      <c r="AF960" s="50" t="n">
        <f aca="false">IF(LEFT(Cockpit!$C$5,1)="A",H960,IF(Parameter!$E$30="MAX-Bestand",IF(CH960=1,CI960,IF(LEFT(Cockpit!$C$5,1)="B",AL960,MAX(AL960,H960))),ROUNDUP(AJ960,0)))</f>
        <v>8</v>
      </c>
      <c r="AG960" s="50" t="n">
        <f aca="false">IF(BZ960=1,0,ROUNDUP(AF960/BY960,0))</f>
        <v>1</v>
      </c>
      <c r="AH960" s="52" t="n">
        <f aca="false">IF(CQ960&gt;0,CQ960*MAX(1,AF960/X960),IF(BZ960=1,IF(AF960&lt;=0,0,CD960*MAX(1,IF(H960&gt;0,AF960/H960,1))),IF(R960&gt;0,AG960/R960,0))/MAX(0.1,N(Parameter!$M$21)))</f>
        <v>0.0192307692307692</v>
      </c>
      <c r="AI960" s="50" t="n">
        <f aca="false">AH960*CB960</f>
        <v>2.98076923076923</v>
      </c>
      <c r="AJ960" s="51" t="n">
        <f aca="false">IF(LEFT(Cockpit!$C$5,1)="A",H960,IF(CH960=1,(CK960+CI960)/2,IF(LEFT(Cockpit!$C$5,1)="B",(CK960+AL960)/2,MAX((CK960+AL960)/2,H960))))</f>
        <v>8</v>
      </c>
      <c r="AK960" s="50" t="n">
        <f aca="false">AJ960*G960</f>
        <v>132.08</v>
      </c>
      <c r="AL960" s="50" t="n">
        <f aca="false">ROUNDUP(CK960+MAX(CL960,2*(J960/IF(CG960&gt;0,CG960,MAX(0.1,N(Cockpit!$C$6)))-CK960)),0)</f>
        <v>1</v>
      </c>
      <c r="AM960" s="51" t="n">
        <f aca="false">IF(AI960&gt;0,J960/AI960,-1)</f>
        <v>0</v>
      </c>
      <c r="AN960" s="51" t="n">
        <f aca="false">IF(AND(OR(CF960="L1",CF960="L23",CF960="LIFT"),AI960&gt;0),SUMIFS($AI$7:$AI$1843,$CF$7:$CF$1843,CF960,$AM$7:$AM$1843,"&gt;"&amp;AM960)+SUMIFS($AI$7:$AI$1843,$CF$7:$CF$1843,CF960,$AM$7:$AM$1843,AM960,$BW$7:$BW$1843,"&lt;="&amp;BW960),"")</f>
        <v>28888.7556626519</v>
      </c>
      <c r="AO960" s="58" t="n">
        <f aca="false">IF(AN960="",0,MAX(0,MIN(1,(IF(CF960="L1",Parameter!$H$5,IF(CF960="L23",Parameter!$H$6+Parameter!$H$7,Parameter!$H$5+Parameter!$H$6+Parameter!$H$7))-(AN960-AI960))/AI960)))</f>
        <v>1</v>
      </c>
      <c r="AP960" s="50" t="n">
        <f aca="false">IF(LEFT(Cockpit!$I$5,1)="A",H960,IF(Parameter!$E$30="MAX-Bestand",IF(CH960=1,CI960,IF(LEFT(Cockpit!$I$5,1)="B",AV960,MAX(AV960,H960))),ROUNDUP(AT960,0)))</f>
        <v>8</v>
      </c>
      <c r="AQ960" s="50" t="n">
        <f aca="false">IF(BZ960=1,0,ROUNDUP(AP960/BY960,0))</f>
        <v>1</v>
      </c>
      <c r="AR960" s="52" t="n">
        <f aca="false">IF(CQ960&gt;0,CQ960*MAX(1,AP960/X960),IF(BZ960=1,IF(AP960&lt;=0,0,CD960*MAX(1,IF(H960&gt;0,AP960/H960,1))),IF(R960&gt;0,AQ960/R960,0))/MAX(0.1,N(Parameter!$M$21)))</f>
        <v>0.0192307692307692</v>
      </c>
      <c r="AS960" s="50" t="n">
        <f aca="false">AR960*CB960</f>
        <v>2.98076923076923</v>
      </c>
      <c r="AT960" s="51" t="n">
        <f aca="false">IF(LEFT(Cockpit!$I$5,1)="A",H960,IF(CH960=1,(CK960+CI960)/2,IF(LEFT(Cockpit!$I$5,1)="B",(CK960+AV960)/2,MAX((CK960+AV960)/2,H960))))</f>
        <v>8</v>
      </c>
      <c r="AU960" s="50" t="n">
        <f aca="false">AT960*G960</f>
        <v>132.08</v>
      </c>
      <c r="AV960" s="50" t="n">
        <f aca="false">ROUNDUP(CK960+MAX(CL960,2*(J960/IF(CG960&gt;0,CG960,MAX(0.1,N(Cockpit!$I$6)))-CK960)),0)</f>
        <v>1</v>
      </c>
      <c r="AW960" s="51" t="n">
        <f aca="false">IF(AS960&gt;0,J960/AS960,-1)</f>
        <v>0</v>
      </c>
      <c r="AX960" s="51" t="n">
        <f aca="false">IF(AND(OR(CF960="L1",CF960="L23",CF960="LIFT"),AS960&gt;0),SUMIFS($AS$7:$AS$1843,$CF$7:$CF$1843,CF960,$AW$7:$AW$1843,"&gt;"&amp;AW960)+SUMIFS($AS$7:$AS$1843,$CF$7:$CF$1843,CF960,$AW$7:$AW$1843,AW960,$BW$7:$BW$1843,"&lt;="&amp;BW960),"")</f>
        <v>34556.6886446886</v>
      </c>
      <c r="AY960" s="58" t="n">
        <f aca="false">IF(AX960="",0,MAX(0,MIN(1,(IF(CF960="L1",Parameter!$H$5,IF(CF960="L23",Parameter!$H$6+Parameter!$H$7,Parameter!$H$5+Parameter!$H$6+Parameter!$H$7))-(AX960-AS960))/AS960)))</f>
        <v>1</v>
      </c>
      <c r="AZ960" s="50" t="n">
        <f aca="false">IF(LEFT(Cockpit!$O$5,1)="A",H960,IF(Parameter!$E$30="MAX-Bestand",IF(CH960=1,CI960,IF(LEFT(Cockpit!$O$5,1)="B",BF960,MAX(BF960,H960))),ROUNDUP(BD960,0)))</f>
        <v>1</v>
      </c>
      <c r="BA960" s="50" t="n">
        <f aca="false">IF(BZ960=1,0,ROUNDUP(AZ960/BY960,0))</f>
        <v>1</v>
      </c>
      <c r="BB960" s="52" t="n">
        <f aca="false">IF(CQ960&gt;0,CQ960*MAX(1,AZ960/X960),IF(BZ960=1,IF(AZ960&lt;=0,0,CD960*MAX(1,IF(H960&gt;0,AZ960/H960,1))),IF(R960&gt;0,BA960/R960,0))/MAX(0.1,N(Parameter!$M$21)))</f>
        <v>0.0192307692307692</v>
      </c>
      <c r="BC960" s="50" t="n">
        <f aca="false">BB960*CB960</f>
        <v>2.98076923076923</v>
      </c>
      <c r="BD960" s="51" t="n">
        <f aca="false">IF(LEFT(Cockpit!$O$5,1)="A",H960,IF(CH960=1,(CK960+CI960)/2,IF(LEFT(Cockpit!$O$5,1)="B",(CK960+BF960)/2,MAX((CK960+BF960)/2,H960))))</f>
        <v>0.5</v>
      </c>
      <c r="BE960" s="50" t="n">
        <f aca="false">BD960*G960</f>
        <v>8.255</v>
      </c>
      <c r="BF960" s="50" t="n">
        <f aca="false">ROUNDUP(CK960+MAX(CL960,2*(J960/IF(CG960&gt;0,CG960,MAX(0.1,N(Cockpit!$O$6)))-CK960)),0)</f>
        <v>1</v>
      </c>
      <c r="BG960" s="51" t="n">
        <f aca="false">IF(BC960&gt;0,J960/BC960,-1)</f>
        <v>0</v>
      </c>
      <c r="BH960" s="51" t="n">
        <f aca="false">IF(AND(OR(CF960="L1",CF960="L23",CF960="LIFT"),BC960&gt;0),SUMIFS($BC$7:$BC$1843,$CF$7:$CF$1843,CF960,$BG$7:$BG$1843,"&gt;"&amp;BG960)+SUMIFS($BC$7:$BC$1843,$CF$7:$CF$1843,CF960,$BG$7:$BG$1843,BG960,$BW$7:$BW$1843,"&lt;="&amp;BW960),"")</f>
        <v>28587.1876125287</v>
      </c>
      <c r="BI960" s="58" t="n">
        <f aca="false">IF(BH960="",0,MAX(0,MIN(1,(IF(CF960="L1",Parameter!$H$5,IF(CF960="L23",Parameter!$H$6+Parameter!$H$7,Parameter!$H$5+Parameter!$H$6+Parameter!$H$7))-(BH960-BC960))/BC960)))</f>
        <v>1</v>
      </c>
      <c r="BJ960" s="48" t="str">
        <f aca="false">IF(AI960&lt;=0,"",IF(CF960="Aussen","Aussenlager",IF(CF960="-","Nicht im Lift",IF(AO960&gt;=1,"Lift",IF(AO960&lt;=0,"Aussenlager","teilweise")))))</f>
        <v>Lift</v>
      </c>
      <c r="BK960" s="48" t="str">
        <f aca="false">IF(AS960&lt;=0,"",IF(CF960="Aussen","Aussenlager",IF(CF960="-","Nicht im Lift",IF(AY960&gt;=1,"Lift",IF(AY960&lt;=0,"Aussenlager","teilweise")))))</f>
        <v>Lift</v>
      </c>
      <c r="BL960" s="48" t="str">
        <f aca="false">IF(BC960&lt;=0,"",IF(CF960="Aussen","Aussenlager",IF(CF960="-","Nicht im Lift",IF(BI960&gt;=1,"Lift",IF(BI960&lt;=0,"Aussenlager","teilweise")))))</f>
        <v>Lift</v>
      </c>
      <c r="BM960" s="48" t="str">
        <f aca="false">IF(A960="","",IF(BV960=1,"Neu; ","")&amp;IF(AND(BV960=0,BQ960&lt;0),"negativer Bestand (Export "&amp;BQ960&amp;"); ","")&amp;IF(J960&lt;=0,"Kein Verbrauch; ","")&amp;IF(CQ960&gt;0,"Lift "&amp;W960&amp;" lt. Liftbericht (Fach "&amp;X960&amp;" Stk); ",IF(CA960=1,"Gebinde geschätzt ("&amp;T960&amp;"); ",IF(BZ960=1,"Lose – Tablare geschätzt; ","")))&amp;IF(H960&gt;AV960,"Überbestand "&amp;ROUND(H960-AV960,0)&amp;" Stk / CHF "&amp;ROUND((H960-AV960)*G960,0)&amp;"; ","")&amp;IF(AND(CH960=1,CI960&lt;CJ960),"MAX &lt; MB+LG; ","")&amp;IF(AND(CP960&gt;0,CO960*10&gt;CP960),"zu hoch für Tablar; ","")&amp;IF(AND(BV960=0,OR(CH960=1,AA960&lt;&gt;"",U960&lt;&gt;"",V960&lt;&gt;"",AB960&lt;&gt;"")),"manuell übersteuert; ","")&amp;IF(AND(BZ960=0,R960=0),"Gebinde unbekannt / Stellmass fehlt; ","")&amp;IF(AND(BZ960=0,N(V960)&lt;=0,N(Q960)&lt;=0),"Menge pro Gebinde fehlt (Ist = 1 Gebinde); ","")&amp;BU960)</f>
        <v>negativer Bestand (Export -4); Kein Verbrauch; Überbestand 7 Stk / CHF 116; </v>
      </c>
      <c r="BN960" s="48"/>
      <c r="BO960" s="48"/>
      <c r="BP960" s="55"/>
      <c r="BQ960" s="50" t="n">
        <v>-4</v>
      </c>
      <c r="BR960" s="50" t="n">
        <v>12</v>
      </c>
      <c r="BS960" s="49" t="n">
        <v>-66.04</v>
      </c>
      <c r="BT960" s="50" t="n">
        <v>0</v>
      </c>
      <c r="BU960" s="48"/>
      <c r="BV960" s="53" t="n">
        <v>0</v>
      </c>
      <c r="BW960" s="53" t="n">
        <v>960</v>
      </c>
      <c r="BX960" s="48" t="str">
        <f aca="false">IF(U960&lt;&gt;"",UPPER(TRIM(U960)),IF(CA960=1,UPPER(VLOOKUP(T960,Parameter!$I$27:$K$29,2,0)),IF(P960="","LOSE",P960)))</f>
        <v>S33</v>
      </c>
      <c r="BY960" s="50" t="n">
        <f aca="false">IF(BX960="LOSE",1,IF(N(V960)&gt;0,V960,IF(CA960=1,MAX(1,N(VLOOKUP(T960,Parameter!$I$27:$K$29,3,0)),H960,N(N960)),IF(N(Q960)&gt;0,Q960,MAX(1,H960)))))</f>
        <v>14</v>
      </c>
      <c r="BZ960" s="53" t="n">
        <f aca="false">IF(BX960="LOSE",1,0)</f>
        <v>0</v>
      </c>
      <c r="CA960" s="53" t="n">
        <f aca="false">IF(AND(U960="",OR(P960="",P960="LOSE"),T960&lt;&gt;"",N(S960)&lt;=0,ISNUMBER(MATCH(T960,Parameter!$I$27:$I$29,0))),1,0)</f>
        <v>0</v>
      </c>
      <c r="CB960" s="53" t="n">
        <f aca="false">IF(CQ960&gt;0,INDEX(Parameter!$H$5:$H$7,W960)/INDEX(Parameter!$E$5:$E$7,W960),IF(AND(BZ960=0,N(IFERROR(VLOOKUP(BX960,'Gebinde-Kategorie'!$A$5:$N$45,14,0),0))&gt;0),VLOOKUP(BX960,'Gebinde-Kategorie'!$A$5:$N$45,14,0)*10+Parameter!$M$23,Parameter!$M$24))</f>
        <v>155</v>
      </c>
      <c r="CC960" s="48" t="str">
        <f aca="false">IF(AND(Parameter!$B$19="Ja",E960&lt;&gt;"",ISNUMBER(MATCH(E960,Parameter!$I$35:$I$52,0))),VLOOKUP(E960,Parameter!$I$35:$J$52,2,0),IFERROR(VLOOKUP(D960,Parameter!$A$35:$C$64,2,0),"Nein"))</f>
        <v>2+3</v>
      </c>
      <c r="CD960" s="52" t="n">
        <f aca="false">IF(BZ960=0,0,IF(N(S960)&gt;0,S960,IFERROR(VLOOKUP(D960,Parameter!$A$35:$C$64,3,0)+0,0)))</f>
        <v>0</v>
      </c>
      <c r="CE960" s="48" t="n">
        <f aca="false">IF(AA960&lt;&gt;"",AA960,Z960)</f>
        <v>3</v>
      </c>
      <c r="CF960" s="48" t="str">
        <f aca="false">IF(OR(CE960=1,CE960=2,CE960=3),IF(Parameter!$E$27="Ja","LIFT",IF(CE960=1,"L1","L23")),IF(CE960="Aussen","Aussen","-"))</f>
        <v>LIFT</v>
      </c>
      <c r="CG960" s="59" t="n">
        <f aca="false">IF(N(AB960)&gt;0,AB960,0)</f>
        <v>0</v>
      </c>
      <c r="CH960" s="53" t="n">
        <f aca="false">IF(ISNUMBER(AE960),1,0)</f>
        <v>0</v>
      </c>
      <c r="CI960" s="50" t="n">
        <f aca="false">N(AE960)</f>
        <v>0</v>
      </c>
      <c r="CJ960" s="50" t="n">
        <f aca="false">N(M960)+N(N960)</f>
        <v>1</v>
      </c>
      <c r="CK960" s="50" t="n">
        <f aca="false">N(M960)</f>
        <v>0</v>
      </c>
      <c r="CL960" s="50" t="n">
        <f aca="false">N(N960)</f>
        <v>1</v>
      </c>
      <c r="CM960" s="50" t="n">
        <f aca="false">ROUNDUP(H960/BY960,0)</f>
        <v>1</v>
      </c>
      <c r="CN960" s="50" t="n">
        <f aca="false">ROUNDUP(CI960/BY960,0)</f>
        <v>0</v>
      </c>
      <c r="CO960" s="53" t="n">
        <f aca="false">IF(BZ960=1,0,IFERROR(VLOOKUP(BX960,'Gebinde-Kategorie'!$A$5:$N$45,5,0)+0,0))</f>
        <v>8</v>
      </c>
      <c r="CP960" s="53" t="n">
        <f aca="false">IFERROR(IF(OR(CE960=1,CE960=2,CE960=3),N(INDEX(Parameter!$I$5:$I$7,CE960)),0),0)</f>
        <v>0</v>
      </c>
      <c r="CQ960" s="52" t="n">
        <f aca="false">IF(AND(Parameter!$B$21="Ja",ISNUMBER(W960),N(X960)&gt;0),IFERROR(N(INDEX(Parameter!$L$5:$L$7,W960))*INDEX(Parameter!$E$5:$E$7,W960)*X960/SUMIFS($X$7:$X$1843,$W$7:$W$1843,W960),0),0)</f>
        <v>0</v>
      </c>
    </row>
    <row r="961" customFormat="false" ht="15" hidden="false" customHeight="false" outlineLevel="0" collapsed="false">
      <c r="A961" s="48" t="s">
        <v>1797</v>
      </c>
      <c r="B961" s="48" t="s">
        <v>1798</v>
      </c>
      <c r="C961" s="48" t="s">
        <v>173</v>
      </c>
      <c r="D961" s="48" t="s">
        <v>193</v>
      </c>
      <c r="E961" s="48" t="s">
        <v>194</v>
      </c>
      <c r="F961" s="48" t="s">
        <v>227</v>
      </c>
      <c r="G961" s="49" t="n">
        <v>67.24</v>
      </c>
      <c r="H961" s="50" t="n">
        <f aca="false">MAX(0,IF(AND(Parameter!$B$21="Ja",ISNUMBER(Y961)),Y961,IF(Parameter!$B$20="Jahresanfang 2025 + Export",BR961+BQ961,BQ961)))</f>
        <v>3</v>
      </c>
      <c r="I961" s="50" t="n">
        <f aca="false">H961*G961</f>
        <v>201.72</v>
      </c>
      <c r="J961" s="50" t="n">
        <f aca="false">BT961*Parameter!$B$18</f>
        <v>1</v>
      </c>
      <c r="K961" s="51" t="n">
        <v>4</v>
      </c>
      <c r="L961" s="52" t="n">
        <v>0.25</v>
      </c>
      <c r="M961" s="50" t="n">
        <v>0</v>
      </c>
      <c r="N961" s="50" t="n">
        <v>1</v>
      </c>
      <c r="O961" s="53" t="n">
        <v>21</v>
      </c>
      <c r="P961" s="48" t="s">
        <v>311</v>
      </c>
      <c r="Q961" s="50" t="n">
        <v>6</v>
      </c>
      <c r="R961" s="53" t="n">
        <f aca="false">IF(BZ961=1,0,IFERROR(VLOOKUP(BX961,'Gebinde-Kategorie'!$A$5:$N$45,13,0)+0,0))</f>
        <v>26</v>
      </c>
      <c r="S961" s="54"/>
      <c r="T961" s="55"/>
      <c r="U961" s="55"/>
      <c r="V961" s="55"/>
      <c r="W961" s="48"/>
      <c r="X961" s="50"/>
      <c r="Y961" s="50"/>
      <c r="Z961" s="48" t="n">
        <f aca="false">IF(A961="","",IF(AND(Parameter!$B$21="Ja",ISNUMBER(W961)),W961,IF(CC961="2+3",IF(ISNUMBER(SEARCH("grosser Artikel",BU961)),2,IFERROR(VLOOKUP(BX961,Parameter!$F$35:$G$64,2,0),2)),IF(OR(CC961="Nein",CC961=""),"-",CC961))))</f>
        <v>3</v>
      </c>
      <c r="AA961" s="55"/>
      <c r="AB961" s="56"/>
      <c r="AC961" s="50" t="n">
        <f aca="false">AV961</f>
        <v>1</v>
      </c>
      <c r="AD961" s="50" t="n">
        <f aca="false">MAX(AV961,H961)</f>
        <v>3</v>
      </c>
      <c r="AE961" s="57"/>
      <c r="AF961" s="50" t="n">
        <f aca="false">IF(LEFT(Cockpit!$C$5,1)="A",H961,IF(Parameter!$E$30="MAX-Bestand",IF(CH961=1,CI961,IF(LEFT(Cockpit!$C$5,1)="B",AL961,MAX(AL961,H961))),ROUNDUP(AJ961,0)))</f>
        <v>3</v>
      </c>
      <c r="AG961" s="50" t="n">
        <f aca="false">IF(BZ961=1,0,ROUNDUP(AF961/BY961,0))</f>
        <v>1</v>
      </c>
      <c r="AH961" s="52" t="n">
        <f aca="false">IF(CQ961&gt;0,CQ961*MAX(1,AF961/X961),IF(BZ961=1,IF(AF961&lt;=0,0,CD961*MAX(1,IF(H961&gt;0,AF961/H961,1))),IF(R961&gt;0,AG961/R961,0))/MAX(0.1,N(Parameter!$M$21)))</f>
        <v>0.0384615384615385</v>
      </c>
      <c r="AI961" s="50" t="n">
        <f aca="false">AH961*CB961</f>
        <v>5.96153846153846</v>
      </c>
      <c r="AJ961" s="51" t="n">
        <f aca="false">IF(LEFT(Cockpit!$C$5,1)="A",H961,IF(CH961=1,(CK961+CI961)/2,IF(LEFT(Cockpit!$C$5,1)="B",(CK961+AL961)/2,MAX((CK961+AL961)/2,H961))))</f>
        <v>3</v>
      </c>
      <c r="AK961" s="50" t="n">
        <f aca="false">AJ961*G961</f>
        <v>201.72</v>
      </c>
      <c r="AL961" s="50" t="n">
        <f aca="false">ROUNDUP(CK961+MAX(CL961,2*(J961/IF(CG961&gt;0,CG961,MAX(0.1,N(Cockpit!$C$6)))-CK961)),0)</f>
        <v>1</v>
      </c>
      <c r="AM961" s="51" t="n">
        <f aca="false">IF(AI961&gt;0,J961/AI961,-1)</f>
        <v>0.167741935483871</v>
      </c>
      <c r="AN961" s="51" t="n">
        <f aca="false">IF(AND(OR(CF961="L1",CF961="L23",CF961="LIFT"),AI961&gt;0),SUMIFS($AI$7:$AI$1843,$CF$7:$CF$1843,CF961,$AM$7:$AM$1843,"&gt;"&amp;AM961)+SUMIFS($AI$7:$AI$1843,$CF$7:$CF$1843,CF961,$AM$7:$AM$1843,AM961,$BW$7:$BW$1843,"&lt;="&amp;BW961),"")</f>
        <v>12733.3875669999</v>
      </c>
      <c r="AO961" s="58" t="n">
        <f aca="false">IF(AN961="",0,MAX(0,MIN(1,(IF(CF961="L1",Parameter!$H$5,IF(CF961="L23",Parameter!$H$6+Parameter!$H$7,Parameter!$H$5+Parameter!$H$6+Parameter!$H$7))-(AN961-AI961))/AI961)))</f>
        <v>1</v>
      </c>
      <c r="AP961" s="50" t="n">
        <f aca="false">IF(LEFT(Cockpit!$I$5,1)="A",H961,IF(Parameter!$E$30="MAX-Bestand",IF(CH961=1,CI961,IF(LEFT(Cockpit!$I$5,1)="B",AV961,MAX(AV961,H961))),ROUNDUP(AT961,0)))</f>
        <v>3</v>
      </c>
      <c r="AQ961" s="50" t="n">
        <f aca="false">IF(BZ961=1,0,ROUNDUP(AP961/BY961,0))</f>
        <v>1</v>
      </c>
      <c r="AR961" s="52" t="n">
        <f aca="false">IF(CQ961&gt;0,CQ961*MAX(1,AP961/X961),IF(BZ961=1,IF(AP961&lt;=0,0,CD961*MAX(1,IF(H961&gt;0,AP961/H961,1))),IF(R961&gt;0,AQ961/R961,0))/MAX(0.1,N(Parameter!$M$21)))</f>
        <v>0.0384615384615385</v>
      </c>
      <c r="AS961" s="50" t="n">
        <f aca="false">AR961*CB961</f>
        <v>5.96153846153846</v>
      </c>
      <c r="AT961" s="51" t="n">
        <f aca="false">IF(LEFT(Cockpit!$I$5,1)="A",H961,IF(CH961=1,(CK961+CI961)/2,IF(LEFT(Cockpit!$I$5,1)="B",(CK961+AV961)/2,MAX((CK961+AV961)/2,H961))))</f>
        <v>3</v>
      </c>
      <c r="AU961" s="50" t="n">
        <f aca="false">AT961*G961</f>
        <v>201.72</v>
      </c>
      <c r="AV961" s="50" t="n">
        <f aca="false">ROUNDUP(CK961+MAX(CL961,2*(J961/IF(CG961&gt;0,CG961,MAX(0.1,N(Cockpit!$I$6)))-CK961)),0)</f>
        <v>1</v>
      </c>
      <c r="AW961" s="51" t="n">
        <f aca="false">IF(AS961&gt;0,J961/AS961,-1)</f>
        <v>0.167741935483871</v>
      </c>
      <c r="AX961" s="51" t="n">
        <f aca="false">IF(AND(OR(CF961="L1",CF961="L23",CF961="LIFT"),AS961&gt;0),SUMIFS($AS$7:$AS$1843,$CF$7:$CF$1843,CF961,$AW$7:$AW$1843,"&gt;"&amp;AW961)+SUMIFS($AS$7:$AS$1843,$CF$7:$CF$1843,CF961,$AW$7:$AW$1843,AW961,$BW$7:$BW$1843,"&lt;="&amp;BW961),"")</f>
        <v>15662.0682234432</v>
      </c>
      <c r="AY961" s="58" t="n">
        <f aca="false">IF(AX961="",0,MAX(0,MIN(1,(IF(CF961="L1",Parameter!$H$5,IF(CF961="L23",Parameter!$H$6+Parameter!$H$7,Parameter!$H$5+Parameter!$H$6+Parameter!$H$7))-(AX961-AS961))/AS961)))</f>
        <v>1</v>
      </c>
      <c r="AZ961" s="50" t="n">
        <f aca="false">IF(LEFT(Cockpit!$O$5,1)="A",H961,IF(Parameter!$E$30="MAX-Bestand",IF(CH961=1,CI961,IF(LEFT(Cockpit!$O$5,1)="B",BF961,MAX(BF961,H961))),ROUNDUP(BD961,0)))</f>
        <v>1</v>
      </c>
      <c r="BA961" s="50" t="n">
        <f aca="false">IF(BZ961=1,0,ROUNDUP(AZ961/BY961,0))</f>
        <v>1</v>
      </c>
      <c r="BB961" s="52" t="n">
        <f aca="false">IF(CQ961&gt;0,CQ961*MAX(1,AZ961/X961),IF(BZ961=1,IF(AZ961&lt;=0,0,CD961*MAX(1,IF(H961&gt;0,AZ961/H961,1))),IF(R961&gt;0,BA961/R961,0))/MAX(0.1,N(Parameter!$M$21)))</f>
        <v>0.0384615384615385</v>
      </c>
      <c r="BC961" s="50" t="n">
        <f aca="false">BB961*CB961</f>
        <v>5.96153846153846</v>
      </c>
      <c r="BD961" s="51" t="n">
        <f aca="false">IF(LEFT(Cockpit!$O$5,1)="A",H961,IF(CH961=1,(CK961+CI961)/2,IF(LEFT(Cockpit!$O$5,1)="B",(CK961+BF961)/2,MAX((CK961+BF961)/2,H961))))</f>
        <v>0.5</v>
      </c>
      <c r="BE961" s="50" t="n">
        <f aca="false">BD961*G961</f>
        <v>33.62</v>
      </c>
      <c r="BF961" s="50" t="n">
        <f aca="false">ROUNDUP(CK961+MAX(CL961,2*(J961/IF(CG961&gt;0,CG961,MAX(0.1,N(Cockpit!$O$6)))-CK961)),0)</f>
        <v>1</v>
      </c>
      <c r="BG961" s="51" t="n">
        <f aca="false">IF(BC961&gt;0,J961/BC961,-1)</f>
        <v>0.167741935483871</v>
      </c>
      <c r="BH961" s="51" t="n">
        <f aca="false">IF(AND(OR(CF961="L1",CF961="L23",CF961="LIFT"),BC961&gt;0),SUMIFS($BC$7:$BC$1843,$CF$7:$CF$1843,CF961,$BG$7:$BG$1843,"&gt;"&amp;BG961)+SUMIFS($BC$7:$BC$1843,$CF$7:$CF$1843,CF961,$BG$7:$BG$1843,BG961,$BW$7:$BW$1843,"&lt;="&amp;BW961),"")</f>
        <v>13464.3680516753</v>
      </c>
      <c r="BI961" s="58" t="n">
        <f aca="false">IF(BH961="",0,MAX(0,MIN(1,(IF(CF961="L1",Parameter!$H$5,IF(CF961="L23",Parameter!$H$6+Parameter!$H$7,Parameter!$H$5+Parameter!$H$6+Parameter!$H$7))-(BH961-BC961))/BC961)))</f>
        <v>1</v>
      </c>
      <c r="BJ961" s="48" t="str">
        <f aca="false">IF(AI961&lt;=0,"",IF(CF961="Aussen","Aussenlager",IF(CF961="-","Nicht im Lift",IF(AO961&gt;=1,"Lift",IF(AO961&lt;=0,"Aussenlager","teilweise")))))</f>
        <v>Lift</v>
      </c>
      <c r="BK961" s="48" t="str">
        <f aca="false">IF(AS961&lt;=0,"",IF(CF961="Aussen","Aussenlager",IF(CF961="-","Nicht im Lift",IF(AY961&gt;=1,"Lift",IF(AY961&lt;=0,"Aussenlager","teilweise")))))</f>
        <v>Lift</v>
      </c>
      <c r="BL961" s="48" t="str">
        <f aca="false">IF(BC961&lt;=0,"",IF(CF961="Aussen","Aussenlager",IF(CF961="-","Nicht im Lift",IF(BI961&gt;=1,"Lift",IF(BI961&lt;=0,"Aussenlager","teilweise")))))</f>
        <v>Lift</v>
      </c>
      <c r="BM961" s="48" t="str">
        <f aca="false">IF(A961="","",IF(BV961=1,"Neu; ","")&amp;IF(AND(BV961=0,BQ961&lt;0),"negativer Bestand (Export "&amp;BQ961&amp;"); ","")&amp;IF(J961&lt;=0,"Kein Verbrauch; ","")&amp;IF(CQ961&gt;0,"Lift "&amp;W961&amp;" lt. Liftbericht (Fach "&amp;X961&amp;" Stk); ",IF(CA961=1,"Gebinde geschätzt ("&amp;T961&amp;"); ",IF(BZ961=1,"Lose – Tablare geschätzt; ","")))&amp;IF(H961&gt;AV961,"Überbestand "&amp;ROUND(H961-AV961,0)&amp;" Stk / CHF "&amp;ROUND((H961-AV961)*G961,0)&amp;"; ","")&amp;IF(AND(CH961=1,CI961&lt;CJ961),"MAX &lt; MB+LG; ","")&amp;IF(AND(CP961&gt;0,CO961*10&gt;CP961),"zu hoch für Tablar; ","")&amp;IF(AND(BV961=0,OR(CH961=1,AA961&lt;&gt;"",U961&lt;&gt;"",V961&lt;&gt;"",AB961&lt;&gt;"")),"manuell übersteuert; ","")&amp;IF(AND(BZ961=0,R961=0),"Gebinde unbekannt / Stellmass fehlt; ","")&amp;IF(AND(BZ961=0,N(V961)&lt;=0,N(Q961)&lt;=0),"Menge pro Gebinde fehlt (Ist = 1 Gebinde); ","")&amp;BU961)</f>
        <v>negativer Bestand (Export -1); Überbestand 2 Stk / CHF 134; </v>
      </c>
      <c r="BN961" s="48"/>
      <c r="BO961" s="48"/>
      <c r="BP961" s="55"/>
      <c r="BQ961" s="50" t="n">
        <v>-1</v>
      </c>
      <c r="BR961" s="50" t="n">
        <v>4</v>
      </c>
      <c r="BS961" s="49" t="n">
        <v>-67.24</v>
      </c>
      <c r="BT961" s="50" t="n">
        <v>1</v>
      </c>
      <c r="BU961" s="48"/>
      <c r="BV961" s="53" t="n">
        <v>0</v>
      </c>
      <c r="BW961" s="53" t="n">
        <v>961</v>
      </c>
      <c r="BX961" s="48" t="str">
        <f aca="false">IF(U961&lt;&gt;"",UPPER(TRIM(U961)),IF(CA961=1,UPPER(VLOOKUP(T961,Parameter!$I$27:$K$29,2,0)),IF(P961="","LOSE",P961)))</f>
        <v>S51</v>
      </c>
      <c r="BY961" s="50" t="n">
        <f aca="false">IF(BX961="LOSE",1,IF(N(V961)&gt;0,V961,IF(CA961=1,MAX(1,N(VLOOKUP(T961,Parameter!$I$27:$K$29,3,0)),H961,N(N961)),IF(N(Q961)&gt;0,Q961,MAX(1,H961)))))</f>
        <v>6</v>
      </c>
      <c r="BZ961" s="53" t="n">
        <f aca="false">IF(BX961="LOSE",1,0)</f>
        <v>0</v>
      </c>
      <c r="CA961" s="53" t="n">
        <f aca="false">IF(AND(U961="",OR(P961="",P961="LOSE"),T961&lt;&gt;"",N(S961)&lt;=0,ISNUMBER(MATCH(T961,Parameter!$I$27:$I$29,0))),1,0)</f>
        <v>0</v>
      </c>
      <c r="CB961" s="53" t="n">
        <f aca="false">IF(CQ961&gt;0,INDEX(Parameter!$H$5:$H$7,W961)/INDEX(Parameter!$E$5:$E$7,W961),IF(AND(BZ961=0,N(IFERROR(VLOOKUP(BX961,'Gebinde-Kategorie'!$A$5:$N$45,14,0),0))&gt;0),VLOOKUP(BX961,'Gebinde-Kategorie'!$A$5:$N$45,14,0)*10+Parameter!$M$23,Parameter!$M$24))</f>
        <v>155</v>
      </c>
      <c r="CC961" s="48" t="str">
        <f aca="false">IF(AND(Parameter!$B$19="Ja",E961&lt;&gt;"",ISNUMBER(MATCH(E961,Parameter!$I$35:$I$52,0))),VLOOKUP(E961,Parameter!$I$35:$J$52,2,0),IFERROR(VLOOKUP(D961,Parameter!$A$35:$C$64,2,0),"Nein"))</f>
        <v>2+3</v>
      </c>
      <c r="CD961" s="52" t="n">
        <f aca="false">IF(BZ961=0,0,IF(N(S961)&gt;0,S961,IFERROR(VLOOKUP(D961,Parameter!$A$35:$C$64,3,0)+0,0)))</f>
        <v>0</v>
      </c>
      <c r="CE961" s="48" t="n">
        <f aca="false">IF(AA961&lt;&gt;"",AA961,Z961)</f>
        <v>3</v>
      </c>
      <c r="CF961" s="48" t="str">
        <f aca="false">IF(OR(CE961=1,CE961=2,CE961=3),IF(Parameter!$E$27="Ja","LIFT",IF(CE961=1,"L1","L23")),IF(CE961="Aussen","Aussen","-"))</f>
        <v>LIFT</v>
      </c>
      <c r="CG961" s="59" t="n">
        <f aca="false">IF(N(AB961)&gt;0,AB961,0)</f>
        <v>0</v>
      </c>
      <c r="CH961" s="53" t="n">
        <f aca="false">IF(ISNUMBER(AE961),1,0)</f>
        <v>0</v>
      </c>
      <c r="CI961" s="50" t="n">
        <f aca="false">N(AE961)</f>
        <v>0</v>
      </c>
      <c r="CJ961" s="50" t="n">
        <f aca="false">N(M961)+N(N961)</f>
        <v>1</v>
      </c>
      <c r="CK961" s="50" t="n">
        <f aca="false">N(M961)</f>
        <v>0</v>
      </c>
      <c r="CL961" s="50" t="n">
        <f aca="false">N(N961)</f>
        <v>1</v>
      </c>
      <c r="CM961" s="50" t="n">
        <f aca="false">ROUNDUP(H961/BY961,0)</f>
        <v>1</v>
      </c>
      <c r="CN961" s="50" t="n">
        <f aca="false">ROUNDUP(CI961/BY961,0)</f>
        <v>0</v>
      </c>
      <c r="CO961" s="53" t="n">
        <f aca="false">IF(BZ961=1,0,IFERROR(VLOOKUP(BX961,'Gebinde-Kategorie'!$A$5:$N$45,5,0)+0,0))</f>
        <v>11</v>
      </c>
      <c r="CP961" s="53" t="n">
        <f aca="false">IFERROR(IF(OR(CE961=1,CE961=2,CE961=3),N(INDEX(Parameter!$I$5:$I$7,CE961)),0),0)</f>
        <v>0</v>
      </c>
      <c r="CQ961" s="52" t="n">
        <f aca="false">IF(AND(Parameter!$B$21="Ja",ISNUMBER(W961),N(X961)&gt;0),IFERROR(N(INDEX(Parameter!$L$5:$L$7,W961))*INDEX(Parameter!$E$5:$E$7,W961)*X961/SUMIFS($X$7:$X$1843,$W$7:$W$1843,W961),0),0)</f>
        <v>0</v>
      </c>
    </row>
    <row r="962" customFormat="false" ht="15" hidden="false" customHeight="false" outlineLevel="0" collapsed="false">
      <c r="A962" s="48" t="s">
        <v>1799</v>
      </c>
      <c r="B962" s="48" t="s">
        <v>1800</v>
      </c>
      <c r="C962" s="48" t="s">
        <v>173</v>
      </c>
      <c r="D962" s="48" t="s">
        <v>193</v>
      </c>
      <c r="E962" s="48" t="s">
        <v>194</v>
      </c>
      <c r="F962" s="48" t="s">
        <v>227</v>
      </c>
      <c r="G962" s="49" t="n">
        <v>68.34</v>
      </c>
      <c r="H962" s="50" t="n">
        <f aca="false">MAX(0,IF(AND(Parameter!$B$21="Ja",ISNUMBER(Y962)),Y962,IF(Parameter!$B$20="Jahresanfang 2025 + Export",BR962+BQ962,BQ962)))</f>
        <v>7</v>
      </c>
      <c r="I962" s="50" t="n">
        <f aca="false">H962*G962</f>
        <v>478.38</v>
      </c>
      <c r="J962" s="50" t="n">
        <f aca="false">BT962*Parameter!$B$18</f>
        <v>3</v>
      </c>
      <c r="K962" s="51" t="n">
        <v>7</v>
      </c>
      <c r="L962" s="52" t="n">
        <v>0.428571428571429</v>
      </c>
      <c r="M962" s="50" t="n">
        <v>0</v>
      </c>
      <c r="N962" s="50" t="n">
        <v>5</v>
      </c>
      <c r="O962" s="53" t="n">
        <v>14</v>
      </c>
      <c r="P962" s="48" t="s">
        <v>302</v>
      </c>
      <c r="Q962" s="50" t="n">
        <v>13</v>
      </c>
      <c r="R962" s="53" t="n">
        <f aca="false">IF(BZ962=1,0,IFERROR(VLOOKUP(BX962,'Gebinde-Kategorie'!$A$5:$N$45,13,0)+0,0))</f>
        <v>12</v>
      </c>
      <c r="S962" s="54"/>
      <c r="T962" s="55"/>
      <c r="U962" s="55"/>
      <c r="V962" s="55"/>
      <c r="W962" s="48"/>
      <c r="X962" s="50"/>
      <c r="Y962" s="50"/>
      <c r="Z962" s="48" t="n">
        <f aca="false">IF(A962="","",IF(AND(Parameter!$B$21="Ja",ISNUMBER(W962)),W962,IF(CC962="2+3",IF(ISNUMBER(SEARCH("grosser Artikel",BU962)),2,IFERROR(VLOOKUP(BX962,Parameter!$F$35:$G$64,2,0),2)),IF(OR(CC962="Nein",CC962=""),"-",CC962))))</f>
        <v>2</v>
      </c>
      <c r="AA962" s="55"/>
      <c r="AB962" s="56"/>
      <c r="AC962" s="50" t="n">
        <f aca="false">AV962</f>
        <v>5</v>
      </c>
      <c r="AD962" s="50" t="n">
        <f aca="false">MAX(AV962,H962)</f>
        <v>7</v>
      </c>
      <c r="AE962" s="57"/>
      <c r="AF962" s="50" t="n">
        <f aca="false">IF(LEFT(Cockpit!$C$5,1)="A",H962,IF(Parameter!$E$30="MAX-Bestand",IF(CH962=1,CI962,IF(LEFT(Cockpit!$C$5,1)="B",AL962,MAX(AL962,H962))),ROUNDUP(AJ962,0)))</f>
        <v>7</v>
      </c>
      <c r="AG962" s="50" t="n">
        <f aca="false">IF(BZ962=1,0,ROUNDUP(AF962/BY962,0))</f>
        <v>1</v>
      </c>
      <c r="AH962" s="52" t="n">
        <f aca="false">IF(CQ962&gt;0,CQ962*MAX(1,AF962/X962),IF(BZ962=1,IF(AF962&lt;=0,0,CD962*MAX(1,IF(H962&gt;0,AF962/H962,1))),IF(R962&gt;0,AG962/R962,0))/MAX(0.1,N(Parameter!$M$21)))</f>
        <v>0.0833333333333333</v>
      </c>
      <c r="AI962" s="50" t="n">
        <f aca="false">AH962*CB962</f>
        <v>20.4166666666667</v>
      </c>
      <c r="AJ962" s="51" t="n">
        <f aca="false">IF(LEFT(Cockpit!$C$5,1)="A",H962,IF(CH962=1,(CK962+CI962)/2,IF(LEFT(Cockpit!$C$5,1)="B",(CK962+AL962)/2,MAX((CK962+AL962)/2,H962))))</f>
        <v>7</v>
      </c>
      <c r="AK962" s="50" t="n">
        <f aca="false">AJ962*G962</f>
        <v>478.38</v>
      </c>
      <c r="AL962" s="50" t="n">
        <f aca="false">ROUNDUP(CK962+MAX(CL962,2*(J962/IF(CG962&gt;0,CG962,MAX(0.1,N(Cockpit!$C$6)))-CK962)),0)</f>
        <v>5</v>
      </c>
      <c r="AM962" s="51" t="n">
        <f aca="false">IF(AI962&gt;0,J962/AI962,-1)</f>
        <v>0.146938775510204</v>
      </c>
      <c r="AN962" s="51" t="n">
        <f aca="false">IF(AND(OR(CF962="L1",CF962="L23",CF962="LIFT"),AI962&gt;0),SUMIFS($AI$7:$AI$1843,$CF$7:$CF$1843,CF962,$AM$7:$AM$1843,"&gt;"&amp;AM962)+SUMIFS($AI$7:$AI$1843,$CF$7:$CF$1843,CF962,$AM$7:$AM$1843,AM962,$BW$7:$BW$1843,"&lt;="&amp;BW962),"")</f>
        <v>13042.9067977691</v>
      </c>
      <c r="AO962" s="58" t="n">
        <f aca="false">IF(AN962="",0,MAX(0,MIN(1,(IF(CF962="L1",Parameter!$H$5,IF(CF962="L23",Parameter!$H$6+Parameter!$H$7,Parameter!$H$5+Parameter!$H$6+Parameter!$H$7))-(AN962-AI962))/AI962)))</f>
        <v>1</v>
      </c>
      <c r="AP962" s="50" t="n">
        <f aca="false">IF(LEFT(Cockpit!$I$5,1)="A",H962,IF(Parameter!$E$30="MAX-Bestand",IF(CH962=1,CI962,IF(LEFT(Cockpit!$I$5,1)="B",AV962,MAX(AV962,H962))),ROUNDUP(AT962,0)))</f>
        <v>7</v>
      </c>
      <c r="AQ962" s="50" t="n">
        <f aca="false">IF(BZ962=1,0,ROUNDUP(AP962/BY962,0))</f>
        <v>1</v>
      </c>
      <c r="AR962" s="52" t="n">
        <f aca="false">IF(CQ962&gt;0,CQ962*MAX(1,AP962/X962),IF(BZ962=1,IF(AP962&lt;=0,0,CD962*MAX(1,IF(H962&gt;0,AP962/H962,1))),IF(R962&gt;0,AQ962/R962,0))/MAX(0.1,N(Parameter!$M$21)))</f>
        <v>0.0833333333333333</v>
      </c>
      <c r="AS962" s="50" t="n">
        <f aca="false">AR962*CB962</f>
        <v>20.4166666666667</v>
      </c>
      <c r="AT962" s="51" t="n">
        <f aca="false">IF(LEFT(Cockpit!$I$5,1)="A",H962,IF(CH962=1,(CK962+CI962)/2,IF(LEFT(Cockpit!$I$5,1)="B",(CK962+AV962)/2,MAX((CK962+AV962)/2,H962))))</f>
        <v>7</v>
      </c>
      <c r="AU962" s="50" t="n">
        <f aca="false">AT962*G962</f>
        <v>478.38</v>
      </c>
      <c r="AV962" s="50" t="n">
        <f aca="false">ROUNDUP(CK962+MAX(CL962,2*(J962/IF(CG962&gt;0,CG962,MAX(0.1,N(Cockpit!$I$6)))-CK962)),0)</f>
        <v>5</v>
      </c>
      <c r="AW962" s="51" t="n">
        <f aca="false">IF(AS962&gt;0,J962/AS962,-1)</f>
        <v>0.146938775510204</v>
      </c>
      <c r="AX962" s="51" t="n">
        <f aca="false">IF(AND(OR(CF962="L1",CF962="L23",CF962="LIFT"),AS962&gt;0),SUMIFS($AS$7:$AS$1843,$CF$7:$CF$1843,CF962,$AW$7:$AW$1843,"&gt;"&amp;AW962)+SUMIFS($AS$7:$AS$1843,$CF$7:$CF$1843,CF962,$AW$7:$AW$1843,AW962,$BW$7:$BW$1843,"&lt;="&amp;BW962),"")</f>
        <v>17067.3054391465</v>
      </c>
      <c r="AY962" s="58" t="n">
        <f aca="false">IF(AX962="",0,MAX(0,MIN(1,(IF(CF962="L1",Parameter!$H$5,IF(CF962="L23",Parameter!$H$6+Parameter!$H$7,Parameter!$H$5+Parameter!$H$6+Parameter!$H$7))-(AX962-AS962))/AS962)))</f>
        <v>1</v>
      </c>
      <c r="AZ962" s="50" t="n">
        <f aca="false">IF(LEFT(Cockpit!$O$5,1)="A",H962,IF(Parameter!$E$30="MAX-Bestand",IF(CH962=1,CI962,IF(LEFT(Cockpit!$O$5,1)="B",BF962,MAX(BF962,H962))),ROUNDUP(BD962,0)))</f>
        <v>3</v>
      </c>
      <c r="BA962" s="50" t="n">
        <f aca="false">IF(BZ962=1,0,ROUNDUP(AZ962/BY962,0))</f>
        <v>1</v>
      </c>
      <c r="BB962" s="52" t="n">
        <f aca="false">IF(CQ962&gt;0,CQ962*MAX(1,AZ962/X962),IF(BZ962=1,IF(AZ962&lt;=0,0,CD962*MAX(1,IF(H962&gt;0,AZ962/H962,1))),IF(R962&gt;0,BA962/R962,0))/MAX(0.1,N(Parameter!$M$21)))</f>
        <v>0.0833333333333333</v>
      </c>
      <c r="BC962" s="50" t="n">
        <f aca="false">BB962*CB962</f>
        <v>20.4166666666667</v>
      </c>
      <c r="BD962" s="51" t="n">
        <f aca="false">IF(LEFT(Cockpit!$O$5,1)="A",H962,IF(CH962=1,(CK962+CI962)/2,IF(LEFT(Cockpit!$O$5,1)="B",(CK962+BF962)/2,MAX((CK962+BF962)/2,H962))))</f>
        <v>2.5</v>
      </c>
      <c r="BE962" s="50" t="n">
        <f aca="false">BD962*G962</f>
        <v>170.85</v>
      </c>
      <c r="BF962" s="50" t="n">
        <f aca="false">ROUNDUP(CK962+MAX(CL962,2*(J962/IF(CG962&gt;0,CG962,MAX(0.1,N(Cockpit!$O$6)))-CK962)),0)</f>
        <v>5</v>
      </c>
      <c r="BG962" s="51" t="n">
        <f aca="false">IF(BC962&gt;0,J962/BC962,-1)</f>
        <v>0.146938775510204</v>
      </c>
      <c r="BH962" s="51" t="n">
        <f aca="false">IF(AND(OR(CF962="L1",CF962="L23",CF962="LIFT"),BC962&gt;0),SUMIFS($BC$7:$BC$1843,$CF$7:$CF$1843,CF962,$BG$7:$BG$1843,"&gt;"&amp;BG962)+SUMIFS($BC$7:$BC$1843,$CF$7:$CF$1843,CF962,$BG$7:$BG$1843,BG962,$BW$7:$BW$1843,"&lt;="&amp;BW962),"")</f>
        <v>13841.8039491112</v>
      </c>
      <c r="BI962" s="58" t="n">
        <f aca="false">IF(BH962="",0,MAX(0,MIN(1,(IF(CF962="L1",Parameter!$H$5,IF(CF962="L23",Parameter!$H$6+Parameter!$H$7,Parameter!$H$5+Parameter!$H$6+Parameter!$H$7))-(BH962-BC962))/BC962)))</f>
        <v>1</v>
      </c>
      <c r="BJ962" s="48" t="str">
        <f aca="false">IF(AI962&lt;=0,"",IF(CF962="Aussen","Aussenlager",IF(CF962="-","Nicht im Lift",IF(AO962&gt;=1,"Lift",IF(AO962&lt;=0,"Aussenlager","teilweise")))))</f>
        <v>Lift</v>
      </c>
      <c r="BK962" s="48" t="str">
        <f aca="false">IF(AS962&lt;=0,"",IF(CF962="Aussen","Aussenlager",IF(CF962="-","Nicht im Lift",IF(AY962&gt;=1,"Lift",IF(AY962&lt;=0,"Aussenlager","teilweise")))))</f>
        <v>Lift</v>
      </c>
      <c r="BL962" s="48" t="str">
        <f aca="false">IF(BC962&lt;=0,"",IF(CF962="Aussen","Aussenlager",IF(CF962="-","Nicht im Lift",IF(BI962&gt;=1,"Lift",IF(BI962&lt;=0,"Aussenlager","teilweise")))))</f>
        <v>Lift</v>
      </c>
      <c r="BM962" s="48" t="str">
        <f aca="false">IF(A962="","",IF(BV962=1,"Neu; ","")&amp;IF(AND(BV962=0,BQ962&lt;0),"negativer Bestand (Export "&amp;BQ962&amp;"); ","")&amp;IF(J962&lt;=0,"Kein Verbrauch; ","")&amp;IF(CQ962&gt;0,"Lift "&amp;W962&amp;" lt. Liftbericht (Fach "&amp;X962&amp;" Stk); ",IF(CA962=1,"Gebinde geschätzt ("&amp;T962&amp;"); ",IF(BZ962=1,"Lose – Tablare geschätzt; ","")))&amp;IF(H962&gt;AV962,"Überbestand "&amp;ROUND(H962-AV962,0)&amp;" Stk / CHF "&amp;ROUND((H962-AV962)*G962,0)&amp;"; ","")&amp;IF(AND(CH962=1,CI962&lt;CJ962),"MAX &lt; MB+LG; ","")&amp;IF(AND(CP962&gt;0,CO962*10&gt;CP962),"zu hoch für Tablar; ","")&amp;IF(AND(BV962=0,OR(CH962=1,AA962&lt;&gt;"",U962&lt;&gt;"",V962&lt;&gt;"",AB962&lt;&gt;"")),"manuell übersteuert; ","")&amp;IF(AND(BZ962=0,R962=0),"Gebinde unbekannt / Stellmass fehlt; ","")&amp;IF(AND(BZ962=0,N(V962)&lt;=0,N(Q962)&lt;=0),"Menge pro Gebinde fehlt (Ist = 1 Gebinde); ","")&amp;BU962)</f>
        <v>negativer Bestand (Export -1); Überbestand 2 Stk / CHF 137; </v>
      </c>
      <c r="BN962" s="48"/>
      <c r="BO962" s="48"/>
      <c r="BP962" s="55"/>
      <c r="BQ962" s="50" t="n">
        <v>-1</v>
      </c>
      <c r="BR962" s="50" t="n">
        <v>8</v>
      </c>
      <c r="BS962" s="49" t="n">
        <v>-68.34</v>
      </c>
      <c r="BT962" s="50" t="n">
        <v>3</v>
      </c>
      <c r="BU962" s="48"/>
      <c r="BV962" s="53" t="n">
        <v>0</v>
      </c>
      <c r="BW962" s="53" t="n">
        <v>962</v>
      </c>
      <c r="BX962" s="48" t="str">
        <f aca="false">IF(U962&lt;&gt;"",UPPER(TRIM(U962)),IF(CA962=1,UPPER(VLOOKUP(T962,Parameter!$I$27:$K$29,2,0)),IF(P962="","LOSE",P962)))</f>
        <v>S62</v>
      </c>
      <c r="BY962" s="50" t="n">
        <f aca="false">IF(BX962="LOSE",1,IF(N(V962)&gt;0,V962,IF(CA962=1,MAX(1,N(VLOOKUP(T962,Parameter!$I$27:$K$29,3,0)),H962,N(N962)),IF(N(Q962)&gt;0,Q962,MAX(1,H962)))))</f>
        <v>13</v>
      </c>
      <c r="BZ962" s="53" t="n">
        <f aca="false">IF(BX962="LOSE",1,0)</f>
        <v>0</v>
      </c>
      <c r="CA962" s="53" t="n">
        <f aca="false">IF(AND(U962="",OR(P962="",P962="LOSE"),T962&lt;&gt;"",N(S962)&lt;=0,ISNUMBER(MATCH(T962,Parameter!$I$27:$I$29,0))),1,0)</f>
        <v>0</v>
      </c>
      <c r="CB962" s="53" t="n">
        <f aca="false">IF(CQ962&gt;0,INDEX(Parameter!$H$5:$H$7,W962)/INDEX(Parameter!$E$5:$E$7,W962),IF(AND(BZ962=0,N(IFERROR(VLOOKUP(BX962,'Gebinde-Kategorie'!$A$5:$N$45,14,0),0))&gt;0),VLOOKUP(BX962,'Gebinde-Kategorie'!$A$5:$N$45,14,0)*10+Parameter!$M$23,Parameter!$M$24))</f>
        <v>245</v>
      </c>
      <c r="CC962" s="48" t="str">
        <f aca="false">IF(AND(Parameter!$B$19="Ja",E962&lt;&gt;"",ISNUMBER(MATCH(E962,Parameter!$I$35:$I$52,0))),VLOOKUP(E962,Parameter!$I$35:$J$52,2,0),IFERROR(VLOOKUP(D962,Parameter!$A$35:$C$64,2,0),"Nein"))</f>
        <v>2+3</v>
      </c>
      <c r="CD962" s="52" t="n">
        <f aca="false">IF(BZ962=0,0,IF(N(S962)&gt;0,S962,IFERROR(VLOOKUP(D962,Parameter!$A$35:$C$64,3,0)+0,0)))</f>
        <v>0</v>
      </c>
      <c r="CE962" s="48" t="n">
        <f aca="false">IF(AA962&lt;&gt;"",AA962,Z962)</f>
        <v>2</v>
      </c>
      <c r="CF962" s="48" t="str">
        <f aca="false">IF(OR(CE962=1,CE962=2,CE962=3),IF(Parameter!$E$27="Ja","LIFT",IF(CE962=1,"L1","L23")),IF(CE962="Aussen","Aussen","-"))</f>
        <v>LIFT</v>
      </c>
      <c r="CG962" s="59" t="n">
        <f aca="false">IF(N(AB962)&gt;0,AB962,0)</f>
        <v>0</v>
      </c>
      <c r="CH962" s="53" t="n">
        <f aca="false">IF(ISNUMBER(AE962),1,0)</f>
        <v>0</v>
      </c>
      <c r="CI962" s="50" t="n">
        <f aca="false">N(AE962)</f>
        <v>0</v>
      </c>
      <c r="CJ962" s="50" t="n">
        <f aca="false">N(M962)+N(N962)</f>
        <v>5</v>
      </c>
      <c r="CK962" s="50" t="n">
        <f aca="false">N(M962)</f>
        <v>0</v>
      </c>
      <c r="CL962" s="50" t="n">
        <f aca="false">N(N962)</f>
        <v>5</v>
      </c>
      <c r="CM962" s="50" t="n">
        <f aca="false">ROUNDUP(H962/BY962,0)</f>
        <v>1</v>
      </c>
      <c r="CN962" s="50" t="n">
        <f aca="false">ROUNDUP(CI962/BY962,0)</f>
        <v>0</v>
      </c>
      <c r="CO962" s="53" t="n">
        <f aca="false">IF(BZ962=1,0,IFERROR(VLOOKUP(BX962,'Gebinde-Kategorie'!$A$5:$N$45,5,0)+0,0))</f>
        <v>21</v>
      </c>
      <c r="CP962" s="53" t="n">
        <f aca="false">IFERROR(IF(OR(CE962=1,CE962=2,CE962=3),N(INDEX(Parameter!$I$5:$I$7,CE962)),0),0)</f>
        <v>0</v>
      </c>
      <c r="CQ962" s="52" t="n">
        <f aca="false">IF(AND(Parameter!$B$21="Ja",ISNUMBER(W962),N(X962)&gt;0),IFERROR(N(INDEX(Parameter!$L$5:$L$7,W962))*INDEX(Parameter!$E$5:$E$7,W962)*X962/SUMIFS($X$7:$X$1843,$W$7:$W$1843,W962),0),0)</f>
        <v>0</v>
      </c>
    </row>
    <row r="963" customFormat="false" ht="15" hidden="false" customHeight="false" outlineLevel="0" collapsed="false">
      <c r="A963" s="48" t="s">
        <v>1801</v>
      </c>
      <c r="B963" s="48" t="s">
        <v>498</v>
      </c>
      <c r="C963" s="48" t="s">
        <v>173</v>
      </c>
      <c r="D963" s="48" t="s">
        <v>193</v>
      </c>
      <c r="E963" s="48" t="s">
        <v>194</v>
      </c>
      <c r="F963" s="48" t="s">
        <v>227</v>
      </c>
      <c r="G963" s="49" t="n">
        <v>1.22</v>
      </c>
      <c r="H963" s="50" t="n">
        <f aca="false">MAX(0,IF(AND(Parameter!$B$21="Ja",ISNUMBER(Y963)),Y963,IF(Parameter!$B$20="Jahresanfang 2025 + Export",BR963+BQ963,BQ963)))</f>
        <v>187</v>
      </c>
      <c r="I963" s="50" t="n">
        <f aca="false">H963*G963</f>
        <v>228.14</v>
      </c>
      <c r="J963" s="50" t="n">
        <f aca="false">BT963*Parameter!$B$18</f>
        <v>422</v>
      </c>
      <c r="K963" s="51" t="n">
        <v>345.5</v>
      </c>
      <c r="L963" s="52" t="n">
        <v>1.22141823444284</v>
      </c>
      <c r="M963" s="50" t="n">
        <v>16</v>
      </c>
      <c r="N963" s="50" t="n">
        <v>420</v>
      </c>
      <c r="O963" s="53" t="n">
        <v>14</v>
      </c>
      <c r="P963" s="48" t="s">
        <v>311</v>
      </c>
      <c r="Q963" s="50" t="n">
        <v>621</v>
      </c>
      <c r="R963" s="53" t="n">
        <f aca="false">IF(BZ963=1,0,IFERROR(VLOOKUP(BX963,'Gebinde-Kategorie'!$A$5:$N$45,13,0)+0,0))</f>
        <v>26</v>
      </c>
      <c r="S963" s="54"/>
      <c r="T963" s="55"/>
      <c r="U963" s="55"/>
      <c r="V963" s="55"/>
      <c r="W963" s="48"/>
      <c r="X963" s="50"/>
      <c r="Y963" s="50"/>
      <c r="Z963" s="48" t="n">
        <f aca="false">IF(A963="","",IF(AND(Parameter!$B$21="Ja",ISNUMBER(W963)),W963,IF(CC963="2+3",IF(ISNUMBER(SEARCH("grosser Artikel",BU963)),2,IFERROR(VLOOKUP(BX963,Parameter!$F$35:$G$64,2,0),2)),IF(OR(CC963="Nein",CC963=""),"-",CC963))))</f>
        <v>3</v>
      </c>
      <c r="AA963" s="55"/>
      <c r="AB963" s="56"/>
      <c r="AC963" s="50" t="n">
        <f aca="false">AV963</f>
        <v>436</v>
      </c>
      <c r="AD963" s="50" t="n">
        <f aca="false">MAX(AV963,H963)</f>
        <v>436</v>
      </c>
      <c r="AE963" s="57"/>
      <c r="AF963" s="50" t="n">
        <f aca="false">IF(LEFT(Cockpit!$C$5,1)="A",H963,IF(Parameter!$E$30="MAX-Bestand",IF(CH963=1,CI963,IF(LEFT(Cockpit!$C$5,1)="B",AL963,MAX(AL963,H963))),ROUNDUP(AJ963,0)))</f>
        <v>187</v>
      </c>
      <c r="AG963" s="50" t="n">
        <f aca="false">IF(BZ963=1,0,ROUNDUP(AF963/BY963,0))</f>
        <v>1</v>
      </c>
      <c r="AH963" s="52" t="n">
        <f aca="false">IF(CQ963&gt;0,CQ963*MAX(1,AF963/X963),IF(BZ963=1,IF(AF963&lt;=0,0,CD963*MAX(1,IF(H963&gt;0,AF963/H963,1))),IF(R963&gt;0,AG963/R963,0))/MAX(0.1,N(Parameter!$M$21)))</f>
        <v>0.0384615384615385</v>
      </c>
      <c r="AI963" s="50" t="n">
        <f aca="false">AH963*CB963</f>
        <v>5.96153846153846</v>
      </c>
      <c r="AJ963" s="51" t="n">
        <f aca="false">IF(LEFT(Cockpit!$C$5,1)="A",H963,IF(CH963=1,(CK963+CI963)/2,IF(LEFT(Cockpit!$C$5,1)="B",(CK963+AL963)/2,MAX((CK963+AL963)/2,H963))))</f>
        <v>187</v>
      </c>
      <c r="AK963" s="50" t="n">
        <f aca="false">AJ963*G963</f>
        <v>228.14</v>
      </c>
      <c r="AL963" s="50" t="n">
        <f aca="false">ROUNDUP(CK963+MAX(CL963,2*(J963/IF(CG963&gt;0,CG963,MAX(0.1,N(Cockpit!$C$6)))-CK963)),0)</f>
        <v>436</v>
      </c>
      <c r="AM963" s="51" t="n">
        <f aca="false">IF(AI963&gt;0,J963/AI963,-1)</f>
        <v>70.7870967741935</v>
      </c>
      <c r="AN963" s="51" t="n">
        <f aca="false">IF(AND(OR(CF963="L1",CF963="L23",CF963="LIFT"),AI963&gt;0),SUMIFS($AI$7:$AI$1843,$CF$7:$CF$1843,CF963,$AM$7:$AM$1843,"&gt;"&amp;AM963)+SUMIFS($AI$7:$AI$1843,$CF$7:$CF$1843,CF963,$AM$7:$AM$1843,AM963,$BW$7:$BW$1843,"&lt;="&amp;BW963),"")</f>
        <v>892.460164835165</v>
      </c>
      <c r="AO963" s="58" t="n">
        <f aca="false">IF(AN963="",0,MAX(0,MIN(1,(IF(CF963="L1",Parameter!$H$5,IF(CF963="L23",Parameter!$H$6+Parameter!$H$7,Parameter!$H$5+Parameter!$H$6+Parameter!$H$7))-(AN963-AI963))/AI963)))</f>
        <v>1</v>
      </c>
      <c r="AP963" s="50" t="n">
        <f aca="false">IF(LEFT(Cockpit!$I$5,1)="A",H963,IF(Parameter!$E$30="MAX-Bestand",IF(CH963=1,CI963,IF(LEFT(Cockpit!$I$5,1)="B",AV963,MAX(AV963,H963))),ROUNDUP(AT963,0)))</f>
        <v>226</v>
      </c>
      <c r="AQ963" s="50" t="n">
        <f aca="false">IF(BZ963=1,0,ROUNDUP(AP963/BY963,0))</f>
        <v>1</v>
      </c>
      <c r="AR963" s="52" t="n">
        <f aca="false">IF(CQ963&gt;0,CQ963*MAX(1,AP963/X963),IF(BZ963=1,IF(AP963&lt;=0,0,CD963*MAX(1,IF(H963&gt;0,AP963/H963,1))),IF(R963&gt;0,AQ963/R963,0))/MAX(0.1,N(Parameter!$M$21)))</f>
        <v>0.0384615384615385</v>
      </c>
      <c r="AS963" s="50" t="n">
        <f aca="false">AR963*CB963</f>
        <v>5.96153846153846</v>
      </c>
      <c r="AT963" s="51" t="n">
        <f aca="false">IF(LEFT(Cockpit!$I$5,1)="A",H963,IF(CH963=1,(CK963+CI963)/2,IF(LEFT(Cockpit!$I$5,1)="B",(CK963+AV963)/2,MAX((CK963+AV963)/2,H963))))</f>
        <v>226</v>
      </c>
      <c r="AU963" s="50" t="n">
        <f aca="false">AT963*G963</f>
        <v>275.72</v>
      </c>
      <c r="AV963" s="50" t="n">
        <f aca="false">ROUNDUP(CK963+MAX(CL963,2*(J963/IF(CG963&gt;0,CG963,MAX(0.1,N(Cockpit!$I$6)))-CK963)),0)</f>
        <v>436</v>
      </c>
      <c r="AW963" s="51" t="n">
        <f aca="false">IF(AS963&gt;0,J963/AS963,-1)</f>
        <v>70.7870967741935</v>
      </c>
      <c r="AX963" s="51" t="n">
        <f aca="false">IF(AND(OR(CF963="L1",CF963="L23",CF963="LIFT"),AS963&gt;0),SUMIFS($AS$7:$AS$1843,$CF$7:$CF$1843,CF963,$AW$7:$AW$1843,"&gt;"&amp;AW963)+SUMIFS($AS$7:$AS$1843,$CF$7:$CF$1843,CF963,$AW$7:$AW$1843,AW963,$BW$7:$BW$1843,"&lt;="&amp;BW963),"")</f>
        <v>1104.26510989011</v>
      </c>
      <c r="AY963" s="58" t="n">
        <f aca="false">IF(AX963="",0,MAX(0,MIN(1,(IF(CF963="L1",Parameter!$H$5,IF(CF963="L23",Parameter!$H$6+Parameter!$H$7,Parameter!$H$5+Parameter!$H$6+Parameter!$H$7))-(AX963-AS963))/AS963)))</f>
        <v>1</v>
      </c>
      <c r="AZ963" s="50" t="n">
        <f aca="false">IF(LEFT(Cockpit!$O$5,1)="A",H963,IF(Parameter!$E$30="MAX-Bestand",IF(CH963=1,CI963,IF(LEFT(Cockpit!$O$5,1)="B",BF963,MAX(BF963,H963))),ROUNDUP(BD963,0)))</f>
        <v>226</v>
      </c>
      <c r="BA963" s="50" t="n">
        <f aca="false">IF(BZ963=1,0,ROUNDUP(AZ963/BY963,0))</f>
        <v>1</v>
      </c>
      <c r="BB963" s="52" t="n">
        <f aca="false">IF(CQ963&gt;0,CQ963*MAX(1,AZ963/X963),IF(BZ963=1,IF(AZ963&lt;=0,0,CD963*MAX(1,IF(H963&gt;0,AZ963/H963,1))),IF(R963&gt;0,BA963/R963,0))/MAX(0.1,N(Parameter!$M$21)))</f>
        <v>0.0384615384615385</v>
      </c>
      <c r="BC963" s="50" t="n">
        <f aca="false">BB963*CB963</f>
        <v>5.96153846153846</v>
      </c>
      <c r="BD963" s="51" t="n">
        <f aca="false">IF(LEFT(Cockpit!$O$5,1)="A",H963,IF(CH963=1,(CK963+CI963)/2,IF(LEFT(Cockpit!$O$5,1)="B",(CK963+BF963)/2,MAX((CK963+BF963)/2,H963))))</f>
        <v>226</v>
      </c>
      <c r="BE963" s="50" t="n">
        <f aca="false">BD963*G963</f>
        <v>275.72</v>
      </c>
      <c r="BF963" s="50" t="n">
        <f aca="false">ROUNDUP(CK963+MAX(CL963,2*(J963/IF(CG963&gt;0,CG963,MAX(0.1,N(Cockpit!$O$6)))-CK963)),0)</f>
        <v>436</v>
      </c>
      <c r="BG963" s="51" t="n">
        <f aca="false">IF(BC963&gt;0,J963/BC963,-1)</f>
        <v>70.7870967741935</v>
      </c>
      <c r="BH963" s="51" t="n">
        <f aca="false">IF(AND(OR(CF963="L1",CF963="L23",CF963="LIFT"),BC963&gt;0),SUMIFS($BC$7:$BC$1843,$CF$7:$CF$1843,CF963,$BG$7:$BG$1843,"&gt;"&amp;BG963)+SUMIFS($BC$7:$BC$1843,$CF$7:$CF$1843,CF963,$BG$7:$BG$1843,BG963,$BW$7:$BW$1843,"&lt;="&amp;BW963),"")</f>
        <v>1024.44734432234</v>
      </c>
      <c r="BI963" s="58" t="n">
        <f aca="false">IF(BH963="",0,MAX(0,MIN(1,(IF(CF963="L1",Parameter!$H$5,IF(CF963="L23",Parameter!$H$6+Parameter!$H$7,Parameter!$H$5+Parameter!$H$6+Parameter!$H$7))-(BH963-BC963))/BC963)))</f>
        <v>1</v>
      </c>
      <c r="BJ963" s="48" t="str">
        <f aca="false">IF(AI963&lt;=0,"",IF(CF963="Aussen","Aussenlager",IF(CF963="-","Nicht im Lift",IF(AO963&gt;=1,"Lift",IF(AO963&lt;=0,"Aussenlager","teilweise")))))</f>
        <v>Lift</v>
      </c>
      <c r="BK963" s="48" t="str">
        <f aca="false">IF(AS963&lt;=0,"",IF(CF963="Aussen","Aussenlager",IF(CF963="-","Nicht im Lift",IF(AY963&gt;=1,"Lift",IF(AY963&lt;=0,"Aussenlager","teilweise")))))</f>
        <v>Lift</v>
      </c>
      <c r="BL963" s="48" t="str">
        <f aca="false">IF(BC963&lt;=0,"",IF(CF963="Aussen","Aussenlager",IF(CF963="-","Nicht im Lift",IF(BI963&gt;=1,"Lift",IF(BI963&lt;=0,"Aussenlager","teilweise")))))</f>
        <v>Lift</v>
      </c>
      <c r="BM963" s="48" t="str">
        <f aca="false">IF(A963="","",IF(BV963=1,"Neu; ","")&amp;IF(AND(BV963=0,BQ963&lt;0),"negativer Bestand (Export "&amp;BQ963&amp;"); ","")&amp;IF(J963&lt;=0,"Kein Verbrauch; ","")&amp;IF(CQ963&gt;0,"Lift "&amp;W963&amp;" lt. Liftbericht (Fach "&amp;X963&amp;" Stk); ",IF(CA963=1,"Gebinde geschätzt ("&amp;T963&amp;"); ",IF(BZ963=1,"Lose – Tablare geschätzt; ","")))&amp;IF(H963&gt;AV963,"Überbestand "&amp;ROUND(H963-AV963,0)&amp;" Stk / CHF "&amp;ROUND((H963-AV963)*G963,0)&amp;"; ","")&amp;IF(AND(CH963=1,CI963&lt;CJ963),"MAX &lt; MB+LG; ","")&amp;IF(AND(CP963&gt;0,CO963*10&gt;CP963),"zu hoch für Tablar; ","")&amp;IF(AND(BV963=0,OR(CH963=1,AA963&lt;&gt;"",U963&lt;&gt;"",V963&lt;&gt;"",AB963&lt;&gt;"")),"manuell übersteuert; ","")&amp;IF(AND(BZ963=0,R963=0),"Gebinde unbekannt / Stellmass fehlt; ","")&amp;IF(AND(BZ963=0,N(V963)&lt;=0,N(Q963)&lt;=0),"Menge pro Gebinde fehlt (Ist = 1 Gebinde); ","")&amp;BU963)</f>
        <v>negativer Bestand (Export -65); </v>
      </c>
      <c r="BN963" s="48"/>
      <c r="BO963" s="48"/>
      <c r="BP963" s="55"/>
      <c r="BQ963" s="50" t="n">
        <v>-65</v>
      </c>
      <c r="BR963" s="50" t="n">
        <v>252</v>
      </c>
      <c r="BS963" s="49" t="n">
        <v>-69.22</v>
      </c>
      <c r="BT963" s="50" t="n">
        <v>422</v>
      </c>
      <c r="BU963" s="48"/>
      <c r="BV963" s="53" t="n">
        <v>0</v>
      </c>
      <c r="BW963" s="53" t="n">
        <v>963</v>
      </c>
      <c r="BX963" s="48" t="str">
        <f aca="false">IF(U963&lt;&gt;"",UPPER(TRIM(U963)),IF(CA963=1,UPPER(VLOOKUP(T963,Parameter!$I$27:$K$29,2,0)),IF(P963="","LOSE",P963)))</f>
        <v>S51</v>
      </c>
      <c r="BY963" s="50" t="n">
        <f aca="false">IF(BX963="LOSE",1,IF(N(V963)&gt;0,V963,IF(CA963=1,MAX(1,N(VLOOKUP(T963,Parameter!$I$27:$K$29,3,0)),H963,N(N963)),IF(N(Q963)&gt;0,Q963,MAX(1,H963)))))</f>
        <v>621</v>
      </c>
      <c r="BZ963" s="53" t="n">
        <f aca="false">IF(BX963="LOSE",1,0)</f>
        <v>0</v>
      </c>
      <c r="CA963" s="53" t="n">
        <f aca="false">IF(AND(U963="",OR(P963="",P963="LOSE"),T963&lt;&gt;"",N(S963)&lt;=0,ISNUMBER(MATCH(T963,Parameter!$I$27:$I$29,0))),1,0)</f>
        <v>0</v>
      </c>
      <c r="CB963" s="53" t="n">
        <f aca="false">IF(CQ963&gt;0,INDEX(Parameter!$H$5:$H$7,W963)/INDEX(Parameter!$E$5:$E$7,W963),IF(AND(BZ963=0,N(IFERROR(VLOOKUP(BX963,'Gebinde-Kategorie'!$A$5:$N$45,14,0),0))&gt;0),VLOOKUP(BX963,'Gebinde-Kategorie'!$A$5:$N$45,14,0)*10+Parameter!$M$23,Parameter!$M$24))</f>
        <v>155</v>
      </c>
      <c r="CC963" s="48" t="str">
        <f aca="false">IF(AND(Parameter!$B$19="Ja",E963&lt;&gt;"",ISNUMBER(MATCH(E963,Parameter!$I$35:$I$52,0))),VLOOKUP(E963,Parameter!$I$35:$J$52,2,0),IFERROR(VLOOKUP(D963,Parameter!$A$35:$C$64,2,0),"Nein"))</f>
        <v>2+3</v>
      </c>
      <c r="CD963" s="52" t="n">
        <f aca="false">IF(BZ963=0,0,IF(N(S963)&gt;0,S963,IFERROR(VLOOKUP(D963,Parameter!$A$35:$C$64,3,0)+0,0)))</f>
        <v>0</v>
      </c>
      <c r="CE963" s="48" t="n">
        <f aca="false">IF(AA963&lt;&gt;"",AA963,Z963)</f>
        <v>3</v>
      </c>
      <c r="CF963" s="48" t="str">
        <f aca="false">IF(OR(CE963=1,CE963=2,CE963=3),IF(Parameter!$E$27="Ja","LIFT",IF(CE963=1,"L1","L23")),IF(CE963="Aussen","Aussen","-"))</f>
        <v>LIFT</v>
      </c>
      <c r="CG963" s="59" t="n">
        <f aca="false">IF(N(AB963)&gt;0,AB963,0)</f>
        <v>0</v>
      </c>
      <c r="CH963" s="53" t="n">
        <f aca="false">IF(ISNUMBER(AE963),1,0)</f>
        <v>0</v>
      </c>
      <c r="CI963" s="50" t="n">
        <f aca="false">N(AE963)</f>
        <v>0</v>
      </c>
      <c r="CJ963" s="50" t="n">
        <f aca="false">N(M963)+N(N963)</f>
        <v>436</v>
      </c>
      <c r="CK963" s="50" t="n">
        <f aca="false">N(M963)</f>
        <v>16</v>
      </c>
      <c r="CL963" s="50" t="n">
        <f aca="false">N(N963)</f>
        <v>420</v>
      </c>
      <c r="CM963" s="50" t="n">
        <f aca="false">ROUNDUP(H963/BY963,0)</f>
        <v>1</v>
      </c>
      <c r="CN963" s="50" t="n">
        <f aca="false">ROUNDUP(CI963/BY963,0)</f>
        <v>0</v>
      </c>
      <c r="CO963" s="53" t="n">
        <f aca="false">IF(BZ963=1,0,IFERROR(VLOOKUP(BX963,'Gebinde-Kategorie'!$A$5:$N$45,5,0)+0,0))</f>
        <v>11</v>
      </c>
      <c r="CP963" s="53" t="n">
        <f aca="false">IFERROR(IF(OR(CE963=1,CE963=2,CE963=3),N(INDEX(Parameter!$I$5:$I$7,CE963)),0),0)</f>
        <v>0</v>
      </c>
      <c r="CQ963" s="52" t="n">
        <f aca="false">IF(AND(Parameter!$B$21="Ja",ISNUMBER(W963),N(X963)&gt;0),IFERROR(N(INDEX(Parameter!$L$5:$L$7,W963))*INDEX(Parameter!$E$5:$E$7,W963)*X963/SUMIFS($X$7:$X$1843,$W$7:$W$1843,W963),0),0)</f>
        <v>0</v>
      </c>
    </row>
    <row r="964" customFormat="false" ht="15" hidden="false" customHeight="false" outlineLevel="0" collapsed="false">
      <c r="A964" s="48" t="s">
        <v>1802</v>
      </c>
      <c r="B964" s="48" t="s">
        <v>498</v>
      </c>
      <c r="C964" s="48" t="s">
        <v>173</v>
      </c>
      <c r="D964" s="48" t="s">
        <v>193</v>
      </c>
      <c r="E964" s="48" t="s">
        <v>194</v>
      </c>
      <c r="F964" s="48" t="s">
        <v>227</v>
      </c>
      <c r="G964" s="49" t="n">
        <v>1.74</v>
      </c>
      <c r="H964" s="50" t="n">
        <f aca="false">MAX(0,IF(AND(Parameter!$B$21="Ja",ISNUMBER(Y964)),Y964,IF(Parameter!$B$20="Jahresanfang 2025 + Export",BR964+BQ964,BQ964)))</f>
        <v>54</v>
      </c>
      <c r="I964" s="50" t="n">
        <f aca="false">H964*G964</f>
        <v>93.96</v>
      </c>
      <c r="J964" s="50" t="n">
        <f aca="false">BT964*Parameter!$B$18</f>
        <v>272</v>
      </c>
      <c r="K964" s="51" t="n">
        <v>157</v>
      </c>
      <c r="L964" s="52" t="n">
        <v>1.73248407643312</v>
      </c>
      <c r="M964" s="50" t="n">
        <v>10</v>
      </c>
      <c r="N964" s="50" t="n">
        <v>300</v>
      </c>
      <c r="O964" s="53" t="n">
        <v>14</v>
      </c>
      <c r="P964" s="48" t="s">
        <v>485</v>
      </c>
      <c r="Q964" s="50" t="n">
        <v>486</v>
      </c>
      <c r="R964" s="53" t="n">
        <f aca="false">IF(BZ964=1,0,IFERROR(VLOOKUP(BX964,'Gebinde-Kategorie'!$A$5:$N$45,13,0)+0,0))</f>
        <v>52</v>
      </c>
      <c r="S964" s="54"/>
      <c r="T964" s="55"/>
      <c r="U964" s="55"/>
      <c r="V964" s="55"/>
      <c r="W964" s="48"/>
      <c r="X964" s="50"/>
      <c r="Y964" s="50"/>
      <c r="Z964" s="48" t="n">
        <f aca="false">IF(A964="","",IF(AND(Parameter!$B$21="Ja",ISNUMBER(W964)),W964,IF(CC964="2+3",IF(ISNUMBER(SEARCH("grosser Artikel",BU964)),2,IFERROR(VLOOKUP(BX964,Parameter!$F$35:$G$64,2,0),2)),IF(OR(CC964="Nein",CC964=""),"-",CC964))))</f>
        <v>3</v>
      </c>
      <c r="AA964" s="55"/>
      <c r="AB964" s="56"/>
      <c r="AC964" s="50" t="n">
        <f aca="false">AV964</f>
        <v>310</v>
      </c>
      <c r="AD964" s="50" t="n">
        <f aca="false">MAX(AV964,H964)</f>
        <v>310</v>
      </c>
      <c r="AE964" s="57"/>
      <c r="AF964" s="50" t="n">
        <f aca="false">IF(LEFT(Cockpit!$C$5,1)="A",H964,IF(Parameter!$E$30="MAX-Bestand",IF(CH964=1,CI964,IF(LEFT(Cockpit!$C$5,1)="B",AL964,MAX(AL964,H964))),ROUNDUP(AJ964,0)))</f>
        <v>54</v>
      </c>
      <c r="AG964" s="50" t="n">
        <f aca="false">IF(BZ964=1,0,ROUNDUP(AF964/BY964,0))</f>
        <v>1</v>
      </c>
      <c r="AH964" s="52" t="n">
        <f aca="false">IF(CQ964&gt;0,CQ964*MAX(1,AF964/X964),IF(BZ964=1,IF(AF964&lt;=0,0,CD964*MAX(1,IF(H964&gt;0,AF964/H964,1))),IF(R964&gt;0,AG964/R964,0))/MAX(0.1,N(Parameter!$M$21)))</f>
        <v>0.0192307692307692</v>
      </c>
      <c r="AI964" s="50" t="n">
        <f aca="false">AH964*CB964</f>
        <v>2.98076923076923</v>
      </c>
      <c r="AJ964" s="51" t="n">
        <f aca="false">IF(LEFT(Cockpit!$C$5,1)="A",H964,IF(CH964=1,(CK964+CI964)/2,IF(LEFT(Cockpit!$C$5,1)="B",(CK964+AL964)/2,MAX((CK964+AL964)/2,H964))))</f>
        <v>54</v>
      </c>
      <c r="AK964" s="50" t="n">
        <f aca="false">AJ964*G964</f>
        <v>93.96</v>
      </c>
      <c r="AL964" s="50" t="n">
        <f aca="false">ROUNDUP(CK964+MAX(CL964,2*(J964/IF(CG964&gt;0,CG964,MAX(0.1,N(Cockpit!$C$6)))-CK964)),0)</f>
        <v>310</v>
      </c>
      <c r="AM964" s="51" t="n">
        <f aca="false">IF(AI964&gt;0,J964/AI964,-1)</f>
        <v>91.2516129032258</v>
      </c>
      <c r="AN964" s="51" t="n">
        <f aca="false">IF(AND(OR(CF964="L1",CF964="L23",CF964="LIFT"),AI964&gt;0),SUMIFS($AI$7:$AI$1843,$CF$7:$CF$1843,CF964,$AM$7:$AM$1843,"&gt;"&amp;AM964)+SUMIFS($AI$7:$AI$1843,$CF$7:$CF$1843,CF964,$AM$7:$AM$1843,AM964,$BW$7:$BW$1843,"&lt;="&amp;BW964),"")</f>
        <v>821.973901098901</v>
      </c>
      <c r="AO964" s="58" t="n">
        <f aca="false">IF(AN964="",0,MAX(0,MIN(1,(IF(CF964="L1",Parameter!$H$5,IF(CF964="L23",Parameter!$H$6+Parameter!$H$7,Parameter!$H$5+Parameter!$H$6+Parameter!$H$7))-(AN964-AI964))/AI964)))</f>
        <v>1</v>
      </c>
      <c r="AP964" s="50" t="n">
        <f aca="false">IF(LEFT(Cockpit!$I$5,1)="A",H964,IF(Parameter!$E$30="MAX-Bestand",IF(CH964=1,CI964,IF(LEFT(Cockpit!$I$5,1)="B",AV964,MAX(AV964,H964))),ROUNDUP(AT964,0)))</f>
        <v>160</v>
      </c>
      <c r="AQ964" s="50" t="n">
        <f aca="false">IF(BZ964=1,0,ROUNDUP(AP964/BY964,0))</f>
        <v>1</v>
      </c>
      <c r="AR964" s="52" t="n">
        <f aca="false">IF(CQ964&gt;0,CQ964*MAX(1,AP964/X964),IF(BZ964=1,IF(AP964&lt;=0,0,CD964*MAX(1,IF(H964&gt;0,AP964/H964,1))),IF(R964&gt;0,AQ964/R964,0))/MAX(0.1,N(Parameter!$M$21)))</f>
        <v>0.0192307692307692</v>
      </c>
      <c r="AS964" s="50" t="n">
        <f aca="false">AR964*CB964</f>
        <v>2.98076923076923</v>
      </c>
      <c r="AT964" s="51" t="n">
        <f aca="false">IF(LEFT(Cockpit!$I$5,1)="A",H964,IF(CH964=1,(CK964+CI964)/2,IF(LEFT(Cockpit!$I$5,1)="B",(CK964+AV964)/2,MAX((CK964+AV964)/2,H964))))</f>
        <v>160</v>
      </c>
      <c r="AU964" s="50" t="n">
        <f aca="false">AT964*G964</f>
        <v>278.4</v>
      </c>
      <c r="AV964" s="50" t="n">
        <f aca="false">ROUNDUP(CK964+MAX(CL964,2*(J964/IF(CG964&gt;0,CG964,MAX(0.1,N(Cockpit!$I$6)))-CK964)),0)</f>
        <v>310</v>
      </c>
      <c r="AW964" s="51" t="n">
        <f aca="false">IF(AS964&gt;0,J964/AS964,-1)</f>
        <v>91.2516129032258</v>
      </c>
      <c r="AX964" s="51" t="n">
        <f aca="false">IF(AND(OR(CF964="L1",CF964="L23",CF964="LIFT"),AS964&gt;0),SUMIFS($AS$7:$AS$1843,$CF$7:$CF$1843,CF964,$AW$7:$AW$1843,"&gt;"&amp;AW964)+SUMIFS($AS$7:$AS$1843,$CF$7:$CF$1843,CF964,$AW$7:$AW$1843,AW964,$BW$7:$BW$1843,"&lt;="&amp;BW964),"")</f>
        <v>1034.88598901099</v>
      </c>
      <c r="AY964" s="58" t="n">
        <f aca="false">IF(AX964="",0,MAX(0,MIN(1,(IF(CF964="L1",Parameter!$H$5,IF(CF964="L23",Parameter!$H$6+Parameter!$H$7,Parameter!$H$5+Parameter!$H$6+Parameter!$H$7))-(AX964-AS964))/AS964)))</f>
        <v>1</v>
      </c>
      <c r="AZ964" s="50" t="n">
        <f aca="false">IF(LEFT(Cockpit!$O$5,1)="A",H964,IF(Parameter!$E$30="MAX-Bestand",IF(CH964=1,CI964,IF(LEFT(Cockpit!$O$5,1)="B",BF964,MAX(BF964,H964))),ROUNDUP(BD964,0)))</f>
        <v>160</v>
      </c>
      <c r="BA964" s="50" t="n">
        <f aca="false">IF(BZ964=1,0,ROUNDUP(AZ964/BY964,0))</f>
        <v>1</v>
      </c>
      <c r="BB964" s="52" t="n">
        <f aca="false">IF(CQ964&gt;0,CQ964*MAX(1,AZ964/X964),IF(BZ964=1,IF(AZ964&lt;=0,0,CD964*MAX(1,IF(H964&gt;0,AZ964/H964,1))),IF(R964&gt;0,BA964/R964,0))/MAX(0.1,N(Parameter!$M$21)))</f>
        <v>0.0192307692307692</v>
      </c>
      <c r="BC964" s="50" t="n">
        <f aca="false">BB964*CB964</f>
        <v>2.98076923076923</v>
      </c>
      <c r="BD964" s="51" t="n">
        <f aca="false">IF(LEFT(Cockpit!$O$5,1)="A",H964,IF(CH964=1,(CK964+CI964)/2,IF(LEFT(Cockpit!$O$5,1)="B",(CK964+BF964)/2,MAX((CK964+BF964)/2,H964))))</f>
        <v>160</v>
      </c>
      <c r="BE964" s="50" t="n">
        <f aca="false">BD964*G964</f>
        <v>278.4</v>
      </c>
      <c r="BF964" s="50" t="n">
        <f aca="false">ROUNDUP(CK964+MAX(CL964,2*(J964/IF(CG964&gt;0,CG964,MAX(0.1,N(Cockpit!$O$6)))-CK964)),0)</f>
        <v>310</v>
      </c>
      <c r="BG964" s="51" t="n">
        <f aca="false">IF(BC964&gt;0,J964/BC964,-1)</f>
        <v>91.2516129032258</v>
      </c>
      <c r="BH964" s="51" t="n">
        <f aca="false">IF(AND(OR(CF964="L1",CF964="L23",CF964="LIFT"),BC964&gt;0),SUMIFS($BC$7:$BC$1843,$CF$7:$CF$1843,CF964,$BG$7:$BG$1843,"&gt;"&amp;BG964)+SUMIFS($BC$7:$BC$1843,$CF$7:$CF$1843,CF964,$BG$7:$BG$1843,BG964,$BW$7:$BW$1843,"&lt;="&amp;BW964),"")</f>
        <v>967.928113553114</v>
      </c>
      <c r="BI964" s="58" t="n">
        <f aca="false">IF(BH964="",0,MAX(0,MIN(1,(IF(CF964="L1",Parameter!$H$5,IF(CF964="L23",Parameter!$H$6+Parameter!$H$7,Parameter!$H$5+Parameter!$H$6+Parameter!$H$7))-(BH964-BC964))/BC964)))</f>
        <v>1</v>
      </c>
      <c r="BJ964" s="48" t="str">
        <f aca="false">IF(AI964&lt;=0,"",IF(CF964="Aussen","Aussenlager",IF(CF964="-","Nicht im Lift",IF(AO964&gt;=1,"Lift",IF(AO964&lt;=0,"Aussenlager","teilweise")))))</f>
        <v>Lift</v>
      </c>
      <c r="BK964" s="48" t="str">
        <f aca="false">IF(AS964&lt;=0,"",IF(CF964="Aussen","Aussenlager",IF(CF964="-","Nicht im Lift",IF(AY964&gt;=1,"Lift",IF(AY964&lt;=0,"Aussenlager","teilweise")))))</f>
        <v>Lift</v>
      </c>
      <c r="BL964" s="48" t="str">
        <f aca="false">IF(BC964&lt;=0,"",IF(CF964="Aussen","Aussenlager",IF(CF964="-","Nicht im Lift",IF(BI964&gt;=1,"Lift",IF(BI964&lt;=0,"Aussenlager","teilweise")))))</f>
        <v>Lift</v>
      </c>
      <c r="BM964" s="48" t="str">
        <f aca="false">IF(A964="","",IF(BV964=1,"Neu; ","")&amp;IF(AND(BV964=0,BQ964&lt;0),"negativer Bestand (Export "&amp;BQ964&amp;"); ","")&amp;IF(J964&lt;=0,"Kein Verbrauch; ","")&amp;IF(CQ964&gt;0,"Lift "&amp;W964&amp;" lt. Liftbericht (Fach "&amp;X964&amp;" Stk); ",IF(CA964=1,"Gebinde geschätzt ("&amp;T964&amp;"); ",IF(BZ964=1,"Lose – Tablare geschätzt; ","")))&amp;IF(H964&gt;AV964,"Überbestand "&amp;ROUND(H964-AV964,0)&amp;" Stk / CHF "&amp;ROUND((H964-AV964)*G964,0)&amp;"; ","")&amp;IF(AND(CH964=1,CI964&lt;CJ964),"MAX &lt; MB+LG; ","")&amp;IF(AND(CP964&gt;0,CO964*10&gt;CP964),"zu hoch für Tablar; ","")&amp;IF(AND(BV964=0,OR(CH964=1,AA964&lt;&gt;"",U964&lt;&gt;"",V964&lt;&gt;"",AB964&lt;&gt;"")),"manuell übersteuert; ","")&amp;IF(AND(BZ964=0,R964=0),"Gebinde unbekannt / Stellmass fehlt; ","")&amp;IF(AND(BZ964=0,N(V964)&lt;=0,N(Q964)&lt;=0),"Menge pro Gebinde fehlt (Ist = 1 Gebinde); ","")&amp;BU964)</f>
        <v>negativer Bestand (Export -39); </v>
      </c>
      <c r="BN964" s="48"/>
      <c r="BO964" s="48"/>
      <c r="BP964" s="55"/>
      <c r="BQ964" s="50" t="n">
        <v>-39</v>
      </c>
      <c r="BR964" s="50" t="n">
        <v>93</v>
      </c>
      <c r="BS964" s="49" t="n">
        <v>-69.3999999999999</v>
      </c>
      <c r="BT964" s="50" t="n">
        <v>272</v>
      </c>
      <c r="BU964" s="48"/>
      <c r="BV964" s="53" t="n">
        <v>0</v>
      </c>
      <c r="BW964" s="53" t="n">
        <v>964</v>
      </c>
      <c r="BX964" s="48" t="str">
        <f aca="false">IF(U964&lt;&gt;"",UPPER(TRIM(U964)),IF(CA964=1,UPPER(VLOOKUP(T964,Parameter!$I$27:$K$29,2,0)),IF(P964="","LOSE",P964)))</f>
        <v>S33</v>
      </c>
      <c r="BY964" s="50" t="n">
        <f aca="false">IF(BX964="LOSE",1,IF(N(V964)&gt;0,V964,IF(CA964=1,MAX(1,N(VLOOKUP(T964,Parameter!$I$27:$K$29,3,0)),H964,N(N964)),IF(N(Q964)&gt;0,Q964,MAX(1,H964)))))</f>
        <v>486</v>
      </c>
      <c r="BZ964" s="53" t="n">
        <f aca="false">IF(BX964="LOSE",1,0)</f>
        <v>0</v>
      </c>
      <c r="CA964" s="53" t="n">
        <f aca="false">IF(AND(U964="",OR(P964="",P964="LOSE"),T964&lt;&gt;"",N(S964)&lt;=0,ISNUMBER(MATCH(T964,Parameter!$I$27:$I$29,0))),1,0)</f>
        <v>0</v>
      </c>
      <c r="CB964" s="53" t="n">
        <f aca="false">IF(CQ964&gt;0,INDEX(Parameter!$H$5:$H$7,W964)/INDEX(Parameter!$E$5:$E$7,W964),IF(AND(BZ964=0,N(IFERROR(VLOOKUP(BX964,'Gebinde-Kategorie'!$A$5:$N$45,14,0),0))&gt;0),VLOOKUP(BX964,'Gebinde-Kategorie'!$A$5:$N$45,14,0)*10+Parameter!$M$23,Parameter!$M$24))</f>
        <v>155</v>
      </c>
      <c r="CC964" s="48" t="str">
        <f aca="false">IF(AND(Parameter!$B$19="Ja",E964&lt;&gt;"",ISNUMBER(MATCH(E964,Parameter!$I$35:$I$52,0))),VLOOKUP(E964,Parameter!$I$35:$J$52,2,0),IFERROR(VLOOKUP(D964,Parameter!$A$35:$C$64,2,0),"Nein"))</f>
        <v>2+3</v>
      </c>
      <c r="CD964" s="52" t="n">
        <f aca="false">IF(BZ964=0,0,IF(N(S964)&gt;0,S964,IFERROR(VLOOKUP(D964,Parameter!$A$35:$C$64,3,0)+0,0)))</f>
        <v>0</v>
      </c>
      <c r="CE964" s="48" t="n">
        <f aca="false">IF(AA964&lt;&gt;"",AA964,Z964)</f>
        <v>3</v>
      </c>
      <c r="CF964" s="48" t="str">
        <f aca="false">IF(OR(CE964=1,CE964=2,CE964=3),IF(Parameter!$E$27="Ja","LIFT",IF(CE964=1,"L1","L23")),IF(CE964="Aussen","Aussen","-"))</f>
        <v>LIFT</v>
      </c>
      <c r="CG964" s="59" t="n">
        <f aca="false">IF(N(AB964)&gt;0,AB964,0)</f>
        <v>0</v>
      </c>
      <c r="CH964" s="53" t="n">
        <f aca="false">IF(ISNUMBER(AE964),1,0)</f>
        <v>0</v>
      </c>
      <c r="CI964" s="50" t="n">
        <f aca="false">N(AE964)</f>
        <v>0</v>
      </c>
      <c r="CJ964" s="50" t="n">
        <f aca="false">N(M964)+N(N964)</f>
        <v>310</v>
      </c>
      <c r="CK964" s="50" t="n">
        <f aca="false">N(M964)</f>
        <v>10</v>
      </c>
      <c r="CL964" s="50" t="n">
        <f aca="false">N(N964)</f>
        <v>300</v>
      </c>
      <c r="CM964" s="50" t="n">
        <f aca="false">ROUNDUP(H964/BY964,0)</f>
        <v>1</v>
      </c>
      <c r="CN964" s="50" t="n">
        <f aca="false">ROUNDUP(CI964/BY964,0)</f>
        <v>0</v>
      </c>
      <c r="CO964" s="53" t="n">
        <f aca="false">IF(BZ964=1,0,IFERROR(VLOOKUP(BX964,'Gebinde-Kategorie'!$A$5:$N$45,5,0)+0,0))</f>
        <v>8</v>
      </c>
      <c r="CP964" s="53" t="n">
        <f aca="false">IFERROR(IF(OR(CE964=1,CE964=2,CE964=3),N(INDEX(Parameter!$I$5:$I$7,CE964)),0),0)</f>
        <v>0</v>
      </c>
      <c r="CQ964" s="52" t="n">
        <f aca="false">IF(AND(Parameter!$B$21="Ja",ISNUMBER(W964),N(X964)&gt;0),IFERROR(N(INDEX(Parameter!$L$5:$L$7,W964))*INDEX(Parameter!$E$5:$E$7,W964)*X964/SUMIFS($X$7:$X$1843,$W$7:$W$1843,W964),0),0)</f>
        <v>0</v>
      </c>
    </row>
    <row r="965" customFormat="false" ht="15" hidden="false" customHeight="false" outlineLevel="0" collapsed="false">
      <c r="A965" s="48" t="s">
        <v>1803</v>
      </c>
      <c r="B965" s="48" t="s">
        <v>477</v>
      </c>
      <c r="C965" s="48" t="s">
        <v>173</v>
      </c>
      <c r="D965" s="48" t="s">
        <v>193</v>
      </c>
      <c r="E965" s="48" t="s">
        <v>194</v>
      </c>
      <c r="F965" s="48" t="s">
        <v>227</v>
      </c>
      <c r="G965" s="49" t="n">
        <v>5.06</v>
      </c>
      <c r="H965" s="50" t="n">
        <f aca="false">MAX(0,IF(AND(Parameter!$B$21="Ja",ISNUMBER(Y965)),Y965,IF(Parameter!$B$20="Jahresanfang 2025 + Export",BR965+BQ965,BQ965)))</f>
        <v>190</v>
      </c>
      <c r="I965" s="50" t="n">
        <f aca="false">H965*G965</f>
        <v>961.4</v>
      </c>
      <c r="J965" s="50" t="n">
        <f aca="false">BT965*Parameter!$B$18</f>
        <v>264</v>
      </c>
      <c r="K965" s="51" t="n">
        <v>130</v>
      </c>
      <c r="L965" s="52" t="n">
        <v>2.03076923076923</v>
      </c>
      <c r="M965" s="50" t="n">
        <v>10</v>
      </c>
      <c r="N965" s="50" t="n">
        <v>265</v>
      </c>
      <c r="O965" s="53" t="n">
        <v>14</v>
      </c>
      <c r="P965" s="48" t="s">
        <v>485</v>
      </c>
      <c r="Q965" s="50" t="n">
        <v>61</v>
      </c>
      <c r="R965" s="53" t="n">
        <f aca="false">IF(BZ965=1,0,IFERROR(VLOOKUP(BX965,'Gebinde-Kategorie'!$A$5:$N$45,13,0)+0,0))</f>
        <v>52</v>
      </c>
      <c r="S965" s="54"/>
      <c r="T965" s="55"/>
      <c r="U965" s="55"/>
      <c r="V965" s="55"/>
      <c r="W965" s="48"/>
      <c r="X965" s="50"/>
      <c r="Y965" s="50"/>
      <c r="Z965" s="48" t="n">
        <f aca="false">IF(A965="","",IF(AND(Parameter!$B$21="Ja",ISNUMBER(W965)),W965,IF(CC965="2+3",IF(ISNUMBER(SEARCH("grosser Artikel",BU965)),2,IFERROR(VLOOKUP(BX965,Parameter!$F$35:$G$64,2,0),2)),IF(OR(CC965="Nein",CC965=""),"-",CC965))))</f>
        <v>3</v>
      </c>
      <c r="AA965" s="55"/>
      <c r="AB965" s="56"/>
      <c r="AC965" s="50" t="n">
        <f aca="false">AV965</f>
        <v>275</v>
      </c>
      <c r="AD965" s="50" t="n">
        <f aca="false">MAX(AV965,H965)</f>
        <v>275</v>
      </c>
      <c r="AE965" s="57"/>
      <c r="AF965" s="50" t="n">
        <f aca="false">IF(LEFT(Cockpit!$C$5,1)="A",H965,IF(Parameter!$E$30="MAX-Bestand",IF(CH965=1,CI965,IF(LEFT(Cockpit!$C$5,1)="B",AL965,MAX(AL965,H965))),ROUNDUP(AJ965,0)))</f>
        <v>190</v>
      </c>
      <c r="AG965" s="50" t="n">
        <f aca="false">IF(BZ965=1,0,ROUNDUP(AF965/BY965,0))</f>
        <v>4</v>
      </c>
      <c r="AH965" s="52" t="n">
        <f aca="false">IF(CQ965&gt;0,CQ965*MAX(1,AF965/X965),IF(BZ965=1,IF(AF965&lt;=0,0,CD965*MAX(1,IF(H965&gt;0,AF965/H965,1))),IF(R965&gt;0,AG965/R965,0))/MAX(0.1,N(Parameter!$M$21)))</f>
        <v>0.0769230769230769</v>
      </c>
      <c r="AI965" s="50" t="n">
        <f aca="false">AH965*CB965</f>
        <v>11.9230769230769</v>
      </c>
      <c r="AJ965" s="51" t="n">
        <f aca="false">IF(LEFT(Cockpit!$C$5,1)="A",H965,IF(CH965=1,(CK965+CI965)/2,IF(LEFT(Cockpit!$C$5,1)="B",(CK965+AL965)/2,MAX((CK965+AL965)/2,H965))))</f>
        <v>190</v>
      </c>
      <c r="AK965" s="50" t="n">
        <f aca="false">AJ965*G965</f>
        <v>961.4</v>
      </c>
      <c r="AL965" s="50" t="n">
        <f aca="false">ROUNDUP(CK965+MAX(CL965,2*(J965/IF(CG965&gt;0,CG965,MAX(0.1,N(Cockpit!$C$6)))-CK965)),0)</f>
        <v>275</v>
      </c>
      <c r="AM965" s="51" t="n">
        <f aca="false">IF(AI965&gt;0,J965/AI965,-1)</f>
        <v>22.141935483871</v>
      </c>
      <c r="AN965" s="51" t="n">
        <f aca="false">IF(AND(OR(CF965="L1",CF965="L23",CF965="LIFT"),AI965&gt;0),SUMIFS($AI$7:$AI$1843,$CF$7:$CF$1843,CF965,$AM$7:$AM$1843,"&gt;"&amp;AM965)+SUMIFS($AI$7:$AI$1843,$CF$7:$CF$1843,CF965,$AM$7:$AM$1843,AM965,$BW$7:$BW$1843,"&lt;="&amp;BW965),"")</f>
        <v>1613.41391941392</v>
      </c>
      <c r="AO965" s="58" t="n">
        <f aca="false">IF(AN965="",0,MAX(0,MIN(1,(IF(CF965="L1",Parameter!$H$5,IF(CF965="L23",Parameter!$H$6+Parameter!$H$7,Parameter!$H$5+Parameter!$H$6+Parameter!$H$7))-(AN965-AI965))/AI965)))</f>
        <v>1</v>
      </c>
      <c r="AP965" s="50" t="n">
        <f aca="false">IF(LEFT(Cockpit!$I$5,1)="A",H965,IF(Parameter!$E$30="MAX-Bestand",IF(CH965=1,CI965,IF(LEFT(Cockpit!$I$5,1)="B",AV965,MAX(AV965,H965))),ROUNDUP(AT965,0)))</f>
        <v>190</v>
      </c>
      <c r="AQ965" s="50" t="n">
        <f aca="false">IF(BZ965=1,0,ROUNDUP(AP965/BY965,0))</f>
        <v>4</v>
      </c>
      <c r="AR965" s="52" t="n">
        <f aca="false">IF(CQ965&gt;0,CQ965*MAX(1,AP965/X965),IF(BZ965=1,IF(AP965&lt;=0,0,CD965*MAX(1,IF(H965&gt;0,AP965/H965,1))),IF(R965&gt;0,AQ965/R965,0))/MAX(0.1,N(Parameter!$M$21)))</f>
        <v>0.0769230769230769</v>
      </c>
      <c r="AS965" s="50" t="n">
        <f aca="false">AR965*CB965</f>
        <v>11.9230769230769</v>
      </c>
      <c r="AT965" s="51" t="n">
        <f aca="false">IF(LEFT(Cockpit!$I$5,1)="A",H965,IF(CH965=1,(CK965+CI965)/2,IF(LEFT(Cockpit!$I$5,1)="B",(CK965+AV965)/2,MAX((CK965+AV965)/2,H965))))</f>
        <v>190</v>
      </c>
      <c r="AU965" s="50" t="n">
        <f aca="false">AT965*G965</f>
        <v>961.4</v>
      </c>
      <c r="AV965" s="50" t="n">
        <f aca="false">ROUNDUP(CK965+MAX(CL965,2*(J965/IF(CG965&gt;0,CG965,MAX(0.1,N(Cockpit!$I$6)))-CK965)),0)</f>
        <v>275</v>
      </c>
      <c r="AW965" s="51" t="n">
        <f aca="false">IF(AS965&gt;0,J965/AS965,-1)</f>
        <v>22.141935483871</v>
      </c>
      <c r="AX965" s="51" t="n">
        <f aca="false">IF(AND(OR(CF965="L1",CF965="L23",CF965="LIFT"),AS965&gt;0),SUMIFS($AS$7:$AS$1843,$CF$7:$CF$1843,CF965,$AW$7:$AW$1843,"&gt;"&amp;AW965)+SUMIFS($AS$7:$AS$1843,$CF$7:$CF$1843,CF965,$AW$7:$AW$1843,AW965,$BW$7:$BW$1843,"&lt;="&amp;BW965),"")</f>
        <v>2220.72710622711</v>
      </c>
      <c r="AY965" s="58" t="n">
        <f aca="false">IF(AX965="",0,MAX(0,MIN(1,(IF(CF965="L1",Parameter!$H$5,IF(CF965="L23",Parameter!$H$6+Parameter!$H$7,Parameter!$H$5+Parameter!$H$6+Parameter!$H$7))-(AX965-AS965))/AS965)))</f>
        <v>1</v>
      </c>
      <c r="AZ965" s="50" t="n">
        <f aca="false">IF(LEFT(Cockpit!$O$5,1)="A",H965,IF(Parameter!$E$30="MAX-Bestand",IF(CH965=1,CI965,IF(LEFT(Cockpit!$O$5,1)="B",BF965,MAX(BF965,H965))),ROUNDUP(BD965,0)))</f>
        <v>143</v>
      </c>
      <c r="BA965" s="50" t="n">
        <f aca="false">IF(BZ965=1,0,ROUNDUP(AZ965/BY965,0))</f>
        <v>3</v>
      </c>
      <c r="BB965" s="52" t="n">
        <f aca="false">IF(CQ965&gt;0,CQ965*MAX(1,AZ965/X965),IF(BZ965=1,IF(AZ965&lt;=0,0,CD965*MAX(1,IF(H965&gt;0,AZ965/H965,1))),IF(R965&gt;0,BA965/R965,0))/MAX(0.1,N(Parameter!$M$21)))</f>
        <v>0.0576923076923077</v>
      </c>
      <c r="BC965" s="50" t="n">
        <f aca="false">BB965*CB965</f>
        <v>8.94230769230769</v>
      </c>
      <c r="BD965" s="51" t="n">
        <f aca="false">IF(LEFT(Cockpit!$O$5,1)="A",H965,IF(CH965=1,(CK965+CI965)/2,IF(LEFT(Cockpit!$O$5,1)="B",(CK965+BF965)/2,MAX((CK965+BF965)/2,H965))))</f>
        <v>142.5</v>
      </c>
      <c r="BE965" s="50" t="n">
        <f aca="false">BD965*G965</f>
        <v>721.05</v>
      </c>
      <c r="BF965" s="50" t="n">
        <f aca="false">ROUNDUP(CK965+MAX(CL965,2*(J965/IF(CG965&gt;0,CG965,MAX(0.1,N(Cockpit!$O$6)))-CK965)),0)</f>
        <v>275</v>
      </c>
      <c r="BG965" s="51" t="n">
        <f aca="false">IF(BC965&gt;0,J965/BC965,-1)</f>
        <v>29.5225806451613</v>
      </c>
      <c r="BH965" s="51" t="n">
        <f aca="false">IF(AND(OR(CF965="L1",CF965="L23",CF965="LIFT"),BC965&gt;0),SUMIFS($BC$7:$BC$1843,$CF$7:$CF$1843,CF965,$BG$7:$BG$1843,"&gt;"&amp;BG965)+SUMIFS($BC$7:$BC$1843,$CF$7:$CF$1843,CF965,$BG$7:$BG$1843,BG965,$BW$7:$BW$1843,"&lt;="&amp;BW965),"")</f>
        <v>1858.63919413919</v>
      </c>
      <c r="BI965" s="58" t="n">
        <f aca="false">IF(BH965="",0,MAX(0,MIN(1,(IF(CF965="L1",Parameter!$H$5,IF(CF965="L23",Parameter!$H$6+Parameter!$H$7,Parameter!$H$5+Parameter!$H$6+Parameter!$H$7))-(BH965-BC965))/BC965)))</f>
        <v>1</v>
      </c>
      <c r="BJ965" s="48" t="str">
        <f aca="false">IF(AI965&lt;=0,"",IF(CF965="Aussen","Aussenlager",IF(CF965="-","Nicht im Lift",IF(AO965&gt;=1,"Lift",IF(AO965&lt;=0,"Aussenlager","teilweise")))))</f>
        <v>Lift</v>
      </c>
      <c r="BK965" s="48" t="str">
        <f aca="false">IF(AS965&lt;=0,"",IF(CF965="Aussen","Aussenlager",IF(CF965="-","Nicht im Lift",IF(AY965&gt;=1,"Lift",IF(AY965&lt;=0,"Aussenlager","teilweise")))))</f>
        <v>Lift</v>
      </c>
      <c r="BL965" s="48" t="str">
        <f aca="false">IF(BC965&lt;=0,"",IF(CF965="Aussen","Aussenlager",IF(CF965="-","Nicht im Lift",IF(BI965&gt;=1,"Lift",IF(BI965&lt;=0,"Aussenlager","teilweise")))))</f>
        <v>Lift</v>
      </c>
      <c r="BM965" s="48" t="str">
        <f aca="false">IF(A965="","",IF(BV965=1,"Neu; ","")&amp;IF(AND(BV965=0,BQ965&lt;0),"negativer Bestand (Export "&amp;BQ965&amp;"); ","")&amp;IF(J965&lt;=0,"Kein Verbrauch; ","")&amp;IF(CQ965&gt;0,"Lift "&amp;W965&amp;" lt. Liftbericht (Fach "&amp;X965&amp;" Stk); ",IF(CA965=1,"Gebinde geschätzt ("&amp;T965&amp;"); ",IF(BZ965=1,"Lose – Tablare geschätzt; ","")))&amp;IF(H965&gt;AV965,"Überbestand "&amp;ROUND(H965-AV965,0)&amp;" Stk / CHF "&amp;ROUND((H965-AV965)*G965,0)&amp;"; ","")&amp;IF(AND(CH965=1,CI965&lt;CJ965),"MAX &lt; MB+LG; ","")&amp;IF(AND(CP965&gt;0,CO965*10&gt;CP965),"zu hoch für Tablar; ","")&amp;IF(AND(BV965=0,OR(CH965=1,AA965&lt;&gt;"",U965&lt;&gt;"",V965&lt;&gt;"",AB965&lt;&gt;"")),"manuell übersteuert; ","")&amp;IF(AND(BZ965=0,R965=0),"Gebinde unbekannt / Stellmass fehlt; ","")&amp;IF(AND(BZ965=0,N(V965)&lt;=0,N(Q965)&lt;=0),"Menge pro Gebinde fehlt (Ist = 1 Gebinde); ","")&amp;BU965)</f>
        <v/>
      </c>
      <c r="BN965" s="48"/>
      <c r="BO965" s="48"/>
      <c r="BP965" s="55"/>
      <c r="BQ965" s="50" t="n">
        <v>2</v>
      </c>
      <c r="BR965" s="50" t="n">
        <v>188</v>
      </c>
      <c r="BS965" s="49" t="n">
        <v>-69.8600000000007</v>
      </c>
      <c r="BT965" s="50" t="n">
        <v>264</v>
      </c>
      <c r="BU965" s="48"/>
      <c r="BV965" s="53" t="n">
        <v>0</v>
      </c>
      <c r="BW965" s="53" t="n">
        <v>965</v>
      </c>
      <c r="BX965" s="48" t="str">
        <f aca="false">IF(U965&lt;&gt;"",UPPER(TRIM(U965)),IF(CA965=1,UPPER(VLOOKUP(T965,Parameter!$I$27:$K$29,2,0)),IF(P965="","LOSE",P965)))</f>
        <v>S33</v>
      </c>
      <c r="BY965" s="50" t="n">
        <f aca="false">IF(BX965="LOSE",1,IF(N(V965)&gt;0,V965,IF(CA965=1,MAX(1,N(VLOOKUP(T965,Parameter!$I$27:$K$29,3,0)),H965,N(N965)),IF(N(Q965)&gt;0,Q965,MAX(1,H965)))))</f>
        <v>61</v>
      </c>
      <c r="BZ965" s="53" t="n">
        <f aca="false">IF(BX965="LOSE",1,0)</f>
        <v>0</v>
      </c>
      <c r="CA965" s="53" t="n">
        <f aca="false">IF(AND(U965="",OR(P965="",P965="LOSE"),T965&lt;&gt;"",N(S965)&lt;=0,ISNUMBER(MATCH(T965,Parameter!$I$27:$I$29,0))),1,0)</f>
        <v>0</v>
      </c>
      <c r="CB965" s="53" t="n">
        <f aca="false">IF(CQ965&gt;0,INDEX(Parameter!$H$5:$H$7,W965)/INDEX(Parameter!$E$5:$E$7,W965),IF(AND(BZ965=0,N(IFERROR(VLOOKUP(BX965,'Gebinde-Kategorie'!$A$5:$N$45,14,0),0))&gt;0),VLOOKUP(BX965,'Gebinde-Kategorie'!$A$5:$N$45,14,0)*10+Parameter!$M$23,Parameter!$M$24))</f>
        <v>155</v>
      </c>
      <c r="CC965" s="48" t="str">
        <f aca="false">IF(AND(Parameter!$B$19="Ja",E965&lt;&gt;"",ISNUMBER(MATCH(E965,Parameter!$I$35:$I$52,0))),VLOOKUP(E965,Parameter!$I$35:$J$52,2,0),IFERROR(VLOOKUP(D965,Parameter!$A$35:$C$64,2,0),"Nein"))</f>
        <v>2+3</v>
      </c>
      <c r="CD965" s="52" t="n">
        <f aca="false">IF(BZ965=0,0,IF(N(S965)&gt;0,S965,IFERROR(VLOOKUP(D965,Parameter!$A$35:$C$64,3,0)+0,0)))</f>
        <v>0</v>
      </c>
      <c r="CE965" s="48" t="n">
        <f aca="false">IF(AA965&lt;&gt;"",AA965,Z965)</f>
        <v>3</v>
      </c>
      <c r="CF965" s="48" t="str">
        <f aca="false">IF(OR(CE965=1,CE965=2,CE965=3),IF(Parameter!$E$27="Ja","LIFT",IF(CE965=1,"L1","L23")),IF(CE965="Aussen","Aussen","-"))</f>
        <v>LIFT</v>
      </c>
      <c r="CG965" s="59" t="n">
        <f aca="false">IF(N(AB965)&gt;0,AB965,0)</f>
        <v>0</v>
      </c>
      <c r="CH965" s="53" t="n">
        <f aca="false">IF(ISNUMBER(AE965),1,0)</f>
        <v>0</v>
      </c>
      <c r="CI965" s="50" t="n">
        <f aca="false">N(AE965)</f>
        <v>0</v>
      </c>
      <c r="CJ965" s="50" t="n">
        <f aca="false">N(M965)+N(N965)</f>
        <v>275</v>
      </c>
      <c r="CK965" s="50" t="n">
        <f aca="false">N(M965)</f>
        <v>10</v>
      </c>
      <c r="CL965" s="50" t="n">
        <f aca="false">N(N965)</f>
        <v>265</v>
      </c>
      <c r="CM965" s="50" t="n">
        <f aca="false">ROUNDUP(H965/BY965,0)</f>
        <v>4</v>
      </c>
      <c r="CN965" s="50" t="n">
        <f aca="false">ROUNDUP(CI965/BY965,0)</f>
        <v>0</v>
      </c>
      <c r="CO965" s="53" t="n">
        <f aca="false">IF(BZ965=1,0,IFERROR(VLOOKUP(BX965,'Gebinde-Kategorie'!$A$5:$N$45,5,0)+0,0))</f>
        <v>8</v>
      </c>
      <c r="CP965" s="53" t="n">
        <f aca="false">IFERROR(IF(OR(CE965=1,CE965=2,CE965=3),N(INDEX(Parameter!$I$5:$I$7,CE965)),0),0)</f>
        <v>0</v>
      </c>
      <c r="CQ965" s="52" t="n">
        <f aca="false">IF(AND(Parameter!$B$21="Ja",ISNUMBER(W965),N(X965)&gt;0),IFERROR(N(INDEX(Parameter!$L$5:$L$7,W965))*INDEX(Parameter!$E$5:$E$7,W965)*X965/SUMIFS($X$7:$X$1843,$W$7:$W$1843,W965),0),0)</f>
        <v>0</v>
      </c>
    </row>
    <row r="966" customFormat="false" ht="15" hidden="false" customHeight="false" outlineLevel="0" collapsed="false">
      <c r="A966" s="48" t="s">
        <v>1804</v>
      </c>
      <c r="B966" s="48" t="s">
        <v>1805</v>
      </c>
      <c r="C966" s="48" t="s">
        <v>173</v>
      </c>
      <c r="D966" s="48" t="s">
        <v>362</v>
      </c>
      <c r="E966" s="48"/>
      <c r="F966" s="48" t="s">
        <v>227</v>
      </c>
      <c r="G966" s="49" t="n">
        <v>71.23</v>
      </c>
      <c r="H966" s="50" t="n">
        <f aca="false">MAX(0,IF(AND(Parameter!$B$21="Ja",ISNUMBER(Y966)),Y966,IF(Parameter!$B$20="Jahresanfang 2025 + Export",BR966+BQ966,BQ966)))</f>
        <v>0</v>
      </c>
      <c r="I966" s="50" t="n">
        <f aca="false">H966*G966</f>
        <v>0</v>
      </c>
      <c r="J966" s="50" t="n">
        <f aca="false">BT966*Parameter!$B$18</f>
        <v>0</v>
      </c>
      <c r="K966" s="51" t="n">
        <v>0.5</v>
      </c>
      <c r="L966" s="52" t="n">
        <v>0</v>
      </c>
      <c r="M966" s="50" t="n">
        <v>0</v>
      </c>
      <c r="N966" s="50" t="n">
        <v>0</v>
      </c>
      <c r="O966" s="53" t="n">
        <v>28</v>
      </c>
      <c r="P966" s="48" t="s">
        <v>177</v>
      </c>
      <c r="Q966" s="50"/>
      <c r="R966" s="53" t="n">
        <f aca="false">IF(BZ966=1,0,IFERROR(VLOOKUP(BX966,'Gebinde-Kategorie'!$A$5:$N$45,13,0)+0,0))</f>
        <v>0</v>
      </c>
      <c r="S966" s="54"/>
      <c r="T966" s="55"/>
      <c r="U966" s="55"/>
      <c r="V966" s="55"/>
      <c r="W966" s="48"/>
      <c r="X966" s="50"/>
      <c r="Y966" s="50"/>
      <c r="Z966" s="48" t="str">
        <f aca="false">IF(A966="","",IF(AND(Parameter!$B$21="Ja",ISNUMBER(W966)),W966,IF(CC966="2+3",IF(ISNUMBER(SEARCH("grosser Artikel",BU966)),2,IFERROR(VLOOKUP(BX966,Parameter!$F$35:$G$64,2,0),2)),IF(OR(CC966="Nein",CC966=""),"-",CC966))))</f>
        <v>-</v>
      </c>
      <c r="AA966" s="55"/>
      <c r="AB966" s="56"/>
      <c r="AC966" s="50" t="n">
        <f aca="false">AV966</f>
        <v>0</v>
      </c>
      <c r="AD966" s="50" t="n">
        <f aca="false">MAX(AV966,H966)</f>
        <v>0</v>
      </c>
      <c r="AE966" s="57"/>
      <c r="AF966" s="50" t="n">
        <f aca="false">IF(LEFT(Cockpit!$C$5,1)="A",H966,IF(Parameter!$E$30="MAX-Bestand",IF(CH966=1,CI966,IF(LEFT(Cockpit!$C$5,1)="B",AL966,MAX(AL966,H966))),ROUNDUP(AJ966,0)))</f>
        <v>0</v>
      </c>
      <c r="AG966" s="50" t="n">
        <f aca="false">IF(BZ966=1,0,ROUNDUP(AF966/BY966,0))</f>
        <v>0</v>
      </c>
      <c r="AH966" s="52" t="n">
        <f aca="false">IF(CQ966&gt;0,CQ966*MAX(1,AF966/X966),IF(BZ966=1,IF(AF966&lt;=0,0,CD966*MAX(1,IF(H966&gt;0,AF966/H966,1))),IF(R966&gt;0,AG966/R966,0))/MAX(0.1,N(Parameter!$M$21)))</f>
        <v>0</v>
      </c>
      <c r="AI966" s="50" t="n">
        <f aca="false">AH966*CB966</f>
        <v>0</v>
      </c>
      <c r="AJ966" s="51" t="n">
        <f aca="false">IF(LEFT(Cockpit!$C$5,1)="A",H966,IF(CH966=1,(CK966+CI966)/2,IF(LEFT(Cockpit!$C$5,1)="B",(CK966+AL966)/2,MAX((CK966+AL966)/2,H966))))</f>
        <v>0</v>
      </c>
      <c r="AK966" s="50" t="n">
        <f aca="false">AJ966*G966</f>
        <v>0</v>
      </c>
      <c r="AL966" s="50" t="n">
        <f aca="false">ROUNDUP(CK966+MAX(CL966,2*(J966/IF(CG966&gt;0,CG966,MAX(0.1,N(Cockpit!$C$6)))-CK966)),0)</f>
        <v>0</v>
      </c>
      <c r="AM966" s="51" t="n">
        <f aca="false">IF(AI966&gt;0,J966/AI966,-1)</f>
        <v>-1</v>
      </c>
      <c r="AN966" s="51" t="str">
        <f aca="false">IF(AND(OR(CF966="L1",CF966="L23",CF966="LIFT"),AI966&gt;0),SUMIFS($AI$7:$AI$1843,$CF$7:$CF$1843,CF966,$AM$7:$AM$1843,"&gt;"&amp;AM966)+SUMIFS($AI$7:$AI$1843,$CF$7:$CF$1843,CF966,$AM$7:$AM$1843,AM966,$BW$7:$BW$1843,"&lt;="&amp;BW966),"")</f>
        <v/>
      </c>
      <c r="AO966" s="58" t="n">
        <f aca="false">IF(AN966="",0,MAX(0,MIN(1,(IF(CF966="L1",Parameter!$H$5,IF(CF966="L23",Parameter!$H$6+Parameter!$H$7,Parameter!$H$5+Parameter!$H$6+Parameter!$H$7))-(AN966-AI966))/AI966)))</f>
        <v>0</v>
      </c>
      <c r="AP966" s="50" t="n">
        <f aca="false">IF(LEFT(Cockpit!$I$5,1)="A",H966,IF(Parameter!$E$30="MAX-Bestand",IF(CH966=1,CI966,IF(LEFT(Cockpit!$I$5,1)="B",AV966,MAX(AV966,H966))),ROUNDUP(AT966,0)))</f>
        <v>0</v>
      </c>
      <c r="AQ966" s="50" t="n">
        <f aca="false">IF(BZ966=1,0,ROUNDUP(AP966/BY966,0))</f>
        <v>0</v>
      </c>
      <c r="AR966" s="52" t="n">
        <f aca="false">IF(CQ966&gt;0,CQ966*MAX(1,AP966/X966),IF(BZ966=1,IF(AP966&lt;=0,0,CD966*MAX(1,IF(H966&gt;0,AP966/H966,1))),IF(R966&gt;0,AQ966/R966,0))/MAX(0.1,N(Parameter!$M$21)))</f>
        <v>0</v>
      </c>
      <c r="AS966" s="50" t="n">
        <f aca="false">AR966*CB966</f>
        <v>0</v>
      </c>
      <c r="AT966" s="51" t="n">
        <f aca="false">IF(LEFT(Cockpit!$I$5,1)="A",H966,IF(CH966=1,(CK966+CI966)/2,IF(LEFT(Cockpit!$I$5,1)="B",(CK966+AV966)/2,MAX((CK966+AV966)/2,H966))))</f>
        <v>0</v>
      </c>
      <c r="AU966" s="50" t="n">
        <f aca="false">AT966*G966</f>
        <v>0</v>
      </c>
      <c r="AV966" s="50" t="n">
        <f aca="false">ROUNDUP(CK966+MAX(CL966,2*(J966/IF(CG966&gt;0,CG966,MAX(0.1,N(Cockpit!$I$6)))-CK966)),0)</f>
        <v>0</v>
      </c>
      <c r="AW966" s="51" t="n">
        <f aca="false">IF(AS966&gt;0,J966/AS966,-1)</f>
        <v>-1</v>
      </c>
      <c r="AX966" s="51" t="str">
        <f aca="false">IF(AND(OR(CF966="L1",CF966="L23",CF966="LIFT"),AS966&gt;0),SUMIFS($AS$7:$AS$1843,$CF$7:$CF$1843,CF966,$AW$7:$AW$1843,"&gt;"&amp;AW966)+SUMIFS($AS$7:$AS$1843,$CF$7:$CF$1843,CF966,$AW$7:$AW$1843,AW966,$BW$7:$BW$1843,"&lt;="&amp;BW966),"")</f>
        <v/>
      </c>
      <c r="AY966" s="58" t="n">
        <f aca="false">IF(AX966="",0,MAX(0,MIN(1,(IF(CF966="L1",Parameter!$H$5,IF(CF966="L23",Parameter!$H$6+Parameter!$H$7,Parameter!$H$5+Parameter!$H$6+Parameter!$H$7))-(AX966-AS966))/AS966)))</f>
        <v>0</v>
      </c>
      <c r="AZ966" s="50" t="n">
        <f aca="false">IF(LEFT(Cockpit!$O$5,1)="A",H966,IF(Parameter!$E$30="MAX-Bestand",IF(CH966=1,CI966,IF(LEFT(Cockpit!$O$5,1)="B",BF966,MAX(BF966,H966))),ROUNDUP(BD966,0)))</f>
        <v>0</v>
      </c>
      <c r="BA966" s="50" t="n">
        <f aca="false">IF(BZ966=1,0,ROUNDUP(AZ966/BY966,0))</f>
        <v>0</v>
      </c>
      <c r="BB966" s="52" t="n">
        <f aca="false">IF(CQ966&gt;0,CQ966*MAX(1,AZ966/X966),IF(BZ966=1,IF(AZ966&lt;=0,0,CD966*MAX(1,IF(H966&gt;0,AZ966/H966,1))),IF(R966&gt;0,BA966/R966,0))/MAX(0.1,N(Parameter!$M$21)))</f>
        <v>0</v>
      </c>
      <c r="BC966" s="50" t="n">
        <f aca="false">BB966*CB966</f>
        <v>0</v>
      </c>
      <c r="BD966" s="51" t="n">
        <f aca="false">IF(LEFT(Cockpit!$O$5,1)="A",H966,IF(CH966=1,(CK966+CI966)/2,IF(LEFT(Cockpit!$O$5,1)="B",(CK966+BF966)/2,MAX((CK966+BF966)/2,H966))))</f>
        <v>0</v>
      </c>
      <c r="BE966" s="50" t="n">
        <f aca="false">BD966*G966</f>
        <v>0</v>
      </c>
      <c r="BF966" s="50" t="n">
        <f aca="false">ROUNDUP(CK966+MAX(CL966,2*(J966/IF(CG966&gt;0,CG966,MAX(0.1,N(Cockpit!$O$6)))-CK966)),0)</f>
        <v>0</v>
      </c>
      <c r="BG966" s="51" t="n">
        <f aca="false">IF(BC966&gt;0,J966/BC966,-1)</f>
        <v>-1</v>
      </c>
      <c r="BH966" s="51" t="str">
        <f aca="false">IF(AND(OR(CF966="L1",CF966="L23",CF966="LIFT"),BC966&gt;0),SUMIFS($BC$7:$BC$1843,$CF$7:$CF$1843,CF966,$BG$7:$BG$1843,"&gt;"&amp;BG966)+SUMIFS($BC$7:$BC$1843,$CF$7:$CF$1843,CF966,$BG$7:$BG$1843,BG966,$BW$7:$BW$1843,"&lt;="&amp;BW966),"")</f>
        <v/>
      </c>
      <c r="BI966" s="58" t="n">
        <f aca="false">IF(BH966="",0,MAX(0,MIN(1,(IF(CF966="L1",Parameter!$H$5,IF(CF966="L23",Parameter!$H$6+Parameter!$H$7,Parameter!$H$5+Parameter!$H$6+Parameter!$H$7))-(BH966-BC966))/BC966)))</f>
        <v>0</v>
      </c>
      <c r="BJ966" s="48" t="str">
        <f aca="false">IF(AI966&lt;=0,"",IF(CF966="Aussen","Aussenlager",IF(CF966="-","Nicht im Lift",IF(AO966&gt;=1,"Lift",IF(AO966&lt;=0,"Aussenlager","teilweise")))))</f>
        <v/>
      </c>
      <c r="BK966" s="48" t="str">
        <f aca="false">IF(AS966&lt;=0,"",IF(CF966="Aussen","Aussenlager",IF(CF966="-","Nicht im Lift",IF(AY966&gt;=1,"Lift",IF(AY966&lt;=0,"Aussenlager","teilweise")))))</f>
        <v/>
      </c>
      <c r="BL966" s="48" t="str">
        <f aca="false">IF(BC966&lt;=0,"",IF(CF966="Aussen","Aussenlager",IF(CF966="-","Nicht im Lift",IF(BI966&gt;=1,"Lift",IF(BI966&lt;=0,"Aussenlager","teilweise")))))</f>
        <v/>
      </c>
      <c r="BM966" s="48" t="str">
        <f aca="false">IF(A966="","",IF(BV966=1,"Neu; ","")&amp;IF(AND(BV966=0,BQ966&lt;0),"negativer Bestand (Export "&amp;BQ966&amp;"); ","")&amp;IF(J966&lt;=0,"Kein Verbrauch; ","")&amp;IF(CQ966&gt;0,"Lift "&amp;W966&amp;" lt. Liftbericht (Fach "&amp;X966&amp;" Stk); ",IF(CA966=1,"Gebinde geschätzt ("&amp;T966&amp;"); ",IF(BZ966=1,"Lose – Tablare geschätzt; ","")))&amp;IF(H966&gt;AV966,"Überbestand "&amp;ROUND(H966-AV966,0)&amp;" Stk / CHF "&amp;ROUND((H966-AV966)*G966,0)&amp;"; ","")&amp;IF(AND(CH966=1,CI966&lt;CJ966),"MAX &lt; MB+LG; ","")&amp;IF(AND(CP966&gt;0,CO966*10&gt;CP966),"zu hoch für Tablar; ","")&amp;IF(AND(BV966=0,OR(CH966=1,AA966&lt;&gt;"",U966&lt;&gt;"",V966&lt;&gt;"",AB966&lt;&gt;"")),"manuell übersteuert; ","")&amp;IF(AND(BZ966=0,R966=0),"Gebinde unbekannt / Stellmass fehlt; ","")&amp;IF(AND(BZ966=0,N(V966)&lt;=0,N(Q966)&lt;=0),"Menge pro Gebinde fehlt (Ist = 1 Gebinde); ","")&amp;BU966)</f>
        <v>negativer Bestand (Export -1); Kein Verbrauch; Lose – Tablare geschätzt; </v>
      </c>
      <c r="BN966" s="48"/>
      <c r="BO966" s="48"/>
      <c r="BP966" s="55"/>
      <c r="BQ966" s="50" t="n">
        <v>-1</v>
      </c>
      <c r="BR966" s="50" t="n">
        <v>1</v>
      </c>
      <c r="BS966" s="49" t="n">
        <v>-71.23</v>
      </c>
      <c r="BT966" s="50" t="n">
        <v>0</v>
      </c>
      <c r="BU966" s="48"/>
      <c r="BV966" s="53" t="n">
        <v>0</v>
      </c>
      <c r="BW966" s="53" t="n">
        <v>966</v>
      </c>
      <c r="BX966" s="48" t="str">
        <f aca="false">IF(U966&lt;&gt;"",UPPER(TRIM(U966)),IF(CA966=1,UPPER(VLOOKUP(T966,Parameter!$I$27:$K$29,2,0)),IF(P966="","LOSE",P966)))</f>
        <v>LOSE</v>
      </c>
      <c r="BY966" s="50" t="n">
        <f aca="false">IF(BX966="LOSE",1,IF(N(V966)&gt;0,V966,IF(CA966=1,MAX(1,N(VLOOKUP(T966,Parameter!$I$27:$K$29,3,0)),H966,N(N966)),IF(N(Q966)&gt;0,Q966,MAX(1,H966)))))</f>
        <v>1</v>
      </c>
      <c r="BZ966" s="53" t="n">
        <f aca="false">IF(BX966="LOSE",1,0)</f>
        <v>1</v>
      </c>
      <c r="CA966" s="53" t="n">
        <f aca="false">IF(AND(U966="",OR(P966="",P966="LOSE"),T966&lt;&gt;"",N(S966)&lt;=0,ISNUMBER(MATCH(T966,Parameter!$I$27:$I$29,0))),1,0)</f>
        <v>0</v>
      </c>
      <c r="CB966" s="53" t="n">
        <f aca="false">IF(CQ966&gt;0,INDEX(Parameter!$H$5:$H$7,W966)/INDEX(Parameter!$E$5:$E$7,W966),IF(AND(BZ966=0,N(IFERROR(VLOOKUP(BX966,'Gebinde-Kategorie'!$A$5:$N$45,14,0),0))&gt;0),VLOOKUP(BX966,'Gebinde-Kategorie'!$A$5:$N$45,14,0)*10+Parameter!$M$23,Parameter!$M$24))</f>
        <v>235</v>
      </c>
      <c r="CC966" s="48" t="str">
        <f aca="false">IF(AND(Parameter!$B$19="Ja",E966&lt;&gt;"",ISNUMBER(MATCH(E966,Parameter!$I$35:$I$52,0))),VLOOKUP(E966,Parameter!$I$35:$J$52,2,0),IFERROR(VLOOKUP(D966,Parameter!$A$35:$C$64,2,0),"Nein"))</f>
        <v>Nein</v>
      </c>
      <c r="CD966" s="52" t="n">
        <f aca="false">IF(BZ966=0,0,IF(N(S966)&gt;0,S966,IFERROR(VLOOKUP(D966,Parameter!$A$35:$C$64,3,0)+0,0)))</f>
        <v>0.15</v>
      </c>
      <c r="CE966" s="48" t="str">
        <f aca="false">IF(AA966&lt;&gt;"",AA966,Z966)</f>
        <v>-</v>
      </c>
      <c r="CF966" s="48" t="str">
        <f aca="false">IF(OR(CE966=1,CE966=2,CE966=3),IF(Parameter!$E$27="Ja","LIFT",IF(CE966=1,"L1","L23")),IF(CE966="Aussen","Aussen","-"))</f>
        <v>-</v>
      </c>
      <c r="CG966" s="59" t="n">
        <f aca="false">IF(N(AB966)&gt;0,AB966,0)</f>
        <v>0</v>
      </c>
      <c r="CH966" s="53" t="n">
        <f aca="false">IF(ISNUMBER(AE966),1,0)</f>
        <v>0</v>
      </c>
      <c r="CI966" s="50" t="n">
        <f aca="false">N(AE966)</f>
        <v>0</v>
      </c>
      <c r="CJ966" s="50" t="n">
        <f aca="false">N(M966)+N(N966)</f>
        <v>0</v>
      </c>
      <c r="CK966" s="50" t="n">
        <f aca="false">N(M966)</f>
        <v>0</v>
      </c>
      <c r="CL966" s="50" t="n">
        <f aca="false">N(N966)</f>
        <v>0</v>
      </c>
      <c r="CM966" s="50" t="n">
        <f aca="false">ROUNDUP(H966/BY966,0)</f>
        <v>0</v>
      </c>
      <c r="CN966" s="50" t="n">
        <f aca="false">ROUNDUP(CI966/BY966,0)</f>
        <v>0</v>
      </c>
      <c r="CO966" s="53" t="n">
        <f aca="false">IF(BZ966=1,0,IFERROR(VLOOKUP(BX966,'Gebinde-Kategorie'!$A$5:$N$45,5,0)+0,0))</f>
        <v>0</v>
      </c>
      <c r="CP966" s="53" t="n">
        <f aca="false">IFERROR(IF(OR(CE966=1,CE966=2,CE966=3),N(INDEX(Parameter!$I$5:$I$7,CE966)),0),0)</f>
        <v>0</v>
      </c>
      <c r="CQ966" s="52" t="n">
        <f aca="false">IF(AND(Parameter!$B$21="Ja",ISNUMBER(W966),N(X966)&gt;0),IFERROR(N(INDEX(Parameter!$L$5:$L$7,W966))*INDEX(Parameter!$E$5:$E$7,W966)*X966/SUMIFS($X$7:$X$1843,$W$7:$W$1843,W966),0),0)</f>
        <v>0</v>
      </c>
    </row>
    <row r="967" customFormat="false" ht="15" hidden="false" customHeight="false" outlineLevel="0" collapsed="false">
      <c r="A967" s="48" t="s">
        <v>1806</v>
      </c>
      <c r="B967" s="48" t="s">
        <v>1288</v>
      </c>
      <c r="C967" s="48" t="s">
        <v>173</v>
      </c>
      <c r="D967" s="48" t="s">
        <v>193</v>
      </c>
      <c r="E967" s="48" t="s">
        <v>194</v>
      </c>
      <c r="F967" s="48" t="s">
        <v>227</v>
      </c>
      <c r="G967" s="49" t="n">
        <v>2.5</v>
      </c>
      <c r="H967" s="50" t="n">
        <f aca="false">MAX(0,IF(AND(Parameter!$B$21="Ja",ISNUMBER(Y967)),Y967,IF(Parameter!$B$20="Jahresanfang 2025 + Export",BR967+BQ967,BQ967)))</f>
        <v>0</v>
      </c>
      <c r="I967" s="50" t="n">
        <f aca="false">H967*G967</f>
        <v>0</v>
      </c>
      <c r="J967" s="50" t="n">
        <f aca="false">BT967*Parameter!$B$18</f>
        <v>17</v>
      </c>
      <c r="K967" s="51" t="n">
        <v>26</v>
      </c>
      <c r="L967" s="52" t="n">
        <v>0.653846153846154</v>
      </c>
      <c r="M967" s="50" t="n">
        <v>0</v>
      </c>
      <c r="N967" s="50" t="n">
        <v>15</v>
      </c>
      <c r="O967" s="53" t="n">
        <v>14</v>
      </c>
      <c r="P967" s="48" t="s">
        <v>410</v>
      </c>
      <c r="Q967" s="50" t="n">
        <v>20</v>
      </c>
      <c r="R967" s="53" t="n">
        <f aca="false">IF(BZ967=1,0,IFERROR(VLOOKUP(BX967,'Gebinde-Kategorie'!$A$5:$N$45,13,0)+0,0))</f>
        <v>280</v>
      </c>
      <c r="S967" s="54"/>
      <c r="T967" s="55"/>
      <c r="U967" s="55"/>
      <c r="V967" s="55"/>
      <c r="W967" s="48"/>
      <c r="X967" s="50"/>
      <c r="Y967" s="50"/>
      <c r="Z967" s="48" t="n">
        <f aca="false">IF(A967="","",IF(AND(Parameter!$B$21="Ja",ISNUMBER(W967)),W967,IF(CC967="2+3",IF(ISNUMBER(SEARCH("grosser Artikel",BU967)),2,IFERROR(VLOOKUP(BX967,Parameter!$F$35:$G$64,2,0),2)),IF(OR(CC967="Nein",CC967=""),"-",CC967))))</f>
        <v>3</v>
      </c>
      <c r="AA967" s="55"/>
      <c r="AB967" s="56"/>
      <c r="AC967" s="50" t="n">
        <f aca="false">AV967</f>
        <v>15</v>
      </c>
      <c r="AD967" s="50" t="n">
        <f aca="false">MAX(AV967,H967)</f>
        <v>15</v>
      </c>
      <c r="AE967" s="57"/>
      <c r="AF967" s="50" t="n">
        <f aca="false">IF(LEFT(Cockpit!$C$5,1)="A",H967,IF(Parameter!$E$30="MAX-Bestand",IF(CH967=1,CI967,IF(LEFT(Cockpit!$C$5,1)="B",AL967,MAX(AL967,H967))),ROUNDUP(AJ967,0)))</f>
        <v>0</v>
      </c>
      <c r="AG967" s="50" t="n">
        <f aca="false">IF(BZ967=1,0,ROUNDUP(AF967/BY967,0))</f>
        <v>0</v>
      </c>
      <c r="AH967" s="52" t="n">
        <f aca="false">IF(CQ967&gt;0,CQ967*MAX(1,AF967/X967),IF(BZ967=1,IF(AF967&lt;=0,0,CD967*MAX(1,IF(H967&gt;0,AF967/H967,1))),IF(R967&gt;0,AG967/R967,0))/MAX(0.1,N(Parameter!$M$21)))</f>
        <v>0</v>
      </c>
      <c r="AI967" s="50" t="n">
        <f aca="false">AH967*CB967</f>
        <v>0</v>
      </c>
      <c r="AJ967" s="51" t="n">
        <f aca="false">IF(LEFT(Cockpit!$C$5,1)="A",H967,IF(CH967=1,(CK967+CI967)/2,IF(LEFT(Cockpit!$C$5,1)="B",(CK967+AL967)/2,MAX((CK967+AL967)/2,H967))))</f>
        <v>0</v>
      </c>
      <c r="AK967" s="50" t="n">
        <f aca="false">AJ967*G967</f>
        <v>0</v>
      </c>
      <c r="AL967" s="50" t="n">
        <f aca="false">ROUNDUP(CK967+MAX(CL967,2*(J967/IF(CG967&gt;0,CG967,MAX(0.1,N(Cockpit!$C$6)))-CK967)),0)</f>
        <v>15</v>
      </c>
      <c r="AM967" s="51" t="n">
        <f aca="false">IF(AI967&gt;0,J967/AI967,-1)</f>
        <v>-1</v>
      </c>
      <c r="AN967" s="51" t="str">
        <f aca="false">IF(AND(OR(CF967="L1",CF967="L23",CF967="LIFT"),AI967&gt;0),SUMIFS($AI$7:$AI$1843,$CF$7:$CF$1843,CF967,$AM$7:$AM$1843,"&gt;"&amp;AM967)+SUMIFS($AI$7:$AI$1843,$CF$7:$CF$1843,CF967,$AM$7:$AM$1843,AM967,$BW$7:$BW$1843,"&lt;="&amp;BW967),"")</f>
        <v/>
      </c>
      <c r="AO967" s="58" t="n">
        <f aca="false">IF(AN967="",0,MAX(0,MIN(1,(IF(CF967="L1",Parameter!$H$5,IF(CF967="L23",Parameter!$H$6+Parameter!$H$7,Parameter!$H$5+Parameter!$H$6+Parameter!$H$7))-(AN967-AI967))/AI967)))</f>
        <v>0</v>
      </c>
      <c r="AP967" s="50" t="n">
        <f aca="false">IF(LEFT(Cockpit!$I$5,1)="A",H967,IF(Parameter!$E$30="MAX-Bestand",IF(CH967=1,CI967,IF(LEFT(Cockpit!$I$5,1)="B",AV967,MAX(AV967,H967))),ROUNDUP(AT967,0)))</f>
        <v>8</v>
      </c>
      <c r="AQ967" s="50" t="n">
        <f aca="false">IF(BZ967=1,0,ROUNDUP(AP967/BY967,0))</f>
        <v>1</v>
      </c>
      <c r="AR967" s="52" t="n">
        <f aca="false">IF(CQ967&gt;0,CQ967*MAX(1,AP967/X967),IF(BZ967=1,IF(AP967&lt;=0,0,CD967*MAX(1,IF(H967&gt;0,AP967/H967,1))),IF(R967&gt;0,AQ967/R967,0))/MAX(0.1,N(Parameter!$M$21)))</f>
        <v>0.00357142857142857</v>
      </c>
      <c r="AS967" s="50" t="n">
        <f aca="false">AR967*CB967</f>
        <v>0.553571428571429</v>
      </c>
      <c r="AT967" s="51" t="n">
        <f aca="false">IF(LEFT(Cockpit!$I$5,1)="A",H967,IF(CH967=1,(CK967+CI967)/2,IF(LEFT(Cockpit!$I$5,1)="B",(CK967+AV967)/2,MAX((CK967+AV967)/2,H967))))</f>
        <v>7.5</v>
      </c>
      <c r="AU967" s="50" t="n">
        <f aca="false">AT967*G967</f>
        <v>18.75</v>
      </c>
      <c r="AV967" s="50" t="n">
        <f aca="false">ROUNDUP(CK967+MAX(CL967,2*(J967/IF(CG967&gt;0,CG967,MAX(0.1,N(Cockpit!$I$6)))-CK967)),0)</f>
        <v>15</v>
      </c>
      <c r="AW967" s="51" t="n">
        <f aca="false">IF(AS967&gt;0,J967/AS967,-1)</f>
        <v>30.7096774193548</v>
      </c>
      <c r="AX967" s="51" t="n">
        <f aca="false">IF(AND(OR(CF967="L1",CF967="L23",CF967="LIFT"),AS967&gt;0),SUMIFS($AS$7:$AS$1843,$CF$7:$CF$1843,CF967,$AW$7:$AW$1843,"&gt;"&amp;AW967)+SUMIFS($AS$7:$AS$1843,$CF$7:$CF$1843,CF967,$AW$7:$AW$1843,AW967,$BW$7:$BW$1843,"&lt;="&amp;BW967),"")</f>
        <v>1812.55586080586</v>
      </c>
      <c r="AY967" s="58" t="n">
        <f aca="false">IF(AX967="",0,MAX(0,MIN(1,(IF(CF967="L1",Parameter!$H$5,IF(CF967="L23",Parameter!$H$6+Parameter!$H$7,Parameter!$H$5+Parameter!$H$6+Parameter!$H$7))-(AX967-AS967))/AS967)))</f>
        <v>1</v>
      </c>
      <c r="AZ967" s="50" t="n">
        <f aca="false">IF(LEFT(Cockpit!$O$5,1)="A",H967,IF(Parameter!$E$30="MAX-Bestand",IF(CH967=1,CI967,IF(LEFT(Cockpit!$O$5,1)="B",BF967,MAX(BF967,H967))),ROUNDUP(BD967,0)))</f>
        <v>8</v>
      </c>
      <c r="BA967" s="50" t="n">
        <f aca="false">IF(BZ967=1,0,ROUNDUP(AZ967/BY967,0))</f>
        <v>1</v>
      </c>
      <c r="BB967" s="52" t="n">
        <f aca="false">IF(CQ967&gt;0,CQ967*MAX(1,AZ967/X967),IF(BZ967=1,IF(AZ967&lt;=0,0,CD967*MAX(1,IF(H967&gt;0,AZ967/H967,1))),IF(R967&gt;0,BA967/R967,0))/MAX(0.1,N(Parameter!$M$21)))</f>
        <v>0.00357142857142857</v>
      </c>
      <c r="BC967" s="50" t="n">
        <f aca="false">BB967*CB967</f>
        <v>0.553571428571429</v>
      </c>
      <c r="BD967" s="51" t="n">
        <f aca="false">IF(LEFT(Cockpit!$O$5,1)="A",H967,IF(CH967=1,(CK967+CI967)/2,IF(LEFT(Cockpit!$O$5,1)="B",(CK967+BF967)/2,MAX((CK967+BF967)/2,H967))))</f>
        <v>7.5</v>
      </c>
      <c r="BE967" s="50" t="n">
        <f aca="false">BD967*G967</f>
        <v>18.75</v>
      </c>
      <c r="BF967" s="50" t="n">
        <f aca="false">ROUNDUP(CK967+MAX(CL967,2*(J967/IF(CG967&gt;0,CG967,MAX(0.1,N(Cockpit!$O$6)))-CK967)),0)</f>
        <v>15</v>
      </c>
      <c r="BG967" s="51" t="n">
        <f aca="false">IF(BC967&gt;0,J967/BC967,-1)</f>
        <v>30.7096774193548</v>
      </c>
      <c r="BH967" s="51" t="n">
        <f aca="false">IF(AND(OR(CF967="L1",CF967="L23",CF967="LIFT"),BC967&gt;0),SUMIFS($BC$7:$BC$1843,$CF$7:$CF$1843,CF967,$BG$7:$BG$1843,"&gt;"&amp;BG967)+SUMIFS($BC$7:$BC$1843,$CF$7:$CF$1843,CF967,$BG$7:$BG$1843,BG967,$BW$7:$BW$1843,"&lt;="&amp;BW967),"")</f>
        <v>1755.97893772894</v>
      </c>
      <c r="BI967" s="58" t="n">
        <f aca="false">IF(BH967="",0,MAX(0,MIN(1,(IF(CF967="L1",Parameter!$H$5,IF(CF967="L23",Parameter!$H$6+Parameter!$H$7,Parameter!$H$5+Parameter!$H$6+Parameter!$H$7))-(BH967-BC967))/BC967)))</f>
        <v>1</v>
      </c>
      <c r="BJ967" s="48" t="str">
        <f aca="false">IF(AI967&lt;=0,"",IF(CF967="Aussen","Aussenlager",IF(CF967="-","Nicht im Lift",IF(AO967&gt;=1,"Lift",IF(AO967&lt;=0,"Aussenlager","teilweise")))))</f>
        <v/>
      </c>
      <c r="BK967" s="48" t="str">
        <f aca="false">IF(AS967&lt;=0,"",IF(CF967="Aussen","Aussenlager",IF(CF967="-","Nicht im Lift",IF(AY967&gt;=1,"Lift",IF(AY967&lt;=0,"Aussenlager","teilweise")))))</f>
        <v>Lift</v>
      </c>
      <c r="BL967" s="48" t="str">
        <f aca="false">IF(BC967&lt;=0,"",IF(CF967="Aussen","Aussenlager",IF(CF967="-","Nicht im Lift",IF(BI967&gt;=1,"Lift",IF(BI967&lt;=0,"Aussenlager","teilweise")))))</f>
        <v>Lift</v>
      </c>
      <c r="BM967" s="48" t="str">
        <f aca="false">IF(A967="","",IF(BV967=1,"Neu; ","")&amp;IF(AND(BV967=0,BQ967&lt;0),"negativer Bestand (Export "&amp;BQ967&amp;"); ","")&amp;IF(J967&lt;=0,"Kein Verbrauch; ","")&amp;IF(CQ967&gt;0,"Lift "&amp;W967&amp;" lt. Liftbericht (Fach "&amp;X967&amp;" Stk); ",IF(CA967=1,"Gebinde geschätzt ("&amp;T967&amp;"); ",IF(BZ967=1,"Lose – Tablare geschätzt; ","")))&amp;IF(H967&gt;AV967,"Überbestand "&amp;ROUND(H967-AV967,0)&amp;" Stk / CHF "&amp;ROUND((H967-AV967)*G967,0)&amp;"; ","")&amp;IF(AND(CH967=1,CI967&lt;CJ967),"MAX &lt; MB+LG; ","")&amp;IF(AND(CP967&gt;0,CO967*10&gt;CP967),"zu hoch für Tablar; ","")&amp;IF(AND(BV967=0,OR(CH967=1,AA967&lt;&gt;"",U967&lt;&gt;"",V967&lt;&gt;"",AB967&lt;&gt;"")),"manuell übersteuert; ","")&amp;IF(AND(BZ967=0,R967=0),"Gebinde unbekannt / Stellmass fehlt; ","")&amp;IF(AND(BZ967=0,N(V967)&lt;=0,N(Q967)&lt;=0),"Menge pro Gebinde fehlt (Ist = 1 Gebinde); ","")&amp;BU967)</f>
        <v>negativer Bestand (Export -29); </v>
      </c>
      <c r="BN967" s="48"/>
      <c r="BO967" s="48"/>
      <c r="BP967" s="55"/>
      <c r="BQ967" s="50" t="n">
        <v>-29</v>
      </c>
      <c r="BR967" s="50" t="n">
        <v>29</v>
      </c>
      <c r="BS967" s="49" t="n">
        <v>-71.63</v>
      </c>
      <c r="BT967" s="50" t="n">
        <v>17</v>
      </c>
      <c r="BU967" s="48"/>
      <c r="BV967" s="53" t="n">
        <v>0</v>
      </c>
      <c r="BW967" s="53" t="n">
        <v>967</v>
      </c>
      <c r="BX967" s="48" t="str">
        <f aca="false">IF(U967&lt;&gt;"",UPPER(TRIM(U967)),IF(CA967=1,UPPER(VLOOKUP(T967,Parameter!$I$27:$K$29,2,0)),IF(P967="","LOSE",P967)))</f>
        <v>S21</v>
      </c>
      <c r="BY967" s="50" t="n">
        <f aca="false">IF(BX967="LOSE",1,IF(N(V967)&gt;0,V967,IF(CA967=1,MAX(1,N(VLOOKUP(T967,Parameter!$I$27:$K$29,3,0)),H967,N(N967)),IF(N(Q967)&gt;0,Q967,MAX(1,H967)))))</f>
        <v>20</v>
      </c>
      <c r="BZ967" s="53" t="n">
        <f aca="false">IF(BX967="LOSE",1,0)</f>
        <v>0</v>
      </c>
      <c r="CA967" s="53" t="n">
        <f aca="false">IF(AND(U967="",OR(P967="",P967="LOSE"),T967&lt;&gt;"",N(S967)&lt;=0,ISNUMBER(MATCH(T967,Parameter!$I$27:$I$29,0))),1,0)</f>
        <v>0</v>
      </c>
      <c r="CB967" s="53" t="n">
        <f aca="false">IF(CQ967&gt;0,INDEX(Parameter!$H$5:$H$7,W967)/INDEX(Parameter!$E$5:$E$7,W967),IF(AND(BZ967=0,N(IFERROR(VLOOKUP(BX967,'Gebinde-Kategorie'!$A$5:$N$45,14,0),0))&gt;0),VLOOKUP(BX967,'Gebinde-Kategorie'!$A$5:$N$45,14,0)*10+Parameter!$M$23,Parameter!$M$24))</f>
        <v>155</v>
      </c>
      <c r="CC967" s="48" t="str">
        <f aca="false">IF(AND(Parameter!$B$19="Ja",E967&lt;&gt;"",ISNUMBER(MATCH(E967,Parameter!$I$35:$I$52,0))),VLOOKUP(E967,Parameter!$I$35:$J$52,2,0),IFERROR(VLOOKUP(D967,Parameter!$A$35:$C$64,2,0),"Nein"))</f>
        <v>2+3</v>
      </c>
      <c r="CD967" s="52" t="n">
        <f aca="false">IF(BZ967=0,0,IF(N(S967)&gt;0,S967,IFERROR(VLOOKUP(D967,Parameter!$A$35:$C$64,3,0)+0,0)))</f>
        <v>0</v>
      </c>
      <c r="CE967" s="48" t="n">
        <f aca="false">IF(AA967&lt;&gt;"",AA967,Z967)</f>
        <v>3</v>
      </c>
      <c r="CF967" s="48" t="str">
        <f aca="false">IF(OR(CE967=1,CE967=2,CE967=3),IF(Parameter!$E$27="Ja","LIFT",IF(CE967=1,"L1","L23")),IF(CE967="Aussen","Aussen","-"))</f>
        <v>LIFT</v>
      </c>
      <c r="CG967" s="59" t="n">
        <f aca="false">IF(N(AB967)&gt;0,AB967,0)</f>
        <v>0</v>
      </c>
      <c r="CH967" s="53" t="n">
        <f aca="false">IF(ISNUMBER(AE967),1,0)</f>
        <v>0</v>
      </c>
      <c r="CI967" s="50" t="n">
        <f aca="false">N(AE967)</f>
        <v>0</v>
      </c>
      <c r="CJ967" s="50" t="n">
        <f aca="false">N(M967)+N(N967)</f>
        <v>15</v>
      </c>
      <c r="CK967" s="50" t="n">
        <f aca="false">N(M967)</f>
        <v>0</v>
      </c>
      <c r="CL967" s="50" t="n">
        <f aca="false">N(N967)</f>
        <v>15</v>
      </c>
      <c r="CM967" s="50" t="n">
        <f aca="false">ROUNDUP(H967/BY967,0)</f>
        <v>0</v>
      </c>
      <c r="CN967" s="50" t="n">
        <f aca="false">ROUNDUP(CI967/BY967,0)</f>
        <v>0</v>
      </c>
      <c r="CO967" s="53" t="n">
        <f aca="false">IF(BZ967=1,0,IFERROR(VLOOKUP(BX967,'Gebinde-Kategorie'!$A$5:$N$45,5,0)+0,0))</f>
        <v>8</v>
      </c>
      <c r="CP967" s="53" t="n">
        <f aca="false">IFERROR(IF(OR(CE967=1,CE967=2,CE967=3),N(INDEX(Parameter!$I$5:$I$7,CE967)),0),0)</f>
        <v>0</v>
      </c>
      <c r="CQ967" s="52" t="n">
        <f aca="false">IF(AND(Parameter!$B$21="Ja",ISNUMBER(W967),N(X967)&gt;0),IFERROR(N(INDEX(Parameter!$L$5:$L$7,W967))*INDEX(Parameter!$E$5:$E$7,W967)*X967/SUMIFS($X$7:$X$1843,$W$7:$W$1843,W967),0),0)</f>
        <v>0</v>
      </c>
    </row>
    <row r="968" customFormat="false" ht="15" hidden="false" customHeight="false" outlineLevel="0" collapsed="false">
      <c r="A968" s="48" t="s">
        <v>1807</v>
      </c>
      <c r="B968" s="48" t="s">
        <v>1808</v>
      </c>
      <c r="C968" s="48" t="s">
        <v>173</v>
      </c>
      <c r="D968" s="48" t="s">
        <v>193</v>
      </c>
      <c r="E968" s="48" t="s">
        <v>194</v>
      </c>
      <c r="F968" s="48" t="s">
        <v>227</v>
      </c>
      <c r="G968" s="49" t="n">
        <v>72.05</v>
      </c>
      <c r="H968" s="50" t="n">
        <f aca="false">MAX(0,IF(AND(Parameter!$B$21="Ja",ISNUMBER(Y968)),Y968,IF(Parameter!$B$20="Jahresanfang 2025 + Export",BR968+BQ968,BQ968)))</f>
        <v>6</v>
      </c>
      <c r="I968" s="50" t="n">
        <f aca="false">H968*G968</f>
        <v>432.3</v>
      </c>
      <c r="J968" s="50" t="n">
        <f aca="false">BT968*Parameter!$B$18</f>
        <v>1</v>
      </c>
      <c r="K968" s="51" t="n">
        <v>6</v>
      </c>
      <c r="L968" s="52" t="n">
        <v>0.166666666666667</v>
      </c>
      <c r="M968" s="50" t="n">
        <v>0</v>
      </c>
      <c r="N968" s="50" t="n">
        <v>1</v>
      </c>
      <c r="O968" s="53" t="n">
        <v>14</v>
      </c>
      <c r="P968" s="48" t="s">
        <v>242</v>
      </c>
      <c r="Q968" s="50" t="n">
        <v>12</v>
      </c>
      <c r="R968" s="53" t="n">
        <f aca="false">IF(BZ968=1,0,IFERROR(VLOOKUP(BX968,'Gebinde-Kategorie'!$A$5:$N$45,13,0)+0,0))</f>
        <v>26</v>
      </c>
      <c r="S968" s="54"/>
      <c r="T968" s="55"/>
      <c r="U968" s="55"/>
      <c r="V968" s="55"/>
      <c r="W968" s="48"/>
      <c r="X968" s="50"/>
      <c r="Y968" s="50"/>
      <c r="Z968" s="48" t="n">
        <f aca="false">IF(A968="","",IF(AND(Parameter!$B$21="Ja",ISNUMBER(W968)),W968,IF(CC968="2+3",IF(ISNUMBER(SEARCH("grosser Artikel",BU968)),2,IFERROR(VLOOKUP(BX968,Parameter!$F$35:$G$64,2,0),2)),IF(OR(CC968="Nein",CC968=""),"-",CC968))))</f>
        <v>3</v>
      </c>
      <c r="AA968" s="55"/>
      <c r="AB968" s="56"/>
      <c r="AC968" s="50" t="n">
        <f aca="false">AV968</f>
        <v>1</v>
      </c>
      <c r="AD968" s="50" t="n">
        <f aca="false">MAX(AV968,H968)</f>
        <v>6</v>
      </c>
      <c r="AE968" s="57"/>
      <c r="AF968" s="50" t="n">
        <f aca="false">IF(LEFT(Cockpit!$C$5,1)="A",H968,IF(Parameter!$E$30="MAX-Bestand",IF(CH968=1,CI968,IF(LEFT(Cockpit!$C$5,1)="B",AL968,MAX(AL968,H968))),ROUNDUP(AJ968,0)))</f>
        <v>6</v>
      </c>
      <c r="AG968" s="50" t="n">
        <f aca="false">IF(BZ968=1,0,ROUNDUP(AF968/BY968,0))</f>
        <v>1</v>
      </c>
      <c r="AH968" s="52" t="n">
        <f aca="false">IF(CQ968&gt;0,CQ968*MAX(1,AF968/X968),IF(BZ968=1,IF(AF968&lt;=0,0,CD968*MAX(1,IF(H968&gt;0,AF968/H968,1))),IF(R968&gt;0,AG968/R968,0))/MAX(0.1,N(Parameter!$M$21)))</f>
        <v>0.0384615384615385</v>
      </c>
      <c r="AI968" s="50" t="n">
        <f aca="false">AH968*CB968</f>
        <v>9.42307692307692</v>
      </c>
      <c r="AJ968" s="51" t="n">
        <f aca="false">IF(LEFT(Cockpit!$C$5,1)="A",H968,IF(CH968=1,(CK968+CI968)/2,IF(LEFT(Cockpit!$C$5,1)="B",(CK968+AL968)/2,MAX((CK968+AL968)/2,H968))))</f>
        <v>6</v>
      </c>
      <c r="AK968" s="50" t="n">
        <f aca="false">AJ968*G968</f>
        <v>432.3</v>
      </c>
      <c r="AL968" s="50" t="n">
        <f aca="false">ROUNDUP(CK968+MAX(CL968,2*(J968/IF(CG968&gt;0,CG968,MAX(0.1,N(Cockpit!$C$6)))-CK968)),0)</f>
        <v>1</v>
      </c>
      <c r="AM968" s="51" t="n">
        <f aca="false">IF(AI968&gt;0,J968/AI968,-1)</f>
        <v>0.106122448979592</v>
      </c>
      <c r="AN968" s="51" t="n">
        <f aca="false">IF(AND(OR(CF968="L1",CF968="L23",CF968="LIFT"),AI968&gt;0),SUMIFS($AI$7:$AI$1843,$CF$7:$CF$1843,CF968,$AM$7:$AM$1843,"&gt;"&amp;AM968)+SUMIFS($AI$7:$AI$1843,$CF$7:$CF$1843,CF968,$AM$7:$AM$1843,AM968,$BW$7:$BW$1843,"&lt;="&amp;BW968),"")</f>
        <v>15314.0758547009</v>
      </c>
      <c r="AO968" s="58" t="n">
        <f aca="false">IF(AN968="",0,MAX(0,MIN(1,(IF(CF968="L1",Parameter!$H$5,IF(CF968="L23",Parameter!$H$6+Parameter!$H$7,Parameter!$H$5+Parameter!$H$6+Parameter!$H$7))-(AN968-AI968))/AI968)))</f>
        <v>1</v>
      </c>
      <c r="AP968" s="50" t="n">
        <f aca="false">IF(LEFT(Cockpit!$I$5,1)="A",H968,IF(Parameter!$E$30="MAX-Bestand",IF(CH968=1,CI968,IF(LEFT(Cockpit!$I$5,1)="B",AV968,MAX(AV968,H968))),ROUNDUP(AT968,0)))</f>
        <v>6</v>
      </c>
      <c r="AQ968" s="50" t="n">
        <f aca="false">IF(BZ968=1,0,ROUNDUP(AP968/BY968,0))</f>
        <v>1</v>
      </c>
      <c r="AR968" s="52" t="n">
        <f aca="false">IF(CQ968&gt;0,CQ968*MAX(1,AP968/X968),IF(BZ968=1,IF(AP968&lt;=0,0,CD968*MAX(1,IF(H968&gt;0,AP968/H968,1))),IF(R968&gt;0,AQ968/R968,0))/MAX(0.1,N(Parameter!$M$21)))</f>
        <v>0.0384615384615385</v>
      </c>
      <c r="AS968" s="50" t="n">
        <f aca="false">AR968*CB968</f>
        <v>9.42307692307692</v>
      </c>
      <c r="AT968" s="51" t="n">
        <f aca="false">IF(LEFT(Cockpit!$I$5,1)="A",H968,IF(CH968=1,(CK968+CI968)/2,IF(LEFT(Cockpit!$I$5,1)="B",(CK968+AV968)/2,MAX((CK968+AV968)/2,H968))))</f>
        <v>6</v>
      </c>
      <c r="AU968" s="50" t="n">
        <f aca="false">AT968*G968</f>
        <v>432.3</v>
      </c>
      <c r="AV968" s="50" t="n">
        <f aca="false">ROUNDUP(CK968+MAX(CL968,2*(J968/IF(CG968&gt;0,CG968,MAX(0.1,N(Cockpit!$I$6)))-CK968)),0)</f>
        <v>1</v>
      </c>
      <c r="AW968" s="51" t="n">
        <f aca="false">IF(AS968&gt;0,J968/AS968,-1)</f>
        <v>0.106122448979592</v>
      </c>
      <c r="AX968" s="51" t="n">
        <f aca="false">IF(AND(OR(CF968="L1",CF968="L23",CF968="LIFT"),AS968&gt;0),SUMIFS($AS$7:$AS$1843,$CF$7:$CF$1843,CF968,$AW$7:$AW$1843,"&gt;"&amp;AW968)+SUMIFS($AS$7:$AS$1843,$CF$7:$CF$1843,CF968,$AW$7:$AW$1843,AW968,$BW$7:$BW$1843,"&lt;="&amp;BW968),"")</f>
        <v>19338.4744960783</v>
      </c>
      <c r="AY968" s="58" t="n">
        <f aca="false">IF(AX968="",0,MAX(0,MIN(1,(IF(CF968="L1",Parameter!$H$5,IF(CF968="L23",Parameter!$H$6+Parameter!$H$7,Parameter!$H$5+Parameter!$H$6+Parameter!$H$7))-(AX968-AS968))/AS968)))</f>
        <v>1</v>
      </c>
      <c r="AZ968" s="50" t="n">
        <f aca="false">IF(LEFT(Cockpit!$O$5,1)="A",H968,IF(Parameter!$E$30="MAX-Bestand",IF(CH968=1,CI968,IF(LEFT(Cockpit!$O$5,1)="B",BF968,MAX(BF968,H968))),ROUNDUP(BD968,0)))</f>
        <v>1</v>
      </c>
      <c r="BA968" s="50" t="n">
        <f aca="false">IF(BZ968=1,0,ROUNDUP(AZ968/BY968,0))</f>
        <v>1</v>
      </c>
      <c r="BB968" s="52" t="n">
        <f aca="false">IF(CQ968&gt;0,CQ968*MAX(1,AZ968/X968),IF(BZ968=1,IF(AZ968&lt;=0,0,CD968*MAX(1,IF(H968&gt;0,AZ968/H968,1))),IF(R968&gt;0,BA968/R968,0))/MAX(0.1,N(Parameter!$M$21)))</f>
        <v>0.0384615384615385</v>
      </c>
      <c r="BC968" s="50" t="n">
        <f aca="false">BB968*CB968</f>
        <v>9.42307692307692</v>
      </c>
      <c r="BD968" s="51" t="n">
        <f aca="false">IF(LEFT(Cockpit!$O$5,1)="A",H968,IF(CH968=1,(CK968+CI968)/2,IF(LEFT(Cockpit!$O$5,1)="B",(CK968+BF968)/2,MAX((CK968+BF968)/2,H968))))</f>
        <v>0.5</v>
      </c>
      <c r="BE968" s="50" t="n">
        <f aca="false">BD968*G968</f>
        <v>36.025</v>
      </c>
      <c r="BF968" s="50" t="n">
        <f aca="false">ROUNDUP(CK968+MAX(CL968,2*(J968/IF(CG968&gt;0,CG968,MAX(0.1,N(Cockpit!$O$6)))-CK968)),0)</f>
        <v>1</v>
      </c>
      <c r="BG968" s="51" t="n">
        <f aca="false">IF(BC968&gt;0,J968/BC968,-1)</f>
        <v>0.106122448979592</v>
      </c>
      <c r="BH968" s="51" t="n">
        <f aca="false">IF(AND(OR(CF968="L1",CF968="L23",CF968="LIFT"),BC968&gt;0),SUMIFS($BC$7:$BC$1843,$CF$7:$CF$1843,CF968,$BG$7:$BG$1843,"&gt;"&amp;BG968)+SUMIFS($BC$7:$BC$1843,$CF$7:$CF$1843,CF968,$BG$7:$BG$1843,BG968,$BW$7:$BW$1843,"&lt;="&amp;BW968),"")</f>
        <v>16939.287108607</v>
      </c>
      <c r="BI968" s="58" t="n">
        <f aca="false">IF(BH968="",0,MAX(0,MIN(1,(IF(CF968="L1",Parameter!$H$5,IF(CF968="L23",Parameter!$H$6+Parameter!$H$7,Parameter!$H$5+Parameter!$H$6+Parameter!$H$7))-(BH968-BC968))/BC968)))</f>
        <v>1</v>
      </c>
      <c r="BJ968" s="48" t="str">
        <f aca="false">IF(AI968&lt;=0,"",IF(CF968="Aussen","Aussenlager",IF(CF968="-","Nicht im Lift",IF(AO968&gt;=1,"Lift",IF(AO968&lt;=0,"Aussenlager","teilweise")))))</f>
        <v>Lift</v>
      </c>
      <c r="BK968" s="48" t="str">
        <f aca="false">IF(AS968&lt;=0,"",IF(CF968="Aussen","Aussenlager",IF(CF968="-","Nicht im Lift",IF(AY968&gt;=1,"Lift",IF(AY968&lt;=0,"Aussenlager","teilweise")))))</f>
        <v>Lift</v>
      </c>
      <c r="BL968" s="48" t="str">
        <f aca="false">IF(BC968&lt;=0,"",IF(CF968="Aussen","Aussenlager",IF(CF968="-","Nicht im Lift",IF(BI968&gt;=1,"Lift",IF(BI968&lt;=0,"Aussenlager","teilweise")))))</f>
        <v>Lift</v>
      </c>
      <c r="BM968" s="48" t="str">
        <f aca="false">IF(A968="","",IF(BV968=1,"Neu; ","")&amp;IF(AND(BV968=0,BQ968&lt;0),"negativer Bestand (Export "&amp;BQ968&amp;"); ","")&amp;IF(J968&lt;=0,"Kein Verbrauch; ","")&amp;IF(CQ968&gt;0,"Lift "&amp;W968&amp;" lt. Liftbericht (Fach "&amp;X968&amp;" Stk); ",IF(CA968=1,"Gebinde geschätzt ("&amp;T968&amp;"); ",IF(BZ968=1,"Lose – Tablare geschätzt; ","")))&amp;IF(H968&gt;AV968,"Überbestand "&amp;ROUND(H968-AV968,0)&amp;" Stk / CHF "&amp;ROUND((H968-AV968)*G968,0)&amp;"; ","")&amp;IF(AND(CH968=1,CI968&lt;CJ968),"MAX &lt; MB+LG; ","")&amp;IF(AND(CP968&gt;0,CO968*10&gt;CP968),"zu hoch für Tablar; ","")&amp;IF(AND(BV968=0,OR(CH968=1,AA968&lt;&gt;"",U968&lt;&gt;"",V968&lt;&gt;"",AB968&lt;&gt;"")),"manuell übersteuert; ","")&amp;IF(AND(BZ968=0,R968=0),"Gebinde unbekannt / Stellmass fehlt; ","")&amp;IF(AND(BZ968=0,N(V968)&lt;=0,N(Q968)&lt;=0),"Menge pro Gebinde fehlt (Ist = 1 Gebinde); ","")&amp;BU968)</f>
        <v>negativer Bestand (Export -1); Überbestand 5 Stk / CHF 360; </v>
      </c>
      <c r="BN968" s="48"/>
      <c r="BO968" s="48"/>
      <c r="BP968" s="55"/>
      <c r="BQ968" s="50" t="n">
        <v>-1</v>
      </c>
      <c r="BR968" s="50" t="n">
        <v>7</v>
      </c>
      <c r="BS968" s="49" t="n">
        <v>-72.05</v>
      </c>
      <c r="BT968" s="50" t="n">
        <v>1</v>
      </c>
      <c r="BU968" s="48"/>
      <c r="BV968" s="53" t="n">
        <v>0</v>
      </c>
      <c r="BW968" s="53" t="n">
        <v>968</v>
      </c>
      <c r="BX968" s="48" t="str">
        <f aca="false">IF(U968&lt;&gt;"",UPPER(TRIM(U968)),IF(CA968=1,UPPER(VLOOKUP(T968,Parameter!$I$27:$K$29,2,0)),IF(P968="","LOSE",P968)))</f>
        <v>S52</v>
      </c>
      <c r="BY968" s="50" t="n">
        <f aca="false">IF(BX968="LOSE",1,IF(N(V968)&gt;0,V968,IF(CA968=1,MAX(1,N(VLOOKUP(T968,Parameter!$I$27:$K$29,3,0)),H968,N(N968)),IF(N(Q968)&gt;0,Q968,MAX(1,H968)))))</f>
        <v>12</v>
      </c>
      <c r="BZ968" s="53" t="n">
        <f aca="false">IF(BX968="LOSE",1,0)</f>
        <v>0</v>
      </c>
      <c r="CA968" s="53" t="n">
        <f aca="false">IF(AND(U968="",OR(P968="",P968="LOSE"),T968&lt;&gt;"",N(S968)&lt;=0,ISNUMBER(MATCH(T968,Parameter!$I$27:$I$29,0))),1,0)</f>
        <v>0</v>
      </c>
      <c r="CB968" s="53" t="n">
        <f aca="false">IF(CQ968&gt;0,INDEX(Parameter!$H$5:$H$7,W968)/INDEX(Parameter!$E$5:$E$7,W968),IF(AND(BZ968=0,N(IFERROR(VLOOKUP(BX968,'Gebinde-Kategorie'!$A$5:$N$45,14,0),0))&gt;0),VLOOKUP(BX968,'Gebinde-Kategorie'!$A$5:$N$45,14,0)*10+Parameter!$M$23,Parameter!$M$24))</f>
        <v>245</v>
      </c>
      <c r="CC968" s="48" t="str">
        <f aca="false">IF(AND(Parameter!$B$19="Ja",E968&lt;&gt;"",ISNUMBER(MATCH(E968,Parameter!$I$35:$I$52,0))),VLOOKUP(E968,Parameter!$I$35:$J$52,2,0),IFERROR(VLOOKUP(D968,Parameter!$A$35:$C$64,2,0),"Nein"))</f>
        <v>2+3</v>
      </c>
      <c r="CD968" s="52" t="n">
        <f aca="false">IF(BZ968=0,0,IF(N(S968)&gt;0,S968,IFERROR(VLOOKUP(D968,Parameter!$A$35:$C$64,3,0)+0,0)))</f>
        <v>0</v>
      </c>
      <c r="CE968" s="48" t="n">
        <f aca="false">IF(AA968&lt;&gt;"",AA968,Z968)</f>
        <v>3</v>
      </c>
      <c r="CF968" s="48" t="str">
        <f aca="false">IF(OR(CE968=1,CE968=2,CE968=3),IF(Parameter!$E$27="Ja","LIFT",IF(CE968=1,"L1","L23")),IF(CE968="Aussen","Aussen","-"))</f>
        <v>LIFT</v>
      </c>
      <c r="CG968" s="59" t="n">
        <f aca="false">IF(N(AB968)&gt;0,AB968,0)</f>
        <v>0</v>
      </c>
      <c r="CH968" s="53" t="n">
        <f aca="false">IF(ISNUMBER(AE968),1,0)</f>
        <v>0</v>
      </c>
      <c r="CI968" s="50" t="n">
        <f aca="false">N(AE968)</f>
        <v>0</v>
      </c>
      <c r="CJ968" s="50" t="n">
        <f aca="false">N(M968)+N(N968)</f>
        <v>1</v>
      </c>
      <c r="CK968" s="50" t="n">
        <f aca="false">N(M968)</f>
        <v>0</v>
      </c>
      <c r="CL968" s="50" t="n">
        <f aca="false">N(N968)</f>
        <v>1</v>
      </c>
      <c r="CM968" s="50" t="n">
        <f aca="false">ROUNDUP(H968/BY968,0)</f>
        <v>1</v>
      </c>
      <c r="CN968" s="50" t="n">
        <f aca="false">ROUNDUP(CI968/BY968,0)</f>
        <v>0</v>
      </c>
      <c r="CO968" s="53" t="n">
        <f aca="false">IF(BZ968=1,0,IFERROR(VLOOKUP(BX968,'Gebinde-Kategorie'!$A$5:$N$45,5,0)+0,0))</f>
        <v>21</v>
      </c>
      <c r="CP968" s="53" t="n">
        <f aca="false">IFERROR(IF(OR(CE968=1,CE968=2,CE968=3),N(INDEX(Parameter!$I$5:$I$7,CE968)),0),0)</f>
        <v>0</v>
      </c>
      <c r="CQ968" s="52" t="n">
        <f aca="false">IF(AND(Parameter!$B$21="Ja",ISNUMBER(W968),N(X968)&gt;0),IFERROR(N(INDEX(Parameter!$L$5:$L$7,W968))*INDEX(Parameter!$E$5:$E$7,W968)*X968/SUMIFS($X$7:$X$1843,$W$7:$W$1843,W968),0),0)</f>
        <v>0</v>
      </c>
    </row>
    <row r="969" customFormat="false" ht="15" hidden="false" customHeight="false" outlineLevel="0" collapsed="false">
      <c r="A969" s="48" t="s">
        <v>1809</v>
      </c>
      <c r="B969" s="48" t="s">
        <v>644</v>
      </c>
      <c r="C969" s="48" t="s">
        <v>173</v>
      </c>
      <c r="D969" s="48" t="s">
        <v>182</v>
      </c>
      <c r="E969" s="48"/>
      <c r="F969" s="48" t="s">
        <v>227</v>
      </c>
      <c r="G969" s="49" t="n">
        <v>36.14</v>
      </c>
      <c r="H969" s="50" t="n">
        <f aca="false">MAX(0,IF(AND(Parameter!$B$21="Ja",ISNUMBER(Y969)),Y969,IF(Parameter!$B$20="Jahresanfang 2025 + Export",BR969+BQ969,BQ969)))</f>
        <v>17</v>
      </c>
      <c r="I969" s="50" t="n">
        <f aca="false">H969*G969</f>
        <v>614.38</v>
      </c>
      <c r="J969" s="50" t="n">
        <f aca="false">BT969*Parameter!$B$18</f>
        <v>2</v>
      </c>
      <c r="K969" s="51" t="n">
        <v>18</v>
      </c>
      <c r="L969" s="52" t="n">
        <v>0.111111111111111</v>
      </c>
      <c r="M969" s="50" t="n">
        <v>10</v>
      </c>
      <c r="N969" s="50" t="n">
        <v>1</v>
      </c>
      <c r="O969" s="53" t="n">
        <v>28</v>
      </c>
      <c r="P969" s="48" t="s">
        <v>177</v>
      </c>
      <c r="Q969" s="50"/>
      <c r="R969" s="53" t="n">
        <f aca="false">IF(BZ969=1,0,IFERROR(VLOOKUP(BX969,'Gebinde-Kategorie'!$A$5:$N$45,13,0)+0,0))</f>
        <v>12</v>
      </c>
      <c r="S969" s="54"/>
      <c r="T969" s="55" t="s">
        <v>188</v>
      </c>
      <c r="U969" s="55"/>
      <c r="V969" s="55"/>
      <c r="W969" s="48"/>
      <c r="X969" s="50"/>
      <c r="Y969" s="50"/>
      <c r="Z969" s="48" t="n">
        <f aca="false">IF(A969="","",IF(AND(Parameter!$B$21="Ja",ISNUMBER(W969)),W969,IF(CC969="2+3",IF(ISNUMBER(SEARCH("grosser Artikel",BU969)),2,IFERROR(VLOOKUP(BX969,Parameter!$F$35:$G$64,2,0),2)),IF(OR(CC969="Nein",CC969=""),"-",CC969))))</f>
        <v>2</v>
      </c>
      <c r="AA969" s="55"/>
      <c r="AB969" s="56"/>
      <c r="AC969" s="50" t="n">
        <f aca="false">AV969</f>
        <v>11</v>
      </c>
      <c r="AD969" s="50" t="n">
        <f aca="false">MAX(AV969,H969)</f>
        <v>17</v>
      </c>
      <c r="AE969" s="57"/>
      <c r="AF969" s="50" t="n">
        <f aca="false">IF(LEFT(Cockpit!$C$5,1)="A",H969,IF(Parameter!$E$30="MAX-Bestand",IF(CH969=1,CI969,IF(LEFT(Cockpit!$C$5,1)="B",AL969,MAX(AL969,H969))),ROUNDUP(AJ969,0)))</f>
        <v>17</v>
      </c>
      <c r="AG969" s="50" t="n">
        <f aca="false">IF(BZ969=1,0,ROUNDUP(AF969/BY969,0))</f>
        <v>1</v>
      </c>
      <c r="AH969" s="52" t="n">
        <f aca="false">IF(CQ969&gt;0,CQ969*MAX(1,AF969/X969),IF(BZ969=1,IF(AF969&lt;=0,0,CD969*MAX(1,IF(H969&gt;0,AF969/H969,1))),IF(R969&gt;0,AG969/R969,0))/MAX(0.1,N(Parameter!$M$21)))</f>
        <v>0.0833333333333333</v>
      </c>
      <c r="AI969" s="50" t="n">
        <f aca="false">AH969*CB969</f>
        <v>12.0833333333333</v>
      </c>
      <c r="AJ969" s="51" t="n">
        <f aca="false">IF(LEFT(Cockpit!$C$5,1)="A",H969,IF(CH969=1,(CK969+CI969)/2,IF(LEFT(Cockpit!$C$5,1)="B",(CK969+AL969)/2,MAX((CK969+AL969)/2,H969))))</f>
        <v>17</v>
      </c>
      <c r="AK969" s="50" t="n">
        <f aca="false">AJ969*G969</f>
        <v>614.38</v>
      </c>
      <c r="AL969" s="50" t="n">
        <f aca="false">ROUNDUP(CK969+MAX(CL969,2*(J969/IF(CG969&gt;0,CG969,MAX(0.1,N(Cockpit!$C$6)))-CK969)),0)</f>
        <v>11</v>
      </c>
      <c r="AM969" s="51" t="n">
        <f aca="false">IF(AI969&gt;0,J969/AI969,-1)</f>
        <v>0.16551724137931</v>
      </c>
      <c r="AN969" s="51" t="n">
        <f aca="false">IF(AND(OR(CF969="L1",CF969="L23",CF969="LIFT"),AI969&gt;0),SUMIFS($AI$7:$AI$1843,$CF$7:$CF$1843,CF969,$AM$7:$AM$1843,"&gt;"&amp;AM969)+SUMIFS($AI$7:$AI$1843,$CF$7:$CF$1843,CF969,$AM$7:$AM$1843,AM969,$BW$7:$BW$1843,"&lt;="&amp;BW969),"")</f>
        <v>12829.5734644358</v>
      </c>
      <c r="AO969" s="58" t="n">
        <f aca="false">IF(AN969="",0,MAX(0,MIN(1,(IF(CF969="L1",Parameter!$H$5,IF(CF969="L23",Parameter!$H$6+Parameter!$H$7,Parameter!$H$5+Parameter!$H$6+Parameter!$H$7))-(AN969-AI969))/AI969)))</f>
        <v>1</v>
      </c>
      <c r="AP969" s="50" t="n">
        <f aca="false">IF(LEFT(Cockpit!$I$5,1)="A",H969,IF(Parameter!$E$30="MAX-Bestand",IF(CH969=1,CI969,IF(LEFT(Cockpit!$I$5,1)="B",AV969,MAX(AV969,H969))),ROUNDUP(AT969,0)))</f>
        <v>17</v>
      </c>
      <c r="AQ969" s="50" t="n">
        <f aca="false">IF(BZ969=1,0,ROUNDUP(AP969/BY969,0))</f>
        <v>1</v>
      </c>
      <c r="AR969" s="52" t="n">
        <f aca="false">IF(CQ969&gt;0,CQ969*MAX(1,AP969/X969),IF(BZ969=1,IF(AP969&lt;=0,0,CD969*MAX(1,IF(H969&gt;0,AP969/H969,1))),IF(R969&gt;0,AQ969/R969,0))/MAX(0.1,N(Parameter!$M$21)))</f>
        <v>0.0833333333333333</v>
      </c>
      <c r="AS969" s="50" t="n">
        <f aca="false">AR969*CB969</f>
        <v>12.0833333333333</v>
      </c>
      <c r="AT969" s="51" t="n">
        <f aca="false">IF(LEFT(Cockpit!$I$5,1)="A",H969,IF(CH969=1,(CK969+CI969)/2,IF(LEFT(Cockpit!$I$5,1)="B",(CK969+AV969)/2,MAX((CK969+AV969)/2,H969))))</f>
        <v>17</v>
      </c>
      <c r="AU969" s="50" t="n">
        <f aca="false">AT969*G969</f>
        <v>614.38</v>
      </c>
      <c r="AV969" s="50" t="n">
        <f aca="false">ROUNDUP(CK969+MAX(CL969,2*(J969/IF(CG969&gt;0,CG969,MAX(0.1,N(Cockpit!$I$6)))-CK969)),0)</f>
        <v>11</v>
      </c>
      <c r="AW969" s="51" t="n">
        <f aca="false">IF(AS969&gt;0,J969/AS969,-1)</f>
        <v>0.16551724137931</v>
      </c>
      <c r="AX969" s="51" t="n">
        <f aca="false">IF(AND(OR(CF969="L1",CF969="L23",CF969="LIFT"),AS969&gt;0),SUMIFS($AS$7:$AS$1843,$CF$7:$CF$1843,CF969,$AW$7:$AW$1843,"&gt;"&amp;AW969)+SUMIFS($AS$7:$AS$1843,$CF$7:$CF$1843,CF969,$AW$7:$AW$1843,AW969,$BW$7:$BW$1843,"&lt;="&amp;BW969),"")</f>
        <v>15758.2541208791</v>
      </c>
      <c r="AY969" s="58" t="n">
        <f aca="false">IF(AX969="",0,MAX(0,MIN(1,(IF(CF969="L1",Parameter!$H$5,IF(CF969="L23",Parameter!$H$6+Parameter!$H$7,Parameter!$H$5+Parameter!$H$6+Parameter!$H$7))-(AX969-AS969))/AS969)))</f>
        <v>1</v>
      </c>
      <c r="AZ969" s="50" t="n">
        <f aca="false">IF(LEFT(Cockpit!$O$5,1)="A",H969,IF(Parameter!$E$30="MAX-Bestand",IF(CH969=1,CI969,IF(LEFT(Cockpit!$O$5,1)="B",BF969,MAX(BF969,H969))),ROUNDUP(BD969,0)))</f>
        <v>11</v>
      </c>
      <c r="BA969" s="50" t="n">
        <f aca="false">IF(BZ969=1,0,ROUNDUP(AZ969/BY969,0))</f>
        <v>1</v>
      </c>
      <c r="BB969" s="52" t="n">
        <f aca="false">IF(CQ969&gt;0,CQ969*MAX(1,AZ969/X969),IF(BZ969=1,IF(AZ969&lt;=0,0,CD969*MAX(1,IF(H969&gt;0,AZ969/H969,1))),IF(R969&gt;0,BA969/R969,0))/MAX(0.1,N(Parameter!$M$21)))</f>
        <v>0.0833333333333333</v>
      </c>
      <c r="BC969" s="50" t="n">
        <f aca="false">BB969*CB969</f>
        <v>12.0833333333333</v>
      </c>
      <c r="BD969" s="51" t="n">
        <f aca="false">IF(LEFT(Cockpit!$O$5,1)="A",H969,IF(CH969=1,(CK969+CI969)/2,IF(LEFT(Cockpit!$O$5,1)="B",(CK969+BF969)/2,MAX((CK969+BF969)/2,H969))))</f>
        <v>10.5</v>
      </c>
      <c r="BE969" s="50" t="n">
        <f aca="false">BD969*G969</f>
        <v>379.47</v>
      </c>
      <c r="BF969" s="50" t="n">
        <f aca="false">ROUNDUP(CK969+MAX(CL969,2*(J969/IF(CG969&gt;0,CG969,MAX(0.1,N(Cockpit!$O$6)))-CK969)),0)</f>
        <v>11</v>
      </c>
      <c r="BG969" s="51" t="n">
        <f aca="false">IF(BC969&gt;0,J969/BC969,-1)</f>
        <v>0.16551724137931</v>
      </c>
      <c r="BH969" s="51" t="n">
        <f aca="false">IF(AND(OR(CF969="L1",CF969="L23",CF969="LIFT"),BC969&gt;0),SUMIFS($BC$7:$BC$1843,$CF$7:$CF$1843,CF969,$BG$7:$BG$1843,"&gt;"&amp;BG969)+SUMIFS($BC$7:$BC$1843,$CF$7:$CF$1843,CF969,$BG$7:$BG$1843,BG969,$BW$7:$BW$1843,"&lt;="&amp;BW969),"")</f>
        <v>13572.6372824445</v>
      </c>
      <c r="BI969" s="58" t="n">
        <f aca="false">IF(BH969="",0,MAX(0,MIN(1,(IF(CF969="L1",Parameter!$H$5,IF(CF969="L23",Parameter!$H$6+Parameter!$H$7,Parameter!$H$5+Parameter!$H$6+Parameter!$H$7))-(BH969-BC969))/BC969)))</f>
        <v>1</v>
      </c>
      <c r="BJ969" s="48" t="str">
        <f aca="false">IF(AI969&lt;=0,"",IF(CF969="Aussen","Aussenlager",IF(CF969="-","Nicht im Lift",IF(AO969&gt;=1,"Lift",IF(AO969&lt;=0,"Aussenlager","teilweise")))))</f>
        <v>Lift</v>
      </c>
      <c r="BK969" s="48" t="str">
        <f aca="false">IF(AS969&lt;=0,"",IF(CF969="Aussen","Aussenlager",IF(CF969="-","Nicht im Lift",IF(AY969&gt;=1,"Lift",IF(AY969&lt;=0,"Aussenlager","teilweise")))))</f>
        <v>Lift</v>
      </c>
      <c r="BL969" s="48" t="str">
        <f aca="false">IF(BC969&lt;=0,"",IF(CF969="Aussen","Aussenlager",IF(CF969="-","Nicht im Lift",IF(BI969&gt;=1,"Lift",IF(BI969&lt;=0,"Aussenlager","teilweise")))))</f>
        <v>Lift</v>
      </c>
      <c r="BM969" s="48" t="str">
        <f aca="false">IF(A969="","",IF(BV969=1,"Neu; ","")&amp;IF(AND(BV969=0,BQ969&lt;0),"negativer Bestand (Export "&amp;BQ969&amp;"); ","")&amp;IF(J969&lt;=0,"Kein Verbrauch; ","")&amp;IF(CQ969&gt;0,"Lift "&amp;W969&amp;" lt. Liftbericht (Fach "&amp;X969&amp;" Stk); ",IF(CA969=1,"Gebinde geschätzt ("&amp;T969&amp;"); ",IF(BZ969=1,"Lose – Tablare geschätzt; ","")))&amp;IF(H969&gt;AV969,"Überbestand "&amp;ROUND(H969-AV969,0)&amp;" Stk / CHF "&amp;ROUND((H969-AV969)*G969,0)&amp;"; ","")&amp;IF(AND(CH969=1,CI969&lt;CJ969),"MAX &lt; MB+LG; ","")&amp;IF(AND(CP969&gt;0,CO969*10&gt;CP969),"zu hoch für Tablar; ","")&amp;IF(AND(BV969=0,OR(CH969=1,AA969&lt;&gt;"",U969&lt;&gt;"",V969&lt;&gt;"",AB969&lt;&gt;"")),"manuell übersteuert; ","")&amp;IF(AND(BZ969=0,R969=0),"Gebinde unbekannt / Stellmass fehlt; ","")&amp;IF(AND(BZ969=0,N(V969)&lt;=0,N(Q969)&lt;=0),"Menge pro Gebinde fehlt (Ist = 1 Gebinde); ","")&amp;BU969)</f>
        <v>negativer Bestand (Export -2); Gebinde geschätzt (Mittel); Überbestand 6 Stk / CHF 217; Menge pro Gebinde fehlt (Ist = 1 Gebinde); </v>
      </c>
      <c r="BN969" s="48"/>
      <c r="BO969" s="48"/>
      <c r="BP969" s="55"/>
      <c r="BQ969" s="50" t="n">
        <v>-2</v>
      </c>
      <c r="BR969" s="50" t="n">
        <v>19</v>
      </c>
      <c r="BS969" s="49" t="n">
        <v>-72.28</v>
      </c>
      <c r="BT969" s="50" t="n">
        <v>2</v>
      </c>
      <c r="BU969" s="48"/>
      <c r="BV969" s="53" t="n">
        <v>0</v>
      </c>
      <c r="BW969" s="53" t="n">
        <v>969</v>
      </c>
      <c r="BX969" s="48" t="str">
        <f aca="false">IF(U969&lt;&gt;"",UPPER(TRIM(U969)),IF(CA969=1,UPPER(VLOOKUP(T969,Parameter!$I$27:$K$29,2,0)),IF(P969="","LOSE",P969)))</f>
        <v>S61</v>
      </c>
      <c r="BY969" s="50" t="n">
        <f aca="false">IF(BX969="LOSE",1,IF(N(V969)&gt;0,V969,IF(CA969=1,MAX(1,N(VLOOKUP(T969,Parameter!$I$27:$K$29,3,0)),H969,N(N969)),IF(N(Q969)&gt;0,Q969,MAX(1,H969)))))</f>
        <v>17</v>
      </c>
      <c r="BZ969" s="53" t="n">
        <f aca="false">IF(BX969="LOSE",1,0)</f>
        <v>0</v>
      </c>
      <c r="CA969" s="53" t="n">
        <f aca="false">IF(AND(U969="",OR(P969="",P969="LOSE"),T969&lt;&gt;"",N(S969)&lt;=0,ISNUMBER(MATCH(T969,Parameter!$I$27:$I$29,0))),1,0)</f>
        <v>1</v>
      </c>
      <c r="CB969" s="53" t="n">
        <f aca="false">IF(CQ969&gt;0,INDEX(Parameter!$H$5:$H$7,W969)/INDEX(Parameter!$E$5:$E$7,W969),IF(AND(BZ969=0,N(IFERROR(VLOOKUP(BX969,'Gebinde-Kategorie'!$A$5:$N$45,14,0),0))&gt;0),VLOOKUP(BX969,'Gebinde-Kategorie'!$A$5:$N$45,14,0)*10+Parameter!$M$23,Parameter!$M$24))</f>
        <v>145</v>
      </c>
      <c r="CC969" s="48" t="str">
        <f aca="false">IF(AND(Parameter!$B$19="Ja",E969&lt;&gt;"",ISNUMBER(MATCH(E969,Parameter!$I$35:$I$52,0))),VLOOKUP(E969,Parameter!$I$35:$J$52,2,0),IFERROR(VLOOKUP(D969,Parameter!$A$35:$C$64,2,0),"Nein"))</f>
        <v>2+3</v>
      </c>
      <c r="CD969" s="52" t="n">
        <f aca="false">IF(BZ969=0,0,IF(N(S969)&gt;0,S969,IFERROR(VLOOKUP(D969,Parameter!$A$35:$C$64,3,0)+0,0)))</f>
        <v>0</v>
      </c>
      <c r="CE969" s="48" t="n">
        <f aca="false">IF(AA969&lt;&gt;"",AA969,Z969)</f>
        <v>2</v>
      </c>
      <c r="CF969" s="48" t="str">
        <f aca="false">IF(OR(CE969=1,CE969=2,CE969=3),IF(Parameter!$E$27="Ja","LIFT",IF(CE969=1,"L1","L23")),IF(CE969="Aussen","Aussen","-"))</f>
        <v>LIFT</v>
      </c>
      <c r="CG969" s="59" t="n">
        <f aca="false">IF(N(AB969)&gt;0,AB969,0)</f>
        <v>0</v>
      </c>
      <c r="CH969" s="53" t="n">
        <f aca="false">IF(ISNUMBER(AE969),1,0)</f>
        <v>0</v>
      </c>
      <c r="CI969" s="50" t="n">
        <f aca="false">N(AE969)</f>
        <v>0</v>
      </c>
      <c r="CJ969" s="50" t="n">
        <f aca="false">N(M969)+N(N969)</f>
        <v>11</v>
      </c>
      <c r="CK969" s="50" t="n">
        <f aca="false">N(M969)</f>
        <v>10</v>
      </c>
      <c r="CL969" s="50" t="n">
        <f aca="false">N(N969)</f>
        <v>1</v>
      </c>
      <c r="CM969" s="50" t="n">
        <f aca="false">ROUNDUP(H969/BY969,0)</f>
        <v>1</v>
      </c>
      <c r="CN969" s="50" t="n">
        <f aca="false">ROUNDUP(CI969/BY969,0)</f>
        <v>0</v>
      </c>
      <c r="CO969" s="53" t="n">
        <f aca="false">IF(BZ969=1,0,IFERROR(VLOOKUP(BX969,'Gebinde-Kategorie'!$A$5:$N$45,5,0)+0,0))</f>
        <v>11</v>
      </c>
      <c r="CP969" s="53" t="n">
        <f aca="false">IFERROR(IF(OR(CE969=1,CE969=2,CE969=3),N(INDEX(Parameter!$I$5:$I$7,CE969)),0),0)</f>
        <v>0</v>
      </c>
      <c r="CQ969" s="52" t="n">
        <f aca="false">IF(AND(Parameter!$B$21="Ja",ISNUMBER(W969),N(X969)&gt;0),IFERROR(N(INDEX(Parameter!$L$5:$L$7,W969))*INDEX(Parameter!$E$5:$E$7,W969)*X969/SUMIFS($X$7:$X$1843,$W$7:$W$1843,W969),0),0)</f>
        <v>0</v>
      </c>
    </row>
    <row r="970" customFormat="false" ht="15" hidden="false" customHeight="false" outlineLevel="0" collapsed="false">
      <c r="A970" s="48" t="s">
        <v>1810</v>
      </c>
      <c r="B970" s="48" t="s">
        <v>726</v>
      </c>
      <c r="C970" s="48" t="s">
        <v>173</v>
      </c>
      <c r="D970" s="48" t="s">
        <v>182</v>
      </c>
      <c r="E970" s="48" t="s">
        <v>175</v>
      </c>
      <c r="F970" s="48" t="s">
        <v>227</v>
      </c>
      <c r="G970" s="49" t="n">
        <v>72.28</v>
      </c>
      <c r="H970" s="50" t="n">
        <f aca="false">MAX(0,IF(AND(Parameter!$B$21="Ja",ISNUMBER(Y970)),Y970,IF(Parameter!$B$20="Jahresanfang 2025 + Export",BR970+BQ970,BQ970)))</f>
        <v>25</v>
      </c>
      <c r="I970" s="50" t="n">
        <f aca="false">H970*G970</f>
        <v>1807</v>
      </c>
      <c r="J970" s="50" t="n">
        <f aca="false">BT970*Parameter!$B$18</f>
        <v>0</v>
      </c>
      <c r="K970" s="51" t="n">
        <v>26</v>
      </c>
      <c r="L970" s="52" t="n">
        <v>0</v>
      </c>
      <c r="M970" s="50" t="n">
        <v>0</v>
      </c>
      <c r="N970" s="50" t="n">
        <v>1</v>
      </c>
      <c r="O970" s="53" t="n">
        <v>28</v>
      </c>
      <c r="P970" s="48" t="s">
        <v>195</v>
      </c>
      <c r="Q970" s="50" t="n">
        <v>26</v>
      </c>
      <c r="R970" s="53" t="n">
        <f aca="false">IF(BZ970=1,0,IFERROR(VLOOKUP(BX970,'Gebinde-Kategorie'!$A$5:$N$45,13,0)+0,0))</f>
        <v>12</v>
      </c>
      <c r="S970" s="54"/>
      <c r="T970" s="55"/>
      <c r="U970" s="55"/>
      <c r="V970" s="55"/>
      <c r="W970" s="48"/>
      <c r="X970" s="50"/>
      <c r="Y970" s="50"/>
      <c r="Z970" s="48" t="n">
        <f aca="false">IF(A970="","",IF(AND(Parameter!$B$21="Ja",ISNUMBER(W970)),W970,IF(CC970="2+3",IF(ISNUMBER(SEARCH("grosser Artikel",BU970)),2,IFERROR(VLOOKUP(BX970,Parameter!$F$35:$G$64,2,0),2)),IF(OR(CC970="Nein",CC970=""),"-",CC970))))</f>
        <v>1</v>
      </c>
      <c r="AA970" s="55"/>
      <c r="AB970" s="56"/>
      <c r="AC970" s="50" t="n">
        <f aca="false">AV970</f>
        <v>1</v>
      </c>
      <c r="AD970" s="50" t="n">
        <f aca="false">MAX(AV970,H970)</f>
        <v>25</v>
      </c>
      <c r="AE970" s="57"/>
      <c r="AF970" s="50" t="n">
        <f aca="false">IF(LEFT(Cockpit!$C$5,1)="A",H970,IF(Parameter!$E$30="MAX-Bestand",IF(CH970=1,CI970,IF(LEFT(Cockpit!$C$5,1)="B",AL970,MAX(AL970,H970))),ROUNDUP(AJ970,0)))</f>
        <v>25</v>
      </c>
      <c r="AG970" s="50" t="n">
        <f aca="false">IF(BZ970=1,0,ROUNDUP(AF970/BY970,0))</f>
        <v>1</v>
      </c>
      <c r="AH970" s="52" t="n">
        <f aca="false">IF(CQ970&gt;0,CQ970*MAX(1,AF970/X970),IF(BZ970=1,IF(AF970&lt;=0,0,CD970*MAX(1,IF(H970&gt;0,AF970/H970,1))),IF(R970&gt;0,AG970/R970,0))/MAX(0.1,N(Parameter!$M$21)))</f>
        <v>0.0833333333333333</v>
      </c>
      <c r="AI970" s="50" t="n">
        <f aca="false">AH970*CB970</f>
        <v>12.0833333333333</v>
      </c>
      <c r="AJ970" s="51" t="n">
        <f aca="false">IF(LEFT(Cockpit!$C$5,1)="A",H970,IF(CH970=1,(CK970+CI970)/2,IF(LEFT(Cockpit!$C$5,1)="B",(CK970+AL970)/2,MAX((CK970+AL970)/2,H970))))</f>
        <v>25</v>
      </c>
      <c r="AK970" s="50" t="n">
        <f aca="false">AJ970*G970</f>
        <v>1807</v>
      </c>
      <c r="AL970" s="50" t="n">
        <f aca="false">ROUNDUP(CK970+MAX(CL970,2*(J970/IF(CG970&gt;0,CG970,MAX(0.1,N(Cockpit!$C$6)))-CK970)),0)</f>
        <v>1</v>
      </c>
      <c r="AM970" s="51" t="n">
        <f aca="false">IF(AI970&gt;0,J970/AI970,-1)</f>
        <v>0</v>
      </c>
      <c r="AN970" s="51" t="n">
        <f aca="false">IF(AND(OR(CF970="L1",CF970="L23",CF970="LIFT"),AI970&gt;0),SUMIFS($AI$7:$AI$1843,$CF$7:$CF$1843,CF970,$AM$7:$AM$1843,"&gt;"&amp;AM970)+SUMIFS($AI$7:$AI$1843,$CF$7:$CF$1843,CF970,$AM$7:$AM$1843,AM970,$BW$7:$BW$1843,"&lt;="&amp;BW970),"")</f>
        <v>28900.8389959852</v>
      </c>
      <c r="AO970" s="58" t="n">
        <f aca="false">IF(AN970="",0,MAX(0,MIN(1,(IF(CF970="L1",Parameter!$H$5,IF(CF970="L23",Parameter!$H$6+Parameter!$H$7,Parameter!$H$5+Parameter!$H$6+Parameter!$H$7))-(AN970-AI970))/AI970)))</f>
        <v>1</v>
      </c>
      <c r="AP970" s="50" t="n">
        <f aca="false">IF(LEFT(Cockpit!$I$5,1)="A",H970,IF(Parameter!$E$30="MAX-Bestand",IF(CH970=1,CI970,IF(LEFT(Cockpit!$I$5,1)="B",AV970,MAX(AV970,H970))),ROUNDUP(AT970,0)))</f>
        <v>25</v>
      </c>
      <c r="AQ970" s="50" t="n">
        <f aca="false">IF(BZ970=1,0,ROUNDUP(AP970/BY970,0))</f>
        <v>1</v>
      </c>
      <c r="AR970" s="52" t="n">
        <f aca="false">IF(CQ970&gt;0,CQ970*MAX(1,AP970/X970),IF(BZ970=1,IF(AP970&lt;=0,0,CD970*MAX(1,IF(H970&gt;0,AP970/H970,1))),IF(R970&gt;0,AQ970/R970,0))/MAX(0.1,N(Parameter!$M$21)))</f>
        <v>0.0833333333333333</v>
      </c>
      <c r="AS970" s="50" t="n">
        <f aca="false">AR970*CB970</f>
        <v>12.0833333333333</v>
      </c>
      <c r="AT970" s="51" t="n">
        <f aca="false">IF(LEFT(Cockpit!$I$5,1)="A",H970,IF(CH970=1,(CK970+CI970)/2,IF(LEFT(Cockpit!$I$5,1)="B",(CK970+AV970)/2,MAX((CK970+AV970)/2,H970))))</f>
        <v>25</v>
      </c>
      <c r="AU970" s="50" t="n">
        <f aca="false">AT970*G970</f>
        <v>1807</v>
      </c>
      <c r="AV970" s="50" t="n">
        <f aca="false">ROUNDUP(CK970+MAX(CL970,2*(J970/IF(CG970&gt;0,CG970,MAX(0.1,N(Cockpit!$I$6)))-CK970)),0)</f>
        <v>1</v>
      </c>
      <c r="AW970" s="51" t="n">
        <f aca="false">IF(AS970&gt;0,J970/AS970,-1)</f>
        <v>0</v>
      </c>
      <c r="AX970" s="51" t="n">
        <f aca="false">IF(AND(OR(CF970="L1",CF970="L23",CF970="LIFT"),AS970&gt;0),SUMIFS($AS$7:$AS$1843,$CF$7:$CF$1843,CF970,$AW$7:$AW$1843,"&gt;"&amp;AW970)+SUMIFS($AS$7:$AS$1843,$CF$7:$CF$1843,CF970,$AW$7:$AW$1843,AW970,$BW$7:$BW$1843,"&lt;="&amp;BW970),"")</f>
        <v>34568.771978022</v>
      </c>
      <c r="AY970" s="58" t="n">
        <f aca="false">IF(AX970="",0,MAX(0,MIN(1,(IF(CF970="L1",Parameter!$H$5,IF(CF970="L23",Parameter!$H$6+Parameter!$H$7,Parameter!$H$5+Parameter!$H$6+Parameter!$H$7))-(AX970-AS970))/AS970)))</f>
        <v>1</v>
      </c>
      <c r="AZ970" s="50" t="n">
        <f aca="false">IF(LEFT(Cockpit!$O$5,1)="A",H970,IF(Parameter!$E$30="MAX-Bestand",IF(CH970=1,CI970,IF(LEFT(Cockpit!$O$5,1)="B",BF970,MAX(BF970,H970))),ROUNDUP(BD970,0)))</f>
        <v>1</v>
      </c>
      <c r="BA970" s="50" t="n">
        <f aca="false">IF(BZ970=1,0,ROUNDUP(AZ970/BY970,0))</f>
        <v>1</v>
      </c>
      <c r="BB970" s="52" t="n">
        <f aca="false">IF(CQ970&gt;0,CQ970*MAX(1,AZ970/X970),IF(BZ970=1,IF(AZ970&lt;=0,0,CD970*MAX(1,IF(H970&gt;0,AZ970/H970,1))),IF(R970&gt;0,BA970/R970,0))/MAX(0.1,N(Parameter!$M$21)))</f>
        <v>0.0833333333333333</v>
      </c>
      <c r="BC970" s="50" t="n">
        <f aca="false">BB970*CB970</f>
        <v>12.0833333333333</v>
      </c>
      <c r="BD970" s="51" t="n">
        <f aca="false">IF(LEFT(Cockpit!$O$5,1)="A",H970,IF(CH970=1,(CK970+CI970)/2,IF(LEFT(Cockpit!$O$5,1)="B",(CK970+BF970)/2,MAX((CK970+BF970)/2,H970))))</f>
        <v>0.5</v>
      </c>
      <c r="BE970" s="50" t="n">
        <f aca="false">BD970*G970</f>
        <v>36.14</v>
      </c>
      <c r="BF970" s="50" t="n">
        <f aca="false">ROUNDUP(CK970+MAX(CL970,2*(J970/IF(CG970&gt;0,CG970,MAX(0.1,N(Cockpit!$O$6)))-CK970)),0)</f>
        <v>1</v>
      </c>
      <c r="BG970" s="51" t="n">
        <f aca="false">IF(BC970&gt;0,J970/BC970,-1)</f>
        <v>0</v>
      </c>
      <c r="BH970" s="51" t="n">
        <f aca="false">IF(AND(OR(CF970="L1",CF970="L23",CF970="LIFT"),BC970&gt;0),SUMIFS($BC$7:$BC$1843,$CF$7:$CF$1843,CF970,$BG$7:$BG$1843,"&gt;"&amp;BG970)+SUMIFS($BC$7:$BC$1843,$CF$7:$CF$1843,CF970,$BG$7:$BG$1843,BG970,$BW$7:$BW$1843,"&lt;="&amp;BW970),"")</f>
        <v>28599.2709458621</v>
      </c>
      <c r="BI970" s="58" t="n">
        <f aca="false">IF(BH970="",0,MAX(0,MIN(1,(IF(CF970="L1",Parameter!$H$5,IF(CF970="L23",Parameter!$H$6+Parameter!$H$7,Parameter!$H$5+Parameter!$H$6+Parameter!$H$7))-(BH970-BC970))/BC970)))</f>
        <v>1</v>
      </c>
      <c r="BJ970" s="48" t="str">
        <f aca="false">IF(AI970&lt;=0,"",IF(CF970="Aussen","Aussenlager",IF(CF970="-","Nicht im Lift",IF(AO970&gt;=1,"Lift",IF(AO970&lt;=0,"Aussenlager","teilweise")))))</f>
        <v>Lift</v>
      </c>
      <c r="BK970" s="48" t="str">
        <f aca="false">IF(AS970&lt;=0,"",IF(CF970="Aussen","Aussenlager",IF(CF970="-","Nicht im Lift",IF(AY970&gt;=1,"Lift",IF(AY970&lt;=0,"Aussenlager","teilweise")))))</f>
        <v>Lift</v>
      </c>
      <c r="BL970" s="48" t="str">
        <f aca="false">IF(BC970&lt;=0,"",IF(CF970="Aussen","Aussenlager",IF(CF970="-","Nicht im Lift",IF(BI970&gt;=1,"Lift",IF(BI970&lt;=0,"Aussenlager","teilweise")))))</f>
        <v>Lift</v>
      </c>
      <c r="BM970" s="48" t="str">
        <f aca="false">IF(A970="","",IF(BV970=1,"Neu; ","")&amp;IF(AND(BV970=0,BQ970&lt;0),"negativer Bestand (Export "&amp;BQ970&amp;"); ","")&amp;IF(J970&lt;=0,"Kein Verbrauch; ","")&amp;IF(CQ970&gt;0,"Lift "&amp;W970&amp;" lt. Liftbericht (Fach "&amp;X970&amp;" Stk); ",IF(CA970=1,"Gebinde geschätzt ("&amp;T970&amp;"); ",IF(BZ970=1,"Lose – Tablare geschätzt; ","")))&amp;IF(H970&gt;AV970,"Überbestand "&amp;ROUND(H970-AV970,0)&amp;" Stk / CHF "&amp;ROUND((H970-AV970)*G970,0)&amp;"; ","")&amp;IF(AND(CH970=1,CI970&lt;CJ970),"MAX &lt; MB+LG; ","")&amp;IF(AND(CP970&gt;0,CO970*10&gt;CP970),"zu hoch für Tablar; ","")&amp;IF(AND(BV970=0,OR(CH970=1,AA970&lt;&gt;"",U970&lt;&gt;"",V970&lt;&gt;"",AB970&lt;&gt;"")),"manuell übersteuert; ","")&amp;IF(AND(BZ970=0,R970=0),"Gebinde unbekannt / Stellmass fehlt; ","")&amp;IF(AND(BZ970=0,N(V970)&lt;=0,N(Q970)&lt;=0),"Menge pro Gebinde fehlt (Ist = 1 Gebinde); ","")&amp;BU970)</f>
        <v>negativer Bestand (Export -1); Kein Verbrauch; Überbestand 24 Stk / CHF 1735; </v>
      </c>
      <c r="BN970" s="48"/>
      <c r="BO970" s="48"/>
      <c r="BP970" s="55"/>
      <c r="BQ970" s="50" t="n">
        <v>-1</v>
      </c>
      <c r="BR970" s="50" t="n">
        <v>26</v>
      </c>
      <c r="BS970" s="49" t="n">
        <v>-72.28</v>
      </c>
      <c r="BT970" s="50" t="n">
        <v>0</v>
      </c>
      <c r="BU970" s="48"/>
      <c r="BV970" s="53" t="n">
        <v>0</v>
      </c>
      <c r="BW970" s="53" t="n">
        <v>970</v>
      </c>
      <c r="BX970" s="48" t="str">
        <f aca="false">IF(U970&lt;&gt;"",UPPER(TRIM(U970)),IF(CA970=1,UPPER(VLOOKUP(T970,Parameter!$I$27:$K$29,2,0)),IF(P970="","LOSE",P970)))</f>
        <v>S61</v>
      </c>
      <c r="BY970" s="50" t="n">
        <f aca="false">IF(BX970="LOSE",1,IF(N(V970)&gt;0,V970,IF(CA970=1,MAX(1,N(VLOOKUP(T970,Parameter!$I$27:$K$29,3,0)),H970,N(N970)),IF(N(Q970)&gt;0,Q970,MAX(1,H970)))))</f>
        <v>26</v>
      </c>
      <c r="BZ970" s="53" t="n">
        <f aca="false">IF(BX970="LOSE",1,0)</f>
        <v>0</v>
      </c>
      <c r="CA970" s="53" t="n">
        <f aca="false">IF(AND(U970="",OR(P970="",P970="LOSE"),T970&lt;&gt;"",N(S970)&lt;=0,ISNUMBER(MATCH(T970,Parameter!$I$27:$I$29,0))),1,0)</f>
        <v>0</v>
      </c>
      <c r="CB970" s="53" t="n">
        <f aca="false">IF(CQ970&gt;0,INDEX(Parameter!$H$5:$H$7,W970)/INDEX(Parameter!$E$5:$E$7,W970),IF(AND(BZ970=0,N(IFERROR(VLOOKUP(BX970,'Gebinde-Kategorie'!$A$5:$N$45,14,0),0))&gt;0),VLOOKUP(BX970,'Gebinde-Kategorie'!$A$5:$N$45,14,0)*10+Parameter!$M$23,Parameter!$M$24))</f>
        <v>145</v>
      </c>
      <c r="CC970" s="48" t="n">
        <f aca="false">IF(AND(Parameter!$B$19="Ja",E970&lt;&gt;"",ISNUMBER(MATCH(E970,Parameter!$I$35:$I$52,0))),VLOOKUP(E970,Parameter!$I$35:$J$52,2,0),IFERROR(VLOOKUP(D970,Parameter!$A$35:$C$64,2,0),"Nein"))</f>
        <v>1</v>
      </c>
      <c r="CD970" s="52" t="n">
        <f aca="false">IF(BZ970=0,0,IF(N(S970)&gt;0,S970,IFERROR(VLOOKUP(D970,Parameter!$A$35:$C$64,3,0)+0,0)))</f>
        <v>0</v>
      </c>
      <c r="CE970" s="48" t="n">
        <f aca="false">IF(AA970&lt;&gt;"",AA970,Z970)</f>
        <v>1</v>
      </c>
      <c r="CF970" s="48" t="str">
        <f aca="false">IF(OR(CE970=1,CE970=2,CE970=3),IF(Parameter!$E$27="Ja","LIFT",IF(CE970=1,"L1","L23")),IF(CE970="Aussen","Aussen","-"))</f>
        <v>LIFT</v>
      </c>
      <c r="CG970" s="59" t="n">
        <f aca="false">IF(N(AB970)&gt;0,AB970,0)</f>
        <v>0</v>
      </c>
      <c r="CH970" s="53" t="n">
        <f aca="false">IF(ISNUMBER(AE970),1,0)</f>
        <v>0</v>
      </c>
      <c r="CI970" s="50" t="n">
        <f aca="false">N(AE970)</f>
        <v>0</v>
      </c>
      <c r="CJ970" s="50" t="n">
        <f aca="false">N(M970)+N(N970)</f>
        <v>1</v>
      </c>
      <c r="CK970" s="50" t="n">
        <f aca="false">N(M970)</f>
        <v>0</v>
      </c>
      <c r="CL970" s="50" t="n">
        <f aca="false">N(N970)</f>
        <v>1</v>
      </c>
      <c r="CM970" s="50" t="n">
        <f aca="false">ROUNDUP(H970/BY970,0)</f>
        <v>1</v>
      </c>
      <c r="CN970" s="50" t="n">
        <f aca="false">ROUNDUP(CI970/BY970,0)</f>
        <v>0</v>
      </c>
      <c r="CO970" s="53" t="n">
        <f aca="false">IF(BZ970=1,0,IFERROR(VLOOKUP(BX970,'Gebinde-Kategorie'!$A$5:$N$45,5,0)+0,0))</f>
        <v>11</v>
      </c>
      <c r="CP970" s="53" t="n">
        <f aca="false">IFERROR(IF(OR(CE970=1,CE970=2,CE970=3),N(INDEX(Parameter!$I$5:$I$7,CE970)),0),0)</f>
        <v>0</v>
      </c>
      <c r="CQ970" s="52" t="n">
        <f aca="false">IF(AND(Parameter!$B$21="Ja",ISNUMBER(W970),N(X970)&gt;0),IFERROR(N(INDEX(Parameter!$L$5:$L$7,W970))*INDEX(Parameter!$E$5:$E$7,W970)*X970/SUMIFS($X$7:$X$1843,$W$7:$W$1843,W970),0),0)</f>
        <v>0</v>
      </c>
    </row>
    <row r="971" customFormat="false" ht="15" hidden="false" customHeight="false" outlineLevel="0" collapsed="false">
      <c r="A971" s="48" t="s">
        <v>1811</v>
      </c>
      <c r="B971" s="48" t="s">
        <v>1812</v>
      </c>
      <c r="C971" s="48" t="s">
        <v>173</v>
      </c>
      <c r="D971" s="48" t="s">
        <v>193</v>
      </c>
      <c r="E971" s="48" t="s">
        <v>194</v>
      </c>
      <c r="F971" s="48" t="s">
        <v>227</v>
      </c>
      <c r="G971" s="49" t="n">
        <v>72.69</v>
      </c>
      <c r="H971" s="50" t="n">
        <f aca="false">MAX(0,IF(AND(Parameter!$B$21="Ja",ISNUMBER(Y971)),Y971,IF(Parameter!$B$20="Jahresanfang 2025 + Export",BR971+BQ971,BQ971)))</f>
        <v>9</v>
      </c>
      <c r="I971" s="50" t="n">
        <f aca="false">H971*G971</f>
        <v>654.21</v>
      </c>
      <c r="J971" s="50" t="n">
        <f aca="false">BT971*Parameter!$B$18</f>
        <v>0</v>
      </c>
      <c r="K971" s="51" t="n">
        <v>9.5</v>
      </c>
      <c r="L971" s="52" t="n">
        <v>0</v>
      </c>
      <c r="M971" s="50" t="n">
        <v>0</v>
      </c>
      <c r="N971" s="50" t="n">
        <v>1</v>
      </c>
      <c r="O971" s="53" t="n">
        <v>97</v>
      </c>
      <c r="P971" s="48" t="s">
        <v>242</v>
      </c>
      <c r="Q971" s="50" t="n">
        <v>10</v>
      </c>
      <c r="R971" s="53" t="n">
        <f aca="false">IF(BZ971=1,0,IFERROR(VLOOKUP(BX971,'Gebinde-Kategorie'!$A$5:$N$45,13,0)+0,0))</f>
        <v>26</v>
      </c>
      <c r="S971" s="54"/>
      <c r="T971" s="55"/>
      <c r="U971" s="55"/>
      <c r="V971" s="55"/>
      <c r="W971" s="48"/>
      <c r="X971" s="50"/>
      <c r="Y971" s="50"/>
      <c r="Z971" s="48" t="n">
        <f aca="false">IF(A971="","",IF(AND(Parameter!$B$21="Ja",ISNUMBER(W971)),W971,IF(CC971="2+3",IF(ISNUMBER(SEARCH("grosser Artikel",BU971)),2,IFERROR(VLOOKUP(BX971,Parameter!$F$35:$G$64,2,0),2)),IF(OR(CC971="Nein",CC971=""),"-",CC971))))</f>
        <v>3</v>
      </c>
      <c r="AA971" s="55"/>
      <c r="AB971" s="56"/>
      <c r="AC971" s="50" t="n">
        <f aca="false">AV971</f>
        <v>1</v>
      </c>
      <c r="AD971" s="50" t="n">
        <f aca="false">MAX(AV971,H971)</f>
        <v>9</v>
      </c>
      <c r="AE971" s="57"/>
      <c r="AF971" s="50" t="n">
        <f aca="false">IF(LEFT(Cockpit!$C$5,1)="A",H971,IF(Parameter!$E$30="MAX-Bestand",IF(CH971=1,CI971,IF(LEFT(Cockpit!$C$5,1)="B",AL971,MAX(AL971,H971))),ROUNDUP(AJ971,0)))</f>
        <v>9</v>
      </c>
      <c r="AG971" s="50" t="n">
        <f aca="false">IF(BZ971=1,0,ROUNDUP(AF971/BY971,0))</f>
        <v>1</v>
      </c>
      <c r="AH971" s="52" t="n">
        <f aca="false">IF(CQ971&gt;0,CQ971*MAX(1,AF971/X971),IF(BZ971=1,IF(AF971&lt;=0,0,CD971*MAX(1,IF(H971&gt;0,AF971/H971,1))),IF(R971&gt;0,AG971/R971,0))/MAX(0.1,N(Parameter!$M$21)))</f>
        <v>0.0384615384615385</v>
      </c>
      <c r="AI971" s="50" t="n">
        <f aca="false">AH971*CB971</f>
        <v>9.42307692307692</v>
      </c>
      <c r="AJ971" s="51" t="n">
        <f aca="false">IF(LEFT(Cockpit!$C$5,1)="A",H971,IF(CH971=1,(CK971+CI971)/2,IF(LEFT(Cockpit!$C$5,1)="B",(CK971+AL971)/2,MAX((CK971+AL971)/2,H971))))</f>
        <v>9</v>
      </c>
      <c r="AK971" s="50" t="n">
        <f aca="false">AJ971*G971</f>
        <v>654.21</v>
      </c>
      <c r="AL971" s="50" t="n">
        <f aca="false">ROUNDUP(CK971+MAX(CL971,2*(J971/IF(CG971&gt;0,CG971,MAX(0.1,N(Cockpit!$C$6)))-CK971)),0)</f>
        <v>1</v>
      </c>
      <c r="AM971" s="51" t="n">
        <f aca="false">IF(AI971&gt;0,J971/AI971,-1)</f>
        <v>0</v>
      </c>
      <c r="AN971" s="51" t="n">
        <f aca="false">IF(AND(OR(CF971="L1",CF971="L23",CF971="LIFT"),AI971&gt;0),SUMIFS($AI$7:$AI$1843,$CF$7:$CF$1843,CF971,$AM$7:$AM$1843,"&gt;"&amp;AM971)+SUMIFS($AI$7:$AI$1843,$CF$7:$CF$1843,CF971,$AM$7:$AM$1843,AM971,$BW$7:$BW$1843,"&lt;="&amp;BW971),"")</f>
        <v>28910.2620729083</v>
      </c>
      <c r="AO971" s="58" t="n">
        <f aca="false">IF(AN971="",0,MAX(0,MIN(1,(IF(CF971="L1",Parameter!$H$5,IF(CF971="L23",Parameter!$H$6+Parameter!$H$7,Parameter!$H$5+Parameter!$H$6+Parameter!$H$7))-(AN971-AI971))/AI971)))</f>
        <v>1</v>
      </c>
      <c r="AP971" s="50" t="n">
        <f aca="false">IF(LEFT(Cockpit!$I$5,1)="A",H971,IF(Parameter!$E$30="MAX-Bestand",IF(CH971=1,CI971,IF(LEFT(Cockpit!$I$5,1)="B",AV971,MAX(AV971,H971))),ROUNDUP(AT971,0)))</f>
        <v>9</v>
      </c>
      <c r="AQ971" s="50" t="n">
        <f aca="false">IF(BZ971=1,0,ROUNDUP(AP971/BY971,0))</f>
        <v>1</v>
      </c>
      <c r="AR971" s="52" t="n">
        <f aca="false">IF(CQ971&gt;0,CQ971*MAX(1,AP971/X971),IF(BZ971=1,IF(AP971&lt;=0,0,CD971*MAX(1,IF(H971&gt;0,AP971/H971,1))),IF(R971&gt;0,AQ971/R971,0))/MAX(0.1,N(Parameter!$M$21)))</f>
        <v>0.0384615384615385</v>
      </c>
      <c r="AS971" s="50" t="n">
        <f aca="false">AR971*CB971</f>
        <v>9.42307692307692</v>
      </c>
      <c r="AT971" s="51" t="n">
        <f aca="false">IF(LEFT(Cockpit!$I$5,1)="A",H971,IF(CH971=1,(CK971+CI971)/2,IF(LEFT(Cockpit!$I$5,1)="B",(CK971+AV971)/2,MAX((CK971+AV971)/2,H971))))</f>
        <v>9</v>
      </c>
      <c r="AU971" s="50" t="n">
        <f aca="false">AT971*G971</f>
        <v>654.21</v>
      </c>
      <c r="AV971" s="50" t="n">
        <f aca="false">ROUNDUP(CK971+MAX(CL971,2*(J971/IF(CG971&gt;0,CG971,MAX(0.1,N(Cockpit!$I$6)))-CK971)),0)</f>
        <v>1</v>
      </c>
      <c r="AW971" s="51" t="n">
        <f aca="false">IF(AS971&gt;0,J971/AS971,-1)</f>
        <v>0</v>
      </c>
      <c r="AX971" s="51" t="n">
        <f aca="false">IF(AND(OR(CF971="L1",CF971="L23",CF971="LIFT"),AS971&gt;0),SUMIFS($AS$7:$AS$1843,$CF$7:$CF$1843,CF971,$AW$7:$AW$1843,"&gt;"&amp;AW971)+SUMIFS($AS$7:$AS$1843,$CF$7:$CF$1843,CF971,$AW$7:$AW$1843,AW971,$BW$7:$BW$1843,"&lt;="&amp;BW971),"")</f>
        <v>34578.1950549451</v>
      </c>
      <c r="AY971" s="58" t="n">
        <f aca="false">IF(AX971="",0,MAX(0,MIN(1,(IF(CF971="L1",Parameter!$H$5,IF(CF971="L23",Parameter!$H$6+Parameter!$H$7,Parameter!$H$5+Parameter!$H$6+Parameter!$H$7))-(AX971-AS971))/AS971)))</f>
        <v>1</v>
      </c>
      <c r="AZ971" s="50" t="n">
        <f aca="false">IF(LEFT(Cockpit!$O$5,1)="A",H971,IF(Parameter!$E$30="MAX-Bestand",IF(CH971=1,CI971,IF(LEFT(Cockpit!$O$5,1)="B",BF971,MAX(BF971,H971))),ROUNDUP(BD971,0)))</f>
        <v>1</v>
      </c>
      <c r="BA971" s="50" t="n">
        <f aca="false">IF(BZ971=1,0,ROUNDUP(AZ971/BY971,0))</f>
        <v>1</v>
      </c>
      <c r="BB971" s="52" t="n">
        <f aca="false">IF(CQ971&gt;0,CQ971*MAX(1,AZ971/X971),IF(BZ971=1,IF(AZ971&lt;=0,0,CD971*MAX(1,IF(H971&gt;0,AZ971/H971,1))),IF(R971&gt;0,BA971/R971,0))/MAX(0.1,N(Parameter!$M$21)))</f>
        <v>0.0384615384615385</v>
      </c>
      <c r="BC971" s="50" t="n">
        <f aca="false">BB971*CB971</f>
        <v>9.42307692307692</v>
      </c>
      <c r="BD971" s="51" t="n">
        <f aca="false">IF(LEFT(Cockpit!$O$5,1)="A",H971,IF(CH971=1,(CK971+CI971)/2,IF(LEFT(Cockpit!$O$5,1)="B",(CK971+BF971)/2,MAX((CK971+BF971)/2,H971))))</f>
        <v>0.5</v>
      </c>
      <c r="BE971" s="50" t="n">
        <f aca="false">BD971*G971</f>
        <v>36.345</v>
      </c>
      <c r="BF971" s="50" t="n">
        <f aca="false">ROUNDUP(CK971+MAX(CL971,2*(J971/IF(CG971&gt;0,CG971,MAX(0.1,N(Cockpit!$O$6)))-CK971)),0)</f>
        <v>1</v>
      </c>
      <c r="BG971" s="51" t="n">
        <f aca="false">IF(BC971&gt;0,J971/BC971,-1)</f>
        <v>0</v>
      </c>
      <c r="BH971" s="51" t="n">
        <f aca="false">IF(AND(OR(CF971="L1",CF971="L23",CF971="LIFT"),BC971&gt;0),SUMIFS($BC$7:$BC$1843,$CF$7:$CF$1843,CF971,$BG$7:$BG$1843,"&gt;"&amp;BG971)+SUMIFS($BC$7:$BC$1843,$CF$7:$CF$1843,CF971,$BG$7:$BG$1843,BG971,$BW$7:$BW$1843,"&lt;="&amp;BW971),"")</f>
        <v>28608.6940227851</v>
      </c>
      <c r="BI971" s="58" t="n">
        <f aca="false">IF(BH971="",0,MAX(0,MIN(1,(IF(CF971="L1",Parameter!$H$5,IF(CF971="L23",Parameter!$H$6+Parameter!$H$7,Parameter!$H$5+Parameter!$H$6+Parameter!$H$7))-(BH971-BC971))/BC971)))</f>
        <v>1</v>
      </c>
      <c r="BJ971" s="48" t="str">
        <f aca="false">IF(AI971&lt;=0,"",IF(CF971="Aussen","Aussenlager",IF(CF971="-","Nicht im Lift",IF(AO971&gt;=1,"Lift",IF(AO971&lt;=0,"Aussenlager","teilweise")))))</f>
        <v>Lift</v>
      </c>
      <c r="BK971" s="48" t="str">
        <f aca="false">IF(AS971&lt;=0,"",IF(CF971="Aussen","Aussenlager",IF(CF971="-","Nicht im Lift",IF(AY971&gt;=1,"Lift",IF(AY971&lt;=0,"Aussenlager","teilweise")))))</f>
        <v>Lift</v>
      </c>
      <c r="BL971" s="48" t="str">
        <f aca="false">IF(BC971&lt;=0,"",IF(CF971="Aussen","Aussenlager",IF(CF971="-","Nicht im Lift",IF(BI971&gt;=1,"Lift",IF(BI971&lt;=0,"Aussenlager","teilweise")))))</f>
        <v>Lift</v>
      </c>
      <c r="BM971" s="48" t="str">
        <f aca="false">IF(A971="","",IF(BV971=1,"Neu; ","")&amp;IF(AND(BV971=0,BQ971&lt;0),"negativer Bestand (Export "&amp;BQ971&amp;"); ","")&amp;IF(J971&lt;=0,"Kein Verbrauch; ","")&amp;IF(CQ971&gt;0,"Lift "&amp;W971&amp;" lt. Liftbericht (Fach "&amp;X971&amp;" Stk); ",IF(CA971=1,"Gebinde geschätzt ("&amp;T971&amp;"); ",IF(BZ971=1,"Lose – Tablare geschätzt; ","")))&amp;IF(H971&gt;AV971,"Überbestand "&amp;ROUND(H971-AV971,0)&amp;" Stk / CHF "&amp;ROUND((H971-AV971)*G971,0)&amp;"; ","")&amp;IF(AND(CH971=1,CI971&lt;CJ971),"MAX &lt; MB+LG; ","")&amp;IF(AND(CP971&gt;0,CO971*10&gt;CP971),"zu hoch für Tablar; ","")&amp;IF(AND(BV971=0,OR(CH971=1,AA971&lt;&gt;"",U971&lt;&gt;"",V971&lt;&gt;"",AB971&lt;&gt;"")),"manuell übersteuert; ","")&amp;IF(AND(BZ971=0,R971=0),"Gebinde unbekannt / Stellmass fehlt; ","")&amp;IF(AND(BZ971=0,N(V971)&lt;=0,N(Q971)&lt;=0),"Menge pro Gebinde fehlt (Ist = 1 Gebinde); ","")&amp;BU971)</f>
        <v>negativer Bestand (Export -1); Kein Verbrauch; Überbestand 8 Stk / CHF 582; Überbestand</v>
      </c>
      <c r="BN971" s="48"/>
      <c r="BO971" s="48"/>
      <c r="BP971" s="55"/>
      <c r="BQ971" s="50" t="n">
        <v>-1</v>
      </c>
      <c r="BR971" s="50" t="n">
        <v>10</v>
      </c>
      <c r="BS971" s="49" t="n">
        <v>-72.69</v>
      </c>
      <c r="BT971" s="50" t="n">
        <v>0</v>
      </c>
      <c r="BU971" s="48" t="s">
        <v>401</v>
      </c>
      <c r="BV971" s="53" t="n">
        <v>0</v>
      </c>
      <c r="BW971" s="53" t="n">
        <v>971</v>
      </c>
      <c r="BX971" s="48" t="str">
        <f aca="false">IF(U971&lt;&gt;"",UPPER(TRIM(U971)),IF(CA971=1,UPPER(VLOOKUP(T971,Parameter!$I$27:$K$29,2,0)),IF(P971="","LOSE",P971)))</f>
        <v>S52</v>
      </c>
      <c r="BY971" s="50" t="n">
        <f aca="false">IF(BX971="LOSE",1,IF(N(V971)&gt;0,V971,IF(CA971=1,MAX(1,N(VLOOKUP(T971,Parameter!$I$27:$K$29,3,0)),H971,N(N971)),IF(N(Q971)&gt;0,Q971,MAX(1,H971)))))</f>
        <v>10</v>
      </c>
      <c r="BZ971" s="53" t="n">
        <f aca="false">IF(BX971="LOSE",1,0)</f>
        <v>0</v>
      </c>
      <c r="CA971" s="53" t="n">
        <f aca="false">IF(AND(U971="",OR(P971="",P971="LOSE"),T971&lt;&gt;"",N(S971)&lt;=0,ISNUMBER(MATCH(T971,Parameter!$I$27:$I$29,0))),1,0)</f>
        <v>0</v>
      </c>
      <c r="CB971" s="53" t="n">
        <f aca="false">IF(CQ971&gt;0,INDEX(Parameter!$H$5:$H$7,W971)/INDEX(Parameter!$E$5:$E$7,W971),IF(AND(BZ971=0,N(IFERROR(VLOOKUP(BX971,'Gebinde-Kategorie'!$A$5:$N$45,14,0),0))&gt;0),VLOOKUP(BX971,'Gebinde-Kategorie'!$A$5:$N$45,14,0)*10+Parameter!$M$23,Parameter!$M$24))</f>
        <v>245</v>
      </c>
      <c r="CC971" s="48" t="str">
        <f aca="false">IF(AND(Parameter!$B$19="Ja",E971&lt;&gt;"",ISNUMBER(MATCH(E971,Parameter!$I$35:$I$52,0))),VLOOKUP(E971,Parameter!$I$35:$J$52,2,0),IFERROR(VLOOKUP(D971,Parameter!$A$35:$C$64,2,0),"Nein"))</f>
        <v>2+3</v>
      </c>
      <c r="CD971" s="52" t="n">
        <f aca="false">IF(BZ971=0,0,IF(N(S971)&gt;0,S971,IFERROR(VLOOKUP(D971,Parameter!$A$35:$C$64,3,0)+0,0)))</f>
        <v>0</v>
      </c>
      <c r="CE971" s="48" t="n">
        <f aca="false">IF(AA971&lt;&gt;"",AA971,Z971)</f>
        <v>3</v>
      </c>
      <c r="CF971" s="48" t="str">
        <f aca="false">IF(OR(CE971=1,CE971=2,CE971=3),IF(Parameter!$E$27="Ja","LIFT",IF(CE971=1,"L1","L23")),IF(CE971="Aussen","Aussen","-"))</f>
        <v>LIFT</v>
      </c>
      <c r="CG971" s="59" t="n">
        <f aca="false">IF(N(AB971)&gt;0,AB971,0)</f>
        <v>0</v>
      </c>
      <c r="CH971" s="53" t="n">
        <f aca="false">IF(ISNUMBER(AE971),1,0)</f>
        <v>0</v>
      </c>
      <c r="CI971" s="50" t="n">
        <f aca="false">N(AE971)</f>
        <v>0</v>
      </c>
      <c r="CJ971" s="50" t="n">
        <f aca="false">N(M971)+N(N971)</f>
        <v>1</v>
      </c>
      <c r="CK971" s="50" t="n">
        <f aca="false">N(M971)</f>
        <v>0</v>
      </c>
      <c r="CL971" s="50" t="n">
        <f aca="false">N(N971)</f>
        <v>1</v>
      </c>
      <c r="CM971" s="50" t="n">
        <f aca="false">ROUNDUP(H971/BY971,0)</f>
        <v>1</v>
      </c>
      <c r="CN971" s="50" t="n">
        <f aca="false">ROUNDUP(CI971/BY971,0)</f>
        <v>0</v>
      </c>
      <c r="CO971" s="53" t="n">
        <f aca="false">IF(BZ971=1,0,IFERROR(VLOOKUP(BX971,'Gebinde-Kategorie'!$A$5:$N$45,5,0)+0,0))</f>
        <v>21</v>
      </c>
      <c r="CP971" s="53" t="n">
        <f aca="false">IFERROR(IF(OR(CE971=1,CE971=2,CE971=3),N(INDEX(Parameter!$I$5:$I$7,CE971)),0),0)</f>
        <v>0</v>
      </c>
      <c r="CQ971" s="52" t="n">
        <f aca="false">IF(AND(Parameter!$B$21="Ja",ISNUMBER(W971),N(X971)&gt;0),IFERROR(N(INDEX(Parameter!$L$5:$L$7,W971))*INDEX(Parameter!$E$5:$E$7,W971)*X971/SUMIFS($X$7:$X$1843,$W$7:$W$1843,W971),0),0)</f>
        <v>0</v>
      </c>
    </row>
    <row r="972" customFormat="false" ht="15" hidden="false" customHeight="false" outlineLevel="0" collapsed="false">
      <c r="A972" s="48" t="s">
        <v>1813</v>
      </c>
      <c r="B972" s="48" t="s">
        <v>498</v>
      </c>
      <c r="C972" s="48" t="s">
        <v>173</v>
      </c>
      <c r="D972" s="48" t="s">
        <v>193</v>
      </c>
      <c r="E972" s="48" t="s">
        <v>194</v>
      </c>
      <c r="F972" s="48" t="s">
        <v>227</v>
      </c>
      <c r="G972" s="49" t="n">
        <v>1.36</v>
      </c>
      <c r="H972" s="50" t="n">
        <f aca="false">MAX(0,IF(AND(Parameter!$B$21="Ja",ISNUMBER(Y972)),Y972,IF(Parameter!$B$20="Jahresanfang 2025 + Export",BR972+BQ972,BQ972)))</f>
        <v>371</v>
      </c>
      <c r="I972" s="50" t="n">
        <f aca="false">H972*G972</f>
        <v>504.56</v>
      </c>
      <c r="J972" s="50" t="n">
        <f aca="false">BT972*Parameter!$B$18</f>
        <v>674</v>
      </c>
      <c r="K972" s="51" t="n">
        <v>352.5</v>
      </c>
      <c r="L972" s="52" t="n">
        <v>1.91205673758865</v>
      </c>
      <c r="M972" s="50" t="n">
        <v>26</v>
      </c>
      <c r="N972" s="50" t="n">
        <v>675</v>
      </c>
      <c r="O972" s="53" t="n">
        <v>14</v>
      </c>
      <c r="P972" s="48" t="s">
        <v>311</v>
      </c>
      <c r="Q972" s="50" t="n">
        <v>1739</v>
      </c>
      <c r="R972" s="53" t="n">
        <f aca="false">IF(BZ972=1,0,IFERROR(VLOOKUP(BX972,'Gebinde-Kategorie'!$A$5:$N$45,13,0)+0,0))</f>
        <v>26</v>
      </c>
      <c r="S972" s="54"/>
      <c r="T972" s="55"/>
      <c r="U972" s="55"/>
      <c r="V972" s="55"/>
      <c r="W972" s="48"/>
      <c r="X972" s="50"/>
      <c r="Y972" s="50"/>
      <c r="Z972" s="48" t="n">
        <f aca="false">IF(A972="","",IF(AND(Parameter!$B$21="Ja",ISNUMBER(W972)),W972,IF(CC972="2+3",IF(ISNUMBER(SEARCH("grosser Artikel",BU972)),2,IFERROR(VLOOKUP(BX972,Parameter!$F$35:$G$64,2,0),2)),IF(OR(CC972="Nein",CC972=""),"-",CC972))))</f>
        <v>3</v>
      </c>
      <c r="AA972" s="55"/>
      <c r="AB972" s="56"/>
      <c r="AC972" s="50" t="n">
        <f aca="false">AV972</f>
        <v>701</v>
      </c>
      <c r="AD972" s="50" t="n">
        <f aca="false">MAX(AV972,H972)</f>
        <v>701</v>
      </c>
      <c r="AE972" s="57"/>
      <c r="AF972" s="50" t="n">
        <f aca="false">IF(LEFT(Cockpit!$C$5,1)="A",H972,IF(Parameter!$E$30="MAX-Bestand",IF(CH972=1,CI972,IF(LEFT(Cockpit!$C$5,1)="B",AL972,MAX(AL972,H972))),ROUNDUP(AJ972,0)))</f>
        <v>371</v>
      </c>
      <c r="AG972" s="50" t="n">
        <f aca="false">IF(BZ972=1,0,ROUNDUP(AF972/BY972,0))</f>
        <v>1</v>
      </c>
      <c r="AH972" s="52" t="n">
        <f aca="false">IF(CQ972&gt;0,CQ972*MAX(1,AF972/X972),IF(BZ972=1,IF(AF972&lt;=0,0,CD972*MAX(1,IF(H972&gt;0,AF972/H972,1))),IF(R972&gt;0,AG972/R972,0))/MAX(0.1,N(Parameter!$M$21)))</f>
        <v>0.0384615384615385</v>
      </c>
      <c r="AI972" s="50" t="n">
        <f aca="false">AH972*CB972</f>
        <v>5.96153846153846</v>
      </c>
      <c r="AJ972" s="51" t="n">
        <f aca="false">IF(LEFT(Cockpit!$C$5,1)="A",H972,IF(CH972=1,(CK972+CI972)/2,IF(LEFT(Cockpit!$C$5,1)="B",(CK972+AL972)/2,MAX((CK972+AL972)/2,H972))))</f>
        <v>371</v>
      </c>
      <c r="AK972" s="50" t="n">
        <f aca="false">AJ972*G972</f>
        <v>504.56</v>
      </c>
      <c r="AL972" s="50" t="n">
        <f aca="false">ROUNDUP(CK972+MAX(CL972,2*(J972/IF(CG972&gt;0,CG972,MAX(0.1,N(Cockpit!$C$6)))-CK972)),0)</f>
        <v>701</v>
      </c>
      <c r="AM972" s="51" t="n">
        <f aca="false">IF(AI972&gt;0,J972/AI972,-1)</f>
        <v>113.058064516129</v>
      </c>
      <c r="AN972" s="51" t="n">
        <f aca="false">IF(AND(OR(CF972="L1",CF972="L23",CF972="LIFT"),AI972&gt;0),SUMIFS($AI$7:$AI$1843,$CF$7:$CF$1843,CF972,$AM$7:$AM$1843,"&gt;"&amp;AM972)+SUMIFS($AI$7:$AI$1843,$CF$7:$CF$1843,CF972,$AM$7:$AM$1843,AM972,$BW$7:$BW$1843,"&lt;="&amp;BW972),"")</f>
        <v>739.744047619048</v>
      </c>
      <c r="AO972" s="58" t="n">
        <f aca="false">IF(AN972="",0,MAX(0,MIN(1,(IF(CF972="L1",Parameter!$H$5,IF(CF972="L23",Parameter!$H$6+Parameter!$H$7,Parameter!$H$5+Parameter!$H$6+Parameter!$H$7))-(AN972-AI972))/AI972)))</f>
        <v>1</v>
      </c>
      <c r="AP972" s="50" t="n">
        <f aca="false">IF(LEFT(Cockpit!$I$5,1)="A",H972,IF(Parameter!$E$30="MAX-Bestand",IF(CH972=1,CI972,IF(LEFT(Cockpit!$I$5,1)="B",AV972,MAX(AV972,H972))),ROUNDUP(AT972,0)))</f>
        <v>371</v>
      </c>
      <c r="AQ972" s="50" t="n">
        <f aca="false">IF(BZ972=1,0,ROUNDUP(AP972/BY972,0))</f>
        <v>1</v>
      </c>
      <c r="AR972" s="52" t="n">
        <f aca="false">IF(CQ972&gt;0,CQ972*MAX(1,AP972/X972),IF(BZ972=1,IF(AP972&lt;=0,0,CD972*MAX(1,IF(H972&gt;0,AP972/H972,1))),IF(R972&gt;0,AQ972/R972,0))/MAX(0.1,N(Parameter!$M$21)))</f>
        <v>0.0384615384615385</v>
      </c>
      <c r="AS972" s="50" t="n">
        <f aca="false">AR972*CB972</f>
        <v>5.96153846153846</v>
      </c>
      <c r="AT972" s="51" t="n">
        <f aca="false">IF(LEFT(Cockpit!$I$5,1)="A",H972,IF(CH972=1,(CK972+CI972)/2,IF(LEFT(Cockpit!$I$5,1)="B",(CK972+AV972)/2,MAX((CK972+AV972)/2,H972))))</f>
        <v>371</v>
      </c>
      <c r="AU972" s="50" t="n">
        <f aca="false">AT972*G972</f>
        <v>504.56</v>
      </c>
      <c r="AV972" s="50" t="n">
        <f aca="false">ROUNDUP(CK972+MAX(CL972,2*(J972/IF(CG972&gt;0,CG972,MAX(0.1,N(Cockpit!$I$6)))-CK972)),0)</f>
        <v>701</v>
      </c>
      <c r="AW972" s="51" t="n">
        <f aca="false">IF(AS972&gt;0,J972/AS972,-1)</f>
        <v>113.058064516129</v>
      </c>
      <c r="AX972" s="51" t="n">
        <f aca="false">IF(AND(OR(CF972="L1",CF972="L23",CF972="LIFT"),AS972&gt;0),SUMIFS($AS$7:$AS$1843,$CF$7:$CF$1843,CF972,$AW$7:$AW$1843,"&gt;"&amp;AW972)+SUMIFS($AS$7:$AS$1843,$CF$7:$CF$1843,CF972,$AW$7:$AW$1843,AW972,$BW$7:$BW$1843,"&lt;="&amp;BW972),"")</f>
        <v>814.467032967033</v>
      </c>
      <c r="AY972" s="58" t="n">
        <f aca="false">IF(AX972="",0,MAX(0,MIN(1,(IF(CF972="L1",Parameter!$H$5,IF(CF972="L23",Parameter!$H$6+Parameter!$H$7,Parameter!$H$5+Parameter!$H$6+Parameter!$H$7))-(AX972-AS972))/AS972)))</f>
        <v>1</v>
      </c>
      <c r="AZ972" s="50" t="n">
        <f aca="false">IF(LEFT(Cockpit!$O$5,1)="A",H972,IF(Parameter!$E$30="MAX-Bestand",IF(CH972=1,CI972,IF(LEFT(Cockpit!$O$5,1)="B",BF972,MAX(BF972,H972))),ROUNDUP(BD972,0)))</f>
        <v>364</v>
      </c>
      <c r="BA972" s="50" t="n">
        <f aca="false">IF(BZ972=1,0,ROUNDUP(AZ972/BY972,0))</f>
        <v>1</v>
      </c>
      <c r="BB972" s="52" t="n">
        <f aca="false">IF(CQ972&gt;0,CQ972*MAX(1,AZ972/X972),IF(BZ972=1,IF(AZ972&lt;=0,0,CD972*MAX(1,IF(H972&gt;0,AZ972/H972,1))),IF(R972&gt;0,BA972/R972,0))/MAX(0.1,N(Parameter!$M$21)))</f>
        <v>0.0384615384615385</v>
      </c>
      <c r="BC972" s="50" t="n">
        <f aca="false">BB972*CB972</f>
        <v>5.96153846153846</v>
      </c>
      <c r="BD972" s="51" t="n">
        <f aca="false">IF(LEFT(Cockpit!$O$5,1)="A",H972,IF(CH972=1,(CK972+CI972)/2,IF(LEFT(Cockpit!$O$5,1)="B",(CK972+BF972)/2,MAX((CK972+BF972)/2,H972))))</f>
        <v>363.5</v>
      </c>
      <c r="BE972" s="50" t="n">
        <f aca="false">BD972*G972</f>
        <v>494.36</v>
      </c>
      <c r="BF972" s="50" t="n">
        <f aca="false">ROUNDUP(CK972+MAX(CL972,2*(J972/IF(CG972&gt;0,CG972,MAX(0.1,N(Cockpit!$O$6)))-CK972)),0)</f>
        <v>701</v>
      </c>
      <c r="BG972" s="51" t="n">
        <f aca="false">IF(BC972&gt;0,J972/BC972,-1)</f>
        <v>113.058064516129</v>
      </c>
      <c r="BH972" s="51" t="n">
        <f aca="false">IF(AND(OR(CF972="L1",CF972="L23",CF972="LIFT"),BC972&gt;0),SUMIFS($BC$7:$BC$1843,$CF$7:$CF$1843,CF972,$BG$7:$BG$1843,"&gt;"&amp;BG972)+SUMIFS($BC$7:$BC$1843,$CF$7:$CF$1843,CF972,$BG$7:$BG$1843,BG972,$BW$7:$BW$1843,"&lt;="&amp;BW972),"")</f>
        <v>870.581501831502</v>
      </c>
      <c r="BI972" s="58" t="n">
        <f aca="false">IF(BH972="",0,MAX(0,MIN(1,(IF(CF972="L1",Parameter!$H$5,IF(CF972="L23",Parameter!$H$6+Parameter!$H$7,Parameter!$H$5+Parameter!$H$6+Parameter!$H$7))-(BH972-BC972))/BC972)))</f>
        <v>1</v>
      </c>
      <c r="BJ972" s="48" t="str">
        <f aca="false">IF(AI972&lt;=0,"",IF(CF972="Aussen","Aussenlager",IF(CF972="-","Nicht im Lift",IF(AO972&gt;=1,"Lift",IF(AO972&lt;=0,"Aussenlager","teilweise")))))</f>
        <v>Lift</v>
      </c>
      <c r="BK972" s="48" t="str">
        <f aca="false">IF(AS972&lt;=0,"",IF(CF972="Aussen","Aussenlager",IF(CF972="-","Nicht im Lift",IF(AY972&gt;=1,"Lift",IF(AY972&lt;=0,"Aussenlager","teilweise")))))</f>
        <v>Lift</v>
      </c>
      <c r="BL972" s="48" t="str">
        <f aca="false">IF(BC972&lt;=0,"",IF(CF972="Aussen","Aussenlager",IF(CF972="-","Nicht im Lift",IF(BI972&gt;=1,"Lift",IF(BI972&lt;=0,"Aussenlager","teilweise")))))</f>
        <v>Lift</v>
      </c>
      <c r="BM972" s="48" t="str">
        <f aca="false">IF(A972="","",IF(BV972=1,"Neu; ","")&amp;IF(AND(BV972=0,BQ972&lt;0),"negativer Bestand (Export "&amp;BQ972&amp;"); ","")&amp;IF(J972&lt;=0,"Kein Verbrauch; ","")&amp;IF(CQ972&gt;0,"Lift "&amp;W972&amp;" lt. Liftbericht (Fach "&amp;X972&amp;" Stk); ",IF(CA972=1,"Gebinde geschätzt ("&amp;T972&amp;"); ",IF(BZ972=1,"Lose – Tablare geschätzt; ","")))&amp;IF(H972&gt;AV972,"Überbestand "&amp;ROUND(H972-AV972,0)&amp;" Stk / CHF "&amp;ROUND((H972-AV972)*G972,0)&amp;"; ","")&amp;IF(AND(CH972=1,CI972&lt;CJ972),"MAX &lt; MB+LG; ","")&amp;IF(AND(CP972&gt;0,CO972*10&gt;CP972),"zu hoch für Tablar; ","")&amp;IF(AND(BV972=0,OR(CH972=1,AA972&lt;&gt;"",U972&lt;&gt;"",V972&lt;&gt;"",AB972&lt;&gt;"")),"manuell übersteuert; ","")&amp;IF(AND(BZ972=0,R972=0),"Gebinde unbekannt / Stellmass fehlt; ","")&amp;IF(AND(BZ972=0,N(V972)&lt;=0,N(Q972)&lt;=0),"Menge pro Gebinde fehlt (Ist = 1 Gebinde); ","")&amp;BU972)</f>
        <v>negativer Bestand (Export -54); </v>
      </c>
      <c r="BN972" s="48"/>
      <c r="BO972" s="48"/>
      <c r="BP972" s="55"/>
      <c r="BQ972" s="50" t="n">
        <v>-54</v>
      </c>
      <c r="BR972" s="50" t="n">
        <v>425</v>
      </c>
      <c r="BS972" s="49" t="n">
        <v>-73.4399999999998</v>
      </c>
      <c r="BT972" s="50" t="n">
        <v>674</v>
      </c>
      <c r="BU972" s="48"/>
      <c r="BV972" s="53" t="n">
        <v>0</v>
      </c>
      <c r="BW972" s="53" t="n">
        <v>972</v>
      </c>
      <c r="BX972" s="48" t="str">
        <f aca="false">IF(U972&lt;&gt;"",UPPER(TRIM(U972)),IF(CA972=1,UPPER(VLOOKUP(T972,Parameter!$I$27:$K$29,2,0)),IF(P972="","LOSE",P972)))</f>
        <v>S51</v>
      </c>
      <c r="BY972" s="50" t="n">
        <f aca="false">IF(BX972="LOSE",1,IF(N(V972)&gt;0,V972,IF(CA972=1,MAX(1,N(VLOOKUP(T972,Parameter!$I$27:$K$29,3,0)),H972,N(N972)),IF(N(Q972)&gt;0,Q972,MAX(1,H972)))))</f>
        <v>1739</v>
      </c>
      <c r="BZ972" s="53" t="n">
        <f aca="false">IF(BX972="LOSE",1,0)</f>
        <v>0</v>
      </c>
      <c r="CA972" s="53" t="n">
        <f aca="false">IF(AND(U972="",OR(P972="",P972="LOSE"),T972&lt;&gt;"",N(S972)&lt;=0,ISNUMBER(MATCH(T972,Parameter!$I$27:$I$29,0))),1,0)</f>
        <v>0</v>
      </c>
      <c r="CB972" s="53" t="n">
        <f aca="false">IF(CQ972&gt;0,INDEX(Parameter!$H$5:$H$7,W972)/INDEX(Parameter!$E$5:$E$7,W972),IF(AND(BZ972=0,N(IFERROR(VLOOKUP(BX972,'Gebinde-Kategorie'!$A$5:$N$45,14,0),0))&gt;0),VLOOKUP(BX972,'Gebinde-Kategorie'!$A$5:$N$45,14,0)*10+Parameter!$M$23,Parameter!$M$24))</f>
        <v>155</v>
      </c>
      <c r="CC972" s="48" t="str">
        <f aca="false">IF(AND(Parameter!$B$19="Ja",E972&lt;&gt;"",ISNUMBER(MATCH(E972,Parameter!$I$35:$I$52,0))),VLOOKUP(E972,Parameter!$I$35:$J$52,2,0),IFERROR(VLOOKUP(D972,Parameter!$A$35:$C$64,2,0),"Nein"))</f>
        <v>2+3</v>
      </c>
      <c r="CD972" s="52" t="n">
        <f aca="false">IF(BZ972=0,0,IF(N(S972)&gt;0,S972,IFERROR(VLOOKUP(D972,Parameter!$A$35:$C$64,3,0)+0,0)))</f>
        <v>0</v>
      </c>
      <c r="CE972" s="48" t="n">
        <f aca="false">IF(AA972&lt;&gt;"",AA972,Z972)</f>
        <v>3</v>
      </c>
      <c r="CF972" s="48" t="str">
        <f aca="false">IF(OR(CE972=1,CE972=2,CE972=3),IF(Parameter!$E$27="Ja","LIFT",IF(CE972=1,"L1","L23")),IF(CE972="Aussen","Aussen","-"))</f>
        <v>LIFT</v>
      </c>
      <c r="CG972" s="59" t="n">
        <f aca="false">IF(N(AB972)&gt;0,AB972,0)</f>
        <v>0</v>
      </c>
      <c r="CH972" s="53" t="n">
        <f aca="false">IF(ISNUMBER(AE972),1,0)</f>
        <v>0</v>
      </c>
      <c r="CI972" s="50" t="n">
        <f aca="false">N(AE972)</f>
        <v>0</v>
      </c>
      <c r="CJ972" s="50" t="n">
        <f aca="false">N(M972)+N(N972)</f>
        <v>701</v>
      </c>
      <c r="CK972" s="50" t="n">
        <f aca="false">N(M972)</f>
        <v>26</v>
      </c>
      <c r="CL972" s="50" t="n">
        <f aca="false">N(N972)</f>
        <v>675</v>
      </c>
      <c r="CM972" s="50" t="n">
        <f aca="false">ROUNDUP(H972/BY972,0)</f>
        <v>1</v>
      </c>
      <c r="CN972" s="50" t="n">
        <f aca="false">ROUNDUP(CI972/BY972,0)</f>
        <v>0</v>
      </c>
      <c r="CO972" s="53" t="n">
        <f aca="false">IF(BZ972=1,0,IFERROR(VLOOKUP(BX972,'Gebinde-Kategorie'!$A$5:$N$45,5,0)+0,0))</f>
        <v>11</v>
      </c>
      <c r="CP972" s="53" t="n">
        <f aca="false">IFERROR(IF(OR(CE972=1,CE972=2,CE972=3),N(INDEX(Parameter!$I$5:$I$7,CE972)),0),0)</f>
        <v>0</v>
      </c>
      <c r="CQ972" s="52" t="n">
        <f aca="false">IF(AND(Parameter!$B$21="Ja",ISNUMBER(W972),N(X972)&gt;0),IFERROR(N(INDEX(Parameter!$L$5:$L$7,W972))*INDEX(Parameter!$E$5:$E$7,W972)*X972/SUMIFS($X$7:$X$1843,$W$7:$W$1843,W972),0),0)</f>
        <v>0</v>
      </c>
    </row>
    <row r="973" customFormat="false" ht="15" hidden="false" customHeight="false" outlineLevel="0" collapsed="false">
      <c r="A973" s="48" t="s">
        <v>1814</v>
      </c>
      <c r="B973" s="48" t="s">
        <v>870</v>
      </c>
      <c r="C973" s="48" t="s">
        <v>173</v>
      </c>
      <c r="D973" s="48" t="s">
        <v>193</v>
      </c>
      <c r="E973" s="48" t="s">
        <v>194</v>
      </c>
      <c r="F973" s="48" t="s">
        <v>227</v>
      </c>
      <c r="G973" s="49" t="n">
        <v>9.2</v>
      </c>
      <c r="H973" s="50" t="n">
        <f aca="false">MAX(0,IF(AND(Parameter!$B$21="Ja",ISNUMBER(Y973)),Y973,IF(Parameter!$B$20="Jahresanfang 2025 + Export",BR973+BQ973,BQ973)))</f>
        <v>147</v>
      </c>
      <c r="I973" s="50" t="n">
        <f aca="false">H973*G973</f>
        <v>1352.4</v>
      </c>
      <c r="J973" s="50" t="n">
        <f aca="false">BT973*Parameter!$B$18</f>
        <v>6</v>
      </c>
      <c r="K973" s="51" t="n">
        <v>152.5</v>
      </c>
      <c r="L973" s="52" t="n">
        <v>0.039344262295082</v>
      </c>
      <c r="M973" s="50" t="n">
        <v>0</v>
      </c>
      <c r="N973" s="50" t="n">
        <v>5</v>
      </c>
      <c r="O973" s="53" t="n">
        <v>35</v>
      </c>
      <c r="P973" s="48" t="s">
        <v>337</v>
      </c>
      <c r="Q973" s="50" t="n">
        <v>157</v>
      </c>
      <c r="R973" s="53" t="n">
        <f aca="false">IF(BZ973=1,0,IFERROR(VLOOKUP(BX973,'Gebinde-Kategorie'!$A$5:$N$45,13,0)+0,0))</f>
        <v>52</v>
      </c>
      <c r="S973" s="54"/>
      <c r="T973" s="55"/>
      <c r="U973" s="55"/>
      <c r="V973" s="55"/>
      <c r="W973" s="48"/>
      <c r="X973" s="50"/>
      <c r="Y973" s="50"/>
      <c r="Z973" s="48" t="n">
        <f aca="false">IF(A973="","",IF(AND(Parameter!$B$21="Ja",ISNUMBER(W973)),W973,IF(CC973="2+3",IF(ISNUMBER(SEARCH("grosser Artikel",BU973)),2,IFERROR(VLOOKUP(BX973,Parameter!$F$35:$G$64,2,0),2)),IF(OR(CC973="Nein",CC973=""),"-",CC973))))</f>
        <v>3</v>
      </c>
      <c r="AA973" s="55"/>
      <c r="AB973" s="56"/>
      <c r="AC973" s="50" t="n">
        <f aca="false">AV973</f>
        <v>5</v>
      </c>
      <c r="AD973" s="50" t="n">
        <f aca="false">MAX(AV973,H973)</f>
        <v>147</v>
      </c>
      <c r="AE973" s="57"/>
      <c r="AF973" s="50" t="n">
        <f aca="false">IF(LEFT(Cockpit!$C$5,1)="A",H973,IF(Parameter!$E$30="MAX-Bestand",IF(CH973=1,CI973,IF(LEFT(Cockpit!$C$5,1)="B",AL973,MAX(AL973,H973))),ROUNDUP(AJ973,0)))</f>
        <v>147</v>
      </c>
      <c r="AG973" s="50" t="n">
        <f aca="false">IF(BZ973=1,0,ROUNDUP(AF973/BY973,0))</f>
        <v>1</v>
      </c>
      <c r="AH973" s="52" t="n">
        <f aca="false">IF(CQ973&gt;0,CQ973*MAX(1,AF973/X973),IF(BZ973=1,IF(AF973&lt;=0,0,CD973*MAX(1,IF(H973&gt;0,AF973/H973,1))),IF(R973&gt;0,AG973/R973,0))/MAX(0.1,N(Parameter!$M$21)))</f>
        <v>0.0192307692307692</v>
      </c>
      <c r="AI973" s="50" t="n">
        <f aca="false">AH973*CB973</f>
        <v>2.98076923076923</v>
      </c>
      <c r="AJ973" s="51" t="n">
        <f aca="false">IF(LEFT(Cockpit!$C$5,1)="A",H973,IF(CH973=1,(CK973+CI973)/2,IF(LEFT(Cockpit!$C$5,1)="B",(CK973+AL973)/2,MAX((CK973+AL973)/2,H973))))</f>
        <v>147</v>
      </c>
      <c r="AK973" s="50" t="n">
        <f aca="false">AJ973*G973</f>
        <v>1352.4</v>
      </c>
      <c r="AL973" s="50" t="n">
        <f aca="false">ROUNDUP(CK973+MAX(CL973,2*(J973/IF(CG973&gt;0,CG973,MAX(0.1,N(Cockpit!$C$6)))-CK973)),0)</f>
        <v>5</v>
      </c>
      <c r="AM973" s="51" t="n">
        <f aca="false">IF(AI973&gt;0,J973/AI973,-1)</f>
        <v>2.01290322580645</v>
      </c>
      <c r="AN973" s="51" t="n">
        <f aca="false">IF(AND(OR(CF973="L1",CF973="L23",CF973="LIFT"),AI973&gt;0),SUMIFS($AI$7:$AI$1843,$CF$7:$CF$1843,CF973,$AM$7:$AM$1843,"&gt;"&amp;AM973)+SUMIFS($AI$7:$AI$1843,$CF$7:$CF$1843,CF973,$AM$7:$AM$1843,AM973,$BW$7:$BW$1843,"&lt;="&amp;BW973),"")</f>
        <v>5793.83058608059</v>
      </c>
      <c r="AO973" s="58" t="n">
        <f aca="false">IF(AN973="",0,MAX(0,MIN(1,(IF(CF973="L1",Parameter!$H$5,IF(CF973="L23",Parameter!$H$6+Parameter!$H$7,Parameter!$H$5+Parameter!$H$6+Parameter!$H$7))-(AN973-AI973))/AI973)))</f>
        <v>1</v>
      </c>
      <c r="AP973" s="50" t="n">
        <f aca="false">IF(LEFT(Cockpit!$I$5,1)="A",H973,IF(Parameter!$E$30="MAX-Bestand",IF(CH973=1,CI973,IF(LEFT(Cockpit!$I$5,1)="B",AV973,MAX(AV973,H973))),ROUNDUP(AT973,0)))</f>
        <v>147</v>
      </c>
      <c r="AQ973" s="50" t="n">
        <f aca="false">IF(BZ973=1,0,ROUNDUP(AP973/BY973,0))</f>
        <v>1</v>
      </c>
      <c r="AR973" s="52" t="n">
        <f aca="false">IF(CQ973&gt;0,CQ973*MAX(1,AP973/X973),IF(BZ973=1,IF(AP973&lt;=0,0,CD973*MAX(1,IF(H973&gt;0,AP973/H973,1))),IF(R973&gt;0,AQ973/R973,0))/MAX(0.1,N(Parameter!$M$21)))</f>
        <v>0.0192307692307692</v>
      </c>
      <c r="AS973" s="50" t="n">
        <f aca="false">AR973*CB973</f>
        <v>2.98076923076923</v>
      </c>
      <c r="AT973" s="51" t="n">
        <f aca="false">IF(LEFT(Cockpit!$I$5,1)="A",H973,IF(CH973=1,(CK973+CI973)/2,IF(LEFT(Cockpit!$I$5,1)="B",(CK973+AV973)/2,MAX((CK973+AV973)/2,H973))))</f>
        <v>147</v>
      </c>
      <c r="AU973" s="50" t="n">
        <f aca="false">AT973*G973</f>
        <v>1352.4</v>
      </c>
      <c r="AV973" s="50" t="n">
        <f aca="false">ROUNDUP(CK973+MAX(CL973,2*(J973/IF(CG973&gt;0,CG973,MAX(0.1,N(Cockpit!$I$6)))-CK973)),0)</f>
        <v>5</v>
      </c>
      <c r="AW973" s="51" t="n">
        <f aca="false">IF(AS973&gt;0,J973/AS973,-1)</f>
        <v>2.01290322580645</v>
      </c>
      <c r="AX973" s="51" t="n">
        <f aca="false">IF(AND(OR(CF973="L1",CF973="L23",CF973="LIFT"),AS973&gt;0),SUMIFS($AS$7:$AS$1843,$CF$7:$CF$1843,CF973,$AW$7:$AW$1843,"&gt;"&amp;AW973)+SUMIFS($AS$7:$AS$1843,$CF$7:$CF$1843,CF973,$AW$7:$AW$1843,AW973,$BW$7:$BW$1843,"&lt;="&amp;BW973),"")</f>
        <v>7161.77014652015</v>
      </c>
      <c r="AY973" s="58" t="n">
        <f aca="false">IF(AX973="",0,MAX(0,MIN(1,(IF(CF973="L1",Parameter!$H$5,IF(CF973="L23",Parameter!$H$6+Parameter!$H$7,Parameter!$H$5+Parameter!$H$6+Parameter!$H$7))-(AX973-AS973))/AS973)))</f>
        <v>1</v>
      </c>
      <c r="AZ973" s="50" t="n">
        <f aca="false">IF(LEFT(Cockpit!$O$5,1)="A",H973,IF(Parameter!$E$30="MAX-Bestand",IF(CH973=1,CI973,IF(LEFT(Cockpit!$O$5,1)="B",BF973,MAX(BF973,H973))),ROUNDUP(BD973,0)))</f>
        <v>3</v>
      </c>
      <c r="BA973" s="50" t="n">
        <f aca="false">IF(BZ973=1,0,ROUNDUP(AZ973/BY973,0))</f>
        <v>1</v>
      </c>
      <c r="BB973" s="52" t="n">
        <f aca="false">IF(CQ973&gt;0,CQ973*MAX(1,AZ973/X973),IF(BZ973=1,IF(AZ973&lt;=0,0,CD973*MAX(1,IF(H973&gt;0,AZ973/H973,1))),IF(R973&gt;0,BA973/R973,0))/MAX(0.1,N(Parameter!$M$21)))</f>
        <v>0.0192307692307692</v>
      </c>
      <c r="BC973" s="50" t="n">
        <f aca="false">BB973*CB973</f>
        <v>2.98076923076923</v>
      </c>
      <c r="BD973" s="51" t="n">
        <f aca="false">IF(LEFT(Cockpit!$O$5,1)="A",H973,IF(CH973=1,(CK973+CI973)/2,IF(LEFT(Cockpit!$O$5,1)="B",(CK973+BF973)/2,MAX((CK973+BF973)/2,H973))))</f>
        <v>2.5</v>
      </c>
      <c r="BE973" s="50" t="n">
        <f aca="false">BD973*G973</f>
        <v>23</v>
      </c>
      <c r="BF973" s="50" t="n">
        <f aca="false">ROUNDUP(CK973+MAX(CL973,2*(J973/IF(CG973&gt;0,CG973,MAX(0.1,N(Cockpit!$O$6)))-CK973)),0)</f>
        <v>5</v>
      </c>
      <c r="BG973" s="51" t="n">
        <f aca="false">IF(BC973&gt;0,J973/BC973,-1)</f>
        <v>2.01290322580645</v>
      </c>
      <c r="BH973" s="51" t="n">
        <f aca="false">IF(AND(OR(CF973="L1",CF973="L23",CF973="LIFT"),BC973&gt;0),SUMIFS($BC$7:$BC$1843,$CF$7:$CF$1843,CF973,$BG$7:$BG$1843,"&gt;"&amp;BG973)+SUMIFS($BC$7:$BC$1843,$CF$7:$CF$1843,CF973,$BG$7:$BG$1843,BG973,$BW$7:$BW$1843,"&lt;="&amp;BW973),"")</f>
        <v>5875.52564102564</v>
      </c>
      <c r="BI973" s="58" t="n">
        <f aca="false">IF(BH973="",0,MAX(0,MIN(1,(IF(CF973="L1",Parameter!$H$5,IF(CF973="L23",Parameter!$H$6+Parameter!$H$7,Parameter!$H$5+Parameter!$H$6+Parameter!$H$7))-(BH973-BC973))/BC973)))</f>
        <v>1</v>
      </c>
      <c r="BJ973" s="48" t="str">
        <f aca="false">IF(AI973&lt;=0,"",IF(CF973="Aussen","Aussenlager",IF(CF973="-","Nicht im Lift",IF(AO973&gt;=1,"Lift",IF(AO973&lt;=0,"Aussenlager","teilweise")))))</f>
        <v>Lift</v>
      </c>
      <c r="BK973" s="48" t="str">
        <f aca="false">IF(AS973&lt;=0,"",IF(CF973="Aussen","Aussenlager",IF(CF973="-","Nicht im Lift",IF(AY973&gt;=1,"Lift",IF(AY973&lt;=0,"Aussenlager","teilweise")))))</f>
        <v>Lift</v>
      </c>
      <c r="BL973" s="48" t="str">
        <f aca="false">IF(BC973&lt;=0,"",IF(CF973="Aussen","Aussenlager",IF(CF973="-","Nicht im Lift",IF(BI973&gt;=1,"Lift",IF(BI973&lt;=0,"Aussenlager","teilweise")))))</f>
        <v>Lift</v>
      </c>
      <c r="BM973" s="48" t="str">
        <f aca="false">IF(A973="","",IF(BV973=1,"Neu; ","")&amp;IF(AND(BV973=0,BQ973&lt;0),"negativer Bestand (Export "&amp;BQ973&amp;"); ","")&amp;IF(J973&lt;=0,"Kein Verbrauch; ","")&amp;IF(CQ973&gt;0,"Lift "&amp;W973&amp;" lt. Liftbericht (Fach "&amp;X973&amp;" Stk); ",IF(CA973=1,"Gebinde geschätzt ("&amp;T973&amp;"); ",IF(BZ973=1,"Lose – Tablare geschätzt; ","")))&amp;IF(H973&gt;AV973,"Überbestand "&amp;ROUND(H973-AV973,0)&amp;" Stk / CHF "&amp;ROUND((H973-AV973)*G973,0)&amp;"; ","")&amp;IF(AND(CH973=1,CI973&lt;CJ973),"MAX &lt; MB+LG; ","")&amp;IF(AND(CP973&gt;0,CO973*10&gt;CP973),"zu hoch für Tablar; ","")&amp;IF(AND(BV973=0,OR(CH973=1,AA973&lt;&gt;"",U973&lt;&gt;"",V973&lt;&gt;"",AB973&lt;&gt;"")),"manuell übersteuert; ","")&amp;IF(AND(BZ973=0,R973=0),"Gebinde unbekannt / Stellmass fehlt; ","")&amp;IF(AND(BZ973=0,N(V973)&lt;=0,N(Q973)&lt;=0),"Menge pro Gebinde fehlt (Ist = 1 Gebinde); ","")&amp;BU973)</f>
        <v>negativer Bestand (Export -8); Überbestand 142 Stk / CHF 1306; Überbestand</v>
      </c>
      <c r="BN973" s="48"/>
      <c r="BO973" s="48"/>
      <c r="BP973" s="55"/>
      <c r="BQ973" s="50" t="n">
        <v>-8</v>
      </c>
      <c r="BR973" s="50" t="n">
        <v>155</v>
      </c>
      <c r="BS973" s="49" t="n">
        <v>-73.6</v>
      </c>
      <c r="BT973" s="50" t="n">
        <v>6</v>
      </c>
      <c r="BU973" s="48" t="s">
        <v>401</v>
      </c>
      <c r="BV973" s="53" t="n">
        <v>0</v>
      </c>
      <c r="BW973" s="53" t="n">
        <v>973</v>
      </c>
      <c r="BX973" s="48" t="str">
        <f aca="false">IF(U973&lt;&gt;"",UPPER(TRIM(U973)),IF(CA973=1,UPPER(VLOOKUP(T973,Parameter!$I$27:$K$29,2,0)),IF(P973="","LOSE",P973)))</f>
        <v>S41</v>
      </c>
      <c r="BY973" s="50" t="n">
        <f aca="false">IF(BX973="LOSE",1,IF(N(V973)&gt;0,V973,IF(CA973=1,MAX(1,N(VLOOKUP(T973,Parameter!$I$27:$K$29,3,0)),H973,N(N973)),IF(N(Q973)&gt;0,Q973,MAX(1,H973)))))</f>
        <v>157</v>
      </c>
      <c r="BZ973" s="53" t="n">
        <f aca="false">IF(BX973="LOSE",1,0)</f>
        <v>0</v>
      </c>
      <c r="CA973" s="53" t="n">
        <f aca="false">IF(AND(U973="",OR(P973="",P973="LOSE"),T973&lt;&gt;"",N(S973)&lt;=0,ISNUMBER(MATCH(T973,Parameter!$I$27:$I$29,0))),1,0)</f>
        <v>0</v>
      </c>
      <c r="CB973" s="53" t="n">
        <f aca="false">IF(CQ973&gt;0,INDEX(Parameter!$H$5:$H$7,W973)/INDEX(Parameter!$E$5:$E$7,W973),IF(AND(BZ973=0,N(IFERROR(VLOOKUP(BX973,'Gebinde-Kategorie'!$A$5:$N$45,14,0),0))&gt;0),VLOOKUP(BX973,'Gebinde-Kategorie'!$A$5:$N$45,14,0)*10+Parameter!$M$23,Parameter!$M$24))</f>
        <v>155</v>
      </c>
      <c r="CC973" s="48" t="str">
        <f aca="false">IF(AND(Parameter!$B$19="Ja",E973&lt;&gt;"",ISNUMBER(MATCH(E973,Parameter!$I$35:$I$52,0))),VLOOKUP(E973,Parameter!$I$35:$J$52,2,0),IFERROR(VLOOKUP(D973,Parameter!$A$35:$C$64,2,0),"Nein"))</f>
        <v>2+3</v>
      </c>
      <c r="CD973" s="52" t="n">
        <f aca="false">IF(BZ973=0,0,IF(N(S973)&gt;0,S973,IFERROR(VLOOKUP(D973,Parameter!$A$35:$C$64,3,0)+0,0)))</f>
        <v>0</v>
      </c>
      <c r="CE973" s="48" t="n">
        <f aca="false">IF(AA973&lt;&gt;"",AA973,Z973)</f>
        <v>3</v>
      </c>
      <c r="CF973" s="48" t="str">
        <f aca="false">IF(OR(CE973=1,CE973=2,CE973=3),IF(Parameter!$E$27="Ja","LIFT",IF(CE973=1,"L1","L23")),IF(CE973="Aussen","Aussen","-"))</f>
        <v>LIFT</v>
      </c>
      <c r="CG973" s="59" t="n">
        <f aca="false">IF(N(AB973)&gt;0,AB973,0)</f>
        <v>0</v>
      </c>
      <c r="CH973" s="53" t="n">
        <f aca="false">IF(ISNUMBER(AE973),1,0)</f>
        <v>0</v>
      </c>
      <c r="CI973" s="50" t="n">
        <f aca="false">N(AE973)</f>
        <v>0</v>
      </c>
      <c r="CJ973" s="50" t="n">
        <f aca="false">N(M973)+N(N973)</f>
        <v>5</v>
      </c>
      <c r="CK973" s="50" t="n">
        <f aca="false">N(M973)</f>
        <v>0</v>
      </c>
      <c r="CL973" s="50" t="n">
        <f aca="false">N(N973)</f>
        <v>5</v>
      </c>
      <c r="CM973" s="50" t="n">
        <f aca="false">ROUNDUP(H973/BY973,0)</f>
        <v>1</v>
      </c>
      <c r="CN973" s="50" t="n">
        <f aca="false">ROUNDUP(CI973/BY973,0)</f>
        <v>0</v>
      </c>
      <c r="CO973" s="53" t="n">
        <f aca="false">IF(BZ973=1,0,IFERROR(VLOOKUP(BX973,'Gebinde-Kategorie'!$A$5:$N$45,5,0)+0,0))</f>
        <v>11</v>
      </c>
      <c r="CP973" s="53" t="n">
        <f aca="false">IFERROR(IF(OR(CE973=1,CE973=2,CE973=3),N(INDEX(Parameter!$I$5:$I$7,CE973)),0),0)</f>
        <v>0</v>
      </c>
      <c r="CQ973" s="52" t="n">
        <f aca="false">IF(AND(Parameter!$B$21="Ja",ISNUMBER(W973),N(X973)&gt;0),IFERROR(N(INDEX(Parameter!$L$5:$L$7,W973))*INDEX(Parameter!$E$5:$E$7,W973)*X973/SUMIFS($X$7:$X$1843,$W$7:$W$1843,W973),0),0)</f>
        <v>0</v>
      </c>
    </row>
    <row r="974" customFormat="false" ht="15" hidden="false" customHeight="false" outlineLevel="0" collapsed="false">
      <c r="A974" s="48" t="s">
        <v>1815</v>
      </c>
      <c r="B974" s="48" t="s">
        <v>1816</v>
      </c>
      <c r="C974" s="48" t="s">
        <v>173</v>
      </c>
      <c r="D974" s="48" t="s">
        <v>193</v>
      </c>
      <c r="E974" s="48" t="s">
        <v>194</v>
      </c>
      <c r="F974" s="48" t="s">
        <v>227</v>
      </c>
      <c r="G974" s="49" t="n">
        <v>68.15</v>
      </c>
      <c r="H974" s="50" t="n">
        <f aca="false">MAX(0,IF(AND(Parameter!$B$21="Ja",ISNUMBER(Y974)),Y974,IF(Parameter!$B$20="Jahresanfang 2025 + Export",BR974+BQ974,BQ974)))</f>
        <v>4</v>
      </c>
      <c r="I974" s="50" t="n">
        <f aca="false">H974*G974</f>
        <v>272.6</v>
      </c>
      <c r="J974" s="50" t="n">
        <f aca="false">BT974*Parameter!$B$18</f>
        <v>5</v>
      </c>
      <c r="K974" s="51" t="n">
        <v>4.5</v>
      </c>
      <c r="L974" s="52" t="n">
        <v>1.11111111111111</v>
      </c>
      <c r="M974" s="50" t="n">
        <v>0</v>
      </c>
      <c r="N974" s="50" t="n">
        <v>5</v>
      </c>
      <c r="O974" s="53" t="n">
        <v>21</v>
      </c>
      <c r="P974" s="48" t="s">
        <v>485</v>
      </c>
      <c r="Q974" s="50" t="n">
        <v>11</v>
      </c>
      <c r="R974" s="53" t="n">
        <f aca="false">IF(BZ974=1,0,IFERROR(VLOOKUP(BX974,'Gebinde-Kategorie'!$A$5:$N$45,13,0)+0,0))</f>
        <v>52</v>
      </c>
      <c r="S974" s="54"/>
      <c r="T974" s="55"/>
      <c r="U974" s="55"/>
      <c r="V974" s="55"/>
      <c r="W974" s="48"/>
      <c r="X974" s="50"/>
      <c r="Y974" s="50"/>
      <c r="Z974" s="48" t="n">
        <f aca="false">IF(A974="","",IF(AND(Parameter!$B$21="Ja",ISNUMBER(W974)),W974,IF(CC974="2+3",IF(ISNUMBER(SEARCH("grosser Artikel",BU974)),2,IFERROR(VLOOKUP(BX974,Parameter!$F$35:$G$64,2,0),2)),IF(OR(CC974="Nein",CC974=""),"-",CC974))))</f>
        <v>3</v>
      </c>
      <c r="AA974" s="55"/>
      <c r="AB974" s="56"/>
      <c r="AC974" s="50" t="n">
        <f aca="false">AV974</f>
        <v>5</v>
      </c>
      <c r="AD974" s="50" t="n">
        <f aca="false">MAX(AV974,H974)</f>
        <v>5</v>
      </c>
      <c r="AE974" s="57"/>
      <c r="AF974" s="50" t="n">
        <f aca="false">IF(LEFT(Cockpit!$C$5,1)="A",H974,IF(Parameter!$E$30="MAX-Bestand",IF(CH974=1,CI974,IF(LEFT(Cockpit!$C$5,1)="B",AL974,MAX(AL974,H974))),ROUNDUP(AJ974,0)))</f>
        <v>4</v>
      </c>
      <c r="AG974" s="50" t="n">
        <f aca="false">IF(BZ974=1,0,ROUNDUP(AF974/BY974,0))</f>
        <v>1</v>
      </c>
      <c r="AH974" s="52" t="n">
        <f aca="false">IF(CQ974&gt;0,CQ974*MAX(1,AF974/X974),IF(BZ974=1,IF(AF974&lt;=0,0,CD974*MAX(1,IF(H974&gt;0,AF974/H974,1))),IF(R974&gt;0,AG974/R974,0))/MAX(0.1,N(Parameter!$M$21)))</f>
        <v>0.0192307692307692</v>
      </c>
      <c r="AI974" s="50" t="n">
        <f aca="false">AH974*CB974</f>
        <v>2.98076923076923</v>
      </c>
      <c r="AJ974" s="51" t="n">
        <f aca="false">IF(LEFT(Cockpit!$C$5,1)="A",H974,IF(CH974=1,(CK974+CI974)/2,IF(LEFT(Cockpit!$C$5,1)="B",(CK974+AL974)/2,MAX((CK974+AL974)/2,H974))))</f>
        <v>4</v>
      </c>
      <c r="AK974" s="50" t="n">
        <f aca="false">AJ974*G974</f>
        <v>272.6</v>
      </c>
      <c r="AL974" s="50" t="n">
        <f aca="false">ROUNDUP(CK974+MAX(CL974,2*(J974/IF(CG974&gt;0,CG974,MAX(0.1,N(Cockpit!$C$6)))-CK974)),0)</f>
        <v>5</v>
      </c>
      <c r="AM974" s="51" t="n">
        <f aca="false">IF(AI974&gt;0,J974/AI974,-1)</f>
        <v>1.67741935483871</v>
      </c>
      <c r="AN974" s="51" t="n">
        <f aca="false">IF(AND(OR(CF974="L1",CF974="L23",CF974="LIFT"),AI974&gt;0),SUMIFS($AI$7:$AI$1843,$CF$7:$CF$1843,CF974,$AM$7:$AM$1843,"&gt;"&amp;AM974)+SUMIFS($AI$7:$AI$1843,$CF$7:$CF$1843,CF974,$AM$7:$AM$1843,AM974,$BW$7:$BW$1843,"&lt;="&amp;BW974),"")</f>
        <v>6057.81456043956</v>
      </c>
      <c r="AO974" s="58" t="n">
        <f aca="false">IF(AN974="",0,MAX(0,MIN(1,(IF(CF974="L1",Parameter!$H$5,IF(CF974="L23",Parameter!$H$6+Parameter!$H$7,Parameter!$H$5+Parameter!$H$6+Parameter!$H$7))-(AN974-AI974))/AI974)))</f>
        <v>1</v>
      </c>
      <c r="AP974" s="50" t="n">
        <f aca="false">IF(LEFT(Cockpit!$I$5,1)="A",H974,IF(Parameter!$E$30="MAX-Bestand",IF(CH974=1,CI974,IF(LEFT(Cockpit!$I$5,1)="B",AV974,MAX(AV974,H974))),ROUNDUP(AT974,0)))</f>
        <v>4</v>
      </c>
      <c r="AQ974" s="50" t="n">
        <f aca="false">IF(BZ974=1,0,ROUNDUP(AP974/BY974,0))</f>
        <v>1</v>
      </c>
      <c r="AR974" s="52" t="n">
        <f aca="false">IF(CQ974&gt;0,CQ974*MAX(1,AP974/X974),IF(BZ974=1,IF(AP974&lt;=0,0,CD974*MAX(1,IF(H974&gt;0,AP974/H974,1))),IF(R974&gt;0,AQ974/R974,0))/MAX(0.1,N(Parameter!$M$21)))</f>
        <v>0.0192307692307692</v>
      </c>
      <c r="AS974" s="50" t="n">
        <f aca="false">AR974*CB974</f>
        <v>2.98076923076923</v>
      </c>
      <c r="AT974" s="51" t="n">
        <f aca="false">IF(LEFT(Cockpit!$I$5,1)="A",H974,IF(CH974=1,(CK974+CI974)/2,IF(LEFT(Cockpit!$I$5,1)="B",(CK974+AV974)/2,MAX((CK974+AV974)/2,H974))))</f>
        <v>4</v>
      </c>
      <c r="AU974" s="50" t="n">
        <f aca="false">AT974*G974</f>
        <v>272.6</v>
      </c>
      <c r="AV974" s="50" t="n">
        <f aca="false">ROUNDUP(CK974+MAX(CL974,2*(J974/IF(CG974&gt;0,CG974,MAX(0.1,N(Cockpit!$I$6)))-CK974)),0)</f>
        <v>5</v>
      </c>
      <c r="AW974" s="51" t="n">
        <f aca="false">IF(AS974&gt;0,J974/AS974,-1)</f>
        <v>1.67741935483871</v>
      </c>
      <c r="AX974" s="51" t="n">
        <f aca="false">IF(AND(OR(CF974="L1",CF974="L23",CF974="LIFT"),AS974&gt;0),SUMIFS($AS$7:$AS$1843,$CF$7:$CF$1843,CF974,$AW$7:$AW$1843,"&gt;"&amp;AW974)+SUMIFS($AS$7:$AS$1843,$CF$7:$CF$1843,CF974,$AW$7:$AW$1843,AW974,$BW$7:$BW$1843,"&lt;="&amp;BW974),"")</f>
        <v>7485.78021978022</v>
      </c>
      <c r="AY974" s="58" t="n">
        <f aca="false">IF(AX974="",0,MAX(0,MIN(1,(IF(CF974="L1",Parameter!$H$5,IF(CF974="L23",Parameter!$H$6+Parameter!$H$7,Parameter!$H$5+Parameter!$H$6+Parameter!$H$7))-(AX974-AS974))/AS974)))</f>
        <v>1</v>
      </c>
      <c r="AZ974" s="50" t="n">
        <f aca="false">IF(LEFT(Cockpit!$O$5,1)="A",H974,IF(Parameter!$E$30="MAX-Bestand",IF(CH974=1,CI974,IF(LEFT(Cockpit!$O$5,1)="B",BF974,MAX(BF974,H974))),ROUNDUP(BD974,0)))</f>
        <v>3</v>
      </c>
      <c r="BA974" s="50" t="n">
        <f aca="false">IF(BZ974=1,0,ROUNDUP(AZ974/BY974,0))</f>
        <v>1</v>
      </c>
      <c r="BB974" s="52" t="n">
        <f aca="false">IF(CQ974&gt;0,CQ974*MAX(1,AZ974/X974),IF(BZ974=1,IF(AZ974&lt;=0,0,CD974*MAX(1,IF(H974&gt;0,AZ974/H974,1))),IF(R974&gt;0,BA974/R974,0))/MAX(0.1,N(Parameter!$M$21)))</f>
        <v>0.0192307692307692</v>
      </c>
      <c r="BC974" s="50" t="n">
        <f aca="false">BB974*CB974</f>
        <v>2.98076923076923</v>
      </c>
      <c r="BD974" s="51" t="n">
        <f aca="false">IF(LEFT(Cockpit!$O$5,1)="A",H974,IF(CH974=1,(CK974+CI974)/2,IF(LEFT(Cockpit!$O$5,1)="B",(CK974+BF974)/2,MAX((CK974+BF974)/2,H974))))</f>
        <v>2.5</v>
      </c>
      <c r="BE974" s="50" t="n">
        <f aca="false">BD974*G974</f>
        <v>170.375</v>
      </c>
      <c r="BF974" s="50" t="n">
        <f aca="false">ROUNDUP(CK974+MAX(CL974,2*(J974/IF(CG974&gt;0,CG974,MAX(0.1,N(Cockpit!$O$6)))-CK974)),0)</f>
        <v>5</v>
      </c>
      <c r="BG974" s="51" t="n">
        <f aca="false">IF(BC974&gt;0,J974/BC974,-1)</f>
        <v>1.67741935483871</v>
      </c>
      <c r="BH974" s="51" t="n">
        <f aca="false">IF(AND(OR(CF974="L1",CF974="L23",CF974="LIFT"),BC974&gt;0),SUMIFS($BC$7:$BC$1843,$CF$7:$CF$1843,CF974,$BG$7:$BG$1843,"&gt;"&amp;BG974)+SUMIFS($BC$7:$BC$1843,$CF$7:$CF$1843,CF974,$BG$7:$BG$1843,BG974,$BW$7:$BW$1843,"&lt;="&amp;BW974),"")</f>
        <v>6300.62408424908</v>
      </c>
      <c r="BI974" s="58" t="n">
        <f aca="false">IF(BH974="",0,MAX(0,MIN(1,(IF(CF974="L1",Parameter!$H$5,IF(CF974="L23",Parameter!$H$6+Parameter!$H$7,Parameter!$H$5+Parameter!$H$6+Parameter!$H$7))-(BH974-BC974))/BC974)))</f>
        <v>1</v>
      </c>
      <c r="BJ974" s="48" t="str">
        <f aca="false">IF(AI974&lt;=0,"",IF(CF974="Aussen","Aussenlager",IF(CF974="-","Nicht im Lift",IF(AO974&gt;=1,"Lift",IF(AO974&lt;=0,"Aussenlager","teilweise")))))</f>
        <v>Lift</v>
      </c>
      <c r="BK974" s="48" t="str">
        <f aca="false">IF(AS974&lt;=0,"",IF(CF974="Aussen","Aussenlager",IF(CF974="-","Nicht im Lift",IF(AY974&gt;=1,"Lift",IF(AY974&lt;=0,"Aussenlager","teilweise")))))</f>
        <v>Lift</v>
      </c>
      <c r="BL974" s="48" t="str">
        <f aca="false">IF(BC974&lt;=0,"",IF(CF974="Aussen","Aussenlager",IF(CF974="-","Nicht im Lift",IF(BI974&gt;=1,"Lift",IF(BI974&lt;=0,"Aussenlager","teilweise")))))</f>
        <v>Lift</v>
      </c>
      <c r="BM974" s="48" t="str">
        <f aca="false">IF(A974="","",IF(BV974=1,"Neu; ","")&amp;IF(AND(BV974=0,BQ974&lt;0),"negativer Bestand (Export "&amp;BQ974&amp;"); ","")&amp;IF(J974&lt;=0,"Kein Verbrauch; ","")&amp;IF(CQ974&gt;0,"Lift "&amp;W974&amp;" lt. Liftbericht (Fach "&amp;X974&amp;" Stk); ",IF(CA974=1,"Gebinde geschätzt ("&amp;T974&amp;"); ",IF(BZ974=1,"Lose – Tablare geschätzt; ","")))&amp;IF(H974&gt;AV974,"Überbestand "&amp;ROUND(H974-AV974,0)&amp;" Stk / CHF "&amp;ROUND((H974-AV974)*G974,0)&amp;"; ","")&amp;IF(AND(CH974=1,CI974&lt;CJ974),"MAX &lt; MB+LG; ","")&amp;IF(AND(CP974&gt;0,CO974*10&gt;CP974),"zu hoch für Tablar; ","")&amp;IF(AND(BV974=0,OR(CH974=1,AA974&lt;&gt;"",U974&lt;&gt;"",V974&lt;&gt;"",AB974&lt;&gt;"")),"manuell übersteuert; ","")&amp;IF(AND(BZ974=0,R974=0),"Gebinde unbekannt / Stellmass fehlt; ","")&amp;IF(AND(BZ974=0,N(V974)&lt;=0,N(Q974)&lt;=0),"Menge pro Gebinde fehlt (Ist = 1 Gebinde); ","")&amp;BU974)</f>
        <v>negativer Bestand (Export -2); </v>
      </c>
      <c r="BN974" s="48"/>
      <c r="BO974" s="48"/>
      <c r="BP974" s="55"/>
      <c r="BQ974" s="50" t="n">
        <v>-2</v>
      </c>
      <c r="BR974" s="50" t="n">
        <v>6</v>
      </c>
      <c r="BS974" s="49" t="n">
        <v>-73.66</v>
      </c>
      <c r="BT974" s="50" t="n">
        <v>5</v>
      </c>
      <c r="BU974" s="48"/>
      <c r="BV974" s="53" t="n">
        <v>0</v>
      </c>
      <c r="BW974" s="53" t="n">
        <v>974</v>
      </c>
      <c r="BX974" s="48" t="str">
        <f aca="false">IF(U974&lt;&gt;"",UPPER(TRIM(U974)),IF(CA974=1,UPPER(VLOOKUP(T974,Parameter!$I$27:$K$29,2,0)),IF(P974="","LOSE",P974)))</f>
        <v>S33</v>
      </c>
      <c r="BY974" s="50" t="n">
        <f aca="false">IF(BX974="LOSE",1,IF(N(V974)&gt;0,V974,IF(CA974=1,MAX(1,N(VLOOKUP(T974,Parameter!$I$27:$K$29,3,0)),H974,N(N974)),IF(N(Q974)&gt;0,Q974,MAX(1,H974)))))</f>
        <v>11</v>
      </c>
      <c r="BZ974" s="53" t="n">
        <f aca="false">IF(BX974="LOSE",1,0)</f>
        <v>0</v>
      </c>
      <c r="CA974" s="53" t="n">
        <f aca="false">IF(AND(U974="",OR(P974="",P974="LOSE"),T974&lt;&gt;"",N(S974)&lt;=0,ISNUMBER(MATCH(T974,Parameter!$I$27:$I$29,0))),1,0)</f>
        <v>0</v>
      </c>
      <c r="CB974" s="53" t="n">
        <f aca="false">IF(CQ974&gt;0,INDEX(Parameter!$H$5:$H$7,W974)/INDEX(Parameter!$E$5:$E$7,W974),IF(AND(BZ974=0,N(IFERROR(VLOOKUP(BX974,'Gebinde-Kategorie'!$A$5:$N$45,14,0),0))&gt;0),VLOOKUP(BX974,'Gebinde-Kategorie'!$A$5:$N$45,14,0)*10+Parameter!$M$23,Parameter!$M$24))</f>
        <v>155</v>
      </c>
      <c r="CC974" s="48" t="str">
        <f aca="false">IF(AND(Parameter!$B$19="Ja",E974&lt;&gt;"",ISNUMBER(MATCH(E974,Parameter!$I$35:$I$52,0))),VLOOKUP(E974,Parameter!$I$35:$J$52,2,0),IFERROR(VLOOKUP(D974,Parameter!$A$35:$C$64,2,0),"Nein"))</f>
        <v>2+3</v>
      </c>
      <c r="CD974" s="52" t="n">
        <f aca="false">IF(BZ974=0,0,IF(N(S974)&gt;0,S974,IFERROR(VLOOKUP(D974,Parameter!$A$35:$C$64,3,0)+0,0)))</f>
        <v>0</v>
      </c>
      <c r="CE974" s="48" t="n">
        <f aca="false">IF(AA974&lt;&gt;"",AA974,Z974)</f>
        <v>3</v>
      </c>
      <c r="CF974" s="48" t="str">
        <f aca="false">IF(OR(CE974=1,CE974=2,CE974=3),IF(Parameter!$E$27="Ja","LIFT",IF(CE974=1,"L1","L23")),IF(CE974="Aussen","Aussen","-"))</f>
        <v>LIFT</v>
      </c>
      <c r="CG974" s="59" t="n">
        <f aca="false">IF(N(AB974)&gt;0,AB974,0)</f>
        <v>0</v>
      </c>
      <c r="CH974" s="53" t="n">
        <f aca="false">IF(ISNUMBER(AE974),1,0)</f>
        <v>0</v>
      </c>
      <c r="CI974" s="50" t="n">
        <f aca="false">N(AE974)</f>
        <v>0</v>
      </c>
      <c r="CJ974" s="50" t="n">
        <f aca="false">N(M974)+N(N974)</f>
        <v>5</v>
      </c>
      <c r="CK974" s="50" t="n">
        <f aca="false">N(M974)</f>
        <v>0</v>
      </c>
      <c r="CL974" s="50" t="n">
        <f aca="false">N(N974)</f>
        <v>5</v>
      </c>
      <c r="CM974" s="50" t="n">
        <f aca="false">ROUNDUP(H974/BY974,0)</f>
        <v>1</v>
      </c>
      <c r="CN974" s="50" t="n">
        <f aca="false">ROUNDUP(CI974/BY974,0)</f>
        <v>0</v>
      </c>
      <c r="CO974" s="53" t="n">
        <f aca="false">IF(BZ974=1,0,IFERROR(VLOOKUP(BX974,'Gebinde-Kategorie'!$A$5:$N$45,5,0)+0,0))</f>
        <v>8</v>
      </c>
      <c r="CP974" s="53" t="n">
        <f aca="false">IFERROR(IF(OR(CE974=1,CE974=2,CE974=3),N(INDEX(Parameter!$I$5:$I$7,CE974)),0),0)</f>
        <v>0</v>
      </c>
      <c r="CQ974" s="52" t="n">
        <f aca="false">IF(AND(Parameter!$B$21="Ja",ISNUMBER(W974),N(X974)&gt;0),IFERROR(N(INDEX(Parameter!$L$5:$L$7,W974))*INDEX(Parameter!$E$5:$E$7,W974)*X974/SUMIFS($X$7:$X$1843,$W$7:$W$1843,W974),0),0)</f>
        <v>0</v>
      </c>
    </row>
    <row r="975" customFormat="false" ht="15" hidden="false" customHeight="false" outlineLevel="0" collapsed="false">
      <c r="A975" s="48" t="s">
        <v>1817</v>
      </c>
      <c r="B975" s="48" t="s">
        <v>821</v>
      </c>
      <c r="C975" s="48" t="s">
        <v>173</v>
      </c>
      <c r="D975" s="48" t="s">
        <v>193</v>
      </c>
      <c r="E975" s="48" t="s">
        <v>194</v>
      </c>
      <c r="F975" s="48" t="s">
        <v>227</v>
      </c>
      <c r="G975" s="49" t="n">
        <v>0.16</v>
      </c>
      <c r="H975" s="50" t="n">
        <f aca="false">MAX(0,IF(AND(Parameter!$B$21="Ja",ISNUMBER(Y975)),Y975,IF(Parameter!$B$20="Jahresanfang 2025 + Export",BR975+BQ975,BQ975)))</f>
        <v>242</v>
      </c>
      <c r="I975" s="50" t="n">
        <f aca="false">H975*G975</f>
        <v>38.72</v>
      </c>
      <c r="J975" s="50" t="n">
        <f aca="false">BT975*Parameter!$B$18</f>
        <v>196</v>
      </c>
      <c r="K975" s="51" t="n">
        <v>565.5</v>
      </c>
      <c r="L975" s="52" t="n">
        <v>0.346595932802829</v>
      </c>
      <c r="M975" s="50" t="n">
        <v>11</v>
      </c>
      <c r="N975" s="50" t="n">
        <v>195</v>
      </c>
      <c r="O975" s="53" t="n">
        <v>21</v>
      </c>
      <c r="P975" s="48" t="s">
        <v>242</v>
      </c>
      <c r="Q975" s="50" t="n">
        <v>609</v>
      </c>
      <c r="R975" s="53" t="n">
        <f aca="false">IF(BZ975=1,0,IFERROR(VLOOKUP(BX975,'Gebinde-Kategorie'!$A$5:$N$45,13,0)+0,0))</f>
        <v>26</v>
      </c>
      <c r="S975" s="54"/>
      <c r="T975" s="55"/>
      <c r="U975" s="55"/>
      <c r="V975" s="55"/>
      <c r="W975" s="48"/>
      <c r="X975" s="50"/>
      <c r="Y975" s="50"/>
      <c r="Z975" s="48" t="n">
        <f aca="false">IF(A975="","",IF(AND(Parameter!$B$21="Ja",ISNUMBER(W975)),W975,IF(CC975="2+3",IF(ISNUMBER(SEARCH("grosser Artikel",BU975)),2,IFERROR(VLOOKUP(BX975,Parameter!$F$35:$G$64,2,0),2)),IF(OR(CC975="Nein",CC975=""),"-",CC975))))</f>
        <v>3</v>
      </c>
      <c r="AA975" s="55"/>
      <c r="AB975" s="56"/>
      <c r="AC975" s="50" t="n">
        <f aca="false">AV975</f>
        <v>206</v>
      </c>
      <c r="AD975" s="50" t="n">
        <f aca="false">MAX(AV975,H975)</f>
        <v>242</v>
      </c>
      <c r="AE975" s="57"/>
      <c r="AF975" s="50" t="n">
        <f aca="false">IF(LEFT(Cockpit!$C$5,1)="A",H975,IF(Parameter!$E$30="MAX-Bestand",IF(CH975=1,CI975,IF(LEFT(Cockpit!$C$5,1)="B",AL975,MAX(AL975,H975))),ROUNDUP(AJ975,0)))</f>
        <v>242</v>
      </c>
      <c r="AG975" s="50" t="n">
        <f aca="false">IF(BZ975=1,0,ROUNDUP(AF975/BY975,0))</f>
        <v>1</v>
      </c>
      <c r="AH975" s="52" t="n">
        <f aca="false">IF(CQ975&gt;0,CQ975*MAX(1,AF975/X975),IF(BZ975=1,IF(AF975&lt;=0,0,CD975*MAX(1,IF(H975&gt;0,AF975/H975,1))),IF(R975&gt;0,AG975/R975,0))/MAX(0.1,N(Parameter!$M$21)))</f>
        <v>0.0384615384615385</v>
      </c>
      <c r="AI975" s="50" t="n">
        <f aca="false">AH975*CB975</f>
        <v>9.42307692307692</v>
      </c>
      <c r="AJ975" s="51" t="n">
        <f aca="false">IF(LEFT(Cockpit!$C$5,1)="A",H975,IF(CH975=1,(CK975+CI975)/2,IF(LEFT(Cockpit!$C$5,1)="B",(CK975+AL975)/2,MAX((CK975+AL975)/2,H975))))</f>
        <v>242</v>
      </c>
      <c r="AK975" s="50" t="n">
        <f aca="false">AJ975*G975</f>
        <v>38.72</v>
      </c>
      <c r="AL975" s="50" t="n">
        <f aca="false">ROUNDUP(CK975+MAX(CL975,2*(J975/IF(CG975&gt;0,CG975,MAX(0.1,N(Cockpit!$C$6)))-CK975)),0)</f>
        <v>206</v>
      </c>
      <c r="AM975" s="51" t="n">
        <f aca="false">IF(AI975&gt;0,J975/AI975,-1)</f>
        <v>20.8</v>
      </c>
      <c r="AN975" s="51" t="n">
        <f aca="false">IF(AND(OR(CF975="L1",CF975="L23",CF975="LIFT"),AI975&gt;0),SUMIFS($AI$7:$AI$1843,$CF$7:$CF$1843,CF975,$AM$7:$AM$1843,"&gt;"&amp;AM975)+SUMIFS($AI$7:$AI$1843,$CF$7:$CF$1843,CF975,$AM$7:$AM$1843,AM975,$BW$7:$BW$1843,"&lt;="&amp;BW975),"")</f>
        <v>1652.64468864469</v>
      </c>
      <c r="AO975" s="58" t="n">
        <f aca="false">IF(AN975="",0,MAX(0,MIN(1,(IF(CF975="L1",Parameter!$H$5,IF(CF975="L23",Parameter!$H$6+Parameter!$H$7,Parameter!$H$5+Parameter!$H$6+Parameter!$H$7))-(AN975-AI975))/AI975)))</f>
        <v>1</v>
      </c>
      <c r="AP975" s="50" t="n">
        <f aca="false">IF(LEFT(Cockpit!$I$5,1)="A",H975,IF(Parameter!$E$30="MAX-Bestand",IF(CH975=1,CI975,IF(LEFT(Cockpit!$I$5,1)="B",AV975,MAX(AV975,H975))),ROUNDUP(AT975,0)))</f>
        <v>242</v>
      </c>
      <c r="AQ975" s="50" t="n">
        <f aca="false">IF(BZ975=1,0,ROUNDUP(AP975/BY975,0))</f>
        <v>1</v>
      </c>
      <c r="AR975" s="52" t="n">
        <f aca="false">IF(CQ975&gt;0,CQ975*MAX(1,AP975/X975),IF(BZ975=1,IF(AP975&lt;=0,0,CD975*MAX(1,IF(H975&gt;0,AP975/H975,1))),IF(R975&gt;0,AQ975/R975,0))/MAX(0.1,N(Parameter!$M$21)))</f>
        <v>0.0384615384615385</v>
      </c>
      <c r="AS975" s="50" t="n">
        <f aca="false">AR975*CB975</f>
        <v>9.42307692307692</v>
      </c>
      <c r="AT975" s="51" t="n">
        <f aca="false">IF(LEFT(Cockpit!$I$5,1)="A",H975,IF(CH975=1,(CK975+CI975)/2,IF(LEFT(Cockpit!$I$5,1)="B",(CK975+AV975)/2,MAX((CK975+AV975)/2,H975))))</f>
        <v>242</v>
      </c>
      <c r="AU975" s="50" t="n">
        <f aca="false">AT975*G975</f>
        <v>38.72</v>
      </c>
      <c r="AV975" s="50" t="n">
        <f aca="false">ROUNDUP(CK975+MAX(CL975,2*(J975/IF(CG975&gt;0,CG975,MAX(0.1,N(Cockpit!$I$6)))-CK975)),0)</f>
        <v>206</v>
      </c>
      <c r="AW975" s="51" t="n">
        <f aca="false">IF(AS975&gt;0,J975/AS975,-1)</f>
        <v>20.8</v>
      </c>
      <c r="AX975" s="51" t="n">
        <f aca="false">IF(AND(OR(CF975="L1",CF975="L23",CF975="LIFT"),AS975&gt;0),SUMIFS($AS$7:$AS$1843,$CF$7:$CF$1843,CF975,$AW$7:$AW$1843,"&gt;"&amp;AW975)+SUMIFS($AS$7:$AS$1843,$CF$7:$CF$1843,CF975,$AW$7:$AW$1843,AW975,$BW$7:$BW$1843,"&lt;="&amp;BW975),"")</f>
        <v>2289.76556776557</v>
      </c>
      <c r="AY975" s="58" t="n">
        <f aca="false">IF(AX975="",0,MAX(0,MIN(1,(IF(CF975="L1",Parameter!$H$5,IF(CF975="L23",Parameter!$H$6+Parameter!$H$7,Parameter!$H$5+Parameter!$H$6+Parameter!$H$7))-(AX975-AS975))/AS975)))</f>
        <v>1</v>
      </c>
      <c r="AZ975" s="50" t="n">
        <f aca="false">IF(LEFT(Cockpit!$O$5,1)="A",H975,IF(Parameter!$E$30="MAX-Bestand",IF(CH975=1,CI975,IF(LEFT(Cockpit!$O$5,1)="B",BF975,MAX(BF975,H975))),ROUNDUP(BD975,0)))</f>
        <v>109</v>
      </c>
      <c r="BA975" s="50" t="n">
        <f aca="false">IF(BZ975=1,0,ROUNDUP(AZ975/BY975,0))</f>
        <v>1</v>
      </c>
      <c r="BB975" s="52" t="n">
        <f aca="false">IF(CQ975&gt;0,CQ975*MAX(1,AZ975/X975),IF(BZ975=1,IF(AZ975&lt;=0,0,CD975*MAX(1,IF(H975&gt;0,AZ975/H975,1))),IF(R975&gt;0,BA975/R975,0))/MAX(0.1,N(Parameter!$M$21)))</f>
        <v>0.0384615384615385</v>
      </c>
      <c r="BC975" s="50" t="n">
        <f aca="false">BB975*CB975</f>
        <v>9.42307692307692</v>
      </c>
      <c r="BD975" s="51" t="n">
        <f aca="false">IF(LEFT(Cockpit!$O$5,1)="A",H975,IF(CH975=1,(CK975+CI975)/2,IF(LEFT(Cockpit!$O$5,1)="B",(CK975+BF975)/2,MAX((CK975+BF975)/2,H975))))</f>
        <v>108.5</v>
      </c>
      <c r="BE975" s="50" t="n">
        <f aca="false">BD975*G975</f>
        <v>17.36</v>
      </c>
      <c r="BF975" s="50" t="n">
        <f aca="false">ROUNDUP(CK975+MAX(CL975,2*(J975/IF(CG975&gt;0,CG975,MAX(0.1,N(Cockpit!$O$6)))-CK975)),0)</f>
        <v>206</v>
      </c>
      <c r="BG975" s="51" t="n">
        <f aca="false">IF(BC975&gt;0,J975/BC975,-1)</f>
        <v>20.8</v>
      </c>
      <c r="BH975" s="51" t="n">
        <f aca="false">IF(AND(OR(CF975="L1",CF975="L23",CF975="LIFT"),BC975&gt;0),SUMIFS($BC$7:$BC$1843,$CF$7:$CF$1843,CF975,$BG$7:$BG$1843,"&gt;"&amp;BG975)+SUMIFS($BC$7:$BC$1843,$CF$7:$CF$1843,CF975,$BG$7:$BG$1843,BG975,$BW$7:$BW$1843,"&lt;="&amp;BW975),"")</f>
        <v>2200.19642857143</v>
      </c>
      <c r="BI975" s="58" t="n">
        <f aca="false">IF(BH975="",0,MAX(0,MIN(1,(IF(CF975="L1",Parameter!$H$5,IF(CF975="L23",Parameter!$H$6+Parameter!$H$7,Parameter!$H$5+Parameter!$H$6+Parameter!$H$7))-(BH975-BC975))/BC975)))</f>
        <v>1</v>
      </c>
      <c r="BJ975" s="48" t="str">
        <f aca="false">IF(AI975&lt;=0,"",IF(CF975="Aussen","Aussenlager",IF(CF975="-","Nicht im Lift",IF(AO975&gt;=1,"Lift",IF(AO975&lt;=0,"Aussenlager","teilweise")))))</f>
        <v>Lift</v>
      </c>
      <c r="BK975" s="48" t="str">
        <f aca="false">IF(AS975&lt;=0,"",IF(CF975="Aussen","Aussenlager",IF(CF975="-","Nicht im Lift",IF(AY975&gt;=1,"Lift",IF(AY975&lt;=0,"Aussenlager","teilweise")))))</f>
        <v>Lift</v>
      </c>
      <c r="BL975" s="48" t="str">
        <f aca="false">IF(BC975&lt;=0,"",IF(CF975="Aussen","Aussenlager",IF(CF975="-","Nicht im Lift",IF(BI975&gt;=1,"Lift",IF(BI975&lt;=0,"Aussenlager","teilweise")))))</f>
        <v>Lift</v>
      </c>
      <c r="BM975" s="48" t="str">
        <f aca="false">IF(A975="","",IF(BV975=1,"Neu; ","")&amp;IF(AND(BV975=0,BQ975&lt;0),"negativer Bestand (Export "&amp;BQ975&amp;"); ","")&amp;IF(J975&lt;=0,"Kein Verbrauch; ","")&amp;IF(CQ975&gt;0,"Lift "&amp;W975&amp;" lt. Liftbericht (Fach "&amp;X975&amp;" Stk); ",IF(CA975=1,"Gebinde geschätzt ("&amp;T975&amp;"); ",IF(BZ975=1,"Lose – Tablare geschätzt; ","")))&amp;IF(H975&gt;AV975,"Überbestand "&amp;ROUND(H975-AV975,0)&amp;" Stk / CHF "&amp;ROUND((H975-AV975)*G975,0)&amp;"; ","")&amp;IF(AND(CH975=1,CI975&lt;CJ975),"MAX &lt; MB+LG; ","")&amp;IF(AND(CP975&gt;0,CO975*10&gt;CP975),"zu hoch für Tablar; ","")&amp;IF(AND(BV975=0,OR(CH975=1,AA975&lt;&gt;"",U975&lt;&gt;"",V975&lt;&gt;"",AB975&lt;&gt;"")),"manuell übersteuert; ","")&amp;IF(AND(BZ975=0,R975=0),"Gebinde unbekannt / Stellmass fehlt; ","")&amp;IF(AND(BZ975=0,N(V975)&lt;=0,N(Q975)&lt;=0),"Menge pro Gebinde fehlt (Ist = 1 Gebinde); ","")&amp;BU975)</f>
        <v>negativer Bestand (Export -464); Überbestand 36 Stk / CHF 6; </v>
      </c>
      <c r="BN975" s="48"/>
      <c r="BO975" s="48"/>
      <c r="BP975" s="55"/>
      <c r="BQ975" s="50" t="n">
        <v>-464</v>
      </c>
      <c r="BR975" s="50" t="n">
        <v>706</v>
      </c>
      <c r="BS975" s="49" t="n">
        <v>-74.24</v>
      </c>
      <c r="BT975" s="50" t="n">
        <v>196</v>
      </c>
      <c r="BU975" s="48"/>
      <c r="BV975" s="53" t="n">
        <v>0</v>
      </c>
      <c r="BW975" s="53" t="n">
        <v>975</v>
      </c>
      <c r="BX975" s="48" t="str">
        <f aca="false">IF(U975&lt;&gt;"",UPPER(TRIM(U975)),IF(CA975=1,UPPER(VLOOKUP(T975,Parameter!$I$27:$K$29,2,0)),IF(P975="","LOSE",P975)))</f>
        <v>S52</v>
      </c>
      <c r="BY975" s="50" t="n">
        <f aca="false">IF(BX975="LOSE",1,IF(N(V975)&gt;0,V975,IF(CA975=1,MAX(1,N(VLOOKUP(T975,Parameter!$I$27:$K$29,3,0)),H975,N(N975)),IF(N(Q975)&gt;0,Q975,MAX(1,H975)))))</f>
        <v>609</v>
      </c>
      <c r="BZ975" s="53" t="n">
        <f aca="false">IF(BX975="LOSE",1,0)</f>
        <v>0</v>
      </c>
      <c r="CA975" s="53" t="n">
        <f aca="false">IF(AND(U975="",OR(P975="",P975="LOSE"),T975&lt;&gt;"",N(S975)&lt;=0,ISNUMBER(MATCH(T975,Parameter!$I$27:$I$29,0))),1,0)</f>
        <v>0</v>
      </c>
      <c r="CB975" s="53" t="n">
        <f aca="false">IF(CQ975&gt;0,INDEX(Parameter!$H$5:$H$7,W975)/INDEX(Parameter!$E$5:$E$7,W975),IF(AND(BZ975=0,N(IFERROR(VLOOKUP(BX975,'Gebinde-Kategorie'!$A$5:$N$45,14,0),0))&gt;0),VLOOKUP(BX975,'Gebinde-Kategorie'!$A$5:$N$45,14,0)*10+Parameter!$M$23,Parameter!$M$24))</f>
        <v>245</v>
      </c>
      <c r="CC975" s="48" t="str">
        <f aca="false">IF(AND(Parameter!$B$19="Ja",E975&lt;&gt;"",ISNUMBER(MATCH(E975,Parameter!$I$35:$I$52,0))),VLOOKUP(E975,Parameter!$I$35:$J$52,2,0),IFERROR(VLOOKUP(D975,Parameter!$A$35:$C$64,2,0),"Nein"))</f>
        <v>2+3</v>
      </c>
      <c r="CD975" s="52" t="n">
        <f aca="false">IF(BZ975=0,0,IF(N(S975)&gt;0,S975,IFERROR(VLOOKUP(D975,Parameter!$A$35:$C$64,3,0)+0,0)))</f>
        <v>0</v>
      </c>
      <c r="CE975" s="48" t="n">
        <f aca="false">IF(AA975&lt;&gt;"",AA975,Z975)</f>
        <v>3</v>
      </c>
      <c r="CF975" s="48" t="str">
        <f aca="false">IF(OR(CE975=1,CE975=2,CE975=3),IF(Parameter!$E$27="Ja","LIFT",IF(CE975=1,"L1","L23")),IF(CE975="Aussen","Aussen","-"))</f>
        <v>LIFT</v>
      </c>
      <c r="CG975" s="59" t="n">
        <f aca="false">IF(N(AB975)&gt;0,AB975,0)</f>
        <v>0</v>
      </c>
      <c r="CH975" s="53" t="n">
        <f aca="false">IF(ISNUMBER(AE975),1,0)</f>
        <v>0</v>
      </c>
      <c r="CI975" s="50" t="n">
        <f aca="false">N(AE975)</f>
        <v>0</v>
      </c>
      <c r="CJ975" s="50" t="n">
        <f aca="false">N(M975)+N(N975)</f>
        <v>206</v>
      </c>
      <c r="CK975" s="50" t="n">
        <f aca="false">N(M975)</f>
        <v>11</v>
      </c>
      <c r="CL975" s="50" t="n">
        <f aca="false">N(N975)</f>
        <v>195</v>
      </c>
      <c r="CM975" s="50" t="n">
        <f aca="false">ROUNDUP(H975/BY975,0)</f>
        <v>1</v>
      </c>
      <c r="CN975" s="50" t="n">
        <f aca="false">ROUNDUP(CI975/BY975,0)</f>
        <v>0</v>
      </c>
      <c r="CO975" s="53" t="n">
        <f aca="false">IF(BZ975=1,0,IFERROR(VLOOKUP(BX975,'Gebinde-Kategorie'!$A$5:$N$45,5,0)+0,0))</f>
        <v>21</v>
      </c>
      <c r="CP975" s="53" t="n">
        <f aca="false">IFERROR(IF(OR(CE975=1,CE975=2,CE975=3),N(INDEX(Parameter!$I$5:$I$7,CE975)),0),0)</f>
        <v>0</v>
      </c>
      <c r="CQ975" s="52" t="n">
        <f aca="false">IF(AND(Parameter!$B$21="Ja",ISNUMBER(W975),N(X975)&gt;0),IFERROR(N(INDEX(Parameter!$L$5:$L$7,W975))*INDEX(Parameter!$E$5:$E$7,W975)*X975/SUMIFS($X$7:$X$1843,$W$7:$W$1843,W975),0),0)</f>
        <v>0</v>
      </c>
    </row>
    <row r="976" customFormat="false" ht="15" hidden="false" customHeight="false" outlineLevel="0" collapsed="false">
      <c r="A976" s="48" t="s">
        <v>1818</v>
      </c>
      <c r="B976" s="48" t="s">
        <v>477</v>
      </c>
      <c r="C976" s="48" t="s">
        <v>173</v>
      </c>
      <c r="D976" s="48" t="s">
        <v>193</v>
      </c>
      <c r="E976" s="48" t="s">
        <v>194</v>
      </c>
      <c r="F976" s="48" t="s">
        <v>227</v>
      </c>
      <c r="G976" s="49" t="n">
        <v>0.87</v>
      </c>
      <c r="H976" s="50" t="n">
        <f aca="false">MAX(0,IF(AND(Parameter!$B$21="Ja",ISNUMBER(Y976)),Y976,IF(Parameter!$B$20="Jahresanfang 2025 + Export",BR976+BQ976,BQ976)))</f>
        <v>93</v>
      </c>
      <c r="I976" s="50" t="n">
        <f aca="false">H976*G976</f>
        <v>80.91</v>
      </c>
      <c r="J976" s="50" t="n">
        <f aca="false">BT976*Parameter!$B$18</f>
        <v>145</v>
      </c>
      <c r="K976" s="51" t="n">
        <v>181</v>
      </c>
      <c r="L976" s="52" t="n">
        <v>0.801104972375691</v>
      </c>
      <c r="M976" s="50" t="n">
        <v>5</v>
      </c>
      <c r="N976" s="50" t="n">
        <v>145</v>
      </c>
      <c r="O976" s="53" t="n">
        <v>14</v>
      </c>
      <c r="P976" s="48" t="s">
        <v>311</v>
      </c>
      <c r="Q976" s="50" t="n">
        <v>165</v>
      </c>
      <c r="R976" s="53" t="n">
        <f aca="false">IF(BZ976=1,0,IFERROR(VLOOKUP(BX976,'Gebinde-Kategorie'!$A$5:$N$45,13,0)+0,0))</f>
        <v>26</v>
      </c>
      <c r="S976" s="54"/>
      <c r="T976" s="55"/>
      <c r="U976" s="55"/>
      <c r="V976" s="55"/>
      <c r="W976" s="48"/>
      <c r="X976" s="50"/>
      <c r="Y976" s="50"/>
      <c r="Z976" s="48" t="n">
        <f aca="false">IF(A976="","",IF(AND(Parameter!$B$21="Ja",ISNUMBER(W976)),W976,IF(CC976="2+3",IF(ISNUMBER(SEARCH("grosser Artikel",BU976)),2,IFERROR(VLOOKUP(BX976,Parameter!$F$35:$G$64,2,0),2)),IF(OR(CC976="Nein",CC976=""),"-",CC976))))</f>
        <v>3</v>
      </c>
      <c r="AA976" s="55"/>
      <c r="AB976" s="56"/>
      <c r="AC976" s="50" t="n">
        <f aca="false">AV976</f>
        <v>150</v>
      </c>
      <c r="AD976" s="50" t="n">
        <f aca="false">MAX(AV976,H976)</f>
        <v>150</v>
      </c>
      <c r="AE976" s="57"/>
      <c r="AF976" s="50" t="n">
        <f aca="false">IF(LEFT(Cockpit!$C$5,1)="A",H976,IF(Parameter!$E$30="MAX-Bestand",IF(CH976=1,CI976,IF(LEFT(Cockpit!$C$5,1)="B",AL976,MAX(AL976,H976))),ROUNDUP(AJ976,0)))</f>
        <v>93</v>
      </c>
      <c r="AG976" s="50" t="n">
        <f aca="false">IF(BZ976=1,0,ROUNDUP(AF976/BY976,0))</f>
        <v>1</v>
      </c>
      <c r="AH976" s="52" t="n">
        <f aca="false">IF(CQ976&gt;0,CQ976*MAX(1,AF976/X976),IF(BZ976=1,IF(AF976&lt;=0,0,CD976*MAX(1,IF(H976&gt;0,AF976/H976,1))),IF(R976&gt;0,AG976/R976,0))/MAX(0.1,N(Parameter!$M$21)))</f>
        <v>0.0384615384615385</v>
      </c>
      <c r="AI976" s="50" t="n">
        <f aca="false">AH976*CB976</f>
        <v>5.96153846153846</v>
      </c>
      <c r="AJ976" s="51" t="n">
        <f aca="false">IF(LEFT(Cockpit!$C$5,1)="A",H976,IF(CH976=1,(CK976+CI976)/2,IF(LEFT(Cockpit!$C$5,1)="B",(CK976+AL976)/2,MAX((CK976+AL976)/2,H976))))</f>
        <v>93</v>
      </c>
      <c r="AK976" s="50" t="n">
        <f aca="false">AJ976*G976</f>
        <v>80.91</v>
      </c>
      <c r="AL976" s="50" t="n">
        <f aca="false">ROUNDUP(CK976+MAX(CL976,2*(J976/IF(CG976&gt;0,CG976,MAX(0.1,N(Cockpit!$C$6)))-CK976)),0)</f>
        <v>150</v>
      </c>
      <c r="AM976" s="51" t="n">
        <f aca="false">IF(AI976&gt;0,J976/AI976,-1)</f>
        <v>24.3225806451613</v>
      </c>
      <c r="AN976" s="51" t="n">
        <f aca="false">IF(AND(OR(CF976="L1",CF976="L23",CF976="LIFT"),AI976&gt;0),SUMIFS($AI$7:$AI$1843,$CF$7:$CF$1843,CF976,$AM$7:$AM$1843,"&gt;"&amp;AM976)+SUMIFS($AI$7:$AI$1843,$CF$7:$CF$1843,CF976,$AM$7:$AM$1843,AM976,$BW$7:$BW$1843,"&lt;="&amp;BW976),"")</f>
        <v>1550.07921245421</v>
      </c>
      <c r="AO976" s="58" t="n">
        <f aca="false">IF(AN976="",0,MAX(0,MIN(1,(IF(CF976="L1",Parameter!$H$5,IF(CF976="L23",Parameter!$H$6+Parameter!$H$7,Parameter!$H$5+Parameter!$H$6+Parameter!$H$7))-(AN976-AI976))/AI976)))</f>
        <v>1</v>
      </c>
      <c r="AP976" s="50" t="n">
        <f aca="false">IF(LEFT(Cockpit!$I$5,1)="A",H976,IF(Parameter!$E$30="MAX-Bestand",IF(CH976=1,CI976,IF(LEFT(Cockpit!$I$5,1)="B",AV976,MAX(AV976,H976))),ROUNDUP(AT976,0)))</f>
        <v>93</v>
      </c>
      <c r="AQ976" s="50" t="n">
        <f aca="false">IF(BZ976=1,0,ROUNDUP(AP976/BY976,0))</f>
        <v>1</v>
      </c>
      <c r="AR976" s="52" t="n">
        <f aca="false">IF(CQ976&gt;0,CQ976*MAX(1,AP976/X976),IF(BZ976=1,IF(AP976&lt;=0,0,CD976*MAX(1,IF(H976&gt;0,AP976/H976,1))),IF(R976&gt;0,AQ976/R976,0))/MAX(0.1,N(Parameter!$M$21)))</f>
        <v>0.0384615384615385</v>
      </c>
      <c r="AS976" s="50" t="n">
        <f aca="false">AR976*CB976</f>
        <v>5.96153846153846</v>
      </c>
      <c r="AT976" s="51" t="n">
        <f aca="false">IF(LEFT(Cockpit!$I$5,1)="A",H976,IF(CH976=1,(CK976+CI976)/2,IF(LEFT(Cockpit!$I$5,1)="B",(CK976+AV976)/2,MAX((CK976+AV976)/2,H976))))</f>
        <v>93</v>
      </c>
      <c r="AU976" s="50" t="n">
        <f aca="false">AT976*G976</f>
        <v>80.91</v>
      </c>
      <c r="AV976" s="50" t="n">
        <f aca="false">ROUNDUP(CK976+MAX(CL976,2*(J976/IF(CG976&gt;0,CG976,MAX(0.1,N(Cockpit!$I$6)))-CK976)),0)</f>
        <v>150</v>
      </c>
      <c r="AW976" s="51" t="n">
        <f aca="false">IF(AS976&gt;0,J976/AS976,-1)</f>
        <v>24.3225806451613</v>
      </c>
      <c r="AX976" s="51" t="n">
        <f aca="false">IF(AND(OR(CF976="L1",CF976="L23",CF976="LIFT"),AS976&gt;0),SUMIFS($AS$7:$AS$1843,$CF$7:$CF$1843,CF976,$AW$7:$AW$1843,"&gt;"&amp;AW976)+SUMIFS($AS$7:$AS$1843,$CF$7:$CF$1843,CF976,$AW$7:$AW$1843,AW976,$BW$7:$BW$1843,"&lt;="&amp;BW976),"")</f>
        <v>2175.91804029304</v>
      </c>
      <c r="AY976" s="58" t="n">
        <f aca="false">IF(AX976="",0,MAX(0,MIN(1,(IF(CF976="L1",Parameter!$H$5,IF(CF976="L23",Parameter!$H$6+Parameter!$H$7,Parameter!$H$5+Parameter!$H$6+Parameter!$H$7))-(AX976-AS976))/AS976)))</f>
        <v>1</v>
      </c>
      <c r="AZ976" s="50" t="n">
        <f aca="false">IF(LEFT(Cockpit!$O$5,1)="A",H976,IF(Parameter!$E$30="MAX-Bestand",IF(CH976=1,CI976,IF(LEFT(Cockpit!$O$5,1)="B",BF976,MAX(BF976,H976))),ROUNDUP(BD976,0)))</f>
        <v>78</v>
      </c>
      <c r="BA976" s="50" t="n">
        <f aca="false">IF(BZ976=1,0,ROUNDUP(AZ976/BY976,0))</f>
        <v>1</v>
      </c>
      <c r="BB976" s="52" t="n">
        <f aca="false">IF(CQ976&gt;0,CQ976*MAX(1,AZ976/X976),IF(BZ976=1,IF(AZ976&lt;=0,0,CD976*MAX(1,IF(H976&gt;0,AZ976/H976,1))),IF(R976&gt;0,BA976/R976,0))/MAX(0.1,N(Parameter!$M$21)))</f>
        <v>0.0384615384615385</v>
      </c>
      <c r="BC976" s="50" t="n">
        <f aca="false">BB976*CB976</f>
        <v>5.96153846153846</v>
      </c>
      <c r="BD976" s="51" t="n">
        <f aca="false">IF(LEFT(Cockpit!$O$5,1)="A",H976,IF(CH976=1,(CK976+CI976)/2,IF(LEFT(Cockpit!$O$5,1)="B",(CK976+BF976)/2,MAX((CK976+BF976)/2,H976))))</f>
        <v>77.5</v>
      </c>
      <c r="BE976" s="50" t="n">
        <f aca="false">BD976*G976</f>
        <v>67.425</v>
      </c>
      <c r="BF976" s="50" t="n">
        <f aca="false">ROUNDUP(CK976+MAX(CL976,2*(J976/IF(CG976&gt;0,CG976,MAX(0.1,N(Cockpit!$O$6)))-CK976)),0)</f>
        <v>150</v>
      </c>
      <c r="BG976" s="51" t="n">
        <f aca="false">IF(BC976&gt;0,J976/BC976,-1)</f>
        <v>24.3225806451613</v>
      </c>
      <c r="BH976" s="51" t="n">
        <f aca="false">IF(AND(OR(CF976="L1",CF976="L23",CF976="LIFT"),BC976&gt;0),SUMIFS($BC$7:$BC$1843,$CF$7:$CF$1843,CF976,$BG$7:$BG$1843,"&gt;"&amp;BG976)+SUMIFS($BC$7:$BC$1843,$CF$7:$CF$1843,CF976,$BG$7:$BG$1843,BG976,$BW$7:$BW$1843,"&lt;="&amp;BW976),"")</f>
        <v>2093.87362637363</v>
      </c>
      <c r="BI976" s="58" t="n">
        <f aca="false">IF(BH976="",0,MAX(0,MIN(1,(IF(CF976="L1",Parameter!$H$5,IF(CF976="L23",Parameter!$H$6+Parameter!$H$7,Parameter!$H$5+Parameter!$H$6+Parameter!$H$7))-(BH976-BC976))/BC976)))</f>
        <v>1</v>
      </c>
      <c r="BJ976" s="48" t="str">
        <f aca="false">IF(AI976&lt;=0,"",IF(CF976="Aussen","Aussenlager",IF(CF976="-","Nicht im Lift",IF(AO976&gt;=1,"Lift",IF(AO976&lt;=0,"Aussenlager","teilweise")))))</f>
        <v>Lift</v>
      </c>
      <c r="BK976" s="48" t="str">
        <f aca="false">IF(AS976&lt;=0,"",IF(CF976="Aussen","Aussenlager",IF(CF976="-","Nicht im Lift",IF(AY976&gt;=1,"Lift",IF(AY976&lt;=0,"Aussenlager","teilweise")))))</f>
        <v>Lift</v>
      </c>
      <c r="BL976" s="48" t="str">
        <f aca="false">IF(BC976&lt;=0,"",IF(CF976="Aussen","Aussenlager",IF(CF976="-","Nicht im Lift",IF(BI976&gt;=1,"Lift",IF(BI976&lt;=0,"Aussenlager","teilweise")))))</f>
        <v>Lift</v>
      </c>
      <c r="BM976" s="48" t="str">
        <f aca="false">IF(A976="","",IF(BV976=1,"Neu; ","")&amp;IF(AND(BV976=0,BQ976&lt;0),"negativer Bestand (Export "&amp;BQ976&amp;"); ","")&amp;IF(J976&lt;=0,"Kein Verbrauch; ","")&amp;IF(CQ976&gt;0,"Lift "&amp;W976&amp;" lt. Liftbericht (Fach "&amp;X976&amp;" Stk); ",IF(CA976=1,"Gebinde geschätzt ("&amp;T976&amp;"); ",IF(BZ976=1,"Lose – Tablare geschätzt; ","")))&amp;IF(H976&gt;AV976,"Überbestand "&amp;ROUND(H976-AV976,0)&amp;" Stk / CHF "&amp;ROUND((H976-AV976)*G976,0)&amp;"; ","")&amp;IF(AND(CH976=1,CI976&lt;CJ976),"MAX &lt; MB+LG; ","")&amp;IF(AND(CP976&gt;0,CO976*10&gt;CP976),"zu hoch für Tablar; ","")&amp;IF(AND(BV976=0,OR(CH976=1,AA976&lt;&gt;"",U976&lt;&gt;"",V976&lt;&gt;"",AB976&lt;&gt;"")),"manuell übersteuert; ","")&amp;IF(AND(BZ976=0,R976=0),"Gebinde unbekannt / Stellmass fehlt; ","")&amp;IF(AND(BZ976=0,N(V976)&lt;=0,N(Q976)&lt;=0),"Menge pro Gebinde fehlt (Ist = 1 Gebinde); ","")&amp;BU976)</f>
        <v>negativer Bestand (Export -94); </v>
      </c>
      <c r="BN976" s="48"/>
      <c r="BO976" s="48"/>
      <c r="BP976" s="55"/>
      <c r="BQ976" s="50" t="n">
        <v>-94</v>
      </c>
      <c r="BR976" s="50" t="n">
        <v>187</v>
      </c>
      <c r="BS976" s="49" t="n">
        <v>-74.4999999999999</v>
      </c>
      <c r="BT976" s="50" t="n">
        <v>145</v>
      </c>
      <c r="BU976" s="48"/>
      <c r="BV976" s="53" t="n">
        <v>0</v>
      </c>
      <c r="BW976" s="53" t="n">
        <v>976</v>
      </c>
      <c r="BX976" s="48" t="str">
        <f aca="false">IF(U976&lt;&gt;"",UPPER(TRIM(U976)),IF(CA976=1,UPPER(VLOOKUP(T976,Parameter!$I$27:$K$29,2,0)),IF(P976="","LOSE",P976)))</f>
        <v>S51</v>
      </c>
      <c r="BY976" s="50" t="n">
        <f aca="false">IF(BX976="LOSE",1,IF(N(V976)&gt;0,V976,IF(CA976=1,MAX(1,N(VLOOKUP(T976,Parameter!$I$27:$K$29,3,0)),H976,N(N976)),IF(N(Q976)&gt;0,Q976,MAX(1,H976)))))</f>
        <v>165</v>
      </c>
      <c r="BZ976" s="53" t="n">
        <f aca="false">IF(BX976="LOSE",1,0)</f>
        <v>0</v>
      </c>
      <c r="CA976" s="53" t="n">
        <f aca="false">IF(AND(U976="",OR(P976="",P976="LOSE"),T976&lt;&gt;"",N(S976)&lt;=0,ISNUMBER(MATCH(T976,Parameter!$I$27:$I$29,0))),1,0)</f>
        <v>0</v>
      </c>
      <c r="CB976" s="53" t="n">
        <f aca="false">IF(CQ976&gt;0,INDEX(Parameter!$H$5:$H$7,W976)/INDEX(Parameter!$E$5:$E$7,W976),IF(AND(BZ976=0,N(IFERROR(VLOOKUP(BX976,'Gebinde-Kategorie'!$A$5:$N$45,14,0),0))&gt;0),VLOOKUP(BX976,'Gebinde-Kategorie'!$A$5:$N$45,14,0)*10+Parameter!$M$23,Parameter!$M$24))</f>
        <v>155</v>
      </c>
      <c r="CC976" s="48" t="str">
        <f aca="false">IF(AND(Parameter!$B$19="Ja",E976&lt;&gt;"",ISNUMBER(MATCH(E976,Parameter!$I$35:$I$52,0))),VLOOKUP(E976,Parameter!$I$35:$J$52,2,0),IFERROR(VLOOKUP(D976,Parameter!$A$35:$C$64,2,0),"Nein"))</f>
        <v>2+3</v>
      </c>
      <c r="CD976" s="52" t="n">
        <f aca="false">IF(BZ976=0,0,IF(N(S976)&gt;0,S976,IFERROR(VLOOKUP(D976,Parameter!$A$35:$C$64,3,0)+0,0)))</f>
        <v>0</v>
      </c>
      <c r="CE976" s="48" t="n">
        <f aca="false">IF(AA976&lt;&gt;"",AA976,Z976)</f>
        <v>3</v>
      </c>
      <c r="CF976" s="48" t="str">
        <f aca="false">IF(OR(CE976=1,CE976=2,CE976=3),IF(Parameter!$E$27="Ja","LIFT",IF(CE976=1,"L1","L23")),IF(CE976="Aussen","Aussen","-"))</f>
        <v>LIFT</v>
      </c>
      <c r="CG976" s="59" t="n">
        <f aca="false">IF(N(AB976)&gt;0,AB976,0)</f>
        <v>0</v>
      </c>
      <c r="CH976" s="53" t="n">
        <f aca="false">IF(ISNUMBER(AE976),1,0)</f>
        <v>0</v>
      </c>
      <c r="CI976" s="50" t="n">
        <f aca="false">N(AE976)</f>
        <v>0</v>
      </c>
      <c r="CJ976" s="50" t="n">
        <f aca="false">N(M976)+N(N976)</f>
        <v>150</v>
      </c>
      <c r="CK976" s="50" t="n">
        <f aca="false">N(M976)</f>
        <v>5</v>
      </c>
      <c r="CL976" s="50" t="n">
        <f aca="false">N(N976)</f>
        <v>145</v>
      </c>
      <c r="CM976" s="50" t="n">
        <f aca="false">ROUNDUP(H976/BY976,0)</f>
        <v>1</v>
      </c>
      <c r="CN976" s="50" t="n">
        <f aca="false">ROUNDUP(CI976/BY976,0)</f>
        <v>0</v>
      </c>
      <c r="CO976" s="53" t="n">
        <f aca="false">IF(BZ976=1,0,IFERROR(VLOOKUP(BX976,'Gebinde-Kategorie'!$A$5:$N$45,5,0)+0,0))</f>
        <v>11</v>
      </c>
      <c r="CP976" s="53" t="n">
        <f aca="false">IFERROR(IF(OR(CE976=1,CE976=2,CE976=3),N(INDEX(Parameter!$I$5:$I$7,CE976)),0),0)</f>
        <v>0</v>
      </c>
      <c r="CQ976" s="52" t="n">
        <f aca="false">IF(AND(Parameter!$B$21="Ja",ISNUMBER(W976),N(X976)&gt;0),IFERROR(N(INDEX(Parameter!$L$5:$L$7,W976))*INDEX(Parameter!$E$5:$E$7,W976)*X976/SUMIFS($X$7:$X$1843,$W$7:$W$1843,W976),0),0)</f>
        <v>0</v>
      </c>
    </row>
    <row r="977" customFormat="false" ht="15" hidden="false" customHeight="false" outlineLevel="0" collapsed="false">
      <c r="A977" s="48" t="s">
        <v>1819</v>
      </c>
      <c r="B977" s="48" t="s">
        <v>1789</v>
      </c>
      <c r="C977" s="48" t="s">
        <v>173</v>
      </c>
      <c r="D977" s="48" t="s">
        <v>193</v>
      </c>
      <c r="E977" s="48" t="s">
        <v>194</v>
      </c>
      <c r="F977" s="48" t="s">
        <v>227</v>
      </c>
      <c r="G977" s="49" t="n">
        <v>8.33</v>
      </c>
      <c r="H977" s="50" t="n">
        <f aca="false">MAX(0,IF(AND(Parameter!$B$21="Ja",ISNUMBER(Y977)),Y977,IF(Parameter!$B$20="Jahresanfang 2025 + Export",BR977+BQ977,BQ977)))</f>
        <v>3</v>
      </c>
      <c r="I977" s="50" t="n">
        <f aca="false">H977*G977</f>
        <v>24.99</v>
      </c>
      <c r="J977" s="50" t="n">
        <f aca="false">BT977*Parameter!$B$18</f>
        <v>8</v>
      </c>
      <c r="K977" s="51" t="n">
        <v>8</v>
      </c>
      <c r="L977" s="52" t="n">
        <v>1</v>
      </c>
      <c r="M977" s="50" t="n">
        <v>0</v>
      </c>
      <c r="N977" s="50" t="n">
        <v>10</v>
      </c>
      <c r="O977" s="53" t="n">
        <v>17</v>
      </c>
      <c r="P977" s="48" t="s">
        <v>485</v>
      </c>
      <c r="Q977" s="50" t="n">
        <v>23</v>
      </c>
      <c r="R977" s="53" t="n">
        <f aca="false">IF(BZ977=1,0,IFERROR(VLOOKUP(BX977,'Gebinde-Kategorie'!$A$5:$N$45,13,0)+0,0))</f>
        <v>52</v>
      </c>
      <c r="S977" s="54"/>
      <c r="T977" s="55"/>
      <c r="U977" s="55"/>
      <c r="V977" s="55"/>
      <c r="W977" s="48"/>
      <c r="X977" s="50"/>
      <c r="Y977" s="50"/>
      <c r="Z977" s="48" t="n">
        <f aca="false">IF(A977="","",IF(AND(Parameter!$B$21="Ja",ISNUMBER(W977)),W977,IF(CC977="2+3",IF(ISNUMBER(SEARCH("grosser Artikel",BU977)),2,IFERROR(VLOOKUP(BX977,Parameter!$F$35:$G$64,2,0),2)),IF(OR(CC977="Nein",CC977=""),"-",CC977))))</f>
        <v>3</v>
      </c>
      <c r="AA977" s="55"/>
      <c r="AB977" s="56"/>
      <c r="AC977" s="50" t="n">
        <f aca="false">AV977</f>
        <v>10</v>
      </c>
      <c r="AD977" s="50" t="n">
        <f aca="false">MAX(AV977,H977)</f>
        <v>10</v>
      </c>
      <c r="AE977" s="57"/>
      <c r="AF977" s="50" t="n">
        <f aca="false">IF(LEFT(Cockpit!$C$5,1)="A",H977,IF(Parameter!$E$30="MAX-Bestand",IF(CH977=1,CI977,IF(LEFT(Cockpit!$C$5,1)="B",AL977,MAX(AL977,H977))),ROUNDUP(AJ977,0)))</f>
        <v>3</v>
      </c>
      <c r="AG977" s="50" t="n">
        <f aca="false">IF(BZ977=1,0,ROUNDUP(AF977/BY977,0))</f>
        <v>1</v>
      </c>
      <c r="AH977" s="52" t="n">
        <f aca="false">IF(CQ977&gt;0,CQ977*MAX(1,AF977/X977),IF(BZ977=1,IF(AF977&lt;=0,0,CD977*MAX(1,IF(H977&gt;0,AF977/H977,1))),IF(R977&gt;0,AG977/R977,0))/MAX(0.1,N(Parameter!$M$21)))</f>
        <v>0.0192307692307692</v>
      </c>
      <c r="AI977" s="50" t="n">
        <f aca="false">AH977*CB977</f>
        <v>2.98076923076923</v>
      </c>
      <c r="AJ977" s="51" t="n">
        <f aca="false">IF(LEFT(Cockpit!$C$5,1)="A",H977,IF(CH977=1,(CK977+CI977)/2,IF(LEFT(Cockpit!$C$5,1)="B",(CK977+AL977)/2,MAX((CK977+AL977)/2,H977))))</f>
        <v>3</v>
      </c>
      <c r="AK977" s="50" t="n">
        <f aca="false">AJ977*G977</f>
        <v>24.99</v>
      </c>
      <c r="AL977" s="50" t="n">
        <f aca="false">ROUNDUP(CK977+MAX(CL977,2*(J977/IF(CG977&gt;0,CG977,MAX(0.1,N(Cockpit!$C$6)))-CK977)),0)</f>
        <v>10</v>
      </c>
      <c r="AM977" s="51" t="n">
        <f aca="false">IF(AI977&gt;0,J977/AI977,-1)</f>
        <v>2.68387096774194</v>
      </c>
      <c r="AN977" s="51" t="n">
        <f aca="false">IF(AND(OR(CF977="L1",CF977="L23",CF977="LIFT"),AI977&gt;0),SUMIFS($AI$7:$AI$1843,$CF$7:$CF$1843,CF977,$AM$7:$AM$1843,"&gt;"&amp;AM977)+SUMIFS($AI$7:$AI$1843,$CF$7:$CF$1843,CF977,$AM$7:$AM$1843,AM977,$BW$7:$BW$1843,"&lt;="&amp;BW977),"")</f>
        <v>5338.36172161172</v>
      </c>
      <c r="AO977" s="58" t="n">
        <f aca="false">IF(AN977="",0,MAX(0,MIN(1,(IF(CF977="L1",Parameter!$H$5,IF(CF977="L23",Parameter!$H$6+Parameter!$H$7,Parameter!$H$5+Parameter!$H$6+Parameter!$H$7))-(AN977-AI977))/AI977)))</f>
        <v>1</v>
      </c>
      <c r="AP977" s="50" t="n">
        <f aca="false">IF(LEFT(Cockpit!$I$5,1)="A",H977,IF(Parameter!$E$30="MAX-Bestand",IF(CH977=1,CI977,IF(LEFT(Cockpit!$I$5,1)="B",AV977,MAX(AV977,H977))),ROUNDUP(AT977,0)))</f>
        <v>5</v>
      </c>
      <c r="AQ977" s="50" t="n">
        <f aca="false">IF(BZ977=1,0,ROUNDUP(AP977/BY977,0))</f>
        <v>1</v>
      </c>
      <c r="AR977" s="52" t="n">
        <f aca="false">IF(CQ977&gt;0,CQ977*MAX(1,AP977/X977),IF(BZ977=1,IF(AP977&lt;=0,0,CD977*MAX(1,IF(H977&gt;0,AP977/H977,1))),IF(R977&gt;0,AQ977/R977,0))/MAX(0.1,N(Parameter!$M$21)))</f>
        <v>0.0192307692307692</v>
      </c>
      <c r="AS977" s="50" t="n">
        <f aca="false">AR977*CB977</f>
        <v>2.98076923076923</v>
      </c>
      <c r="AT977" s="51" t="n">
        <f aca="false">IF(LEFT(Cockpit!$I$5,1)="A",H977,IF(CH977=1,(CK977+CI977)/2,IF(LEFT(Cockpit!$I$5,1)="B",(CK977+AV977)/2,MAX((CK977+AV977)/2,H977))))</f>
        <v>5</v>
      </c>
      <c r="AU977" s="50" t="n">
        <f aca="false">AT977*G977</f>
        <v>41.65</v>
      </c>
      <c r="AV977" s="50" t="n">
        <f aca="false">ROUNDUP(CK977+MAX(CL977,2*(J977/IF(CG977&gt;0,CG977,MAX(0.1,N(Cockpit!$I$6)))-CK977)),0)</f>
        <v>10</v>
      </c>
      <c r="AW977" s="51" t="n">
        <f aca="false">IF(AS977&gt;0,J977/AS977,-1)</f>
        <v>2.68387096774194</v>
      </c>
      <c r="AX977" s="51" t="n">
        <f aca="false">IF(AND(OR(CF977="L1",CF977="L23",CF977="LIFT"),AS977&gt;0),SUMIFS($AS$7:$AS$1843,$CF$7:$CF$1843,CF977,$AW$7:$AW$1843,"&gt;"&amp;AW977)+SUMIFS($AS$7:$AS$1843,$CF$7:$CF$1843,CF977,$AW$7:$AW$1843,AW977,$BW$7:$BW$1843,"&lt;="&amp;BW977),"")</f>
        <v>6172.83974358974</v>
      </c>
      <c r="AY977" s="58" t="n">
        <f aca="false">IF(AX977="",0,MAX(0,MIN(1,(IF(CF977="L1",Parameter!$H$5,IF(CF977="L23",Parameter!$H$6+Parameter!$H$7,Parameter!$H$5+Parameter!$H$6+Parameter!$H$7))-(AX977-AS977))/AS977)))</f>
        <v>1</v>
      </c>
      <c r="AZ977" s="50" t="n">
        <f aca="false">IF(LEFT(Cockpit!$O$5,1)="A",H977,IF(Parameter!$E$30="MAX-Bestand",IF(CH977=1,CI977,IF(LEFT(Cockpit!$O$5,1)="B",BF977,MAX(BF977,H977))),ROUNDUP(BD977,0)))</f>
        <v>5</v>
      </c>
      <c r="BA977" s="50" t="n">
        <f aca="false">IF(BZ977=1,0,ROUNDUP(AZ977/BY977,0))</f>
        <v>1</v>
      </c>
      <c r="BB977" s="52" t="n">
        <f aca="false">IF(CQ977&gt;0,CQ977*MAX(1,AZ977/X977),IF(BZ977=1,IF(AZ977&lt;=0,0,CD977*MAX(1,IF(H977&gt;0,AZ977/H977,1))),IF(R977&gt;0,BA977/R977,0))/MAX(0.1,N(Parameter!$M$21)))</f>
        <v>0.0192307692307692</v>
      </c>
      <c r="BC977" s="50" t="n">
        <f aca="false">BB977*CB977</f>
        <v>2.98076923076923</v>
      </c>
      <c r="BD977" s="51" t="n">
        <f aca="false">IF(LEFT(Cockpit!$O$5,1)="A",H977,IF(CH977=1,(CK977+CI977)/2,IF(LEFT(Cockpit!$O$5,1)="B",(CK977+BF977)/2,MAX((CK977+BF977)/2,H977))))</f>
        <v>5</v>
      </c>
      <c r="BE977" s="50" t="n">
        <f aca="false">BD977*G977</f>
        <v>41.65</v>
      </c>
      <c r="BF977" s="50" t="n">
        <f aca="false">ROUNDUP(CK977+MAX(CL977,2*(J977/IF(CG977&gt;0,CG977,MAX(0.1,N(Cockpit!$O$6)))-CK977)),0)</f>
        <v>10</v>
      </c>
      <c r="BG977" s="51" t="n">
        <f aca="false">IF(BC977&gt;0,J977/BC977,-1)</f>
        <v>2.68387096774194</v>
      </c>
      <c r="BH977" s="51" t="n">
        <f aca="false">IF(AND(OR(CF977="L1",CF977="L23",CF977="LIFT"),BC977&gt;0),SUMIFS($BC$7:$BC$1843,$CF$7:$CF$1843,CF977,$BG$7:$BG$1843,"&gt;"&amp;BG977)+SUMIFS($BC$7:$BC$1843,$CF$7:$CF$1843,CF977,$BG$7:$BG$1843,BG977,$BW$7:$BW$1843,"&lt;="&amp;BW977),"")</f>
        <v>5350.89423076923</v>
      </c>
      <c r="BI977" s="58" t="n">
        <f aca="false">IF(BH977="",0,MAX(0,MIN(1,(IF(CF977="L1",Parameter!$H$5,IF(CF977="L23",Parameter!$H$6+Parameter!$H$7,Parameter!$H$5+Parameter!$H$6+Parameter!$H$7))-(BH977-BC977))/BC977)))</f>
        <v>1</v>
      </c>
      <c r="BJ977" s="48" t="str">
        <f aca="false">IF(AI977&lt;=0,"",IF(CF977="Aussen","Aussenlager",IF(CF977="-","Nicht im Lift",IF(AO977&gt;=1,"Lift",IF(AO977&lt;=0,"Aussenlager","teilweise")))))</f>
        <v>Lift</v>
      </c>
      <c r="BK977" s="48" t="str">
        <f aca="false">IF(AS977&lt;=0,"",IF(CF977="Aussen","Aussenlager",IF(CF977="-","Nicht im Lift",IF(AY977&gt;=1,"Lift",IF(AY977&lt;=0,"Aussenlager","teilweise")))))</f>
        <v>Lift</v>
      </c>
      <c r="BL977" s="48" t="str">
        <f aca="false">IF(BC977&lt;=0,"",IF(CF977="Aussen","Aussenlager",IF(CF977="-","Nicht im Lift",IF(BI977&gt;=1,"Lift",IF(BI977&lt;=0,"Aussenlager","teilweise")))))</f>
        <v>Lift</v>
      </c>
      <c r="BM977" s="48" t="str">
        <f aca="false">IF(A977="","",IF(BV977=1,"Neu; ","")&amp;IF(AND(BV977=0,BQ977&lt;0),"negativer Bestand (Export "&amp;BQ977&amp;"); ","")&amp;IF(J977&lt;=0,"Kein Verbrauch; ","")&amp;IF(CQ977&gt;0,"Lift "&amp;W977&amp;" lt. Liftbericht (Fach "&amp;X977&amp;" Stk); ",IF(CA977=1,"Gebinde geschätzt ("&amp;T977&amp;"); ",IF(BZ977=1,"Lose – Tablare geschätzt; ","")))&amp;IF(H977&gt;AV977,"Überbestand "&amp;ROUND(H977-AV977,0)&amp;" Stk / CHF "&amp;ROUND((H977-AV977)*G977,0)&amp;"; ","")&amp;IF(AND(CH977=1,CI977&lt;CJ977),"MAX &lt; MB+LG; ","")&amp;IF(AND(CP977&gt;0,CO977*10&gt;CP977),"zu hoch für Tablar; ","")&amp;IF(AND(BV977=0,OR(CH977=1,AA977&lt;&gt;"",U977&lt;&gt;"",V977&lt;&gt;"",AB977&lt;&gt;"")),"manuell übersteuert; ","")&amp;IF(AND(BZ977=0,R977=0),"Gebinde unbekannt / Stellmass fehlt; ","")&amp;IF(AND(BZ977=0,N(V977)&lt;=0,N(Q977)&lt;=0),"Menge pro Gebinde fehlt (Ist = 1 Gebinde); ","")&amp;BU977)</f>
        <v>negativer Bestand (Export -9); </v>
      </c>
      <c r="BN977" s="48"/>
      <c r="BO977" s="48"/>
      <c r="BP977" s="55"/>
      <c r="BQ977" s="50" t="n">
        <v>-9</v>
      </c>
      <c r="BR977" s="50" t="n">
        <v>12</v>
      </c>
      <c r="BS977" s="49" t="n">
        <v>-74.97</v>
      </c>
      <c r="BT977" s="50" t="n">
        <v>8</v>
      </c>
      <c r="BU977" s="48"/>
      <c r="BV977" s="53" t="n">
        <v>0</v>
      </c>
      <c r="BW977" s="53" t="n">
        <v>977</v>
      </c>
      <c r="BX977" s="48" t="str">
        <f aca="false">IF(U977&lt;&gt;"",UPPER(TRIM(U977)),IF(CA977=1,UPPER(VLOOKUP(T977,Parameter!$I$27:$K$29,2,0)),IF(P977="","LOSE",P977)))</f>
        <v>S33</v>
      </c>
      <c r="BY977" s="50" t="n">
        <f aca="false">IF(BX977="LOSE",1,IF(N(V977)&gt;0,V977,IF(CA977=1,MAX(1,N(VLOOKUP(T977,Parameter!$I$27:$K$29,3,0)),H977,N(N977)),IF(N(Q977)&gt;0,Q977,MAX(1,H977)))))</f>
        <v>23</v>
      </c>
      <c r="BZ977" s="53" t="n">
        <f aca="false">IF(BX977="LOSE",1,0)</f>
        <v>0</v>
      </c>
      <c r="CA977" s="53" t="n">
        <f aca="false">IF(AND(U977="",OR(P977="",P977="LOSE"),T977&lt;&gt;"",N(S977)&lt;=0,ISNUMBER(MATCH(T977,Parameter!$I$27:$I$29,0))),1,0)</f>
        <v>0</v>
      </c>
      <c r="CB977" s="53" t="n">
        <f aca="false">IF(CQ977&gt;0,INDEX(Parameter!$H$5:$H$7,W977)/INDEX(Parameter!$E$5:$E$7,W977),IF(AND(BZ977=0,N(IFERROR(VLOOKUP(BX977,'Gebinde-Kategorie'!$A$5:$N$45,14,0),0))&gt;0),VLOOKUP(BX977,'Gebinde-Kategorie'!$A$5:$N$45,14,0)*10+Parameter!$M$23,Parameter!$M$24))</f>
        <v>155</v>
      </c>
      <c r="CC977" s="48" t="str">
        <f aca="false">IF(AND(Parameter!$B$19="Ja",E977&lt;&gt;"",ISNUMBER(MATCH(E977,Parameter!$I$35:$I$52,0))),VLOOKUP(E977,Parameter!$I$35:$J$52,2,0),IFERROR(VLOOKUP(D977,Parameter!$A$35:$C$64,2,0),"Nein"))</f>
        <v>2+3</v>
      </c>
      <c r="CD977" s="52" t="n">
        <f aca="false">IF(BZ977=0,0,IF(N(S977)&gt;0,S977,IFERROR(VLOOKUP(D977,Parameter!$A$35:$C$64,3,0)+0,0)))</f>
        <v>0</v>
      </c>
      <c r="CE977" s="48" t="n">
        <f aca="false">IF(AA977&lt;&gt;"",AA977,Z977)</f>
        <v>3</v>
      </c>
      <c r="CF977" s="48" t="str">
        <f aca="false">IF(OR(CE977=1,CE977=2,CE977=3),IF(Parameter!$E$27="Ja","LIFT",IF(CE977=1,"L1","L23")),IF(CE977="Aussen","Aussen","-"))</f>
        <v>LIFT</v>
      </c>
      <c r="CG977" s="59" t="n">
        <f aca="false">IF(N(AB977)&gt;0,AB977,0)</f>
        <v>0</v>
      </c>
      <c r="CH977" s="53" t="n">
        <f aca="false">IF(ISNUMBER(AE977),1,0)</f>
        <v>0</v>
      </c>
      <c r="CI977" s="50" t="n">
        <f aca="false">N(AE977)</f>
        <v>0</v>
      </c>
      <c r="CJ977" s="50" t="n">
        <f aca="false">N(M977)+N(N977)</f>
        <v>10</v>
      </c>
      <c r="CK977" s="50" t="n">
        <f aca="false">N(M977)</f>
        <v>0</v>
      </c>
      <c r="CL977" s="50" t="n">
        <f aca="false">N(N977)</f>
        <v>10</v>
      </c>
      <c r="CM977" s="50" t="n">
        <f aca="false">ROUNDUP(H977/BY977,0)</f>
        <v>1</v>
      </c>
      <c r="CN977" s="50" t="n">
        <f aca="false">ROUNDUP(CI977/BY977,0)</f>
        <v>0</v>
      </c>
      <c r="CO977" s="53" t="n">
        <f aca="false">IF(BZ977=1,0,IFERROR(VLOOKUP(BX977,'Gebinde-Kategorie'!$A$5:$N$45,5,0)+0,0))</f>
        <v>8</v>
      </c>
      <c r="CP977" s="53" t="n">
        <f aca="false">IFERROR(IF(OR(CE977=1,CE977=2,CE977=3),N(INDEX(Parameter!$I$5:$I$7,CE977)),0),0)</f>
        <v>0</v>
      </c>
      <c r="CQ977" s="52" t="n">
        <f aca="false">IF(AND(Parameter!$B$21="Ja",ISNUMBER(W977),N(X977)&gt;0),IFERROR(N(INDEX(Parameter!$L$5:$L$7,W977))*INDEX(Parameter!$E$5:$E$7,W977)*X977/SUMIFS($X$7:$X$1843,$W$7:$W$1843,W977),0),0)</f>
        <v>0</v>
      </c>
    </row>
    <row r="978" customFormat="false" ht="15" hidden="false" customHeight="false" outlineLevel="0" collapsed="false">
      <c r="A978" s="48" t="s">
        <v>1820</v>
      </c>
      <c r="B978" s="48" t="s">
        <v>962</v>
      </c>
      <c r="C978" s="48" t="s">
        <v>173</v>
      </c>
      <c r="D978" s="48" t="s">
        <v>193</v>
      </c>
      <c r="E978" s="48"/>
      <c r="F978" s="48" t="s">
        <v>227</v>
      </c>
      <c r="G978" s="49" t="n">
        <v>0.63</v>
      </c>
      <c r="H978" s="50" t="n">
        <f aca="false">MAX(0,IF(AND(Parameter!$B$21="Ja",ISNUMBER(Y978)),Y978,IF(Parameter!$B$20="Jahresanfang 2025 + Export",BR978+BQ978,BQ978)))</f>
        <v>0</v>
      </c>
      <c r="I978" s="50" t="n">
        <f aca="false">H978*G978</f>
        <v>0</v>
      </c>
      <c r="J978" s="50" t="n">
        <f aca="false">BT978*Parameter!$B$18</f>
        <v>0</v>
      </c>
      <c r="K978" s="51" t="n">
        <v>60</v>
      </c>
      <c r="L978" s="52" t="n">
        <v>0</v>
      </c>
      <c r="M978" s="50" t="n">
        <v>0</v>
      </c>
      <c r="N978" s="50" t="n">
        <v>1</v>
      </c>
      <c r="O978" s="53" t="n">
        <v>14</v>
      </c>
      <c r="P978" s="48" t="s">
        <v>177</v>
      </c>
      <c r="Q978" s="50"/>
      <c r="R978" s="53" t="n">
        <f aca="false">IF(BZ978=1,0,IFERROR(VLOOKUP(BX978,'Gebinde-Kategorie'!$A$5:$N$45,13,0)+0,0))</f>
        <v>26</v>
      </c>
      <c r="S978" s="54"/>
      <c r="T978" s="55" t="s">
        <v>284</v>
      </c>
      <c r="U978" s="55"/>
      <c r="V978" s="55"/>
      <c r="W978" s="48"/>
      <c r="X978" s="50"/>
      <c r="Y978" s="50"/>
      <c r="Z978" s="48" t="n">
        <f aca="false">IF(A978="","",IF(AND(Parameter!$B$21="Ja",ISNUMBER(W978)),W978,IF(CC978="2+3",IF(ISNUMBER(SEARCH("grosser Artikel",BU978)),2,IFERROR(VLOOKUP(BX978,Parameter!$F$35:$G$64,2,0),2)),IF(OR(CC978="Nein",CC978=""),"-",CC978))))</f>
        <v>3</v>
      </c>
      <c r="AA978" s="55"/>
      <c r="AB978" s="56"/>
      <c r="AC978" s="50" t="n">
        <f aca="false">AV978</f>
        <v>1</v>
      </c>
      <c r="AD978" s="50" t="n">
        <f aca="false">MAX(AV978,H978)</f>
        <v>1</v>
      </c>
      <c r="AE978" s="57"/>
      <c r="AF978" s="50" t="n">
        <f aca="false">IF(LEFT(Cockpit!$C$5,1)="A",H978,IF(Parameter!$E$30="MAX-Bestand",IF(CH978=1,CI978,IF(LEFT(Cockpit!$C$5,1)="B",AL978,MAX(AL978,H978))),ROUNDUP(AJ978,0)))</f>
        <v>0</v>
      </c>
      <c r="AG978" s="50" t="n">
        <f aca="false">IF(BZ978=1,0,ROUNDUP(AF978/BY978,0))</f>
        <v>0</v>
      </c>
      <c r="AH978" s="52" t="n">
        <f aca="false">IF(CQ978&gt;0,CQ978*MAX(1,AF978/X978),IF(BZ978=1,IF(AF978&lt;=0,0,CD978*MAX(1,IF(H978&gt;0,AF978/H978,1))),IF(R978&gt;0,AG978/R978,0))/MAX(0.1,N(Parameter!$M$21)))</f>
        <v>0</v>
      </c>
      <c r="AI978" s="50" t="n">
        <f aca="false">AH978*CB978</f>
        <v>0</v>
      </c>
      <c r="AJ978" s="51" t="n">
        <f aca="false">IF(LEFT(Cockpit!$C$5,1)="A",H978,IF(CH978=1,(CK978+CI978)/2,IF(LEFT(Cockpit!$C$5,1)="B",(CK978+AL978)/2,MAX((CK978+AL978)/2,H978))))</f>
        <v>0</v>
      </c>
      <c r="AK978" s="50" t="n">
        <f aca="false">AJ978*G978</f>
        <v>0</v>
      </c>
      <c r="AL978" s="50" t="n">
        <f aca="false">ROUNDUP(CK978+MAX(CL978,2*(J978/IF(CG978&gt;0,CG978,MAX(0.1,N(Cockpit!$C$6)))-CK978)),0)</f>
        <v>1</v>
      </c>
      <c r="AM978" s="51" t="n">
        <f aca="false">IF(AI978&gt;0,J978/AI978,-1)</f>
        <v>-1</v>
      </c>
      <c r="AN978" s="51" t="str">
        <f aca="false">IF(AND(OR(CF978="L1",CF978="L23",CF978="LIFT"),AI978&gt;0),SUMIFS($AI$7:$AI$1843,$CF$7:$CF$1843,CF978,$AM$7:$AM$1843,"&gt;"&amp;AM978)+SUMIFS($AI$7:$AI$1843,$CF$7:$CF$1843,CF978,$AM$7:$AM$1843,AM978,$BW$7:$BW$1843,"&lt;="&amp;BW978),"")</f>
        <v/>
      </c>
      <c r="AO978" s="58" t="n">
        <f aca="false">IF(AN978="",0,MAX(0,MIN(1,(IF(CF978="L1",Parameter!$H$5,IF(CF978="L23",Parameter!$H$6+Parameter!$H$7,Parameter!$H$5+Parameter!$H$6+Parameter!$H$7))-(AN978-AI978))/AI978)))</f>
        <v>0</v>
      </c>
      <c r="AP978" s="50" t="n">
        <f aca="false">IF(LEFT(Cockpit!$I$5,1)="A",H978,IF(Parameter!$E$30="MAX-Bestand",IF(CH978=1,CI978,IF(LEFT(Cockpit!$I$5,1)="B",AV978,MAX(AV978,H978))),ROUNDUP(AT978,0)))</f>
        <v>1</v>
      </c>
      <c r="AQ978" s="50" t="n">
        <f aca="false">IF(BZ978=1,0,ROUNDUP(AP978/BY978,0))</f>
        <v>1</v>
      </c>
      <c r="AR978" s="52" t="n">
        <f aca="false">IF(CQ978&gt;0,CQ978*MAX(1,AP978/X978),IF(BZ978=1,IF(AP978&lt;=0,0,CD978*MAX(1,IF(H978&gt;0,AP978/H978,1))),IF(R978&gt;0,AQ978/R978,0))/MAX(0.1,N(Parameter!$M$21)))</f>
        <v>0.0384615384615385</v>
      </c>
      <c r="AS978" s="50" t="n">
        <f aca="false">AR978*CB978</f>
        <v>5.96153846153846</v>
      </c>
      <c r="AT978" s="51" t="n">
        <f aca="false">IF(LEFT(Cockpit!$I$5,1)="A",H978,IF(CH978=1,(CK978+CI978)/2,IF(LEFT(Cockpit!$I$5,1)="B",(CK978+AV978)/2,MAX((CK978+AV978)/2,H978))))</f>
        <v>0.5</v>
      </c>
      <c r="AU978" s="50" t="n">
        <f aca="false">AT978*G978</f>
        <v>0.315</v>
      </c>
      <c r="AV978" s="50" t="n">
        <f aca="false">ROUNDUP(CK978+MAX(CL978,2*(J978/IF(CG978&gt;0,CG978,MAX(0.1,N(Cockpit!$I$6)))-CK978)),0)</f>
        <v>1</v>
      </c>
      <c r="AW978" s="51" t="n">
        <f aca="false">IF(AS978&gt;0,J978/AS978,-1)</f>
        <v>0</v>
      </c>
      <c r="AX978" s="51" t="n">
        <f aca="false">IF(AND(OR(CF978="L1",CF978="L23",CF978="LIFT"),AS978&gt;0),SUMIFS($AS$7:$AS$1843,$CF$7:$CF$1843,CF978,$AW$7:$AW$1843,"&gt;"&amp;AW978)+SUMIFS($AS$7:$AS$1843,$CF$7:$CF$1843,CF978,$AW$7:$AW$1843,AW978,$BW$7:$BW$1843,"&lt;="&amp;BW978),"")</f>
        <v>34584.1565934066</v>
      </c>
      <c r="AY978" s="58" t="n">
        <f aca="false">IF(AX978="",0,MAX(0,MIN(1,(IF(CF978="L1",Parameter!$H$5,IF(CF978="L23",Parameter!$H$6+Parameter!$H$7,Parameter!$H$5+Parameter!$H$6+Parameter!$H$7))-(AX978-AS978))/AS978)))</f>
        <v>1</v>
      </c>
      <c r="AZ978" s="50" t="n">
        <f aca="false">IF(LEFT(Cockpit!$O$5,1)="A",H978,IF(Parameter!$E$30="MAX-Bestand",IF(CH978=1,CI978,IF(LEFT(Cockpit!$O$5,1)="B",BF978,MAX(BF978,H978))),ROUNDUP(BD978,0)))</f>
        <v>1</v>
      </c>
      <c r="BA978" s="50" t="n">
        <f aca="false">IF(BZ978=1,0,ROUNDUP(AZ978/BY978,0))</f>
        <v>1</v>
      </c>
      <c r="BB978" s="52" t="n">
        <f aca="false">IF(CQ978&gt;0,CQ978*MAX(1,AZ978/X978),IF(BZ978=1,IF(AZ978&lt;=0,0,CD978*MAX(1,IF(H978&gt;0,AZ978/H978,1))),IF(R978&gt;0,BA978/R978,0))/MAX(0.1,N(Parameter!$M$21)))</f>
        <v>0.0384615384615385</v>
      </c>
      <c r="BC978" s="50" t="n">
        <f aca="false">BB978*CB978</f>
        <v>5.96153846153846</v>
      </c>
      <c r="BD978" s="51" t="n">
        <f aca="false">IF(LEFT(Cockpit!$O$5,1)="A",H978,IF(CH978=1,(CK978+CI978)/2,IF(LEFT(Cockpit!$O$5,1)="B",(CK978+BF978)/2,MAX((CK978+BF978)/2,H978))))</f>
        <v>0.5</v>
      </c>
      <c r="BE978" s="50" t="n">
        <f aca="false">BD978*G978</f>
        <v>0.315</v>
      </c>
      <c r="BF978" s="50" t="n">
        <f aca="false">ROUNDUP(CK978+MAX(CL978,2*(J978/IF(CG978&gt;0,CG978,MAX(0.1,N(Cockpit!$O$6)))-CK978)),0)</f>
        <v>1</v>
      </c>
      <c r="BG978" s="51" t="n">
        <f aca="false">IF(BC978&gt;0,J978/BC978,-1)</f>
        <v>0</v>
      </c>
      <c r="BH978" s="51" t="n">
        <f aca="false">IF(AND(OR(CF978="L1",CF978="L23",CF978="LIFT"),BC978&gt;0),SUMIFS($BC$7:$BC$1843,$CF$7:$CF$1843,CF978,$BG$7:$BG$1843,"&gt;"&amp;BG978)+SUMIFS($BC$7:$BC$1843,$CF$7:$CF$1843,CF978,$BG$7:$BG$1843,BG978,$BW$7:$BW$1843,"&lt;="&amp;BW978),"")</f>
        <v>28614.6555612467</v>
      </c>
      <c r="BI978" s="58" t="n">
        <f aca="false">IF(BH978="",0,MAX(0,MIN(1,(IF(CF978="L1",Parameter!$H$5,IF(CF978="L23",Parameter!$H$6+Parameter!$H$7,Parameter!$H$5+Parameter!$H$6+Parameter!$H$7))-(BH978-BC978))/BC978)))</f>
        <v>1</v>
      </c>
      <c r="BJ978" s="48" t="str">
        <f aca="false">IF(AI978&lt;=0,"",IF(CF978="Aussen","Aussenlager",IF(CF978="-","Nicht im Lift",IF(AO978&gt;=1,"Lift",IF(AO978&lt;=0,"Aussenlager","teilweise")))))</f>
        <v/>
      </c>
      <c r="BK978" s="48" t="str">
        <f aca="false">IF(AS978&lt;=0,"",IF(CF978="Aussen","Aussenlager",IF(CF978="-","Nicht im Lift",IF(AY978&gt;=1,"Lift",IF(AY978&lt;=0,"Aussenlager","teilweise")))))</f>
        <v>Lift</v>
      </c>
      <c r="BL978" s="48" t="str">
        <f aca="false">IF(BC978&lt;=0,"",IF(CF978="Aussen","Aussenlager",IF(CF978="-","Nicht im Lift",IF(BI978&gt;=1,"Lift",IF(BI978&lt;=0,"Aussenlager","teilweise")))))</f>
        <v>Lift</v>
      </c>
      <c r="BM978" s="48" t="str">
        <f aca="false">IF(A978="","",IF(BV978=1,"Neu; ","")&amp;IF(AND(BV978=0,BQ978&lt;0),"negativer Bestand (Export "&amp;BQ978&amp;"); ","")&amp;IF(J978&lt;=0,"Kein Verbrauch; ","")&amp;IF(CQ978&gt;0,"Lift "&amp;W978&amp;" lt. Liftbericht (Fach "&amp;X978&amp;" Stk); ",IF(CA978=1,"Gebinde geschätzt ("&amp;T978&amp;"); ",IF(BZ978=1,"Lose – Tablare geschätzt; ","")))&amp;IF(H978&gt;AV978,"Überbestand "&amp;ROUND(H978-AV978,0)&amp;" Stk / CHF "&amp;ROUND((H978-AV978)*G978,0)&amp;"; ","")&amp;IF(AND(CH978=1,CI978&lt;CJ978),"MAX &lt; MB+LG; ","")&amp;IF(AND(CP978&gt;0,CO978*10&gt;CP978),"zu hoch für Tablar; ","")&amp;IF(AND(BV978=0,OR(CH978=1,AA978&lt;&gt;"",U978&lt;&gt;"",V978&lt;&gt;"",AB978&lt;&gt;"")),"manuell übersteuert; ","")&amp;IF(AND(BZ978=0,R978=0),"Gebinde unbekannt / Stellmass fehlt; ","")&amp;IF(AND(BZ978=0,N(V978)&lt;=0,N(Q978)&lt;=0),"Menge pro Gebinde fehlt (Ist = 1 Gebinde); ","")&amp;BU978)</f>
        <v>negativer Bestand (Export -120); Kein Verbrauch; Gebinde geschätzt (Klein); Menge pro Gebinde fehlt (Ist = 1 Gebinde); </v>
      </c>
      <c r="BN978" s="48"/>
      <c r="BO978" s="48"/>
      <c r="BP978" s="55"/>
      <c r="BQ978" s="50" t="n">
        <v>-120</v>
      </c>
      <c r="BR978" s="50" t="n">
        <v>120</v>
      </c>
      <c r="BS978" s="49" t="n">
        <v>-75.6</v>
      </c>
      <c r="BT978" s="50" t="n">
        <v>0</v>
      </c>
      <c r="BU978" s="48"/>
      <c r="BV978" s="53" t="n">
        <v>0</v>
      </c>
      <c r="BW978" s="53" t="n">
        <v>978</v>
      </c>
      <c r="BX978" s="48" t="str">
        <f aca="false">IF(U978&lt;&gt;"",UPPER(TRIM(U978)),IF(CA978=1,UPPER(VLOOKUP(T978,Parameter!$I$27:$K$29,2,0)),IF(P978="","LOSE",P978)))</f>
        <v>S51</v>
      </c>
      <c r="BY978" s="50" t="n">
        <f aca="false">IF(BX978="LOSE",1,IF(N(V978)&gt;0,V978,IF(CA978=1,MAX(1,N(VLOOKUP(T978,Parameter!$I$27:$K$29,3,0)),H978,N(N978)),IF(N(Q978)&gt;0,Q978,MAX(1,H978)))))</f>
        <v>20</v>
      </c>
      <c r="BZ978" s="53" t="n">
        <f aca="false">IF(BX978="LOSE",1,0)</f>
        <v>0</v>
      </c>
      <c r="CA978" s="53" t="n">
        <f aca="false">IF(AND(U978="",OR(P978="",P978="LOSE"),T978&lt;&gt;"",N(S978)&lt;=0,ISNUMBER(MATCH(T978,Parameter!$I$27:$I$29,0))),1,0)</f>
        <v>1</v>
      </c>
      <c r="CB978" s="53" t="n">
        <f aca="false">IF(CQ978&gt;0,INDEX(Parameter!$H$5:$H$7,W978)/INDEX(Parameter!$E$5:$E$7,W978),IF(AND(BZ978=0,N(IFERROR(VLOOKUP(BX978,'Gebinde-Kategorie'!$A$5:$N$45,14,0),0))&gt;0),VLOOKUP(BX978,'Gebinde-Kategorie'!$A$5:$N$45,14,0)*10+Parameter!$M$23,Parameter!$M$24))</f>
        <v>155</v>
      </c>
      <c r="CC978" s="48" t="str">
        <f aca="false">IF(AND(Parameter!$B$19="Ja",E978&lt;&gt;"",ISNUMBER(MATCH(E978,Parameter!$I$35:$I$52,0))),VLOOKUP(E978,Parameter!$I$35:$J$52,2,0),IFERROR(VLOOKUP(D978,Parameter!$A$35:$C$64,2,0),"Nein"))</f>
        <v>2+3</v>
      </c>
      <c r="CD978" s="52" t="n">
        <f aca="false">IF(BZ978=0,0,IF(N(S978)&gt;0,S978,IFERROR(VLOOKUP(D978,Parameter!$A$35:$C$64,3,0)+0,0)))</f>
        <v>0</v>
      </c>
      <c r="CE978" s="48" t="n">
        <f aca="false">IF(AA978&lt;&gt;"",AA978,Z978)</f>
        <v>3</v>
      </c>
      <c r="CF978" s="48" t="str">
        <f aca="false">IF(OR(CE978=1,CE978=2,CE978=3),IF(Parameter!$E$27="Ja","LIFT",IF(CE978=1,"L1","L23")),IF(CE978="Aussen","Aussen","-"))</f>
        <v>LIFT</v>
      </c>
      <c r="CG978" s="59" t="n">
        <f aca="false">IF(N(AB978)&gt;0,AB978,0)</f>
        <v>0</v>
      </c>
      <c r="CH978" s="53" t="n">
        <f aca="false">IF(ISNUMBER(AE978),1,0)</f>
        <v>0</v>
      </c>
      <c r="CI978" s="50" t="n">
        <f aca="false">N(AE978)</f>
        <v>0</v>
      </c>
      <c r="CJ978" s="50" t="n">
        <f aca="false">N(M978)+N(N978)</f>
        <v>1</v>
      </c>
      <c r="CK978" s="50" t="n">
        <f aca="false">N(M978)</f>
        <v>0</v>
      </c>
      <c r="CL978" s="50" t="n">
        <f aca="false">N(N978)</f>
        <v>1</v>
      </c>
      <c r="CM978" s="50" t="n">
        <f aca="false">ROUNDUP(H978/BY978,0)</f>
        <v>0</v>
      </c>
      <c r="CN978" s="50" t="n">
        <f aca="false">ROUNDUP(CI978/BY978,0)</f>
        <v>0</v>
      </c>
      <c r="CO978" s="53" t="n">
        <f aca="false">IF(BZ978=1,0,IFERROR(VLOOKUP(BX978,'Gebinde-Kategorie'!$A$5:$N$45,5,0)+0,0))</f>
        <v>11</v>
      </c>
      <c r="CP978" s="53" t="n">
        <f aca="false">IFERROR(IF(OR(CE978=1,CE978=2,CE978=3),N(INDEX(Parameter!$I$5:$I$7,CE978)),0),0)</f>
        <v>0</v>
      </c>
      <c r="CQ978" s="52" t="n">
        <f aca="false">IF(AND(Parameter!$B$21="Ja",ISNUMBER(W978),N(X978)&gt;0),IFERROR(N(INDEX(Parameter!$L$5:$L$7,W978))*INDEX(Parameter!$E$5:$E$7,W978)*X978/SUMIFS($X$7:$X$1843,$W$7:$W$1843,W978),0),0)</f>
        <v>0</v>
      </c>
    </row>
    <row r="979" customFormat="false" ht="15" hidden="false" customHeight="false" outlineLevel="0" collapsed="false">
      <c r="A979" s="48" t="s">
        <v>1821</v>
      </c>
      <c r="B979" s="48" t="s">
        <v>1822</v>
      </c>
      <c r="C979" s="48" t="s">
        <v>173</v>
      </c>
      <c r="D979" s="48" t="s">
        <v>193</v>
      </c>
      <c r="E979" s="48"/>
      <c r="F979" s="48" t="s">
        <v>227</v>
      </c>
      <c r="G979" s="49" t="n">
        <v>37.82</v>
      </c>
      <c r="H979" s="50" t="n">
        <f aca="false">MAX(0,IF(AND(Parameter!$B$21="Ja",ISNUMBER(Y979)),Y979,IF(Parameter!$B$20="Jahresanfang 2025 + Export",BR979+BQ979,BQ979)))</f>
        <v>3</v>
      </c>
      <c r="I979" s="50" t="n">
        <f aca="false">H979*G979</f>
        <v>113.46</v>
      </c>
      <c r="J979" s="50" t="n">
        <f aca="false">BT979*Parameter!$B$18</f>
        <v>3</v>
      </c>
      <c r="K979" s="51" t="n">
        <v>3.5</v>
      </c>
      <c r="L979" s="52" t="n">
        <v>0.857142857142857</v>
      </c>
      <c r="M979" s="50" t="n">
        <v>0</v>
      </c>
      <c r="N979" s="50" t="n">
        <v>5</v>
      </c>
      <c r="O979" s="53" t="n">
        <v>70</v>
      </c>
      <c r="P979" s="48" t="s">
        <v>337</v>
      </c>
      <c r="Q979" s="50" t="n">
        <v>5</v>
      </c>
      <c r="R979" s="53" t="n">
        <f aca="false">IF(BZ979=1,0,IFERROR(VLOOKUP(BX979,'Gebinde-Kategorie'!$A$5:$N$45,13,0)+0,0))</f>
        <v>52</v>
      </c>
      <c r="S979" s="54"/>
      <c r="T979" s="55"/>
      <c r="U979" s="55"/>
      <c r="V979" s="55"/>
      <c r="W979" s="48"/>
      <c r="X979" s="50"/>
      <c r="Y979" s="50"/>
      <c r="Z979" s="48" t="n">
        <f aca="false">IF(A979="","",IF(AND(Parameter!$B$21="Ja",ISNUMBER(W979)),W979,IF(CC979="2+3",IF(ISNUMBER(SEARCH("grosser Artikel",BU979)),2,IFERROR(VLOOKUP(BX979,Parameter!$F$35:$G$64,2,0),2)),IF(OR(CC979="Nein",CC979=""),"-",CC979))))</f>
        <v>3</v>
      </c>
      <c r="AA979" s="55"/>
      <c r="AB979" s="56"/>
      <c r="AC979" s="50" t="n">
        <f aca="false">AV979</f>
        <v>5</v>
      </c>
      <c r="AD979" s="50" t="n">
        <f aca="false">MAX(AV979,H979)</f>
        <v>5</v>
      </c>
      <c r="AE979" s="57"/>
      <c r="AF979" s="50" t="n">
        <f aca="false">IF(LEFT(Cockpit!$C$5,1)="A",H979,IF(Parameter!$E$30="MAX-Bestand",IF(CH979=1,CI979,IF(LEFT(Cockpit!$C$5,1)="B",AL979,MAX(AL979,H979))),ROUNDUP(AJ979,0)))</f>
        <v>3</v>
      </c>
      <c r="AG979" s="50" t="n">
        <f aca="false">IF(BZ979=1,0,ROUNDUP(AF979/BY979,0))</f>
        <v>1</v>
      </c>
      <c r="AH979" s="52" t="n">
        <f aca="false">IF(CQ979&gt;0,CQ979*MAX(1,AF979/X979),IF(BZ979=1,IF(AF979&lt;=0,0,CD979*MAX(1,IF(H979&gt;0,AF979/H979,1))),IF(R979&gt;0,AG979/R979,0))/MAX(0.1,N(Parameter!$M$21)))</f>
        <v>0.0192307692307692</v>
      </c>
      <c r="AI979" s="50" t="n">
        <f aca="false">AH979*CB979</f>
        <v>2.98076923076923</v>
      </c>
      <c r="AJ979" s="51" t="n">
        <f aca="false">IF(LEFT(Cockpit!$C$5,1)="A",H979,IF(CH979=1,(CK979+CI979)/2,IF(LEFT(Cockpit!$C$5,1)="B",(CK979+AL979)/2,MAX((CK979+AL979)/2,H979))))</f>
        <v>3</v>
      </c>
      <c r="AK979" s="50" t="n">
        <f aca="false">AJ979*G979</f>
        <v>113.46</v>
      </c>
      <c r="AL979" s="50" t="n">
        <f aca="false">ROUNDUP(CK979+MAX(CL979,2*(J979/IF(CG979&gt;0,CG979,MAX(0.1,N(Cockpit!$C$6)))-CK979)),0)</f>
        <v>5</v>
      </c>
      <c r="AM979" s="51" t="n">
        <f aca="false">IF(AI979&gt;0,J979/AI979,-1)</f>
        <v>1.00645161290323</v>
      </c>
      <c r="AN979" s="51" t="n">
        <f aca="false">IF(AND(OR(CF979="L1",CF979="L23",CF979="LIFT"),AI979&gt;0),SUMIFS($AI$7:$AI$1843,$CF$7:$CF$1843,CF979,$AM$7:$AM$1843,"&gt;"&amp;AM979)+SUMIFS($AI$7:$AI$1843,$CF$7:$CF$1843,CF979,$AM$7:$AM$1843,AM979,$BW$7:$BW$1843,"&lt;="&amp;BW979),"")</f>
        <v>7041.50045787546</v>
      </c>
      <c r="AO979" s="58" t="n">
        <f aca="false">IF(AN979="",0,MAX(0,MIN(1,(IF(CF979="L1",Parameter!$H$5,IF(CF979="L23",Parameter!$H$6+Parameter!$H$7,Parameter!$H$5+Parameter!$H$6+Parameter!$H$7))-(AN979-AI979))/AI979)))</f>
        <v>1</v>
      </c>
      <c r="AP979" s="50" t="n">
        <f aca="false">IF(LEFT(Cockpit!$I$5,1)="A",H979,IF(Parameter!$E$30="MAX-Bestand",IF(CH979=1,CI979,IF(LEFT(Cockpit!$I$5,1)="B",AV979,MAX(AV979,H979))),ROUNDUP(AT979,0)))</f>
        <v>3</v>
      </c>
      <c r="AQ979" s="50" t="n">
        <f aca="false">IF(BZ979=1,0,ROUNDUP(AP979/BY979,0))</f>
        <v>1</v>
      </c>
      <c r="AR979" s="52" t="n">
        <f aca="false">IF(CQ979&gt;0,CQ979*MAX(1,AP979/X979),IF(BZ979=1,IF(AP979&lt;=0,0,CD979*MAX(1,IF(H979&gt;0,AP979/H979,1))),IF(R979&gt;0,AQ979/R979,0))/MAX(0.1,N(Parameter!$M$21)))</f>
        <v>0.0192307692307692</v>
      </c>
      <c r="AS979" s="50" t="n">
        <f aca="false">AR979*CB979</f>
        <v>2.98076923076923</v>
      </c>
      <c r="AT979" s="51" t="n">
        <f aca="false">IF(LEFT(Cockpit!$I$5,1)="A",H979,IF(CH979=1,(CK979+CI979)/2,IF(LEFT(Cockpit!$I$5,1)="B",(CK979+AV979)/2,MAX((CK979+AV979)/2,H979))))</f>
        <v>3</v>
      </c>
      <c r="AU979" s="50" t="n">
        <f aca="false">AT979*G979</f>
        <v>113.46</v>
      </c>
      <c r="AV979" s="50" t="n">
        <f aca="false">ROUNDUP(CK979+MAX(CL979,2*(J979/IF(CG979&gt;0,CG979,MAX(0.1,N(Cockpit!$I$6)))-CK979)),0)</f>
        <v>5</v>
      </c>
      <c r="AW979" s="51" t="n">
        <f aca="false">IF(AS979&gt;0,J979/AS979,-1)</f>
        <v>1.00645161290323</v>
      </c>
      <c r="AX979" s="51" t="n">
        <f aca="false">IF(AND(OR(CF979="L1",CF979="L23",CF979="LIFT"),AS979&gt;0),SUMIFS($AS$7:$AS$1843,$CF$7:$CF$1843,CF979,$AW$7:$AW$1843,"&gt;"&amp;AW979)+SUMIFS($AS$7:$AS$1843,$CF$7:$CF$1843,CF979,$AW$7:$AW$1843,AW979,$BW$7:$BW$1843,"&lt;="&amp;BW979),"")</f>
        <v>8413.18406593407</v>
      </c>
      <c r="AY979" s="58" t="n">
        <f aca="false">IF(AX979="",0,MAX(0,MIN(1,(IF(CF979="L1",Parameter!$H$5,IF(CF979="L23",Parameter!$H$6+Parameter!$H$7,Parameter!$H$5+Parameter!$H$6+Parameter!$H$7))-(AX979-AS979))/AS979)))</f>
        <v>1</v>
      </c>
      <c r="AZ979" s="50" t="n">
        <f aca="false">IF(LEFT(Cockpit!$O$5,1)="A",H979,IF(Parameter!$E$30="MAX-Bestand",IF(CH979=1,CI979,IF(LEFT(Cockpit!$O$5,1)="B",BF979,MAX(BF979,H979))),ROUNDUP(BD979,0)))</f>
        <v>3</v>
      </c>
      <c r="BA979" s="50" t="n">
        <f aca="false">IF(BZ979=1,0,ROUNDUP(AZ979/BY979,0))</f>
        <v>1</v>
      </c>
      <c r="BB979" s="52" t="n">
        <f aca="false">IF(CQ979&gt;0,CQ979*MAX(1,AZ979/X979),IF(BZ979=1,IF(AZ979&lt;=0,0,CD979*MAX(1,IF(H979&gt;0,AZ979/H979,1))),IF(R979&gt;0,BA979/R979,0))/MAX(0.1,N(Parameter!$M$21)))</f>
        <v>0.0192307692307692</v>
      </c>
      <c r="BC979" s="50" t="n">
        <f aca="false">BB979*CB979</f>
        <v>2.98076923076923</v>
      </c>
      <c r="BD979" s="51" t="n">
        <f aca="false">IF(LEFT(Cockpit!$O$5,1)="A",H979,IF(CH979=1,(CK979+CI979)/2,IF(LEFT(Cockpit!$O$5,1)="B",(CK979+BF979)/2,MAX((CK979+BF979)/2,H979))))</f>
        <v>2.5</v>
      </c>
      <c r="BE979" s="50" t="n">
        <f aca="false">BD979*G979</f>
        <v>94.55</v>
      </c>
      <c r="BF979" s="50" t="n">
        <f aca="false">ROUNDUP(CK979+MAX(CL979,2*(J979/IF(CG979&gt;0,CG979,MAX(0.1,N(Cockpit!$O$6)))-CK979)),0)</f>
        <v>5</v>
      </c>
      <c r="BG979" s="51" t="n">
        <f aca="false">IF(BC979&gt;0,J979/BC979,-1)</f>
        <v>1.00645161290323</v>
      </c>
      <c r="BH979" s="51" t="n">
        <f aca="false">IF(AND(OR(CF979="L1",CF979="L23",CF979="LIFT"),BC979&gt;0),SUMIFS($BC$7:$BC$1843,$CF$7:$CF$1843,CF979,$BG$7:$BG$1843,"&gt;"&amp;BG979)+SUMIFS($BC$7:$BC$1843,$CF$7:$CF$1843,CF979,$BG$7:$BG$1843,BG979,$BW$7:$BW$1843,"&lt;="&amp;BW979),"")</f>
        <v>7651.29716117216</v>
      </c>
      <c r="BI979" s="58" t="n">
        <f aca="false">IF(BH979="",0,MAX(0,MIN(1,(IF(CF979="L1",Parameter!$H$5,IF(CF979="L23",Parameter!$H$6+Parameter!$H$7,Parameter!$H$5+Parameter!$H$6+Parameter!$H$7))-(BH979-BC979))/BC979)))</f>
        <v>1</v>
      </c>
      <c r="BJ979" s="48" t="str">
        <f aca="false">IF(AI979&lt;=0,"",IF(CF979="Aussen","Aussenlager",IF(CF979="-","Nicht im Lift",IF(AO979&gt;=1,"Lift",IF(AO979&lt;=0,"Aussenlager","teilweise")))))</f>
        <v>Lift</v>
      </c>
      <c r="BK979" s="48" t="str">
        <f aca="false">IF(AS979&lt;=0,"",IF(CF979="Aussen","Aussenlager",IF(CF979="-","Nicht im Lift",IF(AY979&gt;=1,"Lift",IF(AY979&lt;=0,"Aussenlager","teilweise")))))</f>
        <v>Lift</v>
      </c>
      <c r="BL979" s="48" t="str">
        <f aca="false">IF(BC979&lt;=0,"",IF(CF979="Aussen","Aussenlager",IF(CF979="-","Nicht im Lift",IF(BI979&gt;=1,"Lift",IF(BI979&lt;=0,"Aussenlager","teilweise")))))</f>
        <v>Lift</v>
      </c>
      <c r="BM979" s="48" t="str">
        <f aca="false">IF(A979="","",IF(BV979=1,"Neu; ","")&amp;IF(AND(BV979=0,BQ979&lt;0),"negativer Bestand (Export "&amp;BQ979&amp;"); ","")&amp;IF(J979&lt;=0,"Kein Verbrauch; ","")&amp;IF(CQ979&gt;0,"Lift "&amp;W979&amp;" lt. Liftbericht (Fach "&amp;X979&amp;" Stk); ",IF(CA979=1,"Gebinde geschätzt ("&amp;T979&amp;"); ",IF(BZ979=1,"Lose – Tablare geschätzt; ","")))&amp;IF(H979&gt;AV979,"Überbestand "&amp;ROUND(H979-AV979,0)&amp;" Stk / CHF "&amp;ROUND((H979-AV979)*G979,0)&amp;"; ","")&amp;IF(AND(CH979=1,CI979&lt;CJ979),"MAX &lt; MB+LG; ","")&amp;IF(AND(CP979&gt;0,CO979*10&gt;CP979),"zu hoch für Tablar; ","")&amp;IF(AND(BV979=0,OR(CH979=1,AA979&lt;&gt;"",U979&lt;&gt;"",V979&lt;&gt;"",AB979&lt;&gt;"")),"manuell übersteuert; ","")&amp;IF(AND(BZ979=0,R979=0),"Gebinde unbekannt / Stellmass fehlt; ","")&amp;IF(AND(BZ979=0,N(V979)&lt;=0,N(Q979)&lt;=0),"Menge pro Gebinde fehlt (Ist = 1 Gebinde); ","")&amp;BU979)</f>
        <v>negativer Bestand (Export -2); Überbestand</v>
      </c>
      <c r="BN979" s="48"/>
      <c r="BO979" s="48"/>
      <c r="BP979" s="55"/>
      <c r="BQ979" s="50" t="n">
        <v>-2</v>
      </c>
      <c r="BR979" s="50" t="n">
        <v>5</v>
      </c>
      <c r="BS979" s="49" t="n">
        <v>-75.64</v>
      </c>
      <c r="BT979" s="50" t="n">
        <v>3</v>
      </c>
      <c r="BU979" s="48" t="s">
        <v>401</v>
      </c>
      <c r="BV979" s="53" t="n">
        <v>0</v>
      </c>
      <c r="BW979" s="53" t="n">
        <v>979</v>
      </c>
      <c r="BX979" s="48" t="str">
        <f aca="false">IF(U979&lt;&gt;"",UPPER(TRIM(U979)),IF(CA979=1,UPPER(VLOOKUP(T979,Parameter!$I$27:$K$29,2,0)),IF(P979="","LOSE",P979)))</f>
        <v>S41</v>
      </c>
      <c r="BY979" s="50" t="n">
        <f aca="false">IF(BX979="LOSE",1,IF(N(V979)&gt;0,V979,IF(CA979=1,MAX(1,N(VLOOKUP(T979,Parameter!$I$27:$K$29,3,0)),H979,N(N979)),IF(N(Q979)&gt;0,Q979,MAX(1,H979)))))</f>
        <v>5</v>
      </c>
      <c r="BZ979" s="53" t="n">
        <f aca="false">IF(BX979="LOSE",1,0)</f>
        <v>0</v>
      </c>
      <c r="CA979" s="53" t="n">
        <f aca="false">IF(AND(U979="",OR(P979="",P979="LOSE"),T979&lt;&gt;"",N(S979)&lt;=0,ISNUMBER(MATCH(T979,Parameter!$I$27:$I$29,0))),1,0)</f>
        <v>0</v>
      </c>
      <c r="CB979" s="53" t="n">
        <f aca="false">IF(CQ979&gt;0,INDEX(Parameter!$H$5:$H$7,W979)/INDEX(Parameter!$E$5:$E$7,W979),IF(AND(BZ979=0,N(IFERROR(VLOOKUP(BX979,'Gebinde-Kategorie'!$A$5:$N$45,14,0),0))&gt;0),VLOOKUP(BX979,'Gebinde-Kategorie'!$A$5:$N$45,14,0)*10+Parameter!$M$23,Parameter!$M$24))</f>
        <v>155</v>
      </c>
      <c r="CC979" s="48" t="str">
        <f aca="false">IF(AND(Parameter!$B$19="Ja",E979&lt;&gt;"",ISNUMBER(MATCH(E979,Parameter!$I$35:$I$52,0))),VLOOKUP(E979,Parameter!$I$35:$J$52,2,0),IFERROR(VLOOKUP(D979,Parameter!$A$35:$C$64,2,0),"Nein"))</f>
        <v>2+3</v>
      </c>
      <c r="CD979" s="52" t="n">
        <f aca="false">IF(BZ979=0,0,IF(N(S979)&gt;0,S979,IFERROR(VLOOKUP(D979,Parameter!$A$35:$C$64,3,0)+0,0)))</f>
        <v>0</v>
      </c>
      <c r="CE979" s="48" t="n">
        <f aca="false">IF(AA979&lt;&gt;"",AA979,Z979)</f>
        <v>3</v>
      </c>
      <c r="CF979" s="48" t="str">
        <f aca="false">IF(OR(CE979=1,CE979=2,CE979=3),IF(Parameter!$E$27="Ja","LIFT",IF(CE979=1,"L1","L23")),IF(CE979="Aussen","Aussen","-"))</f>
        <v>LIFT</v>
      </c>
      <c r="CG979" s="59" t="n">
        <f aca="false">IF(N(AB979)&gt;0,AB979,0)</f>
        <v>0</v>
      </c>
      <c r="CH979" s="53" t="n">
        <f aca="false">IF(ISNUMBER(AE979),1,0)</f>
        <v>0</v>
      </c>
      <c r="CI979" s="50" t="n">
        <f aca="false">N(AE979)</f>
        <v>0</v>
      </c>
      <c r="CJ979" s="50" t="n">
        <f aca="false">N(M979)+N(N979)</f>
        <v>5</v>
      </c>
      <c r="CK979" s="50" t="n">
        <f aca="false">N(M979)</f>
        <v>0</v>
      </c>
      <c r="CL979" s="50" t="n">
        <f aca="false">N(N979)</f>
        <v>5</v>
      </c>
      <c r="CM979" s="50" t="n">
        <f aca="false">ROUNDUP(H979/BY979,0)</f>
        <v>1</v>
      </c>
      <c r="CN979" s="50" t="n">
        <f aca="false">ROUNDUP(CI979/BY979,0)</f>
        <v>0</v>
      </c>
      <c r="CO979" s="53" t="n">
        <f aca="false">IF(BZ979=1,0,IFERROR(VLOOKUP(BX979,'Gebinde-Kategorie'!$A$5:$N$45,5,0)+0,0))</f>
        <v>11</v>
      </c>
      <c r="CP979" s="53" t="n">
        <f aca="false">IFERROR(IF(OR(CE979=1,CE979=2,CE979=3),N(INDEX(Parameter!$I$5:$I$7,CE979)),0),0)</f>
        <v>0</v>
      </c>
      <c r="CQ979" s="52" t="n">
        <f aca="false">IF(AND(Parameter!$B$21="Ja",ISNUMBER(W979),N(X979)&gt;0),IFERROR(N(INDEX(Parameter!$L$5:$L$7,W979))*INDEX(Parameter!$E$5:$E$7,W979)*X979/SUMIFS($X$7:$X$1843,$W$7:$W$1843,W979),0),0)</f>
        <v>0</v>
      </c>
    </row>
    <row r="980" customFormat="false" ht="15" hidden="false" customHeight="false" outlineLevel="0" collapsed="false">
      <c r="A980" s="48" t="s">
        <v>1823</v>
      </c>
      <c r="B980" s="48" t="s">
        <v>1824</v>
      </c>
      <c r="C980" s="48" t="s">
        <v>176</v>
      </c>
      <c r="D980" s="48" t="s">
        <v>193</v>
      </c>
      <c r="E980" s="48" t="s">
        <v>194</v>
      </c>
      <c r="F980" s="48" t="s">
        <v>227</v>
      </c>
      <c r="G980" s="49" t="n">
        <v>4.45</v>
      </c>
      <c r="H980" s="50" t="n">
        <f aca="false">MAX(0,IF(AND(Parameter!$B$21="Ja",ISNUMBER(Y980)),Y980,IF(Parameter!$B$20="Jahresanfang 2025 + Export",BR980+BQ980,BQ980)))</f>
        <v>98</v>
      </c>
      <c r="I980" s="50" t="n">
        <f aca="false">H980*G980</f>
        <v>436.1</v>
      </c>
      <c r="J980" s="50" t="n">
        <f aca="false">BT980*Parameter!$B$18</f>
        <v>0</v>
      </c>
      <c r="K980" s="51" t="n">
        <v>110</v>
      </c>
      <c r="L980" s="52" t="n">
        <v>0</v>
      </c>
      <c r="M980" s="50" t="n">
        <v>0</v>
      </c>
      <c r="N980" s="50" t="n">
        <v>1</v>
      </c>
      <c r="O980" s="53" t="n">
        <v>14</v>
      </c>
      <c r="P980" s="48" t="s">
        <v>430</v>
      </c>
      <c r="Q980" s="50" t="n">
        <v>20</v>
      </c>
      <c r="R980" s="53" t="n">
        <f aca="false">IF(BZ980=1,0,IFERROR(VLOOKUP(BX980,'Gebinde-Kategorie'!$A$5:$N$45,13,0)+0,0))</f>
        <v>104</v>
      </c>
      <c r="S980" s="54"/>
      <c r="T980" s="55"/>
      <c r="U980" s="55"/>
      <c r="V980" s="55"/>
      <c r="W980" s="48"/>
      <c r="X980" s="50"/>
      <c r="Y980" s="50"/>
      <c r="Z980" s="48" t="n">
        <f aca="false">IF(A980="","",IF(AND(Parameter!$B$21="Ja",ISNUMBER(W980)),W980,IF(CC980="2+3",IF(ISNUMBER(SEARCH("grosser Artikel",BU980)),2,IFERROR(VLOOKUP(BX980,Parameter!$F$35:$G$64,2,0),2)),IF(OR(CC980="Nein",CC980=""),"-",CC980))))</f>
        <v>3</v>
      </c>
      <c r="AA980" s="55"/>
      <c r="AB980" s="56"/>
      <c r="AC980" s="50" t="n">
        <f aca="false">AV980</f>
        <v>1</v>
      </c>
      <c r="AD980" s="50" t="n">
        <f aca="false">MAX(AV980,H980)</f>
        <v>98</v>
      </c>
      <c r="AE980" s="57"/>
      <c r="AF980" s="50" t="n">
        <f aca="false">IF(LEFT(Cockpit!$C$5,1)="A",H980,IF(Parameter!$E$30="MAX-Bestand",IF(CH980=1,CI980,IF(LEFT(Cockpit!$C$5,1)="B",AL980,MAX(AL980,H980))),ROUNDUP(AJ980,0)))</f>
        <v>98</v>
      </c>
      <c r="AG980" s="50" t="n">
        <f aca="false">IF(BZ980=1,0,ROUNDUP(AF980/BY980,0))</f>
        <v>5</v>
      </c>
      <c r="AH980" s="52" t="n">
        <f aca="false">IF(CQ980&gt;0,CQ980*MAX(1,AF980/X980),IF(BZ980=1,IF(AF980&lt;=0,0,CD980*MAX(1,IF(H980&gt;0,AF980/H980,1))),IF(R980&gt;0,AG980/R980,0))/MAX(0.1,N(Parameter!$M$21)))</f>
        <v>0.0480769230769231</v>
      </c>
      <c r="AI980" s="50" t="n">
        <f aca="false">AH980*CB980</f>
        <v>7.45192307692308</v>
      </c>
      <c r="AJ980" s="51" t="n">
        <f aca="false">IF(LEFT(Cockpit!$C$5,1)="A",H980,IF(CH980=1,(CK980+CI980)/2,IF(LEFT(Cockpit!$C$5,1)="B",(CK980+AL980)/2,MAX((CK980+AL980)/2,H980))))</f>
        <v>98</v>
      </c>
      <c r="AK980" s="50" t="n">
        <f aca="false">AJ980*G980</f>
        <v>436.1</v>
      </c>
      <c r="AL980" s="50" t="n">
        <f aca="false">ROUNDUP(CK980+MAX(CL980,2*(J980/IF(CG980&gt;0,CG980,MAX(0.1,N(Cockpit!$C$6)))-CK980)),0)</f>
        <v>1</v>
      </c>
      <c r="AM980" s="51" t="n">
        <f aca="false">IF(AI980&gt;0,J980/AI980,-1)</f>
        <v>0</v>
      </c>
      <c r="AN980" s="51" t="n">
        <f aca="false">IF(AND(OR(CF980="L1",CF980="L23",CF980="LIFT"),AI980&gt;0),SUMIFS($AI$7:$AI$1843,$CF$7:$CF$1843,CF980,$AM$7:$AM$1843,"&gt;"&amp;AM980)+SUMIFS($AI$7:$AI$1843,$CF$7:$CF$1843,CF980,$AM$7:$AM$1843,AM980,$BW$7:$BW$1843,"&lt;="&amp;BW980),"")</f>
        <v>28917.7139959852</v>
      </c>
      <c r="AO980" s="58" t="n">
        <f aca="false">IF(AN980="",0,MAX(0,MIN(1,(IF(CF980="L1",Parameter!$H$5,IF(CF980="L23",Parameter!$H$6+Parameter!$H$7,Parameter!$H$5+Parameter!$H$6+Parameter!$H$7))-(AN980-AI980))/AI980)))</f>
        <v>1</v>
      </c>
      <c r="AP980" s="50" t="n">
        <f aca="false">IF(LEFT(Cockpit!$I$5,1)="A",H980,IF(Parameter!$E$30="MAX-Bestand",IF(CH980=1,CI980,IF(LEFT(Cockpit!$I$5,1)="B",AV980,MAX(AV980,H980))),ROUNDUP(AT980,0)))</f>
        <v>98</v>
      </c>
      <c r="AQ980" s="50" t="n">
        <f aca="false">IF(BZ980=1,0,ROUNDUP(AP980/BY980,0))</f>
        <v>5</v>
      </c>
      <c r="AR980" s="52" t="n">
        <f aca="false">IF(CQ980&gt;0,CQ980*MAX(1,AP980/X980),IF(BZ980=1,IF(AP980&lt;=0,0,CD980*MAX(1,IF(H980&gt;0,AP980/H980,1))),IF(R980&gt;0,AQ980/R980,0))/MAX(0.1,N(Parameter!$M$21)))</f>
        <v>0.0480769230769231</v>
      </c>
      <c r="AS980" s="50" t="n">
        <f aca="false">AR980*CB980</f>
        <v>7.45192307692308</v>
      </c>
      <c r="AT980" s="51" t="n">
        <f aca="false">IF(LEFT(Cockpit!$I$5,1)="A",H980,IF(CH980=1,(CK980+CI980)/2,IF(LEFT(Cockpit!$I$5,1)="B",(CK980+AV980)/2,MAX((CK980+AV980)/2,H980))))</f>
        <v>98</v>
      </c>
      <c r="AU980" s="50" t="n">
        <f aca="false">AT980*G980</f>
        <v>436.1</v>
      </c>
      <c r="AV980" s="50" t="n">
        <f aca="false">ROUNDUP(CK980+MAX(CL980,2*(J980/IF(CG980&gt;0,CG980,MAX(0.1,N(Cockpit!$I$6)))-CK980)),0)</f>
        <v>1</v>
      </c>
      <c r="AW980" s="51" t="n">
        <f aca="false">IF(AS980&gt;0,J980/AS980,-1)</f>
        <v>0</v>
      </c>
      <c r="AX980" s="51" t="n">
        <f aca="false">IF(AND(OR(CF980="L1",CF980="L23",CF980="LIFT"),AS980&gt;0),SUMIFS($AS$7:$AS$1843,$CF$7:$CF$1843,CF980,$AW$7:$AW$1843,"&gt;"&amp;AW980)+SUMIFS($AS$7:$AS$1843,$CF$7:$CF$1843,CF980,$AW$7:$AW$1843,AW980,$BW$7:$BW$1843,"&lt;="&amp;BW980),"")</f>
        <v>34591.6085164835</v>
      </c>
      <c r="AY980" s="58" t="n">
        <f aca="false">IF(AX980="",0,MAX(0,MIN(1,(IF(CF980="L1",Parameter!$H$5,IF(CF980="L23",Parameter!$H$6+Parameter!$H$7,Parameter!$H$5+Parameter!$H$6+Parameter!$H$7))-(AX980-AS980))/AS980)))</f>
        <v>1</v>
      </c>
      <c r="AZ980" s="50" t="n">
        <f aca="false">IF(LEFT(Cockpit!$O$5,1)="A",H980,IF(Parameter!$E$30="MAX-Bestand",IF(CH980=1,CI980,IF(LEFT(Cockpit!$O$5,1)="B",BF980,MAX(BF980,H980))),ROUNDUP(BD980,0)))</f>
        <v>1</v>
      </c>
      <c r="BA980" s="50" t="n">
        <f aca="false">IF(BZ980=1,0,ROUNDUP(AZ980/BY980,0))</f>
        <v>1</v>
      </c>
      <c r="BB980" s="52" t="n">
        <f aca="false">IF(CQ980&gt;0,CQ980*MAX(1,AZ980/X980),IF(BZ980=1,IF(AZ980&lt;=0,0,CD980*MAX(1,IF(H980&gt;0,AZ980/H980,1))),IF(R980&gt;0,BA980/R980,0))/MAX(0.1,N(Parameter!$M$21)))</f>
        <v>0.00961538461538462</v>
      </c>
      <c r="BC980" s="50" t="n">
        <f aca="false">BB980*CB980</f>
        <v>1.49038461538462</v>
      </c>
      <c r="BD980" s="51" t="n">
        <f aca="false">IF(LEFT(Cockpit!$O$5,1)="A",H980,IF(CH980=1,(CK980+CI980)/2,IF(LEFT(Cockpit!$O$5,1)="B",(CK980+BF980)/2,MAX((CK980+BF980)/2,H980))))</f>
        <v>0.5</v>
      </c>
      <c r="BE980" s="50" t="n">
        <f aca="false">BD980*G980</f>
        <v>2.225</v>
      </c>
      <c r="BF980" s="50" t="n">
        <f aca="false">ROUNDUP(CK980+MAX(CL980,2*(J980/IF(CG980&gt;0,CG980,MAX(0.1,N(Cockpit!$O$6)))-CK980)),0)</f>
        <v>1</v>
      </c>
      <c r="BG980" s="51" t="n">
        <f aca="false">IF(BC980&gt;0,J980/BC980,-1)</f>
        <v>0</v>
      </c>
      <c r="BH980" s="51" t="n">
        <f aca="false">IF(AND(OR(CF980="L1",CF980="L23",CF980="LIFT"),BC980&gt;0),SUMIFS($BC$7:$BC$1843,$CF$7:$CF$1843,CF980,$BG$7:$BG$1843,"&gt;"&amp;BG980)+SUMIFS($BC$7:$BC$1843,$CF$7:$CF$1843,CF980,$BG$7:$BG$1843,BG980,$BW$7:$BW$1843,"&lt;="&amp;BW980),"")</f>
        <v>28616.1459458621</v>
      </c>
      <c r="BI980" s="58" t="n">
        <f aca="false">IF(BH980="",0,MAX(0,MIN(1,(IF(CF980="L1",Parameter!$H$5,IF(CF980="L23",Parameter!$H$6+Parameter!$H$7,Parameter!$H$5+Parameter!$H$6+Parameter!$H$7))-(BH980-BC980))/BC980)))</f>
        <v>1</v>
      </c>
      <c r="BJ980" s="48" t="str">
        <f aca="false">IF(AI980&lt;=0,"",IF(CF980="Aussen","Aussenlager",IF(CF980="-","Nicht im Lift",IF(AO980&gt;=1,"Lift",IF(AO980&lt;=0,"Aussenlager","teilweise")))))</f>
        <v>Lift</v>
      </c>
      <c r="BK980" s="48" t="str">
        <f aca="false">IF(AS980&lt;=0,"",IF(CF980="Aussen","Aussenlager",IF(CF980="-","Nicht im Lift",IF(AY980&gt;=1,"Lift",IF(AY980&lt;=0,"Aussenlager","teilweise")))))</f>
        <v>Lift</v>
      </c>
      <c r="BL980" s="48" t="str">
        <f aca="false">IF(BC980&lt;=0,"",IF(CF980="Aussen","Aussenlager",IF(CF980="-","Nicht im Lift",IF(BI980&gt;=1,"Lift",IF(BI980&lt;=0,"Aussenlager","teilweise")))))</f>
        <v>Lift</v>
      </c>
      <c r="BM980" s="48" t="str">
        <f aca="false">IF(A980="","",IF(BV980=1,"Neu; ","")&amp;IF(AND(BV980=0,BQ980&lt;0),"negativer Bestand (Export "&amp;BQ980&amp;"); ","")&amp;IF(J980&lt;=0,"Kein Verbrauch; ","")&amp;IF(CQ980&gt;0,"Lift "&amp;W980&amp;" lt. Liftbericht (Fach "&amp;X980&amp;" Stk); ",IF(CA980=1,"Gebinde geschätzt ("&amp;T980&amp;"); ",IF(BZ980=1,"Lose – Tablare geschätzt; ","")))&amp;IF(H980&gt;AV980,"Überbestand "&amp;ROUND(H980-AV980,0)&amp;" Stk / CHF "&amp;ROUND((H980-AV980)*G980,0)&amp;"; ","")&amp;IF(AND(CH980=1,CI980&lt;CJ980),"MAX &lt; MB+LG; ","")&amp;IF(AND(CP980&gt;0,CO980*10&gt;CP980),"zu hoch für Tablar; ","")&amp;IF(AND(BV980=0,OR(CH980=1,AA980&lt;&gt;"",U980&lt;&gt;"",V980&lt;&gt;"",AB980&lt;&gt;"")),"manuell übersteuert; ","")&amp;IF(AND(BZ980=0,R980=0),"Gebinde unbekannt / Stellmass fehlt; ","")&amp;IF(AND(BZ980=0,N(V980)&lt;=0,N(Q980)&lt;=0),"Menge pro Gebinde fehlt (Ist = 1 Gebinde); ","")&amp;BU980)</f>
        <v>negativer Bestand (Export -17); Kein Verbrauch; Überbestand 97 Stk / CHF 432; Verb.Lager</v>
      </c>
      <c r="BN980" s="48"/>
      <c r="BO980" s="48"/>
      <c r="BP980" s="55"/>
      <c r="BQ980" s="50" t="n">
        <v>-17</v>
      </c>
      <c r="BR980" s="50" t="n">
        <v>115</v>
      </c>
      <c r="BS980" s="49" t="n">
        <v>-75.65</v>
      </c>
      <c r="BT980" s="50" t="n">
        <v>0</v>
      </c>
      <c r="BU980" s="48" t="s">
        <v>1039</v>
      </c>
      <c r="BV980" s="53" t="n">
        <v>0</v>
      </c>
      <c r="BW980" s="53" t="n">
        <v>980</v>
      </c>
      <c r="BX980" s="48" t="str">
        <f aca="false">IF(U980&lt;&gt;"",UPPER(TRIM(U980)),IF(CA980=1,UPPER(VLOOKUP(T980,Parameter!$I$27:$K$29,2,0)),IF(P980="","LOSE",P980)))</f>
        <v>S32</v>
      </c>
      <c r="BY980" s="50" t="n">
        <f aca="false">IF(BX980="LOSE",1,IF(N(V980)&gt;0,V980,IF(CA980=1,MAX(1,N(VLOOKUP(T980,Parameter!$I$27:$K$29,3,0)),H980,N(N980)),IF(N(Q980)&gt;0,Q980,MAX(1,H980)))))</f>
        <v>20</v>
      </c>
      <c r="BZ980" s="53" t="n">
        <f aca="false">IF(BX980="LOSE",1,0)</f>
        <v>0</v>
      </c>
      <c r="CA980" s="53" t="n">
        <f aca="false">IF(AND(U980="",OR(P980="",P980="LOSE"),T980&lt;&gt;"",N(S980)&lt;=0,ISNUMBER(MATCH(T980,Parameter!$I$27:$I$29,0))),1,0)</f>
        <v>0</v>
      </c>
      <c r="CB980" s="53" t="n">
        <f aca="false">IF(CQ980&gt;0,INDEX(Parameter!$H$5:$H$7,W980)/INDEX(Parameter!$E$5:$E$7,W980),IF(AND(BZ980=0,N(IFERROR(VLOOKUP(BX980,'Gebinde-Kategorie'!$A$5:$N$45,14,0),0))&gt;0),VLOOKUP(BX980,'Gebinde-Kategorie'!$A$5:$N$45,14,0)*10+Parameter!$M$23,Parameter!$M$24))</f>
        <v>155</v>
      </c>
      <c r="CC980" s="48" t="str">
        <f aca="false">IF(AND(Parameter!$B$19="Ja",E980&lt;&gt;"",ISNUMBER(MATCH(E980,Parameter!$I$35:$I$52,0))),VLOOKUP(E980,Parameter!$I$35:$J$52,2,0),IFERROR(VLOOKUP(D980,Parameter!$A$35:$C$64,2,0),"Nein"))</f>
        <v>2+3</v>
      </c>
      <c r="CD980" s="52" t="n">
        <f aca="false">IF(BZ980=0,0,IF(N(S980)&gt;0,S980,IFERROR(VLOOKUP(D980,Parameter!$A$35:$C$64,3,0)+0,0)))</f>
        <v>0</v>
      </c>
      <c r="CE980" s="48" t="n">
        <f aca="false">IF(AA980&lt;&gt;"",AA980,Z980)</f>
        <v>3</v>
      </c>
      <c r="CF980" s="48" t="str">
        <f aca="false">IF(OR(CE980=1,CE980=2,CE980=3),IF(Parameter!$E$27="Ja","LIFT",IF(CE980=1,"L1","L23")),IF(CE980="Aussen","Aussen","-"))</f>
        <v>LIFT</v>
      </c>
      <c r="CG980" s="59" t="n">
        <f aca="false">IF(N(AB980)&gt;0,AB980,0)</f>
        <v>0</v>
      </c>
      <c r="CH980" s="53" t="n">
        <f aca="false">IF(ISNUMBER(AE980),1,0)</f>
        <v>0</v>
      </c>
      <c r="CI980" s="50" t="n">
        <f aca="false">N(AE980)</f>
        <v>0</v>
      </c>
      <c r="CJ980" s="50" t="n">
        <f aca="false">N(M980)+N(N980)</f>
        <v>1</v>
      </c>
      <c r="CK980" s="50" t="n">
        <f aca="false">N(M980)</f>
        <v>0</v>
      </c>
      <c r="CL980" s="50" t="n">
        <f aca="false">N(N980)</f>
        <v>1</v>
      </c>
      <c r="CM980" s="50" t="n">
        <f aca="false">ROUNDUP(H980/BY980,0)</f>
        <v>5</v>
      </c>
      <c r="CN980" s="50" t="n">
        <f aca="false">ROUNDUP(CI980/BY980,0)</f>
        <v>0</v>
      </c>
      <c r="CO980" s="53" t="n">
        <f aca="false">IF(BZ980=1,0,IFERROR(VLOOKUP(BX980,'Gebinde-Kategorie'!$A$5:$N$45,5,0)+0,0))</f>
        <v>8</v>
      </c>
      <c r="CP980" s="53" t="n">
        <f aca="false">IFERROR(IF(OR(CE980=1,CE980=2,CE980=3),N(INDEX(Parameter!$I$5:$I$7,CE980)),0),0)</f>
        <v>0</v>
      </c>
      <c r="CQ980" s="52" t="n">
        <f aca="false">IF(AND(Parameter!$B$21="Ja",ISNUMBER(W980),N(X980)&gt;0),IFERROR(N(INDEX(Parameter!$L$5:$L$7,W980))*INDEX(Parameter!$E$5:$E$7,W980)*X980/SUMIFS($X$7:$X$1843,$W$7:$W$1843,W980),0),0)</f>
        <v>0</v>
      </c>
    </row>
    <row r="981" customFormat="false" ht="15" hidden="false" customHeight="false" outlineLevel="0" collapsed="false">
      <c r="A981" s="48" t="s">
        <v>1825</v>
      </c>
      <c r="B981" s="48" t="s">
        <v>870</v>
      </c>
      <c r="C981" s="48" t="s">
        <v>173</v>
      </c>
      <c r="D981" s="48" t="s">
        <v>193</v>
      </c>
      <c r="E981" s="48"/>
      <c r="F981" s="48" t="s">
        <v>227</v>
      </c>
      <c r="G981" s="49" t="n">
        <v>37.92</v>
      </c>
      <c r="H981" s="50" t="n">
        <f aca="false">MAX(0,IF(AND(Parameter!$B$21="Ja",ISNUMBER(Y981)),Y981,IF(Parameter!$B$20="Jahresanfang 2025 + Export",BR981+BQ981,BQ981)))</f>
        <v>18</v>
      </c>
      <c r="I981" s="50" t="n">
        <f aca="false">H981*G981</f>
        <v>682.56</v>
      </c>
      <c r="J981" s="50" t="n">
        <f aca="false">BT981*Parameter!$B$18</f>
        <v>4</v>
      </c>
      <c r="K981" s="51" t="n">
        <v>19</v>
      </c>
      <c r="L981" s="52" t="n">
        <v>0.210526315789474</v>
      </c>
      <c r="M981" s="50" t="n">
        <v>0</v>
      </c>
      <c r="N981" s="50" t="n">
        <v>5</v>
      </c>
      <c r="O981" s="53" t="n">
        <v>28</v>
      </c>
      <c r="P981" s="48" t="s">
        <v>435</v>
      </c>
      <c r="Q981" s="50" t="n">
        <v>20</v>
      </c>
      <c r="R981" s="53" t="n">
        <f aca="false">IF(BZ981=1,0,IFERROR(VLOOKUP(BX981,'Gebinde-Kategorie'!$A$5:$N$45,13,0)+0,0))</f>
        <v>140</v>
      </c>
      <c r="S981" s="54"/>
      <c r="T981" s="55"/>
      <c r="U981" s="55"/>
      <c r="V981" s="55"/>
      <c r="W981" s="48"/>
      <c r="X981" s="50"/>
      <c r="Y981" s="50"/>
      <c r="Z981" s="48" t="n">
        <f aca="false">IF(A981="","",IF(AND(Parameter!$B$21="Ja",ISNUMBER(W981)),W981,IF(CC981="2+3",IF(ISNUMBER(SEARCH("grosser Artikel",BU981)),2,IFERROR(VLOOKUP(BX981,Parameter!$F$35:$G$64,2,0),2)),IF(OR(CC981="Nein",CC981=""),"-",CC981))))</f>
        <v>3</v>
      </c>
      <c r="AA981" s="55"/>
      <c r="AB981" s="56"/>
      <c r="AC981" s="50" t="n">
        <f aca="false">AV981</f>
        <v>5</v>
      </c>
      <c r="AD981" s="50" t="n">
        <f aca="false">MAX(AV981,H981)</f>
        <v>18</v>
      </c>
      <c r="AE981" s="57"/>
      <c r="AF981" s="50" t="n">
        <f aca="false">IF(LEFT(Cockpit!$C$5,1)="A",H981,IF(Parameter!$E$30="MAX-Bestand",IF(CH981=1,CI981,IF(LEFT(Cockpit!$C$5,1)="B",AL981,MAX(AL981,H981))),ROUNDUP(AJ981,0)))</f>
        <v>18</v>
      </c>
      <c r="AG981" s="50" t="n">
        <f aca="false">IF(BZ981=1,0,ROUNDUP(AF981/BY981,0))</f>
        <v>1</v>
      </c>
      <c r="AH981" s="52" t="n">
        <f aca="false">IF(CQ981&gt;0,CQ981*MAX(1,AF981/X981),IF(BZ981=1,IF(AF981&lt;=0,0,CD981*MAX(1,IF(H981&gt;0,AF981/H981,1))),IF(R981&gt;0,AG981/R981,0))/MAX(0.1,N(Parameter!$M$21)))</f>
        <v>0.00714285714285714</v>
      </c>
      <c r="AI981" s="50" t="n">
        <f aca="false">AH981*CB981</f>
        <v>1.10714285714286</v>
      </c>
      <c r="AJ981" s="51" t="n">
        <f aca="false">IF(LEFT(Cockpit!$C$5,1)="A",H981,IF(CH981=1,(CK981+CI981)/2,IF(LEFT(Cockpit!$C$5,1)="B",(CK981+AL981)/2,MAX((CK981+AL981)/2,H981))))</f>
        <v>18</v>
      </c>
      <c r="AK981" s="50" t="n">
        <f aca="false">AJ981*G981</f>
        <v>682.56</v>
      </c>
      <c r="AL981" s="50" t="n">
        <f aca="false">ROUNDUP(CK981+MAX(CL981,2*(J981/IF(CG981&gt;0,CG981,MAX(0.1,N(Cockpit!$C$6)))-CK981)),0)</f>
        <v>5</v>
      </c>
      <c r="AM981" s="51" t="n">
        <f aca="false">IF(AI981&gt;0,J981/AI981,-1)</f>
        <v>3.61290322580645</v>
      </c>
      <c r="AN981" s="51" t="n">
        <f aca="false">IF(AND(OR(CF981="L1",CF981="L23",CF981="LIFT"),AI981&gt;0),SUMIFS($AI$7:$AI$1843,$CF$7:$CF$1843,CF981,$AM$7:$AM$1843,"&gt;"&amp;AM981)+SUMIFS($AI$7:$AI$1843,$CF$7:$CF$1843,CF981,$AM$7:$AM$1843,AM981,$BW$7:$BW$1843,"&lt;="&amp;BW981),"")</f>
        <v>4830.08836996337</v>
      </c>
      <c r="AO981" s="58" t="n">
        <f aca="false">IF(AN981="",0,MAX(0,MIN(1,(IF(CF981="L1",Parameter!$H$5,IF(CF981="L23",Parameter!$H$6+Parameter!$H$7,Parameter!$H$5+Parameter!$H$6+Parameter!$H$7))-(AN981-AI981))/AI981)))</f>
        <v>1</v>
      </c>
      <c r="AP981" s="50" t="n">
        <f aca="false">IF(LEFT(Cockpit!$I$5,1)="A",H981,IF(Parameter!$E$30="MAX-Bestand",IF(CH981=1,CI981,IF(LEFT(Cockpit!$I$5,1)="B",AV981,MAX(AV981,H981))),ROUNDUP(AT981,0)))</f>
        <v>18</v>
      </c>
      <c r="AQ981" s="50" t="n">
        <f aca="false">IF(BZ981=1,0,ROUNDUP(AP981/BY981,0))</f>
        <v>1</v>
      </c>
      <c r="AR981" s="52" t="n">
        <f aca="false">IF(CQ981&gt;0,CQ981*MAX(1,AP981/X981),IF(BZ981=1,IF(AP981&lt;=0,0,CD981*MAX(1,IF(H981&gt;0,AP981/H981,1))),IF(R981&gt;0,AQ981/R981,0))/MAX(0.1,N(Parameter!$M$21)))</f>
        <v>0.00714285714285714</v>
      </c>
      <c r="AS981" s="50" t="n">
        <f aca="false">AR981*CB981</f>
        <v>1.10714285714286</v>
      </c>
      <c r="AT981" s="51" t="n">
        <f aca="false">IF(LEFT(Cockpit!$I$5,1)="A",H981,IF(CH981=1,(CK981+CI981)/2,IF(LEFT(Cockpit!$I$5,1)="B",(CK981+AV981)/2,MAX((CK981+AV981)/2,H981))))</f>
        <v>18</v>
      </c>
      <c r="AU981" s="50" t="n">
        <f aca="false">AT981*G981</f>
        <v>682.56</v>
      </c>
      <c r="AV981" s="50" t="n">
        <f aca="false">ROUNDUP(CK981+MAX(CL981,2*(J981/IF(CG981&gt;0,CG981,MAX(0.1,N(Cockpit!$I$6)))-CK981)),0)</f>
        <v>5</v>
      </c>
      <c r="AW981" s="51" t="n">
        <f aca="false">IF(AS981&gt;0,J981/AS981,-1)</f>
        <v>3.61290322580645</v>
      </c>
      <c r="AX981" s="51" t="n">
        <f aca="false">IF(AND(OR(CF981="L1",CF981="L23",CF981="LIFT"),AS981&gt;0),SUMIFS($AS$7:$AS$1843,$CF$7:$CF$1843,CF981,$AW$7:$AW$1843,"&gt;"&amp;AW981)+SUMIFS($AS$7:$AS$1843,$CF$7:$CF$1843,CF981,$AW$7:$AW$1843,AW981,$BW$7:$BW$1843,"&lt;="&amp;BW981),"")</f>
        <v>5407.67536630037</v>
      </c>
      <c r="AY981" s="58" t="n">
        <f aca="false">IF(AX981="",0,MAX(0,MIN(1,(IF(CF981="L1",Parameter!$H$5,IF(CF981="L23",Parameter!$H$6+Parameter!$H$7,Parameter!$H$5+Parameter!$H$6+Parameter!$H$7))-(AX981-AS981))/AS981)))</f>
        <v>1</v>
      </c>
      <c r="AZ981" s="50" t="n">
        <f aca="false">IF(LEFT(Cockpit!$O$5,1)="A",H981,IF(Parameter!$E$30="MAX-Bestand",IF(CH981=1,CI981,IF(LEFT(Cockpit!$O$5,1)="B",BF981,MAX(BF981,H981))),ROUNDUP(BD981,0)))</f>
        <v>3</v>
      </c>
      <c r="BA981" s="50" t="n">
        <f aca="false">IF(BZ981=1,0,ROUNDUP(AZ981/BY981,0))</f>
        <v>1</v>
      </c>
      <c r="BB981" s="52" t="n">
        <f aca="false">IF(CQ981&gt;0,CQ981*MAX(1,AZ981/X981),IF(BZ981=1,IF(AZ981&lt;=0,0,CD981*MAX(1,IF(H981&gt;0,AZ981/H981,1))),IF(R981&gt;0,BA981/R981,0))/MAX(0.1,N(Parameter!$M$21)))</f>
        <v>0.00714285714285714</v>
      </c>
      <c r="BC981" s="50" t="n">
        <f aca="false">BB981*CB981</f>
        <v>1.10714285714286</v>
      </c>
      <c r="BD981" s="51" t="n">
        <f aca="false">IF(LEFT(Cockpit!$O$5,1)="A",H981,IF(CH981=1,(CK981+CI981)/2,IF(LEFT(Cockpit!$O$5,1)="B",(CK981+BF981)/2,MAX((CK981+BF981)/2,H981))))</f>
        <v>2.5</v>
      </c>
      <c r="BE981" s="50" t="n">
        <f aca="false">BD981*G981</f>
        <v>94.8</v>
      </c>
      <c r="BF981" s="50" t="n">
        <f aca="false">ROUNDUP(CK981+MAX(CL981,2*(J981/IF(CG981&gt;0,CG981,MAX(0.1,N(Cockpit!$O$6)))-CK981)),0)</f>
        <v>5</v>
      </c>
      <c r="BG981" s="51" t="n">
        <f aca="false">IF(BC981&gt;0,J981/BC981,-1)</f>
        <v>3.61290322580645</v>
      </c>
      <c r="BH981" s="51" t="n">
        <f aca="false">IF(AND(OR(CF981="L1",CF981="L23",CF981="LIFT"),BC981&gt;0),SUMIFS($BC$7:$BC$1843,$CF$7:$CF$1843,CF981,$BG$7:$BG$1843,"&gt;"&amp;BG981)+SUMIFS($BC$7:$BC$1843,$CF$7:$CF$1843,CF981,$BG$7:$BG$1843,BG981,$BW$7:$BW$1843,"&lt;="&amp;BW981),"")</f>
        <v>4422.17216117216</v>
      </c>
      <c r="BI981" s="58" t="n">
        <f aca="false">IF(BH981="",0,MAX(0,MIN(1,(IF(CF981="L1",Parameter!$H$5,IF(CF981="L23",Parameter!$H$6+Parameter!$H$7,Parameter!$H$5+Parameter!$H$6+Parameter!$H$7))-(BH981-BC981))/BC981)))</f>
        <v>1</v>
      </c>
      <c r="BJ981" s="48" t="str">
        <f aca="false">IF(AI981&lt;=0,"",IF(CF981="Aussen","Aussenlager",IF(CF981="-","Nicht im Lift",IF(AO981&gt;=1,"Lift",IF(AO981&lt;=0,"Aussenlager","teilweise")))))</f>
        <v>Lift</v>
      </c>
      <c r="BK981" s="48" t="str">
        <f aca="false">IF(AS981&lt;=0,"",IF(CF981="Aussen","Aussenlager",IF(CF981="-","Nicht im Lift",IF(AY981&gt;=1,"Lift",IF(AY981&lt;=0,"Aussenlager","teilweise")))))</f>
        <v>Lift</v>
      </c>
      <c r="BL981" s="48" t="str">
        <f aca="false">IF(BC981&lt;=0,"",IF(CF981="Aussen","Aussenlager",IF(CF981="-","Nicht im Lift",IF(BI981&gt;=1,"Lift",IF(BI981&lt;=0,"Aussenlager","teilweise")))))</f>
        <v>Lift</v>
      </c>
      <c r="BM981" s="48" t="str">
        <f aca="false">IF(A981="","",IF(BV981=1,"Neu; ","")&amp;IF(AND(BV981=0,BQ981&lt;0),"negativer Bestand (Export "&amp;BQ981&amp;"); ","")&amp;IF(J981&lt;=0,"Kein Verbrauch; ","")&amp;IF(CQ981&gt;0,"Lift "&amp;W981&amp;" lt. Liftbericht (Fach "&amp;X981&amp;" Stk); ",IF(CA981=1,"Gebinde geschätzt ("&amp;T981&amp;"); ",IF(BZ981=1,"Lose – Tablare geschätzt; ","")))&amp;IF(H981&gt;AV981,"Überbestand "&amp;ROUND(H981-AV981,0)&amp;" Stk / CHF "&amp;ROUND((H981-AV981)*G981,0)&amp;"; ","")&amp;IF(AND(CH981=1,CI981&lt;CJ981),"MAX &lt; MB+LG; ","")&amp;IF(AND(CP981&gt;0,CO981*10&gt;CP981),"zu hoch für Tablar; ","")&amp;IF(AND(BV981=0,OR(CH981=1,AA981&lt;&gt;"",U981&lt;&gt;"",V981&lt;&gt;"",AB981&lt;&gt;"")),"manuell übersteuert; ","")&amp;IF(AND(BZ981=0,R981=0),"Gebinde unbekannt / Stellmass fehlt; ","")&amp;IF(AND(BZ981=0,N(V981)&lt;=0,N(Q981)&lt;=0),"Menge pro Gebinde fehlt (Ist = 1 Gebinde); ","")&amp;BU981)</f>
        <v>negativer Bestand (Export -2); Überbestand 13 Stk / CHF 493; </v>
      </c>
      <c r="BN981" s="48"/>
      <c r="BO981" s="48"/>
      <c r="BP981" s="55"/>
      <c r="BQ981" s="50" t="n">
        <v>-2</v>
      </c>
      <c r="BR981" s="50" t="n">
        <v>20</v>
      </c>
      <c r="BS981" s="49" t="n">
        <v>-75.84</v>
      </c>
      <c r="BT981" s="50" t="n">
        <v>4</v>
      </c>
      <c r="BU981" s="48"/>
      <c r="BV981" s="53" t="n">
        <v>0</v>
      </c>
      <c r="BW981" s="53" t="n">
        <v>981</v>
      </c>
      <c r="BX981" s="48" t="str">
        <f aca="false">IF(U981&lt;&gt;"",UPPER(TRIM(U981)),IF(CA981=1,UPPER(VLOOKUP(T981,Parameter!$I$27:$K$29,2,0)),IF(P981="","LOSE",P981)))</f>
        <v>S22</v>
      </c>
      <c r="BY981" s="50" t="n">
        <f aca="false">IF(BX981="LOSE",1,IF(N(V981)&gt;0,V981,IF(CA981=1,MAX(1,N(VLOOKUP(T981,Parameter!$I$27:$K$29,3,0)),H981,N(N981)),IF(N(Q981)&gt;0,Q981,MAX(1,H981)))))</f>
        <v>20</v>
      </c>
      <c r="BZ981" s="53" t="n">
        <f aca="false">IF(BX981="LOSE",1,0)</f>
        <v>0</v>
      </c>
      <c r="CA981" s="53" t="n">
        <f aca="false">IF(AND(U981="",OR(P981="",P981="LOSE"),T981&lt;&gt;"",N(S981)&lt;=0,ISNUMBER(MATCH(T981,Parameter!$I$27:$I$29,0))),1,0)</f>
        <v>0</v>
      </c>
      <c r="CB981" s="53" t="n">
        <f aca="false">IF(CQ981&gt;0,INDEX(Parameter!$H$5:$H$7,W981)/INDEX(Parameter!$E$5:$E$7,W981),IF(AND(BZ981=0,N(IFERROR(VLOOKUP(BX981,'Gebinde-Kategorie'!$A$5:$N$45,14,0),0))&gt;0),VLOOKUP(BX981,'Gebinde-Kategorie'!$A$5:$N$45,14,0)*10+Parameter!$M$23,Parameter!$M$24))</f>
        <v>155</v>
      </c>
      <c r="CC981" s="48" t="str">
        <f aca="false">IF(AND(Parameter!$B$19="Ja",E981&lt;&gt;"",ISNUMBER(MATCH(E981,Parameter!$I$35:$I$52,0))),VLOOKUP(E981,Parameter!$I$35:$J$52,2,0),IFERROR(VLOOKUP(D981,Parameter!$A$35:$C$64,2,0),"Nein"))</f>
        <v>2+3</v>
      </c>
      <c r="CD981" s="52" t="n">
        <f aca="false">IF(BZ981=0,0,IF(N(S981)&gt;0,S981,IFERROR(VLOOKUP(D981,Parameter!$A$35:$C$64,3,0)+0,0)))</f>
        <v>0</v>
      </c>
      <c r="CE981" s="48" t="n">
        <f aca="false">IF(AA981&lt;&gt;"",AA981,Z981)</f>
        <v>3</v>
      </c>
      <c r="CF981" s="48" t="str">
        <f aca="false">IF(OR(CE981=1,CE981=2,CE981=3),IF(Parameter!$E$27="Ja","LIFT",IF(CE981=1,"L1","L23")),IF(CE981="Aussen","Aussen","-"))</f>
        <v>LIFT</v>
      </c>
      <c r="CG981" s="59" t="n">
        <f aca="false">IF(N(AB981)&gt;0,AB981,0)</f>
        <v>0</v>
      </c>
      <c r="CH981" s="53" t="n">
        <f aca="false">IF(ISNUMBER(AE981),1,0)</f>
        <v>0</v>
      </c>
      <c r="CI981" s="50" t="n">
        <f aca="false">N(AE981)</f>
        <v>0</v>
      </c>
      <c r="CJ981" s="50" t="n">
        <f aca="false">N(M981)+N(N981)</f>
        <v>5</v>
      </c>
      <c r="CK981" s="50" t="n">
        <f aca="false">N(M981)</f>
        <v>0</v>
      </c>
      <c r="CL981" s="50" t="n">
        <f aca="false">N(N981)</f>
        <v>5</v>
      </c>
      <c r="CM981" s="50" t="n">
        <f aca="false">ROUNDUP(H981/BY981,0)</f>
        <v>1</v>
      </c>
      <c r="CN981" s="50" t="n">
        <f aca="false">ROUNDUP(CI981/BY981,0)</f>
        <v>0</v>
      </c>
      <c r="CO981" s="53" t="n">
        <f aca="false">IF(BZ981=1,0,IFERROR(VLOOKUP(BX981,'Gebinde-Kategorie'!$A$5:$N$45,5,0)+0,0))</f>
        <v>8</v>
      </c>
      <c r="CP981" s="53" t="n">
        <f aca="false">IFERROR(IF(OR(CE981=1,CE981=2,CE981=3),N(INDEX(Parameter!$I$5:$I$7,CE981)),0),0)</f>
        <v>0</v>
      </c>
      <c r="CQ981" s="52" t="n">
        <f aca="false">IF(AND(Parameter!$B$21="Ja",ISNUMBER(W981),N(X981)&gt;0),IFERROR(N(INDEX(Parameter!$L$5:$L$7,W981))*INDEX(Parameter!$E$5:$E$7,W981)*X981/SUMIFS($X$7:$X$1843,$W$7:$W$1843,W981),0),0)</f>
        <v>0</v>
      </c>
    </row>
    <row r="982" customFormat="false" ht="15" hidden="false" customHeight="false" outlineLevel="0" collapsed="false">
      <c r="A982" s="48" t="s">
        <v>1826</v>
      </c>
      <c r="B982" s="48" t="s">
        <v>414</v>
      </c>
      <c r="C982" s="48" t="s">
        <v>173</v>
      </c>
      <c r="D982" s="48" t="s">
        <v>193</v>
      </c>
      <c r="E982" s="48" t="s">
        <v>194</v>
      </c>
      <c r="F982" s="48" t="s">
        <v>227</v>
      </c>
      <c r="G982" s="49" t="n">
        <v>1.54</v>
      </c>
      <c r="H982" s="50" t="n">
        <f aca="false">MAX(0,IF(AND(Parameter!$B$21="Ja",ISNUMBER(Y982)),Y982,IF(Parameter!$B$20="Jahresanfang 2025 + Export",BR982+BQ982,BQ982)))</f>
        <v>197</v>
      </c>
      <c r="I982" s="50" t="n">
        <f aca="false">H982*G982</f>
        <v>303.38</v>
      </c>
      <c r="J982" s="50" t="n">
        <f aca="false">BT982*Parameter!$B$18</f>
        <v>42</v>
      </c>
      <c r="K982" s="51" t="n">
        <v>225.5</v>
      </c>
      <c r="L982" s="52" t="n">
        <v>0.186252771618625</v>
      </c>
      <c r="M982" s="50" t="n">
        <v>3</v>
      </c>
      <c r="N982" s="50" t="n">
        <v>40</v>
      </c>
      <c r="O982" s="53" t="n">
        <v>28</v>
      </c>
      <c r="P982" s="48" t="s">
        <v>311</v>
      </c>
      <c r="Q982" s="50" t="n">
        <v>196</v>
      </c>
      <c r="R982" s="53" t="n">
        <f aca="false">IF(BZ982=1,0,IFERROR(VLOOKUP(BX982,'Gebinde-Kategorie'!$A$5:$N$45,13,0)+0,0))</f>
        <v>26</v>
      </c>
      <c r="S982" s="54"/>
      <c r="T982" s="55"/>
      <c r="U982" s="55"/>
      <c r="V982" s="55"/>
      <c r="W982" s="48"/>
      <c r="X982" s="50"/>
      <c r="Y982" s="50"/>
      <c r="Z982" s="48" t="n">
        <f aca="false">IF(A982="","",IF(AND(Parameter!$B$21="Ja",ISNUMBER(W982)),W982,IF(CC982="2+3",IF(ISNUMBER(SEARCH("grosser Artikel",BU982)),2,IFERROR(VLOOKUP(BX982,Parameter!$F$35:$G$64,2,0),2)),IF(OR(CC982="Nein",CC982=""),"-",CC982))))</f>
        <v>3</v>
      </c>
      <c r="AA982" s="55"/>
      <c r="AB982" s="56"/>
      <c r="AC982" s="50" t="n">
        <f aca="false">AV982</f>
        <v>43</v>
      </c>
      <c r="AD982" s="50" t="n">
        <f aca="false">MAX(AV982,H982)</f>
        <v>197</v>
      </c>
      <c r="AE982" s="57"/>
      <c r="AF982" s="50" t="n">
        <f aca="false">IF(LEFT(Cockpit!$C$5,1)="A",H982,IF(Parameter!$E$30="MAX-Bestand",IF(CH982=1,CI982,IF(LEFT(Cockpit!$C$5,1)="B",AL982,MAX(AL982,H982))),ROUNDUP(AJ982,0)))</f>
        <v>197</v>
      </c>
      <c r="AG982" s="50" t="n">
        <f aca="false">IF(BZ982=1,0,ROUNDUP(AF982/BY982,0))</f>
        <v>2</v>
      </c>
      <c r="AH982" s="52" t="n">
        <f aca="false">IF(CQ982&gt;0,CQ982*MAX(1,AF982/X982),IF(BZ982=1,IF(AF982&lt;=0,0,CD982*MAX(1,IF(H982&gt;0,AF982/H982,1))),IF(R982&gt;0,AG982/R982,0))/MAX(0.1,N(Parameter!$M$21)))</f>
        <v>0.0769230769230769</v>
      </c>
      <c r="AI982" s="50" t="n">
        <f aca="false">AH982*CB982</f>
        <v>11.9230769230769</v>
      </c>
      <c r="AJ982" s="51" t="n">
        <f aca="false">IF(LEFT(Cockpit!$C$5,1)="A",H982,IF(CH982=1,(CK982+CI982)/2,IF(LEFT(Cockpit!$C$5,1)="B",(CK982+AL982)/2,MAX((CK982+AL982)/2,H982))))</f>
        <v>197</v>
      </c>
      <c r="AK982" s="50" t="n">
        <f aca="false">AJ982*G982</f>
        <v>303.38</v>
      </c>
      <c r="AL982" s="50" t="n">
        <f aca="false">ROUNDUP(CK982+MAX(CL982,2*(J982/IF(CG982&gt;0,CG982,MAX(0.1,N(Cockpit!$C$6)))-CK982)),0)</f>
        <v>43</v>
      </c>
      <c r="AM982" s="51" t="n">
        <f aca="false">IF(AI982&gt;0,J982/AI982,-1)</f>
        <v>3.52258064516129</v>
      </c>
      <c r="AN982" s="51" t="n">
        <f aca="false">IF(AND(OR(CF982="L1",CF982="L23",CF982="LIFT"),AI982&gt;0),SUMIFS($AI$7:$AI$1843,$CF$7:$CF$1843,CF982,$AM$7:$AM$1843,"&gt;"&amp;AM982)+SUMIFS($AI$7:$AI$1843,$CF$7:$CF$1843,CF982,$AM$7:$AM$1843,AM982,$BW$7:$BW$1843,"&lt;="&amp;BW982),"")</f>
        <v>4894.48214285714</v>
      </c>
      <c r="AO982" s="58" t="n">
        <f aca="false">IF(AN982="",0,MAX(0,MIN(1,(IF(CF982="L1",Parameter!$H$5,IF(CF982="L23",Parameter!$H$6+Parameter!$H$7,Parameter!$H$5+Parameter!$H$6+Parameter!$H$7))-(AN982-AI982))/AI982)))</f>
        <v>1</v>
      </c>
      <c r="AP982" s="50" t="n">
        <f aca="false">IF(LEFT(Cockpit!$I$5,1)="A",H982,IF(Parameter!$E$30="MAX-Bestand",IF(CH982=1,CI982,IF(LEFT(Cockpit!$I$5,1)="B",AV982,MAX(AV982,H982))),ROUNDUP(AT982,0)))</f>
        <v>197</v>
      </c>
      <c r="AQ982" s="50" t="n">
        <f aca="false">IF(BZ982=1,0,ROUNDUP(AP982/BY982,0))</f>
        <v>2</v>
      </c>
      <c r="AR982" s="52" t="n">
        <f aca="false">IF(CQ982&gt;0,CQ982*MAX(1,AP982/X982),IF(BZ982=1,IF(AP982&lt;=0,0,CD982*MAX(1,IF(H982&gt;0,AP982/H982,1))),IF(R982&gt;0,AQ982/R982,0))/MAX(0.1,N(Parameter!$M$21)))</f>
        <v>0.0769230769230769</v>
      </c>
      <c r="AS982" s="50" t="n">
        <f aca="false">AR982*CB982</f>
        <v>11.9230769230769</v>
      </c>
      <c r="AT982" s="51" t="n">
        <f aca="false">IF(LEFT(Cockpit!$I$5,1)="A",H982,IF(CH982=1,(CK982+CI982)/2,IF(LEFT(Cockpit!$I$5,1)="B",(CK982+AV982)/2,MAX((CK982+AV982)/2,H982))))</f>
        <v>197</v>
      </c>
      <c r="AU982" s="50" t="n">
        <f aca="false">AT982*G982</f>
        <v>303.38</v>
      </c>
      <c r="AV982" s="50" t="n">
        <f aca="false">ROUNDUP(CK982+MAX(CL982,2*(J982/IF(CG982&gt;0,CG982,MAX(0.1,N(Cockpit!$I$6)))-CK982)),0)</f>
        <v>43</v>
      </c>
      <c r="AW982" s="51" t="n">
        <f aca="false">IF(AS982&gt;0,J982/AS982,-1)</f>
        <v>3.52258064516129</v>
      </c>
      <c r="AX982" s="51" t="n">
        <f aca="false">IF(AND(OR(CF982="L1",CF982="L23",CF982="LIFT"),AS982&gt;0),SUMIFS($AS$7:$AS$1843,$CF$7:$CF$1843,CF982,$AW$7:$AW$1843,"&gt;"&amp;AW982)+SUMIFS($AS$7:$AS$1843,$CF$7:$CF$1843,CF982,$AW$7:$AW$1843,AW982,$BW$7:$BW$1843,"&lt;="&amp;BW982),"")</f>
        <v>5472.06913919414</v>
      </c>
      <c r="AY982" s="58" t="n">
        <f aca="false">IF(AX982="",0,MAX(0,MIN(1,(IF(CF982="L1",Parameter!$H$5,IF(CF982="L23",Parameter!$H$6+Parameter!$H$7,Parameter!$H$5+Parameter!$H$6+Parameter!$H$7))-(AX982-AS982))/AS982)))</f>
        <v>1</v>
      </c>
      <c r="AZ982" s="50" t="n">
        <f aca="false">IF(LEFT(Cockpit!$O$5,1)="A",H982,IF(Parameter!$E$30="MAX-Bestand",IF(CH982=1,CI982,IF(LEFT(Cockpit!$O$5,1)="B",BF982,MAX(BF982,H982))),ROUNDUP(BD982,0)))</f>
        <v>23</v>
      </c>
      <c r="BA982" s="50" t="n">
        <f aca="false">IF(BZ982=1,0,ROUNDUP(AZ982/BY982,0))</f>
        <v>1</v>
      </c>
      <c r="BB982" s="52" t="n">
        <f aca="false">IF(CQ982&gt;0,CQ982*MAX(1,AZ982/X982),IF(BZ982=1,IF(AZ982&lt;=0,0,CD982*MAX(1,IF(H982&gt;0,AZ982/H982,1))),IF(R982&gt;0,BA982/R982,0))/MAX(0.1,N(Parameter!$M$21)))</f>
        <v>0.0384615384615385</v>
      </c>
      <c r="BC982" s="50" t="n">
        <f aca="false">BB982*CB982</f>
        <v>5.96153846153846</v>
      </c>
      <c r="BD982" s="51" t="n">
        <f aca="false">IF(LEFT(Cockpit!$O$5,1)="A",H982,IF(CH982=1,(CK982+CI982)/2,IF(LEFT(Cockpit!$O$5,1)="B",(CK982+BF982)/2,MAX((CK982+BF982)/2,H982))))</f>
        <v>23</v>
      </c>
      <c r="BE982" s="50" t="n">
        <f aca="false">BD982*G982</f>
        <v>35.42</v>
      </c>
      <c r="BF982" s="50" t="n">
        <f aca="false">ROUNDUP(CK982+MAX(CL982,2*(J982/IF(CG982&gt;0,CG982,MAX(0.1,N(Cockpit!$O$6)))-CK982)),0)</f>
        <v>43</v>
      </c>
      <c r="BG982" s="51" t="n">
        <f aca="false">IF(BC982&gt;0,J982/BC982,-1)</f>
        <v>7.04516129032258</v>
      </c>
      <c r="BH982" s="51" t="n">
        <f aca="false">IF(AND(OR(CF982="L1",CF982="L23",CF982="LIFT"),BC982&gt;0),SUMIFS($BC$7:$BC$1843,$CF$7:$CF$1843,CF982,$BG$7:$BG$1843,"&gt;"&amp;BG982)+SUMIFS($BC$7:$BC$1843,$CF$7:$CF$1843,CF982,$BG$7:$BG$1843,BG982,$BW$7:$BW$1843,"&lt;="&amp;BW982),"")</f>
        <v>3274.90613553114</v>
      </c>
      <c r="BI982" s="58" t="n">
        <f aca="false">IF(BH982="",0,MAX(0,MIN(1,(IF(CF982="L1",Parameter!$H$5,IF(CF982="L23",Parameter!$H$6+Parameter!$H$7,Parameter!$H$5+Parameter!$H$6+Parameter!$H$7))-(BH982-BC982))/BC982)))</f>
        <v>1</v>
      </c>
      <c r="BJ982" s="48" t="str">
        <f aca="false">IF(AI982&lt;=0,"",IF(CF982="Aussen","Aussenlager",IF(CF982="-","Nicht im Lift",IF(AO982&gt;=1,"Lift",IF(AO982&lt;=0,"Aussenlager","teilweise")))))</f>
        <v>Lift</v>
      </c>
      <c r="BK982" s="48" t="str">
        <f aca="false">IF(AS982&lt;=0,"",IF(CF982="Aussen","Aussenlager",IF(CF982="-","Nicht im Lift",IF(AY982&gt;=1,"Lift",IF(AY982&lt;=0,"Aussenlager","teilweise")))))</f>
        <v>Lift</v>
      </c>
      <c r="BL982" s="48" t="str">
        <f aca="false">IF(BC982&lt;=0,"",IF(CF982="Aussen","Aussenlager",IF(CF982="-","Nicht im Lift",IF(BI982&gt;=1,"Lift",IF(BI982&lt;=0,"Aussenlager","teilweise")))))</f>
        <v>Lift</v>
      </c>
      <c r="BM982" s="48" t="str">
        <f aca="false">IF(A982="","",IF(BV982=1,"Neu; ","")&amp;IF(AND(BV982=0,BQ982&lt;0),"negativer Bestand (Export "&amp;BQ982&amp;"); ","")&amp;IF(J982&lt;=0,"Kein Verbrauch; ","")&amp;IF(CQ982&gt;0,"Lift "&amp;W982&amp;" lt. Liftbericht (Fach "&amp;X982&amp;" Stk); ",IF(CA982=1,"Gebinde geschätzt ("&amp;T982&amp;"); ",IF(BZ982=1,"Lose – Tablare geschätzt; ","")))&amp;IF(H982&gt;AV982,"Überbestand "&amp;ROUND(H982-AV982,0)&amp;" Stk / CHF "&amp;ROUND((H982-AV982)*G982,0)&amp;"; ","")&amp;IF(AND(CH982=1,CI982&lt;CJ982),"MAX &lt; MB+LG; ","")&amp;IF(AND(CP982&gt;0,CO982*10&gt;CP982),"zu hoch für Tablar; ","")&amp;IF(AND(BV982=0,OR(CH982=1,AA982&lt;&gt;"",U982&lt;&gt;"",V982&lt;&gt;"",AB982&lt;&gt;"")),"manuell übersteuert; ","")&amp;IF(AND(BZ982=0,R982=0),"Gebinde unbekannt / Stellmass fehlt; ","")&amp;IF(AND(BZ982=0,N(V982)&lt;=0,N(Q982)&lt;=0),"Menge pro Gebinde fehlt (Ist = 1 Gebinde); ","")&amp;BU982)</f>
        <v>negativer Bestand (Export -50); Überbestand 154 Stk / CHF 237; </v>
      </c>
      <c r="BN982" s="48"/>
      <c r="BO982" s="48"/>
      <c r="BP982" s="55"/>
      <c r="BQ982" s="50" t="n">
        <v>-50</v>
      </c>
      <c r="BR982" s="50" t="n">
        <v>247</v>
      </c>
      <c r="BS982" s="49" t="n">
        <v>-77</v>
      </c>
      <c r="BT982" s="50" t="n">
        <v>42</v>
      </c>
      <c r="BU982" s="48"/>
      <c r="BV982" s="53" t="n">
        <v>0</v>
      </c>
      <c r="BW982" s="53" t="n">
        <v>982</v>
      </c>
      <c r="BX982" s="48" t="str">
        <f aca="false">IF(U982&lt;&gt;"",UPPER(TRIM(U982)),IF(CA982=1,UPPER(VLOOKUP(T982,Parameter!$I$27:$K$29,2,0)),IF(P982="","LOSE",P982)))</f>
        <v>S51</v>
      </c>
      <c r="BY982" s="50" t="n">
        <f aca="false">IF(BX982="LOSE",1,IF(N(V982)&gt;0,V982,IF(CA982=1,MAX(1,N(VLOOKUP(T982,Parameter!$I$27:$K$29,3,0)),H982,N(N982)),IF(N(Q982)&gt;0,Q982,MAX(1,H982)))))</f>
        <v>196</v>
      </c>
      <c r="BZ982" s="53" t="n">
        <f aca="false">IF(BX982="LOSE",1,0)</f>
        <v>0</v>
      </c>
      <c r="CA982" s="53" t="n">
        <f aca="false">IF(AND(U982="",OR(P982="",P982="LOSE"),T982&lt;&gt;"",N(S982)&lt;=0,ISNUMBER(MATCH(T982,Parameter!$I$27:$I$29,0))),1,0)</f>
        <v>0</v>
      </c>
      <c r="CB982" s="53" t="n">
        <f aca="false">IF(CQ982&gt;0,INDEX(Parameter!$H$5:$H$7,W982)/INDEX(Parameter!$E$5:$E$7,W982),IF(AND(BZ982=0,N(IFERROR(VLOOKUP(BX982,'Gebinde-Kategorie'!$A$5:$N$45,14,0),0))&gt;0),VLOOKUP(BX982,'Gebinde-Kategorie'!$A$5:$N$45,14,0)*10+Parameter!$M$23,Parameter!$M$24))</f>
        <v>155</v>
      </c>
      <c r="CC982" s="48" t="str">
        <f aca="false">IF(AND(Parameter!$B$19="Ja",E982&lt;&gt;"",ISNUMBER(MATCH(E982,Parameter!$I$35:$I$52,0))),VLOOKUP(E982,Parameter!$I$35:$J$52,2,0),IFERROR(VLOOKUP(D982,Parameter!$A$35:$C$64,2,0),"Nein"))</f>
        <v>2+3</v>
      </c>
      <c r="CD982" s="52" t="n">
        <f aca="false">IF(BZ982=0,0,IF(N(S982)&gt;0,S982,IFERROR(VLOOKUP(D982,Parameter!$A$35:$C$64,3,0)+0,0)))</f>
        <v>0</v>
      </c>
      <c r="CE982" s="48" t="n">
        <f aca="false">IF(AA982&lt;&gt;"",AA982,Z982)</f>
        <v>3</v>
      </c>
      <c r="CF982" s="48" t="str">
        <f aca="false">IF(OR(CE982=1,CE982=2,CE982=3),IF(Parameter!$E$27="Ja","LIFT",IF(CE982=1,"L1","L23")),IF(CE982="Aussen","Aussen","-"))</f>
        <v>LIFT</v>
      </c>
      <c r="CG982" s="59" t="n">
        <f aca="false">IF(N(AB982)&gt;0,AB982,0)</f>
        <v>0</v>
      </c>
      <c r="CH982" s="53" t="n">
        <f aca="false">IF(ISNUMBER(AE982),1,0)</f>
        <v>0</v>
      </c>
      <c r="CI982" s="50" t="n">
        <f aca="false">N(AE982)</f>
        <v>0</v>
      </c>
      <c r="CJ982" s="50" t="n">
        <f aca="false">N(M982)+N(N982)</f>
        <v>43</v>
      </c>
      <c r="CK982" s="50" t="n">
        <f aca="false">N(M982)</f>
        <v>3</v>
      </c>
      <c r="CL982" s="50" t="n">
        <f aca="false">N(N982)</f>
        <v>40</v>
      </c>
      <c r="CM982" s="50" t="n">
        <f aca="false">ROUNDUP(H982/BY982,0)</f>
        <v>2</v>
      </c>
      <c r="CN982" s="50" t="n">
        <f aca="false">ROUNDUP(CI982/BY982,0)</f>
        <v>0</v>
      </c>
      <c r="CO982" s="53" t="n">
        <f aca="false">IF(BZ982=1,0,IFERROR(VLOOKUP(BX982,'Gebinde-Kategorie'!$A$5:$N$45,5,0)+0,0))</f>
        <v>11</v>
      </c>
      <c r="CP982" s="53" t="n">
        <f aca="false">IFERROR(IF(OR(CE982=1,CE982=2,CE982=3),N(INDEX(Parameter!$I$5:$I$7,CE982)),0),0)</f>
        <v>0</v>
      </c>
      <c r="CQ982" s="52" t="n">
        <f aca="false">IF(AND(Parameter!$B$21="Ja",ISNUMBER(W982),N(X982)&gt;0),IFERROR(N(INDEX(Parameter!$L$5:$L$7,W982))*INDEX(Parameter!$E$5:$E$7,W982)*X982/SUMIFS($X$7:$X$1843,$W$7:$W$1843,W982),0),0)</f>
        <v>0</v>
      </c>
    </row>
    <row r="983" customFormat="false" ht="15" hidden="false" customHeight="false" outlineLevel="0" collapsed="false">
      <c r="A983" s="48" t="s">
        <v>1827</v>
      </c>
      <c r="B983" s="48" t="s">
        <v>598</v>
      </c>
      <c r="C983" s="48" t="s">
        <v>173</v>
      </c>
      <c r="D983" s="48" t="s">
        <v>193</v>
      </c>
      <c r="E983" s="48" t="s">
        <v>194</v>
      </c>
      <c r="F983" s="48" t="s">
        <v>227</v>
      </c>
      <c r="G983" s="49" t="n">
        <v>1.66</v>
      </c>
      <c r="H983" s="50" t="n">
        <f aca="false">MAX(0,IF(AND(Parameter!$B$21="Ja",ISNUMBER(Y983)),Y983,IF(Parameter!$B$20="Jahresanfang 2025 + Export",BR983+BQ983,BQ983)))</f>
        <v>158</v>
      </c>
      <c r="I983" s="50" t="n">
        <f aca="false">H983*G983</f>
        <v>262.28</v>
      </c>
      <c r="J983" s="50" t="n">
        <f aca="false">BT983*Parameter!$B$18</f>
        <v>310</v>
      </c>
      <c r="K983" s="51" t="n">
        <v>148</v>
      </c>
      <c r="L983" s="52" t="n">
        <v>2.0945945945946</v>
      </c>
      <c r="M983" s="50" t="n">
        <v>12</v>
      </c>
      <c r="N983" s="50" t="n">
        <v>310</v>
      </c>
      <c r="O983" s="53" t="n">
        <v>14</v>
      </c>
      <c r="P983" s="48" t="s">
        <v>410</v>
      </c>
      <c r="Q983" s="50" t="n">
        <v>74</v>
      </c>
      <c r="R983" s="53" t="n">
        <f aca="false">IF(BZ983=1,0,IFERROR(VLOOKUP(BX983,'Gebinde-Kategorie'!$A$5:$N$45,13,0)+0,0))</f>
        <v>280</v>
      </c>
      <c r="S983" s="54"/>
      <c r="T983" s="55"/>
      <c r="U983" s="55"/>
      <c r="V983" s="55"/>
      <c r="W983" s="48"/>
      <c r="X983" s="50"/>
      <c r="Y983" s="50"/>
      <c r="Z983" s="48" t="n">
        <f aca="false">IF(A983="","",IF(AND(Parameter!$B$21="Ja",ISNUMBER(W983)),W983,IF(CC983="2+3",IF(ISNUMBER(SEARCH("grosser Artikel",BU983)),2,IFERROR(VLOOKUP(BX983,Parameter!$F$35:$G$64,2,0),2)),IF(OR(CC983="Nein",CC983=""),"-",CC983))))</f>
        <v>3</v>
      </c>
      <c r="AA983" s="55"/>
      <c r="AB983" s="56"/>
      <c r="AC983" s="50" t="n">
        <f aca="false">AV983</f>
        <v>322</v>
      </c>
      <c r="AD983" s="50" t="n">
        <f aca="false">MAX(AV983,H983)</f>
        <v>322</v>
      </c>
      <c r="AE983" s="57"/>
      <c r="AF983" s="50" t="n">
        <f aca="false">IF(LEFT(Cockpit!$C$5,1)="A",H983,IF(Parameter!$E$30="MAX-Bestand",IF(CH983=1,CI983,IF(LEFT(Cockpit!$C$5,1)="B",AL983,MAX(AL983,H983))),ROUNDUP(AJ983,0)))</f>
        <v>158</v>
      </c>
      <c r="AG983" s="50" t="n">
        <f aca="false">IF(BZ983=1,0,ROUNDUP(AF983/BY983,0))</f>
        <v>3</v>
      </c>
      <c r="AH983" s="52" t="n">
        <f aca="false">IF(CQ983&gt;0,CQ983*MAX(1,AF983/X983),IF(BZ983=1,IF(AF983&lt;=0,0,CD983*MAX(1,IF(H983&gt;0,AF983/H983,1))),IF(R983&gt;0,AG983/R983,0))/MAX(0.1,N(Parameter!$M$21)))</f>
        <v>0.0107142857142857</v>
      </c>
      <c r="AI983" s="50" t="n">
        <f aca="false">AH983*CB983</f>
        <v>1.66071428571429</v>
      </c>
      <c r="AJ983" s="51" t="n">
        <f aca="false">IF(LEFT(Cockpit!$C$5,1)="A",H983,IF(CH983=1,(CK983+CI983)/2,IF(LEFT(Cockpit!$C$5,1)="B",(CK983+AL983)/2,MAX((CK983+AL983)/2,H983))))</f>
        <v>158</v>
      </c>
      <c r="AK983" s="50" t="n">
        <f aca="false">AJ983*G983</f>
        <v>262.28</v>
      </c>
      <c r="AL983" s="50" t="n">
        <f aca="false">ROUNDUP(CK983+MAX(CL983,2*(J983/IF(CG983&gt;0,CG983,MAX(0.1,N(Cockpit!$C$6)))-CK983)),0)</f>
        <v>322</v>
      </c>
      <c r="AM983" s="51" t="n">
        <f aca="false">IF(AI983&gt;0,J983/AI983,-1)</f>
        <v>186.666666666667</v>
      </c>
      <c r="AN983" s="51" t="n">
        <f aca="false">IF(AND(OR(CF983="L1",CF983="L23",CF983="LIFT"),AI983&gt;0),SUMIFS($AI$7:$AI$1843,$CF$7:$CF$1843,CF983,$AM$7:$AM$1843,"&gt;"&amp;AM983)+SUMIFS($AI$7:$AI$1843,$CF$7:$CF$1843,CF983,$AM$7:$AM$1843,AM983,$BW$7:$BW$1843,"&lt;="&amp;BW983),"")</f>
        <v>381.217490842491</v>
      </c>
      <c r="AO983" s="58" t="n">
        <f aca="false">IF(AN983="",0,MAX(0,MIN(1,(IF(CF983="L1",Parameter!$H$5,IF(CF983="L23",Parameter!$H$6+Parameter!$H$7,Parameter!$H$5+Parameter!$H$6+Parameter!$H$7))-(AN983-AI983))/AI983)))</f>
        <v>1</v>
      </c>
      <c r="AP983" s="50" t="n">
        <f aca="false">IF(LEFT(Cockpit!$I$5,1)="A",H983,IF(Parameter!$E$30="MAX-Bestand",IF(CH983=1,CI983,IF(LEFT(Cockpit!$I$5,1)="B",AV983,MAX(AV983,H983))),ROUNDUP(AT983,0)))</f>
        <v>167</v>
      </c>
      <c r="AQ983" s="50" t="n">
        <f aca="false">IF(BZ983=1,0,ROUNDUP(AP983/BY983,0))</f>
        <v>3</v>
      </c>
      <c r="AR983" s="52" t="n">
        <f aca="false">IF(CQ983&gt;0,CQ983*MAX(1,AP983/X983),IF(BZ983=1,IF(AP983&lt;=0,0,CD983*MAX(1,IF(H983&gt;0,AP983/H983,1))),IF(R983&gt;0,AQ983/R983,0))/MAX(0.1,N(Parameter!$M$21)))</f>
        <v>0.0107142857142857</v>
      </c>
      <c r="AS983" s="50" t="n">
        <f aca="false">AR983*CB983</f>
        <v>1.66071428571429</v>
      </c>
      <c r="AT983" s="51" t="n">
        <f aca="false">IF(LEFT(Cockpit!$I$5,1)="A",H983,IF(CH983=1,(CK983+CI983)/2,IF(LEFT(Cockpit!$I$5,1)="B",(CK983+AV983)/2,MAX((CK983+AV983)/2,H983))))</f>
        <v>167</v>
      </c>
      <c r="AU983" s="50" t="n">
        <f aca="false">AT983*G983</f>
        <v>277.22</v>
      </c>
      <c r="AV983" s="50" t="n">
        <f aca="false">ROUNDUP(CK983+MAX(CL983,2*(J983/IF(CG983&gt;0,CG983,MAX(0.1,N(Cockpit!$I$6)))-CK983)),0)</f>
        <v>322</v>
      </c>
      <c r="AW983" s="51" t="n">
        <f aca="false">IF(AS983&gt;0,J983/AS983,-1)</f>
        <v>186.666666666667</v>
      </c>
      <c r="AX983" s="51" t="n">
        <f aca="false">IF(AND(OR(CF983="L1",CF983="L23",CF983="LIFT"),AS983&gt;0),SUMIFS($AS$7:$AS$1843,$CF$7:$CF$1843,CF983,$AW$7:$AW$1843,"&gt;"&amp;AW983)+SUMIFS($AS$7:$AS$1843,$CF$7:$CF$1843,CF983,$AW$7:$AW$1843,AW983,$BW$7:$BW$1843,"&lt;="&amp;BW983),"")</f>
        <v>498.854395604396</v>
      </c>
      <c r="AY983" s="58" t="n">
        <f aca="false">IF(AX983="",0,MAX(0,MIN(1,(IF(CF983="L1",Parameter!$H$5,IF(CF983="L23",Parameter!$H$6+Parameter!$H$7,Parameter!$H$5+Parameter!$H$6+Parameter!$H$7))-(AX983-AS983))/AS983)))</f>
        <v>1</v>
      </c>
      <c r="AZ983" s="50" t="n">
        <f aca="false">IF(LEFT(Cockpit!$O$5,1)="A",H983,IF(Parameter!$E$30="MAX-Bestand",IF(CH983=1,CI983,IF(LEFT(Cockpit!$O$5,1)="B",BF983,MAX(BF983,H983))),ROUNDUP(BD983,0)))</f>
        <v>167</v>
      </c>
      <c r="BA983" s="50" t="n">
        <f aca="false">IF(BZ983=1,0,ROUNDUP(AZ983/BY983,0))</f>
        <v>3</v>
      </c>
      <c r="BB983" s="52" t="n">
        <f aca="false">IF(CQ983&gt;0,CQ983*MAX(1,AZ983/X983),IF(BZ983=1,IF(AZ983&lt;=0,0,CD983*MAX(1,IF(H983&gt;0,AZ983/H983,1))),IF(R983&gt;0,BA983/R983,0))/MAX(0.1,N(Parameter!$M$21)))</f>
        <v>0.0107142857142857</v>
      </c>
      <c r="BC983" s="50" t="n">
        <f aca="false">BB983*CB983</f>
        <v>1.66071428571429</v>
      </c>
      <c r="BD983" s="51" t="n">
        <f aca="false">IF(LEFT(Cockpit!$O$5,1)="A",H983,IF(CH983=1,(CK983+CI983)/2,IF(LEFT(Cockpit!$O$5,1)="B",(CK983+BF983)/2,MAX((CK983+BF983)/2,H983))))</f>
        <v>167</v>
      </c>
      <c r="BE983" s="50" t="n">
        <f aca="false">BD983*G983</f>
        <v>277.22</v>
      </c>
      <c r="BF983" s="50" t="n">
        <f aca="false">ROUNDUP(CK983+MAX(CL983,2*(J983/IF(CG983&gt;0,CG983,MAX(0.1,N(Cockpit!$O$6)))-CK983)),0)</f>
        <v>322</v>
      </c>
      <c r="BG983" s="51" t="n">
        <f aca="false">IF(BC983&gt;0,J983/BC983,-1)</f>
        <v>186.666666666667</v>
      </c>
      <c r="BH983" s="51" t="n">
        <f aca="false">IF(AND(OR(CF983="L1",CF983="L23",CF983="LIFT"),BC983&gt;0),SUMIFS($BC$7:$BC$1843,$CF$7:$CF$1843,CF983,$BG$7:$BG$1843,"&gt;"&amp;BG983)+SUMIFS($BC$7:$BC$1843,$CF$7:$CF$1843,CF983,$BG$7:$BG$1843,BG983,$BW$7:$BW$1843,"&lt;="&amp;BW983),"")</f>
        <v>491.543956043956</v>
      </c>
      <c r="BI983" s="58" t="n">
        <f aca="false">IF(BH983="",0,MAX(0,MIN(1,(IF(CF983="L1",Parameter!$H$5,IF(CF983="L23",Parameter!$H$6+Parameter!$H$7,Parameter!$H$5+Parameter!$H$6+Parameter!$H$7))-(BH983-BC983))/BC983)))</f>
        <v>1</v>
      </c>
      <c r="BJ983" s="48" t="str">
        <f aca="false">IF(AI983&lt;=0,"",IF(CF983="Aussen","Aussenlager",IF(CF983="-","Nicht im Lift",IF(AO983&gt;=1,"Lift",IF(AO983&lt;=0,"Aussenlager","teilweise")))))</f>
        <v>Lift</v>
      </c>
      <c r="BK983" s="48" t="str">
        <f aca="false">IF(AS983&lt;=0,"",IF(CF983="Aussen","Aussenlager",IF(CF983="-","Nicht im Lift",IF(AY983&gt;=1,"Lift",IF(AY983&lt;=0,"Aussenlager","teilweise")))))</f>
        <v>Lift</v>
      </c>
      <c r="BL983" s="48" t="str">
        <f aca="false">IF(BC983&lt;=0,"",IF(CF983="Aussen","Aussenlager",IF(CF983="-","Nicht im Lift",IF(BI983&gt;=1,"Lift",IF(BI983&lt;=0,"Aussenlager","teilweise")))))</f>
        <v>Lift</v>
      </c>
      <c r="BM983" s="48" t="str">
        <f aca="false">IF(A983="","",IF(BV983=1,"Neu; ","")&amp;IF(AND(BV983=0,BQ983&lt;0),"negativer Bestand (Export "&amp;BQ983&amp;"); ","")&amp;IF(J983&lt;=0,"Kein Verbrauch; ","")&amp;IF(CQ983&gt;0,"Lift "&amp;W983&amp;" lt. Liftbericht (Fach "&amp;X983&amp;" Stk); ",IF(CA983=1,"Gebinde geschätzt ("&amp;T983&amp;"); ",IF(BZ983=1,"Lose – Tablare geschätzt; ","")))&amp;IF(H983&gt;AV983,"Überbestand "&amp;ROUND(H983-AV983,0)&amp;" Stk / CHF "&amp;ROUND((H983-AV983)*G983,0)&amp;"; ","")&amp;IF(AND(CH983=1,CI983&lt;CJ983),"MAX &lt; MB+LG; ","")&amp;IF(AND(CP983&gt;0,CO983*10&gt;CP983),"zu hoch für Tablar; ","")&amp;IF(AND(BV983=0,OR(CH983=1,AA983&lt;&gt;"",U983&lt;&gt;"",V983&lt;&gt;"",AB983&lt;&gt;"")),"manuell übersteuert; ","")&amp;IF(AND(BZ983=0,R983=0),"Gebinde unbekannt / Stellmass fehlt; ","")&amp;IF(AND(BZ983=0,N(V983)&lt;=0,N(Q983)&lt;=0),"Menge pro Gebinde fehlt (Ist = 1 Gebinde); ","")&amp;BU983)</f>
        <v>negativer Bestand (Export -44); </v>
      </c>
      <c r="BN983" s="48"/>
      <c r="BO983" s="48"/>
      <c r="BP983" s="55"/>
      <c r="BQ983" s="50" t="n">
        <v>-44</v>
      </c>
      <c r="BR983" s="50" t="n">
        <v>202</v>
      </c>
      <c r="BS983" s="49" t="n">
        <v>-77.0799999999999</v>
      </c>
      <c r="BT983" s="50" t="n">
        <v>310</v>
      </c>
      <c r="BU983" s="48"/>
      <c r="BV983" s="53" t="n">
        <v>0</v>
      </c>
      <c r="BW983" s="53" t="n">
        <v>983</v>
      </c>
      <c r="BX983" s="48" t="str">
        <f aca="false">IF(U983&lt;&gt;"",UPPER(TRIM(U983)),IF(CA983=1,UPPER(VLOOKUP(T983,Parameter!$I$27:$K$29,2,0)),IF(P983="","LOSE",P983)))</f>
        <v>S21</v>
      </c>
      <c r="BY983" s="50" t="n">
        <f aca="false">IF(BX983="LOSE",1,IF(N(V983)&gt;0,V983,IF(CA983=1,MAX(1,N(VLOOKUP(T983,Parameter!$I$27:$K$29,3,0)),H983,N(N983)),IF(N(Q983)&gt;0,Q983,MAX(1,H983)))))</f>
        <v>74</v>
      </c>
      <c r="BZ983" s="53" t="n">
        <f aca="false">IF(BX983="LOSE",1,0)</f>
        <v>0</v>
      </c>
      <c r="CA983" s="53" t="n">
        <f aca="false">IF(AND(U983="",OR(P983="",P983="LOSE"),T983&lt;&gt;"",N(S983)&lt;=0,ISNUMBER(MATCH(T983,Parameter!$I$27:$I$29,0))),1,0)</f>
        <v>0</v>
      </c>
      <c r="CB983" s="53" t="n">
        <f aca="false">IF(CQ983&gt;0,INDEX(Parameter!$H$5:$H$7,W983)/INDEX(Parameter!$E$5:$E$7,W983),IF(AND(BZ983=0,N(IFERROR(VLOOKUP(BX983,'Gebinde-Kategorie'!$A$5:$N$45,14,0),0))&gt;0),VLOOKUP(BX983,'Gebinde-Kategorie'!$A$5:$N$45,14,0)*10+Parameter!$M$23,Parameter!$M$24))</f>
        <v>155</v>
      </c>
      <c r="CC983" s="48" t="str">
        <f aca="false">IF(AND(Parameter!$B$19="Ja",E983&lt;&gt;"",ISNUMBER(MATCH(E983,Parameter!$I$35:$I$52,0))),VLOOKUP(E983,Parameter!$I$35:$J$52,2,0),IFERROR(VLOOKUP(D983,Parameter!$A$35:$C$64,2,0),"Nein"))</f>
        <v>2+3</v>
      </c>
      <c r="CD983" s="52" t="n">
        <f aca="false">IF(BZ983=0,0,IF(N(S983)&gt;0,S983,IFERROR(VLOOKUP(D983,Parameter!$A$35:$C$64,3,0)+0,0)))</f>
        <v>0</v>
      </c>
      <c r="CE983" s="48" t="n">
        <f aca="false">IF(AA983&lt;&gt;"",AA983,Z983)</f>
        <v>3</v>
      </c>
      <c r="CF983" s="48" t="str">
        <f aca="false">IF(OR(CE983=1,CE983=2,CE983=3),IF(Parameter!$E$27="Ja","LIFT",IF(CE983=1,"L1","L23")),IF(CE983="Aussen","Aussen","-"))</f>
        <v>LIFT</v>
      </c>
      <c r="CG983" s="59" t="n">
        <f aca="false">IF(N(AB983)&gt;0,AB983,0)</f>
        <v>0</v>
      </c>
      <c r="CH983" s="53" t="n">
        <f aca="false">IF(ISNUMBER(AE983),1,0)</f>
        <v>0</v>
      </c>
      <c r="CI983" s="50" t="n">
        <f aca="false">N(AE983)</f>
        <v>0</v>
      </c>
      <c r="CJ983" s="50" t="n">
        <f aca="false">N(M983)+N(N983)</f>
        <v>322</v>
      </c>
      <c r="CK983" s="50" t="n">
        <f aca="false">N(M983)</f>
        <v>12</v>
      </c>
      <c r="CL983" s="50" t="n">
        <f aca="false">N(N983)</f>
        <v>310</v>
      </c>
      <c r="CM983" s="50" t="n">
        <f aca="false">ROUNDUP(H983/BY983,0)</f>
        <v>3</v>
      </c>
      <c r="CN983" s="50" t="n">
        <f aca="false">ROUNDUP(CI983/BY983,0)</f>
        <v>0</v>
      </c>
      <c r="CO983" s="53" t="n">
        <f aca="false">IF(BZ983=1,0,IFERROR(VLOOKUP(BX983,'Gebinde-Kategorie'!$A$5:$N$45,5,0)+0,0))</f>
        <v>8</v>
      </c>
      <c r="CP983" s="53" t="n">
        <f aca="false">IFERROR(IF(OR(CE983=1,CE983=2,CE983=3),N(INDEX(Parameter!$I$5:$I$7,CE983)),0),0)</f>
        <v>0</v>
      </c>
      <c r="CQ983" s="52" t="n">
        <f aca="false">IF(AND(Parameter!$B$21="Ja",ISNUMBER(W983),N(X983)&gt;0),IFERROR(N(INDEX(Parameter!$L$5:$L$7,W983))*INDEX(Parameter!$E$5:$E$7,W983)*X983/SUMIFS($X$7:$X$1843,$W$7:$W$1843,W983),0),0)</f>
        <v>0</v>
      </c>
    </row>
    <row r="984" customFormat="false" ht="15" hidden="false" customHeight="false" outlineLevel="0" collapsed="false">
      <c r="A984" s="48" t="s">
        <v>1828</v>
      </c>
      <c r="B984" s="48" t="s">
        <v>1829</v>
      </c>
      <c r="C984" s="48" t="s">
        <v>173</v>
      </c>
      <c r="D984" s="48" t="s">
        <v>193</v>
      </c>
      <c r="E984" s="48" t="s">
        <v>194</v>
      </c>
      <c r="F984" s="48" t="s">
        <v>227</v>
      </c>
      <c r="G984" s="49" t="n">
        <v>25.86</v>
      </c>
      <c r="H984" s="50" t="n">
        <f aca="false">MAX(0,IF(AND(Parameter!$B$21="Ja",ISNUMBER(Y984)),Y984,IF(Parameter!$B$20="Jahresanfang 2025 + Export",BR984+BQ984,BQ984)))</f>
        <v>59</v>
      </c>
      <c r="I984" s="50" t="n">
        <f aca="false">H984*G984</f>
        <v>1525.74</v>
      </c>
      <c r="J984" s="50" t="n">
        <f aca="false">BT984*Parameter!$B$18</f>
        <v>0</v>
      </c>
      <c r="K984" s="51" t="n">
        <v>62</v>
      </c>
      <c r="L984" s="52" t="n">
        <v>0</v>
      </c>
      <c r="M984" s="50" t="n">
        <v>0</v>
      </c>
      <c r="N984" s="50" t="n">
        <v>1</v>
      </c>
      <c r="O984" s="53" t="n">
        <v>14</v>
      </c>
      <c r="P984" s="48" t="s">
        <v>430</v>
      </c>
      <c r="Q984" s="50" t="n">
        <v>78</v>
      </c>
      <c r="R984" s="53" t="n">
        <f aca="false">IF(BZ984=1,0,IFERROR(VLOOKUP(BX984,'Gebinde-Kategorie'!$A$5:$N$45,13,0)+0,0))</f>
        <v>104</v>
      </c>
      <c r="S984" s="54"/>
      <c r="T984" s="55"/>
      <c r="U984" s="55"/>
      <c r="V984" s="55"/>
      <c r="W984" s="48"/>
      <c r="X984" s="50"/>
      <c r="Y984" s="50"/>
      <c r="Z984" s="48" t="n">
        <f aca="false">IF(A984="","",IF(AND(Parameter!$B$21="Ja",ISNUMBER(W984)),W984,IF(CC984="2+3",IF(ISNUMBER(SEARCH("grosser Artikel",BU984)),2,IFERROR(VLOOKUP(BX984,Parameter!$F$35:$G$64,2,0),2)),IF(OR(CC984="Nein",CC984=""),"-",CC984))))</f>
        <v>3</v>
      </c>
      <c r="AA984" s="55"/>
      <c r="AB984" s="56"/>
      <c r="AC984" s="50" t="n">
        <f aca="false">AV984</f>
        <v>1</v>
      </c>
      <c r="AD984" s="50" t="n">
        <f aca="false">MAX(AV984,H984)</f>
        <v>59</v>
      </c>
      <c r="AE984" s="57"/>
      <c r="AF984" s="50" t="n">
        <f aca="false">IF(LEFT(Cockpit!$C$5,1)="A",H984,IF(Parameter!$E$30="MAX-Bestand",IF(CH984=1,CI984,IF(LEFT(Cockpit!$C$5,1)="B",AL984,MAX(AL984,H984))),ROUNDUP(AJ984,0)))</f>
        <v>59</v>
      </c>
      <c r="AG984" s="50" t="n">
        <f aca="false">IF(BZ984=1,0,ROUNDUP(AF984/BY984,0))</f>
        <v>1</v>
      </c>
      <c r="AH984" s="52" t="n">
        <f aca="false">IF(CQ984&gt;0,CQ984*MAX(1,AF984/X984),IF(BZ984=1,IF(AF984&lt;=0,0,CD984*MAX(1,IF(H984&gt;0,AF984/H984,1))),IF(R984&gt;0,AG984/R984,0))/MAX(0.1,N(Parameter!$M$21)))</f>
        <v>0.00961538461538462</v>
      </c>
      <c r="AI984" s="50" t="n">
        <f aca="false">AH984*CB984</f>
        <v>1.49038461538462</v>
      </c>
      <c r="AJ984" s="51" t="n">
        <f aca="false">IF(LEFT(Cockpit!$C$5,1)="A",H984,IF(CH984=1,(CK984+CI984)/2,IF(LEFT(Cockpit!$C$5,1)="B",(CK984+AL984)/2,MAX((CK984+AL984)/2,H984))))</f>
        <v>59</v>
      </c>
      <c r="AK984" s="50" t="n">
        <f aca="false">AJ984*G984</f>
        <v>1525.74</v>
      </c>
      <c r="AL984" s="50" t="n">
        <f aca="false">ROUNDUP(CK984+MAX(CL984,2*(J984/IF(CG984&gt;0,CG984,MAX(0.1,N(Cockpit!$C$6)))-CK984)),0)</f>
        <v>1</v>
      </c>
      <c r="AM984" s="51" t="n">
        <f aca="false">IF(AI984&gt;0,J984/AI984,-1)</f>
        <v>0</v>
      </c>
      <c r="AN984" s="51" t="n">
        <f aca="false">IF(AND(OR(CF984="L1",CF984="L23",CF984="LIFT"),AI984&gt;0),SUMIFS($AI$7:$AI$1843,$CF$7:$CF$1843,CF984,$AM$7:$AM$1843,"&gt;"&amp;AM984)+SUMIFS($AI$7:$AI$1843,$CF$7:$CF$1843,CF984,$AM$7:$AM$1843,AM984,$BW$7:$BW$1843,"&lt;="&amp;BW984),"")</f>
        <v>28919.2043806006</v>
      </c>
      <c r="AO984" s="58" t="n">
        <f aca="false">IF(AN984="",0,MAX(0,MIN(1,(IF(CF984="L1",Parameter!$H$5,IF(CF984="L23",Parameter!$H$6+Parameter!$H$7,Parameter!$H$5+Parameter!$H$6+Parameter!$H$7))-(AN984-AI984))/AI984)))</f>
        <v>1</v>
      </c>
      <c r="AP984" s="50" t="n">
        <f aca="false">IF(LEFT(Cockpit!$I$5,1)="A",H984,IF(Parameter!$E$30="MAX-Bestand",IF(CH984=1,CI984,IF(LEFT(Cockpit!$I$5,1)="B",AV984,MAX(AV984,H984))),ROUNDUP(AT984,0)))</f>
        <v>59</v>
      </c>
      <c r="AQ984" s="50" t="n">
        <f aca="false">IF(BZ984=1,0,ROUNDUP(AP984/BY984,0))</f>
        <v>1</v>
      </c>
      <c r="AR984" s="52" t="n">
        <f aca="false">IF(CQ984&gt;0,CQ984*MAX(1,AP984/X984),IF(BZ984=1,IF(AP984&lt;=0,0,CD984*MAX(1,IF(H984&gt;0,AP984/H984,1))),IF(R984&gt;0,AQ984/R984,0))/MAX(0.1,N(Parameter!$M$21)))</f>
        <v>0.00961538461538462</v>
      </c>
      <c r="AS984" s="50" t="n">
        <f aca="false">AR984*CB984</f>
        <v>1.49038461538462</v>
      </c>
      <c r="AT984" s="51" t="n">
        <f aca="false">IF(LEFT(Cockpit!$I$5,1)="A",H984,IF(CH984=1,(CK984+CI984)/2,IF(LEFT(Cockpit!$I$5,1)="B",(CK984+AV984)/2,MAX((CK984+AV984)/2,H984))))</f>
        <v>59</v>
      </c>
      <c r="AU984" s="50" t="n">
        <f aca="false">AT984*G984</f>
        <v>1525.74</v>
      </c>
      <c r="AV984" s="50" t="n">
        <f aca="false">ROUNDUP(CK984+MAX(CL984,2*(J984/IF(CG984&gt;0,CG984,MAX(0.1,N(Cockpit!$I$6)))-CK984)),0)</f>
        <v>1</v>
      </c>
      <c r="AW984" s="51" t="n">
        <f aca="false">IF(AS984&gt;0,J984/AS984,-1)</f>
        <v>0</v>
      </c>
      <c r="AX984" s="51" t="n">
        <f aca="false">IF(AND(OR(CF984="L1",CF984="L23",CF984="LIFT"),AS984&gt;0),SUMIFS($AS$7:$AS$1843,$CF$7:$CF$1843,CF984,$AW$7:$AW$1843,"&gt;"&amp;AW984)+SUMIFS($AS$7:$AS$1843,$CF$7:$CF$1843,CF984,$AW$7:$AW$1843,AW984,$BW$7:$BW$1843,"&lt;="&amp;BW984),"")</f>
        <v>34593.0989010989</v>
      </c>
      <c r="AY984" s="58" t="n">
        <f aca="false">IF(AX984="",0,MAX(0,MIN(1,(IF(CF984="L1",Parameter!$H$5,IF(CF984="L23",Parameter!$H$6+Parameter!$H$7,Parameter!$H$5+Parameter!$H$6+Parameter!$H$7))-(AX984-AS984))/AS984)))</f>
        <v>1</v>
      </c>
      <c r="AZ984" s="50" t="n">
        <f aca="false">IF(LEFT(Cockpit!$O$5,1)="A",H984,IF(Parameter!$E$30="MAX-Bestand",IF(CH984=1,CI984,IF(LEFT(Cockpit!$O$5,1)="B",BF984,MAX(BF984,H984))),ROUNDUP(BD984,0)))</f>
        <v>1</v>
      </c>
      <c r="BA984" s="50" t="n">
        <f aca="false">IF(BZ984=1,0,ROUNDUP(AZ984/BY984,0))</f>
        <v>1</v>
      </c>
      <c r="BB984" s="52" t="n">
        <f aca="false">IF(CQ984&gt;0,CQ984*MAX(1,AZ984/X984),IF(BZ984=1,IF(AZ984&lt;=0,0,CD984*MAX(1,IF(H984&gt;0,AZ984/H984,1))),IF(R984&gt;0,BA984/R984,0))/MAX(0.1,N(Parameter!$M$21)))</f>
        <v>0.00961538461538462</v>
      </c>
      <c r="BC984" s="50" t="n">
        <f aca="false">BB984*CB984</f>
        <v>1.49038461538462</v>
      </c>
      <c r="BD984" s="51" t="n">
        <f aca="false">IF(LEFT(Cockpit!$O$5,1)="A",H984,IF(CH984=1,(CK984+CI984)/2,IF(LEFT(Cockpit!$O$5,1)="B",(CK984+BF984)/2,MAX((CK984+BF984)/2,H984))))</f>
        <v>0.5</v>
      </c>
      <c r="BE984" s="50" t="n">
        <f aca="false">BD984*G984</f>
        <v>12.93</v>
      </c>
      <c r="BF984" s="50" t="n">
        <f aca="false">ROUNDUP(CK984+MAX(CL984,2*(J984/IF(CG984&gt;0,CG984,MAX(0.1,N(Cockpit!$O$6)))-CK984)),0)</f>
        <v>1</v>
      </c>
      <c r="BG984" s="51" t="n">
        <f aca="false">IF(BC984&gt;0,J984/BC984,-1)</f>
        <v>0</v>
      </c>
      <c r="BH984" s="51" t="n">
        <f aca="false">IF(AND(OR(CF984="L1",CF984="L23",CF984="LIFT"),BC984&gt;0),SUMIFS($BC$7:$BC$1843,$CF$7:$CF$1843,CF984,$BG$7:$BG$1843,"&gt;"&amp;BG984)+SUMIFS($BC$7:$BC$1843,$CF$7:$CF$1843,CF984,$BG$7:$BG$1843,BG984,$BW$7:$BW$1843,"&lt;="&amp;BW984),"")</f>
        <v>28617.6363304774</v>
      </c>
      <c r="BI984" s="58" t="n">
        <f aca="false">IF(BH984="",0,MAX(0,MIN(1,(IF(CF984="L1",Parameter!$H$5,IF(CF984="L23",Parameter!$H$6+Parameter!$H$7,Parameter!$H$5+Parameter!$H$6+Parameter!$H$7))-(BH984-BC984))/BC984)))</f>
        <v>1</v>
      </c>
      <c r="BJ984" s="48" t="str">
        <f aca="false">IF(AI984&lt;=0,"",IF(CF984="Aussen","Aussenlager",IF(CF984="-","Nicht im Lift",IF(AO984&gt;=1,"Lift",IF(AO984&lt;=0,"Aussenlager","teilweise")))))</f>
        <v>Lift</v>
      </c>
      <c r="BK984" s="48" t="str">
        <f aca="false">IF(AS984&lt;=0,"",IF(CF984="Aussen","Aussenlager",IF(CF984="-","Nicht im Lift",IF(AY984&gt;=1,"Lift",IF(AY984&lt;=0,"Aussenlager","teilweise")))))</f>
        <v>Lift</v>
      </c>
      <c r="BL984" s="48" t="str">
        <f aca="false">IF(BC984&lt;=0,"",IF(CF984="Aussen","Aussenlager",IF(CF984="-","Nicht im Lift",IF(BI984&gt;=1,"Lift",IF(BI984&lt;=0,"Aussenlager","teilweise")))))</f>
        <v>Lift</v>
      </c>
      <c r="BM984" s="48" t="str">
        <f aca="false">IF(A984="","",IF(BV984=1,"Neu; ","")&amp;IF(AND(BV984=0,BQ984&lt;0),"negativer Bestand (Export "&amp;BQ984&amp;"); ","")&amp;IF(J984&lt;=0,"Kein Verbrauch; ","")&amp;IF(CQ984&gt;0,"Lift "&amp;W984&amp;" lt. Liftbericht (Fach "&amp;X984&amp;" Stk); ",IF(CA984=1,"Gebinde geschätzt ("&amp;T984&amp;"); ",IF(BZ984=1,"Lose – Tablare geschätzt; ","")))&amp;IF(H984&gt;AV984,"Überbestand "&amp;ROUND(H984-AV984,0)&amp;" Stk / CHF "&amp;ROUND((H984-AV984)*G984,0)&amp;"; ","")&amp;IF(AND(CH984=1,CI984&lt;CJ984),"MAX &lt; MB+LG; ","")&amp;IF(AND(CP984&gt;0,CO984*10&gt;CP984),"zu hoch für Tablar; ","")&amp;IF(AND(BV984=0,OR(CH984=1,AA984&lt;&gt;"",U984&lt;&gt;"",V984&lt;&gt;"",AB984&lt;&gt;"")),"manuell übersteuert; ","")&amp;IF(AND(BZ984=0,R984=0),"Gebinde unbekannt / Stellmass fehlt; ","")&amp;IF(AND(BZ984=0,N(V984)&lt;=0,N(Q984)&lt;=0),"Menge pro Gebinde fehlt (Ist = 1 Gebinde); ","")&amp;BU984)</f>
        <v>negativer Bestand (Export -3); Kein Verbrauch; Überbestand 58 Stk / CHF 1500; </v>
      </c>
      <c r="BN984" s="48"/>
      <c r="BO984" s="48"/>
      <c r="BP984" s="55"/>
      <c r="BQ984" s="50" t="n">
        <v>-3</v>
      </c>
      <c r="BR984" s="50" t="n">
        <v>62</v>
      </c>
      <c r="BS984" s="49" t="n">
        <v>-77.58</v>
      </c>
      <c r="BT984" s="50" t="n">
        <v>0</v>
      </c>
      <c r="BU984" s="48"/>
      <c r="BV984" s="53" t="n">
        <v>0</v>
      </c>
      <c r="BW984" s="53" t="n">
        <v>984</v>
      </c>
      <c r="BX984" s="48" t="str">
        <f aca="false">IF(U984&lt;&gt;"",UPPER(TRIM(U984)),IF(CA984=1,UPPER(VLOOKUP(T984,Parameter!$I$27:$K$29,2,0)),IF(P984="","LOSE",P984)))</f>
        <v>S32</v>
      </c>
      <c r="BY984" s="50" t="n">
        <f aca="false">IF(BX984="LOSE",1,IF(N(V984)&gt;0,V984,IF(CA984=1,MAX(1,N(VLOOKUP(T984,Parameter!$I$27:$K$29,3,0)),H984,N(N984)),IF(N(Q984)&gt;0,Q984,MAX(1,H984)))))</f>
        <v>78</v>
      </c>
      <c r="BZ984" s="53" t="n">
        <f aca="false">IF(BX984="LOSE",1,0)</f>
        <v>0</v>
      </c>
      <c r="CA984" s="53" t="n">
        <f aca="false">IF(AND(U984="",OR(P984="",P984="LOSE"),T984&lt;&gt;"",N(S984)&lt;=0,ISNUMBER(MATCH(T984,Parameter!$I$27:$I$29,0))),1,0)</f>
        <v>0</v>
      </c>
      <c r="CB984" s="53" t="n">
        <f aca="false">IF(CQ984&gt;0,INDEX(Parameter!$H$5:$H$7,W984)/INDEX(Parameter!$E$5:$E$7,W984),IF(AND(BZ984=0,N(IFERROR(VLOOKUP(BX984,'Gebinde-Kategorie'!$A$5:$N$45,14,0),0))&gt;0),VLOOKUP(BX984,'Gebinde-Kategorie'!$A$5:$N$45,14,0)*10+Parameter!$M$23,Parameter!$M$24))</f>
        <v>155</v>
      </c>
      <c r="CC984" s="48" t="str">
        <f aca="false">IF(AND(Parameter!$B$19="Ja",E984&lt;&gt;"",ISNUMBER(MATCH(E984,Parameter!$I$35:$I$52,0))),VLOOKUP(E984,Parameter!$I$35:$J$52,2,0),IFERROR(VLOOKUP(D984,Parameter!$A$35:$C$64,2,0),"Nein"))</f>
        <v>2+3</v>
      </c>
      <c r="CD984" s="52" t="n">
        <f aca="false">IF(BZ984=0,0,IF(N(S984)&gt;0,S984,IFERROR(VLOOKUP(D984,Parameter!$A$35:$C$64,3,0)+0,0)))</f>
        <v>0</v>
      </c>
      <c r="CE984" s="48" t="n">
        <f aca="false">IF(AA984&lt;&gt;"",AA984,Z984)</f>
        <v>3</v>
      </c>
      <c r="CF984" s="48" t="str">
        <f aca="false">IF(OR(CE984=1,CE984=2,CE984=3),IF(Parameter!$E$27="Ja","LIFT",IF(CE984=1,"L1","L23")),IF(CE984="Aussen","Aussen","-"))</f>
        <v>LIFT</v>
      </c>
      <c r="CG984" s="59" t="n">
        <f aca="false">IF(N(AB984)&gt;0,AB984,0)</f>
        <v>0</v>
      </c>
      <c r="CH984" s="53" t="n">
        <f aca="false">IF(ISNUMBER(AE984),1,0)</f>
        <v>0</v>
      </c>
      <c r="CI984" s="50" t="n">
        <f aca="false">N(AE984)</f>
        <v>0</v>
      </c>
      <c r="CJ984" s="50" t="n">
        <f aca="false">N(M984)+N(N984)</f>
        <v>1</v>
      </c>
      <c r="CK984" s="50" t="n">
        <f aca="false">N(M984)</f>
        <v>0</v>
      </c>
      <c r="CL984" s="50" t="n">
        <f aca="false">N(N984)</f>
        <v>1</v>
      </c>
      <c r="CM984" s="50" t="n">
        <f aca="false">ROUNDUP(H984/BY984,0)</f>
        <v>1</v>
      </c>
      <c r="CN984" s="50" t="n">
        <f aca="false">ROUNDUP(CI984/BY984,0)</f>
        <v>0</v>
      </c>
      <c r="CO984" s="53" t="n">
        <f aca="false">IF(BZ984=1,0,IFERROR(VLOOKUP(BX984,'Gebinde-Kategorie'!$A$5:$N$45,5,0)+0,0))</f>
        <v>8</v>
      </c>
      <c r="CP984" s="53" t="n">
        <f aca="false">IFERROR(IF(OR(CE984=1,CE984=2,CE984=3),N(INDEX(Parameter!$I$5:$I$7,CE984)),0),0)</f>
        <v>0</v>
      </c>
      <c r="CQ984" s="52" t="n">
        <f aca="false">IF(AND(Parameter!$B$21="Ja",ISNUMBER(W984),N(X984)&gt;0),IFERROR(N(INDEX(Parameter!$L$5:$L$7,W984))*INDEX(Parameter!$E$5:$E$7,W984)*X984/SUMIFS($X$7:$X$1843,$W$7:$W$1843,W984),0),0)</f>
        <v>0</v>
      </c>
    </row>
    <row r="985" customFormat="false" ht="15" hidden="false" customHeight="false" outlineLevel="0" collapsed="false">
      <c r="A985" s="48" t="s">
        <v>1830</v>
      </c>
      <c r="B985" s="48" t="s">
        <v>1831</v>
      </c>
      <c r="C985" s="48" t="s">
        <v>465</v>
      </c>
      <c r="D985" s="48" t="s">
        <v>193</v>
      </c>
      <c r="E985" s="48"/>
      <c r="F985" s="48" t="s">
        <v>227</v>
      </c>
      <c r="G985" s="49" t="n">
        <v>2</v>
      </c>
      <c r="H985" s="50" t="n">
        <f aca="false">MAX(0,IF(AND(Parameter!$B$21="Ja",ISNUMBER(Y985)),Y985,IF(Parameter!$B$20="Jahresanfang 2025 + Export",BR985+BQ985,BQ985)))</f>
        <v>0</v>
      </c>
      <c r="I985" s="50" t="n">
        <f aca="false">H985*G985</f>
        <v>0</v>
      </c>
      <c r="J985" s="50" t="n">
        <f aca="false">BT985*Parameter!$B$18</f>
        <v>0</v>
      </c>
      <c r="K985" s="51" t="n">
        <v>40</v>
      </c>
      <c r="L985" s="52" t="n">
        <v>0</v>
      </c>
      <c r="M985" s="50" t="n">
        <v>0</v>
      </c>
      <c r="N985" s="50" t="n">
        <v>1</v>
      </c>
      <c r="O985" s="53" t="n">
        <v>21</v>
      </c>
      <c r="P985" s="48" t="s">
        <v>177</v>
      </c>
      <c r="Q985" s="50"/>
      <c r="R985" s="53" t="n">
        <f aca="false">IF(BZ985=1,0,IFERROR(VLOOKUP(BX985,'Gebinde-Kategorie'!$A$5:$N$45,13,0)+0,0))</f>
        <v>26</v>
      </c>
      <c r="S985" s="54"/>
      <c r="T985" s="55" t="s">
        <v>284</v>
      </c>
      <c r="U985" s="55"/>
      <c r="V985" s="55"/>
      <c r="W985" s="48"/>
      <c r="X985" s="50"/>
      <c r="Y985" s="50"/>
      <c r="Z985" s="48" t="n">
        <f aca="false">IF(A985="","",IF(AND(Parameter!$B$21="Ja",ISNUMBER(W985)),W985,IF(CC985="2+3",IF(ISNUMBER(SEARCH("grosser Artikel",BU985)),2,IFERROR(VLOOKUP(BX985,Parameter!$F$35:$G$64,2,0),2)),IF(OR(CC985="Nein",CC985=""),"-",CC985))))</f>
        <v>3</v>
      </c>
      <c r="AA985" s="55"/>
      <c r="AB985" s="56"/>
      <c r="AC985" s="50" t="n">
        <f aca="false">AV985</f>
        <v>1</v>
      </c>
      <c r="AD985" s="50" t="n">
        <f aca="false">MAX(AV985,H985)</f>
        <v>1</v>
      </c>
      <c r="AE985" s="57"/>
      <c r="AF985" s="50" t="n">
        <f aca="false">IF(LEFT(Cockpit!$C$5,1)="A",H985,IF(Parameter!$E$30="MAX-Bestand",IF(CH985=1,CI985,IF(LEFT(Cockpit!$C$5,1)="B",AL985,MAX(AL985,H985))),ROUNDUP(AJ985,0)))</f>
        <v>0</v>
      </c>
      <c r="AG985" s="50" t="n">
        <f aca="false">IF(BZ985=1,0,ROUNDUP(AF985/BY985,0))</f>
        <v>0</v>
      </c>
      <c r="AH985" s="52" t="n">
        <f aca="false">IF(CQ985&gt;0,CQ985*MAX(1,AF985/X985),IF(BZ985=1,IF(AF985&lt;=0,0,CD985*MAX(1,IF(H985&gt;0,AF985/H985,1))),IF(R985&gt;0,AG985/R985,0))/MAX(0.1,N(Parameter!$M$21)))</f>
        <v>0</v>
      </c>
      <c r="AI985" s="50" t="n">
        <f aca="false">AH985*CB985</f>
        <v>0</v>
      </c>
      <c r="AJ985" s="51" t="n">
        <f aca="false">IF(LEFT(Cockpit!$C$5,1)="A",H985,IF(CH985=1,(CK985+CI985)/2,IF(LEFT(Cockpit!$C$5,1)="B",(CK985+AL985)/2,MAX((CK985+AL985)/2,H985))))</f>
        <v>0</v>
      </c>
      <c r="AK985" s="50" t="n">
        <f aca="false">AJ985*G985</f>
        <v>0</v>
      </c>
      <c r="AL985" s="50" t="n">
        <f aca="false">ROUNDUP(CK985+MAX(CL985,2*(J985/IF(CG985&gt;0,CG985,MAX(0.1,N(Cockpit!$C$6)))-CK985)),0)</f>
        <v>1</v>
      </c>
      <c r="AM985" s="51" t="n">
        <f aca="false">IF(AI985&gt;0,J985/AI985,-1)</f>
        <v>-1</v>
      </c>
      <c r="AN985" s="51" t="str">
        <f aca="false">IF(AND(OR(CF985="L1",CF985="L23",CF985="LIFT"),AI985&gt;0),SUMIFS($AI$7:$AI$1843,$CF$7:$CF$1843,CF985,$AM$7:$AM$1843,"&gt;"&amp;AM985)+SUMIFS($AI$7:$AI$1843,$CF$7:$CF$1843,CF985,$AM$7:$AM$1843,AM985,$BW$7:$BW$1843,"&lt;="&amp;BW985),"")</f>
        <v/>
      </c>
      <c r="AO985" s="58" t="n">
        <f aca="false">IF(AN985="",0,MAX(0,MIN(1,(IF(CF985="L1",Parameter!$H$5,IF(CF985="L23",Parameter!$H$6+Parameter!$H$7,Parameter!$H$5+Parameter!$H$6+Parameter!$H$7))-(AN985-AI985))/AI985)))</f>
        <v>0</v>
      </c>
      <c r="AP985" s="50" t="n">
        <f aca="false">IF(LEFT(Cockpit!$I$5,1)="A",H985,IF(Parameter!$E$30="MAX-Bestand",IF(CH985=1,CI985,IF(LEFT(Cockpit!$I$5,1)="B",AV985,MAX(AV985,H985))),ROUNDUP(AT985,0)))</f>
        <v>1</v>
      </c>
      <c r="AQ985" s="50" t="n">
        <f aca="false">IF(BZ985=1,0,ROUNDUP(AP985/BY985,0))</f>
        <v>1</v>
      </c>
      <c r="AR985" s="52" t="n">
        <f aca="false">IF(CQ985&gt;0,CQ985*MAX(1,AP985/X985),IF(BZ985=1,IF(AP985&lt;=0,0,CD985*MAX(1,IF(H985&gt;0,AP985/H985,1))),IF(R985&gt;0,AQ985/R985,0))/MAX(0.1,N(Parameter!$M$21)))</f>
        <v>0.0384615384615385</v>
      </c>
      <c r="AS985" s="50" t="n">
        <f aca="false">AR985*CB985</f>
        <v>5.96153846153846</v>
      </c>
      <c r="AT985" s="51" t="n">
        <f aca="false">IF(LEFT(Cockpit!$I$5,1)="A",H985,IF(CH985=1,(CK985+CI985)/2,IF(LEFT(Cockpit!$I$5,1)="B",(CK985+AV985)/2,MAX((CK985+AV985)/2,H985))))</f>
        <v>0.5</v>
      </c>
      <c r="AU985" s="50" t="n">
        <f aca="false">AT985*G985</f>
        <v>1</v>
      </c>
      <c r="AV985" s="50" t="n">
        <f aca="false">ROUNDUP(CK985+MAX(CL985,2*(J985/IF(CG985&gt;0,CG985,MAX(0.1,N(Cockpit!$I$6)))-CK985)),0)</f>
        <v>1</v>
      </c>
      <c r="AW985" s="51" t="n">
        <f aca="false">IF(AS985&gt;0,J985/AS985,-1)</f>
        <v>0</v>
      </c>
      <c r="AX985" s="51" t="n">
        <f aca="false">IF(AND(OR(CF985="L1",CF985="L23",CF985="LIFT"),AS985&gt;0),SUMIFS($AS$7:$AS$1843,$CF$7:$CF$1843,CF985,$AW$7:$AW$1843,"&gt;"&amp;AW985)+SUMIFS($AS$7:$AS$1843,$CF$7:$CF$1843,CF985,$AW$7:$AW$1843,AW985,$BW$7:$BW$1843,"&lt;="&amp;BW985),"")</f>
        <v>34599.0604395604</v>
      </c>
      <c r="AY985" s="58" t="n">
        <f aca="false">IF(AX985="",0,MAX(0,MIN(1,(IF(CF985="L1",Parameter!$H$5,IF(CF985="L23",Parameter!$H$6+Parameter!$H$7,Parameter!$H$5+Parameter!$H$6+Parameter!$H$7))-(AX985-AS985))/AS985)))</f>
        <v>1</v>
      </c>
      <c r="AZ985" s="50" t="n">
        <f aca="false">IF(LEFT(Cockpit!$O$5,1)="A",H985,IF(Parameter!$E$30="MAX-Bestand",IF(CH985=1,CI985,IF(LEFT(Cockpit!$O$5,1)="B",BF985,MAX(BF985,H985))),ROUNDUP(BD985,0)))</f>
        <v>1</v>
      </c>
      <c r="BA985" s="50" t="n">
        <f aca="false">IF(BZ985=1,0,ROUNDUP(AZ985/BY985,0))</f>
        <v>1</v>
      </c>
      <c r="BB985" s="52" t="n">
        <f aca="false">IF(CQ985&gt;0,CQ985*MAX(1,AZ985/X985),IF(BZ985=1,IF(AZ985&lt;=0,0,CD985*MAX(1,IF(H985&gt;0,AZ985/H985,1))),IF(R985&gt;0,BA985/R985,0))/MAX(0.1,N(Parameter!$M$21)))</f>
        <v>0.0384615384615385</v>
      </c>
      <c r="BC985" s="50" t="n">
        <f aca="false">BB985*CB985</f>
        <v>5.96153846153846</v>
      </c>
      <c r="BD985" s="51" t="n">
        <f aca="false">IF(LEFT(Cockpit!$O$5,1)="A",H985,IF(CH985=1,(CK985+CI985)/2,IF(LEFT(Cockpit!$O$5,1)="B",(CK985+BF985)/2,MAX((CK985+BF985)/2,H985))))</f>
        <v>0.5</v>
      </c>
      <c r="BE985" s="50" t="n">
        <f aca="false">BD985*G985</f>
        <v>1</v>
      </c>
      <c r="BF985" s="50" t="n">
        <f aca="false">ROUNDUP(CK985+MAX(CL985,2*(J985/IF(CG985&gt;0,CG985,MAX(0.1,N(Cockpit!$O$6)))-CK985)),0)</f>
        <v>1</v>
      </c>
      <c r="BG985" s="51" t="n">
        <f aca="false">IF(BC985&gt;0,J985/BC985,-1)</f>
        <v>0</v>
      </c>
      <c r="BH985" s="51" t="n">
        <f aca="false">IF(AND(OR(CF985="L1",CF985="L23",CF985="LIFT"),BC985&gt;0),SUMIFS($BC$7:$BC$1843,$CF$7:$CF$1843,CF985,$BG$7:$BG$1843,"&gt;"&amp;BG985)+SUMIFS($BC$7:$BC$1843,$CF$7:$CF$1843,CF985,$BG$7:$BG$1843,BG985,$BW$7:$BW$1843,"&lt;="&amp;BW985),"")</f>
        <v>28623.597868939</v>
      </c>
      <c r="BI985" s="58" t="n">
        <f aca="false">IF(BH985="",0,MAX(0,MIN(1,(IF(CF985="L1",Parameter!$H$5,IF(CF985="L23",Parameter!$H$6+Parameter!$H$7,Parameter!$H$5+Parameter!$H$6+Parameter!$H$7))-(BH985-BC985))/BC985)))</f>
        <v>1</v>
      </c>
      <c r="BJ985" s="48" t="str">
        <f aca="false">IF(AI985&lt;=0,"",IF(CF985="Aussen","Aussenlager",IF(CF985="-","Nicht im Lift",IF(AO985&gt;=1,"Lift",IF(AO985&lt;=0,"Aussenlager","teilweise")))))</f>
        <v/>
      </c>
      <c r="BK985" s="48" t="str">
        <f aca="false">IF(AS985&lt;=0,"",IF(CF985="Aussen","Aussenlager",IF(CF985="-","Nicht im Lift",IF(AY985&gt;=1,"Lift",IF(AY985&lt;=0,"Aussenlager","teilweise")))))</f>
        <v>Lift</v>
      </c>
      <c r="BL985" s="48" t="str">
        <f aca="false">IF(BC985&lt;=0,"",IF(CF985="Aussen","Aussenlager",IF(CF985="-","Nicht im Lift",IF(BI985&gt;=1,"Lift",IF(BI985&lt;=0,"Aussenlager","teilweise")))))</f>
        <v>Lift</v>
      </c>
      <c r="BM985" s="48" t="str">
        <f aca="false">IF(A985="","",IF(BV985=1,"Neu; ","")&amp;IF(AND(BV985=0,BQ985&lt;0),"negativer Bestand (Export "&amp;BQ985&amp;"); ","")&amp;IF(J985&lt;=0,"Kein Verbrauch; ","")&amp;IF(CQ985&gt;0,"Lift "&amp;W985&amp;" lt. Liftbericht (Fach "&amp;X985&amp;" Stk); ",IF(CA985=1,"Gebinde geschätzt ("&amp;T985&amp;"); ",IF(BZ985=1,"Lose – Tablare geschätzt; ","")))&amp;IF(H985&gt;AV985,"Überbestand "&amp;ROUND(H985-AV985,0)&amp;" Stk / CHF "&amp;ROUND((H985-AV985)*G985,0)&amp;"; ","")&amp;IF(AND(CH985=1,CI985&lt;CJ985),"MAX &lt; MB+LG; ","")&amp;IF(AND(CP985&gt;0,CO985*10&gt;CP985),"zu hoch für Tablar; ","")&amp;IF(AND(BV985=0,OR(CH985=1,AA985&lt;&gt;"",U985&lt;&gt;"",V985&lt;&gt;"",AB985&lt;&gt;"")),"manuell übersteuert; ","")&amp;IF(AND(BZ985=0,R985=0),"Gebinde unbekannt / Stellmass fehlt; ","")&amp;IF(AND(BZ985=0,N(V985)&lt;=0,N(Q985)&lt;=0),"Menge pro Gebinde fehlt (Ist = 1 Gebinde); ","")&amp;BU985)</f>
        <v>negativer Bestand (Export -40); Kein Verbrauch; Gebinde geschätzt (Klein); Menge pro Gebinde fehlt (Ist = 1 Gebinde); </v>
      </c>
      <c r="BN985" s="48"/>
      <c r="BO985" s="48"/>
      <c r="BP985" s="55"/>
      <c r="BQ985" s="50" t="n">
        <v>-40</v>
      </c>
      <c r="BR985" s="50" t="n">
        <v>40</v>
      </c>
      <c r="BS985" s="49" t="n">
        <v>-80</v>
      </c>
      <c r="BT985" s="50" t="n">
        <v>0</v>
      </c>
      <c r="BU985" s="48"/>
      <c r="BV985" s="53" t="n">
        <v>0</v>
      </c>
      <c r="BW985" s="53" t="n">
        <v>985</v>
      </c>
      <c r="BX985" s="48" t="str">
        <f aca="false">IF(U985&lt;&gt;"",UPPER(TRIM(U985)),IF(CA985=1,UPPER(VLOOKUP(T985,Parameter!$I$27:$K$29,2,0)),IF(P985="","LOSE",P985)))</f>
        <v>S51</v>
      </c>
      <c r="BY985" s="50" t="n">
        <f aca="false">IF(BX985="LOSE",1,IF(N(V985)&gt;0,V985,IF(CA985=1,MAX(1,N(VLOOKUP(T985,Parameter!$I$27:$K$29,3,0)),H985,N(N985)),IF(N(Q985)&gt;0,Q985,MAX(1,H985)))))</f>
        <v>20</v>
      </c>
      <c r="BZ985" s="53" t="n">
        <f aca="false">IF(BX985="LOSE",1,0)</f>
        <v>0</v>
      </c>
      <c r="CA985" s="53" t="n">
        <f aca="false">IF(AND(U985="",OR(P985="",P985="LOSE"),T985&lt;&gt;"",N(S985)&lt;=0,ISNUMBER(MATCH(T985,Parameter!$I$27:$I$29,0))),1,0)</f>
        <v>1</v>
      </c>
      <c r="CB985" s="53" t="n">
        <f aca="false">IF(CQ985&gt;0,INDEX(Parameter!$H$5:$H$7,W985)/INDEX(Parameter!$E$5:$E$7,W985),IF(AND(BZ985=0,N(IFERROR(VLOOKUP(BX985,'Gebinde-Kategorie'!$A$5:$N$45,14,0),0))&gt;0),VLOOKUP(BX985,'Gebinde-Kategorie'!$A$5:$N$45,14,0)*10+Parameter!$M$23,Parameter!$M$24))</f>
        <v>155</v>
      </c>
      <c r="CC985" s="48" t="str">
        <f aca="false">IF(AND(Parameter!$B$19="Ja",E985&lt;&gt;"",ISNUMBER(MATCH(E985,Parameter!$I$35:$I$52,0))),VLOOKUP(E985,Parameter!$I$35:$J$52,2,0),IFERROR(VLOOKUP(D985,Parameter!$A$35:$C$64,2,0),"Nein"))</f>
        <v>2+3</v>
      </c>
      <c r="CD985" s="52" t="n">
        <f aca="false">IF(BZ985=0,0,IF(N(S985)&gt;0,S985,IFERROR(VLOOKUP(D985,Parameter!$A$35:$C$64,3,0)+0,0)))</f>
        <v>0</v>
      </c>
      <c r="CE985" s="48" t="n">
        <f aca="false">IF(AA985&lt;&gt;"",AA985,Z985)</f>
        <v>3</v>
      </c>
      <c r="CF985" s="48" t="str">
        <f aca="false">IF(OR(CE985=1,CE985=2,CE985=3),IF(Parameter!$E$27="Ja","LIFT",IF(CE985=1,"L1","L23")),IF(CE985="Aussen","Aussen","-"))</f>
        <v>LIFT</v>
      </c>
      <c r="CG985" s="59" t="n">
        <f aca="false">IF(N(AB985)&gt;0,AB985,0)</f>
        <v>0</v>
      </c>
      <c r="CH985" s="53" t="n">
        <f aca="false">IF(ISNUMBER(AE985),1,0)</f>
        <v>0</v>
      </c>
      <c r="CI985" s="50" t="n">
        <f aca="false">N(AE985)</f>
        <v>0</v>
      </c>
      <c r="CJ985" s="50" t="n">
        <f aca="false">N(M985)+N(N985)</f>
        <v>1</v>
      </c>
      <c r="CK985" s="50" t="n">
        <f aca="false">N(M985)</f>
        <v>0</v>
      </c>
      <c r="CL985" s="50" t="n">
        <f aca="false">N(N985)</f>
        <v>1</v>
      </c>
      <c r="CM985" s="50" t="n">
        <f aca="false">ROUNDUP(H985/BY985,0)</f>
        <v>0</v>
      </c>
      <c r="CN985" s="50" t="n">
        <f aca="false">ROUNDUP(CI985/BY985,0)</f>
        <v>0</v>
      </c>
      <c r="CO985" s="53" t="n">
        <f aca="false">IF(BZ985=1,0,IFERROR(VLOOKUP(BX985,'Gebinde-Kategorie'!$A$5:$N$45,5,0)+0,0))</f>
        <v>11</v>
      </c>
      <c r="CP985" s="53" t="n">
        <f aca="false">IFERROR(IF(OR(CE985=1,CE985=2,CE985=3),N(INDEX(Parameter!$I$5:$I$7,CE985)),0),0)</f>
        <v>0</v>
      </c>
      <c r="CQ985" s="52" t="n">
        <f aca="false">IF(AND(Parameter!$B$21="Ja",ISNUMBER(W985),N(X985)&gt;0),IFERROR(N(INDEX(Parameter!$L$5:$L$7,W985))*INDEX(Parameter!$E$5:$E$7,W985)*X985/SUMIFS($X$7:$X$1843,$W$7:$W$1843,W985),0),0)</f>
        <v>0</v>
      </c>
    </row>
    <row r="986" customFormat="false" ht="15" hidden="false" customHeight="false" outlineLevel="0" collapsed="false">
      <c r="A986" s="48" t="s">
        <v>1832</v>
      </c>
      <c r="B986" s="48" t="s">
        <v>1833</v>
      </c>
      <c r="C986" s="48" t="s">
        <v>465</v>
      </c>
      <c r="D986" s="48" t="s">
        <v>193</v>
      </c>
      <c r="E986" s="48"/>
      <c r="F986" s="48" t="s">
        <v>227</v>
      </c>
      <c r="G986" s="49" t="n">
        <v>2</v>
      </c>
      <c r="H986" s="50" t="n">
        <f aca="false">MAX(0,IF(AND(Parameter!$B$21="Ja",ISNUMBER(Y986)),Y986,IF(Parameter!$B$20="Jahresanfang 2025 + Export",BR986+BQ986,BQ986)))</f>
        <v>0</v>
      </c>
      <c r="I986" s="50" t="n">
        <f aca="false">H986*G986</f>
        <v>0</v>
      </c>
      <c r="J986" s="50" t="n">
        <f aca="false">BT986*Parameter!$B$18</f>
        <v>0</v>
      </c>
      <c r="K986" s="51" t="n">
        <v>37.5</v>
      </c>
      <c r="L986" s="52" t="n">
        <v>0</v>
      </c>
      <c r="M986" s="50" t="n">
        <v>0</v>
      </c>
      <c r="N986" s="50" t="n">
        <v>1</v>
      </c>
      <c r="O986" s="53" t="n">
        <v>21</v>
      </c>
      <c r="P986" s="48" t="s">
        <v>177</v>
      </c>
      <c r="Q986" s="50"/>
      <c r="R986" s="53" t="n">
        <f aca="false">IF(BZ986=1,0,IFERROR(VLOOKUP(BX986,'Gebinde-Kategorie'!$A$5:$N$45,13,0)+0,0))</f>
        <v>26</v>
      </c>
      <c r="S986" s="54"/>
      <c r="T986" s="55" t="s">
        <v>284</v>
      </c>
      <c r="U986" s="55"/>
      <c r="V986" s="55"/>
      <c r="W986" s="48"/>
      <c r="X986" s="50"/>
      <c r="Y986" s="50"/>
      <c r="Z986" s="48" t="n">
        <f aca="false">IF(A986="","",IF(AND(Parameter!$B$21="Ja",ISNUMBER(W986)),W986,IF(CC986="2+3",IF(ISNUMBER(SEARCH("grosser Artikel",BU986)),2,IFERROR(VLOOKUP(BX986,Parameter!$F$35:$G$64,2,0),2)),IF(OR(CC986="Nein",CC986=""),"-",CC986))))</f>
        <v>3</v>
      </c>
      <c r="AA986" s="55"/>
      <c r="AB986" s="56"/>
      <c r="AC986" s="50" t="n">
        <f aca="false">AV986</f>
        <v>1</v>
      </c>
      <c r="AD986" s="50" t="n">
        <f aca="false">MAX(AV986,H986)</f>
        <v>1</v>
      </c>
      <c r="AE986" s="57"/>
      <c r="AF986" s="50" t="n">
        <f aca="false">IF(LEFT(Cockpit!$C$5,1)="A",H986,IF(Parameter!$E$30="MAX-Bestand",IF(CH986=1,CI986,IF(LEFT(Cockpit!$C$5,1)="B",AL986,MAX(AL986,H986))),ROUNDUP(AJ986,0)))</f>
        <v>0</v>
      </c>
      <c r="AG986" s="50" t="n">
        <f aca="false">IF(BZ986=1,0,ROUNDUP(AF986/BY986,0))</f>
        <v>0</v>
      </c>
      <c r="AH986" s="52" t="n">
        <f aca="false">IF(CQ986&gt;0,CQ986*MAX(1,AF986/X986),IF(BZ986=1,IF(AF986&lt;=0,0,CD986*MAX(1,IF(H986&gt;0,AF986/H986,1))),IF(R986&gt;0,AG986/R986,0))/MAX(0.1,N(Parameter!$M$21)))</f>
        <v>0</v>
      </c>
      <c r="AI986" s="50" t="n">
        <f aca="false">AH986*CB986</f>
        <v>0</v>
      </c>
      <c r="AJ986" s="51" t="n">
        <f aca="false">IF(LEFT(Cockpit!$C$5,1)="A",H986,IF(CH986=1,(CK986+CI986)/2,IF(LEFT(Cockpit!$C$5,1)="B",(CK986+AL986)/2,MAX((CK986+AL986)/2,H986))))</f>
        <v>0</v>
      </c>
      <c r="AK986" s="50" t="n">
        <f aca="false">AJ986*G986</f>
        <v>0</v>
      </c>
      <c r="AL986" s="50" t="n">
        <f aca="false">ROUNDUP(CK986+MAX(CL986,2*(J986/IF(CG986&gt;0,CG986,MAX(0.1,N(Cockpit!$C$6)))-CK986)),0)</f>
        <v>1</v>
      </c>
      <c r="AM986" s="51" t="n">
        <f aca="false">IF(AI986&gt;0,J986/AI986,-1)</f>
        <v>-1</v>
      </c>
      <c r="AN986" s="51" t="str">
        <f aca="false">IF(AND(OR(CF986="L1",CF986="L23",CF986="LIFT"),AI986&gt;0),SUMIFS($AI$7:$AI$1843,$CF$7:$CF$1843,CF986,$AM$7:$AM$1843,"&gt;"&amp;AM986)+SUMIFS($AI$7:$AI$1843,$CF$7:$CF$1843,CF986,$AM$7:$AM$1843,AM986,$BW$7:$BW$1843,"&lt;="&amp;BW986),"")</f>
        <v/>
      </c>
      <c r="AO986" s="58" t="n">
        <f aca="false">IF(AN986="",0,MAX(0,MIN(1,(IF(CF986="L1",Parameter!$H$5,IF(CF986="L23",Parameter!$H$6+Parameter!$H$7,Parameter!$H$5+Parameter!$H$6+Parameter!$H$7))-(AN986-AI986))/AI986)))</f>
        <v>0</v>
      </c>
      <c r="AP986" s="50" t="n">
        <f aca="false">IF(LEFT(Cockpit!$I$5,1)="A",H986,IF(Parameter!$E$30="MAX-Bestand",IF(CH986=1,CI986,IF(LEFT(Cockpit!$I$5,1)="B",AV986,MAX(AV986,H986))),ROUNDUP(AT986,0)))</f>
        <v>1</v>
      </c>
      <c r="AQ986" s="50" t="n">
        <f aca="false">IF(BZ986=1,0,ROUNDUP(AP986/BY986,0))</f>
        <v>1</v>
      </c>
      <c r="AR986" s="52" t="n">
        <f aca="false">IF(CQ986&gt;0,CQ986*MAX(1,AP986/X986),IF(BZ986=1,IF(AP986&lt;=0,0,CD986*MAX(1,IF(H986&gt;0,AP986/H986,1))),IF(R986&gt;0,AQ986/R986,0))/MAX(0.1,N(Parameter!$M$21)))</f>
        <v>0.0384615384615385</v>
      </c>
      <c r="AS986" s="50" t="n">
        <f aca="false">AR986*CB986</f>
        <v>5.96153846153846</v>
      </c>
      <c r="AT986" s="51" t="n">
        <f aca="false">IF(LEFT(Cockpit!$I$5,1)="A",H986,IF(CH986=1,(CK986+CI986)/2,IF(LEFT(Cockpit!$I$5,1)="B",(CK986+AV986)/2,MAX((CK986+AV986)/2,H986))))</f>
        <v>0.5</v>
      </c>
      <c r="AU986" s="50" t="n">
        <f aca="false">AT986*G986</f>
        <v>1</v>
      </c>
      <c r="AV986" s="50" t="n">
        <f aca="false">ROUNDUP(CK986+MAX(CL986,2*(J986/IF(CG986&gt;0,CG986,MAX(0.1,N(Cockpit!$I$6)))-CK986)),0)</f>
        <v>1</v>
      </c>
      <c r="AW986" s="51" t="n">
        <f aca="false">IF(AS986&gt;0,J986/AS986,-1)</f>
        <v>0</v>
      </c>
      <c r="AX986" s="51" t="n">
        <f aca="false">IF(AND(OR(CF986="L1",CF986="L23",CF986="LIFT"),AS986&gt;0),SUMIFS($AS$7:$AS$1843,$CF$7:$CF$1843,CF986,$AW$7:$AW$1843,"&gt;"&amp;AW986)+SUMIFS($AS$7:$AS$1843,$CF$7:$CF$1843,CF986,$AW$7:$AW$1843,AW986,$BW$7:$BW$1843,"&lt;="&amp;BW986),"")</f>
        <v>34605.021978022</v>
      </c>
      <c r="AY986" s="58" t="n">
        <f aca="false">IF(AX986="",0,MAX(0,MIN(1,(IF(CF986="L1",Parameter!$H$5,IF(CF986="L23",Parameter!$H$6+Parameter!$H$7,Parameter!$H$5+Parameter!$H$6+Parameter!$H$7))-(AX986-AS986))/AS986)))</f>
        <v>1</v>
      </c>
      <c r="AZ986" s="50" t="n">
        <f aca="false">IF(LEFT(Cockpit!$O$5,1)="A",H986,IF(Parameter!$E$30="MAX-Bestand",IF(CH986=1,CI986,IF(LEFT(Cockpit!$O$5,1)="B",BF986,MAX(BF986,H986))),ROUNDUP(BD986,0)))</f>
        <v>1</v>
      </c>
      <c r="BA986" s="50" t="n">
        <f aca="false">IF(BZ986=1,0,ROUNDUP(AZ986/BY986,0))</f>
        <v>1</v>
      </c>
      <c r="BB986" s="52" t="n">
        <f aca="false">IF(CQ986&gt;0,CQ986*MAX(1,AZ986/X986),IF(BZ986=1,IF(AZ986&lt;=0,0,CD986*MAX(1,IF(H986&gt;0,AZ986/H986,1))),IF(R986&gt;0,BA986/R986,0))/MAX(0.1,N(Parameter!$M$21)))</f>
        <v>0.0384615384615385</v>
      </c>
      <c r="BC986" s="50" t="n">
        <f aca="false">BB986*CB986</f>
        <v>5.96153846153846</v>
      </c>
      <c r="BD986" s="51" t="n">
        <f aca="false">IF(LEFT(Cockpit!$O$5,1)="A",H986,IF(CH986=1,(CK986+CI986)/2,IF(LEFT(Cockpit!$O$5,1)="B",(CK986+BF986)/2,MAX((CK986+BF986)/2,H986))))</f>
        <v>0.5</v>
      </c>
      <c r="BE986" s="50" t="n">
        <f aca="false">BD986*G986</f>
        <v>1</v>
      </c>
      <c r="BF986" s="50" t="n">
        <f aca="false">ROUNDUP(CK986+MAX(CL986,2*(J986/IF(CG986&gt;0,CG986,MAX(0.1,N(Cockpit!$O$6)))-CK986)),0)</f>
        <v>1</v>
      </c>
      <c r="BG986" s="51" t="n">
        <f aca="false">IF(BC986&gt;0,J986/BC986,-1)</f>
        <v>0</v>
      </c>
      <c r="BH986" s="51" t="n">
        <f aca="false">IF(AND(OR(CF986="L1",CF986="L23",CF986="LIFT"),BC986&gt;0),SUMIFS($BC$7:$BC$1843,$CF$7:$CF$1843,CF986,$BG$7:$BG$1843,"&gt;"&amp;BG986)+SUMIFS($BC$7:$BC$1843,$CF$7:$CF$1843,CF986,$BG$7:$BG$1843,BG986,$BW$7:$BW$1843,"&lt;="&amp;BW986),"")</f>
        <v>28629.5594074005</v>
      </c>
      <c r="BI986" s="58" t="n">
        <f aca="false">IF(BH986="",0,MAX(0,MIN(1,(IF(CF986="L1",Parameter!$H$5,IF(CF986="L23",Parameter!$H$6+Parameter!$H$7,Parameter!$H$5+Parameter!$H$6+Parameter!$H$7))-(BH986-BC986))/BC986)))</f>
        <v>1</v>
      </c>
      <c r="BJ986" s="48" t="str">
        <f aca="false">IF(AI986&lt;=0,"",IF(CF986="Aussen","Aussenlager",IF(CF986="-","Nicht im Lift",IF(AO986&gt;=1,"Lift",IF(AO986&lt;=0,"Aussenlager","teilweise")))))</f>
        <v/>
      </c>
      <c r="BK986" s="48" t="str">
        <f aca="false">IF(AS986&lt;=0,"",IF(CF986="Aussen","Aussenlager",IF(CF986="-","Nicht im Lift",IF(AY986&gt;=1,"Lift",IF(AY986&lt;=0,"Aussenlager","teilweise")))))</f>
        <v>Lift</v>
      </c>
      <c r="BL986" s="48" t="str">
        <f aca="false">IF(BC986&lt;=0,"",IF(CF986="Aussen","Aussenlager",IF(CF986="-","Nicht im Lift",IF(BI986&gt;=1,"Lift",IF(BI986&lt;=0,"Aussenlager","teilweise")))))</f>
        <v>Lift</v>
      </c>
      <c r="BM986" s="48" t="str">
        <f aca="false">IF(A986="","",IF(BV986=1,"Neu; ","")&amp;IF(AND(BV986=0,BQ986&lt;0),"negativer Bestand (Export "&amp;BQ986&amp;"); ","")&amp;IF(J986&lt;=0,"Kein Verbrauch; ","")&amp;IF(CQ986&gt;0,"Lift "&amp;W986&amp;" lt. Liftbericht (Fach "&amp;X986&amp;" Stk); ",IF(CA986=1,"Gebinde geschätzt ("&amp;T986&amp;"); ",IF(BZ986=1,"Lose – Tablare geschätzt; ","")))&amp;IF(H986&gt;AV986,"Überbestand "&amp;ROUND(H986-AV986,0)&amp;" Stk / CHF "&amp;ROUND((H986-AV986)*G986,0)&amp;"; ","")&amp;IF(AND(CH986=1,CI986&lt;CJ986),"MAX &lt; MB+LG; ","")&amp;IF(AND(CP986&gt;0,CO986*10&gt;CP986),"zu hoch für Tablar; ","")&amp;IF(AND(BV986=0,OR(CH986=1,AA986&lt;&gt;"",U986&lt;&gt;"",V986&lt;&gt;"",AB986&lt;&gt;"")),"manuell übersteuert; ","")&amp;IF(AND(BZ986=0,R986=0),"Gebinde unbekannt / Stellmass fehlt; ","")&amp;IF(AND(BZ986=0,N(V986)&lt;=0,N(Q986)&lt;=0),"Menge pro Gebinde fehlt (Ist = 1 Gebinde); ","")&amp;BU986)</f>
        <v>negativer Bestand (Export -40); Kein Verbrauch; Gebinde geschätzt (Klein); Menge pro Gebinde fehlt (Ist = 1 Gebinde); </v>
      </c>
      <c r="BN986" s="48"/>
      <c r="BO986" s="48"/>
      <c r="BP986" s="55"/>
      <c r="BQ986" s="50" t="n">
        <v>-40</v>
      </c>
      <c r="BR986" s="50" t="n">
        <v>40</v>
      </c>
      <c r="BS986" s="49" t="n">
        <v>-80</v>
      </c>
      <c r="BT986" s="50" t="n">
        <v>0</v>
      </c>
      <c r="BU986" s="48"/>
      <c r="BV986" s="53" t="n">
        <v>0</v>
      </c>
      <c r="BW986" s="53" t="n">
        <v>986</v>
      </c>
      <c r="BX986" s="48" t="str">
        <f aca="false">IF(U986&lt;&gt;"",UPPER(TRIM(U986)),IF(CA986=1,UPPER(VLOOKUP(T986,Parameter!$I$27:$K$29,2,0)),IF(P986="","LOSE",P986)))</f>
        <v>S51</v>
      </c>
      <c r="BY986" s="50" t="n">
        <f aca="false">IF(BX986="LOSE",1,IF(N(V986)&gt;0,V986,IF(CA986=1,MAX(1,N(VLOOKUP(T986,Parameter!$I$27:$K$29,3,0)),H986,N(N986)),IF(N(Q986)&gt;0,Q986,MAX(1,H986)))))</f>
        <v>20</v>
      </c>
      <c r="BZ986" s="53" t="n">
        <f aca="false">IF(BX986="LOSE",1,0)</f>
        <v>0</v>
      </c>
      <c r="CA986" s="53" t="n">
        <f aca="false">IF(AND(U986="",OR(P986="",P986="LOSE"),T986&lt;&gt;"",N(S986)&lt;=0,ISNUMBER(MATCH(T986,Parameter!$I$27:$I$29,0))),1,0)</f>
        <v>1</v>
      </c>
      <c r="CB986" s="53" t="n">
        <f aca="false">IF(CQ986&gt;0,INDEX(Parameter!$H$5:$H$7,W986)/INDEX(Parameter!$E$5:$E$7,W986),IF(AND(BZ986=0,N(IFERROR(VLOOKUP(BX986,'Gebinde-Kategorie'!$A$5:$N$45,14,0),0))&gt;0),VLOOKUP(BX986,'Gebinde-Kategorie'!$A$5:$N$45,14,0)*10+Parameter!$M$23,Parameter!$M$24))</f>
        <v>155</v>
      </c>
      <c r="CC986" s="48" t="str">
        <f aca="false">IF(AND(Parameter!$B$19="Ja",E986&lt;&gt;"",ISNUMBER(MATCH(E986,Parameter!$I$35:$I$52,0))),VLOOKUP(E986,Parameter!$I$35:$J$52,2,0),IFERROR(VLOOKUP(D986,Parameter!$A$35:$C$64,2,0),"Nein"))</f>
        <v>2+3</v>
      </c>
      <c r="CD986" s="52" t="n">
        <f aca="false">IF(BZ986=0,0,IF(N(S986)&gt;0,S986,IFERROR(VLOOKUP(D986,Parameter!$A$35:$C$64,3,0)+0,0)))</f>
        <v>0</v>
      </c>
      <c r="CE986" s="48" t="n">
        <f aca="false">IF(AA986&lt;&gt;"",AA986,Z986)</f>
        <v>3</v>
      </c>
      <c r="CF986" s="48" t="str">
        <f aca="false">IF(OR(CE986=1,CE986=2,CE986=3),IF(Parameter!$E$27="Ja","LIFT",IF(CE986=1,"L1","L23")),IF(CE986="Aussen","Aussen","-"))</f>
        <v>LIFT</v>
      </c>
      <c r="CG986" s="59" t="n">
        <f aca="false">IF(N(AB986)&gt;0,AB986,0)</f>
        <v>0</v>
      </c>
      <c r="CH986" s="53" t="n">
        <f aca="false">IF(ISNUMBER(AE986),1,0)</f>
        <v>0</v>
      </c>
      <c r="CI986" s="50" t="n">
        <f aca="false">N(AE986)</f>
        <v>0</v>
      </c>
      <c r="CJ986" s="50" t="n">
        <f aca="false">N(M986)+N(N986)</f>
        <v>1</v>
      </c>
      <c r="CK986" s="50" t="n">
        <f aca="false">N(M986)</f>
        <v>0</v>
      </c>
      <c r="CL986" s="50" t="n">
        <f aca="false">N(N986)</f>
        <v>1</v>
      </c>
      <c r="CM986" s="50" t="n">
        <f aca="false">ROUNDUP(H986/BY986,0)</f>
        <v>0</v>
      </c>
      <c r="CN986" s="50" t="n">
        <f aca="false">ROUNDUP(CI986/BY986,0)</f>
        <v>0</v>
      </c>
      <c r="CO986" s="53" t="n">
        <f aca="false">IF(BZ986=1,0,IFERROR(VLOOKUP(BX986,'Gebinde-Kategorie'!$A$5:$N$45,5,0)+0,0))</f>
        <v>11</v>
      </c>
      <c r="CP986" s="53" t="n">
        <f aca="false">IFERROR(IF(OR(CE986=1,CE986=2,CE986=3),N(INDEX(Parameter!$I$5:$I$7,CE986)),0),0)</f>
        <v>0</v>
      </c>
      <c r="CQ986" s="52" t="n">
        <f aca="false">IF(AND(Parameter!$B$21="Ja",ISNUMBER(W986),N(X986)&gt;0),IFERROR(N(INDEX(Parameter!$L$5:$L$7,W986))*INDEX(Parameter!$E$5:$E$7,W986)*X986/SUMIFS($X$7:$X$1843,$W$7:$W$1843,W986),0),0)</f>
        <v>0</v>
      </c>
    </row>
    <row r="987" customFormat="false" ht="15" hidden="false" customHeight="false" outlineLevel="0" collapsed="false">
      <c r="A987" s="48" t="s">
        <v>1834</v>
      </c>
      <c r="B987" s="48" t="s">
        <v>1835</v>
      </c>
      <c r="C987" s="48" t="s">
        <v>173</v>
      </c>
      <c r="D987" s="48" t="s">
        <v>193</v>
      </c>
      <c r="E987" s="48" t="s">
        <v>194</v>
      </c>
      <c r="F987" s="48" t="s">
        <v>227</v>
      </c>
      <c r="G987" s="49" t="n">
        <v>80.81</v>
      </c>
      <c r="H987" s="50" t="n">
        <f aca="false">MAX(0,IF(AND(Parameter!$B$21="Ja",ISNUMBER(Y987)),Y987,IF(Parameter!$B$20="Jahresanfang 2025 + Export",BR987+BQ987,BQ987)))</f>
        <v>1</v>
      </c>
      <c r="I987" s="50" t="n">
        <f aca="false">H987*G987</f>
        <v>80.81</v>
      </c>
      <c r="J987" s="50" t="n">
        <f aca="false">BT987*Parameter!$B$18</f>
        <v>1</v>
      </c>
      <c r="K987" s="51" t="n">
        <v>1.5</v>
      </c>
      <c r="L987" s="52" t="n">
        <v>0.666666666666667</v>
      </c>
      <c r="M987" s="50" t="n">
        <v>0</v>
      </c>
      <c r="N987" s="50" t="n">
        <v>1</v>
      </c>
      <c r="O987" s="53" t="n">
        <v>14</v>
      </c>
      <c r="P987" s="48" t="s">
        <v>311</v>
      </c>
      <c r="Q987" s="50" t="n">
        <v>8</v>
      </c>
      <c r="R987" s="53" t="n">
        <f aca="false">IF(BZ987=1,0,IFERROR(VLOOKUP(BX987,'Gebinde-Kategorie'!$A$5:$N$45,13,0)+0,0))</f>
        <v>26</v>
      </c>
      <c r="S987" s="54"/>
      <c r="T987" s="55"/>
      <c r="U987" s="55"/>
      <c r="V987" s="55"/>
      <c r="W987" s="48"/>
      <c r="X987" s="50"/>
      <c r="Y987" s="50"/>
      <c r="Z987" s="48" t="n">
        <f aca="false">IF(A987="","",IF(AND(Parameter!$B$21="Ja",ISNUMBER(W987)),W987,IF(CC987="2+3",IF(ISNUMBER(SEARCH("grosser Artikel",BU987)),2,IFERROR(VLOOKUP(BX987,Parameter!$F$35:$G$64,2,0),2)),IF(OR(CC987="Nein",CC987=""),"-",CC987))))</f>
        <v>3</v>
      </c>
      <c r="AA987" s="55"/>
      <c r="AB987" s="56"/>
      <c r="AC987" s="50" t="n">
        <f aca="false">AV987</f>
        <v>1</v>
      </c>
      <c r="AD987" s="50" t="n">
        <f aca="false">MAX(AV987,H987)</f>
        <v>1</v>
      </c>
      <c r="AE987" s="57"/>
      <c r="AF987" s="50" t="n">
        <f aca="false">IF(LEFT(Cockpit!$C$5,1)="A",H987,IF(Parameter!$E$30="MAX-Bestand",IF(CH987=1,CI987,IF(LEFT(Cockpit!$C$5,1)="B",AL987,MAX(AL987,H987))),ROUNDUP(AJ987,0)))</f>
        <v>1</v>
      </c>
      <c r="AG987" s="50" t="n">
        <f aca="false">IF(BZ987=1,0,ROUNDUP(AF987/BY987,0))</f>
        <v>1</v>
      </c>
      <c r="AH987" s="52" t="n">
        <f aca="false">IF(CQ987&gt;0,CQ987*MAX(1,AF987/X987),IF(BZ987=1,IF(AF987&lt;=0,0,CD987*MAX(1,IF(H987&gt;0,AF987/H987,1))),IF(R987&gt;0,AG987/R987,0))/MAX(0.1,N(Parameter!$M$21)))</f>
        <v>0.0384615384615385</v>
      </c>
      <c r="AI987" s="50" t="n">
        <f aca="false">AH987*CB987</f>
        <v>5.96153846153846</v>
      </c>
      <c r="AJ987" s="51" t="n">
        <f aca="false">IF(LEFT(Cockpit!$C$5,1)="A",H987,IF(CH987=1,(CK987+CI987)/2,IF(LEFT(Cockpit!$C$5,1)="B",(CK987+AL987)/2,MAX((CK987+AL987)/2,H987))))</f>
        <v>1</v>
      </c>
      <c r="AK987" s="50" t="n">
        <f aca="false">AJ987*G987</f>
        <v>80.81</v>
      </c>
      <c r="AL987" s="50" t="n">
        <f aca="false">ROUNDUP(CK987+MAX(CL987,2*(J987/IF(CG987&gt;0,CG987,MAX(0.1,N(Cockpit!$C$6)))-CK987)),0)</f>
        <v>1</v>
      </c>
      <c r="AM987" s="51" t="n">
        <f aca="false">IF(AI987&gt;0,J987/AI987,-1)</f>
        <v>0.167741935483871</v>
      </c>
      <c r="AN987" s="51" t="n">
        <f aca="false">IF(AND(OR(CF987="L1",CF987="L23",CF987="LIFT"),AI987&gt;0),SUMIFS($AI$7:$AI$1843,$CF$7:$CF$1843,CF987,$AM$7:$AM$1843,"&gt;"&amp;AM987)+SUMIFS($AI$7:$AI$1843,$CF$7:$CF$1843,CF987,$AM$7:$AM$1843,AM987,$BW$7:$BW$1843,"&lt;="&amp;BW987),"")</f>
        <v>12739.3491054614</v>
      </c>
      <c r="AO987" s="58" t="n">
        <f aca="false">IF(AN987="",0,MAX(0,MIN(1,(IF(CF987="L1",Parameter!$H$5,IF(CF987="L23",Parameter!$H$6+Parameter!$H$7,Parameter!$H$5+Parameter!$H$6+Parameter!$H$7))-(AN987-AI987))/AI987)))</f>
        <v>1</v>
      </c>
      <c r="AP987" s="50" t="n">
        <f aca="false">IF(LEFT(Cockpit!$I$5,1)="A",H987,IF(Parameter!$E$30="MAX-Bestand",IF(CH987=1,CI987,IF(LEFT(Cockpit!$I$5,1)="B",AV987,MAX(AV987,H987))),ROUNDUP(AT987,0)))</f>
        <v>1</v>
      </c>
      <c r="AQ987" s="50" t="n">
        <f aca="false">IF(BZ987=1,0,ROUNDUP(AP987/BY987,0))</f>
        <v>1</v>
      </c>
      <c r="AR987" s="52" t="n">
        <f aca="false">IF(CQ987&gt;0,CQ987*MAX(1,AP987/X987),IF(BZ987=1,IF(AP987&lt;=0,0,CD987*MAX(1,IF(H987&gt;0,AP987/H987,1))),IF(R987&gt;0,AQ987/R987,0))/MAX(0.1,N(Parameter!$M$21)))</f>
        <v>0.0384615384615385</v>
      </c>
      <c r="AS987" s="50" t="n">
        <f aca="false">AR987*CB987</f>
        <v>5.96153846153846</v>
      </c>
      <c r="AT987" s="51" t="n">
        <f aca="false">IF(LEFT(Cockpit!$I$5,1)="A",H987,IF(CH987=1,(CK987+CI987)/2,IF(LEFT(Cockpit!$I$5,1)="B",(CK987+AV987)/2,MAX((CK987+AV987)/2,H987))))</f>
        <v>1</v>
      </c>
      <c r="AU987" s="50" t="n">
        <f aca="false">AT987*G987</f>
        <v>80.81</v>
      </c>
      <c r="AV987" s="50" t="n">
        <f aca="false">ROUNDUP(CK987+MAX(CL987,2*(J987/IF(CG987&gt;0,CG987,MAX(0.1,N(Cockpit!$I$6)))-CK987)),0)</f>
        <v>1</v>
      </c>
      <c r="AW987" s="51" t="n">
        <f aca="false">IF(AS987&gt;0,J987/AS987,-1)</f>
        <v>0.167741935483871</v>
      </c>
      <c r="AX987" s="51" t="n">
        <f aca="false">IF(AND(OR(CF987="L1",CF987="L23",CF987="LIFT"),AS987&gt;0),SUMIFS($AS$7:$AS$1843,$CF$7:$CF$1843,CF987,$AW$7:$AW$1843,"&gt;"&amp;AW987)+SUMIFS($AS$7:$AS$1843,$CF$7:$CF$1843,CF987,$AW$7:$AW$1843,AW987,$BW$7:$BW$1843,"&lt;="&amp;BW987),"")</f>
        <v>15668.0297619048</v>
      </c>
      <c r="AY987" s="58" t="n">
        <f aca="false">IF(AX987="",0,MAX(0,MIN(1,(IF(CF987="L1",Parameter!$H$5,IF(CF987="L23",Parameter!$H$6+Parameter!$H$7,Parameter!$H$5+Parameter!$H$6+Parameter!$H$7))-(AX987-AS987))/AS987)))</f>
        <v>1</v>
      </c>
      <c r="AZ987" s="50" t="n">
        <f aca="false">IF(LEFT(Cockpit!$O$5,1)="A",H987,IF(Parameter!$E$30="MAX-Bestand",IF(CH987=1,CI987,IF(LEFT(Cockpit!$O$5,1)="B",BF987,MAX(BF987,H987))),ROUNDUP(BD987,0)))</f>
        <v>1</v>
      </c>
      <c r="BA987" s="50" t="n">
        <f aca="false">IF(BZ987=1,0,ROUNDUP(AZ987/BY987,0))</f>
        <v>1</v>
      </c>
      <c r="BB987" s="52" t="n">
        <f aca="false">IF(CQ987&gt;0,CQ987*MAX(1,AZ987/X987),IF(BZ987=1,IF(AZ987&lt;=0,0,CD987*MAX(1,IF(H987&gt;0,AZ987/H987,1))),IF(R987&gt;0,BA987/R987,0))/MAX(0.1,N(Parameter!$M$21)))</f>
        <v>0.0384615384615385</v>
      </c>
      <c r="BC987" s="50" t="n">
        <f aca="false">BB987*CB987</f>
        <v>5.96153846153846</v>
      </c>
      <c r="BD987" s="51" t="n">
        <f aca="false">IF(LEFT(Cockpit!$O$5,1)="A",H987,IF(CH987=1,(CK987+CI987)/2,IF(LEFT(Cockpit!$O$5,1)="B",(CK987+BF987)/2,MAX((CK987+BF987)/2,H987))))</f>
        <v>0.5</v>
      </c>
      <c r="BE987" s="50" t="n">
        <f aca="false">BD987*G987</f>
        <v>40.405</v>
      </c>
      <c r="BF987" s="50" t="n">
        <f aca="false">ROUNDUP(CK987+MAX(CL987,2*(J987/IF(CG987&gt;0,CG987,MAX(0.1,N(Cockpit!$O$6)))-CK987)),0)</f>
        <v>1</v>
      </c>
      <c r="BG987" s="51" t="n">
        <f aca="false">IF(BC987&gt;0,J987/BC987,-1)</f>
        <v>0.167741935483871</v>
      </c>
      <c r="BH987" s="51" t="n">
        <f aca="false">IF(AND(OR(CF987="L1",CF987="L23",CF987="LIFT"),BC987&gt;0),SUMIFS($BC$7:$BC$1843,$CF$7:$CF$1843,CF987,$BG$7:$BG$1843,"&gt;"&amp;BG987)+SUMIFS($BC$7:$BC$1843,$CF$7:$CF$1843,CF987,$BG$7:$BG$1843,BG987,$BW$7:$BW$1843,"&lt;="&amp;BW987),"")</f>
        <v>13470.3295901368</v>
      </c>
      <c r="BI987" s="58" t="n">
        <f aca="false">IF(BH987="",0,MAX(0,MIN(1,(IF(CF987="L1",Parameter!$H$5,IF(CF987="L23",Parameter!$H$6+Parameter!$H$7,Parameter!$H$5+Parameter!$H$6+Parameter!$H$7))-(BH987-BC987))/BC987)))</f>
        <v>1</v>
      </c>
      <c r="BJ987" s="48" t="str">
        <f aca="false">IF(AI987&lt;=0,"",IF(CF987="Aussen","Aussenlager",IF(CF987="-","Nicht im Lift",IF(AO987&gt;=1,"Lift",IF(AO987&lt;=0,"Aussenlager","teilweise")))))</f>
        <v>Lift</v>
      </c>
      <c r="BK987" s="48" t="str">
        <f aca="false">IF(AS987&lt;=0,"",IF(CF987="Aussen","Aussenlager",IF(CF987="-","Nicht im Lift",IF(AY987&gt;=1,"Lift",IF(AY987&lt;=0,"Aussenlager","teilweise")))))</f>
        <v>Lift</v>
      </c>
      <c r="BL987" s="48" t="str">
        <f aca="false">IF(BC987&lt;=0,"",IF(CF987="Aussen","Aussenlager",IF(CF987="-","Nicht im Lift",IF(BI987&gt;=1,"Lift",IF(BI987&lt;=0,"Aussenlager","teilweise")))))</f>
        <v>Lift</v>
      </c>
      <c r="BM987" s="48" t="str">
        <f aca="false">IF(A987="","",IF(BV987=1,"Neu; ","")&amp;IF(AND(BV987=0,BQ987&lt;0),"negativer Bestand (Export "&amp;BQ987&amp;"); ","")&amp;IF(J987&lt;=0,"Kein Verbrauch; ","")&amp;IF(CQ987&gt;0,"Lift "&amp;W987&amp;" lt. Liftbericht (Fach "&amp;X987&amp;" Stk); ",IF(CA987=1,"Gebinde geschätzt ("&amp;T987&amp;"); ",IF(BZ987=1,"Lose – Tablare geschätzt; ","")))&amp;IF(H987&gt;AV987,"Überbestand "&amp;ROUND(H987-AV987,0)&amp;" Stk / CHF "&amp;ROUND((H987-AV987)*G987,0)&amp;"; ","")&amp;IF(AND(CH987=1,CI987&lt;CJ987),"MAX &lt; MB+LG; ","")&amp;IF(AND(CP987&gt;0,CO987*10&gt;CP987),"zu hoch für Tablar; ","")&amp;IF(AND(BV987=0,OR(CH987=1,AA987&lt;&gt;"",U987&lt;&gt;"",V987&lt;&gt;"",AB987&lt;&gt;"")),"manuell übersteuert; ","")&amp;IF(AND(BZ987=0,R987=0),"Gebinde unbekannt / Stellmass fehlt; ","")&amp;IF(AND(BZ987=0,N(V987)&lt;=0,N(Q987)&lt;=0),"Menge pro Gebinde fehlt (Ist = 1 Gebinde); ","")&amp;BU987)</f>
        <v>negativer Bestand (Export -1); </v>
      </c>
      <c r="BN987" s="48"/>
      <c r="BO987" s="48"/>
      <c r="BP987" s="55"/>
      <c r="BQ987" s="50" t="n">
        <v>-1</v>
      </c>
      <c r="BR987" s="50" t="n">
        <v>2</v>
      </c>
      <c r="BS987" s="49" t="n">
        <v>-80.81</v>
      </c>
      <c r="BT987" s="50" t="n">
        <v>1</v>
      </c>
      <c r="BU987" s="48"/>
      <c r="BV987" s="53" t="n">
        <v>0</v>
      </c>
      <c r="BW987" s="53" t="n">
        <v>987</v>
      </c>
      <c r="BX987" s="48" t="str">
        <f aca="false">IF(U987&lt;&gt;"",UPPER(TRIM(U987)),IF(CA987=1,UPPER(VLOOKUP(T987,Parameter!$I$27:$K$29,2,0)),IF(P987="","LOSE",P987)))</f>
        <v>S51</v>
      </c>
      <c r="BY987" s="50" t="n">
        <f aca="false">IF(BX987="LOSE",1,IF(N(V987)&gt;0,V987,IF(CA987=1,MAX(1,N(VLOOKUP(T987,Parameter!$I$27:$K$29,3,0)),H987,N(N987)),IF(N(Q987)&gt;0,Q987,MAX(1,H987)))))</f>
        <v>8</v>
      </c>
      <c r="BZ987" s="53" t="n">
        <f aca="false">IF(BX987="LOSE",1,0)</f>
        <v>0</v>
      </c>
      <c r="CA987" s="53" t="n">
        <f aca="false">IF(AND(U987="",OR(P987="",P987="LOSE"),T987&lt;&gt;"",N(S987)&lt;=0,ISNUMBER(MATCH(T987,Parameter!$I$27:$I$29,0))),1,0)</f>
        <v>0</v>
      </c>
      <c r="CB987" s="53" t="n">
        <f aca="false">IF(CQ987&gt;0,INDEX(Parameter!$H$5:$H$7,W987)/INDEX(Parameter!$E$5:$E$7,W987),IF(AND(BZ987=0,N(IFERROR(VLOOKUP(BX987,'Gebinde-Kategorie'!$A$5:$N$45,14,0),0))&gt;0),VLOOKUP(BX987,'Gebinde-Kategorie'!$A$5:$N$45,14,0)*10+Parameter!$M$23,Parameter!$M$24))</f>
        <v>155</v>
      </c>
      <c r="CC987" s="48" t="str">
        <f aca="false">IF(AND(Parameter!$B$19="Ja",E987&lt;&gt;"",ISNUMBER(MATCH(E987,Parameter!$I$35:$I$52,0))),VLOOKUP(E987,Parameter!$I$35:$J$52,2,0),IFERROR(VLOOKUP(D987,Parameter!$A$35:$C$64,2,0),"Nein"))</f>
        <v>2+3</v>
      </c>
      <c r="CD987" s="52" t="n">
        <f aca="false">IF(BZ987=0,0,IF(N(S987)&gt;0,S987,IFERROR(VLOOKUP(D987,Parameter!$A$35:$C$64,3,0)+0,0)))</f>
        <v>0</v>
      </c>
      <c r="CE987" s="48" t="n">
        <f aca="false">IF(AA987&lt;&gt;"",AA987,Z987)</f>
        <v>3</v>
      </c>
      <c r="CF987" s="48" t="str">
        <f aca="false">IF(OR(CE987=1,CE987=2,CE987=3),IF(Parameter!$E$27="Ja","LIFT",IF(CE987=1,"L1","L23")),IF(CE987="Aussen","Aussen","-"))</f>
        <v>LIFT</v>
      </c>
      <c r="CG987" s="59" t="n">
        <f aca="false">IF(N(AB987)&gt;0,AB987,0)</f>
        <v>0</v>
      </c>
      <c r="CH987" s="53" t="n">
        <f aca="false">IF(ISNUMBER(AE987),1,0)</f>
        <v>0</v>
      </c>
      <c r="CI987" s="50" t="n">
        <f aca="false">N(AE987)</f>
        <v>0</v>
      </c>
      <c r="CJ987" s="50" t="n">
        <f aca="false">N(M987)+N(N987)</f>
        <v>1</v>
      </c>
      <c r="CK987" s="50" t="n">
        <f aca="false">N(M987)</f>
        <v>0</v>
      </c>
      <c r="CL987" s="50" t="n">
        <f aca="false">N(N987)</f>
        <v>1</v>
      </c>
      <c r="CM987" s="50" t="n">
        <f aca="false">ROUNDUP(H987/BY987,0)</f>
        <v>1</v>
      </c>
      <c r="CN987" s="50" t="n">
        <f aca="false">ROUNDUP(CI987/BY987,0)</f>
        <v>0</v>
      </c>
      <c r="CO987" s="53" t="n">
        <f aca="false">IF(BZ987=1,0,IFERROR(VLOOKUP(BX987,'Gebinde-Kategorie'!$A$5:$N$45,5,0)+0,0))</f>
        <v>11</v>
      </c>
      <c r="CP987" s="53" t="n">
        <f aca="false">IFERROR(IF(OR(CE987=1,CE987=2,CE987=3),N(INDEX(Parameter!$I$5:$I$7,CE987)),0),0)</f>
        <v>0</v>
      </c>
      <c r="CQ987" s="52" t="n">
        <f aca="false">IF(AND(Parameter!$B$21="Ja",ISNUMBER(W987),N(X987)&gt;0),IFERROR(N(INDEX(Parameter!$L$5:$L$7,W987))*INDEX(Parameter!$E$5:$E$7,W987)*X987/SUMIFS($X$7:$X$1843,$W$7:$W$1843,W987),0),0)</f>
        <v>0</v>
      </c>
    </row>
    <row r="988" customFormat="false" ht="15" hidden="false" customHeight="false" outlineLevel="0" collapsed="false">
      <c r="A988" s="48" t="s">
        <v>1836</v>
      </c>
      <c r="B988" s="48" t="s">
        <v>1742</v>
      </c>
      <c r="C988" s="48" t="s">
        <v>173</v>
      </c>
      <c r="D988" s="48" t="s">
        <v>193</v>
      </c>
      <c r="E988" s="48" t="s">
        <v>194</v>
      </c>
      <c r="F988" s="48" t="s">
        <v>227</v>
      </c>
      <c r="G988" s="49" t="n">
        <v>40.5</v>
      </c>
      <c r="H988" s="50" t="n">
        <f aca="false">MAX(0,IF(AND(Parameter!$B$21="Ja",ISNUMBER(Y988)),Y988,IF(Parameter!$B$20="Jahresanfang 2025 + Export",BR988+BQ988,BQ988)))</f>
        <v>25</v>
      </c>
      <c r="I988" s="50" t="n">
        <f aca="false">H988*G988</f>
        <v>1012.5</v>
      </c>
      <c r="J988" s="50" t="n">
        <f aca="false">BT988*Parameter!$B$18</f>
        <v>4</v>
      </c>
      <c r="K988" s="51" t="n">
        <v>25.5</v>
      </c>
      <c r="L988" s="52" t="n">
        <v>0.156862745098039</v>
      </c>
      <c r="M988" s="50" t="n">
        <v>0</v>
      </c>
      <c r="N988" s="50" t="n">
        <v>5</v>
      </c>
      <c r="O988" s="53" t="n">
        <v>14</v>
      </c>
      <c r="P988" s="48" t="s">
        <v>430</v>
      </c>
      <c r="Q988" s="50" t="n">
        <v>29</v>
      </c>
      <c r="R988" s="53" t="n">
        <f aca="false">IF(BZ988=1,0,IFERROR(VLOOKUP(BX988,'Gebinde-Kategorie'!$A$5:$N$45,13,0)+0,0))</f>
        <v>104</v>
      </c>
      <c r="S988" s="54"/>
      <c r="T988" s="55"/>
      <c r="U988" s="55"/>
      <c r="V988" s="55"/>
      <c r="W988" s="48"/>
      <c r="X988" s="50"/>
      <c r="Y988" s="50"/>
      <c r="Z988" s="48" t="n">
        <f aca="false">IF(A988="","",IF(AND(Parameter!$B$21="Ja",ISNUMBER(W988)),W988,IF(CC988="2+3",IF(ISNUMBER(SEARCH("grosser Artikel",BU988)),2,IFERROR(VLOOKUP(BX988,Parameter!$F$35:$G$64,2,0),2)),IF(OR(CC988="Nein",CC988=""),"-",CC988))))</f>
        <v>3</v>
      </c>
      <c r="AA988" s="55"/>
      <c r="AB988" s="56"/>
      <c r="AC988" s="50" t="n">
        <f aca="false">AV988</f>
        <v>5</v>
      </c>
      <c r="AD988" s="50" t="n">
        <f aca="false">MAX(AV988,H988)</f>
        <v>25</v>
      </c>
      <c r="AE988" s="57"/>
      <c r="AF988" s="50" t="n">
        <f aca="false">IF(LEFT(Cockpit!$C$5,1)="A",H988,IF(Parameter!$E$30="MAX-Bestand",IF(CH988=1,CI988,IF(LEFT(Cockpit!$C$5,1)="B",AL988,MAX(AL988,H988))),ROUNDUP(AJ988,0)))</f>
        <v>25</v>
      </c>
      <c r="AG988" s="50" t="n">
        <f aca="false">IF(BZ988=1,0,ROUNDUP(AF988/BY988,0))</f>
        <v>1</v>
      </c>
      <c r="AH988" s="52" t="n">
        <f aca="false">IF(CQ988&gt;0,CQ988*MAX(1,AF988/X988),IF(BZ988=1,IF(AF988&lt;=0,0,CD988*MAX(1,IF(H988&gt;0,AF988/H988,1))),IF(R988&gt;0,AG988/R988,0))/MAX(0.1,N(Parameter!$M$21)))</f>
        <v>0.00961538461538462</v>
      </c>
      <c r="AI988" s="50" t="n">
        <f aca="false">AH988*CB988</f>
        <v>1.49038461538462</v>
      </c>
      <c r="AJ988" s="51" t="n">
        <f aca="false">IF(LEFT(Cockpit!$C$5,1)="A",H988,IF(CH988=1,(CK988+CI988)/2,IF(LEFT(Cockpit!$C$5,1)="B",(CK988+AL988)/2,MAX((CK988+AL988)/2,H988))))</f>
        <v>25</v>
      </c>
      <c r="AK988" s="50" t="n">
        <f aca="false">AJ988*G988</f>
        <v>1012.5</v>
      </c>
      <c r="AL988" s="50" t="n">
        <f aca="false">ROUNDUP(CK988+MAX(CL988,2*(J988/IF(CG988&gt;0,CG988,MAX(0.1,N(Cockpit!$C$6)))-CK988)),0)</f>
        <v>5</v>
      </c>
      <c r="AM988" s="51" t="n">
        <f aca="false">IF(AI988&gt;0,J988/AI988,-1)</f>
        <v>2.68387096774194</v>
      </c>
      <c r="AN988" s="51" t="n">
        <f aca="false">IF(AND(OR(CF988="L1",CF988="L23",CF988="LIFT"),AI988&gt;0),SUMIFS($AI$7:$AI$1843,$CF$7:$CF$1843,CF988,$AM$7:$AM$1843,"&gt;"&amp;AM988)+SUMIFS($AI$7:$AI$1843,$CF$7:$CF$1843,CF988,$AM$7:$AM$1843,AM988,$BW$7:$BW$1843,"&lt;="&amp;BW988),"")</f>
        <v>5339.85210622711</v>
      </c>
      <c r="AO988" s="58" t="n">
        <f aca="false">IF(AN988="",0,MAX(0,MIN(1,(IF(CF988="L1",Parameter!$H$5,IF(CF988="L23",Parameter!$H$6+Parameter!$H$7,Parameter!$H$5+Parameter!$H$6+Parameter!$H$7))-(AN988-AI988))/AI988)))</f>
        <v>1</v>
      </c>
      <c r="AP988" s="50" t="n">
        <f aca="false">IF(LEFT(Cockpit!$I$5,1)="A",H988,IF(Parameter!$E$30="MAX-Bestand",IF(CH988=1,CI988,IF(LEFT(Cockpit!$I$5,1)="B",AV988,MAX(AV988,H988))),ROUNDUP(AT988,0)))</f>
        <v>25</v>
      </c>
      <c r="AQ988" s="50" t="n">
        <f aca="false">IF(BZ988=1,0,ROUNDUP(AP988/BY988,0))</f>
        <v>1</v>
      </c>
      <c r="AR988" s="52" t="n">
        <f aca="false">IF(CQ988&gt;0,CQ988*MAX(1,AP988/X988),IF(BZ988=1,IF(AP988&lt;=0,0,CD988*MAX(1,IF(H988&gt;0,AP988/H988,1))),IF(R988&gt;0,AQ988/R988,0))/MAX(0.1,N(Parameter!$M$21)))</f>
        <v>0.00961538461538462</v>
      </c>
      <c r="AS988" s="50" t="n">
        <f aca="false">AR988*CB988</f>
        <v>1.49038461538462</v>
      </c>
      <c r="AT988" s="51" t="n">
        <f aca="false">IF(LEFT(Cockpit!$I$5,1)="A",H988,IF(CH988=1,(CK988+CI988)/2,IF(LEFT(Cockpit!$I$5,1)="B",(CK988+AV988)/2,MAX((CK988+AV988)/2,H988))))</f>
        <v>25</v>
      </c>
      <c r="AU988" s="50" t="n">
        <f aca="false">AT988*G988</f>
        <v>1012.5</v>
      </c>
      <c r="AV988" s="50" t="n">
        <f aca="false">ROUNDUP(CK988+MAX(CL988,2*(J988/IF(CG988&gt;0,CG988,MAX(0.1,N(Cockpit!$I$6)))-CK988)),0)</f>
        <v>5</v>
      </c>
      <c r="AW988" s="51" t="n">
        <f aca="false">IF(AS988&gt;0,J988/AS988,-1)</f>
        <v>2.68387096774194</v>
      </c>
      <c r="AX988" s="51" t="n">
        <f aca="false">IF(AND(OR(CF988="L1",CF988="L23",CF988="LIFT"),AS988&gt;0),SUMIFS($AS$7:$AS$1843,$CF$7:$CF$1843,CF988,$AW$7:$AW$1843,"&gt;"&amp;AW988)+SUMIFS($AS$7:$AS$1843,$CF$7:$CF$1843,CF988,$AW$7:$AW$1843,AW988,$BW$7:$BW$1843,"&lt;="&amp;BW988),"")</f>
        <v>6174.33012820513</v>
      </c>
      <c r="AY988" s="58" t="n">
        <f aca="false">IF(AX988="",0,MAX(0,MIN(1,(IF(CF988="L1",Parameter!$H$5,IF(CF988="L23",Parameter!$H$6+Parameter!$H$7,Parameter!$H$5+Parameter!$H$6+Parameter!$H$7))-(AX988-AS988))/AS988)))</f>
        <v>1</v>
      </c>
      <c r="AZ988" s="50" t="n">
        <f aca="false">IF(LEFT(Cockpit!$O$5,1)="A",H988,IF(Parameter!$E$30="MAX-Bestand",IF(CH988=1,CI988,IF(LEFT(Cockpit!$O$5,1)="B",BF988,MAX(BF988,H988))),ROUNDUP(BD988,0)))</f>
        <v>3</v>
      </c>
      <c r="BA988" s="50" t="n">
        <f aca="false">IF(BZ988=1,0,ROUNDUP(AZ988/BY988,0))</f>
        <v>1</v>
      </c>
      <c r="BB988" s="52" t="n">
        <f aca="false">IF(CQ988&gt;0,CQ988*MAX(1,AZ988/X988),IF(BZ988=1,IF(AZ988&lt;=0,0,CD988*MAX(1,IF(H988&gt;0,AZ988/H988,1))),IF(R988&gt;0,BA988/R988,0))/MAX(0.1,N(Parameter!$M$21)))</f>
        <v>0.00961538461538462</v>
      </c>
      <c r="BC988" s="50" t="n">
        <f aca="false">BB988*CB988</f>
        <v>1.49038461538462</v>
      </c>
      <c r="BD988" s="51" t="n">
        <f aca="false">IF(LEFT(Cockpit!$O$5,1)="A",H988,IF(CH988=1,(CK988+CI988)/2,IF(LEFT(Cockpit!$O$5,1)="B",(CK988+BF988)/2,MAX((CK988+BF988)/2,H988))))</f>
        <v>2.5</v>
      </c>
      <c r="BE988" s="50" t="n">
        <f aca="false">BD988*G988</f>
        <v>101.25</v>
      </c>
      <c r="BF988" s="50" t="n">
        <f aca="false">ROUNDUP(CK988+MAX(CL988,2*(J988/IF(CG988&gt;0,CG988,MAX(0.1,N(Cockpit!$O$6)))-CK988)),0)</f>
        <v>5</v>
      </c>
      <c r="BG988" s="51" t="n">
        <f aca="false">IF(BC988&gt;0,J988/BC988,-1)</f>
        <v>2.68387096774194</v>
      </c>
      <c r="BH988" s="51" t="n">
        <f aca="false">IF(AND(OR(CF988="L1",CF988="L23",CF988="LIFT"),BC988&gt;0),SUMIFS($BC$7:$BC$1843,$CF$7:$CF$1843,CF988,$BG$7:$BG$1843,"&gt;"&amp;BG988)+SUMIFS($BC$7:$BC$1843,$CF$7:$CF$1843,CF988,$BG$7:$BG$1843,BG988,$BW$7:$BW$1843,"&lt;="&amp;BW988),"")</f>
        <v>5352.38461538462</v>
      </c>
      <c r="BI988" s="58" t="n">
        <f aca="false">IF(BH988="",0,MAX(0,MIN(1,(IF(CF988="L1",Parameter!$H$5,IF(CF988="L23",Parameter!$H$6+Parameter!$H$7,Parameter!$H$5+Parameter!$H$6+Parameter!$H$7))-(BH988-BC988))/BC988)))</f>
        <v>1</v>
      </c>
      <c r="BJ988" s="48" t="str">
        <f aca="false">IF(AI988&lt;=0,"",IF(CF988="Aussen","Aussenlager",IF(CF988="-","Nicht im Lift",IF(AO988&gt;=1,"Lift",IF(AO988&lt;=0,"Aussenlager","teilweise")))))</f>
        <v>Lift</v>
      </c>
      <c r="BK988" s="48" t="str">
        <f aca="false">IF(AS988&lt;=0,"",IF(CF988="Aussen","Aussenlager",IF(CF988="-","Nicht im Lift",IF(AY988&gt;=1,"Lift",IF(AY988&lt;=0,"Aussenlager","teilweise")))))</f>
        <v>Lift</v>
      </c>
      <c r="BL988" s="48" t="str">
        <f aca="false">IF(BC988&lt;=0,"",IF(CF988="Aussen","Aussenlager",IF(CF988="-","Nicht im Lift",IF(BI988&gt;=1,"Lift",IF(BI988&lt;=0,"Aussenlager","teilweise")))))</f>
        <v>Lift</v>
      </c>
      <c r="BM988" s="48" t="str">
        <f aca="false">IF(A988="","",IF(BV988=1,"Neu; ","")&amp;IF(AND(BV988=0,BQ988&lt;0),"negativer Bestand (Export "&amp;BQ988&amp;"); ","")&amp;IF(J988&lt;=0,"Kein Verbrauch; ","")&amp;IF(CQ988&gt;0,"Lift "&amp;W988&amp;" lt. Liftbericht (Fach "&amp;X988&amp;" Stk); ",IF(CA988=1,"Gebinde geschätzt ("&amp;T988&amp;"); ",IF(BZ988=1,"Lose – Tablare geschätzt; ","")))&amp;IF(H988&gt;AV988,"Überbestand "&amp;ROUND(H988-AV988,0)&amp;" Stk / CHF "&amp;ROUND((H988-AV988)*G988,0)&amp;"; ","")&amp;IF(AND(CH988=1,CI988&lt;CJ988),"MAX &lt; MB+LG; ","")&amp;IF(AND(CP988&gt;0,CO988*10&gt;CP988),"zu hoch für Tablar; ","")&amp;IF(AND(BV988=0,OR(CH988=1,AA988&lt;&gt;"",U988&lt;&gt;"",V988&lt;&gt;"",AB988&lt;&gt;"")),"manuell übersteuert; ","")&amp;IF(AND(BZ988=0,R988=0),"Gebinde unbekannt / Stellmass fehlt; ","")&amp;IF(AND(BZ988=0,N(V988)&lt;=0,N(Q988)&lt;=0),"Menge pro Gebinde fehlt (Ist = 1 Gebinde); ","")&amp;BU988)</f>
        <v>negativer Bestand (Export -2); Überbestand 20 Stk / CHF 810; </v>
      </c>
      <c r="BN988" s="48"/>
      <c r="BO988" s="48"/>
      <c r="BP988" s="55"/>
      <c r="BQ988" s="50" t="n">
        <v>-2</v>
      </c>
      <c r="BR988" s="50" t="n">
        <v>27</v>
      </c>
      <c r="BS988" s="49" t="n">
        <v>-81</v>
      </c>
      <c r="BT988" s="50" t="n">
        <v>4</v>
      </c>
      <c r="BU988" s="48"/>
      <c r="BV988" s="53" t="n">
        <v>0</v>
      </c>
      <c r="BW988" s="53" t="n">
        <v>988</v>
      </c>
      <c r="BX988" s="48" t="str">
        <f aca="false">IF(U988&lt;&gt;"",UPPER(TRIM(U988)),IF(CA988=1,UPPER(VLOOKUP(T988,Parameter!$I$27:$K$29,2,0)),IF(P988="","LOSE",P988)))</f>
        <v>S32</v>
      </c>
      <c r="BY988" s="50" t="n">
        <f aca="false">IF(BX988="LOSE",1,IF(N(V988)&gt;0,V988,IF(CA988=1,MAX(1,N(VLOOKUP(T988,Parameter!$I$27:$K$29,3,0)),H988,N(N988)),IF(N(Q988)&gt;0,Q988,MAX(1,H988)))))</f>
        <v>29</v>
      </c>
      <c r="BZ988" s="53" t="n">
        <f aca="false">IF(BX988="LOSE",1,0)</f>
        <v>0</v>
      </c>
      <c r="CA988" s="53" t="n">
        <f aca="false">IF(AND(U988="",OR(P988="",P988="LOSE"),T988&lt;&gt;"",N(S988)&lt;=0,ISNUMBER(MATCH(T988,Parameter!$I$27:$I$29,0))),1,0)</f>
        <v>0</v>
      </c>
      <c r="CB988" s="53" t="n">
        <f aca="false">IF(CQ988&gt;0,INDEX(Parameter!$H$5:$H$7,W988)/INDEX(Parameter!$E$5:$E$7,W988),IF(AND(BZ988=0,N(IFERROR(VLOOKUP(BX988,'Gebinde-Kategorie'!$A$5:$N$45,14,0),0))&gt;0),VLOOKUP(BX988,'Gebinde-Kategorie'!$A$5:$N$45,14,0)*10+Parameter!$M$23,Parameter!$M$24))</f>
        <v>155</v>
      </c>
      <c r="CC988" s="48" t="str">
        <f aca="false">IF(AND(Parameter!$B$19="Ja",E988&lt;&gt;"",ISNUMBER(MATCH(E988,Parameter!$I$35:$I$52,0))),VLOOKUP(E988,Parameter!$I$35:$J$52,2,0),IFERROR(VLOOKUP(D988,Parameter!$A$35:$C$64,2,0),"Nein"))</f>
        <v>2+3</v>
      </c>
      <c r="CD988" s="52" t="n">
        <f aca="false">IF(BZ988=0,0,IF(N(S988)&gt;0,S988,IFERROR(VLOOKUP(D988,Parameter!$A$35:$C$64,3,0)+0,0)))</f>
        <v>0</v>
      </c>
      <c r="CE988" s="48" t="n">
        <f aca="false">IF(AA988&lt;&gt;"",AA988,Z988)</f>
        <v>3</v>
      </c>
      <c r="CF988" s="48" t="str">
        <f aca="false">IF(OR(CE988=1,CE988=2,CE988=3),IF(Parameter!$E$27="Ja","LIFT",IF(CE988=1,"L1","L23")),IF(CE988="Aussen","Aussen","-"))</f>
        <v>LIFT</v>
      </c>
      <c r="CG988" s="59" t="n">
        <f aca="false">IF(N(AB988)&gt;0,AB988,0)</f>
        <v>0</v>
      </c>
      <c r="CH988" s="53" t="n">
        <f aca="false">IF(ISNUMBER(AE988),1,0)</f>
        <v>0</v>
      </c>
      <c r="CI988" s="50" t="n">
        <f aca="false">N(AE988)</f>
        <v>0</v>
      </c>
      <c r="CJ988" s="50" t="n">
        <f aca="false">N(M988)+N(N988)</f>
        <v>5</v>
      </c>
      <c r="CK988" s="50" t="n">
        <f aca="false">N(M988)</f>
        <v>0</v>
      </c>
      <c r="CL988" s="50" t="n">
        <f aca="false">N(N988)</f>
        <v>5</v>
      </c>
      <c r="CM988" s="50" t="n">
        <f aca="false">ROUNDUP(H988/BY988,0)</f>
        <v>1</v>
      </c>
      <c r="CN988" s="50" t="n">
        <f aca="false">ROUNDUP(CI988/BY988,0)</f>
        <v>0</v>
      </c>
      <c r="CO988" s="53" t="n">
        <f aca="false">IF(BZ988=1,0,IFERROR(VLOOKUP(BX988,'Gebinde-Kategorie'!$A$5:$N$45,5,0)+0,0))</f>
        <v>8</v>
      </c>
      <c r="CP988" s="53" t="n">
        <f aca="false">IFERROR(IF(OR(CE988=1,CE988=2,CE988=3),N(INDEX(Parameter!$I$5:$I$7,CE988)),0),0)</f>
        <v>0</v>
      </c>
      <c r="CQ988" s="52" t="n">
        <f aca="false">IF(AND(Parameter!$B$21="Ja",ISNUMBER(W988),N(X988)&gt;0),IFERROR(N(INDEX(Parameter!$L$5:$L$7,W988))*INDEX(Parameter!$E$5:$E$7,W988)*X988/SUMIFS($X$7:$X$1843,$W$7:$W$1843,W988),0),0)</f>
        <v>0</v>
      </c>
    </row>
    <row r="989" customFormat="false" ht="15" hidden="false" customHeight="false" outlineLevel="0" collapsed="false">
      <c r="A989" s="48" t="s">
        <v>1837</v>
      </c>
      <c r="B989" s="48" t="s">
        <v>1838</v>
      </c>
      <c r="C989" s="48" t="s">
        <v>173</v>
      </c>
      <c r="D989" s="48" t="s">
        <v>193</v>
      </c>
      <c r="E989" s="48" t="s">
        <v>194</v>
      </c>
      <c r="F989" s="48" t="s">
        <v>227</v>
      </c>
      <c r="G989" s="49" t="n">
        <v>20.42</v>
      </c>
      <c r="H989" s="50" t="n">
        <f aca="false">MAX(0,IF(AND(Parameter!$B$21="Ja",ISNUMBER(Y989)),Y989,IF(Parameter!$B$20="Jahresanfang 2025 + Export",BR989+BQ989,BQ989)))</f>
        <v>56</v>
      </c>
      <c r="I989" s="50" t="n">
        <f aca="false">H989*G989</f>
        <v>1143.52</v>
      </c>
      <c r="J989" s="50" t="n">
        <f aca="false">BT989*Parameter!$B$18</f>
        <v>0</v>
      </c>
      <c r="K989" s="51" t="n">
        <v>60</v>
      </c>
      <c r="L989" s="52" t="n">
        <v>0</v>
      </c>
      <c r="M989" s="50" t="n">
        <v>0</v>
      </c>
      <c r="N989" s="50" t="n">
        <v>1</v>
      </c>
      <c r="O989" s="53" t="n">
        <v>14</v>
      </c>
      <c r="P989" s="48" t="s">
        <v>485</v>
      </c>
      <c r="Q989" s="50" t="n">
        <v>88</v>
      </c>
      <c r="R989" s="53" t="n">
        <f aca="false">IF(BZ989=1,0,IFERROR(VLOOKUP(BX989,'Gebinde-Kategorie'!$A$5:$N$45,13,0)+0,0))</f>
        <v>52</v>
      </c>
      <c r="S989" s="54"/>
      <c r="T989" s="55"/>
      <c r="U989" s="55"/>
      <c r="V989" s="55"/>
      <c r="W989" s="48"/>
      <c r="X989" s="50"/>
      <c r="Y989" s="50"/>
      <c r="Z989" s="48" t="n">
        <f aca="false">IF(A989="","",IF(AND(Parameter!$B$21="Ja",ISNUMBER(W989)),W989,IF(CC989="2+3",IF(ISNUMBER(SEARCH("grosser Artikel",BU989)),2,IFERROR(VLOOKUP(BX989,Parameter!$F$35:$G$64,2,0),2)),IF(OR(CC989="Nein",CC989=""),"-",CC989))))</f>
        <v>3</v>
      </c>
      <c r="AA989" s="55"/>
      <c r="AB989" s="56"/>
      <c r="AC989" s="50" t="n">
        <f aca="false">AV989</f>
        <v>1</v>
      </c>
      <c r="AD989" s="50" t="n">
        <f aca="false">MAX(AV989,H989)</f>
        <v>56</v>
      </c>
      <c r="AE989" s="57"/>
      <c r="AF989" s="50" t="n">
        <f aca="false">IF(LEFT(Cockpit!$C$5,1)="A",H989,IF(Parameter!$E$30="MAX-Bestand",IF(CH989=1,CI989,IF(LEFT(Cockpit!$C$5,1)="B",AL989,MAX(AL989,H989))),ROUNDUP(AJ989,0)))</f>
        <v>56</v>
      </c>
      <c r="AG989" s="50" t="n">
        <f aca="false">IF(BZ989=1,0,ROUNDUP(AF989/BY989,0))</f>
        <v>1</v>
      </c>
      <c r="AH989" s="52" t="n">
        <f aca="false">IF(CQ989&gt;0,CQ989*MAX(1,AF989/X989),IF(BZ989=1,IF(AF989&lt;=0,0,CD989*MAX(1,IF(H989&gt;0,AF989/H989,1))),IF(R989&gt;0,AG989/R989,0))/MAX(0.1,N(Parameter!$M$21)))</f>
        <v>0.0192307692307692</v>
      </c>
      <c r="AI989" s="50" t="n">
        <f aca="false">AH989*CB989</f>
        <v>2.98076923076923</v>
      </c>
      <c r="AJ989" s="51" t="n">
        <f aca="false">IF(LEFT(Cockpit!$C$5,1)="A",H989,IF(CH989=1,(CK989+CI989)/2,IF(LEFT(Cockpit!$C$5,1)="B",(CK989+AL989)/2,MAX((CK989+AL989)/2,H989))))</f>
        <v>56</v>
      </c>
      <c r="AK989" s="50" t="n">
        <f aca="false">AJ989*G989</f>
        <v>1143.52</v>
      </c>
      <c r="AL989" s="50" t="n">
        <f aca="false">ROUNDUP(CK989+MAX(CL989,2*(J989/IF(CG989&gt;0,CG989,MAX(0.1,N(Cockpit!$C$6)))-CK989)),0)</f>
        <v>1</v>
      </c>
      <c r="AM989" s="51" t="n">
        <f aca="false">IF(AI989&gt;0,J989/AI989,-1)</f>
        <v>0</v>
      </c>
      <c r="AN989" s="51" t="n">
        <f aca="false">IF(AND(OR(CF989="L1",CF989="L23",CF989="LIFT"),AI989&gt;0),SUMIFS($AI$7:$AI$1843,$CF$7:$CF$1843,CF989,$AM$7:$AM$1843,"&gt;"&amp;AM989)+SUMIFS($AI$7:$AI$1843,$CF$7:$CF$1843,CF989,$AM$7:$AM$1843,AM989,$BW$7:$BW$1843,"&lt;="&amp;BW989),"")</f>
        <v>28922.1851498313</v>
      </c>
      <c r="AO989" s="58" t="n">
        <f aca="false">IF(AN989="",0,MAX(0,MIN(1,(IF(CF989="L1",Parameter!$H$5,IF(CF989="L23",Parameter!$H$6+Parameter!$H$7,Parameter!$H$5+Parameter!$H$6+Parameter!$H$7))-(AN989-AI989))/AI989)))</f>
        <v>1</v>
      </c>
      <c r="AP989" s="50" t="n">
        <f aca="false">IF(LEFT(Cockpit!$I$5,1)="A",H989,IF(Parameter!$E$30="MAX-Bestand",IF(CH989=1,CI989,IF(LEFT(Cockpit!$I$5,1)="B",AV989,MAX(AV989,H989))),ROUNDUP(AT989,0)))</f>
        <v>56</v>
      </c>
      <c r="AQ989" s="50" t="n">
        <f aca="false">IF(BZ989=1,0,ROUNDUP(AP989/BY989,0))</f>
        <v>1</v>
      </c>
      <c r="AR989" s="52" t="n">
        <f aca="false">IF(CQ989&gt;0,CQ989*MAX(1,AP989/X989),IF(BZ989=1,IF(AP989&lt;=0,0,CD989*MAX(1,IF(H989&gt;0,AP989/H989,1))),IF(R989&gt;0,AQ989/R989,0))/MAX(0.1,N(Parameter!$M$21)))</f>
        <v>0.0192307692307692</v>
      </c>
      <c r="AS989" s="50" t="n">
        <f aca="false">AR989*CB989</f>
        <v>2.98076923076923</v>
      </c>
      <c r="AT989" s="51" t="n">
        <f aca="false">IF(LEFT(Cockpit!$I$5,1)="A",H989,IF(CH989=1,(CK989+CI989)/2,IF(LEFT(Cockpit!$I$5,1)="B",(CK989+AV989)/2,MAX((CK989+AV989)/2,H989))))</f>
        <v>56</v>
      </c>
      <c r="AU989" s="50" t="n">
        <f aca="false">AT989*G989</f>
        <v>1143.52</v>
      </c>
      <c r="AV989" s="50" t="n">
        <f aca="false">ROUNDUP(CK989+MAX(CL989,2*(J989/IF(CG989&gt;0,CG989,MAX(0.1,N(Cockpit!$I$6)))-CK989)),0)</f>
        <v>1</v>
      </c>
      <c r="AW989" s="51" t="n">
        <f aca="false">IF(AS989&gt;0,J989/AS989,-1)</f>
        <v>0</v>
      </c>
      <c r="AX989" s="51" t="n">
        <f aca="false">IF(AND(OR(CF989="L1",CF989="L23",CF989="LIFT"),AS989&gt;0),SUMIFS($AS$7:$AS$1843,$CF$7:$CF$1843,CF989,$AW$7:$AW$1843,"&gt;"&amp;AW989)+SUMIFS($AS$7:$AS$1843,$CF$7:$CF$1843,CF989,$AW$7:$AW$1843,AW989,$BW$7:$BW$1843,"&lt;="&amp;BW989),"")</f>
        <v>34608.0027472527</v>
      </c>
      <c r="AY989" s="58" t="n">
        <f aca="false">IF(AX989="",0,MAX(0,MIN(1,(IF(CF989="L1",Parameter!$H$5,IF(CF989="L23",Parameter!$H$6+Parameter!$H$7,Parameter!$H$5+Parameter!$H$6+Parameter!$H$7))-(AX989-AS989))/AS989)))</f>
        <v>1</v>
      </c>
      <c r="AZ989" s="50" t="n">
        <f aca="false">IF(LEFT(Cockpit!$O$5,1)="A",H989,IF(Parameter!$E$30="MAX-Bestand",IF(CH989=1,CI989,IF(LEFT(Cockpit!$O$5,1)="B",BF989,MAX(BF989,H989))),ROUNDUP(BD989,0)))</f>
        <v>1</v>
      </c>
      <c r="BA989" s="50" t="n">
        <f aca="false">IF(BZ989=1,0,ROUNDUP(AZ989/BY989,0))</f>
        <v>1</v>
      </c>
      <c r="BB989" s="52" t="n">
        <f aca="false">IF(CQ989&gt;0,CQ989*MAX(1,AZ989/X989),IF(BZ989=1,IF(AZ989&lt;=0,0,CD989*MAX(1,IF(H989&gt;0,AZ989/H989,1))),IF(R989&gt;0,BA989/R989,0))/MAX(0.1,N(Parameter!$M$21)))</f>
        <v>0.0192307692307692</v>
      </c>
      <c r="BC989" s="50" t="n">
        <f aca="false">BB989*CB989</f>
        <v>2.98076923076923</v>
      </c>
      <c r="BD989" s="51" t="n">
        <f aca="false">IF(LEFT(Cockpit!$O$5,1)="A",H989,IF(CH989=1,(CK989+CI989)/2,IF(LEFT(Cockpit!$O$5,1)="B",(CK989+BF989)/2,MAX((CK989+BF989)/2,H989))))</f>
        <v>0.5</v>
      </c>
      <c r="BE989" s="50" t="n">
        <f aca="false">BD989*G989</f>
        <v>10.21</v>
      </c>
      <c r="BF989" s="50" t="n">
        <f aca="false">ROUNDUP(CK989+MAX(CL989,2*(J989/IF(CG989&gt;0,CG989,MAX(0.1,N(Cockpit!$O$6)))-CK989)),0)</f>
        <v>1</v>
      </c>
      <c r="BG989" s="51" t="n">
        <f aca="false">IF(BC989&gt;0,J989/BC989,-1)</f>
        <v>0</v>
      </c>
      <c r="BH989" s="51" t="n">
        <f aca="false">IF(AND(OR(CF989="L1",CF989="L23",CF989="LIFT"),BC989&gt;0),SUMIFS($BC$7:$BC$1843,$CF$7:$CF$1843,CF989,$BG$7:$BG$1843,"&gt;"&amp;BG989)+SUMIFS($BC$7:$BC$1843,$CF$7:$CF$1843,CF989,$BG$7:$BG$1843,BG989,$BW$7:$BW$1843,"&lt;="&amp;BW989),"")</f>
        <v>28632.5401766313</v>
      </c>
      <c r="BI989" s="58" t="n">
        <f aca="false">IF(BH989="",0,MAX(0,MIN(1,(IF(CF989="L1",Parameter!$H$5,IF(CF989="L23",Parameter!$H$6+Parameter!$H$7,Parameter!$H$5+Parameter!$H$6+Parameter!$H$7))-(BH989-BC989))/BC989)))</f>
        <v>1</v>
      </c>
      <c r="BJ989" s="48" t="str">
        <f aca="false">IF(AI989&lt;=0,"",IF(CF989="Aussen","Aussenlager",IF(CF989="-","Nicht im Lift",IF(AO989&gt;=1,"Lift",IF(AO989&lt;=0,"Aussenlager","teilweise")))))</f>
        <v>Lift</v>
      </c>
      <c r="BK989" s="48" t="str">
        <f aca="false">IF(AS989&lt;=0,"",IF(CF989="Aussen","Aussenlager",IF(CF989="-","Nicht im Lift",IF(AY989&gt;=1,"Lift",IF(AY989&lt;=0,"Aussenlager","teilweise")))))</f>
        <v>Lift</v>
      </c>
      <c r="BL989" s="48" t="str">
        <f aca="false">IF(BC989&lt;=0,"",IF(CF989="Aussen","Aussenlager",IF(CF989="-","Nicht im Lift",IF(BI989&gt;=1,"Lift",IF(BI989&lt;=0,"Aussenlager","teilweise")))))</f>
        <v>Lift</v>
      </c>
      <c r="BM989" s="48" t="str">
        <f aca="false">IF(A989="","",IF(BV989=1,"Neu; ","")&amp;IF(AND(BV989=0,BQ989&lt;0),"negativer Bestand (Export "&amp;BQ989&amp;"); ","")&amp;IF(J989&lt;=0,"Kein Verbrauch; ","")&amp;IF(CQ989&gt;0,"Lift "&amp;W989&amp;" lt. Liftbericht (Fach "&amp;X989&amp;" Stk); ",IF(CA989=1,"Gebinde geschätzt ("&amp;T989&amp;"); ",IF(BZ989=1,"Lose – Tablare geschätzt; ","")))&amp;IF(H989&gt;AV989,"Überbestand "&amp;ROUND(H989-AV989,0)&amp;" Stk / CHF "&amp;ROUND((H989-AV989)*G989,0)&amp;"; ","")&amp;IF(AND(CH989=1,CI989&lt;CJ989),"MAX &lt; MB+LG; ","")&amp;IF(AND(CP989&gt;0,CO989*10&gt;CP989),"zu hoch für Tablar; ","")&amp;IF(AND(BV989=0,OR(CH989=1,AA989&lt;&gt;"",U989&lt;&gt;"",V989&lt;&gt;"",AB989&lt;&gt;"")),"manuell übersteuert; ","")&amp;IF(AND(BZ989=0,R989=0),"Gebinde unbekannt / Stellmass fehlt; ","")&amp;IF(AND(BZ989=0,N(V989)&lt;=0,N(Q989)&lt;=0),"Menge pro Gebinde fehlt (Ist = 1 Gebinde); ","")&amp;BU989)</f>
        <v>negativer Bestand (Export -4); Kein Verbrauch; Überbestand 55 Stk / CHF 1123; Überbestand</v>
      </c>
      <c r="BN989" s="48"/>
      <c r="BO989" s="48"/>
      <c r="BP989" s="55"/>
      <c r="BQ989" s="50" t="n">
        <v>-4</v>
      </c>
      <c r="BR989" s="50" t="n">
        <v>60</v>
      </c>
      <c r="BS989" s="49" t="n">
        <v>-81.68</v>
      </c>
      <c r="BT989" s="50" t="n">
        <v>0</v>
      </c>
      <c r="BU989" s="48" t="s">
        <v>401</v>
      </c>
      <c r="BV989" s="53" t="n">
        <v>0</v>
      </c>
      <c r="BW989" s="53" t="n">
        <v>989</v>
      </c>
      <c r="BX989" s="48" t="str">
        <f aca="false">IF(U989&lt;&gt;"",UPPER(TRIM(U989)),IF(CA989=1,UPPER(VLOOKUP(T989,Parameter!$I$27:$K$29,2,0)),IF(P989="","LOSE",P989)))</f>
        <v>S33</v>
      </c>
      <c r="BY989" s="50" t="n">
        <f aca="false">IF(BX989="LOSE",1,IF(N(V989)&gt;0,V989,IF(CA989=1,MAX(1,N(VLOOKUP(T989,Parameter!$I$27:$K$29,3,0)),H989,N(N989)),IF(N(Q989)&gt;0,Q989,MAX(1,H989)))))</f>
        <v>88</v>
      </c>
      <c r="BZ989" s="53" t="n">
        <f aca="false">IF(BX989="LOSE",1,0)</f>
        <v>0</v>
      </c>
      <c r="CA989" s="53" t="n">
        <f aca="false">IF(AND(U989="",OR(P989="",P989="LOSE"),T989&lt;&gt;"",N(S989)&lt;=0,ISNUMBER(MATCH(T989,Parameter!$I$27:$I$29,0))),1,0)</f>
        <v>0</v>
      </c>
      <c r="CB989" s="53" t="n">
        <f aca="false">IF(CQ989&gt;0,INDEX(Parameter!$H$5:$H$7,W989)/INDEX(Parameter!$E$5:$E$7,W989),IF(AND(BZ989=0,N(IFERROR(VLOOKUP(BX989,'Gebinde-Kategorie'!$A$5:$N$45,14,0),0))&gt;0),VLOOKUP(BX989,'Gebinde-Kategorie'!$A$5:$N$45,14,0)*10+Parameter!$M$23,Parameter!$M$24))</f>
        <v>155</v>
      </c>
      <c r="CC989" s="48" t="str">
        <f aca="false">IF(AND(Parameter!$B$19="Ja",E989&lt;&gt;"",ISNUMBER(MATCH(E989,Parameter!$I$35:$I$52,0))),VLOOKUP(E989,Parameter!$I$35:$J$52,2,0),IFERROR(VLOOKUP(D989,Parameter!$A$35:$C$64,2,0),"Nein"))</f>
        <v>2+3</v>
      </c>
      <c r="CD989" s="52" t="n">
        <f aca="false">IF(BZ989=0,0,IF(N(S989)&gt;0,S989,IFERROR(VLOOKUP(D989,Parameter!$A$35:$C$64,3,0)+0,0)))</f>
        <v>0</v>
      </c>
      <c r="CE989" s="48" t="n">
        <f aca="false">IF(AA989&lt;&gt;"",AA989,Z989)</f>
        <v>3</v>
      </c>
      <c r="CF989" s="48" t="str">
        <f aca="false">IF(OR(CE989=1,CE989=2,CE989=3),IF(Parameter!$E$27="Ja","LIFT",IF(CE989=1,"L1","L23")),IF(CE989="Aussen","Aussen","-"))</f>
        <v>LIFT</v>
      </c>
      <c r="CG989" s="59" t="n">
        <f aca="false">IF(N(AB989)&gt;0,AB989,0)</f>
        <v>0</v>
      </c>
      <c r="CH989" s="53" t="n">
        <f aca="false">IF(ISNUMBER(AE989),1,0)</f>
        <v>0</v>
      </c>
      <c r="CI989" s="50" t="n">
        <f aca="false">N(AE989)</f>
        <v>0</v>
      </c>
      <c r="CJ989" s="50" t="n">
        <f aca="false">N(M989)+N(N989)</f>
        <v>1</v>
      </c>
      <c r="CK989" s="50" t="n">
        <f aca="false">N(M989)</f>
        <v>0</v>
      </c>
      <c r="CL989" s="50" t="n">
        <f aca="false">N(N989)</f>
        <v>1</v>
      </c>
      <c r="CM989" s="50" t="n">
        <f aca="false">ROUNDUP(H989/BY989,0)</f>
        <v>1</v>
      </c>
      <c r="CN989" s="50" t="n">
        <f aca="false">ROUNDUP(CI989/BY989,0)</f>
        <v>0</v>
      </c>
      <c r="CO989" s="53" t="n">
        <f aca="false">IF(BZ989=1,0,IFERROR(VLOOKUP(BX989,'Gebinde-Kategorie'!$A$5:$N$45,5,0)+0,0))</f>
        <v>8</v>
      </c>
      <c r="CP989" s="53" t="n">
        <f aca="false">IFERROR(IF(OR(CE989=1,CE989=2,CE989=3),N(INDEX(Parameter!$I$5:$I$7,CE989)),0),0)</f>
        <v>0</v>
      </c>
      <c r="CQ989" s="52" t="n">
        <f aca="false">IF(AND(Parameter!$B$21="Ja",ISNUMBER(W989),N(X989)&gt;0),IFERROR(N(INDEX(Parameter!$L$5:$L$7,W989))*INDEX(Parameter!$E$5:$E$7,W989)*X989/SUMIFS($X$7:$X$1843,$W$7:$W$1843,W989),0),0)</f>
        <v>0</v>
      </c>
    </row>
    <row r="990" customFormat="false" ht="15" hidden="false" customHeight="false" outlineLevel="0" collapsed="false">
      <c r="A990" s="48" t="s">
        <v>1839</v>
      </c>
      <c r="B990" s="48" t="s">
        <v>958</v>
      </c>
      <c r="C990" s="48" t="s">
        <v>173</v>
      </c>
      <c r="D990" s="48" t="s">
        <v>193</v>
      </c>
      <c r="E990" s="48" t="s">
        <v>194</v>
      </c>
      <c r="F990" s="48" t="s">
        <v>227</v>
      </c>
      <c r="G990" s="49" t="n">
        <v>0.32</v>
      </c>
      <c r="H990" s="50" t="n">
        <f aca="false">MAX(0,IF(AND(Parameter!$B$21="Ja",ISNUMBER(Y990)),Y990,IF(Parameter!$B$20="Jahresanfang 2025 + Export",BR990+BQ990,BQ990)))</f>
        <v>0</v>
      </c>
      <c r="I990" s="50" t="n">
        <f aca="false">H990*G990</f>
        <v>0</v>
      </c>
      <c r="J990" s="50" t="n">
        <f aca="false">BT990*Parameter!$B$18</f>
        <v>140</v>
      </c>
      <c r="K990" s="51" t="n">
        <v>691.5</v>
      </c>
      <c r="L990" s="52" t="n">
        <v>0.202458423716558</v>
      </c>
      <c r="M990" s="50" t="n">
        <v>8</v>
      </c>
      <c r="N990" s="50" t="n">
        <v>200</v>
      </c>
      <c r="O990" s="53" t="n">
        <v>21</v>
      </c>
      <c r="P990" s="48" t="s">
        <v>435</v>
      </c>
      <c r="Q990" s="50" t="n">
        <v>787</v>
      </c>
      <c r="R990" s="53" t="n">
        <f aca="false">IF(BZ990=1,0,IFERROR(VLOOKUP(BX990,'Gebinde-Kategorie'!$A$5:$N$45,13,0)+0,0))</f>
        <v>140</v>
      </c>
      <c r="S990" s="54"/>
      <c r="T990" s="55"/>
      <c r="U990" s="55"/>
      <c r="V990" s="55"/>
      <c r="W990" s="48"/>
      <c r="X990" s="50"/>
      <c r="Y990" s="50"/>
      <c r="Z990" s="48" t="n">
        <f aca="false">IF(A990="","",IF(AND(Parameter!$B$21="Ja",ISNUMBER(W990)),W990,IF(CC990="2+3",IF(ISNUMBER(SEARCH("grosser Artikel",BU990)),2,IFERROR(VLOOKUP(BX990,Parameter!$F$35:$G$64,2,0),2)),IF(OR(CC990="Nein",CC990=""),"-",CC990))))</f>
        <v>3</v>
      </c>
      <c r="AA990" s="55"/>
      <c r="AB990" s="56"/>
      <c r="AC990" s="50" t="n">
        <f aca="false">AV990</f>
        <v>208</v>
      </c>
      <c r="AD990" s="50" t="n">
        <f aca="false">MAX(AV990,H990)</f>
        <v>208</v>
      </c>
      <c r="AE990" s="57"/>
      <c r="AF990" s="50" t="n">
        <f aca="false">IF(LEFT(Cockpit!$C$5,1)="A",H990,IF(Parameter!$E$30="MAX-Bestand",IF(CH990=1,CI990,IF(LEFT(Cockpit!$C$5,1)="B",AL990,MAX(AL990,H990))),ROUNDUP(AJ990,0)))</f>
        <v>0</v>
      </c>
      <c r="AG990" s="50" t="n">
        <f aca="false">IF(BZ990=1,0,ROUNDUP(AF990/BY990,0))</f>
        <v>0</v>
      </c>
      <c r="AH990" s="52" t="n">
        <f aca="false">IF(CQ990&gt;0,CQ990*MAX(1,AF990/X990),IF(BZ990=1,IF(AF990&lt;=0,0,CD990*MAX(1,IF(H990&gt;0,AF990/H990,1))),IF(R990&gt;0,AG990/R990,0))/MAX(0.1,N(Parameter!$M$21)))</f>
        <v>0</v>
      </c>
      <c r="AI990" s="50" t="n">
        <f aca="false">AH990*CB990</f>
        <v>0</v>
      </c>
      <c r="AJ990" s="51" t="n">
        <f aca="false">IF(LEFT(Cockpit!$C$5,1)="A",H990,IF(CH990=1,(CK990+CI990)/2,IF(LEFT(Cockpit!$C$5,1)="B",(CK990+AL990)/2,MAX((CK990+AL990)/2,H990))))</f>
        <v>0</v>
      </c>
      <c r="AK990" s="50" t="n">
        <f aca="false">AJ990*G990</f>
        <v>0</v>
      </c>
      <c r="AL990" s="50" t="n">
        <f aca="false">ROUNDUP(CK990+MAX(CL990,2*(J990/IF(CG990&gt;0,CG990,MAX(0.1,N(Cockpit!$C$6)))-CK990)),0)</f>
        <v>208</v>
      </c>
      <c r="AM990" s="51" t="n">
        <f aca="false">IF(AI990&gt;0,J990/AI990,-1)</f>
        <v>-1</v>
      </c>
      <c r="AN990" s="51" t="str">
        <f aca="false">IF(AND(OR(CF990="L1",CF990="L23",CF990="LIFT"),AI990&gt;0),SUMIFS($AI$7:$AI$1843,$CF$7:$CF$1843,CF990,$AM$7:$AM$1843,"&gt;"&amp;AM990)+SUMIFS($AI$7:$AI$1843,$CF$7:$CF$1843,CF990,$AM$7:$AM$1843,AM990,$BW$7:$BW$1843,"&lt;="&amp;BW990),"")</f>
        <v/>
      </c>
      <c r="AO990" s="58" t="n">
        <f aca="false">IF(AN990="",0,MAX(0,MIN(1,(IF(CF990="L1",Parameter!$H$5,IF(CF990="L23",Parameter!$H$6+Parameter!$H$7,Parameter!$H$5+Parameter!$H$6+Parameter!$H$7))-(AN990-AI990))/AI990)))</f>
        <v>0</v>
      </c>
      <c r="AP990" s="50" t="n">
        <f aca="false">IF(LEFT(Cockpit!$I$5,1)="A",H990,IF(Parameter!$E$30="MAX-Bestand",IF(CH990=1,CI990,IF(LEFT(Cockpit!$I$5,1)="B",AV990,MAX(AV990,H990))),ROUNDUP(AT990,0)))</f>
        <v>108</v>
      </c>
      <c r="AQ990" s="50" t="n">
        <f aca="false">IF(BZ990=1,0,ROUNDUP(AP990/BY990,0))</f>
        <v>1</v>
      </c>
      <c r="AR990" s="52" t="n">
        <f aca="false">IF(CQ990&gt;0,CQ990*MAX(1,AP990/X990),IF(BZ990=1,IF(AP990&lt;=0,0,CD990*MAX(1,IF(H990&gt;0,AP990/H990,1))),IF(R990&gt;0,AQ990/R990,0))/MAX(0.1,N(Parameter!$M$21)))</f>
        <v>0.00714285714285714</v>
      </c>
      <c r="AS990" s="50" t="n">
        <f aca="false">AR990*CB990</f>
        <v>1.10714285714286</v>
      </c>
      <c r="AT990" s="51" t="n">
        <f aca="false">IF(LEFT(Cockpit!$I$5,1)="A",H990,IF(CH990=1,(CK990+CI990)/2,IF(LEFT(Cockpit!$I$5,1)="B",(CK990+AV990)/2,MAX((CK990+AV990)/2,H990))))</f>
        <v>108</v>
      </c>
      <c r="AU990" s="50" t="n">
        <f aca="false">AT990*G990</f>
        <v>34.56</v>
      </c>
      <c r="AV990" s="50" t="n">
        <f aca="false">ROUNDUP(CK990+MAX(CL990,2*(J990/IF(CG990&gt;0,CG990,MAX(0.1,N(Cockpit!$I$6)))-CK990)),0)</f>
        <v>208</v>
      </c>
      <c r="AW990" s="51" t="n">
        <f aca="false">IF(AS990&gt;0,J990/AS990,-1)</f>
        <v>126.451612903226</v>
      </c>
      <c r="AX990" s="51" t="n">
        <f aca="false">IF(AND(OR(CF990="L1",CF990="L23",CF990="LIFT"),AS990&gt;0),SUMIFS($AS$7:$AS$1843,$CF$7:$CF$1843,CF990,$AW$7:$AW$1843,"&gt;"&amp;AW990)+SUMIFS($AS$7:$AS$1843,$CF$7:$CF$1843,CF990,$AW$7:$AW$1843,AW990,$BW$7:$BW$1843,"&lt;="&amp;BW990),"")</f>
        <v>763.215659340659</v>
      </c>
      <c r="AY990" s="58" t="n">
        <f aca="false">IF(AX990="",0,MAX(0,MIN(1,(IF(CF990="L1",Parameter!$H$5,IF(CF990="L23",Parameter!$H$6+Parameter!$H$7,Parameter!$H$5+Parameter!$H$6+Parameter!$H$7))-(AX990-AS990))/AS990)))</f>
        <v>1</v>
      </c>
      <c r="AZ990" s="50" t="n">
        <f aca="false">IF(LEFT(Cockpit!$O$5,1)="A",H990,IF(Parameter!$E$30="MAX-Bestand",IF(CH990=1,CI990,IF(LEFT(Cockpit!$O$5,1)="B",BF990,MAX(BF990,H990))),ROUNDUP(BD990,0)))</f>
        <v>108</v>
      </c>
      <c r="BA990" s="50" t="n">
        <f aca="false">IF(BZ990=1,0,ROUNDUP(AZ990/BY990,0))</f>
        <v>1</v>
      </c>
      <c r="BB990" s="52" t="n">
        <f aca="false">IF(CQ990&gt;0,CQ990*MAX(1,AZ990/X990),IF(BZ990=1,IF(AZ990&lt;=0,0,CD990*MAX(1,IF(H990&gt;0,AZ990/H990,1))),IF(R990&gt;0,BA990/R990,0))/MAX(0.1,N(Parameter!$M$21)))</f>
        <v>0.00714285714285714</v>
      </c>
      <c r="BC990" s="50" t="n">
        <f aca="false">BB990*CB990</f>
        <v>1.10714285714286</v>
      </c>
      <c r="BD990" s="51" t="n">
        <f aca="false">IF(LEFT(Cockpit!$O$5,1)="A",H990,IF(CH990=1,(CK990+CI990)/2,IF(LEFT(Cockpit!$O$5,1)="B",(CK990+BF990)/2,MAX((CK990+BF990)/2,H990))))</f>
        <v>108</v>
      </c>
      <c r="BE990" s="50" t="n">
        <f aca="false">BD990*G990</f>
        <v>34.56</v>
      </c>
      <c r="BF990" s="50" t="n">
        <f aca="false">ROUNDUP(CK990+MAX(CL990,2*(J990/IF(CG990&gt;0,CG990,MAX(0.1,N(Cockpit!$O$6)))-CK990)),0)</f>
        <v>208</v>
      </c>
      <c r="BG990" s="51" t="n">
        <f aca="false">IF(BC990&gt;0,J990/BC990,-1)</f>
        <v>126.451612903226</v>
      </c>
      <c r="BH990" s="51" t="n">
        <f aca="false">IF(AND(OR(CF990="L1",CF990="L23",CF990="LIFT"),BC990&gt;0),SUMIFS($BC$7:$BC$1843,$CF$7:$CF$1843,CF990,$BG$7:$BG$1843,"&gt;"&amp;BG990)+SUMIFS($BC$7:$BC$1843,$CF$7:$CF$1843,CF990,$BG$7:$BG$1843,BG990,$BW$7:$BW$1843,"&lt;="&amp;BW990),"")</f>
        <v>783.144230769231</v>
      </c>
      <c r="BI990" s="58" t="n">
        <f aca="false">IF(BH990="",0,MAX(0,MIN(1,(IF(CF990="L1",Parameter!$H$5,IF(CF990="L23",Parameter!$H$6+Parameter!$H$7,Parameter!$H$5+Parameter!$H$6+Parameter!$H$7))-(BH990-BC990))/BC990)))</f>
        <v>1</v>
      </c>
      <c r="BJ990" s="48" t="str">
        <f aca="false">IF(AI990&lt;=0,"",IF(CF990="Aussen","Aussenlager",IF(CF990="-","Nicht im Lift",IF(AO990&gt;=1,"Lift",IF(AO990&lt;=0,"Aussenlager","teilweise")))))</f>
        <v/>
      </c>
      <c r="BK990" s="48" t="str">
        <f aca="false">IF(AS990&lt;=0,"",IF(CF990="Aussen","Aussenlager",IF(CF990="-","Nicht im Lift",IF(AY990&gt;=1,"Lift",IF(AY990&lt;=0,"Aussenlager","teilweise")))))</f>
        <v>Lift</v>
      </c>
      <c r="BL990" s="48" t="str">
        <f aca="false">IF(BC990&lt;=0,"",IF(CF990="Aussen","Aussenlager",IF(CF990="-","Nicht im Lift",IF(BI990&gt;=1,"Lift",IF(BI990&lt;=0,"Aussenlager","teilweise")))))</f>
        <v>Lift</v>
      </c>
      <c r="BM990" s="48" t="str">
        <f aca="false">IF(A990="","",IF(BV990=1,"Neu; ","")&amp;IF(AND(BV990=0,BQ990&lt;0),"negativer Bestand (Export "&amp;BQ990&amp;"); ","")&amp;IF(J990&lt;=0,"Kein Verbrauch; ","")&amp;IF(CQ990&gt;0,"Lift "&amp;W990&amp;" lt. Liftbericht (Fach "&amp;X990&amp;" Stk); ",IF(CA990=1,"Gebinde geschätzt ("&amp;T990&amp;"); ",IF(BZ990=1,"Lose – Tablare geschätzt; ","")))&amp;IF(H990&gt;AV990,"Überbestand "&amp;ROUND(H990-AV990,0)&amp;" Stk / CHF "&amp;ROUND((H990-AV990)*G990,0)&amp;"; ","")&amp;IF(AND(CH990=1,CI990&lt;CJ990),"MAX &lt; MB+LG; ","")&amp;IF(AND(CP990&gt;0,CO990*10&gt;CP990),"zu hoch für Tablar; ","")&amp;IF(AND(BV990=0,OR(CH990=1,AA990&lt;&gt;"",U990&lt;&gt;"",V990&lt;&gt;"",AB990&lt;&gt;"")),"manuell übersteuert; ","")&amp;IF(AND(BZ990=0,R990=0),"Gebinde unbekannt / Stellmass fehlt; ","")&amp;IF(AND(BZ990=0,N(V990)&lt;=0,N(Q990)&lt;=0),"Menge pro Gebinde fehlt (Ist = 1 Gebinde); ","")&amp;BU990)</f>
        <v>negativer Bestand (Export -1036); </v>
      </c>
      <c r="BN990" s="48"/>
      <c r="BO990" s="48"/>
      <c r="BP990" s="55"/>
      <c r="BQ990" s="50" t="n">
        <v>-1036</v>
      </c>
      <c r="BR990" s="50" t="n">
        <v>1036</v>
      </c>
      <c r="BS990" s="49" t="n">
        <v>-82.88</v>
      </c>
      <c r="BT990" s="50" t="n">
        <v>140</v>
      </c>
      <c r="BU990" s="48"/>
      <c r="BV990" s="53" t="n">
        <v>0</v>
      </c>
      <c r="BW990" s="53" t="n">
        <v>990</v>
      </c>
      <c r="BX990" s="48" t="str">
        <f aca="false">IF(U990&lt;&gt;"",UPPER(TRIM(U990)),IF(CA990=1,UPPER(VLOOKUP(T990,Parameter!$I$27:$K$29,2,0)),IF(P990="","LOSE",P990)))</f>
        <v>S22</v>
      </c>
      <c r="BY990" s="50" t="n">
        <f aca="false">IF(BX990="LOSE",1,IF(N(V990)&gt;0,V990,IF(CA990=1,MAX(1,N(VLOOKUP(T990,Parameter!$I$27:$K$29,3,0)),H990,N(N990)),IF(N(Q990)&gt;0,Q990,MAX(1,H990)))))</f>
        <v>787</v>
      </c>
      <c r="BZ990" s="53" t="n">
        <f aca="false">IF(BX990="LOSE",1,0)</f>
        <v>0</v>
      </c>
      <c r="CA990" s="53" t="n">
        <f aca="false">IF(AND(U990="",OR(P990="",P990="LOSE"),T990&lt;&gt;"",N(S990)&lt;=0,ISNUMBER(MATCH(T990,Parameter!$I$27:$I$29,0))),1,0)</f>
        <v>0</v>
      </c>
      <c r="CB990" s="53" t="n">
        <f aca="false">IF(CQ990&gt;0,INDEX(Parameter!$H$5:$H$7,W990)/INDEX(Parameter!$E$5:$E$7,W990),IF(AND(BZ990=0,N(IFERROR(VLOOKUP(BX990,'Gebinde-Kategorie'!$A$5:$N$45,14,0),0))&gt;0),VLOOKUP(BX990,'Gebinde-Kategorie'!$A$5:$N$45,14,0)*10+Parameter!$M$23,Parameter!$M$24))</f>
        <v>155</v>
      </c>
      <c r="CC990" s="48" t="str">
        <f aca="false">IF(AND(Parameter!$B$19="Ja",E990&lt;&gt;"",ISNUMBER(MATCH(E990,Parameter!$I$35:$I$52,0))),VLOOKUP(E990,Parameter!$I$35:$J$52,2,0),IFERROR(VLOOKUP(D990,Parameter!$A$35:$C$64,2,0),"Nein"))</f>
        <v>2+3</v>
      </c>
      <c r="CD990" s="52" t="n">
        <f aca="false">IF(BZ990=0,0,IF(N(S990)&gt;0,S990,IFERROR(VLOOKUP(D990,Parameter!$A$35:$C$64,3,0)+0,0)))</f>
        <v>0</v>
      </c>
      <c r="CE990" s="48" t="n">
        <f aca="false">IF(AA990&lt;&gt;"",AA990,Z990)</f>
        <v>3</v>
      </c>
      <c r="CF990" s="48" t="str">
        <f aca="false">IF(OR(CE990=1,CE990=2,CE990=3),IF(Parameter!$E$27="Ja","LIFT",IF(CE990=1,"L1","L23")),IF(CE990="Aussen","Aussen","-"))</f>
        <v>LIFT</v>
      </c>
      <c r="CG990" s="59" t="n">
        <f aca="false">IF(N(AB990)&gt;0,AB990,0)</f>
        <v>0</v>
      </c>
      <c r="CH990" s="53" t="n">
        <f aca="false">IF(ISNUMBER(AE990),1,0)</f>
        <v>0</v>
      </c>
      <c r="CI990" s="50" t="n">
        <f aca="false">N(AE990)</f>
        <v>0</v>
      </c>
      <c r="CJ990" s="50" t="n">
        <f aca="false">N(M990)+N(N990)</f>
        <v>208</v>
      </c>
      <c r="CK990" s="50" t="n">
        <f aca="false">N(M990)</f>
        <v>8</v>
      </c>
      <c r="CL990" s="50" t="n">
        <f aca="false">N(N990)</f>
        <v>200</v>
      </c>
      <c r="CM990" s="50" t="n">
        <f aca="false">ROUNDUP(H990/BY990,0)</f>
        <v>0</v>
      </c>
      <c r="CN990" s="50" t="n">
        <f aca="false">ROUNDUP(CI990/BY990,0)</f>
        <v>0</v>
      </c>
      <c r="CO990" s="53" t="n">
        <f aca="false">IF(BZ990=1,0,IFERROR(VLOOKUP(BX990,'Gebinde-Kategorie'!$A$5:$N$45,5,0)+0,0))</f>
        <v>8</v>
      </c>
      <c r="CP990" s="53" t="n">
        <f aca="false">IFERROR(IF(OR(CE990=1,CE990=2,CE990=3),N(INDEX(Parameter!$I$5:$I$7,CE990)),0),0)</f>
        <v>0</v>
      </c>
      <c r="CQ990" s="52" t="n">
        <f aca="false">IF(AND(Parameter!$B$21="Ja",ISNUMBER(W990),N(X990)&gt;0),IFERROR(N(INDEX(Parameter!$L$5:$L$7,W990))*INDEX(Parameter!$E$5:$E$7,W990)*X990/SUMIFS($X$7:$X$1843,$W$7:$W$1843,W990),0),0)</f>
        <v>0</v>
      </c>
    </row>
    <row r="991" customFormat="false" ht="15" hidden="false" customHeight="false" outlineLevel="0" collapsed="false">
      <c r="A991" s="48" t="s">
        <v>1840</v>
      </c>
      <c r="B991" s="48" t="s">
        <v>1841</v>
      </c>
      <c r="C991" s="48" t="s">
        <v>173</v>
      </c>
      <c r="D991" s="48" t="s">
        <v>193</v>
      </c>
      <c r="E991" s="48" t="s">
        <v>194</v>
      </c>
      <c r="F991" s="48" t="s">
        <v>227</v>
      </c>
      <c r="G991" s="49" t="n">
        <v>35.92</v>
      </c>
      <c r="H991" s="50" t="n">
        <f aca="false">MAX(0,IF(AND(Parameter!$B$21="Ja",ISNUMBER(Y991)),Y991,IF(Parameter!$B$20="Jahresanfang 2025 + Export",BR991+BQ991,BQ991)))</f>
        <v>3</v>
      </c>
      <c r="I991" s="50" t="n">
        <f aca="false">H991*G991</f>
        <v>107.76</v>
      </c>
      <c r="J991" s="50" t="n">
        <f aca="false">BT991*Parameter!$B$18</f>
        <v>5</v>
      </c>
      <c r="K991" s="51" t="n">
        <v>5</v>
      </c>
      <c r="L991" s="52" t="n">
        <v>1</v>
      </c>
      <c r="M991" s="50" t="n">
        <v>0</v>
      </c>
      <c r="N991" s="50" t="n">
        <v>5</v>
      </c>
      <c r="O991" s="53" t="n">
        <v>21</v>
      </c>
      <c r="P991" s="48" t="s">
        <v>311</v>
      </c>
      <c r="Q991" s="50" t="n">
        <v>11</v>
      </c>
      <c r="R991" s="53" t="n">
        <f aca="false">IF(BZ991=1,0,IFERROR(VLOOKUP(BX991,'Gebinde-Kategorie'!$A$5:$N$45,13,0)+0,0))</f>
        <v>26</v>
      </c>
      <c r="S991" s="54"/>
      <c r="T991" s="55"/>
      <c r="U991" s="55"/>
      <c r="V991" s="55"/>
      <c r="W991" s="48"/>
      <c r="X991" s="50"/>
      <c r="Y991" s="50"/>
      <c r="Z991" s="48" t="n">
        <f aca="false">IF(A991="","",IF(AND(Parameter!$B$21="Ja",ISNUMBER(W991)),W991,IF(CC991="2+3",IF(ISNUMBER(SEARCH("grosser Artikel",BU991)),2,IFERROR(VLOOKUP(BX991,Parameter!$F$35:$G$64,2,0),2)),IF(OR(CC991="Nein",CC991=""),"-",CC991))))</f>
        <v>3</v>
      </c>
      <c r="AA991" s="55"/>
      <c r="AB991" s="56"/>
      <c r="AC991" s="50" t="n">
        <f aca="false">AV991</f>
        <v>5</v>
      </c>
      <c r="AD991" s="50" t="n">
        <f aca="false">MAX(AV991,H991)</f>
        <v>5</v>
      </c>
      <c r="AE991" s="57"/>
      <c r="AF991" s="50" t="n">
        <f aca="false">IF(LEFT(Cockpit!$C$5,1)="A",H991,IF(Parameter!$E$30="MAX-Bestand",IF(CH991=1,CI991,IF(LEFT(Cockpit!$C$5,1)="B",AL991,MAX(AL991,H991))),ROUNDUP(AJ991,0)))</f>
        <v>3</v>
      </c>
      <c r="AG991" s="50" t="n">
        <f aca="false">IF(BZ991=1,0,ROUNDUP(AF991/BY991,0))</f>
        <v>1</v>
      </c>
      <c r="AH991" s="52" t="n">
        <f aca="false">IF(CQ991&gt;0,CQ991*MAX(1,AF991/X991),IF(BZ991=1,IF(AF991&lt;=0,0,CD991*MAX(1,IF(H991&gt;0,AF991/H991,1))),IF(R991&gt;0,AG991/R991,0))/MAX(0.1,N(Parameter!$M$21)))</f>
        <v>0.0384615384615385</v>
      </c>
      <c r="AI991" s="50" t="n">
        <f aca="false">AH991*CB991</f>
        <v>5.96153846153846</v>
      </c>
      <c r="AJ991" s="51" t="n">
        <f aca="false">IF(LEFT(Cockpit!$C$5,1)="A",H991,IF(CH991=1,(CK991+CI991)/2,IF(LEFT(Cockpit!$C$5,1)="B",(CK991+AL991)/2,MAX((CK991+AL991)/2,H991))))</f>
        <v>3</v>
      </c>
      <c r="AK991" s="50" t="n">
        <f aca="false">AJ991*G991</f>
        <v>107.76</v>
      </c>
      <c r="AL991" s="50" t="n">
        <f aca="false">ROUNDUP(CK991+MAX(CL991,2*(J991/IF(CG991&gt;0,CG991,MAX(0.1,N(Cockpit!$C$6)))-CK991)),0)</f>
        <v>5</v>
      </c>
      <c r="AM991" s="51" t="n">
        <f aca="false">IF(AI991&gt;0,J991/AI991,-1)</f>
        <v>0.838709677419355</v>
      </c>
      <c r="AN991" s="51" t="n">
        <f aca="false">IF(AND(OR(CF991="L1",CF991="L23",CF991="LIFT"),AI991&gt;0),SUMIFS($AI$7:$AI$1843,$CF$7:$CF$1843,CF991,$AM$7:$AM$1843,"&gt;"&amp;AM991)+SUMIFS($AI$7:$AI$1843,$CF$7:$CF$1843,CF991,$AM$7:$AM$1843,AM991,$BW$7:$BW$1843,"&lt;="&amp;BW991),"")</f>
        <v>7890.66346153846</v>
      </c>
      <c r="AO991" s="58" t="n">
        <f aca="false">IF(AN991="",0,MAX(0,MIN(1,(IF(CF991="L1",Parameter!$H$5,IF(CF991="L23",Parameter!$H$6+Parameter!$H$7,Parameter!$H$5+Parameter!$H$6+Parameter!$H$7))-(AN991-AI991))/AI991)))</f>
        <v>1</v>
      </c>
      <c r="AP991" s="50" t="n">
        <f aca="false">IF(LEFT(Cockpit!$I$5,1)="A",H991,IF(Parameter!$E$30="MAX-Bestand",IF(CH991=1,CI991,IF(LEFT(Cockpit!$I$5,1)="B",AV991,MAX(AV991,H991))),ROUNDUP(AT991,0)))</f>
        <v>3</v>
      </c>
      <c r="AQ991" s="50" t="n">
        <f aca="false">IF(BZ991=1,0,ROUNDUP(AP991/BY991,0))</f>
        <v>1</v>
      </c>
      <c r="AR991" s="52" t="n">
        <f aca="false">IF(CQ991&gt;0,CQ991*MAX(1,AP991/X991),IF(BZ991=1,IF(AP991&lt;=0,0,CD991*MAX(1,IF(H991&gt;0,AP991/H991,1))),IF(R991&gt;0,AQ991/R991,0))/MAX(0.1,N(Parameter!$M$21)))</f>
        <v>0.0384615384615385</v>
      </c>
      <c r="AS991" s="50" t="n">
        <f aca="false">AR991*CB991</f>
        <v>5.96153846153846</v>
      </c>
      <c r="AT991" s="51" t="n">
        <f aca="false">IF(LEFT(Cockpit!$I$5,1)="A",H991,IF(CH991=1,(CK991+CI991)/2,IF(LEFT(Cockpit!$I$5,1)="B",(CK991+AV991)/2,MAX((CK991+AV991)/2,H991))))</f>
        <v>3</v>
      </c>
      <c r="AU991" s="50" t="n">
        <f aca="false">AT991*G991</f>
        <v>107.76</v>
      </c>
      <c r="AV991" s="50" t="n">
        <f aca="false">ROUNDUP(CK991+MAX(CL991,2*(J991/IF(CG991&gt;0,CG991,MAX(0.1,N(Cockpit!$I$6)))-CK991)),0)</f>
        <v>5</v>
      </c>
      <c r="AW991" s="51" t="n">
        <f aca="false">IF(AS991&gt;0,J991/AS991,-1)</f>
        <v>0.838709677419355</v>
      </c>
      <c r="AX991" s="51" t="n">
        <f aca="false">IF(AND(OR(CF991="L1",CF991="L23",CF991="LIFT"),AS991&gt;0),SUMIFS($AS$7:$AS$1843,$CF$7:$CF$1843,CF991,$AW$7:$AW$1843,"&gt;"&amp;AW991)+SUMIFS($AS$7:$AS$1843,$CF$7:$CF$1843,CF991,$AW$7:$AW$1843,AW991,$BW$7:$BW$1843,"&lt;="&amp;BW991),"")</f>
        <v>9646.06501831502</v>
      </c>
      <c r="AY991" s="58" t="n">
        <f aca="false">IF(AX991="",0,MAX(0,MIN(1,(IF(CF991="L1",Parameter!$H$5,IF(CF991="L23",Parameter!$H$6+Parameter!$H$7,Parameter!$H$5+Parameter!$H$6+Parameter!$H$7))-(AX991-AS991))/AS991)))</f>
        <v>1</v>
      </c>
      <c r="AZ991" s="50" t="n">
        <f aca="false">IF(LEFT(Cockpit!$O$5,1)="A",H991,IF(Parameter!$E$30="MAX-Bestand",IF(CH991=1,CI991,IF(LEFT(Cockpit!$O$5,1)="B",BF991,MAX(BF991,H991))),ROUNDUP(BD991,0)))</f>
        <v>3</v>
      </c>
      <c r="BA991" s="50" t="n">
        <f aca="false">IF(BZ991=1,0,ROUNDUP(AZ991/BY991,0))</f>
        <v>1</v>
      </c>
      <c r="BB991" s="52" t="n">
        <f aca="false">IF(CQ991&gt;0,CQ991*MAX(1,AZ991/X991),IF(BZ991=1,IF(AZ991&lt;=0,0,CD991*MAX(1,IF(H991&gt;0,AZ991/H991,1))),IF(R991&gt;0,BA991/R991,0))/MAX(0.1,N(Parameter!$M$21)))</f>
        <v>0.0384615384615385</v>
      </c>
      <c r="BC991" s="50" t="n">
        <f aca="false">BB991*CB991</f>
        <v>5.96153846153846</v>
      </c>
      <c r="BD991" s="51" t="n">
        <f aca="false">IF(LEFT(Cockpit!$O$5,1)="A",H991,IF(CH991=1,(CK991+CI991)/2,IF(LEFT(Cockpit!$O$5,1)="B",(CK991+BF991)/2,MAX((CK991+BF991)/2,H991))))</f>
        <v>2.5</v>
      </c>
      <c r="BE991" s="50" t="n">
        <f aca="false">BD991*G991</f>
        <v>89.8</v>
      </c>
      <c r="BF991" s="50" t="n">
        <f aca="false">ROUNDUP(CK991+MAX(CL991,2*(J991/IF(CG991&gt;0,CG991,MAX(0.1,N(Cockpit!$O$6)))-CK991)),0)</f>
        <v>5</v>
      </c>
      <c r="BG991" s="51" t="n">
        <f aca="false">IF(BC991&gt;0,J991/BC991,-1)</f>
        <v>0.838709677419355</v>
      </c>
      <c r="BH991" s="51" t="n">
        <f aca="false">IF(AND(OR(CF991="L1",CF991="L23",CF991="LIFT"),BC991&gt;0),SUMIFS($BC$7:$BC$1843,$CF$7:$CF$1843,CF991,$BG$7:$BG$1843,"&gt;"&amp;BG991)+SUMIFS($BC$7:$BC$1843,$CF$7:$CF$1843,CF991,$BG$7:$BG$1843,BG991,$BW$7:$BW$1843,"&lt;="&amp;BW991),"")</f>
        <v>8607.14148351648</v>
      </c>
      <c r="BI991" s="58" t="n">
        <f aca="false">IF(BH991="",0,MAX(0,MIN(1,(IF(CF991="L1",Parameter!$H$5,IF(CF991="L23",Parameter!$H$6+Parameter!$H$7,Parameter!$H$5+Parameter!$H$6+Parameter!$H$7))-(BH991-BC991))/BC991)))</f>
        <v>1</v>
      </c>
      <c r="BJ991" s="48" t="str">
        <f aca="false">IF(AI991&lt;=0,"",IF(CF991="Aussen","Aussenlager",IF(CF991="-","Nicht im Lift",IF(AO991&gt;=1,"Lift",IF(AO991&lt;=0,"Aussenlager","teilweise")))))</f>
        <v>Lift</v>
      </c>
      <c r="BK991" s="48" t="str">
        <f aca="false">IF(AS991&lt;=0,"",IF(CF991="Aussen","Aussenlager",IF(CF991="-","Nicht im Lift",IF(AY991&gt;=1,"Lift",IF(AY991&lt;=0,"Aussenlager","teilweise")))))</f>
        <v>Lift</v>
      </c>
      <c r="BL991" s="48" t="str">
        <f aca="false">IF(BC991&lt;=0,"",IF(CF991="Aussen","Aussenlager",IF(CF991="-","Nicht im Lift",IF(BI991&gt;=1,"Lift",IF(BI991&lt;=0,"Aussenlager","teilweise")))))</f>
        <v>Lift</v>
      </c>
      <c r="BM991" s="48" t="str">
        <f aca="false">IF(A991="","",IF(BV991=1,"Neu; ","")&amp;IF(AND(BV991=0,BQ991&lt;0),"negativer Bestand (Export "&amp;BQ991&amp;"); ","")&amp;IF(J991&lt;=0,"Kein Verbrauch; ","")&amp;IF(CQ991&gt;0,"Lift "&amp;W991&amp;" lt. Liftbericht (Fach "&amp;X991&amp;" Stk); ",IF(CA991=1,"Gebinde geschätzt ("&amp;T991&amp;"); ",IF(BZ991=1,"Lose – Tablare geschätzt; ","")))&amp;IF(H991&gt;AV991,"Überbestand "&amp;ROUND(H991-AV991,0)&amp;" Stk / CHF "&amp;ROUND((H991-AV991)*G991,0)&amp;"; ","")&amp;IF(AND(CH991=1,CI991&lt;CJ991),"MAX &lt; MB+LG; ","")&amp;IF(AND(CP991&gt;0,CO991*10&gt;CP991),"zu hoch für Tablar; ","")&amp;IF(AND(BV991=0,OR(CH991=1,AA991&lt;&gt;"",U991&lt;&gt;"",V991&lt;&gt;"",AB991&lt;&gt;"")),"manuell übersteuert; ","")&amp;IF(AND(BZ991=0,R991=0),"Gebinde unbekannt / Stellmass fehlt; ","")&amp;IF(AND(BZ991=0,N(V991)&lt;=0,N(Q991)&lt;=0),"Menge pro Gebinde fehlt (Ist = 1 Gebinde); ","")&amp;BU991)</f>
        <v>negativer Bestand (Export -3); </v>
      </c>
      <c r="BN991" s="48"/>
      <c r="BO991" s="48"/>
      <c r="BP991" s="55"/>
      <c r="BQ991" s="50" t="n">
        <v>-3</v>
      </c>
      <c r="BR991" s="50" t="n">
        <v>6</v>
      </c>
      <c r="BS991" s="49" t="n">
        <v>-84.84</v>
      </c>
      <c r="BT991" s="50" t="n">
        <v>5</v>
      </c>
      <c r="BU991" s="48"/>
      <c r="BV991" s="53" t="n">
        <v>0</v>
      </c>
      <c r="BW991" s="53" t="n">
        <v>991</v>
      </c>
      <c r="BX991" s="48" t="str">
        <f aca="false">IF(U991&lt;&gt;"",UPPER(TRIM(U991)),IF(CA991=1,UPPER(VLOOKUP(T991,Parameter!$I$27:$K$29,2,0)),IF(P991="","LOSE",P991)))</f>
        <v>S51</v>
      </c>
      <c r="BY991" s="50" t="n">
        <f aca="false">IF(BX991="LOSE",1,IF(N(V991)&gt;0,V991,IF(CA991=1,MAX(1,N(VLOOKUP(T991,Parameter!$I$27:$K$29,3,0)),H991,N(N991)),IF(N(Q991)&gt;0,Q991,MAX(1,H991)))))</f>
        <v>11</v>
      </c>
      <c r="BZ991" s="53" t="n">
        <f aca="false">IF(BX991="LOSE",1,0)</f>
        <v>0</v>
      </c>
      <c r="CA991" s="53" t="n">
        <f aca="false">IF(AND(U991="",OR(P991="",P991="LOSE"),T991&lt;&gt;"",N(S991)&lt;=0,ISNUMBER(MATCH(T991,Parameter!$I$27:$I$29,0))),1,0)</f>
        <v>0</v>
      </c>
      <c r="CB991" s="53" t="n">
        <f aca="false">IF(CQ991&gt;0,INDEX(Parameter!$H$5:$H$7,W991)/INDEX(Parameter!$E$5:$E$7,W991),IF(AND(BZ991=0,N(IFERROR(VLOOKUP(BX991,'Gebinde-Kategorie'!$A$5:$N$45,14,0),0))&gt;0),VLOOKUP(BX991,'Gebinde-Kategorie'!$A$5:$N$45,14,0)*10+Parameter!$M$23,Parameter!$M$24))</f>
        <v>155</v>
      </c>
      <c r="CC991" s="48" t="str">
        <f aca="false">IF(AND(Parameter!$B$19="Ja",E991&lt;&gt;"",ISNUMBER(MATCH(E991,Parameter!$I$35:$I$52,0))),VLOOKUP(E991,Parameter!$I$35:$J$52,2,0),IFERROR(VLOOKUP(D991,Parameter!$A$35:$C$64,2,0),"Nein"))</f>
        <v>2+3</v>
      </c>
      <c r="CD991" s="52" t="n">
        <f aca="false">IF(BZ991=0,0,IF(N(S991)&gt;0,S991,IFERROR(VLOOKUP(D991,Parameter!$A$35:$C$64,3,0)+0,0)))</f>
        <v>0</v>
      </c>
      <c r="CE991" s="48" t="n">
        <f aca="false">IF(AA991&lt;&gt;"",AA991,Z991)</f>
        <v>3</v>
      </c>
      <c r="CF991" s="48" t="str">
        <f aca="false">IF(OR(CE991=1,CE991=2,CE991=3),IF(Parameter!$E$27="Ja","LIFT",IF(CE991=1,"L1","L23")),IF(CE991="Aussen","Aussen","-"))</f>
        <v>LIFT</v>
      </c>
      <c r="CG991" s="59" t="n">
        <f aca="false">IF(N(AB991)&gt;0,AB991,0)</f>
        <v>0</v>
      </c>
      <c r="CH991" s="53" t="n">
        <f aca="false">IF(ISNUMBER(AE991),1,0)</f>
        <v>0</v>
      </c>
      <c r="CI991" s="50" t="n">
        <f aca="false">N(AE991)</f>
        <v>0</v>
      </c>
      <c r="CJ991" s="50" t="n">
        <f aca="false">N(M991)+N(N991)</f>
        <v>5</v>
      </c>
      <c r="CK991" s="50" t="n">
        <f aca="false">N(M991)</f>
        <v>0</v>
      </c>
      <c r="CL991" s="50" t="n">
        <f aca="false">N(N991)</f>
        <v>5</v>
      </c>
      <c r="CM991" s="50" t="n">
        <f aca="false">ROUNDUP(H991/BY991,0)</f>
        <v>1</v>
      </c>
      <c r="CN991" s="50" t="n">
        <f aca="false">ROUNDUP(CI991/BY991,0)</f>
        <v>0</v>
      </c>
      <c r="CO991" s="53" t="n">
        <f aca="false">IF(BZ991=1,0,IFERROR(VLOOKUP(BX991,'Gebinde-Kategorie'!$A$5:$N$45,5,0)+0,0))</f>
        <v>11</v>
      </c>
      <c r="CP991" s="53" t="n">
        <f aca="false">IFERROR(IF(OR(CE991=1,CE991=2,CE991=3),N(INDEX(Parameter!$I$5:$I$7,CE991)),0),0)</f>
        <v>0</v>
      </c>
      <c r="CQ991" s="52" t="n">
        <f aca="false">IF(AND(Parameter!$B$21="Ja",ISNUMBER(W991),N(X991)&gt;0),IFERROR(N(INDEX(Parameter!$L$5:$L$7,W991))*INDEX(Parameter!$E$5:$E$7,W991)*X991/SUMIFS($X$7:$X$1843,$W$7:$W$1843,W991),0),0)</f>
        <v>0</v>
      </c>
    </row>
    <row r="992" customFormat="false" ht="15" hidden="false" customHeight="false" outlineLevel="0" collapsed="false">
      <c r="A992" s="48" t="s">
        <v>1842</v>
      </c>
      <c r="B992" s="48" t="s">
        <v>1843</v>
      </c>
      <c r="C992" s="48" t="s">
        <v>173</v>
      </c>
      <c r="D992" s="48" t="s">
        <v>193</v>
      </c>
      <c r="E992" s="48" t="s">
        <v>194</v>
      </c>
      <c r="F992" s="48" t="s">
        <v>227</v>
      </c>
      <c r="G992" s="49" t="n">
        <v>43.78</v>
      </c>
      <c r="H992" s="50" t="n">
        <f aca="false">MAX(0,IF(AND(Parameter!$B$21="Ja",ISNUMBER(Y992)),Y992,IF(Parameter!$B$20="Jahresanfang 2025 + Export",BR992+BQ992,BQ992)))</f>
        <v>13</v>
      </c>
      <c r="I992" s="50" t="n">
        <f aca="false">H992*G992</f>
        <v>569.14</v>
      </c>
      <c r="J992" s="50" t="n">
        <f aca="false">BT992*Parameter!$B$18</f>
        <v>4</v>
      </c>
      <c r="K992" s="51" t="n">
        <v>13.5</v>
      </c>
      <c r="L992" s="52" t="n">
        <v>0.296296296296296</v>
      </c>
      <c r="M992" s="50" t="n">
        <v>0</v>
      </c>
      <c r="N992" s="50" t="n">
        <v>5</v>
      </c>
      <c r="O992" s="53" t="n">
        <v>16</v>
      </c>
      <c r="P992" s="48" t="s">
        <v>435</v>
      </c>
      <c r="Q992" s="50" t="n">
        <v>17</v>
      </c>
      <c r="R992" s="53" t="n">
        <f aca="false">IF(BZ992=1,0,IFERROR(VLOOKUP(BX992,'Gebinde-Kategorie'!$A$5:$N$45,13,0)+0,0))</f>
        <v>140</v>
      </c>
      <c r="S992" s="54"/>
      <c r="T992" s="55"/>
      <c r="U992" s="55"/>
      <c r="V992" s="55"/>
      <c r="W992" s="48"/>
      <c r="X992" s="50"/>
      <c r="Y992" s="50"/>
      <c r="Z992" s="48" t="n">
        <f aca="false">IF(A992="","",IF(AND(Parameter!$B$21="Ja",ISNUMBER(W992)),W992,IF(CC992="2+3",IF(ISNUMBER(SEARCH("grosser Artikel",BU992)),2,IFERROR(VLOOKUP(BX992,Parameter!$F$35:$G$64,2,0),2)),IF(OR(CC992="Nein",CC992=""),"-",CC992))))</f>
        <v>3</v>
      </c>
      <c r="AA992" s="55"/>
      <c r="AB992" s="56"/>
      <c r="AC992" s="50" t="n">
        <f aca="false">AV992</f>
        <v>5</v>
      </c>
      <c r="AD992" s="50" t="n">
        <f aca="false">MAX(AV992,H992)</f>
        <v>13</v>
      </c>
      <c r="AE992" s="57"/>
      <c r="AF992" s="50" t="n">
        <f aca="false">IF(LEFT(Cockpit!$C$5,1)="A",H992,IF(Parameter!$E$30="MAX-Bestand",IF(CH992=1,CI992,IF(LEFT(Cockpit!$C$5,1)="B",AL992,MAX(AL992,H992))),ROUNDUP(AJ992,0)))</f>
        <v>13</v>
      </c>
      <c r="AG992" s="50" t="n">
        <f aca="false">IF(BZ992=1,0,ROUNDUP(AF992/BY992,0))</f>
        <v>1</v>
      </c>
      <c r="AH992" s="52" t="n">
        <f aca="false">IF(CQ992&gt;0,CQ992*MAX(1,AF992/X992),IF(BZ992=1,IF(AF992&lt;=0,0,CD992*MAX(1,IF(H992&gt;0,AF992/H992,1))),IF(R992&gt;0,AG992/R992,0))/MAX(0.1,N(Parameter!$M$21)))</f>
        <v>0.00714285714285714</v>
      </c>
      <c r="AI992" s="50" t="n">
        <f aca="false">AH992*CB992</f>
        <v>1.10714285714286</v>
      </c>
      <c r="AJ992" s="51" t="n">
        <f aca="false">IF(LEFT(Cockpit!$C$5,1)="A",H992,IF(CH992=1,(CK992+CI992)/2,IF(LEFT(Cockpit!$C$5,1)="B",(CK992+AL992)/2,MAX((CK992+AL992)/2,H992))))</f>
        <v>13</v>
      </c>
      <c r="AK992" s="50" t="n">
        <f aca="false">AJ992*G992</f>
        <v>569.14</v>
      </c>
      <c r="AL992" s="50" t="n">
        <f aca="false">ROUNDUP(CK992+MAX(CL992,2*(J992/IF(CG992&gt;0,CG992,MAX(0.1,N(Cockpit!$C$6)))-CK992)),0)</f>
        <v>5</v>
      </c>
      <c r="AM992" s="51" t="n">
        <f aca="false">IF(AI992&gt;0,J992/AI992,-1)</f>
        <v>3.61290322580645</v>
      </c>
      <c r="AN992" s="51" t="n">
        <f aca="false">IF(AND(OR(CF992="L1",CF992="L23",CF992="LIFT"),AI992&gt;0),SUMIFS($AI$7:$AI$1843,$CF$7:$CF$1843,CF992,$AM$7:$AM$1843,"&gt;"&amp;AM992)+SUMIFS($AI$7:$AI$1843,$CF$7:$CF$1843,CF992,$AM$7:$AM$1843,AM992,$BW$7:$BW$1843,"&lt;="&amp;BW992),"")</f>
        <v>4831.19551282051</v>
      </c>
      <c r="AO992" s="58" t="n">
        <f aca="false">IF(AN992="",0,MAX(0,MIN(1,(IF(CF992="L1",Parameter!$H$5,IF(CF992="L23",Parameter!$H$6+Parameter!$H$7,Parameter!$H$5+Parameter!$H$6+Parameter!$H$7))-(AN992-AI992))/AI992)))</f>
        <v>1</v>
      </c>
      <c r="AP992" s="50" t="n">
        <f aca="false">IF(LEFT(Cockpit!$I$5,1)="A",H992,IF(Parameter!$E$30="MAX-Bestand",IF(CH992=1,CI992,IF(LEFT(Cockpit!$I$5,1)="B",AV992,MAX(AV992,H992))),ROUNDUP(AT992,0)))</f>
        <v>13</v>
      </c>
      <c r="AQ992" s="50" t="n">
        <f aca="false">IF(BZ992=1,0,ROUNDUP(AP992/BY992,0))</f>
        <v>1</v>
      </c>
      <c r="AR992" s="52" t="n">
        <f aca="false">IF(CQ992&gt;0,CQ992*MAX(1,AP992/X992),IF(BZ992=1,IF(AP992&lt;=0,0,CD992*MAX(1,IF(H992&gt;0,AP992/H992,1))),IF(R992&gt;0,AQ992/R992,0))/MAX(0.1,N(Parameter!$M$21)))</f>
        <v>0.00714285714285714</v>
      </c>
      <c r="AS992" s="50" t="n">
        <f aca="false">AR992*CB992</f>
        <v>1.10714285714286</v>
      </c>
      <c r="AT992" s="51" t="n">
        <f aca="false">IF(LEFT(Cockpit!$I$5,1)="A",H992,IF(CH992=1,(CK992+CI992)/2,IF(LEFT(Cockpit!$I$5,1)="B",(CK992+AV992)/2,MAX((CK992+AV992)/2,H992))))</f>
        <v>13</v>
      </c>
      <c r="AU992" s="50" t="n">
        <f aca="false">AT992*G992</f>
        <v>569.14</v>
      </c>
      <c r="AV992" s="50" t="n">
        <f aca="false">ROUNDUP(CK992+MAX(CL992,2*(J992/IF(CG992&gt;0,CG992,MAX(0.1,N(Cockpit!$I$6)))-CK992)),0)</f>
        <v>5</v>
      </c>
      <c r="AW992" s="51" t="n">
        <f aca="false">IF(AS992&gt;0,J992/AS992,-1)</f>
        <v>3.61290322580645</v>
      </c>
      <c r="AX992" s="51" t="n">
        <f aca="false">IF(AND(OR(CF992="L1",CF992="L23",CF992="LIFT"),AS992&gt;0),SUMIFS($AS$7:$AS$1843,$CF$7:$CF$1843,CF992,$AW$7:$AW$1843,"&gt;"&amp;AW992)+SUMIFS($AS$7:$AS$1843,$CF$7:$CF$1843,CF992,$AW$7:$AW$1843,AW992,$BW$7:$BW$1843,"&lt;="&amp;BW992),"")</f>
        <v>5408.78250915751</v>
      </c>
      <c r="AY992" s="58" t="n">
        <f aca="false">IF(AX992="",0,MAX(0,MIN(1,(IF(CF992="L1",Parameter!$H$5,IF(CF992="L23",Parameter!$H$6+Parameter!$H$7,Parameter!$H$5+Parameter!$H$6+Parameter!$H$7))-(AX992-AS992))/AS992)))</f>
        <v>1</v>
      </c>
      <c r="AZ992" s="50" t="n">
        <f aca="false">IF(LEFT(Cockpit!$O$5,1)="A",H992,IF(Parameter!$E$30="MAX-Bestand",IF(CH992=1,CI992,IF(LEFT(Cockpit!$O$5,1)="B",BF992,MAX(BF992,H992))),ROUNDUP(BD992,0)))</f>
        <v>3</v>
      </c>
      <c r="BA992" s="50" t="n">
        <f aca="false">IF(BZ992=1,0,ROUNDUP(AZ992/BY992,0))</f>
        <v>1</v>
      </c>
      <c r="BB992" s="52" t="n">
        <f aca="false">IF(CQ992&gt;0,CQ992*MAX(1,AZ992/X992),IF(BZ992=1,IF(AZ992&lt;=0,0,CD992*MAX(1,IF(H992&gt;0,AZ992/H992,1))),IF(R992&gt;0,BA992/R992,0))/MAX(0.1,N(Parameter!$M$21)))</f>
        <v>0.00714285714285714</v>
      </c>
      <c r="BC992" s="50" t="n">
        <f aca="false">BB992*CB992</f>
        <v>1.10714285714286</v>
      </c>
      <c r="BD992" s="51" t="n">
        <f aca="false">IF(LEFT(Cockpit!$O$5,1)="A",H992,IF(CH992=1,(CK992+CI992)/2,IF(LEFT(Cockpit!$O$5,1)="B",(CK992+BF992)/2,MAX((CK992+BF992)/2,H992))))</f>
        <v>2.5</v>
      </c>
      <c r="BE992" s="50" t="n">
        <f aca="false">BD992*G992</f>
        <v>109.45</v>
      </c>
      <c r="BF992" s="50" t="n">
        <f aca="false">ROUNDUP(CK992+MAX(CL992,2*(J992/IF(CG992&gt;0,CG992,MAX(0.1,N(Cockpit!$O$6)))-CK992)),0)</f>
        <v>5</v>
      </c>
      <c r="BG992" s="51" t="n">
        <f aca="false">IF(BC992&gt;0,J992/BC992,-1)</f>
        <v>3.61290322580645</v>
      </c>
      <c r="BH992" s="51" t="n">
        <f aca="false">IF(AND(OR(CF992="L1",CF992="L23",CF992="LIFT"),BC992&gt;0),SUMIFS($BC$7:$BC$1843,$CF$7:$CF$1843,CF992,$BG$7:$BG$1843,"&gt;"&amp;BG992)+SUMIFS($BC$7:$BC$1843,$CF$7:$CF$1843,CF992,$BG$7:$BG$1843,BG992,$BW$7:$BW$1843,"&lt;="&amp;BW992),"")</f>
        <v>4423.2793040293</v>
      </c>
      <c r="BI992" s="58" t="n">
        <f aca="false">IF(BH992="",0,MAX(0,MIN(1,(IF(CF992="L1",Parameter!$H$5,IF(CF992="L23",Parameter!$H$6+Parameter!$H$7,Parameter!$H$5+Parameter!$H$6+Parameter!$H$7))-(BH992-BC992))/BC992)))</f>
        <v>1</v>
      </c>
      <c r="BJ992" s="48" t="str">
        <f aca="false">IF(AI992&lt;=0,"",IF(CF992="Aussen","Aussenlager",IF(CF992="-","Nicht im Lift",IF(AO992&gt;=1,"Lift",IF(AO992&lt;=0,"Aussenlager","teilweise")))))</f>
        <v>Lift</v>
      </c>
      <c r="BK992" s="48" t="str">
        <f aca="false">IF(AS992&lt;=0,"",IF(CF992="Aussen","Aussenlager",IF(CF992="-","Nicht im Lift",IF(AY992&gt;=1,"Lift",IF(AY992&lt;=0,"Aussenlager","teilweise")))))</f>
        <v>Lift</v>
      </c>
      <c r="BL992" s="48" t="str">
        <f aca="false">IF(BC992&lt;=0,"",IF(CF992="Aussen","Aussenlager",IF(CF992="-","Nicht im Lift",IF(BI992&gt;=1,"Lift",IF(BI992&lt;=0,"Aussenlager","teilweise")))))</f>
        <v>Lift</v>
      </c>
      <c r="BM992" s="48" t="str">
        <f aca="false">IF(A992="","",IF(BV992=1,"Neu; ","")&amp;IF(AND(BV992=0,BQ992&lt;0),"negativer Bestand (Export "&amp;BQ992&amp;"); ","")&amp;IF(J992&lt;=0,"Kein Verbrauch; ","")&amp;IF(CQ992&gt;0,"Lift "&amp;W992&amp;" lt. Liftbericht (Fach "&amp;X992&amp;" Stk); ",IF(CA992=1,"Gebinde geschätzt ("&amp;T992&amp;"); ",IF(BZ992=1,"Lose – Tablare geschätzt; ","")))&amp;IF(H992&gt;AV992,"Überbestand "&amp;ROUND(H992-AV992,0)&amp;" Stk / CHF "&amp;ROUND((H992-AV992)*G992,0)&amp;"; ","")&amp;IF(AND(CH992=1,CI992&lt;CJ992),"MAX &lt; MB+LG; ","")&amp;IF(AND(CP992&gt;0,CO992*10&gt;CP992),"zu hoch für Tablar; ","")&amp;IF(AND(BV992=0,OR(CH992=1,AA992&lt;&gt;"",U992&lt;&gt;"",V992&lt;&gt;"",AB992&lt;&gt;"")),"manuell übersteuert; ","")&amp;IF(AND(BZ992=0,R992=0),"Gebinde unbekannt / Stellmass fehlt; ","")&amp;IF(AND(BZ992=0,N(V992)&lt;=0,N(Q992)&lt;=0),"Menge pro Gebinde fehlt (Ist = 1 Gebinde); ","")&amp;BU992)</f>
        <v>negativer Bestand (Export -2); Überbestand 8 Stk / CHF 350; </v>
      </c>
      <c r="BN992" s="48"/>
      <c r="BO992" s="48"/>
      <c r="BP992" s="55"/>
      <c r="BQ992" s="50" t="n">
        <v>-2</v>
      </c>
      <c r="BR992" s="50" t="n">
        <v>15</v>
      </c>
      <c r="BS992" s="49" t="n">
        <v>-87.56</v>
      </c>
      <c r="BT992" s="50" t="n">
        <v>4</v>
      </c>
      <c r="BU992" s="48"/>
      <c r="BV992" s="53" t="n">
        <v>0</v>
      </c>
      <c r="BW992" s="53" t="n">
        <v>992</v>
      </c>
      <c r="BX992" s="48" t="str">
        <f aca="false">IF(U992&lt;&gt;"",UPPER(TRIM(U992)),IF(CA992=1,UPPER(VLOOKUP(T992,Parameter!$I$27:$K$29,2,0)),IF(P992="","LOSE",P992)))</f>
        <v>S22</v>
      </c>
      <c r="BY992" s="50" t="n">
        <f aca="false">IF(BX992="LOSE",1,IF(N(V992)&gt;0,V992,IF(CA992=1,MAX(1,N(VLOOKUP(T992,Parameter!$I$27:$K$29,3,0)),H992,N(N992)),IF(N(Q992)&gt;0,Q992,MAX(1,H992)))))</f>
        <v>17</v>
      </c>
      <c r="BZ992" s="53" t="n">
        <f aca="false">IF(BX992="LOSE",1,0)</f>
        <v>0</v>
      </c>
      <c r="CA992" s="53" t="n">
        <f aca="false">IF(AND(U992="",OR(P992="",P992="LOSE"),T992&lt;&gt;"",N(S992)&lt;=0,ISNUMBER(MATCH(T992,Parameter!$I$27:$I$29,0))),1,0)</f>
        <v>0</v>
      </c>
      <c r="CB992" s="53" t="n">
        <f aca="false">IF(CQ992&gt;0,INDEX(Parameter!$H$5:$H$7,W992)/INDEX(Parameter!$E$5:$E$7,W992),IF(AND(BZ992=0,N(IFERROR(VLOOKUP(BX992,'Gebinde-Kategorie'!$A$5:$N$45,14,0),0))&gt;0),VLOOKUP(BX992,'Gebinde-Kategorie'!$A$5:$N$45,14,0)*10+Parameter!$M$23,Parameter!$M$24))</f>
        <v>155</v>
      </c>
      <c r="CC992" s="48" t="str">
        <f aca="false">IF(AND(Parameter!$B$19="Ja",E992&lt;&gt;"",ISNUMBER(MATCH(E992,Parameter!$I$35:$I$52,0))),VLOOKUP(E992,Parameter!$I$35:$J$52,2,0),IFERROR(VLOOKUP(D992,Parameter!$A$35:$C$64,2,0),"Nein"))</f>
        <v>2+3</v>
      </c>
      <c r="CD992" s="52" t="n">
        <f aca="false">IF(BZ992=0,0,IF(N(S992)&gt;0,S992,IFERROR(VLOOKUP(D992,Parameter!$A$35:$C$64,3,0)+0,0)))</f>
        <v>0</v>
      </c>
      <c r="CE992" s="48" t="n">
        <f aca="false">IF(AA992&lt;&gt;"",AA992,Z992)</f>
        <v>3</v>
      </c>
      <c r="CF992" s="48" t="str">
        <f aca="false">IF(OR(CE992=1,CE992=2,CE992=3),IF(Parameter!$E$27="Ja","LIFT",IF(CE992=1,"L1","L23")),IF(CE992="Aussen","Aussen","-"))</f>
        <v>LIFT</v>
      </c>
      <c r="CG992" s="59" t="n">
        <f aca="false">IF(N(AB992)&gt;0,AB992,0)</f>
        <v>0</v>
      </c>
      <c r="CH992" s="53" t="n">
        <f aca="false">IF(ISNUMBER(AE992),1,0)</f>
        <v>0</v>
      </c>
      <c r="CI992" s="50" t="n">
        <f aca="false">N(AE992)</f>
        <v>0</v>
      </c>
      <c r="CJ992" s="50" t="n">
        <f aca="false">N(M992)+N(N992)</f>
        <v>5</v>
      </c>
      <c r="CK992" s="50" t="n">
        <f aca="false">N(M992)</f>
        <v>0</v>
      </c>
      <c r="CL992" s="50" t="n">
        <f aca="false">N(N992)</f>
        <v>5</v>
      </c>
      <c r="CM992" s="50" t="n">
        <f aca="false">ROUNDUP(H992/BY992,0)</f>
        <v>1</v>
      </c>
      <c r="CN992" s="50" t="n">
        <f aca="false">ROUNDUP(CI992/BY992,0)</f>
        <v>0</v>
      </c>
      <c r="CO992" s="53" t="n">
        <f aca="false">IF(BZ992=1,0,IFERROR(VLOOKUP(BX992,'Gebinde-Kategorie'!$A$5:$N$45,5,0)+0,0))</f>
        <v>8</v>
      </c>
      <c r="CP992" s="53" t="n">
        <f aca="false">IFERROR(IF(OR(CE992=1,CE992=2,CE992=3),N(INDEX(Parameter!$I$5:$I$7,CE992)),0),0)</f>
        <v>0</v>
      </c>
      <c r="CQ992" s="52" t="n">
        <f aca="false">IF(AND(Parameter!$B$21="Ja",ISNUMBER(W992),N(X992)&gt;0),IFERROR(N(INDEX(Parameter!$L$5:$L$7,W992))*INDEX(Parameter!$E$5:$E$7,W992)*X992/SUMIFS($X$7:$X$1843,$W$7:$W$1843,W992),0),0)</f>
        <v>0</v>
      </c>
    </row>
    <row r="993" customFormat="false" ht="15" hidden="false" customHeight="false" outlineLevel="0" collapsed="false">
      <c r="A993" s="48" t="s">
        <v>1844</v>
      </c>
      <c r="B993" s="48" t="s">
        <v>733</v>
      </c>
      <c r="C993" s="48" t="s">
        <v>173</v>
      </c>
      <c r="D993" s="48" t="s">
        <v>193</v>
      </c>
      <c r="E993" s="48" t="s">
        <v>194</v>
      </c>
      <c r="F993" s="48" t="s">
        <v>227</v>
      </c>
      <c r="G993" s="49" t="n">
        <v>14.65</v>
      </c>
      <c r="H993" s="50" t="n">
        <f aca="false">MAX(0,IF(AND(Parameter!$B$21="Ja",ISNUMBER(Y993)),Y993,IF(Parameter!$B$20="Jahresanfang 2025 + Export",BR993+BQ993,BQ993)))</f>
        <v>5</v>
      </c>
      <c r="I993" s="50" t="n">
        <f aca="false">H993*G993</f>
        <v>73.25</v>
      </c>
      <c r="J993" s="50" t="n">
        <f aca="false">BT993*Parameter!$B$18</f>
        <v>6</v>
      </c>
      <c r="K993" s="51" t="n">
        <v>8</v>
      </c>
      <c r="L993" s="52" t="n">
        <v>0.75</v>
      </c>
      <c r="M993" s="50" t="n">
        <v>0</v>
      </c>
      <c r="N993" s="50" t="n">
        <v>5</v>
      </c>
      <c r="O993" s="53" t="n">
        <v>14</v>
      </c>
      <c r="P993" s="48" t="s">
        <v>430</v>
      </c>
      <c r="Q993" s="50" t="n">
        <v>19</v>
      </c>
      <c r="R993" s="53" t="n">
        <f aca="false">IF(BZ993=1,0,IFERROR(VLOOKUP(BX993,'Gebinde-Kategorie'!$A$5:$N$45,13,0)+0,0))</f>
        <v>104</v>
      </c>
      <c r="S993" s="54"/>
      <c r="T993" s="55"/>
      <c r="U993" s="55"/>
      <c r="V993" s="55"/>
      <c r="W993" s="48"/>
      <c r="X993" s="50"/>
      <c r="Y993" s="50"/>
      <c r="Z993" s="48" t="n">
        <f aca="false">IF(A993="","",IF(AND(Parameter!$B$21="Ja",ISNUMBER(W993)),W993,IF(CC993="2+3",IF(ISNUMBER(SEARCH("grosser Artikel",BU993)),2,IFERROR(VLOOKUP(BX993,Parameter!$F$35:$G$64,2,0),2)),IF(OR(CC993="Nein",CC993=""),"-",CC993))))</f>
        <v>3</v>
      </c>
      <c r="AA993" s="55"/>
      <c r="AB993" s="56"/>
      <c r="AC993" s="50" t="n">
        <f aca="false">AV993</f>
        <v>5</v>
      </c>
      <c r="AD993" s="50" t="n">
        <f aca="false">MAX(AV993,H993)</f>
        <v>5</v>
      </c>
      <c r="AE993" s="57"/>
      <c r="AF993" s="50" t="n">
        <f aca="false">IF(LEFT(Cockpit!$C$5,1)="A",H993,IF(Parameter!$E$30="MAX-Bestand",IF(CH993=1,CI993,IF(LEFT(Cockpit!$C$5,1)="B",AL993,MAX(AL993,H993))),ROUNDUP(AJ993,0)))</f>
        <v>5</v>
      </c>
      <c r="AG993" s="50" t="n">
        <f aca="false">IF(BZ993=1,0,ROUNDUP(AF993/BY993,0))</f>
        <v>1</v>
      </c>
      <c r="AH993" s="52" t="n">
        <f aca="false">IF(CQ993&gt;0,CQ993*MAX(1,AF993/X993),IF(BZ993=1,IF(AF993&lt;=0,0,CD993*MAX(1,IF(H993&gt;0,AF993/H993,1))),IF(R993&gt;0,AG993/R993,0))/MAX(0.1,N(Parameter!$M$21)))</f>
        <v>0.00961538461538462</v>
      </c>
      <c r="AI993" s="50" t="n">
        <f aca="false">AH993*CB993</f>
        <v>1.49038461538462</v>
      </c>
      <c r="AJ993" s="51" t="n">
        <f aca="false">IF(LEFT(Cockpit!$C$5,1)="A",H993,IF(CH993=1,(CK993+CI993)/2,IF(LEFT(Cockpit!$C$5,1)="B",(CK993+AL993)/2,MAX((CK993+AL993)/2,H993))))</f>
        <v>5</v>
      </c>
      <c r="AK993" s="50" t="n">
        <f aca="false">AJ993*G993</f>
        <v>73.25</v>
      </c>
      <c r="AL993" s="50" t="n">
        <f aca="false">ROUNDUP(CK993+MAX(CL993,2*(J993/IF(CG993&gt;0,CG993,MAX(0.1,N(Cockpit!$C$6)))-CK993)),0)</f>
        <v>5</v>
      </c>
      <c r="AM993" s="51" t="n">
        <f aca="false">IF(AI993&gt;0,J993/AI993,-1)</f>
        <v>4.0258064516129</v>
      </c>
      <c r="AN993" s="51" t="n">
        <f aca="false">IF(AND(OR(CF993="L1",CF993="L23",CF993="LIFT"),AI993&gt;0),SUMIFS($AI$7:$AI$1843,$CF$7:$CF$1843,CF993,$AM$7:$AM$1843,"&gt;"&amp;AM993)+SUMIFS($AI$7:$AI$1843,$CF$7:$CF$1843,CF993,$AM$7:$AM$1843,AM993,$BW$7:$BW$1843,"&lt;="&amp;BW993),"")</f>
        <v>4355.70833333333</v>
      </c>
      <c r="AO993" s="58" t="n">
        <f aca="false">IF(AN993="",0,MAX(0,MIN(1,(IF(CF993="L1",Parameter!$H$5,IF(CF993="L23",Parameter!$H$6+Parameter!$H$7,Parameter!$H$5+Parameter!$H$6+Parameter!$H$7))-(AN993-AI993))/AI993)))</f>
        <v>1</v>
      </c>
      <c r="AP993" s="50" t="n">
        <f aca="false">IF(LEFT(Cockpit!$I$5,1)="A",H993,IF(Parameter!$E$30="MAX-Bestand",IF(CH993=1,CI993,IF(LEFT(Cockpit!$I$5,1)="B",AV993,MAX(AV993,H993))),ROUNDUP(AT993,0)))</f>
        <v>5</v>
      </c>
      <c r="AQ993" s="50" t="n">
        <f aca="false">IF(BZ993=1,0,ROUNDUP(AP993/BY993,0))</f>
        <v>1</v>
      </c>
      <c r="AR993" s="52" t="n">
        <f aca="false">IF(CQ993&gt;0,CQ993*MAX(1,AP993/X993),IF(BZ993=1,IF(AP993&lt;=0,0,CD993*MAX(1,IF(H993&gt;0,AP993/H993,1))),IF(R993&gt;0,AQ993/R993,0))/MAX(0.1,N(Parameter!$M$21)))</f>
        <v>0.00961538461538462</v>
      </c>
      <c r="AS993" s="50" t="n">
        <f aca="false">AR993*CB993</f>
        <v>1.49038461538462</v>
      </c>
      <c r="AT993" s="51" t="n">
        <f aca="false">IF(LEFT(Cockpit!$I$5,1)="A",H993,IF(CH993=1,(CK993+CI993)/2,IF(LEFT(Cockpit!$I$5,1)="B",(CK993+AV993)/2,MAX((CK993+AV993)/2,H993))))</f>
        <v>5</v>
      </c>
      <c r="AU993" s="50" t="n">
        <f aca="false">AT993*G993</f>
        <v>73.25</v>
      </c>
      <c r="AV993" s="50" t="n">
        <f aca="false">ROUNDUP(CK993+MAX(CL993,2*(J993/IF(CG993&gt;0,CG993,MAX(0.1,N(Cockpit!$I$6)))-CK993)),0)</f>
        <v>5</v>
      </c>
      <c r="AW993" s="51" t="n">
        <f aca="false">IF(AS993&gt;0,J993/AS993,-1)</f>
        <v>4.0258064516129</v>
      </c>
      <c r="AX993" s="51" t="n">
        <f aca="false">IF(AND(OR(CF993="L1",CF993="L23",CF993="LIFT"),AS993&gt;0),SUMIFS($AS$7:$AS$1843,$CF$7:$CF$1843,CF993,$AW$7:$AW$1843,"&gt;"&amp;AW993)+SUMIFS($AS$7:$AS$1843,$CF$7:$CF$1843,CF993,$AW$7:$AW$1843,AW993,$BW$7:$BW$1843,"&lt;="&amp;BW993),"")</f>
        <v>4964.70558608059</v>
      </c>
      <c r="AY993" s="58" t="n">
        <f aca="false">IF(AX993="",0,MAX(0,MIN(1,(IF(CF993="L1",Parameter!$H$5,IF(CF993="L23",Parameter!$H$6+Parameter!$H$7,Parameter!$H$5+Parameter!$H$6+Parameter!$H$7))-(AX993-AS993))/AS993)))</f>
        <v>1</v>
      </c>
      <c r="AZ993" s="50" t="n">
        <f aca="false">IF(LEFT(Cockpit!$O$5,1)="A",H993,IF(Parameter!$E$30="MAX-Bestand",IF(CH993=1,CI993,IF(LEFT(Cockpit!$O$5,1)="B",BF993,MAX(BF993,H993))),ROUNDUP(BD993,0)))</f>
        <v>3</v>
      </c>
      <c r="BA993" s="50" t="n">
        <f aca="false">IF(BZ993=1,0,ROUNDUP(AZ993/BY993,0))</f>
        <v>1</v>
      </c>
      <c r="BB993" s="52" t="n">
        <f aca="false">IF(CQ993&gt;0,CQ993*MAX(1,AZ993/X993),IF(BZ993=1,IF(AZ993&lt;=0,0,CD993*MAX(1,IF(H993&gt;0,AZ993/H993,1))),IF(R993&gt;0,BA993/R993,0))/MAX(0.1,N(Parameter!$M$21)))</f>
        <v>0.00961538461538462</v>
      </c>
      <c r="BC993" s="50" t="n">
        <f aca="false">BB993*CB993</f>
        <v>1.49038461538462</v>
      </c>
      <c r="BD993" s="51" t="n">
        <f aca="false">IF(LEFT(Cockpit!$O$5,1)="A",H993,IF(CH993=1,(CK993+CI993)/2,IF(LEFT(Cockpit!$O$5,1)="B",(CK993+BF993)/2,MAX((CK993+BF993)/2,H993))))</f>
        <v>2.5</v>
      </c>
      <c r="BE993" s="50" t="n">
        <f aca="false">BD993*G993</f>
        <v>36.625</v>
      </c>
      <c r="BF993" s="50" t="n">
        <f aca="false">ROUNDUP(CK993+MAX(CL993,2*(J993/IF(CG993&gt;0,CG993,MAX(0.1,N(Cockpit!$O$6)))-CK993)),0)</f>
        <v>5</v>
      </c>
      <c r="BG993" s="51" t="n">
        <f aca="false">IF(BC993&gt;0,J993/BC993,-1)</f>
        <v>4.0258064516129</v>
      </c>
      <c r="BH993" s="51" t="n">
        <f aca="false">IF(AND(OR(CF993="L1",CF993="L23",CF993="LIFT"),BC993&gt;0),SUMIFS($BC$7:$BC$1843,$CF$7:$CF$1843,CF993,$BG$7:$BG$1843,"&gt;"&amp;BG993)+SUMIFS($BC$7:$BC$1843,$CF$7:$CF$1843,CF993,$BG$7:$BG$1843,BG993,$BW$7:$BW$1843,"&lt;="&amp;BW993),"")</f>
        <v>4076.31456043956</v>
      </c>
      <c r="BI993" s="58" t="n">
        <f aca="false">IF(BH993="",0,MAX(0,MIN(1,(IF(CF993="L1",Parameter!$H$5,IF(CF993="L23",Parameter!$H$6+Parameter!$H$7,Parameter!$H$5+Parameter!$H$6+Parameter!$H$7))-(BH993-BC993))/BC993)))</f>
        <v>1</v>
      </c>
      <c r="BJ993" s="48" t="str">
        <f aca="false">IF(AI993&lt;=0,"",IF(CF993="Aussen","Aussenlager",IF(CF993="-","Nicht im Lift",IF(AO993&gt;=1,"Lift",IF(AO993&lt;=0,"Aussenlager","teilweise")))))</f>
        <v>Lift</v>
      </c>
      <c r="BK993" s="48" t="str">
        <f aca="false">IF(AS993&lt;=0,"",IF(CF993="Aussen","Aussenlager",IF(CF993="-","Nicht im Lift",IF(AY993&gt;=1,"Lift",IF(AY993&lt;=0,"Aussenlager","teilweise")))))</f>
        <v>Lift</v>
      </c>
      <c r="BL993" s="48" t="str">
        <f aca="false">IF(BC993&lt;=0,"",IF(CF993="Aussen","Aussenlager",IF(CF993="-","Nicht im Lift",IF(BI993&gt;=1,"Lift",IF(BI993&lt;=0,"Aussenlager","teilweise")))))</f>
        <v>Lift</v>
      </c>
      <c r="BM993" s="48" t="str">
        <f aca="false">IF(A993="","",IF(BV993=1,"Neu; ","")&amp;IF(AND(BV993=0,BQ993&lt;0),"negativer Bestand (Export "&amp;BQ993&amp;"); ","")&amp;IF(J993&lt;=0,"Kein Verbrauch; ","")&amp;IF(CQ993&gt;0,"Lift "&amp;W993&amp;" lt. Liftbericht (Fach "&amp;X993&amp;" Stk); ",IF(CA993=1,"Gebinde geschätzt ("&amp;T993&amp;"); ",IF(BZ993=1,"Lose – Tablare geschätzt; ","")))&amp;IF(H993&gt;AV993,"Überbestand "&amp;ROUND(H993-AV993,0)&amp;" Stk / CHF "&amp;ROUND((H993-AV993)*G993,0)&amp;"; ","")&amp;IF(AND(CH993=1,CI993&lt;CJ993),"MAX &lt; MB+LG; ","")&amp;IF(AND(CP993&gt;0,CO993*10&gt;CP993),"zu hoch für Tablar; ","")&amp;IF(AND(BV993=0,OR(CH993=1,AA993&lt;&gt;"",U993&lt;&gt;"",V993&lt;&gt;"",AB993&lt;&gt;"")),"manuell übersteuert; ","")&amp;IF(AND(BZ993=0,R993=0),"Gebinde unbekannt / Stellmass fehlt; ","")&amp;IF(AND(BZ993=0,N(V993)&lt;=0,N(Q993)&lt;=0),"Menge pro Gebinde fehlt (Ist = 1 Gebinde); ","")&amp;BU993)</f>
        <v>negativer Bestand (Export -6); </v>
      </c>
      <c r="BN993" s="48"/>
      <c r="BO993" s="48"/>
      <c r="BP993" s="55"/>
      <c r="BQ993" s="50" t="n">
        <v>-6</v>
      </c>
      <c r="BR993" s="50" t="n">
        <v>11</v>
      </c>
      <c r="BS993" s="49" t="n">
        <v>-87.9</v>
      </c>
      <c r="BT993" s="50" t="n">
        <v>6</v>
      </c>
      <c r="BU993" s="48"/>
      <c r="BV993" s="53" t="n">
        <v>0</v>
      </c>
      <c r="BW993" s="53" t="n">
        <v>993</v>
      </c>
      <c r="BX993" s="48" t="str">
        <f aca="false">IF(U993&lt;&gt;"",UPPER(TRIM(U993)),IF(CA993=1,UPPER(VLOOKUP(T993,Parameter!$I$27:$K$29,2,0)),IF(P993="","LOSE",P993)))</f>
        <v>S32</v>
      </c>
      <c r="BY993" s="50" t="n">
        <f aca="false">IF(BX993="LOSE",1,IF(N(V993)&gt;0,V993,IF(CA993=1,MAX(1,N(VLOOKUP(T993,Parameter!$I$27:$K$29,3,0)),H993,N(N993)),IF(N(Q993)&gt;0,Q993,MAX(1,H993)))))</f>
        <v>19</v>
      </c>
      <c r="BZ993" s="53" t="n">
        <f aca="false">IF(BX993="LOSE",1,0)</f>
        <v>0</v>
      </c>
      <c r="CA993" s="53" t="n">
        <f aca="false">IF(AND(U993="",OR(P993="",P993="LOSE"),T993&lt;&gt;"",N(S993)&lt;=0,ISNUMBER(MATCH(T993,Parameter!$I$27:$I$29,0))),1,0)</f>
        <v>0</v>
      </c>
      <c r="CB993" s="53" t="n">
        <f aca="false">IF(CQ993&gt;0,INDEX(Parameter!$H$5:$H$7,W993)/INDEX(Parameter!$E$5:$E$7,W993),IF(AND(BZ993=0,N(IFERROR(VLOOKUP(BX993,'Gebinde-Kategorie'!$A$5:$N$45,14,0),0))&gt;0),VLOOKUP(BX993,'Gebinde-Kategorie'!$A$5:$N$45,14,0)*10+Parameter!$M$23,Parameter!$M$24))</f>
        <v>155</v>
      </c>
      <c r="CC993" s="48" t="str">
        <f aca="false">IF(AND(Parameter!$B$19="Ja",E993&lt;&gt;"",ISNUMBER(MATCH(E993,Parameter!$I$35:$I$52,0))),VLOOKUP(E993,Parameter!$I$35:$J$52,2,0),IFERROR(VLOOKUP(D993,Parameter!$A$35:$C$64,2,0),"Nein"))</f>
        <v>2+3</v>
      </c>
      <c r="CD993" s="52" t="n">
        <f aca="false">IF(BZ993=0,0,IF(N(S993)&gt;0,S993,IFERROR(VLOOKUP(D993,Parameter!$A$35:$C$64,3,0)+0,0)))</f>
        <v>0</v>
      </c>
      <c r="CE993" s="48" t="n">
        <f aca="false">IF(AA993&lt;&gt;"",AA993,Z993)</f>
        <v>3</v>
      </c>
      <c r="CF993" s="48" t="str">
        <f aca="false">IF(OR(CE993=1,CE993=2,CE993=3),IF(Parameter!$E$27="Ja","LIFT",IF(CE993=1,"L1","L23")),IF(CE993="Aussen","Aussen","-"))</f>
        <v>LIFT</v>
      </c>
      <c r="CG993" s="59" t="n">
        <f aca="false">IF(N(AB993)&gt;0,AB993,0)</f>
        <v>0</v>
      </c>
      <c r="CH993" s="53" t="n">
        <f aca="false">IF(ISNUMBER(AE993),1,0)</f>
        <v>0</v>
      </c>
      <c r="CI993" s="50" t="n">
        <f aca="false">N(AE993)</f>
        <v>0</v>
      </c>
      <c r="CJ993" s="50" t="n">
        <f aca="false">N(M993)+N(N993)</f>
        <v>5</v>
      </c>
      <c r="CK993" s="50" t="n">
        <f aca="false">N(M993)</f>
        <v>0</v>
      </c>
      <c r="CL993" s="50" t="n">
        <f aca="false">N(N993)</f>
        <v>5</v>
      </c>
      <c r="CM993" s="50" t="n">
        <f aca="false">ROUNDUP(H993/BY993,0)</f>
        <v>1</v>
      </c>
      <c r="CN993" s="50" t="n">
        <f aca="false">ROUNDUP(CI993/BY993,0)</f>
        <v>0</v>
      </c>
      <c r="CO993" s="53" t="n">
        <f aca="false">IF(BZ993=1,0,IFERROR(VLOOKUP(BX993,'Gebinde-Kategorie'!$A$5:$N$45,5,0)+0,0))</f>
        <v>8</v>
      </c>
      <c r="CP993" s="53" t="n">
        <f aca="false">IFERROR(IF(OR(CE993=1,CE993=2,CE993=3),N(INDEX(Parameter!$I$5:$I$7,CE993)),0),0)</f>
        <v>0</v>
      </c>
      <c r="CQ993" s="52" t="n">
        <f aca="false">IF(AND(Parameter!$B$21="Ja",ISNUMBER(W993),N(X993)&gt;0),IFERROR(N(INDEX(Parameter!$L$5:$L$7,W993))*INDEX(Parameter!$E$5:$E$7,W993)*X993/SUMIFS($X$7:$X$1843,$W$7:$W$1843,W993),0),0)</f>
        <v>0</v>
      </c>
    </row>
    <row r="994" customFormat="false" ht="15" hidden="false" customHeight="false" outlineLevel="0" collapsed="false">
      <c r="A994" s="48" t="s">
        <v>1845</v>
      </c>
      <c r="B994" s="48" t="s">
        <v>1846</v>
      </c>
      <c r="C994" s="48" t="s">
        <v>173</v>
      </c>
      <c r="D994" s="48" t="s">
        <v>193</v>
      </c>
      <c r="E994" s="48" t="s">
        <v>194</v>
      </c>
      <c r="F994" s="48" t="s">
        <v>227</v>
      </c>
      <c r="G994" s="49" t="n">
        <v>3.58</v>
      </c>
      <c r="H994" s="50" t="n">
        <f aca="false">MAX(0,IF(AND(Parameter!$B$21="Ja",ISNUMBER(Y994)),Y994,IF(Parameter!$B$20="Jahresanfang 2025 + Export",BR994+BQ994,BQ994)))</f>
        <v>0</v>
      </c>
      <c r="I994" s="50" t="n">
        <f aca="false">H994*G994</f>
        <v>0</v>
      </c>
      <c r="J994" s="50" t="n">
        <f aca="false">BT994*Parameter!$B$18</f>
        <v>0</v>
      </c>
      <c r="K994" s="51" t="n">
        <v>45</v>
      </c>
      <c r="L994" s="52" t="n">
        <v>0</v>
      </c>
      <c r="M994" s="50" t="n">
        <v>0</v>
      </c>
      <c r="N994" s="50" t="n">
        <v>1</v>
      </c>
      <c r="O994" s="53" t="n">
        <v>21</v>
      </c>
      <c r="P994" s="48" t="s">
        <v>485</v>
      </c>
      <c r="Q994" s="50" t="n">
        <v>71</v>
      </c>
      <c r="R994" s="53" t="n">
        <f aca="false">IF(BZ994=1,0,IFERROR(VLOOKUP(BX994,'Gebinde-Kategorie'!$A$5:$N$45,13,0)+0,0))</f>
        <v>52</v>
      </c>
      <c r="S994" s="54"/>
      <c r="T994" s="55"/>
      <c r="U994" s="55"/>
      <c r="V994" s="55"/>
      <c r="W994" s="48"/>
      <c r="X994" s="50"/>
      <c r="Y994" s="50"/>
      <c r="Z994" s="48" t="n">
        <f aca="false">IF(A994="","",IF(AND(Parameter!$B$21="Ja",ISNUMBER(W994)),W994,IF(CC994="2+3",IF(ISNUMBER(SEARCH("grosser Artikel",BU994)),2,IFERROR(VLOOKUP(BX994,Parameter!$F$35:$G$64,2,0),2)),IF(OR(CC994="Nein",CC994=""),"-",CC994))))</f>
        <v>3</v>
      </c>
      <c r="AA994" s="55"/>
      <c r="AB994" s="56"/>
      <c r="AC994" s="50" t="n">
        <f aca="false">AV994</f>
        <v>1</v>
      </c>
      <c r="AD994" s="50" t="n">
        <f aca="false">MAX(AV994,H994)</f>
        <v>1</v>
      </c>
      <c r="AE994" s="57"/>
      <c r="AF994" s="50" t="n">
        <f aca="false">IF(LEFT(Cockpit!$C$5,1)="A",H994,IF(Parameter!$E$30="MAX-Bestand",IF(CH994=1,CI994,IF(LEFT(Cockpit!$C$5,1)="B",AL994,MAX(AL994,H994))),ROUNDUP(AJ994,0)))</f>
        <v>0</v>
      </c>
      <c r="AG994" s="50" t="n">
        <f aca="false">IF(BZ994=1,0,ROUNDUP(AF994/BY994,0))</f>
        <v>0</v>
      </c>
      <c r="AH994" s="52" t="n">
        <f aca="false">IF(CQ994&gt;0,CQ994*MAX(1,AF994/X994),IF(BZ994=1,IF(AF994&lt;=0,0,CD994*MAX(1,IF(H994&gt;0,AF994/H994,1))),IF(R994&gt;0,AG994/R994,0))/MAX(0.1,N(Parameter!$M$21)))</f>
        <v>0</v>
      </c>
      <c r="AI994" s="50" t="n">
        <f aca="false">AH994*CB994</f>
        <v>0</v>
      </c>
      <c r="AJ994" s="51" t="n">
        <f aca="false">IF(LEFT(Cockpit!$C$5,1)="A",H994,IF(CH994=1,(CK994+CI994)/2,IF(LEFT(Cockpit!$C$5,1)="B",(CK994+AL994)/2,MAX((CK994+AL994)/2,H994))))</f>
        <v>0</v>
      </c>
      <c r="AK994" s="50" t="n">
        <f aca="false">AJ994*G994</f>
        <v>0</v>
      </c>
      <c r="AL994" s="50" t="n">
        <f aca="false">ROUNDUP(CK994+MAX(CL994,2*(J994/IF(CG994&gt;0,CG994,MAX(0.1,N(Cockpit!$C$6)))-CK994)),0)</f>
        <v>1</v>
      </c>
      <c r="AM994" s="51" t="n">
        <f aca="false">IF(AI994&gt;0,J994/AI994,-1)</f>
        <v>-1</v>
      </c>
      <c r="AN994" s="51" t="str">
        <f aca="false">IF(AND(OR(CF994="L1",CF994="L23",CF994="LIFT"),AI994&gt;0),SUMIFS($AI$7:$AI$1843,$CF$7:$CF$1843,CF994,$AM$7:$AM$1843,"&gt;"&amp;AM994)+SUMIFS($AI$7:$AI$1843,$CF$7:$CF$1843,CF994,$AM$7:$AM$1843,AM994,$BW$7:$BW$1843,"&lt;="&amp;BW994),"")</f>
        <v/>
      </c>
      <c r="AO994" s="58" t="n">
        <f aca="false">IF(AN994="",0,MAX(0,MIN(1,(IF(CF994="L1",Parameter!$H$5,IF(CF994="L23",Parameter!$H$6+Parameter!$H$7,Parameter!$H$5+Parameter!$H$6+Parameter!$H$7))-(AN994-AI994))/AI994)))</f>
        <v>0</v>
      </c>
      <c r="AP994" s="50" t="n">
        <f aca="false">IF(LEFT(Cockpit!$I$5,1)="A",H994,IF(Parameter!$E$30="MAX-Bestand",IF(CH994=1,CI994,IF(LEFT(Cockpit!$I$5,1)="B",AV994,MAX(AV994,H994))),ROUNDUP(AT994,0)))</f>
        <v>1</v>
      </c>
      <c r="AQ994" s="50" t="n">
        <f aca="false">IF(BZ994=1,0,ROUNDUP(AP994/BY994,0))</f>
        <v>1</v>
      </c>
      <c r="AR994" s="52" t="n">
        <f aca="false">IF(CQ994&gt;0,CQ994*MAX(1,AP994/X994),IF(BZ994=1,IF(AP994&lt;=0,0,CD994*MAX(1,IF(H994&gt;0,AP994/H994,1))),IF(R994&gt;0,AQ994/R994,0))/MAX(0.1,N(Parameter!$M$21)))</f>
        <v>0.0192307692307692</v>
      </c>
      <c r="AS994" s="50" t="n">
        <f aca="false">AR994*CB994</f>
        <v>2.98076923076923</v>
      </c>
      <c r="AT994" s="51" t="n">
        <f aca="false">IF(LEFT(Cockpit!$I$5,1)="A",H994,IF(CH994=1,(CK994+CI994)/2,IF(LEFT(Cockpit!$I$5,1)="B",(CK994+AV994)/2,MAX((CK994+AV994)/2,H994))))</f>
        <v>0.5</v>
      </c>
      <c r="AU994" s="50" t="n">
        <f aca="false">AT994*G994</f>
        <v>1.79</v>
      </c>
      <c r="AV994" s="50" t="n">
        <f aca="false">ROUNDUP(CK994+MAX(CL994,2*(J994/IF(CG994&gt;0,CG994,MAX(0.1,N(Cockpit!$I$6)))-CK994)),0)</f>
        <v>1</v>
      </c>
      <c r="AW994" s="51" t="n">
        <f aca="false">IF(AS994&gt;0,J994/AS994,-1)</f>
        <v>0</v>
      </c>
      <c r="AX994" s="51" t="n">
        <f aca="false">IF(AND(OR(CF994="L1",CF994="L23",CF994="LIFT"),AS994&gt;0),SUMIFS($AS$7:$AS$1843,$CF$7:$CF$1843,CF994,$AW$7:$AW$1843,"&gt;"&amp;AW994)+SUMIFS($AS$7:$AS$1843,$CF$7:$CF$1843,CF994,$AW$7:$AW$1843,AW994,$BW$7:$BW$1843,"&lt;="&amp;BW994),"")</f>
        <v>34610.9835164835</v>
      </c>
      <c r="AY994" s="58" t="n">
        <f aca="false">IF(AX994="",0,MAX(0,MIN(1,(IF(CF994="L1",Parameter!$H$5,IF(CF994="L23",Parameter!$H$6+Parameter!$H$7,Parameter!$H$5+Parameter!$H$6+Parameter!$H$7))-(AX994-AS994))/AS994)))</f>
        <v>1</v>
      </c>
      <c r="AZ994" s="50" t="n">
        <f aca="false">IF(LEFT(Cockpit!$O$5,1)="A",H994,IF(Parameter!$E$30="MAX-Bestand",IF(CH994=1,CI994,IF(LEFT(Cockpit!$O$5,1)="B",BF994,MAX(BF994,H994))),ROUNDUP(BD994,0)))</f>
        <v>1</v>
      </c>
      <c r="BA994" s="50" t="n">
        <f aca="false">IF(BZ994=1,0,ROUNDUP(AZ994/BY994,0))</f>
        <v>1</v>
      </c>
      <c r="BB994" s="52" t="n">
        <f aca="false">IF(CQ994&gt;0,CQ994*MAX(1,AZ994/X994),IF(BZ994=1,IF(AZ994&lt;=0,0,CD994*MAX(1,IF(H994&gt;0,AZ994/H994,1))),IF(R994&gt;0,BA994/R994,0))/MAX(0.1,N(Parameter!$M$21)))</f>
        <v>0.0192307692307692</v>
      </c>
      <c r="BC994" s="50" t="n">
        <f aca="false">BB994*CB994</f>
        <v>2.98076923076923</v>
      </c>
      <c r="BD994" s="51" t="n">
        <f aca="false">IF(LEFT(Cockpit!$O$5,1)="A",H994,IF(CH994=1,(CK994+CI994)/2,IF(LEFT(Cockpit!$O$5,1)="B",(CK994+BF994)/2,MAX((CK994+BF994)/2,H994))))</f>
        <v>0.5</v>
      </c>
      <c r="BE994" s="50" t="n">
        <f aca="false">BD994*G994</f>
        <v>1.79</v>
      </c>
      <c r="BF994" s="50" t="n">
        <f aca="false">ROUNDUP(CK994+MAX(CL994,2*(J994/IF(CG994&gt;0,CG994,MAX(0.1,N(Cockpit!$O$6)))-CK994)),0)</f>
        <v>1</v>
      </c>
      <c r="BG994" s="51" t="n">
        <f aca="false">IF(BC994&gt;0,J994/BC994,-1)</f>
        <v>0</v>
      </c>
      <c r="BH994" s="51" t="n">
        <f aca="false">IF(AND(OR(CF994="L1",CF994="L23",CF994="LIFT"),BC994&gt;0),SUMIFS($BC$7:$BC$1843,$CF$7:$CF$1843,CF994,$BG$7:$BG$1843,"&gt;"&amp;BG994)+SUMIFS($BC$7:$BC$1843,$CF$7:$CF$1843,CF994,$BG$7:$BG$1843,BG994,$BW$7:$BW$1843,"&lt;="&amp;BW994),"")</f>
        <v>28635.5209458621</v>
      </c>
      <c r="BI994" s="58" t="n">
        <f aca="false">IF(BH994="",0,MAX(0,MIN(1,(IF(CF994="L1",Parameter!$H$5,IF(CF994="L23",Parameter!$H$6+Parameter!$H$7,Parameter!$H$5+Parameter!$H$6+Parameter!$H$7))-(BH994-BC994))/BC994)))</f>
        <v>1</v>
      </c>
      <c r="BJ994" s="48" t="str">
        <f aca="false">IF(AI994&lt;=0,"",IF(CF994="Aussen","Aussenlager",IF(CF994="-","Nicht im Lift",IF(AO994&gt;=1,"Lift",IF(AO994&lt;=0,"Aussenlager","teilweise")))))</f>
        <v/>
      </c>
      <c r="BK994" s="48" t="str">
        <f aca="false">IF(AS994&lt;=0,"",IF(CF994="Aussen","Aussenlager",IF(CF994="-","Nicht im Lift",IF(AY994&gt;=1,"Lift",IF(AY994&lt;=0,"Aussenlager","teilweise")))))</f>
        <v>Lift</v>
      </c>
      <c r="BL994" s="48" t="str">
        <f aca="false">IF(BC994&lt;=0,"",IF(CF994="Aussen","Aussenlager",IF(CF994="-","Nicht im Lift",IF(BI994&gt;=1,"Lift",IF(BI994&lt;=0,"Aussenlager","teilweise")))))</f>
        <v>Lift</v>
      </c>
      <c r="BM994" s="48" t="str">
        <f aca="false">IF(A994="","",IF(BV994=1,"Neu; ","")&amp;IF(AND(BV994=0,BQ994&lt;0),"negativer Bestand (Export "&amp;BQ994&amp;"); ","")&amp;IF(J994&lt;=0,"Kein Verbrauch; ","")&amp;IF(CQ994&gt;0,"Lift "&amp;W994&amp;" lt. Liftbericht (Fach "&amp;X994&amp;" Stk); ",IF(CA994=1,"Gebinde geschätzt ("&amp;T994&amp;"); ",IF(BZ994=1,"Lose – Tablare geschätzt; ","")))&amp;IF(H994&gt;AV994,"Überbestand "&amp;ROUND(H994-AV994,0)&amp;" Stk / CHF "&amp;ROUND((H994-AV994)*G994,0)&amp;"; ","")&amp;IF(AND(CH994=1,CI994&lt;CJ994),"MAX &lt; MB+LG; ","")&amp;IF(AND(CP994&gt;0,CO994*10&gt;CP994),"zu hoch für Tablar; ","")&amp;IF(AND(BV994=0,OR(CH994=1,AA994&lt;&gt;"",U994&lt;&gt;"",V994&lt;&gt;"",AB994&lt;&gt;"")),"manuell übersteuert; ","")&amp;IF(AND(BZ994=0,R994=0),"Gebinde unbekannt / Stellmass fehlt; ","")&amp;IF(AND(BZ994=0,N(V994)&lt;=0,N(Q994)&lt;=0),"Menge pro Gebinde fehlt (Ist = 1 Gebinde); ","")&amp;BU994)</f>
        <v>negativer Bestand (Export -60); Kein Verbrauch; Überbestand</v>
      </c>
      <c r="BN994" s="48"/>
      <c r="BO994" s="48"/>
      <c r="BP994" s="55"/>
      <c r="BQ994" s="50" t="n">
        <v>-60</v>
      </c>
      <c r="BR994" s="50" t="n">
        <v>60</v>
      </c>
      <c r="BS994" s="49" t="n">
        <v>-88.2</v>
      </c>
      <c r="BT994" s="50" t="n">
        <v>0</v>
      </c>
      <c r="BU994" s="48" t="s">
        <v>401</v>
      </c>
      <c r="BV994" s="53" t="n">
        <v>0</v>
      </c>
      <c r="BW994" s="53" t="n">
        <v>994</v>
      </c>
      <c r="BX994" s="48" t="str">
        <f aca="false">IF(U994&lt;&gt;"",UPPER(TRIM(U994)),IF(CA994=1,UPPER(VLOOKUP(T994,Parameter!$I$27:$K$29,2,0)),IF(P994="","LOSE",P994)))</f>
        <v>S33</v>
      </c>
      <c r="BY994" s="50" t="n">
        <f aca="false">IF(BX994="LOSE",1,IF(N(V994)&gt;0,V994,IF(CA994=1,MAX(1,N(VLOOKUP(T994,Parameter!$I$27:$K$29,3,0)),H994,N(N994)),IF(N(Q994)&gt;0,Q994,MAX(1,H994)))))</f>
        <v>71</v>
      </c>
      <c r="BZ994" s="53" t="n">
        <f aca="false">IF(BX994="LOSE",1,0)</f>
        <v>0</v>
      </c>
      <c r="CA994" s="53" t="n">
        <f aca="false">IF(AND(U994="",OR(P994="",P994="LOSE"),T994&lt;&gt;"",N(S994)&lt;=0,ISNUMBER(MATCH(T994,Parameter!$I$27:$I$29,0))),1,0)</f>
        <v>0</v>
      </c>
      <c r="CB994" s="53" t="n">
        <f aca="false">IF(CQ994&gt;0,INDEX(Parameter!$H$5:$H$7,W994)/INDEX(Parameter!$E$5:$E$7,W994),IF(AND(BZ994=0,N(IFERROR(VLOOKUP(BX994,'Gebinde-Kategorie'!$A$5:$N$45,14,0),0))&gt;0),VLOOKUP(BX994,'Gebinde-Kategorie'!$A$5:$N$45,14,0)*10+Parameter!$M$23,Parameter!$M$24))</f>
        <v>155</v>
      </c>
      <c r="CC994" s="48" t="str">
        <f aca="false">IF(AND(Parameter!$B$19="Ja",E994&lt;&gt;"",ISNUMBER(MATCH(E994,Parameter!$I$35:$I$52,0))),VLOOKUP(E994,Parameter!$I$35:$J$52,2,0),IFERROR(VLOOKUP(D994,Parameter!$A$35:$C$64,2,0),"Nein"))</f>
        <v>2+3</v>
      </c>
      <c r="CD994" s="52" t="n">
        <f aca="false">IF(BZ994=0,0,IF(N(S994)&gt;0,S994,IFERROR(VLOOKUP(D994,Parameter!$A$35:$C$64,3,0)+0,0)))</f>
        <v>0</v>
      </c>
      <c r="CE994" s="48" t="n">
        <f aca="false">IF(AA994&lt;&gt;"",AA994,Z994)</f>
        <v>3</v>
      </c>
      <c r="CF994" s="48" t="str">
        <f aca="false">IF(OR(CE994=1,CE994=2,CE994=3),IF(Parameter!$E$27="Ja","LIFT",IF(CE994=1,"L1","L23")),IF(CE994="Aussen","Aussen","-"))</f>
        <v>LIFT</v>
      </c>
      <c r="CG994" s="59" t="n">
        <f aca="false">IF(N(AB994)&gt;0,AB994,0)</f>
        <v>0</v>
      </c>
      <c r="CH994" s="53" t="n">
        <f aca="false">IF(ISNUMBER(AE994),1,0)</f>
        <v>0</v>
      </c>
      <c r="CI994" s="50" t="n">
        <f aca="false">N(AE994)</f>
        <v>0</v>
      </c>
      <c r="CJ994" s="50" t="n">
        <f aca="false">N(M994)+N(N994)</f>
        <v>1</v>
      </c>
      <c r="CK994" s="50" t="n">
        <f aca="false">N(M994)</f>
        <v>0</v>
      </c>
      <c r="CL994" s="50" t="n">
        <f aca="false">N(N994)</f>
        <v>1</v>
      </c>
      <c r="CM994" s="50" t="n">
        <f aca="false">ROUNDUP(H994/BY994,0)</f>
        <v>0</v>
      </c>
      <c r="CN994" s="50" t="n">
        <f aca="false">ROUNDUP(CI994/BY994,0)</f>
        <v>0</v>
      </c>
      <c r="CO994" s="53" t="n">
        <f aca="false">IF(BZ994=1,0,IFERROR(VLOOKUP(BX994,'Gebinde-Kategorie'!$A$5:$N$45,5,0)+0,0))</f>
        <v>8</v>
      </c>
      <c r="CP994" s="53" t="n">
        <f aca="false">IFERROR(IF(OR(CE994=1,CE994=2,CE994=3),N(INDEX(Parameter!$I$5:$I$7,CE994)),0),0)</f>
        <v>0</v>
      </c>
      <c r="CQ994" s="52" t="n">
        <f aca="false">IF(AND(Parameter!$B$21="Ja",ISNUMBER(W994),N(X994)&gt;0),IFERROR(N(INDEX(Parameter!$L$5:$L$7,W994))*INDEX(Parameter!$E$5:$E$7,W994)*X994/SUMIFS($X$7:$X$1843,$W$7:$W$1843,W994),0),0)</f>
        <v>0</v>
      </c>
    </row>
    <row r="995" customFormat="false" ht="15" hidden="false" customHeight="false" outlineLevel="0" collapsed="false">
      <c r="A995" s="48" t="s">
        <v>1847</v>
      </c>
      <c r="B995" s="48" t="s">
        <v>733</v>
      </c>
      <c r="C995" s="48" t="s">
        <v>173</v>
      </c>
      <c r="D995" s="48" t="s">
        <v>193</v>
      </c>
      <c r="E995" s="48" t="s">
        <v>194</v>
      </c>
      <c r="F995" s="48" t="s">
        <v>227</v>
      </c>
      <c r="G995" s="49" t="n">
        <v>13.01</v>
      </c>
      <c r="H995" s="50" t="n">
        <f aca="false">MAX(0,IF(AND(Parameter!$B$21="Ja",ISNUMBER(Y995)),Y995,IF(Parameter!$B$20="Jahresanfang 2025 + Export",BR995+BQ995,BQ995)))</f>
        <v>13</v>
      </c>
      <c r="I995" s="50" t="n">
        <f aca="false">H995*G995</f>
        <v>169.13</v>
      </c>
      <c r="J995" s="50" t="n">
        <f aca="false">BT995*Parameter!$B$18</f>
        <v>7</v>
      </c>
      <c r="K995" s="51" t="n">
        <v>16.5</v>
      </c>
      <c r="L995" s="52" t="n">
        <v>0.424242424242424</v>
      </c>
      <c r="M995" s="50" t="n">
        <v>0</v>
      </c>
      <c r="N995" s="50" t="n">
        <v>5</v>
      </c>
      <c r="O995" s="53" t="n">
        <v>18</v>
      </c>
      <c r="P995" s="48" t="s">
        <v>430</v>
      </c>
      <c r="Q995" s="50" t="n">
        <v>28</v>
      </c>
      <c r="R995" s="53" t="n">
        <f aca="false">IF(BZ995=1,0,IFERROR(VLOOKUP(BX995,'Gebinde-Kategorie'!$A$5:$N$45,13,0)+0,0))</f>
        <v>104</v>
      </c>
      <c r="S995" s="54"/>
      <c r="T995" s="55"/>
      <c r="U995" s="55"/>
      <c r="V995" s="55"/>
      <c r="W995" s="48"/>
      <c r="X995" s="50"/>
      <c r="Y995" s="50"/>
      <c r="Z995" s="48" t="n">
        <f aca="false">IF(A995="","",IF(AND(Parameter!$B$21="Ja",ISNUMBER(W995)),W995,IF(CC995="2+3",IF(ISNUMBER(SEARCH("grosser Artikel",BU995)),2,IFERROR(VLOOKUP(BX995,Parameter!$F$35:$G$64,2,0),2)),IF(OR(CC995="Nein",CC995=""),"-",CC995))))</f>
        <v>3</v>
      </c>
      <c r="AA995" s="55"/>
      <c r="AB995" s="56"/>
      <c r="AC995" s="50" t="n">
        <f aca="false">AV995</f>
        <v>5</v>
      </c>
      <c r="AD995" s="50" t="n">
        <f aca="false">MAX(AV995,H995)</f>
        <v>13</v>
      </c>
      <c r="AE995" s="57"/>
      <c r="AF995" s="50" t="n">
        <f aca="false">IF(LEFT(Cockpit!$C$5,1)="A",H995,IF(Parameter!$E$30="MAX-Bestand",IF(CH995=1,CI995,IF(LEFT(Cockpit!$C$5,1)="B",AL995,MAX(AL995,H995))),ROUNDUP(AJ995,0)))</f>
        <v>13</v>
      </c>
      <c r="AG995" s="50" t="n">
        <f aca="false">IF(BZ995=1,0,ROUNDUP(AF995/BY995,0))</f>
        <v>1</v>
      </c>
      <c r="AH995" s="52" t="n">
        <f aca="false">IF(CQ995&gt;0,CQ995*MAX(1,AF995/X995),IF(BZ995=1,IF(AF995&lt;=0,0,CD995*MAX(1,IF(H995&gt;0,AF995/H995,1))),IF(R995&gt;0,AG995/R995,0))/MAX(0.1,N(Parameter!$M$21)))</f>
        <v>0.00961538461538462</v>
      </c>
      <c r="AI995" s="50" t="n">
        <f aca="false">AH995*CB995</f>
        <v>1.49038461538462</v>
      </c>
      <c r="AJ995" s="51" t="n">
        <f aca="false">IF(LEFT(Cockpit!$C$5,1)="A",H995,IF(CH995=1,(CK995+CI995)/2,IF(LEFT(Cockpit!$C$5,1)="B",(CK995+AL995)/2,MAX((CK995+AL995)/2,H995))))</f>
        <v>13</v>
      </c>
      <c r="AK995" s="50" t="n">
        <f aca="false">AJ995*G995</f>
        <v>169.13</v>
      </c>
      <c r="AL995" s="50" t="n">
        <f aca="false">ROUNDUP(CK995+MAX(CL995,2*(J995/IF(CG995&gt;0,CG995,MAX(0.1,N(Cockpit!$C$6)))-CK995)),0)</f>
        <v>5</v>
      </c>
      <c r="AM995" s="51" t="n">
        <f aca="false">IF(AI995&gt;0,J995/AI995,-1)</f>
        <v>4.69677419354839</v>
      </c>
      <c r="AN995" s="51" t="n">
        <f aca="false">IF(AND(OR(CF995="L1",CF995="L23",CF995="LIFT"),AI995&gt;0),SUMIFS($AI$7:$AI$1843,$CF$7:$CF$1843,CF995,$AM$7:$AM$1843,"&gt;"&amp;AM995)+SUMIFS($AI$7:$AI$1843,$CF$7:$CF$1843,CF995,$AM$7:$AM$1843,AM995,$BW$7:$BW$1843,"&lt;="&amp;BW995),"")</f>
        <v>4118.97619047619</v>
      </c>
      <c r="AO995" s="58" t="n">
        <f aca="false">IF(AN995="",0,MAX(0,MIN(1,(IF(CF995="L1",Parameter!$H$5,IF(CF995="L23",Parameter!$H$6+Parameter!$H$7,Parameter!$H$5+Parameter!$H$6+Parameter!$H$7))-(AN995-AI995))/AI995)))</f>
        <v>1</v>
      </c>
      <c r="AP995" s="50" t="n">
        <f aca="false">IF(LEFT(Cockpit!$I$5,1)="A",H995,IF(Parameter!$E$30="MAX-Bestand",IF(CH995=1,CI995,IF(LEFT(Cockpit!$I$5,1)="B",AV995,MAX(AV995,H995))),ROUNDUP(AT995,0)))</f>
        <v>13</v>
      </c>
      <c r="AQ995" s="50" t="n">
        <f aca="false">IF(BZ995=1,0,ROUNDUP(AP995/BY995,0))</f>
        <v>1</v>
      </c>
      <c r="AR995" s="52" t="n">
        <f aca="false">IF(CQ995&gt;0,CQ995*MAX(1,AP995/X995),IF(BZ995=1,IF(AP995&lt;=0,0,CD995*MAX(1,IF(H995&gt;0,AP995/H995,1))),IF(R995&gt;0,AQ995/R995,0))/MAX(0.1,N(Parameter!$M$21)))</f>
        <v>0.00961538461538462</v>
      </c>
      <c r="AS995" s="50" t="n">
        <f aca="false">AR995*CB995</f>
        <v>1.49038461538462</v>
      </c>
      <c r="AT995" s="51" t="n">
        <f aca="false">IF(LEFT(Cockpit!$I$5,1)="A",H995,IF(CH995=1,(CK995+CI995)/2,IF(LEFT(Cockpit!$I$5,1)="B",(CK995+AV995)/2,MAX((CK995+AV995)/2,H995))))</f>
        <v>13</v>
      </c>
      <c r="AU995" s="50" t="n">
        <f aca="false">AT995*G995</f>
        <v>169.13</v>
      </c>
      <c r="AV995" s="50" t="n">
        <f aca="false">ROUNDUP(CK995+MAX(CL995,2*(J995/IF(CG995&gt;0,CG995,MAX(0.1,N(Cockpit!$I$6)))-CK995)),0)</f>
        <v>5</v>
      </c>
      <c r="AW995" s="51" t="n">
        <f aca="false">IF(AS995&gt;0,J995/AS995,-1)</f>
        <v>4.69677419354839</v>
      </c>
      <c r="AX995" s="51" t="n">
        <f aca="false">IF(AND(OR(CF995="L1",CF995="L23",CF995="LIFT"),AS995&gt;0),SUMIFS($AS$7:$AS$1843,$CF$7:$CF$1843,CF995,$AW$7:$AW$1843,"&gt;"&amp;AW995)+SUMIFS($AS$7:$AS$1843,$CF$7:$CF$1843,CF995,$AW$7:$AW$1843,AW995,$BW$7:$BW$1843,"&lt;="&amp;BW995),"")</f>
        <v>4715.21703296703</v>
      </c>
      <c r="AY995" s="58" t="n">
        <f aca="false">IF(AX995="",0,MAX(0,MIN(1,(IF(CF995="L1",Parameter!$H$5,IF(CF995="L23",Parameter!$H$6+Parameter!$H$7,Parameter!$H$5+Parameter!$H$6+Parameter!$H$7))-(AX995-AS995))/AS995)))</f>
        <v>1</v>
      </c>
      <c r="AZ995" s="50" t="n">
        <f aca="false">IF(LEFT(Cockpit!$O$5,1)="A",H995,IF(Parameter!$E$30="MAX-Bestand",IF(CH995=1,CI995,IF(LEFT(Cockpit!$O$5,1)="B",BF995,MAX(BF995,H995))),ROUNDUP(BD995,0)))</f>
        <v>3</v>
      </c>
      <c r="BA995" s="50" t="n">
        <f aca="false">IF(BZ995=1,0,ROUNDUP(AZ995/BY995,0))</f>
        <v>1</v>
      </c>
      <c r="BB995" s="52" t="n">
        <f aca="false">IF(CQ995&gt;0,CQ995*MAX(1,AZ995/X995),IF(BZ995=1,IF(AZ995&lt;=0,0,CD995*MAX(1,IF(H995&gt;0,AZ995/H995,1))),IF(R995&gt;0,BA995/R995,0))/MAX(0.1,N(Parameter!$M$21)))</f>
        <v>0.00961538461538462</v>
      </c>
      <c r="BC995" s="50" t="n">
        <f aca="false">BB995*CB995</f>
        <v>1.49038461538462</v>
      </c>
      <c r="BD995" s="51" t="n">
        <f aca="false">IF(LEFT(Cockpit!$O$5,1)="A",H995,IF(CH995=1,(CK995+CI995)/2,IF(LEFT(Cockpit!$O$5,1)="B",(CK995+BF995)/2,MAX((CK995+BF995)/2,H995))))</f>
        <v>2.5</v>
      </c>
      <c r="BE995" s="50" t="n">
        <f aca="false">BD995*G995</f>
        <v>32.525</v>
      </c>
      <c r="BF995" s="50" t="n">
        <f aca="false">ROUNDUP(CK995+MAX(CL995,2*(J995/IF(CG995&gt;0,CG995,MAX(0.1,N(Cockpit!$O$6)))-CK995)),0)</f>
        <v>5</v>
      </c>
      <c r="BG995" s="51" t="n">
        <f aca="false">IF(BC995&gt;0,J995/BC995,-1)</f>
        <v>4.69677419354839</v>
      </c>
      <c r="BH995" s="51" t="n">
        <f aca="false">IF(AND(OR(CF995="L1",CF995="L23",CF995="LIFT"),BC995&gt;0),SUMIFS($BC$7:$BC$1843,$CF$7:$CF$1843,CF995,$BG$7:$BG$1843,"&gt;"&amp;BG995)+SUMIFS($BC$7:$BC$1843,$CF$7:$CF$1843,CF995,$BG$7:$BG$1843,BG995,$BW$7:$BW$1843,"&lt;="&amp;BW995),"")</f>
        <v>3882.89972527473</v>
      </c>
      <c r="BI995" s="58" t="n">
        <f aca="false">IF(BH995="",0,MAX(0,MIN(1,(IF(CF995="L1",Parameter!$H$5,IF(CF995="L23",Parameter!$H$6+Parameter!$H$7,Parameter!$H$5+Parameter!$H$6+Parameter!$H$7))-(BH995-BC995))/BC995)))</f>
        <v>1</v>
      </c>
      <c r="BJ995" s="48" t="str">
        <f aca="false">IF(AI995&lt;=0,"",IF(CF995="Aussen","Aussenlager",IF(CF995="-","Nicht im Lift",IF(AO995&gt;=1,"Lift",IF(AO995&lt;=0,"Aussenlager","teilweise")))))</f>
        <v>Lift</v>
      </c>
      <c r="BK995" s="48" t="str">
        <f aca="false">IF(AS995&lt;=0,"",IF(CF995="Aussen","Aussenlager",IF(CF995="-","Nicht im Lift",IF(AY995&gt;=1,"Lift",IF(AY995&lt;=0,"Aussenlager","teilweise")))))</f>
        <v>Lift</v>
      </c>
      <c r="BL995" s="48" t="str">
        <f aca="false">IF(BC995&lt;=0,"",IF(CF995="Aussen","Aussenlager",IF(CF995="-","Nicht im Lift",IF(BI995&gt;=1,"Lift",IF(BI995&lt;=0,"Aussenlager","teilweise")))))</f>
        <v>Lift</v>
      </c>
      <c r="BM995" s="48" t="str">
        <f aca="false">IF(A995="","",IF(BV995=1,"Neu; ","")&amp;IF(AND(BV995=0,BQ995&lt;0),"negativer Bestand (Export "&amp;BQ995&amp;"); ","")&amp;IF(J995&lt;=0,"Kein Verbrauch; ","")&amp;IF(CQ995&gt;0,"Lift "&amp;W995&amp;" lt. Liftbericht (Fach "&amp;X995&amp;" Stk); ",IF(CA995=1,"Gebinde geschätzt ("&amp;T995&amp;"); ",IF(BZ995=1,"Lose – Tablare geschätzt; ","")))&amp;IF(H995&gt;AV995,"Überbestand "&amp;ROUND(H995-AV995,0)&amp;" Stk / CHF "&amp;ROUND((H995-AV995)*G995,0)&amp;"; ","")&amp;IF(AND(CH995=1,CI995&lt;CJ995),"MAX &lt; MB+LG; ","")&amp;IF(AND(CP995&gt;0,CO995*10&gt;CP995),"zu hoch für Tablar; ","")&amp;IF(AND(BV995=0,OR(CH995=1,AA995&lt;&gt;"",U995&lt;&gt;"",V995&lt;&gt;"",AB995&lt;&gt;"")),"manuell übersteuert; ","")&amp;IF(AND(BZ995=0,R995=0),"Gebinde unbekannt / Stellmass fehlt; ","")&amp;IF(AND(BZ995=0,N(V995)&lt;=0,N(Q995)&lt;=0),"Menge pro Gebinde fehlt (Ist = 1 Gebinde); ","")&amp;BU995)</f>
        <v>negativer Bestand (Export -7); Überbestand 8 Stk / CHF 104; </v>
      </c>
      <c r="BN995" s="48"/>
      <c r="BO995" s="48"/>
      <c r="BP995" s="55"/>
      <c r="BQ995" s="50" t="n">
        <v>-7</v>
      </c>
      <c r="BR995" s="50" t="n">
        <v>20</v>
      </c>
      <c r="BS995" s="49" t="n">
        <v>-91.07</v>
      </c>
      <c r="BT995" s="50" t="n">
        <v>7</v>
      </c>
      <c r="BU995" s="48"/>
      <c r="BV995" s="53" t="n">
        <v>0</v>
      </c>
      <c r="BW995" s="53" t="n">
        <v>995</v>
      </c>
      <c r="BX995" s="48" t="str">
        <f aca="false">IF(U995&lt;&gt;"",UPPER(TRIM(U995)),IF(CA995=1,UPPER(VLOOKUP(T995,Parameter!$I$27:$K$29,2,0)),IF(P995="","LOSE",P995)))</f>
        <v>S32</v>
      </c>
      <c r="BY995" s="50" t="n">
        <f aca="false">IF(BX995="LOSE",1,IF(N(V995)&gt;0,V995,IF(CA995=1,MAX(1,N(VLOOKUP(T995,Parameter!$I$27:$K$29,3,0)),H995,N(N995)),IF(N(Q995)&gt;0,Q995,MAX(1,H995)))))</f>
        <v>28</v>
      </c>
      <c r="BZ995" s="53" t="n">
        <f aca="false">IF(BX995="LOSE",1,0)</f>
        <v>0</v>
      </c>
      <c r="CA995" s="53" t="n">
        <f aca="false">IF(AND(U995="",OR(P995="",P995="LOSE"),T995&lt;&gt;"",N(S995)&lt;=0,ISNUMBER(MATCH(T995,Parameter!$I$27:$I$29,0))),1,0)</f>
        <v>0</v>
      </c>
      <c r="CB995" s="53" t="n">
        <f aca="false">IF(CQ995&gt;0,INDEX(Parameter!$H$5:$H$7,W995)/INDEX(Parameter!$E$5:$E$7,W995),IF(AND(BZ995=0,N(IFERROR(VLOOKUP(BX995,'Gebinde-Kategorie'!$A$5:$N$45,14,0),0))&gt;0),VLOOKUP(BX995,'Gebinde-Kategorie'!$A$5:$N$45,14,0)*10+Parameter!$M$23,Parameter!$M$24))</f>
        <v>155</v>
      </c>
      <c r="CC995" s="48" t="str">
        <f aca="false">IF(AND(Parameter!$B$19="Ja",E995&lt;&gt;"",ISNUMBER(MATCH(E995,Parameter!$I$35:$I$52,0))),VLOOKUP(E995,Parameter!$I$35:$J$52,2,0),IFERROR(VLOOKUP(D995,Parameter!$A$35:$C$64,2,0),"Nein"))</f>
        <v>2+3</v>
      </c>
      <c r="CD995" s="52" t="n">
        <f aca="false">IF(BZ995=0,0,IF(N(S995)&gt;0,S995,IFERROR(VLOOKUP(D995,Parameter!$A$35:$C$64,3,0)+0,0)))</f>
        <v>0</v>
      </c>
      <c r="CE995" s="48" t="n">
        <f aca="false">IF(AA995&lt;&gt;"",AA995,Z995)</f>
        <v>3</v>
      </c>
      <c r="CF995" s="48" t="str">
        <f aca="false">IF(OR(CE995=1,CE995=2,CE995=3),IF(Parameter!$E$27="Ja","LIFT",IF(CE995=1,"L1","L23")),IF(CE995="Aussen","Aussen","-"))</f>
        <v>LIFT</v>
      </c>
      <c r="CG995" s="59" t="n">
        <f aca="false">IF(N(AB995)&gt;0,AB995,0)</f>
        <v>0</v>
      </c>
      <c r="CH995" s="53" t="n">
        <f aca="false">IF(ISNUMBER(AE995),1,0)</f>
        <v>0</v>
      </c>
      <c r="CI995" s="50" t="n">
        <f aca="false">N(AE995)</f>
        <v>0</v>
      </c>
      <c r="CJ995" s="50" t="n">
        <f aca="false">N(M995)+N(N995)</f>
        <v>5</v>
      </c>
      <c r="CK995" s="50" t="n">
        <f aca="false">N(M995)</f>
        <v>0</v>
      </c>
      <c r="CL995" s="50" t="n">
        <f aca="false">N(N995)</f>
        <v>5</v>
      </c>
      <c r="CM995" s="50" t="n">
        <f aca="false">ROUNDUP(H995/BY995,0)</f>
        <v>1</v>
      </c>
      <c r="CN995" s="50" t="n">
        <f aca="false">ROUNDUP(CI995/BY995,0)</f>
        <v>0</v>
      </c>
      <c r="CO995" s="53" t="n">
        <f aca="false">IF(BZ995=1,0,IFERROR(VLOOKUP(BX995,'Gebinde-Kategorie'!$A$5:$N$45,5,0)+0,0))</f>
        <v>8</v>
      </c>
      <c r="CP995" s="53" t="n">
        <f aca="false">IFERROR(IF(OR(CE995=1,CE995=2,CE995=3),N(INDEX(Parameter!$I$5:$I$7,CE995)),0),0)</f>
        <v>0</v>
      </c>
      <c r="CQ995" s="52" t="n">
        <f aca="false">IF(AND(Parameter!$B$21="Ja",ISNUMBER(W995),N(X995)&gt;0),IFERROR(N(INDEX(Parameter!$L$5:$L$7,W995))*INDEX(Parameter!$E$5:$E$7,W995)*X995/SUMIFS($X$7:$X$1843,$W$7:$W$1843,W995),0),0)</f>
        <v>0</v>
      </c>
    </row>
    <row r="996" customFormat="false" ht="15" hidden="false" customHeight="false" outlineLevel="0" collapsed="false">
      <c r="A996" s="48" t="s">
        <v>1848</v>
      </c>
      <c r="B996" s="48" t="s">
        <v>743</v>
      </c>
      <c r="C996" s="48" t="s">
        <v>173</v>
      </c>
      <c r="D996" s="48" t="s">
        <v>193</v>
      </c>
      <c r="E996" s="48"/>
      <c r="F996" s="48" t="s">
        <v>227</v>
      </c>
      <c r="G996" s="49" t="n">
        <v>42.17</v>
      </c>
      <c r="H996" s="50" t="n">
        <f aca="false">MAX(0,IF(AND(Parameter!$B$21="Ja",ISNUMBER(Y996)),Y996,IF(Parameter!$B$20="Jahresanfang 2025 + Export",BR996+BQ996,BQ996)))</f>
        <v>4</v>
      </c>
      <c r="I996" s="50" t="n">
        <f aca="false">H996*G996</f>
        <v>168.68</v>
      </c>
      <c r="J996" s="50" t="n">
        <f aca="false">BT996*Parameter!$B$18</f>
        <v>5</v>
      </c>
      <c r="K996" s="51" t="n">
        <v>3.5</v>
      </c>
      <c r="L996" s="52" t="n">
        <v>1.42857142857143</v>
      </c>
      <c r="M996" s="50" t="n">
        <v>0</v>
      </c>
      <c r="N996" s="50" t="n">
        <v>5</v>
      </c>
      <c r="O996" s="53" t="n">
        <v>28</v>
      </c>
      <c r="P996" s="48" t="s">
        <v>337</v>
      </c>
      <c r="Q996" s="50" t="n">
        <v>20</v>
      </c>
      <c r="R996" s="53" t="n">
        <f aca="false">IF(BZ996=1,0,IFERROR(VLOOKUP(BX996,'Gebinde-Kategorie'!$A$5:$N$45,13,0)+0,0))</f>
        <v>52</v>
      </c>
      <c r="S996" s="54"/>
      <c r="T996" s="55"/>
      <c r="U996" s="55"/>
      <c r="V996" s="55"/>
      <c r="W996" s="48"/>
      <c r="X996" s="50"/>
      <c r="Y996" s="50"/>
      <c r="Z996" s="48" t="n">
        <f aca="false">IF(A996="","",IF(AND(Parameter!$B$21="Ja",ISNUMBER(W996)),W996,IF(CC996="2+3",IF(ISNUMBER(SEARCH("grosser Artikel",BU996)),2,IFERROR(VLOOKUP(BX996,Parameter!$F$35:$G$64,2,0),2)),IF(OR(CC996="Nein",CC996=""),"-",CC996))))</f>
        <v>3</v>
      </c>
      <c r="AA996" s="55"/>
      <c r="AB996" s="56"/>
      <c r="AC996" s="50" t="n">
        <f aca="false">AV996</f>
        <v>5</v>
      </c>
      <c r="AD996" s="50" t="n">
        <f aca="false">MAX(AV996,H996)</f>
        <v>5</v>
      </c>
      <c r="AE996" s="57"/>
      <c r="AF996" s="50" t="n">
        <f aca="false">IF(LEFT(Cockpit!$C$5,1)="A",H996,IF(Parameter!$E$30="MAX-Bestand",IF(CH996=1,CI996,IF(LEFT(Cockpit!$C$5,1)="B",AL996,MAX(AL996,H996))),ROUNDUP(AJ996,0)))</f>
        <v>4</v>
      </c>
      <c r="AG996" s="50" t="n">
        <f aca="false">IF(BZ996=1,0,ROUNDUP(AF996/BY996,0))</f>
        <v>1</v>
      </c>
      <c r="AH996" s="52" t="n">
        <f aca="false">IF(CQ996&gt;0,CQ996*MAX(1,AF996/X996),IF(BZ996=1,IF(AF996&lt;=0,0,CD996*MAX(1,IF(H996&gt;0,AF996/H996,1))),IF(R996&gt;0,AG996/R996,0))/MAX(0.1,N(Parameter!$M$21)))</f>
        <v>0.0192307692307692</v>
      </c>
      <c r="AI996" s="50" t="n">
        <f aca="false">AH996*CB996</f>
        <v>2.98076923076923</v>
      </c>
      <c r="AJ996" s="51" t="n">
        <f aca="false">IF(LEFT(Cockpit!$C$5,1)="A",H996,IF(CH996=1,(CK996+CI996)/2,IF(LEFT(Cockpit!$C$5,1)="B",(CK996+AL996)/2,MAX((CK996+AL996)/2,H996))))</f>
        <v>4</v>
      </c>
      <c r="AK996" s="50" t="n">
        <f aca="false">AJ996*G996</f>
        <v>168.68</v>
      </c>
      <c r="AL996" s="50" t="n">
        <f aca="false">ROUNDUP(CK996+MAX(CL996,2*(J996/IF(CG996&gt;0,CG996,MAX(0.1,N(Cockpit!$C$6)))-CK996)),0)</f>
        <v>5</v>
      </c>
      <c r="AM996" s="51" t="n">
        <f aca="false">IF(AI996&gt;0,J996/AI996,-1)</f>
        <v>1.67741935483871</v>
      </c>
      <c r="AN996" s="51" t="n">
        <f aca="false">IF(AND(OR(CF996="L1",CF996="L23",CF996="LIFT"),AI996&gt;0),SUMIFS($AI$7:$AI$1843,$CF$7:$CF$1843,CF996,$AM$7:$AM$1843,"&gt;"&amp;AM996)+SUMIFS($AI$7:$AI$1843,$CF$7:$CF$1843,CF996,$AM$7:$AM$1843,AM996,$BW$7:$BW$1843,"&lt;="&amp;BW996),"")</f>
        <v>6060.79532967033</v>
      </c>
      <c r="AO996" s="58" t="n">
        <f aca="false">IF(AN996="",0,MAX(0,MIN(1,(IF(CF996="L1",Parameter!$H$5,IF(CF996="L23",Parameter!$H$6+Parameter!$H$7,Parameter!$H$5+Parameter!$H$6+Parameter!$H$7))-(AN996-AI996))/AI996)))</f>
        <v>1</v>
      </c>
      <c r="AP996" s="50" t="n">
        <f aca="false">IF(LEFT(Cockpit!$I$5,1)="A",H996,IF(Parameter!$E$30="MAX-Bestand",IF(CH996=1,CI996,IF(LEFT(Cockpit!$I$5,1)="B",AV996,MAX(AV996,H996))),ROUNDUP(AT996,0)))</f>
        <v>4</v>
      </c>
      <c r="AQ996" s="50" t="n">
        <f aca="false">IF(BZ996=1,0,ROUNDUP(AP996/BY996,0))</f>
        <v>1</v>
      </c>
      <c r="AR996" s="52" t="n">
        <f aca="false">IF(CQ996&gt;0,CQ996*MAX(1,AP996/X996),IF(BZ996=1,IF(AP996&lt;=0,0,CD996*MAX(1,IF(H996&gt;0,AP996/H996,1))),IF(R996&gt;0,AQ996/R996,0))/MAX(0.1,N(Parameter!$M$21)))</f>
        <v>0.0192307692307692</v>
      </c>
      <c r="AS996" s="50" t="n">
        <f aca="false">AR996*CB996</f>
        <v>2.98076923076923</v>
      </c>
      <c r="AT996" s="51" t="n">
        <f aca="false">IF(LEFT(Cockpit!$I$5,1)="A",H996,IF(CH996=1,(CK996+CI996)/2,IF(LEFT(Cockpit!$I$5,1)="B",(CK996+AV996)/2,MAX((CK996+AV996)/2,H996))))</f>
        <v>4</v>
      </c>
      <c r="AU996" s="50" t="n">
        <f aca="false">AT996*G996</f>
        <v>168.68</v>
      </c>
      <c r="AV996" s="50" t="n">
        <f aca="false">ROUNDUP(CK996+MAX(CL996,2*(J996/IF(CG996&gt;0,CG996,MAX(0.1,N(Cockpit!$I$6)))-CK996)),0)</f>
        <v>5</v>
      </c>
      <c r="AW996" s="51" t="n">
        <f aca="false">IF(AS996&gt;0,J996/AS996,-1)</f>
        <v>1.67741935483871</v>
      </c>
      <c r="AX996" s="51" t="n">
        <f aca="false">IF(AND(OR(CF996="L1",CF996="L23",CF996="LIFT"),AS996&gt;0),SUMIFS($AS$7:$AS$1843,$CF$7:$CF$1843,CF996,$AW$7:$AW$1843,"&gt;"&amp;AW996)+SUMIFS($AS$7:$AS$1843,$CF$7:$CF$1843,CF996,$AW$7:$AW$1843,AW996,$BW$7:$BW$1843,"&lt;="&amp;BW996),"")</f>
        <v>7488.76098901099</v>
      </c>
      <c r="AY996" s="58" t="n">
        <f aca="false">IF(AX996="",0,MAX(0,MIN(1,(IF(CF996="L1",Parameter!$H$5,IF(CF996="L23",Parameter!$H$6+Parameter!$H$7,Parameter!$H$5+Parameter!$H$6+Parameter!$H$7))-(AX996-AS996))/AS996)))</f>
        <v>1</v>
      </c>
      <c r="AZ996" s="50" t="n">
        <f aca="false">IF(LEFT(Cockpit!$O$5,1)="A",H996,IF(Parameter!$E$30="MAX-Bestand",IF(CH996=1,CI996,IF(LEFT(Cockpit!$O$5,1)="B",BF996,MAX(BF996,H996))),ROUNDUP(BD996,0)))</f>
        <v>3</v>
      </c>
      <c r="BA996" s="50" t="n">
        <f aca="false">IF(BZ996=1,0,ROUNDUP(AZ996/BY996,0))</f>
        <v>1</v>
      </c>
      <c r="BB996" s="52" t="n">
        <f aca="false">IF(CQ996&gt;0,CQ996*MAX(1,AZ996/X996),IF(BZ996=1,IF(AZ996&lt;=0,0,CD996*MAX(1,IF(H996&gt;0,AZ996/H996,1))),IF(R996&gt;0,BA996/R996,0))/MAX(0.1,N(Parameter!$M$21)))</f>
        <v>0.0192307692307692</v>
      </c>
      <c r="BC996" s="50" t="n">
        <f aca="false">BB996*CB996</f>
        <v>2.98076923076923</v>
      </c>
      <c r="BD996" s="51" t="n">
        <f aca="false">IF(LEFT(Cockpit!$O$5,1)="A",H996,IF(CH996=1,(CK996+CI996)/2,IF(LEFT(Cockpit!$O$5,1)="B",(CK996+BF996)/2,MAX((CK996+BF996)/2,H996))))</f>
        <v>2.5</v>
      </c>
      <c r="BE996" s="50" t="n">
        <f aca="false">BD996*G996</f>
        <v>105.425</v>
      </c>
      <c r="BF996" s="50" t="n">
        <f aca="false">ROUNDUP(CK996+MAX(CL996,2*(J996/IF(CG996&gt;0,CG996,MAX(0.1,N(Cockpit!$O$6)))-CK996)),0)</f>
        <v>5</v>
      </c>
      <c r="BG996" s="51" t="n">
        <f aca="false">IF(BC996&gt;0,J996/BC996,-1)</f>
        <v>1.67741935483871</v>
      </c>
      <c r="BH996" s="51" t="n">
        <f aca="false">IF(AND(OR(CF996="L1",CF996="L23",CF996="LIFT"),BC996&gt;0),SUMIFS($BC$7:$BC$1843,$CF$7:$CF$1843,CF996,$BG$7:$BG$1843,"&gt;"&amp;BG996)+SUMIFS($BC$7:$BC$1843,$CF$7:$CF$1843,CF996,$BG$7:$BG$1843,BG996,$BW$7:$BW$1843,"&lt;="&amp;BW996),"")</f>
        <v>6303.60485347985</v>
      </c>
      <c r="BI996" s="58" t="n">
        <f aca="false">IF(BH996="",0,MAX(0,MIN(1,(IF(CF996="L1",Parameter!$H$5,IF(CF996="L23",Parameter!$H$6+Parameter!$H$7,Parameter!$H$5+Parameter!$H$6+Parameter!$H$7))-(BH996-BC996))/BC996)))</f>
        <v>1</v>
      </c>
      <c r="BJ996" s="48" t="str">
        <f aca="false">IF(AI996&lt;=0,"",IF(CF996="Aussen","Aussenlager",IF(CF996="-","Nicht im Lift",IF(AO996&gt;=1,"Lift",IF(AO996&lt;=0,"Aussenlager","teilweise")))))</f>
        <v>Lift</v>
      </c>
      <c r="BK996" s="48" t="str">
        <f aca="false">IF(AS996&lt;=0,"",IF(CF996="Aussen","Aussenlager",IF(CF996="-","Nicht im Lift",IF(AY996&gt;=1,"Lift",IF(AY996&lt;=0,"Aussenlager","teilweise")))))</f>
        <v>Lift</v>
      </c>
      <c r="BL996" s="48" t="str">
        <f aca="false">IF(BC996&lt;=0,"",IF(CF996="Aussen","Aussenlager",IF(CF996="-","Nicht im Lift",IF(BI996&gt;=1,"Lift",IF(BI996&lt;=0,"Aussenlager","teilweise")))))</f>
        <v>Lift</v>
      </c>
      <c r="BM996" s="48" t="str">
        <f aca="false">IF(A996="","",IF(BV996=1,"Neu; ","")&amp;IF(AND(BV996=0,BQ996&lt;0),"negativer Bestand (Export "&amp;BQ996&amp;"); ","")&amp;IF(J996&lt;=0,"Kein Verbrauch; ","")&amp;IF(CQ996&gt;0,"Lift "&amp;W996&amp;" lt. Liftbericht (Fach "&amp;X996&amp;" Stk); ",IF(CA996=1,"Gebinde geschätzt ("&amp;T996&amp;"); ",IF(BZ996=1,"Lose – Tablare geschätzt; ","")))&amp;IF(H996&gt;AV996,"Überbestand "&amp;ROUND(H996-AV996,0)&amp;" Stk / CHF "&amp;ROUND((H996-AV996)*G996,0)&amp;"; ","")&amp;IF(AND(CH996=1,CI996&lt;CJ996),"MAX &lt; MB+LG; ","")&amp;IF(AND(CP996&gt;0,CO996*10&gt;CP996),"zu hoch für Tablar; ","")&amp;IF(AND(BV996=0,OR(CH996=1,AA996&lt;&gt;"",U996&lt;&gt;"",V996&lt;&gt;"",AB996&lt;&gt;"")),"manuell übersteuert; ","")&amp;IF(AND(BZ996=0,R996=0),"Gebinde unbekannt / Stellmass fehlt; ","")&amp;IF(AND(BZ996=0,N(V996)&lt;=0,N(Q996)&lt;=0),"Menge pro Gebinde fehlt (Ist = 1 Gebinde); ","")&amp;BU996)</f>
        <v/>
      </c>
      <c r="BN996" s="48"/>
      <c r="BO996" s="48"/>
      <c r="BP996" s="55"/>
      <c r="BQ996" s="50" t="n">
        <v>0</v>
      </c>
      <c r="BR996" s="50" t="n">
        <v>4</v>
      </c>
      <c r="BS996" s="49" t="n">
        <v>-91.72</v>
      </c>
      <c r="BT996" s="50" t="n">
        <v>5</v>
      </c>
      <c r="BU996" s="48"/>
      <c r="BV996" s="53" t="n">
        <v>0</v>
      </c>
      <c r="BW996" s="53" t="n">
        <v>996</v>
      </c>
      <c r="BX996" s="48" t="str">
        <f aca="false">IF(U996&lt;&gt;"",UPPER(TRIM(U996)),IF(CA996=1,UPPER(VLOOKUP(T996,Parameter!$I$27:$K$29,2,0)),IF(P996="","LOSE",P996)))</f>
        <v>S41</v>
      </c>
      <c r="BY996" s="50" t="n">
        <f aca="false">IF(BX996="LOSE",1,IF(N(V996)&gt;0,V996,IF(CA996=1,MAX(1,N(VLOOKUP(T996,Parameter!$I$27:$K$29,3,0)),H996,N(N996)),IF(N(Q996)&gt;0,Q996,MAX(1,H996)))))</f>
        <v>20</v>
      </c>
      <c r="BZ996" s="53" t="n">
        <f aca="false">IF(BX996="LOSE",1,0)</f>
        <v>0</v>
      </c>
      <c r="CA996" s="53" t="n">
        <f aca="false">IF(AND(U996="",OR(P996="",P996="LOSE"),T996&lt;&gt;"",N(S996)&lt;=0,ISNUMBER(MATCH(T996,Parameter!$I$27:$I$29,0))),1,0)</f>
        <v>0</v>
      </c>
      <c r="CB996" s="53" t="n">
        <f aca="false">IF(CQ996&gt;0,INDEX(Parameter!$H$5:$H$7,W996)/INDEX(Parameter!$E$5:$E$7,W996),IF(AND(BZ996=0,N(IFERROR(VLOOKUP(BX996,'Gebinde-Kategorie'!$A$5:$N$45,14,0),0))&gt;0),VLOOKUP(BX996,'Gebinde-Kategorie'!$A$5:$N$45,14,0)*10+Parameter!$M$23,Parameter!$M$24))</f>
        <v>155</v>
      </c>
      <c r="CC996" s="48" t="str">
        <f aca="false">IF(AND(Parameter!$B$19="Ja",E996&lt;&gt;"",ISNUMBER(MATCH(E996,Parameter!$I$35:$I$52,0))),VLOOKUP(E996,Parameter!$I$35:$J$52,2,0),IFERROR(VLOOKUP(D996,Parameter!$A$35:$C$64,2,0),"Nein"))</f>
        <v>2+3</v>
      </c>
      <c r="CD996" s="52" t="n">
        <f aca="false">IF(BZ996=0,0,IF(N(S996)&gt;0,S996,IFERROR(VLOOKUP(D996,Parameter!$A$35:$C$64,3,0)+0,0)))</f>
        <v>0</v>
      </c>
      <c r="CE996" s="48" t="n">
        <f aca="false">IF(AA996&lt;&gt;"",AA996,Z996)</f>
        <v>3</v>
      </c>
      <c r="CF996" s="48" t="str">
        <f aca="false">IF(OR(CE996=1,CE996=2,CE996=3),IF(Parameter!$E$27="Ja","LIFT",IF(CE996=1,"L1","L23")),IF(CE996="Aussen","Aussen","-"))</f>
        <v>LIFT</v>
      </c>
      <c r="CG996" s="59" t="n">
        <f aca="false">IF(N(AB996)&gt;0,AB996,0)</f>
        <v>0</v>
      </c>
      <c r="CH996" s="53" t="n">
        <f aca="false">IF(ISNUMBER(AE996),1,0)</f>
        <v>0</v>
      </c>
      <c r="CI996" s="50" t="n">
        <f aca="false">N(AE996)</f>
        <v>0</v>
      </c>
      <c r="CJ996" s="50" t="n">
        <f aca="false">N(M996)+N(N996)</f>
        <v>5</v>
      </c>
      <c r="CK996" s="50" t="n">
        <f aca="false">N(M996)</f>
        <v>0</v>
      </c>
      <c r="CL996" s="50" t="n">
        <f aca="false">N(N996)</f>
        <v>5</v>
      </c>
      <c r="CM996" s="50" t="n">
        <f aca="false">ROUNDUP(H996/BY996,0)</f>
        <v>1</v>
      </c>
      <c r="CN996" s="50" t="n">
        <f aca="false">ROUNDUP(CI996/BY996,0)</f>
        <v>0</v>
      </c>
      <c r="CO996" s="53" t="n">
        <f aca="false">IF(BZ996=1,0,IFERROR(VLOOKUP(BX996,'Gebinde-Kategorie'!$A$5:$N$45,5,0)+0,0))</f>
        <v>11</v>
      </c>
      <c r="CP996" s="53" t="n">
        <f aca="false">IFERROR(IF(OR(CE996=1,CE996=2,CE996=3),N(INDEX(Parameter!$I$5:$I$7,CE996)),0),0)</f>
        <v>0</v>
      </c>
      <c r="CQ996" s="52" t="n">
        <f aca="false">IF(AND(Parameter!$B$21="Ja",ISNUMBER(W996),N(X996)&gt;0),IFERROR(N(INDEX(Parameter!$L$5:$L$7,W996))*INDEX(Parameter!$E$5:$E$7,W996)*X996/SUMIFS($X$7:$X$1843,$W$7:$W$1843,W996),0),0)</f>
        <v>0</v>
      </c>
    </row>
    <row r="997" customFormat="false" ht="15" hidden="false" customHeight="false" outlineLevel="0" collapsed="false">
      <c r="A997" s="48" t="s">
        <v>1849</v>
      </c>
      <c r="B997" s="48" t="s">
        <v>1850</v>
      </c>
      <c r="C997" s="48" t="s">
        <v>173</v>
      </c>
      <c r="D997" s="48" t="s">
        <v>193</v>
      </c>
      <c r="E997" s="48" t="s">
        <v>194</v>
      </c>
      <c r="F997" s="48" t="s">
        <v>227</v>
      </c>
      <c r="G997" s="49" t="n">
        <v>2.13</v>
      </c>
      <c r="H997" s="50" t="n">
        <f aca="false">MAX(0,IF(AND(Parameter!$B$21="Ja",ISNUMBER(Y997)),Y997,IF(Parameter!$B$20="Jahresanfang 2025 + Export",BR997+BQ997,BQ997)))</f>
        <v>72</v>
      </c>
      <c r="I997" s="50" t="n">
        <f aca="false">H997*G997</f>
        <v>153.36</v>
      </c>
      <c r="J997" s="50" t="n">
        <f aca="false">BT997*Parameter!$B$18</f>
        <v>325</v>
      </c>
      <c r="K997" s="51" t="n">
        <v>112</v>
      </c>
      <c r="L997" s="52" t="n">
        <v>2.90178571428571</v>
      </c>
      <c r="M997" s="50" t="n">
        <v>18</v>
      </c>
      <c r="N997" s="50" t="n">
        <v>100</v>
      </c>
      <c r="O997" s="53" t="n">
        <v>2</v>
      </c>
      <c r="P997" s="48" t="s">
        <v>430</v>
      </c>
      <c r="Q997" s="50" t="n">
        <v>120</v>
      </c>
      <c r="R997" s="53" t="n">
        <f aca="false">IF(BZ997=1,0,IFERROR(VLOOKUP(BX997,'Gebinde-Kategorie'!$A$5:$N$45,13,0)+0,0))</f>
        <v>104</v>
      </c>
      <c r="S997" s="54"/>
      <c r="T997" s="55"/>
      <c r="U997" s="55"/>
      <c r="V997" s="55"/>
      <c r="W997" s="48"/>
      <c r="X997" s="50"/>
      <c r="Y997" s="50"/>
      <c r="Z997" s="48" t="n">
        <f aca="false">IF(A997="","",IF(AND(Parameter!$B$21="Ja",ISNUMBER(W997)),W997,IF(CC997="2+3",IF(ISNUMBER(SEARCH("grosser Artikel",BU997)),2,IFERROR(VLOOKUP(BX997,Parameter!$F$35:$G$64,2,0),2)),IF(OR(CC997="Nein",CC997=""),"-",CC997))))</f>
        <v>3</v>
      </c>
      <c r="AA997" s="55"/>
      <c r="AB997" s="56"/>
      <c r="AC997" s="50" t="n">
        <f aca="false">AV997</f>
        <v>199</v>
      </c>
      <c r="AD997" s="50" t="n">
        <f aca="false">MAX(AV997,H997)</f>
        <v>199</v>
      </c>
      <c r="AE997" s="57"/>
      <c r="AF997" s="50" t="n">
        <f aca="false">IF(LEFT(Cockpit!$C$5,1)="A",H997,IF(Parameter!$E$30="MAX-Bestand",IF(CH997=1,CI997,IF(LEFT(Cockpit!$C$5,1)="B",AL997,MAX(AL997,H997))),ROUNDUP(AJ997,0)))</f>
        <v>72</v>
      </c>
      <c r="AG997" s="50" t="n">
        <f aca="false">IF(BZ997=1,0,ROUNDUP(AF997/BY997,0))</f>
        <v>1</v>
      </c>
      <c r="AH997" s="52" t="n">
        <f aca="false">IF(CQ997&gt;0,CQ997*MAX(1,AF997/X997),IF(BZ997=1,IF(AF997&lt;=0,0,CD997*MAX(1,IF(H997&gt;0,AF997/H997,1))),IF(R997&gt;0,AG997/R997,0))/MAX(0.1,N(Parameter!$M$21)))</f>
        <v>0.00961538461538462</v>
      </c>
      <c r="AI997" s="50" t="n">
        <f aca="false">AH997*CB997</f>
        <v>1.49038461538462</v>
      </c>
      <c r="AJ997" s="51" t="n">
        <f aca="false">IF(LEFT(Cockpit!$C$5,1)="A",H997,IF(CH997=1,(CK997+CI997)/2,IF(LEFT(Cockpit!$C$5,1)="B",(CK997+AL997)/2,MAX((CK997+AL997)/2,H997))))</f>
        <v>72</v>
      </c>
      <c r="AK997" s="50" t="n">
        <f aca="false">AJ997*G997</f>
        <v>153.36</v>
      </c>
      <c r="AL997" s="50" t="n">
        <f aca="false">ROUNDUP(CK997+MAX(CL997,2*(J997/IF(CG997&gt;0,CG997,MAX(0.1,N(Cockpit!$C$6)))-CK997)),0)</f>
        <v>199</v>
      </c>
      <c r="AM997" s="51" t="n">
        <f aca="false">IF(AI997&gt;0,J997/AI997,-1)</f>
        <v>218.064516129032</v>
      </c>
      <c r="AN997" s="51" t="n">
        <f aca="false">IF(AND(OR(CF997="L1",CF997="L23",CF997="LIFT"),AI997&gt;0),SUMIFS($AI$7:$AI$1843,$CF$7:$CF$1843,CF997,$AM$7:$AM$1843,"&gt;"&amp;AM997)+SUMIFS($AI$7:$AI$1843,$CF$7:$CF$1843,CF997,$AM$7:$AM$1843,AM997,$BW$7:$BW$1843,"&lt;="&amp;BW997),"")</f>
        <v>316.157051282051</v>
      </c>
      <c r="AO997" s="58" t="n">
        <f aca="false">IF(AN997="",0,MAX(0,MIN(1,(IF(CF997="L1",Parameter!$H$5,IF(CF997="L23",Parameter!$H$6+Parameter!$H$7,Parameter!$H$5+Parameter!$H$6+Parameter!$H$7))-(AN997-AI997))/AI997)))</f>
        <v>1</v>
      </c>
      <c r="AP997" s="50" t="n">
        <f aca="false">IF(LEFT(Cockpit!$I$5,1)="A",H997,IF(Parameter!$E$30="MAX-Bestand",IF(CH997=1,CI997,IF(LEFT(Cockpit!$I$5,1)="B",AV997,MAX(AV997,H997))),ROUNDUP(AT997,0)))</f>
        <v>109</v>
      </c>
      <c r="AQ997" s="50" t="n">
        <f aca="false">IF(BZ997=1,0,ROUNDUP(AP997/BY997,0))</f>
        <v>1</v>
      </c>
      <c r="AR997" s="52" t="n">
        <f aca="false">IF(CQ997&gt;0,CQ997*MAX(1,AP997/X997),IF(BZ997=1,IF(AP997&lt;=0,0,CD997*MAX(1,IF(H997&gt;0,AP997/H997,1))),IF(R997&gt;0,AQ997/R997,0))/MAX(0.1,N(Parameter!$M$21)))</f>
        <v>0.00961538461538462</v>
      </c>
      <c r="AS997" s="50" t="n">
        <f aca="false">AR997*CB997</f>
        <v>1.49038461538462</v>
      </c>
      <c r="AT997" s="51" t="n">
        <f aca="false">IF(LEFT(Cockpit!$I$5,1)="A",H997,IF(CH997=1,(CK997+CI997)/2,IF(LEFT(Cockpit!$I$5,1)="B",(CK997+AV997)/2,MAX((CK997+AV997)/2,H997))))</f>
        <v>108.5</v>
      </c>
      <c r="AU997" s="50" t="n">
        <f aca="false">AT997*G997</f>
        <v>231.105</v>
      </c>
      <c r="AV997" s="50" t="n">
        <f aca="false">ROUNDUP(CK997+MAX(CL997,2*(J997/IF(CG997&gt;0,CG997,MAX(0.1,N(Cockpit!$I$6)))-CK997)),0)</f>
        <v>199</v>
      </c>
      <c r="AW997" s="51" t="n">
        <f aca="false">IF(AS997&gt;0,J997/AS997,-1)</f>
        <v>218.064516129032</v>
      </c>
      <c r="AX997" s="51" t="n">
        <f aca="false">IF(AND(OR(CF997="L1",CF997="L23",CF997="LIFT"),AS997&gt;0),SUMIFS($AS$7:$AS$1843,$CF$7:$CF$1843,CF997,$AW$7:$AW$1843,"&gt;"&amp;AW997)+SUMIFS($AS$7:$AS$1843,$CF$7:$CF$1843,CF997,$AW$7:$AW$1843,AW997,$BW$7:$BW$1843,"&lt;="&amp;BW997),"")</f>
        <v>346.999084249084</v>
      </c>
      <c r="AY997" s="58" t="n">
        <f aca="false">IF(AX997="",0,MAX(0,MIN(1,(IF(CF997="L1",Parameter!$H$5,IF(CF997="L23",Parameter!$H$6+Parameter!$H$7,Parameter!$H$5+Parameter!$H$6+Parameter!$H$7))-(AX997-AS997))/AS997)))</f>
        <v>1</v>
      </c>
      <c r="AZ997" s="50" t="n">
        <f aca="false">IF(LEFT(Cockpit!$O$5,1)="A",H997,IF(Parameter!$E$30="MAX-Bestand",IF(CH997=1,CI997,IF(LEFT(Cockpit!$O$5,1)="B",BF997,MAX(BF997,H997))),ROUNDUP(BD997,0)))</f>
        <v>82</v>
      </c>
      <c r="BA997" s="50" t="n">
        <f aca="false">IF(BZ997=1,0,ROUNDUP(AZ997/BY997,0))</f>
        <v>1</v>
      </c>
      <c r="BB997" s="52" t="n">
        <f aca="false">IF(CQ997&gt;0,CQ997*MAX(1,AZ997/X997),IF(BZ997=1,IF(AZ997&lt;=0,0,CD997*MAX(1,IF(H997&gt;0,AZ997/H997,1))),IF(R997&gt;0,BA997/R997,0))/MAX(0.1,N(Parameter!$M$21)))</f>
        <v>0.00961538461538462</v>
      </c>
      <c r="BC997" s="50" t="n">
        <f aca="false">BB997*CB997</f>
        <v>1.49038461538462</v>
      </c>
      <c r="BD997" s="51" t="n">
        <f aca="false">IF(LEFT(Cockpit!$O$5,1)="A",H997,IF(CH997=1,(CK997+CI997)/2,IF(LEFT(Cockpit!$O$5,1)="B",(CK997+BF997)/2,MAX((CK997+BF997)/2,H997))))</f>
        <v>81.5</v>
      </c>
      <c r="BE997" s="50" t="n">
        <f aca="false">BD997*G997</f>
        <v>173.595</v>
      </c>
      <c r="BF997" s="50" t="n">
        <f aca="false">ROUNDUP(CK997+MAX(CL997,2*(J997/IF(CG997&gt;0,CG997,MAX(0.1,N(Cockpit!$O$6)))-CK997)),0)</f>
        <v>145</v>
      </c>
      <c r="BG997" s="51" t="n">
        <f aca="false">IF(BC997&gt;0,J997/BC997,-1)</f>
        <v>218.064516129032</v>
      </c>
      <c r="BH997" s="51" t="n">
        <f aca="false">IF(AND(OR(CF997="L1",CF997="L23",CF997="LIFT"),BC997&gt;0),SUMIFS($BC$7:$BC$1843,$CF$7:$CF$1843,CF997,$BG$7:$BG$1843,"&gt;"&amp;BG997)+SUMIFS($BC$7:$BC$1843,$CF$7:$CF$1843,CF997,$BG$7:$BG$1843,BG997,$BW$7:$BW$1843,"&lt;="&amp;BW997),"")</f>
        <v>404.565934065934</v>
      </c>
      <c r="BI997" s="58" t="n">
        <f aca="false">IF(BH997="",0,MAX(0,MIN(1,(IF(CF997="L1",Parameter!$H$5,IF(CF997="L23",Parameter!$H$6+Parameter!$H$7,Parameter!$H$5+Parameter!$H$6+Parameter!$H$7))-(BH997-BC997))/BC997)))</f>
        <v>1</v>
      </c>
      <c r="BJ997" s="48" t="str">
        <f aca="false">IF(AI997&lt;=0,"",IF(CF997="Aussen","Aussenlager",IF(CF997="-","Nicht im Lift",IF(AO997&gt;=1,"Lift",IF(AO997&lt;=0,"Aussenlager","teilweise")))))</f>
        <v>Lift</v>
      </c>
      <c r="BK997" s="48" t="str">
        <f aca="false">IF(AS997&lt;=0,"",IF(CF997="Aussen","Aussenlager",IF(CF997="-","Nicht im Lift",IF(AY997&gt;=1,"Lift",IF(AY997&lt;=0,"Aussenlager","teilweise")))))</f>
        <v>Lift</v>
      </c>
      <c r="BL997" s="48" t="str">
        <f aca="false">IF(BC997&lt;=0,"",IF(CF997="Aussen","Aussenlager",IF(CF997="-","Nicht im Lift",IF(BI997&gt;=1,"Lift",IF(BI997&lt;=0,"Aussenlager","teilweise")))))</f>
        <v>Lift</v>
      </c>
      <c r="BM997" s="48" t="str">
        <f aca="false">IF(A997="","",IF(BV997=1,"Neu; ","")&amp;IF(AND(BV997=0,BQ997&lt;0),"negativer Bestand (Export "&amp;BQ997&amp;"); ","")&amp;IF(J997&lt;=0,"Kein Verbrauch; ","")&amp;IF(CQ997&gt;0,"Lift "&amp;W997&amp;" lt. Liftbericht (Fach "&amp;X997&amp;" Stk); ",IF(CA997=1,"Gebinde geschätzt ("&amp;T997&amp;"); ",IF(BZ997=1,"Lose – Tablare geschätzt; ","")))&amp;IF(H997&gt;AV997,"Überbestand "&amp;ROUND(H997-AV997,0)&amp;" Stk / CHF "&amp;ROUND((H997-AV997)*G997,0)&amp;"; ","")&amp;IF(AND(CH997=1,CI997&lt;CJ997),"MAX &lt; MB+LG; ","")&amp;IF(AND(CP997&gt;0,CO997*10&gt;CP997),"zu hoch für Tablar; ","")&amp;IF(AND(BV997=0,OR(CH997=1,AA997&lt;&gt;"",U997&lt;&gt;"",V997&lt;&gt;"",AB997&lt;&gt;"")),"manuell übersteuert; ","")&amp;IF(AND(BZ997=0,R997=0),"Gebinde unbekannt / Stellmass fehlt; ","")&amp;IF(AND(BZ997=0,N(V997)&lt;=0,N(Q997)&lt;=0),"Menge pro Gebinde fehlt (Ist = 1 Gebinde); ","")&amp;BU997)</f>
        <v>negativer Bestand (Export -44); </v>
      </c>
      <c r="BN997" s="48"/>
      <c r="BO997" s="48"/>
      <c r="BP997" s="55"/>
      <c r="BQ997" s="50" t="n">
        <v>-44</v>
      </c>
      <c r="BR997" s="50" t="n">
        <v>116</v>
      </c>
      <c r="BS997" s="49" t="n">
        <v>-93.7199999999999</v>
      </c>
      <c r="BT997" s="50" t="n">
        <v>325</v>
      </c>
      <c r="BU997" s="48"/>
      <c r="BV997" s="53" t="n">
        <v>0</v>
      </c>
      <c r="BW997" s="53" t="n">
        <v>997</v>
      </c>
      <c r="BX997" s="48" t="str">
        <f aca="false">IF(U997&lt;&gt;"",UPPER(TRIM(U997)),IF(CA997=1,UPPER(VLOOKUP(T997,Parameter!$I$27:$K$29,2,0)),IF(P997="","LOSE",P997)))</f>
        <v>S32</v>
      </c>
      <c r="BY997" s="50" t="n">
        <f aca="false">IF(BX997="LOSE",1,IF(N(V997)&gt;0,V997,IF(CA997=1,MAX(1,N(VLOOKUP(T997,Parameter!$I$27:$K$29,3,0)),H997,N(N997)),IF(N(Q997)&gt;0,Q997,MAX(1,H997)))))</f>
        <v>120</v>
      </c>
      <c r="BZ997" s="53" t="n">
        <f aca="false">IF(BX997="LOSE",1,0)</f>
        <v>0</v>
      </c>
      <c r="CA997" s="53" t="n">
        <f aca="false">IF(AND(U997="",OR(P997="",P997="LOSE"),T997&lt;&gt;"",N(S997)&lt;=0,ISNUMBER(MATCH(T997,Parameter!$I$27:$I$29,0))),1,0)</f>
        <v>0</v>
      </c>
      <c r="CB997" s="53" t="n">
        <f aca="false">IF(CQ997&gt;0,INDEX(Parameter!$H$5:$H$7,W997)/INDEX(Parameter!$E$5:$E$7,W997),IF(AND(BZ997=0,N(IFERROR(VLOOKUP(BX997,'Gebinde-Kategorie'!$A$5:$N$45,14,0),0))&gt;0),VLOOKUP(BX997,'Gebinde-Kategorie'!$A$5:$N$45,14,0)*10+Parameter!$M$23,Parameter!$M$24))</f>
        <v>155</v>
      </c>
      <c r="CC997" s="48" t="str">
        <f aca="false">IF(AND(Parameter!$B$19="Ja",E997&lt;&gt;"",ISNUMBER(MATCH(E997,Parameter!$I$35:$I$52,0))),VLOOKUP(E997,Parameter!$I$35:$J$52,2,0),IFERROR(VLOOKUP(D997,Parameter!$A$35:$C$64,2,0),"Nein"))</f>
        <v>2+3</v>
      </c>
      <c r="CD997" s="52" t="n">
        <f aca="false">IF(BZ997=0,0,IF(N(S997)&gt;0,S997,IFERROR(VLOOKUP(D997,Parameter!$A$35:$C$64,3,0)+0,0)))</f>
        <v>0</v>
      </c>
      <c r="CE997" s="48" t="n">
        <f aca="false">IF(AA997&lt;&gt;"",AA997,Z997)</f>
        <v>3</v>
      </c>
      <c r="CF997" s="48" t="str">
        <f aca="false">IF(OR(CE997=1,CE997=2,CE997=3),IF(Parameter!$E$27="Ja","LIFT",IF(CE997=1,"L1","L23")),IF(CE997="Aussen","Aussen","-"))</f>
        <v>LIFT</v>
      </c>
      <c r="CG997" s="59" t="n">
        <f aca="false">IF(N(AB997)&gt;0,AB997,0)</f>
        <v>0</v>
      </c>
      <c r="CH997" s="53" t="n">
        <f aca="false">IF(ISNUMBER(AE997),1,0)</f>
        <v>0</v>
      </c>
      <c r="CI997" s="50" t="n">
        <f aca="false">N(AE997)</f>
        <v>0</v>
      </c>
      <c r="CJ997" s="50" t="n">
        <f aca="false">N(M997)+N(N997)</f>
        <v>118</v>
      </c>
      <c r="CK997" s="50" t="n">
        <f aca="false">N(M997)</f>
        <v>18</v>
      </c>
      <c r="CL997" s="50" t="n">
        <f aca="false">N(N997)</f>
        <v>100</v>
      </c>
      <c r="CM997" s="50" t="n">
        <f aca="false">ROUNDUP(H997/BY997,0)</f>
        <v>1</v>
      </c>
      <c r="CN997" s="50" t="n">
        <f aca="false">ROUNDUP(CI997/BY997,0)</f>
        <v>0</v>
      </c>
      <c r="CO997" s="53" t="n">
        <f aca="false">IF(BZ997=1,0,IFERROR(VLOOKUP(BX997,'Gebinde-Kategorie'!$A$5:$N$45,5,0)+0,0))</f>
        <v>8</v>
      </c>
      <c r="CP997" s="53" t="n">
        <f aca="false">IFERROR(IF(OR(CE997=1,CE997=2,CE997=3),N(INDEX(Parameter!$I$5:$I$7,CE997)),0),0)</f>
        <v>0</v>
      </c>
      <c r="CQ997" s="52" t="n">
        <f aca="false">IF(AND(Parameter!$B$21="Ja",ISNUMBER(W997),N(X997)&gt;0),IFERROR(N(INDEX(Parameter!$L$5:$L$7,W997))*INDEX(Parameter!$E$5:$E$7,W997)*X997/SUMIFS($X$7:$X$1843,$W$7:$W$1843,W997),0),0)</f>
        <v>0</v>
      </c>
    </row>
    <row r="998" customFormat="false" ht="15" hidden="false" customHeight="false" outlineLevel="0" collapsed="false">
      <c r="A998" s="48" t="s">
        <v>1851</v>
      </c>
      <c r="B998" s="48" t="s">
        <v>844</v>
      </c>
      <c r="C998" s="48" t="s">
        <v>173</v>
      </c>
      <c r="D998" s="48" t="s">
        <v>193</v>
      </c>
      <c r="E998" s="48" t="s">
        <v>194</v>
      </c>
      <c r="F998" s="48" t="s">
        <v>227</v>
      </c>
      <c r="G998" s="49" t="n">
        <v>8.57</v>
      </c>
      <c r="H998" s="50" t="n">
        <f aca="false">MAX(0,IF(AND(Parameter!$B$21="Ja",ISNUMBER(Y998)),Y998,IF(Parameter!$B$20="Jahresanfang 2025 + Export",BR998+BQ998,BQ998)))</f>
        <v>22</v>
      </c>
      <c r="I998" s="50" t="n">
        <f aca="false">H998*G998</f>
        <v>188.54</v>
      </c>
      <c r="J998" s="50" t="n">
        <f aca="false">BT998*Parameter!$B$18</f>
        <v>0</v>
      </c>
      <c r="K998" s="51" t="n">
        <v>27</v>
      </c>
      <c r="L998" s="52" t="n">
        <v>0</v>
      </c>
      <c r="M998" s="50" t="n">
        <v>0</v>
      </c>
      <c r="N998" s="50" t="n">
        <v>10</v>
      </c>
      <c r="O998" s="53" t="n">
        <v>28</v>
      </c>
      <c r="P998" s="48" t="s">
        <v>242</v>
      </c>
      <c r="Q998" s="50" t="n">
        <v>18</v>
      </c>
      <c r="R998" s="53" t="n">
        <f aca="false">IF(BZ998=1,0,IFERROR(VLOOKUP(BX998,'Gebinde-Kategorie'!$A$5:$N$45,13,0)+0,0))</f>
        <v>26</v>
      </c>
      <c r="S998" s="54"/>
      <c r="T998" s="55"/>
      <c r="U998" s="55"/>
      <c r="V998" s="55"/>
      <c r="W998" s="48"/>
      <c r="X998" s="50"/>
      <c r="Y998" s="50"/>
      <c r="Z998" s="48" t="n">
        <f aca="false">IF(A998="","",IF(AND(Parameter!$B$21="Ja",ISNUMBER(W998)),W998,IF(CC998="2+3",IF(ISNUMBER(SEARCH("grosser Artikel",BU998)),2,IFERROR(VLOOKUP(BX998,Parameter!$F$35:$G$64,2,0),2)),IF(OR(CC998="Nein",CC998=""),"-",CC998))))</f>
        <v>3</v>
      </c>
      <c r="AA998" s="55"/>
      <c r="AB998" s="56"/>
      <c r="AC998" s="50" t="n">
        <f aca="false">AV998</f>
        <v>10</v>
      </c>
      <c r="AD998" s="50" t="n">
        <f aca="false">MAX(AV998,H998)</f>
        <v>22</v>
      </c>
      <c r="AE998" s="57"/>
      <c r="AF998" s="50" t="n">
        <f aca="false">IF(LEFT(Cockpit!$C$5,1)="A",H998,IF(Parameter!$E$30="MAX-Bestand",IF(CH998=1,CI998,IF(LEFT(Cockpit!$C$5,1)="B",AL998,MAX(AL998,H998))),ROUNDUP(AJ998,0)))</f>
        <v>22</v>
      </c>
      <c r="AG998" s="50" t="n">
        <f aca="false">IF(BZ998=1,0,ROUNDUP(AF998/BY998,0))</f>
        <v>2</v>
      </c>
      <c r="AH998" s="52" t="n">
        <f aca="false">IF(CQ998&gt;0,CQ998*MAX(1,AF998/X998),IF(BZ998=1,IF(AF998&lt;=0,0,CD998*MAX(1,IF(H998&gt;0,AF998/H998,1))),IF(R998&gt;0,AG998/R998,0))/MAX(0.1,N(Parameter!$M$21)))</f>
        <v>0.0769230769230769</v>
      </c>
      <c r="AI998" s="50" t="n">
        <f aca="false">AH998*CB998</f>
        <v>18.8461538461538</v>
      </c>
      <c r="AJ998" s="51" t="n">
        <f aca="false">IF(LEFT(Cockpit!$C$5,1)="A",H998,IF(CH998=1,(CK998+CI998)/2,IF(LEFT(Cockpit!$C$5,1)="B",(CK998+AL998)/2,MAX((CK998+AL998)/2,H998))))</f>
        <v>22</v>
      </c>
      <c r="AK998" s="50" t="n">
        <f aca="false">AJ998*G998</f>
        <v>188.54</v>
      </c>
      <c r="AL998" s="50" t="n">
        <f aca="false">ROUNDUP(CK998+MAX(CL998,2*(J998/IF(CG998&gt;0,CG998,MAX(0.1,N(Cockpit!$C$6)))-CK998)),0)</f>
        <v>10</v>
      </c>
      <c r="AM998" s="51" t="n">
        <f aca="false">IF(AI998&gt;0,J998/AI998,-1)</f>
        <v>0</v>
      </c>
      <c r="AN998" s="51" t="n">
        <f aca="false">IF(AND(OR(CF998="L1",CF998="L23",CF998="LIFT"),AI998&gt;0),SUMIFS($AI$7:$AI$1843,$CF$7:$CF$1843,CF998,$AM$7:$AM$1843,"&gt;"&amp;AM998)+SUMIFS($AI$7:$AI$1843,$CF$7:$CF$1843,CF998,$AM$7:$AM$1843,AM998,$BW$7:$BW$1843,"&lt;="&amp;BW998),"")</f>
        <v>28941.0313036775</v>
      </c>
      <c r="AO998" s="58" t="n">
        <f aca="false">IF(AN998="",0,MAX(0,MIN(1,(IF(CF998="L1",Parameter!$H$5,IF(CF998="L23",Parameter!$H$6+Parameter!$H$7,Parameter!$H$5+Parameter!$H$6+Parameter!$H$7))-(AN998-AI998))/AI998)))</f>
        <v>1</v>
      </c>
      <c r="AP998" s="50" t="n">
        <f aca="false">IF(LEFT(Cockpit!$I$5,1)="A",H998,IF(Parameter!$E$30="MAX-Bestand",IF(CH998=1,CI998,IF(LEFT(Cockpit!$I$5,1)="B",AV998,MAX(AV998,H998))),ROUNDUP(AT998,0)))</f>
        <v>22</v>
      </c>
      <c r="AQ998" s="50" t="n">
        <f aca="false">IF(BZ998=1,0,ROUNDUP(AP998/BY998,0))</f>
        <v>2</v>
      </c>
      <c r="AR998" s="52" t="n">
        <f aca="false">IF(CQ998&gt;0,CQ998*MAX(1,AP998/X998),IF(BZ998=1,IF(AP998&lt;=0,0,CD998*MAX(1,IF(H998&gt;0,AP998/H998,1))),IF(R998&gt;0,AQ998/R998,0))/MAX(0.1,N(Parameter!$M$21)))</f>
        <v>0.0769230769230769</v>
      </c>
      <c r="AS998" s="50" t="n">
        <f aca="false">AR998*CB998</f>
        <v>18.8461538461538</v>
      </c>
      <c r="AT998" s="51" t="n">
        <f aca="false">IF(LEFT(Cockpit!$I$5,1)="A",H998,IF(CH998=1,(CK998+CI998)/2,IF(LEFT(Cockpit!$I$5,1)="B",(CK998+AV998)/2,MAX((CK998+AV998)/2,H998))))</f>
        <v>22</v>
      </c>
      <c r="AU998" s="50" t="n">
        <f aca="false">AT998*G998</f>
        <v>188.54</v>
      </c>
      <c r="AV998" s="50" t="n">
        <f aca="false">ROUNDUP(CK998+MAX(CL998,2*(J998/IF(CG998&gt;0,CG998,MAX(0.1,N(Cockpit!$I$6)))-CK998)),0)</f>
        <v>10</v>
      </c>
      <c r="AW998" s="51" t="n">
        <f aca="false">IF(AS998&gt;0,J998/AS998,-1)</f>
        <v>0</v>
      </c>
      <c r="AX998" s="51" t="n">
        <f aca="false">IF(AND(OR(CF998="L1",CF998="L23",CF998="LIFT"),AS998&gt;0),SUMIFS($AS$7:$AS$1843,$CF$7:$CF$1843,CF998,$AW$7:$AW$1843,"&gt;"&amp;AW998)+SUMIFS($AS$7:$AS$1843,$CF$7:$CF$1843,CF998,$AW$7:$AW$1843,AW998,$BW$7:$BW$1843,"&lt;="&amp;BW998),"")</f>
        <v>34629.8296703297</v>
      </c>
      <c r="AY998" s="58" t="n">
        <f aca="false">IF(AX998="",0,MAX(0,MIN(1,(IF(CF998="L1",Parameter!$H$5,IF(CF998="L23",Parameter!$H$6+Parameter!$H$7,Parameter!$H$5+Parameter!$H$6+Parameter!$H$7))-(AX998-AS998))/AS998)))</f>
        <v>1</v>
      </c>
      <c r="AZ998" s="50" t="n">
        <f aca="false">IF(LEFT(Cockpit!$O$5,1)="A",H998,IF(Parameter!$E$30="MAX-Bestand",IF(CH998=1,CI998,IF(LEFT(Cockpit!$O$5,1)="B",BF998,MAX(BF998,H998))),ROUNDUP(BD998,0)))</f>
        <v>5</v>
      </c>
      <c r="BA998" s="50" t="n">
        <f aca="false">IF(BZ998=1,0,ROUNDUP(AZ998/BY998,0))</f>
        <v>1</v>
      </c>
      <c r="BB998" s="52" t="n">
        <f aca="false">IF(CQ998&gt;0,CQ998*MAX(1,AZ998/X998),IF(BZ998=1,IF(AZ998&lt;=0,0,CD998*MAX(1,IF(H998&gt;0,AZ998/H998,1))),IF(R998&gt;0,BA998/R998,0))/MAX(0.1,N(Parameter!$M$21)))</f>
        <v>0.0384615384615385</v>
      </c>
      <c r="BC998" s="50" t="n">
        <f aca="false">BB998*CB998</f>
        <v>9.42307692307692</v>
      </c>
      <c r="BD998" s="51" t="n">
        <f aca="false">IF(LEFT(Cockpit!$O$5,1)="A",H998,IF(CH998=1,(CK998+CI998)/2,IF(LEFT(Cockpit!$O$5,1)="B",(CK998+BF998)/2,MAX((CK998+BF998)/2,H998))))</f>
        <v>5</v>
      </c>
      <c r="BE998" s="50" t="n">
        <f aca="false">BD998*G998</f>
        <v>42.85</v>
      </c>
      <c r="BF998" s="50" t="n">
        <f aca="false">ROUNDUP(CK998+MAX(CL998,2*(J998/IF(CG998&gt;0,CG998,MAX(0.1,N(Cockpit!$O$6)))-CK998)),0)</f>
        <v>10</v>
      </c>
      <c r="BG998" s="51" t="n">
        <f aca="false">IF(BC998&gt;0,J998/BC998,-1)</f>
        <v>0</v>
      </c>
      <c r="BH998" s="51" t="n">
        <f aca="false">IF(AND(OR(CF998="L1",CF998="L23",CF998="LIFT"),BC998&gt;0),SUMIFS($BC$7:$BC$1843,$CF$7:$CF$1843,CF998,$BG$7:$BG$1843,"&gt;"&amp;BG998)+SUMIFS($BC$7:$BC$1843,$CF$7:$CF$1843,CF998,$BG$7:$BG$1843,BG998,$BW$7:$BW$1843,"&lt;="&amp;BW998),"")</f>
        <v>28644.9440227851</v>
      </c>
      <c r="BI998" s="58" t="n">
        <f aca="false">IF(BH998="",0,MAX(0,MIN(1,(IF(CF998="L1",Parameter!$H$5,IF(CF998="L23",Parameter!$H$6+Parameter!$H$7,Parameter!$H$5+Parameter!$H$6+Parameter!$H$7))-(BH998-BC998))/BC998)))</f>
        <v>1</v>
      </c>
      <c r="BJ998" s="48" t="str">
        <f aca="false">IF(AI998&lt;=0,"",IF(CF998="Aussen","Aussenlager",IF(CF998="-","Nicht im Lift",IF(AO998&gt;=1,"Lift",IF(AO998&lt;=0,"Aussenlager","teilweise")))))</f>
        <v>Lift</v>
      </c>
      <c r="BK998" s="48" t="str">
        <f aca="false">IF(AS998&lt;=0,"",IF(CF998="Aussen","Aussenlager",IF(CF998="-","Nicht im Lift",IF(AY998&gt;=1,"Lift",IF(AY998&lt;=0,"Aussenlager","teilweise")))))</f>
        <v>Lift</v>
      </c>
      <c r="BL998" s="48" t="str">
        <f aca="false">IF(BC998&lt;=0,"",IF(CF998="Aussen","Aussenlager",IF(CF998="-","Nicht im Lift",IF(BI998&gt;=1,"Lift",IF(BI998&lt;=0,"Aussenlager","teilweise")))))</f>
        <v>Lift</v>
      </c>
      <c r="BM998" s="48" t="str">
        <f aca="false">IF(A998="","",IF(BV998=1,"Neu; ","")&amp;IF(AND(BV998=0,BQ998&lt;0),"negativer Bestand (Export "&amp;BQ998&amp;"); ","")&amp;IF(J998&lt;=0,"Kein Verbrauch; ","")&amp;IF(CQ998&gt;0,"Lift "&amp;W998&amp;" lt. Liftbericht (Fach "&amp;X998&amp;" Stk); ",IF(CA998=1,"Gebinde geschätzt ("&amp;T998&amp;"); ",IF(BZ998=1,"Lose – Tablare geschätzt; ","")))&amp;IF(H998&gt;AV998,"Überbestand "&amp;ROUND(H998-AV998,0)&amp;" Stk / CHF "&amp;ROUND((H998-AV998)*G998,0)&amp;"; ","")&amp;IF(AND(CH998=1,CI998&lt;CJ998),"MAX &lt; MB+LG; ","")&amp;IF(AND(CP998&gt;0,CO998*10&gt;CP998),"zu hoch für Tablar; ","")&amp;IF(AND(BV998=0,OR(CH998=1,AA998&lt;&gt;"",U998&lt;&gt;"",V998&lt;&gt;"",AB998&lt;&gt;"")),"manuell übersteuert; ","")&amp;IF(AND(BZ998=0,R998=0),"Gebinde unbekannt / Stellmass fehlt; ","")&amp;IF(AND(BZ998=0,N(V998)&lt;=0,N(Q998)&lt;=0),"Menge pro Gebinde fehlt (Ist = 1 Gebinde); ","")&amp;BU998)</f>
        <v>negativer Bestand (Export -11); Kein Verbrauch; Überbestand 12 Stk / CHF 103; </v>
      </c>
      <c r="BN998" s="48"/>
      <c r="BO998" s="48"/>
      <c r="BP998" s="55"/>
      <c r="BQ998" s="50" t="n">
        <v>-11</v>
      </c>
      <c r="BR998" s="50" t="n">
        <v>33</v>
      </c>
      <c r="BS998" s="49" t="n">
        <v>-94.27</v>
      </c>
      <c r="BT998" s="50" t="n">
        <v>0</v>
      </c>
      <c r="BU998" s="48"/>
      <c r="BV998" s="53" t="n">
        <v>0</v>
      </c>
      <c r="BW998" s="53" t="n">
        <v>998</v>
      </c>
      <c r="BX998" s="48" t="str">
        <f aca="false">IF(U998&lt;&gt;"",UPPER(TRIM(U998)),IF(CA998=1,UPPER(VLOOKUP(T998,Parameter!$I$27:$K$29,2,0)),IF(P998="","LOSE",P998)))</f>
        <v>S52</v>
      </c>
      <c r="BY998" s="50" t="n">
        <f aca="false">IF(BX998="LOSE",1,IF(N(V998)&gt;0,V998,IF(CA998=1,MAX(1,N(VLOOKUP(T998,Parameter!$I$27:$K$29,3,0)),H998,N(N998)),IF(N(Q998)&gt;0,Q998,MAX(1,H998)))))</f>
        <v>18</v>
      </c>
      <c r="BZ998" s="53" t="n">
        <f aca="false">IF(BX998="LOSE",1,0)</f>
        <v>0</v>
      </c>
      <c r="CA998" s="53" t="n">
        <f aca="false">IF(AND(U998="",OR(P998="",P998="LOSE"),T998&lt;&gt;"",N(S998)&lt;=0,ISNUMBER(MATCH(T998,Parameter!$I$27:$I$29,0))),1,0)</f>
        <v>0</v>
      </c>
      <c r="CB998" s="53" t="n">
        <f aca="false">IF(CQ998&gt;0,INDEX(Parameter!$H$5:$H$7,W998)/INDEX(Parameter!$E$5:$E$7,W998),IF(AND(BZ998=0,N(IFERROR(VLOOKUP(BX998,'Gebinde-Kategorie'!$A$5:$N$45,14,0),0))&gt;0),VLOOKUP(BX998,'Gebinde-Kategorie'!$A$5:$N$45,14,0)*10+Parameter!$M$23,Parameter!$M$24))</f>
        <v>245</v>
      </c>
      <c r="CC998" s="48" t="str">
        <f aca="false">IF(AND(Parameter!$B$19="Ja",E998&lt;&gt;"",ISNUMBER(MATCH(E998,Parameter!$I$35:$I$52,0))),VLOOKUP(E998,Parameter!$I$35:$J$52,2,0),IFERROR(VLOOKUP(D998,Parameter!$A$35:$C$64,2,0),"Nein"))</f>
        <v>2+3</v>
      </c>
      <c r="CD998" s="52" t="n">
        <f aca="false">IF(BZ998=0,0,IF(N(S998)&gt;0,S998,IFERROR(VLOOKUP(D998,Parameter!$A$35:$C$64,3,0)+0,0)))</f>
        <v>0</v>
      </c>
      <c r="CE998" s="48" t="n">
        <f aca="false">IF(AA998&lt;&gt;"",AA998,Z998)</f>
        <v>3</v>
      </c>
      <c r="CF998" s="48" t="str">
        <f aca="false">IF(OR(CE998=1,CE998=2,CE998=3),IF(Parameter!$E$27="Ja","LIFT",IF(CE998=1,"L1","L23")),IF(CE998="Aussen","Aussen","-"))</f>
        <v>LIFT</v>
      </c>
      <c r="CG998" s="59" t="n">
        <f aca="false">IF(N(AB998)&gt;0,AB998,0)</f>
        <v>0</v>
      </c>
      <c r="CH998" s="53" t="n">
        <f aca="false">IF(ISNUMBER(AE998),1,0)</f>
        <v>0</v>
      </c>
      <c r="CI998" s="50" t="n">
        <f aca="false">N(AE998)</f>
        <v>0</v>
      </c>
      <c r="CJ998" s="50" t="n">
        <f aca="false">N(M998)+N(N998)</f>
        <v>10</v>
      </c>
      <c r="CK998" s="50" t="n">
        <f aca="false">N(M998)</f>
        <v>0</v>
      </c>
      <c r="CL998" s="50" t="n">
        <f aca="false">N(N998)</f>
        <v>10</v>
      </c>
      <c r="CM998" s="50" t="n">
        <f aca="false">ROUNDUP(H998/BY998,0)</f>
        <v>2</v>
      </c>
      <c r="CN998" s="50" t="n">
        <f aca="false">ROUNDUP(CI998/BY998,0)</f>
        <v>0</v>
      </c>
      <c r="CO998" s="53" t="n">
        <f aca="false">IF(BZ998=1,0,IFERROR(VLOOKUP(BX998,'Gebinde-Kategorie'!$A$5:$N$45,5,0)+0,0))</f>
        <v>21</v>
      </c>
      <c r="CP998" s="53" t="n">
        <f aca="false">IFERROR(IF(OR(CE998=1,CE998=2,CE998=3),N(INDEX(Parameter!$I$5:$I$7,CE998)),0),0)</f>
        <v>0</v>
      </c>
      <c r="CQ998" s="52" t="n">
        <f aca="false">IF(AND(Parameter!$B$21="Ja",ISNUMBER(W998),N(X998)&gt;0),IFERROR(N(INDEX(Parameter!$L$5:$L$7,W998))*INDEX(Parameter!$E$5:$E$7,W998)*X998/SUMIFS($X$7:$X$1843,$W$7:$W$1843,W998),0),0)</f>
        <v>0</v>
      </c>
    </row>
    <row r="999" customFormat="false" ht="15" hidden="false" customHeight="false" outlineLevel="0" collapsed="false">
      <c r="A999" s="48" t="s">
        <v>1852</v>
      </c>
      <c r="B999" s="48" t="s">
        <v>477</v>
      </c>
      <c r="C999" s="48" t="s">
        <v>173</v>
      </c>
      <c r="D999" s="48" t="s">
        <v>193</v>
      </c>
      <c r="E999" s="48" t="s">
        <v>194</v>
      </c>
      <c r="F999" s="48" t="s">
        <v>227</v>
      </c>
      <c r="G999" s="49" t="n">
        <v>0.44</v>
      </c>
      <c r="H999" s="50" t="n">
        <f aca="false">MAX(0,IF(AND(Parameter!$B$21="Ja",ISNUMBER(Y999)),Y999,IF(Parameter!$B$20="Jahresanfang 2025 + Export",BR999+BQ999,BQ999)))</f>
        <v>137</v>
      </c>
      <c r="I999" s="50" t="n">
        <f aca="false">H999*G999</f>
        <v>60.28</v>
      </c>
      <c r="J999" s="50" t="n">
        <f aca="false">BT999*Parameter!$B$18</f>
        <v>235</v>
      </c>
      <c r="K999" s="51" t="n">
        <v>343.5</v>
      </c>
      <c r="L999" s="52" t="n">
        <v>0.684133915574964</v>
      </c>
      <c r="M999" s="50" t="n">
        <v>9</v>
      </c>
      <c r="N999" s="50" t="n">
        <v>235</v>
      </c>
      <c r="O999" s="53" t="n">
        <v>14</v>
      </c>
      <c r="P999" s="48" t="s">
        <v>337</v>
      </c>
      <c r="Q999" s="50" t="n">
        <v>224</v>
      </c>
      <c r="R999" s="53" t="n">
        <f aca="false">IF(BZ999=1,0,IFERROR(VLOOKUP(BX999,'Gebinde-Kategorie'!$A$5:$N$45,13,0)+0,0))</f>
        <v>52</v>
      </c>
      <c r="S999" s="54"/>
      <c r="T999" s="55"/>
      <c r="U999" s="55"/>
      <c r="V999" s="55"/>
      <c r="W999" s="48"/>
      <c r="X999" s="50"/>
      <c r="Y999" s="50"/>
      <c r="Z999" s="48" t="n">
        <f aca="false">IF(A999="","",IF(AND(Parameter!$B$21="Ja",ISNUMBER(W999)),W999,IF(CC999="2+3",IF(ISNUMBER(SEARCH("grosser Artikel",BU999)),2,IFERROR(VLOOKUP(BX999,Parameter!$F$35:$G$64,2,0),2)),IF(OR(CC999="Nein",CC999=""),"-",CC999))))</f>
        <v>3</v>
      </c>
      <c r="AA999" s="55"/>
      <c r="AB999" s="56"/>
      <c r="AC999" s="50" t="n">
        <f aca="false">AV999</f>
        <v>244</v>
      </c>
      <c r="AD999" s="50" t="n">
        <f aca="false">MAX(AV999,H999)</f>
        <v>244</v>
      </c>
      <c r="AE999" s="57"/>
      <c r="AF999" s="50" t="n">
        <f aca="false">IF(LEFT(Cockpit!$C$5,1)="A",H999,IF(Parameter!$E$30="MAX-Bestand",IF(CH999=1,CI999,IF(LEFT(Cockpit!$C$5,1)="B",AL999,MAX(AL999,H999))),ROUNDUP(AJ999,0)))</f>
        <v>137</v>
      </c>
      <c r="AG999" s="50" t="n">
        <f aca="false">IF(BZ999=1,0,ROUNDUP(AF999/BY999,0))</f>
        <v>1</v>
      </c>
      <c r="AH999" s="52" t="n">
        <f aca="false">IF(CQ999&gt;0,CQ999*MAX(1,AF999/X999),IF(BZ999=1,IF(AF999&lt;=0,0,CD999*MAX(1,IF(H999&gt;0,AF999/H999,1))),IF(R999&gt;0,AG999/R999,0))/MAX(0.1,N(Parameter!$M$21)))</f>
        <v>0.0192307692307692</v>
      </c>
      <c r="AI999" s="50" t="n">
        <f aca="false">AH999*CB999</f>
        <v>2.98076923076923</v>
      </c>
      <c r="AJ999" s="51" t="n">
        <f aca="false">IF(LEFT(Cockpit!$C$5,1)="A",H999,IF(CH999=1,(CK999+CI999)/2,IF(LEFT(Cockpit!$C$5,1)="B",(CK999+AL999)/2,MAX((CK999+AL999)/2,H999))))</f>
        <v>137</v>
      </c>
      <c r="AK999" s="50" t="n">
        <f aca="false">AJ999*G999</f>
        <v>60.28</v>
      </c>
      <c r="AL999" s="50" t="n">
        <f aca="false">ROUNDUP(CK999+MAX(CL999,2*(J999/IF(CG999&gt;0,CG999,MAX(0.1,N(Cockpit!$C$6)))-CK999)),0)</f>
        <v>244</v>
      </c>
      <c r="AM999" s="51" t="n">
        <f aca="false">IF(AI999&gt;0,J999/AI999,-1)</f>
        <v>78.8387096774194</v>
      </c>
      <c r="AN999" s="51" t="n">
        <f aca="false">IF(AND(OR(CF999="L1",CF999="L23",CF999="LIFT"),AI999&gt;0),SUMIFS($AI$7:$AI$1843,$CF$7:$CF$1843,CF999,$AM$7:$AM$1843,"&gt;"&amp;AM999)+SUMIFS($AI$7:$AI$1843,$CF$7:$CF$1843,CF999,$AM$7:$AM$1843,AM999,$BW$7:$BW$1843,"&lt;="&amp;BW999),"")</f>
        <v>864.428571428571</v>
      </c>
      <c r="AO999" s="58" t="n">
        <f aca="false">IF(AN999="",0,MAX(0,MIN(1,(IF(CF999="L1",Parameter!$H$5,IF(CF999="L23",Parameter!$H$6+Parameter!$H$7,Parameter!$H$5+Parameter!$H$6+Parameter!$H$7))-(AN999-AI999))/AI999)))</f>
        <v>1</v>
      </c>
      <c r="AP999" s="50" t="n">
        <f aca="false">IF(LEFT(Cockpit!$I$5,1)="A",H999,IF(Parameter!$E$30="MAX-Bestand",IF(CH999=1,CI999,IF(LEFT(Cockpit!$I$5,1)="B",AV999,MAX(AV999,H999))),ROUNDUP(AT999,0)))</f>
        <v>137</v>
      </c>
      <c r="AQ999" s="50" t="n">
        <f aca="false">IF(BZ999=1,0,ROUNDUP(AP999/BY999,0))</f>
        <v>1</v>
      </c>
      <c r="AR999" s="52" t="n">
        <f aca="false">IF(CQ999&gt;0,CQ999*MAX(1,AP999/X999),IF(BZ999=1,IF(AP999&lt;=0,0,CD999*MAX(1,IF(H999&gt;0,AP999/H999,1))),IF(R999&gt;0,AQ999/R999,0))/MAX(0.1,N(Parameter!$M$21)))</f>
        <v>0.0192307692307692</v>
      </c>
      <c r="AS999" s="50" t="n">
        <f aca="false">AR999*CB999</f>
        <v>2.98076923076923</v>
      </c>
      <c r="AT999" s="51" t="n">
        <f aca="false">IF(LEFT(Cockpit!$I$5,1)="A",H999,IF(CH999=1,(CK999+CI999)/2,IF(LEFT(Cockpit!$I$5,1)="B",(CK999+AV999)/2,MAX((CK999+AV999)/2,H999))))</f>
        <v>137</v>
      </c>
      <c r="AU999" s="50" t="n">
        <f aca="false">AT999*G999</f>
        <v>60.28</v>
      </c>
      <c r="AV999" s="50" t="n">
        <f aca="false">ROUNDUP(CK999+MAX(CL999,2*(J999/IF(CG999&gt;0,CG999,MAX(0.1,N(Cockpit!$I$6)))-CK999)),0)</f>
        <v>244</v>
      </c>
      <c r="AW999" s="51" t="n">
        <f aca="false">IF(AS999&gt;0,J999/AS999,-1)</f>
        <v>78.8387096774194</v>
      </c>
      <c r="AX999" s="51" t="n">
        <f aca="false">IF(AND(OR(CF999="L1",CF999="L23",CF999="LIFT"),AS999&gt;0),SUMIFS($AS$7:$AS$1843,$CF$7:$CF$1843,CF999,$AW$7:$AW$1843,"&gt;"&amp;AW999)+SUMIFS($AS$7:$AS$1843,$CF$7:$CF$1843,CF999,$AW$7:$AW$1843,AW999,$BW$7:$BW$1843,"&lt;="&amp;BW999),"")</f>
        <v>1077.34065934066</v>
      </c>
      <c r="AY999" s="58" t="n">
        <f aca="false">IF(AX999="",0,MAX(0,MIN(1,(IF(CF999="L1",Parameter!$H$5,IF(CF999="L23",Parameter!$H$6+Parameter!$H$7,Parameter!$H$5+Parameter!$H$6+Parameter!$H$7))-(AX999-AS999))/AS999)))</f>
        <v>1</v>
      </c>
      <c r="AZ999" s="50" t="n">
        <f aca="false">IF(LEFT(Cockpit!$O$5,1)="A",H999,IF(Parameter!$E$30="MAX-Bestand",IF(CH999=1,CI999,IF(LEFT(Cockpit!$O$5,1)="B",BF999,MAX(BF999,H999))),ROUNDUP(BD999,0)))</f>
        <v>127</v>
      </c>
      <c r="BA999" s="50" t="n">
        <f aca="false">IF(BZ999=1,0,ROUNDUP(AZ999/BY999,0))</f>
        <v>1</v>
      </c>
      <c r="BB999" s="52" t="n">
        <f aca="false">IF(CQ999&gt;0,CQ999*MAX(1,AZ999/X999),IF(BZ999=1,IF(AZ999&lt;=0,0,CD999*MAX(1,IF(H999&gt;0,AZ999/H999,1))),IF(R999&gt;0,BA999/R999,0))/MAX(0.1,N(Parameter!$M$21)))</f>
        <v>0.0192307692307692</v>
      </c>
      <c r="BC999" s="50" t="n">
        <f aca="false">BB999*CB999</f>
        <v>2.98076923076923</v>
      </c>
      <c r="BD999" s="51" t="n">
        <f aca="false">IF(LEFT(Cockpit!$O$5,1)="A",H999,IF(CH999=1,(CK999+CI999)/2,IF(LEFT(Cockpit!$O$5,1)="B",(CK999+BF999)/2,MAX((CK999+BF999)/2,H999))))</f>
        <v>126.5</v>
      </c>
      <c r="BE999" s="50" t="n">
        <f aca="false">BD999*G999</f>
        <v>55.66</v>
      </c>
      <c r="BF999" s="50" t="n">
        <f aca="false">ROUNDUP(CK999+MAX(CL999,2*(J999/IF(CG999&gt;0,CG999,MAX(0.1,N(Cockpit!$O$6)))-CK999)),0)</f>
        <v>244</v>
      </c>
      <c r="BG999" s="51" t="n">
        <f aca="false">IF(BC999&gt;0,J999/BC999,-1)</f>
        <v>78.8387096774194</v>
      </c>
      <c r="BH999" s="51" t="n">
        <f aca="false">IF(AND(OR(CF999="L1",CF999="L23",CF999="LIFT"),BC999&gt;0),SUMIFS($BC$7:$BC$1843,$CF$7:$CF$1843,CF999,$BG$7:$BG$1843,"&gt;"&amp;BG999)+SUMIFS($BC$7:$BC$1843,$CF$7:$CF$1843,CF999,$BG$7:$BG$1843,BG999,$BW$7:$BW$1843,"&lt;="&amp;BW999),"")</f>
        <v>992.498168498169</v>
      </c>
      <c r="BI999" s="58" t="n">
        <f aca="false">IF(BH999="",0,MAX(0,MIN(1,(IF(CF999="L1",Parameter!$H$5,IF(CF999="L23",Parameter!$H$6+Parameter!$H$7,Parameter!$H$5+Parameter!$H$6+Parameter!$H$7))-(BH999-BC999))/BC999)))</f>
        <v>1</v>
      </c>
      <c r="BJ999" s="48" t="str">
        <f aca="false">IF(AI999&lt;=0,"",IF(CF999="Aussen","Aussenlager",IF(CF999="-","Nicht im Lift",IF(AO999&gt;=1,"Lift",IF(AO999&lt;=0,"Aussenlager","teilweise")))))</f>
        <v>Lift</v>
      </c>
      <c r="BK999" s="48" t="str">
        <f aca="false">IF(AS999&lt;=0,"",IF(CF999="Aussen","Aussenlager",IF(CF999="-","Nicht im Lift",IF(AY999&gt;=1,"Lift",IF(AY999&lt;=0,"Aussenlager","teilweise")))))</f>
        <v>Lift</v>
      </c>
      <c r="BL999" s="48" t="str">
        <f aca="false">IF(BC999&lt;=0,"",IF(CF999="Aussen","Aussenlager",IF(CF999="-","Nicht im Lift",IF(BI999&gt;=1,"Lift",IF(BI999&lt;=0,"Aussenlager","teilweise")))))</f>
        <v>Lift</v>
      </c>
      <c r="BM999" s="48" t="str">
        <f aca="false">IF(A999="","",IF(BV999=1,"Neu; ","")&amp;IF(AND(BV999=0,BQ999&lt;0),"negativer Bestand (Export "&amp;BQ999&amp;"); ","")&amp;IF(J999&lt;=0,"Kein Verbrauch; ","")&amp;IF(CQ999&gt;0,"Lift "&amp;W999&amp;" lt. Liftbericht (Fach "&amp;X999&amp;" Stk); ",IF(CA999=1,"Gebinde geschätzt ("&amp;T999&amp;"); ",IF(BZ999=1,"Lose – Tablare geschätzt; ","")))&amp;IF(H999&gt;AV999,"Überbestand "&amp;ROUND(H999-AV999,0)&amp;" Stk / CHF "&amp;ROUND((H999-AV999)*G999,0)&amp;"; ","")&amp;IF(AND(CH999=1,CI999&lt;CJ999),"MAX &lt; MB+LG; ","")&amp;IF(AND(CP999&gt;0,CO999*10&gt;CP999),"zu hoch für Tablar; ","")&amp;IF(AND(BV999=0,OR(CH999=1,AA999&lt;&gt;"",U999&lt;&gt;"",V999&lt;&gt;"",AB999&lt;&gt;"")),"manuell übersteuert; ","")&amp;IF(AND(BZ999=0,R999=0),"Gebinde unbekannt / Stellmass fehlt; ","")&amp;IF(AND(BZ999=0,N(V999)&lt;=0,N(Q999)&lt;=0),"Menge pro Gebinde fehlt (Ist = 1 Gebinde); ","")&amp;BU999)</f>
        <v>negativer Bestand (Export -224); </v>
      </c>
      <c r="BN999" s="48"/>
      <c r="BO999" s="48"/>
      <c r="BP999" s="55"/>
      <c r="BQ999" s="50" t="n">
        <v>-224</v>
      </c>
      <c r="BR999" s="50" t="n">
        <v>361</v>
      </c>
      <c r="BS999" s="49" t="n">
        <v>-95.0999999999999</v>
      </c>
      <c r="BT999" s="50" t="n">
        <v>235</v>
      </c>
      <c r="BU999" s="48"/>
      <c r="BV999" s="53" t="n">
        <v>0</v>
      </c>
      <c r="BW999" s="53" t="n">
        <v>999</v>
      </c>
      <c r="BX999" s="48" t="str">
        <f aca="false">IF(U999&lt;&gt;"",UPPER(TRIM(U999)),IF(CA999=1,UPPER(VLOOKUP(T999,Parameter!$I$27:$K$29,2,0)),IF(P999="","LOSE",P999)))</f>
        <v>S41</v>
      </c>
      <c r="BY999" s="50" t="n">
        <f aca="false">IF(BX999="LOSE",1,IF(N(V999)&gt;0,V999,IF(CA999=1,MAX(1,N(VLOOKUP(T999,Parameter!$I$27:$K$29,3,0)),H999,N(N999)),IF(N(Q999)&gt;0,Q999,MAX(1,H999)))))</f>
        <v>224</v>
      </c>
      <c r="BZ999" s="53" t="n">
        <f aca="false">IF(BX999="LOSE",1,0)</f>
        <v>0</v>
      </c>
      <c r="CA999" s="53" t="n">
        <f aca="false">IF(AND(U999="",OR(P999="",P999="LOSE"),T999&lt;&gt;"",N(S999)&lt;=0,ISNUMBER(MATCH(T999,Parameter!$I$27:$I$29,0))),1,0)</f>
        <v>0</v>
      </c>
      <c r="CB999" s="53" t="n">
        <f aca="false">IF(CQ999&gt;0,INDEX(Parameter!$H$5:$H$7,W999)/INDEX(Parameter!$E$5:$E$7,W999),IF(AND(BZ999=0,N(IFERROR(VLOOKUP(BX999,'Gebinde-Kategorie'!$A$5:$N$45,14,0),0))&gt;0),VLOOKUP(BX999,'Gebinde-Kategorie'!$A$5:$N$45,14,0)*10+Parameter!$M$23,Parameter!$M$24))</f>
        <v>155</v>
      </c>
      <c r="CC999" s="48" t="str">
        <f aca="false">IF(AND(Parameter!$B$19="Ja",E999&lt;&gt;"",ISNUMBER(MATCH(E999,Parameter!$I$35:$I$52,0))),VLOOKUP(E999,Parameter!$I$35:$J$52,2,0),IFERROR(VLOOKUP(D999,Parameter!$A$35:$C$64,2,0),"Nein"))</f>
        <v>2+3</v>
      </c>
      <c r="CD999" s="52" t="n">
        <f aca="false">IF(BZ999=0,0,IF(N(S999)&gt;0,S999,IFERROR(VLOOKUP(D999,Parameter!$A$35:$C$64,3,0)+0,0)))</f>
        <v>0</v>
      </c>
      <c r="CE999" s="48" t="n">
        <f aca="false">IF(AA999&lt;&gt;"",AA999,Z999)</f>
        <v>3</v>
      </c>
      <c r="CF999" s="48" t="str">
        <f aca="false">IF(OR(CE999=1,CE999=2,CE999=3),IF(Parameter!$E$27="Ja","LIFT",IF(CE999=1,"L1","L23")),IF(CE999="Aussen","Aussen","-"))</f>
        <v>LIFT</v>
      </c>
      <c r="CG999" s="59" t="n">
        <f aca="false">IF(N(AB999)&gt;0,AB999,0)</f>
        <v>0</v>
      </c>
      <c r="CH999" s="53" t="n">
        <f aca="false">IF(ISNUMBER(AE999),1,0)</f>
        <v>0</v>
      </c>
      <c r="CI999" s="50" t="n">
        <f aca="false">N(AE999)</f>
        <v>0</v>
      </c>
      <c r="CJ999" s="50" t="n">
        <f aca="false">N(M999)+N(N999)</f>
        <v>244</v>
      </c>
      <c r="CK999" s="50" t="n">
        <f aca="false">N(M999)</f>
        <v>9</v>
      </c>
      <c r="CL999" s="50" t="n">
        <f aca="false">N(N999)</f>
        <v>235</v>
      </c>
      <c r="CM999" s="50" t="n">
        <f aca="false">ROUNDUP(H999/BY999,0)</f>
        <v>1</v>
      </c>
      <c r="CN999" s="50" t="n">
        <f aca="false">ROUNDUP(CI999/BY999,0)</f>
        <v>0</v>
      </c>
      <c r="CO999" s="53" t="n">
        <f aca="false">IF(BZ999=1,0,IFERROR(VLOOKUP(BX999,'Gebinde-Kategorie'!$A$5:$N$45,5,0)+0,0))</f>
        <v>11</v>
      </c>
      <c r="CP999" s="53" t="n">
        <f aca="false">IFERROR(IF(OR(CE999=1,CE999=2,CE999=3),N(INDEX(Parameter!$I$5:$I$7,CE999)),0),0)</f>
        <v>0</v>
      </c>
      <c r="CQ999" s="52" t="n">
        <f aca="false">IF(AND(Parameter!$B$21="Ja",ISNUMBER(W999),N(X999)&gt;0),IFERROR(N(INDEX(Parameter!$L$5:$L$7,W999))*INDEX(Parameter!$E$5:$E$7,W999)*X999/SUMIFS($X$7:$X$1843,$W$7:$W$1843,W999),0),0)</f>
        <v>0</v>
      </c>
    </row>
    <row r="1000" customFormat="false" ht="15" hidden="false" customHeight="false" outlineLevel="0" collapsed="false">
      <c r="A1000" s="48" t="s">
        <v>1853</v>
      </c>
      <c r="B1000" s="48" t="s">
        <v>1854</v>
      </c>
      <c r="C1000" s="48" t="s">
        <v>173</v>
      </c>
      <c r="D1000" s="48" t="s">
        <v>193</v>
      </c>
      <c r="E1000" s="48"/>
      <c r="F1000" s="48" t="s">
        <v>227</v>
      </c>
      <c r="G1000" s="49" t="n">
        <v>28.43</v>
      </c>
      <c r="H1000" s="50" t="n">
        <f aca="false">MAX(0,IF(AND(Parameter!$B$21="Ja",ISNUMBER(Y1000)),Y1000,IF(Parameter!$B$20="Jahresanfang 2025 + Export",BR1000+BQ1000,BQ1000)))</f>
        <v>5</v>
      </c>
      <c r="I1000" s="50" t="n">
        <f aca="false">H1000*G1000</f>
        <v>142.15</v>
      </c>
      <c r="J1000" s="50" t="n">
        <f aca="false">BT1000*Parameter!$B$18</f>
        <v>5</v>
      </c>
      <c r="K1000" s="51" t="n">
        <v>11.5</v>
      </c>
      <c r="L1000" s="52" t="n">
        <v>0.434782608695652</v>
      </c>
      <c r="M1000" s="50" t="n">
        <v>0</v>
      </c>
      <c r="N1000" s="50" t="n">
        <v>5</v>
      </c>
      <c r="O1000" s="53" t="n">
        <v>21</v>
      </c>
      <c r="P1000" s="48" t="s">
        <v>337</v>
      </c>
      <c r="Q1000" s="50" t="n">
        <v>5</v>
      </c>
      <c r="R1000" s="53" t="n">
        <f aca="false">IF(BZ1000=1,0,IFERROR(VLOOKUP(BX1000,'Gebinde-Kategorie'!$A$5:$N$45,13,0)+0,0))</f>
        <v>52</v>
      </c>
      <c r="S1000" s="54"/>
      <c r="T1000" s="55"/>
      <c r="U1000" s="55"/>
      <c r="V1000" s="55"/>
      <c r="W1000" s="48"/>
      <c r="X1000" s="50"/>
      <c r="Y1000" s="50"/>
      <c r="Z1000" s="48" t="n">
        <f aca="false">IF(A1000="","",IF(AND(Parameter!$B$21="Ja",ISNUMBER(W1000)),W1000,IF(CC1000="2+3",IF(ISNUMBER(SEARCH("grosser Artikel",BU1000)),2,IFERROR(VLOOKUP(BX1000,Parameter!$F$35:$G$64,2,0),2)),IF(OR(CC1000="Nein",CC1000=""),"-",CC1000))))</f>
        <v>3</v>
      </c>
      <c r="AA1000" s="55"/>
      <c r="AB1000" s="56"/>
      <c r="AC1000" s="50" t="n">
        <f aca="false">AV1000</f>
        <v>5</v>
      </c>
      <c r="AD1000" s="50" t="n">
        <f aca="false">MAX(AV1000,H1000)</f>
        <v>5</v>
      </c>
      <c r="AE1000" s="57"/>
      <c r="AF1000" s="50" t="n">
        <f aca="false">IF(LEFT(Cockpit!$C$5,1)="A",H1000,IF(Parameter!$E$30="MAX-Bestand",IF(CH1000=1,CI1000,IF(LEFT(Cockpit!$C$5,1)="B",AL1000,MAX(AL1000,H1000))),ROUNDUP(AJ1000,0)))</f>
        <v>5</v>
      </c>
      <c r="AG1000" s="50" t="n">
        <f aca="false">IF(BZ1000=1,0,ROUNDUP(AF1000/BY1000,0))</f>
        <v>1</v>
      </c>
      <c r="AH1000" s="52" t="n">
        <f aca="false">IF(CQ1000&gt;0,CQ1000*MAX(1,AF1000/X1000),IF(BZ1000=1,IF(AF1000&lt;=0,0,CD1000*MAX(1,IF(H1000&gt;0,AF1000/H1000,1))),IF(R1000&gt;0,AG1000/R1000,0))/MAX(0.1,N(Parameter!$M$21)))</f>
        <v>0.0192307692307692</v>
      </c>
      <c r="AI1000" s="50" t="n">
        <f aca="false">AH1000*CB1000</f>
        <v>2.98076923076923</v>
      </c>
      <c r="AJ1000" s="51" t="n">
        <f aca="false">IF(LEFT(Cockpit!$C$5,1)="A",H1000,IF(CH1000=1,(CK1000+CI1000)/2,IF(LEFT(Cockpit!$C$5,1)="B",(CK1000+AL1000)/2,MAX((CK1000+AL1000)/2,H1000))))</f>
        <v>5</v>
      </c>
      <c r="AK1000" s="50" t="n">
        <f aca="false">AJ1000*G1000</f>
        <v>142.15</v>
      </c>
      <c r="AL1000" s="50" t="n">
        <f aca="false">ROUNDUP(CK1000+MAX(CL1000,2*(J1000/IF(CG1000&gt;0,CG1000,MAX(0.1,N(Cockpit!$C$6)))-CK1000)),0)</f>
        <v>5</v>
      </c>
      <c r="AM1000" s="51" t="n">
        <f aca="false">IF(AI1000&gt;0,J1000/AI1000,-1)</f>
        <v>1.67741935483871</v>
      </c>
      <c r="AN1000" s="51" t="n">
        <f aca="false">IF(AND(OR(CF1000="L1",CF1000="L23",CF1000="LIFT"),AI1000&gt;0),SUMIFS($AI$7:$AI$1843,$CF$7:$CF$1843,CF1000,$AM$7:$AM$1843,"&gt;"&amp;AM1000)+SUMIFS($AI$7:$AI$1843,$CF$7:$CF$1843,CF1000,$AM$7:$AM$1843,AM1000,$BW$7:$BW$1843,"&lt;="&amp;BW1000),"")</f>
        <v>6063.7760989011</v>
      </c>
      <c r="AO1000" s="58" t="n">
        <f aca="false">IF(AN1000="",0,MAX(0,MIN(1,(IF(CF1000="L1",Parameter!$H$5,IF(CF1000="L23",Parameter!$H$6+Parameter!$H$7,Parameter!$H$5+Parameter!$H$6+Parameter!$H$7))-(AN1000-AI1000))/AI1000)))</f>
        <v>1</v>
      </c>
      <c r="AP1000" s="50" t="n">
        <f aca="false">IF(LEFT(Cockpit!$I$5,1)="A",H1000,IF(Parameter!$E$30="MAX-Bestand",IF(CH1000=1,CI1000,IF(LEFT(Cockpit!$I$5,1)="B",AV1000,MAX(AV1000,H1000))),ROUNDUP(AT1000,0)))</f>
        <v>5</v>
      </c>
      <c r="AQ1000" s="50" t="n">
        <f aca="false">IF(BZ1000=1,0,ROUNDUP(AP1000/BY1000,0))</f>
        <v>1</v>
      </c>
      <c r="AR1000" s="52" t="n">
        <f aca="false">IF(CQ1000&gt;0,CQ1000*MAX(1,AP1000/X1000),IF(BZ1000=1,IF(AP1000&lt;=0,0,CD1000*MAX(1,IF(H1000&gt;0,AP1000/H1000,1))),IF(R1000&gt;0,AQ1000/R1000,0))/MAX(0.1,N(Parameter!$M$21)))</f>
        <v>0.0192307692307692</v>
      </c>
      <c r="AS1000" s="50" t="n">
        <f aca="false">AR1000*CB1000</f>
        <v>2.98076923076923</v>
      </c>
      <c r="AT1000" s="51" t="n">
        <f aca="false">IF(LEFT(Cockpit!$I$5,1)="A",H1000,IF(CH1000=1,(CK1000+CI1000)/2,IF(LEFT(Cockpit!$I$5,1)="B",(CK1000+AV1000)/2,MAX((CK1000+AV1000)/2,H1000))))</f>
        <v>5</v>
      </c>
      <c r="AU1000" s="50" t="n">
        <f aca="false">AT1000*G1000</f>
        <v>142.15</v>
      </c>
      <c r="AV1000" s="50" t="n">
        <f aca="false">ROUNDUP(CK1000+MAX(CL1000,2*(J1000/IF(CG1000&gt;0,CG1000,MAX(0.1,N(Cockpit!$I$6)))-CK1000)),0)</f>
        <v>5</v>
      </c>
      <c r="AW1000" s="51" t="n">
        <f aca="false">IF(AS1000&gt;0,J1000/AS1000,-1)</f>
        <v>1.67741935483871</v>
      </c>
      <c r="AX1000" s="51" t="n">
        <f aca="false">IF(AND(OR(CF1000="L1",CF1000="L23",CF1000="LIFT"),AS1000&gt;0),SUMIFS($AS$7:$AS$1843,$CF$7:$CF$1843,CF1000,$AW$7:$AW$1843,"&gt;"&amp;AW1000)+SUMIFS($AS$7:$AS$1843,$CF$7:$CF$1843,CF1000,$AW$7:$AW$1843,AW1000,$BW$7:$BW$1843,"&lt;="&amp;BW1000),"")</f>
        <v>7491.74175824176</v>
      </c>
      <c r="AY1000" s="58" t="n">
        <f aca="false">IF(AX1000="",0,MAX(0,MIN(1,(IF(CF1000="L1",Parameter!$H$5,IF(CF1000="L23",Parameter!$H$6+Parameter!$H$7,Parameter!$H$5+Parameter!$H$6+Parameter!$H$7))-(AX1000-AS1000))/AS1000)))</f>
        <v>1</v>
      </c>
      <c r="AZ1000" s="50" t="n">
        <f aca="false">IF(LEFT(Cockpit!$O$5,1)="A",H1000,IF(Parameter!$E$30="MAX-Bestand",IF(CH1000=1,CI1000,IF(LEFT(Cockpit!$O$5,1)="B",BF1000,MAX(BF1000,H1000))),ROUNDUP(BD1000,0)))</f>
        <v>3</v>
      </c>
      <c r="BA1000" s="50" t="n">
        <f aca="false">IF(BZ1000=1,0,ROUNDUP(AZ1000/BY1000,0))</f>
        <v>1</v>
      </c>
      <c r="BB1000" s="52" t="n">
        <f aca="false">IF(CQ1000&gt;0,CQ1000*MAX(1,AZ1000/X1000),IF(BZ1000=1,IF(AZ1000&lt;=0,0,CD1000*MAX(1,IF(H1000&gt;0,AZ1000/H1000,1))),IF(R1000&gt;0,BA1000/R1000,0))/MAX(0.1,N(Parameter!$M$21)))</f>
        <v>0.0192307692307692</v>
      </c>
      <c r="BC1000" s="50" t="n">
        <f aca="false">BB1000*CB1000</f>
        <v>2.98076923076923</v>
      </c>
      <c r="BD1000" s="51" t="n">
        <f aca="false">IF(LEFT(Cockpit!$O$5,1)="A",H1000,IF(CH1000=1,(CK1000+CI1000)/2,IF(LEFT(Cockpit!$O$5,1)="B",(CK1000+BF1000)/2,MAX((CK1000+BF1000)/2,H1000))))</f>
        <v>2.5</v>
      </c>
      <c r="BE1000" s="50" t="n">
        <f aca="false">BD1000*G1000</f>
        <v>71.075</v>
      </c>
      <c r="BF1000" s="50" t="n">
        <f aca="false">ROUNDUP(CK1000+MAX(CL1000,2*(J1000/IF(CG1000&gt;0,CG1000,MAX(0.1,N(Cockpit!$O$6)))-CK1000)),0)</f>
        <v>5</v>
      </c>
      <c r="BG1000" s="51" t="n">
        <f aca="false">IF(BC1000&gt;0,J1000/BC1000,-1)</f>
        <v>1.67741935483871</v>
      </c>
      <c r="BH1000" s="51" t="n">
        <f aca="false">IF(AND(OR(CF1000="L1",CF1000="L23",CF1000="LIFT"),BC1000&gt;0),SUMIFS($BC$7:$BC$1843,$CF$7:$CF$1843,CF1000,$BG$7:$BG$1843,"&gt;"&amp;BG1000)+SUMIFS($BC$7:$BC$1843,$CF$7:$CF$1843,CF1000,$BG$7:$BG$1843,BG1000,$BW$7:$BW$1843,"&lt;="&amp;BW1000),"")</f>
        <v>6306.58562271062</v>
      </c>
      <c r="BI1000" s="58" t="n">
        <f aca="false">IF(BH1000="",0,MAX(0,MIN(1,(IF(CF1000="L1",Parameter!$H$5,IF(CF1000="L23",Parameter!$H$6+Parameter!$H$7,Parameter!$H$5+Parameter!$H$6+Parameter!$H$7))-(BH1000-BC1000))/BC1000)))</f>
        <v>1</v>
      </c>
      <c r="BJ1000" s="48" t="str">
        <f aca="false">IF(AI1000&lt;=0,"",IF(CF1000="Aussen","Aussenlager",IF(CF1000="-","Nicht im Lift",IF(AO1000&gt;=1,"Lift",IF(AO1000&lt;=0,"Aussenlager","teilweise")))))</f>
        <v>Lift</v>
      </c>
      <c r="BK1000" s="48" t="str">
        <f aca="false">IF(AS1000&lt;=0,"",IF(CF1000="Aussen","Aussenlager",IF(CF1000="-","Nicht im Lift",IF(AY1000&gt;=1,"Lift",IF(AY1000&lt;=0,"Aussenlager","teilweise")))))</f>
        <v>Lift</v>
      </c>
      <c r="BL1000" s="48" t="str">
        <f aca="false">IF(BC1000&lt;=0,"",IF(CF1000="Aussen","Aussenlager",IF(CF1000="-","Nicht im Lift",IF(BI1000&gt;=1,"Lift",IF(BI1000&lt;=0,"Aussenlager","teilweise")))))</f>
        <v>Lift</v>
      </c>
      <c r="BM1000" s="48" t="str">
        <f aca="false">IF(A1000="","",IF(BV1000=1,"Neu; ","")&amp;IF(AND(BV1000=0,BQ1000&lt;0),"negativer Bestand (Export "&amp;BQ1000&amp;"); ","")&amp;IF(J1000&lt;=0,"Kein Verbrauch; ","")&amp;IF(CQ1000&gt;0,"Lift "&amp;W1000&amp;" lt. Liftbericht (Fach "&amp;X1000&amp;" Stk); ",IF(CA1000=1,"Gebinde geschätzt ("&amp;T1000&amp;"); ",IF(BZ1000=1,"Lose – Tablare geschätzt; ","")))&amp;IF(H1000&gt;AV1000,"Überbestand "&amp;ROUND(H1000-AV1000,0)&amp;" Stk / CHF "&amp;ROUND((H1000-AV1000)*G1000,0)&amp;"; ","")&amp;IF(AND(CH1000=1,CI1000&lt;CJ1000),"MAX &lt; MB+LG; ","")&amp;IF(AND(CP1000&gt;0,CO1000*10&gt;CP1000),"zu hoch für Tablar; ","")&amp;IF(AND(BV1000=0,OR(CH1000=1,AA1000&lt;&gt;"",U1000&lt;&gt;"",V1000&lt;&gt;"",AB1000&lt;&gt;"")),"manuell übersteuert; ","")&amp;IF(AND(BZ1000=0,R1000=0),"Gebinde unbekannt / Stellmass fehlt; ","")&amp;IF(AND(BZ1000=0,N(V1000)&lt;=0,N(Q1000)&lt;=0),"Menge pro Gebinde fehlt (Ist = 1 Gebinde); ","")&amp;BU1000)</f>
        <v>negativer Bestand (Export -9); </v>
      </c>
      <c r="BN1000" s="48"/>
      <c r="BO1000" s="48"/>
      <c r="BP1000" s="55"/>
      <c r="BQ1000" s="50" t="n">
        <v>-9</v>
      </c>
      <c r="BR1000" s="50" t="n">
        <v>14</v>
      </c>
      <c r="BS1000" s="49" t="n">
        <v>-95.85</v>
      </c>
      <c r="BT1000" s="50" t="n">
        <v>5</v>
      </c>
      <c r="BU1000" s="48"/>
      <c r="BV1000" s="53" t="n">
        <v>0</v>
      </c>
      <c r="BW1000" s="53" t="n">
        <v>1000</v>
      </c>
      <c r="BX1000" s="48" t="str">
        <f aca="false">IF(U1000&lt;&gt;"",UPPER(TRIM(U1000)),IF(CA1000=1,UPPER(VLOOKUP(T1000,Parameter!$I$27:$K$29,2,0)),IF(P1000="","LOSE",P1000)))</f>
        <v>S41</v>
      </c>
      <c r="BY1000" s="50" t="n">
        <f aca="false">IF(BX1000="LOSE",1,IF(N(V1000)&gt;0,V1000,IF(CA1000=1,MAX(1,N(VLOOKUP(T1000,Parameter!$I$27:$K$29,3,0)),H1000,N(N1000)),IF(N(Q1000)&gt;0,Q1000,MAX(1,H1000)))))</f>
        <v>5</v>
      </c>
      <c r="BZ1000" s="53" t="n">
        <f aca="false">IF(BX1000="LOSE",1,0)</f>
        <v>0</v>
      </c>
      <c r="CA1000" s="53" t="n">
        <f aca="false">IF(AND(U1000="",OR(P1000="",P1000="LOSE"),T1000&lt;&gt;"",N(S1000)&lt;=0,ISNUMBER(MATCH(T1000,Parameter!$I$27:$I$29,0))),1,0)</f>
        <v>0</v>
      </c>
      <c r="CB1000" s="53" t="n">
        <f aca="false">IF(CQ1000&gt;0,INDEX(Parameter!$H$5:$H$7,W1000)/INDEX(Parameter!$E$5:$E$7,W1000),IF(AND(BZ1000=0,N(IFERROR(VLOOKUP(BX1000,'Gebinde-Kategorie'!$A$5:$N$45,14,0),0))&gt;0),VLOOKUP(BX1000,'Gebinde-Kategorie'!$A$5:$N$45,14,0)*10+Parameter!$M$23,Parameter!$M$24))</f>
        <v>155</v>
      </c>
      <c r="CC1000" s="48" t="str">
        <f aca="false">IF(AND(Parameter!$B$19="Ja",E1000&lt;&gt;"",ISNUMBER(MATCH(E1000,Parameter!$I$35:$I$52,0))),VLOOKUP(E1000,Parameter!$I$35:$J$52,2,0),IFERROR(VLOOKUP(D1000,Parameter!$A$35:$C$64,2,0),"Nein"))</f>
        <v>2+3</v>
      </c>
      <c r="CD1000" s="52" t="n">
        <f aca="false">IF(BZ1000=0,0,IF(N(S1000)&gt;0,S1000,IFERROR(VLOOKUP(D1000,Parameter!$A$35:$C$64,3,0)+0,0)))</f>
        <v>0</v>
      </c>
      <c r="CE1000" s="48" t="n">
        <f aca="false">IF(AA1000&lt;&gt;"",AA1000,Z1000)</f>
        <v>3</v>
      </c>
      <c r="CF1000" s="48" t="str">
        <f aca="false">IF(OR(CE1000=1,CE1000=2,CE1000=3),IF(Parameter!$E$27="Ja","LIFT",IF(CE1000=1,"L1","L23")),IF(CE1000="Aussen","Aussen","-"))</f>
        <v>LIFT</v>
      </c>
      <c r="CG1000" s="59" t="n">
        <f aca="false">IF(N(AB1000)&gt;0,AB1000,0)</f>
        <v>0</v>
      </c>
      <c r="CH1000" s="53" t="n">
        <f aca="false">IF(ISNUMBER(AE1000),1,0)</f>
        <v>0</v>
      </c>
      <c r="CI1000" s="50" t="n">
        <f aca="false">N(AE1000)</f>
        <v>0</v>
      </c>
      <c r="CJ1000" s="50" t="n">
        <f aca="false">N(M1000)+N(N1000)</f>
        <v>5</v>
      </c>
      <c r="CK1000" s="50" t="n">
        <f aca="false">N(M1000)</f>
        <v>0</v>
      </c>
      <c r="CL1000" s="50" t="n">
        <f aca="false">N(N1000)</f>
        <v>5</v>
      </c>
      <c r="CM1000" s="50" t="n">
        <f aca="false">ROUNDUP(H1000/BY1000,0)</f>
        <v>1</v>
      </c>
      <c r="CN1000" s="50" t="n">
        <f aca="false">ROUNDUP(CI1000/BY1000,0)</f>
        <v>0</v>
      </c>
      <c r="CO1000" s="53" t="n">
        <f aca="false">IF(BZ1000=1,0,IFERROR(VLOOKUP(BX1000,'Gebinde-Kategorie'!$A$5:$N$45,5,0)+0,0))</f>
        <v>11</v>
      </c>
      <c r="CP1000" s="53" t="n">
        <f aca="false">IFERROR(IF(OR(CE1000=1,CE1000=2,CE1000=3),N(INDEX(Parameter!$I$5:$I$7,CE1000)),0),0)</f>
        <v>0</v>
      </c>
      <c r="CQ1000" s="52" t="n">
        <f aca="false">IF(AND(Parameter!$B$21="Ja",ISNUMBER(W1000),N(X1000)&gt;0),IFERROR(N(INDEX(Parameter!$L$5:$L$7,W1000))*INDEX(Parameter!$E$5:$E$7,W1000)*X1000/SUMIFS($X$7:$X$1843,$W$7:$W$1843,W1000),0),0)</f>
        <v>0</v>
      </c>
    </row>
    <row r="1001" customFormat="false" ht="15" hidden="false" customHeight="false" outlineLevel="0" collapsed="false">
      <c r="A1001" s="48" t="s">
        <v>1855</v>
      </c>
      <c r="B1001" s="48" t="s">
        <v>901</v>
      </c>
      <c r="C1001" s="48" t="s">
        <v>173</v>
      </c>
      <c r="D1001" s="48" t="s">
        <v>193</v>
      </c>
      <c r="E1001" s="48" t="s">
        <v>194</v>
      </c>
      <c r="F1001" s="48" t="s">
        <v>227</v>
      </c>
      <c r="G1001" s="49" t="n">
        <v>12.08</v>
      </c>
      <c r="H1001" s="50" t="n">
        <f aca="false">MAX(0,IF(AND(Parameter!$B$21="Ja",ISNUMBER(Y1001)),Y1001,IF(Parameter!$B$20="Jahresanfang 2025 + Export",BR1001+BQ1001,BQ1001)))</f>
        <v>4</v>
      </c>
      <c r="I1001" s="50" t="n">
        <f aca="false">H1001*G1001</f>
        <v>48.32</v>
      </c>
      <c r="J1001" s="50" t="n">
        <f aca="false">BT1001*Parameter!$B$18</f>
        <v>5</v>
      </c>
      <c r="K1001" s="51" t="n">
        <v>8.5</v>
      </c>
      <c r="L1001" s="52" t="n">
        <v>0.588235294117647</v>
      </c>
      <c r="M1001" s="50" t="n">
        <v>0</v>
      </c>
      <c r="N1001" s="50" t="n">
        <v>5</v>
      </c>
      <c r="O1001" s="53" t="n">
        <v>21</v>
      </c>
      <c r="P1001" s="48" t="s">
        <v>430</v>
      </c>
      <c r="Q1001" s="50" t="n">
        <v>18</v>
      </c>
      <c r="R1001" s="53" t="n">
        <f aca="false">IF(BZ1001=1,0,IFERROR(VLOOKUP(BX1001,'Gebinde-Kategorie'!$A$5:$N$45,13,0)+0,0))</f>
        <v>104</v>
      </c>
      <c r="S1001" s="54"/>
      <c r="T1001" s="55"/>
      <c r="U1001" s="55"/>
      <c r="V1001" s="55"/>
      <c r="W1001" s="48"/>
      <c r="X1001" s="50"/>
      <c r="Y1001" s="50"/>
      <c r="Z1001" s="48" t="n">
        <f aca="false">IF(A1001="","",IF(AND(Parameter!$B$21="Ja",ISNUMBER(W1001)),W1001,IF(CC1001="2+3",IF(ISNUMBER(SEARCH("grosser Artikel",BU1001)),2,IFERROR(VLOOKUP(BX1001,Parameter!$F$35:$G$64,2,0),2)),IF(OR(CC1001="Nein",CC1001=""),"-",CC1001))))</f>
        <v>3</v>
      </c>
      <c r="AA1001" s="55"/>
      <c r="AB1001" s="56"/>
      <c r="AC1001" s="50" t="n">
        <f aca="false">AV1001</f>
        <v>5</v>
      </c>
      <c r="AD1001" s="50" t="n">
        <f aca="false">MAX(AV1001,H1001)</f>
        <v>5</v>
      </c>
      <c r="AE1001" s="57"/>
      <c r="AF1001" s="50" t="n">
        <f aca="false">IF(LEFT(Cockpit!$C$5,1)="A",H1001,IF(Parameter!$E$30="MAX-Bestand",IF(CH1001=1,CI1001,IF(LEFT(Cockpit!$C$5,1)="B",AL1001,MAX(AL1001,H1001))),ROUNDUP(AJ1001,0)))</f>
        <v>4</v>
      </c>
      <c r="AG1001" s="50" t="n">
        <f aca="false">IF(BZ1001=1,0,ROUNDUP(AF1001/BY1001,0))</f>
        <v>1</v>
      </c>
      <c r="AH1001" s="52" t="n">
        <f aca="false">IF(CQ1001&gt;0,CQ1001*MAX(1,AF1001/X1001),IF(BZ1001=1,IF(AF1001&lt;=0,0,CD1001*MAX(1,IF(H1001&gt;0,AF1001/H1001,1))),IF(R1001&gt;0,AG1001/R1001,0))/MAX(0.1,N(Parameter!$M$21)))</f>
        <v>0.00961538461538462</v>
      </c>
      <c r="AI1001" s="50" t="n">
        <f aca="false">AH1001*CB1001</f>
        <v>1.49038461538462</v>
      </c>
      <c r="AJ1001" s="51" t="n">
        <f aca="false">IF(LEFT(Cockpit!$C$5,1)="A",H1001,IF(CH1001=1,(CK1001+CI1001)/2,IF(LEFT(Cockpit!$C$5,1)="B",(CK1001+AL1001)/2,MAX((CK1001+AL1001)/2,H1001))))</f>
        <v>4</v>
      </c>
      <c r="AK1001" s="50" t="n">
        <f aca="false">AJ1001*G1001</f>
        <v>48.32</v>
      </c>
      <c r="AL1001" s="50" t="n">
        <f aca="false">ROUNDUP(CK1001+MAX(CL1001,2*(J1001/IF(CG1001&gt;0,CG1001,MAX(0.1,N(Cockpit!$C$6)))-CK1001)),0)</f>
        <v>5</v>
      </c>
      <c r="AM1001" s="51" t="n">
        <f aca="false">IF(AI1001&gt;0,J1001/AI1001,-1)</f>
        <v>3.35483870967742</v>
      </c>
      <c r="AN1001" s="51" t="n">
        <f aca="false">IF(AND(OR(CF1001="L1",CF1001="L23",CF1001="LIFT"),AI1001&gt;0),SUMIFS($AI$7:$AI$1843,$CF$7:$CF$1843,CF1001,$AM$7:$AM$1843,"&gt;"&amp;AM1001)+SUMIFS($AI$7:$AI$1843,$CF$7:$CF$1843,CF1001,$AM$7:$AM$1843,AM1001,$BW$7:$BW$1843,"&lt;="&amp;BW1001),"")</f>
        <v>4946.6456043956</v>
      </c>
      <c r="AO1001" s="58" t="n">
        <f aca="false">IF(AN1001="",0,MAX(0,MIN(1,(IF(CF1001="L1",Parameter!$H$5,IF(CF1001="L23",Parameter!$H$6+Parameter!$H$7,Parameter!$H$5+Parameter!$H$6+Parameter!$H$7))-(AN1001-AI1001))/AI1001)))</f>
        <v>1</v>
      </c>
      <c r="AP1001" s="50" t="n">
        <f aca="false">IF(LEFT(Cockpit!$I$5,1)="A",H1001,IF(Parameter!$E$30="MAX-Bestand",IF(CH1001=1,CI1001,IF(LEFT(Cockpit!$I$5,1)="B",AV1001,MAX(AV1001,H1001))),ROUNDUP(AT1001,0)))</f>
        <v>4</v>
      </c>
      <c r="AQ1001" s="50" t="n">
        <f aca="false">IF(BZ1001=1,0,ROUNDUP(AP1001/BY1001,0))</f>
        <v>1</v>
      </c>
      <c r="AR1001" s="52" t="n">
        <f aca="false">IF(CQ1001&gt;0,CQ1001*MAX(1,AP1001/X1001),IF(BZ1001=1,IF(AP1001&lt;=0,0,CD1001*MAX(1,IF(H1001&gt;0,AP1001/H1001,1))),IF(R1001&gt;0,AQ1001/R1001,0))/MAX(0.1,N(Parameter!$M$21)))</f>
        <v>0.00961538461538462</v>
      </c>
      <c r="AS1001" s="50" t="n">
        <f aca="false">AR1001*CB1001</f>
        <v>1.49038461538462</v>
      </c>
      <c r="AT1001" s="51" t="n">
        <f aca="false">IF(LEFT(Cockpit!$I$5,1)="A",H1001,IF(CH1001=1,(CK1001+CI1001)/2,IF(LEFT(Cockpit!$I$5,1)="B",(CK1001+AV1001)/2,MAX((CK1001+AV1001)/2,H1001))))</f>
        <v>4</v>
      </c>
      <c r="AU1001" s="50" t="n">
        <f aca="false">AT1001*G1001</f>
        <v>48.32</v>
      </c>
      <c r="AV1001" s="50" t="n">
        <f aca="false">ROUNDUP(CK1001+MAX(CL1001,2*(J1001/IF(CG1001&gt;0,CG1001,MAX(0.1,N(Cockpit!$I$6)))-CK1001)),0)</f>
        <v>5</v>
      </c>
      <c r="AW1001" s="51" t="n">
        <f aca="false">IF(AS1001&gt;0,J1001/AS1001,-1)</f>
        <v>3.35483870967742</v>
      </c>
      <c r="AX1001" s="51" t="n">
        <f aca="false">IF(AND(OR(CF1001="L1",CF1001="L23",CF1001="LIFT"),AS1001&gt;0),SUMIFS($AS$7:$AS$1843,$CF$7:$CF$1843,CF1001,$AW$7:$AW$1843,"&gt;"&amp;AW1001)+SUMIFS($AS$7:$AS$1843,$CF$7:$CF$1843,CF1001,$AW$7:$AW$1843,AW1001,$BW$7:$BW$1843,"&lt;="&amp;BW1001),"")</f>
        <v>5610.4826007326</v>
      </c>
      <c r="AY1001" s="58" t="n">
        <f aca="false">IF(AX1001="",0,MAX(0,MIN(1,(IF(CF1001="L1",Parameter!$H$5,IF(CF1001="L23",Parameter!$H$6+Parameter!$H$7,Parameter!$H$5+Parameter!$H$6+Parameter!$H$7))-(AX1001-AS1001))/AS1001)))</f>
        <v>1</v>
      </c>
      <c r="AZ1001" s="50" t="n">
        <f aca="false">IF(LEFT(Cockpit!$O$5,1)="A",H1001,IF(Parameter!$E$30="MAX-Bestand",IF(CH1001=1,CI1001,IF(LEFT(Cockpit!$O$5,1)="B",BF1001,MAX(BF1001,H1001))),ROUNDUP(BD1001,0)))</f>
        <v>3</v>
      </c>
      <c r="BA1001" s="50" t="n">
        <f aca="false">IF(BZ1001=1,0,ROUNDUP(AZ1001/BY1001,0))</f>
        <v>1</v>
      </c>
      <c r="BB1001" s="52" t="n">
        <f aca="false">IF(CQ1001&gt;0,CQ1001*MAX(1,AZ1001/X1001),IF(BZ1001=1,IF(AZ1001&lt;=0,0,CD1001*MAX(1,IF(H1001&gt;0,AZ1001/H1001,1))),IF(R1001&gt;0,BA1001/R1001,0))/MAX(0.1,N(Parameter!$M$21)))</f>
        <v>0.00961538461538462</v>
      </c>
      <c r="BC1001" s="50" t="n">
        <f aca="false">BB1001*CB1001</f>
        <v>1.49038461538462</v>
      </c>
      <c r="BD1001" s="51" t="n">
        <f aca="false">IF(LEFT(Cockpit!$O$5,1)="A",H1001,IF(CH1001=1,(CK1001+CI1001)/2,IF(LEFT(Cockpit!$O$5,1)="B",(CK1001+BF1001)/2,MAX((CK1001+BF1001)/2,H1001))))</f>
        <v>2.5</v>
      </c>
      <c r="BE1001" s="50" t="n">
        <f aca="false">BD1001*G1001</f>
        <v>30.2</v>
      </c>
      <c r="BF1001" s="50" t="n">
        <f aca="false">ROUNDUP(CK1001+MAX(CL1001,2*(J1001/IF(CG1001&gt;0,CG1001,MAX(0.1,N(Cockpit!$O$6)))-CK1001)),0)</f>
        <v>5</v>
      </c>
      <c r="BG1001" s="51" t="n">
        <f aca="false">IF(BC1001&gt;0,J1001/BC1001,-1)</f>
        <v>3.35483870967742</v>
      </c>
      <c r="BH1001" s="51" t="n">
        <f aca="false">IF(AND(OR(CF1001="L1",CF1001="L23",CF1001="LIFT"),BC1001&gt;0),SUMIFS($BC$7:$BC$1843,$CF$7:$CF$1843,CF1001,$BG$7:$BG$1843,"&gt;"&amp;BG1001)+SUMIFS($BC$7:$BC$1843,$CF$7:$CF$1843,CF1001,$BG$7:$BG$1843,BG1001,$BW$7:$BW$1843,"&lt;="&amp;BW1001),"")</f>
        <v>4590.70054945055</v>
      </c>
      <c r="BI1001" s="58" t="n">
        <f aca="false">IF(BH1001="",0,MAX(0,MIN(1,(IF(CF1001="L1",Parameter!$H$5,IF(CF1001="L23",Parameter!$H$6+Parameter!$H$7,Parameter!$H$5+Parameter!$H$6+Parameter!$H$7))-(BH1001-BC1001))/BC1001)))</f>
        <v>1</v>
      </c>
      <c r="BJ1001" s="48" t="str">
        <f aca="false">IF(AI1001&lt;=0,"",IF(CF1001="Aussen","Aussenlager",IF(CF1001="-","Nicht im Lift",IF(AO1001&gt;=1,"Lift",IF(AO1001&lt;=0,"Aussenlager","teilweise")))))</f>
        <v>Lift</v>
      </c>
      <c r="BK1001" s="48" t="str">
        <f aca="false">IF(AS1001&lt;=0,"",IF(CF1001="Aussen","Aussenlager",IF(CF1001="-","Nicht im Lift",IF(AY1001&gt;=1,"Lift",IF(AY1001&lt;=0,"Aussenlager","teilweise")))))</f>
        <v>Lift</v>
      </c>
      <c r="BL1001" s="48" t="str">
        <f aca="false">IF(BC1001&lt;=0,"",IF(CF1001="Aussen","Aussenlager",IF(CF1001="-","Nicht im Lift",IF(BI1001&gt;=1,"Lift",IF(BI1001&lt;=0,"Aussenlager","teilweise")))))</f>
        <v>Lift</v>
      </c>
      <c r="BM1001" s="48" t="str">
        <f aca="false">IF(A1001="","",IF(BV1001=1,"Neu; ","")&amp;IF(AND(BV1001=0,BQ1001&lt;0),"negativer Bestand (Export "&amp;BQ1001&amp;"); ","")&amp;IF(J1001&lt;=0,"Kein Verbrauch; ","")&amp;IF(CQ1001&gt;0,"Lift "&amp;W1001&amp;" lt. Liftbericht (Fach "&amp;X1001&amp;" Stk); ",IF(CA1001=1,"Gebinde geschätzt ("&amp;T1001&amp;"); ",IF(BZ1001=1,"Lose – Tablare geschätzt; ","")))&amp;IF(H1001&gt;AV1001,"Überbestand "&amp;ROUND(H1001-AV1001,0)&amp;" Stk / CHF "&amp;ROUND((H1001-AV1001)*G1001,0)&amp;"; ","")&amp;IF(AND(CH1001=1,CI1001&lt;CJ1001),"MAX &lt; MB+LG; ","")&amp;IF(AND(CP1001&gt;0,CO1001*10&gt;CP1001),"zu hoch für Tablar; ","")&amp;IF(AND(BV1001=0,OR(CH1001=1,AA1001&lt;&gt;"",U1001&lt;&gt;"",V1001&lt;&gt;"",AB1001&lt;&gt;"")),"manuell übersteuert; ","")&amp;IF(AND(BZ1001=0,R1001=0),"Gebinde unbekannt / Stellmass fehlt; ","")&amp;IF(AND(BZ1001=0,N(V1001)&lt;=0,N(Q1001)&lt;=0),"Menge pro Gebinde fehlt (Ist = 1 Gebinde); ","")&amp;BU1001)</f>
        <v>negativer Bestand (Export -8); Neu</v>
      </c>
      <c r="BN1001" s="48"/>
      <c r="BO1001" s="48"/>
      <c r="BP1001" s="55"/>
      <c r="BQ1001" s="50" t="n">
        <v>-8</v>
      </c>
      <c r="BR1001" s="50" t="n">
        <v>12</v>
      </c>
      <c r="BS1001" s="49" t="n">
        <v>-96.64</v>
      </c>
      <c r="BT1001" s="50" t="n">
        <v>5</v>
      </c>
      <c r="BU1001" s="48" t="s">
        <v>635</v>
      </c>
      <c r="BV1001" s="53" t="n">
        <v>0</v>
      </c>
      <c r="BW1001" s="53" t="n">
        <v>1001</v>
      </c>
      <c r="BX1001" s="48" t="str">
        <f aca="false">IF(U1001&lt;&gt;"",UPPER(TRIM(U1001)),IF(CA1001=1,UPPER(VLOOKUP(T1001,Parameter!$I$27:$K$29,2,0)),IF(P1001="","LOSE",P1001)))</f>
        <v>S32</v>
      </c>
      <c r="BY1001" s="50" t="n">
        <f aca="false">IF(BX1001="LOSE",1,IF(N(V1001)&gt;0,V1001,IF(CA1001=1,MAX(1,N(VLOOKUP(T1001,Parameter!$I$27:$K$29,3,0)),H1001,N(N1001)),IF(N(Q1001)&gt;0,Q1001,MAX(1,H1001)))))</f>
        <v>18</v>
      </c>
      <c r="BZ1001" s="53" t="n">
        <f aca="false">IF(BX1001="LOSE",1,0)</f>
        <v>0</v>
      </c>
      <c r="CA1001" s="53" t="n">
        <f aca="false">IF(AND(U1001="",OR(P1001="",P1001="LOSE"),T1001&lt;&gt;"",N(S1001)&lt;=0,ISNUMBER(MATCH(T1001,Parameter!$I$27:$I$29,0))),1,0)</f>
        <v>0</v>
      </c>
      <c r="CB1001" s="53" t="n">
        <f aca="false">IF(CQ1001&gt;0,INDEX(Parameter!$H$5:$H$7,W1001)/INDEX(Parameter!$E$5:$E$7,W1001),IF(AND(BZ1001=0,N(IFERROR(VLOOKUP(BX1001,'Gebinde-Kategorie'!$A$5:$N$45,14,0),0))&gt;0),VLOOKUP(BX1001,'Gebinde-Kategorie'!$A$5:$N$45,14,0)*10+Parameter!$M$23,Parameter!$M$24))</f>
        <v>155</v>
      </c>
      <c r="CC1001" s="48" t="str">
        <f aca="false">IF(AND(Parameter!$B$19="Ja",E1001&lt;&gt;"",ISNUMBER(MATCH(E1001,Parameter!$I$35:$I$52,0))),VLOOKUP(E1001,Parameter!$I$35:$J$52,2,0),IFERROR(VLOOKUP(D1001,Parameter!$A$35:$C$64,2,0),"Nein"))</f>
        <v>2+3</v>
      </c>
      <c r="CD1001" s="52" t="n">
        <f aca="false">IF(BZ1001=0,0,IF(N(S1001)&gt;0,S1001,IFERROR(VLOOKUP(D1001,Parameter!$A$35:$C$64,3,0)+0,0)))</f>
        <v>0</v>
      </c>
      <c r="CE1001" s="48" t="n">
        <f aca="false">IF(AA1001&lt;&gt;"",AA1001,Z1001)</f>
        <v>3</v>
      </c>
      <c r="CF1001" s="48" t="str">
        <f aca="false">IF(OR(CE1001=1,CE1001=2,CE1001=3),IF(Parameter!$E$27="Ja","LIFT",IF(CE1001=1,"L1","L23")),IF(CE1001="Aussen","Aussen","-"))</f>
        <v>LIFT</v>
      </c>
      <c r="CG1001" s="59" t="n">
        <f aca="false">IF(N(AB1001)&gt;0,AB1001,0)</f>
        <v>0</v>
      </c>
      <c r="CH1001" s="53" t="n">
        <f aca="false">IF(ISNUMBER(AE1001),1,0)</f>
        <v>0</v>
      </c>
      <c r="CI1001" s="50" t="n">
        <f aca="false">N(AE1001)</f>
        <v>0</v>
      </c>
      <c r="CJ1001" s="50" t="n">
        <f aca="false">N(M1001)+N(N1001)</f>
        <v>5</v>
      </c>
      <c r="CK1001" s="50" t="n">
        <f aca="false">N(M1001)</f>
        <v>0</v>
      </c>
      <c r="CL1001" s="50" t="n">
        <f aca="false">N(N1001)</f>
        <v>5</v>
      </c>
      <c r="CM1001" s="50" t="n">
        <f aca="false">ROUNDUP(H1001/BY1001,0)</f>
        <v>1</v>
      </c>
      <c r="CN1001" s="50" t="n">
        <f aca="false">ROUNDUP(CI1001/BY1001,0)</f>
        <v>0</v>
      </c>
      <c r="CO1001" s="53" t="n">
        <f aca="false">IF(BZ1001=1,0,IFERROR(VLOOKUP(BX1001,'Gebinde-Kategorie'!$A$5:$N$45,5,0)+0,0))</f>
        <v>8</v>
      </c>
      <c r="CP1001" s="53" t="n">
        <f aca="false">IFERROR(IF(OR(CE1001=1,CE1001=2,CE1001=3),N(INDEX(Parameter!$I$5:$I$7,CE1001)),0),0)</f>
        <v>0</v>
      </c>
      <c r="CQ1001" s="52" t="n">
        <f aca="false">IF(AND(Parameter!$B$21="Ja",ISNUMBER(W1001),N(X1001)&gt;0),IFERROR(N(INDEX(Parameter!$L$5:$L$7,W1001))*INDEX(Parameter!$E$5:$E$7,W1001)*X1001/SUMIFS($X$7:$X$1843,$W$7:$W$1843,W1001),0),0)</f>
        <v>0</v>
      </c>
    </row>
    <row r="1002" customFormat="false" ht="15" hidden="false" customHeight="false" outlineLevel="0" collapsed="false">
      <c r="A1002" s="48" t="s">
        <v>1856</v>
      </c>
      <c r="B1002" s="48" t="s">
        <v>1857</v>
      </c>
      <c r="C1002" s="48" t="s">
        <v>173</v>
      </c>
      <c r="D1002" s="48" t="s">
        <v>182</v>
      </c>
      <c r="E1002" s="48" t="s">
        <v>474</v>
      </c>
      <c r="F1002" s="48" t="s">
        <v>227</v>
      </c>
      <c r="G1002" s="49" t="n">
        <v>14.63</v>
      </c>
      <c r="H1002" s="50" t="n">
        <f aca="false">MAX(0,IF(AND(Parameter!$B$21="Ja",ISNUMBER(Y1002)),Y1002,IF(Parameter!$B$20="Jahresanfang 2025 + Export",BR1002+BQ1002,BQ1002)))</f>
        <v>10</v>
      </c>
      <c r="I1002" s="50" t="n">
        <f aca="false">H1002*G1002</f>
        <v>146.3</v>
      </c>
      <c r="J1002" s="50" t="n">
        <f aca="false">BT1002*Parameter!$B$18</f>
        <v>24</v>
      </c>
      <c r="K1002" s="51" t="n">
        <v>13.5</v>
      </c>
      <c r="L1002" s="52" t="n">
        <v>1.77777777777778</v>
      </c>
      <c r="M1002" s="50" t="n">
        <v>1</v>
      </c>
      <c r="N1002" s="50" t="n">
        <v>10</v>
      </c>
      <c r="O1002" s="53" t="n">
        <v>21</v>
      </c>
      <c r="P1002" s="48" t="s">
        <v>177</v>
      </c>
      <c r="Q1002" s="50"/>
      <c r="R1002" s="53" t="n">
        <f aca="false">IF(BZ1002=1,0,IFERROR(VLOOKUP(BX1002,'Gebinde-Kategorie'!$A$5:$N$45,13,0)+0,0))</f>
        <v>12</v>
      </c>
      <c r="S1002" s="54"/>
      <c r="T1002" s="55" t="s">
        <v>188</v>
      </c>
      <c r="U1002" s="55"/>
      <c r="V1002" s="55"/>
      <c r="W1002" s="48"/>
      <c r="X1002" s="50"/>
      <c r="Y1002" s="50"/>
      <c r="Z1002" s="48" t="str">
        <f aca="false">IF(A1002="","",IF(AND(Parameter!$B$21="Ja",ISNUMBER(W1002)),W1002,IF(CC1002="2+3",IF(ISNUMBER(SEARCH("grosser Artikel",BU1002)),2,IFERROR(VLOOKUP(BX1002,Parameter!$F$35:$G$64,2,0),2)),IF(OR(CC1002="Nein",CC1002=""),"-",CC1002))))</f>
        <v>-</v>
      </c>
      <c r="AA1002" s="55"/>
      <c r="AB1002" s="56"/>
      <c r="AC1002" s="50" t="n">
        <f aca="false">AV1002</f>
        <v>15</v>
      </c>
      <c r="AD1002" s="50" t="n">
        <f aca="false">MAX(AV1002,H1002)</f>
        <v>15</v>
      </c>
      <c r="AE1002" s="57"/>
      <c r="AF1002" s="50" t="n">
        <f aca="false">IF(LEFT(Cockpit!$C$5,1)="A",H1002,IF(Parameter!$E$30="MAX-Bestand",IF(CH1002=1,CI1002,IF(LEFT(Cockpit!$C$5,1)="B",AL1002,MAX(AL1002,H1002))),ROUNDUP(AJ1002,0)))</f>
        <v>10</v>
      </c>
      <c r="AG1002" s="50" t="n">
        <f aca="false">IF(BZ1002=1,0,ROUNDUP(AF1002/BY1002,0))</f>
        <v>1</v>
      </c>
      <c r="AH1002" s="52" t="n">
        <f aca="false">IF(CQ1002&gt;0,CQ1002*MAX(1,AF1002/X1002),IF(BZ1002=1,IF(AF1002&lt;=0,0,CD1002*MAX(1,IF(H1002&gt;0,AF1002/H1002,1))),IF(R1002&gt;0,AG1002/R1002,0))/MAX(0.1,N(Parameter!$M$21)))</f>
        <v>0.0833333333333333</v>
      </c>
      <c r="AI1002" s="50" t="n">
        <f aca="false">AH1002*CB1002</f>
        <v>12.0833333333333</v>
      </c>
      <c r="AJ1002" s="51" t="n">
        <f aca="false">IF(LEFT(Cockpit!$C$5,1)="A",H1002,IF(CH1002=1,(CK1002+CI1002)/2,IF(LEFT(Cockpit!$C$5,1)="B",(CK1002+AL1002)/2,MAX((CK1002+AL1002)/2,H1002))))</f>
        <v>10</v>
      </c>
      <c r="AK1002" s="50" t="n">
        <f aca="false">AJ1002*G1002</f>
        <v>146.3</v>
      </c>
      <c r="AL1002" s="50" t="n">
        <f aca="false">ROUNDUP(CK1002+MAX(CL1002,2*(J1002/IF(CG1002&gt;0,CG1002,MAX(0.1,N(Cockpit!$C$6)))-CK1002)),0)</f>
        <v>15</v>
      </c>
      <c r="AM1002" s="51" t="n">
        <f aca="false">IF(AI1002&gt;0,J1002/AI1002,-1)</f>
        <v>1.98620689655172</v>
      </c>
      <c r="AN1002" s="51" t="str">
        <f aca="false">IF(AND(OR(CF1002="L1",CF1002="L23",CF1002="LIFT"),AI1002&gt;0),SUMIFS($AI$7:$AI$1843,$CF$7:$CF$1843,CF1002,$AM$7:$AM$1843,"&gt;"&amp;AM1002)+SUMIFS($AI$7:$AI$1843,$CF$7:$CF$1843,CF1002,$AM$7:$AM$1843,AM1002,$BW$7:$BW$1843,"&lt;="&amp;BW1002),"")</f>
        <v/>
      </c>
      <c r="AO1002" s="58" t="n">
        <f aca="false">IF(AN1002="",0,MAX(0,MIN(1,(IF(CF1002="L1",Parameter!$H$5,IF(CF1002="L23",Parameter!$H$6+Parameter!$H$7,Parameter!$H$5+Parameter!$H$6+Parameter!$H$7))-(AN1002-AI1002))/AI1002)))</f>
        <v>0</v>
      </c>
      <c r="AP1002" s="50" t="n">
        <f aca="false">IF(LEFT(Cockpit!$I$5,1)="A",H1002,IF(Parameter!$E$30="MAX-Bestand",IF(CH1002=1,CI1002,IF(LEFT(Cockpit!$I$5,1)="B",AV1002,MAX(AV1002,H1002))),ROUNDUP(AT1002,0)))</f>
        <v>10</v>
      </c>
      <c r="AQ1002" s="50" t="n">
        <f aca="false">IF(BZ1002=1,0,ROUNDUP(AP1002/BY1002,0))</f>
        <v>1</v>
      </c>
      <c r="AR1002" s="52" t="n">
        <f aca="false">IF(CQ1002&gt;0,CQ1002*MAX(1,AP1002/X1002),IF(BZ1002=1,IF(AP1002&lt;=0,0,CD1002*MAX(1,IF(H1002&gt;0,AP1002/H1002,1))),IF(R1002&gt;0,AQ1002/R1002,0))/MAX(0.1,N(Parameter!$M$21)))</f>
        <v>0.0833333333333333</v>
      </c>
      <c r="AS1002" s="50" t="n">
        <f aca="false">AR1002*CB1002</f>
        <v>12.0833333333333</v>
      </c>
      <c r="AT1002" s="51" t="n">
        <f aca="false">IF(LEFT(Cockpit!$I$5,1)="A",H1002,IF(CH1002=1,(CK1002+CI1002)/2,IF(LEFT(Cockpit!$I$5,1)="B",(CK1002+AV1002)/2,MAX((CK1002+AV1002)/2,H1002))))</f>
        <v>10</v>
      </c>
      <c r="AU1002" s="50" t="n">
        <f aca="false">AT1002*G1002</f>
        <v>146.3</v>
      </c>
      <c r="AV1002" s="50" t="n">
        <f aca="false">ROUNDUP(CK1002+MAX(CL1002,2*(J1002/IF(CG1002&gt;0,CG1002,MAX(0.1,N(Cockpit!$I$6)))-CK1002)),0)</f>
        <v>15</v>
      </c>
      <c r="AW1002" s="51" t="n">
        <f aca="false">IF(AS1002&gt;0,J1002/AS1002,-1)</f>
        <v>1.98620689655172</v>
      </c>
      <c r="AX1002" s="51" t="str">
        <f aca="false">IF(AND(OR(CF1002="L1",CF1002="L23",CF1002="LIFT"),AS1002&gt;0),SUMIFS($AS$7:$AS$1843,$CF$7:$CF$1843,CF1002,$AW$7:$AW$1843,"&gt;"&amp;AW1002)+SUMIFS($AS$7:$AS$1843,$CF$7:$CF$1843,CF1002,$AW$7:$AW$1843,AW1002,$BW$7:$BW$1843,"&lt;="&amp;BW1002),"")</f>
        <v/>
      </c>
      <c r="AY1002" s="58" t="n">
        <f aca="false">IF(AX1002="",0,MAX(0,MIN(1,(IF(CF1002="L1",Parameter!$H$5,IF(CF1002="L23",Parameter!$H$6+Parameter!$H$7,Parameter!$H$5+Parameter!$H$6+Parameter!$H$7))-(AX1002-AS1002))/AS1002)))</f>
        <v>0</v>
      </c>
      <c r="AZ1002" s="50" t="n">
        <f aca="false">IF(LEFT(Cockpit!$O$5,1)="A",H1002,IF(Parameter!$E$30="MAX-Bestand",IF(CH1002=1,CI1002,IF(LEFT(Cockpit!$O$5,1)="B",BF1002,MAX(BF1002,H1002))),ROUNDUP(BD1002,0)))</f>
        <v>6</v>
      </c>
      <c r="BA1002" s="50" t="n">
        <f aca="false">IF(BZ1002=1,0,ROUNDUP(AZ1002/BY1002,0))</f>
        <v>1</v>
      </c>
      <c r="BB1002" s="52" t="n">
        <f aca="false">IF(CQ1002&gt;0,CQ1002*MAX(1,AZ1002/X1002),IF(BZ1002=1,IF(AZ1002&lt;=0,0,CD1002*MAX(1,IF(H1002&gt;0,AZ1002/H1002,1))),IF(R1002&gt;0,BA1002/R1002,0))/MAX(0.1,N(Parameter!$M$21)))</f>
        <v>0.0833333333333333</v>
      </c>
      <c r="BC1002" s="50" t="n">
        <f aca="false">BB1002*CB1002</f>
        <v>12.0833333333333</v>
      </c>
      <c r="BD1002" s="51" t="n">
        <f aca="false">IF(LEFT(Cockpit!$O$5,1)="A",H1002,IF(CH1002=1,(CK1002+CI1002)/2,IF(LEFT(Cockpit!$O$5,1)="B",(CK1002+BF1002)/2,MAX((CK1002+BF1002)/2,H1002))))</f>
        <v>6</v>
      </c>
      <c r="BE1002" s="50" t="n">
        <f aca="false">BD1002*G1002</f>
        <v>87.78</v>
      </c>
      <c r="BF1002" s="50" t="n">
        <f aca="false">ROUNDUP(CK1002+MAX(CL1002,2*(J1002/IF(CG1002&gt;0,CG1002,MAX(0.1,N(Cockpit!$O$6)))-CK1002)),0)</f>
        <v>11</v>
      </c>
      <c r="BG1002" s="51" t="n">
        <f aca="false">IF(BC1002&gt;0,J1002/BC1002,-1)</f>
        <v>1.98620689655172</v>
      </c>
      <c r="BH1002" s="51" t="str">
        <f aca="false">IF(AND(OR(CF1002="L1",CF1002="L23",CF1002="LIFT"),BC1002&gt;0),SUMIFS($BC$7:$BC$1843,$CF$7:$CF$1843,CF1002,$BG$7:$BG$1843,"&gt;"&amp;BG1002)+SUMIFS($BC$7:$BC$1843,$CF$7:$CF$1843,CF1002,$BG$7:$BG$1843,BG1002,$BW$7:$BW$1843,"&lt;="&amp;BW1002),"")</f>
        <v/>
      </c>
      <c r="BI1002" s="58" t="n">
        <f aca="false">IF(BH1002="",0,MAX(0,MIN(1,(IF(CF1002="L1",Parameter!$H$5,IF(CF1002="L23",Parameter!$H$6+Parameter!$H$7,Parameter!$H$5+Parameter!$H$6+Parameter!$H$7))-(BH1002-BC1002))/BC1002)))</f>
        <v>0</v>
      </c>
      <c r="BJ1002" s="48" t="str">
        <f aca="false">IF(AI1002&lt;=0,"",IF(CF1002="Aussen","Aussenlager",IF(CF1002="-","Nicht im Lift",IF(AO1002&gt;=1,"Lift",IF(AO1002&lt;=0,"Aussenlager","teilweise")))))</f>
        <v>Nicht im Lift</v>
      </c>
      <c r="BK1002" s="48" t="str">
        <f aca="false">IF(AS1002&lt;=0,"",IF(CF1002="Aussen","Aussenlager",IF(CF1002="-","Nicht im Lift",IF(AY1002&gt;=1,"Lift",IF(AY1002&lt;=0,"Aussenlager","teilweise")))))</f>
        <v>Nicht im Lift</v>
      </c>
      <c r="BL1002" s="48" t="str">
        <f aca="false">IF(BC1002&lt;=0,"",IF(CF1002="Aussen","Aussenlager",IF(CF1002="-","Nicht im Lift",IF(BI1002&gt;=1,"Lift",IF(BI1002&lt;=0,"Aussenlager","teilweise")))))</f>
        <v>Nicht im Lift</v>
      </c>
      <c r="BM1002" s="48" t="str">
        <f aca="false">IF(A1002="","",IF(BV1002=1,"Neu; ","")&amp;IF(AND(BV1002=0,BQ1002&lt;0),"negativer Bestand (Export "&amp;BQ1002&amp;"); ","")&amp;IF(J1002&lt;=0,"Kein Verbrauch; ","")&amp;IF(CQ1002&gt;0,"Lift "&amp;W1002&amp;" lt. Liftbericht (Fach "&amp;X1002&amp;" Stk); ",IF(CA1002=1,"Gebinde geschätzt ("&amp;T1002&amp;"); ",IF(BZ1002=1,"Lose – Tablare geschätzt; ","")))&amp;IF(H1002&gt;AV1002,"Überbestand "&amp;ROUND(H1002-AV1002,0)&amp;" Stk / CHF "&amp;ROUND((H1002-AV1002)*G1002,0)&amp;"; ","")&amp;IF(AND(CH1002=1,CI1002&lt;CJ1002),"MAX &lt; MB+LG; ","")&amp;IF(AND(CP1002&gt;0,CO1002*10&gt;CP1002),"zu hoch für Tablar; ","")&amp;IF(AND(BV1002=0,OR(CH1002=1,AA1002&lt;&gt;"",U1002&lt;&gt;"",V1002&lt;&gt;"",AB1002&lt;&gt;"")),"manuell übersteuert; ","")&amp;IF(AND(BZ1002=0,R1002=0),"Gebinde unbekannt / Stellmass fehlt; ","")&amp;IF(AND(BZ1002=0,N(V1002)&lt;=0,N(Q1002)&lt;=0),"Menge pro Gebinde fehlt (Ist = 1 Gebinde); ","")&amp;BU1002)</f>
        <v>negativer Bestand (Export -6); Gebinde geschätzt (Mittel); Menge pro Gebinde fehlt (Ist = 1 Gebinde); </v>
      </c>
      <c r="BN1002" s="48"/>
      <c r="BO1002" s="48"/>
      <c r="BP1002" s="55"/>
      <c r="BQ1002" s="50" t="n">
        <v>-6</v>
      </c>
      <c r="BR1002" s="50" t="n">
        <v>16</v>
      </c>
      <c r="BS1002" s="49" t="n">
        <v>-98.5000000000001</v>
      </c>
      <c r="BT1002" s="50" t="n">
        <v>24</v>
      </c>
      <c r="BU1002" s="48"/>
      <c r="BV1002" s="53" t="n">
        <v>0</v>
      </c>
      <c r="BW1002" s="53" t="n">
        <v>1002</v>
      </c>
      <c r="BX1002" s="48" t="str">
        <f aca="false">IF(U1002&lt;&gt;"",UPPER(TRIM(U1002)),IF(CA1002=1,UPPER(VLOOKUP(T1002,Parameter!$I$27:$K$29,2,0)),IF(P1002="","LOSE",P1002)))</f>
        <v>S61</v>
      </c>
      <c r="BY1002" s="50" t="n">
        <f aca="false">IF(BX1002="LOSE",1,IF(N(V1002)&gt;0,V1002,IF(CA1002=1,MAX(1,N(VLOOKUP(T1002,Parameter!$I$27:$K$29,3,0)),H1002,N(N1002)),IF(N(Q1002)&gt;0,Q1002,MAX(1,H1002)))))</f>
        <v>10</v>
      </c>
      <c r="BZ1002" s="53" t="n">
        <f aca="false">IF(BX1002="LOSE",1,0)</f>
        <v>0</v>
      </c>
      <c r="CA1002" s="53" t="n">
        <f aca="false">IF(AND(U1002="",OR(P1002="",P1002="LOSE"),T1002&lt;&gt;"",N(S1002)&lt;=0,ISNUMBER(MATCH(T1002,Parameter!$I$27:$I$29,0))),1,0)</f>
        <v>1</v>
      </c>
      <c r="CB1002" s="53" t="n">
        <f aca="false">IF(CQ1002&gt;0,INDEX(Parameter!$H$5:$H$7,W1002)/INDEX(Parameter!$E$5:$E$7,W1002),IF(AND(BZ1002=0,N(IFERROR(VLOOKUP(BX1002,'Gebinde-Kategorie'!$A$5:$N$45,14,0),0))&gt;0),VLOOKUP(BX1002,'Gebinde-Kategorie'!$A$5:$N$45,14,0)*10+Parameter!$M$23,Parameter!$M$24))</f>
        <v>145</v>
      </c>
      <c r="CC1002" s="48" t="str">
        <f aca="false">IF(AND(Parameter!$B$19="Ja",E1002&lt;&gt;"",ISNUMBER(MATCH(E1002,Parameter!$I$35:$I$52,0))),VLOOKUP(E1002,Parameter!$I$35:$J$52,2,0),IFERROR(VLOOKUP(D1002,Parameter!$A$35:$C$64,2,0),"Nein"))</f>
        <v>Nein</v>
      </c>
      <c r="CD1002" s="52" t="n">
        <f aca="false">IF(BZ1002=0,0,IF(N(S1002)&gt;0,S1002,IFERROR(VLOOKUP(D1002,Parameter!$A$35:$C$64,3,0)+0,0)))</f>
        <v>0</v>
      </c>
      <c r="CE1002" s="48" t="str">
        <f aca="false">IF(AA1002&lt;&gt;"",AA1002,Z1002)</f>
        <v>-</v>
      </c>
      <c r="CF1002" s="48" t="str">
        <f aca="false">IF(OR(CE1002=1,CE1002=2,CE1002=3),IF(Parameter!$E$27="Ja","LIFT",IF(CE1002=1,"L1","L23")),IF(CE1002="Aussen","Aussen","-"))</f>
        <v>-</v>
      </c>
      <c r="CG1002" s="59" t="n">
        <f aca="false">IF(N(AB1002)&gt;0,AB1002,0)</f>
        <v>0</v>
      </c>
      <c r="CH1002" s="53" t="n">
        <f aca="false">IF(ISNUMBER(AE1002),1,0)</f>
        <v>0</v>
      </c>
      <c r="CI1002" s="50" t="n">
        <f aca="false">N(AE1002)</f>
        <v>0</v>
      </c>
      <c r="CJ1002" s="50" t="n">
        <f aca="false">N(M1002)+N(N1002)</f>
        <v>11</v>
      </c>
      <c r="CK1002" s="50" t="n">
        <f aca="false">N(M1002)</f>
        <v>1</v>
      </c>
      <c r="CL1002" s="50" t="n">
        <f aca="false">N(N1002)</f>
        <v>10</v>
      </c>
      <c r="CM1002" s="50" t="n">
        <f aca="false">ROUNDUP(H1002/BY1002,0)</f>
        <v>1</v>
      </c>
      <c r="CN1002" s="50" t="n">
        <f aca="false">ROUNDUP(CI1002/BY1002,0)</f>
        <v>0</v>
      </c>
      <c r="CO1002" s="53" t="n">
        <f aca="false">IF(BZ1002=1,0,IFERROR(VLOOKUP(BX1002,'Gebinde-Kategorie'!$A$5:$N$45,5,0)+0,0))</f>
        <v>11</v>
      </c>
      <c r="CP1002" s="53" t="n">
        <f aca="false">IFERROR(IF(OR(CE1002=1,CE1002=2,CE1002=3),N(INDEX(Parameter!$I$5:$I$7,CE1002)),0),0)</f>
        <v>0</v>
      </c>
      <c r="CQ1002" s="52" t="n">
        <f aca="false">IF(AND(Parameter!$B$21="Ja",ISNUMBER(W1002),N(X1002)&gt;0),IFERROR(N(INDEX(Parameter!$L$5:$L$7,W1002))*INDEX(Parameter!$E$5:$E$7,W1002)*X1002/SUMIFS($X$7:$X$1843,$W$7:$W$1843,W1002),0),0)</f>
        <v>0</v>
      </c>
    </row>
    <row r="1003" customFormat="false" ht="15" hidden="false" customHeight="false" outlineLevel="0" collapsed="false">
      <c r="A1003" s="48" t="s">
        <v>1858</v>
      </c>
      <c r="B1003" s="48" t="s">
        <v>1859</v>
      </c>
      <c r="C1003" s="48" t="s">
        <v>173</v>
      </c>
      <c r="D1003" s="48" t="s">
        <v>182</v>
      </c>
      <c r="E1003" s="48"/>
      <c r="F1003" s="48" t="s">
        <v>227</v>
      </c>
      <c r="G1003" s="49" t="n">
        <v>99.06</v>
      </c>
      <c r="H1003" s="50" t="n">
        <f aca="false">MAX(0,IF(AND(Parameter!$B$21="Ja",ISNUMBER(Y1003)),Y1003,IF(Parameter!$B$20="Jahresanfang 2025 + Export",BR1003+BQ1003,BQ1003)))</f>
        <v>1</v>
      </c>
      <c r="I1003" s="50" t="n">
        <f aca="false">H1003*G1003</f>
        <v>99.06</v>
      </c>
      <c r="J1003" s="50" t="n">
        <f aca="false">BT1003*Parameter!$B$18</f>
        <v>0</v>
      </c>
      <c r="K1003" s="51" t="n">
        <v>1.5</v>
      </c>
      <c r="L1003" s="52" t="n">
        <v>0</v>
      </c>
      <c r="M1003" s="50" t="n">
        <v>0</v>
      </c>
      <c r="N1003" s="50" t="n">
        <v>1</v>
      </c>
      <c r="O1003" s="53" t="n">
        <v>28</v>
      </c>
      <c r="P1003" s="48" t="s">
        <v>177</v>
      </c>
      <c r="Q1003" s="50"/>
      <c r="R1003" s="53" t="n">
        <f aca="false">IF(BZ1003=1,0,IFERROR(VLOOKUP(BX1003,'Gebinde-Kategorie'!$A$5:$N$45,13,0)+0,0))</f>
        <v>12</v>
      </c>
      <c r="S1003" s="54"/>
      <c r="T1003" s="55" t="s">
        <v>188</v>
      </c>
      <c r="U1003" s="55"/>
      <c r="V1003" s="55"/>
      <c r="W1003" s="48"/>
      <c r="X1003" s="50"/>
      <c r="Y1003" s="50"/>
      <c r="Z1003" s="48" t="n">
        <f aca="false">IF(A1003="","",IF(AND(Parameter!$B$21="Ja",ISNUMBER(W1003)),W1003,IF(CC1003="2+3",IF(ISNUMBER(SEARCH("grosser Artikel",BU1003)),2,IFERROR(VLOOKUP(BX1003,Parameter!$F$35:$G$64,2,0),2)),IF(OR(CC1003="Nein",CC1003=""),"-",CC1003))))</f>
        <v>2</v>
      </c>
      <c r="AA1003" s="55"/>
      <c r="AB1003" s="56"/>
      <c r="AC1003" s="50" t="n">
        <f aca="false">AV1003</f>
        <v>1</v>
      </c>
      <c r="AD1003" s="50" t="n">
        <f aca="false">MAX(AV1003,H1003)</f>
        <v>1</v>
      </c>
      <c r="AE1003" s="57"/>
      <c r="AF1003" s="50" t="n">
        <f aca="false">IF(LEFT(Cockpit!$C$5,1)="A",H1003,IF(Parameter!$E$30="MAX-Bestand",IF(CH1003=1,CI1003,IF(LEFT(Cockpit!$C$5,1)="B",AL1003,MAX(AL1003,H1003))),ROUNDUP(AJ1003,0)))</f>
        <v>1</v>
      </c>
      <c r="AG1003" s="50" t="n">
        <f aca="false">IF(BZ1003=1,0,ROUNDUP(AF1003/BY1003,0))</f>
        <v>1</v>
      </c>
      <c r="AH1003" s="52" t="n">
        <f aca="false">IF(CQ1003&gt;0,CQ1003*MAX(1,AF1003/X1003),IF(BZ1003=1,IF(AF1003&lt;=0,0,CD1003*MAX(1,IF(H1003&gt;0,AF1003/H1003,1))),IF(R1003&gt;0,AG1003/R1003,0))/MAX(0.1,N(Parameter!$M$21)))</f>
        <v>0.0833333333333333</v>
      </c>
      <c r="AI1003" s="50" t="n">
        <f aca="false">AH1003*CB1003</f>
        <v>12.0833333333333</v>
      </c>
      <c r="AJ1003" s="51" t="n">
        <f aca="false">IF(LEFT(Cockpit!$C$5,1)="A",H1003,IF(CH1003=1,(CK1003+CI1003)/2,IF(LEFT(Cockpit!$C$5,1)="B",(CK1003+AL1003)/2,MAX((CK1003+AL1003)/2,H1003))))</f>
        <v>1</v>
      </c>
      <c r="AK1003" s="50" t="n">
        <f aca="false">AJ1003*G1003</f>
        <v>99.06</v>
      </c>
      <c r="AL1003" s="50" t="n">
        <f aca="false">ROUNDUP(CK1003+MAX(CL1003,2*(J1003/IF(CG1003&gt;0,CG1003,MAX(0.1,N(Cockpit!$C$6)))-CK1003)),0)</f>
        <v>1</v>
      </c>
      <c r="AM1003" s="51" t="n">
        <f aca="false">IF(AI1003&gt;0,J1003/AI1003,-1)</f>
        <v>0</v>
      </c>
      <c r="AN1003" s="51" t="n">
        <f aca="false">IF(AND(OR(CF1003="L1",CF1003="L23",CF1003="LIFT"),AI1003&gt;0),SUMIFS($AI$7:$AI$1843,$CF$7:$CF$1843,CF1003,$AM$7:$AM$1843,"&gt;"&amp;AM1003)+SUMIFS($AI$7:$AI$1843,$CF$7:$CF$1843,CF1003,$AM$7:$AM$1843,AM1003,$BW$7:$BW$1843,"&lt;="&amp;BW1003),"")</f>
        <v>28953.1146370108</v>
      </c>
      <c r="AO1003" s="58" t="n">
        <f aca="false">IF(AN1003="",0,MAX(0,MIN(1,(IF(CF1003="L1",Parameter!$H$5,IF(CF1003="L23",Parameter!$H$6+Parameter!$H$7,Parameter!$H$5+Parameter!$H$6+Parameter!$H$7))-(AN1003-AI1003))/AI1003)))</f>
        <v>1</v>
      </c>
      <c r="AP1003" s="50" t="n">
        <f aca="false">IF(LEFT(Cockpit!$I$5,1)="A",H1003,IF(Parameter!$E$30="MAX-Bestand",IF(CH1003=1,CI1003,IF(LEFT(Cockpit!$I$5,1)="B",AV1003,MAX(AV1003,H1003))),ROUNDUP(AT1003,0)))</f>
        <v>1</v>
      </c>
      <c r="AQ1003" s="50" t="n">
        <f aca="false">IF(BZ1003=1,0,ROUNDUP(AP1003/BY1003,0))</f>
        <v>1</v>
      </c>
      <c r="AR1003" s="52" t="n">
        <f aca="false">IF(CQ1003&gt;0,CQ1003*MAX(1,AP1003/X1003),IF(BZ1003=1,IF(AP1003&lt;=0,0,CD1003*MAX(1,IF(H1003&gt;0,AP1003/H1003,1))),IF(R1003&gt;0,AQ1003/R1003,0))/MAX(0.1,N(Parameter!$M$21)))</f>
        <v>0.0833333333333333</v>
      </c>
      <c r="AS1003" s="50" t="n">
        <f aca="false">AR1003*CB1003</f>
        <v>12.0833333333333</v>
      </c>
      <c r="AT1003" s="51" t="n">
        <f aca="false">IF(LEFT(Cockpit!$I$5,1)="A",H1003,IF(CH1003=1,(CK1003+CI1003)/2,IF(LEFT(Cockpit!$I$5,1)="B",(CK1003+AV1003)/2,MAX((CK1003+AV1003)/2,H1003))))</f>
        <v>1</v>
      </c>
      <c r="AU1003" s="50" t="n">
        <f aca="false">AT1003*G1003</f>
        <v>99.06</v>
      </c>
      <c r="AV1003" s="50" t="n">
        <f aca="false">ROUNDUP(CK1003+MAX(CL1003,2*(J1003/IF(CG1003&gt;0,CG1003,MAX(0.1,N(Cockpit!$I$6)))-CK1003)),0)</f>
        <v>1</v>
      </c>
      <c r="AW1003" s="51" t="n">
        <f aca="false">IF(AS1003&gt;0,J1003/AS1003,-1)</f>
        <v>0</v>
      </c>
      <c r="AX1003" s="51" t="n">
        <f aca="false">IF(AND(OR(CF1003="L1",CF1003="L23",CF1003="LIFT"),AS1003&gt;0),SUMIFS($AS$7:$AS$1843,$CF$7:$CF$1843,CF1003,$AW$7:$AW$1843,"&gt;"&amp;AW1003)+SUMIFS($AS$7:$AS$1843,$CF$7:$CF$1843,CF1003,$AW$7:$AW$1843,AW1003,$BW$7:$BW$1843,"&lt;="&amp;BW1003),"")</f>
        <v>34641.913003663</v>
      </c>
      <c r="AY1003" s="58" t="n">
        <f aca="false">IF(AX1003="",0,MAX(0,MIN(1,(IF(CF1003="L1",Parameter!$H$5,IF(CF1003="L23",Parameter!$H$6+Parameter!$H$7,Parameter!$H$5+Parameter!$H$6+Parameter!$H$7))-(AX1003-AS1003))/AS1003)))</f>
        <v>1</v>
      </c>
      <c r="AZ1003" s="50" t="n">
        <f aca="false">IF(LEFT(Cockpit!$O$5,1)="A",H1003,IF(Parameter!$E$30="MAX-Bestand",IF(CH1003=1,CI1003,IF(LEFT(Cockpit!$O$5,1)="B",BF1003,MAX(BF1003,H1003))),ROUNDUP(BD1003,0)))</f>
        <v>1</v>
      </c>
      <c r="BA1003" s="50" t="n">
        <f aca="false">IF(BZ1003=1,0,ROUNDUP(AZ1003/BY1003,0))</f>
        <v>1</v>
      </c>
      <c r="BB1003" s="52" t="n">
        <f aca="false">IF(CQ1003&gt;0,CQ1003*MAX(1,AZ1003/X1003),IF(BZ1003=1,IF(AZ1003&lt;=0,0,CD1003*MAX(1,IF(H1003&gt;0,AZ1003/H1003,1))),IF(R1003&gt;0,BA1003/R1003,0))/MAX(0.1,N(Parameter!$M$21)))</f>
        <v>0.0833333333333333</v>
      </c>
      <c r="BC1003" s="50" t="n">
        <f aca="false">BB1003*CB1003</f>
        <v>12.0833333333333</v>
      </c>
      <c r="BD1003" s="51" t="n">
        <f aca="false">IF(LEFT(Cockpit!$O$5,1)="A",H1003,IF(CH1003=1,(CK1003+CI1003)/2,IF(LEFT(Cockpit!$O$5,1)="B",(CK1003+BF1003)/2,MAX((CK1003+BF1003)/2,H1003))))</f>
        <v>0.5</v>
      </c>
      <c r="BE1003" s="50" t="n">
        <f aca="false">BD1003*G1003</f>
        <v>49.53</v>
      </c>
      <c r="BF1003" s="50" t="n">
        <f aca="false">ROUNDUP(CK1003+MAX(CL1003,2*(J1003/IF(CG1003&gt;0,CG1003,MAX(0.1,N(Cockpit!$O$6)))-CK1003)),0)</f>
        <v>1</v>
      </c>
      <c r="BG1003" s="51" t="n">
        <f aca="false">IF(BC1003&gt;0,J1003/BC1003,-1)</f>
        <v>0</v>
      </c>
      <c r="BH1003" s="51" t="n">
        <f aca="false">IF(AND(OR(CF1003="L1",CF1003="L23",CF1003="LIFT"),BC1003&gt;0),SUMIFS($BC$7:$BC$1843,$CF$7:$CF$1843,CF1003,$BG$7:$BG$1843,"&gt;"&amp;BG1003)+SUMIFS($BC$7:$BC$1843,$CF$7:$CF$1843,CF1003,$BG$7:$BG$1843,BG1003,$BW$7:$BW$1843,"&lt;="&amp;BW1003),"")</f>
        <v>28657.0273561185</v>
      </c>
      <c r="BI1003" s="58" t="n">
        <f aca="false">IF(BH1003="",0,MAX(0,MIN(1,(IF(CF1003="L1",Parameter!$H$5,IF(CF1003="L23",Parameter!$H$6+Parameter!$H$7,Parameter!$H$5+Parameter!$H$6+Parameter!$H$7))-(BH1003-BC1003))/BC1003)))</f>
        <v>1</v>
      </c>
      <c r="BJ1003" s="48" t="str">
        <f aca="false">IF(AI1003&lt;=0,"",IF(CF1003="Aussen","Aussenlager",IF(CF1003="-","Nicht im Lift",IF(AO1003&gt;=1,"Lift",IF(AO1003&lt;=0,"Aussenlager","teilweise")))))</f>
        <v>Lift</v>
      </c>
      <c r="BK1003" s="48" t="str">
        <f aca="false">IF(AS1003&lt;=0,"",IF(CF1003="Aussen","Aussenlager",IF(CF1003="-","Nicht im Lift",IF(AY1003&gt;=1,"Lift",IF(AY1003&lt;=0,"Aussenlager","teilweise")))))</f>
        <v>Lift</v>
      </c>
      <c r="BL1003" s="48" t="str">
        <f aca="false">IF(BC1003&lt;=0,"",IF(CF1003="Aussen","Aussenlager",IF(CF1003="-","Nicht im Lift",IF(BI1003&gt;=1,"Lift",IF(BI1003&lt;=0,"Aussenlager","teilweise")))))</f>
        <v>Lift</v>
      </c>
      <c r="BM1003" s="48" t="str">
        <f aca="false">IF(A1003="","",IF(BV1003=1,"Neu; ","")&amp;IF(AND(BV1003=0,BQ1003&lt;0),"negativer Bestand (Export "&amp;BQ1003&amp;"); ","")&amp;IF(J1003&lt;=0,"Kein Verbrauch; ","")&amp;IF(CQ1003&gt;0,"Lift "&amp;W1003&amp;" lt. Liftbericht (Fach "&amp;X1003&amp;" Stk); ",IF(CA1003=1,"Gebinde geschätzt ("&amp;T1003&amp;"); ",IF(BZ1003=1,"Lose – Tablare geschätzt; ","")))&amp;IF(H1003&gt;AV1003,"Überbestand "&amp;ROUND(H1003-AV1003,0)&amp;" Stk / CHF "&amp;ROUND((H1003-AV1003)*G1003,0)&amp;"; ","")&amp;IF(AND(CH1003=1,CI1003&lt;CJ1003),"MAX &lt; MB+LG; ","")&amp;IF(AND(CP1003&gt;0,CO1003*10&gt;CP1003),"zu hoch für Tablar; ","")&amp;IF(AND(BV1003=0,OR(CH1003=1,AA1003&lt;&gt;"",U1003&lt;&gt;"",V1003&lt;&gt;"",AB1003&lt;&gt;"")),"manuell übersteuert; ","")&amp;IF(AND(BZ1003=0,R1003=0),"Gebinde unbekannt / Stellmass fehlt; ","")&amp;IF(AND(BZ1003=0,N(V1003)&lt;=0,N(Q1003)&lt;=0),"Menge pro Gebinde fehlt (Ist = 1 Gebinde); ","")&amp;BU1003)</f>
        <v>negativer Bestand (Export -1); Kein Verbrauch; Gebinde geschätzt (Mittel); Menge pro Gebinde fehlt (Ist = 1 Gebinde); </v>
      </c>
      <c r="BN1003" s="48"/>
      <c r="BO1003" s="48"/>
      <c r="BP1003" s="55"/>
      <c r="BQ1003" s="50" t="n">
        <v>-1</v>
      </c>
      <c r="BR1003" s="50" t="n">
        <v>2</v>
      </c>
      <c r="BS1003" s="49" t="n">
        <v>-99.06</v>
      </c>
      <c r="BT1003" s="50" t="n">
        <v>0</v>
      </c>
      <c r="BU1003" s="48"/>
      <c r="BV1003" s="53" t="n">
        <v>0</v>
      </c>
      <c r="BW1003" s="53" t="n">
        <v>1003</v>
      </c>
      <c r="BX1003" s="48" t="str">
        <f aca="false">IF(U1003&lt;&gt;"",UPPER(TRIM(U1003)),IF(CA1003=1,UPPER(VLOOKUP(T1003,Parameter!$I$27:$K$29,2,0)),IF(P1003="","LOSE",P1003)))</f>
        <v>S61</v>
      </c>
      <c r="BY1003" s="50" t="n">
        <f aca="false">IF(BX1003="LOSE",1,IF(N(V1003)&gt;0,V1003,IF(CA1003=1,MAX(1,N(VLOOKUP(T1003,Parameter!$I$27:$K$29,3,0)),H1003,N(N1003)),IF(N(Q1003)&gt;0,Q1003,MAX(1,H1003)))))</f>
        <v>4</v>
      </c>
      <c r="BZ1003" s="53" t="n">
        <f aca="false">IF(BX1003="LOSE",1,0)</f>
        <v>0</v>
      </c>
      <c r="CA1003" s="53" t="n">
        <f aca="false">IF(AND(U1003="",OR(P1003="",P1003="LOSE"),T1003&lt;&gt;"",N(S1003)&lt;=0,ISNUMBER(MATCH(T1003,Parameter!$I$27:$I$29,0))),1,0)</f>
        <v>1</v>
      </c>
      <c r="CB1003" s="53" t="n">
        <f aca="false">IF(CQ1003&gt;0,INDEX(Parameter!$H$5:$H$7,W1003)/INDEX(Parameter!$E$5:$E$7,W1003),IF(AND(BZ1003=0,N(IFERROR(VLOOKUP(BX1003,'Gebinde-Kategorie'!$A$5:$N$45,14,0),0))&gt;0),VLOOKUP(BX1003,'Gebinde-Kategorie'!$A$5:$N$45,14,0)*10+Parameter!$M$23,Parameter!$M$24))</f>
        <v>145</v>
      </c>
      <c r="CC1003" s="48" t="str">
        <f aca="false">IF(AND(Parameter!$B$19="Ja",E1003&lt;&gt;"",ISNUMBER(MATCH(E1003,Parameter!$I$35:$I$52,0))),VLOOKUP(E1003,Parameter!$I$35:$J$52,2,0),IFERROR(VLOOKUP(D1003,Parameter!$A$35:$C$64,2,0),"Nein"))</f>
        <v>2+3</v>
      </c>
      <c r="CD1003" s="52" t="n">
        <f aca="false">IF(BZ1003=0,0,IF(N(S1003)&gt;0,S1003,IFERROR(VLOOKUP(D1003,Parameter!$A$35:$C$64,3,0)+0,0)))</f>
        <v>0</v>
      </c>
      <c r="CE1003" s="48" t="n">
        <f aca="false">IF(AA1003&lt;&gt;"",AA1003,Z1003)</f>
        <v>2</v>
      </c>
      <c r="CF1003" s="48" t="str">
        <f aca="false">IF(OR(CE1003=1,CE1003=2,CE1003=3),IF(Parameter!$E$27="Ja","LIFT",IF(CE1003=1,"L1","L23")),IF(CE1003="Aussen","Aussen","-"))</f>
        <v>LIFT</v>
      </c>
      <c r="CG1003" s="59" t="n">
        <f aca="false">IF(N(AB1003)&gt;0,AB1003,0)</f>
        <v>0</v>
      </c>
      <c r="CH1003" s="53" t="n">
        <f aca="false">IF(ISNUMBER(AE1003),1,0)</f>
        <v>0</v>
      </c>
      <c r="CI1003" s="50" t="n">
        <f aca="false">N(AE1003)</f>
        <v>0</v>
      </c>
      <c r="CJ1003" s="50" t="n">
        <f aca="false">N(M1003)+N(N1003)</f>
        <v>1</v>
      </c>
      <c r="CK1003" s="50" t="n">
        <f aca="false">N(M1003)</f>
        <v>0</v>
      </c>
      <c r="CL1003" s="50" t="n">
        <f aca="false">N(N1003)</f>
        <v>1</v>
      </c>
      <c r="CM1003" s="50" t="n">
        <f aca="false">ROUNDUP(H1003/BY1003,0)</f>
        <v>1</v>
      </c>
      <c r="CN1003" s="50" t="n">
        <f aca="false">ROUNDUP(CI1003/BY1003,0)</f>
        <v>0</v>
      </c>
      <c r="CO1003" s="53" t="n">
        <f aca="false">IF(BZ1003=1,0,IFERROR(VLOOKUP(BX1003,'Gebinde-Kategorie'!$A$5:$N$45,5,0)+0,0))</f>
        <v>11</v>
      </c>
      <c r="CP1003" s="53" t="n">
        <f aca="false">IFERROR(IF(OR(CE1003=1,CE1003=2,CE1003=3),N(INDEX(Parameter!$I$5:$I$7,CE1003)),0),0)</f>
        <v>0</v>
      </c>
      <c r="CQ1003" s="52" t="n">
        <f aca="false">IF(AND(Parameter!$B$21="Ja",ISNUMBER(W1003),N(X1003)&gt;0),IFERROR(N(INDEX(Parameter!$L$5:$L$7,W1003))*INDEX(Parameter!$E$5:$E$7,W1003)*X1003/SUMIFS($X$7:$X$1843,$W$7:$W$1843,W1003),0),0)</f>
        <v>0</v>
      </c>
    </row>
    <row r="1004" customFormat="false" ht="15" hidden="false" customHeight="false" outlineLevel="0" collapsed="false">
      <c r="A1004" s="48" t="s">
        <v>1860</v>
      </c>
      <c r="B1004" s="48" t="s">
        <v>1861</v>
      </c>
      <c r="C1004" s="48" t="s">
        <v>465</v>
      </c>
      <c r="D1004" s="48" t="s">
        <v>182</v>
      </c>
      <c r="E1004" s="48"/>
      <c r="F1004" s="48" t="s">
        <v>227</v>
      </c>
      <c r="G1004" s="49" t="n">
        <v>12.5</v>
      </c>
      <c r="H1004" s="50" t="n">
        <f aca="false">MAX(0,IF(AND(Parameter!$B$21="Ja",ISNUMBER(Y1004)),Y1004,IF(Parameter!$B$20="Jahresanfang 2025 + Export",BR1004+BQ1004,BQ1004)))</f>
        <v>8</v>
      </c>
      <c r="I1004" s="50" t="n">
        <f aca="false">H1004*G1004</f>
        <v>100</v>
      </c>
      <c r="J1004" s="50" t="n">
        <f aca="false">BT1004*Parameter!$B$18</f>
        <v>8</v>
      </c>
      <c r="K1004" s="51" t="n">
        <v>8</v>
      </c>
      <c r="L1004" s="52" t="n">
        <v>1</v>
      </c>
      <c r="M1004" s="50" t="n">
        <v>0</v>
      </c>
      <c r="N1004" s="50" t="n">
        <v>10</v>
      </c>
      <c r="O1004" s="53" t="n">
        <v>28</v>
      </c>
      <c r="P1004" s="48" t="s">
        <v>177</v>
      </c>
      <c r="Q1004" s="50"/>
      <c r="R1004" s="53" t="n">
        <f aca="false">IF(BZ1004=1,0,IFERROR(VLOOKUP(BX1004,'Gebinde-Kategorie'!$A$5:$N$45,13,0)+0,0))</f>
        <v>12</v>
      </c>
      <c r="S1004" s="54"/>
      <c r="T1004" s="55" t="s">
        <v>188</v>
      </c>
      <c r="U1004" s="55"/>
      <c r="V1004" s="55"/>
      <c r="W1004" s="48"/>
      <c r="X1004" s="50"/>
      <c r="Y1004" s="50"/>
      <c r="Z1004" s="48" t="n">
        <f aca="false">IF(A1004="","",IF(AND(Parameter!$B$21="Ja",ISNUMBER(W1004)),W1004,IF(CC1004="2+3",IF(ISNUMBER(SEARCH("grosser Artikel",BU1004)),2,IFERROR(VLOOKUP(BX1004,Parameter!$F$35:$G$64,2,0),2)),IF(OR(CC1004="Nein",CC1004=""),"-",CC1004))))</f>
        <v>2</v>
      </c>
      <c r="AA1004" s="55"/>
      <c r="AB1004" s="56"/>
      <c r="AC1004" s="50" t="n">
        <f aca="false">AV1004</f>
        <v>10</v>
      </c>
      <c r="AD1004" s="50" t="n">
        <f aca="false">MAX(AV1004,H1004)</f>
        <v>10</v>
      </c>
      <c r="AE1004" s="57"/>
      <c r="AF1004" s="50" t="n">
        <f aca="false">IF(LEFT(Cockpit!$C$5,1)="A",H1004,IF(Parameter!$E$30="MAX-Bestand",IF(CH1004=1,CI1004,IF(LEFT(Cockpit!$C$5,1)="B",AL1004,MAX(AL1004,H1004))),ROUNDUP(AJ1004,0)))</f>
        <v>8</v>
      </c>
      <c r="AG1004" s="50" t="n">
        <f aca="false">IF(BZ1004=1,0,ROUNDUP(AF1004/BY1004,0))</f>
        <v>1</v>
      </c>
      <c r="AH1004" s="52" t="n">
        <f aca="false">IF(CQ1004&gt;0,CQ1004*MAX(1,AF1004/X1004),IF(BZ1004=1,IF(AF1004&lt;=0,0,CD1004*MAX(1,IF(H1004&gt;0,AF1004/H1004,1))),IF(R1004&gt;0,AG1004/R1004,0))/MAX(0.1,N(Parameter!$M$21)))</f>
        <v>0.0833333333333333</v>
      </c>
      <c r="AI1004" s="50" t="n">
        <f aca="false">AH1004*CB1004</f>
        <v>12.0833333333333</v>
      </c>
      <c r="AJ1004" s="51" t="n">
        <f aca="false">IF(LEFT(Cockpit!$C$5,1)="A",H1004,IF(CH1004=1,(CK1004+CI1004)/2,IF(LEFT(Cockpit!$C$5,1)="B",(CK1004+AL1004)/2,MAX((CK1004+AL1004)/2,H1004))))</f>
        <v>8</v>
      </c>
      <c r="AK1004" s="50" t="n">
        <f aca="false">AJ1004*G1004</f>
        <v>100</v>
      </c>
      <c r="AL1004" s="50" t="n">
        <f aca="false">ROUNDUP(CK1004+MAX(CL1004,2*(J1004/IF(CG1004&gt;0,CG1004,MAX(0.1,N(Cockpit!$C$6)))-CK1004)),0)</f>
        <v>10</v>
      </c>
      <c r="AM1004" s="51" t="n">
        <f aca="false">IF(AI1004&gt;0,J1004/AI1004,-1)</f>
        <v>0.662068965517242</v>
      </c>
      <c r="AN1004" s="51" t="n">
        <f aca="false">IF(AND(OR(CF1004="L1",CF1004="L23",CF1004="LIFT"),AI1004&gt;0),SUMIFS($AI$7:$AI$1843,$CF$7:$CF$1843,CF1004,$AM$7:$AM$1843,"&gt;"&amp;AM1004)+SUMIFS($AI$7:$AI$1843,$CF$7:$CF$1843,CF1004,$AM$7:$AM$1843,AM1004,$BW$7:$BW$1843,"&lt;="&amp;BW1004),"")</f>
        <v>8704.6217948718</v>
      </c>
      <c r="AO1004" s="58" t="n">
        <f aca="false">IF(AN1004="",0,MAX(0,MIN(1,(IF(CF1004="L1",Parameter!$H$5,IF(CF1004="L23",Parameter!$H$6+Parameter!$H$7,Parameter!$H$5+Parameter!$H$6+Parameter!$H$7))-(AN1004-AI1004))/AI1004)))</f>
        <v>1</v>
      </c>
      <c r="AP1004" s="50" t="n">
        <f aca="false">IF(LEFT(Cockpit!$I$5,1)="A",H1004,IF(Parameter!$E$30="MAX-Bestand",IF(CH1004=1,CI1004,IF(LEFT(Cockpit!$I$5,1)="B",AV1004,MAX(AV1004,H1004))),ROUNDUP(AT1004,0)))</f>
        <v>8</v>
      </c>
      <c r="AQ1004" s="50" t="n">
        <f aca="false">IF(BZ1004=1,0,ROUNDUP(AP1004/BY1004,0))</f>
        <v>1</v>
      </c>
      <c r="AR1004" s="52" t="n">
        <f aca="false">IF(CQ1004&gt;0,CQ1004*MAX(1,AP1004/X1004),IF(BZ1004=1,IF(AP1004&lt;=0,0,CD1004*MAX(1,IF(H1004&gt;0,AP1004/H1004,1))),IF(R1004&gt;0,AQ1004/R1004,0))/MAX(0.1,N(Parameter!$M$21)))</f>
        <v>0.0833333333333333</v>
      </c>
      <c r="AS1004" s="50" t="n">
        <f aca="false">AR1004*CB1004</f>
        <v>12.0833333333333</v>
      </c>
      <c r="AT1004" s="51" t="n">
        <f aca="false">IF(LEFT(Cockpit!$I$5,1)="A",H1004,IF(CH1004=1,(CK1004+CI1004)/2,IF(LEFT(Cockpit!$I$5,1)="B",(CK1004+AV1004)/2,MAX((CK1004+AV1004)/2,H1004))))</f>
        <v>8</v>
      </c>
      <c r="AU1004" s="50" t="n">
        <f aca="false">AT1004*G1004</f>
        <v>100</v>
      </c>
      <c r="AV1004" s="50" t="n">
        <f aca="false">ROUNDUP(CK1004+MAX(CL1004,2*(J1004/IF(CG1004&gt;0,CG1004,MAX(0.1,N(Cockpit!$I$6)))-CK1004)),0)</f>
        <v>10</v>
      </c>
      <c r="AW1004" s="51" t="n">
        <f aca="false">IF(AS1004&gt;0,J1004/AS1004,-1)</f>
        <v>0.662068965517242</v>
      </c>
      <c r="AX1004" s="51" t="n">
        <f aca="false">IF(AND(OR(CF1004="L1",CF1004="L23",CF1004="LIFT"),AS1004&gt;0),SUMIFS($AS$7:$AS$1843,$CF$7:$CF$1843,CF1004,$AW$7:$AW$1843,"&gt;"&amp;AW1004)+SUMIFS($AS$7:$AS$1843,$CF$7:$CF$1843,CF1004,$AW$7:$AW$1843,AW1004,$BW$7:$BW$1843,"&lt;="&amp;BW1004),"")</f>
        <v>11004.7509157509</v>
      </c>
      <c r="AY1004" s="58" t="n">
        <f aca="false">IF(AX1004="",0,MAX(0,MIN(1,(IF(CF1004="L1",Parameter!$H$5,IF(CF1004="L23",Parameter!$H$6+Parameter!$H$7,Parameter!$H$5+Parameter!$H$6+Parameter!$H$7))-(AX1004-AS1004))/AS1004)))</f>
        <v>1</v>
      </c>
      <c r="AZ1004" s="50" t="n">
        <f aca="false">IF(LEFT(Cockpit!$O$5,1)="A",H1004,IF(Parameter!$E$30="MAX-Bestand",IF(CH1004=1,CI1004,IF(LEFT(Cockpit!$O$5,1)="B",BF1004,MAX(BF1004,H1004))),ROUNDUP(BD1004,0)))</f>
        <v>5</v>
      </c>
      <c r="BA1004" s="50" t="n">
        <f aca="false">IF(BZ1004=1,0,ROUNDUP(AZ1004/BY1004,0))</f>
        <v>1</v>
      </c>
      <c r="BB1004" s="52" t="n">
        <f aca="false">IF(CQ1004&gt;0,CQ1004*MAX(1,AZ1004/X1004),IF(BZ1004=1,IF(AZ1004&lt;=0,0,CD1004*MAX(1,IF(H1004&gt;0,AZ1004/H1004,1))),IF(R1004&gt;0,BA1004/R1004,0))/MAX(0.1,N(Parameter!$M$21)))</f>
        <v>0.0833333333333333</v>
      </c>
      <c r="BC1004" s="50" t="n">
        <f aca="false">BB1004*CB1004</f>
        <v>12.0833333333333</v>
      </c>
      <c r="BD1004" s="51" t="n">
        <f aca="false">IF(LEFT(Cockpit!$O$5,1)="A",H1004,IF(CH1004=1,(CK1004+CI1004)/2,IF(LEFT(Cockpit!$O$5,1)="B",(CK1004+BF1004)/2,MAX((CK1004+BF1004)/2,H1004))))</f>
        <v>5</v>
      </c>
      <c r="BE1004" s="50" t="n">
        <f aca="false">BD1004*G1004</f>
        <v>62.5</v>
      </c>
      <c r="BF1004" s="50" t="n">
        <f aca="false">ROUNDUP(CK1004+MAX(CL1004,2*(J1004/IF(CG1004&gt;0,CG1004,MAX(0.1,N(Cockpit!$O$6)))-CK1004)),0)</f>
        <v>10</v>
      </c>
      <c r="BG1004" s="51" t="n">
        <f aca="false">IF(BC1004&gt;0,J1004/BC1004,-1)</f>
        <v>0.662068965517242</v>
      </c>
      <c r="BH1004" s="51" t="n">
        <f aca="false">IF(AND(OR(CF1004="L1",CF1004="L23",CF1004="LIFT"),BC1004&gt;0),SUMIFS($BC$7:$BC$1843,$CF$7:$CF$1843,CF1004,$BG$7:$BG$1843,"&gt;"&amp;BG1004)+SUMIFS($BC$7:$BC$1843,$CF$7:$CF$1843,CF1004,$BG$7:$BG$1843,BG1004,$BW$7:$BW$1843,"&lt;="&amp;BW1004),"")</f>
        <v>9617.36584249084</v>
      </c>
      <c r="BI1004" s="58" t="n">
        <f aca="false">IF(BH1004="",0,MAX(0,MIN(1,(IF(CF1004="L1",Parameter!$H$5,IF(CF1004="L23",Parameter!$H$6+Parameter!$H$7,Parameter!$H$5+Parameter!$H$6+Parameter!$H$7))-(BH1004-BC1004))/BC1004)))</f>
        <v>1</v>
      </c>
      <c r="BJ1004" s="48" t="str">
        <f aca="false">IF(AI1004&lt;=0,"",IF(CF1004="Aussen","Aussenlager",IF(CF1004="-","Nicht im Lift",IF(AO1004&gt;=1,"Lift",IF(AO1004&lt;=0,"Aussenlager","teilweise")))))</f>
        <v>Lift</v>
      </c>
      <c r="BK1004" s="48" t="str">
        <f aca="false">IF(AS1004&lt;=0,"",IF(CF1004="Aussen","Aussenlager",IF(CF1004="-","Nicht im Lift",IF(AY1004&gt;=1,"Lift",IF(AY1004&lt;=0,"Aussenlager","teilweise")))))</f>
        <v>Lift</v>
      </c>
      <c r="BL1004" s="48" t="str">
        <f aca="false">IF(BC1004&lt;=0,"",IF(CF1004="Aussen","Aussenlager",IF(CF1004="-","Nicht im Lift",IF(BI1004&gt;=1,"Lift",IF(BI1004&lt;=0,"Aussenlager","teilweise")))))</f>
        <v>Lift</v>
      </c>
      <c r="BM1004" s="48" t="str">
        <f aca="false">IF(A1004="","",IF(BV1004=1,"Neu; ","")&amp;IF(AND(BV1004=0,BQ1004&lt;0),"negativer Bestand (Export "&amp;BQ1004&amp;"); ","")&amp;IF(J1004&lt;=0,"Kein Verbrauch; ","")&amp;IF(CQ1004&gt;0,"Lift "&amp;W1004&amp;" lt. Liftbericht (Fach "&amp;X1004&amp;" Stk); ",IF(CA1004=1,"Gebinde geschätzt ("&amp;T1004&amp;"); ",IF(BZ1004=1,"Lose – Tablare geschätzt; ","")))&amp;IF(H1004&gt;AV1004,"Überbestand "&amp;ROUND(H1004-AV1004,0)&amp;" Stk / CHF "&amp;ROUND((H1004-AV1004)*G1004,0)&amp;"; ","")&amp;IF(AND(CH1004=1,CI1004&lt;CJ1004),"MAX &lt; MB+LG; ","")&amp;IF(AND(CP1004&gt;0,CO1004*10&gt;CP1004),"zu hoch für Tablar; ","")&amp;IF(AND(BV1004=0,OR(CH1004=1,AA1004&lt;&gt;"",U1004&lt;&gt;"",V1004&lt;&gt;"",AB1004&lt;&gt;"")),"manuell übersteuert; ","")&amp;IF(AND(BZ1004=0,R1004=0),"Gebinde unbekannt / Stellmass fehlt; ","")&amp;IF(AND(BZ1004=0,N(V1004)&lt;=0,N(Q1004)&lt;=0),"Menge pro Gebinde fehlt (Ist = 1 Gebinde); ","")&amp;BU1004)</f>
        <v>negativer Bestand (Export -8); Gebinde geschätzt (Mittel); Menge pro Gebinde fehlt (Ist = 1 Gebinde); </v>
      </c>
      <c r="BN1004" s="48"/>
      <c r="BO1004" s="48"/>
      <c r="BP1004" s="55"/>
      <c r="BQ1004" s="50" t="n">
        <v>-8</v>
      </c>
      <c r="BR1004" s="50" t="n">
        <v>16</v>
      </c>
      <c r="BS1004" s="49" t="n">
        <v>-100</v>
      </c>
      <c r="BT1004" s="50" t="n">
        <v>8</v>
      </c>
      <c r="BU1004" s="48"/>
      <c r="BV1004" s="53" t="n">
        <v>0</v>
      </c>
      <c r="BW1004" s="53" t="n">
        <v>1004</v>
      </c>
      <c r="BX1004" s="48" t="str">
        <f aca="false">IF(U1004&lt;&gt;"",UPPER(TRIM(U1004)),IF(CA1004=1,UPPER(VLOOKUP(T1004,Parameter!$I$27:$K$29,2,0)),IF(P1004="","LOSE",P1004)))</f>
        <v>S61</v>
      </c>
      <c r="BY1004" s="50" t="n">
        <f aca="false">IF(BX1004="LOSE",1,IF(N(V1004)&gt;0,V1004,IF(CA1004=1,MAX(1,N(VLOOKUP(T1004,Parameter!$I$27:$K$29,3,0)),H1004,N(N1004)),IF(N(Q1004)&gt;0,Q1004,MAX(1,H1004)))))</f>
        <v>10</v>
      </c>
      <c r="BZ1004" s="53" t="n">
        <f aca="false">IF(BX1004="LOSE",1,0)</f>
        <v>0</v>
      </c>
      <c r="CA1004" s="53" t="n">
        <f aca="false">IF(AND(U1004="",OR(P1004="",P1004="LOSE"),T1004&lt;&gt;"",N(S1004)&lt;=0,ISNUMBER(MATCH(T1004,Parameter!$I$27:$I$29,0))),1,0)</f>
        <v>1</v>
      </c>
      <c r="CB1004" s="53" t="n">
        <f aca="false">IF(CQ1004&gt;0,INDEX(Parameter!$H$5:$H$7,W1004)/INDEX(Parameter!$E$5:$E$7,W1004),IF(AND(BZ1004=0,N(IFERROR(VLOOKUP(BX1004,'Gebinde-Kategorie'!$A$5:$N$45,14,0),0))&gt;0),VLOOKUP(BX1004,'Gebinde-Kategorie'!$A$5:$N$45,14,0)*10+Parameter!$M$23,Parameter!$M$24))</f>
        <v>145</v>
      </c>
      <c r="CC1004" s="48" t="str">
        <f aca="false">IF(AND(Parameter!$B$19="Ja",E1004&lt;&gt;"",ISNUMBER(MATCH(E1004,Parameter!$I$35:$I$52,0))),VLOOKUP(E1004,Parameter!$I$35:$J$52,2,0),IFERROR(VLOOKUP(D1004,Parameter!$A$35:$C$64,2,0),"Nein"))</f>
        <v>2+3</v>
      </c>
      <c r="CD1004" s="52" t="n">
        <f aca="false">IF(BZ1004=0,0,IF(N(S1004)&gt;0,S1004,IFERROR(VLOOKUP(D1004,Parameter!$A$35:$C$64,3,0)+0,0)))</f>
        <v>0</v>
      </c>
      <c r="CE1004" s="48" t="n">
        <f aca="false">IF(AA1004&lt;&gt;"",AA1004,Z1004)</f>
        <v>2</v>
      </c>
      <c r="CF1004" s="48" t="str">
        <f aca="false">IF(OR(CE1004=1,CE1004=2,CE1004=3),IF(Parameter!$E$27="Ja","LIFT",IF(CE1004=1,"L1","L23")),IF(CE1004="Aussen","Aussen","-"))</f>
        <v>LIFT</v>
      </c>
      <c r="CG1004" s="59" t="n">
        <f aca="false">IF(N(AB1004)&gt;0,AB1004,0)</f>
        <v>0</v>
      </c>
      <c r="CH1004" s="53" t="n">
        <f aca="false">IF(ISNUMBER(AE1004),1,0)</f>
        <v>0</v>
      </c>
      <c r="CI1004" s="50" t="n">
        <f aca="false">N(AE1004)</f>
        <v>0</v>
      </c>
      <c r="CJ1004" s="50" t="n">
        <f aca="false">N(M1004)+N(N1004)</f>
        <v>10</v>
      </c>
      <c r="CK1004" s="50" t="n">
        <f aca="false">N(M1004)</f>
        <v>0</v>
      </c>
      <c r="CL1004" s="50" t="n">
        <f aca="false">N(N1004)</f>
        <v>10</v>
      </c>
      <c r="CM1004" s="50" t="n">
        <f aca="false">ROUNDUP(H1004/BY1004,0)</f>
        <v>1</v>
      </c>
      <c r="CN1004" s="50" t="n">
        <f aca="false">ROUNDUP(CI1004/BY1004,0)</f>
        <v>0</v>
      </c>
      <c r="CO1004" s="53" t="n">
        <f aca="false">IF(BZ1004=1,0,IFERROR(VLOOKUP(BX1004,'Gebinde-Kategorie'!$A$5:$N$45,5,0)+0,0))</f>
        <v>11</v>
      </c>
      <c r="CP1004" s="53" t="n">
        <f aca="false">IFERROR(IF(OR(CE1004=1,CE1004=2,CE1004=3),N(INDEX(Parameter!$I$5:$I$7,CE1004)),0),0)</f>
        <v>0</v>
      </c>
      <c r="CQ1004" s="52" t="n">
        <f aca="false">IF(AND(Parameter!$B$21="Ja",ISNUMBER(W1004),N(X1004)&gt;0),IFERROR(N(INDEX(Parameter!$L$5:$L$7,W1004))*INDEX(Parameter!$E$5:$E$7,W1004)*X1004/SUMIFS($X$7:$X$1843,$W$7:$W$1843,W1004),0),0)</f>
        <v>0</v>
      </c>
    </row>
    <row r="1005" customFormat="false" ht="15" hidden="false" customHeight="false" outlineLevel="0" collapsed="false">
      <c r="A1005" s="48" t="s">
        <v>1862</v>
      </c>
      <c r="B1005" s="48" t="s">
        <v>1863</v>
      </c>
      <c r="C1005" s="48" t="s">
        <v>173</v>
      </c>
      <c r="D1005" s="48" t="s">
        <v>193</v>
      </c>
      <c r="E1005" s="48" t="s">
        <v>194</v>
      </c>
      <c r="F1005" s="48" t="s">
        <v>227</v>
      </c>
      <c r="G1005" s="49" t="n">
        <v>7.57</v>
      </c>
      <c r="H1005" s="50" t="n">
        <f aca="false">MAX(0,IF(AND(Parameter!$B$21="Ja",ISNUMBER(Y1005)),Y1005,IF(Parameter!$B$20="Jahresanfang 2025 + Export",BR1005+BQ1005,BQ1005)))</f>
        <v>13</v>
      </c>
      <c r="I1005" s="50" t="n">
        <f aca="false">H1005*G1005</f>
        <v>98.41</v>
      </c>
      <c r="J1005" s="50" t="n">
        <f aca="false">BT1005*Parameter!$B$18</f>
        <v>53</v>
      </c>
      <c r="K1005" s="51" t="n">
        <v>26.5</v>
      </c>
      <c r="L1005" s="52" t="n">
        <v>2</v>
      </c>
      <c r="M1005" s="50" t="n">
        <v>3</v>
      </c>
      <c r="N1005" s="50" t="n">
        <v>55</v>
      </c>
      <c r="O1005" s="53" t="n">
        <v>21</v>
      </c>
      <c r="P1005" s="48" t="s">
        <v>337</v>
      </c>
      <c r="Q1005" s="50" t="n">
        <v>41</v>
      </c>
      <c r="R1005" s="53" t="n">
        <f aca="false">IF(BZ1005=1,0,IFERROR(VLOOKUP(BX1005,'Gebinde-Kategorie'!$A$5:$N$45,13,0)+0,0))</f>
        <v>52</v>
      </c>
      <c r="S1005" s="54"/>
      <c r="T1005" s="55"/>
      <c r="U1005" s="55"/>
      <c r="V1005" s="55"/>
      <c r="W1005" s="48"/>
      <c r="X1005" s="50"/>
      <c r="Y1005" s="50"/>
      <c r="Z1005" s="48" t="n">
        <f aca="false">IF(A1005="","",IF(AND(Parameter!$B$21="Ja",ISNUMBER(W1005)),W1005,IF(CC1005="2+3",IF(ISNUMBER(SEARCH("grosser Artikel",BU1005)),2,IFERROR(VLOOKUP(BX1005,Parameter!$F$35:$G$64,2,0),2)),IF(OR(CC1005="Nein",CC1005=""),"-",CC1005))))</f>
        <v>3</v>
      </c>
      <c r="AA1005" s="55"/>
      <c r="AB1005" s="56"/>
      <c r="AC1005" s="50" t="n">
        <f aca="false">AV1005</f>
        <v>58</v>
      </c>
      <c r="AD1005" s="50" t="n">
        <f aca="false">MAX(AV1005,H1005)</f>
        <v>58</v>
      </c>
      <c r="AE1005" s="57"/>
      <c r="AF1005" s="50" t="n">
        <f aca="false">IF(LEFT(Cockpit!$C$5,1)="A",H1005,IF(Parameter!$E$30="MAX-Bestand",IF(CH1005=1,CI1005,IF(LEFT(Cockpit!$C$5,1)="B",AL1005,MAX(AL1005,H1005))),ROUNDUP(AJ1005,0)))</f>
        <v>13</v>
      </c>
      <c r="AG1005" s="50" t="n">
        <f aca="false">IF(BZ1005=1,0,ROUNDUP(AF1005/BY1005,0))</f>
        <v>1</v>
      </c>
      <c r="AH1005" s="52" t="n">
        <f aca="false">IF(CQ1005&gt;0,CQ1005*MAX(1,AF1005/X1005),IF(BZ1005=1,IF(AF1005&lt;=0,0,CD1005*MAX(1,IF(H1005&gt;0,AF1005/H1005,1))),IF(R1005&gt;0,AG1005/R1005,0))/MAX(0.1,N(Parameter!$M$21)))</f>
        <v>0.0192307692307692</v>
      </c>
      <c r="AI1005" s="50" t="n">
        <f aca="false">AH1005*CB1005</f>
        <v>2.98076923076923</v>
      </c>
      <c r="AJ1005" s="51" t="n">
        <f aca="false">IF(LEFT(Cockpit!$C$5,1)="A",H1005,IF(CH1005=1,(CK1005+CI1005)/2,IF(LEFT(Cockpit!$C$5,1)="B",(CK1005+AL1005)/2,MAX((CK1005+AL1005)/2,H1005))))</f>
        <v>13</v>
      </c>
      <c r="AK1005" s="50" t="n">
        <f aca="false">AJ1005*G1005</f>
        <v>98.41</v>
      </c>
      <c r="AL1005" s="50" t="n">
        <f aca="false">ROUNDUP(CK1005+MAX(CL1005,2*(J1005/IF(CG1005&gt;0,CG1005,MAX(0.1,N(Cockpit!$C$6)))-CK1005)),0)</f>
        <v>58</v>
      </c>
      <c r="AM1005" s="51" t="n">
        <f aca="false">IF(AI1005&gt;0,J1005/AI1005,-1)</f>
        <v>17.7806451612903</v>
      </c>
      <c r="AN1005" s="51" t="n">
        <f aca="false">IF(AND(OR(CF1005="L1",CF1005="L23",CF1005="LIFT"),AI1005&gt;0),SUMIFS($AI$7:$AI$1843,$CF$7:$CF$1843,CF1005,$AM$7:$AM$1843,"&gt;"&amp;AM1005)+SUMIFS($AI$7:$AI$1843,$CF$7:$CF$1843,CF1005,$AM$7:$AM$1843,AM1005,$BW$7:$BW$1843,"&lt;="&amp;BW1005),"")</f>
        <v>1943.56364468865</v>
      </c>
      <c r="AO1005" s="58" t="n">
        <f aca="false">IF(AN1005="",0,MAX(0,MIN(1,(IF(CF1005="L1",Parameter!$H$5,IF(CF1005="L23",Parameter!$H$6+Parameter!$H$7,Parameter!$H$5+Parameter!$H$6+Parameter!$H$7))-(AN1005-AI1005))/AI1005)))</f>
        <v>1</v>
      </c>
      <c r="AP1005" s="50" t="n">
        <f aca="false">IF(LEFT(Cockpit!$I$5,1)="A",H1005,IF(Parameter!$E$30="MAX-Bestand",IF(CH1005=1,CI1005,IF(LEFT(Cockpit!$I$5,1)="B",AV1005,MAX(AV1005,H1005))),ROUNDUP(AT1005,0)))</f>
        <v>31</v>
      </c>
      <c r="AQ1005" s="50" t="n">
        <f aca="false">IF(BZ1005=1,0,ROUNDUP(AP1005/BY1005,0))</f>
        <v>1</v>
      </c>
      <c r="AR1005" s="52" t="n">
        <f aca="false">IF(CQ1005&gt;0,CQ1005*MAX(1,AP1005/X1005),IF(BZ1005=1,IF(AP1005&lt;=0,0,CD1005*MAX(1,IF(H1005&gt;0,AP1005/H1005,1))),IF(R1005&gt;0,AQ1005/R1005,0))/MAX(0.1,N(Parameter!$M$21)))</f>
        <v>0.0192307692307692</v>
      </c>
      <c r="AS1005" s="50" t="n">
        <f aca="false">AR1005*CB1005</f>
        <v>2.98076923076923</v>
      </c>
      <c r="AT1005" s="51" t="n">
        <f aca="false">IF(LEFT(Cockpit!$I$5,1)="A",H1005,IF(CH1005=1,(CK1005+CI1005)/2,IF(LEFT(Cockpit!$I$5,1)="B",(CK1005+AV1005)/2,MAX((CK1005+AV1005)/2,H1005))))</f>
        <v>30.5</v>
      </c>
      <c r="AU1005" s="50" t="n">
        <f aca="false">AT1005*G1005</f>
        <v>230.885</v>
      </c>
      <c r="AV1005" s="50" t="n">
        <f aca="false">ROUNDUP(CK1005+MAX(CL1005,2*(J1005/IF(CG1005&gt;0,CG1005,MAX(0.1,N(Cockpit!$I$6)))-CK1005)),0)</f>
        <v>58</v>
      </c>
      <c r="AW1005" s="51" t="n">
        <f aca="false">IF(AS1005&gt;0,J1005/AS1005,-1)</f>
        <v>17.7806451612903</v>
      </c>
      <c r="AX1005" s="51" t="n">
        <f aca="false">IF(AND(OR(CF1005="L1",CF1005="L23",CF1005="LIFT"),AS1005&gt;0),SUMIFS($AS$7:$AS$1843,$CF$7:$CF$1843,CF1005,$AW$7:$AW$1843,"&gt;"&amp;AW1005)+SUMIFS($AS$7:$AS$1843,$CF$7:$CF$1843,CF1005,$AW$7:$AW$1843,AW1005,$BW$7:$BW$1843,"&lt;="&amp;BW1005),"")</f>
        <v>2580.68452380952</v>
      </c>
      <c r="AY1005" s="58" t="n">
        <f aca="false">IF(AX1005="",0,MAX(0,MIN(1,(IF(CF1005="L1",Parameter!$H$5,IF(CF1005="L23",Parameter!$H$6+Parameter!$H$7,Parameter!$H$5+Parameter!$H$6+Parameter!$H$7))-(AX1005-AS1005))/AS1005)))</f>
        <v>1</v>
      </c>
      <c r="AZ1005" s="50" t="n">
        <f aca="false">IF(LEFT(Cockpit!$O$5,1)="A",H1005,IF(Parameter!$E$30="MAX-Bestand",IF(CH1005=1,CI1005,IF(LEFT(Cockpit!$O$5,1)="B",BF1005,MAX(BF1005,H1005))),ROUNDUP(BD1005,0)))</f>
        <v>31</v>
      </c>
      <c r="BA1005" s="50" t="n">
        <f aca="false">IF(BZ1005=1,0,ROUNDUP(AZ1005/BY1005,0))</f>
        <v>1</v>
      </c>
      <c r="BB1005" s="52" t="n">
        <f aca="false">IF(CQ1005&gt;0,CQ1005*MAX(1,AZ1005/X1005),IF(BZ1005=1,IF(AZ1005&lt;=0,0,CD1005*MAX(1,IF(H1005&gt;0,AZ1005/H1005,1))),IF(R1005&gt;0,BA1005/R1005,0))/MAX(0.1,N(Parameter!$M$21)))</f>
        <v>0.0192307692307692</v>
      </c>
      <c r="BC1005" s="50" t="n">
        <f aca="false">BB1005*CB1005</f>
        <v>2.98076923076923</v>
      </c>
      <c r="BD1005" s="51" t="n">
        <f aca="false">IF(LEFT(Cockpit!$O$5,1)="A",H1005,IF(CH1005=1,(CK1005+CI1005)/2,IF(LEFT(Cockpit!$O$5,1)="B",(CK1005+BF1005)/2,MAX((CK1005+BF1005)/2,H1005))))</f>
        <v>30.5</v>
      </c>
      <c r="BE1005" s="50" t="n">
        <f aca="false">BD1005*G1005</f>
        <v>230.885</v>
      </c>
      <c r="BF1005" s="50" t="n">
        <f aca="false">ROUNDUP(CK1005+MAX(CL1005,2*(J1005/IF(CG1005&gt;0,CG1005,MAX(0.1,N(Cockpit!$O$6)))-CK1005)),0)</f>
        <v>58</v>
      </c>
      <c r="BG1005" s="51" t="n">
        <f aca="false">IF(BC1005&gt;0,J1005/BC1005,-1)</f>
        <v>17.7806451612903</v>
      </c>
      <c r="BH1005" s="51" t="n">
        <f aca="false">IF(AND(OR(CF1005="L1",CF1005="L23",CF1005="LIFT"),BC1005&gt;0),SUMIFS($BC$7:$BC$1843,$CF$7:$CF$1843,CF1005,$BG$7:$BG$1843,"&gt;"&amp;BG1005)+SUMIFS($BC$7:$BC$1843,$CF$7:$CF$1843,CF1005,$BG$7:$BG$1843,BG1005,$BW$7:$BW$1843,"&lt;="&amp;BW1005),"")</f>
        <v>2321.33241758242</v>
      </c>
      <c r="BI1005" s="58" t="n">
        <f aca="false">IF(BH1005="",0,MAX(0,MIN(1,(IF(CF1005="L1",Parameter!$H$5,IF(CF1005="L23",Parameter!$H$6+Parameter!$H$7,Parameter!$H$5+Parameter!$H$6+Parameter!$H$7))-(BH1005-BC1005))/BC1005)))</f>
        <v>1</v>
      </c>
      <c r="BJ1005" s="48" t="str">
        <f aca="false">IF(AI1005&lt;=0,"",IF(CF1005="Aussen","Aussenlager",IF(CF1005="-","Nicht im Lift",IF(AO1005&gt;=1,"Lift",IF(AO1005&lt;=0,"Aussenlager","teilweise")))))</f>
        <v>Lift</v>
      </c>
      <c r="BK1005" s="48" t="str">
        <f aca="false">IF(AS1005&lt;=0,"",IF(CF1005="Aussen","Aussenlager",IF(CF1005="-","Nicht im Lift",IF(AY1005&gt;=1,"Lift",IF(AY1005&lt;=0,"Aussenlager","teilweise")))))</f>
        <v>Lift</v>
      </c>
      <c r="BL1005" s="48" t="str">
        <f aca="false">IF(BC1005&lt;=0,"",IF(CF1005="Aussen","Aussenlager",IF(CF1005="-","Nicht im Lift",IF(BI1005&gt;=1,"Lift",IF(BI1005&lt;=0,"Aussenlager","teilweise")))))</f>
        <v>Lift</v>
      </c>
      <c r="BM1005" s="48" t="str">
        <f aca="false">IF(A1005="","",IF(BV1005=1,"Neu; ","")&amp;IF(AND(BV1005=0,BQ1005&lt;0),"negativer Bestand (Export "&amp;BQ1005&amp;"); ","")&amp;IF(J1005&lt;=0,"Kein Verbrauch; ","")&amp;IF(CQ1005&gt;0,"Lift "&amp;W1005&amp;" lt. Liftbericht (Fach "&amp;X1005&amp;" Stk); ",IF(CA1005=1,"Gebinde geschätzt ("&amp;T1005&amp;"); ",IF(BZ1005=1,"Lose – Tablare geschätzt; ","")))&amp;IF(H1005&gt;AV1005,"Überbestand "&amp;ROUND(H1005-AV1005,0)&amp;" Stk / CHF "&amp;ROUND((H1005-AV1005)*G1005,0)&amp;"; ","")&amp;IF(AND(CH1005=1,CI1005&lt;CJ1005),"MAX &lt; MB+LG; ","")&amp;IF(AND(CP1005&gt;0,CO1005*10&gt;CP1005),"zu hoch für Tablar; ","")&amp;IF(AND(BV1005=0,OR(CH1005=1,AA1005&lt;&gt;"",U1005&lt;&gt;"",V1005&lt;&gt;"",AB1005&lt;&gt;"")),"manuell übersteuert; ","")&amp;IF(AND(BZ1005=0,R1005=0),"Gebinde unbekannt / Stellmass fehlt; ","")&amp;IF(AND(BZ1005=0,N(V1005)&lt;=0,N(Q1005)&lt;=0),"Menge pro Gebinde fehlt (Ist = 1 Gebinde); ","")&amp;BU1005)</f>
        <v>negativer Bestand (Export -10); </v>
      </c>
      <c r="BN1005" s="48"/>
      <c r="BO1005" s="48"/>
      <c r="BP1005" s="55"/>
      <c r="BQ1005" s="50" t="n">
        <v>-10</v>
      </c>
      <c r="BR1005" s="50" t="n">
        <v>23</v>
      </c>
      <c r="BS1005" s="49" t="n">
        <v>-101.69</v>
      </c>
      <c r="BT1005" s="50" t="n">
        <v>53</v>
      </c>
      <c r="BU1005" s="48"/>
      <c r="BV1005" s="53" t="n">
        <v>0</v>
      </c>
      <c r="BW1005" s="53" t="n">
        <v>1005</v>
      </c>
      <c r="BX1005" s="48" t="str">
        <f aca="false">IF(U1005&lt;&gt;"",UPPER(TRIM(U1005)),IF(CA1005=1,UPPER(VLOOKUP(T1005,Parameter!$I$27:$K$29,2,0)),IF(P1005="","LOSE",P1005)))</f>
        <v>S41</v>
      </c>
      <c r="BY1005" s="50" t="n">
        <f aca="false">IF(BX1005="LOSE",1,IF(N(V1005)&gt;0,V1005,IF(CA1005=1,MAX(1,N(VLOOKUP(T1005,Parameter!$I$27:$K$29,3,0)),H1005,N(N1005)),IF(N(Q1005)&gt;0,Q1005,MAX(1,H1005)))))</f>
        <v>41</v>
      </c>
      <c r="BZ1005" s="53" t="n">
        <f aca="false">IF(BX1005="LOSE",1,0)</f>
        <v>0</v>
      </c>
      <c r="CA1005" s="53" t="n">
        <f aca="false">IF(AND(U1005="",OR(P1005="",P1005="LOSE"),T1005&lt;&gt;"",N(S1005)&lt;=0,ISNUMBER(MATCH(T1005,Parameter!$I$27:$I$29,0))),1,0)</f>
        <v>0</v>
      </c>
      <c r="CB1005" s="53" t="n">
        <f aca="false">IF(CQ1005&gt;0,INDEX(Parameter!$H$5:$H$7,W1005)/INDEX(Parameter!$E$5:$E$7,W1005),IF(AND(BZ1005=0,N(IFERROR(VLOOKUP(BX1005,'Gebinde-Kategorie'!$A$5:$N$45,14,0),0))&gt;0),VLOOKUP(BX1005,'Gebinde-Kategorie'!$A$5:$N$45,14,0)*10+Parameter!$M$23,Parameter!$M$24))</f>
        <v>155</v>
      </c>
      <c r="CC1005" s="48" t="str">
        <f aca="false">IF(AND(Parameter!$B$19="Ja",E1005&lt;&gt;"",ISNUMBER(MATCH(E1005,Parameter!$I$35:$I$52,0))),VLOOKUP(E1005,Parameter!$I$35:$J$52,2,0),IFERROR(VLOOKUP(D1005,Parameter!$A$35:$C$64,2,0),"Nein"))</f>
        <v>2+3</v>
      </c>
      <c r="CD1005" s="52" t="n">
        <f aca="false">IF(BZ1005=0,0,IF(N(S1005)&gt;0,S1005,IFERROR(VLOOKUP(D1005,Parameter!$A$35:$C$64,3,0)+0,0)))</f>
        <v>0</v>
      </c>
      <c r="CE1005" s="48" t="n">
        <f aca="false">IF(AA1005&lt;&gt;"",AA1005,Z1005)</f>
        <v>3</v>
      </c>
      <c r="CF1005" s="48" t="str">
        <f aca="false">IF(OR(CE1005=1,CE1005=2,CE1005=3),IF(Parameter!$E$27="Ja","LIFT",IF(CE1005=1,"L1","L23")),IF(CE1005="Aussen","Aussen","-"))</f>
        <v>LIFT</v>
      </c>
      <c r="CG1005" s="59" t="n">
        <f aca="false">IF(N(AB1005)&gt;0,AB1005,0)</f>
        <v>0</v>
      </c>
      <c r="CH1005" s="53" t="n">
        <f aca="false">IF(ISNUMBER(AE1005),1,0)</f>
        <v>0</v>
      </c>
      <c r="CI1005" s="50" t="n">
        <f aca="false">N(AE1005)</f>
        <v>0</v>
      </c>
      <c r="CJ1005" s="50" t="n">
        <f aca="false">N(M1005)+N(N1005)</f>
        <v>58</v>
      </c>
      <c r="CK1005" s="50" t="n">
        <f aca="false">N(M1005)</f>
        <v>3</v>
      </c>
      <c r="CL1005" s="50" t="n">
        <f aca="false">N(N1005)</f>
        <v>55</v>
      </c>
      <c r="CM1005" s="50" t="n">
        <f aca="false">ROUNDUP(H1005/BY1005,0)</f>
        <v>1</v>
      </c>
      <c r="CN1005" s="50" t="n">
        <f aca="false">ROUNDUP(CI1005/BY1005,0)</f>
        <v>0</v>
      </c>
      <c r="CO1005" s="53" t="n">
        <f aca="false">IF(BZ1005=1,0,IFERROR(VLOOKUP(BX1005,'Gebinde-Kategorie'!$A$5:$N$45,5,0)+0,0))</f>
        <v>11</v>
      </c>
      <c r="CP1005" s="53" t="n">
        <f aca="false">IFERROR(IF(OR(CE1005=1,CE1005=2,CE1005=3),N(INDEX(Parameter!$I$5:$I$7,CE1005)),0),0)</f>
        <v>0</v>
      </c>
      <c r="CQ1005" s="52" t="n">
        <f aca="false">IF(AND(Parameter!$B$21="Ja",ISNUMBER(W1005),N(X1005)&gt;0),IFERROR(N(INDEX(Parameter!$L$5:$L$7,W1005))*INDEX(Parameter!$E$5:$E$7,W1005)*X1005/SUMIFS($X$7:$X$1843,$W$7:$W$1843,W1005),0),0)</f>
        <v>0</v>
      </c>
    </row>
    <row r="1006" customFormat="false" ht="15" hidden="false" customHeight="false" outlineLevel="0" collapsed="false">
      <c r="A1006" s="48" t="s">
        <v>1864</v>
      </c>
      <c r="B1006" s="48" t="s">
        <v>1865</v>
      </c>
      <c r="C1006" s="48" t="s">
        <v>173</v>
      </c>
      <c r="D1006" s="48" t="s">
        <v>182</v>
      </c>
      <c r="E1006" s="48"/>
      <c r="F1006" s="48" t="s">
        <v>227</v>
      </c>
      <c r="G1006" s="49" t="n">
        <v>20.83</v>
      </c>
      <c r="H1006" s="50" t="n">
        <f aca="false">MAX(0,IF(AND(Parameter!$B$21="Ja",ISNUMBER(Y1006)),Y1006,IF(Parameter!$B$20="Jahresanfang 2025 + Export",BR1006+BQ1006,BQ1006)))</f>
        <v>0</v>
      </c>
      <c r="I1006" s="50" t="n">
        <f aca="false">H1006*G1006</f>
        <v>0</v>
      </c>
      <c r="J1006" s="50" t="n">
        <f aca="false">BT1006*Parameter!$B$18</f>
        <v>0</v>
      </c>
      <c r="K1006" s="51" t="n">
        <v>2.5</v>
      </c>
      <c r="L1006" s="52" t="n">
        <v>0</v>
      </c>
      <c r="M1006" s="50" t="n">
        <v>0</v>
      </c>
      <c r="N1006" s="50" t="n">
        <v>1</v>
      </c>
      <c r="O1006" s="53" t="n">
        <v>42</v>
      </c>
      <c r="P1006" s="48" t="s">
        <v>177</v>
      </c>
      <c r="Q1006" s="50"/>
      <c r="R1006" s="53" t="n">
        <f aca="false">IF(BZ1006=1,0,IFERROR(VLOOKUP(BX1006,'Gebinde-Kategorie'!$A$5:$N$45,13,0)+0,0))</f>
        <v>12</v>
      </c>
      <c r="S1006" s="54"/>
      <c r="T1006" s="55" t="s">
        <v>188</v>
      </c>
      <c r="U1006" s="55"/>
      <c r="V1006" s="55"/>
      <c r="W1006" s="48"/>
      <c r="X1006" s="50"/>
      <c r="Y1006" s="50"/>
      <c r="Z1006" s="48" t="n">
        <f aca="false">IF(A1006="","",IF(AND(Parameter!$B$21="Ja",ISNUMBER(W1006)),W1006,IF(CC1006="2+3",IF(ISNUMBER(SEARCH("grosser Artikel",BU1006)),2,IFERROR(VLOOKUP(BX1006,Parameter!$F$35:$G$64,2,0),2)),IF(OR(CC1006="Nein",CC1006=""),"-",CC1006))))</f>
        <v>2</v>
      </c>
      <c r="AA1006" s="55"/>
      <c r="AB1006" s="56"/>
      <c r="AC1006" s="50" t="n">
        <f aca="false">AV1006</f>
        <v>1</v>
      </c>
      <c r="AD1006" s="50" t="n">
        <f aca="false">MAX(AV1006,H1006)</f>
        <v>1</v>
      </c>
      <c r="AE1006" s="57"/>
      <c r="AF1006" s="50" t="n">
        <f aca="false">IF(LEFT(Cockpit!$C$5,1)="A",H1006,IF(Parameter!$E$30="MAX-Bestand",IF(CH1006=1,CI1006,IF(LEFT(Cockpit!$C$5,1)="B",AL1006,MAX(AL1006,H1006))),ROUNDUP(AJ1006,0)))</f>
        <v>0</v>
      </c>
      <c r="AG1006" s="50" t="n">
        <f aca="false">IF(BZ1006=1,0,ROUNDUP(AF1006/BY1006,0))</f>
        <v>0</v>
      </c>
      <c r="AH1006" s="52" t="n">
        <f aca="false">IF(CQ1006&gt;0,CQ1006*MAX(1,AF1006/X1006),IF(BZ1006=1,IF(AF1006&lt;=0,0,CD1006*MAX(1,IF(H1006&gt;0,AF1006/H1006,1))),IF(R1006&gt;0,AG1006/R1006,0))/MAX(0.1,N(Parameter!$M$21)))</f>
        <v>0</v>
      </c>
      <c r="AI1006" s="50" t="n">
        <f aca="false">AH1006*CB1006</f>
        <v>0</v>
      </c>
      <c r="AJ1006" s="51" t="n">
        <f aca="false">IF(LEFT(Cockpit!$C$5,1)="A",H1006,IF(CH1006=1,(CK1006+CI1006)/2,IF(LEFT(Cockpit!$C$5,1)="B",(CK1006+AL1006)/2,MAX((CK1006+AL1006)/2,H1006))))</f>
        <v>0</v>
      </c>
      <c r="AK1006" s="50" t="n">
        <f aca="false">AJ1006*G1006</f>
        <v>0</v>
      </c>
      <c r="AL1006" s="50" t="n">
        <f aca="false">ROUNDUP(CK1006+MAX(CL1006,2*(J1006/IF(CG1006&gt;0,CG1006,MAX(0.1,N(Cockpit!$C$6)))-CK1006)),0)</f>
        <v>1</v>
      </c>
      <c r="AM1006" s="51" t="n">
        <f aca="false">IF(AI1006&gt;0,J1006/AI1006,-1)</f>
        <v>-1</v>
      </c>
      <c r="AN1006" s="51" t="str">
        <f aca="false">IF(AND(OR(CF1006="L1",CF1006="L23",CF1006="LIFT"),AI1006&gt;0),SUMIFS($AI$7:$AI$1843,$CF$7:$CF$1843,CF1006,$AM$7:$AM$1843,"&gt;"&amp;AM1006)+SUMIFS($AI$7:$AI$1843,$CF$7:$CF$1843,CF1006,$AM$7:$AM$1843,AM1006,$BW$7:$BW$1843,"&lt;="&amp;BW1006),"")</f>
        <v/>
      </c>
      <c r="AO1006" s="58" t="n">
        <f aca="false">IF(AN1006="",0,MAX(0,MIN(1,(IF(CF1006="L1",Parameter!$H$5,IF(CF1006="L23",Parameter!$H$6+Parameter!$H$7,Parameter!$H$5+Parameter!$H$6+Parameter!$H$7))-(AN1006-AI1006))/AI1006)))</f>
        <v>0</v>
      </c>
      <c r="AP1006" s="50" t="n">
        <f aca="false">IF(LEFT(Cockpit!$I$5,1)="A",H1006,IF(Parameter!$E$30="MAX-Bestand",IF(CH1006=1,CI1006,IF(LEFT(Cockpit!$I$5,1)="B",AV1006,MAX(AV1006,H1006))),ROUNDUP(AT1006,0)))</f>
        <v>1</v>
      </c>
      <c r="AQ1006" s="50" t="n">
        <f aca="false">IF(BZ1006=1,0,ROUNDUP(AP1006/BY1006,0))</f>
        <v>1</v>
      </c>
      <c r="AR1006" s="52" t="n">
        <f aca="false">IF(CQ1006&gt;0,CQ1006*MAX(1,AP1006/X1006),IF(BZ1006=1,IF(AP1006&lt;=0,0,CD1006*MAX(1,IF(H1006&gt;0,AP1006/H1006,1))),IF(R1006&gt;0,AQ1006/R1006,0))/MAX(0.1,N(Parameter!$M$21)))</f>
        <v>0.0833333333333333</v>
      </c>
      <c r="AS1006" s="50" t="n">
        <f aca="false">AR1006*CB1006</f>
        <v>12.0833333333333</v>
      </c>
      <c r="AT1006" s="51" t="n">
        <f aca="false">IF(LEFT(Cockpit!$I$5,1)="A",H1006,IF(CH1006=1,(CK1006+CI1006)/2,IF(LEFT(Cockpit!$I$5,1)="B",(CK1006+AV1006)/2,MAX((CK1006+AV1006)/2,H1006))))</f>
        <v>0.5</v>
      </c>
      <c r="AU1006" s="50" t="n">
        <f aca="false">AT1006*G1006</f>
        <v>10.415</v>
      </c>
      <c r="AV1006" s="50" t="n">
        <f aca="false">ROUNDUP(CK1006+MAX(CL1006,2*(J1006/IF(CG1006&gt;0,CG1006,MAX(0.1,N(Cockpit!$I$6)))-CK1006)),0)</f>
        <v>1</v>
      </c>
      <c r="AW1006" s="51" t="n">
        <f aca="false">IF(AS1006&gt;0,J1006/AS1006,-1)</f>
        <v>0</v>
      </c>
      <c r="AX1006" s="51" t="n">
        <f aca="false">IF(AND(OR(CF1006="L1",CF1006="L23",CF1006="LIFT"),AS1006&gt;0),SUMIFS($AS$7:$AS$1843,$CF$7:$CF$1843,CF1006,$AW$7:$AW$1843,"&gt;"&amp;AW1006)+SUMIFS($AS$7:$AS$1843,$CF$7:$CF$1843,CF1006,$AW$7:$AW$1843,AW1006,$BW$7:$BW$1843,"&lt;="&amp;BW1006),"")</f>
        <v>34653.9963369963</v>
      </c>
      <c r="AY1006" s="58" t="n">
        <f aca="false">IF(AX1006="",0,MAX(0,MIN(1,(IF(CF1006="L1",Parameter!$H$5,IF(CF1006="L23",Parameter!$H$6+Parameter!$H$7,Parameter!$H$5+Parameter!$H$6+Parameter!$H$7))-(AX1006-AS1006))/AS1006)))</f>
        <v>1</v>
      </c>
      <c r="AZ1006" s="50" t="n">
        <f aca="false">IF(LEFT(Cockpit!$O$5,1)="A",H1006,IF(Parameter!$E$30="MAX-Bestand",IF(CH1006=1,CI1006,IF(LEFT(Cockpit!$O$5,1)="B",BF1006,MAX(BF1006,H1006))),ROUNDUP(BD1006,0)))</f>
        <v>1</v>
      </c>
      <c r="BA1006" s="50" t="n">
        <f aca="false">IF(BZ1006=1,0,ROUNDUP(AZ1006/BY1006,0))</f>
        <v>1</v>
      </c>
      <c r="BB1006" s="52" t="n">
        <f aca="false">IF(CQ1006&gt;0,CQ1006*MAX(1,AZ1006/X1006),IF(BZ1006=1,IF(AZ1006&lt;=0,0,CD1006*MAX(1,IF(H1006&gt;0,AZ1006/H1006,1))),IF(R1006&gt;0,BA1006/R1006,0))/MAX(0.1,N(Parameter!$M$21)))</f>
        <v>0.0833333333333333</v>
      </c>
      <c r="BC1006" s="50" t="n">
        <f aca="false">BB1006*CB1006</f>
        <v>12.0833333333333</v>
      </c>
      <c r="BD1006" s="51" t="n">
        <f aca="false">IF(LEFT(Cockpit!$O$5,1)="A",H1006,IF(CH1006=1,(CK1006+CI1006)/2,IF(LEFT(Cockpit!$O$5,1)="B",(CK1006+BF1006)/2,MAX((CK1006+BF1006)/2,H1006))))</f>
        <v>0.5</v>
      </c>
      <c r="BE1006" s="50" t="n">
        <f aca="false">BD1006*G1006</f>
        <v>10.415</v>
      </c>
      <c r="BF1006" s="50" t="n">
        <f aca="false">ROUNDUP(CK1006+MAX(CL1006,2*(J1006/IF(CG1006&gt;0,CG1006,MAX(0.1,N(Cockpit!$O$6)))-CK1006)),0)</f>
        <v>1</v>
      </c>
      <c r="BG1006" s="51" t="n">
        <f aca="false">IF(BC1006&gt;0,J1006/BC1006,-1)</f>
        <v>0</v>
      </c>
      <c r="BH1006" s="51" t="n">
        <f aca="false">IF(AND(OR(CF1006="L1",CF1006="L23",CF1006="LIFT"),BC1006&gt;0),SUMIFS($BC$7:$BC$1843,$CF$7:$CF$1843,CF1006,$BG$7:$BG$1843,"&gt;"&amp;BG1006)+SUMIFS($BC$7:$BC$1843,$CF$7:$CF$1843,CF1006,$BG$7:$BG$1843,BG1006,$BW$7:$BW$1843,"&lt;="&amp;BW1006),"")</f>
        <v>28669.1106894518</v>
      </c>
      <c r="BI1006" s="58" t="n">
        <f aca="false">IF(BH1006="",0,MAX(0,MIN(1,(IF(CF1006="L1",Parameter!$H$5,IF(CF1006="L23",Parameter!$H$6+Parameter!$H$7,Parameter!$H$5+Parameter!$H$6+Parameter!$H$7))-(BH1006-BC1006))/BC1006)))</f>
        <v>1</v>
      </c>
      <c r="BJ1006" s="48" t="str">
        <f aca="false">IF(AI1006&lt;=0,"",IF(CF1006="Aussen","Aussenlager",IF(CF1006="-","Nicht im Lift",IF(AO1006&gt;=1,"Lift",IF(AO1006&lt;=0,"Aussenlager","teilweise")))))</f>
        <v/>
      </c>
      <c r="BK1006" s="48" t="str">
        <f aca="false">IF(AS1006&lt;=0,"",IF(CF1006="Aussen","Aussenlager",IF(CF1006="-","Nicht im Lift",IF(AY1006&gt;=1,"Lift",IF(AY1006&lt;=0,"Aussenlager","teilweise")))))</f>
        <v>Lift</v>
      </c>
      <c r="BL1006" s="48" t="str">
        <f aca="false">IF(BC1006&lt;=0,"",IF(CF1006="Aussen","Aussenlager",IF(CF1006="-","Nicht im Lift",IF(BI1006&gt;=1,"Lift",IF(BI1006&lt;=0,"Aussenlager","teilweise")))))</f>
        <v>Lift</v>
      </c>
      <c r="BM1006" s="48" t="str">
        <f aca="false">IF(A1006="","",IF(BV1006=1,"Neu; ","")&amp;IF(AND(BV1006=0,BQ1006&lt;0),"negativer Bestand (Export "&amp;BQ1006&amp;"); ","")&amp;IF(J1006&lt;=0,"Kein Verbrauch; ","")&amp;IF(CQ1006&gt;0,"Lift "&amp;W1006&amp;" lt. Liftbericht (Fach "&amp;X1006&amp;" Stk); ",IF(CA1006=1,"Gebinde geschätzt ("&amp;T1006&amp;"); ",IF(BZ1006=1,"Lose – Tablare geschätzt; ","")))&amp;IF(H1006&gt;AV1006,"Überbestand "&amp;ROUND(H1006-AV1006,0)&amp;" Stk / CHF "&amp;ROUND((H1006-AV1006)*G1006,0)&amp;"; ","")&amp;IF(AND(CH1006=1,CI1006&lt;CJ1006),"MAX &lt; MB+LG; ","")&amp;IF(AND(CP1006&gt;0,CO1006*10&gt;CP1006),"zu hoch für Tablar; ","")&amp;IF(AND(BV1006=0,OR(CH1006=1,AA1006&lt;&gt;"",U1006&lt;&gt;"",V1006&lt;&gt;"",AB1006&lt;&gt;"")),"manuell übersteuert; ","")&amp;IF(AND(BZ1006=0,R1006=0),"Gebinde unbekannt / Stellmass fehlt; ","")&amp;IF(AND(BZ1006=0,N(V1006)&lt;=0,N(Q1006)&lt;=0),"Menge pro Gebinde fehlt (Ist = 1 Gebinde); ","")&amp;BU1006)</f>
        <v>negativer Bestand (Export -5); Kein Verbrauch; Gebinde geschätzt (Mittel); Menge pro Gebinde fehlt (Ist = 1 Gebinde); </v>
      </c>
      <c r="BN1006" s="48"/>
      <c r="BO1006" s="48"/>
      <c r="BP1006" s="55"/>
      <c r="BQ1006" s="50" t="n">
        <v>-5</v>
      </c>
      <c r="BR1006" s="50" t="n">
        <v>5</v>
      </c>
      <c r="BS1006" s="49" t="n">
        <v>-104.15</v>
      </c>
      <c r="BT1006" s="50" t="n">
        <v>0</v>
      </c>
      <c r="BU1006" s="48"/>
      <c r="BV1006" s="53" t="n">
        <v>0</v>
      </c>
      <c r="BW1006" s="53" t="n">
        <v>1006</v>
      </c>
      <c r="BX1006" s="48" t="str">
        <f aca="false">IF(U1006&lt;&gt;"",UPPER(TRIM(U1006)),IF(CA1006=1,UPPER(VLOOKUP(T1006,Parameter!$I$27:$K$29,2,0)),IF(P1006="","LOSE",P1006)))</f>
        <v>S61</v>
      </c>
      <c r="BY1006" s="50" t="n">
        <f aca="false">IF(BX1006="LOSE",1,IF(N(V1006)&gt;0,V1006,IF(CA1006=1,MAX(1,N(VLOOKUP(T1006,Parameter!$I$27:$K$29,3,0)),H1006,N(N1006)),IF(N(Q1006)&gt;0,Q1006,MAX(1,H1006)))))</f>
        <v>4</v>
      </c>
      <c r="BZ1006" s="53" t="n">
        <f aca="false">IF(BX1006="LOSE",1,0)</f>
        <v>0</v>
      </c>
      <c r="CA1006" s="53" t="n">
        <f aca="false">IF(AND(U1006="",OR(P1006="",P1006="LOSE"),T1006&lt;&gt;"",N(S1006)&lt;=0,ISNUMBER(MATCH(T1006,Parameter!$I$27:$I$29,0))),1,0)</f>
        <v>1</v>
      </c>
      <c r="CB1006" s="53" t="n">
        <f aca="false">IF(CQ1006&gt;0,INDEX(Parameter!$H$5:$H$7,W1006)/INDEX(Parameter!$E$5:$E$7,W1006),IF(AND(BZ1006=0,N(IFERROR(VLOOKUP(BX1006,'Gebinde-Kategorie'!$A$5:$N$45,14,0),0))&gt;0),VLOOKUP(BX1006,'Gebinde-Kategorie'!$A$5:$N$45,14,0)*10+Parameter!$M$23,Parameter!$M$24))</f>
        <v>145</v>
      </c>
      <c r="CC1006" s="48" t="str">
        <f aca="false">IF(AND(Parameter!$B$19="Ja",E1006&lt;&gt;"",ISNUMBER(MATCH(E1006,Parameter!$I$35:$I$52,0))),VLOOKUP(E1006,Parameter!$I$35:$J$52,2,0),IFERROR(VLOOKUP(D1006,Parameter!$A$35:$C$64,2,0),"Nein"))</f>
        <v>2+3</v>
      </c>
      <c r="CD1006" s="52" t="n">
        <f aca="false">IF(BZ1006=0,0,IF(N(S1006)&gt;0,S1006,IFERROR(VLOOKUP(D1006,Parameter!$A$35:$C$64,3,0)+0,0)))</f>
        <v>0</v>
      </c>
      <c r="CE1006" s="48" t="n">
        <f aca="false">IF(AA1006&lt;&gt;"",AA1006,Z1006)</f>
        <v>2</v>
      </c>
      <c r="CF1006" s="48" t="str">
        <f aca="false">IF(OR(CE1006=1,CE1006=2,CE1006=3),IF(Parameter!$E$27="Ja","LIFT",IF(CE1006=1,"L1","L23")),IF(CE1006="Aussen","Aussen","-"))</f>
        <v>LIFT</v>
      </c>
      <c r="CG1006" s="59" t="n">
        <f aca="false">IF(N(AB1006)&gt;0,AB1006,0)</f>
        <v>0</v>
      </c>
      <c r="CH1006" s="53" t="n">
        <f aca="false">IF(ISNUMBER(AE1006),1,0)</f>
        <v>0</v>
      </c>
      <c r="CI1006" s="50" t="n">
        <f aca="false">N(AE1006)</f>
        <v>0</v>
      </c>
      <c r="CJ1006" s="50" t="n">
        <f aca="false">N(M1006)+N(N1006)</f>
        <v>1</v>
      </c>
      <c r="CK1006" s="50" t="n">
        <f aca="false">N(M1006)</f>
        <v>0</v>
      </c>
      <c r="CL1006" s="50" t="n">
        <f aca="false">N(N1006)</f>
        <v>1</v>
      </c>
      <c r="CM1006" s="50" t="n">
        <f aca="false">ROUNDUP(H1006/BY1006,0)</f>
        <v>0</v>
      </c>
      <c r="CN1006" s="50" t="n">
        <f aca="false">ROUNDUP(CI1006/BY1006,0)</f>
        <v>0</v>
      </c>
      <c r="CO1006" s="53" t="n">
        <f aca="false">IF(BZ1006=1,0,IFERROR(VLOOKUP(BX1006,'Gebinde-Kategorie'!$A$5:$N$45,5,0)+0,0))</f>
        <v>11</v>
      </c>
      <c r="CP1006" s="53" t="n">
        <f aca="false">IFERROR(IF(OR(CE1006=1,CE1006=2,CE1006=3),N(INDEX(Parameter!$I$5:$I$7,CE1006)),0),0)</f>
        <v>0</v>
      </c>
      <c r="CQ1006" s="52" t="n">
        <f aca="false">IF(AND(Parameter!$B$21="Ja",ISNUMBER(W1006),N(X1006)&gt;0),IFERROR(N(INDEX(Parameter!$L$5:$L$7,W1006))*INDEX(Parameter!$E$5:$E$7,W1006)*X1006/SUMIFS($X$7:$X$1843,$W$7:$W$1843,W1006),0),0)</f>
        <v>0</v>
      </c>
    </row>
    <row r="1007" customFormat="false" ht="15" hidden="false" customHeight="false" outlineLevel="0" collapsed="false">
      <c r="A1007" s="48" t="s">
        <v>1866</v>
      </c>
      <c r="B1007" s="48" t="s">
        <v>1867</v>
      </c>
      <c r="C1007" s="48" t="s">
        <v>173</v>
      </c>
      <c r="D1007" s="48" t="s">
        <v>193</v>
      </c>
      <c r="E1007" s="48" t="s">
        <v>194</v>
      </c>
      <c r="F1007" s="48" t="s">
        <v>227</v>
      </c>
      <c r="G1007" s="49" t="n">
        <v>7.39</v>
      </c>
      <c r="H1007" s="50" t="n">
        <f aca="false">MAX(0,IF(AND(Parameter!$B$21="Ja",ISNUMBER(Y1007)),Y1007,IF(Parameter!$B$20="Jahresanfang 2025 + Export",BR1007+BQ1007,BQ1007)))</f>
        <v>42</v>
      </c>
      <c r="I1007" s="50" t="n">
        <f aca="false">H1007*G1007</f>
        <v>310.38</v>
      </c>
      <c r="J1007" s="50" t="n">
        <f aca="false">BT1007*Parameter!$B$18</f>
        <v>103</v>
      </c>
      <c r="K1007" s="51" t="n">
        <v>102</v>
      </c>
      <c r="L1007" s="52" t="n">
        <v>1.00980392156863</v>
      </c>
      <c r="M1007" s="50" t="n">
        <v>4</v>
      </c>
      <c r="N1007" s="50" t="n">
        <v>110</v>
      </c>
      <c r="O1007" s="53" t="n">
        <v>14</v>
      </c>
      <c r="P1007" s="48" t="s">
        <v>485</v>
      </c>
      <c r="Q1007" s="50" t="n">
        <v>229</v>
      </c>
      <c r="R1007" s="53" t="n">
        <f aca="false">IF(BZ1007=1,0,IFERROR(VLOOKUP(BX1007,'Gebinde-Kategorie'!$A$5:$N$45,13,0)+0,0))</f>
        <v>52</v>
      </c>
      <c r="S1007" s="54"/>
      <c r="T1007" s="55"/>
      <c r="U1007" s="55"/>
      <c r="V1007" s="55"/>
      <c r="W1007" s="48"/>
      <c r="X1007" s="50"/>
      <c r="Y1007" s="50"/>
      <c r="Z1007" s="48" t="n">
        <f aca="false">IF(A1007="","",IF(AND(Parameter!$B$21="Ja",ISNUMBER(W1007)),W1007,IF(CC1007="2+3",IF(ISNUMBER(SEARCH("grosser Artikel",BU1007)),2,IFERROR(VLOOKUP(BX1007,Parameter!$F$35:$G$64,2,0),2)),IF(OR(CC1007="Nein",CC1007=""),"-",CC1007))))</f>
        <v>3</v>
      </c>
      <c r="AA1007" s="55"/>
      <c r="AB1007" s="56"/>
      <c r="AC1007" s="50" t="n">
        <f aca="false">AV1007</f>
        <v>114</v>
      </c>
      <c r="AD1007" s="50" t="n">
        <f aca="false">MAX(AV1007,H1007)</f>
        <v>114</v>
      </c>
      <c r="AE1007" s="57"/>
      <c r="AF1007" s="50" t="n">
        <f aca="false">IF(LEFT(Cockpit!$C$5,1)="A",H1007,IF(Parameter!$E$30="MAX-Bestand",IF(CH1007=1,CI1007,IF(LEFT(Cockpit!$C$5,1)="B",AL1007,MAX(AL1007,H1007))),ROUNDUP(AJ1007,0)))</f>
        <v>42</v>
      </c>
      <c r="AG1007" s="50" t="n">
        <f aca="false">IF(BZ1007=1,0,ROUNDUP(AF1007/BY1007,0))</f>
        <v>1</v>
      </c>
      <c r="AH1007" s="52" t="n">
        <f aca="false">IF(CQ1007&gt;0,CQ1007*MAX(1,AF1007/X1007),IF(BZ1007=1,IF(AF1007&lt;=0,0,CD1007*MAX(1,IF(H1007&gt;0,AF1007/H1007,1))),IF(R1007&gt;0,AG1007/R1007,0))/MAX(0.1,N(Parameter!$M$21)))</f>
        <v>0.0192307692307692</v>
      </c>
      <c r="AI1007" s="50" t="n">
        <f aca="false">AH1007*CB1007</f>
        <v>2.98076923076923</v>
      </c>
      <c r="AJ1007" s="51" t="n">
        <f aca="false">IF(LEFT(Cockpit!$C$5,1)="A",H1007,IF(CH1007=1,(CK1007+CI1007)/2,IF(LEFT(Cockpit!$C$5,1)="B",(CK1007+AL1007)/2,MAX((CK1007+AL1007)/2,H1007))))</f>
        <v>42</v>
      </c>
      <c r="AK1007" s="50" t="n">
        <f aca="false">AJ1007*G1007</f>
        <v>310.38</v>
      </c>
      <c r="AL1007" s="50" t="n">
        <f aca="false">ROUNDUP(CK1007+MAX(CL1007,2*(J1007/IF(CG1007&gt;0,CG1007,MAX(0.1,N(Cockpit!$C$6)))-CK1007)),0)</f>
        <v>114</v>
      </c>
      <c r="AM1007" s="51" t="n">
        <f aca="false">IF(AI1007&gt;0,J1007/AI1007,-1)</f>
        <v>34.5548387096774</v>
      </c>
      <c r="AN1007" s="51" t="n">
        <f aca="false">IF(AND(OR(CF1007="L1",CF1007="L23",CF1007="LIFT"),AI1007&gt;0),SUMIFS($AI$7:$AI$1843,$CF$7:$CF$1843,CF1007,$AM$7:$AM$1843,"&gt;"&amp;AM1007)+SUMIFS($AI$7:$AI$1843,$CF$7:$CF$1843,CF1007,$AM$7:$AM$1843,AM1007,$BW$7:$BW$1843,"&lt;="&amp;BW1007),"")</f>
        <v>1301.73763736264</v>
      </c>
      <c r="AO1007" s="58" t="n">
        <f aca="false">IF(AN1007="",0,MAX(0,MIN(1,(IF(CF1007="L1",Parameter!$H$5,IF(CF1007="L23",Parameter!$H$6+Parameter!$H$7,Parameter!$H$5+Parameter!$H$6+Parameter!$H$7))-(AN1007-AI1007))/AI1007)))</f>
        <v>1</v>
      </c>
      <c r="AP1007" s="50" t="n">
        <f aca="false">IF(LEFT(Cockpit!$I$5,1)="A",H1007,IF(Parameter!$E$30="MAX-Bestand",IF(CH1007=1,CI1007,IF(LEFT(Cockpit!$I$5,1)="B",AV1007,MAX(AV1007,H1007))),ROUNDUP(AT1007,0)))</f>
        <v>59</v>
      </c>
      <c r="AQ1007" s="50" t="n">
        <f aca="false">IF(BZ1007=1,0,ROUNDUP(AP1007/BY1007,0))</f>
        <v>1</v>
      </c>
      <c r="AR1007" s="52" t="n">
        <f aca="false">IF(CQ1007&gt;0,CQ1007*MAX(1,AP1007/X1007),IF(BZ1007=1,IF(AP1007&lt;=0,0,CD1007*MAX(1,IF(H1007&gt;0,AP1007/H1007,1))),IF(R1007&gt;0,AQ1007/R1007,0))/MAX(0.1,N(Parameter!$M$21)))</f>
        <v>0.0192307692307692</v>
      </c>
      <c r="AS1007" s="50" t="n">
        <f aca="false">AR1007*CB1007</f>
        <v>2.98076923076923</v>
      </c>
      <c r="AT1007" s="51" t="n">
        <f aca="false">IF(LEFT(Cockpit!$I$5,1)="A",H1007,IF(CH1007=1,(CK1007+CI1007)/2,IF(LEFT(Cockpit!$I$5,1)="B",(CK1007+AV1007)/2,MAX((CK1007+AV1007)/2,H1007))))</f>
        <v>59</v>
      </c>
      <c r="AU1007" s="50" t="n">
        <f aca="false">AT1007*G1007</f>
        <v>436.01</v>
      </c>
      <c r="AV1007" s="50" t="n">
        <f aca="false">ROUNDUP(CK1007+MAX(CL1007,2*(J1007/IF(CG1007&gt;0,CG1007,MAX(0.1,N(Cockpit!$I$6)))-CK1007)),0)</f>
        <v>114</v>
      </c>
      <c r="AW1007" s="51" t="n">
        <f aca="false">IF(AS1007&gt;0,J1007/AS1007,-1)</f>
        <v>34.5548387096774</v>
      </c>
      <c r="AX1007" s="51" t="n">
        <f aca="false">IF(AND(OR(CF1007="L1",CF1007="L23",CF1007="LIFT"),AS1007&gt;0),SUMIFS($AS$7:$AS$1843,$CF$7:$CF$1843,CF1007,$AW$7:$AW$1843,"&gt;"&amp;AW1007)+SUMIFS($AS$7:$AS$1843,$CF$7:$CF$1843,CF1007,$AW$7:$AW$1843,AW1007,$BW$7:$BW$1843,"&lt;="&amp;BW1007),"")</f>
        <v>1622.50366300366</v>
      </c>
      <c r="AY1007" s="58" t="n">
        <f aca="false">IF(AX1007="",0,MAX(0,MIN(1,(IF(CF1007="L1",Parameter!$H$5,IF(CF1007="L23",Parameter!$H$6+Parameter!$H$7,Parameter!$H$5+Parameter!$H$6+Parameter!$H$7))-(AX1007-AS1007))/AS1007)))</f>
        <v>1</v>
      </c>
      <c r="AZ1007" s="50" t="n">
        <f aca="false">IF(LEFT(Cockpit!$O$5,1)="A",H1007,IF(Parameter!$E$30="MAX-Bestand",IF(CH1007=1,CI1007,IF(LEFT(Cockpit!$O$5,1)="B",BF1007,MAX(BF1007,H1007))),ROUNDUP(BD1007,0)))</f>
        <v>59</v>
      </c>
      <c r="BA1007" s="50" t="n">
        <f aca="false">IF(BZ1007=1,0,ROUNDUP(AZ1007/BY1007,0))</f>
        <v>1</v>
      </c>
      <c r="BB1007" s="52" t="n">
        <f aca="false">IF(CQ1007&gt;0,CQ1007*MAX(1,AZ1007/X1007),IF(BZ1007=1,IF(AZ1007&lt;=0,0,CD1007*MAX(1,IF(H1007&gt;0,AZ1007/H1007,1))),IF(R1007&gt;0,BA1007/R1007,0))/MAX(0.1,N(Parameter!$M$21)))</f>
        <v>0.0192307692307692</v>
      </c>
      <c r="BC1007" s="50" t="n">
        <f aca="false">BB1007*CB1007</f>
        <v>2.98076923076923</v>
      </c>
      <c r="BD1007" s="51" t="n">
        <f aca="false">IF(LEFT(Cockpit!$O$5,1)="A",H1007,IF(CH1007=1,(CK1007+CI1007)/2,IF(LEFT(Cockpit!$O$5,1)="B",(CK1007+BF1007)/2,MAX((CK1007+BF1007)/2,H1007))))</f>
        <v>59</v>
      </c>
      <c r="BE1007" s="50" t="n">
        <f aca="false">BD1007*G1007</f>
        <v>436.01</v>
      </c>
      <c r="BF1007" s="50" t="n">
        <f aca="false">ROUNDUP(CK1007+MAX(CL1007,2*(J1007/IF(CG1007&gt;0,CG1007,MAX(0.1,N(Cockpit!$O$6)))-CK1007)),0)</f>
        <v>114</v>
      </c>
      <c r="BG1007" s="51" t="n">
        <f aca="false">IF(BC1007&gt;0,J1007/BC1007,-1)</f>
        <v>34.5548387096774</v>
      </c>
      <c r="BH1007" s="51" t="n">
        <f aca="false">IF(AND(OR(CF1007="L1",CF1007="L23",CF1007="LIFT"),BC1007&gt;0),SUMIFS($BC$7:$BC$1843,$CF$7:$CF$1843,CF1007,$BG$7:$BG$1843,"&gt;"&amp;BG1007)+SUMIFS($BC$7:$BC$1843,$CF$7:$CF$1843,CF1007,$BG$7:$BG$1843,BG1007,$BW$7:$BW$1843,"&lt;="&amp;BW1007),"")</f>
        <v>1544.74358974359</v>
      </c>
      <c r="BI1007" s="58" t="n">
        <f aca="false">IF(BH1007="",0,MAX(0,MIN(1,(IF(CF1007="L1",Parameter!$H$5,IF(CF1007="L23",Parameter!$H$6+Parameter!$H$7,Parameter!$H$5+Parameter!$H$6+Parameter!$H$7))-(BH1007-BC1007))/BC1007)))</f>
        <v>1</v>
      </c>
      <c r="BJ1007" s="48" t="str">
        <f aca="false">IF(AI1007&lt;=0,"",IF(CF1007="Aussen","Aussenlager",IF(CF1007="-","Nicht im Lift",IF(AO1007&gt;=1,"Lift",IF(AO1007&lt;=0,"Aussenlager","teilweise")))))</f>
        <v>Lift</v>
      </c>
      <c r="BK1007" s="48" t="str">
        <f aca="false">IF(AS1007&lt;=0,"",IF(CF1007="Aussen","Aussenlager",IF(CF1007="-","Nicht im Lift",IF(AY1007&gt;=1,"Lift",IF(AY1007&lt;=0,"Aussenlager","teilweise")))))</f>
        <v>Lift</v>
      </c>
      <c r="BL1007" s="48" t="str">
        <f aca="false">IF(BC1007&lt;=0,"",IF(CF1007="Aussen","Aussenlager",IF(CF1007="-","Nicht im Lift",IF(BI1007&gt;=1,"Lift",IF(BI1007&lt;=0,"Aussenlager","teilweise")))))</f>
        <v>Lift</v>
      </c>
      <c r="BM1007" s="48" t="str">
        <f aca="false">IF(A1007="","",IF(BV1007=1,"Neu; ","")&amp;IF(AND(BV1007=0,BQ1007&lt;0),"negativer Bestand (Export "&amp;BQ1007&amp;"); ","")&amp;IF(J1007&lt;=0,"Kein Verbrauch; ","")&amp;IF(CQ1007&gt;0,"Lift "&amp;W1007&amp;" lt. Liftbericht (Fach "&amp;X1007&amp;" Stk); ",IF(CA1007=1,"Gebinde geschätzt ("&amp;T1007&amp;"); ",IF(BZ1007=1,"Lose – Tablare geschätzt; ","")))&amp;IF(H1007&gt;AV1007,"Überbestand "&amp;ROUND(H1007-AV1007,0)&amp;" Stk / CHF "&amp;ROUND((H1007-AV1007)*G1007,0)&amp;"; ","")&amp;IF(AND(CH1007=1,CI1007&lt;CJ1007),"MAX &lt; MB+LG; ","")&amp;IF(AND(CP1007&gt;0,CO1007*10&gt;CP1007),"zu hoch für Tablar; ","")&amp;IF(AND(BV1007=0,OR(CH1007=1,AA1007&lt;&gt;"",U1007&lt;&gt;"",V1007&lt;&gt;"",AB1007&lt;&gt;"")),"manuell übersteuert; ","")&amp;IF(AND(BZ1007=0,R1007=0),"Gebinde unbekannt / Stellmass fehlt; ","")&amp;IF(AND(BZ1007=0,N(V1007)&lt;=0,N(Q1007)&lt;=0),"Menge pro Gebinde fehlt (Ist = 1 Gebinde); ","")&amp;BU1007)</f>
        <v>negativer Bestand (Export -16); </v>
      </c>
      <c r="BN1007" s="48"/>
      <c r="BO1007" s="48"/>
      <c r="BP1007" s="55"/>
      <c r="BQ1007" s="50" t="n">
        <v>-16</v>
      </c>
      <c r="BR1007" s="50" t="n">
        <v>58</v>
      </c>
      <c r="BS1007" s="49" t="n">
        <v>-105.24</v>
      </c>
      <c r="BT1007" s="50" t="n">
        <v>103</v>
      </c>
      <c r="BU1007" s="48"/>
      <c r="BV1007" s="53" t="n">
        <v>0</v>
      </c>
      <c r="BW1007" s="53" t="n">
        <v>1007</v>
      </c>
      <c r="BX1007" s="48" t="str">
        <f aca="false">IF(U1007&lt;&gt;"",UPPER(TRIM(U1007)),IF(CA1007=1,UPPER(VLOOKUP(T1007,Parameter!$I$27:$K$29,2,0)),IF(P1007="","LOSE",P1007)))</f>
        <v>S33</v>
      </c>
      <c r="BY1007" s="50" t="n">
        <f aca="false">IF(BX1007="LOSE",1,IF(N(V1007)&gt;0,V1007,IF(CA1007=1,MAX(1,N(VLOOKUP(T1007,Parameter!$I$27:$K$29,3,0)),H1007,N(N1007)),IF(N(Q1007)&gt;0,Q1007,MAX(1,H1007)))))</f>
        <v>229</v>
      </c>
      <c r="BZ1007" s="53" t="n">
        <f aca="false">IF(BX1007="LOSE",1,0)</f>
        <v>0</v>
      </c>
      <c r="CA1007" s="53" t="n">
        <f aca="false">IF(AND(U1007="",OR(P1007="",P1007="LOSE"),T1007&lt;&gt;"",N(S1007)&lt;=0,ISNUMBER(MATCH(T1007,Parameter!$I$27:$I$29,0))),1,0)</f>
        <v>0</v>
      </c>
      <c r="CB1007" s="53" t="n">
        <f aca="false">IF(CQ1007&gt;0,INDEX(Parameter!$H$5:$H$7,W1007)/INDEX(Parameter!$E$5:$E$7,W1007),IF(AND(BZ1007=0,N(IFERROR(VLOOKUP(BX1007,'Gebinde-Kategorie'!$A$5:$N$45,14,0),0))&gt;0),VLOOKUP(BX1007,'Gebinde-Kategorie'!$A$5:$N$45,14,0)*10+Parameter!$M$23,Parameter!$M$24))</f>
        <v>155</v>
      </c>
      <c r="CC1007" s="48" t="str">
        <f aca="false">IF(AND(Parameter!$B$19="Ja",E1007&lt;&gt;"",ISNUMBER(MATCH(E1007,Parameter!$I$35:$I$52,0))),VLOOKUP(E1007,Parameter!$I$35:$J$52,2,0),IFERROR(VLOOKUP(D1007,Parameter!$A$35:$C$64,2,0),"Nein"))</f>
        <v>2+3</v>
      </c>
      <c r="CD1007" s="52" t="n">
        <f aca="false">IF(BZ1007=0,0,IF(N(S1007)&gt;0,S1007,IFERROR(VLOOKUP(D1007,Parameter!$A$35:$C$64,3,0)+0,0)))</f>
        <v>0</v>
      </c>
      <c r="CE1007" s="48" t="n">
        <f aca="false">IF(AA1007&lt;&gt;"",AA1007,Z1007)</f>
        <v>3</v>
      </c>
      <c r="CF1007" s="48" t="str">
        <f aca="false">IF(OR(CE1007=1,CE1007=2,CE1007=3),IF(Parameter!$E$27="Ja","LIFT",IF(CE1007=1,"L1","L23")),IF(CE1007="Aussen","Aussen","-"))</f>
        <v>LIFT</v>
      </c>
      <c r="CG1007" s="59" t="n">
        <f aca="false">IF(N(AB1007)&gt;0,AB1007,0)</f>
        <v>0</v>
      </c>
      <c r="CH1007" s="53" t="n">
        <f aca="false">IF(ISNUMBER(AE1007),1,0)</f>
        <v>0</v>
      </c>
      <c r="CI1007" s="50" t="n">
        <f aca="false">N(AE1007)</f>
        <v>0</v>
      </c>
      <c r="CJ1007" s="50" t="n">
        <f aca="false">N(M1007)+N(N1007)</f>
        <v>114</v>
      </c>
      <c r="CK1007" s="50" t="n">
        <f aca="false">N(M1007)</f>
        <v>4</v>
      </c>
      <c r="CL1007" s="50" t="n">
        <f aca="false">N(N1007)</f>
        <v>110</v>
      </c>
      <c r="CM1007" s="50" t="n">
        <f aca="false">ROUNDUP(H1007/BY1007,0)</f>
        <v>1</v>
      </c>
      <c r="CN1007" s="50" t="n">
        <f aca="false">ROUNDUP(CI1007/BY1007,0)</f>
        <v>0</v>
      </c>
      <c r="CO1007" s="53" t="n">
        <f aca="false">IF(BZ1007=1,0,IFERROR(VLOOKUP(BX1007,'Gebinde-Kategorie'!$A$5:$N$45,5,0)+0,0))</f>
        <v>8</v>
      </c>
      <c r="CP1007" s="53" t="n">
        <f aca="false">IFERROR(IF(OR(CE1007=1,CE1007=2,CE1007=3),N(INDEX(Parameter!$I$5:$I$7,CE1007)),0),0)</f>
        <v>0</v>
      </c>
      <c r="CQ1007" s="52" t="n">
        <f aca="false">IF(AND(Parameter!$B$21="Ja",ISNUMBER(W1007),N(X1007)&gt;0),IFERROR(N(INDEX(Parameter!$L$5:$L$7,W1007))*INDEX(Parameter!$E$5:$E$7,W1007)*X1007/SUMIFS($X$7:$X$1843,$W$7:$W$1843,W1007),0),0)</f>
        <v>0</v>
      </c>
    </row>
    <row r="1008" customFormat="false" ht="15" hidden="false" customHeight="false" outlineLevel="0" collapsed="false">
      <c r="A1008" s="48" t="s">
        <v>1868</v>
      </c>
      <c r="B1008" s="48" t="s">
        <v>1805</v>
      </c>
      <c r="C1008" s="48" t="s">
        <v>173</v>
      </c>
      <c r="D1008" s="48" t="s">
        <v>362</v>
      </c>
      <c r="E1008" s="48"/>
      <c r="F1008" s="48" t="s">
        <v>227</v>
      </c>
      <c r="G1008" s="49" t="n">
        <v>106.63</v>
      </c>
      <c r="H1008" s="50" t="n">
        <f aca="false">MAX(0,IF(AND(Parameter!$B$21="Ja",ISNUMBER(Y1008)),Y1008,IF(Parameter!$B$20="Jahresanfang 2025 + Export",BR1008+BQ1008,BQ1008)))</f>
        <v>0</v>
      </c>
      <c r="I1008" s="50" t="n">
        <f aca="false">H1008*G1008</f>
        <v>0</v>
      </c>
      <c r="J1008" s="50" t="n">
        <f aca="false">BT1008*Parameter!$B$18</f>
        <v>0</v>
      </c>
      <c r="K1008" s="51" t="n">
        <v>0.5</v>
      </c>
      <c r="L1008" s="52" t="n">
        <v>0</v>
      </c>
      <c r="M1008" s="50" t="n">
        <v>0</v>
      </c>
      <c r="N1008" s="50" t="n">
        <v>0</v>
      </c>
      <c r="O1008" s="53" t="n">
        <v>28</v>
      </c>
      <c r="P1008" s="48" t="s">
        <v>177</v>
      </c>
      <c r="Q1008" s="50"/>
      <c r="R1008" s="53" t="n">
        <f aca="false">IF(BZ1008=1,0,IFERROR(VLOOKUP(BX1008,'Gebinde-Kategorie'!$A$5:$N$45,13,0)+0,0))</f>
        <v>0</v>
      </c>
      <c r="S1008" s="54"/>
      <c r="T1008" s="55"/>
      <c r="U1008" s="55"/>
      <c r="V1008" s="55"/>
      <c r="W1008" s="48"/>
      <c r="X1008" s="50"/>
      <c r="Y1008" s="50"/>
      <c r="Z1008" s="48" t="str">
        <f aca="false">IF(A1008="","",IF(AND(Parameter!$B$21="Ja",ISNUMBER(W1008)),W1008,IF(CC1008="2+3",IF(ISNUMBER(SEARCH("grosser Artikel",BU1008)),2,IFERROR(VLOOKUP(BX1008,Parameter!$F$35:$G$64,2,0),2)),IF(OR(CC1008="Nein",CC1008=""),"-",CC1008))))</f>
        <v>-</v>
      </c>
      <c r="AA1008" s="55"/>
      <c r="AB1008" s="56"/>
      <c r="AC1008" s="50" t="n">
        <f aca="false">AV1008</f>
        <v>0</v>
      </c>
      <c r="AD1008" s="50" t="n">
        <f aca="false">MAX(AV1008,H1008)</f>
        <v>0</v>
      </c>
      <c r="AE1008" s="57"/>
      <c r="AF1008" s="50" t="n">
        <f aca="false">IF(LEFT(Cockpit!$C$5,1)="A",H1008,IF(Parameter!$E$30="MAX-Bestand",IF(CH1008=1,CI1008,IF(LEFT(Cockpit!$C$5,1)="B",AL1008,MAX(AL1008,H1008))),ROUNDUP(AJ1008,0)))</f>
        <v>0</v>
      </c>
      <c r="AG1008" s="50" t="n">
        <f aca="false">IF(BZ1008=1,0,ROUNDUP(AF1008/BY1008,0))</f>
        <v>0</v>
      </c>
      <c r="AH1008" s="52" t="n">
        <f aca="false">IF(CQ1008&gt;0,CQ1008*MAX(1,AF1008/X1008),IF(BZ1008=1,IF(AF1008&lt;=0,0,CD1008*MAX(1,IF(H1008&gt;0,AF1008/H1008,1))),IF(R1008&gt;0,AG1008/R1008,0))/MAX(0.1,N(Parameter!$M$21)))</f>
        <v>0</v>
      </c>
      <c r="AI1008" s="50" t="n">
        <f aca="false">AH1008*CB1008</f>
        <v>0</v>
      </c>
      <c r="AJ1008" s="51" t="n">
        <f aca="false">IF(LEFT(Cockpit!$C$5,1)="A",H1008,IF(CH1008=1,(CK1008+CI1008)/2,IF(LEFT(Cockpit!$C$5,1)="B",(CK1008+AL1008)/2,MAX((CK1008+AL1008)/2,H1008))))</f>
        <v>0</v>
      </c>
      <c r="AK1008" s="50" t="n">
        <f aca="false">AJ1008*G1008</f>
        <v>0</v>
      </c>
      <c r="AL1008" s="50" t="n">
        <f aca="false">ROUNDUP(CK1008+MAX(CL1008,2*(J1008/IF(CG1008&gt;0,CG1008,MAX(0.1,N(Cockpit!$C$6)))-CK1008)),0)</f>
        <v>0</v>
      </c>
      <c r="AM1008" s="51" t="n">
        <f aca="false">IF(AI1008&gt;0,J1008/AI1008,-1)</f>
        <v>-1</v>
      </c>
      <c r="AN1008" s="51" t="str">
        <f aca="false">IF(AND(OR(CF1008="L1",CF1008="L23",CF1008="LIFT"),AI1008&gt;0),SUMIFS($AI$7:$AI$1843,$CF$7:$CF$1843,CF1008,$AM$7:$AM$1843,"&gt;"&amp;AM1008)+SUMIFS($AI$7:$AI$1843,$CF$7:$CF$1843,CF1008,$AM$7:$AM$1843,AM1008,$BW$7:$BW$1843,"&lt;="&amp;BW1008),"")</f>
        <v/>
      </c>
      <c r="AO1008" s="58" t="n">
        <f aca="false">IF(AN1008="",0,MAX(0,MIN(1,(IF(CF1008="L1",Parameter!$H$5,IF(CF1008="L23",Parameter!$H$6+Parameter!$H$7,Parameter!$H$5+Parameter!$H$6+Parameter!$H$7))-(AN1008-AI1008))/AI1008)))</f>
        <v>0</v>
      </c>
      <c r="AP1008" s="50" t="n">
        <f aca="false">IF(LEFT(Cockpit!$I$5,1)="A",H1008,IF(Parameter!$E$30="MAX-Bestand",IF(CH1008=1,CI1008,IF(LEFT(Cockpit!$I$5,1)="B",AV1008,MAX(AV1008,H1008))),ROUNDUP(AT1008,0)))</f>
        <v>0</v>
      </c>
      <c r="AQ1008" s="50" t="n">
        <f aca="false">IF(BZ1008=1,0,ROUNDUP(AP1008/BY1008,0))</f>
        <v>0</v>
      </c>
      <c r="AR1008" s="52" t="n">
        <f aca="false">IF(CQ1008&gt;0,CQ1008*MAX(1,AP1008/X1008),IF(BZ1008=1,IF(AP1008&lt;=0,0,CD1008*MAX(1,IF(H1008&gt;0,AP1008/H1008,1))),IF(R1008&gt;0,AQ1008/R1008,0))/MAX(0.1,N(Parameter!$M$21)))</f>
        <v>0</v>
      </c>
      <c r="AS1008" s="50" t="n">
        <f aca="false">AR1008*CB1008</f>
        <v>0</v>
      </c>
      <c r="AT1008" s="51" t="n">
        <f aca="false">IF(LEFT(Cockpit!$I$5,1)="A",H1008,IF(CH1008=1,(CK1008+CI1008)/2,IF(LEFT(Cockpit!$I$5,1)="B",(CK1008+AV1008)/2,MAX((CK1008+AV1008)/2,H1008))))</f>
        <v>0</v>
      </c>
      <c r="AU1008" s="50" t="n">
        <f aca="false">AT1008*G1008</f>
        <v>0</v>
      </c>
      <c r="AV1008" s="50" t="n">
        <f aca="false">ROUNDUP(CK1008+MAX(CL1008,2*(J1008/IF(CG1008&gt;0,CG1008,MAX(0.1,N(Cockpit!$I$6)))-CK1008)),0)</f>
        <v>0</v>
      </c>
      <c r="AW1008" s="51" t="n">
        <f aca="false">IF(AS1008&gt;0,J1008/AS1008,-1)</f>
        <v>-1</v>
      </c>
      <c r="AX1008" s="51" t="str">
        <f aca="false">IF(AND(OR(CF1008="L1",CF1008="L23",CF1008="LIFT"),AS1008&gt;0),SUMIFS($AS$7:$AS$1843,$CF$7:$CF$1843,CF1008,$AW$7:$AW$1843,"&gt;"&amp;AW1008)+SUMIFS($AS$7:$AS$1843,$CF$7:$CF$1843,CF1008,$AW$7:$AW$1843,AW1008,$BW$7:$BW$1843,"&lt;="&amp;BW1008),"")</f>
        <v/>
      </c>
      <c r="AY1008" s="58" t="n">
        <f aca="false">IF(AX1008="",0,MAX(0,MIN(1,(IF(CF1008="L1",Parameter!$H$5,IF(CF1008="L23",Parameter!$H$6+Parameter!$H$7,Parameter!$H$5+Parameter!$H$6+Parameter!$H$7))-(AX1008-AS1008))/AS1008)))</f>
        <v>0</v>
      </c>
      <c r="AZ1008" s="50" t="n">
        <f aca="false">IF(LEFT(Cockpit!$O$5,1)="A",H1008,IF(Parameter!$E$30="MAX-Bestand",IF(CH1008=1,CI1008,IF(LEFT(Cockpit!$O$5,1)="B",BF1008,MAX(BF1008,H1008))),ROUNDUP(BD1008,0)))</f>
        <v>0</v>
      </c>
      <c r="BA1008" s="50" t="n">
        <f aca="false">IF(BZ1008=1,0,ROUNDUP(AZ1008/BY1008,0))</f>
        <v>0</v>
      </c>
      <c r="BB1008" s="52" t="n">
        <f aca="false">IF(CQ1008&gt;0,CQ1008*MAX(1,AZ1008/X1008),IF(BZ1008=1,IF(AZ1008&lt;=0,0,CD1008*MAX(1,IF(H1008&gt;0,AZ1008/H1008,1))),IF(R1008&gt;0,BA1008/R1008,0))/MAX(0.1,N(Parameter!$M$21)))</f>
        <v>0</v>
      </c>
      <c r="BC1008" s="50" t="n">
        <f aca="false">BB1008*CB1008</f>
        <v>0</v>
      </c>
      <c r="BD1008" s="51" t="n">
        <f aca="false">IF(LEFT(Cockpit!$O$5,1)="A",H1008,IF(CH1008=1,(CK1008+CI1008)/2,IF(LEFT(Cockpit!$O$5,1)="B",(CK1008+BF1008)/2,MAX((CK1008+BF1008)/2,H1008))))</f>
        <v>0</v>
      </c>
      <c r="BE1008" s="50" t="n">
        <f aca="false">BD1008*G1008</f>
        <v>0</v>
      </c>
      <c r="BF1008" s="50" t="n">
        <f aca="false">ROUNDUP(CK1008+MAX(CL1008,2*(J1008/IF(CG1008&gt;0,CG1008,MAX(0.1,N(Cockpit!$O$6)))-CK1008)),0)</f>
        <v>0</v>
      </c>
      <c r="BG1008" s="51" t="n">
        <f aca="false">IF(BC1008&gt;0,J1008/BC1008,-1)</f>
        <v>-1</v>
      </c>
      <c r="BH1008" s="51" t="str">
        <f aca="false">IF(AND(OR(CF1008="L1",CF1008="L23",CF1008="LIFT"),BC1008&gt;0),SUMIFS($BC$7:$BC$1843,$CF$7:$CF$1843,CF1008,$BG$7:$BG$1843,"&gt;"&amp;BG1008)+SUMIFS($BC$7:$BC$1843,$CF$7:$CF$1843,CF1008,$BG$7:$BG$1843,BG1008,$BW$7:$BW$1843,"&lt;="&amp;BW1008),"")</f>
        <v/>
      </c>
      <c r="BI1008" s="58" t="n">
        <f aca="false">IF(BH1008="",0,MAX(0,MIN(1,(IF(CF1008="L1",Parameter!$H$5,IF(CF1008="L23",Parameter!$H$6+Parameter!$H$7,Parameter!$H$5+Parameter!$H$6+Parameter!$H$7))-(BH1008-BC1008))/BC1008)))</f>
        <v>0</v>
      </c>
      <c r="BJ1008" s="48" t="str">
        <f aca="false">IF(AI1008&lt;=0,"",IF(CF1008="Aussen","Aussenlager",IF(CF1008="-","Nicht im Lift",IF(AO1008&gt;=1,"Lift",IF(AO1008&lt;=0,"Aussenlager","teilweise")))))</f>
        <v/>
      </c>
      <c r="BK1008" s="48" t="str">
        <f aca="false">IF(AS1008&lt;=0,"",IF(CF1008="Aussen","Aussenlager",IF(CF1008="-","Nicht im Lift",IF(AY1008&gt;=1,"Lift",IF(AY1008&lt;=0,"Aussenlager","teilweise")))))</f>
        <v/>
      </c>
      <c r="BL1008" s="48" t="str">
        <f aca="false">IF(BC1008&lt;=0,"",IF(CF1008="Aussen","Aussenlager",IF(CF1008="-","Nicht im Lift",IF(BI1008&gt;=1,"Lift",IF(BI1008&lt;=0,"Aussenlager","teilweise")))))</f>
        <v/>
      </c>
      <c r="BM1008" s="48" t="str">
        <f aca="false">IF(A1008="","",IF(BV1008=1,"Neu; ","")&amp;IF(AND(BV1008=0,BQ1008&lt;0),"negativer Bestand (Export "&amp;BQ1008&amp;"); ","")&amp;IF(J1008&lt;=0,"Kein Verbrauch; ","")&amp;IF(CQ1008&gt;0,"Lift "&amp;W1008&amp;" lt. Liftbericht (Fach "&amp;X1008&amp;" Stk); ",IF(CA1008=1,"Gebinde geschätzt ("&amp;T1008&amp;"); ",IF(BZ1008=1,"Lose – Tablare geschätzt; ","")))&amp;IF(H1008&gt;AV1008,"Überbestand "&amp;ROUND(H1008-AV1008,0)&amp;" Stk / CHF "&amp;ROUND((H1008-AV1008)*G1008,0)&amp;"; ","")&amp;IF(AND(CH1008=1,CI1008&lt;CJ1008),"MAX &lt; MB+LG; ","")&amp;IF(AND(CP1008&gt;0,CO1008*10&gt;CP1008),"zu hoch für Tablar; ","")&amp;IF(AND(BV1008=0,OR(CH1008=1,AA1008&lt;&gt;"",U1008&lt;&gt;"",V1008&lt;&gt;"",AB1008&lt;&gt;"")),"manuell übersteuert; ","")&amp;IF(AND(BZ1008=0,R1008=0),"Gebinde unbekannt / Stellmass fehlt; ","")&amp;IF(AND(BZ1008=0,N(V1008)&lt;=0,N(Q1008)&lt;=0),"Menge pro Gebinde fehlt (Ist = 1 Gebinde); ","")&amp;BU1008)</f>
        <v>negativer Bestand (Export -1); Kein Verbrauch; Lose – Tablare geschätzt; </v>
      </c>
      <c r="BN1008" s="48"/>
      <c r="BO1008" s="48"/>
      <c r="BP1008" s="55"/>
      <c r="BQ1008" s="50" t="n">
        <v>-1</v>
      </c>
      <c r="BR1008" s="50" t="n">
        <v>1</v>
      </c>
      <c r="BS1008" s="49" t="n">
        <v>-106.63</v>
      </c>
      <c r="BT1008" s="50" t="n">
        <v>0</v>
      </c>
      <c r="BU1008" s="48"/>
      <c r="BV1008" s="53" t="n">
        <v>0</v>
      </c>
      <c r="BW1008" s="53" t="n">
        <v>1008</v>
      </c>
      <c r="BX1008" s="48" t="str">
        <f aca="false">IF(U1008&lt;&gt;"",UPPER(TRIM(U1008)),IF(CA1008=1,UPPER(VLOOKUP(T1008,Parameter!$I$27:$K$29,2,0)),IF(P1008="","LOSE",P1008)))</f>
        <v>LOSE</v>
      </c>
      <c r="BY1008" s="50" t="n">
        <f aca="false">IF(BX1008="LOSE",1,IF(N(V1008)&gt;0,V1008,IF(CA1008=1,MAX(1,N(VLOOKUP(T1008,Parameter!$I$27:$K$29,3,0)),H1008,N(N1008)),IF(N(Q1008)&gt;0,Q1008,MAX(1,H1008)))))</f>
        <v>1</v>
      </c>
      <c r="BZ1008" s="53" t="n">
        <f aca="false">IF(BX1008="LOSE",1,0)</f>
        <v>1</v>
      </c>
      <c r="CA1008" s="53" t="n">
        <f aca="false">IF(AND(U1008="",OR(P1008="",P1008="LOSE"),T1008&lt;&gt;"",N(S1008)&lt;=0,ISNUMBER(MATCH(T1008,Parameter!$I$27:$I$29,0))),1,0)</f>
        <v>0</v>
      </c>
      <c r="CB1008" s="53" t="n">
        <f aca="false">IF(CQ1008&gt;0,INDEX(Parameter!$H$5:$H$7,W1008)/INDEX(Parameter!$E$5:$E$7,W1008),IF(AND(BZ1008=0,N(IFERROR(VLOOKUP(BX1008,'Gebinde-Kategorie'!$A$5:$N$45,14,0),0))&gt;0),VLOOKUP(BX1008,'Gebinde-Kategorie'!$A$5:$N$45,14,0)*10+Parameter!$M$23,Parameter!$M$24))</f>
        <v>235</v>
      </c>
      <c r="CC1008" s="48" t="str">
        <f aca="false">IF(AND(Parameter!$B$19="Ja",E1008&lt;&gt;"",ISNUMBER(MATCH(E1008,Parameter!$I$35:$I$52,0))),VLOOKUP(E1008,Parameter!$I$35:$J$52,2,0),IFERROR(VLOOKUP(D1008,Parameter!$A$35:$C$64,2,0),"Nein"))</f>
        <v>Nein</v>
      </c>
      <c r="CD1008" s="52" t="n">
        <f aca="false">IF(BZ1008=0,0,IF(N(S1008)&gt;0,S1008,IFERROR(VLOOKUP(D1008,Parameter!$A$35:$C$64,3,0)+0,0)))</f>
        <v>0.15</v>
      </c>
      <c r="CE1008" s="48" t="str">
        <f aca="false">IF(AA1008&lt;&gt;"",AA1008,Z1008)</f>
        <v>-</v>
      </c>
      <c r="CF1008" s="48" t="str">
        <f aca="false">IF(OR(CE1008=1,CE1008=2,CE1008=3),IF(Parameter!$E$27="Ja","LIFT",IF(CE1008=1,"L1","L23")),IF(CE1008="Aussen","Aussen","-"))</f>
        <v>-</v>
      </c>
      <c r="CG1008" s="59" t="n">
        <f aca="false">IF(N(AB1008)&gt;0,AB1008,0)</f>
        <v>0</v>
      </c>
      <c r="CH1008" s="53" t="n">
        <f aca="false">IF(ISNUMBER(AE1008),1,0)</f>
        <v>0</v>
      </c>
      <c r="CI1008" s="50" t="n">
        <f aca="false">N(AE1008)</f>
        <v>0</v>
      </c>
      <c r="CJ1008" s="50" t="n">
        <f aca="false">N(M1008)+N(N1008)</f>
        <v>0</v>
      </c>
      <c r="CK1008" s="50" t="n">
        <f aca="false">N(M1008)</f>
        <v>0</v>
      </c>
      <c r="CL1008" s="50" t="n">
        <f aca="false">N(N1008)</f>
        <v>0</v>
      </c>
      <c r="CM1008" s="50" t="n">
        <f aca="false">ROUNDUP(H1008/BY1008,0)</f>
        <v>0</v>
      </c>
      <c r="CN1008" s="50" t="n">
        <f aca="false">ROUNDUP(CI1008/BY1008,0)</f>
        <v>0</v>
      </c>
      <c r="CO1008" s="53" t="n">
        <f aca="false">IF(BZ1008=1,0,IFERROR(VLOOKUP(BX1008,'Gebinde-Kategorie'!$A$5:$N$45,5,0)+0,0))</f>
        <v>0</v>
      </c>
      <c r="CP1008" s="53" t="n">
        <f aca="false">IFERROR(IF(OR(CE1008=1,CE1008=2,CE1008=3),N(INDEX(Parameter!$I$5:$I$7,CE1008)),0),0)</f>
        <v>0</v>
      </c>
      <c r="CQ1008" s="52" t="n">
        <f aca="false">IF(AND(Parameter!$B$21="Ja",ISNUMBER(W1008),N(X1008)&gt;0),IFERROR(N(INDEX(Parameter!$L$5:$L$7,W1008))*INDEX(Parameter!$E$5:$E$7,W1008)*X1008/SUMIFS($X$7:$X$1843,$W$7:$W$1843,W1008),0),0)</f>
        <v>0</v>
      </c>
    </row>
    <row r="1009" customFormat="false" ht="15" hidden="false" customHeight="false" outlineLevel="0" collapsed="false">
      <c r="A1009" s="48" t="s">
        <v>1869</v>
      </c>
      <c r="B1009" s="48" t="s">
        <v>1870</v>
      </c>
      <c r="C1009" s="48" t="s">
        <v>173</v>
      </c>
      <c r="D1009" s="48" t="s">
        <v>193</v>
      </c>
      <c r="E1009" s="48"/>
      <c r="F1009" s="48" t="s">
        <v>227</v>
      </c>
      <c r="G1009" s="49" t="n">
        <v>106.76</v>
      </c>
      <c r="H1009" s="50" t="n">
        <f aca="false">MAX(0,IF(AND(Parameter!$B$21="Ja",ISNUMBER(Y1009)),Y1009,IF(Parameter!$B$20="Jahresanfang 2025 + Export",BR1009+BQ1009,BQ1009)))</f>
        <v>6</v>
      </c>
      <c r="I1009" s="50" t="n">
        <f aca="false">H1009*G1009</f>
        <v>640.56</v>
      </c>
      <c r="J1009" s="50" t="n">
        <f aca="false">BT1009*Parameter!$B$18</f>
        <v>0</v>
      </c>
      <c r="K1009" s="51" t="n">
        <v>7</v>
      </c>
      <c r="L1009" s="52" t="n">
        <v>0</v>
      </c>
      <c r="M1009" s="50" t="n">
        <v>0</v>
      </c>
      <c r="N1009" s="50" t="n">
        <v>1</v>
      </c>
      <c r="O1009" s="53" t="n">
        <v>35</v>
      </c>
      <c r="P1009" s="48" t="s">
        <v>177</v>
      </c>
      <c r="Q1009" s="50"/>
      <c r="R1009" s="53" t="n">
        <f aca="false">IF(BZ1009=1,0,IFERROR(VLOOKUP(BX1009,'Gebinde-Kategorie'!$A$5:$N$45,13,0)+0,0))</f>
        <v>12</v>
      </c>
      <c r="S1009" s="54"/>
      <c r="T1009" s="55" t="s">
        <v>188</v>
      </c>
      <c r="U1009" s="55"/>
      <c r="V1009" s="55"/>
      <c r="W1009" s="48"/>
      <c r="X1009" s="50"/>
      <c r="Y1009" s="50"/>
      <c r="Z1009" s="48" t="n">
        <f aca="false">IF(A1009="","",IF(AND(Parameter!$B$21="Ja",ISNUMBER(W1009)),W1009,IF(CC1009="2+3",IF(ISNUMBER(SEARCH("grosser Artikel",BU1009)),2,IFERROR(VLOOKUP(BX1009,Parameter!$F$35:$G$64,2,0),2)),IF(OR(CC1009="Nein",CC1009=""),"-",CC1009))))</f>
        <v>2</v>
      </c>
      <c r="AA1009" s="55"/>
      <c r="AB1009" s="56"/>
      <c r="AC1009" s="50" t="n">
        <f aca="false">AV1009</f>
        <v>1</v>
      </c>
      <c r="AD1009" s="50" t="n">
        <f aca="false">MAX(AV1009,H1009)</f>
        <v>6</v>
      </c>
      <c r="AE1009" s="57"/>
      <c r="AF1009" s="50" t="n">
        <f aca="false">IF(LEFT(Cockpit!$C$5,1)="A",H1009,IF(Parameter!$E$30="MAX-Bestand",IF(CH1009=1,CI1009,IF(LEFT(Cockpit!$C$5,1)="B",AL1009,MAX(AL1009,H1009))),ROUNDUP(AJ1009,0)))</f>
        <v>6</v>
      </c>
      <c r="AG1009" s="50" t="n">
        <f aca="false">IF(BZ1009=1,0,ROUNDUP(AF1009/BY1009,0))</f>
        <v>1</v>
      </c>
      <c r="AH1009" s="52" t="n">
        <f aca="false">IF(CQ1009&gt;0,CQ1009*MAX(1,AF1009/X1009),IF(BZ1009=1,IF(AF1009&lt;=0,0,CD1009*MAX(1,IF(H1009&gt;0,AF1009/H1009,1))),IF(R1009&gt;0,AG1009/R1009,0))/MAX(0.1,N(Parameter!$M$21)))</f>
        <v>0.0833333333333333</v>
      </c>
      <c r="AI1009" s="50" t="n">
        <f aca="false">AH1009*CB1009</f>
        <v>12.0833333333333</v>
      </c>
      <c r="AJ1009" s="51" t="n">
        <f aca="false">IF(LEFT(Cockpit!$C$5,1)="A",H1009,IF(CH1009=1,(CK1009+CI1009)/2,IF(LEFT(Cockpit!$C$5,1)="B",(CK1009+AL1009)/2,MAX((CK1009+AL1009)/2,H1009))))</f>
        <v>6</v>
      </c>
      <c r="AK1009" s="50" t="n">
        <f aca="false">AJ1009*G1009</f>
        <v>640.56</v>
      </c>
      <c r="AL1009" s="50" t="n">
        <f aca="false">ROUNDUP(CK1009+MAX(CL1009,2*(J1009/IF(CG1009&gt;0,CG1009,MAX(0.1,N(Cockpit!$C$6)))-CK1009)),0)</f>
        <v>1</v>
      </c>
      <c r="AM1009" s="51" t="n">
        <f aca="false">IF(AI1009&gt;0,J1009/AI1009,-1)</f>
        <v>0</v>
      </c>
      <c r="AN1009" s="51" t="n">
        <f aca="false">IF(AND(OR(CF1009="L1",CF1009="L23",CF1009="LIFT"),AI1009&gt;0),SUMIFS($AI$7:$AI$1843,$CF$7:$CF$1843,CF1009,$AM$7:$AM$1843,"&gt;"&amp;AM1009)+SUMIFS($AI$7:$AI$1843,$CF$7:$CF$1843,CF1009,$AM$7:$AM$1843,AM1009,$BW$7:$BW$1843,"&lt;="&amp;BW1009),"")</f>
        <v>28965.1979703442</v>
      </c>
      <c r="AO1009" s="58" t="n">
        <f aca="false">IF(AN1009="",0,MAX(0,MIN(1,(IF(CF1009="L1",Parameter!$H$5,IF(CF1009="L23",Parameter!$H$6+Parameter!$H$7,Parameter!$H$5+Parameter!$H$6+Parameter!$H$7))-(AN1009-AI1009))/AI1009)))</f>
        <v>1</v>
      </c>
      <c r="AP1009" s="50" t="n">
        <f aca="false">IF(LEFT(Cockpit!$I$5,1)="A",H1009,IF(Parameter!$E$30="MAX-Bestand",IF(CH1009=1,CI1009,IF(LEFT(Cockpit!$I$5,1)="B",AV1009,MAX(AV1009,H1009))),ROUNDUP(AT1009,0)))</f>
        <v>6</v>
      </c>
      <c r="AQ1009" s="50" t="n">
        <f aca="false">IF(BZ1009=1,0,ROUNDUP(AP1009/BY1009,0))</f>
        <v>1</v>
      </c>
      <c r="AR1009" s="52" t="n">
        <f aca="false">IF(CQ1009&gt;0,CQ1009*MAX(1,AP1009/X1009),IF(BZ1009=1,IF(AP1009&lt;=0,0,CD1009*MAX(1,IF(H1009&gt;0,AP1009/H1009,1))),IF(R1009&gt;0,AQ1009/R1009,0))/MAX(0.1,N(Parameter!$M$21)))</f>
        <v>0.0833333333333333</v>
      </c>
      <c r="AS1009" s="50" t="n">
        <f aca="false">AR1009*CB1009</f>
        <v>12.0833333333333</v>
      </c>
      <c r="AT1009" s="51" t="n">
        <f aca="false">IF(LEFT(Cockpit!$I$5,1)="A",H1009,IF(CH1009=1,(CK1009+CI1009)/2,IF(LEFT(Cockpit!$I$5,1)="B",(CK1009+AV1009)/2,MAX((CK1009+AV1009)/2,H1009))))</f>
        <v>6</v>
      </c>
      <c r="AU1009" s="50" t="n">
        <f aca="false">AT1009*G1009</f>
        <v>640.56</v>
      </c>
      <c r="AV1009" s="50" t="n">
        <f aca="false">ROUNDUP(CK1009+MAX(CL1009,2*(J1009/IF(CG1009&gt;0,CG1009,MAX(0.1,N(Cockpit!$I$6)))-CK1009)),0)</f>
        <v>1</v>
      </c>
      <c r="AW1009" s="51" t="n">
        <f aca="false">IF(AS1009&gt;0,J1009/AS1009,-1)</f>
        <v>0</v>
      </c>
      <c r="AX1009" s="51" t="n">
        <f aca="false">IF(AND(OR(CF1009="L1",CF1009="L23",CF1009="LIFT"),AS1009&gt;0),SUMIFS($AS$7:$AS$1843,$CF$7:$CF$1843,CF1009,$AW$7:$AW$1843,"&gt;"&amp;AW1009)+SUMIFS($AS$7:$AS$1843,$CF$7:$CF$1843,CF1009,$AW$7:$AW$1843,AW1009,$BW$7:$BW$1843,"&lt;="&amp;BW1009),"")</f>
        <v>34666.0796703297</v>
      </c>
      <c r="AY1009" s="58" t="n">
        <f aca="false">IF(AX1009="",0,MAX(0,MIN(1,(IF(CF1009="L1",Parameter!$H$5,IF(CF1009="L23",Parameter!$H$6+Parameter!$H$7,Parameter!$H$5+Parameter!$H$6+Parameter!$H$7))-(AX1009-AS1009))/AS1009)))</f>
        <v>1</v>
      </c>
      <c r="AZ1009" s="50" t="n">
        <f aca="false">IF(LEFT(Cockpit!$O$5,1)="A",H1009,IF(Parameter!$E$30="MAX-Bestand",IF(CH1009=1,CI1009,IF(LEFT(Cockpit!$O$5,1)="B",BF1009,MAX(BF1009,H1009))),ROUNDUP(BD1009,0)))</f>
        <v>1</v>
      </c>
      <c r="BA1009" s="50" t="n">
        <f aca="false">IF(BZ1009=1,0,ROUNDUP(AZ1009/BY1009,0))</f>
        <v>1</v>
      </c>
      <c r="BB1009" s="52" t="n">
        <f aca="false">IF(CQ1009&gt;0,CQ1009*MAX(1,AZ1009/X1009),IF(BZ1009=1,IF(AZ1009&lt;=0,0,CD1009*MAX(1,IF(H1009&gt;0,AZ1009/H1009,1))),IF(R1009&gt;0,BA1009/R1009,0))/MAX(0.1,N(Parameter!$M$21)))</f>
        <v>0.0833333333333333</v>
      </c>
      <c r="BC1009" s="50" t="n">
        <f aca="false">BB1009*CB1009</f>
        <v>12.0833333333333</v>
      </c>
      <c r="BD1009" s="51" t="n">
        <f aca="false">IF(LEFT(Cockpit!$O$5,1)="A",H1009,IF(CH1009=1,(CK1009+CI1009)/2,IF(LEFT(Cockpit!$O$5,1)="B",(CK1009+BF1009)/2,MAX((CK1009+BF1009)/2,H1009))))</f>
        <v>0.5</v>
      </c>
      <c r="BE1009" s="50" t="n">
        <f aca="false">BD1009*G1009</f>
        <v>53.38</v>
      </c>
      <c r="BF1009" s="50" t="n">
        <f aca="false">ROUNDUP(CK1009+MAX(CL1009,2*(J1009/IF(CG1009&gt;0,CG1009,MAX(0.1,N(Cockpit!$O$6)))-CK1009)),0)</f>
        <v>1</v>
      </c>
      <c r="BG1009" s="51" t="n">
        <f aca="false">IF(BC1009&gt;0,J1009/BC1009,-1)</f>
        <v>0</v>
      </c>
      <c r="BH1009" s="51" t="n">
        <f aca="false">IF(AND(OR(CF1009="L1",CF1009="L23",CF1009="LIFT"),BC1009&gt;0),SUMIFS($BC$7:$BC$1843,$CF$7:$CF$1843,CF1009,$BG$7:$BG$1843,"&gt;"&amp;BG1009)+SUMIFS($BC$7:$BC$1843,$CF$7:$CF$1843,CF1009,$BG$7:$BG$1843,BG1009,$BW$7:$BW$1843,"&lt;="&amp;BW1009),"")</f>
        <v>28681.1940227851</v>
      </c>
      <c r="BI1009" s="58" t="n">
        <f aca="false">IF(BH1009="",0,MAX(0,MIN(1,(IF(CF1009="L1",Parameter!$H$5,IF(CF1009="L23",Parameter!$H$6+Parameter!$H$7,Parameter!$H$5+Parameter!$H$6+Parameter!$H$7))-(BH1009-BC1009))/BC1009)))</f>
        <v>1</v>
      </c>
      <c r="BJ1009" s="48" t="str">
        <f aca="false">IF(AI1009&lt;=0,"",IF(CF1009="Aussen","Aussenlager",IF(CF1009="-","Nicht im Lift",IF(AO1009&gt;=1,"Lift",IF(AO1009&lt;=0,"Aussenlager","teilweise")))))</f>
        <v>Lift</v>
      </c>
      <c r="BK1009" s="48" t="str">
        <f aca="false">IF(AS1009&lt;=0,"",IF(CF1009="Aussen","Aussenlager",IF(CF1009="-","Nicht im Lift",IF(AY1009&gt;=1,"Lift",IF(AY1009&lt;=0,"Aussenlager","teilweise")))))</f>
        <v>Lift</v>
      </c>
      <c r="BL1009" s="48" t="str">
        <f aca="false">IF(BC1009&lt;=0,"",IF(CF1009="Aussen","Aussenlager",IF(CF1009="-","Nicht im Lift",IF(BI1009&gt;=1,"Lift",IF(BI1009&lt;=0,"Aussenlager","teilweise")))))</f>
        <v>Lift</v>
      </c>
      <c r="BM1009" s="48" t="str">
        <f aca="false">IF(A1009="","",IF(BV1009=1,"Neu; ","")&amp;IF(AND(BV1009=0,BQ1009&lt;0),"negativer Bestand (Export "&amp;BQ1009&amp;"); ","")&amp;IF(J1009&lt;=0,"Kein Verbrauch; ","")&amp;IF(CQ1009&gt;0,"Lift "&amp;W1009&amp;" lt. Liftbericht (Fach "&amp;X1009&amp;" Stk); ",IF(CA1009=1,"Gebinde geschätzt ("&amp;T1009&amp;"); ",IF(BZ1009=1,"Lose – Tablare geschätzt; ","")))&amp;IF(H1009&gt;AV1009,"Überbestand "&amp;ROUND(H1009-AV1009,0)&amp;" Stk / CHF "&amp;ROUND((H1009-AV1009)*G1009,0)&amp;"; ","")&amp;IF(AND(CH1009=1,CI1009&lt;CJ1009),"MAX &lt; MB+LG; ","")&amp;IF(AND(CP1009&gt;0,CO1009*10&gt;CP1009),"zu hoch für Tablar; ","")&amp;IF(AND(BV1009=0,OR(CH1009=1,AA1009&lt;&gt;"",U1009&lt;&gt;"",V1009&lt;&gt;"",AB1009&lt;&gt;"")),"manuell übersteuert; ","")&amp;IF(AND(BZ1009=0,R1009=0),"Gebinde unbekannt / Stellmass fehlt; ","")&amp;IF(AND(BZ1009=0,N(V1009)&lt;=0,N(Q1009)&lt;=0),"Menge pro Gebinde fehlt (Ist = 1 Gebinde); ","")&amp;BU1009)</f>
        <v>negativer Bestand (Export -1); Kein Verbrauch; Gebinde geschätzt (Mittel); Überbestand 5 Stk / CHF 534; Menge pro Gebinde fehlt (Ist = 1 Gebinde); </v>
      </c>
      <c r="BN1009" s="48"/>
      <c r="BO1009" s="48"/>
      <c r="BP1009" s="55"/>
      <c r="BQ1009" s="50" t="n">
        <v>-1</v>
      </c>
      <c r="BR1009" s="50" t="n">
        <v>7</v>
      </c>
      <c r="BS1009" s="49" t="n">
        <v>-106.76</v>
      </c>
      <c r="BT1009" s="50" t="n">
        <v>0</v>
      </c>
      <c r="BU1009" s="48"/>
      <c r="BV1009" s="53" t="n">
        <v>0</v>
      </c>
      <c r="BW1009" s="53" t="n">
        <v>1009</v>
      </c>
      <c r="BX1009" s="48" t="str">
        <f aca="false">IF(U1009&lt;&gt;"",UPPER(TRIM(U1009)),IF(CA1009=1,UPPER(VLOOKUP(T1009,Parameter!$I$27:$K$29,2,0)),IF(P1009="","LOSE",P1009)))</f>
        <v>S61</v>
      </c>
      <c r="BY1009" s="50" t="n">
        <f aca="false">IF(BX1009="LOSE",1,IF(N(V1009)&gt;0,V1009,IF(CA1009=1,MAX(1,N(VLOOKUP(T1009,Parameter!$I$27:$K$29,3,0)),H1009,N(N1009)),IF(N(Q1009)&gt;0,Q1009,MAX(1,H1009)))))</f>
        <v>6</v>
      </c>
      <c r="BZ1009" s="53" t="n">
        <f aca="false">IF(BX1009="LOSE",1,0)</f>
        <v>0</v>
      </c>
      <c r="CA1009" s="53" t="n">
        <f aca="false">IF(AND(U1009="",OR(P1009="",P1009="LOSE"),T1009&lt;&gt;"",N(S1009)&lt;=0,ISNUMBER(MATCH(T1009,Parameter!$I$27:$I$29,0))),1,0)</f>
        <v>1</v>
      </c>
      <c r="CB1009" s="53" t="n">
        <f aca="false">IF(CQ1009&gt;0,INDEX(Parameter!$H$5:$H$7,W1009)/INDEX(Parameter!$E$5:$E$7,W1009),IF(AND(BZ1009=0,N(IFERROR(VLOOKUP(BX1009,'Gebinde-Kategorie'!$A$5:$N$45,14,0),0))&gt;0),VLOOKUP(BX1009,'Gebinde-Kategorie'!$A$5:$N$45,14,0)*10+Parameter!$M$23,Parameter!$M$24))</f>
        <v>145</v>
      </c>
      <c r="CC1009" s="48" t="str">
        <f aca="false">IF(AND(Parameter!$B$19="Ja",E1009&lt;&gt;"",ISNUMBER(MATCH(E1009,Parameter!$I$35:$I$52,0))),VLOOKUP(E1009,Parameter!$I$35:$J$52,2,0),IFERROR(VLOOKUP(D1009,Parameter!$A$35:$C$64,2,0),"Nein"))</f>
        <v>2+3</v>
      </c>
      <c r="CD1009" s="52" t="n">
        <f aca="false">IF(BZ1009=0,0,IF(N(S1009)&gt;0,S1009,IFERROR(VLOOKUP(D1009,Parameter!$A$35:$C$64,3,0)+0,0)))</f>
        <v>0</v>
      </c>
      <c r="CE1009" s="48" t="n">
        <f aca="false">IF(AA1009&lt;&gt;"",AA1009,Z1009)</f>
        <v>2</v>
      </c>
      <c r="CF1009" s="48" t="str">
        <f aca="false">IF(OR(CE1009=1,CE1009=2,CE1009=3),IF(Parameter!$E$27="Ja","LIFT",IF(CE1009=1,"L1","L23")),IF(CE1009="Aussen","Aussen","-"))</f>
        <v>LIFT</v>
      </c>
      <c r="CG1009" s="59" t="n">
        <f aca="false">IF(N(AB1009)&gt;0,AB1009,0)</f>
        <v>0</v>
      </c>
      <c r="CH1009" s="53" t="n">
        <f aca="false">IF(ISNUMBER(AE1009),1,0)</f>
        <v>0</v>
      </c>
      <c r="CI1009" s="50" t="n">
        <f aca="false">N(AE1009)</f>
        <v>0</v>
      </c>
      <c r="CJ1009" s="50" t="n">
        <f aca="false">N(M1009)+N(N1009)</f>
        <v>1</v>
      </c>
      <c r="CK1009" s="50" t="n">
        <f aca="false">N(M1009)</f>
        <v>0</v>
      </c>
      <c r="CL1009" s="50" t="n">
        <f aca="false">N(N1009)</f>
        <v>1</v>
      </c>
      <c r="CM1009" s="50" t="n">
        <f aca="false">ROUNDUP(H1009/BY1009,0)</f>
        <v>1</v>
      </c>
      <c r="CN1009" s="50" t="n">
        <f aca="false">ROUNDUP(CI1009/BY1009,0)</f>
        <v>0</v>
      </c>
      <c r="CO1009" s="53" t="n">
        <f aca="false">IF(BZ1009=1,0,IFERROR(VLOOKUP(BX1009,'Gebinde-Kategorie'!$A$5:$N$45,5,0)+0,0))</f>
        <v>11</v>
      </c>
      <c r="CP1009" s="53" t="n">
        <f aca="false">IFERROR(IF(OR(CE1009=1,CE1009=2,CE1009=3),N(INDEX(Parameter!$I$5:$I$7,CE1009)),0),0)</f>
        <v>0</v>
      </c>
      <c r="CQ1009" s="52" t="n">
        <f aca="false">IF(AND(Parameter!$B$21="Ja",ISNUMBER(W1009),N(X1009)&gt;0),IFERROR(N(INDEX(Parameter!$L$5:$L$7,W1009))*INDEX(Parameter!$E$5:$E$7,W1009)*X1009/SUMIFS($X$7:$X$1843,$W$7:$W$1843,W1009),0),0)</f>
        <v>0</v>
      </c>
    </row>
    <row r="1010" customFormat="false" ht="15" hidden="false" customHeight="false" outlineLevel="0" collapsed="false">
      <c r="A1010" s="48" t="s">
        <v>1871</v>
      </c>
      <c r="B1010" s="48" t="s">
        <v>510</v>
      </c>
      <c r="C1010" s="48" t="s">
        <v>173</v>
      </c>
      <c r="D1010" s="48" t="s">
        <v>193</v>
      </c>
      <c r="E1010" s="48" t="s">
        <v>194</v>
      </c>
      <c r="F1010" s="48" t="s">
        <v>227</v>
      </c>
      <c r="G1010" s="49" t="n">
        <v>10.06</v>
      </c>
      <c r="H1010" s="50" t="n">
        <f aca="false">MAX(0,IF(AND(Parameter!$B$21="Ja",ISNUMBER(Y1010)),Y1010,IF(Parameter!$B$20="Jahresanfang 2025 + Export",BR1010+BQ1010,BQ1010)))</f>
        <v>137</v>
      </c>
      <c r="I1010" s="50" t="n">
        <f aca="false">H1010*G1010</f>
        <v>1378.22</v>
      </c>
      <c r="J1010" s="50" t="n">
        <f aca="false">BT1010*Parameter!$B$18</f>
        <v>184</v>
      </c>
      <c r="K1010" s="51" t="n">
        <v>124</v>
      </c>
      <c r="L1010" s="52" t="n">
        <v>1.48387096774194</v>
      </c>
      <c r="M1010" s="50" t="n">
        <v>11</v>
      </c>
      <c r="N1010" s="50" t="n">
        <v>190</v>
      </c>
      <c r="O1010" s="53" t="n">
        <v>21</v>
      </c>
      <c r="P1010" s="48" t="s">
        <v>242</v>
      </c>
      <c r="Q1010" s="50" t="n">
        <v>131</v>
      </c>
      <c r="R1010" s="53" t="n">
        <f aca="false">IF(BZ1010=1,0,IFERROR(VLOOKUP(BX1010,'Gebinde-Kategorie'!$A$5:$N$45,13,0)+0,0))</f>
        <v>26</v>
      </c>
      <c r="S1010" s="54"/>
      <c r="T1010" s="55"/>
      <c r="U1010" s="55"/>
      <c r="V1010" s="55"/>
      <c r="W1010" s="48"/>
      <c r="X1010" s="50"/>
      <c r="Y1010" s="50"/>
      <c r="Z1010" s="48" t="n">
        <f aca="false">IF(A1010="","",IF(AND(Parameter!$B$21="Ja",ISNUMBER(W1010)),W1010,IF(CC1010="2+3",IF(ISNUMBER(SEARCH("grosser Artikel",BU1010)),2,IFERROR(VLOOKUP(BX1010,Parameter!$F$35:$G$64,2,0),2)),IF(OR(CC1010="Nein",CC1010=""),"-",CC1010))))</f>
        <v>3</v>
      </c>
      <c r="AA1010" s="55"/>
      <c r="AB1010" s="56"/>
      <c r="AC1010" s="50" t="n">
        <f aca="false">AV1010</f>
        <v>201</v>
      </c>
      <c r="AD1010" s="50" t="n">
        <f aca="false">MAX(AV1010,H1010)</f>
        <v>201</v>
      </c>
      <c r="AE1010" s="57"/>
      <c r="AF1010" s="50" t="n">
        <f aca="false">IF(LEFT(Cockpit!$C$5,1)="A",H1010,IF(Parameter!$E$30="MAX-Bestand",IF(CH1010=1,CI1010,IF(LEFT(Cockpit!$C$5,1)="B",AL1010,MAX(AL1010,H1010))),ROUNDUP(AJ1010,0)))</f>
        <v>137</v>
      </c>
      <c r="AG1010" s="50" t="n">
        <f aca="false">IF(BZ1010=1,0,ROUNDUP(AF1010/BY1010,0))</f>
        <v>2</v>
      </c>
      <c r="AH1010" s="52" t="n">
        <f aca="false">IF(CQ1010&gt;0,CQ1010*MAX(1,AF1010/X1010),IF(BZ1010=1,IF(AF1010&lt;=0,0,CD1010*MAX(1,IF(H1010&gt;0,AF1010/H1010,1))),IF(R1010&gt;0,AG1010/R1010,0))/MAX(0.1,N(Parameter!$M$21)))</f>
        <v>0.0769230769230769</v>
      </c>
      <c r="AI1010" s="50" t="n">
        <f aca="false">AH1010*CB1010</f>
        <v>18.8461538461538</v>
      </c>
      <c r="AJ1010" s="51" t="n">
        <f aca="false">IF(LEFT(Cockpit!$C$5,1)="A",H1010,IF(CH1010=1,(CK1010+CI1010)/2,IF(LEFT(Cockpit!$C$5,1)="B",(CK1010+AL1010)/2,MAX((CK1010+AL1010)/2,H1010))))</f>
        <v>137</v>
      </c>
      <c r="AK1010" s="50" t="n">
        <f aca="false">AJ1010*G1010</f>
        <v>1378.22</v>
      </c>
      <c r="AL1010" s="50" t="n">
        <f aca="false">ROUNDUP(CK1010+MAX(CL1010,2*(J1010/IF(CG1010&gt;0,CG1010,MAX(0.1,N(Cockpit!$C$6)))-CK1010)),0)</f>
        <v>201</v>
      </c>
      <c r="AM1010" s="51" t="n">
        <f aca="false">IF(AI1010&gt;0,J1010/AI1010,-1)</f>
        <v>9.76326530612245</v>
      </c>
      <c r="AN1010" s="51" t="n">
        <f aca="false">IF(AND(OR(CF1010="L1",CF1010="L23",CF1010="LIFT"),AI1010&gt;0),SUMIFS($AI$7:$AI$1843,$CF$7:$CF$1843,CF1010,$AM$7:$AM$1843,"&gt;"&amp;AM1010)+SUMIFS($AI$7:$AI$1843,$CF$7:$CF$1843,CF1010,$AM$7:$AM$1843,AM1010,$BW$7:$BW$1843,"&lt;="&amp;BW1010),"")</f>
        <v>2891.25228937729</v>
      </c>
      <c r="AO1010" s="58" t="n">
        <f aca="false">IF(AN1010="",0,MAX(0,MIN(1,(IF(CF1010="L1",Parameter!$H$5,IF(CF1010="L23",Parameter!$H$6+Parameter!$H$7,Parameter!$H$5+Parameter!$H$6+Parameter!$H$7))-(AN1010-AI1010))/AI1010)))</f>
        <v>1</v>
      </c>
      <c r="AP1010" s="50" t="n">
        <f aca="false">IF(LEFT(Cockpit!$I$5,1)="A",H1010,IF(Parameter!$E$30="MAX-Bestand",IF(CH1010=1,CI1010,IF(LEFT(Cockpit!$I$5,1)="B",AV1010,MAX(AV1010,H1010))),ROUNDUP(AT1010,0)))</f>
        <v>137</v>
      </c>
      <c r="AQ1010" s="50" t="n">
        <f aca="false">IF(BZ1010=1,0,ROUNDUP(AP1010/BY1010,0))</f>
        <v>2</v>
      </c>
      <c r="AR1010" s="52" t="n">
        <f aca="false">IF(CQ1010&gt;0,CQ1010*MAX(1,AP1010/X1010),IF(BZ1010=1,IF(AP1010&lt;=0,0,CD1010*MAX(1,IF(H1010&gt;0,AP1010/H1010,1))),IF(R1010&gt;0,AQ1010/R1010,0))/MAX(0.1,N(Parameter!$M$21)))</f>
        <v>0.0769230769230769</v>
      </c>
      <c r="AS1010" s="50" t="n">
        <f aca="false">AR1010*CB1010</f>
        <v>18.8461538461538</v>
      </c>
      <c r="AT1010" s="51" t="n">
        <f aca="false">IF(LEFT(Cockpit!$I$5,1)="A",H1010,IF(CH1010=1,(CK1010+CI1010)/2,IF(LEFT(Cockpit!$I$5,1)="B",(CK1010+AV1010)/2,MAX((CK1010+AV1010)/2,H1010))))</f>
        <v>137</v>
      </c>
      <c r="AU1010" s="50" t="n">
        <f aca="false">AT1010*G1010</f>
        <v>1378.22</v>
      </c>
      <c r="AV1010" s="50" t="n">
        <f aca="false">ROUNDUP(CK1010+MAX(CL1010,2*(J1010/IF(CG1010&gt;0,CG1010,MAX(0.1,N(Cockpit!$I$6)))-CK1010)),0)</f>
        <v>201</v>
      </c>
      <c r="AW1010" s="51" t="n">
        <f aca="false">IF(AS1010&gt;0,J1010/AS1010,-1)</f>
        <v>9.76326530612245</v>
      </c>
      <c r="AX1010" s="51" t="n">
        <f aca="false">IF(AND(OR(CF1010="L1",CF1010="L23",CF1010="LIFT"),AS1010&gt;0),SUMIFS($AS$7:$AS$1843,$CF$7:$CF$1843,CF1010,$AW$7:$AW$1843,"&gt;"&amp;AW1010)+SUMIFS($AS$7:$AS$1843,$CF$7:$CF$1843,CF1010,$AW$7:$AW$1843,AW1010,$BW$7:$BW$1843,"&lt;="&amp;BW1010),"")</f>
        <v>3506.24038461538</v>
      </c>
      <c r="AY1010" s="58" t="n">
        <f aca="false">IF(AX1010="",0,MAX(0,MIN(1,(IF(CF1010="L1",Parameter!$H$5,IF(CF1010="L23",Parameter!$H$6+Parameter!$H$7,Parameter!$H$5+Parameter!$H$6+Parameter!$H$7))-(AX1010-AS1010))/AS1010)))</f>
        <v>1</v>
      </c>
      <c r="AZ1010" s="50" t="n">
        <f aca="false">IF(LEFT(Cockpit!$O$5,1)="A",H1010,IF(Parameter!$E$30="MAX-Bestand",IF(CH1010=1,CI1010,IF(LEFT(Cockpit!$O$5,1)="B",BF1010,MAX(BF1010,H1010))),ROUNDUP(BD1010,0)))</f>
        <v>106</v>
      </c>
      <c r="BA1010" s="50" t="n">
        <f aca="false">IF(BZ1010=1,0,ROUNDUP(AZ1010/BY1010,0))</f>
        <v>1</v>
      </c>
      <c r="BB1010" s="52" t="n">
        <f aca="false">IF(CQ1010&gt;0,CQ1010*MAX(1,AZ1010/X1010),IF(BZ1010=1,IF(AZ1010&lt;=0,0,CD1010*MAX(1,IF(H1010&gt;0,AZ1010/H1010,1))),IF(R1010&gt;0,BA1010/R1010,0))/MAX(0.1,N(Parameter!$M$21)))</f>
        <v>0.0384615384615385</v>
      </c>
      <c r="BC1010" s="50" t="n">
        <f aca="false">BB1010*CB1010</f>
        <v>9.42307692307692</v>
      </c>
      <c r="BD1010" s="51" t="n">
        <f aca="false">IF(LEFT(Cockpit!$O$5,1)="A",H1010,IF(CH1010=1,(CK1010+CI1010)/2,IF(LEFT(Cockpit!$O$5,1)="B",(CK1010+BF1010)/2,MAX((CK1010+BF1010)/2,H1010))))</f>
        <v>106</v>
      </c>
      <c r="BE1010" s="50" t="n">
        <f aca="false">BD1010*G1010</f>
        <v>1066.36</v>
      </c>
      <c r="BF1010" s="50" t="n">
        <f aca="false">ROUNDUP(CK1010+MAX(CL1010,2*(J1010/IF(CG1010&gt;0,CG1010,MAX(0.1,N(Cockpit!$O$6)))-CK1010)),0)</f>
        <v>201</v>
      </c>
      <c r="BG1010" s="51" t="n">
        <f aca="false">IF(BC1010&gt;0,J1010/BC1010,-1)</f>
        <v>19.5265306122449</v>
      </c>
      <c r="BH1010" s="51" t="n">
        <f aca="false">IF(AND(OR(CF1010="L1",CF1010="L23",CF1010="LIFT"),BC1010&gt;0),SUMIFS($BC$7:$BC$1843,$CF$7:$CF$1843,CF1010,$BG$7:$BG$1843,"&gt;"&amp;BG1010)+SUMIFS($BC$7:$BC$1843,$CF$7:$CF$1843,CF1010,$BG$7:$BG$1843,BG1010,$BW$7:$BW$1843,"&lt;="&amp;BW1010),"")</f>
        <v>2245.12774725275</v>
      </c>
      <c r="BI1010" s="58" t="n">
        <f aca="false">IF(BH1010="",0,MAX(0,MIN(1,(IF(CF1010="L1",Parameter!$H$5,IF(CF1010="L23",Parameter!$H$6+Parameter!$H$7,Parameter!$H$5+Parameter!$H$6+Parameter!$H$7))-(BH1010-BC1010))/BC1010)))</f>
        <v>1</v>
      </c>
      <c r="BJ1010" s="48" t="str">
        <f aca="false">IF(AI1010&lt;=0,"",IF(CF1010="Aussen","Aussenlager",IF(CF1010="-","Nicht im Lift",IF(AO1010&gt;=1,"Lift",IF(AO1010&lt;=0,"Aussenlager","teilweise")))))</f>
        <v>Lift</v>
      </c>
      <c r="BK1010" s="48" t="str">
        <f aca="false">IF(AS1010&lt;=0,"",IF(CF1010="Aussen","Aussenlager",IF(CF1010="-","Nicht im Lift",IF(AY1010&gt;=1,"Lift",IF(AY1010&lt;=0,"Aussenlager","teilweise")))))</f>
        <v>Lift</v>
      </c>
      <c r="BL1010" s="48" t="str">
        <f aca="false">IF(BC1010&lt;=0,"",IF(CF1010="Aussen","Aussenlager",IF(CF1010="-","Nicht im Lift",IF(BI1010&gt;=1,"Lift",IF(BI1010&lt;=0,"Aussenlager","teilweise")))))</f>
        <v>Lift</v>
      </c>
      <c r="BM1010" s="48" t="str">
        <f aca="false">IF(A1010="","",IF(BV1010=1,"Neu; ","")&amp;IF(AND(BV1010=0,BQ1010&lt;0),"negativer Bestand (Export "&amp;BQ1010&amp;"); ","")&amp;IF(J1010&lt;=0,"Kein Verbrauch; ","")&amp;IF(CQ1010&gt;0,"Lift "&amp;W1010&amp;" lt. Liftbericht (Fach "&amp;X1010&amp;" Stk); ",IF(CA1010=1,"Gebinde geschätzt ("&amp;T1010&amp;"); ",IF(BZ1010=1,"Lose – Tablare geschätzt; ","")))&amp;IF(H1010&gt;AV1010,"Überbestand "&amp;ROUND(H1010-AV1010,0)&amp;" Stk / CHF "&amp;ROUND((H1010-AV1010)*G1010,0)&amp;"; ","")&amp;IF(AND(CH1010=1,CI1010&lt;CJ1010),"MAX &lt; MB+LG; ","")&amp;IF(AND(CP1010&gt;0,CO1010*10&gt;CP1010),"zu hoch für Tablar; ","")&amp;IF(AND(BV1010=0,OR(CH1010=1,AA1010&lt;&gt;"",U1010&lt;&gt;"",V1010&lt;&gt;"",AB1010&lt;&gt;"")),"manuell übersteuert; ","")&amp;IF(AND(BZ1010=0,R1010=0),"Gebinde unbekannt / Stellmass fehlt; ","")&amp;IF(AND(BZ1010=0,N(V1010)&lt;=0,N(Q1010)&lt;=0),"Menge pro Gebinde fehlt (Ist = 1 Gebinde); ","")&amp;BU1010)</f>
        <v>negativer Bestand (Export -27); </v>
      </c>
      <c r="BN1010" s="48"/>
      <c r="BO1010" s="48"/>
      <c r="BP1010" s="55"/>
      <c r="BQ1010" s="50" t="n">
        <v>-27</v>
      </c>
      <c r="BR1010" s="50" t="n">
        <v>164</v>
      </c>
      <c r="BS1010" s="49" t="n">
        <v>-107.619999999999</v>
      </c>
      <c r="BT1010" s="50" t="n">
        <v>184</v>
      </c>
      <c r="BU1010" s="48"/>
      <c r="BV1010" s="53" t="n">
        <v>0</v>
      </c>
      <c r="BW1010" s="53" t="n">
        <v>1010</v>
      </c>
      <c r="BX1010" s="48" t="str">
        <f aca="false">IF(U1010&lt;&gt;"",UPPER(TRIM(U1010)),IF(CA1010=1,UPPER(VLOOKUP(T1010,Parameter!$I$27:$K$29,2,0)),IF(P1010="","LOSE",P1010)))</f>
        <v>S52</v>
      </c>
      <c r="BY1010" s="50" t="n">
        <f aca="false">IF(BX1010="LOSE",1,IF(N(V1010)&gt;0,V1010,IF(CA1010=1,MAX(1,N(VLOOKUP(T1010,Parameter!$I$27:$K$29,3,0)),H1010,N(N1010)),IF(N(Q1010)&gt;0,Q1010,MAX(1,H1010)))))</f>
        <v>131</v>
      </c>
      <c r="BZ1010" s="53" t="n">
        <f aca="false">IF(BX1010="LOSE",1,0)</f>
        <v>0</v>
      </c>
      <c r="CA1010" s="53" t="n">
        <f aca="false">IF(AND(U1010="",OR(P1010="",P1010="LOSE"),T1010&lt;&gt;"",N(S1010)&lt;=0,ISNUMBER(MATCH(T1010,Parameter!$I$27:$I$29,0))),1,0)</f>
        <v>0</v>
      </c>
      <c r="CB1010" s="53" t="n">
        <f aca="false">IF(CQ1010&gt;0,INDEX(Parameter!$H$5:$H$7,W1010)/INDEX(Parameter!$E$5:$E$7,W1010),IF(AND(BZ1010=0,N(IFERROR(VLOOKUP(BX1010,'Gebinde-Kategorie'!$A$5:$N$45,14,0),0))&gt;0),VLOOKUP(BX1010,'Gebinde-Kategorie'!$A$5:$N$45,14,0)*10+Parameter!$M$23,Parameter!$M$24))</f>
        <v>245</v>
      </c>
      <c r="CC1010" s="48" t="str">
        <f aca="false">IF(AND(Parameter!$B$19="Ja",E1010&lt;&gt;"",ISNUMBER(MATCH(E1010,Parameter!$I$35:$I$52,0))),VLOOKUP(E1010,Parameter!$I$35:$J$52,2,0),IFERROR(VLOOKUP(D1010,Parameter!$A$35:$C$64,2,0),"Nein"))</f>
        <v>2+3</v>
      </c>
      <c r="CD1010" s="52" t="n">
        <f aca="false">IF(BZ1010=0,0,IF(N(S1010)&gt;0,S1010,IFERROR(VLOOKUP(D1010,Parameter!$A$35:$C$64,3,0)+0,0)))</f>
        <v>0</v>
      </c>
      <c r="CE1010" s="48" t="n">
        <f aca="false">IF(AA1010&lt;&gt;"",AA1010,Z1010)</f>
        <v>3</v>
      </c>
      <c r="CF1010" s="48" t="str">
        <f aca="false">IF(OR(CE1010=1,CE1010=2,CE1010=3),IF(Parameter!$E$27="Ja","LIFT",IF(CE1010=1,"L1","L23")),IF(CE1010="Aussen","Aussen","-"))</f>
        <v>LIFT</v>
      </c>
      <c r="CG1010" s="59" t="n">
        <f aca="false">IF(N(AB1010)&gt;0,AB1010,0)</f>
        <v>0</v>
      </c>
      <c r="CH1010" s="53" t="n">
        <f aca="false">IF(ISNUMBER(AE1010),1,0)</f>
        <v>0</v>
      </c>
      <c r="CI1010" s="50" t="n">
        <f aca="false">N(AE1010)</f>
        <v>0</v>
      </c>
      <c r="CJ1010" s="50" t="n">
        <f aca="false">N(M1010)+N(N1010)</f>
        <v>201</v>
      </c>
      <c r="CK1010" s="50" t="n">
        <f aca="false">N(M1010)</f>
        <v>11</v>
      </c>
      <c r="CL1010" s="50" t="n">
        <f aca="false">N(N1010)</f>
        <v>190</v>
      </c>
      <c r="CM1010" s="50" t="n">
        <f aca="false">ROUNDUP(H1010/BY1010,0)</f>
        <v>2</v>
      </c>
      <c r="CN1010" s="50" t="n">
        <f aca="false">ROUNDUP(CI1010/BY1010,0)</f>
        <v>0</v>
      </c>
      <c r="CO1010" s="53" t="n">
        <f aca="false">IF(BZ1010=1,0,IFERROR(VLOOKUP(BX1010,'Gebinde-Kategorie'!$A$5:$N$45,5,0)+0,0))</f>
        <v>21</v>
      </c>
      <c r="CP1010" s="53" t="n">
        <f aca="false">IFERROR(IF(OR(CE1010=1,CE1010=2,CE1010=3),N(INDEX(Parameter!$I$5:$I$7,CE1010)),0),0)</f>
        <v>0</v>
      </c>
      <c r="CQ1010" s="52" t="n">
        <f aca="false">IF(AND(Parameter!$B$21="Ja",ISNUMBER(W1010),N(X1010)&gt;0),IFERROR(N(INDEX(Parameter!$L$5:$L$7,W1010))*INDEX(Parameter!$E$5:$E$7,W1010)*X1010/SUMIFS($X$7:$X$1843,$W$7:$W$1843,W1010),0),0)</f>
        <v>0</v>
      </c>
    </row>
    <row r="1011" customFormat="false" ht="15" hidden="false" customHeight="false" outlineLevel="0" collapsed="false">
      <c r="A1011" s="48" t="s">
        <v>1872</v>
      </c>
      <c r="B1011" s="48" t="s">
        <v>1873</v>
      </c>
      <c r="C1011" s="48" t="s">
        <v>173</v>
      </c>
      <c r="D1011" s="48" t="s">
        <v>182</v>
      </c>
      <c r="E1011" s="48" t="s">
        <v>194</v>
      </c>
      <c r="F1011" s="48" t="s">
        <v>227</v>
      </c>
      <c r="G1011" s="49" t="n">
        <v>54.04</v>
      </c>
      <c r="H1011" s="50" t="n">
        <f aca="false">MAX(0,IF(AND(Parameter!$B$21="Ja",ISNUMBER(Y1011)),Y1011,IF(Parameter!$B$20="Jahresanfang 2025 + Export",BR1011+BQ1011,BQ1011)))</f>
        <v>30</v>
      </c>
      <c r="I1011" s="50" t="n">
        <f aca="false">H1011*G1011</f>
        <v>1621.2</v>
      </c>
      <c r="J1011" s="50" t="n">
        <f aca="false">BT1011*Parameter!$B$18</f>
        <v>0</v>
      </c>
      <c r="K1011" s="51" t="n">
        <v>31</v>
      </c>
      <c r="L1011" s="52" t="n">
        <v>0</v>
      </c>
      <c r="M1011" s="50" t="n">
        <v>0</v>
      </c>
      <c r="N1011" s="50" t="n">
        <v>1</v>
      </c>
      <c r="O1011" s="53" t="n">
        <v>42</v>
      </c>
      <c r="P1011" s="48" t="s">
        <v>302</v>
      </c>
      <c r="Q1011" s="50" t="n">
        <v>32</v>
      </c>
      <c r="R1011" s="53" t="n">
        <f aca="false">IF(BZ1011=1,0,IFERROR(VLOOKUP(BX1011,'Gebinde-Kategorie'!$A$5:$N$45,13,0)+0,0))</f>
        <v>12</v>
      </c>
      <c r="S1011" s="54"/>
      <c r="T1011" s="55"/>
      <c r="U1011" s="55"/>
      <c r="V1011" s="55"/>
      <c r="W1011" s="48"/>
      <c r="X1011" s="50"/>
      <c r="Y1011" s="50"/>
      <c r="Z1011" s="48" t="n">
        <f aca="false">IF(A1011="","",IF(AND(Parameter!$B$21="Ja",ISNUMBER(W1011)),W1011,IF(CC1011="2+3",IF(ISNUMBER(SEARCH("grosser Artikel",BU1011)),2,IFERROR(VLOOKUP(BX1011,Parameter!$F$35:$G$64,2,0),2)),IF(OR(CC1011="Nein",CC1011=""),"-",CC1011))))</f>
        <v>2</v>
      </c>
      <c r="AA1011" s="55"/>
      <c r="AB1011" s="56"/>
      <c r="AC1011" s="50" t="n">
        <f aca="false">AV1011</f>
        <v>1</v>
      </c>
      <c r="AD1011" s="50" t="n">
        <f aca="false">MAX(AV1011,H1011)</f>
        <v>30</v>
      </c>
      <c r="AE1011" s="57"/>
      <c r="AF1011" s="50" t="n">
        <f aca="false">IF(LEFT(Cockpit!$C$5,1)="A",H1011,IF(Parameter!$E$30="MAX-Bestand",IF(CH1011=1,CI1011,IF(LEFT(Cockpit!$C$5,1)="B",AL1011,MAX(AL1011,H1011))),ROUNDUP(AJ1011,0)))</f>
        <v>30</v>
      </c>
      <c r="AG1011" s="50" t="n">
        <f aca="false">IF(BZ1011=1,0,ROUNDUP(AF1011/BY1011,0))</f>
        <v>1</v>
      </c>
      <c r="AH1011" s="52" t="n">
        <f aca="false">IF(CQ1011&gt;0,CQ1011*MAX(1,AF1011/X1011),IF(BZ1011=1,IF(AF1011&lt;=0,0,CD1011*MAX(1,IF(H1011&gt;0,AF1011/H1011,1))),IF(R1011&gt;0,AG1011/R1011,0))/MAX(0.1,N(Parameter!$M$21)))</f>
        <v>0.0833333333333333</v>
      </c>
      <c r="AI1011" s="50" t="n">
        <f aca="false">AH1011*CB1011</f>
        <v>20.4166666666667</v>
      </c>
      <c r="AJ1011" s="51" t="n">
        <f aca="false">IF(LEFT(Cockpit!$C$5,1)="A",H1011,IF(CH1011=1,(CK1011+CI1011)/2,IF(LEFT(Cockpit!$C$5,1)="B",(CK1011+AL1011)/2,MAX((CK1011+AL1011)/2,H1011))))</f>
        <v>30</v>
      </c>
      <c r="AK1011" s="50" t="n">
        <f aca="false">AJ1011*G1011</f>
        <v>1621.2</v>
      </c>
      <c r="AL1011" s="50" t="n">
        <f aca="false">ROUNDUP(CK1011+MAX(CL1011,2*(J1011/IF(CG1011&gt;0,CG1011,MAX(0.1,N(Cockpit!$C$6)))-CK1011)),0)</f>
        <v>1</v>
      </c>
      <c r="AM1011" s="51" t="n">
        <f aca="false">IF(AI1011&gt;0,J1011/AI1011,-1)</f>
        <v>0</v>
      </c>
      <c r="AN1011" s="51" t="n">
        <f aca="false">IF(AND(OR(CF1011="L1",CF1011="L23",CF1011="LIFT"),AI1011&gt;0),SUMIFS($AI$7:$AI$1843,$CF$7:$CF$1843,CF1011,$AM$7:$AM$1843,"&gt;"&amp;AM1011)+SUMIFS($AI$7:$AI$1843,$CF$7:$CF$1843,CF1011,$AM$7:$AM$1843,AM1011,$BW$7:$BW$1843,"&lt;="&amp;BW1011),"")</f>
        <v>28985.6146370108</v>
      </c>
      <c r="AO1011" s="58" t="n">
        <f aca="false">IF(AN1011="",0,MAX(0,MIN(1,(IF(CF1011="L1",Parameter!$H$5,IF(CF1011="L23",Parameter!$H$6+Parameter!$H$7,Parameter!$H$5+Parameter!$H$6+Parameter!$H$7))-(AN1011-AI1011))/AI1011)))</f>
        <v>1</v>
      </c>
      <c r="AP1011" s="50" t="n">
        <f aca="false">IF(LEFT(Cockpit!$I$5,1)="A",H1011,IF(Parameter!$E$30="MAX-Bestand",IF(CH1011=1,CI1011,IF(LEFT(Cockpit!$I$5,1)="B",AV1011,MAX(AV1011,H1011))),ROUNDUP(AT1011,0)))</f>
        <v>30</v>
      </c>
      <c r="AQ1011" s="50" t="n">
        <f aca="false">IF(BZ1011=1,0,ROUNDUP(AP1011/BY1011,0))</f>
        <v>1</v>
      </c>
      <c r="AR1011" s="52" t="n">
        <f aca="false">IF(CQ1011&gt;0,CQ1011*MAX(1,AP1011/X1011),IF(BZ1011=1,IF(AP1011&lt;=0,0,CD1011*MAX(1,IF(H1011&gt;0,AP1011/H1011,1))),IF(R1011&gt;0,AQ1011/R1011,0))/MAX(0.1,N(Parameter!$M$21)))</f>
        <v>0.0833333333333333</v>
      </c>
      <c r="AS1011" s="50" t="n">
        <f aca="false">AR1011*CB1011</f>
        <v>20.4166666666667</v>
      </c>
      <c r="AT1011" s="51" t="n">
        <f aca="false">IF(LEFT(Cockpit!$I$5,1)="A",H1011,IF(CH1011=1,(CK1011+CI1011)/2,IF(LEFT(Cockpit!$I$5,1)="B",(CK1011+AV1011)/2,MAX((CK1011+AV1011)/2,H1011))))</f>
        <v>30</v>
      </c>
      <c r="AU1011" s="50" t="n">
        <f aca="false">AT1011*G1011</f>
        <v>1621.2</v>
      </c>
      <c r="AV1011" s="50" t="n">
        <f aca="false">ROUNDUP(CK1011+MAX(CL1011,2*(J1011/IF(CG1011&gt;0,CG1011,MAX(0.1,N(Cockpit!$I$6)))-CK1011)),0)</f>
        <v>1</v>
      </c>
      <c r="AW1011" s="51" t="n">
        <f aca="false">IF(AS1011&gt;0,J1011/AS1011,-1)</f>
        <v>0</v>
      </c>
      <c r="AX1011" s="51" t="n">
        <f aca="false">IF(AND(OR(CF1011="L1",CF1011="L23",CF1011="LIFT"),AS1011&gt;0),SUMIFS($AS$7:$AS$1843,$CF$7:$CF$1843,CF1011,$AW$7:$AW$1843,"&gt;"&amp;AW1011)+SUMIFS($AS$7:$AS$1843,$CF$7:$CF$1843,CF1011,$AW$7:$AW$1843,AW1011,$BW$7:$BW$1843,"&lt;="&amp;BW1011),"")</f>
        <v>34686.4963369963</v>
      </c>
      <c r="AY1011" s="58" t="n">
        <f aca="false">IF(AX1011="",0,MAX(0,MIN(1,(IF(CF1011="L1",Parameter!$H$5,IF(CF1011="L23",Parameter!$H$6+Parameter!$H$7,Parameter!$H$5+Parameter!$H$6+Parameter!$H$7))-(AX1011-AS1011))/AS1011)))</f>
        <v>1</v>
      </c>
      <c r="AZ1011" s="50" t="n">
        <f aca="false">IF(LEFT(Cockpit!$O$5,1)="A",H1011,IF(Parameter!$E$30="MAX-Bestand",IF(CH1011=1,CI1011,IF(LEFT(Cockpit!$O$5,1)="B",BF1011,MAX(BF1011,H1011))),ROUNDUP(BD1011,0)))</f>
        <v>1</v>
      </c>
      <c r="BA1011" s="50" t="n">
        <f aca="false">IF(BZ1011=1,0,ROUNDUP(AZ1011/BY1011,0))</f>
        <v>1</v>
      </c>
      <c r="BB1011" s="52" t="n">
        <f aca="false">IF(CQ1011&gt;0,CQ1011*MAX(1,AZ1011/X1011),IF(BZ1011=1,IF(AZ1011&lt;=0,0,CD1011*MAX(1,IF(H1011&gt;0,AZ1011/H1011,1))),IF(R1011&gt;0,BA1011/R1011,0))/MAX(0.1,N(Parameter!$M$21)))</f>
        <v>0.0833333333333333</v>
      </c>
      <c r="BC1011" s="50" t="n">
        <f aca="false">BB1011*CB1011</f>
        <v>20.4166666666667</v>
      </c>
      <c r="BD1011" s="51" t="n">
        <f aca="false">IF(LEFT(Cockpit!$O$5,1)="A",H1011,IF(CH1011=1,(CK1011+CI1011)/2,IF(LEFT(Cockpit!$O$5,1)="B",(CK1011+BF1011)/2,MAX((CK1011+BF1011)/2,H1011))))</f>
        <v>0.5</v>
      </c>
      <c r="BE1011" s="50" t="n">
        <f aca="false">BD1011*G1011</f>
        <v>27.02</v>
      </c>
      <c r="BF1011" s="50" t="n">
        <f aca="false">ROUNDUP(CK1011+MAX(CL1011,2*(J1011/IF(CG1011&gt;0,CG1011,MAX(0.1,N(Cockpit!$O$6)))-CK1011)),0)</f>
        <v>1</v>
      </c>
      <c r="BG1011" s="51" t="n">
        <f aca="false">IF(BC1011&gt;0,J1011/BC1011,-1)</f>
        <v>0</v>
      </c>
      <c r="BH1011" s="51" t="n">
        <f aca="false">IF(AND(OR(CF1011="L1",CF1011="L23",CF1011="LIFT"),BC1011&gt;0),SUMIFS($BC$7:$BC$1843,$CF$7:$CF$1843,CF1011,$BG$7:$BG$1843,"&gt;"&amp;BG1011)+SUMIFS($BC$7:$BC$1843,$CF$7:$CF$1843,CF1011,$BG$7:$BG$1843,BG1011,$BW$7:$BW$1843,"&lt;="&amp;BW1011),"")</f>
        <v>28701.6106894518</v>
      </c>
      <c r="BI1011" s="58" t="n">
        <f aca="false">IF(BH1011="",0,MAX(0,MIN(1,(IF(CF1011="L1",Parameter!$H$5,IF(CF1011="L23",Parameter!$H$6+Parameter!$H$7,Parameter!$H$5+Parameter!$H$6+Parameter!$H$7))-(BH1011-BC1011))/BC1011)))</f>
        <v>1</v>
      </c>
      <c r="BJ1011" s="48" t="str">
        <f aca="false">IF(AI1011&lt;=0,"",IF(CF1011="Aussen","Aussenlager",IF(CF1011="-","Nicht im Lift",IF(AO1011&gt;=1,"Lift",IF(AO1011&lt;=0,"Aussenlager","teilweise")))))</f>
        <v>Lift</v>
      </c>
      <c r="BK1011" s="48" t="str">
        <f aca="false">IF(AS1011&lt;=0,"",IF(CF1011="Aussen","Aussenlager",IF(CF1011="-","Nicht im Lift",IF(AY1011&gt;=1,"Lift",IF(AY1011&lt;=0,"Aussenlager","teilweise")))))</f>
        <v>Lift</v>
      </c>
      <c r="BL1011" s="48" t="str">
        <f aca="false">IF(BC1011&lt;=0,"",IF(CF1011="Aussen","Aussenlager",IF(CF1011="-","Nicht im Lift",IF(BI1011&gt;=1,"Lift",IF(BI1011&lt;=0,"Aussenlager","teilweise")))))</f>
        <v>Lift</v>
      </c>
      <c r="BM1011" s="48" t="str">
        <f aca="false">IF(A1011="","",IF(BV1011=1,"Neu; ","")&amp;IF(AND(BV1011=0,BQ1011&lt;0),"negativer Bestand (Export "&amp;BQ1011&amp;"); ","")&amp;IF(J1011&lt;=0,"Kein Verbrauch; ","")&amp;IF(CQ1011&gt;0,"Lift "&amp;W1011&amp;" lt. Liftbericht (Fach "&amp;X1011&amp;" Stk); ",IF(CA1011=1,"Gebinde geschätzt ("&amp;T1011&amp;"); ",IF(BZ1011=1,"Lose – Tablare geschätzt; ","")))&amp;IF(H1011&gt;AV1011,"Überbestand "&amp;ROUND(H1011-AV1011,0)&amp;" Stk / CHF "&amp;ROUND((H1011-AV1011)*G1011,0)&amp;"; ","")&amp;IF(AND(CH1011=1,CI1011&lt;CJ1011),"MAX &lt; MB+LG; ","")&amp;IF(AND(CP1011&gt;0,CO1011*10&gt;CP1011),"zu hoch für Tablar; ","")&amp;IF(AND(BV1011=0,OR(CH1011=1,AA1011&lt;&gt;"",U1011&lt;&gt;"",V1011&lt;&gt;"",AB1011&lt;&gt;"")),"manuell übersteuert; ","")&amp;IF(AND(BZ1011=0,R1011=0),"Gebinde unbekannt / Stellmass fehlt; ","")&amp;IF(AND(BZ1011=0,N(V1011)&lt;=0,N(Q1011)&lt;=0),"Menge pro Gebinde fehlt (Ist = 1 Gebinde); ","")&amp;BU1011)</f>
        <v>negativer Bestand (Export -2); Kein Verbrauch; Überbestand 29 Stk / CHF 1567; </v>
      </c>
      <c r="BN1011" s="48"/>
      <c r="BO1011" s="48"/>
      <c r="BP1011" s="55"/>
      <c r="BQ1011" s="50" t="n">
        <v>-2</v>
      </c>
      <c r="BR1011" s="50" t="n">
        <v>32</v>
      </c>
      <c r="BS1011" s="49" t="n">
        <v>-108.08</v>
      </c>
      <c r="BT1011" s="50" t="n">
        <v>0</v>
      </c>
      <c r="BU1011" s="48"/>
      <c r="BV1011" s="53" t="n">
        <v>0</v>
      </c>
      <c r="BW1011" s="53" t="n">
        <v>1011</v>
      </c>
      <c r="BX1011" s="48" t="str">
        <f aca="false">IF(U1011&lt;&gt;"",UPPER(TRIM(U1011)),IF(CA1011=1,UPPER(VLOOKUP(T1011,Parameter!$I$27:$K$29,2,0)),IF(P1011="","LOSE",P1011)))</f>
        <v>S62</v>
      </c>
      <c r="BY1011" s="50" t="n">
        <f aca="false">IF(BX1011="LOSE",1,IF(N(V1011)&gt;0,V1011,IF(CA1011=1,MAX(1,N(VLOOKUP(T1011,Parameter!$I$27:$K$29,3,0)),H1011,N(N1011)),IF(N(Q1011)&gt;0,Q1011,MAX(1,H1011)))))</f>
        <v>32</v>
      </c>
      <c r="BZ1011" s="53" t="n">
        <f aca="false">IF(BX1011="LOSE",1,0)</f>
        <v>0</v>
      </c>
      <c r="CA1011" s="53" t="n">
        <f aca="false">IF(AND(U1011="",OR(P1011="",P1011="LOSE"),T1011&lt;&gt;"",N(S1011)&lt;=0,ISNUMBER(MATCH(T1011,Parameter!$I$27:$I$29,0))),1,0)</f>
        <v>0</v>
      </c>
      <c r="CB1011" s="53" t="n">
        <f aca="false">IF(CQ1011&gt;0,INDEX(Parameter!$H$5:$H$7,W1011)/INDEX(Parameter!$E$5:$E$7,W1011),IF(AND(BZ1011=0,N(IFERROR(VLOOKUP(BX1011,'Gebinde-Kategorie'!$A$5:$N$45,14,0),0))&gt;0),VLOOKUP(BX1011,'Gebinde-Kategorie'!$A$5:$N$45,14,0)*10+Parameter!$M$23,Parameter!$M$24))</f>
        <v>245</v>
      </c>
      <c r="CC1011" s="48" t="str">
        <f aca="false">IF(AND(Parameter!$B$19="Ja",E1011&lt;&gt;"",ISNUMBER(MATCH(E1011,Parameter!$I$35:$I$52,0))),VLOOKUP(E1011,Parameter!$I$35:$J$52,2,0),IFERROR(VLOOKUP(D1011,Parameter!$A$35:$C$64,2,0),"Nein"))</f>
        <v>2+3</v>
      </c>
      <c r="CD1011" s="52" t="n">
        <f aca="false">IF(BZ1011=0,0,IF(N(S1011)&gt;0,S1011,IFERROR(VLOOKUP(D1011,Parameter!$A$35:$C$64,3,0)+0,0)))</f>
        <v>0</v>
      </c>
      <c r="CE1011" s="48" t="n">
        <f aca="false">IF(AA1011&lt;&gt;"",AA1011,Z1011)</f>
        <v>2</v>
      </c>
      <c r="CF1011" s="48" t="str">
        <f aca="false">IF(OR(CE1011=1,CE1011=2,CE1011=3),IF(Parameter!$E$27="Ja","LIFT",IF(CE1011=1,"L1","L23")),IF(CE1011="Aussen","Aussen","-"))</f>
        <v>LIFT</v>
      </c>
      <c r="CG1011" s="59" t="n">
        <f aca="false">IF(N(AB1011)&gt;0,AB1011,0)</f>
        <v>0</v>
      </c>
      <c r="CH1011" s="53" t="n">
        <f aca="false">IF(ISNUMBER(AE1011),1,0)</f>
        <v>0</v>
      </c>
      <c r="CI1011" s="50" t="n">
        <f aca="false">N(AE1011)</f>
        <v>0</v>
      </c>
      <c r="CJ1011" s="50" t="n">
        <f aca="false">N(M1011)+N(N1011)</f>
        <v>1</v>
      </c>
      <c r="CK1011" s="50" t="n">
        <f aca="false">N(M1011)</f>
        <v>0</v>
      </c>
      <c r="CL1011" s="50" t="n">
        <f aca="false">N(N1011)</f>
        <v>1</v>
      </c>
      <c r="CM1011" s="50" t="n">
        <f aca="false">ROUNDUP(H1011/BY1011,0)</f>
        <v>1</v>
      </c>
      <c r="CN1011" s="50" t="n">
        <f aca="false">ROUNDUP(CI1011/BY1011,0)</f>
        <v>0</v>
      </c>
      <c r="CO1011" s="53" t="n">
        <f aca="false">IF(BZ1011=1,0,IFERROR(VLOOKUP(BX1011,'Gebinde-Kategorie'!$A$5:$N$45,5,0)+0,0))</f>
        <v>21</v>
      </c>
      <c r="CP1011" s="53" t="n">
        <f aca="false">IFERROR(IF(OR(CE1011=1,CE1011=2,CE1011=3),N(INDEX(Parameter!$I$5:$I$7,CE1011)),0),0)</f>
        <v>0</v>
      </c>
      <c r="CQ1011" s="52" t="n">
        <f aca="false">IF(AND(Parameter!$B$21="Ja",ISNUMBER(W1011),N(X1011)&gt;0),IFERROR(N(INDEX(Parameter!$L$5:$L$7,W1011))*INDEX(Parameter!$E$5:$E$7,W1011)*X1011/SUMIFS($X$7:$X$1843,$W$7:$W$1843,W1011),0),0)</f>
        <v>0</v>
      </c>
    </row>
    <row r="1012" customFormat="false" ht="15" hidden="false" customHeight="false" outlineLevel="0" collapsed="false">
      <c r="A1012" s="48" t="s">
        <v>1874</v>
      </c>
      <c r="B1012" s="48" t="s">
        <v>444</v>
      </c>
      <c r="C1012" s="48" t="s">
        <v>173</v>
      </c>
      <c r="D1012" s="48" t="s">
        <v>193</v>
      </c>
      <c r="E1012" s="48" t="s">
        <v>194</v>
      </c>
      <c r="F1012" s="48" t="s">
        <v>227</v>
      </c>
      <c r="G1012" s="49" t="n">
        <v>2.71</v>
      </c>
      <c r="H1012" s="50" t="n">
        <f aca="false">MAX(0,IF(AND(Parameter!$B$21="Ja",ISNUMBER(Y1012)),Y1012,IF(Parameter!$B$20="Jahresanfang 2025 + Export",BR1012+BQ1012,BQ1012)))</f>
        <v>47</v>
      </c>
      <c r="I1012" s="50" t="n">
        <f aca="false">H1012*G1012</f>
        <v>127.37</v>
      </c>
      <c r="J1012" s="50" t="n">
        <f aca="false">BT1012*Parameter!$B$18</f>
        <v>0</v>
      </c>
      <c r="K1012" s="51" t="n">
        <v>69</v>
      </c>
      <c r="L1012" s="52" t="n">
        <v>0</v>
      </c>
      <c r="M1012" s="50" t="n">
        <v>0</v>
      </c>
      <c r="N1012" s="50" t="n">
        <v>1</v>
      </c>
      <c r="O1012" s="53" t="n">
        <v>14</v>
      </c>
      <c r="P1012" s="48" t="s">
        <v>311</v>
      </c>
      <c r="Q1012" s="50" t="n">
        <v>94</v>
      </c>
      <c r="R1012" s="53" t="n">
        <f aca="false">IF(BZ1012=1,0,IFERROR(VLOOKUP(BX1012,'Gebinde-Kategorie'!$A$5:$N$45,13,0)+0,0))</f>
        <v>26</v>
      </c>
      <c r="S1012" s="54"/>
      <c r="T1012" s="55"/>
      <c r="U1012" s="55"/>
      <c r="V1012" s="55"/>
      <c r="W1012" s="48"/>
      <c r="X1012" s="50"/>
      <c r="Y1012" s="50"/>
      <c r="Z1012" s="48" t="n">
        <f aca="false">IF(A1012="","",IF(AND(Parameter!$B$21="Ja",ISNUMBER(W1012)),W1012,IF(CC1012="2+3",IF(ISNUMBER(SEARCH("grosser Artikel",BU1012)),2,IFERROR(VLOOKUP(BX1012,Parameter!$F$35:$G$64,2,0),2)),IF(OR(CC1012="Nein",CC1012=""),"-",CC1012))))</f>
        <v>3</v>
      </c>
      <c r="AA1012" s="55"/>
      <c r="AB1012" s="56"/>
      <c r="AC1012" s="50" t="n">
        <f aca="false">AV1012</f>
        <v>1</v>
      </c>
      <c r="AD1012" s="50" t="n">
        <f aca="false">MAX(AV1012,H1012)</f>
        <v>47</v>
      </c>
      <c r="AE1012" s="57"/>
      <c r="AF1012" s="50" t="n">
        <f aca="false">IF(LEFT(Cockpit!$C$5,1)="A",H1012,IF(Parameter!$E$30="MAX-Bestand",IF(CH1012=1,CI1012,IF(LEFT(Cockpit!$C$5,1)="B",AL1012,MAX(AL1012,H1012))),ROUNDUP(AJ1012,0)))</f>
        <v>47</v>
      </c>
      <c r="AG1012" s="50" t="n">
        <f aca="false">IF(BZ1012=1,0,ROUNDUP(AF1012/BY1012,0))</f>
        <v>1</v>
      </c>
      <c r="AH1012" s="52" t="n">
        <f aca="false">IF(CQ1012&gt;0,CQ1012*MAX(1,AF1012/X1012),IF(BZ1012=1,IF(AF1012&lt;=0,0,CD1012*MAX(1,IF(H1012&gt;0,AF1012/H1012,1))),IF(R1012&gt;0,AG1012/R1012,0))/MAX(0.1,N(Parameter!$M$21)))</f>
        <v>0.0384615384615385</v>
      </c>
      <c r="AI1012" s="50" t="n">
        <f aca="false">AH1012*CB1012</f>
        <v>5.96153846153846</v>
      </c>
      <c r="AJ1012" s="51" t="n">
        <f aca="false">IF(LEFT(Cockpit!$C$5,1)="A",H1012,IF(CH1012=1,(CK1012+CI1012)/2,IF(LEFT(Cockpit!$C$5,1)="B",(CK1012+AL1012)/2,MAX((CK1012+AL1012)/2,H1012))))</f>
        <v>47</v>
      </c>
      <c r="AK1012" s="50" t="n">
        <f aca="false">AJ1012*G1012</f>
        <v>127.37</v>
      </c>
      <c r="AL1012" s="50" t="n">
        <f aca="false">ROUNDUP(CK1012+MAX(CL1012,2*(J1012/IF(CG1012&gt;0,CG1012,MAX(0.1,N(Cockpit!$C$6)))-CK1012)),0)</f>
        <v>1</v>
      </c>
      <c r="AM1012" s="51" t="n">
        <f aca="false">IF(AI1012&gt;0,J1012/AI1012,-1)</f>
        <v>0</v>
      </c>
      <c r="AN1012" s="51" t="n">
        <f aca="false">IF(AND(OR(CF1012="L1",CF1012="L23",CF1012="LIFT"),AI1012&gt;0),SUMIFS($AI$7:$AI$1843,$CF$7:$CF$1843,CF1012,$AM$7:$AM$1843,"&gt;"&amp;AM1012)+SUMIFS($AI$7:$AI$1843,$CF$7:$CF$1843,CF1012,$AM$7:$AM$1843,AM1012,$BW$7:$BW$1843,"&lt;="&amp;BW1012),"")</f>
        <v>28991.5761754724</v>
      </c>
      <c r="AO1012" s="58" t="n">
        <f aca="false">IF(AN1012="",0,MAX(0,MIN(1,(IF(CF1012="L1",Parameter!$H$5,IF(CF1012="L23",Parameter!$H$6+Parameter!$H$7,Parameter!$H$5+Parameter!$H$6+Parameter!$H$7))-(AN1012-AI1012))/AI1012)))</f>
        <v>1</v>
      </c>
      <c r="AP1012" s="50" t="n">
        <f aca="false">IF(LEFT(Cockpit!$I$5,1)="A",H1012,IF(Parameter!$E$30="MAX-Bestand",IF(CH1012=1,CI1012,IF(LEFT(Cockpit!$I$5,1)="B",AV1012,MAX(AV1012,H1012))),ROUNDUP(AT1012,0)))</f>
        <v>47</v>
      </c>
      <c r="AQ1012" s="50" t="n">
        <f aca="false">IF(BZ1012=1,0,ROUNDUP(AP1012/BY1012,0))</f>
        <v>1</v>
      </c>
      <c r="AR1012" s="52" t="n">
        <f aca="false">IF(CQ1012&gt;0,CQ1012*MAX(1,AP1012/X1012),IF(BZ1012=1,IF(AP1012&lt;=0,0,CD1012*MAX(1,IF(H1012&gt;0,AP1012/H1012,1))),IF(R1012&gt;0,AQ1012/R1012,0))/MAX(0.1,N(Parameter!$M$21)))</f>
        <v>0.0384615384615385</v>
      </c>
      <c r="AS1012" s="50" t="n">
        <f aca="false">AR1012*CB1012</f>
        <v>5.96153846153846</v>
      </c>
      <c r="AT1012" s="51" t="n">
        <f aca="false">IF(LEFT(Cockpit!$I$5,1)="A",H1012,IF(CH1012=1,(CK1012+CI1012)/2,IF(LEFT(Cockpit!$I$5,1)="B",(CK1012+AV1012)/2,MAX((CK1012+AV1012)/2,H1012))))</f>
        <v>47</v>
      </c>
      <c r="AU1012" s="50" t="n">
        <f aca="false">AT1012*G1012</f>
        <v>127.37</v>
      </c>
      <c r="AV1012" s="50" t="n">
        <f aca="false">ROUNDUP(CK1012+MAX(CL1012,2*(J1012/IF(CG1012&gt;0,CG1012,MAX(0.1,N(Cockpit!$I$6)))-CK1012)),0)</f>
        <v>1</v>
      </c>
      <c r="AW1012" s="51" t="n">
        <f aca="false">IF(AS1012&gt;0,J1012/AS1012,-1)</f>
        <v>0</v>
      </c>
      <c r="AX1012" s="51" t="n">
        <f aca="false">IF(AND(OR(CF1012="L1",CF1012="L23",CF1012="LIFT"),AS1012&gt;0),SUMIFS($AS$7:$AS$1843,$CF$7:$CF$1843,CF1012,$AW$7:$AW$1843,"&gt;"&amp;AW1012)+SUMIFS($AS$7:$AS$1843,$CF$7:$CF$1843,CF1012,$AW$7:$AW$1843,AW1012,$BW$7:$BW$1843,"&lt;="&amp;BW1012),"")</f>
        <v>34692.4578754579</v>
      </c>
      <c r="AY1012" s="58" t="n">
        <f aca="false">IF(AX1012="",0,MAX(0,MIN(1,(IF(CF1012="L1",Parameter!$H$5,IF(CF1012="L23",Parameter!$H$6+Parameter!$H$7,Parameter!$H$5+Parameter!$H$6+Parameter!$H$7))-(AX1012-AS1012))/AS1012)))</f>
        <v>1</v>
      </c>
      <c r="AZ1012" s="50" t="n">
        <f aca="false">IF(LEFT(Cockpit!$O$5,1)="A",H1012,IF(Parameter!$E$30="MAX-Bestand",IF(CH1012=1,CI1012,IF(LEFT(Cockpit!$O$5,1)="B",BF1012,MAX(BF1012,H1012))),ROUNDUP(BD1012,0)))</f>
        <v>1</v>
      </c>
      <c r="BA1012" s="50" t="n">
        <f aca="false">IF(BZ1012=1,0,ROUNDUP(AZ1012/BY1012,0))</f>
        <v>1</v>
      </c>
      <c r="BB1012" s="52" t="n">
        <f aca="false">IF(CQ1012&gt;0,CQ1012*MAX(1,AZ1012/X1012),IF(BZ1012=1,IF(AZ1012&lt;=0,0,CD1012*MAX(1,IF(H1012&gt;0,AZ1012/H1012,1))),IF(R1012&gt;0,BA1012/R1012,0))/MAX(0.1,N(Parameter!$M$21)))</f>
        <v>0.0384615384615385</v>
      </c>
      <c r="BC1012" s="50" t="n">
        <f aca="false">BB1012*CB1012</f>
        <v>5.96153846153846</v>
      </c>
      <c r="BD1012" s="51" t="n">
        <f aca="false">IF(LEFT(Cockpit!$O$5,1)="A",H1012,IF(CH1012=1,(CK1012+CI1012)/2,IF(LEFT(Cockpit!$O$5,1)="B",(CK1012+BF1012)/2,MAX((CK1012+BF1012)/2,H1012))))</f>
        <v>0.5</v>
      </c>
      <c r="BE1012" s="50" t="n">
        <f aca="false">BD1012*G1012</f>
        <v>1.355</v>
      </c>
      <c r="BF1012" s="50" t="n">
        <f aca="false">ROUNDUP(CK1012+MAX(CL1012,2*(J1012/IF(CG1012&gt;0,CG1012,MAX(0.1,N(Cockpit!$O$6)))-CK1012)),0)</f>
        <v>1</v>
      </c>
      <c r="BG1012" s="51" t="n">
        <f aca="false">IF(BC1012&gt;0,J1012/BC1012,-1)</f>
        <v>0</v>
      </c>
      <c r="BH1012" s="51" t="n">
        <f aca="false">IF(AND(OR(CF1012="L1",CF1012="L23",CF1012="LIFT"),BC1012&gt;0),SUMIFS($BC$7:$BC$1843,$CF$7:$CF$1843,CF1012,$BG$7:$BG$1843,"&gt;"&amp;BG1012)+SUMIFS($BC$7:$BC$1843,$CF$7:$CF$1843,CF1012,$BG$7:$BG$1843,BG1012,$BW$7:$BW$1843,"&lt;="&amp;BW1012),"")</f>
        <v>28707.5722279133</v>
      </c>
      <c r="BI1012" s="58" t="n">
        <f aca="false">IF(BH1012="",0,MAX(0,MIN(1,(IF(CF1012="L1",Parameter!$H$5,IF(CF1012="L23",Parameter!$H$6+Parameter!$H$7,Parameter!$H$5+Parameter!$H$6+Parameter!$H$7))-(BH1012-BC1012))/BC1012)))</f>
        <v>1</v>
      </c>
      <c r="BJ1012" s="48" t="str">
        <f aca="false">IF(AI1012&lt;=0,"",IF(CF1012="Aussen","Aussenlager",IF(CF1012="-","Nicht im Lift",IF(AO1012&gt;=1,"Lift",IF(AO1012&lt;=0,"Aussenlager","teilweise")))))</f>
        <v>Lift</v>
      </c>
      <c r="BK1012" s="48" t="str">
        <f aca="false">IF(AS1012&lt;=0,"",IF(CF1012="Aussen","Aussenlager",IF(CF1012="-","Nicht im Lift",IF(AY1012&gt;=1,"Lift",IF(AY1012&lt;=0,"Aussenlager","teilweise")))))</f>
        <v>Lift</v>
      </c>
      <c r="BL1012" s="48" t="str">
        <f aca="false">IF(BC1012&lt;=0,"",IF(CF1012="Aussen","Aussenlager",IF(CF1012="-","Nicht im Lift",IF(BI1012&gt;=1,"Lift",IF(BI1012&lt;=0,"Aussenlager","teilweise")))))</f>
        <v>Lift</v>
      </c>
      <c r="BM1012" s="48" t="str">
        <f aca="false">IF(A1012="","",IF(BV1012=1,"Neu; ","")&amp;IF(AND(BV1012=0,BQ1012&lt;0),"negativer Bestand (Export "&amp;BQ1012&amp;"); ","")&amp;IF(J1012&lt;=0,"Kein Verbrauch; ","")&amp;IF(CQ1012&gt;0,"Lift "&amp;W1012&amp;" lt. Liftbericht (Fach "&amp;X1012&amp;" Stk); ",IF(CA1012=1,"Gebinde geschätzt ("&amp;T1012&amp;"); ",IF(BZ1012=1,"Lose – Tablare geschätzt; ","")))&amp;IF(H1012&gt;AV1012,"Überbestand "&amp;ROUND(H1012-AV1012,0)&amp;" Stk / CHF "&amp;ROUND((H1012-AV1012)*G1012,0)&amp;"; ","")&amp;IF(AND(CH1012=1,CI1012&lt;CJ1012),"MAX &lt; MB+LG; ","")&amp;IF(AND(CP1012&gt;0,CO1012*10&gt;CP1012),"zu hoch für Tablar; ","")&amp;IF(AND(BV1012=0,OR(CH1012=1,AA1012&lt;&gt;"",U1012&lt;&gt;"",V1012&lt;&gt;"",AB1012&lt;&gt;"")),"manuell übersteuert; ","")&amp;IF(AND(BZ1012=0,R1012=0),"Gebinde unbekannt / Stellmass fehlt; ","")&amp;IF(AND(BZ1012=0,N(V1012)&lt;=0,N(Q1012)&lt;=0),"Menge pro Gebinde fehlt (Ist = 1 Gebinde); ","")&amp;BU1012)</f>
        <v>negativer Bestand (Export -41); Kein Verbrauch; Überbestand 46 Stk / CHF 125; Überbestand</v>
      </c>
      <c r="BN1012" s="48"/>
      <c r="BO1012" s="48"/>
      <c r="BP1012" s="55"/>
      <c r="BQ1012" s="50" t="n">
        <v>-41</v>
      </c>
      <c r="BR1012" s="50" t="n">
        <v>88</v>
      </c>
      <c r="BS1012" s="49" t="n">
        <v>-110.23</v>
      </c>
      <c r="BT1012" s="50" t="n">
        <v>0</v>
      </c>
      <c r="BU1012" s="48" t="s">
        <v>401</v>
      </c>
      <c r="BV1012" s="53" t="n">
        <v>0</v>
      </c>
      <c r="BW1012" s="53" t="n">
        <v>1012</v>
      </c>
      <c r="BX1012" s="48" t="str">
        <f aca="false">IF(U1012&lt;&gt;"",UPPER(TRIM(U1012)),IF(CA1012=1,UPPER(VLOOKUP(T1012,Parameter!$I$27:$K$29,2,0)),IF(P1012="","LOSE",P1012)))</f>
        <v>S51</v>
      </c>
      <c r="BY1012" s="50" t="n">
        <f aca="false">IF(BX1012="LOSE",1,IF(N(V1012)&gt;0,V1012,IF(CA1012=1,MAX(1,N(VLOOKUP(T1012,Parameter!$I$27:$K$29,3,0)),H1012,N(N1012)),IF(N(Q1012)&gt;0,Q1012,MAX(1,H1012)))))</f>
        <v>94</v>
      </c>
      <c r="BZ1012" s="53" t="n">
        <f aca="false">IF(BX1012="LOSE",1,0)</f>
        <v>0</v>
      </c>
      <c r="CA1012" s="53" t="n">
        <f aca="false">IF(AND(U1012="",OR(P1012="",P1012="LOSE"),T1012&lt;&gt;"",N(S1012)&lt;=0,ISNUMBER(MATCH(T1012,Parameter!$I$27:$I$29,0))),1,0)</f>
        <v>0</v>
      </c>
      <c r="CB1012" s="53" t="n">
        <f aca="false">IF(CQ1012&gt;0,INDEX(Parameter!$H$5:$H$7,W1012)/INDEX(Parameter!$E$5:$E$7,W1012),IF(AND(BZ1012=0,N(IFERROR(VLOOKUP(BX1012,'Gebinde-Kategorie'!$A$5:$N$45,14,0),0))&gt;0),VLOOKUP(BX1012,'Gebinde-Kategorie'!$A$5:$N$45,14,0)*10+Parameter!$M$23,Parameter!$M$24))</f>
        <v>155</v>
      </c>
      <c r="CC1012" s="48" t="str">
        <f aca="false">IF(AND(Parameter!$B$19="Ja",E1012&lt;&gt;"",ISNUMBER(MATCH(E1012,Parameter!$I$35:$I$52,0))),VLOOKUP(E1012,Parameter!$I$35:$J$52,2,0),IFERROR(VLOOKUP(D1012,Parameter!$A$35:$C$64,2,0),"Nein"))</f>
        <v>2+3</v>
      </c>
      <c r="CD1012" s="52" t="n">
        <f aca="false">IF(BZ1012=0,0,IF(N(S1012)&gt;0,S1012,IFERROR(VLOOKUP(D1012,Parameter!$A$35:$C$64,3,0)+0,0)))</f>
        <v>0</v>
      </c>
      <c r="CE1012" s="48" t="n">
        <f aca="false">IF(AA1012&lt;&gt;"",AA1012,Z1012)</f>
        <v>3</v>
      </c>
      <c r="CF1012" s="48" t="str">
        <f aca="false">IF(OR(CE1012=1,CE1012=2,CE1012=3),IF(Parameter!$E$27="Ja","LIFT",IF(CE1012=1,"L1","L23")),IF(CE1012="Aussen","Aussen","-"))</f>
        <v>LIFT</v>
      </c>
      <c r="CG1012" s="59" t="n">
        <f aca="false">IF(N(AB1012)&gt;0,AB1012,0)</f>
        <v>0</v>
      </c>
      <c r="CH1012" s="53" t="n">
        <f aca="false">IF(ISNUMBER(AE1012),1,0)</f>
        <v>0</v>
      </c>
      <c r="CI1012" s="50" t="n">
        <f aca="false">N(AE1012)</f>
        <v>0</v>
      </c>
      <c r="CJ1012" s="50" t="n">
        <f aca="false">N(M1012)+N(N1012)</f>
        <v>1</v>
      </c>
      <c r="CK1012" s="50" t="n">
        <f aca="false">N(M1012)</f>
        <v>0</v>
      </c>
      <c r="CL1012" s="50" t="n">
        <f aca="false">N(N1012)</f>
        <v>1</v>
      </c>
      <c r="CM1012" s="50" t="n">
        <f aca="false">ROUNDUP(H1012/BY1012,0)</f>
        <v>1</v>
      </c>
      <c r="CN1012" s="50" t="n">
        <f aca="false">ROUNDUP(CI1012/BY1012,0)</f>
        <v>0</v>
      </c>
      <c r="CO1012" s="53" t="n">
        <f aca="false">IF(BZ1012=1,0,IFERROR(VLOOKUP(BX1012,'Gebinde-Kategorie'!$A$5:$N$45,5,0)+0,0))</f>
        <v>11</v>
      </c>
      <c r="CP1012" s="53" t="n">
        <f aca="false">IFERROR(IF(OR(CE1012=1,CE1012=2,CE1012=3),N(INDEX(Parameter!$I$5:$I$7,CE1012)),0),0)</f>
        <v>0</v>
      </c>
      <c r="CQ1012" s="52" t="n">
        <f aca="false">IF(AND(Parameter!$B$21="Ja",ISNUMBER(W1012),N(X1012)&gt;0),IFERROR(N(INDEX(Parameter!$L$5:$L$7,W1012))*INDEX(Parameter!$E$5:$E$7,W1012)*X1012/SUMIFS($X$7:$X$1843,$W$7:$W$1843,W1012),0),0)</f>
        <v>0</v>
      </c>
    </row>
    <row r="1013" customFormat="false" ht="15" hidden="false" customHeight="false" outlineLevel="0" collapsed="false">
      <c r="A1013" s="48" t="s">
        <v>1875</v>
      </c>
      <c r="B1013" s="48" t="s">
        <v>837</v>
      </c>
      <c r="C1013" s="48" t="s">
        <v>173</v>
      </c>
      <c r="D1013" s="48" t="s">
        <v>182</v>
      </c>
      <c r="E1013" s="48"/>
      <c r="F1013" s="48" t="s">
        <v>227</v>
      </c>
      <c r="G1013" s="49" t="n">
        <v>8.73</v>
      </c>
      <c r="H1013" s="50" t="n">
        <f aca="false">MAX(0,IF(AND(Parameter!$B$21="Ja",ISNUMBER(Y1013)),Y1013,IF(Parameter!$B$20="Jahresanfang 2025 + Export",BR1013+BQ1013,BQ1013)))</f>
        <v>10</v>
      </c>
      <c r="I1013" s="50" t="n">
        <f aca="false">H1013*G1013</f>
        <v>87.3</v>
      </c>
      <c r="J1013" s="50" t="n">
        <f aca="false">BT1013*Parameter!$B$18</f>
        <v>20</v>
      </c>
      <c r="K1013" s="51" t="n">
        <v>26</v>
      </c>
      <c r="L1013" s="52" t="n">
        <v>0.769230769230769</v>
      </c>
      <c r="M1013" s="50" t="n">
        <v>2</v>
      </c>
      <c r="N1013" s="50" t="n">
        <v>20</v>
      </c>
      <c r="O1013" s="53" t="n">
        <v>42</v>
      </c>
      <c r="P1013" s="48" t="s">
        <v>183</v>
      </c>
      <c r="Q1013" s="50" t="n">
        <v>24</v>
      </c>
      <c r="R1013" s="53" t="n">
        <f aca="false">IF(BZ1013=1,0,IFERROR(VLOOKUP(BX1013,'Gebinde-Kategorie'!$A$5:$N$45,13,0)+0,0))</f>
        <v>6</v>
      </c>
      <c r="S1013" s="54"/>
      <c r="T1013" s="55"/>
      <c r="U1013" s="55"/>
      <c r="V1013" s="55"/>
      <c r="W1013" s="48"/>
      <c r="X1013" s="50"/>
      <c r="Y1013" s="50"/>
      <c r="Z1013" s="48" t="n">
        <f aca="false">IF(A1013="","",IF(AND(Parameter!$B$21="Ja",ISNUMBER(W1013)),W1013,IF(CC1013="2+3",IF(ISNUMBER(SEARCH("grosser Artikel",BU1013)),2,IFERROR(VLOOKUP(BX1013,Parameter!$F$35:$G$64,2,0),2)),IF(OR(CC1013="Nein",CC1013=""),"-",CC1013))))</f>
        <v>2</v>
      </c>
      <c r="AA1013" s="55"/>
      <c r="AB1013" s="56"/>
      <c r="AC1013" s="50" t="n">
        <f aca="false">AV1013</f>
        <v>22</v>
      </c>
      <c r="AD1013" s="50" t="n">
        <f aca="false">MAX(AV1013,H1013)</f>
        <v>22</v>
      </c>
      <c r="AE1013" s="57"/>
      <c r="AF1013" s="50" t="n">
        <f aca="false">IF(LEFT(Cockpit!$C$5,1)="A",H1013,IF(Parameter!$E$30="MAX-Bestand",IF(CH1013=1,CI1013,IF(LEFT(Cockpit!$C$5,1)="B",AL1013,MAX(AL1013,H1013))),ROUNDUP(AJ1013,0)))</f>
        <v>10</v>
      </c>
      <c r="AG1013" s="50" t="n">
        <f aca="false">IF(BZ1013=1,0,ROUNDUP(AF1013/BY1013,0))</f>
        <v>1</v>
      </c>
      <c r="AH1013" s="52" t="n">
        <f aca="false">IF(CQ1013&gt;0,CQ1013*MAX(1,AF1013/X1013),IF(BZ1013=1,IF(AF1013&lt;=0,0,CD1013*MAX(1,IF(H1013&gt;0,AF1013/H1013,1))),IF(R1013&gt;0,AG1013/R1013,0))/MAX(0.1,N(Parameter!$M$21)))</f>
        <v>0.166666666666667</v>
      </c>
      <c r="AI1013" s="50" t="n">
        <f aca="false">AH1013*CB1013</f>
        <v>39.1666666666667</v>
      </c>
      <c r="AJ1013" s="51" t="n">
        <f aca="false">IF(LEFT(Cockpit!$C$5,1)="A",H1013,IF(CH1013=1,(CK1013+CI1013)/2,IF(LEFT(Cockpit!$C$5,1)="B",(CK1013+AL1013)/2,MAX((CK1013+AL1013)/2,H1013))))</f>
        <v>10</v>
      </c>
      <c r="AK1013" s="50" t="n">
        <f aca="false">AJ1013*G1013</f>
        <v>87.3</v>
      </c>
      <c r="AL1013" s="50" t="n">
        <f aca="false">ROUNDUP(CK1013+MAX(CL1013,2*(J1013/IF(CG1013&gt;0,CG1013,MAX(0.1,N(Cockpit!$C$6)))-CK1013)),0)</f>
        <v>22</v>
      </c>
      <c r="AM1013" s="51" t="n">
        <f aca="false">IF(AI1013&gt;0,J1013/AI1013,-1)</f>
        <v>0.510638297872341</v>
      </c>
      <c r="AN1013" s="51" t="n">
        <f aca="false">IF(AND(OR(CF1013="L1",CF1013="L23",CF1013="LIFT"),AI1013&gt;0),SUMIFS($AI$7:$AI$1843,$CF$7:$CF$1843,CF1013,$AM$7:$AM$1843,"&gt;"&amp;AM1013)+SUMIFS($AI$7:$AI$1843,$CF$7:$CF$1843,CF1013,$AM$7:$AM$1843,AM1013,$BW$7:$BW$1843,"&lt;="&amp;BW1013),"")</f>
        <v>9568.12588729538</v>
      </c>
      <c r="AO1013" s="58" t="n">
        <f aca="false">IF(AN1013="",0,MAX(0,MIN(1,(IF(CF1013="L1",Parameter!$H$5,IF(CF1013="L23",Parameter!$H$6+Parameter!$H$7,Parameter!$H$5+Parameter!$H$6+Parameter!$H$7))-(AN1013-AI1013))/AI1013)))</f>
        <v>1</v>
      </c>
      <c r="AP1013" s="50" t="n">
        <f aca="false">IF(LEFT(Cockpit!$I$5,1)="A",H1013,IF(Parameter!$E$30="MAX-Bestand",IF(CH1013=1,CI1013,IF(LEFT(Cockpit!$I$5,1)="B",AV1013,MAX(AV1013,H1013))),ROUNDUP(AT1013,0)))</f>
        <v>12</v>
      </c>
      <c r="AQ1013" s="50" t="n">
        <f aca="false">IF(BZ1013=1,0,ROUNDUP(AP1013/BY1013,0))</f>
        <v>1</v>
      </c>
      <c r="AR1013" s="52" t="n">
        <f aca="false">IF(CQ1013&gt;0,CQ1013*MAX(1,AP1013/X1013),IF(BZ1013=1,IF(AP1013&lt;=0,0,CD1013*MAX(1,IF(H1013&gt;0,AP1013/H1013,1))),IF(R1013&gt;0,AQ1013/R1013,0))/MAX(0.1,N(Parameter!$M$21)))</f>
        <v>0.166666666666667</v>
      </c>
      <c r="AS1013" s="50" t="n">
        <f aca="false">AR1013*CB1013</f>
        <v>39.1666666666667</v>
      </c>
      <c r="AT1013" s="51" t="n">
        <f aca="false">IF(LEFT(Cockpit!$I$5,1)="A",H1013,IF(CH1013=1,(CK1013+CI1013)/2,IF(LEFT(Cockpit!$I$5,1)="B",(CK1013+AV1013)/2,MAX((CK1013+AV1013)/2,H1013))))</f>
        <v>12</v>
      </c>
      <c r="AU1013" s="50" t="n">
        <f aca="false">AT1013*G1013</f>
        <v>104.76</v>
      </c>
      <c r="AV1013" s="50" t="n">
        <f aca="false">ROUNDUP(CK1013+MAX(CL1013,2*(J1013/IF(CG1013&gt;0,CG1013,MAX(0.1,N(Cockpit!$I$6)))-CK1013)),0)</f>
        <v>22</v>
      </c>
      <c r="AW1013" s="51" t="n">
        <f aca="false">IF(AS1013&gt;0,J1013/AS1013,-1)</f>
        <v>0.510638297872341</v>
      </c>
      <c r="AX1013" s="51" t="n">
        <f aca="false">IF(AND(OR(CF1013="L1",CF1013="L23",CF1013="LIFT"),AS1013&gt;0),SUMIFS($AS$7:$AS$1843,$CF$7:$CF$1843,CF1013,$AW$7:$AW$1843,"&gt;"&amp;AW1013)+SUMIFS($AS$7:$AS$1843,$CF$7:$CF$1843,CF1013,$AW$7:$AW$1843,AW1013,$BW$7:$BW$1843,"&lt;="&amp;BW1013),"")</f>
        <v>11970.0393772894</v>
      </c>
      <c r="AY1013" s="58" t="n">
        <f aca="false">IF(AX1013="",0,MAX(0,MIN(1,(IF(CF1013="L1",Parameter!$H$5,IF(CF1013="L23",Parameter!$H$6+Parameter!$H$7,Parameter!$H$5+Parameter!$H$6+Parameter!$H$7))-(AX1013-AS1013))/AS1013)))</f>
        <v>1</v>
      </c>
      <c r="AZ1013" s="50" t="n">
        <f aca="false">IF(LEFT(Cockpit!$O$5,1)="A",H1013,IF(Parameter!$E$30="MAX-Bestand",IF(CH1013=1,CI1013,IF(LEFT(Cockpit!$O$5,1)="B",BF1013,MAX(BF1013,H1013))),ROUNDUP(BD1013,0)))</f>
        <v>12</v>
      </c>
      <c r="BA1013" s="50" t="n">
        <f aca="false">IF(BZ1013=1,0,ROUNDUP(AZ1013/BY1013,0))</f>
        <v>1</v>
      </c>
      <c r="BB1013" s="52" t="n">
        <f aca="false">IF(CQ1013&gt;0,CQ1013*MAX(1,AZ1013/X1013),IF(BZ1013=1,IF(AZ1013&lt;=0,0,CD1013*MAX(1,IF(H1013&gt;0,AZ1013/H1013,1))),IF(R1013&gt;0,BA1013/R1013,0))/MAX(0.1,N(Parameter!$M$21)))</f>
        <v>0.166666666666667</v>
      </c>
      <c r="BC1013" s="50" t="n">
        <f aca="false">BB1013*CB1013</f>
        <v>39.1666666666667</v>
      </c>
      <c r="BD1013" s="51" t="n">
        <f aca="false">IF(LEFT(Cockpit!$O$5,1)="A",H1013,IF(CH1013=1,(CK1013+CI1013)/2,IF(LEFT(Cockpit!$O$5,1)="B",(CK1013+BF1013)/2,MAX((CK1013+BF1013)/2,H1013))))</f>
        <v>12</v>
      </c>
      <c r="BE1013" s="50" t="n">
        <f aca="false">BD1013*G1013</f>
        <v>104.76</v>
      </c>
      <c r="BF1013" s="50" t="n">
        <f aca="false">ROUNDUP(CK1013+MAX(CL1013,2*(J1013/IF(CG1013&gt;0,CG1013,MAX(0.1,N(Cockpit!$O$6)))-CK1013)),0)</f>
        <v>22</v>
      </c>
      <c r="BG1013" s="51" t="n">
        <f aca="false">IF(BC1013&gt;0,J1013/BC1013,-1)</f>
        <v>0.510638297872341</v>
      </c>
      <c r="BH1013" s="51" t="n">
        <f aca="false">IF(AND(OR(CF1013="L1",CF1013="L23",CF1013="LIFT"),BC1013&gt;0),SUMIFS($BC$7:$BC$1843,$CF$7:$CF$1843,CF1013,$BG$7:$BG$1843,"&gt;"&amp;BG1013)+SUMIFS($BC$7:$BC$1843,$CF$7:$CF$1843,CF1013,$BG$7:$BG$1843,BG1013,$BW$7:$BW$1843,"&lt;="&amp;BW1013),"")</f>
        <v>10333.4555860806</v>
      </c>
      <c r="BI1013" s="58" t="n">
        <f aca="false">IF(BH1013="",0,MAX(0,MIN(1,(IF(CF1013="L1",Parameter!$H$5,IF(CF1013="L23",Parameter!$H$6+Parameter!$H$7,Parameter!$H$5+Parameter!$H$6+Parameter!$H$7))-(BH1013-BC1013))/BC1013)))</f>
        <v>1</v>
      </c>
      <c r="BJ1013" s="48" t="str">
        <f aca="false">IF(AI1013&lt;=0,"",IF(CF1013="Aussen","Aussenlager",IF(CF1013="-","Nicht im Lift",IF(AO1013&gt;=1,"Lift",IF(AO1013&lt;=0,"Aussenlager","teilweise")))))</f>
        <v>Lift</v>
      </c>
      <c r="BK1013" s="48" t="str">
        <f aca="false">IF(AS1013&lt;=0,"",IF(CF1013="Aussen","Aussenlager",IF(CF1013="-","Nicht im Lift",IF(AY1013&gt;=1,"Lift",IF(AY1013&lt;=0,"Aussenlager","teilweise")))))</f>
        <v>Lift</v>
      </c>
      <c r="BL1013" s="48" t="str">
        <f aca="false">IF(BC1013&lt;=0,"",IF(CF1013="Aussen","Aussenlager",IF(CF1013="-","Nicht im Lift",IF(BI1013&gt;=1,"Lift",IF(BI1013&lt;=0,"Aussenlager","teilweise")))))</f>
        <v>Lift</v>
      </c>
      <c r="BM1013" s="48" t="str">
        <f aca="false">IF(A1013="","",IF(BV1013=1,"Neu; ","")&amp;IF(AND(BV1013=0,BQ1013&lt;0),"negativer Bestand (Export "&amp;BQ1013&amp;"); ","")&amp;IF(J1013&lt;=0,"Kein Verbrauch; ","")&amp;IF(CQ1013&gt;0,"Lift "&amp;W1013&amp;" lt. Liftbericht (Fach "&amp;X1013&amp;" Stk); ",IF(CA1013=1,"Gebinde geschätzt ("&amp;T1013&amp;"); ",IF(BZ1013=1,"Lose – Tablare geschätzt; ","")))&amp;IF(H1013&gt;AV1013,"Überbestand "&amp;ROUND(H1013-AV1013,0)&amp;" Stk / CHF "&amp;ROUND((H1013-AV1013)*G1013,0)&amp;"; ","")&amp;IF(AND(CH1013=1,CI1013&lt;CJ1013),"MAX &lt; MB+LG; ","")&amp;IF(AND(CP1013&gt;0,CO1013*10&gt;CP1013),"zu hoch für Tablar; ","")&amp;IF(AND(BV1013=0,OR(CH1013=1,AA1013&lt;&gt;"",U1013&lt;&gt;"",V1013&lt;&gt;"",AB1013&lt;&gt;"")),"manuell übersteuert; ","")&amp;IF(AND(BZ1013=0,R1013=0),"Gebinde unbekannt / Stellmass fehlt; ","")&amp;IF(AND(BZ1013=0,N(V1013)&lt;=0,N(Q1013)&lt;=0),"Menge pro Gebinde fehlt (Ist = 1 Gebinde); ","")&amp;BU1013)</f>
        <v>negativer Bestand (Export -6); </v>
      </c>
      <c r="BN1013" s="48"/>
      <c r="BO1013" s="48"/>
      <c r="BP1013" s="55"/>
      <c r="BQ1013" s="50" t="n">
        <v>-6</v>
      </c>
      <c r="BR1013" s="50" t="n">
        <v>16</v>
      </c>
      <c r="BS1013" s="49" t="n">
        <v>-111.58</v>
      </c>
      <c r="BT1013" s="50" t="n">
        <v>20</v>
      </c>
      <c r="BU1013" s="48"/>
      <c r="BV1013" s="53" t="n">
        <v>0</v>
      </c>
      <c r="BW1013" s="53" t="n">
        <v>1013</v>
      </c>
      <c r="BX1013" s="48" t="str">
        <f aca="false">IF(U1013&lt;&gt;"",UPPER(TRIM(U1013)),IF(CA1013=1,UPPER(VLOOKUP(T1013,Parameter!$I$27:$K$29,2,0)),IF(P1013="","LOSE",P1013)))</f>
        <v>S71</v>
      </c>
      <c r="BY1013" s="50" t="n">
        <f aca="false">IF(BX1013="LOSE",1,IF(N(V1013)&gt;0,V1013,IF(CA1013=1,MAX(1,N(VLOOKUP(T1013,Parameter!$I$27:$K$29,3,0)),H1013,N(N1013)),IF(N(Q1013)&gt;0,Q1013,MAX(1,H1013)))))</f>
        <v>24</v>
      </c>
      <c r="BZ1013" s="53" t="n">
        <f aca="false">IF(BX1013="LOSE",1,0)</f>
        <v>0</v>
      </c>
      <c r="CA1013" s="53" t="n">
        <f aca="false">IF(AND(U1013="",OR(P1013="",P1013="LOSE"),T1013&lt;&gt;"",N(S1013)&lt;=0,ISNUMBER(MATCH(T1013,Parameter!$I$27:$I$29,0))),1,0)</f>
        <v>0</v>
      </c>
      <c r="CB1013" s="53" t="n">
        <f aca="false">IF(CQ1013&gt;0,INDEX(Parameter!$H$5:$H$7,W1013)/INDEX(Parameter!$E$5:$E$7,W1013),IF(AND(BZ1013=0,N(IFERROR(VLOOKUP(BX1013,'Gebinde-Kategorie'!$A$5:$N$45,14,0),0))&gt;0),VLOOKUP(BX1013,'Gebinde-Kategorie'!$A$5:$N$45,14,0)*10+Parameter!$M$23,Parameter!$M$24))</f>
        <v>235</v>
      </c>
      <c r="CC1013" s="48" t="str">
        <f aca="false">IF(AND(Parameter!$B$19="Ja",E1013&lt;&gt;"",ISNUMBER(MATCH(E1013,Parameter!$I$35:$I$52,0))),VLOOKUP(E1013,Parameter!$I$35:$J$52,2,0),IFERROR(VLOOKUP(D1013,Parameter!$A$35:$C$64,2,0),"Nein"))</f>
        <v>2+3</v>
      </c>
      <c r="CD1013" s="52" t="n">
        <f aca="false">IF(BZ1013=0,0,IF(N(S1013)&gt;0,S1013,IFERROR(VLOOKUP(D1013,Parameter!$A$35:$C$64,3,0)+0,0)))</f>
        <v>0</v>
      </c>
      <c r="CE1013" s="48" t="n">
        <f aca="false">IF(AA1013&lt;&gt;"",AA1013,Z1013)</f>
        <v>2</v>
      </c>
      <c r="CF1013" s="48" t="str">
        <f aca="false">IF(OR(CE1013=1,CE1013=2,CE1013=3),IF(Parameter!$E$27="Ja","LIFT",IF(CE1013=1,"L1","L23")),IF(CE1013="Aussen","Aussen","-"))</f>
        <v>LIFT</v>
      </c>
      <c r="CG1013" s="59" t="n">
        <f aca="false">IF(N(AB1013)&gt;0,AB1013,0)</f>
        <v>0</v>
      </c>
      <c r="CH1013" s="53" t="n">
        <f aca="false">IF(ISNUMBER(AE1013),1,0)</f>
        <v>0</v>
      </c>
      <c r="CI1013" s="50" t="n">
        <f aca="false">N(AE1013)</f>
        <v>0</v>
      </c>
      <c r="CJ1013" s="50" t="n">
        <f aca="false">N(M1013)+N(N1013)</f>
        <v>22</v>
      </c>
      <c r="CK1013" s="50" t="n">
        <f aca="false">N(M1013)</f>
        <v>2</v>
      </c>
      <c r="CL1013" s="50" t="n">
        <f aca="false">N(N1013)</f>
        <v>20</v>
      </c>
      <c r="CM1013" s="50" t="n">
        <f aca="false">ROUNDUP(H1013/BY1013,0)</f>
        <v>1</v>
      </c>
      <c r="CN1013" s="50" t="n">
        <f aca="false">ROUNDUP(CI1013/BY1013,0)</f>
        <v>0</v>
      </c>
      <c r="CO1013" s="53" t="n">
        <f aca="false">IF(BZ1013=1,0,IFERROR(VLOOKUP(BX1013,'Gebinde-Kategorie'!$A$5:$N$45,5,0)+0,0))</f>
        <v>20</v>
      </c>
      <c r="CP1013" s="53" t="n">
        <f aca="false">IFERROR(IF(OR(CE1013=1,CE1013=2,CE1013=3),N(INDEX(Parameter!$I$5:$I$7,CE1013)),0),0)</f>
        <v>0</v>
      </c>
      <c r="CQ1013" s="52" t="n">
        <f aca="false">IF(AND(Parameter!$B$21="Ja",ISNUMBER(W1013),N(X1013)&gt;0),IFERROR(N(INDEX(Parameter!$L$5:$L$7,W1013))*INDEX(Parameter!$E$5:$E$7,W1013)*X1013/SUMIFS($X$7:$X$1843,$W$7:$W$1843,W1013),0),0)</f>
        <v>0</v>
      </c>
    </row>
    <row r="1014" customFormat="false" ht="15" hidden="false" customHeight="false" outlineLevel="0" collapsed="false">
      <c r="A1014" s="48" t="s">
        <v>1876</v>
      </c>
      <c r="B1014" s="48" t="s">
        <v>1877</v>
      </c>
      <c r="C1014" s="48" t="s">
        <v>173</v>
      </c>
      <c r="D1014" s="48" t="s">
        <v>193</v>
      </c>
      <c r="E1014" s="48" t="s">
        <v>194</v>
      </c>
      <c r="F1014" s="48" t="s">
        <v>227</v>
      </c>
      <c r="G1014" s="49" t="n">
        <v>112.6</v>
      </c>
      <c r="H1014" s="50" t="n">
        <f aca="false">MAX(0,IF(AND(Parameter!$B$21="Ja",ISNUMBER(Y1014)),Y1014,IF(Parameter!$B$20="Jahresanfang 2025 + Export",BR1014+BQ1014,BQ1014)))</f>
        <v>7</v>
      </c>
      <c r="I1014" s="50" t="n">
        <f aca="false">H1014*G1014</f>
        <v>788.2</v>
      </c>
      <c r="J1014" s="50" t="n">
        <f aca="false">BT1014*Parameter!$B$18</f>
        <v>0</v>
      </c>
      <c r="K1014" s="51" t="n">
        <v>8</v>
      </c>
      <c r="L1014" s="52" t="n">
        <v>0</v>
      </c>
      <c r="M1014" s="50" t="n">
        <v>0</v>
      </c>
      <c r="N1014" s="50" t="n">
        <v>1</v>
      </c>
      <c r="O1014" s="53" t="n">
        <v>56</v>
      </c>
      <c r="P1014" s="48" t="s">
        <v>337</v>
      </c>
      <c r="Q1014" s="50" t="n">
        <v>8</v>
      </c>
      <c r="R1014" s="53" t="n">
        <f aca="false">IF(BZ1014=1,0,IFERROR(VLOOKUP(BX1014,'Gebinde-Kategorie'!$A$5:$N$45,13,0)+0,0))</f>
        <v>52</v>
      </c>
      <c r="S1014" s="54"/>
      <c r="T1014" s="55"/>
      <c r="U1014" s="55"/>
      <c r="V1014" s="55"/>
      <c r="W1014" s="48"/>
      <c r="X1014" s="50"/>
      <c r="Y1014" s="50"/>
      <c r="Z1014" s="48" t="n">
        <f aca="false">IF(A1014="","",IF(AND(Parameter!$B$21="Ja",ISNUMBER(W1014)),W1014,IF(CC1014="2+3",IF(ISNUMBER(SEARCH("grosser Artikel",BU1014)),2,IFERROR(VLOOKUP(BX1014,Parameter!$F$35:$G$64,2,0),2)),IF(OR(CC1014="Nein",CC1014=""),"-",CC1014))))</f>
        <v>3</v>
      </c>
      <c r="AA1014" s="55"/>
      <c r="AB1014" s="56"/>
      <c r="AC1014" s="50" t="n">
        <f aca="false">AV1014</f>
        <v>1</v>
      </c>
      <c r="AD1014" s="50" t="n">
        <f aca="false">MAX(AV1014,H1014)</f>
        <v>7</v>
      </c>
      <c r="AE1014" s="57"/>
      <c r="AF1014" s="50" t="n">
        <f aca="false">IF(LEFT(Cockpit!$C$5,1)="A",H1014,IF(Parameter!$E$30="MAX-Bestand",IF(CH1014=1,CI1014,IF(LEFT(Cockpit!$C$5,1)="B",AL1014,MAX(AL1014,H1014))),ROUNDUP(AJ1014,0)))</f>
        <v>7</v>
      </c>
      <c r="AG1014" s="50" t="n">
        <f aca="false">IF(BZ1014=1,0,ROUNDUP(AF1014/BY1014,0))</f>
        <v>1</v>
      </c>
      <c r="AH1014" s="52" t="n">
        <f aca="false">IF(CQ1014&gt;0,CQ1014*MAX(1,AF1014/X1014),IF(BZ1014=1,IF(AF1014&lt;=0,0,CD1014*MAX(1,IF(H1014&gt;0,AF1014/H1014,1))),IF(R1014&gt;0,AG1014/R1014,0))/MAX(0.1,N(Parameter!$M$21)))</f>
        <v>0.0192307692307692</v>
      </c>
      <c r="AI1014" s="50" t="n">
        <f aca="false">AH1014*CB1014</f>
        <v>2.98076923076923</v>
      </c>
      <c r="AJ1014" s="51" t="n">
        <f aca="false">IF(LEFT(Cockpit!$C$5,1)="A",H1014,IF(CH1014=1,(CK1014+CI1014)/2,IF(LEFT(Cockpit!$C$5,1)="B",(CK1014+AL1014)/2,MAX((CK1014+AL1014)/2,H1014))))</f>
        <v>7</v>
      </c>
      <c r="AK1014" s="50" t="n">
        <f aca="false">AJ1014*G1014</f>
        <v>788.2</v>
      </c>
      <c r="AL1014" s="50" t="n">
        <f aca="false">ROUNDUP(CK1014+MAX(CL1014,2*(J1014/IF(CG1014&gt;0,CG1014,MAX(0.1,N(Cockpit!$C$6)))-CK1014)),0)</f>
        <v>1</v>
      </c>
      <c r="AM1014" s="51" t="n">
        <f aca="false">IF(AI1014&gt;0,J1014/AI1014,-1)</f>
        <v>0</v>
      </c>
      <c r="AN1014" s="51" t="n">
        <f aca="false">IF(AND(OR(CF1014="L1",CF1014="L23",CF1014="LIFT"),AI1014&gt;0),SUMIFS($AI$7:$AI$1843,$CF$7:$CF$1843,CF1014,$AM$7:$AM$1843,"&gt;"&amp;AM1014)+SUMIFS($AI$7:$AI$1843,$CF$7:$CF$1843,CF1014,$AM$7:$AM$1843,AM1014,$BW$7:$BW$1843,"&lt;="&amp;BW1014),"")</f>
        <v>28994.5569447031</v>
      </c>
      <c r="AO1014" s="58" t="n">
        <f aca="false">IF(AN1014="",0,MAX(0,MIN(1,(IF(CF1014="L1",Parameter!$H$5,IF(CF1014="L23",Parameter!$H$6+Parameter!$H$7,Parameter!$H$5+Parameter!$H$6+Parameter!$H$7))-(AN1014-AI1014))/AI1014)))</f>
        <v>1</v>
      </c>
      <c r="AP1014" s="50" t="n">
        <f aca="false">IF(LEFT(Cockpit!$I$5,1)="A",H1014,IF(Parameter!$E$30="MAX-Bestand",IF(CH1014=1,CI1014,IF(LEFT(Cockpit!$I$5,1)="B",AV1014,MAX(AV1014,H1014))),ROUNDUP(AT1014,0)))</f>
        <v>7</v>
      </c>
      <c r="AQ1014" s="50" t="n">
        <f aca="false">IF(BZ1014=1,0,ROUNDUP(AP1014/BY1014,0))</f>
        <v>1</v>
      </c>
      <c r="AR1014" s="52" t="n">
        <f aca="false">IF(CQ1014&gt;0,CQ1014*MAX(1,AP1014/X1014),IF(BZ1014=1,IF(AP1014&lt;=0,0,CD1014*MAX(1,IF(H1014&gt;0,AP1014/H1014,1))),IF(R1014&gt;0,AQ1014/R1014,0))/MAX(0.1,N(Parameter!$M$21)))</f>
        <v>0.0192307692307692</v>
      </c>
      <c r="AS1014" s="50" t="n">
        <f aca="false">AR1014*CB1014</f>
        <v>2.98076923076923</v>
      </c>
      <c r="AT1014" s="51" t="n">
        <f aca="false">IF(LEFT(Cockpit!$I$5,1)="A",H1014,IF(CH1014=1,(CK1014+CI1014)/2,IF(LEFT(Cockpit!$I$5,1)="B",(CK1014+AV1014)/2,MAX((CK1014+AV1014)/2,H1014))))</f>
        <v>7</v>
      </c>
      <c r="AU1014" s="50" t="n">
        <f aca="false">AT1014*G1014</f>
        <v>788.2</v>
      </c>
      <c r="AV1014" s="50" t="n">
        <f aca="false">ROUNDUP(CK1014+MAX(CL1014,2*(J1014/IF(CG1014&gt;0,CG1014,MAX(0.1,N(Cockpit!$I$6)))-CK1014)),0)</f>
        <v>1</v>
      </c>
      <c r="AW1014" s="51" t="n">
        <f aca="false">IF(AS1014&gt;0,J1014/AS1014,-1)</f>
        <v>0</v>
      </c>
      <c r="AX1014" s="51" t="n">
        <f aca="false">IF(AND(OR(CF1014="L1",CF1014="L23",CF1014="LIFT"),AS1014&gt;0),SUMIFS($AS$7:$AS$1843,$CF$7:$CF$1843,CF1014,$AW$7:$AW$1843,"&gt;"&amp;AW1014)+SUMIFS($AS$7:$AS$1843,$CF$7:$CF$1843,CF1014,$AW$7:$AW$1843,AW1014,$BW$7:$BW$1843,"&lt;="&amp;BW1014),"")</f>
        <v>34695.4386446886</v>
      </c>
      <c r="AY1014" s="58" t="n">
        <f aca="false">IF(AX1014="",0,MAX(0,MIN(1,(IF(CF1014="L1",Parameter!$H$5,IF(CF1014="L23",Parameter!$H$6+Parameter!$H$7,Parameter!$H$5+Parameter!$H$6+Parameter!$H$7))-(AX1014-AS1014))/AS1014)))</f>
        <v>1</v>
      </c>
      <c r="AZ1014" s="50" t="n">
        <f aca="false">IF(LEFT(Cockpit!$O$5,1)="A",H1014,IF(Parameter!$E$30="MAX-Bestand",IF(CH1014=1,CI1014,IF(LEFT(Cockpit!$O$5,1)="B",BF1014,MAX(BF1014,H1014))),ROUNDUP(BD1014,0)))</f>
        <v>1</v>
      </c>
      <c r="BA1014" s="50" t="n">
        <f aca="false">IF(BZ1014=1,0,ROUNDUP(AZ1014/BY1014,0))</f>
        <v>1</v>
      </c>
      <c r="BB1014" s="52" t="n">
        <f aca="false">IF(CQ1014&gt;0,CQ1014*MAX(1,AZ1014/X1014),IF(BZ1014=1,IF(AZ1014&lt;=0,0,CD1014*MAX(1,IF(H1014&gt;0,AZ1014/H1014,1))),IF(R1014&gt;0,BA1014/R1014,0))/MAX(0.1,N(Parameter!$M$21)))</f>
        <v>0.0192307692307692</v>
      </c>
      <c r="BC1014" s="50" t="n">
        <f aca="false">BB1014*CB1014</f>
        <v>2.98076923076923</v>
      </c>
      <c r="BD1014" s="51" t="n">
        <f aca="false">IF(LEFT(Cockpit!$O$5,1)="A",H1014,IF(CH1014=1,(CK1014+CI1014)/2,IF(LEFT(Cockpit!$O$5,1)="B",(CK1014+BF1014)/2,MAX((CK1014+BF1014)/2,H1014))))</f>
        <v>0.5</v>
      </c>
      <c r="BE1014" s="50" t="n">
        <f aca="false">BD1014*G1014</f>
        <v>56.3</v>
      </c>
      <c r="BF1014" s="50" t="n">
        <f aca="false">ROUNDUP(CK1014+MAX(CL1014,2*(J1014/IF(CG1014&gt;0,CG1014,MAX(0.1,N(Cockpit!$O$6)))-CK1014)),0)</f>
        <v>1</v>
      </c>
      <c r="BG1014" s="51" t="n">
        <f aca="false">IF(BC1014&gt;0,J1014/BC1014,-1)</f>
        <v>0</v>
      </c>
      <c r="BH1014" s="51" t="n">
        <f aca="false">IF(AND(OR(CF1014="L1",CF1014="L23",CF1014="LIFT"),BC1014&gt;0),SUMIFS($BC$7:$BC$1843,$CF$7:$CF$1843,CF1014,$BG$7:$BG$1843,"&gt;"&amp;BG1014)+SUMIFS($BC$7:$BC$1843,$CF$7:$CF$1843,CF1014,$BG$7:$BG$1843,BG1014,$BW$7:$BW$1843,"&lt;="&amp;BW1014),"")</f>
        <v>28710.5529971441</v>
      </c>
      <c r="BI1014" s="58" t="n">
        <f aca="false">IF(BH1014="",0,MAX(0,MIN(1,(IF(CF1014="L1",Parameter!$H$5,IF(CF1014="L23",Parameter!$H$6+Parameter!$H$7,Parameter!$H$5+Parameter!$H$6+Parameter!$H$7))-(BH1014-BC1014))/BC1014)))</f>
        <v>1</v>
      </c>
      <c r="BJ1014" s="48" t="str">
        <f aca="false">IF(AI1014&lt;=0,"",IF(CF1014="Aussen","Aussenlager",IF(CF1014="-","Nicht im Lift",IF(AO1014&gt;=1,"Lift",IF(AO1014&lt;=0,"Aussenlager","teilweise")))))</f>
        <v>Lift</v>
      </c>
      <c r="BK1014" s="48" t="str">
        <f aca="false">IF(AS1014&lt;=0,"",IF(CF1014="Aussen","Aussenlager",IF(CF1014="-","Nicht im Lift",IF(AY1014&gt;=1,"Lift",IF(AY1014&lt;=0,"Aussenlager","teilweise")))))</f>
        <v>Lift</v>
      </c>
      <c r="BL1014" s="48" t="str">
        <f aca="false">IF(BC1014&lt;=0,"",IF(CF1014="Aussen","Aussenlager",IF(CF1014="-","Nicht im Lift",IF(BI1014&gt;=1,"Lift",IF(BI1014&lt;=0,"Aussenlager","teilweise")))))</f>
        <v>Lift</v>
      </c>
      <c r="BM1014" s="48" t="str">
        <f aca="false">IF(A1014="","",IF(BV1014=1,"Neu; ","")&amp;IF(AND(BV1014=0,BQ1014&lt;0),"negativer Bestand (Export "&amp;BQ1014&amp;"); ","")&amp;IF(J1014&lt;=0,"Kein Verbrauch; ","")&amp;IF(CQ1014&gt;0,"Lift "&amp;W1014&amp;" lt. Liftbericht (Fach "&amp;X1014&amp;" Stk); ",IF(CA1014=1,"Gebinde geschätzt ("&amp;T1014&amp;"); ",IF(BZ1014=1,"Lose – Tablare geschätzt; ","")))&amp;IF(H1014&gt;AV1014,"Überbestand "&amp;ROUND(H1014-AV1014,0)&amp;" Stk / CHF "&amp;ROUND((H1014-AV1014)*G1014,0)&amp;"; ","")&amp;IF(AND(CH1014=1,CI1014&lt;CJ1014),"MAX &lt; MB+LG; ","")&amp;IF(AND(CP1014&gt;0,CO1014*10&gt;CP1014),"zu hoch für Tablar; ","")&amp;IF(AND(BV1014=0,OR(CH1014=1,AA1014&lt;&gt;"",U1014&lt;&gt;"",V1014&lt;&gt;"",AB1014&lt;&gt;"")),"manuell übersteuert; ","")&amp;IF(AND(BZ1014=0,R1014=0),"Gebinde unbekannt / Stellmass fehlt; ","")&amp;IF(AND(BZ1014=0,N(V1014)&lt;=0,N(Q1014)&lt;=0),"Menge pro Gebinde fehlt (Ist = 1 Gebinde); ","")&amp;BU1014)</f>
        <v>negativer Bestand (Export -1); Kein Verbrauch; Überbestand 6 Stk / CHF 676; Überbestand</v>
      </c>
      <c r="BN1014" s="48"/>
      <c r="BO1014" s="48"/>
      <c r="BP1014" s="55"/>
      <c r="BQ1014" s="50" t="n">
        <v>-1</v>
      </c>
      <c r="BR1014" s="50" t="n">
        <v>8</v>
      </c>
      <c r="BS1014" s="49" t="n">
        <v>-112.6</v>
      </c>
      <c r="BT1014" s="50" t="n">
        <v>0</v>
      </c>
      <c r="BU1014" s="48" t="s">
        <v>401</v>
      </c>
      <c r="BV1014" s="53" t="n">
        <v>0</v>
      </c>
      <c r="BW1014" s="53" t="n">
        <v>1014</v>
      </c>
      <c r="BX1014" s="48" t="str">
        <f aca="false">IF(U1014&lt;&gt;"",UPPER(TRIM(U1014)),IF(CA1014=1,UPPER(VLOOKUP(T1014,Parameter!$I$27:$K$29,2,0)),IF(P1014="","LOSE",P1014)))</f>
        <v>S41</v>
      </c>
      <c r="BY1014" s="50" t="n">
        <f aca="false">IF(BX1014="LOSE",1,IF(N(V1014)&gt;0,V1014,IF(CA1014=1,MAX(1,N(VLOOKUP(T1014,Parameter!$I$27:$K$29,3,0)),H1014,N(N1014)),IF(N(Q1014)&gt;0,Q1014,MAX(1,H1014)))))</f>
        <v>8</v>
      </c>
      <c r="BZ1014" s="53" t="n">
        <f aca="false">IF(BX1014="LOSE",1,0)</f>
        <v>0</v>
      </c>
      <c r="CA1014" s="53" t="n">
        <f aca="false">IF(AND(U1014="",OR(P1014="",P1014="LOSE"),T1014&lt;&gt;"",N(S1014)&lt;=0,ISNUMBER(MATCH(T1014,Parameter!$I$27:$I$29,0))),1,0)</f>
        <v>0</v>
      </c>
      <c r="CB1014" s="53" t="n">
        <f aca="false">IF(CQ1014&gt;0,INDEX(Parameter!$H$5:$H$7,W1014)/INDEX(Parameter!$E$5:$E$7,W1014),IF(AND(BZ1014=0,N(IFERROR(VLOOKUP(BX1014,'Gebinde-Kategorie'!$A$5:$N$45,14,0),0))&gt;0),VLOOKUP(BX1014,'Gebinde-Kategorie'!$A$5:$N$45,14,0)*10+Parameter!$M$23,Parameter!$M$24))</f>
        <v>155</v>
      </c>
      <c r="CC1014" s="48" t="str">
        <f aca="false">IF(AND(Parameter!$B$19="Ja",E1014&lt;&gt;"",ISNUMBER(MATCH(E1014,Parameter!$I$35:$I$52,0))),VLOOKUP(E1014,Parameter!$I$35:$J$52,2,0),IFERROR(VLOOKUP(D1014,Parameter!$A$35:$C$64,2,0),"Nein"))</f>
        <v>2+3</v>
      </c>
      <c r="CD1014" s="52" t="n">
        <f aca="false">IF(BZ1014=0,0,IF(N(S1014)&gt;0,S1014,IFERROR(VLOOKUP(D1014,Parameter!$A$35:$C$64,3,0)+0,0)))</f>
        <v>0</v>
      </c>
      <c r="CE1014" s="48" t="n">
        <f aca="false">IF(AA1014&lt;&gt;"",AA1014,Z1014)</f>
        <v>3</v>
      </c>
      <c r="CF1014" s="48" t="str">
        <f aca="false">IF(OR(CE1014=1,CE1014=2,CE1014=3),IF(Parameter!$E$27="Ja","LIFT",IF(CE1014=1,"L1","L23")),IF(CE1014="Aussen","Aussen","-"))</f>
        <v>LIFT</v>
      </c>
      <c r="CG1014" s="59" t="n">
        <f aca="false">IF(N(AB1014)&gt;0,AB1014,0)</f>
        <v>0</v>
      </c>
      <c r="CH1014" s="53" t="n">
        <f aca="false">IF(ISNUMBER(AE1014),1,0)</f>
        <v>0</v>
      </c>
      <c r="CI1014" s="50" t="n">
        <f aca="false">N(AE1014)</f>
        <v>0</v>
      </c>
      <c r="CJ1014" s="50" t="n">
        <f aca="false">N(M1014)+N(N1014)</f>
        <v>1</v>
      </c>
      <c r="CK1014" s="50" t="n">
        <f aca="false">N(M1014)</f>
        <v>0</v>
      </c>
      <c r="CL1014" s="50" t="n">
        <f aca="false">N(N1014)</f>
        <v>1</v>
      </c>
      <c r="CM1014" s="50" t="n">
        <f aca="false">ROUNDUP(H1014/BY1014,0)</f>
        <v>1</v>
      </c>
      <c r="CN1014" s="50" t="n">
        <f aca="false">ROUNDUP(CI1014/BY1014,0)</f>
        <v>0</v>
      </c>
      <c r="CO1014" s="53" t="n">
        <f aca="false">IF(BZ1014=1,0,IFERROR(VLOOKUP(BX1014,'Gebinde-Kategorie'!$A$5:$N$45,5,0)+0,0))</f>
        <v>11</v>
      </c>
      <c r="CP1014" s="53" t="n">
        <f aca="false">IFERROR(IF(OR(CE1014=1,CE1014=2,CE1014=3),N(INDEX(Parameter!$I$5:$I$7,CE1014)),0),0)</f>
        <v>0</v>
      </c>
      <c r="CQ1014" s="52" t="n">
        <f aca="false">IF(AND(Parameter!$B$21="Ja",ISNUMBER(W1014),N(X1014)&gt;0),IFERROR(N(INDEX(Parameter!$L$5:$L$7,W1014))*INDEX(Parameter!$E$5:$E$7,W1014)*X1014/SUMIFS($X$7:$X$1843,$W$7:$W$1843,W1014),0),0)</f>
        <v>0</v>
      </c>
    </row>
    <row r="1015" customFormat="false" ht="15" hidden="false" customHeight="false" outlineLevel="0" collapsed="false">
      <c r="A1015" s="48" t="s">
        <v>1878</v>
      </c>
      <c r="B1015" s="48" t="s">
        <v>992</v>
      </c>
      <c r="C1015" s="48" t="s">
        <v>173</v>
      </c>
      <c r="D1015" s="48" t="s">
        <v>193</v>
      </c>
      <c r="E1015" s="48"/>
      <c r="F1015" s="48" t="s">
        <v>227</v>
      </c>
      <c r="G1015" s="49" t="n">
        <v>37.57</v>
      </c>
      <c r="H1015" s="50" t="n">
        <f aca="false">MAX(0,IF(AND(Parameter!$B$21="Ja",ISNUMBER(Y1015)),Y1015,IF(Parameter!$B$20="Jahresanfang 2025 + Export",BR1015+BQ1015,BQ1015)))</f>
        <v>9</v>
      </c>
      <c r="I1015" s="50" t="n">
        <f aca="false">H1015*G1015</f>
        <v>338.13</v>
      </c>
      <c r="J1015" s="50" t="n">
        <f aca="false">BT1015*Parameter!$B$18</f>
        <v>0</v>
      </c>
      <c r="K1015" s="51" t="n">
        <v>10.5</v>
      </c>
      <c r="L1015" s="52" t="n">
        <v>0</v>
      </c>
      <c r="M1015" s="50" t="n">
        <v>0</v>
      </c>
      <c r="N1015" s="50" t="n">
        <v>1</v>
      </c>
      <c r="O1015" s="53" t="n">
        <v>14</v>
      </c>
      <c r="P1015" s="48" t="s">
        <v>195</v>
      </c>
      <c r="Q1015" s="50" t="n">
        <v>10</v>
      </c>
      <c r="R1015" s="53" t="n">
        <f aca="false">IF(BZ1015=1,0,IFERROR(VLOOKUP(BX1015,'Gebinde-Kategorie'!$A$5:$N$45,13,0)+0,0))</f>
        <v>12</v>
      </c>
      <c r="S1015" s="54"/>
      <c r="T1015" s="55"/>
      <c r="U1015" s="55"/>
      <c r="V1015" s="55"/>
      <c r="W1015" s="48"/>
      <c r="X1015" s="50"/>
      <c r="Y1015" s="50"/>
      <c r="Z1015" s="48" t="n">
        <f aca="false">IF(A1015="","",IF(AND(Parameter!$B$21="Ja",ISNUMBER(W1015)),W1015,IF(CC1015="2+3",IF(ISNUMBER(SEARCH("grosser Artikel",BU1015)),2,IFERROR(VLOOKUP(BX1015,Parameter!$F$35:$G$64,2,0),2)),IF(OR(CC1015="Nein",CC1015=""),"-",CC1015))))</f>
        <v>2</v>
      </c>
      <c r="AA1015" s="55"/>
      <c r="AB1015" s="56"/>
      <c r="AC1015" s="50" t="n">
        <f aca="false">AV1015</f>
        <v>1</v>
      </c>
      <c r="AD1015" s="50" t="n">
        <f aca="false">MAX(AV1015,H1015)</f>
        <v>9</v>
      </c>
      <c r="AE1015" s="57"/>
      <c r="AF1015" s="50" t="n">
        <f aca="false">IF(LEFT(Cockpit!$C$5,1)="A",H1015,IF(Parameter!$E$30="MAX-Bestand",IF(CH1015=1,CI1015,IF(LEFT(Cockpit!$C$5,1)="B",AL1015,MAX(AL1015,H1015))),ROUNDUP(AJ1015,0)))</f>
        <v>9</v>
      </c>
      <c r="AG1015" s="50" t="n">
        <f aca="false">IF(BZ1015=1,0,ROUNDUP(AF1015/BY1015,0))</f>
        <v>1</v>
      </c>
      <c r="AH1015" s="52" t="n">
        <f aca="false">IF(CQ1015&gt;0,CQ1015*MAX(1,AF1015/X1015),IF(BZ1015=1,IF(AF1015&lt;=0,0,CD1015*MAX(1,IF(H1015&gt;0,AF1015/H1015,1))),IF(R1015&gt;0,AG1015/R1015,0))/MAX(0.1,N(Parameter!$M$21)))</f>
        <v>0.0833333333333333</v>
      </c>
      <c r="AI1015" s="50" t="n">
        <f aca="false">AH1015*CB1015</f>
        <v>12.0833333333333</v>
      </c>
      <c r="AJ1015" s="51" t="n">
        <f aca="false">IF(LEFT(Cockpit!$C$5,1)="A",H1015,IF(CH1015=1,(CK1015+CI1015)/2,IF(LEFT(Cockpit!$C$5,1)="B",(CK1015+AL1015)/2,MAX((CK1015+AL1015)/2,H1015))))</f>
        <v>9</v>
      </c>
      <c r="AK1015" s="50" t="n">
        <f aca="false">AJ1015*G1015</f>
        <v>338.13</v>
      </c>
      <c r="AL1015" s="50" t="n">
        <f aca="false">ROUNDUP(CK1015+MAX(CL1015,2*(J1015/IF(CG1015&gt;0,CG1015,MAX(0.1,N(Cockpit!$C$6)))-CK1015)),0)</f>
        <v>1</v>
      </c>
      <c r="AM1015" s="51" t="n">
        <f aca="false">IF(AI1015&gt;0,J1015/AI1015,-1)</f>
        <v>0</v>
      </c>
      <c r="AN1015" s="51" t="n">
        <f aca="false">IF(AND(OR(CF1015="L1",CF1015="L23",CF1015="LIFT"),AI1015&gt;0),SUMIFS($AI$7:$AI$1843,$CF$7:$CF$1843,CF1015,$AM$7:$AM$1843,"&gt;"&amp;AM1015)+SUMIFS($AI$7:$AI$1843,$CF$7:$CF$1843,CF1015,$AM$7:$AM$1843,AM1015,$BW$7:$BW$1843,"&lt;="&amp;BW1015),"")</f>
        <v>29006.6402780365</v>
      </c>
      <c r="AO1015" s="58" t="n">
        <f aca="false">IF(AN1015="",0,MAX(0,MIN(1,(IF(CF1015="L1",Parameter!$H$5,IF(CF1015="L23",Parameter!$H$6+Parameter!$H$7,Parameter!$H$5+Parameter!$H$6+Parameter!$H$7))-(AN1015-AI1015))/AI1015)))</f>
        <v>1</v>
      </c>
      <c r="AP1015" s="50" t="n">
        <f aca="false">IF(LEFT(Cockpit!$I$5,1)="A",H1015,IF(Parameter!$E$30="MAX-Bestand",IF(CH1015=1,CI1015,IF(LEFT(Cockpit!$I$5,1)="B",AV1015,MAX(AV1015,H1015))),ROUNDUP(AT1015,0)))</f>
        <v>9</v>
      </c>
      <c r="AQ1015" s="50" t="n">
        <f aca="false">IF(BZ1015=1,0,ROUNDUP(AP1015/BY1015,0))</f>
        <v>1</v>
      </c>
      <c r="AR1015" s="52" t="n">
        <f aca="false">IF(CQ1015&gt;0,CQ1015*MAX(1,AP1015/X1015),IF(BZ1015=1,IF(AP1015&lt;=0,0,CD1015*MAX(1,IF(H1015&gt;0,AP1015/H1015,1))),IF(R1015&gt;0,AQ1015/R1015,0))/MAX(0.1,N(Parameter!$M$21)))</f>
        <v>0.0833333333333333</v>
      </c>
      <c r="AS1015" s="50" t="n">
        <f aca="false">AR1015*CB1015</f>
        <v>12.0833333333333</v>
      </c>
      <c r="AT1015" s="51" t="n">
        <f aca="false">IF(LEFT(Cockpit!$I$5,1)="A",H1015,IF(CH1015=1,(CK1015+CI1015)/2,IF(LEFT(Cockpit!$I$5,1)="B",(CK1015+AV1015)/2,MAX((CK1015+AV1015)/2,H1015))))</f>
        <v>9</v>
      </c>
      <c r="AU1015" s="50" t="n">
        <f aca="false">AT1015*G1015</f>
        <v>338.13</v>
      </c>
      <c r="AV1015" s="50" t="n">
        <f aca="false">ROUNDUP(CK1015+MAX(CL1015,2*(J1015/IF(CG1015&gt;0,CG1015,MAX(0.1,N(Cockpit!$I$6)))-CK1015)),0)</f>
        <v>1</v>
      </c>
      <c r="AW1015" s="51" t="n">
        <f aca="false">IF(AS1015&gt;0,J1015/AS1015,-1)</f>
        <v>0</v>
      </c>
      <c r="AX1015" s="51" t="n">
        <f aca="false">IF(AND(OR(CF1015="L1",CF1015="L23",CF1015="LIFT"),AS1015&gt;0),SUMIFS($AS$7:$AS$1843,$CF$7:$CF$1843,CF1015,$AW$7:$AW$1843,"&gt;"&amp;AW1015)+SUMIFS($AS$7:$AS$1843,$CF$7:$CF$1843,CF1015,$AW$7:$AW$1843,AW1015,$BW$7:$BW$1843,"&lt;="&amp;BW1015),"")</f>
        <v>34707.521978022</v>
      </c>
      <c r="AY1015" s="58" t="n">
        <f aca="false">IF(AX1015="",0,MAX(0,MIN(1,(IF(CF1015="L1",Parameter!$H$5,IF(CF1015="L23",Parameter!$H$6+Parameter!$H$7,Parameter!$H$5+Parameter!$H$6+Parameter!$H$7))-(AX1015-AS1015))/AS1015)))</f>
        <v>1</v>
      </c>
      <c r="AZ1015" s="50" t="n">
        <f aca="false">IF(LEFT(Cockpit!$O$5,1)="A",H1015,IF(Parameter!$E$30="MAX-Bestand",IF(CH1015=1,CI1015,IF(LEFT(Cockpit!$O$5,1)="B",BF1015,MAX(BF1015,H1015))),ROUNDUP(BD1015,0)))</f>
        <v>1</v>
      </c>
      <c r="BA1015" s="50" t="n">
        <f aca="false">IF(BZ1015=1,0,ROUNDUP(AZ1015/BY1015,0))</f>
        <v>1</v>
      </c>
      <c r="BB1015" s="52" t="n">
        <f aca="false">IF(CQ1015&gt;0,CQ1015*MAX(1,AZ1015/X1015),IF(BZ1015=1,IF(AZ1015&lt;=0,0,CD1015*MAX(1,IF(H1015&gt;0,AZ1015/H1015,1))),IF(R1015&gt;0,BA1015/R1015,0))/MAX(0.1,N(Parameter!$M$21)))</f>
        <v>0.0833333333333333</v>
      </c>
      <c r="BC1015" s="50" t="n">
        <f aca="false">BB1015*CB1015</f>
        <v>12.0833333333333</v>
      </c>
      <c r="BD1015" s="51" t="n">
        <f aca="false">IF(LEFT(Cockpit!$O$5,1)="A",H1015,IF(CH1015=1,(CK1015+CI1015)/2,IF(LEFT(Cockpit!$O$5,1)="B",(CK1015+BF1015)/2,MAX((CK1015+BF1015)/2,H1015))))</f>
        <v>0.5</v>
      </c>
      <c r="BE1015" s="50" t="n">
        <f aca="false">BD1015*G1015</f>
        <v>18.785</v>
      </c>
      <c r="BF1015" s="50" t="n">
        <f aca="false">ROUNDUP(CK1015+MAX(CL1015,2*(J1015/IF(CG1015&gt;0,CG1015,MAX(0.1,N(Cockpit!$O$6)))-CK1015)),0)</f>
        <v>1</v>
      </c>
      <c r="BG1015" s="51" t="n">
        <f aca="false">IF(BC1015&gt;0,J1015/BC1015,-1)</f>
        <v>0</v>
      </c>
      <c r="BH1015" s="51" t="n">
        <f aca="false">IF(AND(OR(CF1015="L1",CF1015="L23",CF1015="LIFT"),BC1015&gt;0),SUMIFS($BC$7:$BC$1843,$CF$7:$CF$1843,CF1015,$BG$7:$BG$1843,"&gt;"&amp;BG1015)+SUMIFS($BC$7:$BC$1843,$CF$7:$CF$1843,CF1015,$BG$7:$BG$1843,BG1015,$BW$7:$BW$1843,"&lt;="&amp;BW1015),"")</f>
        <v>28722.6363304774</v>
      </c>
      <c r="BI1015" s="58" t="n">
        <f aca="false">IF(BH1015="",0,MAX(0,MIN(1,(IF(CF1015="L1",Parameter!$H$5,IF(CF1015="L23",Parameter!$H$6+Parameter!$H$7,Parameter!$H$5+Parameter!$H$6+Parameter!$H$7))-(BH1015-BC1015))/BC1015)))</f>
        <v>1</v>
      </c>
      <c r="BJ1015" s="48" t="str">
        <f aca="false">IF(AI1015&lt;=0,"",IF(CF1015="Aussen","Aussenlager",IF(CF1015="-","Nicht im Lift",IF(AO1015&gt;=1,"Lift",IF(AO1015&lt;=0,"Aussenlager","teilweise")))))</f>
        <v>Lift</v>
      </c>
      <c r="BK1015" s="48" t="str">
        <f aca="false">IF(AS1015&lt;=0,"",IF(CF1015="Aussen","Aussenlager",IF(CF1015="-","Nicht im Lift",IF(AY1015&gt;=1,"Lift",IF(AY1015&lt;=0,"Aussenlager","teilweise")))))</f>
        <v>Lift</v>
      </c>
      <c r="BL1015" s="48" t="str">
        <f aca="false">IF(BC1015&lt;=0,"",IF(CF1015="Aussen","Aussenlager",IF(CF1015="-","Nicht im Lift",IF(BI1015&gt;=1,"Lift",IF(BI1015&lt;=0,"Aussenlager","teilweise")))))</f>
        <v>Lift</v>
      </c>
      <c r="BM1015" s="48" t="str">
        <f aca="false">IF(A1015="","",IF(BV1015=1,"Neu; ","")&amp;IF(AND(BV1015=0,BQ1015&lt;0),"negativer Bestand (Export "&amp;BQ1015&amp;"); ","")&amp;IF(J1015&lt;=0,"Kein Verbrauch; ","")&amp;IF(CQ1015&gt;0,"Lift "&amp;W1015&amp;" lt. Liftbericht (Fach "&amp;X1015&amp;" Stk); ",IF(CA1015=1,"Gebinde geschätzt ("&amp;T1015&amp;"); ",IF(BZ1015=1,"Lose – Tablare geschätzt; ","")))&amp;IF(H1015&gt;AV1015,"Überbestand "&amp;ROUND(H1015-AV1015,0)&amp;" Stk / CHF "&amp;ROUND((H1015-AV1015)*G1015,0)&amp;"; ","")&amp;IF(AND(CH1015=1,CI1015&lt;CJ1015),"MAX &lt; MB+LG; ","")&amp;IF(AND(CP1015&gt;0,CO1015*10&gt;CP1015),"zu hoch für Tablar; ","")&amp;IF(AND(BV1015=0,OR(CH1015=1,AA1015&lt;&gt;"",U1015&lt;&gt;"",V1015&lt;&gt;"",AB1015&lt;&gt;"")),"manuell übersteuert; ","")&amp;IF(AND(BZ1015=0,R1015=0),"Gebinde unbekannt / Stellmass fehlt; ","")&amp;IF(AND(BZ1015=0,N(V1015)&lt;=0,N(Q1015)&lt;=0),"Menge pro Gebinde fehlt (Ist = 1 Gebinde); ","")&amp;BU1015)</f>
        <v>negativer Bestand (Export -3); Kein Verbrauch; Überbestand 8 Stk / CHF 301; </v>
      </c>
      <c r="BN1015" s="48"/>
      <c r="BO1015" s="48"/>
      <c r="BP1015" s="55"/>
      <c r="BQ1015" s="50" t="n">
        <v>-3</v>
      </c>
      <c r="BR1015" s="50" t="n">
        <v>12</v>
      </c>
      <c r="BS1015" s="49" t="n">
        <v>-112.71</v>
      </c>
      <c r="BT1015" s="50" t="n">
        <v>0</v>
      </c>
      <c r="BU1015" s="48"/>
      <c r="BV1015" s="53" t="n">
        <v>0</v>
      </c>
      <c r="BW1015" s="53" t="n">
        <v>1015</v>
      </c>
      <c r="BX1015" s="48" t="str">
        <f aca="false">IF(U1015&lt;&gt;"",UPPER(TRIM(U1015)),IF(CA1015=1,UPPER(VLOOKUP(T1015,Parameter!$I$27:$K$29,2,0)),IF(P1015="","LOSE",P1015)))</f>
        <v>S61</v>
      </c>
      <c r="BY1015" s="50" t="n">
        <f aca="false">IF(BX1015="LOSE",1,IF(N(V1015)&gt;0,V1015,IF(CA1015=1,MAX(1,N(VLOOKUP(T1015,Parameter!$I$27:$K$29,3,0)),H1015,N(N1015)),IF(N(Q1015)&gt;0,Q1015,MAX(1,H1015)))))</f>
        <v>10</v>
      </c>
      <c r="BZ1015" s="53" t="n">
        <f aca="false">IF(BX1015="LOSE",1,0)</f>
        <v>0</v>
      </c>
      <c r="CA1015" s="53" t="n">
        <f aca="false">IF(AND(U1015="",OR(P1015="",P1015="LOSE"),T1015&lt;&gt;"",N(S1015)&lt;=0,ISNUMBER(MATCH(T1015,Parameter!$I$27:$I$29,0))),1,0)</f>
        <v>0</v>
      </c>
      <c r="CB1015" s="53" t="n">
        <f aca="false">IF(CQ1015&gt;0,INDEX(Parameter!$H$5:$H$7,W1015)/INDEX(Parameter!$E$5:$E$7,W1015),IF(AND(BZ1015=0,N(IFERROR(VLOOKUP(BX1015,'Gebinde-Kategorie'!$A$5:$N$45,14,0),0))&gt;0),VLOOKUP(BX1015,'Gebinde-Kategorie'!$A$5:$N$45,14,0)*10+Parameter!$M$23,Parameter!$M$24))</f>
        <v>145</v>
      </c>
      <c r="CC1015" s="48" t="str">
        <f aca="false">IF(AND(Parameter!$B$19="Ja",E1015&lt;&gt;"",ISNUMBER(MATCH(E1015,Parameter!$I$35:$I$52,0))),VLOOKUP(E1015,Parameter!$I$35:$J$52,2,0),IFERROR(VLOOKUP(D1015,Parameter!$A$35:$C$64,2,0),"Nein"))</f>
        <v>2+3</v>
      </c>
      <c r="CD1015" s="52" t="n">
        <f aca="false">IF(BZ1015=0,0,IF(N(S1015)&gt;0,S1015,IFERROR(VLOOKUP(D1015,Parameter!$A$35:$C$64,3,0)+0,0)))</f>
        <v>0</v>
      </c>
      <c r="CE1015" s="48" t="n">
        <f aca="false">IF(AA1015&lt;&gt;"",AA1015,Z1015)</f>
        <v>2</v>
      </c>
      <c r="CF1015" s="48" t="str">
        <f aca="false">IF(OR(CE1015=1,CE1015=2,CE1015=3),IF(Parameter!$E$27="Ja","LIFT",IF(CE1015=1,"L1","L23")),IF(CE1015="Aussen","Aussen","-"))</f>
        <v>LIFT</v>
      </c>
      <c r="CG1015" s="59" t="n">
        <f aca="false">IF(N(AB1015)&gt;0,AB1015,0)</f>
        <v>0</v>
      </c>
      <c r="CH1015" s="53" t="n">
        <f aca="false">IF(ISNUMBER(AE1015),1,0)</f>
        <v>0</v>
      </c>
      <c r="CI1015" s="50" t="n">
        <f aca="false">N(AE1015)</f>
        <v>0</v>
      </c>
      <c r="CJ1015" s="50" t="n">
        <f aca="false">N(M1015)+N(N1015)</f>
        <v>1</v>
      </c>
      <c r="CK1015" s="50" t="n">
        <f aca="false">N(M1015)</f>
        <v>0</v>
      </c>
      <c r="CL1015" s="50" t="n">
        <f aca="false">N(N1015)</f>
        <v>1</v>
      </c>
      <c r="CM1015" s="50" t="n">
        <f aca="false">ROUNDUP(H1015/BY1015,0)</f>
        <v>1</v>
      </c>
      <c r="CN1015" s="50" t="n">
        <f aca="false">ROUNDUP(CI1015/BY1015,0)</f>
        <v>0</v>
      </c>
      <c r="CO1015" s="53" t="n">
        <f aca="false">IF(BZ1015=1,0,IFERROR(VLOOKUP(BX1015,'Gebinde-Kategorie'!$A$5:$N$45,5,0)+0,0))</f>
        <v>11</v>
      </c>
      <c r="CP1015" s="53" t="n">
        <f aca="false">IFERROR(IF(OR(CE1015=1,CE1015=2,CE1015=3),N(INDEX(Parameter!$I$5:$I$7,CE1015)),0),0)</f>
        <v>0</v>
      </c>
      <c r="CQ1015" s="52" t="n">
        <f aca="false">IF(AND(Parameter!$B$21="Ja",ISNUMBER(W1015),N(X1015)&gt;0),IFERROR(N(INDEX(Parameter!$L$5:$L$7,W1015))*INDEX(Parameter!$E$5:$E$7,W1015)*X1015/SUMIFS($X$7:$X$1843,$W$7:$W$1843,W1015),0),0)</f>
        <v>0</v>
      </c>
    </row>
    <row r="1016" customFormat="false" ht="15" hidden="false" customHeight="false" outlineLevel="0" collapsed="false">
      <c r="A1016" s="48" t="s">
        <v>1879</v>
      </c>
      <c r="B1016" s="48" t="s">
        <v>1880</v>
      </c>
      <c r="C1016" s="48" t="s">
        <v>465</v>
      </c>
      <c r="D1016" s="48" t="s">
        <v>193</v>
      </c>
      <c r="E1016" s="48"/>
      <c r="F1016" s="48" t="s">
        <v>227</v>
      </c>
      <c r="G1016" s="49" t="n">
        <v>8.06</v>
      </c>
      <c r="H1016" s="50" t="n">
        <f aca="false">MAX(0,IF(AND(Parameter!$B$21="Ja",ISNUMBER(Y1016)),Y1016,IF(Parameter!$B$20="Jahresanfang 2025 + Export",BR1016+BQ1016,BQ1016)))</f>
        <v>14</v>
      </c>
      <c r="I1016" s="50" t="n">
        <f aca="false">H1016*G1016</f>
        <v>112.84</v>
      </c>
      <c r="J1016" s="50" t="n">
        <f aca="false">BT1016*Parameter!$B$18</f>
        <v>14</v>
      </c>
      <c r="K1016" s="51" t="n">
        <v>14</v>
      </c>
      <c r="L1016" s="52" t="n">
        <v>1</v>
      </c>
      <c r="M1016" s="50" t="n">
        <v>0</v>
      </c>
      <c r="N1016" s="50" t="n">
        <v>15</v>
      </c>
      <c r="O1016" s="53" t="n">
        <v>14</v>
      </c>
      <c r="P1016" s="48" t="s">
        <v>177</v>
      </c>
      <c r="Q1016" s="50"/>
      <c r="R1016" s="53" t="n">
        <f aca="false">IF(BZ1016=1,0,IFERROR(VLOOKUP(BX1016,'Gebinde-Kategorie'!$A$5:$N$45,13,0)+0,0))</f>
        <v>26</v>
      </c>
      <c r="S1016" s="54"/>
      <c r="T1016" s="55" t="s">
        <v>284</v>
      </c>
      <c r="U1016" s="55"/>
      <c r="V1016" s="55"/>
      <c r="W1016" s="48"/>
      <c r="X1016" s="50"/>
      <c r="Y1016" s="50"/>
      <c r="Z1016" s="48" t="n">
        <f aca="false">IF(A1016="","",IF(AND(Parameter!$B$21="Ja",ISNUMBER(W1016)),W1016,IF(CC1016="2+3",IF(ISNUMBER(SEARCH("grosser Artikel",BU1016)),2,IFERROR(VLOOKUP(BX1016,Parameter!$F$35:$G$64,2,0),2)),IF(OR(CC1016="Nein",CC1016=""),"-",CC1016))))</f>
        <v>3</v>
      </c>
      <c r="AA1016" s="55"/>
      <c r="AB1016" s="56"/>
      <c r="AC1016" s="50" t="n">
        <f aca="false">AV1016</f>
        <v>15</v>
      </c>
      <c r="AD1016" s="50" t="n">
        <f aca="false">MAX(AV1016,H1016)</f>
        <v>15</v>
      </c>
      <c r="AE1016" s="57"/>
      <c r="AF1016" s="50" t="n">
        <f aca="false">IF(LEFT(Cockpit!$C$5,1)="A",H1016,IF(Parameter!$E$30="MAX-Bestand",IF(CH1016=1,CI1016,IF(LEFT(Cockpit!$C$5,1)="B",AL1016,MAX(AL1016,H1016))),ROUNDUP(AJ1016,0)))</f>
        <v>14</v>
      </c>
      <c r="AG1016" s="50" t="n">
        <f aca="false">IF(BZ1016=1,0,ROUNDUP(AF1016/BY1016,0))</f>
        <v>1</v>
      </c>
      <c r="AH1016" s="52" t="n">
        <f aca="false">IF(CQ1016&gt;0,CQ1016*MAX(1,AF1016/X1016),IF(BZ1016=1,IF(AF1016&lt;=0,0,CD1016*MAX(1,IF(H1016&gt;0,AF1016/H1016,1))),IF(R1016&gt;0,AG1016/R1016,0))/MAX(0.1,N(Parameter!$M$21)))</f>
        <v>0.0384615384615385</v>
      </c>
      <c r="AI1016" s="50" t="n">
        <f aca="false">AH1016*CB1016</f>
        <v>5.96153846153846</v>
      </c>
      <c r="AJ1016" s="51" t="n">
        <f aca="false">IF(LEFT(Cockpit!$C$5,1)="A",H1016,IF(CH1016=1,(CK1016+CI1016)/2,IF(LEFT(Cockpit!$C$5,1)="B",(CK1016+AL1016)/2,MAX((CK1016+AL1016)/2,H1016))))</f>
        <v>14</v>
      </c>
      <c r="AK1016" s="50" t="n">
        <f aca="false">AJ1016*G1016</f>
        <v>112.84</v>
      </c>
      <c r="AL1016" s="50" t="n">
        <f aca="false">ROUNDUP(CK1016+MAX(CL1016,2*(J1016/IF(CG1016&gt;0,CG1016,MAX(0.1,N(Cockpit!$C$6)))-CK1016)),0)</f>
        <v>15</v>
      </c>
      <c r="AM1016" s="51" t="n">
        <f aca="false">IF(AI1016&gt;0,J1016/AI1016,-1)</f>
        <v>2.34838709677419</v>
      </c>
      <c r="AN1016" s="51" t="n">
        <f aca="false">IF(AND(OR(CF1016="L1",CF1016="L23",CF1016="LIFT"),AI1016&gt;0),SUMIFS($AI$7:$AI$1843,$CF$7:$CF$1843,CF1016,$AM$7:$AM$1843,"&gt;"&amp;AM1016)+SUMIFS($AI$7:$AI$1843,$CF$7:$CF$1843,CF1016,$AM$7:$AM$1843,AM1016,$BW$7:$BW$1843,"&lt;="&amp;BW1016),"")</f>
        <v>5640.16071428571</v>
      </c>
      <c r="AO1016" s="58" t="n">
        <f aca="false">IF(AN1016="",0,MAX(0,MIN(1,(IF(CF1016="L1",Parameter!$H$5,IF(CF1016="L23",Parameter!$H$6+Parameter!$H$7,Parameter!$H$5+Parameter!$H$6+Parameter!$H$7))-(AN1016-AI1016))/AI1016)))</f>
        <v>1</v>
      </c>
      <c r="AP1016" s="50" t="n">
        <f aca="false">IF(LEFT(Cockpit!$I$5,1)="A",H1016,IF(Parameter!$E$30="MAX-Bestand",IF(CH1016=1,CI1016,IF(LEFT(Cockpit!$I$5,1)="B",AV1016,MAX(AV1016,H1016))),ROUNDUP(AT1016,0)))</f>
        <v>14</v>
      </c>
      <c r="AQ1016" s="50" t="n">
        <f aca="false">IF(BZ1016=1,0,ROUNDUP(AP1016/BY1016,0))</f>
        <v>1</v>
      </c>
      <c r="AR1016" s="52" t="n">
        <f aca="false">IF(CQ1016&gt;0,CQ1016*MAX(1,AP1016/X1016),IF(BZ1016=1,IF(AP1016&lt;=0,0,CD1016*MAX(1,IF(H1016&gt;0,AP1016/H1016,1))),IF(R1016&gt;0,AQ1016/R1016,0))/MAX(0.1,N(Parameter!$M$21)))</f>
        <v>0.0384615384615385</v>
      </c>
      <c r="AS1016" s="50" t="n">
        <f aca="false">AR1016*CB1016</f>
        <v>5.96153846153846</v>
      </c>
      <c r="AT1016" s="51" t="n">
        <f aca="false">IF(LEFT(Cockpit!$I$5,1)="A",H1016,IF(CH1016=1,(CK1016+CI1016)/2,IF(LEFT(Cockpit!$I$5,1)="B",(CK1016+AV1016)/2,MAX((CK1016+AV1016)/2,H1016))))</f>
        <v>14</v>
      </c>
      <c r="AU1016" s="50" t="n">
        <f aca="false">AT1016*G1016</f>
        <v>112.84</v>
      </c>
      <c r="AV1016" s="50" t="n">
        <f aca="false">ROUNDUP(CK1016+MAX(CL1016,2*(J1016/IF(CG1016&gt;0,CG1016,MAX(0.1,N(Cockpit!$I$6)))-CK1016)),0)</f>
        <v>15</v>
      </c>
      <c r="AW1016" s="51" t="n">
        <f aca="false">IF(AS1016&gt;0,J1016/AS1016,-1)</f>
        <v>2.34838709677419</v>
      </c>
      <c r="AX1016" s="51" t="n">
        <f aca="false">IF(AND(OR(CF1016="L1",CF1016="L23",CF1016="LIFT"),AS1016&gt;0),SUMIFS($AS$7:$AS$1843,$CF$7:$CF$1843,CF1016,$AW$7:$AW$1843,"&gt;"&amp;AW1016)+SUMIFS($AS$7:$AS$1843,$CF$7:$CF$1843,CF1016,$AW$7:$AW$1843,AW1016,$BW$7:$BW$1843,"&lt;="&amp;BW1016),"")</f>
        <v>6462.5554029304</v>
      </c>
      <c r="AY1016" s="58" t="n">
        <f aca="false">IF(AX1016="",0,MAX(0,MIN(1,(IF(CF1016="L1",Parameter!$H$5,IF(CF1016="L23",Parameter!$H$6+Parameter!$H$7,Parameter!$H$5+Parameter!$H$6+Parameter!$H$7))-(AX1016-AS1016))/AS1016)))</f>
        <v>1</v>
      </c>
      <c r="AZ1016" s="50" t="n">
        <f aca="false">IF(LEFT(Cockpit!$O$5,1)="A",H1016,IF(Parameter!$E$30="MAX-Bestand",IF(CH1016=1,CI1016,IF(LEFT(Cockpit!$O$5,1)="B",BF1016,MAX(BF1016,H1016))),ROUNDUP(BD1016,0)))</f>
        <v>8</v>
      </c>
      <c r="BA1016" s="50" t="n">
        <f aca="false">IF(BZ1016=1,0,ROUNDUP(AZ1016/BY1016,0))</f>
        <v>1</v>
      </c>
      <c r="BB1016" s="52" t="n">
        <f aca="false">IF(CQ1016&gt;0,CQ1016*MAX(1,AZ1016/X1016),IF(BZ1016=1,IF(AZ1016&lt;=0,0,CD1016*MAX(1,IF(H1016&gt;0,AZ1016/H1016,1))),IF(R1016&gt;0,BA1016/R1016,0))/MAX(0.1,N(Parameter!$M$21)))</f>
        <v>0.0384615384615385</v>
      </c>
      <c r="BC1016" s="50" t="n">
        <f aca="false">BB1016*CB1016</f>
        <v>5.96153846153846</v>
      </c>
      <c r="BD1016" s="51" t="n">
        <f aca="false">IF(LEFT(Cockpit!$O$5,1)="A",H1016,IF(CH1016=1,(CK1016+CI1016)/2,IF(LEFT(Cockpit!$O$5,1)="B",(CK1016+BF1016)/2,MAX((CK1016+BF1016)/2,H1016))))</f>
        <v>7.5</v>
      </c>
      <c r="BE1016" s="50" t="n">
        <f aca="false">BD1016*G1016</f>
        <v>60.45</v>
      </c>
      <c r="BF1016" s="50" t="n">
        <f aca="false">ROUNDUP(CK1016+MAX(CL1016,2*(J1016/IF(CG1016&gt;0,CG1016,MAX(0.1,N(Cockpit!$O$6)))-CK1016)),0)</f>
        <v>15</v>
      </c>
      <c r="BG1016" s="51" t="n">
        <f aca="false">IF(BC1016&gt;0,J1016/BC1016,-1)</f>
        <v>2.34838709677419</v>
      </c>
      <c r="BH1016" s="51" t="n">
        <f aca="false">IF(AND(OR(CF1016="L1",CF1016="L23",CF1016="LIFT"),BC1016&gt;0),SUMIFS($BC$7:$BC$1843,$CF$7:$CF$1843,CF1016,$BG$7:$BG$1843,"&gt;"&amp;BG1016)+SUMIFS($BC$7:$BC$1843,$CF$7:$CF$1843,CF1016,$BG$7:$BG$1843,BG1016,$BW$7:$BW$1843,"&lt;="&amp;BW1016),"")</f>
        <v>5616.42307692308</v>
      </c>
      <c r="BI1016" s="58" t="n">
        <f aca="false">IF(BH1016="",0,MAX(0,MIN(1,(IF(CF1016="L1",Parameter!$H$5,IF(CF1016="L23",Parameter!$H$6+Parameter!$H$7,Parameter!$H$5+Parameter!$H$6+Parameter!$H$7))-(BH1016-BC1016))/BC1016)))</f>
        <v>1</v>
      </c>
      <c r="BJ1016" s="48" t="str">
        <f aca="false">IF(AI1016&lt;=0,"",IF(CF1016="Aussen","Aussenlager",IF(CF1016="-","Nicht im Lift",IF(AO1016&gt;=1,"Lift",IF(AO1016&lt;=0,"Aussenlager","teilweise")))))</f>
        <v>Lift</v>
      </c>
      <c r="BK1016" s="48" t="str">
        <f aca="false">IF(AS1016&lt;=0,"",IF(CF1016="Aussen","Aussenlager",IF(CF1016="-","Nicht im Lift",IF(AY1016&gt;=1,"Lift",IF(AY1016&lt;=0,"Aussenlager","teilweise")))))</f>
        <v>Lift</v>
      </c>
      <c r="BL1016" s="48" t="str">
        <f aca="false">IF(BC1016&lt;=0,"",IF(CF1016="Aussen","Aussenlager",IF(CF1016="-","Nicht im Lift",IF(BI1016&gt;=1,"Lift",IF(BI1016&lt;=0,"Aussenlager","teilweise")))))</f>
        <v>Lift</v>
      </c>
      <c r="BM1016" s="48" t="str">
        <f aca="false">IF(A1016="","",IF(BV1016=1,"Neu; ","")&amp;IF(AND(BV1016=0,BQ1016&lt;0),"negativer Bestand (Export "&amp;BQ1016&amp;"); ","")&amp;IF(J1016&lt;=0,"Kein Verbrauch; ","")&amp;IF(CQ1016&gt;0,"Lift "&amp;W1016&amp;" lt. Liftbericht (Fach "&amp;X1016&amp;" Stk); ",IF(CA1016=1,"Gebinde geschätzt ("&amp;T1016&amp;"); ",IF(BZ1016=1,"Lose – Tablare geschätzt; ","")))&amp;IF(H1016&gt;AV1016,"Überbestand "&amp;ROUND(H1016-AV1016,0)&amp;" Stk / CHF "&amp;ROUND((H1016-AV1016)*G1016,0)&amp;"; ","")&amp;IF(AND(CH1016=1,CI1016&lt;CJ1016),"MAX &lt; MB+LG; ","")&amp;IF(AND(CP1016&gt;0,CO1016*10&gt;CP1016),"zu hoch für Tablar; ","")&amp;IF(AND(BV1016=0,OR(CH1016=1,AA1016&lt;&gt;"",U1016&lt;&gt;"",V1016&lt;&gt;"",AB1016&lt;&gt;"")),"manuell übersteuert; ","")&amp;IF(AND(BZ1016=0,R1016=0),"Gebinde unbekannt / Stellmass fehlt; ","")&amp;IF(AND(BZ1016=0,N(V1016)&lt;=0,N(Q1016)&lt;=0),"Menge pro Gebinde fehlt (Ist = 1 Gebinde); ","")&amp;BU1016)</f>
        <v>negativer Bestand (Export -14); Gebinde geschätzt (Klein); Menge pro Gebinde fehlt (Ist = 1 Gebinde); </v>
      </c>
      <c r="BN1016" s="48"/>
      <c r="BO1016" s="48"/>
      <c r="BP1016" s="55"/>
      <c r="BQ1016" s="50" t="n">
        <v>-14</v>
      </c>
      <c r="BR1016" s="50" t="n">
        <v>28</v>
      </c>
      <c r="BS1016" s="49" t="n">
        <v>-112.84</v>
      </c>
      <c r="BT1016" s="50" t="n">
        <v>14</v>
      </c>
      <c r="BU1016" s="48"/>
      <c r="BV1016" s="53" t="n">
        <v>0</v>
      </c>
      <c r="BW1016" s="53" t="n">
        <v>1016</v>
      </c>
      <c r="BX1016" s="48" t="str">
        <f aca="false">IF(U1016&lt;&gt;"",UPPER(TRIM(U1016)),IF(CA1016=1,UPPER(VLOOKUP(T1016,Parameter!$I$27:$K$29,2,0)),IF(P1016="","LOSE",P1016)))</f>
        <v>S51</v>
      </c>
      <c r="BY1016" s="50" t="n">
        <f aca="false">IF(BX1016="LOSE",1,IF(N(V1016)&gt;0,V1016,IF(CA1016=1,MAX(1,N(VLOOKUP(T1016,Parameter!$I$27:$K$29,3,0)),H1016,N(N1016)),IF(N(Q1016)&gt;0,Q1016,MAX(1,H1016)))))</f>
        <v>20</v>
      </c>
      <c r="BZ1016" s="53" t="n">
        <f aca="false">IF(BX1016="LOSE",1,0)</f>
        <v>0</v>
      </c>
      <c r="CA1016" s="53" t="n">
        <f aca="false">IF(AND(U1016="",OR(P1016="",P1016="LOSE"),T1016&lt;&gt;"",N(S1016)&lt;=0,ISNUMBER(MATCH(T1016,Parameter!$I$27:$I$29,0))),1,0)</f>
        <v>1</v>
      </c>
      <c r="CB1016" s="53" t="n">
        <f aca="false">IF(CQ1016&gt;0,INDEX(Parameter!$H$5:$H$7,W1016)/INDEX(Parameter!$E$5:$E$7,W1016),IF(AND(BZ1016=0,N(IFERROR(VLOOKUP(BX1016,'Gebinde-Kategorie'!$A$5:$N$45,14,0),0))&gt;0),VLOOKUP(BX1016,'Gebinde-Kategorie'!$A$5:$N$45,14,0)*10+Parameter!$M$23,Parameter!$M$24))</f>
        <v>155</v>
      </c>
      <c r="CC1016" s="48" t="str">
        <f aca="false">IF(AND(Parameter!$B$19="Ja",E1016&lt;&gt;"",ISNUMBER(MATCH(E1016,Parameter!$I$35:$I$52,0))),VLOOKUP(E1016,Parameter!$I$35:$J$52,2,0),IFERROR(VLOOKUP(D1016,Parameter!$A$35:$C$64,2,0),"Nein"))</f>
        <v>2+3</v>
      </c>
      <c r="CD1016" s="52" t="n">
        <f aca="false">IF(BZ1016=0,0,IF(N(S1016)&gt;0,S1016,IFERROR(VLOOKUP(D1016,Parameter!$A$35:$C$64,3,0)+0,0)))</f>
        <v>0</v>
      </c>
      <c r="CE1016" s="48" t="n">
        <f aca="false">IF(AA1016&lt;&gt;"",AA1016,Z1016)</f>
        <v>3</v>
      </c>
      <c r="CF1016" s="48" t="str">
        <f aca="false">IF(OR(CE1016=1,CE1016=2,CE1016=3),IF(Parameter!$E$27="Ja","LIFT",IF(CE1016=1,"L1","L23")),IF(CE1016="Aussen","Aussen","-"))</f>
        <v>LIFT</v>
      </c>
      <c r="CG1016" s="59" t="n">
        <f aca="false">IF(N(AB1016)&gt;0,AB1016,0)</f>
        <v>0</v>
      </c>
      <c r="CH1016" s="53" t="n">
        <f aca="false">IF(ISNUMBER(AE1016),1,0)</f>
        <v>0</v>
      </c>
      <c r="CI1016" s="50" t="n">
        <f aca="false">N(AE1016)</f>
        <v>0</v>
      </c>
      <c r="CJ1016" s="50" t="n">
        <f aca="false">N(M1016)+N(N1016)</f>
        <v>15</v>
      </c>
      <c r="CK1016" s="50" t="n">
        <f aca="false">N(M1016)</f>
        <v>0</v>
      </c>
      <c r="CL1016" s="50" t="n">
        <f aca="false">N(N1016)</f>
        <v>15</v>
      </c>
      <c r="CM1016" s="50" t="n">
        <f aca="false">ROUNDUP(H1016/BY1016,0)</f>
        <v>1</v>
      </c>
      <c r="CN1016" s="50" t="n">
        <f aca="false">ROUNDUP(CI1016/BY1016,0)</f>
        <v>0</v>
      </c>
      <c r="CO1016" s="53" t="n">
        <f aca="false">IF(BZ1016=1,0,IFERROR(VLOOKUP(BX1016,'Gebinde-Kategorie'!$A$5:$N$45,5,0)+0,0))</f>
        <v>11</v>
      </c>
      <c r="CP1016" s="53" t="n">
        <f aca="false">IFERROR(IF(OR(CE1016=1,CE1016=2,CE1016=3),N(INDEX(Parameter!$I$5:$I$7,CE1016)),0),0)</f>
        <v>0</v>
      </c>
      <c r="CQ1016" s="52" t="n">
        <f aca="false">IF(AND(Parameter!$B$21="Ja",ISNUMBER(W1016),N(X1016)&gt;0),IFERROR(N(INDEX(Parameter!$L$5:$L$7,W1016))*INDEX(Parameter!$E$5:$E$7,W1016)*X1016/SUMIFS($X$7:$X$1843,$W$7:$W$1843,W1016),0),0)</f>
        <v>0</v>
      </c>
    </row>
    <row r="1017" customFormat="false" ht="15" hidden="false" customHeight="false" outlineLevel="0" collapsed="false">
      <c r="A1017" s="48" t="s">
        <v>1881</v>
      </c>
      <c r="B1017" s="48" t="s">
        <v>901</v>
      </c>
      <c r="C1017" s="48" t="s">
        <v>173</v>
      </c>
      <c r="D1017" s="48" t="s">
        <v>193</v>
      </c>
      <c r="E1017" s="48" t="s">
        <v>194</v>
      </c>
      <c r="F1017" s="48" t="s">
        <v>227</v>
      </c>
      <c r="G1017" s="49" t="n">
        <v>10.72</v>
      </c>
      <c r="H1017" s="50" t="n">
        <f aca="false">MAX(0,IF(AND(Parameter!$B$21="Ja",ISNUMBER(Y1017)),Y1017,IF(Parameter!$B$20="Jahresanfang 2025 + Export",BR1017+BQ1017,BQ1017)))</f>
        <v>3</v>
      </c>
      <c r="I1017" s="50" t="n">
        <f aca="false">H1017*G1017</f>
        <v>32.16</v>
      </c>
      <c r="J1017" s="50" t="n">
        <f aca="false">BT1017*Parameter!$B$18</f>
        <v>8</v>
      </c>
      <c r="K1017" s="51" t="n">
        <v>7.5</v>
      </c>
      <c r="L1017" s="52" t="n">
        <v>1.06666666666667</v>
      </c>
      <c r="M1017" s="50" t="n">
        <v>0</v>
      </c>
      <c r="N1017" s="50" t="n">
        <v>10</v>
      </c>
      <c r="O1017" s="53" t="n">
        <v>18</v>
      </c>
      <c r="P1017" s="48" t="s">
        <v>430</v>
      </c>
      <c r="Q1017" s="50" t="n">
        <v>23</v>
      </c>
      <c r="R1017" s="53" t="n">
        <f aca="false">IF(BZ1017=1,0,IFERROR(VLOOKUP(BX1017,'Gebinde-Kategorie'!$A$5:$N$45,13,0)+0,0))</f>
        <v>104</v>
      </c>
      <c r="S1017" s="54"/>
      <c r="T1017" s="55"/>
      <c r="U1017" s="55"/>
      <c r="V1017" s="55"/>
      <c r="W1017" s="48"/>
      <c r="X1017" s="50"/>
      <c r="Y1017" s="50"/>
      <c r="Z1017" s="48" t="n">
        <f aca="false">IF(A1017="","",IF(AND(Parameter!$B$21="Ja",ISNUMBER(W1017)),W1017,IF(CC1017="2+3",IF(ISNUMBER(SEARCH("grosser Artikel",BU1017)),2,IFERROR(VLOOKUP(BX1017,Parameter!$F$35:$G$64,2,0),2)),IF(OR(CC1017="Nein",CC1017=""),"-",CC1017))))</f>
        <v>3</v>
      </c>
      <c r="AA1017" s="55"/>
      <c r="AB1017" s="56"/>
      <c r="AC1017" s="50" t="n">
        <f aca="false">AV1017</f>
        <v>10</v>
      </c>
      <c r="AD1017" s="50" t="n">
        <f aca="false">MAX(AV1017,H1017)</f>
        <v>10</v>
      </c>
      <c r="AE1017" s="57"/>
      <c r="AF1017" s="50" t="n">
        <f aca="false">IF(LEFT(Cockpit!$C$5,1)="A",H1017,IF(Parameter!$E$30="MAX-Bestand",IF(CH1017=1,CI1017,IF(LEFT(Cockpit!$C$5,1)="B",AL1017,MAX(AL1017,H1017))),ROUNDUP(AJ1017,0)))</f>
        <v>3</v>
      </c>
      <c r="AG1017" s="50" t="n">
        <f aca="false">IF(BZ1017=1,0,ROUNDUP(AF1017/BY1017,0))</f>
        <v>1</v>
      </c>
      <c r="AH1017" s="52" t="n">
        <f aca="false">IF(CQ1017&gt;0,CQ1017*MAX(1,AF1017/X1017),IF(BZ1017=1,IF(AF1017&lt;=0,0,CD1017*MAX(1,IF(H1017&gt;0,AF1017/H1017,1))),IF(R1017&gt;0,AG1017/R1017,0))/MAX(0.1,N(Parameter!$M$21)))</f>
        <v>0.00961538461538462</v>
      </c>
      <c r="AI1017" s="50" t="n">
        <f aca="false">AH1017*CB1017</f>
        <v>1.49038461538462</v>
      </c>
      <c r="AJ1017" s="51" t="n">
        <f aca="false">IF(LEFT(Cockpit!$C$5,1)="A",H1017,IF(CH1017=1,(CK1017+CI1017)/2,IF(LEFT(Cockpit!$C$5,1)="B",(CK1017+AL1017)/2,MAX((CK1017+AL1017)/2,H1017))))</f>
        <v>3</v>
      </c>
      <c r="AK1017" s="50" t="n">
        <f aca="false">AJ1017*G1017</f>
        <v>32.16</v>
      </c>
      <c r="AL1017" s="50" t="n">
        <f aca="false">ROUNDUP(CK1017+MAX(CL1017,2*(J1017/IF(CG1017&gt;0,CG1017,MAX(0.1,N(Cockpit!$C$6)))-CK1017)),0)</f>
        <v>10</v>
      </c>
      <c r="AM1017" s="51" t="n">
        <f aca="false">IF(AI1017&gt;0,J1017/AI1017,-1)</f>
        <v>5.36774193548387</v>
      </c>
      <c r="AN1017" s="51" t="n">
        <f aca="false">IF(AND(OR(CF1017="L1",CF1017="L23",CF1017="LIFT"),AI1017&gt;0),SUMIFS($AI$7:$AI$1843,$CF$7:$CF$1843,CF1017,$AM$7:$AM$1843,"&gt;"&amp;AM1017)+SUMIFS($AI$7:$AI$1843,$CF$7:$CF$1843,CF1017,$AM$7:$AM$1843,AM1017,$BW$7:$BW$1843,"&lt;="&amp;BW1017),"")</f>
        <v>3730.66254578755</v>
      </c>
      <c r="AO1017" s="58" t="n">
        <f aca="false">IF(AN1017="",0,MAX(0,MIN(1,(IF(CF1017="L1",Parameter!$H$5,IF(CF1017="L23",Parameter!$H$6+Parameter!$H$7,Parameter!$H$5+Parameter!$H$6+Parameter!$H$7))-(AN1017-AI1017))/AI1017)))</f>
        <v>1</v>
      </c>
      <c r="AP1017" s="50" t="n">
        <f aca="false">IF(LEFT(Cockpit!$I$5,1)="A",H1017,IF(Parameter!$E$30="MAX-Bestand",IF(CH1017=1,CI1017,IF(LEFT(Cockpit!$I$5,1)="B",AV1017,MAX(AV1017,H1017))),ROUNDUP(AT1017,0)))</f>
        <v>5</v>
      </c>
      <c r="AQ1017" s="50" t="n">
        <f aca="false">IF(BZ1017=1,0,ROUNDUP(AP1017/BY1017,0))</f>
        <v>1</v>
      </c>
      <c r="AR1017" s="52" t="n">
        <f aca="false">IF(CQ1017&gt;0,CQ1017*MAX(1,AP1017/X1017),IF(BZ1017=1,IF(AP1017&lt;=0,0,CD1017*MAX(1,IF(H1017&gt;0,AP1017/H1017,1))),IF(R1017&gt;0,AQ1017/R1017,0))/MAX(0.1,N(Parameter!$M$21)))</f>
        <v>0.00961538461538462</v>
      </c>
      <c r="AS1017" s="50" t="n">
        <f aca="false">AR1017*CB1017</f>
        <v>1.49038461538462</v>
      </c>
      <c r="AT1017" s="51" t="n">
        <f aca="false">IF(LEFT(Cockpit!$I$5,1)="A",H1017,IF(CH1017=1,(CK1017+CI1017)/2,IF(LEFT(Cockpit!$I$5,1)="B",(CK1017+AV1017)/2,MAX((CK1017+AV1017)/2,H1017))))</f>
        <v>5</v>
      </c>
      <c r="AU1017" s="50" t="n">
        <f aca="false">AT1017*G1017</f>
        <v>53.6</v>
      </c>
      <c r="AV1017" s="50" t="n">
        <f aca="false">ROUNDUP(CK1017+MAX(CL1017,2*(J1017/IF(CG1017&gt;0,CG1017,MAX(0.1,N(Cockpit!$I$6)))-CK1017)),0)</f>
        <v>10</v>
      </c>
      <c r="AW1017" s="51" t="n">
        <f aca="false">IF(AS1017&gt;0,J1017/AS1017,-1)</f>
        <v>5.36774193548387</v>
      </c>
      <c r="AX1017" s="51" t="n">
        <f aca="false">IF(AND(OR(CF1017="L1",CF1017="L23",CF1017="LIFT"),AS1017&gt;0),SUMIFS($AS$7:$AS$1843,$CF$7:$CF$1843,CF1017,$AW$7:$AW$1843,"&gt;"&amp;AW1017)+SUMIFS($AS$7:$AS$1843,$CF$7:$CF$1843,CF1017,$AW$7:$AW$1843,AW1017,$BW$7:$BW$1843,"&lt;="&amp;BW1017),"")</f>
        <v>4384.40338827839</v>
      </c>
      <c r="AY1017" s="58" t="n">
        <f aca="false">IF(AX1017="",0,MAX(0,MIN(1,(IF(CF1017="L1",Parameter!$H$5,IF(CF1017="L23",Parameter!$H$6+Parameter!$H$7,Parameter!$H$5+Parameter!$H$6+Parameter!$H$7))-(AX1017-AS1017))/AS1017)))</f>
        <v>1</v>
      </c>
      <c r="AZ1017" s="50" t="n">
        <f aca="false">IF(LEFT(Cockpit!$O$5,1)="A",H1017,IF(Parameter!$E$30="MAX-Bestand",IF(CH1017=1,CI1017,IF(LEFT(Cockpit!$O$5,1)="B",BF1017,MAX(BF1017,H1017))),ROUNDUP(BD1017,0)))</f>
        <v>5</v>
      </c>
      <c r="BA1017" s="50" t="n">
        <f aca="false">IF(BZ1017=1,0,ROUNDUP(AZ1017/BY1017,0))</f>
        <v>1</v>
      </c>
      <c r="BB1017" s="52" t="n">
        <f aca="false">IF(CQ1017&gt;0,CQ1017*MAX(1,AZ1017/X1017),IF(BZ1017=1,IF(AZ1017&lt;=0,0,CD1017*MAX(1,IF(H1017&gt;0,AZ1017/H1017,1))),IF(R1017&gt;0,BA1017/R1017,0))/MAX(0.1,N(Parameter!$M$21)))</f>
        <v>0.00961538461538462</v>
      </c>
      <c r="BC1017" s="50" t="n">
        <f aca="false">BB1017*CB1017</f>
        <v>1.49038461538462</v>
      </c>
      <c r="BD1017" s="51" t="n">
        <f aca="false">IF(LEFT(Cockpit!$O$5,1)="A",H1017,IF(CH1017=1,(CK1017+CI1017)/2,IF(LEFT(Cockpit!$O$5,1)="B",(CK1017+BF1017)/2,MAX((CK1017+BF1017)/2,H1017))))</f>
        <v>5</v>
      </c>
      <c r="BE1017" s="50" t="n">
        <f aca="false">BD1017*G1017</f>
        <v>53.6</v>
      </c>
      <c r="BF1017" s="50" t="n">
        <f aca="false">ROUNDUP(CK1017+MAX(CL1017,2*(J1017/IF(CG1017&gt;0,CG1017,MAX(0.1,N(Cockpit!$O$6)))-CK1017)),0)</f>
        <v>10</v>
      </c>
      <c r="BG1017" s="51" t="n">
        <f aca="false">IF(BC1017&gt;0,J1017/BC1017,-1)</f>
        <v>5.36774193548387</v>
      </c>
      <c r="BH1017" s="51" t="n">
        <f aca="false">IF(AND(OR(CF1017="L1",CF1017="L23",CF1017="LIFT"),BC1017&gt;0),SUMIFS($BC$7:$BC$1843,$CF$7:$CF$1843,CF1017,$BG$7:$BG$1843,"&gt;"&amp;BG1017)+SUMIFS($BC$7:$BC$1843,$CF$7:$CF$1843,CF1017,$BG$7:$BG$1843,BG1017,$BW$7:$BW$1843,"&lt;="&amp;BW1017),"")</f>
        <v>3697.43498168498</v>
      </c>
      <c r="BI1017" s="58" t="n">
        <f aca="false">IF(BH1017="",0,MAX(0,MIN(1,(IF(CF1017="L1",Parameter!$H$5,IF(CF1017="L23",Parameter!$H$6+Parameter!$H$7,Parameter!$H$5+Parameter!$H$6+Parameter!$H$7))-(BH1017-BC1017))/BC1017)))</f>
        <v>1</v>
      </c>
      <c r="BJ1017" s="48" t="str">
        <f aca="false">IF(AI1017&lt;=0,"",IF(CF1017="Aussen","Aussenlager",IF(CF1017="-","Nicht im Lift",IF(AO1017&gt;=1,"Lift",IF(AO1017&lt;=0,"Aussenlager","teilweise")))))</f>
        <v>Lift</v>
      </c>
      <c r="BK1017" s="48" t="str">
        <f aca="false">IF(AS1017&lt;=0,"",IF(CF1017="Aussen","Aussenlager",IF(CF1017="-","Nicht im Lift",IF(AY1017&gt;=1,"Lift",IF(AY1017&lt;=0,"Aussenlager","teilweise")))))</f>
        <v>Lift</v>
      </c>
      <c r="BL1017" s="48" t="str">
        <f aca="false">IF(BC1017&lt;=0,"",IF(CF1017="Aussen","Aussenlager",IF(CF1017="-","Nicht im Lift",IF(BI1017&gt;=1,"Lift",IF(BI1017&lt;=0,"Aussenlager","teilweise")))))</f>
        <v>Lift</v>
      </c>
      <c r="BM1017" s="48" t="str">
        <f aca="false">IF(A1017="","",IF(BV1017=1,"Neu; ","")&amp;IF(AND(BV1017=0,BQ1017&lt;0),"negativer Bestand (Export "&amp;BQ1017&amp;"); ","")&amp;IF(J1017&lt;=0,"Kein Verbrauch; ","")&amp;IF(CQ1017&gt;0,"Lift "&amp;W1017&amp;" lt. Liftbericht (Fach "&amp;X1017&amp;" Stk); ",IF(CA1017=1,"Gebinde geschätzt ("&amp;T1017&amp;"); ",IF(BZ1017=1,"Lose – Tablare geschätzt; ","")))&amp;IF(H1017&gt;AV1017,"Überbestand "&amp;ROUND(H1017-AV1017,0)&amp;" Stk / CHF "&amp;ROUND((H1017-AV1017)*G1017,0)&amp;"; ","")&amp;IF(AND(CH1017=1,CI1017&lt;CJ1017),"MAX &lt; MB+LG; ","")&amp;IF(AND(CP1017&gt;0,CO1017*10&gt;CP1017),"zu hoch für Tablar; ","")&amp;IF(AND(BV1017=0,OR(CH1017=1,AA1017&lt;&gt;"",U1017&lt;&gt;"",V1017&lt;&gt;"",AB1017&lt;&gt;"")),"manuell übersteuert; ","")&amp;IF(AND(BZ1017=0,R1017=0),"Gebinde unbekannt / Stellmass fehlt; ","")&amp;IF(AND(BZ1017=0,N(V1017)&lt;=0,N(Q1017)&lt;=0),"Menge pro Gebinde fehlt (Ist = 1 Gebinde); ","")&amp;BU1017)</f>
        <v>negativer Bestand (Export -9); </v>
      </c>
      <c r="BN1017" s="48"/>
      <c r="BO1017" s="48"/>
      <c r="BP1017" s="55"/>
      <c r="BQ1017" s="50" t="n">
        <v>-9</v>
      </c>
      <c r="BR1017" s="50" t="n">
        <v>12</v>
      </c>
      <c r="BS1017" s="49" t="n">
        <v>-113.16</v>
      </c>
      <c r="BT1017" s="50" t="n">
        <v>8</v>
      </c>
      <c r="BU1017" s="48"/>
      <c r="BV1017" s="53" t="n">
        <v>0</v>
      </c>
      <c r="BW1017" s="53" t="n">
        <v>1017</v>
      </c>
      <c r="BX1017" s="48" t="str">
        <f aca="false">IF(U1017&lt;&gt;"",UPPER(TRIM(U1017)),IF(CA1017=1,UPPER(VLOOKUP(T1017,Parameter!$I$27:$K$29,2,0)),IF(P1017="","LOSE",P1017)))</f>
        <v>S32</v>
      </c>
      <c r="BY1017" s="50" t="n">
        <f aca="false">IF(BX1017="LOSE",1,IF(N(V1017)&gt;0,V1017,IF(CA1017=1,MAX(1,N(VLOOKUP(T1017,Parameter!$I$27:$K$29,3,0)),H1017,N(N1017)),IF(N(Q1017)&gt;0,Q1017,MAX(1,H1017)))))</f>
        <v>23</v>
      </c>
      <c r="BZ1017" s="53" t="n">
        <f aca="false">IF(BX1017="LOSE",1,0)</f>
        <v>0</v>
      </c>
      <c r="CA1017" s="53" t="n">
        <f aca="false">IF(AND(U1017="",OR(P1017="",P1017="LOSE"),T1017&lt;&gt;"",N(S1017)&lt;=0,ISNUMBER(MATCH(T1017,Parameter!$I$27:$I$29,0))),1,0)</f>
        <v>0</v>
      </c>
      <c r="CB1017" s="53" t="n">
        <f aca="false">IF(CQ1017&gt;0,INDEX(Parameter!$H$5:$H$7,W1017)/INDEX(Parameter!$E$5:$E$7,W1017),IF(AND(BZ1017=0,N(IFERROR(VLOOKUP(BX1017,'Gebinde-Kategorie'!$A$5:$N$45,14,0),0))&gt;0),VLOOKUP(BX1017,'Gebinde-Kategorie'!$A$5:$N$45,14,0)*10+Parameter!$M$23,Parameter!$M$24))</f>
        <v>155</v>
      </c>
      <c r="CC1017" s="48" t="str">
        <f aca="false">IF(AND(Parameter!$B$19="Ja",E1017&lt;&gt;"",ISNUMBER(MATCH(E1017,Parameter!$I$35:$I$52,0))),VLOOKUP(E1017,Parameter!$I$35:$J$52,2,0),IFERROR(VLOOKUP(D1017,Parameter!$A$35:$C$64,2,0),"Nein"))</f>
        <v>2+3</v>
      </c>
      <c r="CD1017" s="52" t="n">
        <f aca="false">IF(BZ1017=0,0,IF(N(S1017)&gt;0,S1017,IFERROR(VLOOKUP(D1017,Parameter!$A$35:$C$64,3,0)+0,0)))</f>
        <v>0</v>
      </c>
      <c r="CE1017" s="48" t="n">
        <f aca="false">IF(AA1017&lt;&gt;"",AA1017,Z1017)</f>
        <v>3</v>
      </c>
      <c r="CF1017" s="48" t="str">
        <f aca="false">IF(OR(CE1017=1,CE1017=2,CE1017=3),IF(Parameter!$E$27="Ja","LIFT",IF(CE1017=1,"L1","L23")),IF(CE1017="Aussen","Aussen","-"))</f>
        <v>LIFT</v>
      </c>
      <c r="CG1017" s="59" t="n">
        <f aca="false">IF(N(AB1017)&gt;0,AB1017,0)</f>
        <v>0</v>
      </c>
      <c r="CH1017" s="53" t="n">
        <f aca="false">IF(ISNUMBER(AE1017),1,0)</f>
        <v>0</v>
      </c>
      <c r="CI1017" s="50" t="n">
        <f aca="false">N(AE1017)</f>
        <v>0</v>
      </c>
      <c r="CJ1017" s="50" t="n">
        <f aca="false">N(M1017)+N(N1017)</f>
        <v>10</v>
      </c>
      <c r="CK1017" s="50" t="n">
        <f aca="false">N(M1017)</f>
        <v>0</v>
      </c>
      <c r="CL1017" s="50" t="n">
        <f aca="false">N(N1017)</f>
        <v>10</v>
      </c>
      <c r="CM1017" s="50" t="n">
        <f aca="false">ROUNDUP(H1017/BY1017,0)</f>
        <v>1</v>
      </c>
      <c r="CN1017" s="50" t="n">
        <f aca="false">ROUNDUP(CI1017/BY1017,0)</f>
        <v>0</v>
      </c>
      <c r="CO1017" s="53" t="n">
        <f aca="false">IF(BZ1017=1,0,IFERROR(VLOOKUP(BX1017,'Gebinde-Kategorie'!$A$5:$N$45,5,0)+0,0))</f>
        <v>8</v>
      </c>
      <c r="CP1017" s="53" t="n">
        <f aca="false">IFERROR(IF(OR(CE1017=1,CE1017=2,CE1017=3),N(INDEX(Parameter!$I$5:$I$7,CE1017)),0),0)</f>
        <v>0</v>
      </c>
      <c r="CQ1017" s="52" t="n">
        <f aca="false">IF(AND(Parameter!$B$21="Ja",ISNUMBER(W1017),N(X1017)&gt;0),IFERROR(N(INDEX(Parameter!$L$5:$L$7,W1017))*INDEX(Parameter!$E$5:$E$7,W1017)*X1017/SUMIFS($X$7:$X$1843,$W$7:$W$1843,W1017),0),0)</f>
        <v>0</v>
      </c>
    </row>
    <row r="1018" customFormat="false" ht="15" hidden="false" customHeight="false" outlineLevel="0" collapsed="false">
      <c r="A1018" s="48" t="s">
        <v>1882</v>
      </c>
      <c r="B1018" s="48" t="s">
        <v>1883</v>
      </c>
      <c r="C1018" s="48" t="s">
        <v>465</v>
      </c>
      <c r="D1018" s="48" t="s">
        <v>182</v>
      </c>
      <c r="E1018" s="48" t="s">
        <v>1488</v>
      </c>
      <c r="F1018" s="48" t="s">
        <v>227</v>
      </c>
      <c r="G1018" s="49" t="n">
        <v>114.36</v>
      </c>
      <c r="H1018" s="50" t="n">
        <f aca="false">MAX(0,IF(AND(Parameter!$B$21="Ja",ISNUMBER(Y1018)),Y1018,IF(Parameter!$B$20="Jahresanfang 2025 + Export",BR1018+BQ1018,BQ1018)))</f>
        <v>0</v>
      </c>
      <c r="I1018" s="50" t="n">
        <f aca="false">H1018*G1018</f>
        <v>0</v>
      </c>
      <c r="J1018" s="50" t="n">
        <f aca="false">BT1018*Parameter!$B$18</f>
        <v>0</v>
      </c>
      <c r="K1018" s="51" t="n">
        <v>0.5</v>
      </c>
      <c r="L1018" s="52" t="n">
        <v>0</v>
      </c>
      <c r="M1018" s="50" t="n">
        <v>0</v>
      </c>
      <c r="N1018" s="50" t="n">
        <v>1</v>
      </c>
      <c r="O1018" s="53" t="n">
        <v>56</v>
      </c>
      <c r="P1018" s="48" t="s">
        <v>177</v>
      </c>
      <c r="Q1018" s="50"/>
      <c r="R1018" s="53" t="n">
        <f aca="false">IF(BZ1018=1,0,IFERROR(VLOOKUP(BX1018,'Gebinde-Kategorie'!$A$5:$N$45,13,0)+0,0))</f>
        <v>4</v>
      </c>
      <c r="S1018" s="54"/>
      <c r="T1018" s="55" t="s">
        <v>198</v>
      </c>
      <c r="U1018" s="55"/>
      <c r="V1018" s="55"/>
      <c r="W1018" s="48"/>
      <c r="X1018" s="50"/>
      <c r="Y1018" s="50"/>
      <c r="Z1018" s="48" t="str">
        <f aca="false">IF(A1018="","",IF(AND(Parameter!$B$21="Ja",ISNUMBER(W1018)),W1018,IF(CC1018="2+3",IF(ISNUMBER(SEARCH("grosser Artikel",BU1018)),2,IFERROR(VLOOKUP(BX1018,Parameter!$F$35:$G$64,2,0),2)),IF(OR(CC1018="Nein",CC1018=""),"-",CC1018))))</f>
        <v>-</v>
      </c>
      <c r="AA1018" s="55"/>
      <c r="AB1018" s="56"/>
      <c r="AC1018" s="50" t="n">
        <f aca="false">AV1018</f>
        <v>1</v>
      </c>
      <c r="AD1018" s="50" t="n">
        <f aca="false">MAX(AV1018,H1018)</f>
        <v>1</v>
      </c>
      <c r="AE1018" s="57"/>
      <c r="AF1018" s="50" t="n">
        <f aca="false">IF(LEFT(Cockpit!$C$5,1)="A",H1018,IF(Parameter!$E$30="MAX-Bestand",IF(CH1018=1,CI1018,IF(LEFT(Cockpit!$C$5,1)="B",AL1018,MAX(AL1018,H1018))),ROUNDUP(AJ1018,0)))</f>
        <v>0</v>
      </c>
      <c r="AG1018" s="50" t="n">
        <f aca="false">IF(BZ1018=1,0,ROUNDUP(AF1018/BY1018,0))</f>
        <v>0</v>
      </c>
      <c r="AH1018" s="52" t="n">
        <f aca="false">IF(CQ1018&gt;0,CQ1018*MAX(1,AF1018/X1018),IF(BZ1018=1,IF(AF1018&lt;=0,0,CD1018*MAX(1,IF(H1018&gt;0,AF1018/H1018,1))),IF(R1018&gt;0,AG1018/R1018,0))/MAX(0.1,N(Parameter!$M$21)))</f>
        <v>0</v>
      </c>
      <c r="AI1018" s="50" t="n">
        <f aca="false">AH1018*CB1018</f>
        <v>0</v>
      </c>
      <c r="AJ1018" s="51" t="n">
        <f aca="false">IF(LEFT(Cockpit!$C$5,1)="A",H1018,IF(CH1018=1,(CK1018+CI1018)/2,IF(LEFT(Cockpit!$C$5,1)="B",(CK1018+AL1018)/2,MAX((CK1018+AL1018)/2,H1018))))</f>
        <v>0</v>
      </c>
      <c r="AK1018" s="50" t="n">
        <f aca="false">AJ1018*G1018</f>
        <v>0</v>
      </c>
      <c r="AL1018" s="50" t="n">
        <f aca="false">ROUNDUP(CK1018+MAX(CL1018,2*(J1018/IF(CG1018&gt;0,CG1018,MAX(0.1,N(Cockpit!$C$6)))-CK1018)),0)</f>
        <v>1</v>
      </c>
      <c r="AM1018" s="51" t="n">
        <f aca="false">IF(AI1018&gt;0,J1018/AI1018,-1)</f>
        <v>-1</v>
      </c>
      <c r="AN1018" s="51" t="str">
        <f aca="false">IF(AND(OR(CF1018="L1",CF1018="L23",CF1018="LIFT"),AI1018&gt;0),SUMIFS($AI$7:$AI$1843,$CF$7:$CF$1843,CF1018,$AM$7:$AM$1843,"&gt;"&amp;AM1018)+SUMIFS($AI$7:$AI$1843,$CF$7:$CF$1843,CF1018,$AM$7:$AM$1843,AM1018,$BW$7:$BW$1843,"&lt;="&amp;BW1018),"")</f>
        <v/>
      </c>
      <c r="AO1018" s="58" t="n">
        <f aca="false">IF(AN1018="",0,MAX(0,MIN(1,(IF(CF1018="L1",Parameter!$H$5,IF(CF1018="L23",Parameter!$H$6+Parameter!$H$7,Parameter!$H$5+Parameter!$H$6+Parameter!$H$7))-(AN1018-AI1018))/AI1018)))</f>
        <v>0</v>
      </c>
      <c r="AP1018" s="50" t="n">
        <f aca="false">IF(LEFT(Cockpit!$I$5,1)="A",H1018,IF(Parameter!$E$30="MAX-Bestand",IF(CH1018=1,CI1018,IF(LEFT(Cockpit!$I$5,1)="B",AV1018,MAX(AV1018,H1018))),ROUNDUP(AT1018,0)))</f>
        <v>1</v>
      </c>
      <c r="AQ1018" s="50" t="n">
        <f aca="false">IF(BZ1018=1,0,ROUNDUP(AP1018/BY1018,0))</f>
        <v>1</v>
      </c>
      <c r="AR1018" s="52" t="n">
        <f aca="false">IF(CQ1018&gt;0,CQ1018*MAX(1,AP1018/X1018),IF(BZ1018=1,IF(AP1018&lt;=0,0,CD1018*MAX(1,IF(H1018&gt;0,AP1018/H1018,1))),IF(R1018&gt;0,AQ1018/R1018,0))/MAX(0.1,N(Parameter!$M$21)))</f>
        <v>0.25</v>
      </c>
      <c r="AS1018" s="50" t="n">
        <f aca="false">AR1018*CB1018</f>
        <v>58.75</v>
      </c>
      <c r="AT1018" s="51" t="n">
        <f aca="false">IF(LEFT(Cockpit!$I$5,1)="A",H1018,IF(CH1018=1,(CK1018+CI1018)/2,IF(LEFT(Cockpit!$I$5,1)="B",(CK1018+AV1018)/2,MAX((CK1018+AV1018)/2,H1018))))</f>
        <v>0.5</v>
      </c>
      <c r="AU1018" s="50" t="n">
        <f aca="false">AT1018*G1018</f>
        <v>57.18</v>
      </c>
      <c r="AV1018" s="50" t="n">
        <f aca="false">ROUNDUP(CK1018+MAX(CL1018,2*(J1018/IF(CG1018&gt;0,CG1018,MAX(0.1,N(Cockpit!$I$6)))-CK1018)),0)</f>
        <v>1</v>
      </c>
      <c r="AW1018" s="51" t="n">
        <f aca="false">IF(AS1018&gt;0,J1018/AS1018,-1)</f>
        <v>0</v>
      </c>
      <c r="AX1018" s="51" t="str">
        <f aca="false">IF(AND(OR(CF1018="L1",CF1018="L23",CF1018="LIFT"),AS1018&gt;0),SUMIFS($AS$7:$AS$1843,$CF$7:$CF$1843,CF1018,$AW$7:$AW$1843,"&gt;"&amp;AW1018)+SUMIFS($AS$7:$AS$1843,$CF$7:$CF$1843,CF1018,$AW$7:$AW$1843,AW1018,$BW$7:$BW$1843,"&lt;="&amp;BW1018),"")</f>
        <v/>
      </c>
      <c r="AY1018" s="58" t="n">
        <f aca="false">IF(AX1018="",0,MAX(0,MIN(1,(IF(CF1018="L1",Parameter!$H$5,IF(CF1018="L23",Parameter!$H$6+Parameter!$H$7,Parameter!$H$5+Parameter!$H$6+Parameter!$H$7))-(AX1018-AS1018))/AS1018)))</f>
        <v>0</v>
      </c>
      <c r="AZ1018" s="50" t="n">
        <f aca="false">IF(LEFT(Cockpit!$O$5,1)="A",H1018,IF(Parameter!$E$30="MAX-Bestand",IF(CH1018=1,CI1018,IF(LEFT(Cockpit!$O$5,1)="B",BF1018,MAX(BF1018,H1018))),ROUNDUP(BD1018,0)))</f>
        <v>1</v>
      </c>
      <c r="BA1018" s="50" t="n">
        <f aca="false">IF(BZ1018=1,0,ROUNDUP(AZ1018/BY1018,0))</f>
        <v>1</v>
      </c>
      <c r="BB1018" s="52" t="n">
        <f aca="false">IF(CQ1018&gt;0,CQ1018*MAX(1,AZ1018/X1018),IF(BZ1018=1,IF(AZ1018&lt;=0,0,CD1018*MAX(1,IF(H1018&gt;0,AZ1018/H1018,1))),IF(R1018&gt;0,BA1018/R1018,0))/MAX(0.1,N(Parameter!$M$21)))</f>
        <v>0.25</v>
      </c>
      <c r="BC1018" s="50" t="n">
        <f aca="false">BB1018*CB1018</f>
        <v>58.75</v>
      </c>
      <c r="BD1018" s="51" t="n">
        <f aca="false">IF(LEFT(Cockpit!$O$5,1)="A",H1018,IF(CH1018=1,(CK1018+CI1018)/2,IF(LEFT(Cockpit!$O$5,1)="B",(CK1018+BF1018)/2,MAX((CK1018+BF1018)/2,H1018))))</f>
        <v>0.5</v>
      </c>
      <c r="BE1018" s="50" t="n">
        <f aca="false">BD1018*G1018</f>
        <v>57.18</v>
      </c>
      <c r="BF1018" s="50" t="n">
        <f aca="false">ROUNDUP(CK1018+MAX(CL1018,2*(J1018/IF(CG1018&gt;0,CG1018,MAX(0.1,N(Cockpit!$O$6)))-CK1018)),0)</f>
        <v>1</v>
      </c>
      <c r="BG1018" s="51" t="n">
        <f aca="false">IF(BC1018&gt;0,J1018/BC1018,-1)</f>
        <v>0</v>
      </c>
      <c r="BH1018" s="51" t="str">
        <f aca="false">IF(AND(OR(CF1018="L1",CF1018="L23",CF1018="LIFT"),BC1018&gt;0),SUMIFS($BC$7:$BC$1843,$CF$7:$CF$1843,CF1018,$BG$7:$BG$1843,"&gt;"&amp;BG1018)+SUMIFS($BC$7:$BC$1843,$CF$7:$CF$1843,CF1018,$BG$7:$BG$1843,BG1018,$BW$7:$BW$1843,"&lt;="&amp;BW1018),"")</f>
        <v/>
      </c>
      <c r="BI1018" s="58" t="n">
        <f aca="false">IF(BH1018="",0,MAX(0,MIN(1,(IF(CF1018="L1",Parameter!$H$5,IF(CF1018="L23",Parameter!$H$6+Parameter!$H$7,Parameter!$H$5+Parameter!$H$6+Parameter!$H$7))-(BH1018-BC1018))/BC1018)))</f>
        <v>0</v>
      </c>
      <c r="BJ1018" s="48" t="str">
        <f aca="false">IF(AI1018&lt;=0,"",IF(CF1018="Aussen","Aussenlager",IF(CF1018="-","Nicht im Lift",IF(AO1018&gt;=1,"Lift",IF(AO1018&lt;=0,"Aussenlager","teilweise")))))</f>
        <v/>
      </c>
      <c r="BK1018" s="48" t="str">
        <f aca="false">IF(AS1018&lt;=0,"",IF(CF1018="Aussen","Aussenlager",IF(CF1018="-","Nicht im Lift",IF(AY1018&gt;=1,"Lift",IF(AY1018&lt;=0,"Aussenlager","teilweise")))))</f>
        <v>Nicht im Lift</v>
      </c>
      <c r="BL1018" s="48" t="str">
        <f aca="false">IF(BC1018&lt;=0,"",IF(CF1018="Aussen","Aussenlager",IF(CF1018="-","Nicht im Lift",IF(BI1018&gt;=1,"Lift",IF(BI1018&lt;=0,"Aussenlager","teilweise")))))</f>
        <v>Nicht im Lift</v>
      </c>
      <c r="BM1018" s="48" t="str">
        <f aca="false">IF(A1018="","",IF(BV1018=1,"Neu; ","")&amp;IF(AND(BV1018=0,BQ1018&lt;0),"negativer Bestand (Export "&amp;BQ1018&amp;"); ","")&amp;IF(J1018&lt;=0,"Kein Verbrauch; ","")&amp;IF(CQ1018&gt;0,"Lift "&amp;W1018&amp;" lt. Liftbericht (Fach "&amp;X1018&amp;" Stk); ",IF(CA1018=1,"Gebinde geschätzt ("&amp;T1018&amp;"); ",IF(BZ1018=1,"Lose – Tablare geschätzt; ","")))&amp;IF(H1018&gt;AV1018,"Überbestand "&amp;ROUND(H1018-AV1018,0)&amp;" Stk / CHF "&amp;ROUND((H1018-AV1018)*G1018,0)&amp;"; ","")&amp;IF(AND(CH1018=1,CI1018&lt;CJ1018),"MAX &lt; MB+LG; ","")&amp;IF(AND(CP1018&gt;0,CO1018*10&gt;CP1018),"zu hoch für Tablar; ","")&amp;IF(AND(BV1018=0,OR(CH1018=1,AA1018&lt;&gt;"",U1018&lt;&gt;"",V1018&lt;&gt;"",AB1018&lt;&gt;"")),"manuell übersteuert; ","")&amp;IF(AND(BZ1018=0,R1018=0),"Gebinde unbekannt / Stellmass fehlt; ","")&amp;IF(AND(BZ1018=0,N(V1018)&lt;=0,N(Q1018)&lt;=0),"Menge pro Gebinde fehlt (Ist = 1 Gebinde); ","")&amp;BU1018)</f>
        <v>negativer Bestand (Export -1); Kein Verbrauch; Gebinde geschätzt (Gross); Menge pro Gebinde fehlt (Ist = 1 Gebinde); Neu</v>
      </c>
      <c r="BN1018" s="48"/>
      <c r="BO1018" s="48"/>
      <c r="BP1018" s="55"/>
      <c r="BQ1018" s="50" t="n">
        <v>-1</v>
      </c>
      <c r="BR1018" s="50" t="n">
        <v>1</v>
      </c>
      <c r="BS1018" s="49" t="n">
        <v>-114.36</v>
      </c>
      <c r="BT1018" s="50" t="n">
        <v>0</v>
      </c>
      <c r="BU1018" s="48" t="s">
        <v>635</v>
      </c>
      <c r="BV1018" s="53" t="n">
        <v>0</v>
      </c>
      <c r="BW1018" s="53" t="n">
        <v>1018</v>
      </c>
      <c r="BX1018" s="48" t="str">
        <f aca="false">IF(U1018&lt;&gt;"",UPPER(TRIM(U1018)),IF(CA1018=1,UPPER(VLOOKUP(T1018,Parameter!$I$27:$K$29,2,0)),IF(P1018="","LOSE",P1018)))</f>
        <v>S81</v>
      </c>
      <c r="BY1018" s="50" t="n">
        <f aca="false">IF(BX1018="LOSE",1,IF(N(V1018)&gt;0,V1018,IF(CA1018=1,MAX(1,N(VLOOKUP(T1018,Parameter!$I$27:$K$29,3,0)),H1018,N(N1018)),IF(N(Q1018)&gt;0,Q1018,MAX(1,H1018)))))</f>
        <v>2</v>
      </c>
      <c r="BZ1018" s="53" t="n">
        <f aca="false">IF(BX1018="LOSE",1,0)</f>
        <v>0</v>
      </c>
      <c r="CA1018" s="53" t="n">
        <f aca="false">IF(AND(U1018="",OR(P1018="",P1018="LOSE"),T1018&lt;&gt;"",N(S1018)&lt;=0,ISNUMBER(MATCH(T1018,Parameter!$I$27:$I$29,0))),1,0)</f>
        <v>1</v>
      </c>
      <c r="CB1018" s="53" t="n">
        <f aca="false">IF(CQ1018&gt;0,INDEX(Parameter!$H$5:$H$7,W1018)/INDEX(Parameter!$E$5:$E$7,W1018),IF(AND(BZ1018=0,N(IFERROR(VLOOKUP(BX1018,'Gebinde-Kategorie'!$A$5:$N$45,14,0),0))&gt;0),VLOOKUP(BX1018,'Gebinde-Kategorie'!$A$5:$N$45,14,0)*10+Parameter!$M$23,Parameter!$M$24))</f>
        <v>235</v>
      </c>
      <c r="CC1018" s="48" t="str">
        <f aca="false">IF(AND(Parameter!$B$19="Ja",E1018&lt;&gt;"",ISNUMBER(MATCH(E1018,Parameter!$I$35:$I$52,0))),VLOOKUP(E1018,Parameter!$I$35:$J$52,2,0),IFERROR(VLOOKUP(D1018,Parameter!$A$35:$C$64,2,0),"Nein"))</f>
        <v>Nein</v>
      </c>
      <c r="CD1018" s="52" t="n">
        <f aca="false">IF(BZ1018=0,0,IF(N(S1018)&gt;0,S1018,IFERROR(VLOOKUP(D1018,Parameter!$A$35:$C$64,3,0)+0,0)))</f>
        <v>0</v>
      </c>
      <c r="CE1018" s="48" t="str">
        <f aca="false">IF(AA1018&lt;&gt;"",AA1018,Z1018)</f>
        <v>-</v>
      </c>
      <c r="CF1018" s="48" t="str">
        <f aca="false">IF(OR(CE1018=1,CE1018=2,CE1018=3),IF(Parameter!$E$27="Ja","LIFT",IF(CE1018=1,"L1","L23")),IF(CE1018="Aussen","Aussen","-"))</f>
        <v>-</v>
      </c>
      <c r="CG1018" s="59" t="n">
        <f aca="false">IF(N(AB1018)&gt;0,AB1018,0)</f>
        <v>0</v>
      </c>
      <c r="CH1018" s="53" t="n">
        <f aca="false">IF(ISNUMBER(AE1018),1,0)</f>
        <v>0</v>
      </c>
      <c r="CI1018" s="50" t="n">
        <f aca="false">N(AE1018)</f>
        <v>0</v>
      </c>
      <c r="CJ1018" s="50" t="n">
        <f aca="false">N(M1018)+N(N1018)</f>
        <v>1</v>
      </c>
      <c r="CK1018" s="50" t="n">
        <f aca="false">N(M1018)</f>
        <v>0</v>
      </c>
      <c r="CL1018" s="50" t="n">
        <f aca="false">N(N1018)</f>
        <v>1</v>
      </c>
      <c r="CM1018" s="50" t="n">
        <f aca="false">ROUNDUP(H1018/BY1018,0)</f>
        <v>0</v>
      </c>
      <c r="CN1018" s="50" t="n">
        <f aca="false">ROUNDUP(CI1018/BY1018,0)</f>
        <v>0</v>
      </c>
      <c r="CO1018" s="53" t="n">
        <f aca="false">IF(BZ1018=1,0,IFERROR(VLOOKUP(BX1018,'Gebinde-Kategorie'!$A$5:$N$45,5,0)+0,0))</f>
        <v>20</v>
      </c>
      <c r="CP1018" s="53" t="n">
        <f aca="false">IFERROR(IF(OR(CE1018=1,CE1018=2,CE1018=3),N(INDEX(Parameter!$I$5:$I$7,CE1018)),0),0)</f>
        <v>0</v>
      </c>
      <c r="CQ1018" s="52" t="n">
        <f aca="false">IF(AND(Parameter!$B$21="Ja",ISNUMBER(W1018),N(X1018)&gt;0),IFERROR(N(INDEX(Parameter!$L$5:$L$7,W1018))*INDEX(Parameter!$E$5:$E$7,W1018)*X1018/SUMIFS($X$7:$X$1843,$W$7:$W$1843,W1018),0),0)</f>
        <v>0</v>
      </c>
    </row>
    <row r="1019" customFormat="false" ht="15" hidden="false" customHeight="false" outlineLevel="0" collapsed="false">
      <c r="A1019" s="48" t="s">
        <v>1884</v>
      </c>
      <c r="B1019" s="48" t="s">
        <v>498</v>
      </c>
      <c r="C1019" s="48" t="s">
        <v>173</v>
      </c>
      <c r="D1019" s="48" t="s">
        <v>193</v>
      </c>
      <c r="E1019" s="48" t="s">
        <v>194</v>
      </c>
      <c r="F1019" s="48" t="s">
        <v>227</v>
      </c>
      <c r="G1019" s="49" t="n">
        <v>2.19</v>
      </c>
      <c r="H1019" s="50" t="n">
        <f aca="false">MAX(0,IF(AND(Parameter!$B$21="Ja",ISNUMBER(Y1019)),Y1019,IF(Parameter!$B$20="Jahresanfang 2025 + Export",BR1019+BQ1019,BQ1019)))</f>
        <v>77</v>
      </c>
      <c r="I1019" s="50" t="n">
        <f aca="false">H1019*G1019</f>
        <v>168.63</v>
      </c>
      <c r="J1019" s="50" t="n">
        <f aca="false">BT1019*Parameter!$B$18</f>
        <v>145</v>
      </c>
      <c r="K1019" s="51" t="n">
        <v>145</v>
      </c>
      <c r="L1019" s="52" t="n">
        <v>1</v>
      </c>
      <c r="M1019" s="50" t="n">
        <v>5</v>
      </c>
      <c r="N1019" s="50" t="n">
        <v>145</v>
      </c>
      <c r="O1019" s="53" t="n">
        <v>14</v>
      </c>
      <c r="P1019" s="48" t="s">
        <v>430</v>
      </c>
      <c r="Q1019" s="50" t="n">
        <v>275</v>
      </c>
      <c r="R1019" s="53" t="n">
        <f aca="false">IF(BZ1019=1,0,IFERROR(VLOOKUP(BX1019,'Gebinde-Kategorie'!$A$5:$N$45,13,0)+0,0))</f>
        <v>104</v>
      </c>
      <c r="S1019" s="54"/>
      <c r="T1019" s="55"/>
      <c r="U1019" s="55"/>
      <c r="V1019" s="55"/>
      <c r="W1019" s="48"/>
      <c r="X1019" s="50"/>
      <c r="Y1019" s="50"/>
      <c r="Z1019" s="48" t="n">
        <f aca="false">IF(A1019="","",IF(AND(Parameter!$B$21="Ja",ISNUMBER(W1019)),W1019,IF(CC1019="2+3",IF(ISNUMBER(SEARCH("grosser Artikel",BU1019)),2,IFERROR(VLOOKUP(BX1019,Parameter!$F$35:$G$64,2,0),2)),IF(OR(CC1019="Nein",CC1019=""),"-",CC1019))))</f>
        <v>3</v>
      </c>
      <c r="AA1019" s="55"/>
      <c r="AB1019" s="56"/>
      <c r="AC1019" s="50" t="n">
        <f aca="false">AV1019</f>
        <v>150</v>
      </c>
      <c r="AD1019" s="50" t="n">
        <f aca="false">MAX(AV1019,H1019)</f>
        <v>150</v>
      </c>
      <c r="AE1019" s="57"/>
      <c r="AF1019" s="50" t="n">
        <f aca="false">IF(LEFT(Cockpit!$C$5,1)="A",H1019,IF(Parameter!$E$30="MAX-Bestand",IF(CH1019=1,CI1019,IF(LEFT(Cockpit!$C$5,1)="B",AL1019,MAX(AL1019,H1019))),ROUNDUP(AJ1019,0)))</f>
        <v>77</v>
      </c>
      <c r="AG1019" s="50" t="n">
        <f aca="false">IF(BZ1019=1,0,ROUNDUP(AF1019/BY1019,0))</f>
        <v>1</v>
      </c>
      <c r="AH1019" s="52" t="n">
        <f aca="false">IF(CQ1019&gt;0,CQ1019*MAX(1,AF1019/X1019),IF(BZ1019=1,IF(AF1019&lt;=0,0,CD1019*MAX(1,IF(H1019&gt;0,AF1019/H1019,1))),IF(R1019&gt;0,AG1019/R1019,0))/MAX(0.1,N(Parameter!$M$21)))</f>
        <v>0.00961538461538462</v>
      </c>
      <c r="AI1019" s="50" t="n">
        <f aca="false">AH1019*CB1019</f>
        <v>1.49038461538462</v>
      </c>
      <c r="AJ1019" s="51" t="n">
        <f aca="false">IF(LEFT(Cockpit!$C$5,1)="A",H1019,IF(CH1019=1,(CK1019+CI1019)/2,IF(LEFT(Cockpit!$C$5,1)="B",(CK1019+AL1019)/2,MAX((CK1019+AL1019)/2,H1019))))</f>
        <v>77</v>
      </c>
      <c r="AK1019" s="50" t="n">
        <f aca="false">AJ1019*G1019</f>
        <v>168.63</v>
      </c>
      <c r="AL1019" s="50" t="n">
        <f aca="false">ROUNDUP(CK1019+MAX(CL1019,2*(J1019/IF(CG1019&gt;0,CG1019,MAX(0.1,N(Cockpit!$C$6)))-CK1019)),0)</f>
        <v>150</v>
      </c>
      <c r="AM1019" s="51" t="n">
        <f aca="false">IF(AI1019&gt;0,J1019/AI1019,-1)</f>
        <v>97.2903225806452</v>
      </c>
      <c r="AN1019" s="51" t="n">
        <f aca="false">IF(AND(OR(CF1019="L1",CF1019="L23",CF1019="LIFT"),AI1019&gt;0),SUMIFS($AI$7:$AI$1843,$CF$7:$CF$1843,CF1019,$AM$7:$AM$1843,"&gt;"&amp;AM1019)+SUMIFS($AI$7:$AI$1843,$CF$7:$CF$1843,CF1019,$AM$7:$AM$1843,AM1019,$BW$7:$BW$1843,"&lt;="&amp;BW1019),"")</f>
        <v>768.913003663004</v>
      </c>
      <c r="AO1019" s="58" t="n">
        <f aca="false">IF(AN1019="",0,MAX(0,MIN(1,(IF(CF1019="L1",Parameter!$H$5,IF(CF1019="L23",Parameter!$H$6+Parameter!$H$7,Parameter!$H$5+Parameter!$H$6+Parameter!$H$7))-(AN1019-AI1019))/AI1019)))</f>
        <v>1</v>
      </c>
      <c r="AP1019" s="50" t="n">
        <f aca="false">IF(LEFT(Cockpit!$I$5,1)="A",H1019,IF(Parameter!$E$30="MAX-Bestand",IF(CH1019=1,CI1019,IF(LEFT(Cockpit!$I$5,1)="B",AV1019,MAX(AV1019,H1019))),ROUNDUP(AT1019,0)))</f>
        <v>78</v>
      </c>
      <c r="AQ1019" s="50" t="n">
        <f aca="false">IF(BZ1019=1,0,ROUNDUP(AP1019/BY1019,0))</f>
        <v>1</v>
      </c>
      <c r="AR1019" s="52" t="n">
        <f aca="false">IF(CQ1019&gt;0,CQ1019*MAX(1,AP1019/X1019),IF(BZ1019=1,IF(AP1019&lt;=0,0,CD1019*MAX(1,IF(H1019&gt;0,AP1019/H1019,1))),IF(R1019&gt;0,AQ1019/R1019,0))/MAX(0.1,N(Parameter!$M$21)))</f>
        <v>0.00961538461538462</v>
      </c>
      <c r="AS1019" s="50" t="n">
        <f aca="false">AR1019*CB1019</f>
        <v>1.49038461538462</v>
      </c>
      <c r="AT1019" s="51" t="n">
        <f aca="false">IF(LEFT(Cockpit!$I$5,1)="A",H1019,IF(CH1019=1,(CK1019+CI1019)/2,IF(LEFT(Cockpit!$I$5,1)="B",(CK1019+AV1019)/2,MAX((CK1019+AV1019)/2,H1019))))</f>
        <v>77.5</v>
      </c>
      <c r="AU1019" s="50" t="n">
        <f aca="false">AT1019*G1019</f>
        <v>169.725</v>
      </c>
      <c r="AV1019" s="50" t="n">
        <f aca="false">ROUNDUP(CK1019+MAX(CL1019,2*(J1019/IF(CG1019&gt;0,CG1019,MAX(0.1,N(Cockpit!$I$6)))-CK1019)),0)</f>
        <v>150</v>
      </c>
      <c r="AW1019" s="51" t="n">
        <f aca="false">IF(AS1019&gt;0,J1019/AS1019,-1)</f>
        <v>97.2903225806452</v>
      </c>
      <c r="AX1019" s="51" t="n">
        <f aca="false">IF(AND(OR(CF1019="L1",CF1019="L23",CF1019="LIFT"),AS1019&gt;0),SUMIFS($AS$7:$AS$1843,$CF$7:$CF$1843,CF1019,$AW$7:$AW$1843,"&gt;"&amp;AW1019)+SUMIFS($AS$7:$AS$1843,$CF$7:$CF$1843,CF1019,$AW$7:$AW$1843,AW1019,$BW$7:$BW$1843,"&lt;="&amp;BW1019),"")</f>
        <v>1022.48214285714</v>
      </c>
      <c r="AY1019" s="58" t="n">
        <f aca="false">IF(AX1019="",0,MAX(0,MIN(1,(IF(CF1019="L1",Parameter!$H$5,IF(CF1019="L23",Parameter!$H$6+Parameter!$H$7,Parameter!$H$5+Parameter!$H$6+Parameter!$H$7))-(AX1019-AS1019))/AS1019)))</f>
        <v>1</v>
      </c>
      <c r="AZ1019" s="50" t="n">
        <f aca="false">IF(LEFT(Cockpit!$O$5,1)="A",H1019,IF(Parameter!$E$30="MAX-Bestand",IF(CH1019=1,CI1019,IF(LEFT(Cockpit!$O$5,1)="B",BF1019,MAX(BF1019,H1019))),ROUNDUP(BD1019,0)))</f>
        <v>78</v>
      </c>
      <c r="BA1019" s="50" t="n">
        <f aca="false">IF(BZ1019=1,0,ROUNDUP(AZ1019/BY1019,0))</f>
        <v>1</v>
      </c>
      <c r="BB1019" s="52" t="n">
        <f aca="false">IF(CQ1019&gt;0,CQ1019*MAX(1,AZ1019/X1019),IF(BZ1019=1,IF(AZ1019&lt;=0,0,CD1019*MAX(1,IF(H1019&gt;0,AZ1019/H1019,1))),IF(R1019&gt;0,BA1019/R1019,0))/MAX(0.1,N(Parameter!$M$21)))</f>
        <v>0.00961538461538462</v>
      </c>
      <c r="BC1019" s="50" t="n">
        <f aca="false">BB1019*CB1019</f>
        <v>1.49038461538462</v>
      </c>
      <c r="BD1019" s="51" t="n">
        <f aca="false">IF(LEFT(Cockpit!$O$5,1)="A",H1019,IF(CH1019=1,(CK1019+CI1019)/2,IF(LEFT(Cockpit!$O$5,1)="B",(CK1019+BF1019)/2,MAX((CK1019+BF1019)/2,H1019))))</f>
        <v>77.5</v>
      </c>
      <c r="BE1019" s="50" t="n">
        <f aca="false">BD1019*G1019</f>
        <v>169.725</v>
      </c>
      <c r="BF1019" s="50" t="n">
        <f aca="false">ROUNDUP(CK1019+MAX(CL1019,2*(J1019/IF(CG1019&gt;0,CG1019,MAX(0.1,N(Cockpit!$O$6)))-CK1019)),0)</f>
        <v>150</v>
      </c>
      <c r="BG1019" s="51" t="n">
        <f aca="false">IF(BC1019&gt;0,J1019/BC1019,-1)</f>
        <v>97.2903225806452</v>
      </c>
      <c r="BH1019" s="51" t="n">
        <f aca="false">IF(AND(OR(CF1019="L1",CF1019="L23",CF1019="LIFT"),BC1019&gt;0),SUMIFS($BC$7:$BC$1843,$CF$7:$CF$1843,CF1019,$BG$7:$BG$1843,"&gt;"&amp;BG1019)+SUMIFS($BC$7:$BC$1843,$CF$7:$CF$1843,CF1019,$BG$7:$BG$1843,BG1019,$BW$7:$BW$1843,"&lt;="&amp;BW1019),"")</f>
        <v>916.357600732601</v>
      </c>
      <c r="BI1019" s="58" t="n">
        <f aca="false">IF(BH1019="",0,MAX(0,MIN(1,(IF(CF1019="L1",Parameter!$H$5,IF(CF1019="L23",Parameter!$H$6+Parameter!$H$7,Parameter!$H$5+Parameter!$H$6+Parameter!$H$7))-(BH1019-BC1019))/BC1019)))</f>
        <v>1</v>
      </c>
      <c r="BJ1019" s="48" t="str">
        <f aca="false">IF(AI1019&lt;=0,"",IF(CF1019="Aussen","Aussenlager",IF(CF1019="-","Nicht im Lift",IF(AO1019&gt;=1,"Lift",IF(AO1019&lt;=0,"Aussenlager","teilweise")))))</f>
        <v>Lift</v>
      </c>
      <c r="BK1019" s="48" t="str">
        <f aca="false">IF(AS1019&lt;=0,"",IF(CF1019="Aussen","Aussenlager",IF(CF1019="-","Nicht im Lift",IF(AY1019&gt;=1,"Lift",IF(AY1019&lt;=0,"Aussenlager","teilweise")))))</f>
        <v>Lift</v>
      </c>
      <c r="BL1019" s="48" t="str">
        <f aca="false">IF(BC1019&lt;=0,"",IF(CF1019="Aussen","Aussenlager",IF(CF1019="-","Nicht im Lift",IF(BI1019&gt;=1,"Lift",IF(BI1019&lt;=0,"Aussenlager","teilweise")))))</f>
        <v>Lift</v>
      </c>
      <c r="BM1019" s="48" t="str">
        <f aca="false">IF(A1019="","",IF(BV1019=1,"Neu; ","")&amp;IF(AND(BV1019=0,BQ1019&lt;0),"negativer Bestand (Export "&amp;BQ1019&amp;"); ","")&amp;IF(J1019&lt;=0,"Kein Verbrauch; ","")&amp;IF(CQ1019&gt;0,"Lift "&amp;W1019&amp;" lt. Liftbericht (Fach "&amp;X1019&amp;" Stk); ",IF(CA1019=1,"Gebinde geschätzt ("&amp;T1019&amp;"); ",IF(BZ1019=1,"Lose – Tablare geschätzt; ","")))&amp;IF(H1019&gt;AV1019,"Überbestand "&amp;ROUND(H1019-AV1019,0)&amp;" Stk / CHF "&amp;ROUND((H1019-AV1019)*G1019,0)&amp;"; ","")&amp;IF(AND(CH1019=1,CI1019&lt;CJ1019),"MAX &lt; MB+LG; ","")&amp;IF(AND(CP1019&gt;0,CO1019*10&gt;CP1019),"zu hoch für Tablar; ","")&amp;IF(AND(BV1019=0,OR(CH1019=1,AA1019&lt;&gt;"",U1019&lt;&gt;"",V1019&lt;&gt;"",AB1019&lt;&gt;"")),"manuell übersteuert; ","")&amp;IF(AND(BZ1019=0,R1019=0),"Gebinde unbekannt / Stellmass fehlt; ","")&amp;IF(AND(BZ1019=0,N(V1019)&lt;=0,N(Q1019)&lt;=0),"Menge pro Gebinde fehlt (Ist = 1 Gebinde); ","")&amp;BU1019)</f>
        <v>negativer Bestand (Export -52); </v>
      </c>
      <c r="BN1019" s="48"/>
      <c r="BO1019" s="48"/>
      <c r="BP1019" s="55"/>
      <c r="BQ1019" s="50" t="n">
        <v>-52</v>
      </c>
      <c r="BR1019" s="50" t="n">
        <v>129</v>
      </c>
      <c r="BS1019" s="49" t="n">
        <v>-115.13</v>
      </c>
      <c r="BT1019" s="50" t="n">
        <v>145</v>
      </c>
      <c r="BU1019" s="48"/>
      <c r="BV1019" s="53" t="n">
        <v>0</v>
      </c>
      <c r="BW1019" s="53" t="n">
        <v>1019</v>
      </c>
      <c r="BX1019" s="48" t="str">
        <f aca="false">IF(U1019&lt;&gt;"",UPPER(TRIM(U1019)),IF(CA1019=1,UPPER(VLOOKUP(T1019,Parameter!$I$27:$K$29,2,0)),IF(P1019="","LOSE",P1019)))</f>
        <v>S32</v>
      </c>
      <c r="BY1019" s="50" t="n">
        <f aca="false">IF(BX1019="LOSE",1,IF(N(V1019)&gt;0,V1019,IF(CA1019=1,MAX(1,N(VLOOKUP(T1019,Parameter!$I$27:$K$29,3,0)),H1019,N(N1019)),IF(N(Q1019)&gt;0,Q1019,MAX(1,H1019)))))</f>
        <v>275</v>
      </c>
      <c r="BZ1019" s="53" t="n">
        <f aca="false">IF(BX1019="LOSE",1,0)</f>
        <v>0</v>
      </c>
      <c r="CA1019" s="53" t="n">
        <f aca="false">IF(AND(U1019="",OR(P1019="",P1019="LOSE"),T1019&lt;&gt;"",N(S1019)&lt;=0,ISNUMBER(MATCH(T1019,Parameter!$I$27:$I$29,0))),1,0)</f>
        <v>0</v>
      </c>
      <c r="CB1019" s="53" t="n">
        <f aca="false">IF(CQ1019&gt;0,INDEX(Parameter!$H$5:$H$7,W1019)/INDEX(Parameter!$E$5:$E$7,W1019),IF(AND(BZ1019=0,N(IFERROR(VLOOKUP(BX1019,'Gebinde-Kategorie'!$A$5:$N$45,14,0),0))&gt;0),VLOOKUP(BX1019,'Gebinde-Kategorie'!$A$5:$N$45,14,0)*10+Parameter!$M$23,Parameter!$M$24))</f>
        <v>155</v>
      </c>
      <c r="CC1019" s="48" t="str">
        <f aca="false">IF(AND(Parameter!$B$19="Ja",E1019&lt;&gt;"",ISNUMBER(MATCH(E1019,Parameter!$I$35:$I$52,0))),VLOOKUP(E1019,Parameter!$I$35:$J$52,2,0),IFERROR(VLOOKUP(D1019,Parameter!$A$35:$C$64,2,0),"Nein"))</f>
        <v>2+3</v>
      </c>
      <c r="CD1019" s="52" t="n">
        <f aca="false">IF(BZ1019=0,0,IF(N(S1019)&gt;0,S1019,IFERROR(VLOOKUP(D1019,Parameter!$A$35:$C$64,3,0)+0,0)))</f>
        <v>0</v>
      </c>
      <c r="CE1019" s="48" t="n">
        <f aca="false">IF(AA1019&lt;&gt;"",AA1019,Z1019)</f>
        <v>3</v>
      </c>
      <c r="CF1019" s="48" t="str">
        <f aca="false">IF(OR(CE1019=1,CE1019=2,CE1019=3),IF(Parameter!$E$27="Ja","LIFT",IF(CE1019=1,"L1","L23")),IF(CE1019="Aussen","Aussen","-"))</f>
        <v>LIFT</v>
      </c>
      <c r="CG1019" s="59" t="n">
        <f aca="false">IF(N(AB1019)&gt;0,AB1019,0)</f>
        <v>0</v>
      </c>
      <c r="CH1019" s="53" t="n">
        <f aca="false">IF(ISNUMBER(AE1019),1,0)</f>
        <v>0</v>
      </c>
      <c r="CI1019" s="50" t="n">
        <f aca="false">N(AE1019)</f>
        <v>0</v>
      </c>
      <c r="CJ1019" s="50" t="n">
        <f aca="false">N(M1019)+N(N1019)</f>
        <v>150</v>
      </c>
      <c r="CK1019" s="50" t="n">
        <f aca="false">N(M1019)</f>
        <v>5</v>
      </c>
      <c r="CL1019" s="50" t="n">
        <f aca="false">N(N1019)</f>
        <v>145</v>
      </c>
      <c r="CM1019" s="50" t="n">
        <f aca="false">ROUNDUP(H1019/BY1019,0)</f>
        <v>1</v>
      </c>
      <c r="CN1019" s="50" t="n">
        <f aca="false">ROUNDUP(CI1019/BY1019,0)</f>
        <v>0</v>
      </c>
      <c r="CO1019" s="53" t="n">
        <f aca="false">IF(BZ1019=1,0,IFERROR(VLOOKUP(BX1019,'Gebinde-Kategorie'!$A$5:$N$45,5,0)+0,0))</f>
        <v>8</v>
      </c>
      <c r="CP1019" s="53" t="n">
        <f aca="false">IFERROR(IF(OR(CE1019=1,CE1019=2,CE1019=3),N(INDEX(Parameter!$I$5:$I$7,CE1019)),0),0)</f>
        <v>0</v>
      </c>
      <c r="CQ1019" s="52" t="n">
        <f aca="false">IF(AND(Parameter!$B$21="Ja",ISNUMBER(W1019),N(X1019)&gt;0),IFERROR(N(INDEX(Parameter!$L$5:$L$7,W1019))*INDEX(Parameter!$E$5:$E$7,W1019)*X1019/SUMIFS($X$7:$X$1843,$W$7:$W$1843,W1019),0),0)</f>
        <v>0</v>
      </c>
    </row>
    <row r="1020" customFormat="false" ht="15" hidden="false" customHeight="false" outlineLevel="0" collapsed="false">
      <c r="A1020" s="48" t="s">
        <v>1885</v>
      </c>
      <c r="B1020" s="48" t="s">
        <v>1886</v>
      </c>
      <c r="C1020" s="48" t="s">
        <v>173</v>
      </c>
      <c r="D1020" s="48" t="s">
        <v>193</v>
      </c>
      <c r="E1020" s="48" t="s">
        <v>194</v>
      </c>
      <c r="F1020" s="48" t="s">
        <v>227</v>
      </c>
      <c r="G1020" s="49" t="n">
        <v>42.1</v>
      </c>
      <c r="H1020" s="50" t="n">
        <f aca="false">MAX(0,IF(AND(Parameter!$B$21="Ja",ISNUMBER(Y1020)),Y1020,IF(Parameter!$B$20="Jahresanfang 2025 + Export",BR1020+BQ1020,BQ1020)))</f>
        <v>2</v>
      </c>
      <c r="I1020" s="50" t="n">
        <f aca="false">H1020*G1020</f>
        <v>84.2</v>
      </c>
      <c r="J1020" s="50" t="n">
        <f aca="false">BT1020*Parameter!$B$18</f>
        <v>6</v>
      </c>
      <c r="K1020" s="51" t="n">
        <v>3.5</v>
      </c>
      <c r="L1020" s="52" t="n">
        <v>1.71428571428571</v>
      </c>
      <c r="M1020" s="50" t="n">
        <v>0</v>
      </c>
      <c r="N1020" s="50" t="n">
        <v>5</v>
      </c>
      <c r="O1020" s="53" t="n">
        <v>20</v>
      </c>
      <c r="P1020" s="48" t="s">
        <v>485</v>
      </c>
      <c r="Q1020" s="50" t="n">
        <v>10</v>
      </c>
      <c r="R1020" s="53" t="n">
        <f aca="false">IF(BZ1020=1,0,IFERROR(VLOOKUP(BX1020,'Gebinde-Kategorie'!$A$5:$N$45,13,0)+0,0))</f>
        <v>52</v>
      </c>
      <c r="S1020" s="54"/>
      <c r="T1020" s="55"/>
      <c r="U1020" s="55"/>
      <c r="V1020" s="55"/>
      <c r="W1020" s="48"/>
      <c r="X1020" s="50"/>
      <c r="Y1020" s="50"/>
      <c r="Z1020" s="48" t="n">
        <f aca="false">IF(A1020="","",IF(AND(Parameter!$B$21="Ja",ISNUMBER(W1020)),W1020,IF(CC1020="2+3",IF(ISNUMBER(SEARCH("grosser Artikel",BU1020)),2,IFERROR(VLOOKUP(BX1020,Parameter!$F$35:$G$64,2,0),2)),IF(OR(CC1020="Nein",CC1020=""),"-",CC1020))))</f>
        <v>3</v>
      </c>
      <c r="AA1020" s="55"/>
      <c r="AB1020" s="56"/>
      <c r="AC1020" s="50" t="n">
        <f aca="false">AV1020</f>
        <v>5</v>
      </c>
      <c r="AD1020" s="50" t="n">
        <f aca="false">MAX(AV1020,H1020)</f>
        <v>5</v>
      </c>
      <c r="AE1020" s="57"/>
      <c r="AF1020" s="50" t="n">
        <f aca="false">IF(LEFT(Cockpit!$C$5,1)="A",H1020,IF(Parameter!$E$30="MAX-Bestand",IF(CH1020=1,CI1020,IF(LEFT(Cockpit!$C$5,1)="B",AL1020,MAX(AL1020,H1020))),ROUNDUP(AJ1020,0)))</f>
        <v>2</v>
      </c>
      <c r="AG1020" s="50" t="n">
        <f aca="false">IF(BZ1020=1,0,ROUNDUP(AF1020/BY1020,0))</f>
        <v>1</v>
      </c>
      <c r="AH1020" s="52" t="n">
        <f aca="false">IF(CQ1020&gt;0,CQ1020*MAX(1,AF1020/X1020),IF(BZ1020=1,IF(AF1020&lt;=0,0,CD1020*MAX(1,IF(H1020&gt;0,AF1020/H1020,1))),IF(R1020&gt;0,AG1020/R1020,0))/MAX(0.1,N(Parameter!$M$21)))</f>
        <v>0.0192307692307692</v>
      </c>
      <c r="AI1020" s="50" t="n">
        <f aca="false">AH1020*CB1020</f>
        <v>2.98076923076923</v>
      </c>
      <c r="AJ1020" s="51" t="n">
        <f aca="false">IF(LEFT(Cockpit!$C$5,1)="A",H1020,IF(CH1020=1,(CK1020+CI1020)/2,IF(LEFT(Cockpit!$C$5,1)="B",(CK1020+AL1020)/2,MAX((CK1020+AL1020)/2,H1020))))</f>
        <v>2</v>
      </c>
      <c r="AK1020" s="50" t="n">
        <f aca="false">AJ1020*G1020</f>
        <v>84.2</v>
      </c>
      <c r="AL1020" s="50" t="n">
        <f aca="false">ROUNDUP(CK1020+MAX(CL1020,2*(J1020/IF(CG1020&gt;0,CG1020,MAX(0.1,N(Cockpit!$C$6)))-CK1020)),0)</f>
        <v>5</v>
      </c>
      <c r="AM1020" s="51" t="n">
        <f aca="false">IF(AI1020&gt;0,J1020/AI1020,-1)</f>
        <v>2.01290322580645</v>
      </c>
      <c r="AN1020" s="51" t="n">
        <f aca="false">IF(AND(OR(CF1020="L1",CF1020="L23",CF1020="LIFT"),AI1020&gt;0),SUMIFS($AI$7:$AI$1843,$CF$7:$CF$1843,CF1020,$AM$7:$AM$1843,"&gt;"&amp;AM1020)+SUMIFS($AI$7:$AI$1843,$CF$7:$CF$1843,CF1020,$AM$7:$AM$1843,AM1020,$BW$7:$BW$1843,"&lt;="&amp;BW1020),"")</f>
        <v>5796.81135531136</v>
      </c>
      <c r="AO1020" s="58" t="n">
        <f aca="false">IF(AN1020="",0,MAX(0,MIN(1,(IF(CF1020="L1",Parameter!$H$5,IF(CF1020="L23",Parameter!$H$6+Parameter!$H$7,Parameter!$H$5+Parameter!$H$6+Parameter!$H$7))-(AN1020-AI1020))/AI1020)))</f>
        <v>1</v>
      </c>
      <c r="AP1020" s="50" t="n">
        <f aca="false">IF(LEFT(Cockpit!$I$5,1)="A",H1020,IF(Parameter!$E$30="MAX-Bestand",IF(CH1020=1,CI1020,IF(LEFT(Cockpit!$I$5,1)="B",AV1020,MAX(AV1020,H1020))),ROUNDUP(AT1020,0)))</f>
        <v>3</v>
      </c>
      <c r="AQ1020" s="50" t="n">
        <f aca="false">IF(BZ1020=1,0,ROUNDUP(AP1020/BY1020,0))</f>
        <v>1</v>
      </c>
      <c r="AR1020" s="52" t="n">
        <f aca="false">IF(CQ1020&gt;0,CQ1020*MAX(1,AP1020/X1020),IF(BZ1020=1,IF(AP1020&lt;=0,0,CD1020*MAX(1,IF(H1020&gt;0,AP1020/H1020,1))),IF(R1020&gt;0,AQ1020/R1020,0))/MAX(0.1,N(Parameter!$M$21)))</f>
        <v>0.0192307692307692</v>
      </c>
      <c r="AS1020" s="50" t="n">
        <f aca="false">AR1020*CB1020</f>
        <v>2.98076923076923</v>
      </c>
      <c r="AT1020" s="51" t="n">
        <f aca="false">IF(LEFT(Cockpit!$I$5,1)="A",H1020,IF(CH1020=1,(CK1020+CI1020)/2,IF(LEFT(Cockpit!$I$5,1)="B",(CK1020+AV1020)/2,MAX((CK1020+AV1020)/2,H1020))))</f>
        <v>2.5</v>
      </c>
      <c r="AU1020" s="50" t="n">
        <f aca="false">AT1020*G1020</f>
        <v>105.25</v>
      </c>
      <c r="AV1020" s="50" t="n">
        <f aca="false">ROUNDUP(CK1020+MAX(CL1020,2*(J1020/IF(CG1020&gt;0,CG1020,MAX(0.1,N(Cockpit!$I$6)))-CK1020)),0)</f>
        <v>5</v>
      </c>
      <c r="AW1020" s="51" t="n">
        <f aca="false">IF(AS1020&gt;0,J1020/AS1020,-1)</f>
        <v>2.01290322580645</v>
      </c>
      <c r="AX1020" s="51" t="n">
        <f aca="false">IF(AND(OR(CF1020="L1",CF1020="L23",CF1020="LIFT"),AS1020&gt;0),SUMIFS($AS$7:$AS$1843,$CF$7:$CF$1843,CF1020,$AW$7:$AW$1843,"&gt;"&amp;AW1020)+SUMIFS($AS$7:$AS$1843,$CF$7:$CF$1843,CF1020,$AW$7:$AW$1843,AW1020,$BW$7:$BW$1843,"&lt;="&amp;BW1020),"")</f>
        <v>7164.75091575092</v>
      </c>
      <c r="AY1020" s="58" t="n">
        <f aca="false">IF(AX1020="",0,MAX(0,MIN(1,(IF(CF1020="L1",Parameter!$H$5,IF(CF1020="L23",Parameter!$H$6+Parameter!$H$7,Parameter!$H$5+Parameter!$H$6+Parameter!$H$7))-(AX1020-AS1020))/AS1020)))</f>
        <v>1</v>
      </c>
      <c r="AZ1020" s="50" t="n">
        <f aca="false">IF(LEFT(Cockpit!$O$5,1)="A",H1020,IF(Parameter!$E$30="MAX-Bestand",IF(CH1020=1,CI1020,IF(LEFT(Cockpit!$O$5,1)="B",BF1020,MAX(BF1020,H1020))),ROUNDUP(BD1020,0)))</f>
        <v>3</v>
      </c>
      <c r="BA1020" s="50" t="n">
        <f aca="false">IF(BZ1020=1,0,ROUNDUP(AZ1020/BY1020,0))</f>
        <v>1</v>
      </c>
      <c r="BB1020" s="52" t="n">
        <f aca="false">IF(CQ1020&gt;0,CQ1020*MAX(1,AZ1020/X1020),IF(BZ1020=1,IF(AZ1020&lt;=0,0,CD1020*MAX(1,IF(H1020&gt;0,AZ1020/H1020,1))),IF(R1020&gt;0,BA1020/R1020,0))/MAX(0.1,N(Parameter!$M$21)))</f>
        <v>0.0192307692307692</v>
      </c>
      <c r="BC1020" s="50" t="n">
        <f aca="false">BB1020*CB1020</f>
        <v>2.98076923076923</v>
      </c>
      <c r="BD1020" s="51" t="n">
        <f aca="false">IF(LEFT(Cockpit!$O$5,1)="A",H1020,IF(CH1020=1,(CK1020+CI1020)/2,IF(LEFT(Cockpit!$O$5,1)="B",(CK1020+BF1020)/2,MAX((CK1020+BF1020)/2,H1020))))</f>
        <v>2.5</v>
      </c>
      <c r="BE1020" s="50" t="n">
        <f aca="false">BD1020*G1020</f>
        <v>105.25</v>
      </c>
      <c r="BF1020" s="50" t="n">
        <f aca="false">ROUNDUP(CK1020+MAX(CL1020,2*(J1020/IF(CG1020&gt;0,CG1020,MAX(0.1,N(Cockpit!$O$6)))-CK1020)),0)</f>
        <v>5</v>
      </c>
      <c r="BG1020" s="51" t="n">
        <f aca="false">IF(BC1020&gt;0,J1020/BC1020,-1)</f>
        <v>2.01290322580645</v>
      </c>
      <c r="BH1020" s="51" t="n">
        <f aca="false">IF(AND(OR(CF1020="L1",CF1020="L23",CF1020="LIFT"),BC1020&gt;0),SUMIFS($BC$7:$BC$1843,$CF$7:$CF$1843,CF1020,$BG$7:$BG$1843,"&gt;"&amp;BG1020)+SUMIFS($BC$7:$BC$1843,$CF$7:$CF$1843,CF1020,$BG$7:$BG$1843,BG1020,$BW$7:$BW$1843,"&lt;="&amp;BW1020),"")</f>
        <v>5878.50641025641</v>
      </c>
      <c r="BI1020" s="58" t="n">
        <f aca="false">IF(BH1020="",0,MAX(0,MIN(1,(IF(CF1020="L1",Parameter!$H$5,IF(CF1020="L23",Parameter!$H$6+Parameter!$H$7,Parameter!$H$5+Parameter!$H$6+Parameter!$H$7))-(BH1020-BC1020))/BC1020)))</f>
        <v>1</v>
      </c>
      <c r="BJ1020" s="48" t="str">
        <f aca="false">IF(AI1020&lt;=0,"",IF(CF1020="Aussen","Aussenlager",IF(CF1020="-","Nicht im Lift",IF(AO1020&gt;=1,"Lift",IF(AO1020&lt;=0,"Aussenlager","teilweise")))))</f>
        <v>Lift</v>
      </c>
      <c r="BK1020" s="48" t="str">
        <f aca="false">IF(AS1020&lt;=0,"",IF(CF1020="Aussen","Aussenlager",IF(CF1020="-","Nicht im Lift",IF(AY1020&gt;=1,"Lift",IF(AY1020&lt;=0,"Aussenlager","teilweise")))))</f>
        <v>Lift</v>
      </c>
      <c r="BL1020" s="48" t="str">
        <f aca="false">IF(BC1020&lt;=0,"",IF(CF1020="Aussen","Aussenlager",IF(CF1020="-","Nicht im Lift",IF(BI1020&gt;=1,"Lift",IF(BI1020&lt;=0,"Aussenlager","teilweise")))))</f>
        <v>Lift</v>
      </c>
      <c r="BM1020" s="48" t="str">
        <f aca="false">IF(A1020="","",IF(BV1020=1,"Neu; ","")&amp;IF(AND(BV1020=0,BQ1020&lt;0),"negativer Bestand (Export "&amp;BQ1020&amp;"); ","")&amp;IF(J1020&lt;=0,"Kein Verbrauch; ","")&amp;IF(CQ1020&gt;0,"Lift "&amp;W1020&amp;" lt. Liftbericht (Fach "&amp;X1020&amp;" Stk); ",IF(CA1020=1,"Gebinde geschätzt ("&amp;T1020&amp;"); ",IF(BZ1020=1,"Lose – Tablare geschätzt; ","")))&amp;IF(H1020&gt;AV1020,"Überbestand "&amp;ROUND(H1020-AV1020,0)&amp;" Stk / CHF "&amp;ROUND((H1020-AV1020)*G1020,0)&amp;"; ","")&amp;IF(AND(CH1020=1,CI1020&lt;CJ1020),"MAX &lt; MB+LG; ","")&amp;IF(AND(CP1020&gt;0,CO1020*10&gt;CP1020),"zu hoch für Tablar; ","")&amp;IF(AND(BV1020=0,OR(CH1020=1,AA1020&lt;&gt;"",U1020&lt;&gt;"",V1020&lt;&gt;"",AB1020&lt;&gt;"")),"manuell übersteuert; ","")&amp;IF(AND(BZ1020=0,R1020=0),"Gebinde unbekannt / Stellmass fehlt; ","")&amp;IF(AND(BZ1020=0,N(V1020)&lt;=0,N(Q1020)&lt;=0),"Menge pro Gebinde fehlt (Ist = 1 Gebinde); ","")&amp;BU1020)</f>
        <v>negativer Bestand (Export -3); </v>
      </c>
      <c r="BN1020" s="48"/>
      <c r="BO1020" s="48"/>
      <c r="BP1020" s="55"/>
      <c r="BQ1020" s="50" t="n">
        <v>-3</v>
      </c>
      <c r="BR1020" s="50" t="n">
        <v>5</v>
      </c>
      <c r="BS1020" s="49" t="n">
        <v>-116.35</v>
      </c>
      <c r="BT1020" s="50" t="n">
        <v>6</v>
      </c>
      <c r="BU1020" s="48"/>
      <c r="BV1020" s="53" t="n">
        <v>0</v>
      </c>
      <c r="BW1020" s="53" t="n">
        <v>1020</v>
      </c>
      <c r="BX1020" s="48" t="str">
        <f aca="false">IF(U1020&lt;&gt;"",UPPER(TRIM(U1020)),IF(CA1020=1,UPPER(VLOOKUP(T1020,Parameter!$I$27:$K$29,2,0)),IF(P1020="","LOSE",P1020)))</f>
        <v>S33</v>
      </c>
      <c r="BY1020" s="50" t="n">
        <f aca="false">IF(BX1020="LOSE",1,IF(N(V1020)&gt;0,V1020,IF(CA1020=1,MAX(1,N(VLOOKUP(T1020,Parameter!$I$27:$K$29,3,0)),H1020,N(N1020)),IF(N(Q1020)&gt;0,Q1020,MAX(1,H1020)))))</f>
        <v>10</v>
      </c>
      <c r="BZ1020" s="53" t="n">
        <f aca="false">IF(BX1020="LOSE",1,0)</f>
        <v>0</v>
      </c>
      <c r="CA1020" s="53" t="n">
        <f aca="false">IF(AND(U1020="",OR(P1020="",P1020="LOSE"),T1020&lt;&gt;"",N(S1020)&lt;=0,ISNUMBER(MATCH(T1020,Parameter!$I$27:$I$29,0))),1,0)</f>
        <v>0</v>
      </c>
      <c r="CB1020" s="53" t="n">
        <f aca="false">IF(CQ1020&gt;0,INDEX(Parameter!$H$5:$H$7,W1020)/INDEX(Parameter!$E$5:$E$7,W1020),IF(AND(BZ1020=0,N(IFERROR(VLOOKUP(BX1020,'Gebinde-Kategorie'!$A$5:$N$45,14,0),0))&gt;0),VLOOKUP(BX1020,'Gebinde-Kategorie'!$A$5:$N$45,14,0)*10+Parameter!$M$23,Parameter!$M$24))</f>
        <v>155</v>
      </c>
      <c r="CC1020" s="48" t="str">
        <f aca="false">IF(AND(Parameter!$B$19="Ja",E1020&lt;&gt;"",ISNUMBER(MATCH(E1020,Parameter!$I$35:$I$52,0))),VLOOKUP(E1020,Parameter!$I$35:$J$52,2,0),IFERROR(VLOOKUP(D1020,Parameter!$A$35:$C$64,2,0),"Nein"))</f>
        <v>2+3</v>
      </c>
      <c r="CD1020" s="52" t="n">
        <f aca="false">IF(BZ1020=0,0,IF(N(S1020)&gt;0,S1020,IFERROR(VLOOKUP(D1020,Parameter!$A$35:$C$64,3,0)+0,0)))</f>
        <v>0</v>
      </c>
      <c r="CE1020" s="48" t="n">
        <f aca="false">IF(AA1020&lt;&gt;"",AA1020,Z1020)</f>
        <v>3</v>
      </c>
      <c r="CF1020" s="48" t="str">
        <f aca="false">IF(OR(CE1020=1,CE1020=2,CE1020=3),IF(Parameter!$E$27="Ja","LIFT",IF(CE1020=1,"L1","L23")),IF(CE1020="Aussen","Aussen","-"))</f>
        <v>LIFT</v>
      </c>
      <c r="CG1020" s="59" t="n">
        <f aca="false">IF(N(AB1020)&gt;0,AB1020,0)</f>
        <v>0</v>
      </c>
      <c r="CH1020" s="53" t="n">
        <f aca="false">IF(ISNUMBER(AE1020),1,0)</f>
        <v>0</v>
      </c>
      <c r="CI1020" s="50" t="n">
        <f aca="false">N(AE1020)</f>
        <v>0</v>
      </c>
      <c r="CJ1020" s="50" t="n">
        <f aca="false">N(M1020)+N(N1020)</f>
        <v>5</v>
      </c>
      <c r="CK1020" s="50" t="n">
        <f aca="false">N(M1020)</f>
        <v>0</v>
      </c>
      <c r="CL1020" s="50" t="n">
        <f aca="false">N(N1020)</f>
        <v>5</v>
      </c>
      <c r="CM1020" s="50" t="n">
        <f aca="false">ROUNDUP(H1020/BY1020,0)</f>
        <v>1</v>
      </c>
      <c r="CN1020" s="50" t="n">
        <f aca="false">ROUNDUP(CI1020/BY1020,0)</f>
        <v>0</v>
      </c>
      <c r="CO1020" s="53" t="n">
        <f aca="false">IF(BZ1020=1,0,IFERROR(VLOOKUP(BX1020,'Gebinde-Kategorie'!$A$5:$N$45,5,0)+0,0))</f>
        <v>8</v>
      </c>
      <c r="CP1020" s="53" t="n">
        <f aca="false">IFERROR(IF(OR(CE1020=1,CE1020=2,CE1020=3),N(INDEX(Parameter!$I$5:$I$7,CE1020)),0),0)</f>
        <v>0</v>
      </c>
      <c r="CQ1020" s="52" t="n">
        <f aca="false">IF(AND(Parameter!$B$21="Ja",ISNUMBER(W1020),N(X1020)&gt;0),IFERROR(N(INDEX(Parameter!$L$5:$L$7,W1020))*INDEX(Parameter!$E$5:$E$7,W1020)*X1020/SUMIFS($X$7:$X$1843,$W$7:$W$1843,W1020),0),0)</f>
        <v>0</v>
      </c>
    </row>
    <row r="1021" customFormat="false" ht="15" hidden="false" customHeight="false" outlineLevel="0" collapsed="false">
      <c r="A1021" s="48" t="s">
        <v>1887</v>
      </c>
      <c r="B1021" s="48" t="s">
        <v>414</v>
      </c>
      <c r="C1021" s="48" t="s">
        <v>173</v>
      </c>
      <c r="D1021" s="48" t="s">
        <v>193</v>
      </c>
      <c r="E1021" s="48" t="s">
        <v>194</v>
      </c>
      <c r="F1021" s="48" t="s">
        <v>227</v>
      </c>
      <c r="G1021" s="49" t="n">
        <v>2.49</v>
      </c>
      <c r="H1021" s="50" t="n">
        <f aca="false">MAX(0,IF(AND(Parameter!$B$21="Ja",ISNUMBER(Y1021)),Y1021,IF(Parameter!$B$20="Jahresanfang 2025 + Export",BR1021+BQ1021,BQ1021)))</f>
        <v>129</v>
      </c>
      <c r="I1021" s="50" t="n">
        <f aca="false">H1021*G1021</f>
        <v>321.21</v>
      </c>
      <c r="J1021" s="50" t="n">
        <f aca="false">BT1021*Parameter!$B$18</f>
        <v>43</v>
      </c>
      <c r="K1021" s="51" t="n">
        <v>156.5</v>
      </c>
      <c r="L1021" s="52" t="n">
        <v>0.274760383386582</v>
      </c>
      <c r="M1021" s="50" t="n">
        <v>14</v>
      </c>
      <c r="N1021" s="50" t="n">
        <v>45</v>
      </c>
      <c r="O1021" s="53" t="n">
        <v>119</v>
      </c>
      <c r="P1021" s="48" t="s">
        <v>311</v>
      </c>
      <c r="Q1021" s="50" t="n">
        <v>480</v>
      </c>
      <c r="R1021" s="53" t="n">
        <f aca="false">IF(BZ1021=1,0,IFERROR(VLOOKUP(BX1021,'Gebinde-Kategorie'!$A$5:$N$45,13,0)+0,0))</f>
        <v>26</v>
      </c>
      <c r="S1021" s="54"/>
      <c r="T1021" s="55"/>
      <c r="U1021" s="55"/>
      <c r="V1021" s="55"/>
      <c r="W1021" s="48"/>
      <c r="X1021" s="50"/>
      <c r="Y1021" s="50"/>
      <c r="Z1021" s="48" t="n">
        <f aca="false">IF(A1021="","",IF(AND(Parameter!$B$21="Ja",ISNUMBER(W1021)),W1021,IF(CC1021="2+3",IF(ISNUMBER(SEARCH("grosser Artikel",BU1021)),2,IFERROR(VLOOKUP(BX1021,Parameter!$F$35:$G$64,2,0),2)),IF(OR(CC1021="Nein",CC1021=""),"-",CC1021))))</f>
        <v>3</v>
      </c>
      <c r="AA1021" s="55"/>
      <c r="AB1021" s="56"/>
      <c r="AC1021" s="50" t="n">
        <f aca="false">AV1021</f>
        <v>59</v>
      </c>
      <c r="AD1021" s="50" t="n">
        <f aca="false">MAX(AV1021,H1021)</f>
        <v>129</v>
      </c>
      <c r="AE1021" s="57"/>
      <c r="AF1021" s="50" t="n">
        <f aca="false">IF(LEFT(Cockpit!$C$5,1)="A",H1021,IF(Parameter!$E$30="MAX-Bestand",IF(CH1021=1,CI1021,IF(LEFT(Cockpit!$C$5,1)="B",AL1021,MAX(AL1021,H1021))),ROUNDUP(AJ1021,0)))</f>
        <v>129</v>
      </c>
      <c r="AG1021" s="50" t="n">
        <f aca="false">IF(BZ1021=1,0,ROUNDUP(AF1021/BY1021,0))</f>
        <v>1</v>
      </c>
      <c r="AH1021" s="52" t="n">
        <f aca="false">IF(CQ1021&gt;0,CQ1021*MAX(1,AF1021/X1021),IF(BZ1021=1,IF(AF1021&lt;=0,0,CD1021*MAX(1,IF(H1021&gt;0,AF1021/H1021,1))),IF(R1021&gt;0,AG1021/R1021,0))/MAX(0.1,N(Parameter!$M$21)))</f>
        <v>0.0384615384615385</v>
      </c>
      <c r="AI1021" s="50" t="n">
        <f aca="false">AH1021*CB1021</f>
        <v>5.96153846153846</v>
      </c>
      <c r="AJ1021" s="51" t="n">
        <f aca="false">IF(LEFT(Cockpit!$C$5,1)="A",H1021,IF(CH1021=1,(CK1021+CI1021)/2,IF(LEFT(Cockpit!$C$5,1)="B",(CK1021+AL1021)/2,MAX((CK1021+AL1021)/2,H1021))))</f>
        <v>129</v>
      </c>
      <c r="AK1021" s="50" t="n">
        <f aca="false">AJ1021*G1021</f>
        <v>321.21</v>
      </c>
      <c r="AL1021" s="50" t="n">
        <f aca="false">ROUNDUP(CK1021+MAX(CL1021,2*(J1021/IF(CG1021&gt;0,CG1021,MAX(0.1,N(Cockpit!$C$6)))-CK1021)),0)</f>
        <v>59</v>
      </c>
      <c r="AM1021" s="51" t="n">
        <f aca="false">IF(AI1021&gt;0,J1021/AI1021,-1)</f>
        <v>7.21290322580645</v>
      </c>
      <c r="AN1021" s="51" t="n">
        <f aca="false">IF(AND(OR(CF1021="L1",CF1021="L23",CF1021="LIFT"),AI1021&gt;0),SUMIFS($AI$7:$AI$1843,$CF$7:$CF$1843,CF1021,$AM$7:$AM$1843,"&gt;"&amp;AM1021)+SUMIFS($AI$7:$AI$1843,$CF$7:$CF$1843,CF1021,$AM$7:$AM$1843,AM1021,$BW$7:$BW$1843,"&lt;="&amp;BW1021),"")</f>
        <v>3163.7586996337</v>
      </c>
      <c r="AO1021" s="58" t="n">
        <f aca="false">IF(AN1021="",0,MAX(0,MIN(1,(IF(CF1021="L1",Parameter!$H$5,IF(CF1021="L23",Parameter!$H$6+Parameter!$H$7,Parameter!$H$5+Parameter!$H$6+Parameter!$H$7))-(AN1021-AI1021))/AI1021)))</f>
        <v>1</v>
      </c>
      <c r="AP1021" s="50" t="n">
        <f aca="false">IF(LEFT(Cockpit!$I$5,1)="A",H1021,IF(Parameter!$E$30="MAX-Bestand",IF(CH1021=1,CI1021,IF(LEFT(Cockpit!$I$5,1)="B",AV1021,MAX(AV1021,H1021))),ROUNDUP(AT1021,0)))</f>
        <v>129</v>
      </c>
      <c r="AQ1021" s="50" t="n">
        <f aca="false">IF(BZ1021=1,0,ROUNDUP(AP1021/BY1021,0))</f>
        <v>1</v>
      </c>
      <c r="AR1021" s="52" t="n">
        <f aca="false">IF(CQ1021&gt;0,CQ1021*MAX(1,AP1021/X1021),IF(BZ1021=1,IF(AP1021&lt;=0,0,CD1021*MAX(1,IF(H1021&gt;0,AP1021/H1021,1))),IF(R1021&gt;0,AQ1021/R1021,0))/MAX(0.1,N(Parameter!$M$21)))</f>
        <v>0.0384615384615385</v>
      </c>
      <c r="AS1021" s="50" t="n">
        <f aca="false">AR1021*CB1021</f>
        <v>5.96153846153846</v>
      </c>
      <c r="AT1021" s="51" t="n">
        <f aca="false">IF(LEFT(Cockpit!$I$5,1)="A",H1021,IF(CH1021=1,(CK1021+CI1021)/2,IF(LEFT(Cockpit!$I$5,1)="B",(CK1021+AV1021)/2,MAX((CK1021+AV1021)/2,H1021))))</f>
        <v>129</v>
      </c>
      <c r="AU1021" s="50" t="n">
        <f aca="false">AT1021*G1021</f>
        <v>321.21</v>
      </c>
      <c r="AV1021" s="50" t="n">
        <f aca="false">ROUNDUP(CK1021+MAX(CL1021,2*(J1021/IF(CG1021&gt;0,CG1021,MAX(0.1,N(Cockpit!$I$6)))-CK1021)),0)</f>
        <v>59</v>
      </c>
      <c r="AW1021" s="51" t="n">
        <f aca="false">IF(AS1021&gt;0,J1021/AS1021,-1)</f>
        <v>7.21290322580645</v>
      </c>
      <c r="AX1021" s="51" t="n">
        <f aca="false">IF(AND(OR(CF1021="L1",CF1021="L23",CF1021="LIFT"),AS1021&gt;0),SUMIFS($AS$7:$AS$1843,$CF$7:$CF$1843,CF1021,$AW$7:$AW$1843,"&gt;"&amp;AW1021)+SUMIFS($AS$7:$AS$1843,$CF$7:$CF$1843,CF1021,$AW$7:$AW$1843,AW1021,$BW$7:$BW$1843,"&lt;="&amp;BW1021),"")</f>
        <v>3824.07005494506</v>
      </c>
      <c r="AY1021" s="58" t="n">
        <f aca="false">IF(AX1021="",0,MAX(0,MIN(1,(IF(CF1021="L1",Parameter!$H$5,IF(CF1021="L23",Parameter!$H$6+Parameter!$H$7,Parameter!$H$5+Parameter!$H$6+Parameter!$H$7))-(AX1021-AS1021))/AS1021)))</f>
        <v>1</v>
      </c>
      <c r="AZ1021" s="50" t="n">
        <f aca="false">IF(LEFT(Cockpit!$O$5,1)="A",H1021,IF(Parameter!$E$30="MAX-Bestand",IF(CH1021=1,CI1021,IF(LEFT(Cockpit!$O$5,1)="B",BF1021,MAX(BF1021,H1021))),ROUNDUP(BD1021,0)))</f>
        <v>37</v>
      </c>
      <c r="BA1021" s="50" t="n">
        <f aca="false">IF(BZ1021=1,0,ROUNDUP(AZ1021/BY1021,0))</f>
        <v>1</v>
      </c>
      <c r="BB1021" s="52" t="n">
        <f aca="false">IF(CQ1021&gt;0,CQ1021*MAX(1,AZ1021/X1021),IF(BZ1021=1,IF(AZ1021&lt;=0,0,CD1021*MAX(1,IF(H1021&gt;0,AZ1021/H1021,1))),IF(R1021&gt;0,BA1021/R1021,0))/MAX(0.1,N(Parameter!$M$21)))</f>
        <v>0.0384615384615385</v>
      </c>
      <c r="BC1021" s="50" t="n">
        <f aca="false">BB1021*CB1021</f>
        <v>5.96153846153846</v>
      </c>
      <c r="BD1021" s="51" t="n">
        <f aca="false">IF(LEFT(Cockpit!$O$5,1)="A",H1021,IF(CH1021=1,(CK1021+CI1021)/2,IF(LEFT(Cockpit!$O$5,1)="B",(CK1021+BF1021)/2,MAX((CK1021+BF1021)/2,H1021))))</f>
        <v>36.5</v>
      </c>
      <c r="BE1021" s="50" t="n">
        <f aca="false">BD1021*G1021</f>
        <v>90.885</v>
      </c>
      <c r="BF1021" s="50" t="n">
        <f aca="false">ROUNDUP(CK1021+MAX(CL1021,2*(J1021/IF(CG1021&gt;0,CG1021,MAX(0.1,N(Cockpit!$O$6)))-CK1021)),0)</f>
        <v>59</v>
      </c>
      <c r="BG1021" s="51" t="n">
        <f aca="false">IF(BC1021&gt;0,J1021/BC1021,-1)</f>
        <v>7.21290322580645</v>
      </c>
      <c r="BH1021" s="51" t="n">
        <f aca="false">IF(AND(OR(CF1021="L1",CF1021="L23",CF1021="LIFT"),BC1021&gt;0),SUMIFS($BC$7:$BC$1843,$CF$7:$CF$1843,CF1021,$BG$7:$BG$1843,"&gt;"&amp;BG1021)+SUMIFS($BC$7:$BC$1843,$CF$7:$CF$1843,CF1021,$BG$7:$BG$1843,BG1021,$BW$7:$BW$1843,"&lt;="&amp;BW1021),"")</f>
        <v>3248.52793040293</v>
      </c>
      <c r="BI1021" s="58" t="n">
        <f aca="false">IF(BH1021="",0,MAX(0,MIN(1,(IF(CF1021="L1",Parameter!$H$5,IF(CF1021="L23",Parameter!$H$6+Parameter!$H$7,Parameter!$H$5+Parameter!$H$6+Parameter!$H$7))-(BH1021-BC1021))/BC1021)))</f>
        <v>1</v>
      </c>
      <c r="BJ1021" s="48" t="str">
        <f aca="false">IF(AI1021&lt;=0,"",IF(CF1021="Aussen","Aussenlager",IF(CF1021="-","Nicht im Lift",IF(AO1021&gt;=1,"Lift",IF(AO1021&lt;=0,"Aussenlager","teilweise")))))</f>
        <v>Lift</v>
      </c>
      <c r="BK1021" s="48" t="str">
        <f aca="false">IF(AS1021&lt;=0,"",IF(CF1021="Aussen","Aussenlager",IF(CF1021="-","Nicht im Lift",IF(AY1021&gt;=1,"Lift",IF(AY1021&lt;=0,"Aussenlager","teilweise")))))</f>
        <v>Lift</v>
      </c>
      <c r="BL1021" s="48" t="str">
        <f aca="false">IF(BC1021&lt;=0,"",IF(CF1021="Aussen","Aussenlager",IF(CF1021="-","Nicht im Lift",IF(BI1021&gt;=1,"Lift",IF(BI1021&lt;=0,"Aussenlager","teilweise")))))</f>
        <v>Lift</v>
      </c>
      <c r="BM1021" s="48" t="str">
        <f aca="false">IF(A1021="","",IF(BV1021=1,"Neu; ","")&amp;IF(AND(BV1021=0,BQ1021&lt;0),"negativer Bestand (Export "&amp;BQ1021&amp;"); ","")&amp;IF(J1021&lt;=0,"Kein Verbrauch; ","")&amp;IF(CQ1021&gt;0,"Lift "&amp;W1021&amp;" lt. Liftbericht (Fach "&amp;X1021&amp;" Stk); ",IF(CA1021=1,"Gebinde geschätzt ("&amp;T1021&amp;"); ",IF(BZ1021=1,"Lose – Tablare geschätzt; ","")))&amp;IF(H1021&gt;AV1021,"Überbestand "&amp;ROUND(H1021-AV1021,0)&amp;" Stk / CHF "&amp;ROUND((H1021-AV1021)*G1021,0)&amp;"; ","")&amp;IF(AND(CH1021=1,CI1021&lt;CJ1021),"MAX &lt; MB+LG; ","")&amp;IF(AND(CP1021&gt;0,CO1021*10&gt;CP1021),"zu hoch für Tablar; ","")&amp;IF(AND(BV1021=0,OR(CH1021=1,AA1021&lt;&gt;"",U1021&lt;&gt;"",V1021&lt;&gt;"",AB1021&lt;&gt;"")),"manuell übersteuert; ","")&amp;IF(AND(BZ1021=0,R1021=0),"Gebinde unbekannt / Stellmass fehlt; ","")&amp;IF(AND(BZ1021=0,N(V1021)&lt;=0,N(Q1021)&lt;=0),"Menge pro Gebinde fehlt (Ist = 1 Gebinde); ","")&amp;BU1021)</f>
        <v>negativer Bestand (Export -48); Überbestand 70 Stk / CHF 174; twin</v>
      </c>
      <c r="BN1021" s="48"/>
      <c r="BO1021" s="48"/>
      <c r="BP1021" s="55"/>
      <c r="BQ1021" s="50" t="n">
        <v>-48</v>
      </c>
      <c r="BR1021" s="50" t="n">
        <v>177</v>
      </c>
      <c r="BS1021" s="49" t="n">
        <v>-119.52</v>
      </c>
      <c r="BT1021" s="50" t="n">
        <v>43</v>
      </c>
      <c r="BU1021" s="48" t="s">
        <v>1750</v>
      </c>
      <c r="BV1021" s="53" t="n">
        <v>0</v>
      </c>
      <c r="BW1021" s="53" t="n">
        <v>1021</v>
      </c>
      <c r="BX1021" s="48" t="str">
        <f aca="false">IF(U1021&lt;&gt;"",UPPER(TRIM(U1021)),IF(CA1021=1,UPPER(VLOOKUP(T1021,Parameter!$I$27:$K$29,2,0)),IF(P1021="","LOSE",P1021)))</f>
        <v>S51</v>
      </c>
      <c r="BY1021" s="50" t="n">
        <f aca="false">IF(BX1021="LOSE",1,IF(N(V1021)&gt;0,V1021,IF(CA1021=1,MAX(1,N(VLOOKUP(T1021,Parameter!$I$27:$K$29,3,0)),H1021,N(N1021)),IF(N(Q1021)&gt;0,Q1021,MAX(1,H1021)))))</f>
        <v>480</v>
      </c>
      <c r="BZ1021" s="53" t="n">
        <f aca="false">IF(BX1021="LOSE",1,0)</f>
        <v>0</v>
      </c>
      <c r="CA1021" s="53" t="n">
        <f aca="false">IF(AND(U1021="",OR(P1021="",P1021="LOSE"),T1021&lt;&gt;"",N(S1021)&lt;=0,ISNUMBER(MATCH(T1021,Parameter!$I$27:$I$29,0))),1,0)</f>
        <v>0</v>
      </c>
      <c r="CB1021" s="53" t="n">
        <f aca="false">IF(CQ1021&gt;0,INDEX(Parameter!$H$5:$H$7,W1021)/INDEX(Parameter!$E$5:$E$7,W1021),IF(AND(BZ1021=0,N(IFERROR(VLOOKUP(BX1021,'Gebinde-Kategorie'!$A$5:$N$45,14,0),0))&gt;0),VLOOKUP(BX1021,'Gebinde-Kategorie'!$A$5:$N$45,14,0)*10+Parameter!$M$23,Parameter!$M$24))</f>
        <v>155</v>
      </c>
      <c r="CC1021" s="48" t="str">
        <f aca="false">IF(AND(Parameter!$B$19="Ja",E1021&lt;&gt;"",ISNUMBER(MATCH(E1021,Parameter!$I$35:$I$52,0))),VLOOKUP(E1021,Parameter!$I$35:$J$52,2,0),IFERROR(VLOOKUP(D1021,Parameter!$A$35:$C$64,2,0),"Nein"))</f>
        <v>2+3</v>
      </c>
      <c r="CD1021" s="52" t="n">
        <f aca="false">IF(BZ1021=0,0,IF(N(S1021)&gt;0,S1021,IFERROR(VLOOKUP(D1021,Parameter!$A$35:$C$64,3,0)+0,0)))</f>
        <v>0</v>
      </c>
      <c r="CE1021" s="48" t="n">
        <f aca="false">IF(AA1021&lt;&gt;"",AA1021,Z1021)</f>
        <v>3</v>
      </c>
      <c r="CF1021" s="48" t="str">
        <f aca="false">IF(OR(CE1021=1,CE1021=2,CE1021=3),IF(Parameter!$E$27="Ja","LIFT",IF(CE1021=1,"L1","L23")),IF(CE1021="Aussen","Aussen","-"))</f>
        <v>LIFT</v>
      </c>
      <c r="CG1021" s="59" t="n">
        <f aca="false">IF(N(AB1021)&gt;0,AB1021,0)</f>
        <v>0</v>
      </c>
      <c r="CH1021" s="53" t="n">
        <f aca="false">IF(ISNUMBER(AE1021),1,0)</f>
        <v>0</v>
      </c>
      <c r="CI1021" s="50" t="n">
        <f aca="false">N(AE1021)</f>
        <v>0</v>
      </c>
      <c r="CJ1021" s="50" t="n">
        <f aca="false">N(M1021)+N(N1021)</f>
        <v>59</v>
      </c>
      <c r="CK1021" s="50" t="n">
        <f aca="false">N(M1021)</f>
        <v>14</v>
      </c>
      <c r="CL1021" s="50" t="n">
        <f aca="false">N(N1021)</f>
        <v>45</v>
      </c>
      <c r="CM1021" s="50" t="n">
        <f aca="false">ROUNDUP(H1021/BY1021,0)</f>
        <v>1</v>
      </c>
      <c r="CN1021" s="50" t="n">
        <f aca="false">ROUNDUP(CI1021/BY1021,0)</f>
        <v>0</v>
      </c>
      <c r="CO1021" s="53" t="n">
        <f aca="false">IF(BZ1021=1,0,IFERROR(VLOOKUP(BX1021,'Gebinde-Kategorie'!$A$5:$N$45,5,0)+0,0))</f>
        <v>11</v>
      </c>
      <c r="CP1021" s="53" t="n">
        <f aca="false">IFERROR(IF(OR(CE1021=1,CE1021=2,CE1021=3),N(INDEX(Parameter!$I$5:$I$7,CE1021)),0),0)</f>
        <v>0</v>
      </c>
      <c r="CQ1021" s="52" t="n">
        <f aca="false">IF(AND(Parameter!$B$21="Ja",ISNUMBER(W1021),N(X1021)&gt;0),IFERROR(N(INDEX(Parameter!$L$5:$L$7,W1021))*INDEX(Parameter!$E$5:$E$7,W1021)*X1021/SUMIFS($X$7:$X$1843,$W$7:$W$1843,W1021),0),0)</f>
        <v>0</v>
      </c>
    </row>
    <row r="1022" customFormat="false" ht="15" hidden="false" customHeight="false" outlineLevel="0" collapsed="false">
      <c r="A1022" s="48" t="s">
        <v>1888</v>
      </c>
      <c r="B1022" s="48" t="s">
        <v>880</v>
      </c>
      <c r="C1022" s="48" t="s">
        <v>465</v>
      </c>
      <c r="D1022" s="48" t="s">
        <v>193</v>
      </c>
      <c r="E1022" s="48"/>
      <c r="F1022" s="48" t="s">
        <v>227</v>
      </c>
      <c r="G1022" s="49" t="n">
        <v>15.27</v>
      </c>
      <c r="H1022" s="50" t="n">
        <f aca="false">MAX(0,IF(AND(Parameter!$B$21="Ja",ISNUMBER(Y1022)),Y1022,IF(Parameter!$B$20="Jahresanfang 2025 + Export",BR1022+BQ1022,BQ1022)))</f>
        <v>8</v>
      </c>
      <c r="I1022" s="50" t="n">
        <f aca="false">H1022*G1022</f>
        <v>122.16</v>
      </c>
      <c r="J1022" s="50" t="n">
        <f aca="false">BT1022*Parameter!$B$18</f>
        <v>8</v>
      </c>
      <c r="K1022" s="51" t="n">
        <v>8</v>
      </c>
      <c r="L1022" s="52" t="n">
        <v>1</v>
      </c>
      <c r="M1022" s="50" t="n">
        <v>1</v>
      </c>
      <c r="N1022" s="50" t="n">
        <v>10</v>
      </c>
      <c r="O1022" s="53" t="n">
        <v>56</v>
      </c>
      <c r="P1022" s="48" t="s">
        <v>177</v>
      </c>
      <c r="Q1022" s="50"/>
      <c r="R1022" s="53" t="n">
        <f aca="false">IF(BZ1022=1,0,IFERROR(VLOOKUP(BX1022,'Gebinde-Kategorie'!$A$5:$N$45,13,0)+0,0))</f>
        <v>26</v>
      </c>
      <c r="S1022" s="54"/>
      <c r="T1022" s="55" t="s">
        <v>284</v>
      </c>
      <c r="U1022" s="55"/>
      <c r="V1022" s="55"/>
      <c r="W1022" s="48"/>
      <c r="X1022" s="50"/>
      <c r="Y1022" s="50"/>
      <c r="Z1022" s="48" t="n">
        <f aca="false">IF(A1022="","",IF(AND(Parameter!$B$21="Ja",ISNUMBER(W1022)),W1022,IF(CC1022="2+3",IF(ISNUMBER(SEARCH("grosser Artikel",BU1022)),2,IFERROR(VLOOKUP(BX1022,Parameter!$F$35:$G$64,2,0),2)),IF(OR(CC1022="Nein",CC1022=""),"-",CC1022))))</f>
        <v>3</v>
      </c>
      <c r="AA1022" s="55"/>
      <c r="AB1022" s="56"/>
      <c r="AC1022" s="50" t="n">
        <f aca="false">AV1022</f>
        <v>11</v>
      </c>
      <c r="AD1022" s="50" t="n">
        <f aca="false">MAX(AV1022,H1022)</f>
        <v>11</v>
      </c>
      <c r="AE1022" s="57"/>
      <c r="AF1022" s="50" t="n">
        <f aca="false">IF(LEFT(Cockpit!$C$5,1)="A",H1022,IF(Parameter!$E$30="MAX-Bestand",IF(CH1022=1,CI1022,IF(LEFT(Cockpit!$C$5,1)="B",AL1022,MAX(AL1022,H1022))),ROUNDUP(AJ1022,0)))</f>
        <v>8</v>
      </c>
      <c r="AG1022" s="50" t="n">
        <f aca="false">IF(BZ1022=1,0,ROUNDUP(AF1022/BY1022,0))</f>
        <v>1</v>
      </c>
      <c r="AH1022" s="52" t="n">
        <f aca="false">IF(CQ1022&gt;0,CQ1022*MAX(1,AF1022/X1022),IF(BZ1022=1,IF(AF1022&lt;=0,0,CD1022*MAX(1,IF(H1022&gt;0,AF1022/H1022,1))),IF(R1022&gt;0,AG1022/R1022,0))/MAX(0.1,N(Parameter!$M$21)))</f>
        <v>0.0384615384615385</v>
      </c>
      <c r="AI1022" s="50" t="n">
        <f aca="false">AH1022*CB1022</f>
        <v>5.96153846153846</v>
      </c>
      <c r="AJ1022" s="51" t="n">
        <f aca="false">IF(LEFT(Cockpit!$C$5,1)="A",H1022,IF(CH1022=1,(CK1022+CI1022)/2,IF(LEFT(Cockpit!$C$5,1)="B",(CK1022+AL1022)/2,MAX((CK1022+AL1022)/2,H1022))))</f>
        <v>8</v>
      </c>
      <c r="AK1022" s="50" t="n">
        <f aca="false">AJ1022*G1022</f>
        <v>122.16</v>
      </c>
      <c r="AL1022" s="50" t="n">
        <f aca="false">ROUNDUP(CK1022+MAX(CL1022,2*(J1022/IF(CG1022&gt;0,CG1022,MAX(0.1,N(Cockpit!$C$6)))-CK1022)),0)</f>
        <v>11</v>
      </c>
      <c r="AM1022" s="51" t="n">
        <f aca="false">IF(AI1022&gt;0,J1022/AI1022,-1)</f>
        <v>1.34193548387097</v>
      </c>
      <c r="AN1022" s="51" t="n">
        <f aca="false">IF(AND(OR(CF1022="L1",CF1022="L23",CF1022="LIFT"),AI1022&gt;0),SUMIFS($AI$7:$AI$1843,$CF$7:$CF$1843,CF1022,$AM$7:$AM$1843,"&gt;"&amp;AM1022)+SUMIFS($AI$7:$AI$1843,$CF$7:$CF$1843,CF1022,$AM$7:$AM$1843,AM1022,$BW$7:$BW$1843,"&lt;="&amp;BW1022),"")</f>
        <v>6349.03250915751</v>
      </c>
      <c r="AO1022" s="58" t="n">
        <f aca="false">IF(AN1022="",0,MAX(0,MIN(1,(IF(CF1022="L1",Parameter!$H$5,IF(CF1022="L23",Parameter!$H$6+Parameter!$H$7,Parameter!$H$5+Parameter!$H$6+Parameter!$H$7))-(AN1022-AI1022))/AI1022)))</f>
        <v>1</v>
      </c>
      <c r="AP1022" s="50" t="n">
        <f aca="false">IF(LEFT(Cockpit!$I$5,1)="A",H1022,IF(Parameter!$E$30="MAX-Bestand",IF(CH1022=1,CI1022,IF(LEFT(Cockpit!$I$5,1)="B",AV1022,MAX(AV1022,H1022))),ROUNDUP(AT1022,0)))</f>
        <v>8</v>
      </c>
      <c r="AQ1022" s="50" t="n">
        <f aca="false">IF(BZ1022=1,0,ROUNDUP(AP1022/BY1022,0))</f>
        <v>1</v>
      </c>
      <c r="AR1022" s="52" t="n">
        <f aca="false">IF(CQ1022&gt;0,CQ1022*MAX(1,AP1022/X1022),IF(BZ1022=1,IF(AP1022&lt;=0,0,CD1022*MAX(1,IF(H1022&gt;0,AP1022/H1022,1))),IF(R1022&gt;0,AQ1022/R1022,0))/MAX(0.1,N(Parameter!$M$21)))</f>
        <v>0.0384615384615385</v>
      </c>
      <c r="AS1022" s="50" t="n">
        <f aca="false">AR1022*CB1022</f>
        <v>5.96153846153846</v>
      </c>
      <c r="AT1022" s="51" t="n">
        <f aca="false">IF(LEFT(Cockpit!$I$5,1)="A",H1022,IF(CH1022=1,(CK1022+CI1022)/2,IF(LEFT(Cockpit!$I$5,1)="B",(CK1022+AV1022)/2,MAX((CK1022+AV1022)/2,H1022))))</f>
        <v>8</v>
      </c>
      <c r="AU1022" s="50" t="n">
        <f aca="false">AT1022*G1022</f>
        <v>122.16</v>
      </c>
      <c r="AV1022" s="50" t="n">
        <f aca="false">ROUNDUP(CK1022+MAX(CL1022,2*(J1022/IF(CG1022&gt;0,CG1022,MAX(0.1,N(Cockpit!$I$6)))-CK1022)),0)</f>
        <v>11</v>
      </c>
      <c r="AW1022" s="51" t="n">
        <f aca="false">IF(AS1022&gt;0,J1022/AS1022,-1)</f>
        <v>1.34193548387097</v>
      </c>
      <c r="AX1022" s="51" t="n">
        <f aca="false">IF(AND(OR(CF1022="L1",CF1022="L23",CF1022="LIFT"),AS1022&gt;0),SUMIFS($AS$7:$AS$1843,$CF$7:$CF$1843,CF1022,$AW$7:$AW$1843,"&gt;"&amp;AW1022)+SUMIFS($AS$7:$AS$1843,$CF$7:$CF$1843,CF1022,$AW$7:$AW$1843,AW1022,$BW$7:$BW$1843,"&lt;="&amp;BW1022),"")</f>
        <v>7876.19688644689</v>
      </c>
      <c r="AY1022" s="58" t="n">
        <f aca="false">IF(AX1022="",0,MAX(0,MIN(1,(IF(CF1022="L1",Parameter!$H$5,IF(CF1022="L23",Parameter!$H$6+Parameter!$H$7,Parameter!$H$5+Parameter!$H$6+Parameter!$H$7))-(AX1022-AS1022))/AS1022)))</f>
        <v>1</v>
      </c>
      <c r="AZ1022" s="50" t="n">
        <f aca="false">IF(LEFT(Cockpit!$O$5,1)="A",H1022,IF(Parameter!$E$30="MAX-Bestand",IF(CH1022=1,CI1022,IF(LEFT(Cockpit!$O$5,1)="B",BF1022,MAX(BF1022,H1022))),ROUNDUP(BD1022,0)))</f>
        <v>6</v>
      </c>
      <c r="BA1022" s="50" t="n">
        <f aca="false">IF(BZ1022=1,0,ROUNDUP(AZ1022/BY1022,0))</f>
        <v>1</v>
      </c>
      <c r="BB1022" s="52" t="n">
        <f aca="false">IF(CQ1022&gt;0,CQ1022*MAX(1,AZ1022/X1022),IF(BZ1022=1,IF(AZ1022&lt;=0,0,CD1022*MAX(1,IF(H1022&gt;0,AZ1022/H1022,1))),IF(R1022&gt;0,BA1022/R1022,0))/MAX(0.1,N(Parameter!$M$21)))</f>
        <v>0.0384615384615385</v>
      </c>
      <c r="BC1022" s="50" t="n">
        <f aca="false">BB1022*CB1022</f>
        <v>5.96153846153846</v>
      </c>
      <c r="BD1022" s="51" t="n">
        <f aca="false">IF(LEFT(Cockpit!$O$5,1)="A",H1022,IF(CH1022=1,(CK1022+CI1022)/2,IF(LEFT(Cockpit!$O$5,1)="B",(CK1022+BF1022)/2,MAX((CK1022+BF1022)/2,H1022))))</f>
        <v>6</v>
      </c>
      <c r="BE1022" s="50" t="n">
        <f aca="false">BD1022*G1022</f>
        <v>91.62</v>
      </c>
      <c r="BF1022" s="50" t="n">
        <f aca="false">ROUNDUP(CK1022+MAX(CL1022,2*(J1022/IF(CG1022&gt;0,CG1022,MAX(0.1,N(Cockpit!$O$6)))-CK1022)),0)</f>
        <v>11</v>
      </c>
      <c r="BG1022" s="51" t="n">
        <f aca="false">IF(BC1022&gt;0,J1022/BC1022,-1)</f>
        <v>1.34193548387097</v>
      </c>
      <c r="BH1022" s="51" t="n">
        <f aca="false">IF(AND(OR(CF1022="L1",CF1022="L23",CF1022="LIFT"),BC1022&gt;0),SUMIFS($BC$7:$BC$1843,$CF$7:$CF$1843,CF1022,$BG$7:$BG$1843,"&gt;"&amp;BG1022)+SUMIFS($BC$7:$BC$1843,$CF$7:$CF$1843,CF1022,$BG$7:$BG$1843,BG1022,$BW$7:$BW$1843,"&lt;="&amp;BW1022),"")</f>
        <v>6813.41254578755</v>
      </c>
      <c r="BI1022" s="58" t="n">
        <f aca="false">IF(BH1022="",0,MAX(0,MIN(1,(IF(CF1022="L1",Parameter!$H$5,IF(CF1022="L23",Parameter!$H$6+Parameter!$H$7,Parameter!$H$5+Parameter!$H$6+Parameter!$H$7))-(BH1022-BC1022))/BC1022)))</f>
        <v>1</v>
      </c>
      <c r="BJ1022" s="48" t="str">
        <f aca="false">IF(AI1022&lt;=0,"",IF(CF1022="Aussen","Aussenlager",IF(CF1022="-","Nicht im Lift",IF(AO1022&gt;=1,"Lift",IF(AO1022&lt;=0,"Aussenlager","teilweise")))))</f>
        <v>Lift</v>
      </c>
      <c r="BK1022" s="48" t="str">
        <f aca="false">IF(AS1022&lt;=0,"",IF(CF1022="Aussen","Aussenlager",IF(CF1022="-","Nicht im Lift",IF(AY1022&gt;=1,"Lift",IF(AY1022&lt;=0,"Aussenlager","teilweise")))))</f>
        <v>Lift</v>
      </c>
      <c r="BL1022" s="48" t="str">
        <f aca="false">IF(BC1022&lt;=0,"",IF(CF1022="Aussen","Aussenlager",IF(CF1022="-","Nicht im Lift",IF(BI1022&gt;=1,"Lift",IF(BI1022&lt;=0,"Aussenlager","teilweise")))))</f>
        <v>Lift</v>
      </c>
      <c r="BM1022" s="48" t="str">
        <f aca="false">IF(A1022="","",IF(BV1022=1,"Neu; ","")&amp;IF(AND(BV1022=0,BQ1022&lt;0),"negativer Bestand (Export "&amp;BQ1022&amp;"); ","")&amp;IF(J1022&lt;=0,"Kein Verbrauch; ","")&amp;IF(CQ1022&gt;0,"Lift "&amp;W1022&amp;" lt. Liftbericht (Fach "&amp;X1022&amp;" Stk); ",IF(CA1022=1,"Gebinde geschätzt ("&amp;T1022&amp;"); ",IF(BZ1022=1,"Lose – Tablare geschätzt; ","")))&amp;IF(H1022&gt;AV1022,"Überbestand "&amp;ROUND(H1022-AV1022,0)&amp;" Stk / CHF "&amp;ROUND((H1022-AV1022)*G1022,0)&amp;"; ","")&amp;IF(AND(CH1022=1,CI1022&lt;CJ1022),"MAX &lt; MB+LG; ","")&amp;IF(AND(CP1022&gt;0,CO1022*10&gt;CP1022),"zu hoch für Tablar; ","")&amp;IF(AND(BV1022=0,OR(CH1022=1,AA1022&lt;&gt;"",U1022&lt;&gt;"",V1022&lt;&gt;"",AB1022&lt;&gt;"")),"manuell übersteuert; ","")&amp;IF(AND(BZ1022=0,R1022=0),"Gebinde unbekannt / Stellmass fehlt; ","")&amp;IF(AND(BZ1022=0,N(V1022)&lt;=0,N(Q1022)&lt;=0),"Menge pro Gebinde fehlt (Ist = 1 Gebinde); ","")&amp;BU1022)</f>
        <v>negativer Bestand (Export -8); Gebinde geschätzt (Klein); Menge pro Gebinde fehlt (Ist = 1 Gebinde); </v>
      </c>
      <c r="BN1022" s="48"/>
      <c r="BO1022" s="48"/>
      <c r="BP1022" s="55"/>
      <c r="BQ1022" s="50" t="n">
        <v>-8</v>
      </c>
      <c r="BR1022" s="50" t="n">
        <v>16</v>
      </c>
      <c r="BS1022" s="49" t="n">
        <v>-122.16</v>
      </c>
      <c r="BT1022" s="50" t="n">
        <v>8</v>
      </c>
      <c r="BU1022" s="48"/>
      <c r="BV1022" s="53" t="n">
        <v>0</v>
      </c>
      <c r="BW1022" s="53" t="n">
        <v>1022</v>
      </c>
      <c r="BX1022" s="48" t="str">
        <f aca="false">IF(U1022&lt;&gt;"",UPPER(TRIM(U1022)),IF(CA1022=1,UPPER(VLOOKUP(T1022,Parameter!$I$27:$K$29,2,0)),IF(P1022="","LOSE",P1022)))</f>
        <v>S51</v>
      </c>
      <c r="BY1022" s="50" t="n">
        <f aca="false">IF(BX1022="LOSE",1,IF(N(V1022)&gt;0,V1022,IF(CA1022=1,MAX(1,N(VLOOKUP(T1022,Parameter!$I$27:$K$29,3,0)),H1022,N(N1022)),IF(N(Q1022)&gt;0,Q1022,MAX(1,H1022)))))</f>
        <v>20</v>
      </c>
      <c r="BZ1022" s="53" t="n">
        <f aca="false">IF(BX1022="LOSE",1,0)</f>
        <v>0</v>
      </c>
      <c r="CA1022" s="53" t="n">
        <f aca="false">IF(AND(U1022="",OR(P1022="",P1022="LOSE"),T1022&lt;&gt;"",N(S1022)&lt;=0,ISNUMBER(MATCH(T1022,Parameter!$I$27:$I$29,0))),1,0)</f>
        <v>1</v>
      </c>
      <c r="CB1022" s="53" t="n">
        <f aca="false">IF(CQ1022&gt;0,INDEX(Parameter!$H$5:$H$7,W1022)/INDEX(Parameter!$E$5:$E$7,W1022),IF(AND(BZ1022=0,N(IFERROR(VLOOKUP(BX1022,'Gebinde-Kategorie'!$A$5:$N$45,14,0),0))&gt;0),VLOOKUP(BX1022,'Gebinde-Kategorie'!$A$5:$N$45,14,0)*10+Parameter!$M$23,Parameter!$M$24))</f>
        <v>155</v>
      </c>
      <c r="CC1022" s="48" t="str">
        <f aca="false">IF(AND(Parameter!$B$19="Ja",E1022&lt;&gt;"",ISNUMBER(MATCH(E1022,Parameter!$I$35:$I$52,0))),VLOOKUP(E1022,Parameter!$I$35:$J$52,2,0),IFERROR(VLOOKUP(D1022,Parameter!$A$35:$C$64,2,0),"Nein"))</f>
        <v>2+3</v>
      </c>
      <c r="CD1022" s="52" t="n">
        <f aca="false">IF(BZ1022=0,0,IF(N(S1022)&gt;0,S1022,IFERROR(VLOOKUP(D1022,Parameter!$A$35:$C$64,3,0)+0,0)))</f>
        <v>0</v>
      </c>
      <c r="CE1022" s="48" t="n">
        <f aca="false">IF(AA1022&lt;&gt;"",AA1022,Z1022)</f>
        <v>3</v>
      </c>
      <c r="CF1022" s="48" t="str">
        <f aca="false">IF(OR(CE1022=1,CE1022=2,CE1022=3),IF(Parameter!$E$27="Ja","LIFT",IF(CE1022=1,"L1","L23")),IF(CE1022="Aussen","Aussen","-"))</f>
        <v>LIFT</v>
      </c>
      <c r="CG1022" s="59" t="n">
        <f aca="false">IF(N(AB1022)&gt;0,AB1022,0)</f>
        <v>0</v>
      </c>
      <c r="CH1022" s="53" t="n">
        <f aca="false">IF(ISNUMBER(AE1022),1,0)</f>
        <v>0</v>
      </c>
      <c r="CI1022" s="50" t="n">
        <f aca="false">N(AE1022)</f>
        <v>0</v>
      </c>
      <c r="CJ1022" s="50" t="n">
        <f aca="false">N(M1022)+N(N1022)</f>
        <v>11</v>
      </c>
      <c r="CK1022" s="50" t="n">
        <f aca="false">N(M1022)</f>
        <v>1</v>
      </c>
      <c r="CL1022" s="50" t="n">
        <f aca="false">N(N1022)</f>
        <v>10</v>
      </c>
      <c r="CM1022" s="50" t="n">
        <f aca="false">ROUNDUP(H1022/BY1022,0)</f>
        <v>1</v>
      </c>
      <c r="CN1022" s="50" t="n">
        <f aca="false">ROUNDUP(CI1022/BY1022,0)</f>
        <v>0</v>
      </c>
      <c r="CO1022" s="53" t="n">
        <f aca="false">IF(BZ1022=1,0,IFERROR(VLOOKUP(BX1022,'Gebinde-Kategorie'!$A$5:$N$45,5,0)+0,0))</f>
        <v>11</v>
      </c>
      <c r="CP1022" s="53" t="n">
        <f aca="false">IFERROR(IF(OR(CE1022=1,CE1022=2,CE1022=3),N(INDEX(Parameter!$I$5:$I$7,CE1022)),0),0)</f>
        <v>0</v>
      </c>
      <c r="CQ1022" s="52" t="n">
        <f aca="false">IF(AND(Parameter!$B$21="Ja",ISNUMBER(W1022),N(X1022)&gt;0),IFERROR(N(INDEX(Parameter!$L$5:$L$7,W1022))*INDEX(Parameter!$E$5:$E$7,W1022)*X1022/SUMIFS($X$7:$X$1843,$W$7:$W$1843,W1022),0),0)</f>
        <v>0</v>
      </c>
    </row>
    <row r="1023" customFormat="false" ht="15" hidden="false" customHeight="false" outlineLevel="0" collapsed="false">
      <c r="A1023" s="48" t="s">
        <v>1889</v>
      </c>
      <c r="B1023" s="48" t="s">
        <v>1890</v>
      </c>
      <c r="C1023" s="48" t="s">
        <v>173</v>
      </c>
      <c r="D1023" s="48" t="s">
        <v>193</v>
      </c>
      <c r="E1023" s="48" t="s">
        <v>194</v>
      </c>
      <c r="F1023" s="48" t="s">
        <v>227</v>
      </c>
      <c r="G1023" s="49" t="n">
        <v>42.42</v>
      </c>
      <c r="H1023" s="50" t="n">
        <f aca="false">MAX(0,IF(AND(Parameter!$B$21="Ja",ISNUMBER(Y1023)),Y1023,IF(Parameter!$B$20="Jahresanfang 2025 + Export",BR1023+BQ1023,BQ1023)))</f>
        <v>4</v>
      </c>
      <c r="I1023" s="50" t="n">
        <f aca="false">H1023*G1023</f>
        <v>169.68</v>
      </c>
      <c r="J1023" s="50" t="n">
        <f aca="false">BT1023*Parameter!$B$18</f>
        <v>0</v>
      </c>
      <c r="K1023" s="51" t="n">
        <v>7</v>
      </c>
      <c r="L1023" s="52" t="n">
        <v>0</v>
      </c>
      <c r="M1023" s="50" t="n">
        <v>0</v>
      </c>
      <c r="N1023" s="50" t="n">
        <v>1</v>
      </c>
      <c r="O1023" s="53" t="n">
        <v>28</v>
      </c>
      <c r="P1023" s="48" t="s">
        <v>242</v>
      </c>
      <c r="Q1023" s="50" t="n">
        <v>12</v>
      </c>
      <c r="R1023" s="53" t="n">
        <f aca="false">IF(BZ1023=1,0,IFERROR(VLOOKUP(BX1023,'Gebinde-Kategorie'!$A$5:$N$45,13,0)+0,0))</f>
        <v>26</v>
      </c>
      <c r="S1023" s="54"/>
      <c r="T1023" s="55"/>
      <c r="U1023" s="55"/>
      <c r="V1023" s="55"/>
      <c r="W1023" s="48"/>
      <c r="X1023" s="50"/>
      <c r="Y1023" s="50"/>
      <c r="Z1023" s="48" t="n">
        <f aca="false">IF(A1023="","",IF(AND(Parameter!$B$21="Ja",ISNUMBER(W1023)),W1023,IF(CC1023="2+3",IF(ISNUMBER(SEARCH("grosser Artikel",BU1023)),2,IFERROR(VLOOKUP(BX1023,Parameter!$F$35:$G$64,2,0),2)),IF(OR(CC1023="Nein",CC1023=""),"-",CC1023))))</f>
        <v>3</v>
      </c>
      <c r="AA1023" s="55"/>
      <c r="AB1023" s="56"/>
      <c r="AC1023" s="50" t="n">
        <f aca="false">AV1023</f>
        <v>1</v>
      </c>
      <c r="AD1023" s="50" t="n">
        <f aca="false">MAX(AV1023,H1023)</f>
        <v>4</v>
      </c>
      <c r="AE1023" s="57"/>
      <c r="AF1023" s="50" t="n">
        <f aca="false">IF(LEFT(Cockpit!$C$5,1)="A",H1023,IF(Parameter!$E$30="MAX-Bestand",IF(CH1023=1,CI1023,IF(LEFT(Cockpit!$C$5,1)="B",AL1023,MAX(AL1023,H1023))),ROUNDUP(AJ1023,0)))</f>
        <v>4</v>
      </c>
      <c r="AG1023" s="50" t="n">
        <f aca="false">IF(BZ1023=1,0,ROUNDUP(AF1023/BY1023,0))</f>
        <v>1</v>
      </c>
      <c r="AH1023" s="52" t="n">
        <f aca="false">IF(CQ1023&gt;0,CQ1023*MAX(1,AF1023/X1023),IF(BZ1023=1,IF(AF1023&lt;=0,0,CD1023*MAX(1,IF(H1023&gt;0,AF1023/H1023,1))),IF(R1023&gt;0,AG1023/R1023,0))/MAX(0.1,N(Parameter!$M$21)))</f>
        <v>0.0384615384615385</v>
      </c>
      <c r="AI1023" s="50" t="n">
        <f aca="false">AH1023*CB1023</f>
        <v>9.42307692307692</v>
      </c>
      <c r="AJ1023" s="51" t="n">
        <f aca="false">IF(LEFT(Cockpit!$C$5,1)="A",H1023,IF(CH1023=1,(CK1023+CI1023)/2,IF(LEFT(Cockpit!$C$5,1)="B",(CK1023+AL1023)/2,MAX((CK1023+AL1023)/2,H1023))))</f>
        <v>4</v>
      </c>
      <c r="AK1023" s="50" t="n">
        <f aca="false">AJ1023*G1023</f>
        <v>169.68</v>
      </c>
      <c r="AL1023" s="50" t="n">
        <f aca="false">ROUNDUP(CK1023+MAX(CL1023,2*(J1023/IF(CG1023&gt;0,CG1023,MAX(0.1,N(Cockpit!$C$6)))-CK1023)),0)</f>
        <v>1</v>
      </c>
      <c r="AM1023" s="51" t="n">
        <f aca="false">IF(AI1023&gt;0,J1023/AI1023,-1)</f>
        <v>0</v>
      </c>
      <c r="AN1023" s="51" t="n">
        <f aca="false">IF(AND(OR(CF1023="L1",CF1023="L23",CF1023="LIFT"),AI1023&gt;0),SUMIFS($AI$7:$AI$1843,$CF$7:$CF$1843,CF1023,$AM$7:$AM$1843,"&gt;"&amp;AM1023)+SUMIFS($AI$7:$AI$1843,$CF$7:$CF$1843,CF1023,$AM$7:$AM$1843,AM1023,$BW$7:$BW$1843,"&lt;="&amp;BW1023),"")</f>
        <v>29016.0633549595</v>
      </c>
      <c r="AO1023" s="58" t="n">
        <f aca="false">IF(AN1023="",0,MAX(0,MIN(1,(IF(CF1023="L1",Parameter!$H$5,IF(CF1023="L23",Parameter!$H$6+Parameter!$H$7,Parameter!$H$5+Parameter!$H$6+Parameter!$H$7))-(AN1023-AI1023))/AI1023)))</f>
        <v>1</v>
      </c>
      <c r="AP1023" s="50" t="n">
        <f aca="false">IF(LEFT(Cockpit!$I$5,1)="A",H1023,IF(Parameter!$E$30="MAX-Bestand",IF(CH1023=1,CI1023,IF(LEFT(Cockpit!$I$5,1)="B",AV1023,MAX(AV1023,H1023))),ROUNDUP(AT1023,0)))</f>
        <v>4</v>
      </c>
      <c r="AQ1023" s="50" t="n">
        <f aca="false">IF(BZ1023=1,0,ROUNDUP(AP1023/BY1023,0))</f>
        <v>1</v>
      </c>
      <c r="AR1023" s="52" t="n">
        <f aca="false">IF(CQ1023&gt;0,CQ1023*MAX(1,AP1023/X1023),IF(BZ1023=1,IF(AP1023&lt;=0,0,CD1023*MAX(1,IF(H1023&gt;0,AP1023/H1023,1))),IF(R1023&gt;0,AQ1023/R1023,0))/MAX(0.1,N(Parameter!$M$21)))</f>
        <v>0.0384615384615385</v>
      </c>
      <c r="AS1023" s="50" t="n">
        <f aca="false">AR1023*CB1023</f>
        <v>9.42307692307692</v>
      </c>
      <c r="AT1023" s="51" t="n">
        <f aca="false">IF(LEFT(Cockpit!$I$5,1)="A",H1023,IF(CH1023=1,(CK1023+CI1023)/2,IF(LEFT(Cockpit!$I$5,1)="B",(CK1023+AV1023)/2,MAX((CK1023+AV1023)/2,H1023))))</f>
        <v>4</v>
      </c>
      <c r="AU1023" s="50" t="n">
        <f aca="false">AT1023*G1023</f>
        <v>169.68</v>
      </c>
      <c r="AV1023" s="50" t="n">
        <f aca="false">ROUNDUP(CK1023+MAX(CL1023,2*(J1023/IF(CG1023&gt;0,CG1023,MAX(0.1,N(Cockpit!$I$6)))-CK1023)),0)</f>
        <v>1</v>
      </c>
      <c r="AW1023" s="51" t="n">
        <f aca="false">IF(AS1023&gt;0,J1023/AS1023,-1)</f>
        <v>0</v>
      </c>
      <c r="AX1023" s="51" t="n">
        <f aca="false">IF(AND(OR(CF1023="L1",CF1023="L23",CF1023="LIFT"),AS1023&gt;0),SUMIFS($AS$7:$AS$1843,$CF$7:$CF$1843,CF1023,$AW$7:$AW$1843,"&gt;"&amp;AW1023)+SUMIFS($AS$7:$AS$1843,$CF$7:$CF$1843,CF1023,$AW$7:$AW$1843,AW1023,$BW$7:$BW$1843,"&lt;="&amp;BW1023),"")</f>
        <v>34716.9450549451</v>
      </c>
      <c r="AY1023" s="58" t="n">
        <f aca="false">IF(AX1023="",0,MAX(0,MIN(1,(IF(CF1023="L1",Parameter!$H$5,IF(CF1023="L23",Parameter!$H$6+Parameter!$H$7,Parameter!$H$5+Parameter!$H$6+Parameter!$H$7))-(AX1023-AS1023))/AS1023)))</f>
        <v>1</v>
      </c>
      <c r="AZ1023" s="50" t="n">
        <f aca="false">IF(LEFT(Cockpit!$O$5,1)="A",H1023,IF(Parameter!$E$30="MAX-Bestand",IF(CH1023=1,CI1023,IF(LEFT(Cockpit!$O$5,1)="B",BF1023,MAX(BF1023,H1023))),ROUNDUP(BD1023,0)))</f>
        <v>1</v>
      </c>
      <c r="BA1023" s="50" t="n">
        <f aca="false">IF(BZ1023=1,0,ROUNDUP(AZ1023/BY1023,0))</f>
        <v>1</v>
      </c>
      <c r="BB1023" s="52" t="n">
        <f aca="false">IF(CQ1023&gt;0,CQ1023*MAX(1,AZ1023/X1023),IF(BZ1023=1,IF(AZ1023&lt;=0,0,CD1023*MAX(1,IF(H1023&gt;0,AZ1023/H1023,1))),IF(R1023&gt;0,BA1023/R1023,0))/MAX(0.1,N(Parameter!$M$21)))</f>
        <v>0.0384615384615385</v>
      </c>
      <c r="BC1023" s="50" t="n">
        <f aca="false">BB1023*CB1023</f>
        <v>9.42307692307692</v>
      </c>
      <c r="BD1023" s="51" t="n">
        <f aca="false">IF(LEFT(Cockpit!$O$5,1)="A",H1023,IF(CH1023=1,(CK1023+CI1023)/2,IF(LEFT(Cockpit!$O$5,1)="B",(CK1023+BF1023)/2,MAX((CK1023+BF1023)/2,H1023))))</f>
        <v>0.5</v>
      </c>
      <c r="BE1023" s="50" t="n">
        <f aca="false">BD1023*G1023</f>
        <v>21.21</v>
      </c>
      <c r="BF1023" s="50" t="n">
        <f aca="false">ROUNDUP(CK1023+MAX(CL1023,2*(J1023/IF(CG1023&gt;0,CG1023,MAX(0.1,N(Cockpit!$O$6)))-CK1023)),0)</f>
        <v>1</v>
      </c>
      <c r="BG1023" s="51" t="n">
        <f aca="false">IF(BC1023&gt;0,J1023/BC1023,-1)</f>
        <v>0</v>
      </c>
      <c r="BH1023" s="51" t="n">
        <f aca="false">IF(AND(OR(CF1023="L1",CF1023="L23",CF1023="LIFT"),BC1023&gt;0),SUMIFS($BC$7:$BC$1843,$CF$7:$CF$1843,CF1023,$BG$7:$BG$1843,"&gt;"&amp;BG1023)+SUMIFS($BC$7:$BC$1843,$CF$7:$CF$1843,CF1023,$BG$7:$BG$1843,BG1023,$BW$7:$BW$1843,"&lt;="&amp;BW1023),"")</f>
        <v>28732.0594074005</v>
      </c>
      <c r="BI1023" s="58" t="n">
        <f aca="false">IF(BH1023="",0,MAX(0,MIN(1,(IF(CF1023="L1",Parameter!$H$5,IF(CF1023="L23",Parameter!$H$6+Parameter!$H$7,Parameter!$H$5+Parameter!$H$6+Parameter!$H$7))-(BH1023-BC1023))/BC1023)))</f>
        <v>1</v>
      </c>
      <c r="BJ1023" s="48" t="str">
        <f aca="false">IF(AI1023&lt;=0,"",IF(CF1023="Aussen","Aussenlager",IF(CF1023="-","Nicht im Lift",IF(AO1023&gt;=1,"Lift",IF(AO1023&lt;=0,"Aussenlager","teilweise")))))</f>
        <v>Lift</v>
      </c>
      <c r="BK1023" s="48" t="str">
        <f aca="false">IF(AS1023&lt;=0,"",IF(CF1023="Aussen","Aussenlager",IF(CF1023="-","Nicht im Lift",IF(AY1023&gt;=1,"Lift",IF(AY1023&lt;=0,"Aussenlager","teilweise")))))</f>
        <v>Lift</v>
      </c>
      <c r="BL1023" s="48" t="str">
        <f aca="false">IF(BC1023&lt;=0,"",IF(CF1023="Aussen","Aussenlager",IF(CF1023="-","Nicht im Lift",IF(BI1023&gt;=1,"Lift",IF(BI1023&lt;=0,"Aussenlager","teilweise")))))</f>
        <v>Lift</v>
      </c>
      <c r="BM1023" s="48" t="str">
        <f aca="false">IF(A1023="","",IF(BV1023=1,"Neu; ","")&amp;IF(AND(BV1023=0,BQ1023&lt;0),"negativer Bestand (Export "&amp;BQ1023&amp;"); ","")&amp;IF(J1023&lt;=0,"Kein Verbrauch; ","")&amp;IF(CQ1023&gt;0,"Lift "&amp;W1023&amp;" lt. Liftbericht (Fach "&amp;X1023&amp;" Stk); ",IF(CA1023=1,"Gebinde geschätzt ("&amp;T1023&amp;"); ",IF(BZ1023=1,"Lose – Tablare geschätzt; ","")))&amp;IF(H1023&gt;AV1023,"Überbestand "&amp;ROUND(H1023-AV1023,0)&amp;" Stk / CHF "&amp;ROUND((H1023-AV1023)*G1023,0)&amp;"; ","")&amp;IF(AND(CH1023=1,CI1023&lt;CJ1023),"MAX &lt; MB+LG; ","")&amp;IF(AND(CP1023&gt;0,CO1023*10&gt;CP1023),"zu hoch für Tablar; ","")&amp;IF(AND(BV1023=0,OR(CH1023=1,AA1023&lt;&gt;"",U1023&lt;&gt;"",V1023&lt;&gt;"",AB1023&lt;&gt;"")),"manuell übersteuert; ","")&amp;IF(AND(BZ1023=0,R1023=0),"Gebinde unbekannt / Stellmass fehlt; ","")&amp;IF(AND(BZ1023=0,N(V1023)&lt;=0,N(Q1023)&lt;=0),"Menge pro Gebinde fehlt (Ist = 1 Gebinde); ","")&amp;BU1023)</f>
        <v>negativer Bestand (Export -3); Kein Verbrauch; Überbestand 3 Stk / CHF 127; Neu</v>
      </c>
      <c r="BN1023" s="48"/>
      <c r="BO1023" s="48"/>
      <c r="BP1023" s="55"/>
      <c r="BQ1023" s="50" t="n">
        <v>-3</v>
      </c>
      <c r="BR1023" s="50" t="n">
        <v>7</v>
      </c>
      <c r="BS1023" s="49" t="n">
        <v>-122.22</v>
      </c>
      <c r="BT1023" s="50" t="n">
        <v>0</v>
      </c>
      <c r="BU1023" s="48" t="s">
        <v>635</v>
      </c>
      <c r="BV1023" s="53" t="n">
        <v>0</v>
      </c>
      <c r="BW1023" s="53" t="n">
        <v>1023</v>
      </c>
      <c r="BX1023" s="48" t="str">
        <f aca="false">IF(U1023&lt;&gt;"",UPPER(TRIM(U1023)),IF(CA1023=1,UPPER(VLOOKUP(T1023,Parameter!$I$27:$K$29,2,0)),IF(P1023="","LOSE",P1023)))</f>
        <v>S52</v>
      </c>
      <c r="BY1023" s="50" t="n">
        <f aca="false">IF(BX1023="LOSE",1,IF(N(V1023)&gt;0,V1023,IF(CA1023=1,MAX(1,N(VLOOKUP(T1023,Parameter!$I$27:$K$29,3,0)),H1023,N(N1023)),IF(N(Q1023)&gt;0,Q1023,MAX(1,H1023)))))</f>
        <v>12</v>
      </c>
      <c r="BZ1023" s="53" t="n">
        <f aca="false">IF(BX1023="LOSE",1,0)</f>
        <v>0</v>
      </c>
      <c r="CA1023" s="53" t="n">
        <f aca="false">IF(AND(U1023="",OR(P1023="",P1023="LOSE"),T1023&lt;&gt;"",N(S1023)&lt;=0,ISNUMBER(MATCH(T1023,Parameter!$I$27:$I$29,0))),1,0)</f>
        <v>0</v>
      </c>
      <c r="CB1023" s="53" t="n">
        <f aca="false">IF(CQ1023&gt;0,INDEX(Parameter!$H$5:$H$7,W1023)/INDEX(Parameter!$E$5:$E$7,W1023),IF(AND(BZ1023=0,N(IFERROR(VLOOKUP(BX1023,'Gebinde-Kategorie'!$A$5:$N$45,14,0),0))&gt;0),VLOOKUP(BX1023,'Gebinde-Kategorie'!$A$5:$N$45,14,0)*10+Parameter!$M$23,Parameter!$M$24))</f>
        <v>245</v>
      </c>
      <c r="CC1023" s="48" t="str">
        <f aca="false">IF(AND(Parameter!$B$19="Ja",E1023&lt;&gt;"",ISNUMBER(MATCH(E1023,Parameter!$I$35:$I$52,0))),VLOOKUP(E1023,Parameter!$I$35:$J$52,2,0),IFERROR(VLOOKUP(D1023,Parameter!$A$35:$C$64,2,0),"Nein"))</f>
        <v>2+3</v>
      </c>
      <c r="CD1023" s="52" t="n">
        <f aca="false">IF(BZ1023=0,0,IF(N(S1023)&gt;0,S1023,IFERROR(VLOOKUP(D1023,Parameter!$A$35:$C$64,3,0)+0,0)))</f>
        <v>0</v>
      </c>
      <c r="CE1023" s="48" t="n">
        <f aca="false">IF(AA1023&lt;&gt;"",AA1023,Z1023)</f>
        <v>3</v>
      </c>
      <c r="CF1023" s="48" t="str">
        <f aca="false">IF(OR(CE1023=1,CE1023=2,CE1023=3),IF(Parameter!$E$27="Ja","LIFT",IF(CE1023=1,"L1","L23")),IF(CE1023="Aussen","Aussen","-"))</f>
        <v>LIFT</v>
      </c>
      <c r="CG1023" s="59" t="n">
        <f aca="false">IF(N(AB1023)&gt;0,AB1023,0)</f>
        <v>0</v>
      </c>
      <c r="CH1023" s="53" t="n">
        <f aca="false">IF(ISNUMBER(AE1023),1,0)</f>
        <v>0</v>
      </c>
      <c r="CI1023" s="50" t="n">
        <f aca="false">N(AE1023)</f>
        <v>0</v>
      </c>
      <c r="CJ1023" s="50" t="n">
        <f aca="false">N(M1023)+N(N1023)</f>
        <v>1</v>
      </c>
      <c r="CK1023" s="50" t="n">
        <f aca="false">N(M1023)</f>
        <v>0</v>
      </c>
      <c r="CL1023" s="50" t="n">
        <f aca="false">N(N1023)</f>
        <v>1</v>
      </c>
      <c r="CM1023" s="50" t="n">
        <f aca="false">ROUNDUP(H1023/BY1023,0)</f>
        <v>1</v>
      </c>
      <c r="CN1023" s="50" t="n">
        <f aca="false">ROUNDUP(CI1023/BY1023,0)</f>
        <v>0</v>
      </c>
      <c r="CO1023" s="53" t="n">
        <f aca="false">IF(BZ1023=1,0,IFERROR(VLOOKUP(BX1023,'Gebinde-Kategorie'!$A$5:$N$45,5,0)+0,0))</f>
        <v>21</v>
      </c>
      <c r="CP1023" s="53" t="n">
        <f aca="false">IFERROR(IF(OR(CE1023=1,CE1023=2,CE1023=3),N(INDEX(Parameter!$I$5:$I$7,CE1023)),0),0)</f>
        <v>0</v>
      </c>
      <c r="CQ1023" s="52" t="n">
        <f aca="false">IF(AND(Parameter!$B$21="Ja",ISNUMBER(W1023),N(X1023)&gt;0),IFERROR(N(INDEX(Parameter!$L$5:$L$7,W1023))*INDEX(Parameter!$E$5:$E$7,W1023)*X1023/SUMIFS($X$7:$X$1843,$W$7:$W$1843,W1023),0),0)</f>
        <v>0</v>
      </c>
    </row>
    <row r="1024" customFormat="false" ht="15" hidden="false" customHeight="false" outlineLevel="0" collapsed="false">
      <c r="A1024" s="48" t="s">
        <v>1891</v>
      </c>
      <c r="B1024" s="48" t="s">
        <v>1892</v>
      </c>
      <c r="C1024" s="48" t="s">
        <v>173</v>
      </c>
      <c r="D1024" s="48" t="s">
        <v>193</v>
      </c>
      <c r="E1024" s="48" t="s">
        <v>194</v>
      </c>
      <c r="F1024" s="48" t="s">
        <v>227</v>
      </c>
      <c r="G1024" s="49" t="n">
        <v>124</v>
      </c>
      <c r="H1024" s="50" t="n">
        <f aca="false">MAX(0,IF(AND(Parameter!$B$21="Ja",ISNUMBER(Y1024)),Y1024,IF(Parameter!$B$20="Jahresanfang 2025 + Export",BR1024+BQ1024,BQ1024)))</f>
        <v>39</v>
      </c>
      <c r="I1024" s="50" t="n">
        <f aca="false">H1024*G1024</f>
        <v>4836</v>
      </c>
      <c r="J1024" s="50" t="n">
        <f aca="false">BT1024*Parameter!$B$18</f>
        <v>2</v>
      </c>
      <c r="K1024" s="51" t="n">
        <v>39</v>
      </c>
      <c r="L1024" s="52" t="n">
        <v>0.0512820512820513</v>
      </c>
      <c r="M1024" s="50" t="n">
        <v>0</v>
      </c>
      <c r="N1024" s="50" t="n">
        <v>1</v>
      </c>
      <c r="O1024" s="53" t="n">
        <v>35</v>
      </c>
      <c r="P1024" s="48" t="s">
        <v>242</v>
      </c>
      <c r="Q1024" s="50" t="n">
        <v>45</v>
      </c>
      <c r="R1024" s="53" t="n">
        <f aca="false">IF(BZ1024=1,0,IFERROR(VLOOKUP(BX1024,'Gebinde-Kategorie'!$A$5:$N$45,13,0)+0,0))</f>
        <v>26</v>
      </c>
      <c r="S1024" s="54"/>
      <c r="T1024" s="55"/>
      <c r="U1024" s="55"/>
      <c r="V1024" s="55"/>
      <c r="W1024" s="48"/>
      <c r="X1024" s="50"/>
      <c r="Y1024" s="50"/>
      <c r="Z1024" s="48" t="n">
        <f aca="false">IF(A1024="","",IF(AND(Parameter!$B$21="Ja",ISNUMBER(W1024)),W1024,IF(CC1024="2+3",IF(ISNUMBER(SEARCH("grosser Artikel",BU1024)),2,IFERROR(VLOOKUP(BX1024,Parameter!$F$35:$G$64,2,0),2)),IF(OR(CC1024="Nein",CC1024=""),"-",CC1024))))</f>
        <v>3</v>
      </c>
      <c r="AA1024" s="55"/>
      <c r="AB1024" s="56"/>
      <c r="AC1024" s="50" t="n">
        <f aca="false">AV1024</f>
        <v>2</v>
      </c>
      <c r="AD1024" s="50" t="n">
        <f aca="false">MAX(AV1024,H1024)</f>
        <v>39</v>
      </c>
      <c r="AE1024" s="57"/>
      <c r="AF1024" s="50" t="n">
        <f aca="false">IF(LEFT(Cockpit!$C$5,1)="A",H1024,IF(Parameter!$E$30="MAX-Bestand",IF(CH1024=1,CI1024,IF(LEFT(Cockpit!$C$5,1)="B",AL1024,MAX(AL1024,H1024))),ROUNDUP(AJ1024,0)))</f>
        <v>39</v>
      </c>
      <c r="AG1024" s="50" t="n">
        <f aca="false">IF(BZ1024=1,0,ROUNDUP(AF1024/BY1024,0))</f>
        <v>1</v>
      </c>
      <c r="AH1024" s="52" t="n">
        <f aca="false">IF(CQ1024&gt;0,CQ1024*MAX(1,AF1024/X1024),IF(BZ1024=1,IF(AF1024&lt;=0,0,CD1024*MAX(1,IF(H1024&gt;0,AF1024/H1024,1))),IF(R1024&gt;0,AG1024/R1024,0))/MAX(0.1,N(Parameter!$M$21)))</f>
        <v>0.0384615384615385</v>
      </c>
      <c r="AI1024" s="50" t="n">
        <f aca="false">AH1024*CB1024</f>
        <v>9.42307692307692</v>
      </c>
      <c r="AJ1024" s="51" t="n">
        <f aca="false">IF(LEFT(Cockpit!$C$5,1)="A",H1024,IF(CH1024=1,(CK1024+CI1024)/2,IF(LEFT(Cockpit!$C$5,1)="B",(CK1024+AL1024)/2,MAX((CK1024+AL1024)/2,H1024))))</f>
        <v>39</v>
      </c>
      <c r="AK1024" s="50" t="n">
        <f aca="false">AJ1024*G1024</f>
        <v>4836</v>
      </c>
      <c r="AL1024" s="50" t="n">
        <f aca="false">ROUNDUP(CK1024+MAX(CL1024,2*(J1024/IF(CG1024&gt;0,CG1024,MAX(0.1,N(Cockpit!$C$6)))-CK1024)),0)</f>
        <v>2</v>
      </c>
      <c r="AM1024" s="51" t="n">
        <f aca="false">IF(AI1024&gt;0,J1024/AI1024,-1)</f>
        <v>0.212244897959184</v>
      </c>
      <c r="AN1024" s="51" t="n">
        <f aca="false">IF(AND(OR(CF1024="L1",CF1024="L23",CF1024="LIFT"),AI1024&gt;0),SUMIFS($AI$7:$AI$1843,$CF$7:$CF$1843,CF1024,$AM$7:$AM$1843,"&gt;"&amp;AM1024)+SUMIFS($AI$7:$AI$1843,$CF$7:$CF$1843,CF1024,$AM$7:$AM$1843,AM1024,$BW$7:$BW$1843,"&lt;="&amp;BW1024),"")</f>
        <v>12373.5478234101</v>
      </c>
      <c r="AO1024" s="58" t="n">
        <f aca="false">IF(AN1024="",0,MAX(0,MIN(1,(IF(CF1024="L1",Parameter!$H$5,IF(CF1024="L23",Parameter!$H$6+Parameter!$H$7,Parameter!$H$5+Parameter!$H$6+Parameter!$H$7))-(AN1024-AI1024))/AI1024)))</f>
        <v>1</v>
      </c>
      <c r="AP1024" s="50" t="n">
        <f aca="false">IF(LEFT(Cockpit!$I$5,1)="A",H1024,IF(Parameter!$E$30="MAX-Bestand",IF(CH1024=1,CI1024,IF(LEFT(Cockpit!$I$5,1)="B",AV1024,MAX(AV1024,H1024))),ROUNDUP(AT1024,0)))</f>
        <v>39</v>
      </c>
      <c r="AQ1024" s="50" t="n">
        <f aca="false">IF(BZ1024=1,0,ROUNDUP(AP1024/BY1024,0))</f>
        <v>1</v>
      </c>
      <c r="AR1024" s="52" t="n">
        <f aca="false">IF(CQ1024&gt;0,CQ1024*MAX(1,AP1024/X1024),IF(BZ1024=1,IF(AP1024&lt;=0,0,CD1024*MAX(1,IF(H1024&gt;0,AP1024/H1024,1))),IF(R1024&gt;0,AQ1024/R1024,0))/MAX(0.1,N(Parameter!$M$21)))</f>
        <v>0.0384615384615385</v>
      </c>
      <c r="AS1024" s="50" t="n">
        <f aca="false">AR1024*CB1024</f>
        <v>9.42307692307692</v>
      </c>
      <c r="AT1024" s="51" t="n">
        <f aca="false">IF(LEFT(Cockpit!$I$5,1)="A",H1024,IF(CH1024=1,(CK1024+CI1024)/2,IF(LEFT(Cockpit!$I$5,1)="B",(CK1024+AV1024)/2,MAX((CK1024+AV1024)/2,H1024))))</f>
        <v>39</v>
      </c>
      <c r="AU1024" s="50" t="n">
        <f aca="false">AT1024*G1024</f>
        <v>4836</v>
      </c>
      <c r="AV1024" s="50" t="n">
        <f aca="false">ROUNDUP(CK1024+MAX(CL1024,2*(J1024/IF(CG1024&gt;0,CG1024,MAX(0.1,N(Cockpit!$I$6)))-CK1024)),0)</f>
        <v>2</v>
      </c>
      <c r="AW1024" s="51" t="n">
        <f aca="false">IF(AS1024&gt;0,J1024/AS1024,-1)</f>
        <v>0.212244897959184</v>
      </c>
      <c r="AX1024" s="51" t="n">
        <f aca="false">IF(AND(OR(CF1024="L1",CF1024="L23",CF1024="LIFT"),AS1024&gt;0),SUMIFS($AS$7:$AS$1843,$CF$7:$CF$1843,CF1024,$AW$7:$AW$1843,"&gt;"&amp;AW1024)+SUMIFS($AS$7:$AS$1843,$CF$7:$CF$1843,CF1024,$AW$7:$AW$1843,AW1024,$BW$7:$BW$1843,"&lt;="&amp;BW1024),"")</f>
        <v>15202.8054029304</v>
      </c>
      <c r="AY1024" s="58" t="n">
        <f aca="false">IF(AX1024="",0,MAX(0,MIN(1,(IF(CF1024="L1",Parameter!$H$5,IF(CF1024="L23",Parameter!$H$6+Parameter!$H$7,Parameter!$H$5+Parameter!$H$6+Parameter!$H$7))-(AX1024-AS1024))/AS1024)))</f>
        <v>1</v>
      </c>
      <c r="AZ1024" s="50" t="n">
        <f aca="false">IF(LEFT(Cockpit!$O$5,1)="A",H1024,IF(Parameter!$E$30="MAX-Bestand",IF(CH1024=1,CI1024,IF(LEFT(Cockpit!$O$5,1)="B",BF1024,MAX(BF1024,H1024))),ROUNDUP(BD1024,0)))</f>
        <v>1</v>
      </c>
      <c r="BA1024" s="50" t="n">
        <f aca="false">IF(BZ1024=1,0,ROUNDUP(AZ1024/BY1024,0))</f>
        <v>1</v>
      </c>
      <c r="BB1024" s="52" t="n">
        <f aca="false">IF(CQ1024&gt;0,CQ1024*MAX(1,AZ1024/X1024),IF(BZ1024=1,IF(AZ1024&lt;=0,0,CD1024*MAX(1,IF(H1024&gt;0,AZ1024/H1024,1))),IF(R1024&gt;0,BA1024/R1024,0))/MAX(0.1,N(Parameter!$M$21)))</f>
        <v>0.0384615384615385</v>
      </c>
      <c r="BC1024" s="50" t="n">
        <f aca="false">BB1024*CB1024</f>
        <v>9.42307692307692</v>
      </c>
      <c r="BD1024" s="51" t="n">
        <f aca="false">IF(LEFT(Cockpit!$O$5,1)="A",H1024,IF(CH1024=1,(CK1024+CI1024)/2,IF(LEFT(Cockpit!$O$5,1)="B",(CK1024+BF1024)/2,MAX((CK1024+BF1024)/2,H1024))))</f>
        <v>0.5</v>
      </c>
      <c r="BE1024" s="50" t="n">
        <f aca="false">BD1024*G1024</f>
        <v>62</v>
      </c>
      <c r="BF1024" s="50" t="n">
        <f aca="false">ROUNDUP(CK1024+MAX(CL1024,2*(J1024/IF(CG1024&gt;0,CG1024,MAX(0.1,N(Cockpit!$O$6)))-CK1024)),0)</f>
        <v>1</v>
      </c>
      <c r="BG1024" s="51" t="n">
        <f aca="false">IF(BC1024&gt;0,J1024/BC1024,-1)</f>
        <v>0.212244897959184</v>
      </c>
      <c r="BH1024" s="51" t="n">
        <f aca="false">IF(AND(OR(CF1024="L1",CF1024="L23",CF1024="LIFT"),BC1024&gt;0),SUMIFS($BC$7:$BC$1843,$CF$7:$CF$1843,CF1024,$BG$7:$BG$1843,"&gt;"&amp;BG1024)+SUMIFS($BC$7:$BC$1843,$CF$7:$CF$1843,CF1024,$BG$7:$BG$1843,BG1024,$BW$7:$BW$1843,"&lt;="&amp;BW1024),"")</f>
        <v>12345.0902014652</v>
      </c>
      <c r="BI1024" s="58" t="n">
        <f aca="false">IF(BH1024="",0,MAX(0,MIN(1,(IF(CF1024="L1",Parameter!$H$5,IF(CF1024="L23",Parameter!$H$6+Parameter!$H$7,Parameter!$H$5+Parameter!$H$6+Parameter!$H$7))-(BH1024-BC1024))/BC1024)))</f>
        <v>1</v>
      </c>
      <c r="BJ1024" s="48" t="str">
        <f aca="false">IF(AI1024&lt;=0,"",IF(CF1024="Aussen","Aussenlager",IF(CF1024="-","Nicht im Lift",IF(AO1024&gt;=1,"Lift",IF(AO1024&lt;=0,"Aussenlager","teilweise")))))</f>
        <v>Lift</v>
      </c>
      <c r="BK1024" s="48" t="str">
        <f aca="false">IF(AS1024&lt;=0,"",IF(CF1024="Aussen","Aussenlager",IF(CF1024="-","Nicht im Lift",IF(AY1024&gt;=1,"Lift",IF(AY1024&lt;=0,"Aussenlager","teilweise")))))</f>
        <v>Lift</v>
      </c>
      <c r="BL1024" s="48" t="str">
        <f aca="false">IF(BC1024&lt;=0,"",IF(CF1024="Aussen","Aussenlager",IF(CF1024="-","Nicht im Lift",IF(BI1024&gt;=1,"Lift",IF(BI1024&lt;=0,"Aussenlager","teilweise")))))</f>
        <v>Lift</v>
      </c>
      <c r="BM1024" s="48" t="str">
        <f aca="false">IF(A1024="","",IF(BV1024=1,"Neu; ","")&amp;IF(AND(BV1024=0,BQ1024&lt;0),"negativer Bestand (Export "&amp;BQ1024&amp;"); ","")&amp;IF(J1024&lt;=0,"Kein Verbrauch; ","")&amp;IF(CQ1024&gt;0,"Lift "&amp;W1024&amp;" lt. Liftbericht (Fach "&amp;X1024&amp;" Stk); ",IF(CA1024=1,"Gebinde geschätzt ("&amp;T1024&amp;"); ",IF(BZ1024=1,"Lose – Tablare geschätzt; ","")))&amp;IF(H1024&gt;AV1024,"Überbestand "&amp;ROUND(H1024-AV1024,0)&amp;" Stk / CHF "&amp;ROUND((H1024-AV1024)*G1024,0)&amp;"; ","")&amp;IF(AND(CH1024=1,CI1024&lt;CJ1024),"MAX &lt; MB+LG; ","")&amp;IF(AND(CP1024&gt;0,CO1024*10&gt;CP1024),"zu hoch für Tablar; ","")&amp;IF(AND(BV1024=0,OR(CH1024=1,AA1024&lt;&gt;"",U1024&lt;&gt;"",V1024&lt;&gt;"",AB1024&lt;&gt;"")),"manuell übersteuert; ","")&amp;IF(AND(BZ1024=0,R1024=0),"Gebinde unbekannt / Stellmass fehlt; ","")&amp;IF(AND(BZ1024=0,N(V1024)&lt;=0,N(Q1024)&lt;=0),"Menge pro Gebinde fehlt (Ist = 1 Gebinde); ","")&amp;BU1024)</f>
        <v>negativer Bestand (Export -1); Überbestand 37 Stk / CHF 4588; </v>
      </c>
      <c r="BN1024" s="48"/>
      <c r="BO1024" s="48"/>
      <c r="BP1024" s="55"/>
      <c r="BQ1024" s="50" t="n">
        <v>-1</v>
      </c>
      <c r="BR1024" s="50" t="n">
        <v>40</v>
      </c>
      <c r="BS1024" s="49" t="n">
        <v>-124</v>
      </c>
      <c r="BT1024" s="50" t="n">
        <v>2</v>
      </c>
      <c r="BU1024" s="48"/>
      <c r="BV1024" s="53" t="n">
        <v>0</v>
      </c>
      <c r="BW1024" s="53" t="n">
        <v>1024</v>
      </c>
      <c r="BX1024" s="48" t="str">
        <f aca="false">IF(U1024&lt;&gt;"",UPPER(TRIM(U1024)),IF(CA1024=1,UPPER(VLOOKUP(T1024,Parameter!$I$27:$K$29,2,0)),IF(P1024="","LOSE",P1024)))</f>
        <v>S52</v>
      </c>
      <c r="BY1024" s="50" t="n">
        <f aca="false">IF(BX1024="LOSE",1,IF(N(V1024)&gt;0,V1024,IF(CA1024=1,MAX(1,N(VLOOKUP(T1024,Parameter!$I$27:$K$29,3,0)),H1024,N(N1024)),IF(N(Q1024)&gt;0,Q1024,MAX(1,H1024)))))</f>
        <v>45</v>
      </c>
      <c r="BZ1024" s="53" t="n">
        <f aca="false">IF(BX1024="LOSE",1,0)</f>
        <v>0</v>
      </c>
      <c r="CA1024" s="53" t="n">
        <f aca="false">IF(AND(U1024="",OR(P1024="",P1024="LOSE"),T1024&lt;&gt;"",N(S1024)&lt;=0,ISNUMBER(MATCH(T1024,Parameter!$I$27:$I$29,0))),1,0)</f>
        <v>0</v>
      </c>
      <c r="CB1024" s="53" t="n">
        <f aca="false">IF(CQ1024&gt;0,INDEX(Parameter!$H$5:$H$7,W1024)/INDEX(Parameter!$E$5:$E$7,W1024),IF(AND(BZ1024=0,N(IFERROR(VLOOKUP(BX1024,'Gebinde-Kategorie'!$A$5:$N$45,14,0),0))&gt;0),VLOOKUP(BX1024,'Gebinde-Kategorie'!$A$5:$N$45,14,0)*10+Parameter!$M$23,Parameter!$M$24))</f>
        <v>245</v>
      </c>
      <c r="CC1024" s="48" t="str">
        <f aca="false">IF(AND(Parameter!$B$19="Ja",E1024&lt;&gt;"",ISNUMBER(MATCH(E1024,Parameter!$I$35:$I$52,0))),VLOOKUP(E1024,Parameter!$I$35:$J$52,2,0),IFERROR(VLOOKUP(D1024,Parameter!$A$35:$C$64,2,0),"Nein"))</f>
        <v>2+3</v>
      </c>
      <c r="CD1024" s="52" t="n">
        <f aca="false">IF(BZ1024=0,0,IF(N(S1024)&gt;0,S1024,IFERROR(VLOOKUP(D1024,Parameter!$A$35:$C$64,3,0)+0,0)))</f>
        <v>0</v>
      </c>
      <c r="CE1024" s="48" t="n">
        <f aca="false">IF(AA1024&lt;&gt;"",AA1024,Z1024)</f>
        <v>3</v>
      </c>
      <c r="CF1024" s="48" t="str">
        <f aca="false">IF(OR(CE1024=1,CE1024=2,CE1024=3),IF(Parameter!$E$27="Ja","LIFT",IF(CE1024=1,"L1","L23")),IF(CE1024="Aussen","Aussen","-"))</f>
        <v>LIFT</v>
      </c>
      <c r="CG1024" s="59" t="n">
        <f aca="false">IF(N(AB1024)&gt;0,AB1024,0)</f>
        <v>0</v>
      </c>
      <c r="CH1024" s="53" t="n">
        <f aca="false">IF(ISNUMBER(AE1024),1,0)</f>
        <v>0</v>
      </c>
      <c r="CI1024" s="50" t="n">
        <f aca="false">N(AE1024)</f>
        <v>0</v>
      </c>
      <c r="CJ1024" s="50" t="n">
        <f aca="false">N(M1024)+N(N1024)</f>
        <v>1</v>
      </c>
      <c r="CK1024" s="50" t="n">
        <f aca="false">N(M1024)</f>
        <v>0</v>
      </c>
      <c r="CL1024" s="50" t="n">
        <f aca="false">N(N1024)</f>
        <v>1</v>
      </c>
      <c r="CM1024" s="50" t="n">
        <f aca="false">ROUNDUP(H1024/BY1024,0)</f>
        <v>1</v>
      </c>
      <c r="CN1024" s="50" t="n">
        <f aca="false">ROUNDUP(CI1024/BY1024,0)</f>
        <v>0</v>
      </c>
      <c r="CO1024" s="53" t="n">
        <f aca="false">IF(BZ1024=1,0,IFERROR(VLOOKUP(BX1024,'Gebinde-Kategorie'!$A$5:$N$45,5,0)+0,0))</f>
        <v>21</v>
      </c>
      <c r="CP1024" s="53" t="n">
        <f aca="false">IFERROR(IF(OR(CE1024=1,CE1024=2,CE1024=3),N(INDEX(Parameter!$I$5:$I$7,CE1024)),0),0)</f>
        <v>0</v>
      </c>
      <c r="CQ1024" s="52" t="n">
        <f aca="false">IF(AND(Parameter!$B$21="Ja",ISNUMBER(W1024),N(X1024)&gt;0),IFERROR(N(INDEX(Parameter!$L$5:$L$7,W1024))*INDEX(Parameter!$E$5:$E$7,W1024)*X1024/SUMIFS($X$7:$X$1843,$W$7:$W$1843,W1024),0),0)</f>
        <v>0</v>
      </c>
    </row>
    <row r="1025" customFormat="false" ht="15" hidden="false" customHeight="false" outlineLevel="0" collapsed="false">
      <c r="A1025" s="48" t="s">
        <v>1893</v>
      </c>
      <c r="B1025" s="48" t="s">
        <v>1894</v>
      </c>
      <c r="C1025" s="48" t="s">
        <v>173</v>
      </c>
      <c r="D1025" s="48" t="s">
        <v>193</v>
      </c>
      <c r="E1025" s="48"/>
      <c r="F1025" s="48" t="s">
        <v>227</v>
      </c>
      <c r="G1025" s="49" t="n">
        <v>27.84</v>
      </c>
      <c r="H1025" s="50" t="n">
        <f aca="false">MAX(0,IF(AND(Parameter!$B$21="Ja",ISNUMBER(Y1025)),Y1025,IF(Parameter!$B$20="Jahresanfang 2025 + Export",BR1025+BQ1025,BQ1025)))</f>
        <v>10</v>
      </c>
      <c r="I1025" s="50" t="n">
        <f aca="false">H1025*G1025</f>
        <v>278.4</v>
      </c>
      <c r="J1025" s="50" t="n">
        <f aca="false">BT1025*Parameter!$B$18</f>
        <v>20</v>
      </c>
      <c r="K1025" s="51" t="n">
        <v>19</v>
      </c>
      <c r="L1025" s="52" t="n">
        <v>1.05263157894737</v>
      </c>
      <c r="M1025" s="50" t="n">
        <v>1</v>
      </c>
      <c r="N1025" s="50" t="n">
        <v>20</v>
      </c>
      <c r="O1025" s="53" t="n">
        <v>21</v>
      </c>
      <c r="P1025" s="48" t="s">
        <v>435</v>
      </c>
      <c r="Q1025" s="50" t="n">
        <v>17</v>
      </c>
      <c r="R1025" s="53" t="n">
        <f aca="false">IF(BZ1025=1,0,IFERROR(VLOOKUP(BX1025,'Gebinde-Kategorie'!$A$5:$N$45,13,0)+0,0))</f>
        <v>140</v>
      </c>
      <c r="S1025" s="54"/>
      <c r="T1025" s="55"/>
      <c r="U1025" s="55"/>
      <c r="V1025" s="55"/>
      <c r="W1025" s="48"/>
      <c r="X1025" s="50"/>
      <c r="Y1025" s="50"/>
      <c r="Z1025" s="48" t="n">
        <f aca="false">IF(A1025="","",IF(AND(Parameter!$B$21="Ja",ISNUMBER(W1025)),W1025,IF(CC1025="2+3",IF(ISNUMBER(SEARCH("grosser Artikel",BU1025)),2,IFERROR(VLOOKUP(BX1025,Parameter!$F$35:$G$64,2,0),2)),IF(OR(CC1025="Nein",CC1025=""),"-",CC1025))))</f>
        <v>3</v>
      </c>
      <c r="AA1025" s="55"/>
      <c r="AB1025" s="56"/>
      <c r="AC1025" s="50" t="n">
        <f aca="false">AV1025</f>
        <v>21</v>
      </c>
      <c r="AD1025" s="50" t="n">
        <f aca="false">MAX(AV1025,H1025)</f>
        <v>21</v>
      </c>
      <c r="AE1025" s="57"/>
      <c r="AF1025" s="50" t="n">
        <f aca="false">IF(LEFT(Cockpit!$C$5,1)="A",H1025,IF(Parameter!$E$30="MAX-Bestand",IF(CH1025=1,CI1025,IF(LEFT(Cockpit!$C$5,1)="B",AL1025,MAX(AL1025,H1025))),ROUNDUP(AJ1025,0)))</f>
        <v>10</v>
      </c>
      <c r="AG1025" s="50" t="n">
        <f aca="false">IF(BZ1025=1,0,ROUNDUP(AF1025/BY1025,0))</f>
        <v>1</v>
      </c>
      <c r="AH1025" s="52" t="n">
        <f aca="false">IF(CQ1025&gt;0,CQ1025*MAX(1,AF1025/X1025),IF(BZ1025=1,IF(AF1025&lt;=0,0,CD1025*MAX(1,IF(H1025&gt;0,AF1025/H1025,1))),IF(R1025&gt;0,AG1025/R1025,0))/MAX(0.1,N(Parameter!$M$21)))</f>
        <v>0.00714285714285714</v>
      </c>
      <c r="AI1025" s="50" t="n">
        <f aca="false">AH1025*CB1025</f>
        <v>1.10714285714286</v>
      </c>
      <c r="AJ1025" s="51" t="n">
        <f aca="false">IF(LEFT(Cockpit!$C$5,1)="A",H1025,IF(CH1025=1,(CK1025+CI1025)/2,IF(LEFT(Cockpit!$C$5,1)="B",(CK1025+AL1025)/2,MAX((CK1025+AL1025)/2,H1025))))</f>
        <v>10</v>
      </c>
      <c r="AK1025" s="50" t="n">
        <f aca="false">AJ1025*G1025</f>
        <v>278.4</v>
      </c>
      <c r="AL1025" s="50" t="n">
        <f aca="false">ROUNDUP(CK1025+MAX(CL1025,2*(J1025/IF(CG1025&gt;0,CG1025,MAX(0.1,N(Cockpit!$C$6)))-CK1025)),0)</f>
        <v>21</v>
      </c>
      <c r="AM1025" s="51" t="n">
        <f aca="false">IF(AI1025&gt;0,J1025/AI1025,-1)</f>
        <v>18.0645161290323</v>
      </c>
      <c r="AN1025" s="51" t="n">
        <f aca="false">IF(AND(OR(CF1025="L1",CF1025="L23",CF1025="LIFT"),AI1025&gt;0),SUMIFS($AI$7:$AI$1843,$CF$7:$CF$1843,CF1025,$AM$7:$AM$1843,"&gt;"&amp;AM1025)+SUMIFS($AI$7:$AI$1843,$CF$7:$CF$1843,CF1025,$AM$7:$AM$1843,AM1025,$BW$7:$BW$1843,"&lt;="&amp;BW1025),"")</f>
        <v>1771.92902930403</v>
      </c>
      <c r="AO1025" s="58" t="n">
        <f aca="false">IF(AN1025="",0,MAX(0,MIN(1,(IF(CF1025="L1",Parameter!$H$5,IF(CF1025="L23",Parameter!$H$6+Parameter!$H$7,Parameter!$H$5+Parameter!$H$6+Parameter!$H$7))-(AN1025-AI1025))/AI1025)))</f>
        <v>1</v>
      </c>
      <c r="AP1025" s="50" t="n">
        <f aca="false">IF(LEFT(Cockpit!$I$5,1)="A",H1025,IF(Parameter!$E$30="MAX-Bestand",IF(CH1025=1,CI1025,IF(LEFT(Cockpit!$I$5,1)="B",AV1025,MAX(AV1025,H1025))),ROUNDUP(AT1025,0)))</f>
        <v>11</v>
      </c>
      <c r="AQ1025" s="50" t="n">
        <f aca="false">IF(BZ1025=1,0,ROUNDUP(AP1025/BY1025,0))</f>
        <v>1</v>
      </c>
      <c r="AR1025" s="52" t="n">
        <f aca="false">IF(CQ1025&gt;0,CQ1025*MAX(1,AP1025/X1025),IF(BZ1025=1,IF(AP1025&lt;=0,0,CD1025*MAX(1,IF(H1025&gt;0,AP1025/H1025,1))),IF(R1025&gt;0,AQ1025/R1025,0))/MAX(0.1,N(Parameter!$M$21)))</f>
        <v>0.00714285714285714</v>
      </c>
      <c r="AS1025" s="50" t="n">
        <f aca="false">AR1025*CB1025</f>
        <v>1.10714285714286</v>
      </c>
      <c r="AT1025" s="51" t="n">
        <f aca="false">IF(LEFT(Cockpit!$I$5,1)="A",H1025,IF(CH1025=1,(CK1025+CI1025)/2,IF(LEFT(Cockpit!$I$5,1)="B",(CK1025+AV1025)/2,MAX((CK1025+AV1025)/2,H1025))))</f>
        <v>11</v>
      </c>
      <c r="AU1025" s="50" t="n">
        <f aca="false">AT1025*G1025</f>
        <v>306.24</v>
      </c>
      <c r="AV1025" s="50" t="n">
        <f aca="false">ROUNDUP(CK1025+MAX(CL1025,2*(J1025/IF(CG1025&gt;0,CG1025,MAX(0.1,N(Cockpit!$I$6)))-CK1025)),0)</f>
        <v>21</v>
      </c>
      <c r="AW1025" s="51" t="n">
        <f aca="false">IF(AS1025&gt;0,J1025/AS1025,-1)</f>
        <v>18.0645161290323</v>
      </c>
      <c r="AX1025" s="51" t="n">
        <f aca="false">IF(AND(OR(CF1025="L1",CF1025="L23",CF1025="LIFT"),AS1025&gt;0),SUMIFS($AS$7:$AS$1843,$CF$7:$CF$1843,CF1025,$AW$7:$AW$1843,"&gt;"&amp;AW1025)+SUMIFS($AS$7:$AS$1843,$CF$7:$CF$1843,CF1025,$AW$7:$AW$1843,AW1025,$BW$7:$BW$1843,"&lt;="&amp;BW1025),"")</f>
        <v>2409.04990842491</v>
      </c>
      <c r="AY1025" s="58" t="n">
        <f aca="false">IF(AX1025="",0,MAX(0,MIN(1,(IF(CF1025="L1",Parameter!$H$5,IF(CF1025="L23",Parameter!$H$6+Parameter!$H$7,Parameter!$H$5+Parameter!$H$6+Parameter!$H$7))-(AX1025-AS1025))/AS1025)))</f>
        <v>1</v>
      </c>
      <c r="AZ1025" s="50" t="n">
        <f aca="false">IF(LEFT(Cockpit!$O$5,1)="A",H1025,IF(Parameter!$E$30="MAX-Bestand",IF(CH1025=1,CI1025,IF(LEFT(Cockpit!$O$5,1)="B",BF1025,MAX(BF1025,H1025))),ROUNDUP(BD1025,0)))</f>
        <v>11</v>
      </c>
      <c r="BA1025" s="50" t="n">
        <f aca="false">IF(BZ1025=1,0,ROUNDUP(AZ1025/BY1025,0))</f>
        <v>1</v>
      </c>
      <c r="BB1025" s="52" t="n">
        <f aca="false">IF(CQ1025&gt;0,CQ1025*MAX(1,AZ1025/X1025),IF(BZ1025=1,IF(AZ1025&lt;=0,0,CD1025*MAX(1,IF(H1025&gt;0,AZ1025/H1025,1))),IF(R1025&gt;0,BA1025/R1025,0))/MAX(0.1,N(Parameter!$M$21)))</f>
        <v>0.00714285714285714</v>
      </c>
      <c r="BC1025" s="50" t="n">
        <f aca="false">BB1025*CB1025</f>
        <v>1.10714285714286</v>
      </c>
      <c r="BD1025" s="51" t="n">
        <f aca="false">IF(LEFT(Cockpit!$O$5,1)="A",H1025,IF(CH1025=1,(CK1025+CI1025)/2,IF(LEFT(Cockpit!$O$5,1)="B",(CK1025+BF1025)/2,MAX((CK1025+BF1025)/2,H1025))))</f>
        <v>11</v>
      </c>
      <c r="BE1025" s="50" t="n">
        <f aca="false">BD1025*G1025</f>
        <v>306.24</v>
      </c>
      <c r="BF1025" s="50" t="n">
        <f aca="false">ROUNDUP(CK1025+MAX(CL1025,2*(J1025/IF(CG1025&gt;0,CG1025,MAX(0.1,N(Cockpit!$O$6)))-CK1025)),0)</f>
        <v>21</v>
      </c>
      <c r="BG1025" s="51" t="n">
        <f aca="false">IF(BC1025&gt;0,J1025/BC1025,-1)</f>
        <v>18.0645161290323</v>
      </c>
      <c r="BH1025" s="51" t="n">
        <f aca="false">IF(AND(OR(CF1025="L1",CF1025="L23",CF1025="LIFT"),BC1025&gt;0),SUMIFS($BC$7:$BC$1843,$CF$7:$CF$1843,CF1025,$BG$7:$BG$1843,"&gt;"&amp;BG1025)+SUMIFS($BC$7:$BC$1843,$CF$7:$CF$1843,CF1025,$BG$7:$BG$1843,BG1025,$BW$7:$BW$1843,"&lt;="&amp;BW1025),"")</f>
        <v>2291.04395604396</v>
      </c>
      <c r="BI1025" s="58" t="n">
        <f aca="false">IF(BH1025="",0,MAX(0,MIN(1,(IF(CF1025="L1",Parameter!$H$5,IF(CF1025="L23",Parameter!$H$6+Parameter!$H$7,Parameter!$H$5+Parameter!$H$6+Parameter!$H$7))-(BH1025-BC1025))/BC1025)))</f>
        <v>1</v>
      </c>
      <c r="BJ1025" s="48" t="str">
        <f aca="false">IF(AI1025&lt;=0,"",IF(CF1025="Aussen","Aussenlager",IF(CF1025="-","Nicht im Lift",IF(AO1025&gt;=1,"Lift",IF(AO1025&lt;=0,"Aussenlager","teilweise")))))</f>
        <v>Lift</v>
      </c>
      <c r="BK1025" s="48" t="str">
        <f aca="false">IF(AS1025&lt;=0,"",IF(CF1025="Aussen","Aussenlager",IF(CF1025="-","Nicht im Lift",IF(AY1025&gt;=1,"Lift",IF(AY1025&lt;=0,"Aussenlager","teilweise")))))</f>
        <v>Lift</v>
      </c>
      <c r="BL1025" s="48" t="str">
        <f aca="false">IF(BC1025&lt;=0,"",IF(CF1025="Aussen","Aussenlager",IF(CF1025="-","Nicht im Lift",IF(BI1025&gt;=1,"Lift",IF(BI1025&lt;=0,"Aussenlager","teilweise")))))</f>
        <v>Lift</v>
      </c>
      <c r="BM1025" s="48" t="str">
        <f aca="false">IF(A1025="","",IF(BV1025=1,"Neu; ","")&amp;IF(AND(BV1025=0,BQ1025&lt;0),"negativer Bestand (Export "&amp;BQ1025&amp;"); ","")&amp;IF(J1025&lt;=0,"Kein Verbrauch; ","")&amp;IF(CQ1025&gt;0,"Lift "&amp;W1025&amp;" lt. Liftbericht (Fach "&amp;X1025&amp;" Stk); ",IF(CA1025=1,"Gebinde geschätzt ("&amp;T1025&amp;"); ",IF(BZ1025=1,"Lose – Tablare geschätzt; ","")))&amp;IF(H1025&gt;AV1025,"Überbestand "&amp;ROUND(H1025-AV1025,0)&amp;" Stk / CHF "&amp;ROUND((H1025-AV1025)*G1025,0)&amp;"; ","")&amp;IF(AND(CH1025=1,CI1025&lt;CJ1025),"MAX &lt; MB+LG; ","")&amp;IF(AND(CP1025&gt;0,CO1025*10&gt;CP1025),"zu hoch für Tablar; ","")&amp;IF(AND(BV1025=0,OR(CH1025=1,AA1025&lt;&gt;"",U1025&lt;&gt;"",V1025&lt;&gt;"",AB1025&lt;&gt;"")),"manuell übersteuert; ","")&amp;IF(AND(BZ1025=0,R1025=0),"Gebinde unbekannt / Stellmass fehlt; ","")&amp;IF(AND(BZ1025=0,N(V1025)&lt;=0,N(Q1025)&lt;=0),"Menge pro Gebinde fehlt (Ist = 1 Gebinde); ","")&amp;BU1025)</f>
        <v>negativer Bestand (Export -4); </v>
      </c>
      <c r="BN1025" s="48"/>
      <c r="BO1025" s="48"/>
      <c r="BP1025" s="55"/>
      <c r="BQ1025" s="50" t="n">
        <v>-4</v>
      </c>
      <c r="BR1025" s="50" t="n">
        <v>14</v>
      </c>
      <c r="BS1025" s="49" t="n">
        <v>-124.24</v>
      </c>
      <c r="BT1025" s="50" t="n">
        <v>20</v>
      </c>
      <c r="BU1025" s="48"/>
      <c r="BV1025" s="53" t="n">
        <v>0</v>
      </c>
      <c r="BW1025" s="53" t="n">
        <v>1025</v>
      </c>
      <c r="BX1025" s="48" t="str">
        <f aca="false">IF(U1025&lt;&gt;"",UPPER(TRIM(U1025)),IF(CA1025=1,UPPER(VLOOKUP(T1025,Parameter!$I$27:$K$29,2,0)),IF(P1025="","LOSE",P1025)))</f>
        <v>S22</v>
      </c>
      <c r="BY1025" s="50" t="n">
        <f aca="false">IF(BX1025="LOSE",1,IF(N(V1025)&gt;0,V1025,IF(CA1025=1,MAX(1,N(VLOOKUP(T1025,Parameter!$I$27:$K$29,3,0)),H1025,N(N1025)),IF(N(Q1025)&gt;0,Q1025,MAX(1,H1025)))))</f>
        <v>17</v>
      </c>
      <c r="BZ1025" s="53" t="n">
        <f aca="false">IF(BX1025="LOSE",1,0)</f>
        <v>0</v>
      </c>
      <c r="CA1025" s="53" t="n">
        <f aca="false">IF(AND(U1025="",OR(P1025="",P1025="LOSE"),T1025&lt;&gt;"",N(S1025)&lt;=0,ISNUMBER(MATCH(T1025,Parameter!$I$27:$I$29,0))),1,0)</f>
        <v>0</v>
      </c>
      <c r="CB1025" s="53" t="n">
        <f aca="false">IF(CQ1025&gt;0,INDEX(Parameter!$H$5:$H$7,W1025)/INDEX(Parameter!$E$5:$E$7,W1025),IF(AND(BZ1025=0,N(IFERROR(VLOOKUP(BX1025,'Gebinde-Kategorie'!$A$5:$N$45,14,0),0))&gt;0),VLOOKUP(BX1025,'Gebinde-Kategorie'!$A$5:$N$45,14,0)*10+Parameter!$M$23,Parameter!$M$24))</f>
        <v>155</v>
      </c>
      <c r="CC1025" s="48" t="str">
        <f aca="false">IF(AND(Parameter!$B$19="Ja",E1025&lt;&gt;"",ISNUMBER(MATCH(E1025,Parameter!$I$35:$I$52,0))),VLOOKUP(E1025,Parameter!$I$35:$J$52,2,0),IFERROR(VLOOKUP(D1025,Parameter!$A$35:$C$64,2,0),"Nein"))</f>
        <v>2+3</v>
      </c>
      <c r="CD1025" s="52" t="n">
        <f aca="false">IF(BZ1025=0,0,IF(N(S1025)&gt;0,S1025,IFERROR(VLOOKUP(D1025,Parameter!$A$35:$C$64,3,0)+0,0)))</f>
        <v>0</v>
      </c>
      <c r="CE1025" s="48" t="n">
        <f aca="false">IF(AA1025&lt;&gt;"",AA1025,Z1025)</f>
        <v>3</v>
      </c>
      <c r="CF1025" s="48" t="str">
        <f aca="false">IF(OR(CE1025=1,CE1025=2,CE1025=3),IF(Parameter!$E$27="Ja","LIFT",IF(CE1025=1,"L1","L23")),IF(CE1025="Aussen","Aussen","-"))</f>
        <v>LIFT</v>
      </c>
      <c r="CG1025" s="59" t="n">
        <f aca="false">IF(N(AB1025)&gt;0,AB1025,0)</f>
        <v>0</v>
      </c>
      <c r="CH1025" s="53" t="n">
        <f aca="false">IF(ISNUMBER(AE1025),1,0)</f>
        <v>0</v>
      </c>
      <c r="CI1025" s="50" t="n">
        <f aca="false">N(AE1025)</f>
        <v>0</v>
      </c>
      <c r="CJ1025" s="50" t="n">
        <f aca="false">N(M1025)+N(N1025)</f>
        <v>21</v>
      </c>
      <c r="CK1025" s="50" t="n">
        <f aca="false">N(M1025)</f>
        <v>1</v>
      </c>
      <c r="CL1025" s="50" t="n">
        <f aca="false">N(N1025)</f>
        <v>20</v>
      </c>
      <c r="CM1025" s="50" t="n">
        <f aca="false">ROUNDUP(H1025/BY1025,0)</f>
        <v>1</v>
      </c>
      <c r="CN1025" s="50" t="n">
        <f aca="false">ROUNDUP(CI1025/BY1025,0)</f>
        <v>0</v>
      </c>
      <c r="CO1025" s="53" t="n">
        <f aca="false">IF(BZ1025=1,0,IFERROR(VLOOKUP(BX1025,'Gebinde-Kategorie'!$A$5:$N$45,5,0)+0,0))</f>
        <v>8</v>
      </c>
      <c r="CP1025" s="53" t="n">
        <f aca="false">IFERROR(IF(OR(CE1025=1,CE1025=2,CE1025=3),N(INDEX(Parameter!$I$5:$I$7,CE1025)),0),0)</f>
        <v>0</v>
      </c>
      <c r="CQ1025" s="52" t="n">
        <f aca="false">IF(AND(Parameter!$B$21="Ja",ISNUMBER(W1025),N(X1025)&gt;0),IFERROR(N(INDEX(Parameter!$L$5:$L$7,W1025))*INDEX(Parameter!$E$5:$E$7,W1025)*X1025/SUMIFS($X$7:$X$1843,$W$7:$W$1843,W1025),0),0)</f>
        <v>0</v>
      </c>
    </row>
    <row r="1026" customFormat="false" ht="15" hidden="false" customHeight="false" outlineLevel="0" collapsed="false">
      <c r="A1026" s="48" t="s">
        <v>1895</v>
      </c>
      <c r="B1026" s="48" t="s">
        <v>1896</v>
      </c>
      <c r="C1026" s="48" t="s">
        <v>173</v>
      </c>
      <c r="D1026" s="48" t="s">
        <v>193</v>
      </c>
      <c r="E1026" s="48" t="s">
        <v>194</v>
      </c>
      <c r="F1026" s="48" t="s">
        <v>227</v>
      </c>
      <c r="G1026" s="49" t="n">
        <v>11.33</v>
      </c>
      <c r="H1026" s="50" t="n">
        <f aca="false">MAX(0,IF(AND(Parameter!$B$21="Ja",ISNUMBER(Y1026)),Y1026,IF(Parameter!$B$20="Jahresanfang 2025 + Export",BR1026+BQ1026,BQ1026)))</f>
        <v>4</v>
      </c>
      <c r="I1026" s="50" t="n">
        <f aca="false">H1026*G1026</f>
        <v>45.32</v>
      </c>
      <c r="J1026" s="50" t="n">
        <f aca="false">BT1026*Parameter!$B$18</f>
        <v>6</v>
      </c>
      <c r="K1026" s="51" t="n">
        <v>12</v>
      </c>
      <c r="L1026" s="52" t="n">
        <v>0.5</v>
      </c>
      <c r="M1026" s="50" t="n">
        <v>0</v>
      </c>
      <c r="N1026" s="50" t="n">
        <v>5</v>
      </c>
      <c r="O1026" s="53" t="n">
        <v>35</v>
      </c>
      <c r="P1026" s="48" t="s">
        <v>430</v>
      </c>
      <c r="Q1026" s="50" t="n">
        <v>9</v>
      </c>
      <c r="R1026" s="53" t="n">
        <f aca="false">IF(BZ1026=1,0,IFERROR(VLOOKUP(BX1026,'Gebinde-Kategorie'!$A$5:$N$45,13,0)+0,0))</f>
        <v>104</v>
      </c>
      <c r="S1026" s="54"/>
      <c r="T1026" s="55"/>
      <c r="U1026" s="55"/>
      <c r="V1026" s="55"/>
      <c r="W1026" s="48"/>
      <c r="X1026" s="50"/>
      <c r="Y1026" s="50"/>
      <c r="Z1026" s="48" t="n">
        <f aca="false">IF(A1026="","",IF(AND(Parameter!$B$21="Ja",ISNUMBER(W1026)),W1026,IF(CC1026="2+3",IF(ISNUMBER(SEARCH("grosser Artikel",BU1026)),2,IFERROR(VLOOKUP(BX1026,Parameter!$F$35:$G$64,2,0),2)),IF(OR(CC1026="Nein",CC1026=""),"-",CC1026))))</f>
        <v>3</v>
      </c>
      <c r="AA1026" s="55"/>
      <c r="AB1026" s="56"/>
      <c r="AC1026" s="50" t="n">
        <f aca="false">AV1026</f>
        <v>5</v>
      </c>
      <c r="AD1026" s="50" t="n">
        <f aca="false">MAX(AV1026,H1026)</f>
        <v>5</v>
      </c>
      <c r="AE1026" s="57"/>
      <c r="AF1026" s="50" t="n">
        <f aca="false">IF(LEFT(Cockpit!$C$5,1)="A",H1026,IF(Parameter!$E$30="MAX-Bestand",IF(CH1026=1,CI1026,IF(LEFT(Cockpit!$C$5,1)="B",AL1026,MAX(AL1026,H1026))),ROUNDUP(AJ1026,0)))</f>
        <v>4</v>
      </c>
      <c r="AG1026" s="50" t="n">
        <f aca="false">IF(BZ1026=1,0,ROUNDUP(AF1026/BY1026,0))</f>
        <v>1</v>
      </c>
      <c r="AH1026" s="52" t="n">
        <f aca="false">IF(CQ1026&gt;0,CQ1026*MAX(1,AF1026/X1026),IF(BZ1026=1,IF(AF1026&lt;=0,0,CD1026*MAX(1,IF(H1026&gt;0,AF1026/H1026,1))),IF(R1026&gt;0,AG1026/R1026,0))/MAX(0.1,N(Parameter!$M$21)))</f>
        <v>0.00961538461538462</v>
      </c>
      <c r="AI1026" s="50" t="n">
        <f aca="false">AH1026*CB1026</f>
        <v>1.49038461538462</v>
      </c>
      <c r="AJ1026" s="51" t="n">
        <f aca="false">IF(LEFT(Cockpit!$C$5,1)="A",H1026,IF(CH1026=1,(CK1026+CI1026)/2,IF(LEFT(Cockpit!$C$5,1)="B",(CK1026+AL1026)/2,MAX((CK1026+AL1026)/2,H1026))))</f>
        <v>4</v>
      </c>
      <c r="AK1026" s="50" t="n">
        <f aca="false">AJ1026*G1026</f>
        <v>45.32</v>
      </c>
      <c r="AL1026" s="50" t="n">
        <f aca="false">ROUNDUP(CK1026+MAX(CL1026,2*(J1026/IF(CG1026&gt;0,CG1026,MAX(0.1,N(Cockpit!$C$6)))-CK1026)),0)</f>
        <v>5</v>
      </c>
      <c r="AM1026" s="51" t="n">
        <f aca="false">IF(AI1026&gt;0,J1026/AI1026,-1)</f>
        <v>4.0258064516129</v>
      </c>
      <c r="AN1026" s="51" t="n">
        <f aca="false">IF(AND(OR(CF1026="L1",CF1026="L23",CF1026="LIFT"),AI1026&gt;0),SUMIFS($AI$7:$AI$1843,$CF$7:$CF$1843,CF1026,$AM$7:$AM$1843,"&gt;"&amp;AM1026)+SUMIFS($AI$7:$AI$1843,$CF$7:$CF$1843,CF1026,$AM$7:$AM$1843,AM1026,$BW$7:$BW$1843,"&lt;="&amp;BW1026),"")</f>
        <v>4357.19871794872</v>
      </c>
      <c r="AO1026" s="58" t="n">
        <f aca="false">IF(AN1026="",0,MAX(0,MIN(1,(IF(CF1026="L1",Parameter!$H$5,IF(CF1026="L23",Parameter!$H$6+Parameter!$H$7,Parameter!$H$5+Parameter!$H$6+Parameter!$H$7))-(AN1026-AI1026))/AI1026)))</f>
        <v>1</v>
      </c>
      <c r="AP1026" s="50" t="n">
        <f aca="false">IF(LEFT(Cockpit!$I$5,1)="A",H1026,IF(Parameter!$E$30="MAX-Bestand",IF(CH1026=1,CI1026,IF(LEFT(Cockpit!$I$5,1)="B",AV1026,MAX(AV1026,H1026))),ROUNDUP(AT1026,0)))</f>
        <v>4</v>
      </c>
      <c r="AQ1026" s="50" t="n">
        <f aca="false">IF(BZ1026=1,0,ROUNDUP(AP1026/BY1026,0))</f>
        <v>1</v>
      </c>
      <c r="AR1026" s="52" t="n">
        <f aca="false">IF(CQ1026&gt;0,CQ1026*MAX(1,AP1026/X1026),IF(BZ1026=1,IF(AP1026&lt;=0,0,CD1026*MAX(1,IF(H1026&gt;0,AP1026/H1026,1))),IF(R1026&gt;0,AQ1026/R1026,0))/MAX(0.1,N(Parameter!$M$21)))</f>
        <v>0.00961538461538462</v>
      </c>
      <c r="AS1026" s="50" t="n">
        <f aca="false">AR1026*CB1026</f>
        <v>1.49038461538462</v>
      </c>
      <c r="AT1026" s="51" t="n">
        <f aca="false">IF(LEFT(Cockpit!$I$5,1)="A",H1026,IF(CH1026=1,(CK1026+CI1026)/2,IF(LEFT(Cockpit!$I$5,1)="B",(CK1026+AV1026)/2,MAX((CK1026+AV1026)/2,H1026))))</f>
        <v>4</v>
      </c>
      <c r="AU1026" s="50" t="n">
        <f aca="false">AT1026*G1026</f>
        <v>45.32</v>
      </c>
      <c r="AV1026" s="50" t="n">
        <f aca="false">ROUNDUP(CK1026+MAX(CL1026,2*(J1026/IF(CG1026&gt;0,CG1026,MAX(0.1,N(Cockpit!$I$6)))-CK1026)),0)</f>
        <v>5</v>
      </c>
      <c r="AW1026" s="51" t="n">
        <f aca="false">IF(AS1026&gt;0,J1026/AS1026,-1)</f>
        <v>4.0258064516129</v>
      </c>
      <c r="AX1026" s="51" t="n">
        <f aca="false">IF(AND(OR(CF1026="L1",CF1026="L23",CF1026="LIFT"),AS1026&gt;0),SUMIFS($AS$7:$AS$1843,$CF$7:$CF$1843,CF1026,$AW$7:$AW$1843,"&gt;"&amp;AW1026)+SUMIFS($AS$7:$AS$1843,$CF$7:$CF$1843,CF1026,$AW$7:$AW$1843,AW1026,$BW$7:$BW$1843,"&lt;="&amp;BW1026),"")</f>
        <v>4966.19597069597</v>
      </c>
      <c r="AY1026" s="58" t="n">
        <f aca="false">IF(AX1026="",0,MAX(0,MIN(1,(IF(CF1026="L1",Parameter!$H$5,IF(CF1026="L23",Parameter!$H$6+Parameter!$H$7,Parameter!$H$5+Parameter!$H$6+Parameter!$H$7))-(AX1026-AS1026))/AS1026)))</f>
        <v>1</v>
      </c>
      <c r="AZ1026" s="50" t="n">
        <f aca="false">IF(LEFT(Cockpit!$O$5,1)="A",H1026,IF(Parameter!$E$30="MAX-Bestand",IF(CH1026=1,CI1026,IF(LEFT(Cockpit!$O$5,1)="B",BF1026,MAX(BF1026,H1026))),ROUNDUP(BD1026,0)))</f>
        <v>3</v>
      </c>
      <c r="BA1026" s="50" t="n">
        <f aca="false">IF(BZ1026=1,0,ROUNDUP(AZ1026/BY1026,0))</f>
        <v>1</v>
      </c>
      <c r="BB1026" s="52" t="n">
        <f aca="false">IF(CQ1026&gt;0,CQ1026*MAX(1,AZ1026/X1026),IF(BZ1026=1,IF(AZ1026&lt;=0,0,CD1026*MAX(1,IF(H1026&gt;0,AZ1026/H1026,1))),IF(R1026&gt;0,BA1026/R1026,0))/MAX(0.1,N(Parameter!$M$21)))</f>
        <v>0.00961538461538462</v>
      </c>
      <c r="BC1026" s="50" t="n">
        <f aca="false">BB1026*CB1026</f>
        <v>1.49038461538462</v>
      </c>
      <c r="BD1026" s="51" t="n">
        <f aca="false">IF(LEFT(Cockpit!$O$5,1)="A",H1026,IF(CH1026=1,(CK1026+CI1026)/2,IF(LEFT(Cockpit!$O$5,1)="B",(CK1026+BF1026)/2,MAX((CK1026+BF1026)/2,H1026))))</f>
        <v>2.5</v>
      </c>
      <c r="BE1026" s="50" t="n">
        <f aca="false">BD1026*G1026</f>
        <v>28.325</v>
      </c>
      <c r="BF1026" s="50" t="n">
        <f aca="false">ROUNDUP(CK1026+MAX(CL1026,2*(J1026/IF(CG1026&gt;0,CG1026,MAX(0.1,N(Cockpit!$O$6)))-CK1026)),0)</f>
        <v>5</v>
      </c>
      <c r="BG1026" s="51" t="n">
        <f aca="false">IF(BC1026&gt;0,J1026/BC1026,-1)</f>
        <v>4.0258064516129</v>
      </c>
      <c r="BH1026" s="51" t="n">
        <f aca="false">IF(AND(OR(CF1026="L1",CF1026="L23",CF1026="LIFT"),BC1026&gt;0),SUMIFS($BC$7:$BC$1843,$CF$7:$CF$1843,CF1026,$BG$7:$BG$1843,"&gt;"&amp;BG1026)+SUMIFS($BC$7:$BC$1843,$CF$7:$CF$1843,CF1026,$BG$7:$BG$1843,BG1026,$BW$7:$BW$1843,"&lt;="&amp;BW1026),"")</f>
        <v>4077.80494505495</v>
      </c>
      <c r="BI1026" s="58" t="n">
        <f aca="false">IF(BH1026="",0,MAX(0,MIN(1,(IF(CF1026="L1",Parameter!$H$5,IF(CF1026="L23",Parameter!$H$6+Parameter!$H$7,Parameter!$H$5+Parameter!$H$6+Parameter!$H$7))-(BH1026-BC1026))/BC1026)))</f>
        <v>1</v>
      </c>
      <c r="BJ1026" s="48" t="str">
        <f aca="false">IF(AI1026&lt;=0,"",IF(CF1026="Aussen","Aussenlager",IF(CF1026="-","Nicht im Lift",IF(AO1026&gt;=1,"Lift",IF(AO1026&lt;=0,"Aussenlager","teilweise")))))</f>
        <v>Lift</v>
      </c>
      <c r="BK1026" s="48" t="str">
        <f aca="false">IF(AS1026&lt;=0,"",IF(CF1026="Aussen","Aussenlager",IF(CF1026="-","Nicht im Lift",IF(AY1026&gt;=1,"Lift",IF(AY1026&lt;=0,"Aussenlager","teilweise")))))</f>
        <v>Lift</v>
      </c>
      <c r="BL1026" s="48" t="str">
        <f aca="false">IF(BC1026&lt;=0,"",IF(CF1026="Aussen","Aussenlager",IF(CF1026="-","Nicht im Lift",IF(BI1026&gt;=1,"Lift",IF(BI1026&lt;=0,"Aussenlager","teilweise")))))</f>
        <v>Lift</v>
      </c>
      <c r="BM1026" s="48" t="str">
        <f aca="false">IF(A1026="","",IF(BV1026=1,"Neu; ","")&amp;IF(AND(BV1026=0,BQ1026&lt;0),"negativer Bestand (Export "&amp;BQ1026&amp;"); ","")&amp;IF(J1026&lt;=0,"Kein Verbrauch; ","")&amp;IF(CQ1026&gt;0,"Lift "&amp;W1026&amp;" lt. Liftbericht (Fach "&amp;X1026&amp;" Stk); ",IF(CA1026=1,"Gebinde geschätzt ("&amp;T1026&amp;"); ",IF(BZ1026=1,"Lose – Tablare geschätzt; ","")))&amp;IF(H1026&gt;AV1026,"Überbestand "&amp;ROUND(H1026-AV1026,0)&amp;" Stk / CHF "&amp;ROUND((H1026-AV1026)*G1026,0)&amp;"; ","")&amp;IF(AND(CH1026=1,CI1026&lt;CJ1026),"MAX &lt; MB+LG; ","")&amp;IF(AND(CP1026&gt;0,CO1026*10&gt;CP1026),"zu hoch für Tablar; ","")&amp;IF(AND(BV1026=0,OR(CH1026=1,AA1026&lt;&gt;"",U1026&lt;&gt;"",V1026&lt;&gt;"",AB1026&lt;&gt;"")),"manuell übersteuert; ","")&amp;IF(AND(BZ1026=0,R1026=0),"Gebinde unbekannt / Stellmass fehlt; ","")&amp;IF(AND(BZ1026=0,N(V1026)&lt;=0,N(Q1026)&lt;=0),"Menge pro Gebinde fehlt (Ist = 1 Gebinde); ","")&amp;BU1026)</f>
        <v>negativer Bestand (Export -11); </v>
      </c>
      <c r="BN1026" s="48"/>
      <c r="BO1026" s="48"/>
      <c r="BP1026" s="55"/>
      <c r="BQ1026" s="50" t="n">
        <v>-11</v>
      </c>
      <c r="BR1026" s="50" t="n">
        <v>15</v>
      </c>
      <c r="BS1026" s="49" t="n">
        <v>-124.63</v>
      </c>
      <c r="BT1026" s="50" t="n">
        <v>6</v>
      </c>
      <c r="BU1026" s="48"/>
      <c r="BV1026" s="53" t="n">
        <v>0</v>
      </c>
      <c r="BW1026" s="53" t="n">
        <v>1026</v>
      </c>
      <c r="BX1026" s="48" t="str">
        <f aca="false">IF(U1026&lt;&gt;"",UPPER(TRIM(U1026)),IF(CA1026=1,UPPER(VLOOKUP(T1026,Parameter!$I$27:$K$29,2,0)),IF(P1026="","LOSE",P1026)))</f>
        <v>S32</v>
      </c>
      <c r="BY1026" s="50" t="n">
        <f aca="false">IF(BX1026="LOSE",1,IF(N(V1026)&gt;0,V1026,IF(CA1026=1,MAX(1,N(VLOOKUP(T1026,Parameter!$I$27:$K$29,3,0)),H1026,N(N1026)),IF(N(Q1026)&gt;0,Q1026,MAX(1,H1026)))))</f>
        <v>9</v>
      </c>
      <c r="BZ1026" s="53" t="n">
        <f aca="false">IF(BX1026="LOSE",1,0)</f>
        <v>0</v>
      </c>
      <c r="CA1026" s="53" t="n">
        <f aca="false">IF(AND(U1026="",OR(P1026="",P1026="LOSE"),T1026&lt;&gt;"",N(S1026)&lt;=0,ISNUMBER(MATCH(T1026,Parameter!$I$27:$I$29,0))),1,0)</f>
        <v>0</v>
      </c>
      <c r="CB1026" s="53" t="n">
        <f aca="false">IF(CQ1026&gt;0,INDEX(Parameter!$H$5:$H$7,W1026)/INDEX(Parameter!$E$5:$E$7,W1026),IF(AND(BZ1026=0,N(IFERROR(VLOOKUP(BX1026,'Gebinde-Kategorie'!$A$5:$N$45,14,0),0))&gt;0),VLOOKUP(BX1026,'Gebinde-Kategorie'!$A$5:$N$45,14,0)*10+Parameter!$M$23,Parameter!$M$24))</f>
        <v>155</v>
      </c>
      <c r="CC1026" s="48" t="str">
        <f aca="false">IF(AND(Parameter!$B$19="Ja",E1026&lt;&gt;"",ISNUMBER(MATCH(E1026,Parameter!$I$35:$I$52,0))),VLOOKUP(E1026,Parameter!$I$35:$J$52,2,0),IFERROR(VLOOKUP(D1026,Parameter!$A$35:$C$64,2,0),"Nein"))</f>
        <v>2+3</v>
      </c>
      <c r="CD1026" s="52" t="n">
        <f aca="false">IF(BZ1026=0,0,IF(N(S1026)&gt;0,S1026,IFERROR(VLOOKUP(D1026,Parameter!$A$35:$C$64,3,0)+0,0)))</f>
        <v>0</v>
      </c>
      <c r="CE1026" s="48" t="n">
        <f aca="false">IF(AA1026&lt;&gt;"",AA1026,Z1026)</f>
        <v>3</v>
      </c>
      <c r="CF1026" s="48" t="str">
        <f aca="false">IF(OR(CE1026=1,CE1026=2,CE1026=3),IF(Parameter!$E$27="Ja","LIFT",IF(CE1026=1,"L1","L23")),IF(CE1026="Aussen","Aussen","-"))</f>
        <v>LIFT</v>
      </c>
      <c r="CG1026" s="59" t="n">
        <f aca="false">IF(N(AB1026)&gt;0,AB1026,0)</f>
        <v>0</v>
      </c>
      <c r="CH1026" s="53" t="n">
        <f aca="false">IF(ISNUMBER(AE1026),1,0)</f>
        <v>0</v>
      </c>
      <c r="CI1026" s="50" t="n">
        <f aca="false">N(AE1026)</f>
        <v>0</v>
      </c>
      <c r="CJ1026" s="50" t="n">
        <f aca="false">N(M1026)+N(N1026)</f>
        <v>5</v>
      </c>
      <c r="CK1026" s="50" t="n">
        <f aca="false">N(M1026)</f>
        <v>0</v>
      </c>
      <c r="CL1026" s="50" t="n">
        <f aca="false">N(N1026)</f>
        <v>5</v>
      </c>
      <c r="CM1026" s="50" t="n">
        <f aca="false">ROUNDUP(H1026/BY1026,0)</f>
        <v>1</v>
      </c>
      <c r="CN1026" s="50" t="n">
        <f aca="false">ROUNDUP(CI1026/BY1026,0)</f>
        <v>0</v>
      </c>
      <c r="CO1026" s="53" t="n">
        <f aca="false">IF(BZ1026=1,0,IFERROR(VLOOKUP(BX1026,'Gebinde-Kategorie'!$A$5:$N$45,5,0)+0,0))</f>
        <v>8</v>
      </c>
      <c r="CP1026" s="53" t="n">
        <f aca="false">IFERROR(IF(OR(CE1026=1,CE1026=2,CE1026=3),N(INDEX(Parameter!$I$5:$I$7,CE1026)),0),0)</f>
        <v>0</v>
      </c>
      <c r="CQ1026" s="52" t="n">
        <f aca="false">IF(AND(Parameter!$B$21="Ja",ISNUMBER(W1026),N(X1026)&gt;0),IFERROR(N(INDEX(Parameter!$L$5:$L$7,W1026))*INDEX(Parameter!$E$5:$E$7,W1026)*X1026/SUMIFS($X$7:$X$1843,$W$7:$W$1843,W1026),0),0)</f>
        <v>0</v>
      </c>
    </row>
    <row r="1027" customFormat="false" ht="15" hidden="false" customHeight="false" outlineLevel="0" collapsed="false">
      <c r="A1027" s="48" t="s">
        <v>1897</v>
      </c>
      <c r="B1027" s="48" t="s">
        <v>1898</v>
      </c>
      <c r="C1027" s="48" t="s">
        <v>173</v>
      </c>
      <c r="D1027" s="48" t="s">
        <v>193</v>
      </c>
      <c r="E1027" s="48"/>
      <c r="F1027" s="48" t="s">
        <v>227</v>
      </c>
      <c r="G1027" s="49" t="n">
        <v>125</v>
      </c>
      <c r="H1027" s="50" t="n">
        <f aca="false">MAX(0,IF(AND(Parameter!$B$21="Ja",ISNUMBER(Y1027)),Y1027,IF(Parameter!$B$20="Jahresanfang 2025 + Export",BR1027+BQ1027,BQ1027)))</f>
        <v>10</v>
      </c>
      <c r="I1027" s="50" t="n">
        <f aca="false">H1027*G1027</f>
        <v>1250</v>
      </c>
      <c r="J1027" s="50" t="n">
        <f aca="false">BT1027*Parameter!$B$18</f>
        <v>0</v>
      </c>
      <c r="K1027" s="51" t="n">
        <v>11</v>
      </c>
      <c r="L1027" s="52" t="n">
        <v>0</v>
      </c>
      <c r="M1027" s="50" t="n">
        <v>0</v>
      </c>
      <c r="N1027" s="50" t="n">
        <v>1</v>
      </c>
      <c r="O1027" s="53" t="n">
        <v>35</v>
      </c>
      <c r="P1027" s="48" t="s">
        <v>302</v>
      </c>
      <c r="Q1027" s="50" t="n">
        <v>15</v>
      </c>
      <c r="R1027" s="53" t="n">
        <f aca="false">IF(BZ1027=1,0,IFERROR(VLOOKUP(BX1027,'Gebinde-Kategorie'!$A$5:$N$45,13,0)+0,0))</f>
        <v>12</v>
      </c>
      <c r="S1027" s="54"/>
      <c r="T1027" s="55"/>
      <c r="U1027" s="55"/>
      <c r="V1027" s="55"/>
      <c r="W1027" s="48"/>
      <c r="X1027" s="50"/>
      <c r="Y1027" s="50"/>
      <c r="Z1027" s="48" t="n">
        <f aca="false">IF(A1027="","",IF(AND(Parameter!$B$21="Ja",ISNUMBER(W1027)),W1027,IF(CC1027="2+3",IF(ISNUMBER(SEARCH("grosser Artikel",BU1027)),2,IFERROR(VLOOKUP(BX1027,Parameter!$F$35:$G$64,2,0),2)),IF(OR(CC1027="Nein",CC1027=""),"-",CC1027))))</f>
        <v>2</v>
      </c>
      <c r="AA1027" s="55"/>
      <c r="AB1027" s="56"/>
      <c r="AC1027" s="50" t="n">
        <f aca="false">AV1027</f>
        <v>1</v>
      </c>
      <c r="AD1027" s="50" t="n">
        <f aca="false">MAX(AV1027,H1027)</f>
        <v>10</v>
      </c>
      <c r="AE1027" s="57"/>
      <c r="AF1027" s="50" t="n">
        <f aca="false">IF(LEFT(Cockpit!$C$5,1)="A",H1027,IF(Parameter!$E$30="MAX-Bestand",IF(CH1027=1,CI1027,IF(LEFT(Cockpit!$C$5,1)="B",AL1027,MAX(AL1027,H1027))),ROUNDUP(AJ1027,0)))</f>
        <v>10</v>
      </c>
      <c r="AG1027" s="50" t="n">
        <f aca="false">IF(BZ1027=1,0,ROUNDUP(AF1027/BY1027,0))</f>
        <v>1</v>
      </c>
      <c r="AH1027" s="52" t="n">
        <f aca="false">IF(CQ1027&gt;0,CQ1027*MAX(1,AF1027/X1027),IF(BZ1027=1,IF(AF1027&lt;=0,0,CD1027*MAX(1,IF(H1027&gt;0,AF1027/H1027,1))),IF(R1027&gt;0,AG1027/R1027,0))/MAX(0.1,N(Parameter!$M$21)))</f>
        <v>0.0833333333333333</v>
      </c>
      <c r="AI1027" s="50" t="n">
        <f aca="false">AH1027*CB1027</f>
        <v>20.4166666666667</v>
      </c>
      <c r="AJ1027" s="51" t="n">
        <f aca="false">IF(LEFT(Cockpit!$C$5,1)="A",H1027,IF(CH1027=1,(CK1027+CI1027)/2,IF(LEFT(Cockpit!$C$5,1)="B",(CK1027+AL1027)/2,MAX((CK1027+AL1027)/2,H1027))))</f>
        <v>10</v>
      </c>
      <c r="AK1027" s="50" t="n">
        <f aca="false">AJ1027*G1027</f>
        <v>1250</v>
      </c>
      <c r="AL1027" s="50" t="n">
        <f aca="false">ROUNDUP(CK1027+MAX(CL1027,2*(J1027/IF(CG1027&gt;0,CG1027,MAX(0.1,N(Cockpit!$C$6)))-CK1027)),0)</f>
        <v>1</v>
      </c>
      <c r="AM1027" s="51" t="n">
        <f aca="false">IF(AI1027&gt;0,J1027/AI1027,-1)</f>
        <v>0</v>
      </c>
      <c r="AN1027" s="51" t="n">
        <f aca="false">IF(AND(OR(CF1027="L1",CF1027="L23",CF1027="LIFT"),AI1027&gt;0),SUMIFS($AI$7:$AI$1843,$CF$7:$CF$1843,CF1027,$AM$7:$AM$1843,"&gt;"&amp;AM1027)+SUMIFS($AI$7:$AI$1843,$CF$7:$CF$1843,CF1027,$AM$7:$AM$1843,AM1027,$BW$7:$BW$1843,"&lt;="&amp;BW1027),"")</f>
        <v>29036.4800216262</v>
      </c>
      <c r="AO1027" s="58" t="n">
        <f aca="false">IF(AN1027="",0,MAX(0,MIN(1,(IF(CF1027="L1",Parameter!$H$5,IF(CF1027="L23",Parameter!$H$6+Parameter!$H$7,Parameter!$H$5+Parameter!$H$6+Parameter!$H$7))-(AN1027-AI1027))/AI1027)))</f>
        <v>1</v>
      </c>
      <c r="AP1027" s="50" t="n">
        <f aca="false">IF(LEFT(Cockpit!$I$5,1)="A",H1027,IF(Parameter!$E$30="MAX-Bestand",IF(CH1027=1,CI1027,IF(LEFT(Cockpit!$I$5,1)="B",AV1027,MAX(AV1027,H1027))),ROUNDUP(AT1027,0)))</f>
        <v>10</v>
      </c>
      <c r="AQ1027" s="50" t="n">
        <f aca="false">IF(BZ1027=1,0,ROUNDUP(AP1027/BY1027,0))</f>
        <v>1</v>
      </c>
      <c r="AR1027" s="52" t="n">
        <f aca="false">IF(CQ1027&gt;0,CQ1027*MAX(1,AP1027/X1027),IF(BZ1027=1,IF(AP1027&lt;=0,0,CD1027*MAX(1,IF(H1027&gt;0,AP1027/H1027,1))),IF(R1027&gt;0,AQ1027/R1027,0))/MAX(0.1,N(Parameter!$M$21)))</f>
        <v>0.0833333333333333</v>
      </c>
      <c r="AS1027" s="50" t="n">
        <f aca="false">AR1027*CB1027</f>
        <v>20.4166666666667</v>
      </c>
      <c r="AT1027" s="51" t="n">
        <f aca="false">IF(LEFT(Cockpit!$I$5,1)="A",H1027,IF(CH1027=1,(CK1027+CI1027)/2,IF(LEFT(Cockpit!$I$5,1)="B",(CK1027+AV1027)/2,MAX((CK1027+AV1027)/2,H1027))))</f>
        <v>10</v>
      </c>
      <c r="AU1027" s="50" t="n">
        <f aca="false">AT1027*G1027</f>
        <v>1250</v>
      </c>
      <c r="AV1027" s="50" t="n">
        <f aca="false">ROUNDUP(CK1027+MAX(CL1027,2*(J1027/IF(CG1027&gt;0,CG1027,MAX(0.1,N(Cockpit!$I$6)))-CK1027)),0)</f>
        <v>1</v>
      </c>
      <c r="AW1027" s="51" t="n">
        <f aca="false">IF(AS1027&gt;0,J1027/AS1027,-1)</f>
        <v>0</v>
      </c>
      <c r="AX1027" s="51" t="n">
        <f aca="false">IF(AND(OR(CF1027="L1",CF1027="L23",CF1027="LIFT"),AS1027&gt;0),SUMIFS($AS$7:$AS$1843,$CF$7:$CF$1843,CF1027,$AW$7:$AW$1843,"&gt;"&amp;AW1027)+SUMIFS($AS$7:$AS$1843,$CF$7:$CF$1843,CF1027,$AW$7:$AW$1843,AW1027,$BW$7:$BW$1843,"&lt;="&amp;BW1027),"")</f>
        <v>34737.3617216117</v>
      </c>
      <c r="AY1027" s="58" t="n">
        <f aca="false">IF(AX1027="",0,MAX(0,MIN(1,(IF(CF1027="L1",Parameter!$H$5,IF(CF1027="L23",Parameter!$H$6+Parameter!$H$7,Parameter!$H$5+Parameter!$H$6+Parameter!$H$7))-(AX1027-AS1027))/AS1027)))</f>
        <v>1</v>
      </c>
      <c r="AZ1027" s="50" t="n">
        <f aca="false">IF(LEFT(Cockpit!$O$5,1)="A",H1027,IF(Parameter!$E$30="MAX-Bestand",IF(CH1027=1,CI1027,IF(LEFT(Cockpit!$O$5,1)="B",BF1027,MAX(BF1027,H1027))),ROUNDUP(BD1027,0)))</f>
        <v>1</v>
      </c>
      <c r="BA1027" s="50" t="n">
        <f aca="false">IF(BZ1027=1,0,ROUNDUP(AZ1027/BY1027,0))</f>
        <v>1</v>
      </c>
      <c r="BB1027" s="52" t="n">
        <f aca="false">IF(CQ1027&gt;0,CQ1027*MAX(1,AZ1027/X1027),IF(BZ1027=1,IF(AZ1027&lt;=0,0,CD1027*MAX(1,IF(H1027&gt;0,AZ1027/H1027,1))),IF(R1027&gt;0,BA1027/R1027,0))/MAX(0.1,N(Parameter!$M$21)))</f>
        <v>0.0833333333333333</v>
      </c>
      <c r="BC1027" s="50" t="n">
        <f aca="false">BB1027*CB1027</f>
        <v>20.4166666666667</v>
      </c>
      <c r="BD1027" s="51" t="n">
        <f aca="false">IF(LEFT(Cockpit!$O$5,1)="A",H1027,IF(CH1027=1,(CK1027+CI1027)/2,IF(LEFT(Cockpit!$O$5,1)="B",(CK1027+BF1027)/2,MAX((CK1027+BF1027)/2,H1027))))</f>
        <v>0.5</v>
      </c>
      <c r="BE1027" s="50" t="n">
        <f aca="false">BD1027*G1027</f>
        <v>62.5</v>
      </c>
      <c r="BF1027" s="50" t="n">
        <f aca="false">ROUNDUP(CK1027+MAX(CL1027,2*(J1027/IF(CG1027&gt;0,CG1027,MAX(0.1,N(Cockpit!$O$6)))-CK1027)),0)</f>
        <v>1</v>
      </c>
      <c r="BG1027" s="51" t="n">
        <f aca="false">IF(BC1027&gt;0,J1027/BC1027,-1)</f>
        <v>0</v>
      </c>
      <c r="BH1027" s="51" t="n">
        <f aca="false">IF(AND(OR(CF1027="L1",CF1027="L23",CF1027="LIFT"),BC1027&gt;0),SUMIFS($BC$7:$BC$1843,$CF$7:$CF$1843,CF1027,$BG$7:$BG$1843,"&gt;"&amp;BG1027)+SUMIFS($BC$7:$BC$1843,$CF$7:$CF$1843,CF1027,$BG$7:$BG$1843,BG1027,$BW$7:$BW$1843,"&lt;="&amp;BW1027),"")</f>
        <v>28752.4760740672</v>
      </c>
      <c r="BI1027" s="58" t="n">
        <f aca="false">IF(BH1027="",0,MAX(0,MIN(1,(IF(CF1027="L1",Parameter!$H$5,IF(CF1027="L23",Parameter!$H$6+Parameter!$H$7,Parameter!$H$5+Parameter!$H$6+Parameter!$H$7))-(BH1027-BC1027))/BC1027)))</f>
        <v>1</v>
      </c>
      <c r="BJ1027" s="48" t="str">
        <f aca="false">IF(AI1027&lt;=0,"",IF(CF1027="Aussen","Aussenlager",IF(CF1027="-","Nicht im Lift",IF(AO1027&gt;=1,"Lift",IF(AO1027&lt;=0,"Aussenlager","teilweise")))))</f>
        <v>Lift</v>
      </c>
      <c r="BK1027" s="48" t="str">
        <f aca="false">IF(AS1027&lt;=0,"",IF(CF1027="Aussen","Aussenlager",IF(CF1027="-","Nicht im Lift",IF(AY1027&gt;=1,"Lift",IF(AY1027&lt;=0,"Aussenlager","teilweise")))))</f>
        <v>Lift</v>
      </c>
      <c r="BL1027" s="48" t="str">
        <f aca="false">IF(BC1027&lt;=0,"",IF(CF1027="Aussen","Aussenlager",IF(CF1027="-","Nicht im Lift",IF(BI1027&gt;=1,"Lift",IF(BI1027&lt;=0,"Aussenlager","teilweise")))))</f>
        <v>Lift</v>
      </c>
      <c r="BM1027" s="48" t="str">
        <f aca="false">IF(A1027="","",IF(BV1027=1,"Neu; ","")&amp;IF(AND(BV1027=0,BQ1027&lt;0),"negativer Bestand (Export "&amp;BQ1027&amp;"); ","")&amp;IF(J1027&lt;=0,"Kein Verbrauch; ","")&amp;IF(CQ1027&gt;0,"Lift "&amp;W1027&amp;" lt. Liftbericht (Fach "&amp;X1027&amp;" Stk); ",IF(CA1027=1,"Gebinde geschätzt ("&amp;T1027&amp;"); ",IF(BZ1027=1,"Lose – Tablare geschätzt; ","")))&amp;IF(H1027&gt;AV1027,"Überbestand "&amp;ROUND(H1027-AV1027,0)&amp;" Stk / CHF "&amp;ROUND((H1027-AV1027)*G1027,0)&amp;"; ","")&amp;IF(AND(CH1027=1,CI1027&lt;CJ1027),"MAX &lt; MB+LG; ","")&amp;IF(AND(CP1027&gt;0,CO1027*10&gt;CP1027),"zu hoch für Tablar; ","")&amp;IF(AND(BV1027=0,OR(CH1027=1,AA1027&lt;&gt;"",U1027&lt;&gt;"",V1027&lt;&gt;"",AB1027&lt;&gt;"")),"manuell übersteuert; ","")&amp;IF(AND(BZ1027=0,R1027=0),"Gebinde unbekannt / Stellmass fehlt; ","")&amp;IF(AND(BZ1027=0,N(V1027)&lt;=0,N(Q1027)&lt;=0),"Menge pro Gebinde fehlt (Ist = 1 Gebinde); ","")&amp;BU1027)</f>
        <v>negativer Bestand (Export -1); Kein Verbrauch; Überbestand 9 Stk / CHF 1125; </v>
      </c>
      <c r="BN1027" s="48"/>
      <c r="BO1027" s="48"/>
      <c r="BP1027" s="55"/>
      <c r="BQ1027" s="50" t="n">
        <v>-1</v>
      </c>
      <c r="BR1027" s="50" t="n">
        <v>11</v>
      </c>
      <c r="BS1027" s="49" t="n">
        <v>-125</v>
      </c>
      <c r="BT1027" s="50" t="n">
        <v>0</v>
      </c>
      <c r="BU1027" s="48"/>
      <c r="BV1027" s="53" t="n">
        <v>0</v>
      </c>
      <c r="BW1027" s="53" t="n">
        <v>1027</v>
      </c>
      <c r="BX1027" s="48" t="str">
        <f aca="false">IF(U1027&lt;&gt;"",UPPER(TRIM(U1027)),IF(CA1027=1,UPPER(VLOOKUP(T1027,Parameter!$I$27:$K$29,2,0)),IF(P1027="","LOSE",P1027)))</f>
        <v>S62</v>
      </c>
      <c r="BY1027" s="50" t="n">
        <f aca="false">IF(BX1027="LOSE",1,IF(N(V1027)&gt;0,V1027,IF(CA1027=1,MAX(1,N(VLOOKUP(T1027,Parameter!$I$27:$K$29,3,0)),H1027,N(N1027)),IF(N(Q1027)&gt;0,Q1027,MAX(1,H1027)))))</f>
        <v>15</v>
      </c>
      <c r="BZ1027" s="53" t="n">
        <f aca="false">IF(BX1027="LOSE",1,0)</f>
        <v>0</v>
      </c>
      <c r="CA1027" s="53" t="n">
        <f aca="false">IF(AND(U1027="",OR(P1027="",P1027="LOSE"),T1027&lt;&gt;"",N(S1027)&lt;=0,ISNUMBER(MATCH(T1027,Parameter!$I$27:$I$29,0))),1,0)</f>
        <v>0</v>
      </c>
      <c r="CB1027" s="53" t="n">
        <f aca="false">IF(CQ1027&gt;0,INDEX(Parameter!$H$5:$H$7,W1027)/INDEX(Parameter!$E$5:$E$7,W1027),IF(AND(BZ1027=0,N(IFERROR(VLOOKUP(BX1027,'Gebinde-Kategorie'!$A$5:$N$45,14,0),0))&gt;0),VLOOKUP(BX1027,'Gebinde-Kategorie'!$A$5:$N$45,14,0)*10+Parameter!$M$23,Parameter!$M$24))</f>
        <v>245</v>
      </c>
      <c r="CC1027" s="48" t="str">
        <f aca="false">IF(AND(Parameter!$B$19="Ja",E1027&lt;&gt;"",ISNUMBER(MATCH(E1027,Parameter!$I$35:$I$52,0))),VLOOKUP(E1027,Parameter!$I$35:$J$52,2,0),IFERROR(VLOOKUP(D1027,Parameter!$A$35:$C$64,2,0),"Nein"))</f>
        <v>2+3</v>
      </c>
      <c r="CD1027" s="52" t="n">
        <f aca="false">IF(BZ1027=0,0,IF(N(S1027)&gt;0,S1027,IFERROR(VLOOKUP(D1027,Parameter!$A$35:$C$64,3,0)+0,0)))</f>
        <v>0</v>
      </c>
      <c r="CE1027" s="48" t="n">
        <f aca="false">IF(AA1027&lt;&gt;"",AA1027,Z1027)</f>
        <v>2</v>
      </c>
      <c r="CF1027" s="48" t="str">
        <f aca="false">IF(OR(CE1027=1,CE1027=2,CE1027=3),IF(Parameter!$E$27="Ja","LIFT",IF(CE1027=1,"L1","L23")),IF(CE1027="Aussen","Aussen","-"))</f>
        <v>LIFT</v>
      </c>
      <c r="CG1027" s="59" t="n">
        <f aca="false">IF(N(AB1027)&gt;0,AB1027,0)</f>
        <v>0</v>
      </c>
      <c r="CH1027" s="53" t="n">
        <f aca="false">IF(ISNUMBER(AE1027),1,0)</f>
        <v>0</v>
      </c>
      <c r="CI1027" s="50" t="n">
        <f aca="false">N(AE1027)</f>
        <v>0</v>
      </c>
      <c r="CJ1027" s="50" t="n">
        <f aca="false">N(M1027)+N(N1027)</f>
        <v>1</v>
      </c>
      <c r="CK1027" s="50" t="n">
        <f aca="false">N(M1027)</f>
        <v>0</v>
      </c>
      <c r="CL1027" s="50" t="n">
        <f aca="false">N(N1027)</f>
        <v>1</v>
      </c>
      <c r="CM1027" s="50" t="n">
        <f aca="false">ROUNDUP(H1027/BY1027,0)</f>
        <v>1</v>
      </c>
      <c r="CN1027" s="50" t="n">
        <f aca="false">ROUNDUP(CI1027/BY1027,0)</f>
        <v>0</v>
      </c>
      <c r="CO1027" s="53" t="n">
        <f aca="false">IF(BZ1027=1,0,IFERROR(VLOOKUP(BX1027,'Gebinde-Kategorie'!$A$5:$N$45,5,0)+0,0))</f>
        <v>21</v>
      </c>
      <c r="CP1027" s="53" t="n">
        <f aca="false">IFERROR(IF(OR(CE1027=1,CE1027=2,CE1027=3),N(INDEX(Parameter!$I$5:$I$7,CE1027)),0),0)</f>
        <v>0</v>
      </c>
      <c r="CQ1027" s="52" t="n">
        <f aca="false">IF(AND(Parameter!$B$21="Ja",ISNUMBER(W1027),N(X1027)&gt;0),IFERROR(N(INDEX(Parameter!$L$5:$L$7,W1027))*INDEX(Parameter!$E$5:$E$7,W1027)*X1027/SUMIFS($X$7:$X$1843,$W$7:$W$1843,W1027),0),0)</f>
        <v>0</v>
      </c>
    </row>
    <row r="1028" customFormat="false" ht="15" hidden="false" customHeight="false" outlineLevel="0" collapsed="false">
      <c r="A1028" s="48" t="s">
        <v>1899</v>
      </c>
      <c r="B1028" s="48" t="s">
        <v>553</v>
      </c>
      <c r="C1028" s="48" t="s">
        <v>173</v>
      </c>
      <c r="D1028" s="48" t="s">
        <v>193</v>
      </c>
      <c r="E1028" s="48" t="s">
        <v>194</v>
      </c>
      <c r="F1028" s="48" t="s">
        <v>227</v>
      </c>
      <c r="G1028" s="49" t="n">
        <v>20.71</v>
      </c>
      <c r="H1028" s="50" t="n">
        <f aca="false">MAX(0,IF(AND(Parameter!$B$21="Ja",ISNUMBER(Y1028)),Y1028,IF(Parameter!$B$20="Jahresanfang 2025 + Export",BR1028+BQ1028,BQ1028)))</f>
        <v>14</v>
      </c>
      <c r="I1028" s="50" t="n">
        <f aca="false">H1028*G1028</f>
        <v>289.94</v>
      </c>
      <c r="J1028" s="50" t="n">
        <f aca="false">BT1028*Parameter!$B$18</f>
        <v>13</v>
      </c>
      <c r="K1028" s="51" t="n">
        <v>19.5</v>
      </c>
      <c r="L1028" s="52" t="n">
        <v>0.666666666666667</v>
      </c>
      <c r="M1028" s="50" t="n">
        <v>0</v>
      </c>
      <c r="N1028" s="50" t="n">
        <v>15</v>
      </c>
      <c r="O1028" s="53" t="n">
        <v>21</v>
      </c>
      <c r="P1028" s="48" t="s">
        <v>430</v>
      </c>
      <c r="Q1028" s="50" t="n">
        <v>13</v>
      </c>
      <c r="R1028" s="53" t="n">
        <f aca="false">IF(BZ1028=1,0,IFERROR(VLOOKUP(BX1028,'Gebinde-Kategorie'!$A$5:$N$45,13,0)+0,0))</f>
        <v>104</v>
      </c>
      <c r="S1028" s="54"/>
      <c r="T1028" s="55"/>
      <c r="U1028" s="55"/>
      <c r="V1028" s="55"/>
      <c r="W1028" s="48"/>
      <c r="X1028" s="50"/>
      <c r="Y1028" s="50"/>
      <c r="Z1028" s="48" t="n">
        <f aca="false">IF(A1028="","",IF(AND(Parameter!$B$21="Ja",ISNUMBER(W1028)),W1028,IF(CC1028="2+3",IF(ISNUMBER(SEARCH("grosser Artikel",BU1028)),2,IFERROR(VLOOKUP(BX1028,Parameter!$F$35:$G$64,2,0),2)),IF(OR(CC1028="Nein",CC1028=""),"-",CC1028))))</f>
        <v>3</v>
      </c>
      <c r="AA1028" s="55"/>
      <c r="AB1028" s="56"/>
      <c r="AC1028" s="50" t="n">
        <f aca="false">AV1028</f>
        <v>15</v>
      </c>
      <c r="AD1028" s="50" t="n">
        <f aca="false">MAX(AV1028,H1028)</f>
        <v>15</v>
      </c>
      <c r="AE1028" s="57"/>
      <c r="AF1028" s="50" t="n">
        <f aca="false">IF(LEFT(Cockpit!$C$5,1)="A",H1028,IF(Parameter!$E$30="MAX-Bestand",IF(CH1028=1,CI1028,IF(LEFT(Cockpit!$C$5,1)="B",AL1028,MAX(AL1028,H1028))),ROUNDUP(AJ1028,0)))</f>
        <v>14</v>
      </c>
      <c r="AG1028" s="50" t="n">
        <f aca="false">IF(BZ1028=1,0,ROUNDUP(AF1028/BY1028,0))</f>
        <v>2</v>
      </c>
      <c r="AH1028" s="52" t="n">
        <f aca="false">IF(CQ1028&gt;0,CQ1028*MAX(1,AF1028/X1028),IF(BZ1028=1,IF(AF1028&lt;=0,0,CD1028*MAX(1,IF(H1028&gt;0,AF1028/H1028,1))),IF(R1028&gt;0,AG1028/R1028,0))/MAX(0.1,N(Parameter!$M$21)))</f>
        <v>0.0192307692307692</v>
      </c>
      <c r="AI1028" s="50" t="n">
        <f aca="false">AH1028*CB1028</f>
        <v>2.98076923076923</v>
      </c>
      <c r="AJ1028" s="51" t="n">
        <f aca="false">IF(LEFT(Cockpit!$C$5,1)="A",H1028,IF(CH1028=1,(CK1028+CI1028)/2,IF(LEFT(Cockpit!$C$5,1)="B",(CK1028+AL1028)/2,MAX((CK1028+AL1028)/2,H1028))))</f>
        <v>14</v>
      </c>
      <c r="AK1028" s="50" t="n">
        <f aca="false">AJ1028*G1028</f>
        <v>289.94</v>
      </c>
      <c r="AL1028" s="50" t="n">
        <f aca="false">ROUNDUP(CK1028+MAX(CL1028,2*(J1028/IF(CG1028&gt;0,CG1028,MAX(0.1,N(Cockpit!$C$6)))-CK1028)),0)</f>
        <v>15</v>
      </c>
      <c r="AM1028" s="51" t="n">
        <f aca="false">IF(AI1028&gt;0,J1028/AI1028,-1)</f>
        <v>4.36129032258065</v>
      </c>
      <c r="AN1028" s="51" t="n">
        <f aca="false">IF(AND(OR(CF1028="L1",CF1028="L23",CF1028="LIFT"),AI1028&gt;0),SUMIFS($AI$7:$AI$1843,$CF$7:$CF$1843,CF1028,$AM$7:$AM$1843,"&gt;"&amp;AM1028)+SUMIFS($AI$7:$AI$1843,$CF$7:$CF$1843,CF1028,$AM$7:$AM$1843,AM1028,$BW$7:$BW$1843,"&lt;="&amp;BW1028),"")</f>
        <v>4186.57371794872</v>
      </c>
      <c r="AO1028" s="58" t="n">
        <f aca="false">IF(AN1028="",0,MAX(0,MIN(1,(IF(CF1028="L1",Parameter!$H$5,IF(CF1028="L23",Parameter!$H$6+Parameter!$H$7,Parameter!$H$5+Parameter!$H$6+Parameter!$H$7))-(AN1028-AI1028))/AI1028)))</f>
        <v>1</v>
      </c>
      <c r="AP1028" s="50" t="n">
        <f aca="false">IF(LEFT(Cockpit!$I$5,1)="A",H1028,IF(Parameter!$E$30="MAX-Bestand",IF(CH1028=1,CI1028,IF(LEFT(Cockpit!$I$5,1)="B",AV1028,MAX(AV1028,H1028))),ROUNDUP(AT1028,0)))</f>
        <v>14</v>
      </c>
      <c r="AQ1028" s="50" t="n">
        <f aca="false">IF(BZ1028=1,0,ROUNDUP(AP1028/BY1028,0))</f>
        <v>2</v>
      </c>
      <c r="AR1028" s="52" t="n">
        <f aca="false">IF(CQ1028&gt;0,CQ1028*MAX(1,AP1028/X1028),IF(BZ1028=1,IF(AP1028&lt;=0,0,CD1028*MAX(1,IF(H1028&gt;0,AP1028/H1028,1))),IF(R1028&gt;0,AQ1028/R1028,0))/MAX(0.1,N(Parameter!$M$21)))</f>
        <v>0.0192307692307692</v>
      </c>
      <c r="AS1028" s="50" t="n">
        <f aca="false">AR1028*CB1028</f>
        <v>2.98076923076923</v>
      </c>
      <c r="AT1028" s="51" t="n">
        <f aca="false">IF(LEFT(Cockpit!$I$5,1)="A",H1028,IF(CH1028=1,(CK1028+CI1028)/2,IF(LEFT(Cockpit!$I$5,1)="B",(CK1028+AV1028)/2,MAX((CK1028+AV1028)/2,H1028))))</f>
        <v>14</v>
      </c>
      <c r="AU1028" s="50" t="n">
        <f aca="false">AT1028*G1028</f>
        <v>289.94</v>
      </c>
      <c r="AV1028" s="50" t="n">
        <f aca="false">ROUNDUP(CK1028+MAX(CL1028,2*(J1028/IF(CG1028&gt;0,CG1028,MAX(0.1,N(Cockpit!$I$6)))-CK1028)),0)</f>
        <v>15</v>
      </c>
      <c r="AW1028" s="51" t="n">
        <f aca="false">IF(AS1028&gt;0,J1028/AS1028,-1)</f>
        <v>4.36129032258065</v>
      </c>
      <c r="AX1028" s="51" t="n">
        <f aca="false">IF(AND(OR(CF1028="L1",CF1028="L23",CF1028="LIFT"),AS1028&gt;0),SUMIFS($AS$7:$AS$1843,$CF$7:$CF$1843,CF1028,$AW$7:$AW$1843,"&gt;"&amp;AW1028)+SUMIFS($AS$7:$AS$1843,$CF$7:$CF$1843,CF1028,$AW$7:$AW$1843,AW1028,$BW$7:$BW$1843,"&lt;="&amp;BW1028),"")</f>
        <v>4754.06456043956</v>
      </c>
      <c r="AY1028" s="58" t="n">
        <f aca="false">IF(AX1028="",0,MAX(0,MIN(1,(IF(CF1028="L1",Parameter!$H$5,IF(CF1028="L23",Parameter!$H$6+Parameter!$H$7,Parameter!$H$5+Parameter!$H$6+Parameter!$H$7))-(AX1028-AS1028))/AS1028)))</f>
        <v>1</v>
      </c>
      <c r="AZ1028" s="50" t="n">
        <f aca="false">IF(LEFT(Cockpit!$O$5,1)="A",H1028,IF(Parameter!$E$30="MAX-Bestand",IF(CH1028=1,CI1028,IF(LEFT(Cockpit!$O$5,1)="B",BF1028,MAX(BF1028,H1028))),ROUNDUP(BD1028,0)))</f>
        <v>8</v>
      </c>
      <c r="BA1028" s="50" t="n">
        <f aca="false">IF(BZ1028=1,0,ROUNDUP(AZ1028/BY1028,0))</f>
        <v>1</v>
      </c>
      <c r="BB1028" s="52" t="n">
        <f aca="false">IF(CQ1028&gt;0,CQ1028*MAX(1,AZ1028/X1028),IF(BZ1028=1,IF(AZ1028&lt;=0,0,CD1028*MAX(1,IF(H1028&gt;0,AZ1028/H1028,1))),IF(R1028&gt;0,BA1028/R1028,0))/MAX(0.1,N(Parameter!$M$21)))</f>
        <v>0.00961538461538462</v>
      </c>
      <c r="BC1028" s="50" t="n">
        <f aca="false">BB1028*CB1028</f>
        <v>1.49038461538462</v>
      </c>
      <c r="BD1028" s="51" t="n">
        <f aca="false">IF(LEFT(Cockpit!$O$5,1)="A",H1028,IF(CH1028=1,(CK1028+CI1028)/2,IF(LEFT(Cockpit!$O$5,1)="B",(CK1028+BF1028)/2,MAX((CK1028+BF1028)/2,H1028))))</f>
        <v>7.5</v>
      </c>
      <c r="BE1028" s="50" t="n">
        <f aca="false">BD1028*G1028</f>
        <v>155.325</v>
      </c>
      <c r="BF1028" s="50" t="n">
        <f aca="false">ROUNDUP(CK1028+MAX(CL1028,2*(J1028/IF(CG1028&gt;0,CG1028,MAX(0.1,N(Cockpit!$O$6)))-CK1028)),0)</f>
        <v>15</v>
      </c>
      <c r="BG1028" s="51" t="n">
        <f aca="false">IF(BC1028&gt;0,J1028/BC1028,-1)</f>
        <v>8.72258064516129</v>
      </c>
      <c r="BH1028" s="51" t="n">
        <f aca="false">IF(AND(OR(CF1028="L1",CF1028="L23",CF1028="LIFT"),BC1028&gt;0),SUMIFS($BC$7:$BC$1843,$CF$7:$CF$1843,CF1028,$BG$7:$BG$1843,"&gt;"&amp;BG1028)+SUMIFS($BC$7:$BC$1843,$CF$7:$CF$1843,CF1028,$BG$7:$BG$1843,BG1028,$BW$7:$BW$1843,"&lt;="&amp;BW1028),"")</f>
        <v>2892.17811355311</v>
      </c>
      <c r="BI1028" s="58" t="n">
        <f aca="false">IF(BH1028="",0,MAX(0,MIN(1,(IF(CF1028="L1",Parameter!$H$5,IF(CF1028="L23",Parameter!$H$6+Parameter!$H$7,Parameter!$H$5+Parameter!$H$6+Parameter!$H$7))-(BH1028-BC1028))/BC1028)))</f>
        <v>1</v>
      </c>
      <c r="BJ1028" s="48" t="str">
        <f aca="false">IF(AI1028&lt;=0,"",IF(CF1028="Aussen","Aussenlager",IF(CF1028="-","Nicht im Lift",IF(AO1028&gt;=1,"Lift",IF(AO1028&lt;=0,"Aussenlager","teilweise")))))</f>
        <v>Lift</v>
      </c>
      <c r="BK1028" s="48" t="str">
        <f aca="false">IF(AS1028&lt;=0,"",IF(CF1028="Aussen","Aussenlager",IF(CF1028="-","Nicht im Lift",IF(AY1028&gt;=1,"Lift",IF(AY1028&lt;=0,"Aussenlager","teilweise")))))</f>
        <v>Lift</v>
      </c>
      <c r="BL1028" s="48" t="str">
        <f aca="false">IF(BC1028&lt;=0,"",IF(CF1028="Aussen","Aussenlager",IF(CF1028="-","Nicht im Lift",IF(BI1028&gt;=1,"Lift",IF(BI1028&lt;=0,"Aussenlager","teilweise")))))</f>
        <v>Lift</v>
      </c>
      <c r="BM1028" s="48" t="str">
        <f aca="false">IF(A1028="","",IF(BV1028=1,"Neu; ","")&amp;IF(AND(BV1028=0,BQ1028&lt;0),"negativer Bestand (Export "&amp;BQ1028&amp;"); ","")&amp;IF(J1028&lt;=0,"Kein Verbrauch; ","")&amp;IF(CQ1028&gt;0,"Lift "&amp;W1028&amp;" lt. Liftbericht (Fach "&amp;X1028&amp;" Stk); ",IF(CA1028=1,"Gebinde geschätzt ("&amp;T1028&amp;"); ",IF(BZ1028=1,"Lose – Tablare geschätzt; ","")))&amp;IF(H1028&gt;AV1028,"Überbestand "&amp;ROUND(H1028-AV1028,0)&amp;" Stk / CHF "&amp;ROUND((H1028-AV1028)*G1028,0)&amp;"; ","")&amp;IF(AND(CH1028=1,CI1028&lt;CJ1028),"MAX &lt; MB+LG; ","")&amp;IF(AND(CP1028&gt;0,CO1028*10&gt;CP1028),"zu hoch für Tablar; ","")&amp;IF(AND(BV1028=0,OR(CH1028=1,AA1028&lt;&gt;"",U1028&lt;&gt;"",V1028&lt;&gt;"",AB1028&lt;&gt;"")),"manuell übersteuert; ","")&amp;IF(AND(BZ1028=0,R1028=0),"Gebinde unbekannt / Stellmass fehlt; ","")&amp;IF(AND(BZ1028=0,N(V1028)&lt;=0,N(Q1028)&lt;=0),"Menge pro Gebinde fehlt (Ist = 1 Gebinde); ","")&amp;BU1028)</f>
        <v>negativer Bestand (Export -7); </v>
      </c>
      <c r="BN1028" s="48"/>
      <c r="BO1028" s="48"/>
      <c r="BP1028" s="55"/>
      <c r="BQ1028" s="50" t="n">
        <v>-7</v>
      </c>
      <c r="BR1028" s="50" t="n">
        <v>21</v>
      </c>
      <c r="BS1028" s="49" t="n">
        <v>-127.12</v>
      </c>
      <c r="BT1028" s="50" t="n">
        <v>13</v>
      </c>
      <c r="BU1028" s="48"/>
      <c r="BV1028" s="53" t="n">
        <v>0</v>
      </c>
      <c r="BW1028" s="53" t="n">
        <v>1028</v>
      </c>
      <c r="BX1028" s="48" t="str">
        <f aca="false">IF(U1028&lt;&gt;"",UPPER(TRIM(U1028)),IF(CA1028=1,UPPER(VLOOKUP(T1028,Parameter!$I$27:$K$29,2,0)),IF(P1028="","LOSE",P1028)))</f>
        <v>S32</v>
      </c>
      <c r="BY1028" s="50" t="n">
        <f aca="false">IF(BX1028="LOSE",1,IF(N(V1028)&gt;0,V1028,IF(CA1028=1,MAX(1,N(VLOOKUP(T1028,Parameter!$I$27:$K$29,3,0)),H1028,N(N1028)),IF(N(Q1028)&gt;0,Q1028,MAX(1,H1028)))))</f>
        <v>13</v>
      </c>
      <c r="BZ1028" s="53" t="n">
        <f aca="false">IF(BX1028="LOSE",1,0)</f>
        <v>0</v>
      </c>
      <c r="CA1028" s="53" t="n">
        <f aca="false">IF(AND(U1028="",OR(P1028="",P1028="LOSE"),T1028&lt;&gt;"",N(S1028)&lt;=0,ISNUMBER(MATCH(T1028,Parameter!$I$27:$I$29,0))),1,0)</f>
        <v>0</v>
      </c>
      <c r="CB1028" s="53" t="n">
        <f aca="false">IF(CQ1028&gt;0,INDEX(Parameter!$H$5:$H$7,W1028)/INDEX(Parameter!$E$5:$E$7,W1028),IF(AND(BZ1028=0,N(IFERROR(VLOOKUP(BX1028,'Gebinde-Kategorie'!$A$5:$N$45,14,0),0))&gt;0),VLOOKUP(BX1028,'Gebinde-Kategorie'!$A$5:$N$45,14,0)*10+Parameter!$M$23,Parameter!$M$24))</f>
        <v>155</v>
      </c>
      <c r="CC1028" s="48" t="str">
        <f aca="false">IF(AND(Parameter!$B$19="Ja",E1028&lt;&gt;"",ISNUMBER(MATCH(E1028,Parameter!$I$35:$I$52,0))),VLOOKUP(E1028,Parameter!$I$35:$J$52,2,0),IFERROR(VLOOKUP(D1028,Parameter!$A$35:$C$64,2,0),"Nein"))</f>
        <v>2+3</v>
      </c>
      <c r="CD1028" s="52" t="n">
        <f aca="false">IF(BZ1028=0,0,IF(N(S1028)&gt;0,S1028,IFERROR(VLOOKUP(D1028,Parameter!$A$35:$C$64,3,0)+0,0)))</f>
        <v>0</v>
      </c>
      <c r="CE1028" s="48" t="n">
        <f aca="false">IF(AA1028&lt;&gt;"",AA1028,Z1028)</f>
        <v>3</v>
      </c>
      <c r="CF1028" s="48" t="str">
        <f aca="false">IF(OR(CE1028=1,CE1028=2,CE1028=3),IF(Parameter!$E$27="Ja","LIFT",IF(CE1028=1,"L1","L23")),IF(CE1028="Aussen","Aussen","-"))</f>
        <v>LIFT</v>
      </c>
      <c r="CG1028" s="59" t="n">
        <f aca="false">IF(N(AB1028)&gt;0,AB1028,0)</f>
        <v>0</v>
      </c>
      <c r="CH1028" s="53" t="n">
        <f aca="false">IF(ISNUMBER(AE1028),1,0)</f>
        <v>0</v>
      </c>
      <c r="CI1028" s="50" t="n">
        <f aca="false">N(AE1028)</f>
        <v>0</v>
      </c>
      <c r="CJ1028" s="50" t="n">
        <f aca="false">N(M1028)+N(N1028)</f>
        <v>15</v>
      </c>
      <c r="CK1028" s="50" t="n">
        <f aca="false">N(M1028)</f>
        <v>0</v>
      </c>
      <c r="CL1028" s="50" t="n">
        <f aca="false">N(N1028)</f>
        <v>15</v>
      </c>
      <c r="CM1028" s="50" t="n">
        <f aca="false">ROUNDUP(H1028/BY1028,0)</f>
        <v>2</v>
      </c>
      <c r="CN1028" s="50" t="n">
        <f aca="false">ROUNDUP(CI1028/BY1028,0)</f>
        <v>0</v>
      </c>
      <c r="CO1028" s="53" t="n">
        <f aca="false">IF(BZ1028=1,0,IFERROR(VLOOKUP(BX1028,'Gebinde-Kategorie'!$A$5:$N$45,5,0)+0,0))</f>
        <v>8</v>
      </c>
      <c r="CP1028" s="53" t="n">
        <f aca="false">IFERROR(IF(OR(CE1028=1,CE1028=2,CE1028=3),N(INDEX(Parameter!$I$5:$I$7,CE1028)),0),0)</f>
        <v>0</v>
      </c>
      <c r="CQ1028" s="52" t="n">
        <f aca="false">IF(AND(Parameter!$B$21="Ja",ISNUMBER(W1028),N(X1028)&gt;0),IFERROR(N(INDEX(Parameter!$L$5:$L$7,W1028))*INDEX(Parameter!$E$5:$E$7,W1028)*X1028/SUMIFS($X$7:$X$1843,$W$7:$W$1843,W1028),0),0)</f>
        <v>0</v>
      </c>
    </row>
    <row r="1029" customFormat="false" ht="15" hidden="false" customHeight="false" outlineLevel="0" collapsed="false">
      <c r="A1029" s="48" t="s">
        <v>1900</v>
      </c>
      <c r="B1029" s="48" t="s">
        <v>1901</v>
      </c>
      <c r="C1029" s="48" t="s">
        <v>173</v>
      </c>
      <c r="D1029" s="48" t="s">
        <v>193</v>
      </c>
      <c r="E1029" s="48" t="s">
        <v>194</v>
      </c>
      <c r="F1029" s="48" t="s">
        <v>227</v>
      </c>
      <c r="G1029" s="49" t="n">
        <v>15.9</v>
      </c>
      <c r="H1029" s="50" t="n">
        <f aca="false">MAX(0,IF(AND(Parameter!$B$21="Ja",ISNUMBER(Y1029)),Y1029,IF(Parameter!$B$20="Jahresanfang 2025 + Export",BR1029+BQ1029,BQ1029)))</f>
        <v>73</v>
      </c>
      <c r="I1029" s="50" t="n">
        <f aca="false">H1029*G1029</f>
        <v>1160.7</v>
      </c>
      <c r="J1029" s="50" t="n">
        <f aca="false">BT1029*Parameter!$B$18</f>
        <v>6</v>
      </c>
      <c r="K1029" s="51" t="n">
        <v>78</v>
      </c>
      <c r="L1029" s="52" t="n">
        <v>0.0769230769230769</v>
      </c>
      <c r="M1029" s="50" t="n">
        <v>0</v>
      </c>
      <c r="N1029" s="50" t="n">
        <v>5</v>
      </c>
      <c r="O1029" s="53" t="n">
        <v>35</v>
      </c>
      <c r="P1029" s="48" t="s">
        <v>337</v>
      </c>
      <c r="Q1029" s="50" t="n">
        <v>119</v>
      </c>
      <c r="R1029" s="53" t="n">
        <f aca="false">IF(BZ1029=1,0,IFERROR(VLOOKUP(BX1029,'Gebinde-Kategorie'!$A$5:$N$45,13,0)+0,0))</f>
        <v>52</v>
      </c>
      <c r="S1029" s="54"/>
      <c r="T1029" s="55"/>
      <c r="U1029" s="55"/>
      <c r="V1029" s="55"/>
      <c r="W1029" s="48"/>
      <c r="X1029" s="50"/>
      <c r="Y1029" s="50"/>
      <c r="Z1029" s="48" t="n">
        <f aca="false">IF(A1029="","",IF(AND(Parameter!$B$21="Ja",ISNUMBER(W1029)),W1029,IF(CC1029="2+3",IF(ISNUMBER(SEARCH("grosser Artikel",BU1029)),2,IFERROR(VLOOKUP(BX1029,Parameter!$F$35:$G$64,2,0),2)),IF(OR(CC1029="Nein",CC1029=""),"-",CC1029))))</f>
        <v>3</v>
      </c>
      <c r="AA1029" s="55"/>
      <c r="AB1029" s="56"/>
      <c r="AC1029" s="50" t="n">
        <f aca="false">AV1029</f>
        <v>5</v>
      </c>
      <c r="AD1029" s="50" t="n">
        <f aca="false">MAX(AV1029,H1029)</f>
        <v>73</v>
      </c>
      <c r="AE1029" s="57"/>
      <c r="AF1029" s="50" t="n">
        <f aca="false">IF(LEFT(Cockpit!$C$5,1)="A",H1029,IF(Parameter!$E$30="MAX-Bestand",IF(CH1029=1,CI1029,IF(LEFT(Cockpit!$C$5,1)="B",AL1029,MAX(AL1029,H1029))),ROUNDUP(AJ1029,0)))</f>
        <v>73</v>
      </c>
      <c r="AG1029" s="50" t="n">
        <f aca="false">IF(BZ1029=1,0,ROUNDUP(AF1029/BY1029,0))</f>
        <v>1</v>
      </c>
      <c r="AH1029" s="52" t="n">
        <f aca="false">IF(CQ1029&gt;0,CQ1029*MAX(1,AF1029/X1029),IF(BZ1029=1,IF(AF1029&lt;=0,0,CD1029*MAX(1,IF(H1029&gt;0,AF1029/H1029,1))),IF(R1029&gt;0,AG1029/R1029,0))/MAX(0.1,N(Parameter!$M$21)))</f>
        <v>0.0192307692307692</v>
      </c>
      <c r="AI1029" s="50" t="n">
        <f aca="false">AH1029*CB1029</f>
        <v>2.98076923076923</v>
      </c>
      <c r="AJ1029" s="51" t="n">
        <f aca="false">IF(LEFT(Cockpit!$C$5,1)="A",H1029,IF(CH1029=1,(CK1029+CI1029)/2,IF(LEFT(Cockpit!$C$5,1)="B",(CK1029+AL1029)/2,MAX((CK1029+AL1029)/2,H1029))))</f>
        <v>73</v>
      </c>
      <c r="AK1029" s="50" t="n">
        <f aca="false">AJ1029*G1029</f>
        <v>1160.7</v>
      </c>
      <c r="AL1029" s="50" t="n">
        <f aca="false">ROUNDUP(CK1029+MAX(CL1029,2*(J1029/IF(CG1029&gt;0,CG1029,MAX(0.1,N(Cockpit!$C$6)))-CK1029)),0)</f>
        <v>5</v>
      </c>
      <c r="AM1029" s="51" t="n">
        <f aca="false">IF(AI1029&gt;0,J1029/AI1029,-1)</f>
        <v>2.01290322580645</v>
      </c>
      <c r="AN1029" s="51" t="n">
        <f aca="false">IF(AND(OR(CF1029="L1",CF1029="L23",CF1029="LIFT"),AI1029&gt;0),SUMIFS($AI$7:$AI$1843,$CF$7:$CF$1843,CF1029,$AM$7:$AM$1843,"&gt;"&amp;AM1029)+SUMIFS($AI$7:$AI$1843,$CF$7:$CF$1843,CF1029,$AM$7:$AM$1843,AM1029,$BW$7:$BW$1843,"&lt;="&amp;BW1029),"")</f>
        <v>5799.79212454213</v>
      </c>
      <c r="AO1029" s="58" t="n">
        <f aca="false">IF(AN1029="",0,MAX(0,MIN(1,(IF(CF1029="L1",Parameter!$H$5,IF(CF1029="L23",Parameter!$H$6+Parameter!$H$7,Parameter!$H$5+Parameter!$H$6+Parameter!$H$7))-(AN1029-AI1029))/AI1029)))</f>
        <v>1</v>
      </c>
      <c r="AP1029" s="50" t="n">
        <f aca="false">IF(LEFT(Cockpit!$I$5,1)="A",H1029,IF(Parameter!$E$30="MAX-Bestand",IF(CH1029=1,CI1029,IF(LEFT(Cockpit!$I$5,1)="B",AV1029,MAX(AV1029,H1029))),ROUNDUP(AT1029,0)))</f>
        <v>73</v>
      </c>
      <c r="AQ1029" s="50" t="n">
        <f aca="false">IF(BZ1029=1,0,ROUNDUP(AP1029/BY1029,0))</f>
        <v>1</v>
      </c>
      <c r="AR1029" s="52" t="n">
        <f aca="false">IF(CQ1029&gt;0,CQ1029*MAX(1,AP1029/X1029),IF(BZ1029=1,IF(AP1029&lt;=0,0,CD1029*MAX(1,IF(H1029&gt;0,AP1029/H1029,1))),IF(R1029&gt;0,AQ1029/R1029,0))/MAX(0.1,N(Parameter!$M$21)))</f>
        <v>0.0192307692307692</v>
      </c>
      <c r="AS1029" s="50" t="n">
        <f aca="false">AR1029*CB1029</f>
        <v>2.98076923076923</v>
      </c>
      <c r="AT1029" s="51" t="n">
        <f aca="false">IF(LEFT(Cockpit!$I$5,1)="A",H1029,IF(CH1029=1,(CK1029+CI1029)/2,IF(LEFT(Cockpit!$I$5,1)="B",(CK1029+AV1029)/2,MAX((CK1029+AV1029)/2,H1029))))</f>
        <v>73</v>
      </c>
      <c r="AU1029" s="50" t="n">
        <f aca="false">AT1029*G1029</f>
        <v>1160.7</v>
      </c>
      <c r="AV1029" s="50" t="n">
        <f aca="false">ROUNDUP(CK1029+MAX(CL1029,2*(J1029/IF(CG1029&gt;0,CG1029,MAX(0.1,N(Cockpit!$I$6)))-CK1029)),0)</f>
        <v>5</v>
      </c>
      <c r="AW1029" s="51" t="n">
        <f aca="false">IF(AS1029&gt;0,J1029/AS1029,-1)</f>
        <v>2.01290322580645</v>
      </c>
      <c r="AX1029" s="51" t="n">
        <f aca="false">IF(AND(OR(CF1029="L1",CF1029="L23",CF1029="LIFT"),AS1029&gt;0),SUMIFS($AS$7:$AS$1843,$CF$7:$CF$1843,CF1029,$AW$7:$AW$1843,"&gt;"&amp;AW1029)+SUMIFS($AS$7:$AS$1843,$CF$7:$CF$1843,CF1029,$AW$7:$AW$1843,AW1029,$BW$7:$BW$1843,"&lt;="&amp;BW1029),"")</f>
        <v>7167.73168498169</v>
      </c>
      <c r="AY1029" s="58" t="n">
        <f aca="false">IF(AX1029="",0,MAX(0,MIN(1,(IF(CF1029="L1",Parameter!$H$5,IF(CF1029="L23",Parameter!$H$6+Parameter!$H$7,Parameter!$H$5+Parameter!$H$6+Parameter!$H$7))-(AX1029-AS1029))/AS1029)))</f>
        <v>1</v>
      </c>
      <c r="AZ1029" s="50" t="n">
        <f aca="false">IF(LEFT(Cockpit!$O$5,1)="A",H1029,IF(Parameter!$E$30="MAX-Bestand",IF(CH1029=1,CI1029,IF(LEFT(Cockpit!$O$5,1)="B",BF1029,MAX(BF1029,H1029))),ROUNDUP(BD1029,0)))</f>
        <v>3</v>
      </c>
      <c r="BA1029" s="50" t="n">
        <f aca="false">IF(BZ1029=1,0,ROUNDUP(AZ1029/BY1029,0))</f>
        <v>1</v>
      </c>
      <c r="BB1029" s="52" t="n">
        <f aca="false">IF(CQ1029&gt;0,CQ1029*MAX(1,AZ1029/X1029),IF(BZ1029=1,IF(AZ1029&lt;=0,0,CD1029*MAX(1,IF(H1029&gt;0,AZ1029/H1029,1))),IF(R1029&gt;0,BA1029/R1029,0))/MAX(0.1,N(Parameter!$M$21)))</f>
        <v>0.0192307692307692</v>
      </c>
      <c r="BC1029" s="50" t="n">
        <f aca="false">BB1029*CB1029</f>
        <v>2.98076923076923</v>
      </c>
      <c r="BD1029" s="51" t="n">
        <f aca="false">IF(LEFT(Cockpit!$O$5,1)="A",H1029,IF(CH1029=1,(CK1029+CI1029)/2,IF(LEFT(Cockpit!$O$5,1)="B",(CK1029+BF1029)/2,MAX((CK1029+BF1029)/2,H1029))))</f>
        <v>2.5</v>
      </c>
      <c r="BE1029" s="50" t="n">
        <f aca="false">BD1029*G1029</f>
        <v>39.75</v>
      </c>
      <c r="BF1029" s="50" t="n">
        <f aca="false">ROUNDUP(CK1029+MAX(CL1029,2*(J1029/IF(CG1029&gt;0,CG1029,MAX(0.1,N(Cockpit!$O$6)))-CK1029)),0)</f>
        <v>5</v>
      </c>
      <c r="BG1029" s="51" t="n">
        <f aca="false">IF(BC1029&gt;0,J1029/BC1029,-1)</f>
        <v>2.01290322580645</v>
      </c>
      <c r="BH1029" s="51" t="n">
        <f aca="false">IF(AND(OR(CF1029="L1",CF1029="L23",CF1029="LIFT"),BC1029&gt;0),SUMIFS($BC$7:$BC$1843,$CF$7:$CF$1843,CF1029,$BG$7:$BG$1843,"&gt;"&amp;BG1029)+SUMIFS($BC$7:$BC$1843,$CF$7:$CF$1843,CF1029,$BG$7:$BG$1843,BG1029,$BW$7:$BW$1843,"&lt;="&amp;BW1029),"")</f>
        <v>5881.48717948718</v>
      </c>
      <c r="BI1029" s="58" t="n">
        <f aca="false">IF(BH1029="",0,MAX(0,MIN(1,(IF(CF1029="L1",Parameter!$H$5,IF(CF1029="L23",Parameter!$H$6+Parameter!$H$7,Parameter!$H$5+Parameter!$H$6+Parameter!$H$7))-(BH1029-BC1029))/BC1029)))</f>
        <v>1</v>
      </c>
      <c r="BJ1029" s="48" t="str">
        <f aca="false">IF(AI1029&lt;=0,"",IF(CF1029="Aussen","Aussenlager",IF(CF1029="-","Nicht im Lift",IF(AO1029&gt;=1,"Lift",IF(AO1029&lt;=0,"Aussenlager","teilweise")))))</f>
        <v>Lift</v>
      </c>
      <c r="BK1029" s="48" t="str">
        <f aca="false">IF(AS1029&lt;=0,"",IF(CF1029="Aussen","Aussenlager",IF(CF1029="-","Nicht im Lift",IF(AY1029&gt;=1,"Lift",IF(AY1029&lt;=0,"Aussenlager","teilweise")))))</f>
        <v>Lift</v>
      </c>
      <c r="BL1029" s="48" t="str">
        <f aca="false">IF(BC1029&lt;=0,"",IF(CF1029="Aussen","Aussenlager",IF(CF1029="-","Nicht im Lift",IF(BI1029&gt;=1,"Lift",IF(BI1029&lt;=0,"Aussenlager","teilweise")))))</f>
        <v>Lift</v>
      </c>
      <c r="BM1029" s="48" t="str">
        <f aca="false">IF(A1029="","",IF(BV1029=1,"Neu; ","")&amp;IF(AND(BV1029=0,BQ1029&lt;0),"negativer Bestand (Export "&amp;BQ1029&amp;"); ","")&amp;IF(J1029&lt;=0,"Kein Verbrauch; ","")&amp;IF(CQ1029&gt;0,"Lift "&amp;W1029&amp;" lt. Liftbericht (Fach "&amp;X1029&amp;" Stk); ",IF(CA1029=1,"Gebinde geschätzt ("&amp;T1029&amp;"); ",IF(BZ1029=1,"Lose – Tablare geschätzt; ","")))&amp;IF(H1029&gt;AV1029,"Überbestand "&amp;ROUND(H1029-AV1029,0)&amp;" Stk / CHF "&amp;ROUND((H1029-AV1029)*G1029,0)&amp;"; ","")&amp;IF(AND(CH1029=1,CI1029&lt;CJ1029),"MAX &lt; MB+LG; ","")&amp;IF(AND(CP1029&gt;0,CO1029*10&gt;CP1029),"zu hoch für Tablar; ","")&amp;IF(AND(BV1029=0,OR(CH1029=1,AA1029&lt;&gt;"",U1029&lt;&gt;"",V1029&lt;&gt;"",AB1029&lt;&gt;"")),"manuell übersteuert; ","")&amp;IF(AND(BZ1029=0,R1029=0),"Gebinde unbekannt / Stellmass fehlt; ","")&amp;IF(AND(BZ1029=0,N(V1029)&lt;=0,N(Q1029)&lt;=0),"Menge pro Gebinde fehlt (Ist = 1 Gebinde); ","")&amp;BU1029)</f>
        <v>negativer Bestand (Export -8); Überbestand 68 Stk / CHF 1081; twin</v>
      </c>
      <c r="BN1029" s="48"/>
      <c r="BO1029" s="48"/>
      <c r="BP1029" s="55"/>
      <c r="BQ1029" s="50" t="n">
        <v>-8</v>
      </c>
      <c r="BR1029" s="50" t="n">
        <v>81</v>
      </c>
      <c r="BS1029" s="49" t="n">
        <v>-127.2</v>
      </c>
      <c r="BT1029" s="50" t="n">
        <v>6</v>
      </c>
      <c r="BU1029" s="48" t="s">
        <v>1750</v>
      </c>
      <c r="BV1029" s="53" t="n">
        <v>0</v>
      </c>
      <c r="BW1029" s="53" t="n">
        <v>1029</v>
      </c>
      <c r="BX1029" s="48" t="str">
        <f aca="false">IF(U1029&lt;&gt;"",UPPER(TRIM(U1029)),IF(CA1029=1,UPPER(VLOOKUP(T1029,Parameter!$I$27:$K$29,2,0)),IF(P1029="","LOSE",P1029)))</f>
        <v>S41</v>
      </c>
      <c r="BY1029" s="50" t="n">
        <f aca="false">IF(BX1029="LOSE",1,IF(N(V1029)&gt;0,V1029,IF(CA1029=1,MAX(1,N(VLOOKUP(T1029,Parameter!$I$27:$K$29,3,0)),H1029,N(N1029)),IF(N(Q1029)&gt;0,Q1029,MAX(1,H1029)))))</f>
        <v>119</v>
      </c>
      <c r="BZ1029" s="53" t="n">
        <f aca="false">IF(BX1029="LOSE",1,0)</f>
        <v>0</v>
      </c>
      <c r="CA1029" s="53" t="n">
        <f aca="false">IF(AND(U1029="",OR(P1029="",P1029="LOSE"),T1029&lt;&gt;"",N(S1029)&lt;=0,ISNUMBER(MATCH(T1029,Parameter!$I$27:$I$29,0))),1,0)</f>
        <v>0</v>
      </c>
      <c r="CB1029" s="53" t="n">
        <f aca="false">IF(CQ1029&gt;0,INDEX(Parameter!$H$5:$H$7,W1029)/INDEX(Parameter!$E$5:$E$7,W1029),IF(AND(BZ1029=0,N(IFERROR(VLOOKUP(BX1029,'Gebinde-Kategorie'!$A$5:$N$45,14,0),0))&gt;0),VLOOKUP(BX1029,'Gebinde-Kategorie'!$A$5:$N$45,14,0)*10+Parameter!$M$23,Parameter!$M$24))</f>
        <v>155</v>
      </c>
      <c r="CC1029" s="48" t="str">
        <f aca="false">IF(AND(Parameter!$B$19="Ja",E1029&lt;&gt;"",ISNUMBER(MATCH(E1029,Parameter!$I$35:$I$52,0))),VLOOKUP(E1029,Parameter!$I$35:$J$52,2,0),IFERROR(VLOOKUP(D1029,Parameter!$A$35:$C$64,2,0),"Nein"))</f>
        <v>2+3</v>
      </c>
      <c r="CD1029" s="52" t="n">
        <f aca="false">IF(BZ1029=0,0,IF(N(S1029)&gt;0,S1029,IFERROR(VLOOKUP(D1029,Parameter!$A$35:$C$64,3,0)+0,0)))</f>
        <v>0</v>
      </c>
      <c r="CE1029" s="48" t="n">
        <f aca="false">IF(AA1029&lt;&gt;"",AA1029,Z1029)</f>
        <v>3</v>
      </c>
      <c r="CF1029" s="48" t="str">
        <f aca="false">IF(OR(CE1029=1,CE1029=2,CE1029=3),IF(Parameter!$E$27="Ja","LIFT",IF(CE1029=1,"L1","L23")),IF(CE1029="Aussen","Aussen","-"))</f>
        <v>LIFT</v>
      </c>
      <c r="CG1029" s="59" t="n">
        <f aca="false">IF(N(AB1029)&gt;0,AB1029,0)</f>
        <v>0</v>
      </c>
      <c r="CH1029" s="53" t="n">
        <f aca="false">IF(ISNUMBER(AE1029),1,0)</f>
        <v>0</v>
      </c>
      <c r="CI1029" s="50" t="n">
        <f aca="false">N(AE1029)</f>
        <v>0</v>
      </c>
      <c r="CJ1029" s="50" t="n">
        <f aca="false">N(M1029)+N(N1029)</f>
        <v>5</v>
      </c>
      <c r="CK1029" s="50" t="n">
        <f aca="false">N(M1029)</f>
        <v>0</v>
      </c>
      <c r="CL1029" s="50" t="n">
        <f aca="false">N(N1029)</f>
        <v>5</v>
      </c>
      <c r="CM1029" s="50" t="n">
        <f aca="false">ROUNDUP(H1029/BY1029,0)</f>
        <v>1</v>
      </c>
      <c r="CN1029" s="50" t="n">
        <f aca="false">ROUNDUP(CI1029/BY1029,0)</f>
        <v>0</v>
      </c>
      <c r="CO1029" s="53" t="n">
        <f aca="false">IF(BZ1029=1,0,IFERROR(VLOOKUP(BX1029,'Gebinde-Kategorie'!$A$5:$N$45,5,0)+0,0))</f>
        <v>11</v>
      </c>
      <c r="CP1029" s="53" t="n">
        <f aca="false">IFERROR(IF(OR(CE1029=1,CE1029=2,CE1029=3),N(INDEX(Parameter!$I$5:$I$7,CE1029)),0),0)</f>
        <v>0</v>
      </c>
      <c r="CQ1029" s="52" t="n">
        <f aca="false">IF(AND(Parameter!$B$21="Ja",ISNUMBER(W1029),N(X1029)&gt;0),IFERROR(N(INDEX(Parameter!$L$5:$L$7,W1029))*INDEX(Parameter!$E$5:$E$7,W1029)*X1029/SUMIFS($X$7:$X$1843,$W$7:$W$1843,W1029),0),0)</f>
        <v>0</v>
      </c>
    </row>
    <row r="1030" customFormat="false" ht="15" hidden="false" customHeight="false" outlineLevel="0" collapsed="false">
      <c r="A1030" s="48" t="s">
        <v>1902</v>
      </c>
      <c r="B1030" s="48" t="s">
        <v>1903</v>
      </c>
      <c r="C1030" s="48" t="s">
        <v>173</v>
      </c>
      <c r="D1030" s="48" t="s">
        <v>193</v>
      </c>
      <c r="E1030" s="48"/>
      <c r="F1030" s="48" t="s">
        <v>227</v>
      </c>
      <c r="G1030" s="49" t="n">
        <v>7.61</v>
      </c>
      <c r="H1030" s="50" t="n">
        <f aca="false">MAX(0,IF(AND(Parameter!$B$21="Ja",ISNUMBER(Y1030)),Y1030,IF(Parameter!$B$20="Jahresanfang 2025 + Export",BR1030+BQ1030,BQ1030)))</f>
        <v>24</v>
      </c>
      <c r="I1030" s="50" t="n">
        <f aca="false">H1030*G1030</f>
        <v>182.64</v>
      </c>
      <c r="J1030" s="50" t="n">
        <f aca="false">BT1030*Parameter!$B$18</f>
        <v>13</v>
      </c>
      <c r="K1030" s="51" t="n">
        <v>31.5</v>
      </c>
      <c r="L1030" s="52" t="n">
        <v>0.412698412698413</v>
      </c>
      <c r="M1030" s="50" t="n">
        <v>0</v>
      </c>
      <c r="N1030" s="50" t="n">
        <v>15</v>
      </c>
      <c r="O1030" s="53" t="n">
        <v>14</v>
      </c>
      <c r="P1030" s="48" t="s">
        <v>410</v>
      </c>
      <c r="Q1030" s="50" t="n">
        <v>15</v>
      </c>
      <c r="R1030" s="53" t="n">
        <f aca="false">IF(BZ1030=1,0,IFERROR(VLOOKUP(BX1030,'Gebinde-Kategorie'!$A$5:$N$45,13,0)+0,0))</f>
        <v>280</v>
      </c>
      <c r="S1030" s="54"/>
      <c r="T1030" s="55"/>
      <c r="U1030" s="55"/>
      <c r="V1030" s="55"/>
      <c r="W1030" s="48"/>
      <c r="X1030" s="50"/>
      <c r="Y1030" s="50"/>
      <c r="Z1030" s="48" t="n">
        <f aca="false">IF(A1030="","",IF(AND(Parameter!$B$21="Ja",ISNUMBER(W1030)),W1030,IF(CC1030="2+3",IF(ISNUMBER(SEARCH("grosser Artikel",BU1030)),2,IFERROR(VLOOKUP(BX1030,Parameter!$F$35:$G$64,2,0),2)),IF(OR(CC1030="Nein",CC1030=""),"-",CC1030))))</f>
        <v>3</v>
      </c>
      <c r="AA1030" s="55"/>
      <c r="AB1030" s="56"/>
      <c r="AC1030" s="50" t="n">
        <f aca="false">AV1030</f>
        <v>15</v>
      </c>
      <c r="AD1030" s="50" t="n">
        <f aca="false">MAX(AV1030,H1030)</f>
        <v>24</v>
      </c>
      <c r="AE1030" s="57"/>
      <c r="AF1030" s="50" t="n">
        <f aca="false">IF(LEFT(Cockpit!$C$5,1)="A",H1030,IF(Parameter!$E$30="MAX-Bestand",IF(CH1030=1,CI1030,IF(LEFT(Cockpit!$C$5,1)="B",AL1030,MAX(AL1030,H1030))),ROUNDUP(AJ1030,0)))</f>
        <v>24</v>
      </c>
      <c r="AG1030" s="50" t="n">
        <f aca="false">IF(BZ1030=1,0,ROUNDUP(AF1030/BY1030,0))</f>
        <v>2</v>
      </c>
      <c r="AH1030" s="52" t="n">
        <f aca="false">IF(CQ1030&gt;0,CQ1030*MAX(1,AF1030/X1030),IF(BZ1030=1,IF(AF1030&lt;=0,0,CD1030*MAX(1,IF(H1030&gt;0,AF1030/H1030,1))),IF(R1030&gt;0,AG1030/R1030,0))/MAX(0.1,N(Parameter!$M$21)))</f>
        <v>0.00714285714285714</v>
      </c>
      <c r="AI1030" s="50" t="n">
        <f aca="false">AH1030*CB1030</f>
        <v>1.10714285714286</v>
      </c>
      <c r="AJ1030" s="51" t="n">
        <f aca="false">IF(LEFT(Cockpit!$C$5,1)="A",H1030,IF(CH1030=1,(CK1030+CI1030)/2,IF(LEFT(Cockpit!$C$5,1)="B",(CK1030+AL1030)/2,MAX((CK1030+AL1030)/2,H1030))))</f>
        <v>24</v>
      </c>
      <c r="AK1030" s="50" t="n">
        <f aca="false">AJ1030*G1030</f>
        <v>182.64</v>
      </c>
      <c r="AL1030" s="50" t="n">
        <f aca="false">ROUNDUP(CK1030+MAX(CL1030,2*(J1030/IF(CG1030&gt;0,CG1030,MAX(0.1,N(Cockpit!$C$6)))-CK1030)),0)</f>
        <v>15</v>
      </c>
      <c r="AM1030" s="51" t="n">
        <f aca="false">IF(AI1030&gt;0,J1030/AI1030,-1)</f>
        <v>11.741935483871</v>
      </c>
      <c r="AN1030" s="51" t="n">
        <f aca="false">IF(AND(OR(CF1030="L1",CF1030="L23",CF1030="LIFT"),AI1030&gt;0),SUMIFS($AI$7:$AI$1843,$CF$7:$CF$1843,CF1030,$AM$7:$AM$1843,"&gt;"&amp;AM1030)+SUMIFS($AI$7:$AI$1843,$CF$7:$CF$1843,CF1030,$AM$7:$AM$1843,AM1030,$BW$7:$BW$1843,"&lt;="&amp;BW1030),"")</f>
        <v>2535.51373626374</v>
      </c>
      <c r="AO1030" s="58" t="n">
        <f aca="false">IF(AN1030="",0,MAX(0,MIN(1,(IF(CF1030="L1",Parameter!$H$5,IF(CF1030="L23",Parameter!$H$6+Parameter!$H$7,Parameter!$H$5+Parameter!$H$6+Parameter!$H$7))-(AN1030-AI1030))/AI1030)))</f>
        <v>1</v>
      </c>
      <c r="AP1030" s="50" t="n">
        <f aca="false">IF(LEFT(Cockpit!$I$5,1)="A",H1030,IF(Parameter!$E$30="MAX-Bestand",IF(CH1030=1,CI1030,IF(LEFT(Cockpit!$I$5,1)="B",AV1030,MAX(AV1030,H1030))),ROUNDUP(AT1030,0)))</f>
        <v>24</v>
      </c>
      <c r="AQ1030" s="50" t="n">
        <f aca="false">IF(BZ1030=1,0,ROUNDUP(AP1030/BY1030,0))</f>
        <v>2</v>
      </c>
      <c r="AR1030" s="52" t="n">
        <f aca="false">IF(CQ1030&gt;0,CQ1030*MAX(1,AP1030/X1030),IF(BZ1030=1,IF(AP1030&lt;=0,0,CD1030*MAX(1,IF(H1030&gt;0,AP1030/H1030,1))),IF(R1030&gt;0,AQ1030/R1030,0))/MAX(0.1,N(Parameter!$M$21)))</f>
        <v>0.00714285714285714</v>
      </c>
      <c r="AS1030" s="50" t="n">
        <f aca="false">AR1030*CB1030</f>
        <v>1.10714285714286</v>
      </c>
      <c r="AT1030" s="51" t="n">
        <f aca="false">IF(LEFT(Cockpit!$I$5,1)="A",H1030,IF(CH1030=1,(CK1030+CI1030)/2,IF(LEFT(Cockpit!$I$5,1)="B",(CK1030+AV1030)/2,MAX((CK1030+AV1030)/2,H1030))))</f>
        <v>24</v>
      </c>
      <c r="AU1030" s="50" t="n">
        <f aca="false">AT1030*G1030</f>
        <v>182.64</v>
      </c>
      <c r="AV1030" s="50" t="n">
        <f aca="false">ROUNDUP(CK1030+MAX(CL1030,2*(J1030/IF(CG1030&gt;0,CG1030,MAX(0.1,N(Cockpit!$I$6)))-CK1030)),0)</f>
        <v>15</v>
      </c>
      <c r="AW1030" s="51" t="n">
        <f aca="false">IF(AS1030&gt;0,J1030/AS1030,-1)</f>
        <v>11.741935483871</v>
      </c>
      <c r="AX1030" s="51" t="n">
        <f aca="false">IF(AND(OR(CF1030="L1",CF1030="L23",CF1030="LIFT"),AS1030&gt;0),SUMIFS($AS$7:$AS$1843,$CF$7:$CF$1843,CF1030,$AW$7:$AW$1843,"&gt;"&amp;AW1030)+SUMIFS($AS$7:$AS$1843,$CF$7:$CF$1843,CF1030,$AW$7:$AW$1843,AW1030,$BW$7:$BW$1843,"&lt;="&amp;BW1030),"")</f>
        <v>3112.80952380952</v>
      </c>
      <c r="AY1030" s="58" t="n">
        <f aca="false">IF(AX1030="",0,MAX(0,MIN(1,(IF(CF1030="L1",Parameter!$H$5,IF(CF1030="L23",Parameter!$H$6+Parameter!$H$7,Parameter!$H$5+Parameter!$H$6+Parameter!$H$7))-(AX1030-AS1030))/AS1030)))</f>
        <v>1</v>
      </c>
      <c r="AZ1030" s="50" t="n">
        <f aca="false">IF(LEFT(Cockpit!$O$5,1)="A",H1030,IF(Parameter!$E$30="MAX-Bestand",IF(CH1030=1,CI1030,IF(LEFT(Cockpit!$O$5,1)="B",BF1030,MAX(BF1030,H1030))),ROUNDUP(BD1030,0)))</f>
        <v>8</v>
      </c>
      <c r="BA1030" s="50" t="n">
        <f aca="false">IF(BZ1030=1,0,ROUNDUP(AZ1030/BY1030,0))</f>
        <v>1</v>
      </c>
      <c r="BB1030" s="52" t="n">
        <f aca="false">IF(CQ1030&gt;0,CQ1030*MAX(1,AZ1030/X1030),IF(BZ1030=1,IF(AZ1030&lt;=0,0,CD1030*MAX(1,IF(H1030&gt;0,AZ1030/H1030,1))),IF(R1030&gt;0,BA1030/R1030,0))/MAX(0.1,N(Parameter!$M$21)))</f>
        <v>0.00357142857142857</v>
      </c>
      <c r="BC1030" s="50" t="n">
        <f aca="false">BB1030*CB1030</f>
        <v>0.553571428571429</v>
      </c>
      <c r="BD1030" s="51" t="n">
        <f aca="false">IF(LEFT(Cockpit!$O$5,1)="A",H1030,IF(CH1030=1,(CK1030+CI1030)/2,IF(LEFT(Cockpit!$O$5,1)="B",(CK1030+BF1030)/2,MAX((CK1030+BF1030)/2,H1030))))</f>
        <v>7.5</v>
      </c>
      <c r="BE1030" s="50" t="n">
        <f aca="false">BD1030*G1030</f>
        <v>57.075</v>
      </c>
      <c r="BF1030" s="50" t="n">
        <f aca="false">ROUNDUP(CK1030+MAX(CL1030,2*(J1030/IF(CG1030&gt;0,CG1030,MAX(0.1,N(Cockpit!$O$6)))-CK1030)),0)</f>
        <v>15</v>
      </c>
      <c r="BG1030" s="51" t="n">
        <f aca="false">IF(BC1030&gt;0,J1030/BC1030,-1)</f>
        <v>23.4838709677419</v>
      </c>
      <c r="BH1030" s="51" t="n">
        <f aca="false">IF(AND(OR(CF1030="L1",CF1030="L23",CF1030="LIFT"),BC1030&gt;0),SUMIFS($BC$7:$BC$1843,$CF$7:$CF$1843,CF1030,$BG$7:$BG$1843,"&gt;"&amp;BG1030)+SUMIFS($BC$7:$BC$1843,$CF$7:$CF$1843,CF1030,$BG$7:$BG$1843,BG1030,$BW$7:$BW$1843,"&lt;="&amp;BW1030),"")</f>
        <v>2136.63873626374</v>
      </c>
      <c r="BI1030" s="58" t="n">
        <f aca="false">IF(BH1030="",0,MAX(0,MIN(1,(IF(CF1030="L1",Parameter!$H$5,IF(CF1030="L23",Parameter!$H$6+Parameter!$H$7,Parameter!$H$5+Parameter!$H$6+Parameter!$H$7))-(BH1030-BC1030))/BC1030)))</f>
        <v>1</v>
      </c>
      <c r="BJ1030" s="48" t="str">
        <f aca="false">IF(AI1030&lt;=0,"",IF(CF1030="Aussen","Aussenlager",IF(CF1030="-","Nicht im Lift",IF(AO1030&gt;=1,"Lift",IF(AO1030&lt;=0,"Aussenlager","teilweise")))))</f>
        <v>Lift</v>
      </c>
      <c r="BK1030" s="48" t="str">
        <f aca="false">IF(AS1030&lt;=0,"",IF(CF1030="Aussen","Aussenlager",IF(CF1030="-","Nicht im Lift",IF(AY1030&gt;=1,"Lift",IF(AY1030&lt;=0,"Aussenlager","teilweise")))))</f>
        <v>Lift</v>
      </c>
      <c r="BL1030" s="48" t="str">
        <f aca="false">IF(BC1030&lt;=0,"",IF(CF1030="Aussen","Aussenlager",IF(CF1030="-","Nicht im Lift",IF(BI1030&gt;=1,"Lift",IF(BI1030&lt;=0,"Aussenlager","teilweise")))))</f>
        <v>Lift</v>
      </c>
      <c r="BM1030" s="48" t="str">
        <f aca="false">IF(A1030="","",IF(BV1030=1,"Neu; ","")&amp;IF(AND(BV1030=0,BQ1030&lt;0),"negativer Bestand (Export "&amp;BQ1030&amp;"); ","")&amp;IF(J1030&lt;=0,"Kein Verbrauch; ","")&amp;IF(CQ1030&gt;0,"Lift "&amp;W1030&amp;" lt. Liftbericht (Fach "&amp;X1030&amp;" Stk); ",IF(CA1030=1,"Gebinde geschätzt ("&amp;T1030&amp;"); ",IF(BZ1030=1,"Lose – Tablare geschätzt; ","")))&amp;IF(H1030&gt;AV1030,"Überbestand "&amp;ROUND(H1030-AV1030,0)&amp;" Stk / CHF "&amp;ROUND((H1030-AV1030)*G1030,0)&amp;"; ","")&amp;IF(AND(CH1030=1,CI1030&lt;CJ1030),"MAX &lt; MB+LG; ","")&amp;IF(AND(CP1030&gt;0,CO1030*10&gt;CP1030),"zu hoch für Tablar; ","")&amp;IF(AND(BV1030=0,OR(CH1030=1,AA1030&lt;&gt;"",U1030&lt;&gt;"",V1030&lt;&gt;"",AB1030&lt;&gt;"")),"manuell übersteuert; ","")&amp;IF(AND(BZ1030=0,R1030=0),"Gebinde unbekannt / Stellmass fehlt; ","")&amp;IF(AND(BZ1030=0,N(V1030)&lt;=0,N(Q1030)&lt;=0),"Menge pro Gebinde fehlt (Ist = 1 Gebinde); ","")&amp;BU1030)</f>
        <v>negativer Bestand (Export -17); Überbestand 9 Stk / CHF 68; </v>
      </c>
      <c r="BN1030" s="48"/>
      <c r="BO1030" s="48"/>
      <c r="BP1030" s="55"/>
      <c r="BQ1030" s="50" t="n">
        <v>-17</v>
      </c>
      <c r="BR1030" s="50" t="n">
        <v>41</v>
      </c>
      <c r="BS1030" s="49" t="n">
        <v>-129.37</v>
      </c>
      <c r="BT1030" s="50" t="n">
        <v>13</v>
      </c>
      <c r="BU1030" s="48"/>
      <c r="BV1030" s="53" t="n">
        <v>0</v>
      </c>
      <c r="BW1030" s="53" t="n">
        <v>1030</v>
      </c>
      <c r="BX1030" s="48" t="str">
        <f aca="false">IF(U1030&lt;&gt;"",UPPER(TRIM(U1030)),IF(CA1030=1,UPPER(VLOOKUP(T1030,Parameter!$I$27:$K$29,2,0)),IF(P1030="","LOSE",P1030)))</f>
        <v>S21</v>
      </c>
      <c r="BY1030" s="50" t="n">
        <f aca="false">IF(BX1030="LOSE",1,IF(N(V1030)&gt;0,V1030,IF(CA1030=1,MAX(1,N(VLOOKUP(T1030,Parameter!$I$27:$K$29,3,0)),H1030,N(N1030)),IF(N(Q1030)&gt;0,Q1030,MAX(1,H1030)))))</f>
        <v>15</v>
      </c>
      <c r="BZ1030" s="53" t="n">
        <f aca="false">IF(BX1030="LOSE",1,0)</f>
        <v>0</v>
      </c>
      <c r="CA1030" s="53" t="n">
        <f aca="false">IF(AND(U1030="",OR(P1030="",P1030="LOSE"),T1030&lt;&gt;"",N(S1030)&lt;=0,ISNUMBER(MATCH(T1030,Parameter!$I$27:$I$29,0))),1,0)</f>
        <v>0</v>
      </c>
      <c r="CB1030" s="53" t="n">
        <f aca="false">IF(CQ1030&gt;0,INDEX(Parameter!$H$5:$H$7,W1030)/INDEX(Parameter!$E$5:$E$7,W1030),IF(AND(BZ1030=0,N(IFERROR(VLOOKUP(BX1030,'Gebinde-Kategorie'!$A$5:$N$45,14,0),0))&gt;0),VLOOKUP(BX1030,'Gebinde-Kategorie'!$A$5:$N$45,14,0)*10+Parameter!$M$23,Parameter!$M$24))</f>
        <v>155</v>
      </c>
      <c r="CC1030" s="48" t="str">
        <f aca="false">IF(AND(Parameter!$B$19="Ja",E1030&lt;&gt;"",ISNUMBER(MATCH(E1030,Parameter!$I$35:$I$52,0))),VLOOKUP(E1030,Parameter!$I$35:$J$52,2,0),IFERROR(VLOOKUP(D1030,Parameter!$A$35:$C$64,2,0),"Nein"))</f>
        <v>2+3</v>
      </c>
      <c r="CD1030" s="52" t="n">
        <f aca="false">IF(BZ1030=0,0,IF(N(S1030)&gt;0,S1030,IFERROR(VLOOKUP(D1030,Parameter!$A$35:$C$64,3,0)+0,0)))</f>
        <v>0</v>
      </c>
      <c r="CE1030" s="48" t="n">
        <f aca="false">IF(AA1030&lt;&gt;"",AA1030,Z1030)</f>
        <v>3</v>
      </c>
      <c r="CF1030" s="48" t="str">
        <f aca="false">IF(OR(CE1030=1,CE1030=2,CE1030=3),IF(Parameter!$E$27="Ja","LIFT",IF(CE1030=1,"L1","L23")),IF(CE1030="Aussen","Aussen","-"))</f>
        <v>LIFT</v>
      </c>
      <c r="CG1030" s="59" t="n">
        <f aca="false">IF(N(AB1030)&gt;0,AB1030,0)</f>
        <v>0</v>
      </c>
      <c r="CH1030" s="53" t="n">
        <f aca="false">IF(ISNUMBER(AE1030),1,0)</f>
        <v>0</v>
      </c>
      <c r="CI1030" s="50" t="n">
        <f aca="false">N(AE1030)</f>
        <v>0</v>
      </c>
      <c r="CJ1030" s="50" t="n">
        <f aca="false">N(M1030)+N(N1030)</f>
        <v>15</v>
      </c>
      <c r="CK1030" s="50" t="n">
        <f aca="false">N(M1030)</f>
        <v>0</v>
      </c>
      <c r="CL1030" s="50" t="n">
        <f aca="false">N(N1030)</f>
        <v>15</v>
      </c>
      <c r="CM1030" s="50" t="n">
        <f aca="false">ROUNDUP(H1030/BY1030,0)</f>
        <v>2</v>
      </c>
      <c r="CN1030" s="50" t="n">
        <f aca="false">ROUNDUP(CI1030/BY1030,0)</f>
        <v>0</v>
      </c>
      <c r="CO1030" s="53" t="n">
        <f aca="false">IF(BZ1030=1,0,IFERROR(VLOOKUP(BX1030,'Gebinde-Kategorie'!$A$5:$N$45,5,0)+0,0))</f>
        <v>8</v>
      </c>
      <c r="CP1030" s="53" t="n">
        <f aca="false">IFERROR(IF(OR(CE1030=1,CE1030=2,CE1030=3),N(INDEX(Parameter!$I$5:$I$7,CE1030)),0),0)</f>
        <v>0</v>
      </c>
      <c r="CQ1030" s="52" t="n">
        <f aca="false">IF(AND(Parameter!$B$21="Ja",ISNUMBER(W1030),N(X1030)&gt;0),IFERROR(N(INDEX(Parameter!$L$5:$L$7,W1030))*INDEX(Parameter!$E$5:$E$7,W1030)*X1030/SUMIFS($X$7:$X$1843,$W$7:$W$1843,W1030),0),0)</f>
        <v>0</v>
      </c>
    </row>
    <row r="1031" customFormat="false" ht="15" hidden="false" customHeight="false" outlineLevel="0" collapsed="false">
      <c r="A1031" s="48" t="s">
        <v>1904</v>
      </c>
      <c r="B1031" s="48" t="s">
        <v>1905</v>
      </c>
      <c r="C1031" s="48" t="s">
        <v>465</v>
      </c>
      <c r="D1031" s="48" t="s">
        <v>182</v>
      </c>
      <c r="E1031" s="48" t="s">
        <v>1488</v>
      </c>
      <c r="F1031" s="48" t="s">
        <v>227</v>
      </c>
      <c r="G1031" s="49" t="n">
        <v>130.2</v>
      </c>
      <c r="H1031" s="50" t="n">
        <f aca="false">MAX(0,IF(AND(Parameter!$B$21="Ja",ISNUMBER(Y1031)),Y1031,IF(Parameter!$B$20="Jahresanfang 2025 + Export",BR1031+BQ1031,BQ1031)))</f>
        <v>0</v>
      </c>
      <c r="I1031" s="50" t="n">
        <f aca="false">H1031*G1031</f>
        <v>0</v>
      </c>
      <c r="J1031" s="50" t="n">
        <f aca="false">BT1031*Parameter!$B$18</f>
        <v>0</v>
      </c>
      <c r="K1031" s="51" t="n">
        <v>0.5</v>
      </c>
      <c r="L1031" s="52" t="n">
        <v>0</v>
      </c>
      <c r="M1031" s="50" t="n">
        <v>0</v>
      </c>
      <c r="N1031" s="50" t="n">
        <v>1</v>
      </c>
      <c r="O1031" s="53" t="n">
        <v>56</v>
      </c>
      <c r="P1031" s="48" t="s">
        <v>177</v>
      </c>
      <c r="Q1031" s="50"/>
      <c r="R1031" s="53" t="n">
        <f aca="false">IF(BZ1031=1,0,IFERROR(VLOOKUP(BX1031,'Gebinde-Kategorie'!$A$5:$N$45,13,0)+0,0))</f>
        <v>4</v>
      </c>
      <c r="S1031" s="54"/>
      <c r="T1031" s="55" t="s">
        <v>198</v>
      </c>
      <c r="U1031" s="55"/>
      <c r="V1031" s="55"/>
      <c r="W1031" s="48"/>
      <c r="X1031" s="50"/>
      <c r="Y1031" s="50"/>
      <c r="Z1031" s="48" t="str">
        <f aca="false">IF(A1031="","",IF(AND(Parameter!$B$21="Ja",ISNUMBER(W1031)),W1031,IF(CC1031="2+3",IF(ISNUMBER(SEARCH("grosser Artikel",BU1031)),2,IFERROR(VLOOKUP(BX1031,Parameter!$F$35:$G$64,2,0),2)),IF(OR(CC1031="Nein",CC1031=""),"-",CC1031))))</f>
        <v>-</v>
      </c>
      <c r="AA1031" s="55"/>
      <c r="AB1031" s="56"/>
      <c r="AC1031" s="50" t="n">
        <f aca="false">AV1031</f>
        <v>1</v>
      </c>
      <c r="AD1031" s="50" t="n">
        <f aca="false">MAX(AV1031,H1031)</f>
        <v>1</v>
      </c>
      <c r="AE1031" s="57"/>
      <c r="AF1031" s="50" t="n">
        <f aca="false">IF(LEFT(Cockpit!$C$5,1)="A",H1031,IF(Parameter!$E$30="MAX-Bestand",IF(CH1031=1,CI1031,IF(LEFT(Cockpit!$C$5,1)="B",AL1031,MAX(AL1031,H1031))),ROUNDUP(AJ1031,0)))</f>
        <v>0</v>
      </c>
      <c r="AG1031" s="50" t="n">
        <f aca="false">IF(BZ1031=1,0,ROUNDUP(AF1031/BY1031,0))</f>
        <v>0</v>
      </c>
      <c r="AH1031" s="52" t="n">
        <f aca="false">IF(CQ1031&gt;0,CQ1031*MAX(1,AF1031/X1031),IF(BZ1031=1,IF(AF1031&lt;=0,0,CD1031*MAX(1,IF(H1031&gt;0,AF1031/H1031,1))),IF(R1031&gt;0,AG1031/R1031,0))/MAX(0.1,N(Parameter!$M$21)))</f>
        <v>0</v>
      </c>
      <c r="AI1031" s="50" t="n">
        <f aca="false">AH1031*CB1031</f>
        <v>0</v>
      </c>
      <c r="AJ1031" s="51" t="n">
        <f aca="false">IF(LEFT(Cockpit!$C$5,1)="A",H1031,IF(CH1031=1,(CK1031+CI1031)/2,IF(LEFT(Cockpit!$C$5,1)="B",(CK1031+AL1031)/2,MAX((CK1031+AL1031)/2,H1031))))</f>
        <v>0</v>
      </c>
      <c r="AK1031" s="50" t="n">
        <f aca="false">AJ1031*G1031</f>
        <v>0</v>
      </c>
      <c r="AL1031" s="50" t="n">
        <f aca="false">ROUNDUP(CK1031+MAX(CL1031,2*(J1031/IF(CG1031&gt;0,CG1031,MAX(0.1,N(Cockpit!$C$6)))-CK1031)),0)</f>
        <v>1</v>
      </c>
      <c r="AM1031" s="51" t="n">
        <f aca="false">IF(AI1031&gt;0,J1031/AI1031,-1)</f>
        <v>-1</v>
      </c>
      <c r="AN1031" s="51" t="str">
        <f aca="false">IF(AND(OR(CF1031="L1",CF1031="L23",CF1031="LIFT"),AI1031&gt;0),SUMIFS($AI$7:$AI$1843,$CF$7:$CF$1843,CF1031,$AM$7:$AM$1843,"&gt;"&amp;AM1031)+SUMIFS($AI$7:$AI$1843,$CF$7:$CF$1843,CF1031,$AM$7:$AM$1843,AM1031,$BW$7:$BW$1843,"&lt;="&amp;BW1031),"")</f>
        <v/>
      </c>
      <c r="AO1031" s="58" t="n">
        <f aca="false">IF(AN1031="",0,MAX(0,MIN(1,(IF(CF1031="L1",Parameter!$H$5,IF(CF1031="L23",Parameter!$H$6+Parameter!$H$7,Parameter!$H$5+Parameter!$H$6+Parameter!$H$7))-(AN1031-AI1031))/AI1031)))</f>
        <v>0</v>
      </c>
      <c r="AP1031" s="50" t="n">
        <f aca="false">IF(LEFT(Cockpit!$I$5,1)="A",H1031,IF(Parameter!$E$30="MAX-Bestand",IF(CH1031=1,CI1031,IF(LEFT(Cockpit!$I$5,1)="B",AV1031,MAX(AV1031,H1031))),ROUNDUP(AT1031,0)))</f>
        <v>1</v>
      </c>
      <c r="AQ1031" s="50" t="n">
        <f aca="false">IF(BZ1031=1,0,ROUNDUP(AP1031/BY1031,0))</f>
        <v>1</v>
      </c>
      <c r="AR1031" s="52" t="n">
        <f aca="false">IF(CQ1031&gt;0,CQ1031*MAX(1,AP1031/X1031),IF(BZ1031=1,IF(AP1031&lt;=0,0,CD1031*MAX(1,IF(H1031&gt;0,AP1031/H1031,1))),IF(R1031&gt;0,AQ1031/R1031,0))/MAX(0.1,N(Parameter!$M$21)))</f>
        <v>0.25</v>
      </c>
      <c r="AS1031" s="50" t="n">
        <f aca="false">AR1031*CB1031</f>
        <v>58.75</v>
      </c>
      <c r="AT1031" s="51" t="n">
        <f aca="false">IF(LEFT(Cockpit!$I$5,1)="A",H1031,IF(CH1031=1,(CK1031+CI1031)/2,IF(LEFT(Cockpit!$I$5,1)="B",(CK1031+AV1031)/2,MAX((CK1031+AV1031)/2,H1031))))</f>
        <v>0.5</v>
      </c>
      <c r="AU1031" s="50" t="n">
        <f aca="false">AT1031*G1031</f>
        <v>65.1</v>
      </c>
      <c r="AV1031" s="50" t="n">
        <f aca="false">ROUNDUP(CK1031+MAX(CL1031,2*(J1031/IF(CG1031&gt;0,CG1031,MAX(0.1,N(Cockpit!$I$6)))-CK1031)),0)</f>
        <v>1</v>
      </c>
      <c r="AW1031" s="51" t="n">
        <f aca="false">IF(AS1031&gt;0,J1031/AS1031,-1)</f>
        <v>0</v>
      </c>
      <c r="AX1031" s="51" t="str">
        <f aca="false">IF(AND(OR(CF1031="L1",CF1031="L23",CF1031="LIFT"),AS1031&gt;0),SUMIFS($AS$7:$AS$1843,$CF$7:$CF$1843,CF1031,$AW$7:$AW$1843,"&gt;"&amp;AW1031)+SUMIFS($AS$7:$AS$1843,$CF$7:$CF$1843,CF1031,$AW$7:$AW$1843,AW1031,$BW$7:$BW$1843,"&lt;="&amp;BW1031),"")</f>
        <v/>
      </c>
      <c r="AY1031" s="58" t="n">
        <f aca="false">IF(AX1031="",0,MAX(0,MIN(1,(IF(CF1031="L1",Parameter!$H$5,IF(CF1031="L23",Parameter!$H$6+Parameter!$H$7,Parameter!$H$5+Parameter!$H$6+Parameter!$H$7))-(AX1031-AS1031))/AS1031)))</f>
        <v>0</v>
      </c>
      <c r="AZ1031" s="50" t="n">
        <f aca="false">IF(LEFT(Cockpit!$O$5,1)="A",H1031,IF(Parameter!$E$30="MAX-Bestand",IF(CH1031=1,CI1031,IF(LEFT(Cockpit!$O$5,1)="B",BF1031,MAX(BF1031,H1031))),ROUNDUP(BD1031,0)))</f>
        <v>1</v>
      </c>
      <c r="BA1031" s="50" t="n">
        <f aca="false">IF(BZ1031=1,0,ROUNDUP(AZ1031/BY1031,0))</f>
        <v>1</v>
      </c>
      <c r="BB1031" s="52" t="n">
        <f aca="false">IF(CQ1031&gt;0,CQ1031*MAX(1,AZ1031/X1031),IF(BZ1031=1,IF(AZ1031&lt;=0,0,CD1031*MAX(1,IF(H1031&gt;0,AZ1031/H1031,1))),IF(R1031&gt;0,BA1031/R1031,0))/MAX(0.1,N(Parameter!$M$21)))</f>
        <v>0.25</v>
      </c>
      <c r="BC1031" s="50" t="n">
        <f aca="false">BB1031*CB1031</f>
        <v>58.75</v>
      </c>
      <c r="BD1031" s="51" t="n">
        <f aca="false">IF(LEFT(Cockpit!$O$5,1)="A",H1031,IF(CH1031=1,(CK1031+CI1031)/2,IF(LEFT(Cockpit!$O$5,1)="B",(CK1031+BF1031)/2,MAX((CK1031+BF1031)/2,H1031))))</f>
        <v>0.5</v>
      </c>
      <c r="BE1031" s="50" t="n">
        <f aca="false">BD1031*G1031</f>
        <v>65.1</v>
      </c>
      <c r="BF1031" s="50" t="n">
        <f aca="false">ROUNDUP(CK1031+MAX(CL1031,2*(J1031/IF(CG1031&gt;0,CG1031,MAX(0.1,N(Cockpit!$O$6)))-CK1031)),0)</f>
        <v>1</v>
      </c>
      <c r="BG1031" s="51" t="n">
        <f aca="false">IF(BC1031&gt;0,J1031/BC1031,-1)</f>
        <v>0</v>
      </c>
      <c r="BH1031" s="51" t="str">
        <f aca="false">IF(AND(OR(CF1031="L1",CF1031="L23",CF1031="LIFT"),BC1031&gt;0),SUMIFS($BC$7:$BC$1843,$CF$7:$CF$1843,CF1031,$BG$7:$BG$1843,"&gt;"&amp;BG1031)+SUMIFS($BC$7:$BC$1843,$CF$7:$CF$1843,CF1031,$BG$7:$BG$1843,BG1031,$BW$7:$BW$1843,"&lt;="&amp;BW1031),"")</f>
        <v/>
      </c>
      <c r="BI1031" s="58" t="n">
        <f aca="false">IF(BH1031="",0,MAX(0,MIN(1,(IF(CF1031="L1",Parameter!$H$5,IF(CF1031="L23",Parameter!$H$6+Parameter!$H$7,Parameter!$H$5+Parameter!$H$6+Parameter!$H$7))-(BH1031-BC1031))/BC1031)))</f>
        <v>0</v>
      </c>
      <c r="BJ1031" s="48" t="str">
        <f aca="false">IF(AI1031&lt;=0,"",IF(CF1031="Aussen","Aussenlager",IF(CF1031="-","Nicht im Lift",IF(AO1031&gt;=1,"Lift",IF(AO1031&lt;=0,"Aussenlager","teilweise")))))</f>
        <v/>
      </c>
      <c r="BK1031" s="48" t="str">
        <f aca="false">IF(AS1031&lt;=0,"",IF(CF1031="Aussen","Aussenlager",IF(CF1031="-","Nicht im Lift",IF(AY1031&gt;=1,"Lift",IF(AY1031&lt;=0,"Aussenlager","teilweise")))))</f>
        <v>Nicht im Lift</v>
      </c>
      <c r="BL1031" s="48" t="str">
        <f aca="false">IF(BC1031&lt;=0,"",IF(CF1031="Aussen","Aussenlager",IF(CF1031="-","Nicht im Lift",IF(BI1031&gt;=1,"Lift",IF(BI1031&lt;=0,"Aussenlager","teilweise")))))</f>
        <v>Nicht im Lift</v>
      </c>
      <c r="BM1031" s="48" t="str">
        <f aca="false">IF(A1031="","",IF(BV1031=1,"Neu; ","")&amp;IF(AND(BV1031=0,BQ1031&lt;0),"negativer Bestand (Export "&amp;BQ1031&amp;"); ","")&amp;IF(J1031&lt;=0,"Kein Verbrauch; ","")&amp;IF(CQ1031&gt;0,"Lift "&amp;W1031&amp;" lt. Liftbericht (Fach "&amp;X1031&amp;" Stk); ",IF(CA1031=1,"Gebinde geschätzt ("&amp;T1031&amp;"); ",IF(BZ1031=1,"Lose – Tablare geschätzt; ","")))&amp;IF(H1031&gt;AV1031,"Überbestand "&amp;ROUND(H1031-AV1031,0)&amp;" Stk / CHF "&amp;ROUND((H1031-AV1031)*G1031,0)&amp;"; ","")&amp;IF(AND(CH1031=1,CI1031&lt;CJ1031),"MAX &lt; MB+LG; ","")&amp;IF(AND(CP1031&gt;0,CO1031*10&gt;CP1031),"zu hoch für Tablar; ","")&amp;IF(AND(BV1031=0,OR(CH1031=1,AA1031&lt;&gt;"",U1031&lt;&gt;"",V1031&lt;&gt;"",AB1031&lt;&gt;"")),"manuell übersteuert; ","")&amp;IF(AND(BZ1031=0,R1031=0),"Gebinde unbekannt / Stellmass fehlt; ","")&amp;IF(AND(BZ1031=0,N(V1031)&lt;=0,N(Q1031)&lt;=0),"Menge pro Gebinde fehlt (Ist = 1 Gebinde); ","")&amp;BU1031)</f>
        <v>negativer Bestand (Export -1); Kein Verbrauch; Gebinde geschätzt (Gross); Menge pro Gebinde fehlt (Ist = 1 Gebinde); Neu</v>
      </c>
      <c r="BN1031" s="48"/>
      <c r="BO1031" s="48"/>
      <c r="BP1031" s="55"/>
      <c r="BQ1031" s="50" t="n">
        <v>-1</v>
      </c>
      <c r="BR1031" s="50" t="n">
        <v>1</v>
      </c>
      <c r="BS1031" s="49" t="n">
        <v>-130.2</v>
      </c>
      <c r="BT1031" s="50" t="n">
        <v>0</v>
      </c>
      <c r="BU1031" s="48" t="s">
        <v>635</v>
      </c>
      <c r="BV1031" s="53" t="n">
        <v>0</v>
      </c>
      <c r="BW1031" s="53" t="n">
        <v>1031</v>
      </c>
      <c r="BX1031" s="48" t="str">
        <f aca="false">IF(U1031&lt;&gt;"",UPPER(TRIM(U1031)),IF(CA1031=1,UPPER(VLOOKUP(T1031,Parameter!$I$27:$K$29,2,0)),IF(P1031="","LOSE",P1031)))</f>
        <v>S81</v>
      </c>
      <c r="BY1031" s="50" t="n">
        <f aca="false">IF(BX1031="LOSE",1,IF(N(V1031)&gt;0,V1031,IF(CA1031=1,MAX(1,N(VLOOKUP(T1031,Parameter!$I$27:$K$29,3,0)),H1031,N(N1031)),IF(N(Q1031)&gt;0,Q1031,MAX(1,H1031)))))</f>
        <v>2</v>
      </c>
      <c r="BZ1031" s="53" t="n">
        <f aca="false">IF(BX1031="LOSE",1,0)</f>
        <v>0</v>
      </c>
      <c r="CA1031" s="53" t="n">
        <f aca="false">IF(AND(U1031="",OR(P1031="",P1031="LOSE"),T1031&lt;&gt;"",N(S1031)&lt;=0,ISNUMBER(MATCH(T1031,Parameter!$I$27:$I$29,0))),1,0)</f>
        <v>1</v>
      </c>
      <c r="CB1031" s="53" t="n">
        <f aca="false">IF(CQ1031&gt;0,INDEX(Parameter!$H$5:$H$7,W1031)/INDEX(Parameter!$E$5:$E$7,W1031),IF(AND(BZ1031=0,N(IFERROR(VLOOKUP(BX1031,'Gebinde-Kategorie'!$A$5:$N$45,14,0),0))&gt;0),VLOOKUP(BX1031,'Gebinde-Kategorie'!$A$5:$N$45,14,0)*10+Parameter!$M$23,Parameter!$M$24))</f>
        <v>235</v>
      </c>
      <c r="CC1031" s="48" t="str">
        <f aca="false">IF(AND(Parameter!$B$19="Ja",E1031&lt;&gt;"",ISNUMBER(MATCH(E1031,Parameter!$I$35:$I$52,0))),VLOOKUP(E1031,Parameter!$I$35:$J$52,2,0),IFERROR(VLOOKUP(D1031,Parameter!$A$35:$C$64,2,0),"Nein"))</f>
        <v>Nein</v>
      </c>
      <c r="CD1031" s="52" t="n">
        <f aca="false">IF(BZ1031=0,0,IF(N(S1031)&gt;0,S1031,IFERROR(VLOOKUP(D1031,Parameter!$A$35:$C$64,3,0)+0,0)))</f>
        <v>0</v>
      </c>
      <c r="CE1031" s="48" t="str">
        <f aca="false">IF(AA1031&lt;&gt;"",AA1031,Z1031)</f>
        <v>-</v>
      </c>
      <c r="CF1031" s="48" t="str">
        <f aca="false">IF(OR(CE1031=1,CE1031=2,CE1031=3),IF(Parameter!$E$27="Ja","LIFT",IF(CE1031=1,"L1","L23")),IF(CE1031="Aussen","Aussen","-"))</f>
        <v>-</v>
      </c>
      <c r="CG1031" s="59" t="n">
        <f aca="false">IF(N(AB1031)&gt;0,AB1031,0)</f>
        <v>0</v>
      </c>
      <c r="CH1031" s="53" t="n">
        <f aca="false">IF(ISNUMBER(AE1031),1,0)</f>
        <v>0</v>
      </c>
      <c r="CI1031" s="50" t="n">
        <f aca="false">N(AE1031)</f>
        <v>0</v>
      </c>
      <c r="CJ1031" s="50" t="n">
        <f aca="false">N(M1031)+N(N1031)</f>
        <v>1</v>
      </c>
      <c r="CK1031" s="50" t="n">
        <f aca="false">N(M1031)</f>
        <v>0</v>
      </c>
      <c r="CL1031" s="50" t="n">
        <f aca="false">N(N1031)</f>
        <v>1</v>
      </c>
      <c r="CM1031" s="50" t="n">
        <f aca="false">ROUNDUP(H1031/BY1031,0)</f>
        <v>0</v>
      </c>
      <c r="CN1031" s="50" t="n">
        <f aca="false">ROUNDUP(CI1031/BY1031,0)</f>
        <v>0</v>
      </c>
      <c r="CO1031" s="53" t="n">
        <f aca="false">IF(BZ1031=1,0,IFERROR(VLOOKUP(BX1031,'Gebinde-Kategorie'!$A$5:$N$45,5,0)+0,0))</f>
        <v>20</v>
      </c>
      <c r="CP1031" s="53" t="n">
        <f aca="false">IFERROR(IF(OR(CE1031=1,CE1031=2,CE1031=3),N(INDEX(Parameter!$I$5:$I$7,CE1031)),0),0)</f>
        <v>0</v>
      </c>
      <c r="CQ1031" s="52" t="n">
        <f aca="false">IF(AND(Parameter!$B$21="Ja",ISNUMBER(W1031),N(X1031)&gt;0),IFERROR(N(INDEX(Parameter!$L$5:$L$7,W1031))*INDEX(Parameter!$E$5:$E$7,W1031)*X1031/SUMIFS($X$7:$X$1843,$W$7:$W$1843,W1031),0),0)</f>
        <v>0</v>
      </c>
    </row>
    <row r="1032" customFormat="false" ht="15" hidden="false" customHeight="false" outlineLevel="0" collapsed="false">
      <c r="A1032" s="48" t="s">
        <v>1906</v>
      </c>
      <c r="B1032" s="48" t="s">
        <v>1907</v>
      </c>
      <c r="C1032" s="48" t="s">
        <v>173</v>
      </c>
      <c r="D1032" s="48" t="s">
        <v>193</v>
      </c>
      <c r="E1032" s="48" t="s">
        <v>194</v>
      </c>
      <c r="F1032" s="48" t="s">
        <v>227</v>
      </c>
      <c r="G1032" s="49" t="n">
        <v>22.57</v>
      </c>
      <c r="H1032" s="50" t="n">
        <f aca="false">MAX(0,IF(AND(Parameter!$B$21="Ja",ISNUMBER(Y1032)),Y1032,IF(Parameter!$B$20="Jahresanfang 2025 + Export",BR1032+BQ1032,BQ1032)))</f>
        <v>8</v>
      </c>
      <c r="I1032" s="50" t="n">
        <f aca="false">H1032*G1032</f>
        <v>180.56</v>
      </c>
      <c r="J1032" s="50" t="n">
        <f aca="false">BT1032*Parameter!$B$18</f>
        <v>20</v>
      </c>
      <c r="K1032" s="51" t="n">
        <v>11</v>
      </c>
      <c r="L1032" s="52" t="n">
        <v>1.81818181818182</v>
      </c>
      <c r="M1032" s="50" t="n">
        <v>1</v>
      </c>
      <c r="N1032" s="50" t="n">
        <v>20</v>
      </c>
      <c r="O1032" s="53" t="n">
        <v>24</v>
      </c>
      <c r="P1032" s="48" t="s">
        <v>311</v>
      </c>
      <c r="Q1032" s="50" t="n">
        <v>43</v>
      </c>
      <c r="R1032" s="53" t="n">
        <f aca="false">IF(BZ1032=1,0,IFERROR(VLOOKUP(BX1032,'Gebinde-Kategorie'!$A$5:$N$45,13,0)+0,0))</f>
        <v>26</v>
      </c>
      <c r="S1032" s="54"/>
      <c r="T1032" s="55"/>
      <c r="U1032" s="55"/>
      <c r="V1032" s="55"/>
      <c r="W1032" s="48"/>
      <c r="X1032" s="50"/>
      <c r="Y1032" s="50"/>
      <c r="Z1032" s="48" t="n">
        <f aca="false">IF(A1032="","",IF(AND(Parameter!$B$21="Ja",ISNUMBER(W1032)),W1032,IF(CC1032="2+3",IF(ISNUMBER(SEARCH("grosser Artikel",BU1032)),2,IFERROR(VLOOKUP(BX1032,Parameter!$F$35:$G$64,2,0),2)),IF(OR(CC1032="Nein",CC1032=""),"-",CC1032))))</f>
        <v>3</v>
      </c>
      <c r="AA1032" s="55"/>
      <c r="AB1032" s="56"/>
      <c r="AC1032" s="50" t="n">
        <f aca="false">AV1032</f>
        <v>21</v>
      </c>
      <c r="AD1032" s="50" t="n">
        <f aca="false">MAX(AV1032,H1032)</f>
        <v>21</v>
      </c>
      <c r="AE1032" s="57"/>
      <c r="AF1032" s="50" t="n">
        <f aca="false">IF(LEFT(Cockpit!$C$5,1)="A",H1032,IF(Parameter!$E$30="MAX-Bestand",IF(CH1032=1,CI1032,IF(LEFT(Cockpit!$C$5,1)="B",AL1032,MAX(AL1032,H1032))),ROUNDUP(AJ1032,0)))</f>
        <v>8</v>
      </c>
      <c r="AG1032" s="50" t="n">
        <f aca="false">IF(BZ1032=1,0,ROUNDUP(AF1032/BY1032,0))</f>
        <v>1</v>
      </c>
      <c r="AH1032" s="52" t="n">
        <f aca="false">IF(CQ1032&gt;0,CQ1032*MAX(1,AF1032/X1032),IF(BZ1032=1,IF(AF1032&lt;=0,0,CD1032*MAX(1,IF(H1032&gt;0,AF1032/H1032,1))),IF(R1032&gt;0,AG1032/R1032,0))/MAX(0.1,N(Parameter!$M$21)))</f>
        <v>0.0384615384615385</v>
      </c>
      <c r="AI1032" s="50" t="n">
        <f aca="false">AH1032*CB1032</f>
        <v>5.96153846153846</v>
      </c>
      <c r="AJ1032" s="51" t="n">
        <f aca="false">IF(LEFT(Cockpit!$C$5,1)="A",H1032,IF(CH1032=1,(CK1032+CI1032)/2,IF(LEFT(Cockpit!$C$5,1)="B",(CK1032+AL1032)/2,MAX((CK1032+AL1032)/2,H1032))))</f>
        <v>8</v>
      </c>
      <c r="AK1032" s="50" t="n">
        <f aca="false">AJ1032*G1032</f>
        <v>180.56</v>
      </c>
      <c r="AL1032" s="50" t="n">
        <f aca="false">ROUNDUP(CK1032+MAX(CL1032,2*(J1032/IF(CG1032&gt;0,CG1032,MAX(0.1,N(Cockpit!$C$6)))-CK1032)),0)</f>
        <v>21</v>
      </c>
      <c r="AM1032" s="51" t="n">
        <f aca="false">IF(AI1032&gt;0,J1032/AI1032,-1)</f>
        <v>3.35483870967742</v>
      </c>
      <c r="AN1032" s="51" t="n">
        <f aca="false">IF(AND(OR(CF1032="L1",CF1032="L23",CF1032="LIFT"),AI1032&gt;0),SUMIFS($AI$7:$AI$1843,$CF$7:$CF$1843,CF1032,$AM$7:$AM$1843,"&gt;"&amp;AM1032)+SUMIFS($AI$7:$AI$1843,$CF$7:$CF$1843,CF1032,$AM$7:$AM$1843,AM1032,$BW$7:$BW$1843,"&lt;="&amp;BW1032),"")</f>
        <v>4952.60714285714</v>
      </c>
      <c r="AO1032" s="58" t="n">
        <f aca="false">IF(AN1032="",0,MAX(0,MIN(1,(IF(CF1032="L1",Parameter!$H$5,IF(CF1032="L23",Parameter!$H$6+Parameter!$H$7,Parameter!$H$5+Parameter!$H$6+Parameter!$H$7))-(AN1032-AI1032))/AI1032)))</f>
        <v>1</v>
      </c>
      <c r="AP1032" s="50" t="n">
        <f aca="false">IF(LEFT(Cockpit!$I$5,1)="A",H1032,IF(Parameter!$E$30="MAX-Bestand",IF(CH1032=1,CI1032,IF(LEFT(Cockpit!$I$5,1)="B",AV1032,MAX(AV1032,H1032))),ROUNDUP(AT1032,0)))</f>
        <v>11</v>
      </c>
      <c r="AQ1032" s="50" t="n">
        <f aca="false">IF(BZ1032=1,0,ROUNDUP(AP1032/BY1032,0))</f>
        <v>1</v>
      </c>
      <c r="AR1032" s="52" t="n">
        <f aca="false">IF(CQ1032&gt;0,CQ1032*MAX(1,AP1032/X1032),IF(BZ1032=1,IF(AP1032&lt;=0,0,CD1032*MAX(1,IF(H1032&gt;0,AP1032/H1032,1))),IF(R1032&gt;0,AQ1032/R1032,0))/MAX(0.1,N(Parameter!$M$21)))</f>
        <v>0.0384615384615385</v>
      </c>
      <c r="AS1032" s="50" t="n">
        <f aca="false">AR1032*CB1032</f>
        <v>5.96153846153846</v>
      </c>
      <c r="AT1032" s="51" t="n">
        <f aca="false">IF(LEFT(Cockpit!$I$5,1)="A",H1032,IF(CH1032=1,(CK1032+CI1032)/2,IF(LEFT(Cockpit!$I$5,1)="B",(CK1032+AV1032)/2,MAX((CK1032+AV1032)/2,H1032))))</f>
        <v>11</v>
      </c>
      <c r="AU1032" s="50" t="n">
        <f aca="false">AT1032*G1032</f>
        <v>248.27</v>
      </c>
      <c r="AV1032" s="50" t="n">
        <f aca="false">ROUNDUP(CK1032+MAX(CL1032,2*(J1032/IF(CG1032&gt;0,CG1032,MAX(0.1,N(Cockpit!$I$6)))-CK1032)),0)</f>
        <v>21</v>
      </c>
      <c r="AW1032" s="51" t="n">
        <f aca="false">IF(AS1032&gt;0,J1032/AS1032,-1)</f>
        <v>3.35483870967742</v>
      </c>
      <c r="AX1032" s="51" t="n">
        <f aca="false">IF(AND(OR(CF1032="L1",CF1032="L23",CF1032="LIFT"),AS1032&gt;0),SUMIFS($AS$7:$AS$1843,$CF$7:$CF$1843,CF1032,$AW$7:$AW$1843,"&gt;"&amp;AW1032)+SUMIFS($AS$7:$AS$1843,$CF$7:$CF$1843,CF1032,$AW$7:$AW$1843,AW1032,$BW$7:$BW$1843,"&lt;="&amp;BW1032),"")</f>
        <v>5616.44413919414</v>
      </c>
      <c r="AY1032" s="58" t="n">
        <f aca="false">IF(AX1032="",0,MAX(0,MIN(1,(IF(CF1032="L1",Parameter!$H$5,IF(CF1032="L23",Parameter!$H$6+Parameter!$H$7,Parameter!$H$5+Parameter!$H$6+Parameter!$H$7))-(AX1032-AS1032))/AS1032)))</f>
        <v>1</v>
      </c>
      <c r="AZ1032" s="50" t="n">
        <f aca="false">IF(LEFT(Cockpit!$O$5,1)="A",H1032,IF(Parameter!$E$30="MAX-Bestand",IF(CH1032=1,CI1032,IF(LEFT(Cockpit!$O$5,1)="B",BF1032,MAX(BF1032,H1032))),ROUNDUP(BD1032,0)))</f>
        <v>11</v>
      </c>
      <c r="BA1032" s="50" t="n">
        <f aca="false">IF(BZ1032=1,0,ROUNDUP(AZ1032/BY1032,0))</f>
        <v>1</v>
      </c>
      <c r="BB1032" s="52" t="n">
        <f aca="false">IF(CQ1032&gt;0,CQ1032*MAX(1,AZ1032/X1032),IF(BZ1032=1,IF(AZ1032&lt;=0,0,CD1032*MAX(1,IF(H1032&gt;0,AZ1032/H1032,1))),IF(R1032&gt;0,BA1032/R1032,0))/MAX(0.1,N(Parameter!$M$21)))</f>
        <v>0.0384615384615385</v>
      </c>
      <c r="BC1032" s="50" t="n">
        <f aca="false">BB1032*CB1032</f>
        <v>5.96153846153846</v>
      </c>
      <c r="BD1032" s="51" t="n">
        <f aca="false">IF(LEFT(Cockpit!$O$5,1)="A",H1032,IF(CH1032=1,(CK1032+CI1032)/2,IF(LEFT(Cockpit!$O$5,1)="B",(CK1032+BF1032)/2,MAX((CK1032+BF1032)/2,H1032))))</f>
        <v>11</v>
      </c>
      <c r="BE1032" s="50" t="n">
        <f aca="false">BD1032*G1032</f>
        <v>248.27</v>
      </c>
      <c r="BF1032" s="50" t="n">
        <f aca="false">ROUNDUP(CK1032+MAX(CL1032,2*(J1032/IF(CG1032&gt;0,CG1032,MAX(0.1,N(Cockpit!$O$6)))-CK1032)),0)</f>
        <v>21</v>
      </c>
      <c r="BG1032" s="51" t="n">
        <f aca="false">IF(BC1032&gt;0,J1032/BC1032,-1)</f>
        <v>3.35483870967742</v>
      </c>
      <c r="BH1032" s="51" t="n">
        <f aca="false">IF(AND(OR(CF1032="L1",CF1032="L23",CF1032="LIFT"),BC1032&gt;0),SUMIFS($BC$7:$BC$1843,$CF$7:$CF$1843,CF1032,$BG$7:$BG$1843,"&gt;"&amp;BG1032)+SUMIFS($BC$7:$BC$1843,$CF$7:$CF$1843,CF1032,$BG$7:$BG$1843,BG1032,$BW$7:$BW$1843,"&lt;="&amp;BW1032),"")</f>
        <v>4596.66208791209</v>
      </c>
      <c r="BI1032" s="58" t="n">
        <f aca="false">IF(BH1032="",0,MAX(0,MIN(1,(IF(CF1032="L1",Parameter!$H$5,IF(CF1032="L23",Parameter!$H$6+Parameter!$H$7,Parameter!$H$5+Parameter!$H$6+Parameter!$H$7))-(BH1032-BC1032))/BC1032)))</f>
        <v>1</v>
      </c>
      <c r="BJ1032" s="48" t="str">
        <f aca="false">IF(AI1032&lt;=0,"",IF(CF1032="Aussen","Aussenlager",IF(CF1032="-","Nicht im Lift",IF(AO1032&gt;=1,"Lift",IF(AO1032&lt;=0,"Aussenlager","teilweise")))))</f>
        <v>Lift</v>
      </c>
      <c r="BK1032" s="48" t="str">
        <f aca="false">IF(AS1032&lt;=0,"",IF(CF1032="Aussen","Aussenlager",IF(CF1032="-","Nicht im Lift",IF(AY1032&gt;=1,"Lift",IF(AY1032&lt;=0,"Aussenlager","teilweise")))))</f>
        <v>Lift</v>
      </c>
      <c r="BL1032" s="48" t="str">
        <f aca="false">IF(BC1032&lt;=0,"",IF(CF1032="Aussen","Aussenlager",IF(CF1032="-","Nicht im Lift",IF(BI1032&gt;=1,"Lift",IF(BI1032&lt;=0,"Aussenlager","teilweise")))))</f>
        <v>Lift</v>
      </c>
      <c r="BM1032" s="48" t="str">
        <f aca="false">IF(A1032="","",IF(BV1032=1,"Neu; ","")&amp;IF(AND(BV1032=0,BQ1032&lt;0),"negativer Bestand (Export "&amp;BQ1032&amp;"); ","")&amp;IF(J1032&lt;=0,"Kein Verbrauch; ","")&amp;IF(CQ1032&gt;0,"Lift "&amp;W1032&amp;" lt. Liftbericht (Fach "&amp;X1032&amp;" Stk); ",IF(CA1032=1,"Gebinde geschätzt ("&amp;T1032&amp;"); ",IF(BZ1032=1,"Lose – Tablare geschätzt; ","")))&amp;IF(H1032&gt;AV1032,"Überbestand "&amp;ROUND(H1032-AV1032,0)&amp;" Stk / CHF "&amp;ROUND((H1032-AV1032)*G1032,0)&amp;"; ","")&amp;IF(AND(CH1032=1,CI1032&lt;CJ1032),"MAX &lt; MB+LG; ","")&amp;IF(AND(CP1032&gt;0,CO1032*10&gt;CP1032),"zu hoch für Tablar; ","")&amp;IF(AND(BV1032=0,OR(CH1032=1,AA1032&lt;&gt;"",U1032&lt;&gt;"",V1032&lt;&gt;"",AB1032&lt;&gt;"")),"manuell übersteuert; ","")&amp;IF(AND(BZ1032=0,R1032=0),"Gebinde unbekannt / Stellmass fehlt; ","")&amp;IF(AND(BZ1032=0,N(V1032)&lt;=0,N(Q1032)&lt;=0),"Menge pro Gebinde fehlt (Ist = 1 Gebinde); ","")&amp;BU1032)</f>
        <v>negativer Bestand (Export -6); </v>
      </c>
      <c r="BN1032" s="48"/>
      <c r="BO1032" s="48"/>
      <c r="BP1032" s="55"/>
      <c r="BQ1032" s="50" t="n">
        <v>-6</v>
      </c>
      <c r="BR1032" s="50" t="n">
        <v>14</v>
      </c>
      <c r="BS1032" s="49" t="n">
        <v>-130.66</v>
      </c>
      <c r="BT1032" s="50" t="n">
        <v>20</v>
      </c>
      <c r="BU1032" s="48"/>
      <c r="BV1032" s="53" t="n">
        <v>0</v>
      </c>
      <c r="BW1032" s="53" t="n">
        <v>1032</v>
      </c>
      <c r="BX1032" s="48" t="str">
        <f aca="false">IF(U1032&lt;&gt;"",UPPER(TRIM(U1032)),IF(CA1032=1,UPPER(VLOOKUP(T1032,Parameter!$I$27:$K$29,2,0)),IF(P1032="","LOSE",P1032)))</f>
        <v>S51</v>
      </c>
      <c r="BY1032" s="50" t="n">
        <f aca="false">IF(BX1032="LOSE",1,IF(N(V1032)&gt;0,V1032,IF(CA1032=1,MAX(1,N(VLOOKUP(T1032,Parameter!$I$27:$K$29,3,0)),H1032,N(N1032)),IF(N(Q1032)&gt;0,Q1032,MAX(1,H1032)))))</f>
        <v>43</v>
      </c>
      <c r="BZ1032" s="53" t="n">
        <f aca="false">IF(BX1032="LOSE",1,0)</f>
        <v>0</v>
      </c>
      <c r="CA1032" s="53" t="n">
        <f aca="false">IF(AND(U1032="",OR(P1032="",P1032="LOSE"),T1032&lt;&gt;"",N(S1032)&lt;=0,ISNUMBER(MATCH(T1032,Parameter!$I$27:$I$29,0))),1,0)</f>
        <v>0</v>
      </c>
      <c r="CB1032" s="53" t="n">
        <f aca="false">IF(CQ1032&gt;0,INDEX(Parameter!$H$5:$H$7,W1032)/INDEX(Parameter!$E$5:$E$7,W1032),IF(AND(BZ1032=0,N(IFERROR(VLOOKUP(BX1032,'Gebinde-Kategorie'!$A$5:$N$45,14,0),0))&gt;0),VLOOKUP(BX1032,'Gebinde-Kategorie'!$A$5:$N$45,14,0)*10+Parameter!$M$23,Parameter!$M$24))</f>
        <v>155</v>
      </c>
      <c r="CC1032" s="48" t="str">
        <f aca="false">IF(AND(Parameter!$B$19="Ja",E1032&lt;&gt;"",ISNUMBER(MATCH(E1032,Parameter!$I$35:$I$52,0))),VLOOKUP(E1032,Parameter!$I$35:$J$52,2,0),IFERROR(VLOOKUP(D1032,Parameter!$A$35:$C$64,2,0),"Nein"))</f>
        <v>2+3</v>
      </c>
      <c r="CD1032" s="52" t="n">
        <f aca="false">IF(BZ1032=0,0,IF(N(S1032)&gt;0,S1032,IFERROR(VLOOKUP(D1032,Parameter!$A$35:$C$64,3,0)+0,0)))</f>
        <v>0</v>
      </c>
      <c r="CE1032" s="48" t="n">
        <f aca="false">IF(AA1032&lt;&gt;"",AA1032,Z1032)</f>
        <v>3</v>
      </c>
      <c r="CF1032" s="48" t="str">
        <f aca="false">IF(OR(CE1032=1,CE1032=2,CE1032=3),IF(Parameter!$E$27="Ja","LIFT",IF(CE1032=1,"L1","L23")),IF(CE1032="Aussen","Aussen","-"))</f>
        <v>LIFT</v>
      </c>
      <c r="CG1032" s="59" t="n">
        <f aca="false">IF(N(AB1032)&gt;0,AB1032,0)</f>
        <v>0</v>
      </c>
      <c r="CH1032" s="53" t="n">
        <f aca="false">IF(ISNUMBER(AE1032),1,0)</f>
        <v>0</v>
      </c>
      <c r="CI1032" s="50" t="n">
        <f aca="false">N(AE1032)</f>
        <v>0</v>
      </c>
      <c r="CJ1032" s="50" t="n">
        <f aca="false">N(M1032)+N(N1032)</f>
        <v>21</v>
      </c>
      <c r="CK1032" s="50" t="n">
        <f aca="false">N(M1032)</f>
        <v>1</v>
      </c>
      <c r="CL1032" s="50" t="n">
        <f aca="false">N(N1032)</f>
        <v>20</v>
      </c>
      <c r="CM1032" s="50" t="n">
        <f aca="false">ROUNDUP(H1032/BY1032,0)</f>
        <v>1</v>
      </c>
      <c r="CN1032" s="50" t="n">
        <f aca="false">ROUNDUP(CI1032/BY1032,0)</f>
        <v>0</v>
      </c>
      <c r="CO1032" s="53" t="n">
        <f aca="false">IF(BZ1032=1,0,IFERROR(VLOOKUP(BX1032,'Gebinde-Kategorie'!$A$5:$N$45,5,0)+0,0))</f>
        <v>11</v>
      </c>
      <c r="CP1032" s="53" t="n">
        <f aca="false">IFERROR(IF(OR(CE1032=1,CE1032=2,CE1032=3),N(INDEX(Parameter!$I$5:$I$7,CE1032)),0),0)</f>
        <v>0</v>
      </c>
      <c r="CQ1032" s="52" t="n">
        <f aca="false">IF(AND(Parameter!$B$21="Ja",ISNUMBER(W1032),N(X1032)&gt;0),IFERROR(N(INDEX(Parameter!$L$5:$L$7,W1032))*INDEX(Parameter!$E$5:$E$7,W1032)*X1032/SUMIFS($X$7:$X$1843,$W$7:$W$1843,W1032),0),0)</f>
        <v>0</v>
      </c>
    </row>
    <row r="1033" customFormat="false" ht="15" hidden="false" customHeight="false" outlineLevel="0" collapsed="false">
      <c r="A1033" s="48" t="s">
        <v>1908</v>
      </c>
      <c r="B1033" s="48" t="s">
        <v>440</v>
      </c>
      <c r="C1033" s="48" t="s">
        <v>173</v>
      </c>
      <c r="D1033" s="48" t="s">
        <v>193</v>
      </c>
      <c r="E1033" s="48" t="s">
        <v>194</v>
      </c>
      <c r="F1033" s="48" t="s">
        <v>227</v>
      </c>
      <c r="G1033" s="49" t="n">
        <v>133.9</v>
      </c>
      <c r="H1033" s="50" t="n">
        <f aca="false">MAX(0,IF(AND(Parameter!$B$21="Ja",ISNUMBER(Y1033)),Y1033,IF(Parameter!$B$20="Jahresanfang 2025 + Export",BR1033+BQ1033,BQ1033)))</f>
        <v>1</v>
      </c>
      <c r="I1033" s="50" t="n">
        <f aca="false">H1033*G1033</f>
        <v>133.9</v>
      </c>
      <c r="J1033" s="50" t="n">
        <f aca="false">BT1033*Parameter!$B$18</f>
        <v>0.002</v>
      </c>
      <c r="K1033" s="51" t="n">
        <v>1.5</v>
      </c>
      <c r="L1033" s="52" t="n">
        <v>0.00133333333333333</v>
      </c>
      <c r="M1033" s="50" t="n">
        <v>0</v>
      </c>
      <c r="N1033" s="50" t="n">
        <v>1</v>
      </c>
      <c r="O1033" s="53" t="n">
        <v>70</v>
      </c>
      <c r="P1033" s="48" t="s">
        <v>435</v>
      </c>
      <c r="Q1033" s="50" t="n">
        <v>2</v>
      </c>
      <c r="R1033" s="53" t="n">
        <f aca="false">IF(BZ1033=1,0,IFERROR(VLOOKUP(BX1033,'Gebinde-Kategorie'!$A$5:$N$45,13,0)+0,0))</f>
        <v>140</v>
      </c>
      <c r="S1033" s="54"/>
      <c r="T1033" s="55"/>
      <c r="U1033" s="55"/>
      <c r="V1033" s="55"/>
      <c r="W1033" s="48"/>
      <c r="X1033" s="50"/>
      <c r="Y1033" s="50"/>
      <c r="Z1033" s="48" t="n">
        <f aca="false">IF(A1033="","",IF(AND(Parameter!$B$21="Ja",ISNUMBER(W1033)),W1033,IF(CC1033="2+3",IF(ISNUMBER(SEARCH("grosser Artikel",BU1033)),2,IFERROR(VLOOKUP(BX1033,Parameter!$F$35:$G$64,2,0),2)),IF(OR(CC1033="Nein",CC1033=""),"-",CC1033))))</f>
        <v>3</v>
      </c>
      <c r="AA1033" s="55"/>
      <c r="AB1033" s="56"/>
      <c r="AC1033" s="50" t="n">
        <f aca="false">AV1033</f>
        <v>1</v>
      </c>
      <c r="AD1033" s="50" t="n">
        <f aca="false">MAX(AV1033,H1033)</f>
        <v>1</v>
      </c>
      <c r="AE1033" s="57"/>
      <c r="AF1033" s="50" t="n">
        <f aca="false">IF(LEFT(Cockpit!$C$5,1)="A",H1033,IF(Parameter!$E$30="MAX-Bestand",IF(CH1033=1,CI1033,IF(LEFT(Cockpit!$C$5,1)="B",AL1033,MAX(AL1033,H1033))),ROUNDUP(AJ1033,0)))</f>
        <v>1</v>
      </c>
      <c r="AG1033" s="50" t="n">
        <f aca="false">IF(BZ1033=1,0,ROUNDUP(AF1033/BY1033,0))</f>
        <v>1</v>
      </c>
      <c r="AH1033" s="52" t="n">
        <f aca="false">IF(CQ1033&gt;0,CQ1033*MAX(1,AF1033/X1033),IF(BZ1033=1,IF(AF1033&lt;=0,0,CD1033*MAX(1,IF(H1033&gt;0,AF1033/H1033,1))),IF(R1033&gt;0,AG1033/R1033,0))/MAX(0.1,N(Parameter!$M$21)))</f>
        <v>0.00714285714285714</v>
      </c>
      <c r="AI1033" s="50" t="n">
        <f aca="false">AH1033*CB1033</f>
        <v>1.10714285714286</v>
      </c>
      <c r="AJ1033" s="51" t="n">
        <f aca="false">IF(LEFT(Cockpit!$C$5,1)="A",H1033,IF(CH1033=1,(CK1033+CI1033)/2,IF(LEFT(Cockpit!$C$5,1)="B",(CK1033+AL1033)/2,MAX((CK1033+AL1033)/2,H1033))))</f>
        <v>1</v>
      </c>
      <c r="AK1033" s="50" t="n">
        <f aca="false">AJ1033*G1033</f>
        <v>133.9</v>
      </c>
      <c r="AL1033" s="50" t="n">
        <f aca="false">ROUNDUP(CK1033+MAX(CL1033,2*(J1033/IF(CG1033&gt;0,CG1033,MAX(0.1,N(Cockpit!$C$6)))-CK1033)),0)</f>
        <v>1</v>
      </c>
      <c r="AM1033" s="51" t="n">
        <f aca="false">IF(AI1033&gt;0,J1033/AI1033,-1)</f>
        <v>0.00180645161290323</v>
      </c>
      <c r="AN1033" s="51" t="n">
        <f aca="false">IF(AND(OR(CF1033="L1",CF1033="L23",CF1033="LIFT"),AI1033&gt;0),SUMIFS($AI$7:$AI$1843,$CF$7:$CF$1843,CF1033,$AM$7:$AM$1843,"&gt;"&amp;AM1033)+SUMIFS($AI$7:$AI$1843,$CF$7:$CF$1843,CF1033,$AM$7:$AM$1843,AM1033,$BW$7:$BW$1843,"&lt;="&amp;BW1033),"")</f>
        <v>25429.0219081766</v>
      </c>
      <c r="AO1033" s="58" t="n">
        <f aca="false">IF(AN1033="",0,MAX(0,MIN(1,(IF(CF1033="L1",Parameter!$H$5,IF(CF1033="L23",Parameter!$H$6+Parameter!$H$7,Parameter!$H$5+Parameter!$H$6+Parameter!$H$7))-(AN1033-AI1033))/AI1033)))</f>
        <v>1</v>
      </c>
      <c r="AP1033" s="50" t="n">
        <f aca="false">IF(LEFT(Cockpit!$I$5,1)="A",H1033,IF(Parameter!$E$30="MAX-Bestand",IF(CH1033=1,CI1033,IF(LEFT(Cockpit!$I$5,1)="B",AV1033,MAX(AV1033,H1033))),ROUNDUP(AT1033,0)))</f>
        <v>1</v>
      </c>
      <c r="AQ1033" s="50" t="n">
        <f aca="false">IF(BZ1033=1,0,ROUNDUP(AP1033/BY1033,0))</f>
        <v>1</v>
      </c>
      <c r="AR1033" s="52" t="n">
        <f aca="false">IF(CQ1033&gt;0,CQ1033*MAX(1,AP1033/X1033),IF(BZ1033=1,IF(AP1033&lt;=0,0,CD1033*MAX(1,IF(H1033&gt;0,AP1033/H1033,1))),IF(R1033&gt;0,AQ1033/R1033,0))/MAX(0.1,N(Parameter!$M$21)))</f>
        <v>0.00714285714285714</v>
      </c>
      <c r="AS1033" s="50" t="n">
        <f aca="false">AR1033*CB1033</f>
        <v>1.10714285714286</v>
      </c>
      <c r="AT1033" s="51" t="n">
        <f aca="false">IF(LEFT(Cockpit!$I$5,1)="A",H1033,IF(CH1033=1,(CK1033+CI1033)/2,IF(LEFT(Cockpit!$I$5,1)="B",(CK1033+AV1033)/2,MAX((CK1033+AV1033)/2,H1033))))</f>
        <v>1</v>
      </c>
      <c r="AU1033" s="50" t="n">
        <f aca="false">AT1033*G1033</f>
        <v>133.9</v>
      </c>
      <c r="AV1033" s="50" t="n">
        <f aca="false">ROUNDUP(CK1033+MAX(CL1033,2*(J1033/IF(CG1033&gt;0,CG1033,MAX(0.1,N(Cockpit!$I$6)))-CK1033)),0)</f>
        <v>1</v>
      </c>
      <c r="AW1033" s="51" t="n">
        <f aca="false">IF(AS1033&gt;0,J1033/AS1033,-1)</f>
        <v>0.00180645161290323</v>
      </c>
      <c r="AX1033" s="51" t="n">
        <f aca="false">IF(AND(OR(CF1033="L1",CF1033="L23",CF1033="LIFT"),AS1033&gt;0),SUMIFS($AS$7:$AS$1843,$CF$7:$CF$1843,CF1033,$AW$7:$AW$1843,"&gt;"&amp;AW1033)+SUMIFS($AS$7:$AS$1843,$CF$7:$CF$1843,CF1033,$AW$7:$AW$1843,AW1033,$BW$7:$BW$1843,"&lt;="&amp;BW1033),"")</f>
        <v>30782.170549554</v>
      </c>
      <c r="AY1033" s="58" t="n">
        <f aca="false">IF(AX1033="",0,MAX(0,MIN(1,(IF(CF1033="L1",Parameter!$H$5,IF(CF1033="L23",Parameter!$H$6+Parameter!$H$7,Parameter!$H$5+Parameter!$H$6+Parameter!$H$7))-(AX1033-AS1033))/AS1033)))</f>
        <v>1</v>
      </c>
      <c r="AZ1033" s="50" t="n">
        <f aca="false">IF(LEFT(Cockpit!$O$5,1)="A",H1033,IF(Parameter!$E$30="MAX-Bestand",IF(CH1033=1,CI1033,IF(LEFT(Cockpit!$O$5,1)="B",BF1033,MAX(BF1033,H1033))),ROUNDUP(BD1033,0)))</f>
        <v>1</v>
      </c>
      <c r="BA1033" s="50" t="n">
        <f aca="false">IF(BZ1033=1,0,ROUNDUP(AZ1033/BY1033,0))</f>
        <v>1</v>
      </c>
      <c r="BB1033" s="52" t="n">
        <f aca="false">IF(CQ1033&gt;0,CQ1033*MAX(1,AZ1033/X1033),IF(BZ1033=1,IF(AZ1033&lt;=0,0,CD1033*MAX(1,IF(H1033&gt;0,AZ1033/H1033,1))),IF(R1033&gt;0,BA1033/R1033,0))/MAX(0.1,N(Parameter!$M$21)))</f>
        <v>0.00714285714285714</v>
      </c>
      <c r="BC1033" s="50" t="n">
        <f aca="false">BB1033*CB1033</f>
        <v>1.10714285714286</v>
      </c>
      <c r="BD1033" s="51" t="n">
        <f aca="false">IF(LEFT(Cockpit!$O$5,1)="A",H1033,IF(CH1033=1,(CK1033+CI1033)/2,IF(LEFT(Cockpit!$O$5,1)="B",(CK1033+BF1033)/2,MAX((CK1033+BF1033)/2,H1033))))</f>
        <v>0.5</v>
      </c>
      <c r="BE1033" s="50" t="n">
        <f aca="false">BD1033*G1033</f>
        <v>66.95</v>
      </c>
      <c r="BF1033" s="50" t="n">
        <f aca="false">ROUNDUP(CK1033+MAX(CL1033,2*(J1033/IF(CG1033&gt;0,CG1033,MAX(0.1,N(Cockpit!$O$6)))-CK1033)),0)</f>
        <v>1</v>
      </c>
      <c r="BG1033" s="51" t="n">
        <f aca="false">IF(BC1033&gt;0,J1033/BC1033,-1)</f>
        <v>0.00180645161290323</v>
      </c>
      <c r="BH1033" s="51" t="n">
        <f aca="false">IF(AND(OR(CF1033="L1",CF1033="L23",CF1033="LIFT"),BC1033&gt;0),SUMIFS($BC$7:$BC$1843,$CF$7:$CF$1843,CF1033,$BG$7:$BG$1843,"&gt;"&amp;BG1033)+SUMIFS($BC$7:$BC$1843,$CF$7:$CF$1843,CF1033,$BG$7:$BG$1843,BG1033,$BW$7:$BW$1843,"&lt;="&amp;BW1033),"")</f>
        <v>25037.502392852</v>
      </c>
      <c r="BI1033" s="58" t="n">
        <f aca="false">IF(BH1033="",0,MAX(0,MIN(1,(IF(CF1033="L1",Parameter!$H$5,IF(CF1033="L23",Parameter!$H$6+Parameter!$H$7,Parameter!$H$5+Parameter!$H$6+Parameter!$H$7))-(BH1033-BC1033))/BC1033)))</f>
        <v>1</v>
      </c>
      <c r="BJ1033" s="48" t="str">
        <f aca="false">IF(AI1033&lt;=0,"",IF(CF1033="Aussen","Aussenlager",IF(CF1033="-","Nicht im Lift",IF(AO1033&gt;=1,"Lift",IF(AO1033&lt;=0,"Aussenlager","teilweise")))))</f>
        <v>Lift</v>
      </c>
      <c r="BK1033" s="48" t="str">
        <f aca="false">IF(AS1033&lt;=0,"",IF(CF1033="Aussen","Aussenlager",IF(CF1033="-","Nicht im Lift",IF(AY1033&gt;=1,"Lift",IF(AY1033&lt;=0,"Aussenlager","teilweise")))))</f>
        <v>Lift</v>
      </c>
      <c r="BL1033" s="48" t="str">
        <f aca="false">IF(BC1033&lt;=0,"",IF(CF1033="Aussen","Aussenlager",IF(CF1033="-","Nicht im Lift",IF(BI1033&gt;=1,"Lift",IF(BI1033&lt;=0,"Aussenlager","teilweise")))))</f>
        <v>Lift</v>
      </c>
      <c r="BM1033" s="48" t="str">
        <f aca="false">IF(A1033="","",IF(BV1033=1,"Neu; ","")&amp;IF(AND(BV1033=0,BQ1033&lt;0),"negativer Bestand (Export "&amp;BQ1033&amp;"); ","")&amp;IF(J1033&lt;=0,"Kein Verbrauch; ","")&amp;IF(CQ1033&gt;0,"Lift "&amp;W1033&amp;" lt. Liftbericht (Fach "&amp;X1033&amp;" Stk); ",IF(CA1033=1,"Gebinde geschätzt ("&amp;T1033&amp;"); ",IF(BZ1033=1,"Lose – Tablare geschätzt; ","")))&amp;IF(H1033&gt;AV1033,"Überbestand "&amp;ROUND(H1033-AV1033,0)&amp;" Stk / CHF "&amp;ROUND((H1033-AV1033)*G1033,0)&amp;"; ","")&amp;IF(AND(CH1033=1,CI1033&lt;CJ1033),"MAX &lt; MB+LG; ","")&amp;IF(AND(CP1033&gt;0,CO1033*10&gt;CP1033),"zu hoch für Tablar; ","")&amp;IF(AND(BV1033=0,OR(CH1033=1,AA1033&lt;&gt;"",U1033&lt;&gt;"",V1033&lt;&gt;"",AB1033&lt;&gt;"")),"manuell übersteuert; ","")&amp;IF(AND(BZ1033=0,R1033=0),"Gebinde unbekannt / Stellmass fehlt; ","")&amp;IF(AND(BZ1033=0,N(V1033)&lt;=0,N(Q1033)&lt;=0),"Menge pro Gebinde fehlt (Ist = 1 Gebinde); ","")&amp;BU1033)</f>
        <v>negativer Bestand (Export -1); </v>
      </c>
      <c r="BN1033" s="48"/>
      <c r="BO1033" s="48"/>
      <c r="BP1033" s="55"/>
      <c r="BQ1033" s="50" t="n">
        <v>-1</v>
      </c>
      <c r="BR1033" s="50" t="n">
        <v>2</v>
      </c>
      <c r="BS1033" s="49" t="n">
        <v>-130.7</v>
      </c>
      <c r="BT1033" s="50" t="n">
        <v>0.002</v>
      </c>
      <c r="BU1033" s="48"/>
      <c r="BV1033" s="53" t="n">
        <v>0</v>
      </c>
      <c r="BW1033" s="53" t="n">
        <v>1033</v>
      </c>
      <c r="BX1033" s="48" t="str">
        <f aca="false">IF(U1033&lt;&gt;"",UPPER(TRIM(U1033)),IF(CA1033=1,UPPER(VLOOKUP(T1033,Parameter!$I$27:$K$29,2,0)),IF(P1033="","LOSE",P1033)))</f>
        <v>S22</v>
      </c>
      <c r="BY1033" s="50" t="n">
        <f aca="false">IF(BX1033="LOSE",1,IF(N(V1033)&gt;0,V1033,IF(CA1033=1,MAX(1,N(VLOOKUP(T1033,Parameter!$I$27:$K$29,3,0)),H1033,N(N1033)),IF(N(Q1033)&gt;0,Q1033,MAX(1,H1033)))))</f>
        <v>2</v>
      </c>
      <c r="BZ1033" s="53" t="n">
        <f aca="false">IF(BX1033="LOSE",1,0)</f>
        <v>0</v>
      </c>
      <c r="CA1033" s="53" t="n">
        <f aca="false">IF(AND(U1033="",OR(P1033="",P1033="LOSE"),T1033&lt;&gt;"",N(S1033)&lt;=0,ISNUMBER(MATCH(T1033,Parameter!$I$27:$I$29,0))),1,0)</f>
        <v>0</v>
      </c>
      <c r="CB1033" s="53" t="n">
        <f aca="false">IF(CQ1033&gt;0,INDEX(Parameter!$H$5:$H$7,W1033)/INDEX(Parameter!$E$5:$E$7,W1033),IF(AND(BZ1033=0,N(IFERROR(VLOOKUP(BX1033,'Gebinde-Kategorie'!$A$5:$N$45,14,0),0))&gt;0),VLOOKUP(BX1033,'Gebinde-Kategorie'!$A$5:$N$45,14,0)*10+Parameter!$M$23,Parameter!$M$24))</f>
        <v>155</v>
      </c>
      <c r="CC1033" s="48" t="str">
        <f aca="false">IF(AND(Parameter!$B$19="Ja",E1033&lt;&gt;"",ISNUMBER(MATCH(E1033,Parameter!$I$35:$I$52,0))),VLOOKUP(E1033,Parameter!$I$35:$J$52,2,0),IFERROR(VLOOKUP(D1033,Parameter!$A$35:$C$64,2,0),"Nein"))</f>
        <v>2+3</v>
      </c>
      <c r="CD1033" s="52" t="n">
        <f aca="false">IF(BZ1033=0,0,IF(N(S1033)&gt;0,S1033,IFERROR(VLOOKUP(D1033,Parameter!$A$35:$C$64,3,0)+0,0)))</f>
        <v>0</v>
      </c>
      <c r="CE1033" s="48" t="n">
        <f aca="false">IF(AA1033&lt;&gt;"",AA1033,Z1033)</f>
        <v>3</v>
      </c>
      <c r="CF1033" s="48" t="str">
        <f aca="false">IF(OR(CE1033=1,CE1033=2,CE1033=3),IF(Parameter!$E$27="Ja","LIFT",IF(CE1033=1,"L1","L23")),IF(CE1033="Aussen","Aussen","-"))</f>
        <v>LIFT</v>
      </c>
      <c r="CG1033" s="59" t="n">
        <f aca="false">IF(N(AB1033)&gt;0,AB1033,0)</f>
        <v>0</v>
      </c>
      <c r="CH1033" s="53" t="n">
        <f aca="false">IF(ISNUMBER(AE1033),1,0)</f>
        <v>0</v>
      </c>
      <c r="CI1033" s="50" t="n">
        <f aca="false">N(AE1033)</f>
        <v>0</v>
      </c>
      <c r="CJ1033" s="50" t="n">
        <f aca="false">N(M1033)+N(N1033)</f>
        <v>1</v>
      </c>
      <c r="CK1033" s="50" t="n">
        <f aca="false">N(M1033)</f>
        <v>0</v>
      </c>
      <c r="CL1033" s="50" t="n">
        <f aca="false">N(N1033)</f>
        <v>1</v>
      </c>
      <c r="CM1033" s="50" t="n">
        <f aca="false">ROUNDUP(H1033/BY1033,0)</f>
        <v>1</v>
      </c>
      <c r="CN1033" s="50" t="n">
        <f aca="false">ROUNDUP(CI1033/BY1033,0)</f>
        <v>0</v>
      </c>
      <c r="CO1033" s="53" t="n">
        <f aca="false">IF(BZ1033=1,0,IFERROR(VLOOKUP(BX1033,'Gebinde-Kategorie'!$A$5:$N$45,5,0)+0,0))</f>
        <v>8</v>
      </c>
      <c r="CP1033" s="53" t="n">
        <f aca="false">IFERROR(IF(OR(CE1033=1,CE1033=2,CE1033=3),N(INDEX(Parameter!$I$5:$I$7,CE1033)),0),0)</f>
        <v>0</v>
      </c>
      <c r="CQ1033" s="52" t="n">
        <f aca="false">IF(AND(Parameter!$B$21="Ja",ISNUMBER(W1033),N(X1033)&gt;0),IFERROR(N(INDEX(Parameter!$L$5:$L$7,W1033))*INDEX(Parameter!$E$5:$E$7,W1033)*X1033/SUMIFS($X$7:$X$1843,$W$7:$W$1843,W1033),0),0)</f>
        <v>0</v>
      </c>
    </row>
    <row r="1034" customFormat="false" ht="15" hidden="false" customHeight="false" outlineLevel="0" collapsed="false">
      <c r="A1034" s="48" t="s">
        <v>1909</v>
      </c>
      <c r="B1034" s="48" t="s">
        <v>418</v>
      </c>
      <c r="C1034" s="48" t="s">
        <v>173</v>
      </c>
      <c r="D1034" s="48" t="s">
        <v>193</v>
      </c>
      <c r="E1034" s="48" t="s">
        <v>194</v>
      </c>
      <c r="F1034" s="48" t="s">
        <v>227</v>
      </c>
      <c r="G1034" s="49" t="n">
        <v>43.75</v>
      </c>
      <c r="H1034" s="50" t="n">
        <f aca="false">MAX(0,IF(AND(Parameter!$B$21="Ja",ISNUMBER(Y1034)),Y1034,IF(Parameter!$B$20="Jahresanfang 2025 + Export",BR1034+BQ1034,BQ1034)))</f>
        <v>38</v>
      </c>
      <c r="I1034" s="50" t="n">
        <f aca="false">H1034*G1034</f>
        <v>1662.5</v>
      </c>
      <c r="J1034" s="50" t="n">
        <f aca="false">BT1034*Parameter!$B$18</f>
        <v>0</v>
      </c>
      <c r="K1034" s="51" t="n">
        <v>39.5</v>
      </c>
      <c r="L1034" s="52" t="n">
        <v>0</v>
      </c>
      <c r="M1034" s="50" t="n">
        <v>0</v>
      </c>
      <c r="N1034" s="50" t="n">
        <v>1</v>
      </c>
      <c r="O1034" s="53" t="n">
        <v>28</v>
      </c>
      <c r="P1034" s="48" t="s">
        <v>311</v>
      </c>
      <c r="Q1034" s="50" t="n">
        <v>42</v>
      </c>
      <c r="R1034" s="53" t="n">
        <f aca="false">IF(BZ1034=1,0,IFERROR(VLOOKUP(BX1034,'Gebinde-Kategorie'!$A$5:$N$45,13,0)+0,0))</f>
        <v>26</v>
      </c>
      <c r="S1034" s="54"/>
      <c r="T1034" s="55"/>
      <c r="U1034" s="55"/>
      <c r="V1034" s="55"/>
      <c r="W1034" s="48"/>
      <c r="X1034" s="50"/>
      <c r="Y1034" s="50"/>
      <c r="Z1034" s="48" t="n">
        <f aca="false">IF(A1034="","",IF(AND(Parameter!$B$21="Ja",ISNUMBER(W1034)),W1034,IF(CC1034="2+3",IF(ISNUMBER(SEARCH("grosser Artikel",BU1034)),2,IFERROR(VLOOKUP(BX1034,Parameter!$F$35:$G$64,2,0),2)),IF(OR(CC1034="Nein",CC1034=""),"-",CC1034))))</f>
        <v>3</v>
      </c>
      <c r="AA1034" s="55"/>
      <c r="AB1034" s="56"/>
      <c r="AC1034" s="50" t="n">
        <f aca="false">AV1034</f>
        <v>1</v>
      </c>
      <c r="AD1034" s="50" t="n">
        <f aca="false">MAX(AV1034,H1034)</f>
        <v>38</v>
      </c>
      <c r="AE1034" s="57"/>
      <c r="AF1034" s="50" t="n">
        <f aca="false">IF(LEFT(Cockpit!$C$5,1)="A",H1034,IF(Parameter!$E$30="MAX-Bestand",IF(CH1034=1,CI1034,IF(LEFT(Cockpit!$C$5,1)="B",AL1034,MAX(AL1034,H1034))),ROUNDUP(AJ1034,0)))</f>
        <v>38</v>
      </c>
      <c r="AG1034" s="50" t="n">
        <f aca="false">IF(BZ1034=1,0,ROUNDUP(AF1034/BY1034,0))</f>
        <v>1</v>
      </c>
      <c r="AH1034" s="52" t="n">
        <f aca="false">IF(CQ1034&gt;0,CQ1034*MAX(1,AF1034/X1034),IF(BZ1034=1,IF(AF1034&lt;=0,0,CD1034*MAX(1,IF(H1034&gt;0,AF1034/H1034,1))),IF(R1034&gt;0,AG1034/R1034,0))/MAX(0.1,N(Parameter!$M$21)))</f>
        <v>0.0384615384615385</v>
      </c>
      <c r="AI1034" s="50" t="n">
        <f aca="false">AH1034*CB1034</f>
        <v>5.96153846153846</v>
      </c>
      <c r="AJ1034" s="51" t="n">
        <f aca="false">IF(LEFT(Cockpit!$C$5,1)="A",H1034,IF(CH1034=1,(CK1034+CI1034)/2,IF(LEFT(Cockpit!$C$5,1)="B",(CK1034+AL1034)/2,MAX((CK1034+AL1034)/2,H1034))))</f>
        <v>38</v>
      </c>
      <c r="AK1034" s="50" t="n">
        <f aca="false">AJ1034*G1034</f>
        <v>1662.5</v>
      </c>
      <c r="AL1034" s="50" t="n">
        <f aca="false">ROUNDUP(CK1034+MAX(CL1034,2*(J1034/IF(CG1034&gt;0,CG1034,MAX(0.1,N(Cockpit!$C$6)))-CK1034)),0)</f>
        <v>1</v>
      </c>
      <c r="AM1034" s="51" t="n">
        <f aca="false">IF(AI1034&gt;0,J1034/AI1034,-1)</f>
        <v>0</v>
      </c>
      <c r="AN1034" s="51" t="n">
        <f aca="false">IF(AND(OR(CF1034="L1",CF1034="L23",CF1034="LIFT"),AI1034&gt;0),SUMIFS($AI$7:$AI$1843,$CF$7:$CF$1843,CF1034,$AM$7:$AM$1843,"&gt;"&amp;AM1034)+SUMIFS($AI$7:$AI$1843,$CF$7:$CF$1843,CF1034,$AM$7:$AM$1843,AM1034,$BW$7:$BW$1843,"&lt;="&amp;BW1034),"")</f>
        <v>29042.4415600877</v>
      </c>
      <c r="AO1034" s="58" t="n">
        <f aca="false">IF(AN1034="",0,MAX(0,MIN(1,(IF(CF1034="L1",Parameter!$H$5,IF(CF1034="L23",Parameter!$H$6+Parameter!$H$7,Parameter!$H$5+Parameter!$H$6+Parameter!$H$7))-(AN1034-AI1034))/AI1034)))</f>
        <v>1</v>
      </c>
      <c r="AP1034" s="50" t="n">
        <f aca="false">IF(LEFT(Cockpit!$I$5,1)="A",H1034,IF(Parameter!$E$30="MAX-Bestand",IF(CH1034=1,CI1034,IF(LEFT(Cockpit!$I$5,1)="B",AV1034,MAX(AV1034,H1034))),ROUNDUP(AT1034,0)))</f>
        <v>38</v>
      </c>
      <c r="AQ1034" s="50" t="n">
        <f aca="false">IF(BZ1034=1,0,ROUNDUP(AP1034/BY1034,0))</f>
        <v>1</v>
      </c>
      <c r="AR1034" s="52" t="n">
        <f aca="false">IF(CQ1034&gt;0,CQ1034*MAX(1,AP1034/X1034),IF(BZ1034=1,IF(AP1034&lt;=0,0,CD1034*MAX(1,IF(H1034&gt;0,AP1034/H1034,1))),IF(R1034&gt;0,AQ1034/R1034,0))/MAX(0.1,N(Parameter!$M$21)))</f>
        <v>0.0384615384615385</v>
      </c>
      <c r="AS1034" s="50" t="n">
        <f aca="false">AR1034*CB1034</f>
        <v>5.96153846153846</v>
      </c>
      <c r="AT1034" s="51" t="n">
        <f aca="false">IF(LEFT(Cockpit!$I$5,1)="A",H1034,IF(CH1034=1,(CK1034+CI1034)/2,IF(LEFT(Cockpit!$I$5,1)="B",(CK1034+AV1034)/2,MAX((CK1034+AV1034)/2,H1034))))</f>
        <v>38</v>
      </c>
      <c r="AU1034" s="50" t="n">
        <f aca="false">AT1034*G1034</f>
        <v>1662.5</v>
      </c>
      <c r="AV1034" s="50" t="n">
        <f aca="false">ROUNDUP(CK1034+MAX(CL1034,2*(J1034/IF(CG1034&gt;0,CG1034,MAX(0.1,N(Cockpit!$I$6)))-CK1034)),0)</f>
        <v>1</v>
      </c>
      <c r="AW1034" s="51" t="n">
        <f aca="false">IF(AS1034&gt;0,J1034/AS1034,-1)</f>
        <v>0</v>
      </c>
      <c r="AX1034" s="51" t="n">
        <f aca="false">IF(AND(OR(CF1034="L1",CF1034="L23",CF1034="LIFT"),AS1034&gt;0),SUMIFS($AS$7:$AS$1843,$CF$7:$CF$1843,CF1034,$AW$7:$AW$1843,"&gt;"&amp;AW1034)+SUMIFS($AS$7:$AS$1843,$CF$7:$CF$1843,CF1034,$AW$7:$AW$1843,AW1034,$BW$7:$BW$1843,"&lt;="&amp;BW1034),"")</f>
        <v>34743.3232600733</v>
      </c>
      <c r="AY1034" s="58" t="n">
        <f aca="false">IF(AX1034="",0,MAX(0,MIN(1,(IF(CF1034="L1",Parameter!$H$5,IF(CF1034="L23",Parameter!$H$6+Parameter!$H$7,Parameter!$H$5+Parameter!$H$6+Parameter!$H$7))-(AX1034-AS1034))/AS1034)))</f>
        <v>1</v>
      </c>
      <c r="AZ1034" s="50" t="n">
        <f aca="false">IF(LEFT(Cockpit!$O$5,1)="A",H1034,IF(Parameter!$E$30="MAX-Bestand",IF(CH1034=1,CI1034,IF(LEFT(Cockpit!$O$5,1)="B",BF1034,MAX(BF1034,H1034))),ROUNDUP(BD1034,0)))</f>
        <v>1</v>
      </c>
      <c r="BA1034" s="50" t="n">
        <f aca="false">IF(BZ1034=1,0,ROUNDUP(AZ1034/BY1034,0))</f>
        <v>1</v>
      </c>
      <c r="BB1034" s="52" t="n">
        <f aca="false">IF(CQ1034&gt;0,CQ1034*MAX(1,AZ1034/X1034),IF(BZ1034=1,IF(AZ1034&lt;=0,0,CD1034*MAX(1,IF(H1034&gt;0,AZ1034/H1034,1))),IF(R1034&gt;0,BA1034/R1034,0))/MAX(0.1,N(Parameter!$M$21)))</f>
        <v>0.0384615384615385</v>
      </c>
      <c r="BC1034" s="50" t="n">
        <f aca="false">BB1034*CB1034</f>
        <v>5.96153846153846</v>
      </c>
      <c r="BD1034" s="51" t="n">
        <f aca="false">IF(LEFT(Cockpit!$O$5,1)="A",H1034,IF(CH1034=1,(CK1034+CI1034)/2,IF(LEFT(Cockpit!$O$5,1)="B",(CK1034+BF1034)/2,MAX((CK1034+BF1034)/2,H1034))))</f>
        <v>0.5</v>
      </c>
      <c r="BE1034" s="50" t="n">
        <f aca="false">BD1034*G1034</f>
        <v>21.875</v>
      </c>
      <c r="BF1034" s="50" t="n">
        <f aca="false">ROUNDUP(CK1034+MAX(CL1034,2*(J1034/IF(CG1034&gt;0,CG1034,MAX(0.1,N(Cockpit!$O$6)))-CK1034)),0)</f>
        <v>1</v>
      </c>
      <c r="BG1034" s="51" t="n">
        <f aca="false">IF(BC1034&gt;0,J1034/BC1034,-1)</f>
        <v>0</v>
      </c>
      <c r="BH1034" s="51" t="n">
        <f aca="false">IF(AND(OR(CF1034="L1",CF1034="L23",CF1034="LIFT"),BC1034&gt;0),SUMIFS($BC$7:$BC$1843,$CF$7:$CF$1843,CF1034,$BG$7:$BG$1843,"&gt;"&amp;BG1034)+SUMIFS($BC$7:$BC$1843,$CF$7:$CF$1843,CF1034,$BG$7:$BG$1843,BG1034,$BW$7:$BW$1843,"&lt;="&amp;BW1034),"")</f>
        <v>28758.4376125287</v>
      </c>
      <c r="BI1034" s="58" t="n">
        <f aca="false">IF(BH1034="",0,MAX(0,MIN(1,(IF(CF1034="L1",Parameter!$H$5,IF(CF1034="L23",Parameter!$H$6+Parameter!$H$7,Parameter!$H$5+Parameter!$H$6+Parameter!$H$7))-(BH1034-BC1034))/BC1034)))</f>
        <v>1</v>
      </c>
      <c r="BJ1034" s="48" t="str">
        <f aca="false">IF(AI1034&lt;=0,"",IF(CF1034="Aussen","Aussenlager",IF(CF1034="-","Nicht im Lift",IF(AO1034&gt;=1,"Lift",IF(AO1034&lt;=0,"Aussenlager","teilweise")))))</f>
        <v>Lift</v>
      </c>
      <c r="BK1034" s="48" t="str">
        <f aca="false">IF(AS1034&lt;=0,"",IF(CF1034="Aussen","Aussenlager",IF(CF1034="-","Nicht im Lift",IF(AY1034&gt;=1,"Lift",IF(AY1034&lt;=0,"Aussenlager","teilweise")))))</f>
        <v>Lift</v>
      </c>
      <c r="BL1034" s="48" t="str">
        <f aca="false">IF(BC1034&lt;=0,"",IF(CF1034="Aussen","Aussenlager",IF(CF1034="-","Nicht im Lift",IF(BI1034&gt;=1,"Lift",IF(BI1034&lt;=0,"Aussenlager","teilweise")))))</f>
        <v>Lift</v>
      </c>
      <c r="BM1034" s="48" t="str">
        <f aca="false">IF(A1034="","",IF(BV1034=1,"Neu; ","")&amp;IF(AND(BV1034=0,BQ1034&lt;0),"negativer Bestand (Export "&amp;BQ1034&amp;"); ","")&amp;IF(J1034&lt;=0,"Kein Verbrauch; ","")&amp;IF(CQ1034&gt;0,"Lift "&amp;W1034&amp;" lt. Liftbericht (Fach "&amp;X1034&amp;" Stk); ",IF(CA1034=1,"Gebinde geschätzt ("&amp;T1034&amp;"); ",IF(BZ1034=1,"Lose – Tablare geschätzt; ","")))&amp;IF(H1034&gt;AV1034,"Überbestand "&amp;ROUND(H1034-AV1034,0)&amp;" Stk / CHF "&amp;ROUND((H1034-AV1034)*G1034,0)&amp;"; ","")&amp;IF(AND(CH1034=1,CI1034&lt;CJ1034),"MAX &lt; MB+LG; ","")&amp;IF(AND(CP1034&gt;0,CO1034*10&gt;CP1034),"zu hoch für Tablar; ","")&amp;IF(AND(BV1034=0,OR(CH1034=1,AA1034&lt;&gt;"",U1034&lt;&gt;"",V1034&lt;&gt;"",AB1034&lt;&gt;"")),"manuell übersteuert; ","")&amp;IF(AND(BZ1034=0,R1034=0),"Gebinde unbekannt / Stellmass fehlt; ","")&amp;IF(AND(BZ1034=0,N(V1034)&lt;=0,N(Q1034)&lt;=0),"Menge pro Gebinde fehlt (Ist = 1 Gebinde); ","")&amp;BU1034)</f>
        <v>negativer Bestand (Export -3); Kein Verbrauch; Überbestand 37 Stk / CHF 1619; </v>
      </c>
      <c r="BN1034" s="48"/>
      <c r="BO1034" s="48"/>
      <c r="BP1034" s="55"/>
      <c r="BQ1034" s="50" t="n">
        <v>-3</v>
      </c>
      <c r="BR1034" s="50" t="n">
        <v>41</v>
      </c>
      <c r="BS1034" s="49" t="n">
        <v>-131.25</v>
      </c>
      <c r="BT1034" s="50" t="n">
        <v>0</v>
      </c>
      <c r="BU1034" s="48"/>
      <c r="BV1034" s="53" t="n">
        <v>0</v>
      </c>
      <c r="BW1034" s="53" t="n">
        <v>1034</v>
      </c>
      <c r="BX1034" s="48" t="str">
        <f aca="false">IF(U1034&lt;&gt;"",UPPER(TRIM(U1034)),IF(CA1034=1,UPPER(VLOOKUP(T1034,Parameter!$I$27:$K$29,2,0)),IF(P1034="","LOSE",P1034)))</f>
        <v>S51</v>
      </c>
      <c r="BY1034" s="50" t="n">
        <f aca="false">IF(BX1034="LOSE",1,IF(N(V1034)&gt;0,V1034,IF(CA1034=1,MAX(1,N(VLOOKUP(T1034,Parameter!$I$27:$K$29,3,0)),H1034,N(N1034)),IF(N(Q1034)&gt;0,Q1034,MAX(1,H1034)))))</f>
        <v>42</v>
      </c>
      <c r="BZ1034" s="53" t="n">
        <f aca="false">IF(BX1034="LOSE",1,0)</f>
        <v>0</v>
      </c>
      <c r="CA1034" s="53" t="n">
        <f aca="false">IF(AND(U1034="",OR(P1034="",P1034="LOSE"),T1034&lt;&gt;"",N(S1034)&lt;=0,ISNUMBER(MATCH(T1034,Parameter!$I$27:$I$29,0))),1,0)</f>
        <v>0</v>
      </c>
      <c r="CB1034" s="53" t="n">
        <f aca="false">IF(CQ1034&gt;0,INDEX(Parameter!$H$5:$H$7,W1034)/INDEX(Parameter!$E$5:$E$7,W1034),IF(AND(BZ1034=0,N(IFERROR(VLOOKUP(BX1034,'Gebinde-Kategorie'!$A$5:$N$45,14,0),0))&gt;0),VLOOKUP(BX1034,'Gebinde-Kategorie'!$A$5:$N$45,14,0)*10+Parameter!$M$23,Parameter!$M$24))</f>
        <v>155</v>
      </c>
      <c r="CC1034" s="48" t="str">
        <f aca="false">IF(AND(Parameter!$B$19="Ja",E1034&lt;&gt;"",ISNUMBER(MATCH(E1034,Parameter!$I$35:$I$52,0))),VLOOKUP(E1034,Parameter!$I$35:$J$52,2,0),IFERROR(VLOOKUP(D1034,Parameter!$A$35:$C$64,2,0),"Nein"))</f>
        <v>2+3</v>
      </c>
      <c r="CD1034" s="52" t="n">
        <f aca="false">IF(BZ1034=0,0,IF(N(S1034)&gt;0,S1034,IFERROR(VLOOKUP(D1034,Parameter!$A$35:$C$64,3,0)+0,0)))</f>
        <v>0</v>
      </c>
      <c r="CE1034" s="48" t="n">
        <f aca="false">IF(AA1034&lt;&gt;"",AA1034,Z1034)</f>
        <v>3</v>
      </c>
      <c r="CF1034" s="48" t="str">
        <f aca="false">IF(OR(CE1034=1,CE1034=2,CE1034=3),IF(Parameter!$E$27="Ja","LIFT",IF(CE1034=1,"L1","L23")),IF(CE1034="Aussen","Aussen","-"))</f>
        <v>LIFT</v>
      </c>
      <c r="CG1034" s="59" t="n">
        <f aca="false">IF(N(AB1034)&gt;0,AB1034,0)</f>
        <v>0</v>
      </c>
      <c r="CH1034" s="53" t="n">
        <f aca="false">IF(ISNUMBER(AE1034),1,0)</f>
        <v>0</v>
      </c>
      <c r="CI1034" s="50" t="n">
        <f aca="false">N(AE1034)</f>
        <v>0</v>
      </c>
      <c r="CJ1034" s="50" t="n">
        <f aca="false">N(M1034)+N(N1034)</f>
        <v>1</v>
      </c>
      <c r="CK1034" s="50" t="n">
        <f aca="false">N(M1034)</f>
        <v>0</v>
      </c>
      <c r="CL1034" s="50" t="n">
        <f aca="false">N(N1034)</f>
        <v>1</v>
      </c>
      <c r="CM1034" s="50" t="n">
        <f aca="false">ROUNDUP(H1034/BY1034,0)</f>
        <v>1</v>
      </c>
      <c r="CN1034" s="50" t="n">
        <f aca="false">ROUNDUP(CI1034/BY1034,0)</f>
        <v>0</v>
      </c>
      <c r="CO1034" s="53" t="n">
        <f aca="false">IF(BZ1034=1,0,IFERROR(VLOOKUP(BX1034,'Gebinde-Kategorie'!$A$5:$N$45,5,0)+0,0))</f>
        <v>11</v>
      </c>
      <c r="CP1034" s="53" t="n">
        <f aca="false">IFERROR(IF(OR(CE1034=1,CE1034=2,CE1034=3),N(INDEX(Parameter!$I$5:$I$7,CE1034)),0),0)</f>
        <v>0</v>
      </c>
      <c r="CQ1034" s="52" t="n">
        <f aca="false">IF(AND(Parameter!$B$21="Ja",ISNUMBER(W1034),N(X1034)&gt;0),IFERROR(N(INDEX(Parameter!$L$5:$L$7,W1034))*INDEX(Parameter!$E$5:$E$7,W1034)*X1034/SUMIFS($X$7:$X$1843,$W$7:$W$1843,W1034),0),0)</f>
        <v>0</v>
      </c>
    </row>
    <row r="1035" customFormat="false" ht="15" hidden="false" customHeight="false" outlineLevel="0" collapsed="false">
      <c r="A1035" s="48" t="s">
        <v>1910</v>
      </c>
      <c r="B1035" s="48" t="s">
        <v>1911</v>
      </c>
      <c r="C1035" s="48" t="s">
        <v>173</v>
      </c>
      <c r="D1035" s="48" t="s">
        <v>193</v>
      </c>
      <c r="E1035" s="48" t="s">
        <v>194</v>
      </c>
      <c r="F1035" s="48" t="s">
        <v>227</v>
      </c>
      <c r="G1035" s="49" t="n">
        <v>32.82</v>
      </c>
      <c r="H1035" s="50" t="n">
        <f aca="false">MAX(0,IF(AND(Parameter!$B$21="Ja",ISNUMBER(Y1035)),Y1035,IF(Parameter!$B$20="Jahresanfang 2025 + Export",BR1035+BQ1035,BQ1035)))</f>
        <v>44</v>
      </c>
      <c r="I1035" s="50" t="n">
        <f aca="false">H1035*G1035</f>
        <v>1444.08</v>
      </c>
      <c r="J1035" s="50" t="n">
        <f aca="false">BT1035*Parameter!$B$18</f>
        <v>24</v>
      </c>
      <c r="K1035" s="51" t="n">
        <v>46.5</v>
      </c>
      <c r="L1035" s="52" t="n">
        <v>0.516129032258065</v>
      </c>
      <c r="M1035" s="50" t="n">
        <v>1</v>
      </c>
      <c r="N1035" s="50" t="n">
        <v>25</v>
      </c>
      <c r="O1035" s="53" t="n">
        <v>28</v>
      </c>
      <c r="P1035" s="48" t="s">
        <v>311</v>
      </c>
      <c r="Q1035" s="50" t="n">
        <v>30</v>
      </c>
      <c r="R1035" s="53" t="n">
        <f aca="false">IF(BZ1035=1,0,IFERROR(VLOOKUP(BX1035,'Gebinde-Kategorie'!$A$5:$N$45,13,0)+0,0))</f>
        <v>26</v>
      </c>
      <c r="S1035" s="54"/>
      <c r="T1035" s="55"/>
      <c r="U1035" s="55"/>
      <c r="V1035" s="55"/>
      <c r="W1035" s="48"/>
      <c r="X1035" s="50"/>
      <c r="Y1035" s="50"/>
      <c r="Z1035" s="48" t="n">
        <f aca="false">IF(A1035="","",IF(AND(Parameter!$B$21="Ja",ISNUMBER(W1035)),W1035,IF(CC1035="2+3",IF(ISNUMBER(SEARCH("grosser Artikel",BU1035)),2,IFERROR(VLOOKUP(BX1035,Parameter!$F$35:$G$64,2,0),2)),IF(OR(CC1035="Nein",CC1035=""),"-",CC1035))))</f>
        <v>3</v>
      </c>
      <c r="AA1035" s="55"/>
      <c r="AB1035" s="56"/>
      <c r="AC1035" s="50" t="n">
        <f aca="false">AV1035</f>
        <v>26</v>
      </c>
      <c r="AD1035" s="50" t="n">
        <f aca="false">MAX(AV1035,H1035)</f>
        <v>44</v>
      </c>
      <c r="AE1035" s="57"/>
      <c r="AF1035" s="50" t="n">
        <f aca="false">IF(LEFT(Cockpit!$C$5,1)="A",H1035,IF(Parameter!$E$30="MAX-Bestand",IF(CH1035=1,CI1035,IF(LEFT(Cockpit!$C$5,1)="B",AL1035,MAX(AL1035,H1035))),ROUNDUP(AJ1035,0)))</f>
        <v>44</v>
      </c>
      <c r="AG1035" s="50" t="n">
        <f aca="false">IF(BZ1035=1,0,ROUNDUP(AF1035/BY1035,0))</f>
        <v>2</v>
      </c>
      <c r="AH1035" s="52" t="n">
        <f aca="false">IF(CQ1035&gt;0,CQ1035*MAX(1,AF1035/X1035),IF(BZ1035=1,IF(AF1035&lt;=0,0,CD1035*MAX(1,IF(H1035&gt;0,AF1035/H1035,1))),IF(R1035&gt;0,AG1035/R1035,0))/MAX(0.1,N(Parameter!$M$21)))</f>
        <v>0.0769230769230769</v>
      </c>
      <c r="AI1035" s="50" t="n">
        <f aca="false">AH1035*CB1035</f>
        <v>11.9230769230769</v>
      </c>
      <c r="AJ1035" s="51" t="n">
        <f aca="false">IF(LEFT(Cockpit!$C$5,1)="A",H1035,IF(CH1035=1,(CK1035+CI1035)/2,IF(LEFT(Cockpit!$C$5,1)="B",(CK1035+AL1035)/2,MAX((CK1035+AL1035)/2,H1035))))</f>
        <v>44</v>
      </c>
      <c r="AK1035" s="50" t="n">
        <f aca="false">AJ1035*G1035</f>
        <v>1444.08</v>
      </c>
      <c r="AL1035" s="50" t="n">
        <f aca="false">ROUNDUP(CK1035+MAX(CL1035,2*(J1035/IF(CG1035&gt;0,CG1035,MAX(0.1,N(Cockpit!$C$6)))-CK1035)),0)</f>
        <v>26</v>
      </c>
      <c r="AM1035" s="51" t="n">
        <f aca="false">IF(AI1035&gt;0,J1035/AI1035,-1)</f>
        <v>2.01290322580645</v>
      </c>
      <c r="AN1035" s="51" t="n">
        <f aca="false">IF(AND(OR(CF1035="L1",CF1035="L23",CF1035="LIFT"),AI1035&gt;0),SUMIFS($AI$7:$AI$1843,$CF$7:$CF$1843,CF1035,$AM$7:$AM$1843,"&gt;"&amp;AM1035)+SUMIFS($AI$7:$AI$1843,$CF$7:$CF$1843,CF1035,$AM$7:$AM$1843,AM1035,$BW$7:$BW$1843,"&lt;="&amp;BW1035),"")</f>
        <v>5811.7152014652</v>
      </c>
      <c r="AO1035" s="58" t="n">
        <f aca="false">IF(AN1035="",0,MAX(0,MIN(1,(IF(CF1035="L1",Parameter!$H$5,IF(CF1035="L23",Parameter!$H$6+Parameter!$H$7,Parameter!$H$5+Parameter!$H$6+Parameter!$H$7))-(AN1035-AI1035))/AI1035)))</f>
        <v>1</v>
      </c>
      <c r="AP1035" s="50" t="n">
        <f aca="false">IF(LEFT(Cockpit!$I$5,1)="A",H1035,IF(Parameter!$E$30="MAX-Bestand",IF(CH1035=1,CI1035,IF(LEFT(Cockpit!$I$5,1)="B",AV1035,MAX(AV1035,H1035))),ROUNDUP(AT1035,0)))</f>
        <v>44</v>
      </c>
      <c r="AQ1035" s="50" t="n">
        <f aca="false">IF(BZ1035=1,0,ROUNDUP(AP1035/BY1035,0))</f>
        <v>2</v>
      </c>
      <c r="AR1035" s="52" t="n">
        <f aca="false">IF(CQ1035&gt;0,CQ1035*MAX(1,AP1035/X1035),IF(BZ1035=1,IF(AP1035&lt;=0,0,CD1035*MAX(1,IF(H1035&gt;0,AP1035/H1035,1))),IF(R1035&gt;0,AQ1035/R1035,0))/MAX(0.1,N(Parameter!$M$21)))</f>
        <v>0.0769230769230769</v>
      </c>
      <c r="AS1035" s="50" t="n">
        <f aca="false">AR1035*CB1035</f>
        <v>11.9230769230769</v>
      </c>
      <c r="AT1035" s="51" t="n">
        <f aca="false">IF(LEFT(Cockpit!$I$5,1)="A",H1035,IF(CH1035=1,(CK1035+CI1035)/2,IF(LEFT(Cockpit!$I$5,1)="B",(CK1035+AV1035)/2,MAX((CK1035+AV1035)/2,H1035))))</f>
        <v>44</v>
      </c>
      <c r="AU1035" s="50" t="n">
        <f aca="false">AT1035*G1035</f>
        <v>1444.08</v>
      </c>
      <c r="AV1035" s="50" t="n">
        <f aca="false">ROUNDUP(CK1035+MAX(CL1035,2*(J1035/IF(CG1035&gt;0,CG1035,MAX(0.1,N(Cockpit!$I$6)))-CK1035)),0)</f>
        <v>26</v>
      </c>
      <c r="AW1035" s="51" t="n">
        <f aca="false">IF(AS1035&gt;0,J1035/AS1035,-1)</f>
        <v>2.01290322580645</v>
      </c>
      <c r="AX1035" s="51" t="n">
        <f aca="false">IF(AND(OR(CF1035="L1",CF1035="L23",CF1035="LIFT"),AS1035&gt;0),SUMIFS($AS$7:$AS$1843,$CF$7:$CF$1843,CF1035,$AW$7:$AW$1843,"&gt;"&amp;AW1035)+SUMIFS($AS$7:$AS$1843,$CF$7:$CF$1843,CF1035,$AW$7:$AW$1843,AW1035,$BW$7:$BW$1843,"&lt;="&amp;BW1035),"")</f>
        <v>7179.65476190476</v>
      </c>
      <c r="AY1035" s="58" t="n">
        <f aca="false">IF(AX1035="",0,MAX(0,MIN(1,(IF(CF1035="L1",Parameter!$H$5,IF(CF1035="L23",Parameter!$H$6+Parameter!$H$7,Parameter!$H$5+Parameter!$H$6+Parameter!$H$7))-(AX1035-AS1035))/AS1035)))</f>
        <v>1</v>
      </c>
      <c r="AZ1035" s="50" t="n">
        <f aca="false">IF(LEFT(Cockpit!$O$5,1)="A",H1035,IF(Parameter!$E$30="MAX-Bestand",IF(CH1035=1,CI1035,IF(LEFT(Cockpit!$O$5,1)="B",BF1035,MAX(BF1035,H1035))),ROUNDUP(BD1035,0)))</f>
        <v>14</v>
      </c>
      <c r="BA1035" s="50" t="n">
        <f aca="false">IF(BZ1035=1,0,ROUNDUP(AZ1035/BY1035,0))</f>
        <v>1</v>
      </c>
      <c r="BB1035" s="52" t="n">
        <f aca="false">IF(CQ1035&gt;0,CQ1035*MAX(1,AZ1035/X1035),IF(BZ1035=1,IF(AZ1035&lt;=0,0,CD1035*MAX(1,IF(H1035&gt;0,AZ1035/H1035,1))),IF(R1035&gt;0,BA1035/R1035,0))/MAX(0.1,N(Parameter!$M$21)))</f>
        <v>0.0384615384615385</v>
      </c>
      <c r="BC1035" s="50" t="n">
        <f aca="false">BB1035*CB1035</f>
        <v>5.96153846153846</v>
      </c>
      <c r="BD1035" s="51" t="n">
        <f aca="false">IF(LEFT(Cockpit!$O$5,1)="A",H1035,IF(CH1035=1,(CK1035+CI1035)/2,IF(LEFT(Cockpit!$O$5,1)="B",(CK1035+BF1035)/2,MAX((CK1035+BF1035)/2,H1035))))</f>
        <v>13.5</v>
      </c>
      <c r="BE1035" s="50" t="n">
        <f aca="false">BD1035*G1035</f>
        <v>443.07</v>
      </c>
      <c r="BF1035" s="50" t="n">
        <f aca="false">ROUNDUP(CK1035+MAX(CL1035,2*(J1035/IF(CG1035&gt;0,CG1035,MAX(0.1,N(Cockpit!$O$6)))-CK1035)),0)</f>
        <v>26</v>
      </c>
      <c r="BG1035" s="51" t="n">
        <f aca="false">IF(BC1035&gt;0,J1035/BC1035,-1)</f>
        <v>4.0258064516129</v>
      </c>
      <c r="BH1035" s="51" t="n">
        <f aca="false">IF(AND(OR(CF1035="L1",CF1035="L23",CF1035="LIFT"),BC1035&gt;0),SUMIFS($BC$7:$BC$1843,$CF$7:$CF$1843,CF1035,$BG$7:$BG$1843,"&gt;"&amp;BG1035)+SUMIFS($BC$7:$BC$1843,$CF$7:$CF$1843,CF1035,$BG$7:$BG$1843,BG1035,$BW$7:$BW$1843,"&lt;="&amp;BW1035),"")</f>
        <v>4083.76648351648</v>
      </c>
      <c r="BI1035" s="58" t="n">
        <f aca="false">IF(BH1035="",0,MAX(0,MIN(1,(IF(CF1035="L1",Parameter!$H$5,IF(CF1035="L23",Parameter!$H$6+Parameter!$H$7,Parameter!$H$5+Parameter!$H$6+Parameter!$H$7))-(BH1035-BC1035))/BC1035)))</f>
        <v>1</v>
      </c>
      <c r="BJ1035" s="48" t="str">
        <f aca="false">IF(AI1035&lt;=0,"",IF(CF1035="Aussen","Aussenlager",IF(CF1035="-","Nicht im Lift",IF(AO1035&gt;=1,"Lift",IF(AO1035&lt;=0,"Aussenlager","teilweise")))))</f>
        <v>Lift</v>
      </c>
      <c r="BK1035" s="48" t="str">
        <f aca="false">IF(AS1035&lt;=0,"",IF(CF1035="Aussen","Aussenlager",IF(CF1035="-","Nicht im Lift",IF(AY1035&gt;=1,"Lift",IF(AY1035&lt;=0,"Aussenlager","teilweise")))))</f>
        <v>Lift</v>
      </c>
      <c r="BL1035" s="48" t="str">
        <f aca="false">IF(BC1035&lt;=0,"",IF(CF1035="Aussen","Aussenlager",IF(CF1035="-","Nicht im Lift",IF(BI1035&gt;=1,"Lift",IF(BI1035&lt;=0,"Aussenlager","teilweise")))))</f>
        <v>Lift</v>
      </c>
      <c r="BM1035" s="48" t="str">
        <f aca="false">IF(A1035="","",IF(BV1035=1,"Neu; ","")&amp;IF(AND(BV1035=0,BQ1035&lt;0),"negativer Bestand (Export "&amp;BQ1035&amp;"); ","")&amp;IF(J1035&lt;=0,"Kein Verbrauch; ","")&amp;IF(CQ1035&gt;0,"Lift "&amp;W1035&amp;" lt. Liftbericht (Fach "&amp;X1035&amp;" Stk); ",IF(CA1035=1,"Gebinde geschätzt ("&amp;T1035&amp;"); ",IF(BZ1035=1,"Lose – Tablare geschätzt; ","")))&amp;IF(H1035&gt;AV1035,"Überbestand "&amp;ROUND(H1035-AV1035,0)&amp;" Stk / CHF "&amp;ROUND((H1035-AV1035)*G1035,0)&amp;"; ","")&amp;IF(AND(CH1035=1,CI1035&lt;CJ1035),"MAX &lt; MB+LG; ","")&amp;IF(AND(CP1035&gt;0,CO1035*10&gt;CP1035),"zu hoch für Tablar; ","")&amp;IF(AND(BV1035=0,OR(CH1035=1,AA1035&lt;&gt;"",U1035&lt;&gt;"",V1035&lt;&gt;"",AB1035&lt;&gt;"")),"manuell übersteuert; ","")&amp;IF(AND(BZ1035=0,R1035=0),"Gebinde unbekannt / Stellmass fehlt; ","")&amp;IF(AND(BZ1035=0,N(V1035)&lt;=0,N(Q1035)&lt;=0),"Menge pro Gebinde fehlt (Ist = 1 Gebinde); ","")&amp;BU1035)</f>
        <v>negativer Bestand (Export -4); Überbestand 18 Stk / CHF 591; Neu</v>
      </c>
      <c r="BN1035" s="48"/>
      <c r="BO1035" s="48"/>
      <c r="BP1035" s="55"/>
      <c r="BQ1035" s="50" t="n">
        <v>-4</v>
      </c>
      <c r="BR1035" s="50" t="n">
        <v>48</v>
      </c>
      <c r="BS1035" s="49" t="n">
        <v>-131.28</v>
      </c>
      <c r="BT1035" s="50" t="n">
        <v>24</v>
      </c>
      <c r="BU1035" s="48" t="s">
        <v>635</v>
      </c>
      <c r="BV1035" s="53" t="n">
        <v>0</v>
      </c>
      <c r="BW1035" s="53" t="n">
        <v>1035</v>
      </c>
      <c r="BX1035" s="48" t="str">
        <f aca="false">IF(U1035&lt;&gt;"",UPPER(TRIM(U1035)),IF(CA1035=1,UPPER(VLOOKUP(T1035,Parameter!$I$27:$K$29,2,0)),IF(P1035="","LOSE",P1035)))</f>
        <v>S51</v>
      </c>
      <c r="BY1035" s="50" t="n">
        <f aca="false">IF(BX1035="LOSE",1,IF(N(V1035)&gt;0,V1035,IF(CA1035=1,MAX(1,N(VLOOKUP(T1035,Parameter!$I$27:$K$29,3,0)),H1035,N(N1035)),IF(N(Q1035)&gt;0,Q1035,MAX(1,H1035)))))</f>
        <v>30</v>
      </c>
      <c r="BZ1035" s="53" t="n">
        <f aca="false">IF(BX1035="LOSE",1,0)</f>
        <v>0</v>
      </c>
      <c r="CA1035" s="53" t="n">
        <f aca="false">IF(AND(U1035="",OR(P1035="",P1035="LOSE"),T1035&lt;&gt;"",N(S1035)&lt;=0,ISNUMBER(MATCH(T1035,Parameter!$I$27:$I$29,0))),1,0)</f>
        <v>0</v>
      </c>
      <c r="CB1035" s="53" t="n">
        <f aca="false">IF(CQ1035&gt;0,INDEX(Parameter!$H$5:$H$7,W1035)/INDEX(Parameter!$E$5:$E$7,W1035),IF(AND(BZ1035=0,N(IFERROR(VLOOKUP(BX1035,'Gebinde-Kategorie'!$A$5:$N$45,14,0),0))&gt;0),VLOOKUP(BX1035,'Gebinde-Kategorie'!$A$5:$N$45,14,0)*10+Parameter!$M$23,Parameter!$M$24))</f>
        <v>155</v>
      </c>
      <c r="CC1035" s="48" t="str">
        <f aca="false">IF(AND(Parameter!$B$19="Ja",E1035&lt;&gt;"",ISNUMBER(MATCH(E1035,Parameter!$I$35:$I$52,0))),VLOOKUP(E1035,Parameter!$I$35:$J$52,2,0),IFERROR(VLOOKUP(D1035,Parameter!$A$35:$C$64,2,0),"Nein"))</f>
        <v>2+3</v>
      </c>
      <c r="CD1035" s="52" t="n">
        <f aca="false">IF(BZ1035=0,0,IF(N(S1035)&gt;0,S1035,IFERROR(VLOOKUP(D1035,Parameter!$A$35:$C$64,3,0)+0,0)))</f>
        <v>0</v>
      </c>
      <c r="CE1035" s="48" t="n">
        <f aca="false">IF(AA1035&lt;&gt;"",AA1035,Z1035)</f>
        <v>3</v>
      </c>
      <c r="CF1035" s="48" t="str">
        <f aca="false">IF(OR(CE1035=1,CE1035=2,CE1035=3),IF(Parameter!$E$27="Ja","LIFT",IF(CE1035=1,"L1","L23")),IF(CE1035="Aussen","Aussen","-"))</f>
        <v>LIFT</v>
      </c>
      <c r="CG1035" s="59" t="n">
        <f aca="false">IF(N(AB1035)&gt;0,AB1035,0)</f>
        <v>0</v>
      </c>
      <c r="CH1035" s="53" t="n">
        <f aca="false">IF(ISNUMBER(AE1035),1,0)</f>
        <v>0</v>
      </c>
      <c r="CI1035" s="50" t="n">
        <f aca="false">N(AE1035)</f>
        <v>0</v>
      </c>
      <c r="CJ1035" s="50" t="n">
        <f aca="false">N(M1035)+N(N1035)</f>
        <v>26</v>
      </c>
      <c r="CK1035" s="50" t="n">
        <f aca="false">N(M1035)</f>
        <v>1</v>
      </c>
      <c r="CL1035" s="50" t="n">
        <f aca="false">N(N1035)</f>
        <v>25</v>
      </c>
      <c r="CM1035" s="50" t="n">
        <f aca="false">ROUNDUP(H1035/BY1035,0)</f>
        <v>2</v>
      </c>
      <c r="CN1035" s="50" t="n">
        <f aca="false">ROUNDUP(CI1035/BY1035,0)</f>
        <v>0</v>
      </c>
      <c r="CO1035" s="53" t="n">
        <f aca="false">IF(BZ1035=1,0,IFERROR(VLOOKUP(BX1035,'Gebinde-Kategorie'!$A$5:$N$45,5,0)+0,0))</f>
        <v>11</v>
      </c>
      <c r="CP1035" s="53" t="n">
        <f aca="false">IFERROR(IF(OR(CE1035=1,CE1035=2,CE1035=3),N(INDEX(Parameter!$I$5:$I$7,CE1035)),0),0)</f>
        <v>0</v>
      </c>
      <c r="CQ1035" s="52" t="n">
        <f aca="false">IF(AND(Parameter!$B$21="Ja",ISNUMBER(W1035),N(X1035)&gt;0),IFERROR(N(INDEX(Parameter!$L$5:$L$7,W1035))*INDEX(Parameter!$E$5:$E$7,W1035)*X1035/SUMIFS($X$7:$X$1843,$W$7:$W$1843,W1035),0),0)</f>
        <v>0</v>
      </c>
    </row>
    <row r="1036" customFormat="false" ht="15" hidden="false" customHeight="false" outlineLevel="0" collapsed="false">
      <c r="A1036" s="48" t="s">
        <v>1912</v>
      </c>
      <c r="B1036" s="48" t="s">
        <v>1795</v>
      </c>
      <c r="C1036" s="48" t="s">
        <v>173</v>
      </c>
      <c r="D1036" s="48" t="s">
        <v>193</v>
      </c>
      <c r="E1036" s="48" t="s">
        <v>194</v>
      </c>
      <c r="F1036" s="48" t="s">
        <v>227</v>
      </c>
      <c r="G1036" s="49" t="n">
        <v>30.34</v>
      </c>
      <c r="H1036" s="50" t="n">
        <f aca="false">MAX(0,IF(AND(Parameter!$B$21="Ja",ISNUMBER(Y1036)),Y1036,IF(Parameter!$B$20="Jahresanfang 2025 + Export",BR1036+BQ1036,BQ1036)))</f>
        <v>6</v>
      </c>
      <c r="I1036" s="50" t="n">
        <f aca="false">H1036*G1036</f>
        <v>182.04</v>
      </c>
      <c r="J1036" s="50" t="n">
        <f aca="false">BT1036*Parameter!$B$18</f>
        <v>2</v>
      </c>
      <c r="K1036" s="51" t="n">
        <v>9</v>
      </c>
      <c r="L1036" s="52" t="n">
        <v>0.222222222222222</v>
      </c>
      <c r="M1036" s="50" t="n">
        <v>0</v>
      </c>
      <c r="N1036" s="50" t="n">
        <v>1</v>
      </c>
      <c r="O1036" s="53" t="n">
        <v>19</v>
      </c>
      <c r="P1036" s="48" t="s">
        <v>410</v>
      </c>
      <c r="Q1036" s="50" t="n">
        <v>16</v>
      </c>
      <c r="R1036" s="53" t="n">
        <f aca="false">IF(BZ1036=1,0,IFERROR(VLOOKUP(BX1036,'Gebinde-Kategorie'!$A$5:$N$45,13,0)+0,0))</f>
        <v>280</v>
      </c>
      <c r="S1036" s="54"/>
      <c r="T1036" s="55"/>
      <c r="U1036" s="55"/>
      <c r="V1036" s="55"/>
      <c r="W1036" s="48"/>
      <c r="X1036" s="50"/>
      <c r="Y1036" s="50"/>
      <c r="Z1036" s="48" t="n">
        <f aca="false">IF(A1036="","",IF(AND(Parameter!$B$21="Ja",ISNUMBER(W1036)),W1036,IF(CC1036="2+3",IF(ISNUMBER(SEARCH("grosser Artikel",BU1036)),2,IFERROR(VLOOKUP(BX1036,Parameter!$F$35:$G$64,2,0),2)),IF(OR(CC1036="Nein",CC1036=""),"-",CC1036))))</f>
        <v>3</v>
      </c>
      <c r="AA1036" s="55"/>
      <c r="AB1036" s="56"/>
      <c r="AC1036" s="50" t="n">
        <f aca="false">AV1036</f>
        <v>2</v>
      </c>
      <c r="AD1036" s="50" t="n">
        <f aca="false">MAX(AV1036,H1036)</f>
        <v>6</v>
      </c>
      <c r="AE1036" s="57"/>
      <c r="AF1036" s="50" t="n">
        <f aca="false">IF(LEFT(Cockpit!$C$5,1)="A",H1036,IF(Parameter!$E$30="MAX-Bestand",IF(CH1036=1,CI1036,IF(LEFT(Cockpit!$C$5,1)="B",AL1036,MAX(AL1036,H1036))),ROUNDUP(AJ1036,0)))</f>
        <v>6</v>
      </c>
      <c r="AG1036" s="50" t="n">
        <f aca="false">IF(BZ1036=1,0,ROUNDUP(AF1036/BY1036,0))</f>
        <v>1</v>
      </c>
      <c r="AH1036" s="52" t="n">
        <f aca="false">IF(CQ1036&gt;0,CQ1036*MAX(1,AF1036/X1036),IF(BZ1036=1,IF(AF1036&lt;=0,0,CD1036*MAX(1,IF(H1036&gt;0,AF1036/H1036,1))),IF(R1036&gt;0,AG1036/R1036,0))/MAX(0.1,N(Parameter!$M$21)))</f>
        <v>0.00357142857142857</v>
      </c>
      <c r="AI1036" s="50" t="n">
        <f aca="false">AH1036*CB1036</f>
        <v>0.553571428571429</v>
      </c>
      <c r="AJ1036" s="51" t="n">
        <f aca="false">IF(LEFT(Cockpit!$C$5,1)="A",H1036,IF(CH1036=1,(CK1036+CI1036)/2,IF(LEFT(Cockpit!$C$5,1)="B",(CK1036+AL1036)/2,MAX((CK1036+AL1036)/2,H1036))))</f>
        <v>6</v>
      </c>
      <c r="AK1036" s="50" t="n">
        <f aca="false">AJ1036*G1036</f>
        <v>182.04</v>
      </c>
      <c r="AL1036" s="50" t="n">
        <f aca="false">ROUNDUP(CK1036+MAX(CL1036,2*(J1036/IF(CG1036&gt;0,CG1036,MAX(0.1,N(Cockpit!$C$6)))-CK1036)),0)</f>
        <v>2</v>
      </c>
      <c r="AM1036" s="51" t="n">
        <f aca="false">IF(AI1036&gt;0,J1036/AI1036,-1)</f>
        <v>3.61290322580645</v>
      </c>
      <c r="AN1036" s="51" t="n">
        <f aca="false">IF(AND(OR(CF1036="L1",CF1036="L23",CF1036="LIFT"),AI1036&gt;0),SUMIFS($AI$7:$AI$1843,$CF$7:$CF$1843,CF1036,$AM$7:$AM$1843,"&gt;"&amp;AM1036)+SUMIFS($AI$7:$AI$1843,$CF$7:$CF$1843,CF1036,$AM$7:$AM$1843,AM1036,$BW$7:$BW$1843,"&lt;="&amp;BW1036),"")</f>
        <v>4831.74908424908</v>
      </c>
      <c r="AO1036" s="58" t="n">
        <f aca="false">IF(AN1036="",0,MAX(0,MIN(1,(IF(CF1036="L1",Parameter!$H$5,IF(CF1036="L23",Parameter!$H$6+Parameter!$H$7,Parameter!$H$5+Parameter!$H$6+Parameter!$H$7))-(AN1036-AI1036))/AI1036)))</f>
        <v>1</v>
      </c>
      <c r="AP1036" s="50" t="n">
        <f aca="false">IF(LEFT(Cockpit!$I$5,1)="A",H1036,IF(Parameter!$E$30="MAX-Bestand",IF(CH1036=1,CI1036,IF(LEFT(Cockpit!$I$5,1)="B",AV1036,MAX(AV1036,H1036))),ROUNDUP(AT1036,0)))</f>
        <v>6</v>
      </c>
      <c r="AQ1036" s="50" t="n">
        <f aca="false">IF(BZ1036=1,0,ROUNDUP(AP1036/BY1036,0))</f>
        <v>1</v>
      </c>
      <c r="AR1036" s="52" t="n">
        <f aca="false">IF(CQ1036&gt;0,CQ1036*MAX(1,AP1036/X1036),IF(BZ1036=1,IF(AP1036&lt;=0,0,CD1036*MAX(1,IF(H1036&gt;0,AP1036/H1036,1))),IF(R1036&gt;0,AQ1036/R1036,0))/MAX(0.1,N(Parameter!$M$21)))</f>
        <v>0.00357142857142857</v>
      </c>
      <c r="AS1036" s="50" t="n">
        <f aca="false">AR1036*CB1036</f>
        <v>0.553571428571429</v>
      </c>
      <c r="AT1036" s="51" t="n">
        <f aca="false">IF(LEFT(Cockpit!$I$5,1)="A",H1036,IF(CH1036=1,(CK1036+CI1036)/2,IF(LEFT(Cockpit!$I$5,1)="B",(CK1036+AV1036)/2,MAX((CK1036+AV1036)/2,H1036))))</f>
        <v>6</v>
      </c>
      <c r="AU1036" s="50" t="n">
        <f aca="false">AT1036*G1036</f>
        <v>182.04</v>
      </c>
      <c r="AV1036" s="50" t="n">
        <f aca="false">ROUNDUP(CK1036+MAX(CL1036,2*(J1036/IF(CG1036&gt;0,CG1036,MAX(0.1,N(Cockpit!$I$6)))-CK1036)),0)</f>
        <v>2</v>
      </c>
      <c r="AW1036" s="51" t="n">
        <f aca="false">IF(AS1036&gt;0,J1036/AS1036,-1)</f>
        <v>3.61290322580645</v>
      </c>
      <c r="AX1036" s="51" t="n">
        <f aca="false">IF(AND(OR(CF1036="L1",CF1036="L23",CF1036="LIFT"),AS1036&gt;0),SUMIFS($AS$7:$AS$1843,$CF$7:$CF$1843,CF1036,$AW$7:$AW$1843,"&gt;"&amp;AW1036)+SUMIFS($AS$7:$AS$1843,$CF$7:$CF$1843,CF1036,$AW$7:$AW$1843,AW1036,$BW$7:$BW$1843,"&lt;="&amp;BW1036),"")</f>
        <v>5409.33608058608</v>
      </c>
      <c r="AY1036" s="58" t="n">
        <f aca="false">IF(AX1036="",0,MAX(0,MIN(1,(IF(CF1036="L1",Parameter!$H$5,IF(CF1036="L23",Parameter!$H$6+Parameter!$H$7,Parameter!$H$5+Parameter!$H$6+Parameter!$H$7))-(AX1036-AS1036))/AS1036)))</f>
        <v>1</v>
      </c>
      <c r="AZ1036" s="50" t="n">
        <f aca="false">IF(LEFT(Cockpit!$O$5,1)="A",H1036,IF(Parameter!$E$30="MAX-Bestand",IF(CH1036=1,CI1036,IF(LEFT(Cockpit!$O$5,1)="B",BF1036,MAX(BF1036,H1036))),ROUNDUP(BD1036,0)))</f>
        <v>1</v>
      </c>
      <c r="BA1036" s="50" t="n">
        <f aca="false">IF(BZ1036=1,0,ROUNDUP(AZ1036/BY1036,0))</f>
        <v>1</v>
      </c>
      <c r="BB1036" s="52" t="n">
        <f aca="false">IF(CQ1036&gt;0,CQ1036*MAX(1,AZ1036/X1036),IF(BZ1036=1,IF(AZ1036&lt;=0,0,CD1036*MAX(1,IF(H1036&gt;0,AZ1036/H1036,1))),IF(R1036&gt;0,BA1036/R1036,0))/MAX(0.1,N(Parameter!$M$21)))</f>
        <v>0.00357142857142857</v>
      </c>
      <c r="BC1036" s="50" t="n">
        <f aca="false">BB1036*CB1036</f>
        <v>0.553571428571429</v>
      </c>
      <c r="BD1036" s="51" t="n">
        <f aca="false">IF(LEFT(Cockpit!$O$5,1)="A",H1036,IF(CH1036=1,(CK1036+CI1036)/2,IF(LEFT(Cockpit!$O$5,1)="B",(CK1036+BF1036)/2,MAX((CK1036+BF1036)/2,H1036))))</f>
        <v>0.5</v>
      </c>
      <c r="BE1036" s="50" t="n">
        <f aca="false">BD1036*G1036</f>
        <v>15.17</v>
      </c>
      <c r="BF1036" s="50" t="n">
        <f aca="false">ROUNDUP(CK1036+MAX(CL1036,2*(J1036/IF(CG1036&gt;0,CG1036,MAX(0.1,N(Cockpit!$O$6)))-CK1036)),0)</f>
        <v>1</v>
      </c>
      <c r="BG1036" s="51" t="n">
        <f aca="false">IF(BC1036&gt;0,J1036/BC1036,-1)</f>
        <v>3.61290322580645</v>
      </c>
      <c r="BH1036" s="51" t="n">
        <f aca="false">IF(AND(OR(CF1036="L1",CF1036="L23",CF1036="LIFT"),BC1036&gt;0),SUMIFS($BC$7:$BC$1843,$CF$7:$CF$1843,CF1036,$BG$7:$BG$1843,"&gt;"&amp;BG1036)+SUMIFS($BC$7:$BC$1843,$CF$7:$CF$1843,CF1036,$BG$7:$BG$1843,BG1036,$BW$7:$BW$1843,"&lt;="&amp;BW1036),"")</f>
        <v>4423.83287545788</v>
      </c>
      <c r="BI1036" s="58" t="n">
        <f aca="false">IF(BH1036="",0,MAX(0,MIN(1,(IF(CF1036="L1",Parameter!$H$5,IF(CF1036="L23",Parameter!$H$6+Parameter!$H$7,Parameter!$H$5+Parameter!$H$6+Parameter!$H$7))-(BH1036-BC1036))/BC1036)))</f>
        <v>1</v>
      </c>
      <c r="BJ1036" s="48" t="str">
        <f aca="false">IF(AI1036&lt;=0,"",IF(CF1036="Aussen","Aussenlager",IF(CF1036="-","Nicht im Lift",IF(AO1036&gt;=1,"Lift",IF(AO1036&lt;=0,"Aussenlager","teilweise")))))</f>
        <v>Lift</v>
      </c>
      <c r="BK1036" s="48" t="str">
        <f aca="false">IF(AS1036&lt;=0,"",IF(CF1036="Aussen","Aussenlager",IF(CF1036="-","Nicht im Lift",IF(AY1036&gt;=1,"Lift",IF(AY1036&lt;=0,"Aussenlager","teilweise")))))</f>
        <v>Lift</v>
      </c>
      <c r="BL1036" s="48" t="str">
        <f aca="false">IF(BC1036&lt;=0,"",IF(CF1036="Aussen","Aussenlager",IF(CF1036="-","Nicht im Lift",IF(BI1036&gt;=1,"Lift",IF(BI1036&lt;=0,"Aussenlager","teilweise")))))</f>
        <v>Lift</v>
      </c>
      <c r="BM1036" s="48" t="str">
        <f aca="false">IF(A1036="","",IF(BV1036=1,"Neu; ","")&amp;IF(AND(BV1036=0,BQ1036&lt;0),"negativer Bestand (Export "&amp;BQ1036&amp;"); ","")&amp;IF(J1036&lt;=0,"Kein Verbrauch; ","")&amp;IF(CQ1036&gt;0,"Lift "&amp;W1036&amp;" lt. Liftbericht (Fach "&amp;X1036&amp;" Stk); ",IF(CA1036=1,"Gebinde geschätzt ("&amp;T1036&amp;"); ",IF(BZ1036=1,"Lose – Tablare geschätzt; ","")))&amp;IF(H1036&gt;AV1036,"Überbestand "&amp;ROUND(H1036-AV1036,0)&amp;" Stk / CHF "&amp;ROUND((H1036-AV1036)*G1036,0)&amp;"; ","")&amp;IF(AND(CH1036=1,CI1036&lt;CJ1036),"MAX &lt; MB+LG; ","")&amp;IF(AND(CP1036&gt;0,CO1036*10&gt;CP1036),"zu hoch für Tablar; ","")&amp;IF(AND(BV1036=0,OR(CH1036=1,AA1036&lt;&gt;"",U1036&lt;&gt;"",V1036&lt;&gt;"",AB1036&lt;&gt;"")),"manuell übersteuert; ","")&amp;IF(AND(BZ1036=0,R1036=0),"Gebinde unbekannt / Stellmass fehlt; ","")&amp;IF(AND(BZ1036=0,N(V1036)&lt;=0,N(Q1036)&lt;=0),"Menge pro Gebinde fehlt (Ist = 1 Gebinde); ","")&amp;BU1036)</f>
        <v>negativer Bestand (Export -4); Überbestand 4 Stk / CHF 121; Überbestand</v>
      </c>
      <c r="BN1036" s="48"/>
      <c r="BO1036" s="48"/>
      <c r="BP1036" s="55"/>
      <c r="BQ1036" s="50" t="n">
        <v>-4</v>
      </c>
      <c r="BR1036" s="50" t="n">
        <v>10</v>
      </c>
      <c r="BS1036" s="49" t="n">
        <v>-131.66</v>
      </c>
      <c r="BT1036" s="50" t="n">
        <v>2</v>
      </c>
      <c r="BU1036" s="48" t="s">
        <v>401</v>
      </c>
      <c r="BV1036" s="53" t="n">
        <v>0</v>
      </c>
      <c r="BW1036" s="53" t="n">
        <v>1036</v>
      </c>
      <c r="BX1036" s="48" t="str">
        <f aca="false">IF(U1036&lt;&gt;"",UPPER(TRIM(U1036)),IF(CA1036=1,UPPER(VLOOKUP(T1036,Parameter!$I$27:$K$29,2,0)),IF(P1036="","LOSE",P1036)))</f>
        <v>S21</v>
      </c>
      <c r="BY1036" s="50" t="n">
        <f aca="false">IF(BX1036="LOSE",1,IF(N(V1036)&gt;0,V1036,IF(CA1036=1,MAX(1,N(VLOOKUP(T1036,Parameter!$I$27:$K$29,3,0)),H1036,N(N1036)),IF(N(Q1036)&gt;0,Q1036,MAX(1,H1036)))))</f>
        <v>16</v>
      </c>
      <c r="BZ1036" s="53" t="n">
        <f aca="false">IF(BX1036="LOSE",1,0)</f>
        <v>0</v>
      </c>
      <c r="CA1036" s="53" t="n">
        <f aca="false">IF(AND(U1036="",OR(P1036="",P1036="LOSE"),T1036&lt;&gt;"",N(S1036)&lt;=0,ISNUMBER(MATCH(T1036,Parameter!$I$27:$I$29,0))),1,0)</f>
        <v>0</v>
      </c>
      <c r="CB1036" s="53" t="n">
        <f aca="false">IF(CQ1036&gt;0,INDEX(Parameter!$H$5:$H$7,W1036)/INDEX(Parameter!$E$5:$E$7,W1036),IF(AND(BZ1036=0,N(IFERROR(VLOOKUP(BX1036,'Gebinde-Kategorie'!$A$5:$N$45,14,0),0))&gt;0),VLOOKUP(BX1036,'Gebinde-Kategorie'!$A$5:$N$45,14,0)*10+Parameter!$M$23,Parameter!$M$24))</f>
        <v>155</v>
      </c>
      <c r="CC1036" s="48" t="str">
        <f aca="false">IF(AND(Parameter!$B$19="Ja",E1036&lt;&gt;"",ISNUMBER(MATCH(E1036,Parameter!$I$35:$I$52,0))),VLOOKUP(E1036,Parameter!$I$35:$J$52,2,0),IFERROR(VLOOKUP(D1036,Parameter!$A$35:$C$64,2,0),"Nein"))</f>
        <v>2+3</v>
      </c>
      <c r="CD1036" s="52" t="n">
        <f aca="false">IF(BZ1036=0,0,IF(N(S1036)&gt;0,S1036,IFERROR(VLOOKUP(D1036,Parameter!$A$35:$C$64,3,0)+0,0)))</f>
        <v>0</v>
      </c>
      <c r="CE1036" s="48" t="n">
        <f aca="false">IF(AA1036&lt;&gt;"",AA1036,Z1036)</f>
        <v>3</v>
      </c>
      <c r="CF1036" s="48" t="str">
        <f aca="false">IF(OR(CE1036=1,CE1036=2,CE1036=3),IF(Parameter!$E$27="Ja","LIFT",IF(CE1036=1,"L1","L23")),IF(CE1036="Aussen","Aussen","-"))</f>
        <v>LIFT</v>
      </c>
      <c r="CG1036" s="59" t="n">
        <f aca="false">IF(N(AB1036)&gt;0,AB1036,0)</f>
        <v>0</v>
      </c>
      <c r="CH1036" s="53" t="n">
        <f aca="false">IF(ISNUMBER(AE1036),1,0)</f>
        <v>0</v>
      </c>
      <c r="CI1036" s="50" t="n">
        <f aca="false">N(AE1036)</f>
        <v>0</v>
      </c>
      <c r="CJ1036" s="50" t="n">
        <f aca="false">N(M1036)+N(N1036)</f>
        <v>1</v>
      </c>
      <c r="CK1036" s="50" t="n">
        <f aca="false">N(M1036)</f>
        <v>0</v>
      </c>
      <c r="CL1036" s="50" t="n">
        <f aca="false">N(N1036)</f>
        <v>1</v>
      </c>
      <c r="CM1036" s="50" t="n">
        <f aca="false">ROUNDUP(H1036/BY1036,0)</f>
        <v>1</v>
      </c>
      <c r="CN1036" s="50" t="n">
        <f aca="false">ROUNDUP(CI1036/BY1036,0)</f>
        <v>0</v>
      </c>
      <c r="CO1036" s="53" t="n">
        <f aca="false">IF(BZ1036=1,0,IFERROR(VLOOKUP(BX1036,'Gebinde-Kategorie'!$A$5:$N$45,5,0)+0,0))</f>
        <v>8</v>
      </c>
      <c r="CP1036" s="53" t="n">
        <f aca="false">IFERROR(IF(OR(CE1036=1,CE1036=2,CE1036=3),N(INDEX(Parameter!$I$5:$I$7,CE1036)),0),0)</f>
        <v>0</v>
      </c>
      <c r="CQ1036" s="52" t="n">
        <f aca="false">IF(AND(Parameter!$B$21="Ja",ISNUMBER(W1036),N(X1036)&gt;0),IFERROR(N(INDEX(Parameter!$L$5:$L$7,W1036))*INDEX(Parameter!$E$5:$E$7,W1036)*X1036/SUMIFS($X$7:$X$1843,$W$7:$W$1843,W1036),0),0)</f>
        <v>0</v>
      </c>
    </row>
    <row r="1037" customFormat="false" ht="15" hidden="false" customHeight="false" outlineLevel="0" collapsed="false">
      <c r="A1037" s="48" t="s">
        <v>1913</v>
      </c>
      <c r="B1037" s="48" t="s">
        <v>1877</v>
      </c>
      <c r="C1037" s="48" t="s">
        <v>173</v>
      </c>
      <c r="D1037" s="48" t="s">
        <v>193</v>
      </c>
      <c r="E1037" s="48" t="s">
        <v>194</v>
      </c>
      <c r="F1037" s="48" t="s">
        <v>227</v>
      </c>
      <c r="G1037" s="49" t="n">
        <v>133.49</v>
      </c>
      <c r="H1037" s="50" t="n">
        <f aca="false">MAX(0,IF(AND(Parameter!$B$21="Ja",ISNUMBER(Y1037)),Y1037,IF(Parameter!$B$20="Jahresanfang 2025 + Export",BR1037+BQ1037,BQ1037)))</f>
        <v>21</v>
      </c>
      <c r="I1037" s="50" t="n">
        <f aca="false">H1037*G1037</f>
        <v>2803.29</v>
      </c>
      <c r="J1037" s="50" t="n">
        <f aca="false">BT1037*Parameter!$B$18</f>
        <v>0</v>
      </c>
      <c r="K1037" s="51" t="n">
        <v>21.5</v>
      </c>
      <c r="L1037" s="52" t="n">
        <v>0</v>
      </c>
      <c r="M1037" s="50" t="n">
        <v>0</v>
      </c>
      <c r="N1037" s="50" t="n">
        <v>1</v>
      </c>
      <c r="O1037" s="53" t="n">
        <v>56</v>
      </c>
      <c r="P1037" s="48" t="s">
        <v>311</v>
      </c>
      <c r="Q1037" s="50" t="n">
        <v>6</v>
      </c>
      <c r="R1037" s="53" t="n">
        <f aca="false">IF(BZ1037=1,0,IFERROR(VLOOKUP(BX1037,'Gebinde-Kategorie'!$A$5:$N$45,13,0)+0,0))</f>
        <v>26</v>
      </c>
      <c r="S1037" s="54"/>
      <c r="T1037" s="55"/>
      <c r="U1037" s="55"/>
      <c r="V1037" s="55"/>
      <c r="W1037" s="48"/>
      <c r="X1037" s="50"/>
      <c r="Y1037" s="50"/>
      <c r="Z1037" s="48" t="n">
        <f aca="false">IF(A1037="","",IF(AND(Parameter!$B$21="Ja",ISNUMBER(W1037)),W1037,IF(CC1037="2+3",IF(ISNUMBER(SEARCH("grosser Artikel",BU1037)),2,IFERROR(VLOOKUP(BX1037,Parameter!$F$35:$G$64,2,0),2)),IF(OR(CC1037="Nein",CC1037=""),"-",CC1037))))</f>
        <v>3</v>
      </c>
      <c r="AA1037" s="55"/>
      <c r="AB1037" s="56"/>
      <c r="AC1037" s="50" t="n">
        <f aca="false">AV1037</f>
        <v>1</v>
      </c>
      <c r="AD1037" s="50" t="n">
        <f aca="false">MAX(AV1037,H1037)</f>
        <v>21</v>
      </c>
      <c r="AE1037" s="57"/>
      <c r="AF1037" s="50" t="n">
        <f aca="false">IF(LEFT(Cockpit!$C$5,1)="A",H1037,IF(Parameter!$E$30="MAX-Bestand",IF(CH1037=1,CI1037,IF(LEFT(Cockpit!$C$5,1)="B",AL1037,MAX(AL1037,H1037))),ROUNDUP(AJ1037,0)))</f>
        <v>21</v>
      </c>
      <c r="AG1037" s="50" t="n">
        <f aca="false">IF(BZ1037=1,0,ROUNDUP(AF1037/BY1037,0))</f>
        <v>4</v>
      </c>
      <c r="AH1037" s="52" t="n">
        <f aca="false">IF(CQ1037&gt;0,CQ1037*MAX(1,AF1037/X1037),IF(BZ1037=1,IF(AF1037&lt;=0,0,CD1037*MAX(1,IF(H1037&gt;0,AF1037/H1037,1))),IF(R1037&gt;0,AG1037/R1037,0))/MAX(0.1,N(Parameter!$M$21)))</f>
        <v>0.153846153846154</v>
      </c>
      <c r="AI1037" s="50" t="n">
        <f aca="false">AH1037*CB1037</f>
        <v>23.8461538461538</v>
      </c>
      <c r="AJ1037" s="51" t="n">
        <f aca="false">IF(LEFT(Cockpit!$C$5,1)="A",H1037,IF(CH1037=1,(CK1037+CI1037)/2,IF(LEFT(Cockpit!$C$5,1)="B",(CK1037+AL1037)/2,MAX((CK1037+AL1037)/2,H1037))))</f>
        <v>21</v>
      </c>
      <c r="AK1037" s="50" t="n">
        <f aca="false">AJ1037*G1037</f>
        <v>2803.29</v>
      </c>
      <c r="AL1037" s="50" t="n">
        <f aca="false">ROUNDUP(CK1037+MAX(CL1037,2*(J1037/IF(CG1037&gt;0,CG1037,MAX(0.1,N(Cockpit!$C$6)))-CK1037)),0)</f>
        <v>1</v>
      </c>
      <c r="AM1037" s="51" t="n">
        <f aca="false">IF(AI1037&gt;0,J1037/AI1037,-1)</f>
        <v>0</v>
      </c>
      <c r="AN1037" s="51" t="n">
        <f aca="false">IF(AND(OR(CF1037="L1",CF1037="L23",CF1037="LIFT"),AI1037&gt;0),SUMIFS($AI$7:$AI$1843,$CF$7:$CF$1843,CF1037,$AM$7:$AM$1843,"&gt;"&amp;AM1037)+SUMIFS($AI$7:$AI$1843,$CF$7:$CF$1843,CF1037,$AM$7:$AM$1843,AM1037,$BW$7:$BW$1843,"&lt;="&amp;BW1037),"")</f>
        <v>29066.2877139339</v>
      </c>
      <c r="AO1037" s="58" t="n">
        <f aca="false">IF(AN1037="",0,MAX(0,MIN(1,(IF(CF1037="L1",Parameter!$H$5,IF(CF1037="L23",Parameter!$H$6+Parameter!$H$7,Parameter!$H$5+Parameter!$H$6+Parameter!$H$7))-(AN1037-AI1037))/AI1037)))</f>
        <v>1</v>
      </c>
      <c r="AP1037" s="50" t="n">
        <f aca="false">IF(LEFT(Cockpit!$I$5,1)="A",H1037,IF(Parameter!$E$30="MAX-Bestand",IF(CH1037=1,CI1037,IF(LEFT(Cockpit!$I$5,1)="B",AV1037,MAX(AV1037,H1037))),ROUNDUP(AT1037,0)))</f>
        <v>21</v>
      </c>
      <c r="AQ1037" s="50" t="n">
        <f aca="false">IF(BZ1037=1,0,ROUNDUP(AP1037/BY1037,0))</f>
        <v>4</v>
      </c>
      <c r="AR1037" s="52" t="n">
        <f aca="false">IF(CQ1037&gt;0,CQ1037*MAX(1,AP1037/X1037),IF(BZ1037=1,IF(AP1037&lt;=0,0,CD1037*MAX(1,IF(H1037&gt;0,AP1037/H1037,1))),IF(R1037&gt;0,AQ1037/R1037,0))/MAX(0.1,N(Parameter!$M$21)))</f>
        <v>0.153846153846154</v>
      </c>
      <c r="AS1037" s="50" t="n">
        <f aca="false">AR1037*CB1037</f>
        <v>23.8461538461538</v>
      </c>
      <c r="AT1037" s="51" t="n">
        <f aca="false">IF(LEFT(Cockpit!$I$5,1)="A",H1037,IF(CH1037=1,(CK1037+CI1037)/2,IF(LEFT(Cockpit!$I$5,1)="B",(CK1037+AV1037)/2,MAX((CK1037+AV1037)/2,H1037))))</f>
        <v>21</v>
      </c>
      <c r="AU1037" s="50" t="n">
        <f aca="false">AT1037*G1037</f>
        <v>2803.29</v>
      </c>
      <c r="AV1037" s="50" t="n">
        <f aca="false">ROUNDUP(CK1037+MAX(CL1037,2*(J1037/IF(CG1037&gt;0,CG1037,MAX(0.1,N(Cockpit!$I$6)))-CK1037)),0)</f>
        <v>1</v>
      </c>
      <c r="AW1037" s="51" t="n">
        <f aca="false">IF(AS1037&gt;0,J1037/AS1037,-1)</f>
        <v>0</v>
      </c>
      <c r="AX1037" s="51" t="n">
        <f aca="false">IF(AND(OR(CF1037="L1",CF1037="L23",CF1037="LIFT"),AS1037&gt;0),SUMIFS($AS$7:$AS$1843,$CF$7:$CF$1843,CF1037,$AW$7:$AW$1843,"&gt;"&amp;AW1037)+SUMIFS($AS$7:$AS$1843,$CF$7:$CF$1843,CF1037,$AW$7:$AW$1843,AW1037,$BW$7:$BW$1843,"&lt;="&amp;BW1037),"")</f>
        <v>34767.1694139194</v>
      </c>
      <c r="AY1037" s="58" t="n">
        <f aca="false">IF(AX1037="",0,MAX(0,MIN(1,(IF(CF1037="L1",Parameter!$H$5,IF(CF1037="L23",Parameter!$H$6+Parameter!$H$7,Parameter!$H$5+Parameter!$H$6+Parameter!$H$7))-(AX1037-AS1037))/AS1037)))</f>
        <v>1</v>
      </c>
      <c r="AZ1037" s="50" t="n">
        <f aca="false">IF(LEFT(Cockpit!$O$5,1)="A",H1037,IF(Parameter!$E$30="MAX-Bestand",IF(CH1037=1,CI1037,IF(LEFT(Cockpit!$O$5,1)="B",BF1037,MAX(BF1037,H1037))),ROUNDUP(BD1037,0)))</f>
        <v>1</v>
      </c>
      <c r="BA1037" s="50" t="n">
        <f aca="false">IF(BZ1037=1,0,ROUNDUP(AZ1037/BY1037,0))</f>
        <v>1</v>
      </c>
      <c r="BB1037" s="52" t="n">
        <f aca="false">IF(CQ1037&gt;0,CQ1037*MAX(1,AZ1037/X1037),IF(BZ1037=1,IF(AZ1037&lt;=0,0,CD1037*MAX(1,IF(H1037&gt;0,AZ1037/H1037,1))),IF(R1037&gt;0,BA1037/R1037,0))/MAX(0.1,N(Parameter!$M$21)))</f>
        <v>0.0384615384615385</v>
      </c>
      <c r="BC1037" s="50" t="n">
        <f aca="false">BB1037*CB1037</f>
        <v>5.96153846153846</v>
      </c>
      <c r="BD1037" s="51" t="n">
        <f aca="false">IF(LEFT(Cockpit!$O$5,1)="A",H1037,IF(CH1037=1,(CK1037+CI1037)/2,IF(LEFT(Cockpit!$O$5,1)="B",(CK1037+BF1037)/2,MAX((CK1037+BF1037)/2,H1037))))</f>
        <v>0.5</v>
      </c>
      <c r="BE1037" s="50" t="n">
        <f aca="false">BD1037*G1037</f>
        <v>66.745</v>
      </c>
      <c r="BF1037" s="50" t="n">
        <f aca="false">ROUNDUP(CK1037+MAX(CL1037,2*(J1037/IF(CG1037&gt;0,CG1037,MAX(0.1,N(Cockpit!$O$6)))-CK1037)),0)</f>
        <v>1</v>
      </c>
      <c r="BG1037" s="51" t="n">
        <f aca="false">IF(BC1037&gt;0,J1037/BC1037,-1)</f>
        <v>0</v>
      </c>
      <c r="BH1037" s="51" t="n">
        <f aca="false">IF(AND(OR(CF1037="L1",CF1037="L23",CF1037="LIFT"),BC1037&gt;0),SUMIFS($BC$7:$BC$1843,$CF$7:$CF$1843,CF1037,$BG$7:$BG$1843,"&gt;"&amp;BG1037)+SUMIFS($BC$7:$BC$1843,$CF$7:$CF$1843,CF1037,$BG$7:$BG$1843,BG1037,$BW$7:$BW$1843,"&lt;="&amp;BW1037),"")</f>
        <v>28764.3991509903</v>
      </c>
      <c r="BI1037" s="58" t="n">
        <f aca="false">IF(BH1037="",0,MAX(0,MIN(1,(IF(CF1037="L1",Parameter!$H$5,IF(CF1037="L23",Parameter!$H$6+Parameter!$H$7,Parameter!$H$5+Parameter!$H$6+Parameter!$H$7))-(BH1037-BC1037))/BC1037)))</f>
        <v>1</v>
      </c>
      <c r="BJ1037" s="48" t="str">
        <f aca="false">IF(AI1037&lt;=0,"",IF(CF1037="Aussen","Aussenlager",IF(CF1037="-","Nicht im Lift",IF(AO1037&gt;=1,"Lift",IF(AO1037&lt;=0,"Aussenlager","teilweise")))))</f>
        <v>Lift</v>
      </c>
      <c r="BK1037" s="48" t="str">
        <f aca="false">IF(AS1037&lt;=0,"",IF(CF1037="Aussen","Aussenlager",IF(CF1037="-","Nicht im Lift",IF(AY1037&gt;=1,"Lift",IF(AY1037&lt;=0,"Aussenlager","teilweise")))))</f>
        <v>Lift</v>
      </c>
      <c r="BL1037" s="48" t="str">
        <f aca="false">IF(BC1037&lt;=0,"",IF(CF1037="Aussen","Aussenlager",IF(CF1037="-","Nicht im Lift",IF(BI1037&gt;=1,"Lift",IF(BI1037&lt;=0,"Aussenlager","teilweise")))))</f>
        <v>Lift</v>
      </c>
      <c r="BM1037" s="48" t="str">
        <f aca="false">IF(A1037="","",IF(BV1037=1,"Neu; ","")&amp;IF(AND(BV1037=0,BQ1037&lt;0),"negativer Bestand (Export "&amp;BQ1037&amp;"); ","")&amp;IF(J1037&lt;=0,"Kein Verbrauch; ","")&amp;IF(CQ1037&gt;0,"Lift "&amp;W1037&amp;" lt. Liftbericht (Fach "&amp;X1037&amp;" Stk); ",IF(CA1037=1,"Gebinde geschätzt ("&amp;T1037&amp;"); ",IF(BZ1037=1,"Lose – Tablare geschätzt; ","")))&amp;IF(H1037&gt;AV1037,"Überbestand "&amp;ROUND(H1037-AV1037,0)&amp;" Stk / CHF "&amp;ROUND((H1037-AV1037)*G1037,0)&amp;"; ","")&amp;IF(AND(CH1037=1,CI1037&lt;CJ1037),"MAX &lt; MB+LG; ","")&amp;IF(AND(CP1037&gt;0,CO1037*10&gt;CP1037),"zu hoch für Tablar; ","")&amp;IF(AND(BV1037=0,OR(CH1037=1,AA1037&lt;&gt;"",U1037&lt;&gt;"",V1037&lt;&gt;"",AB1037&lt;&gt;"")),"manuell übersteuert; ","")&amp;IF(AND(BZ1037=0,R1037=0),"Gebinde unbekannt / Stellmass fehlt; ","")&amp;IF(AND(BZ1037=0,N(V1037)&lt;=0,N(Q1037)&lt;=0),"Menge pro Gebinde fehlt (Ist = 1 Gebinde); ","")&amp;BU1037)</f>
        <v>negativer Bestand (Export -1); Kein Verbrauch; Überbestand 20 Stk / CHF 2670; </v>
      </c>
      <c r="BN1037" s="48"/>
      <c r="BO1037" s="48"/>
      <c r="BP1037" s="55"/>
      <c r="BQ1037" s="50" t="n">
        <v>-1</v>
      </c>
      <c r="BR1037" s="50" t="n">
        <v>22</v>
      </c>
      <c r="BS1037" s="49" t="n">
        <v>-133.49</v>
      </c>
      <c r="BT1037" s="50" t="n">
        <v>0</v>
      </c>
      <c r="BU1037" s="48"/>
      <c r="BV1037" s="53" t="n">
        <v>0</v>
      </c>
      <c r="BW1037" s="53" t="n">
        <v>1037</v>
      </c>
      <c r="BX1037" s="48" t="str">
        <f aca="false">IF(U1037&lt;&gt;"",UPPER(TRIM(U1037)),IF(CA1037=1,UPPER(VLOOKUP(T1037,Parameter!$I$27:$K$29,2,0)),IF(P1037="","LOSE",P1037)))</f>
        <v>S51</v>
      </c>
      <c r="BY1037" s="50" t="n">
        <f aca="false">IF(BX1037="LOSE",1,IF(N(V1037)&gt;0,V1037,IF(CA1037=1,MAX(1,N(VLOOKUP(T1037,Parameter!$I$27:$K$29,3,0)),H1037,N(N1037)),IF(N(Q1037)&gt;0,Q1037,MAX(1,H1037)))))</f>
        <v>6</v>
      </c>
      <c r="BZ1037" s="53" t="n">
        <f aca="false">IF(BX1037="LOSE",1,0)</f>
        <v>0</v>
      </c>
      <c r="CA1037" s="53" t="n">
        <f aca="false">IF(AND(U1037="",OR(P1037="",P1037="LOSE"),T1037&lt;&gt;"",N(S1037)&lt;=0,ISNUMBER(MATCH(T1037,Parameter!$I$27:$I$29,0))),1,0)</f>
        <v>0</v>
      </c>
      <c r="CB1037" s="53" t="n">
        <f aca="false">IF(CQ1037&gt;0,INDEX(Parameter!$H$5:$H$7,W1037)/INDEX(Parameter!$E$5:$E$7,W1037),IF(AND(BZ1037=0,N(IFERROR(VLOOKUP(BX1037,'Gebinde-Kategorie'!$A$5:$N$45,14,0),0))&gt;0),VLOOKUP(BX1037,'Gebinde-Kategorie'!$A$5:$N$45,14,0)*10+Parameter!$M$23,Parameter!$M$24))</f>
        <v>155</v>
      </c>
      <c r="CC1037" s="48" t="str">
        <f aca="false">IF(AND(Parameter!$B$19="Ja",E1037&lt;&gt;"",ISNUMBER(MATCH(E1037,Parameter!$I$35:$I$52,0))),VLOOKUP(E1037,Parameter!$I$35:$J$52,2,0),IFERROR(VLOOKUP(D1037,Parameter!$A$35:$C$64,2,0),"Nein"))</f>
        <v>2+3</v>
      </c>
      <c r="CD1037" s="52" t="n">
        <f aca="false">IF(BZ1037=0,0,IF(N(S1037)&gt;0,S1037,IFERROR(VLOOKUP(D1037,Parameter!$A$35:$C$64,3,0)+0,0)))</f>
        <v>0</v>
      </c>
      <c r="CE1037" s="48" t="n">
        <f aca="false">IF(AA1037&lt;&gt;"",AA1037,Z1037)</f>
        <v>3</v>
      </c>
      <c r="CF1037" s="48" t="str">
        <f aca="false">IF(OR(CE1037=1,CE1037=2,CE1037=3),IF(Parameter!$E$27="Ja","LIFT",IF(CE1037=1,"L1","L23")),IF(CE1037="Aussen","Aussen","-"))</f>
        <v>LIFT</v>
      </c>
      <c r="CG1037" s="59" t="n">
        <f aca="false">IF(N(AB1037)&gt;0,AB1037,0)</f>
        <v>0</v>
      </c>
      <c r="CH1037" s="53" t="n">
        <f aca="false">IF(ISNUMBER(AE1037),1,0)</f>
        <v>0</v>
      </c>
      <c r="CI1037" s="50" t="n">
        <f aca="false">N(AE1037)</f>
        <v>0</v>
      </c>
      <c r="CJ1037" s="50" t="n">
        <f aca="false">N(M1037)+N(N1037)</f>
        <v>1</v>
      </c>
      <c r="CK1037" s="50" t="n">
        <f aca="false">N(M1037)</f>
        <v>0</v>
      </c>
      <c r="CL1037" s="50" t="n">
        <f aca="false">N(N1037)</f>
        <v>1</v>
      </c>
      <c r="CM1037" s="50" t="n">
        <f aca="false">ROUNDUP(H1037/BY1037,0)</f>
        <v>4</v>
      </c>
      <c r="CN1037" s="50" t="n">
        <f aca="false">ROUNDUP(CI1037/BY1037,0)</f>
        <v>0</v>
      </c>
      <c r="CO1037" s="53" t="n">
        <f aca="false">IF(BZ1037=1,0,IFERROR(VLOOKUP(BX1037,'Gebinde-Kategorie'!$A$5:$N$45,5,0)+0,0))</f>
        <v>11</v>
      </c>
      <c r="CP1037" s="53" t="n">
        <f aca="false">IFERROR(IF(OR(CE1037=1,CE1037=2,CE1037=3),N(INDEX(Parameter!$I$5:$I$7,CE1037)),0),0)</f>
        <v>0</v>
      </c>
      <c r="CQ1037" s="52" t="n">
        <f aca="false">IF(AND(Parameter!$B$21="Ja",ISNUMBER(W1037),N(X1037)&gt;0),IFERROR(N(INDEX(Parameter!$L$5:$L$7,W1037))*INDEX(Parameter!$E$5:$E$7,W1037)*X1037/SUMIFS($X$7:$X$1843,$W$7:$W$1843,W1037),0),0)</f>
        <v>0</v>
      </c>
    </row>
    <row r="1038" customFormat="false" ht="15" hidden="false" customHeight="false" outlineLevel="0" collapsed="false">
      <c r="A1038" s="48" t="s">
        <v>1914</v>
      </c>
      <c r="B1038" s="48" t="s">
        <v>1915</v>
      </c>
      <c r="C1038" s="48" t="s">
        <v>465</v>
      </c>
      <c r="D1038" s="48" t="s">
        <v>182</v>
      </c>
      <c r="E1038" s="48" t="s">
        <v>1488</v>
      </c>
      <c r="F1038" s="48" t="s">
        <v>227</v>
      </c>
      <c r="G1038" s="49" t="n">
        <v>133.51</v>
      </c>
      <c r="H1038" s="50" t="n">
        <f aca="false">MAX(0,IF(AND(Parameter!$B$21="Ja",ISNUMBER(Y1038)),Y1038,IF(Parameter!$B$20="Jahresanfang 2025 + Export",BR1038+BQ1038,BQ1038)))</f>
        <v>0</v>
      </c>
      <c r="I1038" s="50" t="n">
        <f aca="false">H1038*G1038</f>
        <v>0</v>
      </c>
      <c r="J1038" s="50" t="n">
        <f aca="false">BT1038*Parameter!$B$18</f>
        <v>0</v>
      </c>
      <c r="K1038" s="51" t="n">
        <v>0.5</v>
      </c>
      <c r="L1038" s="52" t="n">
        <v>0</v>
      </c>
      <c r="M1038" s="50" t="n">
        <v>0</v>
      </c>
      <c r="N1038" s="50" t="n">
        <v>1</v>
      </c>
      <c r="O1038" s="53" t="n">
        <v>56</v>
      </c>
      <c r="P1038" s="48" t="s">
        <v>177</v>
      </c>
      <c r="Q1038" s="50"/>
      <c r="R1038" s="53" t="n">
        <f aca="false">IF(BZ1038=1,0,IFERROR(VLOOKUP(BX1038,'Gebinde-Kategorie'!$A$5:$N$45,13,0)+0,0))</f>
        <v>4</v>
      </c>
      <c r="S1038" s="54"/>
      <c r="T1038" s="55" t="s">
        <v>198</v>
      </c>
      <c r="U1038" s="55"/>
      <c r="V1038" s="55"/>
      <c r="W1038" s="48"/>
      <c r="X1038" s="50"/>
      <c r="Y1038" s="50"/>
      <c r="Z1038" s="48" t="str">
        <f aca="false">IF(A1038="","",IF(AND(Parameter!$B$21="Ja",ISNUMBER(W1038)),W1038,IF(CC1038="2+3",IF(ISNUMBER(SEARCH("grosser Artikel",BU1038)),2,IFERROR(VLOOKUP(BX1038,Parameter!$F$35:$G$64,2,0),2)),IF(OR(CC1038="Nein",CC1038=""),"-",CC1038))))</f>
        <v>-</v>
      </c>
      <c r="AA1038" s="55"/>
      <c r="AB1038" s="56"/>
      <c r="AC1038" s="50" t="n">
        <f aca="false">AV1038</f>
        <v>1</v>
      </c>
      <c r="AD1038" s="50" t="n">
        <f aca="false">MAX(AV1038,H1038)</f>
        <v>1</v>
      </c>
      <c r="AE1038" s="57"/>
      <c r="AF1038" s="50" t="n">
        <f aca="false">IF(LEFT(Cockpit!$C$5,1)="A",H1038,IF(Parameter!$E$30="MAX-Bestand",IF(CH1038=1,CI1038,IF(LEFT(Cockpit!$C$5,1)="B",AL1038,MAX(AL1038,H1038))),ROUNDUP(AJ1038,0)))</f>
        <v>0</v>
      </c>
      <c r="AG1038" s="50" t="n">
        <f aca="false">IF(BZ1038=1,0,ROUNDUP(AF1038/BY1038,0))</f>
        <v>0</v>
      </c>
      <c r="AH1038" s="52" t="n">
        <f aca="false">IF(CQ1038&gt;0,CQ1038*MAX(1,AF1038/X1038),IF(BZ1038=1,IF(AF1038&lt;=0,0,CD1038*MAX(1,IF(H1038&gt;0,AF1038/H1038,1))),IF(R1038&gt;0,AG1038/R1038,0))/MAX(0.1,N(Parameter!$M$21)))</f>
        <v>0</v>
      </c>
      <c r="AI1038" s="50" t="n">
        <f aca="false">AH1038*CB1038</f>
        <v>0</v>
      </c>
      <c r="AJ1038" s="51" t="n">
        <f aca="false">IF(LEFT(Cockpit!$C$5,1)="A",H1038,IF(CH1038=1,(CK1038+CI1038)/2,IF(LEFT(Cockpit!$C$5,1)="B",(CK1038+AL1038)/2,MAX((CK1038+AL1038)/2,H1038))))</f>
        <v>0</v>
      </c>
      <c r="AK1038" s="50" t="n">
        <f aca="false">AJ1038*G1038</f>
        <v>0</v>
      </c>
      <c r="AL1038" s="50" t="n">
        <f aca="false">ROUNDUP(CK1038+MAX(CL1038,2*(J1038/IF(CG1038&gt;0,CG1038,MAX(0.1,N(Cockpit!$C$6)))-CK1038)),0)</f>
        <v>1</v>
      </c>
      <c r="AM1038" s="51" t="n">
        <f aca="false">IF(AI1038&gt;0,J1038/AI1038,-1)</f>
        <v>-1</v>
      </c>
      <c r="AN1038" s="51" t="str">
        <f aca="false">IF(AND(OR(CF1038="L1",CF1038="L23",CF1038="LIFT"),AI1038&gt;0),SUMIFS($AI$7:$AI$1843,$CF$7:$CF$1843,CF1038,$AM$7:$AM$1843,"&gt;"&amp;AM1038)+SUMIFS($AI$7:$AI$1843,$CF$7:$CF$1843,CF1038,$AM$7:$AM$1843,AM1038,$BW$7:$BW$1843,"&lt;="&amp;BW1038),"")</f>
        <v/>
      </c>
      <c r="AO1038" s="58" t="n">
        <f aca="false">IF(AN1038="",0,MAX(0,MIN(1,(IF(CF1038="L1",Parameter!$H$5,IF(CF1038="L23",Parameter!$H$6+Parameter!$H$7,Parameter!$H$5+Parameter!$H$6+Parameter!$H$7))-(AN1038-AI1038))/AI1038)))</f>
        <v>0</v>
      </c>
      <c r="AP1038" s="50" t="n">
        <f aca="false">IF(LEFT(Cockpit!$I$5,1)="A",H1038,IF(Parameter!$E$30="MAX-Bestand",IF(CH1038=1,CI1038,IF(LEFT(Cockpit!$I$5,1)="B",AV1038,MAX(AV1038,H1038))),ROUNDUP(AT1038,0)))</f>
        <v>1</v>
      </c>
      <c r="AQ1038" s="50" t="n">
        <f aca="false">IF(BZ1038=1,0,ROUNDUP(AP1038/BY1038,0))</f>
        <v>1</v>
      </c>
      <c r="AR1038" s="52" t="n">
        <f aca="false">IF(CQ1038&gt;0,CQ1038*MAX(1,AP1038/X1038),IF(BZ1038=1,IF(AP1038&lt;=0,0,CD1038*MAX(1,IF(H1038&gt;0,AP1038/H1038,1))),IF(R1038&gt;0,AQ1038/R1038,0))/MAX(0.1,N(Parameter!$M$21)))</f>
        <v>0.25</v>
      </c>
      <c r="AS1038" s="50" t="n">
        <f aca="false">AR1038*CB1038</f>
        <v>58.75</v>
      </c>
      <c r="AT1038" s="51" t="n">
        <f aca="false">IF(LEFT(Cockpit!$I$5,1)="A",H1038,IF(CH1038=1,(CK1038+CI1038)/2,IF(LEFT(Cockpit!$I$5,1)="B",(CK1038+AV1038)/2,MAX((CK1038+AV1038)/2,H1038))))</f>
        <v>0.5</v>
      </c>
      <c r="AU1038" s="50" t="n">
        <f aca="false">AT1038*G1038</f>
        <v>66.755</v>
      </c>
      <c r="AV1038" s="50" t="n">
        <f aca="false">ROUNDUP(CK1038+MAX(CL1038,2*(J1038/IF(CG1038&gt;0,CG1038,MAX(0.1,N(Cockpit!$I$6)))-CK1038)),0)</f>
        <v>1</v>
      </c>
      <c r="AW1038" s="51" t="n">
        <f aca="false">IF(AS1038&gt;0,J1038/AS1038,-1)</f>
        <v>0</v>
      </c>
      <c r="AX1038" s="51" t="str">
        <f aca="false">IF(AND(OR(CF1038="L1",CF1038="L23",CF1038="LIFT"),AS1038&gt;0),SUMIFS($AS$7:$AS$1843,$CF$7:$CF$1843,CF1038,$AW$7:$AW$1843,"&gt;"&amp;AW1038)+SUMIFS($AS$7:$AS$1843,$CF$7:$CF$1843,CF1038,$AW$7:$AW$1843,AW1038,$BW$7:$BW$1843,"&lt;="&amp;BW1038),"")</f>
        <v/>
      </c>
      <c r="AY1038" s="58" t="n">
        <f aca="false">IF(AX1038="",0,MAX(0,MIN(1,(IF(CF1038="L1",Parameter!$H$5,IF(CF1038="L23",Parameter!$H$6+Parameter!$H$7,Parameter!$H$5+Parameter!$H$6+Parameter!$H$7))-(AX1038-AS1038))/AS1038)))</f>
        <v>0</v>
      </c>
      <c r="AZ1038" s="50" t="n">
        <f aca="false">IF(LEFT(Cockpit!$O$5,1)="A",H1038,IF(Parameter!$E$30="MAX-Bestand",IF(CH1038=1,CI1038,IF(LEFT(Cockpit!$O$5,1)="B",BF1038,MAX(BF1038,H1038))),ROUNDUP(BD1038,0)))</f>
        <v>1</v>
      </c>
      <c r="BA1038" s="50" t="n">
        <f aca="false">IF(BZ1038=1,0,ROUNDUP(AZ1038/BY1038,0))</f>
        <v>1</v>
      </c>
      <c r="BB1038" s="52" t="n">
        <f aca="false">IF(CQ1038&gt;0,CQ1038*MAX(1,AZ1038/X1038),IF(BZ1038=1,IF(AZ1038&lt;=0,0,CD1038*MAX(1,IF(H1038&gt;0,AZ1038/H1038,1))),IF(R1038&gt;0,BA1038/R1038,0))/MAX(0.1,N(Parameter!$M$21)))</f>
        <v>0.25</v>
      </c>
      <c r="BC1038" s="50" t="n">
        <f aca="false">BB1038*CB1038</f>
        <v>58.75</v>
      </c>
      <c r="BD1038" s="51" t="n">
        <f aca="false">IF(LEFT(Cockpit!$O$5,1)="A",H1038,IF(CH1038=1,(CK1038+CI1038)/2,IF(LEFT(Cockpit!$O$5,1)="B",(CK1038+BF1038)/2,MAX((CK1038+BF1038)/2,H1038))))</f>
        <v>0.5</v>
      </c>
      <c r="BE1038" s="50" t="n">
        <f aca="false">BD1038*G1038</f>
        <v>66.755</v>
      </c>
      <c r="BF1038" s="50" t="n">
        <f aca="false">ROUNDUP(CK1038+MAX(CL1038,2*(J1038/IF(CG1038&gt;0,CG1038,MAX(0.1,N(Cockpit!$O$6)))-CK1038)),0)</f>
        <v>1</v>
      </c>
      <c r="BG1038" s="51" t="n">
        <f aca="false">IF(BC1038&gt;0,J1038/BC1038,-1)</f>
        <v>0</v>
      </c>
      <c r="BH1038" s="51" t="str">
        <f aca="false">IF(AND(OR(CF1038="L1",CF1038="L23",CF1038="LIFT"),BC1038&gt;0),SUMIFS($BC$7:$BC$1843,$CF$7:$CF$1843,CF1038,$BG$7:$BG$1843,"&gt;"&amp;BG1038)+SUMIFS($BC$7:$BC$1843,$CF$7:$CF$1843,CF1038,$BG$7:$BG$1843,BG1038,$BW$7:$BW$1843,"&lt;="&amp;BW1038),"")</f>
        <v/>
      </c>
      <c r="BI1038" s="58" t="n">
        <f aca="false">IF(BH1038="",0,MAX(0,MIN(1,(IF(CF1038="L1",Parameter!$H$5,IF(CF1038="L23",Parameter!$H$6+Parameter!$H$7,Parameter!$H$5+Parameter!$H$6+Parameter!$H$7))-(BH1038-BC1038))/BC1038)))</f>
        <v>0</v>
      </c>
      <c r="BJ1038" s="48" t="str">
        <f aca="false">IF(AI1038&lt;=0,"",IF(CF1038="Aussen","Aussenlager",IF(CF1038="-","Nicht im Lift",IF(AO1038&gt;=1,"Lift",IF(AO1038&lt;=0,"Aussenlager","teilweise")))))</f>
        <v/>
      </c>
      <c r="BK1038" s="48" t="str">
        <f aca="false">IF(AS1038&lt;=0,"",IF(CF1038="Aussen","Aussenlager",IF(CF1038="-","Nicht im Lift",IF(AY1038&gt;=1,"Lift",IF(AY1038&lt;=0,"Aussenlager","teilweise")))))</f>
        <v>Nicht im Lift</v>
      </c>
      <c r="BL1038" s="48" t="str">
        <f aca="false">IF(BC1038&lt;=0,"",IF(CF1038="Aussen","Aussenlager",IF(CF1038="-","Nicht im Lift",IF(BI1038&gt;=1,"Lift",IF(BI1038&lt;=0,"Aussenlager","teilweise")))))</f>
        <v>Nicht im Lift</v>
      </c>
      <c r="BM1038" s="48" t="str">
        <f aca="false">IF(A1038="","",IF(BV1038=1,"Neu; ","")&amp;IF(AND(BV1038=0,BQ1038&lt;0),"negativer Bestand (Export "&amp;BQ1038&amp;"); ","")&amp;IF(J1038&lt;=0,"Kein Verbrauch; ","")&amp;IF(CQ1038&gt;0,"Lift "&amp;W1038&amp;" lt. Liftbericht (Fach "&amp;X1038&amp;" Stk); ",IF(CA1038=1,"Gebinde geschätzt ("&amp;T1038&amp;"); ",IF(BZ1038=1,"Lose – Tablare geschätzt; ","")))&amp;IF(H1038&gt;AV1038,"Überbestand "&amp;ROUND(H1038-AV1038,0)&amp;" Stk / CHF "&amp;ROUND((H1038-AV1038)*G1038,0)&amp;"; ","")&amp;IF(AND(CH1038=1,CI1038&lt;CJ1038),"MAX &lt; MB+LG; ","")&amp;IF(AND(CP1038&gt;0,CO1038*10&gt;CP1038),"zu hoch für Tablar; ","")&amp;IF(AND(BV1038=0,OR(CH1038=1,AA1038&lt;&gt;"",U1038&lt;&gt;"",V1038&lt;&gt;"",AB1038&lt;&gt;"")),"manuell übersteuert; ","")&amp;IF(AND(BZ1038=0,R1038=0),"Gebinde unbekannt / Stellmass fehlt; ","")&amp;IF(AND(BZ1038=0,N(V1038)&lt;=0,N(Q1038)&lt;=0),"Menge pro Gebinde fehlt (Ist = 1 Gebinde); ","")&amp;BU1038)</f>
        <v>negativer Bestand (Export -1); Kein Verbrauch; Gebinde geschätzt (Gross); Menge pro Gebinde fehlt (Ist = 1 Gebinde); Neu</v>
      </c>
      <c r="BN1038" s="48"/>
      <c r="BO1038" s="48"/>
      <c r="BP1038" s="55"/>
      <c r="BQ1038" s="50" t="n">
        <v>-1</v>
      </c>
      <c r="BR1038" s="50" t="n">
        <v>1</v>
      </c>
      <c r="BS1038" s="49" t="n">
        <v>-133.51</v>
      </c>
      <c r="BT1038" s="50" t="n">
        <v>0</v>
      </c>
      <c r="BU1038" s="48" t="s">
        <v>635</v>
      </c>
      <c r="BV1038" s="53" t="n">
        <v>0</v>
      </c>
      <c r="BW1038" s="53" t="n">
        <v>1038</v>
      </c>
      <c r="BX1038" s="48" t="str">
        <f aca="false">IF(U1038&lt;&gt;"",UPPER(TRIM(U1038)),IF(CA1038=1,UPPER(VLOOKUP(T1038,Parameter!$I$27:$K$29,2,0)),IF(P1038="","LOSE",P1038)))</f>
        <v>S81</v>
      </c>
      <c r="BY1038" s="50" t="n">
        <f aca="false">IF(BX1038="LOSE",1,IF(N(V1038)&gt;0,V1038,IF(CA1038=1,MAX(1,N(VLOOKUP(T1038,Parameter!$I$27:$K$29,3,0)),H1038,N(N1038)),IF(N(Q1038)&gt;0,Q1038,MAX(1,H1038)))))</f>
        <v>2</v>
      </c>
      <c r="BZ1038" s="53" t="n">
        <f aca="false">IF(BX1038="LOSE",1,0)</f>
        <v>0</v>
      </c>
      <c r="CA1038" s="53" t="n">
        <f aca="false">IF(AND(U1038="",OR(P1038="",P1038="LOSE"),T1038&lt;&gt;"",N(S1038)&lt;=0,ISNUMBER(MATCH(T1038,Parameter!$I$27:$I$29,0))),1,0)</f>
        <v>1</v>
      </c>
      <c r="CB1038" s="53" t="n">
        <f aca="false">IF(CQ1038&gt;0,INDEX(Parameter!$H$5:$H$7,W1038)/INDEX(Parameter!$E$5:$E$7,W1038),IF(AND(BZ1038=0,N(IFERROR(VLOOKUP(BX1038,'Gebinde-Kategorie'!$A$5:$N$45,14,0),0))&gt;0),VLOOKUP(BX1038,'Gebinde-Kategorie'!$A$5:$N$45,14,0)*10+Parameter!$M$23,Parameter!$M$24))</f>
        <v>235</v>
      </c>
      <c r="CC1038" s="48" t="str">
        <f aca="false">IF(AND(Parameter!$B$19="Ja",E1038&lt;&gt;"",ISNUMBER(MATCH(E1038,Parameter!$I$35:$I$52,0))),VLOOKUP(E1038,Parameter!$I$35:$J$52,2,0),IFERROR(VLOOKUP(D1038,Parameter!$A$35:$C$64,2,0),"Nein"))</f>
        <v>Nein</v>
      </c>
      <c r="CD1038" s="52" t="n">
        <f aca="false">IF(BZ1038=0,0,IF(N(S1038)&gt;0,S1038,IFERROR(VLOOKUP(D1038,Parameter!$A$35:$C$64,3,0)+0,0)))</f>
        <v>0</v>
      </c>
      <c r="CE1038" s="48" t="str">
        <f aca="false">IF(AA1038&lt;&gt;"",AA1038,Z1038)</f>
        <v>-</v>
      </c>
      <c r="CF1038" s="48" t="str">
        <f aca="false">IF(OR(CE1038=1,CE1038=2,CE1038=3),IF(Parameter!$E$27="Ja","LIFT",IF(CE1038=1,"L1","L23")),IF(CE1038="Aussen","Aussen","-"))</f>
        <v>-</v>
      </c>
      <c r="CG1038" s="59" t="n">
        <f aca="false">IF(N(AB1038)&gt;0,AB1038,0)</f>
        <v>0</v>
      </c>
      <c r="CH1038" s="53" t="n">
        <f aca="false">IF(ISNUMBER(AE1038),1,0)</f>
        <v>0</v>
      </c>
      <c r="CI1038" s="50" t="n">
        <f aca="false">N(AE1038)</f>
        <v>0</v>
      </c>
      <c r="CJ1038" s="50" t="n">
        <f aca="false">N(M1038)+N(N1038)</f>
        <v>1</v>
      </c>
      <c r="CK1038" s="50" t="n">
        <f aca="false">N(M1038)</f>
        <v>0</v>
      </c>
      <c r="CL1038" s="50" t="n">
        <f aca="false">N(N1038)</f>
        <v>1</v>
      </c>
      <c r="CM1038" s="50" t="n">
        <f aca="false">ROUNDUP(H1038/BY1038,0)</f>
        <v>0</v>
      </c>
      <c r="CN1038" s="50" t="n">
        <f aca="false">ROUNDUP(CI1038/BY1038,0)</f>
        <v>0</v>
      </c>
      <c r="CO1038" s="53" t="n">
        <f aca="false">IF(BZ1038=1,0,IFERROR(VLOOKUP(BX1038,'Gebinde-Kategorie'!$A$5:$N$45,5,0)+0,0))</f>
        <v>20</v>
      </c>
      <c r="CP1038" s="53" t="n">
        <f aca="false">IFERROR(IF(OR(CE1038=1,CE1038=2,CE1038=3),N(INDEX(Parameter!$I$5:$I$7,CE1038)),0),0)</f>
        <v>0</v>
      </c>
      <c r="CQ1038" s="52" t="n">
        <f aca="false">IF(AND(Parameter!$B$21="Ja",ISNUMBER(W1038),N(X1038)&gt;0),IFERROR(N(INDEX(Parameter!$L$5:$L$7,W1038))*INDEX(Parameter!$E$5:$E$7,W1038)*X1038/SUMIFS($X$7:$X$1843,$W$7:$W$1843,W1038),0),0)</f>
        <v>0</v>
      </c>
    </row>
    <row r="1039" customFormat="false" ht="15" hidden="false" customHeight="false" outlineLevel="0" collapsed="false">
      <c r="A1039" s="48" t="s">
        <v>1916</v>
      </c>
      <c r="B1039" s="48" t="s">
        <v>856</v>
      </c>
      <c r="C1039" s="48" t="s">
        <v>173</v>
      </c>
      <c r="D1039" s="48" t="s">
        <v>193</v>
      </c>
      <c r="E1039" s="48" t="s">
        <v>194</v>
      </c>
      <c r="F1039" s="48" t="s">
        <v>227</v>
      </c>
      <c r="G1039" s="49" t="n">
        <v>19.2</v>
      </c>
      <c r="H1039" s="50" t="n">
        <f aca="false">MAX(0,IF(AND(Parameter!$B$21="Ja",ISNUMBER(Y1039)),Y1039,IF(Parameter!$B$20="Jahresanfang 2025 + Export",BR1039+BQ1039,BQ1039)))</f>
        <v>9</v>
      </c>
      <c r="I1039" s="50" t="n">
        <f aca="false">H1039*G1039</f>
        <v>172.8</v>
      </c>
      <c r="J1039" s="50" t="n">
        <f aca="false">BT1039*Parameter!$B$18</f>
        <v>6</v>
      </c>
      <c r="K1039" s="51" t="n">
        <v>13</v>
      </c>
      <c r="L1039" s="52" t="n">
        <v>0.461538461538462</v>
      </c>
      <c r="M1039" s="50" t="n">
        <v>0</v>
      </c>
      <c r="N1039" s="50" t="n">
        <v>5</v>
      </c>
      <c r="O1039" s="53" t="n">
        <v>31</v>
      </c>
      <c r="P1039" s="48" t="s">
        <v>485</v>
      </c>
      <c r="Q1039" s="50" t="n">
        <v>19</v>
      </c>
      <c r="R1039" s="53" t="n">
        <f aca="false">IF(BZ1039=1,0,IFERROR(VLOOKUP(BX1039,'Gebinde-Kategorie'!$A$5:$N$45,13,0)+0,0))</f>
        <v>52</v>
      </c>
      <c r="S1039" s="54"/>
      <c r="T1039" s="55"/>
      <c r="U1039" s="55"/>
      <c r="V1039" s="55"/>
      <c r="W1039" s="48"/>
      <c r="X1039" s="50"/>
      <c r="Y1039" s="50"/>
      <c r="Z1039" s="48" t="n">
        <f aca="false">IF(A1039="","",IF(AND(Parameter!$B$21="Ja",ISNUMBER(W1039)),W1039,IF(CC1039="2+3",IF(ISNUMBER(SEARCH("grosser Artikel",BU1039)),2,IFERROR(VLOOKUP(BX1039,Parameter!$F$35:$G$64,2,0),2)),IF(OR(CC1039="Nein",CC1039=""),"-",CC1039))))</f>
        <v>3</v>
      </c>
      <c r="AA1039" s="55"/>
      <c r="AB1039" s="56"/>
      <c r="AC1039" s="50" t="n">
        <f aca="false">AV1039</f>
        <v>5</v>
      </c>
      <c r="AD1039" s="50" t="n">
        <f aca="false">MAX(AV1039,H1039)</f>
        <v>9</v>
      </c>
      <c r="AE1039" s="57"/>
      <c r="AF1039" s="50" t="n">
        <f aca="false">IF(LEFT(Cockpit!$C$5,1)="A",H1039,IF(Parameter!$E$30="MAX-Bestand",IF(CH1039=1,CI1039,IF(LEFT(Cockpit!$C$5,1)="B",AL1039,MAX(AL1039,H1039))),ROUNDUP(AJ1039,0)))</f>
        <v>9</v>
      </c>
      <c r="AG1039" s="50" t="n">
        <f aca="false">IF(BZ1039=1,0,ROUNDUP(AF1039/BY1039,0))</f>
        <v>1</v>
      </c>
      <c r="AH1039" s="52" t="n">
        <f aca="false">IF(CQ1039&gt;0,CQ1039*MAX(1,AF1039/X1039),IF(BZ1039=1,IF(AF1039&lt;=0,0,CD1039*MAX(1,IF(H1039&gt;0,AF1039/H1039,1))),IF(R1039&gt;0,AG1039/R1039,0))/MAX(0.1,N(Parameter!$M$21)))</f>
        <v>0.0192307692307692</v>
      </c>
      <c r="AI1039" s="50" t="n">
        <f aca="false">AH1039*CB1039</f>
        <v>2.98076923076923</v>
      </c>
      <c r="AJ1039" s="51" t="n">
        <f aca="false">IF(LEFT(Cockpit!$C$5,1)="A",H1039,IF(CH1039=1,(CK1039+CI1039)/2,IF(LEFT(Cockpit!$C$5,1)="B",(CK1039+AL1039)/2,MAX((CK1039+AL1039)/2,H1039))))</f>
        <v>9</v>
      </c>
      <c r="AK1039" s="50" t="n">
        <f aca="false">AJ1039*G1039</f>
        <v>172.8</v>
      </c>
      <c r="AL1039" s="50" t="n">
        <f aca="false">ROUNDUP(CK1039+MAX(CL1039,2*(J1039/IF(CG1039&gt;0,CG1039,MAX(0.1,N(Cockpit!$C$6)))-CK1039)),0)</f>
        <v>5</v>
      </c>
      <c r="AM1039" s="51" t="n">
        <f aca="false">IF(AI1039&gt;0,J1039/AI1039,-1)</f>
        <v>2.01290322580645</v>
      </c>
      <c r="AN1039" s="51" t="n">
        <f aca="false">IF(AND(OR(CF1039="L1",CF1039="L23",CF1039="LIFT"),AI1039&gt;0),SUMIFS($AI$7:$AI$1843,$CF$7:$CF$1843,CF1039,$AM$7:$AM$1843,"&gt;"&amp;AM1039)+SUMIFS($AI$7:$AI$1843,$CF$7:$CF$1843,CF1039,$AM$7:$AM$1843,AM1039,$BW$7:$BW$1843,"&lt;="&amp;BW1039),"")</f>
        <v>5814.69597069597</v>
      </c>
      <c r="AO1039" s="58" t="n">
        <f aca="false">IF(AN1039="",0,MAX(0,MIN(1,(IF(CF1039="L1",Parameter!$H$5,IF(CF1039="L23",Parameter!$H$6+Parameter!$H$7,Parameter!$H$5+Parameter!$H$6+Parameter!$H$7))-(AN1039-AI1039))/AI1039)))</f>
        <v>1</v>
      </c>
      <c r="AP1039" s="50" t="n">
        <f aca="false">IF(LEFT(Cockpit!$I$5,1)="A",H1039,IF(Parameter!$E$30="MAX-Bestand",IF(CH1039=1,CI1039,IF(LEFT(Cockpit!$I$5,1)="B",AV1039,MAX(AV1039,H1039))),ROUNDUP(AT1039,0)))</f>
        <v>9</v>
      </c>
      <c r="AQ1039" s="50" t="n">
        <f aca="false">IF(BZ1039=1,0,ROUNDUP(AP1039/BY1039,0))</f>
        <v>1</v>
      </c>
      <c r="AR1039" s="52" t="n">
        <f aca="false">IF(CQ1039&gt;0,CQ1039*MAX(1,AP1039/X1039),IF(BZ1039=1,IF(AP1039&lt;=0,0,CD1039*MAX(1,IF(H1039&gt;0,AP1039/H1039,1))),IF(R1039&gt;0,AQ1039/R1039,0))/MAX(0.1,N(Parameter!$M$21)))</f>
        <v>0.0192307692307692</v>
      </c>
      <c r="AS1039" s="50" t="n">
        <f aca="false">AR1039*CB1039</f>
        <v>2.98076923076923</v>
      </c>
      <c r="AT1039" s="51" t="n">
        <f aca="false">IF(LEFT(Cockpit!$I$5,1)="A",H1039,IF(CH1039=1,(CK1039+CI1039)/2,IF(LEFT(Cockpit!$I$5,1)="B",(CK1039+AV1039)/2,MAX((CK1039+AV1039)/2,H1039))))</f>
        <v>9</v>
      </c>
      <c r="AU1039" s="50" t="n">
        <f aca="false">AT1039*G1039</f>
        <v>172.8</v>
      </c>
      <c r="AV1039" s="50" t="n">
        <f aca="false">ROUNDUP(CK1039+MAX(CL1039,2*(J1039/IF(CG1039&gt;0,CG1039,MAX(0.1,N(Cockpit!$I$6)))-CK1039)),0)</f>
        <v>5</v>
      </c>
      <c r="AW1039" s="51" t="n">
        <f aca="false">IF(AS1039&gt;0,J1039/AS1039,-1)</f>
        <v>2.01290322580645</v>
      </c>
      <c r="AX1039" s="51" t="n">
        <f aca="false">IF(AND(OR(CF1039="L1",CF1039="L23",CF1039="LIFT"),AS1039&gt;0),SUMIFS($AS$7:$AS$1843,$CF$7:$CF$1843,CF1039,$AW$7:$AW$1843,"&gt;"&amp;AW1039)+SUMIFS($AS$7:$AS$1843,$CF$7:$CF$1843,CF1039,$AW$7:$AW$1843,AW1039,$BW$7:$BW$1843,"&lt;="&amp;BW1039),"")</f>
        <v>7182.63553113553</v>
      </c>
      <c r="AY1039" s="58" t="n">
        <f aca="false">IF(AX1039="",0,MAX(0,MIN(1,(IF(CF1039="L1",Parameter!$H$5,IF(CF1039="L23",Parameter!$H$6+Parameter!$H$7,Parameter!$H$5+Parameter!$H$6+Parameter!$H$7))-(AX1039-AS1039))/AS1039)))</f>
        <v>1</v>
      </c>
      <c r="AZ1039" s="50" t="n">
        <f aca="false">IF(LEFT(Cockpit!$O$5,1)="A",H1039,IF(Parameter!$E$30="MAX-Bestand",IF(CH1039=1,CI1039,IF(LEFT(Cockpit!$O$5,1)="B",BF1039,MAX(BF1039,H1039))),ROUNDUP(BD1039,0)))</f>
        <v>3</v>
      </c>
      <c r="BA1039" s="50" t="n">
        <f aca="false">IF(BZ1039=1,0,ROUNDUP(AZ1039/BY1039,0))</f>
        <v>1</v>
      </c>
      <c r="BB1039" s="52" t="n">
        <f aca="false">IF(CQ1039&gt;0,CQ1039*MAX(1,AZ1039/X1039),IF(BZ1039=1,IF(AZ1039&lt;=0,0,CD1039*MAX(1,IF(H1039&gt;0,AZ1039/H1039,1))),IF(R1039&gt;0,BA1039/R1039,0))/MAX(0.1,N(Parameter!$M$21)))</f>
        <v>0.0192307692307692</v>
      </c>
      <c r="BC1039" s="50" t="n">
        <f aca="false">BB1039*CB1039</f>
        <v>2.98076923076923</v>
      </c>
      <c r="BD1039" s="51" t="n">
        <f aca="false">IF(LEFT(Cockpit!$O$5,1)="A",H1039,IF(CH1039=1,(CK1039+CI1039)/2,IF(LEFT(Cockpit!$O$5,1)="B",(CK1039+BF1039)/2,MAX((CK1039+BF1039)/2,H1039))))</f>
        <v>2.5</v>
      </c>
      <c r="BE1039" s="50" t="n">
        <f aca="false">BD1039*G1039</f>
        <v>48</v>
      </c>
      <c r="BF1039" s="50" t="n">
        <f aca="false">ROUNDUP(CK1039+MAX(CL1039,2*(J1039/IF(CG1039&gt;0,CG1039,MAX(0.1,N(Cockpit!$O$6)))-CK1039)),0)</f>
        <v>5</v>
      </c>
      <c r="BG1039" s="51" t="n">
        <f aca="false">IF(BC1039&gt;0,J1039/BC1039,-1)</f>
        <v>2.01290322580645</v>
      </c>
      <c r="BH1039" s="51" t="n">
        <f aca="false">IF(AND(OR(CF1039="L1",CF1039="L23",CF1039="LIFT"),BC1039&gt;0),SUMIFS($BC$7:$BC$1843,$CF$7:$CF$1843,CF1039,$BG$7:$BG$1843,"&gt;"&amp;BG1039)+SUMIFS($BC$7:$BC$1843,$CF$7:$CF$1843,CF1039,$BG$7:$BG$1843,BG1039,$BW$7:$BW$1843,"&lt;="&amp;BW1039),"")</f>
        <v>5884.46794871795</v>
      </c>
      <c r="BI1039" s="58" t="n">
        <f aca="false">IF(BH1039="",0,MAX(0,MIN(1,(IF(CF1039="L1",Parameter!$H$5,IF(CF1039="L23",Parameter!$H$6+Parameter!$H$7,Parameter!$H$5+Parameter!$H$6+Parameter!$H$7))-(BH1039-BC1039))/BC1039)))</f>
        <v>1</v>
      </c>
      <c r="BJ1039" s="48" t="str">
        <f aca="false">IF(AI1039&lt;=0,"",IF(CF1039="Aussen","Aussenlager",IF(CF1039="-","Nicht im Lift",IF(AO1039&gt;=1,"Lift",IF(AO1039&lt;=0,"Aussenlager","teilweise")))))</f>
        <v>Lift</v>
      </c>
      <c r="BK1039" s="48" t="str">
        <f aca="false">IF(AS1039&lt;=0,"",IF(CF1039="Aussen","Aussenlager",IF(CF1039="-","Nicht im Lift",IF(AY1039&gt;=1,"Lift",IF(AY1039&lt;=0,"Aussenlager","teilweise")))))</f>
        <v>Lift</v>
      </c>
      <c r="BL1039" s="48" t="str">
        <f aca="false">IF(BC1039&lt;=0,"",IF(CF1039="Aussen","Aussenlager",IF(CF1039="-","Nicht im Lift",IF(BI1039&gt;=1,"Lift",IF(BI1039&lt;=0,"Aussenlager","teilweise")))))</f>
        <v>Lift</v>
      </c>
      <c r="BM1039" s="48" t="str">
        <f aca="false">IF(A1039="","",IF(BV1039=1,"Neu; ","")&amp;IF(AND(BV1039=0,BQ1039&lt;0),"negativer Bestand (Export "&amp;BQ1039&amp;"); ","")&amp;IF(J1039&lt;=0,"Kein Verbrauch; ","")&amp;IF(CQ1039&gt;0,"Lift "&amp;W1039&amp;" lt. Liftbericht (Fach "&amp;X1039&amp;" Stk); ",IF(CA1039=1,"Gebinde geschätzt ("&amp;T1039&amp;"); ",IF(BZ1039=1,"Lose – Tablare geschätzt; ","")))&amp;IF(H1039&gt;AV1039,"Überbestand "&amp;ROUND(H1039-AV1039,0)&amp;" Stk / CHF "&amp;ROUND((H1039-AV1039)*G1039,0)&amp;"; ","")&amp;IF(AND(CH1039=1,CI1039&lt;CJ1039),"MAX &lt; MB+LG; ","")&amp;IF(AND(CP1039&gt;0,CO1039*10&gt;CP1039),"zu hoch für Tablar; ","")&amp;IF(AND(BV1039=0,OR(CH1039=1,AA1039&lt;&gt;"",U1039&lt;&gt;"",V1039&lt;&gt;"",AB1039&lt;&gt;"")),"manuell übersteuert; ","")&amp;IF(AND(BZ1039=0,R1039=0),"Gebinde unbekannt / Stellmass fehlt; ","")&amp;IF(AND(BZ1039=0,N(V1039)&lt;=0,N(Q1039)&lt;=0),"Menge pro Gebinde fehlt (Ist = 1 Gebinde); ","")&amp;BU1039)</f>
        <v>negativer Bestand (Export -7); Überbestand 4 Stk / CHF 77; Überbestand</v>
      </c>
      <c r="BN1039" s="48"/>
      <c r="BO1039" s="48"/>
      <c r="BP1039" s="55"/>
      <c r="BQ1039" s="50" t="n">
        <v>-7</v>
      </c>
      <c r="BR1039" s="50" t="n">
        <v>16</v>
      </c>
      <c r="BS1039" s="49" t="n">
        <v>-134.4</v>
      </c>
      <c r="BT1039" s="50" t="n">
        <v>6</v>
      </c>
      <c r="BU1039" s="48" t="s">
        <v>401</v>
      </c>
      <c r="BV1039" s="53" t="n">
        <v>0</v>
      </c>
      <c r="BW1039" s="53" t="n">
        <v>1039</v>
      </c>
      <c r="BX1039" s="48" t="str">
        <f aca="false">IF(U1039&lt;&gt;"",UPPER(TRIM(U1039)),IF(CA1039=1,UPPER(VLOOKUP(T1039,Parameter!$I$27:$K$29,2,0)),IF(P1039="","LOSE",P1039)))</f>
        <v>S33</v>
      </c>
      <c r="BY1039" s="50" t="n">
        <f aca="false">IF(BX1039="LOSE",1,IF(N(V1039)&gt;0,V1039,IF(CA1039=1,MAX(1,N(VLOOKUP(T1039,Parameter!$I$27:$K$29,3,0)),H1039,N(N1039)),IF(N(Q1039)&gt;0,Q1039,MAX(1,H1039)))))</f>
        <v>19</v>
      </c>
      <c r="BZ1039" s="53" t="n">
        <f aca="false">IF(BX1039="LOSE",1,0)</f>
        <v>0</v>
      </c>
      <c r="CA1039" s="53" t="n">
        <f aca="false">IF(AND(U1039="",OR(P1039="",P1039="LOSE"),T1039&lt;&gt;"",N(S1039)&lt;=0,ISNUMBER(MATCH(T1039,Parameter!$I$27:$I$29,0))),1,0)</f>
        <v>0</v>
      </c>
      <c r="CB1039" s="53" t="n">
        <f aca="false">IF(CQ1039&gt;0,INDEX(Parameter!$H$5:$H$7,W1039)/INDEX(Parameter!$E$5:$E$7,W1039),IF(AND(BZ1039=0,N(IFERROR(VLOOKUP(BX1039,'Gebinde-Kategorie'!$A$5:$N$45,14,0),0))&gt;0),VLOOKUP(BX1039,'Gebinde-Kategorie'!$A$5:$N$45,14,0)*10+Parameter!$M$23,Parameter!$M$24))</f>
        <v>155</v>
      </c>
      <c r="CC1039" s="48" t="str">
        <f aca="false">IF(AND(Parameter!$B$19="Ja",E1039&lt;&gt;"",ISNUMBER(MATCH(E1039,Parameter!$I$35:$I$52,0))),VLOOKUP(E1039,Parameter!$I$35:$J$52,2,0),IFERROR(VLOOKUP(D1039,Parameter!$A$35:$C$64,2,0),"Nein"))</f>
        <v>2+3</v>
      </c>
      <c r="CD1039" s="52" t="n">
        <f aca="false">IF(BZ1039=0,0,IF(N(S1039)&gt;0,S1039,IFERROR(VLOOKUP(D1039,Parameter!$A$35:$C$64,3,0)+0,0)))</f>
        <v>0</v>
      </c>
      <c r="CE1039" s="48" t="n">
        <f aca="false">IF(AA1039&lt;&gt;"",AA1039,Z1039)</f>
        <v>3</v>
      </c>
      <c r="CF1039" s="48" t="str">
        <f aca="false">IF(OR(CE1039=1,CE1039=2,CE1039=3),IF(Parameter!$E$27="Ja","LIFT",IF(CE1039=1,"L1","L23")),IF(CE1039="Aussen","Aussen","-"))</f>
        <v>LIFT</v>
      </c>
      <c r="CG1039" s="59" t="n">
        <f aca="false">IF(N(AB1039)&gt;0,AB1039,0)</f>
        <v>0</v>
      </c>
      <c r="CH1039" s="53" t="n">
        <f aca="false">IF(ISNUMBER(AE1039),1,0)</f>
        <v>0</v>
      </c>
      <c r="CI1039" s="50" t="n">
        <f aca="false">N(AE1039)</f>
        <v>0</v>
      </c>
      <c r="CJ1039" s="50" t="n">
        <f aca="false">N(M1039)+N(N1039)</f>
        <v>5</v>
      </c>
      <c r="CK1039" s="50" t="n">
        <f aca="false">N(M1039)</f>
        <v>0</v>
      </c>
      <c r="CL1039" s="50" t="n">
        <f aca="false">N(N1039)</f>
        <v>5</v>
      </c>
      <c r="CM1039" s="50" t="n">
        <f aca="false">ROUNDUP(H1039/BY1039,0)</f>
        <v>1</v>
      </c>
      <c r="CN1039" s="50" t="n">
        <f aca="false">ROUNDUP(CI1039/BY1039,0)</f>
        <v>0</v>
      </c>
      <c r="CO1039" s="53" t="n">
        <f aca="false">IF(BZ1039=1,0,IFERROR(VLOOKUP(BX1039,'Gebinde-Kategorie'!$A$5:$N$45,5,0)+0,0))</f>
        <v>8</v>
      </c>
      <c r="CP1039" s="53" t="n">
        <f aca="false">IFERROR(IF(OR(CE1039=1,CE1039=2,CE1039=3),N(INDEX(Parameter!$I$5:$I$7,CE1039)),0),0)</f>
        <v>0</v>
      </c>
      <c r="CQ1039" s="52" t="n">
        <f aca="false">IF(AND(Parameter!$B$21="Ja",ISNUMBER(W1039),N(X1039)&gt;0),IFERROR(N(INDEX(Parameter!$L$5:$L$7,W1039))*INDEX(Parameter!$E$5:$E$7,W1039)*X1039/SUMIFS($X$7:$X$1843,$W$7:$W$1843,W1039),0),0)</f>
        <v>0</v>
      </c>
    </row>
    <row r="1040" customFormat="false" ht="15" hidden="false" customHeight="false" outlineLevel="0" collapsed="false">
      <c r="A1040" s="48" t="s">
        <v>1917</v>
      </c>
      <c r="B1040" s="48" t="s">
        <v>1290</v>
      </c>
      <c r="C1040" s="48" t="s">
        <v>173</v>
      </c>
      <c r="D1040" s="48" t="s">
        <v>193</v>
      </c>
      <c r="E1040" s="48" t="s">
        <v>194</v>
      </c>
      <c r="F1040" s="48" t="s">
        <v>227</v>
      </c>
      <c r="G1040" s="49" t="n">
        <v>11.25</v>
      </c>
      <c r="H1040" s="50" t="n">
        <f aca="false">MAX(0,IF(AND(Parameter!$B$21="Ja",ISNUMBER(Y1040)),Y1040,IF(Parameter!$B$20="Jahresanfang 2025 + Export",BR1040+BQ1040,BQ1040)))</f>
        <v>70</v>
      </c>
      <c r="I1040" s="50" t="n">
        <f aca="false">H1040*G1040</f>
        <v>787.5</v>
      </c>
      <c r="J1040" s="50" t="n">
        <f aca="false">BT1040*Parameter!$B$18</f>
        <v>3</v>
      </c>
      <c r="K1040" s="51" t="n">
        <v>80.5</v>
      </c>
      <c r="L1040" s="52" t="n">
        <v>0.0372670807453416</v>
      </c>
      <c r="M1040" s="50" t="n">
        <v>0</v>
      </c>
      <c r="N1040" s="50" t="n">
        <v>5</v>
      </c>
      <c r="O1040" s="53" t="n">
        <v>21</v>
      </c>
      <c r="P1040" s="48" t="s">
        <v>430</v>
      </c>
      <c r="Q1040" s="50" t="n">
        <v>83</v>
      </c>
      <c r="R1040" s="53" t="n">
        <f aca="false">IF(BZ1040=1,0,IFERROR(VLOOKUP(BX1040,'Gebinde-Kategorie'!$A$5:$N$45,13,0)+0,0))</f>
        <v>104</v>
      </c>
      <c r="S1040" s="54"/>
      <c r="T1040" s="55"/>
      <c r="U1040" s="55"/>
      <c r="V1040" s="55"/>
      <c r="W1040" s="48"/>
      <c r="X1040" s="50"/>
      <c r="Y1040" s="50"/>
      <c r="Z1040" s="48" t="n">
        <f aca="false">IF(A1040="","",IF(AND(Parameter!$B$21="Ja",ISNUMBER(W1040)),W1040,IF(CC1040="2+3",IF(ISNUMBER(SEARCH("grosser Artikel",BU1040)),2,IFERROR(VLOOKUP(BX1040,Parameter!$F$35:$G$64,2,0),2)),IF(OR(CC1040="Nein",CC1040=""),"-",CC1040))))</f>
        <v>3</v>
      </c>
      <c r="AA1040" s="55"/>
      <c r="AB1040" s="56"/>
      <c r="AC1040" s="50" t="n">
        <f aca="false">AV1040</f>
        <v>5</v>
      </c>
      <c r="AD1040" s="50" t="n">
        <f aca="false">MAX(AV1040,H1040)</f>
        <v>70</v>
      </c>
      <c r="AE1040" s="57"/>
      <c r="AF1040" s="50" t="n">
        <f aca="false">IF(LEFT(Cockpit!$C$5,1)="A",H1040,IF(Parameter!$E$30="MAX-Bestand",IF(CH1040=1,CI1040,IF(LEFT(Cockpit!$C$5,1)="B",AL1040,MAX(AL1040,H1040))),ROUNDUP(AJ1040,0)))</f>
        <v>70</v>
      </c>
      <c r="AG1040" s="50" t="n">
        <f aca="false">IF(BZ1040=1,0,ROUNDUP(AF1040/BY1040,0))</f>
        <v>1</v>
      </c>
      <c r="AH1040" s="52" t="n">
        <f aca="false">IF(CQ1040&gt;0,CQ1040*MAX(1,AF1040/X1040),IF(BZ1040=1,IF(AF1040&lt;=0,0,CD1040*MAX(1,IF(H1040&gt;0,AF1040/H1040,1))),IF(R1040&gt;0,AG1040/R1040,0))/MAX(0.1,N(Parameter!$M$21)))</f>
        <v>0.00961538461538462</v>
      </c>
      <c r="AI1040" s="50" t="n">
        <f aca="false">AH1040*CB1040</f>
        <v>1.49038461538462</v>
      </c>
      <c r="AJ1040" s="51" t="n">
        <f aca="false">IF(LEFT(Cockpit!$C$5,1)="A",H1040,IF(CH1040=1,(CK1040+CI1040)/2,IF(LEFT(Cockpit!$C$5,1)="B",(CK1040+AL1040)/2,MAX((CK1040+AL1040)/2,H1040))))</f>
        <v>70</v>
      </c>
      <c r="AK1040" s="50" t="n">
        <f aca="false">AJ1040*G1040</f>
        <v>787.5</v>
      </c>
      <c r="AL1040" s="50" t="n">
        <f aca="false">ROUNDUP(CK1040+MAX(CL1040,2*(J1040/IF(CG1040&gt;0,CG1040,MAX(0.1,N(Cockpit!$C$6)))-CK1040)),0)</f>
        <v>5</v>
      </c>
      <c r="AM1040" s="51" t="n">
        <f aca="false">IF(AI1040&gt;0,J1040/AI1040,-1)</f>
        <v>2.01290322580645</v>
      </c>
      <c r="AN1040" s="51" t="n">
        <f aca="false">IF(AND(OR(CF1040="L1",CF1040="L23",CF1040="LIFT"),AI1040&gt;0),SUMIFS($AI$7:$AI$1843,$CF$7:$CF$1843,CF1040,$AM$7:$AM$1843,"&gt;"&amp;AM1040)+SUMIFS($AI$7:$AI$1843,$CF$7:$CF$1843,CF1040,$AM$7:$AM$1843,AM1040,$BW$7:$BW$1843,"&lt;="&amp;BW1040),"")</f>
        <v>5816.18635531136</v>
      </c>
      <c r="AO1040" s="58" t="n">
        <f aca="false">IF(AN1040="",0,MAX(0,MIN(1,(IF(CF1040="L1",Parameter!$H$5,IF(CF1040="L23",Parameter!$H$6+Parameter!$H$7,Parameter!$H$5+Parameter!$H$6+Parameter!$H$7))-(AN1040-AI1040))/AI1040)))</f>
        <v>1</v>
      </c>
      <c r="AP1040" s="50" t="n">
        <f aca="false">IF(LEFT(Cockpit!$I$5,1)="A",H1040,IF(Parameter!$E$30="MAX-Bestand",IF(CH1040=1,CI1040,IF(LEFT(Cockpit!$I$5,1)="B",AV1040,MAX(AV1040,H1040))),ROUNDUP(AT1040,0)))</f>
        <v>70</v>
      </c>
      <c r="AQ1040" s="50" t="n">
        <f aca="false">IF(BZ1040=1,0,ROUNDUP(AP1040/BY1040,0))</f>
        <v>1</v>
      </c>
      <c r="AR1040" s="52" t="n">
        <f aca="false">IF(CQ1040&gt;0,CQ1040*MAX(1,AP1040/X1040),IF(BZ1040=1,IF(AP1040&lt;=0,0,CD1040*MAX(1,IF(H1040&gt;0,AP1040/H1040,1))),IF(R1040&gt;0,AQ1040/R1040,0))/MAX(0.1,N(Parameter!$M$21)))</f>
        <v>0.00961538461538462</v>
      </c>
      <c r="AS1040" s="50" t="n">
        <f aca="false">AR1040*CB1040</f>
        <v>1.49038461538462</v>
      </c>
      <c r="AT1040" s="51" t="n">
        <f aca="false">IF(LEFT(Cockpit!$I$5,1)="A",H1040,IF(CH1040=1,(CK1040+CI1040)/2,IF(LEFT(Cockpit!$I$5,1)="B",(CK1040+AV1040)/2,MAX((CK1040+AV1040)/2,H1040))))</f>
        <v>70</v>
      </c>
      <c r="AU1040" s="50" t="n">
        <f aca="false">AT1040*G1040</f>
        <v>787.5</v>
      </c>
      <c r="AV1040" s="50" t="n">
        <f aca="false">ROUNDUP(CK1040+MAX(CL1040,2*(J1040/IF(CG1040&gt;0,CG1040,MAX(0.1,N(Cockpit!$I$6)))-CK1040)),0)</f>
        <v>5</v>
      </c>
      <c r="AW1040" s="51" t="n">
        <f aca="false">IF(AS1040&gt;0,J1040/AS1040,-1)</f>
        <v>2.01290322580645</v>
      </c>
      <c r="AX1040" s="51" t="n">
        <f aca="false">IF(AND(OR(CF1040="L1",CF1040="L23",CF1040="LIFT"),AS1040&gt;0),SUMIFS($AS$7:$AS$1843,$CF$7:$CF$1843,CF1040,$AW$7:$AW$1843,"&gt;"&amp;AW1040)+SUMIFS($AS$7:$AS$1843,$CF$7:$CF$1843,CF1040,$AW$7:$AW$1843,AW1040,$BW$7:$BW$1843,"&lt;="&amp;BW1040),"")</f>
        <v>7184.12591575092</v>
      </c>
      <c r="AY1040" s="58" t="n">
        <f aca="false">IF(AX1040="",0,MAX(0,MIN(1,(IF(CF1040="L1",Parameter!$H$5,IF(CF1040="L23",Parameter!$H$6+Parameter!$H$7,Parameter!$H$5+Parameter!$H$6+Parameter!$H$7))-(AX1040-AS1040))/AS1040)))</f>
        <v>1</v>
      </c>
      <c r="AZ1040" s="50" t="n">
        <f aca="false">IF(LEFT(Cockpit!$O$5,1)="A",H1040,IF(Parameter!$E$30="MAX-Bestand",IF(CH1040=1,CI1040,IF(LEFT(Cockpit!$O$5,1)="B",BF1040,MAX(BF1040,H1040))),ROUNDUP(BD1040,0)))</f>
        <v>3</v>
      </c>
      <c r="BA1040" s="50" t="n">
        <f aca="false">IF(BZ1040=1,0,ROUNDUP(AZ1040/BY1040,0))</f>
        <v>1</v>
      </c>
      <c r="BB1040" s="52" t="n">
        <f aca="false">IF(CQ1040&gt;0,CQ1040*MAX(1,AZ1040/X1040),IF(BZ1040=1,IF(AZ1040&lt;=0,0,CD1040*MAX(1,IF(H1040&gt;0,AZ1040/H1040,1))),IF(R1040&gt;0,BA1040/R1040,0))/MAX(0.1,N(Parameter!$M$21)))</f>
        <v>0.00961538461538462</v>
      </c>
      <c r="BC1040" s="50" t="n">
        <f aca="false">BB1040*CB1040</f>
        <v>1.49038461538462</v>
      </c>
      <c r="BD1040" s="51" t="n">
        <f aca="false">IF(LEFT(Cockpit!$O$5,1)="A",H1040,IF(CH1040=1,(CK1040+CI1040)/2,IF(LEFT(Cockpit!$O$5,1)="B",(CK1040+BF1040)/2,MAX((CK1040+BF1040)/2,H1040))))</f>
        <v>2.5</v>
      </c>
      <c r="BE1040" s="50" t="n">
        <f aca="false">BD1040*G1040</f>
        <v>28.125</v>
      </c>
      <c r="BF1040" s="50" t="n">
        <f aca="false">ROUNDUP(CK1040+MAX(CL1040,2*(J1040/IF(CG1040&gt;0,CG1040,MAX(0.1,N(Cockpit!$O$6)))-CK1040)),0)</f>
        <v>5</v>
      </c>
      <c r="BG1040" s="51" t="n">
        <f aca="false">IF(BC1040&gt;0,J1040/BC1040,-1)</f>
        <v>2.01290322580645</v>
      </c>
      <c r="BH1040" s="51" t="n">
        <f aca="false">IF(AND(OR(CF1040="L1",CF1040="L23",CF1040="LIFT"),BC1040&gt;0),SUMIFS($BC$7:$BC$1843,$CF$7:$CF$1843,CF1040,$BG$7:$BG$1843,"&gt;"&amp;BG1040)+SUMIFS($BC$7:$BC$1843,$CF$7:$CF$1843,CF1040,$BG$7:$BG$1843,BG1040,$BW$7:$BW$1843,"&lt;="&amp;BW1040),"")</f>
        <v>5885.95833333333</v>
      </c>
      <c r="BI1040" s="58" t="n">
        <f aca="false">IF(BH1040="",0,MAX(0,MIN(1,(IF(CF1040="L1",Parameter!$H$5,IF(CF1040="L23",Parameter!$H$6+Parameter!$H$7,Parameter!$H$5+Parameter!$H$6+Parameter!$H$7))-(BH1040-BC1040))/BC1040)))</f>
        <v>1</v>
      </c>
      <c r="BJ1040" s="48" t="str">
        <f aca="false">IF(AI1040&lt;=0,"",IF(CF1040="Aussen","Aussenlager",IF(CF1040="-","Nicht im Lift",IF(AO1040&gt;=1,"Lift",IF(AO1040&lt;=0,"Aussenlager","teilweise")))))</f>
        <v>Lift</v>
      </c>
      <c r="BK1040" s="48" t="str">
        <f aca="false">IF(AS1040&lt;=0,"",IF(CF1040="Aussen","Aussenlager",IF(CF1040="-","Nicht im Lift",IF(AY1040&gt;=1,"Lift",IF(AY1040&lt;=0,"Aussenlager","teilweise")))))</f>
        <v>Lift</v>
      </c>
      <c r="BL1040" s="48" t="str">
        <f aca="false">IF(BC1040&lt;=0,"",IF(CF1040="Aussen","Aussenlager",IF(CF1040="-","Nicht im Lift",IF(BI1040&gt;=1,"Lift",IF(BI1040&lt;=0,"Aussenlager","teilweise")))))</f>
        <v>Lift</v>
      </c>
      <c r="BM1040" s="48" t="str">
        <f aca="false">IF(A1040="","",IF(BV1040=1,"Neu; ","")&amp;IF(AND(BV1040=0,BQ1040&lt;0),"negativer Bestand (Export "&amp;BQ1040&amp;"); ","")&amp;IF(J1040&lt;=0,"Kein Verbrauch; ","")&amp;IF(CQ1040&gt;0,"Lift "&amp;W1040&amp;" lt. Liftbericht (Fach "&amp;X1040&amp;" Stk); ",IF(CA1040=1,"Gebinde geschätzt ("&amp;T1040&amp;"); ",IF(BZ1040=1,"Lose – Tablare geschätzt; ","")))&amp;IF(H1040&gt;AV1040,"Überbestand "&amp;ROUND(H1040-AV1040,0)&amp;" Stk / CHF "&amp;ROUND((H1040-AV1040)*G1040,0)&amp;"; ","")&amp;IF(AND(CH1040=1,CI1040&lt;CJ1040),"MAX &lt; MB+LG; ","")&amp;IF(AND(CP1040&gt;0,CO1040*10&gt;CP1040),"zu hoch für Tablar; ","")&amp;IF(AND(BV1040=0,OR(CH1040=1,AA1040&lt;&gt;"",U1040&lt;&gt;"",V1040&lt;&gt;"",AB1040&lt;&gt;"")),"manuell übersteuert; ","")&amp;IF(AND(BZ1040=0,R1040=0),"Gebinde unbekannt / Stellmass fehlt; ","")&amp;IF(AND(BZ1040=0,N(V1040)&lt;=0,N(Q1040)&lt;=0),"Menge pro Gebinde fehlt (Ist = 1 Gebinde); ","")&amp;BU1040)</f>
        <v>negativer Bestand (Export -12); Überbestand 65 Stk / CHF 731; Überbestand</v>
      </c>
      <c r="BN1040" s="48"/>
      <c r="BO1040" s="48"/>
      <c r="BP1040" s="55"/>
      <c r="BQ1040" s="50" t="n">
        <v>-12</v>
      </c>
      <c r="BR1040" s="50" t="n">
        <v>82</v>
      </c>
      <c r="BS1040" s="49" t="n">
        <v>-135</v>
      </c>
      <c r="BT1040" s="50" t="n">
        <v>3</v>
      </c>
      <c r="BU1040" s="48" t="s">
        <v>401</v>
      </c>
      <c r="BV1040" s="53" t="n">
        <v>0</v>
      </c>
      <c r="BW1040" s="53" t="n">
        <v>1040</v>
      </c>
      <c r="BX1040" s="48" t="str">
        <f aca="false">IF(U1040&lt;&gt;"",UPPER(TRIM(U1040)),IF(CA1040=1,UPPER(VLOOKUP(T1040,Parameter!$I$27:$K$29,2,0)),IF(P1040="","LOSE",P1040)))</f>
        <v>S32</v>
      </c>
      <c r="BY1040" s="50" t="n">
        <f aca="false">IF(BX1040="LOSE",1,IF(N(V1040)&gt;0,V1040,IF(CA1040=1,MAX(1,N(VLOOKUP(T1040,Parameter!$I$27:$K$29,3,0)),H1040,N(N1040)),IF(N(Q1040)&gt;0,Q1040,MAX(1,H1040)))))</f>
        <v>83</v>
      </c>
      <c r="BZ1040" s="53" t="n">
        <f aca="false">IF(BX1040="LOSE",1,0)</f>
        <v>0</v>
      </c>
      <c r="CA1040" s="53" t="n">
        <f aca="false">IF(AND(U1040="",OR(P1040="",P1040="LOSE"),T1040&lt;&gt;"",N(S1040)&lt;=0,ISNUMBER(MATCH(T1040,Parameter!$I$27:$I$29,0))),1,0)</f>
        <v>0</v>
      </c>
      <c r="CB1040" s="53" t="n">
        <f aca="false">IF(CQ1040&gt;0,INDEX(Parameter!$H$5:$H$7,W1040)/INDEX(Parameter!$E$5:$E$7,W1040),IF(AND(BZ1040=0,N(IFERROR(VLOOKUP(BX1040,'Gebinde-Kategorie'!$A$5:$N$45,14,0),0))&gt;0),VLOOKUP(BX1040,'Gebinde-Kategorie'!$A$5:$N$45,14,0)*10+Parameter!$M$23,Parameter!$M$24))</f>
        <v>155</v>
      </c>
      <c r="CC1040" s="48" t="str">
        <f aca="false">IF(AND(Parameter!$B$19="Ja",E1040&lt;&gt;"",ISNUMBER(MATCH(E1040,Parameter!$I$35:$I$52,0))),VLOOKUP(E1040,Parameter!$I$35:$J$52,2,0),IFERROR(VLOOKUP(D1040,Parameter!$A$35:$C$64,2,0),"Nein"))</f>
        <v>2+3</v>
      </c>
      <c r="CD1040" s="52" t="n">
        <f aca="false">IF(BZ1040=0,0,IF(N(S1040)&gt;0,S1040,IFERROR(VLOOKUP(D1040,Parameter!$A$35:$C$64,3,0)+0,0)))</f>
        <v>0</v>
      </c>
      <c r="CE1040" s="48" t="n">
        <f aca="false">IF(AA1040&lt;&gt;"",AA1040,Z1040)</f>
        <v>3</v>
      </c>
      <c r="CF1040" s="48" t="str">
        <f aca="false">IF(OR(CE1040=1,CE1040=2,CE1040=3),IF(Parameter!$E$27="Ja","LIFT",IF(CE1040=1,"L1","L23")),IF(CE1040="Aussen","Aussen","-"))</f>
        <v>LIFT</v>
      </c>
      <c r="CG1040" s="59" t="n">
        <f aca="false">IF(N(AB1040)&gt;0,AB1040,0)</f>
        <v>0</v>
      </c>
      <c r="CH1040" s="53" t="n">
        <f aca="false">IF(ISNUMBER(AE1040),1,0)</f>
        <v>0</v>
      </c>
      <c r="CI1040" s="50" t="n">
        <f aca="false">N(AE1040)</f>
        <v>0</v>
      </c>
      <c r="CJ1040" s="50" t="n">
        <f aca="false">N(M1040)+N(N1040)</f>
        <v>5</v>
      </c>
      <c r="CK1040" s="50" t="n">
        <f aca="false">N(M1040)</f>
        <v>0</v>
      </c>
      <c r="CL1040" s="50" t="n">
        <f aca="false">N(N1040)</f>
        <v>5</v>
      </c>
      <c r="CM1040" s="50" t="n">
        <f aca="false">ROUNDUP(H1040/BY1040,0)</f>
        <v>1</v>
      </c>
      <c r="CN1040" s="50" t="n">
        <f aca="false">ROUNDUP(CI1040/BY1040,0)</f>
        <v>0</v>
      </c>
      <c r="CO1040" s="53" t="n">
        <f aca="false">IF(BZ1040=1,0,IFERROR(VLOOKUP(BX1040,'Gebinde-Kategorie'!$A$5:$N$45,5,0)+0,0))</f>
        <v>8</v>
      </c>
      <c r="CP1040" s="53" t="n">
        <f aca="false">IFERROR(IF(OR(CE1040=1,CE1040=2,CE1040=3),N(INDEX(Parameter!$I$5:$I$7,CE1040)),0),0)</f>
        <v>0</v>
      </c>
      <c r="CQ1040" s="52" t="n">
        <f aca="false">IF(AND(Parameter!$B$21="Ja",ISNUMBER(W1040),N(X1040)&gt;0),IFERROR(N(INDEX(Parameter!$L$5:$L$7,W1040))*INDEX(Parameter!$E$5:$E$7,W1040)*X1040/SUMIFS($X$7:$X$1843,$W$7:$W$1843,W1040),0),0)</f>
        <v>0</v>
      </c>
    </row>
    <row r="1041" customFormat="false" ht="15" hidden="false" customHeight="false" outlineLevel="0" collapsed="false">
      <c r="A1041" s="48" t="s">
        <v>1918</v>
      </c>
      <c r="B1041" s="48" t="s">
        <v>1919</v>
      </c>
      <c r="C1041" s="48" t="s">
        <v>173</v>
      </c>
      <c r="D1041" s="48" t="s">
        <v>193</v>
      </c>
      <c r="E1041" s="48" t="s">
        <v>194</v>
      </c>
      <c r="F1041" s="48" t="s">
        <v>227</v>
      </c>
      <c r="G1041" s="49" t="n">
        <v>11.4</v>
      </c>
      <c r="H1041" s="50" t="n">
        <f aca="false">MAX(0,IF(AND(Parameter!$B$21="Ja",ISNUMBER(Y1041)),Y1041,IF(Parameter!$B$20="Jahresanfang 2025 + Export",BR1041+BQ1041,BQ1041)))</f>
        <v>54</v>
      </c>
      <c r="I1041" s="50" t="n">
        <f aca="false">H1041*G1041</f>
        <v>615.6</v>
      </c>
      <c r="J1041" s="50" t="n">
        <f aca="false">BT1041*Parameter!$B$18</f>
        <v>153</v>
      </c>
      <c r="K1041" s="51" t="n">
        <v>65</v>
      </c>
      <c r="L1041" s="52" t="n">
        <v>2.35384615384615</v>
      </c>
      <c r="M1041" s="50" t="n">
        <v>17</v>
      </c>
      <c r="N1041" s="50" t="n">
        <v>50</v>
      </c>
      <c r="O1041" s="53" t="n">
        <v>42</v>
      </c>
      <c r="P1041" s="48" t="s">
        <v>302</v>
      </c>
      <c r="Q1041" s="50" t="n">
        <v>101</v>
      </c>
      <c r="R1041" s="53" t="n">
        <f aca="false">IF(BZ1041=1,0,IFERROR(VLOOKUP(BX1041,'Gebinde-Kategorie'!$A$5:$N$45,13,0)+0,0))</f>
        <v>12</v>
      </c>
      <c r="S1041" s="54"/>
      <c r="T1041" s="55"/>
      <c r="U1041" s="55"/>
      <c r="V1041" s="55"/>
      <c r="W1041" s="48"/>
      <c r="X1041" s="50"/>
      <c r="Y1041" s="50"/>
      <c r="Z1041" s="48" t="n">
        <f aca="false">IF(A1041="","",IF(AND(Parameter!$B$21="Ja",ISNUMBER(W1041)),W1041,IF(CC1041="2+3",IF(ISNUMBER(SEARCH("grosser Artikel",BU1041)),2,IFERROR(VLOOKUP(BX1041,Parameter!$F$35:$G$64,2,0),2)),IF(OR(CC1041="Nein",CC1041=""),"-",CC1041))))</f>
        <v>2</v>
      </c>
      <c r="AA1041" s="55"/>
      <c r="AB1041" s="56"/>
      <c r="AC1041" s="50" t="n">
        <f aca="false">AV1041</f>
        <v>85</v>
      </c>
      <c r="AD1041" s="50" t="n">
        <f aca="false">MAX(AV1041,H1041)</f>
        <v>85</v>
      </c>
      <c r="AE1041" s="57"/>
      <c r="AF1041" s="50" t="n">
        <f aca="false">IF(LEFT(Cockpit!$C$5,1)="A",H1041,IF(Parameter!$E$30="MAX-Bestand",IF(CH1041=1,CI1041,IF(LEFT(Cockpit!$C$5,1)="B",AL1041,MAX(AL1041,H1041))),ROUNDUP(AJ1041,0)))</f>
        <v>54</v>
      </c>
      <c r="AG1041" s="50" t="n">
        <f aca="false">IF(BZ1041=1,0,ROUNDUP(AF1041/BY1041,0))</f>
        <v>1</v>
      </c>
      <c r="AH1041" s="52" t="n">
        <f aca="false">IF(CQ1041&gt;0,CQ1041*MAX(1,AF1041/X1041),IF(BZ1041=1,IF(AF1041&lt;=0,0,CD1041*MAX(1,IF(H1041&gt;0,AF1041/H1041,1))),IF(R1041&gt;0,AG1041/R1041,0))/MAX(0.1,N(Parameter!$M$21)))</f>
        <v>0.0833333333333333</v>
      </c>
      <c r="AI1041" s="50" t="n">
        <f aca="false">AH1041*CB1041</f>
        <v>20.4166666666667</v>
      </c>
      <c r="AJ1041" s="51" t="n">
        <f aca="false">IF(LEFT(Cockpit!$C$5,1)="A",H1041,IF(CH1041=1,(CK1041+CI1041)/2,IF(LEFT(Cockpit!$C$5,1)="B",(CK1041+AL1041)/2,MAX((CK1041+AL1041)/2,H1041))))</f>
        <v>54</v>
      </c>
      <c r="AK1041" s="50" t="n">
        <f aca="false">AJ1041*G1041</f>
        <v>615.6</v>
      </c>
      <c r="AL1041" s="50" t="n">
        <f aca="false">ROUNDUP(CK1041+MAX(CL1041,2*(J1041/IF(CG1041&gt;0,CG1041,MAX(0.1,N(Cockpit!$C$6)))-CK1041)),0)</f>
        <v>85</v>
      </c>
      <c r="AM1041" s="51" t="n">
        <f aca="false">IF(AI1041&gt;0,J1041/AI1041,-1)</f>
        <v>7.49387755102041</v>
      </c>
      <c r="AN1041" s="51" t="n">
        <f aca="false">IF(AND(OR(CF1041="L1",CF1041="L23",CF1041="LIFT"),AI1041&gt;0),SUMIFS($AI$7:$AI$1843,$CF$7:$CF$1843,CF1041,$AM$7:$AM$1843,"&gt;"&amp;AM1041)+SUMIFS($AI$7:$AI$1843,$CF$7:$CF$1843,CF1041,$AM$7:$AM$1843,AM1041,$BW$7:$BW$1843,"&lt;="&amp;BW1041),"")</f>
        <v>3148.89743589744</v>
      </c>
      <c r="AO1041" s="58" t="n">
        <f aca="false">IF(AN1041="",0,MAX(0,MIN(1,(IF(CF1041="L1",Parameter!$H$5,IF(CF1041="L23",Parameter!$H$6+Parameter!$H$7,Parameter!$H$5+Parameter!$H$6+Parameter!$H$7))-(AN1041-AI1041))/AI1041)))</f>
        <v>1</v>
      </c>
      <c r="AP1041" s="50" t="n">
        <f aca="false">IF(LEFT(Cockpit!$I$5,1)="A",H1041,IF(Parameter!$E$30="MAX-Bestand",IF(CH1041=1,CI1041,IF(LEFT(Cockpit!$I$5,1)="B",AV1041,MAX(AV1041,H1041))),ROUNDUP(AT1041,0)))</f>
        <v>54</v>
      </c>
      <c r="AQ1041" s="50" t="n">
        <f aca="false">IF(BZ1041=1,0,ROUNDUP(AP1041/BY1041,0))</f>
        <v>1</v>
      </c>
      <c r="AR1041" s="52" t="n">
        <f aca="false">IF(CQ1041&gt;0,CQ1041*MAX(1,AP1041/X1041),IF(BZ1041=1,IF(AP1041&lt;=0,0,CD1041*MAX(1,IF(H1041&gt;0,AP1041/H1041,1))),IF(R1041&gt;0,AQ1041/R1041,0))/MAX(0.1,N(Parameter!$M$21)))</f>
        <v>0.0833333333333333</v>
      </c>
      <c r="AS1041" s="50" t="n">
        <f aca="false">AR1041*CB1041</f>
        <v>20.4166666666667</v>
      </c>
      <c r="AT1041" s="51" t="n">
        <f aca="false">IF(LEFT(Cockpit!$I$5,1)="A",H1041,IF(CH1041=1,(CK1041+CI1041)/2,IF(LEFT(Cockpit!$I$5,1)="B",(CK1041+AV1041)/2,MAX((CK1041+AV1041)/2,H1041))))</f>
        <v>54</v>
      </c>
      <c r="AU1041" s="50" t="n">
        <f aca="false">AT1041*G1041</f>
        <v>615.6</v>
      </c>
      <c r="AV1041" s="50" t="n">
        <f aca="false">ROUNDUP(CK1041+MAX(CL1041,2*(J1041/IF(CG1041&gt;0,CG1041,MAX(0.1,N(Cockpit!$I$6)))-CK1041)),0)</f>
        <v>85</v>
      </c>
      <c r="AW1041" s="51" t="n">
        <f aca="false">IF(AS1041&gt;0,J1041/AS1041,-1)</f>
        <v>7.49387755102041</v>
      </c>
      <c r="AX1041" s="51" t="n">
        <f aca="false">IF(AND(OR(CF1041="L1",CF1041="L23",CF1041="LIFT"),AS1041&gt;0),SUMIFS($AS$7:$AS$1843,$CF$7:$CF$1843,CF1041,$AW$7:$AW$1843,"&gt;"&amp;AW1041)+SUMIFS($AS$7:$AS$1843,$CF$7:$CF$1843,CF1041,$AW$7:$AW$1843,AW1041,$BW$7:$BW$1843,"&lt;="&amp;BW1041),"")</f>
        <v>3809.20879120879</v>
      </c>
      <c r="AY1041" s="58" t="n">
        <f aca="false">IF(AX1041="",0,MAX(0,MIN(1,(IF(CF1041="L1",Parameter!$H$5,IF(CF1041="L23",Parameter!$H$6+Parameter!$H$7,Parameter!$H$5+Parameter!$H$6+Parameter!$H$7))-(AX1041-AS1041))/AS1041)))</f>
        <v>1</v>
      </c>
      <c r="AZ1041" s="50" t="n">
        <f aca="false">IF(LEFT(Cockpit!$O$5,1)="A",H1041,IF(Parameter!$E$30="MAX-Bestand",IF(CH1041=1,CI1041,IF(LEFT(Cockpit!$O$5,1)="B",BF1041,MAX(BF1041,H1041))),ROUNDUP(BD1041,0)))</f>
        <v>42</v>
      </c>
      <c r="BA1041" s="50" t="n">
        <f aca="false">IF(BZ1041=1,0,ROUNDUP(AZ1041/BY1041,0))</f>
        <v>1</v>
      </c>
      <c r="BB1041" s="52" t="n">
        <f aca="false">IF(CQ1041&gt;0,CQ1041*MAX(1,AZ1041/X1041),IF(BZ1041=1,IF(AZ1041&lt;=0,0,CD1041*MAX(1,IF(H1041&gt;0,AZ1041/H1041,1))),IF(R1041&gt;0,BA1041/R1041,0))/MAX(0.1,N(Parameter!$M$21)))</f>
        <v>0.0833333333333333</v>
      </c>
      <c r="BC1041" s="50" t="n">
        <f aca="false">BB1041*CB1041</f>
        <v>20.4166666666667</v>
      </c>
      <c r="BD1041" s="51" t="n">
        <f aca="false">IF(LEFT(Cockpit!$O$5,1)="A",H1041,IF(CH1041=1,(CK1041+CI1041)/2,IF(LEFT(Cockpit!$O$5,1)="B",(CK1041+BF1041)/2,MAX((CK1041+BF1041)/2,H1041))))</f>
        <v>42</v>
      </c>
      <c r="BE1041" s="50" t="n">
        <f aca="false">BD1041*G1041</f>
        <v>478.8</v>
      </c>
      <c r="BF1041" s="50" t="n">
        <f aca="false">ROUNDUP(CK1041+MAX(CL1041,2*(J1041/IF(CG1041&gt;0,CG1041,MAX(0.1,N(Cockpit!$O$6)))-CK1041)),0)</f>
        <v>67</v>
      </c>
      <c r="BG1041" s="51" t="n">
        <f aca="false">IF(BC1041&gt;0,J1041/BC1041,-1)</f>
        <v>7.49387755102041</v>
      </c>
      <c r="BH1041" s="51" t="n">
        <f aca="false">IF(AND(OR(CF1041="L1",CF1041="L23",CF1041="LIFT"),BC1041&gt;0),SUMIFS($BC$7:$BC$1843,$CF$7:$CF$1843,CF1041,$BG$7:$BG$1843,"&gt;"&amp;BG1041)+SUMIFS($BC$7:$BC$1843,$CF$7:$CF$1843,CF1041,$BG$7:$BG$1843,BG1041,$BW$7:$BW$1843,"&lt;="&amp;BW1041),"")</f>
        <v>3206.73214285714</v>
      </c>
      <c r="BI1041" s="58" t="n">
        <f aca="false">IF(BH1041="",0,MAX(0,MIN(1,(IF(CF1041="L1",Parameter!$H$5,IF(CF1041="L23",Parameter!$H$6+Parameter!$H$7,Parameter!$H$5+Parameter!$H$6+Parameter!$H$7))-(BH1041-BC1041))/BC1041)))</f>
        <v>1</v>
      </c>
      <c r="BJ1041" s="48" t="str">
        <f aca="false">IF(AI1041&lt;=0,"",IF(CF1041="Aussen","Aussenlager",IF(CF1041="-","Nicht im Lift",IF(AO1041&gt;=1,"Lift",IF(AO1041&lt;=0,"Aussenlager","teilweise")))))</f>
        <v>Lift</v>
      </c>
      <c r="BK1041" s="48" t="str">
        <f aca="false">IF(AS1041&lt;=0,"",IF(CF1041="Aussen","Aussenlager",IF(CF1041="-","Nicht im Lift",IF(AY1041&gt;=1,"Lift",IF(AY1041&lt;=0,"Aussenlager","teilweise")))))</f>
        <v>Lift</v>
      </c>
      <c r="BL1041" s="48" t="str">
        <f aca="false">IF(BC1041&lt;=0,"",IF(CF1041="Aussen","Aussenlager",IF(CF1041="-","Nicht im Lift",IF(BI1041&gt;=1,"Lift",IF(BI1041&lt;=0,"Aussenlager","teilweise")))))</f>
        <v>Lift</v>
      </c>
      <c r="BM1041" s="48" t="str">
        <f aca="false">IF(A1041="","",IF(BV1041=1,"Neu; ","")&amp;IF(AND(BV1041=0,BQ1041&lt;0),"negativer Bestand (Export "&amp;BQ1041&amp;"); ","")&amp;IF(J1041&lt;=0,"Kein Verbrauch; ","")&amp;IF(CQ1041&gt;0,"Lift "&amp;W1041&amp;" lt. Liftbericht (Fach "&amp;X1041&amp;" Stk); ",IF(CA1041=1,"Gebinde geschätzt ("&amp;T1041&amp;"); ",IF(BZ1041=1,"Lose – Tablare geschätzt; ","")))&amp;IF(H1041&gt;AV1041,"Überbestand "&amp;ROUND(H1041-AV1041,0)&amp;" Stk / CHF "&amp;ROUND((H1041-AV1041)*G1041,0)&amp;"; ","")&amp;IF(AND(CH1041=1,CI1041&lt;CJ1041),"MAX &lt; MB+LG; ","")&amp;IF(AND(CP1041&gt;0,CO1041*10&gt;CP1041),"zu hoch für Tablar; ","")&amp;IF(AND(BV1041=0,OR(CH1041=1,AA1041&lt;&gt;"",U1041&lt;&gt;"",V1041&lt;&gt;"",AB1041&lt;&gt;"")),"manuell übersteuert; ","")&amp;IF(AND(BZ1041=0,R1041=0),"Gebinde unbekannt / Stellmass fehlt; ","")&amp;IF(AND(BZ1041=0,N(V1041)&lt;=0,N(Q1041)&lt;=0),"Menge pro Gebinde fehlt (Ist = 1 Gebinde); ","")&amp;BU1041)</f>
        <v>negativer Bestand (Export -12); </v>
      </c>
      <c r="BN1041" s="48"/>
      <c r="BO1041" s="48"/>
      <c r="BP1041" s="55"/>
      <c r="BQ1041" s="50" t="n">
        <v>-12</v>
      </c>
      <c r="BR1041" s="50" t="n">
        <v>66</v>
      </c>
      <c r="BS1041" s="49" t="n">
        <v>-136.8</v>
      </c>
      <c r="BT1041" s="50" t="n">
        <v>153</v>
      </c>
      <c r="BU1041" s="48"/>
      <c r="BV1041" s="53" t="n">
        <v>0</v>
      </c>
      <c r="BW1041" s="53" t="n">
        <v>1041</v>
      </c>
      <c r="BX1041" s="48" t="str">
        <f aca="false">IF(U1041&lt;&gt;"",UPPER(TRIM(U1041)),IF(CA1041=1,UPPER(VLOOKUP(T1041,Parameter!$I$27:$K$29,2,0)),IF(P1041="","LOSE",P1041)))</f>
        <v>S62</v>
      </c>
      <c r="BY1041" s="50" t="n">
        <f aca="false">IF(BX1041="LOSE",1,IF(N(V1041)&gt;0,V1041,IF(CA1041=1,MAX(1,N(VLOOKUP(T1041,Parameter!$I$27:$K$29,3,0)),H1041,N(N1041)),IF(N(Q1041)&gt;0,Q1041,MAX(1,H1041)))))</f>
        <v>101</v>
      </c>
      <c r="BZ1041" s="53" t="n">
        <f aca="false">IF(BX1041="LOSE",1,0)</f>
        <v>0</v>
      </c>
      <c r="CA1041" s="53" t="n">
        <f aca="false">IF(AND(U1041="",OR(P1041="",P1041="LOSE"),T1041&lt;&gt;"",N(S1041)&lt;=0,ISNUMBER(MATCH(T1041,Parameter!$I$27:$I$29,0))),1,0)</f>
        <v>0</v>
      </c>
      <c r="CB1041" s="53" t="n">
        <f aca="false">IF(CQ1041&gt;0,INDEX(Parameter!$H$5:$H$7,W1041)/INDEX(Parameter!$E$5:$E$7,W1041),IF(AND(BZ1041=0,N(IFERROR(VLOOKUP(BX1041,'Gebinde-Kategorie'!$A$5:$N$45,14,0),0))&gt;0),VLOOKUP(BX1041,'Gebinde-Kategorie'!$A$5:$N$45,14,0)*10+Parameter!$M$23,Parameter!$M$24))</f>
        <v>245</v>
      </c>
      <c r="CC1041" s="48" t="str">
        <f aca="false">IF(AND(Parameter!$B$19="Ja",E1041&lt;&gt;"",ISNUMBER(MATCH(E1041,Parameter!$I$35:$I$52,0))),VLOOKUP(E1041,Parameter!$I$35:$J$52,2,0),IFERROR(VLOOKUP(D1041,Parameter!$A$35:$C$64,2,0),"Nein"))</f>
        <v>2+3</v>
      </c>
      <c r="CD1041" s="52" t="n">
        <f aca="false">IF(BZ1041=0,0,IF(N(S1041)&gt;0,S1041,IFERROR(VLOOKUP(D1041,Parameter!$A$35:$C$64,3,0)+0,0)))</f>
        <v>0</v>
      </c>
      <c r="CE1041" s="48" t="n">
        <f aca="false">IF(AA1041&lt;&gt;"",AA1041,Z1041)</f>
        <v>2</v>
      </c>
      <c r="CF1041" s="48" t="str">
        <f aca="false">IF(OR(CE1041=1,CE1041=2,CE1041=3),IF(Parameter!$E$27="Ja","LIFT",IF(CE1041=1,"L1","L23")),IF(CE1041="Aussen","Aussen","-"))</f>
        <v>LIFT</v>
      </c>
      <c r="CG1041" s="59" t="n">
        <f aca="false">IF(N(AB1041)&gt;0,AB1041,0)</f>
        <v>0</v>
      </c>
      <c r="CH1041" s="53" t="n">
        <f aca="false">IF(ISNUMBER(AE1041),1,0)</f>
        <v>0</v>
      </c>
      <c r="CI1041" s="50" t="n">
        <f aca="false">N(AE1041)</f>
        <v>0</v>
      </c>
      <c r="CJ1041" s="50" t="n">
        <f aca="false">N(M1041)+N(N1041)</f>
        <v>67</v>
      </c>
      <c r="CK1041" s="50" t="n">
        <f aca="false">N(M1041)</f>
        <v>17</v>
      </c>
      <c r="CL1041" s="50" t="n">
        <f aca="false">N(N1041)</f>
        <v>50</v>
      </c>
      <c r="CM1041" s="50" t="n">
        <f aca="false">ROUNDUP(H1041/BY1041,0)</f>
        <v>1</v>
      </c>
      <c r="CN1041" s="50" t="n">
        <f aca="false">ROUNDUP(CI1041/BY1041,0)</f>
        <v>0</v>
      </c>
      <c r="CO1041" s="53" t="n">
        <f aca="false">IF(BZ1041=1,0,IFERROR(VLOOKUP(BX1041,'Gebinde-Kategorie'!$A$5:$N$45,5,0)+0,0))</f>
        <v>21</v>
      </c>
      <c r="CP1041" s="53" t="n">
        <f aca="false">IFERROR(IF(OR(CE1041=1,CE1041=2,CE1041=3),N(INDEX(Parameter!$I$5:$I$7,CE1041)),0),0)</f>
        <v>0</v>
      </c>
      <c r="CQ1041" s="52" t="n">
        <f aca="false">IF(AND(Parameter!$B$21="Ja",ISNUMBER(W1041),N(X1041)&gt;0),IFERROR(N(INDEX(Parameter!$L$5:$L$7,W1041))*INDEX(Parameter!$E$5:$E$7,W1041)*X1041/SUMIFS($X$7:$X$1843,$W$7:$W$1843,W1041),0),0)</f>
        <v>0</v>
      </c>
    </row>
    <row r="1042" customFormat="false" ht="15" hidden="false" customHeight="false" outlineLevel="0" collapsed="false">
      <c r="A1042" s="48" t="s">
        <v>1920</v>
      </c>
      <c r="B1042" s="48" t="s">
        <v>1921</v>
      </c>
      <c r="C1042" s="48" t="s">
        <v>173</v>
      </c>
      <c r="D1042" s="48" t="s">
        <v>182</v>
      </c>
      <c r="E1042" s="48"/>
      <c r="F1042" s="48" t="s">
        <v>227</v>
      </c>
      <c r="G1042" s="49" t="n">
        <v>18.72</v>
      </c>
      <c r="H1042" s="50" t="n">
        <f aca="false">MAX(0,IF(AND(Parameter!$B$21="Ja",ISNUMBER(Y1042)),Y1042,IF(Parameter!$B$20="Jahresanfang 2025 + Export",BR1042+BQ1042,BQ1042)))</f>
        <v>3</v>
      </c>
      <c r="I1042" s="50" t="n">
        <f aca="false">H1042*G1042</f>
        <v>56.16</v>
      </c>
      <c r="J1042" s="50" t="n">
        <f aca="false">BT1042*Parameter!$B$18</f>
        <v>15</v>
      </c>
      <c r="K1042" s="51" t="n">
        <v>8.5</v>
      </c>
      <c r="L1042" s="52" t="n">
        <v>1.76470588235294</v>
      </c>
      <c r="M1042" s="50" t="n">
        <v>1</v>
      </c>
      <c r="N1042" s="50" t="n">
        <v>15</v>
      </c>
      <c r="O1042" s="53" t="n">
        <v>35</v>
      </c>
      <c r="P1042" s="48" t="s">
        <v>435</v>
      </c>
      <c r="Q1042" s="50" t="n">
        <v>10</v>
      </c>
      <c r="R1042" s="53" t="n">
        <f aca="false">IF(BZ1042=1,0,IFERROR(VLOOKUP(BX1042,'Gebinde-Kategorie'!$A$5:$N$45,13,0)+0,0))</f>
        <v>140</v>
      </c>
      <c r="S1042" s="54"/>
      <c r="T1042" s="55"/>
      <c r="U1042" s="55"/>
      <c r="V1042" s="55"/>
      <c r="W1042" s="48"/>
      <c r="X1042" s="50"/>
      <c r="Y1042" s="50"/>
      <c r="Z1042" s="48" t="n">
        <f aca="false">IF(A1042="","",IF(AND(Parameter!$B$21="Ja",ISNUMBER(W1042)),W1042,IF(CC1042="2+3",IF(ISNUMBER(SEARCH("grosser Artikel",BU1042)),2,IFERROR(VLOOKUP(BX1042,Parameter!$F$35:$G$64,2,0),2)),IF(OR(CC1042="Nein",CC1042=""),"-",CC1042))))</f>
        <v>3</v>
      </c>
      <c r="AA1042" s="55"/>
      <c r="AB1042" s="56"/>
      <c r="AC1042" s="50" t="n">
        <f aca="false">AV1042</f>
        <v>16</v>
      </c>
      <c r="AD1042" s="50" t="n">
        <f aca="false">MAX(AV1042,H1042)</f>
        <v>16</v>
      </c>
      <c r="AE1042" s="57"/>
      <c r="AF1042" s="50" t="n">
        <f aca="false">IF(LEFT(Cockpit!$C$5,1)="A",H1042,IF(Parameter!$E$30="MAX-Bestand",IF(CH1042=1,CI1042,IF(LEFT(Cockpit!$C$5,1)="B",AL1042,MAX(AL1042,H1042))),ROUNDUP(AJ1042,0)))</f>
        <v>3</v>
      </c>
      <c r="AG1042" s="50" t="n">
        <f aca="false">IF(BZ1042=1,0,ROUNDUP(AF1042/BY1042,0))</f>
        <v>1</v>
      </c>
      <c r="AH1042" s="52" t="n">
        <f aca="false">IF(CQ1042&gt;0,CQ1042*MAX(1,AF1042/X1042),IF(BZ1042=1,IF(AF1042&lt;=0,0,CD1042*MAX(1,IF(H1042&gt;0,AF1042/H1042,1))),IF(R1042&gt;0,AG1042/R1042,0))/MAX(0.1,N(Parameter!$M$21)))</f>
        <v>0.00714285714285714</v>
      </c>
      <c r="AI1042" s="50" t="n">
        <f aca="false">AH1042*CB1042</f>
        <v>1.10714285714286</v>
      </c>
      <c r="AJ1042" s="51" t="n">
        <f aca="false">IF(LEFT(Cockpit!$C$5,1)="A",H1042,IF(CH1042=1,(CK1042+CI1042)/2,IF(LEFT(Cockpit!$C$5,1)="B",(CK1042+AL1042)/2,MAX((CK1042+AL1042)/2,H1042))))</f>
        <v>3</v>
      </c>
      <c r="AK1042" s="50" t="n">
        <f aca="false">AJ1042*G1042</f>
        <v>56.16</v>
      </c>
      <c r="AL1042" s="50" t="n">
        <f aca="false">ROUNDUP(CK1042+MAX(CL1042,2*(J1042/IF(CG1042&gt;0,CG1042,MAX(0.1,N(Cockpit!$C$6)))-CK1042)),0)</f>
        <v>16</v>
      </c>
      <c r="AM1042" s="51" t="n">
        <f aca="false">IF(AI1042&gt;0,J1042/AI1042,-1)</f>
        <v>13.5483870967742</v>
      </c>
      <c r="AN1042" s="51" t="n">
        <f aca="false">IF(AND(OR(CF1042="L1",CF1042="L23",CF1042="LIFT"),AI1042&gt;0),SUMIFS($AI$7:$AI$1843,$CF$7:$CF$1843,CF1042,$AM$7:$AM$1843,"&gt;"&amp;AM1042)+SUMIFS($AI$7:$AI$1843,$CF$7:$CF$1843,CF1042,$AM$7:$AM$1843,AM1042,$BW$7:$BW$1843,"&lt;="&amp;BW1042),"")</f>
        <v>2342.83608058608</v>
      </c>
      <c r="AO1042" s="58" t="n">
        <f aca="false">IF(AN1042="",0,MAX(0,MIN(1,(IF(CF1042="L1",Parameter!$H$5,IF(CF1042="L23",Parameter!$H$6+Parameter!$H$7,Parameter!$H$5+Parameter!$H$6+Parameter!$H$7))-(AN1042-AI1042))/AI1042)))</f>
        <v>1</v>
      </c>
      <c r="AP1042" s="50" t="n">
        <f aca="false">IF(LEFT(Cockpit!$I$5,1)="A",H1042,IF(Parameter!$E$30="MAX-Bestand",IF(CH1042=1,CI1042,IF(LEFT(Cockpit!$I$5,1)="B",AV1042,MAX(AV1042,H1042))),ROUNDUP(AT1042,0)))</f>
        <v>9</v>
      </c>
      <c r="AQ1042" s="50" t="n">
        <f aca="false">IF(BZ1042=1,0,ROUNDUP(AP1042/BY1042,0))</f>
        <v>1</v>
      </c>
      <c r="AR1042" s="52" t="n">
        <f aca="false">IF(CQ1042&gt;0,CQ1042*MAX(1,AP1042/X1042),IF(BZ1042=1,IF(AP1042&lt;=0,0,CD1042*MAX(1,IF(H1042&gt;0,AP1042/H1042,1))),IF(R1042&gt;0,AQ1042/R1042,0))/MAX(0.1,N(Parameter!$M$21)))</f>
        <v>0.00714285714285714</v>
      </c>
      <c r="AS1042" s="50" t="n">
        <f aca="false">AR1042*CB1042</f>
        <v>1.10714285714286</v>
      </c>
      <c r="AT1042" s="51" t="n">
        <f aca="false">IF(LEFT(Cockpit!$I$5,1)="A",H1042,IF(CH1042=1,(CK1042+CI1042)/2,IF(LEFT(Cockpit!$I$5,1)="B",(CK1042+AV1042)/2,MAX((CK1042+AV1042)/2,H1042))))</f>
        <v>8.5</v>
      </c>
      <c r="AU1042" s="50" t="n">
        <f aca="false">AT1042*G1042</f>
        <v>159.12</v>
      </c>
      <c r="AV1042" s="50" t="n">
        <f aca="false">ROUNDUP(CK1042+MAX(CL1042,2*(J1042/IF(CG1042&gt;0,CG1042,MAX(0.1,N(Cockpit!$I$6)))-CK1042)),0)</f>
        <v>16</v>
      </c>
      <c r="AW1042" s="51" t="n">
        <f aca="false">IF(AS1042&gt;0,J1042/AS1042,-1)</f>
        <v>13.5483870967742</v>
      </c>
      <c r="AX1042" s="51" t="n">
        <f aca="false">IF(AND(OR(CF1042="L1",CF1042="L23",CF1042="LIFT"),AS1042&gt;0),SUMIFS($AS$7:$AS$1843,$CF$7:$CF$1843,CF1042,$AW$7:$AW$1843,"&gt;"&amp;AW1042)+SUMIFS($AS$7:$AS$1843,$CF$7:$CF$1843,CF1042,$AW$7:$AW$1843,AW1042,$BW$7:$BW$1843,"&lt;="&amp;BW1042),"")</f>
        <v>2962.02289377289</v>
      </c>
      <c r="AY1042" s="58" t="n">
        <f aca="false">IF(AX1042="",0,MAX(0,MIN(1,(IF(CF1042="L1",Parameter!$H$5,IF(CF1042="L23",Parameter!$H$6+Parameter!$H$7,Parameter!$H$5+Parameter!$H$6+Parameter!$H$7))-(AX1042-AS1042))/AS1042)))</f>
        <v>1</v>
      </c>
      <c r="AZ1042" s="50" t="n">
        <f aca="false">IF(LEFT(Cockpit!$O$5,1)="A",H1042,IF(Parameter!$E$30="MAX-Bestand",IF(CH1042=1,CI1042,IF(LEFT(Cockpit!$O$5,1)="B",BF1042,MAX(BF1042,H1042))),ROUNDUP(BD1042,0)))</f>
        <v>9</v>
      </c>
      <c r="BA1042" s="50" t="n">
        <f aca="false">IF(BZ1042=1,0,ROUNDUP(AZ1042/BY1042,0))</f>
        <v>1</v>
      </c>
      <c r="BB1042" s="52" t="n">
        <f aca="false">IF(CQ1042&gt;0,CQ1042*MAX(1,AZ1042/X1042),IF(BZ1042=1,IF(AZ1042&lt;=0,0,CD1042*MAX(1,IF(H1042&gt;0,AZ1042/H1042,1))),IF(R1042&gt;0,BA1042/R1042,0))/MAX(0.1,N(Parameter!$M$21)))</f>
        <v>0.00714285714285714</v>
      </c>
      <c r="BC1042" s="50" t="n">
        <f aca="false">BB1042*CB1042</f>
        <v>1.10714285714286</v>
      </c>
      <c r="BD1042" s="51" t="n">
        <f aca="false">IF(LEFT(Cockpit!$O$5,1)="A",H1042,IF(CH1042=1,(CK1042+CI1042)/2,IF(LEFT(Cockpit!$O$5,1)="B",(CK1042+BF1042)/2,MAX((CK1042+BF1042)/2,H1042))))</f>
        <v>8.5</v>
      </c>
      <c r="BE1042" s="50" t="n">
        <f aca="false">BD1042*G1042</f>
        <v>159.12</v>
      </c>
      <c r="BF1042" s="50" t="n">
        <f aca="false">ROUNDUP(CK1042+MAX(CL1042,2*(J1042/IF(CG1042&gt;0,CG1042,MAX(0.1,N(Cockpit!$O$6)))-CK1042)),0)</f>
        <v>16</v>
      </c>
      <c r="BG1042" s="51" t="n">
        <f aca="false">IF(BC1042&gt;0,J1042/BC1042,-1)</f>
        <v>13.5483870967742</v>
      </c>
      <c r="BH1042" s="51" t="n">
        <f aca="false">IF(AND(OR(CF1042="L1",CF1042="L23",CF1042="LIFT"),BC1042&gt;0),SUMIFS($BC$7:$BC$1843,$CF$7:$CF$1843,CF1042,$BG$7:$BG$1843,"&gt;"&amp;BG1042)+SUMIFS($BC$7:$BC$1843,$CF$7:$CF$1843,CF1042,$BG$7:$BG$1843,BG1042,$BW$7:$BW$1843,"&lt;="&amp;BW1042),"")</f>
        <v>2502.8543956044</v>
      </c>
      <c r="BI1042" s="58" t="n">
        <f aca="false">IF(BH1042="",0,MAX(0,MIN(1,(IF(CF1042="L1",Parameter!$H$5,IF(CF1042="L23",Parameter!$H$6+Parameter!$H$7,Parameter!$H$5+Parameter!$H$6+Parameter!$H$7))-(BH1042-BC1042))/BC1042)))</f>
        <v>1</v>
      </c>
      <c r="BJ1042" s="48" t="str">
        <f aca="false">IF(AI1042&lt;=0,"",IF(CF1042="Aussen","Aussenlager",IF(CF1042="-","Nicht im Lift",IF(AO1042&gt;=1,"Lift",IF(AO1042&lt;=0,"Aussenlager","teilweise")))))</f>
        <v>Lift</v>
      </c>
      <c r="BK1042" s="48" t="str">
        <f aca="false">IF(AS1042&lt;=0,"",IF(CF1042="Aussen","Aussenlager",IF(CF1042="-","Nicht im Lift",IF(AY1042&gt;=1,"Lift",IF(AY1042&lt;=0,"Aussenlager","teilweise")))))</f>
        <v>Lift</v>
      </c>
      <c r="BL1042" s="48" t="str">
        <f aca="false">IF(BC1042&lt;=0,"",IF(CF1042="Aussen","Aussenlager",IF(CF1042="-","Nicht im Lift",IF(BI1042&gt;=1,"Lift",IF(BI1042&lt;=0,"Aussenlager","teilweise")))))</f>
        <v>Lift</v>
      </c>
      <c r="BM1042" s="48" t="str">
        <f aca="false">IF(A1042="","",IF(BV1042=1,"Neu; ","")&amp;IF(AND(BV1042=0,BQ1042&lt;0),"negativer Bestand (Export "&amp;BQ1042&amp;"); ","")&amp;IF(J1042&lt;=0,"Kein Verbrauch; ","")&amp;IF(CQ1042&gt;0,"Lift "&amp;W1042&amp;" lt. Liftbericht (Fach "&amp;X1042&amp;" Stk); ",IF(CA1042=1,"Gebinde geschätzt ("&amp;T1042&amp;"); ",IF(BZ1042=1,"Lose – Tablare geschätzt; ","")))&amp;IF(H1042&gt;AV1042,"Überbestand "&amp;ROUND(H1042-AV1042,0)&amp;" Stk / CHF "&amp;ROUND((H1042-AV1042)*G1042,0)&amp;"; ","")&amp;IF(AND(CH1042=1,CI1042&lt;CJ1042),"MAX &lt; MB+LG; ","")&amp;IF(AND(CP1042&gt;0,CO1042*10&gt;CP1042),"zu hoch für Tablar; ","")&amp;IF(AND(BV1042=0,OR(CH1042=1,AA1042&lt;&gt;"",U1042&lt;&gt;"",V1042&lt;&gt;"",AB1042&lt;&gt;"")),"manuell übersteuert; ","")&amp;IF(AND(BZ1042=0,R1042=0),"Gebinde unbekannt / Stellmass fehlt; ","")&amp;IF(AND(BZ1042=0,N(V1042)&lt;=0,N(Q1042)&lt;=0),"Menge pro Gebinde fehlt (Ist = 1 Gebinde); ","")&amp;BU1042)</f>
        <v>negativer Bestand (Export -8); </v>
      </c>
      <c r="BN1042" s="48"/>
      <c r="BO1042" s="48"/>
      <c r="BP1042" s="55"/>
      <c r="BQ1042" s="50" t="n">
        <v>-8</v>
      </c>
      <c r="BR1042" s="50" t="n">
        <v>11</v>
      </c>
      <c r="BS1042" s="49" t="n">
        <v>-137.11</v>
      </c>
      <c r="BT1042" s="50" t="n">
        <v>15</v>
      </c>
      <c r="BU1042" s="48"/>
      <c r="BV1042" s="53" t="n">
        <v>0</v>
      </c>
      <c r="BW1042" s="53" t="n">
        <v>1042</v>
      </c>
      <c r="BX1042" s="48" t="str">
        <f aca="false">IF(U1042&lt;&gt;"",UPPER(TRIM(U1042)),IF(CA1042=1,UPPER(VLOOKUP(T1042,Parameter!$I$27:$K$29,2,0)),IF(P1042="","LOSE",P1042)))</f>
        <v>S22</v>
      </c>
      <c r="BY1042" s="50" t="n">
        <f aca="false">IF(BX1042="LOSE",1,IF(N(V1042)&gt;0,V1042,IF(CA1042=1,MAX(1,N(VLOOKUP(T1042,Parameter!$I$27:$K$29,3,0)),H1042,N(N1042)),IF(N(Q1042)&gt;0,Q1042,MAX(1,H1042)))))</f>
        <v>10</v>
      </c>
      <c r="BZ1042" s="53" t="n">
        <f aca="false">IF(BX1042="LOSE",1,0)</f>
        <v>0</v>
      </c>
      <c r="CA1042" s="53" t="n">
        <f aca="false">IF(AND(U1042="",OR(P1042="",P1042="LOSE"),T1042&lt;&gt;"",N(S1042)&lt;=0,ISNUMBER(MATCH(T1042,Parameter!$I$27:$I$29,0))),1,0)</f>
        <v>0</v>
      </c>
      <c r="CB1042" s="53" t="n">
        <f aca="false">IF(CQ1042&gt;0,INDEX(Parameter!$H$5:$H$7,W1042)/INDEX(Parameter!$E$5:$E$7,W1042),IF(AND(BZ1042=0,N(IFERROR(VLOOKUP(BX1042,'Gebinde-Kategorie'!$A$5:$N$45,14,0),0))&gt;0),VLOOKUP(BX1042,'Gebinde-Kategorie'!$A$5:$N$45,14,0)*10+Parameter!$M$23,Parameter!$M$24))</f>
        <v>155</v>
      </c>
      <c r="CC1042" s="48" t="str">
        <f aca="false">IF(AND(Parameter!$B$19="Ja",E1042&lt;&gt;"",ISNUMBER(MATCH(E1042,Parameter!$I$35:$I$52,0))),VLOOKUP(E1042,Parameter!$I$35:$J$52,2,0),IFERROR(VLOOKUP(D1042,Parameter!$A$35:$C$64,2,0),"Nein"))</f>
        <v>2+3</v>
      </c>
      <c r="CD1042" s="52" t="n">
        <f aca="false">IF(BZ1042=0,0,IF(N(S1042)&gt;0,S1042,IFERROR(VLOOKUP(D1042,Parameter!$A$35:$C$64,3,0)+0,0)))</f>
        <v>0</v>
      </c>
      <c r="CE1042" s="48" t="n">
        <f aca="false">IF(AA1042&lt;&gt;"",AA1042,Z1042)</f>
        <v>3</v>
      </c>
      <c r="CF1042" s="48" t="str">
        <f aca="false">IF(OR(CE1042=1,CE1042=2,CE1042=3),IF(Parameter!$E$27="Ja","LIFT",IF(CE1042=1,"L1","L23")),IF(CE1042="Aussen","Aussen","-"))</f>
        <v>LIFT</v>
      </c>
      <c r="CG1042" s="59" t="n">
        <f aca="false">IF(N(AB1042)&gt;0,AB1042,0)</f>
        <v>0</v>
      </c>
      <c r="CH1042" s="53" t="n">
        <f aca="false">IF(ISNUMBER(AE1042),1,0)</f>
        <v>0</v>
      </c>
      <c r="CI1042" s="50" t="n">
        <f aca="false">N(AE1042)</f>
        <v>0</v>
      </c>
      <c r="CJ1042" s="50" t="n">
        <f aca="false">N(M1042)+N(N1042)</f>
        <v>16</v>
      </c>
      <c r="CK1042" s="50" t="n">
        <f aca="false">N(M1042)</f>
        <v>1</v>
      </c>
      <c r="CL1042" s="50" t="n">
        <f aca="false">N(N1042)</f>
        <v>15</v>
      </c>
      <c r="CM1042" s="50" t="n">
        <f aca="false">ROUNDUP(H1042/BY1042,0)</f>
        <v>1</v>
      </c>
      <c r="CN1042" s="50" t="n">
        <f aca="false">ROUNDUP(CI1042/BY1042,0)</f>
        <v>0</v>
      </c>
      <c r="CO1042" s="53" t="n">
        <f aca="false">IF(BZ1042=1,0,IFERROR(VLOOKUP(BX1042,'Gebinde-Kategorie'!$A$5:$N$45,5,0)+0,0))</f>
        <v>8</v>
      </c>
      <c r="CP1042" s="53" t="n">
        <f aca="false">IFERROR(IF(OR(CE1042=1,CE1042=2,CE1042=3),N(INDEX(Parameter!$I$5:$I$7,CE1042)),0),0)</f>
        <v>0</v>
      </c>
      <c r="CQ1042" s="52" t="n">
        <f aca="false">IF(AND(Parameter!$B$21="Ja",ISNUMBER(W1042),N(X1042)&gt;0),IFERROR(N(INDEX(Parameter!$L$5:$L$7,W1042))*INDEX(Parameter!$E$5:$E$7,W1042)*X1042/SUMIFS($X$7:$X$1843,$W$7:$W$1843,W1042),0),0)</f>
        <v>0</v>
      </c>
    </row>
    <row r="1043" customFormat="false" ht="15" hidden="false" customHeight="false" outlineLevel="0" collapsed="false">
      <c r="A1043" s="48" t="s">
        <v>1922</v>
      </c>
      <c r="B1043" s="48" t="s">
        <v>1923</v>
      </c>
      <c r="C1043" s="48" t="s">
        <v>173</v>
      </c>
      <c r="D1043" s="48" t="s">
        <v>193</v>
      </c>
      <c r="E1043" s="48" t="s">
        <v>194</v>
      </c>
      <c r="F1043" s="48" t="s">
        <v>227</v>
      </c>
      <c r="G1043" s="49" t="n">
        <v>137.89</v>
      </c>
      <c r="H1043" s="50" t="n">
        <f aca="false">MAX(0,IF(AND(Parameter!$B$21="Ja",ISNUMBER(Y1043)),Y1043,IF(Parameter!$B$20="Jahresanfang 2025 + Export",BR1043+BQ1043,BQ1043)))</f>
        <v>22</v>
      </c>
      <c r="I1043" s="50" t="n">
        <f aca="false">H1043*G1043</f>
        <v>3033.58</v>
      </c>
      <c r="J1043" s="50" t="n">
        <f aca="false">BT1043*Parameter!$B$18</f>
        <v>1</v>
      </c>
      <c r="K1043" s="51" t="n">
        <v>22.5</v>
      </c>
      <c r="L1043" s="52" t="n">
        <v>0.0444444444444445</v>
      </c>
      <c r="M1043" s="50" t="n">
        <v>0</v>
      </c>
      <c r="N1043" s="50" t="n">
        <v>1</v>
      </c>
      <c r="O1043" s="53" t="n">
        <v>14</v>
      </c>
      <c r="P1043" s="48" t="s">
        <v>337</v>
      </c>
      <c r="Q1043" s="50" t="n">
        <v>47</v>
      </c>
      <c r="R1043" s="53" t="n">
        <f aca="false">IF(BZ1043=1,0,IFERROR(VLOOKUP(BX1043,'Gebinde-Kategorie'!$A$5:$N$45,13,0)+0,0))</f>
        <v>52</v>
      </c>
      <c r="S1043" s="54"/>
      <c r="T1043" s="55"/>
      <c r="U1043" s="55"/>
      <c r="V1043" s="55"/>
      <c r="W1043" s="48"/>
      <c r="X1043" s="50"/>
      <c r="Y1043" s="50"/>
      <c r="Z1043" s="48" t="n">
        <f aca="false">IF(A1043="","",IF(AND(Parameter!$B$21="Ja",ISNUMBER(W1043)),W1043,IF(CC1043="2+3",IF(ISNUMBER(SEARCH("grosser Artikel",BU1043)),2,IFERROR(VLOOKUP(BX1043,Parameter!$F$35:$G$64,2,0),2)),IF(OR(CC1043="Nein",CC1043=""),"-",CC1043))))</f>
        <v>3</v>
      </c>
      <c r="AA1043" s="55"/>
      <c r="AB1043" s="56"/>
      <c r="AC1043" s="50" t="n">
        <f aca="false">AV1043</f>
        <v>1</v>
      </c>
      <c r="AD1043" s="50" t="n">
        <f aca="false">MAX(AV1043,H1043)</f>
        <v>22</v>
      </c>
      <c r="AE1043" s="57"/>
      <c r="AF1043" s="50" t="n">
        <f aca="false">IF(LEFT(Cockpit!$C$5,1)="A",H1043,IF(Parameter!$E$30="MAX-Bestand",IF(CH1043=1,CI1043,IF(LEFT(Cockpit!$C$5,1)="B",AL1043,MAX(AL1043,H1043))),ROUNDUP(AJ1043,0)))</f>
        <v>22</v>
      </c>
      <c r="AG1043" s="50" t="n">
        <f aca="false">IF(BZ1043=1,0,ROUNDUP(AF1043/BY1043,0))</f>
        <v>1</v>
      </c>
      <c r="AH1043" s="52" t="n">
        <f aca="false">IF(CQ1043&gt;0,CQ1043*MAX(1,AF1043/X1043),IF(BZ1043=1,IF(AF1043&lt;=0,0,CD1043*MAX(1,IF(H1043&gt;0,AF1043/H1043,1))),IF(R1043&gt;0,AG1043/R1043,0))/MAX(0.1,N(Parameter!$M$21)))</f>
        <v>0.0192307692307692</v>
      </c>
      <c r="AI1043" s="50" t="n">
        <f aca="false">AH1043*CB1043</f>
        <v>2.98076923076923</v>
      </c>
      <c r="AJ1043" s="51" t="n">
        <f aca="false">IF(LEFT(Cockpit!$C$5,1)="A",H1043,IF(CH1043=1,(CK1043+CI1043)/2,IF(LEFT(Cockpit!$C$5,1)="B",(CK1043+AL1043)/2,MAX((CK1043+AL1043)/2,H1043))))</f>
        <v>22</v>
      </c>
      <c r="AK1043" s="50" t="n">
        <f aca="false">AJ1043*G1043</f>
        <v>3033.58</v>
      </c>
      <c r="AL1043" s="50" t="n">
        <f aca="false">ROUNDUP(CK1043+MAX(CL1043,2*(J1043/IF(CG1043&gt;0,CG1043,MAX(0.1,N(Cockpit!$C$6)))-CK1043)),0)</f>
        <v>1</v>
      </c>
      <c r="AM1043" s="51" t="n">
        <f aca="false">IF(AI1043&gt;0,J1043/AI1043,-1)</f>
        <v>0.335483870967742</v>
      </c>
      <c r="AN1043" s="51" t="n">
        <f aca="false">IF(AND(OR(CF1043="L1",CF1043="L23",CF1043="LIFT"),AI1043&gt;0),SUMIFS($AI$7:$AI$1843,$CF$7:$CF$1843,CF1043,$AM$7:$AM$1843,"&gt;"&amp;AM1043)+SUMIFS($AI$7:$AI$1843,$CF$7:$CF$1843,CF1043,$AM$7:$AM$1843,AM1043,$BW$7:$BW$1843,"&lt;="&amp;BW1043),"")</f>
        <v>11218.8078087167</v>
      </c>
      <c r="AO1043" s="58" t="n">
        <f aca="false">IF(AN1043="",0,MAX(0,MIN(1,(IF(CF1043="L1",Parameter!$H$5,IF(CF1043="L23",Parameter!$H$6+Parameter!$H$7,Parameter!$H$5+Parameter!$H$6+Parameter!$H$7))-(AN1043-AI1043))/AI1043)))</f>
        <v>1</v>
      </c>
      <c r="AP1043" s="50" t="n">
        <f aca="false">IF(LEFT(Cockpit!$I$5,1)="A",H1043,IF(Parameter!$E$30="MAX-Bestand",IF(CH1043=1,CI1043,IF(LEFT(Cockpit!$I$5,1)="B",AV1043,MAX(AV1043,H1043))),ROUNDUP(AT1043,0)))</f>
        <v>22</v>
      </c>
      <c r="AQ1043" s="50" t="n">
        <f aca="false">IF(BZ1043=1,0,ROUNDUP(AP1043/BY1043,0))</f>
        <v>1</v>
      </c>
      <c r="AR1043" s="52" t="n">
        <f aca="false">IF(CQ1043&gt;0,CQ1043*MAX(1,AP1043/X1043),IF(BZ1043=1,IF(AP1043&lt;=0,0,CD1043*MAX(1,IF(H1043&gt;0,AP1043/H1043,1))),IF(R1043&gt;0,AQ1043/R1043,0))/MAX(0.1,N(Parameter!$M$21)))</f>
        <v>0.0192307692307692</v>
      </c>
      <c r="AS1043" s="50" t="n">
        <f aca="false">AR1043*CB1043</f>
        <v>2.98076923076923</v>
      </c>
      <c r="AT1043" s="51" t="n">
        <f aca="false">IF(LEFT(Cockpit!$I$5,1)="A",H1043,IF(CH1043=1,(CK1043+CI1043)/2,IF(LEFT(Cockpit!$I$5,1)="B",(CK1043+AV1043)/2,MAX((CK1043+AV1043)/2,H1043))))</f>
        <v>22</v>
      </c>
      <c r="AU1043" s="50" t="n">
        <f aca="false">AT1043*G1043</f>
        <v>3033.58</v>
      </c>
      <c r="AV1043" s="50" t="n">
        <f aca="false">ROUNDUP(CK1043+MAX(CL1043,2*(J1043/IF(CG1043&gt;0,CG1043,MAX(0.1,N(Cockpit!$I$6)))-CK1043)),0)</f>
        <v>1</v>
      </c>
      <c r="AW1043" s="51" t="n">
        <f aca="false">IF(AS1043&gt;0,J1043/AS1043,-1)</f>
        <v>0.335483870967742</v>
      </c>
      <c r="AX1043" s="51" t="n">
        <f aca="false">IF(AND(OR(CF1043="L1",CF1043="L23",CF1043="LIFT"),AS1043&gt;0),SUMIFS($AS$7:$AS$1843,$CF$7:$CF$1843,CF1043,$AW$7:$AW$1843,"&gt;"&amp;AW1043)+SUMIFS($AS$7:$AS$1843,$CF$7:$CF$1843,CF1043,$AW$7:$AW$1843,AW1043,$BW$7:$BW$1843,"&lt;="&amp;BW1043),"")</f>
        <v>13752.9455128205</v>
      </c>
      <c r="AY1043" s="58" t="n">
        <f aca="false">IF(AX1043="",0,MAX(0,MIN(1,(IF(CF1043="L1",Parameter!$H$5,IF(CF1043="L23",Parameter!$H$6+Parameter!$H$7,Parameter!$H$5+Parameter!$H$6+Parameter!$H$7))-(AX1043-AS1043))/AS1043)))</f>
        <v>1</v>
      </c>
      <c r="AZ1043" s="50" t="n">
        <f aca="false">IF(LEFT(Cockpit!$O$5,1)="A",H1043,IF(Parameter!$E$30="MAX-Bestand",IF(CH1043=1,CI1043,IF(LEFT(Cockpit!$O$5,1)="B",BF1043,MAX(BF1043,H1043))),ROUNDUP(BD1043,0)))</f>
        <v>1</v>
      </c>
      <c r="BA1043" s="50" t="n">
        <f aca="false">IF(BZ1043=1,0,ROUNDUP(AZ1043/BY1043,0))</f>
        <v>1</v>
      </c>
      <c r="BB1043" s="52" t="n">
        <f aca="false">IF(CQ1043&gt;0,CQ1043*MAX(1,AZ1043/X1043),IF(BZ1043=1,IF(AZ1043&lt;=0,0,CD1043*MAX(1,IF(H1043&gt;0,AZ1043/H1043,1))),IF(R1043&gt;0,BA1043/R1043,0))/MAX(0.1,N(Parameter!$M$21)))</f>
        <v>0.0192307692307692</v>
      </c>
      <c r="BC1043" s="50" t="n">
        <f aca="false">BB1043*CB1043</f>
        <v>2.98076923076923</v>
      </c>
      <c r="BD1043" s="51" t="n">
        <f aca="false">IF(LEFT(Cockpit!$O$5,1)="A",H1043,IF(CH1043=1,(CK1043+CI1043)/2,IF(LEFT(Cockpit!$O$5,1)="B",(CK1043+BF1043)/2,MAX((CK1043+BF1043)/2,H1043))))</f>
        <v>0.5</v>
      </c>
      <c r="BE1043" s="50" t="n">
        <f aca="false">BD1043*G1043</f>
        <v>68.945</v>
      </c>
      <c r="BF1043" s="50" t="n">
        <f aca="false">ROUNDUP(CK1043+MAX(CL1043,2*(J1043/IF(CG1043&gt;0,CG1043,MAX(0.1,N(Cockpit!$O$6)))-CK1043)),0)</f>
        <v>1</v>
      </c>
      <c r="BG1043" s="51" t="n">
        <f aca="false">IF(BC1043&gt;0,J1043/BC1043,-1)</f>
        <v>0.335483870967742</v>
      </c>
      <c r="BH1043" s="51" t="n">
        <f aca="false">IF(AND(OR(CF1043="L1",CF1043="L23",CF1043="LIFT"),BC1043&gt;0),SUMIFS($BC$7:$BC$1843,$CF$7:$CF$1843,CF1043,$BG$7:$BG$1843,"&gt;"&amp;BG1043)+SUMIFS($BC$7:$BC$1843,$CF$7:$CF$1843,CF1043,$BG$7:$BG$1843,BG1043,$BW$7:$BW$1843,"&lt;="&amp;BW1043),"")</f>
        <v>11603.9043040293</v>
      </c>
      <c r="BI1043" s="58" t="n">
        <f aca="false">IF(BH1043="",0,MAX(0,MIN(1,(IF(CF1043="L1",Parameter!$H$5,IF(CF1043="L23",Parameter!$H$6+Parameter!$H$7,Parameter!$H$5+Parameter!$H$6+Parameter!$H$7))-(BH1043-BC1043))/BC1043)))</f>
        <v>1</v>
      </c>
      <c r="BJ1043" s="48" t="str">
        <f aca="false">IF(AI1043&lt;=0,"",IF(CF1043="Aussen","Aussenlager",IF(CF1043="-","Nicht im Lift",IF(AO1043&gt;=1,"Lift",IF(AO1043&lt;=0,"Aussenlager","teilweise")))))</f>
        <v>Lift</v>
      </c>
      <c r="BK1043" s="48" t="str">
        <f aca="false">IF(AS1043&lt;=0,"",IF(CF1043="Aussen","Aussenlager",IF(CF1043="-","Nicht im Lift",IF(AY1043&gt;=1,"Lift",IF(AY1043&lt;=0,"Aussenlager","teilweise")))))</f>
        <v>Lift</v>
      </c>
      <c r="BL1043" s="48" t="str">
        <f aca="false">IF(BC1043&lt;=0,"",IF(CF1043="Aussen","Aussenlager",IF(CF1043="-","Nicht im Lift",IF(BI1043&gt;=1,"Lift",IF(BI1043&lt;=0,"Aussenlager","teilweise")))))</f>
        <v>Lift</v>
      </c>
      <c r="BM1043" s="48" t="str">
        <f aca="false">IF(A1043="","",IF(BV1043=1,"Neu; ","")&amp;IF(AND(BV1043=0,BQ1043&lt;0),"negativer Bestand (Export "&amp;BQ1043&amp;"); ","")&amp;IF(J1043&lt;=0,"Kein Verbrauch; ","")&amp;IF(CQ1043&gt;0,"Lift "&amp;W1043&amp;" lt. Liftbericht (Fach "&amp;X1043&amp;" Stk); ",IF(CA1043=1,"Gebinde geschätzt ("&amp;T1043&amp;"); ",IF(BZ1043=1,"Lose – Tablare geschätzt; ","")))&amp;IF(H1043&gt;AV1043,"Überbestand "&amp;ROUND(H1043-AV1043,0)&amp;" Stk / CHF "&amp;ROUND((H1043-AV1043)*G1043,0)&amp;"; ","")&amp;IF(AND(CH1043=1,CI1043&lt;CJ1043),"MAX &lt; MB+LG; ","")&amp;IF(AND(CP1043&gt;0,CO1043*10&gt;CP1043),"zu hoch für Tablar; ","")&amp;IF(AND(BV1043=0,OR(CH1043=1,AA1043&lt;&gt;"",U1043&lt;&gt;"",V1043&lt;&gt;"",AB1043&lt;&gt;"")),"manuell übersteuert; ","")&amp;IF(AND(BZ1043=0,R1043=0),"Gebinde unbekannt / Stellmass fehlt; ","")&amp;IF(AND(BZ1043=0,N(V1043)&lt;=0,N(Q1043)&lt;=0),"Menge pro Gebinde fehlt (Ist = 1 Gebinde); ","")&amp;BU1043)</f>
        <v>negativer Bestand (Export -1); Überbestand 21 Stk / CHF 2896; Überbestand</v>
      </c>
      <c r="BN1043" s="48"/>
      <c r="BO1043" s="48"/>
      <c r="BP1043" s="55"/>
      <c r="BQ1043" s="50" t="n">
        <v>-1</v>
      </c>
      <c r="BR1043" s="50" t="n">
        <v>23</v>
      </c>
      <c r="BS1043" s="49" t="n">
        <v>-137.89</v>
      </c>
      <c r="BT1043" s="50" t="n">
        <v>1</v>
      </c>
      <c r="BU1043" s="48" t="s">
        <v>401</v>
      </c>
      <c r="BV1043" s="53" t="n">
        <v>0</v>
      </c>
      <c r="BW1043" s="53" t="n">
        <v>1043</v>
      </c>
      <c r="BX1043" s="48" t="str">
        <f aca="false">IF(U1043&lt;&gt;"",UPPER(TRIM(U1043)),IF(CA1043=1,UPPER(VLOOKUP(T1043,Parameter!$I$27:$K$29,2,0)),IF(P1043="","LOSE",P1043)))</f>
        <v>S41</v>
      </c>
      <c r="BY1043" s="50" t="n">
        <f aca="false">IF(BX1043="LOSE",1,IF(N(V1043)&gt;0,V1043,IF(CA1043=1,MAX(1,N(VLOOKUP(T1043,Parameter!$I$27:$K$29,3,0)),H1043,N(N1043)),IF(N(Q1043)&gt;0,Q1043,MAX(1,H1043)))))</f>
        <v>47</v>
      </c>
      <c r="BZ1043" s="53" t="n">
        <f aca="false">IF(BX1043="LOSE",1,0)</f>
        <v>0</v>
      </c>
      <c r="CA1043" s="53" t="n">
        <f aca="false">IF(AND(U1043="",OR(P1043="",P1043="LOSE"),T1043&lt;&gt;"",N(S1043)&lt;=0,ISNUMBER(MATCH(T1043,Parameter!$I$27:$I$29,0))),1,0)</f>
        <v>0</v>
      </c>
      <c r="CB1043" s="53" t="n">
        <f aca="false">IF(CQ1043&gt;0,INDEX(Parameter!$H$5:$H$7,W1043)/INDEX(Parameter!$E$5:$E$7,W1043),IF(AND(BZ1043=0,N(IFERROR(VLOOKUP(BX1043,'Gebinde-Kategorie'!$A$5:$N$45,14,0),0))&gt;0),VLOOKUP(BX1043,'Gebinde-Kategorie'!$A$5:$N$45,14,0)*10+Parameter!$M$23,Parameter!$M$24))</f>
        <v>155</v>
      </c>
      <c r="CC1043" s="48" t="str">
        <f aca="false">IF(AND(Parameter!$B$19="Ja",E1043&lt;&gt;"",ISNUMBER(MATCH(E1043,Parameter!$I$35:$I$52,0))),VLOOKUP(E1043,Parameter!$I$35:$J$52,2,0),IFERROR(VLOOKUP(D1043,Parameter!$A$35:$C$64,2,0),"Nein"))</f>
        <v>2+3</v>
      </c>
      <c r="CD1043" s="52" t="n">
        <f aca="false">IF(BZ1043=0,0,IF(N(S1043)&gt;0,S1043,IFERROR(VLOOKUP(D1043,Parameter!$A$35:$C$64,3,0)+0,0)))</f>
        <v>0</v>
      </c>
      <c r="CE1043" s="48" t="n">
        <f aca="false">IF(AA1043&lt;&gt;"",AA1043,Z1043)</f>
        <v>3</v>
      </c>
      <c r="CF1043" s="48" t="str">
        <f aca="false">IF(OR(CE1043=1,CE1043=2,CE1043=3),IF(Parameter!$E$27="Ja","LIFT",IF(CE1043=1,"L1","L23")),IF(CE1043="Aussen","Aussen","-"))</f>
        <v>LIFT</v>
      </c>
      <c r="CG1043" s="59" t="n">
        <f aca="false">IF(N(AB1043)&gt;0,AB1043,0)</f>
        <v>0</v>
      </c>
      <c r="CH1043" s="53" t="n">
        <f aca="false">IF(ISNUMBER(AE1043),1,0)</f>
        <v>0</v>
      </c>
      <c r="CI1043" s="50" t="n">
        <f aca="false">N(AE1043)</f>
        <v>0</v>
      </c>
      <c r="CJ1043" s="50" t="n">
        <f aca="false">N(M1043)+N(N1043)</f>
        <v>1</v>
      </c>
      <c r="CK1043" s="50" t="n">
        <f aca="false">N(M1043)</f>
        <v>0</v>
      </c>
      <c r="CL1043" s="50" t="n">
        <f aca="false">N(N1043)</f>
        <v>1</v>
      </c>
      <c r="CM1043" s="50" t="n">
        <f aca="false">ROUNDUP(H1043/BY1043,0)</f>
        <v>1</v>
      </c>
      <c r="CN1043" s="50" t="n">
        <f aca="false">ROUNDUP(CI1043/BY1043,0)</f>
        <v>0</v>
      </c>
      <c r="CO1043" s="53" t="n">
        <f aca="false">IF(BZ1043=1,0,IFERROR(VLOOKUP(BX1043,'Gebinde-Kategorie'!$A$5:$N$45,5,0)+0,0))</f>
        <v>11</v>
      </c>
      <c r="CP1043" s="53" t="n">
        <f aca="false">IFERROR(IF(OR(CE1043=1,CE1043=2,CE1043=3),N(INDEX(Parameter!$I$5:$I$7,CE1043)),0),0)</f>
        <v>0</v>
      </c>
      <c r="CQ1043" s="52" t="n">
        <f aca="false">IF(AND(Parameter!$B$21="Ja",ISNUMBER(W1043),N(X1043)&gt;0),IFERROR(N(INDEX(Parameter!$L$5:$L$7,W1043))*INDEX(Parameter!$E$5:$E$7,W1043)*X1043/SUMIFS($X$7:$X$1843,$W$7:$W$1843,W1043),0),0)</f>
        <v>0</v>
      </c>
    </row>
    <row r="1044" customFormat="false" ht="15" hidden="false" customHeight="false" outlineLevel="0" collapsed="false">
      <c r="A1044" s="48" t="s">
        <v>1924</v>
      </c>
      <c r="B1044" s="48" t="s">
        <v>1925</v>
      </c>
      <c r="C1044" s="48" t="s">
        <v>173</v>
      </c>
      <c r="D1044" s="48" t="s">
        <v>193</v>
      </c>
      <c r="E1044" s="48" t="s">
        <v>194</v>
      </c>
      <c r="F1044" s="48" t="s">
        <v>227</v>
      </c>
      <c r="G1044" s="49" t="n">
        <v>69.28</v>
      </c>
      <c r="H1044" s="50" t="n">
        <f aca="false">MAX(0,IF(AND(Parameter!$B$21="Ja",ISNUMBER(Y1044)),Y1044,IF(Parameter!$B$20="Jahresanfang 2025 + Export",BR1044+BQ1044,BQ1044)))</f>
        <v>8</v>
      </c>
      <c r="I1044" s="50" t="n">
        <f aca="false">H1044*G1044</f>
        <v>554.24</v>
      </c>
      <c r="J1044" s="50" t="n">
        <f aca="false">BT1044*Parameter!$B$18</f>
        <v>0</v>
      </c>
      <c r="K1044" s="51" t="n">
        <v>10</v>
      </c>
      <c r="L1044" s="52" t="n">
        <v>0</v>
      </c>
      <c r="M1044" s="50" t="n">
        <v>0</v>
      </c>
      <c r="N1044" s="50" t="n">
        <v>1</v>
      </c>
      <c r="O1044" s="53" t="n">
        <v>42</v>
      </c>
      <c r="P1044" s="48" t="s">
        <v>485</v>
      </c>
      <c r="Q1044" s="50" t="n">
        <v>12</v>
      </c>
      <c r="R1044" s="53" t="n">
        <f aca="false">IF(BZ1044=1,0,IFERROR(VLOOKUP(BX1044,'Gebinde-Kategorie'!$A$5:$N$45,13,0)+0,0))</f>
        <v>52</v>
      </c>
      <c r="S1044" s="54"/>
      <c r="T1044" s="55"/>
      <c r="U1044" s="55"/>
      <c r="V1044" s="55"/>
      <c r="W1044" s="48"/>
      <c r="X1044" s="50"/>
      <c r="Y1044" s="50"/>
      <c r="Z1044" s="48" t="n">
        <f aca="false">IF(A1044="","",IF(AND(Parameter!$B$21="Ja",ISNUMBER(W1044)),W1044,IF(CC1044="2+3",IF(ISNUMBER(SEARCH("grosser Artikel",BU1044)),2,IFERROR(VLOOKUP(BX1044,Parameter!$F$35:$G$64,2,0),2)),IF(OR(CC1044="Nein",CC1044=""),"-",CC1044))))</f>
        <v>3</v>
      </c>
      <c r="AA1044" s="55"/>
      <c r="AB1044" s="56"/>
      <c r="AC1044" s="50" t="n">
        <f aca="false">AV1044</f>
        <v>1</v>
      </c>
      <c r="AD1044" s="50" t="n">
        <f aca="false">MAX(AV1044,H1044)</f>
        <v>8</v>
      </c>
      <c r="AE1044" s="57"/>
      <c r="AF1044" s="50" t="n">
        <f aca="false">IF(LEFT(Cockpit!$C$5,1)="A",H1044,IF(Parameter!$E$30="MAX-Bestand",IF(CH1044=1,CI1044,IF(LEFT(Cockpit!$C$5,1)="B",AL1044,MAX(AL1044,H1044))),ROUNDUP(AJ1044,0)))</f>
        <v>8</v>
      </c>
      <c r="AG1044" s="50" t="n">
        <f aca="false">IF(BZ1044=1,0,ROUNDUP(AF1044/BY1044,0))</f>
        <v>1</v>
      </c>
      <c r="AH1044" s="52" t="n">
        <f aca="false">IF(CQ1044&gt;0,CQ1044*MAX(1,AF1044/X1044),IF(BZ1044=1,IF(AF1044&lt;=0,0,CD1044*MAX(1,IF(H1044&gt;0,AF1044/H1044,1))),IF(R1044&gt;0,AG1044/R1044,0))/MAX(0.1,N(Parameter!$M$21)))</f>
        <v>0.0192307692307692</v>
      </c>
      <c r="AI1044" s="50" t="n">
        <f aca="false">AH1044*CB1044</f>
        <v>2.98076923076923</v>
      </c>
      <c r="AJ1044" s="51" t="n">
        <f aca="false">IF(LEFT(Cockpit!$C$5,1)="A",H1044,IF(CH1044=1,(CK1044+CI1044)/2,IF(LEFT(Cockpit!$C$5,1)="B",(CK1044+AL1044)/2,MAX((CK1044+AL1044)/2,H1044))))</f>
        <v>8</v>
      </c>
      <c r="AK1044" s="50" t="n">
        <f aca="false">AJ1044*G1044</f>
        <v>554.24</v>
      </c>
      <c r="AL1044" s="50" t="n">
        <f aca="false">ROUNDUP(CK1044+MAX(CL1044,2*(J1044/IF(CG1044&gt;0,CG1044,MAX(0.1,N(Cockpit!$C$6)))-CK1044)),0)</f>
        <v>1</v>
      </c>
      <c r="AM1044" s="51" t="n">
        <f aca="false">IF(AI1044&gt;0,J1044/AI1044,-1)</f>
        <v>0</v>
      </c>
      <c r="AN1044" s="51" t="n">
        <f aca="false">IF(AND(OR(CF1044="L1",CF1044="L23",CF1044="LIFT"),AI1044&gt;0),SUMIFS($AI$7:$AI$1843,$CF$7:$CF$1843,CF1044,$AM$7:$AM$1843,"&gt;"&amp;AM1044)+SUMIFS($AI$7:$AI$1843,$CF$7:$CF$1843,CF1044,$AM$7:$AM$1843,AM1044,$BW$7:$BW$1843,"&lt;="&amp;BW1044),"")</f>
        <v>29069.2684831647</v>
      </c>
      <c r="AO1044" s="58" t="n">
        <f aca="false">IF(AN1044="",0,MAX(0,MIN(1,(IF(CF1044="L1",Parameter!$H$5,IF(CF1044="L23",Parameter!$H$6+Parameter!$H$7,Parameter!$H$5+Parameter!$H$6+Parameter!$H$7))-(AN1044-AI1044))/AI1044)))</f>
        <v>1</v>
      </c>
      <c r="AP1044" s="50" t="n">
        <f aca="false">IF(LEFT(Cockpit!$I$5,1)="A",H1044,IF(Parameter!$E$30="MAX-Bestand",IF(CH1044=1,CI1044,IF(LEFT(Cockpit!$I$5,1)="B",AV1044,MAX(AV1044,H1044))),ROUNDUP(AT1044,0)))</f>
        <v>8</v>
      </c>
      <c r="AQ1044" s="50" t="n">
        <f aca="false">IF(BZ1044=1,0,ROUNDUP(AP1044/BY1044,0))</f>
        <v>1</v>
      </c>
      <c r="AR1044" s="52" t="n">
        <f aca="false">IF(CQ1044&gt;0,CQ1044*MAX(1,AP1044/X1044),IF(BZ1044=1,IF(AP1044&lt;=0,0,CD1044*MAX(1,IF(H1044&gt;0,AP1044/H1044,1))),IF(R1044&gt;0,AQ1044/R1044,0))/MAX(0.1,N(Parameter!$M$21)))</f>
        <v>0.0192307692307692</v>
      </c>
      <c r="AS1044" s="50" t="n">
        <f aca="false">AR1044*CB1044</f>
        <v>2.98076923076923</v>
      </c>
      <c r="AT1044" s="51" t="n">
        <f aca="false">IF(LEFT(Cockpit!$I$5,1)="A",H1044,IF(CH1044=1,(CK1044+CI1044)/2,IF(LEFT(Cockpit!$I$5,1)="B",(CK1044+AV1044)/2,MAX((CK1044+AV1044)/2,H1044))))</f>
        <v>8</v>
      </c>
      <c r="AU1044" s="50" t="n">
        <f aca="false">AT1044*G1044</f>
        <v>554.24</v>
      </c>
      <c r="AV1044" s="50" t="n">
        <f aca="false">ROUNDUP(CK1044+MAX(CL1044,2*(J1044/IF(CG1044&gt;0,CG1044,MAX(0.1,N(Cockpit!$I$6)))-CK1044)),0)</f>
        <v>1</v>
      </c>
      <c r="AW1044" s="51" t="n">
        <f aca="false">IF(AS1044&gt;0,J1044/AS1044,-1)</f>
        <v>0</v>
      </c>
      <c r="AX1044" s="51" t="n">
        <f aca="false">IF(AND(OR(CF1044="L1",CF1044="L23",CF1044="LIFT"),AS1044&gt;0),SUMIFS($AS$7:$AS$1843,$CF$7:$CF$1843,CF1044,$AW$7:$AW$1843,"&gt;"&amp;AW1044)+SUMIFS($AS$7:$AS$1843,$CF$7:$CF$1843,CF1044,$AW$7:$AW$1843,AW1044,$BW$7:$BW$1843,"&lt;="&amp;BW1044),"")</f>
        <v>34770.1501831502</v>
      </c>
      <c r="AY1044" s="58" t="n">
        <f aca="false">IF(AX1044="",0,MAX(0,MIN(1,(IF(CF1044="L1",Parameter!$H$5,IF(CF1044="L23",Parameter!$H$6+Parameter!$H$7,Parameter!$H$5+Parameter!$H$6+Parameter!$H$7))-(AX1044-AS1044))/AS1044)))</f>
        <v>1</v>
      </c>
      <c r="AZ1044" s="50" t="n">
        <f aca="false">IF(LEFT(Cockpit!$O$5,1)="A",H1044,IF(Parameter!$E$30="MAX-Bestand",IF(CH1044=1,CI1044,IF(LEFT(Cockpit!$O$5,1)="B",BF1044,MAX(BF1044,H1044))),ROUNDUP(BD1044,0)))</f>
        <v>1</v>
      </c>
      <c r="BA1044" s="50" t="n">
        <f aca="false">IF(BZ1044=1,0,ROUNDUP(AZ1044/BY1044,0))</f>
        <v>1</v>
      </c>
      <c r="BB1044" s="52" t="n">
        <f aca="false">IF(CQ1044&gt;0,CQ1044*MAX(1,AZ1044/X1044),IF(BZ1044=1,IF(AZ1044&lt;=0,0,CD1044*MAX(1,IF(H1044&gt;0,AZ1044/H1044,1))),IF(R1044&gt;0,BA1044/R1044,0))/MAX(0.1,N(Parameter!$M$21)))</f>
        <v>0.0192307692307692</v>
      </c>
      <c r="BC1044" s="50" t="n">
        <f aca="false">BB1044*CB1044</f>
        <v>2.98076923076923</v>
      </c>
      <c r="BD1044" s="51" t="n">
        <f aca="false">IF(LEFT(Cockpit!$O$5,1)="A",H1044,IF(CH1044=1,(CK1044+CI1044)/2,IF(LEFT(Cockpit!$O$5,1)="B",(CK1044+BF1044)/2,MAX((CK1044+BF1044)/2,H1044))))</f>
        <v>0.5</v>
      </c>
      <c r="BE1044" s="50" t="n">
        <f aca="false">BD1044*G1044</f>
        <v>34.64</v>
      </c>
      <c r="BF1044" s="50" t="n">
        <f aca="false">ROUNDUP(CK1044+MAX(CL1044,2*(J1044/IF(CG1044&gt;0,CG1044,MAX(0.1,N(Cockpit!$O$6)))-CK1044)),0)</f>
        <v>1</v>
      </c>
      <c r="BG1044" s="51" t="n">
        <f aca="false">IF(BC1044&gt;0,J1044/BC1044,-1)</f>
        <v>0</v>
      </c>
      <c r="BH1044" s="51" t="n">
        <f aca="false">IF(AND(OR(CF1044="L1",CF1044="L23",CF1044="LIFT"),BC1044&gt;0),SUMIFS($BC$7:$BC$1843,$CF$7:$CF$1843,CF1044,$BG$7:$BG$1843,"&gt;"&amp;BG1044)+SUMIFS($BC$7:$BC$1843,$CF$7:$CF$1843,CF1044,$BG$7:$BG$1843,BG1044,$BW$7:$BW$1843,"&lt;="&amp;BW1044),"")</f>
        <v>28767.379920221</v>
      </c>
      <c r="BI1044" s="58" t="n">
        <f aca="false">IF(BH1044="",0,MAX(0,MIN(1,(IF(CF1044="L1",Parameter!$H$5,IF(CF1044="L23",Parameter!$H$6+Parameter!$H$7,Parameter!$H$5+Parameter!$H$6+Parameter!$H$7))-(BH1044-BC1044))/BC1044)))</f>
        <v>1</v>
      </c>
      <c r="BJ1044" s="48" t="str">
        <f aca="false">IF(AI1044&lt;=0,"",IF(CF1044="Aussen","Aussenlager",IF(CF1044="-","Nicht im Lift",IF(AO1044&gt;=1,"Lift",IF(AO1044&lt;=0,"Aussenlager","teilweise")))))</f>
        <v>Lift</v>
      </c>
      <c r="BK1044" s="48" t="str">
        <f aca="false">IF(AS1044&lt;=0,"",IF(CF1044="Aussen","Aussenlager",IF(CF1044="-","Nicht im Lift",IF(AY1044&gt;=1,"Lift",IF(AY1044&lt;=0,"Aussenlager","teilweise")))))</f>
        <v>Lift</v>
      </c>
      <c r="BL1044" s="48" t="str">
        <f aca="false">IF(BC1044&lt;=0,"",IF(CF1044="Aussen","Aussenlager",IF(CF1044="-","Nicht im Lift",IF(BI1044&gt;=1,"Lift",IF(BI1044&lt;=0,"Aussenlager","teilweise")))))</f>
        <v>Lift</v>
      </c>
      <c r="BM1044" s="48" t="str">
        <f aca="false">IF(A1044="","",IF(BV1044=1,"Neu; ","")&amp;IF(AND(BV1044=0,BQ1044&lt;0),"negativer Bestand (Export "&amp;BQ1044&amp;"); ","")&amp;IF(J1044&lt;=0,"Kein Verbrauch; ","")&amp;IF(CQ1044&gt;0,"Lift "&amp;W1044&amp;" lt. Liftbericht (Fach "&amp;X1044&amp;" Stk); ",IF(CA1044=1,"Gebinde geschätzt ("&amp;T1044&amp;"); ",IF(BZ1044=1,"Lose – Tablare geschätzt; ","")))&amp;IF(H1044&gt;AV1044,"Überbestand "&amp;ROUND(H1044-AV1044,0)&amp;" Stk / CHF "&amp;ROUND((H1044-AV1044)*G1044,0)&amp;"; ","")&amp;IF(AND(CH1044=1,CI1044&lt;CJ1044),"MAX &lt; MB+LG; ","")&amp;IF(AND(CP1044&gt;0,CO1044*10&gt;CP1044),"zu hoch für Tablar; ","")&amp;IF(AND(BV1044=0,OR(CH1044=1,AA1044&lt;&gt;"",U1044&lt;&gt;"",V1044&lt;&gt;"",AB1044&lt;&gt;"")),"manuell übersteuert; ","")&amp;IF(AND(BZ1044=0,R1044=0),"Gebinde unbekannt / Stellmass fehlt; ","")&amp;IF(AND(BZ1044=0,N(V1044)&lt;=0,N(Q1044)&lt;=0),"Menge pro Gebinde fehlt (Ist = 1 Gebinde); ","")&amp;BU1044)</f>
        <v>negativer Bestand (Export -2); Kein Verbrauch; Überbestand 7 Stk / CHF 485; </v>
      </c>
      <c r="BN1044" s="48"/>
      <c r="BO1044" s="48"/>
      <c r="BP1044" s="55"/>
      <c r="BQ1044" s="50" t="n">
        <v>-2</v>
      </c>
      <c r="BR1044" s="50" t="n">
        <v>10</v>
      </c>
      <c r="BS1044" s="49" t="n">
        <v>-138.56</v>
      </c>
      <c r="BT1044" s="50" t="n">
        <v>0</v>
      </c>
      <c r="BU1044" s="48"/>
      <c r="BV1044" s="53" t="n">
        <v>0</v>
      </c>
      <c r="BW1044" s="53" t="n">
        <v>1044</v>
      </c>
      <c r="BX1044" s="48" t="str">
        <f aca="false">IF(U1044&lt;&gt;"",UPPER(TRIM(U1044)),IF(CA1044=1,UPPER(VLOOKUP(T1044,Parameter!$I$27:$K$29,2,0)),IF(P1044="","LOSE",P1044)))</f>
        <v>S33</v>
      </c>
      <c r="BY1044" s="50" t="n">
        <f aca="false">IF(BX1044="LOSE",1,IF(N(V1044)&gt;0,V1044,IF(CA1044=1,MAX(1,N(VLOOKUP(T1044,Parameter!$I$27:$K$29,3,0)),H1044,N(N1044)),IF(N(Q1044)&gt;0,Q1044,MAX(1,H1044)))))</f>
        <v>12</v>
      </c>
      <c r="BZ1044" s="53" t="n">
        <f aca="false">IF(BX1044="LOSE",1,0)</f>
        <v>0</v>
      </c>
      <c r="CA1044" s="53" t="n">
        <f aca="false">IF(AND(U1044="",OR(P1044="",P1044="LOSE"),T1044&lt;&gt;"",N(S1044)&lt;=0,ISNUMBER(MATCH(T1044,Parameter!$I$27:$I$29,0))),1,0)</f>
        <v>0</v>
      </c>
      <c r="CB1044" s="53" t="n">
        <f aca="false">IF(CQ1044&gt;0,INDEX(Parameter!$H$5:$H$7,W1044)/INDEX(Parameter!$E$5:$E$7,W1044),IF(AND(BZ1044=0,N(IFERROR(VLOOKUP(BX1044,'Gebinde-Kategorie'!$A$5:$N$45,14,0),0))&gt;0),VLOOKUP(BX1044,'Gebinde-Kategorie'!$A$5:$N$45,14,0)*10+Parameter!$M$23,Parameter!$M$24))</f>
        <v>155</v>
      </c>
      <c r="CC1044" s="48" t="str">
        <f aca="false">IF(AND(Parameter!$B$19="Ja",E1044&lt;&gt;"",ISNUMBER(MATCH(E1044,Parameter!$I$35:$I$52,0))),VLOOKUP(E1044,Parameter!$I$35:$J$52,2,0),IFERROR(VLOOKUP(D1044,Parameter!$A$35:$C$64,2,0),"Nein"))</f>
        <v>2+3</v>
      </c>
      <c r="CD1044" s="52" t="n">
        <f aca="false">IF(BZ1044=0,0,IF(N(S1044)&gt;0,S1044,IFERROR(VLOOKUP(D1044,Parameter!$A$35:$C$64,3,0)+0,0)))</f>
        <v>0</v>
      </c>
      <c r="CE1044" s="48" t="n">
        <f aca="false">IF(AA1044&lt;&gt;"",AA1044,Z1044)</f>
        <v>3</v>
      </c>
      <c r="CF1044" s="48" t="str">
        <f aca="false">IF(OR(CE1044=1,CE1044=2,CE1044=3),IF(Parameter!$E$27="Ja","LIFT",IF(CE1044=1,"L1","L23")),IF(CE1044="Aussen","Aussen","-"))</f>
        <v>LIFT</v>
      </c>
      <c r="CG1044" s="59" t="n">
        <f aca="false">IF(N(AB1044)&gt;0,AB1044,0)</f>
        <v>0</v>
      </c>
      <c r="CH1044" s="53" t="n">
        <f aca="false">IF(ISNUMBER(AE1044),1,0)</f>
        <v>0</v>
      </c>
      <c r="CI1044" s="50" t="n">
        <f aca="false">N(AE1044)</f>
        <v>0</v>
      </c>
      <c r="CJ1044" s="50" t="n">
        <f aca="false">N(M1044)+N(N1044)</f>
        <v>1</v>
      </c>
      <c r="CK1044" s="50" t="n">
        <f aca="false">N(M1044)</f>
        <v>0</v>
      </c>
      <c r="CL1044" s="50" t="n">
        <f aca="false">N(N1044)</f>
        <v>1</v>
      </c>
      <c r="CM1044" s="50" t="n">
        <f aca="false">ROUNDUP(H1044/BY1044,0)</f>
        <v>1</v>
      </c>
      <c r="CN1044" s="50" t="n">
        <f aca="false">ROUNDUP(CI1044/BY1044,0)</f>
        <v>0</v>
      </c>
      <c r="CO1044" s="53" t="n">
        <f aca="false">IF(BZ1044=1,0,IFERROR(VLOOKUP(BX1044,'Gebinde-Kategorie'!$A$5:$N$45,5,0)+0,0))</f>
        <v>8</v>
      </c>
      <c r="CP1044" s="53" t="n">
        <f aca="false">IFERROR(IF(OR(CE1044=1,CE1044=2,CE1044=3),N(INDEX(Parameter!$I$5:$I$7,CE1044)),0),0)</f>
        <v>0</v>
      </c>
      <c r="CQ1044" s="52" t="n">
        <f aca="false">IF(AND(Parameter!$B$21="Ja",ISNUMBER(W1044),N(X1044)&gt;0),IFERROR(N(INDEX(Parameter!$L$5:$L$7,W1044))*INDEX(Parameter!$E$5:$E$7,W1044)*X1044/SUMIFS($X$7:$X$1843,$W$7:$W$1843,W1044),0),0)</f>
        <v>0</v>
      </c>
    </row>
    <row r="1045" customFormat="false" ht="15" hidden="false" customHeight="false" outlineLevel="0" collapsed="false">
      <c r="A1045" s="48" t="s">
        <v>1926</v>
      </c>
      <c r="B1045" s="48" t="s">
        <v>1927</v>
      </c>
      <c r="C1045" s="48" t="s">
        <v>173</v>
      </c>
      <c r="D1045" s="48" t="s">
        <v>193</v>
      </c>
      <c r="E1045" s="48" t="s">
        <v>194</v>
      </c>
      <c r="F1045" s="48" t="s">
        <v>227</v>
      </c>
      <c r="G1045" s="49" t="n">
        <v>15.88</v>
      </c>
      <c r="H1045" s="50" t="n">
        <f aca="false">MAX(0,IF(AND(Parameter!$B$21="Ja",ISNUMBER(Y1045)),Y1045,IF(Parameter!$B$20="Jahresanfang 2025 + Export",BR1045+BQ1045,BQ1045)))</f>
        <v>9</v>
      </c>
      <c r="I1045" s="50" t="n">
        <f aca="false">H1045*G1045</f>
        <v>142.92</v>
      </c>
      <c r="J1045" s="50" t="n">
        <f aca="false">BT1045*Parameter!$B$18</f>
        <v>4</v>
      </c>
      <c r="K1045" s="51" t="n">
        <v>26</v>
      </c>
      <c r="L1045" s="52" t="n">
        <v>0.153846153846154</v>
      </c>
      <c r="M1045" s="50" t="n">
        <v>0</v>
      </c>
      <c r="N1045" s="50" t="n">
        <v>5</v>
      </c>
      <c r="O1045" s="53" t="n">
        <v>28</v>
      </c>
      <c r="P1045" s="48" t="s">
        <v>311</v>
      </c>
      <c r="Q1045" s="50" t="n">
        <v>20</v>
      </c>
      <c r="R1045" s="53" t="n">
        <f aca="false">IF(BZ1045=1,0,IFERROR(VLOOKUP(BX1045,'Gebinde-Kategorie'!$A$5:$N$45,13,0)+0,0))</f>
        <v>26</v>
      </c>
      <c r="S1045" s="54"/>
      <c r="T1045" s="55"/>
      <c r="U1045" s="55"/>
      <c r="V1045" s="55"/>
      <c r="W1045" s="48"/>
      <c r="X1045" s="50"/>
      <c r="Y1045" s="50"/>
      <c r="Z1045" s="48" t="n">
        <f aca="false">IF(A1045="","",IF(AND(Parameter!$B$21="Ja",ISNUMBER(W1045)),W1045,IF(CC1045="2+3",IF(ISNUMBER(SEARCH("grosser Artikel",BU1045)),2,IFERROR(VLOOKUP(BX1045,Parameter!$F$35:$G$64,2,0),2)),IF(OR(CC1045="Nein",CC1045=""),"-",CC1045))))</f>
        <v>3</v>
      </c>
      <c r="AA1045" s="55"/>
      <c r="AB1045" s="56"/>
      <c r="AC1045" s="50" t="n">
        <f aca="false">AV1045</f>
        <v>5</v>
      </c>
      <c r="AD1045" s="50" t="n">
        <f aca="false">MAX(AV1045,H1045)</f>
        <v>9</v>
      </c>
      <c r="AE1045" s="57"/>
      <c r="AF1045" s="50" t="n">
        <f aca="false">IF(LEFT(Cockpit!$C$5,1)="A",H1045,IF(Parameter!$E$30="MAX-Bestand",IF(CH1045=1,CI1045,IF(LEFT(Cockpit!$C$5,1)="B",AL1045,MAX(AL1045,H1045))),ROUNDUP(AJ1045,0)))</f>
        <v>9</v>
      </c>
      <c r="AG1045" s="50" t="n">
        <f aca="false">IF(BZ1045=1,0,ROUNDUP(AF1045/BY1045,0))</f>
        <v>1</v>
      </c>
      <c r="AH1045" s="52" t="n">
        <f aca="false">IF(CQ1045&gt;0,CQ1045*MAX(1,AF1045/X1045),IF(BZ1045=1,IF(AF1045&lt;=0,0,CD1045*MAX(1,IF(H1045&gt;0,AF1045/H1045,1))),IF(R1045&gt;0,AG1045/R1045,0))/MAX(0.1,N(Parameter!$M$21)))</f>
        <v>0.0384615384615385</v>
      </c>
      <c r="AI1045" s="50" t="n">
        <f aca="false">AH1045*CB1045</f>
        <v>5.96153846153846</v>
      </c>
      <c r="AJ1045" s="51" t="n">
        <f aca="false">IF(LEFT(Cockpit!$C$5,1)="A",H1045,IF(CH1045=1,(CK1045+CI1045)/2,IF(LEFT(Cockpit!$C$5,1)="B",(CK1045+AL1045)/2,MAX((CK1045+AL1045)/2,H1045))))</f>
        <v>9</v>
      </c>
      <c r="AK1045" s="50" t="n">
        <f aca="false">AJ1045*G1045</f>
        <v>142.92</v>
      </c>
      <c r="AL1045" s="50" t="n">
        <f aca="false">ROUNDUP(CK1045+MAX(CL1045,2*(J1045/IF(CG1045&gt;0,CG1045,MAX(0.1,N(Cockpit!$C$6)))-CK1045)),0)</f>
        <v>5</v>
      </c>
      <c r="AM1045" s="51" t="n">
        <f aca="false">IF(AI1045&gt;0,J1045/AI1045,-1)</f>
        <v>0.670967741935484</v>
      </c>
      <c r="AN1045" s="51" t="n">
        <f aca="false">IF(AND(OR(CF1045="L1",CF1045="L23",CF1045="LIFT"),AI1045&gt;0),SUMIFS($AI$7:$AI$1843,$CF$7:$CF$1843,CF1045,$AM$7:$AM$1843,"&gt;"&amp;AM1045)+SUMIFS($AI$7:$AI$1843,$CF$7:$CF$1843,CF1045,$AM$7:$AM$1843,AM1045,$BW$7:$BW$1843,"&lt;="&amp;BW1045),"")</f>
        <v>8628.03525641026</v>
      </c>
      <c r="AO1045" s="58" t="n">
        <f aca="false">IF(AN1045="",0,MAX(0,MIN(1,(IF(CF1045="L1",Parameter!$H$5,IF(CF1045="L23",Parameter!$H$6+Parameter!$H$7,Parameter!$H$5+Parameter!$H$6+Parameter!$H$7))-(AN1045-AI1045))/AI1045)))</f>
        <v>1</v>
      </c>
      <c r="AP1045" s="50" t="n">
        <f aca="false">IF(LEFT(Cockpit!$I$5,1)="A",H1045,IF(Parameter!$E$30="MAX-Bestand",IF(CH1045=1,CI1045,IF(LEFT(Cockpit!$I$5,1)="B",AV1045,MAX(AV1045,H1045))),ROUNDUP(AT1045,0)))</f>
        <v>9</v>
      </c>
      <c r="AQ1045" s="50" t="n">
        <f aca="false">IF(BZ1045=1,0,ROUNDUP(AP1045/BY1045,0))</f>
        <v>1</v>
      </c>
      <c r="AR1045" s="52" t="n">
        <f aca="false">IF(CQ1045&gt;0,CQ1045*MAX(1,AP1045/X1045),IF(BZ1045=1,IF(AP1045&lt;=0,0,CD1045*MAX(1,IF(H1045&gt;0,AP1045/H1045,1))),IF(R1045&gt;0,AQ1045/R1045,0))/MAX(0.1,N(Parameter!$M$21)))</f>
        <v>0.0384615384615385</v>
      </c>
      <c r="AS1045" s="50" t="n">
        <f aca="false">AR1045*CB1045</f>
        <v>5.96153846153846</v>
      </c>
      <c r="AT1045" s="51" t="n">
        <f aca="false">IF(LEFT(Cockpit!$I$5,1)="A",H1045,IF(CH1045=1,(CK1045+CI1045)/2,IF(LEFT(Cockpit!$I$5,1)="B",(CK1045+AV1045)/2,MAX((CK1045+AV1045)/2,H1045))))</f>
        <v>9</v>
      </c>
      <c r="AU1045" s="50" t="n">
        <f aca="false">AT1045*G1045</f>
        <v>142.92</v>
      </c>
      <c r="AV1045" s="50" t="n">
        <f aca="false">ROUNDUP(CK1045+MAX(CL1045,2*(J1045/IF(CG1045&gt;0,CG1045,MAX(0.1,N(Cockpit!$I$6)))-CK1045)),0)</f>
        <v>5</v>
      </c>
      <c r="AW1045" s="51" t="n">
        <f aca="false">IF(AS1045&gt;0,J1045/AS1045,-1)</f>
        <v>0.670967741935484</v>
      </c>
      <c r="AX1045" s="51" t="n">
        <f aca="false">IF(AND(OR(CF1045="L1",CF1045="L23",CF1045="LIFT"),AS1045&gt;0),SUMIFS($AS$7:$AS$1843,$CF$7:$CF$1843,CF1045,$AW$7:$AW$1843,"&gt;"&amp;AW1045)+SUMIFS($AS$7:$AS$1843,$CF$7:$CF$1843,CF1045,$AW$7:$AW$1843,AW1045,$BW$7:$BW$1843,"&lt;="&amp;BW1045),"")</f>
        <v>10922.2028388278</v>
      </c>
      <c r="AY1045" s="58" t="n">
        <f aca="false">IF(AX1045="",0,MAX(0,MIN(1,(IF(CF1045="L1",Parameter!$H$5,IF(CF1045="L23",Parameter!$H$6+Parameter!$H$7,Parameter!$H$5+Parameter!$H$6+Parameter!$H$7))-(AX1045-AS1045))/AS1045)))</f>
        <v>1</v>
      </c>
      <c r="AZ1045" s="50" t="n">
        <f aca="false">IF(LEFT(Cockpit!$O$5,1)="A",H1045,IF(Parameter!$E$30="MAX-Bestand",IF(CH1045=1,CI1045,IF(LEFT(Cockpit!$O$5,1)="B",BF1045,MAX(BF1045,H1045))),ROUNDUP(BD1045,0)))</f>
        <v>3</v>
      </c>
      <c r="BA1045" s="50" t="n">
        <f aca="false">IF(BZ1045=1,0,ROUNDUP(AZ1045/BY1045,0))</f>
        <v>1</v>
      </c>
      <c r="BB1045" s="52" t="n">
        <f aca="false">IF(CQ1045&gt;0,CQ1045*MAX(1,AZ1045/X1045),IF(BZ1045=1,IF(AZ1045&lt;=0,0,CD1045*MAX(1,IF(H1045&gt;0,AZ1045/H1045,1))),IF(R1045&gt;0,BA1045/R1045,0))/MAX(0.1,N(Parameter!$M$21)))</f>
        <v>0.0384615384615385</v>
      </c>
      <c r="BC1045" s="50" t="n">
        <f aca="false">BB1045*CB1045</f>
        <v>5.96153846153846</v>
      </c>
      <c r="BD1045" s="51" t="n">
        <f aca="false">IF(LEFT(Cockpit!$O$5,1)="A",H1045,IF(CH1045=1,(CK1045+CI1045)/2,IF(LEFT(Cockpit!$O$5,1)="B",(CK1045+BF1045)/2,MAX((CK1045+BF1045)/2,H1045))))</f>
        <v>2.5</v>
      </c>
      <c r="BE1045" s="50" t="n">
        <f aca="false">BD1045*G1045</f>
        <v>39.7</v>
      </c>
      <c r="BF1045" s="50" t="n">
        <f aca="false">ROUNDUP(CK1045+MAX(CL1045,2*(J1045/IF(CG1045&gt;0,CG1045,MAX(0.1,N(Cockpit!$O$6)))-CK1045)),0)</f>
        <v>5</v>
      </c>
      <c r="BG1045" s="51" t="n">
        <f aca="false">IF(BC1045&gt;0,J1045/BC1045,-1)</f>
        <v>0.670967741935484</v>
      </c>
      <c r="BH1045" s="51" t="n">
        <f aca="false">IF(AND(OR(CF1045="L1",CF1045="L23",CF1045="LIFT"),BC1045&gt;0),SUMIFS($BC$7:$BC$1843,$CF$7:$CF$1843,CF1045,$BG$7:$BG$1843,"&gt;"&amp;BG1045)+SUMIFS($BC$7:$BC$1843,$CF$7:$CF$1843,CF1045,$BG$7:$BG$1843,BG1045,$BW$7:$BW$1843,"&lt;="&amp;BW1045),"")</f>
        <v>9531.836996337</v>
      </c>
      <c r="BI1045" s="58" t="n">
        <f aca="false">IF(BH1045="",0,MAX(0,MIN(1,(IF(CF1045="L1",Parameter!$H$5,IF(CF1045="L23",Parameter!$H$6+Parameter!$H$7,Parameter!$H$5+Parameter!$H$6+Parameter!$H$7))-(BH1045-BC1045))/BC1045)))</f>
        <v>1</v>
      </c>
      <c r="BJ1045" s="48" t="str">
        <f aca="false">IF(AI1045&lt;=0,"",IF(CF1045="Aussen","Aussenlager",IF(CF1045="-","Nicht im Lift",IF(AO1045&gt;=1,"Lift",IF(AO1045&lt;=0,"Aussenlager","teilweise")))))</f>
        <v>Lift</v>
      </c>
      <c r="BK1045" s="48" t="str">
        <f aca="false">IF(AS1045&lt;=0,"",IF(CF1045="Aussen","Aussenlager",IF(CF1045="-","Nicht im Lift",IF(AY1045&gt;=1,"Lift",IF(AY1045&lt;=0,"Aussenlager","teilweise")))))</f>
        <v>Lift</v>
      </c>
      <c r="BL1045" s="48" t="str">
        <f aca="false">IF(BC1045&lt;=0,"",IF(CF1045="Aussen","Aussenlager",IF(CF1045="-","Nicht im Lift",IF(BI1045&gt;=1,"Lift",IF(BI1045&lt;=0,"Aussenlager","teilweise")))))</f>
        <v>Lift</v>
      </c>
      <c r="BM1045" s="48" t="str">
        <f aca="false">IF(A1045="","",IF(BV1045=1,"Neu; ","")&amp;IF(AND(BV1045=0,BQ1045&lt;0),"negativer Bestand (Export "&amp;BQ1045&amp;"); ","")&amp;IF(J1045&lt;=0,"Kein Verbrauch; ","")&amp;IF(CQ1045&gt;0,"Lift "&amp;W1045&amp;" lt. Liftbericht (Fach "&amp;X1045&amp;" Stk); ",IF(CA1045=1,"Gebinde geschätzt ("&amp;T1045&amp;"); ",IF(BZ1045=1,"Lose – Tablare geschätzt; ","")))&amp;IF(H1045&gt;AV1045,"Überbestand "&amp;ROUND(H1045-AV1045,0)&amp;" Stk / CHF "&amp;ROUND((H1045-AV1045)*G1045,0)&amp;"; ","")&amp;IF(AND(CH1045=1,CI1045&lt;CJ1045),"MAX &lt; MB+LG; ","")&amp;IF(AND(CP1045&gt;0,CO1045*10&gt;CP1045),"zu hoch für Tablar; ","")&amp;IF(AND(BV1045=0,OR(CH1045=1,AA1045&lt;&gt;"",U1045&lt;&gt;"",V1045&lt;&gt;"",AB1045&lt;&gt;"")),"manuell übersteuert; ","")&amp;IF(AND(BZ1045=0,R1045=0),"Gebinde unbekannt / Stellmass fehlt; ","")&amp;IF(AND(BZ1045=0,N(V1045)&lt;=0,N(Q1045)&lt;=0),"Menge pro Gebinde fehlt (Ist = 1 Gebinde); ","")&amp;BU1045)</f>
        <v>negativer Bestand (Export -9); Überbestand 4 Stk / CHF 64; </v>
      </c>
      <c r="BN1045" s="48"/>
      <c r="BO1045" s="48"/>
      <c r="BP1045" s="55"/>
      <c r="BQ1045" s="50" t="n">
        <v>-9</v>
      </c>
      <c r="BR1045" s="50" t="n">
        <v>18</v>
      </c>
      <c r="BS1045" s="49" t="n">
        <v>-138.78</v>
      </c>
      <c r="BT1045" s="50" t="n">
        <v>4</v>
      </c>
      <c r="BU1045" s="48"/>
      <c r="BV1045" s="53" t="n">
        <v>0</v>
      </c>
      <c r="BW1045" s="53" t="n">
        <v>1045</v>
      </c>
      <c r="BX1045" s="48" t="str">
        <f aca="false">IF(U1045&lt;&gt;"",UPPER(TRIM(U1045)),IF(CA1045=1,UPPER(VLOOKUP(T1045,Parameter!$I$27:$K$29,2,0)),IF(P1045="","LOSE",P1045)))</f>
        <v>S51</v>
      </c>
      <c r="BY1045" s="50" t="n">
        <f aca="false">IF(BX1045="LOSE",1,IF(N(V1045)&gt;0,V1045,IF(CA1045=1,MAX(1,N(VLOOKUP(T1045,Parameter!$I$27:$K$29,3,0)),H1045,N(N1045)),IF(N(Q1045)&gt;0,Q1045,MAX(1,H1045)))))</f>
        <v>20</v>
      </c>
      <c r="BZ1045" s="53" t="n">
        <f aca="false">IF(BX1045="LOSE",1,0)</f>
        <v>0</v>
      </c>
      <c r="CA1045" s="53" t="n">
        <f aca="false">IF(AND(U1045="",OR(P1045="",P1045="LOSE"),T1045&lt;&gt;"",N(S1045)&lt;=0,ISNUMBER(MATCH(T1045,Parameter!$I$27:$I$29,0))),1,0)</f>
        <v>0</v>
      </c>
      <c r="CB1045" s="53" t="n">
        <f aca="false">IF(CQ1045&gt;0,INDEX(Parameter!$H$5:$H$7,W1045)/INDEX(Parameter!$E$5:$E$7,W1045),IF(AND(BZ1045=0,N(IFERROR(VLOOKUP(BX1045,'Gebinde-Kategorie'!$A$5:$N$45,14,0),0))&gt;0),VLOOKUP(BX1045,'Gebinde-Kategorie'!$A$5:$N$45,14,0)*10+Parameter!$M$23,Parameter!$M$24))</f>
        <v>155</v>
      </c>
      <c r="CC1045" s="48" t="str">
        <f aca="false">IF(AND(Parameter!$B$19="Ja",E1045&lt;&gt;"",ISNUMBER(MATCH(E1045,Parameter!$I$35:$I$52,0))),VLOOKUP(E1045,Parameter!$I$35:$J$52,2,0),IFERROR(VLOOKUP(D1045,Parameter!$A$35:$C$64,2,0),"Nein"))</f>
        <v>2+3</v>
      </c>
      <c r="CD1045" s="52" t="n">
        <f aca="false">IF(BZ1045=0,0,IF(N(S1045)&gt;0,S1045,IFERROR(VLOOKUP(D1045,Parameter!$A$35:$C$64,3,0)+0,0)))</f>
        <v>0</v>
      </c>
      <c r="CE1045" s="48" t="n">
        <f aca="false">IF(AA1045&lt;&gt;"",AA1045,Z1045)</f>
        <v>3</v>
      </c>
      <c r="CF1045" s="48" t="str">
        <f aca="false">IF(OR(CE1045=1,CE1045=2,CE1045=3),IF(Parameter!$E$27="Ja","LIFT",IF(CE1045=1,"L1","L23")),IF(CE1045="Aussen","Aussen","-"))</f>
        <v>LIFT</v>
      </c>
      <c r="CG1045" s="59" t="n">
        <f aca="false">IF(N(AB1045)&gt;0,AB1045,0)</f>
        <v>0</v>
      </c>
      <c r="CH1045" s="53" t="n">
        <f aca="false">IF(ISNUMBER(AE1045),1,0)</f>
        <v>0</v>
      </c>
      <c r="CI1045" s="50" t="n">
        <f aca="false">N(AE1045)</f>
        <v>0</v>
      </c>
      <c r="CJ1045" s="50" t="n">
        <f aca="false">N(M1045)+N(N1045)</f>
        <v>5</v>
      </c>
      <c r="CK1045" s="50" t="n">
        <f aca="false">N(M1045)</f>
        <v>0</v>
      </c>
      <c r="CL1045" s="50" t="n">
        <f aca="false">N(N1045)</f>
        <v>5</v>
      </c>
      <c r="CM1045" s="50" t="n">
        <f aca="false">ROUNDUP(H1045/BY1045,0)</f>
        <v>1</v>
      </c>
      <c r="CN1045" s="50" t="n">
        <f aca="false">ROUNDUP(CI1045/BY1045,0)</f>
        <v>0</v>
      </c>
      <c r="CO1045" s="53" t="n">
        <f aca="false">IF(BZ1045=1,0,IFERROR(VLOOKUP(BX1045,'Gebinde-Kategorie'!$A$5:$N$45,5,0)+0,0))</f>
        <v>11</v>
      </c>
      <c r="CP1045" s="53" t="n">
        <f aca="false">IFERROR(IF(OR(CE1045=1,CE1045=2,CE1045=3),N(INDEX(Parameter!$I$5:$I$7,CE1045)),0),0)</f>
        <v>0</v>
      </c>
      <c r="CQ1045" s="52" t="n">
        <f aca="false">IF(AND(Parameter!$B$21="Ja",ISNUMBER(W1045),N(X1045)&gt;0),IFERROR(N(INDEX(Parameter!$L$5:$L$7,W1045))*INDEX(Parameter!$E$5:$E$7,W1045)*X1045/SUMIFS($X$7:$X$1843,$W$7:$W$1843,W1045),0),0)</f>
        <v>0</v>
      </c>
    </row>
    <row r="1046" customFormat="false" ht="15" hidden="false" customHeight="false" outlineLevel="0" collapsed="false">
      <c r="A1046" s="48" t="s">
        <v>1928</v>
      </c>
      <c r="B1046" s="48" t="s">
        <v>607</v>
      </c>
      <c r="C1046" s="48" t="s">
        <v>173</v>
      </c>
      <c r="D1046" s="48" t="s">
        <v>193</v>
      </c>
      <c r="E1046" s="48" t="s">
        <v>194</v>
      </c>
      <c r="F1046" s="48" t="s">
        <v>227</v>
      </c>
      <c r="G1046" s="49" t="n">
        <v>7.91</v>
      </c>
      <c r="H1046" s="50" t="n">
        <f aca="false">MAX(0,IF(AND(Parameter!$B$21="Ja",ISNUMBER(Y1046)),Y1046,IF(Parameter!$B$20="Jahresanfang 2025 + Export",BR1046+BQ1046,BQ1046)))</f>
        <v>108</v>
      </c>
      <c r="I1046" s="50" t="n">
        <f aca="false">H1046*G1046</f>
        <v>854.28</v>
      </c>
      <c r="J1046" s="50" t="n">
        <f aca="false">BT1046*Parameter!$B$18</f>
        <v>380</v>
      </c>
      <c r="K1046" s="51" t="n">
        <v>133</v>
      </c>
      <c r="L1046" s="52" t="n">
        <v>2.85714285714286</v>
      </c>
      <c r="M1046" s="50" t="n">
        <v>25</v>
      </c>
      <c r="N1046" s="50" t="n">
        <v>80</v>
      </c>
      <c r="O1046" s="53" t="n">
        <v>21</v>
      </c>
      <c r="P1046" s="48" t="s">
        <v>485</v>
      </c>
      <c r="Q1046" s="50" t="n">
        <v>117</v>
      </c>
      <c r="R1046" s="53" t="n">
        <f aca="false">IF(BZ1046=1,0,IFERROR(VLOOKUP(BX1046,'Gebinde-Kategorie'!$A$5:$N$45,13,0)+0,0))</f>
        <v>52</v>
      </c>
      <c r="S1046" s="54"/>
      <c r="T1046" s="55"/>
      <c r="U1046" s="55"/>
      <c r="V1046" s="55"/>
      <c r="W1046" s="48"/>
      <c r="X1046" s="50"/>
      <c r="Y1046" s="50"/>
      <c r="Z1046" s="48" t="n">
        <f aca="false">IF(A1046="","",IF(AND(Parameter!$B$21="Ja",ISNUMBER(W1046)),W1046,IF(CC1046="2+3",IF(ISNUMBER(SEARCH("grosser Artikel",BU1046)),2,IFERROR(VLOOKUP(BX1046,Parameter!$F$35:$G$64,2,0),2)),IF(OR(CC1046="Nein",CC1046=""),"-",CC1046))))</f>
        <v>3</v>
      </c>
      <c r="AA1046" s="55"/>
      <c r="AB1046" s="56"/>
      <c r="AC1046" s="50" t="n">
        <f aca="false">AV1046</f>
        <v>229</v>
      </c>
      <c r="AD1046" s="50" t="n">
        <f aca="false">MAX(AV1046,H1046)</f>
        <v>229</v>
      </c>
      <c r="AE1046" s="57"/>
      <c r="AF1046" s="50" t="n">
        <f aca="false">IF(LEFT(Cockpit!$C$5,1)="A",H1046,IF(Parameter!$E$30="MAX-Bestand",IF(CH1046=1,CI1046,IF(LEFT(Cockpit!$C$5,1)="B",AL1046,MAX(AL1046,H1046))),ROUNDUP(AJ1046,0)))</f>
        <v>108</v>
      </c>
      <c r="AG1046" s="50" t="n">
        <f aca="false">IF(BZ1046=1,0,ROUNDUP(AF1046/BY1046,0))</f>
        <v>1</v>
      </c>
      <c r="AH1046" s="52" t="n">
        <f aca="false">IF(CQ1046&gt;0,CQ1046*MAX(1,AF1046/X1046),IF(BZ1046=1,IF(AF1046&lt;=0,0,CD1046*MAX(1,IF(H1046&gt;0,AF1046/H1046,1))),IF(R1046&gt;0,AG1046/R1046,0))/MAX(0.1,N(Parameter!$M$21)))</f>
        <v>0.0192307692307692</v>
      </c>
      <c r="AI1046" s="50" t="n">
        <f aca="false">AH1046*CB1046</f>
        <v>2.98076923076923</v>
      </c>
      <c r="AJ1046" s="51" t="n">
        <f aca="false">IF(LEFT(Cockpit!$C$5,1)="A",H1046,IF(CH1046=1,(CK1046+CI1046)/2,IF(LEFT(Cockpit!$C$5,1)="B",(CK1046+AL1046)/2,MAX((CK1046+AL1046)/2,H1046))))</f>
        <v>108</v>
      </c>
      <c r="AK1046" s="50" t="n">
        <f aca="false">AJ1046*G1046</f>
        <v>854.28</v>
      </c>
      <c r="AL1046" s="50" t="n">
        <f aca="false">ROUNDUP(CK1046+MAX(CL1046,2*(J1046/IF(CG1046&gt;0,CG1046,MAX(0.1,N(Cockpit!$C$6)))-CK1046)),0)</f>
        <v>229</v>
      </c>
      <c r="AM1046" s="51" t="n">
        <f aca="false">IF(AI1046&gt;0,J1046/AI1046,-1)</f>
        <v>127.483870967742</v>
      </c>
      <c r="AN1046" s="51" t="n">
        <f aca="false">IF(AND(OR(CF1046="L1",CF1046="L23",CF1046="LIFT"),AI1046&gt;0),SUMIFS($AI$7:$AI$1843,$CF$7:$CF$1843,CF1046,$AM$7:$AM$1843,"&gt;"&amp;AM1046)+SUMIFS($AI$7:$AI$1843,$CF$7:$CF$1843,CF1046,$AM$7:$AM$1843,AM1046,$BW$7:$BW$1843,"&lt;="&amp;BW1046),"")</f>
        <v>641.010073260073</v>
      </c>
      <c r="AO1046" s="58" t="n">
        <f aca="false">IF(AN1046="",0,MAX(0,MIN(1,(IF(CF1046="L1",Parameter!$H$5,IF(CF1046="L23",Parameter!$H$6+Parameter!$H$7,Parameter!$H$5+Parameter!$H$6+Parameter!$H$7))-(AN1046-AI1046))/AI1046)))</f>
        <v>1</v>
      </c>
      <c r="AP1046" s="50" t="n">
        <f aca="false">IF(LEFT(Cockpit!$I$5,1)="A",H1046,IF(Parameter!$E$30="MAX-Bestand",IF(CH1046=1,CI1046,IF(LEFT(Cockpit!$I$5,1)="B",AV1046,MAX(AV1046,H1046))),ROUNDUP(AT1046,0)))</f>
        <v>127</v>
      </c>
      <c r="AQ1046" s="50" t="n">
        <f aca="false">IF(BZ1046=1,0,ROUNDUP(AP1046/BY1046,0))</f>
        <v>2</v>
      </c>
      <c r="AR1046" s="52" t="n">
        <f aca="false">IF(CQ1046&gt;0,CQ1046*MAX(1,AP1046/X1046),IF(BZ1046=1,IF(AP1046&lt;=0,0,CD1046*MAX(1,IF(H1046&gt;0,AP1046/H1046,1))),IF(R1046&gt;0,AQ1046/R1046,0))/MAX(0.1,N(Parameter!$M$21)))</f>
        <v>0.0384615384615385</v>
      </c>
      <c r="AS1046" s="50" t="n">
        <f aca="false">AR1046*CB1046</f>
        <v>5.96153846153846</v>
      </c>
      <c r="AT1046" s="51" t="n">
        <f aca="false">IF(LEFT(Cockpit!$I$5,1)="A",H1046,IF(CH1046=1,(CK1046+CI1046)/2,IF(LEFT(Cockpit!$I$5,1)="B",(CK1046+AV1046)/2,MAX((CK1046+AV1046)/2,H1046))))</f>
        <v>127</v>
      </c>
      <c r="AU1046" s="50" t="n">
        <f aca="false">AT1046*G1046</f>
        <v>1004.57</v>
      </c>
      <c r="AV1046" s="50" t="n">
        <f aca="false">ROUNDUP(CK1046+MAX(CL1046,2*(J1046/IF(CG1046&gt;0,CG1046,MAX(0.1,N(Cockpit!$I$6)))-CK1046)),0)</f>
        <v>229</v>
      </c>
      <c r="AW1046" s="51" t="n">
        <f aca="false">IF(AS1046&gt;0,J1046/AS1046,-1)</f>
        <v>63.741935483871</v>
      </c>
      <c r="AX1046" s="51" t="n">
        <f aca="false">IF(AND(OR(CF1046="L1",CF1046="L23",CF1046="LIFT"),AS1046&gt;0),SUMIFS($AS$7:$AS$1843,$CF$7:$CF$1843,CF1046,$AW$7:$AW$1843,"&gt;"&amp;AW1046)+SUMIFS($AS$7:$AS$1843,$CF$7:$CF$1843,CF1046,$AW$7:$AW$1843,AW1046,$BW$7:$BW$1843,"&lt;="&amp;BW1046),"")</f>
        <v>1169.9271978022</v>
      </c>
      <c r="AY1046" s="58" t="n">
        <f aca="false">IF(AX1046="",0,MAX(0,MIN(1,(IF(CF1046="L1",Parameter!$H$5,IF(CF1046="L23",Parameter!$H$6+Parameter!$H$7,Parameter!$H$5+Parameter!$H$6+Parameter!$H$7))-(AX1046-AS1046))/AS1046)))</f>
        <v>1</v>
      </c>
      <c r="AZ1046" s="50" t="n">
        <f aca="false">IF(LEFT(Cockpit!$O$5,1)="A",H1046,IF(Parameter!$E$30="MAX-Bestand",IF(CH1046=1,CI1046,IF(LEFT(Cockpit!$O$5,1)="B",BF1046,MAX(BF1046,H1046))),ROUNDUP(BD1046,0)))</f>
        <v>95</v>
      </c>
      <c r="BA1046" s="50" t="n">
        <f aca="false">IF(BZ1046=1,0,ROUNDUP(AZ1046/BY1046,0))</f>
        <v>1</v>
      </c>
      <c r="BB1046" s="52" t="n">
        <f aca="false">IF(CQ1046&gt;0,CQ1046*MAX(1,AZ1046/X1046),IF(BZ1046=1,IF(AZ1046&lt;=0,0,CD1046*MAX(1,IF(H1046&gt;0,AZ1046/H1046,1))),IF(R1046&gt;0,BA1046/R1046,0))/MAX(0.1,N(Parameter!$M$21)))</f>
        <v>0.0192307692307692</v>
      </c>
      <c r="BC1046" s="50" t="n">
        <f aca="false">BB1046*CB1046</f>
        <v>2.98076923076923</v>
      </c>
      <c r="BD1046" s="51" t="n">
        <f aca="false">IF(LEFT(Cockpit!$O$5,1)="A",H1046,IF(CH1046=1,(CK1046+CI1046)/2,IF(LEFT(Cockpit!$O$5,1)="B",(CK1046+BF1046)/2,MAX((CK1046+BF1046)/2,H1046))))</f>
        <v>95</v>
      </c>
      <c r="BE1046" s="50" t="n">
        <f aca="false">BD1046*G1046</f>
        <v>751.45</v>
      </c>
      <c r="BF1046" s="50" t="n">
        <f aca="false">ROUNDUP(CK1046+MAX(CL1046,2*(J1046/IF(CG1046&gt;0,CG1046,MAX(0.1,N(Cockpit!$O$6)))-CK1046)),0)</f>
        <v>165</v>
      </c>
      <c r="BG1046" s="51" t="n">
        <f aca="false">IF(BC1046&gt;0,J1046/BC1046,-1)</f>
        <v>127.483870967742</v>
      </c>
      <c r="BH1046" s="51" t="n">
        <f aca="false">IF(AND(OR(CF1046="L1",CF1046="L23",CF1046="LIFT"),BC1046&gt;0),SUMIFS($BC$7:$BC$1843,$CF$7:$CF$1843,CF1046,$BG$7:$BG$1843,"&gt;"&amp;BG1046)+SUMIFS($BC$7:$BC$1843,$CF$7:$CF$1843,CF1046,$BG$7:$BG$1843,BG1046,$BW$7:$BW$1843,"&lt;="&amp;BW1046),"")</f>
        <v>772.614010989011</v>
      </c>
      <c r="BI1046" s="58" t="n">
        <f aca="false">IF(BH1046="",0,MAX(0,MIN(1,(IF(CF1046="L1",Parameter!$H$5,IF(CF1046="L23",Parameter!$H$6+Parameter!$H$7,Parameter!$H$5+Parameter!$H$6+Parameter!$H$7))-(BH1046-BC1046))/BC1046)))</f>
        <v>1</v>
      </c>
      <c r="BJ1046" s="48" t="str">
        <f aca="false">IF(AI1046&lt;=0,"",IF(CF1046="Aussen","Aussenlager",IF(CF1046="-","Nicht im Lift",IF(AO1046&gt;=1,"Lift",IF(AO1046&lt;=0,"Aussenlager","teilweise")))))</f>
        <v>Lift</v>
      </c>
      <c r="BK1046" s="48" t="str">
        <f aca="false">IF(AS1046&lt;=0,"",IF(CF1046="Aussen","Aussenlager",IF(CF1046="-","Nicht im Lift",IF(AY1046&gt;=1,"Lift",IF(AY1046&lt;=0,"Aussenlager","teilweise")))))</f>
        <v>Lift</v>
      </c>
      <c r="BL1046" s="48" t="str">
        <f aca="false">IF(BC1046&lt;=0,"",IF(CF1046="Aussen","Aussenlager",IF(CF1046="-","Nicht im Lift",IF(BI1046&gt;=1,"Lift",IF(BI1046&lt;=0,"Aussenlager","teilweise")))))</f>
        <v>Lift</v>
      </c>
      <c r="BM1046" s="48" t="str">
        <f aca="false">IF(A1046="","",IF(BV1046=1,"Neu; ","")&amp;IF(AND(BV1046=0,BQ1046&lt;0),"negativer Bestand (Export "&amp;BQ1046&amp;"); ","")&amp;IF(J1046&lt;=0,"Kein Verbrauch; ","")&amp;IF(CQ1046&gt;0,"Lift "&amp;W1046&amp;" lt. Liftbericht (Fach "&amp;X1046&amp;" Stk); ",IF(CA1046=1,"Gebinde geschätzt ("&amp;T1046&amp;"); ",IF(BZ1046=1,"Lose – Tablare geschätzt; ","")))&amp;IF(H1046&gt;AV1046,"Überbestand "&amp;ROUND(H1046-AV1046,0)&amp;" Stk / CHF "&amp;ROUND((H1046-AV1046)*G1046,0)&amp;"; ","")&amp;IF(AND(CH1046=1,CI1046&lt;CJ1046),"MAX &lt; MB+LG; ","")&amp;IF(AND(CP1046&gt;0,CO1046*10&gt;CP1046),"zu hoch für Tablar; ","")&amp;IF(AND(BV1046=0,OR(CH1046=1,AA1046&lt;&gt;"",U1046&lt;&gt;"",V1046&lt;&gt;"",AB1046&lt;&gt;"")),"manuell übersteuert; ","")&amp;IF(AND(BZ1046=0,R1046=0),"Gebinde unbekannt / Stellmass fehlt; ","")&amp;IF(AND(BZ1046=0,N(V1046)&lt;=0,N(Q1046)&lt;=0),"Menge pro Gebinde fehlt (Ist = 1 Gebinde); ","")&amp;BU1046)</f>
        <v>negativer Bestand (Export -16); </v>
      </c>
      <c r="BN1046" s="48"/>
      <c r="BO1046" s="48"/>
      <c r="BP1046" s="55"/>
      <c r="BQ1046" s="50" t="n">
        <v>-16</v>
      </c>
      <c r="BR1046" s="50" t="n">
        <v>124</v>
      </c>
      <c r="BS1046" s="49" t="n">
        <v>-138.96</v>
      </c>
      <c r="BT1046" s="50" t="n">
        <v>380</v>
      </c>
      <c r="BU1046" s="48"/>
      <c r="BV1046" s="53" t="n">
        <v>0</v>
      </c>
      <c r="BW1046" s="53" t="n">
        <v>1046</v>
      </c>
      <c r="BX1046" s="48" t="str">
        <f aca="false">IF(U1046&lt;&gt;"",UPPER(TRIM(U1046)),IF(CA1046=1,UPPER(VLOOKUP(T1046,Parameter!$I$27:$K$29,2,0)),IF(P1046="","LOSE",P1046)))</f>
        <v>S33</v>
      </c>
      <c r="BY1046" s="50" t="n">
        <f aca="false">IF(BX1046="LOSE",1,IF(N(V1046)&gt;0,V1046,IF(CA1046=1,MAX(1,N(VLOOKUP(T1046,Parameter!$I$27:$K$29,3,0)),H1046,N(N1046)),IF(N(Q1046)&gt;0,Q1046,MAX(1,H1046)))))</f>
        <v>117</v>
      </c>
      <c r="BZ1046" s="53" t="n">
        <f aca="false">IF(BX1046="LOSE",1,0)</f>
        <v>0</v>
      </c>
      <c r="CA1046" s="53" t="n">
        <f aca="false">IF(AND(U1046="",OR(P1046="",P1046="LOSE"),T1046&lt;&gt;"",N(S1046)&lt;=0,ISNUMBER(MATCH(T1046,Parameter!$I$27:$I$29,0))),1,0)</f>
        <v>0</v>
      </c>
      <c r="CB1046" s="53" t="n">
        <f aca="false">IF(CQ1046&gt;0,INDEX(Parameter!$H$5:$H$7,W1046)/INDEX(Parameter!$E$5:$E$7,W1046),IF(AND(BZ1046=0,N(IFERROR(VLOOKUP(BX1046,'Gebinde-Kategorie'!$A$5:$N$45,14,0),0))&gt;0),VLOOKUP(BX1046,'Gebinde-Kategorie'!$A$5:$N$45,14,0)*10+Parameter!$M$23,Parameter!$M$24))</f>
        <v>155</v>
      </c>
      <c r="CC1046" s="48" t="str">
        <f aca="false">IF(AND(Parameter!$B$19="Ja",E1046&lt;&gt;"",ISNUMBER(MATCH(E1046,Parameter!$I$35:$I$52,0))),VLOOKUP(E1046,Parameter!$I$35:$J$52,2,0),IFERROR(VLOOKUP(D1046,Parameter!$A$35:$C$64,2,0),"Nein"))</f>
        <v>2+3</v>
      </c>
      <c r="CD1046" s="52" t="n">
        <f aca="false">IF(BZ1046=0,0,IF(N(S1046)&gt;0,S1046,IFERROR(VLOOKUP(D1046,Parameter!$A$35:$C$64,3,0)+0,0)))</f>
        <v>0</v>
      </c>
      <c r="CE1046" s="48" t="n">
        <f aca="false">IF(AA1046&lt;&gt;"",AA1046,Z1046)</f>
        <v>3</v>
      </c>
      <c r="CF1046" s="48" t="str">
        <f aca="false">IF(OR(CE1046=1,CE1046=2,CE1046=3),IF(Parameter!$E$27="Ja","LIFT",IF(CE1046=1,"L1","L23")),IF(CE1046="Aussen","Aussen","-"))</f>
        <v>LIFT</v>
      </c>
      <c r="CG1046" s="59" t="n">
        <f aca="false">IF(N(AB1046)&gt;0,AB1046,0)</f>
        <v>0</v>
      </c>
      <c r="CH1046" s="53" t="n">
        <f aca="false">IF(ISNUMBER(AE1046),1,0)</f>
        <v>0</v>
      </c>
      <c r="CI1046" s="50" t="n">
        <f aca="false">N(AE1046)</f>
        <v>0</v>
      </c>
      <c r="CJ1046" s="50" t="n">
        <f aca="false">N(M1046)+N(N1046)</f>
        <v>105</v>
      </c>
      <c r="CK1046" s="50" t="n">
        <f aca="false">N(M1046)</f>
        <v>25</v>
      </c>
      <c r="CL1046" s="50" t="n">
        <f aca="false">N(N1046)</f>
        <v>80</v>
      </c>
      <c r="CM1046" s="50" t="n">
        <f aca="false">ROUNDUP(H1046/BY1046,0)</f>
        <v>1</v>
      </c>
      <c r="CN1046" s="50" t="n">
        <f aca="false">ROUNDUP(CI1046/BY1046,0)</f>
        <v>0</v>
      </c>
      <c r="CO1046" s="53" t="n">
        <f aca="false">IF(BZ1046=1,0,IFERROR(VLOOKUP(BX1046,'Gebinde-Kategorie'!$A$5:$N$45,5,0)+0,0))</f>
        <v>8</v>
      </c>
      <c r="CP1046" s="53" t="n">
        <f aca="false">IFERROR(IF(OR(CE1046=1,CE1046=2,CE1046=3),N(INDEX(Parameter!$I$5:$I$7,CE1046)),0),0)</f>
        <v>0</v>
      </c>
      <c r="CQ1046" s="52" t="n">
        <f aca="false">IF(AND(Parameter!$B$21="Ja",ISNUMBER(W1046),N(X1046)&gt;0),IFERROR(N(INDEX(Parameter!$L$5:$L$7,W1046))*INDEX(Parameter!$E$5:$E$7,W1046)*X1046/SUMIFS($X$7:$X$1843,$W$7:$W$1843,W1046),0),0)</f>
        <v>0</v>
      </c>
    </row>
    <row r="1047" customFormat="false" ht="15" hidden="false" customHeight="false" outlineLevel="0" collapsed="false">
      <c r="A1047" s="48" t="s">
        <v>1929</v>
      </c>
      <c r="B1047" s="48" t="s">
        <v>607</v>
      </c>
      <c r="C1047" s="48" t="s">
        <v>173</v>
      </c>
      <c r="D1047" s="48" t="s">
        <v>193</v>
      </c>
      <c r="E1047" s="48" t="s">
        <v>194</v>
      </c>
      <c r="F1047" s="48" t="s">
        <v>227</v>
      </c>
      <c r="G1047" s="49" t="n">
        <v>17.52</v>
      </c>
      <c r="H1047" s="50" t="n">
        <f aca="false">MAX(0,IF(AND(Parameter!$B$21="Ja",ISNUMBER(Y1047)),Y1047,IF(Parameter!$B$20="Jahresanfang 2025 + Export",BR1047+BQ1047,BQ1047)))</f>
        <v>72</v>
      </c>
      <c r="I1047" s="50" t="n">
        <f aca="false">H1047*G1047</f>
        <v>1261.44</v>
      </c>
      <c r="J1047" s="50" t="n">
        <f aca="false">BT1047*Parameter!$B$18</f>
        <v>7</v>
      </c>
      <c r="K1047" s="51" t="n">
        <v>76.5</v>
      </c>
      <c r="L1047" s="52" t="n">
        <v>0.0915032679738562</v>
      </c>
      <c r="M1047" s="50" t="n">
        <v>0</v>
      </c>
      <c r="N1047" s="50" t="n">
        <v>5</v>
      </c>
      <c r="O1047" s="53" t="n">
        <v>14</v>
      </c>
      <c r="P1047" s="48" t="s">
        <v>485</v>
      </c>
      <c r="Q1047" s="50" t="n">
        <v>202</v>
      </c>
      <c r="R1047" s="53" t="n">
        <f aca="false">IF(BZ1047=1,0,IFERROR(VLOOKUP(BX1047,'Gebinde-Kategorie'!$A$5:$N$45,13,0)+0,0))</f>
        <v>52</v>
      </c>
      <c r="S1047" s="54"/>
      <c r="T1047" s="55"/>
      <c r="U1047" s="55"/>
      <c r="V1047" s="55"/>
      <c r="W1047" s="48"/>
      <c r="X1047" s="50"/>
      <c r="Y1047" s="50"/>
      <c r="Z1047" s="48" t="n">
        <f aca="false">IF(A1047="","",IF(AND(Parameter!$B$21="Ja",ISNUMBER(W1047)),W1047,IF(CC1047="2+3",IF(ISNUMBER(SEARCH("grosser Artikel",BU1047)),2,IFERROR(VLOOKUP(BX1047,Parameter!$F$35:$G$64,2,0),2)),IF(OR(CC1047="Nein",CC1047=""),"-",CC1047))))</f>
        <v>3</v>
      </c>
      <c r="AA1047" s="55"/>
      <c r="AB1047" s="56"/>
      <c r="AC1047" s="50" t="n">
        <f aca="false">AV1047</f>
        <v>5</v>
      </c>
      <c r="AD1047" s="50" t="n">
        <f aca="false">MAX(AV1047,H1047)</f>
        <v>72</v>
      </c>
      <c r="AE1047" s="57"/>
      <c r="AF1047" s="50" t="n">
        <f aca="false">IF(LEFT(Cockpit!$C$5,1)="A",H1047,IF(Parameter!$E$30="MAX-Bestand",IF(CH1047=1,CI1047,IF(LEFT(Cockpit!$C$5,1)="B",AL1047,MAX(AL1047,H1047))),ROUNDUP(AJ1047,0)))</f>
        <v>72</v>
      </c>
      <c r="AG1047" s="50" t="n">
        <f aca="false">IF(BZ1047=1,0,ROUNDUP(AF1047/BY1047,0))</f>
        <v>1</v>
      </c>
      <c r="AH1047" s="52" t="n">
        <f aca="false">IF(CQ1047&gt;0,CQ1047*MAX(1,AF1047/X1047),IF(BZ1047=1,IF(AF1047&lt;=0,0,CD1047*MAX(1,IF(H1047&gt;0,AF1047/H1047,1))),IF(R1047&gt;0,AG1047/R1047,0))/MAX(0.1,N(Parameter!$M$21)))</f>
        <v>0.0192307692307692</v>
      </c>
      <c r="AI1047" s="50" t="n">
        <f aca="false">AH1047*CB1047</f>
        <v>2.98076923076923</v>
      </c>
      <c r="AJ1047" s="51" t="n">
        <f aca="false">IF(LEFT(Cockpit!$C$5,1)="A",H1047,IF(CH1047=1,(CK1047+CI1047)/2,IF(LEFT(Cockpit!$C$5,1)="B",(CK1047+AL1047)/2,MAX((CK1047+AL1047)/2,H1047))))</f>
        <v>72</v>
      </c>
      <c r="AK1047" s="50" t="n">
        <f aca="false">AJ1047*G1047</f>
        <v>1261.44</v>
      </c>
      <c r="AL1047" s="50" t="n">
        <f aca="false">ROUNDUP(CK1047+MAX(CL1047,2*(J1047/IF(CG1047&gt;0,CG1047,MAX(0.1,N(Cockpit!$C$6)))-CK1047)),0)</f>
        <v>5</v>
      </c>
      <c r="AM1047" s="51" t="n">
        <f aca="false">IF(AI1047&gt;0,J1047/AI1047,-1)</f>
        <v>2.34838709677419</v>
      </c>
      <c r="AN1047" s="51" t="n">
        <f aca="false">IF(AND(OR(CF1047="L1",CF1047="L23",CF1047="LIFT"),AI1047&gt;0),SUMIFS($AI$7:$AI$1843,$CF$7:$CF$1843,CF1047,$AM$7:$AM$1843,"&gt;"&amp;AM1047)+SUMIFS($AI$7:$AI$1843,$CF$7:$CF$1843,CF1047,$AM$7:$AM$1843,AM1047,$BW$7:$BW$1843,"&lt;="&amp;BW1047),"")</f>
        <v>5643.14148351648</v>
      </c>
      <c r="AO1047" s="58" t="n">
        <f aca="false">IF(AN1047="",0,MAX(0,MIN(1,(IF(CF1047="L1",Parameter!$H$5,IF(CF1047="L23",Parameter!$H$6+Parameter!$H$7,Parameter!$H$5+Parameter!$H$6+Parameter!$H$7))-(AN1047-AI1047))/AI1047)))</f>
        <v>1</v>
      </c>
      <c r="AP1047" s="50" t="n">
        <f aca="false">IF(LEFT(Cockpit!$I$5,1)="A",H1047,IF(Parameter!$E$30="MAX-Bestand",IF(CH1047=1,CI1047,IF(LEFT(Cockpit!$I$5,1)="B",AV1047,MAX(AV1047,H1047))),ROUNDUP(AT1047,0)))</f>
        <v>72</v>
      </c>
      <c r="AQ1047" s="50" t="n">
        <f aca="false">IF(BZ1047=1,0,ROUNDUP(AP1047/BY1047,0))</f>
        <v>1</v>
      </c>
      <c r="AR1047" s="52" t="n">
        <f aca="false">IF(CQ1047&gt;0,CQ1047*MAX(1,AP1047/X1047),IF(BZ1047=1,IF(AP1047&lt;=0,0,CD1047*MAX(1,IF(H1047&gt;0,AP1047/H1047,1))),IF(R1047&gt;0,AQ1047/R1047,0))/MAX(0.1,N(Parameter!$M$21)))</f>
        <v>0.0192307692307692</v>
      </c>
      <c r="AS1047" s="50" t="n">
        <f aca="false">AR1047*CB1047</f>
        <v>2.98076923076923</v>
      </c>
      <c r="AT1047" s="51" t="n">
        <f aca="false">IF(LEFT(Cockpit!$I$5,1)="A",H1047,IF(CH1047=1,(CK1047+CI1047)/2,IF(LEFT(Cockpit!$I$5,1)="B",(CK1047+AV1047)/2,MAX((CK1047+AV1047)/2,H1047))))</f>
        <v>72</v>
      </c>
      <c r="AU1047" s="50" t="n">
        <f aca="false">AT1047*G1047</f>
        <v>1261.44</v>
      </c>
      <c r="AV1047" s="50" t="n">
        <f aca="false">ROUNDUP(CK1047+MAX(CL1047,2*(J1047/IF(CG1047&gt;0,CG1047,MAX(0.1,N(Cockpit!$I$6)))-CK1047)),0)</f>
        <v>5</v>
      </c>
      <c r="AW1047" s="51" t="n">
        <f aca="false">IF(AS1047&gt;0,J1047/AS1047,-1)</f>
        <v>2.34838709677419</v>
      </c>
      <c r="AX1047" s="51" t="n">
        <f aca="false">IF(AND(OR(CF1047="L1",CF1047="L23",CF1047="LIFT"),AS1047&gt;0),SUMIFS($AS$7:$AS$1843,$CF$7:$CF$1843,CF1047,$AW$7:$AW$1843,"&gt;"&amp;AW1047)+SUMIFS($AS$7:$AS$1843,$CF$7:$CF$1843,CF1047,$AW$7:$AW$1843,AW1047,$BW$7:$BW$1843,"&lt;="&amp;BW1047),"")</f>
        <v>6465.53617216117</v>
      </c>
      <c r="AY1047" s="58" t="n">
        <f aca="false">IF(AX1047="",0,MAX(0,MIN(1,(IF(CF1047="L1",Parameter!$H$5,IF(CF1047="L23",Parameter!$H$6+Parameter!$H$7,Parameter!$H$5+Parameter!$H$6+Parameter!$H$7))-(AX1047-AS1047))/AS1047)))</f>
        <v>1</v>
      </c>
      <c r="AZ1047" s="50" t="n">
        <f aca="false">IF(LEFT(Cockpit!$O$5,1)="A",H1047,IF(Parameter!$E$30="MAX-Bestand",IF(CH1047=1,CI1047,IF(LEFT(Cockpit!$O$5,1)="B",BF1047,MAX(BF1047,H1047))),ROUNDUP(BD1047,0)))</f>
        <v>3</v>
      </c>
      <c r="BA1047" s="50" t="n">
        <f aca="false">IF(BZ1047=1,0,ROUNDUP(AZ1047/BY1047,0))</f>
        <v>1</v>
      </c>
      <c r="BB1047" s="52" t="n">
        <f aca="false">IF(CQ1047&gt;0,CQ1047*MAX(1,AZ1047/X1047),IF(BZ1047=1,IF(AZ1047&lt;=0,0,CD1047*MAX(1,IF(H1047&gt;0,AZ1047/H1047,1))),IF(R1047&gt;0,BA1047/R1047,0))/MAX(0.1,N(Parameter!$M$21)))</f>
        <v>0.0192307692307692</v>
      </c>
      <c r="BC1047" s="50" t="n">
        <f aca="false">BB1047*CB1047</f>
        <v>2.98076923076923</v>
      </c>
      <c r="BD1047" s="51" t="n">
        <f aca="false">IF(LEFT(Cockpit!$O$5,1)="A",H1047,IF(CH1047=1,(CK1047+CI1047)/2,IF(LEFT(Cockpit!$O$5,1)="B",(CK1047+BF1047)/2,MAX((CK1047+BF1047)/2,H1047))))</f>
        <v>2.5</v>
      </c>
      <c r="BE1047" s="50" t="n">
        <f aca="false">BD1047*G1047</f>
        <v>43.8</v>
      </c>
      <c r="BF1047" s="50" t="n">
        <f aca="false">ROUNDUP(CK1047+MAX(CL1047,2*(J1047/IF(CG1047&gt;0,CG1047,MAX(0.1,N(Cockpit!$O$6)))-CK1047)),0)</f>
        <v>5</v>
      </c>
      <c r="BG1047" s="51" t="n">
        <f aca="false">IF(BC1047&gt;0,J1047/BC1047,-1)</f>
        <v>2.34838709677419</v>
      </c>
      <c r="BH1047" s="51" t="n">
        <f aca="false">IF(AND(OR(CF1047="L1",CF1047="L23",CF1047="LIFT"),BC1047&gt;0),SUMIFS($BC$7:$BC$1843,$CF$7:$CF$1843,CF1047,$BG$7:$BG$1843,"&gt;"&amp;BG1047)+SUMIFS($BC$7:$BC$1843,$CF$7:$CF$1843,CF1047,$BG$7:$BG$1843,BG1047,$BW$7:$BW$1843,"&lt;="&amp;BW1047),"")</f>
        <v>5619.40384615385</v>
      </c>
      <c r="BI1047" s="58" t="n">
        <f aca="false">IF(BH1047="",0,MAX(0,MIN(1,(IF(CF1047="L1",Parameter!$H$5,IF(CF1047="L23",Parameter!$H$6+Parameter!$H$7,Parameter!$H$5+Parameter!$H$6+Parameter!$H$7))-(BH1047-BC1047))/BC1047)))</f>
        <v>1</v>
      </c>
      <c r="BJ1047" s="48" t="str">
        <f aca="false">IF(AI1047&lt;=0,"",IF(CF1047="Aussen","Aussenlager",IF(CF1047="-","Nicht im Lift",IF(AO1047&gt;=1,"Lift",IF(AO1047&lt;=0,"Aussenlager","teilweise")))))</f>
        <v>Lift</v>
      </c>
      <c r="BK1047" s="48" t="str">
        <f aca="false">IF(AS1047&lt;=0,"",IF(CF1047="Aussen","Aussenlager",IF(CF1047="-","Nicht im Lift",IF(AY1047&gt;=1,"Lift",IF(AY1047&lt;=0,"Aussenlager","teilweise")))))</f>
        <v>Lift</v>
      </c>
      <c r="BL1047" s="48" t="str">
        <f aca="false">IF(BC1047&lt;=0,"",IF(CF1047="Aussen","Aussenlager",IF(CF1047="-","Nicht im Lift",IF(BI1047&gt;=1,"Lift",IF(BI1047&lt;=0,"Aussenlager","teilweise")))))</f>
        <v>Lift</v>
      </c>
      <c r="BM1047" s="48" t="str">
        <f aca="false">IF(A1047="","",IF(BV1047=1,"Neu; ","")&amp;IF(AND(BV1047=0,BQ1047&lt;0),"negativer Bestand (Export "&amp;BQ1047&amp;"); ","")&amp;IF(J1047&lt;=0,"Kein Verbrauch; ","")&amp;IF(CQ1047&gt;0,"Lift "&amp;W1047&amp;" lt. Liftbericht (Fach "&amp;X1047&amp;" Stk); ",IF(CA1047=1,"Gebinde geschätzt ("&amp;T1047&amp;"); ",IF(BZ1047=1,"Lose – Tablare geschätzt; ","")))&amp;IF(H1047&gt;AV1047,"Überbestand "&amp;ROUND(H1047-AV1047,0)&amp;" Stk / CHF "&amp;ROUND((H1047-AV1047)*G1047,0)&amp;"; ","")&amp;IF(AND(CH1047=1,CI1047&lt;CJ1047),"MAX &lt; MB+LG; ","")&amp;IF(AND(CP1047&gt;0,CO1047*10&gt;CP1047),"zu hoch für Tablar; ","")&amp;IF(AND(BV1047=0,OR(CH1047=1,AA1047&lt;&gt;"",U1047&lt;&gt;"",V1047&lt;&gt;"",AB1047&lt;&gt;"")),"manuell übersteuert; ","")&amp;IF(AND(BZ1047=0,R1047=0),"Gebinde unbekannt / Stellmass fehlt; ","")&amp;IF(AND(BZ1047=0,N(V1047)&lt;=0,N(Q1047)&lt;=0),"Menge pro Gebinde fehlt (Ist = 1 Gebinde); ","")&amp;BU1047)</f>
        <v>negativer Bestand (Export -8); Überbestand 67 Stk / CHF 1174; Überbestand</v>
      </c>
      <c r="BN1047" s="48"/>
      <c r="BO1047" s="48"/>
      <c r="BP1047" s="55"/>
      <c r="BQ1047" s="50" t="n">
        <v>-8</v>
      </c>
      <c r="BR1047" s="50" t="n">
        <v>80</v>
      </c>
      <c r="BS1047" s="49" t="n">
        <v>-140.16</v>
      </c>
      <c r="BT1047" s="50" t="n">
        <v>7</v>
      </c>
      <c r="BU1047" s="48" t="s">
        <v>401</v>
      </c>
      <c r="BV1047" s="53" t="n">
        <v>0</v>
      </c>
      <c r="BW1047" s="53" t="n">
        <v>1047</v>
      </c>
      <c r="BX1047" s="48" t="str">
        <f aca="false">IF(U1047&lt;&gt;"",UPPER(TRIM(U1047)),IF(CA1047=1,UPPER(VLOOKUP(T1047,Parameter!$I$27:$K$29,2,0)),IF(P1047="","LOSE",P1047)))</f>
        <v>S33</v>
      </c>
      <c r="BY1047" s="50" t="n">
        <f aca="false">IF(BX1047="LOSE",1,IF(N(V1047)&gt;0,V1047,IF(CA1047=1,MAX(1,N(VLOOKUP(T1047,Parameter!$I$27:$K$29,3,0)),H1047,N(N1047)),IF(N(Q1047)&gt;0,Q1047,MAX(1,H1047)))))</f>
        <v>202</v>
      </c>
      <c r="BZ1047" s="53" t="n">
        <f aca="false">IF(BX1047="LOSE",1,0)</f>
        <v>0</v>
      </c>
      <c r="CA1047" s="53" t="n">
        <f aca="false">IF(AND(U1047="",OR(P1047="",P1047="LOSE"),T1047&lt;&gt;"",N(S1047)&lt;=0,ISNUMBER(MATCH(T1047,Parameter!$I$27:$I$29,0))),1,0)</f>
        <v>0</v>
      </c>
      <c r="CB1047" s="53" t="n">
        <f aca="false">IF(CQ1047&gt;0,INDEX(Parameter!$H$5:$H$7,W1047)/INDEX(Parameter!$E$5:$E$7,W1047),IF(AND(BZ1047=0,N(IFERROR(VLOOKUP(BX1047,'Gebinde-Kategorie'!$A$5:$N$45,14,0),0))&gt;0),VLOOKUP(BX1047,'Gebinde-Kategorie'!$A$5:$N$45,14,0)*10+Parameter!$M$23,Parameter!$M$24))</f>
        <v>155</v>
      </c>
      <c r="CC1047" s="48" t="str">
        <f aca="false">IF(AND(Parameter!$B$19="Ja",E1047&lt;&gt;"",ISNUMBER(MATCH(E1047,Parameter!$I$35:$I$52,0))),VLOOKUP(E1047,Parameter!$I$35:$J$52,2,0),IFERROR(VLOOKUP(D1047,Parameter!$A$35:$C$64,2,0),"Nein"))</f>
        <v>2+3</v>
      </c>
      <c r="CD1047" s="52" t="n">
        <f aca="false">IF(BZ1047=0,0,IF(N(S1047)&gt;0,S1047,IFERROR(VLOOKUP(D1047,Parameter!$A$35:$C$64,3,0)+0,0)))</f>
        <v>0</v>
      </c>
      <c r="CE1047" s="48" t="n">
        <f aca="false">IF(AA1047&lt;&gt;"",AA1047,Z1047)</f>
        <v>3</v>
      </c>
      <c r="CF1047" s="48" t="str">
        <f aca="false">IF(OR(CE1047=1,CE1047=2,CE1047=3),IF(Parameter!$E$27="Ja","LIFT",IF(CE1047=1,"L1","L23")),IF(CE1047="Aussen","Aussen","-"))</f>
        <v>LIFT</v>
      </c>
      <c r="CG1047" s="59" t="n">
        <f aca="false">IF(N(AB1047)&gt;0,AB1047,0)</f>
        <v>0</v>
      </c>
      <c r="CH1047" s="53" t="n">
        <f aca="false">IF(ISNUMBER(AE1047),1,0)</f>
        <v>0</v>
      </c>
      <c r="CI1047" s="50" t="n">
        <f aca="false">N(AE1047)</f>
        <v>0</v>
      </c>
      <c r="CJ1047" s="50" t="n">
        <f aca="false">N(M1047)+N(N1047)</f>
        <v>5</v>
      </c>
      <c r="CK1047" s="50" t="n">
        <f aca="false">N(M1047)</f>
        <v>0</v>
      </c>
      <c r="CL1047" s="50" t="n">
        <f aca="false">N(N1047)</f>
        <v>5</v>
      </c>
      <c r="CM1047" s="50" t="n">
        <f aca="false">ROUNDUP(H1047/BY1047,0)</f>
        <v>1</v>
      </c>
      <c r="CN1047" s="50" t="n">
        <f aca="false">ROUNDUP(CI1047/BY1047,0)</f>
        <v>0</v>
      </c>
      <c r="CO1047" s="53" t="n">
        <f aca="false">IF(BZ1047=1,0,IFERROR(VLOOKUP(BX1047,'Gebinde-Kategorie'!$A$5:$N$45,5,0)+0,0))</f>
        <v>8</v>
      </c>
      <c r="CP1047" s="53" t="n">
        <f aca="false">IFERROR(IF(OR(CE1047=1,CE1047=2,CE1047=3),N(INDEX(Parameter!$I$5:$I$7,CE1047)),0),0)</f>
        <v>0</v>
      </c>
      <c r="CQ1047" s="52" t="n">
        <f aca="false">IF(AND(Parameter!$B$21="Ja",ISNUMBER(W1047),N(X1047)&gt;0),IFERROR(N(INDEX(Parameter!$L$5:$L$7,W1047))*INDEX(Parameter!$E$5:$E$7,W1047)*X1047/SUMIFS($X$7:$X$1843,$W$7:$W$1843,W1047),0),0)</f>
        <v>0</v>
      </c>
    </row>
    <row r="1048" customFormat="false" ht="15" hidden="false" customHeight="false" outlineLevel="0" collapsed="false">
      <c r="A1048" s="48" t="s">
        <v>1930</v>
      </c>
      <c r="B1048" s="48" t="s">
        <v>1595</v>
      </c>
      <c r="C1048" s="48" t="s">
        <v>173</v>
      </c>
      <c r="D1048" s="48" t="s">
        <v>193</v>
      </c>
      <c r="E1048" s="48" t="s">
        <v>194</v>
      </c>
      <c r="F1048" s="48" t="s">
        <v>227</v>
      </c>
      <c r="G1048" s="49" t="n">
        <v>0.83</v>
      </c>
      <c r="H1048" s="50" t="n">
        <f aca="false">MAX(0,IF(AND(Parameter!$B$21="Ja",ISNUMBER(Y1048)),Y1048,IF(Parameter!$B$20="Jahresanfang 2025 + Export",BR1048+BQ1048,BQ1048)))</f>
        <v>0</v>
      </c>
      <c r="I1048" s="50" t="n">
        <f aca="false">H1048*G1048</f>
        <v>0</v>
      </c>
      <c r="J1048" s="50" t="n">
        <f aca="false">BT1048*Parameter!$B$18</f>
        <v>0</v>
      </c>
      <c r="K1048" s="51" t="n">
        <v>38.5</v>
      </c>
      <c r="L1048" s="52" t="n">
        <v>0</v>
      </c>
      <c r="M1048" s="50" t="n">
        <v>0</v>
      </c>
      <c r="N1048" s="50" t="n">
        <v>1</v>
      </c>
      <c r="O1048" s="53" t="n">
        <v>21</v>
      </c>
      <c r="P1048" s="48" t="s">
        <v>430</v>
      </c>
      <c r="Q1048" s="50" t="n">
        <v>54</v>
      </c>
      <c r="R1048" s="53" t="n">
        <f aca="false">IF(BZ1048=1,0,IFERROR(VLOOKUP(BX1048,'Gebinde-Kategorie'!$A$5:$N$45,13,0)+0,0))</f>
        <v>104</v>
      </c>
      <c r="S1048" s="54"/>
      <c r="T1048" s="55"/>
      <c r="U1048" s="55"/>
      <c r="V1048" s="55"/>
      <c r="W1048" s="48"/>
      <c r="X1048" s="50"/>
      <c r="Y1048" s="50"/>
      <c r="Z1048" s="48" t="n">
        <f aca="false">IF(A1048="","",IF(AND(Parameter!$B$21="Ja",ISNUMBER(W1048)),W1048,IF(CC1048="2+3",IF(ISNUMBER(SEARCH("grosser Artikel",BU1048)),2,IFERROR(VLOOKUP(BX1048,Parameter!$F$35:$G$64,2,0),2)),IF(OR(CC1048="Nein",CC1048=""),"-",CC1048))))</f>
        <v>3</v>
      </c>
      <c r="AA1048" s="55"/>
      <c r="AB1048" s="56"/>
      <c r="AC1048" s="50" t="n">
        <f aca="false">AV1048</f>
        <v>1</v>
      </c>
      <c r="AD1048" s="50" t="n">
        <f aca="false">MAX(AV1048,H1048)</f>
        <v>1</v>
      </c>
      <c r="AE1048" s="57"/>
      <c r="AF1048" s="50" t="n">
        <f aca="false">IF(LEFT(Cockpit!$C$5,1)="A",H1048,IF(Parameter!$E$30="MAX-Bestand",IF(CH1048=1,CI1048,IF(LEFT(Cockpit!$C$5,1)="B",AL1048,MAX(AL1048,H1048))),ROUNDUP(AJ1048,0)))</f>
        <v>0</v>
      </c>
      <c r="AG1048" s="50" t="n">
        <f aca="false">IF(BZ1048=1,0,ROUNDUP(AF1048/BY1048,0))</f>
        <v>0</v>
      </c>
      <c r="AH1048" s="52" t="n">
        <f aca="false">IF(CQ1048&gt;0,CQ1048*MAX(1,AF1048/X1048),IF(BZ1048=1,IF(AF1048&lt;=0,0,CD1048*MAX(1,IF(H1048&gt;0,AF1048/H1048,1))),IF(R1048&gt;0,AG1048/R1048,0))/MAX(0.1,N(Parameter!$M$21)))</f>
        <v>0</v>
      </c>
      <c r="AI1048" s="50" t="n">
        <f aca="false">AH1048*CB1048</f>
        <v>0</v>
      </c>
      <c r="AJ1048" s="51" t="n">
        <f aca="false">IF(LEFT(Cockpit!$C$5,1)="A",H1048,IF(CH1048=1,(CK1048+CI1048)/2,IF(LEFT(Cockpit!$C$5,1)="B",(CK1048+AL1048)/2,MAX((CK1048+AL1048)/2,H1048))))</f>
        <v>0</v>
      </c>
      <c r="AK1048" s="50" t="n">
        <f aca="false">AJ1048*G1048</f>
        <v>0</v>
      </c>
      <c r="AL1048" s="50" t="n">
        <f aca="false">ROUNDUP(CK1048+MAX(CL1048,2*(J1048/IF(CG1048&gt;0,CG1048,MAX(0.1,N(Cockpit!$C$6)))-CK1048)),0)</f>
        <v>1</v>
      </c>
      <c r="AM1048" s="51" t="n">
        <f aca="false">IF(AI1048&gt;0,J1048/AI1048,-1)</f>
        <v>-1</v>
      </c>
      <c r="AN1048" s="51" t="str">
        <f aca="false">IF(AND(OR(CF1048="L1",CF1048="L23",CF1048="LIFT"),AI1048&gt;0),SUMIFS($AI$7:$AI$1843,$CF$7:$CF$1843,CF1048,$AM$7:$AM$1843,"&gt;"&amp;AM1048)+SUMIFS($AI$7:$AI$1843,$CF$7:$CF$1843,CF1048,$AM$7:$AM$1843,AM1048,$BW$7:$BW$1843,"&lt;="&amp;BW1048),"")</f>
        <v/>
      </c>
      <c r="AO1048" s="58" t="n">
        <f aca="false">IF(AN1048="",0,MAX(0,MIN(1,(IF(CF1048="L1",Parameter!$H$5,IF(CF1048="L23",Parameter!$H$6+Parameter!$H$7,Parameter!$H$5+Parameter!$H$6+Parameter!$H$7))-(AN1048-AI1048))/AI1048)))</f>
        <v>0</v>
      </c>
      <c r="AP1048" s="50" t="n">
        <f aca="false">IF(LEFT(Cockpit!$I$5,1)="A",H1048,IF(Parameter!$E$30="MAX-Bestand",IF(CH1048=1,CI1048,IF(LEFT(Cockpit!$I$5,1)="B",AV1048,MAX(AV1048,H1048))),ROUNDUP(AT1048,0)))</f>
        <v>1</v>
      </c>
      <c r="AQ1048" s="50" t="n">
        <f aca="false">IF(BZ1048=1,0,ROUNDUP(AP1048/BY1048,0))</f>
        <v>1</v>
      </c>
      <c r="AR1048" s="52" t="n">
        <f aca="false">IF(CQ1048&gt;0,CQ1048*MAX(1,AP1048/X1048),IF(BZ1048=1,IF(AP1048&lt;=0,0,CD1048*MAX(1,IF(H1048&gt;0,AP1048/H1048,1))),IF(R1048&gt;0,AQ1048/R1048,0))/MAX(0.1,N(Parameter!$M$21)))</f>
        <v>0.00961538461538462</v>
      </c>
      <c r="AS1048" s="50" t="n">
        <f aca="false">AR1048*CB1048</f>
        <v>1.49038461538462</v>
      </c>
      <c r="AT1048" s="51" t="n">
        <f aca="false">IF(LEFT(Cockpit!$I$5,1)="A",H1048,IF(CH1048=1,(CK1048+CI1048)/2,IF(LEFT(Cockpit!$I$5,1)="B",(CK1048+AV1048)/2,MAX((CK1048+AV1048)/2,H1048))))</f>
        <v>0.5</v>
      </c>
      <c r="AU1048" s="50" t="n">
        <f aca="false">AT1048*G1048</f>
        <v>0.415</v>
      </c>
      <c r="AV1048" s="50" t="n">
        <f aca="false">ROUNDUP(CK1048+MAX(CL1048,2*(J1048/IF(CG1048&gt;0,CG1048,MAX(0.1,N(Cockpit!$I$6)))-CK1048)),0)</f>
        <v>1</v>
      </c>
      <c r="AW1048" s="51" t="n">
        <f aca="false">IF(AS1048&gt;0,J1048/AS1048,-1)</f>
        <v>0</v>
      </c>
      <c r="AX1048" s="51" t="n">
        <f aca="false">IF(AND(OR(CF1048="L1",CF1048="L23",CF1048="LIFT"),AS1048&gt;0),SUMIFS($AS$7:$AS$1843,$CF$7:$CF$1843,CF1048,$AW$7:$AW$1843,"&gt;"&amp;AW1048)+SUMIFS($AS$7:$AS$1843,$CF$7:$CF$1843,CF1048,$AW$7:$AW$1843,AW1048,$BW$7:$BW$1843,"&lt;="&amp;BW1048),"")</f>
        <v>34771.6405677656</v>
      </c>
      <c r="AY1048" s="58" t="n">
        <f aca="false">IF(AX1048="",0,MAX(0,MIN(1,(IF(CF1048="L1",Parameter!$H$5,IF(CF1048="L23",Parameter!$H$6+Parameter!$H$7,Parameter!$H$5+Parameter!$H$6+Parameter!$H$7))-(AX1048-AS1048))/AS1048)))</f>
        <v>1</v>
      </c>
      <c r="AZ1048" s="50" t="n">
        <f aca="false">IF(LEFT(Cockpit!$O$5,1)="A",H1048,IF(Parameter!$E$30="MAX-Bestand",IF(CH1048=1,CI1048,IF(LEFT(Cockpit!$O$5,1)="B",BF1048,MAX(BF1048,H1048))),ROUNDUP(BD1048,0)))</f>
        <v>1</v>
      </c>
      <c r="BA1048" s="50" t="n">
        <f aca="false">IF(BZ1048=1,0,ROUNDUP(AZ1048/BY1048,0))</f>
        <v>1</v>
      </c>
      <c r="BB1048" s="52" t="n">
        <f aca="false">IF(CQ1048&gt;0,CQ1048*MAX(1,AZ1048/X1048),IF(BZ1048=1,IF(AZ1048&lt;=0,0,CD1048*MAX(1,IF(H1048&gt;0,AZ1048/H1048,1))),IF(R1048&gt;0,BA1048/R1048,0))/MAX(0.1,N(Parameter!$M$21)))</f>
        <v>0.00961538461538462</v>
      </c>
      <c r="BC1048" s="50" t="n">
        <f aca="false">BB1048*CB1048</f>
        <v>1.49038461538462</v>
      </c>
      <c r="BD1048" s="51" t="n">
        <f aca="false">IF(LEFT(Cockpit!$O$5,1)="A",H1048,IF(CH1048=1,(CK1048+CI1048)/2,IF(LEFT(Cockpit!$O$5,1)="B",(CK1048+BF1048)/2,MAX((CK1048+BF1048)/2,H1048))))</f>
        <v>0.5</v>
      </c>
      <c r="BE1048" s="50" t="n">
        <f aca="false">BD1048*G1048</f>
        <v>0.415</v>
      </c>
      <c r="BF1048" s="50" t="n">
        <f aca="false">ROUNDUP(CK1048+MAX(CL1048,2*(J1048/IF(CG1048&gt;0,CG1048,MAX(0.1,N(Cockpit!$O$6)))-CK1048)),0)</f>
        <v>1</v>
      </c>
      <c r="BG1048" s="51" t="n">
        <f aca="false">IF(BC1048&gt;0,J1048/BC1048,-1)</f>
        <v>0</v>
      </c>
      <c r="BH1048" s="51" t="n">
        <f aca="false">IF(AND(OR(CF1048="L1",CF1048="L23",CF1048="LIFT"),BC1048&gt;0),SUMIFS($BC$7:$BC$1843,$CF$7:$CF$1843,CF1048,$BG$7:$BG$1843,"&gt;"&amp;BG1048)+SUMIFS($BC$7:$BC$1843,$CF$7:$CF$1843,CF1048,$BG$7:$BG$1843,BG1048,$BW$7:$BW$1843,"&lt;="&amp;BW1048),"")</f>
        <v>28768.8703048364</v>
      </c>
      <c r="BI1048" s="58" t="n">
        <f aca="false">IF(BH1048="",0,MAX(0,MIN(1,(IF(CF1048="L1",Parameter!$H$5,IF(CF1048="L23",Parameter!$H$6+Parameter!$H$7,Parameter!$H$5+Parameter!$H$6+Parameter!$H$7))-(BH1048-BC1048))/BC1048)))</f>
        <v>1</v>
      </c>
      <c r="BJ1048" s="48" t="str">
        <f aca="false">IF(AI1048&lt;=0,"",IF(CF1048="Aussen","Aussenlager",IF(CF1048="-","Nicht im Lift",IF(AO1048&gt;=1,"Lift",IF(AO1048&lt;=0,"Aussenlager","teilweise")))))</f>
        <v/>
      </c>
      <c r="BK1048" s="48" t="str">
        <f aca="false">IF(AS1048&lt;=0,"",IF(CF1048="Aussen","Aussenlager",IF(CF1048="-","Nicht im Lift",IF(AY1048&gt;=1,"Lift",IF(AY1048&lt;=0,"Aussenlager","teilweise")))))</f>
        <v>Lift</v>
      </c>
      <c r="BL1048" s="48" t="str">
        <f aca="false">IF(BC1048&lt;=0,"",IF(CF1048="Aussen","Aussenlager",IF(CF1048="-","Nicht im Lift",IF(BI1048&gt;=1,"Lift",IF(BI1048&lt;=0,"Aussenlager","teilweise")))))</f>
        <v>Lift</v>
      </c>
      <c r="BM1048" s="48" t="str">
        <f aca="false">IF(A1048="","",IF(BV1048=1,"Neu; ","")&amp;IF(AND(BV1048=0,BQ1048&lt;0),"negativer Bestand (Export "&amp;BQ1048&amp;"); ","")&amp;IF(J1048&lt;=0,"Kein Verbrauch; ","")&amp;IF(CQ1048&gt;0,"Lift "&amp;W1048&amp;" lt. Liftbericht (Fach "&amp;X1048&amp;" Stk); ",IF(CA1048=1,"Gebinde geschätzt ("&amp;T1048&amp;"); ",IF(BZ1048=1,"Lose – Tablare geschätzt; ","")))&amp;IF(H1048&gt;AV1048,"Überbestand "&amp;ROUND(H1048-AV1048,0)&amp;" Stk / CHF "&amp;ROUND((H1048-AV1048)*G1048,0)&amp;"; ","")&amp;IF(AND(CH1048=1,CI1048&lt;CJ1048),"MAX &lt; MB+LG; ","")&amp;IF(AND(CP1048&gt;0,CO1048*10&gt;CP1048),"zu hoch für Tablar; ","")&amp;IF(AND(BV1048=0,OR(CH1048=1,AA1048&lt;&gt;"",U1048&lt;&gt;"",V1048&lt;&gt;"",AB1048&lt;&gt;"")),"manuell übersteuert; ","")&amp;IF(AND(BZ1048=0,R1048=0),"Gebinde unbekannt / Stellmass fehlt; ","")&amp;IF(AND(BZ1048=0,N(V1048)&lt;=0,N(Q1048)&lt;=0),"Menge pro Gebinde fehlt (Ist = 1 Gebinde); ","")&amp;BU1048)</f>
        <v>negativer Bestand (Export -47); Kein Verbrauch; Überbestand</v>
      </c>
      <c r="BN1048" s="48"/>
      <c r="BO1048" s="48"/>
      <c r="BP1048" s="55"/>
      <c r="BQ1048" s="50" t="n">
        <v>-47</v>
      </c>
      <c r="BR1048" s="50" t="n">
        <v>47</v>
      </c>
      <c r="BS1048" s="49" t="n">
        <v>-142.41</v>
      </c>
      <c r="BT1048" s="50" t="n">
        <v>0</v>
      </c>
      <c r="BU1048" s="48" t="s">
        <v>401</v>
      </c>
      <c r="BV1048" s="53" t="n">
        <v>0</v>
      </c>
      <c r="BW1048" s="53" t="n">
        <v>1048</v>
      </c>
      <c r="BX1048" s="48" t="str">
        <f aca="false">IF(U1048&lt;&gt;"",UPPER(TRIM(U1048)),IF(CA1048=1,UPPER(VLOOKUP(T1048,Parameter!$I$27:$K$29,2,0)),IF(P1048="","LOSE",P1048)))</f>
        <v>S32</v>
      </c>
      <c r="BY1048" s="50" t="n">
        <f aca="false">IF(BX1048="LOSE",1,IF(N(V1048)&gt;0,V1048,IF(CA1048=1,MAX(1,N(VLOOKUP(T1048,Parameter!$I$27:$K$29,3,0)),H1048,N(N1048)),IF(N(Q1048)&gt;0,Q1048,MAX(1,H1048)))))</f>
        <v>54</v>
      </c>
      <c r="BZ1048" s="53" t="n">
        <f aca="false">IF(BX1048="LOSE",1,0)</f>
        <v>0</v>
      </c>
      <c r="CA1048" s="53" t="n">
        <f aca="false">IF(AND(U1048="",OR(P1048="",P1048="LOSE"),T1048&lt;&gt;"",N(S1048)&lt;=0,ISNUMBER(MATCH(T1048,Parameter!$I$27:$I$29,0))),1,0)</f>
        <v>0</v>
      </c>
      <c r="CB1048" s="53" t="n">
        <f aca="false">IF(CQ1048&gt;0,INDEX(Parameter!$H$5:$H$7,W1048)/INDEX(Parameter!$E$5:$E$7,W1048),IF(AND(BZ1048=0,N(IFERROR(VLOOKUP(BX1048,'Gebinde-Kategorie'!$A$5:$N$45,14,0),0))&gt;0),VLOOKUP(BX1048,'Gebinde-Kategorie'!$A$5:$N$45,14,0)*10+Parameter!$M$23,Parameter!$M$24))</f>
        <v>155</v>
      </c>
      <c r="CC1048" s="48" t="str">
        <f aca="false">IF(AND(Parameter!$B$19="Ja",E1048&lt;&gt;"",ISNUMBER(MATCH(E1048,Parameter!$I$35:$I$52,0))),VLOOKUP(E1048,Parameter!$I$35:$J$52,2,0),IFERROR(VLOOKUP(D1048,Parameter!$A$35:$C$64,2,0),"Nein"))</f>
        <v>2+3</v>
      </c>
      <c r="CD1048" s="52" t="n">
        <f aca="false">IF(BZ1048=0,0,IF(N(S1048)&gt;0,S1048,IFERROR(VLOOKUP(D1048,Parameter!$A$35:$C$64,3,0)+0,0)))</f>
        <v>0</v>
      </c>
      <c r="CE1048" s="48" t="n">
        <f aca="false">IF(AA1048&lt;&gt;"",AA1048,Z1048)</f>
        <v>3</v>
      </c>
      <c r="CF1048" s="48" t="str">
        <f aca="false">IF(OR(CE1048=1,CE1048=2,CE1048=3),IF(Parameter!$E$27="Ja","LIFT",IF(CE1048=1,"L1","L23")),IF(CE1048="Aussen","Aussen","-"))</f>
        <v>LIFT</v>
      </c>
      <c r="CG1048" s="59" t="n">
        <f aca="false">IF(N(AB1048)&gt;0,AB1048,0)</f>
        <v>0</v>
      </c>
      <c r="CH1048" s="53" t="n">
        <f aca="false">IF(ISNUMBER(AE1048),1,0)</f>
        <v>0</v>
      </c>
      <c r="CI1048" s="50" t="n">
        <f aca="false">N(AE1048)</f>
        <v>0</v>
      </c>
      <c r="CJ1048" s="50" t="n">
        <f aca="false">N(M1048)+N(N1048)</f>
        <v>1</v>
      </c>
      <c r="CK1048" s="50" t="n">
        <f aca="false">N(M1048)</f>
        <v>0</v>
      </c>
      <c r="CL1048" s="50" t="n">
        <f aca="false">N(N1048)</f>
        <v>1</v>
      </c>
      <c r="CM1048" s="50" t="n">
        <f aca="false">ROUNDUP(H1048/BY1048,0)</f>
        <v>0</v>
      </c>
      <c r="CN1048" s="50" t="n">
        <f aca="false">ROUNDUP(CI1048/BY1048,0)</f>
        <v>0</v>
      </c>
      <c r="CO1048" s="53" t="n">
        <f aca="false">IF(BZ1048=1,0,IFERROR(VLOOKUP(BX1048,'Gebinde-Kategorie'!$A$5:$N$45,5,0)+0,0))</f>
        <v>8</v>
      </c>
      <c r="CP1048" s="53" t="n">
        <f aca="false">IFERROR(IF(OR(CE1048=1,CE1048=2,CE1048=3),N(INDEX(Parameter!$I$5:$I$7,CE1048)),0),0)</f>
        <v>0</v>
      </c>
      <c r="CQ1048" s="52" t="n">
        <f aca="false">IF(AND(Parameter!$B$21="Ja",ISNUMBER(W1048),N(X1048)&gt;0),IFERROR(N(INDEX(Parameter!$L$5:$L$7,W1048))*INDEX(Parameter!$E$5:$E$7,W1048)*X1048/SUMIFS($X$7:$X$1843,$W$7:$W$1843,W1048),0),0)</f>
        <v>0</v>
      </c>
    </row>
    <row r="1049" customFormat="false" ht="15" hidden="false" customHeight="false" outlineLevel="0" collapsed="false">
      <c r="A1049" s="48" t="s">
        <v>1931</v>
      </c>
      <c r="B1049" s="48" t="s">
        <v>1812</v>
      </c>
      <c r="C1049" s="48" t="s">
        <v>173</v>
      </c>
      <c r="D1049" s="48" t="s">
        <v>193</v>
      </c>
      <c r="E1049" s="48" t="s">
        <v>194</v>
      </c>
      <c r="F1049" s="48" t="s">
        <v>227</v>
      </c>
      <c r="G1049" s="49" t="n">
        <v>59.9</v>
      </c>
      <c r="H1049" s="50" t="n">
        <f aca="false">MAX(0,IF(AND(Parameter!$B$21="Ja",ISNUMBER(Y1049)),Y1049,IF(Parameter!$B$20="Jahresanfang 2025 + Export",BR1049+BQ1049,BQ1049)))</f>
        <v>15</v>
      </c>
      <c r="I1049" s="50" t="n">
        <f aca="false">H1049*G1049</f>
        <v>898.5</v>
      </c>
      <c r="J1049" s="50" t="n">
        <f aca="false">BT1049*Parameter!$B$18</f>
        <v>33</v>
      </c>
      <c r="K1049" s="51" t="n">
        <v>21</v>
      </c>
      <c r="L1049" s="52" t="n">
        <v>1.57142857142857</v>
      </c>
      <c r="M1049" s="50" t="n">
        <v>3</v>
      </c>
      <c r="N1049" s="50" t="n">
        <v>35</v>
      </c>
      <c r="O1049" s="53" t="n">
        <v>35</v>
      </c>
      <c r="P1049" s="48" t="s">
        <v>302</v>
      </c>
      <c r="Q1049" s="50" t="n">
        <v>95</v>
      </c>
      <c r="R1049" s="53" t="n">
        <f aca="false">IF(BZ1049=1,0,IFERROR(VLOOKUP(BX1049,'Gebinde-Kategorie'!$A$5:$N$45,13,0)+0,0))</f>
        <v>12</v>
      </c>
      <c r="S1049" s="54"/>
      <c r="T1049" s="55"/>
      <c r="U1049" s="55"/>
      <c r="V1049" s="55"/>
      <c r="W1049" s="48"/>
      <c r="X1049" s="50"/>
      <c r="Y1049" s="50"/>
      <c r="Z1049" s="48" t="n">
        <f aca="false">IF(A1049="","",IF(AND(Parameter!$B$21="Ja",ISNUMBER(W1049)),W1049,IF(CC1049="2+3",IF(ISNUMBER(SEARCH("grosser Artikel",BU1049)),2,IFERROR(VLOOKUP(BX1049,Parameter!$F$35:$G$64,2,0),2)),IF(OR(CC1049="Nein",CC1049=""),"-",CC1049))))</f>
        <v>2</v>
      </c>
      <c r="AA1049" s="55"/>
      <c r="AB1049" s="56"/>
      <c r="AC1049" s="50" t="n">
        <f aca="false">AV1049</f>
        <v>38</v>
      </c>
      <c r="AD1049" s="50" t="n">
        <f aca="false">MAX(AV1049,H1049)</f>
        <v>38</v>
      </c>
      <c r="AE1049" s="57"/>
      <c r="AF1049" s="50" t="n">
        <f aca="false">IF(LEFT(Cockpit!$C$5,1)="A",H1049,IF(Parameter!$E$30="MAX-Bestand",IF(CH1049=1,CI1049,IF(LEFT(Cockpit!$C$5,1)="B",AL1049,MAX(AL1049,H1049))),ROUNDUP(AJ1049,0)))</f>
        <v>15</v>
      </c>
      <c r="AG1049" s="50" t="n">
        <f aca="false">IF(BZ1049=1,0,ROUNDUP(AF1049/BY1049,0))</f>
        <v>1</v>
      </c>
      <c r="AH1049" s="52" t="n">
        <f aca="false">IF(CQ1049&gt;0,CQ1049*MAX(1,AF1049/X1049),IF(BZ1049=1,IF(AF1049&lt;=0,0,CD1049*MAX(1,IF(H1049&gt;0,AF1049/H1049,1))),IF(R1049&gt;0,AG1049/R1049,0))/MAX(0.1,N(Parameter!$M$21)))</f>
        <v>0.0833333333333333</v>
      </c>
      <c r="AI1049" s="50" t="n">
        <f aca="false">AH1049*CB1049</f>
        <v>20.4166666666667</v>
      </c>
      <c r="AJ1049" s="51" t="n">
        <f aca="false">IF(LEFT(Cockpit!$C$5,1)="A",H1049,IF(CH1049=1,(CK1049+CI1049)/2,IF(LEFT(Cockpit!$C$5,1)="B",(CK1049+AL1049)/2,MAX((CK1049+AL1049)/2,H1049))))</f>
        <v>15</v>
      </c>
      <c r="AK1049" s="50" t="n">
        <f aca="false">AJ1049*G1049</f>
        <v>898.5</v>
      </c>
      <c r="AL1049" s="50" t="n">
        <f aca="false">ROUNDUP(CK1049+MAX(CL1049,2*(J1049/IF(CG1049&gt;0,CG1049,MAX(0.1,N(Cockpit!$C$6)))-CK1049)),0)</f>
        <v>38</v>
      </c>
      <c r="AM1049" s="51" t="n">
        <f aca="false">IF(AI1049&gt;0,J1049/AI1049,-1)</f>
        <v>1.61632653061225</v>
      </c>
      <c r="AN1049" s="51" t="n">
        <f aca="false">IF(AND(OR(CF1049="L1",CF1049="L23",CF1049="LIFT"),AI1049&gt;0),SUMIFS($AI$7:$AI$1843,$CF$7:$CF$1843,CF1049,$AM$7:$AM$1843,"&gt;"&amp;AM1049)+SUMIFS($AI$7:$AI$1843,$CF$7:$CF$1843,CF1049,$AM$7:$AM$1843,AM1049,$BW$7:$BW$1843,"&lt;="&amp;BW1049),"")</f>
        <v>6161.2760989011</v>
      </c>
      <c r="AO1049" s="58" t="n">
        <f aca="false">IF(AN1049="",0,MAX(0,MIN(1,(IF(CF1049="L1",Parameter!$H$5,IF(CF1049="L23",Parameter!$H$6+Parameter!$H$7,Parameter!$H$5+Parameter!$H$6+Parameter!$H$7))-(AN1049-AI1049))/AI1049)))</f>
        <v>1</v>
      </c>
      <c r="AP1049" s="50" t="n">
        <f aca="false">IF(LEFT(Cockpit!$I$5,1)="A",H1049,IF(Parameter!$E$30="MAX-Bestand",IF(CH1049=1,CI1049,IF(LEFT(Cockpit!$I$5,1)="B",AV1049,MAX(AV1049,H1049))),ROUNDUP(AT1049,0)))</f>
        <v>21</v>
      </c>
      <c r="AQ1049" s="50" t="n">
        <f aca="false">IF(BZ1049=1,0,ROUNDUP(AP1049/BY1049,0))</f>
        <v>1</v>
      </c>
      <c r="AR1049" s="52" t="n">
        <f aca="false">IF(CQ1049&gt;0,CQ1049*MAX(1,AP1049/X1049),IF(BZ1049=1,IF(AP1049&lt;=0,0,CD1049*MAX(1,IF(H1049&gt;0,AP1049/H1049,1))),IF(R1049&gt;0,AQ1049/R1049,0))/MAX(0.1,N(Parameter!$M$21)))</f>
        <v>0.0833333333333333</v>
      </c>
      <c r="AS1049" s="50" t="n">
        <f aca="false">AR1049*CB1049</f>
        <v>20.4166666666667</v>
      </c>
      <c r="AT1049" s="51" t="n">
        <f aca="false">IF(LEFT(Cockpit!$I$5,1)="A",H1049,IF(CH1049=1,(CK1049+CI1049)/2,IF(LEFT(Cockpit!$I$5,1)="B",(CK1049+AV1049)/2,MAX((CK1049+AV1049)/2,H1049))))</f>
        <v>20.5</v>
      </c>
      <c r="AU1049" s="50" t="n">
        <f aca="false">AT1049*G1049</f>
        <v>1227.95</v>
      </c>
      <c r="AV1049" s="50" t="n">
        <f aca="false">ROUNDUP(CK1049+MAX(CL1049,2*(J1049/IF(CG1049&gt;0,CG1049,MAX(0.1,N(Cockpit!$I$6)))-CK1049)),0)</f>
        <v>38</v>
      </c>
      <c r="AW1049" s="51" t="n">
        <f aca="false">IF(AS1049&gt;0,J1049/AS1049,-1)</f>
        <v>1.61632653061225</v>
      </c>
      <c r="AX1049" s="51" t="n">
        <f aca="false">IF(AND(OR(CF1049="L1",CF1049="L23",CF1049="LIFT"),AS1049&gt;0),SUMIFS($AS$7:$AS$1843,$CF$7:$CF$1843,CF1049,$AW$7:$AW$1843,"&gt;"&amp;AW1049)+SUMIFS($AS$7:$AS$1843,$CF$7:$CF$1843,CF1049,$AW$7:$AW$1843,AW1049,$BW$7:$BW$1843,"&lt;="&amp;BW1049),"")</f>
        <v>7601.16483516484</v>
      </c>
      <c r="AY1049" s="58" t="n">
        <f aca="false">IF(AX1049="",0,MAX(0,MIN(1,(IF(CF1049="L1",Parameter!$H$5,IF(CF1049="L23",Parameter!$H$6+Parameter!$H$7,Parameter!$H$5+Parameter!$H$6+Parameter!$H$7))-(AX1049-AS1049))/AS1049)))</f>
        <v>1</v>
      </c>
      <c r="AZ1049" s="50" t="n">
        <f aca="false">IF(LEFT(Cockpit!$O$5,1)="A",H1049,IF(Parameter!$E$30="MAX-Bestand",IF(CH1049=1,CI1049,IF(LEFT(Cockpit!$O$5,1)="B",BF1049,MAX(BF1049,H1049))),ROUNDUP(BD1049,0)))</f>
        <v>21</v>
      </c>
      <c r="BA1049" s="50" t="n">
        <f aca="false">IF(BZ1049=1,0,ROUNDUP(AZ1049/BY1049,0))</f>
        <v>1</v>
      </c>
      <c r="BB1049" s="52" t="n">
        <f aca="false">IF(CQ1049&gt;0,CQ1049*MAX(1,AZ1049/X1049),IF(BZ1049=1,IF(AZ1049&lt;=0,0,CD1049*MAX(1,IF(H1049&gt;0,AZ1049/H1049,1))),IF(R1049&gt;0,BA1049/R1049,0))/MAX(0.1,N(Parameter!$M$21)))</f>
        <v>0.0833333333333333</v>
      </c>
      <c r="BC1049" s="50" t="n">
        <f aca="false">BB1049*CB1049</f>
        <v>20.4166666666667</v>
      </c>
      <c r="BD1049" s="51" t="n">
        <f aca="false">IF(LEFT(Cockpit!$O$5,1)="A",H1049,IF(CH1049=1,(CK1049+CI1049)/2,IF(LEFT(Cockpit!$O$5,1)="B",(CK1049+BF1049)/2,MAX((CK1049+BF1049)/2,H1049))))</f>
        <v>20.5</v>
      </c>
      <c r="BE1049" s="50" t="n">
        <f aca="false">BD1049*G1049</f>
        <v>1227.95</v>
      </c>
      <c r="BF1049" s="50" t="n">
        <f aca="false">ROUNDUP(CK1049+MAX(CL1049,2*(J1049/IF(CG1049&gt;0,CG1049,MAX(0.1,N(Cockpit!$O$6)))-CK1049)),0)</f>
        <v>38</v>
      </c>
      <c r="BG1049" s="51" t="n">
        <f aca="false">IF(BC1049&gt;0,J1049/BC1049,-1)</f>
        <v>1.61632653061225</v>
      </c>
      <c r="BH1049" s="51" t="n">
        <f aca="false">IF(AND(OR(CF1049="L1",CF1049="L23",CF1049="LIFT"),BC1049&gt;0),SUMIFS($BC$7:$BC$1843,$CF$7:$CF$1843,CF1049,$BG$7:$BG$1843,"&gt;"&amp;BG1049)+SUMIFS($BC$7:$BC$1843,$CF$7:$CF$1843,CF1049,$BG$7:$BG$1843,BG1049,$BW$7:$BW$1843,"&lt;="&amp;BW1049),"")</f>
        <v>6432.67536630037</v>
      </c>
      <c r="BI1049" s="58" t="n">
        <f aca="false">IF(BH1049="",0,MAX(0,MIN(1,(IF(CF1049="L1",Parameter!$H$5,IF(CF1049="L23",Parameter!$H$6+Parameter!$H$7,Parameter!$H$5+Parameter!$H$6+Parameter!$H$7))-(BH1049-BC1049))/BC1049)))</f>
        <v>1</v>
      </c>
      <c r="BJ1049" s="48" t="str">
        <f aca="false">IF(AI1049&lt;=0,"",IF(CF1049="Aussen","Aussenlager",IF(CF1049="-","Nicht im Lift",IF(AO1049&gt;=1,"Lift",IF(AO1049&lt;=0,"Aussenlager","teilweise")))))</f>
        <v>Lift</v>
      </c>
      <c r="BK1049" s="48" t="str">
        <f aca="false">IF(AS1049&lt;=0,"",IF(CF1049="Aussen","Aussenlager",IF(CF1049="-","Nicht im Lift",IF(AY1049&gt;=1,"Lift",IF(AY1049&lt;=0,"Aussenlager","teilweise")))))</f>
        <v>Lift</v>
      </c>
      <c r="BL1049" s="48" t="str">
        <f aca="false">IF(BC1049&lt;=0,"",IF(CF1049="Aussen","Aussenlager",IF(CF1049="-","Nicht im Lift",IF(BI1049&gt;=1,"Lift",IF(BI1049&lt;=0,"Aussenlager","teilweise")))))</f>
        <v>Lift</v>
      </c>
      <c r="BM1049" s="48" t="str">
        <f aca="false">IF(A1049="","",IF(BV1049=1,"Neu; ","")&amp;IF(AND(BV1049=0,BQ1049&lt;0),"negativer Bestand (Export "&amp;BQ1049&amp;"); ","")&amp;IF(J1049&lt;=0,"Kein Verbrauch; ","")&amp;IF(CQ1049&gt;0,"Lift "&amp;W1049&amp;" lt. Liftbericht (Fach "&amp;X1049&amp;" Stk); ",IF(CA1049=1,"Gebinde geschätzt ("&amp;T1049&amp;"); ",IF(BZ1049=1,"Lose – Tablare geschätzt; ","")))&amp;IF(H1049&gt;AV1049,"Überbestand "&amp;ROUND(H1049-AV1049,0)&amp;" Stk / CHF "&amp;ROUND((H1049-AV1049)*G1049,0)&amp;"; ","")&amp;IF(AND(CH1049=1,CI1049&lt;CJ1049),"MAX &lt; MB+LG; ","")&amp;IF(AND(CP1049&gt;0,CO1049*10&gt;CP1049),"zu hoch für Tablar; ","")&amp;IF(AND(BV1049=0,OR(CH1049=1,AA1049&lt;&gt;"",U1049&lt;&gt;"",V1049&lt;&gt;"",AB1049&lt;&gt;"")),"manuell übersteuert; ","")&amp;IF(AND(BZ1049=0,R1049=0),"Gebinde unbekannt / Stellmass fehlt; ","")&amp;IF(AND(BZ1049=0,N(V1049)&lt;=0,N(Q1049)&lt;=0),"Menge pro Gebinde fehlt (Ist = 1 Gebinde); ","")&amp;BU1049)</f>
        <v>negativer Bestand (Export -3); </v>
      </c>
      <c r="BN1049" s="48"/>
      <c r="BO1049" s="48"/>
      <c r="BP1049" s="55"/>
      <c r="BQ1049" s="50" t="n">
        <v>-3</v>
      </c>
      <c r="BR1049" s="50" t="n">
        <v>18</v>
      </c>
      <c r="BS1049" s="49" t="n">
        <v>-142.44</v>
      </c>
      <c r="BT1049" s="50" t="n">
        <v>33</v>
      </c>
      <c r="BU1049" s="48"/>
      <c r="BV1049" s="53" t="n">
        <v>0</v>
      </c>
      <c r="BW1049" s="53" t="n">
        <v>1049</v>
      </c>
      <c r="BX1049" s="48" t="str">
        <f aca="false">IF(U1049&lt;&gt;"",UPPER(TRIM(U1049)),IF(CA1049=1,UPPER(VLOOKUP(T1049,Parameter!$I$27:$K$29,2,0)),IF(P1049="","LOSE",P1049)))</f>
        <v>S62</v>
      </c>
      <c r="BY1049" s="50" t="n">
        <f aca="false">IF(BX1049="LOSE",1,IF(N(V1049)&gt;0,V1049,IF(CA1049=1,MAX(1,N(VLOOKUP(T1049,Parameter!$I$27:$K$29,3,0)),H1049,N(N1049)),IF(N(Q1049)&gt;0,Q1049,MAX(1,H1049)))))</f>
        <v>95</v>
      </c>
      <c r="BZ1049" s="53" t="n">
        <f aca="false">IF(BX1049="LOSE",1,0)</f>
        <v>0</v>
      </c>
      <c r="CA1049" s="53" t="n">
        <f aca="false">IF(AND(U1049="",OR(P1049="",P1049="LOSE"),T1049&lt;&gt;"",N(S1049)&lt;=0,ISNUMBER(MATCH(T1049,Parameter!$I$27:$I$29,0))),1,0)</f>
        <v>0</v>
      </c>
      <c r="CB1049" s="53" t="n">
        <f aca="false">IF(CQ1049&gt;0,INDEX(Parameter!$H$5:$H$7,W1049)/INDEX(Parameter!$E$5:$E$7,W1049),IF(AND(BZ1049=0,N(IFERROR(VLOOKUP(BX1049,'Gebinde-Kategorie'!$A$5:$N$45,14,0),0))&gt;0),VLOOKUP(BX1049,'Gebinde-Kategorie'!$A$5:$N$45,14,0)*10+Parameter!$M$23,Parameter!$M$24))</f>
        <v>245</v>
      </c>
      <c r="CC1049" s="48" t="str">
        <f aca="false">IF(AND(Parameter!$B$19="Ja",E1049&lt;&gt;"",ISNUMBER(MATCH(E1049,Parameter!$I$35:$I$52,0))),VLOOKUP(E1049,Parameter!$I$35:$J$52,2,0),IFERROR(VLOOKUP(D1049,Parameter!$A$35:$C$64,2,0),"Nein"))</f>
        <v>2+3</v>
      </c>
      <c r="CD1049" s="52" t="n">
        <f aca="false">IF(BZ1049=0,0,IF(N(S1049)&gt;0,S1049,IFERROR(VLOOKUP(D1049,Parameter!$A$35:$C$64,3,0)+0,0)))</f>
        <v>0</v>
      </c>
      <c r="CE1049" s="48" t="n">
        <f aca="false">IF(AA1049&lt;&gt;"",AA1049,Z1049)</f>
        <v>2</v>
      </c>
      <c r="CF1049" s="48" t="str">
        <f aca="false">IF(OR(CE1049=1,CE1049=2,CE1049=3),IF(Parameter!$E$27="Ja","LIFT",IF(CE1049=1,"L1","L23")),IF(CE1049="Aussen","Aussen","-"))</f>
        <v>LIFT</v>
      </c>
      <c r="CG1049" s="59" t="n">
        <f aca="false">IF(N(AB1049)&gt;0,AB1049,0)</f>
        <v>0</v>
      </c>
      <c r="CH1049" s="53" t="n">
        <f aca="false">IF(ISNUMBER(AE1049),1,0)</f>
        <v>0</v>
      </c>
      <c r="CI1049" s="50" t="n">
        <f aca="false">N(AE1049)</f>
        <v>0</v>
      </c>
      <c r="CJ1049" s="50" t="n">
        <f aca="false">N(M1049)+N(N1049)</f>
        <v>38</v>
      </c>
      <c r="CK1049" s="50" t="n">
        <f aca="false">N(M1049)</f>
        <v>3</v>
      </c>
      <c r="CL1049" s="50" t="n">
        <f aca="false">N(N1049)</f>
        <v>35</v>
      </c>
      <c r="CM1049" s="50" t="n">
        <f aca="false">ROUNDUP(H1049/BY1049,0)</f>
        <v>1</v>
      </c>
      <c r="CN1049" s="50" t="n">
        <f aca="false">ROUNDUP(CI1049/BY1049,0)</f>
        <v>0</v>
      </c>
      <c r="CO1049" s="53" t="n">
        <f aca="false">IF(BZ1049=1,0,IFERROR(VLOOKUP(BX1049,'Gebinde-Kategorie'!$A$5:$N$45,5,0)+0,0))</f>
        <v>21</v>
      </c>
      <c r="CP1049" s="53" t="n">
        <f aca="false">IFERROR(IF(OR(CE1049=1,CE1049=2,CE1049=3),N(INDEX(Parameter!$I$5:$I$7,CE1049)),0),0)</f>
        <v>0</v>
      </c>
      <c r="CQ1049" s="52" t="n">
        <f aca="false">IF(AND(Parameter!$B$21="Ja",ISNUMBER(W1049),N(X1049)&gt;0),IFERROR(N(INDEX(Parameter!$L$5:$L$7,W1049))*INDEX(Parameter!$E$5:$E$7,W1049)*X1049/SUMIFS($X$7:$X$1843,$W$7:$W$1843,W1049),0),0)</f>
        <v>0</v>
      </c>
    </row>
    <row r="1050" customFormat="false" ht="15" hidden="false" customHeight="false" outlineLevel="0" collapsed="false">
      <c r="A1050" s="48" t="s">
        <v>1932</v>
      </c>
      <c r="B1050" s="48" t="s">
        <v>376</v>
      </c>
      <c r="C1050" s="48" t="s">
        <v>465</v>
      </c>
      <c r="D1050" s="48" t="s">
        <v>193</v>
      </c>
      <c r="E1050" s="48"/>
      <c r="F1050" s="48" t="s">
        <v>227</v>
      </c>
      <c r="G1050" s="49" t="n">
        <v>14.31</v>
      </c>
      <c r="H1050" s="50" t="n">
        <f aca="false">MAX(0,IF(AND(Parameter!$B$21="Ja",ISNUMBER(Y1050)),Y1050,IF(Parameter!$B$20="Jahresanfang 2025 + Export",BR1050+BQ1050,BQ1050)))</f>
        <v>0</v>
      </c>
      <c r="I1050" s="50" t="n">
        <f aca="false">H1050*G1050</f>
        <v>0</v>
      </c>
      <c r="J1050" s="50" t="n">
        <f aca="false">BT1050*Parameter!$B$18</f>
        <v>10</v>
      </c>
      <c r="K1050" s="51" t="n">
        <v>5</v>
      </c>
      <c r="L1050" s="52" t="n">
        <v>2</v>
      </c>
      <c r="M1050" s="50" t="n">
        <v>0</v>
      </c>
      <c r="N1050" s="50" t="n">
        <v>10</v>
      </c>
      <c r="O1050" s="53" t="n">
        <v>28</v>
      </c>
      <c r="P1050" s="48" t="s">
        <v>177</v>
      </c>
      <c r="Q1050" s="50"/>
      <c r="R1050" s="53" t="n">
        <f aca="false">IF(BZ1050=1,0,IFERROR(VLOOKUP(BX1050,'Gebinde-Kategorie'!$A$5:$N$45,13,0)+0,0))</f>
        <v>4</v>
      </c>
      <c r="S1050" s="54"/>
      <c r="T1050" s="55" t="s">
        <v>198</v>
      </c>
      <c r="U1050" s="55"/>
      <c r="V1050" s="55"/>
      <c r="W1050" s="48"/>
      <c r="X1050" s="50"/>
      <c r="Y1050" s="50"/>
      <c r="Z1050" s="48" t="n">
        <f aca="false">IF(A1050="","",IF(AND(Parameter!$B$21="Ja",ISNUMBER(W1050)),W1050,IF(CC1050="2+3",IF(ISNUMBER(SEARCH("grosser Artikel",BU1050)),2,IFERROR(VLOOKUP(BX1050,Parameter!$F$35:$G$64,2,0),2)),IF(OR(CC1050="Nein",CC1050=""),"-",CC1050))))</f>
        <v>2</v>
      </c>
      <c r="AA1050" s="55"/>
      <c r="AB1050" s="56"/>
      <c r="AC1050" s="50" t="n">
        <f aca="false">AV1050</f>
        <v>10</v>
      </c>
      <c r="AD1050" s="50" t="n">
        <f aca="false">MAX(AV1050,H1050)</f>
        <v>10</v>
      </c>
      <c r="AE1050" s="57"/>
      <c r="AF1050" s="50" t="n">
        <f aca="false">IF(LEFT(Cockpit!$C$5,1)="A",H1050,IF(Parameter!$E$30="MAX-Bestand",IF(CH1050=1,CI1050,IF(LEFT(Cockpit!$C$5,1)="B",AL1050,MAX(AL1050,H1050))),ROUNDUP(AJ1050,0)))</f>
        <v>0</v>
      </c>
      <c r="AG1050" s="50" t="n">
        <f aca="false">IF(BZ1050=1,0,ROUNDUP(AF1050/BY1050,0))</f>
        <v>0</v>
      </c>
      <c r="AH1050" s="52" t="n">
        <f aca="false">IF(CQ1050&gt;0,CQ1050*MAX(1,AF1050/X1050),IF(BZ1050=1,IF(AF1050&lt;=0,0,CD1050*MAX(1,IF(H1050&gt;0,AF1050/H1050,1))),IF(R1050&gt;0,AG1050/R1050,0))/MAX(0.1,N(Parameter!$M$21)))</f>
        <v>0</v>
      </c>
      <c r="AI1050" s="50" t="n">
        <f aca="false">AH1050*CB1050</f>
        <v>0</v>
      </c>
      <c r="AJ1050" s="51" t="n">
        <f aca="false">IF(LEFT(Cockpit!$C$5,1)="A",H1050,IF(CH1050=1,(CK1050+CI1050)/2,IF(LEFT(Cockpit!$C$5,1)="B",(CK1050+AL1050)/2,MAX((CK1050+AL1050)/2,H1050))))</f>
        <v>0</v>
      </c>
      <c r="AK1050" s="50" t="n">
        <f aca="false">AJ1050*G1050</f>
        <v>0</v>
      </c>
      <c r="AL1050" s="50" t="n">
        <f aca="false">ROUNDUP(CK1050+MAX(CL1050,2*(J1050/IF(CG1050&gt;0,CG1050,MAX(0.1,N(Cockpit!$C$6)))-CK1050)),0)</f>
        <v>10</v>
      </c>
      <c r="AM1050" s="51" t="n">
        <f aca="false">IF(AI1050&gt;0,J1050/AI1050,-1)</f>
        <v>-1</v>
      </c>
      <c r="AN1050" s="51" t="str">
        <f aca="false">IF(AND(OR(CF1050="L1",CF1050="L23",CF1050="LIFT"),AI1050&gt;0),SUMIFS($AI$7:$AI$1843,$CF$7:$CF$1843,CF1050,$AM$7:$AM$1843,"&gt;"&amp;AM1050)+SUMIFS($AI$7:$AI$1843,$CF$7:$CF$1843,CF1050,$AM$7:$AM$1843,AM1050,$BW$7:$BW$1843,"&lt;="&amp;BW1050),"")</f>
        <v/>
      </c>
      <c r="AO1050" s="58" t="n">
        <f aca="false">IF(AN1050="",0,MAX(0,MIN(1,(IF(CF1050="L1",Parameter!$H$5,IF(CF1050="L23",Parameter!$H$6+Parameter!$H$7,Parameter!$H$5+Parameter!$H$6+Parameter!$H$7))-(AN1050-AI1050))/AI1050)))</f>
        <v>0</v>
      </c>
      <c r="AP1050" s="50" t="n">
        <f aca="false">IF(LEFT(Cockpit!$I$5,1)="A",H1050,IF(Parameter!$E$30="MAX-Bestand",IF(CH1050=1,CI1050,IF(LEFT(Cockpit!$I$5,1)="B",AV1050,MAX(AV1050,H1050))),ROUNDUP(AT1050,0)))</f>
        <v>5</v>
      </c>
      <c r="AQ1050" s="50" t="n">
        <f aca="false">IF(BZ1050=1,0,ROUNDUP(AP1050/BY1050,0))</f>
        <v>1</v>
      </c>
      <c r="AR1050" s="52" t="n">
        <f aca="false">IF(CQ1050&gt;0,CQ1050*MAX(1,AP1050/X1050),IF(BZ1050=1,IF(AP1050&lt;=0,0,CD1050*MAX(1,IF(H1050&gt;0,AP1050/H1050,1))),IF(R1050&gt;0,AQ1050/R1050,0))/MAX(0.1,N(Parameter!$M$21)))</f>
        <v>0.25</v>
      </c>
      <c r="AS1050" s="50" t="n">
        <f aca="false">AR1050*CB1050</f>
        <v>58.75</v>
      </c>
      <c r="AT1050" s="51" t="n">
        <f aca="false">IF(LEFT(Cockpit!$I$5,1)="A",H1050,IF(CH1050=1,(CK1050+CI1050)/2,IF(LEFT(Cockpit!$I$5,1)="B",(CK1050+AV1050)/2,MAX((CK1050+AV1050)/2,H1050))))</f>
        <v>5</v>
      </c>
      <c r="AU1050" s="50" t="n">
        <f aca="false">AT1050*G1050</f>
        <v>71.55</v>
      </c>
      <c r="AV1050" s="50" t="n">
        <f aca="false">ROUNDUP(CK1050+MAX(CL1050,2*(J1050/IF(CG1050&gt;0,CG1050,MAX(0.1,N(Cockpit!$I$6)))-CK1050)),0)</f>
        <v>10</v>
      </c>
      <c r="AW1050" s="51" t="n">
        <f aca="false">IF(AS1050&gt;0,J1050/AS1050,-1)</f>
        <v>0.170212765957447</v>
      </c>
      <c r="AX1050" s="51" t="n">
        <f aca="false">IF(AND(OR(CF1050="L1",CF1050="L23",CF1050="LIFT"),AS1050&gt;0),SUMIFS($AS$7:$AS$1843,$CF$7:$CF$1843,CF1050,$AW$7:$AW$1843,"&gt;"&amp;AW1050)+SUMIFS($AS$7:$AS$1843,$CF$7:$CF$1843,CF1050,$AW$7:$AW$1843,AW1050,$BW$7:$BW$1843,"&lt;="&amp;BW1050),"")</f>
        <v>15596.4913003663</v>
      </c>
      <c r="AY1050" s="58" t="n">
        <f aca="false">IF(AX1050="",0,MAX(0,MIN(1,(IF(CF1050="L1",Parameter!$H$5,IF(CF1050="L23",Parameter!$H$6+Parameter!$H$7,Parameter!$H$5+Parameter!$H$6+Parameter!$H$7))-(AX1050-AS1050))/AS1050)))</f>
        <v>1</v>
      </c>
      <c r="AZ1050" s="50" t="n">
        <f aca="false">IF(LEFT(Cockpit!$O$5,1)="A",H1050,IF(Parameter!$E$30="MAX-Bestand",IF(CH1050=1,CI1050,IF(LEFT(Cockpit!$O$5,1)="B",BF1050,MAX(BF1050,H1050))),ROUNDUP(BD1050,0)))</f>
        <v>5</v>
      </c>
      <c r="BA1050" s="50" t="n">
        <f aca="false">IF(BZ1050=1,0,ROUNDUP(AZ1050/BY1050,0))</f>
        <v>1</v>
      </c>
      <c r="BB1050" s="52" t="n">
        <f aca="false">IF(CQ1050&gt;0,CQ1050*MAX(1,AZ1050/X1050),IF(BZ1050=1,IF(AZ1050&lt;=0,0,CD1050*MAX(1,IF(H1050&gt;0,AZ1050/H1050,1))),IF(R1050&gt;0,BA1050/R1050,0))/MAX(0.1,N(Parameter!$M$21)))</f>
        <v>0.25</v>
      </c>
      <c r="BC1050" s="50" t="n">
        <f aca="false">BB1050*CB1050</f>
        <v>58.75</v>
      </c>
      <c r="BD1050" s="51" t="n">
        <f aca="false">IF(LEFT(Cockpit!$O$5,1)="A",H1050,IF(CH1050=1,(CK1050+CI1050)/2,IF(LEFT(Cockpit!$O$5,1)="B",(CK1050+BF1050)/2,MAX((CK1050+BF1050)/2,H1050))))</f>
        <v>5</v>
      </c>
      <c r="BE1050" s="50" t="n">
        <f aca="false">BD1050*G1050</f>
        <v>71.55</v>
      </c>
      <c r="BF1050" s="50" t="n">
        <f aca="false">ROUNDUP(CK1050+MAX(CL1050,2*(J1050/IF(CG1050&gt;0,CG1050,MAX(0.1,N(Cockpit!$O$6)))-CK1050)),0)</f>
        <v>10</v>
      </c>
      <c r="BG1050" s="51" t="n">
        <f aca="false">IF(BC1050&gt;0,J1050/BC1050,-1)</f>
        <v>0.170212765957447</v>
      </c>
      <c r="BH1050" s="51" t="n">
        <f aca="false">IF(AND(OR(CF1050="L1",CF1050="L23",CF1050="LIFT"),BC1050&gt;0),SUMIFS($BC$7:$BC$1843,$CF$7:$CF$1843,CF1050,$BG$7:$BG$1843,"&gt;"&amp;BG1050)+SUMIFS($BC$7:$BC$1843,$CF$7:$CF$1843,CF1050,$BG$7:$BG$1843,BG1050,$BW$7:$BW$1843,"&lt;="&amp;BW1050),"")</f>
        <v>13392.8295901368</v>
      </c>
      <c r="BI1050" s="58" t="n">
        <f aca="false">IF(BH1050="",0,MAX(0,MIN(1,(IF(CF1050="L1",Parameter!$H$5,IF(CF1050="L23",Parameter!$H$6+Parameter!$H$7,Parameter!$H$5+Parameter!$H$6+Parameter!$H$7))-(BH1050-BC1050))/BC1050)))</f>
        <v>1</v>
      </c>
      <c r="BJ1050" s="48" t="str">
        <f aca="false">IF(AI1050&lt;=0,"",IF(CF1050="Aussen","Aussenlager",IF(CF1050="-","Nicht im Lift",IF(AO1050&gt;=1,"Lift",IF(AO1050&lt;=0,"Aussenlager","teilweise")))))</f>
        <v/>
      </c>
      <c r="BK1050" s="48" t="str">
        <f aca="false">IF(AS1050&lt;=0,"",IF(CF1050="Aussen","Aussenlager",IF(CF1050="-","Nicht im Lift",IF(AY1050&gt;=1,"Lift",IF(AY1050&lt;=0,"Aussenlager","teilweise")))))</f>
        <v>Lift</v>
      </c>
      <c r="BL1050" s="48" t="str">
        <f aca="false">IF(BC1050&lt;=0,"",IF(CF1050="Aussen","Aussenlager",IF(CF1050="-","Nicht im Lift",IF(BI1050&gt;=1,"Lift",IF(BI1050&lt;=0,"Aussenlager","teilweise")))))</f>
        <v>Lift</v>
      </c>
      <c r="BM1050" s="48" t="str">
        <f aca="false">IF(A1050="","",IF(BV1050=1,"Neu; ","")&amp;IF(AND(BV1050=0,BQ1050&lt;0),"negativer Bestand (Export "&amp;BQ1050&amp;"); ","")&amp;IF(J1050&lt;=0,"Kein Verbrauch; ","")&amp;IF(CQ1050&gt;0,"Lift "&amp;W1050&amp;" lt. Liftbericht (Fach "&amp;X1050&amp;" Stk); ",IF(CA1050=1,"Gebinde geschätzt ("&amp;T1050&amp;"); ",IF(BZ1050=1,"Lose – Tablare geschätzt; ","")))&amp;IF(H1050&gt;AV1050,"Überbestand "&amp;ROUND(H1050-AV1050,0)&amp;" Stk / CHF "&amp;ROUND((H1050-AV1050)*G1050,0)&amp;"; ","")&amp;IF(AND(CH1050=1,CI1050&lt;CJ1050),"MAX &lt; MB+LG; ","")&amp;IF(AND(CP1050&gt;0,CO1050*10&gt;CP1050),"zu hoch für Tablar; ","")&amp;IF(AND(BV1050=0,OR(CH1050=1,AA1050&lt;&gt;"",U1050&lt;&gt;"",V1050&lt;&gt;"",AB1050&lt;&gt;"")),"manuell übersteuert; ","")&amp;IF(AND(BZ1050=0,R1050=0),"Gebinde unbekannt / Stellmass fehlt; ","")&amp;IF(AND(BZ1050=0,N(V1050)&lt;=0,N(Q1050)&lt;=0),"Menge pro Gebinde fehlt (Ist = 1 Gebinde); ","")&amp;BU1050)</f>
        <v>negativer Bestand (Export -10); Gebinde geschätzt (Gross); Menge pro Gebinde fehlt (Ist = 1 Gebinde); </v>
      </c>
      <c r="BN1050" s="48"/>
      <c r="BO1050" s="48"/>
      <c r="BP1050" s="55"/>
      <c r="BQ1050" s="50" t="n">
        <v>-10</v>
      </c>
      <c r="BR1050" s="50" t="n">
        <v>10</v>
      </c>
      <c r="BS1050" s="49" t="n">
        <v>-143.1</v>
      </c>
      <c r="BT1050" s="50" t="n">
        <v>10</v>
      </c>
      <c r="BU1050" s="48"/>
      <c r="BV1050" s="53" t="n">
        <v>0</v>
      </c>
      <c r="BW1050" s="53" t="n">
        <v>1050</v>
      </c>
      <c r="BX1050" s="48" t="str">
        <f aca="false">IF(U1050&lt;&gt;"",UPPER(TRIM(U1050)),IF(CA1050=1,UPPER(VLOOKUP(T1050,Parameter!$I$27:$K$29,2,0)),IF(P1050="","LOSE",P1050)))</f>
        <v>S81</v>
      </c>
      <c r="BY1050" s="50" t="n">
        <f aca="false">IF(BX1050="LOSE",1,IF(N(V1050)&gt;0,V1050,IF(CA1050=1,MAX(1,N(VLOOKUP(T1050,Parameter!$I$27:$K$29,3,0)),H1050,N(N1050)),IF(N(Q1050)&gt;0,Q1050,MAX(1,H1050)))))</f>
        <v>10</v>
      </c>
      <c r="BZ1050" s="53" t="n">
        <f aca="false">IF(BX1050="LOSE",1,0)</f>
        <v>0</v>
      </c>
      <c r="CA1050" s="53" t="n">
        <f aca="false">IF(AND(U1050="",OR(P1050="",P1050="LOSE"),T1050&lt;&gt;"",N(S1050)&lt;=0,ISNUMBER(MATCH(T1050,Parameter!$I$27:$I$29,0))),1,0)</f>
        <v>1</v>
      </c>
      <c r="CB1050" s="53" t="n">
        <f aca="false">IF(CQ1050&gt;0,INDEX(Parameter!$H$5:$H$7,W1050)/INDEX(Parameter!$E$5:$E$7,W1050),IF(AND(BZ1050=0,N(IFERROR(VLOOKUP(BX1050,'Gebinde-Kategorie'!$A$5:$N$45,14,0),0))&gt;0),VLOOKUP(BX1050,'Gebinde-Kategorie'!$A$5:$N$45,14,0)*10+Parameter!$M$23,Parameter!$M$24))</f>
        <v>235</v>
      </c>
      <c r="CC1050" s="48" t="str">
        <f aca="false">IF(AND(Parameter!$B$19="Ja",E1050&lt;&gt;"",ISNUMBER(MATCH(E1050,Parameter!$I$35:$I$52,0))),VLOOKUP(E1050,Parameter!$I$35:$J$52,2,0),IFERROR(VLOOKUP(D1050,Parameter!$A$35:$C$64,2,0),"Nein"))</f>
        <v>2+3</v>
      </c>
      <c r="CD1050" s="52" t="n">
        <f aca="false">IF(BZ1050=0,0,IF(N(S1050)&gt;0,S1050,IFERROR(VLOOKUP(D1050,Parameter!$A$35:$C$64,3,0)+0,0)))</f>
        <v>0</v>
      </c>
      <c r="CE1050" s="48" t="n">
        <f aca="false">IF(AA1050&lt;&gt;"",AA1050,Z1050)</f>
        <v>2</v>
      </c>
      <c r="CF1050" s="48" t="str">
        <f aca="false">IF(OR(CE1050=1,CE1050=2,CE1050=3),IF(Parameter!$E$27="Ja","LIFT",IF(CE1050=1,"L1","L23")),IF(CE1050="Aussen","Aussen","-"))</f>
        <v>LIFT</v>
      </c>
      <c r="CG1050" s="59" t="n">
        <f aca="false">IF(N(AB1050)&gt;0,AB1050,0)</f>
        <v>0</v>
      </c>
      <c r="CH1050" s="53" t="n">
        <f aca="false">IF(ISNUMBER(AE1050),1,0)</f>
        <v>0</v>
      </c>
      <c r="CI1050" s="50" t="n">
        <f aca="false">N(AE1050)</f>
        <v>0</v>
      </c>
      <c r="CJ1050" s="50" t="n">
        <f aca="false">N(M1050)+N(N1050)</f>
        <v>10</v>
      </c>
      <c r="CK1050" s="50" t="n">
        <f aca="false">N(M1050)</f>
        <v>0</v>
      </c>
      <c r="CL1050" s="50" t="n">
        <f aca="false">N(N1050)</f>
        <v>10</v>
      </c>
      <c r="CM1050" s="50" t="n">
        <f aca="false">ROUNDUP(H1050/BY1050,0)</f>
        <v>0</v>
      </c>
      <c r="CN1050" s="50" t="n">
        <f aca="false">ROUNDUP(CI1050/BY1050,0)</f>
        <v>0</v>
      </c>
      <c r="CO1050" s="53" t="n">
        <f aca="false">IF(BZ1050=1,0,IFERROR(VLOOKUP(BX1050,'Gebinde-Kategorie'!$A$5:$N$45,5,0)+0,0))</f>
        <v>20</v>
      </c>
      <c r="CP1050" s="53" t="n">
        <f aca="false">IFERROR(IF(OR(CE1050=1,CE1050=2,CE1050=3),N(INDEX(Parameter!$I$5:$I$7,CE1050)),0),0)</f>
        <v>0</v>
      </c>
      <c r="CQ1050" s="52" t="n">
        <f aca="false">IF(AND(Parameter!$B$21="Ja",ISNUMBER(W1050),N(X1050)&gt;0),IFERROR(N(INDEX(Parameter!$L$5:$L$7,W1050))*INDEX(Parameter!$E$5:$E$7,W1050)*X1050/SUMIFS($X$7:$X$1843,$W$7:$W$1843,W1050),0),0)</f>
        <v>0</v>
      </c>
    </row>
    <row r="1051" customFormat="false" ht="15" hidden="false" customHeight="false" outlineLevel="0" collapsed="false">
      <c r="A1051" s="48" t="s">
        <v>1933</v>
      </c>
      <c r="B1051" s="48" t="s">
        <v>764</v>
      </c>
      <c r="C1051" s="48" t="s">
        <v>173</v>
      </c>
      <c r="D1051" s="48" t="s">
        <v>193</v>
      </c>
      <c r="E1051" s="48"/>
      <c r="F1051" s="48" t="s">
        <v>227</v>
      </c>
      <c r="G1051" s="49" t="n">
        <v>144.89</v>
      </c>
      <c r="H1051" s="50" t="n">
        <f aca="false">MAX(0,IF(AND(Parameter!$B$21="Ja",ISNUMBER(Y1051)),Y1051,IF(Parameter!$B$20="Jahresanfang 2025 + Export",BR1051+BQ1051,BQ1051)))</f>
        <v>8</v>
      </c>
      <c r="I1051" s="50" t="n">
        <f aca="false">H1051*G1051</f>
        <v>1159.12</v>
      </c>
      <c r="J1051" s="50" t="n">
        <f aca="false">BT1051*Parameter!$B$18</f>
        <v>0</v>
      </c>
      <c r="K1051" s="51" t="n">
        <v>9</v>
      </c>
      <c r="L1051" s="52" t="n">
        <v>0</v>
      </c>
      <c r="M1051" s="50" t="n">
        <v>0</v>
      </c>
      <c r="N1051" s="50" t="n">
        <v>1</v>
      </c>
      <c r="O1051" s="53" t="n">
        <v>35</v>
      </c>
      <c r="P1051" s="48" t="s">
        <v>435</v>
      </c>
      <c r="Q1051" s="50" t="n">
        <v>9</v>
      </c>
      <c r="R1051" s="53" t="n">
        <f aca="false">IF(BZ1051=1,0,IFERROR(VLOOKUP(BX1051,'Gebinde-Kategorie'!$A$5:$N$45,13,0)+0,0))</f>
        <v>140</v>
      </c>
      <c r="S1051" s="54"/>
      <c r="T1051" s="55"/>
      <c r="U1051" s="55"/>
      <c r="V1051" s="55"/>
      <c r="W1051" s="48"/>
      <c r="X1051" s="50"/>
      <c r="Y1051" s="50"/>
      <c r="Z1051" s="48" t="n">
        <f aca="false">IF(A1051="","",IF(AND(Parameter!$B$21="Ja",ISNUMBER(W1051)),W1051,IF(CC1051="2+3",IF(ISNUMBER(SEARCH("grosser Artikel",BU1051)),2,IFERROR(VLOOKUP(BX1051,Parameter!$F$35:$G$64,2,0),2)),IF(OR(CC1051="Nein",CC1051=""),"-",CC1051))))</f>
        <v>3</v>
      </c>
      <c r="AA1051" s="55"/>
      <c r="AB1051" s="56"/>
      <c r="AC1051" s="50" t="n">
        <f aca="false">AV1051</f>
        <v>1</v>
      </c>
      <c r="AD1051" s="50" t="n">
        <f aca="false">MAX(AV1051,H1051)</f>
        <v>8</v>
      </c>
      <c r="AE1051" s="57"/>
      <c r="AF1051" s="50" t="n">
        <f aca="false">IF(LEFT(Cockpit!$C$5,1)="A",H1051,IF(Parameter!$E$30="MAX-Bestand",IF(CH1051=1,CI1051,IF(LEFT(Cockpit!$C$5,1)="B",AL1051,MAX(AL1051,H1051))),ROUNDUP(AJ1051,0)))</f>
        <v>8</v>
      </c>
      <c r="AG1051" s="50" t="n">
        <f aca="false">IF(BZ1051=1,0,ROUNDUP(AF1051/BY1051,0))</f>
        <v>1</v>
      </c>
      <c r="AH1051" s="52" t="n">
        <f aca="false">IF(CQ1051&gt;0,CQ1051*MAX(1,AF1051/X1051),IF(BZ1051=1,IF(AF1051&lt;=0,0,CD1051*MAX(1,IF(H1051&gt;0,AF1051/H1051,1))),IF(R1051&gt;0,AG1051/R1051,0))/MAX(0.1,N(Parameter!$M$21)))</f>
        <v>0.00714285714285714</v>
      </c>
      <c r="AI1051" s="50" t="n">
        <f aca="false">AH1051*CB1051</f>
        <v>1.10714285714286</v>
      </c>
      <c r="AJ1051" s="51" t="n">
        <f aca="false">IF(LEFT(Cockpit!$C$5,1)="A",H1051,IF(CH1051=1,(CK1051+CI1051)/2,IF(LEFT(Cockpit!$C$5,1)="B",(CK1051+AL1051)/2,MAX((CK1051+AL1051)/2,H1051))))</f>
        <v>8</v>
      </c>
      <c r="AK1051" s="50" t="n">
        <f aca="false">AJ1051*G1051</f>
        <v>1159.12</v>
      </c>
      <c r="AL1051" s="50" t="n">
        <f aca="false">ROUNDUP(CK1051+MAX(CL1051,2*(J1051/IF(CG1051&gt;0,CG1051,MAX(0.1,N(Cockpit!$C$6)))-CK1051)),0)</f>
        <v>1</v>
      </c>
      <c r="AM1051" s="51" t="n">
        <f aca="false">IF(AI1051&gt;0,J1051/AI1051,-1)</f>
        <v>0</v>
      </c>
      <c r="AN1051" s="51" t="n">
        <f aca="false">IF(AND(OR(CF1051="L1",CF1051="L23",CF1051="LIFT"),AI1051&gt;0),SUMIFS($AI$7:$AI$1843,$CF$7:$CF$1843,CF1051,$AM$7:$AM$1843,"&gt;"&amp;AM1051)+SUMIFS($AI$7:$AI$1843,$CF$7:$CF$1843,CF1051,$AM$7:$AM$1843,AM1051,$BW$7:$BW$1843,"&lt;="&amp;BW1051),"")</f>
        <v>29070.3756260218</v>
      </c>
      <c r="AO1051" s="58" t="n">
        <f aca="false">IF(AN1051="",0,MAX(0,MIN(1,(IF(CF1051="L1",Parameter!$H$5,IF(CF1051="L23",Parameter!$H$6+Parameter!$H$7,Parameter!$H$5+Parameter!$H$6+Parameter!$H$7))-(AN1051-AI1051))/AI1051)))</f>
        <v>1</v>
      </c>
      <c r="AP1051" s="50" t="n">
        <f aca="false">IF(LEFT(Cockpit!$I$5,1)="A",H1051,IF(Parameter!$E$30="MAX-Bestand",IF(CH1051=1,CI1051,IF(LEFT(Cockpit!$I$5,1)="B",AV1051,MAX(AV1051,H1051))),ROUNDUP(AT1051,0)))</f>
        <v>8</v>
      </c>
      <c r="AQ1051" s="50" t="n">
        <f aca="false">IF(BZ1051=1,0,ROUNDUP(AP1051/BY1051,0))</f>
        <v>1</v>
      </c>
      <c r="AR1051" s="52" t="n">
        <f aca="false">IF(CQ1051&gt;0,CQ1051*MAX(1,AP1051/X1051),IF(BZ1051=1,IF(AP1051&lt;=0,0,CD1051*MAX(1,IF(H1051&gt;0,AP1051/H1051,1))),IF(R1051&gt;0,AQ1051/R1051,0))/MAX(0.1,N(Parameter!$M$21)))</f>
        <v>0.00714285714285714</v>
      </c>
      <c r="AS1051" s="50" t="n">
        <f aca="false">AR1051*CB1051</f>
        <v>1.10714285714286</v>
      </c>
      <c r="AT1051" s="51" t="n">
        <f aca="false">IF(LEFT(Cockpit!$I$5,1)="A",H1051,IF(CH1051=1,(CK1051+CI1051)/2,IF(LEFT(Cockpit!$I$5,1)="B",(CK1051+AV1051)/2,MAX((CK1051+AV1051)/2,H1051))))</f>
        <v>8</v>
      </c>
      <c r="AU1051" s="50" t="n">
        <f aca="false">AT1051*G1051</f>
        <v>1159.12</v>
      </c>
      <c r="AV1051" s="50" t="n">
        <f aca="false">ROUNDUP(CK1051+MAX(CL1051,2*(J1051/IF(CG1051&gt;0,CG1051,MAX(0.1,N(Cockpit!$I$6)))-CK1051)),0)</f>
        <v>1</v>
      </c>
      <c r="AW1051" s="51" t="n">
        <f aca="false">IF(AS1051&gt;0,J1051/AS1051,-1)</f>
        <v>0</v>
      </c>
      <c r="AX1051" s="51" t="n">
        <f aca="false">IF(AND(OR(CF1051="L1",CF1051="L23",CF1051="LIFT"),AS1051&gt;0),SUMIFS($AS$7:$AS$1843,$CF$7:$CF$1843,CF1051,$AW$7:$AW$1843,"&gt;"&amp;AW1051)+SUMIFS($AS$7:$AS$1843,$CF$7:$CF$1843,CF1051,$AW$7:$AW$1843,AW1051,$BW$7:$BW$1843,"&lt;="&amp;BW1051),"")</f>
        <v>34772.7477106227</v>
      </c>
      <c r="AY1051" s="58" t="n">
        <f aca="false">IF(AX1051="",0,MAX(0,MIN(1,(IF(CF1051="L1",Parameter!$H$5,IF(CF1051="L23",Parameter!$H$6+Parameter!$H$7,Parameter!$H$5+Parameter!$H$6+Parameter!$H$7))-(AX1051-AS1051))/AS1051)))</f>
        <v>1</v>
      </c>
      <c r="AZ1051" s="50" t="n">
        <f aca="false">IF(LEFT(Cockpit!$O$5,1)="A",H1051,IF(Parameter!$E$30="MAX-Bestand",IF(CH1051=1,CI1051,IF(LEFT(Cockpit!$O$5,1)="B",BF1051,MAX(BF1051,H1051))),ROUNDUP(BD1051,0)))</f>
        <v>1</v>
      </c>
      <c r="BA1051" s="50" t="n">
        <f aca="false">IF(BZ1051=1,0,ROUNDUP(AZ1051/BY1051,0))</f>
        <v>1</v>
      </c>
      <c r="BB1051" s="52" t="n">
        <f aca="false">IF(CQ1051&gt;0,CQ1051*MAX(1,AZ1051/X1051),IF(BZ1051=1,IF(AZ1051&lt;=0,0,CD1051*MAX(1,IF(H1051&gt;0,AZ1051/H1051,1))),IF(R1051&gt;0,BA1051/R1051,0))/MAX(0.1,N(Parameter!$M$21)))</f>
        <v>0.00714285714285714</v>
      </c>
      <c r="BC1051" s="50" t="n">
        <f aca="false">BB1051*CB1051</f>
        <v>1.10714285714286</v>
      </c>
      <c r="BD1051" s="51" t="n">
        <f aca="false">IF(LEFT(Cockpit!$O$5,1)="A",H1051,IF(CH1051=1,(CK1051+CI1051)/2,IF(LEFT(Cockpit!$O$5,1)="B",(CK1051+BF1051)/2,MAX((CK1051+BF1051)/2,H1051))))</f>
        <v>0.5</v>
      </c>
      <c r="BE1051" s="50" t="n">
        <f aca="false">BD1051*G1051</f>
        <v>72.445</v>
      </c>
      <c r="BF1051" s="50" t="n">
        <f aca="false">ROUNDUP(CK1051+MAX(CL1051,2*(J1051/IF(CG1051&gt;0,CG1051,MAX(0.1,N(Cockpit!$O$6)))-CK1051)),0)</f>
        <v>1</v>
      </c>
      <c r="BG1051" s="51" t="n">
        <f aca="false">IF(BC1051&gt;0,J1051/BC1051,-1)</f>
        <v>0</v>
      </c>
      <c r="BH1051" s="51" t="n">
        <f aca="false">IF(AND(OR(CF1051="L1",CF1051="L23",CF1051="LIFT"),BC1051&gt;0),SUMIFS($BC$7:$BC$1843,$CF$7:$CF$1843,CF1051,$BG$7:$BG$1843,"&gt;"&amp;BG1051)+SUMIFS($BC$7:$BC$1843,$CF$7:$CF$1843,CF1051,$BG$7:$BG$1843,BG1051,$BW$7:$BW$1843,"&lt;="&amp;BW1051),"")</f>
        <v>28769.9774476936</v>
      </c>
      <c r="BI1051" s="58" t="n">
        <f aca="false">IF(BH1051="",0,MAX(0,MIN(1,(IF(CF1051="L1",Parameter!$H$5,IF(CF1051="L23",Parameter!$H$6+Parameter!$H$7,Parameter!$H$5+Parameter!$H$6+Parameter!$H$7))-(BH1051-BC1051))/BC1051)))</f>
        <v>1</v>
      </c>
      <c r="BJ1051" s="48" t="str">
        <f aca="false">IF(AI1051&lt;=0,"",IF(CF1051="Aussen","Aussenlager",IF(CF1051="-","Nicht im Lift",IF(AO1051&gt;=1,"Lift",IF(AO1051&lt;=0,"Aussenlager","teilweise")))))</f>
        <v>Lift</v>
      </c>
      <c r="BK1051" s="48" t="str">
        <f aca="false">IF(AS1051&lt;=0,"",IF(CF1051="Aussen","Aussenlager",IF(CF1051="-","Nicht im Lift",IF(AY1051&gt;=1,"Lift",IF(AY1051&lt;=0,"Aussenlager","teilweise")))))</f>
        <v>Lift</v>
      </c>
      <c r="BL1051" s="48" t="str">
        <f aca="false">IF(BC1051&lt;=0,"",IF(CF1051="Aussen","Aussenlager",IF(CF1051="-","Nicht im Lift",IF(BI1051&gt;=1,"Lift",IF(BI1051&lt;=0,"Aussenlager","teilweise")))))</f>
        <v>Lift</v>
      </c>
      <c r="BM1051" s="48" t="str">
        <f aca="false">IF(A1051="","",IF(BV1051=1,"Neu; ","")&amp;IF(AND(BV1051=0,BQ1051&lt;0),"negativer Bestand (Export "&amp;BQ1051&amp;"); ","")&amp;IF(J1051&lt;=0,"Kein Verbrauch; ","")&amp;IF(CQ1051&gt;0,"Lift "&amp;W1051&amp;" lt. Liftbericht (Fach "&amp;X1051&amp;" Stk); ",IF(CA1051=1,"Gebinde geschätzt ("&amp;T1051&amp;"); ",IF(BZ1051=1,"Lose – Tablare geschätzt; ","")))&amp;IF(H1051&gt;AV1051,"Überbestand "&amp;ROUND(H1051-AV1051,0)&amp;" Stk / CHF "&amp;ROUND((H1051-AV1051)*G1051,0)&amp;"; ","")&amp;IF(AND(CH1051=1,CI1051&lt;CJ1051),"MAX &lt; MB+LG; ","")&amp;IF(AND(CP1051&gt;0,CO1051*10&gt;CP1051),"zu hoch für Tablar; ","")&amp;IF(AND(BV1051=0,OR(CH1051=1,AA1051&lt;&gt;"",U1051&lt;&gt;"",V1051&lt;&gt;"",AB1051&lt;&gt;"")),"manuell übersteuert; ","")&amp;IF(AND(BZ1051=0,R1051=0),"Gebinde unbekannt / Stellmass fehlt; ","")&amp;IF(AND(BZ1051=0,N(V1051)&lt;=0,N(Q1051)&lt;=0),"Menge pro Gebinde fehlt (Ist = 1 Gebinde); ","")&amp;BU1051)</f>
        <v>negativer Bestand (Export -1); Kein Verbrauch; Überbestand 7 Stk / CHF 1014; </v>
      </c>
      <c r="BN1051" s="48"/>
      <c r="BO1051" s="48"/>
      <c r="BP1051" s="55"/>
      <c r="BQ1051" s="50" t="n">
        <v>-1</v>
      </c>
      <c r="BR1051" s="50" t="n">
        <v>9</v>
      </c>
      <c r="BS1051" s="49" t="n">
        <v>-144.89</v>
      </c>
      <c r="BT1051" s="50" t="n">
        <v>0</v>
      </c>
      <c r="BU1051" s="48"/>
      <c r="BV1051" s="53" t="n">
        <v>0</v>
      </c>
      <c r="BW1051" s="53" t="n">
        <v>1051</v>
      </c>
      <c r="BX1051" s="48" t="str">
        <f aca="false">IF(U1051&lt;&gt;"",UPPER(TRIM(U1051)),IF(CA1051=1,UPPER(VLOOKUP(T1051,Parameter!$I$27:$K$29,2,0)),IF(P1051="","LOSE",P1051)))</f>
        <v>S22</v>
      </c>
      <c r="BY1051" s="50" t="n">
        <f aca="false">IF(BX1051="LOSE",1,IF(N(V1051)&gt;0,V1051,IF(CA1051=1,MAX(1,N(VLOOKUP(T1051,Parameter!$I$27:$K$29,3,0)),H1051,N(N1051)),IF(N(Q1051)&gt;0,Q1051,MAX(1,H1051)))))</f>
        <v>9</v>
      </c>
      <c r="BZ1051" s="53" t="n">
        <f aca="false">IF(BX1051="LOSE",1,0)</f>
        <v>0</v>
      </c>
      <c r="CA1051" s="53" t="n">
        <f aca="false">IF(AND(U1051="",OR(P1051="",P1051="LOSE"),T1051&lt;&gt;"",N(S1051)&lt;=0,ISNUMBER(MATCH(T1051,Parameter!$I$27:$I$29,0))),1,0)</f>
        <v>0</v>
      </c>
      <c r="CB1051" s="53" t="n">
        <f aca="false">IF(CQ1051&gt;0,INDEX(Parameter!$H$5:$H$7,W1051)/INDEX(Parameter!$E$5:$E$7,W1051),IF(AND(BZ1051=0,N(IFERROR(VLOOKUP(BX1051,'Gebinde-Kategorie'!$A$5:$N$45,14,0),0))&gt;0),VLOOKUP(BX1051,'Gebinde-Kategorie'!$A$5:$N$45,14,0)*10+Parameter!$M$23,Parameter!$M$24))</f>
        <v>155</v>
      </c>
      <c r="CC1051" s="48" t="str">
        <f aca="false">IF(AND(Parameter!$B$19="Ja",E1051&lt;&gt;"",ISNUMBER(MATCH(E1051,Parameter!$I$35:$I$52,0))),VLOOKUP(E1051,Parameter!$I$35:$J$52,2,0),IFERROR(VLOOKUP(D1051,Parameter!$A$35:$C$64,2,0),"Nein"))</f>
        <v>2+3</v>
      </c>
      <c r="CD1051" s="52" t="n">
        <f aca="false">IF(BZ1051=0,0,IF(N(S1051)&gt;0,S1051,IFERROR(VLOOKUP(D1051,Parameter!$A$35:$C$64,3,0)+0,0)))</f>
        <v>0</v>
      </c>
      <c r="CE1051" s="48" t="n">
        <f aca="false">IF(AA1051&lt;&gt;"",AA1051,Z1051)</f>
        <v>3</v>
      </c>
      <c r="CF1051" s="48" t="str">
        <f aca="false">IF(OR(CE1051=1,CE1051=2,CE1051=3),IF(Parameter!$E$27="Ja","LIFT",IF(CE1051=1,"L1","L23")),IF(CE1051="Aussen","Aussen","-"))</f>
        <v>LIFT</v>
      </c>
      <c r="CG1051" s="59" t="n">
        <f aca="false">IF(N(AB1051)&gt;0,AB1051,0)</f>
        <v>0</v>
      </c>
      <c r="CH1051" s="53" t="n">
        <f aca="false">IF(ISNUMBER(AE1051),1,0)</f>
        <v>0</v>
      </c>
      <c r="CI1051" s="50" t="n">
        <f aca="false">N(AE1051)</f>
        <v>0</v>
      </c>
      <c r="CJ1051" s="50" t="n">
        <f aca="false">N(M1051)+N(N1051)</f>
        <v>1</v>
      </c>
      <c r="CK1051" s="50" t="n">
        <f aca="false">N(M1051)</f>
        <v>0</v>
      </c>
      <c r="CL1051" s="50" t="n">
        <f aca="false">N(N1051)</f>
        <v>1</v>
      </c>
      <c r="CM1051" s="50" t="n">
        <f aca="false">ROUNDUP(H1051/BY1051,0)</f>
        <v>1</v>
      </c>
      <c r="CN1051" s="50" t="n">
        <f aca="false">ROUNDUP(CI1051/BY1051,0)</f>
        <v>0</v>
      </c>
      <c r="CO1051" s="53" t="n">
        <f aca="false">IF(BZ1051=1,0,IFERROR(VLOOKUP(BX1051,'Gebinde-Kategorie'!$A$5:$N$45,5,0)+0,0))</f>
        <v>8</v>
      </c>
      <c r="CP1051" s="53" t="n">
        <f aca="false">IFERROR(IF(OR(CE1051=1,CE1051=2,CE1051=3),N(INDEX(Parameter!$I$5:$I$7,CE1051)),0),0)</f>
        <v>0</v>
      </c>
      <c r="CQ1051" s="52" t="n">
        <f aca="false">IF(AND(Parameter!$B$21="Ja",ISNUMBER(W1051),N(X1051)&gt;0),IFERROR(N(INDEX(Parameter!$L$5:$L$7,W1051))*INDEX(Parameter!$E$5:$E$7,W1051)*X1051/SUMIFS($X$7:$X$1843,$W$7:$W$1843,W1051),0),0)</f>
        <v>0</v>
      </c>
    </row>
    <row r="1052" customFormat="false" ht="15" hidden="false" customHeight="false" outlineLevel="0" collapsed="false">
      <c r="A1052" s="48" t="s">
        <v>1934</v>
      </c>
      <c r="B1052" s="48" t="s">
        <v>1877</v>
      </c>
      <c r="C1052" s="48" t="s">
        <v>173</v>
      </c>
      <c r="D1052" s="48" t="s">
        <v>193</v>
      </c>
      <c r="E1052" s="48" t="s">
        <v>194</v>
      </c>
      <c r="F1052" s="48" t="s">
        <v>227</v>
      </c>
      <c r="G1052" s="49" t="n">
        <v>145.85</v>
      </c>
      <c r="H1052" s="50" t="n">
        <f aca="false">MAX(0,IF(AND(Parameter!$B$21="Ja",ISNUMBER(Y1052)),Y1052,IF(Parameter!$B$20="Jahresanfang 2025 + Export",BR1052+BQ1052,BQ1052)))</f>
        <v>8</v>
      </c>
      <c r="I1052" s="50" t="n">
        <f aca="false">H1052*G1052</f>
        <v>1166.8</v>
      </c>
      <c r="J1052" s="50" t="n">
        <f aca="false">BT1052*Parameter!$B$18</f>
        <v>0</v>
      </c>
      <c r="K1052" s="51" t="n">
        <v>9</v>
      </c>
      <c r="L1052" s="52" t="n">
        <v>0</v>
      </c>
      <c r="M1052" s="50" t="n">
        <v>0</v>
      </c>
      <c r="N1052" s="50" t="n">
        <v>1</v>
      </c>
      <c r="O1052" s="53" t="n">
        <v>42</v>
      </c>
      <c r="P1052" s="48" t="s">
        <v>311</v>
      </c>
      <c r="Q1052" s="50" t="n">
        <v>3</v>
      </c>
      <c r="R1052" s="53" t="n">
        <f aca="false">IF(BZ1052=1,0,IFERROR(VLOOKUP(BX1052,'Gebinde-Kategorie'!$A$5:$N$45,13,0)+0,0))</f>
        <v>26</v>
      </c>
      <c r="S1052" s="54"/>
      <c r="T1052" s="55"/>
      <c r="U1052" s="55"/>
      <c r="V1052" s="55"/>
      <c r="W1052" s="48"/>
      <c r="X1052" s="50"/>
      <c r="Y1052" s="50"/>
      <c r="Z1052" s="48" t="n">
        <f aca="false">IF(A1052="","",IF(AND(Parameter!$B$21="Ja",ISNUMBER(W1052)),W1052,IF(CC1052="2+3",IF(ISNUMBER(SEARCH("grosser Artikel",BU1052)),2,IFERROR(VLOOKUP(BX1052,Parameter!$F$35:$G$64,2,0),2)),IF(OR(CC1052="Nein",CC1052=""),"-",CC1052))))</f>
        <v>3</v>
      </c>
      <c r="AA1052" s="55"/>
      <c r="AB1052" s="56"/>
      <c r="AC1052" s="50" t="n">
        <f aca="false">AV1052</f>
        <v>1</v>
      </c>
      <c r="AD1052" s="50" t="n">
        <f aca="false">MAX(AV1052,H1052)</f>
        <v>8</v>
      </c>
      <c r="AE1052" s="57"/>
      <c r="AF1052" s="50" t="n">
        <f aca="false">IF(LEFT(Cockpit!$C$5,1)="A",H1052,IF(Parameter!$E$30="MAX-Bestand",IF(CH1052=1,CI1052,IF(LEFT(Cockpit!$C$5,1)="B",AL1052,MAX(AL1052,H1052))),ROUNDUP(AJ1052,0)))</f>
        <v>8</v>
      </c>
      <c r="AG1052" s="50" t="n">
        <f aca="false">IF(BZ1052=1,0,ROUNDUP(AF1052/BY1052,0))</f>
        <v>3</v>
      </c>
      <c r="AH1052" s="52" t="n">
        <f aca="false">IF(CQ1052&gt;0,CQ1052*MAX(1,AF1052/X1052),IF(BZ1052=1,IF(AF1052&lt;=0,0,CD1052*MAX(1,IF(H1052&gt;0,AF1052/H1052,1))),IF(R1052&gt;0,AG1052/R1052,0))/MAX(0.1,N(Parameter!$M$21)))</f>
        <v>0.115384615384615</v>
      </c>
      <c r="AI1052" s="50" t="n">
        <f aca="false">AH1052*CB1052</f>
        <v>17.8846153846154</v>
      </c>
      <c r="AJ1052" s="51" t="n">
        <f aca="false">IF(LEFT(Cockpit!$C$5,1)="A",H1052,IF(CH1052=1,(CK1052+CI1052)/2,IF(LEFT(Cockpit!$C$5,1)="B",(CK1052+AL1052)/2,MAX((CK1052+AL1052)/2,H1052))))</f>
        <v>8</v>
      </c>
      <c r="AK1052" s="50" t="n">
        <f aca="false">AJ1052*G1052</f>
        <v>1166.8</v>
      </c>
      <c r="AL1052" s="50" t="n">
        <f aca="false">ROUNDUP(CK1052+MAX(CL1052,2*(J1052/IF(CG1052&gt;0,CG1052,MAX(0.1,N(Cockpit!$C$6)))-CK1052)),0)</f>
        <v>1</v>
      </c>
      <c r="AM1052" s="51" t="n">
        <f aca="false">IF(AI1052&gt;0,J1052/AI1052,-1)</f>
        <v>0</v>
      </c>
      <c r="AN1052" s="51" t="n">
        <f aca="false">IF(AND(OR(CF1052="L1",CF1052="L23",CF1052="LIFT"),AI1052&gt;0),SUMIFS($AI$7:$AI$1843,$CF$7:$CF$1843,CF1052,$AM$7:$AM$1843,"&gt;"&amp;AM1052)+SUMIFS($AI$7:$AI$1843,$CF$7:$CF$1843,CF1052,$AM$7:$AM$1843,AM1052,$BW$7:$BW$1843,"&lt;="&amp;BW1052),"")</f>
        <v>29088.2602414064</v>
      </c>
      <c r="AO1052" s="58" t="n">
        <f aca="false">IF(AN1052="",0,MAX(0,MIN(1,(IF(CF1052="L1",Parameter!$H$5,IF(CF1052="L23",Parameter!$H$6+Parameter!$H$7,Parameter!$H$5+Parameter!$H$6+Parameter!$H$7))-(AN1052-AI1052))/AI1052)))</f>
        <v>1</v>
      </c>
      <c r="AP1052" s="50" t="n">
        <f aca="false">IF(LEFT(Cockpit!$I$5,1)="A",H1052,IF(Parameter!$E$30="MAX-Bestand",IF(CH1052=1,CI1052,IF(LEFT(Cockpit!$I$5,1)="B",AV1052,MAX(AV1052,H1052))),ROUNDUP(AT1052,0)))</f>
        <v>8</v>
      </c>
      <c r="AQ1052" s="50" t="n">
        <f aca="false">IF(BZ1052=1,0,ROUNDUP(AP1052/BY1052,0))</f>
        <v>3</v>
      </c>
      <c r="AR1052" s="52" t="n">
        <f aca="false">IF(CQ1052&gt;0,CQ1052*MAX(1,AP1052/X1052),IF(BZ1052=1,IF(AP1052&lt;=0,0,CD1052*MAX(1,IF(H1052&gt;0,AP1052/H1052,1))),IF(R1052&gt;0,AQ1052/R1052,0))/MAX(0.1,N(Parameter!$M$21)))</f>
        <v>0.115384615384615</v>
      </c>
      <c r="AS1052" s="50" t="n">
        <f aca="false">AR1052*CB1052</f>
        <v>17.8846153846154</v>
      </c>
      <c r="AT1052" s="51" t="n">
        <f aca="false">IF(LEFT(Cockpit!$I$5,1)="A",H1052,IF(CH1052=1,(CK1052+CI1052)/2,IF(LEFT(Cockpit!$I$5,1)="B",(CK1052+AV1052)/2,MAX((CK1052+AV1052)/2,H1052))))</f>
        <v>8</v>
      </c>
      <c r="AU1052" s="50" t="n">
        <f aca="false">AT1052*G1052</f>
        <v>1166.8</v>
      </c>
      <c r="AV1052" s="50" t="n">
        <f aca="false">ROUNDUP(CK1052+MAX(CL1052,2*(J1052/IF(CG1052&gt;0,CG1052,MAX(0.1,N(Cockpit!$I$6)))-CK1052)),0)</f>
        <v>1</v>
      </c>
      <c r="AW1052" s="51" t="n">
        <f aca="false">IF(AS1052&gt;0,J1052/AS1052,-1)</f>
        <v>0</v>
      </c>
      <c r="AX1052" s="51" t="n">
        <f aca="false">IF(AND(OR(CF1052="L1",CF1052="L23",CF1052="LIFT"),AS1052&gt;0),SUMIFS($AS$7:$AS$1843,$CF$7:$CF$1843,CF1052,$AW$7:$AW$1843,"&gt;"&amp;AW1052)+SUMIFS($AS$7:$AS$1843,$CF$7:$CF$1843,CF1052,$AW$7:$AW$1843,AW1052,$BW$7:$BW$1843,"&lt;="&amp;BW1052),"")</f>
        <v>34790.6323260073</v>
      </c>
      <c r="AY1052" s="58" t="n">
        <f aca="false">IF(AX1052="",0,MAX(0,MIN(1,(IF(CF1052="L1",Parameter!$H$5,IF(CF1052="L23",Parameter!$H$6+Parameter!$H$7,Parameter!$H$5+Parameter!$H$6+Parameter!$H$7))-(AX1052-AS1052))/AS1052)))</f>
        <v>1</v>
      </c>
      <c r="AZ1052" s="50" t="n">
        <f aca="false">IF(LEFT(Cockpit!$O$5,1)="A",H1052,IF(Parameter!$E$30="MAX-Bestand",IF(CH1052=1,CI1052,IF(LEFT(Cockpit!$O$5,1)="B",BF1052,MAX(BF1052,H1052))),ROUNDUP(BD1052,0)))</f>
        <v>1</v>
      </c>
      <c r="BA1052" s="50" t="n">
        <f aca="false">IF(BZ1052=1,0,ROUNDUP(AZ1052/BY1052,0))</f>
        <v>1</v>
      </c>
      <c r="BB1052" s="52" t="n">
        <f aca="false">IF(CQ1052&gt;0,CQ1052*MAX(1,AZ1052/X1052),IF(BZ1052=1,IF(AZ1052&lt;=0,0,CD1052*MAX(1,IF(H1052&gt;0,AZ1052/H1052,1))),IF(R1052&gt;0,BA1052/R1052,0))/MAX(0.1,N(Parameter!$M$21)))</f>
        <v>0.0384615384615385</v>
      </c>
      <c r="BC1052" s="50" t="n">
        <f aca="false">BB1052*CB1052</f>
        <v>5.96153846153846</v>
      </c>
      <c r="BD1052" s="51" t="n">
        <f aca="false">IF(LEFT(Cockpit!$O$5,1)="A",H1052,IF(CH1052=1,(CK1052+CI1052)/2,IF(LEFT(Cockpit!$O$5,1)="B",(CK1052+BF1052)/2,MAX((CK1052+BF1052)/2,H1052))))</f>
        <v>0.5</v>
      </c>
      <c r="BE1052" s="50" t="n">
        <f aca="false">BD1052*G1052</f>
        <v>72.925</v>
      </c>
      <c r="BF1052" s="50" t="n">
        <f aca="false">ROUNDUP(CK1052+MAX(CL1052,2*(J1052/IF(CG1052&gt;0,CG1052,MAX(0.1,N(Cockpit!$O$6)))-CK1052)),0)</f>
        <v>1</v>
      </c>
      <c r="BG1052" s="51" t="n">
        <f aca="false">IF(BC1052&gt;0,J1052/BC1052,-1)</f>
        <v>0</v>
      </c>
      <c r="BH1052" s="51" t="n">
        <f aca="false">IF(AND(OR(CF1052="L1",CF1052="L23",CF1052="LIFT"),BC1052&gt;0),SUMIFS($BC$7:$BC$1843,$CF$7:$CF$1843,CF1052,$BG$7:$BG$1843,"&gt;"&amp;BG1052)+SUMIFS($BC$7:$BC$1843,$CF$7:$CF$1843,CF1052,$BG$7:$BG$1843,BG1052,$BW$7:$BW$1843,"&lt;="&amp;BW1052),"")</f>
        <v>28775.9389861551</v>
      </c>
      <c r="BI1052" s="58" t="n">
        <f aca="false">IF(BH1052="",0,MAX(0,MIN(1,(IF(CF1052="L1",Parameter!$H$5,IF(CF1052="L23",Parameter!$H$6+Parameter!$H$7,Parameter!$H$5+Parameter!$H$6+Parameter!$H$7))-(BH1052-BC1052))/BC1052)))</f>
        <v>1</v>
      </c>
      <c r="BJ1052" s="48" t="str">
        <f aca="false">IF(AI1052&lt;=0,"",IF(CF1052="Aussen","Aussenlager",IF(CF1052="-","Nicht im Lift",IF(AO1052&gt;=1,"Lift",IF(AO1052&lt;=0,"Aussenlager","teilweise")))))</f>
        <v>Lift</v>
      </c>
      <c r="BK1052" s="48" t="str">
        <f aca="false">IF(AS1052&lt;=0,"",IF(CF1052="Aussen","Aussenlager",IF(CF1052="-","Nicht im Lift",IF(AY1052&gt;=1,"Lift",IF(AY1052&lt;=0,"Aussenlager","teilweise")))))</f>
        <v>Lift</v>
      </c>
      <c r="BL1052" s="48" t="str">
        <f aca="false">IF(BC1052&lt;=0,"",IF(CF1052="Aussen","Aussenlager",IF(CF1052="-","Nicht im Lift",IF(BI1052&gt;=1,"Lift",IF(BI1052&lt;=0,"Aussenlager","teilweise")))))</f>
        <v>Lift</v>
      </c>
      <c r="BM1052" s="48" t="str">
        <f aca="false">IF(A1052="","",IF(BV1052=1,"Neu; ","")&amp;IF(AND(BV1052=0,BQ1052&lt;0),"negativer Bestand (Export "&amp;BQ1052&amp;"); ","")&amp;IF(J1052&lt;=0,"Kein Verbrauch; ","")&amp;IF(CQ1052&gt;0,"Lift "&amp;W1052&amp;" lt. Liftbericht (Fach "&amp;X1052&amp;" Stk); ",IF(CA1052=1,"Gebinde geschätzt ("&amp;T1052&amp;"); ",IF(BZ1052=1,"Lose – Tablare geschätzt; ","")))&amp;IF(H1052&gt;AV1052,"Überbestand "&amp;ROUND(H1052-AV1052,0)&amp;" Stk / CHF "&amp;ROUND((H1052-AV1052)*G1052,0)&amp;"; ","")&amp;IF(AND(CH1052=1,CI1052&lt;CJ1052),"MAX &lt; MB+LG; ","")&amp;IF(AND(CP1052&gt;0,CO1052*10&gt;CP1052),"zu hoch für Tablar; ","")&amp;IF(AND(BV1052=0,OR(CH1052=1,AA1052&lt;&gt;"",U1052&lt;&gt;"",V1052&lt;&gt;"",AB1052&lt;&gt;"")),"manuell übersteuert; ","")&amp;IF(AND(BZ1052=0,R1052=0),"Gebinde unbekannt / Stellmass fehlt; ","")&amp;IF(AND(BZ1052=0,N(V1052)&lt;=0,N(Q1052)&lt;=0),"Menge pro Gebinde fehlt (Ist = 1 Gebinde); ","")&amp;BU1052)</f>
        <v>negativer Bestand (Export -1); Kein Verbrauch; Überbestand 7 Stk / CHF 1021; </v>
      </c>
      <c r="BN1052" s="48"/>
      <c r="BO1052" s="48"/>
      <c r="BP1052" s="55"/>
      <c r="BQ1052" s="50" t="n">
        <v>-1</v>
      </c>
      <c r="BR1052" s="50" t="n">
        <v>9</v>
      </c>
      <c r="BS1052" s="49" t="n">
        <v>-145.85</v>
      </c>
      <c r="BT1052" s="50" t="n">
        <v>0</v>
      </c>
      <c r="BU1052" s="48"/>
      <c r="BV1052" s="53" t="n">
        <v>0</v>
      </c>
      <c r="BW1052" s="53" t="n">
        <v>1052</v>
      </c>
      <c r="BX1052" s="48" t="str">
        <f aca="false">IF(U1052&lt;&gt;"",UPPER(TRIM(U1052)),IF(CA1052=1,UPPER(VLOOKUP(T1052,Parameter!$I$27:$K$29,2,0)),IF(P1052="","LOSE",P1052)))</f>
        <v>S51</v>
      </c>
      <c r="BY1052" s="50" t="n">
        <f aca="false">IF(BX1052="LOSE",1,IF(N(V1052)&gt;0,V1052,IF(CA1052=1,MAX(1,N(VLOOKUP(T1052,Parameter!$I$27:$K$29,3,0)),H1052,N(N1052)),IF(N(Q1052)&gt;0,Q1052,MAX(1,H1052)))))</f>
        <v>3</v>
      </c>
      <c r="BZ1052" s="53" t="n">
        <f aca="false">IF(BX1052="LOSE",1,0)</f>
        <v>0</v>
      </c>
      <c r="CA1052" s="53" t="n">
        <f aca="false">IF(AND(U1052="",OR(P1052="",P1052="LOSE"),T1052&lt;&gt;"",N(S1052)&lt;=0,ISNUMBER(MATCH(T1052,Parameter!$I$27:$I$29,0))),1,0)</f>
        <v>0</v>
      </c>
      <c r="CB1052" s="53" t="n">
        <f aca="false">IF(CQ1052&gt;0,INDEX(Parameter!$H$5:$H$7,W1052)/INDEX(Parameter!$E$5:$E$7,W1052),IF(AND(BZ1052=0,N(IFERROR(VLOOKUP(BX1052,'Gebinde-Kategorie'!$A$5:$N$45,14,0),0))&gt;0),VLOOKUP(BX1052,'Gebinde-Kategorie'!$A$5:$N$45,14,0)*10+Parameter!$M$23,Parameter!$M$24))</f>
        <v>155</v>
      </c>
      <c r="CC1052" s="48" t="str">
        <f aca="false">IF(AND(Parameter!$B$19="Ja",E1052&lt;&gt;"",ISNUMBER(MATCH(E1052,Parameter!$I$35:$I$52,0))),VLOOKUP(E1052,Parameter!$I$35:$J$52,2,0),IFERROR(VLOOKUP(D1052,Parameter!$A$35:$C$64,2,0),"Nein"))</f>
        <v>2+3</v>
      </c>
      <c r="CD1052" s="52" t="n">
        <f aca="false">IF(BZ1052=0,0,IF(N(S1052)&gt;0,S1052,IFERROR(VLOOKUP(D1052,Parameter!$A$35:$C$64,3,0)+0,0)))</f>
        <v>0</v>
      </c>
      <c r="CE1052" s="48" t="n">
        <f aca="false">IF(AA1052&lt;&gt;"",AA1052,Z1052)</f>
        <v>3</v>
      </c>
      <c r="CF1052" s="48" t="str">
        <f aca="false">IF(OR(CE1052=1,CE1052=2,CE1052=3),IF(Parameter!$E$27="Ja","LIFT",IF(CE1052=1,"L1","L23")),IF(CE1052="Aussen","Aussen","-"))</f>
        <v>LIFT</v>
      </c>
      <c r="CG1052" s="59" t="n">
        <f aca="false">IF(N(AB1052)&gt;0,AB1052,0)</f>
        <v>0</v>
      </c>
      <c r="CH1052" s="53" t="n">
        <f aca="false">IF(ISNUMBER(AE1052),1,0)</f>
        <v>0</v>
      </c>
      <c r="CI1052" s="50" t="n">
        <f aca="false">N(AE1052)</f>
        <v>0</v>
      </c>
      <c r="CJ1052" s="50" t="n">
        <f aca="false">N(M1052)+N(N1052)</f>
        <v>1</v>
      </c>
      <c r="CK1052" s="50" t="n">
        <f aca="false">N(M1052)</f>
        <v>0</v>
      </c>
      <c r="CL1052" s="50" t="n">
        <f aca="false">N(N1052)</f>
        <v>1</v>
      </c>
      <c r="CM1052" s="50" t="n">
        <f aca="false">ROUNDUP(H1052/BY1052,0)</f>
        <v>3</v>
      </c>
      <c r="CN1052" s="50" t="n">
        <f aca="false">ROUNDUP(CI1052/BY1052,0)</f>
        <v>0</v>
      </c>
      <c r="CO1052" s="53" t="n">
        <f aca="false">IF(BZ1052=1,0,IFERROR(VLOOKUP(BX1052,'Gebinde-Kategorie'!$A$5:$N$45,5,0)+0,0))</f>
        <v>11</v>
      </c>
      <c r="CP1052" s="53" t="n">
        <f aca="false">IFERROR(IF(OR(CE1052=1,CE1052=2,CE1052=3),N(INDEX(Parameter!$I$5:$I$7,CE1052)),0),0)</f>
        <v>0</v>
      </c>
      <c r="CQ1052" s="52" t="n">
        <f aca="false">IF(AND(Parameter!$B$21="Ja",ISNUMBER(W1052),N(X1052)&gt;0),IFERROR(N(INDEX(Parameter!$L$5:$L$7,W1052))*INDEX(Parameter!$E$5:$E$7,W1052)*X1052/SUMIFS($X$7:$X$1843,$W$7:$W$1843,W1052),0),0)</f>
        <v>0</v>
      </c>
    </row>
    <row r="1053" customFormat="false" ht="15" hidden="false" customHeight="false" outlineLevel="0" collapsed="false">
      <c r="A1053" s="48" t="s">
        <v>1935</v>
      </c>
      <c r="B1053" s="48" t="s">
        <v>1563</v>
      </c>
      <c r="C1053" s="48" t="s">
        <v>173</v>
      </c>
      <c r="D1053" s="48" t="s">
        <v>182</v>
      </c>
      <c r="E1053" s="48" t="s">
        <v>474</v>
      </c>
      <c r="F1053" s="48" t="s">
        <v>227</v>
      </c>
      <c r="G1053" s="49" t="n">
        <v>4.63</v>
      </c>
      <c r="H1053" s="50" t="n">
        <f aca="false">MAX(0,IF(AND(Parameter!$B$21="Ja",ISNUMBER(Y1053)),Y1053,IF(Parameter!$B$20="Jahresanfang 2025 + Export",BR1053+BQ1053,BQ1053)))</f>
        <v>118</v>
      </c>
      <c r="I1053" s="50" t="n">
        <f aca="false">H1053*G1053</f>
        <v>546.34</v>
      </c>
      <c r="J1053" s="50" t="n">
        <f aca="false">BT1053*Parameter!$B$18</f>
        <v>131</v>
      </c>
      <c r="K1053" s="51" t="n">
        <v>155</v>
      </c>
      <c r="L1053" s="52" t="n">
        <v>0.845161290322581</v>
      </c>
      <c r="M1053" s="50" t="n">
        <v>7</v>
      </c>
      <c r="N1053" s="50" t="n">
        <v>135</v>
      </c>
      <c r="O1053" s="53" t="n">
        <v>21</v>
      </c>
      <c r="P1053" s="48" t="s">
        <v>177</v>
      </c>
      <c r="Q1053" s="50"/>
      <c r="R1053" s="53" t="n">
        <f aca="false">IF(BZ1053=1,0,IFERROR(VLOOKUP(BX1053,'Gebinde-Kategorie'!$A$5:$N$45,13,0)+0,0))</f>
        <v>4</v>
      </c>
      <c r="S1053" s="54"/>
      <c r="T1053" s="55" t="s">
        <v>198</v>
      </c>
      <c r="U1053" s="55"/>
      <c r="V1053" s="55"/>
      <c r="W1053" s="48"/>
      <c r="X1053" s="50"/>
      <c r="Y1053" s="50"/>
      <c r="Z1053" s="48" t="str">
        <f aca="false">IF(A1053="","",IF(AND(Parameter!$B$21="Ja",ISNUMBER(W1053)),W1053,IF(CC1053="2+3",IF(ISNUMBER(SEARCH("grosser Artikel",BU1053)),2,IFERROR(VLOOKUP(BX1053,Parameter!$F$35:$G$64,2,0),2)),IF(OR(CC1053="Nein",CC1053=""),"-",CC1053))))</f>
        <v>-</v>
      </c>
      <c r="AA1053" s="55"/>
      <c r="AB1053" s="56"/>
      <c r="AC1053" s="50" t="n">
        <f aca="false">AV1053</f>
        <v>142</v>
      </c>
      <c r="AD1053" s="50" t="n">
        <f aca="false">MAX(AV1053,H1053)</f>
        <v>142</v>
      </c>
      <c r="AE1053" s="57"/>
      <c r="AF1053" s="50" t="n">
        <f aca="false">IF(LEFT(Cockpit!$C$5,1)="A",H1053,IF(Parameter!$E$30="MAX-Bestand",IF(CH1053=1,CI1053,IF(LEFT(Cockpit!$C$5,1)="B",AL1053,MAX(AL1053,H1053))),ROUNDUP(AJ1053,0)))</f>
        <v>118</v>
      </c>
      <c r="AG1053" s="50" t="n">
        <f aca="false">IF(BZ1053=1,0,ROUNDUP(AF1053/BY1053,0))</f>
        <v>1</v>
      </c>
      <c r="AH1053" s="52" t="n">
        <f aca="false">IF(CQ1053&gt;0,CQ1053*MAX(1,AF1053/X1053),IF(BZ1053=1,IF(AF1053&lt;=0,0,CD1053*MAX(1,IF(H1053&gt;0,AF1053/H1053,1))),IF(R1053&gt;0,AG1053/R1053,0))/MAX(0.1,N(Parameter!$M$21)))</f>
        <v>0.25</v>
      </c>
      <c r="AI1053" s="50" t="n">
        <f aca="false">AH1053*CB1053</f>
        <v>58.75</v>
      </c>
      <c r="AJ1053" s="51" t="n">
        <f aca="false">IF(LEFT(Cockpit!$C$5,1)="A",H1053,IF(CH1053=1,(CK1053+CI1053)/2,IF(LEFT(Cockpit!$C$5,1)="B",(CK1053+AL1053)/2,MAX((CK1053+AL1053)/2,H1053))))</f>
        <v>118</v>
      </c>
      <c r="AK1053" s="50" t="n">
        <f aca="false">AJ1053*G1053</f>
        <v>546.34</v>
      </c>
      <c r="AL1053" s="50" t="n">
        <f aca="false">ROUNDUP(CK1053+MAX(CL1053,2*(J1053/IF(CG1053&gt;0,CG1053,MAX(0.1,N(Cockpit!$C$6)))-CK1053)),0)</f>
        <v>142</v>
      </c>
      <c r="AM1053" s="51" t="n">
        <f aca="false">IF(AI1053&gt;0,J1053/AI1053,-1)</f>
        <v>2.22978723404255</v>
      </c>
      <c r="AN1053" s="51" t="str">
        <f aca="false">IF(AND(OR(CF1053="L1",CF1053="L23",CF1053="LIFT"),AI1053&gt;0),SUMIFS($AI$7:$AI$1843,$CF$7:$CF$1843,CF1053,$AM$7:$AM$1843,"&gt;"&amp;AM1053)+SUMIFS($AI$7:$AI$1843,$CF$7:$CF$1843,CF1053,$AM$7:$AM$1843,AM1053,$BW$7:$BW$1843,"&lt;="&amp;BW1053),"")</f>
        <v/>
      </c>
      <c r="AO1053" s="58" t="n">
        <f aca="false">IF(AN1053="",0,MAX(0,MIN(1,(IF(CF1053="L1",Parameter!$H$5,IF(CF1053="L23",Parameter!$H$6+Parameter!$H$7,Parameter!$H$5+Parameter!$H$6+Parameter!$H$7))-(AN1053-AI1053))/AI1053)))</f>
        <v>0</v>
      </c>
      <c r="AP1053" s="50" t="n">
        <f aca="false">IF(LEFT(Cockpit!$I$5,1)="A",H1053,IF(Parameter!$E$30="MAX-Bestand",IF(CH1053=1,CI1053,IF(LEFT(Cockpit!$I$5,1)="B",AV1053,MAX(AV1053,H1053))),ROUNDUP(AT1053,0)))</f>
        <v>118</v>
      </c>
      <c r="AQ1053" s="50" t="n">
        <f aca="false">IF(BZ1053=1,0,ROUNDUP(AP1053/BY1053,0))</f>
        <v>1</v>
      </c>
      <c r="AR1053" s="52" t="n">
        <f aca="false">IF(CQ1053&gt;0,CQ1053*MAX(1,AP1053/X1053),IF(BZ1053=1,IF(AP1053&lt;=0,0,CD1053*MAX(1,IF(H1053&gt;0,AP1053/H1053,1))),IF(R1053&gt;0,AQ1053/R1053,0))/MAX(0.1,N(Parameter!$M$21)))</f>
        <v>0.25</v>
      </c>
      <c r="AS1053" s="50" t="n">
        <f aca="false">AR1053*CB1053</f>
        <v>58.75</v>
      </c>
      <c r="AT1053" s="51" t="n">
        <f aca="false">IF(LEFT(Cockpit!$I$5,1)="A",H1053,IF(CH1053=1,(CK1053+CI1053)/2,IF(LEFT(Cockpit!$I$5,1)="B",(CK1053+AV1053)/2,MAX((CK1053+AV1053)/2,H1053))))</f>
        <v>118</v>
      </c>
      <c r="AU1053" s="50" t="n">
        <f aca="false">AT1053*G1053</f>
        <v>546.34</v>
      </c>
      <c r="AV1053" s="50" t="n">
        <f aca="false">ROUNDUP(CK1053+MAX(CL1053,2*(J1053/IF(CG1053&gt;0,CG1053,MAX(0.1,N(Cockpit!$I$6)))-CK1053)),0)</f>
        <v>142</v>
      </c>
      <c r="AW1053" s="51" t="n">
        <f aca="false">IF(AS1053&gt;0,J1053/AS1053,-1)</f>
        <v>2.22978723404255</v>
      </c>
      <c r="AX1053" s="51" t="str">
        <f aca="false">IF(AND(OR(CF1053="L1",CF1053="L23",CF1053="LIFT"),AS1053&gt;0),SUMIFS($AS$7:$AS$1843,$CF$7:$CF$1843,CF1053,$AW$7:$AW$1843,"&gt;"&amp;AW1053)+SUMIFS($AS$7:$AS$1843,$CF$7:$CF$1843,CF1053,$AW$7:$AW$1843,AW1053,$BW$7:$BW$1843,"&lt;="&amp;BW1053),"")</f>
        <v/>
      </c>
      <c r="AY1053" s="58" t="n">
        <f aca="false">IF(AX1053="",0,MAX(0,MIN(1,(IF(CF1053="L1",Parameter!$H$5,IF(CF1053="L23",Parameter!$H$6+Parameter!$H$7,Parameter!$H$5+Parameter!$H$6+Parameter!$H$7))-(AX1053-AS1053))/AS1053)))</f>
        <v>0</v>
      </c>
      <c r="AZ1053" s="50" t="n">
        <f aca="false">IF(LEFT(Cockpit!$O$5,1)="A",H1053,IF(Parameter!$E$30="MAX-Bestand",IF(CH1053=1,CI1053,IF(LEFT(Cockpit!$O$5,1)="B",BF1053,MAX(BF1053,H1053))),ROUNDUP(BD1053,0)))</f>
        <v>75</v>
      </c>
      <c r="BA1053" s="50" t="n">
        <f aca="false">IF(BZ1053=1,0,ROUNDUP(AZ1053/BY1053,0))</f>
        <v>1</v>
      </c>
      <c r="BB1053" s="52" t="n">
        <f aca="false">IF(CQ1053&gt;0,CQ1053*MAX(1,AZ1053/X1053),IF(BZ1053=1,IF(AZ1053&lt;=0,0,CD1053*MAX(1,IF(H1053&gt;0,AZ1053/H1053,1))),IF(R1053&gt;0,BA1053/R1053,0))/MAX(0.1,N(Parameter!$M$21)))</f>
        <v>0.25</v>
      </c>
      <c r="BC1053" s="50" t="n">
        <f aca="false">BB1053*CB1053</f>
        <v>58.75</v>
      </c>
      <c r="BD1053" s="51" t="n">
        <f aca="false">IF(LEFT(Cockpit!$O$5,1)="A",H1053,IF(CH1053=1,(CK1053+CI1053)/2,IF(LEFT(Cockpit!$O$5,1)="B",(CK1053+BF1053)/2,MAX((CK1053+BF1053)/2,H1053))))</f>
        <v>74.5</v>
      </c>
      <c r="BE1053" s="50" t="n">
        <f aca="false">BD1053*G1053</f>
        <v>344.935</v>
      </c>
      <c r="BF1053" s="50" t="n">
        <f aca="false">ROUNDUP(CK1053+MAX(CL1053,2*(J1053/IF(CG1053&gt;0,CG1053,MAX(0.1,N(Cockpit!$O$6)))-CK1053)),0)</f>
        <v>142</v>
      </c>
      <c r="BG1053" s="51" t="n">
        <f aca="false">IF(BC1053&gt;0,J1053/BC1053,-1)</f>
        <v>2.22978723404255</v>
      </c>
      <c r="BH1053" s="51" t="str">
        <f aca="false">IF(AND(OR(CF1053="L1",CF1053="L23",CF1053="LIFT"),BC1053&gt;0),SUMIFS($BC$7:$BC$1843,$CF$7:$CF$1843,CF1053,$BG$7:$BG$1843,"&gt;"&amp;BG1053)+SUMIFS($BC$7:$BC$1843,$CF$7:$CF$1843,CF1053,$BG$7:$BG$1843,BG1053,$BW$7:$BW$1843,"&lt;="&amp;BW1053),"")</f>
        <v/>
      </c>
      <c r="BI1053" s="58" t="n">
        <f aca="false">IF(BH1053="",0,MAX(0,MIN(1,(IF(CF1053="L1",Parameter!$H$5,IF(CF1053="L23",Parameter!$H$6+Parameter!$H$7,Parameter!$H$5+Parameter!$H$6+Parameter!$H$7))-(BH1053-BC1053))/BC1053)))</f>
        <v>0</v>
      </c>
      <c r="BJ1053" s="48" t="str">
        <f aca="false">IF(AI1053&lt;=0,"",IF(CF1053="Aussen","Aussenlager",IF(CF1053="-","Nicht im Lift",IF(AO1053&gt;=1,"Lift",IF(AO1053&lt;=0,"Aussenlager","teilweise")))))</f>
        <v>Nicht im Lift</v>
      </c>
      <c r="BK1053" s="48" t="str">
        <f aca="false">IF(AS1053&lt;=0,"",IF(CF1053="Aussen","Aussenlager",IF(CF1053="-","Nicht im Lift",IF(AY1053&gt;=1,"Lift",IF(AY1053&lt;=0,"Aussenlager","teilweise")))))</f>
        <v>Nicht im Lift</v>
      </c>
      <c r="BL1053" s="48" t="str">
        <f aca="false">IF(BC1053&lt;=0,"",IF(CF1053="Aussen","Aussenlager",IF(CF1053="-","Nicht im Lift",IF(BI1053&gt;=1,"Lift",IF(BI1053&lt;=0,"Aussenlager","teilweise")))))</f>
        <v>Nicht im Lift</v>
      </c>
      <c r="BM1053" s="48" t="str">
        <f aca="false">IF(A1053="","",IF(BV1053=1,"Neu; ","")&amp;IF(AND(BV1053=0,BQ1053&lt;0),"negativer Bestand (Export "&amp;BQ1053&amp;"); ","")&amp;IF(J1053&lt;=0,"Kein Verbrauch; ","")&amp;IF(CQ1053&gt;0,"Lift "&amp;W1053&amp;" lt. Liftbericht (Fach "&amp;X1053&amp;" Stk); ",IF(CA1053=1,"Gebinde geschätzt ("&amp;T1053&amp;"); ",IF(BZ1053=1,"Lose – Tablare geschätzt; ","")))&amp;IF(H1053&gt;AV1053,"Überbestand "&amp;ROUND(H1053-AV1053,0)&amp;" Stk / CHF "&amp;ROUND((H1053-AV1053)*G1053,0)&amp;"; ","")&amp;IF(AND(CH1053=1,CI1053&lt;CJ1053),"MAX &lt; MB+LG; ","")&amp;IF(AND(CP1053&gt;0,CO1053*10&gt;CP1053),"zu hoch für Tablar; ","")&amp;IF(AND(BV1053=0,OR(CH1053=1,AA1053&lt;&gt;"",U1053&lt;&gt;"",V1053&lt;&gt;"",AB1053&lt;&gt;"")),"manuell übersteuert; ","")&amp;IF(AND(BZ1053=0,R1053=0),"Gebinde unbekannt / Stellmass fehlt; ","")&amp;IF(AND(BZ1053=0,N(V1053)&lt;=0,N(Q1053)&lt;=0),"Menge pro Gebinde fehlt (Ist = 1 Gebinde); ","")&amp;BU1053)</f>
        <v>negativer Bestand (Export -35); Gebinde geschätzt (Gross); Menge pro Gebinde fehlt (Ist = 1 Gebinde); </v>
      </c>
      <c r="BN1053" s="48"/>
      <c r="BO1053" s="48"/>
      <c r="BP1053" s="55"/>
      <c r="BQ1053" s="50" t="n">
        <v>-35</v>
      </c>
      <c r="BR1053" s="50" t="n">
        <v>153</v>
      </c>
      <c r="BS1053" s="49" t="n">
        <v>-146.750000000001</v>
      </c>
      <c r="BT1053" s="50" t="n">
        <v>131</v>
      </c>
      <c r="BU1053" s="48"/>
      <c r="BV1053" s="53" t="n">
        <v>0</v>
      </c>
      <c r="BW1053" s="53" t="n">
        <v>1053</v>
      </c>
      <c r="BX1053" s="48" t="str">
        <f aca="false">IF(U1053&lt;&gt;"",UPPER(TRIM(U1053)),IF(CA1053=1,UPPER(VLOOKUP(T1053,Parameter!$I$27:$K$29,2,0)),IF(P1053="","LOSE",P1053)))</f>
        <v>S81</v>
      </c>
      <c r="BY1053" s="50" t="n">
        <f aca="false">IF(BX1053="LOSE",1,IF(N(V1053)&gt;0,V1053,IF(CA1053=1,MAX(1,N(VLOOKUP(T1053,Parameter!$I$27:$K$29,3,0)),H1053,N(N1053)),IF(N(Q1053)&gt;0,Q1053,MAX(1,H1053)))))</f>
        <v>135</v>
      </c>
      <c r="BZ1053" s="53" t="n">
        <f aca="false">IF(BX1053="LOSE",1,0)</f>
        <v>0</v>
      </c>
      <c r="CA1053" s="53" t="n">
        <f aca="false">IF(AND(U1053="",OR(P1053="",P1053="LOSE"),T1053&lt;&gt;"",N(S1053)&lt;=0,ISNUMBER(MATCH(T1053,Parameter!$I$27:$I$29,0))),1,0)</f>
        <v>1</v>
      </c>
      <c r="CB1053" s="53" t="n">
        <f aca="false">IF(CQ1053&gt;0,INDEX(Parameter!$H$5:$H$7,W1053)/INDEX(Parameter!$E$5:$E$7,W1053),IF(AND(BZ1053=0,N(IFERROR(VLOOKUP(BX1053,'Gebinde-Kategorie'!$A$5:$N$45,14,0),0))&gt;0),VLOOKUP(BX1053,'Gebinde-Kategorie'!$A$5:$N$45,14,0)*10+Parameter!$M$23,Parameter!$M$24))</f>
        <v>235</v>
      </c>
      <c r="CC1053" s="48" t="str">
        <f aca="false">IF(AND(Parameter!$B$19="Ja",E1053&lt;&gt;"",ISNUMBER(MATCH(E1053,Parameter!$I$35:$I$52,0))),VLOOKUP(E1053,Parameter!$I$35:$J$52,2,0),IFERROR(VLOOKUP(D1053,Parameter!$A$35:$C$64,2,0),"Nein"))</f>
        <v>Nein</v>
      </c>
      <c r="CD1053" s="52" t="n">
        <f aca="false">IF(BZ1053=0,0,IF(N(S1053)&gt;0,S1053,IFERROR(VLOOKUP(D1053,Parameter!$A$35:$C$64,3,0)+0,0)))</f>
        <v>0</v>
      </c>
      <c r="CE1053" s="48" t="str">
        <f aca="false">IF(AA1053&lt;&gt;"",AA1053,Z1053)</f>
        <v>-</v>
      </c>
      <c r="CF1053" s="48" t="str">
        <f aca="false">IF(OR(CE1053=1,CE1053=2,CE1053=3),IF(Parameter!$E$27="Ja","LIFT",IF(CE1053=1,"L1","L23")),IF(CE1053="Aussen","Aussen","-"))</f>
        <v>-</v>
      </c>
      <c r="CG1053" s="59" t="n">
        <f aca="false">IF(N(AB1053)&gt;0,AB1053,0)</f>
        <v>0</v>
      </c>
      <c r="CH1053" s="53" t="n">
        <f aca="false">IF(ISNUMBER(AE1053),1,0)</f>
        <v>0</v>
      </c>
      <c r="CI1053" s="50" t="n">
        <f aca="false">N(AE1053)</f>
        <v>0</v>
      </c>
      <c r="CJ1053" s="50" t="n">
        <f aca="false">N(M1053)+N(N1053)</f>
        <v>142</v>
      </c>
      <c r="CK1053" s="50" t="n">
        <f aca="false">N(M1053)</f>
        <v>7</v>
      </c>
      <c r="CL1053" s="50" t="n">
        <f aca="false">N(N1053)</f>
        <v>135</v>
      </c>
      <c r="CM1053" s="50" t="n">
        <f aca="false">ROUNDUP(H1053/BY1053,0)</f>
        <v>1</v>
      </c>
      <c r="CN1053" s="50" t="n">
        <f aca="false">ROUNDUP(CI1053/BY1053,0)</f>
        <v>0</v>
      </c>
      <c r="CO1053" s="53" t="n">
        <f aca="false">IF(BZ1053=1,0,IFERROR(VLOOKUP(BX1053,'Gebinde-Kategorie'!$A$5:$N$45,5,0)+0,0))</f>
        <v>20</v>
      </c>
      <c r="CP1053" s="53" t="n">
        <f aca="false">IFERROR(IF(OR(CE1053=1,CE1053=2,CE1053=3),N(INDEX(Parameter!$I$5:$I$7,CE1053)),0),0)</f>
        <v>0</v>
      </c>
      <c r="CQ1053" s="52" t="n">
        <f aca="false">IF(AND(Parameter!$B$21="Ja",ISNUMBER(W1053),N(X1053)&gt;0),IFERROR(N(INDEX(Parameter!$L$5:$L$7,W1053))*INDEX(Parameter!$E$5:$E$7,W1053)*X1053/SUMIFS($X$7:$X$1843,$W$7:$W$1843,W1053),0),0)</f>
        <v>0</v>
      </c>
    </row>
    <row r="1054" customFormat="false" ht="15" hidden="false" customHeight="false" outlineLevel="0" collapsed="false">
      <c r="A1054" s="48" t="s">
        <v>1936</v>
      </c>
      <c r="B1054" s="48" t="s">
        <v>1937</v>
      </c>
      <c r="C1054" s="48" t="s">
        <v>173</v>
      </c>
      <c r="D1054" s="48" t="s">
        <v>193</v>
      </c>
      <c r="E1054" s="48" t="s">
        <v>194</v>
      </c>
      <c r="F1054" s="48" t="s">
        <v>227</v>
      </c>
      <c r="G1054" s="49" t="n">
        <v>23.75</v>
      </c>
      <c r="H1054" s="50" t="n">
        <f aca="false">MAX(0,IF(AND(Parameter!$B$21="Ja",ISNUMBER(Y1054)),Y1054,IF(Parameter!$B$20="Jahresanfang 2025 + Export",BR1054+BQ1054,BQ1054)))</f>
        <v>2</v>
      </c>
      <c r="I1054" s="50" t="n">
        <f aca="false">H1054*G1054</f>
        <v>47.5</v>
      </c>
      <c r="J1054" s="50" t="n">
        <f aca="false">BT1054*Parameter!$B$18</f>
        <v>19</v>
      </c>
      <c r="K1054" s="51" t="n">
        <v>7</v>
      </c>
      <c r="L1054" s="52" t="n">
        <v>2.71428571428571</v>
      </c>
      <c r="M1054" s="50" t="n">
        <v>1</v>
      </c>
      <c r="N1054" s="50" t="n">
        <v>20</v>
      </c>
      <c r="O1054" s="53" t="n">
        <v>28</v>
      </c>
      <c r="P1054" s="48" t="s">
        <v>337</v>
      </c>
      <c r="Q1054" s="50" t="n">
        <v>9</v>
      </c>
      <c r="R1054" s="53" t="n">
        <f aca="false">IF(BZ1054=1,0,IFERROR(VLOOKUP(BX1054,'Gebinde-Kategorie'!$A$5:$N$45,13,0)+0,0))</f>
        <v>52</v>
      </c>
      <c r="S1054" s="54"/>
      <c r="T1054" s="55"/>
      <c r="U1054" s="55"/>
      <c r="V1054" s="55"/>
      <c r="W1054" s="48"/>
      <c r="X1054" s="50"/>
      <c r="Y1054" s="50"/>
      <c r="Z1054" s="48" t="n">
        <f aca="false">IF(A1054="","",IF(AND(Parameter!$B$21="Ja",ISNUMBER(W1054)),W1054,IF(CC1054="2+3",IF(ISNUMBER(SEARCH("grosser Artikel",BU1054)),2,IFERROR(VLOOKUP(BX1054,Parameter!$F$35:$G$64,2,0),2)),IF(OR(CC1054="Nein",CC1054=""),"-",CC1054))))</f>
        <v>3</v>
      </c>
      <c r="AA1054" s="55"/>
      <c r="AB1054" s="56"/>
      <c r="AC1054" s="50" t="n">
        <f aca="false">AV1054</f>
        <v>21</v>
      </c>
      <c r="AD1054" s="50" t="n">
        <f aca="false">MAX(AV1054,H1054)</f>
        <v>21</v>
      </c>
      <c r="AE1054" s="57"/>
      <c r="AF1054" s="50" t="n">
        <f aca="false">IF(LEFT(Cockpit!$C$5,1)="A",H1054,IF(Parameter!$E$30="MAX-Bestand",IF(CH1054=1,CI1054,IF(LEFT(Cockpit!$C$5,1)="B",AL1054,MAX(AL1054,H1054))),ROUNDUP(AJ1054,0)))</f>
        <v>2</v>
      </c>
      <c r="AG1054" s="50" t="n">
        <f aca="false">IF(BZ1054=1,0,ROUNDUP(AF1054/BY1054,0))</f>
        <v>1</v>
      </c>
      <c r="AH1054" s="52" t="n">
        <f aca="false">IF(CQ1054&gt;0,CQ1054*MAX(1,AF1054/X1054),IF(BZ1054=1,IF(AF1054&lt;=0,0,CD1054*MAX(1,IF(H1054&gt;0,AF1054/H1054,1))),IF(R1054&gt;0,AG1054/R1054,0))/MAX(0.1,N(Parameter!$M$21)))</f>
        <v>0.0192307692307692</v>
      </c>
      <c r="AI1054" s="50" t="n">
        <f aca="false">AH1054*CB1054</f>
        <v>2.98076923076923</v>
      </c>
      <c r="AJ1054" s="51" t="n">
        <f aca="false">IF(LEFT(Cockpit!$C$5,1)="A",H1054,IF(CH1054=1,(CK1054+CI1054)/2,IF(LEFT(Cockpit!$C$5,1)="B",(CK1054+AL1054)/2,MAX((CK1054+AL1054)/2,H1054))))</f>
        <v>2</v>
      </c>
      <c r="AK1054" s="50" t="n">
        <f aca="false">AJ1054*G1054</f>
        <v>47.5</v>
      </c>
      <c r="AL1054" s="50" t="n">
        <f aca="false">ROUNDUP(CK1054+MAX(CL1054,2*(J1054/IF(CG1054&gt;0,CG1054,MAX(0.1,N(Cockpit!$C$6)))-CK1054)),0)</f>
        <v>21</v>
      </c>
      <c r="AM1054" s="51" t="n">
        <f aca="false">IF(AI1054&gt;0,J1054/AI1054,-1)</f>
        <v>6.3741935483871</v>
      </c>
      <c r="AN1054" s="51" t="n">
        <f aca="false">IF(AND(OR(CF1054="L1",CF1054="L23",CF1054="LIFT"),AI1054&gt;0),SUMIFS($AI$7:$AI$1843,$CF$7:$CF$1843,CF1054,$AM$7:$AM$1843,"&gt;"&amp;AM1054)+SUMIFS($AI$7:$AI$1843,$CF$7:$CF$1843,CF1054,$AM$7:$AM$1843,AM1054,$BW$7:$BW$1843,"&lt;="&amp;BW1054),"")</f>
        <v>3431.83562271062</v>
      </c>
      <c r="AO1054" s="58" t="n">
        <f aca="false">IF(AN1054="",0,MAX(0,MIN(1,(IF(CF1054="L1",Parameter!$H$5,IF(CF1054="L23",Parameter!$H$6+Parameter!$H$7,Parameter!$H$5+Parameter!$H$6+Parameter!$H$7))-(AN1054-AI1054))/AI1054)))</f>
        <v>1</v>
      </c>
      <c r="AP1054" s="50" t="n">
        <f aca="false">IF(LEFT(Cockpit!$I$5,1)="A",H1054,IF(Parameter!$E$30="MAX-Bestand",IF(CH1054=1,CI1054,IF(LEFT(Cockpit!$I$5,1)="B",AV1054,MAX(AV1054,H1054))),ROUNDUP(AT1054,0)))</f>
        <v>11</v>
      </c>
      <c r="AQ1054" s="50" t="n">
        <f aca="false">IF(BZ1054=1,0,ROUNDUP(AP1054/BY1054,0))</f>
        <v>2</v>
      </c>
      <c r="AR1054" s="52" t="n">
        <f aca="false">IF(CQ1054&gt;0,CQ1054*MAX(1,AP1054/X1054),IF(BZ1054=1,IF(AP1054&lt;=0,0,CD1054*MAX(1,IF(H1054&gt;0,AP1054/H1054,1))),IF(R1054&gt;0,AQ1054/R1054,0))/MAX(0.1,N(Parameter!$M$21)))</f>
        <v>0.0384615384615385</v>
      </c>
      <c r="AS1054" s="50" t="n">
        <f aca="false">AR1054*CB1054</f>
        <v>5.96153846153846</v>
      </c>
      <c r="AT1054" s="51" t="n">
        <f aca="false">IF(LEFT(Cockpit!$I$5,1)="A",H1054,IF(CH1054=1,(CK1054+CI1054)/2,IF(LEFT(Cockpit!$I$5,1)="B",(CK1054+AV1054)/2,MAX((CK1054+AV1054)/2,H1054))))</f>
        <v>11</v>
      </c>
      <c r="AU1054" s="50" t="n">
        <f aca="false">AT1054*G1054</f>
        <v>261.25</v>
      </c>
      <c r="AV1054" s="50" t="n">
        <f aca="false">ROUNDUP(CK1054+MAX(CL1054,2*(J1054/IF(CG1054&gt;0,CG1054,MAX(0.1,N(Cockpit!$I$6)))-CK1054)),0)</f>
        <v>21</v>
      </c>
      <c r="AW1054" s="51" t="n">
        <f aca="false">IF(AS1054&gt;0,J1054/AS1054,-1)</f>
        <v>3.18709677419355</v>
      </c>
      <c r="AX1054" s="51" t="n">
        <f aca="false">IF(AND(OR(CF1054="L1",CF1054="L23",CF1054="LIFT"),AS1054&gt;0),SUMIFS($AS$7:$AS$1843,$CF$7:$CF$1843,CF1054,$AW$7:$AW$1843,"&gt;"&amp;AW1054)+SUMIFS($AS$7:$AS$1843,$CF$7:$CF$1843,CF1054,$AW$7:$AW$1843,AW1054,$BW$7:$BW$1843,"&lt;="&amp;BW1054),"")</f>
        <v>5690.33836996337</v>
      </c>
      <c r="AY1054" s="58" t="n">
        <f aca="false">IF(AX1054="",0,MAX(0,MIN(1,(IF(CF1054="L1",Parameter!$H$5,IF(CF1054="L23",Parameter!$H$6+Parameter!$H$7,Parameter!$H$5+Parameter!$H$6+Parameter!$H$7))-(AX1054-AS1054))/AS1054)))</f>
        <v>1</v>
      </c>
      <c r="AZ1054" s="50" t="n">
        <f aca="false">IF(LEFT(Cockpit!$O$5,1)="A",H1054,IF(Parameter!$E$30="MAX-Bestand",IF(CH1054=1,CI1054,IF(LEFT(Cockpit!$O$5,1)="B",BF1054,MAX(BF1054,H1054))),ROUNDUP(BD1054,0)))</f>
        <v>11</v>
      </c>
      <c r="BA1054" s="50" t="n">
        <f aca="false">IF(BZ1054=1,0,ROUNDUP(AZ1054/BY1054,0))</f>
        <v>2</v>
      </c>
      <c r="BB1054" s="52" t="n">
        <f aca="false">IF(CQ1054&gt;0,CQ1054*MAX(1,AZ1054/X1054),IF(BZ1054=1,IF(AZ1054&lt;=0,0,CD1054*MAX(1,IF(H1054&gt;0,AZ1054/H1054,1))),IF(R1054&gt;0,BA1054/R1054,0))/MAX(0.1,N(Parameter!$M$21)))</f>
        <v>0.0384615384615385</v>
      </c>
      <c r="BC1054" s="50" t="n">
        <f aca="false">BB1054*CB1054</f>
        <v>5.96153846153846</v>
      </c>
      <c r="BD1054" s="51" t="n">
        <f aca="false">IF(LEFT(Cockpit!$O$5,1)="A",H1054,IF(CH1054=1,(CK1054+CI1054)/2,IF(LEFT(Cockpit!$O$5,1)="B",(CK1054+BF1054)/2,MAX((CK1054+BF1054)/2,H1054))))</f>
        <v>11</v>
      </c>
      <c r="BE1054" s="50" t="n">
        <f aca="false">BD1054*G1054</f>
        <v>261.25</v>
      </c>
      <c r="BF1054" s="50" t="n">
        <f aca="false">ROUNDUP(CK1054+MAX(CL1054,2*(J1054/IF(CG1054&gt;0,CG1054,MAX(0.1,N(Cockpit!$O$6)))-CK1054)),0)</f>
        <v>21</v>
      </c>
      <c r="BG1054" s="51" t="n">
        <f aca="false">IF(BC1054&gt;0,J1054/BC1054,-1)</f>
        <v>3.18709677419355</v>
      </c>
      <c r="BH1054" s="51" t="n">
        <f aca="false">IF(AND(OR(CF1054="L1",CF1054="L23",CF1054="LIFT"),BC1054&gt;0),SUMIFS($BC$7:$BC$1843,$CF$7:$CF$1843,CF1054,$BG$7:$BG$1843,"&gt;"&amp;BG1054)+SUMIFS($BC$7:$BC$1843,$CF$7:$CF$1843,CF1054,$BG$7:$BG$1843,BG1054,$BW$7:$BW$1843,"&lt;="&amp;BW1054),"")</f>
        <v>4685.01144688645</v>
      </c>
      <c r="BI1054" s="58" t="n">
        <f aca="false">IF(BH1054="",0,MAX(0,MIN(1,(IF(CF1054="L1",Parameter!$H$5,IF(CF1054="L23",Parameter!$H$6+Parameter!$H$7,Parameter!$H$5+Parameter!$H$6+Parameter!$H$7))-(BH1054-BC1054))/BC1054)))</f>
        <v>1</v>
      </c>
      <c r="BJ1054" s="48" t="str">
        <f aca="false">IF(AI1054&lt;=0,"",IF(CF1054="Aussen","Aussenlager",IF(CF1054="-","Nicht im Lift",IF(AO1054&gt;=1,"Lift",IF(AO1054&lt;=0,"Aussenlager","teilweise")))))</f>
        <v>Lift</v>
      </c>
      <c r="BK1054" s="48" t="str">
        <f aca="false">IF(AS1054&lt;=0,"",IF(CF1054="Aussen","Aussenlager",IF(CF1054="-","Nicht im Lift",IF(AY1054&gt;=1,"Lift",IF(AY1054&lt;=0,"Aussenlager","teilweise")))))</f>
        <v>Lift</v>
      </c>
      <c r="BL1054" s="48" t="str">
        <f aca="false">IF(BC1054&lt;=0,"",IF(CF1054="Aussen","Aussenlager",IF(CF1054="-","Nicht im Lift",IF(BI1054&gt;=1,"Lift",IF(BI1054&lt;=0,"Aussenlager","teilweise")))))</f>
        <v>Lift</v>
      </c>
      <c r="BM1054" s="48" t="str">
        <f aca="false">IF(A1054="","",IF(BV1054=1,"Neu; ","")&amp;IF(AND(BV1054=0,BQ1054&lt;0),"negativer Bestand (Export "&amp;BQ1054&amp;"); ","")&amp;IF(J1054&lt;=0,"Kein Verbrauch; ","")&amp;IF(CQ1054&gt;0,"Lift "&amp;W1054&amp;" lt. Liftbericht (Fach "&amp;X1054&amp;" Stk); ",IF(CA1054=1,"Gebinde geschätzt ("&amp;T1054&amp;"); ",IF(BZ1054=1,"Lose – Tablare geschätzt; ","")))&amp;IF(H1054&gt;AV1054,"Überbestand "&amp;ROUND(H1054-AV1054,0)&amp;" Stk / CHF "&amp;ROUND((H1054-AV1054)*G1054,0)&amp;"; ","")&amp;IF(AND(CH1054=1,CI1054&lt;CJ1054),"MAX &lt; MB+LG; ","")&amp;IF(AND(CP1054&gt;0,CO1054*10&gt;CP1054),"zu hoch für Tablar; ","")&amp;IF(AND(BV1054=0,OR(CH1054=1,AA1054&lt;&gt;"",U1054&lt;&gt;"",V1054&lt;&gt;"",AB1054&lt;&gt;"")),"manuell übersteuert; ","")&amp;IF(AND(BZ1054=0,R1054=0),"Gebinde unbekannt / Stellmass fehlt; ","")&amp;IF(AND(BZ1054=0,N(V1054)&lt;=0,N(Q1054)&lt;=0),"Menge pro Gebinde fehlt (Ist = 1 Gebinde); ","")&amp;BU1054)</f>
        <v>negativer Bestand (Export -7); Neu</v>
      </c>
      <c r="BN1054" s="48"/>
      <c r="BO1054" s="48"/>
      <c r="BP1054" s="55"/>
      <c r="BQ1054" s="50" t="n">
        <v>-7</v>
      </c>
      <c r="BR1054" s="50" t="n">
        <v>9</v>
      </c>
      <c r="BS1054" s="49" t="n">
        <v>-146.81</v>
      </c>
      <c r="BT1054" s="50" t="n">
        <v>19</v>
      </c>
      <c r="BU1054" s="48" t="s">
        <v>635</v>
      </c>
      <c r="BV1054" s="53" t="n">
        <v>0</v>
      </c>
      <c r="BW1054" s="53" t="n">
        <v>1054</v>
      </c>
      <c r="BX1054" s="48" t="str">
        <f aca="false">IF(U1054&lt;&gt;"",UPPER(TRIM(U1054)),IF(CA1054=1,UPPER(VLOOKUP(T1054,Parameter!$I$27:$K$29,2,0)),IF(P1054="","LOSE",P1054)))</f>
        <v>S41</v>
      </c>
      <c r="BY1054" s="50" t="n">
        <f aca="false">IF(BX1054="LOSE",1,IF(N(V1054)&gt;0,V1054,IF(CA1054=1,MAX(1,N(VLOOKUP(T1054,Parameter!$I$27:$K$29,3,0)),H1054,N(N1054)),IF(N(Q1054)&gt;0,Q1054,MAX(1,H1054)))))</f>
        <v>9</v>
      </c>
      <c r="BZ1054" s="53" t="n">
        <f aca="false">IF(BX1054="LOSE",1,0)</f>
        <v>0</v>
      </c>
      <c r="CA1054" s="53" t="n">
        <f aca="false">IF(AND(U1054="",OR(P1054="",P1054="LOSE"),T1054&lt;&gt;"",N(S1054)&lt;=0,ISNUMBER(MATCH(T1054,Parameter!$I$27:$I$29,0))),1,0)</f>
        <v>0</v>
      </c>
      <c r="CB1054" s="53" t="n">
        <f aca="false">IF(CQ1054&gt;0,INDEX(Parameter!$H$5:$H$7,W1054)/INDEX(Parameter!$E$5:$E$7,W1054),IF(AND(BZ1054=0,N(IFERROR(VLOOKUP(BX1054,'Gebinde-Kategorie'!$A$5:$N$45,14,0),0))&gt;0),VLOOKUP(BX1054,'Gebinde-Kategorie'!$A$5:$N$45,14,0)*10+Parameter!$M$23,Parameter!$M$24))</f>
        <v>155</v>
      </c>
      <c r="CC1054" s="48" t="str">
        <f aca="false">IF(AND(Parameter!$B$19="Ja",E1054&lt;&gt;"",ISNUMBER(MATCH(E1054,Parameter!$I$35:$I$52,0))),VLOOKUP(E1054,Parameter!$I$35:$J$52,2,0),IFERROR(VLOOKUP(D1054,Parameter!$A$35:$C$64,2,0),"Nein"))</f>
        <v>2+3</v>
      </c>
      <c r="CD1054" s="52" t="n">
        <f aca="false">IF(BZ1054=0,0,IF(N(S1054)&gt;0,S1054,IFERROR(VLOOKUP(D1054,Parameter!$A$35:$C$64,3,0)+0,0)))</f>
        <v>0</v>
      </c>
      <c r="CE1054" s="48" t="n">
        <f aca="false">IF(AA1054&lt;&gt;"",AA1054,Z1054)</f>
        <v>3</v>
      </c>
      <c r="CF1054" s="48" t="str">
        <f aca="false">IF(OR(CE1054=1,CE1054=2,CE1054=3),IF(Parameter!$E$27="Ja","LIFT",IF(CE1054=1,"L1","L23")),IF(CE1054="Aussen","Aussen","-"))</f>
        <v>LIFT</v>
      </c>
      <c r="CG1054" s="59" t="n">
        <f aca="false">IF(N(AB1054)&gt;0,AB1054,0)</f>
        <v>0</v>
      </c>
      <c r="CH1054" s="53" t="n">
        <f aca="false">IF(ISNUMBER(AE1054),1,0)</f>
        <v>0</v>
      </c>
      <c r="CI1054" s="50" t="n">
        <f aca="false">N(AE1054)</f>
        <v>0</v>
      </c>
      <c r="CJ1054" s="50" t="n">
        <f aca="false">N(M1054)+N(N1054)</f>
        <v>21</v>
      </c>
      <c r="CK1054" s="50" t="n">
        <f aca="false">N(M1054)</f>
        <v>1</v>
      </c>
      <c r="CL1054" s="50" t="n">
        <f aca="false">N(N1054)</f>
        <v>20</v>
      </c>
      <c r="CM1054" s="50" t="n">
        <f aca="false">ROUNDUP(H1054/BY1054,0)</f>
        <v>1</v>
      </c>
      <c r="CN1054" s="50" t="n">
        <f aca="false">ROUNDUP(CI1054/BY1054,0)</f>
        <v>0</v>
      </c>
      <c r="CO1054" s="53" t="n">
        <f aca="false">IF(BZ1054=1,0,IFERROR(VLOOKUP(BX1054,'Gebinde-Kategorie'!$A$5:$N$45,5,0)+0,0))</f>
        <v>11</v>
      </c>
      <c r="CP1054" s="53" t="n">
        <f aca="false">IFERROR(IF(OR(CE1054=1,CE1054=2,CE1054=3),N(INDEX(Parameter!$I$5:$I$7,CE1054)),0),0)</f>
        <v>0</v>
      </c>
      <c r="CQ1054" s="52" t="n">
        <f aca="false">IF(AND(Parameter!$B$21="Ja",ISNUMBER(W1054),N(X1054)&gt;0),IFERROR(N(INDEX(Parameter!$L$5:$L$7,W1054))*INDEX(Parameter!$E$5:$E$7,W1054)*X1054/SUMIFS($X$7:$X$1843,$W$7:$W$1843,W1054),0),0)</f>
        <v>0</v>
      </c>
    </row>
    <row r="1055" customFormat="false" ht="15" hidden="false" customHeight="false" outlineLevel="0" collapsed="false">
      <c r="A1055" s="48" t="s">
        <v>1938</v>
      </c>
      <c r="B1055" s="48" t="s">
        <v>1939</v>
      </c>
      <c r="C1055" s="48" t="s">
        <v>465</v>
      </c>
      <c r="D1055" s="48" t="s">
        <v>182</v>
      </c>
      <c r="E1055" s="48" t="s">
        <v>1488</v>
      </c>
      <c r="F1055" s="48" t="s">
        <v>227</v>
      </c>
      <c r="G1055" s="49" t="n">
        <v>147.86</v>
      </c>
      <c r="H1055" s="50" t="n">
        <f aca="false">MAX(0,IF(AND(Parameter!$B$21="Ja",ISNUMBER(Y1055)),Y1055,IF(Parameter!$B$20="Jahresanfang 2025 + Export",BR1055+BQ1055,BQ1055)))</f>
        <v>0</v>
      </c>
      <c r="I1055" s="50" t="n">
        <f aca="false">H1055*G1055</f>
        <v>0</v>
      </c>
      <c r="J1055" s="50" t="n">
        <f aca="false">BT1055*Parameter!$B$18</f>
        <v>0</v>
      </c>
      <c r="K1055" s="51" t="n">
        <v>0.5</v>
      </c>
      <c r="L1055" s="52" t="n">
        <v>0</v>
      </c>
      <c r="M1055" s="50" t="n">
        <v>0</v>
      </c>
      <c r="N1055" s="50" t="n">
        <v>1</v>
      </c>
      <c r="O1055" s="53" t="n">
        <v>56</v>
      </c>
      <c r="P1055" s="48" t="s">
        <v>177</v>
      </c>
      <c r="Q1055" s="50"/>
      <c r="R1055" s="53" t="n">
        <f aca="false">IF(BZ1055=1,0,IFERROR(VLOOKUP(BX1055,'Gebinde-Kategorie'!$A$5:$N$45,13,0)+0,0))</f>
        <v>4</v>
      </c>
      <c r="S1055" s="54"/>
      <c r="T1055" s="55" t="s">
        <v>198</v>
      </c>
      <c r="U1055" s="55"/>
      <c r="V1055" s="55"/>
      <c r="W1055" s="48"/>
      <c r="X1055" s="50"/>
      <c r="Y1055" s="50"/>
      <c r="Z1055" s="48" t="str">
        <f aca="false">IF(A1055="","",IF(AND(Parameter!$B$21="Ja",ISNUMBER(W1055)),W1055,IF(CC1055="2+3",IF(ISNUMBER(SEARCH("grosser Artikel",BU1055)),2,IFERROR(VLOOKUP(BX1055,Parameter!$F$35:$G$64,2,0),2)),IF(OR(CC1055="Nein",CC1055=""),"-",CC1055))))</f>
        <v>-</v>
      </c>
      <c r="AA1055" s="55"/>
      <c r="AB1055" s="56"/>
      <c r="AC1055" s="50" t="n">
        <f aca="false">AV1055</f>
        <v>1</v>
      </c>
      <c r="AD1055" s="50" t="n">
        <f aca="false">MAX(AV1055,H1055)</f>
        <v>1</v>
      </c>
      <c r="AE1055" s="57"/>
      <c r="AF1055" s="50" t="n">
        <f aca="false">IF(LEFT(Cockpit!$C$5,1)="A",H1055,IF(Parameter!$E$30="MAX-Bestand",IF(CH1055=1,CI1055,IF(LEFT(Cockpit!$C$5,1)="B",AL1055,MAX(AL1055,H1055))),ROUNDUP(AJ1055,0)))</f>
        <v>0</v>
      </c>
      <c r="AG1055" s="50" t="n">
        <f aca="false">IF(BZ1055=1,0,ROUNDUP(AF1055/BY1055,0))</f>
        <v>0</v>
      </c>
      <c r="AH1055" s="52" t="n">
        <f aca="false">IF(CQ1055&gt;0,CQ1055*MAX(1,AF1055/X1055),IF(BZ1055=1,IF(AF1055&lt;=0,0,CD1055*MAX(1,IF(H1055&gt;0,AF1055/H1055,1))),IF(R1055&gt;0,AG1055/R1055,0))/MAX(0.1,N(Parameter!$M$21)))</f>
        <v>0</v>
      </c>
      <c r="AI1055" s="50" t="n">
        <f aca="false">AH1055*CB1055</f>
        <v>0</v>
      </c>
      <c r="AJ1055" s="51" t="n">
        <f aca="false">IF(LEFT(Cockpit!$C$5,1)="A",H1055,IF(CH1055=1,(CK1055+CI1055)/2,IF(LEFT(Cockpit!$C$5,1)="B",(CK1055+AL1055)/2,MAX((CK1055+AL1055)/2,H1055))))</f>
        <v>0</v>
      </c>
      <c r="AK1055" s="50" t="n">
        <f aca="false">AJ1055*G1055</f>
        <v>0</v>
      </c>
      <c r="AL1055" s="50" t="n">
        <f aca="false">ROUNDUP(CK1055+MAX(CL1055,2*(J1055/IF(CG1055&gt;0,CG1055,MAX(0.1,N(Cockpit!$C$6)))-CK1055)),0)</f>
        <v>1</v>
      </c>
      <c r="AM1055" s="51" t="n">
        <f aca="false">IF(AI1055&gt;0,J1055/AI1055,-1)</f>
        <v>-1</v>
      </c>
      <c r="AN1055" s="51" t="str">
        <f aca="false">IF(AND(OR(CF1055="L1",CF1055="L23",CF1055="LIFT"),AI1055&gt;0),SUMIFS($AI$7:$AI$1843,$CF$7:$CF$1843,CF1055,$AM$7:$AM$1843,"&gt;"&amp;AM1055)+SUMIFS($AI$7:$AI$1843,$CF$7:$CF$1843,CF1055,$AM$7:$AM$1843,AM1055,$BW$7:$BW$1843,"&lt;="&amp;BW1055),"")</f>
        <v/>
      </c>
      <c r="AO1055" s="58" t="n">
        <f aca="false">IF(AN1055="",0,MAX(0,MIN(1,(IF(CF1055="L1",Parameter!$H$5,IF(CF1055="L23",Parameter!$H$6+Parameter!$H$7,Parameter!$H$5+Parameter!$H$6+Parameter!$H$7))-(AN1055-AI1055))/AI1055)))</f>
        <v>0</v>
      </c>
      <c r="AP1055" s="50" t="n">
        <f aca="false">IF(LEFT(Cockpit!$I$5,1)="A",H1055,IF(Parameter!$E$30="MAX-Bestand",IF(CH1055=1,CI1055,IF(LEFT(Cockpit!$I$5,1)="B",AV1055,MAX(AV1055,H1055))),ROUNDUP(AT1055,0)))</f>
        <v>1</v>
      </c>
      <c r="AQ1055" s="50" t="n">
        <f aca="false">IF(BZ1055=1,0,ROUNDUP(AP1055/BY1055,0))</f>
        <v>1</v>
      </c>
      <c r="AR1055" s="52" t="n">
        <f aca="false">IF(CQ1055&gt;0,CQ1055*MAX(1,AP1055/X1055),IF(BZ1055=1,IF(AP1055&lt;=0,0,CD1055*MAX(1,IF(H1055&gt;0,AP1055/H1055,1))),IF(R1055&gt;0,AQ1055/R1055,0))/MAX(0.1,N(Parameter!$M$21)))</f>
        <v>0.25</v>
      </c>
      <c r="AS1055" s="50" t="n">
        <f aca="false">AR1055*CB1055</f>
        <v>58.75</v>
      </c>
      <c r="AT1055" s="51" t="n">
        <f aca="false">IF(LEFT(Cockpit!$I$5,1)="A",H1055,IF(CH1055=1,(CK1055+CI1055)/2,IF(LEFT(Cockpit!$I$5,1)="B",(CK1055+AV1055)/2,MAX((CK1055+AV1055)/2,H1055))))</f>
        <v>0.5</v>
      </c>
      <c r="AU1055" s="50" t="n">
        <f aca="false">AT1055*G1055</f>
        <v>73.93</v>
      </c>
      <c r="AV1055" s="50" t="n">
        <f aca="false">ROUNDUP(CK1055+MAX(CL1055,2*(J1055/IF(CG1055&gt;0,CG1055,MAX(0.1,N(Cockpit!$I$6)))-CK1055)),0)</f>
        <v>1</v>
      </c>
      <c r="AW1055" s="51" t="n">
        <f aca="false">IF(AS1055&gt;0,J1055/AS1055,-1)</f>
        <v>0</v>
      </c>
      <c r="AX1055" s="51" t="str">
        <f aca="false">IF(AND(OR(CF1055="L1",CF1055="L23",CF1055="LIFT"),AS1055&gt;0),SUMIFS($AS$7:$AS$1843,$CF$7:$CF$1843,CF1055,$AW$7:$AW$1843,"&gt;"&amp;AW1055)+SUMIFS($AS$7:$AS$1843,$CF$7:$CF$1843,CF1055,$AW$7:$AW$1843,AW1055,$BW$7:$BW$1843,"&lt;="&amp;BW1055),"")</f>
        <v/>
      </c>
      <c r="AY1055" s="58" t="n">
        <f aca="false">IF(AX1055="",0,MAX(0,MIN(1,(IF(CF1055="L1",Parameter!$H$5,IF(CF1055="L23",Parameter!$H$6+Parameter!$H$7,Parameter!$H$5+Parameter!$H$6+Parameter!$H$7))-(AX1055-AS1055))/AS1055)))</f>
        <v>0</v>
      </c>
      <c r="AZ1055" s="50" t="n">
        <f aca="false">IF(LEFT(Cockpit!$O$5,1)="A",H1055,IF(Parameter!$E$30="MAX-Bestand",IF(CH1055=1,CI1055,IF(LEFT(Cockpit!$O$5,1)="B",BF1055,MAX(BF1055,H1055))),ROUNDUP(BD1055,0)))</f>
        <v>1</v>
      </c>
      <c r="BA1055" s="50" t="n">
        <f aca="false">IF(BZ1055=1,0,ROUNDUP(AZ1055/BY1055,0))</f>
        <v>1</v>
      </c>
      <c r="BB1055" s="52" t="n">
        <f aca="false">IF(CQ1055&gt;0,CQ1055*MAX(1,AZ1055/X1055),IF(BZ1055=1,IF(AZ1055&lt;=0,0,CD1055*MAX(1,IF(H1055&gt;0,AZ1055/H1055,1))),IF(R1055&gt;0,BA1055/R1055,0))/MAX(0.1,N(Parameter!$M$21)))</f>
        <v>0.25</v>
      </c>
      <c r="BC1055" s="50" t="n">
        <f aca="false">BB1055*CB1055</f>
        <v>58.75</v>
      </c>
      <c r="BD1055" s="51" t="n">
        <f aca="false">IF(LEFT(Cockpit!$O$5,1)="A",H1055,IF(CH1055=1,(CK1055+CI1055)/2,IF(LEFT(Cockpit!$O$5,1)="B",(CK1055+BF1055)/2,MAX((CK1055+BF1055)/2,H1055))))</f>
        <v>0.5</v>
      </c>
      <c r="BE1055" s="50" t="n">
        <f aca="false">BD1055*G1055</f>
        <v>73.93</v>
      </c>
      <c r="BF1055" s="50" t="n">
        <f aca="false">ROUNDUP(CK1055+MAX(CL1055,2*(J1055/IF(CG1055&gt;0,CG1055,MAX(0.1,N(Cockpit!$O$6)))-CK1055)),0)</f>
        <v>1</v>
      </c>
      <c r="BG1055" s="51" t="n">
        <f aca="false">IF(BC1055&gt;0,J1055/BC1055,-1)</f>
        <v>0</v>
      </c>
      <c r="BH1055" s="51" t="str">
        <f aca="false">IF(AND(OR(CF1055="L1",CF1055="L23",CF1055="LIFT"),BC1055&gt;0),SUMIFS($BC$7:$BC$1843,$CF$7:$CF$1843,CF1055,$BG$7:$BG$1843,"&gt;"&amp;BG1055)+SUMIFS($BC$7:$BC$1843,$CF$7:$CF$1843,CF1055,$BG$7:$BG$1843,BG1055,$BW$7:$BW$1843,"&lt;="&amp;BW1055),"")</f>
        <v/>
      </c>
      <c r="BI1055" s="58" t="n">
        <f aca="false">IF(BH1055="",0,MAX(0,MIN(1,(IF(CF1055="L1",Parameter!$H$5,IF(CF1055="L23",Parameter!$H$6+Parameter!$H$7,Parameter!$H$5+Parameter!$H$6+Parameter!$H$7))-(BH1055-BC1055))/BC1055)))</f>
        <v>0</v>
      </c>
      <c r="BJ1055" s="48" t="str">
        <f aca="false">IF(AI1055&lt;=0,"",IF(CF1055="Aussen","Aussenlager",IF(CF1055="-","Nicht im Lift",IF(AO1055&gt;=1,"Lift",IF(AO1055&lt;=0,"Aussenlager","teilweise")))))</f>
        <v/>
      </c>
      <c r="BK1055" s="48" t="str">
        <f aca="false">IF(AS1055&lt;=0,"",IF(CF1055="Aussen","Aussenlager",IF(CF1055="-","Nicht im Lift",IF(AY1055&gt;=1,"Lift",IF(AY1055&lt;=0,"Aussenlager","teilweise")))))</f>
        <v>Nicht im Lift</v>
      </c>
      <c r="BL1055" s="48" t="str">
        <f aca="false">IF(BC1055&lt;=0,"",IF(CF1055="Aussen","Aussenlager",IF(CF1055="-","Nicht im Lift",IF(BI1055&gt;=1,"Lift",IF(BI1055&lt;=0,"Aussenlager","teilweise")))))</f>
        <v>Nicht im Lift</v>
      </c>
      <c r="BM1055" s="48" t="str">
        <f aca="false">IF(A1055="","",IF(BV1055=1,"Neu; ","")&amp;IF(AND(BV1055=0,BQ1055&lt;0),"negativer Bestand (Export "&amp;BQ1055&amp;"); ","")&amp;IF(J1055&lt;=0,"Kein Verbrauch; ","")&amp;IF(CQ1055&gt;0,"Lift "&amp;W1055&amp;" lt. Liftbericht (Fach "&amp;X1055&amp;" Stk); ",IF(CA1055=1,"Gebinde geschätzt ("&amp;T1055&amp;"); ",IF(BZ1055=1,"Lose – Tablare geschätzt; ","")))&amp;IF(H1055&gt;AV1055,"Überbestand "&amp;ROUND(H1055-AV1055,0)&amp;" Stk / CHF "&amp;ROUND((H1055-AV1055)*G1055,0)&amp;"; ","")&amp;IF(AND(CH1055=1,CI1055&lt;CJ1055),"MAX &lt; MB+LG; ","")&amp;IF(AND(CP1055&gt;0,CO1055*10&gt;CP1055),"zu hoch für Tablar; ","")&amp;IF(AND(BV1055=0,OR(CH1055=1,AA1055&lt;&gt;"",U1055&lt;&gt;"",V1055&lt;&gt;"",AB1055&lt;&gt;"")),"manuell übersteuert; ","")&amp;IF(AND(BZ1055=0,R1055=0),"Gebinde unbekannt / Stellmass fehlt; ","")&amp;IF(AND(BZ1055=0,N(V1055)&lt;=0,N(Q1055)&lt;=0),"Menge pro Gebinde fehlt (Ist = 1 Gebinde); ","")&amp;BU1055)</f>
        <v>negativer Bestand (Export -1); Kein Verbrauch; Gebinde geschätzt (Gross); Menge pro Gebinde fehlt (Ist = 1 Gebinde); Neu</v>
      </c>
      <c r="BN1055" s="48"/>
      <c r="BO1055" s="48"/>
      <c r="BP1055" s="55"/>
      <c r="BQ1055" s="50" t="n">
        <v>-1</v>
      </c>
      <c r="BR1055" s="50" t="n">
        <v>1</v>
      </c>
      <c r="BS1055" s="49" t="n">
        <v>-147.86</v>
      </c>
      <c r="BT1055" s="50" t="n">
        <v>0</v>
      </c>
      <c r="BU1055" s="48" t="s">
        <v>635</v>
      </c>
      <c r="BV1055" s="53" t="n">
        <v>0</v>
      </c>
      <c r="BW1055" s="53" t="n">
        <v>1055</v>
      </c>
      <c r="BX1055" s="48" t="str">
        <f aca="false">IF(U1055&lt;&gt;"",UPPER(TRIM(U1055)),IF(CA1055=1,UPPER(VLOOKUP(T1055,Parameter!$I$27:$K$29,2,0)),IF(P1055="","LOSE",P1055)))</f>
        <v>S81</v>
      </c>
      <c r="BY1055" s="50" t="n">
        <f aca="false">IF(BX1055="LOSE",1,IF(N(V1055)&gt;0,V1055,IF(CA1055=1,MAX(1,N(VLOOKUP(T1055,Parameter!$I$27:$K$29,3,0)),H1055,N(N1055)),IF(N(Q1055)&gt;0,Q1055,MAX(1,H1055)))))</f>
        <v>2</v>
      </c>
      <c r="BZ1055" s="53" t="n">
        <f aca="false">IF(BX1055="LOSE",1,0)</f>
        <v>0</v>
      </c>
      <c r="CA1055" s="53" t="n">
        <f aca="false">IF(AND(U1055="",OR(P1055="",P1055="LOSE"),T1055&lt;&gt;"",N(S1055)&lt;=0,ISNUMBER(MATCH(T1055,Parameter!$I$27:$I$29,0))),1,0)</f>
        <v>1</v>
      </c>
      <c r="CB1055" s="53" t="n">
        <f aca="false">IF(CQ1055&gt;0,INDEX(Parameter!$H$5:$H$7,W1055)/INDEX(Parameter!$E$5:$E$7,W1055),IF(AND(BZ1055=0,N(IFERROR(VLOOKUP(BX1055,'Gebinde-Kategorie'!$A$5:$N$45,14,0),0))&gt;0),VLOOKUP(BX1055,'Gebinde-Kategorie'!$A$5:$N$45,14,0)*10+Parameter!$M$23,Parameter!$M$24))</f>
        <v>235</v>
      </c>
      <c r="CC1055" s="48" t="str">
        <f aca="false">IF(AND(Parameter!$B$19="Ja",E1055&lt;&gt;"",ISNUMBER(MATCH(E1055,Parameter!$I$35:$I$52,0))),VLOOKUP(E1055,Parameter!$I$35:$J$52,2,0),IFERROR(VLOOKUP(D1055,Parameter!$A$35:$C$64,2,0),"Nein"))</f>
        <v>Nein</v>
      </c>
      <c r="CD1055" s="52" t="n">
        <f aca="false">IF(BZ1055=0,0,IF(N(S1055)&gt;0,S1055,IFERROR(VLOOKUP(D1055,Parameter!$A$35:$C$64,3,0)+0,0)))</f>
        <v>0</v>
      </c>
      <c r="CE1055" s="48" t="str">
        <f aca="false">IF(AA1055&lt;&gt;"",AA1055,Z1055)</f>
        <v>-</v>
      </c>
      <c r="CF1055" s="48" t="str">
        <f aca="false">IF(OR(CE1055=1,CE1055=2,CE1055=3),IF(Parameter!$E$27="Ja","LIFT",IF(CE1055=1,"L1","L23")),IF(CE1055="Aussen","Aussen","-"))</f>
        <v>-</v>
      </c>
      <c r="CG1055" s="59" t="n">
        <f aca="false">IF(N(AB1055)&gt;0,AB1055,0)</f>
        <v>0</v>
      </c>
      <c r="CH1055" s="53" t="n">
        <f aca="false">IF(ISNUMBER(AE1055),1,0)</f>
        <v>0</v>
      </c>
      <c r="CI1055" s="50" t="n">
        <f aca="false">N(AE1055)</f>
        <v>0</v>
      </c>
      <c r="CJ1055" s="50" t="n">
        <f aca="false">N(M1055)+N(N1055)</f>
        <v>1</v>
      </c>
      <c r="CK1055" s="50" t="n">
        <f aca="false">N(M1055)</f>
        <v>0</v>
      </c>
      <c r="CL1055" s="50" t="n">
        <f aca="false">N(N1055)</f>
        <v>1</v>
      </c>
      <c r="CM1055" s="50" t="n">
        <f aca="false">ROUNDUP(H1055/BY1055,0)</f>
        <v>0</v>
      </c>
      <c r="CN1055" s="50" t="n">
        <f aca="false">ROUNDUP(CI1055/BY1055,0)</f>
        <v>0</v>
      </c>
      <c r="CO1055" s="53" t="n">
        <f aca="false">IF(BZ1055=1,0,IFERROR(VLOOKUP(BX1055,'Gebinde-Kategorie'!$A$5:$N$45,5,0)+0,0))</f>
        <v>20</v>
      </c>
      <c r="CP1055" s="53" t="n">
        <f aca="false">IFERROR(IF(OR(CE1055=1,CE1055=2,CE1055=3),N(INDEX(Parameter!$I$5:$I$7,CE1055)),0),0)</f>
        <v>0</v>
      </c>
      <c r="CQ1055" s="52" t="n">
        <f aca="false">IF(AND(Parameter!$B$21="Ja",ISNUMBER(W1055),N(X1055)&gt;0),IFERROR(N(INDEX(Parameter!$L$5:$L$7,W1055))*INDEX(Parameter!$E$5:$E$7,W1055)*X1055/SUMIFS($X$7:$X$1843,$W$7:$W$1843,W1055),0),0)</f>
        <v>0</v>
      </c>
    </row>
    <row r="1056" customFormat="false" ht="15" hidden="false" customHeight="false" outlineLevel="0" collapsed="false">
      <c r="A1056" s="48" t="s">
        <v>1940</v>
      </c>
      <c r="B1056" s="48" t="s">
        <v>1941</v>
      </c>
      <c r="C1056" s="48" t="s">
        <v>173</v>
      </c>
      <c r="D1056" s="48" t="s">
        <v>193</v>
      </c>
      <c r="E1056" s="48"/>
      <c r="F1056" s="48" t="s">
        <v>227</v>
      </c>
      <c r="G1056" s="49" t="n">
        <v>147.96</v>
      </c>
      <c r="H1056" s="50" t="n">
        <f aca="false">MAX(0,IF(AND(Parameter!$B$21="Ja",ISNUMBER(Y1056)),Y1056,IF(Parameter!$B$20="Jahresanfang 2025 + Export",BR1056+BQ1056,BQ1056)))</f>
        <v>4</v>
      </c>
      <c r="I1056" s="50" t="n">
        <f aca="false">H1056*G1056</f>
        <v>591.84</v>
      </c>
      <c r="J1056" s="50" t="n">
        <f aca="false">BT1056*Parameter!$B$18</f>
        <v>0</v>
      </c>
      <c r="K1056" s="51" t="n">
        <v>4.5</v>
      </c>
      <c r="L1056" s="52" t="n">
        <v>0</v>
      </c>
      <c r="M1056" s="50" t="n">
        <v>0</v>
      </c>
      <c r="N1056" s="50" t="n">
        <v>1</v>
      </c>
      <c r="O1056" s="53" t="n">
        <v>56</v>
      </c>
      <c r="P1056" s="48" t="s">
        <v>311</v>
      </c>
      <c r="Q1056" s="50" t="n">
        <v>5</v>
      </c>
      <c r="R1056" s="53" t="n">
        <f aca="false">IF(BZ1056=1,0,IFERROR(VLOOKUP(BX1056,'Gebinde-Kategorie'!$A$5:$N$45,13,0)+0,0))</f>
        <v>26</v>
      </c>
      <c r="S1056" s="54"/>
      <c r="T1056" s="55"/>
      <c r="U1056" s="55"/>
      <c r="V1056" s="55"/>
      <c r="W1056" s="48"/>
      <c r="X1056" s="50"/>
      <c r="Y1056" s="50"/>
      <c r="Z1056" s="48" t="n">
        <f aca="false">IF(A1056="","",IF(AND(Parameter!$B$21="Ja",ISNUMBER(W1056)),W1056,IF(CC1056="2+3",IF(ISNUMBER(SEARCH("grosser Artikel",BU1056)),2,IFERROR(VLOOKUP(BX1056,Parameter!$F$35:$G$64,2,0),2)),IF(OR(CC1056="Nein",CC1056=""),"-",CC1056))))</f>
        <v>3</v>
      </c>
      <c r="AA1056" s="55"/>
      <c r="AB1056" s="56"/>
      <c r="AC1056" s="50" t="n">
        <f aca="false">AV1056</f>
        <v>1</v>
      </c>
      <c r="AD1056" s="50" t="n">
        <f aca="false">MAX(AV1056,H1056)</f>
        <v>4</v>
      </c>
      <c r="AE1056" s="57"/>
      <c r="AF1056" s="50" t="n">
        <f aca="false">IF(LEFT(Cockpit!$C$5,1)="A",H1056,IF(Parameter!$E$30="MAX-Bestand",IF(CH1056=1,CI1056,IF(LEFT(Cockpit!$C$5,1)="B",AL1056,MAX(AL1056,H1056))),ROUNDUP(AJ1056,0)))</f>
        <v>4</v>
      </c>
      <c r="AG1056" s="50" t="n">
        <f aca="false">IF(BZ1056=1,0,ROUNDUP(AF1056/BY1056,0))</f>
        <v>1</v>
      </c>
      <c r="AH1056" s="52" t="n">
        <f aca="false">IF(CQ1056&gt;0,CQ1056*MAX(1,AF1056/X1056),IF(BZ1056=1,IF(AF1056&lt;=0,0,CD1056*MAX(1,IF(H1056&gt;0,AF1056/H1056,1))),IF(R1056&gt;0,AG1056/R1056,0))/MAX(0.1,N(Parameter!$M$21)))</f>
        <v>0.0384615384615385</v>
      </c>
      <c r="AI1056" s="50" t="n">
        <f aca="false">AH1056*CB1056</f>
        <v>5.96153846153846</v>
      </c>
      <c r="AJ1056" s="51" t="n">
        <f aca="false">IF(LEFT(Cockpit!$C$5,1)="A",H1056,IF(CH1056=1,(CK1056+CI1056)/2,IF(LEFT(Cockpit!$C$5,1)="B",(CK1056+AL1056)/2,MAX((CK1056+AL1056)/2,H1056))))</f>
        <v>4</v>
      </c>
      <c r="AK1056" s="50" t="n">
        <f aca="false">AJ1056*G1056</f>
        <v>591.84</v>
      </c>
      <c r="AL1056" s="50" t="n">
        <f aca="false">ROUNDUP(CK1056+MAX(CL1056,2*(J1056/IF(CG1056&gt;0,CG1056,MAX(0.1,N(Cockpit!$C$6)))-CK1056)),0)</f>
        <v>1</v>
      </c>
      <c r="AM1056" s="51" t="n">
        <f aca="false">IF(AI1056&gt;0,J1056/AI1056,-1)</f>
        <v>0</v>
      </c>
      <c r="AN1056" s="51" t="n">
        <f aca="false">IF(AND(OR(CF1056="L1",CF1056="L23",CF1056="LIFT"),AI1056&gt;0),SUMIFS($AI$7:$AI$1843,$CF$7:$CF$1843,CF1056,$AM$7:$AM$1843,"&gt;"&amp;AM1056)+SUMIFS($AI$7:$AI$1843,$CF$7:$CF$1843,CF1056,$AM$7:$AM$1843,AM1056,$BW$7:$BW$1843,"&lt;="&amp;BW1056),"")</f>
        <v>29094.221779868</v>
      </c>
      <c r="AO1056" s="58" t="n">
        <f aca="false">IF(AN1056="",0,MAX(0,MIN(1,(IF(CF1056="L1",Parameter!$H$5,IF(CF1056="L23",Parameter!$H$6+Parameter!$H$7,Parameter!$H$5+Parameter!$H$6+Parameter!$H$7))-(AN1056-AI1056))/AI1056)))</f>
        <v>1</v>
      </c>
      <c r="AP1056" s="50" t="n">
        <f aca="false">IF(LEFT(Cockpit!$I$5,1)="A",H1056,IF(Parameter!$E$30="MAX-Bestand",IF(CH1056=1,CI1056,IF(LEFT(Cockpit!$I$5,1)="B",AV1056,MAX(AV1056,H1056))),ROUNDUP(AT1056,0)))</f>
        <v>4</v>
      </c>
      <c r="AQ1056" s="50" t="n">
        <f aca="false">IF(BZ1056=1,0,ROUNDUP(AP1056/BY1056,0))</f>
        <v>1</v>
      </c>
      <c r="AR1056" s="52" t="n">
        <f aca="false">IF(CQ1056&gt;0,CQ1056*MAX(1,AP1056/X1056),IF(BZ1056=1,IF(AP1056&lt;=0,0,CD1056*MAX(1,IF(H1056&gt;0,AP1056/H1056,1))),IF(R1056&gt;0,AQ1056/R1056,0))/MAX(0.1,N(Parameter!$M$21)))</f>
        <v>0.0384615384615385</v>
      </c>
      <c r="AS1056" s="50" t="n">
        <f aca="false">AR1056*CB1056</f>
        <v>5.96153846153846</v>
      </c>
      <c r="AT1056" s="51" t="n">
        <f aca="false">IF(LEFT(Cockpit!$I$5,1)="A",H1056,IF(CH1056=1,(CK1056+CI1056)/2,IF(LEFT(Cockpit!$I$5,1)="B",(CK1056+AV1056)/2,MAX((CK1056+AV1056)/2,H1056))))</f>
        <v>4</v>
      </c>
      <c r="AU1056" s="50" t="n">
        <f aca="false">AT1056*G1056</f>
        <v>591.84</v>
      </c>
      <c r="AV1056" s="50" t="n">
        <f aca="false">ROUNDUP(CK1056+MAX(CL1056,2*(J1056/IF(CG1056&gt;0,CG1056,MAX(0.1,N(Cockpit!$I$6)))-CK1056)),0)</f>
        <v>1</v>
      </c>
      <c r="AW1056" s="51" t="n">
        <f aca="false">IF(AS1056&gt;0,J1056/AS1056,-1)</f>
        <v>0</v>
      </c>
      <c r="AX1056" s="51" t="n">
        <f aca="false">IF(AND(OR(CF1056="L1",CF1056="L23",CF1056="LIFT"),AS1056&gt;0),SUMIFS($AS$7:$AS$1843,$CF$7:$CF$1843,CF1056,$AW$7:$AW$1843,"&gt;"&amp;AW1056)+SUMIFS($AS$7:$AS$1843,$CF$7:$CF$1843,CF1056,$AW$7:$AW$1843,AW1056,$BW$7:$BW$1843,"&lt;="&amp;BW1056),"")</f>
        <v>34796.5938644689</v>
      </c>
      <c r="AY1056" s="58" t="n">
        <f aca="false">IF(AX1056="",0,MAX(0,MIN(1,(IF(CF1056="L1",Parameter!$H$5,IF(CF1056="L23",Parameter!$H$6+Parameter!$H$7,Parameter!$H$5+Parameter!$H$6+Parameter!$H$7))-(AX1056-AS1056))/AS1056)))</f>
        <v>1</v>
      </c>
      <c r="AZ1056" s="50" t="n">
        <f aca="false">IF(LEFT(Cockpit!$O$5,1)="A",H1056,IF(Parameter!$E$30="MAX-Bestand",IF(CH1056=1,CI1056,IF(LEFT(Cockpit!$O$5,1)="B",BF1056,MAX(BF1056,H1056))),ROUNDUP(BD1056,0)))</f>
        <v>1</v>
      </c>
      <c r="BA1056" s="50" t="n">
        <f aca="false">IF(BZ1056=1,0,ROUNDUP(AZ1056/BY1056,0))</f>
        <v>1</v>
      </c>
      <c r="BB1056" s="52" t="n">
        <f aca="false">IF(CQ1056&gt;0,CQ1056*MAX(1,AZ1056/X1056),IF(BZ1056=1,IF(AZ1056&lt;=0,0,CD1056*MAX(1,IF(H1056&gt;0,AZ1056/H1056,1))),IF(R1056&gt;0,BA1056/R1056,0))/MAX(0.1,N(Parameter!$M$21)))</f>
        <v>0.0384615384615385</v>
      </c>
      <c r="BC1056" s="50" t="n">
        <f aca="false">BB1056*CB1056</f>
        <v>5.96153846153846</v>
      </c>
      <c r="BD1056" s="51" t="n">
        <f aca="false">IF(LEFT(Cockpit!$O$5,1)="A",H1056,IF(CH1056=1,(CK1056+CI1056)/2,IF(LEFT(Cockpit!$O$5,1)="B",(CK1056+BF1056)/2,MAX((CK1056+BF1056)/2,H1056))))</f>
        <v>0.5</v>
      </c>
      <c r="BE1056" s="50" t="n">
        <f aca="false">BD1056*G1056</f>
        <v>73.98</v>
      </c>
      <c r="BF1056" s="50" t="n">
        <f aca="false">ROUNDUP(CK1056+MAX(CL1056,2*(J1056/IF(CG1056&gt;0,CG1056,MAX(0.1,N(Cockpit!$O$6)))-CK1056)),0)</f>
        <v>1</v>
      </c>
      <c r="BG1056" s="51" t="n">
        <f aca="false">IF(BC1056&gt;0,J1056/BC1056,-1)</f>
        <v>0</v>
      </c>
      <c r="BH1056" s="51" t="n">
        <f aca="false">IF(AND(OR(CF1056="L1",CF1056="L23",CF1056="LIFT"),BC1056&gt;0),SUMIFS($BC$7:$BC$1843,$CF$7:$CF$1843,CF1056,$BG$7:$BG$1843,"&gt;"&amp;BG1056)+SUMIFS($BC$7:$BC$1843,$CF$7:$CF$1843,CF1056,$BG$7:$BG$1843,BG1056,$BW$7:$BW$1843,"&lt;="&amp;BW1056),"")</f>
        <v>28781.9005246166</v>
      </c>
      <c r="BI1056" s="58" t="n">
        <f aca="false">IF(BH1056="",0,MAX(0,MIN(1,(IF(CF1056="L1",Parameter!$H$5,IF(CF1056="L23",Parameter!$H$6+Parameter!$H$7,Parameter!$H$5+Parameter!$H$6+Parameter!$H$7))-(BH1056-BC1056))/BC1056)))</f>
        <v>1</v>
      </c>
      <c r="BJ1056" s="48" t="str">
        <f aca="false">IF(AI1056&lt;=0,"",IF(CF1056="Aussen","Aussenlager",IF(CF1056="-","Nicht im Lift",IF(AO1056&gt;=1,"Lift",IF(AO1056&lt;=0,"Aussenlager","teilweise")))))</f>
        <v>Lift</v>
      </c>
      <c r="BK1056" s="48" t="str">
        <f aca="false">IF(AS1056&lt;=0,"",IF(CF1056="Aussen","Aussenlager",IF(CF1056="-","Nicht im Lift",IF(AY1056&gt;=1,"Lift",IF(AY1056&lt;=0,"Aussenlager","teilweise")))))</f>
        <v>Lift</v>
      </c>
      <c r="BL1056" s="48" t="str">
        <f aca="false">IF(BC1056&lt;=0,"",IF(CF1056="Aussen","Aussenlager",IF(CF1056="-","Nicht im Lift",IF(BI1056&gt;=1,"Lift",IF(BI1056&lt;=0,"Aussenlager","teilweise")))))</f>
        <v>Lift</v>
      </c>
      <c r="BM1056" s="48" t="str">
        <f aca="false">IF(A1056="","",IF(BV1056=1,"Neu; ","")&amp;IF(AND(BV1056=0,BQ1056&lt;0),"negativer Bestand (Export "&amp;BQ1056&amp;"); ","")&amp;IF(J1056&lt;=0,"Kein Verbrauch; ","")&amp;IF(CQ1056&gt;0,"Lift "&amp;W1056&amp;" lt. Liftbericht (Fach "&amp;X1056&amp;" Stk); ",IF(CA1056=1,"Gebinde geschätzt ("&amp;T1056&amp;"); ",IF(BZ1056=1,"Lose – Tablare geschätzt; ","")))&amp;IF(H1056&gt;AV1056,"Überbestand "&amp;ROUND(H1056-AV1056,0)&amp;" Stk / CHF "&amp;ROUND((H1056-AV1056)*G1056,0)&amp;"; ","")&amp;IF(AND(CH1056=1,CI1056&lt;CJ1056),"MAX &lt; MB+LG; ","")&amp;IF(AND(CP1056&gt;0,CO1056*10&gt;CP1056),"zu hoch für Tablar; ","")&amp;IF(AND(BV1056=0,OR(CH1056=1,AA1056&lt;&gt;"",U1056&lt;&gt;"",V1056&lt;&gt;"",AB1056&lt;&gt;"")),"manuell übersteuert; ","")&amp;IF(AND(BZ1056=0,R1056=0),"Gebinde unbekannt / Stellmass fehlt; ","")&amp;IF(AND(BZ1056=0,N(V1056)&lt;=0,N(Q1056)&lt;=0),"Menge pro Gebinde fehlt (Ist = 1 Gebinde); ","")&amp;BU1056)</f>
        <v>negativer Bestand (Export -1); Kein Verbrauch; Überbestand 3 Stk / CHF 444; </v>
      </c>
      <c r="BN1056" s="48"/>
      <c r="BO1056" s="48"/>
      <c r="BP1056" s="55"/>
      <c r="BQ1056" s="50" t="n">
        <v>-1</v>
      </c>
      <c r="BR1056" s="50" t="n">
        <v>5</v>
      </c>
      <c r="BS1056" s="49" t="n">
        <v>-147.96</v>
      </c>
      <c r="BT1056" s="50" t="n">
        <v>0</v>
      </c>
      <c r="BU1056" s="48"/>
      <c r="BV1056" s="53" t="n">
        <v>0</v>
      </c>
      <c r="BW1056" s="53" t="n">
        <v>1056</v>
      </c>
      <c r="BX1056" s="48" t="str">
        <f aca="false">IF(U1056&lt;&gt;"",UPPER(TRIM(U1056)),IF(CA1056=1,UPPER(VLOOKUP(T1056,Parameter!$I$27:$K$29,2,0)),IF(P1056="","LOSE",P1056)))</f>
        <v>S51</v>
      </c>
      <c r="BY1056" s="50" t="n">
        <f aca="false">IF(BX1056="LOSE",1,IF(N(V1056)&gt;0,V1056,IF(CA1056=1,MAX(1,N(VLOOKUP(T1056,Parameter!$I$27:$K$29,3,0)),H1056,N(N1056)),IF(N(Q1056)&gt;0,Q1056,MAX(1,H1056)))))</f>
        <v>5</v>
      </c>
      <c r="BZ1056" s="53" t="n">
        <f aca="false">IF(BX1056="LOSE",1,0)</f>
        <v>0</v>
      </c>
      <c r="CA1056" s="53" t="n">
        <f aca="false">IF(AND(U1056="",OR(P1056="",P1056="LOSE"),T1056&lt;&gt;"",N(S1056)&lt;=0,ISNUMBER(MATCH(T1056,Parameter!$I$27:$I$29,0))),1,0)</f>
        <v>0</v>
      </c>
      <c r="CB1056" s="53" t="n">
        <f aca="false">IF(CQ1056&gt;0,INDEX(Parameter!$H$5:$H$7,W1056)/INDEX(Parameter!$E$5:$E$7,W1056),IF(AND(BZ1056=0,N(IFERROR(VLOOKUP(BX1056,'Gebinde-Kategorie'!$A$5:$N$45,14,0),0))&gt;0),VLOOKUP(BX1056,'Gebinde-Kategorie'!$A$5:$N$45,14,0)*10+Parameter!$M$23,Parameter!$M$24))</f>
        <v>155</v>
      </c>
      <c r="CC1056" s="48" t="str">
        <f aca="false">IF(AND(Parameter!$B$19="Ja",E1056&lt;&gt;"",ISNUMBER(MATCH(E1056,Parameter!$I$35:$I$52,0))),VLOOKUP(E1056,Parameter!$I$35:$J$52,2,0),IFERROR(VLOOKUP(D1056,Parameter!$A$35:$C$64,2,0),"Nein"))</f>
        <v>2+3</v>
      </c>
      <c r="CD1056" s="52" t="n">
        <f aca="false">IF(BZ1056=0,0,IF(N(S1056)&gt;0,S1056,IFERROR(VLOOKUP(D1056,Parameter!$A$35:$C$64,3,0)+0,0)))</f>
        <v>0</v>
      </c>
      <c r="CE1056" s="48" t="n">
        <f aca="false">IF(AA1056&lt;&gt;"",AA1056,Z1056)</f>
        <v>3</v>
      </c>
      <c r="CF1056" s="48" t="str">
        <f aca="false">IF(OR(CE1056=1,CE1056=2,CE1056=3),IF(Parameter!$E$27="Ja","LIFT",IF(CE1056=1,"L1","L23")),IF(CE1056="Aussen","Aussen","-"))</f>
        <v>LIFT</v>
      </c>
      <c r="CG1056" s="59" t="n">
        <f aca="false">IF(N(AB1056)&gt;0,AB1056,0)</f>
        <v>0</v>
      </c>
      <c r="CH1056" s="53" t="n">
        <f aca="false">IF(ISNUMBER(AE1056),1,0)</f>
        <v>0</v>
      </c>
      <c r="CI1056" s="50" t="n">
        <f aca="false">N(AE1056)</f>
        <v>0</v>
      </c>
      <c r="CJ1056" s="50" t="n">
        <f aca="false">N(M1056)+N(N1056)</f>
        <v>1</v>
      </c>
      <c r="CK1056" s="50" t="n">
        <f aca="false">N(M1056)</f>
        <v>0</v>
      </c>
      <c r="CL1056" s="50" t="n">
        <f aca="false">N(N1056)</f>
        <v>1</v>
      </c>
      <c r="CM1056" s="50" t="n">
        <f aca="false">ROUNDUP(H1056/BY1056,0)</f>
        <v>1</v>
      </c>
      <c r="CN1056" s="50" t="n">
        <f aca="false">ROUNDUP(CI1056/BY1056,0)</f>
        <v>0</v>
      </c>
      <c r="CO1056" s="53" t="n">
        <f aca="false">IF(BZ1056=1,0,IFERROR(VLOOKUP(BX1056,'Gebinde-Kategorie'!$A$5:$N$45,5,0)+0,0))</f>
        <v>11</v>
      </c>
      <c r="CP1056" s="53" t="n">
        <f aca="false">IFERROR(IF(OR(CE1056=1,CE1056=2,CE1056=3),N(INDEX(Parameter!$I$5:$I$7,CE1056)),0),0)</f>
        <v>0</v>
      </c>
      <c r="CQ1056" s="52" t="n">
        <f aca="false">IF(AND(Parameter!$B$21="Ja",ISNUMBER(W1056),N(X1056)&gt;0),IFERROR(N(INDEX(Parameter!$L$5:$L$7,W1056))*INDEX(Parameter!$E$5:$E$7,W1056)*X1056/SUMIFS($X$7:$X$1843,$W$7:$W$1843,W1056),0),0)</f>
        <v>0</v>
      </c>
    </row>
    <row r="1057" customFormat="false" ht="15" hidden="false" customHeight="false" outlineLevel="0" collapsed="false">
      <c r="A1057" s="48" t="s">
        <v>1942</v>
      </c>
      <c r="B1057" s="48" t="s">
        <v>726</v>
      </c>
      <c r="C1057" s="48" t="s">
        <v>173</v>
      </c>
      <c r="D1057" s="48" t="s">
        <v>182</v>
      </c>
      <c r="E1057" s="48" t="s">
        <v>175</v>
      </c>
      <c r="F1057" s="48" t="s">
        <v>227</v>
      </c>
      <c r="G1057" s="49" t="n">
        <v>75</v>
      </c>
      <c r="H1057" s="50" t="n">
        <f aca="false">MAX(0,IF(AND(Parameter!$B$21="Ja",ISNUMBER(Y1057)),Y1057,IF(Parameter!$B$20="Jahresanfang 2025 + Export",BR1057+BQ1057,BQ1057)))</f>
        <v>4</v>
      </c>
      <c r="I1057" s="50" t="n">
        <f aca="false">H1057*G1057</f>
        <v>300</v>
      </c>
      <c r="J1057" s="50" t="n">
        <f aca="false">BT1057*Parameter!$B$18</f>
        <v>27</v>
      </c>
      <c r="K1057" s="51" t="n">
        <v>12.5</v>
      </c>
      <c r="L1057" s="52" t="n">
        <v>2.16</v>
      </c>
      <c r="M1057" s="50" t="n">
        <v>1</v>
      </c>
      <c r="N1057" s="50" t="n">
        <v>25</v>
      </c>
      <c r="O1057" s="53" t="n">
        <v>21</v>
      </c>
      <c r="P1057" s="48" t="s">
        <v>195</v>
      </c>
      <c r="Q1057" s="50" t="n">
        <v>25</v>
      </c>
      <c r="R1057" s="53" t="n">
        <f aca="false">IF(BZ1057=1,0,IFERROR(VLOOKUP(BX1057,'Gebinde-Kategorie'!$A$5:$N$45,13,0)+0,0))</f>
        <v>12</v>
      </c>
      <c r="S1057" s="54"/>
      <c r="T1057" s="55"/>
      <c r="U1057" s="55"/>
      <c r="V1057" s="55"/>
      <c r="W1057" s="48"/>
      <c r="X1057" s="50"/>
      <c r="Y1057" s="50"/>
      <c r="Z1057" s="48" t="n">
        <f aca="false">IF(A1057="","",IF(AND(Parameter!$B$21="Ja",ISNUMBER(W1057)),W1057,IF(CC1057="2+3",IF(ISNUMBER(SEARCH("grosser Artikel",BU1057)),2,IFERROR(VLOOKUP(BX1057,Parameter!$F$35:$G$64,2,0),2)),IF(OR(CC1057="Nein",CC1057=""),"-",CC1057))))</f>
        <v>1</v>
      </c>
      <c r="AA1057" s="55"/>
      <c r="AB1057" s="56"/>
      <c r="AC1057" s="50" t="n">
        <f aca="false">AV1057</f>
        <v>26</v>
      </c>
      <c r="AD1057" s="50" t="n">
        <f aca="false">MAX(AV1057,H1057)</f>
        <v>26</v>
      </c>
      <c r="AE1057" s="57"/>
      <c r="AF1057" s="50" t="n">
        <f aca="false">IF(LEFT(Cockpit!$C$5,1)="A",H1057,IF(Parameter!$E$30="MAX-Bestand",IF(CH1057=1,CI1057,IF(LEFT(Cockpit!$C$5,1)="B",AL1057,MAX(AL1057,H1057))),ROUNDUP(AJ1057,0)))</f>
        <v>4</v>
      </c>
      <c r="AG1057" s="50" t="n">
        <f aca="false">IF(BZ1057=1,0,ROUNDUP(AF1057/BY1057,0))</f>
        <v>1</v>
      </c>
      <c r="AH1057" s="52" t="n">
        <f aca="false">IF(CQ1057&gt;0,CQ1057*MAX(1,AF1057/X1057),IF(BZ1057=1,IF(AF1057&lt;=0,0,CD1057*MAX(1,IF(H1057&gt;0,AF1057/H1057,1))),IF(R1057&gt;0,AG1057/R1057,0))/MAX(0.1,N(Parameter!$M$21)))</f>
        <v>0.0833333333333333</v>
      </c>
      <c r="AI1057" s="50" t="n">
        <f aca="false">AH1057*CB1057</f>
        <v>12.0833333333333</v>
      </c>
      <c r="AJ1057" s="51" t="n">
        <f aca="false">IF(LEFT(Cockpit!$C$5,1)="A",H1057,IF(CH1057=1,(CK1057+CI1057)/2,IF(LEFT(Cockpit!$C$5,1)="B",(CK1057+AL1057)/2,MAX((CK1057+AL1057)/2,H1057))))</f>
        <v>4</v>
      </c>
      <c r="AK1057" s="50" t="n">
        <f aca="false">AJ1057*G1057</f>
        <v>300</v>
      </c>
      <c r="AL1057" s="50" t="n">
        <f aca="false">ROUNDUP(CK1057+MAX(CL1057,2*(J1057/IF(CG1057&gt;0,CG1057,MAX(0.1,N(Cockpit!$C$6)))-CK1057)),0)</f>
        <v>26</v>
      </c>
      <c r="AM1057" s="51" t="n">
        <f aca="false">IF(AI1057&gt;0,J1057/AI1057,-1)</f>
        <v>2.23448275862069</v>
      </c>
      <c r="AN1057" s="51" t="n">
        <f aca="false">IF(AND(OR(CF1057="L1",CF1057="L23",CF1057="LIFT"),AI1057&gt;0),SUMIFS($AI$7:$AI$1843,$CF$7:$CF$1843,CF1057,$AM$7:$AM$1843,"&gt;"&amp;AM1057)+SUMIFS($AI$7:$AI$1843,$CF$7:$CF$1843,CF1057,$AM$7:$AM$1843,AM1057,$BW$7:$BW$1843,"&lt;="&amp;BW1057),"")</f>
        <v>5694.39148351648</v>
      </c>
      <c r="AO1057" s="58" t="n">
        <f aca="false">IF(AN1057="",0,MAX(0,MIN(1,(IF(CF1057="L1",Parameter!$H$5,IF(CF1057="L23",Parameter!$H$6+Parameter!$H$7,Parameter!$H$5+Parameter!$H$6+Parameter!$H$7))-(AN1057-AI1057))/AI1057)))</f>
        <v>1</v>
      </c>
      <c r="AP1057" s="50" t="n">
        <f aca="false">IF(LEFT(Cockpit!$I$5,1)="A",H1057,IF(Parameter!$E$30="MAX-Bestand",IF(CH1057=1,CI1057,IF(LEFT(Cockpit!$I$5,1)="B",AV1057,MAX(AV1057,H1057))),ROUNDUP(AT1057,0)))</f>
        <v>14</v>
      </c>
      <c r="AQ1057" s="50" t="n">
        <f aca="false">IF(BZ1057=1,0,ROUNDUP(AP1057/BY1057,0))</f>
        <v>1</v>
      </c>
      <c r="AR1057" s="52" t="n">
        <f aca="false">IF(CQ1057&gt;0,CQ1057*MAX(1,AP1057/X1057),IF(BZ1057=1,IF(AP1057&lt;=0,0,CD1057*MAX(1,IF(H1057&gt;0,AP1057/H1057,1))),IF(R1057&gt;0,AQ1057/R1057,0))/MAX(0.1,N(Parameter!$M$21)))</f>
        <v>0.0833333333333333</v>
      </c>
      <c r="AS1057" s="50" t="n">
        <f aca="false">AR1057*CB1057</f>
        <v>12.0833333333333</v>
      </c>
      <c r="AT1057" s="51" t="n">
        <f aca="false">IF(LEFT(Cockpit!$I$5,1)="A",H1057,IF(CH1057=1,(CK1057+CI1057)/2,IF(LEFT(Cockpit!$I$5,1)="B",(CK1057+AV1057)/2,MAX((CK1057+AV1057)/2,H1057))))</f>
        <v>13.5</v>
      </c>
      <c r="AU1057" s="50" t="n">
        <f aca="false">AT1057*G1057</f>
        <v>1012.5</v>
      </c>
      <c r="AV1057" s="50" t="n">
        <f aca="false">ROUNDUP(CK1057+MAX(CL1057,2*(J1057/IF(CG1057&gt;0,CG1057,MAX(0.1,N(Cockpit!$I$6)))-CK1057)),0)</f>
        <v>26</v>
      </c>
      <c r="AW1057" s="51" t="n">
        <f aca="false">IF(AS1057&gt;0,J1057/AS1057,-1)</f>
        <v>2.23448275862069</v>
      </c>
      <c r="AX1057" s="51" t="n">
        <f aca="false">IF(AND(OR(CF1057="L1",CF1057="L23",CF1057="LIFT"),AS1057&gt;0),SUMIFS($AS$7:$AS$1843,$CF$7:$CF$1843,CF1057,$AW$7:$AW$1843,"&gt;"&amp;AW1057)+SUMIFS($AS$7:$AS$1843,$CF$7:$CF$1843,CF1057,$AW$7:$AW$1843,AW1057,$BW$7:$BW$1843,"&lt;="&amp;BW1057),"")</f>
        <v>6598.45283882784</v>
      </c>
      <c r="AY1057" s="58" t="n">
        <f aca="false">IF(AX1057="",0,MAX(0,MIN(1,(IF(CF1057="L1",Parameter!$H$5,IF(CF1057="L23",Parameter!$H$6+Parameter!$H$7,Parameter!$H$5+Parameter!$H$6+Parameter!$H$7))-(AX1057-AS1057))/AS1057)))</f>
        <v>1</v>
      </c>
      <c r="AZ1057" s="50" t="n">
        <f aca="false">IF(LEFT(Cockpit!$O$5,1)="A",H1057,IF(Parameter!$E$30="MAX-Bestand",IF(CH1057=1,CI1057,IF(LEFT(Cockpit!$O$5,1)="B",BF1057,MAX(BF1057,H1057))),ROUNDUP(BD1057,0)))</f>
        <v>14</v>
      </c>
      <c r="BA1057" s="50" t="n">
        <f aca="false">IF(BZ1057=1,0,ROUNDUP(AZ1057/BY1057,0))</f>
        <v>1</v>
      </c>
      <c r="BB1057" s="52" t="n">
        <f aca="false">IF(CQ1057&gt;0,CQ1057*MAX(1,AZ1057/X1057),IF(BZ1057=1,IF(AZ1057&lt;=0,0,CD1057*MAX(1,IF(H1057&gt;0,AZ1057/H1057,1))),IF(R1057&gt;0,BA1057/R1057,0))/MAX(0.1,N(Parameter!$M$21)))</f>
        <v>0.0833333333333333</v>
      </c>
      <c r="BC1057" s="50" t="n">
        <f aca="false">BB1057*CB1057</f>
        <v>12.0833333333333</v>
      </c>
      <c r="BD1057" s="51" t="n">
        <f aca="false">IF(LEFT(Cockpit!$O$5,1)="A",H1057,IF(CH1057=1,(CK1057+CI1057)/2,IF(LEFT(Cockpit!$O$5,1)="B",(CK1057+BF1057)/2,MAX((CK1057+BF1057)/2,H1057))))</f>
        <v>13.5</v>
      </c>
      <c r="BE1057" s="50" t="n">
        <f aca="false">BD1057*G1057</f>
        <v>1012.5</v>
      </c>
      <c r="BF1057" s="50" t="n">
        <f aca="false">ROUNDUP(CK1057+MAX(CL1057,2*(J1057/IF(CG1057&gt;0,CG1057,MAX(0.1,N(Cockpit!$O$6)))-CK1057)),0)</f>
        <v>26</v>
      </c>
      <c r="BG1057" s="51" t="n">
        <f aca="false">IF(BC1057&gt;0,J1057/BC1057,-1)</f>
        <v>2.23448275862069</v>
      </c>
      <c r="BH1057" s="51" t="n">
        <f aca="false">IF(AND(OR(CF1057="L1",CF1057="L23",CF1057="LIFT"),BC1057&gt;0),SUMIFS($BC$7:$BC$1843,$CF$7:$CF$1843,CF1057,$BG$7:$BG$1843,"&gt;"&amp;BG1057)+SUMIFS($BC$7:$BC$1843,$CF$7:$CF$1843,CF1057,$BG$7:$BG$1843,BG1057,$BW$7:$BW$1843,"&lt;="&amp;BW1057),"")</f>
        <v>5670.65384615385</v>
      </c>
      <c r="BI1057" s="58" t="n">
        <f aca="false">IF(BH1057="",0,MAX(0,MIN(1,(IF(CF1057="L1",Parameter!$H$5,IF(CF1057="L23",Parameter!$H$6+Parameter!$H$7,Parameter!$H$5+Parameter!$H$6+Parameter!$H$7))-(BH1057-BC1057))/BC1057)))</f>
        <v>1</v>
      </c>
      <c r="BJ1057" s="48" t="str">
        <f aca="false">IF(AI1057&lt;=0,"",IF(CF1057="Aussen","Aussenlager",IF(CF1057="-","Nicht im Lift",IF(AO1057&gt;=1,"Lift",IF(AO1057&lt;=0,"Aussenlager","teilweise")))))</f>
        <v>Lift</v>
      </c>
      <c r="BK1057" s="48" t="str">
        <f aca="false">IF(AS1057&lt;=0,"",IF(CF1057="Aussen","Aussenlager",IF(CF1057="-","Nicht im Lift",IF(AY1057&gt;=1,"Lift",IF(AY1057&lt;=0,"Aussenlager","teilweise")))))</f>
        <v>Lift</v>
      </c>
      <c r="BL1057" s="48" t="str">
        <f aca="false">IF(BC1057&lt;=0,"",IF(CF1057="Aussen","Aussenlager",IF(CF1057="-","Nicht im Lift",IF(BI1057&gt;=1,"Lift",IF(BI1057&lt;=0,"Aussenlager","teilweise")))))</f>
        <v>Lift</v>
      </c>
      <c r="BM1057" s="48" t="str">
        <f aca="false">IF(A1057="","",IF(BV1057=1,"Neu; ","")&amp;IF(AND(BV1057=0,BQ1057&lt;0),"negativer Bestand (Export "&amp;BQ1057&amp;"); ","")&amp;IF(J1057&lt;=0,"Kein Verbrauch; ","")&amp;IF(CQ1057&gt;0,"Lift "&amp;W1057&amp;" lt. Liftbericht (Fach "&amp;X1057&amp;" Stk); ",IF(CA1057=1,"Gebinde geschätzt ("&amp;T1057&amp;"); ",IF(BZ1057=1,"Lose – Tablare geschätzt; ","")))&amp;IF(H1057&gt;AV1057,"Überbestand "&amp;ROUND(H1057-AV1057,0)&amp;" Stk / CHF "&amp;ROUND((H1057-AV1057)*G1057,0)&amp;"; ","")&amp;IF(AND(CH1057=1,CI1057&lt;CJ1057),"MAX &lt; MB+LG; ","")&amp;IF(AND(CP1057&gt;0,CO1057*10&gt;CP1057),"zu hoch für Tablar; ","")&amp;IF(AND(BV1057=0,OR(CH1057=1,AA1057&lt;&gt;"",U1057&lt;&gt;"",V1057&lt;&gt;"",AB1057&lt;&gt;"")),"manuell übersteuert; ","")&amp;IF(AND(BZ1057=0,R1057=0),"Gebinde unbekannt / Stellmass fehlt; ","")&amp;IF(AND(BZ1057=0,N(V1057)&lt;=0,N(Q1057)&lt;=0),"Menge pro Gebinde fehlt (Ist = 1 Gebinde); ","")&amp;BU1057)</f>
        <v>negativer Bestand (Export -2); </v>
      </c>
      <c r="BN1057" s="48"/>
      <c r="BO1057" s="48"/>
      <c r="BP1057" s="55"/>
      <c r="BQ1057" s="50" t="n">
        <v>-2</v>
      </c>
      <c r="BR1057" s="50" t="n">
        <v>6</v>
      </c>
      <c r="BS1057" s="49" t="n">
        <v>-148.26</v>
      </c>
      <c r="BT1057" s="50" t="n">
        <v>27</v>
      </c>
      <c r="BU1057" s="48"/>
      <c r="BV1057" s="53" t="n">
        <v>0</v>
      </c>
      <c r="BW1057" s="53" t="n">
        <v>1057</v>
      </c>
      <c r="BX1057" s="48" t="str">
        <f aca="false">IF(U1057&lt;&gt;"",UPPER(TRIM(U1057)),IF(CA1057=1,UPPER(VLOOKUP(T1057,Parameter!$I$27:$K$29,2,0)),IF(P1057="","LOSE",P1057)))</f>
        <v>S61</v>
      </c>
      <c r="BY1057" s="50" t="n">
        <f aca="false">IF(BX1057="LOSE",1,IF(N(V1057)&gt;0,V1057,IF(CA1057=1,MAX(1,N(VLOOKUP(T1057,Parameter!$I$27:$K$29,3,0)),H1057,N(N1057)),IF(N(Q1057)&gt;0,Q1057,MAX(1,H1057)))))</f>
        <v>25</v>
      </c>
      <c r="BZ1057" s="53" t="n">
        <f aca="false">IF(BX1057="LOSE",1,0)</f>
        <v>0</v>
      </c>
      <c r="CA1057" s="53" t="n">
        <f aca="false">IF(AND(U1057="",OR(P1057="",P1057="LOSE"),T1057&lt;&gt;"",N(S1057)&lt;=0,ISNUMBER(MATCH(T1057,Parameter!$I$27:$I$29,0))),1,0)</f>
        <v>0</v>
      </c>
      <c r="CB1057" s="53" t="n">
        <f aca="false">IF(CQ1057&gt;0,INDEX(Parameter!$H$5:$H$7,W1057)/INDEX(Parameter!$E$5:$E$7,W1057),IF(AND(BZ1057=0,N(IFERROR(VLOOKUP(BX1057,'Gebinde-Kategorie'!$A$5:$N$45,14,0),0))&gt;0),VLOOKUP(BX1057,'Gebinde-Kategorie'!$A$5:$N$45,14,0)*10+Parameter!$M$23,Parameter!$M$24))</f>
        <v>145</v>
      </c>
      <c r="CC1057" s="48" t="n">
        <f aca="false">IF(AND(Parameter!$B$19="Ja",E1057&lt;&gt;"",ISNUMBER(MATCH(E1057,Parameter!$I$35:$I$52,0))),VLOOKUP(E1057,Parameter!$I$35:$J$52,2,0),IFERROR(VLOOKUP(D1057,Parameter!$A$35:$C$64,2,0),"Nein"))</f>
        <v>1</v>
      </c>
      <c r="CD1057" s="52" t="n">
        <f aca="false">IF(BZ1057=0,0,IF(N(S1057)&gt;0,S1057,IFERROR(VLOOKUP(D1057,Parameter!$A$35:$C$64,3,0)+0,0)))</f>
        <v>0</v>
      </c>
      <c r="CE1057" s="48" t="n">
        <f aca="false">IF(AA1057&lt;&gt;"",AA1057,Z1057)</f>
        <v>1</v>
      </c>
      <c r="CF1057" s="48" t="str">
        <f aca="false">IF(OR(CE1057=1,CE1057=2,CE1057=3),IF(Parameter!$E$27="Ja","LIFT",IF(CE1057=1,"L1","L23")),IF(CE1057="Aussen","Aussen","-"))</f>
        <v>LIFT</v>
      </c>
      <c r="CG1057" s="59" t="n">
        <f aca="false">IF(N(AB1057)&gt;0,AB1057,0)</f>
        <v>0</v>
      </c>
      <c r="CH1057" s="53" t="n">
        <f aca="false">IF(ISNUMBER(AE1057),1,0)</f>
        <v>0</v>
      </c>
      <c r="CI1057" s="50" t="n">
        <f aca="false">N(AE1057)</f>
        <v>0</v>
      </c>
      <c r="CJ1057" s="50" t="n">
        <f aca="false">N(M1057)+N(N1057)</f>
        <v>26</v>
      </c>
      <c r="CK1057" s="50" t="n">
        <f aca="false">N(M1057)</f>
        <v>1</v>
      </c>
      <c r="CL1057" s="50" t="n">
        <f aca="false">N(N1057)</f>
        <v>25</v>
      </c>
      <c r="CM1057" s="50" t="n">
        <f aca="false">ROUNDUP(H1057/BY1057,0)</f>
        <v>1</v>
      </c>
      <c r="CN1057" s="50" t="n">
        <f aca="false">ROUNDUP(CI1057/BY1057,0)</f>
        <v>0</v>
      </c>
      <c r="CO1057" s="53" t="n">
        <f aca="false">IF(BZ1057=1,0,IFERROR(VLOOKUP(BX1057,'Gebinde-Kategorie'!$A$5:$N$45,5,0)+0,0))</f>
        <v>11</v>
      </c>
      <c r="CP1057" s="53" t="n">
        <f aca="false">IFERROR(IF(OR(CE1057=1,CE1057=2,CE1057=3),N(INDEX(Parameter!$I$5:$I$7,CE1057)),0),0)</f>
        <v>0</v>
      </c>
      <c r="CQ1057" s="52" t="n">
        <f aca="false">IF(AND(Parameter!$B$21="Ja",ISNUMBER(W1057),N(X1057)&gt;0),IFERROR(N(INDEX(Parameter!$L$5:$L$7,W1057))*INDEX(Parameter!$E$5:$E$7,W1057)*X1057/SUMIFS($X$7:$X$1843,$W$7:$W$1843,W1057),0),0)</f>
        <v>0</v>
      </c>
    </row>
    <row r="1058" customFormat="false" ht="15" hidden="false" customHeight="false" outlineLevel="0" collapsed="false">
      <c r="A1058" s="48" t="s">
        <v>1943</v>
      </c>
      <c r="B1058" s="48" t="s">
        <v>1944</v>
      </c>
      <c r="C1058" s="48" t="s">
        <v>173</v>
      </c>
      <c r="D1058" s="48" t="s">
        <v>193</v>
      </c>
      <c r="E1058" s="48" t="s">
        <v>194</v>
      </c>
      <c r="F1058" s="48" t="s">
        <v>227</v>
      </c>
      <c r="G1058" s="49" t="n">
        <v>4.52</v>
      </c>
      <c r="H1058" s="50" t="n">
        <f aca="false">MAX(0,IF(AND(Parameter!$B$21="Ja",ISNUMBER(Y1058)),Y1058,IF(Parameter!$B$20="Jahresanfang 2025 + Export",BR1058+BQ1058,BQ1058)))</f>
        <v>42</v>
      </c>
      <c r="I1058" s="50" t="n">
        <f aca="false">H1058*G1058</f>
        <v>189.84</v>
      </c>
      <c r="J1058" s="50" t="n">
        <f aca="false">BT1058*Parameter!$B$18</f>
        <v>93</v>
      </c>
      <c r="K1058" s="51" t="n">
        <v>82.5</v>
      </c>
      <c r="L1058" s="52" t="n">
        <v>1.12727272727273</v>
      </c>
      <c r="M1058" s="50" t="n">
        <v>7</v>
      </c>
      <c r="N1058" s="50" t="n">
        <v>95</v>
      </c>
      <c r="O1058" s="53" t="n">
        <v>28</v>
      </c>
      <c r="P1058" s="48" t="s">
        <v>410</v>
      </c>
      <c r="Q1058" s="50" t="n">
        <v>55</v>
      </c>
      <c r="R1058" s="53" t="n">
        <f aca="false">IF(BZ1058=1,0,IFERROR(VLOOKUP(BX1058,'Gebinde-Kategorie'!$A$5:$N$45,13,0)+0,0))</f>
        <v>280</v>
      </c>
      <c r="S1058" s="54"/>
      <c r="T1058" s="55"/>
      <c r="U1058" s="55"/>
      <c r="V1058" s="55"/>
      <c r="W1058" s="48"/>
      <c r="X1058" s="50"/>
      <c r="Y1058" s="50"/>
      <c r="Z1058" s="48" t="n">
        <f aca="false">IF(A1058="","",IF(AND(Parameter!$B$21="Ja",ISNUMBER(W1058)),W1058,IF(CC1058="2+3",IF(ISNUMBER(SEARCH("grosser Artikel",BU1058)),2,IFERROR(VLOOKUP(BX1058,Parameter!$F$35:$G$64,2,0),2)),IF(OR(CC1058="Nein",CC1058=""),"-",CC1058))))</f>
        <v>3</v>
      </c>
      <c r="AA1058" s="55"/>
      <c r="AB1058" s="56"/>
      <c r="AC1058" s="50" t="n">
        <f aca="false">AV1058</f>
        <v>102</v>
      </c>
      <c r="AD1058" s="50" t="n">
        <f aca="false">MAX(AV1058,H1058)</f>
        <v>102</v>
      </c>
      <c r="AE1058" s="57"/>
      <c r="AF1058" s="50" t="n">
        <f aca="false">IF(LEFT(Cockpit!$C$5,1)="A",H1058,IF(Parameter!$E$30="MAX-Bestand",IF(CH1058=1,CI1058,IF(LEFT(Cockpit!$C$5,1)="B",AL1058,MAX(AL1058,H1058))),ROUNDUP(AJ1058,0)))</f>
        <v>42</v>
      </c>
      <c r="AG1058" s="50" t="n">
        <f aca="false">IF(BZ1058=1,0,ROUNDUP(AF1058/BY1058,0))</f>
        <v>1</v>
      </c>
      <c r="AH1058" s="52" t="n">
        <f aca="false">IF(CQ1058&gt;0,CQ1058*MAX(1,AF1058/X1058),IF(BZ1058=1,IF(AF1058&lt;=0,0,CD1058*MAX(1,IF(H1058&gt;0,AF1058/H1058,1))),IF(R1058&gt;0,AG1058/R1058,0))/MAX(0.1,N(Parameter!$M$21)))</f>
        <v>0.00357142857142857</v>
      </c>
      <c r="AI1058" s="50" t="n">
        <f aca="false">AH1058*CB1058</f>
        <v>0.553571428571429</v>
      </c>
      <c r="AJ1058" s="51" t="n">
        <f aca="false">IF(LEFT(Cockpit!$C$5,1)="A",H1058,IF(CH1058=1,(CK1058+CI1058)/2,IF(LEFT(Cockpit!$C$5,1)="B",(CK1058+AL1058)/2,MAX((CK1058+AL1058)/2,H1058))))</f>
        <v>42</v>
      </c>
      <c r="AK1058" s="50" t="n">
        <f aca="false">AJ1058*G1058</f>
        <v>189.84</v>
      </c>
      <c r="AL1058" s="50" t="n">
        <f aca="false">ROUNDUP(CK1058+MAX(CL1058,2*(J1058/IF(CG1058&gt;0,CG1058,MAX(0.1,N(Cockpit!$C$6)))-CK1058)),0)</f>
        <v>102</v>
      </c>
      <c r="AM1058" s="51" t="n">
        <f aca="false">IF(AI1058&gt;0,J1058/AI1058,-1)</f>
        <v>168</v>
      </c>
      <c r="AN1058" s="51" t="n">
        <f aca="false">IF(AND(OR(CF1058="L1",CF1058="L23",CF1058="LIFT"),AI1058&gt;0),SUMIFS($AI$7:$AI$1843,$CF$7:$CF$1843,CF1058,$AM$7:$AM$1843,"&gt;"&amp;AM1058)+SUMIFS($AI$7:$AI$1843,$CF$7:$CF$1843,CF1058,$AM$7:$AM$1843,AM1058,$BW$7:$BW$1843,"&lt;="&amp;BW1058),"")</f>
        <v>408.385073260073</v>
      </c>
      <c r="AO1058" s="58" t="n">
        <f aca="false">IF(AN1058="",0,MAX(0,MIN(1,(IF(CF1058="L1",Parameter!$H$5,IF(CF1058="L23",Parameter!$H$6+Parameter!$H$7,Parameter!$H$5+Parameter!$H$6+Parameter!$H$7))-(AN1058-AI1058))/AI1058)))</f>
        <v>1</v>
      </c>
      <c r="AP1058" s="50" t="n">
        <f aca="false">IF(LEFT(Cockpit!$I$5,1)="A",H1058,IF(Parameter!$E$30="MAX-Bestand",IF(CH1058=1,CI1058,IF(LEFT(Cockpit!$I$5,1)="B",AV1058,MAX(AV1058,H1058))),ROUNDUP(AT1058,0)))</f>
        <v>55</v>
      </c>
      <c r="AQ1058" s="50" t="n">
        <f aca="false">IF(BZ1058=1,0,ROUNDUP(AP1058/BY1058,0))</f>
        <v>1</v>
      </c>
      <c r="AR1058" s="52" t="n">
        <f aca="false">IF(CQ1058&gt;0,CQ1058*MAX(1,AP1058/X1058),IF(BZ1058=1,IF(AP1058&lt;=0,0,CD1058*MAX(1,IF(H1058&gt;0,AP1058/H1058,1))),IF(R1058&gt;0,AQ1058/R1058,0))/MAX(0.1,N(Parameter!$M$21)))</f>
        <v>0.00357142857142857</v>
      </c>
      <c r="AS1058" s="50" t="n">
        <f aca="false">AR1058*CB1058</f>
        <v>0.553571428571429</v>
      </c>
      <c r="AT1058" s="51" t="n">
        <f aca="false">IF(LEFT(Cockpit!$I$5,1)="A",H1058,IF(CH1058=1,(CK1058+CI1058)/2,IF(LEFT(Cockpit!$I$5,1)="B",(CK1058+AV1058)/2,MAX((CK1058+AV1058)/2,H1058))))</f>
        <v>54.5</v>
      </c>
      <c r="AU1058" s="50" t="n">
        <f aca="false">AT1058*G1058</f>
        <v>246.34</v>
      </c>
      <c r="AV1058" s="50" t="n">
        <f aca="false">ROUNDUP(CK1058+MAX(CL1058,2*(J1058/IF(CG1058&gt;0,CG1058,MAX(0.1,N(Cockpit!$I$6)))-CK1058)),0)</f>
        <v>102</v>
      </c>
      <c r="AW1058" s="51" t="n">
        <f aca="false">IF(AS1058&gt;0,J1058/AS1058,-1)</f>
        <v>168</v>
      </c>
      <c r="AX1058" s="51" t="n">
        <f aca="false">IF(AND(OR(CF1058="L1",CF1058="L23",CF1058="LIFT"),AS1058&gt;0),SUMIFS($AS$7:$AS$1843,$CF$7:$CF$1843,CF1058,$AW$7:$AW$1843,"&gt;"&amp;AW1058)+SUMIFS($AS$7:$AS$1843,$CF$7:$CF$1843,CF1058,$AW$7:$AW$1843,AW1058,$BW$7:$BW$1843,"&lt;="&amp;BW1058),"")</f>
        <v>526.021978021978</v>
      </c>
      <c r="AY1058" s="58" t="n">
        <f aca="false">IF(AX1058="",0,MAX(0,MIN(1,(IF(CF1058="L1",Parameter!$H$5,IF(CF1058="L23",Parameter!$H$6+Parameter!$H$7,Parameter!$H$5+Parameter!$H$6+Parameter!$H$7))-(AX1058-AS1058))/AS1058)))</f>
        <v>1</v>
      </c>
      <c r="AZ1058" s="50" t="n">
        <f aca="false">IF(LEFT(Cockpit!$O$5,1)="A",H1058,IF(Parameter!$E$30="MAX-Bestand",IF(CH1058=1,CI1058,IF(LEFT(Cockpit!$O$5,1)="B",BF1058,MAX(BF1058,H1058))),ROUNDUP(BD1058,0)))</f>
        <v>55</v>
      </c>
      <c r="BA1058" s="50" t="n">
        <f aca="false">IF(BZ1058=1,0,ROUNDUP(AZ1058/BY1058,0))</f>
        <v>1</v>
      </c>
      <c r="BB1058" s="52" t="n">
        <f aca="false">IF(CQ1058&gt;0,CQ1058*MAX(1,AZ1058/X1058),IF(BZ1058=1,IF(AZ1058&lt;=0,0,CD1058*MAX(1,IF(H1058&gt;0,AZ1058/H1058,1))),IF(R1058&gt;0,BA1058/R1058,0))/MAX(0.1,N(Parameter!$M$21)))</f>
        <v>0.00357142857142857</v>
      </c>
      <c r="BC1058" s="50" t="n">
        <f aca="false">BB1058*CB1058</f>
        <v>0.553571428571429</v>
      </c>
      <c r="BD1058" s="51" t="n">
        <f aca="false">IF(LEFT(Cockpit!$O$5,1)="A",H1058,IF(CH1058=1,(CK1058+CI1058)/2,IF(LEFT(Cockpit!$O$5,1)="B",(CK1058+BF1058)/2,MAX((CK1058+BF1058)/2,H1058))))</f>
        <v>54.5</v>
      </c>
      <c r="BE1058" s="50" t="n">
        <f aca="false">BD1058*G1058</f>
        <v>246.34</v>
      </c>
      <c r="BF1058" s="50" t="n">
        <f aca="false">ROUNDUP(CK1058+MAX(CL1058,2*(J1058/IF(CG1058&gt;0,CG1058,MAX(0.1,N(Cockpit!$O$6)))-CK1058)),0)</f>
        <v>102</v>
      </c>
      <c r="BG1058" s="51" t="n">
        <f aca="false">IF(BC1058&gt;0,J1058/BC1058,-1)</f>
        <v>168</v>
      </c>
      <c r="BH1058" s="51" t="n">
        <f aca="false">IF(AND(OR(CF1058="L1",CF1058="L23",CF1058="LIFT"),BC1058&gt;0),SUMIFS($BC$7:$BC$1843,$CF$7:$CF$1843,CF1058,$BG$7:$BG$1843,"&gt;"&amp;BG1058)+SUMIFS($BC$7:$BC$1843,$CF$7:$CF$1843,CF1058,$BG$7:$BG$1843,BG1058,$BW$7:$BW$1843,"&lt;="&amp;BW1058),"")</f>
        <v>520.201923076923</v>
      </c>
      <c r="BI1058" s="58" t="n">
        <f aca="false">IF(BH1058="",0,MAX(0,MIN(1,(IF(CF1058="L1",Parameter!$H$5,IF(CF1058="L23",Parameter!$H$6+Parameter!$H$7,Parameter!$H$5+Parameter!$H$6+Parameter!$H$7))-(BH1058-BC1058))/BC1058)))</f>
        <v>1</v>
      </c>
      <c r="BJ1058" s="48" t="str">
        <f aca="false">IF(AI1058&lt;=0,"",IF(CF1058="Aussen","Aussenlager",IF(CF1058="-","Nicht im Lift",IF(AO1058&gt;=1,"Lift",IF(AO1058&lt;=0,"Aussenlager","teilweise")))))</f>
        <v>Lift</v>
      </c>
      <c r="BK1058" s="48" t="str">
        <f aca="false">IF(AS1058&lt;=0,"",IF(CF1058="Aussen","Aussenlager",IF(CF1058="-","Nicht im Lift",IF(AY1058&gt;=1,"Lift",IF(AY1058&lt;=0,"Aussenlager","teilweise")))))</f>
        <v>Lift</v>
      </c>
      <c r="BL1058" s="48" t="str">
        <f aca="false">IF(BC1058&lt;=0,"",IF(CF1058="Aussen","Aussenlager",IF(CF1058="-","Nicht im Lift",IF(BI1058&gt;=1,"Lift",IF(BI1058&lt;=0,"Aussenlager","teilweise")))))</f>
        <v>Lift</v>
      </c>
      <c r="BM1058" s="48" t="str">
        <f aca="false">IF(A1058="","",IF(BV1058=1,"Neu; ","")&amp;IF(AND(BV1058=0,BQ1058&lt;0),"negativer Bestand (Export "&amp;BQ1058&amp;"); ","")&amp;IF(J1058&lt;=0,"Kein Verbrauch; ","")&amp;IF(CQ1058&gt;0,"Lift "&amp;W1058&amp;" lt. Liftbericht (Fach "&amp;X1058&amp;" Stk); ",IF(CA1058=1,"Gebinde geschätzt ("&amp;T1058&amp;"); ",IF(BZ1058=1,"Lose – Tablare geschätzt; ","")))&amp;IF(H1058&gt;AV1058,"Überbestand "&amp;ROUND(H1058-AV1058,0)&amp;" Stk / CHF "&amp;ROUND((H1058-AV1058)*G1058,0)&amp;"; ","")&amp;IF(AND(CH1058=1,CI1058&lt;CJ1058),"MAX &lt; MB+LG; ","")&amp;IF(AND(CP1058&gt;0,CO1058*10&gt;CP1058),"zu hoch für Tablar; ","")&amp;IF(AND(BV1058=0,OR(CH1058=1,AA1058&lt;&gt;"",U1058&lt;&gt;"",V1058&lt;&gt;"",AB1058&lt;&gt;"")),"manuell übersteuert; ","")&amp;IF(AND(BZ1058=0,R1058=0),"Gebinde unbekannt / Stellmass fehlt; ","")&amp;IF(AND(BZ1058=0,N(V1058)&lt;=0,N(Q1058)&lt;=0),"Menge pro Gebinde fehlt (Ist = 1 Gebinde); ","")&amp;BU1058)</f>
        <v>negativer Bestand (Export -39); </v>
      </c>
      <c r="BN1058" s="48"/>
      <c r="BO1058" s="48"/>
      <c r="BP1058" s="55"/>
      <c r="BQ1058" s="50" t="n">
        <v>-39</v>
      </c>
      <c r="BR1058" s="50" t="n">
        <v>81</v>
      </c>
      <c r="BS1058" s="49" t="n">
        <v>-152.79</v>
      </c>
      <c r="BT1058" s="50" t="n">
        <v>93</v>
      </c>
      <c r="BU1058" s="48"/>
      <c r="BV1058" s="53" t="n">
        <v>0</v>
      </c>
      <c r="BW1058" s="53" t="n">
        <v>1058</v>
      </c>
      <c r="BX1058" s="48" t="str">
        <f aca="false">IF(U1058&lt;&gt;"",UPPER(TRIM(U1058)),IF(CA1058=1,UPPER(VLOOKUP(T1058,Parameter!$I$27:$K$29,2,0)),IF(P1058="","LOSE",P1058)))</f>
        <v>S21</v>
      </c>
      <c r="BY1058" s="50" t="n">
        <f aca="false">IF(BX1058="LOSE",1,IF(N(V1058)&gt;0,V1058,IF(CA1058=1,MAX(1,N(VLOOKUP(T1058,Parameter!$I$27:$K$29,3,0)),H1058,N(N1058)),IF(N(Q1058)&gt;0,Q1058,MAX(1,H1058)))))</f>
        <v>55</v>
      </c>
      <c r="BZ1058" s="53" t="n">
        <f aca="false">IF(BX1058="LOSE",1,0)</f>
        <v>0</v>
      </c>
      <c r="CA1058" s="53" t="n">
        <f aca="false">IF(AND(U1058="",OR(P1058="",P1058="LOSE"),T1058&lt;&gt;"",N(S1058)&lt;=0,ISNUMBER(MATCH(T1058,Parameter!$I$27:$I$29,0))),1,0)</f>
        <v>0</v>
      </c>
      <c r="CB1058" s="53" t="n">
        <f aca="false">IF(CQ1058&gt;0,INDEX(Parameter!$H$5:$H$7,W1058)/INDEX(Parameter!$E$5:$E$7,W1058),IF(AND(BZ1058=0,N(IFERROR(VLOOKUP(BX1058,'Gebinde-Kategorie'!$A$5:$N$45,14,0),0))&gt;0),VLOOKUP(BX1058,'Gebinde-Kategorie'!$A$5:$N$45,14,0)*10+Parameter!$M$23,Parameter!$M$24))</f>
        <v>155</v>
      </c>
      <c r="CC1058" s="48" t="str">
        <f aca="false">IF(AND(Parameter!$B$19="Ja",E1058&lt;&gt;"",ISNUMBER(MATCH(E1058,Parameter!$I$35:$I$52,0))),VLOOKUP(E1058,Parameter!$I$35:$J$52,2,0),IFERROR(VLOOKUP(D1058,Parameter!$A$35:$C$64,2,0),"Nein"))</f>
        <v>2+3</v>
      </c>
      <c r="CD1058" s="52" t="n">
        <f aca="false">IF(BZ1058=0,0,IF(N(S1058)&gt;0,S1058,IFERROR(VLOOKUP(D1058,Parameter!$A$35:$C$64,3,0)+0,0)))</f>
        <v>0</v>
      </c>
      <c r="CE1058" s="48" t="n">
        <f aca="false">IF(AA1058&lt;&gt;"",AA1058,Z1058)</f>
        <v>3</v>
      </c>
      <c r="CF1058" s="48" t="str">
        <f aca="false">IF(OR(CE1058=1,CE1058=2,CE1058=3),IF(Parameter!$E$27="Ja","LIFT",IF(CE1058=1,"L1","L23")),IF(CE1058="Aussen","Aussen","-"))</f>
        <v>LIFT</v>
      </c>
      <c r="CG1058" s="59" t="n">
        <f aca="false">IF(N(AB1058)&gt;0,AB1058,0)</f>
        <v>0</v>
      </c>
      <c r="CH1058" s="53" t="n">
        <f aca="false">IF(ISNUMBER(AE1058),1,0)</f>
        <v>0</v>
      </c>
      <c r="CI1058" s="50" t="n">
        <f aca="false">N(AE1058)</f>
        <v>0</v>
      </c>
      <c r="CJ1058" s="50" t="n">
        <f aca="false">N(M1058)+N(N1058)</f>
        <v>102</v>
      </c>
      <c r="CK1058" s="50" t="n">
        <f aca="false">N(M1058)</f>
        <v>7</v>
      </c>
      <c r="CL1058" s="50" t="n">
        <f aca="false">N(N1058)</f>
        <v>95</v>
      </c>
      <c r="CM1058" s="50" t="n">
        <f aca="false">ROUNDUP(H1058/BY1058,0)</f>
        <v>1</v>
      </c>
      <c r="CN1058" s="50" t="n">
        <f aca="false">ROUNDUP(CI1058/BY1058,0)</f>
        <v>0</v>
      </c>
      <c r="CO1058" s="53" t="n">
        <f aca="false">IF(BZ1058=1,0,IFERROR(VLOOKUP(BX1058,'Gebinde-Kategorie'!$A$5:$N$45,5,0)+0,0))</f>
        <v>8</v>
      </c>
      <c r="CP1058" s="53" t="n">
        <f aca="false">IFERROR(IF(OR(CE1058=1,CE1058=2,CE1058=3),N(INDEX(Parameter!$I$5:$I$7,CE1058)),0),0)</f>
        <v>0</v>
      </c>
      <c r="CQ1058" s="52" t="n">
        <f aca="false">IF(AND(Parameter!$B$21="Ja",ISNUMBER(W1058),N(X1058)&gt;0),IFERROR(N(INDEX(Parameter!$L$5:$L$7,W1058))*INDEX(Parameter!$E$5:$E$7,W1058)*X1058/SUMIFS($X$7:$X$1843,$W$7:$W$1843,W1058),0),0)</f>
        <v>0</v>
      </c>
    </row>
    <row r="1059" customFormat="false" ht="15" hidden="false" customHeight="false" outlineLevel="0" collapsed="false">
      <c r="A1059" s="48" t="s">
        <v>1945</v>
      </c>
      <c r="B1059" s="48" t="s">
        <v>1132</v>
      </c>
      <c r="C1059" s="48" t="s">
        <v>173</v>
      </c>
      <c r="D1059" s="48" t="s">
        <v>193</v>
      </c>
      <c r="E1059" s="48" t="s">
        <v>194</v>
      </c>
      <c r="F1059" s="48" t="s">
        <v>227</v>
      </c>
      <c r="G1059" s="49" t="n">
        <v>4.18</v>
      </c>
      <c r="H1059" s="50" t="n">
        <f aca="false">MAX(0,IF(AND(Parameter!$B$21="Ja",ISNUMBER(Y1059)),Y1059,IF(Parameter!$B$20="Jahresanfang 2025 + Export",BR1059+BQ1059,BQ1059)))</f>
        <v>5</v>
      </c>
      <c r="I1059" s="50" t="n">
        <f aca="false">H1059*G1059</f>
        <v>20.9</v>
      </c>
      <c r="J1059" s="50" t="n">
        <f aca="false">BT1059*Parameter!$B$18</f>
        <v>17</v>
      </c>
      <c r="K1059" s="51" t="n">
        <v>31</v>
      </c>
      <c r="L1059" s="52" t="n">
        <v>0.548387096774194</v>
      </c>
      <c r="M1059" s="50" t="n">
        <v>1</v>
      </c>
      <c r="N1059" s="50" t="n">
        <v>15</v>
      </c>
      <c r="O1059" s="53" t="n">
        <v>28</v>
      </c>
      <c r="P1059" s="48" t="s">
        <v>235</v>
      </c>
      <c r="Q1059" s="50" t="n">
        <v>105</v>
      </c>
      <c r="R1059" s="53" t="n">
        <f aca="false">IF(BZ1059=1,0,IFERROR(VLOOKUP(BX1059,'Gebinde-Kategorie'!$A$5:$N$45,13,0)+0,0))</f>
        <v>12</v>
      </c>
      <c r="S1059" s="54"/>
      <c r="T1059" s="55"/>
      <c r="U1059" s="55"/>
      <c r="V1059" s="55"/>
      <c r="W1059" s="48"/>
      <c r="X1059" s="50"/>
      <c r="Y1059" s="50"/>
      <c r="Z1059" s="48" t="n">
        <f aca="false">IF(A1059="","",IF(AND(Parameter!$B$21="Ja",ISNUMBER(W1059)),W1059,IF(CC1059="2+3",IF(ISNUMBER(SEARCH("grosser Artikel",BU1059)),2,IFERROR(VLOOKUP(BX1059,Parameter!$F$35:$G$64,2,0),2)),IF(OR(CC1059="Nein",CC1059=""),"-",CC1059))))</f>
        <v>2</v>
      </c>
      <c r="AA1059" s="55"/>
      <c r="AB1059" s="56"/>
      <c r="AC1059" s="50" t="n">
        <f aca="false">AV1059</f>
        <v>16</v>
      </c>
      <c r="AD1059" s="50" t="n">
        <f aca="false">MAX(AV1059,H1059)</f>
        <v>16</v>
      </c>
      <c r="AE1059" s="57"/>
      <c r="AF1059" s="50" t="n">
        <f aca="false">IF(LEFT(Cockpit!$C$5,1)="A",H1059,IF(Parameter!$E$30="MAX-Bestand",IF(CH1059=1,CI1059,IF(LEFT(Cockpit!$C$5,1)="B",AL1059,MAX(AL1059,H1059))),ROUNDUP(AJ1059,0)))</f>
        <v>5</v>
      </c>
      <c r="AG1059" s="50" t="n">
        <f aca="false">IF(BZ1059=1,0,ROUNDUP(AF1059/BY1059,0))</f>
        <v>1</v>
      </c>
      <c r="AH1059" s="52" t="n">
        <f aca="false">IF(CQ1059&gt;0,CQ1059*MAX(1,AF1059/X1059),IF(BZ1059=1,IF(AF1059&lt;=0,0,CD1059*MAX(1,IF(H1059&gt;0,AF1059/H1059,1))),IF(R1059&gt;0,AG1059/R1059,0))/MAX(0.1,N(Parameter!$M$21)))</f>
        <v>0.0833333333333333</v>
      </c>
      <c r="AI1059" s="50" t="n">
        <f aca="false">AH1059*CB1059</f>
        <v>28.75</v>
      </c>
      <c r="AJ1059" s="51" t="n">
        <f aca="false">IF(LEFT(Cockpit!$C$5,1)="A",H1059,IF(CH1059=1,(CK1059+CI1059)/2,IF(LEFT(Cockpit!$C$5,1)="B",(CK1059+AL1059)/2,MAX((CK1059+AL1059)/2,H1059))))</f>
        <v>5</v>
      </c>
      <c r="AK1059" s="50" t="n">
        <f aca="false">AJ1059*G1059</f>
        <v>20.9</v>
      </c>
      <c r="AL1059" s="50" t="n">
        <f aca="false">ROUNDUP(CK1059+MAX(CL1059,2*(J1059/IF(CG1059&gt;0,CG1059,MAX(0.1,N(Cockpit!$C$6)))-CK1059)),0)</f>
        <v>16</v>
      </c>
      <c r="AM1059" s="51" t="n">
        <f aca="false">IF(AI1059&gt;0,J1059/AI1059,-1)</f>
        <v>0.591304347826087</v>
      </c>
      <c r="AN1059" s="51" t="n">
        <f aca="false">IF(AND(OR(CF1059="L1",CF1059="L23",CF1059="LIFT"),AI1059&gt;0),SUMIFS($AI$7:$AI$1843,$CF$7:$CF$1843,CF1059,$AM$7:$AM$1843,"&gt;"&amp;AM1059)+SUMIFS($AI$7:$AI$1843,$CF$7:$CF$1843,CF1059,$AM$7:$AM$1843,AM1059,$BW$7:$BW$1843,"&lt;="&amp;BW1059),"")</f>
        <v>9259.11947703897</v>
      </c>
      <c r="AO1059" s="58" t="n">
        <f aca="false">IF(AN1059="",0,MAX(0,MIN(1,(IF(CF1059="L1",Parameter!$H$5,IF(CF1059="L23",Parameter!$H$6+Parameter!$H$7,Parameter!$H$5+Parameter!$H$6+Parameter!$H$7))-(AN1059-AI1059))/AI1059)))</f>
        <v>1</v>
      </c>
      <c r="AP1059" s="50" t="n">
        <f aca="false">IF(LEFT(Cockpit!$I$5,1)="A",H1059,IF(Parameter!$E$30="MAX-Bestand",IF(CH1059=1,CI1059,IF(LEFT(Cockpit!$I$5,1)="B",AV1059,MAX(AV1059,H1059))),ROUNDUP(AT1059,0)))</f>
        <v>9</v>
      </c>
      <c r="AQ1059" s="50" t="n">
        <f aca="false">IF(BZ1059=1,0,ROUNDUP(AP1059/BY1059,0))</f>
        <v>1</v>
      </c>
      <c r="AR1059" s="52" t="n">
        <f aca="false">IF(CQ1059&gt;0,CQ1059*MAX(1,AP1059/X1059),IF(BZ1059=1,IF(AP1059&lt;=0,0,CD1059*MAX(1,IF(H1059&gt;0,AP1059/H1059,1))),IF(R1059&gt;0,AQ1059/R1059,0))/MAX(0.1,N(Parameter!$M$21)))</f>
        <v>0.0833333333333333</v>
      </c>
      <c r="AS1059" s="50" t="n">
        <f aca="false">AR1059*CB1059</f>
        <v>28.75</v>
      </c>
      <c r="AT1059" s="51" t="n">
        <f aca="false">IF(LEFT(Cockpit!$I$5,1)="A",H1059,IF(CH1059=1,(CK1059+CI1059)/2,IF(LEFT(Cockpit!$I$5,1)="B",(CK1059+AV1059)/2,MAX((CK1059+AV1059)/2,H1059))))</f>
        <v>8.5</v>
      </c>
      <c r="AU1059" s="50" t="n">
        <f aca="false">AT1059*G1059</f>
        <v>35.53</v>
      </c>
      <c r="AV1059" s="50" t="n">
        <f aca="false">ROUNDUP(CK1059+MAX(CL1059,2*(J1059/IF(CG1059&gt;0,CG1059,MAX(0.1,N(Cockpit!$I$6)))-CK1059)),0)</f>
        <v>16</v>
      </c>
      <c r="AW1059" s="51" t="n">
        <f aca="false">IF(AS1059&gt;0,J1059/AS1059,-1)</f>
        <v>0.591304347826087</v>
      </c>
      <c r="AX1059" s="51" t="n">
        <f aca="false">IF(AND(OR(CF1059="L1",CF1059="L23",CF1059="LIFT"),AS1059&gt;0),SUMIFS($AS$7:$AS$1843,$CF$7:$CF$1843,CF1059,$AW$7:$AW$1843,"&gt;"&amp;AW1059)+SUMIFS($AS$7:$AS$1843,$CF$7:$CF$1843,CF1059,$AW$7:$AW$1843,AW1059,$BW$7:$BW$1843,"&lt;="&amp;BW1059),"")</f>
        <v>11266.032967033</v>
      </c>
      <c r="AY1059" s="58" t="n">
        <f aca="false">IF(AX1059="",0,MAX(0,MIN(1,(IF(CF1059="L1",Parameter!$H$5,IF(CF1059="L23",Parameter!$H$6+Parameter!$H$7,Parameter!$H$5+Parameter!$H$6+Parameter!$H$7))-(AX1059-AS1059))/AS1059)))</f>
        <v>1</v>
      </c>
      <c r="AZ1059" s="50" t="n">
        <f aca="false">IF(LEFT(Cockpit!$O$5,1)="A",H1059,IF(Parameter!$E$30="MAX-Bestand",IF(CH1059=1,CI1059,IF(LEFT(Cockpit!$O$5,1)="B",BF1059,MAX(BF1059,H1059))),ROUNDUP(BD1059,0)))</f>
        <v>9</v>
      </c>
      <c r="BA1059" s="50" t="n">
        <f aca="false">IF(BZ1059=1,0,ROUNDUP(AZ1059/BY1059,0))</f>
        <v>1</v>
      </c>
      <c r="BB1059" s="52" t="n">
        <f aca="false">IF(CQ1059&gt;0,CQ1059*MAX(1,AZ1059/X1059),IF(BZ1059=1,IF(AZ1059&lt;=0,0,CD1059*MAX(1,IF(H1059&gt;0,AZ1059/H1059,1))),IF(R1059&gt;0,BA1059/R1059,0))/MAX(0.1,N(Parameter!$M$21)))</f>
        <v>0.0833333333333333</v>
      </c>
      <c r="BC1059" s="50" t="n">
        <f aca="false">BB1059*CB1059</f>
        <v>28.75</v>
      </c>
      <c r="BD1059" s="51" t="n">
        <f aca="false">IF(LEFT(Cockpit!$O$5,1)="A",H1059,IF(CH1059=1,(CK1059+CI1059)/2,IF(LEFT(Cockpit!$O$5,1)="B",(CK1059+BF1059)/2,MAX((CK1059+BF1059)/2,H1059))))</f>
        <v>8.5</v>
      </c>
      <c r="BE1059" s="50" t="n">
        <f aca="false">BD1059*G1059</f>
        <v>35.53</v>
      </c>
      <c r="BF1059" s="50" t="n">
        <f aca="false">ROUNDUP(CK1059+MAX(CL1059,2*(J1059/IF(CG1059&gt;0,CG1059,MAX(0.1,N(Cockpit!$O$6)))-CK1059)),0)</f>
        <v>16</v>
      </c>
      <c r="BG1059" s="51" t="n">
        <f aca="false">IF(BC1059&gt;0,J1059/BC1059,-1)</f>
        <v>0.591304347826087</v>
      </c>
      <c r="BH1059" s="51" t="n">
        <f aca="false">IF(AND(OR(CF1059="L1",CF1059="L23",CF1059="LIFT"),BC1059&gt;0),SUMIFS($BC$7:$BC$1843,$CF$7:$CF$1843,CF1059,$BG$7:$BG$1843,"&gt;"&amp;BG1059)+SUMIFS($BC$7:$BC$1843,$CF$7:$CF$1843,CF1059,$BG$7:$BG$1843,BG1059,$BW$7:$BW$1843,"&lt;="&amp;BW1059),"")</f>
        <v>9958.45558608059</v>
      </c>
      <c r="BI1059" s="58" t="n">
        <f aca="false">IF(BH1059="",0,MAX(0,MIN(1,(IF(CF1059="L1",Parameter!$H$5,IF(CF1059="L23",Parameter!$H$6+Parameter!$H$7,Parameter!$H$5+Parameter!$H$6+Parameter!$H$7))-(BH1059-BC1059))/BC1059)))</f>
        <v>1</v>
      </c>
      <c r="BJ1059" s="48" t="str">
        <f aca="false">IF(AI1059&lt;=0,"",IF(CF1059="Aussen","Aussenlager",IF(CF1059="-","Nicht im Lift",IF(AO1059&gt;=1,"Lift",IF(AO1059&lt;=0,"Aussenlager","teilweise")))))</f>
        <v>Lift</v>
      </c>
      <c r="BK1059" s="48" t="str">
        <f aca="false">IF(AS1059&lt;=0,"",IF(CF1059="Aussen","Aussenlager",IF(CF1059="-","Nicht im Lift",IF(AY1059&gt;=1,"Lift",IF(AY1059&lt;=0,"Aussenlager","teilweise")))))</f>
        <v>Lift</v>
      </c>
      <c r="BL1059" s="48" t="str">
        <f aca="false">IF(BC1059&lt;=0,"",IF(CF1059="Aussen","Aussenlager",IF(CF1059="-","Nicht im Lift",IF(BI1059&gt;=1,"Lift",IF(BI1059&lt;=0,"Aussenlager","teilweise")))))</f>
        <v>Lift</v>
      </c>
      <c r="BM1059" s="48" t="str">
        <f aca="false">IF(A1059="","",IF(BV1059=1,"Neu; ","")&amp;IF(AND(BV1059=0,BQ1059&lt;0),"negativer Bestand (Export "&amp;BQ1059&amp;"); ","")&amp;IF(J1059&lt;=0,"Kein Verbrauch; ","")&amp;IF(CQ1059&gt;0,"Lift "&amp;W1059&amp;" lt. Liftbericht (Fach "&amp;X1059&amp;" Stk); ",IF(CA1059=1,"Gebinde geschätzt ("&amp;T1059&amp;"); ",IF(BZ1059=1,"Lose – Tablare geschätzt; ","")))&amp;IF(H1059&gt;AV1059,"Überbestand "&amp;ROUND(H1059-AV1059,0)&amp;" Stk / CHF "&amp;ROUND((H1059-AV1059)*G1059,0)&amp;"; ","")&amp;IF(AND(CH1059=1,CI1059&lt;CJ1059),"MAX &lt; MB+LG; ","")&amp;IF(AND(CP1059&gt;0,CO1059*10&gt;CP1059),"zu hoch für Tablar; ","")&amp;IF(AND(BV1059=0,OR(CH1059=1,AA1059&lt;&gt;"",U1059&lt;&gt;"",V1059&lt;&gt;"",AB1059&lt;&gt;"")),"manuell übersteuert; ","")&amp;IF(AND(BZ1059=0,R1059=0),"Gebinde unbekannt / Stellmass fehlt; ","")&amp;IF(AND(BZ1059=0,N(V1059)&lt;=0,N(Q1059)&lt;=0),"Menge pro Gebinde fehlt (Ist = 1 Gebinde); ","")&amp;BU1059)</f>
        <v>negativer Bestand (Export -37); Handlager</v>
      </c>
      <c r="BN1059" s="48"/>
      <c r="BO1059" s="48"/>
      <c r="BP1059" s="55"/>
      <c r="BQ1059" s="50" t="n">
        <v>-37</v>
      </c>
      <c r="BR1059" s="50" t="n">
        <v>42</v>
      </c>
      <c r="BS1059" s="49" t="n">
        <v>-154.66</v>
      </c>
      <c r="BT1059" s="50" t="n">
        <v>17</v>
      </c>
      <c r="BU1059" s="48" t="s">
        <v>904</v>
      </c>
      <c r="BV1059" s="53" t="n">
        <v>0</v>
      </c>
      <c r="BW1059" s="53" t="n">
        <v>1059</v>
      </c>
      <c r="BX1059" s="48" t="str">
        <f aca="false">IF(U1059&lt;&gt;"",UPPER(TRIM(U1059)),IF(CA1059=1,UPPER(VLOOKUP(T1059,Parameter!$I$27:$K$29,2,0)),IF(P1059="","LOSE",P1059)))</f>
        <v>S63</v>
      </c>
      <c r="BY1059" s="50" t="n">
        <f aca="false">IF(BX1059="LOSE",1,IF(N(V1059)&gt;0,V1059,IF(CA1059=1,MAX(1,N(VLOOKUP(T1059,Parameter!$I$27:$K$29,3,0)),H1059,N(N1059)),IF(N(Q1059)&gt;0,Q1059,MAX(1,H1059)))))</f>
        <v>105</v>
      </c>
      <c r="BZ1059" s="53" t="n">
        <f aca="false">IF(BX1059="LOSE",1,0)</f>
        <v>0</v>
      </c>
      <c r="CA1059" s="53" t="n">
        <f aca="false">IF(AND(U1059="",OR(P1059="",P1059="LOSE"),T1059&lt;&gt;"",N(S1059)&lt;=0,ISNUMBER(MATCH(T1059,Parameter!$I$27:$I$29,0))),1,0)</f>
        <v>0</v>
      </c>
      <c r="CB1059" s="53" t="n">
        <f aca="false">IF(CQ1059&gt;0,INDEX(Parameter!$H$5:$H$7,W1059)/INDEX(Parameter!$E$5:$E$7,W1059),IF(AND(BZ1059=0,N(IFERROR(VLOOKUP(BX1059,'Gebinde-Kategorie'!$A$5:$N$45,14,0),0))&gt;0),VLOOKUP(BX1059,'Gebinde-Kategorie'!$A$5:$N$45,14,0)*10+Parameter!$M$23,Parameter!$M$24))</f>
        <v>345</v>
      </c>
      <c r="CC1059" s="48" t="str">
        <f aca="false">IF(AND(Parameter!$B$19="Ja",E1059&lt;&gt;"",ISNUMBER(MATCH(E1059,Parameter!$I$35:$I$52,0))),VLOOKUP(E1059,Parameter!$I$35:$J$52,2,0),IFERROR(VLOOKUP(D1059,Parameter!$A$35:$C$64,2,0),"Nein"))</f>
        <v>2+3</v>
      </c>
      <c r="CD1059" s="52" t="n">
        <f aca="false">IF(BZ1059=0,0,IF(N(S1059)&gt;0,S1059,IFERROR(VLOOKUP(D1059,Parameter!$A$35:$C$64,3,0)+0,0)))</f>
        <v>0</v>
      </c>
      <c r="CE1059" s="48" t="n">
        <f aca="false">IF(AA1059&lt;&gt;"",AA1059,Z1059)</f>
        <v>2</v>
      </c>
      <c r="CF1059" s="48" t="str">
        <f aca="false">IF(OR(CE1059=1,CE1059=2,CE1059=3),IF(Parameter!$E$27="Ja","LIFT",IF(CE1059=1,"L1","L23")),IF(CE1059="Aussen","Aussen","-"))</f>
        <v>LIFT</v>
      </c>
      <c r="CG1059" s="59" t="n">
        <f aca="false">IF(N(AB1059)&gt;0,AB1059,0)</f>
        <v>0</v>
      </c>
      <c r="CH1059" s="53" t="n">
        <f aca="false">IF(ISNUMBER(AE1059),1,0)</f>
        <v>0</v>
      </c>
      <c r="CI1059" s="50" t="n">
        <f aca="false">N(AE1059)</f>
        <v>0</v>
      </c>
      <c r="CJ1059" s="50" t="n">
        <f aca="false">N(M1059)+N(N1059)</f>
        <v>16</v>
      </c>
      <c r="CK1059" s="50" t="n">
        <f aca="false">N(M1059)</f>
        <v>1</v>
      </c>
      <c r="CL1059" s="50" t="n">
        <f aca="false">N(N1059)</f>
        <v>15</v>
      </c>
      <c r="CM1059" s="50" t="n">
        <f aca="false">ROUNDUP(H1059/BY1059,0)</f>
        <v>1</v>
      </c>
      <c r="CN1059" s="50" t="n">
        <f aca="false">ROUNDUP(CI1059/BY1059,0)</f>
        <v>0</v>
      </c>
      <c r="CO1059" s="53" t="n">
        <f aca="false">IF(BZ1059=1,0,IFERROR(VLOOKUP(BX1059,'Gebinde-Kategorie'!$A$5:$N$45,5,0)+0,0))</f>
        <v>31</v>
      </c>
      <c r="CP1059" s="53" t="n">
        <f aca="false">IFERROR(IF(OR(CE1059=1,CE1059=2,CE1059=3),N(INDEX(Parameter!$I$5:$I$7,CE1059)),0),0)</f>
        <v>0</v>
      </c>
      <c r="CQ1059" s="52" t="n">
        <f aca="false">IF(AND(Parameter!$B$21="Ja",ISNUMBER(W1059),N(X1059)&gt;0),IFERROR(N(INDEX(Parameter!$L$5:$L$7,W1059))*INDEX(Parameter!$E$5:$E$7,W1059)*X1059/SUMIFS($X$7:$X$1843,$W$7:$W$1843,W1059),0),0)</f>
        <v>0</v>
      </c>
    </row>
    <row r="1060" customFormat="false" ht="15" hidden="false" customHeight="false" outlineLevel="0" collapsed="false">
      <c r="A1060" s="48" t="s">
        <v>1946</v>
      </c>
      <c r="B1060" s="48" t="s">
        <v>1174</v>
      </c>
      <c r="C1060" s="48" t="s">
        <v>173</v>
      </c>
      <c r="D1060" s="48" t="s">
        <v>193</v>
      </c>
      <c r="E1060" s="48" t="s">
        <v>194</v>
      </c>
      <c r="F1060" s="48" t="s">
        <v>227</v>
      </c>
      <c r="G1060" s="49" t="n">
        <v>30.05</v>
      </c>
      <c r="H1060" s="50" t="n">
        <f aca="false">MAX(0,IF(AND(Parameter!$B$21="Ja",ISNUMBER(Y1060)),Y1060,IF(Parameter!$B$20="Jahresanfang 2025 + Export",BR1060+BQ1060,BQ1060)))</f>
        <v>5</v>
      </c>
      <c r="I1060" s="50" t="n">
        <f aca="false">H1060*G1060</f>
        <v>150.25</v>
      </c>
      <c r="J1060" s="50" t="n">
        <f aca="false">BT1060*Parameter!$B$18</f>
        <v>20</v>
      </c>
      <c r="K1060" s="51" t="n">
        <v>14.5</v>
      </c>
      <c r="L1060" s="52" t="n">
        <v>1.37931034482759</v>
      </c>
      <c r="M1060" s="50" t="n">
        <v>0</v>
      </c>
      <c r="N1060" s="50" t="n">
        <v>20</v>
      </c>
      <c r="O1060" s="53" t="n">
        <v>14</v>
      </c>
      <c r="P1060" s="48" t="s">
        <v>195</v>
      </c>
      <c r="Q1060" s="50" t="n">
        <v>24</v>
      </c>
      <c r="R1060" s="53" t="n">
        <f aca="false">IF(BZ1060=1,0,IFERROR(VLOOKUP(BX1060,'Gebinde-Kategorie'!$A$5:$N$45,13,0)+0,0))</f>
        <v>12</v>
      </c>
      <c r="S1060" s="54"/>
      <c r="T1060" s="55"/>
      <c r="U1060" s="55"/>
      <c r="V1060" s="55"/>
      <c r="W1060" s="48"/>
      <c r="X1060" s="50"/>
      <c r="Y1060" s="50"/>
      <c r="Z1060" s="48" t="n">
        <f aca="false">IF(A1060="","",IF(AND(Parameter!$B$21="Ja",ISNUMBER(W1060)),W1060,IF(CC1060="2+3",IF(ISNUMBER(SEARCH("grosser Artikel",BU1060)),2,IFERROR(VLOOKUP(BX1060,Parameter!$F$35:$G$64,2,0),2)),IF(OR(CC1060="Nein",CC1060=""),"-",CC1060))))</f>
        <v>2</v>
      </c>
      <c r="AA1060" s="55"/>
      <c r="AB1060" s="56"/>
      <c r="AC1060" s="50" t="n">
        <f aca="false">AV1060</f>
        <v>20</v>
      </c>
      <c r="AD1060" s="50" t="n">
        <f aca="false">MAX(AV1060,H1060)</f>
        <v>20</v>
      </c>
      <c r="AE1060" s="57"/>
      <c r="AF1060" s="50" t="n">
        <f aca="false">IF(LEFT(Cockpit!$C$5,1)="A",H1060,IF(Parameter!$E$30="MAX-Bestand",IF(CH1060=1,CI1060,IF(LEFT(Cockpit!$C$5,1)="B",AL1060,MAX(AL1060,H1060))),ROUNDUP(AJ1060,0)))</f>
        <v>5</v>
      </c>
      <c r="AG1060" s="50" t="n">
        <f aca="false">IF(BZ1060=1,0,ROUNDUP(AF1060/BY1060,0))</f>
        <v>1</v>
      </c>
      <c r="AH1060" s="52" t="n">
        <f aca="false">IF(CQ1060&gt;0,CQ1060*MAX(1,AF1060/X1060),IF(BZ1060=1,IF(AF1060&lt;=0,0,CD1060*MAX(1,IF(H1060&gt;0,AF1060/H1060,1))),IF(R1060&gt;0,AG1060/R1060,0))/MAX(0.1,N(Parameter!$M$21)))</f>
        <v>0.0833333333333333</v>
      </c>
      <c r="AI1060" s="50" t="n">
        <f aca="false">AH1060*CB1060</f>
        <v>12.0833333333333</v>
      </c>
      <c r="AJ1060" s="51" t="n">
        <f aca="false">IF(LEFT(Cockpit!$C$5,1)="A",H1060,IF(CH1060=1,(CK1060+CI1060)/2,IF(LEFT(Cockpit!$C$5,1)="B",(CK1060+AL1060)/2,MAX((CK1060+AL1060)/2,H1060))))</f>
        <v>5</v>
      </c>
      <c r="AK1060" s="50" t="n">
        <f aca="false">AJ1060*G1060</f>
        <v>150.25</v>
      </c>
      <c r="AL1060" s="50" t="n">
        <f aca="false">ROUNDUP(CK1060+MAX(CL1060,2*(J1060/IF(CG1060&gt;0,CG1060,MAX(0.1,N(Cockpit!$C$6)))-CK1060)),0)</f>
        <v>20</v>
      </c>
      <c r="AM1060" s="51" t="n">
        <f aca="false">IF(AI1060&gt;0,J1060/AI1060,-1)</f>
        <v>1.6551724137931</v>
      </c>
      <c r="AN1060" s="51" t="n">
        <f aca="false">IF(AND(OR(CF1060="L1",CF1060="L23",CF1060="LIFT"),AI1060&gt;0),SUMIFS($AI$7:$AI$1843,$CF$7:$CF$1843,CF1060,$AM$7:$AM$1843,"&gt;"&amp;AM1060)+SUMIFS($AI$7:$AI$1843,$CF$7:$CF$1843,CF1060,$AM$7:$AM$1843,AM1060,$BW$7:$BW$1843,"&lt;="&amp;BW1060),"")</f>
        <v>6140.85943223443</v>
      </c>
      <c r="AO1060" s="58" t="n">
        <f aca="false">IF(AN1060="",0,MAX(0,MIN(1,(IF(CF1060="L1",Parameter!$H$5,IF(CF1060="L23",Parameter!$H$6+Parameter!$H$7,Parameter!$H$5+Parameter!$H$6+Parameter!$H$7))-(AN1060-AI1060))/AI1060)))</f>
        <v>1</v>
      </c>
      <c r="AP1060" s="50" t="n">
        <f aca="false">IF(LEFT(Cockpit!$I$5,1)="A",H1060,IF(Parameter!$E$30="MAX-Bestand",IF(CH1060=1,CI1060,IF(LEFT(Cockpit!$I$5,1)="B",AV1060,MAX(AV1060,H1060))),ROUNDUP(AT1060,0)))</f>
        <v>10</v>
      </c>
      <c r="AQ1060" s="50" t="n">
        <f aca="false">IF(BZ1060=1,0,ROUNDUP(AP1060/BY1060,0))</f>
        <v>1</v>
      </c>
      <c r="AR1060" s="52" t="n">
        <f aca="false">IF(CQ1060&gt;0,CQ1060*MAX(1,AP1060/X1060),IF(BZ1060=1,IF(AP1060&lt;=0,0,CD1060*MAX(1,IF(H1060&gt;0,AP1060/H1060,1))),IF(R1060&gt;0,AQ1060/R1060,0))/MAX(0.1,N(Parameter!$M$21)))</f>
        <v>0.0833333333333333</v>
      </c>
      <c r="AS1060" s="50" t="n">
        <f aca="false">AR1060*CB1060</f>
        <v>12.0833333333333</v>
      </c>
      <c r="AT1060" s="51" t="n">
        <f aca="false">IF(LEFT(Cockpit!$I$5,1)="A",H1060,IF(CH1060=1,(CK1060+CI1060)/2,IF(LEFT(Cockpit!$I$5,1)="B",(CK1060+AV1060)/2,MAX((CK1060+AV1060)/2,H1060))))</f>
        <v>10</v>
      </c>
      <c r="AU1060" s="50" t="n">
        <f aca="false">AT1060*G1060</f>
        <v>300.5</v>
      </c>
      <c r="AV1060" s="50" t="n">
        <f aca="false">ROUNDUP(CK1060+MAX(CL1060,2*(J1060/IF(CG1060&gt;0,CG1060,MAX(0.1,N(Cockpit!$I$6)))-CK1060)),0)</f>
        <v>20</v>
      </c>
      <c r="AW1060" s="51" t="n">
        <f aca="false">IF(AS1060&gt;0,J1060/AS1060,-1)</f>
        <v>1.6551724137931</v>
      </c>
      <c r="AX1060" s="51" t="n">
        <f aca="false">IF(AND(OR(CF1060="L1",CF1060="L23",CF1060="LIFT"),AS1060&gt;0),SUMIFS($AS$7:$AS$1843,$CF$7:$CF$1843,CF1060,$AW$7:$AW$1843,"&gt;"&amp;AW1060)+SUMIFS($AS$7:$AS$1843,$CF$7:$CF$1843,CF1060,$AW$7:$AW$1843,AW1060,$BW$7:$BW$1843,"&lt;="&amp;BW1060),"")</f>
        <v>7580.74816849817</v>
      </c>
      <c r="AY1060" s="58" t="n">
        <f aca="false">IF(AX1060="",0,MAX(0,MIN(1,(IF(CF1060="L1",Parameter!$H$5,IF(CF1060="L23",Parameter!$H$6+Parameter!$H$7,Parameter!$H$5+Parameter!$H$6+Parameter!$H$7))-(AX1060-AS1060))/AS1060)))</f>
        <v>1</v>
      </c>
      <c r="AZ1060" s="50" t="n">
        <f aca="false">IF(LEFT(Cockpit!$O$5,1)="A",H1060,IF(Parameter!$E$30="MAX-Bestand",IF(CH1060=1,CI1060,IF(LEFT(Cockpit!$O$5,1)="B",BF1060,MAX(BF1060,H1060))),ROUNDUP(BD1060,0)))</f>
        <v>10</v>
      </c>
      <c r="BA1060" s="50" t="n">
        <f aca="false">IF(BZ1060=1,0,ROUNDUP(AZ1060/BY1060,0))</f>
        <v>1</v>
      </c>
      <c r="BB1060" s="52" t="n">
        <f aca="false">IF(CQ1060&gt;0,CQ1060*MAX(1,AZ1060/X1060),IF(BZ1060=1,IF(AZ1060&lt;=0,0,CD1060*MAX(1,IF(H1060&gt;0,AZ1060/H1060,1))),IF(R1060&gt;0,BA1060/R1060,0))/MAX(0.1,N(Parameter!$M$21)))</f>
        <v>0.0833333333333333</v>
      </c>
      <c r="BC1060" s="50" t="n">
        <f aca="false">BB1060*CB1060</f>
        <v>12.0833333333333</v>
      </c>
      <c r="BD1060" s="51" t="n">
        <f aca="false">IF(LEFT(Cockpit!$O$5,1)="A",H1060,IF(CH1060=1,(CK1060+CI1060)/2,IF(LEFT(Cockpit!$O$5,1)="B",(CK1060+BF1060)/2,MAX((CK1060+BF1060)/2,H1060))))</f>
        <v>10</v>
      </c>
      <c r="BE1060" s="50" t="n">
        <f aca="false">BD1060*G1060</f>
        <v>300.5</v>
      </c>
      <c r="BF1060" s="50" t="n">
        <f aca="false">ROUNDUP(CK1060+MAX(CL1060,2*(J1060/IF(CG1060&gt;0,CG1060,MAX(0.1,N(Cockpit!$O$6)))-CK1060)),0)</f>
        <v>20</v>
      </c>
      <c r="BG1060" s="51" t="n">
        <f aca="false">IF(BC1060&gt;0,J1060/BC1060,-1)</f>
        <v>1.6551724137931</v>
      </c>
      <c r="BH1060" s="51" t="n">
        <f aca="false">IF(AND(OR(CF1060="L1",CF1060="L23",CF1060="LIFT"),BC1060&gt;0),SUMIFS($BC$7:$BC$1843,$CF$7:$CF$1843,CF1060,$BG$7:$BG$1843,"&gt;"&amp;BG1060)+SUMIFS($BC$7:$BC$1843,$CF$7:$CF$1843,CF1060,$BG$7:$BG$1843,BG1060,$BW$7:$BW$1843,"&lt;="&amp;BW1060),"")</f>
        <v>6412.2586996337</v>
      </c>
      <c r="BI1060" s="58" t="n">
        <f aca="false">IF(BH1060="",0,MAX(0,MIN(1,(IF(CF1060="L1",Parameter!$H$5,IF(CF1060="L23",Parameter!$H$6+Parameter!$H$7,Parameter!$H$5+Parameter!$H$6+Parameter!$H$7))-(BH1060-BC1060))/BC1060)))</f>
        <v>1</v>
      </c>
      <c r="BJ1060" s="48" t="str">
        <f aca="false">IF(AI1060&lt;=0,"",IF(CF1060="Aussen","Aussenlager",IF(CF1060="-","Nicht im Lift",IF(AO1060&gt;=1,"Lift",IF(AO1060&lt;=0,"Aussenlager","teilweise")))))</f>
        <v>Lift</v>
      </c>
      <c r="BK1060" s="48" t="str">
        <f aca="false">IF(AS1060&lt;=0,"",IF(CF1060="Aussen","Aussenlager",IF(CF1060="-","Nicht im Lift",IF(AY1060&gt;=1,"Lift",IF(AY1060&lt;=0,"Aussenlager","teilweise")))))</f>
        <v>Lift</v>
      </c>
      <c r="BL1060" s="48" t="str">
        <f aca="false">IF(BC1060&lt;=0,"",IF(CF1060="Aussen","Aussenlager",IF(CF1060="-","Nicht im Lift",IF(BI1060&gt;=1,"Lift",IF(BI1060&lt;=0,"Aussenlager","teilweise")))))</f>
        <v>Lift</v>
      </c>
      <c r="BM1060" s="48" t="str">
        <f aca="false">IF(A1060="","",IF(BV1060=1,"Neu; ","")&amp;IF(AND(BV1060=0,BQ1060&lt;0),"negativer Bestand (Export "&amp;BQ1060&amp;"); ","")&amp;IF(J1060&lt;=0,"Kein Verbrauch; ","")&amp;IF(CQ1060&gt;0,"Lift "&amp;W1060&amp;" lt. Liftbericht (Fach "&amp;X1060&amp;" Stk); ",IF(CA1060=1,"Gebinde geschätzt ("&amp;T1060&amp;"); ",IF(BZ1060=1,"Lose – Tablare geschätzt; ","")))&amp;IF(H1060&gt;AV1060,"Überbestand "&amp;ROUND(H1060-AV1060,0)&amp;" Stk / CHF "&amp;ROUND((H1060-AV1060)*G1060,0)&amp;"; ","")&amp;IF(AND(CH1060=1,CI1060&lt;CJ1060),"MAX &lt; MB+LG; ","")&amp;IF(AND(CP1060&gt;0,CO1060*10&gt;CP1060),"zu hoch für Tablar; ","")&amp;IF(AND(BV1060=0,OR(CH1060=1,AA1060&lt;&gt;"",U1060&lt;&gt;"",V1060&lt;&gt;"",AB1060&lt;&gt;"")),"manuell übersteuert; ","")&amp;IF(AND(BZ1060=0,R1060=0),"Gebinde unbekannt / Stellmass fehlt; ","")&amp;IF(AND(BZ1060=0,N(V1060)&lt;=0,N(Q1060)&lt;=0),"Menge pro Gebinde fehlt (Ist = 1 Gebinde); ","")&amp;BU1060)</f>
        <v>negativer Bestand (Export -5); </v>
      </c>
      <c r="BN1060" s="48"/>
      <c r="BO1060" s="48"/>
      <c r="BP1060" s="55"/>
      <c r="BQ1060" s="50" t="n">
        <v>-5</v>
      </c>
      <c r="BR1060" s="50" t="n">
        <v>10</v>
      </c>
      <c r="BS1060" s="49" t="n">
        <v>-155.05</v>
      </c>
      <c r="BT1060" s="50" t="n">
        <v>20</v>
      </c>
      <c r="BU1060" s="48"/>
      <c r="BV1060" s="53" t="n">
        <v>0</v>
      </c>
      <c r="BW1060" s="53" t="n">
        <v>1060</v>
      </c>
      <c r="BX1060" s="48" t="str">
        <f aca="false">IF(U1060&lt;&gt;"",UPPER(TRIM(U1060)),IF(CA1060=1,UPPER(VLOOKUP(T1060,Parameter!$I$27:$K$29,2,0)),IF(P1060="","LOSE",P1060)))</f>
        <v>S61</v>
      </c>
      <c r="BY1060" s="50" t="n">
        <f aca="false">IF(BX1060="LOSE",1,IF(N(V1060)&gt;0,V1060,IF(CA1060=1,MAX(1,N(VLOOKUP(T1060,Parameter!$I$27:$K$29,3,0)),H1060,N(N1060)),IF(N(Q1060)&gt;0,Q1060,MAX(1,H1060)))))</f>
        <v>24</v>
      </c>
      <c r="BZ1060" s="53" t="n">
        <f aca="false">IF(BX1060="LOSE",1,0)</f>
        <v>0</v>
      </c>
      <c r="CA1060" s="53" t="n">
        <f aca="false">IF(AND(U1060="",OR(P1060="",P1060="LOSE"),T1060&lt;&gt;"",N(S1060)&lt;=0,ISNUMBER(MATCH(T1060,Parameter!$I$27:$I$29,0))),1,0)</f>
        <v>0</v>
      </c>
      <c r="CB1060" s="53" t="n">
        <f aca="false">IF(CQ1060&gt;0,INDEX(Parameter!$H$5:$H$7,W1060)/INDEX(Parameter!$E$5:$E$7,W1060),IF(AND(BZ1060=0,N(IFERROR(VLOOKUP(BX1060,'Gebinde-Kategorie'!$A$5:$N$45,14,0),0))&gt;0),VLOOKUP(BX1060,'Gebinde-Kategorie'!$A$5:$N$45,14,0)*10+Parameter!$M$23,Parameter!$M$24))</f>
        <v>145</v>
      </c>
      <c r="CC1060" s="48" t="str">
        <f aca="false">IF(AND(Parameter!$B$19="Ja",E1060&lt;&gt;"",ISNUMBER(MATCH(E1060,Parameter!$I$35:$I$52,0))),VLOOKUP(E1060,Parameter!$I$35:$J$52,2,0),IFERROR(VLOOKUP(D1060,Parameter!$A$35:$C$64,2,0),"Nein"))</f>
        <v>2+3</v>
      </c>
      <c r="CD1060" s="52" t="n">
        <f aca="false">IF(BZ1060=0,0,IF(N(S1060)&gt;0,S1060,IFERROR(VLOOKUP(D1060,Parameter!$A$35:$C$64,3,0)+0,0)))</f>
        <v>0</v>
      </c>
      <c r="CE1060" s="48" t="n">
        <f aca="false">IF(AA1060&lt;&gt;"",AA1060,Z1060)</f>
        <v>2</v>
      </c>
      <c r="CF1060" s="48" t="str">
        <f aca="false">IF(OR(CE1060=1,CE1060=2,CE1060=3),IF(Parameter!$E$27="Ja","LIFT",IF(CE1060=1,"L1","L23")),IF(CE1060="Aussen","Aussen","-"))</f>
        <v>LIFT</v>
      </c>
      <c r="CG1060" s="59" t="n">
        <f aca="false">IF(N(AB1060)&gt;0,AB1060,0)</f>
        <v>0</v>
      </c>
      <c r="CH1060" s="53" t="n">
        <f aca="false">IF(ISNUMBER(AE1060),1,0)</f>
        <v>0</v>
      </c>
      <c r="CI1060" s="50" t="n">
        <f aca="false">N(AE1060)</f>
        <v>0</v>
      </c>
      <c r="CJ1060" s="50" t="n">
        <f aca="false">N(M1060)+N(N1060)</f>
        <v>20</v>
      </c>
      <c r="CK1060" s="50" t="n">
        <f aca="false">N(M1060)</f>
        <v>0</v>
      </c>
      <c r="CL1060" s="50" t="n">
        <f aca="false">N(N1060)</f>
        <v>20</v>
      </c>
      <c r="CM1060" s="50" t="n">
        <f aca="false">ROUNDUP(H1060/BY1060,0)</f>
        <v>1</v>
      </c>
      <c r="CN1060" s="50" t="n">
        <f aca="false">ROUNDUP(CI1060/BY1060,0)</f>
        <v>0</v>
      </c>
      <c r="CO1060" s="53" t="n">
        <f aca="false">IF(BZ1060=1,0,IFERROR(VLOOKUP(BX1060,'Gebinde-Kategorie'!$A$5:$N$45,5,0)+0,0))</f>
        <v>11</v>
      </c>
      <c r="CP1060" s="53" t="n">
        <f aca="false">IFERROR(IF(OR(CE1060=1,CE1060=2,CE1060=3),N(INDEX(Parameter!$I$5:$I$7,CE1060)),0),0)</f>
        <v>0</v>
      </c>
      <c r="CQ1060" s="52" t="n">
        <f aca="false">IF(AND(Parameter!$B$21="Ja",ISNUMBER(W1060),N(X1060)&gt;0),IFERROR(N(INDEX(Parameter!$L$5:$L$7,W1060))*INDEX(Parameter!$E$5:$E$7,W1060)*X1060/SUMIFS($X$7:$X$1843,$W$7:$W$1843,W1060),0),0)</f>
        <v>0</v>
      </c>
    </row>
    <row r="1061" customFormat="false" ht="15" hidden="false" customHeight="false" outlineLevel="0" collapsed="false">
      <c r="A1061" s="48" t="s">
        <v>1947</v>
      </c>
      <c r="B1061" s="48" t="s">
        <v>1948</v>
      </c>
      <c r="C1061" s="48" t="s">
        <v>173</v>
      </c>
      <c r="D1061" s="48" t="s">
        <v>193</v>
      </c>
      <c r="E1061" s="48"/>
      <c r="F1061" s="48" t="s">
        <v>227</v>
      </c>
      <c r="G1061" s="49" t="n">
        <v>156.88</v>
      </c>
      <c r="H1061" s="50" t="n">
        <f aca="false">MAX(0,IF(AND(Parameter!$B$21="Ja",ISNUMBER(Y1061)),Y1061,IF(Parameter!$B$20="Jahresanfang 2025 + Export",BR1061+BQ1061,BQ1061)))</f>
        <v>6</v>
      </c>
      <c r="I1061" s="50" t="n">
        <f aca="false">H1061*G1061</f>
        <v>941.28</v>
      </c>
      <c r="J1061" s="50" t="n">
        <f aca="false">BT1061*Parameter!$B$18</f>
        <v>1</v>
      </c>
      <c r="K1061" s="51" t="n">
        <v>6.5</v>
      </c>
      <c r="L1061" s="52" t="n">
        <v>0.153846153846154</v>
      </c>
      <c r="M1061" s="50" t="n">
        <v>0</v>
      </c>
      <c r="N1061" s="50" t="n">
        <v>1</v>
      </c>
      <c r="O1061" s="53" t="n">
        <v>21</v>
      </c>
      <c r="P1061" s="48" t="s">
        <v>337</v>
      </c>
      <c r="Q1061" s="50" t="n">
        <v>6</v>
      </c>
      <c r="R1061" s="53" t="n">
        <f aca="false">IF(BZ1061=1,0,IFERROR(VLOOKUP(BX1061,'Gebinde-Kategorie'!$A$5:$N$45,13,0)+0,0))</f>
        <v>52</v>
      </c>
      <c r="S1061" s="54"/>
      <c r="T1061" s="55"/>
      <c r="U1061" s="55"/>
      <c r="V1061" s="55"/>
      <c r="W1061" s="48"/>
      <c r="X1061" s="50"/>
      <c r="Y1061" s="50"/>
      <c r="Z1061" s="48" t="n">
        <f aca="false">IF(A1061="","",IF(AND(Parameter!$B$21="Ja",ISNUMBER(W1061)),W1061,IF(CC1061="2+3",IF(ISNUMBER(SEARCH("grosser Artikel",BU1061)),2,IFERROR(VLOOKUP(BX1061,Parameter!$F$35:$G$64,2,0),2)),IF(OR(CC1061="Nein",CC1061=""),"-",CC1061))))</f>
        <v>3</v>
      </c>
      <c r="AA1061" s="55"/>
      <c r="AB1061" s="56"/>
      <c r="AC1061" s="50" t="n">
        <f aca="false">AV1061</f>
        <v>1</v>
      </c>
      <c r="AD1061" s="50" t="n">
        <f aca="false">MAX(AV1061,H1061)</f>
        <v>6</v>
      </c>
      <c r="AE1061" s="57"/>
      <c r="AF1061" s="50" t="n">
        <f aca="false">IF(LEFT(Cockpit!$C$5,1)="A",H1061,IF(Parameter!$E$30="MAX-Bestand",IF(CH1061=1,CI1061,IF(LEFT(Cockpit!$C$5,1)="B",AL1061,MAX(AL1061,H1061))),ROUNDUP(AJ1061,0)))</f>
        <v>6</v>
      </c>
      <c r="AG1061" s="50" t="n">
        <f aca="false">IF(BZ1061=1,0,ROUNDUP(AF1061/BY1061,0))</f>
        <v>1</v>
      </c>
      <c r="AH1061" s="52" t="n">
        <f aca="false">IF(CQ1061&gt;0,CQ1061*MAX(1,AF1061/X1061),IF(BZ1061=1,IF(AF1061&lt;=0,0,CD1061*MAX(1,IF(H1061&gt;0,AF1061/H1061,1))),IF(R1061&gt;0,AG1061/R1061,0))/MAX(0.1,N(Parameter!$M$21)))</f>
        <v>0.0192307692307692</v>
      </c>
      <c r="AI1061" s="50" t="n">
        <f aca="false">AH1061*CB1061</f>
        <v>2.98076923076923</v>
      </c>
      <c r="AJ1061" s="51" t="n">
        <f aca="false">IF(LEFT(Cockpit!$C$5,1)="A",H1061,IF(CH1061=1,(CK1061+CI1061)/2,IF(LEFT(Cockpit!$C$5,1)="B",(CK1061+AL1061)/2,MAX((CK1061+AL1061)/2,H1061))))</f>
        <v>6</v>
      </c>
      <c r="AK1061" s="50" t="n">
        <f aca="false">AJ1061*G1061</f>
        <v>941.28</v>
      </c>
      <c r="AL1061" s="50" t="n">
        <f aca="false">ROUNDUP(CK1061+MAX(CL1061,2*(J1061/IF(CG1061&gt;0,CG1061,MAX(0.1,N(Cockpit!$C$6)))-CK1061)),0)</f>
        <v>1</v>
      </c>
      <c r="AM1061" s="51" t="n">
        <f aca="false">IF(AI1061&gt;0,J1061/AI1061,-1)</f>
        <v>0.335483870967742</v>
      </c>
      <c r="AN1061" s="51" t="n">
        <f aca="false">IF(AND(OR(CF1061="L1",CF1061="L23",CF1061="LIFT"),AI1061&gt;0),SUMIFS($AI$7:$AI$1843,$CF$7:$CF$1843,CF1061,$AM$7:$AM$1843,"&gt;"&amp;AM1061)+SUMIFS($AI$7:$AI$1843,$CF$7:$CF$1843,CF1061,$AM$7:$AM$1843,AM1061,$BW$7:$BW$1843,"&lt;="&amp;BW1061),"")</f>
        <v>11221.7885779475</v>
      </c>
      <c r="AO1061" s="58" t="n">
        <f aca="false">IF(AN1061="",0,MAX(0,MIN(1,(IF(CF1061="L1",Parameter!$H$5,IF(CF1061="L23",Parameter!$H$6+Parameter!$H$7,Parameter!$H$5+Parameter!$H$6+Parameter!$H$7))-(AN1061-AI1061))/AI1061)))</f>
        <v>1</v>
      </c>
      <c r="AP1061" s="50" t="n">
        <f aca="false">IF(LEFT(Cockpit!$I$5,1)="A",H1061,IF(Parameter!$E$30="MAX-Bestand",IF(CH1061=1,CI1061,IF(LEFT(Cockpit!$I$5,1)="B",AV1061,MAX(AV1061,H1061))),ROUNDUP(AT1061,0)))</f>
        <v>6</v>
      </c>
      <c r="AQ1061" s="50" t="n">
        <f aca="false">IF(BZ1061=1,0,ROUNDUP(AP1061/BY1061,0))</f>
        <v>1</v>
      </c>
      <c r="AR1061" s="52" t="n">
        <f aca="false">IF(CQ1061&gt;0,CQ1061*MAX(1,AP1061/X1061),IF(BZ1061=1,IF(AP1061&lt;=0,0,CD1061*MAX(1,IF(H1061&gt;0,AP1061/H1061,1))),IF(R1061&gt;0,AQ1061/R1061,0))/MAX(0.1,N(Parameter!$M$21)))</f>
        <v>0.0192307692307692</v>
      </c>
      <c r="AS1061" s="50" t="n">
        <f aca="false">AR1061*CB1061</f>
        <v>2.98076923076923</v>
      </c>
      <c r="AT1061" s="51" t="n">
        <f aca="false">IF(LEFT(Cockpit!$I$5,1)="A",H1061,IF(CH1061=1,(CK1061+CI1061)/2,IF(LEFT(Cockpit!$I$5,1)="B",(CK1061+AV1061)/2,MAX((CK1061+AV1061)/2,H1061))))</f>
        <v>6</v>
      </c>
      <c r="AU1061" s="50" t="n">
        <f aca="false">AT1061*G1061</f>
        <v>941.28</v>
      </c>
      <c r="AV1061" s="50" t="n">
        <f aca="false">ROUNDUP(CK1061+MAX(CL1061,2*(J1061/IF(CG1061&gt;0,CG1061,MAX(0.1,N(Cockpit!$I$6)))-CK1061)),0)</f>
        <v>1</v>
      </c>
      <c r="AW1061" s="51" t="n">
        <f aca="false">IF(AS1061&gt;0,J1061/AS1061,-1)</f>
        <v>0.335483870967742</v>
      </c>
      <c r="AX1061" s="51" t="n">
        <f aca="false">IF(AND(OR(CF1061="L1",CF1061="L23",CF1061="LIFT"),AS1061&gt;0),SUMIFS($AS$7:$AS$1843,$CF$7:$CF$1843,CF1061,$AW$7:$AW$1843,"&gt;"&amp;AW1061)+SUMIFS($AS$7:$AS$1843,$CF$7:$CF$1843,CF1061,$AW$7:$AW$1843,AW1061,$BW$7:$BW$1843,"&lt;="&amp;BW1061),"")</f>
        <v>13755.9262820513</v>
      </c>
      <c r="AY1061" s="58" t="n">
        <f aca="false">IF(AX1061="",0,MAX(0,MIN(1,(IF(CF1061="L1",Parameter!$H$5,IF(CF1061="L23",Parameter!$H$6+Parameter!$H$7,Parameter!$H$5+Parameter!$H$6+Parameter!$H$7))-(AX1061-AS1061))/AS1061)))</f>
        <v>1</v>
      </c>
      <c r="AZ1061" s="50" t="n">
        <f aca="false">IF(LEFT(Cockpit!$O$5,1)="A",H1061,IF(Parameter!$E$30="MAX-Bestand",IF(CH1061=1,CI1061,IF(LEFT(Cockpit!$O$5,1)="B",BF1061,MAX(BF1061,H1061))),ROUNDUP(BD1061,0)))</f>
        <v>1</v>
      </c>
      <c r="BA1061" s="50" t="n">
        <f aca="false">IF(BZ1061=1,0,ROUNDUP(AZ1061/BY1061,0))</f>
        <v>1</v>
      </c>
      <c r="BB1061" s="52" t="n">
        <f aca="false">IF(CQ1061&gt;0,CQ1061*MAX(1,AZ1061/X1061),IF(BZ1061=1,IF(AZ1061&lt;=0,0,CD1061*MAX(1,IF(H1061&gt;0,AZ1061/H1061,1))),IF(R1061&gt;0,BA1061/R1061,0))/MAX(0.1,N(Parameter!$M$21)))</f>
        <v>0.0192307692307692</v>
      </c>
      <c r="BC1061" s="50" t="n">
        <f aca="false">BB1061*CB1061</f>
        <v>2.98076923076923</v>
      </c>
      <c r="BD1061" s="51" t="n">
        <f aca="false">IF(LEFT(Cockpit!$O$5,1)="A",H1061,IF(CH1061=1,(CK1061+CI1061)/2,IF(LEFT(Cockpit!$O$5,1)="B",(CK1061+BF1061)/2,MAX((CK1061+BF1061)/2,H1061))))</f>
        <v>0.5</v>
      </c>
      <c r="BE1061" s="50" t="n">
        <f aca="false">BD1061*G1061</f>
        <v>78.44</v>
      </c>
      <c r="BF1061" s="50" t="n">
        <f aca="false">ROUNDUP(CK1061+MAX(CL1061,2*(J1061/IF(CG1061&gt;0,CG1061,MAX(0.1,N(Cockpit!$O$6)))-CK1061)),0)</f>
        <v>1</v>
      </c>
      <c r="BG1061" s="51" t="n">
        <f aca="false">IF(BC1061&gt;0,J1061/BC1061,-1)</f>
        <v>0.335483870967742</v>
      </c>
      <c r="BH1061" s="51" t="n">
        <f aca="false">IF(AND(OR(CF1061="L1",CF1061="L23",CF1061="LIFT"),BC1061&gt;0),SUMIFS($BC$7:$BC$1843,$CF$7:$CF$1843,CF1061,$BG$7:$BG$1843,"&gt;"&amp;BG1061)+SUMIFS($BC$7:$BC$1843,$CF$7:$CF$1843,CF1061,$BG$7:$BG$1843,BG1061,$BW$7:$BW$1843,"&lt;="&amp;BW1061),"")</f>
        <v>11606.8850732601</v>
      </c>
      <c r="BI1061" s="58" t="n">
        <f aca="false">IF(BH1061="",0,MAX(0,MIN(1,(IF(CF1061="L1",Parameter!$H$5,IF(CF1061="L23",Parameter!$H$6+Parameter!$H$7,Parameter!$H$5+Parameter!$H$6+Parameter!$H$7))-(BH1061-BC1061))/BC1061)))</f>
        <v>1</v>
      </c>
      <c r="BJ1061" s="48" t="str">
        <f aca="false">IF(AI1061&lt;=0,"",IF(CF1061="Aussen","Aussenlager",IF(CF1061="-","Nicht im Lift",IF(AO1061&gt;=1,"Lift",IF(AO1061&lt;=0,"Aussenlager","teilweise")))))</f>
        <v>Lift</v>
      </c>
      <c r="BK1061" s="48" t="str">
        <f aca="false">IF(AS1061&lt;=0,"",IF(CF1061="Aussen","Aussenlager",IF(CF1061="-","Nicht im Lift",IF(AY1061&gt;=1,"Lift",IF(AY1061&lt;=0,"Aussenlager","teilweise")))))</f>
        <v>Lift</v>
      </c>
      <c r="BL1061" s="48" t="str">
        <f aca="false">IF(BC1061&lt;=0,"",IF(CF1061="Aussen","Aussenlager",IF(CF1061="-","Nicht im Lift",IF(BI1061&gt;=1,"Lift",IF(BI1061&lt;=0,"Aussenlager","teilweise")))))</f>
        <v>Lift</v>
      </c>
      <c r="BM1061" s="48" t="str">
        <f aca="false">IF(A1061="","",IF(BV1061=1,"Neu; ","")&amp;IF(AND(BV1061=0,BQ1061&lt;0),"negativer Bestand (Export "&amp;BQ1061&amp;"); ","")&amp;IF(J1061&lt;=0,"Kein Verbrauch; ","")&amp;IF(CQ1061&gt;0,"Lift "&amp;W1061&amp;" lt. Liftbericht (Fach "&amp;X1061&amp;" Stk); ",IF(CA1061=1,"Gebinde geschätzt ("&amp;T1061&amp;"); ",IF(BZ1061=1,"Lose – Tablare geschätzt; ","")))&amp;IF(H1061&gt;AV1061,"Überbestand "&amp;ROUND(H1061-AV1061,0)&amp;" Stk / CHF "&amp;ROUND((H1061-AV1061)*G1061,0)&amp;"; ","")&amp;IF(AND(CH1061=1,CI1061&lt;CJ1061),"MAX &lt; MB+LG; ","")&amp;IF(AND(CP1061&gt;0,CO1061*10&gt;CP1061),"zu hoch für Tablar; ","")&amp;IF(AND(BV1061=0,OR(CH1061=1,AA1061&lt;&gt;"",U1061&lt;&gt;"",V1061&lt;&gt;"",AB1061&lt;&gt;"")),"manuell übersteuert; ","")&amp;IF(AND(BZ1061=0,R1061=0),"Gebinde unbekannt / Stellmass fehlt; ","")&amp;IF(AND(BZ1061=0,N(V1061)&lt;=0,N(Q1061)&lt;=0),"Menge pro Gebinde fehlt (Ist = 1 Gebinde); ","")&amp;BU1061)</f>
        <v>negativer Bestand (Export -1); Überbestand 5 Stk / CHF 784; </v>
      </c>
      <c r="BN1061" s="48"/>
      <c r="BO1061" s="48"/>
      <c r="BP1061" s="55"/>
      <c r="BQ1061" s="50" t="n">
        <v>-1</v>
      </c>
      <c r="BR1061" s="50" t="n">
        <v>7</v>
      </c>
      <c r="BS1061" s="49" t="n">
        <v>-156.88</v>
      </c>
      <c r="BT1061" s="50" t="n">
        <v>1</v>
      </c>
      <c r="BU1061" s="48"/>
      <c r="BV1061" s="53" t="n">
        <v>0</v>
      </c>
      <c r="BW1061" s="53" t="n">
        <v>1061</v>
      </c>
      <c r="BX1061" s="48" t="str">
        <f aca="false">IF(U1061&lt;&gt;"",UPPER(TRIM(U1061)),IF(CA1061=1,UPPER(VLOOKUP(T1061,Parameter!$I$27:$K$29,2,0)),IF(P1061="","LOSE",P1061)))</f>
        <v>S41</v>
      </c>
      <c r="BY1061" s="50" t="n">
        <f aca="false">IF(BX1061="LOSE",1,IF(N(V1061)&gt;0,V1061,IF(CA1061=1,MAX(1,N(VLOOKUP(T1061,Parameter!$I$27:$K$29,3,0)),H1061,N(N1061)),IF(N(Q1061)&gt;0,Q1061,MAX(1,H1061)))))</f>
        <v>6</v>
      </c>
      <c r="BZ1061" s="53" t="n">
        <f aca="false">IF(BX1061="LOSE",1,0)</f>
        <v>0</v>
      </c>
      <c r="CA1061" s="53" t="n">
        <f aca="false">IF(AND(U1061="",OR(P1061="",P1061="LOSE"),T1061&lt;&gt;"",N(S1061)&lt;=0,ISNUMBER(MATCH(T1061,Parameter!$I$27:$I$29,0))),1,0)</f>
        <v>0</v>
      </c>
      <c r="CB1061" s="53" t="n">
        <f aca="false">IF(CQ1061&gt;0,INDEX(Parameter!$H$5:$H$7,W1061)/INDEX(Parameter!$E$5:$E$7,W1061),IF(AND(BZ1061=0,N(IFERROR(VLOOKUP(BX1061,'Gebinde-Kategorie'!$A$5:$N$45,14,0),0))&gt;0),VLOOKUP(BX1061,'Gebinde-Kategorie'!$A$5:$N$45,14,0)*10+Parameter!$M$23,Parameter!$M$24))</f>
        <v>155</v>
      </c>
      <c r="CC1061" s="48" t="str">
        <f aca="false">IF(AND(Parameter!$B$19="Ja",E1061&lt;&gt;"",ISNUMBER(MATCH(E1061,Parameter!$I$35:$I$52,0))),VLOOKUP(E1061,Parameter!$I$35:$J$52,2,0),IFERROR(VLOOKUP(D1061,Parameter!$A$35:$C$64,2,0),"Nein"))</f>
        <v>2+3</v>
      </c>
      <c r="CD1061" s="52" t="n">
        <f aca="false">IF(BZ1061=0,0,IF(N(S1061)&gt;0,S1061,IFERROR(VLOOKUP(D1061,Parameter!$A$35:$C$64,3,0)+0,0)))</f>
        <v>0</v>
      </c>
      <c r="CE1061" s="48" t="n">
        <f aca="false">IF(AA1061&lt;&gt;"",AA1061,Z1061)</f>
        <v>3</v>
      </c>
      <c r="CF1061" s="48" t="str">
        <f aca="false">IF(OR(CE1061=1,CE1061=2,CE1061=3),IF(Parameter!$E$27="Ja","LIFT",IF(CE1061=1,"L1","L23")),IF(CE1061="Aussen","Aussen","-"))</f>
        <v>LIFT</v>
      </c>
      <c r="CG1061" s="59" t="n">
        <f aca="false">IF(N(AB1061)&gt;0,AB1061,0)</f>
        <v>0</v>
      </c>
      <c r="CH1061" s="53" t="n">
        <f aca="false">IF(ISNUMBER(AE1061),1,0)</f>
        <v>0</v>
      </c>
      <c r="CI1061" s="50" t="n">
        <f aca="false">N(AE1061)</f>
        <v>0</v>
      </c>
      <c r="CJ1061" s="50" t="n">
        <f aca="false">N(M1061)+N(N1061)</f>
        <v>1</v>
      </c>
      <c r="CK1061" s="50" t="n">
        <f aca="false">N(M1061)</f>
        <v>0</v>
      </c>
      <c r="CL1061" s="50" t="n">
        <f aca="false">N(N1061)</f>
        <v>1</v>
      </c>
      <c r="CM1061" s="50" t="n">
        <f aca="false">ROUNDUP(H1061/BY1061,0)</f>
        <v>1</v>
      </c>
      <c r="CN1061" s="50" t="n">
        <f aca="false">ROUNDUP(CI1061/BY1061,0)</f>
        <v>0</v>
      </c>
      <c r="CO1061" s="53" t="n">
        <f aca="false">IF(BZ1061=1,0,IFERROR(VLOOKUP(BX1061,'Gebinde-Kategorie'!$A$5:$N$45,5,0)+0,0))</f>
        <v>11</v>
      </c>
      <c r="CP1061" s="53" t="n">
        <f aca="false">IFERROR(IF(OR(CE1061=1,CE1061=2,CE1061=3),N(INDEX(Parameter!$I$5:$I$7,CE1061)),0),0)</f>
        <v>0</v>
      </c>
      <c r="CQ1061" s="52" t="n">
        <f aca="false">IF(AND(Parameter!$B$21="Ja",ISNUMBER(W1061),N(X1061)&gt;0),IFERROR(N(INDEX(Parameter!$L$5:$L$7,W1061))*INDEX(Parameter!$E$5:$E$7,W1061)*X1061/SUMIFS($X$7:$X$1843,$W$7:$W$1843,W1061),0),0)</f>
        <v>0</v>
      </c>
    </row>
    <row r="1062" customFormat="false" ht="15" hidden="false" customHeight="false" outlineLevel="0" collapsed="false">
      <c r="A1062" s="48" t="s">
        <v>1949</v>
      </c>
      <c r="B1062" s="48" t="s">
        <v>758</v>
      </c>
      <c r="C1062" s="48" t="s">
        <v>173</v>
      </c>
      <c r="D1062" s="48" t="s">
        <v>193</v>
      </c>
      <c r="E1062" s="48"/>
      <c r="F1062" s="48" t="s">
        <v>227</v>
      </c>
      <c r="G1062" s="49" t="n">
        <v>157.08</v>
      </c>
      <c r="H1062" s="50" t="n">
        <f aca="false">MAX(0,IF(AND(Parameter!$B$21="Ja",ISNUMBER(Y1062)),Y1062,IF(Parameter!$B$20="Jahresanfang 2025 + Export",BR1062+BQ1062,BQ1062)))</f>
        <v>4</v>
      </c>
      <c r="I1062" s="50" t="n">
        <f aca="false">H1062*G1062</f>
        <v>628.32</v>
      </c>
      <c r="J1062" s="50" t="n">
        <f aca="false">BT1062*Parameter!$B$18</f>
        <v>1</v>
      </c>
      <c r="K1062" s="51" t="n">
        <v>4.5</v>
      </c>
      <c r="L1062" s="52" t="n">
        <v>0.222222222222222</v>
      </c>
      <c r="M1062" s="50" t="n">
        <v>0</v>
      </c>
      <c r="N1062" s="50" t="n">
        <v>1</v>
      </c>
      <c r="O1062" s="53" t="n">
        <v>28</v>
      </c>
      <c r="P1062" s="48" t="s">
        <v>430</v>
      </c>
      <c r="Q1062" s="50" t="n">
        <v>5</v>
      </c>
      <c r="R1062" s="53" t="n">
        <f aca="false">IF(BZ1062=1,0,IFERROR(VLOOKUP(BX1062,'Gebinde-Kategorie'!$A$5:$N$45,13,0)+0,0))</f>
        <v>104</v>
      </c>
      <c r="S1062" s="54"/>
      <c r="T1062" s="55"/>
      <c r="U1062" s="55"/>
      <c r="V1062" s="55"/>
      <c r="W1062" s="48"/>
      <c r="X1062" s="50"/>
      <c r="Y1062" s="50"/>
      <c r="Z1062" s="48" t="n">
        <f aca="false">IF(A1062="","",IF(AND(Parameter!$B$21="Ja",ISNUMBER(W1062)),W1062,IF(CC1062="2+3",IF(ISNUMBER(SEARCH("grosser Artikel",BU1062)),2,IFERROR(VLOOKUP(BX1062,Parameter!$F$35:$G$64,2,0),2)),IF(OR(CC1062="Nein",CC1062=""),"-",CC1062))))</f>
        <v>3</v>
      </c>
      <c r="AA1062" s="55"/>
      <c r="AB1062" s="56"/>
      <c r="AC1062" s="50" t="n">
        <f aca="false">AV1062</f>
        <v>1</v>
      </c>
      <c r="AD1062" s="50" t="n">
        <f aca="false">MAX(AV1062,H1062)</f>
        <v>4</v>
      </c>
      <c r="AE1062" s="57"/>
      <c r="AF1062" s="50" t="n">
        <f aca="false">IF(LEFT(Cockpit!$C$5,1)="A",H1062,IF(Parameter!$E$30="MAX-Bestand",IF(CH1062=1,CI1062,IF(LEFT(Cockpit!$C$5,1)="B",AL1062,MAX(AL1062,H1062))),ROUNDUP(AJ1062,0)))</f>
        <v>4</v>
      </c>
      <c r="AG1062" s="50" t="n">
        <f aca="false">IF(BZ1062=1,0,ROUNDUP(AF1062/BY1062,0))</f>
        <v>1</v>
      </c>
      <c r="AH1062" s="52" t="n">
        <f aca="false">IF(CQ1062&gt;0,CQ1062*MAX(1,AF1062/X1062),IF(BZ1062=1,IF(AF1062&lt;=0,0,CD1062*MAX(1,IF(H1062&gt;0,AF1062/H1062,1))),IF(R1062&gt;0,AG1062/R1062,0))/MAX(0.1,N(Parameter!$M$21)))</f>
        <v>0.00961538461538462</v>
      </c>
      <c r="AI1062" s="50" t="n">
        <f aca="false">AH1062*CB1062</f>
        <v>1.49038461538462</v>
      </c>
      <c r="AJ1062" s="51" t="n">
        <f aca="false">IF(LEFT(Cockpit!$C$5,1)="A",H1062,IF(CH1062=1,(CK1062+CI1062)/2,IF(LEFT(Cockpit!$C$5,1)="B",(CK1062+AL1062)/2,MAX((CK1062+AL1062)/2,H1062))))</f>
        <v>4</v>
      </c>
      <c r="AK1062" s="50" t="n">
        <f aca="false">AJ1062*G1062</f>
        <v>628.32</v>
      </c>
      <c r="AL1062" s="50" t="n">
        <f aca="false">ROUNDUP(CK1062+MAX(CL1062,2*(J1062/IF(CG1062&gt;0,CG1062,MAX(0.1,N(Cockpit!$C$6)))-CK1062)),0)</f>
        <v>1</v>
      </c>
      <c r="AM1062" s="51" t="n">
        <f aca="false">IF(AI1062&gt;0,J1062/AI1062,-1)</f>
        <v>0.670967741935484</v>
      </c>
      <c r="AN1062" s="51" t="n">
        <f aca="false">IF(AND(OR(CF1062="L1",CF1062="L23",CF1062="LIFT"),AI1062&gt;0),SUMIFS($AI$7:$AI$1843,$CF$7:$CF$1843,CF1062,$AM$7:$AM$1843,"&gt;"&amp;AM1062)+SUMIFS($AI$7:$AI$1843,$CF$7:$CF$1843,CF1062,$AM$7:$AM$1843,AM1062,$BW$7:$BW$1843,"&lt;="&amp;BW1062),"")</f>
        <v>8629.52564102564</v>
      </c>
      <c r="AO1062" s="58" t="n">
        <f aca="false">IF(AN1062="",0,MAX(0,MIN(1,(IF(CF1062="L1",Parameter!$H$5,IF(CF1062="L23",Parameter!$H$6+Parameter!$H$7,Parameter!$H$5+Parameter!$H$6+Parameter!$H$7))-(AN1062-AI1062))/AI1062)))</f>
        <v>1</v>
      </c>
      <c r="AP1062" s="50" t="n">
        <f aca="false">IF(LEFT(Cockpit!$I$5,1)="A",H1062,IF(Parameter!$E$30="MAX-Bestand",IF(CH1062=1,CI1062,IF(LEFT(Cockpit!$I$5,1)="B",AV1062,MAX(AV1062,H1062))),ROUNDUP(AT1062,0)))</f>
        <v>4</v>
      </c>
      <c r="AQ1062" s="50" t="n">
        <f aca="false">IF(BZ1062=1,0,ROUNDUP(AP1062/BY1062,0))</f>
        <v>1</v>
      </c>
      <c r="AR1062" s="52" t="n">
        <f aca="false">IF(CQ1062&gt;0,CQ1062*MAX(1,AP1062/X1062),IF(BZ1062=1,IF(AP1062&lt;=0,0,CD1062*MAX(1,IF(H1062&gt;0,AP1062/H1062,1))),IF(R1062&gt;0,AQ1062/R1062,0))/MAX(0.1,N(Parameter!$M$21)))</f>
        <v>0.00961538461538462</v>
      </c>
      <c r="AS1062" s="50" t="n">
        <f aca="false">AR1062*CB1062</f>
        <v>1.49038461538462</v>
      </c>
      <c r="AT1062" s="51" t="n">
        <f aca="false">IF(LEFT(Cockpit!$I$5,1)="A",H1062,IF(CH1062=1,(CK1062+CI1062)/2,IF(LEFT(Cockpit!$I$5,1)="B",(CK1062+AV1062)/2,MAX((CK1062+AV1062)/2,H1062))))</f>
        <v>4</v>
      </c>
      <c r="AU1062" s="50" t="n">
        <f aca="false">AT1062*G1062</f>
        <v>628.32</v>
      </c>
      <c r="AV1062" s="50" t="n">
        <f aca="false">ROUNDUP(CK1062+MAX(CL1062,2*(J1062/IF(CG1062&gt;0,CG1062,MAX(0.1,N(Cockpit!$I$6)))-CK1062)),0)</f>
        <v>1</v>
      </c>
      <c r="AW1062" s="51" t="n">
        <f aca="false">IF(AS1062&gt;0,J1062/AS1062,-1)</f>
        <v>0.670967741935484</v>
      </c>
      <c r="AX1062" s="51" t="n">
        <f aca="false">IF(AND(OR(CF1062="L1",CF1062="L23",CF1062="LIFT"),AS1062&gt;0),SUMIFS($AS$7:$AS$1843,$CF$7:$CF$1843,CF1062,$AW$7:$AW$1843,"&gt;"&amp;AW1062)+SUMIFS($AS$7:$AS$1843,$CF$7:$CF$1843,CF1062,$AW$7:$AW$1843,AW1062,$BW$7:$BW$1843,"&lt;="&amp;BW1062),"")</f>
        <v>10923.6932234432</v>
      </c>
      <c r="AY1062" s="58" t="n">
        <f aca="false">IF(AX1062="",0,MAX(0,MIN(1,(IF(CF1062="L1",Parameter!$H$5,IF(CF1062="L23",Parameter!$H$6+Parameter!$H$7,Parameter!$H$5+Parameter!$H$6+Parameter!$H$7))-(AX1062-AS1062))/AS1062)))</f>
        <v>1</v>
      </c>
      <c r="AZ1062" s="50" t="n">
        <f aca="false">IF(LEFT(Cockpit!$O$5,1)="A",H1062,IF(Parameter!$E$30="MAX-Bestand",IF(CH1062=1,CI1062,IF(LEFT(Cockpit!$O$5,1)="B",BF1062,MAX(BF1062,H1062))),ROUNDUP(BD1062,0)))</f>
        <v>1</v>
      </c>
      <c r="BA1062" s="50" t="n">
        <f aca="false">IF(BZ1062=1,0,ROUNDUP(AZ1062/BY1062,0))</f>
        <v>1</v>
      </c>
      <c r="BB1062" s="52" t="n">
        <f aca="false">IF(CQ1062&gt;0,CQ1062*MAX(1,AZ1062/X1062),IF(BZ1062=1,IF(AZ1062&lt;=0,0,CD1062*MAX(1,IF(H1062&gt;0,AZ1062/H1062,1))),IF(R1062&gt;0,BA1062/R1062,0))/MAX(0.1,N(Parameter!$M$21)))</f>
        <v>0.00961538461538462</v>
      </c>
      <c r="BC1062" s="50" t="n">
        <f aca="false">BB1062*CB1062</f>
        <v>1.49038461538462</v>
      </c>
      <c r="BD1062" s="51" t="n">
        <f aca="false">IF(LEFT(Cockpit!$O$5,1)="A",H1062,IF(CH1062=1,(CK1062+CI1062)/2,IF(LEFT(Cockpit!$O$5,1)="B",(CK1062+BF1062)/2,MAX((CK1062+BF1062)/2,H1062))))</f>
        <v>0.5</v>
      </c>
      <c r="BE1062" s="50" t="n">
        <f aca="false">BD1062*G1062</f>
        <v>78.54</v>
      </c>
      <c r="BF1062" s="50" t="n">
        <f aca="false">ROUNDUP(CK1062+MAX(CL1062,2*(J1062/IF(CG1062&gt;0,CG1062,MAX(0.1,N(Cockpit!$O$6)))-CK1062)),0)</f>
        <v>1</v>
      </c>
      <c r="BG1062" s="51" t="n">
        <f aca="false">IF(BC1062&gt;0,J1062/BC1062,-1)</f>
        <v>0.670967741935484</v>
      </c>
      <c r="BH1062" s="51" t="n">
        <f aca="false">IF(AND(OR(CF1062="L1",CF1062="L23",CF1062="LIFT"),BC1062&gt;0),SUMIFS($BC$7:$BC$1843,$CF$7:$CF$1843,CF1062,$BG$7:$BG$1843,"&gt;"&amp;BG1062)+SUMIFS($BC$7:$BC$1843,$CF$7:$CF$1843,CF1062,$BG$7:$BG$1843,BG1062,$BW$7:$BW$1843,"&lt;="&amp;BW1062),"")</f>
        <v>9533.32738095238</v>
      </c>
      <c r="BI1062" s="58" t="n">
        <f aca="false">IF(BH1062="",0,MAX(0,MIN(1,(IF(CF1062="L1",Parameter!$H$5,IF(CF1062="L23",Parameter!$H$6+Parameter!$H$7,Parameter!$H$5+Parameter!$H$6+Parameter!$H$7))-(BH1062-BC1062))/BC1062)))</f>
        <v>1</v>
      </c>
      <c r="BJ1062" s="48" t="str">
        <f aca="false">IF(AI1062&lt;=0,"",IF(CF1062="Aussen","Aussenlager",IF(CF1062="-","Nicht im Lift",IF(AO1062&gt;=1,"Lift",IF(AO1062&lt;=0,"Aussenlager","teilweise")))))</f>
        <v>Lift</v>
      </c>
      <c r="BK1062" s="48" t="str">
        <f aca="false">IF(AS1062&lt;=0,"",IF(CF1062="Aussen","Aussenlager",IF(CF1062="-","Nicht im Lift",IF(AY1062&gt;=1,"Lift",IF(AY1062&lt;=0,"Aussenlager","teilweise")))))</f>
        <v>Lift</v>
      </c>
      <c r="BL1062" s="48" t="str">
        <f aca="false">IF(BC1062&lt;=0,"",IF(CF1062="Aussen","Aussenlager",IF(CF1062="-","Nicht im Lift",IF(BI1062&gt;=1,"Lift",IF(BI1062&lt;=0,"Aussenlager","teilweise")))))</f>
        <v>Lift</v>
      </c>
      <c r="BM1062" s="48" t="str">
        <f aca="false">IF(A1062="","",IF(BV1062=1,"Neu; ","")&amp;IF(AND(BV1062=0,BQ1062&lt;0),"negativer Bestand (Export "&amp;BQ1062&amp;"); ","")&amp;IF(J1062&lt;=0,"Kein Verbrauch; ","")&amp;IF(CQ1062&gt;0,"Lift "&amp;W1062&amp;" lt. Liftbericht (Fach "&amp;X1062&amp;" Stk); ",IF(CA1062=1,"Gebinde geschätzt ("&amp;T1062&amp;"); ",IF(BZ1062=1,"Lose – Tablare geschätzt; ","")))&amp;IF(H1062&gt;AV1062,"Überbestand "&amp;ROUND(H1062-AV1062,0)&amp;" Stk / CHF "&amp;ROUND((H1062-AV1062)*G1062,0)&amp;"; ","")&amp;IF(AND(CH1062=1,CI1062&lt;CJ1062),"MAX &lt; MB+LG; ","")&amp;IF(AND(CP1062&gt;0,CO1062*10&gt;CP1062),"zu hoch für Tablar; ","")&amp;IF(AND(BV1062=0,OR(CH1062=1,AA1062&lt;&gt;"",U1062&lt;&gt;"",V1062&lt;&gt;"",AB1062&lt;&gt;"")),"manuell übersteuert; ","")&amp;IF(AND(BZ1062=0,R1062=0),"Gebinde unbekannt / Stellmass fehlt; ","")&amp;IF(AND(BZ1062=0,N(V1062)&lt;=0,N(Q1062)&lt;=0),"Menge pro Gebinde fehlt (Ist = 1 Gebinde); ","")&amp;BU1062)</f>
        <v>negativer Bestand (Export -1); Überbestand 3 Stk / CHF 471; </v>
      </c>
      <c r="BN1062" s="48"/>
      <c r="BO1062" s="48"/>
      <c r="BP1062" s="55"/>
      <c r="BQ1062" s="50" t="n">
        <v>-1</v>
      </c>
      <c r="BR1062" s="50" t="n">
        <v>5</v>
      </c>
      <c r="BS1062" s="49" t="n">
        <v>-157.08</v>
      </c>
      <c r="BT1062" s="50" t="n">
        <v>1</v>
      </c>
      <c r="BU1062" s="48"/>
      <c r="BV1062" s="53" t="n">
        <v>0</v>
      </c>
      <c r="BW1062" s="53" t="n">
        <v>1062</v>
      </c>
      <c r="BX1062" s="48" t="str">
        <f aca="false">IF(U1062&lt;&gt;"",UPPER(TRIM(U1062)),IF(CA1062=1,UPPER(VLOOKUP(T1062,Parameter!$I$27:$K$29,2,0)),IF(P1062="","LOSE",P1062)))</f>
        <v>S32</v>
      </c>
      <c r="BY1062" s="50" t="n">
        <f aca="false">IF(BX1062="LOSE",1,IF(N(V1062)&gt;0,V1062,IF(CA1062=1,MAX(1,N(VLOOKUP(T1062,Parameter!$I$27:$K$29,3,0)),H1062,N(N1062)),IF(N(Q1062)&gt;0,Q1062,MAX(1,H1062)))))</f>
        <v>5</v>
      </c>
      <c r="BZ1062" s="53" t="n">
        <f aca="false">IF(BX1062="LOSE",1,0)</f>
        <v>0</v>
      </c>
      <c r="CA1062" s="53" t="n">
        <f aca="false">IF(AND(U1062="",OR(P1062="",P1062="LOSE"),T1062&lt;&gt;"",N(S1062)&lt;=0,ISNUMBER(MATCH(T1062,Parameter!$I$27:$I$29,0))),1,0)</f>
        <v>0</v>
      </c>
      <c r="CB1062" s="53" t="n">
        <f aca="false">IF(CQ1062&gt;0,INDEX(Parameter!$H$5:$H$7,W1062)/INDEX(Parameter!$E$5:$E$7,W1062),IF(AND(BZ1062=0,N(IFERROR(VLOOKUP(BX1062,'Gebinde-Kategorie'!$A$5:$N$45,14,0),0))&gt;0),VLOOKUP(BX1062,'Gebinde-Kategorie'!$A$5:$N$45,14,0)*10+Parameter!$M$23,Parameter!$M$24))</f>
        <v>155</v>
      </c>
      <c r="CC1062" s="48" t="str">
        <f aca="false">IF(AND(Parameter!$B$19="Ja",E1062&lt;&gt;"",ISNUMBER(MATCH(E1062,Parameter!$I$35:$I$52,0))),VLOOKUP(E1062,Parameter!$I$35:$J$52,2,0),IFERROR(VLOOKUP(D1062,Parameter!$A$35:$C$64,2,0),"Nein"))</f>
        <v>2+3</v>
      </c>
      <c r="CD1062" s="52" t="n">
        <f aca="false">IF(BZ1062=0,0,IF(N(S1062)&gt;0,S1062,IFERROR(VLOOKUP(D1062,Parameter!$A$35:$C$64,3,0)+0,0)))</f>
        <v>0</v>
      </c>
      <c r="CE1062" s="48" t="n">
        <f aca="false">IF(AA1062&lt;&gt;"",AA1062,Z1062)</f>
        <v>3</v>
      </c>
      <c r="CF1062" s="48" t="str">
        <f aca="false">IF(OR(CE1062=1,CE1062=2,CE1062=3),IF(Parameter!$E$27="Ja","LIFT",IF(CE1062=1,"L1","L23")),IF(CE1062="Aussen","Aussen","-"))</f>
        <v>LIFT</v>
      </c>
      <c r="CG1062" s="59" t="n">
        <f aca="false">IF(N(AB1062)&gt;0,AB1062,0)</f>
        <v>0</v>
      </c>
      <c r="CH1062" s="53" t="n">
        <f aca="false">IF(ISNUMBER(AE1062),1,0)</f>
        <v>0</v>
      </c>
      <c r="CI1062" s="50" t="n">
        <f aca="false">N(AE1062)</f>
        <v>0</v>
      </c>
      <c r="CJ1062" s="50" t="n">
        <f aca="false">N(M1062)+N(N1062)</f>
        <v>1</v>
      </c>
      <c r="CK1062" s="50" t="n">
        <f aca="false">N(M1062)</f>
        <v>0</v>
      </c>
      <c r="CL1062" s="50" t="n">
        <f aca="false">N(N1062)</f>
        <v>1</v>
      </c>
      <c r="CM1062" s="50" t="n">
        <f aca="false">ROUNDUP(H1062/BY1062,0)</f>
        <v>1</v>
      </c>
      <c r="CN1062" s="50" t="n">
        <f aca="false">ROUNDUP(CI1062/BY1062,0)</f>
        <v>0</v>
      </c>
      <c r="CO1062" s="53" t="n">
        <f aca="false">IF(BZ1062=1,0,IFERROR(VLOOKUP(BX1062,'Gebinde-Kategorie'!$A$5:$N$45,5,0)+0,0))</f>
        <v>8</v>
      </c>
      <c r="CP1062" s="53" t="n">
        <f aca="false">IFERROR(IF(OR(CE1062=1,CE1062=2,CE1062=3),N(INDEX(Parameter!$I$5:$I$7,CE1062)),0),0)</f>
        <v>0</v>
      </c>
      <c r="CQ1062" s="52" t="n">
        <f aca="false">IF(AND(Parameter!$B$21="Ja",ISNUMBER(W1062),N(X1062)&gt;0),IFERROR(N(INDEX(Parameter!$L$5:$L$7,W1062))*INDEX(Parameter!$E$5:$E$7,W1062)*X1062/SUMIFS($X$7:$X$1843,$W$7:$W$1843,W1062),0),0)</f>
        <v>0</v>
      </c>
    </row>
    <row r="1063" customFormat="false" ht="15" hidden="false" customHeight="false" outlineLevel="0" collapsed="false">
      <c r="A1063" s="48" t="s">
        <v>1950</v>
      </c>
      <c r="B1063" s="48" t="s">
        <v>1951</v>
      </c>
      <c r="C1063" s="48" t="s">
        <v>173</v>
      </c>
      <c r="D1063" s="48" t="s">
        <v>193</v>
      </c>
      <c r="E1063" s="48" t="s">
        <v>194</v>
      </c>
      <c r="F1063" s="48" t="s">
        <v>227</v>
      </c>
      <c r="G1063" s="49" t="n">
        <v>22.7</v>
      </c>
      <c r="H1063" s="50" t="n">
        <f aca="false">MAX(0,IF(AND(Parameter!$B$21="Ja",ISNUMBER(Y1063)),Y1063,IF(Parameter!$B$20="Jahresanfang 2025 + Export",BR1063+BQ1063,BQ1063)))</f>
        <v>4</v>
      </c>
      <c r="I1063" s="50" t="n">
        <f aca="false">H1063*G1063</f>
        <v>90.8</v>
      </c>
      <c r="J1063" s="50" t="n">
        <f aca="false">BT1063*Parameter!$B$18</f>
        <v>4</v>
      </c>
      <c r="K1063" s="51" t="n">
        <v>13</v>
      </c>
      <c r="L1063" s="52" t="n">
        <v>0.307692307692308</v>
      </c>
      <c r="M1063" s="50" t="n">
        <v>0</v>
      </c>
      <c r="N1063" s="50" t="n">
        <v>5</v>
      </c>
      <c r="O1063" s="53" t="n">
        <v>35</v>
      </c>
      <c r="P1063" s="48" t="s">
        <v>430</v>
      </c>
      <c r="Q1063" s="50" t="n">
        <v>9</v>
      </c>
      <c r="R1063" s="53" t="n">
        <f aca="false">IF(BZ1063=1,0,IFERROR(VLOOKUP(BX1063,'Gebinde-Kategorie'!$A$5:$N$45,13,0)+0,0))</f>
        <v>104</v>
      </c>
      <c r="S1063" s="54"/>
      <c r="T1063" s="55"/>
      <c r="U1063" s="55"/>
      <c r="V1063" s="55"/>
      <c r="W1063" s="48"/>
      <c r="X1063" s="50"/>
      <c r="Y1063" s="50"/>
      <c r="Z1063" s="48" t="n">
        <f aca="false">IF(A1063="","",IF(AND(Parameter!$B$21="Ja",ISNUMBER(W1063)),W1063,IF(CC1063="2+3",IF(ISNUMBER(SEARCH("grosser Artikel",BU1063)),2,IFERROR(VLOOKUP(BX1063,Parameter!$F$35:$G$64,2,0),2)),IF(OR(CC1063="Nein",CC1063=""),"-",CC1063))))</f>
        <v>3</v>
      </c>
      <c r="AA1063" s="55"/>
      <c r="AB1063" s="56"/>
      <c r="AC1063" s="50" t="n">
        <f aca="false">AV1063</f>
        <v>5</v>
      </c>
      <c r="AD1063" s="50" t="n">
        <f aca="false">MAX(AV1063,H1063)</f>
        <v>5</v>
      </c>
      <c r="AE1063" s="57"/>
      <c r="AF1063" s="50" t="n">
        <f aca="false">IF(LEFT(Cockpit!$C$5,1)="A",H1063,IF(Parameter!$E$30="MAX-Bestand",IF(CH1063=1,CI1063,IF(LEFT(Cockpit!$C$5,1)="B",AL1063,MAX(AL1063,H1063))),ROUNDUP(AJ1063,0)))</f>
        <v>4</v>
      </c>
      <c r="AG1063" s="50" t="n">
        <f aca="false">IF(BZ1063=1,0,ROUNDUP(AF1063/BY1063,0))</f>
        <v>1</v>
      </c>
      <c r="AH1063" s="52" t="n">
        <f aca="false">IF(CQ1063&gt;0,CQ1063*MAX(1,AF1063/X1063),IF(BZ1063=1,IF(AF1063&lt;=0,0,CD1063*MAX(1,IF(H1063&gt;0,AF1063/H1063,1))),IF(R1063&gt;0,AG1063/R1063,0))/MAX(0.1,N(Parameter!$M$21)))</f>
        <v>0.00961538461538462</v>
      </c>
      <c r="AI1063" s="50" t="n">
        <f aca="false">AH1063*CB1063</f>
        <v>1.49038461538462</v>
      </c>
      <c r="AJ1063" s="51" t="n">
        <f aca="false">IF(LEFT(Cockpit!$C$5,1)="A",H1063,IF(CH1063=1,(CK1063+CI1063)/2,IF(LEFT(Cockpit!$C$5,1)="B",(CK1063+AL1063)/2,MAX((CK1063+AL1063)/2,H1063))))</f>
        <v>4</v>
      </c>
      <c r="AK1063" s="50" t="n">
        <f aca="false">AJ1063*G1063</f>
        <v>90.8</v>
      </c>
      <c r="AL1063" s="50" t="n">
        <f aca="false">ROUNDUP(CK1063+MAX(CL1063,2*(J1063/IF(CG1063&gt;0,CG1063,MAX(0.1,N(Cockpit!$C$6)))-CK1063)),0)</f>
        <v>5</v>
      </c>
      <c r="AM1063" s="51" t="n">
        <f aca="false">IF(AI1063&gt;0,J1063/AI1063,-1)</f>
        <v>2.68387096774194</v>
      </c>
      <c r="AN1063" s="51" t="n">
        <f aca="false">IF(AND(OR(CF1063="L1",CF1063="L23",CF1063="LIFT"),AI1063&gt;0),SUMIFS($AI$7:$AI$1843,$CF$7:$CF$1843,CF1063,$AM$7:$AM$1843,"&gt;"&amp;AM1063)+SUMIFS($AI$7:$AI$1843,$CF$7:$CF$1843,CF1063,$AM$7:$AM$1843,AM1063,$BW$7:$BW$1843,"&lt;="&amp;BW1063),"")</f>
        <v>5341.34249084249</v>
      </c>
      <c r="AO1063" s="58" t="n">
        <f aca="false">IF(AN1063="",0,MAX(0,MIN(1,(IF(CF1063="L1",Parameter!$H$5,IF(CF1063="L23",Parameter!$H$6+Parameter!$H$7,Parameter!$H$5+Parameter!$H$6+Parameter!$H$7))-(AN1063-AI1063))/AI1063)))</f>
        <v>1</v>
      </c>
      <c r="AP1063" s="50" t="n">
        <f aca="false">IF(LEFT(Cockpit!$I$5,1)="A",H1063,IF(Parameter!$E$30="MAX-Bestand",IF(CH1063=1,CI1063,IF(LEFT(Cockpit!$I$5,1)="B",AV1063,MAX(AV1063,H1063))),ROUNDUP(AT1063,0)))</f>
        <v>4</v>
      </c>
      <c r="AQ1063" s="50" t="n">
        <f aca="false">IF(BZ1063=1,0,ROUNDUP(AP1063/BY1063,0))</f>
        <v>1</v>
      </c>
      <c r="AR1063" s="52" t="n">
        <f aca="false">IF(CQ1063&gt;0,CQ1063*MAX(1,AP1063/X1063),IF(BZ1063=1,IF(AP1063&lt;=0,0,CD1063*MAX(1,IF(H1063&gt;0,AP1063/H1063,1))),IF(R1063&gt;0,AQ1063/R1063,0))/MAX(0.1,N(Parameter!$M$21)))</f>
        <v>0.00961538461538462</v>
      </c>
      <c r="AS1063" s="50" t="n">
        <f aca="false">AR1063*CB1063</f>
        <v>1.49038461538462</v>
      </c>
      <c r="AT1063" s="51" t="n">
        <f aca="false">IF(LEFT(Cockpit!$I$5,1)="A",H1063,IF(CH1063=1,(CK1063+CI1063)/2,IF(LEFT(Cockpit!$I$5,1)="B",(CK1063+AV1063)/2,MAX((CK1063+AV1063)/2,H1063))))</f>
        <v>4</v>
      </c>
      <c r="AU1063" s="50" t="n">
        <f aca="false">AT1063*G1063</f>
        <v>90.8</v>
      </c>
      <c r="AV1063" s="50" t="n">
        <f aca="false">ROUNDUP(CK1063+MAX(CL1063,2*(J1063/IF(CG1063&gt;0,CG1063,MAX(0.1,N(Cockpit!$I$6)))-CK1063)),0)</f>
        <v>5</v>
      </c>
      <c r="AW1063" s="51" t="n">
        <f aca="false">IF(AS1063&gt;0,J1063/AS1063,-1)</f>
        <v>2.68387096774194</v>
      </c>
      <c r="AX1063" s="51" t="n">
        <f aca="false">IF(AND(OR(CF1063="L1",CF1063="L23",CF1063="LIFT"),AS1063&gt;0),SUMIFS($AS$7:$AS$1843,$CF$7:$CF$1843,CF1063,$AW$7:$AW$1843,"&gt;"&amp;AW1063)+SUMIFS($AS$7:$AS$1843,$CF$7:$CF$1843,CF1063,$AW$7:$AW$1843,AW1063,$BW$7:$BW$1843,"&lt;="&amp;BW1063),"")</f>
        <v>6175.82051282051</v>
      </c>
      <c r="AY1063" s="58" t="n">
        <f aca="false">IF(AX1063="",0,MAX(0,MIN(1,(IF(CF1063="L1",Parameter!$H$5,IF(CF1063="L23",Parameter!$H$6+Parameter!$H$7,Parameter!$H$5+Parameter!$H$6+Parameter!$H$7))-(AX1063-AS1063))/AS1063)))</f>
        <v>1</v>
      </c>
      <c r="AZ1063" s="50" t="n">
        <f aca="false">IF(LEFT(Cockpit!$O$5,1)="A",H1063,IF(Parameter!$E$30="MAX-Bestand",IF(CH1063=1,CI1063,IF(LEFT(Cockpit!$O$5,1)="B",BF1063,MAX(BF1063,H1063))),ROUNDUP(BD1063,0)))</f>
        <v>3</v>
      </c>
      <c r="BA1063" s="50" t="n">
        <f aca="false">IF(BZ1063=1,0,ROUNDUP(AZ1063/BY1063,0))</f>
        <v>1</v>
      </c>
      <c r="BB1063" s="52" t="n">
        <f aca="false">IF(CQ1063&gt;0,CQ1063*MAX(1,AZ1063/X1063),IF(BZ1063=1,IF(AZ1063&lt;=0,0,CD1063*MAX(1,IF(H1063&gt;0,AZ1063/H1063,1))),IF(R1063&gt;0,BA1063/R1063,0))/MAX(0.1,N(Parameter!$M$21)))</f>
        <v>0.00961538461538462</v>
      </c>
      <c r="BC1063" s="50" t="n">
        <f aca="false">BB1063*CB1063</f>
        <v>1.49038461538462</v>
      </c>
      <c r="BD1063" s="51" t="n">
        <f aca="false">IF(LEFT(Cockpit!$O$5,1)="A",H1063,IF(CH1063=1,(CK1063+CI1063)/2,IF(LEFT(Cockpit!$O$5,1)="B",(CK1063+BF1063)/2,MAX((CK1063+BF1063)/2,H1063))))</f>
        <v>2.5</v>
      </c>
      <c r="BE1063" s="50" t="n">
        <f aca="false">BD1063*G1063</f>
        <v>56.75</v>
      </c>
      <c r="BF1063" s="50" t="n">
        <f aca="false">ROUNDUP(CK1063+MAX(CL1063,2*(J1063/IF(CG1063&gt;0,CG1063,MAX(0.1,N(Cockpit!$O$6)))-CK1063)),0)</f>
        <v>5</v>
      </c>
      <c r="BG1063" s="51" t="n">
        <f aca="false">IF(BC1063&gt;0,J1063/BC1063,-1)</f>
        <v>2.68387096774194</v>
      </c>
      <c r="BH1063" s="51" t="n">
        <f aca="false">IF(AND(OR(CF1063="L1",CF1063="L23",CF1063="LIFT"),BC1063&gt;0),SUMIFS($BC$7:$BC$1843,$CF$7:$CF$1843,CF1063,$BG$7:$BG$1843,"&gt;"&amp;BG1063)+SUMIFS($BC$7:$BC$1843,$CF$7:$CF$1843,CF1063,$BG$7:$BG$1843,BG1063,$BW$7:$BW$1843,"&lt;="&amp;BW1063),"")</f>
        <v>5353.875</v>
      </c>
      <c r="BI1063" s="58" t="n">
        <f aca="false">IF(BH1063="",0,MAX(0,MIN(1,(IF(CF1063="L1",Parameter!$H$5,IF(CF1063="L23",Parameter!$H$6+Parameter!$H$7,Parameter!$H$5+Parameter!$H$6+Parameter!$H$7))-(BH1063-BC1063))/BC1063)))</f>
        <v>1</v>
      </c>
      <c r="BJ1063" s="48" t="str">
        <f aca="false">IF(AI1063&lt;=0,"",IF(CF1063="Aussen","Aussenlager",IF(CF1063="-","Nicht im Lift",IF(AO1063&gt;=1,"Lift",IF(AO1063&lt;=0,"Aussenlager","teilweise")))))</f>
        <v>Lift</v>
      </c>
      <c r="BK1063" s="48" t="str">
        <f aca="false">IF(AS1063&lt;=0,"",IF(CF1063="Aussen","Aussenlager",IF(CF1063="-","Nicht im Lift",IF(AY1063&gt;=1,"Lift",IF(AY1063&lt;=0,"Aussenlager","teilweise")))))</f>
        <v>Lift</v>
      </c>
      <c r="BL1063" s="48" t="str">
        <f aca="false">IF(BC1063&lt;=0,"",IF(CF1063="Aussen","Aussenlager",IF(CF1063="-","Nicht im Lift",IF(BI1063&gt;=1,"Lift",IF(BI1063&lt;=0,"Aussenlager","teilweise")))))</f>
        <v>Lift</v>
      </c>
      <c r="BM1063" s="48" t="str">
        <f aca="false">IF(A1063="","",IF(BV1063=1,"Neu; ","")&amp;IF(AND(BV1063=0,BQ1063&lt;0),"negativer Bestand (Export "&amp;BQ1063&amp;"); ","")&amp;IF(J1063&lt;=0,"Kein Verbrauch; ","")&amp;IF(CQ1063&gt;0,"Lift "&amp;W1063&amp;" lt. Liftbericht (Fach "&amp;X1063&amp;" Stk); ",IF(CA1063=1,"Gebinde geschätzt ("&amp;T1063&amp;"); ",IF(BZ1063=1,"Lose – Tablare geschätzt; ","")))&amp;IF(H1063&gt;AV1063,"Überbestand "&amp;ROUND(H1063-AV1063,0)&amp;" Stk / CHF "&amp;ROUND((H1063-AV1063)*G1063,0)&amp;"; ","")&amp;IF(AND(CH1063=1,CI1063&lt;CJ1063),"MAX &lt; MB+LG; ","")&amp;IF(AND(CP1063&gt;0,CO1063*10&gt;CP1063),"zu hoch für Tablar; ","")&amp;IF(AND(BV1063=0,OR(CH1063=1,AA1063&lt;&gt;"",U1063&lt;&gt;"",V1063&lt;&gt;"",AB1063&lt;&gt;"")),"manuell übersteuert; ","")&amp;IF(AND(BZ1063=0,R1063=0),"Gebinde unbekannt / Stellmass fehlt; ","")&amp;IF(AND(BZ1063=0,N(V1063)&lt;=0,N(Q1063)&lt;=0),"Menge pro Gebinde fehlt (Ist = 1 Gebinde); ","")&amp;BU1063)</f>
        <v>negativer Bestand (Export -7); </v>
      </c>
      <c r="BN1063" s="48"/>
      <c r="BO1063" s="48"/>
      <c r="BP1063" s="55"/>
      <c r="BQ1063" s="50" t="n">
        <v>-7</v>
      </c>
      <c r="BR1063" s="50" t="n">
        <v>11</v>
      </c>
      <c r="BS1063" s="49" t="n">
        <v>-158.9</v>
      </c>
      <c r="BT1063" s="50" t="n">
        <v>4</v>
      </c>
      <c r="BU1063" s="48"/>
      <c r="BV1063" s="53" t="n">
        <v>0</v>
      </c>
      <c r="BW1063" s="53" t="n">
        <v>1063</v>
      </c>
      <c r="BX1063" s="48" t="str">
        <f aca="false">IF(U1063&lt;&gt;"",UPPER(TRIM(U1063)),IF(CA1063=1,UPPER(VLOOKUP(T1063,Parameter!$I$27:$K$29,2,0)),IF(P1063="","LOSE",P1063)))</f>
        <v>S32</v>
      </c>
      <c r="BY1063" s="50" t="n">
        <f aca="false">IF(BX1063="LOSE",1,IF(N(V1063)&gt;0,V1063,IF(CA1063=1,MAX(1,N(VLOOKUP(T1063,Parameter!$I$27:$K$29,3,0)),H1063,N(N1063)),IF(N(Q1063)&gt;0,Q1063,MAX(1,H1063)))))</f>
        <v>9</v>
      </c>
      <c r="BZ1063" s="53" t="n">
        <f aca="false">IF(BX1063="LOSE",1,0)</f>
        <v>0</v>
      </c>
      <c r="CA1063" s="53" t="n">
        <f aca="false">IF(AND(U1063="",OR(P1063="",P1063="LOSE"),T1063&lt;&gt;"",N(S1063)&lt;=0,ISNUMBER(MATCH(T1063,Parameter!$I$27:$I$29,0))),1,0)</f>
        <v>0</v>
      </c>
      <c r="CB1063" s="53" t="n">
        <f aca="false">IF(CQ1063&gt;0,INDEX(Parameter!$H$5:$H$7,W1063)/INDEX(Parameter!$E$5:$E$7,W1063),IF(AND(BZ1063=0,N(IFERROR(VLOOKUP(BX1063,'Gebinde-Kategorie'!$A$5:$N$45,14,0),0))&gt;0),VLOOKUP(BX1063,'Gebinde-Kategorie'!$A$5:$N$45,14,0)*10+Parameter!$M$23,Parameter!$M$24))</f>
        <v>155</v>
      </c>
      <c r="CC1063" s="48" t="str">
        <f aca="false">IF(AND(Parameter!$B$19="Ja",E1063&lt;&gt;"",ISNUMBER(MATCH(E1063,Parameter!$I$35:$I$52,0))),VLOOKUP(E1063,Parameter!$I$35:$J$52,2,0),IFERROR(VLOOKUP(D1063,Parameter!$A$35:$C$64,2,0),"Nein"))</f>
        <v>2+3</v>
      </c>
      <c r="CD1063" s="52" t="n">
        <f aca="false">IF(BZ1063=0,0,IF(N(S1063)&gt;0,S1063,IFERROR(VLOOKUP(D1063,Parameter!$A$35:$C$64,3,0)+0,0)))</f>
        <v>0</v>
      </c>
      <c r="CE1063" s="48" t="n">
        <f aca="false">IF(AA1063&lt;&gt;"",AA1063,Z1063)</f>
        <v>3</v>
      </c>
      <c r="CF1063" s="48" t="str">
        <f aca="false">IF(OR(CE1063=1,CE1063=2,CE1063=3),IF(Parameter!$E$27="Ja","LIFT",IF(CE1063=1,"L1","L23")),IF(CE1063="Aussen","Aussen","-"))</f>
        <v>LIFT</v>
      </c>
      <c r="CG1063" s="59" t="n">
        <f aca="false">IF(N(AB1063)&gt;0,AB1063,0)</f>
        <v>0</v>
      </c>
      <c r="CH1063" s="53" t="n">
        <f aca="false">IF(ISNUMBER(AE1063),1,0)</f>
        <v>0</v>
      </c>
      <c r="CI1063" s="50" t="n">
        <f aca="false">N(AE1063)</f>
        <v>0</v>
      </c>
      <c r="CJ1063" s="50" t="n">
        <f aca="false">N(M1063)+N(N1063)</f>
        <v>5</v>
      </c>
      <c r="CK1063" s="50" t="n">
        <f aca="false">N(M1063)</f>
        <v>0</v>
      </c>
      <c r="CL1063" s="50" t="n">
        <f aca="false">N(N1063)</f>
        <v>5</v>
      </c>
      <c r="CM1063" s="50" t="n">
        <f aca="false">ROUNDUP(H1063/BY1063,0)</f>
        <v>1</v>
      </c>
      <c r="CN1063" s="50" t="n">
        <f aca="false">ROUNDUP(CI1063/BY1063,0)</f>
        <v>0</v>
      </c>
      <c r="CO1063" s="53" t="n">
        <f aca="false">IF(BZ1063=1,0,IFERROR(VLOOKUP(BX1063,'Gebinde-Kategorie'!$A$5:$N$45,5,0)+0,0))</f>
        <v>8</v>
      </c>
      <c r="CP1063" s="53" t="n">
        <f aca="false">IFERROR(IF(OR(CE1063=1,CE1063=2,CE1063=3),N(INDEX(Parameter!$I$5:$I$7,CE1063)),0),0)</f>
        <v>0</v>
      </c>
      <c r="CQ1063" s="52" t="n">
        <f aca="false">IF(AND(Parameter!$B$21="Ja",ISNUMBER(W1063),N(X1063)&gt;0),IFERROR(N(INDEX(Parameter!$L$5:$L$7,W1063))*INDEX(Parameter!$E$5:$E$7,W1063)*X1063/SUMIFS($X$7:$X$1843,$W$7:$W$1843,W1063),0),0)</f>
        <v>0</v>
      </c>
    </row>
    <row r="1064" customFormat="false" ht="15" hidden="false" customHeight="false" outlineLevel="0" collapsed="false">
      <c r="A1064" s="48" t="s">
        <v>1952</v>
      </c>
      <c r="B1064" s="48" t="s">
        <v>1953</v>
      </c>
      <c r="C1064" s="48" t="s">
        <v>173</v>
      </c>
      <c r="D1064" s="48" t="s">
        <v>193</v>
      </c>
      <c r="E1064" s="48"/>
      <c r="F1064" s="48" t="s">
        <v>227</v>
      </c>
      <c r="G1064" s="49" t="n">
        <v>80.5</v>
      </c>
      <c r="H1064" s="50" t="n">
        <f aca="false">MAX(0,IF(AND(Parameter!$B$21="Ja",ISNUMBER(Y1064)),Y1064,IF(Parameter!$B$20="Jahresanfang 2025 + Export",BR1064+BQ1064,BQ1064)))</f>
        <v>7</v>
      </c>
      <c r="I1064" s="50" t="n">
        <f aca="false">H1064*G1064</f>
        <v>563.5</v>
      </c>
      <c r="J1064" s="50" t="n">
        <f aca="false">BT1064*Parameter!$B$18</f>
        <v>2</v>
      </c>
      <c r="K1064" s="51" t="n">
        <v>8</v>
      </c>
      <c r="L1064" s="52" t="n">
        <v>0.25</v>
      </c>
      <c r="M1064" s="50" t="n">
        <v>0</v>
      </c>
      <c r="N1064" s="50" t="n">
        <v>1</v>
      </c>
      <c r="O1064" s="53" t="n">
        <v>35</v>
      </c>
      <c r="P1064" s="48" t="s">
        <v>410</v>
      </c>
      <c r="Q1064" s="50" t="n">
        <v>7</v>
      </c>
      <c r="R1064" s="53" t="n">
        <f aca="false">IF(BZ1064=1,0,IFERROR(VLOOKUP(BX1064,'Gebinde-Kategorie'!$A$5:$N$45,13,0)+0,0))</f>
        <v>280</v>
      </c>
      <c r="S1064" s="54"/>
      <c r="T1064" s="55"/>
      <c r="U1064" s="55"/>
      <c r="V1064" s="55"/>
      <c r="W1064" s="48"/>
      <c r="X1064" s="50"/>
      <c r="Y1064" s="50"/>
      <c r="Z1064" s="48" t="n">
        <f aca="false">IF(A1064="","",IF(AND(Parameter!$B$21="Ja",ISNUMBER(W1064)),W1064,IF(CC1064="2+3",IF(ISNUMBER(SEARCH("grosser Artikel",BU1064)),2,IFERROR(VLOOKUP(BX1064,Parameter!$F$35:$G$64,2,0),2)),IF(OR(CC1064="Nein",CC1064=""),"-",CC1064))))</f>
        <v>3</v>
      </c>
      <c r="AA1064" s="55"/>
      <c r="AB1064" s="56"/>
      <c r="AC1064" s="50" t="n">
        <f aca="false">AV1064</f>
        <v>2</v>
      </c>
      <c r="AD1064" s="50" t="n">
        <f aca="false">MAX(AV1064,H1064)</f>
        <v>7</v>
      </c>
      <c r="AE1064" s="57"/>
      <c r="AF1064" s="50" t="n">
        <f aca="false">IF(LEFT(Cockpit!$C$5,1)="A",H1064,IF(Parameter!$E$30="MAX-Bestand",IF(CH1064=1,CI1064,IF(LEFT(Cockpit!$C$5,1)="B",AL1064,MAX(AL1064,H1064))),ROUNDUP(AJ1064,0)))</f>
        <v>7</v>
      </c>
      <c r="AG1064" s="50" t="n">
        <f aca="false">IF(BZ1064=1,0,ROUNDUP(AF1064/BY1064,0))</f>
        <v>1</v>
      </c>
      <c r="AH1064" s="52" t="n">
        <f aca="false">IF(CQ1064&gt;0,CQ1064*MAX(1,AF1064/X1064),IF(BZ1064=1,IF(AF1064&lt;=0,0,CD1064*MAX(1,IF(H1064&gt;0,AF1064/H1064,1))),IF(R1064&gt;0,AG1064/R1064,0))/MAX(0.1,N(Parameter!$M$21)))</f>
        <v>0.00357142857142857</v>
      </c>
      <c r="AI1064" s="50" t="n">
        <f aca="false">AH1064*CB1064</f>
        <v>0.553571428571429</v>
      </c>
      <c r="AJ1064" s="51" t="n">
        <f aca="false">IF(LEFT(Cockpit!$C$5,1)="A",H1064,IF(CH1064=1,(CK1064+CI1064)/2,IF(LEFT(Cockpit!$C$5,1)="B",(CK1064+AL1064)/2,MAX((CK1064+AL1064)/2,H1064))))</f>
        <v>7</v>
      </c>
      <c r="AK1064" s="50" t="n">
        <f aca="false">AJ1064*G1064</f>
        <v>563.5</v>
      </c>
      <c r="AL1064" s="50" t="n">
        <f aca="false">ROUNDUP(CK1064+MAX(CL1064,2*(J1064/IF(CG1064&gt;0,CG1064,MAX(0.1,N(Cockpit!$C$6)))-CK1064)),0)</f>
        <v>2</v>
      </c>
      <c r="AM1064" s="51" t="n">
        <f aca="false">IF(AI1064&gt;0,J1064/AI1064,-1)</f>
        <v>3.61290322580645</v>
      </c>
      <c r="AN1064" s="51" t="n">
        <f aca="false">IF(AND(OR(CF1064="L1",CF1064="L23",CF1064="LIFT"),AI1064&gt;0),SUMIFS($AI$7:$AI$1843,$CF$7:$CF$1843,CF1064,$AM$7:$AM$1843,"&gt;"&amp;AM1064)+SUMIFS($AI$7:$AI$1843,$CF$7:$CF$1843,CF1064,$AM$7:$AM$1843,AM1064,$BW$7:$BW$1843,"&lt;="&amp;BW1064),"")</f>
        <v>4832.30265567766</v>
      </c>
      <c r="AO1064" s="58" t="n">
        <f aca="false">IF(AN1064="",0,MAX(0,MIN(1,(IF(CF1064="L1",Parameter!$H$5,IF(CF1064="L23",Parameter!$H$6+Parameter!$H$7,Parameter!$H$5+Parameter!$H$6+Parameter!$H$7))-(AN1064-AI1064))/AI1064)))</f>
        <v>1</v>
      </c>
      <c r="AP1064" s="50" t="n">
        <f aca="false">IF(LEFT(Cockpit!$I$5,1)="A",H1064,IF(Parameter!$E$30="MAX-Bestand",IF(CH1064=1,CI1064,IF(LEFT(Cockpit!$I$5,1)="B",AV1064,MAX(AV1064,H1064))),ROUNDUP(AT1064,0)))</f>
        <v>7</v>
      </c>
      <c r="AQ1064" s="50" t="n">
        <f aca="false">IF(BZ1064=1,0,ROUNDUP(AP1064/BY1064,0))</f>
        <v>1</v>
      </c>
      <c r="AR1064" s="52" t="n">
        <f aca="false">IF(CQ1064&gt;0,CQ1064*MAX(1,AP1064/X1064),IF(BZ1064=1,IF(AP1064&lt;=0,0,CD1064*MAX(1,IF(H1064&gt;0,AP1064/H1064,1))),IF(R1064&gt;0,AQ1064/R1064,0))/MAX(0.1,N(Parameter!$M$21)))</f>
        <v>0.00357142857142857</v>
      </c>
      <c r="AS1064" s="50" t="n">
        <f aca="false">AR1064*CB1064</f>
        <v>0.553571428571429</v>
      </c>
      <c r="AT1064" s="51" t="n">
        <f aca="false">IF(LEFT(Cockpit!$I$5,1)="A",H1064,IF(CH1064=1,(CK1064+CI1064)/2,IF(LEFT(Cockpit!$I$5,1)="B",(CK1064+AV1064)/2,MAX((CK1064+AV1064)/2,H1064))))</f>
        <v>7</v>
      </c>
      <c r="AU1064" s="50" t="n">
        <f aca="false">AT1064*G1064</f>
        <v>563.5</v>
      </c>
      <c r="AV1064" s="50" t="n">
        <f aca="false">ROUNDUP(CK1064+MAX(CL1064,2*(J1064/IF(CG1064&gt;0,CG1064,MAX(0.1,N(Cockpit!$I$6)))-CK1064)),0)</f>
        <v>2</v>
      </c>
      <c r="AW1064" s="51" t="n">
        <f aca="false">IF(AS1064&gt;0,J1064/AS1064,-1)</f>
        <v>3.61290322580645</v>
      </c>
      <c r="AX1064" s="51" t="n">
        <f aca="false">IF(AND(OR(CF1064="L1",CF1064="L23",CF1064="LIFT"),AS1064&gt;0),SUMIFS($AS$7:$AS$1843,$CF$7:$CF$1843,CF1064,$AW$7:$AW$1843,"&gt;"&amp;AW1064)+SUMIFS($AS$7:$AS$1843,$CF$7:$CF$1843,CF1064,$AW$7:$AW$1843,AW1064,$BW$7:$BW$1843,"&lt;="&amp;BW1064),"")</f>
        <v>5409.88965201465</v>
      </c>
      <c r="AY1064" s="58" t="n">
        <f aca="false">IF(AX1064="",0,MAX(0,MIN(1,(IF(CF1064="L1",Parameter!$H$5,IF(CF1064="L23",Parameter!$H$6+Parameter!$H$7,Parameter!$H$5+Parameter!$H$6+Parameter!$H$7))-(AX1064-AS1064))/AS1064)))</f>
        <v>1</v>
      </c>
      <c r="AZ1064" s="50" t="n">
        <f aca="false">IF(LEFT(Cockpit!$O$5,1)="A",H1064,IF(Parameter!$E$30="MAX-Bestand",IF(CH1064=1,CI1064,IF(LEFT(Cockpit!$O$5,1)="B",BF1064,MAX(BF1064,H1064))),ROUNDUP(BD1064,0)))</f>
        <v>1</v>
      </c>
      <c r="BA1064" s="50" t="n">
        <f aca="false">IF(BZ1064=1,0,ROUNDUP(AZ1064/BY1064,0))</f>
        <v>1</v>
      </c>
      <c r="BB1064" s="52" t="n">
        <f aca="false">IF(CQ1064&gt;0,CQ1064*MAX(1,AZ1064/X1064),IF(BZ1064=1,IF(AZ1064&lt;=0,0,CD1064*MAX(1,IF(H1064&gt;0,AZ1064/H1064,1))),IF(R1064&gt;0,BA1064/R1064,0))/MAX(0.1,N(Parameter!$M$21)))</f>
        <v>0.00357142857142857</v>
      </c>
      <c r="BC1064" s="50" t="n">
        <f aca="false">BB1064*CB1064</f>
        <v>0.553571428571429</v>
      </c>
      <c r="BD1064" s="51" t="n">
        <f aca="false">IF(LEFT(Cockpit!$O$5,1)="A",H1064,IF(CH1064=1,(CK1064+CI1064)/2,IF(LEFT(Cockpit!$O$5,1)="B",(CK1064+BF1064)/2,MAX((CK1064+BF1064)/2,H1064))))</f>
        <v>0.5</v>
      </c>
      <c r="BE1064" s="50" t="n">
        <f aca="false">BD1064*G1064</f>
        <v>40.25</v>
      </c>
      <c r="BF1064" s="50" t="n">
        <f aca="false">ROUNDUP(CK1064+MAX(CL1064,2*(J1064/IF(CG1064&gt;0,CG1064,MAX(0.1,N(Cockpit!$O$6)))-CK1064)),0)</f>
        <v>1</v>
      </c>
      <c r="BG1064" s="51" t="n">
        <f aca="false">IF(BC1064&gt;0,J1064/BC1064,-1)</f>
        <v>3.61290322580645</v>
      </c>
      <c r="BH1064" s="51" t="n">
        <f aca="false">IF(AND(OR(CF1064="L1",CF1064="L23",CF1064="LIFT"),BC1064&gt;0),SUMIFS($BC$7:$BC$1843,$CF$7:$CF$1843,CF1064,$BG$7:$BG$1843,"&gt;"&amp;BG1064)+SUMIFS($BC$7:$BC$1843,$CF$7:$CF$1843,CF1064,$BG$7:$BG$1843,BG1064,$BW$7:$BW$1843,"&lt;="&amp;BW1064),"")</f>
        <v>4424.38644688645</v>
      </c>
      <c r="BI1064" s="58" t="n">
        <f aca="false">IF(BH1064="",0,MAX(0,MIN(1,(IF(CF1064="L1",Parameter!$H$5,IF(CF1064="L23",Parameter!$H$6+Parameter!$H$7,Parameter!$H$5+Parameter!$H$6+Parameter!$H$7))-(BH1064-BC1064))/BC1064)))</f>
        <v>1</v>
      </c>
      <c r="BJ1064" s="48" t="str">
        <f aca="false">IF(AI1064&lt;=0,"",IF(CF1064="Aussen","Aussenlager",IF(CF1064="-","Nicht im Lift",IF(AO1064&gt;=1,"Lift",IF(AO1064&lt;=0,"Aussenlager","teilweise")))))</f>
        <v>Lift</v>
      </c>
      <c r="BK1064" s="48" t="str">
        <f aca="false">IF(AS1064&lt;=0,"",IF(CF1064="Aussen","Aussenlager",IF(CF1064="-","Nicht im Lift",IF(AY1064&gt;=1,"Lift",IF(AY1064&lt;=0,"Aussenlager","teilweise")))))</f>
        <v>Lift</v>
      </c>
      <c r="BL1064" s="48" t="str">
        <f aca="false">IF(BC1064&lt;=0,"",IF(CF1064="Aussen","Aussenlager",IF(CF1064="-","Nicht im Lift",IF(BI1064&gt;=1,"Lift",IF(BI1064&lt;=0,"Aussenlager","teilweise")))))</f>
        <v>Lift</v>
      </c>
      <c r="BM1064" s="48" t="str">
        <f aca="false">IF(A1064="","",IF(BV1064=1,"Neu; ","")&amp;IF(AND(BV1064=0,BQ1064&lt;0),"negativer Bestand (Export "&amp;BQ1064&amp;"); ","")&amp;IF(J1064&lt;=0,"Kein Verbrauch; ","")&amp;IF(CQ1064&gt;0,"Lift "&amp;W1064&amp;" lt. Liftbericht (Fach "&amp;X1064&amp;" Stk); ",IF(CA1064=1,"Gebinde geschätzt ("&amp;T1064&amp;"); ",IF(BZ1064=1,"Lose – Tablare geschätzt; ","")))&amp;IF(H1064&gt;AV1064,"Überbestand "&amp;ROUND(H1064-AV1064,0)&amp;" Stk / CHF "&amp;ROUND((H1064-AV1064)*G1064,0)&amp;"; ","")&amp;IF(AND(CH1064=1,CI1064&lt;CJ1064),"MAX &lt; MB+LG; ","")&amp;IF(AND(CP1064&gt;0,CO1064*10&gt;CP1064),"zu hoch für Tablar; ","")&amp;IF(AND(BV1064=0,OR(CH1064=1,AA1064&lt;&gt;"",U1064&lt;&gt;"",V1064&lt;&gt;"",AB1064&lt;&gt;"")),"manuell übersteuert; ","")&amp;IF(AND(BZ1064=0,R1064=0),"Gebinde unbekannt / Stellmass fehlt; ","")&amp;IF(AND(BZ1064=0,N(V1064)&lt;=0,N(Q1064)&lt;=0),"Menge pro Gebinde fehlt (Ist = 1 Gebinde); ","")&amp;BU1064)</f>
        <v>negativer Bestand (Export -2); Überbestand 5 Stk / CHF 403; </v>
      </c>
      <c r="BN1064" s="48"/>
      <c r="BO1064" s="48"/>
      <c r="BP1064" s="55"/>
      <c r="BQ1064" s="50" t="n">
        <v>-2</v>
      </c>
      <c r="BR1064" s="50" t="n">
        <v>9</v>
      </c>
      <c r="BS1064" s="49" t="n">
        <v>-161</v>
      </c>
      <c r="BT1064" s="50" t="n">
        <v>2</v>
      </c>
      <c r="BU1064" s="48"/>
      <c r="BV1064" s="53" t="n">
        <v>0</v>
      </c>
      <c r="BW1064" s="53" t="n">
        <v>1064</v>
      </c>
      <c r="BX1064" s="48" t="str">
        <f aca="false">IF(U1064&lt;&gt;"",UPPER(TRIM(U1064)),IF(CA1064=1,UPPER(VLOOKUP(T1064,Parameter!$I$27:$K$29,2,0)),IF(P1064="","LOSE",P1064)))</f>
        <v>S21</v>
      </c>
      <c r="BY1064" s="50" t="n">
        <f aca="false">IF(BX1064="LOSE",1,IF(N(V1064)&gt;0,V1064,IF(CA1064=1,MAX(1,N(VLOOKUP(T1064,Parameter!$I$27:$K$29,3,0)),H1064,N(N1064)),IF(N(Q1064)&gt;0,Q1064,MAX(1,H1064)))))</f>
        <v>7</v>
      </c>
      <c r="BZ1064" s="53" t="n">
        <f aca="false">IF(BX1064="LOSE",1,0)</f>
        <v>0</v>
      </c>
      <c r="CA1064" s="53" t="n">
        <f aca="false">IF(AND(U1064="",OR(P1064="",P1064="LOSE"),T1064&lt;&gt;"",N(S1064)&lt;=0,ISNUMBER(MATCH(T1064,Parameter!$I$27:$I$29,0))),1,0)</f>
        <v>0</v>
      </c>
      <c r="CB1064" s="53" t="n">
        <f aca="false">IF(CQ1064&gt;0,INDEX(Parameter!$H$5:$H$7,W1064)/INDEX(Parameter!$E$5:$E$7,W1064),IF(AND(BZ1064=0,N(IFERROR(VLOOKUP(BX1064,'Gebinde-Kategorie'!$A$5:$N$45,14,0),0))&gt;0),VLOOKUP(BX1064,'Gebinde-Kategorie'!$A$5:$N$45,14,0)*10+Parameter!$M$23,Parameter!$M$24))</f>
        <v>155</v>
      </c>
      <c r="CC1064" s="48" t="str">
        <f aca="false">IF(AND(Parameter!$B$19="Ja",E1064&lt;&gt;"",ISNUMBER(MATCH(E1064,Parameter!$I$35:$I$52,0))),VLOOKUP(E1064,Parameter!$I$35:$J$52,2,0),IFERROR(VLOOKUP(D1064,Parameter!$A$35:$C$64,2,0),"Nein"))</f>
        <v>2+3</v>
      </c>
      <c r="CD1064" s="52" t="n">
        <f aca="false">IF(BZ1064=0,0,IF(N(S1064)&gt;0,S1064,IFERROR(VLOOKUP(D1064,Parameter!$A$35:$C$64,3,0)+0,0)))</f>
        <v>0</v>
      </c>
      <c r="CE1064" s="48" t="n">
        <f aca="false">IF(AA1064&lt;&gt;"",AA1064,Z1064)</f>
        <v>3</v>
      </c>
      <c r="CF1064" s="48" t="str">
        <f aca="false">IF(OR(CE1064=1,CE1064=2,CE1064=3),IF(Parameter!$E$27="Ja","LIFT",IF(CE1064=1,"L1","L23")),IF(CE1064="Aussen","Aussen","-"))</f>
        <v>LIFT</v>
      </c>
      <c r="CG1064" s="59" t="n">
        <f aca="false">IF(N(AB1064)&gt;0,AB1064,0)</f>
        <v>0</v>
      </c>
      <c r="CH1064" s="53" t="n">
        <f aca="false">IF(ISNUMBER(AE1064),1,0)</f>
        <v>0</v>
      </c>
      <c r="CI1064" s="50" t="n">
        <f aca="false">N(AE1064)</f>
        <v>0</v>
      </c>
      <c r="CJ1064" s="50" t="n">
        <f aca="false">N(M1064)+N(N1064)</f>
        <v>1</v>
      </c>
      <c r="CK1064" s="50" t="n">
        <f aca="false">N(M1064)</f>
        <v>0</v>
      </c>
      <c r="CL1064" s="50" t="n">
        <f aca="false">N(N1064)</f>
        <v>1</v>
      </c>
      <c r="CM1064" s="50" t="n">
        <f aca="false">ROUNDUP(H1064/BY1064,0)</f>
        <v>1</v>
      </c>
      <c r="CN1064" s="50" t="n">
        <f aca="false">ROUNDUP(CI1064/BY1064,0)</f>
        <v>0</v>
      </c>
      <c r="CO1064" s="53" t="n">
        <f aca="false">IF(BZ1064=1,0,IFERROR(VLOOKUP(BX1064,'Gebinde-Kategorie'!$A$5:$N$45,5,0)+0,0))</f>
        <v>8</v>
      </c>
      <c r="CP1064" s="53" t="n">
        <f aca="false">IFERROR(IF(OR(CE1064=1,CE1064=2,CE1064=3),N(INDEX(Parameter!$I$5:$I$7,CE1064)),0),0)</f>
        <v>0</v>
      </c>
      <c r="CQ1064" s="52" t="n">
        <f aca="false">IF(AND(Parameter!$B$21="Ja",ISNUMBER(W1064),N(X1064)&gt;0),IFERROR(N(INDEX(Parameter!$L$5:$L$7,W1064))*INDEX(Parameter!$E$5:$E$7,W1064)*X1064/SUMIFS($X$7:$X$1843,$W$7:$W$1843,W1064),0),0)</f>
        <v>0</v>
      </c>
    </row>
    <row r="1065" customFormat="false" ht="15" hidden="false" customHeight="false" outlineLevel="0" collapsed="false">
      <c r="A1065" s="48" t="s">
        <v>1954</v>
      </c>
      <c r="B1065" s="48" t="s">
        <v>1955</v>
      </c>
      <c r="C1065" s="48" t="s">
        <v>173</v>
      </c>
      <c r="D1065" s="48" t="s">
        <v>193</v>
      </c>
      <c r="E1065" s="48" t="s">
        <v>194</v>
      </c>
      <c r="F1065" s="48" t="s">
        <v>227</v>
      </c>
      <c r="G1065" s="49" t="n">
        <v>3.69</v>
      </c>
      <c r="H1065" s="50" t="n">
        <f aca="false">MAX(0,IF(AND(Parameter!$B$21="Ja",ISNUMBER(Y1065)),Y1065,IF(Parameter!$B$20="Jahresanfang 2025 + Export",BR1065+BQ1065,BQ1065)))</f>
        <v>6</v>
      </c>
      <c r="I1065" s="50" t="n">
        <f aca="false">H1065*G1065</f>
        <v>22.14</v>
      </c>
      <c r="J1065" s="50" t="n">
        <f aca="false">BT1065*Parameter!$B$18</f>
        <v>25</v>
      </c>
      <c r="K1065" s="51" t="n">
        <v>37</v>
      </c>
      <c r="L1065" s="52" t="n">
        <v>0.675675675675676</v>
      </c>
      <c r="M1065" s="50" t="n">
        <v>1</v>
      </c>
      <c r="N1065" s="50" t="n">
        <v>50</v>
      </c>
      <c r="O1065" s="53" t="n">
        <v>28</v>
      </c>
      <c r="P1065" s="48" t="s">
        <v>337</v>
      </c>
      <c r="Q1065" s="50" t="n">
        <v>88</v>
      </c>
      <c r="R1065" s="53" t="n">
        <f aca="false">IF(BZ1065=1,0,IFERROR(VLOOKUP(BX1065,'Gebinde-Kategorie'!$A$5:$N$45,13,0)+0,0))</f>
        <v>52</v>
      </c>
      <c r="S1065" s="54"/>
      <c r="T1065" s="55"/>
      <c r="U1065" s="55"/>
      <c r="V1065" s="55"/>
      <c r="W1065" s="48"/>
      <c r="X1065" s="50"/>
      <c r="Y1065" s="50"/>
      <c r="Z1065" s="48" t="n">
        <f aca="false">IF(A1065="","",IF(AND(Parameter!$B$21="Ja",ISNUMBER(W1065)),W1065,IF(CC1065="2+3",IF(ISNUMBER(SEARCH("grosser Artikel",BU1065)),2,IFERROR(VLOOKUP(BX1065,Parameter!$F$35:$G$64,2,0),2)),IF(OR(CC1065="Nein",CC1065=""),"-",CC1065))))</f>
        <v>3</v>
      </c>
      <c r="AA1065" s="55"/>
      <c r="AB1065" s="56"/>
      <c r="AC1065" s="50" t="n">
        <f aca="false">AV1065</f>
        <v>51</v>
      </c>
      <c r="AD1065" s="50" t="n">
        <f aca="false">MAX(AV1065,H1065)</f>
        <v>51</v>
      </c>
      <c r="AE1065" s="57"/>
      <c r="AF1065" s="50" t="n">
        <f aca="false">IF(LEFT(Cockpit!$C$5,1)="A",H1065,IF(Parameter!$E$30="MAX-Bestand",IF(CH1065=1,CI1065,IF(LEFT(Cockpit!$C$5,1)="B",AL1065,MAX(AL1065,H1065))),ROUNDUP(AJ1065,0)))</f>
        <v>6</v>
      </c>
      <c r="AG1065" s="50" t="n">
        <f aca="false">IF(BZ1065=1,0,ROUNDUP(AF1065/BY1065,0))</f>
        <v>1</v>
      </c>
      <c r="AH1065" s="52" t="n">
        <f aca="false">IF(CQ1065&gt;0,CQ1065*MAX(1,AF1065/X1065),IF(BZ1065=1,IF(AF1065&lt;=0,0,CD1065*MAX(1,IF(H1065&gt;0,AF1065/H1065,1))),IF(R1065&gt;0,AG1065/R1065,0))/MAX(0.1,N(Parameter!$M$21)))</f>
        <v>0.0192307692307692</v>
      </c>
      <c r="AI1065" s="50" t="n">
        <f aca="false">AH1065*CB1065</f>
        <v>2.98076923076923</v>
      </c>
      <c r="AJ1065" s="51" t="n">
        <f aca="false">IF(LEFT(Cockpit!$C$5,1)="A",H1065,IF(CH1065=1,(CK1065+CI1065)/2,IF(LEFT(Cockpit!$C$5,1)="B",(CK1065+AL1065)/2,MAX((CK1065+AL1065)/2,H1065))))</f>
        <v>6</v>
      </c>
      <c r="AK1065" s="50" t="n">
        <f aca="false">AJ1065*G1065</f>
        <v>22.14</v>
      </c>
      <c r="AL1065" s="50" t="n">
        <f aca="false">ROUNDUP(CK1065+MAX(CL1065,2*(J1065/IF(CG1065&gt;0,CG1065,MAX(0.1,N(Cockpit!$C$6)))-CK1065)),0)</f>
        <v>51</v>
      </c>
      <c r="AM1065" s="51" t="n">
        <f aca="false">IF(AI1065&gt;0,J1065/AI1065,-1)</f>
        <v>8.38709677419355</v>
      </c>
      <c r="AN1065" s="51" t="n">
        <f aca="false">IF(AND(OR(CF1065="L1",CF1065="L23",CF1065="LIFT"),AI1065&gt;0),SUMIFS($AI$7:$AI$1843,$CF$7:$CF$1843,CF1065,$AM$7:$AM$1843,"&gt;"&amp;AM1065)+SUMIFS($AI$7:$AI$1843,$CF$7:$CF$1843,CF1065,$AM$7:$AM$1843,AM1065,$BW$7:$BW$1843,"&lt;="&amp;BW1065),"")</f>
        <v>2993.81730769231</v>
      </c>
      <c r="AO1065" s="58" t="n">
        <f aca="false">IF(AN1065="",0,MAX(0,MIN(1,(IF(CF1065="L1",Parameter!$H$5,IF(CF1065="L23",Parameter!$H$6+Parameter!$H$7,Parameter!$H$5+Parameter!$H$6+Parameter!$H$7))-(AN1065-AI1065))/AI1065)))</f>
        <v>1</v>
      </c>
      <c r="AP1065" s="50" t="n">
        <f aca="false">IF(LEFT(Cockpit!$I$5,1)="A",H1065,IF(Parameter!$E$30="MAX-Bestand",IF(CH1065=1,CI1065,IF(LEFT(Cockpit!$I$5,1)="B",AV1065,MAX(AV1065,H1065))),ROUNDUP(AT1065,0)))</f>
        <v>26</v>
      </c>
      <c r="AQ1065" s="50" t="n">
        <f aca="false">IF(BZ1065=1,0,ROUNDUP(AP1065/BY1065,0))</f>
        <v>1</v>
      </c>
      <c r="AR1065" s="52" t="n">
        <f aca="false">IF(CQ1065&gt;0,CQ1065*MAX(1,AP1065/X1065),IF(BZ1065=1,IF(AP1065&lt;=0,0,CD1065*MAX(1,IF(H1065&gt;0,AP1065/H1065,1))),IF(R1065&gt;0,AQ1065/R1065,0))/MAX(0.1,N(Parameter!$M$21)))</f>
        <v>0.0192307692307692</v>
      </c>
      <c r="AS1065" s="50" t="n">
        <f aca="false">AR1065*CB1065</f>
        <v>2.98076923076923</v>
      </c>
      <c r="AT1065" s="51" t="n">
        <f aca="false">IF(LEFT(Cockpit!$I$5,1)="A",H1065,IF(CH1065=1,(CK1065+CI1065)/2,IF(LEFT(Cockpit!$I$5,1)="B",(CK1065+AV1065)/2,MAX((CK1065+AV1065)/2,H1065))))</f>
        <v>26</v>
      </c>
      <c r="AU1065" s="50" t="n">
        <f aca="false">AT1065*G1065</f>
        <v>95.94</v>
      </c>
      <c r="AV1065" s="50" t="n">
        <f aca="false">ROUNDUP(CK1065+MAX(CL1065,2*(J1065/IF(CG1065&gt;0,CG1065,MAX(0.1,N(Cockpit!$I$6)))-CK1065)),0)</f>
        <v>51</v>
      </c>
      <c r="AW1065" s="51" t="n">
        <f aca="false">IF(AS1065&gt;0,J1065/AS1065,-1)</f>
        <v>8.38709677419355</v>
      </c>
      <c r="AX1065" s="51" t="n">
        <f aca="false">IF(AND(OR(CF1065="L1",CF1065="L23",CF1065="LIFT"),AS1065&gt;0),SUMIFS($AS$7:$AS$1843,$CF$7:$CF$1843,CF1065,$AW$7:$AW$1843,"&gt;"&amp;AW1065)+SUMIFS($AS$7:$AS$1843,$CF$7:$CF$1843,CF1065,$AW$7:$AW$1843,AW1065,$BW$7:$BW$1843,"&lt;="&amp;BW1065),"")</f>
        <v>3580.0554029304</v>
      </c>
      <c r="AY1065" s="58" t="n">
        <f aca="false">IF(AX1065="",0,MAX(0,MIN(1,(IF(CF1065="L1",Parameter!$H$5,IF(CF1065="L23",Parameter!$H$6+Parameter!$H$7,Parameter!$H$5+Parameter!$H$6+Parameter!$H$7))-(AX1065-AS1065))/AS1065)))</f>
        <v>1</v>
      </c>
      <c r="AZ1065" s="50" t="n">
        <f aca="false">IF(LEFT(Cockpit!$O$5,1)="A",H1065,IF(Parameter!$E$30="MAX-Bestand",IF(CH1065=1,CI1065,IF(LEFT(Cockpit!$O$5,1)="B",BF1065,MAX(BF1065,H1065))),ROUNDUP(BD1065,0)))</f>
        <v>26</v>
      </c>
      <c r="BA1065" s="50" t="n">
        <f aca="false">IF(BZ1065=1,0,ROUNDUP(AZ1065/BY1065,0))</f>
        <v>1</v>
      </c>
      <c r="BB1065" s="52" t="n">
        <f aca="false">IF(CQ1065&gt;0,CQ1065*MAX(1,AZ1065/X1065),IF(BZ1065=1,IF(AZ1065&lt;=0,0,CD1065*MAX(1,IF(H1065&gt;0,AZ1065/H1065,1))),IF(R1065&gt;0,BA1065/R1065,0))/MAX(0.1,N(Parameter!$M$21)))</f>
        <v>0.0192307692307692</v>
      </c>
      <c r="BC1065" s="50" t="n">
        <f aca="false">BB1065*CB1065</f>
        <v>2.98076923076923</v>
      </c>
      <c r="BD1065" s="51" t="n">
        <f aca="false">IF(LEFT(Cockpit!$O$5,1)="A",H1065,IF(CH1065=1,(CK1065+CI1065)/2,IF(LEFT(Cockpit!$O$5,1)="B",(CK1065+BF1065)/2,MAX((CK1065+BF1065)/2,H1065))))</f>
        <v>26</v>
      </c>
      <c r="BE1065" s="50" t="n">
        <f aca="false">BD1065*G1065</f>
        <v>95.94</v>
      </c>
      <c r="BF1065" s="50" t="n">
        <f aca="false">ROUNDUP(CK1065+MAX(CL1065,2*(J1065/IF(CG1065&gt;0,CG1065,MAX(0.1,N(Cockpit!$O$6)))-CK1065)),0)</f>
        <v>51</v>
      </c>
      <c r="BG1065" s="51" t="n">
        <f aca="false">IF(BC1065&gt;0,J1065/BC1065,-1)</f>
        <v>8.38709677419355</v>
      </c>
      <c r="BH1065" s="51" t="n">
        <f aca="false">IF(AND(OR(CF1065="L1",CF1065="L23",CF1065="LIFT"),BC1065&gt;0),SUMIFS($BC$7:$BC$1843,$CF$7:$CF$1843,CF1065,$BG$7:$BG$1843,"&gt;"&amp;BG1065)+SUMIFS($BC$7:$BC$1843,$CF$7:$CF$1843,CF1065,$BG$7:$BG$1843,BG1065,$BW$7:$BW$1843,"&lt;="&amp;BW1065),"")</f>
        <v>2960.63965201465</v>
      </c>
      <c r="BI1065" s="58" t="n">
        <f aca="false">IF(BH1065="",0,MAX(0,MIN(1,(IF(CF1065="L1",Parameter!$H$5,IF(CF1065="L23",Parameter!$H$6+Parameter!$H$7,Parameter!$H$5+Parameter!$H$6+Parameter!$H$7))-(BH1065-BC1065))/BC1065)))</f>
        <v>1</v>
      </c>
      <c r="BJ1065" s="48" t="str">
        <f aca="false">IF(AI1065&lt;=0,"",IF(CF1065="Aussen","Aussenlager",IF(CF1065="-","Nicht im Lift",IF(AO1065&gt;=1,"Lift",IF(AO1065&lt;=0,"Aussenlager","teilweise")))))</f>
        <v>Lift</v>
      </c>
      <c r="BK1065" s="48" t="str">
        <f aca="false">IF(AS1065&lt;=0,"",IF(CF1065="Aussen","Aussenlager",IF(CF1065="-","Nicht im Lift",IF(AY1065&gt;=1,"Lift",IF(AY1065&lt;=0,"Aussenlager","teilweise")))))</f>
        <v>Lift</v>
      </c>
      <c r="BL1065" s="48" t="str">
        <f aca="false">IF(BC1065&lt;=0,"",IF(CF1065="Aussen","Aussenlager",IF(CF1065="-","Nicht im Lift",IF(BI1065&gt;=1,"Lift",IF(BI1065&lt;=0,"Aussenlager","teilweise")))))</f>
        <v>Lift</v>
      </c>
      <c r="BM1065" s="48" t="str">
        <f aca="false">IF(A1065="","",IF(BV1065=1,"Neu; ","")&amp;IF(AND(BV1065=0,BQ1065&lt;0),"negativer Bestand (Export "&amp;BQ1065&amp;"); ","")&amp;IF(J1065&lt;=0,"Kein Verbrauch; ","")&amp;IF(CQ1065&gt;0,"Lift "&amp;W1065&amp;" lt. Liftbericht (Fach "&amp;X1065&amp;" Stk); ",IF(CA1065=1,"Gebinde geschätzt ("&amp;T1065&amp;"); ",IF(BZ1065=1,"Lose – Tablare geschätzt; ","")))&amp;IF(H1065&gt;AV1065,"Überbestand "&amp;ROUND(H1065-AV1065,0)&amp;" Stk / CHF "&amp;ROUND((H1065-AV1065)*G1065,0)&amp;"; ","")&amp;IF(AND(CH1065=1,CI1065&lt;CJ1065),"MAX &lt; MB+LG; ","")&amp;IF(AND(CP1065&gt;0,CO1065*10&gt;CP1065),"zu hoch für Tablar; ","")&amp;IF(AND(BV1065=0,OR(CH1065=1,AA1065&lt;&gt;"",U1065&lt;&gt;"",V1065&lt;&gt;"",AB1065&lt;&gt;"")),"manuell übersteuert; ","")&amp;IF(AND(BZ1065=0,R1065=0),"Gebinde unbekannt / Stellmass fehlt; ","")&amp;IF(AND(BZ1065=0,N(V1065)&lt;=0,N(Q1065)&lt;=0),"Menge pro Gebinde fehlt (Ist = 1 Gebinde); ","")&amp;BU1065)</f>
        <v>negativer Bestand (Export -44); Neu</v>
      </c>
      <c r="BN1065" s="48"/>
      <c r="BO1065" s="48"/>
      <c r="BP1065" s="55"/>
      <c r="BQ1065" s="50" t="n">
        <v>-44</v>
      </c>
      <c r="BR1065" s="50" t="n">
        <v>50</v>
      </c>
      <c r="BS1065" s="49" t="n">
        <v>-162.36</v>
      </c>
      <c r="BT1065" s="50" t="n">
        <v>25</v>
      </c>
      <c r="BU1065" s="48" t="s">
        <v>635</v>
      </c>
      <c r="BV1065" s="53" t="n">
        <v>0</v>
      </c>
      <c r="BW1065" s="53" t="n">
        <v>1065</v>
      </c>
      <c r="BX1065" s="48" t="str">
        <f aca="false">IF(U1065&lt;&gt;"",UPPER(TRIM(U1065)),IF(CA1065=1,UPPER(VLOOKUP(T1065,Parameter!$I$27:$K$29,2,0)),IF(P1065="","LOSE",P1065)))</f>
        <v>S41</v>
      </c>
      <c r="BY1065" s="50" t="n">
        <f aca="false">IF(BX1065="LOSE",1,IF(N(V1065)&gt;0,V1065,IF(CA1065=1,MAX(1,N(VLOOKUP(T1065,Parameter!$I$27:$K$29,3,0)),H1065,N(N1065)),IF(N(Q1065)&gt;0,Q1065,MAX(1,H1065)))))</f>
        <v>88</v>
      </c>
      <c r="BZ1065" s="53" t="n">
        <f aca="false">IF(BX1065="LOSE",1,0)</f>
        <v>0</v>
      </c>
      <c r="CA1065" s="53" t="n">
        <f aca="false">IF(AND(U1065="",OR(P1065="",P1065="LOSE"),T1065&lt;&gt;"",N(S1065)&lt;=0,ISNUMBER(MATCH(T1065,Parameter!$I$27:$I$29,0))),1,0)</f>
        <v>0</v>
      </c>
      <c r="CB1065" s="53" t="n">
        <f aca="false">IF(CQ1065&gt;0,INDEX(Parameter!$H$5:$H$7,W1065)/INDEX(Parameter!$E$5:$E$7,W1065),IF(AND(BZ1065=0,N(IFERROR(VLOOKUP(BX1065,'Gebinde-Kategorie'!$A$5:$N$45,14,0),0))&gt;0),VLOOKUP(BX1065,'Gebinde-Kategorie'!$A$5:$N$45,14,0)*10+Parameter!$M$23,Parameter!$M$24))</f>
        <v>155</v>
      </c>
      <c r="CC1065" s="48" t="str">
        <f aca="false">IF(AND(Parameter!$B$19="Ja",E1065&lt;&gt;"",ISNUMBER(MATCH(E1065,Parameter!$I$35:$I$52,0))),VLOOKUP(E1065,Parameter!$I$35:$J$52,2,0),IFERROR(VLOOKUP(D1065,Parameter!$A$35:$C$64,2,0),"Nein"))</f>
        <v>2+3</v>
      </c>
      <c r="CD1065" s="52" t="n">
        <f aca="false">IF(BZ1065=0,0,IF(N(S1065)&gt;0,S1065,IFERROR(VLOOKUP(D1065,Parameter!$A$35:$C$64,3,0)+0,0)))</f>
        <v>0</v>
      </c>
      <c r="CE1065" s="48" t="n">
        <f aca="false">IF(AA1065&lt;&gt;"",AA1065,Z1065)</f>
        <v>3</v>
      </c>
      <c r="CF1065" s="48" t="str">
        <f aca="false">IF(OR(CE1065=1,CE1065=2,CE1065=3),IF(Parameter!$E$27="Ja","LIFT",IF(CE1065=1,"L1","L23")),IF(CE1065="Aussen","Aussen","-"))</f>
        <v>LIFT</v>
      </c>
      <c r="CG1065" s="59" t="n">
        <f aca="false">IF(N(AB1065)&gt;0,AB1065,0)</f>
        <v>0</v>
      </c>
      <c r="CH1065" s="53" t="n">
        <f aca="false">IF(ISNUMBER(AE1065),1,0)</f>
        <v>0</v>
      </c>
      <c r="CI1065" s="50" t="n">
        <f aca="false">N(AE1065)</f>
        <v>0</v>
      </c>
      <c r="CJ1065" s="50" t="n">
        <f aca="false">N(M1065)+N(N1065)</f>
        <v>51</v>
      </c>
      <c r="CK1065" s="50" t="n">
        <f aca="false">N(M1065)</f>
        <v>1</v>
      </c>
      <c r="CL1065" s="50" t="n">
        <f aca="false">N(N1065)</f>
        <v>50</v>
      </c>
      <c r="CM1065" s="50" t="n">
        <f aca="false">ROUNDUP(H1065/BY1065,0)</f>
        <v>1</v>
      </c>
      <c r="CN1065" s="50" t="n">
        <f aca="false">ROUNDUP(CI1065/BY1065,0)</f>
        <v>0</v>
      </c>
      <c r="CO1065" s="53" t="n">
        <f aca="false">IF(BZ1065=1,0,IFERROR(VLOOKUP(BX1065,'Gebinde-Kategorie'!$A$5:$N$45,5,0)+0,0))</f>
        <v>11</v>
      </c>
      <c r="CP1065" s="53" t="n">
        <f aca="false">IFERROR(IF(OR(CE1065=1,CE1065=2,CE1065=3),N(INDEX(Parameter!$I$5:$I$7,CE1065)),0),0)</f>
        <v>0</v>
      </c>
      <c r="CQ1065" s="52" t="n">
        <f aca="false">IF(AND(Parameter!$B$21="Ja",ISNUMBER(W1065),N(X1065)&gt;0),IFERROR(N(INDEX(Parameter!$L$5:$L$7,W1065))*INDEX(Parameter!$E$5:$E$7,W1065)*X1065/SUMIFS($X$7:$X$1843,$W$7:$W$1843,W1065),0),0)</f>
        <v>0</v>
      </c>
    </row>
    <row r="1066" customFormat="false" ht="15" hidden="false" customHeight="false" outlineLevel="0" collapsed="false">
      <c r="A1066" s="48" t="s">
        <v>1956</v>
      </c>
      <c r="B1066" s="48" t="s">
        <v>1957</v>
      </c>
      <c r="C1066" s="48" t="s">
        <v>465</v>
      </c>
      <c r="D1066" s="48" t="s">
        <v>193</v>
      </c>
      <c r="E1066" s="48"/>
      <c r="F1066" s="48" t="s">
        <v>227</v>
      </c>
      <c r="G1066" s="49" t="n">
        <v>20.45</v>
      </c>
      <c r="H1066" s="50" t="n">
        <f aca="false">MAX(0,IF(AND(Parameter!$B$21="Ja",ISNUMBER(Y1066)),Y1066,IF(Parameter!$B$20="Jahresanfang 2025 + Export",BR1066+BQ1066,BQ1066)))</f>
        <v>8</v>
      </c>
      <c r="I1066" s="50" t="n">
        <f aca="false">H1066*G1066</f>
        <v>163.6</v>
      </c>
      <c r="J1066" s="50" t="n">
        <f aca="false">BT1066*Parameter!$B$18</f>
        <v>8</v>
      </c>
      <c r="K1066" s="51" t="n">
        <v>8</v>
      </c>
      <c r="L1066" s="52" t="n">
        <v>1</v>
      </c>
      <c r="M1066" s="50" t="n">
        <v>0</v>
      </c>
      <c r="N1066" s="50" t="n">
        <v>10</v>
      </c>
      <c r="O1066" s="53" t="n">
        <v>21</v>
      </c>
      <c r="P1066" s="48" t="s">
        <v>177</v>
      </c>
      <c r="Q1066" s="50"/>
      <c r="R1066" s="53" t="n">
        <f aca="false">IF(BZ1066=1,0,IFERROR(VLOOKUP(BX1066,'Gebinde-Kategorie'!$A$5:$N$45,13,0)+0,0))</f>
        <v>4</v>
      </c>
      <c r="S1066" s="54"/>
      <c r="T1066" s="55" t="s">
        <v>198</v>
      </c>
      <c r="U1066" s="55"/>
      <c r="V1066" s="55"/>
      <c r="W1066" s="48"/>
      <c r="X1066" s="50"/>
      <c r="Y1066" s="50"/>
      <c r="Z1066" s="48" t="n">
        <f aca="false">IF(A1066="","",IF(AND(Parameter!$B$21="Ja",ISNUMBER(W1066)),W1066,IF(CC1066="2+3",IF(ISNUMBER(SEARCH("grosser Artikel",BU1066)),2,IFERROR(VLOOKUP(BX1066,Parameter!$F$35:$G$64,2,0),2)),IF(OR(CC1066="Nein",CC1066=""),"-",CC1066))))</f>
        <v>2</v>
      </c>
      <c r="AA1066" s="55"/>
      <c r="AB1066" s="56"/>
      <c r="AC1066" s="50" t="n">
        <f aca="false">AV1066</f>
        <v>10</v>
      </c>
      <c r="AD1066" s="50" t="n">
        <f aca="false">MAX(AV1066,H1066)</f>
        <v>10</v>
      </c>
      <c r="AE1066" s="57"/>
      <c r="AF1066" s="50" t="n">
        <f aca="false">IF(LEFT(Cockpit!$C$5,1)="A",H1066,IF(Parameter!$E$30="MAX-Bestand",IF(CH1066=1,CI1066,IF(LEFT(Cockpit!$C$5,1)="B",AL1066,MAX(AL1066,H1066))),ROUNDUP(AJ1066,0)))</f>
        <v>8</v>
      </c>
      <c r="AG1066" s="50" t="n">
        <f aca="false">IF(BZ1066=1,0,ROUNDUP(AF1066/BY1066,0))</f>
        <v>1</v>
      </c>
      <c r="AH1066" s="52" t="n">
        <f aca="false">IF(CQ1066&gt;0,CQ1066*MAX(1,AF1066/X1066),IF(BZ1066=1,IF(AF1066&lt;=0,0,CD1066*MAX(1,IF(H1066&gt;0,AF1066/H1066,1))),IF(R1066&gt;0,AG1066/R1066,0))/MAX(0.1,N(Parameter!$M$21)))</f>
        <v>0.25</v>
      </c>
      <c r="AI1066" s="50" t="n">
        <f aca="false">AH1066*CB1066</f>
        <v>58.75</v>
      </c>
      <c r="AJ1066" s="51" t="n">
        <f aca="false">IF(LEFT(Cockpit!$C$5,1)="A",H1066,IF(CH1066=1,(CK1066+CI1066)/2,IF(LEFT(Cockpit!$C$5,1)="B",(CK1066+AL1066)/2,MAX((CK1066+AL1066)/2,H1066))))</f>
        <v>8</v>
      </c>
      <c r="AK1066" s="50" t="n">
        <f aca="false">AJ1066*G1066</f>
        <v>163.6</v>
      </c>
      <c r="AL1066" s="50" t="n">
        <f aca="false">ROUNDUP(CK1066+MAX(CL1066,2*(J1066/IF(CG1066&gt;0,CG1066,MAX(0.1,N(Cockpit!$C$6)))-CK1066)),0)</f>
        <v>10</v>
      </c>
      <c r="AM1066" s="51" t="n">
        <f aca="false">IF(AI1066&gt;0,J1066/AI1066,-1)</f>
        <v>0.136170212765957</v>
      </c>
      <c r="AN1066" s="51" t="n">
        <f aca="false">IF(AND(OR(CF1066="L1",CF1066="L23",CF1066="LIFT"),AI1066&gt;0),SUMIFS($AI$7:$AI$1843,$CF$7:$CF$1843,CF1066,$AM$7:$AM$1843,"&gt;"&amp;AM1066)+SUMIFS($AI$7:$AI$1843,$CF$7:$CF$1843,CF1066,$AM$7:$AM$1843,AM1066,$BW$7:$BW$1843,"&lt;="&amp;BW1066),"")</f>
        <v>13270.342695205</v>
      </c>
      <c r="AO1066" s="58" t="n">
        <f aca="false">IF(AN1066="",0,MAX(0,MIN(1,(IF(CF1066="L1",Parameter!$H$5,IF(CF1066="L23",Parameter!$H$6+Parameter!$H$7,Parameter!$H$5+Parameter!$H$6+Parameter!$H$7))-(AN1066-AI1066))/AI1066)))</f>
        <v>1</v>
      </c>
      <c r="AP1066" s="50" t="n">
        <f aca="false">IF(LEFT(Cockpit!$I$5,1)="A",H1066,IF(Parameter!$E$30="MAX-Bestand",IF(CH1066=1,CI1066,IF(LEFT(Cockpit!$I$5,1)="B",AV1066,MAX(AV1066,H1066))),ROUNDUP(AT1066,0)))</f>
        <v>8</v>
      </c>
      <c r="AQ1066" s="50" t="n">
        <f aca="false">IF(BZ1066=1,0,ROUNDUP(AP1066/BY1066,0))</f>
        <v>1</v>
      </c>
      <c r="AR1066" s="52" t="n">
        <f aca="false">IF(CQ1066&gt;0,CQ1066*MAX(1,AP1066/X1066),IF(BZ1066=1,IF(AP1066&lt;=0,0,CD1066*MAX(1,IF(H1066&gt;0,AP1066/H1066,1))),IF(R1066&gt;0,AQ1066/R1066,0))/MAX(0.1,N(Parameter!$M$21)))</f>
        <v>0.25</v>
      </c>
      <c r="AS1066" s="50" t="n">
        <f aca="false">AR1066*CB1066</f>
        <v>58.75</v>
      </c>
      <c r="AT1066" s="51" t="n">
        <f aca="false">IF(LEFT(Cockpit!$I$5,1)="A",H1066,IF(CH1066=1,(CK1066+CI1066)/2,IF(LEFT(Cockpit!$I$5,1)="B",(CK1066+AV1066)/2,MAX((CK1066+AV1066)/2,H1066))))</f>
        <v>8</v>
      </c>
      <c r="AU1066" s="50" t="n">
        <f aca="false">AT1066*G1066</f>
        <v>163.6</v>
      </c>
      <c r="AV1066" s="50" t="n">
        <f aca="false">ROUNDUP(CK1066+MAX(CL1066,2*(J1066/IF(CG1066&gt;0,CG1066,MAX(0.1,N(Cockpit!$I$6)))-CK1066)),0)</f>
        <v>10</v>
      </c>
      <c r="AW1066" s="51" t="n">
        <f aca="false">IF(AS1066&gt;0,J1066/AS1066,-1)</f>
        <v>0.136170212765957</v>
      </c>
      <c r="AX1066" s="51" t="n">
        <f aca="false">IF(AND(OR(CF1066="L1",CF1066="L23",CF1066="LIFT"),AS1066&gt;0),SUMIFS($AS$7:$AS$1843,$CF$7:$CF$1843,CF1066,$AW$7:$AW$1843,"&gt;"&amp;AW1066)+SUMIFS($AS$7:$AS$1843,$CF$7:$CF$1843,CF1066,$AW$7:$AW$1843,AW1066,$BW$7:$BW$1843,"&lt;="&amp;BW1066),"")</f>
        <v>17294.7413365824</v>
      </c>
      <c r="AY1066" s="58" t="n">
        <f aca="false">IF(AX1066="",0,MAX(0,MIN(1,(IF(CF1066="L1",Parameter!$H$5,IF(CF1066="L23",Parameter!$H$6+Parameter!$H$7,Parameter!$H$5+Parameter!$H$6+Parameter!$H$7))-(AX1066-AS1066))/AS1066)))</f>
        <v>1</v>
      </c>
      <c r="AZ1066" s="50" t="n">
        <f aca="false">IF(LEFT(Cockpit!$O$5,1)="A",H1066,IF(Parameter!$E$30="MAX-Bestand",IF(CH1066=1,CI1066,IF(LEFT(Cockpit!$O$5,1)="B",BF1066,MAX(BF1066,H1066))),ROUNDUP(BD1066,0)))</f>
        <v>5</v>
      </c>
      <c r="BA1066" s="50" t="n">
        <f aca="false">IF(BZ1066=1,0,ROUNDUP(AZ1066/BY1066,0))</f>
        <v>1</v>
      </c>
      <c r="BB1066" s="52" t="n">
        <f aca="false">IF(CQ1066&gt;0,CQ1066*MAX(1,AZ1066/X1066),IF(BZ1066=1,IF(AZ1066&lt;=0,0,CD1066*MAX(1,IF(H1066&gt;0,AZ1066/H1066,1))),IF(R1066&gt;0,BA1066/R1066,0))/MAX(0.1,N(Parameter!$M$21)))</f>
        <v>0.25</v>
      </c>
      <c r="BC1066" s="50" t="n">
        <f aca="false">BB1066*CB1066</f>
        <v>58.75</v>
      </c>
      <c r="BD1066" s="51" t="n">
        <f aca="false">IF(LEFT(Cockpit!$O$5,1)="A",H1066,IF(CH1066=1,(CK1066+CI1066)/2,IF(LEFT(Cockpit!$O$5,1)="B",(CK1066+BF1066)/2,MAX((CK1066+BF1066)/2,H1066))))</f>
        <v>5</v>
      </c>
      <c r="BE1066" s="50" t="n">
        <f aca="false">BD1066*G1066</f>
        <v>102.25</v>
      </c>
      <c r="BF1066" s="50" t="n">
        <f aca="false">ROUNDUP(CK1066+MAX(CL1066,2*(J1066/IF(CG1066&gt;0,CG1066,MAX(0.1,N(Cockpit!$O$6)))-CK1066)),0)</f>
        <v>10</v>
      </c>
      <c r="BG1066" s="51" t="n">
        <f aca="false">IF(BC1066&gt;0,J1066/BC1066,-1)</f>
        <v>0.136170212765957</v>
      </c>
      <c r="BH1066" s="51" t="n">
        <f aca="false">IF(AND(OR(CF1066="L1",CF1066="L23",CF1066="LIFT"),BC1066&gt;0),SUMIFS($BC$7:$BC$1843,$CF$7:$CF$1843,CF1066,$BG$7:$BG$1843,"&gt;"&amp;BG1066)+SUMIFS($BC$7:$BC$1843,$CF$7:$CF$1843,CF1066,$BG$7:$BG$1843,BG1066,$BW$7:$BW$1843,"&lt;="&amp;BW1066),"")</f>
        <v>14508.4706157778</v>
      </c>
      <c r="BI1066" s="58" t="n">
        <f aca="false">IF(BH1066="",0,MAX(0,MIN(1,(IF(CF1066="L1",Parameter!$H$5,IF(CF1066="L23",Parameter!$H$6+Parameter!$H$7,Parameter!$H$5+Parameter!$H$6+Parameter!$H$7))-(BH1066-BC1066))/BC1066)))</f>
        <v>1</v>
      </c>
      <c r="BJ1066" s="48" t="str">
        <f aca="false">IF(AI1066&lt;=0,"",IF(CF1066="Aussen","Aussenlager",IF(CF1066="-","Nicht im Lift",IF(AO1066&gt;=1,"Lift",IF(AO1066&lt;=0,"Aussenlager","teilweise")))))</f>
        <v>Lift</v>
      </c>
      <c r="BK1066" s="48" t="str">
        <f aca="false">IF(AS1066&lt;=0,"",IF(CF1066="Aussen","Aussenlager",IF(CF1066="-","Nicht im Lift",IF(AY1066&gt;=1,"Lift",IF(AY1066&lt;=0,"Aussenlager","teilweise")))))</f>
        <v>Lift</v>
      </c>
      <c r="BL1066" s="48" t="str">
        <f aca="false">IF(BC1066&lt;=0,"",IF(CF1066="Aussen","Aussenlager",IF(CF1066="-","Nicht im Lift",IF(BI1066&gt;=1,"Lift",IF(BI1066&lt;=0,"Aussenlager","teilweise")))))</f>
        <v>Lift</v>
      </c>
      <c r="BM1066" s="48" t="str">
        <f aca="false">IF(A1066="","",IF(BV1066=1,"Neu; ","")&amp;IF(AND(BV1066=0,BQ1066&lt;0),"negativer Bestand (Export "&amp;BQ1066&amp;"); ","")&amp;IF(J1066&lt;=0,"Kein Verbrauch; ","")&amp;IF(CQ1066&gt;0,"Lift "&amp;W1066&amp;" lt. Liftbericht (Fach "&amp;X1066&amp;" Stk); ",IF(CA1066=1,"Gebinde geschätzt ("&amp;T1066&amp;"); ",IF(BZ1066=1,"Lose – Tablare geschätzt; ","")))&amp;IF(H1066&gt;AV1066,"Überbestand "&amp;ROUND(H1066-AV1066,0)&amp;" Stk / CHF "&amp;ROUND((H1066-AV1066)*G1066,0)&amp;"; ","")&amp;IF(AND(CH1066=1,CI1066&lt;CJ1066),"MAX &lt; MB+LG; ","")&amp;IF(AND(CP1066&gt;0,CO1066*10&gt;CP1066),"zu hoch für Tablar; ","")&amp;IF(AND(BV1066=0,OR(CH1066=1,AA1066&lt;&gt;"",U1066&lt;&gt;"",V1066&lt;&gt;"",AB1066&lt;&gt;"")),"manuell übersteuert; ","")&amp;IF(AND(BZ1066=0,R1066=0),"Gebinde unbekannt / Stellmass fehlt; ","")&amp;IF(AND(BZ1066=0,N(V1066)&lt;=0,N(Q1066)&lt;=0),"Menge pro Gebinde fehlt (Ist = 1 Gebinde); ","")&amp;BU1066)</f>
        <v>negativer Bestand (Export -8); Gebinde geschätzt (Gross); Menge pro Gebinde fehlt (Ist = 1 Gebinde); </v>
      </c>
      <c r="BN1066" s="48"/>
      <c r="BO1066" s="48"/>
      <c r="BP1066" s="55"/>
      <c r="BQ1066" s="50" t="n">
        <v>-8</v>
      </c>
      <c r="BR1066" s="50" t="n">
        <v>16</v>
      </c>
      <c r="BS1066" s="49" t="n">
        <v>-163.6</v>
      </c>
      <c r="BT1066" s="50" t="n">
        <v>8</v>
      </c>
      <c r="BU1066" s="48"/>
      <c r="BV1066" s="53" t="n">
        <v>0</v>
      </c>
      <c r="BW1066" s="53" t="n">
        <v>1066</v>
      </c>
      <c r="BX1066" s="48" t="str">
        <f aca="false">IF(U1066&lt;&gt;"",UPPER(TRIM(U1066)),IF(CA1066=1,UPPER(VLOOKUP(T1066,Parameter!$I$27:$K$29,2,0)),IF(P1066="","LOSE",P1066)))</f>
        <v>S81</v>
      </c>
      <c r="BY1066" s="50" t="n">
        <f aca="false">IF(BX1066="LOSE",1,IF(N(V1066)&gt;0,V1066,IF(CA1066=1,MAX(1,N(VLOOKUP(T1066,Parameter!$I$27:$K$29,3,0)),H1066,N(N1066)),IF(N(Q1066)&gt;0,Q1066,MAX(1,H1066)))))</f>
        <v>10</v>
      </c>
      <c r="BZ1066" s="53" t="n">
        <f aca="false">IF(BX1066="LOSE",1,0)</f>
        <v>0</v>
      </c>
      <c r="CA1066" s="53" t="n">
        <f aca="false">IF(AND(U1066="",OR(P1066="",P1066="LOSE"),T1066&lt;&gt;"",N(S1066)&lt;=0,ISNUMBER(MATCH(T1066,Parameter!$I$27:$I$29,0))),1,0)</f>
        <v>1</v>
      </c>
      <c r="CB1066" s="53" t="n">
        <f aca="false">IF(CQ1066&gt;0,INDEX(Parameter!$H$5:$H$7,W1066)/INDEX(Parameter!$E$5:$E$7,W1066),IF(AND(BZ1066=0,N(IFERROR(VLOOKUP(BX1066,'Gebinde-Kategorie'!$A$5:$N$45,14,0),0))&gt;0),VLOOKUP(BX1066,'Gebinde-Kategorie'!$A$5:$N$45,14,0)*10+Parameter!$M$23,Parameter!$M$24))</f>
        <v>235</v>
      </c>
      <c r="CC1066" s="48" t="str">
        <f aca="false">IF(AND(Parameter!$B$19="Ja",E1066&lt;&gt;"",ISNUMBER(MATCH(E1066,Parameter!$I$35:$I$52,0))),VLOOKUP(E1066,Parameter!$I$35:$J$52,2,0),IFERROR(VLOOKUP(D1066,Parameter!$A$35:$C$64,2,0),"Nein"))</f>
        <v>2+3</v>
      </c>
      <c r="CD1066" s="52" t="n">
        <f aca="false">IF(BZ1066=0,0,IF(N(S1066)&gt;0,S1066,IFERROR(VLOOKUP(D1066,Parameter!$A$35:$C$64,3,0)+0,0)))</f>
        <v>0</v>
      </c>
      <c r="CE1066" s="48" t="n">
        <f aca="false">IF(AA1066&lt;&gt;"",AA1066,Z1066)</f>
        <v>2</v>
      </c>
      <c r="CF1066" s="48" t="str">
        <f aca="false">IF(OR(CE1066=1,CE1066=2,CE1066=3),IF(Parameter!$E$27="Ja","LIFT",IF(CE1066=1,"L1","L23")),IF(CE1066="Aussen","Aussen","-"))</f>
        <v>LIFT</v>
      </c>
      <c r="CG1066" s="59" t="n">
        <f aca="false">IF(N(AB1066)&gt;0,AB1066,0)</f>
        <v>0</v>
      </c>
      <c r="CH1066" s="53" t="n">
        <f aca="false">IF(ISNUMBER(AE1066),1,0)</f>
        <v>0</v>
      </c>
      <c r="CI1066" s="50" t="n">
        <f aca="false">N(AE1066)</f>
        <v>0</v>
      </c>
      <c r="CJ1066" s="50" t="n">
        <f aca="false">N(M1066)+N(N1066)</f>
        <v>10</v>
      </c>
      <c r="CK1066" s="50" t="n">
        <f aca="false">N(M1066)</f>
        <v>0</v>
      </c>
      <c r="CL1066" s="50" t="n">
        <f aca="false">N(N1066)</f>
        <v>10</v>
      </c>
      <c r="CM1066" s="50" t="n">
        <f aca="false">ROUNDUP(H1066/BY1066,0)</f>
        <v>1</v>
      </c>
      <c r="CN1066" s="50" t="n">
        <f aca="false">ROUNDUP(CI1066/BY1066,0)</f>
        <v>0</v>
      </c>
      <c r="CO1066" s="53" t="n">
        <f aca="false">IF(BZ1066=1,0,IFERROR(VLOOKUP(BX1066,'Gebinde-Kategorie'!$A$5:$N$45,5,0)+0,0))</f>
        <v>20</v>
      </c>
      <c r="CP1066" s="53" t="n">
        <f aca="false">IFERROR(IF(OR(CE1066=1,CE1066=2,CE1066=3),N(INDEX(Parameter!$I$5:$I$7,CE1066)),0),0)</f>
        <v>0</v>
      </c>
      <c r="CQ1066" s="52" t="n">
        <f aca="false">IF(AND(Parameter!$B$21="Ja",ISNUMBER(W1066),N(X1066)&gt;0),IFERROR(N(INDEX(Parameter!$L$5:$L$7,W1066))*INDEX(Parameter!$E$5:$E$7,W1066)*X1066/SUMIFS($X$7:$X$1843,$W$7:$W$1843,W1066),0),0)</f>
        <v>0</v>
      </c>
    </row>
    <row r="1067" customFormat="false" ht="15" hidden="false" customHeight="false" outlineLevel="0" collapsed="false">
      <c r="A1067" s="48" t="s">
        <v>1958</v>
      </c>
      <c r="B1067" s="48" t="s">
        <v>1959</v>
      </c>
      <c r="C1067" s="48" t="s">
        <v>465</v>
      </c>
      <c r="D1067" s="48" t="s">
        <v>193</v>
      </c>
      <c r="E1067" s="48"/>
      <c r="F1067" s="48" t="s">
        <v>227</v>
      </c>
      <c r="G1067" s="49" t="n">
        <v>4.12</v>
      </c>
      <c r="H1067" s="50" t="n">
        <f aca="false">MAX(0,IF(AND(Parameter!$B$21="Ja",ISNUMBER(Y1067)),Y1067,IF(Parameter!$B$20="Jahresanfang 2025 + Export",BR1067+BQ1067,BQ1067)))</f>
        <v>0</v>
      </c>
      <c r="I1067" s="50" t="n">
        <f aca="false">H1067*G1067</f>
        <v>0</v>
      </c>
      <c r="J1067" s="50" t="n">
        <f aca="false">BT1067*Parameter!$B$18</f>
        <v>0</v>
      </c>
      <c r="K1067" s="51" t="n">
        <v>40</v>
      </c>
      <c r="L1067" s="52" t="n">
        <v>0</v>
      </c>
      <c r="M1067" s="50" t="n">
        <v>0</v>
      </c>
      <c r="N1067" s="50" t="n">
        <v>1</v>
      </c>
      <c r="O1067" s="53" t="n">
        <v>42</v>
      </c>
      <c r="P1067" s="48" t="s">
        <v>177</v>
      </c>
      <c r="Q1067" s="50"/>
      <c r="R1067" s="53" t="n">
        <f aca="false">IF(BZ1067=1,0,IFERROR(VLOOKUP(BX1067,'Gebinde-Kategorie'!$A$5:$N$45,13,0)+0,0))</f>
        <v>26</v>
      </c>
      <c r="S1067" s="54"/>
      <c r="T1067" s="55" t="s">
        <v>284</v>
      </c>
      <c r="U1067" s="55"/>
      <c r="V1067" s="55"/>
      <c r="W1067" s="48"/>
      <c r="X1067" s="50"/>
      <c r="Y1067" s="50"/>
      <c r="Z1067" s="48" t="n">
        <f aca="false">IF(A1067="","",IF(AND(Parameter!$B$21="Ja",ISNUMBER(W1067)),W1067,IF(CC1067="2+3",IF(ISNUMBER(SEARCH("grosser Artikel",BU1067)),2,IFERROR(VLOOKUP(BX1067,Parameter!$F$35:$G$64,2,0),2)),IF(OR(CC1067="Nein",CC1067=""),"-",CC1067))))</f>
        <v>3</v>
      </c>
      <c r="AA1067" s="55"/>
      <c r="AB1067" s="56"/>
      <c r="AC1067" s="50" t="n">
        <f aca="false">AV1067</f>
        <v>1</v>
      </c>
      <c r="AD1067" s="50" t="n">
        <f aca="false">MAX(AV1067,H1067)</f>
        <v>1</v>
      </c>
      <c r="AE1067" s="57"/>
      <c r="AF1067" s="50" t="n">
        <f aca="false">IF(LEFT(Cockpit!$C$5,1)="A",H1067,IF(Parameter!$E$30="MAX-Bestand",IF(CH1067=1,CI1067,IF(LEFT(Cockpit!$C$5,1)="B",AL1067,MAX(AL1067,H1067))),ROUNDUP(AJ1067,0)))</f>
        <v>0</v>
      </c>
      <c r="AG1067" s="50" t="n">
        <f aca="false">IF(BZ1067=1,0,ROUNDUP(AF1067/BY1067,0))</f>
        <v>0</v>
      </c>
      <c r="AH1067" s="52" t="n">
        <f aca="false">IF(CQ1067&gt;0,CQ1067*MAX(1,AF1067/X1067),IF(BZ1067=1,IF(AF1067&lt;=0,0,CD1067*MAX(1,IF(H1067&gt;0,AF1067/H1067,1))),IF(R1067&gt;0,AG1067/R1067,0))/MAX(0.1,N(Parameter!$M$21)))</f>
        <v>0</v>
      </c>
      <c r="AI1067" s="50" t="n">
        <f aca="false">AH1067*CB1067</f>
        <v>0</v>
      </c>
      <c r="AJ1067" s="51" t="n">
        <f aca="false">IF(LEFT(Cockpit!$C$5,1)="A",H1067,IF(CH1067=1,(CK1067+CI1067)/2,IF(LEFT(Cockpit!$C$5,1)="B",(CK1067+AL1067)/2,MAX((CK1067+AL1067)/2,H1067))))</f>
        <v>0</v>
      </c>
      <c r="AK1067" s="50" t="n">
        <f aca="false">AJ1067*G1067</f>
        <v>0</v>
      </c>
      <c r="AL1067" s="50" t="n">
        <f aca="false">ROUNDUP(CK1067+MAX(CL1067,2*(J1067/IF(CG1067&gt;0,CG1067,MAX(0.1,N(Cockpit!$C$6)))-CK1067)),0)</f>
        <v>1</v>
      </c>
      <c r="AM1067" s="51" t="n">
        <f aca="false">IF(AI1067&gt;0,J1067/AI1067,-1)</f>
        <v>-1</v>
      </c>
      <c r="AN1067" s="51" t="str">
        <f aca="false">IF(AND(OR(CF1067="L1",CF1067="L23",CF1067="LIFT"),AI1067&gt;0),SUMIFS($AI$7:$AI$1843,$CF$7:$CF$1843,CF1067,$AM$7:$AM$1843,"&gt;"&amp;AM1067)+SUMIFS($AI$7:$AI$1843,$CF$7:$CF$1843,CF1067,$AM$7:$AM$1843,AM1067,$BW$7:$BW$1843,"&lt;="&amp;BW1067),"")</f>
        <v/>
      </c>
      <c r="AO1067" s="58" t="n">
        <f aca="false">IF(AN1067="",0,MAX(0,MIN(1,(IF(CF1067="L1",Parameter!$H$5,IF(CF1067="L23",Parameter!$H$6+Parameter!$H$7,Parameter!$H$5+Parameter!$H$6+Parameter!$H$7))-(AN1067-AI1067))/AI1067)))</f>
        <v>0</v>
      </c>
      <c r="AP1067" s="50" t="n">
        <f aca="false">IF(LEFT(Cockpit!$I$5,1)="A",H1067,IF(Parameter!$E$30="MAX-Bestand",IF(CH1067=1,CI1067,IF(LEFT(Cockpit!$I$5,1)="B",AV1067,MAX(AV1067,H1067))),ROUNDUP(AT1067,0)))</f>
        <v>1</v>
      </c>
      <c r="AQ1067" s="50" t="n">
        <f aca="false">IF(BZ1067=1,0,ROUNDUP(AP1067/BY1067,0))</f>
        <v>1</v>
      </c>
      <c r="AR1067" s="52" t="n">
        <f aca="false">IF(CQ1067&gt;0,CQ1067*MAX(1,AP1067/X1067),IF(BZ1067=1,IF(AP1067&lt;=0,0,CD1067*MAX(1,IF(H1067&gt;0,AP1067/H1067,1))),IF(R1067&gt;0,AQ1067/R1067,0))/MAX(0.1,N(Parameter!$M$21)))</f>
        <v>0.0384615384615385</v>
      </c>
      <c r="AS1067" s="50" t="n">
        <f aca="false">AR1067*CB1067</f>
        <v>5.96153846153846</v>
      </c>
      <c r="AT1067" s="51" t="n">
        <f aca="false">IF(LEFT(Cockpit!$I$5,1)="A",H1067,IF(CH1067=1,(CK1067+CI1067)/2,IF(LEFT(Cockpit!$I$5,1)="B",(CK1067+AV1067)/2,MAX((CK1067+AV1067)/2,H1067))))</f>
        <v>0.5</v>
      </c>
      <c r="AU1067" s="50" t="n">
        <f aca="false">AT1067*G1067</f>
        <v>2.06</v>
      </c>
      <c r="AV1067" s="50" t="n">
        <f aca="false">ROUNDUP(CK1067+MAX(CL1067,2*(J1067/IF(CG1067&gt;0,CG1067,MAX(0.1,N(Cockpit!$I$6)))-CK1067)),0)</f>
        <v>1</v>
      </c>
      <c r="AW1067" s="51" t="n">
        <f aca="false">IF(AS1067&gt;0,J1067/AS1067,-1)</f>
        <v>0</v>
      </c>
      <c r="AX1067" s="51" t="n">
        <f aca="false">IF(AND(OR(CF1067="L1",CF1067="L23",CF1067="LIFT"),AS1067&gt;0),SUMIFS($AS$7:$AS$1843,$CF$7:$CF$1843,CF1067,$AW$7:$AW$1843,"&gt;"&amp;AW1067)+SUMIFS($AS$7:$AS$1843,$CF$7:$CF$1843,CF1067,$AW$7:$AW$1843,AW1067,$BW$7:$BW$1843,"&lt;="&amp;BW1067),"")</f>
        <v>34802.5554029304</v>
      </c>
      <c r="AY1067" s="58" t="n">
        <f aca="false">IF(AX1067="",0,MAX(0,MIN(1,(IF(CF1067="L1",Parameter!$H$5,IF(CF1067="L23",Parameter!$H$6+Parameter!$H$7,Parameter!$H$5+Parameter!$H$6+Parameter!$H$7))-(AX1067-AS1067))/AS1067)))</f>
        <v>1</v>
      </c>
      <c r="AZ1067" s="50" t="n">
        <f aca="false">IF(LEFT(Cockpit!$O$5,1)="A",H1067,IF(Parameter!$E$30="MAX-Bestand",IF(CH1067=1,CI1067,IF(LEFT(Cockpit!$O$5,1)="B",BF1067,MAX(BF1067,H1067))),ROUNDUP(BD1067,0)))</f>
        <v>1</v>
      </c>
      <c r="BA1067" s="50" t="n">
        <f aca="false">IF(BZ1067=1,0,ROUNDUP(AZ1067/BY1067,0))</f>
        <v>1</v>
      </c>
      <c r="BB1067" s="52" t="n">
        <f aca="false">IF(CQ1067&gt;0,CQ1067*MAX(1,AZ1067/X1067),IF(BZ1067=1,IF(AZ1067&lt;=0,0,CD1067*MAX(1,IF(H1067&gt;0,AZ1067/H1067,1))),IF(R1067&gt;0,BA1067/R1067,0))/MAX(0.1,N(Parameter!$M$21)))</f>
        <v>0.0384615384615385</v>
      </c>
      <c r="BC1067" s="50" t="n">
        <f aca="false">BB1067*CB1067</f>
        <v>5.96153846153846</v>
      </c>
      <c r="BD1067" s="51" t="n">
        <f aca="false">IF(LEFT(Cockpit!$O$5,1)="A",H1067,IF(CH1067=1,(CK1067+CI1067)/2,IF(LEFT(Cockpit!$O$5,1)="B",(CK1067+BF1067)/2,MAX((CK1067+BF1067)/2,H1067))))</f>
        <v>0.5</v>
      </c>
      <c r="BE1067" s="50" t="n">
        <f aca="false">BD1067*G1067</f>
        <v>2.06</v>
      </c>
      <c r="BF1067" s="50" t="n">
        <f aca="false">ROUNDUP(CK1067+MAX(CL1067,2*(J1067/IF(CG1067&gt;0,CG1067,MAX(0.1,N(Cockpit!$O$6)))-CK1067)),0)</f>
        <v>1</v>
      </c>
      <c r="BG1067" s="51" t="n">
        <f aca="false">IF(BC1067&gt;0,J1067/BC1067,-1)</f>
        <v>0</v>
      </c>
      <c r="BH1067" s="51" t="n">
        <f aca="false">IF(AND(OR(CF1067="L1",CF1067="L23",CF1067="LIFT"),BC1067&gt;0),SUMIFS($BC$7:$BC$1843,$CF$7:$CF$1843,CF1067,$BG$7:$BG$1843,"&gt;"&amp;BG1067)+SUMIFS($BC$7:$BC$1843,$CF$7:$CF$1843,CF1067,$BG$7:$BG$1843,BG1067,$BW$7:$BW$1843,"&lt;="&amp;BW1067),"")</f>
        <v>28787.8620630782</v>
      </c>
      <c r="BI1067" s="58" t="n">
        <f aca="false">IF(BH1067="",0,MAX(0,MIN(1,(IF(CF1067="L1",Parameter!$H$5,IF(CF1067="L23",Parameter!$H$6+Parameter!$H$7,Parameter!$H$5+Parameter!$H$6+Parameter!$H$7))-(BH1067-BC1067))/BC1067)))</f>
        <v>1</v>
      </c>
      <c r="BJ1067" s="48" t="str">
        <f aca="false">IF(AI1067&lt;=0,"",IF(CF1067="Aussen","Aussenlager",IF(CF1067="-","Nicht im Lift",IF(AO1067&gt;=1,"Lift",IF(AO1067&lt;=0,"Aussenlager","teilweise")))))</f>
        <v/>
      </c>
      <c r="BK1067" s="48" t="str">
        <f aca="false">IF(AS1067&lt;=0,"",IF(CF1067="Aussen","Aussenlager",IF(CF1067="-","Nicht im Lift",IF(AY1067&gt;=1,"Lift",IF(AY1067&lt;=0,"Aussenlager","teilweise")))))</f>
        <v>Lift</v>
      </c>
      <c r="BL1067" s="48" t="str">
        <f aca="false">IF(BC1067&lt;=0,"",IF(CF1067="Aussen","Aussenlager",IF(CF1067="-","Nicht im Lift",IF(BI1067&gt;=1,"Lift",IF(BI1067&lt;=0,"Aussenlager","teilweise")))))</f>
        <v>Lift</v>
      </c>
      <c r="BM1067" s="48" t="str">
        <f aca="false">IF(A1067="","",IF(BV1067=1,"Neu; ","")&amp;IF(AND(BV1067=0,BQ1067&lt;0),"negativer Bestand (Export "&amp;BQ1067&amp;"); ","")&amp;IF(J1067&lt;=0,"Kein Verbrauch; ","")&amp;IF(CQ1067&gt;0,"Lift "&amp;W1067&amp;" lt. Liftbericht (Fach "&amp;X1067&amp;" Stk); ",IF(CA1067=1,"Gebinde geschätzt ("&amp;T1067&amp;"); ",IF(BZ1067=1,"Lose – Tablare geschätzt; ","")))&amp;IF(H1067&gt;AV1067,"Überbestand "&amp;ROUND(H1067-AV1067,0)&amp;" Stk / CHF "&amp;ROUND((H1067-AV1067)*G1067,0)&amp;"; ","")&amp;IF(AND(CH1067=1,CI1067&lt;CJ1067),"MAX &lt; MB+LG; ","")&amp;IF(AND(CP1067&gt;0,CO1067*10&gt;CP1067),"zu hoch für Tablar; ","")&amp;IF(AND(BV1067=0,OR(CH1067=1,AA1067&lt;&gt;"",U1067&lt;&gt;"",V1067&lt;&gt;"",AB1067&lt;&gt;"")),"manuell übersteuert; ","")&amp;IF(AND(BZ1067=0,R1067=0),"Gebinde unbekannt / Stellmass fehlt; ","")&amp;IF(AND(BZ1067=0,N(V1067)&lt;=0,N(Q1067)&lt;=0),"Menge pro Gebinde fehlt (Ist = 1 Gebinde); ","")&amp;BU1067)</f>
        <v>negativer Bestand (Export -40); Kein Verbrauch; Gebinde geschätzt (Klein); Menge pro Gebinde fehlt (Ist = 1 Gebinde); </v>
      </c>
      <c r="BN1067" s="48"/>
      <c r="BO1067" s="48"/>
      <c r="BP1067" s="55"/>
      <c r="BQ1067" s="50" t="n">
        <v>-40</v>
      </c>
      <c r="BR1067" s="50" t="n">
        <v>40</v>
      </c>
      <c r="BS1067" s="49" t="n">
        <v>-164.8</v>
      </c>
      <c r="BT1067" s="50" t="n">
        <v>0</v>
      </c>
      <c r="BU1067" s="48"/>
      <c r="BV1067" s="53" t="n">
        <v>0</v>
      </c>
      <c r="BW1067" s="53" t="n">
        <v>1067</v>
      </c>
      <c r="BX1067" s="48" t="str">
        <f aca="false">IF(U1067&lt;&gt;"",UPPER(TRIM(U1067)),IF(CA1067=1,UPPER(VLOOKUP(T1067,Parameter!$I$27:$K$29,2,0)),IF(P1067="","LOSE",P1067)))</f>
        <v>S51</v>
      </c>
      <c r="BY1067" s="50" t="n">
        <f aca="false">IF(BX1067="LOSE",1,IF(N(V1067)&gt;0,V1067,IF(CA1067=1,MAX(1,N(VLOOKUP(T1067,Parameter!$I$27:$K$29,3,0)),H1067,N(N1067)),IF(N(Q1067)&gt;0,Q1067,MAX(1,H1067)))))</f>
        <v>20</v>
      </c>
      <c r="BZ1067" s="53" t="n">
        <f aca="false">IF(BX1067="LOSE",1,0)</f>
        <v>0</v>
      </c>
      <c r="CA1067" s="53" t="n">
        <f aca="false">IF(AND(U1067="",OR(P1067="",P1067="LOSE"),T1067&lt;&gt;"",N(S1067)&lt;=0,ISNUMBER(MATCH(T1067,Parameter!$I$27:$I$29,0))),1,0)</f>
        <v>1</v>
      </c>
      <c r="CB1067" s="53" t="n">
        <f aca="false">IF(CQ1067&gt;0,INDEX(Parameter!$H$5:$H$7,W1067)/INDEX(Parameter!$E$5:$E$7,W1067),IF(AND(BZ1067=0,N(IFERROR(VLOOKUP(BX1067,'Gebinde-Kategorie'!$A$5:$N$45,14,0),0))&gt;0),VLOOKUP(BX1067,'Gebinde-Kategorie'!$A$5:$N$45,14,0)*10+Parameter!$M$23,Parameter!$M$24))</f>
        <v>155</v>
      </c>
      <c r="CC1067" s="48" t="str">
        <f aca="false">IF(AND(Parameter!$B$19="Ja",E1067&lt;&gt;"",ISNUMBER(MATCH(E1067,Parameter!$I$35:$I$52,0))),VLOOKUP(E1067,Parameter!$I$35:$J$52,2,0),IFERROR(VLOOKUP(D1067,Parameter!$A$35:$C$64,2,0),"Nein"))</f>
        <v>2+3</v>
      </c>
      <c r="CD1067" s="52" t="n">
        <f aca="false">IF(BZ1067=0,0,IF(N(S1067)&gt;0,S1067,IFERROR(VLOOKUP(D1067,Parameter!$A$35:$C$64,3,0)+0,0)))</f>
        <v>0</v>
      </c>
      <c r="CE1067" s="48" t="n">
        <f aca="false">IF(AA1067&lt;&gt;"",AA1067,Z1067)</f>
        <v>3</v>
      </c>
      <c r="CF1067" s="48" t="str">
        <f aca="false">IF(OR(CE1067=1,CE1067=2,CE1067=3),IF(Parameter!$E$27="Ja","LIFT",IF(CE1067=1,"L1","L23")),IF(CE1067="Aussen","Aussen","-"))</f>
        <v>LIFT</v>
      </c>
      <c r="CG1067" s="59" t="n">
        <f aca="false">IF(N(AB1067)&gt;0,AB1067,0)</f>
        <v>0</v>
      </c>
      <c r="CH1067" s="53" t="n">
        <f aca="false">IF(ISNUMBER(AE1067),1,0)</f>
        <v>0</v>
      </c>
      <c r="CI1067" s="50" t="n">
        <f aca="false">N(AE1067)</f>
        <v>0</v>
      </c>
      <c r="CJ1067" s="50" t="n">
        <f aca="false">N(M1067)+N(N1067)</f>
        <v>1</v>
      </c>
      <c r="CK1067" s="50" t="n">
        <f aca="false">N(M1067)</f>
        <v>0</v>
      </c>
      <c r="CL1067" s="50" t="n">
        <f aca="false">N(N1067)</f>
        <v>1</v>
      </c>
      <c r="CM1067" s="50" t="n">
        <f aca="false">ROUNDUP(H1067/BY1067,0)</f>
        <v>0</v>
      </c>
      <c r="CN1067" s="50" t="n">
        <f aca="false">ROUNDUP(CI1067/BY1067,0)</f>
        <v>0</v>
      </c>
      <c r="CO1067" s="53" t="n">
        <f aca="false">IF(BZ1067=1,0,IFERROR(VLOOKUP(BX1067,'Gebinde-Kategorie'!$A$5:$N$45,5,0)+0,0))</f>
        <v>11</v>
      </c>
      <c r="CP1067" s="53" t="n">
        <f aca="false">IFERROR(IF(OR(CE1067=1,CE1067=2,CE1067=3),N(INDEX(Parameter!$I$5:$I$7,CE1067)),0),0)</f>
        <v>0</v>
      </c>
      <c r="CQ1067" s="52" t="n">
        <f aca="false">IF(AND(Parameter!$B$21="Ja",ISNUMBER(W1067),N(X1067)&gt;0),IFERROR(N(INDEX(Parameter!$L$5:$L$7,W1067))*INDEX(Parameter!$E$5:$E$7,W1067)*X1067/SUMIFS($X$7:$X$1843,$W$7:$W$1843,W1067),0),0)</f>
        <v>0</v>
      </c>
    </row>
    <row r="1068" customFormat="false" ht="15" hidden="false" customHeight="false" outlineLevel="0" collapsed="false">
      <c r="A1068" s="48" t="s">
        <v>1960</v>
      </c>
      <c r="B1068" s="48" t="s">
        <v>553</v>
      </c>
      <c r="C1068" s="48" t="s">
        <v>173</v>
      </c>
      <c r="D1068" s="48" t="s">
        <v>193</v>
      </c>
      <c r="E1068" s="48" t="s">
        <v>194</v>
      </c>
      <c r="F1068" s="48" t="s">
        <v>227</v>
      </c>
      <c r="G1068" s="49" t="n">
        <v>21.16</v>
      </c>
      <c r="H1068" s="50" t="n">
        <f aca="false">MAX(0,IF(AND(Parameter!$B$21="Ja",ISNUMBER(Y1068)),Y1068,IF(Parameter!$B$20="Jahresanfang 2025 + Export",BR1068+BQ1068,BQ1068)))</f>
        <v>3</v>
      </c>
      <c r="I1068" s="50" t="n">
        <f aca="false">H1068*G1068</f>
        <v>63.48</v>
      </c>
      <c r="J1068" s="50" t="n">
        <f aca="false">BT1068*Parameter!$B$18</f>
        <v>14</v>
      </c>
      <c r="K1068" s="51" t="n">
        <v>9</v>
      </c>
      <c r="L1068" s="52" t="n">
        <v>1.55555555555556</v>
      </c>
      <c r="M1068" s="50" t="n">
        <v>0</v>
      </c>
      <c r="N1068" s="50" t="n">
        <v>15</v>
      </c>
      <c r="O1068" s="53" t="n">
        <v>21</v>
      </c>
      <c r="P1068" s="48" t="s">
        <v>430</v>
      </c>
      <c r="Q1068" s="50" t="n">
        <v>24</v>
      </c>
      <c r="R1068" s="53" t="n">
        <f aca="false">IF(BZ1068=1,0,IFERROR(VLOOKUP(BX1068,'Gebinde-Kategorie'!$A$5:$N$45,13,0)+0,0))</f>
        <v>104</v>
      </c>
      <c r="S1068" s="54"/>
      <c r="T1068" s="55"/>
      <c r="U1068" s="55"/>
      <c r="V1068" s="55"/>
      <c r="W1068" s="48"/>
      <c r="X1068" s="50"/>
      <c r="Y1068" s="50"/>
      <c r="Z1068" s="48" t="n">
        <f aca="false">IF(A1068="","",IF(AND(Parameter!$B$21="Ja",ISNUMBER(W1068)),W1068,IF(CC1068="2+3",IF(ISNUMBER(SEARCH("grosser Artikel",BU1068)),2,IFERROR(VLOOKUP(BX1068,Parameter!$F$35:$G$64,2,0),2)),IF(OR(CC1068="Nein",CC1068=""),"-",CC1068))))</f>
        <v>3</v>
      </c>
      <c r="AA1068" s="55"/>
      <c r="AB1068" s="56"/>
      <c r="AC1068" s="50" t="n">
        <f aca="false">AV1068</f>
        <v>15</v>
      </c>
      <c r="AD1068" s="50" t="n">
        <f aca="false">MAX(AV1068,H1068)</f>
        <v>15</v>
      </c>
      <c r="AE1068" s="57"/>
      <c r="AF1068" s="50" t="n">
        <f aca="false">IF(LEFT(Cockpit!$C$5,1)="A",H1068,IF(Parameter!$E$30="MAX-Bestand",IF(CH1068=1,CI1068,IF(LEFT(Cockpit!$C$5,1)="B",AL1068,MAX(AL1068,H1068))),ROUNDUP(AJ1068,0)))</f>
        <v>3</v>
      </c>
      <c r="AG1068" s="50" t="n">
        <f aca="false">IF(BZ1068=1,0,ROUNDUP(AF1068/BY1068,0))</f>
        <v>1</v>
      </c>
      <c r="AH1068" s="52" t="n">
        <f aca="false">IF(CQ1068&gt;0,CQ1068*MAX(1,AF1068/X1068),IF(BZ1068=1,IF(AF1068&lt;=0,0,CD1068*MAX(1,IF(H1068&gt;0,AF1068/H1068,1))),IF(R1068&gt;0,AG1068/R1068,0))/MAX(0.1,N(Parameter!$M$21)))</f>
        <v>0.00961538461538462</v>
      </c>
      <c r="AI1068" s="50" t="n">
        <f aca="false">AH1068*CB1068</f>
        <v>1.49038461538462</v>
      </c>
      <c r="AJ1068" s="51" t="n">
        <f aca="false">IF(LEFT(Cockpit!$C$5,1)="A",H1068,IF(CH1068=1,(CK1068+CI1068)/2,IF(LEFT(Cockpit!$C$5,1)="B",(CK1068+AL1068)/2,MAX((CK1068+AL1068)/2,H1068))))</f>
        <v>3</v>
      </c>
      <c r="AK1068" s="50" t="n">
        <f aca="false">AJ1068*G1068</f>
        <v>63.48</v>
      </c>
      <c r="AL1068" s="50" t="n">
        <f aca="false">ROUNDUP(CK1068+MAX(CL1068,2*(J1068/IF(CG1068&gt;0,CG1068,MAX(0.1,N(Cockpit!$C$6)))-CK1068)),0)</f>
        <v>15</v>
      </c>
      <c r="AM1068" s="51" t="n">
        <f aca="false">IF(AI1068&gt;0,J1068/AI1068,-1)</f>
        <v>9.39354838709677</v>
      </c>
      <c r="AN1068" s="51" t="n">
        <f aca="false">IF(AND(OR(CF1068="L1",CF1068="L23",CF1068="LIFT"),AI1068&gt;0),SUMIFS($AI$7:$AI$1843,$CF$7:$CF$1843,CF1068,$AM$7:$AM$1843,"&gt;"&amp;AM1068)+SUMIFS($AI$7:$AI$1843,$CF$7:$CF$1843,CF1068,$AM$7:$AM$1843,AM1068,$BW$7:$BW$1843,"&lt;="&amp;BW1068),"")</f>
        <v>2919.12087912088</v>
      </c>
      <c r="AO1068" s="58" t="n">
        <f aca="false">IF(AN1068="",0,MAX(0,MIN(1,(IF(CF1068="L1",Parameter!$H$5,IF(CF1068="L23",Parameter!$H$6+Parameter!$H$7,Parameter!$H$5+Parameter!$H$6+Parameter!$H$7))-(AN1068-AI1068))/AI1068)))</f>
        <v>1</v>
      </c>
      <c r="AP1068" s="50" t="n">
        <f aca="false">IF(LEFT(Cockpit!$I$5,1)="A",H1068,IF(Parameter!$E$30="MAX-Bestand",IF(CH1068=1,CI1068,IF(LEFT(Cockpit!$I$5,1)="B",AV1068,MAX(AV1068,H1068))),ROUNDUP(AT1068,0)))</f>
        <v>8</v>
      </c>
      <c r="AQ1068" s="50" t="n">
        <f aca="false">IF(BZ1068=1,0,ROUNDUP(AP1068/BY1068,0))</f>
        <v>1</v>
      </c>
      <c r="AR1068" s="52" t="n">
        <f aca="false">IF(CQ1068&gt;0,CQ1068*MAX(1,AP1068/X1068),IF(BZ1068=1,IF(AP1068&lt;=0,0,CD1068*MAX(1,IF(H1068&gt;0,AP1068/H1068,1))),IF(R1068&gt;0,AQ1068/R1068,0))/MAX(0.1,N(Parameter!$M$21)))</f>
        <v>0.00961538461538462</v>
      </c>
      <c r="AS1068" s="50" t="n">
        <f aca="false">AR1068*CB1068</f>
        <v>1.49038461538462</v>
      </c>
      <c r="AT1068" s="51" t="n">
        <f aca="false">IF(LEFT(Cockpit!$I$5,1)="A",H1068,IF(CH1068=1,(CK1068+CI1068)/2,IF(LEFT(Cockpit!$I$5,1)="B",(CK1068+AV1068)/2,MAX((CK1068+AV1068)/2,H1068))))</f>
        <v>7.5</v>
      </c>
      <c r="AU1068" s="50" t="n">
        <f aca="false">AT1068*G1068</f>
        <v>158.7</v>
      </c>
      <c r="AV1068" s="50" t="n">
        <f aca="false">ROUNDUP(CK1068+MAX(CL1068,2*(J1068/IF(CG1068&gt;0,CG1068,MAX(0.1,N(Cockpit!$I$6)))-CK1068)),0)</f>
        <v>15</v>
      </c>
      <c r="AW1068" s="51" t="n">
        <f aca="false">IF(AS1068&gt;0,J1068/AS1068,-1)</f>
        <v>9.39354838709677</v>
      </c>
      <c r="AX1068" s="51" t="n">
        <f aca="false">IF(AND(OR(CF1068="L1",CF1068="L23",CF1068="LIFT"),AS1068&gt;0),SUMIFS($AS$7:$AS$1843,$CF$7:$CF$1843,CF1068,$AW$7:$AW$1843,"&gt;"&amp;AW1068)+SUMIFS($AS$7:$AS$1843,$CF$7:$CF$1843,CF1068,$AW$7:$AW$1843,AW1068,$BW$7:$BW$1843,"&lt;="&amp;BW1068),"")</f>
        <v>3534.10897435897</v>
      </c>
      <c r="AY1068" s="58" t="n">
        <f aca="false">IF(AX1068="",0,MAX(0,MIN(1,(IF(CF1068="L1",Parameter!$H$5,IF(CF1068="L23",Parameter!$H$6+Parameter!$H$7,Parameter!$H$5+Parameter!$H$6+Parameter!$H$7))-(AX1068-AS1068))/AS1068)))</f>
        <v>1</v>
      </c>
      <c r="AZ1068" s="50" t="n">
        <f aca="false">IF(LEFT(Cockpit!$O$5,1)="A",H1068,IF(Parameter!$E$30="MAX-Bestand",IF(CH1068=1,CI1068,IF(LEFT(Cockpit!$O$5,1)="B",BF1068,MAX(BF1068,H1068))),ROUNDUP(BD1068,0)))</f>
        <v>8</v>
      </c>
      <c r="BA1068" s="50" t="n">
        <f aca="false">IF(BZ1068=1,0,ROUNDUP(AZ1068/BY1068,0))</f>
        <v>1</v>
      </c>
      <c r="BB1068" s="52" t="n">
        <f aca="false">IF(CQ1068&gt;0,CQ1068*MAX(1,AZ1068/X1068),IF(BZ1068=1,IF(AZ1068&lt;=0,0,CD1068*MAX(1,IF(H1068&gt;0,AZ1068/H1068,1))),IF(R1068&gt;0,BA1068/R1068,0))/MAX(0.1,N(Parameter!$M$21)))</f>
        <v>0.00961538461538462</v>
      </c>
      <c r="BC1068" s="50" t="n">
        <f aca="false">BB1068*CB1068</f>
        <v>1.49038461538462</v>
      </c>
      <c r="BD1068" s="51" t="n">
        <f aca="false">IF(LEFT(Cockpit!$O$5,1)="A",H1068,IF(CH1068=1,(CK1068+CI1068)/2,IF(LEFT(Cockpit!$O$5,1)="B",(CK1068+BF1068)/2,MAX((CK1068+BF1068)/2,H1068))))</f>
        <v>7.5</v>
      </c>
      <c r="BE1068" s="50" t="n">
        <f aca="false">BD1068*G1068</f>
        <v>158.7</v>
      </c>
      <c r="BF1068" s="50" t="n">
        <f aca="false">ROUNDUP(CK1068+MAX(CL1068,2*(J1068/IF(CG1068&gt;0,CG1068,MAX(0.1,N(Cockpit!$O$6)))-CK1068)),0)</f>
        <v>15</v>
      </c>
      <c r="BG1068" s="51" t="n">
        <f aca="false">IF(BC1068&gt;0,J1068/BC1068,-1)</f>
        <v>9.39354838709677</v>
      </c>
      <c r="BH1068" s="51" t="n">
        <f aca="false">IF(AND(OR(CF1068="L1",CF1068="L23",CF1068="LIFT"),BC1068&gt;0),SUMIFS($BC$7:$BC$1843,$CF$7:$CF$1843,CF1068,$BG$7:$BG$1843,"&gt;"&amp;BG1068)+SUMIFS($BC$7:$BC$1843,$CF$7:$CF$1843,CF1068,$BG$7:$BG$1843,BG1068,$BW$7:$BW$1843,"&lt;="&amp;BW1068),"")</f>
        <v>2749.02564102564</v>
      </c>
      <c r="BI1068" s="58" t="n">
        <f aca="false">IF(BH1068="",0,MAX(0,MIN(1,(IF(CF1068="L1",Parameter!$H$5,IF(CF1068="L23",Parameter!$H$6+Parameter!$H$7,Parameter!$H$5+Parameter!$H$6+Parameter!$H$7))-(BH1068-BC1068))/BC1068)))</f>
        <v>1</v>
      </c>
      <c r="BJ1068" s="48" t="str">
        <f aca="false">IF(AI1068&lt;=0,"",IF(CF1068="Aussen","Aussenlager",IF(CF1068="-","Nicht im Lift",IF(AO1068&gt;=1,"Lift",IF(AO1068&lt;=0,"Aussenlager","teilweise")))))</f>
        <v>Lift</v>
      </c>
      <c r="BK1068" s="48" t="str">
        <f aca="false">IF(AS1068&lt;=0,"",IF(CF1068="Aussen","Aussenlager",IF(CF1068="-","Nicht im Lift",IF(AY1068&gt;=1,"Lift",IF(AY1068&lt;=0,"Aussenlager","teilweise")))))</f>
        <v>Lift</v>
      </c>
      <c r="BL1068" s="48" t="str">
        <f aca="false">IF(BC1068&lt;=0,"",IF(CF1068="Aussen","Aussenlager",IF(CF1068="-","Nicht im Lift",IF(BI1068&gt;=1,"Lift",IF(BI1068&lt;=0,"Aussenlager","teilweise")))))</f>
        <v>Lift</v>
      </c>
      <c r="BM1068" s="48" t="str">
        <f aca="false">IF(A1068="","",IF(BV1068=1,"Neu; ","")&amp;IF(AND(BV1068=0,BQ1068&lt;0),"negativer Bestand (Export "&amp;BQ1068&amp;"); ","")&amp;IF(J1068&lt;=0,"Kein Verbrauch; ","")&amp;IF(CQ1068&gt;0,"Lift "&amp;W1068&amp;" lt. Liftbericht (Fach "&amp;X1068&amp;" Stk); ",IF(CA1068=1,"Gebinde geschätzt ("&amp;T1068&amp;"); ",IF(BZ1068=1,"Lose – Tablare geschätzt; ","")))&amp;IF(H1068&gt;AV1068,"Überbestand "&amp;ROUND(H1068-AV1068,0)&amp;" Stk / CHF "&amp;ROUND((H1068-AV1068)*G1068,0)&amp;"; ","")&amp;IF(AND(CH1068=1,CI1068&lt;CJ1068),"MAX &lt; MB+LG; ","")&amp;IF(AND(CP1068&gt;0,CO1068*10&gt;CP1068),"zu hoch für Tablar; ","")&amp;IF(AND(BV1068=0,OR(CH1068=1,AA1068&lt;&gt;"",U1068&lt;&gt;"",V1068&lt;&gt;"",AB1068&lt;&gt;"")),"manuell übersteuert; ","")&amp;IF(AND(BZ1068=0,R1068=0),"Gebinde unbekannt / Stellmass fehlt; ","")&amp;IF(AND(BZ1068=0,N(V1068)&lt;=0,N(Q1068)&lt;=0),"Menge pro Gebinde fehlt (Ist = 1 Gebinde); ","")&amp;BU1068)</f>
        <v>negativer Bestand (Export -8); </v>
      </c>
      <c r="BN1068" s="48"/>
      <c r="BO1068" s="48"/>
      <c r="BP1068" s="55"/>
      <c r="BQ1068" s="50" t="n">
        <v>-8</v>
      </c>
      <c r="BR1068" s="50" t="n">
        <v>11</v>
      </c>
      <c r="BS1068" s="49" t="n">
        <v>-166.2</v>
      </c>
      <c r="BT1068" s="50" t="n">
        <v>14</v>
      </c>
      <c r="BU1068" s="48"/>
      <c r="BV1068" s="53" t="n">
        <v>0</v>
      </c>
      <c r="BW1068" s="53" t="n">
        <v>1068</v>
      </c>
      <c r="BX1068" s="48" t="str">
        <f aca="false">IF(U1068&lt;&gt;"",UPPER(TRIM(U1068)),IF(CA1068=1,UPPER(VLOOKUP(T1068,Parameter!$I$27:$K$29,2,0)),IF(P1068="","LOSE",P1068)))</f>
        <v>S32</v>
      </c>
      <c r="BY1068" s="50" t="n">
        <f aca="false">IF(BX1068="LOSE",1,IF(N(V1068)&gt;0,V1068,IF(CA1068=1,MAX(1,N(VLOOKUP(T1068,Parameter!$I$27:$K$29,3,0)),H1068,N(N1068)),IF(N(Q1068)&gt;0,Q1068,MAX(1,H1068)))))</f>
        <v>24</v>
      </c>
      <c r="BZ1068" s="53" t="n">
        <f aca="false">IF(BX1068="LOSE",1,0)</f>
        <v>0</v>
      </c>
      <c r="CA1068" s="53" t="n">
        <f aca="false">IF(AND(U1068="",OR(P1068="",P1068="LOSE"),T1068&lt;&gt;"",N(S1068)&lt;=0,ISNUMBER(MATCH(T1068,Parameter!$I$27:$I$29,0))),1,0)</f>
        <v>0</v>
      </c>
      <c r="CB1068" s="53" t="n">
        <f aca="false">IF(CQ1068&gt;0,INDEX(Parameter!$H$5:$H$7,W1068)/INDEX(Parameter!$E$5:$E$7,W1068),IF(AND(BZ1068=0,N(IFERROR(VLOOKUP(BX1068,'Gebinde-Kategorie'!$A$5:$N$45,14,0),0))&gt;0),VLOOKUP(BX1068,'Gebinde-Kategorie'!$A$5:$N$45,14,0)*10+Parameter!$M$23,Parameter!$M$24))</f>
        <v>155</v>
      </c>
      <c r="CC1068" s="48" t="str">
        <f aca="false">IF(AND(Parameter!$B$19="Ja",E1068&lt;&gt;"",ISNUMBER(MATCH(E1068,Parameter!$I$35:$I$52,0))),VLOOKUP(E1068,Parameter!$I$35:$J$52,2,0),IFERROR(VLOOKUP(D1068,Parameter!$A$35:$C$64,2,0),"Nein"))</f>
        <v>2+3</v>
      </c>
      <c r="CD1068" s="52" t="n">
        <f aca="false">IF(BZ1068=0,0,IF(N(S1068)&gt;0,S1068,IFERROR(VLOOKUP(D1068,Parameter!$A$35:$C$64,3,0)+0,0)))</f>
        <v>0</v>
      </c>
      <c r="CE1068" s="48" t="n">
        <f aca="false">IF(AA1068&lt;&gt;"",AA1068,Z1068)</f>
        <v>3</v>
      </c>
      <c r="CF1068" s="48" t="str">
        <f aca="false">IF(OR(CE1068=1,CE1068=2,CE1068=3),IF(Parameter!$E$27="Ja","LIFT",IF(CE1068=1,"L1","L23")),IF(CE1068="Aussen","Aussen","-"))</f>
        <v>LIFT</v>
      </c>
      <c r="CG1068" s="59" t="n">
        <f aca="false">IF(N(AB1068)&gt;0,AB1068,0)</f>
        <v>0</v>
      </c>
      <c r="CH1068" s="53" t="n">
        <f aca="false">IF(ISNUMBER(AE1068),1,0)</f>
        <v>0</v>
      </c>
      <c r="CI1068" s="50" t="n">
        <f aca="false">N(AE1068)</f>
        <v>0</v>
      </c>
      <c r="CJ1068" s="50" t="n">
        <f aca="false">N(M1068)+N(N1068)</f>
        <v>15</v>
      </c>
      <c r="CK1068" s="50" t="n">
        <f aca="false">N(M1068)</f>
        <v>0</v>
      </c>
      <c r="CL1068" s="50" t="n">
        <f aca="false">N(N1068)</f>
        <v>15</v>
      </c>
      <c r="CM1068" s="50" t="n">
        <f aca="false">ROUNDUP(H1068/BY1068,0)</f>
        <v>1</v>
      </c>
      <c r="CN1068" s="50" t="n">
        <f aca="false">ROUNDUP(CI1068/BY1068,0)</f>
        <v>0</v>
      </c>
      <c r="CO1068" s="53" t="n">
        <f aca="false">IF(BZ1068=1,0,IFERROR(VLOOKUP(BX1068,'Gebinde-Kategorie'!$A$5:$N$45,5,0)+0,0))</f>
        <v>8</v>
      </c>
      <c r="CP1068" s="53" t="n">
        <f aca="false">IFERROR(IF(OR(CE1068=1,CE1068=2,CE1068=3),N(INDEX(Parameter!$I$5:$I$7,CE1068)),0),0)</f>
        <v>0</v>
      </c>
      <c r="CQ1068" s="52" t="n">
        <f aca="false">IF(AND(Parameter!$B$21="Ja",ISNUMBER(W1068),N(X1068)&gt;0),IFERROR(N(INDEX(Parameter!$L$5:$L$7,W1068))*INDEX(Parameter!$E$5:$E$7,W1068)*X1068/SUMIFS($X$7:$X$1843,$W$7:$W$1843,W1068),0),0)</f>
        <v>0</v>
      </c>
    </row>
    <row r="1069" customFormat="false" ht="15" hidden="false" customHeight="false" outlineLevel="0" collapsed="false">
      <c r="A1069" s="48" t="s">
        <v>1961</v>
      </c>
      <c r="B1069" s="48" t="s">
        <v>1962</v>
      </c>
      <c r="C1069" s="48" t="s">
        <v>173</v>
      </c>
      <c r="D1069" s="48" t="s">
        <v>193</v>
      </c>
      <c r="E1069" s="48"/>
      <c r="F1069" s="48" t="s">
        <v>227</v>
      </c>
      <c r="G1069" s="49" t="n">
        <v>11.9</v>
      </c>
      <c r="H1069" s="50" t="n">
        <f aca="false">MAX(0,IF(AND(Parameter!$B$21="Ja",ISNUMBER(Y1069)),Y1069,IF(Parameter!$B$20="Jahresanfang 2025 + Export",BR1069+BQ1069,BQ1069)))</f>
        <v>161</v>
      </c>
      <c r="I1069" s="50" t="n">
        <f aca="false">H1069*G1069</f>
        <v>1915.9</v>
      </c>
      <c r="J1069" s="50" t="n">
        <f aca="false">BT1069*Parameter!$B$18</f>
        <v>3</v>
      </c>
      <c r="K1069" s="51" t="n">
        <v>169.5</v>
      </c>
      <c r="L1069" s="52" t="n">
        <v>0.0176991150442478</v>
      </c>
      <c r="M1069" s="50" t="n">
        <v>0</v>
      </c>
      <c r="N1069" s="50" t="n">
        <v>5</v>
      </c>
      <c r="O1069" s="53" t="n">
        <v>42</v>
      </c>
      <c r="P1069" s="48" t="s">
        <v>195</v>
      </c>
      <c r="Q1069" s="50" t="n">
        <v>160</v>
      </c>
      <c r="R1069" s="53" t="n">
        <f aca="false">IF(BZ1069=1,0,IFERROR(VLOOKUP(BX1069,'Gebinde-Kategorie'!$A$5:$N$45,13,0)+0,0))</f>
        <v>12</v>
      </c>
      <c r="S1069" s="54"/>
      <c r="T1069" s="55"/>
      <c r="U1069" s="55"/>
      <c r="V1069" s="55"/>
      <c r="W1069" s="48"/>
      <c r="X1069" s="50"/>
      <c r="Y1069" s="50"/>
      <c r="Z1069" s="48" t="n">
        <f aca="false">IF(A1069="","",IF(AND(Parameter!$B$21="Ja",ISNUMBER(W1069)),W1069,IF(CC1069="2+3",IF(ISNUMBER(SEARCH("grosser Artikel",BU1069)),2,IFERROR(VLOOKUP(BX1069,Parameter!$F$35:$G$64,2,0),2)),IF(OR(CC1069="Nein",CC1069=""),"-",CC1069))))</f>
        <v>2</v>
      </c>
      <c r="AA1069" s="55"/>
      <c r="AB1069" s="56"/>
      <c r="AC1069" s="50" t="n">
        <f aca="false">AV1069</f>
        <v>5</v>
      </c>
      <c r="AD1069" s="50" t="n">
        <f aca="false">MAX(AV1069,H1069)</f>
        <v>161</v>
      </c>
      <c r="AE1069" s="57"/>
      <c r="AF1069" s="50" t="n">
        <f aca="false">IF(LEFT(Cockpit!$C$5,1)="A",H1069,IF(Parameter!$E$30="MAX-Bestand",IF(CH1069=1,CI1069,IF(LEFT(Cockpit!$C$5,1)="B",AL1069,MAX(AL1069,H1069))),ROUNDUP(AJ1069,0)))</f>
        <v>161</v>
      </c>
      <c r="AG1069" s="50" t="n">
        <f aca="false">IF(BZ1069=1,0,ROUNDUP(AF1069/BY1069,0))</f>
        <v>2</v>
      </c>
      <c r="AH1069" s="52" t="n">
        <f aca="false">IF(CQ1069&gt;0,CQ1069*MAX(1,AF1069/X1069),IF(BZ1069=1,IF(AF1069&lt;=0,0,CD1069*MAX(1,IF(H1069&gt;0,AF1069/H1069,1))),IF(R1069&gt;0,AG1069/R1069,0))/MAX(0.1,N(Parameter!$M$21)))</f>
        <v>0.166666666666667</v>
      </c>
      <c r="AI1069" s="50" t="n">
        <f aca="false">AH1069*CB1069</f>
        <v>24.1666666666667</v>
      </c>
      <c r="AJ1069" s="51" t="n">
        <f aca="false">IF(LEFT(Cockpit!$C$5,1)="A",H1069,IF(CH1069=1,(CK1069+CI1069)/2,IF(LEFT(Cockpit!$C$5,1)="B",(CK1069+AL1069)/2,MAX((CK1069+AL1069)/2,H1069))))</f>
        <v>161</v>
      </c>
      <c r="AK1069" s="50" t="n">
        <f aca="false">AJ1069*G1069</f>
        <v>1915.9</v>
      </c>
      <c r="AL1069" s="50" t="n">
        <f aca="false">ROUNDUP(CK1069+MAX(CL1069,2*(J1069/IF(CG1069&gt;0,CG1069,MAX(0.1,N(Cockpit!$C$6)))-CK1069)),0)</f>
        <v>5</v>
      </c>
      <c r="AM1069" s="51" t="n">
        <f aca="false">IF(AI1069&gt;0,J1069/AI1069,-1)</f>
        <v>0.124137931034483</v>
      </c>
      <c r="AN1069" s="51" t="n">
        <f aca="false">IF(AND(OR(CF1069="L1",CF1069="L23",CF1069="LIFT"),AI1069&gt;0),SUMIFS($AI$7:$AI$1843,$CF$7:$CF$1843,CF1069,$AM$7:$AM$1843,"&gt;"&amp;AM1069)+SUMIFS($AI$7:$AI$1843,$CF$7:$CF$1843,CF1069,$AM$7:$AM$1843,AM1069,$BW$7:$BW$1843,"&lt;="&amp;BW1069),"")</f>
        <v>14116.2866688396</v>
      </c>
      <c r="AO1069" s="58" t="n">
        <f aca="false">IF(AN1069="",0,MAX(0,MIN(1,(IF(CF1069="L1",Parameter!$H$5,IF(CF1069="L23",Parameter!$H$6+Parameter!$H$7,Parameter!$H$5+Parameter!$H$6+Parameter!$H$7))-(AN1069-AI1069))/AI1069)))</f>
        <v>1</v>
      </c>
      <c r="AP1069" s="50" t="n">
        <f aca="false">IF(LEFT(Cockpit!$I$5,1)="A",H1069,IF(Parameter!$E$30="MAX-Bestand",IF(CH1069=1,CI1069,IF(LEFT(Cockpit!$I$5,1)="B",AV1069,MAX(AV1069,H1069))),ROUNDUP(AT1069,0)))</f>
        <v>161</v>
      </c>
      <c r="AQ1069" s="50" t="n">
        <f aca="false">IF(BZ1069=1,0,ROUNDUP(AP1069/BY1069,0))</f>
        <v>2</v>
      </c>
      <c r="AR1069" s="52" t="n">
        <f aca="false">IF(CQ1069&gt;0,CQ1069*MAX(1,AP1069/X1069),IF(BZ1069=1,IF(AP1069&lt;=0,0,CD1069*MAX(1,IF(H1069&gt;0,AP1069/H1069,1))),IF(R1069&gt;0,AQ1069/R1069,0))/MAX(0.1,N(Parameter!$M$21)))</f>
        <v>0.166666666666667</v>
      </c>
      <c r="AS1069" s="50" t="n">
        <f aca="false">AR1069*CB1069</f>
        <v>24.1666666666667</v>
      </c>
      <c r="AT1069" s="51" t="n">
        <f aca="false">IF(LEFT(Cockpit!$I$5,1)="A",H1069,IF(CH1069=1,(CK1069+CI1069)/2,IF(LEFT(Cockpit!$I$5,1)="B",(CK1069+AV1069)/2,MAX((CK1069+AV1069)/2,H1069))))</f>
        <v>161</v>
      </c>
      <c r="AU1069" s="50" t="n">
        <f aca="false">AT1069*G1069</f>
        <v>1915.9</v>
      </c>
      <c r="AV1069" s="50" t="n">
        <f aca="false">ROUNDUP(CK1069+MAX(CL1069,2*(J1069/IF(CG1069&gt;0,CG1069,MAX(0.1,N(Cockpit!$I$6)))-CK1069)),0)</f>
        <v>5</v>
      </c>
      <c r="AW1069" s="51" t="n">
        <f aca="false">IF(AS1069&gt;0,J1069/AS1069,-1)</f>
        <v>0.124137931034483</v>
      </c>
      <c r="AX1069" s="51" t="n">
        <f aca="false">IF(AND(OR(CF1069="L1",CF1069="L23",CF1069="LIFT"),AS1069&gt;0),SUMIFS($AS$7:$AS$1843,$CF$7:$CF$1843,CF1069,$AW$7:$AW$1843,"&gt;"&amp;AW1069)+SUMIFS($AS$7:$AS$1843,$CF$7:$CF$1843,CF1069,$AW$7:$AW$1843,AW1069,$BW$7:$BW$1843,"&lt;="&amp;BW1069),"")</f>
        <v>18140.6853102171</v>
      </c>
      <c r="AY1069" s="58" t="n">
        <f aca="false">IF(AX1069="",0,MAX(0,MIN(1,(IF(CF1069="L1",Parameter!$H$5,IF(CF1069="L23",Parameter!$H$6+Parameter!$H$7,Parameter!$H$5+Parameter!$H$6+Parameter!$H$7))-(AX1069-AS1069))/AS1069)))</f>
        <v>1</v>
      </c>
      <c r="AZ1069" s="50" t="n">
        <f aca="false">IF(LEFT(Cockpit!$O$5,1)="A",H1069,IF(Parameter!$E$30="MAX-Bestand",IF(CH1069=1,CI1069,IF(LEFT(Cockpit!$O$5,1)="B",BF1069,MAX(BF1069,H1069))),ROUNDUP(BD1069,0)))</f>
        <v>3</v>
      </c>
      <c r="BA1069" s="50" t="n">
        <f aca="false">IF(BZ1069=1,0,ROUNDUP(AZ1069/BY1069,0))</f>
        <v>1</v>
      </c>
      <c r="BB1069" s="52" t="n">
        <f aca="false">IF(CQ1069&gt;0,CQ1069*MAX(1,AZ1069/X1069),IF(BZ1069=1,IF(AZ1069&lt;=0,0,CD1069*MAX(1,IF(H1069&gt;0,AZ1069/H1069,1))),IF(R1069&gt;0,BA1069/R1069,0))/MAX(0.1,N(Parameter!$M$21)))</f>
        <v>0.0833333333333333</v>
      </c>
      <c r="BC1069" s="50" t="n">
        <f aca="false">BB1069*CB1069</f>
        <v>12.0833333333333</v>
      </c>
      <c r="BD1069" s="51" t="n">
        <f aca="false">IF(LEFT(Cockpit!$O$5,1)="A",H1069,IF(CH1069=1,(CK1069+CI1069)/2,IF(LEFT(Cockpit!$O$5,1)="B",(CK1069+BF1069)/2,MAX((CK1069+BF1069)/2,H1069))))</f>
        <v>2.5</v>
      </c>
      <c r="BE1069" s="50" t="n">
        <f aca="false">BD1069*G1069</f>
        <v>29.75</v>
      </c>
      <c r="BF1069" s="50" t="n">
        <f aca="false">ROUNDUP(CK1069+MAX(CL1069,2*(J1069/IF(CG1069&gt;0,CG1069,MAX(0.1,N(Cockpit!$O$6)))-CK1069)),0)</f>
        <v>5</v>
      </c>
      <c r="BG1069" s="51" t="n">
        <f aca="false">IF(BC1069&gt;0,J1069/BC1069,-1)</f>
        <v>0.248275862068966</v>
      </c>
      <c r="BH1069" s="51" t="n">
        <f aca="false">IF(AND(OR(CF1069="L1",CF1069="L23",CF1069="LIFT"),BC1069&gt;0),SUMIFS($BC$7:$BC$1843,$CF$7:$CF$1843,CF1069,$BG$7:$BG$1843,"&gt;"&amp;BG1069)+SUMIFS($BC$7:$BC$1843,$CF$7:$CF$1843,CF1069,$BG$7:$BG$1843,BG1069,$BW$7:$BW$1843,"&lt;="&amp;BW1069),"")</f>
        <v>12129.2248168498</v>
      </c>
      <c r="BI1069" s="58" t="n">
        <f aca="false">IF(BH1069="",0,MAX(0,MIN(1,(IF(CF1069="L1",Parameter!$H$5,IF(CF1069="L23",Parameter!$H$6+Parameter!$H$7,Parameter!$H$5+Parameter!$H$6+Parameter!$H$7))-(BH1069-BC1069))/BC1069)))</f>
        <v>1</v>
      </c>
      <c r="BJ1069" s="48" t="str">
        <f aca="false">IF(AI1069&lt;=0,"",IF(CF1069="Aussen","Aussenlager",IF(CF1069="-","Nicht im Lift",IF(AO1069&gt;=1,"Lift",IF(AO1069&lt;=0,"Aussenlager","teilweise")))))</f>
        <v>Lift</v>
      </c>
      <c r="BK1069" s="48" t="str">
        <f aca="false">IF(AS1069&lt;=0,"",IF(CF1069="Aussen","Aussenlager",IF(CF1069="-","Nicht im Lift",IF(AY1069&gt;=1,"Lift",IF(AY1069&lt;=0,"Aussenlager","teilweise")))))</f>
        <v>Lift</v>
      </c>
      <c r="BL1069" s="48" t="str">
        <f aca="false">IF(BC1069&lt;=0,"",IF(CF1069="Aussen","Aussenlager",IF(CF1069="-","Nicht im Lift",IF(BI1069&gt;=1,"Lift",IF(BI1069&lt;=0,"Aussenlager","teilweise")))))</f>
        <v>Lift</v>
      </c>
      <c r="BM1069" s="48" t="str">
        <f aca="false">IF(A1069="","",IF(BV1069=1,"Neu; ","")&amp;IF(AND(BV1069=0,BQ1069&lt;0),"negativer Bestand (Export "&amp;BQ1069&amp;"); ","")&amp;IF(J1069&lt;=0,"Kein Verbrauch; ","")&amp;IF(CQ1069&gt;0,"Lift "&amp;W1069&amp;" lt. Liftbericht (Fach "&amp;X1069&amp;" Stk); ",IF(CA1069=1,"Gebinde geschätzt ("&amp;T1069&amp;"); ",IF(BZ1069=1,"Lose – Tablare geschätzt; ","")))&amp;IF(H1069&gt;AV1069,"Überbestand "&amp;ROUND(H1069-AV1069,0)&amp;" Stk / CHF "&amp;ROUND((H1069-AV1069)*G1069,0)&amp;"; ","")&amp;IF(AND(CH1069=1,CI1069&lt;CJ1069),"MAX &lt; MB+LG; ","")&amp;IF(AND(CP1069&gt;0,CO1069*10&gt;CP1069),"zu hoch für Tablar; ","")&amp;IF(AND(BV1069=0,OR(CH1069=1,AA1069&lt;&gt;"",U1069&lt;&gt;"",V1069&lt;&gt;"",AB1069&lt;&gt;"")),"manuell übersteuert; ","")&amp;IF(AND(BZ1069=0,R1069=0),"Gebinde unbekannt / Stellmass fehlt; ","")&amp;IF(AND(BZ1069=0,N(V1069)&lt;=0,N(Q1069)&lt;=0),"Menge pro Gebinde fehlt (Ist = 1 Gebinde); ","")&amp;BU1069)</f>
        <v>negativer Bestand (Export -14); Überbestand 156 Stk / CHF 1856; überbestand</v>
      </c>
      <c r="BN1069" s="48"/>
      <c r="BO1069" s="48"/>
      <c r="BP1069" s="55"/>
      <c r="BQ1069" s="50" t="n">
        <v>-14</v>
      </c>
      <c r="BR1069" s="50" t="n">
        <v>175</v>
      </c>
      <c r="BS1069" s="49" t="n">
        <v>-166.6</v>
      </c>
      <c r="BT1069" s="50" t="n">
        <v>3</v>
      </c>
      <c r="BU1069" s="48" t="s">
        <v>1259</v>
      </c>
      <c r="BV1069" s="53" t="n">
        <v>0</v>
      </c>
      <c r="BW1069" s="53" t="n">
        <v>1069</v>
      </c>
      <c r="BX1069" s="48" t="str">
        <f aca="false">IF(U1069&lt;&gt;"",UPPER(TRIM(U1069)),IF(CA1069=1,UPPER(VLOOKUP(T1069,Parameter!$I$27:$K$29,2,0)),IF(P1069="","LOSE",P1069)))</f>
        <v>S61</v>
      </c>
      <c r="BY1069" s="50" t="n">
        <f aca="false">IF(BX1069="LOSE",1,IF(N(V1069)&gt;0,V1069,IF(CA1069=1,MAX(1,N(VLOOKUP(T1069,Parameter!$I$27:$K$29,3,0)),H1069,N(N1069)),IF(N(Q1069)&gt;0,Q1069,MAX(1,H1069)))))</f>
        <v>160</v>
      </c>
      <c r="BZ1069" s="53" t="n">
        <f aca="false">IF(BX1069="LOSE",1,0)</f>
        <v>0</v>
      </c>
      <c r="CA1069" s="53" t="n">
        <f aca="false">IF(AND(U1069="",OR(P1069="",P1069="LOSE"),T1069&lt;&gt;"",N(S1069)&lt;=0,ISNUMBER(MATCH(T1069,Parameter!$I$27:$I$29,0))),1,0)</f>
        <v>0</v>
      </c>
      <c r="CB1069" s="53" t="n">
        <f aca="false">IF(CQ1069&gt;0,INDEX(Parameter!$H$5:$H$7,W1069)/INDEX(Parameter!$E$5:$E$7,W1069),IF(AND(BZ1069=0,N(IFERROR(VLOOKUP(BX1069,'Gebinde-Kategorie'!$A$5:$N$45,14,0),0))&gt;0),VLOOKUP(BX1069,'Gebinde-Kategorie'!$A$5:$N$45,14,0)*10+Parameter!$M$23,Parameter!$M$24))</f>
        <v>145</v>
      </c>
      <c r="CC1069" s="48" t="str">
        <f aca="false">IF(AND(Parameter!$B$19="Ja",E1069&lt;&gt;"",ISNUMBER(MATCH(E1069,Parameter!$I$35:$I$52,0))),VLOOKUP(E1069,Parameter!$I$35:$J$52,2,0),IFERROR(VLOOKUP(D1069,Parameter!$A$35:$C$64,2,0),"Nein"))</f>
        <v>2+3</v>
      </c>
      <c r="CD1069" s="52" t="n">
        <f aca="false">IF(BZ1069=0,0,IF(N(S1069)&gt;0,S1069,IFERROR(VLOOKUP(D1069,Parameter!$A$35:$C$64,3,0)+0,0)))</f>
        <v>0</v>
      </c>
      <c r="CE1069" s="48" t="n">
        <f aca="false">IF(AA1069&lt;&gt;"",AA1069,Z1069)</f>
        <v>2</v>
      </c>
      <c r="CF1069" s="48" t="str">
        <f aca="false">IF(OR(CE1069=1,CE1069=2,CE1069=3),IF(Parameter!$E$27="Ja","LIFT",IF(CE1069=1,"L1","L23")),IF(CE1069="Aussen","Aussen","-"))</f>
        <v>LIFT</v>
      </c>
      <c r="CG1069" s="59" t="n">
        <f aca="false">IF(N(AB1069)&gt;0,AB1069,0)</f>
        <v>0</v>
      </c>
      <c r="CH1069" s="53" t="n">
        <f aca="false">IF(ISNUMBER(AE1069),1,0)</f>
        <v>0</v>
      </c>
      <c r="CI1069" s="50" t="n">
        <f aca="false">N(AE1069)</f>
        <v>0</v>
      </c>
      <c r="CJ1069" s="50" t="n">
        <f aca="false">N(M1069)+N(N1069)</f>
        <v>5</v>
      </c>
      <c r="CK1069" s="50" t="n">
        <f aca="false">N(M1069)</f>
        <v>0</v>
      </c>
      <c r="CL1069" s="50" t="n">
        <f aca="false">N(N1069)</f>
        <v>5</v>
      </c>
      <c r="CM1069" s="50" t="n">
        <f aca="false">ROUNDUP(H1069/BY1069,0)</f>
        <v>2</v>
      </c>
      <c r="CN1069" s="50" t="n">
        <f aca="false">ROUNDUP(CI1069/BY1069,0)</f>
        <v>0</v>
      </c>
      <c r="CO1069" s="53" t="n">
        <f aca="false">IF(BZ1069=1,0,IFERROR(VLOOKUP(BX1069,'Gebinde-Kategorie'!$A$5:$N$45,5,0)+0,0))</f>
        <v>11</v>
      </c>
      <c r="CP1069" s="53" t="n">
        <f aca="false">IFERROR(IF(OR(CE1069=1,CE1069=2,CE1069=3),N(INDEX(Parameter!$I$5:$I$7,CE1069)),0),0)</f>
        <v>0</v>
      </c>
      <c r="CQ1069" s="52" t="n">
        <f aca="false">IF(AND(Parameter!$B$21="Ja",ISNUMBER(W1069),N(X1069)&gt;0),IFERROR(N(INDEX(Parameter!$L$5:$L$7,W1069))*INDEX(Parameter!$E$5:$E$7,W1069)*X1069/SUMIFS($X$7:$X$1843,$W$7:$W$1843,W1069),0),0)</f>
        <v>0</v>
      </c>
    </row>
    <row r="1070" customFormat="false" ht="15" hidden="false" customHeight="false" outlineLevel="0" collapsed="false">
      <c r="A1070" s="48" t="s">
        <v>1963</v>
      </c>
      <c r="B1070" s="48" t="s">
        <v>1964</v>
      </c>
      <c r="C1070" s="48" t="s">
        <v>173</v>
      </c>
      <c r="D1070" s="48" t="s">
        <v>193</v>
      </c>
      <c r="E1070" s="48" t="s">
        <v>194</v>
      </c>
      <c r="F1070" s="48" t="s">
        <v>227</v>
      </c>
      <c r="G1070" s="49" t="n">
        <v>33.39</v>
      </c>
      <c r="H1070" s="50" t="n">
        <f aca="false">MAX(0,IF(AND(Parameter!$B$21="Ja",ISNUMBER(Y1070)),Y1070,IF(Parameter!$B$20="Jahresanfang 2025 + Export",BR1070+BQ1070,BQ1070)))</f>
        <v>33</v>
      </c>
      <c r="I1070" s="50" t="n">
        <f aca="false">H1070*G1070</f>
        <v>1101.87</v>
      </c>
      <c r="J1070" s="50" t="n">
        <f aca="false">BT1070*Parameter!$B$18</f>
        <v>0.25</v>
      </c>
      <c r="K1070" s="51" t="n">
        <v>37.875</v>
      </c>
      <c r="L1070" s="52" t="n">
        <v>0.0066006600660066</v>
      </c>
      <c r="M1070" s="50" t="n">
        <v>0</v>
      </c>
      <c r="N1070" s="50" t="n">
        <v>1</v>
      </c>
      <c r="O1070" s="53" t="n">
        <v>14</v>
      </c>
      <c r="P1070" s="48" t="s">
        <v>337</v>
      </c>
      <c r="Q1070" s="50" t="n">
        <v>40</v>
      </c>
      <c r="R1070" s="53" t="n">
        <f aca="false">IF(BZ1070=1,0,IFERROR(VLOOKUP(BX1070,'Gebinde-Kategorie'!$A$5:$N$45,13,0)+0,0))</f>
        <v>52</v>
      </c>
      <c r="S1070" s="54"/>
      <c r="T1070" s="55"/>
      <c r="U1070" s="55"/>
      <c r="V1070" s="55"/>
      <c r="W1070" s="48"/>
      <c r="X1070" s="50"/>
      <c r="Y1070" s="50"/>
      <c r="Z1070" s="48" t="n">
        <f aca="false">IF(A1070="","",IF(AND(Parameter!$B$21="Ja",ISNUMBER(W1070)),W1070,IF(CC1070="2+3",IF(ISNUMBER(SEARCH("grosser Artikel",BU1070)),2,IFERROR(VLOOKUP(BX1070,Parameter!$F$35:$G$64,2,0),2)),IF(OR(CC1070="Nein",CC1070=""),"-",CC1070))))</f>
        <v>3</v>
      </c>
      <c r="AA1070" s="55"/>
      <c r="AB1070" s="56"/>
      <c r="AC1070" s="50" t="n">
        <f aca="false">AV1070</f>
        <v>1</v>
      </c>
      <c r="AD1070" s="50" t="n">
        <f aca="false">MAX(AV1070,H1070)</f>
        <v>33</v>
      </c>
      <c r="AE1070" s="57"/>
      <c r="AF1070" s="50" t="n">
        <f aca="false">IF(LEFT(Cockpit!$C$5,1)="A",H1070,IF(Parameter!$E$30="MAX-Bestand",IF(CH1070=1,CI1070,IF(LEFT(Cockpit!$C$5,1)="B",AL1070,MAX(AL1070,H1070))),ROUNDUP(AJ1070,0)))</f>
        <v>33</v>
      </c>
      <c r="AG1070" s="50" t="n">
        <f aca="false">IF(BZ1070=1,0,ROUNDUP(AF1070/BY1070,0))</f>
        <v>1</v>
      </c>
      <c r="AH1070" s="52" t="n">
        <f aca="false">IF(CQ1070&gt;0,CQ1070*MAX(1,AF1070/X1070),IF(BZ1070=1,IF(AF1070&lt;=0,0,CD1070*MAX(1,IF(H1070&gt;0,AF1070/H1070,1))),IF(R1070&gt;0,AG1070/R1070,0))/MAX(0.1,N(Parameter!$M$21)))</f>
        <v>0.0192307692307692</v>
      </c>
      <c r="AI1070" s="50" t="n">
        <f aca="false">AH1070*CB1070</f>
        <v>2.98076923076923</v>
      </c>
      <c r="AJ1070" s="51" t="n">
        <f aca="false">IF(LEFT(Cockpit!$C$5,1)="A",H1070,IF(CH1070=1,(CK1070+CI1070)/2,IF(LEFT(Cockpit!$C$5,1)="B",(CK1070+AL1070)/2,MAX((CK1070+AL1070)/2,H1070))))</f>
        <v>33</v>
      </c>
      <c r="AK1070" s="50" t="n">
        <f aca="false">AJ1070*G1070</f>
        <v>1101.87</v>
      </c>
      <c r="AL1070" s="50" t="n">
        <f aca="false">ROUNDUP(CK1070+MAX(CL1070,2*(J1070/IF(CG1070&gt;0,CG1070,MAX(0.1,N(Cockpit!$C$6)))-CK1070)),0)</f>
        <v>1</v>
      </c>
      <c r="AM1070" s="51" t="n">
        <f aca="false">IF(AI1070&gt;0,J1070/AI1070,-1)</f>
        <v>0.0838709677419355</v>
      </c>
      <c r="AN1070" s="51" t="n">
        <f aca="false">IF(AND(OR(CF1070="L1",CF1070="L23",CF1070="LIFT"),AI1070&gt;0),SUMIFS($AI$7:$AI$1843,$CF$7:$CF$1843,CF1070,$AM$7:$AM$1843,"&gt;"&amp;AM1070)+SUMIFS($AI$7:$AI$1843,$CF$7:$CF$1843,CF1070,$AM$7:$AM$1843,AM1070,$BW$7:$BW$1843,"&lt;="&amp;BW1070),"")</f>
        <v>16665.2740656236</v>
      </c>
      <c r="AO1070" s="58" t="n">
        <f aca="false">IF(AN1070="",0,MAX(0,MIN(1,(IF(CF1070="L1",Parameter!$H$5,IF(CF1070="L23",Parameter!$H$6+Parameter!$H$7,Parameter!$H$5+Parameter!$H$6+Parameter!$H$7))-(AN1070-AI1070))/AI1070)))</f>
        <v>1</v>
      </c>
      <c r="AP1070" s="50" t="n">
        <f aca="false">IF(LEFT(Cockpit!$I$5,1)="A",H1070,IF(Parameter!$E$30="MAX-Bestand",IF(CH1070=1,CI1070,IF(LEFT(Cockpit!$I$5,1)="B",AV1070,MAX(AV1070,H1070))),ROUNDUP(AT1070,0)))</f>
        <v>33</v>
      </c>
      <c r="AQ1070" s="50" t="n">
        <f aca="false">IF(BZ1070=1,0,ROUNDUP(AP1070/BY1070,0))</f>
        <v>1</v>
      </c>
      <c r="AR1070" s="52" t="n">
        <f aca="false">IF(CQ1070&gt;0,CQ1070*MAX(1,AP1070/X1070),IF(BZ1070=1,IF(AP1070&lt;=0,0,CD1070*MAX(1,IF(H1070&gt;0,AP1070/H1070,1))),IF(R1070&gt;0,AQ1070/R1070,0))/MAX(0.1,N(Parameter!$M$21)))</f>
        <v>0.0192307692307692</v>
      </c>
      <c r="AS1070" s="50" t="n">
        <f aca="false">AR1070*CB1070</f>
        <v>2.98076923076923</v>
      </c>
      <c r="AT1070" s="51" t="n">
        <f aca="false">IF(LEFT(Cockpit!$I$5,1)="A",H1070,IF(CH1070=1,(CK1070+CI1070)/2,IF(LEFT(Cockpit!$I$5,1)="B",(CK1070+AV1070)/2,MAX((CK1070+AV1070)/2,H1070))))</f>
        <v>33</v>
      </c>
      <c r="AU1070" s="50" t="n">
        <f aca="false">AT1070*G1070</f>
        <v>1101.87</v>
      </c>
      <c r="AV1070" s="50" t="n">
        <f aca="false">ROUNDUP(CK1070+MAX(CL1070,2*(J1070/IF(CG1070&gt;0,CG1070,MAX(0.1,N(Cockpit!$I$6)))-CK1070)),0)</f>
        <v>1</v>
      </c>
      <c r="AW1070" s="51" t="n">
        <f aca="false">IF(AS1070&gt;0,J1070/AS1070,-1)</f>
        <v>0.0838709677419355</v>
      </c>
      <c r="AX1070" s="51" t="n">
        <f aca="false">IF(AND(OR(CF1070="L1",CF1070="L23",CF1070="LIFT"),AS1070&gt;0),SUMIFS($AS$7:$AS$1843,$CF$7:$CF$1843,CF1070,$AW$7:$AW$1843,"&gt;"&amp;AW1070)+SUMIFS($AS$7:$AS$1843,$CF$7:$CF$1843,CF1070,$AW$7:$AW$1843,AW1070,$BW$7:$BW$1843,"&lt;="&amp;BW1070),"")</f>
        <v>21688.4227070011</v>
      </c>
      <c r="AY1070" s="58" t="n">
        <f aca="false">IF(AX1070="",0,MAX(0,MIN(1,(IF(CF1070="L1",Parameter!$H$5,IF(CF1070="L23",Parameter!$H$6+Parameter!$H$7,Parameter!$H$5+Parameter!$H$6+Parameter!$H$7))-(AX1070-AS1070))/AS1070)))</f>
        <v>1</v>
      </c>
      <c r="AZ1070" s="50" t="n">
        <f aca="false">IF(LEFT(Cockpit!$O$5,1)="A",H1070,IF(Parameter!$E$30="MAX-Bestand",IF(CH1070=1,CI1070,IF(LEFT(Cockpit!$O$5,1)="B",BF1070,MAX(BF1070,H1070))),ROUNDUP(BD1070,0)))</f>
        <v>1</v>
      </c>
      <c r="BA1070" s="50" t="n">
        <f aca="false">IF(BZ1070=1,0,ROUNDUP(AZ1070/BY1070,0))</f>
        <v>1</v>
      </c>
      <c r="BB1070" s="52" t="n">
        <f aca="false">IF(CQ1070&gt;0,CQ1070*MAX(1,AZ1070/X1070),IF(BZ1070=1,IF(AZ1070&lt;=0,0,CD1070*MAX(1,IF(H1070&gt;0,AZ1070/H1070,1))),IF(R1070&gt;0,BA1070/R1070,0))/MAX(0.1,N(Parameter!$M$21)))</f>
        <v>0.0192307692307692</v>
      </c>
      <c r="BC1070" s="50" t="n">
        <f aca="false">BB1070*CB1070</f>
        <v>2.98076923076923</v>
      </c>
      <c r="BD1070" s="51" t="n">
        <f aca="false">IF(LEFT(Cockpit!$O$5,1)="A",H1070,IF(CH1070=1,(CK1070+CI1070)/2,IF(LEFT(Cockpit!$O$5,1)="B",(CK1070+BF1070)/2,MAX((CK1070+BF1070)/2,H1070))))</f>
        <v>0.5</v>
      </c>
      <c r="BE1070" s="50" t="n">
        <f aca="false">BD1070*G1070</f>
        <v>16.695</v>
      </c>
      <c r="BF1070" s="50" t="n">
        <f aca="false">ROUNDUP(CK1070+MAX(CL1070,2*(J1070/IF(CG1070&gt;0,CG1070,MAX(0.1,N(Cockpit!$O$6)))-CK1070)),0)</f>
        <v>1</v>
      </c>
      <c r="BG1070" s="51" t="n">
        <f aca="false">IF(BC1070&gt;0,J1070/BC1070,-1)</f>
        <v>0.0838709677419355</v>
      </c>
      <c r="BH1070" s="51" t="n">
        <f aca="false">IF(AND(OR(CF1070="L1",CF1070="L23",CF1070="LIFT"),BC1070&gt;0),SUMIFS($BC$7:$BC$1843,$CF$7:$CF$1843,CF1070,$BG$7:$BG$1843,"&gt;"&amp;BG1070)+SUMIFS($BC$7:$BC$1843,$CF$7:$CF$1843,CF1070,$BG$7:$BG$1843,BG1070,$BW$7:$BW$1843,"&lt;="&amp;BW1070),"")</f>
        <v>18226.4789092734</v>
      </c>
      <c r="BI1070" s="58" t="n">
        <f aca="false">IF(BH1070="",0,MAX(0,MIN(1,(IF(CF1070="L1",Parameter!$H$5,IF(CF1070="L23",Parameter!$H$6+Parameter!$H$7,Parameter!$H$5+Parameter!$H$6+Parameter!$H$7))-(BH1070-BC1070))/BC1070)))</f>
        <v>1</v>
      </c>
      <c r="BJ1070" s="48" t="str">
        <f aca="false">IF(AI1070&lt;=0,"",IF(CF1070="Aussen","Aussenlager",IF(CF1070="-","Nicht im Lift",IF(AO1070&gt;=1,"Lift",IF(AO1070&lt;=0,"Aussenlager","teilweise")))))</f>
        <v>Lift</v>
      </c>
      <c r="BK1070" s="48" t="str">
        <f aca="false">IF(AS1070&lt;=0,"",IF(CF1070="Aussen","Aussenlager",IF(CF1070="-","Nicht im Lift",IF(AY1070&gt;=1,"Lift",IF(AY1070&lt;=0,"Aussenlager","teilweise")))))</f>
        <v>Lift</v>
      </c>
      <c r="BL1070" s="48" t="str">
        <f aca="false">IF(BC1070&lt;=0,"",IF(CF1070="Aussen","Aussenlager",IF(CF1070="-","Nicht im Lift",IF(BI1070&gt;=1,"Lift",IF(BI1070&lt;=0,"Aussenlager","teilweise")))))</f>
        <v>Lift</v>
      </c>
      <c r="BM1070" s="48" t="str">
        <f aca="false">IF(A1070="","",IF(BV1070=1,"Neu; ","")&amp;IF(AND(BV1070=0,BQ1070&lt;0),"negativer Bestand (Export "&amp;BQ1070&amp;"); ","")&amp;IF(J1070&lt;=0,"Kein Verbrauch; ","")&amp;IF(CQ1070&gt;0,"Lift "&amp;W1070&amp;" lt. Liftbericht (Fach "&amp;X1070&amp;" Stk); ",IF(CA1070=1,"Gebinde geschätzt ("&amp;T1070&amp;"); ",IF(BZ1070=1,"Lose – Tablare geschätzt; ","")))&amp;IF(H1070&gt;AV1070,"Überbestand "&amp;ROUND(H1070-AV1070,0)&amp;" Stk / CHF "&amp;ROUND((H1070-AV1070)*G1070,0)&amp;"; ","")&amp;IF(AND(CH1070=1,CI1070&lt;CJ1070),"MAX &lt; MB+LG; ","")&amp;IF(AND(CP1070&gt;0,CO1070*10&gt;CP1070),"zu hoch für Tablar; ","")&amp;IF(AND(BV1070=0,OR(CH1070=1,AA1070&lt;&gt;"",U1070&lt;&gt;"",V1070&lt;&gt;"",AB1070&lt;&gt;"")),"manuell übersteuert; ","")&amp;IF(AND(BZ1070=0,R1070=0),"Gebinde unbekannt / Stellmass fehlt; ","")&amp;IF(AND(BZ1070=0,N(V1070)&lt;=0,N(Q1070)&lt;=0),"Menge pro Gebinde fehlt (Ist = 1 Gebinde); ","")&amp;BU1070)</f>
        <v>negativer Bestand (Export -5); Überbestand 32 Stk / CHF 1068; Verb.Lager</v>
      </c>
      <c r="BN1070" s="48"/>
      <c r="BO1070" s="48"/>
      <c r="BP1070" s="55"/>
      <c r="BQ1070" s="50" t="n">
        <v>-5</v>
      </c>
      <c r="BR1070" s="50" t="n">
        <v>38</v>
      </c>
      <c r="BS1070" s="49" t="n">
        <v>-166.95</v>
      </c>
      <c r="BT1070" s="50" t="n">
        <v>0.25</v>
      </c>
      <c r="BU1070" s="48" t="s">
        <v>1039</v>
      </c>
      <c r="BV1070" s="53" t="n">
        <v>0</v>
      </c>
      <c r="BW1070" s="53" t="n">
        <v>1070</v>
      </c>
      <c r="BX1070" s="48" t="str">
        <f aca="false">IF(U1070&lt;&gt;"",UPPER(TRIM(U1070)),IF(CA1070=1,UPPER(VLOOKUP(T1070,Parameter!$I$27:$K$29,2,0)),IF(P1070="","LOSE",P1070)))</f>
        <v>S41</v>
      </c>
      <c r="BY1070" s="50" t="n">
        <f aca="false">IF(BX1070="LOSE",1,IF(N(V1070)&gt;0,V1070,IF(CA1070=1,MAX(1,N(VLOOKUP(T1070,Parameter!$I$27:$K$29,3,0)),H1070,N(N1070)),IF(N(Q1070)&gt;0,Q1070,MAX(1,H1070)))))</f>
        <v>40</v>
      </c>
      <c r="BZ1070" s="53" t="n">
        <f aca="false">IF(BX1070="LOSE",1,0)</f>
        <v>0</v>
      </c>
      <c r="CA1070" s="53" t="n">
        <f aca="false">IF(AND(U1070="",OR(P1070="",P1070="LOSE"),T1070&lt;&gt;"",N(S1070)&lt;=0,ISNUMBER(MATCH(T1070,Parameter!$I$27:$I$29,0))),1,0)</f>
        <v>0</v>
      </c>
      <c r="CB1070" s="53" t="n">
        <f aca="false">IF(CQ1070&gt;0,INDEX(Parameter!$H$5:$H$7,W1070)/INDEX(Parameter!$E$5:$E$7,W1070),IF(AND(BZ1070=0,N(IFERROR(VLOOKUP(BX1070,'Gebinde-Kategorie'!$A$5:$N$45,14,0),0))&gt;0),VLOOKUP(BX1070,'Gebinde-Kategorie'!$A$5:$N$45,14,0)*10+Parameter!$M$23,Parameter!$M$24))</f>
        <v>155</v>
      </c>
      <c r="CC1070" s="48" t="str">
        <f aca="false">IF(AND(Parameter!$B$19="Ja",E1070&lt;&gt;"",ISNUMBER(MATCH(E1070,Parameter!$I$35:$I$52,0))),VLOOKUP(E1070,Parameter!$I$35:$J$52,2,0),IFERROR(VLOOKUP(D1070,Parameter!$A$35:$C$64,2,0),"Nein"))</f>
        <v>2+3</v>
      </c>
      <c r="CD1070" s="52" t="n">
        <f aca="false">IF(BZ1070=0,0,IF(N(S1070)&gt;0,S1070,IFERROR(VLOOKUP(D1070,Parameter!$A$35:$C$64,3,0)+0,0)))</f>
        <v>0</v>
      </c>
      <c r="CE1070" s="48" t="n">
        <f aca="false">IF(AA1070&lt;&gt;"",AA1070,Z1070)</f>
        <v>3</v>
      </c>
      <c r="CF1070" s="48" t="str">
        <f aca="false">IF(OR(CE1070=1,CE1070=2,CE1070=3),IF(Parameter!$E$27="Ja","LIFT",IF(CE1070=1,"L1","L23")),IF(CE1070="Aussen","Aussen","-"))</f>
        <v>LIFT</v>
      </c>
      <c r="CG1070" s="59" t="n">
        <f aca="false">IF(N(AB1070)&gt;0,AB1070,0)</f>
        <v>0</v>
      </c>
      <c r="CH1070" s="53" t="n">
        <f aca="false">IF(ISNUMBER(AE1070),1,0)</f>
        <v>0</v>
      </c>
      <c r="CI1070" s="50" t="n">
        <f aca="false">N(AE1070)</f>
        <v>0</v>
      </c>
      <c r="CJ1070" s="50" t="n">
        <f aca="false">N(M1070)+N(N1070)</f>
        <v>1</v>
      </c>
      <c r="CK1070" s="50" t="n">
        <f aca="false">N(M1070)</f>
        <v>0</v>
      </c>
      <c r="CL1070" s="50" t="n">
        <f aca="false">N(N1070)</f>
        <v>1</v>
      </c>
      <c r="CM1070" s="50" t="n">
        <f aca="false">ROUNDUP(H1070/BY1070,0)</f>
        <v>1</v>
      </c>
      <c r="CN1070" s="50" t="n">
        <f aca="false">ROUNDUP(CI1070/BY1070,0)</f>
        <v>0</v>
      </c>
      <c r="CO1070" s="53" t="n">
        <f aca="false">IF(BZ1070=1,0,IFERROR(VLOOKUP(BX1070,'Gebinde-Kategorie'!$A$5:$N$45,5,0)+0,0))</f>
        <v>11</v>
      </c>
      <c r="CP1070" s="53" t="n">
        <f aca="false">IFERROR(IF(OR(CE1070=1,CE1070=2,CE1070=3),N(INDEX(Parameter!$I$5:$I$7,CE1070)),0),0)</f>
        <v>0</v>
      </c>
      <c r="CQ1070" s="52" t="n">
        <f aca="false">IF(AND(Parameter!$B$21="Ja",ISNUMBER(W1070),N(X1070)&gt;0),IFERROR(N(INDEX(Parameter!$L$5:$L$7,W1070))*INDEX(Parameter!$E$5:$E$7,W1070)*X1070/SUMIFS($X$7:$X$1843,$W$7:$W$1843,W1070),0),0)</f>
        <v>0</v>
      </c>
    </row>
    <row r="1071" customFormat="false" ht="15" hidden="false" customHeight="false" outlineLevel="0" collapsed="false">
      <c r="A1071" s="48" t="s">
        <v>1965</v>
      </c>
      <c r="B1071" s="48" t="s">
        <v>1966</v>
      </c>
      <c r="C1071" s="48" t="s">
        <v>173</v>
      </c>
      <c r="D1071" s="48" t="s">
        <v>182</v>
      </c>
      <c r="E1071" s="48" t="s">
        <v>194</v>
      </c>
      <c r="F1071" s="48" t="s">
        <v>227</v>
      </c>
      <c r="G1071" s="49" t="n">
        <v>14.64</v>
      </c>
      <c r="H1071" s="50" t="n">
        <f aca="false">MAX(0,IF(AND(Parameter!$B$21="Ja",ISNUMBER(Y1071)),Y1071,IF(Parameter!$B$20="Jahresanfang 2025 + Export",BR1071+BQ1071,BQ1071)))</f>
        <v>18</v>
      </c>
      <c r="I1071" s="50" t="n">
        <f aca="false">H1071*G1071</f>
        <v>263.52</v>
      </c>
      <c r="J1071" s="50" t="n">
        <f aca="false">BT1071*Parameter!$B$18</f>
        <v>98</v>
      </c>
      <c r="K1071" s="51" t="n">
        <v>28.5</v>
      </c>
      <c r="L1071" s="52" t="n">
        <v>3.43859649122807</v>
      </c>
      <c r="M1071" s="50" t="n">
        <v>5</v>
      </c>
      <c r="N1071" s="50" t="n">
        <v>25</v>
      </c>
      <c r="O1071" s="53" t="n">
        <v>21</v>
      </c>
      <c r="P1071" s="48" t="s">
        <v>177</v>
      </c>
      <c r="Q1071" s="50"/>
      <c r="R1071" s="53" t="n">
        <f aca="false">IF(BZ1071=1,0,IFERROR(VLOOKUP(BX1071,'Gebinde-Kategorie'!$A$5:$N$45,13,0)+0,0))</f>
        <v>12</v>
      </c>
      <c r="S1071" s="54"/>
      <c r="T1071" s="55" t="s">
        <v>188</v>
      </c>
      <c r="U1071" s="55"/>
      <c r="V1071" s="55"/>
      <c r="W1071" s="48"/>
      <c r="X1071" s="50"/>
      <c r="Y1071" s="50"/>
      <c r="Z1071" s="48" t="n">
        <f aca="false">IF(A1071="","",IF(AND(Parameter!$B$21="Ja",ISNUMBER(W1071)),W1071,IF(CC1071="2+3",IF(ISNUMBER(SEARCH("grosser Artikel",BU1071)),2,IFERROR(VLOOKUP(BX1071,Parameter!$F$35:$G$64,2,0),2)),IF(OR(CC1071="Nein",CC1071=""),"-",CC1071))))</f>
        <v>2</v>
      </c>
      <c r="AA1071" s="55"/>
      <c r="AB1071" s="56"/>
      <c r="AC1071" s="50" t="n">
        <f aca="false">AV1071</f>
        <v>61</v>
      </c>
      <c r="AD1071" s="50" t="n">
        <f aca="false">MAX(AV1071,H1071)</f>
        <v>61</v>
      </c>
      <c r="AE1071" s="57"/>
      <c r="AF1071" s="50" t="n">
        <f aca="false">IF(LEFT(Cockpit!$C$5,1)="A",H1071,IF(Parameter!$E$30="MAX-Bestand",IF(CH1071=1,CI1071,IF(LEFT(Cockpit!$C$5,1)="B",AL1071,MAX(AL1071,H1071))),ROUNDUP(AJ1071,0)))</f>
        <v>18</v>
      </c>
      <c r="AG1071" s="50" t="n">
        <f aca="false">IF(BZ1071=1,0,ROUNDUP(AF1071/BY1071,0))</f>
        <v>1</v>
      </c>
      <c r="AH1071" s="52" t="n">
        <f aca="false">IF(CQ1071&gt;0,CQ1071*MAX(1,AF1071/X1071),IF(BZ1071=1,IF(AF1071&lt;=0,0,CD1071*MAX(1,IF(H1071&gt;0,AF1071/H1071,1))),IF(R1071&gt;0,AG1071/R1071,0))/MAX(0.1,N(Parameter!$M$21)))</f>
        <v>0.0833333333333333</v>
      </c>
      <c r="AI1071" s="50" t="n">
        <f aca="false">AH1071*CB1071</f>
        <v>12.0833333333333</v>
      </c>
      <c r="AJ1071" s="51" t="n">
        <f aca="false">IF(LEFT(Cockpit!$C$5,1)="A",H1071,IF(CH1071=1,(CK1071+CI1071)/2,IF(LEFT(Cockpit!$C$5,1)="B",(CK1071+AL1071)/2,MAX((CK1071+AL1071)/2,H1071))))</f>
        <v>18</v>
      </c>
      <c r="AK1071" s="50" t="n">
        <f aca="false">AJ1071*G1071</f>
        <v>263.52</v>
      </c>
      <c r="AL1071" s="50" t="n">
        <f aca="false">ROUNDUP(CK1071+MAX(CL1071,2*(J1071/IF(CG1071&gt;0,CG1071,MAX(0.1,N(Cockpit!$C$6)))-CK1071)),0)</f>
        <v>61</v>
      </c>
      <c r="AM1071" s="51" t="n">
        <f aca="false">IF(AI1071&gt;0,J1071/AI1071,-1)</f>
        <v>8.11034482758621</v>
      </c>
      <c r="AN1071" s="51" t="n">
        <f aca="false">IF(AND(OR(CF1071="L1",CF1071="L23",CF1071="LIFT"),AI1071&gt;0),SUMIFS($AI$7:$AI$1843,$CF$7:$CF$1843,CF1071,$AM$7:$AM$1843,"&gt;"&amp;AM1071)+SUMIFS($AI$7:$AI$1843,$CF$7:$CF$1843,CF1071,$AM$7:$AM$1843,AM1071,$BW$7:$BW$1843,"&lt;="&amp;BW1071),"")</f>
        <v>3031.71794871795</v>
      </c>
      <c r="AO1071" s="58" t="n">
        <f aca="false">IF(AN1071="",0,MAX(0,MIN(1,(IF(CF1071="L1",Parameter!$H$5,IF(CF1071="L23",Parameter!$H$6+Parameter!$H$7,Parameter!$H$5+Parameter!$H$6+Parameter!$H$7))-(AN1071-AI1071))/AI1071)))</f>
        <v>1</v>
      </c>
      <c r="AP1071" s="50" t="n">
        <f aca="false">IF(LEFT(Cockpit!$I$5,1)="A",H1071,IF(Parameter!$E$30="MAX-Bestand",IF(CH1071=1,CI1071,IF(LEFT(Cockpit!$I$5,1)="B",AV1071,MAX(AV1071,H1071))),ROUNDUP(AT1071,0)))</f>
        <v>33</v>
      </c>
      <c r="AQ1071" s="50" t="n">
        <f aca="false">IF(BZ1071=1,0,ROUNDUP(AP1071/BY1071,0))</f>
        <v>2</v>
      </c>
      <c r="AR1071" s="52" t="n">
        <f aca="false">IF(CQ1071&gt;0,CQ1071*MAX(1,AP1071/X1071),IF(BZ1071=1,IF(AP1071&lt;=0,0,CD1071*MAX(1,IF(H1071&gt;0,AP1071/H1071,1))),IF(R1071&gt;0,AQ1071/R1071,0))/MAX(0.1,N(Parameter!$M$21)))</f>
        <v>0.166666666666667</v>
      </c>
      <c r="AS1071" s="50" t="n">
        <f aca="false">AR1071*CB1071</f>
        <v>24.1666666666667</v>
      </c>
      <c r="AT1071" s="51" t="n">
        <f aca="false">IF(LEFT(Cockpit!$I$5,1)="A",H1071,IF(CH1071=1,(CK1071+CI1071)/2,IF(LEFT(Cockpit!$I$5,1)="B",(CK1071+AV1071)/2,MAX((CK1071+AV1071)/2,H1071))))</f>
        <v>33</v>
      </c>
      <c r="AU1071" s="50" t="n">
        <f aca="false">AT1071*G1071</f>
        <v>483.12</v>
      </c>
      <c r="AV1071" s="50" t="n">
        <f aca="false">ROUNDUP(CK1071+MAX(CL1071,2*(J1071/IF(CG1071&gt;0,CG1071,MAX(0.1,N(Cockpit!$I$6)))-CK1071)),0)</f>
        <v>61</v>
      </c>
      <c r="AW1071" s="51" t="n">
        <f aca="false">IF(AS1071&gt;0,J1071/AS1071,-1)</f>
        <v>4.0551724137931</v>
      </c>
      <c r="AX1071" s="51" t="n">
        <f aca="false">IF(AND(OR(CF1071="L1",CF1071="L23",CF1071="LIFT"),AS1071&gt;0),SUMIFS($AS$7:$AS$1843,$CF$7:$CF$1843,CF1071,$AW$7:$AW$1843,"&gt;"&amp;AW1071)+SUMIFS($AS$7:$AS$1843,$CF$7:$CF$1843,CF1071,$AW$7:$AW$1843,AW1071,$BW$7:$BW$1843,"&lt;="&amp;BW1071),"")</f>
        <v>4908.07097069597</v>
      </c>
      <c r="AY1071" s="58" t="n">
        <f aca="false">IF(AX1071="",0,MAX(0,MIN(1,(IF(CF1071="L1",Parameter!$H$5,IF(CF1071="L23",Parameter!$H$6+Parameter!$H$7,Parameter!$H$5+Parameter!$H$6+Parameter!$H$7))-(AX1071-AS1071))/AS1071)))</f>
        <v>1</v>
      </c>
      <c r="AZ1071" s="50" t="n">
        <f aca="false">IF(LEFT(Cockpit!$O$5,1)="A",H1071,IF(Parameter!$E$30="MAX-Bestand",IF(CH1071=1,CI1071,IF(LEFT(Cockpit!$O$5,1)="B",BF1071,MAX(BF1071,H1071))),ROUNDUP(BD1071,0)))</f>
        <v>25</v>
      </c>
      <c r="BA1071" s="50" t="n">
        <f aca="false">IF(BZ1071=1,0,ROUNDUP(AZ1071/BY1071,0))</f>
        <v>1</v>
      </c>
      <c r="BB1071" s="52" t="n">
        <f aca="false">IF(CQ1071&gt;0,CQ1071*MAX(1,AZ1071/X1071),IF(BZ1071=1,IF(AZ1071&lt;=0,0,CD1071*MAX(1,IF(H1071&gt;0,AZ1071/H1071,1))),IF(R1071&gt;0,BA1071/R1071,0))/MAX(0.1,N(Parameter!$M$21)))</f>
        <v>0.0833333333333333</v>
      </c>
      <c r="BC1071" s="50" t="n">
        <f aca="false">BB1071*CB1071</f>
        <v>12.0833333333333</v>
      </c>
      <c r="BD1071" s="51" t="n">
        <f aca="false">IF(LEFT(Cockpit!$O$5,1)="A",H1071,IF(CH1071=1,(CK1071+CI1071)/2,IF(LEFT(Cockpit!$O$5,1)="B",(CK1071+BF1071)/2,MAX((CK1071+BF1071)/2,H1071))))</f>
        <v>24.5</v>
      </c>
      <c r="BE1071" s="50" t="n">
        <f aca="false">BD1071*G1071</f>
        <v>358.68</v>
      </c>
      <c r="BF1071" s="50" t="n">
        <f aca="false">ROUNDUP(CK1071+MAX(CL1071,2*(J1071/IF(CG1071&gt;0,CG1071,MAX(0.1,N(Cockpit!$O$6)))-CK1071)),0)</f>
        <v>44</v>
      </c>
      <c r="BG1071" s="51" t="n">
        <f aca="false">IF(BC1071&gt;0,J1071/BC1071,-1)</f>
        <v>8.11034482758621</v>
      </c>
      <c r="BH1071" s="51" t="n">
        <f aca="false">IF(AND(OR(CF1071="L1",CF1071="L23",CF1071="LIFT"),BC1071&gt;0),SUMIFS($BC$7:$BC$1843,$CF$7:$CF$1843,CF1071,$BG$7:$BG$1843,"&gt;"&amp;BG1071)+SUMIFS($BC$7:$BC$1843,$CF$7:$CF$1843,CF1071,$BG$7:$BG$1843,BG1071,$BW$7:$BW$1843,"&lt;="&amp;BW1071),"")</f>
        <v>3032.05265567766</v>
      </c>
      <c r="BI1071" s="58" t="n">
        <f aca="false">IF(BH1071="",0,MAX(0,MIN(1,(IF(CF1071="L1",Parameter!$H$5,IF(CF1071="L23",Parameter!$H$6+Parameter!$H$7,Parameter!$H$5+Parameter!$H$6+Parameter!$H$7))-(BH1071-BC1071))/BC1071)))</f>
        <v>1</v>
      </c>
      <c r="BJ1071" s="48" t="str">
        <f aca="false">IF(AI1071&lt;=0,"",IF(CF1071="Aussen","Aussenlager",IF(CF1071="-","Nicht im Lift",IF(AO1071&gt;=1,"Lift",IF(AO1071&lt;=0,"Aussenlager","teilweise")))))</f>
        <v>Lift</v>
      </c>
      <c r="BK1071" s="48" t="str">
        <f aca="false">IF(AS1071&lt;=0,"",IF(CF1071="Aussen","Aussenlager",IF(CF1071="-","Nicht im Lift",IF(AY1071&gt;=1,"Lift",IF(AY1071&lt;=0,"Aussenlager","teilweise")))))</f>
        <v>Lift</v>
      </c>
      <c r="BL1071" s="48" t="str">
        <f aca="false">IF(BC1071&lt;=0,"",IF(CF1071="Aussen","Aussenlager",IF(CF1071="-","Nicht im Lift",IF(BI1071&gt;=1,"Lift",IF(BI1071&lt;=0,"Aussenlager","teilweise")))))</f>
        <v>Lift</v>
      </c>
      <c r="BM1071" s="48" t="str">
        <f aca="false">IF(A1071="","",IF(BV1071=1,"Neu; ","")&amp;IF(AND(BV1071=0,BQ1071&lt;0),"negativer Bestand (Export "&amp;BQ1071&amp;"); ","")&amp;IF(J1071&lt;=0,"Kein Verbrauch; ","")&amp;IF(CQ1071&gt;0,"Lift "&amp;W1071&amp;" lt. Liftbericht (Fach "&amp;X1071&amp;" Stk); ",IF(CA1071=1,"Gebinde geschätzt ("&amp;T1071&amp;"); ",IF(BZ1071=1,"Lose – Tablare geschätzt; ","")))&amp;IF(H1071&gt;AV1071,"Überbestand "&amp;ROUND(H1071-AV1071,0)&amp;" Stk / CHF "&amp;ROUND((H1071-AV1071)*G1071,0)&amp;"; ","")&amp;IF(AND(CH1071=1,CI1071&lt;CJ1071),"MAX &lt; MB+LG; ","")&amp;IF(AND(CP1071&gt;0,CO1071*10&gt;CP1071),"zu hoch für Tablar; ","")&amp;IF(AND(BV1071=0,OR(CH1071=1,AA1071&lt;&gt;"",U1071&lt;&gt;"",V1071&lt;&gt;"",AB1071&lt;&gt;"")),"manuell übersteuert; ","")&amp;IF(AND(BZ1071=0,R1071=0),"Gebinde unbekannt / Stellmass fehlt; ","")&amp;IF(AND(BZ1071=0,N(V1071)&lt;=0,N(Q1071)&lt;=0),"Menge pro Gebinde fehlt (Ist = 1 Gebinde); ","")&amp;BU1071)</f>
        <v>negativer Bestand (Export -11); Gebinde geschätzt (Mittel); Menge pro Gebinde fehlt (Ist = 1 Gebinde); grosser Artikel &amp; nicht im KTL</v>
      </c>
      <c r="BN1071" s="48"/>
      <c r="BO1071" s="48"/>
      <c r="BP1071" s="55"/>
      <c r="BQ1071" s="50" t="n">
        <v>-11</v>
      </c>
      <c r="BR1071" s="50" t="n">
        <v>29</v>
      </c>
      <c r="BS1071" s="49" t="n">
        <v>-167.13</v>
      </c>
      <c r="BT1071" s="50" t="n">
        <v>98</v>
      </c>
      <c r="BU1071" s="48" t="s">
        <v>270</v>
      </c>
      <c r="BV1071" s="53" t="n">
        <v>0</v>
      </c>
      <c r="BW1071" s="53" t="n">
        <v>1071</v>
      </c>
      <c r="BX1071" s="48" t="str">
        <f aca="false">IF(U1071&lt;&gt;"",UPPER(TRIM(U1071)),IF(CA1071=1,UPPER(VLOOKUP(T1071,Parameter!$I$27:$K$29,2,0)),IF(P1071="","LOSE",P1071)))</f>
        <v>S61</v>
      </c>
      <c r="BY1071" s="50" t="n">
        <f aca="false">IF(BX1071="LOSE",1,IF(N(V1071)&gt;0,V1071,IF(CA1071=1,MAX(1,N(VLOOKUP(T1071,Parameter!$I$27:$K$29,3,0)),H1071,N(N1071)),IF(N(Q1071)&gt;0,Q1071,MAX(1,H1071)))))</f>
        <v>25</v>
      </c>
      <c r="BZ1071" s="53" t="n">
        <f aca="false">IF(BX1071="LOSE",1,0)</f>
        <v>0</v>
      </c>
      <c r="CA1071" s="53" t="n">
        <f aca="false">IF(AND(U1071="",OR(P1071="",P1071="LOSE"),T1071&lt;&gt;"",N(S1071)&lt;=0,ISNUMBER(MATCH(T1071,Parameter!$I$27:$I$29,0))),1,0)</f>
        <v>1</v>
      </c>
      <c r="CB1071" s="53" t="n">
        <f aca="false">IF(CQ1071&gt;0,INDEX(Parameter!$H$5:$H$7,W1071)/INDEX(Parameter!$E$5:$E$7,W1071),IF(AND(BZ1071=0,N(IFERROR(VLOOKUP(BX1071,'Gebinde-Kategorie'!$A$5:$N$45,14,0),0))&gt;0),VLOOKUP(BX1071,'Gebinde-Kategorie'!$A$5:$N$45,14,0)*10+Parameter!$M$23,Parameter!$M$24))</f>
        <v>145</v>
      </c>
      <c r="CC1071" s="48" t="str">
        <f aca="false">IF(AND(Parameter!$B$19="Ja",E1071&lt;&gt;"",ISNUMBER(MATCH(E1071,Parameter!$I$35:$I$52,0))),VLOOKUP(E1071,Parameter!$I$35:$J$52,2,0),IFERROR(VLOOKUP(D1071,Parameter!$A$35:$C$64,2,0),"Nein"))</f>
        <v>2+3</v>
      </c>
      <c r="CD1071" s="52" t="n">
        <f aca="false">IF(BZ1071=0,0,IF(N(S1071)&gt;0,S1071,IFERROR(VLOOKUP(D1071,Parameter!$A$35:$C$64,3,0)+0,0)))</f>
        <v>0</v>
      </c>
      <c r="CE1071" s="48" t="n">
        <f aca="false">IF(AA1071&lt;&gt;"",AA1071,Z1071)</f>
        <v>2</v>
      </c>
      <c r="CF1071" s="48" t="str">
        <f aca="false">IF(OR(CE1071=1,CE1071=2,CE1071=3),IF(Parameter!$E$27="Ja","LIFT",IF(CE1071=1,"L1","L23")),IF(CE1071="Aussen","Aussen","-"))</f>
        <v>LIFT</v>
      </c>
      <c r="CG1071" s="59" t="n">
        <f aca="false">IF(N(AB1071)&gt;0,AB1071,0)</f>
        <v>0</v>
      </c>
      <c r="CH1071" s="53" t="n">
        <f aca="false">IF(ISNUMBER(AE1071),1,0)</f>
        <v>0</v>
      </c>
      <c r="CI1071" s="50" t="n">
        <f aca="false">N(AE1071)</f>
        <v>0</v>
      </c>
      <c r="CJ1071" s="50" t="n">
        <f aca="false">N(M1071)+N(N1071)</f>
        <v>30</v>
      </c>
      <c r="CK1071" s="50" t="n">
        <f aca="false">N(M1071)</f>
        <v>5</v>
      </c>
      <c r="CL1071" s="50" t="n">
        <f aca="false">N(N1071)</f>
        <v>25</v>
      </c>
      <c r="CM1071" s="50" t="n">
        <f aca="false">ROUNDUP(H1071/BY1071,0)</f>
        <v>1</v>
      </c>
      <c r="CN1071" s="50" t="n">
        <f aca="false">ROUNDUP(CI1071/BY1071,0)</f>
        <v>0</v>
      </c>
      <c r="CO1071" s="53" t="n">
        <f aca="false">IF(BZ1071=1,0,IFERROR(VLOOKUP(BX1071,'Gebinde-Kategorie'!$A$5:$N$45,5,0)+0,0))</f>
        <v>11</v>
      </c>
      <c r="CP1071" s="53" t="n">
        <f aca="false">IFERROR(IF(OR(CE1071=1,CE1071=2,CE1071=3),N(INDEX(Parameter!$I$5:$I$7,CE1071)),0),0)</f>
        <v>0</v>
      </c>
      <c r="CQ1071" s="52" t="n">
        <f aca="false">IF(AND(Parameter!$B$21="Ja",ISNUMBER(W1071),N(X1071)&gt;0),IFERROR(N(INDEX(Parameter!$L$5:$L$7,W1071))*INDEX(Parameter!$E$5:$E$7,W1071)*X1071/SUMIFS($X$7:$X$1843,$W$7:$W$1843,W1071),0),0)</f>
        <v>0</v>
      </c>
    </row>
    <row r="1072" customFormat="false" ht="15" hidden="false" customHeight="false" outlineLevel="0" collapsed="false">
      <c r="A1072" s="48" t="s">
        <v>1967</v>
      </c>
      <c r="B1072" s="48" t="s">
        <v>1968</v>
      </c>
      <c r="C1072" s="48" t="s">
        <v>173</v>
      </c>
      <c r="D1072" s="48" t="s">
        <v>182</v>
      </c>
      <c r="E1072" s="48" t="s">
        <v>194</v>
      </c>
      <c r="F1072" s="48" t="s">
        <v>227</v>
      </c>
      <c r="G1072" s="49" t="n">
        <v>168</v>
      </c>
      <c r="H1072" s="50" t="n">
        <f aca="false">MAX(0,IF(AND(Parameter!$B$21="Ja",ISNUMBER(Y1072)),Y1072,IF(Parameter!$B$20="Jahresanfang 2025 + Export",BR1072+BQ1072,BQ1072)))</f>
        <v>23</v>
      </c>
      <c r="I1072" s="50" t="n">
        <f aca="false">H1072*G1072</f>
        <v>3864</v>
      </c>
      <c r="J1072" s="50" t="n">
        <f aca="false">BT1072*Parameter!$B$18</f>
        <v>1</v>
      </c>
      <c r="K1072" s="51" t="n">
        <v>23.5</v>
      </c>
      <c r="L1072" s="52" t="n">
        <v>0.0425531914893617</v>
      </c>
      <c r="M1072" s="50" t="n">
        <v>0</v>
      </c>
      <c r="N1072" s="50" t="n">
        <v>1</v>
      </c>
      <c r="O1072" s="53" t="n">
        <v>14</v>
      </c>
      <c r="P1072" s="48" t="s">
        <v>177</v>
      </c>
      <c r="Q1072" s="50"/>
      <c r="R1072" s="53" t="n">
        <f aca="false">IF(BZ1072=1,0,IFERROR(VLOOKUP(BX1072,'Gebinde-Kategorie'!$A$5:$N$45,13,0)+0,0))</f>
        <v>12</v>
      </c>
      <c r="S1072" s="54"/>
      <c r="T1072" s="55" t="s">
        <v>188</v>
      </c>
      <c r="U1072" s="55"/>
      <c r="V1072" s="55"/>
      <c r="W1072" s="48"/>
      <c r="X1072" s="50"/>
      <c r="Y1072" s="50"/>
      <c r="Z1072" s="48" t="n">
        <f aca="false">IF(A1072="","",IF(AND(Parameter!$B$21="Ja",ISNUMBER(W1072)),W1072,IF(CC1072="2+3",IF(ISNUMBER(SEARCH("grosser Artikel",BU1072)),2,IFERROR(VLOOKUP(BX1072,Parameter!$F$35:$G$64,2,0),2)),IF(OR(CC1072="Nein",CC1072=""),"-",CC1072))))</f>
        <v>2</v>
      </c>
      <c r="AA1072" s="55"/>
      <c r="AB1072" s="56"/>
      <c r="AC1072" s="50" t="n">
        <f aca="false">AV1072</f>
        <v>1</v>
      </c>
      <c r="AD1072" s="50" t="n">
        <f aca="false">MAX(AV1072,H1072)</f>
        <v>23</v>
      </c>
      <c r="AE1072" s="57"/>
      <c r="AF1072" s="50" t="n">
        <f aca="false">IF(LEFT(Cockpit!$C$5,1)="A",H1072,IF(Parameter!$E$30="MAX-Bestand",IF(CH1072=1,CI1072,IF(LEFT(Cockpit!$C$5,1)="B",AL1072,MAX(AL1072,H1072))),ROUNDUP(AJ1072,0)))</f>
        <v>23</v>
      </c>
      <c r="AG1072" s="50" t="n">
        <f aca="false">IF(BZ1072=1,0,ROUNDUP(AF1072/BY1072,0))</f>
        <v>1</v>
      </c>
      <c r="AH1072" s="52" t="n">
        <f aca="false">IF(CQ1072&gt;0,CQ1072*MAX(1,AF1072/X1072),IF(BZ1072=1,IF(AF1072&lt;=0,0,CD1072*MAX(1,IF(H1072&gt;0,AF1072/H1072,1))),IF(R1072&gt;0,AG1072/R1072,0))/MAX(0.1,N(Parameter!$M$21)))</f>
        <v>0.0833333333333333</v>
      </c>
      <c r="AI1072" s="50" t="n">
        <f aca="false">AH1072*CB1072</f>
        <v>12.0833333333333</v>
      </c>
      <c r="AJ1072" s="51" t="n">
        <f aca="false">IF(LEFT(Cockpit!$C$5,1)="A",H1072,IF(CH1072=1,(CK1072+CI1072)/2,IF(LEFT(Cockpit!$C$5,1)="B",(CK1072+AL1072)/2,MAX((CK1072+AL1072)/2,H1072))))</f>
        <v>23</v>
      </c>
      <c r="AK1072" s="50" t="n">
        <f aca="false">AJ1072*G1072</f>
        <v>3864</v>
      </c>
      <c r="AL1072" s="50" t="n">
        <f aca="false">ROUNDUP(CK1072+MAX(CL1072,2*(J1072/IF(CG1072&gt;0,CG1072,MAX(0.1,N(Cockpit!$C$6)))-CK1072)),0)</f>
        <v>1</v>
      </c>
      <c r="AM1072" s="51" t="n">
        <f aca="false">IF(AI1072&gt;0,J1072/AI1072,-1)</f>
        <v>0.0827586206896552</v>
      </c>
      <c r="AN1072" s="51" t="n">
        <f aca="false">IF(AND(OR(CF1072="L1",CF1072="L23",CF1072="LIFT"),AI1072&gt;0),SUMIFS($AI$7:$AI$1843,$CF$7:$CF$1843,CF1072,$AM$7:$AM$1843,"&gt;"&amp;AM1072)+SUMIFS($AI$7:$AI$1843,$CF$7:$CF$1843,CF1072,$AM$7:$AM$1843,AM1072,$BW$7:$BW$1843,"&lt;="&amp;BW1072),"")</f>
        <v>16737.7740656236</v>
      </c>
      <c r="AO1072" s="58" t="n">
        <f aca="false">IF(AN1072="",0,MAX(0,MIN(1,(IF(CF1072="L1",Parameter!$H$5,IF(CF1072="L23",Parameter!$H$6+Parameter!$H$7,Parameter!$H$5+Parameter!$H$6+Parameter!$H$7))-(AN1072-AI1072))/AI1072)))</f>
        <v>1</v>
      </c>
      <c r="AP1072" s="50" t="n">
        <f aca="false">IF(LEFT(Cockpit!$I$5,1)="A",H1072,IF(Parameter!$E$30="MAX-Bestand",IF(CH1072=1,CI1072,IF(LEFT(Cockpit!$I$5,1)="B",AV1072,MAX(AV1072,H1072))),ROUNDUP(AT1072,0)))</f>
        <v>23</v>
      </c>
      <c r="AQ1072" s="50" t="n">
        <f aca="false">IF(BZ1072=1,0,ROUNDUP(AP1072/BY1072,0))</f>
        <v>1</v>
      </c>
      <c r="AR1072" s="52" t="n">
        <f aca="false">IF(CQ1072&gt;0,CQ1072*MAX(1,AP1072/X1072),IF(BZ1072=1,IF(AP1072&lt;=0,0,CD1072*MAX(1,IF(H1072&gt;0,AP1072/H1072,1))),IF(R1072&gt;0,AQ1072/R1072,0))/MAX(0.1,N(Parameter!$M$21)))</f>
        <v>0.0833333333333333</v>
      </c>
      <c r="AS1072" s="50" t="n">
        <f aca="false">AR1072*CB1072</f>
        <v>12.0833333333333</v>
      </c>
      <c r="AT1072" s="51" t="n">
        <f aca="false">IF(LEFT(Cockpit!$I$5,1)="A",H1072,IF(CH1072=1,(CK1072+CI1072)/2,IF(LEFT(Cockpit!$I$5,1)="B",(CK1072+AV1072)/2,MAX((CK1072+AV1072)/2,H1072))))</f>
        <v>23</v>
      </c>
      <c r="AU1072" s="50" t="n">
        <f aca="false">AT1072*G1072</f>
        <v>3864</v>
      </c>
      <c r="AV1072" s="50" t="n">
        <f aca="false">ROUNDUP(CK1072+MAX(CL1072,2*(J1072/IF(CG1072&gt;0,CG1072,MAX(0.1,N(Cockpit!$I$6)))-CK1072)),0)</f>
        <v>1</v>
      </c>
      <c r="AW1072" s="51" t="n">
        <f aca="false">IF(AS1072&gt;0,J1072/AS1072,-1)</f>
        <v>0.0827586206896552</v>
      </c>
      <c r="AX1072" s="51" t="n">
        <f aca="false">IF(AND(OR(CF1072="L1",CF1072="L23",CF1072="LIFT"),AS1072&gt;0),SUMIFS($AS$7:$AS$1843,$CF$7:$CF$1843,CF1072,$AW$7:$AW$1843,"&gt;"&amp;AW1072)+SUMIFS($AS$7:$AS$1843,$CF$7:$CF$1843,CF1072,$AW$7:$AW$1843,AW1072,$BW$7:$BW$1843,"&lt;="&amp;BW1072),"")</f>
        <v>21797.1727070011</v>
      </c>
      <c r="AY1072" s="58" t="n">
        <f aca="false">IF(AX1072="",0,MAX(0,MIN(1,(IF(CF1072="L1",Parameter!$H$5,IF(CF1072="L23",Parameter!$H$6+Parameter!$H$7,Parameter!$H$5+Parameter!$H$6+Parameter!$H$7))-(AX1072-AS1072))/AS1072)))</f>
        <v>1</v>
      </c>
      <c r="AZ1072" s="50" t="n">
        <f aca="false">IF(LEFT(Cockpit!$O$5,1)="A",H1072,IF(Parameter!$E$30="MAX-Bestand",IF(CH1072=1,CI1072,IF(LEFT(Cockpit!$O$5,1)="B",BF1072,MAX(BF1072,H1072))),ROUNDUP(BD1072,0)))</f>
        <v>1</v>
      </c>
      <c r="BA1072" s="50" t="n">
        <f aca="false">IF(BZ1072=1,0,ROUNDUP(AZ1072/BY1072,0))</f>
        <v>1</v>
      </c>
      <c r="BB1072" s="52" t="n">
        <f aca="false">IF(CQ1072&gt;0,CQ1072*MAX(1,AZ1072/X1072),IF(BZ1072=1,IF(AZ1072&lt;=0,0,CD1072*MAX(1,IF(H1072&gt;0,AZ1072/H1072,1))),IF(R1072&gt;0,BA1072/R1072,0))/MAX(0.1,N(Parameter!$M$21)))</f>
        <v>0.0833333333333333</v>
      </c>
      <c r="BC1072" s="50" t="n">
        <f aca="false">BB1072*CB1072</f>
        <v>12.0833333333333</v>
      </c>
      <c r="BD1072" s="51" t="n">
        <f aca="false">IF(LEFT(Cockpit!$O$5,1)="A",H1072,IF(CH1072=1,(CK1072+CI1072)/2,IF(LEFT(Cockpit!$O$5,1)="B",(CK1072+BF1072)/2,MAX((CK1072+BF1072)/2,H1072))))</f>
        <v>0.5</v>
      </c>
      <c r="BE1072" s="50" t="n">
        <f aca="false">BD1072*G1072</f>
        <v>84</v>
      </c>
      <c r="BF1072" s="50" t="n">
        <f aca="false">ROUNDUP(CK1072+MAX(CL1072,2*(J1072/IF(CG1072&gt;0,CG1072,MAX(0.1,N(Cockpit!$O$6)))-CK1072)),0)</f>
        <v>1</v>
      </c>
      <c r="BG1072" s="51" t="n">
        <f aca="false">IF(BC1072&gt;0,J1072/BC1072,-1)</f>
        <v>0.0827586206896552</v>
      </c>
      <c r="BH1072" s="51" t="n">
        <f aca="false">IF(AND(OR(CF1072="L1",CF1072="L23",CF1072="LIFT"),BC1072&gt;0),SUMIFS($BC$7:$BC$1843,$CF$7:$CF$1843,CF1072,$BG$7:$BG$1843,"&gt;"&amp;BG1072)+SUMIFS($BC$7:$BC$1843,$CF$7:$CF$1843,CF1072,$BG$7:$BG$1843,BG1072,$BW$7:$BW$1843,"&lt;="&amp;BW1072),"")</f>
        <v>18335.2289092734</v>
      </c>
      <c r="BI1072" s="58" t="n">
        <f aca="false">IF(BH1072="",0,MAX(0,MIN(1,(IF(CF1072="L1",Parameter!$H$5,IF(CF1072="L23",Parameter!$H$6+Parameter!$H$7,Parameter!$H$5+Parameter!$H$6+Parameter!$H$7))-(BH1072-BC1072))/BC1072)))</f>
        <v>1</v>
      </c>
      <c r="BJ1072" s="48" t="str">
        <f aca="false">IF(AI1072&lt;=0,"",IF(CF1072="Aussen","Aussenlager",IF(CF1072="-","Nicht im Lift",IF(AO1072&gt;=1,"Lift",IF(AO1072&lt;=0,"Aussenlager","teilweise")))))</f>
        <v>Lift</v>
      </c>
      <c r="BK1072" s="48" t="str">
        <f aca="false">IF(AS1072&lt;=0,"",IF(CF1072="Aussen","Aussenlager",IF(CF1072="-","Nicht im Lift",IF(AY1072&gt;=1,"Lift",IF(AY1072&lt;=0,"Aussenlager","teilweise")))))</f>
        <v>Lift</v>
      </c>
      <c r="BL1072" s="48" t="str">
        <f aca="false">IF(BC1072&lt;=0,"",IF(CF1072="Aussen","Aussenlager",IF(CF1072="-","Nicht im Lift",IF(BI1072&gt;=1,"Lift",IF(BI1072&lt;=0,"Aussenlager","teilweise")))))</f>
        <v>Lift</v>
      </c>
      <c r="BM1072" s="48" t="str">
        <f aca="false">IF(A1072="","",IF(BV1072=1,"Neu; ","")&amp;IF(AND(BV1072=0,BQ1072&lt;0),"negativer Bestand (Export "&amp;BQ1072&amp;"); ","")&amp;IF(J1072&lt;=0,"Kein Verbrauch; ","")&amp;IF(CQ1072&gt;0,"Lift "&amp;W1072&amp;" lt. Liftbericht (Fach "&amp;X1072&amp;" Stk); ",IF(CA1072=1,"Gebinde geschätzt ("&amp;T1072&amp;"); ",IF(BZ1072=1,"Lose – Tablare geschätzt; ","")))&amp;IF(H1072&gt;AV1072,"Überbestand "&amp;ROUND(H1072-AV1072,0)&amp;" Stk / CHF "&amp;ROUND((H1072-AV1072)*G1072,0)&amp;"; ","")&amp;IF(AND(CH1072=1,CI1072&lt;CJ1072),"MAX &lt; MB+LG; ","")&amp;IF(AND(CP1072&gt;0,CO1072*10&gt;CP1072),"zu hoch für Tablar; ","")&amp;IF(AND(BV1072=0,OR(CH1072=1,AA1072&lt;&gt;"",U1072&lt;&gt;"",V1072&lt;&gt;"",AB1072&lt;&gt;"")),"manuell übersteuert; ","")&amp;IF(AND(BZ1072=0,R1072=0),"Gebinde unbekannt / Stellmass fehlt; ","")&amp;IF(AND(BZ1072=0,N(V1072)&lt;=0,N(Q1072)&lt;=0),"Menge pro Gebinde fehlt (Ist = 1 Gebinde); ","")&amp;BU1072)</f>
        <v>negativer Bestand (Export -1); Gebinde geschätzt (Mittel); Überbestand 22 Stk / CHF 3696; Menge pro Gebinde fehlt (Ist = 1 Gebinde); Überbestand; grosser Artikel &amp; nicht im KTL</v>
      </c>
      <c r="BN1072" s="48"/>
      <c r="BO1072" s="48"/>
      <c r="BP1072" s="55"/>
      <c r="BQ1072" s="50" t="n">
        <v>-1</v>
      </c>
      <c r="BR1072" s="50" t="n">
        <v>24</v>
      </c>
      <c r="BS1072" s="49" t="n">
        <v>-168</v>
      </c>
      <c r="BT1072" s="50" t="n">
        <v>1</v>
      </c>
      <c r="BU1072" s="48" t="s">
        <v>368</v>
      </c>
      <c r="BV1072" s="53" t="n">
        <v>0</v>
      </c>
      <c r="BW1072" s="53" t="n">
        <v>1072</v>
      </c>
      <c r="BX1072" s="48" t="str">
        <f aca="false">IF(U1072&lt;&gt;"",UPPER(TRIM(U1072)),IF(CA1072=1,UPPER(VLOOKUP(T1072,Parameter!$I$27:$K$29,2,0)),IF(P1072="","LOSE",P1072)))</f>
        <v>S61</v>
      </c>
      <c r="BY1072" s="50" t="n">
        <f aca="false">IF(BX1072="LOSE",1,IF(N(V1072)&gt;0,V1072,IF(CA1072=1,MAX(1,N(VLOOKUP(T1072,Parameter!$I$27:$K$29,3,0)),H1072,N(N1072)),IF(N(Q1072)&gt;0,Q1072,MAX(1,H1072)))))</f>
        <v>23</v>
      </c>
      <c r="BZ1072" s="53" t="n">
        <f aca="false">IF(BX1072="LOSE",1,0)</f>
        <v>0</v>
      </c>
      <c r="CA1072" s="53" t="n">
        <f aca="false">IF(AND(U1072="",OR(P1072="",P1072="LOSE"),T1072&lt;&gt;"",N(S1072)&lt;=0,ISNUMBER(MATCH(T1072,Parameter!$I$27:$I$29,0))),1,0)</f>
        <v>1</v>
      </c>
      <c r="CB1072" s="53" t="n">
        <f aca="false">IF(CQ1072&gt;0,INDEX(Parameter!$H$5:$H$7,W1072)/INDEX(Parameter!$E$5:$E$7,W1072),IF(AND(BZ1072=0,N(IFERROR(VLOOKUP(BX1072,'Gebinde-Kategorie'!$A$5:$N$45,14,0),0))&gt;0),VLOOKUP(BX1072,'Gebinde-Kategorie'!$A$5:$N$45,14,0)*10+Parameter!$M$23,Parameter!$M$24))</f>
        <v>145</v>
      </c>
      <c r="CC1072" s="48" t="str">
        <f aca="false">IF(AND(Parameter!$B$19="Ja",E1072&lt;&gt;"",ISNUMBER(MATCH(E1072,Parameter!$I$35:$I$52,0))),VLOOKUP(E1072,Parameter!$I$35:$J$52,2,0),IFERROR(VLOOKUP(D1072,Parameter!$A$35:$C$64,2,0),"Nein"))</f>
        <v>2+3</v>
      </c>
      <c r="CD1072" s="52" t="n">
        <f aca="false">IF(BZ1072=0,0,IF(N(S1072)&gt;0,S1072,IFERROR(VLOOKUP(D1072,Parameter!$A$35:$C$64,3,0)+0,0)))</f>
        <v>0</v>
      </c>
      <c r="CE1072" s="48" t="n">
        <f aca="false">IF(AA1072&lt;&gt;"",AA1072,Z1072)</f>
        <v>2</v>
      </c>
      <c r="CF1072" s="48" t="str">
        <f aca="false">IF(OR(CE1072=1,CE1072=2,CE1072=3),IF(Parameter!$E$27="Ja","LIFT",IF(CE1072=1,"L1","L23")),IF(CE1072="Aussen","Aussen","-"))</f>
        <v>LIFT</v>
      </c>
      <c r="CG1072" s="59" t="n">
        <f aca="false">IF(N(AB1072)&gt;0,AB1072,0)</f>
        <v>0</v>
      </c>
      <c r="CH1072" s="53" t="n">
        <f aca="false">IF(ISNUMBER(AE1072),1,0)</f>
        <v>0</v>
      </c>
      <c r="CI1072" s="50" t="n">
        <f aca="false">N(AE1072)</f>
        <v>0</v>
      </c>
      <c r="CJ1072" s="50" t="n">
        <f aca="false">N(M1072)+N(N1072)</f>
        <v>1</v>
      </c>
      <c r="CK1072" s="50" t="n">
        <f aca="false">N(M1072)</f>
        <v>0</v>
      </c>
      <c r="CL1072" s="50" t="n">
        <f aca="false">N(N1072)</f>
        <v>1</v>
      </c>
      <c r="CM1072" s="50" t="n">
        <f aca="false">ROUNDUP(H1072/BY1072,0)</f>
        <v>1</v>
      </c>
      <c r="CN1072" s="50" t="n">
        <f aca="false">ROUNDUP(CI1072/BY1072,0)</f>
        <v>0</v>
      </c>
      <c r="CO1072" s="53" t="n">
        <f aca="false">IF(BZ1072=1,0,IFERROR(VLOOKUP(BX1072,'Gebinde-Kategorie'!$A$5:$N$45,5,0)+0,0))</f>
        <v>11</v>
      </c>
      <c r="CP1072" s="53" t="n">
        <f aca="false">IFERROR(IF(OR(CE1072=1,CE1072=2,CE1072=3),N(INDEX(Parameter!$I$5:$I$7,CE1072)),0),0)</f>
        <v>0</v>
      </c>
      <c r="CQ1072" s="52" t="n">
        <f aca="false">IF(AND(Parameter!$B$21="Ja",ISNUMBER(W1072),N(X1072)&gt;0),IFERROR(N(INDEX(Parameter!$L$5:$L$7,W1072))*INDEX(Parameter!$E$5:$E$7,W1072)*X1072/SUMIFS($X$7:$X$1843,$W$7:$W$1843,W1072),0),0)</f>
        <v>0</v>
      </c>
    </row>
    <row r="1073" customFormat="false" ht="15" hidden="false" customHeight="false" outlineLevel="0" collapsed="false">
      <c r="A1073" s="48" t="s">
        <v>1969</v>
      </c>
      <c r="B1073" s="48" t="s">
        <v>381</v>
      </c>
      <c r="C1073" s="48" t="s">
        <v>173</v>
      </c>
      <c r="D1073" s="48" t="s">
        <v>182</v>
      </c>
      <c r="E1073" s="48" t="s">
        <v>194</v>
      </c>
      <c r="F1073" s="48" t="s">
        <v>227</v>
      </c>
      <c r="G1073" s="49" t="n">
        <v>168</v>
      </c>
      <c r="H1073" s="50" t="n">
        <f aca="false">MAX(0,IF(AND(Parameter!$B$21="Ja",ISNUMBER(Y1073)),Y1073,IF(Parameter!$B$20="Jahresanfang 2025 + Export",BR1073+BQ1073,BQ1073)))</f>
        <v>11</v>
      </c>
      <c r="I1073" s="50" t="n">
        <f aca="false">H1073*G1073</f>
        <v>1848</v>
      </c>
      <c r="J1073" s="50" t="n">
        <f aca="false">BT1073*Parameter!$B$18</f>
        <v>1</v>
      </c>
      <c r="K1073" s="51" t="n">
        <v>11.5</v>
      </c>
      <c r="L1073" s="52" t="n">
        <v>0.0869565217391304</v>
      </c>
      <c r="M1073" s="50" t="n">
        <v>0</v>
      </c>
      <c r="N1073" s="50" t="n">
        <v>1</v>
      </c>
      <c r="O1073" s="53" t="n">
        <v>84</v>
      </c>
      <c r="P1073" s="48" t="s">
        <v>183</v>
      </c>
      <c r="Q1073" s="50" t="n">
        <v>15</v>
      </c>
      <c r="R1073" s="53" t="n">
        <f aca="false">IF(BZ1073=1,0,IFERROR(VLOOKUP(BX1073,'Gebinde-Kategorie'!$A$5:$N$45,13,0)+0,0))</f>
        <v>6</v>
      </c>
      <c r="S1073" s="54"/>
      <c r="T1073" s="55"/>
      <c r="U1073" s="55"/>
      <c r="V1073" s="55"/>
      <c r="W1073" s="48"/>
      <c r="X1073" s="50"/>
      <c r="Y1073" s="50"/>
      <c r="Z1073" s="48" t="n">
        <f aca="false">IF(A1073="","",IF(AND(Parameter!$B$21="Ja",ISNUMBER(W1073)),W1073,IF(CC1073="2+3",IF(ISNUMBER(SEARCH("grosser Artikel",BU1073)),2,IFERROR(VLOOKUP(BX1073,Parameter!$F$35:$G$64,2,0),2)),IF(OR(CC1073="Nein",CC1073=""),"-",CC1073))))</f>
        <v>2</v>
      </c>
      <c r="AA1073" s="55"/>
      <c r="AB1073" s="56"/>
      <c r="AC1073" s="50" t="n">
        <f aca="false">AV1073</f>
        <v>1</v>
      </c>
      <c r="AD1073" s="50" t="n">
        <f aca="false">MAX(AV1073,H1073)</f>
        <v>11</v>
      </c>
      <c r="AE1073" s="57"/>
      <c r="AF1073" s="50" t="n">
        <f aca="false">IF(LEFT(Cockpit!$C$5,1)="A",H1073,IF(Parameter!$E$30="MAX-Bestand",IF(CH1073=1,CI1073,IF(LEFT(Cockpit!$C$5,1)="B",AL1073,MAX(AL1073,H1073))),ROUNDUP(AJ1073,0)))</f>
        <v>11</v>
      </c>
      <c r="AG1073" s="50" t="n">
        <f aca="false">IF(BZ1073=1,0,ROUNDUP(AF1073/BY1073,0))</f>
        <v>1</v>
      </c>
      <c r="AH1073" s="52" t="n">
        <f aca="false">IF(CQ1073&gt;0,CQ1073*MAX(1,AF1073/X1073),IF(BZ1073=1,IF(AF1073&lt;=0,0,CD1073*MAX(1,IF(H1073&gt;0,AF1073/H1073,1))),IF(R1073&gt;0,AG1073/R1073,0))/MAX(0.1,N(Parameter!$M$21)))</f>
        <v>0.166666666666667</v>
      </c>
      <c r="AI1073" s="50" t="n">
        <f aca="false">AH1073*CB1073</f>
        <v>39.1666666666667</v>
      </c>
      <c r="AJ1073" s="51" t="n">
        <f aca="false">IF(LEFT(Cockpit!$C$5,1)="A",H1073,IF(CH1073=1,(CK1073+CI1073)/2,IF(LEFT(Cockpit!$C$5,1)="B",(CK1073+AL1073)/2,MAX((CK1073+AL1073)/2,H1073))))</f>
        <v>11</v>
      </c>
      <c r="AK1073" s="50" t="n">
        <f aca="false">AJ1073*G1073</f>
        <v>1848</v>
      </c>
      <c r="AL1073" s="50" t="n">
        <f aca="false">ROUNDUP(CK1073+MAX(CL1073,2*(J1073/IF(CG1073&gt;0,CG1073,MAX(0.1,N(Cockpit!$C$6)))-CK1073)),0)</f>
        <v>1</v>
      </c>
      <c r="AM1073" s="51" t="n">
        <f aca="false">IF(AI1073&gt;0,J1073/AI1073,-1)</f>
        <v>0.025531914893617</v>
      </c>
      <c r="AN1073" s="51" t="n">
        <f aca="false">IF(AND(OR(CF1073="L1",CF1073="L23",CF1073="LIFT"),AI1073&gt;0),SUMIFS($AI$7:$AI$1843,$CF$7:$CF$1843,CF1073,$AM$7:$AM$1843,"&gt;"&amp;AM1073)+SUMIFS($AI$7:$AI$1843,$CF$7:$CF$1843,CF1073,$AM$7:$AM$1843,AM1073,$BW$7:$BW$1843,"&lt;="&amp;BW1073),"")</f>
        <v>21768.7770715631</v>
      </c>
      <c r="AO1073" s="58" t="n">
        <f aca="false">IF(AN1073="",0,MAX(0,MIN(1,(IF(CF1073="L1",Parameter!$H$5,IF(CF1073="L23",Parameter!$H$6+Parameter!$H$7,Parameter!$H$5+Parameter!$H$6+Parameter!$H$7))-(AN1073-AI1073))/AI1073)))</f>
        <v>1</v>
      </c>
      <c r="AP1073" s="50" t="n">
        <f aca="false">IF(LEFT(Cockpit!$I$5,1)="A",H1073,IF(Parameter!$E$30="MAX-Bestand",IF(CH1073=1,CI1073,IF(LEFT(Cockpit!$I$5,1)="B",AV1073,MAX(AV1073,H1073))),ROUNDUP(AT1073,0)))</f>
        <v>11</v>
      </c>
      <c r="AQ1073" s="50" t="n">
        <f aca="false">IF(BZ1073=1,0,ROUNDUP(AP1073/BY1073,0))</f>
        <v>1</v>
      </c>
      <c r="AR1073" s="52" t="n">
        <f aca="false">IF(CQ1073&gt;0,CQ1073*MAX(1,AP1073/X1073),IF(BZ1073=1,IF(AP1073&lt;=0,0,CD1073*MAX(1,IF(H1073&gt;0,AP1073/H1073,1))),IF(R1073&gt;0,AQ1073/R1073,0))/MAX(0.1,N(Parameter!$M$21)))</f>
        <v>0.166666666666667</v>
      </c>
      <c r="AS1073" s="50" t="n">
        <f aca="false">AR1073*CB1073</f>
        <v>39.1666666666667</v>
      </c>
      <c r="AT1073" s="51" t="n">
        <f aca="false">IF(LEFT(Cockpit!$I$5,1)="A",H1073,IF(CH1073=1,(CK1073+CI1073)/2,IF(LEFT(Cockpit!$I$5,1)="B",(CK1073+AV1073)/2,MAX((CK1073+AV1073)/2,H1073))))</f>
        <v>11</v>
      </c>
      <c r="AU1073" s="50" t="n">
        <f aca="false">AT1073*G1073</f>
        <v>1848</v>
      </c>
      <c r="AV1073" s="50" t="n">
        <f aca="false">ROUNDUP(CK1073+MAX(CL1073,2*(J1073/IF(CG1073&gt;0,CG1073,MAX(0.1,N(Cockpit!$I$6)))-CK1073)),0)</f>
        <v>1</v>
      </c>
      <c r="AW1073" s="51" t="n">
        <f aca="false">IF(AS1073&gt;0,J1073/AS1073,-1)</f>
        <v>0.025531914893617</v>
      </c>
      <c r="AX1073" s="51" t="n">
        <f aca="false">IF(AND(OR(CF1073="L1",CF1073="L23",CF1073="LIFT"),AS1073&gt;0),SUMIFS($AS$7:$AS$1843,$CF$7:$CF$1843,CF1073,$AW$7:$AW$1843,"&gt;"&amp;AW1073)+SUMIFS($AS$7:$AS$1843,$CF$7:$CF$1843,CF1073,$AW$7:$AW$1843,AW1073,$BW$7:$BW$1843,"&lt;="&amp;BW1073),"")</f>
        <v>26886.9257129405</v>
      </c>
      <c r="AY1073" s="58" t="n">
        <f aca="false">IF(AX1073="",0,MAX(0,MIN(1,(IF(CF1073="L1",Parameter!$H$5,IF(CF1073="L23",Parameter!$H$6+Parameter!$H$7,Parameter!$H$5+Parameter!$H$6+Parameter!$H$7))-(AX1073-AS1073))/AS1073)))</f>
        <v>1</v>
      </c>
      <c r="AZ1073" s="50" t="n">
        <f aca="false">IF(LEFT(Cockpit!$O$5,1)="A",H1073,IF(Parameter!$E$30="MAX-Bestand",IF(CH1073=1,CI1073,IF(LEFT(Cockpit!$O$5,1)="B",BF1073,MAX(BF1073,H1073))),ROUNDUP(BD1073,0)))</f>
        <v>1</v>
      </c>
      <c r="BA1073" s="50" t="n">
        <f aca="false">IF(BZ1073=1,0,ROUNDUP(AZ1073/BY1073,0))</f>
        <v>1</v>
      </c>
      <c r="BB1073" s="52" t="n">
        <f aca="false">IF(CQ1073&gt;0,CQ1073*MAX(1,AZ1073/X1073),IF(BZ1073=1,IF(AZ1073&lt;=0,0,CD1073*MAX(1,IF(H1073&gt;0,AZ1073/H1073,1))),IF(R1073&gt;0,BA1073/R1073,0))/MAX(0.1,N(Parameter!$M$21)))</f>
        <v>0.166666666666667</v>
      </c>
      <c r="BC1073" s="50" t="n">
        <f aca="false">BB1073*CB1073</f>
        <v>39.1666666666667</v>
      </c>
      <c r="BD1073" s="51" t="n">
        <f aca="false">IF(LEFT(Cockpit!$O$5,1)="A",H1073,IF(CH1073=1,(CK1073+CI1073)/2,IF(LEFT(Cockpit!$O$5,1)="B",(CK1073+BF1073)/2,MAX((CK1073+BF1073)/2,H1073))))</f>
        <v>0.5</v>
      </c>
      <c r="BE1073" s="50" t="n">
        <f aca="false">BD1073*G1073</f>
        <v>84</v>
      </c>
      <c r="BF1073" s="50" t="n">
        <f aca="false">ROUNDUP(CK1073+MAX(CL1073,2*(J1073/IF(CG1073&gt;0,CG1073,MAX(0.1,N(Cockpit!$O$6)))-CK1073)),0)</f>
        <v>1</v>
      </c>
      <c r="BG1073" s="51" t="n">
        <f aca="false">IF(BC1073&gt;0,J1073/BC1073,-1)</f>
        <v>0.025531914893617</v>
      </c>
      <c r="BH1073" s="51" t="n">
        <f aca="false">IF(AND(OR(CF1073="L1",CF1073="L23",CF1073="LIFT"),BC1073&gt;0),SUMIFS($BC$7:$BC$1843,$CF$7:$CF$1843,CF1073,$BG$7:$BG$1843,"&gt;"&amp;BG1073)+SUMIFS($BC$7:$BC$1843,$CF$7:$CF$1843,CF1073,$BG$7:$BG$1843,BG1073,$BW$7:$BW$1843,"&lt;="&amp;BW1073),"")</f>
        <v>22589.5331972641</v>
      </c>
      <c r="BI1073" s="58" t="n">
        <f aca="false">IF(BH1073="",0,MAX(0,MIN(1,(IF(CF1073="L1",Parameter!$H$5,IF(CF1073="L23",Parameter!$H$6+Parameter!$H$7,Parameter!$H$5+Parameter!$H$6+Parameter!$H$7))-(BH1073-BC1073))/BC1073)))</f>
        <v>1</v>
      </c>
      <c r="BJ1073" s="48" t="str">
        <f aca="false">IF(AI1073&lt;=0,"",IF(CF1073="Aussen","Aussenlager",IF(CF1073="-","Nicht im Lift",IF(AO1073&gt;=1,"Lift",IF(AO1073&lt;=0,"Aussenlager","teilweise")))))</f>
        <v>Lift</v>
      </c>
      <c r="BK1073" s="48" t="str">
        <f aca="false">IF(AS1073&lt;=0,"",IF(CF1073="Aussen","Aussenlager",IF(CF1073="-","Nicht im Lift",IF(AY1073&gt;=1,"Lift",IF(AY1073&lt;=0,"Aussenlager","teilweise")))))</f>
        <v>Lift</v>
      </c>
      <c r="BL1073" s="48" t="str">
        <f aca="false">IF(BC1073&lt;=0,"",IF(CF1073="Aussen","Aussenlager",IF(CF1073="-","Nicht im Lift",IF(BI1073&gt;=1,"Lift",IF(BI1073&lt;=0,"Aussenlager","teilweise")))))</f>
        <v>Lift</v>
      </c>
      <c r="BM1073" s="48" t="str">
        <f aca="false">IF(A1073="","",IF(BV1073=1,"Neu; ","")&amp;IF(AND(BV1073=0,BQ1073&lt;0),"negativer Bestand (Export "&amp;BQ1073&amp;"); ","")&amp;IF(J1073&lt;=0,"Kein Verbrauch; ","")&amp;IF(CQ1073&gt;0,"Lift "&amp;W1073&amp;" lt. Liftbericht (Fach "&amp;X1073&amp;" Stk); ",IF(CA1073=1,"Gebinde geschätzt ("&amp;T1073&amp;"); ",IF(BZ1073=1,"Lose – Tablare geschätzt; ","")))&amp;IF(H1073&gt;AV1073,"Überbestand "&amp;ROUND(H1073-AV1073,0)&amp;" Stk / CHF "&amp;ROUND((H1073-AV1073)*G1073,0)&amp;"; ","")&amp;IF(AND(CH1073=1,CI1073&lt;CJ1073),"MAX &lt; MB+LG; ","")&amp;IF(AND(CP1073&gt;0,CO1073*10&gt;CP1073),"zu hoch für Tablar; ","")&amp;IF(AND(BV1073=0,OR(CH1073=1,AA1073&lt;&gt;"",U1073&lt;&gt;"",V1073&lt;&gt;"",AB1073&lt;&gt;"")),"manuell übersteuert; ","")&amp;IF(AND(BZ1073=0,R1073=0),"Gebinde unbekannt / Stellmass fehlt; ","")&amp;IF(AND(BZ1073=0,N(V1073)&lt;=0,N(Q1073)&lt;=0),"Menge pro Gebinde fehlt (Ist = 1 Gebinde); ","")&amp;BU1073)</f>
        <v>negativer Bestand (Export -1); Überbestand 10 Stk / CHF 1680; grosser Artikel &amp; nicht im KTL</v>
      </c>
      <c r="BN1073" s="48"/>
      <c r="BO1073" s="48"/>
      <c r="BP1073" s="55"/>
      <c r="BQ1073" s="50" t="n">
        <v>-1</v>
      </c>
      <c r="BR1073" s="50" t="n">
        <v>12</v>
      </c>
      <c r="BS1073" s="49" t="n">
        <v>-168</v>
      </c>
      <c r="BT1073" s="50" t="n">
        <v>1</v>
      </c>
      <c r="BU1073" s="48" t="s">
        <v>270</v>
      </c>
      <c r="BV1073" s="53" t="n">
        <v>0</v>
      </c>
      <c r="BW1073" s="53" t="n">
        <v>1073</v>
      </c>
      <c r="BX1073" s="48" t="str">
        <f aca="false">IF(U1073&lt;&gt;"",UPPER(TRIM(U1073)),IF(CA1073=1,UPPER(VLOOKUP(T1073,Parameter!$I$27:$K$29,2,0)),IF(P1073="","LOSE",P1073)))</f>
        <v>S71</v>
      </c>
      <c r="BY1073" s="50" t="n">
        <f aca="false">IF(BX1073="LOSE",1,IF(N(V1073)&gt;0,V1073,IF(CA1073=1,MAX(1,N(VLOOKUP(T1073,Parameter!$I$27:$K$29,3,0)),H1073,N(N1073)),IF(N(Q1073)&gt;0,Q1073,MAX(1,H1073)))))</f>
        <v>15</v>
      </c>
      <c r="BZ1073" s="53" t="n">
        <f aca="false">IF(BX1073="LOSE",1,0)</f>
        <v>0</v>
      </c>
      <c r="CA1073" s="53" t="n">
        <f aca="false">IF(AND(U1073="",OR(P1073="",P1073="LOSE"),T1073&lt;&gt;"",N(S1073)&lt;=0,ISNUMBER(MATCH(T1073,Parameter!$I$27:$I$29,0))),1,0)</f>
        <v>0</v>
      </c>
      <c r="CB1073" s="53" t="n">
        <f aca="false">IF(CQ1073&gt;0,INDEX(Parameter!$H$5:$H$7,W1073)/INDEX(Parameter!$E$5:$E$7,W1073),IF(AND(BZ1073=0,N(IFERROR(VLOOKUP(BX1073,'Gebinde-Kategorie'!$A$5:$N$45,14,0),0))&gt;0),VLOOKUP(BX1073,'Gebinde-Kategorie'!$A$5:$N$45,14,0)*10+Parameter!$M$23,Parameter!$M$24))</f>
        <v>235</v>
      </c>
      <c r="CC1073" s="48" t="str">
        <f aca="false">IF(AND(Parameter!$B$19="Ja",E1073&lt;&gt;"",ISNUMBER(MATCH(E1073,Parameter!$I$35:$I$52,0))),VLOOKUP(E1073,Parameter!$I$35:$J$52,2,0),IFERROR(VLOOKUP(D1073,Parameter!$A$35:$C$64,2,0),"Nein"))</f>
        <v>2+3</v>
      </c>
      <c r="CD1073" s="52" t="n">
        <f aca="false">IF(BZ1073=0,0,IF(N(S1073)&gt;0,S1073,IFERROR(VLOOKUP(D1073,Parameter!$A$35:$C$64,3,0)+0,0)))</f>
        <v>0</v>
      </c>
      <c r="CE1073" s="48" t="n">
        <f aca="false">IF(AA1073&lt;&gt;"",AA1073,Z1073)</f>
        <v>2</v>
      </c>
      <c r="CF1073" s="48" t="str">
        <f aca="false">IF(OR(CE1073=1,CE1073=2,CE1073=3),IF(Parameter!$E$27="Ja","LIFT",IF(CE1073=1,"L1","L23")),IF(CE1073="Aussen","Aussen","-"))</f>
        <v>LIFT</v>
      </c>
      <c r="CG1073" s="59" t="n">
        <f aca="false">IF(N(AB1073)&gt;0,AB1073,0)</f>
        <v>0</v>
      </c>
      <c r="CH1073" s="53" t="n">
        <f aca="false">IF(ISNUMBER(AE1073),1,0)</f>
        <v>0</v>
      </c>
      <c r="CI1073" s="50" t="n">
        <f aca="false">N(AE1073)</f>
        <v>0</v>
      </c>
      <c r="CJ1073" s="50" t="n">
        <f aca="false">N(M1073)+N(N1073)</f>
        <v>1</v>
      </c>
      <c r="CK1073" s="50" t="n">
        <f aca="false">N(M1073)</f>
        <v>0</v>
      </c>
      <c r="CL1073" s="50" t="n">
        <f aca="false">N(N1073)</f>
        <v>1</v>
      </c>
      <c r="CM1073" s="50" t="n">
        <f aca="false">ROUNDUP(H1073/BY1073,0)</f>
        <v>1</v>
      </c>
      <c r="CN1073" s="50" t="n">
        <f aca="false">ROUNDUP(CI1073/BY1073,0)</f>
        <v>0</v>
      </c>
      <c r="CO1073" s="53" t="n">
        <f aca="false">IF(BZ1073=1,0,IFERROR(VLOOKUP(BX1073,'Gebinde-Kategorie'!$A$5:$N$45,5,0)+0,0))</f>
        <v>20</v>
      </c>
      <c r="CP1073" s="53" t="n">
        <f aca="false">IFERROR(IF(OR(CE1073=1,CE1073=2,CE1073=3),N(INDEX(Parameter!$I$5:$I$7,CE1073)),0),0)</f>
        <v>0</v>
      </c>
      <c r="CQ1073" s="52" t="n">
        <f aca="false">IF(AND(Parameter!$B$21="Ja",ISNUMBER(W1073),N(X1073)&gt;0),IFERROR(N(INDEX(Parameter!$L$5:$L$7,W1073))*INDEX(Parameter!$E$5:$E$7,W1073)*X1073/SUMIFS($X$7:$X$1843,$W$7:$W$1843,W1073),0),0)</f>
        <v>0</v>
      </c>
    </row>
    <row r="1074" customFormat="false" ht="15" hidden="false" customHeight="false" outlineLevel="0" collapsed="false">
      <c r="A1074" s="48" t="s">
        <v>1970</v>
      </c>
      <c r="B1074" s="48" t="s">
        <v>356</v>
      </c>
      <c r="C1074" s="48" t="s">
        <v>173</v>
      </c>
      <c r="D1074" s="48" t="s">
        <v>182</v>
      </c>
      <c r="E1074" s="48" t="s">
        <v>182</v>
      </c>
      <c r="F1074" s="48" t="s">
        <v>227</v>
      </c>
      <c r="G1074" s="49" t="n">
        <v>43.8</v>
      </c>
      <c r="H1074" s="50" t="n">
        <f aca="false">MAX(0,IF(AND(Parameter!$B$21="Ja",ISNUMBER(Y1074)),Y1074,IF(Parameter!$B$20="Jahresanfang 2025 + Export",BR1074+BQ1074,BQ1074)))</f>
        <v>28</v>
      </c>
      <c r="I1074" s="50" t="n">
        <f aca="false">H1074*G1074</f>
        <v>1226.4</v>
      </c>
      <c r="J1074" s="50" t="n">
        <f aca="false">BT1074*Parameter!$B$18</f>
        <v>4</v>
      </c>
      <c r="K1074" s="51" t="n">
        <v>30</v>
      </c>
      <c r="L1074" s="52" t="n">
        <v>0.133333333333333</v>
      </c>
      <c r="M1074" s="50" t="n">
        <v>0</v>
      </c>
      <c r="N1074" s="50" t="n">
        <v>5</v>
      </c>
      <c r="O1074" s="53" t="n">
        <v>70</v>
      </c>
      <c r="P1074" s="48" t="s">
        <v>235</v>
      </c>
      <c r="Q1074" s="50" t="n">
        <v>30</v>
      </c>
      <c r="R1074" s="53" t="n">
        <f aca="false">IF(BZ1074=1,0,IFERROR(VLOOKUP(BX1074,'Gebinde-Kategorie'!$A$5:$N$45,13,0)+0,0))</f>
        <v>12</v>
      </c>
      <c r="S1074" s="54"/>
      <c r="T1074" s="55"/>
      <c r="U1074" s="55"/>
      <c r="V1074" s="55"/>
      <c r="W1074" s="48"/>
      <c r="X1074" s="50"/>
      <c r="Y1074" s="50"/>
      <c r="Z1074" s="48" t="str">
        <f aca="false">IF(A1074="","",IF(AND(Parameter!$B$21="Ja",ISNUMBER(W1074)),W1074,IF(CC1074="2+3",IF(ISNUMBER(SEARCH("grosser Artikel",BU1074)),2,IFERROR(VLOOKUP(BX1074,Parameter!$F$35:$G$64,2,0),2)),IF(OR(CC1074="Nein",CC1074=""),"-",CC1074))))</f>
        <v>-</v>
      </c>
      <c r="AA1074" s="55"/>
      <c r="AB1074" s="56"/>
      <c r="AC1074" s="50" t="n">
        <f aca="false">AV1074</f>
        <v>5</v>
      </c>
      <c r="AD1074" s="50" t="n">
        <f aca="false">MAX(AV1074,H1074)</f>
        <v>28</v>
      </c>
      <c r="AE1074" s="57"/>
      <c r="AF1074" s="50" t="n">
        <f aca="false">IF(LEFT(Cockpit!$C$5,1)="A",H1074,IF(Parameter!$E$30="MAX-Bestand",IF(CH1074=1,CI1074,IF(LEFT(Cockpit!$C$5,1)="B",AL1074,MAX(AL1074,H1074))),ROUNDUP(AJ1074,0)))</f>
        <v>28</v>
      </c>
      <c r="AG1074" s="50" t="n">
        <f aca="false">IF(BZ1074=1,0,ROUNDUP(AF1074/BY1074,0))</f>
        <v>1</v>
      </c>
      <c r="AH1074" s="52" t="n">
        <f aca="false">IF(CQ1074&gt;0,CQ1074*MAX(1,AF1074/X1074),IF(BZ1074=1,IF(AF1074&lt;=0,0,CD1074*MAX(1,IF(H1074&gt;0,AF1074/H1074,1))),IF(R1074&gt;0,AG1074/R1074,0))/MAX(0.1,N(Parameter!$M$21)))</f>
        <v>0.0833333333333333</v>
      </c>
      <c r="AI1074" s="50" t="n">
        <f aca="false">AH1074*CB1074</f>
        <v>28.75</v>
      </c>
      <c r="AJ1074" s="51" t="n">
        <f aca="false">IF(LEFT(Cockpit!$C$5,1)="A",H1074,IF(CH1074=1,(CK1074+CI1074)/2,IF(LEFT(Cockpit!$C$5,1)="B",(CK1074+AL1074)/2,MAX((CK1074+AL1074)/2,H1074))))</f>
        <v>28</v>
      </c>
      <c r="AK1074" s="50" t="n">
        <f aca="false">AJ1074*G1074</f>
        <v>1226.4</v>
      </c>
      <c r="AL1074" s="50" t="n">
        <f aca="false">ROUNDUP(CK1074+MAX(CL1074,2*(J1074/IF(CG1074&gt;0,CG1074,MAX(0.1,N(Cockpit!$C$6)))-CK1074)),0)</f>
        <v>5</v>
      </c>
      <c r="AM1074" s="51" t="n">
        <f aca="false">IF(AI1074&gt;0,J1074/AI1074,-1)</f>
        <v>0.139130434782609</v>
      </c>
      <c r="AN1074" s="51" t="str">
        <f aca="false">IF(AND(OR(CF1074="L1",CF1074="L23",CF1074="LIFT"),AI1074&gt;0),SUMIFS($AI$7:$AI$1843,$CF$7:$CF$1843,CF1074,$AM$7:$AM$1843,"&gt;"&amp;AM1074)+SUMIFS($AI$7:$AI$1843,$CF$7:$CF$1843,CF1074,$AM$7:$AM$1843,AM1074,$BW$7:$BW$1843,"&lt;="&amp;BW1074),"")</f>
        <v/>
      </c>
      <c r="AO1074" s="58" t="n">
        <f aca="false">IF(AN1074="",0,MAX(0,MIN(1,(IF(CF1074="L1",Parameter!$H$5,IF(CF1074="L23",Parameter!$H$6+Parameter!$H$7,Parameter!$H$5+Parameter!$H$6+Parameter!$H$7))-(AN1074-AI1074))/AI1074)))</f>
        <v>0</v>
      </c>
      <c r="AP1074" s="50" t="n">
        <f aca="false">IF(LEFT(Cockpit!$I$5,1)="A",H1074,IF(Parameter!$E$30="MAX-Bestand",IF(CH1074=1,CI1074,IF(LEFT(Cockpit!$I$5,1)="B",AV1074,MAX(AV1074,H1074))),ROUNDUP(AT1074,0)))</f>
        <v>28</v>
      </c>
      <c r="AQ1074" s="50" t="n">
        <f aca="false">IF(BZ1074=1,0,ROUNDUP(AP1074/BY1074,0))</f>
        <v>1</v>
      </c>
      <c r="AR1074" s="52" t="n">
        <f aca="false">IF(CQ1074&gt;0,CQ1074*MAX(1,AP1074/X1074),IF(BZ1074=1,IF(AP1074&lt;=0,0,CD1074*MAX(1,IF(H1074&gt;0,AP1074/H1074,1))),IF(R1074&gt;0,AQ1074/R1074,0))/MAX(0.1,N(Parameter!$M$21)))</f>
        <v>0.0833333333333333</v>
      </c>
      <c r="AS1074" s="50" t="n">
        <f aca="false">AR1074*CB1074</f>
        <v>28.75</v>
      </c>
      <c r="AT1074" s="51" t="n">
        <f aca="false">IF(LEFT(Cockpit!$I$5,1)="A",H1074,IF(CH1074=1,(CK1074+CI1074)/2,IF(LEFT(Cockpit!$I$5,1)="B",(CK1074+AV1074)/2,MAX((CK1074+AV1074)/2,H1074))))</f>
        <v>28</v>
      </c>
      <c r="AU1074" s="50" t="n">
        <f aca="false">AT1074*G1074</f>
        <v>1226.4</v>
      </c>
      <c r="AV1074" s="50" t="n">
        <f aca="false">ROUNDUP(CK1074+MAX(CL1074,2*(J1074/IF(CG1074&gt;0,CG1074,MAX(0.1,N(Cockpit!$I$6)))-CK1074)),0)</f>
        <v>5</v>
      </c>
      <c r="AW1074" s="51" t="n">
        <f aca="false">IF(AS1074&gt;0,J1074/AS1074,-1)</f>
        <v>0.139130434782609</v>
      </c>
      <c r="AX1074" s="51" t="str">
        <f aca="false">IF(AND(OR(CF1074="L1",CF1074="L23",CF1074="LIFT"),AS1074&gt;0),SUMIFS($AS$7:$AS$1843,$CF$7:$CF$1843,CF1074,$AW$7:$AW$1843,"&gt;"&amp;AW1074)+SUMIFS($AS$7:$AS$1843,$CF$7:$CF$1843,CF1074,$AW$7:$AW$1843,AW1074,$BW$7:$BW$1843,"&lt;="&amp;BW1074),"")</f>
        <v/>
      </c>
      <c r="AY1074" s="58" t="n">
        <f aca="false">IF(AX1074="",0,MAX(0,MIN(1,(IF(CF1074="L1",Parameter!$H$5,IF(CF1074="L23",Parameter!$H$6+Parameter!$H$7,Parameter!$H$5+Parameter!$H$6+Parameter!$H$7))-(AX1074-AS1074))/AS1074)))</f>
        <v>0</v>
      </c>
      <c r="AZ1074" s="50" t="n">
        <f aca="false">IF(LEFT(Cockpit!$O$5,1)="A",H1074,IF(Parameter!$E$30="MAX-Bestand",IF(CH1074=1,CI1074,IF(LEFT(Cockpit!$O$5,1)="B",BF1074,MAX(BF1074,H1074))),ROUNDUP(BD1074,0)))</f>
        <v>3</v>
      </c>
      <c r="BA1074" s="50" t="n">
        <f aca="false">IF(BZ1074=1,0,ROUNDUP(AZ1074/BY1074,0))</f>
        <v>1</v>
      </c>
      <c r="BB1074" s="52" t="n">
        <f aca="false">IF(CQ1074&gt;0,CQ1074*MAX(1,AZ1074/X1074),IF(BZ1074=1,IF(AZ1074&lt;=0,0,CD1074*MAX(1,IF(H1074&gt;0,AZ1074/H1074,1))),IF(R1074&gt;0,BA1074/R1074,0))/MAX(0.1,N(Parameter!$M$21)))</f>
        <v>0.0833333333333333</v>
      </c>
      <c r="BC1074" s="50" t="n">
        <f aca="false">BB1074*CB1074</f>
        <v>28.75</v>
      </c>
      <c r="BD1074" s="51" t="n">
        <f aca="false">IF(LEFT(Cockpit!$O$5,1)="A",H1074,IF(CH1074=1,(CK1074+CI1074)/2,IF(LEFT(Cockpit!$O$5,1)="B",(CK1074+BF1074)/2,MAX((CK1074+BF1074)/2,H1074))))</f>
        <v>2.5</v>
      </c>
      <c r="BE1074" s="50" t="n">
        <f aca="false">BD1074*G1074</f>
        <v>109.5</v>
      </c>
      <c r="BF1074" s="50" t="n">
        <f aca="false">ROUNDUP(CK1074+MAX(CL1074,2*(J1074/IF(CG1074&gt;0,CG1074,MAX(0.1,N(Cockpit!$O$6)))-CK1074)),0)</f>
        <v>5</v>
      </c>
      <c r="BG1074" s="51" t="n">
        <f aca="false">IF(BC1074&gt;0,J1074/BC1074,-1)</f>
        <v>0.139130434782609</v>
      </c>
      <c r="BH1074" s="51" t="str">
        <f aca="false">IF(AND(OR(CF1074="L1",CF1074="L23",CF1074="LIFT"),BC1074&gt;0),SUMIFS($BC$7:$BC$1843,$CF$7:$CF$1843,CF1074,$BG$7:$BG$1843,"&gt;"&amp;BG1074)+SUMIFS($BC$7:$BC$1843,$CF$7:$CF$1843,CF1074,$BG$7:$BG$1843,BG1074,$BW$7:$BW$1843,"&lt;="&amp;BW1074),"")</f>
        <v/>
      </c>
      <c r="BI1074" s="58" t="n">
        <f aca="false">IF(BH1074="",0,MAX(0,MIN(1,(IF(CF1074="L1",Parameter!$H$5,IF(CF1074="L23",Parameter!$H$6+Parameter!$H$7,Parameter!$H$5+Parameter!$H$6+Parameter!$H$7))-(BH1074-BC1074))/BC1074)))</f>
        <v>0</v>
      </c>
      <c r="BJ1074" s="48" t="str">
        <f aca="false">IF(AI1074&lt;=0,"",IF(CF1074="Aussen","Aussenlager",IF(CF1074="-","Nicht im Lift",IF(AO1074&gt;=1,"Lift",IF(AO1074&lt;=0,"Aussenlager","teilweise")))))</f>
        <v>Nicht im Lift</v>
      </c>
      <c r="BK1074" s="48" t="str">
        <f aca="false">IF(AS1074&lt;=0,"",IF(CF1074="Aussen","Aussenlager",IF(CF1074="-","Nicht im Lift",IF(AY1074&gt;=1,"Lift",IF(AY1074&lt;=0,"Aussenlager","teilweise")))))</f>
        <v>Nicht im Lift</v>
      </c>
      <c r="BL1074" s="48" t="str">
        <f aca="false">IF(BC1074&lt;=0,"",IF(CF1074="Aussen","Aussenlager",IF(CF1074="-","Nicht im Lift",IF(BI1074&gt;=1,"Lift",IF(BI1074&lt;=0,"Aussenlager","teilweise")))))</f>
        <v>Nicht im Lift</v>
      </c>
      <c r="BM1074" s="48" t="str">
        <f aca="false">IF(A1074="","",IF(BV1074=1,"Neu; ","")&amp;IF(AND(BV1074=0,BQ1074&lt;0),"negativer Bestand (Export "&amp;BQ1074&amp;"); ","")&amp;IF(J1074&lt;=0,"Kein Verbrauch; ","")&amp;IF(CQ1074&gt;0,"Lift "&amp;W1074&amp;" lt. Liftbericht (Fach "&amp;X1074&amp;" Stk); ",IF(CA1074=1,"Gebinde geschätzt ("&amp;T1074&amp;"); ",IF(BZ1074=1,"Lose – Tablare geschätzt; ","")))&amp;IF(H1074&gt;AV1074,"Überbestand "&amp;ROUND(H1074-AV1074,0)&amp;" Stk / CHF "&amp;ROUND((H1074-AV1074)*G1074,0)&amp;"; ","")&amp;IF(AND(CH1074=1,CI1074&lt;CJ1074),"MAX &lt; MB+LG; ","")&amp;IF(AND(CP1074&gt;0,CO1074*10&gt;CP1074),"zu hoch für Tablar; ","")&amp;IF(AND(BV1074=0,OR(CH1074=1,AA1074&lt;&gt;"",U1074&lt;&gt;"",V1074&lt;&gt;"",AB1074&lt;&gt;"")),"manuell übersteuert; ","")&amp;IF(AND(BZ1074=0,R1074=0),"Gebinde unbekannt / Stellmass fehlt; ","")&amp;IF(AND(BZ1074=0,N(V1074)&lt;=0,N(Q1074)&lt;=0),"Menge pro Gebinde fehlt (Ist = 1 Gebinde); ","")&amp;BU1074)</f>
        <v>negativer Bestand (Export -4); Überbestand 23 Stk / CHF 1007; Überbestand</v>
      </c>
      <c r="BN1074" s="48"/>
      <c r="BO1074" s="48"/>
      <c r="BP1074" s="55"/>
      <c r="BQ1074" s="50" t="n">
        <v>-4</v>
      </c>
      <c r="BR1074" s="50" t="n">
        <v>32</v>
      </c>
      <c r="BS1074" s="49" t="n">
        <v>-175.2</v>
      </c>
      <c r="BT1074" s="50" t="n">
        <v>4</v>
      </c>
      <c r="BU1074" s="48" t="s">
        <v>401</v>
      </c>
      <c r="BV1074" s="53" t="n">
        <v>0</v>
      </c>
      <c r="BW1074" s="53" t="n">
        <v>1074</v>
      </c>
      <c r="BX1074" s="48" t="str">
        <f aca="false">IF(U1074&lt;&gt;"",UPPER(TRIM(U1074)),IF(CA1074=1,UPPER(VLOOKUP(T1074,Parameter!$I$27:$K$29,2,0)),IF(P1074="","LOSE",P1074)))</f>
        <v>S63</v>
      </c>
      <c r="BY1074" s="50" t="n">
        <f aca="false">IF(BX1074="LOSE",1,IF(N(V1074)&gt;0,V1074,IF(CA1074=1,MAX(1,N(VLOOKUP(T1074,Parameter!$I$27:$K$29,3,0)),H1074,N(N1074)),IF(N(Q1074)&gt;0,Q1074,MAX(1,H1074)))))</f>
        <v>30</v>
      </c>
      <c r="BZ1074" s="53" t="n">
        <f aca="false">IF(BX1074="LOSE",1,0)</f>
        <v>0</v>
      </c>
      <c r="CA1074" s="53" t="n">
        <f aca="false">IF(AND(U1074="",OR(P1074="",P1074="LOSE"),T1074&lt;&gt;"",N(S1074)&lt;=0,ISNUMBER(MATCH(T1074,Parameter!$I$27:$I$29,0))),1,0)</f>
        <v>0</v>
      </c>
      <c r="CB1074" s="53" t="n">
        <f aca="false">IF(CQ1074&gt;0,INDEX(Parameter!$H$5:$H$7,W1074)/INDEX(Parameter!$E$5:$E$7,W1074),IF(AND(BZ1074=0,N(IFERROR(VLOOKUP(BX1074,'Gebinde-Kategorie'!$A$5:$N$45,14,0),0))&gt;0),VLOOKUP(BX1074,'Gebinde-Kategorie'!$A$5:$N$45,14,0)*10+Parameter!$M$23,Parameter!$M$24))</f>
        <v>345</v>
      </c>
      <c r="CC1074" s="48" t="str">
        <f aca="false">IF(AND(Parameter!$B$19="Ja",E1074&lt;&gt;"",ISNUMBER(MATCH(E1074,Parameter!$I$35:$I$52,0))),VLOOKUP(E1074,Parameter!$I$35:$J$52,2,0),IFERROR(VLOOKUP(D1074,Parameter!$A$35:$C$64,2,0),"Nein"))</f>
        <v>Nein</v>
      </c>
      <c r="CD1074" s="52" t="n">
        <f aca="false">IF(BZ1074=0,0,IF(N(S1074)&gt;0,S1074,IFERROR(VLOOKUP(D1074,Parameter!$A$35:$C$64,3,0)+0,0)))</f>
        <v>0</v>
      </c>
      <c r="CE1074" s="48" t="str">
        <f aca="false">IF(AA1074&lt;&gt;"",AA1074,Z1074)</f>
        <v>-</v>
      </c>
      <c r="CF1074" s="48" t="str">
        <f aca="false">IF(OR(CE1074=1,CE1074=2,CE1074=3),IF(Parameter!$E$27="Ja","LIFT",IF(CE1074=1,"L1","L23")),IF(CE1074="Aussen","Aussen","-"))</f>
        <v>-</v>
      </c>
      <c r="CG1074" s="59" t="n">
        <f aca="false">IF(N(AB1074)&gt;0,AB1074,0)</f>
        <v>0</v>
      </c>
      <c r="CH1074" s="53" t="n">
        <f aca="false">IF(ISNUMBER(AE1074),1,0)</f>
        <v>0</v>
      </c>
      <c r="CI1074" s="50" t="n">
        <f aca="false">N(AE1074)</f>
        <v>0</v>
      </c>
      <c r="CJ1074" s="50" t="n">
        <f aca="false">N(M1074)+N(N1074)</f>
        <v>5</v>
      </c>
      <c r="CK1074" s="50" t="n">
        <f aca="false">N(M1074)</f>
        <v>0</v>
      </c>
      <c r="CL1074" s="50" t="n">
        <f aca="false">N(N1074)</f>
        <v>5</v>
      </c>
      <c r="CM1074" s="50" t="n">
        <f aca="false">ROUNDUP(H1074/BY1074,0)</f>
        <v>1</v>
      </c>
      <c r="CN1074" s="50" t="n">
        <f aca="false">ROUNDUP(CI1074/BY1074,0)</f>
        <v>0</v>
      </c>
      <c r="CO1074" s="53" t="n">
        <f aca="false">IF(BZ1074=1,0,IFERROR(VLOOKUP(BX1074,'Gebinde-Kategorie'!$A$5:$N$45,5,0)+0,0))</f>
        <v>31</v>
      </c>
      <c r="CP1074" s="53" t="n">
        <f aca="false">IFERROR(IF(OR(CE1074=1,CE1074=2,CE1074=3),N(INDEX(Parameter!$I$5:$I$7,CE1074)),0),0)</f>
        <v>0</v>
      </c>
      <c r="CQ1074" s="52" t="n">
        <f aca="false">IF(AND(Parameter!$B$21="Ja",ISNUMBER(W1074),N(X1074)&gt;0),IFERROR(N(INDEX(Parameter!$L$5:$L$7,W1074))*INDEX(Parameter!$E$5:$E$7,W1074)*X1074/SUMIFS($X$7:$X$1843,$W$7:$W$1843,W1074),0),0)</f>
        <v>0</v>
      </c>
    </row>
    <row r="1075" customFormat="false" ht="15" hidden="false" customHeight="false" outlineLevel="0" collapsed="false">
      <c r="A1075" s="48" t="s">
        <v>1971</v>
      </c>
      <c r="B1075" s="48" t="s">
        <v>1972</v>
      </c>
      <c r="C1075" s="48" t="s">
        <v>173</v>
      </c>
      <c r="D1075" s="48" t="s">
        <v>193</v>
      </c>
      <c r="E1075" s="48" t="s">
        <v>182</v>
      </c>
      <c r="F1075" s="48" t="s">
        <v>227</v>
      </c>
      <c r="G1075" s="49" t="n">
        <v>111.1</v>
      </c>
      <c r="H1075" s="50" t="n">
        <f aca="false">MAX(0,IF(AND(Parameter!$B$21="Ja",ISNUMBER(Y1075)),Y1075,IF(Parameter!$B$20="Jahresanfang 2025 + Export",BR1075+BQ1075,BQ1075)))</f>
        <v>2</v>
      </c>
      <c r="I1075" s="50" t="n">
        <f aca="false">H1075*G1075</f>
        <v>222.2</v>
      </c>
      <c r="J1075" s="50" t="n">
        <f aca="false">BT1075*Parameter!$B$18</f>
        <v>2</v>
      </c>
      <c r="K1075" s="51" t="n">
        <v>3</v>
      </c>
      <c r="L1075" s="52" t="n">
        <v>0.666666666666667</v>
      </c>
      <c r="M1075" s="50" t="n">
        <v>0</v>
      </c>
      <c r="N1075" s="50" t="n">
        <v>1</v>
      </c>
      <c r="O1075" s="53" t="n">
        <v>28</v>
      </c>
      <c r="P1075" s="48" t="s">
        <v>430</v>
      </c>
      <c r="Q1075" s="50" t="n">
        <v>3</v>
      </c>
      <c r="R1075" s="53" t="n">
        <f aca="false">IF(BZ1075=1,0,IFERROR(VLOOKUP(BX1075,'Gebinde-Kategorie'!$A$5:$N$45,13,0)+0,0))</f>
        <v>104</v>
      </c>
      <c r="S1075" s="54"/>
      <c r="T1075" s="55"/>
      <c r="U1075" s="55"/>
      <c r="V1075" s="55"/>
      <c r="W1075" s="48"/>
      <c r="X1075" s="50"/>
      <c r="Y1075" s="50"/>
      <c r="Z1075" s="48" t="str">
        <f aca="false">IF(A1075="","",IF(AND(Parameter!$B$21="Ja",ISNUMBER(W1075)),W1075,IF(CC1075="2+3",IF(ISNUMBER(SEARCH("grosser Artikel",BU1075)),2,IFERROR(VLOOKUP(BX1075,Parameter!$F$35:$G$64,2,0),2)),IF(OR(CC1075="Nein",CC1075=""),"-",CC1075))))</f>
        <v>-</v>
      </c>
      <c r="AA1075" s="55"/>
      <c r="AB1075" s="56"/>
      <c r="AC1075" s="50" t="n">
        <f aca="false">AV1075</f>
        <v>2</v>
      </c>
      <c r="AD1075" s="50" t="n">
        <f aca="false">MAX(AV1075,H1075)</f>
        <v>2</v>
      </c>
      <c r="AE1075" s="57"/>
      <c r="AF1075" s="50" t="n">
        <f aca="false">IF(LEFT(Cockpit!$C$5,1)="A",H1075,IF(Parameter!$E$30="MAX-Bestand",IF(CH1075=1,CI1075,IF(LEFT(Cockpit!$C$5,1)="B",AL1075,MAX(AL1075,H1075))),ROUNDUP(AJ1075,0)))</f>
        <v>2</v>
      </c>
      <c r="AG1075" s="50" t="n">
        <f aca="false">IF(BZ1075=1,0,ROUNDUP(AF1075/BY1075,0))</f>
        <v>1</v>
      </c>
      <c r="AH1075" s="52" t="n">
        <f aca="false">IF(CQ1075&gt;0,CQ1075*MAX(1,AF1075/X1075),IF(BZ1075=1,IF(AF1075&lt;=0,0,CD1075*MAX(1,IF(H1075&gt;0,AF1075/H1075,1))),IF(R1075&gt;0,AG1075/R1075,0))/MAX(0.1,N(Parameter!$M$21)))</f>
        <v>0.00961538461538462</v>
      </c>
      <c r="AI1075" s="50" t="n">
        <f aca="false">AH1075*CB1075</f>
        <v>1.49038461538462</v>
      </c>
      <c r="AJ1075" s="51" t="n">
        <f aca="false">IF(LEFT(Cockpit!$C$5,1)="A",H1075,IF(CH1075=1,(CK1075+CI1075)/2,IF(LEFT(Cockpit!$C$5,1)="B",(CK1075+AL1075)/2,MAX((CK1075+AL1075)/2,H1075))))</f>
        <v>2</v>
      </c>
      <c r="AK1075" s="50" t="n">
        <f aca="false">AJ1075*G1075</f>
        <v>222.2</v>
      </c>
      <c r="AL1075" s="50" t="n">
        <f aca="false">ROUNDUP(CK1075+MAX(CL1075,2*(J1075/IF(CG1075&gt;0,CG1075,MAX(0.1,N(Cockpit!$C$6)))-CK1075)),0)</f>
        <v>2</v>
      </c>
      <c r="AM1075" s="51" t="n">
        <f aca="false">IF(AI1075&gt;0,J1075/AI1075,-1)</f>
        <v>1.34193548387097</v>
      </c>
      <c r="AN1075" s="51" t="str">
        <f aca="false">IF(AND(OR(CF1075="L1",CF1075="L23",CF1075="LIFT"),AI1075&gt;0),SUMIFS($AI$7:$AI$1843,$CF$7:$CF$1843,CF1075,$AM$7:$AM$1843,"&gt;"&amp;AM1075)+SUMIFS($AI$7:$AI$1843,$CF$7:$CF$1843,CF1075,$AM$7:$AM$1843,AM1075,$BW$7:$BW$1843,"&lt;="&amp;BW1075),"")</f>
        <v/>
      </c>
      <c r="AO1075" s="58" t="n">
        <f aca="false">IF(AN1075="",0,MAX(0,MIN(1,(IF(CF1075="L1",Parameter!$H$5,IF(CF1075="L23",Parameter!$H$6+Parameter!$H$7,Parameter!$H$5+Parameter!$H$6+Parameter!$H$7))-(AN1075-AI1075))/AI1075)))</f>
        <v>0</v>
      </c>
      <c r="AP1075" s="50" t="n">
        <f aca="false">IF(LEFT(Cockpit!$I$5,1)="A",H1075,IF(Parameter!$E$30="MAX-Bestand",IF(CH1075=1,CI1075,IF(LEFT(Cockpit!$I$5,1)="B",AV1075,MAX(AV1075,H1075))),ROUNDUP(AT1075,0)))</f>
        <v>2</v>
      </c>
      <c r="AQ1075" s="50" t="n">
        <f aca="false">IF(BZ1075=1,0,ROUNDUP(AP1075/BY1075,0))</f>
        <v>1</v>
      </c>
      <c r="AR1075" s="52" t="n">
        <f aca="false">IF(CQ1075&gt;0,CQ1075*MAX(1,AP1075/X1075),IF(BZ1075=1,IF(AP1075&lt;=0,0,CD1075*MAX(1,IF(H1075&gt;0,AP1075/H1075,1))),IF(R1075&gt;0,AQ1075/R1075,0))/MAX(0.1,N(Parameter!$M$21)))</f>
        <v>0.00961538461538462</v>
      </c>
      <c r="AS1075" s="50" t="n">
        <f aca="false">AR1075*CB1075</f>
        <v>1.49038461538462</v>
      </c>
      <c r="AT1075" s="51" t="n">
        <f aca="false">IF(LEFT(Cockpit!$I$5,1)="A",H1075,IF(CH1075=1,(CK1075+CI1075)/2,IF(LEFT(Cockpit!$I$5,1)="B",(CK1075+AV1075)/2,MAX((CK1075+AV1075)/2,H1075))))</f>
        <v>2</v>
      </c>
      <c r="AU1075" s="50" t="n">
        <f aca="false">AT1075*G1075</f>
        <v>222.2</v>
      </c>
      <c r="AV1075" s="50" t="n">
        <f aca="false">ROUNDUP(CK1075+MAX(CL1075,2*(J1075/IF(CG1075&gt;0,CG1075,MAX(0.1,N(Cockpit!$I$6)))-CK1075)),0)</f>
        <v>2</v>
      </c>
      <c r="AW1075" s="51" t="n">
        <f aca="false">IF(AS1075&gt;0,J1075/AS1075,-1)</f>
        <v>1.34193548387097</v>
      </c>
      <c r="AX1075" s="51" t="str">
        <f aca="false">IF(AND(OR(CF1075="L1",CF1075="L23",CF1075="LIFT"),AS1075&gt;0),SUMIFS($AS$7:$AS$1843,$CF$7:$CF$1843,CF1075,$AW$7:$AW$1843,"&gt;"&amp;AW1075)+SUMIFS($AS$7:$AS$1843,$CF$7:$CF$1843,CF1075,$AW$7:$AW$1843,AW1075,$BW$7:$BW$1843,"&lt;="&amp;BW1075),"")</f>
        <v/>
      </c>
      <c r="AY1075" s="58" t="n">
        <f aca="false">IF(AX1075="",0,MAX(0,MIN(1,(IF(CF1075="L1",Parameter!$H$5,IF(CF1075="L23",Parameter!$H$6+Parameter!$H$7,Parameter!$H$5+Parameter!$H$6+Parameter!$H$7))-(AX1075-AS1075))/AS1075)))</f>
        <v>0</v>
      </c>
      <c r="AZ1075" s="50" t="n">
        <f aca="false">IF(LEFT(Cockpit!$O$5,1)="A",H1075,IF(Parameter!$E$30="MAX-Bestand",IF(CH1075=1,CI1075,IF(LEFT(Cockpit!$O$5,1)="B",BF1075,MAX(BF1075,H1075))),ROUNDUP(BD1075,0)))</f>
        <v>1</v>
      </c>
      <c r="BA1075" s="50" t="n">
        <f aca="false">IF(BZ1075=1,0,ROUNDUP(AZ1075/BY1075,0))</f>
        <v>1</v>
      </c>
      <c r="BB1075" s="52" t="n">
        <f aca="false">IF(CQ1075&gt;0,CQ1075*MAX(1,AZ1075/X1075),IF(BZ1075=1,IF(AZ1075&lt;=0,0,CD1075*MAX(1,IF(H1075&gt;0,AZ1075/H1075,1))),IF(R1075&gt;0,BA1075/R1075,0))/MAX(0.1,N(Parameter!$M$21)))</f>
        <v>0.00961538461538462</v>
      </c>
      <c r="BC1075" s="50" t="n">
        <f aca="false">BB1075*CB1075</f>
        <v>1.49038461538462</v>
      </c>
      <c r="BD1075" s="51" t="n">
        <f aca="false">IF(LEFT(Cockpit!$O$5,1)="A",H1075,IF(CH1075=1,(CK1075+CI1075)/2,IF(LEFT(Cockpit!$O$5,1)="B",(CK1075+BF1075)/2,MAX((CK1075+BF1075)/2,H1075))))</f>
        <v>0.5</v>
      </c>
      <c r="BE1075" s="50" t="n">
        <f aca="false">BD1075*G1075</f>
        <v>55.55</v>
      </c>
      <c r="BF1075" s="50" t="n">
        <f aca="false">ROUNDUP(CK1075+MAX(CL1075,2*(J1075/IF(CG1075&gt;0,CG1075,MAX(0.1,N(Cockpit!$O$6)))-CK1075)),0)</f>
        <v>1</v>
      </c>
      <c r="BG1075" s="51" t="n">
        <f aca="false">IF(BC1075&gt;0,J1075/BC1075,-1)</f>
        <v>1.34193548387097</v>
      </c>
      <c r="BH1075" s="51" t="str">
        <f aca="false">IF(AND(OR(CF1075="L1",CF1075="L23",CF1075="LIFT"),BC1075&gt;0),SUMIFS($BC$7:$BC$1843,$CF$7:$CF$1843,CF1075,$BG$7:$BG$1843,"&gt;"&amp;BG1075)+SUMIFS($BC$7:$BC$1843,$CF$7:$CF$1843,CF1075,$BG$7:$BG$1843,BG1075,$BW$7:$BW$1843,"&lt;="&amp;BW1075),"")</f>
        <v/>
      </c>
      <c r="BI1075" s="58" t="n">
        <f aca="false">IF(BH1075="",0,MAX(0,MIN(1,(IF(CF1075="L1",Parameter!$H$5,IF(CF1075="L23",Parameter!$H$6+Parameter!$H$7,Parameter!$H$5+Parameter!$H$6+Parameter!$H$7))-(BH1075-BC1075))/BC1075)))</f>
        <v>0</v>
      </c>
      <c r="BJ1075" s="48" t="str">
        <f aca="false">IF(AI1075&lt;=0,"",IF(CF1075="Aussen","Aussenlager",IF(CF1075="-","Nicht im Lift",IF(AO1075&gt;=1,"Lift",IF(AO1075&lt;=0,"Aussenlager","teilweise")))))</f>
        <v>Nicht im Lift</v>
      </c>
      <c r="BK1075" s="48" t="str">
        <f aca="false">IF(AS1075&lt;=0,"",IF(CF1075="Aussen","Aussenlager",IF(CF1075="-","Nicht im Lift",IF(AY1075&gt;=1,"Lift",IF(AY1075&lt;=0,"Aussenlager","teilweise")))))</f>
        <v>Nicht im Lift</v>
      </c>
      <c r="BL1075" s="48" t="str">
        <f aca="false">IF(BC1075&lt;=0,"",IF(CF1075="Aussen","Aussenlager",IF(CF1075="-","Nicht im Lift",IF(BI1075&gt;=1,"Lift",IF(BI1075&lt;=0,"Aussenlager","teilweise")))))</f>
        <v>Nicht im Lift</v>
      </c>
      <c r="BM1075" s="48" t="str">
        <f aca="false">IF(A1075="","",IF(BV1075=1,"Neu; ","")&amp;IF(AND(BV1075=0,BQ1075&lt;0),"negativer Bestand (Export "&amp;BQ1075&amp;"); ","")&amp;IF(J1075&lt;=0,"Kein Verbrauch; ","")&amp;IF(CQ1075&gt;0,"Lift "&amp;W1075&amp;" lt. Liftbericht (Fach "&amp;X1075&amp;" Stk); ",IF(CA1075=1,"Gebinde geschätzt ("&amp;T1075&amp;"); ",IF(BZ1075=1,"Lose – Tablare geschätzt; ","")))&amp;IF(H1075&gt;AV1075,"Überbestand "&amp;ROUND(H1075-AV1075,0)&amp;" Stk / CHF "&amp;ROUND((H1075-AV1075)*G1075,0)&amp;"; ","")&amp;IF(AND(CH1075=1,CI1075&lt;CJ1075),"MAX &lt; MB+LG; ","")&amp;IF(AND(CP1075&gt;0,CO1075*10&gt;CP1075),"zu hoch für Tablar; ","")&amp;IF(AND(BV1075=0,OR(CH1075=1,AA1075&lt;&gt;"",U1075&lt;&gt;"",V1075&lt;&gt;"",AB1075&lt;&gt;"")),"manuell übersteuert; ","")&amp;IF(AND(BZ1075=0,R1075=0),"Gebinde unbekannt / Stellmass fehlt; ","")&amp;IF(AND(BZ1075=0,N(V1075)&lt;=0,N(Q1075)&lt;=0),"Menge pro Gebinde fehlt (Ist = 1 Gebinde); ","")&amp;BU1075)</f>
        <v>negativer Bestand (Export -2); Neu</v>
      </c>
      <c r="BN1075" s="48"/>
      <c r="BO1075" s="48"/>
      <c r="BP1075" s="55"/>
      <c r="BQ1075" s="50" t="n">
        <v>-2</v>
      </c>
      <c r="BR1075" s="50" t="n">
        <v>4</v>
      </c>
      <c r="BS1075" s="49" t="n">
        <v>-175.52</v>
      </c>
      <c r="BT1075" s="50" t="n">
        <v>2</v>
      </c>
      <c r="BU1075" s="48" t="s">
        <v>635</v>
      </c>
      <c r="BV1075" s="53" t="n">
        <v>0</v>
      </c>
      <c r="BW1075" s="53" t="n">
        <v>1075</v>
      </c>
      <c r="BX1075" s="48" t="str">
        <f aca="false">IF(U1075&lt;&gt;"",UPPER(TRIM(U1075)),IF(CA1075=1,UPPER(VLOOKUP(T1075,Parameter!$I$27:$K$29,2,0)),IF(P1075="","LOSE",P1075)))</f>
        <v>S32</v>
      </c>
      <c r="BY1075" s="50" t="n">
        <f aca="false">IF(BX1075="LOSE",1,IF(N(V1075)&gt;0,V1075,IF(CA1075=1,MAX(1,N(VLOOKUP(T1075,Parameter!$I$27:$K$29,3,0)),H1075,N(N1075)),IF(N(Q1075)&gt;0,Q1075,MAX(1,H1075)))))</f>
        <v>3</v>
      </c>
      <c r="BZ1075" s="53" t="n">
        <f aca="false">IF(BX1075="LOSE",1,0)</f>
        <v>0</v>
      </c>
      <c r="CA1075" s="53" t="n">
        <f aca="false">IF(AND(U1075="",OR(P1075="",P1075="LOSE"),T1075&lt;&gt;"",N(S1075)&lt;=0,ISNUMBER(MATCH(T1075,Parameter!$I$27:$I$29,0))),1,0)</f>
        <v>0</v>
      </c>
      <c r="CB1075" s="53" t="n">
        <f aca="false">IF(CQ1075&gt;0,INDEX(Parameter!$H$5:$H$7,W1075)/INDEX(Parameter!$E$5:$E$7,W1075),IF(AND(BZ1075=0,N(IFERROR(VLOOKUP(BX1075,'Gebinde-Kategorie'!$A$5:$N$45,14,0),0))&gt;0),VLOOKUP(BX1075,'Gebinde-Kategorie'!$A$5:$N$45,14,0)*10+Parameter!$M$23,Parameter!$M$24))</f>
        <v>155</v>
      </c>
      <c r="CC1075" s="48" t="str">
        <f aca="false">IF(AND(Parameter!$B$19="Ja",E1075&lt;&gt;"",ISNUMBER(MATCH(E1075,Parameter!$I$35:$I$52,0))),VLOOKUP(E1075,Parameter!$I$35:$J$52,2,0),IFERROR(VLOOKUP(D1075,Parameter!$A$35:$C$64,2,0),"Nein"))</f>
        <v>Nein</v>
      </c>
      <c r="CD1075" s="52" t="n">
        <f aca="false">IF(BZ1075=0,0,IF(N(S1075)&gt;0,S1075,IFERROR(VLOOKUP(D1075,Parameter!$A$35:$C$64,3,0)+0,0)))</f>
        <v>0</v>
      </c>
      <c r="CE1075" s="48" t="str">
        <f aca="false">IF(AA1075&lt;&gt;"",AA1075,Z1075)</f>
        <v>-</v>
      </c>
      <c r="CF1075" s="48" t="str">
        <f aca="false">IF(OR(CE1075=1,CE1075=2,CE1075=3),IF(Parameter!$E$27="Ja","LIFT",IF(CE1075=1,"L1","L23")),IF(CE1075="Aussen","Aussen","-"))</f>
        <v>-</v>
      </c>
      <c r="CG1075" s="59" t="n">
        <f aca="false">IF(N(AB1075)&gt;0,AB1075,0)</f>
        <v>0</v>
      </c>
      <c r="CH1075" s="53" t="n">
        <f aca="false">IF(ISNUMBER(AE1075),1,0)</f>
        <v>0</v>
      </c>
      <c r="CI1075" s="50" t="n">
        <f aca="false">N(AE1075)</f>
        <v>0</v>
      </c>
      <c r="CJ1075" s="50" t="n">
        <f aca="false">N(M1075)+N(N1075)</f>
        <v>1</v>
      </c>
      <c r="CK1075" s="50" t="n">
        <f aca="false">N(M1075)</f>
        <v>0</v>
      </c>
      <c r="CL1075" s="50" t="n">
        <f aca="false">N(N1075)</f>
        <v>1</v>
      </c>
      <c r="CM1075" s="50" t="n">
        <f aca="false">ROUNDUP(H1075/BY1075,0)</f>
        <v>1</v>
      </c>
      <c r="CN1075" s="50" t="n">
        <f aca="false">ROUNDUP(CI1075/BY1075,0)</f>
        <v>0</v>
      </c>
      <c r="CO1075" s="53" t="n">
        <f aca="false">IF(BZ1075=1,0,IFERROR(VLOOKUP(BX1075,'Gebinde-Kategorie'!$A$5:$N$45,5,0)+0,0))</f>
        <v>8</v>
      </c>
      <c r="CP1075" s="53" t="n">
        <f aca="false">IFERROR(IF(OR(CE1075=1,CE1075=2,CE1075=3),N(INDEX(Parameter!$I$5:$I$7,CE1075)),0),0)</f>
        <v>0</v>
      </c>
      <c r="CQ1075" s="52" t="n">
        <f aca="false">IF(AND(Parameter!$B$21="Ja",ISNUMBER(W1075),N(X1075)&gt;0),IFERROR(N(INDEX(Parameter!$L$5:$L$7,W1075))*INDEX(Parameter!$E$5:$E$7,W1075)*X1075/SUMIFS($X$7:$X$1843,$W$7:$W$1843,W1075),0),0)</f>
        <v>0</v>
      </c>
    </row>
    <row r="1076" customFormat="false" ht="15" hidden="false" customHeight="false" outlineLevel="0" collapsed="false">
      <c r="A1076" s="48" t="s">
        <v>1973</v>
      </c>
      <c r="B1076" s="48" t="s">
        <v>1921</v>
      </c>
      <c r="C1076" s="48" t="s">
        <v>465</v>
      </c>
      <c r="D1076" s="48" t="s">
        <v>193</v>
      </c>
      <c r="E1076" s="48" t="s">
        <v>194</v>
      </c>
      <c r="F1076" s="48" t="s">
        <v>227</v>
      </c>
      <c r="G1076" s="49" t="n">
        <v>6.84</v>
      </c>
      <c r="H1076" s="50" t="n">
        <f aca="false">MAX(0,IF(AND(Parameter!$B$21="Ja",ISNUMBER(Y1076)),Y1076,IF(Parameter!$B$20="Jahresanfang 2025 + Export",BR1076+BQ1076,BQ1076)))</f>
        <v>26</v>
      </c>
      <c r="I1076" s="50" t="n">
        <f aca="false">H1076*G1076</f>
        <v>177.84</v>
      </c>
      <c r="J1076" s="50" t="n">
        <f aca="false">BT1076*Parameter!$B$18</f>
        <v>26</v>
      </c>
      <c r="K1076" s="51" t="n">
        <v>26</v>
      </c>
      <c r="L1076" s="52" t="n">
        <v>1</v>
      </c>
      <c r="M1076" s="50" t="n">
        <v>1</v>
      </c>
      <c r="N1076" s="50" t="n">
        <v>25</v>
      </c>
      <c r="O1076" s="53" t="n">
        <v>21</v>
      </c>
      <c r="P1076" s="48" t="s">
        <v>430</v>
      </c>
      <c r="Q1076" s="50" t="n">
        <v>13</v>
      </c>
      <c r="R1076" s="53" t="n">
        <f aca="false">IF(BZ1076=1,0,IFERROR(VLOOKUP(BX1076,'Gebinde-Kategorie'!$A$5:$N$45,13,0)+0,0))</f>
        <v>104</v>
      </c>
      <c r="S1076" s="54"/>
      <c r="T1076" s="55"/>
      <c r="U1076" s="55"/>
      <c r="V1076" s="55"/>
      <c r="W1076" s="48"/>
      <c r="X1076" s="50"/>
      <c r="Y1076" s="50"/>
      <c r="Z1076" s="48" t="n">
        <f aca="false">IF(A1076="","",IF(AND(Parameter!$B$21="Ja",ISNUMBER(W1076)),W1076,IF(CC1076="2+3",IF(ISNUMBER(SEARCH("grosser Artikel",BU1076)),2,IFERROR(VLOOKUP(BX1076,Parameter!$F$35:$G$64,2,0),2)),IF(OR(CC1076="Nein",CC1076=""),"-",CC1076))))</f>
        <v>3</v>
      </c>
      <c r="AA1076" s="55"/>
      <c r="AB1076" s="56"/>
      <c r="AC1076" s="50" t="n">
        <f aca="false">AV1076</f>
        <v>26</v>
      </c>
      <c r="AD1076" s="50" t="n">
        <f aca="false">MAX(AV1076,H1076)</f>
        <v>26</v>
      </c>
      <c r="AE1076" s="57"/>
      <c r="AF1076" s="50" t="n">
        <f aca="false">IF(LEFT(Cockpit!$C$5,1)="A",H1076,IF(Parameter!$E$30="MAX-Bestand",IF(CH1076=1,CI1076,IF(LEFT(Cockpit!$C$5,1)="B",AL1076,MAX(AL1076,H1076))),ROUNDUP(AJ1076,0)))</f>
        <v>26</v>
      </c>
      <c r="AG1076" s="50" t="n">
        <f aca="false">IF(BZ1076=1,0,ROUNDUP(AF1076/BY1076,0))</f>
        <v>2</v>
      </c>
      <c r="AH1076" s="52" t="n">
        <f aca="false">IF(CQ1076&gt;0,CQ1076*MAX(1,AF1076/X1076),IF(BZ1076=1,IF(AF1076&lt;=0,0,CD1076*MAX(1,IF(H1076&gt;0,AF1076/H1076,1))),IF(R1076&gt;0,AG1076/R1076,0))/MAX(0.1,N(Parameter!$M$21)))</f>
        <v>0.0192307692307692</v>
      </c>
      <c r="AI1076" s="50" t="n">
        <f aca="false">AH1076*CB1076</f>
        <v>2.98076923076923</v>
      </c>
      <c r="AJ1076" s="51" t="n">
        <f aca="false">IF(LEFT(Cockpit!$C$5,1)="A",H1076,IF(CH1076=1,(CK1076+CI1076)/2,IF(LEFT(Cockpit!$C$5,1)="B",(CK1076+AL1076)/2,MAX((CK1076+AL1076)/2,H1076))))</f>
        <v>26</v>
      </c>
      <c r="AK1076" s="50" t="n">
        <f aca="false">AJ1076*G1076</f>
        <v>177.84</v>
      </c>
      <c r="AL1076" s="50" t="n">
        <f aca="false">ROUNDUP(CK1076+MAX(CL1076,2*(J1076/IF(CG1076&gt;0,CG1076,MAX(0.1,N(Cockpit!$C$6)))-CK1076)),0)</f>
        <v>26</v>
      </c>
      <c r="AM1076" s="51" t="n">
        <f aca="false">IF(AI1076&gt;0,J1076/AI1076,-1)</f>
        <v>8.72258064516129</v>
      </c>
      <c r="AN1076" s="51" t="n">
        <f aca="false">IF(AND(OR(CF1076="L1",CF1076="L23",CF1076="LIFT"),AI1076&gt;0),SUMIFS($AI$7:$AI$1843,$CF$7:$CF$1843,CF1076,$AM$7:$AM$1843,"&gt;"&amp;AM1076)+SUMIFS($AI$7:$AI$1843,$CF$7:$CF$1843,CF1076,$AM$7:$AM$1843,AM1076,$BW$7:$BW$1843,"&lt;="&amp;BW1076),"")</f>
        <v>2953.91071428571</v>
      </c>
      <c r="AO1076" s="58" t="n">
        <f aca="false">IF(AN1076="",0,MAX(0,MIN(1,(IF(CF1076="L1",Parameter!$H$5,IF(CF1076="L23",Parameter!$H$6+Parameter!$H$7,Parameter!$H$5+Parameter!$H$6+Parameter!$H$7))-(AN1076-AI1076))/AI1076)))</f>
        <v>1</v>
      </c>
      <c r="AP1076" s="50" t="n">
        <f aca="false">IF(LEFT(Cockpit!$I$5,1)="A",H1076,IF(Parameter!$E$30="MAX-Bestand",IF(CH1076=1,CI1076,IF(LEFT(Cockpit!$I$5,1)="B",AV1076,MAX(AV1076,H1076))),ROUNDUP(AT1076,0)))</f>
        <v>26</v>
      </c>
      <c r="AQ1076" s="50" t="n">
        <f aca="false">IF(BZ1076=1,0,ROUNDUP(AP1076/BY1076,0))</f>
        <v>2</v>
      </c>
      <c r="AR1076" s="52" t="n">
        <f aca="false">IF(CQ1076&gt;0,CQ1076*MAX(1,AP1076/X1076),IF(BZ1076=1,IF(AP1076&lt;=0,0,CD1076*MAX(1,IF(H1076&gt;0,AP1076/H1076,1))),IF(R1076&gt;0,AQ1076/R1076,0))/MAX(0.1,N(Parameter!$M$21)))</f>
        <v>0.0192307692307692</v>
      </c>
      <c r="AS1076" s="50" t="n">
        <f aca="false">AR1076*CB1076</f>
        <v>2.98076923076923</v>
      </c>
      <c r="AT1076" s="51" t="n">
        <f aca="false">IF(LEFT(Cockpit!$I$5,1)="A",H1076,IF(CH1076=1,(CK1076+CI1076)/2,IF(LEFT(Cockpit!$I$5,1)="B",(CK1076+AV1076)/2,MAX((CK1076+AV1076)/2,H1076))))</f>
        <v>26</v>
      </c>
      <c r="AU1076" s="50" t="n">
        <f aca="false">AT1076*G1076</f>
        <v>177.84</v>
      </c>
      <c r="AV1076" s="50" t="n">
        <f aca="false">ROUNDUP(CK1076+MAX(CL1076,2*(J1076/IF(CG1076&gt;0,CG1076,MAX(0.1,N(Cockpit!$I$6)))-CK1076)),0)</f>
        <v>26</v>
      </c>
      <c r="AW1076" s="51" t="n">
        <f aca="false">IF(AS1076&gt;0,J1076/AS1076,-1)</f>
        <v>8.72258064516129</v>
      </c>
      <c r="AX1076" s="51" t="n">
        <f aca="false">IF(AND(OR(CF1076="L1",CF1076="L23",CF1076="LIFT"),AS1076&gt;0),SUMIFS($AS$7:$AS$1843,$CF$7:$CF$1843,CF1076,$AW$7:$AW$1843,"&gt;"&amp;AW1076)+SUMIFS($AS$7:$AS$1843,$CF$7:$CF$1843,CF1076,$AW$7:$AW$1843,AW1076,$BW$7:$BW$1843,"&lt;="&amp;BW1076),"")</f>
        <v>3568.89880952381</v>
      </c>
      <c r="AY1076" s="58" t="n">
        <f aca="false">IF(AX1076="",0,MAX(0,MIN(1,(IF(CF1076="L1",Parameter!$H$5,IF(CF1076="L23",Parameter!$H$6+Parameter!$H$7,Parameter!$H$5+Parameter!$H$6+Parameter!$H$7))-(AX1076-AS1076))/AS1076)))</f>
        <v>1</v>
      </c>
      <c r="AZ1076" s="50" t="n">
        <f aca="false">IF(LEFT(Cockpit!$O$5,1)="A",H1076,IF(Parameter!$E$30="MAX-Bestand",IF(CH1076=1,CI1076,IF(LEFT(Cockpit!$O$5,1)="B",BF1076,MAX(BF1076,H1076))),ROUNDUP(BD1076,0)))</f>
        <v>14</v>
      </c>
      <c r="BA1076" s="50" t="n">
        <f aca="false">IF(BZ1076=1,0,ROUNDUP(AZ1076/BY1076,0))</f>
        <v>2</v>
      </c>
      <c r="BB1076" s="52" t="n">
        <f aca="false">IF(CQ1076&gt;0,CQ1076*MAX(1,AZ1076/X1076),IF(BZ1076=1,IF(AZ1076&lt;=0,0,CD1076*MAX(1,IF(H1076&gt;0,AZ1076/H1076,1))),IF(R1076&gt;0,BA1076/R1076,0))/MAX(0.1,N(Parameter!$M$21)))</f>
        <v>0.0192307692307692</v>
      </c>
      <c r="BC1076" s="50" t="n">
        <f aca="false">BB1076*CB1076</f>
        <v>2.98076923076923</v>
      </c>
      <c r="BD1076" s="51" t="n">
        <f aca="false">IF(LEFT(Cockpit!$O$5,1)="A",H1076,IF(CH1076=1,(CK1076+CI1076)/2,IF(LEFT(Cockpit!$O$5,1)="B",(CK1076+BF1076)/2,MAX((CK1076+BF1076)/2,H1076))))</f>
        <v>13.5</v>
      </c>
      <c r="BE1076" s="50" t="n">
        <f aca="false">BD1076*G1076</f>
        <v>92.34</v>
      </c>
      <c r="BF1076" s="50" t="n">
        <f aca="false">ROUNDUP(CK1076+MAX(CL1076,2*(J1076/IF(CG1076&gt;0,CG1076,MAX(0.1,N(Cockpit!$O$6)))-CK1076)),0)</f>
        <v>26</v>
      </c>
      <c r="BG1076" s="51" t="n">
        <f aca="false">IF(BC1076&gt;0,J1076/BC1076,-1)</f>
        <v>8.72258064516129</v>
      </c>
      <c r="BH1076" s="51" t="n">
        <f aca="false">IF(AND(OR(CF1076="L1",CF1076="L23",CF1076="LIFT"),BC1076&gt;0),SUMIFS($BC$7:$BC$1843,$CF$7:$CF$1843,CF1076,$BG$7:$BG$1843,"&gt;"&amp;BG1076)+SUMIFS($BC$7:$BC$1843,$CF$7:$CF$1843,CF1076,$BG$7:$BG$1843,BG1076,$BW$7:$BW$1843,"&lt;="&amp;BW1076),"")</f>
        <v>2895.15888278388</v>
      </c>
      <c r="BI1076" s="58" t="n">
        <f aca="false">IF(BH1076="",0,MAX(0,MIN(1,(IF(CF1076="L1",Parameter!$H$5,IF(CF1076="L23",Parameter!$H$6+Parameter!$H$7,Parameter!$H$5+Parameter!$H$6+Parameter!$H$7))-(BH1076-BC1076))/BC1076)))</f>
        <v>1</v>
      </c>
      <c r="BJ1076" s="48" t="str">
        <f aca="false">IF(AI1076&lt;=0,"",IF(CF1076="Aussen","Aussenlager",IF(CF1076="-","Nicht im Lift",IF(AO1076&gt;=1,"Lift",IF(AO1076&lt;=0,"Aussenlager","teilweise")))))</f>
        <v>Lift</v>
      </c>
      <c r="BK1076" s="48" t="str">
        <f aca="false">IF(AS1076&lt;=0,"",IF(CF1076="Aussen","Aussenlager",IF(CF1076="-","Nicht im Lift",IF(AY1076&gt;=1,"Lift",IF(AY1076&lt;=0,"Aussenlager","teilweise")))))</f>
        <v>Lift</v>
      </c>
      <c r="BL1076" s="48" t="str">
        <f aca="false">IF(BC1076&lt;=0,"",IF(CF1076="Aussen","Aussenlager",IF(CF1076="-","Nicht im Lift",IF(BI1076&gt;=1,"Lift",IF(BI1076&lt;=0,"Aussenlager","teilweise")))))</f>
        <v>Lift</v>
      </c>
      <c r="BM1076" s="48" t="str">
        <f aca="false">IF(A1076="","",IF(BV1076=1,"Neu; ","")&amp;IF(AND(BV1076=0,BQ1076&lt;0),"negativer Bestand (Export "&amp;BQ1076&amp;"); ","")&amp;IF(J1076&lt;=0,"Kein Verbrauch; ","")&amp;IF(CQ1076&gt;0,"Lift "&amp;W1076&amp;" lt. Liftbericht (Fach "&amp;X1076&amp;" Stk); ",IF(CA1076=1,"Gebinde geschätzt ("&amp;T1076&amp;"); ",IF(BZ1076=1,"Lose – Tablare geschätzt; ","")))&amp;IF(H1076&gt;AV1076,"Überbestand "&amp;ROUND(H1076-AV1076,0)&amp;" Stk / CHF "&amp;ROUND((H1076-AV1076)*G1076,0)&amp;"; ","")&amp;IF(AND(CH1076=1,CI1076&lt;CJ1076),"MAX &lt; MB+LG; ","")&amp;IF(AND(CP1076&gt;0,CO1076*10&gt;CP1076),"zu hoch für Tablar; ","")&amp;IF(AND(BV1076=0,OR(CH1076=1,AA1076&lt;&gt;"",U1076&lt;&gt;"",V1076&lt;&gt;"",AB1076&lt;&gt;"")),"manuell übersteuert; ","")&amp;IF(AND(BZ1076=0,R1076=0),"Gebinde unbekannt / Stellmass fehlt; ","")&amp;IF(AND(BZ1076=0,N(V1076)&lt;=0,N(Q1076)&lt;=0),"Menge pro Gebinde fehlt (Ist = 1 Gebinde); ","")&amp;BU1076)</f>
        <v>negativer Bestand (Export -26); </v>
      </c>
      <c r="BN1076" s="48"/>
      <c r="BO1076" s="48"/>
      <c r="BP1076" s="55"/>
      <c r="BQ1076" s="50" t="n">
        <v>-26</v>
      </c>
      <c r="BR1076" s="50" t="n">
        <v>52</v>
      </c>
      <c r="BS1076" s="49" t="n">
        <v>-177.84</v>
      </c>
      <c r="BT1076" s="50" t="n">
        <v>26</v>
      </c>
      <c r="BU1076" s="48"/>
      <c r="BV1076" s="53" t="n">
        <v>0</v>
      </c>
      <c r="BW1076" s="53" t="n">
        <v>1076</v>
      </c>
      <c r="BX1076" s="48" t="str">
        <f aca="false">IF(U1076&lt;&gt;"",UPPER(TRIM(U1076)),IF(CA1076=1,UPPER(VLOOKUP(T1076,Parameter!$I$27:$K$29,2,0)),IF(P1076="","LOSE",P1076)))</f>
        <v>S32</v>
      </c>
      <c r="BY1076" s="50" t="n">
        <f aca="false">IF(BX1076="LOSE",1,IF(N(V1076)&gt;0,V1076,IF(CA1076=1,MAX(1,N(VLOOKUP(T1076,Parameter!$I$27:$K$29,3,0)),H1076,N(N1076)),IF(N(Q1076)&gt;0,Q1076,MAX(1,H1076)))))</f>
        <v>13</v>
      </c>
      <c r="BZ1076" s="53" t="n">
        <f aca="false">IF(BX1076="LOSE",1,0)</f>
        <v>0</v>
      </c>
      <c r="CA1076" s="53" t="n">
        <f aca="false">IF(AND(U1076="",OR(P1076="",P1076="LOSE"),T1076&lt;&gt;"",N(S1076)&lt;=0,ISNUMBER(MATCH(T1076,Parameter!$I$27:$I$29,0))),1,0)</f>
        <v>0</v>
      </c>
      <c r="CB1076" s="53" t="n">
        <f aca="false">IF(CQ1076&gt;0,INDEX(Parameter!$H$5:$H$7,W1076)/INDEX(Parameter!$E$5:$E$7,W1076),IF(AND(BZ1076=0,N(IFERROR(VLOOKUP(BX1076,'Gebinde-Kategorie'!$A$5:$N$45,14,0),0))&gt;0),VLOOKUP(BX1076,'Gebinde-Kategorie'!$A$5:$N$45,14,0)*10+Parameter!$M$23,Parameter!$M$24))</f>
        <v>155</v>
      </c>
      <c r="CC1076" s="48" t="str">
        <f aca="false">IF(AND(Parameter!$B$19="Ja",E1076&lt;&gt;"",ISNUMBER(MATCH(E1076,Parameter!$I$35:$I$52,0))),VLOOKUP(E1076,Parameter!$I$35:$J$52,2,0),IFERROR(VLOOKUP(D1076,Parameter!$A$35:$C$64,2,0),"Nein"))</f>
        <v>2+3</v>
      </c>
      <c r="CD1076" s="52" t="n">
        <f aca="false">IF(BZ1076=0,0,IF(N(S1076)&gt;0,S1076,IFERROR(VLOOKUP(D1076,Parameter!$A$35:$C$64,3,0)+0,0)))</f>
        <v>0</v>
      </c>
      <c r="CE1076" s="48" t="n">
        <f aca="false">IF(AA1076&lt;&gt;"",AA1076,Z1076)</f>
        <v>3</v>
      </c>
      <c r="CF1076" s="48" t="str">
        <f aca="false">IF(OR(CE1076=1,CE1076=2,CE1076=3),IF(Parameter!$E$27="Ja","LIFT",IF(CE1076=1,"L1","L23")),IF(CE1076="Aussen","Aussen","-"))</f>
        <v>LIFT</v>
      </c>
      <c r="CG1076" s="59" t="n">
        <f aca="false">IF(N(AB1076)&gt;0,AB1076,0)</f>
        <v>0</v>
      </c>
      <c r="CH1076" s="53" t="n">
        <f aca="false">IF(ISNUMBER(AE1076),1,0)</f>
        <v>0</v>
      </c>
      <c r="CI1076" s="50" t="n">
        <f aca="false">N(AE1076)</f>
        <v>0</v>
      </c>
      <c r="CJ1076" s="50" t="n">
        <f aca="false">N(M1076)+N(N1076)</f>
        <v>26</v>
      </c>
      <c r="CK1076" s="50" t="n">
        <f aca="false">N(M1076)</f>
        <v>1</v>
      </c>
      <c r="CL1076" s="50" t="n">
        <f aca="false">N(N1076)</f>
        <v>25</v>
      </c>
      <c r="CM1076" s="50" t="n">
        <f aca="false">ROUNDUP(H1076/BY1076,0)</f>
        <v>2</v>
      </c>
      <c r="CN1076" s="50" t="n">
        <f aca="false">ROUNDUP(CI1076/BY1076,0)</f>
        <v>0</v>
      </c>
      <c r="CO1076" s="53" t="n">
        <f aca="false">IF(BZ1076=1,0,IFERROR(VLOOKUP(BX1076,'Gebinde-Kategorie'!$A$5:$N$45,5,0)+0,0))</f>
        <v>8</v>
      </c>
      <c r="CP1076" s="53" t="n">
        <f aca="false">IFERROR(IF(OR(CE1076=1,CE1076=2,CE1076=3),N(INDEX(Parameter!$I$5:$I$7,CE1076)),0),0)</f>
        <v>0</v>
      </c>
      <c r="CQ1076" s="52" t="n">
        <f aca="false">IF(AND(Parameter!$B$21="Ja",ISNUMBER(W1076),N(X1076)&gt;0),IFERROR(N(INDEX(Parameter!$L$5:$L$7,W1076))*INDEX(Parameter!$E$5:$E$7,W1076)*X1076/SUMIFS($X$7:$X$1843,$W$7:$W$1843,W1076),0),0)</f>
        <v>0</v>
      </c>
    </row>
    <row r="1077" customFormat="false" ht="15" hidden="false" customHeight="false" outlineLevel="0" collapsed="false">
      <c r="A1077" s="48" t="s">
        <v>1974</v>
      </c>
      <c r="B1077" s="48" t="s">
        <v>1975</v>
      </c>
      <c r="C1077" s="48" t="s">
        <v>173</v>
      </c>
      <c r="D1077" s="48" t="s">
        <v>193</v>
      </c>
      <c r="E1077" s="48" t="s">
        <v>194</v>
      </c>
      <c r="F1077" s="48" t="s">
        <v>227</v>
      </c>
      <c r="G1077" s="49" t="n">
        <v>12.9</v>
      </c>
      <c r="H1077" s="50" t="n">
        <f aca="false">MAX(0,IF(AND(Parameter!$B$21="Ja",ISNUMBER(Y1077)),Y1077,IF(Parameter!$B$20="Jahresanfang 2025 + Export",BR1077+BQ1077,BQ1077)))</f>
        <v>13</v>
      </c>
      <c r="I1077" s="50" t="n">
        <f aca="false">H1077*G1077</f>
        <v>167.7</v>
      </c>
      <c r="J1077" s="50" t="n">
        <f aca="false">BT1077*Parameter!$B$18</f>
        <v>8</v>
      </c>
      <c r="K1077" s="51" t="n">
        <v>23</v>
      </c>
      <c r="L1077" s="52" t="n">
        <v>0.347826086956522</v>
      </c>
      <c r="M1077" s="50" t="n">
        <v>0</v>
      </c>
      <c r="N1077" s="50" t="n">
        <v>10</v>
      </c>
      <c r="O1077" s="53" t="n">
        <v>28</v>
      </c>
      <c r="P1077" s="48" t="s">
        <v>410</v>
      </c>
      <c r="Q1077" s="50" t="n">
        <v>29</v>
      </c>
      <c r="R1077" s="53" t="n">
        <f aca="false">IF(BZ1077=1,0,IFERROR(VLOOKUP(BX1077,'Gebinde-Kategorie'!$A$5:$N$45,13,0)+0,0))</f>
        <v>280</v>
      </c>
      <c r="S1077" s="54"/>
      <c r="T1077" s="55"/>
      <c r="U1077" s="55"/>
      <c r="V1077" s="55"/>
      <c r="W1077" s="48"/>
      <c r="X1077" s="50"/>
      <c r="Y1077" s="50"/>
      <c r="Z1077" s="48" t="n">
        <f aca="false">IF(A1077="","",IF(AND(Parameter!$B$21="Ja",ISNUMBER(W1077)),W1077,IF(CC1077="2+3",IF(ISNUMBER(SEARCH("grosser Artikel",BU1077)),2,IFERROR(VLOOKUP(BX1077,Parameter!$F$35:$G$64,2,0),2)),IF(OR(CC1077="Nein",CC1077=""),"-",CC1077))))</f>
        <v>3</v>
      </c>
      <c r="AA1077" s="55"/>
      <c r="AB1077" s="56"/>
      <c r="AC1077" s="50" t="n">
        <f aca="false">AV1077</f>
        <v>10</v>
      </c>
      <c r="AD1077" s="50" t="n">
        <f aca="false">MAX(AV1077,H1077)</f>
        <v>13</v>
      </c>
      <c r="AE1077" s="57"/>
      <c r="AF1077" s="50" t="n">
        <f aca="false">IF(LEFT(Cockpit!$C$5,1)="A",H1077,IF(Parameter!$E$30="MAX-Bestand",IF(CH1077=1,CI1077,IF(LEFT(Cockpit!$C$5,1)="B",AL1077,MAX(AL1077,H1077))),ROUNDUP(AJ1077,0)))</f>
        <v>13</v>
      </c>
      <c r="AG1077" s="50" t="n">
        <f aca="false">IF(BZ1077=1,0,ROUNDUP(AF1077/BY1077,0))</f>
        <v>1</v>
      </c>
      <c r="AH1077" s="52" t="n">
        <f aca="false">IF(CQ1077&gt;0,CQ1077*MAX(1,AF1077/X1077),IF(BZ1077=1,IF(AF1077&lt;=0,0,CD1077*MAX(1,IF(H1077&gt;0,AF1077/H1077,1))),IF(R1077&gt;0,AG1077/R1077,0))/MAX(0.1,N(Parameter!$M$21)))</f>
        <v>0.00357142857142857</v>
      </c>
      <c r="AI1077" s="50" t="n">
        <f aca="false">AH1077*CB1077</f>
        <v>0.553571428571429</v>
      </c>
      <c r="AJ1077" s="51" t="n">
        <f aca="false">IF(LEFT(Cockpit!$C$5,1)="A",H1077,IF(CH1077=1,(CK1077+CI1077)/2,IF(LEFT(Cockpit!$C$5,1)="B",(CK1077+AL1077)/2,MAX((CK1077+AL1077)/2,H1077))))</f>
        <v>13</v>
      </c>
      <c r="AK1077" s="50" t="n">
        <f aca="false">AJ1077*G1077</f>
        <v>167.7</v>
      </c>
      <c r="AL1077" s="50" t="n">
        <f aca="false">ROUNDUP(CK1077+MAX(CL1077,2*(J1077/IF(CG1077&gt;0,CG1077,MAX(0.1,N(Cockpit!$C$6)))-CK1077)),0)</f>
        <v>10</v>
      </c>
      <c r="AM1077" s="51" t="n">
        <f aca="false">IF(AI1077&gt;0,J1077/AI1077,-1)</f>
        <v>14.4516129032258</v>
      </c>
      <c r="AN1077" s="51" t="n">
        <f aca="false">IF(AND(OR(CF1077="L1",CF1077="L23",CF1077="LIFT"),AI1077&gt;0),SUMIFS($AI$7:$AI$1843,$CF$7:$CF$1843,CF1077,$AM$7:$AM$1843,"&gt;"&amp;AM1077)+SUMIFS($AI$7:$AI$1843,$CF$7:$CF$1843,CF1077,$AM$7:$AM$1843,AM1077,$BW$7:$BW$1843,"&lt;="&amp;BW1077),"")</f>
        <v>2099.68956043956</v>
      </c>
      <c r="AO1077" s="58" t="n">
        <f aca="false">IF(AN1077="",0,MAX(0,MIN(1,(IF(CF1077="L1",Parameter!$H$5,IF(CF1077="L23",Parameter!$H$6+Parameter!$H$7,Parameter!$H$5+Parameter!$H$6+Parameter!$H$7))-(AN1077-AI1077))/AI1077)))</f>
        <v>1</v>
      </c>
      <c r="AP1077" s="50" t="n">
        <f aca="false">IF(LEFT(Cockpit!$I$5,1)="A",H1077,IF(Parameter!$E$30="MAX-Bestand",IF(CH1077=1,CI1077,IF(LEFT(Cockpit!$I$5,1)="B",AV1077,MAX(AV1077,H1077))),ROUNDUP(AT1077,0)))</f>
        <v>13</v>
      </c>
      <c r="AQ1077" s="50" t="n">
        <f aca="false">IF(BZ1077=1,0,ROUNDUP(AP1077/BY1077,0))</f>
        <v>1</v>
      </c>
      <c r="AR1077" s="52" t="n">
        <f aca="false">IF(CQ1077&gt;0,CQ1077*MAX(1,AP1077/X1077),IF(BZ1077=1,IF(AP1077&lt;=0,0,CD1077*MAX(1,IF(H1077&gt;0,AP1077/H1077,1))),IF(R1077&gt;0,AQ1077/R1077,0))/MAX(0.1,N(Parameter!$M$21)))</f>
        <v>0.00357142857142857</v>
      </c>
      <c r="AS1077" s="50" t="n">
        <f aca="false">AR1077*CB1077</f>
        <v>0.553571428571429</v>
      </c>
      <c r="AT1077" s="51" t="n">
        <f aca="false">IF(LEFT(Cockpit!$I$5,1)="A",H1077,IF(CH1077=1,(CK1077+CI1077)/2,IF(LEFT(Cockpit!$I$5,1)="B",(CK1077+AV1077)/2,MAX((CK1077+AV1077)/2,H1077))))</f>
        <v>13</v>
      </c>
      <c r="AU1077" s="50" t="n">
        <f aca="false">AT1077*G1077</f>
        <v>167.7</v>
      </c>
      <c r="AV1077" s="50" t="n">
        <f aca="false">ROUNDUP(CK1077+MAX(CL1077,2*(J1077/IF(CG1077&gt;0,CG1077,MAX(0.1,N(Cockpit!$I$6)))-CK1077)),0)</f>
        <v>10</v>
      </c>
      <c r="AW1077" s="51" t="n">
        <f aca="false">IF(AS1077&gt;0,J1077/AS1077,-1)</f>
        <v>14.4516129032258</v>
      </c>
      <c r="AX1077" s="51" t="n">
        <f aca="false">IF(AND(OR(CF1077="L1",CF1077="L23",CF1077="LIFT"),AS1077&gt;0),SUMIFS($AS$7:$AS$1843,$CF$7:$CF$1843,CF1077,$AW$7:$AW$1843,"&gt;"&amp;AW1077)+SUMIFS($AS$7:$AS$1843,$CF$7:$CF$1843,CF1077,$AW$7:$AW$1843,AW1077,$BW$7:$BW$1843,"&lt;="&amp;BW1077),"")</f>
        <v>2747.62637362637</v>
      </c>
      <c r="AY1077" s="58" t="n">
        <f aca="false">IF(AX1077="",0,MAX(0,MIN(1,(IF(CF1077="L1",Parameter!$H$5,IF(CF1077="L23",Parameter!$H$6+Parameter!$H$7,Parameter!$H$5+Parameter!$H$6+Parameter!$H$7))-(AX1077-AS1077))/AS1077)))</f>
        <v>1</v>
      </c>
      <c r="AZ1077" s="50" t="n">
        <f aca="false">IF(LEFT(Cockpit!$O$5,1)="A",H1077,IF(Parameter!$E$30="MAX-Bestand",IF(CH1077=1,CI1077,IF(LEFT(Cockpit!$O$5,1)="B",BF1077,MAX(BF1077,H1077))),ROUNDUP(BD1077,0)))</f>
        <v>5</v>
      </c>
      <c r="BA1077" s="50" t="n">
        <f aca="false">IF(BZ1077=1,0,ROUNDUP(AZ1077/BY1077,0))</f>
        <v>1</v>
      </c>
      <c r="BB1077" s="52" t="n">
        <f aca="false">IF(CQ1077&gt;0,CQ1077*MAX(1,AZ1077/X1077),IF(BZ1077=1,IF(AZ1077&lt;=0,0,CD1077*MAX(1,IF(H1077&gt;0,AZ1077/H1077,1))),IF(R1077&gt;0,BA1077/R1077,0))/MAX(0.1,N(Parameter!$M$21)))</f>
        <v>0.00357142857142857</v>
      </c>
      <c r="BC1077" s="50" t="n">
        <f aca="false">BB1077*CB1077</f>
        <v>0.553571428571429</v>
      </c>
      <c r="BD1077" s="51" t="n">
        <f aca="false">IF(LEFT(Cockpit!$O$5,1)="A",H1077,IF(CH1077=1,(CK1077+CI1077)/2,IF(LEFT(Cockpit!$O$5,1)="B",(CK1077+BF1077)/2,MAX((CK1077+BF1077)/2,H1077))))</f>
        <v>5</v>
      </c>
      <c r="BE1077" s="50" t="n">
        <f aca="false">BD1077*G1077</f>
        <v>64.5</v>
      </c>
      <c r="BF1077" s="50" t="n">
        <f aca="false">ROUNDUP(CK1077+MAX(CL1077,2*(J1077/IF(CG1077&gt;0,CG1077,MAX(0.1,N(Cockpit!$O$6)))-CK1077)),0)</f>
        <v>10</v>
      </c>
      <c r="BG1077" s="51" t="n">
        <f aca="false">IF(BC1077&gt;0,J1077/BC1077,-1)</f>
        <v>14.4516129032258</v>
      </c>
      <c r="BH1077" s="51" t="n">
        <f aca="false">IF(AND(OR(CF1077="L1",CF1077="L23",CF1077="LIFT"),BC1077&gt;0),SUMIFS($BC$7:$BC$1843,$CF$7:$CF$1843,CF1077,$BG$7:$BG$1843,"&gt;"&amp;BG1077)+SUMIFS($BC$7:$BC$1843,$CF$7:$CF$1843,CF1077,$BG$7:$BG$1843,BG1077,$BW$7:$BW$1843,"&lt;="&amp;BW1077),"")</f>
        <v>2431.21703296703</v>
      </c>
      <c r="BI1077" s="58" t="n">
        <f aca="false">IF(BH1077="",0,MAX(0,MIN(1,(IF(CF1077="L1",Parameter!$H$5,IF(CF1077="L23",Parameter!$H$6+Parameter!$H$7,Parameter!$H$5+Parameter!$H$6+Parameter!$H$7))-(BH1077-BC1077))/BC1077)))</f>
        <v>1</v>
      </c>
      <c r="BJ1077" s="48" t="str">
        <f aca="false">IF(AI1077&lt;=0,"",IF(CF1077="Aussen","Aussenlager",IF(CF1077="-","Nicht im Lift",IF(AO1077&gt;=1,"Lift",IF(AO1077&lt;=0,"Aussenlager","teilweise")))))</f>
        <v>Lift</v>
      </c>
      <c r="BK1077" s="48" t="str">
        <f aca="false">IF(AS1077&lt;=0,"",IF(CF1077="Aussen","Aussenlager",IF(CF1077="-","Nicht im Lift",IF(AY1077&gt;=1,"Lift",IF(AY1077&lt;=0,"Aussenlager","teilweise")))))</f>
        <v>Lift</v>
      </c>
      <c r="BL1077" s="48" t="str">
        <f aca="false">IF(BC1077&lt;=0,"",IF(CF1077="Aussen","Aussenlager",IF(CF1077="-","Nicht im Lift",IF(BI1077&gt;=1,"Lift",IF(BI1077&lt;=0,"Aussenlager","teilweise")))))</f>
        <v>Lift</v>
      </c>
      <c r="BM1077" s="48" t="str">
        <f aca="false">IF(A1077="","",IF(BV1077=1,"Neu; ","")&amp;IF(AND(BV1077=0,BQ1077&lt;0),"negativer Bestand (Export "&amp;BQ1077&amp;"); ","")&amp;IF(J1077&lt;=0,"Kein Verbrauch; ","")&amp;IF(CQ1077&gt;0,"Lift "&amp;W1077&amp;" lt. Liftbericht (Fach "&amp;X1077&amp;" Stk); ",IF(CA1077=1,"Gebinde geschätzt ("&amp;T1077&amp;"); ",IF(BZ1077=1,"Lose – Tablare geschätzt; ","")))&amp;IF(H1077&gt;AV1077,"Überbestand "&amp;ROUND(H1077-AV1077,0)&amp;" Stk / CHF "&amp;ROUND((H1077-AV1077)*G1077,0)&amp;"; ","")&amp;IF(AND(CH1077=1,CI1077&lt;CJ1077),"MAX &lt; MB+LG; ","")&amp;IF(AND(CP1077&gt;0,CO1077*10&gt;CP1077),"zu hoch für Tablar; ","")&amp;IF(AND(BV1077=0,OR(CH1077=1,AA1077&lt;&gt;"",U1077&lt;&gt;"",V1077&lt;&gt;"",AB1077&lt;&gt;"")),"manuell übersteuert; ","")&amp;IF(AND(BZ1077=0,R1077=0),"Gebinde unbekannt / Stellmass fehlt; ","")&amp;IF(AND(BZ1077=0,N(V1077)&lt;=0,N(Q1077)&lt;=0),"Menge pro Gebinde fehlt (Ist = 1 Gebinde); ","")&amp;BU1077)</f>
        <v>negativer Bestand (Export -14); Überbestand 3 Stk / CHF 39; </v>
      </c>
      <c r="BN1077" s="48"/>
      <c r="BO1077" s="48"/>
      <c r="BP1077" s="55"/>
      <c r="BQ1077" s="50" t="n">
        <v>-14</v>
      </c>
      <c r="BR1077" s="50" t="n">
        <v>27</v>
      </c>
      <c r="BS1077" s="49" t="n">
        <v>-180.6</v>
      </c>
      <c r="BT1077" s="50" t="n">
        <v>8</v>
      </c>
      <c r="BU1077" s="48"/>
      <c r="BV1077" s="53" t="n">
        <v>0</v>
      </c>
      <c r="BW1077" s="53" t="n">
        <v>1077</v>
      </c>
      <c r="BX1077" s="48" t="str">
        <f aca="false">IF(U1077&lt;&gt;"",UPPER(TRIM(U1077)),IF(CA1077=1,UPPER(VLOOKUP(T1077,Parameter!$I$27:$K$29,2,0)),IF(P1077="","LOSE",P1077)))</f>
        <v>S21</v>
      </c>
      <c r="BY1077" s="50" t="n">
        <f aca="false">IF(BX1077="LOSE",1,IF(N(V1077)&gt;0,V1077,IF(CA1077=1,MAX(1,N(VLOOKUP(T1077,Parameter!$I$27:$K$29,3,0)),H1077,N(N1077)),IF(N(Q1077)&gt;0,Q1077,MAX(1,H1077)))))</f>
        <v>29</v>
      </c>
      <c r="BZ1077" s="53" t="n">
        <f aca="false">IF(BX1077="LOSE",1,0)</f>
        <v>0</v>
      </c>
      <c r="CA1077" s="53" t="n">
        <f aca="false">IF(AND(U1077="",OR(P1077="",P1077="LOSE"),T1077&lt;&gt;"",N(S1077)&lt;=0,ISNUMBER(MATCH(T1077,Parameter!$I$27:$I$29,0))),1,0)</f>
        <v>0</v>
      </c>
      <c r="CB1077" s="53" t="n">
        <f aca="false">IF(CQ1077&gt;0,INDEX(Parameter!$H$5:$H$7,W1077)/INDEX(Parameter!$E$5:$E$7,W1077),IF(AND(BZ1077=0,N(IFERROR(VLOOKUP(BX1077,'Gebinde-Kategorie'!$A$5:$N$45,14,0),0))&gt;0),VLOOKUP(BX1077,'Gebinde-Kategorie'!$A$5:$N$45,14,0)*10+Parameter!$M$23,Parameter!$M$24))</f>
        <v>155</v>
      </c>
      <c r="CC1077" s="48" t="str">
        <f aca="false">IF(AND(Parameter!$B$19="Ja",E1077&lt;&gt;"",ISNUMBER(MATCH(E1077,Parameter!$I$35:$I$52,0))),VLOOKUP(E1077,Parameter!$I$35:$J$52,2,0),IFERROR(VLOOKUP(D1077,Parameter!$A$35:$C$64,2,0),"Nein"))</f>
        <v>2+3</v>
      </c>
      <c r="CD1077" s="52" t="n">
        <f aca="false">IF(BZ1077=0,0,IF(N(S1077)&gt;0,S1077,IFERROR(VLOOKUP(D1077,Parameter!$A$35:$C$64,3,0)+0,0)))</f>
        <v>0</v>
      </c>
      <c r="CE1077" s="48" t="n">
        <f aca="false">IF(AA1077&lt;&gt;"",AA1077,Z1077)</f>
        <v>3</v>
      </c>
      <c r="CF1077" s="48" t="str">
        <f aca="false">IF(OR(CE1077=1,CE1077=2,CE1077=3),IF(Parameter!$E$27="Ja","LIFT",IF(CE1077=1,"L1","L23")),IF(CE1077="Aussen","Aussen","-"))</f>
        <v>LIFT</v>
      </c>
      <c r="CG1077" s="59" t="n">
        <f aca="false">IF(N(AB1077)&gt;0,AB1077,0)</f>
        <v>0</v>
      </c>
      <c r="CH1077" s="53" t="n">
        <f aca="false">IF(ISNUMBER(AE1077),1,0)</f>
        <v>0</v>
      </c>
      <c r="CI1077" s="50" t="n">
        <f aca="false">N(AE1077)</f>
        <v>0</v>
      </c>
      <c r="CJ1077" s="50" t="n">
        <f aca="false">N(M1077)+N(N1077)</f>
        <v>10</v>
      </c>
      <c r="CK1077" s="50" t="n">
        <f aca="false">N(M1077)</f>
        <v>0</v>
      </c>
      <c r="CL1077" s="50" t="n">
        <f aca="false">N(N1077)</f>
        <v>10</v>
      </c>
      <c r="CM1077" s="50" t="n">
        <f aca="false">ROUNDUP(H1077/BY1077,0)</f>
        <v>1</v>
      </c>
      <c r="CN1077" s="50" t="n">
        <f aca="false">ROUNDUP(CI1077/BY1077,0)</f>
        <v>0</v>
      </c>
      <c r="CO1077" s="53" t="n">
        <f aca="false">IF(BZ1077=1,0,IFERROR(VLOOKUP(BX1077,'Gebinde-Kategorie'!$A$5:$N$45,5,0)+0,0))</f>
        <v>8</v>
      </c>
      <c r="CP1077" s="53" t="n">
        <f aca="false">IFERROR(IF(OR(CE1077=1,CE1077=2,CE1077=3),N(INDEX(Parameter!$I$5:$I$7,CE1077)),0),0)</f>
        <v>0</v>
      </c>
      <c r="CQ1077" s="52" t="n">
        <f aca="false">IF(AND(Parameter!$B$21="Ja",ISNUMBER(W1077),N(X1077)&gt;0),IFERROR(N(INDEX(Parameter!$L$5:$L$7,W1077))*INDEX(Parameter!$E$5:$E$7,W1077)*X1077/SUMIFS($X$7:$X$1843,$W$7:$W$1843,W1077),0),0)</f>
        <v>0</v>
      </c>
    </row>
    <row r="1078" customFormat="false" ht="15" hidden="false" customHeight="false" outlineLevel="0" collapsed="false">
      <c r="A1078" s="48" t="s">
        <v>1976</v>
      </c>
      <c r="B1078" s="48" t="s">
        <v>1977</v>
      </c>
      <c r="C1078" s="48" t="s">
        <v>173</v>
      </c>
      <c r="D1078" s="48" t="s">
        <v>193</v>
      </c>
      <c r="E1078" s="48" t="s">
        <v>194</v>
      </c>
      <c r="F1078" s="48" t="s">
        <v>227</v>
      </c>
      <c r="G1078" s="49" t="n">
        <v>8.9</v>
      </c>
      <c r="H1078" s="50" t="n">
        <f aca="false">MAX(0,IF(AND(Parameter!$B$21="Ja",ISNUMBER(Y1078)),Y1078,IF(Parameter!$B$20="Jahresanfang 2025 + Export",BR1078+BQ1078,BQ1078)))</f>
        <v>13</v>
      </c>
      <c r="I1078" s="50" t="n">
        <f aca="false">H1078*G1078</f>
        <v>115.7</v>
      </c>
      <c r="J1078" s="50" t="n">
        <f aca="false">BT1078*Parameter!$B$18</f>
        <v>23</v>
      </c>
      <c r="K1078" s="51" t="n">
        <v>34</v>
      </c>
      <c r="L1078" s="52" t="n">
        <v>0.676470588235294</v>
      </c>
      <c r="M1078" s="50" t="n">
        <v>1</v>
      </c>
      <c r="N1078" s="50" t="n">
        <v>25</v>
      </c>
      <c r="O1078" s="53" t="n">
        <v>28</v>
      </c>
      <c r="P1078" s="48" t="s">
        <v>485</v>
      </c>
      <c r="Q1078" s="50" t="n">
        <v>27</v>
      </c>
      <c r="R1078" s="53" t="n">
        <f aca="false">IF(BZ1078=1,0,IFERROR(VLOOKUP(BX1078,'Gebinde-Kategorie'!$A$5:$N$45,13,0)+0,0))</f>
        <v>52</v>
      </c>
      <c r="S1078" s="54"/>
      <c r="T1078" s="55"/>
      <c r="U1078" s="55"/>
      <c r="V1078" s="55"/>
      <c r="W1078" s="48"/>
      <c r="X1078" s="50"/>
      <c r="Y1078" s="50"/>
      <c r="Z1078" s="48" t="n">
        <f aca="false">IF(A1078="","",IF(AND(Parameter!$B$21="Ja",ISNUMBER(W1078)),W1078,IF(CC1078="2+3",IF(ISNUMBER(SEARCH("grosser Artikel",BU1078)),2,IFERROR(VLOOKUP(BX1078,Parameter!$F$35:$G$64,2,0),2)),IF(OR(CC1078="Nein",CC1078=""),"-",CC1078))))</f>
        <v>3</v>
      </c>
      <c r="AA1078" s="55"/>
      <c r="AB1078" s="56"/>
      <c r="AC1078" s="50" t="n">
        <f aca="false">AV1078</f>
        <v>26</v>
      </c>
      <c r="AD1078" s="50" t="n">
        <f aca="false">MAX(AV1078,H1078)</f>
        <v>26</v>
      </c>
      <c r="AE1078" s="57"/>
      <c r="AF1078" s="50" t="n">
        <f aca="false">IF(LEFT(Cockpit!$C$5,1)="A",H1078,IF(Parameter!$E$30="MAX-Bestand",IF(CH1078=1,CI1078,IF(LEFT(Cockpit!$C$5,1)="B",AL1078,MAX(AL1078,H1078))),ROUNDUP(AJ1078,0)))</f>
        <v>13</v>
      </c>
      <c r="AG1078" s="50" t="n">
        <f aca="false">IF(BZ1078=1,0,ROUNDUP(AF1078/BY1078,0))</f>
        <v>1</v>
      </c>
      <c r="AH1078" s="52" t="n">
        <f aca="false">IF(CQ1078&gt;0,CQ1078*MAX(1,AF1078/X1078),IF(BZ1078=1,IF(AF1078&lt;=0,0,CD1078*MAX(1,IF(H1078&gt;0,AF1078/H1078,1))),IF(R1078&gt;0,AG1078/R1078,0))/MAX(0.1,N(Parameter!$M$21)))</f>
        <v>0.0192307692307692</v>
      </c>
      <c r="AI1078" s="50" t="n">
        <f aca="false">AH1078*CB1078</f>
        <v>2.98076923076923</v>
      </c>
      <c r="AJ1078" s="51" t="n">
        <f aca="false">IF(LEFT(Cockpit!$C$5,1)="A",H1078,IF(CH1078=1,(CK1078+CI1078)/2,IF(LEFT(Cockpit!$C$5,1)="B",(CK1078+AL1078)/2,MAX((CK1078+AL1078)/2,H1078))))</f>
        <v>13</v>
      </c>
      <c r="AK1078" s="50" t="n">
        <f aca="false">AJ1078*G1078</f>
        <v>115.7</v>
      </c>
      <c r="AL1078" s="50" t="n">
        <f aca="false">ROUNDUP(CK1078+MAX(CL1078,2*(J1078/IF(CG1078&gt;0,CG1078,MAX(0.1,N(Cockpit!$C$6)))-CK1078)),0)</f>
        <v>26</v>
      </c>
      <c r="AM1078" s="51" t="n">
        <f aca="false">IF(AI1078&gt;0,J1078/AI1078,-1)</f>
        <v>7.71612903225806</v>
      </c>
      <c r="AN1078" s="51" t="n">
        <f aca="false">IF(AND(OR(CF1078="L1",CF1078="L23",CF1078="LIFT"),AI1078&gt;0),SUMIFS($AI$7:$AI$1843,$CF$7:$CF$1843,CF1078,$AM$7:$AM$1843,"&gt;"&amp;AM1078)+SUMIFS($AI$7:$AI$1843,$CF$7:$CF$1843,CF1078,$AM$7:$AM$1843,AM1078,$BW$7:$BW$1843,"&lt;="&amp;BW1078),"")</f>
        <v>3119.05769230769</v>
      </c>
      <c r="AO1078" s="58" t="n">
        <f aca="false">IF(AN1078="",0,MAX(0,MIN(1,(IF(CF1078="L1",Parameter!$H$5,IF(CF1078="L23",Parameter!$H$6+Parameter!$H$7,Parameter!$H$5+Parameter!$H$6+Parameter!$H$7))-(AN1078-AI1078))/AI1078)))</f>
        <v>1</v>
      </c>
      <c r="AP1078" s="50" t="n">
        <f aca="false">IF(LEFT(Cockpit!$I$5,1)="A",H1078,IF(Parameter!$E$30="MAX-Bestand",IF(CH1078=1,CI1078,IF(LEFT(Cockpit!$I$5,1)="B",AV1078,MAX(AV1078,H1078))),ROUNDUP(AT1078,0)))</f>
        <v>14</v>
      </c>
      <c r="AQ1078" s="50" t="n">
        <f aca="false">IF(BZ1078=1,0,ROUNDUP(AP1078/BY1078,0))</f>
        <v>1</v>
      </c>
      <c r="AR1078" s="52" t="n">
        <f aca="false">IF(CQ1078&gt;0,CQ1078*MAX(1,AP1078/X1078),IF(BZ1078=1,IF(AP1078&lt;=0,0,CD1078*MAX(1,IF(H1078&gt;0,AP1078/H1078,1))),IF(R1078&gt;0,AQ1078/R1078,0))/MAX(0.1,N(Parameter!$M$21)))</f>
        <v>0.0192307692307692</v>
      </c>
      <c r="AS1078" s="50" t="n">
        <f aca="false">AR1078*CB1078</f>
        <v>2.98076923076923</v>
      </c>
      <c r="AT1078" s="51" t="n">
        <f aca="false">IF(LEFT(Cockpit!$I$5,1)="A",H1078,IF(CH1078=1,(CK1078+CI1078)/2,IF(LEFT(Cockpit!$I$5,1)="B",(CK1078+AV1078)/2,MAX((CK1078+AV1078)/2,H1078))))</f>
        <v>13.5</v>
      </c>
      <c r="AU1078" s="50" t="n">
        <f aca="false">AT1078*G1078</f>
        <v>120.15</v>
      </c>
      <c r="AV1078" s="50" t="n">
        <f aca="false">ROUNDUP(CK1078+MAX(CL1078,2*(J1078/IF(CG1078&gt;0,CG1078,MAX(0.1,N(Cockpit!$I$6)))-CK1078)),0)</f>
        <v>26</v>
      </c>
      <c r="AW1078" s="51" t="n">
        <f aca="false">IF(AS1078&gt;0,J1078/AS1078,-1)</f>
        <v>7.71612903225806</v>
      </c>
      <c r="AX1078" s="51" t="n">
        <f aca="false">IF(AND(OR(CF1078="L1",CF1078="L23",CF1078="LIFT"),AS1078&gt;0),SUMIFS($AS$7:$AS$1843,$CF$7:$CF$1843,CF1078,$AW$7:$AW$1843,"&gt;"&amp;AW1078)+SUMIFS($AS$7:$AS$1843,$CF$7:$CF$1843,CF1078,$AW$7:$AW$1843,AW1078,$BW$7:$BW$1843,"&lt;="&amp;BW1078),"")</f>
        <v>3743.11904761905</v>
      </c>
      <c r="AY1078" s="58" t="n">
        <f aca="false">IF(AX1078="",0,MAX(0,MIN(1,(IF(CF1078="L1",Parameter!$H$5,IF(CF1078="L23",Parameter!$H$6+Parameter!$H$7,Parameter!$H$5+Parameter!$H$6+Parameter!$H$7))-(AX1078-AS1078))/AS1078)))</f>
        <v>1</v>
      </c>
      <c r="AZ1078" s="50" t="n">
        <f aca="false">IF(LEFT(Cockpit!$O$5,1)="A",H1078,IF(Parameter!$E$30="MAX-Bestand",IF(CH1078=1,CI1078,IF(LEFT(Cockpit!$O$5,1)="B",BF1078,MAX(BF1078,H1078))),ROUNDUP(BD1078,0)))</f>
        <v>14</v>
      </c>
      <c r="BA1078" s="50" t="n">
        <f aca="false">IF(BZ1078=1,0,ROUNDUP(AZ1078/BY1078,0))</f>
        <v>1</v>
      </c>
      <c r="BB1078" s="52" t="n">
        <f aca="false">IF(CQ1078&gt;0,CQ1078*MAX(1,AZ1078/X1078),IF(BZ1078=1,IF(AZ1078&lt;=0,0,CD1078*MAX(1,IF(H1078&gt;0,AZ1078/H1078,1))),IF(R1078&gt;0,BA1078/R1078,0))/MAX(0.1,N(Parameter!$M$21)))</f>
        <v>0.0192307692307692</v>
      </c>
      <c r="BC1078" s="50" t="n">
        <f aca="false">BB1078*CB1078</f>
        <v>2.98076923076923</v>
      </c>
      <c r="BD1078" s="51" t="n">
        <f aca="false">IF(LEFT(Cockpit!$O$5,1)="A",H1078,IF(CH1078=1,(CK1078+CI1078)/2,IF(LEFT(Cockpit!$O$5,1)="B",(CK1078+BF1078)/2,MAX((CK1078+BF1078)/2,H1078))))</f>
        <v>13.5</v>
      </c>
      <c r="BE1078" s="50" t="n">
        <f aca="false">BD1078*G1078</f>
        <v>120.15</v>
      </c>
      <c r="BF1078" s="50" t="n">
        <f aca="false">ROUNDUP(CK1078+MAX(CL1078,2*(J1078/IF(CG1078&gt;0,CG1078,MAX(0.1,N(Cockpit!$O$6)))-CK1078)),0)</f>
        <v>26</v>
      </c>
      <c r="BG1078" s="51" t="n">
        <f aca="false">IF(BC1078&gt;0,J1078/BC1078,-1)</f>
        <v>7.71612903225806</v>
      </c>
      <c r="BH1078" s="51" t="n">
        <f aca="false">IF(AND(OR(CF1078="L1",CF1078="L23",CF1078="LIFT"),BC1078&gt;0),SUMIFS($BC$7:$BC$1843,$CF$7:$CF$1843,CF1078,$BG$7:$BG$1843,"&gt;"&amp;BG1078)+SUMIFS($BC$7:$BC$1843,$CF$7:$CF$1843,CF1078,$BG$7:$BG$1843,BG1078,$BW$7:$BW$1843,"&lt;="&amp;BW1078),"")</f>
        <v>3161.98855311355</v>
      </c>
      <c r="BI1078" s="58" t="n">
        <f aca="false">IF(BH1078="",0,MAX(0,MIN(1,(IF(CF1078="L1",Parameter!$H$5,IF(CF1078="L23",Parameter!$H$6+Parameter!$H$7,Parameter!$H$5+Parameter!$H$6+Parameter!$H$7))-(BH1078-BC1078))/BC1078)))</f>
        <v>1</v>
      </c>
      <c r="BJ1078" s="48" t="str">
        <f aca="false">IF(AI1078&lt;=0,"",IF(CF1078="Aussen","Aussenlager",IF(CF1078="-","Nicht im Lift",IF(AO1078&gt;=1,"Lift",IF(AO1078&lt;=0,"Aussenlager","teilweise")))))</f>
        <v>Lift</v>
      </c>
      <c r="BK1078" s="48" t="str">
        <f aca="false">IF(AS1078&lt;=0,"",IF(CF1078="Aussen","Aussenlager",IF(CF1078="-","Nicht im Lift",IF(AY1078&gt;=1,"Lift",IF(AY1078&lt;=0,"Aussenlager","teilweise")))))</f>
        <v>Lift</v>
      </c>
      <c r="BL1078" s="48" t="str">
        <f aca="false">IF(BC1078&lt;=0,"",IF(CF1078="Aussen","Aussenlager",IF(CF1078="-","Nicht im Lift",IF(BI1078&gt;=1,"Lift",IF(BI1078&lt;=0,"Aussenlager","teilweise")))))</f>
        <v>Lift</v>
      </c>
      <c r="BM1078" s="48" t="str">
        <f aca="false">IF(A1078="","",IF(BV1078=1,"Neu; ","")&amp;IF(AND(BV1078=0,BQ1078&lt;0),"negativer Bestand (Export "&amp;BQ1078&amp;"); ","")&amp;IF(J1078&lt;=0,"Kein Verbrauch; ","")&amp;IF(CQ1078&gt;0,"Lift "&amp;W1078&amp;" lt. Liftbericht (Fach "&amp;X1078&amp;" Stk); ",IF(CA1078=1,"Gebinde geschätzt ("&amp;T1078&amp;"); ",IF(BZ1078=1,"Lose – Tablare geschätzt; ","")))&amp;IF(H1078&gt;AV1078,"Überbestand "&amp;ROUND(H1078-AV1078,0)&amp;" Stk / CHF "&amp;ROUND((H1078-AV1078)*G1078,0)&amp;"; ","")&amp;IF(AND(CH1078=1,CI1078&lt;CJ1078),"MAX &lt; MB+LG; ","")&amp;IF(AND(CP1078&gt;0,CO1078*10&gt;CP1078),"zu hoch für Tablar; ","")&amp;IF(AND(BV1078=0,OR(CH1078=1,AA1078&lt;&gt;"",U1078&lt;&gt;"",V1078&lt;&gt;"",AB1078&lt;&gt;"")),"manuell übersteuert; ","")&amp;IF(AND(BZ1078=0,R1078=0),"Gebinde unbekannt / Stellmass fehlt; ","")&amp;IF(AND(BZ1078=0,N(V1078)&lt;=0,N(Q1078)&lt;=0),"Menge pro Gebinde fehlt (Ist = 1 Gebinde); ","")&amp;BU1078)</f>
        <v>negativer Bestand (Export -17); </v>
      </c>
      <c r="BN1078" s="48"/>
      <c r="BO1078" s="48"/>
      <c r="BP1078" s="55"/>
      <c r="BQ1078" s="50" t="n">
        <v>-17</v>
      </c>
      <c r="BR1078" s="50" t="n">
        <v>30</v>
      </c>
      <c r="BS1078" s="49" t="n">
        <v>-182.2</v>
      </c>
      <c r="BT1078" s="50" t="n">
        <v>23</v>
      </c>
      <c r="BU1078" s="48"/>
      <c r="BV1078" s="53" t="n">
        <v>0</v>
      </c>
      <c r="BW1078" s="53" t="n">
        <v>1078</v>
      </c>
      <c r="BX1078" s="48" t="str">
        <f aca="false">IF(U1078&lt;&gt;"",UPPER(TRIM(U1078)),IF(CA1078=1,UPPER(VLOOKUP(T1078,Parameter!$I$27:$K$29,2,0)),IF(P1078="","LOSE",P1078)))</f>
        <v>S33</v>
      </c>
      <c r="BY1078" s="50" t="n">
        <f aca="false">IF(BX1078="LOSE",1,IF(N(V1078)&gt;0,V1078,IF(CA1078=1,MAX(1,N(VLOOKUP(T1078,Parameter!$I$27:$K$29,3,0)),H1078,N(N1078)),IF(N(Q1078)&gt;0,Q1078,MAX(1,H1078)))))</f>
        <v>27</v>
      </c>
      <c r="BZ1078" s="53" t="n">
        <f aca="false">IF(BX1078="LOSE",1,0)</f>
        <v>0</v>
      </c>
      <c r="CA1078" s="53" t="n">
        <f aca="false">IF(AND(U1078="",OR(P1078="",P1078="LOSE"),T1078&lt;&gt;"",N(S1078)&lt;=0,ISNUMBER(MATCH(T1078,Parameter!$I$27:$I$29,0))),1,0)</f>
        <v>0</v>
      </c>
      <c r="CB1078" s="53" t="n">
        <f aca="false">IF(CQ1078&gt;0,INDEX(Parameter!$H$5:$H$7,W1078)/INDEX(Parameter!$E$5:$E$7,W1078),IF(AND(BZ1078=0,N(IFERROR(VLOOKUP(BX1078,'Gebinde-Kategorie'!$A$5:$N$45,14,0),0))&gt;0),VLOOKUP(BX1078,'Gebinde-Kategorie'!$A$5:$N$45,14,0)*10+Parameter!$M$23,Parameter!$M$24))</f>
        <v>155</v>
      </c>
      <c r="CC1078" s="48" t="str">
        <f aca="false">IF(AND(Parameter!$B$19="Ja",E1078&lt;&gt;"",ISNUMBER(MATCH(E1078,Parameter!$I$35:$I$52,0))),VLOOKUP(E1078,Parameter!$I$35:$J$52,2,0),IFERROR(VLOOKUP(D1078,Parameter!$A$35:$C$64,2,0),"Nein"))</f>
        <v>2+3</v>
      </c>
      <c r="CD1078" s="52" t="n">
        <f aca="false">IF(BZ1078=0,0,IF(N(S1078)&gt;0,S1078,IFERROR(VLOOKUP(D1078,Parameter!$A$35:$C$64,3,0)+0,0)))</f>
        <v>0</v>
      </c>
      <c r="CE1078" s="48" t="n">
        <f aca="false">IF(AA1078&lt;&gt;"",AA1078,Z1078)</f>
        <v>3</v>
      </c>
      <c r="CF1078" s="48" t="str">
        <f aca="false">IF(OR(CE1078=1,CE1078=2,CE1078=3),IF(Parameter!$E$27="Ja","LIFT",IF(CE1078=1,"L1","L23")),IF(CE1078="Aussen","Aussen","-"))</f>
        <v>LIFT</v>
      </c>
      <c r="CG1078" s="59" t="n">
        <f aca="false">IF(N(AB1078)&gt;0,AB1078,0)</f>
        <v>0</v>
      </c>
      <c r="CH1078" s="53" t="n">
        <f aca="false">IF(ISNUMBER(AE1078),1,0)</f>
        <v>0</v>
      </c>
      <c r="CI1078" s="50" t="n">
        <f aca="false">N(AE1078)</f>
        <v>0</v>
      </c>
      <c r="CJ1078" s="50" t="n">
        <f aca="false">N(M1078)+N(N1078)</f>
        <v>26</v>
      </c>
      <c r="CK1078" s="50" t="n">
        <f aca="false">N(M1078)</f>
        <v>1</v>
      </c>
      <c r="CL1078" s="50" t="n">
        <f aca="false">N(N1078)</f>
        <v>25</v>
      </c>
      <c r="CM1078" s="50" t="n">
        <f aca="false">ROUNDUP(H1078/BY1078,0)</f>
        <v>1</v>
      </c>
      <c r="CN1078" s="50" t="n">
        <f aca="false">ROUNDUP(CI1078/BY1078,0)</f>
        <v>0</v>
      </c>
      <c r="CO1078" s="53" t="n">
        <f aca="false">IF(BZ1078=1,0,IFERROR(VLOOKUP(BX1078,'Gebinde-Kategorie'!$A$5:$N$45,5,0)+0,0))</f>
        <v>8</v>
      </c>
      <c r="CP1078" s="53" t="n">
        <f aca="false">IFERROR(IF(OR(CE1078=1,CE1078=2,CE1078=3),N(INDEX(Parameter!$I$5:$I$7,CE1078)),0),0)</f>
        <v>0</v>
      </c>
      <c r="CQ1078" s="52" t="n">
        <f aca="false">IF(AND(Parameter!$B$21="Ja",ISNUMBER(W1078),N(X1078)&gt;0),IFERROR(N(INDEX(Parameter!$L$5:$L$7,W1078))*INDEX(Parameter!$E$5:$E$7,W1078)*X1078/SUMIFS($X$7:$X$1843,$W$7:$W$1843,W1078),0),0)</f>
        <v>0</v>
      </c>
    </row>
    <row r="1079" customFormat="false" ht="15" hidden="false" customHeight="false" outlineLevel="0" collapsed="false">
      <c r="A1079" s="48" t="s">
        <v>1978</v>
      </c>
      <c r="B1079" s="48" t="s">
        <v>416</v>
      </c>
      <c r="C1079" s="48" t="s">
        <v>173</v>
      </c>
      <c r="D1079" s="48" t="s">
        <v>193</v>
      </c>
      <c r="E1079" s="48" t="s">
        <v>194</v>
      </c>
      <c r="F1079" s="48" t="s">
        <v>227</v>
      </c>
      <c r="G1079" s="49" t="n">
        <v>0.03</v>
      </c>
      <c r="H1079" s="50" t="n">
        <f aca="false">MAX(0,IF(AND(Parameter!$B$21="Ja",ISNUMBER(Y1079)),Y1079,IF(Parameter!$B$20="Jahresanfang 2025 + Export",BR1079+BQ1079,BQ1079)))</f>
        <v>1561</v>
      </c>
      <c r="I1079" s="50" t="n">
        <f aca="false">H1079*G1079</f>
        <v>46.83</v>
      </c>
      <c r="J1079" s="50" t="n">
        <f aca="false">BT1079*Parameter!$B$18</f>
        <v>6186</v>
      </c>
      <c r="K1079" s="51" t="n">
        <v>5410.5</v>
      </c>
      <c r="L1079" s="52" t="n">
        <v>1.14333240920433</v>
      </c>
      <c r="M1079" s="50" t="n">
        <v>360</v>
      </c>
      <c r="N1079" s="50" t="n">
        <v>2000</v>
      </c>
      <c r="O1079" s="53" t="n">
        <v>21</v>
      </c>
      <c r="P1079" s="48" t="s">
        <v>485</v>
      </c>
      <c r="Q1079" s="50" t="n">
        <v>5992</v>
      </c>
      <c r="R1079" s="53" t="n">
        <f aca="false">IF(BZ1079=1,0,IFERROR(VLOOKUP(BX1079,'Gebinde-Kategorie'!$A$5:$N$45,13,0)+0,0))</f>
        <v>52</v>
      </c>
      <c r="S1079" s="54"/>
      <c r="T1079" s="55"/>
      <c r="U1079" s="55"/>
      <c r="V1079" s="55"/>
      <c r="W1079" s="48"/>
      <c r="X1079" s="50"/>
      <c r="Y1079" s="50"/>
      <c r="Z1079" s="48" t="n">
        <f aca="false">IF(A1079="","",IF(AND(Parameter!$B$21="Ja",ISNUMBER(W1079)),W1079,IF(CC1079="2+3",IF(ISNUMBER(SEARCH("grosser Artikel",BU1079)),2,IFERROR(VLOOKUP(BX1079,Parameter!$F$35:$G$64,2,0),2)),IF(OR(CC1079="Nein",CC1079=""),"-",CC1079))))</f>
        <v>3</v>
      </c>
      <c r="AA1079" s="55"/>
      <c r="AB1079" s="56"/>
      <c r="AC1079" s="50" t="n">
        <f aca="false">AV1079</f>
        <v>3764</v>
      </c>
      <c r="AD1079" s="50" t="n">
        <f aca="false">MAX(AV1079,H1079)</f>
        <v>3764</v>
      </c>
      <c r="AE1079" s="57"/>
      <c r="AF1079" s="50" t="n">
        <f aca="false">IF(LEFT(Cockpit!$C$5,1)="A",H1079,IF(Parameter!$E$30="MAX-Bestand",IF(CH1079=1,CI1079,IF(LEFT(Cockpit!$C$5,1)="B",AL1079,MAX(AL1079,H1079))),ROUNDUP(AJ1079,0)))</f>
        <v>1561</v>
      </c>
      <c r="AG1079" s="50" t="n">
        <f aca="false">IF(BZ1079=1,0,ROUNDUP(AF1079/BY1079,0))</f>
        <v>1</v>
      </c>
      <c r="AH1079" s="52" t="n">
        <f aca="false">IF(CQ1079&gt;0,CQ1079*MAX(1,AF1079/X1079),IF(BZ1079=1,IF(AF1079&lt;=0,0,CD1079*MAX(1,IF(H1079&gt;0,AF1079/H1079,1))),IF(R1079&gt;0,AG1079/R1079,0))/MAX(0.1,N(Parameter!$M$21)))</f>
        <v>0.0192307692307692</v>
      </c>
      <c r="AI1079" s="50" t="n">
        <f aca="false">AH1079*CB1079</f>
        <v>2.98076923076923</v>
      </c>
      <c r="AJ1079" s="51" t="n">
        <f aca="false">IF(LEFT(Cockpit!$C$5,1)="A",H1079,IF(CH1079=1,(CK1079+CI1079)/2,IF(LEFT(Cockpit!$C$5,1)="B",(CK1079+AL1079)/2,MAX((CK1079+AL1079)/2,H1079))))</f>
        <v>1561</v>
      </c>
      <c r="AK1079" s="50" t="n">
        <f aca="false">AJ1079*G1079</f>
        <v>46.83</v>
      </c>
      <c r="AL1079" s="50" t="n">
        <f aca="false">ROUNDUP(CK1079+MAX(CL1079,2*(J1079/IF(CG1079&gt;0,CG1079,MAX(0.1,N(Cockpit!$C$6)))-CK1079)),0)</f>
        <v>3764</v>
      </c>
      <c r="AM1079" s="51" t="n">
        <f aca="false">IF(AI1079&gt;0,J1079/AI1079,-1)</f>
        <v>2075.30322580645</v>
      </c>
      <c r="AN1079" s="51" t="n">
        <f aca="false">IF(AND(OR(CF1079="L1",CF1079="L23",CF1079="LIFT"),AI1079&gt;0),SUMIFS($AI$7:$AI$1843,$CF$7:$CF$1843,CF1079,$AM$7:$AM$1843,"&gt;"&amp;AM1079)+SUMIFS($AI$7:$AI$1843,$CF$7:$CF$1843,CF1079,$AM$7:$AM$1843,AM1079,$BW$7:$BW$1843,"&lt;="&amp;BW1079),"")</f>
        <v>5.96153846153846</v>
      </c>
      <c r="AO1079" s="58" t="n">
        <f aca="false">IF(AN1079="",0,MAX(0,MIN(1,(IF(CF1079="L1",Parameter!$H$5,IF(CF1079="L23",Parameter!$H$6+Parameter!$H$7,Parameter!$H$5+Parameter!$H$6+Parameter!$H$7))-(AN1079-AI1079))/AI1079)))</f>
        <v>1</v>
      </c>
      <c r="AP1079" s="50" t="n">
        <f aca="false">IF(LEFT(Cockpit!$I$5,1)="A",H1079,IF(Parameter!$E$30="MAX-Bestand",IF(CH1079=1,CI1079,IF(LEFT(Cockpit!$I$5,1)="B",AV1079,MAX(AV1079,H1079))),ROUNDUP(AT1079,0)))</f>
        <v>2062</v>
      </c>
      <c r="AQ1079" s="50" t="n">
        <f aca="false">IF(BZ1079=1,0,ROUNDUP(AP1079/BY1079,0))</f>
        <v>1</v>
      </c>
      <c r="AR1079" s="52" t="n">
        <f aca="false">IF(CQ1079&gt;0,CQ1079*MAX(1,AP1079/X1079),IF(BZ1079=1,IF(AP1079&lt;=0,0,CD1079*MAX(1,IF(H1079&gt;0,AP1079/H1079,1))),IF(R1079&gt;0,AQ1079/R1079,0))/MAX(0.1,N(Parameter!$M$21)))</f>
        <v>0.0192307692307692</v>
      </c>
      <c r="AS1079" s="50" t="n">
        <f aca="false">AR1079*CB1079</f>
        <v>2.98076923076923</v>
      </c>
      <c r="AT1079" s="51" t="n">
        <f aca="false">IF(LEFT(Cockpit!$I$5,1)="A",H1079,IF(CH1079=1,(CK1079+CI1079)/2,IF(LEFT(Cockpit!$I$5,1)="B",(CK1079+AV1079)/2,MAX((CK1079+AV1079)/2,H1079))))</f>
        <v>2062</v>
      </c>
      <c r="AU1079" s="50" t="n">
        <f aca="false">AT1079*G1079</f>
        <v>61.86</v>
      </c>
      <c r="AV1079" s="50" t="n">
        <f aca="false">ROUNDUP(CK1079+MAX(CL1079,2*(J1079/IF(CG1079&gt;0,CG1079,MAX(0.1,N(Cockpit!$I$6)))-CK1079)),0)</f>
        <v>3764</v>
      </c>
      <c r="AW1079" s="51" t="n">
        <f aca="false">IF(AS1079&gt;0,J1079/AS1079,-1)</f>
        <v>2075.30322580645</v>
      </c>
      <c r="AX1079" s="51" t="n">
        <f aca="false">IF(AND(OR(CF1079="L1",CF1079="L23",CF1079="LIFT"),AS1079&gt;0),SUMIFS($AS$7:$AS$1843,$CF$7:$CF$1843,CF1079,$AW$7:$AW$1843,"&gt;"&amp;AW1079)+SUMIFS($AS$7:$AS$1843,$CF$7:$CF$1843,CF1079,$AW$7:$AW$1843,AW1079,$BW$7:$BW$1843,"&lt;="&amp;BW1079),"")</f>
        <v>5.96153846153846</v>
      </c>
      <c r="AY1079" s="58" t="n">
        <f aca="false">IF(AX1079="",0,MAX(0,MIN(1,(IF(CF1079="L1",Parameter!$H$5,IF(CF1079="L23",Parameter!$H$6+Parameter!$H$7,Parameter!$H$5+Parameter!$H$6+Parameter!$H$7))-(AX1079-AS1079))/AS1079)))</f>
        <v>1</v>
      </c>
      <c r="AZ1079" s="50" t="n">
        <f aca="false">IF(LEFT(Cockpit!$O$5,1)="A",H1079,IF(Parameter!$E$30="MAX-Bestand",IF(CH1079=1,CI1079,IF(LEFT(Cockpit!$O$5,1)="B",BF1079,MAX(BF1079,H1079))),ROUNDUP(BD1079,0)))</f>
        <v>1547</v>
      </c>
      <c r="BA1079" s="50" t="n">
        <f aca="false">IF(BZ1079=1,0,ROUNDUP(AZ1079/BY1079,0))</f>
        <v>1</v>
      </c>
      <c r="BB1079" s="52" t="n">
        <f aca="false">IF(CQ1079&gt;0,CQ1079*MAX(1,AZ1079/X1079),IF(BZ1079=1,IF(AZ1079&lt;=0,0,CD1079*MAX(1,IF(H1079&gt;0,AZ1079/H1079,1))),IF(R1079&gt;0,BA1079/R1079,0))/MAX(0.1,N(Parameter!$M$21)))</f>
        <v>0.0192307692307692</v>
      </c>
      <c r="BC1079" s="50" t="n">
        <f aca="false">BB1079*CB1079</f>
        <v>2.98076923076923</v>
      </c>
      <c r="BD1079" s="51" t="n">
        <f aca="false">IF(LEFT(Cockpit!$O$5,1)="A",H1079,IF(CH1079=1,(CK1079+CI1079)/2,IF(LEFT(Cockpit!$O$5,1)="B",(CK1079+BF1079)/2,MAX((CK1079+BF1079)/2,H1079))))</f>
        <v>1546.5</v>
      </c>
      <c r="BE1079" s="50" t="n">
        <f aca="false">BD1079*G1079</f>
        <v>46.395</v>
      </c>
      <c r="BF1079" s="50" t="n">
        <f aca="false">ROUNDUP(CK1079+MAX(CL1079,2*(J1079/IF(CG1079&gt;0,CG1079,MAX(0.1,N(Cockpit!$O$6)))-CK1079)),0)</f>
        <v>2733</v>
      </c>
      <c r="BG1079" s="51" t="n">
        <f aca="false">IF(BC1079&gt;0,J1079/BC1079,-1)</f>
        <v>2075.30322580645</v>
      </c>
      <c r="BH1079" s="51" t="n">
        <f aca="false">IF(AND(OR(CF1079="L1",CF1079="L23",CF1079="LIFT"),BC1079&gt;0),SUMIFS($BC$7:$BC$1843,$CF$7:$CF$1843,CF1079,$BG$7:$BG$1843,"&gt;"&amp;BG1079)+SUMIFS($BC$7:$BC$1843,$CF$7:$CF$1843,CF1079,$BG$7:$BG$1843,BG1079,$BW$7:$BW$1843,"&lt;="&amp;BW1079),"")</f>
        <v>5.96153846153846</v>
      </c>
      <c r="BI1079" s="58" t="n">
        <f aca="false">IF(BH1079="",0,MAX(0,MIN(1,(IF(CF1079="L1",Parameter!$H$5,IF(CF1079="L23",Parameter!$H$6+Parameter!$H$7,Parameter!$H$5+Parameter!$H$6+Parameter!$H$7))-(BH1079-BC1079))/BC1079)))</f>
        <v>1</v>
      </c>
      <c r="BJ1079" s="48" t="str">
        <f aca="false">IF(AI1079&lt;=0,"",IF(CF1079="Aussen","Aussenlager",IF(CF1079="-","Nicht im Lift",IF(AO1079&gt;=1,"Lift",IF(AO1079&lt;=0,"Aussenlager","teilweise")))))</f>
        <v>Lift</v>
      </c>
      <c r="BK1079" s="48" t="str">
        <f aca="false">IF(AS1079&lt;=0,"",IF(CF1079="Aussen","Aussenlager",IF(CF1079="-","Nicht im Lift",IF(AY1079&gt;=1,"Lift",IF(AY1079&lt;=0,"Aussenlager","teilweise")))))</f>
        <v>Lift</v>
      </c>
      <c r="BL1079" s="48" t="str">
        <f aca="false">IF(BC1079&lt;=0,"",IF(CF1079="Aussen","Aussenlager",IF(CF1079="-","Nicht im Lift",IF(BI1079&gt;=1,"Lift",IF(BI1079&lt;=0,"Aussenlager","teilweise")))))</f>
        <v>Lift</v>
      </c>
      <c r="BM1079" s="48" t="str">
        <f aca="false">IF(A1079="","",IF(BV1079=1,"Neu; ","")&amp;IF(AND(BV1079=0,BQ1079&lt;0),"negativer Bestand (Export "&amp;BQ1079&amp;"); ","")&amp;IF(J1079&lt;=0,"Kein Verbrauch; ","")&amp;IF(CQ1079&gt;0,"Lift "&amp;W1079&amp;" lt. Liftbericht (Fach "&amp;X1079&amp;" Stk); ",IF(CA1079=1,"Gebinde geschätzt ("&amp;T1079&amp;"); ",IF(BZ1079=1,"Lose – Tablare geschätzt; ","")))&amp;IF(H1079&gt;AV1079,"Überbestand "&amp;ROUND(H1079-AV1079,0)&amp;" Stk / CHF "&amp;ROUND((H1079-AV1079)*G1079,0)&amp;"; ","")&amp;IF(AND(CH1079=1,CI1079&lt;CJ1079),"MAX &lt; MB+LG; ","")&amp;IF(AND(CP1079&gt;0,CO1079*10&gt;CP1079),"zu hoch für Tablar; ","")&amp;IF(AND(BV1079=0,OR(CH1079=1,AA1079&lt;&gt;"",U1079&lt;&gt;"",V1079&lt;&gt;"",AB1079&lt;&gt;"")),"manuell übersteuert; ","")&amp;IF(AND(BZ1079=0,R1079=0),"Gebinde unbekannt / Stellmass fehlt; ","")&amp;IF(AND(BZ1079=0,N(V1079)&lt;=0,N(Q1079)&lt;=0),"Menge pro Gebinde fehlt (Ist = 1 Gebinde); ","")&amp;BU1079)</f>
        <v>negativer Bestand (Export -6097); </v>
      </c>
      <c r="BN1079" s="48"/>
      <c r="BO1079" s="48"/>
      <c r="BP1079" s="55"/>
      <c r="BQ1079" s="50" t="n">
        <v>-6097</v>
      </c>
      <c r="BR1079" s="50" t="n">
        <v>7658</v>
      </c>
      <c r="BS1079" s="49" t="n">
        <v>-182.91</v>
      </c>
      <c r="BT1079" s="50" t="n">
        <v>6186</v>
      </c>
      <c r="BU1079" s="48"/>
      <c r="BV1079" s="53" t="n">
        <v>0</v>
      </c>
      <c r="BW1079" s="53" t="n">
        <v>1079</v>
      </c>
      <c r="BX1079" s="48" t="str">
        <f aca="false">IF(U1079&lt;&gt;"",UPPER(TRIM(U1079)),IF(CA1079=1,UPPER(VLOOKUP(T1079,Parameter!$I$27:$K$29,2,0)),IF(P1079="","LOSE",P1079)))</f>
        <v>S33</v>
      </c>
      <c r="BY1079" s="50" t="n">
        <f aca="false">IF(BX1079="LOSE",1,IF(N(V1079)&gt;0,V1079,IF(CA1079=1,MAX(1,N(VLOOKUP(T1079,Parameter!$I$27:$K$29,3,0)),H1079,N(N1079)),IF(N(Q1079)&gt;0,Q1079,MAX(1,H1079)))))</f>
        <v>5992</v>
      </c>
      <c r="BZ1079" s="53" t="n">
        <f aca="false">IF(BX1079="LOSE",1,0)</f>
        <v>0</v>
      </c>
      <c r="CA1079" s="53" t="n">
        <f aca="false">IF(AND(U1079="",OR(P1079="",P1079="LOSE"),T1079&lt;&gt;"",N(S1079)&lt;=0,ISNUMBER(MATCH(T1079,Parameter!$I$27:$I$29,0))),1,0)</f>
        <v>0</v>
      </c>
      <c r="CB1079" s="53" t="n">
        <f aca="false">IF(CQ1079&gt;0,INDEX(Parameter!$H$5:$H$7,W1079)/INDEX(Parameter!$E$5:$E$7,W1079),IF(AND(BZ1079=0,N(IFERROR(VLOOKUP(BX1079,'Gebinde-Kategorie'!$A$5:$N$45,14,0),0))&gt;0),VLOOKUP(BX1079,'Gebinde-Kategorie'!$A$5:$N$45,14,0)*10+Parameter!$M$23,Parameter!$M$24))</f>
        <v>155</v>
      </c>
      <c r="CC1079" s="48" t="str">
        <f aca="false">IF(AND(Parameter!$B$19="Ja",E1079&lt;&gt;"",ISNUMBER(MATCH(E1079,Parameter!$I$35:$I$52,0))),VLOOKUP(E1079,Parameter!$I$35:$J$52,2,0),IFERROR(VLOOKUP(D1079,Parameter!$A$35:$C$64,2,0),"Nein"))</f>
        <v>2+3</v>
      </c>
      <c r="CD1079" s="52" t="n">
        <f aca="false">IF(BZ1079=0,0,IF(N(S1079)&gt;0,S1079,IFERROR(VLOOKUP(D1079,Parameter!$A$35:$C$64,3,0)+0,0)))</f>
        <v>0</v>
      </c>
      <c r="CE1079" s="48" t="n">
        <f aca="false">IF(AA1079&lt;&gt;"",AA1079,Z1079)</f>
        <v>3</v>
      </c>
      <c r="CF1079" s="48" t="str">
        <f aca="false">IF(OR(CE1079=1,CE1079=2,CE1079=3),IF(Parameter!$E$27="Ja","LIFT",IF(CE1079=1,"L1","L23")),IF(CE1079="Aussen","Aussen","-"))</f>
        <v>LIFT</v>
      </c>
      <c r="CG1079" s="59" t="n">
        <f aca="false">IF(N(AB1079)&gt;0,AB1079,0)</f>
        <v>0</v>
      </c>
      <c r="CH1079" s="53" t="n">
        <f aca="false">IF(ISNUMBER(AE1079),1,0)</f>
        <v>0</v>
      </c>
      <c r="CI1079" s="50" t="n">
        <f aca="false">N(AE1079)</f>
        <v>0</v>
      </c>
      <c r="CJ1079" s="50" t="n">
        <f aca="false">N(M1079)+N(N1079)</f>
        <v>2360</v>
      </c>
      <c r="CK1079" s="50" t="n">
        <f aca="false">N(M1079)</f>
        <v>360</v>
      </c>
      <c r="CL1079" s="50" t="n">
        <f aca="false">N(N1079)</f>
        <v>2000</v>
      </c>
      <c r="CM1079" s="50" t="n">
        <f aca="false">ROUNDUP(H1079/BY1079,0)</f>
        <v>1</v>
      </c>
      <c r="CN1079" s="50" t="n">
        <f aca="false">ROUNDUP(CI1079/BY1079,0)</f>
        <v>0</v>
      </c>
      <c r="CO1079" s="53" t="n">
        <f aca="false">IF(BZ1079=1,0,IFERROR(VLOOKUP(BX1079,'Gebinde-Kategorie'!$A$5:$N$45,5,0)+0,0))</f>
        <v>8</v>
      </c>
      <c r="CP1079" s="53" t="n">
        <f aca="false">IFERROR(IF(OR(CE1079=1,CE1079=2,CE1079=3),N(INDEX(Parameter!$I$5:$I$7,CE1079)),0),0)</f>
        <v>0</v>
      </c>
      <c r="CQ1079" s="52" t="n">
        <f aca="false">IF(AND(Parameter!$B$21="Ja",ISNUMBER(W1079),N(X1079)&gt;0),IFERROR(N(INDEX(Parameter!$L$5:$L$7,W1079))*INDEX(Parameter!$E$5:$E$7,W1079)*X1079/SUMIFS($X$7:$X$1843,$W$7:$W$1843,W1079),0),0)</f>
        <v>0</v>
      </c>
    </row>
    <row r="1080" customFormat="false" ht="15" hidden="false" customHeight="false" outlineLevel="0" collapsed="false">
      <c r="A1080" s="48" t="s">
        <v>1979</v>
      </c>
      <c r="B1080" s="48" t="s">
        <v>1925</v>
      </c>
      <c r="C1080" s="48" t="s">
        <v>173</v>
      </c>
      <c r="D1080" s="48" t="s">
        <v>193</v>
      </c>
      <c r="E1080" s="48" t="s">
        <v>194</v>
      </c>
      <c r="F1080" s="48" t="s">
        <v>227</v>
      </c>
      <c r="G1080" s="49" t="n">
        <v>45.83</v>
      </c>
      <c r="H1080" s="50" t="n">
        <f aca="false">MAX(0,IF(AND(Parameter!$B$21="Ja",ISNUMBER(Y1080)),Y1080,IF(Parameter!$B$20="Jahresanfang 2025 + Export",BR1080+BQ1080,BQ1080)))</f>
        <v>3</v>
      </c>
      <c r="I1080" s="50" t="n">
        <f aca="false">H1080*G1080</f>
        <v>137.49</v>
      </c>
      <c r="J1080" s="50" t="n">
        <f aca="false">BT1080*Parameter!$B$18</f>
        <v>1</v>
      </c>
      <c r="K1080" s="51" t="n">
        <v>6.5</v>
      </c>
      <c r="L1080" s="52" t="n">
        <v>0.153846153846154</v>
      </c>
      <c r="M1080" s="50" t="n">
        <v>0</v>
      </c>
      <c r="N1080" s="50" t="n">
        <v>1</v>
      </c>
      <c r="O1080" s="53" t="n">
        <v>28</v>
      </c>
      <c r="P1080" s="48" t="s">
        <v>430</v>
      </c>
      <c r="Q1080" s="50" t="n">
        <v>7</v>
      </c>
      <c r="R1080" s="53" t="n">
        <f aca="false">IF(BZ1080=1,0,IFERROR(VLOOKUP(BX1080,'Gebinde-Kategorie'!$A$5:$N$45,13,0)+0,0))</f>
        <v>104</v>
      </c>
      <c r="S1080" s="54"/>
      <c r="T1080" s="55"/>
      <c r="U1080" s="55"/>
      <c r="V1080" s="55"/>
      <c r="W1080" s="48"/>
      <c r="X1080" s="50"/>
      <c r="Y1080" s="50"/>
      <c r="Z1080" s="48" t="n">
        <f aca="false">IF(A1080="","",IF(AND(Parameter!$B$21="Ja",ISNUMBER(W1080)),W1080,IF(CC1080="2+3",IF(ISNUMBER(SEARCH("grosser Artikel",BU1080)),2,IFERROR(VLOOKUP(BX1080,Parameter!$F$35:$G$64,2,0),2)),IF(OR(CC1080="Nein",CC1080=""),"-",CC1080))))</f>
        <v>3</v>
      </c>
      <c r="AA1080" s="55"/>
      <c r="AB1080" s="56"/>
      <c r="AC1080" s="50" t="n">
        <f aca="false">AV1080</f>
        <v>1</v>
      </c>
      <c r="AD1080" s="50" t="n">
        <f aca="false">MAX(AV1080,H1080)</f>
        <v>3</v>
      </c>
      <c r="AE1080" s="57"/>
      <c r="AF1080" s="50" t="n">
        <f aca="false">IF(LEFT(Cockpit!$C$5,1)="A",H1080,IF(Parameter!$E$30="MAX-Bestand",IF(CH1080=1,CI1080,IF(LEFT(Cockpit!$C$5,1)="B",AL1080,MAX(AL1080,H1080))),ROUNDUP(AJ1080,0)))</f>
        <v>3</v>
      </c>
      <c r="AG1080" s="50" t="n">
        <f aca="false">IF(BZ1080=1,0,ROUNDUP(AF1080/BY1080,0))</f>
        <v>1</v>
      </c>
      <c r="AH1080" s="52" t="n">
        <f aca="false">IF(CQ1080&gt;0,CQ1080*MAX(1,AF1080/X1080),IF(BZ1080=1,IF(AF1080&lt;=0,0,CD1080*MAX(1,IF(H1080&gt;0,AF1080/H1080,1))),IF(R1080&gt;0,AG1080/R1080,0))/MAX(0.1,N(Parameter!$M$21)))</f>
        <v>0.00961538461538462</v>
      </c>
      <c r="AI1080" s="50" t="n">
        <f aca="false">AH1080*CB1080</f>
        <v>1.49038461538462</v>
      </c>
      <c r="AJ1080" s="51" t="n">
        <f aca="false">IF(LEFT(Cockpit!$C$5,1)="A",H1080,IF(CH1080=1,(CK1080+CI1080)/2,IF(LEFT(Cockpit!$C$5,1)="B",(CK1080+AL1080)/2,MAX((CK1080+AL1080)/2,H1080))))</f>
        <v>3</v>
      </c>
      <c r="AK1080" s="50" t="n">
        <f aca="false">AJ1080*G1080</f>
        <v>137.49</v>
      </c>
      <c r="AL1080" s="50" t="n">
        <f aca="false">ROUNDUP(CK1080+MAX(CL1080,2*(J1080/IF(CG1080&gt;0,CG1080,MAX(0.1,N(Cockpit!$C$6)))-CK1080)),0)</f>
        <v>1</v>
      </c>
      <c r="AM1080" s="51" t="n">
        <f aca="false">IF(AI1080&gt;0,J1080/AI1080,-1)</f>
        <v>0.670967741935484</v>
      </c>
      <c r="AN1080" s="51" t="n">
        <f aca="false">IF(AND(OR(CF1080="L1",CF1080="L23",CF1080="LIFT"),AI1080&gt;0),SUMIFS($AI$7:$AI$1843,$CF$7:$CF$1843,CF1080,$AM$7:$AM$1843,"&gt;"&amp;AM1080)+SUMIFS($AI$7:$AI$1843,$CF$7:$CF$1843,CF1080,$AM$7:$AM$1843,AM1080,$BW$7:$BW$1843,"&lt;="&amp;BW1080),"")</f>
        <v>8631.01602564103</v>
      </c>
      <c r="AO1080" s="58" t="n">
        <f aca="false">IF(AN1080="",0,MAX(0,MIN(1,(IF(CF1080="L1",Parameter!$H$5,IF(CF1080="L23",Parameter!$H$6+Parameter!$H$7,Parameter!$H$5+Parameter!$H$6+Parameter!$H$7))-(AN1080-AI1080))/AI1080)))</f>
        <v>1</v>
      </c>
      <c r="AP1080" s="50" t="n">
        <f aca="false">IF(LEFT(Cockpit!$I$5,1)="A",H1080,IF(Parameter!$E$30="MAX-Bestand",IF(CH1080=1,CI1080,IF(LEFT(Cockpit!$I$5,1)="B",AV1080,MAX(AV1080,H1080))),ROUNDUP(AT1080,0)))</f>
        <v>3</v>
      </c>
      <c r="AQ1080" s="50" t="n">
        <f aca="false">IF(BZ1080=1,0,ROUNDUP(AP1080/BY1080,0))</f>
        <v>1</v>
      </c>
      <c r="AR1080" s="52" t="n">
        <f aca="false">IF(CQ1080&gt;0,CQ1080*MAX(1,AP1080/X1080),IF(BZ1080=1,IF(AP1080&lt;=0,0,CD1080*MAX(1,IF(H1080&gt;0,AP1080/H1080,1))),IF(R1080&gt;0,AQ1080/R1080,0))/MAX(0.1,N(Parameter!$M$21)))</f>
        <v>0.00961538461538462</v>
      </c>
      <c r="AS1080" s="50" t="n">
        <f aca="false">AR1080*CB1080</f>
        <v>1.49038461538462</v>
      </c>
      <c r="AT1080" s="51" t="n">
        <f aca="false">IF(LEFT(Cockpit!$I$5,1)="A",H1080,IF(CH1080=1,(CK1080+CI1080)/2,IF(LEFT(Cockpit!$I$5,1)="B",(CK1080+AV1080)/2,MAX((CK1080+AV1080)/2,H1080))))</f>
        <v>3</v>
      </c>
      <c r="AU1080" s="50" t="n">
        <f aca="false">AT1080*G1080</f>
        <v>137.49</v>
      </c>
      <c r="AV1080" s="50" t="n">
        <f aca="false">ROUNDUP(CK1080+MAX(CL1080,2*(J1080/IF(CG1080&gt;0,CG1080,MAX(0.1,N(Cockpit!$I$6)))-CK1080)),0)</f>
        <v>1</v>
      </c>
      <c r="AW1080" s="51" t="n">
        <f aca="false">IF(AS1080&gt;0,J1080/AS1080,-1)</f>
        <v>0.670967741935484</v>
      </c>
      <c r="AX1080" s="51" t="n">
        <f aca="false">IF(AND(OR(CF1080="L1",CF1080="L23",CF1080="LIFT"),AS1080&gt;0),SUMIFS($AS$7:$AS$1843,$CF$7:$CF$1843,CF1080,$AW$7:$AW$1843,"&gt;"&amp;AW1080)+SUMIFS($AS$7:$AS$1843,$CF$7:$CF$1843,CF1080,$AW$7:$AW$1843,AW1080,$BW$7:$BW$1843,"&lt;="&amp;BW1080),"")</f>
        <v>10925.1836080586</v>
      </c>
      <c r="AY1080" s="58" t="n">
        <f aca="false">IF(AX1080="",0,MAX(0,MIN(1,(IF(CF1080="L1",Parameter!$H$5,IF(CF1080="L23",Parameter!$H$6+Parameter!$H$7,Parameter!$H$5+Parameter!$H$6+Parameter!$H$7))-(AX1080-AS1080))/AS1080)))</f>
        <v>1</v>
      </c>
      <c r="AZ1080" s="50" t="n">
        <f aca="false">IF(LEFT(Cockpit!$O$5,1)="A",H1080,IF(Parameter!$E$30="MAX-Bestand",IF(CH1080=1,CI1080,IF(LEFT(Cockpit!$O$5,1)="B",BF1080,MAX(BF1080,H1080))),ROUNDUP(BD1080,0)))</f>
        <v>1</v>
      </c>
      <c r="BA1080" s="50" t="n">
        <f aca="false">IF(BZ1080=1,0,ROUNDUP(AZ1080/BY1080,0))</f>
        <v>1</v>
      </c>
      <c r="BB1080" s="52" t="n">
        <f aca="false">IF(CQ1080&gt;0,CQ1080*MAX(1,AZ1080/X1080),IF(BZ1080=1,IF(AZ1080&lt;=0,0,CD1080*MAX(1,IF(H1080&gt;0,AZ1080/H1080,1))),IF(R1080&gt;0,BA1080/R1080,0))/MAX(0.1,N(Parameter!$M$21)))</f>
        <v>0.00961538461538462</v>
      </c>
      <c r="BC1080" s="50" t="n">
        <f aca="false">BB1080*CB1080</f>
        <v>1.49038461538462</v>
      </c>
      <c r="BD1080" s="51" t="n">
        <f aca="false">IF(LEFT(Cockpit!$O$5,1)="A",H1080,IF(CH1080=1,(CK1080+CI1080)/2,IF(LEFT(Cockpit!$O$5,1)="B",(CK1080+BF1080)/2,MAX((CK1080+BF1080)/2,H1080))))</f>
        <v>0.5</v>
      </c>
      <c r="BE1080" s="50" t="n">
        <f aca="false">BD1080*G1080</f>
        <v>22.915</v>
      </c>
      <c r="BF1080" s="50" t="n">
        <f aca="false">ROUNDUP(CK1080+MAX(CL1080,2*(J1080/IF(CG1080&gt;0,CG1080,MAX(0.1,N(Cockpit!$O$6)))-CK1080)),0)</f>
        <v>1</v>
      </c>
      <c r="BG1080" s="51" t="n">
        <f aca="false">IF(BC1080&gt;0,J1080/BC1080,-1)</f>
        <v>0.670967741935484</v>
      </c>
      <c r="BH1080" s="51" t="n">
        <f aca="false">IF(AND(OR(CF1080="L1",CF1080="L23",CF1080="LIFT"),BC1080&gt;0),SUMIFS($BC$7:$BC$1843,$CF$7:$CF$1843,CF1080,$BG$7:$BG$1843,"&gt;"&amp;BG1080)+SUMIFS($BC$7:$BC$1843,$CF$7:$CF$1843,CF1080,$BG$7:$BG$1843,BG1080,$BW$7:$BW$1843,"&lt;="&amp;BW1080),"")</f>
        <v>9534.81776556777</v>
      </c>
      <c r="BI1080" s="58" t="n">
        <f aca="false">IF(BH1080="",0,MAX(0,MIN(1,(IF(CF1080="L1",Parameter!$H$5,IF(CF1080="L23",Parameter!$H$6+Parameter!$H$7,Parameter!$H$5+Parameter!$H$6+Parameter!$H$7))-(BH1080-BC1080))/BC1080)))</f>
        <v>1</v>
      </c>
      <c r="BJ1080" s="48" t="str">
        <f aca="false">IF(AI1080&lt;=0,"",IF(CF1080="Aussen","Aussenlager",IF(CF1080="-","Nicht im Lift",IF(AO1080&gt;=1,"Lift",IF(AO1080&lt;=0,"Aussenlager","teilweise")))))</f>
        <v>Lift</v>
      </c>
      <c r="BK1080" s="48" t="str">
        <f aca="false">IF(AS1080&lt;=0,"",IF(CF1080="Aussen","Aussenlager",IF(CF1080="-","Nicht im Lift",IF(AY1080&gt;=1,"Lift",IF(AY1080&lt;=0,"Aussenlager","teilweise")))))</f>
        <v>Lift</v>
      </c>
      <c r="BL1080" s="48" t="str">
        <f aca="false">IF(BC1080&lt;=0,"",IF(CF1080="Aussen","Aussenlager",IF(CF1080="-","Nicht im Lift",IF(BI1080&gt;=1,"Lift",IF(BI1080&lt;=0,"Aussenlager","teilweise")))))</f>
        <v>Lift</v>
      </c>
      <c r="BM1080" s="48" t="str">
        <f aca="false">IF(A1080="","",IF(BV1080=1,"Neu; ","")&amp;IF(AND(BV1080=0,BQ1080&lt;0),"negativer Bestand (Export "&amp;BQ1080&amp;"); ","")&amp;IF(J1080&lt;=0,"Kein Verbrauch; ","")&amp;IF(CQ1080&gt;0,"Lift "&amp;W1080&amp;" lt. Liftbericht (Fach "&amp;X1080&amp;" Stk); ",IF(CA1080=1,"Gebinde geschätzt ("&amp;T1080&amp;"); ",IF(BZ1080=1,"Lose – Tablare geschätzt; ","")))&amp;IF(H1080&gt;AV1080,"Überbestand "&amp;ROUND(H1080-AV1080,0)&amp;" Stk / CHF "&amp;ROUND((H1080-AV1080)*G1080,0)&amp;"; ","")&amp;IF(AND(CH1080=1,CI1080&lt;CJ1080),"MAX &lt; MB+LG; ","")&amp;IF(AND(CP1080&gt;0,CO1080*10&gt;CP1080),"zu hoch für Tablar; ","")&amp;IF(AND(BV1080=0,OR(CH1080=1,AA1080&lt;&gt;"",U1080&lt;&gt;"",V1080&lt;&gt;"",AB1080&lt;&gt;"")),"manuell übersteuert; ","")&amp;IF(AND(BZ1080=0,R1080=0),"Gebinde unbekannt / Stellmass fehlt; ","")&amp;IF(AND(BZ1080=0,N(V1080)&lt;=0,N(Q1080)&lt;=0),"Menge pro Gebinde fehlt (Ist = 1 Gebinde); ","")&amp;BU1080)</f>
        <v>negativer Bestand (Export -4); Überbestand 2 Stk / CHF 92; </v>
      </c>
      <c r="BN1080" s="48"/>
      <c r="BO1080" s="48"/>
      <c r="BP1080" s="55"/>
      <c r="BQ1080" s="50" t="n">
        <v>-4</v>
      </c>
      <c r="BR1080" s="50" t="n">
        <v>7</v>
      </c>
      <c r="BS1080" s="49" t="n">
        <v>-183.32</v>
      </c>
      <c r="BT1080" s="50" t="n">
        <v>1</v>
      </c>
      <c r="BU1080" s="48"/>
      <c r="BV1080" s="53" t="n">
        <v>0</v>
      </c>
      <c r="BW1080" s="53" t="n">
        <v>1080</v>
      </c>
      <c r="BX1080" s="48" t="str">
        <f aca="false">IF(U1080&lt;&gt;"",UPPER(TRIM(U1080)),IF(CA1080=1,UPPER(VLOOKUP(T1080,Parameter!$I$27:$K$29,2,0)),IF(P1080="","LOSE",P1080)))</f>
        <v>S32</v>
      </c>
      <c r="BY1080" s="50" t="n">
        <f aca="false">IF(BX1080="LOSE",1,IF(N(V1080)&gt;0,V1080,IF(CA1080=1,MAX(1,N(VLOOKUP(T1080,Parameter!$I$27:$K$29,3,0)),H1080,N(N1080)),IF(N(Q1080)&gt;0,Q1080,MAX(1,H1080)))))</f>
        <v>7</v>
      </c>
      <c r="BZ1080" s="53" t="n">
        <f aca="false">IF(BX1080="LOSE",1,0)</f>
        <v>0</v>
      </c>
      <c r="CA1080" s="53" t="n">
        <f aca="false">IF(AND(U1080="",OR(P1080="",P1080="LOSE"),T1080&lt;&gt;"",N(S1080)&lt;=0,ISNUMBER(MATCH(T1080,Parameter!$I$27:$I$29,0))),1,0)</f>
        <v>0</v>
      </c>
      <c r="CB1080" s="53" t="n">
        <f aca="false">IF(CQ1080&gt;0,INDEX(Parameter!$H$5:$H$7,W1080)/INDEX(Parameter!$E$5:$E$7,W1080),IF(AND(BZ1080=0,N(IFERROR(VLOOKUP(BX1080,'Gebinde-Kategorie'!$A$5:$N$45,14,0),0))&gt;0),VLOOKUP(BX1080,'Gebinde-Kategorie'!$A$5:$N$45,14,0)*10+Parameter!$M$23,Parameter!$M$24))</f>
        <v>155</v>
      </c>
      <c r="CC1080" s="48" t="str">
        <f aca="false">IF(AND(Parameter!$B$19="Ja",E1080&lt;&gt;"",ISNUMBER(MATCH(E1080,Parameter!$I$35:$I$52,0))),VLOOKUP(E1080,Parameter!$I$35:$J$52,2,0),IFERROR(VLOOKUP(D1080,Parameter!$A$35:$C$64,2,0),"Nein"))</f>
        <v>2+3</v>
      </c>
      <c r="CD1080" s="52" t="n">
        <f aca="false">IF(BZ1080=0,0,IF(N(S1080)&gt;0,S1080,IFERROR(VLOOKUP(D1080,Parameter!$A$35:$C$64,3,0)+0,0)))</f>
        <v>0</v>
      </c>
      <c r="CE1080" s="48" t="n">
        <f aca="false">IF(AA1080&lt;&gt;"",AA1080,Z1080)</f>
        <v>3</v>
      </c>
      <c r="CF1080" s="48" t="str">
        <f aca="false">IF(OR(CE1080=1,CE1080=2,CE1080=3),IF(Parameter!$E$27="Ja","LIFT",IF(CE1080=1,"L1","L23")),IF(CE1080="Aussen","Aussen","-"))</f>
        <v>LIFT</v>
      </c>
      <c r="CG1080" s="59" t="n">
        <f aca="false">IF(N(AB1080)&gt;0,AB1080,0)</f>
        <v>0</v>
      </c>
      <c r="CH1080" s="53" t="n">
        <f aca="false">IF(ISNUMBER(AE1080),1,0)</f>
        <v>0</v>
      </c>
      <c r="CI1080" s="50" t="n">
        <f aca="false">N(AE1080)</f>
        <v>0</v>
      </c>
      <c r="CJ1080" s="50" t="n">
        <f aca="false">N(M1080)+N(N1080)</f>
        <v>1</v>
      </c>
      <c r="CK1080" s="50" t="n">
        <f aca="false">N(M1080)</f>
        <v>0</v>
      </c>
      <c r="CL1080" s="50" t="n">
        <f aca="false">N(N1080)</f>
        <v>1</v>
      </c>
      <c r="CM1080" s="50" t="n">
        <f aca="false">ROUNDUP(H1080/BY1080,0)</f>
        <v>1</v>
      </c>
      <c r="CN1080" s="50" t="n">
        <f aca="false">ROUNDUP(CI1080/BY1080,0)</f>
        <v>0</v>
      </c>
      <c r="CO1080" s="53" t="n">
        <f aca="false">IF(BZ1080=1,0,IFERROR(VLOOKUP(BX1080,'Gebinde-Kategorie'!$A$5:$N$45,5,0)+0,0))</f>
        <v>8</v>
      </c>
      <c r="CP1080" s="53" t="n">
        <f aca="false">IFERROR(IF(OR(CE1080=1,CE1080=2,CE1080=3),N(INDEX(Parameter!$I$5:$I$7,CE1080)),0),0)</f>
        <v>0</v>
      </c>
      <c r="CQ1080" s="52" t="n">
        <f aca="false">IF(AND(Parameter!$B$21="Ja",ISNUMBER(W1080),N(X1080)&gt;0),IFERROR(N(INDEX(Parameter!$L$5:$L$7,W1080))*INDEX(Parameter!$E$5:$E$7,W1080)*X1080/SUMIFS($X$7:$X$1843,$W$7:$W$1843,W1080),0),0)</f>
        <v>0</v>
      </c>
    </row>
    <row r="1081" customFormat="false" ht="15" hidden="false" customHeight="false" outlineLevel="0" collapsed="false">
      <c r="A1081" s="48" t="s">
        <v>1980</v>
      </c>
      <c r="B1081" s="48" t="s">
        <v>504</v>
      </c>
      <c r="C1081" s="48" t="s">
        <v>173</v>
      </c>
      <c r="D1081" s="48" t="s">
        <v>193</v>
      </c>
      <c r="E1081" s="48" t="s">
        <v>194</v>
      </c>
      <c r="F1081" s="48" t="s">
        <v>227</v>
      </c>
      <c r="G1081" s="49" t="n">
        <v>3.55</v>
      </c>
      <c r="H1081" s="50" t="n">
        <f aca="false">MAX(0,IF(AND(Parameter!$B$21="Ja",ISNUMBER(Y1081)),Y1081,IF(Parameter!$B$20="Jahresanfang 2025 + Export",BR1081+BQ1081,BQ1081)))</f>
        <v>162</v>
      </c>
      <c r="I1081" s="50" t="n">
        <f aca="false">H1081*G1081</f>
        <v>575.1</v>
      </c>
      <c r="J1081" s="50" t="n">
        <f aca="false">BT1081*Parameter!$B$18</f>
        <v>549</v>
      </c>
      <c r="K1081" s="51" t="n">
        <v>249.5</v>
      </c>
      <c r="L1081" s="52" t="n">
        <v>2.20040080160321</v>
      </c>
      <c r="M1081" s="50" t="n">
        <v>21</v>
      </c>
      <c r="N1081" s="50" t="n">
        <v>100</v>
      </c>
      <c r="O1081" s="53" t="n">
        <v>14</v>
      </c>
      <c r="P1081" s="48" t="s">
        <v>485</v>
      </c>
      <c r="Q1081" s="50" t="n">
        <v>716</v>
      </c>
      <c r="R1081" s="53" t="n">
        <f aca="false">IF(BZ1081=1,0,IFERROR(VLOOKUP(BX1081,'Gebinde-Kategorie'!$A$5:$N$45,13,0)+0,0))</f>
        <v>52</v>
      </c>
      <c r="S1081" s="54"/>
      <c r="T1081" s="55"/>
      <c r="U1081" s="55"/>
      <c r="V1081" s="55"/>
      <c r="W1081" s="48"/>
      <c r="X1081" s="50"/>
      <c r="Y1081" s="50"/>
      <c r="Z1081" s="48" t="n">
        <f aca="false">IF(A1081="","",IF(AND(Parameter!$B$21="Ja",ISNUMBER(W1081)),W1081,IF(CC1081="2+3",IF(ISNUMBER(SEARCH("grosser Artikel",BU1081)),2,IFERROR(VLOOKUP(BX1081,Parameter!$F$35:$G$64,2,0),2)),IF(OR(CC1081="Nein",CC1081=""),"-",CC1081))))</f>
        <v>3</v>
      </c>
      <c r="AA1081" s="55"/>
      <c r="AB1081" s="56"/>
      <c r="AC1081" s="50" t="n">
        <f aca="false">AV1081</f>
        <v>345</v>
      </c>
      <c r="AD1081" s="50" t="n">
        <f aca="false">MAX(AV1081,H1081)</f>
        <v>345</v>
      </c>
      <c r="AE1081" s="57"/>
      <c r="AF1081" s="50" t="n">
        <f aca="false">IF(LEFT(Cockpit!$C$5,1)="A",H1081,IF(Parameter!$E$30="MAX-Bestand",IF(CH1081=1,CI1081,IF(LEFT(Cockpit!$C$5,1)="B",AL1081,MAX(AL1081,H1081))),ROUNDUP(AJ1081,0)))</f>
        <v>162</v>
      </c>
      <c r="AG1081" s="50" t="n">
        <f aca="false">IF(BZ1081=1,0,ROUNDUP(AF1081/BY1081,0))</f>
        <v>1</v>
      </c>
      <c r="AH1081" s="52" t="n">
        <f aca="false">IF(CQ1081&gt;0,CQ1081*MAX(1,AF1081/X1081),IF(BZ1081=1,IF(AF1081&lt;=0,0,CD1081*MAX(1,IF(H1081&gt;0,AF1081/H1081,1))),IF(R1081&gt;0,AG1081/R1081,0))/MAX(0.1,N(Parameter!$M$21)))</f>
        <v>0.0192307692307692</v>
      </c>
      <c r="AI1081" s="50" t="n">
        <f aca="false">AH1081*CB1081</f>
        <v>2.98076923076923</v>
      </c>
      <c r="AJ1081" s="51" t="n">
        <f aca="false">IF(LEFT(Cockpit!$C$5,1)="A",H1081,IF(CH1081=1,(CK1081+CI1081)/2,IF(LEFT(Cockpit!$C$5,1)="B",(CK1081+AL1081)/2,MAX((CK1081+AL1081)/2,H1081))))</f>
        <v>162</v>
      </c>
      <c r="AK1081" s="50" t="n">
        <f aca="false">AJ1081*G1081</f>
        <v>575.1</v>
      </c>
      <c r="AL1081" s="50" t="n">
        <f aca="false">ROUNDUP(CK1081+MAX(CL1081,2*(J1081/IF(CG1081&gt;0,CG1081,MAX(0.1,N(Cockpit!$C$6)))-CK1081)),0)</f>
        <v>345</v>
      </c>
      <c r="AM1081" s="51" t="n">
        <f aca="false">IF(AI1081&gt;0,J1081/AI1081,-1)</f>
        <v>184.18064516129</v>
      </c>
      <c r="AN1081" s="51" t="n">
        <f aca="false">IF(AND(OR(CF1081="L1",CF1081="L23",CF1081="LIFT"),AI1081&gt;0),SUMIFS($AI$7:$AI$1843,$CF$7:$CF$1843,CF1081,$AM$7:$AM$1843,"&gt;"&amp;AM1081)+SUMIFS($AI$7:$AI$1843,$CF$7:$CF$1843,CF1081,$AM$7:$AM$1843,AM1081,$BW$7:$BW$1843,"&lt;="&amp;BW1081),"")</f>
        <v>385.858974358974</v>
      </c>
      <c r="AO1081" s="58" t="n">
        <f aca="false">IF(AN1081="",0,MAX(0,MIN(1,(IF(CF1081="L1",Parameter!$H$5,IF(CF1081="L23",Parameter!$H$6+Parameter!$H$7,Parameter!$H$5+Parameter!$H$6+Parameter!$H$7))-(AN1081-AI1081))/AI1081)))</f>
        <v>1</v>
      </c>
      <c r="AP1081" s="50" t="n">
        <f aca="false">IF(LEFT(Cockpit!$I$5,1)="A",H1081,IF(Parameter!$E$30="MAX-Bestand",IF(CH1081=1,CI1081,IF(LEFT(Cockpit!$I$5,1)="B",AV1081,MAX(AV1081,H1081))),ROUNDUP(AT1081,0)))</f>
        <v>183</v>
      </c>
      <c r="AQ1081" s="50" t="n">
        <f aca="false">IF(BZ1081=1,0,ROUNDUP(AP1081/BY1081,0))</f>
        <v>1</v>
      </c>
      <c r="AR1081" s="52" t="n">
        <f aca="false">IF(CQ1081&gt;0,CQ1081*MAX(1,AP1081/X1081),IF(BZ1081=1,IF(AP1081&lt;=0,0,CD1081*MAX(1,IF(H1081&gt;0,AP1081/H1081,1))),IF(R1081&gt;0,AQ1081/R1081,0))/MAX(0.1,N(Parameter!$M$21)))</f>
        <v>0.0192307692307692</v>
      </c>
      <c r="AS1081" s="50" t="n">
        <f aca="false">AR1081*CB1081</f>
        <v>2.98076923076923</v>
      </c>
      <c r="AT1081" s="51" t="n">
        <f aca="false">IF(LEFT(Cockpit!$I$5,1)="A",H1081,IF(CH1081=1,(CK1081+CI1081)/2,IF(LEFT(Cockpit!$I$5,1)="B",(CK1081+AV1081)/2,MAX((CK1081+AV1081)/2,H1081))))</f>
        <v>183</v>
      </c>
      <c r="AU1081" s="50" t="n">
        <f aca="false">AT1081*G1081</f>
        <v>649.65</v>
      </c>
      <c r="AV1081" s="50" t="n">
        <f aca="false">ROUNDUP(CK1081+MAX(CL1081,2*(J1081/IF(CG1081&gt;0,CG1081,MAX(0.1,N(Cockpit!$I$6)))-CK1081)),0)</f>
        <v>345</v>
      </c>
      <c r="AW1081" s="51" t="n">
        <f aca="false">IF(AS1081&gt;0,J1081/AS1081,-1)</f>
        <v>184.18064516129</v>
      </c>
      <c r="AX1081" s="51" t="n">
        <f aca="false">IF(AND(OR(CF1081="L1",CF1081="L23",CF1081="LIFT"),AS1081&gt;0),SUMIFS($AS$7:$AS$1843,$CF$7:$CF$1843,CF1081,$AW$7:$AW$1843,"&gt;"&amp;AW1081)+SUMIFS($AS$7:$AS$1843,$CF$7:$CF$1843,CF1081,$AW$7:$AW$1843,AW1081,$BW$7:$BW$1843,"&lt;="&amp;BW1081),"")</f>
        <v>503.495879120879</v>
      </c>
      <c r="AY1081" s="58" t="n">
        <f aca="false">IF(AX1081="",0,MAX(0,MIN(1,(IF(CF1081="L1",Parameter!$H$5,IF(CF1081="L23",Parameter!$H$6+Parameter!$H$7,Parameter!$H$5+Parameter!$H$6+Parameter!$H$7))-(AX1081-AS1081))/AS1081)))</f>
        <v>1</v>
      </c>
      <c r="AZ1081" s="50" t="n">
        <f aca="false">IF(LEFT(Cockpit!$O$5,1)="A",H1081,IF(Parameter!$E$30="MAX-Bestand",IF(CH1081=1,CI1081,IF(LEFT(Cockpit!$O$5,1)="B",BF1081,MAX(BF1081,H1081))),ROUNDUP(BD1081,0)))</f>
        <v>138</v>
      </c>
      <c r="BA1081" s="50" t="n">
        <f aca="false">IF(BZ1081=1,0,ROUNDUP(AZ1081/BY1081,0))</f>
        <v>1</v>
      </c>
      <c r="BB1081" s="52" t="n">
        <f aca="false">IF(CQ1081&gt;0,CQ1081*MAX(1,AZ1081/X1081),IF(BZ1081=1,IF(AZ1081&lt;=0,0,CD1081*MAX(1,IF(H1081&gt;0,AZ1081/H1081,1))),IF(R1081&gt;0,BA1081/R1081,0))/MAX(0.1,N(Parameter!$M$21)))</f>
        <v>0.0192307692307692</v>
      </c>
      <c r="BC1081" s="50" t="n">
        <f aca="false">BB1081*CB1081</f>
        <v>2.98076923076923</v>
      </c>
      <c r="BD1081" s="51" t="n">
        <f aca="false">IF(LEFT(Cockpit!$O$5,1)="A",H1081,IF(CH1081=1,(CK1081+CI1081)/2,IF(LEFT(Cockpit!$O$5,1)="B",(CK1081+BF1081)/2,MAX((CK1081+BF1081)/2,H1081))))</f>
        <v>137.5</v>
      </c>
      <c r="BE1081" s="50" t="n">
        <f aca="false">BD1081*G1081</f>
        <v>488.125</v>
      </c>
      <c r="BF1081" s="50" t="n">
        <f aca="false">ROUNDUP(CK1081+MAX(CL1081,2*(J1081/IF(CG1081&gt;0,CG1081,MAX(0.1,N(Cockpit!$O$6)))-CK1081)),0)</f>
        <v>254</v>
      </c>
      <c r="BG1081" s="51" t="n">
        <f aca="false">IF(BC1081&gt;0,J1081/BC1081,-1)</f>
        <v>184.18064516129</v>
      </c>
      <c r="BH1081" s="51" t="n">
        <f aca="false">IF(AND(OR(CF1081="L1",CF1081="L23",CF1081="LIFT"),BC1081&gt;0),SUMIFS($BC$7:$BC$1843,$CF$7:$CF$1843,CF1081,$BG$7:$BG$1843,"&gt;"&amp;BG1081)+SUMIFS($BC$7:$BC$1843,$CF$7:$CF$1843,CF1081,$BG$7:$BG$1843,BG1081,$BW$7:$BW$1843,"&lt;="&amp;BW1081),"")</f>
        <v>496.18543956044</v>
      </c>
      <c r="BI1081" s="58" t="n">
        <f aca="false">IF(BH1081="",0,MAX(0,MIN(1,(IF(CF1081="L1",Parameter!$H$5,IF(CF1081="L23",Parameter!$H$6+Parameter!$H$7,Parameter!$H$5+Parameter!$H$6+Parameter!$H$7))-(BH1081-BC1081))/BC1081)))</f>
        <v>1</v>
      </c>
      <c r="BJ1081" s="48" t="str">
        <f aca="false">IF(AI1081&lt;=0,"",IF(CF1081="Aussen","Aussenlager",IF(CF1081="-","Nicht im Lift",IF(AO1081&gt;=1,"Lift",IF(AO1081&lt;=0,"Aussenlager","teilweise")))))</f>
        <v>Lift</v>
      </c>
      <c r="BK1081" s="48" t="str">
        <f aca="false">IF(AS1081&lt;=0,"",IF(CF1081="Aussen","Aussenlager",IF(CF1081="-","Nicht im Lift",IF(AY1081&gt;=1,"Lift",IF(AY1081&lt;=0,"Aussenlager","teilweise")))))</f>
        <v>Lift</v>
      </c>
      <c r="BL1081" s="48" t="str">
        <f aca="false">IF(BC1081&lt;=0,"",IF(CF1081="Aussen","Aussenlager",IF(CF1081="-","Nicht im Lift",IF(BI1081&gt;=1,"Lift",IF(BI1081&lt;=0,"Aussenlager","teilweise")))))</f>
        <v>Lift</v>
      </c>
      <c r="BM1081" s="48" t="str">
        <f aca="false">IF(A1081="","",IF(BV1081=1,"Neu; ","")&amp;IF(AND(BV1081=0,BQ1081&lt;0),"negativer Bestand (Export "&amp;BQ1081&amp;"); ","")&amp;IF(J1081&lt;=0,"Kein Verbrauch; ","")&amp;IF(CQ1081&gt;0,"Lift "&amp;W1081&amp;" lt. Liftbericht (Fach "&amp;X1081&amp;" Stk); ",IF(CA1081=1,"Gebinde geschätzt ("&amp;T1081&amp;"); ",IF(BZ1081=1,"Lose – Tablare geschätzt; ","")))&amp;IF(H1081&gt;AV1081,"Überbestand "&amp;ROUND(H1081-AV1081,0)&amp;" Stk / CHF "&amp;ROUND((H1081-AV1081)*G1081,0)&amp;"; ","")&amp;IF(AND(CH1081=1,CI1081&lt;CJ1081),"MAX &lt; MB+LG; ","")&amp;IF(AND(CP1081&gt;0,CO1081*10&gt;CP1081),"zu hoch für Tablar; ","")&amp;IF(AND(BV1081=0,OR(CH1081=1,AA1081&lt;&gt;"",U1081&lt;&gt;"",V1081&lt;&gt;"",AB1081&lt;&gt;"")),"manuell übersteuert; ","")&amp;IF(AND(BZ1081=0,R1081=0),"Gebinde unbekannt / Stellmass fehlt; ","")&amp;IF(AND(BZ1081=0,N(V1081)&lt;=0,N(Q1081)&lt;=0),"Menge pro Gebinde fehlt (Ist = 1 Gebinde); ","")&amp;BU1081)</f>
        <v>negativer Bestand (Export -66); </v>
      </c>
      <c r="BN1081" s="48"/>
      <c r="BO1081" s="48"/>
      <c r="BP1081" s="55"/>
      <c r="BQ1081" s="50" t="n">
        <v>-66</v>
      </c>
      <c r="BR1081" s="50" t="n">
        <v>228</v>
      </c>
      <c r="BS1081" s="49" t="n">
        <v>-186.46</v>
      </c>
      <c r="BT1081" s="50" t="n">
        <v>549</v>
      </c>
      <c r="BU1081" s="48"/>
      <c r="BV1081" s="53" t="n">
        <v>0</v>
      </c>
      <c r="BW1081" s="53" t="n">
        <v>1081</v>
      </c>
      <c r="BX1081" s="48" t="str">
        <f aca="false">IF(U1081&lt;&gt;"",UPPER(TRIM(U1081)),IF(CA1081=1,UPPER(VLOOKUP(T1081,Parameter!$I$27:$K$29,2,0)),IF(P1081="","LOSE",P1081)))</f>
        <v>S33</v>
      </c>
      <c r="BY1081" s="50" t="n">
        <f aca="false">IF(BX1081="LOSE",1,IF(N(V1081)&gt;0,V1081,IF(CA1081=1,MAX(1,N(VLOOKUP(T1081,Parameter!$I$27:$K$29,3,0)),H1081,N(N1081)),IF(N(Q1081)&gt;0,Q1081,MAX(1,H1081)))))</f>
        <v>716</v>
      </c>
      <c r="BZ1081" s="53" t="n">
        <f aca="false">IF(BX1081="LOSE",1,0)</f>
        <v>0</v>
      </c>
      <c r="CA1081" s="53" t="n">
        <f aca="false">IF(AND(U1081="",OR(P1081="",P1081="LOSE"),T1081&lt;&gt;"",N(S1081)&lt;=0,ISNUMBER(MATCH(T1081,Parameter!$I$27:$I$29,0))),1,0)</f>
        <v>0</v>
      </c>
      <c r="CB1081" s="53" t="n">
        <f aca="false">IF(CQ1081&gt;0,INDEX(Parameter!$H$5:$H$7,W1081)/INDEX(Parameter!$E$5:$E$7,W1081),IF(AND(BZ1081=0,N(IFERROR(VLOOKUP(BX1081,'Gebinde-Kategorie'!$A$5:$N$45,14,0),0))&gt;0),VLOOKUP(BX1081,'Gebinde-Kategorie'!$A$5:$N$45,14,0)*10+Parameter!$M$23,Parameter!$M$24))</f>
        <v>155</v>
      </c>
      <c r="CC1081" s="48" t="str">
        <f aca="false">IF(AND(Parameter!$B$19="Ja",E1081&lt;&gt;"",ISNUMBER(MATCH(E1081,Parameter!$I$35:$I$52,0))),VLOOKUP(E1081,Parameter!$I$35:$J$52,2,0),IFERROR(VLOOKUP(D1081,Parameter!$A$35:$C$64,2,0),"Nein"))</f>
        <v>2+3</v>
      </c>
      <c r="CD1081" s="52" t="n">
        <f aca="false">IF(BZ1081=0,0,IF(N(S1081)&gt;0,S1081,IFERROR(VLOOKUP(D1081,Parameter!$A$35:$C$64,3,0)+0,0)))</f>
        <v>0</v>
      </c>
      <c r="CE1081" s="48" t="n">
        <f aca="false">IF(AA1081&lt;&gt;"",AA1081,Z1081)</f>
        <v>3</v>
      </c>
      <c r="CF1081" s="48" t="str">
        <f aca="false">IF(OR(CE1081=1,CE1081=2,CE1081=3),IF(Parameter!$E$27="Ja","LIFT",IF(CE1081=1,"L1","L23")),IF(CE1081="Aussen","Aussen","-"))</f>
        <v>LIFT</v>
      </c>
      <c r="CG1081" s="59" t="n">
        <f aca="false">IF(N(AB1081)&gt;0,AB1081,0)</f>
        <v>0</v>
      </c>
      <c r="CH1081" s="53" t="n">
        <f aca="false">IF(ISNUMBER(AE1081),1,0)</f>
        <v>0</v>
      </c>
      <c r="CI1081" s="50" t="n">
        <f aca="false">N(AE1081)</f>
        <v>0</v>
      </c>
      <c r="CJ1081" s="50" t="n">
        <f aca="false">N(M1081)+N(N1081)</f>
        <v>121</v>
      </c>
      <c r="CK1081" s="50" t="n">
        <f aca="false">N(M1081)</f>
        <v>21</v>
      </c>
      <c r="CL1081" s="50" t="n">
        <f aca="false">N(N1081)</f>
        <v>100</v>
      </c>
      <c r="CM1081" s="50" t="n">
        <f aca="false">ROUNDUP(H1081/BY1081,0)</f>
        <v>1</v>
      </c>
      <c r="CN1081" s="50" t="n">
        <f aca="false">ROUNDUP(CI1081/BY1081,0)</f>
        <v>0</v>
      </c>
      <c r="CO1081" s="53" t="n">
        <f aca="false">IF(BZ1081=1,0,IFERROR(VLOOKUP(BX1081,'Gebinde-Kategorie'!$A$5:$N$45,5,0)+0,0))</f>
        <v>8</v>
      </c>
      <c r="CP1081" s="53" t="n">
        <f aca="false">IFERROR(IF(OR(CE1081=1,CE1081=2,CE1081=3),N(INDEX(Parameter!$I$5:$I$7,CE1081)),0),0)</f>
        <v>0</v>
      </c>
      <c r="CQ1081" s="52" t="n">
        <f aca="false">IF(AND(Parameter!$B$21="Ja",ISNUMBER(W1081),N(X1081)&gt;0),IFERROR(N(INDEX(Parameter!$L$5:$L$7,W1081))*INDEX(Parameter!$E$5:$E$7,W1081)*X1081/SUMIFS($X$7:$X$1843,$W$7:$W$1843,W1081),0),0)</f>
        <v>0</v>
      </c>
    </row>
    <row r="1082" customFormat="false" ht="15" hidden="false" customHeight="false" outlineLevel="0" collapsed="false">
      <c r="A1082" s="48" t="s">
        <v>1981</v>
      </c>
      <c r="B1082" s="48" t="s">
        <v>416</v>
      </c>
      <c r="C1082" s="48" t="s">
        <v>173</v>
      </c>
      <c r="D1082" s="48" t="s">
        <v>193</v>
      </c>
      <c r="E1082" s="48" t="s">
        <v>194</v>
      </c>
      <c r="F1082" s="48" t="s">
        <v>227</v>
      </c>
      <c r="G1082" s="49" t="n">
        <v>0.55</v>
      </c>
      <c r="H1082" s="50" t="n">
        <f aca="false">MAX(0,IF(AND(Parameter!$B$21="Ja",ISNUMBER(Y1082)),Y1082,IF(Parameter!$B$20="Jahresanfang 2025 + Export",BR1082+BQ1082,BQ1082)))</f>
        <v>1493</v>
      </c>
      <c r="I1082" s="50" t="n">
        <f aca="false">H1082*G1082</f>
        <v>821.15</v>
      </c>
      <c r="J1082" s="50" t="n">
        <f aca="false">BT1082*Parameter!$B$18</f>
        <v>1860</v>
      </c>
      <c r="K1082" s="51" t="n">
        <v>1638.5</v>
      </c>
      <c r="L1082" s="52" t="n">
        <v>1.13518462007934</v>
      </c>
      <c r="M1082" s="50" t="n">
        <v>109</v>
      </c>
      <c r="N1082" s="50" t="n">
        <v>1900</v>
      </c>
      <c r="O1082" s="53" t="n">
        <v>21</v>
      </c>
      <c r="P1082" s="48" t="s">
        <v>311</v>
      </c>
      <c r="Q1082" s="50" t="n">
        <v>989</v>
      </c>
      <c r="R1082" s="53" t="n">
        <f aca="false">IF(BZ1082=1,0,IFERROR(VLOOKUP(BX1082,'Gebinde-Kategorie'!$A$5:$N$45,13,0)+0,0))</f>
        <v>26</v>
      </c>
      <c r="S1082" s="54"/>
      <c r="T1082" s="55"/>
      <c r="U1082" s="55"/>
      <c r="V1082" s="55"/>
      <c r="W1082" s="48"/>
      <c r="X1082" s="50"/>
      <c r="Y1082" s="50"/>
      <c r="Z1082" s="48" t="n">
        <f aca="false">IF(A1082="","",IF(AND(Parameter!$B$21="Ja",ISNUMBER(W1082)),W1082,IF(CC1082="2+3",IF(ISNUMBER(SEARCH("grosser Artikel",BU1082)),2,IFERROR(VLOOKUP(BX1082,Parameter!$F$35:$G$64,2,0),2)),IF(OR(CC1082="Nein",CC1082=""),"-",CC1082))))</f>
        <v>3</v>
      </c>
      <c r="AA1082" s="55"/>
      <c r="AB1082" s="56"/>
      <c r="AC1082" s="50" t="n">
        <f aca="false">AV1082</f>
        <v>2009</v>
      </c>
      <c r="AD1082" s="50" t="n">
        <f aca="false">MAX(AV1082,H1082)</f>
        <v>2009</v>
      </c>
      <c r="AE1082" s="57"/>
      <c r="AF1082" s="50" t="n">
        <f aca="false">IF(LEFT(Cockpit!$C$5,1)="A",H1082,IF(Parameter!$E$30="MAX-Bestand",IF(CH1082=1,CI1082,IF(LEFT(Cockpit!$C$5,1)="B",AL1082,MAX(AL1082,H1082))),ROUNDUP(AJ1082,0)))</f>
        <v>1493</v>
      </c>
      <c r="AG1082" s="50" t="n">
        <f aca="false">IF(BZ1082=1,0,ROUNDUP(AF1082/BY1082,0))</f>
        <v>2</v>
      </c>
      <c r="AH1082" s="52" t="n">
        <f aca="false">IF(CQ1082&gt;0,CQ1082*MAX(1,AF1082/X1082),IF(BZ1082=1,IF(AF1082&lt;=0,0,CD1082*MAX(1,IF(H1082&gt;0,AF1082/H1082,1))),IF(R1082&gt;0,AG1082/R1082,0))/MAX(0.1,N(Parameter!$M$21)))</f>
        <v>0.0769230769230769</v>
      </c>
      <c r="AI1082" s="50" t="n">
        <f aca="false">AH1082*CB1082</f>
        <v>11.9230769230769</v>
      </c>
      <c r="AJ1082" s="51" t="n">
        <f aca="false">IF(LEFT(Cockpit!$C$5,1)="A",H1082,IF(CH1082=1,(CK1082+CI1082)/2,IF(LEFT(Cockpit!$C$5,1)="B",(CK1082+AL1082)/2,MAX((CK1082+AL1082)/2,H1082))))</f>
        <v>1493</v>
      </c>
      <c r="AK1082" s="50" t="n">
        <f aca="false">AJ1082*G1082</f>
        <v>821.15</v>
      </c>
      <c r="AL1082" s="50" t="n">
        <f aca="false">ROUNDUP(CK1082+MAX(CL1082,2*(J1082/IF(CG1082&gt;0,CG1082,MAX(0.1,N(Cockpit!$C$6)))-CK1082)),0)</f>
        <v>2009</v>
      </c>
      <c r="AM1082" s="51" t="n">
        <f aca="false">IF(AI1082&gt;0,J1082/AI1082,-1)</f>
        <v>156</v>
      </c>
      <c r="AN1082" s="51" t="n">
        <f aca="false">IF(AND(OR(CF1082="L1",CF1082="L23",CF1082="LIFT"),AI1082&gt;0),SUMIFS($AI$7:$AI$1843,$CF$7:$CF$1843,CF1082,$AM$7:$AM$1843,"&gt;"&amp;AM1082)+SUMIFS($AI$7:$AI$1843,$CF$7:$CF$1843,CF1082,$AM$7:$AM$1843,AM1082,$BW$7:$BW$1843,"&lt;="&amp;BW1082),"")</f>
        <v>433.33836996337</v>
      </c>
      <c r="AO1082" s="58" t="n">
        <f aca="false">IF(AN1082="",0,MAX(0,MIN(1,(IF(CF1082="L1",Parameter!$H$5,IF(CF1082="L23",Parameter!$H$6+Parameter!$H$7,Parameter!$H$5+Parameter!$H$6+Parameter!$H$7))-(AN1082-AI1082))/AI1082)))</f>
        <v>1</v>
      </c>
      <c r="AP1082" s="50" t="n">
        <f aca="false">IF(LEFT(Cockpit!$I$5,1)="A",H1082,IF(Parameter!$E$30="MAX-Bestand",IF(CH1082=1,CI1082,IF(LEFT(Cockpit!$I$5,1)="B",AV1082,MAX(AV1082,H1082))),ROUNDUP(AT1082,0)))</f>
        <v>1493</v>
      </c>
      <c r="AQ1082" s="50" t="n">
        <f aca="false">IF(BZ1082=1,0,ROUNDUP(AP1082/BY1082,0))</f>
        <v>2</v>
      </c>
      <c r="AR1082" s="52" t="n">
        <f aca="false">IF(CQ1082&gt;0,CQ1082*MAX(1,AP1082/X1082),IF(BZ1082=1,IF(AP1082&lt;=0,0,CD1082*MAX(1,IF(H1082&gt;0,AP1082/H1082,1))),IF(R1082&gt;0,AQ1082/R1082,0))/MAX(0.1,N(Parameter!$M$21)))</f>
        <v>0.0769230769230769</v>
      </c>
      <c r="AS1082" s="50" t="n">
        <f aca="false">AR1082*CB1082</f>
        <v>11.9230769230769</v>
      </c>
      <c r="AT1082" s="51" t="n">
        <f aca="false">IF(LEFT(Cockpit!$I$5,1)="A",H1082,IF(CH1082=1,(CK1082+CI1082)/2,IF(LEFT(Cockpit!$I$5,1)="B",(CK1082+AV1082)/2,MAX((CK1082+AV1082)/2,H1082))))</f>
        <v>1493</v>
      </c>
      <c r="AU1082" s="50" t="n">
        <f aca="false">AT1082*G1082</f>
        <v>821.15</v>
      </c>
      <c r="AV1082" s="50" t="n">
        <f aca="false">ROUNDUP(CK1082+MAX(CL1082,2*(J1082/IF(CG1082&gt;0,CG1082,MAX(0.1,N(Cockpit!$I$6)))-CK1082)),0)</f>
        <v>2009</v>
      </c>
      <c r="AW1082" s="51" t="n">
        <f aca="false">IF(AS1082&gt;0,J1082/AS1082,-1)</f>
        <v>156</v>
      </c>
      <c r="AX1082" s="51" t="n">
        <f aca="false">IF(AND(OR(CF1082="L1",CF1082="L23",CF1082="LIFT"),AS1082&gt;0),SUMIFS($AS$7:$AS$1843,$CF$7:$CF$1843,CF1082,$AW$7:$AW$1843,"&gt;"&amp;AW1082)+SUMIFS($AS$7:$AS$1843,$CF$7:$CF$1843,CF1082,$AW$7:$AW$1843,AW1082,$BW$7:$BW$1843,"&lt;="&amp;BW1082),"")</f>
        <v>550.975274725275</v>
      </c>
      <c r="AY1082" s="58" t="n">
        <f aca="false">IF(AX1082="",0,MAX(0,MIN(1,(IF(CF1082="L1",Parameter!$H$5,IF(CF1082="L23",Parameter!$H$6+Parameter!$H$7,Parameter!$H$5+Parameter!$H$6+Parameter!$H$7))-(AX1082-AS1082))/AS1082)))</f>
        <v>1</v>
      </c>
      <c r="AZ1082" s="50" t="n">
        <f aca="false">IF(LEFT(Cockpit!$O$5,1)="A",H1082,IF(Parameter!$E$30="MAX-Bestand",IF(CH1082=1,CI1082,IF(LEFT(Cockpit!$O$5,1)="B",BF1082,MAX(BF1082,H1082))),ROUNDUP(BD1082,0)))</f>
        <v>1059</v>
      </c>
      <c r="BA1082" s="50" t="n">
        <f aca="false">IF(BZ1082=1,0,ROUNDUP(AZ1082/BY1082,0))</f>
        <v>2</v>
      </c>
      <c r="BB1082" s="52" t="n">
        <f aca="false">IF(CQ1082&gt;0,CQ1082*MAX(1,AZ1082/X1082),IF(BZ1082=1,IF(AZ1082&lt;=0,0,CD1082*MAX(1,IF(H1082&gt;0,AZ1082/H1082,1))),IF(R1082&gt;0,BA1082/R1082,0))/MAX(0.1,N(Parameter!$M$21)))</f>
        <v>0.0769230769230769</v>
      </c>
      <c r="BC1082" s="50" t="n">
        <f aca="false">BB1082*CB1082</f>
        <v>11.9230769230769</v>
      </c>
      <c r="BD1082" s="51" t="n">
        <f aca="false">IF(LEFT(Cockpit!$O$5,1)="A",H1082,IF(CH1082=1,(CK1082+CI1082)/2,IF(LEFT(Cockpit!$O$5,1)="B",(CK1082+BF1082)/2,MAX((CK1082+BF1082)/2,H1082))))</f>
        <v>1059</v>
      </c>
      <c r="BE1082" s="50" t="n">
        <f aca="false">BD1082*G1082</f>
        <v>582.45</v>
      </c>
      <c r="BF1082" s="50" t="n">
        <f aca="false">ROUNDUP(CK1082+MAX(CL1082,2*(J1082/IF(CG1082&gt;0,CG1082,MAX(0.1,N(Cockpit!$O$6)))-CK1082)),0)</f>
        <v>2009</v>
      </c>
      <c r="BG1082" s="51" t="n">
        <f aca="false">IF(BC1082&gt;0,J1082/BC1082,-1)</f>
        <v>156</v>
      </c>
      <c r="BH1082" s="51" t="n">
        <f aca="false">IF(AND(OR(CF1082="L1",CF1082="L23",CF1082="LIFT"),BC1082&gt;0),SUMIFS($BC$7:$BC$1843,$CF$7:$CF$1843,CF1082,$BG$7:$BG$1843,"&gt;"&amp;BG1082)+SUMIFS($BC$7:$BC$1843,$CF$7:$CF$1843,CF1082,$BG$7:$BG$1843,BG1082,$BW$7:$BW$1843,"&lt;="&amp;BW1082),"")</f>
        <v>547.923076923077</v>
      </c>
      <c r="BI1082" s="58" t="n">
        <f aca="false">IF(BH1082="",0,MAX(0,MIN(1,(IF(CF1082="L1",Parameter!$H$5,IF(CF1082="L23",Parameter!$H$6+Parameter!$H$7,Parameter!$H$5+Parameter!$H$6+Parameter!$H$7))-(BH1082-BC1082))/BC1082)))</f>
        <v>1</v>
      </c>
      <c r="BJ1082" s="48" t="str">
        <f aca="false">IF(AI1082&lt;=0,"",IF(CF1082="Aussen","Aussenlager",IF(CF1082="-","Nicht im Lift",IF(AO1082&gt;=1,"Lift",IF(AO1082&lt;=0,"Aussenlager","teilweise")))))</f>
        <v>Lift</v>
      </c>
      <c r="BK1082" s="48" t="str">
        <f aca="false">IF(AS1082&lt;=0,"",IF(CF1082="Aussen","Aussenlager",IF(CF1082="-","Nicht im Lift",IF(AY1082&gt;=1,"Lift",IF(AY1082&lt;=0,"Aussenlager","teilweise")))))</f>
        <v>Lift</v>
      </c>
      <c r="BL1082" s="48" t="str">
        <f aca="false">IF(BC1082&lt;=0,"",IF(CF1082="Aussen","Aussenlager",IF(CF1082="-","Nicht im Lift",IF(BI1082&gt;=1,"Lift",IF(BI1082&lt;=0,"Aussenlager","teilweise")))))</f>
        <v>Lift</v>
      </c>
      <c r="BM1082" s="48" t="str">
        <f aca="false">IF(A1082="","",IF(BV1082=1,"Neu; ","")&amp;IF(AND(BV1082=0,BQ1082&lt;0),"negativer Bestand (Export "&amp;BQ1082&amp;"); ","")&amp;IF(J1082&lt;=0,"Kein Verbrauch; ","")&amp;IF(CQ1082&gt;0,"Lift "&amp;W1082&amp;" lt. Liftbericht (Fach "&amp;X1082&amp;" Stk); ",IF(CA1082=1,"Gebinde geschätzt ("&amp;T1082&amp;"); ",IF(BZ1082=1,"Lose – Tablare geschätzt; ","")))&amp;IF(H1082&gt;AV1082,"Überbestand "&amp;ROUND(H1082-AV1082,0)&amp;" Stk / CHF "&amp;ROUND((H1082-AV1082)*G1082,0)&amp;"; ","")&amp;IF(AND(CH1082=1,CI1082&lt;CJ1082),"MAX &lt; MB+LG; ","")&amp;IF(AND(CP1082&gt;0,CO1082*10&gt;CP1082),"zu hoch für Tablar; ","")&amp;IF(AND(BV1082=0,OR(CH1082=1,AA1082&lt;&gt;"",U1082&lt;&gt;"",V1082&lt;&gt;"",AB1082&lt;&gt;"")),"manuell übersteuert; ","")&amp;IF(AND(BZ1082=0,R1082=0),"Gebinde unbekannt / Stellmass fehlt; ","")&amp;IF(AND(BZ1082=0,N(V1082)&lt;=0,N(Q1082)&lt;=0),"Menge pro Gebinde fehlt (Ist = 1 Gebinde); ","")&amp;BU1082)</f>
        <v>negativer Bestand (Export -375); </v>
      </c>
      <c r="BN1082" s="48"/>
      <c r="BO1082" s="48"/>
      <c r="BP1082" s="55"/>
      <c r="BQ1082" s="50" t="n">
        <v>-375</v>
      </c>
      <c r="BR1082" s="50" t="n">
        <v>1868</v>
      </c>
      <c r="BS1082" s="49" t="n">
        <v>-187.569999999999</v>
      </c>
      <c r="BT1082" s="50" t="n">
        <v>1860</v>
      </c>
      <c r="BU1082" s="48"/>
      <c r="BV1082" s="53" t="n">
        <v>0</v>
      </c>
      <c r="BW1082" s="53" t="n">
        <v>1082</v>
      </c>
      <c r="BX1082" s="48" t="str">
        <f aca="false">IF(U1082&lt;&gt;"",UPPER(TRIM(U1082)),IF(CA1082=1,UPPER(VLOOKUP(T1082,Parameter!$I$27:$K$29,2,0)),IF(P1082="","LOSE",P1082)))</f>
        <v>S51</v>
      </c>
      <c r="BY1082" s="50" t="n">
        <f aca="false">IF(BX1082="LOSE",1,IF(N(V1082)&gt;0,V1082,IF(CA1082=1,MAX(1,N(VLOOKUP(T1082,Parameter!$I$27:$K$29,3,0)),H1082,N(N1082)),IF(N(Q1082)&gt;0,Q1082,MAX(1,H1082)))))</f>
        <v>989</v>
      </c>
      <c r="BZ1082" s="53" t="n">
        <f aca="false">IF(BX1082="LOSE",1,0)</f>
        <v>0</v>
      </c>
      <c r="CA1082" s="53" t="n">
        <f aca="false">IF(AND(U1082="",OR(P1082="",P1082="LOSE"),T1082&lt;&gt;"",N(S1082)&lt;=0,ISNUMBER(MATCH(T1082,Parameter!$I$27:$I$29,0))),1,0)</f>
        <v>0</v>
      </c>
      <c r="CB1082" s="53" t="n">
        <f aca="false">IF(CQ1082&gt;0,INDEX(Parameter!$H$5:$H$7,W1082)/INDEX(Parameter!$E$5:$E$7,W1082),IF(AND(BZ1082=0,N(IFERROR(VLOOKUP(BX1082,'Gebinde-Kategorie'!$A$5:$N$45,14,0),0))&gt;0),VLOOKUP(BX1082,'Gebinde-Kategorie'!$A$5:$N$45,14,0)*10+Parameter!$M$23,Parameter!$M$24))</f>
        <v>155</v>
      </c>
      <c r="CC1082" s="48" t="str">
        <f aca="false">IF(AND(Parameter!$B$19="Ja",E1082&lt;&gt;"",ISNUMBER(MATCH(E1082,Parameter!$I$35:$I$52,0))),VLOOKUP(E1082,Parameter!$I$35:$J$52,2,0),IFERROR(VLOOKUP(D1082,Parameter!$A$35:$C$64,2,0),"Nein"))</f>
        <v>2+3</v>
      </c>
      <c r="CD1082" s="52" t="n">
        <f aca="false">IF(BZ1082=0,0,IF(N(S1082)&gt;0,S1082,IFERROR(VLOOKUP(D1082,Parameter!$A$35:$C$64,3,0)+0,0)))</f>
        <v>0</v>
      </c>
      <c r="CE1082" s="48" t="n">
        <f aca="false">IF(AA1082&lt;&gt;"",AA1082,Z1082)</f>
        <v>3</v>
      </c>
      <c r="CF1082" s="48" t="str">
        <f aca="false">IF(OR(CE1082=1,CE1082=2,CE1082=3),IF(Parameter!$E$27="Ja","LIFT",IF(CE1082=1,"L1","L23")),IF(CE1082="Aussen","Aussen","-"))</f>
        <v>LIFT</v>
      </c>
      <c r="CG1082" s="59" t="n">
        <f aca="false">IF(N(AB1082)&gt;0,AB1082,0)</f>
        <v>0</v>
      </c>
      <c r="CH1082" s="53" t="n">
        <f aca="false">IF(ISNUMBER(AE1082),1,0)</f>
        <v>0</v>
      </c>
      <c r="CI1082" s="50" t="n">
        <f aca="false">N(AE1082)</f>
        <v>0</v>
      </c>
      <c r="CJ1082" s="50" t="n">
        <f aca="false">N(M1082)+N(N1082)</f>
        <v>2009</v>
      </c>
      <c r="CK1082" s="50" t="n">
        <f aca="false">N(M1082)</f>
        <v>109</v>
      </c>
      <c r="CL1082" s="50" t="n">
        <f aca="false">N(N1082)</f>
        <v>1900</v>
      </c>
      <c r="CM1082" s="50" t="n">
        <f aca="false">ROUNDUP(H1082/BY1082,0)</f>
        <v>2</v>
      </c>
      <c r="CN1082" s="50" t="n">
        <f aca="false">ROUNDUP(CI1082/BY1082,0)</f>
        <v>0</v>
      </c>
      <c r="CO1082" s="53" t="n">
        <f aca="false">IF(BZ1082=1,0,IFERROR(VLOOKUP(BX1082,'Gebinde-Kategorie'!$A$5:$N$45,5,0)+0,0))</f>
        <v>11</v>
      </c>
      <c r="CP1082" s="53" t="n">
        <f aca="false">IFERROR(IF(OR(CE1082=1,CE1082=2,CE1082=3),N(INDEX(Parameter!$I$5:$I$7,CE1082)),0),0)</f>
        <v>0</v>
      </c>
      <c r="CQ1082" s="52" t="n">
        <f aca="false">IF(AND(Parameter!$B$21="Ja",ISNUMBER(W1082),N(X1082)&gt;0),IFERROR(N(INDEX(Parameter!$L$5:$L$7,W1082))*INDEX(Parameter!$E$5:$E$7,W1082)*X1082/SUMIFS($X$7:$X$1843,$W$7:$W$1843,W1082),0),0)</f>
        <v>0</v>
      </c>
    </row>
    <row r="1083" customFormat="false" ht="15" hidden="false" customHeight="false" outlineLevel="0" collapsed="false">
      <c r="A1083" s="48" t="s">
        <v>1982</v>
      </c>
      <c r="B1083" s="48" t="s">
        <v>498</v>
      </c>
      <c r="C1083" s="48" t="s">
        <v>173</v>
      </c>
      <c r="D1083" s="48" t="s">
        <v>193</v>
      </c>
      <c r="E1083" s="48" t="s">
        <v>194</v>
      </c>
      <c r="F1083" s="48" t="s">
        <v>227</v>
      </c>
      <c r="G1083" s="49" t="n">
        <v>8.23</v>
      </c>
      <c r="H1083" s="50" t="n">
        <f aca="false">MAX(0,IF(AND(Parameter!$B$21="Ja",ISNUMBER(Y1083)),Y1083,IF(Parameter!$B$20="Jahresanfang 2025 + Export",BR1083+BQ1083,BQ1083)))</f>
        <v>139</v>
      </c>
      <c r="I1083" s="50" t="n">
        <f aca="false">H1083*G1083</f>
        <v>1143.97</v>
      </c>
      <c r="J1083" s="50" t="n">
        <f aca="false">BT1083*Parameter!$B$18</f>
        <v>507</v>
      </c>
      <c r="K1083" s="51" t="n">
        <v>213</v>
      </c>
      <c r="L1083" s="52" t="n">
        <v>2.38028169014085</v>
      </c>
      <c r="M1083" s="50" t="n">
        <v>10</v>
      </c>
      <c r="N1083" s="50" t="n">
        <v>360</v>
      </c>
      <c r="O1083" s="53" t="n">
        <v>7</v>
      </c>
      <c r="P1083" s="48" t="s">
        <v>337</v>
      </c>
      <c r="Q1083" s="50" t="n">
        <v>309</v>
      </c>
      <c r="R1083" s="53" t="n">
        <f aca="false">IF(BZ1083=1,0,IFERROR(VLOOKUP(BX1083,'Gebinde-Kategorie'!$A$5:$N$45,13,0)+0,0))</f>
        <v>52</v>
      </c>
      <c r="S1083" s="54"/>
      <c r="T1083" s="55"/>
      <c r="U1083" s="55"/>
      <c r="V1083" s="55"/>
      <c r="W1083" s="48"/>
      <c r="X1083" s="50"/>
      <c r="Y1083" s="50"/>
      <c r="Z1083" s="48" t="n">
        <f aca="false">IF(A1083="","",IF(AND(Parameter!$B$21="Ja",ISNUMBER(W1083)),W1083,IF(CC1083="2+3",IF(ISNUMBER(SEARCH("grosser Artikel",BU1083)),2,IFERROR(VLOOKUP(BX1083,Parameter!$F$35:$G$64,2,0),2)),IF(OR(CC1083="Nein",CC1083=""),"-",CC1083))))</f>
        <v>3</v>
      </c>
      <c r="AA1083" s="55"/>
      <c r="AB1083" s="56"/>
      <c r="AC1083" s="50" t="n">
        <f aca="false">AV1083</f>
        <v>370</v>
      </c>
      <c r="AD1083" s="50" t="n">
        <f aca="false">MAX(AV1083,H1083)</f>
        <v>370</v>
      </c>
      <c r="AE1083" s="57"/>
      <c r="AF1083" s="50" t="n">
        <f aca="false">IF(LEFT(Cockpit!$C$5,1)="A",H1083,IF(Parameter!$E$30="MAX-Bestand",IF(CH1083=1,CI1083,IF(LEFT(Cockpit!$C$5,1)="B",AL1083,MAX(AL1083,H1083))),ROUNDUP(AJ1083,0)))</f>
        <v>139</v>
      </c>
      <c r="AG1083" s="50" t="n">
        <f aca="false">IF(BZ1083=1,0,ROUNDUP(AF1083/BY1083,0))</f>
        <v>1</v>
      </c>
      <c r="AH1083" s="52" t="n">
        <f aca="false">IF(CQ1083&gt;0,CQ1083*MAX(1,AF1083/X1083),IF(BZ1083=1,IF(AF1083&lt;=0,0,CD1083*MAX(1,IF(H1083&gt;0,AF1083/H1083,1))),IF(R1083&gt;0,AG1083/R1083,0))/MAX(0.1,N(Parameter!$M$21)))</f>
        <v>0.0192307692307692</v>
      </c>
      <c r="AI1083" s="50" t="n">
        <f aca="false">AH1083*CB1083</f>
        <v>2.98076923076923</v>
      </c>
      <c r="AJ1083" s="51" t="n">
        <f aca="false">IF(LEFT(Cockpit!$C$5,1)="A",H1083,IF(CH1083=1,(CK1083+CI1083)/2,IF(LEFT(Cockpit!$C$5,1)="B",(CK1083+AL1083)/2,MAX((CK1083+AL1083)/2,H1083))))</f>
        <v>139</v>
      </c>
      <c r="AK1083" s="50" t="n">
        <f aca="false">AJ1083*G1083</f>
        <v>1143.97</v>
      </c>
      <c r="AL1083" s="50" t="n">
        <f aca="false">ROUNDUP(CK1083+MAX(CL1083,2*(J1083/IF(CG1083&gt;0,CG1083,MAX(0.1,N(Cockpit!$C$6)))-CK1083)),0)</f>
        <v>370</v>
      </c>
      <c r="AM1083" s="51" t="n">
        <f aca="false">IF(AI1083&gt;0,J1083/AI1083,-1)</f>
        <v>170.090322580645</v>
      </c>
      <c r="AN1083" s="51" t="n">
        <f aca="false">IF(AND(OR(CF1083="L1",CF1083="L23",CF1083="LIFT"),AI1083&gt;0),SUMIFS($AI$7:$AI$1843,$CF$7:$CF$1843,CF1083,$AM$7:$AM$1843,"&gt;"&amp;AM1083)+SUMIFS($AI$7:$AI$1843,$CF$7:$CF$1843,CF1083,$AM$7:$AM$1843,AM1083,$BW$7:$BW$1843,"&lt;="&amp;BW1083),"")</f>
        <v>406.724358974359</v>
      </c>
      <c r="AO1083" s="58" t="n">
        <f aca="false">IF(AN1083="",0,MAX(0,MIN(1,(IF(CF1083="L1",Parameter!$H$5,IF(CF1083="L23",Parameter!$H$6+Parameter!$H$7,Parameter!$H$5+Parameter!$H$6+Parameter!$H$7))-(AN1083-AI1083))/AI1083)))</f>
        <v>1</v>
      </c>
      <c r="AP1083" s="50" t="n">
        <f aca="false">IF(LEFT(Cockpit!$I$5,1)="A",H1083,IF(Parameter!$E$30="MAX-Bestand",IF(CH1083=1,CI1083,IF(LEFT(Cockpit!$I$5,1)="B",AV1083,MAX(AV1083,H1083))),ROUNDUP(AT1083,0)))</f>
        <v>190</v>
      </c>
      <c r="AQ1083" s="50" t="n">
        <f aca="false">IF(BZ1083=1,0,ROUNDUP(AP1083/BY1083,0))</f>
        <v>1</v>
      </c>
      <c r="AR1083" s="52" t="n">
        <f aca="false">IF(CQ1083&gt;0,CQ1083*MAX(1,AP1083/X1083),IF(BZ1083=1,IF(AP1083&lt;=0,0,CD1083*MAX(1,IF(H1083&gt;0,AP1083/H1083,1))),IF(R1083&gt;0,AQ1083/R1083,0))/MAX(0.1,N(Parameter!$M$21)))</f>
        <v>0.0192307692307692</v>
      </c>
      <c r="AS1083" s="50" t="n">
        <f aca="false">AR1083*CB1083</f>
        <v>2.98076923076923</v>
      </c>
      <c r="AT1083" s="51" t="n">
        <f aca="false">IF(LEFT(Cockpit!$I$5,1)="A",H1083,IF(CH1083=1,(CK1083+CI1083)/2,IF(LEFT(Cockpit!$I$5,1)="B",(CK1083+AV1083)/2,MAX((CK1083+AV1083)/2,H1083))))</f>
        <v>190</v>
      </c>
      <c r="AU1083" s="50" t="n">
        <f aca="false">AT1083*G1083</f>
        <v>1563.7</v>
      </c>
      <c r="AV1083" s="50" t="n">
        <f aca="false">ROUNDUP(CK1083+MAX(CL1083,2*(J1083/IF(CG1083&gt;0,CG1083,MAX(0.1,N(Cockpit!$I$6)))-CK1083)),0)</f>
        <v>370</v>
      </c>
      <c r="AW1083" s="51" t="n">
        <f aca="false">IF(AS1083&gt;0,J1083/AS1083,-1)</f>
        <v>170.090322580645</v>
      </c>
      <c r="AX1083" s="51" t="n">
        <f aca="false">IF(AND(OR(CF1083="L1",CF1083="L23",CF1083="LIFT"),AS1083&gt;0),SUMIFS($AS$7:$AS$1843,$CF$7:$CF$1843,CF1083,$AW$7:$AW$1843,"&gt;"&amp;AW1083)+SUMIFS($AS$7:$AS$1843,$CF$7:$CF$1843,CF1083,$AW$7:$AW$1843,AW1083,$BW$7:$BW$1843,"&lt;="&amp;BW1083),"")</f>
        <v>524.361263736264</v>
      </c>
      <c r="AY1083" s="58" t="n">
        <f aca="false">IF(AX1083="",0,MAX(0,MIN(1,(IF(CF1083="L1",Parameter!$H$5,IF(CF1083="L23",Parameter!$H$6+Parameter!$H$7,Parameter!$H$5+Parameter!$H$6+Parameter!$H$7))-(AX1083-AS1083))/AS1083)))</f>
        <v>1</v>
      </c>
      <c r="AZ1083" s="50" t="n">
        <f aca="false">IF(LEFT(Cockpit!$O$5,1)="A",H1083,IF(Parameter!$E$30="MAX-Bestand",IF(CH1083=1,CI1083,IF(LEFT(Cockpit!$O$5,1)="B",BF1083,MAX(BF1083,H1083))),ROUNDUP(BD1083,0)))</f>
        <v>190</v>
      </c>
      <c r="BA1083" s="50" t="n">
        <f aca="false">IF(BZ1083=1,0,ROUNDUP(AZ1083/BY1083,0))</f>
        <v>1</v>
      </c>
      <c r="BB1083" s="52" t="n">
        <f aca="false">IF(CQ1083&gt;0,CQ1083*MAX(1,AZ1083/X1083),IF(BZ1083=1,IF(AZ1083&lt;=0,0,CD1083*MAX(1,IF(H1083&gt;0,AZ1083/H1083,1))),IF(R1083&gt;0,BA1083/R1083,0))/MAX(0.1,N(Parameter!$M$21)))</f>
        <v>0.0192307692307692</v>
      </c>
      <c r="BC1083" s="50" t="n">
        <f aca="false">BB1083*CB1083</f>
        <v>2.98076923076923</v>
      </c>
      <c r="BD1083" s="51" t="n">
        <f aca="false">IF(LEFT(Cockpit!$O$5,1)="A",H1083,IF(CH1083=1,(CK1083+CI1083)/2,IF(LEFT(Cockpit!$O$5,1)="B",(CK1083+BF1083)/2,MAX((CK1083+BF1083)/2,H1083))))</f>
        <v>190</v>
      </c>
      <c r="BE1083" s="50" t="n">
        <f aca="false">BD1083*G1083</f>
        <v>1563.7</v>
      </c>
      <c r="BF1083" s="50" t="n">
        <f aca="false">ROUNDUP(CK1083+MAX(CL1083,2*(J1083/IF(CG1083&gt;0,CG1083,MAX(0.1,N(Cockpit!$O$6)))-CK1083)),0)</f>
        <v>370</v>
      </c>
      <c r="BG1083" s="51" t="n">
        <f aca="false">IF(BC1083&gt;0,J1083/BC1083,-1)</f>
        <v>170.090322580645</v>
      </c>
      <c r="BH1083" s="51" t="n">
        <f aca="false">IF(AND(OR(CF1083="L1",CF1083="L23",CF1083="LIFT"),BC1083&gt;0),SUMIFS($BC$7:$BC$1843,$CF$7:$CF$1843,CF1083,$BG$7:$BG$1843,"&gt;"&amp;BG1083)+SUMIFS($BC$7:$BC$1843,$CF$7:$CF$1843,CF1083,$BG$7:$BG$1843,BG1083,$BW$7:$BW$1843,"&lt;="&amp;BW1083),"")</f>
        <v>518.541208791209</v>
      </c>
      <c r="BI1083" s="58" t="n">
        <f aca="false">IF(BH1083="",0,MAX(0,MIN(1,(IF(CF1083="L1",Parameter!$H$5,IF(CF1083="L23",Parameter!$H$6+Parameter!$H$7,Parameter!$H$5+Parameter!$H$6+Parameter!$H$7))-(BH1083-BC1083))/BC1083)))</f>
        <v>1</v>
      </c>
      <c r="BJ1083" s="48" t="str">
        <f aca="false">IF(AI1083&lt;=0,"",IF(CF1083="Aussen","Aussenlager",IF(CF1083="-","Nicht im Lift",IF(AO1083&gt;=1,"Lift",IF(AO1083&lt;=0,"Aussenlager","teilweise")))))</f>
        <v>Lift</v>
      </c>
      <c r="BK1083" s="48" t="str">
        <f aca="false">IF(AS1083&lt;=0,"",IF(CF1083="Aussen","Aussenlager",IF(CF1083="-","Nicht im Lift",IF(AY1083&gt;=1,"Lift",IF(AY1083&lt;=0,"Aussenlager","teilweise")))))</f>
        <v>Lift</v>
      </c>
      <c r="BL1083" s="48" t="str">
        <f aca="false">IF(BC1083&lt;=0,"",IF(CF1083="Aussen","Aussenlager",IF(CF1083="-","Nicht im Lift",IF(BI1083&gt;=1,"Lift",IF(BI1083&lt;=0,"Aussenlager","teilweise")))))</f>
        <v>Lift</v>
      </c>
      <c r="BM1083" s="48" t="str">
        <f aca="false">IF(A1083="","",IF(BV1083=1,"Neu; ","")&amp;IF(AND(BV1083=0,BQ1083&lt;0),"negativer Bestand (Export "&amp;BQ1083&amp;"); ","")&amp;IF(J1083&lt;=0,"Kein Verbrauch; ","")&amp;IF(CQ1083&gt;0,"Lift "&amp;W1083&amp;" lt. Liftbericht (Fach "&amp;X1083&amp;" Stk); ",IF(CA1083=1,"Gebinde geschätzt ("&amp;T1083&amp;"); ",IF(BZ1083=1,"Lose – Tablare geschätzt; ","")))&amp;IF(H1083&gt;AV1083,"Überbestand "&amp;ROUND(H1083-AV1083,0)&amp;" Stk / CHF "&amp;ROUND((H1083-AV1083)*G1083,0)&amp;"; ","")&amp;IF(AND(CH1083=1,CI1083&lt;CJ1083),"MAX &lt; MB+LG; ","")&amp;IF(AND(CP1083&gt;0,CO1083*10&gt;CP1083),"zu hoch für Tablar; ","")&amp;IF(AND(BV1083=0,OR(CH1083=1,AA1083&lt;&gt;"",U1083&lt;&gt;"",V1083&lt;&gt;"",AB1083&lt;&gt;"")),"manuell übersteuert; ","")&amp;IF(AND(BZ1083=0,R1083=0),"Gebinde unbekannt / Stellmass fehlt; ","")&amp;IF(AND(BZ1083=0,N(V1083)&lt;=0,N(Q1083)&lt;=0),"Menge pro Gebinde fehlt (Ist = 1 Gebinde); ","")&amp;BU1083)</f>
        <v>negativer Bestand (Export -23); </v>
      </c>
      <c r="BN1083" s="48"/>
      <c r="BO1083" s="48"/>
      <c r="BP1083" s="55"/>
      <c r="BQ1083" s="50" t="n">
        <v>-23</v>
      </c>
      <c r="BR1083" s="50" t="n">
        <v>162</v>
      </c>
      <c r="BS1083" s="49" t="n">
        <v>-187.750000000003</v>
      </c>
      <c r="BT1083" s="50" t="n">
        <v>507</v>
      </c>
      <c r="BU1083" s="48"/>
      <c r="BV1083" s="53" t="n">
        <v>0</v>
      </c>
      <c r="BW1083" s="53" t="n">
        <v>1083</v>
      </c>
      <c r="BX1083" s="48" t="str">
        <f aca="false">IF(U1083&lt;&gt;"",UPPER(TRIM(U1083)),IF(CA1083=1,UPPER(VLOOKUP(T1083,Parameter!$I$27:$K$29,2,0)),IF(P1083="","LOSE",P1083)))</f>
        <v>S41</v>
      </c>
      <c r="BY1083" s="50" t="n">
        <f aca="false">IF(BX1083="LOSE",1,IF(N(V1083)&gt;0,V1083,IF(CA1083=1,MAX(1,N(VLOOKUP(T1083,Parameter!$I$27:$K$29,3,0)),H1083,N(N1083)),IF(N(Q1083)&gt;0,Q1083,MAX(1,H1083)))))</f>
        <v>309</v>
      </c>
      <c r="BZ1083" s="53" t="n">
        <f aca="false">IF(BX1083="LOSE",1,0)</f>
        <v>0</v>
      </c>
      <c r="CA1083" s="53" t="n">
        <f aca="false">IF(AND(U1083="",OR(P1083="",P1083="LOSE"),T1083&lt;&gt;"",N(S1083)&lt;=0,ISNUMBER(MATCH(T1083,Parameter!$I$27:$I$29,0))),1,0)</f>
        <v>0</v>
      </c>
      <c r="CB1083" s="53" t="n">
        <f aca="false">IF(CQ1083&gt;0,INDEX(Parameter!$H$5:$H$7,W1083)/INDEX(Parameter!$E$5:$E$7,W1083),IF(AND(BZ1083=0,N(IFERROR(VLOOKUP(BX1083,'Gebinde-Kategorie'!$A$5:$N$45,14,0),0))&gt;0),VLOOKUP(BX1083,'Gebinde-Kategorie'!$A$5:$N$45,14,0)*10+Parameter!$M$23,Parameter!$M$24))</f>
        <v>155</v>
      </c>
      <c r="CC1083" s="48" t="str">
        <f aca="false">IF(AND(Parameter!$B$19="Ja",E1083&lt;&gt;"",ISNUMBER(MATCH(E1083,Parameter!$I$35:$I$52,0))),VLOOKUP(E1083,Parameter!$I$35:$J$52,2,0),IFERROR(VLOOKUP(D1083,Parameter!$A$35:$C$64,2,0),"Nein"))</f>
        <v>2+3</v>
      </c>
      <c r="CD1083" s="52" t="n">
        <f aca="false">IF(BZ1083=0,0,IF(N(S1083)&gt;0,S1083,IFERROR(VLOOKUP(D1083,Parameter!$A$35:$C$64,3,0)+0,0)))</f>
        <v>0</v>
      </c>
      <c r="CE1083" s="48" t="n">
        <f aca="false">IF(AA1083&lt;&gt;"",AA1083,Z1083)</f>
        <v>3</v>
      </c>
      <c r="CF1083" s="48" t="str">
        <f aca="false">IF(OR(CE1083=1,CE1083=2,CE1083=3),IF(Parameter!$E$27="Ja","LIFT",IF(CE1083=1,"L1","L23")),IF(CE1083="Aussen","Aussen","-"))</f>
        <v>LIFT</v>
      </c>
      <c r="CG1083" s="59" t="n">
        <f aca="false">IF(N(AB1083)&gt;0,AB1083,0)</f>
        <v>0</v>
      </c>
      <c r="CH1083" s="53" t="n">
        <f aca="false">IF(ISNUMBER(AE1083),1,0)</f>
        <v>0</v>
      </c>
      <c r="CI1083" s="50" t="n">
        <f aca="false">N(AE1083)</f>
        <v>0</v>
      </c>
      <c r="CJ1083" s="50" t="n">
        <f aca="false">N(M1083)+N(N1083)</f>
        <v>370</v>
      </c>
      <c r="CK1083" s="50" t="n">
        <f aca="false">N(M1083)</f>
        <v>10</v>
      </c>
      <c r="CL1083" s="50" t="n">
        <f aca="false">N(N1083)</f>
        <v>360</v>
      </c>
      <c r="CM1083" s="50" t="n">
        <f aca="false">ROUNDUP(H1083/BY1083,0)</f>
        <v>1</v>
      </c>
      <c r="CN1083" s="50" t="n">
        <f aca="false">ROUNDUP(CI1083/BY1083,0)</f>
        <v>0</v>
      </c>
      <c r="CO1083" s="53" t="n">
        <f aca="false">IF(BZ1083=1,0,IFERROR(VLOOKUP(BX1083,'Gebinde-Kategorie'!$A$5:$N$45,5,0)+0,0))</f>
        <v>11</v>
      </c>
      <c r="CP1083" s="53" t="n">
        <f aca="false">IFERROR(IF(OR(CE1083=1,CE1083=2,CE1083=3),N(INDEX(Parameter!$I$5:$I$7,CE1083)),0),0)</f>
        <v>0</v>
      </c>
      <c r="CQ1083" s="52" t="n">
        <f aca="false">IF(AND(Parameter!$B$21="Ja",ISNUMBER(W1083),N(X1083)&gt;0),IFERROR(N(INDEX(Parameter!$L$5:$L$7,W1083))*INDEX(Parameter!$E$5:$E$7,W1083)*X1083/SUMIFS($X$7:$X$1843,$W$7:$W$1843,W1083),0),0)</f>
        <v>0</v>
      </c>
    </row>
    <row r="1084" customFormat="false" ht="15" hidden="false" customHeight="false" outlineLevel="0" collapsed="false">
      <c r="A1084" s="48" t="s">
        <v>1983</v>
      </c>
      <c r="B1084" s="48" t="s">
        <v>510</v>
      </c>
      <c r="C1084" s="48" t="s">
        <v>173</v>
      </c>
      <c r="D1084" s="48" t="s">
        <v>193</v>
      </c>
      <c r="E1084" s="48"/>
      <c r="F1084" s="48" t="s">
        <v>227</v>
      </c>
      <c r="G1084" s="49" t="n">
        <v>13.2</v>
      </c>
      <c r="H1084" s="50" t="n">
        <f aca="false">MAX(0,IF(AND(Parameter!$B$21="Ja",ISNUMBER(Y1084)),Y1084,IF(Parameter!$B$20="Jahresanfang 2025 + Export",BR1084+BQ1084,BQ1084)))</f>
        <v>8</v>
      </c>
      <c r="I1084" s="50" t="n">
        <f aca="false">H1084*G1084</f>
        <v>105.6</v>
      </c>
      <c r="J1084" s="50" t="n">
        <f aca="false">BT1084*Parameter!$B$18</f>
        <v>10</v>
      </c>
      <c r="K1084" s="51" t="n">
        <v>8.5</v>
      </c>
      <c r="L1084" s="52" t="n">
        <v>1.17647058823529</v>
      </c>
      <c r="M1084" s="50" t="n">
        <v>0</v>
      </c>
      <c r="N1084" s="50" t="n">
        <v>10</v>
      </c>
      <c r="O1084" s="53" t="n">
        <v>28</v>
      </c>
      <c r="P1084" s="48" t="s">
        <v>435</v>
      </c>
      <c r="Q1084" s="50" t="n">
        <v>8</v>
      </c>
      <c r="R1084" s="53" t="n">
        <f aca="false">IF(BZ1084=1,0,IFERROR(VLOOKUP(BX1084,'Gebinde-Kategorie'!$A$5:$N$45,13,0)+0,0))</f>
        <v>140</v>
      </c>
      <c r="S1084" s="54"/>
      <c r="T1084" s="55"/>
      <c r="U1084" s="55"/>
      <c r="V1084" s="55"/>
      <c r="W1084" s="48"/>
      <c r="X1084" s="50"/>
      <c r="Y1084" s="50"/>
      <c r="Z1084" s="48" t="n">
        <f aca="false">IF(A1084="","",IF(AND(Parameter!$B$21="Ja",ISNUMBER(W1084)),W1084,IF(CC1084="2+3",IF(ISNUMBER(SEARCH("grosser Artikel",BU1084)),2,IFERROR(VLOOKUP(BX1084,Parameter!$F$35:$G$64,2,0),2)),IF(OR(CC1084="Nein",CC1084=""),"-",CC1084))))</f>
        <v>3</v>
      </c>
      <c r="AA1084" s="55"/>
      <c r="AB1084" s="56"/>
      <c r="AC1084" s="50" t="n">
        <f aca="false">AV1084</f>
        <v>10</v>
      </c>
      <c r="AD1084" s="50" t="n">
        <f aca="false">MAX(AV1084,H1084)</f>
        <v>10</v>
      </c>
      <c r="AE1084" s="57"/>
      <c r="AF1084" s="50" t="n">
        <f aca="false">IF(LEFT(Cockpit!$C$5,1)="A",H1084,IF(Parameter!$E$30="MAX-Bestand",IF(CH1084=1,CI1084,IF(LEFT(Cockpit!$C$5,1)="B",AL1084,MAX(AL1084,H1084))),ROUNDUP(AJ1084,0)))</f>
        <v>8</v>
      </c>
      <c r="AG1084" s="50" t="n">
        <f aca="false">IF(BZ1084=1,0,ROUNDUP(AF1084/BY1084,0))</f>
        <v>1</v>
      </c>
      <c r="AH1084" s="52" t="n">
        <f aca="false">IF(CQ1084&gt;0,CQ1084*MAX(1,AF1084/X1084),IF(BZ1084=1,IF(AF1084&lt;=0,0,CD1084*MAX(1,IF(H1084&gt;0,AF1084/H1084,1))),IF(R1084&gt;0,AG1084/R1084,0))/MAX(0.1,N(Parameter!$M$21)))</f>
        <v>0.00714285714285714</v>
      </c>
      <c r="AI1084" s="50" t="n">
        <f aca="false">AH1084*CB1084</f>
        <v>1.10714285714286</v>
      </c>
      <c r="AJ1084" s="51" t="n">
        <f aca="false">IF(LEFT(Cockpit!$C$5,1)="A",H1084,IF(CH1084=1,(CK1084+CI1084)/2,IF(LEFT(Cockpit!$C$5,1)="B",(CK1084+AL1084)/2,MAX((CK1084+AL1084)/2,H1084))))</f>
        <v>8</v>
      </c>
      <c r="AK1084" s="50" t="n">
        <f aca="false">AJ1084*G1084</f>
        <v>105.6</v>
      </c>
      <c r="AL1084" s="50" t="n">
        <f aca="false">ROUNDUP(CK1084+MAX(CL1084,2*(J1084/IF(CG1084&gt;0,CG1084,MAX(0.1,N(Cockpit!$C$6)))-CK1084)),0)</f>
        <v>10</v>
      </c>
      <c r="AM1084" s="51" t="n">
        <f aca="false">IF(AI1084&gt;0,J1084/AI1084,-1)</f>
        <v>9.03225806451613</v>
      </c>
      <c r="AN1084" s="51" t="n">
        <f aca="false">IF(AND(OR(CF1084="L1",CF1084="L23",CF1084="LIFT"),AI1084&gt;0),SUMIFS($AI$7:$AI$1843,$CF$7:$CF$1843,CF1084,$AM$7:$AM$1843,"&gt;"&amp;AM1084)+SUMIFS($AI$7:$AI$1843,$CF$7:$CF$1843,CF1084,$AM$7:$AM$1843,AM1084,$BW$7:$BW$1843,"&lt;="&amp;BW1084),"")</f>
        <v>2924.10302197802</v>
      </c>
      <c r="AO1084" s="58" t="n">
        <f aca="false">IF(AN1084="",0,MAX(0,MIN(1,(IF(CF1084="L1",Parameter!$H$5,IF(CF1084="L23",Parameter!$H$6+Parameter!$H$7,Parameter!$H$5+Parameter!$H$6+Parameter!$H$7))-(AN1084-AI1084))/AI1084)))</f>
        <v>1</v>
      </c>
      <c r="AP1084" s="50" t="n">
        <f aca="false">IF(LEFT(Cockpit!$I$5,1)="A",H1084,IF(Parameter!$E$30="MAX-Bestand",IF(CH1084=1,CI1084,IF(LEFT(Cockpit!$I$5,1)="B",AV1084,MAX(AV1084,H1084))),ROUNDUP(AT1084,0)))</f>
        <v>8</v>
      </c>
      <c r="AQ1084" s="50" t="n">
        <f aca="false">IF(BZ1084=1,0,ROUNDUP(AP1084/BY1084,0))</f>
        <v>1</v>
      </c>
      <c r="AR1084" s="52" t="n">
        <f aca="false">IF(CQ1084&gt;0,CQ1084*MAX(1,AP1084/X1084),IF(BZ1084=1,IF(AP1084&lt;=0,0,CD1084*MAX(1,IF(H1084&gt;0,AP1084/H1084,1))),IF(R1084&gt;0,AQ1084/R1084,0))/MAX(0.1,N(Parameter!$M$21)))</f>
        <v>0.00714285714285714</v>
      </c>
      <c r="AS1084" s="50" t="n">
        <f aca="false">AR1084*CB1084</f>
        <v>1.10714285714286</v>
      </c>
      <c r="AT1084" s="51" t="n">
        <f aca="false">IF(LEFT(Cockpit!$I$5,1)="A",H1084,IF(CH1084=1,(CK1084+CI1084)/2,IF(LEFT(Cockpit!$I$5,1)="B",(CK1084+AV1084)/2,MAX((CK1084+AV1084)/2,H1084))))</f>
        <v>8</v>
      </c>
      <c r="AU1084" s="50" t="n">
        <f aca="false">AT1084*G1084</f>
        <v>105.6</v>
      </c>
      <c r="AV1084" s="50" t="n">
        <f aca="false">ROUNDUP(CK1084+MAX(CL1084,2*(J1084/IF(CG1084&gt;0,CG1084,MAX(0.1,N(Cockpit!$I$6)))-CK1084)),0)</f>
        <v>10</v>
      </c>
      <c r="AW1084" s="51" t="n">
        <f aca="false">IF(AS1084&gt;0,J1084/AS1084,-1)</f>
        <v>9.03225806451613</v>
      </c>
      <c r="AX1084" s="51" t="n">
        <f aca="false">IF(AND(OR(CF1084="L1",CF1084="L23",CF1084="LIFT"),AS1084&gt;0),SUMIFS($AS$7:$AS$1843,$CF$7:$CF$1843,CF1084,$AW$7:$AW$1843,"&gt;"&amp;AW1084)+SUMIFS($AS$7:$AS$1843,$CF$7:$CF$1843,CF1084,$AW$7:$AW$1843,AW1084,$BW$7:$BW$1843,"&lt;="&amp;BW1084),"")</f>
        <v>3539.09111721612</v>
      </c>
      <c r="AY1084" s="58" t="n">
        <f aca="false">IF(AX1084="",0,MAX(0,MIN(1,(IF(CF1084="L1",Parameter!$H$5,IF(CF1084="L23",Parameter!$H$6+Parameter!$H$7,Parameter!$H$5+Parameter!$H$6+Parameter!$H$7))-(AX1084-AS1084))/AS1084)))</f>
        <v>1</v>
      </c>
      <c r="AZ1084" s="50" t="n">
        <f aca="false">IF(LEFT(Cockpit!$O$5,1)="A",H1084,IF(Parameter!$E$30="MAX-Bestand",IF(CH1084=1,CI1084,IF(LEFT(Cockpit!$O$5,1)="B",BF1084,MAX(BF1084,H1084))),ROUNDUP(BD1084,0)))</f>
        <v>5</v>
      </c>
      <c r="BA1084" s="50" t="n">
        <f aca="false">IF(BZ1084=1,0,ROUNDUP(AZ1084/BY1084,0))</f>
        <v>1</v>
      </c>
      <c r="BB1084" s="52" t="n">
        <f aca="false">IF(CQ1084&gt;0,CQ1084*MAX(1,AZ1084/X1084),IF(BZ1084=1,IF(AZ1084&lt;=0,0,CD1084*MAX(1,IF(H1084&gt;0,AZ1084/H1084,1))),IF(R1084&gt;0,BA1084/R1084,0))/MAX(0.1,N(Parameter!$M$21)))</f>
        <v>0.00714285714285714</v>
      </c>
      <c r="BC1084" s="50" t="n">
        <f aca="false">BB1084*CB1084</f>
        <v>1.10714285714286</v>
      </c>
      <c r="BD1084" s="51" t="n">
        <f aca="false">IF(LEFT(Cockpit!$O$5,1)="A",H1084,IF(CH1084=1,(CK1084+CI1084)/2,IF(LEFT(Cockpit!$O$5,1)="B",(CK1084+BF1084)/2,MAX((CK1084+BF1084)/2,H1084))))</f>
        <v>5</v>
      </c>
      <c r="BE1084" s="50" t="n">
        <f aca="false">BD1084*G1084</f>
        <v>66</v>
      </c>
      <c r="BF1084" s="50" t="n">
        <f aca="false">ROUNDUP(CK1084+MAX(CL1084,2*(J1084/IF(CG1084&gt;0,CG1084,MAX(0.1,N(Cockpit!$O$6)))-CK1084)),0)</f>
        <v>10</v>
      </c>
      <c r="BG1084" s="51" t="n">
        <f aca="false">IF(BC1084&gt;0,J1084/BC1084,-1)</f>
        <v>9.03225806451613</v>
      </c>
      <c r="BH1084" s="51" t="n">
        <f aca="false">IF(AND(OR(CF1084="L1",CF1084="L23",CF1084="LIFT"),BC1084&gt;0),SUMIFS($BC$7:$BC$1843,$CF$7:$CF$1843,CF1084,$BG$7:$BG$1843,"&gt;"&amp;BG1084)+SUMIFS($BC$7:$BC$1843,$CF$7:$CF$1843,CF1084,$BG$7:$BG$1843,BG1084,$BW$7:$BW$1843,"&lt;="&amp;BW1084),"")</f>
        <v>2880.25503663004</v>
      </c>
      <c r="BI1084" s="58" t="n">
        <f aca="false">IF(BH1084="",0,MAX(0,MIN(1,(IF(CF1084="L1",Parameter!$H$5,IF(CF1084="L23",Parameter!$H$6+Parameter!$H$7,Parameter!$H$5+Parameter!$H$6+Parameter!$H$7))-(BH1084-BC1084))/BC1084)))</f>
        <v>1</v>
      </c>
      <c r="BJ1084" s="48" t="str">
        <f aca="false">IF(AI1084&lt;=0,"",IF(CF1084="Aussen","Aussenlager",IF(CF1084="-","Nicht im Lift",IF(AO1084&gt;=1,"Lift",IF(AO1084&lt;=0,"Aussenlager","teilweise")))))</f>
        <v>Lift</v>
      </c>
      <c r="BK1084" s="48" t="str">
        <f aca="false">IF(AS1084&lt;=0,"",IF(CF1084="Aussen","Aussenlager",IF(CF1084="-","Nicht im Lift",IF(AY1084&gt;=1,"Lift",IF(AY1084&lt;=0,"Aussenlager","teilweise")))))</f>
        <v>Lift</v>
      </c>
      <c r="BL1084" s="48" t="str">
        <f aca="false">IF(BC1084&lt;=0,"",IF(CF1084="Aussen","Aussenlager",IF(CF1084="-","Nicht im Lift",IF(BI1084&gt;=1,"Lift",IF(BI1084&lt;=0,"Aussenlager","teilweise")))))</f>
        <v>Lift</v>
      </c>
      <c r="BM1084" s="48" t="str">
        <f aca="false">IF(A1084="","",IF(BV1084=1,"Neu; ","")&amp;IF(AND(BV1084=0,BQ1084&lt;0),"negativer Bestand (Export "&amp;BQ1084&amp;"); ","")&amp;IF(J1084&lt;=0,"Kein Verbrauch; ","")&amp;IF(CQ1084&gt;0,"Lift "&amp;W1084&amp;" lt. Liftbericht (Fach "&amp;X1084&amp;" Stk); ",IF(CA1084=1,"Gebinde geschätzt ("&amp;T1084&amp;"); ",IF(BZ1084=1,"Lose – Tablare geschätzt; ","")))&amp;IF(H1084&gt;AV1084,"Überbestand "&amp;ROUND(H1084-AV1084,0)&amp;" Stk / CHF "&amp;ROUND((H1084-AV1084)*G1084,0)&amp;"; ","")&amp;IF(AND(CH1084=1,CI1084&lt;CJ1084),"MAX &lt; MB+LG; ","")&amp;IF(AND(CP1084&gt;0,CO1084*10&gt;CP1084),"zu hoch für Tablar; ","")&amp;IF(AND(BV1084=0,OR(CH1084=1,AA1084&lt;&gt;"",U1084&lt;&gt;"",V1084&lt;&gt;"",AB1084&lt;&gt;"")),"manuell übersteuert; ","")&amp;IF(AND(BZ1084=0,R1084=0),"Gebinde unbekannt / Stellmass fehlt; ","")&amp;IF(AND(BZ1084=0,N(V1084)&lt;=0,N(Q1084)&lt;=0),"Menge pro Gebinde fehlt (Ist = 1 Gebinde); ","")&amp;BU1084)</f>
        <v/>
      </c>
      <c r="BN1084" s="48"/>
      <c r="BO1084" s="48"/>
      <c r="BP1084" s="55"/>
      <c r="BQ1084" s="50" t="n">
        <v>2</v>
      </c>
      <c r="BR1084" s="50" t="n">
        <v>6</v>
      </c>
      <c r="BS1084" s="49" t="n">
        <v>-188.4</v>
      </c>
      <c r="BT1084" s="50" t="n">
        <v>10</v>
      </c>
      <c r="BU1084" s="48"/>
      <c r="BV1084" s="53" t="n">
        <v>0</v>
      </c>
      <c r="BW1084" s="53" t="n">
        <v>1084</v>
      </c>
      <c r="BX1084" s="48" t="str">
        <f aca="false">IF(U1084&lt;&gt;"",UPPER(TRIM(U1084)),IF(CA1084=1,UPPER(VLOOKUP(T1084,Parameter!$I$27:$K$29,2,0)),IF(P1084="","LOSE",P1084)))</f>
        <v>S22</v>
      </c>
      <c r="BY1084" s="50" t="n">
        <f aca="false">IF(BX1084="LOSE",1,IF(N(V1084)&gt;0,V1084,IF(CA1084=1,MAX(1,N(VLOOKUP(T1084,Parameter!$I$27:$K$29,3,0)),H1084,N(N1084)),IF(N(Q1084)&gt;0,Q1084,MAX(1,H1084)))))</f>
        <v>8</v>
      </c>
      <c r="BZ1084" s="53" t="n">
        <f aca="false">IF(BX1084="LOSE",1,0)</f>
        <v>0</v>
      </c>
      <c r="CA1084" s="53" t="n">
        <f aca="false">IF(AND(U1084="",OR(P1084="",P1084="LOSE"),T1084&lt;&gt;"",N(S1084)&lt;=0,ISNUMBER(MATCH(T1084,Parameter!$I$27:$I$29,0))),1,0)</f>
        <v>0</v>
      </c>
      <c r="CB1084" s="53" t="n">
        <f aca="false">IF(CQ1084&gt;0,INDEX(Parameter!$H$5:$H$7,W1084)/INDEX(Parameter!$E$5:$E$7,W1084),IF(AND(BZ1084=0,N(IFERROR(VLOOKUP(BX1084,'Gebinde-Kategorie'!$A$5:$N$45,14,0),0))&gt;0),VLOOKUP(BX1084,'Gebinde-Kategorie'!$A$5:$N$45,14,0)*10+Parameter!$M$23,Parameter!$M$24))</f>
        <v>155</v>
      </c>
      <c r="CC1084" s="48" t="str">
        <f aca="false">IF(AND(Parameter!$B$19="Ja",E1084&lt;&gt;"",ISNUMBER(MATCH(E1084,Parameter!$I$35:$I$52,0))),VLOOKUP(E1084,Parameter!$I$35:$J$52,2,0),IFERROR(VLOOKUP(D1084,Parameter!$A$35:$C$64,2,0),"Nein"))</f>
        <v>2+3</v>
      </c>
      <c r="CD1084" s="52" t="n">
        <f aca="false">IF(BZ1084=0,0,IF(N(S1084)&gt;0,S1084,IFERROR(VLOOKUP(D1084,Parameter!$A$35:$C$64,3,0)+0,0)))</f>
        <v>0</v>
      </c>
      <c r="CE1084" s="48" t="n">
        <f aca="false">IF(AA1084&lt;&gt;"",AA1084,Z1084)</f>
        <v>3</v>
      </c>
      <c r="CF1084" s="48" t="str">
        <f aca="false">IF(OR(CE1084=1,CE1084=2,CE1084=3),IF(Parameter!$E$27="Ja","LIFT",IF(CE1084=1,"L1","L23")),IF(CE1084="Aussen","Aussen","-"))</f>
        <v>LIFT</v>
      </c>
      <c r="CG1084" s="59" t="n">
        <f aca="false">IF(N(AB1084)&gt;0,AB1084,0)</f>
        <v>0</v>
      </c>
      <c r="CH1084" s="53" t="n">
        <f aca="false">IF(ISNUMBER(AE1084),1,0)</f>
        <v>0</v>
      </c>
      <c r="CI1084" s="50" t="n">
        <f aca="false">N(AE1084)</f>
        <v>0</v>
      </c>
      <c r="CJ1084" s="50" t="n">
        <f aca="false">N(M1084)+N(N1084)</f>
        <v>10</v>
      </c>
      <c r="CK1084" s="50" t="n">
        <f aca="false">N(M1084)</f>
        <v>0</v>
      </c>
      <c r="CL1084" s="50" t="n">
        <f aca="false">N(N1084)</f>
        <v>10</v>
      </c>
      <c r="CM1084" s="50" t="n">
        <f aca="false">ROUNDUP(H1084/BY1084,0)</f>
        <v>1</v>
      </c>
      <c r="CN1084" s="50" t="n">
        <f aca="false">ROUNDUP(CI1084/BY1084,0)</f>
        <v>0</v>
      </c>
      <c r="CO1084" s="53" t="n">
        <f aca="false">IF(BZ1084=1,0,IFERROR(VLOOKUP(BX1084,'Gebinde-Kategorie'!$A$5:$N$45,5,0)+0,0))</f>
        <v>8</v>
      </c>
      <c r="CP1084" s="53" t="n">
        <f aca="false">IFERROR(IF(OR(CE1084=1,CE1084=2,CE1084=3),N(INDEX(Parameter!$I$5:$I$7,CE1084)),0),0)</f>
        <v>0</v>
      </c>
      <c r="CQ1084" s="52" t="n">
        <f aca="false">IF(AND(Parameter!$B$21="Ja",ISNUMBER(W1084),N(X1084)&gt;0),IFERROR(N(INDEX(Parameter!$L$5:$L$7,W1084))*INDEX(Parameter!$E$5:$E$7,W1084)*X1084/SUMIFS($X$7:$X$1843,$W$7:$W$1843,W1084),0),0)</f>
        <v>0</v>
      </c>
    </row>
    <row r="1085" customFormat="false" ht="15" hidden="false" customHeight="false" outlineLevel="0" collapsed="false">
      <c r="A1085" s="48" t="s">
        <v>1984</v>
      </c>
      <c r="B1085" s="48" t="s">
        <v>1985</v>
      </c>
      <c r="C1085" s="48" t="s">
        <v>173</v>
      </c>
      <c r="D1085" s="48" t="s">
        <v>193</v>
      </c>
      <c r="E1085" s="48" t="s">
        <v>194</v>
      </c>
      <c r="F1085" s="48" t="s">
        <v>227</v>
      </c>
      <c r="G1085" s="49" t="n">
        <v>7.08</v>
      </c>
      <c r="H1085" s="50" t="n">
        <f aca="false">MAX(0,IF(AND(Parameter!$B$21="Ja",ISNUMBER(Y1085)),Y1085,IF(Parameter!$B$20="Jahresanfang 2025 + Export",BR1085+BQ1085,BQ1085)))</f>
        <v>81</v>
      </c>
      <c r="I1085" s="50" t="n">
        <f aca="false">H1085*G1085</f>
        <v>573.48</v>
      </c>
      <c r="J1085" s="50" t="n">
        <f aca="false">BT1085*Parameter!$B$18</f>
        <v>129</v>
      </c>
      <c r="K1085" s="51" t="n">
        <v>91</v>
      </c>
      <c r="L1085" s="52" t="n">
        <v>1.41758241758242</v>
      </c>
      <c r="M1085" s="50" t="n">
        <v>7</v>
      </c>
      <c r="N1085" s="50" t="n">
        <v>130</v>
      </c>
      <c r="O1085" s="53" t="n">
        <v>21</v>
      </c>
      <c r="P1085" s="48" t="s">
        <v>430</v>
      </c>
      <c r="Q1085" s="50" t="n">
        <v>113</v>
      </c>
      <c r="R1085" s="53" t="n">
        <f aca="false">IF(BZ1085=1,0,IFERROR(VLOOKUP(BX1085,'Gebinde-Kategorie'!$A$5:$N$45,13,0)+0,0))</f>
        <v>104</v>
      </c>
      <c r="S1085" s="54"/>
      <c r="T1085" s="55"/>
      <c r="U1085" s="55"/>
      <c r="V1085" s="55"/>
      <c r="W1085" s="48"/>
      <c r="X1085" s="50"/>
      <c r="Y1085" s="50"/>
      <c r="Z1085" s="48" t="n">
        <f aca="false">IF(A1085="","",IF(AND(Parameter!$B$21="Ja",ISNUMBER(W1085)),W1085,IF(CC1085="2+3",IF(ISNUMBER(SEARCH("grosser Artikel",BU1085)),2,IFERROR(VLOOKUP(BX1085,Parameter!$F$35:$G$64,2,0),2)),IF(OR(CC1085="Nein",CC1085=""),"-",CC1085))))</f>
        <v>3</v>
      </c>
      <c r="AA1085" s="55"/>
      <c r="AB1085" s="56"/>
      <c r="AC1085" s="50" t="n">
        <f aca="false">AV1085</f>
        <v>137</v>
      </c>
      <c r="AD1085" s="50" t="n">
        <f aca="false">MAX(AV1085,H1085)</f>
        <v>137</v>
      </c>
      <c r="AE1085" s="57"/>
      <c r="AF1085" s="50" t="n">
        <f aca="false">IF(LEFT(Cockpit!$C$5,1)="A",H1085,IF(Parameter!$E$30="MAX-Bestand",IF(CH1085=1,CI1085,IF(LEFT(Cockpit!$C$5,1)="B",AL1085,MAX(AL1085,H1085))),ROUNDUP(AJ1085,0)))</f>
        <v>81</v>
      </c>
      <c r="AG1085" s="50" t="n">
        <f aca="false">IF(BZ1085=1,0,ROUNDUP(AF1085/BY1085,0))</f>
        <v>1</v>
      </c>
      <c r="AH1085" s="52" t="n">
        <f aca="false">IF(CQ1085&gt;0,CQ1085*MAX(1,AF1085/X1085),IF(BZ1085=1,IF(AF1085&lt;=0,0,CD1085*MAX(1,IF(H1085&gt;0,AF1085/H1085,1))),IF(R1085&gt;0,AG1085/R1085,0))/MAX(0.1,N(Parameter!$M$21)))</f>
        <v>0.00961538461538462</v>
      </c>
      <c r="AI1085" s="50" t="n">
        <f aca="false">AH1085*CB1085</f>
        <v>1.49038461538462</v>
      </c>
      <c r="AJ1085" s="51" t="n">
        <f aca="false">IF(LEFT(Cockpit!$C$5,1)="A",H1085,IF(CH1085=1,(CK1085+CI1085)/2,IF(LEFT(Cockpit!$C$5,1)="B",(CK1085+AL1085)/2,MAX((CK1085+AL1085)/2,H1085))))</f>
        <v>81</v>
      </c>
      <c r="AK1085" s="50" t="n">
        <f aca="false">AJ1085*G1085</f>
        <v>573.48</v>
      </c>
      <c r="AL1085" s="50" t="n">
        <f aca="false">ROUNDUP(CK1085+MAX(CL1085,2*(J1085/IF(CG1085&gt;0,CG1085,MAX(0.1,N(Cockpit!$C$6)))-CK1085)),0)</f>
        <v>137</v>
      </c>
      <c r="AM1085" s="51" t="n">
        <f aca="false">IF(AI1085&gt;0,J1085/AI1085,-1)</f>
        <v>86.5548387096774</v>
      </c>
      <c r="AN1085" s="51" t="n">
        <f aca="false">IF(AND(OR(CF1085="L1",CF1085="L23",CF1085="LIFT"),AI1085&gt;0),SUMIFS($AI$7:$AI$1843,$CF$7:$CF$1843,CF1085,$AM$7:$AM$1843,"&gt;"&amp;AM1085)+SUMIFS($AI$7:$AI$1843,$CF$7:$CF$1843,CF1085,$AM$7:$AM$1843,AM1085,$BW$7:$BW$1843,"&lt;="&amp;BW1085),"")</f>
        <v>839.858516483517</v>
      </c>
      <c r="AO1085" s="58" t="n">
        <f aca="false">IF(AN1085="",0,MAX(0,MIN(1,(IF(CF1085="L1",Parameter!$H$5,IF(CF1085="L23",Parameter!$H$6+Parameter!$H$7,Parameter!$H$5+Parameter!$H$6+Parameter!$H$7))-(AN1085-AI1085))/AI1085)))</f>
        <v>1</v>
      </c>
      <c r="AP1085" s="50" t="n">
        <f aca="false">IF(LEFT(Cockpit!$I$5,1)="A",H1085,IF(Parameter!$E$30="MAX-Bestand",IF(CH1085=1,CI1085,IF(LEFT(Cockpit!$I$5,1)="B",AV1085,MAX(AV1085,H1085))),ROUNDUP(AT1085,0)))</f>
        <v>81</v>
      </c>
      <c r="AQ1085" s="50" t="n">
        <f aca="false">IF(BZ1085=1,0,ROUNDUP(AP1085/BY1085,0))</f>
        <v>1</v>
      </c>
      <c r="AR1085" s="52" t="n">
        <f aca="false">IF(CQ1085&gt;0,CQ1085*MAX(1,AP1085/X1085),IF(BZ1085=1,IF(AP1085&lt;=0,0,CD1085*MAX(1,IF(H1085&gt;0,AP1085/H1085,1))),IF(R1085&gt;0,AQ1085/R1085,0))/MAX(0.1,N(Parameter!$M$21)))</f>
        <v>0.00961538461538462</v>
      </c>
      <c r="AS1085" s="50" t="n">
        <f aca="false">AR1085*CB1085</f>
        <v>1.49038461538462</v>
      </c>
      <c r="AT1085" s="51" t="n">
        <f aca="false">IF(LEFT(Cockpit!$I$5,1)="A",H1085,IF(CH1085=1,(CK1085+CI1085)/2,IF(LEFT(Cockpit!$I$5,1)="B",(CK1085+AV1085)/2,MAX((CK1085+AV1085)/2,H1085))))</f>
        <v>81</v>
      </c>
      <c r="AU1085" s="50" t="n">
        <f aca="false">AT1085*G1085</f>
        <v>573.48</v>
      </c>
      <c r="AV1085" s="50" t="n">
        <f aca="false">ROUNDUP(CK1085+MAX(CL1085,2*(J1085/IF(CG1085&gt;0,CG1085,MAX(0.1,N(Cockpit!$I$6)))-CK1085)),0)</f>
        <v>137</v>
      </c>
      <c r="AW1085" s="51" t="n">
        <f aca="false">IF(AS1085&gt;0,J1085/AS1085,-1)</f>
        <v>86.5548387096774</v>
      </c>
      <c r="AX1085" s="51" t="n">
        <f aca="false">IF(AND(OR(CF1085="L1",CF1085="L23",CF1085="LIFT"),AS1085&gt;0),SUMIFS($AS$7:$AS$1843,$CF$7:$CF$1843,CF1085,$AW$7:$AW$1843,"&gt;"&amp;AW1085)+SUMIFS($AS$7:$AS$1843,$CF$7:$CF$1843,CF1085,$AW$7:$AW$1843,AW1085,$BW$7:$BW$1843,"&lt;="&amp;BW1085),"")</f>
        <v>1052.7706043956</v>
      </c>
      <c r="AY1085" s="58" t="n">
        <f aca="false">IF(AX1085="",0,MAX(0,MIN(1,(IF(CF1085="L1",Parameter!$H$5,IF(CF1085="L23",Parameter!$H$6+Parameter!$H$7,Parameter!$H$5+Parameter!$H$6+Parameter!$H$7))-(AX1085-AS1085))/AS1085)))</f>
        <v>1</v>
      </c>
      <c r="AZ1085" s="50" t="n">
        <f aca="false">IF(LEFT(Cockpit!$O$5,1)="A",H1085,IF(Parameter!$E$30="MAX-Bestand",IF(CH1085=1,CI1085,IF(LEFT(Cockpit!$O$5,1)="B",BF1085,MAX(BF1085,H1085))),ROUNDUP(BD1085,0)))</f>
        <v>72</v>
      </c>
      <c r="BA1085" s="50" t="n">
        <f aca="false">IF(BZ1085=1,0,ROUNDUP(AZ1085/BY1085,0))</f>
        <v>1</v>
      </c>
      <c r="BB1085" s="52" t="n">
        <f aca="false">IF(CQ1085&gt;0,CQ1085*MAX(1,AZ1085/X1085),IF(BZ1085=1,IF(AZ1085&lt;=0,0,CD1085*MAX(1,IF(H1085&gt;0,AZ1085/H1085,1))),IF(R1085&gt;0,BA1085/R1085,0))/MAX(0.1,N(Parameter!$M$21)))</f>
        <v>0.00961538461538462</v>
      </c>
      <c r="BC1085" s="50" t="n">
        <f aca="false">BB1085*CB1085</f>
        <v>1.49038461538462</v>
      </c>
      <c r="BD1085" s="51" t="n">
        <f aca="false">IF(LEFT(Cockpit!$O$5,1)="A",H1085,IF(CH1085=1,(CK1085+CI1085)/2,IF(LEFT(Cockpit!$O$5,1)="B",(CK1085+BF1085)/2,MAX((CK1085+BF1085)/2,H1085))))</f>
        <v>72</v>
      </c>
      <c r="BE1085" s="50" t="n">
        <f aca="false">BD1085*G1085</f>
        <v>509.76</v>
      </c>
      <c r="BF1085" s="50" t="n">
        <f aca="false">ROUNDUP(CK1085+MAX(CL1085,2*(J1085/IF(CG1085&gt;0,CG1085,MAX(0.1,N(Cockpit!$O$6)))-CK1085)),0)</f>
        <v>137</v>
      </c>
      <c r="BG1085" s="51" t="n">
        <f aca="false">IF(BC1085&gt;0,J1085/BC1085,-1)</f>
        <v>86.5548387096774</v>
      </c>
      <c r="BH1085" s="51" t="n">
        <f aca="false">IF(AND(OR(CF1085="L1",CF1085="L23",CF1085="LIFT"),BC1085&gt;0),SUMIFS($BC$7:$BC$1843,$CF$7:$CF$1843,CF1085,$BG$7:$BG$1843,"&gt;"&amp;BG1085)+SUMIFS($BC$7:$BC$1843,$CF$7:$CF$1843,CF1085,$BG$7:$BG$1843,BG1085,$BW$7:$BW$1843,"&lt;="&amp;BW1085),"")</f>
        <v>986.919871794872</v>
      </c>
      <c r="BI1085" s="58" t="n">
        <f aca="false">IF(BH1085="",0,MAX(0,MIN(1,(IF(CF1085="L1",Parameter!$H$5,IF(CF1085="L23",Parameter!$H$6+Parameter!$H$7,Parameter!$H$5+Parameter!$H$6+Parameter!$H$7))-(BH1085-BC1085))/BC1085)))</f>
        <v>1</v>
      </c>
      <c r="BJ1085" s="48" t="str">
        <f aca="false">IF(AI1085&lt;=0,"",IF(CF1085="Aussen","Aussenlager",IF(CF1085="-","Nicht im Lift",IF(AO1085&gt;=1,"Lift",IF(AO1085&lt;=0,"Aussenlager","teilweise")))))</f>
        <v>Lift</v>
      </c>
      <c r="BK1085" s="48" t="str">
        <f aca="false">IF(AS1085&lt;=0,"",IF(CF1085="Aussen","Aussenlager",IF(CF1085="-","Nicht im Lift",IF(AY1085&gt;=1,"Lift",IF(AY1085&lt;=0,"Aussenlager","teilweise")))))</f>
        <v>Lift</v>
      </c>
      <c r="BL1085" s="48" t="str">
        <f aca="false">IF(BC1085&lt;=0,"",IF(CF1085="Aussen","Aussenlager",IF(CF1085="-","Nicht im Lift",IF(BI1085&gt;=1,"Lift",IF(BI1085&lt;=0,"Aussenlager","teilweise")))))</f>
        <v>Lift</v>
      </c>
      <c r="BM1085" s="48" t="str">
        <f aca="false">IF(A1085="","",IF(BV1085=1,"Neu; ","")&amp;IF(AND(BV1085=0,BQ1085&lt;0),"negativer Bestand (Export "&amp;BQ1085&amp;"); ","")&amp;IF(J1085&lt;=0,"Kein Verbrauch; ","")&amp;IF(CQ1085&gt;0,"Lift "&amp;W1085&amp;" lt. Liftbericht (Fach "&amp;X1085&amp;" Stk); ",IF(CA1085=1,"Gebinde geschätzt ("&amp;T1085&amp;"); ",IF(BZ1085=1,"Lose – Tablare geschätzt; ","")))&amp;IF(H1085&gt;AV1085,"Überbestand "&amp;ROUND(H1085-AV1085,0)&amp;" Stk / CHF "&amp;ROUND((H1085-AV1085)*G1085,0)&amp;"; ","")&amp;IF(AND(CH1085=1,CI1085&lt;CJ1085),"MAX &lt; MB+LG; ","")&amp;IF(AND(CP1085&gt;0,CO1085*10&gt;CP1085),"zu hoch für Tablar; ","")&amp;IF(AND(BV1085=0,OR(CH1085=1,AA1085&lt;&gt;"",U1085&lt;&gt;"",V1085&lt;&gt;"",AB1085&lt;&gt;"")),"manuell übersteuert; ","")&amp;IF(AND(BZ1085=0,R1085=0),"Gebinde unbekannt / Stellmass fehlt; ","")&amp;IF(AND(BZ1085=0,N(V1085)&lt;=0,N(Q1085)&lt;=0),"Menge pro Gebinde fehlt (Ist = 1 Gebinde); ","")&amp;BU1085)</f>
        <v>negativer Bestand (Export -22); </v>
      </c>
      <c r="BN1085" s="48"/>
      <c r="BO1085" s="48"/>
      <c r="BP1085" s="55"/>
      <c r="BQ1085" s="50" t="n">
        <v>-22</v>
      </c>
      <c r="BR1085" s="50" t="n">
        <v>103</v>
      </c>
      <c r="BS1085" s="49" t="n">
        <v>-188.719999999999</v>
      </c>
      <c r="BT1085" s="50" t="n">
        <v>129</v>
      </c>
      <c r="BU1085" s="48"/>
      <c r="BV1085" s="53" t="n">
        <v>0</v>
      </c>
      <c r="BW1085" s="53" t="n">
        <v>1085</v>
      </c>
      <c r="BX1085" s="48" t="str">
        <f aca="false">IF(U1085&lt;&gt;"",UPPER(TRIM(U1085)),IF(CA1085=1,UPPER(VLOOKUP(T1085,Parameter!$I$27:$K$29,2,0)),IF(P1085="","LOSE",P1085)))</f>
        <v>S32</v>
      </c>
      <c r="BY1085" s="50" t="n">
        <f aca="false">IF(BX1085="LOSE",1,IF(N(V1085)&gt;0,V1085,IF(CA1085=1,MAX(1,N(VLOOKUP(T1085,Parameter!$I$27:$K$29,3,0)),H1085,N(N1085)),IF(N(Q1085)&gt;0,Q1085,MAX(1,H1085)))))</f>
        <v>113</v>
      </c>
      <c r="BZ1085" s="53" t="n">
        <f aca="false">IF(BX1085="LOSE",1,0)</f>
        <v>0</v>
      </c>
      <c r="CA1085" s="53" t="n">
        <f aca="false">IF(AND(U1085="",OR(P1085="",P1085="LOSE"),T1085&lt;&gt;"",N(S1085)&lt;=0,ISNUMBER(MATCH(T1085,Parameter!$I$27:$I$29,0))),1,0)</f>
        <v>0</v>
      </c>
      <c r="CB1085" s="53" t="n">
        <f aca="false">IF(CQ1085&gt;0,INDEX(Parameter!$H$5:$H$7,W1085)/INDEX(Parameter!$E$5:$E$7,W1085),IF(AND(BZ1085=0,N(IFERROR(VLOOKUP(BX1085,'Gebinde-Kategorie'!$A$5:$N$45,14,0),0))&gt;0),VLOOKUP(BX1085,'Gebinde-Kategorie'!$A$5:$N$45,14,0)*10+Parameter!$M$23,Parameter!$M$24))</f>
        <v>155</v>
      </c>
      <c r="CC1085" s="48" t="str">
        <f aca="false">IF(AND(Parameter!$B$19="Ja",E1085&lt;&gt;"",ISNUMBER(MATCH(E1085,Parameter!$I$35:$I$52,0))),VLOOKUP(E1085,Parameter!$I$35:$J$52,2,0),IFERROR(VLOOKUP(D1085,Parameter!$A$35:$C$64,2,0),"Nein"))</f>
        <v>2+3</v>
      </c>
      <c r="CD1085" s="52" t="n">
        <f aca="false">IF(BZ1085=0,0,IF(N(S1085)&gt;0,S1085,IFERROR(VLOOKUP(D1085,Parameter!$A$35:$C$64,3,0)+0,0)))</f>
        <v>0</v>
      </c>
      <c r="CE1085" s="48" t="n">
        <f aca="false">IF(AA1085&lt;&gt;"",AA1085,Z1085)</f>
        <v>3</v>
      </c>
      <c r="CF1085" s="48" t="str">
        <f aca="false">IF(OR(CE1085=1,CE1085=2,CE1085=3),IF(Parameter!$E$27="Ja","LIFT",IF(CE1085=1,"L1","L23")),IF(CE1085="Aussen","Aussen","-"))</f>
        <v>LIFT</v>
      </c>
      <c r="CG1085" s="59" t="n">
        <f aca="false">IF(N(AB1085)&gt;0,AB1085,0)</f>
        <v>0</v>
      </c>
      <c r="CH1085" s="53" t="n">
        <f aca="false">IF(ISNUMBER(AE1085),1,0)</f>
        <v>0</v>
      </c>
      <c r="CI1085" s="50" t="n">
        <f aca="false">N(AE1085)</f>
        <v>0</v>
      </c>
      <c r="CJ1085" s="50" t="n">
        <f aca="false">N(M1085)+N(N1085)</f>
        <v>137</v>
      </c>
      <c r="CK1085" s="50" t="n">
        <f aca="false">N(M1085)</f>
        <v>7</v>
      </c>
      <c r="CL1085" s="50" t="n">
        <f aca="false">N(N1085)</f>
        <v>130</v>
      </c>
      <c r="CM1085" s="50" t="n">
        <f aca="false">ROUNDUP(H1085/BY1085,0)</f>
        <v>1</v>
      </c>
      <c r="CN1085" s="50" t="n">
        <f aca="false">ROUNDUP(CI1085/BY1085,0)</f>
        <v>0</v>
      </c>
      <c r="CO1085" s="53" t="n">
        <f aca="false">IF(BZ1085=1,0,IFERROR(VLOOKUP(BX1085,'Gebinde-Kategorie'!$A$5:$N$45,5,0)+0,0))</f>
        <v>8</v>
      </c>
      <c r="CP1085" s="53" t="n">
        <f aca="false">IFERROR(IF(OR(CE1085=1,CE1085=2,CE1085=3),N(INDEX(Parameter!$I$5:$I$7,CE1085)),0),0)</f>
        <v>0</v>
      </c>
      <c r="CQ1085" s="52" t="n">
        <f aca="false">IF(AND(Parameter!$B$21="Ja",ISNUMBER(W1085),N(X1085)&gt;0),IFERROR(N(INDEX(Parameter!$L$5:$L$7,W1085))*INDEX(Parameter!$E$5:$E$7,W1085)*X1085/SUMIFS($X$7:$X$1843,$W$7:$W$1843,W1085),0),0)</f>
        <v>0</v>
      </c>
    </row>
    <row r="1086" customFormat="false" ht="15" hidden="false" customHeight="false" outlineLevel="0" collapsed="false">
      <c r="A1086" s="48" t="s">
        <v>1986</v>
      </c>
      <c r="B1086" s="48" t="s">
        <v>1987</v>
      </c>
      <c r="C1086" s="48" t="s">
        <v>465</v>
      </c>
      <c r="D1086" s="48" t="s">
        <v>193</v>
      </c>
      <c r="E1086" s="48"/>
      <c r="F1086" s="48" t="s">
        <v>227</v>
      </c>
      <c r="G1086" s="49" t="n">
        <v>190.8</v>
      </c>
      <c r="H1086" s="50" t="n">
        <f aca="false">MAX(0,IF(AND(Parameter!$B$21="Ja",ISNUMBER(Y1086)),Y1086,IF(Parameter!$B$20="Jahresanfang 2025 + Export",BR1086+BQ1086,BQ1086)))</f>
        <v>0</v>
      </c>
      <c r="I1086" s="50" t="n">
        <f aca="false">H1086*G1086</f>
        <v>0</v>
      </c>
      <c r="J1086" s="50" t="n">
        <f aca="false">BT1086*Parameter!$B$18</f>
        <v>0</v>
      </c>
      <c r="K1086" s="51" t="n">
        <v>1</v>
      </c>
      <c r="L1086" s="52" t="n">
        <v>0</v>
      </c>
      <c r="M1086" s="50" t="n">
        <v>0</v>
      </c>
      <c r="N1086" s="50" t="n">
        <v>1</v>
      </c>
      <c r="O1086" s="53" t="n">
        <v>42</v>
      </c>
      <c r="P1086" s="48" t="s">
        <v>177</v>
      </c>
      <c r="Q1086" s="50"/>
      <c r="R1086" s="53" t="n">
        <f aca="false">IF(BZ1086=1,0,IFERROR(VLOOKUP(BX1086,'Gebinde-Kategorie'!$A$5:$N$45,13,0)+0,0))</f>
        <v>26</v>
      </c>
      <c r="S1086" s="54"/>
      <c r="T1086" s="55" t="s">
        <v>284</v>
      </c>
      <c r="U1086" s="55"/>
      <c r="V1086" s="55"/>
      <c r="W1086" s="48"/>
      <c r="X1086" s="50"/>
      <c r="Y1086" s="50"/>
      <c r="Z1086" s="48" t="n">
        <f aca="false">IF(A1086="","",IF(AND(Parameter!$B$21="Ja",ISNUMBER(W1086)),W1086,IF(CC1086="2+3",IF(ISNUMBER(SEARCH("grosser Artikel",BU1086)),2,IFERROR(VLOOKUP(BX1086,Parameter!$F$35:$G$64,2,0),2)),IF(OR(CC1086="Nein",CC1086=""),"-",CC1086))))</f>
        <v>3</v>
      </c>
      <c r="AA1086" s="55"/>
      <c r="AB1086" s="56"/>
      <c r="AC1086" s="50" t="n">
        <f aca="false">AV1086</f>
        <v>1</v>
      </c>
      <c r="AD1086" s="50" t="n">
        <f aca="false">MAX(AV1086,H1086)</f>
        <v>1</v>
      </c>
      <c r="AE1086" s="57"/>
      <c r="AF1086" s="50" t="n">
        <f aca="false">IF(LEFT(Cockpit!$C$5,1)="A",H1086,IF(Parameter!$E$30="MAX-Bestand",IF(CH1086=1,CI1086,IF(LEFT(Cockpit!$C$5,1)="B",AL1086,MAX(AL1086,H1086))),ROUNDUP(AJ1086,0)))</f>
        <v>0</v>
      </c>
      <c r="AG1086" s="50" t="n">
        <f aca="false">IF(BZ1086=1,0,ROUNDUP(AF1086/BY1086,0))</f>
        <v>0</v>
      </c>
      <c r="AH1086" s="52" t="n">
        <f aca="false">IF(CQ1086&gt;0,CQ1086*MAX(1,AF1086/X1086),IF(BZ1086=1,IF(AF1086&lt;=0,0,CD1086*MAX(1,IF(H1086&gt;0,AF1086/H1086,1))),IF(R1086&gt;0,AG1086/R1086,0))/MAX(0.1,N(Parameter!$M$21)))</f>
        <v>0</v>
      </c>
      <c r="AI1086" s="50" t="n">
        <f aca="false">AH1086*CB1086</f>
        <v>0</v>
      </c>
      <c r="AJ1086" s="51" t="n">
        <f aca="false">IF(LEFT(Cockpit!$C$5,1)="A",H1086,IF(CH1086=1,(CK1086+CI1086)/2,IF(LEFT(Cockpit!$C$5,1)="B",(CK1086+AL1086)/2,MAX((CK1086+AL1086)/2,H1086))))</f>
        <v>0</v>
      </c>
      <c r="AK1086" s="50" t="n">
        <f aca="false">AJ1086*G1086</f>
        <v>0</v>
      </c>
      <c r="AL1086" s="50" t="n">
        <f aca="false">ROUNDUP(CK1086+MAX(CL1086,2*(J1086/IF(CG1086&gt;0,CG1086,MAX(0.1,N(Cockpit!$C$6)))-CK1086)),0)</f>
        <v>1</v>
      </c>
      <c r="AM1086" s="51" t="n">
        <f aca="false">IF(AI1086&gt;0,J1086/AI1086,-1)</f>
        <v>-1</v>
      </c>
      <c r="AN1086" s="51" t="str">
        <f aca="false">IF(AND(OR(CF1086="L1",CF1086="L23",CF1086="LIFT"),AI1086&gt;0),SUMIFS($AI$7:$AI$1843,$CF$7:$CF$1843,CF1086,$AM$7:$AM$1843,"&gt;"&amp;AM1086)+SUMIFS($AI$7:$AI$1843,$CF$7:$CF$1843,CF1086,$AM$7:$AM$1843,AM1086,$BW$7:$BW$1843,"&lt;="&amp;BW1086),"")</f>
        <v/>
      </c>
      <c r="AO1086" s="58" t="n">
        <f aca="false">IF(AN1086="",0,MAX(0,MIN(1,(IF(CF1086="L1",Parameter!$H$5,IF(CF1086="L23",Parameter!$H$6+Parameter!$H$7,Parameter!$H$5+Parameter!$H$6+Parameter!$H$7))-(AN1086-AI1086))/AI1086)))</f>
        <v>0</v>
      </c>
      <c r="AP1086" s="50" t="n">
        <f aca="false">IF(LEFT(Cockpit!$I$5,1)="A",H1086,IF(Parameter!$E$30="MAX-Bestand",IF(CH1086=1,CI1086,IF(LEFT(Cockpit!$I$5,1)="B",AV1086,MAX(AV1086,H1086))),ROUNDUP(AT1086,0)))</f>
        <v>1</v>
      </c>
      <c r="AQ1086" s="50" t="n">
        <f aca="false">IF(BZ1086=1,0,ROUNDUP(AP1086/BY1086,0))</f>
        <v>1</v>
      </c>
      <c r="AR1086" s="52" t="n">
        <f aca="false">IF(CQ1086&gt;0,CQ1086*MAX(1,AP1086/X1086),IF(BZ1086=1,IF(AP1086&lt;=0,0,CD1086*MAX(1,IF(H1086&gt;0,AP1086/H1086,1))),IF(R1086&gt;0,AQ1086/R1086,0))/MAX(0.1,N(Parameter!$M$21)))</f>
        <v>0.0384615384615385</v>
      </c>
      <c r="AS1086" s="50" t="n">
        <f aca="false">AR1086*CB1086</f>
        <v>5.96153846153846</v>
      </c>
      <c r="AT1086" s="51" t="n">
        <f aca="false">IF(LEFT(Cockpit!$I$5,1)="A",H1086,IF(CH1086=1,(CK1086+CI1086)/2,IF(LEFT(Cockpit!$I$5,1)="B",(CK1086+AV1086)/2,MAX((CK1086+AV1086)/2,H1086))))</f>
        <v>0.5</v>
      </c>
      <c r="AU1086" s="50" t="n">
        <f aca="false">AT1086*G1086</f>
        <v>95.4</v>
      </c>
      <c r="AV1086" s="50" t="n">
        <f aca="false">ROUNDUP(CK1086+MAX(CL1086,2*(J1086/IF(CG1086&gt;0,CG1086,MAX(0.1,N(Cockpit!$I$6)))-CK1086)),0)</f>
        <v>1</v>
      </c>
      <c r="AW1086" s="51" t="n">
        <f aca="false">IF(AS1086&gt;0,J1086/AS1086,-1)</f>
        <v>0</v>
      </c>
      <c r="AX1086" s="51" t="n">
        <f aca="false">IF(AND(OR(CF1086="L1",CF1086="L23",CF1086="LIFT"),AS1086&gt;0),SUMIFS($AS$7:$AS$1843,$CF$7:$CF$1843,CF1086,$AW$7:$AW$1843,"&gt;"&amp;AW1086)+SUMIFS($AS$7:$AS$1843,$CF$7:$CF$1843,CF1086,$AW$7:$AW$1843,AW1086,$BW$7:$BW$1843,"&lt;="&amp;BW1086),"")</f>
        <v>34808.5169413919</v>
      </c>
      <c r="AY1086" s="58" t="n">
        <f aca="false">IF(AX1086="",0,MAX(0,MIN(1,(IF(CF1086="L1",Parameter!$H$5,IF(CF1086="L23",Parameter!$H$6+Parameter!$H$7,Parameter!$H$5+Parameter!$H$6+Parameter!$H$7))-(AX1086-AS1086))/AS1086)))</f>
        <v>1</v>
      </c>
      <c r="AZ1086" s="50" t="n">
        <f aca="false">IF(LEFT(Cockpit!$O$5,1)="A",H1086,IF(Parameter!$E$30="MAX-Bestand",IF(CH1086=1,CI1086,IF(LEFT(Cockpit!$O$5,1)="B",BF1086,MAX(BF1086,H1086))),ROUNDUP(BD1086,0)))</f>
        <v>1</v>
      </c>
      <c r="BA1086" s="50" t="n">
        <f aca="false">IF(BZ1086=1,0,ROUNDUP(AZ1086/BY1086,0))</f>
        <v>1</v>
      </c>
      <c r="BB1086" s="52" t="n">
        <f aca="false">IF(CQ1086&gt;0,CQ1086*MAX(1,AZ1086/X1086),IF(BZ1086=1,IF(AZ1086&lt;=0,0,CD1086*MAX(1,IF(H1086&gt;0,AZ1086/H1086,1))),IF(R1086&gt;0,BA1086/R1086,0))/MAX(0.1,N(Parameter!$M$21)))</f>
        <v>0.0384615384615385</v>
      </c>
      <c r="BC1086" s="50" t="n">
        <f aca="false">BB1086*CB1086</f>
        <v>5.96153846153846</v>
      </c>
      <c r="BD1086" s="51" t="n">
        <f aca="false">IF(LEFT(Cockpit!$O$5,1)="A",H1086,IF(CH1086=1,(CK1086+CI1086)/2,IF(LEFT(Cockpit!$O$5,1)="B",(CK1086+BF1086)/2,MAX((CK1086+BF1086)/2,H1086))))</f>
        <v>0.5</v>
      </c>
      <c r="BE1086" s="50" t="n">
        <f aca="false">BD1086*G1086</f>
        <v>95.4</v>
      </c>
      <c r="BF1086" s="50" t="n">
        <f aca="false">ROUNDUP(CK1086+MAX(CL1086,2*(J1086/IF(CG1086&gt;0,CG1086,MAX(0.1,N(Cockpit!$O$6)))-CK1086)),0)</f>
        <v>1</v>
      </c>
      <c r="BG1086" s="51" t="n">
        <f aca="false">IF(BC1086&gt;0,J1086/BC1086,-1)</f>
        <v>0</v>
      </c>
      <c r="BH1086" s="51" t="n">
        <f aca="false">IF(AND(OR(CF1086="L1",CF1086="L23",CF1086="LIFT"),BC1086&gt;0),SUMIFS($BC$7:$BC$1843,$CF$7:$CF$1843,CF1086,$BG$7:$BG$1843,"&gt;"&amp;BG1086)+SUMIFS($BC$7:$BC$1843,$CF$7:$CF$1843,CF1086,$BG$7:$BG$1843,BG1086,$BW$7:$BW$1843,"&lt;="&amp;BW1086),"")</f>
        <v>28793.8236015397</v>
      </c>
      <c r="BI1086" s="58" t="n">
        <f aca="false">IF(BH1086="",0,MAX(0,MIN(1,(IF(CF1086="L1",Parameter!$H$5,IF(CF1086="L23",Parameter!$H$6+Parameter!$H$7,Parameter!$H$5+Parameter!$H$6+Parameter!$H$7))-(BH1086-BC1086))/BC1086)))</f>
        <v>1</v>
      </c>
      <c r="BJ1086" s="48" t="str">
        <f aca="false">IF(AI1086&lt;=0,"",IF(CF1086="Aussen","Aussenlager",IF(CF1086="-","Nicht im Lift",IF(AO1086&gt;=1,"Lift",IF(AO1086&lt;=0,"Aussenlager","teilweise")))))</f>
        <v/>
      </c>
      <c r="BK1086" s="48" t="str">
        <f aca="false">IF(AS1086&lt;=0,"",IF(CF1086="Aussen","Aussenlager",IF(CF1086="-","Nicht im Lift",IF(AY1086&gt;=1,"Lift",IF(AY1086&lt;=0,"Aussenlager","teilweise")))))</f>
        <v>Lift</v>
      </c>
      <c r="BL1086" s="48" t="str">
        <f aca="false">IF(BC1086&lt;=0,"",IF(CF1086="Aussen","Aussenlager",IF(CF1086="-","Nicht im Lift",IF(BI1086&gt;=1,"Lift",IF(BI1086&lt;=0,"Aussenlager","teilweise")))))</f>
        <v>Lift</v>
      </c>
      <c r="BM1086" s="48" t="str">
        <f aca="false">IF(A1086="","",IF(BV1086=1,"Neu; ","")&amp;IF(AND(BV1086=0,BQ1086&lt;0),"negativer Bestand (Export "&amp;BQ1086&amp;"); ","")&amp;IF(J1086&lt;=0,"Kein Verbrauch; ","")&amp;IF(CQ1086&gt;0,"Lift "&amp;W1086&amp;" lt. Liftbericht (Fach "&amp;X1086&amp;" Stk); ",IF(CA1086=1,"Gebinde geschätzt ("&amp;T1086&amp;"); ",IF(BZ1086=1,"Lose – Tablare geschätzt; ","")))&amp;IF(H1086&gt;AV1086,"Überbestand "&amp;ROUND(H1086-AV1086,0)&amp;" Stk / CHF "&amp;ROUND((H1086-AV1086)*G1086,0)&amp;"; ","")&amp;IF(AND(CH1086=1,CI1086&lt;CJ1086),"MAX &lt; MB+LG; ","")&amp;IF(AND(CP1086&gt;0,CO1086*10&gt;CP1086),"zu hoch für Tablar; ","")&amp;IF(AND(BV1086=0,OR(CH1086=1,AA1086&lt;&gt;"",U1086&lt;&gt;"",V1086&lt;&gt;"",AB1086&lt;&gt;"")),"manuell übersteuert; ","")&amp;IF(AND(BZ1086=0,R1086=0),"Gebinde unbekannt / Stellmass fehlt; ","")&amp;IF(AND(BZ1086=0,N(V1086)&lt;=0,N(Q1086)&lt;=0),"Menge pro Gebinde fehlt (Ist = 1 Gebinde); ","")&amp;BU1086)</f>
        <v>negativer Bestand (Export -1); Kein Verbrauch; Gebinde geschätzt (Klein); Menge pro Gebinde fehlt (Ist = 1 Gebinde); </v>
      </c>
      <c r="BN1086" s="48"/>
      <c r="BO1086" s="48"/>
      <c r="BP1086" s="55"/>
      <c r="BQ1086" s="50" t="n">
        <v>-1</v>
      </c>
      <c r="BR1086" s="50" t="n">
        <v>1</v>
      </c>
      <c r="BS1086" s="49" t="n">
        <v>-190.8</v>
      </c>
      <c r="BT1086" s="50" t="n">
        <v>0</v>
      </c>
      <c r="BU1086" s="48"/>
      <c r="BV1086" s="53" t="n">
        <v>0</v>
      </c>
      <c r="BW1086" s="53" t="n">
        <v>1086</v>
      </c>
      <c r="BX1086" s="48" t="str">
        <f aca="false">IF(U1086&lt;&gt;"",UPPER(TRIM(U1086)),IF(CA1086=1,UPPER(VLOOKUP(T1086,Parameter!$I$27:$K$29,2,0)),IF(P1086="","LOSE",P1086)))</f>
        <v>S51</v>
      </c>
      <c r="BY1086" s="50" t="n">
        <f aca="false">IF(BX1086="LOSE",1,IF(N(V1086)&gt;0,V1086,IF(CA1086=1,MAX(1,N(VLOOKUP(T1086,Parameter!$I$27:$K$29,3,0)),H1086,N(N1086)),IF(N(Q1086)&gt;0,Q1086,MAX(1,H1086)))))</f>
        <v>20</v>
      </c>
      <c r="BZ1086" s="53" t="n">
        <f aca="false">IF(BX1086="LOSE",1,0)</f>
        <v>0</v>
      </c>
      <c r="CA1086" s="53" t="n">
        <f aca="false">IF(AND(U1086="",OR(P1086="",P1086="LOSE"),T1086&lt;&gt;"",N(S1086)&lt;=0,ISNUMBER(MATCH(T1086,Parameter!$I$27:$I$29,0))),1,0)</f>
        <v>1</v>
      </c>
      <c r="CB1086" s="53" t="n">
        <f aca="false">IF(CQ1086&gt;0,INDEX(Parameter!$H$5:$H$7,W1086)/INDEX(Parameter!$E$5:$E$7,W1086),IF(AND(BZ1086=0,N(IFERROR(VLOOKUP(BX1086,'Gebinde-Kategorie'!$A$5:$N$45,14,0),0))&gt;0),VLOOKUP(BX1086,'Gebinde-Kategorie'!$A$5:$N$45,14,0)*10+Parameter!$M$23,Parameter!$M$24))</f>
        <v>155</v>
      </c>
      <c r="CC1086" s="48" t="str">
        <f aca="false">IF(AND(Parameter!$B$19="Ja",E1086&lt;&gt;"",ISNUMBER(MATCH(E1086,Parameter!$I$35:$I$52,0))),VLOOKUP(E1086,Parameter!$I$35:$J$52,2,0),IFERROR(VLOOKUP(D1086,Parameter!$A$35:$C$64,2,0),"Nein"))</f>
        <v>2+3</v>
      </c>
      <c r="CD1086" s="52" t="n">
        <f aca="false">IF(BZ1086=0,0,IF(N(S1086)&gt;0,S1086,IFERROR(VLOOKUP(D1086,Parameter!$A$35:$C$64,3,0)+0,0)))</f>
        <v>0</v>
      </c>
      <c r="CE1086" s="48" t="n">
        <f aca="false">IF(AA1086&lt;&gt;"",AA1086,Z1086)</f>
        <v>3</v>
      </c>
      <c r="CF1086" s="48" t="str">
        <f aca="false">IF(OR(CE1086=1,CE1086=2,CE1086=3),IF(Parameter!$E$27="Ja","LIFT",IF(CE1086=1,"L1","L23")),IF(CE1086="Aussen","Aussen","-"))</f>
        <v>LIFT</v>
      </c>
      <c r="CG1086" s="59" t="n">
        <f aca="false">IF(N(AB1086)&gt;0,AB1086,0)</f>
        <v>0</v>
      </c>
      <c r="CH1086" s="53" t="n">
        <f aca="false">IF(ISNUMBER(AE1086),1,0)</f>
        <v>0</v>
      </c>
      <c r="CI1086" s="50" t="n">
        <f aca="false">N(AE1086)</f>
        <v>0</v>
      </c>
      <c r="CJ1086" s="50" t="n">
        <f aca="false">N(M1086)+N(N1086)</f>
        <v>1</v>
      </c>
      <c r="CK1086" s="50" t="n">
        <f aca="false">N(M1086)</f>
        <v>0</v>
      </c>
      <c r="CL1086" s="50" t="n">
        <f aca="false">N(N1086)</f>
        <v>1</v>
      </c>
      <c r="CM1086" s="50" t="n">
        <f aca="false">ROUNDUP(H1086/BY1086,0)</f>
        <v>0</v>
      </c>
      <c r="CN1086" s="50" t="n">
        <f aca="false">ROUNDUP(CI1086/BY1086,0)</f>
        <v>0</v>
      </c>
      <c r="CO1086" s="53" t="n">
        <f aca="false">IF(BZ1086=1,0,IFERROR(VLOOKUP(BX1086,'Gebinde-Kategorie'!$A$5:$N$45,5,0)+0,0))</f>
        <v>11</v>
      </c>
      <c r="CP1086" s="53" t="n">
        <f aca="false">IFERROR(IF(OR(CE1086=1,CE1086=2,CE1086=3),N(INDEX(Parameter!$I$5:$I$7,CE1086)),0),0)</f>
        <v>0</v>
      </c>
      <c r="CQ1086" s="52" t="n">
        <f aca="false">IF(AND(Parameter!$B$21="Ja",ISNUMBER(W1086),N(X1086)&gt;0),IFERROR(N(INDEX(Parameter!$L$5:$L$7,W1086))*INDEX(Parameter!$E$5:$E$7,W1086)*X1086/SUMIFS($X$7:$X$1843,$W$7:$W$1843,W1086),0),0)</f>
        <v>0</v>
      </c>
    </row>
    <row r="1087" customFormat="false" ht="15" hidden="false" customHeight="false" outlineLevel="0" collapsed="false">
      <c r="A1087" s="48" t="s">
        <v>1988</v>
      </c>
      <c r="B1087" s="48" t="s">
        <v>733</v>
      </c>
      <c r="C1087" s="48" t="s">
        <v>173</v>
      </c>
      <c r="D1087" s="48" t="s">
        <v>193</v>
      </c>
      <c r="E1087" s="48" t="s">
        <v>194</v>
      </c>
      <c r="F1087" s="48" t="s">
        <v>227</v>
      </c>
      <c r="G1087" s="49" t="n">
        <v>36.34</v>
      </c>
      <c r="H1087" s="50" t="n">
        <f aca="false">MAX(0,IF(AND(Parameter!$B$21="Ja",ISNUMBER(Y1087)),Y1087,IF(Parameter!$B$20="Jahresanfang 2025 + Export",BR1087+BQ1087,BQ1087)))</f>
        <v>6</v>
      </c>
      <c r="I1087" s="50" t="n">
        <f aca="false">H1087*G1087</f>
        <v>218.04</v>
      </c>
      <c r="J1087" s="50" t="n">
        <f aca="false">BT1087*Parameter!$B$18</f>
        <v>12</v>
      </c>
      <c r="K1087" s="51" t="n">
        <v>10</v>
      </c>
      <c r="L1087" s="52" t="n">
        <v>1.2</v>
      </c>
      <c r="M1087" s="50" t="n">
        <v>0</v>
      </c>
      <c r="N1087" s="50" t="n">
        <v>10</v>
      </c>
      <c r="O1087" s="53" t="n">
        <v>14</v>
      </c>
      <c r="P1087" s="48" t="s">
        <v>337</v>
      </c>
      <c r="Q1087" s="50" t="n">
        <v>25</v>
      </c>
      <c r="R1087" s="53" t="n">
        <f aca="false">IF(BZ1087=1,0,IFERROR(VLOOKUP(BX1087,'Gebinde-Kategorie'!$A$5:$N$45,13,0)+0,0))</f>
        <v>52</v>
      </c>
      <c r="S1087" s="54"/>
      <c r="T1087" s="55"/>
      <c r="U1087" s="55"/>
      <c r="V1087" s="55"/>
      <c r="W1087" s="48"/>
      <c r="X1087" s="50"/>
      <c r="Y1087" s="50"/>
      <c r="Z1087" s="48" t="n">
        <f aca="false">IF(A1087="","",IF(AND(Parameter!$B$21="Ja",ISNUMBER(W1087)),W1087,IF(CC1087="2+3",IF(ISNUMBER(SEARCH("grosser Artikel",BU1087)),2,IFERROR(VLOOKUP(BX1087,Parameter!$F$35:$G$64,2,0),2)),IF(OR(CC1087="Nein",CC1087=""),"-",CC1087))))</f>
        <v>3</v>
      </c>
      <c r="AA1087" s="55"/>
      <c r="AB1087" s="56"/>
      <c r="AC1087" s="50" t="n">
        <f aca="false">AV1087</f>
        <v>10</v>
      </c>
      <c r="AD1087" s="50" t="n">
        <f aca="false">MAX(AV1087,H1087)</f>
        <v>10</v>
      </c>
      <c r="AE1087" s="57"/>
      <c r="AF1087" s="50" t="n">
        <f aca="false">IF(LEFT(Cockpit!$C$5,1)="A",H1087,IF(Parameter!$E$30="MAX-Bestand",IF(CH1087=1,CI1087,IF(LEFT(Cockpit!$C$5,1)="B",AL1087,MAX(AL1087,H1087))),ROUNDUP(AJ1087,0)))</f>
        <v>6</v>
      </c>
      <c r="AG1087" s="50" t="n">
        <f aca="false">IF(BZ1087=1,0,ROUNDUP(AF1087/BY1087,0))</f>
        <v>1</v>
      </c>
      <c r="AH1087" s="52" t="n">
        <f aca="false">IF(CQ1087&gt;0,CQ1087*MAX(1,AF1087/X1087),IF(BZ1087=1,IF(AF1087&lt;=0,0,CD1087*MAX(1,IF(H1087&gt;0,AF1087/H1087,1))),IF(R1087&gt;0,AG1087/R1087,0))/MAX(0.1,N(Parameter!$M$21)))</f>
        <v>0.0192307692307692</v>
      </c>
      <c r="AI1087" s="50" t="n">
        <f aca="false">AH1087*CB1087</f>
        <v>2.98076923076923</v>
      </c>
      <c r="AJ1087" s="51" t="n">
        <f aca="false">IF(LEFT(Cockpit!$C$5,1)="A",H1087,IF(CH1087=1,(CK1087+CI1087)/2,IF(LEFT(Cockpit!$C$5,1)="B",(CK1087+AL1087)/2,MAX((CK1087+AL1087)/2,H1087))))</f>
        <v>6</v>
      </c>
      <c r="AK1087" s="50" t="n">
        <f aca="false">AJ1087*G1087</f>
        <v>218.04</v>
      </c>
      <c r="AL1087" s="50" t="n">
        <f aca="false">ROUNDUP(CK1087+MAX(CL1087,2*(J1087/IF(CG1087&gt;0,CG1087,MAX(0.1,N(Cockpit!$C$6)))-CK1087)),0)</f>
        <v>10</v>
      </c>
      <c r="AM1087" s="51" t="n">
        <f aca="false">IF(AI1087&gt;0,J1087/AI1087,-1)</f>
        <v>4.0258064516129</v>
      </c>
      <c r="AN1087" s="51" t="n">
        <f aca="false">IF(AND(OR(CF1087="L1",CF1087="L23",CF1087="LIFT"),AI1087&gt;0),SUMIFS($AI$7:$AI$1843,$CF$7:$CF$1843,CF1087,$AM$7:$AM$1843,"&gt;"&amp;AM1087)+SUMIFS($AI$7:$AI$1843,$CF$7:$CF$1843,CF1087,$AM$7:$AM$1843,AM1087,$BW$7:$BW$1843,"&lt;="&amp;BW1087),"")</f>
        <v>4360.17948717949</v>
      </c>
      <c r="AO1087" s="58" t="n">
        <f aca="false">IF(AN1087="",0,MAX(0,MIN(1,(IF(CF1087="L1",Parameter!$H$5,IF(CF1087="L23",Parameter!$H$6+Parameter!$H$7,Parameter!$H$5+Parameter!$H$6+Parameter!$H$7))-(AN1087-AI1087))/AI1087)))</f>
        <v>1</v>
      </c>
      <c r="AP1087" s="50" t="n">
        <f aca="false">IF(LEFT(Cockpit!$I$5,1)="A",H1087,IF(Parameter!$E$30="MAX-Bestand",IF(CH1087=1,CI1087,IF(LEFT(Cockpit!$I$5,1)="B",AV1087,MAX(AV1087,H1087))),ROUNDUP(AT1087,0)))</f>
        <v>6</v>
      </c>
      <c r="AQ1087" s="50" t="n">
        <f aca="false">IF(BZ1087=1,0,ROUNDUP(AP1087/BY1087,0))</f>
        <v>1</v>
      </c>
      <c r="AR1087" s="52" t="n">
        <f aca="false">IF(CQ1087&gt;0,CQ1087*MAX(1,AP1087/X1087),IF(BZ1087=1,IF(AP1087&lt;=0,0,CD1087*MAX(1,IF(H1087&gt;0,AP1087/H1087,1))),IF(R1087&gt;0,AQ1087/R1087,0))/MAX(0.1,N(Parameter!$M$21)))</f>
        <v>0.0192307692307692</v>
      </c>
      <c r="AS1087" s="50" t="n">
        <f aca="false">AR1087*CB1087</f>
        <v>2.98076923076923</v>
      </c>
      <c r="AT1087" s="51" t="n">
        <f aca="false">IF(LEFT(Cockpit!$I$5,1)="A",H1087,IF(CH1087=1,(CK1087+CI1087)/2,IF(LEFT(Cockpit!$I$5,1)="B",(CK1087+AV1087)/2,MAX((CK1087+AV1087)/2,H1087))))</f>
        <v>6</v>
      </c>
      <c r="AU1087" s="50" t="n">
        <f aca="false">AT1087*G1087</f>
        <v>218.04</v>
      </c>
      <c r="AV1087" s="50" t="n">
        <f aca="false">ROUNDUP(CK1087+MAX(CL1087,2*(J1087/IF(CG1087&gt;0,CG1087,MAX(0.1,N(Cockpit!$I$6)))-CK1087)),0)</f>
        <v>10</v>
      </c>
      <c r="AW1087" s="51" t="n">
        <f aca="false">IF(AS1087&gt;0,J1087/AS1087,-1)</f>
        <v>4.0258064516129</v>
      </c>
      <c r="AX1087" s="51" t="n">
        <f aca="false">IF(AND(OR(CF1087="L1",CF1087="L23",CF1087="LIFT"),AS1087&gt;0),SUMIFS($AS$7:$AS$1843,$CF$7:$CF$1843,CF1087,$AW$7:$AW$1843,"&gt;"&amp;AW1087)+SUMIFS($AS$7:$AS$1843,$CF$7:$CF$1843,CF1087,$AW$7:$AW$1843,AW1087,$BW$7:$BW$1843,"&lt;="&amp;BW1087),"")</f>
        <v>4969.17673992674</v>
      </c>
      <c r="AY1087" s="58" t="n">
        <f aca="false">IF(AX1087="",0,MAX(0,MIN(1,(IF(CF1087="L1",Parameter!$H$5,IF(CF1087="L23",Parameter!$H$6+Parameter!$H$7,Parameter!$H$5+Parameter!$H$6+Parameter!$H$7))-(AX1087-AS1087))/AS1087)))</f>
        <v>1</v>
      </c>
      <c r="AZ1087" s="50" t="n">
        <f aca="false">IF(LEFT(Cockpit!$O$5,1)="A",H1087,IF(Parameter!$E$30="MAX-Bestand",IF(CH1087=1,CI1087,IF(LEFT(Cockpit!$O$5,1)="B",BF1087,MAX(BF1087,H1087))),ROUNDUP(BD1087,0)))</f>
        <v>5</v>
      </c>
      <c r="BA1087" s="50" t="n">
        <f aca="false">IF(BZ1087=1,0,ROUNDUP(AZ1087/BY1087,0))</f>
        <v>1</v>
      </c>
      <c r="BB1087" s="52" t="n">
        <f aca="false">IF(CQ1087&gt;0,CQ1087*MAX(1,AZ1087/X1087),IF(BZ1087=1,IF(AZ1087&lt;=0,0,CD1087*MAX(1,IF(H1087&gt;0,AZ1087/H1087,1))),IF(R1087&gt;0,BA1087/R1087,0))/MAX(0.1,N(Parameter!$M$21)))</f>
        <v>0.0192307692307692</v>
      </c>
      <c r="BC1087" s="50" t="n">
        <f aca="false">BB1087*CB1087</f>
        <v>2.98076923076923</v>
      </c>
      <c r="BD1087" s="51" t="n">
        <f aca="false">IF(LEFT(Cockpit!$O$5,1)="A",H1087,IF(CH1087=1,(CK1087+CI1087)/2,IF(LEFT(Cockpit!$O$5,1)="B",(CK1087+BF1087)/2,MAX((CK1087+BF1087)/2,H1087))))</f>
        <v>5</v>
      </c>
      <c r="BE1087" s="50" t="n">
        <f aca="false">BD1087*G1087</f>
        <v>181.7</v>
      </c>
      <c r="BF1087" s="50" t="n">
        <f aca="false">ROUNDUP(CK1087+MAX(CL1087,2*(J1087/IF(CG1087&gt;0,CG1087,MAX(0.1,N(Cockpit!$O$6)))-CK1087)),0)</f>
        <v>10</v>
      </c>
      <c r="BG1087" s="51" t="n">
        <f aca="false">IF(BC1087&gt;0,J1087/BC1087,-1)</f>
        <v>4.0258064516129</v>
      </c>
      <c r="BH1087" s="51" t="n">
        <f aca="false">IF(AND(OR(CF1087="L1",CF1087="L23",CF1087="LIFT"),BC1087&gt;0),SUMIFS($BC$7:$BC$1843,$CF$7:$CF$1843,CF1087,$BG$7:$BG$1843,"&gt;"&amp;BG1087)+SUMIFS($BC$7:$BC$1843,$CF$7:$CF$1843,CF1087,$BG$7:$BG$1843,BG1087,$BW$7:$BW$1843,"&lt;="&amp;BW1087),"")</f>
        <v>4086.74725274725</v>
      </c>
      <c r="BI1087" s="58" t="n">
        <f aca="false">IF(BH1087="",0,MAX(0,MIN(1,(IF(CF1087="L1",Parameter!$H$5,IF(CF1087="L23",Parameter!$H$6+Parameter!$H$7,Parameter!$H$5+Parameter!$H$6+Parameter!$H$7))-(BH1087-BC1087))/BC1087)))</f>
        <v>1</v>
      </c>
      <c r="BJ1087" s="48" t="str">
        <f aca="false">IF(AI1087&lt;=0,"",IF(CF1087="Aussen","Aussenlager",IF(CF1087="-","Nicht im Lift",IF(AO1087&gt;=1,"Lift",IF(AO1087&lt;=0,"Aussenlager","teilweise")))))</f>
        <v>Lift</v>
      </c>
      <c r="BK1087" s="48" t="str">
        <f aca="false">IF(AS1087&lt;=0,"",IF(CF1087="Aussen","Aussenlager",IF(CF1087="-","Nicht im Lift",IF(AY1087&gt;=1,"Lift",IF(AY1087&lt;=0,"Aussenlager","teilweise")))))</f>
        <v>Lift</v>
      </c>
      <c r="BL1087" s="48" t="str">
        <f aca="false">IF(BC1087&lt;=0,"",IF(CF1087="Aussen","Aussenlager",IF(CF1087="-","Nicht im Lift",IF(BI1087&gt;=1,"Lift",IF(BI1087&lt;=0,"Aussenlager","teilweise")))))</f>
        <v>Lift</v>
      </c>
      <c r="BM1087" s="48" t="str">
        <f aca="false">IF(A1087="","",IF(BV1087=1,"Neu; ","")&amp;IF(AND(BV1087=0,BQ1087&lt;0),"negativer Bestand (Export "&amp;BQ1087&amp;"); ","")&amp;IF(J1087&lt;=0,"Kein Verbrauch; ","")&amp;IF(CQ1087&gt;0,"Lift "&amp;W1087&amp;" lt. Liftbericht (Fach "&amp;X1087&amp;" Stk); ",IF(CA1087=1,"Gebinde geschätzt ("&amp;T1087&amp;"); ",IF(BZ1087=1,"Lose – Tablare geschätzt; ","")))&amp;IF(H1087&gt;AV1087,"Überbestand "&amp;ROUND(H1087-AV1087,0)&amp;" Stk / CHF "&amp;ROUND((H1087-AV1087)*G1087,0)&amp;"; ","")&amp;IF(AND(CH1087=1,CI1087&lt;CJ1087),"MAX &lt; MB+LG; ","")&amp;IF(AND(CP1087&gt;0,CO1087*10&gt;CP1087),"zu hoch für Tablar; ","")&amp;IF(AND(BV1087=0,OR(CH1087=1,AA1087&lt;&gt;"",U1087&lt;&gt;"",V1087&lt;&gt;"",AB1087&lt;&gt;"")),"manuell übersteuert; ","")&amp;IF(AND(BZ1087=0,R1087=0),"Gebinde unbekannt / Stellmass fehlt; ","")&amp;IF(AND(BZ1087=0,N(V1087)&lt;=0,N(Q1087)&lt;=0),"Menge pro Gebinde fehlt (Ist = 1 Gebinde); ","")&amp;BU1087)</f>
        <v>negativer Bestand (Export -5); </v>
      </c>
      <c r="BN1087" s="48"/>
      <c r="BO1087" s="48"/>
      <c r="BP1087" s="55"/>
      <c r="BQ1087" s="50" t="n">
        <v>-5</v>
      </c>
      <c r="BR1087" s="50" t="n">
        <v>11</v>
      </c>
      <c r="BS1087" s="49" t="n">
        <v>-191.82</v>
      </c>
      <c r="BT1087" s="50" t="n">
        <v>12</v>
      </c>
      <c r="BU1087" s="48"/>
      <c r="BV1087" s="53" t="n">
        <v>0</v>
      </c>
      <c r="BW1087" s="53" t="n">
        <v>1087</v>
      </c>
      <c r="BX1087" s="48" t="str">
        <f aca="false">IF(U1087&lt;&gt;"",UPPER(TRIM(U1087)),IF(CA1087=1,UPPER(VLOOKUP(T1087,Parameter!$I$27:$K$29,2,0)),IF(P1087="","LOSE",P1087)))</f>
        <v>S41</v>
      </c>
      <c r="BY1087" s="50" t="n">
        <f aca="false">IF(BX1087="LOSE",1,IF(N(V1087)&gt;0,V1087,IF(CA1087=1,MAX(1,N(VLOOKUP(T1087,Parameter!$I$27:$K$29,3,0)),H1087,N(N1087)),IF(N(Q1087)&gt;0,Q1087,MAX(1,H1087)))))</f>
        <v>25</v>
      </c>
      <c r="BZ1087" s="53" t="n">
        <f aca="false">IF(BX1087="LOSE",1,0)</f>
        <v>0</v>
      </c>
      <c r="CA1087" s="53" t="n">
        <f aca="false">IF(AND(U1087="",OR(P1087="",P1087="LOSE"),T1087&lt;&gt;"",N(S1087)&lt;=0,ISNUMBER(MATCH(T1087,Parameter!$I$27:$I$29,0))),1,0)</f>
        <v>0</v>
      </c>
      <c r="CB1087" s="53" t="n">
        <f aca="false">IF(CQ1087&gt;0,INDEX(Parameter!$H$5:$H$7,W1087)/INDEX(Parameter!$E$5:$E$7,W1087),IF(AND(BZ1087=0,N(IFERROR(VLOOKUP(BX1087,'Gebinde-Kategorie'!$A$5:$N$45,14,0),0))&gt;0),VLOOKUP(BX1087,'Gebinde-Kategorie'!$A$5:$N$45,14,0)*10+Parameter!$M$23,Parameter!$M$24))</f>
        <v>155</v>
      </c>
      <c r="CC1087" s="48" t="str">
        <f aca="false">IF(AND(Parameter!$B$19="Ja",E1087&lt;&gt;"",ISNUMBER(MATCH(E1087,Parameter!$I$35:$I$52,0))),VLOOKUP(E1087,Parameter!$I$35:$J$52,2,0),IFERROR(VLOOKUP(D1087,Parameter!$A$35:$C$64,2,0),"Nein"))</f>
        <v>2+3</v>
      </c>
      <c r="CD1087" s="52" t="n">
        <f aca="false">IF(BZ1087=0,0,IF(N(S1087)&gt;0,S1087,IFERROR(VLOOKUP(D1087,Parameter!$A$35:$C$64,3,0)+0,0)))</f>
        <v>0</v>
      </c>
      <c r="CE1087" s="48" t="n">
        <f aca="false">IF(AA1087&lt;&gt;"",AA1087,Z1087)</f>
        <v>3</v>
      </c>
      <c r="CF1087" s="48" t="str">
        <f aca="false">IF(OR(CE1087=1,CE1087=2,CE1087=3),IF(Parameter!$E$27="Ja","LIFT",IF(CE1087=1,"L1","L23")),IF(CE1087="Aussen","Aussen","-"))</f>
        <v>LIFT</v>
      </c>
      <c r="CG1087" s="59" t="n">
        <f aca="false">IF(N(AB1087)&gt;0,AB1087,0)</f>
        <v>0</v>
      </c>
      <c r="CH1087" s="53" t="n">
        <f aca="false">IF(ISNUMBER(AE1087),1,0)</f>
        <v>0</v>
      </c>
      <c r="CI1087" s="50" t="n">
        <f aca="false">N(AE1087)</f>
        <v>0</v>
      </c>
      <c r="CJ1087" s="50" t="n">
        <f aca="false">N(M1087)+N(N1087)</f>
        <v>10</v>
      </c>
      <c r="CK1087" s="50" t="n">
        <f aca="false">N(M1087)</f>
        <v>0</v>
      </c>
      <c r="CL1087" s="50" t="n">
        <f aca="false">N(N1087)</f>
        <v>10</v>
      </c>
      <c r="CM1087" s="50" t="n">
        <f aca="false">ROUNDUP(H1087/BY1087,0)</f>
        <v>1</v>
      </c>
      <c r="CN1087" s="50" t="n">
        <f aca="false">ROUNDUP(CI1087/BY1087,0)</f>
        <v>0</v>
      </c>
      <c r="CO1087" s="53" t="n">
        <f aca="false">IF(BZ1087=1,0,IFERROR(VLOOKUP(BX1087,'Gebinde-Kategorie'!$A$5:$N$45,5,0)+0,0))</f>
        <v>11</v>
      </c>
      <c r="CP1087" s="53" t="n">
        <f aca="false">IFERROR(IF(OR(CE1087=1,CE1087=2,CE1087=3),N(INDEX(Parameter!$I$5:$I$7,CE1087)),0),0)</f>
        <v>0</v>
      </c>
      <c r="CQ1087" s="52" t="n">
        <f aca="false">IF(AND(Parameter!$B$21="Ja",ISNUMBER(W1087),N(X1087)&gt;0),IFERROR(N(INDEX(Parameter!$L$5:$L$7,W1087))*INDEX(Parameter!$E$5:$E$7,W1087)*X1087/SUMIFS($X$7:$X$1843,$W$7:$W$1843,W1087),0),0)</f>
        <v>0</v>
      </c>
    </row>
    <row r="1088" customFormat="false" ht="15" hidden="false" customHeight="false" outlineLevel="0" collapsed="false">
      <c r="A1088" s="48" t="s">
        <v>1989</v>
      </c>
      <c r="B1088" s="48" t="s">
        <v>1990</v>
      </c>
      <c r="C1088" s="48" t="s">
        <v>173</v>
      </c>
      <c r="D1088" s="48" t="s">
        <v>182</v>
      </c>
      <c r="E1088" s="48" t="s">
        <v>474</v>
      </c>
      <c r="F1088" s="48" t="s">
        <v>227</v>
      </c>
      <c r="G1088" s="49" t="n">
        <v>16</v>
      </c>
      <c r="H1088" s="50" t="n">
        <f aca="false">MAX(0,IF(AND(Parameter!$B$21="Ja",ISNUMBER(Y1088)),Y1088,IF(Parameter!$B$20="Jahresanfang 2025 + Export",BR1088+BQ1088,BQ1088)))</f>
        <v>0</v>
      </c>
      <c r="I1088" s="50" t="n">
        <f aca="false">H1088*G1088</f>
        <v>0</v>
      </c>
      <c r="J1088" s="50" t="n">
        <f aca="false">BT1088*Parameter!$B$18</f>
        <v>130</v>
      </c>
      <c r="K1088" s="51" t="n">
        <v>50.5</v>
      </c>
      <c r="L1088" s="52" t="n">
        <v>2.57425742574257</v>
      </c>
      <c r="M1088" s="50" t="n">
        <v>7</v>
      </c>
      <c r="N1088" s="50" t="n">
        <v>15</v>
      </c>
      <c r="O1088" s="53" t="n">
        <v>21</v>
      </c>
      <c r="P1088" s="48" t="s">
        <v>177</v>
      </c>
      <c r="Q1088" s="50"/>
      <c r="R1088" s="53" t="n">
        <f aca="false">IF(BZ1088=1,0,IFERROR(VLOOKUP(BX1088,'Gebinde-Kategorie'!$A$5:$N$45,13,0)+0,0))</f>
        <v>4</v>
      </c>
      <c r="S1088" s="54"/>
      <c r="T1088" s="55" t="s">
        <v>198</v>
      </c>
      <c r="U1088" s="55"/>
      <c r="V1088" s="55"/>
      <c r="W1088" s="48"/>
      <c r="X1088" s="50"/>
      <c r="Y1088" s="50"/>
      <c r="Z1088" s="48" t="str">
        <f aca="false">IF(A1088="","",IF(AND(Parameter!$B$21="Ja",ISNUMBER(W1088)),W1088,IF(CC1088="2+3",IF(ISNUMBER(SEARCH("grosser Artikel",BU1088)),2,IFERROR(VLOOKUP(BX1088,Parameter!$F$35:$G$64,2,0),2)),IF(OR(CC1088="Nein",CC1088=""),"-",CC1088))))</f>
        <v>-</v>
      </c>
      <c r="AA1088" s="55"/>
      <c r="AB1088" s="56"/>
      <c r="AC1088" s="50" t="n">
        <f aca="false">AV1088</f>
        <v>80</v>
      </c>
      <c r="AD1088" s="50" t="n">
        <f aca="false">MAX(AV1088,H1088)</f>
        <v>80</v>
      </c>
      <c r="AE1088" s="57"/>
      <c r="AF1088" s="50" t="n">
        <f aca="false">IF(LEFT(Cockpit!$C$5,1)="A",H1088,IF(Parameter!$E$30="MAX-Bestand",IF(CH1088=1,CI1088,IF(LEFT(Cockpit!$C$5,1)="B",AL1088,MAX(AL1088,H1088))),ROUNDUP(AJ1088,0)))</f>
        <v>0</v>
      </c>
      <c r="AG1088" s="50" t="n">
        <f aca="false">IF(BZ1088=1,0,ROUNDUP(AF1088/BY1088,0))</f>
        <v>0</v>
      </c>
      <c r="AH1088" s="52" t="n">
        <f aca="false">IF(CQ1088&gt;0,CQ1088*MAX(1,AF1088/X1088),IF(BZ1088=1,IF(AF1088&lt;=0,0,CD1088*MAX(1,IF(H1088&gt;0,AF1088/H1088,1))),IF(R1088&gt;0,AG1088/R1088,0))/MAX(0.1,N(Parameter!$M$21)))</f>
        <v>0</v>
      </c>
      <c r="AI1088" s="50" t="n">
        <f aca="false">AH1088*CB1088</f>
        <v>0</v>
      </c>
      <c r="AJ1088" s="51" t="n">
        <f aca="false">IF(LEFT(Cockpit!$C$5,1)="A",H1088,IF(CH1088=1,(CK1088+CI1088)/2,IF(LEFT(Cockpit!$C$5,1)="B",(CK1088+AL1088)/2,MAX((CK1088+AL1088)/2,H1088))))</f>
        <v>0</v>
      </c>
      <c r="AK1088" s="50" t="n">
        <f aca="false">AJ1088*G1088</f>
        <v>0</v>
      </c>
      <c r="AL1088" s="50" t="n">
        <f aca="false">ROUNDUP(CK1088+MAX(CL1088,2*(J1088/IF(CG1088&gt;0,CG1088,MAX(0.1,N(Cockpit!$C$6)))-CK1088)),0)</f>
        <v>80</v>
      </c>
      <c r="AM1088" s="51" t="n">
        <f aca="false">IF(AI1088&gt;0,J1088/AI1088,-1)</f>
        <v>-1</v>
      </c>
      <c r="AN1088" s="51" t="str">
        <f aca="false">IF(AND(OR(CF1088="L1",CF1088="L23",CF1088="LIFT"),AI1088&gt;0),SUMIFS($AI$7:$AI$1843,$CF$7:$CF$1843,CF1088,$AM$7:$AM$1843,"&gt;"&amp;AM1088)+SUMIFS($AI$7:$AI$1843,$CF$7:$CF$1843,CF1088,$AM$7:$AM$1843,AM1088,$BW$7:$BW$1843,"&lt;="&amp;BW1088),"")</f>
        <v/>
      </c>
      <c r="AO1088" s="58" t="n">
        <f aca="false">IF(AN1088="",0,MAX(0,MIN(1,(IF(CF1088="L1",Parameter!$H$5,IF(CF1088="L23",Parameter!$H$6+Parameter!$H$7,Parameter!$H$5+Parameter!$H$6+Parameter!$H$7))-(AN1088-AI1088))/AI1088)))</f>
        <v>0</v>
      </c>
      <c r="AP1088" s="50" t="n">
        <f aca="false">IF(LEFT(Cockpit!$I$5,1)="A",H1088,IF(Parameter!$E$30="MAX-Bestand",IF(CH1088=1,CI1088,IF(LEFT(Cockpit!$I$5,1)="B",AV1088,MAX(AV1088,H1088))),ROUNDUP(AT1088,0)))</f>
        <v>44</v>
      </c>
      <c r="AQ1088" s="50" t="n">
        <f aca="false">IF(BZ1088=1,0,ROUNDUP(AP1088/BY1088,0))</f>
        <v>3</v>
      </c>
      <c r="AR1088" s="52" t="n">
        <f aca="false">IF(CQ1088&gt;0,CQ1088*MAX(1,AP1088/X1088),IF(BZ1088=1,IF(AP1088&lt;=0,0,CD1088*MAX(1,IF(H1088&gt;0,AP1088/H1088,1))),IF(R1088&gt;0,AQ1088/R1088,0))/MAX(0.1,N(Parameter!$M$21)))</f>
        <v>0.75</v>
      </c>
      <c r="AS1088" s="50" t="n">
        <f aca="false">AR1088*CB1088</f>
        <v>176.25</v>
      </c>
      <c r="AT1088" s="51" t="n">
        <f aca="false">IF(LEFT(Cockpit!$I$5,1)="A",H1088,IF(CH1088=1,(CK1088+CI1088)/2,IF(LEFT(Cockpit!$I$5,1)="B",(CK1088+AV1088)/2,MAX((CK1088+AV1088)/2,H1088))))</f>
        <v>43.5</v>
      </c>
      <c r="AU1088" s="50" t="n">
        <f aca="false">AT1088*G1088</f>
        <v>696</v>
      </c>
      <c r="AV1088" s="50" t="n">
        <f aca="false">ROUNDUP(CK1088+MAX(CL1088,2*(J1088/IF(CG1088&gt;0,CG1088,MAX(0.1,N(Cockpit!$I$6)))-CK1088)),0)</f>
        <v>80</v>
      </c>
      <c r="AW1088" s="51" t="n">
        <f aca="false">IF(AS1088&gt;0,J1088/AS1088,-1)</f>
        <v>0.73758865248227</v>
      </c>
      <c r="AX1088" s="51" t="str">
        <f aca="false">IF(AND(OR(CF1088="L1",CF1088="L23",CF1088="LIFT"),AS1088&gt;0),SUMIFS($AS$7:$AS$1843,$CF$7:$CF$1843,CF1088,$AW$7:$AW$1843,"&gt;"&amp;AW1088)+SUMIFS($AS$7:$AS$1843,$CF$7:$CF$1843,CF1088,$AW$7:$AW$1843,AW1088,$BW$7:$BW$1843,"&lt;="&amp;BW1088),"")</f>
        <v/>
      </c>
      <c r="AY1088" s="58" t="n">
        <f aca="false">IF(AX1088="",0,MAX(0,MIN(1,(IF(CF1088="L1",Parameter!$H$5,IF(CF1088="L23",Parameter!$H$6+Parameter!$H$7,Parameter!$H$5+Parameter!$H$6+Parameter!$H$7))-(AX1088-AS1088))/AS1088)))</f>
        <v>0</v>
      </c>
      <c r="AZ1088" s="50" t="n">
        <f aca="false">IF(LEFT(Cockpit!$O$5,1)="A",H1088,IF(Parameter!$E$30="MAX-Bestand",IF(CH1088=1,CI1088,IF(LEFT(Cockpit!$O$5,1)="B",BF1088,MAX(BF1088,H1088))),ROUNDUP(BD1088,0)))</f>
        <v>33</v>
      </c>
      <c r="BA1088" s="50" t="n">
        <f aca="false">IF(BZ1088=1,0,ROUNDUP(AZ1088/BY1088,0))</f>
        <v>3</v>
      </c>
      <c r="BB1088" s="52" t="n">
        <f aca="false">IF(CQ1088&gt;0,CQ1088*MAX(1,AZ1088/X1088),IF(BZ1088=1,IF(AZ1088&lt;=0,0,CD1088*MAX(1,IF(H1088&gt;0,AZ1088/H1088,1))),IF(R1088&gt;0,BA1088/R1088,0))/MAX(0.1,N(Parameter!$M$21)))</f>
        <v>0.75</v>
      </c>
      <c r="BC1088" s="50" t="n">
        <f aca="false">BB1088*CB1088</f>
        <v>176.25</v>
      </c>
      <c r="BD1088" s="51" t="n">
        <f aca="false">IF(LEFT(Cockpit!$O$5,1)="A",H1088,IF(CH1088=1,(CK1088+CI1088)/2,IF(LEFT(Cockpit!$O$5,1)="B",(CK1088+BF1088)/2,MAX((CK1088+BF1088)/2,H1088))))</f>
        <v>32.5</v>
      </c>
      <c r="BE1088" s="50" t="n">
        <f aca="false">BD1088*G1088</f>
        <v>520</v>
      </c>
      <c r="BF1088" s="50" t="n">
        <f aca="false">ROUNDUP(CK1088+MAX(CL1088,2*(J1088/IF(CG1088&gt;0,CG1088,MAX(0.1,N(Cockpit!$O$6)))-CK1088)),0)</f>
        <v>58</v>
      </c>
      <c r="BG1088" s="51" t="n">
        <f aca="false">IF(BC1088&gt;0,J1088/BC1088,-1)</f>
        <v>0.73758865248227</v>
      </c>
      <c r="BH1088" s="51" t="str">
        <f aca="false">IF(AND(OR(CF1088="L1",CF1088="L23",CF1088="LIFT"),BC1088&gt;0),SUMIFS($BC$7:$BC$1843,$CF$7:$CF$1843,CF1088,$BG$7:$BG$1843,"&gt;"&amp;BG1088)+SUMIFS($BC$7:$BC$1843,$CF$7:$CF$1843,CF1088,$BG$7:$BG$1843,BG1088,$BW$7:$BW$1843,"&lt;="&amp;BW1088),"")</f>
        <v/>
      </c>
      <c r="BI1088" s="58" t="n">
        <f aca="false">IF(BH1088="",0,MAX(0,MIN(1,(IF(CF1088="L1",Parameter!$H$5,IF(CF1088="L23",Parameter!$H$6+Parameter!$H$7,Parameter!$H$5+Parameter!$H$6+Parameter!$H$7))-(BH1088-BC1088))/BC1088)))</f>
        <v>0</v>
      </c>
      <c r="BJ1088" s="48" t="str">
        <f aca="false">IF(AI1088&lt;=0,"",IF(CF1088="Aussen","Aussenlager",IF(CF1088="-","Nicht im Lift",IF(AO1088&gt;=1,"Lift",IF(AO1088&lt;=0,"Aussenlager","teilweise")))))</f>
        <v/>
      </c>
      <c r="BK1088" s="48" t="str">
        <f aca="false">IF(AS1088&lt;=0,"",IF(CF1088="Aussen","Aussenlager",IF(CF1088="-","Nicht im Lift",IF(AY1088&gt;=1,"Lift",IF(AY1088&lt;=0,"Aussenlager","teilweise")))))</f>
        <v>Nicht im Lift</v>
      </c>
      <c r="BL1088" s="48" t="str">
        <f aca="false">IF(BC1088&lt;=0,"",IF(CF1088="Aussen","Aussenlager",IF(CF1088="-","Nicht im Lift",IF(BI1088&gt;=1,"Lift",IF(BI1088&lt;=0,"Aussenlager","teilweise")))))</f>
        <v>Nicht im Lift</v>
      </c>
      <c r="BM1088" s="48" t="str">
        <f aca="false">IF(A1088="","",IF(BV1088=1,"Neu; ","")&amp;IF(AND(BV1088=0,BQ1088&lt;0),"negativer Bestand (Export "&amp;BQ1088&amp;"); ","")&amp;IF(J1088&lt;=0,"Kein Verbrauch; ","")&amp;IF(CQ1088&gt;0,"Lift "&amp;W1088&amp;" lt. Liftbericht (Fach "&amp;X1088&amp;" Stk); ",IF(CA1088=1,"Gebinde geschätzt ("&amp;T1088&amp;"); ",IF(BZ1088=1,"Lose – Tablare geschätzt; ","")))&amp;IF(H1088&gt;AV1088,"Überbestand "&amp;ROUND(H1088-AV1088,0)&amp;" Stk / CHF "&amp;ROUND((H1088-AV1088)*G1088,0)&amp;"; ","")&amp;IF(AND(CH1088=1,CI1088&lt;CJ1088),"MAX &lt; MB+LG; ","")&amp;IF(AND(CP1088&gt;0,CO1088*10&gt;CP1088),"zu hoch für Tablar; ","")&amp;IF(AND(BV1088=0,OR(CH1088=1,AA1088&lt;&gt;"",U1088&lt;&gt;"",V1088&lt;&gt;"",AB1088&lt;&gt;"")),"manuell übersteuert; ","")&amp;IF(AND(BZ1088=0,R1088=0),"Gebinde unbekannt / Stellmass fehlt; ","")&amp;IF(AND(BZ1088=0,N(V1088)&lt;=0,N(Q1088)&lt;=0),"Menge pro Gebinde fehlt (Ist = 1 Gebinde); ","")&amp;BU1088)</f>
        <v>negativer Bestand (Export -13); Gebinde geschätzt (Gross); Menge pro Gebinde fehlt (Ist = 1 Gebinde); </v>
      </c>
      <c r="BN1088" s="48"/>
      <c r="BO1088" s="48"/>
      <c r="BP1088" s="55"/>
      <c r="BQ1088" s="50" t="n">
        <v>-13</v>
      </c>
      <c r="BR1088" s="50" t="n">
        <v>11</v>
      </c>
      <c r="BS1088" s="49" t="n">
        <v>-193.480000000001</v>
      </c>
      <c r="BT1088" s="50" t="n">
        <v>130</v>
      </c>
      <c r="BU1088" s="48"/>
      <c r="BV1088" s="53" t="n">
        <v>0</v>
      </c>
      <c r="BW1088" s="53" t="n">
        <v>1088</v>
      </c>
      <c r="BX1088" s="48" t="str">
        <f aca="false">IF(U1088&lt;&gt;"",UPPER(TRIM(U1088)),IF(CA1088=1,UPPER(VLOOKUP(T1088,Parameter!$I$27:$K$29,2,0)),IF(P1088="","LOSE",P1088)))</f>
        <v>S81</v>
      </c>
      <c r="BY1088" s="50" t="n">
        <f aca="false">IF(BX1088="LOSE",1,IF(N(V1088)&gt;0,V1088,IF(CA1088=1,MAX(1,N(VLOOKUP(T1088,Parameter!$I$27:$K$29,3,0)),H1088,N(N1088)),IF(N(Q1088)&gt;0,Q1088,MAX(1,H1088)))))</f>
        <v>15</v>
      </c>
      <c r="BZ1088" s="53" t="n">
        <f aca="false">IF(BX1088="LOSE",1,0)</f>
        <v>0</v>
      </c>
      <c r="CA1088" s="53" t="n">
        <f aca="false">IF(AND(U1088="",OR(P1088="",P1088="LOSE"),T1088&lt;&gt;"",N(S1088)&lt;=0,ISNUMBER(MATCH(T1088,Parameter!$I$27:$I$29,0))),1,0)</f>
        <v>1</v>
      </c>
      <c r="CB1088" s="53" t="n">
        <f aca="false">IF(CQ1088&gt;0,INDEX(Parameter!$H$5:$H$7,W1088)/INDEX(Parameter!$E$5:$E$7,W1088),IF(AND(BZ1088=0,N(IFERROR(VLOOKUP(BX1088,'Gebinde-Kategorie'!$A$5:$N$45,14,0),0))&gt;0),VLOOKUP(BX1088,'Gebinde-Kategorie'!$A$5:$N$45,14,0)*10+Parameter!$M$23,Parameter!$M$24))</f>
        <v>235</v>
      </c>
      <c r="CC1088" s="48" t="str">
        <f aca="false">IF(AND(Parameter!$B$19="Ja",E1088&lt;&gt;"",ISNUMBER(MATCH(E1088,Parameter!$I$35:$I$52,0))),VLOOKUP(E1088,Parameter!$I$35:$J$52,2,0),IFERROR(VLOOKUP(D1088,Parameter!$A$35:$C$64,2,0),"Nein"))</f>
        <v>Nein</v>
      </c>
      <c r="CD1088" s="52" t="n">
        <f aca="false">IF(BZ1088=0,0,IF(N(S1088)&gt;0,S1088,IFERROR(VLOOKUP(D1088,Parameter!$A$35:$C$64,3,0)+0,0)))</f>
        <v>0</v>
      </c>
      <c r="CE1088" s="48" t="str">
        <f aca="false">IF(AA1088&lt;&gt;"",AA1088,Z1088)</f>
        <v>-</v>
      </c>
      <c r="CF1088" s="48" t="str">
        <f aca="false">IF(OR(CE1088=1,CE1088=2,CE1088=3),IF(Parameter!$E$27="Ja","LIFT",IF(CE1088=1,"L1","L23")),IF(CE1088="Aussen","Aussen","-"))</f>
        <v>-</v>
      </c>
      <c r="CG1088" s="59" t="n">
        <f aca="false">IF(N(AB1088)&gt;0,AB1088,0)</f>
        <v>0</v>
      </c>
      <c r="CH1088" s="53" t="n">
        <f aca="false">IF(ISNUMBER(AE1088),1,0)</f>
        <v>0</v>
      </c>
      <c r="CI1088" s="50" t="n">
        <f aca="false">N(AE1088)</f>
        <v>0</v>
      </c>
      <c r="CJ1088" s="50" t="n">
        <f aca="false">N(M1088)+N(N1088)</f>
        <v>22</v>
      </c>
      <c r="CK1088" s="50" t="n">
        <f aca="false">N(M1088)</f>
        <v>7</v>
      </c>
      <c r="CL1088" s="50" t="n">
        <f aca="false">N(N1088)</f>
        <v>15</v>
      </c>
      <c r="CM1088" s="50" t="n">
        <f aca="false">ROUNDUP(H1088/BY1088,0)</f>
        <v>0</v>
      </c>
      <c r="CN1088" s="50" t="n">
        <f aca="false">ROUNDUP(CI1088/BY1088,0)</f>
        <v>0</v>
      </c>
      <c r="CO1088" s="53" t="n">
        <f aca="false">IF(BZ1088=1,0,IFERROR(VLOOKUP(BX1088,'Gebinde-Kategorie'!$A$5:$N$45,5,0)+0,0))</f>
        <v>20</v>
      </c>
      <c r="CP1088" s="53" t="n">
        <f aca="false">IFERROR(IF(OR(CE1088=1,CE1088=2,CE1088=3),N(INDEX(Parameter!$I$5:$I$7,CE1088)),0),0)</f>
        <v>0</v>
      </c>
      <c r="CQ1088" s="52" t="n">
        <f aca="false">IF(AND(Parameter!$B$21="Ja",ISNUMBER(W1088),N(X1088)&gt;0),IFERROR(N(INDEX(Parameter!$L$5:$L$7,W1088))*INDEX(Parameter!$E$5:$E$7,W1088)*X1088/SUMIFS($X$7:$X$1843,$W$7:$W$1843,W1088),0),0)</f>
        <v>0</v>
      </c>
    </row>
    <row r="1089" customFormat="false" ht="15" hidden="false" customHeight="false" outlineLevel="0" collapsed="false">
      <c r="A1089" s="48" t="s">
        <v>1991</v>
      </c>
      <c r="B1089" s="48" t="s">
        <v>449</v>
      </c>
      <c r="C1089" s="48" t="s">
        <v>173</v>
      </c>
      <c r="D1089" s="48" t="s">
        <v>193</v>
      </c>
      <c r="E1089" s="48" t="s">
        <v>194</v>
      </c>
      <c r="F1089" s="48" t="s">
        <v>227</v>
      </c>
      <c r="G1089" s="49" t="n">
        <v>40.16</v>
      </c>
      <c r="H1089" s="50" t="n">
        <f aca="false">MAX(0,IF(AND(Parameter!$B$21="Ja",ISNUMBER(Y1089)),Y1089,IF(Parameter!$B$20="Jahresanfang 2025 + Export",BR1089+BQ1089,BQ1089)))</f>
        <v>21</v>
      </c>
      <c r="I1089" s="50" t="n">
        <f aca="false">H1089*G1089</f>
        <v>843.36</v>
      </c>
      <c r="J1089" s="50" t="n">
        <f aca="false">BT1089*Parameter!$B$18</f>
        <v>23</v>
      </c>
      <c r="K1089" s="51" t="n">
        <v>22.5</v>
      </c>
      <c r="L1089" s="52" t="n">
        <v>1.02222222222222</v>
      </c>
      <c r="M1089" s="50" t="n">
        <v>1</v>
      </c>
      <c r="N1089" s="50" t="n">
        <v>25</v>
      </c>
      <c r="O1089" s="53" t="n">
        <v>21</v>
      </c>
      <c r="P1089" s="48" t="s">
        <v>242</v>
      </c>
      <c r="Q1089" s="50" t="n">
        <v>48</v>
      </c>
      <c r="R1089" s="53" t="n">
        <f aca="false">IF(BZ1089=1,0,IFERROR(VLOOKUP(BX1089,'Gebinde-Kategorie'!$A$5:$N$45,13,0)+0,0))</f>
        <v>26</v>
      </c>
      <c r="S1089" s="54"/>
      <c r="T1089" s="55"/>
      <c r="U1089" s="55"/>
      <c r="V1089" s="55"/>
      <c r="W1089" s="48"/>
      <c r="X1089" s="50"/>
      <c r="Y1089" s="50"/>
      <c r="Z1089" s="48" t="n">
        <f aca="false">IF(A1089="","",IF(AND(Parameter!$B$21="Ja",ISNUMBER(W1089)),W1089,IF(CC1089="2+3",IF(ISNUMBER(SEARCH("grosser Artikel",BU1089)),2,IFERROR(VLOOKUP(BX1089,Parameter!$F$35:$G$64,2,0),2)),IF(OR(CC1089="Nein",CC1089=""),"-",CC1089))))</f>
        <v>3</v>
      </c>
      <c r="AA1089" s="55"/>
      <c r="AB1089" s="56"/>
      <c r="AC1089" s="50" t="n">
        <f aca="false">AV1089</f>
        <v>26</v>
      </c>
      <c r="AD1089" s="50" t="n">
        <f aca="false">MAX(AV1089,H1089)</f>
        <v>26</v>
      </c>
      <c r="AE1089" s="57"/>
      <c r="AF1089" s="50" t="n">
        <f aca="false">IF(LEFT(Cockpit!$C$5,1)="A",H1089,IF(Parameter!$E$30="MAX-Bestand",IF(CH1089=1,CI1089,IF(LEFT(Cockpit!$C$5,1)="B",AL1089,MAX(AL1089,H1089))),ROUNDUP(AJ1089,0)))</f>
        <v>21</v>
      </c>
      <c r="AG1089" s="50" t="n">
        <f aca="false">IF(BZ1089=1,0,ROUNDUP(AF1089/BY1089,0))</f>
        <v>1</v>
      </c>
      <c r="AH1089" s="52" t="n">
        <f aca="false">IF(CQ1089&gt;0,CQ1089*MAX(1,AF1089/X1089),IF(BZ1089=1,IF(AF1089&lt;=0,0,CD1089*MAX(1,IF(H1089&gt;0,AF1089/H1089,1))),IF(R1089&gt;0,AG1089/R1089,0))/MAX(0.1,N(Parameter!$M$21)))</f>
        <v>0.0384615384615385</v>
      </c>
      <c r="AI1089" s="50" t="n">
        <f aca="false">AH1089*CB1089</f>
        <v>9.42307692307692</v>
      </c>
      <c r="AJ1089" s="51" t="n">
        <f aca="false">IF(LEFT(Cockpit!$C$5,1)="A",H1089,IF(CH1089=1,(CK1089+CI1089)/2,IF(LEFT(Cockpit!$C$5,1)="B",(CK1089+AL1089)/2,MAX((CK1089+AL1089)/2,H1089))))</f>
        <v>21</v>
      </c>
      <c r="AK1089" s="50" t="n">
        <f aca="false">AJ1089*G1089</f>
        <v>843.36</v>
      </c>
      <c r="AL1089" s="50" t="n">
        <f aca="false">ROUNDUP(CK1089+MAX(CL1089,2*(J1089/IF(CG1089&gt;0,CG1089,MAX(0.1,N(Cockpit!$C$6)))-CK1089)),0)</f>
        <v>26</v>
      </c>
      <c r="AM1089" s="51" t="n">
        <f aca="false">IF(AI1089&gt;0,J1089/AI1089,-1)</f>
        <v>2.44081632653061</v>
      </c>
      <c r="AN1089" s="51" t="n">
        <f aca="false">IF(AND(OR(CF1089="L1",CF1089="L23",CF1089="LIFT"),AI1089&gt;0),SUMIFS($AI$7:$AI$1843,$CF$7:$CF$1843,CF1089,$AM$7:$AM$1843,"&gt;"&amp;AM1089)+SUMIFS($AI$7:$AI$1843,$CF$7:$CF$1843,CF1089,$AM$7:$AM$1843,AM1089,$BW$7:$BW$1843,"&lt;="&amp;BW1089),"")</f>
        <v>5471.26236263736</v>
      </c>
      <c r="AO1089" s="58" t="n">
        <f aca="false">IF(AN1089="",0,MAX(0,MIN(1,(IF(CF1089="L1",Parameter!$H$5,IF(CF1089="L23",Parameter!$H$6+Parameter!$H$7,Parameter!$H$5+Parameter!$H$6+Parameter!$H$7))-(AN1089-AI1089))/AI1089)))</f>
        <v>1</v>
      </c>
      <c r="AP1089" s="50" t="n">
        <f aca="false">IF(LEFT(Cockpit!$I$5,1)="A",H1089,IF(Parameter!$E$30="MAX-Bestand",IF(CH1089=1,CI1089,IF(LEFT(Cockpit!$I$5,1)="B",AV1089,MAX(AV1089,H1089))),ROUNDUP(AT1089,0)))</f>
        <v>21</v>
      </c>
      <c r="AQ1089" s="50" t="n">
        <f aca="false">IF(BZ1089=1,0,ROUNDUP(AP1089/BY1089,0))</f>
        <v>1</v>
      </c>
      <c r="AR1089" s="52" t="n">
        <f aca="false">IF(CQ1089&gt;0,CQ1089*MAX(1,AP1089/X1089),IF(BZ1089=1,IF(AP1089&lt;=0,0,CD1089*MAX(1,IF(H1089&gt;0,AP1089/H1089,1))),IF(R1089&gt;0,AQ1089/R1089,0))/MAX(0.1,N(Parameter!$M$21)))</f>
        <v>0.0384615384615385</v>
      </c>
      <c r="AS1089" s="50" t="n">
        <f aca="false">AR1089*CB1089</f>
        <v>9.42307692307692</v>
      </c>
      <c r="AT1089" s="51" t="n">
        <f aca="false">IF(LEFT(Cockpit!$I$5,1)="A",H1089,IF(CH1089=1,(CK1089+CI1089)/2,IF(LEFT(Cockpit!$I$5,1)="B",(CK1089+AV1089)/2,MAX((CK1089+AV1089)/2,H1089))))</f>
        <v>21</v>
      </c>
      <c r="AU1089" s="50" t="n">
        <f aca="false">AT1089*G1089</f>
        <v>843.36</v>
      </c>
      <c r="AV1089" s="50" t="n">
        <f aca="false">ROUNDUP(CK1089+MAX(CL1089,2*(J1089/IF(CG1089&gt;0,CG1089,MAX(0.1,N(Cockpit!$I$6)))-CK1089)),0)</f>
        <v>26</v>
      </c>
      <c r="AW1089" s="51" t="n">
        <f aca="false">IF(AS1089&gt;0,J1089/AS1089,-1)</f>
        <v>2.44081632653061</v>
      </c>
      <c r="AX1089" s="51" t="n">
        <f aca="false">IF(AND(OR(CF1089="L1",CF1089="L23",CF1089="LIFT"),AS1089&gt;0),SUMIFS($AS$7:$AS$1843,$CF$7:$CF$1843,CF1089,$AW$7:$AW$1843,"&gt;"&amp;AW1089)+SUMIFS($AS$7:$AS$1843,$CF$7:$CF$1843,CF1089,$AW$7:$AW$1843,AW1089,$BW$7:$BW$1843,"&lt;="&amp;BW1089),"")</f>
        <v>6244.49038461539</v>
      </c>
      <c r="AY1089" s="58" t="n">
        <f aca="false">IF(AX1089="",0,MAX(0,MIN(1,(IF(CF1089="L1",Parameter!$H$5,IF(CF1089="L23",Parameter!$H$6+Parameter!$H$7,Parameter!$H$5+Parameter!$H$6+Parameter!$H$7))-(AX1089-AS1089))/AS1089)))</f>
        <v>1</v>
      </c>
      <c r="AZ1089" s="50" t="n">
        <f aca="false">IF(LEFT(Cockpit!$O$5,1)="A",H1089,IF(Parameter!$E$30="MAX-Bestand",IF(CH1089=1,CI1089,IF(LEFT(Cockpit!$O$5,1)="B",BF1089,MAX(BF1089,H1089))),ROUNDUP(BD1089,0)))</f>
        <v>14</v>
      </c>
      <c r="BA1089" s="50" t="n">
        <f aca="false">IF(BZ1089=1,0,ROUNDUP(AZ1089/BY1089,0))</f>
        <v>1</v>
      </c>
      <c r="BB1089" s="52" t="n">
        <f aca="false">IF(CQ1089&gt;0,CQ1089*MAX(1,AZ1089/X1089),IF(BZ1089=1,IF(AZ1089&lt;=0,0,CD1089*MAX(1,IF(H1089&gt;0,AZ1089/H1089,1))),IF(R1089&gt;0,BA1089/R1089,0))/MAX(0.1,N(Parameter!$M$21)))</f>
        <v>0.0384615384615385</v>
      </c>
      <c r="BC1089" s="50" t="n">
        <f aca="false">BB1089*CB1089</f>
        <v>9.42307692307692</v>
      </c>
      <c r="BD1089" s="51" t="n">
        <f aca="false">IF(LEFT(Cockpit!$O$5,1)="A",H1089,IF(CH1089=1,(CK1089+CI1089)/2,IF(LEFT(Cockpit!$O$5,1)="B",(CK1089+BF1089)/2,MAX((CK1089+BF1089)/2,H1089))))</f>
        <v>13.5</v>
      </c>
      <c r="BE1089" s="50" t="n">
        <f aca="false">BD1089*G1089</f>
        <v>542.16</v>
      </c>
      <c r="BF1089" s="50" t="n">
        <f aca="false">ROUNDUP(CK1089+MAX(CL1089,2*(J1089/IF(CG1089&gt;0,CG1089,MAX(0.1,N(Cockpit!$O$6)))-CK1089)),0)</f>
        <v>26</v>
      </c>
      <c r="BG1089" s="51" t="n">
        <f aca="false">IF(BC1089&gt;0,J1089/BC1089,-1)</f>
        <v>2.44081632653061</v>
      </c>
      <c r="BH1089" s="51" t="n">
        <f aca="false">IF(AND(OR(CF1089="L1",CF1089="L23",CF1089="LIFT"),BC1089&gt;0),SUMIFS($BC$7:$BC$1843,$CF$7:$CF$1843,CF1089,$BG$7:$BG$1843,"&gt;"&amp;BG1089)+SUMIFS($BC$7:$BC$1843,$CF$7:$CF$1843,CF1089,$BG$7:$BG$1843,BG1089,$BW$7:$BW$1843,"&lt;="&amp;BW1089),"")</f>
        <v>5401.67948717949</v>
      </c>
      <c r="BI1089" s="58" t="n">
        <f aca="false">IF(BH1089="",0,MAX(0,MIN(1,(IF(CF1089="L1",Parameter!$H$5,IF(CF1089="L23",Parameter!$H$6+Parameter!$H$7,Parameter!$H$5+Parameter!$H$6+Parameter!$H$7))-(BH1089-BC1089))/BC1089)))</f>
        <v>1</v>
      </c>
      <c r="BJ1089" s="48" t="str">
        <f aca="false">IF(AI1089&lt;=0,"",IF(CF1089="Aussen","Aussenlager",IF(CF1089="-","Nicht im Lift",IF(AO1089&gt;=1,"Lift",IF(AO1089&lt;=0,"Aussenlager","teilweise")))))</f>
        <v>Lift</v>
      </c>
      <c r="BK1089" s="48" t="str">
        <f aca="false">IF(AS1089&lt;=0,"",IF(CF1089="Aussen","Aussenlager",IF(CF1089="-","Nicht im Lift",IF(AY1089&gt;=1,"Lift",IF(AY1089&lt;=0,"Aussenlager","teilweise")))))</f>
        <v>Lift</v>
      </c>
      <c r="BL1089" s="48" t="str">
        <f aca="false">IF(BC1089&lt;=0,"",IF(CF1089="Aussen","Aussenlager",IF(CF1089="-","Nicht im Lift",IF(BI1089&gt;=1,"Lift",IF(BI1089&lt;=0,"Aussenlager","teilweise")))))</f>
        <v>Lift</v>
      </c>
      <c r="BM1089" s="48" t="str">
        <f aca="false">IF(A1089="","",IF(BV1089=1,"Neu; ","")&amp;IF(AND(BV1089=0,BQ1089&lt;0),"negativer Bestand (Export "&amp;BQ1089&amp;"); ","")&amp;IF(J1089&lt;=0,"Kein Verbrauch; ","")&amp;IF(CQ1089&gt;0,"Lift "&amp;W1089&amp;" lt. Liftbericht (Fach "&amp;X1089&amp;" Stk); ",IF(CA1089=1,"Gebinde geschätzt ("&amp;T1089&amp;"); ",IF(BZ1089=1,"Lose – Tablare geschätzt; ","")))&amp;IF(H1089&gt;AV1089,"Überbestand "&amp;ROUND(H1089-AV1089,0)&amp;" Stk / CHF "&amp;ROUND((H1089-AV1089)*G1089,0)&amp;"; ","")&amp;IF(AND(CH1089=1,CI1089&lt;CJ1089),"MAX &lt; MB+LG; ","")&amp;IF(AND(CP1089&gt;0,CO1089*10&gt;CP1089),"zu hoch für Tablar; ","")&amp;IF(AND(BV1089=0,OR(CH1089=1,AA1089&lt;&gt;"",U1089&lt;&gt;"",V1089&lt;&gt;"",AB1089&lt;&gt;"")),"manuell übersteuert; ","")&amp;IF(AND(BZ1089=0,R1089=0),"Gebinde unbekannt / Stellmass fehlt; ","")&amp;IF(AND(BZ1089=0,N(V1089)&lt;=0,N(Q1089)&lt;=0),"Menge pro Gebinde fehlt (Ist = 1 Gebinde); ","")&amp;BU1089)</f>
        <v>negativer Bestand (Export -5); SPGr</v>
      </c>
      <c r="BN1089" s="48"/>
      <c r="BO1089" s="48"/>
      <c r="BP1089" s="55"/>
      <c r="BQ1089" s="50" t="n">
        <v>-5</v>
      </c>
      <c r="BR1089" s="50" t="n">
        <v>26</v>
      </c>
      <c r="BS1089" s="49" t="n">
        <v>-193.54</v>
      </c>
      <c r="BT1089" s="50" t="n">
        <v>23</v>
      </c>
      <c r="BU1089" s="48" t="s">
        <v>1992</v>
      </c>
      <c r="BV1089" s="53" t="n">
        <v>0</v>
      </c>
      <c r="BW1089" s="53" t="n">
        <v>1089</v>
      </c>
      <c r="BX1089" s="48" t="str">
        <f aca="false">IF(U1089&lt;&gt;"",UPPER(TRIM(U1089)),IF(CA1089=1,UPPER(VLOOKUP(T1089,Parameter!$I$27:$K$29,2,0)),IF(P1089="","LOSE",P1089)))</f>
        <v>S52</v>
      </c>
      <c r="BY1089" s="50" t="n">
        <f aca="false">IF(BX1089="LOSE",1,IF(N(V1089)&gt;0,V1089,IF(CA1089=1,MAX(1,N(VLOOKUP(T1089,Parameter!$I$27:$K$29,3,0)),H1089,N(N1089)),IF(N(Q1089)&gt;0,Q1089,MAX(1,H1089)))))</f>
        <v>48</v>
      </c>
      <c r="BZ1089" s="53" t="n">
        <f aca="false">IF(BX1089="LOSE",1,0)</f>
        <v>0</v>
      </c>
      <c r="CA1089" s="53" t="n">
        <f aca="false">IF(AND(U1089="",OR(P1089="",P1089="LOSE"),T1089&lt;&gt;"",N(S1089)&lt;=0,ISNUMBER(MATCH(T1089,Parameter!$I$27:$I$29,0))),1,0)</f>
        <v>0</v>
      </c>
      <c r="CB1089" s="53" t="n">
        <f aca="false">IF(CQ1089&gt;0,INDEX(Parameter!$H$5:$H$7,W1089)/INDEX(Parameter!$E$5:$E$7,W1089),IF(AND(BZ1089=0,N(IFERROR(VLOOKUP(BX1089,'Gebinde-Kategorie'!$A$5:$N$45,14,0),0))&gt;0),VLOOKUP(BX1089,'Gebinde-Kategorie'!$A$5:$N$45,14,0)*10+Parameter!$M$23,Parameter!$M$24))</f>
        <v>245</v>
      </c>
      <c r="CC1089" s="48" t="str">
        <f aca="false">IF(AND(Parameter!$B$19="Ja",E1089&lt;&gt;"",ISNUMBER(MATCH(E1089,Parameter!$I$35:$I$52,0))),VLOOKUP(E1089,Parameter!$I$35:$J$52,2,0),IFERROR(VLOOKUP(D1089,Parameter!$A$35:$C$64,2,0),"Nein"))</f>
        <v>2+3</v>
      </c>
      <c r="CD1089" s="52" t="n">
        <f aca="false">IF(BZ1089=0,0,IF(N(S1089)&gt;0,S1089,IFERROR(VLOOKUP(D1089,Parameter!$A$35:$C$64,3,0)+0,0)))</f>
        <v>0</v>
      </c>
      <c r="CE1089" s="48" t="n">
        <f aca="false">IF(AA1089&lt;&gt;"",AA1089,Z1089)</f>
        <v>3</v>
      </c>
      <c r="CF1089" s="48" t="str">
        <f aca="false">IF(OR(CE1089=1,CE1089=2,CE1089=3),IF(Parameter!$E$27="Ja","LIFT",IF(CE1089=1,"L1","L23")),IF(CE1089="Aussen","Aussen","-"))</f>
        <v>LIFT</v>
      </c>
      <c r="CG1089" s="59" t="n">
        <f aca="false">IF(N(AB1089)&gt;0,AB1089,0)</f>
        <v>0</v>
      </c>
      <c r="CH1089" s="53" t="n">
        <f aca="false">IF(ISNUMBER(AE1089),1,0)</f>
        <v>0</v>
      </c>
      <c r="CI1089" s="50" t="n">
        <f aca="false">N(AE1089)</f>
        <v>0</v>
      </c>
      <c r="CJ1089" s="50" t="n">
        <f aca="false">N(M1089)+N(N1089)</f>
        <v>26</v>
      </c>
      <c r="CK1089" s="50" t="n">
        <f aca="false">N(M1089)</f>
        <v>1</v>
      </c>
      <c r="CL1089" s="50" t="n">
        <f aca="false">N(N1089)</f>
        <v>25</v>
      </c>
      <c r="CM1089" s="50" t="n">
        <f aca="false">ROUNDUP(H1089/BY1089,0)</f>
        <v>1</v>
      </c>
      <c r="CN1089" s="50" t="n">
        <f aca="false">ROUNDUP(CI1089/BY1089,0)</f>
        <v>0</v>
      </c>
      <c r="CO1089" s="53" t="n">
        <f aca="false">IF(BZ1089=1,0,IFERROR(VLOOKUP(BX1089,'Gebinde-Kategorie'!$A$5:$N$45,5,0)+0,0))</f>
        <v>21</v>
      </c>
      <c r="CP1089" s="53" t="n">
        <f aca="false">IFERROR(IF(OR(CE1089=1,CE1089=2,CE1089=3),N(INDEX(Parameter!$I$5:$I$7,CE1089)),0),0)</f>
        <v>0</v>
      </c>
      <c r="CQ1089" s="52" t="n">
        <f aca="false">IF(AND(Parameter!$B$21="Ja",ISNUMBER(W1089),N(X1089)&gt;0),IFERROR(N(INDEX(Parameter!$L$5:$L$7,W1089))*INDEX(Parameter!$E$5:$E$7,W1089)*X1089/SUMIFS($X$7:$X$1843,$W$7:$W$1843,W1089),0),0)</f>
        <v>0</v>
      </c>
    </row>
    <row r="1090" customFormat="false" ht="15" hidden="false" customHeight="false" outlineLevel="0" collapsed="false">
      <c r="A1090" s="48" t="s">
        <v>1993</v>
      </c>
      <c r="B1090" s="48" t="s">
        <v>1752</v>
      </c>
      <c r="C1090" s="48" t="s">
        <v>173</v>
      </c>
      <c r="D1090" s="48" t="s">
        <v>193</v>
      </c>
      <c r="E1090" s="48"/>
      <c r="F1090" s="48" t="s">
        <v>227</v>
      </c>
      <c r="G1090" s="49" t="n">
        <v>6.33</v>
      </c>
      <c r="H1090" s="50" t="n">
        <f aca="false">MAX(0,IF(AND(Parameter!$B$21="Ja",ISNUMBER(Y1090)),Y1090,IF(Parameter!$B$20="Jahresanfang 2025 + Export",BR1090+BQ1090,BQ1090)))</f>
        <v>48</v>
      </c>
      <c r="I1090" s="50" t="n">
        <f aca="false">H1090*G1090</f>
        <v>303.84</v>
      </c>
      <c r="J1090" s="50" t="n">
        <f aca="false">BT1090*Parameter!$B$18</f>
        <v>26</v>
      </c>
      <c r="K1090" s="51" t="n">
        <v>66</v>
      </c>
      <c r="L1090" s="52" t="n">
        <v>0.393939393939394</v>
      </c>
      <c r="M1090" s="50" t="n">
        <v>1</v>
      </c>
      <c r="N1090" s="50" t="n">
        <v>25</v>
      </c>
      <c r="O1090" s="53" t="n">
        <v>14</v>
      </c>
      <c r="P1090" s="48" t="s">
        <v>410</v>
      </c>
      <c r="Q1090" s="50" t="n">
        <v>46</v>
      </c>
      <c r="R1090" s="53" t="n">
        <f aca="false">IF(BZ1090=1,0,IFERROR(VLOOKUP(BX1090,'Gebinde-Kategorie'!$A$5:$N$45,13,0)+0,0))</f>
        <v>280</v>
      </c>
      <c r="S1090" s="54"/>
      <c r="T1090" s="55"/>
      <c r="U1090" s="55"/>
      <c r="V1090" s="55"/>
      <c r="W1090" s="48"/>
      <c r="X1090" s="50"/>
      <c r="Y1090" s="50"/>
      <c r="Z1090" s="48" t="n">
        <f aca="false">IF(A1090="","",IF(AND(Parameter!$B$21="Ja",ISNUMBER(W1090)),W1090,IF(CC1090="2+3",IF(ISNUMBER(SEARCH("grosser Artikel",BU1090)),2,IFERROR(VLOOKUP(BX1090,Parameter!$F$35:$G$64,2,0),2)),IF(OR(CC1090="Nein",CC1090=""),"-",CC1090))))</f>
        <v>3</v>
      </c>
      <c r="AA1090" s="55"/>
      <c r="AB1090" s="56"/>
      <c r="AC1090" s="50" t="n">
        <f aca="false">AV1090</f>
        <v>26</v>
      </c>
      <c r="AD1090" s="50" t="n">
        <f aca="false">MAX(AV1090,H1090)</f>
        <v>48</v>
      </c>
      <c r="AE1090" s="57"/>
      <c r="AF1090" s="50" t="n">
        <f aca="false">IF(LEFT(Cockpit!$C$5,1)="A",H1090,IF(Parameter!$E$30="MAX-Bestand",IF(CH1090=1,CI1090,IF(LEFT(Cockpit!$C$5,1)="B",AL1090,MAX(AL1090,H1090))),ROUNDUP(AJ1090,0)))</f>
        <v>48</v>
      </c>
      <c r="AG1090" s="50" t="n">
        <f aca="false">IF(BZ1090=1,0,ROUNDUP(AF1090/BY1090,0))</f>
        <v>2</v>
      </c>
      <c r="AH1090" s="52" t="n">
        <f aca="false">IF(CQ1090&gt;0,CQ1090*MAX(1,AF1090/X1090),IF(BZ1090=1,IF(AF1090&lt;=0,0,CD1090*MAX(1,IF(H1090&gt;0,AF1090/H1090,1))),IF(R1090&gt;0,AG1090/R1090,0))/MAX(0.1,N(Parameter!$M$21)))</f>
        <v>0.00714285714285714</v>
      </c>
      <c r="AI1090" s="50" t="n">
        <f aca="false">AH1090*CB1090</f>
        <v>1.10714285714286</v>
      </c>
      <c r="AJ1090" s="51" t="n">
        <f aca="false">IF(LEFT(Cockpit!$C$5,1)="A",H1090,IF(CH1090=1,(CK1090+CI1090)/2,IF(LEFT(Cockpit!$C$5,1)="B",(CK1090+AL1090)/2,MAX((CK1090+AL1090)/2,H1090))))</f>
        <v>48</v>
      </c>
      <c r="AK1090" s="50" t="n">
        <f aca="false">AJ1090*G1090</f>
        <v>303.84</v>
      </c>
      <c r="AL1090" s="50" t="n">
        <f aca="false">ROUNDUP(CK1090+MAX(CL1090,2*(J1090/IF(CG1090&gt;0,CG1090,MAX(0.1,N(Cockpit!$C$6)))-CK1090)),0)</f>
        <v>26</v>
      </c>
      <c r="AM1090" s="51" t="n">
        <f aca="false">IF(AI1090&gt;0,J1090/AI1090,-1)</f>
        <v>23.4838709677419</v>
      </c>
      <c r="AN1090" s="51" t="n">
        <f aca="false">IF(AND(OR(CF1090="L1",CF1090="L23",CF1090="LIFT"),AI1090&gt;0),SUMIFS($AI$7:$AI$1843,$CF$7:$CF$1843,CF1090,$AM$7:$AM$1843,"&gt;"&amp;AM1090)+SUMIFS($AI$7:$AI$1843,$CF$7:$CF$1843,CF1090,$AM$7:$AM$1843,AM1090,$BW$7:$BW$1843,"&lt;="&amp;BW1090),"")</f>
        <v>1577.00366300366</v>
      </c>
      <c r="AO1090" s="58" t="n">
        <f aca="false">IF(AN1090="",0,MAX(0,MIN(1,(IF(CF1090="L1",Parameter!$H$5,IF(CF1090="L23",Parameter!$H$6+Parameter!$H$7,Parameter!$H$5+Parameter!$H$6+Parameter!$H$7))-(AN1090-AI1090))/AI1090)))</f>
        <v>1</v>
      </c>
      <c r="AP1090" s="50" t="n">
        <f aca="false">IF(LEFT(Cockpit!$I$5,1)="A",H1090,IF(Parameter!$E$30="MAX-Bestand",IF(CH1090=1,CI1090,IF(LEFT(Cockpit!$I$5,1)="B",AV1090,MAX(AV1090,H1090))),ROUNDUP(AT1090,0)))</f>
        <v>48</v>
      </c>
      <c r="AQ1090" s="50" t="n">
        <f aca="false">IF(BZ1090=1,0,ROUNDUP(AP1090/BY1090,0))</f>
        <v>2</v>
      </c>
      <c r="AR1090" s="52" t="n">
        <f aca="false">IF(CQ1090&gt;0,CQ1090*MAX(1,AP1090/X1090),IF(BZ1090=1,IF(AP1090&lt;=0,0,CD1090*MAX(1,IF(H1090&gt;0,AP1090/H1090,1))),IF(R1090&gt;0,AQ1090/R1090,0))/MAX(0.1,N(Parameter!$M$21)))</f>
        <v>0.00714285714285714</v>
      </c>
      <c r="AS1090" s="50" t="n">
        <f aca="false">AR1090*CB1090</f>
        <v>1.10714285714286</v>
      </c>
      <c r="AT1090" s="51" t="n">
        <f aca="false">IF(LEFT(Cockpit!$I$5,1)="A",H1090,IF(CH1090=1,(CK1090+CI1090)/2,IF(LEFT(Cockpit!$I$5,1)="B",(CK1090+AV1090)/2,MAX((CK1090+AV1090)/2,H1090))))</f>
        <v>48</v>
      </c>
      <c r="AU1090" s="50" t="n">
        <f aca="false">AT1090*G1090</f>
        <v>303.84</v>
      </c>
      <c r="AV1090" s="50" t="n">
        <f aca="false">ROUNDUP(CK1090+MAX(CL1090,2*(J1090/IF(CG1090&gt;0,CG1090,MAX(0.1,N(Cockpit!$I$6)))-CK1090)),0)</f>
        <v>26</v>
      </c>
      <c r="AW1090" s="51" t="n">
        <f aca="false">IF(AS1090&gt;0,J1090/AS1090,-1)</f>
        <v>23.4838709677419</v>
      </c>
      <c r="AX1090" s="51" t="n">
        <f aca="false">IF(AND(OR(CF1090="L1",CF1090="L23",CF1090="LIFT"),AS1090&gt;0),SUMIFS($AS$7:$AS$1843,$CF$7:$CF$1843,CF1090,$AW$7:$AW$1843,"&gt;"&amp;AW1090)+SUMIFS($AS$7:$AS$1843,$CF$7:$CF$1843,CF1090,$AW$7:$AW$1843,AW1090,$BW$7:$BW$1843,"&lt;="&amp;BW1090),"")</f>
        <v>2202.84249084249</v>
      </c>
      <c r="AY1090" s="58" t="n">
        <f aca="false">IF(AX1090="",0,MAX(0,MIN(1,(IF(CF1090="L1",Parameter!$H$5,IF(CF1090="L23",Parameter!$H$6+Parameter!$H$7,Parameter!$H$5+Parameter!$H$6+Parameter!$H$7))-(AX1090-AS1090))/AS1090)))</f>
        <v>1</v>
      </c>
      <c r="AZ1090" s="50" t="n">
        <f aca="false">IF(LEFT(Cockpit!$O$5,1)="A",H1090,IF(Parameter!$E$30="MAX-Bestand",IF(CH1090=1,CI1090,IF(LEFT(Cockpit!$O$5,1)="B",BF1090,MAX(BF1090,H1090))),ROUNDUP(BD1090,0)))</f>
        <v>14</v>
      </c>
      <c r="BA1090" s="50" t="n">
        <f aca="false">IF(BZ1090=1,0,ROUNDUP(AZ1090/BY1090,0))</f>
        <v>1</v>
      </c>
      <c r="BB1090" s="52" t="n">
        <f aca="false">IF(CQ1090&gt;0,CQ1090*MAX(1,AZ1090/X1090),IF(BZ1090=1,IF(AZ1090&lt;=0,0,CD1090*MAX(1,IF(H1090&gt;0,AZ1090/H1090,1))),IF(R1090&gt;0,BA1090/R1090,0))/MAX(0.1,N(Parameter!$M$21)))</f>
        <v>0.00357142857142857</v>
      </c>
      <c r="BC1090" s="50" t="n">
        <f aca="false">BB1090*CB1090</f>
        <v>0.553571428571429</v>
      </c>
      <c r="BD1090" s="51" t="n">
        <f aca="false">IF(LEFT(Cockpit!$O$5,1)="A",H1090,IF(CH1090=1,(CK1090+CI1090)/2,IF(LEFT(Cockpit!$O$5,1)="B",(CK1090+BF1090)/2,MAX((CK1090+BF1090)/2,H1090))))</f>
        <v>13.5</v>
      </c>
      <c r="BE1090" s="50" t="n">
        <f aca="false">BD1090*G1090</f>
        <v>85.455</v>
      </c>
      <c r="BF1090" s="50" t="n">
        <f aca="false">ROUNDUP(CK1090+MAX(CL1090,2*(J1090/IF(CG1090&gt;0,CG1090,MAX(0.1,N(Cockpit!$O$6)))-CK1090)),0)</f>
        <v>26</v>
      </c>
      <c r="BG1090" s="51" t="n">
        <f aca="false">IF(BC1090&gt;0,J1090/BC1090,-1)</f>
        <v>46.9677419354839</v>
      </c>
      <c r="BH1090" s="51" t="n">
        <f aca="false">IF(AND(OR(CF1090="L1",CF1090="L23",CF1090="LIFT"),BC1090&gt;0),SUMIFS($BC$7:$BC$1843,$CF$7:$CF$1843,CF1090,$BG$7:$BG$1843,"&gt;"&amp;BG1090)+SUMIFS($BC$7:$BC$1843,$CF$7:$CF$1843,CF1090,$BG$7:$BG$1843,BG1090,$BW$7:$BW$1843,"&lt;="&amp;BW1090),"")</f>
        <v>1220.59203296703</v>
      </c>
      <c r="BI1090" s="58" t="n">
        <f aca="false">IF(BH1090="",0,MAX(0,MIN(1,(IF(CF1090="L1",Parameter!$H$5,IF(CF1090="L23",Parameter!$H$6+Parameter!$H$7,Parameter!$H$5+Parameter!$H$6+Parameter!$H$7))-(BH1090-BC1090))/BC1090)))</f>
        <v>1</v>
      </c>
      <c r="BJ1090" s="48" t="str">
        <f aca="false">IF(AI1090&lt;=0,"",IF(CF1090="Aussen","Aussenlager",IF(CF1090="-","Nicht im Lift",IF(AO1090&gt;=1,"Lift",IF(AO1090&lt;=0,"Aussenlager","teilweise")))))</f>
        <v>Lift</v>
      </c>
      <c r="BK1090" s="48" t="str">
        <f aca="false">IF(AS1090&lt;=0,"",IF(CF1090="Aussen","Aussenlager",IF(CF1090="-","Nicht im Lift",IF(AY1090&gt;=1,"Lift",IF(AY1090&lt;=0,"Aussenlager","teilweise")))))</f>
        <v>Lift</v>
      </c>
      <c r="BL1090" s="48" t="str">
        <f aca="false">IF(BC1090&lt;=0,"",IF(CF1090="Aussen","Aussenlager",IF(CF1090="-","Nicht im Lift",IF(BI1090&gt;=1,"Lift",IF(BI1090&lt;=0,"Aussenlager","teilweise")))))</f>
        <v>Lift</v>
      </c>
      <c r="BM1090" s="48" t="str">
        <f aca="false">IF(A1090="","",IF(BV1090=1,"Neu; ","")&amp;IF(AND(BV1090=0,BQ1090&lt;0),"negativer Bestand (Export "&amp;BQ1090&amp;"); ","")&amp;IF(J1090&lt;=0,"Kein Verbrauch; ","")&amp;IF(CQ1090&gt;0,"Lift "&amp;W1090&amp;" lt. Liftbericht (Fach "&amp;X1090&amp;" Stk); ",IF(CA1090=1,"Gebinde geschätzt ("&amp;T1090&amp;"); ",IF(BZ1090=1,"Lose – Tablare geschätzt; ","")))&amp;IF(H1090&gt;AV1090,"Überbestand "&amp;ROUND(H1090-AV1090,0)&amp;" Stk / CHF "&amp;ROUND((H1090-AV1090)*G1090,0)&amp;"; ","")&amp;IF(AND(CH1090=1,CI1090&lt;CJ1090),"MAX &lt; MB+LG; ","")&amp;IF(AND(CP1090&gt;0,CO1090*10&gt;CP1090),"zu hoch für Tablar; ","")&amp;IF(AND(BV1090=0,OR(CH1090=1,AA1090&lt;&gt;"",U1090&lt;&gt;"",V1090&lt;&gt;"",AB1090&lt;&gt;"")),"manuell übersteuert; ","")&amp;IF(AND(BZ1090=0,R1090=0),"Gebinde unbekannt / Stellmass fehlt; ","")&amp;IF(AND(BZ1090=0,N(V1090)&lt;=0,N(Q1090)&lt;=0),"Menge pro Gebinde fehlt (Ist = 1 Gebinde); ","")&amp;BU1090)</f>
        <v>negativer Bestand (Export -31); Überbestand 22 Stk / CHF 139; </v>
      </c>
      <c r="BN1090" s="48"/>
      <c r="BO1090" s="48"/>
      <c r="BP1090" s="55"/>
      <c r="BQ1090" s="50" t="n">
        <v>-31</v>
      </c>
      <c r="BR1090" s="50" t="n">
        <v>79</v>
      </c>
      <c r="BS1090" s="49" t="n">
        <v>-196.23</v>
      </c>
      <c r="BT1090" s="50" t="n">
        <v>26</v>
      </c>
      <c r="BU1090" s="48"/>
      <c r="BV1090" s="53" t="n">
        <v>0</v>
      </c>
      <c r="BW1090" s="53" t="n">
        <v>1090</v>
      </c>
      <c r="BX1090" s="48" t="str">
        <f aca="false">IF(U1090&lt;&gt;"",UPPER(TRIM(U1090)),IF(CA1090=1,UPPER(VLOOKUP(T1090,Parameter!$I$27:$K$29,2,0)),IF(P1090="","LOSE",P1090)))</f>
        <v>S21</v>
      </c>
      <c r="BY1090" s="50" t="n">
        <f aca="false">IF(BX1090="LOSE",1,IF(N(V1090)&gt;0,V1090,IF(CA1090=1,MAX(1,N(VLOOKUP(T1090,Parameter!$I$27:$K$29,3,0)),H1090,N(N1090)),IF(N(Q1090)&gt;0,Q1090,MAX(1,H1090)))))</f>
        <v>46</v>
      </c>
      <c r="BZ1090" s="53" t="n">
        <f aca="false">IF(BX1090="LOSE",1,0)</f>
        <v>0</v>
      </c>
      <c r="CA1090" s="53" t="n">
        <f aca="false">IF(AND(U1090="",OR(P1090="",P1090="LOSE"),T1090&lt;&gt;"",N(S1090)&lt;=0,ISNUMBER(MATCH(T1090,Parameter!$I$27:$I$29,0))),1,0)</f>
        <v>0</v>
      </c>
      <c r="CB1090" s="53" t="n">
        <f aca="false">IF(CQ1090&gt;0,INDEX(Parameter!$H$5:$H$7,W1090)/INDEX(Parameter!$E$5:$E$7,W1090),IF(AND(BZ1090=0,N(IFERROR(VLOOKUP(BX1090,'Gebinde-Kategorie'!$A$5:$N$45,14,0),0))&gt;0),VLOOKUP(BX1090,'Gebinde-Kategorie'!$A$5:$N$45,14,0)*10+Parameter!$M$23,Parameter!$M$24))</f>
        <v>155</v>
      </c>
      <c r="CC1090" s="48" t="str">
        <f aca="false">IF(AND(Parameter!$B$19="Ja",E1090&lt;&gt;"",ISNUMBER(MATCH(E1090,Parameter!$I$35:$I$52,0))),VLOOKUP(E1090,Parameter!$I$35:$J$52,2,0),IFERROR(VLOOKUP(D1090,Parameter!$A$35:$C$64,2,0),"Nein"))</f>
        <v>2+3</v>
      </c>
      <c r="CD1090" s="52" t="n">
        <f aca="false">IF(BZ1090=0,0,IF(N(S1090)&gt;0,S1090,IFERROR(VLOOKUP(D1090,Parameter!$A$35:$C$64,3,0)+0,0)))</f>
        <v>0</v>
      </c>
      <c r="CE1090" s="48" t="n">
        <f aca="false">IF(AA1090&lt;&gt;"",AA1090,Z1090)</f>
        <v>3</v>
      </c>
      <c r="CF1090" s="48" t="str">
        <f aca="false">IF(OR(CE1090=1,CE1090=2,CE1090=3),IF(Parameter!$E$27="Ja","LIFT",IF(CE1090=1,"L1","L23")),IF(CE1090="Aussen","Aussen","-"))</f>
        <v>LIFT</v>
      </c>
      <c r="CG1090" s="59" t="n">
        <f aca="false">IF(N(AB1090)&gt;0,AB1090,0)</f>
        <v>0</v>
      </c>
      <c r="CH1090" s="53" t="n">
        <f aca="false">IF(ISNUMBER(AE1090),1,0)</f>
        <v>0</v>
      </c>
      <c r="CI1090" s="50" t="n">
        <f aca="false">N(AE1090)</f>
        <v>0</v>
      </c>
      <c r="CJ1090" s="50" t="n">
        <f aca="false">N(M1090)+N(N1090)</f>
        <v>26</v>
      </c>
      <c r="CK1090" s="50" t="n">
        <f aca="false">N(M1090)</f>
        <v>1</v>
      </c>
      <c r="CL1090" s="50" t="n">
        <f aca="false">N(N1090)</f>
        <v>25</v>
      </c>
      <c r="CM1090" s="50" t="n">
        <f aca="false">ROUNDUP(H1090/BY1090,0)</f>
        <v>2</v>
      </c>
      <c r="CN1090" s="50" t="n">
        <f aca="false">ROUNDUP(CI1090/BY1090,0)</f>
        <v>0</v>
      </c>
      <c r="CO1090" s="53" t="n">
        <f aca="false">IF(BZ1090=1,0,IFERROR(VLOOKUP(BX1090,'Gebinde-Kategorie'!$A$5:$N$45,5,0)+0,0))</f>
        <v>8</v>
      </c>
      <c r="CP1090" s="53" t="n">
        <f aca="false">IFERROR(IF(OR(CE1090=1,CE1090=2,CE1090=3),N(INDEX(Parameter!$I$5:$I$7,CE1090)),0),0)</f>
        <v>0</v>
      </c>
      <c r="CQ1090" s="52" t="n">
        <f aca="false">IF(AND(Parameter!$B$21="Ja",ISNUMBER(W1090),N(X1090)&gt;0),IFERROR(N(INDEX(Parameter!$L$5:$L$7,W1090))*INDEX(Parameter!$E$5:$E$7,W1090)*X1090/SUMIFS($X$7:$X$1843,$W$7:$W$1843,W1090),0),0)</f>
        <v>0</v>
      </c>
    </row>
    <row r="1091" customFormat="false" ht="15" hidden="false" customHeight="false" outlineLevel="0" collapsed="false">
      <c r="A1091" s="48" t="s">
        <v>1994</v>
      </c>
      <c r="B1091" s="48" t="s">
        <v>1995</v>
      </c>
      <c r="C1091" s="48" t="s">
        <v>173</v>
      </c>
      <c r="D1091" s="48" t="s">
        <v>193</v>
      </c>
      <c r="E1091" s="48"/>
      <c r="F1091" s="48" t="s">
        <v>227</v>
      </c>
      <c r="G1091" s="49" t="n">
        <v>6.34</v>
      </c>
      <c r="H1091" s="50" t="n">
        <f aca="false">MAX(0,IF(AND(Parameter!$B$21="Ja",ISNUMBER(Y1091)),Y1091,IF(Parameter!$B$20="Jahresanfang 2025 + Export",BR1091+BQ1091,BQ1091)))</f>
        <v>86</v>
      </c>
      <c r="I1091" s="50" t="n">
        <f aca="false">H1091*G1091</f>
        <v>545.24</v>
      </c>
      <c r="J1091" s="50" t="n">
        <f aca="false">BT1091*Parameter!$B$18</f>
        <v>12</v>
      </c>
      <c r="K1091" s="51" t="n">
        <v>108</v>
      </c>
      <c r="L1091" s="52" t="n">
        <v>0.111111111111111</v>
      </c>
      <c r="M1091" s="50" t="n">
        <v>0</v>
      </c>
      <c r="N1091" s="50" t="n">
        <v>10</v>
      </c>
      <c r="O1091" s="53" t="n">
        <v>21</v>
      </c>
      <c r="P1091" s="48" t="s">
        <v>177</v>
      </c>
      <c r="Q1091" s="50"/>
      <c r="R1091" s="53" t="n">
        <f aca="false">IF(BZ1091=1,0,IFERROR(VLOOKUP(BX1091,'Gebinde-Kategorie'!$A$5:$N$45,13,0)+0,0))</f>
        <v>26</v>
      </c>
      <c r="S1091" s="54"/>
      <c r="T1091" s="55" t="s">
        <v>284</v>
      </c>
      <c r="U1091" s="55"/>
      <c r="V1091" s="55"/>
      <c r="W1091" s="48"/>
      <c r="X1091" s="50"/>
      <c r="Y1091" s="50"/>
      <c r="Z1091" s="48" t="n">
        <f aca="false">IF(A1091="","",IF(AND(Parameter!$B$21="Ja",ISNUMBER(W1091)),W1091,IF(CC1091="2+3",IF(ISNUMBER(SEARCH("grosser Artikel",BU1091)),2,IFERROR(VLOOKUP(BX1091,Parameter!$F$35:$G$64,2,0),2)),IF(OR(CC1091="Nein",CC1091=""),"-",CC1091))))</f>
        <v>3</v>
      </c>
      <c r="AA1091" s="55"/>
      <c r="AB1091" s="56"/>
      <c r="AC1091" s="50" t="n">
        <f aca="false">AV1091</f>
        <v>10</v>
      </c>
      <c r="AD1091" s="50" t="n">
        <f aca="false">MAX(AV1091,H1091)</f>
        <v>86</v>
      </c>
      <c r="AE1091" s="57"/>
      <c r="AF1091" s="50" t="n">
        <f aca="false">IF(LEFT(Cockpit!$C$5,1)="A",H1091,IF(Parameter!$E$30="MAX-Bestand",IF(CH1091=1,CI1091,IF(LEFT(Cockpit!$C$5,1)="B",AL1091,MAX(AL1091,H1091))),ROUNDUP(AJ1091,0)))</f>
        <v>86</v>
      </c>
      <c r="AG1091" s="50" t="n">
        <f aca="false">IF(BZ1091=1,0,ROUNDUP(AF1091/BY1091,0))</f>
        <v>1</v>
      </c>
      <c r="AH1091" s="52" t="n">
        <f aca="false">IF(CQ1091&gt;0,CQ1091*MAX(1,AF1091/X1091),IF(BZ1091=1,IF(AF1091&lt;=0,0,CD1091*MAX(1,IF(H1091&gt;0,AF1091/H1091,1))),IF(R1091&gt;0,AG1091/R1091,0))/MAX(0.1,N(Parameter!$M$21)))</f>
        <v>0.0384615384615385</v>
      </c>
      <c r="AI1091" s="50" t="n">
        <f aca="false">AH1091*CB1091</f>
        <v>5.96153846153846</v>
      </c>
      <c r="AJ1091" s="51" t="n">
        <f aca="false">IF(LEFT(Cockpit!$C$5,1)="A",H1091,IF(CH1091=1,(CK1091+CI1091)/2,IF(LEFT(Cockpit!$C$5,1)="B",(CK1091+AL1091)/2,MAX((CK1091+AL1091)/2,H1091))))</f>
        <v>86</v>
      </c>
      <c r="AK1091" s="50" t="n">
        <f aca="false">AJ1091*G1091</f>
        <v>545.24</v>
      </c>
      <c r="AL1091" s="50" t="n">
        <f aca="false">ROUNDUP(CK1091+MAX(CL1091,2*(J1091/IF(CG1091&gt;0,CG1091,MAX(0.1,N(Cockpit!$C$6)))-CK1091)),0)</f>
        <v>10</v>
      </c>
      <c r="AM1091" s="51" t="n">
        <f aca="false">IF(AI1091&gt;0,J1091/AI1091,-1)</f>
        <v>2.01290322580645</v>
      </c>
      <c r="AN1091" s="51" t="n">
        <f aca="false">IF(AND(OR(CF1091="L1",CF1091="L23",CF1091="LIFT"),AI1091&gt;0),SUMIFS($AI$7:$AI$1843,$CF$7:$CF$1843,CF1091,$AM$7:$AM$1843,"&gt;"&amp;AM1091)+SUMIFS($AI$7:$AI$1843,$CF$7:$CF$1843,CF1091,$AM$7:$AM$1843,AM1091,$BW$7:$BW$1843,"&lt;="&amp;BW1091),"")</f>
        <v>5822.14789377289</v>
      </c>
      <c r="AO1091" s="58" t="n">
        <f aca="false">IF(AN1091="",0,MAX(0,MIN(1,(IF(CF1091="L1",Parameter!$H$5,IF(CF1091="L23",Parameter!$H$6+Parameter!$H$7,Parameter!$H$5+Parameter!$H$6+Parameter!$H$7))-(AN1091-AI1091))/AI1091)))</f>
        <v>1</v>
      </c>
      <c r="AP1091" s="50" t="n">
        <f aca="false">IF(LEFT(Cockpit!$I$5,1)="A",H1091,IF(Parameter!$E$30="MAX-Bestand",IF(CH1091=1,CI1091,IF(LEFT(Cockpit!$I$5,1)="B",AV1091,MAX(AV1091,H1091))),ROUNDUP(AT1091,0)))</f>
        <v>86</v>
      </c>
      <c r="AQ1091" s="50" t="n">
        <f aca="false">IF(BZ1091=1,0,ROUNDUP(AP1091/BY1091,0))</f>
        <v>1</v>
      </c>
      <c r="AR1091" s="52" t="n">
        <f aca="false">IF(CQ1091&gt;0,CQ1091*MAX(1,AP1091/X1091),IF(BZ1091=1,IF(AP1091&lt;=0,0,CD1091*MAX(1,IF(H1091&gt;0,AP1091/H1091,1))),IF(R1091&gt;0,AQ1091/R1091,0))/MAX(0.1,N(Parameter!$M$21)))</f>
        <v>0.0384615384615385</v>
      </c>
      <c r="AS1091" s="50" t="n">
        <f aca="false">AR1091*CB1091</f>
        <v>5.96153846153846</v>
      </c>
      <c r="AT1091" s="51" t="n">
        <f aca="false">IF(LEFT(Cockpit!$I$5,1)="A",H1091,IF(CH1091=1,(CK1091+CI1091)/2,IF(LEFT(Cockpit!$I$5,1)="B",(CK1091+AV1091)/2,MAX((CK1091+AV1091)/2,H1091))))</f>
        <v>86</v>
      </c>
      <c r="AU1091" s="50" t="n">
        <f aca="false">AT1091*G1091</f>
        <v>545.24</v>
      </c>
      <c r="AV1091" s="50" t="n">
        <f aca="false">ROUNDUP(CK1091+MAX(CL1091,2*(J1091/IF(CG1091&gt;0,CG1091,MAX(0.1,N(Cockpit!$I$6)))-CK1091)),0)</f>
        <v>10</v>
      </c>
      <c r="AW1091" s="51" t="n">
        <f aca="false">IF(AS1091&gt;0,J1091/AS1091,-1)</f>
        <v>2.01290322580645</v>
      </c>
      <c r="AX1091" s="51" t="n">
        <f aca="false">IF(AND(OR(CF1091="L1",CF1091="L23",CF1091="LIFT"),AS1091&gt;0),SUMIFS($AS$7:$AS$1843,$CF$7:$CF$1843,CF1091,$AW$7:$AW$1843,"&gt;"&amp;AW1091)+SUMIFS($AS$7:$AS$1843,$CF$7:$CF$1843,CF1091,$AW$7:$AW$1843,AW1091,$BW$7:$BW$1843,"&lt;="&amp;BW1091),"")</f>
        <v>7190.08745421246</v>
      </c>
      <c r="AY1091" s="58" t="n">
        <f aca="false">IF(AX1091="",0,MAX(0,MIN(1,(IF(CF1091="L1",Parameter!$H$5,IF(CF1091="L23",Parameter!$H$6+Parameter!$H$7,Parameter!$H$5+Parameter!$H$6+Parameter!$H$7))-(AX1091-AS1091))/AS1091)))</f>
        <v>1</v>
      </c>
      <c r="AZ1091" s="50" t="n">
        <f aca="false">IF(LEFT(Cockpit!$O$5,1)="A",H1091,IF(Parameter!$E$30="MAX-Bestand",IF(CH1091=1,CI1091,IF(LEFT(Cockpit!$O$5,1)="B",BF1091,MAX(BF1091,H1091))),ROUNDUP(BD1091,0)))</f>
        <v>5</v>
      </c>
      <c r="BA1091" s="50" t="n">
        <f aca="false">IF(BZ1091=1,0,ROUNDUP(AZ1091/BY1091,0))</f>
        <v>1</v>
      </c>
      <c r="BB1091" s="52" t="n">
        <f aca="false">IF(CQ1091&gt;0,CQ1091*MAX(1,AZ1091/X1091),IF(BZ1091=1,IF(AZ1091&lt;=0,0,CD1091*MAX(1,IF(H1091&gt;0,AZ1091/H1091,1))),IF(R1091&gt;0,BA1091/R1091,0))/MAX(0.1,N(Parameter!$M$21)))</f>
        <v>0.0384615384615385</v>
      </c>
      <c r="BC1091" s="50" t="n">
        <f aca="false">BB1091*CB1091</f>
        <v>5.96153846153846</v>
      </c>
      <c r="BD1091" s="51" t="n">
        <f aca="false">IF(LEFT(Cockpit!$O$5,1)="A",H1091,IF(CH1091=1,(CK1091+CI1091)/2,IF(LEFT(Cockpit!$O$5,1)="B",(CK1091+BF1091)/2,MAX((CK1091+BF1091)/2,H1091))))</f>
        <v>5</v>
      </c>
      <c r="BE1091" s="50" t="n">
        <f aca="false">BD1091*G1091</f>
        <v>31.7</v>
      </c>
      <c r="BF1091" s="50" t="n">
        <f aca="false">ROUNDUP(CK1091+MAX(CL1091,2*(J1091/IF(CG1091&gt;0,CG1091,MAX(0.1,N(Cockpit!$O$6)))-CK1091)),0)</f>
        <v>10</v>
      </c>
      <c r="BG1091" s="51" t="n">
        <f aca="false">IF(BC1091&gt;0,J1091/BC1091,-1)</f>
        <v>2.01290322580645</v>
      </c>
      <c r="BH1091" s="51" t="n">
        <f aca="false">IF(AND(OR(CF1091="L1",CF1091="L23",CF1091="LIFT"),BC1091&gt;0),SUMIFS($BC$7:$BC$1843,$CF$7:$CF$1843,CF1091,$BG$7:$BG$1843,"&gt;"&amp;BG1091)+SUMIFS($BC$7:$BC$1843,$CF$7:$CF$1843,CF1091,$BG$7:$BG$1843,BG1091,$BW$7:$BW$1843,"&lt;="&amp;BW1091),"")</f>
        <v>5891.91987179487</v>
      </c>
      <c r="BI1091" s="58" t="n">
        <f aca="false">IF(BH1091="",0,MAX(0,MIN(1,(IF(CF1091="L1",Parameter!$H$5,IF(CF1091="L23",Parameter!$H$6+Parameter!$H$7,Parameter!$H$5+Parameter!$H$6+Parameter!$H$7))-(BH1091-BC1091))/BC1091)))</f>
        <v>1</v>
      </c>
      <c r="BJ1091" s="48" t="str">
        <f aca="false">IF(AI1091&lt;=0,"",IF(CF1091="Aussen","Aussenlager",IF(CF1091="-","Nicht im Lift",IF(AO1091&gt;=1,"Lift",IF(AO1091&lt;=0,"Aussenlager","teilweise")))))</f>
        <v>Lift</v>
      </c>
      <c r="BK1091" s="48" t="str">
        <f aca="false">IF(AS1091&lt;=0,"",IF(CF1091="Aussen","Aussenlager",IF(CF1091="-","Nicht im Lift",IF(AY1091&gt;=1,"Lift",IF(AY1091&lt;=0,"Aussenlager","teilweise")))))</f>
        <v>Lift</v>
      </c>
      <c r="BL1091" s="48" t="str">
        <f aca="false">IF(BC1091&lt;=0,"",IF(CF1091="Aussen","Aussenlager",IF(CF1091="-","Nicht im Lift",IF(BI1091&gt;=1,"Lift",IF(BI1091&lt;=0,"Aussenlager","teilweise")))))</f>
        <v>Lift</v>
      </c>
      <c r="BM1091" s="48" t="str">
        <f aca="false">IF(A1091="","",IF(BV1091=1,"Neu; ","")&amp;IF(AND(BV1091=0,BQ1091&lt;0),"negativer Bestand (Export "&amp;BQ1091&amp;"); ","")&amp;IF(J1091&lt;=0,"Kein Verbrauch; ","")&amp;IF(CQ1091&gt;0,"Lift "&amp;W1091&amp;" lt. Liftbericht (Fach "&amp;X1091&amp;" Stk); ",IF(CA1091=1,"Gebinde geschätzt ("&amp;T1091&amp;"); ",IF(BZ1091=1,"Lose – Tablare geschätzt; ","")))&amp;IF(H1091&gt;AV1091,"Überbestand "&amp;ROUND(H1091-AV1091,0)&amp;" Stk / CHF "&amp;ROUND((H1091-AV1091)*G1091,0)&amp;"; ","")&amp;IF(AND(CH1091=1,CI1091&lt;CJ1091),"MAX &lt; MB+LG; ","")&amp;IF(AND(CP1091&gt;0,CO1091*10&gt;CP1091),"zu hoch für Tablar; ","")&amp;IF(AND(BV1091=0,OR(CH1091=1,AA1091&lt;&gt;"",U1091&lt;&gt;"",V1091&lt;&gt;"",AB1091&lt;&gt;"")),"manuell übersteuert; ","")&amp;IF(AND(BZ1091=0,R1091=0),"Gebinde unbekannt / Stellmass fehlt; ","")&amp;IF(AND(BZ1091=0,N(V1091)&lt;=0,N(Q1091)&lt;=0),"Menge pro Gebinde fehlt (Ist = 1 Gebinde); ","")&amp;BU1091)</f>
        <v>negativer Bestand (Export -31); Gebinde geschätzt (Klein); Überbestand 76 Stk / CHF 482; Menge pro Gebinde fehlt (Ist = 1 Gebinde); </v>
      </c>
      <c r="BN1091" s="48"/>
      <c r="BO1091" s="48"/>
      <c r="BP1091" s="55"/>
      <c r="BQ1091" s="50" t="n">
        <v>-31</v>
      </c>
      <c r="BR1091" s="50" t="n">
        <v>117</v>
      </c>
      <c r="BS1091" s="49" t="n">
        <v>-196.54</v>
      </c>
      <c r="BT1091" s="50" t="n">
        <v>12</v>
      </c>
      <c r="BU1091" s="48"/>
      <c r="BV1091" s="53" t="n">
        <v>0</v>
      </c>
      <c r="BW1091" s="53" t="n">
        <v>1091</v>
      </c>
      <c r="BX1091" s="48" t="str">
        <f aca="false">IF(U1091&lt;&gt;"",UPPER(TRIM(U1091)),IF(CA1091=1,UPPER(VLOOKUP(T1091,Parameter!$I$27:$K$29,2,0)),IF(P1091="","LOSE",P1091)))</f>
        <v>S51</v>
      </c>
      <c r="BY1091" s="50" t="n">
        <f aca="false">IF(BX1091="LOSE",1,IF(N(V1091)&gt;0,V1091,IF(CA1091=1,MAX(1,N(VLOOKUP(T1091,Parameter!$I$27:$K$29,3,0)),H1091,N(N1091)),IF(N(Q1091)&gt;0,Q1091,MAX(1,H1091)))))</f>
        <v>86</v>
      </c>
      <c r="BZ1091" s="53" t="n">
        <f aca="false">IF(BX1091="LOSE",1,0)</f>
        <v>0</v>
      </c>
      <c r="CA1091" s="53" t="n">
        <f aca="false">IF(AND(U1091="",OR(P1091="",P1091="LOSE"),T1091&lt;&gt;"",N(S1091)&lt;=0,ISNUMBER(MATCH(T1091,Parameter!$I$27:$I$29,0))),1,0)</f>
        <v>1</v>
      </c>
      <c r="CB1091" s="53" t="n">
        <f aca="false">IF(CQ1091&gt;0,INDEX(Parameter!$H$5:$H$7,W1091)/INDEX(Parameter!$E$5:$E$7,W1091),IF(AND(BZ1091=0,N(IFERROR(VLOOKUP(BX1091,'Gebinde-Kategorie'!$A$5:$N$45,14,0),0))&gt;0),VLOOKUP(BX1091,'Gebinde-Kategorie'!$A$5:$N$45,14,0)*10+Parameter!$M$23,Parameter!$M$24))</f>
        <v>155</v>
      </c>
      <c r="CC1091" s="48" t="str">
        <f aca="false">IF(AND(Parameter!$B$19="Ja",E1091&lt;&gt;"",ISNUMBER(MATCH(E1091,Parameter!$I$35:$I$52,0))),VLOOKUP(E1091,Parameter!$I$35:$J$52,2,0),IFERROR(VLOOKUP(D1091,Parameter!$A$35:$C$64,2,0),"Nein"))</f>
        <v>2+3</v>
      </c>
      <c r="CD1091" s="52" t="n">
        <f aca="false">IF(BZ1091=0,0,IF(N(S1091)&gt;0,S1091,IFERROR(VLOOKUP(D1091,Parameter!$A$35:$C$64,3,0)+0,0)))</f>
        <v>0</v>
      </c>
      <c r="CE1091" s="48" t="n">
        <f aca="false">IF(AA1091&lt;&gt;"",AA1091,Z1091)</f>
        <v>3</v>
      </c>
      <c r="CF1091" s="48" t="str">
        <f aca="false">IF(OR(CE1091=1,CE1091=2,CE1091=3),IF(Parameter!$E$27="Ja","LIFT",IF(CE1091=1,"L1","L23")),IF(CE1091="Aussen","Aussen","-"))</f>
        <v>LIFT</v>
      </c>
      <c r="CG1091" s="59" t="n">
        <f aca="false">IF(N(AB1091)&gt;0,AB1091,0)</f>
        <v>0</v>
      </c>
      <c r="CH1091" s="53" t="n">
        <f aca="false">IF(ISNUMBER(AE1091),1,0)</f>
        <v>0</v>
      </c>
      <c r="CI1091" s="50" t="n">
        <f aca="false">N(AE1091)</f>
        <v>0</v>
      </c>
      <c r="CJ1091" s="50" t="n">
        <f aca="false">N(M1091)+N(N1091)</f>
        <v>10</v>
      </c>
      <c r="CK1091" s="50" t="n">
        <f aca="false">N(M1091)</f>
        <v>0</v>
      </c>
      <c r="CL1091" s="50" t="n">
        <f aca="false">N(N1091)</f>
        <v>10</v>
      </c>
      <c r="CM1091" s="50" t="n">
        <f aca="false">ROUNDUP(H1091/BY1091,0)</f>
        <v>1</v>
      </c>
      <c r="CN1091" s="50" t="n">
        <f aca="false">ROUNDUP(CI1091/BY1091,0)</f>
        <v>0</v>
      </c>
      <c r="CO1091" s="53" t="n">
        <f aca="false">IF(BZ1091=1,0,IFERROR(VLOOKUP(BX1091,'Gebinde-Kategorie'!$A$5:$N$45,5,0)+0,0))</f>
        <v>11</v>
      </c>
      <c r="CP1091" s="53" t="n">
        <f aca="false">IFERROR(IF(OR(CE1091=1,CE1091=2,CE1091=3),N(INDEX(Parameter!$I$5:$I$7,CE1091)),0),0)</f>
        <v>0</v>
      </c>
      <c r="CQ1091" s="52" t="n">
        <f aca="false">IF(AND(Parameter!$B$21="Ja",ISNUMBER(W1091),N(X1091)&gt;0),IFERROR(N(INDEX(Parameter!$L$5:$L$7,W1091))*INDEX(Parameter!$E$5:$E$7,W1091)*X1091/SUMIFS($X$7:$X$1843,$W$7:$W$1843,W1091),0),0)</f>
        <v>0</v>
      </c>
    </row>
    <row r="1092" customFormat="false" ht="15" hidden="false" customHeight="false" outlineLevel="0" collapsed="false">
      <c r="A1092" s="48" t="s">
        <v>1996</v>
      </c>
      <c r="B1092" s="48" t="s">
        <v>864</v>
      </c>
      <c r="C1092" s="48" t="s">
        <v>173</v>
      </c>
      <c r="D1092" s="48" t="s">
        <v>193</v>
      </c>
      <c r="E1092" s="48"/>
      <c r="F1092" s="48" t="s">
        <v>227</v>
      </c>
      <c r="G1092" s="49" t="n">
        <v>0.27</v>
      </c>
      <c r="H1092" s="50" t="n">
        <f aca="false">MAX(0,IF(AND(Parameter!$B$21="Ja",ISNUMBER(Y1092)),Y1092,IF(Parameter!$B$20="Jahresanfang 2025 + Export",BR1092+BQ1092,BQ1092)))</f>
        <v>0</v>
      </c>
      <c r="I1092" s="50" t="n">
        <f aca="false">H1092*G1092</f>
        <v>0</v>
      </c>
      <c r="J1092" s="50" t="n">
        <f aca="false">BT1092*Parameter!$B$18</f>
        <v>735</v>
      </c>
      <c r="K1092" s="51" t="n">
        <v>367.5</v>
      </c>
      <c r="L1092" s="52" t="n">
        <v>2</v>
      </c>
      <c r="M1092" s="50" t="n">
        <v>0</v>
      </c>
      <c r="N1092" s="50" t="n">
        <v>100</v>
      </c>
      <c r="O1092" s="53" t="n">
        <v>14</v>
      </c>
      <c r="P1092" s="48" t="s">
        <v>177</v>
      </c>
      <c r="Q1092" s="50"/>
      <c r="R1092" s="53" t="n">
        <f aca="false">IF(BZ1092=1,0,IFERROR(VLOOKUP(BX1092,'Gebinde-Kategorie'!$A$5:$N$45,13,0)+0,0))</f>
        <v>26</v>
      </c>
      <c r="S1092" s="54"/>
      <c r="T1092" s="55" t="s">
        <v>284</v>
      </c>
      <c r="U1092" s="55"/>
      <c r="V1092" s="55"/>
      <c r="W1092" s="48"/>
      <c r="X1092" s="50"/>
      <c r="Y1092" s="50"/>
      <c r="Z1092" s="48" t="n">
        <f aca="false">IF(A1092="","",IF(AND(Parameter!$B$21="Ja",ISNUMBER(W1092)),W1092,IF(CC1092="2+3",IF(ISNUMBER(SEARCH("grosser Artikel",BU1092)),2,IFERROR(VLOOKUP(BX1092,Parameter!$F$35:$G$64,2,0),2)),IF(OR(CC1092="Nein",CC1092=""),"-",CC1092))))</f>
        <v>3</v>
      </c>
      <c r="AA1092" s="55"/>
      <c r="AB1092" s="56"/>
      <c r="AC1092" s="50" t="n">
        <f aca="false">AV1092</f>
        <v>490</v>
      </c>
      <c r="AD1092" s="50" t="n">
        <f aca="false">MAX(AV1092,H1092)</f>
        <v>490</v>
      </c>
      <c r="AE1092" s="57"/>
      <c r="AF1092" s="50" t="n">
        <f aca="false">IF(LEFT(Cockpit!$C$5,1)="A",H1092,IF(Parameter!$E$30="MAX-Bestand",IF(CH1092=1,CI1092,IF(LEFT(Cockpit!$C$5,1)="B",AL1092,MAX(AL1092,H1092))),ROUNDUP(AJ1092,0)))</f>
        <v>0</v>
      </c>
      <c r="AG1092" s="50" t="n">
        <f aca="false">IF(BZ1092=1,0,ROUNDUP(AF1092/BY1092,0))</f>
        <v>0</v>
      </c>
      <c r="AH1092" s="52" t="n">
        <f aca="false">IF(CQ1092&gt;0,CQ1092*MAX(1,AF1092/X1092),IF(BZ1092=1,IF(AF1092&lt;=0,0,CD1092*MAX(1,IF(H1092&gt;0,AF1092/H1092,1))),IF(R1092&gt;0,AG1092/R1092,0))/MAX(0.1,N(Parameter!$M$21)))</f>
        <v>0</v>
      </c>
      <c r="AI1092" s="50" t="n">
        <f aca="false">AH1092*CB1092</f>
        <v>0</v>
      </c>
      <c r="AJ1092" s="51" t="n">
        <f aca="false">IF(LEFT(Cockpit!$C$5,1)="A",H1092,IF(CH1092=1,(CK1092+CI1092)/2,IF(LEFT(Cockpit!$C$5,1)="B",(CK1092+AL1092)/2,MAX((CK1092+AL1092)/2,H1092))))</f>
        <v>0</v>
      </c>
      <c r="AK1092" s="50" t="n">
        <f aca="false">AJ1092*G1092</f>
        <v>0</v>
      </c>
      <c r="AL1092" s="50" t="n">
        <f aca="false">ROUNDUP(CK1092+MAX(CL1092,2*(J1092/IF(CG1092&gt;0,CG1092,MAX(0.1,N(Cockpit!$C$6)))-CK1092)),0)</f>
        <v>490</v>
      </c>
      <c r="AM1092" s="51" t="n">
        <f aca="false">IF(AI1092&gt;0,J1092/AI1092,-1)</f>
        <v>-1</v>
      </c>
      <c r="AN1092" s="51" t="str">
        <f aca="false">IF(AND(OR(CF1092="L1",CF1092="L23",CF1092="LIFT"),AI1092&gt;0),SUMIFS($AI$7:$AI$1843,$CF$7:$CF$1843,CF1092,$AM$7:$AM$1843,"&gt;"&amp;AM1092)+SUMIFS($AI$7:$AI$1843,$CF$7:$CF$1843,CF1092,$AM$7:$AM$1843,AM1092,$BW$7:$BW$1843,"&lt;="&amp;BW1092),"")</f>
        <v/>
      </c>
      <c r="AO1092" s="58" t="n">
        <f aca="false">IF(AN1092="",0,MAX(0,MIN(1,(IF(CF1092="L1",Parameter!$H$5,IF(CF1092="L23",Parameter!$H$6+Parameter!$H$7,Parameter!$H$5+Parameter!$H$6+Parameter!$H$7))-(AN1092-AI1092))/AI1092)))</f>
        <v>0</v>
      </c>
      <c r="AP1092" s="50" t="n">
        <f aca="false">IF(LEFT(Cockpit!$I$5,1)="A",H1092,IF(Parameter!$E$30="MAX-Bestand",IF(CH1092=1,CI1092,IF(LEFT(Cockpit!$I$5,1)="B",AV1092,MAX(AV1092,H1092))),ROUNDUP(AT1092,0)))</f>
        <v>245</v>
      </c>
      <c r="AQ1092" s="50" t="n">
        <f aca="false">IF(BZ1092=1,0,ROUNDUP(AP1092/BY1092,0))</f>
        <v>3</v>
      </c>
      <c r="AR1092" s="52" t="n">
        <f aca="false">IF(CQ1092&gt;0,CQ1092*MAX(1,AP1092/X1092),IF(BZ1092=1,IF(AP1092&lt;=0,0,CD1092*MAX(1,IF(H1092&gt;0,AP1092/H1092,1))),IF(R1092&gt;0,AQ1092/R1092,0))/MAX(0.1,N(Parameter!$M$21)))</f>
        <v>0.115384615384615</v>
      </c>
      <c r="AS1092" s="50" t="n">
        <f aca="false">AR1092*CB1092</f>
        <v>17.8846153846154</v>
      </c>
      <c r="AT1092" s="51" t="n">
        <f aca="false">IF(LEFT(Cockpit!$I$5,1)="A",H1092,IF(CH1092=1,(CK1092+CI1092)/2,IF(LEFT(Cockpit!$I$5,1)="B",(CK1092+AV1092)/2,MAX((CK1092+AV1092)/2,H1092))))</f>
        <v>245</v>
      </c>
      <c r="AU1092" s="50" t="n">
        <f aca="false">AT1092*G1092</f>
        <v>66.15</v>
      </c>
      <c r="AV1092" s="50" t="n">
        <f aca="false">ROUNDUP(CK1092+MAX(CL1092,2*(J1092/IF(CG1092&gt;0,CG1092,MAX(0.1,N(Cockpit!$I$6)))-CK1092)),0)</f>
        <v>490</v>
      </c>
      <c r="AW1092" s="51" t="n">
        <f aca="false">IF(AS1092&gt;0,J1092/AS1092,-1)</f>
        <v>41.0967741935484</v>
      </c>
      <c r="AX1092" s="51" t="n">
        <f aca="false">IF(AND(OR(CF1092="L1",CF1092="L23",CF1092="LIFT"),AS1092&gt;0),SUMIFS($AS$7:$AS$1843,$CF$7:$CF$1843,CF1092,$AW$7:$AW$1843,"&gt;"&amp;AW1092)+SUMIFS($AS$7:$AS$1843,$CF$7:$CF$1843,CF1092,$AW$7:$AW$1843,AW1092,$BW$7:$BW$1843,"&lt;="&amp;BW1092),"")</f>
        <v>1503.05173992674</v>
      </c>
      <c r="AY1092" s="58" t="n">
        <f aca="false">IF(AX1092="",0,MAX(0,MIN(1,(IF(CF1092="L1",Parameter!$H$5,IF(CF1092="L23",Parameter!$H$6+Parameter!$H$7,Parameter!$H$5+Parameter!$H$6+Parameter!$H$7))-(AX1092-AS1092))/AS1092)))</f>
        <v>1</v>
      </c>
      <c r="AZ1092" s="50" t="n">
        <f aca="false">IF(LEFT(Cockpit!$O$5,1)="A",H1092,IF(Parameter!$E$30="MAX-Bestand",IF(CH1092=1,CI1092,IF(LEFT(Cockpit!$O$5,1)="B",BF1092,MAX(BF1092,H1092))),ROUNDUP(BD1092,0)))</f>
        <v>184</v>
      </c>
      <c r="BA1092" s="50" t="n">
        <f aca="false">IF(BZ1092=1,0,ROUNDUP(AZ1092/BY1092,0))</f>
        <v>2</v>
      </c>
      <c r="BB1092" s="52" t="n">
        <f aca="false">IF(CQ1092&gt;0,CQ1092*MAX(1,AZ1092/X1092),IF(BZ1092=1,IF(AZ1092&lt;=0,0,CD1092*MAX(1,IF(H1092&gt;0,AZ1092/H1092,1))),IF(R1092&gt;0,BA1092/R1092,0))/MAX(0.1,N(Parameter!$M$21)))</f>
        <v>0.0769230769230769</v>
      </c>
      <c r="BC1092" s="50" t="n">
        <f aca="false">BB1092*CB1092</f>
        <v>11.9230769230769</v>
      </c>
      <c r="BD1092" s="51" t="n">
        <f aca="false">IF(LEFT(Cockpit!$O$5,1)="A",H1092,IF(CH1092=1,(CK1092+CI1092)/2,IF(LEFT(Cockpit!$O$5,1)="B",(CK1092+BF1092)/2,MAX((CK1092+BF1092)/2,H1092))))</f>
        <v>184</v>
      </c>
      <c r="BE1092" s="50" t="n">
        <f aca="false">BD1092*G1092</f>
        <v>49.68</v>
      </c>
      <c r="BF1092" s="50" t="n">
        <f aca="false">ROUNDUP(CK1092+MAX(CL1092,2*(J1092/IF(CG1092&gt;0,CG1092,MAX(0.1,N(Cockpit!$O$6)))-CK1092)),0)</f>
        <v>368</v>
      </c>
      <c r="BG1092" s="51" t="n">
        <f aca="false">IF(BC1092&gt;0,J1092/BC1092,-1)</f>
        <v>61.6451612903226</v>
      </c>
      <c r="BH1092" s="51" t="n">
        <f aca="false">IF(AND(OR(CF1092="L1",CF1092="L23",CF1092="LIFT"),BC1092&gt;0),SUMIFS($BC$7:$BC$1843,$CF$7:$CF$1843,CF1092,$BG$7:$BG$1843,"&gt;"&amp;BG1092)+SUMIFS($BC$7:$BC$1843,$CF$7:$CF$1843,CF1092,$BG$7:$BG$1843,BG1092,$BW$7:$BW$1843,"&lt;="&amp;BW1092),"")</f>
        <v>1099.08882783883</v>
      </c>
      <c r="BI1092" s="58" t="n">
        <f aca="false">IF(BH1092="",0,MAX(0,MIN(1,(IF(CF1092="L1",Parameter!$H$5,IF(CF1092="L23",Parameter!$H$6+Parameter!$H$7,Parameter!$H$5+Parameter!$H$6+Parameter!$H$7))-(BH1092-BC1092))/BC1092)))</f>
        <v>1</v>
      </c>
      <c r="BJ1092" s="48" t="str">
        <f aca="false">IF(AI1092&lt;=0,"",IF(CF1092="Aussen","Aussenlager",IF(CF1092="-","Nicht im Lift",IF(AO1092&gt;=1,"Lift",IF(AO1092&lt;=0,"Aussenlager","teilweise")))))</f>
        <v/>
      </c>
      <c r="BK1092" s="48" t="str">
        <f aca="false">IF(AS1092&lt;=0,"",IF(CF1092="Aussen","Aussenlager",IF(CF1092="-","Nicht im Lift",IF(AY1092&gt;=1,"Lift",IF(AY1092&lt;=0,"Aussenlager","teilweise")))))</f>
        <v>Lift</v>
      </c>
      <c r="BL1092" s="48" t="str">
        <f aca="false">IF(BC1092&lt;=0,"",IF(CF1092="Aussen","Aussenlager",IF(CF1092="-","Nicht im Lift",IF(BI1092&gt;=1,"Lift",IF(BI1092&lt;=0,"Aussenlager","teilweise")))))</f>
        <v>Lift</v>
      </c>
      <c r="BM1092" s="48" t="str">
        <f aca="false">IF(A1092="","",IF(BV1092=1,"Neu; ","")&amp;IF(AND(BV1092=0,BQ1092&lt;0),"negativer Bestand (Export "&amp;BQ1092&amp;"); ","")&amp;IF(J1092&lt;=0,"Kein Verbrauch; ","")&amp;IF(CQ1092&gt;0,"Lift "&amp;W1092&amp;" lt. Liftbericht (Fach "&amp;X1092&amp;" Stk); ",IF(CA1092=1,"Gebinde geschätzt ("&amp;T1092&amp;"); ",IF(BZ1092=1,"Lose – Tablare geschätzt; ","")))&amp;IF(H1092&gt;AV1092,"Überbestand "&amp;ROUND(H1092-AV1092,0)&amp;" Stk / CHF "&amp;ROUND((H1092-AV1092)*G1092,0)&amp;"; ","")&amp;IF(AND(CH1092=1,CI1092&lt;CJ1092),"MAX &lt; MB+LG; ","")&amp;IF(AND(CP1092&gt;0,CO1092*10&gt;CP1092),"zu hoch für Tablar; ","")&amp;IF(AND(BV1092=0,OR(CH1092=1,AA1092&lt;&gt;"",U1092&lt;&gt;"",V1092&lt;&gt;"",AB1092&lt;&gt;"")),"manuell übersteuert; ","")&amp;IF(AND(BZ1092=0,R1092=0),"Gebinde unbekannt / Stellmass fehlt; ","")&amp;IF(AND(BZ1092=0,N(V1092)&lt;=0,N(Q1092)&lt;=0),"Menge pro Gebinde fehlt (Ist = 1 Gebinde); ","")&amp;BU1092)</f>
        <v>negativer Bestand (Export -735); Gebinde geschätzt (Klein); Menge pro Gebinde fehlt (Ist = 1 Gebinde); </v>
      </c>
      <c r="BN1092" s="48"/>
      <c r="BO1092" s="48"/>
      <c r="BP1092" s="55"/>
      <c r="BQ1092" s="50" t="n">
        <v>-735</v>
      </c>
      <c r="BR1092" s="50" t="n">
        <v>735</v>
      </c>
      <c r="BS1092" s="49" t="n">
        <v>-198.45</v>
      </c>
      <c r="BT1092" s="50" t="n">
        <v>735</v>
      </c>
      <c r="BU1092" s="48"/>
      <c r="BV1092" s="53" t="n">
        <v>0</v>
      </c>
      <c r="BW1092" s="53" t="n">
        <v>1092</v>
      </c>
      <c r="BX1092" s="48" t="str">
        <f aca="false">IF(U1092&lt;&gt;"",UPPER(TRIM(U1092)),IF(CA1092=1,UPPER(VLOOKUP(T1092,Parameter!$I$27:$K$29,2,0)),IF(P1092="","LOSE",P1092)))</f>
        <v>S51</v>
      </c>
      <c r="BY1092" s="50" t="n">
        <f aca="false">IF(BX1092="LOSE",1,IF(N(V1092)&gt;0,V1092,IF(CA1092=1,MAX(1,N(VLOOKUP(T1092,Parameter!$I$27:$K$29,3,0)),H1092,N(N1092)),IF(N(Q1092)&gt;0,Q1092,MAX(1,H1092)))))</f>
        <v>100</v>
      </c>
      <c r="BZ1092" s="53" t="n">
        <f aca="false">IF(BX1092="LOSE",1,0)</f>
        <v>0</v>
      </c>
      <c r="CA1092" s="53" t="n">
        <f aca="false">IF(AND(U1092="",OR(P1092="",P1092="LOSE"),T1092&lt;&gt;"",N(S1092)&lt;=0,ISNUMBER(MATCH(T1092,Parameter!$I$27:$I$29,0))),1,0)</f>
        <v>1</v>
      </c>
      <c r="CB1092" s="53" t="n">
        <f aca="false">IF(CQ1092&gt;0,INDEX(Parameter!$H$5:$H$7,W1092)/INDEX(Parameter!$E$5:$E$7,W1092),IF(AND(BZ1092=0,N(IFERROR(VLOOKUP(BX1092,'Gebinde-Kategorie'!$A$5:$N$45,14,0),0))&gt;0),VLOOKUP(BX1092,'Gebinde-Kategorie'!$A$5:$N$45,14,0)*10+Parameter!$M$23,Parameter!$M$24))</f>
        <v>155</v>
      </c>
      <c r="CC1092" s="48" t="str">
        <f aca="false">IF(AND(Parameter!$B$19="Ja",E1092&lt;&gt;"",ISNUMBER(MATCH(E1092,Parameter!$I$35:$I$52,0))),VLOOKUP(E1092,Parameter!$I$35:$J$52,2,0),IFERROR(VLOOKUP(D1092,Parameter!$A$35:$C$64,2,0),"Nein"))</f>
        <v>2+3</v>
      </c>
      <c r="CD1092" s="52" t="n">
        <f aca="false">IF(BZ1092=0,0,IF(N(S1092)&gt;0,S1092,IFERROR(VLOOKUP(D1092,Parameter!$A$35:$C$64,3,0)+0,0)))</f>
        <v>0</v>
      </c>
      <c r="CE1092" s="48" t="n">
        <f aca="false">IF(AA1092&lt;&gt;"",AA1092,Z1092)</f>
        <v>3</v>
      </c>
      <c r="CF1092" s="48" t="str">
        <f aca="false">IF(OR(CE1092=1,CE1092=2,CE1092=3),IF(Parameter!$E$27="Ja","LIFT",IF(CE1092=1,"L1","L23")),IF(CE1092="Aussen","Aussen","-"))</f>
        <v>LIFT</v>
      </c>
      <c r="CG1092" s="59" t="n">
        <f aca="false">IF(N(AB1092)&gt;0,AB1092,0)</f>
        <v>0</v>
      </c>
      <c r="CH1092" s="53" t="n">
        <f aca="false">IF(ISNUMBER(AE1092),1,0)</f>
        <v>0</v>
      </c>
      <c r="CI1092" s="50" t="n">
        <f aca="false">N(AE1092)</f>
        <v>0</v>
      </c>
      <c r="CJ1092" s="50" t="n">
        <f aca="false">N(M1092)+N(N1092)</f>
        <v>100</v>
      </c>
      <c r="CK1092" s="50" t="n">
        <f aca="false">N(M1092)</f>
        <v>0</v>
      </c>
      <c r="CL1092" s="50" t="n">
        <f aca="false">N(N1092)</f>
        <v>100</v>
      </c>
      <c r="CM1092" s="50" t="n">
        <f aca="false">ROUNDUP(H1092/BY1092,0)</f>
        <v>0</v>
      </c>
      <c r="CN1092" s="50" t="n">
        <f aca="false">ROUNDUP(CI1092/BY1092,0)</f>
        <v>0</v>
      </c>
      <c r="CO1092" s="53" t="n">
        <f aca="false">IF(BZ1092=1,0,IFERROR(VLOOKUP(BX1092,'Gebinde-Kategorie'!$A$5:$N$45,5,0)+0,0))</f>
        <v>11</v>
      </c>
      <c r="CP1092" s="53" t="n">
        <f aca="false">IFERROR(IF(OR(CE1092=1,CE1092=2,CE1092=3),N(INDEX(Parameter!$I$5:$I$7,CE1092)),0),0)</f>
        <v>0</v>
      </c>
      <c r="CQ1092" s="52" t="n">
        <f aca="false">IF(AND(Parameter!$B$21="Ja",ISNUMBER(W1092),N(X1092)&gt;0),IFERROR(N(INDEX(Parameter!$L$5:$L$7,W1092))*INDEX(Parameter!$E$5:$E$7,W1092)*X1092/SUMIFS($X$7:$X$1843,$W$7:$W$1843,W1092),0),0)</f>
        <v>0</v>
      </c>
    </row>
    <row r="1093" customFormat="false" ht="15" hidden="false" customHeight="false" outlineLevel="0" collapsed="false">
      <c r="A1093" s="48" t="s">
        <v>1997</v>
      </c>
      <c r="B1093" s="48" t="s">
        <v>1998</v>
      </c>
      <c r="C1093" s="48" t="s">
        <v>173</v>
      </c>
      <c r="D1093" s="48" t="s">
        <v>193</v>
      </c>
      <c r="E1093" s="48" t="s">
        <v>194</v>
      </c>
      <c r="F1093" s="48" t="s">
        <v>227</v>
      </c>
      <c r="G1093" s="49" t="n">
        <v>74.34</v>
      </c>
      <c r="H1093" s="50" t="n">
        <f aca="false">MAX(0,IF(AND(Parameter!$B$21="Ja",ISNUMBER(Y1093)),Y1093,IF(Parameter!$B$20="Jahresanfang 2025 + Export",BR1093+BQ1093,BQ1093)))</f>
        <v>4</v>
      </c>
      <c r="I1093" s="50" t="n">
        <f aca="false">H1093*G1093</f>
        <v>297.36</v>
      </c>
      <c r="J1093" s="50" t="n">
        <f aca="false">BT1093*Parameter!$B$18</f>
        <v>4</v>
      </c>
      <c r="K1093" s="51" t="n">
        <v>5</v>
      </c>
      <c r="L1093" s="52" t="n">
        <v>0.8</v>
      </c>
      <c r="M1093" s="50" t="n">
        <v>0</v>
      </c>
      <c r="N1093" s="50" t="n">
        <v>5</v>
      </c>
      <c r="O1093" s="53" t="n">
        <v>21</v>
      </c>
      <c r="P1093" s="48" t="s">
        <v>430</v>
      </c>
      <c r="Q1093" s="50" t="n">
        <v>4</v>
      </c>
      <c r="R1093" s="53" t="n">
        <f aca="false">IF(BZ1093=1,0,IFERROR(VLOOKUP(BX1093,'Gebinde-Kategorie'!$A$5:$N$45,13,0)+0,0))</f>
        <v>104</v>
      </c>
      <c r="S1093" s="54"/>
      <c r="T1093" s="55"/>
      <c r="U1093" s="55"/>
      <c r="V1093" s="55"/>
      <c r="W1093" s="48"/>
      <c r="X1093" s="50"/>
      <c r="Y1093" s="50"/>
      <c r="Z1093" s="48" t="n">
        <f aca="false">IF(A1093="","",IF(AND(Parameter!$B$21="Ja",ISNUMBER(W1093)),W1093,IF(CC1093="2+3",IF(ISNUMBER(SEARCH("grosser Artikel",BU1093)),2,IFERROR(VLOOKUP(BX1093,Parameter!$F$35:$G$64,2,0),2)),IF(OR(CC1093="Nein",CC1093=""),"-",CC1093))))</f>
        <v>3</v>
      </c>
      <c r="AA1093" s="55"/>
      <c r="AB1093" s="56"/>
      <c r="AC1093" s="50" t="n">
        <f aca="false">AV1093</f>
        <v>5</v>
      </c>
      <c r="AD1093" s="50" t="n">
        <f aca="false">MAX(AV1093,H1093)</f>
        <v>5</v>
      </c>
      <c r="AE1093" s="57"/>
      <c r="AF1093" s="50" t="n">
        <f aca="false">IF(LEFT(Cockpit!$C$5,1)="A",H1093,IF(Parameter!$E$30="MAX-Bestand",IF(CH1093=1,CI1093,IF(LEFT(Cockpit!$C$5,1)="B",AL1093,MAX(AL1093,H1093))),ROUNDUP(AJ1093,0)))</f>
        <v>4</v>
      </c>
      <c r="AG1093" s="50" t="n">
        <f aca="false">IF(BZ1093=1,0,ROUNDUP(AF1093/BY1093,0))</f>
        <v>1</v>
      </c>
      <c r="AH1093" s="52" t="n">
        <f aca="false">IF(CQ1093&gt;0,CQ1093*MAX(1,AF1093/X1093),IF(BZ1093=1,IF(AF1093&lt;=0,0,CD1093*MAX(1,IF(H1093&gt;0,AF1093/H1093,1))),IF(R1093&gt;0,AG1093/R1093,0))/MAX(0.1,N(Parameter!$M$21)))</f>
        <v>0.00961538461538462</v>
      </c>
      <c r="AI1093" s="50" t="n">
        <f aca="false">AH1093*CB1093</f>
        <v>1.49038461538462</v>
      </c>
      <c r="AJ1093" s="51" t="n">
        <f aca="false">IF(LEFT(Cockpit!$C$5,1)="A",H1093,IF(CH1093=1,(CK1093+CI1093)/2,IF(LEFT(Cockpit!$C$5,1)="B",(CK1093+AL1093)/2,MAX((CK1093+AL1093)/2,H1093))))</f>
        <v>4</v>
      </c>
      <c r="AK1093" s="50" t="n">
        <f aca="false">AJ1093*G1093</f>
        <v>297.36</v>
      </c>
      <c r="AL1093" s="50" t="n">
        <f aca="false">ROUNDUP(CK1093+MAX(CL1093,2*(J1093/IF(CG1093&gt;0,CG1093,MAX(0.1,N(Cockpit!$C$6)))-CK1093)),0)</f>
        <v>5</v>
      </c>
      <c r="AM1093" s="51" t="n">
        <f aca="false">IF(AI1093&gt;0,J1093/AI1093,-1)</f>
        <v>2.68387096774194</v>
      </c>
      <c r="AN1093" s="51" t="n">
        <f aca="false">IF(AND(OR(CF1093="L1",CF1093="L23",CF1093="LIFT"),AI1093&gt;0),SUMIFS($AI$7:$AI$1843,$CF$7:$CF$1843,CF1093,$AM$7:$AM$1843,"&gt;"&amp;AM1093)+SUMIFS($AI$7:$AI$1843,$CF$7:$CF$1843,CF1093,$AM$7:$AM$1843,AM1093,$BW$7:$BW$1843,"&lt;="&amp;BW1093),"")</f>
        <v>5342.83287545788</v>
      </c>
      <c r="AO1093" s="58" t="n">
        <f aca="false">IF(AN1093="",0,MAX(0,MIN(1,(IF(CF1093="L1",Parameter!$H$5,IF(CF1093="L23",Parameter!$H$6+Parameter!$H$7,Parameter!$H$5+Parameter!$H$6+Parameter!$H$7))-(AN1093-AI1093))/AI1093)))</f>
        <v>1</v>
      </c>
      <c r="AP1093" s="50" t="n">
        <f aca="false">IF(LEFT(Cockpit!$I$5,1)="A",H1093,IF(Parameter!$E$30="MAX-Bestand",IF(CH1093=1,CI1093,IF(LEFT(Cockpit!$I$5,1)="B",AV1093,MAX(AV1093,H1093))),ROUNDUP(AT1093,0)))</f>
        <v>4</v>
      </c>
      <c r="AQ1093" s="50" t="n">
        <f aca="false">IF(BZ1093=1,0,ROUNDUP(AP1093/BY1093,0))</f>
        <v>1</v>
      </c>
      <c r="AR1093" s="52" t="n">
        <f aca="false">IF(CQ1093&gt;0,CQ1093*MAX(1,AP1093/X1093),IF(BZ1093=1,IF(AP1093&lt;=0,0,CD1093*MAX(1,IF(H1093&gt;0,AP1093/H1093,1))),IF(R1093&gt;0,AQ1093/R1093,0))/MAX(0.1,N(Parameter!$M$21)))</f>
        <v>0.00961538461538462</v>
      </c>
      <c r="AS1093" s="50" t="n">
        <f aca="false">AR1093*CB1093</f>
        <v>1.49038461538462</v>
      </c>
      <c r="AT1093" s="51" t="n">
        <f aca="false">IF(LEFT(Cockpit!$I$5,1)="A",H1093,IF(CH1093=1,(CK1093+CI1093)/2,IF(LEFT(Cockpit!$I$5,1)="B",(CK1093+AV1093)/2,MAX((CK1093+AV1093)/2,H1093))))</f>
        <v>4</v>
      </c>
      <c r="AU1093" s="50" t="n">
        <f aca="false">AT1093*G1093</f>
        <v>297.36</v>
      </c>
      <c r="AV1093" s="50" t="n">
        <f aca="false">ROUNDUP(CK1093+MAX(CL1093,2*(J1093/IF(CG1093&gt;0,CG1093,MAX(0.1,N(Cockpit!$I$6)))-CK1093)),0)</f>
        <v>5</v>
      </c>
      <c r="AW1093" s="51" t="n">
        <f aca="false">IF(AS1093&gt;0,J1093/AS1093,-1)</f>
        <v>2.68387096774194</v>
      </c>
      <c r="AX1093" s="51" t="n">
        <f aca="false">IF(AND(OR(CF1093="L1",CF1093="L23",CF1093="LIFT"),AS1093&gt;0),SUMIFS($AS$7:$AS$1843,$CF$7:$CF$1843,CF1093,$AW$7:$AW$1843,"&gt;"&amp;AW1093)+SUMIFS($AS$7:$AS$1843,$CF$7:$CF$1843,CF1093,$AW$7:$AW$1843,AW1093,$BW$7:$BW$1843,"&lt;="&amp;BW1093),"")</f>
        <v>6177.3108974359</v>
      </c>
      <c r="AY1093" s="58" t="n">
        <f aca="false">IF(AX1093="",0,MAX(0,MIN(1,(IF(CF1093="L1",Parameter!$H$5,IF(CF1093="L23",Parameter!$H$6+Parameter!$H$7,Parameter!$H$5+Parameter!$H$6+Parameter!$H$7))-(AX1093-AS1093))/AS1093)))</f>
        <v>1</v>
      </c>
      <c r="AZ1093" s="50" t="n">
        <f aca="false">IF(LEFT(Cockpit!$O$5,1)="A",H1093,IF(Parameter!$E$30="MAX-Bestand",IF(CH1093=1,CI1093,IF(LEFT(Cockpit!$O$5,1)="B",BF1093,MAX(BF1093,H1093))),ROUNDUP(BD1093,0)))</f>
        <v>3</v>
      </c>
      <c r="BA1093" s="50" t="n">
        <f aca="false">IF(BZ1093=1,0,ROUNDUP(AZ1093/BY1093,0))</f>
        <v>1</v>
      </c>
      <c r="BB1093" s="52" t="n">
        <f aca="false">IF(CQ1093&gt;0,CQ1093*MAX(1,AZ1093/X1093),IF(BZ1093=1,IF(AZ1093&lt;=0,0,CD1093*MAX(1,IF(H1093&gt;0,AZ1093/H1093,1))),IF(R1093&gt;0,BA1093/R1093,0))/MAX(0.1,N(Parameter!$M$21)))</f>
        <v>0.00961538461538462</v>
      </c>
      <c r="BC1093" s="50" t="n">
        <f aca="false">BB1093*CB1093</f>
        <v>1.49038461538462</v>
      </c>
      <c r="BD1093" s="51" t="n">
        <f aca="false">IF(LEFT(Cockpit!$O$5,1)="A",H1093,IF(CH1093=1,(CK1093+CI1093)/2,IF(LEFT(Cockpit!$O$5,1)="B",(CK1093+BF1093)/2,MAX((CK1093+BF1093)/2,H1093))))</f>
        <v>2.5</v>
      </c>
      <c r="BE1093" s="50" t="n">
        <f aca="false">BD1093*G1093</f>
        <v>185.85</v>
      </c>
      <c r="BF1093" s="50" t="n">
        <f aca="false">ROUNDUP(CK1093+MAX(CL1093,2*(J1093/IF(CG1093&gt;0,CG1093,MAX(0.1,N(Cockpit!$O$6)))-CK1093)),0)</f>
        <v>5</v>
      </c>
      <c r="BG1093" s="51" t="n">
        <f aca="false">IF(BC1093&gt;0,J1093/BC1093,-1)</f>
        <v>2.68387096774194</v>
      </c>
      <c r="BH1093" s="51" t="n">
        <f aca="false">IF(AND(OR(CF1093="L1",CF1093="L23",CF1093="LIFT"),BC1093&gt;0),SUMIFS($BC$7:$BC$1843,$CF$7:$CF$1843,CF1093,$BG$7:$BG$1843,"&gt;"&amp;BG1093)+SUMIFS($BC$7:$BC$1843,$CF$7:$CF$1843,CF1093,$BG$7:$BG$1843,BG1093,$BW$7:$BW$1843,"&lt;="&amp;BW1093),"")</f>
        <v>5355.36538461538</v>
      </c>
      <c r="BI1093" s="58" t="n">
        <f aca="false">IF(BH1093="",0,MAX(0,MIN(1,(IF(CF1093="L1",Parameter!$H$5,IF(CF1093="L23",Parameter!$H$6+Parameter!$H$7,Parameter!$H$5+Parameter!$H$6+Parameter!$H$7))-(BH1093-BC1093))/BC1093)))</f>
        <v>1</v>
      </c>
      <c r="BJ1093" s="48" t="str">
        <f aca="false">IF(AI1093&lt;=0,"",IF(CF1093="Aussen","Aussenlager",IF(CF1093="-","Nicht im Lift",IF(AO1093&gt;=1,"Lift",IF(AO1093&lt;=0,"Aussenlager","teilweise")))))</f>
        <v>Lift</v>
      </c>
      <c r="BK1093" s="48" t="str">
        <f aca="false">IF(AS1093&lt;=0,"",IF(CF1093="Aussen","Aussenlager",IF(CF1093="-","Nicht im Lift",IF(AY1093&gt;=1,"Lift",IF(AY1093&lt;=0,"Aussenlager","teilweise")))))</f>
        <v>Lift</v>
      </c>
      <c r="BL1093" s="48" t="str">
        <f aca="false">IF(BC1093&lt;=0,"",IF(CF1093="Aussen","Aussenlager",IF(CF1093="-","Nicht im Lift",IF(BI1093&gt;=1,"Lift",IF(BI1093&lt;=0,"Aussenlager","teilweise")))))</f>
        <v>Lift</v>
      </c>
      <c r="BM1093" s="48" t="str">
        <f aca="false">IF(A1093="","",IF(BV1093=1,"Neu; ","")&amp;IF(AND(BV1093=0,BQ1093&lt;0),"negativer Bestand (Export "&amp;BQ1093&amp;"); ","")&amp;IF(J1093&lt;=0,"Kein Verbrauch; ","")&amp;IF(CQ1093&gt;0,"Lift "&amp;W1093&amp;" lt. Liftbericht (Fach "&amp;X1093&amp;" Stk); ",IF(CA1093=1,"Gebinde geschätzt ("&amp;T1093&amp;"); ",IF(BZ1093=1,"Lose – Tablare geschätzt; ","")))&amp;IF(H1093&gt;AV1093,"Überbestand "&amp;ROUND(H1093-AV1093,0)&amp;" Stk / CHF "&amp;ROUND((H1093-AV1093)*G1093,0)&amp;"; ","")&amp;IF(AND(CH1093=1,CI1093&lt;CJ1093),"MAX &lt; MB+LG; ","")&amp;IF(AND(CP1093&gt;0,CO1093*10&gt;CP1093),"zu hoch für Tablar; ","")&amp;IF(AND(BV1093=0,OR(CH1093=1,AA1093&lt;&gt;"",U1093&lt;&gt;"",V1093&lt;&gt;"",AB1093&lt;&gt;"")),"manuell übersteuert; ","")&amp;IF(AND(BZ1093=0,R1093=0),"Gebinde unbekannt / Stellmass fehlt; ","")&amp;IF(AND(BZ1093=0,N(V1093)&lt;=0,N(Q1093)&lt;=0),"Menge pro Gebinde fehlt (Ist = 1 Gebinde); ","")&amp;BU1093)</f>
        <v>negativer Bestand (Export -3); Neu</v>
      </c>
      <c r="BN1093" s="48"/>
      <c r="BO1093" s="48"/>
      <c r="BP1093" s="55"/>
      <c r="BQ1093" s="50" t="n">
        <v>-3</v>
      </c>
      <c r="BR1093" s="50" t="n">
        <v>7</v>
      </c>
      <c r="BS1093" s="49" t="n">
        <v>-199.43</v>
      </c>
      <c r="BT1093" s="50" t="n">
        <v>4</v>
      </c>
      <c r="BU1093" s="48" t="s">
        <v>635</v>
      </c>
      <c r="BV1093" s="53" t="n">
        <v>0</v>
      </c>
      <c r="BW1093" s="53" t="n">
        <v>1093</v>
      </c>
      <c r="BX1093" s="48" t="str">
        <f aca="false">IF(U1093&lt;&gt;"",UPPER(TRIM(U1093)),IF(CA1093=1,UPPER(VLOOKUP(T1093,Parameter!$I$27:$K$29,2,0)),IF(P1093="","LOSE",P1093)))</f>
        <v>S32</v>
      </c>
      <c r="BY1093" s="50" t="n">
        <f aca="false">IF(BX1093="LOSE",1,IF(N(V1093)&gt;0,V1093,IF(CA1093=1,MAX(1,N(VLOOKUP(T1093,Parameter!$I$27:$K$29,3,0)),H1093,N(N1093)),IF(N(Q1093)&gt;0,Q1093,MAX(1,H1093)))))</f>
        <v>4</v>
      </c>
      <c r="BZ1093" s="53" t="n">
        <f aca="false">IF(BX1093="LOSE",1,0)</f>
        <v>0</v>
      </c>
      <c r="CA1093" s="53" t="n">
        <f aca="false">IF(AND(U1093="",OR(P1093="",P1093="LOSE"),T1093&lt;&gt;"",N(S1093)&lt;=0,ISNUMBER(MATCH(T1093,Parameter!$I$27:$I$29,0))),1,0)</f>
        <v>0</v>
      </c>
      <c r="CB1093" s="53" t="n">
        <f aca="false">IF(CQ1093&gt;0,INDEX(Parameter!$H$5:$H$7,W1093)/INDEX(Parameter!$E$5:$E$7,W1093),IF(AND(BZ1093=0,N(IFERROR(VLOOKUP(BX1093,'Gebinde-Kategorie'!$A$5:$N$45,14,0),0))&gt;0),VLOOKUP(BX1093,'Gebinde-Kategorie'!$A$5:$N$45,14,0)*10+Parameter!$M$23,Parameter!$M$24))</f>
        <v>155</v>
      </c>
      <c r="CC1093" s="48" t="str">
        <f aca="false">IF(AND(Parameter!$B$19="Ja",E1093&lt;&gt;"",ISNUMBER(MATCH(E1093,Parameter!$I$35:$I$52,0))),VLOOKUP(E1093,Parameter!$I$35:$J$52,2,0),IFERROR(VLOOKUP(D1093,Parameter!$A$35:$C$64,2,0),"Nein"))</f>
        <v>2+3</v>
      </c>
      <c r="CD1093" s="52" t="n">
        <f aca="false">IF(BZ1093=0,0,IF(N(S1093)&gt;0,S1093,IFERROR(VLOOKUP(D1093,Parameter!$A$35:$C$64,3,0)+0,0)))</f>
        <v>0</v>
      </c>
      <c r="CE1093" s="48" t="n">
        <f aca="false">IF(AA1093&lt;&gt;"",AA1093,Z1093)</f>
        <v>3</v>
      </c>
      <c r="CF1093" s="48" t="str">
        <f aca="false">IF(OR(CE1093=1,CE1093=2,CE1093=3),IF(Parameter!$E$27="Ja","LIFT",IF(CE1093=1,"L1","L23")),IF(CE1093="Aussen","Aussen","-"))</f>
        <v>LIFT</v>
      </c>
      <c r="CG1093" s="59" t="n">
        <f aca="false">IF(N(AB1093)&gt;0,AB1093,0)</f>
        <v>0</v>
      </c>
      <c r="CH1093" s="53" t="n">
        <f aca="false">IF(ISNUMBER(AE1093),1,0)</f>
        <v>0</v>
      </c>
      <c r="CI1093" s="50" t="n">
        <f aca="false">N(AE1093)</f>
        <v>0</v>
      </c>
      <c r="CJ1093" s="50" t="n">
        <f aca="false">N(M1093)+N(N1093)</f>
        <v>5</v>
      </c>
      <c r="CK1093" s="50" t="n">
        <f aca="false">N(M1093)</f>
        <v>0</v>
      </c>
      <c r="CL1093" s="50" t="n">
        <f aca="false">N(N1093)</f>
        <v>5</v>
      </c>
      <c r="CM1093" s="50" t="n">
        <f aca="false">ROUNDUP(H1093/BY1093,0)</f>
        <v>1</v>
      </c>
      <c r="CN1093" s="50" t="n">
        <f aca="false">ROUNDUP(CI1093/BY1093,0)</f>
        <v>0</v>
      </c>
      <c r="CO1093" s="53" t="n">
        <f aca="false">IF(BZ1093=1,0,IFERROR(VLOOKUP(BX1093,'Gebinde-Kategorie'!$A$5:$N$45,5,0)+0,0))</f>
        <v>8</v>
      </c>
      <c r="CP1093" s="53" t="n">
        <f aca="false">IFERROR(IF(OR(CE1093=1,CE1093=2,CE1093=3),N(INDEX(Parameter!$I$5:$I$7,CE1093)),0),0)</f>
        <v>0</v>
      </c>
      <c r="CQ1093" s="52" t="n">
        <f aca="false">IF(AND(Parameter!$B$21="Ja",ISNUMBER(W1093),N(X1093)&gt;0),IFERROR(N(INDEX(Parameter!$L$5:$L$7,W1093))*INDEX(Parameter!$E$5:$E$7,W1093)*X1093/SUMIFS($X$7:$X$1843,$W$7:$W$1843,W1093),0),0)</f>
        <v>0</v>
      </c>
    </row>
    <row r="1094" customFormat="false" ht="15" hidden="false" customHeight="false" outlineLevel="0" collapsed="false">
      <c r="A1094" s="48" t="s">
        <v>1999</v>
      </c>
      <c r="B1094" s="48" t="s">
        <v>2000</v>
      </c>
      <c r="C1094" s="48" t="s">
        <v>173</v>
      </c>
      <c r="D1094" s="48" t="s">
        <v>193</v>
      </c>
      <c r="E1094" s="48" t="s">
        <v>194</v>
      </c>
      <c r="F1094" s="48" t="s">
        <v>227</v>
      </c>
      <c r="G1094" s="49" t="n">
        <v>17.26</v>
      </c>
      <c r="H1094" s="50" t="n">
        <f aca="false">MAX(0,IF(AND(Parameter!$B$21="Ja",ISNUMBER(Y1094)),Y1094,IF(Parameter!$B$20="Jahresanfang 2025 + Export",BR1094+BQ1094,BQ1094)))</f>
        <v>12</v>
      </c>
      <c r="I1094" s="50" t="n">
        <f aca="false">H1094*G1094</f>
        <v>207.12</v>
      </c>
      <c r="J1094" s="50" t="n">
        <f aca="false">BT1094*Parameter!$B$18</f>
        <v>33</v>
      </c>
      <c r="K1094" s="51" t="n">
        <v>33</v>
      </c>
      <c r="L1094" s="52" t="n">
        <v>1</v>
      </c>
      <c r="M1094" s="50" t="n">
        <v>2</v>
      </c>
      <c r="N1094" s="50" t="n">
        <v>35</v>
      </c>
      <c r="O1094" s="53" t="n">
        <v>21</v>
      </c>
      <c r="P1094" s="48" t="s">
        <v>311</v>
      </c>
      <c r="Q1094" s="50" t="n">
        <v>48</v>
      </c>
      <c r="R1094" s="53" t="n">
        <f aca="false">IF(BZ1094=1,0,IFERROR(VLOOKUP(BX1094,'Gebinde-Kategorie'!$A$5:$N$45,13,0)+0,0))</f>
        <v>26</v>
      </c>
      <c r="S1094" s="54"/>
      <c r="T1094" s="55"/>
      <c r="U1094" s="55"/>
      <c r="V1094" s="55"/>
      <c r="W1094" s="48"/>
      <c r="X1094" s="50"/>
      <c r="Y1094" s="50"/>
      <c r="Z1094" s="48" t="n">
        <f aca="false">IF(A1094="","",IF(AND(Parameter!$B$21="Ja",ISNUMBER(W1094)),W1094,IF(CC1094="2+3",IF(ISNUMBER(SEARCH("grosser Artikel",BU1094)),2,IFERROR(VLOOKUP(BX1094,Parameter!$F$35:$G$64,2,0),2)),IF(OR(CC1094="Nein",CC1094=""),"-",CC1094))))</f>
        <v>3</v>
      </c>
      <c r="AA1094" s="55"/>
      <c r="AB1094" s="56"/>
      <c r="AC1094" s="50" t="n">
        <f aca="false">AV1094</f>
        <v>37</v>
      </c>
      <c r="AD1094" s="50" t="n">
        <f aca="false">MAX(AV1094,H1094)</f>
        <v>37</v>
      </c>
      <c r="AE1094" s="57"/>
      <c r="AF1094" s="50" t="n">
        <f aca="false">IF(LEFT(Cockpit!$C$5,1)="A",H1094,IF(Parameter!$E$30="MAX-Bestand",IF(CH1094=1,CI1094,IF(LEFT(Cockpit!$C$5,1)="B",AL1094,MAX(AL1094,H1094))),ROUNDUP(AJ1094,0)))</f>
        <v>12</v>
      </c>
      <c r="AG1094" s="50" t="n">
        <f aca="false">IF(BZ1094=1,0,ROUNDUP(AF1094/BY1094,0))</f>
        <v>1</v>
      </c>
      <c r="AH1094" s="52" t="n">
        <f aca="false">IF(CQ1094&gt;0,CQ1094*MAX(1,AF1094/X1094),IF(BZ1094=1,IF(AF1094&lt;=0,0,CD1094*MAX(1,IF(H1094&gt;0,AF1094/H1094,1))),IF(R1094&gt;0,AG1094/R1094,0))/MAX(0.1,N(Parameter!$M$21)))</f>
        <v>0.0384615384615385</v>
      </c>
      <c r="AI1094" s="50" t="n">
        <f aca="false">AH1094*CB1094</f>
        <v>5.96153846153846</v>
      </c>
      <c r="AJ1094" s="51" t="n">
        <f aca="false">IF(LEFT(Cockpit!$C$5,1)="A",H1094,IF(CH1094=1,(CK1094+CI1094)/2,IF(LEFT(Cockpit!$C$5,1)="B",(CK1094+AL1094)/2,MAX((CK1094+AL1094)/2,H1094))))</f>
        <v>12</v>
      </c>
      <c r="AK1094" s="50" t="n">
        <f aca="false">AJ1094*G1094</f>
        <v>207.12</v>
      </c>
      <c r="AL1094" s="50" t="n">
        <f aca="false">ROUNDUP(CK1094+MAX(CL1094,2*(J1094/IF(CG1094&gt;0,CG1094,MAX(0.1,N(Cockpit!$C$6)))-CK1094)),0)</f>
        <v>37</v>
      </c>
      <c r="AM1094" s="51" t="n">
        <f aca="false">IF(AI1094&gt;0,J1094/AI1094,-1)</f>
        <v>5.53548387096774</v>
      </c>
      <c r="AN1094" s="51" t="n">
        <f aca="false">IF(AND(OR(CF1094="L1",CF1094="L23",CF1094="LIFT"),AI1094&gt;0),SUMIFS($AI$7:$AI$1843,$CF$7:$CF$1843,CF1094,$AM$7:$AM$1843,"&gt;"&amp;AM1094)+SUMIFS($AI$7:$AI$1843,$CF$7:$CF$1843,CF1094,$AM$7:$AM$1843,AM1094,$BW$7:$BW$1843,"&lt;="&amp;BW1094),"")</f>
        <v>3714.48122710623</v>
      </c>
      <c r="AO1094" s="58" t="n">
        <f aca="false">IF(AN1094="",0,MAX(0,MIN(1,(IF(CF1094="L1",Parameter!$H$5,IF(CF1094="L23",Parameter!$H$6+Parameter!$H$7,Parameter!$H$5+Parameter!$H$6+Parameter!$H$7))-(AN1094-AI1094))/AI1094)))</f>
        <v>1</v>
      </c>
      <c r="AP1094" s="50" t="n">
        <f aca="false">IF(LEFT(Cockpit!$I$5,1)="A",H1094,IF(Parameter!$E$30="MAX-Bestand",IF(CH1094=1,CI1094,IF(LEFT(Cockpit!$I$5,1)="B",AV1094,MAX(AV1094,H1094))),ROUNDUP(AT1094,0)))</f>
        <v>20</v>
      </c>
      <c r="AQ1094" s="50" t="n">
        <f aca="false">IF(BZ1094=1,0,ROUNDUP(AP1094/BY1094,0))</f>
        <v>1</v>
      </c>
      <c r="AR1094" s="52" t="n">
        <f aca="false">IF(CQ1094&gt;0,CQ1094*MAX(1,AP1094/X1094),IF(BZ1094=1,IF(AP1094&lt;=0,0,CD1094*MAX(1,IF(H1094&gt;0,AP1094/H1094,1))),IF(R1094&gt;0,AQ1094/R1094,0))/MAX(0.1,N(Parameter!$M$21)))</f>
        <v>0.0384615384615385</v>
      </c>
      <c r="AS1094" s="50" t="n">
        <f aca="false">AR1094*CB1094</f>
        <v>5.96153846153846</v>
      </c>
      <c r="AT1094" s="51" t="n">
        <f aca="false">IF(LEFT(Cockpit!$I$5,1)="A",H1094,IF(CH1094=1,(CK1094+CI1094)/2,IF(LEFT(Cockpit!$I$5,1)="B",(CK1094+AV1094)/2,MAX((CK1094+AV1094)/2,H1094))))</f>
        <v>19.5</v>
      </c>
      <c r="AU1094" s="50" t="n">
        <f aca="false">AT1094*G1094</f>
        <v>336.57</v>
      </c>
      <c r="AV1094" s="50" t="n">
        <f aca="false">ROUNDUP(CK1094+MAX(CL1094,2*(J1094/IF(CG1094&gt;0,CG1094,MAX(0.1,N(Cockpit!$I$6)))-CK1094)),0)</f>
        <v>37</v>
      </c>
      <c r="AW1094" s="51" t="n">
        <f aca="false">IF(AS1094&gt;0,J1094/AS1094,-1)</f>
        <v>5.53548387096774</v>
      </c>
      <c r="AX1094" s="51" t="n">
        <f aca="false">IF(AND(OR(CF1094="L1",CF1094="L23",CF1094="LIFT"),AS1094&gt;0),SUMIFS($AS$7:$AS$1843,$CF$7:$CF$1843,CF1094,$AW$7:$AW$1843,"&gt;"&amp;AW1094)+SUMIFS($AS$7:$AS$1843,$CF$7:$CF$1843,CF1094,$AW$7:$AW$1843,AW1094,$BW$7:$BW$1843,"&lt;="&amp;BW1094),"")</f>
        <v>4368.22206959707</v>
      </c>
      <c r="AY1094" s="58" t="n">
        <f aca="false">IF(AX1094="",0,MAX(0,MIN(1,(IF(CF1094="L1",Parameter!$H$5,IF(CF1094="L23",Parameter!$H$6+Parameter!$H$7,Parameter!$H$5+Parameter!$H$6+Parameter!$H$7))-(AX1094-AS1094))/AS1094)))</f>
        <v>1</v>
      </c>
      <c r="AZ1094" s="50" t="n">
        <f aca="false">IF(LEFT(Cockpit!$O$5,1)="A",H1094,IF(Parameter!$E$30="MAX-Bestand",IF(CH1094=1,CI1094,IF(LEFT(Cockpit!$O$5,1)="B",BF1094,MAX(BF1094,H1094))),ROUNDUP(BD1094,0)))</f>
        <v>20</v>
      </c>
      <c r="BA1094" s="50" t="n">
        <f aca="false">IF(BZ1094=1,0,ROUNDUP(AZ1094/BY1094,0))</f>
        <v>1</v>
      </c>
      <c r="BB1094" s="52" t="n">
        <f aca="false">IF(CQ1094&gt;0,CQ1094*MAX(1,AZ1094/X1094),IF(BZ1094=1,IF(AZ1094&lt;=0,0,CD1094*MAX(1,IF(H1094&gt;0,AZ1094/H1094,1))),IF(R1094&gt;0,BA1094/R1094,0))/MAX(0.1,N(Parameter!$M$21)))</f>
        <v>0.0384615384615385</v>
      </c>
      <c r="BC1094" s="50" t="n">
        <f aca="false">BB1094*CB1094</f>
        <v>5.96153846153846</v>
      </c>
      <c r="BD1094" s="51" t="n">
        <f aca="false">IF(LEFT(Cockpit!$O$5,1)="A",H1094,IF(CH1094=1,(CK1094+CI1094)/2,IF(LEFT(Cockpit!$O$5,1)="B",(CK1094+BF1094)/2,MAX((CK1094+BF1094)/2,H1094))))</f>
        <v>19.5</v>
      </c>
      <c r="BE1094" s="50" t="n">
        <f aca="false">BD1094*G1094</f>
        <v>336.57</v>
      </c>
      <c r="BF1094" s="50" t="n">
        <f aca="false">ROUNDUP(CK1094+MAX(CL1094,2*(J1094/IF(CG1094&gt;0,CG1094,MAX(0.1,N(Cockpit!$O$6)))-CK1094)),0)</f>
        <v>37</v>
      </c>
      <c r="BG1094" s="51" t="n">
        <f aca="false">IF(BC1094&gt;0,J1094/BC1094,-1)</f>
        <v>5.53548387096774</v>
      </c>
      <c r="BH1094" s="51" t="n">
        <f aca="false">IF(AND(OR(CF1094="L1",CF1094="L23",CF1094="LIFT"),BC1094&gt;0),SUMIFS($BC$7:$BC$1843,$CF$7:$CF$1843,CF1094,$BG$7:$BG$1843,"&gt;"&amp;BG1094)+SUMIFS($BC$7:$BC$1843,$CF$7:$CF$1843,CF1094,$BG$7:$BG$1843,BG1094,$BW$7:$BW$1843,"&lt;="&amp;BW1094),"")</f>
        <v>3682.74404761905</v>
      </c>
      <c r="BI1094" s="58" t="n">
        <f aca="false">IF(BH1094="",0,MAX(0,MIN(1,(IF(CF1094="L1",Parameter!$H$5,IF(CF1094="L23",Parameter!$H$6+Parameter!$H$7,Parameter!$H$5+Parameter!$H$6+Parameter!$H$7))-(BH1094-BC1094))/BC1094)))</f>
        <v>1</v>
      </c>
      <c r="BJ1094" s="48" t="str">
        <f aca="false">IF(AI1094&lt;=0,"",IF(CF1094="Aussen","Aussenlager",IF(CF1094="-","Nicht im Lift",IF(AO1094&gt;=1,"Lift",IF(AO1094&lt;=0,"Aussenlager","teilweise")))))</f>
        <v>Lift</v>
      </c>
      <c r="BK1094" s="48" t="str">
        <f aca="false">IF(AS1094&lt;=0,"",IF(CF1094="Aussen","Aussenlager",IF(CF1094="-","Nicht im Lift",IF(AY1094&gt;=1,"Lift",IF(AY1094&lt;=0,"Aussenlager","teilweise")))))</f>
        <v>Lift</v>
      </c>
      <c r="BL1094" s="48" t="str">
        <f aca="false">IF(BC1094&lt;=0,"",IF(CF1094="Aussen","Aussenlager",IF(CF1094="-","Nicht im Lift",IF(BI1094&gt;=1,"Lift",IF(BI1094&lt;=0,"Aussenlager","teilweise")))))</f>
        <v>Lift</v>
      </c>
      <c r="BM1094" s="48" t="str">
        <f aca="false">IF(A1094="","",IF(BV1094=1,"Neu; ","")&amp;IF(AND(BV1094=0,BQ1094&lt;0),"negativer Bestand (Export "&amp;BQ1094&amp;"); ","")&amp;IF(J1094&lt;=0,"Kein Verbrauch; ","")&amp;IF(CQ1094&gt;0,"Lift "&amp;W1094&amp;" lt. Liftbericht (Fach "&amp;X1094&amp;" Stk); ",IF(CA1094=1,"Gebinde geschätzt ("&amp;T1094&amp;"); ",IF(BZ1094=1,"Lose – Tablare geschätzt; ","")))&amp;IF(H1094&gt;AV1094,"Überbestand "&amp;ROUND(H1094-AV1094,0)&amp;" Stk / CHF "&amp;ROUND((H1094-AV1094)*G1094,0)&amp;"; ","")&amp;IF(AND(CH1094=1,CI1094&lt;CJ1094),"MAX &lt; MB+LG; ","")&amp;IF(AND(CP1094&gt;0,CO1094*10&gt;CP1094),"zu hoch für Tablar; ","")&amp;IF(AND(BV1094=0,OR(CH1094=1,AA1094&lt;&gt;"",U1094&lt;&gt;"",V1094&lt;&gt;"",AB1094&lt;&gt;"")),"manuell übersteuert; ","")&amp;IF(AND(BZ1094=0,R1094=0),"Gebinde unbekannt / Stellmass fehlt; ","")&amp;IF(AND(BZ1094=0,N(V1094)&lt;=0,N(Q1094)&lt;=0),"Menge pro Gebinde fehlt (Ist = 1 Gebinde); ","")&amp;BU1094)</f>
        <v>negativer Bestand (Export -8); </v>
      </c>
      <c r="BN1094" s="48"/>
      <c r="BO1094" s="48"/>
      <c r="BP1094" s="55"/>
      <c r="BQ1094" s="50" t="n">
        <v>-8</v>
      </c>
      <c r="BR1094" s="50" t="n">
        <v>20</v>
      </c>
      <c r="BS1094" s="49" t="n">
        <v>-202.08</v>
      </c>
      <c r="BT1094" s="50" t="n">
        <v>33</v>
      </c>
      <c r="BU1094" s="48"/>
      <c r="BV1094" s="53" t="n">
        <v>0</v>
      </c>
      <c r="BW1094" s="53" t="n">
        <v>1094</v>
      </c>
      <c r="BX1094" s="48" t="str">
        <f aca="false">IF(U1094&lt;&gt;"",UPPER(TRIM(U1094)),IF(CA1094=1,UPPER(VLOOKUP(T1094,Parameter!$I$27:$K$29,2,0)),IF(P1094="","LOSE",P1094)))</f>
        <v>S51</v>
      </c>
      <c r="BY1094" s="50" t="n">
        <f aca="false">IF(BX1094="LOSE",1,IF(N(V1094)&gt;0,V1094,IF(CA1094=1,MAX(1,N(VLOOKUP(T1094,Parameter!$I$27:$K$29,3,0)),H1094,N(N1094)),IF(N(Q1094)&gt;0,Q1094,MAX(1,H1094)))))</f>
        <v>48</v>
      </c>
      <c r="BZ1094" s="53" t="n">
        <f aca="false">IF(BX1094="LOSE",1,0)</f>
        <v>0</v>
      </c>
      <c r="CA1094" s="53" t="n">
        <f aca="false">IF(AND(U1094="",OR(P1094="",P1094="LOSE"),T1094&lt;&gt;"",N(S1094)&lt;=0,ISNUMBER(MATCH(T1094,Parameter!$I$27:$I$29,0))),1,0)</f>
        <v>0</v>
      </c>
      <c r="CB1094" s="53" t="n">
        <f aca="false">IF(CQ1094&gt;0,INDEX(Parameter!$H$5:$H$7,W1094)/INDEX(Parameter!$E$5:$E$7,W1094),IF(AND(BZ1094=0,N(IFERROR(VLOOKUP(BX1094,'Gebinde-Kategorie'!$A$5:$N$45,14,0),0))&gt;0),VLOOKUP(BX1094,'Gebinde-Kategorie'!$A$5:$N$45,14,0)*10+Parameter!$M$23,Parameter!$M$24))</f>
        <v>155</v>
      </c>
      <c r="CC1094" s="48" t="str">
        <f aca="false">IF(AND(Parameter!$B$19="Ja",E1094&lt;&gt;"",ISNUMBER(MATCH(E1094,Parameter!$I$35:$I$52,0))),VLOOKUP(E1094,Parameter!$I$35:$J$52,2,0),IFERROR(VLOOKUP(D1094,Parameter!$A$35:$C$64,2,0),"Nein"))</f>
        <v>2+3</v>
      </c>
      <c r="CD1094" s="52" t="n">
        <f aca="false">IF(BZ1094=0,0,IF(N(S1094)&gt;0,S1094,IFERROR(VLOOKUP(D1094,Parameter!$A$35:$C$64,3,0)+0,0)))</f>
        <v>0</v>
      </c>
      <c r="CE1094" s="48" t="n">
        <f aca="false">IF(AA1094&lt;&gt;"",AA1094,Z1094)</f>
        <v>3</v>
      </c>
      <c r="CF1094" s="48" t="str">
        <f aca="false">IF(OR(CE1094=1,CE1094=2,CE1094=3),IF(Parameter!$E$27="Ja","LIFT",IF(CE1094=1,"L1","L23")),IF(CE1094="Aussen","Aussen","-"))</f>
        <v>LIFT</v>
      </c>
      <c r="CG1094" s="59" t="n">
        <f aca="false">IF(N(AB1094)&gt;0,AB1094,0)</f>
        <v>0</v>
      </c>
      <c r="CH1094" s="53" t="n">
        <f aca="false">IF(ISNUMBER(AE1094),1,0)</f>
        <v>0</v>
      </c>
      <c r="CI1094" s="50" t="n">
        <f aca="false">N(AE1094)</f>
        <v>0</v>
      </c>
      <c r="CJ1094" s="50" t="n">
        <f aca="false">N(M1094)+N(N1094)</f>
        <v>37</v>
      </c>
      <c r="CK1094" s="50" t="n">
        <f aca="false">N(M1094)</f>
        <v>2</v>
      </c>
      <c r="CL1094" s="50" t="n">
        <f aca="false">N(N1094)</f>
        <v>35</v>
      </c>
      <c r="CM1094" s="50" t="n">
        <f aca="false">ROUNDUP(H1094/BY1094,0)</f>
        <v>1</v>
      </c>
      <c r="CN1094" s="50" t="n">
        <f aca="false">ROUNDUP(CI1094/BY1094,0)</f>
        <v>0</v>
      </c>
      <c r="CO1094" s="53" t="n">
        <f aca="false">IF(BZ1094=1,0,IFERROR(VLOOKUP(BX1094,'Gebinde-Kategorie'!$A$5:$N$45,5,0)+0,0))</f>
        <v>11</v>
      </c>
      <c r="CP1094" s="53" t="n">
        <f aca="false">IFERROR(IF(OR(CE1094=1,CE1094=2,CE1094=3),N(INDEX(Parameter!$I$5:$I$7,CE1094)),0),0)</f>
        <v>0</v>
      </c>
      <c r="CQ1094" s="52" t="n">
        <f aca="false">IF(AND(Parameter!$B$21="Ja",ISNUMBER(W1094),N(X1094)&gt;0),IFERROR(N(INDEX(Parameter!$L$5:$L$7,W1094))*INDEX(Parameter!$E$5:$E$7,W1094)*X1094/SUMIFS($X$7:$X$1843,$W$7:$W$1843,W1094),0),0)</f>
        <v>0</v>
      </c>
    </row>
    <row r="1095" customFormat="false" ht="15" hidden="false" customHeight="false" outlineLevel="0" collapsed="false">
      <c r="A1095" s="48" t="s">
        <v>2001</v>
      </c>
      <c r="B1095" s="48" t="s">
        <v>2002</v>
      </c>
      <c r="C1095" s="48" t="s">
        <v>173</v>
      </c>
      <c r="D1095" s="48" t="s">
        <v>182</v>
      </c>
      <c r="E1095" s="48" t="s">
        <v>182</v>
      </c>
      <c r="F1095" s="48" t="s">
        <v>227</v>
      </c>
      <c r="G1095" s="49" t="n">
        <v>17.05</v>
      </c>
      <c r="H1095" s="50" t="n">
        <f aca="false">MAX(0,IF(AND(Parameter!$B$21="Ja",ISNUMBER(Y1095)),Y1095,IF(Parameter!$B$20="Jahresanfang 2025 + Export",BR1095+BQ1095,BQ1095)))</f>
        <v>32.1240000000002</v>
      </c>
      <c r="I1095" s="50" t="n">
        <f aca="false">H1095*G1095</f>
        <v>547.714200000003</v>
      </c>
      <c r="J1095" s="50" t="n">
        <f aca="false">BT1095*Parameter!$B$18</f>
        <v>139.027</v>
      </c>
      <c r="K1095" s="51" t="n">
        <v>51.8520000000001</v>
      </c>
      <c r="L1095" s="52" t="n">
        <v>2.68122733935045</v>
      </c>
      <c r="M1095" s="50" t="n">
        <v>8</v>
      </c>
      <c r="N1095" s="50" t="n">
        <v>50</v>
      </c>
      <c r="O1095" s="53" t="n">
        <v>21</v>
      </c>
      <c r="P1095" s="48" t="s">
        <v>177</v>
      </c>
      <c r="Q1095" s="50"/>
      <c r="R1095" s="53" t="n">
        <f aca="false">IF(BZ1095=1,0,IFERROR(VLOOKUP(BX1095,'Gebinde-Kategorie'!$A$5:$N$45,13,0)+0,0))</f>
        <v>12</v>
      </c>
      <c r="S1095" s="54"/>
      <c r="T1095" s="55" t="s">
        <v>188</v>
      </c>
      <c r="U1095" s="55"/>
      <c r="V1095" s="55"/>
      <c r="W1095" s="48"/>
      <c r="X1095" s="50"/>
      <c r="Y1095" s="50"/>
      <c r="Z1095" s="48" t="str">
        <f aca="false">IF(A1095="","",IF(AND(Parameter!$B$21="Ja",ISNUMBER(W1095)),W1095,IF(CC1095="2+3",IF(ISNUMBER(SEARCH("grosser Artikel",BU1095)),2,IFERROR(VLOOKUP(BX1095,Parameter!$F$35:$G$64,2,0),2)),IF(OR(CC1095="Nein",CC1095=""),"-",CC1095))))</f>
        <v>-</v>
      </c>
      <c r="AA1095" s="55"/>
      <c r="AB1095" s="56"/>
      <c r="AC1095" s="50" t="n">
        <f aca="false">AV1095</f>
        <v>85</v>
      </c>
      <c r="AD1095" s="50" t="n">
        <f aca="false">MAX(AV1095,H1095)</f>
        <v>85</v>
      </c>
      <c r="AE1095" s="57"/>
      <c r="AF1095" s="50" t="n">
        <f aca="false">IF(LEFT(Cockpit!$C$5,1)="A",H1095,IF(Parameter!$E$30="MAX-Bestand",IF(CH1095=1,CI1095,IF(LEFT(Cockpit!$C$5,1)="B",AL1095,MAX(AL1095,H1095))),ROUNDUP(AJ1095,0)))</f>
        <v>32.1240000000002</v>
      </c>
      <c r="AG1095" s="50" t="n">
        <f aca="false">IF(BZ1095=1,0,ROUNDUP(AF1095/BY1095,0))</f>
        <v>1</v>
      </c>
      <c r="AH1095" s="52" t="n">
        <f aca="false">IF(CQ1095&gt;0,CQ1095*MAX(1,AF1095/X1095),IF(BZ1095=1,IF(AF1095&lt;=0,0,CD1095*MAX(1,IF(H1095&gt;0,AF1095/H1095,1))),IF(R1095&gt;0,AG1095/R1095,0))/MAX(0.1,N(Parameter!$M$21)))</f>
        <v>0.0833333333333333</v>
      </c>
      <c r="AI1095" s="50" t="n">
        <f aca="false">AH1095*CB1095</f>
        <v>12.0833333333333</v>
      </c>
      <c r="AJ1095" s="51" t="n">
        <f aca="false">IF(LEFT(Cockpit!$C$5,1)="A",H1095,IF(CH1095=1,(CK1095+CI1095)/2,IF(LEFT(Cockpit!$C$5,1)="B",(CK1095+AL1095)/2,MAX((CK1095+AL1095)/2,H1095))))</f>
        <v>32.1240000000002</v>
      </c>
      <c r="AK1095" s="50" t="n">
        <f aca="false">AJ1095*G1095</f>
        <v>547.714200000003</v>
      </c>
      <c r="AL1095" s="50" t="n">
        <f aca="false">ROUNDUP(CK1095+MAX(CL1095,2*(J1095/IF(CG1095&gt;0,CG1095,MAX(0.1,N(Cockpit!$C$6)))-CK1095)),0)</f>
        <v>85</v>
      </c>
      <c r="AM1095" s="51" t="n">
        <f aca="false">IF(AI1095&gt;0,J1095/AI1095,-1)</f>
        <v>11.5056827586207</v>
      </c>
      <c r="AN1095" s="51" t="str">
        <f aca="false">IF(AND(OR(CF1095="L1",CF1095="L23",CF1095="LIFT"),AI1095&gt;0),SUMIFS($AI$7:$AI$1843,$CF$7:$CF$1843,CF1095,$AM$7:$AM$1843,"&gt;"&amp;AM1095)+SUMIFS($AI$7:$AI$1843,$CF$7:$CF$1843,CF1095,$AM$7:$AM$1843,AM1095,$BW$7:$BW$1843,"&lt;="&amp;BW1095),"")</f>
        <v/>
      </c>
      <c r="AO1095" s="58" t="n">
        <f aca="false">IF(AN1095="",0,MAX(0,MIN(1,(IF(CF1095="L1",Parameter!$H$5,IF(CF1095="L23",Parameter!$H$6+Parameter!$H$7,Parameter!$H$5+Parameter!$H$6+Parameter!$H$7))-(AN1095-AI1095))/AI1095)))</f>
        <v>0</v>
      </c>
      <c r="AP1095" s="50" t="n">
        <f aca="false">IF(LEFT(Cockpit!$I$5,1)="A",H1095,IF(Parameter!$E$30="MAX-Bestand",IF(CH1095=1,CI1095,IF(LEFT(Cockpit!$I$5,1)="B",AV1095,MAX(AV1095,H1095))),ROUNDUP(AT1095,0)))</f>
        <v>47</v>
      </c>
      <c r="AQ1095" s="50" t="n">
        <f aca="false">IF(BZ1095=1,0,ROUNDUP(AP1095/BY1095,0))</f>
        <v>1</v>
      </c>
      <c r="AR1095" s="52" t="n">
        <f aca="false">IF(CQ1095&gt;0,CQ1095*MAX(1,AP1095/X1095),IF(BZ1095=1,IF(AP1095&lt;=0,0,CD1095*MAX(1,IF(H1095&gt;0,AP1095/H1095,1))),IF(R1095&gt;0,AQ1095/R1095,0))/MAX(0.1,N(Parameter!$M$21)))</f>
        <v>0.0833333333333333</v>
      </c>
      <c r="AS1095" s="50" t="n">
        <f aca="false">AR1095*CB1095</f>
        <v>12.0833333333333</v>
      </c>
      <c r="AT1095" s="51" t="n">
        <f aca="false">IF(LEFT(Cockpit!$I$5,1)="A",H1095,IF(CH1095=1,(CK1095+CI1095)/2,IF(LEFT(Cockpit!$I$5,1)="B",(CK1095+AV1095)/2,MAX((CK1095+AV1095)/2,H1095))))</f>
        <v>46.5</v>
      </c>
      <c r="AU1095" s="50" t="n">
        <f aca="false">AT1095*G1095</f>
        <v>792.825</v>
      </c>
      <c r="AV1095" s="50" t="n">
        <f aca="false">ROUNDUP(CK1095+MAX(CL1095,2*(J1095/IF(CG1095&gt;0,CG1095,MAX(0.1,N(Cockpit!$I$6)))-CK1095)),0)</f>
        <v>85</v>
      </c>
      <c r="AW1095" s="51" t="n">
        <f aca="false">IF(AS1095&gt;0,J1095/AS1095,-1)</f>
        <v>11.5056827586207</v>
      </c>
      <c r="AX1095" s="51" t="str">
        <f aca="false">IF(AND(OR(CF1095="L1",CF1095="L23",CF1095="LIFT"),AS1095&gt;0),SUMIFS($AS$7:$AS$1843,$CF$7:$CF$1843,CF1095,$AW$7:$AW$1843,"&gt;"&amp;AW1095)+SUMIFS($AS$7:$AS$1843,$CF$7:$CF$1843,CF1095,$AW$7:$AW$1843,AW1095,$BW$7:$BW$1843,"&lt;="&amp;BW1095),"")</f>
        <v/>
      </c>
      <c r="AY1095" s="58" t="n">
        <f aca="false">IF(AX1095="",0,MAX(0,MIN(1,(IF(CF1095="L1",Parameter!$H$5,IF(CF1095="L23",Parameter!$H$6+Parameter!$H$7,Parameter!$H$5+Parameter!$H$6+Parameter!$H$7))-(AX1095-AS1095))/AS1095)))</f>
        <v>0</v>
      </c>
      <c r="AZ1095" s="50" t="n">
        <f aca="false">IF(LEFT(Cockpit!$O$5,1)="A",H1095,IF(Parameter!$E$30="MAX-Bestand",IF(CH1095=1,CI1095,IF(LEFT(Cockpit!$O$5,1)="B",BF1095,MAX(BF1095,H1095))),ROUNDUP(BD1095,0)))</f>
        <v>35</v>
      </c>
      <c r="BA1095" s="50" t="n">
        <f aca="false">IF(BZ1095=1,0,ROUNDUP(AZ1095/BY1095,0))</f>
        <v>1</v>
      </c>
      <c r="BB1095" s="52" t="n">
        <f aca="false">IF(CQ1095&gt;0,CQ1095*MAX(1,AZ1095/X1095),IF(BZ1095=1,IF(AZ1095&lt;=0,0,CD1095*MAX(1,IF(H1095&gt;0,AZ1095/H1095,1))),IF(R1095&gt;0,BA1095/R1095,0))/MAX(0.1,N(Parameter!$M$21)))</f>
        <v>0.0833333333333333</v>
      </c>
      <c r="BC1095" s="50" t="n">
        <f aca="false">BB1095*CB1095</f>
        <v>12.0833333333333</v>
      </c>
      <c r="BD1095" s="51" t="n">
        <f aca="false">IF(LEFT(Cockpit!$O$5,1)="A",H1095,IF(CH1095=1,(CK1095+CI1095)/2,IF(LEFT(Cockpit!$O$5,1)="B",(CK1095+BF1095)/2,MAX((CK1095+BF1095)/2,H1095))))</f>
        <v>35</v>
      </c>
      <c r="BE1095" s="50" t="n">
        <f aca="false">BD1095*G1095</f>
        <v>596.75</v>
      </c>
      <c r="BF1095" s="50" t="n">
        <f aca="false">ROUNDUP(CK1095+MAX(CL1095,2*(J1095/IF(CG1095&gt;0,CG1095,MAX(0.1,N(Cockpit!$O$6)))-CK1095)),0)</f>
        <v>62</v>
      </c>
      <c r="BG1095" s="51" t="n">
        <f aca="false">IF(BC1095&gt;0,J1095/BC1095,-1)</f>
        <v>11.5056827586207</v>
      </c>
      <c r="BH1095" s="51" t="str">
        <f aca="false">IF(AND(OR(CF1095="L1",CF1095="L23",CF1095="LIFT"),BC1095&gt;0),SUMIFS($BC$7:$BC$1843,$CF$7:$CF$1843,CF1095,$BG$7:$BG$1843,"&gt;"&amp;BG1095)+SUMIFS($BC$7:$BC$1843,$CF$7:$CF$1843,CF1095,$BG$7:$BG$1843,BG1095,$BW$7:$BW$1843,"&lt;="&amp;BW1095),"")</f>
        <v/>
      </c>
      <c r="BI1095" s="58" t="n">
        <f aca="false">IF(BH1095="",0,MAX(0,MIN(1,(IF(CF1095="L1",Parameter!$H$5,IF(CF1095="L23",Parameter!$H$6+Parameter!$H$7,Parameter!$H$5+Parameter!$H$6+Parameter!$H$7))-(BH1095-BC1095))/BC1095)))</f>
        <v>0</v>
      </c>
      <c r="BJ1095" s="48" t="str">
        <f aca="false">IF(AI1095&lt;=0,"",IF(CF1095="Aussen","Aussenlager",IF(CF1095="-","Nicht im Lift",IF(AO1095&gt;=1,"Lift",IF(AO1095&lt;=0,"Aussenlager","teilweise")))))</f>
        <v>Nicht im Lift</v>
      </c>
      <c r="BK1095" s="48" t="str">
        <f aca="false">IF(AS1095&lt;=0,"",IF(CF1095="Aussen","Aussenlager",IF(CF1095="-","Nicht im Lift",IF(AY1095&gt;=1,"Lift",IF(AY1095&lt;=0,"Aussenlager","teilweise")))))</f>
        <v>Nicht im Lift</v>
      </c>
      <c r="BL1095" s="48" t="str">
        <f aca="false">IF(BC1095&lt;=0,"",IF(CF1095="Aussen","Aussenlager",IF(CF1095="-","Nicht im Lift",IF(BI1095&gt;=1,"Lift",IF(BI1095&lt;=0,"Aussenlager","teilweise")))))</f>
        <v>Nicht im Lift</v>
      </c>
      <c r="BM1095" s="48" t="str">
        <f aca="false">IF(A1095="","",IF(BV1095=1,"Neu; ","")&amp;IF(AND(BV1095=0,BQ1095&lt;0),"negativer Bestand (Export "&amp;BQ1095&amp;"); ","")&amp;IF(J1095&lt;=0,"Kein Verbrauch; ","")&amp;IF(CQ1095&gt;0,"Lift "&amp;W1095&amp;" lt. Liftbericht (Fach "&amp;X1095&amp;" Stk); ",IF(CA1095=1,"Gebinde geschätzt ("&amp;T1095&amp;"); ",IF(BZ1095=1,"Lose – Tablare geschätzt; ","")))&amp;IF(H1095&gt;AV1095,"Überbestand "&amp;ROUND(H1095-AV1095,0)&amp;" Stk / CHF "&amp;ROUND((H1095-AV1095)*G1095,0)&amp;"; ","")&amp;IF(AND(CH1095=1,CI1095&lt;CJ1095),"MAX &lt; MB+LG; ","")&amp;IF(AND(CP1095&gt;0,CO1095*10&gt;CP1095),"zu hoch für Tablar; ","")&amp;IF(AND(BV1095=0,OR(CH1095=1,AA1095&lt;&gt;"",U1095&lt;&gt;"",V1095&lt;&gt;"",AB1095&lt;&gt;"")),"manuell übersteuert; ","")&amp;IF(AND(BZ1095=0,R1095=0),"Gebinde unbekannt / Stellmass fehlt; ","")&amp;IF(AND(BZ1095=0,N(V1095)&lt;=0,N(Q1095)&lt;=0),"Menge pro Gebinde fehlt (Ist = 1 Gebinde); ","")&amp;BU1095)</f>
        <v>negativer Bestand (Export -9.07999999999997); Gebinde geschätzt (Mittel); Menge pro Gebinde fehlt (Ist = 1 Gebinde); </v>
      </c>
      <c r="BN1095" s="48"/>
      <c r="BO1095" s="48"/>
      <c r="BP1095" s="55"/>
      <c r="BQ1095" s="50" t="n">
        <v>-9.07999999999997</v>
      </c>
      <c r="BR1095" s="50" t="n">
        <v>41.2040000000001</v>
      </c>
      <c r="BS1095" s="49" t="n">
        <v>-202.62</v>
      </c>
      <c r="BT1095" s="50" t="n">
        <v>139.027</v>
      </c>
      <c r="BU1095" s="48"/>
      <c r="BV1095" s="53" t="n">
        <v>0</v>
      </c>
      <c r="BW1095" s="53" t="n">
        <v>1095</v>
      </c>
      <c r="BX1095" s="48" t="str">
        <f aca="false">IF(U1095&lt;&gt;"",UPPER(TRIM(U1095)),IF(CA1095=1,UPPER(VLOOKUP(T1095,Parameter!$I$27:$K$29,2,0)),IF(P1095="","LOSE",P1095)))</f>
        <v>S61</v>
      </c>
      <c r="BY1095" s="50" t="n">
        <f aca="false">IF(BX1095="LOSE",1,IF(N(V1095)&gt;0,V1095,IF(CA1095=1,MAX(1,N(VLOOKUP(T1095,Parameter!$I$27:$K$29,3,0)),H1095,N(N1095)),IF(N(Q1095)&gt;0,Q1095,MAX(1,H1095)))))</f>
        <v>50</v>
      </c>
      <c r="BZ1095" s="53" t="n">
        <f aca="false">IF(BX1095="LOSE",1,0)</f>
        <v>0</v>
      </c>
      <c r="CA1095" s="53" t="n">
        <f aca="false">IF(AND(U1095="",OR(P1095="",P1095="LOSE"),T1095&lt;&gt;"",N(S1095)&lt;=0,ISNUMBER(MATCH(T1095,Parameter!$I$27:$I$29,0))),1,0)</f>
        <v>1</v>
      </c>
      <c r="CB1095" s="53" t="n">
        <f aca="false">IF(CQ1095&gt;0,INDEX(Parameter!$H$5:$H$7,W1095)/INDEX(Parameter!$E$5:$E$7,W1095),IF(AND(BZ1095=0,N(IFERROR(VLOOKUP(BX1095,'Gebinde-Kategorie'!$A$5:$N$45,14,0),0))&gt;0),VLOOKUP(BX1095,'Gebinde-Kategorie'!$A$5:$N$45,14,0)*10+Parameter!$M$23,Parameter!$M$24))</f>
        <v>145</v>
      </c>
      <c r="CC1095" s="48" t="str">
        <f aca="false">IF(AND(Parameter!$B$19="Ja",E1095&lt;&gt;"",ISNUMBER(MATCH(E1095,Parameter!$I$35:$I$52,0))),VLOOKUP(E1095,Parameter!$I$35:$J$52,2,0),IFERROR(VLOOKUP(D1095,Parameter!$A$35:$C$64,2,0),"Nein"))</f>
        <v>Nein</v>
      </c>
      <c r="CD1095" s="52" t="n">
        <f aca="false">IF(BZ1095=0,0,IF(N(S1095)&gt;0,S1095,IFERROR(VLOOKUP(D1095,Parameter!$A$35:$C$64,3,0)+0,0)))</f>
        <v>0</v>
      </c>
      <c r="CE1095" s="48" t="str">
        <f aca="false">IF(AA1095&lt;&gt;"",AA1095,Z1095)</f>
        <v>-</v>
      </c>
      <c r="CF1095" s="48" t="str">
        <f aca="false">IF(OR(CE1095=1,CE1095=2,CE1095=3),IF(Parameter!$E$27="Ja","LIFT",IF(CE1095=1,"L1","L23")),IF(CE1095="Aussen","Aussen","-"))</f>
        <v>-</v>
      </c>
      <c r="CG1095" s="59" t="n">
        <f aca="false">IF(N(AB1095)&gt;0,AB1095,0)</f>
        <v>0</v>
      </c>
      <c r="CH1095" s="53" t="n">
        <f aca="false">IF(ISNUMBER(AE1095),1,0)</f>
        <v>0</v>
      </c>
      <c r="CI1095" s="50" t="n">
        <f aca="false">N(AE1095)</f>
        <v>0</v>
      </c>
      <c r="CJ1095" s="50" t="n">
        <f aca="false">N(M1095)+N(N1095)</f>
        <v>58</v>
      </c>
      <c r="CK1095" s="50" t="n">
        <f aca="false">N(M1095)</f>
        <v>8</v>
      </c>
      <c r="CL1095" s="50" t="n">
        <f aca="false">N(N1095)</f>
        <v>50</v>
      </c>
      <c r="CM1095" s="50" t="n">
        <f aca="false">ROUNDUP(H1095/BY1095,0)</f>
        <v>1</v>
      </c>
      <c r="CN1095" s="50" t="n">
        <f aca="false">ROUNDUP(CI1095/BY1095,0)</f>
        <v>0</v>
      </c>
      <c r="CO1095" s="53" t="n">
        <f aca="false">IF(BZ1095=1,0,IFERROR(VLOOKUP(BX1095,'Gebinde-Kategorie'!$A$5:$N$45,5,0)+0,0))</f>
        <v>11</v>
      </c>
      <c r="CP1095" s="53" t="n">
        <f aca="false">IFERROR(IF(OR(CE1095=1,CE1095=2,CE1095=3),N(INDEX(Parameter!$I$5:$I$7,CE1095)),0),0)</f>
        <v>0</v>
      </c>
      <c r="CQ1095" s="52" t="n">
        <f aca="false">IF(AND(Parameter!$B$21="Ja",ISNUMBER(W1095),N(X1095)&gt;0),IFERROR(N(INDEX(Parameter!$L$5:$L$7,W1095))*INDEX(Parameter!$E$5:$E$7,W1095)*X1095/SUMIFS($X$7:$X$1843,$W$7:$W$1843,W1095),0),0)</f>
        <v>0</v>
      </c>
    </row>
    <row r="1096" customFormat="false" ht="15" hidden="false" customHeight="false" outlineLevel="0" collapsed="false">
      <c r="A1096" s="48" t="s">
        <v>2003</v>
      </c>
      <c r="B1096" s="48" t="s">
        <v>2004</v>
      </c>
      <c r="C1096" s="48" t="s">
        <v>173</v>
      </c>
      <c r="D1096" s="48" t="s">
        <v>193</v>
      </c>
      <c r="E1096" s="48" t="s">
        <v>194</v>
      </c>
      <c r="F1096" s="48" t="s">
        <v>227</v>
      </c>
      <c r="G1096" s="49" t="n">
        <v>101.62</v>
      </c>
      <c r="H1096" s="50" t="n">
        <f aca="false">MAX(0,IF(AND(Parameter!$B$21="Ja",ISNUMBER(Y1096)),Y1096,IF(Parameter!$B$20="Jahresanfang 2025 + Export",BR1096+BQ1096,BQ1096)))</f>
        <v>9</v>
      </c>
      <c r="I1096" s="50" t="n">
        <f aca="false">H1096*G1096</f>
        <v>914.58</v>
      </c>
      <c r="J1096" s="50" t="n">
        <f aca="false">BT1096*Parameter!$B$18</f>
        <v>2</v>
      </c>
      <c r="K1096" s="51" t="n">
        <v>10</v>
      </c>
      <c r="L1096" s="52" t="n">
        <v>0.2</v>
      </c>
      <c r="M1096" s="50" t="n">
        <v>0</v>
      </c>
      <c r="N1096" s="50" t="n">
        <v>1</v>
      </c>
      <c r="O1096" s="53" t="n">
        <v>21</v>
      </c>
      <c r="P1096" s="48" t="s">
        <v>337</v>
      </c>
      <c r="Q1096" s="50" t="n">
        <v>16</v>
      </c>
      <c r="R1096" s="53" t="n">
        <f aca="false">IF(BZ1096=1,0,IFERROR(VLOOKUP(BX1096,'Gebinde-Kategorie'!$A$5:$N$45,13,0)+0,0))</f>
        <v>52</v>
      </c>
      <c r="S1096" s="54"/>
      <c r="T1096" s="55"/>
      <c r="U1096" s="55"/>
      <c r="V1096" s="55"/>
      <c r="W1096" s="48"/>
      <c r="X1096" s="50"/>
      <c r="Y1096" s="50"/>
      <c r="Z1096" s="48" t="n">
        <f aca="false">IF(A1096="","",IF(AND(Parameter!$B$21="Ja",ISNUMBER(W1096)),W1096,IF(CC1096="2+3",IF(ISNUMBER(SEARCH("grosser Artikel",BU1096)),2,IFERROR(VLOOKUP(BX1096,Parameter!$F$35:$G$64,2,0),2)),IF(OR(CC1096="Nein",CC1096=""),"-",CC1096))))</f>
        <v>3</v>
      </c>
      <c r="AA1096" s="55"/>
      <c r="AB1096" s="56"/>
      <c r="AC1096" s="50" t="n">
        <f aca="false">AV1096</f>
        <v>2</v>
      </c>
      <c r="AD1096" s="50" t="n">
        <f aca="false">MAX(AV1096,H1096)</f>
        <v>9</v>
      </c>
      <c r="AE1096" s="57"/>
      <c r="AF1096" s="50" t="n">
        <f aca="false">IF(LEFT(Cockpit!$C$5,1)="A",H1096,IF(Parameter!$E$30="MAX-Bestand",IF(CH1096=1,CI1096,IF(LEFT(Cockpit!$C$5,1)="B",AL1096,MAX(AL1096,H1096))),ROUNDUP(AJ1096,0)))</f>
        <v>9</v>
      </c>
      <c r="AG1096" s="50" t="n">
        <f aca="false">IF(BZ1096=1,0,ROUNDUP(AF1096/BY1096,0))</f>
        <v>1</v>
      </c>
      <c r="AH1096" s="52" t="n">
        <f aca="false">IF(CQ1096&gt;0,CQ1096*MAX(1,AF1096/X1096),IF(BZ1096=1,IF(AF1096&lt;=0,0,CD1096*MAX(1,IF(H1096&gt;0,AF1096/H1096,1))),IF(R1096&gt;0,AG1096/R1096,0))/MAX(0.1,N(Parameter!$M$21)))</f>
        <v>0.0192307692307692</v>
      </c>
      <c r="AI1096" s="50" t="n">
        <f aca="false">AH1096*CB1096</f>
        <v>2.98076923076923</v>
      </c>
      <c r="AJ1096" s="51" t="n">
        <f aca="false">IF(LEFT(Cockpit!$C$5,1)="A",H1096,IF(CH1096=1,(CK1096+CI1096)/2,IF(LEFT(Cockpit!$C$5,1)="B",(CK1096+AL1096)/2,MAX((CK1096+AL1096)/2,H1096))))</f>
        <v>9</v>
      </c>
      <c r="AK1096" s="50" t="n">
        <f aca="false">AJ1096*G1096</f>
        <v>914.58</v>
      </c>
      <c r="AL1096" s="50" t="n">
        <f aca="false">ROUNDUP(CK1096+MAX(CL1096,2*(J1096/IF(CG1096&gt;0,CG1096,MAX(0.1,N(Cockpit!$C$6)))-CK1096)),0)</f>
        <v>2</v>
      </c>
      <c r="AM1096" s="51" t="n">
        <f aca="false">IF(AI1096&gt;0,J1096/AI1096,-1)</f>
        <v>0.670967741935484</v>
      </c>
      <c r="AN1096" s="51" t="n">
        <f aca="false">IF(AND(OR(CF1096="L1",CF1096="L23",CF1096="LIFT"),AI1096&gt;0),SUMIFS($AI$7:$AI$1843,$CF$7:$CF$1843,CF1096,$AM$7:$AM$1843,"&gt;"&amp;AM1096)+SUMIFS($AI$7:$AI$1843,$CF$7:$CF$1843,CF1096,$AM$7:$AM$1843,AM1096,$BW$7:$BW$1843,"&lt;="&amp;BW1096),"")</f>
        <v>8633.9967948718</v>
      </c>
      <c r="AO1096" s="58" t="n">
        <f aca="false">IF(AN1096="",0,MAX(0,MIN(1,(IF(CF1096="L1",Parameter!$H$5,IF(CF1096="L23",Parameter!$H$6+Parameter!$H$7,Parameter!$H$5+Parameter!$H$6+Parameter!$H$7))-(AN1096-AI1096))/AI1096)))</f>
        <v>1</v>
      </c>
      <c r="AP1096" s="50" t="n">
        <f aca="false">IF(LEFT(Cockpit!$I$5,1)="A",H1096,IF(Parameter!$E$30="MAX-Bestand",IF(CH1096=1,CI1096,IF(LEFT(Cockpit!$I$5,1)="B",AV1096,MAX(AV1096,H1096))),ROUNDUP(AT1096,0)))</f>
        <v>9</v>
      </c>
      <c r="AQ1096" s="50" t="n">
        <f aca="false">IF(BZ1096=1,0,ROUNDUP(AP1096/BY1096,0))</f>
        <v>1</v>
      </c>
      <c r="AR1096" s="52" t="n">
        <f aca="false">IF(CQ1096&gt;0,CQ1096*MAX(1,AP1096/X1096),IF(BZ1096=1,IF(AP1096&lt;=0,0,CD1096*MAX(1,IF(H1096&gt;0,AP1096/H1096,1))),IF(R1096&gt;0,AQ1096/R1096,0))/MAX(0.1,N(Parameter!$M$21)))</f>
        <v>0.0192307692307692</v>
      </c>
      <c r="AS1096" s="50" t="n">
        <f aca="false">AR1096*CB1096</f>
        <v>2.98076923076923</v>
      </c>
      <c r="AT1096" s="51" t="n">
        <f aca="false">IF(LEFT(Cockpit!$I$5,1)="A",H1096,IF(CH1096=1,(CK1096+CI1096)/2,IF(LEFT(Cockpit!$I$5,1)="B",(CK1096+AV1096)/2,MAX((CK1096+AV1096)/2,H1096))))</f>
        <v>9</v>
      </c>
      <c r="AU1096" s="50" t="n">
        <f aca="false">AT1096*G1096</f>
        <v>914.58</v>
      </c>
      <c r="AV1096" s="50" t="n">
        <f aca="false">ROUNDUP(CK1096+MAX(CL1096,2*(J1096/IF(CG1096&gt;0,CG1096,MAX(0.1,N(Cockpit!$I$6)))-CK1096)),0)</f>
        <v>2</v>
      </c>
      <c r="AW1096" s="51" t="n">
        <f aca="false">IF(AS1096&gt;0,J1096/AS1096,-1)</f>
        <v>0.670967741935484</v>
      </c>
      <c r="AX1096" s="51" t="n">
        <f aca="false">IF(AND(OR(CF1096="L1",CF1096="L23",CF1096="LIFT"),AS1096&gt;0),SUMIFS($AS$7:$AS$1843,$CF$7:$CF$1843,CF1096,$AW$7:$AW$1843,"&gt;"&amp;AW1096)+SUMIFS($AS$7:$AS$1843,$CF$7:$CF$1843,CF1096,$AW$7:$AW$1843,AW1096,$BW$7:$BW$1843,"&lt;="&amp;BW1096),"")</f>
        <v>10928.1643772894</v>
      </c>
      <c r="AY1096" s="58" t="n">
        <f aca="false">IF(AX1096="",0,MAX(0,MIN(1,(IF(CF1096="L1",Parameter!$H$5,IF(CF1096="L23",Parameter!$H$6+Parameter!$H$7,Parameter!$H$5+Parameter!$H$6+Parameter!$H$7))-(AX1096-AS1096))/AS1096)))</f>
        <v>1</v>
      </c>
      <c r="AZ1096" s="50" t="n">
        <f aca="false">IF(LEFT(Cockpit!$O$5,1)="A",H1096,IF(Parameter!$E$30="MAX-Bestand",IF(CH1096=1,CI1096,IF(LEFT(Cockpit!$O$5,1)="B",BF1096,MAX(BF1096,H1096))),ROUNDUP(BD1096,0)))</f>
        <v>1</v>
      </c>
      <c r="BA1096" s="50" t="n">
        <f aca="false">IF(BZ1096=1,0,ROUNDUP(AZ1096/BY1096,0))</f>
        <v>1</v>
      </c>
      <c r="BB1096" s="52" t="n">
        <f aca="false">IF(CQ1096&gt;0,CQ1096*MAX(1,AZ1096/X1096),IF(BZ1096=1,IF(AZ1096&lt;=0,0,CD1096*MAX(1,IF(H1096&gt;0,AZ1096/H1096,1))),IF(R1096&gt;0,BA1096/R1096,0))/MAX(0.1,N(Parameter!$M$21)))</f>
        <v>0.0192307692307692</v>
      </c>
      <c r="BC1096" s="50" t="n">
        <f aca="false">BB1096*CB1096</f>
        <v>2.98076923076923</v>
      </c>
      <c r="BD1096" s="51" t="n">
        <f aca="false">IF(LEFT(Cockpit!$O$5,1)="A",H1096,IF(CH1096=1,(CK1096+CI1096)/2,IF(LEFT(Cockpit!$O$5,1)="B",(CK1096+BF1096)/2,MAX((CK1096+BF1096)/2,H1096))))</f>
        <v>0.5</v>
      </c>
      <c r="BE1096" s="50" t="n">
        <f aca="false">BD1096*G1096</f>
        <v>50.81</v>
      </c>
      <c r="BF1096" s="50" t="n">
        <f aca="false">ROUNDUP(CK1096+MAX(CL1096,2*(J1096/IF(CG1096&gt;0,CG1096,MAX(0.1,N(Cockpit!$O$6)))-CK1096)),0)</f>
        <v>1</v>
      </c>
      <c r="BG1096" s="51" t="n">
        <f aca="false">IF(BC1096&gt;0,J1096/BC1096,-1)</f>
        <v>0.670967741935484</v>
      </c>
      <c r="BH1096" s="51" t="n">
        <f aca="false">IF(AND(OR(CF1096="L1",CF1096="L23",CF1096="LIFT"),BC1096&gt;0),SUMIFS($BC$7:$BC$1843,$CF$7:$CF$1843,CF1096,$BG$7:$BG$1843,"&gt;"&amp;BG1096)+SUMIFS($BC$7:$BC$1843,$CF$7:$CF$1843,CF1096,$BG$7:$BG$1843,BG1096,$BW$7:$BW$1843,"&lt;="&amp;BW1096),"")</f>
        <v>9537.79853479853</v>
      </c>
      <c r="BI1096" s="58" t="n">
        <f aca="false">IF(BH1096="",0,MAX(0,MIN(1,(IF(CF1096="L1",Parameter!$H$5,IF(CF1096="L23",Parameter!$H$6+Parameter!$H$7,Parameter!$H$5+Parameter!$H$6+Parameter!$H$7))-(BH1096-BC1096))/BC1096)))</f>
        <v>1</v>
      </c>
      <c r="BJ1096" s="48" t="str">
        <f aca="false">IF(AI1096&lt;=0,"",IF(CF1096="Aussen","Aussenlager",IF(CF1096="-","Nicht im Lift",IF(AO1096&gt;=1,"Lift",IF(AO1096&lt;=0,"Aussenlager","teilweise")))))</f>
        <v>Lift</v>
      </c>
      <c r="BK1096" s="48" t="str">
        <f aca="false">IF(AS1096&lt;=0,"",IF(CF1096="Aussen","Aussenlager",IF(CF1096="-","Nicht im Lift",IF(AY1096&gt;=1,"Lift",IF(AY1096&lt;=0,"Aussenlager","teilweise")))))</f>
        <v>Lift</v>
      </c>
      <c r="BL1096" s="48" t="str">
        <f aca="false">IF(BC1096&lt;=0,"",IF(CF1096="Aussen","Aussenlager",IF(CF1096="-","Nicht im Lift",IF(BI1096&gt;=1,"Lift",IF(BI1096&lt;=0,"Aussenlager","teilweise")))))</f>
        <v>Lift</v>
      </c>
      <c r="BM1096" s="48" t="str">
        <f aca="false">IF(A1096="","",IF(BV1096=1,"Neu; ","")&amp;IF(AND(BV1096=0,BQ1096&lt;0),"negativer Bestand (Export "&amp;BQ1096&amp;"); ","")&amp;IF(J1096&lt;=0,"Kein Verbrauch; ","")&amp;IF(CQ1096&gt;0,"Lift "&amp;W1096&amp;" lt. Liftbericht (Fach "&amp;X1096&amp;" Stk); ",IF(CA1096=1,"Gebinde geschätzt ("&amp;T1096&amp;"); ",IF(BZ1096=1,"Lose – Tablare geschätzt; ","")))&amp;IF(H1096&gt;AV1096,"Überbestand "&amp;ROUND(H1096-AV1096,0)&amp;" Stk / CHF "&amp;ROUND((H1096-AV1096)*G1096,0)&amp;"; ","")&amp;IF(AND(CH1096=1,CI1096&lt;CJ1096),"MAX &lt; MB+LG; ","")&amp;IF(AND(CP1096&gt;0,CO1096*10&gt;CP1096),"zu hoch für Tablar; ","")&amp;IF(AND(BV1096=0,OR(CH1096=1,AA1096&lt;&gt;"",U1096&lt;&gt;"",V1096&lt;&gt;"",AB1096&lt;&gt;"")),"manuell übersteuert; ","")&amp;IF(AND(BZ1096=0,R1096=0),"Gebinde unbekannt / Stellmass fehlt; ","")&amp;IF(AND(BZ1096=0,N(V1096)&lt;=0,N(Q1096)&lt;=0),"Menge pro Gebinde fehlt (Ist = 1 Gebinde); ","")&amp;BU1096)</f>
        <v>negativer Bestand (Export -2); Überbestand 7 Stk / CHF 711; </v>
      </c>
      <c r="BN1096" s="48"/>
      <c r="BO1096" s="48"/>
      <c r="BP1096" s="55"/>
      <c r="BQ1096" s="50" t="n">
        <v>-2</v>
      </c>
      <c r="BR1096" s="50" t="n">
        <v>11</v>
      </c>
      <c r="BS1096" s="49" t="n">
        <v>-203.24</v>
      </c>
      <c r="BT1096" s="50" t="n">
        <v>2</v>
      </c>
      <c r="BU1096" s="48"/>
      <c r="BV1096" s="53" t="n">
        <v>0</v>
      </c>
      <c r="BW1096" s="53" t="n">
        <v>1096</v>
      </c>
      <c r="BX1096" s="48" t="str">
        <f aca="false">IF(U1096&lt;&gt;"",UPPER(TRIM(U1096)),IF(CA1096=1,UPPER(VLOOKUP(T1096,Parameter!$I$27:$K$29,2,0)),IF(P1096="","LOSE",P1096)))</f>
        <v>S41</v>
      </c>
      <c r="BY1096" s="50" t="n">
        <f aca="false">IF(BX1096="LOSE",1,IF(N(V1096)&gt;0,V1096,IF(CA1096=1,MAX(1,N(VLOOKUP(T1096,Parameter!$I$27:$K$29,3,0)),H1096,N(N1096)),IF(N(Q1096)&gt;0,Q1096,MAX(1,H1096)))))</f>
        <v>16</v>
      </c>
      <c r="BZ1096" s="53" t="n">
        <f aca="false">IF(BX1096="LOSE",1,0)</f>
        <v>0</v>
      </c>
      <c r="CA1096" s="53" t="n">
        <f aca="false">IF(AND(U1096="",OR(P1096="",P1096="LOSE"),T1096&lt;&gt;"",N(S1096)&lt;=0,ISNUMBER(MATCH(T1096,Parameter!$I$27:$I$29,0))),1,0)</f>
        <v>0</v>
      </c>
      <c r="CB1096" s="53" t="n">
        <f aca="false">IF(CQ1096&gt;0,INDEX(Parameter!$H$5:$H$7,W1096)/INDEX(Parameter!$E$5:$E$7,W1096),IF(AND(BZ1096=0,N(IFERROR(VLOOKUP(BX1096,'Gebinde-Kategorie'!$A$5:$N$45,14,0),0))&gt;0),VLOOKUP(BX1096,'Gebinde-Kategorie'!$A$5:$N$45,14,0)*10+Parameter!$M$23,Parameter!$M$24))</f>
        <v>155</v>
      </c>
      <c r="CC1096" s="48" t="str">
        <f aca="false">IF(AND(Parameter!$B$19="Ja",E1096&lt;&gt;"",ISNUMBER(MATCH(E1096,Parameter!$I$35:$I$52,0))),VLOOKUP(E1096,Parameter!$I$35:$J$52,2,0),IFERROR(VLOOKUP(D1096,Parameter!$A$35:$C$64,2,0),"Nein"))</f>
        <v>2+3</v>
      </c>
      <c r="CD1096" s="52" t="n">
        <f aca="false">IF(BZ1096=0,0,IF(N(S1096)&gt;0,S1096,IFERROR(VLOOKUP(D1096,Parameter!$A$35:$C$64,3,0)+0,0)))</f>
        <v>0</v>
      </c>
      <c r="CE1096" s="48" t="n">
        <f aca="false">IF(AA1096&lt;&gt;"",AA1096,Z1096)</f>
        <v>3</v>
      </c>
      <c r="CF1096" s="48" t="str">
        <f aca="false">IF(OR(CE1096=1,CE1096=2,CE1096=3),IF(Parameter!$E$27="Ja","LIFT",IF(CE1096=1,"L1","L23")),IF(CE1096="Aussen","Aussen","-"))</f>
        <v>LIFT</v>
      </c>
      <c r="CG1096" s="59" t="n">
        <f aca="false">IF(N(AB1096)&gt;0,AB1096,0)</f>
        <v>0</v>
      </c>
      <c r="CH1096" s="53" t="n">
        <f aca="false">IF(ISNUMBER(AE1096),1,0)</f>
        <v>0</v>
      </c>
      <c r="CI1096" s="50" t="n">
        <f aca="false">N(AE1096)</f>
        <v>0</v>
      </c>
      <c r="CJ1096" s="50" t="n">
        <f aca="false">N(M1096)+N(N1096)</f>
        <v>1</v>
      </c>
      <c r="CK1096" s="50" t="n">
        <f aca="false">N(M1096)</f>
        <v>0</v>
      </c>
      <c r="CL1096" s="50" t="n">
        <f aca="false">N(N1096)</f>
        <v>1</v>
      </c>
      <c r="CM1096" s="50" t="n">
        <f aca="false">ROUNDUP(H1096/BY1096,0)</f>
        <v>1</v>
      </c>
      <c r="CN1096" s="50" t="n">
        <f aca="false">ROUNDUP(CI1096/BY1096,0)</f>
        <v>0</v>
      </c>
      <c r="CO1096" s="53" t="n">
        <f aca="false">IF(BZ1096=1,0,IFERROR(VLOOKUP(BX1096,'Gebinde-Kategorie'!$A$5:$N$45,5,0)+0,0))</f>
        <v>11</v>
      </c>
      <c r="CP1096" s="53" t="n">
        <f aca="false">IFERROR(IF(OR(CE1096=1,CE1096=2,CE1096=3),N(INDEX(Parameter!$I$5:$I$7,CE1096)),0),0)</f>
        <v>0</v>
      </c>
      <c r="CQ1096" s="52" t="n">
        <f aca="false">IF(AND(Parameter!$B$21="Ja",ISNUMBER(W1096),N(X1096)&gt;0),IFERROR(N(INDEX(Parameter!$L$5:$L$7,W1096))*INDEX(Parameter!$E$5:$E$7,W1096)*X1096/SUMIFS($X$7:$X$1843,$W$7:$W$1843,W1096),0),0)</f>
        <v>0</v>
      </c>
    </row>
    <row r="1097" customFormat="false" ht="15" hidden="false" customHeight="false" outlineLevel="0" collapsed="false">
      <c r="A1097" s="48" t="s">
        <v>2005</v>
      </c>
      <c r="B1097" s="48" t="s">
        <v>2006</v>
      </c>
      <c r="C1097" s="48" t="s">
        <v>173</v>
      </c>
      <c r="D1097" s="48" t="s">
        <v>182</v>
      </c>
      <c r="E1097" s="48"/>
      <c r="F1097" s="48" t="s">
        <v>227</v>
      </c>
      <c r="G1097" s="49" t="n">
        <v>205.4</v>
      </c>
      <c r="H1097" s="50" t="n">
        <f aca="false">MAX(0,IF(AND(Parameter!$B$21="Ja",ISNUMBER(Y1097)),Y1097,IF(Parameter!$B$20="Jahresanfang 2025 + Export",BR1097+BQ1097,BQ1097)))</f>
        <v>22</v>
      </c>
      <c r="I1097" s="50" t="n">
        <f aca="false">H1097*G1097</f>
        <v>4518.8</v>
      </c>
      <c r="J1097" s="50" t="n">
        <f aca="false">BT1097*Parameter!$B$18</f>
        <v>0</v>
      </c>
      <c r="K1097" s="51" t="n">
        <v>22.5</v>
      </c>
      <c r="L1097" s="52" t="n">
        <v>0</v>
      </c>
      <c r="M1097" s="50" t="n">
        <v>0</v>
      </c>
      <c r="N1097" s="50" t="n">
        <v>1</v>
      </c>
      <c r="O1097" s="53" t="n">
        <v>28</v>
      </c>
      <c r="P1097" s="48" t="s">
        <v>183</v>
      </c>
      <c r="Q1097" s="50" t="n">
        <v>24</v>
      </c>
      <c r="R1097" s="53" t="n">
        <f aca="false">IF(BZ1097=1,0,IFERROR(VLOOKUP(BX1097,'Gebinde-Kategorie'!$A$5:$N$45,13,0)+0,0))</f>
        <v>6</v>
      </c>
      <c r="S1097" s="54"/>
      <c r="T1097" s="55"/>
      <c r="U1097" s="55"/>
      <c r="V1097" s="55"/>
      <c r="W1097" s="48"/>
      <c r="X1097" s="50"/>
      <c r="Y1097" s="50"/>
      <c r="Z1097" s="48" t="n">
        <f aca="false">IF(A1097="","",IF(AND(Parameter!$B$21="Ja",ISNUMBER(W1097)),W1097,IF(CC1097="2+3",IF(ISNUMBER(SEARCH("grosser Artikel",BU1097)),2,IFERROR(VLOOKUP(BX1097,Parameter!$F$35:$G$64,2,0),2)),IF(OR(CC1097="Nein",CC1097=""),"-",CC1097))))</f>
        <v>2</v>
      </c>
      <c r="AA1097" s="55"/>
      <c r="AB1097" s="56"/>
      <c r="AC1097" s="50" t="n">
        <f aca="false">AV1097</f>
        <v>1</v>
      </c>
      <c r="AD1097" s="50" t="n">
        <f aca="false">MAX(AV1097,H1097)</f>
        <v>22</v>
      </c>
      <c r="AE1097" s="57"/>
      <c r="AF1097" s="50" t="n">
        <f aca="false">IF(LEFT(Cockpit!$C$5,1)="A",H1097,IF(Parameter!$E$30="MAX-Bestand",IF(CH1097=1,CI1097,IF(LEFT(Cockpit!$C$5,1)="B",AL1097,MAX(AL1097,H1097))),ROUNDUP(AJ1097,0)))</f>
        <v>22</v>
      </c>
      <c r="AG1097" s="50" t="n">
        <f aca="false">IF(BZ1097=1,0,ROUNDUP(AF1097/BY1097,0))</f>
        <v>1</v>
      </c>
      <c r="AH1097" s="52" t="n">
        <f aca="false">IF(CQ1097&gt;0,CQ1097*MAX(1,AF1097/X1097),IF(BZ1097=1,IF(AF1097&lt;=0,0,CD1097*MAX(1,IF(H1097&gt;0,AF1097/H1097,1))),IF(R1097&gt;0,AG1097/R1097,0))/MAX(0.1,N(Parameter!$M$21)))</f>
        <v>0.166666666666667</v>
      </c>
      <c r="AI1097" s="50" t="n">
        <f aca="false">AH1097*CB1097</f>
        <v>39.1666666666667</v>
      </c>
      <c r="AJ1097" s="51" t="n">
        <f aca="false">IF(LEFT(Cockpit!$C$5,1)="A",H1097,IF(CH1097=1,(CK1097+CI1097)/2,IF(LEFT(Cockpit!$C$5,1)="B",(CK1097+AL1097)/2,MAX((CK1097+AL1097)/2,H1097))))</f>
        <v>22</v>
      </c>
      <c r="AK1097" s="50" t="n">
        <f aca="false">AJ1097*G1097</f>
        <v>4518.8</v>
      </c>
      <c r="AL1097" s="50" t="n">
        <f aca="false">ROUNDUP(CK1097+MAX(CL1097,2*(J1097/IF(CG1097&gt;0,CG1097,MAX(0.1,N(Cockpit!$C$6)))-CK1097)),0)</f>
        <v>1</v>
      </c>
      <c r="AM1097" s="51" t="n">
        <f aca="false">IF(AI1097&gt;0,J1097/AI1097,-1)</f>
        <v>0</v>
      </c>
      <c r="AN1097" s="51" t="n">
        <f aca="false">IF(AND(OR(CF1097="L1",CF1097="L23",CF1097="LIFT"),AI1097&gt;0),SUMIFS($AI$7:$AI$1843,$CF$7:$CF$1843,CF1097,$AM$7:$AM$1843,"&gt;"&amp;AM1097)+SUMIFS($AI$7:$AI$1843,$CF$7:$CF$1843,CF1097,$AM$7:$AM$1843,AM1097,$BW$7:$BW$1843,"&lt;="&amp;BW1097),"")</f>
        <v>29133.3884465346</v>
      </c>
      <c r="AO1097" s="58" t="n">
        <f aca="false">IF(AN1097="",0,MAX(0,MIN(1,(IF(CF1097="L1",Parameter!$H$5,IF(CF1097="L23",Parameter!$H$6+Parameter!$H$7,Parameter!$H$5+Parameter!$H$6+Parameter!$H$7))-(AN1097-AI1097))/AI1097)))</f>
        <v>1</v>
      </c>
      <c r="AP1097" s="50" t="n">
        <f aca="false">IF(LEFT(Cockpit!$I$5,1)="A",H1097,IF(Parameter!$E$30="MAX-Bestand",IF(CH1097=1,CI1097,IF(LEFT(Cockpit!$I$5,1)="B",AV1097,MAX(AV1097,H1097))),ROUNDUP(AT1097,0)))</f>
        <v>22</v>
      </c>
      <c r="AQ1097" s="50" t="n">
        <f aca="false">IF(BZ1097=1,0,ROUNDUP(AP1097/BY1097,0))</f>
        <v>1</v>
      </c>
      <c r="AR1097" s="52" t="n">
        <f aca="false">IF(CQ1097&gt;0,CQ1097*MAX(1,AP1097/X1097),IF(BZ1097=1,IF(AP1097&lt;=0,0,CD1097*MAX(1,IF(H1097&gt;0,AP1097/H1097,1))),IF(R1097&gt;0,AQ1097/R1097,0))/MAX(0.1,N(Parameter!$M$21)))</f>
        <v>0.166666666666667</v>
      </c>
      <c r="AS1097" s="50" t="n">
        <f aca="false">AR1097*CB1097</f>
        <v>39.1666666666667</v>
      </c>
      <c r="AT1097" s="51" t="n">
        <f aca="false">IF(LEFT(Cockpit!$I$5,1)="A",H1097,IF(CH1097=1,(CK1097+CI1097)/2,IF(LEFT(Cockpit!$I$5,1)="B",(CK1097+AV1097)/2,MAX((CK1097+AV1097)/2,H1097))))</f>
        <v>22</v>
      </c>
      <c r="AU1097" s="50" t="n">
        <f aca="false">AT1097*G1097</f>
        <v>4518.8</v>
      </c>
      <c r="AV1097" s="50" t="n">
        <f aca="false">ROUNDUP(CK1097+MAX(CL1097,2*(J1097/IF(CG1097&gt;0,CG1097,MAX(0.1,N(Cockpit!$I$6)))-CK1097)),0)</f>
        <v>1</v>
      </c>
      <c r="AW1097" s="51" t="n">
        <f aca="false">IF(AS1097&gt;0,J1097/AS1097,-1)</f>
        <v>0</v>
      </c>
      <c r="AX1097" s="51" t="n">
        <f aca="false">IF(AND(OR(CF1097="L1",CF1097="L23",CF1097="LIFT"),AS1097&gt;0),SUMIFS($AS$7:$AS$1843,$CF$7:$CF$1843,CF1097,$AW$7:$AW$1843,"&gt;"&amp;AW1097)+SUMIFS($AS$7:$AS$1843,$CF$7:$CF$1843,CF1097,$AW$7:$AW$1843,AW1097,$BW$7:$BW$1843,"&lt;="&amp;BW1097),"")</f>
        <v>34847.6836080586</v>
      </c>
      <c r="AY1097" s="58" t="n">
        <f aca="false">IF(AX1097="",0,MAX(0,MIN(1,(IF(CF1097="L1",Parameter!$H$5,IF(CF1097="L23",Parameter!$H$6+Parameter!$H$7,Parameter!$H$5+Parameter!$H$6+Parameter!$H$7))-(AX1097-AS1097))/AS1097)))</f>
        <v>1</v>
      </c>
      <c r="AZ1097" s="50" t="n">
        <f aca="false">IF(LEFT(Cockpit!$O$5,1)="A",H1097,IF(Parameter!$E$30="MAX-Bestand",IF(CH1097=1,CI1097,IF(LEFT(Cockpit!$O$5,1)="B",BF1097,MAX(BF1097,H1097))),ROUNDUP(BD1097,0)))</f>
        <v>1</v>
      </c>
      <c r="BA1097" s="50" t="n">
        <f aca="false">IF(BZ1097=1,0,ROUNDUP(AZ1097/BY1097,0))</f>
        <v>1</v>
      </c>
      <c r="BB1097" s="52" t="n">
        <f aca="false">IF(CQ1097&gt;0,CQ1097*MAX(1,AZ1097/X1097),IF(BZ1097=1,IF(AZ1097&lt;=0,0,CD1097*MAX(1,IF(H1097&gt;0,AZ1097/H1097,1))),IF(R1097&gt;0,BA1097/R1097,0))/MAX(0.1,N(Parameter!$M$21)))</f>
        <v>0.166666666666667</v>
      </c>
      <c r="BC1097" s="50" t="n">
        <f aca="false">BB1097*CB1097</f>
        <v>39.1666666666667</v>
      </c>
      <c r="BD1097" s="51" t="n">
        <f aca="false">IF(LEFT(Cockpit!$O$5,1)="A",H1097,IF(CH1097=1,(CK1097+CI1097)/2,IF(LEFT(Cockpit!$O$5,1)="B",(CK1097+BF1097)/2,MAX((CK1097+BF1097)/2,H1097))))</f>
        <v>0.5</v>
      </c>
      <c r="BE1097" s="50" t="n">
        <f aca="false">BD1097*G1097</f>
        <v>102.7</v>
      </c>
      <c r="BF1097" s="50" t="n">
        <f aca="false">ROUNDUP(CK1097+MAX(CL1097,2*(J1097/IF(CG1097&gt;0,CG1097,MAX(0.1,N(Cockpit!$O$6)))-CK1097)),0)</f>
        <v>1</v>
      </c>
      <c r="BG1097" s="51" t="n">
        <f aca="false">IF(BC1097&gt;0,J1097/BC1097,-1)</f>
        <v>0</v>
      </c>
      <c r="BH1097" s="51" t="n">
        <f aca="false">IF(AND(OR(CF1097="L1",CF1097="L23",CF1097="LIFT"),BC1097&gt;0),SUMIFS($BC$7:$BC$1843,$CF$7:$CF$1843,CF1097,$BG$7:$BG$1843,"&gt;"&amp;BG1097)+SUMIFS($BC$7:$BC$1843,$CF$7:$CF$1843,CF1097,$BG$7:$BG$1843,BG1097,$BW$7:$BW$1843,"&lt;="&amp;BW1097),"")</f>
        <v>28832.9902682064</v>
      </c>
      <c r="BI1097" s="58" t="n">
        <f aca="false">IF(BH1097="",0,MAX(0,MIN(1,(IF(CF1097="L1",Parameter!$H$5,IF(CF1097="L23",Parameter!$H$6+Parameter!$H$7,Parameter!$H$5+Parameter!$H$6+Parameter!$H$7))-(BH1097-BC1097))/BC1097)))</f>
        <v>1</v>
      </c>
      <c r="BJ1097" s="48" t="str">
        <f aca="false">IF(AI1097&lt;=0,"",IF(CF1097="Aussen","Aussenlager",IF(CF1097="-","Nicht im Lift",IF(AO1097&gt;=1,"Lift",IF(AO1097&lt;=0,"Aussenlager","teilweise")))))</f>
        <v>Lift</v>
      </c>
      <c r="BK1097" s="48" t="str">
        <f aca="false">IF(AS1097&lt;=0,"",IF(CF1097="Aussen","Aussenlager",IF(CF1097="-","Nicht im Lift",IF(AY1097&gt;=1,"Lift",IF(AY1097&lt;=0,"Aussenlager","teilweise")))))</f>
        <v>Lift</v>
      </c>
      <c r="BL1097" s="48" t="str">
        <f aca="false">IF(BC1097&lt;=0,"",IF(CF1097="Aussen","Aussenlager",IF(CF1097="-","Nicht im Lift",IF(BI1097&gt;=1,"Lift",IF(BI1097&lt;=0,"Aussenlager","teilweise")))))</f>
        <v>Lift</v>
      </c>
      <c r="BM1097" s="48" t="str">
        <f aca="false">IF(A1097="","",IF(BV1097=1,"Neu; ","")&amp;IF(AND(BV1097=0,BQ1097&lt;0),"negativer Bestand (Export "&amp;BQ1097&amp;"); ","")&amp;IF(J1097&lt;=0,"Kein Verbrauch; ","")&amp;IF(CQ1097&gt;0,"Lift "&amp;W1097&amp;" lt. Liftbericht (Fach "&amp;X1097&amp;" Stk); ",IF(CA1097=1,"Gebinde geschätzt ("&amp;T1097&amp;"); ",IF(BZ1097=1,"Lose – Tablare geschätzt; ","")))&amp;IF(H1097&gt;AV1097,"Überbestand "&amp;ROUND(H1097-AV1097,0)&amp;" Stk / CHF "&amp;ROUND((H1097-AV1097)*G1097,0)&amp;"; ","")&amp;IF(AND(CH1097=1,CI1097&lt;CJ1097),"MAX &lt; MB+LG; ","")&amp;IF(AND(CP1097&gt;0,CO1097*10&gt;CP1097),"zu hoch für Tablar; ","")&amp;IF(AND(BV1097=0,OR(CH1097=1,AA1097&lt;&gt;"",U1097&lt;&gt;"",V1097&lt;&gt;"",AB1097&lt;&gt;"")),"manuell übersteuert; ","")&amp;IF(AND(BZ1097=0,R1097=0),"Gebinde unbekannt / Stellmass fehlt; ","")&amp;IF(AND(BZ1097=0,N(V1097)&lt;=0,N(Q1097)&lt;=0),"Menge pro Gebinde fehlt (Ist = 1 Gebinde); ","")&amp;BU1097)</f>
        <v>negativer Bestand (Export -1); Kein Verbrauch; Überbestand 21 Stk / CHF 4313; </v>
      </c>
      <c r="BN1097" s="48"/>
      <c r="BO1097" s="48"/>
      <c r="BP1097" s="55"/>
      <c r="BQ1097" s="50" t="n">
        <v>-1</v>
      </c>
      <c r="BR1097" s="50" t="n">
        <v>23</v>
      </c>
      <c r="BS1097" s="49" t="n">
        <v>-205.4</v>
      </c>
      <c r="BT1097" s="50" t="n">
        <v>0</v>
      </c>
      <c r="BU1097" s="48"/>
      <c r="BV1097" s="53" t="n">
        <v>0</v>
      </c>
      <c r="BW1097" s="53" t="n">
        <v>1097</v>
      </c>
      <c r="BX1097" s="48" t="str">
        <f aca="false">IF(U1097&lt;&gt;"",UPPER(TRIM(U1097)),IF(CA1097=1,UPPER(VLOOKUP(T1097,Parameter!$I$27:$K$29,2,0)),IF(P1097="","LOSE",P1097)))</f>
        <v>S71</v>
      </c>
      <c r="BY1097" s="50" t="n">
        <f aca="false">IF(BX1097="LOSE",1,IF(N(V1097)&gt;0,V1097,IF(CA1097=1,MAX(1,N(VLOOKUP(T1097,Parameter!$I$27:$K$29,3,0)),H1097,N(N1097)),IF(N(Q1097)&gt;0,Q1097,MAX(1,H1097)))))</f>
        <v>24</v>
      </c>
      <c r="BZ1097" s="53" t="n">
        <f aca="false">IF(BX1097="LOSE",1,0)</f>
        <v>0</v>
      </c>
      <c r="CA1097" s="53" t="n">
        <f aca="false">IF(AND(U1097="",OR(P1097="",P1097="LOSE"),T1097&lt;&gt;"",N(S1097)&lt;=0,ISNUMBER(MATCH(T1097,Parameter!$I$27:$I$29,0))),1,0)</f>
        <v>0</v>
      </c>
      <c r="CB1097" s="53" t="n">
        <f aca="false">IF(CQ1097&gt;0,INDEX(Parameter!$H$5:$H$7,W1097)/INDEX(Parameter!$E$5:$E$7,W1097),IF(AND(BZ1097=0,N(IFERROR(VLOOKUP(BX1097,'Gebinde-Kategorie'!$A$5:$N$45,14,0),0))&gt;0),VLOOKUP(BX1097,'Gebinde-Kategorie'!$A$5:$N$45,14,0)*10+Parameter!$M$23,Parameter!$M$24))</f>
        <v>235</v>
      </c>
      <c r="CC1097" s="48" t="str">
        <f aca="false">IF(AND(Parameter!$B$19="Ja",E1097&lt;&gt;"",ISNUMBER(MATCH(E1097,Parameter!$I$35:$I$52,0))),VLOOKUP(E1097,Parameter!$I$35:$J$52,2,0),IFERROR(VLOOKUP(D1097,Parameter!$A$35:$C$64,2,0),"Nein"))</f>
        <v>2+3</v>
      </c>
      <c r="CD1097" s="52" t="n">
        <f aca="false">IF(BZ1097=0,0,IF(N(S1097)&gt;0,S1097,IFERROR(VLOOKUP(D1097,Parameter!$A$35:$C$64,3,0)+0,0)))</f>
        <v>0</v>
      </c>
      <c r="CE1097" s="48" t="n">
        <f aca="false">IF(AA1097&lt;&gt;"",AA1097,Z1097)</f>
        <v>2</v>
      </c>
      <c r="CF1097" s="48" t="str">
        <f aca="false">IF(OR(CE1097=1,CE1097=2,CE1097=3),IF(Parameter!$E$27="Ja","LIFT",IF(CE1097=1,"L1","L23")),IF(CE1097="Aussen","Aussen","-"))</f>
        <v>LIFT</v>
      </c>
      <c r="CG1097" s="59" t="n">
        <f aca="false">IF(N(AB1097)&gt;0,AB1097,0)</f>
        <v>0</v>
      </c>
      <c r="CH1097" s="53" t="n">
        <f aca="false">IF(ISNUMBER(AE1097),1,0)</f>
        <v>0</v>
      </c>
      <c r="CI1097" s="50" t="n">
        <f aca="false">N(AE1097)</f>
        <v>0</v>
      </c>
      <c r="CJ1097" s="50" t="n">
        <f aca="false">N(M1097)+N(N1097)</f>
        <v>1</v>
      </c>
      <c r="CK1097" s="50" t="n">
        <f aca="false">N(M1097)</f>
        <v>0</v>
      </c>
      <c r="CL1097" s="50" t="n">
        <f aca="false">N(N1097)</f>
        <v>1</v>
      </c>
      <c r="CM1097" s="50" t="n">
        <f aca="false">ROUNDUP(H1097/BY1097,0)</f>
        <v>1</v>
      </c>
      <c r="CN1097" s="50" t="n">
        <f aca="false">ROUNDUP(CI1097/BY1097,0)</f>
        <v>0</v>
      </c>
      <c r="CO1097" s="53" t="n">
        <f aca="false">IF(BZ1097=1,0,IFERROR(VLOOKUP(BX1097,'Gebinde-Kategorie'!$A$5:$N$45,5,0)+0,0))</f>
        <v>20</v>
      </c>
      <c r="CP1097" s="53" t="n">
        <f aca="false">IFERROR(IF(OR(CE1097=1,CE1097=2,CE1097=3),N(INDEX(Parameter!$I$5:$I$7,CE1097)),0),0)</f>
        <v>0</v>
      </c>
      <c r="CQ1097" s="52" t="n">
        <f aca="false">IF(AND(Parameter!$B$21="Ja",ISNUMBER(W1097),N(X1097)&gt;0),IFERROR(N(INDEX(Parameter!$L$5:$L$7,W1097))*INDEX(Parameter!$E$5:$E$7,W1097)*X1097/SUMIFS($X$7:$X$1843,$W$7:$W$1843,W1097),0),0)</f>
        <v>0</v>
      </c>
    </row>
    <row r="1098" customFormat="false" ht="15" hidden="false" customHeight="false" outlineLevel="0" collapsed="false">
      <c r="A1098" s="48" t="s">
        <v>2007</v>
      </c>
      <c r="B1098" s="48" t="s">
        <v>516</v>
      </c>
      <c r="C1098" s="48" t="s">
        <v>173</v>
      </c>
      <c r="D1098" s="48" t="s">
        <v>193</v>
      </c>
      <c r="E1098" s="48" t="s">
        <v>194</v>
      </c>
      <c r="F1098" s="48" t="s">
        <v>227</v>
      </c>
      <c r="G1098" s="49" t="n">
        <v>1.85</v>
      </c>
      <c r="H1098" s="50" t="n">
        <f aca="false">MAX(0,IF(AND(Parameter!$B$21="Ja",ISNUMBER(Y1098)),Y1098,IF(Parameter!$B$20="Jahresanfang 2025 + Export",BR1098+BQ1098,BQ1098)))</f>
        <v>322</v>
      </c>
      <c r="I1098" s="50" t="n">
        <f aca="false">H1098*G1098</f>
        <v>595.7</v>
      </c>
      <c r="J1098" s="50" t="n">
        <f aca="false">BT1098*Parameter!$B$18</f>
        <v>260</v>
      </c>
      <c r="K1098" s="51" t="n">
        <v>409.5</v>
      </c>
      <c r="L1098" s="52" t="n">
        <v>0.634920634920635</v>
      </c>
      <c r="M1098" s="50" t="n">
        <v>15</v>
      </c>
      <c r="N1098" s="50" t="n">
        <v>260</v>
      </c>
      <c r="O1098" s="53" t="n">
        <v>21</v>
      </c>
      <c r="P1098" s="48" t="s">
        <v>242</v>
      </c>
      <c r="Q1098" s="50" t="n">
        <v>832</v>
      </c>
      <c r="R1098" s="53" t="n">
        <f aca="false">IF(BZ1098=1,0,IFERROR(VLOOKUP(BX1098,'Gebinde-Kategorie'!$A$5:$N$45,13,0)+0,0))</f>
        <v>26</v>
      </c>
      <c r="S1098" s="54"/>
      <c r="T1098" s="55"/>
      <c r="U1098" s="55"/>
      <c r="V1098" s="55"/>
      <c r="W1098" s="48"/>
      <c r="X1098" s="50"/>
      <c r="Y1098" s="50"/>
      <c r="Z1098" s="48" t="n">
        <f aca="false">IF(A1098="","",IF(AND(Parameter!$B$21="Ja",ISNUMBER(W1098)),W1098,IF(CC1098="2+3",IF(ISNUMBER(SEARCH("grosser Artikel",BU1098)),2,IFERROR(VLOOKUP(BX1098,Parameter!$F$35:$G$64,2,0),2)),IF(OR(CC1098="Nein",CC1098=""),"-",CC1098))))</f>
        <v>3</v>
      </c>
      <c r="AA1098" s="55"/>
      <c r="AB1098" s="56"/>
      <c r="AC1098" s="50" t="n">
        <f aca="false">AV1098</f>
        <v>275</v>
      </c>
      <c r="AD1098" s="50" t="n">
        <f aca="false">MAX(AV1098,H1098)</f>
        <v>322</v>
      </c>
      <c r="AE1098" s="57"/>
      <c r="AF1098" s="50" t="n">
        <f aca="false">IF(LEFT(Cockpit!$C$5,1)="A",H1098,IF(Parameter!$E$30="MAX-Bestand",IF(CH1098=1,CI1098,IF(LEFT(Cockpit!$C$5,1)="B",AL1098,MAX(AL1098,H1098))),ROUNDUP(AJ1098,0)))</f>
        <v>322</v>
      </c>
      <c r="AG1098" s="50" t="n">
        <f aca="false">IF(BZ1098=1,0,ROUNDUP(AF1098/BY1098,0))</f>
        <v>1</v>
      </c>
      <c r="AH1098" s="52" t="n">
        <f aca="false">IF(CQ1098&gt;0,CQ1098*MAX(1,AF1098/X1098),IF(BZ1098=1,IF(AF1098&lt;=0,0,CD1098*MAX(1,IF(H1098&gt;0,AF1098/H1098,1))),IF(R1098&gt;0,AG1098/R1098,0))/MAX(0.1,N(Parameter!$M$21)))</f>
        <v>0.0384615384615385</v>
      </c>
      <c r="AI1098" s="50" t="n">
        <f aca="false">AH1098*CB1098</f>
        <v>9.42307692307692</v>
      </c>
      <c r="AJ1098" s="51" t="n">
        <f aca="false">IF(LEFT(Cockpit!$C$5,1)="A",H1098,IF(CH1098=1,(CK1098+CI1098)/2,IF(LEFT(Cockpit!$C$5,1)="B",(CK1098+AL1098)/2,MAX((CK1098+AL1098)/2,H1098))))</f>
        <v>322</v>
      </c>
      <c r="AK1098" s="50" t="n">
        <f aca="false">AJ1098*G1098</f>
        <v>595.7</v>
      </c>
      <c r="AL1098" s="50" t="n">
        <f aca="false">ROUNDUP(CK1098+MAX(CL1098,2*(J1098/IF(CG1098&gt;0,CG1098,MAX(0.1,N(Cockpit!$C$6)))-CK1098)),0)</f>
        <v>275</v>
      </c>
      <c r="AM1098" s="51" t="n">
        <f aca="false">IF(AI1098&gt;0,J1098/AI1098,-1)</f>
        <v>27.5918367346939</v>
      </c>
      <c r="AN1098" s="51" t="n">
        <f aca="false">IF(AND(OR(CF1098="L1",CF1098="L23",CF1098="LIFT"),AI1098&gt;0),SUMIFS($AI$7:$AI$1843,$CF$7:$CF$1843,CF1098,$AM$7:$AM$1843,"&gt;"&amp;AM1098)+SUMIFS($AI$7:$AI$1843,$CF$7:$CF$1843,CF1098,$AM$7:$AM$1843,AM1098,$BW$7:$BW$1843,"&lt;="&amp;BW1098),"")</f>
        <v>1501.54075091575</v>
      </c>
      <c r="AO1098" s="58" t="n">
        <f aca="false">IF(AN1098="",0,MAX(0,MIN(1,(IF(CF1098="L1",Parameter!$H$5,IF(CF1098="L23",Parameter!$H$6+Parameter!$H$7,Parameter!$H$5+Parameter!$H$6+Parameter!$H$7))-(AN1098-AI1098))/AI1098)))</f>
        <v>1</v>
      </c>
      <c r="AP1098" s="50" t="n">
        <f aca="false">IF(LEFT(Cockpit!$I$5,1)="A",H1098,IF(Parameter!$E$30="MAX-Bestand",IF(CH1098=1,CI1098,IF(LEFT(Cockpit!$I$5,1)="B",AV1098,MAX(AV1098,H1098))),ROUNDUP(AT1098,0)))</f>
        <v>322</v>
      </c>
      <c r="AQ1098" s="50" t="n">
        <f aca="false">IF(BZ1098=1,0,ROUNDUP(AP1098/BY1098,0))</f>
        <v>1</v>
      </c>
      <c r="AR1098" s="52" t="n">
        <f aca="false">IF(CQ1098&gt;0,CQ1098*MAX(1,AP1098/X1098),IF(BZ1098=1,IF(AP1098&lt;=0,0,CD1098*MAX(1,IF(H1098&gt;0,AP1098/H1098,1))),IF(R1098&gt;0,AQ1098/R1098,0))/MAX(0.1,N(Parameter!$M$21)))</f>
        <v>0.0384615384615385</v>
      </c>
      <c r="AS1098" s="50" t="n">
        <f aca="false">AR1098*CB1098</f>
        <v>9.42307692307692</v>
      </c>
      <c r="AT1098" s="51" t="n">
        <f aca="false">IF(LEFT(Cockpit!$I$5,1)="A",H1098,IF(CH1098=1,(CK1098+CI1098)/2,IF(LEFT(Cockpit!$I$5,1)="B",(CK1098+AV1098)/2,MAX((CK1098+AV1098)/2,H1098))))</f>
        <v>322</v>
      </c>
      <c r="AU1098" s="50" t="n">
        <f aca="false">AT1098*G1098</f>
        <v>595.7</v>
      </c>
      <c r="AV1098" s="50" t="n">
        <f aca="false">ROUNDUP(CK1098+MAX(CL1098,2*(J1098/IF(CG1098&gt;0,CG1098,MAX(0.1,N(Cockpit!$I$6)))-CK1098)),0)</f>
        <v>275</v>
      </c>
      <c r="AW1098" s="51" t="n">
        <f aca="false">IF(AS1098&gt;0,J1098/AS1098,-1)</f>
        <v>27.5918367346939</v>
      </c>
      <c r="AX1098" s="51" t="n">
        <f aca="false">IF(AND(OR(CF1098="L1",CF1098="L23",CF1098="LIFT"),AS1098&gt;0),SUMIFS($AS$7:$AS$1843,$CF$7:$CF$1843,CF1098,$AW$7:$AW$1843,"&gt;"&amp;AW1098)+SUMIFS($AS$7:$AS$1843,$CF$7:$CF$1843,CF1098,$AW$7:$AW$1843,AW1098,$BW$7:$BW$1843,"&lt;="&amp;BW1098),"")</f>
        <v>1920.16804029304</v>
      </c>
      <c r="AY1098" s="58" t="n">
        <f aca="false">IF(AX1098="",0,MAX(0,MIN(1,(IF(CF1098="L1",Parameter!$H$5,IF(CF1098="L23",Parameter!$H$6+Parameter!$H$7,Parameter!$H$5+Parameter!$H$6+Parameter!$H$7))-(AX1098-AS1098))/AS1098)))</f>
        <v>1</v>
      </c>
      <c r="AZ1098" s="50" t="n">
        <f aca="false">IF(LEFT(Cockpit!$O$5,1)="A",H1098,IF(Parameter!$E$30="MAX-Bestand",IF(CH1098=1,CI1098,IF(LEFT(Cockpit!$O$5,1)="B",BF1098,MAX(BF1098,H1098))),ROUNDUP(BD1098,0)))</f>
        <v>145</v>
      </c>
      <c r="BA1098" s="50" t="n">
        <f aca="false">IF(BZ1098=1,0,ROUNDUP(AZ1098/BY1098,0))</f>
        <v>1</v>
      </c>
      <c r="BB1098" s="52" t="n">
        <f aca="false">IF(CQ1098&gt;0,CQ1098*MAX(1,AZ1098/X1098),IF(BZ1098=1,IF(AZ1098&lt;=0,0,CD1098*MAX(1,IF(H1098&gt;0,AZ1098/H1098,1))),IF(R1098&gt;0,BA1098/R1098,0))/MAX(0.1,N(Parameter!$M$21)))</f>
        <v>0.0384615384615385</v>
      </c>
      <c r="BC1098" s="50" t="n">
        <f aca="false">BB1098*CB1098</f>
        <v>9.42307692307692</v>
      </c>
      <c r="BD1098" s="51" t="n">
        <f aca="false">IF(LEFT(Cockpit!$O$5,1)="A",H1098,IF(CH1098=1,(CK1098+CI1098)/2,IF(LEFT(Cockpit!$O$5,1)="B",(CK1098+BF1098)/2,MAX((CK1098+BF1098)/2,H1098))))</f>
        <v>145</v>
      </c>
      <c r="BE1098" s="50" t="n">
        <f aca="false">BD1098*G1098</f>
        <v>268.25</v>
      </c>
      <c r="BF1098" s="50" t="n">
        <f aca="false">ROUNDUP(CK1098+MAX(CL1098,2*(J1098/IF(CG1098&gt;0,CG1098,MAX(0.1,N(Cockpit!$O$6)))-CK1098)),0)</f>
        <v>275</v>
      </c>
      <c r="BG1098" s="51" t="n">
        <f aca="false">IF(BC1098&gt;0,J1098/BC1098,-1)</f>
        <v>27.5918367346939</v>
      </c>
      <c r="BH1098" s="51" t="n">
        <f aca="false">IF(AND(OR(CF1098="L1",CF1098="L23",CF1098="LIFT"),BC1098&gt;0),SUMIFS($BC$7:$BC$1843,$CF$7:$CF$1843,CF1098,$BG$7:$BG$1843,"&gt;"&amp;BG1098)+SUMIFS($BC$7:$BC$1843,$CF$7:$CF$1843,CF1098,$BG$7:$BG$1843,BG1098,$BW$7:$BW$1843,"&lt;="&amp;BW1098),"")</f>
        <v>1918.31868131868</v>
      </c>
      <c r="BI1098" s="58" t="n">
        <f aca="false">IF(BH1098="",0,MAX(0,MIN(1,(IF(CF1098="L1",Parameter!$H$5,IF(CF1098="L23",Parameter!$H$6+Parameter!$H$7,Parameter!$H$5+Parameter!$H$6+Parameter!$H$7))-(BH1098-BC1098))/BC1098)))</f>
        <v>1</v>
      </c>
      <c r="BJ1098" s="48" t="str">
        <f aca="false">IF(AI1098&lt;=0,"",IF(CF1098="Aussen","Aussenlager",IF(CF1098="-","Nicht im Lift",IF(AO1098&gt;=1,"Lift",IF(AO1098&lt;=0,"Aussenlager","teilweise")))))</f>
        <v>Lift</v>
      </c>
      <c r="BK1098" s="48" t="str">
        <f aca="false">IF(AS1098&lt;=0,"",IF(CF1098="Aussen","Aussenlager",IF(CF1098="-","Nicht im Lift",IF(AY1098&gt;=1,"Lift",IF(AY1098&lt;=0,"Aussenlager","teilweise")))))</f>
        <v>Lift</v>
      </c>
      <c r="BL1098" s="48" t="str">
        <f aca="false">IF(BC1098&lt;=0,"",IF(CF1098="Aussen","Aussenlager",IF(CF1098="-","Nicht im Lift",IF(BI1098&gt;=1,"Lift",IF(BI1098&lt;=0,"Aussenlager","teilweise")))))</f>
        <v>Lift</v>
      </c>
      <c r="BM1098" s="48" t="str">
        <f aca="false">IF(A1098="","",IF(BV1098=1,"Neu; ","")&amp;IF(AND(BV1098=0,BQ1098&lt;0),"negativer Bestand (Export "&amp;BQ1098&amp;"); ","")&amp;IF(J1098&lt;=0,"Kein Verbrauch; ","")&amp;IF(CQ1098&gt;0,"Lift "&amp;W1098&amp;" lt. Liftbericht (Fach "&amp;X1098&amp;" Stk); ",IF(CA1098=1,"Gebinde geschätzt ("&amp;T1098&amp;"); ",IF(BZ1098=1,"Lose – Tablare geschätzt; ","")))&amp;IF(H1098&gt;AV1098,"Überbestand "&amp;ROUND(H1098-AV1098,0)&amp;" Stk / CHF "&amp;ROUND((H1098-AV1098)*G1098,0)&amp;"; ","")&amp;IF(AND(CH1098=1,CI1098&lt;CJ1098),"MAX &lt; MB+LG; ","")&amp;IF(AND(CP1098&gt;0,CO1098*10&gt;CP1098),"zu hoch für Tablar; ","")&amp;IF(AND(BV1098=0,OR(CH1098=1,AA1098&lt;&gt;"",U1098&lt;&gt;"",V1098&lt;&gt;"",AB1098&lt;&gt;"")),"manuell übersteuert; ","")&amp;IF(AND(BZ1098=0,R1098=0),"Gebinde unbekannt / Stellmass fehlt; ","")&amp;IF(AND(BZ1098=0,N(V1098)&lt;=0,N(Q1098)&lt;=0),"Menge pro Gebinde fehlt (Ist = 1 Gebinde); ","")&amp;BU1098)</f>
        <v>negativer Bestand (Export -30); Überbestand 47 Stk / CHF 87; </v>
      </c>
      <c r="BN1098" s="48"/>
      <c r="BO1098" s="48"/>
      <c r="BP1098" s="55"/>
      <c r="BQ1098" s="50" t="n">
        <v>-30</v>
      </c>
      <c r="BR1098" s="50" t="n">
        <v>352</v>
      </c>
      <c r="BS1098" s="49" t="n">
        <v>-207.150000000001</v>
      </c>
      <c r="BT1098" s="50" t="n">
        <v>260</v>
      </c>
      <c r="BU1098" s="48"/>
      <c r="BV1098" s="53" t="n">
        <v>0</v>
      </c>
      <c r="BW1098" s="53" t="n">
        <v>1098</v>
      </c>
      <c r="BX1098" s="48" t="str">
        <f aca="false">IF(U1098&lt;&gt;"",UPPER(TRIM(U1098)),IF(CA1098=1,UPPER(VLOOKUP(T1098,Parameter!$I$27:$K$29,2,0)),IF(P1098="","LOSE",P1098)))</f>
        <v>S52</v>
      </c>
      <c r="BY1098" s="50" t="n">
        <f aca="false">IF(BX1098="LOSE",1,IF(N(V1098)&gt;0,V1098,IF(CA1098=1,MAX(1,N(VLOOKUP(T1098,Parameter!$I$27:$K$29,3,0)),H1098,N(N1098)),IF(N(Q1098)&gt;0,Q1098,MAX(1,H1098)))))</f>
        <v>832</v>
      </c>
      <c r="BZ1098" s="53" t="n">
        <f aca="false">IF(BX1098="LOSE",1,0)</f>
        <v>0</v>
      </c>
      <c r="CA1098" s="53" t="n">
        <f aca="false">IF(AND(U1098="",OR(P1098="",P1098="LOSE"),T1098&lt;&gt;"",N(S1098)&lt;=0,ISNUMBER(MATCH(T1098,Parameter!$I$27:$I$29,0))),1,0)</f>
        <v>0</v>
      </c>
      <c r="CB1098" s="53" t="n">
        <f aca="false">IF(CQ1098&gt;0,INDEX(Parameter!$H$5:$H$7,W1098)/INDEX(Parameter!$E$5:$E$7,W1098),IF(AND(BZ1098=0,N(IFERROR(VLOOKUP(BX1098,'Gebinde-Kategorie'!$A$5:$N$45,14,0),0))&gt;0),VLOOKUP(BX1098,'Gebinde-Kategorie'!$A$5:$N$45,14,0)*10+Parameter!$M$23,Parameter!$M$24))</f>
        <v>245</v>
      </c>
      <c r="CC1098" s="48" t="str">
        <f aca="false">IF(AND(Parameter!$B$19="Ja",E1098&lt;&gt;"",ISNUMBER(MATCH(E1098,Parameter!$I$35:$I$52,0))),VLOOKUP(E1098,Parameter!$I$35:$J$52,2,0),IFERROR(VLOOKUP(D1098,Parameter!$A$35:$C$64,2,0),"Nein"))</f>
        <v>2+3</v>
      </c>
      <c r="CD1098" s="52" t="n">
        <f aca="false">IF(BZ1098=0,0,IF(N(S1098)&gt;0,S1098,IFERROR(VLOOKUP(D1098,Parameter!$A$35:$C$64,3,0)+0,0)))</f>
        <v>0</v>
      </c>
      <c r="CE1098" s="48" t="n">
        <f aca="false">IF(AA1098&lt;&gt;"",AA1098,Z1098)</f>
        <v>3</v>
      </c>
      <c r="CF1098" s="48" t="str">
        <f aca="false">IF(OR(CE1098=1,CE1098=2,CE1098=3),IF(Parameter!$E$27="Ja","LIFT",IF(CE1098=1,"L1","L23")),IF(CE1098="Aussen","Aussen","-"))</f>
        <v>LIFT</v>
      </c>
      <c r="CG1098" s="59" t="n">
        <f aca="false">IF(N(AB1098)&gt;0,AB1098,0)</f>
        <v>0</v>
      </c>
      <c r="CH1098" s="53" t="n">
        <f aca="false">IF(ISNUMBER(AE1098),1,0)</f>
        <v>0</v>
      </c>
      <c r="CI1098" s="50" t="n">
        <f aca="false">N(AE1098)</f>
        <v>0</v>
      </c>
      <c r="CJ1098" s="50" t="n">
        <f aca="false">N(M1098)+N(N1098)</f>
        <v>275</v>
      </c>
      <c r="CK1098" s="50" t="n">
        <f aca="false">N(M1098)</f>
        <v>15</v>
      </c>
      <c r="CL1098" s="50" t="n">
        <f aca="false">N(N1098)</f>
        <v>260</v>
      </c>
      <c r="CM1098" s="50" t="n">
        <f aca="false">ROUNDUP(H1098/BY1098,0)</f>
        <v>1</v>
      </c>
      <c r="CN1098" s="50" t="n">
        <f aca="false">ROUNDUP(CI1098/BY1098,0)</f>
        <v>0</v>
      </c>
      <c r="CO1098" s="53" t="n">
        <f aca="false">IF(BZ1098=1,0,IFERROR(VLOOKUP(BX1098,'Gebinde-Kategorie'!$A$5:$N$45,5,0)+0,0))</f>
        <v>21</v>
      </c>
      <c r="CP1098" s="53" t="n">
        <f aca="false">IFERROR(IF(OR(CE1098=1,CE1098=2,CE1098=3),N(INDEX(Parameter!$I$5:$I$7,CE1098)),0),0)</f>
        <v>0</v>
      </c>
      <c r="CQ1098" s="52" t="n">
        <f aca="false">IF(AND(Parameter!$B$21="Ja",ISNUMBER(W1098),N(X1098)&gt;0),IFERROR(N(INDEX(Parameter!$L$5:$L$7,W1098))*INDEX(Parameter!$E$5:$E$7,W1098)*X1098/SUMIFS($X$7:$X$1843,$W$7:$W$1843,W1098),0),0)</f>
        <v>0</v>
      </c>
    </row>
    <row r="1099" customFormat="false" ht="15" hidden="false" customHeight="false" outlineLevel="0" collapsed="false">
      <c r="A1099" s="48" t="s">
        <v>2008</v>
      </c>
      <c r="B1099" s="48" t="s">
        <v>2009</v>
      </c>
      <c r="C1099" s="48" t="s">
        <v>173</v>
      </c>
      <c r="D1099" s="48" t="s">
        <v>182</v>
      </c>
      <c r="E1099" s="48"/>
      <c r="F1099" s="48" t="s">
        <v>227</v>
      </c>
      <c r="G1099" s="49" t="n">
        <v>166.37</v>
      </c>
      <c r="H1099" s="50" t="n">
        <f aca="false">MAX(0,IF(AND(Parameter!$B$21="Ja",ISNUMBER(Y1099)),Y1099,IF(Parameter!$B$20="Jahresanfang 2025 + Export",BR1099+BQ1099,BQ1099)))</f>
        <v>9</v>
      </c>
      <c r="I1099" s="50" t="n">
        <f aca="false">H1099*G1099</f>
        <v>1497.33</v>
      </c>
      <c r="J1099" s="50" t="n">
        <f aca="false">BT1099*Parameter!$B$18</f>
        <v>16</v>
      </c>
      <c r="K1099" s="51" t="n">
        <v>10.5</v>
      </c>
      <c r="L1099" s="52" t="n">
        <v>1.52380952380952</v>
      </c>
      <c r="M1099" s="50" t="n">
        <v>1</v>
      </c>
      <c r="N1099" s="50" t="n">
        <v>15</v>
      </c>
      <c r="O1099" s="53" t="n">
        <v>35</v>
      </c>
      <c r="P1099" s="48" t="s">
        <v>183</v>
      </c>
      <c r="Q1099" s="50" t="n">
        <v>20</v>
      </c>
      <c r="R1099" s="53" t="n">
        <f aca="false">IF(BZ1099=1,0,IFERROR(VLOOKUP(BX1099,'Gebinde-Kategorie'!$A$5:$N$45,13,0)+0,0))</f>
        <v>6</v>
      </c>
      <c r="S1099" s="54"/>
      <c r="T1099" s="55"/>
      <c r="U1099" s="55"/>
      <c r="V1099" s="55"/>
      <c r="W1099" s="48"/>
      <c r="X1099" s="50"/>
      <c r="Y1099" s="50"/>
      <c r="Z1099" s="48" t="n">
        <f aca="false">IF(A1099="","",IF(AND(Parameter!$B$21="Ja",ISNUMBER(W1099)),W1099,IF(CC1099="2+3",IF(ISNUMBER(SEARCH("grosser Artikel",BU1099)),2,IFERROR(VLOOKUP(BX1099,Parameter!$F$35:$G$64,2,0),2)),IF(OR(CC1099="Nein",CC1099=""),"-",CC1099))))</f>
        <v>2</v>
      </c>
      <c r="AA1099" s="55"/>
      <c r="AB1099" s="56"/>
      <c r="AC1099" s="50" t="n">
        <f aca="false">AV1099</f>
        <v>16</v>
      </c>
      <c r="AD1099" s="50" t="n">
        <f aca="false">MAX(AV1099,H1099)</f>
        <v>16</v>
      </c>
      <c r="AE1099" s="57"/>
      <c r="AF1099" s="50" t="n">
        <f aca="false">IF(LEFT(Cockpit!$C$5,1)="A",H1099,IF(Parameter!$E$30="MAX-Bestand",IF(CH1099=1,CI1099,IF(LEFT(Cockpit!$C$5,1)="B",AL1099,MAX(AL1099,H1099))),ROUNDUP(AJ1099,0)))</f>
        <v>9</v>
      </c>
      <c r="AG1099" s="50" t="n">
        <f aca="false">IF(BZ1099=1,0,ROUNDUP(AF1099/BY1099,0))</f>
        <v>1</v>
      </c>
      <c r="AH1099" s="52" t="n">
        <f aca="false">IF(CQ1099&gt;0,CQ1099*MAX(1,AF1099/X1099),IF(BZ1099=1,IF(AF1099&lt;=0,0,CD1099*MAX(1,IF(H1099&gt;0,AF1099/H1099,1))),IF(R1099&gt;0,AG1099/R1099,0))/MAX(0.1,N(Parameter!$M$21)))</f>
        <v>0.166666666666667</v>
      </c>
      <c r="AI1099" s="50" t="n">
        <f aca="false">AH1099*CB1099</f>
        <v>39.1666666666667</v>
      </c>
      <c r="AJ1099" s="51" t="n">
        <f aca="false">IF(LEFT(Cockpit!$C$5,1)="A",H1099,IF(CH1099=1,(CK1099+CI1099)/2,IF(LEFT(Cockpit!$C$5,1)="B",(CK1099+AL1099)/2,MAX((CK1099+AL1099)/2,H1099))))</f>
        <v>9</v>
      </c>
      <c r="AK1099" s="50" t="n">
        <f aca="false">AJ1099*G1099</f>
        <v>1497.33</v>
      </c>
      <c r="AL1099" s="50" t="n">
        <f aca="false">ROUNDUP(CK1099+MAX(CL1099,2*(J1099/IF(CG1099&gt;0,CG1099,MAX(0.1,N(Cockpit!$C$6)))-CK1099)),0)</f>
        <v>16</v>
      </c>
      <c r="AM1099" s="51" t="n">
        <f aca="false">IF(AI1099&gt;0,J1099/AI1099,-1)</f>
        <v>0.408510638297872</v>
      </c>
      <c r="AN1099" s="51" t="n">
        <f aca="false">IF(AND(OR(CF1099="L1",CF1099="L23",CF1099="LIFT"),AI1099&gt;0),SUMIFS($AI$7:$AI$1843,$CF$7:$CF$1843,CF1099,$AM$7:$AM$1843,"&gt;"&amp;AM1099)+SUMIFS($AI$7:$AI$1843,$CF$7:$CF$1843,CF1099,$AM$7:$AM$1843,AM1099,$BW$7:$BW$1843,"&lt;="&amp;BW1099),"")</f>
        <v>10142.7627920573</v>
      </c>
      <c r="AO1099" s="58" t="n">
        <f aca="false">IF(AN1099="",0,MAX(0,MIN(1,(IF(CF1099="L1",Parameter!$H$5,IF(CF1099="L23",Parameter!$H$6+Parameter!$H$7,Parameter!$H$5+Parameter!$H$6+Parameter!$H$7))-(AN1099-AI1099))/AI1099)))</f>
        <v>1</v>
      </c>
      <c r="AP1099" s="50" t="n">
        <f aca="false">IF(LEFT(Cockpit!$I$5,1)="A",H1099,IF(Parameter!$E$30="MAX-Bestand",IF(CH1099=1,CI1099,IF(LEFT(Cockpit!$I$5,1)="B",AV1099,MAX(AV1099,H1099))),ROUNDUP(AT1099,0)))</f>
        <v>9</v>
      </c>
      <c r="AQ1099" s="50" t="n">
        <f aca="false">IF(BZ1099=1,0,ROUNDUP(AP1099/BY1099,0))</f>
        <v>1</v>
      </c>
      <c r="AR1099" s="52" t="n">
        <f aca="false">IF(CQ1099&gt;0,CQ1099*MAX(1,AP1099/X1099),IF(BZ1099=1,IF(AP1099&lt;=0,0,CD1099*MAX(1,IF(H1099&gt;0,AP1099/H1099,1))),IF(R1099&gt;0,AQ1099/R1099,0))/MAX(0.1,N(Parameter!$M$21)))</f>
        <v>0.166666666666667</v>
      </c>
      <c r="AS1099" s="50" t="n">
        <f aca="false">AR1099*CB1099</f>
        <v>39.1666666666667</v>
      </c>
      <c r="AT1099" s="51" t="n">
        <f aca="false">IF(LEFT(Cockpit!$I$5,1)="A",H1099,IF(CH1099=1,(CK1099+CI1099)/2,IF(LEFT(Cockpit!$I$5,1)="B",(CK1099+AV1099)/2,MAX((CK1099+AV1099)/2,H1099))))</f>
        <v>9</v>
      </c>
      <c r="AU1099" s="50" t="n">
        <f aca="false">AT1099*G1099</f>
        <v>1497.33</v>
      </c>
      <c r="AV1099" s="50" t="n">
        <f aca="false">ROUNDUP(CK1099+MAX(CL1099,2*(J1099/IF(CG1099&gt;0,CG1099,MAX(0.1,N(Cockpit!$I$6)))-CK1099)),0)</f>
        <v>16</v>
      </c>
      <c r="AW1099" s="51" t="n">
        <f aca="false">IF(AS1099&gt;0,J1099/AS1099,-1)</f>
        <v>0.408510638297872</v>
      </c>
      <c r="AX1099" s="51" t="n">
        <f aca="false">IF(AND(OR(CF1099="L1",CF1099="L23",CF1099="LIFT"),AS1099&gt;0),SUMIFS($AS$7:$AS$1843,$CF$7:$CF$1843,CF1099,$AW$7:$AW$1843,"&gt;"&amp;AW1099)+SUMIFS($AS$7:$AS$1843,$CF$7:$CF$1843,CF1099,$AW$7:$AW$1843,AW1099,$BW$7:$BW$1843,"&lt;="&amp;BW1099),"")</f>
        <v>12874.516025641</v>
      </c>
      <c r="AY1099" s="58" t="n">
        <f aca="false">IF(AX1099="",0,MAX(0,MIN(1,(IF(CF1099="L1",Parameter!$H$5,IF(CF1099="L23",Parameter!$H$6+Parameter!$H$7,Parameter!$H$5+Parameter!$H$6+Parameter!$H$7))-(AX1099-AS1099))/AS1099)))</f>
        <v>1</v>
      </c>
      <c r="AZ1099" s="50" t="n">
        <f aca="false">IF(LEFT(Cockpit!$O$5,1)="A",H1099,IF(Parameter!$E$30="MAX-Bestand",IF(CH1099=1,CI1099,IF(LEFT(Cockpit!$O$5,1)="B",BF1099,MAX(BF1099,H1099))),ROUNDUP(BD1099,0)))</f>
        <v>9</v>
      </c>
      <c r="BA1099" s="50" t="n">
        <f aca="false">IF(BZ1099=1,0,ROUNDUP(AZ1099/BY1099,0))</f>
        <v>1</v>
      </c>
      <c r="BB1099" s="52" t="n">
        <f aca="false">IF(CQ1099&gt;0,CQ1099*MAX(1,AZ1099/X1099),IF(BZ1099=1,IF(AZ1099&lt;=0,0,CD1099*MAX(1,IF(H1099&gt;0,AZ1099/H1099,1))),IF(R1099&gt;0,BA1099/R1099,0))/MAX(0.1,N(Parameter!$M$21)))</f>
        <v>0.166666666666667</v>
      </c>
      <c r="BC1099" s="50" t="n">
        <f aca="false">BB1099*CB1099</f>
        <v>39.1666666666667</v>
      </c>
      <c r="BD1099" s="51" t="n">
        <f aca="false">IF(LEFT(Cockpit!$O$5,1)="A",H1099,IF(CH1099=1,(CK1099+CI1099)/2,IF(LEFT(Cockpit!$O$5,1)="B",(CK1099+BF1099)/2,MAX((CK1099+BF1099)/2,H1099))))</f>
        <v>8.5</v>
      </c>
      <c r="BE1099" s="50" t="n">
        <f aca="false">BD1099*G1099</f>
        <v>1414.145</v>
      </c>
      <c r="BF1099" s="50" t="n">
        <f aca="false">ROUNDUP(CK1099+MAX(CL1099,2*(J1099/IF(CG1099&gt;0,CG1099,MAX(0.1,N(Cockpit!$O$6)))-CK1099)),0)</f>
        <v>16</v>
      </c>
      <c r="BG1099" s="51" t="n">
        <f aca="false">IF(BC1099&gt;0,J1099/BC1099,-1)</f>
        <v>0.408510638297872</v>
      </c>
      <c r="BH1099" s="51" t="n">
        <f aca="false">IF(AND(OR(CF1099="L1",CF1099="L23",CF1099="LIFT"),BC1099&gt;0),SUMIFS($BC$7:$BC$1843,$CF$7:$CF$1843,CF1099,$BG$7:$BG$1843,"&gt;"&amp;BG1099)+SUMIFS($BC$7:$BC$1843,$CF$7:$CF$1843,CF1099,$BG$7:$BG$1843,BG1099,$BW$7:$BW$1843,"&lt;="&amp;BW1099),"")</f>
        <v>10918.5196886447</v>
      </c>
      <c r="BI1099" s="58" t="n">
        <f aca="false">IF(BH1099="",0,MAX(0,MIN(1,(IF(CF1099="L1",Parameter!$H$5,IF(CF1099="L23",Parameter!$H$6+Parameter!$H$7,Parameter!$H$5+Parameter!$H$6+Parameter!$H$7))-(BH1099-BC1099))/BC1099)))</f>
        <v>1</v>
      </c>
      <c r="BJ1099" s="48" t="str">
        <f aca="false">IF(AI1099&lt;=0,"",IF(CF1099="Aussen","Aussenlager",IF(CF1099="-","Nicht im Lift",IF(AO1099&gt;=1,"Lift",IF(AO1099&lt;=0,"Aussenlager","teilweise")))))</f>
        <v>Lift</v>
      </c>
      <c r="BK1099" s="48" t="str">
        <f aca="false">IF(AS1099&lt;=0,"",IF(CF1099="Aussen","Aussenlager",IF(CF1099="-","Nicht im Lift",IF(AY1099&gt;=1,"Lift",IF(AY1099&lt;=0,"Aussenlager","teilweise")))))</f>
        <v>Lift</v>
      </c>
      <c r="BL1099" s="48" t="str">
        <f aca="false">IF(BC1099&lt;=0,"",IF(CF1099="Aussen","Aussenlager",IF(CF1099="-","Nicht im Lift",IF(BI1099&gt;=1,"Lift",IF(BI1099&lt;=0,"Aussenlager","teilweise")))))</f>
        <v>Lift</v>
      </c>
      <c r="BM1099" s="48" t="str">
        <f aca="false">IF(A1099="","",IF(BV1099=1,"Neu; ","")&amp;IF(AND(BV1099=0,BQ1099&lt;0),"negativer Bestand (Export "&amp;BQ1099&amp;"); ","")&amp;IF(J1099&lt;=0,"Kein Verbrauch; ","")&amp;IF(CQ1099&gt;0,"Lift "&amp;W1099&amp;" lt. Liftbericht (Fach "&amp;X1099&amp;" Stk); ",IF(CA1099=1,"Gebinde geschätzt ("&amp;T1099&amp;"); ",IF(BZ1099=1,"Lose – Tablare geschätzt; ","")))&amp;IF(H1099&gt;AV1099,"Überbestand "&amp;ROUND(H1099-AV1099,0)&amp;" Stk / CHF "&amp;ROUND((H1099-AV1099)*G1099,0)&amp;"; ","")&amp;IF(AND(CH1099=1,CI1099&lt;CJ1099),"MAX &lt; MB+LG; ","")&amp;IF(AND(CP1099&gt;0,CO1099*10&gt;CP1099),"zu hoch für Tablar; ","")&amp;IF(AND(BV1099=0,OR(CH1099=1,AA1099&lt;&gt;"",U1099&lt;&gt;"",V1099&lt;&gt;"",AB1099&lt;&gt;"")),"manuell übersteuert; ","")&amp;IF(AND(BZ1099=0,R1099=0),"Gebinde unbekannt / Stellmass fehlt; ","")&amp;IF(AND(BZ1099=0,N(V1099)&lt;=0,N(Q1099)&lt;=0),"Menge pro Gebinde fehlt (Ist = 1 Gebinde); ","")&amp;BU1099)</f>
        <v>negativer Bestand (Export -2); </v>
      </c>
      <c r="BN1099" s="48"/>
      <c r="BO1099" s="48"/>
      <c r="BP1099" s="55"/>
      <c r="BQ1099" s="50" t="n">
        <v>-2</v>
      </c>
      <c r="BR1099" s="50" t="n">
        <v>11</v>
      </c>
      <c r="BS1099" s="49" t="n">
        <v>-212.29</v>
      </c>
      <c r="BT1099" s="50" t="n">
        <v>16</v>
      </c>
      <c r="BU1099" s="48"/>
      <c r="BV1099" s="53" t="n">
        <v>0</v>
      </c>
      <c r="BW1099" s="53" t="n">
        <v>1099</v>
      </c>
      <c r="BX1099" s="48" t="str">
        <f aca="false">IF(U1099&lt;&gt;"",UPPER(TRIM(U1099)),IF(CA1099=1,UPPER(VLOOKUP(T1099,Parameter!$I$27:$K$29,2,0)),IF(P1099="","LOSE",P1099)))</f>
        <v>S71</v>
      </c>
      <c r="BY1099" s="50" t="n">
        <f aca="false">IF(BX1099="LOSE",1,IF(N(V1099)&gt;0,V1099,IF(CA1099=1,MAX(1,N(VLOOKUP(T1099,Parameter!$I$27:$K$29,3,0)),H1099,N(N1099)),IF(N(Q1099)&gt;0,Q1099,MAX(1,H1099)))))</f>
        <v>20</v>
      </c>
      <c r="BZ1099" s="53" t="n">
        <f aca="false">IF(BX1099="LOSE",1,0)</f>
        <v>0</v>
      </c>
      <c r="CA1099" s="53" t="n">
        <f aca="false">IF(AND(U1099="",OR(P1099="",P1099="LOSE"),T1099&lt;&gt;"",N(S1099)&lt;=0,ISNUMBER(MATCH(T1099,Parameter!$I$27:$I$29,0))),1,0)</f>
        <v>0</v>
      </c>
      <c r="CB1099" s="53" t="n">
        <f aca="false">IF(CQ1099&gt;0,INDEX(Parameter!$H$5:$H$7,W1099)/INDEX(Parameter!$E$5:$E$7,W1099),IF(AND(BZ1099=0,N(IFERROR(VLOOKUP(BX1099,'Gebinde-Kategorie'!$A$5:$N$45,14,0),0))&gt;0),VLOOKUP(BX1099,'Gebinde-Kategorie'!$A$5:$N$45,14,0)*10+Parameter!$M$23,Parameter!$M$24))</f>
        <v>235</v>
      </c>
      <c r="CC1099" s="48" t="str">
        <f aca="false">IF(AND(Parameter!$B$19="Ja",E1099&lt;&gt;"",ISNUMBER(MATCH(E1099,Parameter!$I$35:$I$52,0))),VLOOKUP(E1099,Parameter!$I$35:$J$52,2,0),IFERROR(VLOOKUP(D1099,Parameter!$A$35:$C$64,2,0),"Nein"))</f>
        <v>2+3</v>
      </c>
      <c r="CD1099" s="52" t="n">
        <f aca="false">IF(BZ1099=0,0,IF(N(S1099)&gt;0,S1099,IFERROR(VLOOKUP(D1099,Parameter!$A$35:$C$64,3,0)+0,0)))</f>
        <v>0</v>
      </c>
      <c r="CE1099" s="48" t="n">
        <f aca="false">IF(AA1099&lt;&gt;"",AA1099,Z1099)</f>
        <v>2</v>
      </c>
      <c r="CF1099" s="48" t="str">
        <f aca="false">IF(OR(CE1099=1,CE1099=2,CE1099=3),IF(Parameter!$E$27="Ja","LIFT",IF(CE1099=1,"L1","L23")),IF(CE1099="Aussen","Aussen","-"))</f>
        <v>LIFT</v>
      </c>
      <c r="CG1099" s="59" t="n">
        <f aca="false">IF(N(AB1099)&gt;0,AB1099,0)</f>
        <v>0</v>
      </c>
      <c r="CH1099" s="53" t="n">
        <f aca="false">IF(ISNUMBER(AE1099),1,0)</f>
        <v>0</v>
      </c>
      <c r="CI1099" s="50" t="n">
        <f aca="false">N(AE1099)</f>
        <v>0</v>
      </c>
      <c r="CJ1099" s="50" t="n">
        <f aca="false">N(M1099)+N(N1099)</f>
        <v>16</v>
      </c>
      <c r="CK1099" s="50" t="n">
        <f aca="false">N(M1099)</f>
        <v>1</v>
      </c>
      <c r="CL1099" s="50" t="n">
        <f aca="false">N(N1099)</f>
        <v>15</v>
      </c>
      <c r="CM1099" s="50" t="n">
        <f aca="false">ROUNDUP(H1099/BY1099,0)</f>
        <v>1</v>
      </c>
      <c r="CN1099" s="50" t="n">
        <f aca="false">ROUNDUP(CI1099/BY1099,0)</f>
        <v>0</v>
      </c>
      <c r="CO1099" s="53" t="n">
        <f aca="false">IF(BZ1099=1,0,IFERROR(VLOOKUP(BX1099,'Gebinde-Kategorie'!$A$5:$N$45,5,0)+0,0))</f>
        <v>20</v>
      </c>
      <c r="CP1099" s="53" t="n">
        <f aca="false">IFERROR(IF(OR(CE1099=1,CE1099=2,CE1099=3),N(INDEX(Parameter!$I$5:$I$7,CE1099)),0),0)</f>
        <v>0</v>
      </c>
      <c r="CQ1099" s="52" t="n">
        <f aca="false">IF(AND(Parameter!$B$21="Ja",ISNUMBER(W1099),N(X1099)&gt;0),IFERROR(N(INDEX(Parameter!$L$5:$L$7,W1099))*INDEX(Parameter!$E$5:$E$7,W1099)*X1099/SUMIFS($X$7:$X$1843,$W$7:$W$1843,W1099),0),0)</f>
        <v>0</v>
      </c>
    </row>
    <row r="1100" customFormat="false" ht="15" hidden="false" customHeight="false" outlineLevel="0" collapsed="false">
      <c r="A1100" s="48" t="s">
        <v>2010</v>
      </c>
      <c r="B1100" s="48" t="s">
        <v>2011</v>
      </c>
      <c r="C1100" s="48" t="s">
        <v>173</v>
      </c>
      <c r="D1100" s="48" t="s">
        <v>193</v>
      </c>
      <c r="E1100" s="48" t="s">
        <v>194</v>
      </c>
      <c r="F1100" s="48" t="s">
        <v>227</v>
      </c>
      <c r="G1100" s="49" t="n">
        <v>106.83</v>
      </c>
      <c r="H1100" s="50" t="n">
        <f aca="false">MAX(0,IF(AND(Parameter!$B$21="Ja",ISNUMBER(Y1100)),Y1100,IF(Parameter!$B$20="Jahresanfang 2025 + Export",BR1100+BQ1100,BQ1100)))</f>
        <v>1</v>
      </c>
      <c r="I1100" s="50" t="n">
        <f aca="false">H1100*G1100</f>
        <v>106.83</v>
      </c>
      <c r="J1100" s="50" t="n">
        <f aca="false">BT1100*Parameter!$B$18</f>
        <v>0</v>
      </c>
      <c r="K1100" s="51" t="n">
        <v>2</v>
      </c>
      <c r="L1100" s="52" t="n">
        <v>0</v>
      </c>
      <c r="M1100" s="50" t="n">
        <v>0</v>
      </c>
      <c r="N1100" s="50" t="n">
        <v>1</v>
      </c>
      <c r="O1100" s="53" t="n">
        <v>21</v>
      </c>
      <c r="P1100" s="48" t="s">
        <v>435</v>
      </c>
      <c r="Q1100" s="50" t="n">
        <v>5</v>
      </c>
      <c r="R1100" s="53" t="n">
        <f aca="false">IF(BZ1100=1,0,IFERROR(VLOOKUP(BX1100,'Gebinde-Kategorie'!$A$5:$N$45,13,0)+0,0))</f>
        <v>140</v>
      </c>
      <c r="S1100" s="54"/>
      <c r="T1100" s="55"/>
      <c r="U1100" s="55"/>
      <c r="V1100" s="55"/>
      <c r="W1100" s="48"/>
      <c r="X1100" s="50"/>
      <c r="Y1100" s="50"/>
      <c r="Z1100" s="48" t="n">
        <f aca="false">IF(A1100="","",IF(AND(Parameter!$B$21="Ja",ISNUMBER(W1100)),W1100,IF(CC1100="2+3",IF(ISNUMBER(SEARCH("grosser Artikel",BU1100)),2,IFERROR(VLOOKUP(BX1100,Parameter!$F$35:$G$64,2,0),2)),IF(OR(CC1100="Nein",CC1100=""),"-",CC1100))))</f>
        <v>3</v>
      </c>
      <c r="AA1100" s="55"/>
      <c r="AB1100" s="56"/>
      <c r="AC1100" s="50" t="n">
        <f aca="false">AV1100</f>
        <v>1</v>
      </c>
      <c r="AD1100" s="50" t="n">
        <f aca="false">MAX(AV1100,H1100)</f>
        <v>1</v>
      </c>
      <c r="AE1100" s="57"/>
      <c r="AF1100" s="50" t="n">
        <f aca="false">IF(LEFT(Cockpit!$C$5,1)="A",H1100,IF(Parameter!$E$30="MAX-Bestand",IF(CH1100=1,CI1100,IF(LEFT(Cockpit!$C$5,1)="B",AL1100,MAX(AL1100,H1100))),ROUNDUP(AJ1100,0)))</f>
        <v>1</v>
      </c>
      <c r="AG1100" s="50" t="n">
        <f aca="false">IF(BZ1100=1,0,ROUNDUP(AF1100/BY1100,0))</f>
        <v>1</v>
      </c>
      <c r="AH1100" s="52" t="n">
        <f aca="false">IF(CQ1100&gt;0,CQ1100*MAX(1,AF1100/X1100),IF(BZ1100=1,IF(AF1100&lt;=0,0,CD1100*MAX(1,IF(H1100&gt;0,AF1100/H1100,1))),IF(R1100&gt;0,AG1100/R1100,0))/MAX(0.1,N(Parameter!$M$21)))</f>
        <v>0.00714285714285714</v>
      </c>
      <c r="AI1100" s="50" t="n">
        <f aca="false">AH1100*CB1100</f>
        <v>1.10714285714286</v>
      </c>
      <c r="AJ1100" s="51" t="n">
        <f aca="false">IF(LEFT(Cockpit!$C$5,1)="A",H1100,IF(CH1100=1,(CK1100+CI1100)/2,IF(LEFT(Cockpit!$C$5,1)="B",(CK1100+AL1100)/2,MAX((CK1100+AL1100)/2,H1100))))</f>
        <v>1</v>
      </c>
      <c r="AK1100" s="50" t="n">
        <f aca="false">AJ1100*G1100</f>
        <v>106.83</v>
      </c>
      <c r="AL1100" s="50" t="n">
        <f aca="false">ROUNDUP(CK1100+MAX(CL1100,2*(J1100/IF(CG1100&gt;0,CG1100,MAX(0.1,N(Cockpit!$C$6)))-CK1100)),0)</f>
        <v>1</v>
      </c>
      <c r="AM1100" s="51" t="n">
        <f aca="false">IF(AI1100&gt;0,J1100/AI1100,-1)</f>
        <v>0</v>
      </c>
      <c r="AN1100" s="51" t="n">
        <f aca="false">IF(AND(OR(CF1100="L1",CF1100="L23",CF1100="LIFT"),AI1100&gt;0),SUMIFS($AI$7:$AI$1843,$CF$7:$CF$1843,CF1100,$AM$7:$AM$1843,"&gt;"&amp;AM1100)+SUMIFS($AI$7:$AI$1843,$CF$7:$CF$1843,CF1100,$AM$7:$AM$1843,AM1100,$BW$7:$BW$1843,"&lt;="&amp;BW1100),"")</f>
        <v>29134.4955893918</v>
      </c>
      <c r="AO1100" s="58" t="n">
        <f aca="false">IF(AN1100="",0,MAX(0,MIN(1,(IF(CF1100="L1",Parameter!$H$5,IF(CF1100="L23",Parameter!$H$6+Parameter!$H$7,Parameter!$H$5+Parameter!$H$6+Parameter!$H$7))-(AN1100-AI1100))/AI1100)))</f>
        <v>1</v>
      </c>
      <c r="AP1100" s="50" t="n">
        <f aca="false">IF(LEFT(Cockpit!$I$5,1)="A",H1100,IF(Parameter!$E$30="MAX-Bestand",IF(CH1100=1,CI1100,IF(LEFT(Cockpit!$I$5,1)="B",AV1100,MAX(AV1100,H1100))),ROUNDUP(AT1100,0)))</f>
        <v>1</v>
      </c>
      <c r="AQ1100" s="50" t="n">
        <f aca="false">IF(BZ1100=1,0,ROUNDUP(AP1100/BY1100,0))</f>
        <v>1</v>
      </c>
      <c r="AR1100" s="52" t="n">
        <f aca="false">IF(CQ1100&gt;0,CQ1100*MAX(1,AP1100/X1100),IF(BZ1100=1,IF(AP1100&lt;=0,0,CD1100*MAX(1,IF(H1100&gt;0,AP1100/H1100,1))),IF(R1100&gt;0,AQ1100/R1100,0))/MAX(0.1,N(Parameter!$M$21)))</f>
        <v>0.00714285714285714</v>
      </c>
      <c r="AS1100" s="50" t="n">
        <f aca="false">AR1100*CB1100</f>
        <v>1.10714285714286</v>
      </c>
      <c r="AT1100" s="51" t="n">
        <f aca="false">IF(LEFT(Cockpit!$I$5,1)="A",H1100,IF(CH1100=1,(CK1100+CI1100)/2,IF(LEFT(Cockpit!$I$5,1)="B",(CK1100+AV1100)/2,MAX((CK1100+AV1100)/2,H1100))))</f>
        <v>1</v>
      </c>
      <c r="AU1100" s="50" t="n">
        <f aca="false">AT1100*G1100</f>
        <v>106.83</v>
      </c>
      <c r="AV1100" s="50" t="n">
        <f aca="false">ROUNDUP(CK1100+MAX(CL1100,2*(J1100/IF(CG1100&gt;0,CG1100,MAX(0.1,N(Cockpit!$I$6)))-CK1100)),0)</f>
        <v>1</v>
      </c>
      <c r="AW1100" s="51" t="n">
        <f aca="false">IF(AS1100&gt;0,J1100/AS1100,-1)</f>
        <v>0</v>
      </c>
      <c r="AX1100" s="51" t="n">
        <f aca="false">IF(AND(OR(CF1100="L1",CF1100="L23",CF1100="LIFT"),AS1100&gt;0),SUMIFS($AS$7:$AS$1843,$CF$7:$CF$1843,CF1100,$AW$7:$AW$1843,"&gt;"&amp;AW1100)+SUMIFS($AS$7:$AS$1843,$CF$7:$CF$1843,CF1100,$AW$7:$AW$1843,AW1100,$BW$7:$BW$1843,"&lt;="&amp;BW1100),"")</f>
        <v>34848.7907509158</v>
      </c>
      <c r="AY1100" s="58" t="n">
        <f aca="false">IF(AX1100="",0,MAX(0,MIN(1,(IF(CF1100="L1",Parameter!$H$5,IF(CF1100="L23",Parameter!$H$6+Parameter!$H$7,Parameter!$H$5+Parameter!$H$6+Parameter!$H$7))-(AX1100-AS1100))/AS1100)))</f>
        <v>1</v>
      </c>
      <c r="AZ1100" s="50" t="n">
        <f aca="false">IF(LEFT(Cockpit!$O$5,1)="A",H1100,IF(Parameter!$E$30="MAX-Bestand",IF(CH1100=1,CI1100,IF(LEFT(Cockpit!$O$5,1)="B",BF1100,MAX(BF1100,H1100))),ROUNDUP(BD1100,0)))</f>
        <v>1</v>
      </c>
      <c r="BA1100" s="50" t="n">
        <f aca="false">IF(BZ1100=1,0,ROUNDUP(AZ1100/BY1100,0))</f>
        <v>1</v>
      </c>
      <c r="BB1100" s="52" t="n">
        <f aca="false">IF(CQ1100&gt;0,CQ1100*MAX(1,AZ1100/X1100),IF(BZ1100=1,IF(AZ1100&lt;=0,0,CD1100*MAX(1,IF(H1100&gt;0,AZ1100/H1100,1))),IF(R1100&gt;0,BA1100/R1100,0))/MAX(0.1,N(Parameter!$M$21)))</f>
        <v>0.00714285714285714</v>
      </c>
      <c r="BC1100" s="50" t="n">
        <f aca="false">BB1100*CB1100</f>
        <v>1.10714285714286</v>
      </c>
      <c r="BD1100" s="51" t="n">
        <f aca="false">IF(LEFT(Cockpit!$O$5,1)="A",H1100,IF(CH1100=1,(CK1100+CI1100)/2,IF(LEFT(Cockpit!$O$5,1)="B",(CK1100+BF1100)/2,MAX((CK1100+BF1100)/2,H1100))))</f>
        <v>0.5</v>
      </c>
      <c r="BE1100" s="50" t="n">
        <f aca="false">BD1100*G1100</f>
        <v>53.415</v>
      </c>
      <c r="BF1100" s="50" t="n">
        <f aca="false">ROUNDUP(CK1100+MAX(CL1100,2*(J1100/IF(CG1100&gt;0,CG1100,MAX(0.1,N(Cockpit!$O$6)))-CK1100)),0)</f>
        <v>1</v>
      </c>
      <c r="BG1100" s="51" t="n">
        <f aca="false">IF(BC1100&gt;0,J1100/BC1100,-1)</f>
        <v>0</v>
      </c>
      <c r="BH1100" s="51" t="n">
        <f aca="false">IF(AND(OR(CF1100="L1",CF1100="L23",CF1100="LIFT"),BC1100&gt;0),SUMIFS($BC$7:$BC$1843,$CF$7:$CF$1843,CF1100,$BG$7:$BG$1843,"&gt;"&amp;BG1100)+SUMIFS($BC$7:$BC$1843,$CF$7:$CF$1843,CF1100,$BG$7:$BG$1843,BG1100,$BW$7:$BW$1843,"&lt;="&amp;BW1100),"")</f>
        <v>28834.0974110635</v>
      </c>
      <c r="BI1100" s="58" t="n">
        <f aca="false">IF(BH1100="",0,MAX(0,MIN(1,(IF(CF1100="L1",Parameter!$H$5,IF(CF1100="L23",Parameter!$H$6+Parameter!$H$7,Parameter!$H$5+Parameter!$H$6+Parameter!$H$7))-(BH1100-BC1100))/BC1100)))</f>
        <v>1</v>
      </c>
      <c r="BJ1100" s="48" t="str">
        <f aca="false">IF(AI1100&lt;=0,"",IF(CF1100="Aussen","Aussenlager",IF(CF1100="-","Nicht im Lift",IF(AO1100&gt;=1,"Lift",IF(AO1100&lt;=0,"Aussenlager","teilweise")))))</f>
        <v>Lift</v>
      </c>
      <c r="BK1100" s="48" t="str">
        <f aca="false">IF(AS1100&lt;=0,"",IF(CF1100="Aussen","Aussenlager",IF(CF1100="-","Nicht im Lift",IF(AY1100&gt;=1,"Lift",IF(AY1100&lt;=0,"Aussenlager","teilweise")))))</f>
        <v>Lift</v>
      </c>
      <c r="BL1100" s="48" t="str">
        <f aca="false">IF(BC1100&lt;=0,"",IF(CF1100="Aussen","Aussenlager",IF(CF1100="-","Nicht im Lift",IF(BI1100&gt;=1,"Lift",IF(BI1100&lt;=0,"Aussenlager","teilweise")))))</f>
        <v>Lift</v>
      </c>
      <c r="BM1100" s="48" t="str">
        <f aca="false">IF(A1100="","",IF(BV1100=1,"Neu; ","")&amp;IF(AND(BV1100=0,BQ1100&lt;0),"negativer Bestand (Export "&amp;BQ1100&amp;"); ","")&amp;IF(J1100&lt;=0,"Kein Verbrauch; ","")&amp;IF(CQ1100&gt;0,"Lift "&amp;W1100&amp;" lt. Liftbericht (Fach "&amp;X1100&amp;" Stk); ",IF(CA1100=1,"Gebinde geschätzt ("&amp;T1100&amp;"); ",IF(BZ1100=1,"Lose – Tablare geschätzt; ","")))&amp;IF(H1100&gt;AV1100,"Überbestand "&amp;ROUND(H1100-AV1100,0)&amp;" Stk / CHF "&amp;ROUND((H1100-AV1100)*G1100,0)&amp;"; ","")&amp;IF(AND(CH1100=1,CI1100&lt;CJ1100),"MAX &lt; MB+LG; ","")&amp;IF(AND(CP1100&gt;0,CO1100*10&gt;CP1100),"zu hoch für Tablar; ","")&amp;IF(AND(BV1100=0,OR(CH1100=1,AA1100&lt;&gt;"",U1100&lt;&gt;"",V1100&lt;&gt;"",AB1100&lt;&gt;"")),"manuell übersteuert; ","")&amp;IF(AND(BZ1100=0,R1100=0),"Gebinde unbekannt / Stellmass fehlt; ","")&amp;IF(AND(BZ1100=0,N(V1100)&lt;=0,N(Q1100)&lt;=0),"Menge pro Gebinde fehlt (Ist = 1 Gebinde); ","")&amp;BU1100)</f>
        <v>negativer Bestand (Export -2); Kein Verbrauch; </v>
      </c>
      <c r="BN1100" s="48"/>
      <c r="BO1100" s="48"/>
      <c r="BP1100" s="55"/>
      <c r="BQ1100" s="50" t="n">
        <v>-2</v>
      </c>
      <c r="BR1100" s="50" t="n">
        <v>3</v>
      </c>
      <c r="BS1100" s="49" t="n">
        <v>-213.66</v>
      </c>
      <c r="BT1100" s="50" t="n">
        <v>0</v>
      </c>
      <c r="BU1100" s="48"/>
      <c r="BV1100" s="53" t="n">
        <v>0</v>
      </c>
      <c r="BW1100" s="53" t="n">
        <v>1100</v>
      </c>
      <c r="BX1100" s="48" t="str">
        <f aca="false">IF(U1100&lt;&gt;"",UPPER(TRIM(U1100)),IF(CA1100=1,UPPER(VLOOKUP(T1100,Parameter!$I$27:$K$29,2,0)),IF(P1100="","LOSE",P1100)))</f>
        <v>S22</v>
      </c>
      <c r="BY1100" s="50" t="n">
        <f aca="false">IF(BX1100="LOSE",1,IF(N(V1100)&gt;0,V1100,IF(CA1100=1,MAX(1,N(VLOOKUP(T1100,Parameter!$I$27:$K$29,3,0)),H1100,N(N1100)),IF(N(Q1100)&gt;0,Q1100,MAX(1,H1100)))))</f>
        <v>5</v>
      </c>
      <c r="BZ1100" s="53" t="n">
        <f aca="false">IF(BX1100="LOSE",1,0)</f>
        <v>0</v>
      </c>
      <c r="CA1100" s="53" t="n">
        <f aca="false">IF(AND(U1100="",OR(P1100="",P1100="LOSE"),T1100&lt;&gt;"",N(S1100)&lt;=0,ISNUMBER(MATCH(T1100,Parameter!$I$27:$I$29,0))),1,0)</f>
        <v>0</v>
      </c>
      <c r="CB1100" s="53" t="n">
        <f aca="false">IF(CQ1100&gt;0,INDEX(Parameter!$H$5:$H$7,W1100)/INDEX(Parameter!$E$5:$E$7,W1100),IF(AND(BZ1100=0,N(IFERROR(VLOOKUP(BX1100,'Gebinde-Kategorie'!$A$5:$N$45,14,0),0))&gt;0),VLOOKUP(BX1100,'Gebinde-Kategorie'!$A$5:$N$45,14,0)*10+Parameter!$M$23,Parameter!$M$24))</f>
        <v>155</v>
      </c>
      <c r="CC1100" s="48" t="str">
        <f aca="false">IF(AND(Parameter!$B$19="Ja",E1100&lt;&gt;"",ISNUMBER(MATCH(E1100,Parameter!$I$35:$I$52,0))),VLOOKUP(E1100,Parameter!$I$35:$J$52,2,0),IFERROR(VLOOKUP(D1100,Parameter!$A$35:$C$64,2,0),"Nein"))</f>
        <v>2+3</v>
      </c>
      <c r="CD1100" s="52" t="n">
        <f aca="false">IF(BZ1100=0,0,IF(N(S1100)&gt;0,S1100,IFERROR(VLOOKUP(D1100,Parameter!$A$35:$C$64,3,0)+0,0)))</f>
        <v>0</v>
      </c>
      <c r="CE1100" s="48" t="n">
        <f aca="false">IF(AA1100&lt;&gt;"",AA1100,Z1100)</f>
        <v>3</v>
      </c>
      <c r="CF1100" s="48" t="str">
        <f aca="false">IF(OR(CE1100=1,CE1100=2,CE1100=3),IF(Parameter!$E$27="Ja","LIFT",IF(CE1100=1,"L1","L23")),IF(CE1100="Aussen","Aussen","-"))</f>
        <v>LIFT</v>
      </c>
      <c r="CG1100" s="59" t="n">
        <f aca="false">IF(N(AB1100)&gt;0,AB1100,0)</f>
        <v>0</v>
      </c>
      <c r="CH1100" s="53" t="n">
        <f aca="false">IF(ISNUMBER(AE1100),1,0)</f>
        <v>0</v>
      </c>
      <c r="CI1100" s="50" t="n">
        <f aca="false">N(AE1100)</f>
        <v>0</v>
      </c>
      <c r="CJ1100" s="50" t="n">
        <f aca="false">N(M1100)+N(N1100)</f>
        <v>1</v>
      </c>
      <c r="CK1100" s="50" t="n">
        <f aca="false">N(M1100)</f>
        <v>0</v>
      </c>
      <c r="CL1100" s="50" t="n">
        <f aca="false">N(N1100)</f>
        <v>1</v>
      </c>
      <c r="CM1100" s="50" t="n">
        <f aca="false">ROUNDUP(H1100/BY1100,0)</f>
        <v>1</v>
      </c>
      <c r="CN1100" s="50" t="n">
        <f aca="false">ROUNDUP(CI1100/BY1100,0)</f>
        <v>0</v>
      </c>
      <c r="CO1100" s="53" t="n">
        <f aca="false">IF(BZ1100=1,0,IFERROR(VLOOKUP(BX1100,'Gebinde-Kategorie'!$A$5:$N$45,5,0)+0,0))</f>
        <v>8</v>
      </c>
      <c r="CP1100" s="53" t="n">
        <f aca="false">IFERROR(IF(OR(CE1100=1,CE1100=2,CE1100=3),N(INDEX(Parameter!$I$5:$I$7,CE1100)),0),0)</f>
        <v>0</v>
      </c>
      <c r="CQ1100" s="52" t="n">
        <f aca="false">IF(AND(Parameter!$B$21="Ja",ISNUMBER(W1100),N(X1100)&gt;0),IFERROR(N(INDEX(Parameter!$L$5:$L$7,W1100))*INDEX(Parameter!$E$5:$E$7,W1100)*X1100/SUMIFS($X$7:$X$1843,$W$7:$W$1843,W1100),0),0)</f>
        <v>0</v>
      </c>
    </row>
    <row r="1101" customFormat="false" ht="15" hidden="false" customHeight="false" outlineLevel="0" collapsed="false">
      <c r="A1101" s="48" t="s">
        <v>2012</v>
      </c>
      <c r="B1101" s="48" t="s">
        <v>414</v>
      </c>
      <c r="C1101" s="48" t="s">
        <v>173</v>
      </c>
      <c r="D1101" s="48" t="s">
        <v>193</v>
      </c>
      <c r="E1101" s="48" t="s">
        <v>194</v>
      </c>
      <c r="F1101" s="48" t="s">
        <v>227</v>
      </c>
      <c r="G1101" s="49" t="n">
        <v>2.3</v>
      </c>
      <c r="H1101" s="50" t="n">
        <f aca="false">MAX(0,IF(AND(Parameter!$B$21="Ja",ISNUMBER(Y1101)),Y1101,IF(Parameter!$B$20="Jahresanfang 2025 + Export",BR1101+BQ1101,BQ1101)))</f>
        <v>2307</v>
      </c>
      <c r="I1101" s="50" t="n">
        <f aca="false">H1101*G1101</f>
        <v>5306.1</v>
      </c>
      <c r="J1101" s="50" t="n">
        <f aca="false">BT1101*Parameter!$B$18</f>
        <v>48</v>
      </c>
      <c r="K1101" s="51" t="n">
        <v>2381.5</v>
      </c>
      <c r="L1101" s="52" t="n">
        <v>0.0201553642662188</v>
      </c>
      <c r="M1101" s="50" t="n">
        <v>2</v>
      </c>
      <c r="N1101" s="50" t="n">
        <v>50</v>
      </c>
      <c r="O1101" s="53" t="n">
        <v>21</v>
      </c>
      <c r="P1101" s="48" t="s">
        <v>235</v>
      </c>
      <c r="Q1101" s="50" t="n">
        <v>400</v>
      </c>
      <c r="R1101" s="53" t="n">
        <f aca="false">IF(BZ1101=1,0,IFERROR(VLOOKUP(BX1101,'Gebinde-Kategorie'!$A$5:$N$45,13,0)+0,0))</f>
        <v>12</v>
      </c>
      <c r="S1101" s="54"/>
      <c r="T1101" s="55"/>
      <c r="U1101" s="55"/>
      <c r="V1101" s="55"/>
      <c r="W1101" s="48"/>
      <c r="X1101" s="50"/>
      <c r="Y1101" s="50"/>
      <c r="Z1101" s="48" t="n">
        <f aca="false">IF(A1101="","",IF(AND(Parameter!$B$21="Ja",ISNUMBER(W1101)),W1101,IF(CC1101="2+3",IF(ISNUMBER(SEARCH("grosser Artikel",BU1101)),2,IFERROR(VLOOKUP(BX1101,Parameter!$F$35:$G$64,2,0),2)),IF(OR(CC1101="Nein",CC1101=""),"-",CC1101))))</f>
        <v>2</v>
      </c>
      <c r="AA1101" s="55"/>
      <c r="AB1101" s="56"/>
      <c r="AC1101" s="50" t="n">
        <f aca="false">AV1101</f>
        <v>52</v>
      </c>
      <c r="AD1101" s="50" t="n">
        <f aca="false">MAX(AV1101,H1101)</f>
        <v>2307</v>
      </c>
      <c r="AE1101" s="57"/>
      <c r="AF1101" s="50" t="n">
        <f aca="false">IF(LEFT(Cockpit!$C$5,1)="A",H1101,IF(Parameter!$E$30="MAX-Bestand",IF(CH1101=1,CI1101,IF(LEFT(Cockpit!$C$5,1)="B",AL1101,MAX(AL1101,H1101))),ROUNDUP(AJ1101,0)))</f>
        <v>2307</v>
      </c>
      <c r="AG1101" s="50" t="n">
        <f aca="false">IF(BZ1101=1,0,ROUNDUP(AF1101/BY1101,0))</f>
        <v>6</v>
      </c>
      <c r="AH1101" s="52" t="n">
        <f aca="false">IF(CQ1101&gt;0,CQ1101*MAX(1,AF1101/X1101),IF(BZ1101=1,IF(AF1101&lt;=0,0,CD1101*MAX(1,IF(H1101&gt;0,AF1101/H1101,1))),IF(R1101&gt;0,AG1101/R1101,0))/MAX(0.1,N(Parameter!$M$21)))</f>
        <v>0.5</v>
      </c>
      <c r="AI1101" s="50" t="n">
        <f aca="false">AH1101*CB1101</f>
        <v>172.5</v>
      </c>
      <c r="AJ1101" s="51" t="n">
        <f aca="false">IF(LEFT(Cockpit!$C$5,1)="A",H1101,IF(CH1101=1,(CK1101+CI1101)/2,IF(LEFT(Cockpit!$C$5,1)="B",(CK1101+AL1101)/2,MAX((CK1101+AL1101)/2,H1101))))</f>
        <v>2307</v>
      </c>
      <c r="AK1101" s="50" t="n">
        <f aca="false">AJ1101*G1101</f>
        <v>5306.1</v>
      </c>
      <c r="AL1101" s="50" t="n">
        <f aca="false">ROUNDUP(CK1101+MAX(CL1101,2*(J1101/IF(CG1101&gt;0,CG1101,MAX(0.1,N(Cockpit!$C$6)))-CK1101)),0)</f>
        <v>52</v>
      </c>
      <c r="AM1101" s="51" t="n">
        <f aca="false">IF(AI1101&gt;0,J1101/AI1101,-1)</f>
        <v>0.278260869565217</v>
      </c>
      <c r="AN1101" s="51" t="n">
        <f aca="false">IF(AND(OR(CF1101="L1",CF1101="L23",CF1101="LIFT"),AI1101&gt;0),SUMIFS($AI$7:$AI$1843,$CF$7:$CF$1843,CF1101,$AM$7:$AM$1843,"&gt;"&amp;AM1101)+SUMIFS($AI$7:$AI$1843,$CF$7:$CF$1843,CF1101,$AM$7:$AM$1843,AM1101,$BW$7:$BW$1843,"&lt;="&amp;BW1101),"")</f>
        <v>11620.2702629292</v>
      </c>
      <c r="AO1101" s="58" t="n">
        <f aca="false">IF(AN1101="",0,MAX(0,MIN(1,(IF(CF1101="L1",Parameter!$H$5,IF(CF1101="L23",Parameter!$H$6+Parameter!$H$7,Parameter!$H$5+Parameter!$H$6+Parameter!$H$7))-(AN1101-AI1101))/AI1101)))</f>
        <v>1</v>
      </c>
      <c r="AP1101" s="50" t="n">
        <f aca="false">IF(LEFT(Cockpit!$I$5,1)="A",H1101,IF(Parameter!$E$30="MAX-Bestand",IF(CH1101=1,CI1101,IF(LEFT(Cockpit!$I$5,1)="B",AV1101,MAX(AV1101,H1101))),ROUNDUP(AT1101,0)))</f>
        <v>2307</v>
      </c>
      <c r="AQ1101" s="50" t="n">
        <f aca="false">IF(BZ1101=1,0,ROUNDUP(AP1101/BY1101,0))</f>
        <v>6</v>
      </c>
      <c r="AR1101" s="52" t="n">
        <f aca="false">IF(CQ1101&gt;0,CQ1101*MAX(1,AP1101/X1101),IF(BZ1101=1,IF(AP1101&lt;=0,0,CD1101*MAX(1,IF(H1101&gt;0,AP1101/H1101,1))),IF(R1101&gt;0,AQ1101/R1101,0))/MAX(0.1,N(Parameter!$M$21)))</f>
        <v>0.5</v>
      </c>
      <c r="AS1101" s="50" t="n">
        <f aca="false">AR1101*CB1101</f>
        <v>172.5</v>
      </c>
      <c r="AT1101" s="51" t="n">
        <f aca="false">IF(LEFT(Cockpit!$I$5,1)="A",H1101,IF(CH1101=1,(CK1101+CI1101)/2,IF(LEFT(Cockpit!$I$5,1)="B",(CK1101+AV1101)/2,MAX((CK1101+AV1101)/2,H1101))))</f>
        <v>2307</v>
      </c>
      <c r="AU1101" s="50" t="n">
        <f aca="false">AT1101*G1101</f>
        <v>5306.1</v>
      </c>
      <c r="AV1101" s="50" t="n">
        <f aca="false">ROUNDUP(CK1101+MAX(CL1101,2*(J1101/IF(CG1101&gt;0,CG1101,MAX(0.1,N(Cockpit!$I$6)))-CK1101)),0)</f>
        <v>52</v>
      </c>
      <c r="AW1101" s="51" t="n">
        <f aca="false">IF(AS1101&gt;0,J1101/AS1101,-1)</f>
        <v>0.278260869565217</v>
      </c>
      <c r="AX1101" s="51" t="n">
        <f aca="false">IF(AND(OR(CF1101="L1",CF1101="L23",CF1101="LIFT"),AS1101&gt;0),SUMIFS($AS$7:$AS$1843,$CF$7:$CF$1843,CF1101,$AW$7:$AW$1843,"&gt;"&amp;AW1101)+SUMIFS($AS$7:$AS$1843,$CF$7:$CF$1843,CF1101,$AW$7:$AW$1843,AW1101,$BW$7:$BW$1843,"&lt;="&amp;BW1101),"")</f>
        <v>14697.1643772894</v>
      </c>
      <c r="AY1101" s="58" t="n">
        <f aca="false">IF(AX1101="",0,MAX(0,MIN(1,(IF(CF1101="L1",Parameter!$H$5,IF(CF1101="L23",Parameter!$H$6+Parameter!$H$7,Parameter!$H$5+Parameter!$H$6+Parameter!$H$7))-(AX1101-AS1101))/AS1101)))</f>
        <v>1</v>
      </c>
      <c r="AZ1101" s="50" t="n">
        <f aca="false">IF(LEFT(Cockpit!$O$5,1)="A",H1101,IF(Parameter!$E$30="MAX-Bestand",IF(CH1101=1,CI1101,IF(LEFT(Cockpit!$O$5,1)="B",BF1101,MAX(BF1101,H1101))),ROUNDUP(BD1101,0)))</f>
        <v>27</v>
      </c>
      <c r="BA1101" s="50" t="n">
        <f aca="false">IF(BZ1101=1,0,ROUNDUP(AZ1101/BY1101,0))</f>
        <v>1</v>
      </c>
      <c r="BB1101" s="52" t="n">
        <f aca="false">IF(CQ1101&gt;0,CQ1101*MAX(1,AZ1101/X1101),IF(BZ1101=1,IF(AZ1101&lt;=0,0,CD1101*MAX(1,IF(H1101&gt;0,AZ1101/H1101,1))),IF(R1101&gt;0,BA1101/R1101,0))/MAX(0.1,N(Parameter!$M$21)))</f>
        <v>0.0833333333333333</v>
      </c>
      <c r="BC1101" s="50" t="n">
        <f aca="false">BB1101*CB1101</f>
        <v>28.75</v>
      </c>
      <c r="BD1101" s="51" t="n">
        <f aca="false">IF(LEFT(Cockpit!$O$5,1)="A",H1101,IF(CH1101=1,(CK1101+CI1101)/2,IF(LEFT(Cockpit!$O$5,1)="B",(CK1101+BF1101)/2,MAX((CK1101+BF1101)/2,H1101))))</f>
        <v>27</v>
      </c>
      <c r="BE1101" s="50" t="n">
        <f aca="false">BD1101*G1101</f>
        <v>62.1</v>
      </c>
      <c r="BF1101" s="50" t="n">
        <f aca="false">ROUNDUP(CK1101+MAX(CL1101,2*(J1101/IF(CG1101&gt;0,CG1101,MAX(0.1,N(Cockpit!$O$6)))-CK1101)),0)</f>
        <v>52</v>
      </c>
      <c r="BG1101" s="51" t="n">
        <f aca="false">IF(BC1101&gt;0,J1101/BC1101,-1)</f>
        <v>1.6695652173913</v>
      </c>
      <c r="BH1101" s="51" t="n">
        <f aca="false">IF(AND(OR(CF1101="L1",CF1101="L23",CF1101="LIFT"),BC1101&gt;0),SUMIFS($BC$7:$BC$1843,$CF$7:$CF$1843,CF1101,$BG$7:$BG$1843,"&gt;"&amp;BG1101)+SUMIFS($BC$7:$BC$1843,$CF$7:$CF$1843,CF1101,$BG$7:$BG$1843,BG1101,$BW$7:$BW$1843,"&lt;="&amp;BW1101),"")</f>
        <v>6376.0086996337</v>
      </c>
      <c r="BI1101" s="58" t="n">
        <f aca="false">IF(BH1101="",0,MAX(0,MIN(1,(IF(CF1101="L1",Parameter!$H$5,IF(CF1101="L23",Parameter!$H$6+Parameter!$H$7,Parameter!$H$5+Parameter!$H$6+Parameter!$H$7))-(BH1101-BC1101))/BC1101)))</f>
        <v>1</v>
      </c>
      <c r="BJ1101" s="48" t="str">
        <f aca="false">IF(AI1101&lt;=0,"",IF(CF1101="Aussen","Aussenlager",IF(CF1101="-","Nicht im Lift",IF(AO1101&gt;=1,"Lift",IF(AO1101&lt;=0,"Aussenlager","teilweise")))))</f>
        <v>Lift</v>
      </c>
      <c r="BK1101" s="48" t="str">
        <f aca="false">IF(AS1101&lt;=0,"",IF(CF1101="Aussen","Aussenlager",IF(CF1101="-","Nicht im Lift",IF(AY1101&gt;=1,"Lift",IF(AY1101&lt;=0,"Aussenlager","teilweise")))))</f>
        <v>Lift</v>
      </c>
      <c r="BL1101" s="48" t="str">
        <f aca="false">IF(BC1101&lt;=0,"",IF(CF1101="Aussen","Aussenlager",IF(CF1101="-","Nicht im Lift",IF(BI1101&gt;=1,"Lift",IF(BI1101&lt;=0,"Aussenlager","teilweise")))))</f>
        <v>Lift</v>
      </c>
      <c r="BM1101" s="48" t="str">
        <f aca="false">IF(A1101="","",IF(BV1101=1,"Neu; ","")&amp;IF(AND(BV1101=0,BQ1101&lt;0),"negativer Bestand (Export "&amp;BQ1101&amp;"); ","")&amp;IF(J1101&lt;=0,"Kein Verbrauch; ","")&amp;IF(CQ1101&gt;0,"Lift "&amp;W1101&amp;" lt. Liftbericht (Fach "&amp;X1101&amp;" Stk); ",IF(CA1101=1,"Gebinde geschätzt ("&amp;T1101&amp;"); ",IF(BZ1101=1,"Lose – Tablare geschätzt; ","")))&amp;IF(H1101&gt;AV1101,"Überbestand "&amp;ROUND(H1101-AV1101,0)&amp;" Stk / CHF "&amp;ROUND((H1101-AV1101)*G1101,0)&amp;"; ","")&amp;IF(AND(CH1101=1,CI1101&lt;CJ1101),"MAX &lt; MB+LG; ","")&amp;IF(AND(CP1101&gt;0,CO1101*10&gt;CP1101),"zu hoch für Tablar; ","")&amp;IF(AND(BV1101=0,OR(CH1101=1,AA1101&lt;&gt;"",U1101&lt;&gt;"",V1101&lt;&gt;"",AB1101&lt;&gt;"")),"manuell übersteuert; ","")&amp;IF(AND(BZ1101=0,R1101=0),"Gebinde unbekannt / Stellmass fehlt; ","")&amp;IF(AND(BZ1101=0,N(V1101)&lt;=0,N(Q1101)&lt;=0),"Menge pro Gebinde fehlt (Ist = 1 Gebinde); ","")&amp;BU1101)</f>
        <v>negativer Bestand (Export -93); Überbestand 2255 Stk / CHF 5187; </v>
      </c>
      <c r="BN1101" s="48"/>
      <c r="BO1101" s="48"/>
      <c r="BP1101" s="55"/>
      <c r="BQ1101" s="50" t="n">
        <v>-93</v>
      </c>
      <c r="BR1101" s="50" t="n">
        <v>2400</v>
      </c>
      <c r="BS1101" s="49" t="n">
        <v>-213.9</v>
      </c>
      <c r="BT1101" s="50" t="n">
        <v>48</v>
      </c>
      <c r="BU1101" s="48"/>
      <c r="BV1101" s="53" t="n">
        <v>0</v>
      </c>
      <c r="BW1101" s="53" t="n">
        <v>1101</v>
      </c>
      <c r="BX1101" s="48" t="str">
        <f aca="false">IF(U1101&lt;&gt;"",UPPER(TRIM(U1101)),IF(CA1101=1,UPPER(VLOOKUP(T1101,Parameter!$I$27:$K$29,2,0)),IF(P1101="","LOSE",P1101)))</f>
        <v>S63</v>
      </c>
      <c r="BY1101" s="50" t="n">
        <f aca="false">IF(BX1101="LOSE",1,IF(N(V1101)&gt;0,V1101,IF(CA1101=1,MAX(1,N(VLOOKUP(T1101,Parameter!$I$27:$K$29,3,0)),H1101,N(N1101)),IF(N(Q1101)&gt;0,Q1101,MAX(1,H1101)))))</f>
        <v>400</v>
      </c>
      <c r="BZ1101" s="53" t="n">
        <f aca="false">IF(BX1101="LOSE",1,0)</f>
        <v>0</v>
      </c>
      <c r="CA1101" s="53" t="n">
        <f aca="false">IF(AND(U1101="",OR(P1101="",P1101="LOSE"),T1101&lt;&gt;"",N(S1101)&lt;=0,ISNUMBER(MATCH(T1101,Parameter!$I$27:$I$29,0))),1,0)</f>
        <v>0</v>
      </c>
      <c r="CB1101" s="53" t="n">
        <f aca="false">IF(CQ1101&gt;0,INDEX(Parameter!$H$5:$H$7,W1101)/INDEX(Parameter!$E$5:$E$7,W1101),IF(AND(BZ1101=0,N(IFERROR(VLOOKUP(BX1101,'Gebinde-Kategorie'!$A$5:$N$45,14,0),0))&gt;0),VLOOKUP(BX1101,'Gebinde-Kategorie'!$A$5:$N$45,14,0)*10+Parameter!$M$23,Parameter!$M$24))</f>
        <v>345</v>
      </c>
      <c r="CC1101" s="48" t="str">
        <f aca="false">IF(AND(Parameter!$B$19="Ja",E1101&lt;&gt;"",ISNUMBER(MATCH(E1101,Parameter!$I$35:$I$52,0))),VLOOKUP(E1101,Parameter!$I$35:$J$52,2,0),IFERROR(VLOOKUP(D1101,Parameter!$A$35:$C$64,2,0),"Nein"))</f>
        <v>2+3</v>
      </c>
      <c r="CD1101" s="52" t="n">
        <f aca="false">IF(BZ1101=0,0,IF(N(S1101)&gt;0,S1101,IFERROR(VLOOKUP(D1101,Parameter!$A$35:$C$64,3,0)+0,0)))</f>
        <v>0</v>
      </c>
      <c r="CE1101" s="48" t="n">
        <f aca="false">IF(AA1101&lt;&gt;"",AA1101,Z1101)</f>
        <v>2</v>
      </c>
      <c r="CF1101" s="48" t="str">
        <f aca="false">IF(OR(CE1101=1,CE1101=2,CE1101=3),IF(Parameter!$E$27="Ja","LIFT",IF(CE1101=1,"L1","L23")),IF(CE1101="Aussen","Aussen","-"))</f>
        <v>LIFT</v>
      </c>
      <c r="CG1101" s="59" t="n">
        <f aca="false">IF(N(AB1101)&gt;0,AB1101,0)</f>
        <v>0</v>
      </c>
      <c r="CH1101" s="53" t="n">
        <f aca="false">IF(ISNUMBER(AE1101),1,0)</f>
        <v>0</v>
      </c>
      <c r="CI1101" s="50" t="n">
        <f aca="false">N(AE1101)</f>
        <v>0</v>
      </c>
      <c r="CJ1101" s="50" t="n">
        <f aca="false">N(M1101)+N(N1101)</f>
        <v>52</v>
      </c>
      <c r="CK1101" s="50" t="n">
        <f aca="false">N(M1101)</f>
        <v>2</v>
      </c>
      <c r="CL1101" s="50" t="n">
        <f aca="false">N(N1101)</f>
        <v>50</v>
      </c>
      <c r="CM1101" s="50" t="n">
        <f aca="false">ROUNDUP(H1101/BY1101,0)</f>
        <v>6</v>
      </c>
      <c r="CN1101" s="50" t="n">
        <f aca="false">ROUNDUP(CI1101/BY1101,0)</f>
        <v>0</v>
      </c>
      <c r="CO1101" s="53" t="n">
        <f aca="false">IF(BZ1101=1,0,IFERROR(VLOOKUP(BX1101,'Gebinde-Kategorie'!$A$5:$N$45,5,0)+0,0))</f>
        <v>31</v>
      </c>
      <c r="CP1101" s="53" t="n">
        <f aca="false">IFERROR(IF(OR(CE1101=1,CE1101=2,CE1101=3),N(INDEX(Parameter!$I$5:$I$7,CE1101)),0),0)</f>
        <v>0</v>
      </c>
      <c r="CQ1101" s="52" t="n">
        <f aca="false">IF(AND(Parameter!$B$21="Ja",ISNUMBER(W1101),N(X1101)&gt;0),IFERROR(N(INDEX(Parameter!$L$5:$L$7,W1101))*INDEX(Parameter!$E$5:$E$7,W1101)*X1101/SUMIFS($X$7:$X$1843,$W$7:$W$1843,W1101),0),0)</f>
        <v>0</v>
      </c>
    </row>
    <row r="1102" customFormat="false" ht="15" hidden="false" customHeight="false" outlineLevel="0" collapsed="false">
      <c r="A1102" s="48" t="s">
        <v>2013</v>
      </c>
      <c r="B1102" s="48" t="s">
        <v>2014</v>
      </c>
      <c r="C1102" s="48" t="s">
        <v>173</v>
      </c>
      <c r="D1102" s="48" t="s">
        <v>193</v>
      </c>
      <c r="E1102" s="48"/>
      <c r="F1102" s="48" t="s">
        <v>227</v>
      </c>
      <c r="G1102" s="49" t="n">
        <v>71.61</v>
      </c>
      <c r="H1102" s="50" t="n">
        <f aca="false">MAX(0,IF(AND(Parameter!$B$21="Ja",ISNUMBER(Y1102)),Y1102,IF(Parameter!$B$20="Jahresanfang 2025 + Export",BR1102+BQ1102,BQ1102)))</f>
        <v>58</v>
      </c>
      <c r="I1102" s="50" t="n">
        <f aca="false">H1102*G1102</f>
        <v>4153.38</v>
      </c>
      <c r="J1102" s="50" t="n">
        <f aca="false">BT1102*Parameter!$B$18</f>
        <v>2</v>
      </c>
      <c r="K1102" s="51" t="n">
        <v>60</v>
      </c>
      <c r="L1102" s="52" t="n">
        <v>0.0333333333333333</v>
      </c>
      <c r="M1102" s="50" t="n">
        <v>0</v>
      </c>
      <c r="N1102" s="50" t="n">
        <v>1</v>
      </c>
      <c r="O1102" s="53" t="n">
        <v>63</v>
      </c>
      <c r="P1102" s="48" t="s">
        <v>242</v>
      </c>
      <c r="Q1102" s="50" t="n">
        <v>60</v>
      </c>
      <c r="R1102" s="53" t="n">
        <f aca="false">IF(BZ1102=1,0,IFERROR(VLOOKUP(BX1102,'Gebinde-Kategorie'!$A$5:$N$45,13,0)+0,0))</f>
        <v>26</v>
      </c>
      <c r="S1102" s="54"/>
      <c r="T1102" s="55"/>
      <c r="U1102" s="55"/>
      <c r="V1102" s="55"/>
      <c r="W1102" s="48"/>
      <c r="X1102" s="50"/>
      <c r="Y1102" s="50"/>
      <c r="Z1102" s="48" t="n">
        <f aca="false">IF(A1102="","",IF(AND(Parameter!$B$21="Ja",ISNUMBER(W1102)),W1102,IF(CC1102="2+3",IF(ISNUMBER(SEARCH("grosser Artikel",BU1102)),2,IFERROR(VLOOKUP(BX1102,Parameter!$F$35:$G$64,2,0),2)),IF(OR(CC1102="Nein",CC1102=""),"-",CC1102))))</f>
        <v>3</v>
      </c>
      <c r="AA1102" s="55"/>
      <c r="AB1102" s="56"/>
      <c r="AC1102" s="50" t="n">
        <f aca="false">AV1102</f>
        <v>2</v>
      </c>
      <c r="AD1102" s="50" t="n">
        <f aca="false">MAX(AV1102,H1102)</f>
        <v>58</v>
      </c>
      <c r="AE1102" s="57"/>
      <c r="AF1102" s="50" t="n">
        <f aca="false">IF(LEFT(Cockpit!$C$5,1)="A",H1102,IF(Parameter!$E$30="MAX-Bestand",IF(CH1102=1,CI1102,IF(LEFT(Cockpit!$C$5,1)="B",AL1102,MAX(AL1102,H1102))),ROUNDUP(AJ1102,0)))</f>
        <v>58</v>
      </c>
      <c r="AG1102" s="50" t="n">
        <f aca="false">IF(BZ1102=1,0,ROUNDUP(AF1102/BY1102,0))</f>
        <v>1</v>
      </c>
      <c r="AH1102" s="52" t="n">
        <f aca="false">IF(CQ1102&gt;0,CQ1102*MAX(1,AF1102/X1102),IF(BZ1102=1,IF(AF1102&lt;=0,0,CD1102*MAX(1,IF(H1102&gt;0,AF1102/H1102,1))),IF(R1102&gt;0,AG1102/R1102,0))/MAX(0.1,N(Parameter!$M$21)))</f>
        <v>0.0384615384615385</v>
      </c>
      <c r="AI1102" s="50" t="n">
        <f aca="false">AH1102*CB1102</f>
        <v>9.42307692307692</v>
      </c>
      <c r="AJ1102" s="51" t="n">
        <f aca="false">IF(LEFT(Cockpit!$C$5,1)="A",H1102,IF(CH1102=1,(CK1102+CI1102)/2,IF(LEFT(Cockpit!$C$5,1)="B",(CK1102+AL1102)/2,MAX((CK1102+AL1102)/2,H1102))))</f>
        <v>58</v>
      </c>
      <c r="AK1102" s="50" t="n">
        <f aca="false">AJ1102*G1102</f>
        <v>4153.38</v>
      </c>
      <c r="AL1102" s="50" t="n">
        <f aca="false">ROUNDUP(CK1102+MAX(CL1102,2*(J1102/IF(CG1102&gt;0,CG1102,MAX(0.1,N(Cockpit!$C$6)))-CK1102)),0)</f>
        <v>2</v>
      </c>
      <c r="AM1102" s="51" t="n">
        <f aca="false">IF(AI1102&gt;0,J1102/AI1102,-1)</f>
        <v>0.212244897959184</v>
      </c>
      <c r="AN1102" s="51" t="n">
        <f aca="false">IF(AND(OR(CF1102="L1",CF1102="L23",CF1102="LIFT"),AI1102&gt;0),SUMIFS($AI$7:$AI$1843,$CF$7:$CF$1843,CF1102,$AM$7:$AM$1843,"&gt;"&amp;AM1102)+SUMIFS($AI$7:$AI$1843,$CF$7:$CF$1843,CF1102,$AM$7:$AM$1843,AM1102,$BW$7:$BW$1843,"&lt;="&amp;BW1102),"")</f>
        <v>12382.9709003332</v>
      </c>
      <c r="AO1102" s="58" t="n">
        <f aca="false">IF(AN1102="",0,MAX(0,MIN(1,(IF(CF1102="L1",Parameter!$H$5,IF(CF1102="L23",Parameter!$H$6+Parameter!$H$7,Parameter!$H$5+Parameter!$H$6+Parameter!$H$7))-(AN1102-AI1102))/AI1102)))</f>
        <v>1</v>
      </c>
      <c r="AP1102" s="50" t="n">
        <f aca="false">IF(LEFT(Cockpit!$I$5,1)="A",H1102,IF(Parameter!$E$30="MAX-Bestand",IF(CH1102=1,CI1102,IF(LEFT(Cockpit!$I$5,1)="B",AV1102,MAX(AV1102,H1102))),ROUNDUP(AT1102,0)))</f>
        <v>58</v>
      </c>
      <c r="AQ1102" s="50" t="n">
        <f aca="false">IF(BZ1102=1,0,ROUNDUP(AP1102/BY1102,0))</f>
        <v>1</v>
      </c>
      <c r="AR1102" s="52" t="n">
        <f aca="false">IF(CQ1102&gt;0,CQ1102*MAX(1,AP1102/X1102),IF(BZ1102=1,IF(AP1102&lt;=0,0,CD1102*MAX(1,IF(H1102&gt;0,AP1102/H1102,1))),IF(R1102&gt;0,AQ1102/R1102,0))/MAX(0.1,N(Parameter!$M$21)))</f>
        <v>0.0384615384615385</v>
      </c>
      <c r="AS1102" s="50" t="n">
        <f aca="false">AR1102*CB1102</f>
        <v>9.42307692307692</v>
      </c>
      <c r="AT1102" s="51" t="n">
        <f aca="false">IF(LEFT(Cockpit!$I$5,1)="A",H1102,IF(CH1102=1,(CK1102+CI1102)/2,IF(LEFT(Cockpit!$I$5,1)="B",(CK1102+AV1102)/2,MAX((CK1102+AV1102)/2,H1102))))</f>
        <v>58</v>
      </c>
      <c r="AU1102" s="50" t="n">
        <f aca="false">AT1102*G1102</f>
        <v>4153.38</v>
      </c>
      <c r="AV1102" s="50" t="n">
        <f aca="false">ROUNDUP(CK1102+MAX(CL1102,2*(J1102/IF(CG1102&gt;0,CG1102,MAX(0.1,N(Cockpit!$I$6)))-CK1102)),0)</f>
        <v>2</v>
      </c>
      <c r="AW1102" s="51" t="n">
        <f aca="false">IF(AS1102&gt;0,J1102/AS1102,-1)</f>
        <v>0.212244897959184</v>
      </c>
      <c r="AX1102" s="51" t="n">
        <f aca="false">IF(AND(OR(CF1102="L1",CF1102="L23",CF1102="LIFT"),AS1102&gt;0),SUMIFS($AS$7:$AS$1843,$CF$7:$CF$1843,CF1102,$AW$7:$AW$1843,"&gt;"&amp;AW1102)+SUMIFS($AS$7:$AS$1843,$CF$7:$CF$1843,CF1102,$AW$7:$AW$1843,AW1102,$BW$7:$BW$1843,"&lt;="&amp;BW1102),"")</f>
        <v>15212.2284798535</v>
      </c>
      <c r="AY1102" s="58" t="n">
        <f aca="false">IF(AX1102="",0,MAX(0,MIN(1,(IF(CF1102="L1",Parameter!$H$5,IF(CF1102="L23",Parameter!$H$6+Parameter!$H$7,Parameter!$H$5+Parameter!$H$6+Parameter!$H$7))-(AX1102-AS1102))/AS1102)))</f>
        <v>1</v>
      </c>
      <c r="AZ1102" s="50" t="n">
        <f aca="false">IF(LEFT(Cockpit!$O$5,1)="A",H1102,IF(Parameter!$E$30="MAX-Bestand",IF(CH1102=1,CI1102,IF(LEFT(Cockpit!$O$5,1)="B",BF1102,MAX(BF1102,H1102))),ROUNDUP(BD1102,0)))</f>
        <v>1</v>
      </c>
      <c r="BA1102" s="50" t="n">
        <f aca="false">IF(BZ1102=1,0,ROUNDUP(AZ1102/BY1102,0))</f>
        <v>1</v>
      </c>
      <c r="BB1102" s="52" t="n">
        <f aca="false">IF(CQ1102&gt;0,CQ1102*MAX(1,AZ1102/X1102),IF(BZ1102=1,IF(AZ1102&lt;=0,0,CD1102*MAX(1,IF(H1102&gt;0,AZ1102/H1102,1))),IF(R1102&gt;0,BA1102/R1102,0))/MAX(0.1,N(Parameter!$M$21)))</f>
        <v>0.0384615384615385</v>
      </c>
      <c r="BC1102" s="50" t="n">
        <f aca="false">BB1102*CB1102</f>
        <v>9.42307692307692</v>
      </c>
      <c r="BD1102" s="51" t="n">
        <f aca="false">IF(LEFT(Cockpit!$O$5,1)="A",H1102,IF(CH1102=1,(CK1102+CI1102)/2,IF(LEFT(Cockpit!$O$5,1)="B",(CK1102+BF1102)/2,MAX((CK1102+BF1102)/2,H1102))))</f>
        <v>0.5</v>
      </c>
      <c r="BE1102" s="50" t="n">
        <f aca="false">BD1102*G1102</f>
        <v>35.805</v>
      </c>
      <c r="BF1102" s="50" t="n">
        <f aca="false">ROUNDUP(CK1102+MAX(CL1102,2*(J1102/IF(CG1102&gt;0,CG1102,MAX(0.1,N(Cockpit!$O$6)))-CK1102)),0)</f>
        <v>1</v>
      </c>
      <c r="BG1102" s="51" t="n">
        <f aca="false">IF(BC1102&gt;0,J1102/BC1102,-1)</f>
        <v>0.212244897959184</v>
      </c>
      <c r="BH1102" s="51" t="n">
        <f aca="false">IF(AND(OR(CF1102="L1",CF1102="L23",CF1102="LIFT"),BC1102&gt;0),SUMIFS($BC$7:$BC$1843,$CF$7:$CF$1843,CF1102,$BG$7:$BG$1843,"&gt;"&amp;BG1102)+SUMIFS($BC$7:$BC$1843,$CF$7:$CF$1843,CF1102,$BG$7:$BG$1843,BG1102,$BW$7:$BW$1843,"&lt;="&amp;BW1102),"")</f>
        <v>12354.5132783883</v>
      </c>
      <c r="BI1102" s="58" t="n">
        <f aca="false">IF(BH1102="",0,MAX(0,MIN(1,(IF(CF1102="L1",Parameter!$H$5,IF(CF1102="L23",Parameter!$H$6+Parameter!$H$7,Parameter!$H$5+Parameter!$H$6+Parameter!$H$7))-(BH1102-BC1102))/BC1102)))</f>
        <v>1</v>
      </c>
      <c r="BJ1102" s="48" t="str">
        <f aca="false">IF(AI1102&lt;=0,"",IF(CF1102="Aussen","Aussenlager",IF(CF1102="-","Nicht im Lift",IF(AO1102&gt;=1,"Lift",IF(AO1102&lt;=0,"Aussenlager","teilweise")))))</f>
        <v>Lift</v>
      </c>
      <c r="BK1102" s="48" t="str">
        <f aca="false">IF(AS1102&lt;=0,"",IF(CF1102="Aussen","Aussenlager",IF(CF1102="-","Nicht im Lift",IF(AY1102&gt;=1,"Lift",IF(AY1102&lt;=0,"Aussenlager","teilweise")))))</f>
        <v>Lift</v>
      </c>
      <c r="BL1102" s="48" t="str">
        <f aca="false">IF(BC1102&lt;=0,"",IF(CF1102="Aussen","Aussenlager",IF(CF1102="-","Nicht im Lift",IF(BI1102&gt;=1,"Lift",IF(BI1102&lt;=0,"Aussenlager","teilweise")))))</f>
        <v>Lift</v>
      </c>
      <c r="BM1102" s="48" t="str">
        <f aca="false">IF(A1102="","",IF(BV1102=1,"Neu; ","")&amp;IF(AND(BV1102=0,BQ1102&lt;0),"negativer Bestand (Export "&amp;BQ1102&amp;"); ","")&amp;IF(J1102&lt;=0,"Kein Verbrauch; ","")&amp;IF(CQ1102&gt;0,"Lift "&amp;W1102&amp;" lt. Liftbericht (Fach "&amp;X1102&amp;" Stk); ",IF(CA1102=1,"Gebinde geschätzt ("&amp;T1102&amp;"); ",IF(BZ1102=1,"Lose – Tablare geschätzt; ","")))&amp;IF(H1102&gt;AV1102,"Überbestand "&amp;ROUND(H1102-AV1102,0)&amp;" Stk / CHF "&amp;ROUND((H1102-AV1102)*G1102,0)&amp;"; ","")&amp;IF(AND(CH1102=1,CI1102&lt;CJ1102),"MAX &lt; MB+LG; ","")&amp;IF(AND(CP1102&gt;0,CO1102*10&gt;CP1102),"zu hoch für Tablar; ","")&amp;IF(AND(BV1102=0,OR(CH1102=1,AA1102&lt;&gt;"",U1102&lt;&gt;"",V1102&lt;&gt;"",AB1102&lt;&gt;"")),"manuell übersteuert; ","")&amp;IF(AND(BZ1102=0,R1102=0),"Gebinde unbekannt / Stellmass fehlt; ","")&amp;IF(AND(BZ1102=0,N(V1102)&lt;=0,N(Q1102)&lt;=0),"Menge pro Gebinde fehlt (Ist = 1 Gebinde); ","")&amp;BU1102)</f>
        <v>negativer Bestand (Export -3); Überbestand 56 Stk / CHF 4010; i.o</v>
      </c>
      <c r="BN1102" s="48"/>
      <c r="BO1102" s="48"/>
      <c r="BP1102" s="55"/>
      <c r="BQ1102" s="50" t="n">
        <v>-3</v>
      </c>
      <c r="BR1102" s="50" t="n">
        <v>61</v>
      </c>
      <c r="BS1102" s="49" t="n">
        <v>-214.83</v>
      </c>
      <c r="BT1102" s="50" t="n">
        <v>2</v>
      </c>
      <c r="BU1102" s="48" t="s">
        <v>545</v>
      </c>
      <c r="BV1102" s="53" t="n">
        <v>0</v>
      </c>
      <c r="BW1102" s="53" t="n">
        <v>1102</v>
      </c>
      <c r="BX1102" s="48" t="str">
        <f aca="false">IF(U1102&lt;&gt;"",UPPER(TRIM(U1102)),IF(CA1102=1,UPPER(VLOOKUP(T1102,Parameter!$I$27:$K$29,2,0)),IF(P1102="","LOSE",P1102)))</f>
        <v>S52</v>
      </c>
      <c r="BY1102" s="50" t="n">
        <f aca="false">IF(BX1102="LOSE",1,IF(N(V1102)&gt;0,V1102,IF(CA1102=1,MAX(1,N(VLOOKUP(T1102,Parameter!$I$27:$K$29,3,0)),H1102,N(N1102)),IF(N(Q1102)&gt;0,Q1102,MAX(1,H1102)))))</f>
        <v>60</v>
      </c>
      <c r="BZ1102" s="53" t="n">
        <f aca="false">IF(BX1102="LOSE",1,0)</f>
        <v>0</v>
      </c>
      <c r="CA1102" s="53" t="n">
        <f aca="false">IF(AND(U1102="",OR(P1102="",P1102="LOSE"),T1102&lt;&gt;"",N(S1102)&lt;=0,ISNUMBER(MATCH(T1102,Parameter!$I$27:$I$29,0))),1,0)</f>
        <v>0</v>
      </c>
      <c r="CB1102" s="53" t="n">
        <f aca="false">IF(CQ1102&gt;0,INDEX(Parameter!$H$5:$H$7,W1102)/INDEX(Parameter!$E$5:$E$7,W1102),IF(AND(BZ1102=0,N(IFERROR(VLOOKUP(BX1102,'Gebinde-Kategorie'!$A$5:$N$45,14,0),0))&gt;0),VLOOKUP(BX1102,'Gebinde-Kategorie'!$A$5:$N$45,14,0)*10+Parameter!$M$23,Parameter!$M$24))</f>
        <v>245</v>
      </c>
      <c r="CC1102" s="48" t="str">
        <f aca="false">IF(AND(Parameter!$B$19="Ja",E1102&lt;&gt;"",ISNUMBER(MATCH(E1102,Parameter!$I$35:$I$52,0))),VLOOKUP(E1102,Parameter!$I$35:$J$52,2,0),IFERROR(VLOOKUP(D1102,Parameter!$A$35:$C$64,2,0),"Nein"))</f>
        <v>2+3</v>
      </c>
      <c r="CD1102" s="52" t="n">
        <f aca="false">IF(BZ1102=0,0,IF(N(S1102)&gt;0,S1102,IFERROR(VLOOKUP(D1102,Parameter!$A$35:$C$64,3,0)+0,0)))</f>
        <v>0</v>
      </c>
      <c r="CE1102" s="48" t="n">
        <f aca="false">IF(AA1102&lt;&gt;"",AA1102,Z1102)</f>
        <v>3</v>
      </c>
      <c r="CF1102" s="48" t="str">
        <f aca="false">IF(OR(CE1102=1,CE1102=2,CE1102=3),IF(Parameter!$E$27="Ja","LIFT",IF(CE1102=1,"L1","L23")),IF(CE1102="Aussen","Aussen","-"))</f>
        <v>LIFT</v>
      </c>
      <c r="CG1102" s="59" t="n">
        <f aca="false">IF(N(AB1102)&gt;0,AB1102,0)</f>
        <v>0</v>
      </c>
      <c r="CH1102" s="53" t="n">
        <f aca="false">IF(ISNUMBER(AE1102),1,0)</f>
        <v>0</v>
      </c>
      <c r="CI1102" s="50" t="n">
        <f aca="false">N(AE1102)</f>
        <v>0</v>
      </c>
      <c r="CJ1102" s="50" t="n">
        <f aca="false">N(M1102)+N(N1102)</f>
        <v>1</v>
      </c>
      <c r="CK1102" s="50" t="n">
        <f aca="false">N(M1102)</f>
        <v>0</v>
      </c>
      <c r="CL1102" s="50" t="n">
        <f aca="false">N(N1102)</f>
        <v>1</v>
      </c>
      <c r="CM1102" s="50" t="n">
        <f aca="false">ROUNDUP(H1102/BY1102,0)</f>
        <v>1</v>
      </c>
      <c r="CN1102" s="50" t="n">
        <f aca="false">ROUNDUP(CI1102/BY1102,0)</f>
        <v>0</v>
      </c>
      <c r="CO1102" s="53" t="n">
        <f aca="false">IF(BZ1102=1,0,IFERROR(VLOOKUP(BX1102,'Gebinde-Kategorie'!$A$5:$N$45,5,0)+0,0))</f>
        <v>21</v>
      </c>
      <c r="CP1102" s="53" t="n">
        <f aca="false">IFERROR(IF(OR(CE1102=1,CE1102=2,CE1102=3),N(INDEX(Parameter!$I$5:$I$7,CE1102)),0),0)</f>
        <v>0</v>
      </c>
      <c r="CQ1102" s="52" t="n">
        <f aca="false">IF(AND(Parameter!$B$21="Ja",ISNUMBER(W1102),N(X1102)&gt;0),IFERROR(N(INDEX(Parameter!$L$5:$L$7,W1102))*INDEX(Parameter!$E$5:$E$7,W1102)*X1102/SUMIFS($X$7:$X$1843,$W$7:$W$1843,W1102),0),0)</f>
        <v>0</v>
      </c>
    </row>
    <row r="1103" customFormat="false" ht="15" hidden="false" customHeight="false" outlineLevel="0" collapsed="false">
      <c r="A1103" s="48" t="s">
        <v>2015</v>
      </c>
      <c r="B1103" s="48" t="s">
        <v>758</v>
      </c>
      <c r="C1103" s="48" t="s">
        <v>173</v>
      </c>
      <c r="D1103" s="48" t="s">
        <v>193</v>
      </c>
      <c r="E1103" s="48"/>
      <c r="F1103" s="48" t="s">
        <v>227</v>
      </c>
      <c r="G1103" s="49" t="n">
        <v>83.58</v>
      </c>
      <c r="H1103" s="50" t="n">
        <f aca="false">MAX(0,IF(AND(Parameter!$B$21="Ja",ISNUMBER(Y1103)),Y1103,IF(Parameter!$B$20="Jahresanfang 2025 + Export",BR1103+BQ1103,BQ1103)))</f>
        <v>2</v>
      </c>
      <c r="I1103" s="50" t="n">
        <f aca="false">H1103*G1103</f>
        <v>167.16</v>
      </c>
      <c r="J1103" s="50" t="n">
        <f aca="false">BT1103*Parameter!$B$18</f>
        <v>1</v>
      </c>
      <c r="K1103" s="51" t="n">
        <v>4.5</v>
      </c>
      <c r="L1103" s="52" t="n">
        <v>0.222222222222222</v>
      </c>
      <c r="M1103" s="50" t="n">
        <v>0</v>
      </c>
      <c r="N1103" s="50" t="n">
        <v>1</v>
      </c>
      <c r="O1103" s="53" t="n">
        <v>35</v>
      </c>
      <c r="P1103" s="48" t="s">
        <v>177</v>
      </c>
      <c r="Q1103" s="50"/>
      <c r="R1103" s="53" t="n">
        <f aca="false">IF(BZ1103=1,0,IFERROR(VLOOKUP(BX1103,'Gebinde-Kategorie'!$A$5:$N$45,13,0)+0,0))</f>
        <v>26</v>
      </c>
      <c r="S1103" s="54"/>
      <c r="T1103" s="55" t="s">
        <v>284</v>
      </c>
      <c r="U1103" s="55"/>
      <c r="V1103" s="55"/>
      <c r="W1103" s="48"/>
      <c r="X1103" s="50"/>
      <c r="Y1103" s="50"/>
      <c r="Z1103" s="48" t="n">
        <f aca="false">IF(A1103="","",IF(AND(Parameter!$B$21="Ja",ISNUMBER(W1103)),W1103,IF(CC1103="2+3",IF(ISNUMBER(SEARCH("grosser Artikel",BU1103)),2,IFERROR(VLOOKUP(BX1103,Parameter!$F$35:$G$64,2,0),2)),IF(OR(CC1103="Nein",CC1103=""),"-",CC1103))))</f>
        <v>3</v>
      </c>
      <c r="AA1103" s="55"/>
      <c r="AB1103" s="56"/>
      <c r="AC1103" s="50" t="n">
        <f aca="false">AV1103</f>
        <v>1</v>
      </c>
      <c r="AD1103" s="50" t="n">
        <f aca="false">MAX(AV1103,H1103)</f>
        <v>2</v>
      </c>
      <c r="AE1103" s="57"/>
      <c r="AF1103" s="50" t="n">
        <f aca="false">IF(LEFT(Cockpit!$C$5,1)="A",H1103,IF(Parameter!$E$30="MAX-Bestand",IF(CH1103=1,CI1103,IF(LEFT(Cockpit!$C$5,1)="B",AL1103,MAX(AL1103,H1103))),ROUNDUP(AJ1103,0)))</f>
        <v>2</v>
      </c>
      <c r="AG1103" s="50" t="n">
        <f aca="false">IF(BZ1103=1,0,ROUNDUP(AF1103/BY1103,0))</f>
        <v>1</v>
      </c>
      <c r="AH1103" s="52" t="n">
        <f aca="false">IF(CQ1103&gt;0,CQ1103*MAX(1,AF1103/X1103),IF(BZ1103=1,IF(AF1103&lt;=0,0,CD1103*MAX(1,IF(H1103&gt;0,AF1103/H1103,1))),IF(R1103&gt;0,AG1103/R1103,0))/MAX(0.1,N(Parameter!$M$21)))</f>
        <v>0.0384615384615385</v>
      </c>
      <c r="AI1103" s="50" t="n">
        <f aca="false">AH1103*CB1103</f>
        <v>5.96153846153846</v>
      </c>
      <c r="AJ1103" s="51" t="n">
        <f aca="false">IF(LEFT(Cockpit!$C$5,1)="A",H1103,IF(CH1103=1,(CK1103+CI1103)/2,IF(LEFT(Cockpit!$C$5,1)="B",(CK1103+AL1103)/2,MAX((CK1103+AL1103)/2,H1103))))</f>
        <v>2</v>
      </c>
      <c r="AK1103" s="50" t="n">
        <f aca="false">AJ1103*G1103</f>
        <v>167.16</v>
      </c>
      <c r="AL1103" s="50" t="n">
        <f aca="false">ROUNDUP(CK1103+MAX(CL1103,2*(J1103/IF(CG1103&gt;0,CG1103,MAX(0.1,N(Cockpit!$C$6)))-CK1103)),0)</f>
        <v>1</v>
      </c>
      <c r="AM1103" s="51" t="n">
        <f aca="false">IF(AI1103&gt;0,J1103/AI1103,-1)</f>
        <v>0.167741935483871</v>
      </c>
      <c r="AN1103" s="51" t="n">
        <f aca="false">IF(AND(OR(CF1103="L1",CF1103="L23",CF1103="LIFT"),AI1103&gt;0),SUMIFS($AI$7:$AI$1843,$CF$7:$CF$1843,CF1103,$AM$7:$AM$1843,"&gt;"&amp;AM1103)+SUMIFS($AI$7:$AI$1843,$CF$7:$CF$1843,CF1103,$AM$7:$AM$1843,AM1103,$BW$7:$BW$1843,"&lt;="&amp;BW1103),"")</f>
        <v>12745.3106439229</v>
      </c>
      <c r="AO1103" s="58" t="n">
        <f aca="false">IF(AN1103="",0,MAX(0,MIN(1,(IF(CF1103="L1",Parameter!$H$5,IF(CF1103="L23",Parameter!$H$6+Parameter!$H$7,Parameter!$H$5+Parameter!$H$6+Parameter!$H$7))-(AN1103-AI1103))/AI1103)))</f>
        <v>1</v>
      </c>
      <c r="AP1103" s="50" t="n">
        <f aca="false">IF(LEFT(Cockpit!$I$5,1)="A",H1103,IF(Parameter!$E$30="MAX-Bestand",IF(CH1103=1,CI1103,IF(LEFT(Cockpit!$I$5,1)="B",AV1103,MAX(AV1103,H1103))),ROUNDUP(AT1103,0)))</f>
        <v>2</v>
      </c>
      <c r="AQ1103" s="50" t="n">
        <f aca="false">IF(BZ1103=1,0,ROUNDUP(AP1103/BY1103,0))</f>
        <v>1</v>
      </c>
      <c r="AR1103" s="52" t="n">
        <f aca="false">IF(CQ1103&gt;0,CQ1103*MAX(1,AP1103/X1103),IF(BZ1103=1,IF(AP1103&lt;=0,0,CD1103*MAX(1,IF(H1103&gt;0,AP1103/H1103,1))),IF(R1103&gt;0,AQ1103/R1103,0))/MAX(0.1,N(Parameter!$M$21)))</f>
        <v>0.0384615384615385</v>
      </c>
      <c r="AS1103" s="50" t="n">
        <f aca="false">AR1103*CB1103</f>
        <v>5.96153846153846</v>
      </c>
      <c r="AT1103" s="51" t="n">
        <f aca="false">IF(LEFT(Cockpit!$I$5,1)="A",H1103,IF(CH1103=1,(CK1103+CI1103)/2,IF(LEFT(Cockpit!$I$5,1)="B",(CK1103+AV1103)/2,MAX((CK1103+AV1103)/2,H1103))))</f>
        <v>2</v>
      </c>
      <c r="AU1103" s="50" t="n">
        <f aca="false">AT1103*G1103</f>
        <v>167.16</v>
      </c>
      <c r="AV1103" s="50" t="n">
        <f aca="false">ROUNDUP(CK1103+MAX(CL1103,2*(J1103/IF(CG1103&gt;0,CG1103,MAX(0.1,N(Cockpit!$I$6)))-CK1103)),0)</f>
        <v>1</v>
      </c>
      <c r="AW1103" s="51" t="n">
        <f aca="false">IF(AS1103&gt;0,J1103/AS1103,-1)</f>
        <v>0.167741935483871</v>
      </c>
      <c r="AX1103" s="51" t="n">
        <f aca="false">IF(AND(OR(CF1103="L1",CF1103="L23",CF1103="LIFT"),AS1103&gt;0),SUMIFS($AS$7:$AS$1843,$CF$7:$CF$1843,CF1103,$AW$7:$AW$1843,"&gt;"&amp;AW1103)+SUMIFS($AS$7:$AS$1843,$CF$7:$CF$1843,CF1103,$AW$7:$AW$1843,AW1103,$BW$7:$BW$1843,"&lt;="&amp;BW1103),"")</f>
        <v>15673.9913003663</v>
      </c>
      <c r="AY1103" s="58" t="n">
        <f aca="false">IF(AX1103="",0,MAX(0,MIN(1,(IF(CF1103="L1",Parameter!$H$5,IF(CF1103="L23",Parameter!$H$6+Parameter!$H$7,Parameter!$H$5+Parameter!$H$6+Parameter!$H$7))-(AX1103-AS1103))/AS1103)))</f>
        <v>1</v>
      </c>
      <c r="AZ1103" s="50" t="n">
        <f aca="false">IF(LEFT(Cockpit!$O$5,1)="A",H1103,IF(Parameter!$E$30="MAX-Bestand",IF(CH1103=1,CI1103,IF(LEFT(Cockpit!$O$5,1)="B",BF1103,MAX(BF1103,H1103))),ROUNDUP(BD1103,0)))</f>
        <v>1</v>
      </c>
      <c r="BA1103" s="50" t="n">
        <f aca="false">IF(BZ1103=1,0,ROUNDUP(AZ1103/BY1103,0))</f>
        <v>1</v>
      </c>
      <c r="BB1103" s="52" t="n">
        <f aca="false">IF(CQ1103&gt;0,CQ1103*MAX(1,AZ1103/X1103),IF(BZ1103=1,IF(AZ1103&lt;=0,0,CD1103*MAX(1,IF(H1103&gt;0,AZ1103/H1103,1))),IF(R1103&gt;0,BA1103/R1103,0))/MAX(0.1,N(Parameter!$M$21)))</f>
        <v>0.0384615384615385</v>
      </c>
      <c r="BC1103" s="50" t="n">
        <f aca="false">BB1103*CB1103</f>
        <v>5.96153846153846</v>
      </c>
      <c r="BD1103" s="51" t="n">
        <f aca="false">IF(LEFT(Cockpit!$O$5,1)="A",H1103,IF(CH1103=1,(CK1103+CI1103)/2,IF(LEFT(Cockpit!$O$5,1)="B",(CK1103+BF1103)/2,MAX((CK1103+BF1103)/2,H1103))))</f>
        <v>0.5</v>
      </c>
      <c r="BE1103" s="50" t="n">
        <f aca="false">BD1103*G1103</f>
        <v>41.79</v>
      </c>
      <c r="BF1103" s="50" t="n">
        <f aca="false">ROUNDUP(CK1103+MAX(CL1103,2*(J1103/IF(CG1103&gt;0,CG1103,MAX(0.1,N(Cockpit!$O$6)))-CK1103)),0)</f>
        <v>1</v>
      </c>
      <c r="BG1103" s="51" t="n">
        <f aca="false">IF(BC1103&gt;0,J1103/BC1103,-1)</f>
        <v>0.167741935483871</v>
      </c>
      <c r="BH1103" s="51" t="n">
        <f aca="false">IF(AND(OR(CF1103="L1",CF1103="L23",CF1103="LIFT"),BC1103&gt;0),SUMIFS($BC$7:$BC$1843,$CF$7:$CF$1843,CF1103,$BG$7:$BG$1843,"&gt;"&amp;BG1103)+SUMIFS($BC$7:$BC$1843,$CF$7:$CF$1843,CF1103,$BG$7:$BG$1843,BG1103,$BW$7:$BW$1843,"&lt;="&amp;BW1103),"")</f>
        <v>13476.2911285983</v>
      </c>
      <c r="BI1103" s="58" t="n">
        <f aca="false">IF(BH1103="",0,MAX(0,MIN(1,(IF(CF1103="L1",Parameter!$H$5,IF(CF1103="L23",Parameter!$H$6+Parameter!$H$7,Parameter!$H$5+Parameter!$H$6+Parameter!$H$7))-(BH1103-BC1103))/BC1103)))</f>
        <v>1</v>
      </c>
      <c r="BJ1103" s="48" t="str">
        <f aca="false">IF(AI1103&lt;=0,"",IF(CF1103="Aussen","Aussenlager",IF(CF1103="-","Nicht im Lift",IF(AO1103&gt;=1,"Lift",IF(AO1103&lt;=0,"Aussenlager","teilweise")))))</f>
        <v>Lift</v>
      </c>
      <c r="BK1103" s="48" t="str">
        <f aca="false">IF(AS1103&lt;=0,"",IF(CF1103="Aussen","Aussenlager",IF(CF1103="-","Nicht im Lift",IF(AY1103&gt;=1,"Lift",IF(AY1103&lt;=0,"Aussenlager","teilweise")))))</f>
        <v>Lift</v>
      </c>
      <c r="BL1103" s="48" t="str">
        <f aca="false">IF(BC1103&lt;=0,"",IF(CF1103="Aussen","Aussenlager",IF(CF1103="-","Nicht im Lift",IF(BI1103&gt;=1,"Lift",IF(BI1103&lt;=0,"Aussenlager","teilweise")))))</f>
        <v>Lift</v>
      </c>
      <c r="BM1103" s="48" t="str">
        <f aca="false">IF(A1103="","",IF(BV1103=1,"Neu; ","")&amp;IF(AND(BV1103=0,BQ1103&lt;0),"negativer Bestand (Export "&amp;BQ1103&amp;"); ","")&amp;IF(J1103&lt;=0,"Kein Verbrauch; ","")&amp;IF(CQ1103&gt;0,"Lift "&amp;W1103&amp;" lt. Liftbericht (Fach "&amp;X1103&amp;" Stk); ",IF(CA1103=1,"Gebinde geschätzt ("&amp;T1103&amp;"); ",IF(BZ1103=1,"Lose – Tablare geschätzt; ","")))&amp;IF(H1103&gt;AV1103,"Überbestand "&amp;ROUND(H1103-AV1103,0)&amp;" Stk / CHF "&amp;ROUND((H1103-AV1103)*G1103,0)&amp;"; ","")&amp;IF(AND(CH1103=1,CI1103&lt;CJ1103),"MAX &lt; MB+LG; ","")&amp;IF(AND(CP1103&gt;0,CO1103*10&gt;CP1103),"zu hoch für Tablar; ","")&amp;IF(AND(BV1103=0,OR(CH1103=1,AA1103&lt;&gt;"",U1103&lt;&gt;"",V1103&lt;&gt;"",AB1103&lt;&gt;"")),"manuell übersteuert; ","")&amp;IF(AND(BZ1103=0,R1103=0),"Gebinde unbekannt / Stellmass fehlt; ","")&amp;IF(AND(BZ1103=0,N(V1103)&lt;=0,N(Q1103)&lt;=0),"Menge pro Gebinde fehlt (Ist = 1 Gebinde); ","")&amp;BU1103)</f>
        <v>negativer Bestand (Export -3); Gebinde geschätzt (Klein); Überbestand 1 Stk / CHF 84; Menge pro Gebinde fehlt (Ist = 1 Gebinde); </v>
      </c>
      <c r="BN1103" s="48"/>
      <c r="BO1103" s="48"/>
      <c r="BP1103" s="55"/>
      <c r="BQ1103" s="50" t="n">
        <v>-3</v>
      </c>
      <c r="BR1103" s="50" t="n">
        <v>5</v>
      </c>
      <c r="BS1103" s="49" t="n">
        <v>-216.39</v>
      </c>
      <c r="BT1103" s="50" t="n">
        <v>1</v>
      </c>
      <c r="BU1103" s="48"/>
      <c r="BV1103" s="53" t="n">
        <v>0</v>
      </c>
      <c r="BW1103" s="53" t="n">
        <v>1103</v>
      </c>
      <c r="BX1103" s="48" t="str">
        <f aca="false">IF(U1103&lt;&gt;"",UPPER(TRIM(U1103)),IF(CA1103=1,UPPER(VLOOKUP(T1103,Parameter!$I$27:$K$29,2,0)),IF(P1103="","LOSE",P1103)))</f>
        <v>S51</v>
      </c>
      <c r="BY1103" s="50" t="n">
        <f aca="false">IF(BX1103="LOSE",1,IF(N(V1103)&gt;0,V1103,IF(CA1103=1,MAX(1,N(VLOOKUP(T1103,Parameter!$I$27:$K$29,3,0)),H1103,N(N1103)),IF(N(Q1103)&gt;0,Q1103,MAX(1,H1103)))))</f>
        <v>20</v>
      </c>
      <c r="BZ1103" s="53" t="n">
        <f aca="false">IF(BX1103="LOSE",1,0)</f>
        <v>0</v>
      </c>
      <c r="CA1103" s="53" t="n">
        <f aca="false">IF(AND(U1103="",OR(P1103="",P1103="LOSE"),T1103&lt;&gt;"",N(S1103)&lt;=0,ISNUMBER(MATCH(T1103,Parameter!$I$27:$I$29,0))),1,0)</f>
        <v>1</v>
      </c>
      <c r="CB1103" s="53" t="n">
        <f aca="false">IF(CQ1103&gt;0,INDEX(Parameter!$H$5:$H$7,W1103)/INDEX(Parameter!$E$5:$E$7,W1103),IF(AND(BZ1103=0,N(IFERROR(VLOOKUP(BX1103,'Gebinde-Kategorie'!$A$5:$N$45,14,0),0))&gt;0),VLOOKUP(BX1103,'Gebinde-Kategorie'!$A$5:$N$45,14,0)*10+Parameter!$M$23,Parameter!$M$24))</f>
        <v>155</v>
      </c>
      <c r="CC1103" s="48" t="str">
        <f aca="false">IF(AND(Parameter!$B$19="Ja",E1103&lt;&gt;"",ISNUMBER(MATCH(E1103,Parameter!$I$35:$I$52,0))),VLOOKUP(E1103,Parameter!$I$35:$J$52,2,0),IFERROR(VLOOKUP(D1103,Parameter!$A$35:$C$64,2,0),"Nein"))</f>
        <v>2+3</v>
      </c>
      <c r="CD1103" s="52" t="n">
        <f aca="false">IF(BZ1103=0,0,IF(N(S1103)&gt;0,S1103,IFERROR(VLOOKUP(D1103,Parameter!$A$35:$C$64,3,0)+0,0)))</f>
        <v>0</v>
      </c>
      <c r="CE1103" s="48" t="n">
        <f aca="false">IF(AA1103&lt;&gt;"",AA1103,Z1103)</f>
        <v>3</v>
      </c>
      <c r="CF1103" s="48" t="str">
        <f aca="false">IF(OR(CE1103=1,CE1103=2,CE1103=3),IF(Parameter!$E$27="Ja","LIFT",IF(CE1103=1,"L1","L23")),IF(CE1103="Aussen","Aussen","-"))</f>
        <v>LIFT</v>
      </c>
      <c r="CG1103" s="59" t="n">
        <f aca="false">IF(N(AB1103)&gt;0,AB1103,0)</f>
        <v>0</v>
      </c>
      <c r="CH1103" s="53" t="n">
        <f aca="false">IF(ISNUMBER(AE1103),1,0)</f>
        <v>0</v>
      </c>
      <c r="CI1103" s="50" t="n">
        <f aca="false">N(AE1103)</f>
        <v>0</v>
      </c>
      <c r="CJ1103" s="50" t="n">
        <f aca="false">N(M1103)+N(N1103)</f>
        <v>1</v>
      </c>
      <c r="CK1103" s="50" t="n">
        <f aca="false">N(M1103)</f>
        <v>0</v>
      </c>
      <c r="CL1103" s="50" t="n">
        <f aca="false">N(N1103)</f>
        <v>1</v>
      </c>
      <c r="CM1103" s="50" t="n">
        <f aca="false">ROUNDUP(H1103/BY1103,0)</f>
        <v>1</v>
      </c>
      <c r="CN1103" s="50" t="n">
        <f aca="false">ROUNDUP(CI1103/BY1103,0)</f>
        <v>0</v>
      </c>
      <c r="CO1103" s="53" t="n">
        <f aca="false">IF(BZ1103=1,0,IFERROR(VLOOKUP(BX1103,'Gebinde-Kategorie'!$A$5:$N$45,5,0)+0,0))</f>
        <v>11</v>
      </c>
      <c r="CP1103" s="53" t="n">
        <f aca="false">IFERROR(IF(OR(CE1103=1,CE1103=2,CE1103=3),N(INDEX(Parameter!$I$5:$I$7,CE1103)),0),0)</f>
        <v>0</v>
      </c>
      <c r="CQ1103" s="52" t="n">
        <f aca="false">IF(AND(Parameter!$B$21="Ja",ISNUMBER(W1103),N(X1103)&gt;0),IFERROR(N(INDEX(Parameter!$L$5:$L$7,W1103))*INDEX(Parameter!$E$5:$E$7,W1103)*X1103/SUMIFS($X$7:$X$1843,$W$7:$W$1843,W1103),0),0)</f>
        <v>0</v>
      </c>
    </row>
    <row r="1104" customFormat="false" ht="15" hidden="false" customHeight="false" outlineLevel="0" collapsed="false">
      <c r="A1104" s="48" t="s">
        <v>2016</v>
      </c>
      <c r="B1104" s="48" t="s">
        <v>1755</v>
      </c>
      <c r="C1104" s="48" t="s">
        <v>173</v>
      </c>
      <c r="D1104" s="48" t="s">
        <v>193</v>
      </c>
      <c r="E1104" s="48"/>
      <c r="F1104" s="48" t="s">
        <v>227</v>
      </c>
      <c r="G1104" s="49" t="n">
        <v>18.24</v>
      </c>
      <c r="H1104" s="50" t="n">
        <f aca="false">MAX(0,IF(AND(Parameter!$B$21="Ja",ISNUMBER(Y1104)),Y1104,IF(Parameter!$B$20="Jahresanfang 2025 + Export",BR1104+BQ1104,BQ1104)))</f>
        <v>22</v>
      </c>
      <c r="I1104" s="50" t="n">
        <f aca="false">H1104*G1104</f>
        <v>401.28</v>
      </c>
      <c r="J1104" s="50" t="n">
        <f aca="false">BT1104*Parameter!$B$18</f>
        <v>20</v>
      </c>
      <c r="K1104" s="51" t="n">
        <v>25</v>
      </c>
      <c r="L1104" s="52" t="n">
        <v>0.8</v>
      </c>
      <c r="M1104" s="50" t="n">
        <v>2</v>
      </c>
      <c r="N1104" s="50" t="n">
        <v>20</v>
      </c>
      <c r="O1104" s="53" t="n">
        <v>49</v>
      </c>
      <c r="P1104" s="48" t="s">
        <v>430</v>
      </c>
      <c r="Q1104" s="50" t="n">
        <v>30</v>
      </c>
      <c r="R1104" s="53" t="n">
        <f aca="false">IF(BZ1104=1,0,IFERROR(VLOOKUP(BX1104,'Gebinde-Kategorie'!$A$5:$N$45,13,0)+0,0))</f>
        <v>104</v>
      </c>
      <c r="S1104" s="54"/>
      <c r="T1104" s="55"/>
      <c r="U1104" s="55"/>
      <c r="V1104" s="55"/>
      <c r="W1104" s="48"/>
      <c r="X1104" s="50"/>
      <c r="Y1104" s="50"/>
      <c r="Z1104" s="48" t="n">
        <f aca="false">IF(A1104="","",IF(AND(Parameter!$B$21="Ja",ISNUMBER(W1104)),W1104,IF(CC1104="2+3",IF(ISNUMBER(SEARCH("grosser Artikel",BU1104)),2,IFERROR(VLOOKUP(BX1104,Parameter!$F$35:$G$64,2,0),2)),IF(OR(CC1104="Nein",CC1104=""),"-",CC1104))))</f>
        <v>3</v>
      </c>
      <c r="AA1104" s="55"/>
      <c r="AB1104" s="56"/>
      <c r="AC1104" s="50" t="n">
        <f aca="false">AV1104</f>
        <v>22</v>
      </c>
      <c r="AD1104" s="50" t="n">
        <f aca="false">MAX(AV1104,H1104)</f>
        <v>22</v>
      </c>
      <c r="AE1104" s="57"/>
      <c r="AF1104" s="50" t="n">
        <f aca="false">IF(LEFT(Cockpit!$C$5,1)="A",H1104,IF(Parameter!$E$30="MAX-Bestand",IF(CH1104=1,CI1104,IF(LEFT(Cockpit!$C$5,1)="B",AL1104,MAX(AL1104,H1104))),ROUNDUP(AJ1104,0)))</f>
        <v>22</v>
      </c>
      <c r="AG1104" s="50" t="n">
        <f aca="false">IF(BZ1104=1,0,ROUNDUP(AF1104/BY1104,0))</f>
        <v>1</v>
      </c>
      <c r="AH1104" s="52" t="n">
        <f aca="false">IF(CQ1104&gt;0,CQ1104*MAX(1,AF1104/X1104),IF(BZ1104=1,IF(AF1104&lt;=0,0,CD1104*MAX(1,IF(H1104&gt;0,AF1104/H1104,1))),IF(R1104&gt;0,AG1104/R1104,0))/MAX(0.1,N(Parameter!$M$21)))</f>
        <v>0.00961538461538462</v>
      </c>
      <c r="AI1104" s="50" t="n">
        <f aca="false">AH1104*CB1104</f>
        <v>1.49038461538462</v>
      </c>
      <c r="AJ1104" s="51" t="n">
        <f aca="false">IF(LEFT(Cockpit!$C$5,1)="A",H1104,IF(CH1104=1,(CK1104+CI1104)/2,IF(LEFT(Cockpit!$C$5,1)="B",(CK1104+AL1104)/2,MAX((CK1104+AL1104)/2,H1104))))</f>
        <v>22</v>
      </c>
      <c r="AK1104" s="50" t="n">
        <f aca="false">AJ1104*G1104</f>
        <v>401.28</v>
      </c>
      <c r="AL1104" s="50" t="n">
        <f aca="false">ROUNDUP(CK1104+MAX(CL1104,2*(J1104/IF(CG1104&gt;0,CG1104,MAX(0.1,N(Cockpit!$C$6)))-CK1104)),0)</f>
        <v>22</v>
      </c>
      <c r="AM1104" s="51" t="n">
        <f aca="false">IF(AI1104&gt;0,J1104/AI1104,-1)</f>
        <v>13.4193548387097</v>
      </c>
      <c r="AN1104" s="51" t="n">
        <f aca="false">IF(AND(OR(CF1104="L1",CF1104="L23",CF1104="LIFT"),AI1104&gt;0),SUMIFS($AI$7:$AI$1843,$CF$7:$CF$1843,CF1104,$AM$7:$AM$1843,"&gt;"&amp;AM1104)+SUMIFS($AI$7:$AI$1843,$CF$7:$CF$1843,CF1104,$AM$7:$AM$1843,AM1104,$BW$7:$BW$1843,"&lt;="&amp;BW1104),"")</f>
        <v>2344.32646520147</v>
      </c>
      <c r="AO1104" s="58" t="n">
        <f aca="false">IF(AN1104="",0,MAX(0,MIN(1,(IF(CF1104="L1",Parameter!$H$5,IF(CF1104="L23",Parameter!$H$6+Parameter!$H$7,Parameter!$H$5+Parameter!$H$6+Parameter!$H$7))-(AN1104-AI1104))/AI1104)))</f>
        <v>1</v>
      </c>
      <c r="AP1104" s="50" t="n">
        <f aca="false">IF(LEFT(Cockpit!$I$5,1)="A",H1104,IF(Parameter!$E$30="MAX-Bestand",IF(CH1104=1,CI1104,IF(LEFT(Cockpit!$I$5,1)="B",AV1104,MAX(AV1104,H1104))),ROUNDUP(AT1104,0)))</f>
        <v>22</v>
      </c>
      <c r="AQ1104" s="50" t="n">
        <f aca="false">IF(BZ1104=1,0,ROUNDUP(AP1104/BY1104,0))</f>
        <v>1</v>
      </c>
      <c r="AR1104" s="52" t="n">
        <f aca="false">IF(CQ1104&gt;0,CQ1104*MAX(1,AP1104/X1104),IF(BZ1104=1,IF(AP1104&lt;=0,0,CD1104*MAX(1,IF(H1104&gt;0,AP1104/H1104,1))),IF(R1104&gt;0,AQ1104/R1104,0))/MAX(0.1,N(Parameter!$M$21)))</f>
        <v>0.00961538461538462</v>
      </c>
      <c r="AS1104" s="50" t="n">
        <f aca="false">AR1104*CB1104</f>
        <v>1.49038461538462</v>
      </c>
      <c r="AT1104" s="51" t="n">
        <f aca="false">IF(LEFT(Cockpit!$I$5,1)="A",H1104,IF(CH1104=1,(CK1104+CI1104)/2,IF(LEFT(Cockpit!$I$5,1)="B",(CK1104+AV1104)/2,MAX((CK1104+AV1104)/2,H1104))))</f>
        <v>22</v>
      </c>
      <c r="AU1104" s="50" t="n">
        <f aca="false">AT1104*G1104</f>
        <v>401.28</v>
      </c>
      <c r="AV1104" s="50" t="n">
        <f aca="false">ROUNDUP(CK1104+MAX(CL1104,2*(J1104/IF(CG1104&gt;0,CG1104,MAX(0.1,N(Cockpit!$I$6)))-CK1104)),0)</f>
        <v>22</v>
      </c>
      <c r="AW1104" s="51" t="n">
        <f aca="false">IF(AS1104&gt;0,J1104/AS1104,-1)</f>
        <v>13.4193548387097</v>
      </c>
      <c r="AX1104" s="51" t="n">
        <f aca="false">IF(AND(OR(CF1104="L1",CF1104="L23",CF1104="LIFT"),AS1104&gt;0),SUMIFS($AS$7:$AS$1843,$CF$7:$CF$1843,CF1104,$AW$7:$AW$1843,"&gt;"&amp;AW1104)+SUMIFS($AS$7:$AS$1843,$CF$7:$CF$1843,CF1104,$AW$7:$AW$1843,AW1104,$BW$7:$BW$1843,"&lt;="&amp;BW1104),"")</f>
        <v>2963.51327838828</v>
      </c>
      <c r="AY1104" s="58" t="n">
        <f aca="false">IF(AX1104="",0,MAX(0,MIN(1,(IF(CF1104="L1",Parameter!$H$5,IF(CF1104="L23",Parameter!$H$6+Parameter!$H$7,Parameter!$H$5+Parameter!$H$6+Parameter!$H$7))-(AX1104-AS1104))/AS1104)))</f>
        <v>1</v>
      </c>
      <c r="AZ1104" s="50" t="n">
        <f aca="false">IF(LEFT(Cockpit!$O$5,1)="A",H1104,IF(Parameter!$E$30="MAX-Bestand",IF(CH1104=1,CI1104,IF(LEFT(Cockpit!$O$5,1)="B",BF1104,MAX(BF1104,H1104))),ROUNDUP(BD1104,0)))</f>
        <v>12</v>
      </c>
      <c r="BA1104" s="50" t="n">
        <f aca="false">IF(BZ1104=1,0,ROUNDUP(AZ1104/BY1104,0))</f>
        <v>1</v>
      </c>
      <c r="BB1104" s="52" t="n">
        <f aca="false">IF(CQ1104&gt;0,CQ1104*MAX(1,AZ1104/X1104),IF(BZ1104=1,IF(AZ1104&lt;=0,0,CD1104*MAX(1,IF(H1104&gt;0,AZ1104/H1104,1))),IF(R1104&gt;0,BA1104/R1104,0))/MAX(0.1,N(Parameter!$M$21)))</f>
        <v>0.00961538461538462</v>
      </c>
      <c r="BC1104" s="50" t="n">
        <f aca="false">BB1104*CB1104</f>
        <v>1.49038461538462</v>
      </c>
      <c r="BD1104" s="51" t="n">
        <f aca="false">IF(LEFT(Cockpit!$O$5,1)="A",H1104,IF(CH1104=1,(CK1104+CI1104)/2,IF(LEFT(Cockpit!$O$5,1)="B",(CK1104+BF1104)/2,MAX((CK1104+BF1104)/2,H1104))))</f>
        <v>12</v>
      </c>
      <c r="BE1104" s="50" t="n">
        <f aca="false">BD1104*G1104</f>
        <v>218.88</v>
      </c>
      <c r="BF1104" s="50" t="n">
        <f aca="false">ROUNDUP(CK1104+MAX(CL1104,2*(J1104/IF(CG1104&gt;0,CG1104,MAX(0.1,N(Cockpit!$O$6)))-CK1104)),0)</f>
        <v>22</v>
      </c>
      <c r="BG1104" s="51" t="n">
        <f aca="false">IF(BC1104&gt;0,J1104/BC1104,-1)</f>
        <v>13.4193548387097</v>
      </c>
      <c r="BH1104" s="51" t="n">
        <f aca="false">IF(AND(OR(CF1104="L1",CF1104="L23",CF1104="LIFT"),BC1104&gt;0),SUMIFS($BC$7:$BC$1843,$CF$7:$CF$1843,CF1104,$BG$7:$BG$1843,"&gt;"&amp;BG1104)+SUMIFS($BC$7:$BC$1843,$CF$7:$CF$1843,CF1104,$BG$7:$BG$1843,BG1104,$BW$7:$BW$1843,"&lt;="&amp;BW1104),"")</f>
        <v>2504.34478021978</v>
      </c>
      <c r="BI1104" s="58" t="n">
        <f aca="false">IF(BH1104="",0,MAX(0,MIN(1,(IF(CF1104="L1",Parameter!$H$5,IF(CF1104="L23",Parameter!$H$6+Parameter!$H$7,Parameter!$H$5+Parameter!$H$6+Parameter!$H$7))-(BH1104-BC1104))/BC1104)))</f>
        <v>1</v>
      </c>
      <c r="BJ1104" s="48" t="str">
        <f aca="false">IF(AI1104&lt;=0,"",IF(CF1104="Aussen","Aussenlager",IF(CF1104="-","Nicht im Lift",IF(AO1104&gt;=1,"Lift",IF(AO1104&lt;=0,"Aussenlager","teilweise")))))</f>
        <v>Lift</v>
      </c>
      <c r="BK1104" s="48" t="str">
        <f aca="false">IF(AS1104&lt;=0,"",IF(CF1104="Aussen","Aussenlager",IF(CF1104="-","Nicht im Lift",IF(AY1104&gt;=1,"Lift",IF(AY1104&lt;=0,"Aussenlager","teilweise")))))</f>
        <v>Lift</v>
      </c>
      <c r="BL1104" s="48" t="str">
        <f aca="false">IF(BC1104&lt;=0,"",IF(CF1104="Aussen","Aussenlager",IF(CF1104="-","Nicht im Lift",IF(BI1104&gt;=1,"Lift",IF(BI1104&lt;=0,"Aussenlager","teilweise")))))</f>
        <v>Lift</v>
      </c>
      <c r="BM1104" s="48" t="str">
        <f aca="false">IF(A1104="","",IF(BV1104=1,"Neu; ","")&amp;IF(AND(BV1104=0,BQ1104&lt;0),"negativer Bestand (Export "&amp;BQ1104&amp;"); ","")&amp;IF(J1104&lt;=0,"Kein Verbrauch; ","")&amp;IF(CQ1104&gt;0,"Lift "&amp;W1104&amp;" lt. Liftbericht (Fach "&amp;X1104&amp;" Stk); ",IF(CA1104=1,"Gebinde geschätzt ("&amp;T1104&amp;"); ",IF(BZ1104=1,"Lose – Tablare geschätzt; ","")))&amp;IF(H1104&gt;AV1104,"Überbestand "&amp;ROUND(H1104-AV1104,0)&amp;" Stk / CHF "&amp;ROUND((H1104-AV1104)*G1104,0)&amp;"; ","")&amp;IF(AND(CH1104=1,CI1104&lt;CJ1104),"MAX &lt; MB+LG; ","")&amp;IF(AND(CP1104&gt;0,CO1104*10&gt;CP1104),"zu hoch für Tablar; ","")&amp;IF(AND(BV1104=0,OR(CH1104=1,AA1104&lt;&gt;"",U1104&lt;&gt;"",V1104&lt;&gt;"",AB1104&lt;&gt;"")),"manuell übersteuert; ","")&amp;IF(AND(BZ1104=0,R1104=0),"Gebinde unbekannt / Stellmass fehlt; ","")&amp;IF(AND(BZ1104=0,N(V1104)&lt;=0,N(Q1104)&lt;=0),"Menge pro Gebinde fehlt (Ist = 1 Gebinde); ","")&amp;BU1104)</f>
        <v>negativer Bestand (Export -12); </v>
      </c>
      <c r="BN1104" s="48"/>
      <c r="BO1104" s="48"/>
      <c r="BP1104" s="55"/>
      <c r="BQ1104" s="50" t="n">
        <v>-12</v>
      </c>
      <c r="BR1104" s="50" t="n">
        <v>34</v>
      </c>
      <c r="BS1104" s="49" t="n">
        <v>-218.54</v>
      </c>
      <c r="BT1104" s="50" t="n">
        <v>20</v>
      </c>
      <c r="BU1104" s="48"/>
      <c r="BV1104" s="53" t="n">
        <v>0</v>
      </c>
      <c r="BW1104" s="53" t="n">
        <v>1104</v>
      </c>
      <c r="BX1104" s="48" t="str">
        <f aca="false">IF(U1104&lt;&gt;"",UPPER(TRIM(U1104)),IF(CA1104=1,UPPER(VLOOKUP(T1104,Parameter!$I$27:$K$29,2,0)),IF(P1104="","LOSE",P1104)))</f>
        <v>S32</v>
      </c>
      <c r="BY1104" s="50" t="n">
        <f aca="false">IF(BX1104="LOSE",1,IF(N(V1104)&gt;0,V1104,IF(CA1104=1,MAX(1,N(VLOOKUP(T1104,Parameter!$I$27:$K$29,3,0)),H1104,N(N1104)),IF(N(Q1104)&gt;0,Q1104,MAX(1,H1104)))))</f>
        <v>30</v>
      </c>
      <c r="BZ1104" s="53" t="n">
        <f aca="false">IF(BX1104="LOSE",1,0)</f>
        <v>0</v>
      </c>
      <c r="CA1104" s="53" t="n">
        <f aca="false">IF(AND(U1104="",OR(P1104="",P1104="LOSE"),T1104&lt;&gt;"",N(S1104)&lt;=0,ISNUMBER(MATCH(T1104,Parameter!$I$27:$I$29,0))),1,0)</f>
        <v>0</v>
      </c>
      <c r="CB1104" s="53" t="n">
        <f aca="false">IF(CQ1104&gt;0,INDEX(Parameter!$H$5:$H$7,W1104)/INDEX(Parameter!$E$5:$E$7,W1104),IF(AND(BZ1104=0,N(IFERROR(VLOOKUP(BX1104,'Gebinde-Kategorie'!$A$5:$N$45,14,0),0))&gt;0),VLOOKUP(BX1104,'Gebinde-Kategorie'!$A$5:$N$45,14,0)*10+Parameter!$M$23,Parameter!$M$24))</f>
        <v>155</v>
      </c>
      <c r="CC1104" s="48" t="str">
        <f aca="false">IF(AND(Parameter!$B$19="Ja",E1104&lt;&gt;"",ISNUMBER(MATCH(E1104,Parameter!$I$35:$I$52,0))),VLOOKUP(E1104,Parameter!$I$35:$J$52,2,0),IFERROR(VLOOKUP(D1104,Parameter!$A$35:$C$64,2,0),"Nein"))</f>
        <v>2+3</v>
      </c>
      <c r="CD1104" s="52" t="n">
        <f aca="false">IF(BZ1104=0,0,IF(N(S1104)&gt;0,S1104,IFERROR(VLOOKUP(D1104,Parameter!$A$35:$C$64,3,0)+0,0)))</f>
        <v>0</v>
      </c>
      <c r="CE1104" s="48" t="n">
        <f aca="false">IF(AA1104&lt;&gt;"",AA1104,Z1104)</f>
        <v>3</v>
      </c>
      <c r="CF1104" s="48" t="str">
        <f aca="false">IF(OR(CE1104=1,CE1104=2,CE1104=3),IF(Parameter!$E$27="Ja","LIFT",IF(CE1104=1,"L1","L23")),IF(CE1104="Aussen","Aussen","-"))</f>
        <v>LIFT</v>
      </c>
      <c r="CG1104" s="59" t="n">
        <f aca="false">IF(N(AB1104)&gt;0,AB1104,0)</f>
        <v>0</v>
      </c>
      <c r="CH1104" s="53" t="n">
        <f aca="false">IF(ISNUMBER(AE1104),1,0)</f>
        <v>0</v>
      </c>
      <c r="CI1104" s="50" t="n">
        <f aca="false">N(AE1104)</f>
        <v>0</v>
      </c>
      <c r="CJ1104" s="50" t="n">
        <f aca="false">N(M1104)+N(N1104)</f>
        <v>22</v>
      </c>
      <c r="CK1104" s="50" t="n">
        <f aca="false">N(M1104)</f>
        <v>2</v>
      </c>
      <c r="CL1104" s="50" t="n">
        <f aca="false">N(N1104)</f>
        <v>20</v>
      </c>
      <c r="CM1104" s="50" t="n">
        <f aca="false">ROUNDUP(H1104/BY1104,0)</f>
        <v>1</v>
      </c>
      <c r="CN1104" s="50" t="n">
        <f aca="false">ROUNDUP(CI1104/BY1104,0)</f>
        <v>0</v>
      </c>
      <c r="CO1104" s="53" t="n">
        <f aca="false">IF(BZ1104=1,0,IFERROR(VLOOKUP(BX1104,'Gebinde-Kategorie'!$A$5:$N$45,5,0)+0,0))</f>
        <v>8</v>
      </c>
      <c r="CP1104" s="53" t="n">
        <f aca="false">IFERROR(IF(OR(CE1104=1,CE1104=2,CE1104=3),N(INDEX(Parameter!$I$5:$I$7,CE1104)),0),0)</f>
        <v>0</v>
      </c>
      <c r="CQ1104" s="52" t="n">
        <f aca="false">IF(AND(Parameter!$B$21="Ja",ISNUMBER(W1104),N(X1104)&gt;0),IFERROR(N(INDEX(Parameter!$L$5:$L$7,W1104))*INDEX(Parameter!$E$5:$E$7,W1104)*X1104/SUMIFS($X$7:$X$1843,$W$7:$W$1843,W1104),0),0)</f>
        <v>0</v>
      </c>
    </row>
    <row r="1105" customFormat="false" ht="15" hidden="false" customHeight="false" outlineLevel="0" collapsed="false">
      <c r="A1105" s="48" t="s">
        <v>2017</v>
      </c>
      <c r="B1105" s="48" t="s">
        <v>506</v>
      </c>
      <c r="C1105" s="48" t="s">
        <v>173</v>
      </c>
      <c r="D1105" s="48" t="s">
        <v>193</v>
      </c>
      <c r="E1105" s="48" t="s">
        <v>194</v>
      </c>
      <c r="F1105" s="48" t="s">
        <v>227</v>
      </c>
      <c r="G1105" s="49" t="n">
        <v>37</v>
      </c>
      <c r="H1105" s="50" t="n">
        <f aca="false">MAX(0,IF(AND(Parameter!$B$21="Ja",ISNUMBER(Y1105)),Y1105,IF(Parameter!$B$20="Jahresanfang 2025 + Export",BR1105+BQ1105,BQ1105)))</f>
        <v>8</v>
      </c>
      <c r="I1105" s="50" t="n">
        <f aca="false">H1105*G1105</f>
        <v>296</v>
      </c>
      <c r="J1105" s="50" t="n">
        <f aca="false">BT1105*Parameter!$B$18</f>
        <v>20</v>
      </c>
      <c r="K1105" s="51" t="n">
        <v>14</v>
      </c>
      <c r="L1105" s="52" t="n">
        <v>1.42857142857143</v>
      </c>
      <c r="M1105" s="50" t="n">
        <v>1</v>
      </c>
      <c r="N1105" s="50" t="n">
        <v>20</v>
      </c>
      <c r="O1105" s="53" t="n">
        <v>35</v>
      </c>
      <c r="P1105" s="48" t="s">
        <v>430</v>
      </c>
      <c r="Q1105" s="50" t="n">
        <v>19</v>
      </c>
      <c r="R1105" s="53" t="n">
        <f aca="false">IF(BZ1105=1,0,IFERROR(VLOOKUP(BX1105,'Gebinde-Kategorie'!$A$5:$N$45,13,0)+0,0))</f>
        <v>104</v>
      </c>
      <c r="S1105" s="54"/>
      <c r="T1105" s="55"/>
      <c r="U1105" s="55"/>
      <c r="V1105" s="55"/>
      <c r="W1105" s="48"/>
      <c r="X1105" s="50"/>
      <c r="Y1105" s="50"/>
      <c r="Z1105" s="48" t="n">
        <f aca="false">IF(A1105="","",IF(AND(Parameter!$B$21="Ja",ISNUMBER(W1105)),W1105,IF(CC1105="2+3",IF(ISNUMBER(SEARCH("grosser Artikel",BU1105)),2,IFERROR(VLOOKUP(BX1105,Parameter!$F$35:$G$64,2,0),2)),IF(OR(CC1105="Nein",CC1105=""),"-",CC1105))))</f>
        <v>3</v>
      </c>
      <c r="AA1105" s="55"/>
      <c r="AB1105" s="56"/>
      <c r="AC1105" s="50" t="n">
        <f aca="false">AV1105</f>
        <v>21</v>
      </c>
      <c r="AD1105" s="50" t="n">
        <f aca="false">MAX(AV1105,H1105)</f>
        <v>21</v>
      </c>
      <c r="AE1105" s="57"/>
      <c r="AF1105" s="50" t="n">
        <f aca="false">IF(LEFT(Cockpit!$C$5,1)="A",H1105,IF(Parameter!$E$30="MAX-Bestand",IF(CH1105=1,CI1105,IF(LEFT(Cockpit!$C$5,1)="B",AL1105,MAX(AL1105,H1105))),ROUNDUP(AJ1105,0)))</f>
        <v>8</v>
      </c>
      <c r="AG1105" s="50" t="n">
        <f aca="false">IF(BZ1105=1,0,ROUNDUP(AF1105/BY1105,0))</f>
        <v>1</v>
      </c>
      <c r="AH1105" s="52" t="n">
        <f aca="false">IF(CQ1105&gt;0,CQ1105*MAX(1,AF1105/X1105),IF(BZ1105=1,IF(AF1105&lt;=0,0,CD1105*MAX(1,IF(H1105&gt;0,AF1105/H1105,1))),IF(R1105&gt;0,AG1105/R1105,0))/MAX(0.1,N(Parameter!$M$21)))</f>
        <v>0.00961538461538462</v>
      </c>
      <c r="AI1105" s="50" t="n">
        <f aca="false">AH1105*CB1105</f>
        <v>1.49038461538462</v>
      </c>
      <c r="AJ1105" s="51" t="n">
        <f aca="false">IF(LEFT(Cockpit!$C$5,1)="A",H1105,IF(CH1105=1,(CK1105+CI1105)/2,IF(LEFT(Cockpit!$C$5,1)="B",(CK1105+AL1105)/2,MAX((CK1105+AL1105)/2,H1105))))</f>
        <v>8</v>
      </c>
      <c r="AK1105" s="50" t="n">
        <f aca="false">AJ1105*G1105</f>
        <v>296</v>
      </c>
      <c r="AL1105" s="50" t="n">
        <f aca="false">ROUNDUP(CK1105+MAX(CL1105,2*(J1105/IF(CG1105&gt;0,CG1105,MAX(0.1,N(Cockpit!$C$6)))-CK1105)),0)</f>
        <v>21</v>
      </c>
      <c r="AM1105" s="51" t="n">
        <f aca="false">IF(AI1105&gt;0,J1105/AI1105,-1)</f>
        <v>13.4193548387097</v>
      </c>
      <c r="AN1105" s="51" t="n">
        <f aca="false">IF(AND(OR(CF1105="L1",CF1105="L23",CF1105="LIFT"),AI1105&gt;0),SUMIFS($AI$7:$AI$1843,$CF$7:$CF$1843,CF1105,$AM$7:$AM$1843,"&gt;"&amp;AM1105)+SUMIFS($AI$7:$AI$1843,$CF$7:$CF$1843,CF1105,$AM$7:$AM$1843,AM1105,$BW$7:$BW$1843,"&lt;="&amp;BW1105),"")</f>
        <v>2345.81684981685</v>
      </c>
      <c r="AO1105" s="58" t="n">
        <f aca="false">IF(AN1105="",0,MAX(0,MIN(1,(IF(CF1105="L1",Parameter!$H$5,IF(CF1105="L23",Parameter!$H$6+Parameter!$H$7,Parameter!$H$5+Parameter!$H$6+Parameter!$H$7))-(AN1105-AI1105))/AI1105)))</f>
        <v>1</v>
      </c>
      <c r="AP1105" s="50" t="n">
        <f aca="false">IF(LEFT(Cockpit!$I$5,1)="A",H1105,IF(Parameter!$E$30="MAX-Bestand",IF(CH1105=1,CI1105,IF(LEFT(Cockpit!$I$5,1)="B",AV1105,MAX(AV1105,H1105))),ROUNDUP(AT1105,0)))</f>
        <v>11</v>
      </c>
      <c r="AQ1105" s="50" t="n">
        <f aca="false">IF(BZ1105=1,0,ROUNDUP(AP1105/BY1105,0))</f>
        <v>1</v>
      </c>
      <c r="AR1105" s="52" t="n">
        <f aca="false">IF(CQ1105&gt;0,CQ1105*MAX(1,AP1105/X1105),IF(BZ1105=1,IF(AP1105&lt;=0,0,CD1105*MAX(1,IF(H1105&gt;0,AP1105/H1105,1))),IF(R1105&gt;0,AQ1105/R1105,0))/MAX(0.1,N(Parameter!$M$21)))</f>
        <v>0.00961538461538462</v>
      </c>
      <c r="AS1105" s="50" t="n">
        <f aca="false">AR1105*CB1105</f>
        <v>1.49038461538462</v>
      </c>
      <c r="AT1105" s="51" t="n">
        <f aca="false">IF(LEFT(Cockpit!$I$5,1)="A",H1105,IF(CH1105=1,(CK1105+CI1105)/2,IF(LEFT(Cockpit!$I$5,1)="B",(CK1105+AV1105)/2,MAX((CK1105+AV1105)/2,H1105))))</f>
        <v>11</v>
      </c>
      <c r="AU1105" s="50" t="n">
        <f aca="false">AT1105*G1105</f>
        <v>407</v>
      </c>
      <c r="AV1105" s="50" t="n">
        <f aca="false">ROUNDUP(CK1105+MAX(CL1105,2*(J1105/IF(CG1105&gt;0,CG1105,MAX(0.1,N(Cockpit!$I$6)))-CK1105)),0)</f>
        <v>21</v>
      </c>
      <c r="AW1105" s="51" t="n">
        <f aca="false">IF(AS1105&gt;0,J1105/AS1105,-1)</f>
        <v>13.4193548387097</v>
      </c>
      <c r="AX1105" s="51" t="n">
        <f aca="false">IF(AND(OR(CF1105="L1",CF1105="L23",CF1105="LIFT"),AS1105&gt;0),SUMIFS($AS$7:$AS$1843,$CF$7:$CF$1843,CF1105,$AW$7:$AW$1843,"&gt;"&amp;AW1105)+SUMIFS($AS$7:$AS$1843,$CF$7:$CF$1843,CF1105,$AW$7:$AW$1843,AW1105,$BW$7:$BW$1843,"&lt;="&amp;BW1105),"")</f>
        <v>2965.00366300366</v>
      </c>
      <c r="AY1105" s="58" t="n">
        <f aca="false">IF(AX1105="",0,MAX(0,MIN(1,(IF(CF1105="L1",Parameter!$H$5,IF(CF1105="L23",Parameter!$H$6+Parameter!$H$7,Parameter!$H$5+Parameter!$H$6+Parameter!$H$7))-(AX1105-AS1105))/AS1105)))</f>
        <v>1</v>
      </c>
      <c r="AZ1105" s="50" t="n">
        <f aca="false">IF(LEFT(Cockpit!$O$5,1)="A",H1105,IF(Parameter!$E$30="MAX-Bestand",IF(CH1105=1,CI1105,IF(LEFT(Cockpit!$O$5,1)="B",BF1105,MAX(BF1105,H1105))),ROUNDUP(BD1105,0)))</f>
        <v>11</v>
      </c>
      <c r="BA1105" s="50" t="n">
        <f aca="false">IF(BZ1105=1,0,ROUNDUP(AZ1105/BY1105,0))</f>
        <v>1</v>
      </c>
      <c r="BB1105" s="52" t="n">
        <f aca="false">IF(CQ1105&gt;0,CQ1105*MAX(1,AZ1105/X1105),IF(BZ1105=1,IF(AZ1105&lt;=0,0,CD1105*MAX(1,IF(H1105&gt;0,AZ1105/H1105,1))),IF(R1105&gt;0,BA1105/R1105,0))/MAX(0.1,N(Parameter!$M$21)))</f>
        <v>0.00961538461538462</v>
      </c>
      <c r="BC1105" s="50" t="n">
        <f aca="false">BB1105*CB1105</f>
        <v>1.49038461538462</v>
      </c>
      <c r="BD1105" s="51" t="n">
        <f aca="false">IF(LEFT(Cockpit!$O$5,1)="A",H1105,IF(CH1105=1,(CK1105+CI1105)/2,IF(LEFT(Cockpit!$O$5,1)="B",(CK1105+BF1105)/2,MAX((CK1105+BF1105)/2,H1105))))</f>
        <v>11</v>
      </c>
      <c r="BE1105" s="50" t="n">
        <f aca="false">BD1105*G1105</f>
        <v>407</v>
      </c>
      <c r="BF1105" s="50" t="n">
        <f aca="false">ROUNDUP(CK1105+MAX(CL1105,2*(J1105/IF(CG1105&gt;0,CG1105,MAX(0.1,N(Cockpit!$O$6)))-CK1105)),0)</f>
        <v>21</v>
      </c>
      <c r="BG1105" s="51" t="n">
        <f aca="false">IF(BC1105&gt;0,J1105/BC1105,-1)</f>
        <v>13.4193548387097</v>
      </c>
      <c r="BH1105" s="51" t="n">
        <f aca="false">IF(AND(OR(CF1105="L1",CF1105="L23",CF1105="LIFT"),BC1105&gt;0),SUMIFS($BC$7:$BC$1843,$CF$7:$CF$1843,CF1105,$BG$7:$BG$1843,"&gt;"&amp;BG1105)+SUMIFS($BC$7:$BC$1843,$CF$7:$CF$1843,CF1105,$BG$7:$BG$1843,BG1105,$BW$7:$BW$1843,"&lt;="&amp;BW1105),"")</f>
        <v>2505.83516483516</v>
      </c>
      <c r="BI1105" s="58" t="n">
        <f aca="false">IF(BH1105="",0,MAX(0,MIN(1,(IF(CF1105="L1",Parameter!$H$5,IF(CF1105="L23",Parameter!$H$6+Parameter!$H$7,Parameter!$H$5+Parameter!$H$6+Parameter!$H$7))-(BH1105-BC1105))/BC1105)))</f>
        <v>1</v>
      </c>
      <c r="BJ1105" s="48" t="str">
        <f aca="false">IF(AI1105&lt;=0,"",IF(CF1105="Aussen","Aussenlager",IF(CF1105="-","Nicht im Lift",IF(AO1105&gt;=1,"Lift",IF(AO1105&lt;=0,"Aussenlager","teilweise")))))</f>
        <v>Lift</v>
      </c>
      <c r="BK1105" s="48" t="str">
        <f aca="false">IF(AS1105&lt;=0,"",IF(CF1105="Aussen","Aussenlager",IF(CF1105="-","Nicht im Lift",IF(AY1105&gt;=1,"Lift",IF(AY1105&lt;=0,"Aussenlager","teilweise")))))</f>
        <v>Lift</v>
      </c>
      <c r="BL1105" s="48" t="str">
        <f aca="false">IF(BC1105&lt;=0,"",IF(CF1105="Aussen","Aussenlager",IF(CF1105="-","Nicht im Lift",IF(BI1105&gt;=1,"Lift",IF(BI1105&lt;=0,"Aussenlager","teilweise")))))</f>
        <v>Lift</v>
      </c>
      <c r="BM1105" s="48" t="str">
        <f aca="false">IF(A1105="","",IF(BV1105=1,"Neu; ","")&amp;IF(AND(BV1105=0,BQ1105&lt;0),"negativer Bestand (Export "&amp;BQ1105&amp;"); ","")&amp;IF(J1105&lt;=0,"Kein Verbrauch; ","")&amp;IF(CQ1105&gt;0,"Lift "&amp;W1105&amp;" lt. Liftbericht (Fach "&amp;X1105&amp;" Stk); ",IF(CA1105=1,"Gebinde geschätzt ("&amp;T1105&amp;"); ",IF(BZ1105=1,"Lose – Tablare geschätzt; ","")))&amp;IF(H1105&gt;AV1105,"Überbestand "&amp;ROUND(H1105-AV1105,0)&amp;" Stk / CHF "&amp;ROUND((H1105-AV1105)*G1105,0)&amp;"; ","")&amp;IF(AND(CH1105=1,CI1105&lt;CJ1105),"MAX &lt; MB+LG; ","")&amp;IF(AND(CP1105&gt;0,CO1105*10&gt;CP1105),"zu hoch für Tablar; ","")&amp;IF(AND(BV1105=0,OR(CH1105=1,AA1105&lt;&gt;"",U1105&lt;&gt;"",V1105&lt;&gt;"",AB1105&lt;&gt;"")),"manuell übersteuert; ","")&amp;IF(AND(BZ1105=0,R1105=0),"Gebinde unbekannt / Stellmass fehlt; ","")&amp;IF(AND(BZ1105=0,N(V1105)&lt;=0,N(Q1105)&lt;=0),"Menge pro Gebinde fehlt (Ist = 1 Gebinde); ","")&amp;BU1105)</f>
        <v>negativer Bestand (Export -6); </v>
      </c>
      <c r="BN1105" s="48"/>
      <c r="BO1105" s="48"/>
      <c r="BP1105" s="55"/>
      <c r="BQ1105" s="50" t="n">
        <v>-6</v>
      </c>
      <c r="BR1105" s="50" t="n">
        <v>14</v>
      </c>
      <c r="BS1105" s="49" t="n">
        <v>-222</v>
      </c>
      <c r="BT1105" s="50" t="n">
        <v>20</v>
      </c>
      <c r="BU1105" s="48"/>
      <c r="BV1105" s="53" t="n">
        <v>0</v>
      </c>
      <c r="BW1105" s="53" t="n">
        <v>1105</v>
      </c>
      <c r="BX1105" s="48" t="str">
        <f aca="false">IF(U1105&lt;&gt;"",UPPER(TRIM(U1105)),IF(CA1105=1,UPPER(VLOOKUP(T1105,Parameter!$I$27:$K$29,2,0)),IF(P1105="","LOSE",P1105)))</f>
        <v>S32</v>
      </c>
      <c r="BY1105" s="50" t="n">
        <f aca="false">IF(BX1105="LOSE",1,IF(N(V1105)&gt;0,V1105,IF(CA1105=1,MAX(1,N(VLOOKUP(T1105,Parameter!$I$27:$K$29,3,0)),H1105,N(N1105)),IF(N(Q1105)&gt;0,Q1105,MAX(1,H1105)))))</f>
        <v>19</v>
      </c>
      <c r="BZ1105" s="53" t="n">
        <f aca="false">IF(BX1105="LOSE",1,0)</f>
        <v>0</v>
      </c>
      <c r="CA1105" s="53" t="n">
        <f aca="false">IF(AND(U1105="",OR(P1105="",P1105="LOSE"),T1105&lt;&gt;"",N(S1105)&lt;=0,ISNUMBER(MATCH(T1105,Parameter!$I$27:$I$29,0))),1,0)</f>
        <v>0</v>
      </c>
      <c r="CB1105" s="53" t="n">
        <f aca="false">IF(CQ1105&gt;0,INDEX(Parameter!$H$5:$H$7,W1105)/INDEX(Parameter!$E$5:$E$7,W1105),IF(AND(BZ1105=0,N(IFERROR(VLOOKUP(BX1105,'Gebinde-Kategorie'!$A$5:$N$45,14,0),0))&gt;0),VLOOKUP(BX1105,'Gebinde-Kategorie'!$A$5:$N$45,14,0)*10+Parameter!$M$23,Parameter!$M$24))</f>
        <v>155</v>
      </c>
      <c r="CC1105" s="48" t="str">
        <f aca="false">IF(AND(Parameter!$B$19="Ja",E1105&lt;&gt;"",ISNUMBER(MATCH(E1105,Parameter!$I$35:$I$52,0))),VLOOKUP(E1105,Parameter!$I$35:$J$52,2,0),IFERROR(VLOOKUP(D1105,Parameter!$A$35:$C$64,2,0),"Nein"))</f>
        <v>2+3</v>
      </c>
      <c r="CD1105" s="52" t="n">
        <f aca="false">IF(BZ1105=0,0,IF(N(S1105)&gt;0,S1105,IFERROR(VLOOKUP(D1105,Parameter!$A$35:$C$64,3,0)+0,0)))</f>
        <v>0</v>
      </c>
      <c r="CE1105" s="48" t="n">
        <f aca="false">IF(AA1105&lt;&gt;"",AA1105,Z1105)</f>
        <v>3</v>
      </c>
      <c r="CF1105" s="48" t="str">
        <f aca="false">IF(OR(CE1105=1,CE1105=2,CE1105=3),IF(Parameter!$E$27="Ja","LIFT",IF(CE1105=1,"L1","L23")),IF(CE1105="Aussen","Aussen","-"))</f>
        <v>LIFT</v>
      </c>
      <c r="CG1105" s="59" t="n">
        <f aca="false">IF(N(AB1105)&gt;0,AB1105,0)</f>
        <v>0</v>
      </c>
      <c r="CH1105" s="53" t="n">
        <f aca="false">IF(ISNUMBER(AE1105),1,0)</f>
        <v>0</v>
      </c>
      <c r="CI1105" s="50" t="n">
        <f aca="false">N(AE1105)</f>
        <v>0</v>
      </c>
      <c r="CJ1105" s="50" t="n">
        <f aca="false">N(M1105)+N(N1105)</f>
        <v>21</v>
      </c>
      <c r="CK1105" s="50" t="n">
        <f aca="false">N(M1105)</f>
        <v>1</v>
      </c>
      <c r="CL1105" s="50" t="n">
        <f aca="false">N(N1105)</f>
        <v>20</v>
      </c>
      <c r="CM1105" s="50" t="n">
        <f aca="false">ROUNDUP(H1105/BY1105,0)</f>
        <v>1</v>
      </c>
      <c r="CN1105" s="50" t="n">
        <f aca="false">ROUNDUP(CI1105/BY1105,0)</f>
        <v>0</v>
      </c>
      <c r="CO1105" s="53" t="n">
        <f aca="false">IF(BZ1105=1,0,IFERROR(VLOOKUP(BX1105,'Gebinde-Kategorie'!$A$5:$N$45,5,0)+0,0))</f>
        <v>8</v>
      </c>
      <c r="CP1105" s="53" t="n">
        <f aca="false">IFERROR(IF(OR(CE1105=1,CE1105=2,CE1105=3),N(INDEX(Parameter!$I$5:$I$7,CE1105)),0),0)</f>
        <v>0</v>
      </c>
      <c r="CQ1105" s="52" t="n">
        <f aca="false">IF(AND(Parameter!$B$21="Ja",ISNUMBER(W1105),N(X1105)&gt;0),IFERROR(N(INDEX(Parameter!$L$5:$L$7,W1105))*INDEX(Parameter!$E$5:$E$7,W1105)*X1105/SUMIFS($X$7:$X$1843,$W$7:$W$1843,W1105),0),0)</f>
        <v>0</v>
      </c>
    </row>
    <row r="1106" customFormat="false" ht="15" hidden="false" customHeight="false" outlineLevel="0" collapsed="false">
      <c r="A1106" s="48" t="s">
        <v>2018</v>
      </c>
      <c r="B1106" s="48" t="s">
        <v>553</v>
      </c>
      <c r="C1106" s="48" t="s">
        <v>173</v>
      </c>
      <c r="D1106" s="48" t="s">
        <v>193</v>
      </c>
      <c r="E1106" s="48" t="s">
        <v>194</v>
      </c>
      <c r="F1106" s="48" t="s">
        <v>227</v>
      </c>
      <c r="G1106" s="49" t="n">
        <v>16.05</v>
      </c>
      <c r="H1106" s="50" t="n">
        <f aca="false">MAX(0,IF(AND(Parameter!$B$21="Ja",ISNUMBER(Y1106)),Y1106,IF(Parameter!$B$20="Jahresanfang 2025 + Export",BR1106+BQ1106,BQ1106)))</f>
        <v>25</v>
      </c>
      <c r="I1106" s="50" t="n">
        <f aca="false">H1106*G1106</f>
        <v>401.25</v>
      </c>
      <c r="J1106" s="50" t="n">
        <f aca="false">BT1106*Parameter!$B$18</f>
        <v>0</v>
      </c>
      <c r="K1106" s="51" t="n">
        <v>32</v>
      </c>
      <c r="L1106" s="52" t="n">
        <v>0</v>
      </c>
      <c r="M1106" s="50" t="n">
        <v>2</v>
      </c>
      <c r="N1106" s="50" t="n">
        <v>1</v>
      </c>
      <c r="O1106" s="53" t="n">
        <v>28</v>
      </c>
      <c r="P1106" s="48" t="s">
        <v>430</v>
      </c>
      <c r="Q1106" s="50" t="n">
        <v>39</v>
      </c>
      <c r="R1106" s="53" t="n">
        <f aca="false">IF(BZ1106=1,0,IFERROR(VLOOKUP(BX1106,'Gebinde-Kategorie'!$A$5:$N$45,13,0)+0,0))</f>
        <v>104</v>
      </c>
      <c r="S1106" s="54"/>
      <c r="T1106" s="55"/>
      <c r="U1106" s="55"/>
      <c r="V1106" s="55"/>
      <c r="W1106" s="48"/>
      <c r="X1106" s="50"/>
      <c r="Y1106" s="50"/>
      <c r="Z1106" s="48" t="n">
        <f aca="false">IF(A1106="","",IF(AND(Parameter!$B$21="Ja",ISNUMBER(W1106)),W1106,IF(CC1106="2+3",IF(ISNUMBER(SEARCH("grosser Artikel",BU1106)),2,IFERROR(VLOOKUP(BX1106,Parameter!$F$35:$G$64,2,0),2)),IF(OR(CC1106="Nein",CC1106=""),"-",CC1106))))</f>
        <v>3</v>
      </c>
      <c r="AA1106" s="55"/>
      <c r="AB1106" s="56"/>
      <c r="AC1106" s="50" t="n">
        <f aca="false">AV1106</f>
        <v>3</v>
      </c>
      <c r="AD1106" s="50" t="n">
        <f aca="false">MAX(AV1106,H1106)</f>
        <v>25</v>
      </c>
      <c r="AE1106" s="57"/>
      <c r="AF1106" s="50" t="n">
        <f aca="false">IF(LEFT(Cockpit!$C$5,1)="A",H1106,IF(Parameter!$E$30="MAX-Bestand",IF(CH1106=1,CI1106,IF(LEFT(Cockpit!$C$5,1)="B",AL1106,MAX(AL1106,H1106))),ROUNDUP(AJ1106,0)))</f>
        <v>25</v>
      </c>
      <c r="AG1106" s="50" t="n">
        <f aca="false">IF(BZ1106=1,0,ROUNDUP(AF1106/BY1106,0))</f>
        <v>1</v>
      </c>
      <c r="AH1106" s="52" t="n">
        <f aca="false">IF(CQ1106&gt;0,CQ1106*MAX(1,AF1106/X1106),IF(BZ1106=1,IF(AF1106&lt;=0,0,CD1106*MAX(1,IF(H1106&gt;0,AF1106/H1106,1))),IF(R1106&gt;0,AG1106/R1106,0))/MAX(0.1,N(Parameter!$M$21)))</f>
        <v>0.00961538461538462</v>
      </c>
      <c r="AI1106" s="50" t="n">
        <f aca="false">AH1106*CB1106</f>
        <v>1.49038461538462</v>
      </c>
      <c r="AJ1106" s="51" t="n">
        <f aca="false">IF(LEFT(Cockpit!$C$5,1)="A",H1106,IF(CH1106=1,(CK1106+CI1106)/2,IF(LEFT(Cockpit!$C$5,1)="B",(CK1106+AL1106)/2,MAX((CK1106+AL1106)/2,H1106))))</f>
        <v>25</v>
      </c>
      <c r="AK1106" s="50" t="n">
        <f aca="false">AJ1106*G1106</f>
        <v>401.25</v>
      </c>
      <c r="AL1106" s="50" t="n">
        <f aca="false">ROUNDUP(CK1106+MAX(CL1106,2*(J1106/IF(CG1106&gt;0,CG1106,MAX(0.1,N(Cockpit!$C$6)))-CK1106)),0)</f>
        <v>3</v>
      </c>
      <c r="AM1106" s="51" t="n">
        <f aca="false">IF(AI1106&gt;0,J1106/AI1106,-1)</f>
        <v>0</v>
      </c>
      <c r="AN1106" s="51" t="n">
        <f aca="false">IF(AND(OR(CF1106="L1",CF1106="L23",CF1106="LIFT"),AI1106&gt;0),SUMIFS($AI$7:$AI$1843,$CF$7:$CF$1843,CF1106,$AM$7:$AM$1843,"&gt;"&amp;AM1106)+SUMIFS($AI$7:$AI$1843,$CF$7:$CF$1843,CF1106,$AM$7:$AM$1843,AM1106,$BW$7:$BW$1843,"&lt;="&amp;BW1106),"")</f>
        <v>29135.9859740072</v>
      </c>
      <c r="AO1106" s="58" t="n">
        <f aca="false">IF(AN1106="",0,MAX(0,MIN(1,(IF(CF1106="L1",Parameter!$H$5,IF(CF1106="L23",Parameter!$H$6+Parameter!$H$7,Parameter!$H$5+Parameter!$H$6+Parameter!$H$7))-(AN1106-AI1106))/AI1106)))</f>
        <v>1</v>
      </c>
      <c r="AP1106" s="50" t="n">
        <f aca="false">IF(LEFT(Cockpit!$I$5,1)="A",H1106,IF(Parameter!$E$30="MAX-Bestand",IF(CH1106=1,CI1106,IF(LEFT(Cockpit!$I$5,1)="B",AV1106,MAX(AV1106,H1106))),ROUNDUP(AT1106,0)))</f>
        <v>25</v>
      </c>
      <c r="AQ1106" s="50" t="n">
        <f aca="false">IF(BZ1106=1,0,ROUNDUP(AP1106/BY1106,0))</f>
        <v>1</v>
      </c>
      <c r="AR1106" s="52" t="n">
        <f aca="false">IF(CQ1106&gt;0,CQ1106*MAX(1,AP1106/X1106),IF(BZ1106=1,IF(AP1106&lt;=0,0,CD1106*MAX(1,IF(H1106&gt;0,AP1106/H1106,1))),IF(R1106&gt;0,AQ1106/R1106,0))/MAX(0.1,N(Parameter!$M$21)))</f>
        <v>0.00961538461538462</v>
      </c>
      <c r="AS1106" s="50" t="n">
        <f aca="false">AR1106*CB1106</f>
        <v>1.49038461538462</v>
      </c>
      <c r="AT1106" s="51" t="n">
        <f aca="false">IF(LEFT(Cockpit!$I$5,1)="A",H1106,IF(CH1106=1,(CK1106+CI1106)/2,IF(LEFT(Cockpit!$I$5,1)="B",(CK1106+AV1106)/2,MAX((CK1106+AV1106)/2,H1106))))</f>
        <v>25</v>
      </c>
      <c r="AU1106" s="50" t="n">
        <f aca="false">AT1106*G1106</f>
        <v>401.25</v>
      </c>
      <c r="AV1106" s="50" t="n">
        <f aca="false">ROUNDUP(CK1106+MAX(CL1106,2*(J1106/IF(CG1106&gt;0,CG1106,MAX(0.1,N(Cockpit!$I$6)))-CK1106)),0)</f>
        <v>3</v>
      </c>
      <c r="AW1106" s="51" t="n">
        <f aca="false">IF(AS1106&gt;0,J1106/AS1106,-1)</f>
        <v>0</v>
      </c>
      <c r="AX1106" s="51" t="n">
        <f aca="false">IF(AND(OR(CF1106="L1",CF1106="L23",CF1106="LIFT"),AS1106&gt;0),SUMIFS($AS$7:$AS$1843,$CF$7:$CF$1843,CF1106,$AW$7:$AW$1843,"&gt;"&amp;AW1106)+SUMIFS($AS$7:$AS$1843,$CF$7:$CF$1843,CF1106,$AW$7:$AW$1843,AW1106,$BW$7:$BW$1843,"&lt;="&amp;BW1106),"")</f>
        <v>34850.2811355311</v>
      </c>
      <c r="AY1106" s="58" t="n">
        <f aca="false">IF(AX1106="",0,MAX(0,MIN(1,(IF(CF1106="L1",Parameter!$H$5,IF(CF1106="L23",Parameter!$H$6+Parameter!$H$7,Parameter!$H$5+Parameter!$H$6+Parameter!$H$7))-(AX1106-AS1106))/AS1106)))</f>
        <v>1</v>
      </c>
      <c r="AZ1106" s="50" t="n">
        <f aca="false">IF(LEFT(Cockpit!$O$5,1)="A",H1106,IF(Parameter!$E$30="MAX-Bestand",IF(CH1106=1,CI1106,IF(LEFT(Cockpit!$O$5,1)="B",BF1106,MAX(BF1106,H1106))),ROUNDUP(BD1106,0)))</f>
        <v>3</v>
      </c>
      <c r="BA1106" s="50" t="n">
        <f aca="false">IF(BZ1106=1,0,ROUNDUP(AZ1106/BY1106,0))</f>
        <v>1</v>
      </c>
      <c r="BB1106" s="52" t="n">
        <f aca="false">IF(CQ1106&gt;0,CQ1106*MAX(1,AZ1106/X1106),IF(BZ1106=1,IF(AZ1106&lt;=0,0,CD1106*MAX(1,IF(H1106&gt;0,AZ1106/H1106,1))),IF(R1106&gt;0,BA1106/R1106,0))/MAX(0.1,N(Parameter!$M$21)))</f>
        <v>0.00961538461538462</v>
      </c>
      <c r="BC1106" s="50" t="n">
        <f aca="false">BB1106*CB1106</f>
        <v>1.49038461538462</v>
      </c>
      <c r="BD1106" s="51" t="n">
        <f aca="false">IF(LEFT(Cockpit!$O$5,1)="A",H1106,IF(CH1106=1,(CK1106+CI1106)/2,IF(LEFT(Cockpit!$O$5,1)="B",(CK1106+BF1106)/2,MAX((CK1106+BF1106)/2,H1106))))</f>
        <v>2.5</v>
      </c>
      <c r="BE1106" s="50" t="n">
        <f aca="false">BD1106*G1106</f>
        <v>40.125</v>
      </c>
      <c r="BF1106" s="50" t="n">
        <f aca="false">ROUNDUP(CK1106+MAX(CL1106,2*(J1106/IF(CG1106&gt;0,CG1106,MAX(0.1,N(Cockpit!$O$6)))-CK1106)),0)</f>
        <v>3</v>
      </c>
      <c r="BG1106" s="51" t="n">
        <f aca="false">IF(BC1106&gt;0,J1106/BC1106,-1)</f>
        <v>0</v>
      </c>
      <c r="BH1106" s="51" t="n">
        <f aca="false">IF(AND(OR(CF1106="L1",CF1106="L23",CF1106="LIFT"),BC1106&gt;0),SUMIFS($BC$7:$BC$1843,$CF$7:$CF$1843,CF1106,$BG$7:$BG$1843,"&gt;"&amp;BG1106)+SUMIFS($BC$7:$BC$1843,$CF$7:$CF$1843,CF1106,$BG$7:$BG$1843,BG1106,$BW$7:$BW$1843,"&lt;="&amp;BW1106),"")</f>
        <v>28835.5877956789</v>
      </c>
      <c r="BI1106" s="58" t="n">
        <f aca="false">IF(BH1106="",0,MAX(0,MIN(1,(IF(CF1106="L1",Parameter!$H$5,IF(CF1106="L23",Parameter!$H$6+Parameter!$H$7,Parameter!$H$5+Parameter!$H$6+Parameter!$H$7))-(BH1106-BC1106))/BC1106)))</f>
        <v>1</v>
      </c>
      <c r="BJ1106" s="48" t="str">
        <f aca="false">IF(AI1106&lt;=0,"",IF(CF1106="Aussen","Aussenlager",IF(CF1106="-","Nicht im Lift",IF(AO1106&gt;=1,"Lift",IF(AO1106&lt;=0,"Aussenlager","teilweise")))))</f>
        <v>Lift</v>
      </c>
      <c r="BK1106" s="48" t="str">
        <f aca="false">IF(AS1106&lt;=0,"",IF(CF1106="Aussen","Aussenlager",IF(CF1106="-","Nicht im Lift",IF(AY1106&gt;=1,"Lift",IF(AY1106&lt;=0,"Aussenlager","teilweise")))))</f>
        <v>Lift</v>
      </c>
      <c r="BL1106" s="48" t="str">
        <f aca="false">IF(BC1106&lt;=0,"",IF(CF1106="Aussen","Aussenlager",IF(CF1106="-","Nicht im Lift",IF(BI1106&gt;=1,"Lift",IF(BI1106&lt;=0,"Aussenlager","teilweise")))))</f>
        <v>Lift</v>
      </c>
      <c r="BM1106" s="48" t="str">
        <f aca="false">IF(A1106="","",IF(BV1106=1,"Neu; ","")&amp;IF(AND(BV1106=0,BQ1106&lt;0),"negativer Bestand (Export "&amp;BQ1106&amp;"); ","")&amp;IF(J1106&lt;=0,"Kein Verbrauch; ","")&amp;IF(CQ1106&gt;0,"Lift "&amp;W1106&amp;" lt. Liftbericht (Fach "&amp;X1106&amp;" Stk); ",IF(CA1106=1,"Gebinde geschätzt ("&amp;T1106&amp;"); ",IF(BZ1106=1,"Lose – Tablare geschätzt; ","")))&amp;IF(H1106&gt;AV1106,"Überbestand "&amp;ROUND(H1106-AV1106,0)&amp;" Stk / CHF "&amp;ROUND((H1106-AV1106)*G1106,0)&amp;"; ","")&amp;IF(AND(CH1106=1,CI1106&lt;CJ1106),"MAX &lt; MB+LG; ","")&amp;IF(AND(CP1106&gt;0,CO1106*10&gt;CP1106),"zu hoch für Tablar; ","")&amp;IF(AND(BV1106=0,OR(CH1106=1,AA1106&lt;&gt;"",U1106&lt;&gt;"",V1106&lt;&gt;"",AB1106&lt;&gt;"")),"manuell übersteuert; ","")&amp;IF(AND(BZ1106=0,R1106=0),"Gebinde unbekannt / Stellmass fehlt; ","")&amp;IF(AND(BZ1106=0,N(V1106)&lt;=0,N(Q1106)&lt;=0),"Menge pro Gebinde fehlt (Ist = 1 Gebinde); ","")&amp;BU1106)</f>
        <v>negativer Bestand (Export -14); Kein Verbrauch; Überbestand 22 Stk / CHF 353; Neu</v>
      </c>
      <c r="BN1106" s="48"/>
      <c r="BO1106" s="48"/>
      <c r="BP1106" s="55"/>
      <c r="BQ1106" s="50" t="n">
        <v>-14</v>
      </c>
      <c r="BR1106" s="50" t="n">
        <v>39</v>
      </c>
      <c r="BS1106" s="49" t="n">
        <v>-224.7</v>
      </c>
      <c r="BT1106" s="50" t="n">
        <v>0</v>
      </c>
      <c r="BU1106" s="48" t="s">
        <v>635</v>
      </c>
      <c r="BV1106" s="53" t="n">
        <v>0</v>
      </c>
      <c r="BW1106" s="53" t="n">
        <v>1106</v>
      </c>
      <c r="BX1106" s="48" t="str">
        <f aca="false">IF(U1106&lt;&gt;"",UPPER(TRIM(U1106)),IF(CA1106=1,UPPER(VLOOKUP(T1106,Parameter!$I$27:$K$29,2,0)),IF(P1106="","LOSE",P1106)))</f>
        <v>S32</v>
      </c>
      <c r="BY1106" s="50" t="n">
        <f aca="false">IF(BX1106="LOSE",1,IF(N(V1106)&gt;0,V1106,IF(CA1106=1,MAX(1,N(VLOOKUP(T1106,Parameter!$I$27:$K$29,3,0)),H1106,N(N1106)),IF(N(Q1106)&gt;0,Q1106,MAX(1,H1106)))))</f>
        <v>39</v>
      </c>
      <c r="BZ1106" s="53" t="n">
        <f aca="false">IF(BX1106="LOSE",1,0)</f>
        <v>0</v>
      </c>
      <c r="CA1106" s="53" t="n">
        <f aca="false">IF(AND(U1106="",OR(P1106="",P1106="LOSE"),T1106&lt;&gt;"",N(S1106)&lt;=0,ISNUMBER(MATCH(T1106,Parameter!$I$27:$I$29,0))),1,0)</f>
        <v>0</v>
      </c>
      <c r="CB1106" s="53" t="n">
        <f aca="false">IF(CQ1106&gt;0,INDEX(Parameter!$H$5:$H$7,W1106)/INDEX(Parameter!$E$5:$E$7,W1106),IF(AND(BZ1106=0,N(IFERROR(VLOOKUP(BX1106,'Gebinde-Kategorie'!$A$5:$N$45,14,0),0))&gt;0),VLOOKUP(BX1106,'Gebinde-Kategorie'!$A$5:$N$45,14,0)*10+Parameter!$M$23,Parameter!$M$24))</f>
        <v>155</v>
      </c>
      <c r="CC1106" s="48" t="str">
        <f aca="false">IF(AND(Parameter!$B$19="Ja",E1106&lt;&gt;"",ISNUMBER(MATCH(E1106,Parameter!$I$35:$I$52,0))),VLOOKUP(E1106,Parameter!$I$35:$J$52,2,0),IFERROR(VLOOKUP(D1106,Parameter!$A$35:$C$64,2,0),"Nein"))</f>
        <v>2+3</v>
      </c>
      <c r="CD1106" s="52" t="n">
        <f aca="false">IF(BZ1106=0,0,IF(N(S1106)&gt;0,S1106,IFERROR(VLOOKUP(D1106,Parameter!$A$35:$C$64,3,0)+0,0)))</f>
        <v>0</v>
      </c>
      <c r="CE1106" s="48" t="n">
        <f aca="false">IF(AA1106&lt;&gt;"",AA1106,Z1106)</f>
        <v>3</v>
      </c>
      <c r="CF1106" s="48" t="str">
        <f aca="false">IF(OR(CE1106=1,CE1106=2,CE1106=3),IF(Parameter!$E$27="Ja","LIFT",IF(CE1106=1,"L1","L23")),IF(CE1106="Aussen","Aussen","-"))</f>
        <v>LIFT</v>
      </c>
      <c r="CG1106" s="59" t="n">
        <f aca="false">IF(N(AB1106)&gt;0,AB1106,0)</f>
        <v>0</v>
      </c>
      <c r="CH1106" s="53" t="n">
        <f aca="false">IF(ISNUMBER(AE1106),1,0)</f>
        <v>0</v>
      </c>
      <c r="CI1106" s="50" t="n">
        <f aca="false">N(AE1106)</f>
        <v>0</v>
      </c>
      <c r="CJ1106" s="50" t="n">
        <f aca="false">N(M1106)+N(N1106)</f>
        <v>3</v>
      </c>
      <c r="CK1106" s="50" t="n">
        <f aca="false">N(M1106)</f>
        <v>2</v>
      </c>
      <c r="CL1106" s="50" t="n">
        <f aca="false">N(N1106)</f>
        <v>1</v>
      </c>
      <c r="CM1106" s="50" t="n">
        <f aca="false">ROUNDUP(H1106/BY1106,0)</f>
        <v>1</v>
      </c>
      <c r="CN1106" s="50" t="n">
        <f aca="false">ROUNDUP(CI1106/BY1106,0)</f>
        <v>0</v>
      </c>
      <c r="CO1106" s="53" t="n">
        <f aca="false">IF(BZ1106=1,0,IFERROR(VLOOKUP(BX1106,'Gebinde-Kategorie'!$A$5:$N$45,5,0)+0,0))</f>
        <v>8</v>
      </c>
      <c r="CP1106" s="53" t="n">
        <f aca="false">IFERROR(IF(OR(CE1106=1,CE1106=2,CE1106=3),N(INDEX(Parameter!$I$5:$I$7,CE1106)),0),0)</f>
        <v>0</v>
      </c>
      <c r="CQ1106" s="52" t="n">
        <f aca="false">IF(AND(Parameter!$B$21="Ja",ISNUMBER(W1106),N(X1106)&gt;0),IFERROR(N(INDEX(Parameter!$L$5:$L$7,W1106))*INDEX(Parameter!$E$5:$E$7,W1106)*X1106/SUMIFS($X$7:$X$1843,$W$7:$W$1843,W1106),0),0)</f>
        <v>0</v>
      </c>
    </row>
    <row r="1107" customFormat="false" ht="15" hidden="false" customHeight="false" outlineLevel="0" collapsed="false">
      <c r="A1107" s="48" t="s">
        <v>2019</v>
      </c>
      <c r="B1107" s="48" t="s">
        <v>2020</v>
      </c>
      <c r="C1107" s="48" t="s">
        <v>173</v>
      </c>
      <c r="D1107" s="48" t="s">
        <v>193</v>
      </c>
      <c r="E1107" s="48" t="s">
        <v>194</v>
      </c>
      <c r="F1107" s="48" t="s">
        <v>227</v>
      </c>
      <c r="G1107" s="49" t="n">
        <v>225.71</v>
      </c>
      <c r="H1107" s="50" t="n">
        <f aca="false">MAX(0,IF(AND(Parameter!$B$21="Ja",ISNUMBER(Y1107)),Y1107,IF(Parameter!$B$20="Jahresanfang 2025 + Export",BR1107+BQ1107,BQ1107)))</f>
        <v>6</v>
      </c>
      <c r="I1107" s="50" t="n">
        <f aca="false">H1107*G1107</f>
        <v>1354.26</v>
      </c>
      <c r="J1107" s="50" t="n">
        <f aca="false">BT1107*Parameter!$B$18</f>
        <v>1</v>
      </c>
      <c r="K1107" s="51" t="n">
        <v>6.5</v>
      </c>
      <c r="L1107" s="52" t="n">
        <v>0.153846153846154</v>
      </c>
      <c r="M1107" s="50" t="n">
        <v>0</v>
      </c>
      <c r="N1107" s="50" t="n">
        <v>1</v>
      </c>
      <c r="O1107" s="53" t="n">
        <v>28</v>
      </c>
      <c r="P1107" s="48" t="s">
        <v>337</v>
      </c>
      <c r="Q1107" s="50" t="n">
        <v>7</v>
      </c>
      <c r="R1107" s="53" t="n">
        <f aca="false">IF(BZ1107=1,0,IFERROR(VLOOKUP(BX1107,'Gebinde-Kategorie'!$A$5:$N$45,13,0)+0,0))</f>
        <v>52</v>
      </c>
      <c r="S1107" s="54"/>
      <c r="T1107" s="55"/>
      <c r="U1107" s="55"/>
      <c r="V1107" s="55"/>
      <c r="W1107" s="48"/>
      <c r="X1107" s="50"/>
      <c r="Y1107" s="50"/>
      <c r="Z1107" s="48" t="n">
        <f aca="false">IF(A1107="","",IF(AND(Parameter!$B$21="Ja",ISNUMBER(W1107)),W1107,IF(CC1107="2+3",IF(ISNUMBER(SEARCH("grosser Artikel",BU1107)),2,IFERROR(VLOOKUP(BX1107,Parameter!$F$35:$G$64,2,0),2)),IF(OR(CC1107="Nein",CC1107=""),"-",CC1107))))</f>
        <v>3</v>
      </c>
      <c r="AA1107" s="55"/>
      <c r="AB1107" s="56"/>
      <c r="AC1107" s="50" t="n">
        <f aca="false">AV1107</f>
        <v>1</v>
      </c>
      <c r="AD1107" s="50" t="n">
        <f aca="false">MAX(AV1107,H1107)</f>
        <v>6</v>
      </c>
      <c r="AE1107" s="57"/>
      <c r="AF1107" s="50" t="n">
        <f aca="false">IF(LEFT(Cockpit!$C$5,1)="A",H1107,IF(Parameter!$E$30="MAX-Bestand",IF(CH1107=1,CI1107,IF(LEFT(Cockpit!$C$5,1)="B",AL1107,MAX(AL1107,H1107))),ROUNDUP(AJ1107,0)))</f>
        <v>6</v>
      </c>
      <c r="AG1107" s="50" t="n">
        <f aca="false">IF(BZ1107=1,0,ROUNDUP(AF1107/BY1107,0))</f>
        <v>1</v>
      </c>
      <c r="AH1107" s="52" t="n">
        <f aca="false">IF(CQ1107&gt;0,CQ1107*MAX(1,AF1107/X1107),IF(BZ1107=1,IF(AF1107&lt;=0,0,CD1107*MAX(1,IF(H1107&gt;0,AF1107/H1107,1))),IF(R1107&gt;0,AG1107/R1107,0))/MAX(0.1,N(Parameter!$M$21)))</f>
        <v>0.0192307692307692</v>
      </c>
      <c r="AI1107" s="50" t="n">
        <f aca="false">AH1107*CB1107</f>
        <v>2.98076923076923</v>
      </c>
      <c r="AJ1107" s="51" t="n">
        <f aca="false">IF(LEFT(Cockpit!$C$5,1)="A",H1107,IF(CH1107=1,(CK1107+CI1107)/2,IF(LEFT(Cockpit!$C$5,1)="B",(CK1107+AL1107)/2,MAX((CK1107+AL1107)/2,H1107))))</f>
        <v>6</v>
      </c>
      <c r="AK1107" s="50" t="n">
        <f aca="false">AJ1107*G1107</f>
        <v>1354.26</v>
      </c>
      <c r="AL1107" s="50" t="n">
        <f aca="false">ROUNDUP(CK1107+MAX(CL1107,2*(J1107/IF(CG1107&gt;0,CG1107,MAX(0.1,N(Cockpit!$C$6)))-CK1107)),0)</f>
        <v>1</v>
      </c>
      <c r="AM1107" s="51" t="n">
        <f aca="false">IF(AI1107&gt;0,J1107/AI1107,-1)</f>
        <v>0.335483870967742</v>
      </c>
      <c r="AN1107" s="51" t="n">
        <f aca="false">IF(AND(OR(CF1107="L1",CF1107="L23",CF1107="LIFT"),AI1107&gt;0),SUMIFS($AI$7:$AI$1843,$CF$7:$CF$1843,CF1107,$AM$7:$AM$1843,"&gt;"&amp;AM1107)+SUMIFS($AI$7:$AI$1843,$CF$7:$CF$1843,CF1107,$AM$7:$AM$1843,AM1107,$BW$7:$BW$1843,"&lt;="&amp;BW1107),"")</f>
        <v>11224.7693471782</v>
      </c>
      <c r="AO1107" s="58" t="n">
        <f aca="false">IF(AN1107="",0,MAX(0,MIN(1,(IF(CF1107="L1",Parameter!$H$5,IF(CF1107="L23",Parameter!$H$6+Parameter!$H$7,Parameter!$H$5+Parameter!$H$6+Parameter!$H$7))-(AN1107-AI1107))/AI1107)))</f>
        <v>1</v>
      </c>
      <c r="AP1107" s="50" t="n">
        <f aca="false">IF(LEFT(Cockpit!$I$5,1)="A",H1107,IF(Parameter!$E$30="MAX-Bestand",IF(CH1107=1,CI1107,IF(LEFT(Cockpit!$I$5,1)="B",AV1107,MAX(AV1107,H1107))),ROUNDUP(AT1107,0)))</f>
        <v>6</v>
      </c>
      <c r="AQ1107" s="50" t="n">
        <f aca="false">IF(BZ1107=1,0,ROUNDUP(AP1107/BY1107,0))</f>
        <v>1</v>
      </c>
      <c r="AR1107" s="52" t="n">
        <f aca="false">IF(CQ1107&gt;0,CQ1107*MAX(1,AP1107/X1107),IF(BZ1107=1,IF(AP1107&lt;=0,0,CD1107*MAX(1,IF(H1107&gt;0,AP1107/H1107,1))),IF(R1107&gt;0,AQ1107/R1107,0))/MAX(0.1,N(Parameter!$M$21)))</f>
        <v>0.0192307692307692</v>
      </c>
      <c r="AS1107" s="50" t="n">
        <f aca="false">AR1107*CB1107</f>
        <v>2.98076923076923</v>
      </c>
      <c r="AT1107" s="51" t="n">
        <f aca="false">IF(LEFT(Cockpit!$I$5,1)="A",H1107,IF(CH1107=1,(CK1107+CI1107)/2,IF(LEFT(Cockpit!$I$5,1)="B",(CK1107+AV1107)/2,MAX((CK1107+AV1107)/2,H1107))))</f>
        <v>6</v>
      </c>
      <c r="AU1107" s="50" t="n">
        <f aca="false">AT1107*G1107</f>
        <v>1354.26</v>
      </c>
      <c r="AV1107" s="50" t="n">
        <f aca="false">ROUNDUP(CK1107+MAX(CL1107,2*(J1107/IF(CG1107&gt;0,CG1107,MAX(0.1,N(Cockpit!$I$6)))-CK1107)),0)</f>
        <v>1</v>
      </c>
      <c r="AW1107" s="51" t="n">
        <f aca="false">IF(AS1107&gt;0,J1107/AS1107,-1)</f>
        <v>0.335483870967742</v>
      </c>
      <c r="AX1107" s="51" t="n">
        <f aca="false">IF(AND(OR(CF1107="L1",CF1107="L23",CF1107="LIFT"),AS1107&gt;0),SUMIFS($AS$7:$AS$1843,$CF$7:$CF$1843,CF1107,$AW$7:$AW$1843,"&gt;"&amp;AW1107)+SUMIFS($AS$7:$AS$1843,$CF$7:$CF$1843,CF1107,$AW$7:$AW$1843,AW1107,$BW$7:$BW$1843,"&lt;="&amp;BW1107),"")</f>
        <v>13758.9070512821</v>
      </c>
      <c r="AY1107" s="58" t="n">
        <f aca="false">IF(AX1107="",0,MAX(0,MIN(1,(IF(CF1107="L1",Parameter!$H$5,IF(CF1107="L23",Parameter!$H$6+Parameter!$H$7,Parameter!$H$5+Parameter!$H$6+Parameter!$H$7))-(AX1107-AS1107))/AS1107)))</f>
        <v>1</v>
      </c>
      <c r="AZ1107" s="50" t="n">
        <f aca="false">IF(LEFT(Cockpit!$O$5,1)="A",H1107,IF(Parameter!$E$30="MAX-Bestand",IF(CH1107=1,CI1107,IF(LEFT(Cockpit!$O$5,1)="B",BF1107,MAX(BF1107,H1107))),ROUNDUP(BD1107,0)))</f>
        <v>1</v>
      </c>
      <c r="BA1107" s="50" t="n">
        <f aca="false">IF(BZ1107=1,0,ROUNDUP(AZ1107/BY1107,0))</f>
        <v>1</v>
      </c>
      <c r="BB1107" s="52" t="n">
        <f aca="false">IF(CQ1107&gt;0,CQ1107*MAX(1,AZ1107/X1107),IF(BZ1107=1,IF(AZ1107&lt;=0,0,CD1107*MAX(1,IF(H1107&gt;0,AZ1107/H1107,1))),IF(R1107&gt;0,BA1107/R1107,0))/MAX(0.1,N(Parameter!$M$21)))</f>
        <v>0.0192307692307692</v>
      </c>
      <c r="BC1107" s="50" t="n">
        <f aca="false">BB1107*CB1107</f>
        <v>2.98076923076923</v>
      </c>
      <c r="BD1107" s="51" t="n">
        <f aca="false">IF(LEFT(Cockpit!$O$5,1)="A",H1107,IF(CH1107=1,(CK1107+CI1107)/2,IF(LEFT(Cockpit!$O$5,1)="B",(CK1107+BF1107)/2,MAX((CK1107+BF1107)/2,H1107))))</f>
        <v>0.5</v>
      </c>
      <c r="BE1107" s="50" t="n">
        <f aca="false">BD1107*G1107</f>
        <v>112.855</v>
      </c>
      <c r="BF1107" s="50" t="n">
        <f aca="false">ROUNDUP(CK1107+MAX(CL1107,2*(J1107/IF(CG1107&gt;0,CG1107,MAX(0.1,N(Cockpit!$O$6)))-CK1107)),0)</f>
        <v>1</v>
      </c>
      <c r="BG1107" s="51" t="n">
        <f aca="false">IF(BC1107&gt;0,J1107/BC1107,-1)</f>
        <v>0.335483870967742</v>
      </c>
      <c r="BH1107" s="51" t="n">
        <f aca="false">IF(AND(OR(CF1107="L1",CF1107="L23",CF1107="LIFT"),BC1107&gt;0),SUMIFS($BC$7:$BC$1843,$CF$7:$CF$1843,CF1107,$BG$7:$BG$1843,"&gt;"&amp;BG1107)+SUMIFS($BC$7:$BC$1843,$CF$7:$CF$1843,CF1107,$BG$7:$BG$1843,BG1107,$BW$7:$BW$1843,"&lt;="&amp;BW1107),"")</f>
        <v>11609.8658424908</v>
      </c>
      <c r="BI1107" s="58" t="n">
        <f aca="false">IF(BH1107="",0,MAX(0,MIN(1,(IF(CF1107="L1",Parameter!$H$5,IF(CF1107="L23",Parameter!$H$6+Parameter!$H$7,Parameter!$H$5+Parameter!$H$6+Parameter!$H$7))-(BH1107-BC1107))/BC1107)))</f>
        <v>1</v>
      </c>
      <c r="BJ1107" s="48" t="str">
        <f aca="false">IF(AI1107&lt;=0,"",IF(CF1107="Aussen","Aussenlager",IF(CF1107="-","Nicht im Lift",IF(AO1107&gt;=1,"Lift",IF(AO1107&lt;=0,"Aussenlager","teilweise")))))</f>
        <v>Lift</v>
      </c>
      <c r="BK1107" s="48" t="str">
        <f aca="false">IF(AS1107&lt;=0,"",IF(CF1107="Aussen","Aussenlager",IF(CF1107="-","Nicht im Lift",IF(AY1107&gt;=1,"Lift",IF(AY1107&lt;=0,"Aussenlager","teilweise")))))</f>
        <v>Lift</v>
      </c>
      <c r="BL1107" s="48" t="str">
        <f aca="false">IF(BC1107&lt;=0,"",IF(CF1107="Aussen","Aussenlager",IF(CF1107="-","Nicht im Lift",IF(BI1107&gt;=1,"Lift",IF(BI1107&lt;=0,"Aussenlager","teilweise")))))</f>
        <v>Lift</v>
      </c>
      <c r="BM1107" s="48" t="str">
        <f aca="false">IF(A1107="","",IF(BV1107=1,"Neu; ","")&amp;IF(AND(BV1107=0,BQ1107&lt;0),"negativer Bestand (Export "&amp;BQ1107&amp;"); ","")&amp;IF(J1107&lt;=0,"Kein Verbrauch; ","")&amp;IF(CQ1107&gt;0,"Lift "&amp;W1107&amp;" lt. Liftbericht (Fach "&amp;X1107&amp;" Stk); ",IF(CA1107=1,"Gebinde geschätzt ("&amp;T1107&amp;"); ",IF(BZ1107=1,"Lose – Tablare geschätzt; ","")))&amp;IF(H1107&gt;AV1107,"Überbestand "&amp;ROUND(H1107-AV1107,0)&amp;" Stk / CHF "&amp;ROUND((H1107-AV1107)*G1107,0)&amp;"; ","")&amp;IF(AND(CH1107=1,CI1107&lt;CJ1107),"MAX &lt; MB+LG; ","")&amp;IF(AND(CP1107&gt;0,CO1107*10&gt;CP1107),"zu hoch für Tablar; ","")&amp;IF(AND(BV1107=0,OR(CH1107=1,AA1107&lt;&gt;"",U1107&lt;&gt;"",V1107&lt;&gt;"",AB1107&lt;&gt;"")),"manuell übersteuert; ","")&amp;IF(AND(BZ1107=0,R1107=0),"Gebinde unbekannt / Stellmass fehlt; ","")&amp;IF(AND(BZ1107=0,N(V1107)&lt;=0,N(Q1107)&lt;=0),"Menge pro Gebinde fehlt (Ist = 1 Gebinde); ","")&amp;BU1107)</f>
        <v>negativer Bestand (Export -1); Überbestand 5 Stk / CHF 1129; Überbestand</v>
      </c>
      <c r="BN1107" s="48"/>
      <c r="BO1107" s="48"/>
      <c r="BP1107" s="55"/>
      <c r="BQ1107" s="50" t="n">
        <v>-1</v>
      </c>
      <c r="BR1107" s="50" t="n">
        <v>7</v>
      </c>
      <c r="BS1107" s="49" t="n">
        <v>-225.71</v>
      </c>
      <c r="BT1107" s="50" t="n">
        <v>1</v>
      </c>
      <c r="BU1107" s="48" t="s">
        <v>401</v>
      </c>
      <c r="BV1107" s="53" t="n">
        <v>0</v>
      </c>
      <c r="BW1107" s="53" t="n">
        <v>1107</v>
      </c>
      <c r="BX1107" s="48" t="str">
        <f aca="false">IF(U1107&lt;&gt;"",UPPER(TRIM(U1107)),IF(CA1107=1,UPPER(VLOOKUP(T1107,Parameter!$I$27:$K$29,2,0)),IF(P1107="","LOSE",P1107)))</f>
        <v>S41</v>
      </c>
      <c r="BY1107" s="50" t="n">
        <f aca="false">IF(BX1107="LOSE",1,IF(N(V1107)&gt;0,V1107,IF(CA1107=1,MAX(1,N(VLOOKUP(T1107,Parameter!$I$27:$K$29,3,0)),H1107,N(N1107)),IF(N(Q1107)&gt;0,Q1107,MAX(1,H1107)))))</f>
        <v>7</v>
      </c>
      <c r="BZ1107" s="53" t="n">
        <f aca="false">IF(BX1107="LOSE",1,0)</f>
        <v>0</v>
      </c>
      <c r="CA1107" s="53" t="n">
        <f aca="false">IF(AND(U1107="",OR(P1107="",P1107="LOSE"),T1107&lt;&gt;"",N(S1107)&lt;=0,ISNUMBER(MATCH(T1107,Parameter!$I$27:$I$29,0))),1,0)</f>
        <v>0</v>
      </c>
      <c r="CB1107" s="53" t="n">
        <f aca="false">IF(CQ1107&gt;0,INDEX(Parameter!$H$5:$H$7,W1107)/INDEX(Parameter!$E$5:$E$7,W1107),IF(AND(BZ1107=0,N(IFERROR(VLOOKUP(BX1107,'Gebinde-Kategorie'!$A$5:$N$45,14,0),0))&gt;0),VLOOKUP(BX1107,'Gebinde-Kategorie'!$A$5:$N$45,14,0)*10+Parameter!$M$23,Parameter!$M$24))</f>
        <v>155</v>
      </c>
      <c r="CC1107" s="48" t="str">
        <f aca="false">IF(AND(Parameter!$B$19="Ja",E1107&lt;&gt;"",ISNUMBER(MATCH(E1107,Parameter!$I$35:$I$52,0))),VLOOKUP(E1107,Parameter!$I$35:$J$52,2,0),IFERROR(VLOOKUP(D1107,Parameter!$A$35:$C$64,2,0),"Nein"))</f>
        <v>2+3</v>
      </c>
      <c r="CD1107" s="52" t="n">
        <f aca="false">IF(BZ1107=0,0,IF(N(S1107)&gt;0,S1107,IFERROR(VLOOKUP(D1107,Parameter!$A$35:$C$64,3,0)+0,0)))</f>
        <v>0</v>
      </c>
      <c r="CE1107" s="48" t="n">
        <f aca="false">IF(AA1107&lt;&gt;"",AA1107,Z1107)</f>
        <v>3</v>
      </c>
      <c r="CF1107" s="48" t="str">
        <f aca="false">IF(OR(CE1107=1,CE1107=2,CE1107=3),IF(Parameter!$E$27="Ja","LIFT",IF(CE1107=1,"L1","L23")),IF(CE1107="Aussen","Aussen","-"))</f>
        <v>LIFT</v>
      </c>
      <c r="CG1107" s="59" t="n">
        <f aca="false">IF(N(AB1107)&gt;0,AB1107,0)</f>
        <v>0</v>
      </c>
      <c r="CH1107" s="53" t="n">
        <f aca="false">IF(ISNUMBER(AE1107),1,0)</f>
        <v>0</v>
      </c>
      <c r="CI1107" s="50" t="n">
        <f aca="false">N(AE1107)</f>
        <v>0</v>
      </c>
      <c r="CJ1107" s="50" t="n">
        <f aca="false">N(M1107)+N(N1107)</f>
        <v>1</v>
      </c>
      <c r="CK1107" s="50" t="n">
        <f aca="false">N(M1107)</f>
        <v>0</v>
      </c>
      <c r="CL1107" s="50" t="n">
        <f aca="false">N(N1107)</f>
        <v>1</v>
      </c>
      <c r="CM1107" s="50" t="n">
        <f aca="false">ROUNDUP(H1107/BY1107,0)</f>
        <v>1</v>
      </c>
      <c r="CN1107" s="50" t="n">
        <f aca="false">ROUNDUP(CI1107/BY1107,0)</f>
        <v>0</v>
      </c>
      <c r="CO1107" s="53" t="n">
        <f aca="false">IF(BZ1107=1,0,IFERROR(VLOOKUP(BX1107,'Gebinde-Kategorie'!$A$5:$N$45,5,0)+0,0))</f>
        <v>11</v>
      </c>
      <c r="CP1107" s="53" t="n">
        <f aca="false">IFERROR(IF(OR(CE1107=1,CE1107=2,CE1107=3),N(INDEX(Parameter!$I$5:$I$7,CE1107)),0),0)</f>
        <v>0</v>
      </c>
      <c r="CQ1107" s="52" t="n">
        <f aca="false">IF(AND(Parameter!$B$21="Ja",ISNUMBER(W1107),N(X1107)&gt;0),IFERROR(N(INDEX(Parameter!$L$5:$L$7,W1107))*INDEX(Parameter!$E$5:$E$7,W1107)*X1107/SUMIFS($X$7:$X$1843,$W$7:$W$1843,W1107),0),0)</f>
        <v>0</v>
      </c>
    </row>
    <row r="1108" customFormat="false" ht="15" hidden="false" customHeight="false" outlineLevel="0" collapsed="false">
      <c r="A1108" s="48" t="s">
        <v>2021</v>
      </c>
      <c r="B1108" s="48" t="s">
        <v>2022</v>
      </c>
      <c r="C1108" s="48" t="s">
        <v>173</v>
      </c>
      <c r="D1108" s="48" t="s">
        <v>182</v>
      </c>
      <c r="E1108" s="48" t="s">
        <v>194</v>
      </c>
      <c r="F1108" s="48" t="s">
        <v>227</v>
      </c>
      <c r="G1108" s="49" t="n">
        <v>225.73</v>
      </c>
      <c r="H1108" s="50" t="n">
        <f aca="false">MAX(0,IF(AND(Parameter!$B$21="Ja",ISNUMBER(Y1108)),Y1108,IF(Parameter!$B$20="Jahresanfang 2025 + Export",BR1108+BQ1108,BQ1108)))</f>
        <v>14</v>
      </c>
      <c r="I1108" s="50" t="n">
        <f aca="false">H1108*G1108</f>
        <v>3160.22</v>
      </c>
      <c r="J1108" s="50" t="n">
        <f aca="false">BT1108*Parameter!$B$18</f>
        <v>1</v>
      </c>
      <c r="K1108" s="51" t="n">
        <v>14.5</v>
      </c>
      <c r="L1108" s="52" t="n">
        <v>0.0689655172413793</v>
      </c>
      <c r="M1108" s="50" t="n">
        <v>0</v>
      </c>
      <c r="N1108" s="50" t="n">
        <v>1</v>
      </c>
      <c r="O1108" s="53" t="n">
        <v>21</v>
      </c>
      <c r="P1108" s="48" t="s">
        <v>183</v>
      </c>
      <c r="Q1108" s="50" t="n">
        <v>24</v>
      </c>
      <c r="R1108" s="53" t="n">
        <f aca="false">IF(BZ1108=1,0,IFERROR(VLOOKUP(BX1108,'Gebinde-Kategorie'!$A$5:$N$45,13,0)+0,0))</f>
        <v>6</v>
      </c>
      <c r="S1108" s="54"/>
      <c r="T1108" s="55"/>
      <c r="U1108" s="55"/>
      <c r="V1108" s="55"/>
      <c r="W1108" s="48"/>
      <c r="X1108" s="50"/>
      <c r="Y1108" s="50"/>
      <c r="Z1108" s="48" t="n">
        <f aca="false">IF(A1108="","",IF(AND(Parameter!$B$21="Ja",ISNUMBER(W1108)),W1108,IF(CC1108="2+3",IF(ISNUMBER(SEARCH("grosser Artikel",BU1108)),2,IFERROR(VLOOKUP(BX1108,Parameter!$F$35:$G$64,2,0),2)),IF(OR(CC1108="Nein",CC1108=""),"-",CC1108))))</f>
        <v>2</v>
      </c>
      <c r="AA1108" s="55"/>
      <c r="AB1108" s="56"/>
      <c r="AC1108" s="50" t="n">
        <f aca="false">AV1108</f>
        <v>1</v>
      </c>
      <c r="AD1108" s="50" t="n">
        <f aca="false">MAX(AV1108,H1108)</f>
        <v>14</v>
      </c>
      <c r="AE1108" s="57"/>
      <c r="AF1108" s="50" t="n">
        <f aca="false">IF(LEFT(Cockpit!$C$5,1)="A",H1108,IF(Parameter!$E$30="MAX-Bestand",IF(CH1108=1,CI1108,IF(LEFT(Cockpit!$C$5,1)="B",AL1108,MAX(AL1108,H1108))),ROUNDUP(AJ1108,0)))</f>
        <v>14</v>
      </c>
      <c r="AG1108" s="50" t="n">
        <f aca="false">IF(BZ1108=1,0,ROUNDUP(AF1108/BY1108,0))</f>
        <v>1</v>
      </c>
      <c r="AH1108" s="52" t="n">
        <f aca="false">IF(CQ1108&gt;0,CQ1108*MAX(1,AF1108/X1108),IF(BZ1108=1,IF(AF1108&lt;=0,0,CD1108*MAX(1,IF(H1108&gt;0,AF1108/H1108,1))),IF(R1108&gt;0,AG1108/R1108,0))/MAX(0.1,N(Parameter!$M$21)))</f>
        <v>0.166666666666667</v>
      </c>
      <c r="AI1108" s="50" t="n">
        <f aca="false">AH1108*CB1108</f>
        <v>39.1666666666667</v>
      </c>
      <c r="AJ1108" s="51" t="n">
        <f aca="false">IF(LEFT(Cockpit!$C$5,1)="A",H1108,IF(CH1108=1,(CK1108+CI1108)/2,IF(LEFT(Cockpit!$C$5,1)="B",(CK1108+AL1108)/2,MAX((CK1108+AL1108)/2,H1108))))</f>
        <v>14</v>
      </c>
      <c r="AK1108" s="50" t="n">
        <f aca="false">AJ1108*G1108</f>
        <v>3160.22</v>
      </c>
      <c r="AL1108" s="50" t="n">
        <f aca="false">ROUNDUP(CK1108+MAX(CL1108,2*(J1108/IF(CG1108&gt;0,CG1108,MAX(0.1,N(Cockpit!$C$6)))-CK1108)),0)</f>
        <v>1</v>
      </c>
      <c r="AM1108" s="51" t="n">
        <f aca="false">IF(AI1108&gt;0,J1108/AI1108,-1)</f>
        <v>0.025531914893617</v>
      </c>
      <c r="AN1108" s="51" t="n">
        <f aca="false">IF(AND(OR(CF1108="L1",CF1108="L23",CF1108="LIFT"),AI1108&gt;0),SUMIFS($AI$7:$AI$1843,$CF$7:$CF$1843,CF1108,$AM$7:$AM$1843,"&gt;"&amp;AM1108)+SUMIFS($AI$7:$AI$1843,$CF$7:$CF$1843,CF1108,$AM$7:$AM$1843,AM1108,$BW$7:$BW$1843,"&lt;="&amp;BW1108),"")</f>
        <v>21807.9437382298</v>
      </c>
      <c r="AO1108" s="58" t="n">
        <f aca="false">IF(AN1108="",0,MAX(0,MIN(1,(IF(CF1108="L1",Parameter!$H$5,IF(CF1108="L23",Parameter!$H$6+Parameter!$H$7,Parameter!$H$5+Parameter!$H$6+Parameter!$H$7))-(AN1108-AI1108))/AI1108)))</f>
        <v>1</v>
      </c>
      <c r="AP1108" s="50" t="n">
        <f aca="false">IF(LEFT(Cockpit!$I$5,1)="A",H1108,IF(Parameter!$E$30="MAX-Bestand",IF(CH1108=1,CI1108,IF(LEFT(Cockpit!$I$5,1)="B",AV1108,MAX(AV1108,H1108))),ROUNDUP(AT1108,0)))</f>
        <v>14</v>
      </c>
      <c r="AQ1108" s="50" t="n">
        <f aca="false">IF(BZ1108=1,0,ROUNDUP(AP1108/BY1108,0))</f>
        <v>1</v>
      </c>
      <c r="AR1108" s="52" t="n">
        <f aca="false">IF(CQ1108&gt;0,CQ1108*MAX(1,AP1108/X1108),IF(BZ1108=1,IF(AP1108&lt;=0,0,CD1108*MAX(1,IF(H1108&gt;0,AP1108/H1108,1))),IF(R1108&gt;0,AQ1108/R1108,0))/MAX(0.1,N(Parameter!$M$21)))</f>
        <v>0.166666666666667</v>
      </c>
      <c r="AS1108" s="50" t="n">
        <f aca="false">AR1108*CB1108</f>
        <v>39.1666666666667</v>
      </c>
      <c r="AT1108" s="51" t="n">
        <f aca="false">IF(LEFT(Cockpit!$I$5,1)="A",H1108,IF(CH1108=1,(CK1108+CI1108)/2,IF(LEFT(Cockpit!$I$5,1)="B",(CK1108+AV1108)/2,MAX((CK1108+AV1108)/2,H1108))))</f>
        <v>14</v>
      </c>
      <c r="AU1108" s="50" t="n">
        <f aca="false">AT1108*G1108</f>
        <v>3160.22</v>
      </c>
      <c r="AV1108" s="50" t="n">
        <f aca="false">ROUNDUP(CK1108+MAX(CL1108,2*(J1108/IF(CG1108&gt;0,CG1108,MAX(0.1,N(Cockpit!$I$6)))-CK1108)),0)</f>
        <v>1</v>
      </c>
      <c r="AW1108" s="51" t="n">
        <f aca="false">IF(AS1108&gt;0,J1108/AS1108,-1)</f>
        <v>0.025531914893617</v>
      </c>
      <c r="AX1108" s="51" t="n">
        <f aca="false">IF(AND(OR(CF1108="L1",CF1108="L23",CF1108="LIFT"),AS1108&gt;0),SUMIFS($AS$7:$AS$1843,$CF$7:$CF$1843,CF1108,$AW$7:$AW$1843,"&gt;"&amp;AW1108)+SUMIFS($AS$7:$AS$1843,$CF$7:$CF$1843,CF1108,$AW$7:$AW$1843,AW1108,$BW$7:$BW$1843,"&lt;="&amp;BW1108),"")</f>
        <v>26926.0923796072</v>
      </c>
      <c r="AY1108" s="58" t="n">
        <f aca="false">IF(AX1108="",0,MAX(0,MIN(1,(IF(CF1108="L1",Parameter!$H$5,IF(CF1108="L23",Parameter!$H$6+Parameter!$H$7,Parameter!$H$5+Parameter!$H$6+Parameter!$H$7))-(AX1108-AS1108))/AS1108)))</f>
        <v>1</v>
      </c>
      <c r="AZ1108" s="50" t="n">
        <f aca="false">IF(LEFT(Cockpit!$O$5,1)="A",H1108,IF(Parameter!$E$30="MAX-Bestand",IF(CH1108=1,CI1108,IF(LEFT(Cockpit!$O$5,1)="B",BF1108,MAX(BF1108,H1108))),ROUNDUP(BD1108,0)))</f>
        <v>1</v>
      </c>
      <c r="BA1108" s="50" t="n">
        <f aca="false">IF(BZ1108=1,0,ROUNDUP(AZ1108/BY1108,0))</f>
        <v>1</v>
      </c>
      <c r="BB1108" s="52" t="n">
        <f aca="false">IF(CQ1108&gt;0,CQ1108*MAX(1,AZ1108/X1108),IF(BZ1108=1,IF(AZ1108&lt;=0,0,CD1108*MAX(1,IF(H1108&gt;0,AZ1108/H1108,1))),IF(R1108&gt;0,BA1108/R1108,0))/MAX(0.1,N(Parameter!$M$21)))</f>
        <v>0.166666666666667</v>
      </c>
      <c r="BC1108" s="50" t="n">
        <f aca="false">BB1108*CB1108</f>
        <v>39.1666666666667</v>
      </c>
      <c r="BD1108" s="51" t="n">
        <f aca="false">IF(LEFT(Cockpit!$O$5,1)="A",H1108,IF(CH1108=1,(CK1108+CI1108)/2,IF(LEFT(Cockpit!$O$5,1)="B",(CK1108+BF1108)/2,MAX((CK1108+BF1108)/2,H1108))))</f>
        <v>0.5</v>
      </c>
      <c r="BE1108" s="50" t="n">
        <f aca="false">BD1108*G1108</f>
        <v>112.865</v>
      </c>
      <c r="BF1108" s="50" t="n">
        <f aca="false">ROUNDUP(CK1108+MAX(CL1108,2*(J1108/IF(CG1108&gt;0,CG1108,MAX(0.1,N(Cockpit!$O$6)))-CK1108)),0)</f>
        <v>1</v>
      </c>
      <c r="BG1108" s="51" t="n">
        <f aca="false">IF(BC1108&gt;0,J1108/BC1108,-1)</f>
        <v>0.025531914893617</v>
      </c>
      <c r="BH1108" s="51" t="n">
        <f aca="false">IF(AND(OR(CF1108="L1",CF1108="L23",CF1108="LIFT"),BC1108&gt;0),SUMIFS($BC$7:$BC$1843,$CF$7:$CF$1843,CF1108,$BG$7:$BG$1843,"&gt;"&amp;BG1108)+SUMIFS($BC$7:$BC$1843,$CF$7:$CF$1843,CF1108,$BG$7:$BG$1843,BG1108,$BW$7:$BW$1843,"&lt;="&amp;BW1108),"")</f>
        <v>22628.6998639308</v>
      </c>
      <c r="BI1108" s="58" t="n">
        <f aca="false">IF(BH1108="",0,MAX(0,MIN(1,(IF(CF1108="L1",Parameter!$H$5,IF(CF1108="L23",Parameter!$H$6+Parameter!$H$7,Parameter!$H$5+Parameter!$H$6+Parameter!$H$7))-(BH1108-BC1108))/BC1108)))</f>
        <v>1</v>
      </c>
      <c r="BJ1108" s="48" t="str">
        <f aca="false">IF(AI1108&lt;=0,"",IF(CF1108="Aussen","Aussenlager",IF(CF1108="-","Nicht im Lift",IF(AO1108&gt;=1,"Lift",IF(AO1108&lt;=0,"Aussenlager","teilweise")))))</f>
        <v>Lift</v>
      </c>
      <c r="BK1108" s="48" t="str">
        <f aca="false">IF(AS1108&lt;=0,"",IF(CF1108="Aussen","Aussenlager",IF(CF1108="-","Nicht im Lift",IF(AY1108&gt;=1,"Lift",IF(AY1108&lt;=0,"Aussenlager","teilweise")))))</f>
        <v>Lift</v>
      </c>
      <c r="BL1108" s="48" t="str">
        <f aca="false">IF(BC1108&lt;=0,"",IF(CF1108="Aussen","Aussenlager",IF(CF1108="-","Nicht im Lift",IF(BI1108&gt;=1,"Lift",IF(BI1108&lt;=0,"Aussenlager","teilweise")))))</f>
        <v>Lift</v>
      </c>
      <c r="BM1108" s="48" t="str">
        <f aca="false">IF(A1108="","",IF(BV1108=1,"Neu; ","")&amp;IF(AND(BV1108=0,BQ1108&lt;0),"negativer Bestand (Export "&amp;BQ1108&amp;"); ","")&amp;IF(J1108&lt;=0,"Kein Verbrauch; ","")&amp;IF(CQ1108&gt;0,"Lift "&amp;W1108&amp;" lt. Liftbericht (Fach "&amp;X1108&amp;" Stk); ",IF(CA1108=1,"Gebinde geschätzt ("&amp;T1108&amp;"); ",IF(BZ1108=1,"Lose – Tablare geschätzt; ","")))&amp;IF(H1108&gt;AV1108,"Überbestand "&amp;ROUND(H1108-AV1108,0)&amp;" Stk / CHF "&amp;ROUND((H1108-AV1108)*G1108,0)&amp;"; ","")&amp;IF(AND(CH1108=1,CI1108&lt;CJ1108),"MAX &lt; MB+LG; ","")&amp;IF(AND(CP1108&gt;0,CO1108*10&gt;CP1108),"zu hoch für Tablar; ","")&amp;IF(AND(BV1108=0,OR(CH1108=1,AA1108&lt;&gt;"",U1108&lt;&gt;"",V1108&lt;&gt;"",AB1108&lt;&gt;"")),"manuell übersteuert; ","")&amp;IF(AND(BZ1108=0,R1108=0),"Gebinde unbekannt / Stellmass fehlt; ","")&amp;IF(AND(BZ1108=0,N(V1108)&lt;=0,N(Q1108)&lt;=0),"Menge pro Gebinde fehlt (Ist = 1 Gebinde); ","")&amp;BU1108)</f>
        <v>negativer Bestand (Export -1); Überbestand 13 Stk / CHF 2934; nicht im KTL vorhanden</v>
      </c>
      <c r="BN1108" s="48"/>
      <c r="BO1108" s="48"/>
      <c r="BP1108" s="55"/>
      <c r="BQ1108" s="50" t="n">
        <v>-1</v>
      </c>
      <c r="BR1108" s="50" t="n">
        <v>15</v>
      </c>
      <c r="BS1108" s="49" t="n">
        <v>-225.73</v>
      </c>
      <c r="BT1108" s="50" t="n">
        <v>1</v>
      </c>
      <c r="BU1108" s="48" t="s">
        <v>239</v>
      </c>
      <c r="BV1108" s="53" t="n">
        <v>0</v>
      </c>
      <c r="BW1108" s="53" t="n">
        <v>1108</v>
      </c>
      <c r="BX1108" s="48" t="str">
        <f aca="false">IF(U1108&lt;&gt;"",UPPER(TRIM(U1108)),IF(CA1108=1,UPPER(VLOOKUP(T1108,Parameter!$I$27:$K$29,2,0)),IF(P1108="","LOSE",P1108)))</f>
        <v>S71</v>
      </c>
      <c r="BY1108" s="50" t="n">
        <f aca="false">IF(BX1108="LOSE",1,IF(N(V1108)&gt;0,V1108,IF(CA1108=1,MAX(1,N(VLOOKUP(T1108,Parameter!$I$27:$K$29,3,0)),H1108,N(N1108)),IF(N(Q1108)&gt;0,Q1108,MAX(1,H1108)))))</f>
        <v>24</v>
      </c>
      <c r="BZ1108" s="53" t="n">
        <f aca="false">IF(BX1108="LOSE",1,0)</f>
        <v>0</v>
      </c>
      <c r="CA1108" s="53" t="n">
        <f aca="false">IF(AND(U1108="",OR(P1108="",P1108="LOSE"),T1108&lt;&gt;"",N(S1108)&lt;=0,ISNUMBER(MATCH(T1108,Parameter!$I$27:$I$29,0))),1,0)</f>
        <v>0</v>
      </c>
      <c r="CB1108" s="53" t="n">
        <f aca="false">IF(CQ1108&gt;0,INDEX(Parameter!$H$5:$H$7,W1108)/INDEX(Parameter!$E$5:$E$7,W1108),IF(AND(BZ1108=0,N(IFERROR(VLOOKUP(BX1108,'Gebinde-Kategorie'!$A$5:$N$45,14,0),0))&gt;0),VLOOKUP(BX1108,'Gebinde-Kategorie'!$A$5:$N$45,14,0)*10+Parameter!$M$23,Parameter!$M$24))</f>
        <v>235</v>
      </c>
      <c r="CC1108" s="48" t="str">
        <f aca="false">IF(AND(Parameter!$B$19="Ja",E1108&lt;&gt;"",ISNUMBER(MATCH(E1108,Parameter!$I$35:$I$52,0))),VLOOKUP(E1108,Parameter!$I$35:$J$52,2,0),IFERROR(VLOOKUP(D1108,Parameter!$A$35:$C$64,2,0),"Nein"))</f>
        <v>2+3</v>
      </c>
      <c r="CD1108" s="52" t="n">
        <f aca="false">IF(BZ1108=0,0,IF(N(S1108)&gt;0,S1108,IFERROR(VLOOKUP(D1108,Parameter!$A$35:$C$64,3,0)+0,0)))</f>
        <v>0</v>
      </c>
      <c r="CE1108" s="48" t="n">
        <f aca="false">IF(AA1108&lt;&gt;"",AA1108,Z1108)</f>
        <v>2</v>
      </c>
      <c r="CF1108" s="48" t="str">
        <f aca="false">IF(OR(CE1108=1,CE1108=2,CE1108=3),IF(Parameter!$E$27="Ja","LIFT",IF(CE1108=1,"L1","L23")),IF(CE1108="Aussen","Aussen","-"))</f>
        <v>LIFT</v>
      </c>
      <c r="CG1108" s="59" t="n">
        <f aca="false">IF(N(AB1108)&gt;0,AB1108,0)</f>
        <v>0</v>
      </c>
      <c r="CH1108" s="53" t="n">
        <f aca="false">IF(ISNUMBER(AE1108),1,0)</f>
        <v>0</v>
      </c>
      <c r="CI1108" s="50" t="n">
        <f aca="false">N(AE1108)</f>
        <v>0</v>
      </c>
      <c r="CJ1108" s="50" t="n">
        <f aca="false">N(M1108)+N(N1108)</f>
        <v>1</v>
      </c>
      <c r="CK1108" s="50" t="n">
        <f aca="false">N(M1108)</f>
        <v>0</v>
      </c>
      <c r="CL1108" s="50" t="n">
        <f aca="false">N(N1108)</f>
        <v>1</v>
      </c>
      <c r="CM1108" s="50" t="n">
        <f aca="false">ROUNDUP(H1108/BY1108,0)</f>
        <v>1</v>
      </c>
      <c r="CN1108" s="50" t="n">
        <f aca="false">ROUNDUP(CI1108/BY1108,0)</f>
        <v>0</v>
      </c>
      <c r="CO1108" s="53" t="n">
        <f aca="false">IF(BZ1108=1,0,IFERROR(VLOOKUP(BX1108,'Gebinde-Kategorie'!$A$5:$N$45,5,0)+0,0))</f>
        <v>20</v>
      </c>
      <c r="CP1108" s="53" t="n">
        <f aca="false">IFERROR(IF(OR(CE1108=1,CE1108=2,CE1108=3),N(INDEX(Parameter!$I$5:$I$7,CE1108)),0),0)</f>
        <v>0</v>
      </c>
      <c r="CQ1108" s="52" t="n">
        <f aca="false">IF(AND(Parameter!$B$21="Ja",ISNUMBER(W1108),N(X1108)&gt;0),IFERROR(N(INDEX(Parameter!$L$5:$L$7,W1108))*INDEX(Parameter!$E$5:$E$7,W1108)*X1108/SUMIFS($X$7:$X$1843,$W$7:$W$1843,W1108),0),0)</f>
        <v>0</v>
      </c>
    </row>
    <row r="1109" customFormat="false" ht="15" hidden="false" customHeight="false" outlineLevel="0" collapsed="false">
      <c r="A1109" s="48" t="s">
        <v>2023</v>
      </c>
      <c r="B1109" s="48" t="s">
        <v>793</v>
      </c>
      <c r="C1109" s="48" t="s">
        <v>173</v>
      </c>
      <c r="D1109" s="48" t="s">
        <v>182</v>
      </c>
      <c r="E1109" s="48"/>
      <c r="F1109" s="48" t="s">
        <v>227</v>
      </c>
      <c r="G1109" s="49" t="n">
        <v>256.99</v>
      </c>
      <c r="H1109" s="50" t="n">
        <f aca="false">MAX(0,IF(AND(Parameter!$B$21="Ja",ISNUMBER(Y1109)),Y1109,IF(Parameter!$B$20="Jahresanfang 2025 + Export",BR1109+BQ1109,BQ1109)))</f>
        <v>0</v>
      </c>
      <c r="I1109" s="50" t="n">
        <f aca="false">H1109*G1109</f>
        <v>0</v>
      </c>
      <c r="J1109" s="50" t="n">
        <f aca="false">BT1109*Parameter!$B$18</f>
        <v>3</v>
      </c>
      <c r="K1109" s="51" t="n">
        <v>6</v>
      </c>
      <c r="L1109" s="52" t="n">
        <v>0.5</v>
      </c>
      <c r="M1109" s="50" t="n">
        <v>0</v>
      </c>
      <c r="N1109" s="50" t="n">
        <v>5</v>
      </c>
      <c r="O1109" s="53" t="n">
        <v>103</v>
      </c>
      <c r="P1109" s="48" t="s">
        <v>242</v>
      </c>
      <c r="Q1109" s="50" t="n">
        <v>4</v>
      </c>
      <c r="R1109" s="53" t="n">
        <f aca="false">IF(BZ1109=1,0,IFERROR(VLOOKUP(BX1109,'Gebinde-Kategorie'!$A$5:$N$45,13,0)+0,0))</f>
        <v>26</v>
      </c>
      <c r="S1109" s="54"/>
      <c r="T1109" s="55"/>
      <c r="U1109" s="55"/>
      <c r="V1109" s="55"/>
      <c r="W1109" s="48"/>
      <c r="X1109" s="50"/>
      <c r="Y1109" s="50"/>
      <c r="Z1109" s="48" t="n">
        <f aca="false">IF(A1109="","",IF(AND(Parameter!$B$21="Ja",ISNUMBER(W1109)),W1109,IF(CC1109="2+3",IF(ISNUMBER(SEARCH("grosser Artikel",BU1109)),2,IFERROR(VLOOKUP(BX1109,Parameter!$F$35:$G$64,2,0),2)),IF(OR(CC1109="Nein",CC1109=""),"-",CC1109))))</f>
        <v>3</v>
      </c>
      <c r="AA1109" s="55"/>
      <c r="AB1109" s="56"/>
      <c r="AC1109" s="50" t="n">
        <f aca="false">AV1109</f>
        <v>5</v>
      </c>
      <c r="AD1109" s="50" t="n">
        <f aca="false">MAX(AV1109,H1109)</f>
        <v>5</v>
      </c>
      <c r="AE1109" s="57"/>
      <c r="AF1109" s="50" t="n">
        <f aca="false">IF(LEFT(Cockpit!$C$5,1)="A",H1109,IF(Parameter!$E$30="MAX-Bestand",IF(CH1109=1,CI1109,IF(LEFT(Cockpit!$C$5,1)="B",AL1109,MAX(AL1109,H1109))),ROUNDUP(AJ1109,0)))</f>
        <v>0</v>
      </c>
      <c r="AG1109" s="50" t="n">
        <f aca="false">IF(BZ1109=1,0,ROUNDUP(AF1109/BY1109,0))</f>
        <v>0</v>
      </c>
      <c r="AH1109" s="52" t="n">
        <f aca="false">IF(CQ1109&gt;0,CQ1109*MAX(1,AF1109/X1109),IF(BZ1109=1,IF(AF1109&lt;=0,0,CD1109*MAX(1,IF(H1109&gt;0,AF1109/H1109,1))),IF(R1109&gt;0,AG1109/R1109,0))/MAX(0.1,N(Parameter!$M$21)))</f>
        <v>0</v>
      </c>
      <c r="AI1109" s="50" t="n">
        <f aca="false">AH1109*CB1109</f>
        <v>0</v>
      </c>
      <c r="AJ1109" s="51" t="n">
        <f aca="false">IF(LEFT(Cockpit!$C$5,1)="A",H1109,IF(CH1109=1,(CK1109+CI1109)/2,IF(LEFT(Cockpit!$C$5,1)="B",(CK1109+AL1109)/2,MAX((CK1109+AL1109)/2,H1109))))</f>
        <v>0</v>
      </c>
      <c r="AK1109" s="50" t="n">
        <f aca="false">AJ1109*G1109</f>
        <v>0</v>
      </c>
      <c r="AL1109" s="50" t="n">
        <f aca="false">ROUNDUP(CK1109+MAX(CL1109,2*(J1109/IF(CG1109&gt;0,CG1109,MAX(0.1,N(Cockpit!$C$6)))-CK1109)),0)</f>
        <v>5</v>
      </c>
      <c r="AM1109" s="51" t="n">
        <f aca="false">IF(AI1109&gt;0,J1109/AI1109,-1)</f>
        <v>-1</v>
      </c>
      <c r="AN1109" s="51" t="str">
        <f aca="false">IF(AND(OR(CF1109="L1",CF1109="L23",CF1109="LIFT"),AI1109&gt;0),SUMIFS($AI$7:$AI$1843,$CF$7:$CF$1843,CF1109,$AM$7:$AM$1843,"&gt;"&amp;AM1109)+SUMIFS($AI$7:$AI$1843,$CF$7:$CF$1843,CF1109,$AM$7:$AM$1843,AM1109,$BW$7:$BW$1843,"&lt;="&amp;BW1109),"")</f>
        <v/>
      </c>
      <c r="AO1109" s="58" t="n">
        <f aca="false">IF(AN1109="",0,MAX(0,MIN(1,(IF(CF1109="L1",Parameter!$H$5,IF(CF1109="L23",Parameter!$H$6+Parameter!$H$7,Parameter!$H$5+Parameter!$H$6+Parameter!$H$7))-(AN1109-AI1109))/AI1109)))</f>
        <v>0</v>
      </c>
      <c r="AP1109" s="50" t="n">
        <f aca="false">IF(LEFT(Cockpit!$I$5,1)="A",H1109,IF(Parameter!$E$30="MAX-Bestand",IF(CH1109=1,CI1109,IF(LEFT(Cockpit!$I$5,1)="B",AV1109,MAX(AV1109,H1109))),ROUNDUP(AT1109,0)))</f>
        <v>3</v>
      </c>
      <c r="AQ1109" s="50" t="n">
        <f aca="false">IF(BZ1109=1,0,ROUNDUP(AP1109/BY1109,0))</f>
        <v>1</v>
      </c>
      <c r="AR1109" s="52" t="n">
        <f aca="false">IF(CQ1109&gt;0,CQ1109*MAX(1,AP1109/X1109),IF(BZ1109=1,IF(AP1109&lt;=0,0,CD1109*MAX(1,IF(H1109&gt;0,AP1109/H1109,1))),IF(R1109&gt;0,AQ1109/R1109,0))/MAX(0.1,N(Parameter!$M$21)))</f>
        <v>0.0384615384615385</v>
      </c>
      <c r="AS1109" s="50" t="n">
        <f aca="false">AR1109*CB1109</f>
        <v>9.42307692307692</v>
      </c>
      <c r="AT1109" s="51" t="n">
        <f aca="false">IF(LEFT(Cockpit!$I$5,1)="A",H1109,IF(CH1109=1,(CK1109+CI1109)/2,IF(LEFT(Cockpit!$I$5,1)="B",(CK1109+AV1109)/2,MAX((CK1109+AV1109)/2,H1109))))</f>
        <v>2.5</v>
      </c>
      <c r="AU1109" s="50" t="n">
        <f aca="false">AT1109*G1109</f>
        <v>642.475</v>
      </c>
      <c r="AV1109" s="50" t="n">
        <f aca="false">ROUNDUP(CK1109+MAX(CL1109,2*(J1109/IF(CG1109&gt;0,CG1109,MAX(0.1,N(Cockpit!$I$6)))-CK1109)),0)</f>
        <v>5</v>
      </c>
      <c r="AW1109" s="51" t="n">
        <f aca="false">IF(AS1109&gt;0,J1109/AS1109,-1)</f>
        <v>0.318367346938776</v>
      </c>
      <c r="AX1109" s="51" t="n">
        <f aca="false">IF(AND(OR(CF1109="L1",CF1109="L23",CF1109="LIFT"),AS1109&gt;0),SUMIFS($AS$7:$AS$1843,$CF$7:$CF$1843,CF1109,$AW$7:$AW$1843,"&gt;"&amp;AW1109)+SUMIFS($AS$7:$AS$1843,$CF$7:$CF$1843,CF1109,$AW$7:$AW$1843,AW1109,$BW$7:$BW$1843,"&lt;="&amp;BW1109),"")</f>
        <v>13816.3429487179</v>
      </c>
      <c r="AY1109" s="58" t="n">
        <f aca="false">IF(AX1109="",0,MAX(0,MIN(1,(IF(CF1109="L1",Parameter!$H$5,IF(CF1109="L23",Parameter!$H$6+Parameter!$H$7,Parameter!$H$5+Parameter!$H$6+Parameter!$H$7))-(AX1109-AS1109))/AS1109)))</f>
        <v>1</v>
      </c>
      <c r="AZ1109" s="50" t="n">
        <f aca="false">IF(LEFT(Cockpit!$O$5,1)="A",H1109,IF(Parameter!$E$30="MAX-Bestand",IF(CH1109=1,CI1109,IF(LEFT(Cockpit!$O$5,1)="B",BF1109,MAX(BF1109,H1109))),ROUNDUP(BD1109,0)))</f>
        <v>3</v>
      </c>
      <c r="BA1109" s="50" t="n">
        <f aca="false">IF(BZ1109=1,0,ROUNDUP(AZ1109/BY1109,0))</f>
        <v>1</v>
      </c>
      <c r="BB1109" s="52" t="n">
        <f aca="false">IF(CQ1109&gt;0,CQ1109*MAX(1,AZ1109/X1109),IF(BZ1109=1,IF(AZ1109&lt;=0,0,CD1109*MAX(1,IF(H1109&gt;0,AZ1109/H1109,1))),IF(R1109&gt;0,BA1109/R1109,0))/MAX(0.1,N(Parameter!$M$21)))</f>
        <v>0.0384615384615385</v>
      </c>
      <c r="BC1109" s="50" t="n">
        <f aca="false">BB1109*CB1109</f>
        <v>9.42307692307692</v>
      </c>
      <c r="BD1109" s="51" t="n">
        <f aca="false">IF(LEFT(Cockpit!$O$5,1)="A",H1109,IF(CH1109=1,(CK1109+CI1109)/2,IF(LEFT(Cockpit!$O$5,1)="B",(CK1109+BF1109)/2,MAX((CK1109+BF1109)/2,H1109))))</f>
        <v>2.5</v>
      </c>
      <c r="BE1109" s="50" t="n">
        <f aca="false">BD1109*G1109</f>
        <v>642.475</v>
      </c>
      <c r="BF1109" s="50" t="n">
        <f aca="false">ROUNDUP(CK1109+MAX(CL1109,2*(J1109/IF(CG1109&gt;0,CG1109,MAX(0.1,N(Cockpit!$O$6)))-CK1109)),0)</f>
        <v>5</v>
      </c>
      <c r="BG1109" s="51" t="n">
        <f aca="false">IF(BC1109&gt;0,J1109/BC1109,-1)</f>
        <v>0.318367346938776</v>
      </c>
      <c r="BH1109" s="51" t="n">
        <f aca="false">IF(AND(OR(CF1109="L1",CF1109="L23",CF1109="LIFT"),BC1109&gt;0),SUMIFS($BC$7:$BC$1843,$CF$7:$CF$1843,CF1109,$BG$7:$BG$1843,"&gt;"&amp;BG1109)+SUMIFS($BC$7:$BC$1843,$CF$7:$CF$1843,CF1109,$BG$7:$BG$1843,BG1109,$BW$7:$BW$1843,"&lt;="&amp;BW1109),"")</f>
        <v>11745.6350732601</v>
      </c>
      <c r="BI1109" s="58" t="n">
        <f aca="false">IF(BH1109="",0,MAX(0,MIN(1,(IF(CF1109="L1",Parameter!$H$5,IF(CF1109="L23",Parameter!$H$6+Parameter!$H$7,Parameter!$H$5+Parameter!$H$6+Parameter!$H$7))-(BH1109-BC1109))/BC1109)))</f>
        <v>1</v>
      </c>
      <c r="BJ1109" s="48" t="str">
        <f aca="false">IF(AI1109&lt;=0,"",IF(CF1109="Aussen","Aussenlager",IF(CF1109="-","Nicht im Lift",IF(AO1109&gt;=1,"Lift",IF(AO1109&lt;=0,"Aussenlager","teilweise")))))</f>
        <v/>
      </c>
      <c r="BK1109" s="48" t="str">
        <f aca="false">IF(AS1109&lt;=0,"",IF(CF1109="Aussen","Aussenlager",IF(CF1109="-","Nicht im Lift",IF(AY1109&gt;=1,"Lift",IF(AY1109&lt;=0,"Aussenlager","teilweise")))))</f>
        <v>Lift</v>
      </c>
      <c r="BL1109" s="48" t="str">
        <f aca="false">IF(BC1109&lt;=0,"",IF(CF1109="Aussen","Aussenlager",IF(CF1109="-","Nicht im Lift",IF(BI1109&gt;=1,"Lift",IF(BI1109&lt;=0,"Aussenlager","teilweise")))))</f>
        <v>Lift</v>
      </c>
      <c r="BM1109" s="48" t="str">
        <f aca="false">IF(A1109="","",IF(BV1109=1,"Neu; ","")&amp;IF(AND(BV1109=0,BQ1109&lt;0),"negativer Bestand (Export "&amp;BQ1109&amp;"); ","")&amp;IF(J1109&lt;=0,"Kein Verbrauch; ","")&amp;IF(CQ1109&gt;0,"Lift "&amp;W1109&amp;" lt. Liftbericht (Fach "&amp;X1109&amp;" Stk); ",IF(CA1109=1,"Gebinde geschätzt ("&amp;T1109&amp;"); ",IF(BZ1109=1,"Lose – Tablare geschätzt; ","")))&amp;IF(H1109&gt;AV1109,"Überbestand "&amp;ROUND(H1109-AV1109,0)&amp;" Stk / CHF "&amp;ROUND((H1109-AV1109)*G1109,0)&amp;"; ","")&amp;IF(AND(CH1109=1,CI1109&lt;CJ1109),"MAX &lt; MB+LG; ","")&amp;IF(AND(CP1109&gt;0,CO1109*10&gt;CP1109),"zu hoch für Tablar; ","")&amp;IF(AND(BV1109=0,OR(CH1109=1,AA1109&lt;&gt;"",U1109&lt;&gt;"",V1109&lt;&gt;"",AB1109&lt;&gt;"")),"manuell übersteuert; ","")&amp;IF(AND(BZ1109=0,R1109=0),"Gebinde unbekannt / Stellmass fehlt; ","")&amp;IF(AND(BZ1109=0,N(V1109)&lt;=0,N(Q1109)&lt;=0),"Menge pro Gebinde fehlt (Ist = 1 Gebinde); ","")&amp;BU1109)</f>
        <v>negativer Bestand (Export -1); </v>
      </c>
      <c r="BN1109" s="48"/>
      <c r="BO1109" s="48"/>
      <c r="BP1109" s="55"/>
      <c r="BQ1109" s="50" t="n">
        <v>-1</v>
      </c>
      <c r="BR1109" s="50" t="n">
        <v>1</v>
      </c>
      <c r="BS1109" s="49" t="n">
        <v>-227.999999999999</v>
      </c>
      <c r="BT1109" s="50" t="n">
        <v>3</v>
      </c>
      <c r="BU1109" s="48"/>
      <c r="BV1109" s="53" t="n">
        <v>0</v>
      </c>
      <c r="BW1109" s="53" t="n">
        <v>1109</v>
      </c>
      <c r="BX1109" s="48" t="str">
        <f aca="false">IF(U1109&lt;&gt;"",UPPER(TRIM(U1109)),IF(CA1109=1,UPPER(VLOOKUP(T1109,Parameter!$I$27:$K$29,2,0)),IF(P1109="","LOSE",P1109)))</f>
        <v>S52</v>
      </c>
      <c r="BY1109" s="50" t="n">
        <f aca="false">IF(BX1109="LOSE",1,IF(N(V1109)&gt;0,V1109,IF(CA1109=1,MAX(1,N(VLOOKUP(T1109,Parameter!$I$27:$K$29,3,0)),H1109,N(N1109)),IF(N(Q1109)&gt;0,Q1109,MAX(1,H1109)))))</f>
        <v>4</v>
      </c>
      <c r="BZ1109" s="53" t="n">
        <f aca="false">IF(BX1109="LOSE",1,0)</f>
        <v>0</v>
      </c>
      <c r="CA1109" s="53" t="n">
        <f aca="false">IF(AND(U1109="",OR(P1109="",P1109="LOSE"),T1109&lt;&gt;"",N(S1109)&lt;=0,ISNUMBER(MATCH(T1109,Parameter!$I$27:$I$29,0))),1,0)</f>
        <v>0</v>
      </c>
      <c r="CB1109" s="53" t="n">
        <f aca="false">IF(CQ1109&gt;0,INDEX(Parameter!$H$5:$H$7,W1109)/INDEX(Parameter!$E$5:$E$7,W1109),IF(AND(BZ1109=0,N(IFERROR(VLOOKUP(BX1109,'Gebinde-Kategorie'!$A$5:$N$45,14,0),0))&gt;0),VLOOKUP(BX1109,'Gebinde-Kategorie'!$A$5:$N$45,14,0)*10+Parameter!$M$23,Parameter!$M$24))</f>
        <v>245</v>
      </c>
      <c r="CC1109" s="48" t="str">
        <f aca="false">IF(AND(Parameter!$B$19="Ja",E1109&lt;&gt;"",ISNUMBER(MATCH(E1109,Parameter!$I$35:$I$52,0))),VLOOKUP(E1109,Parameter!$I$35:$J$52,2,0),IFERROR(VLOOKUP(D1109,Parameter!$A$35:$C$64,2,0),"Nein"))</f>
        <v>2+3</v>
      </c>
      <c r="CD1109" s="52" t="n">
        <f aca="false">IF(BZ1109=0,0,IF(N(S1109)&gt;0,S1109,IFERROR(VLOOKUP(D1109,Parameter!$A$35:$C$64,3,0)+0,0)))</f>
        <v>0</v>
      </c>
      <c r="CE1109" s="48" t="n">
        <f aca="false">IF(AA1109&lt;&gt;"",AA1109,Z1109)</f>
        <v>3</v>
      </c>
      <c r="CF1109" s="48" t="str">
        <f aca="false">IF(OR(CE1109=1,CE1109=2,CE1109=3),IF(Parameter!$E$27="Ja","LIFT",IF(CE1109=1,"L1","L23")),IF(CE1109="Aussen","Aussen","-"))</f>
        <v>LIFT</v>
      </c>
      <c r="CG1109" s="59" t="n">
        <f aca="false">IF(N(AB1109)&gt;0,AB1109,0)</f>
        <v>0</v>
      </c>
      <c r="CH1109" s="53" t="n">
        <f aca="false">IF(ISNUMBER(AE1109),1,0)</f>
        <v>0</v>
      </c>
      <c r="CI1109" s="50" t="n">
        <f aca="false">N(AE1109)</f>
        <v>0</v>
      </c>
      <c r="CJ1109" s="50" t="n">
        <f aca="false">N(M1109)+N(N1109)</f>
        <v>5</v>
      </c>
      <c r="CK1109" s="50" t="n">
        <f aca="false">N(M1109)</f>
        <v>0</v>
      </c>
      <c r="CL1109" s="50" t="n">
        <f aca="false">N(N1109)</f>
        <v>5</v>
      </c>
      <c r="CM1109" s="50" t="n">
        <f aca="false">ROUNDUP(H1109/BY1109,0)</f>
        <v>0</v>
      </c>
      <c r="CN1109" s="50" t="n">
        <f aca="false">ROUNDUP(CI1109/BY1109,0)</f>
        <v>0</v>
      </c>
      <c r="CO1109" s="53" t="n">
        <f aca="false">IF(BZ1109=1,0,IFERROR(VLOOKUP(BX1109,'Gebinde-Kategorie'!$A$5:$N$45,5,0)+0,0))</f>
        <v>21</v>
      </c>
      <c r="CP1109" s="53" t="n">
        <f aca="false">IFERROR(IF(OR(CE1109=1,CE1109=2,CE1109=3),N(INDEX(Parameter!$I$5:$I$7,CE1109)),0),0)</f>
        <v>0</v>
      </c>
      <c r="CQ1109" s="52" t="n">
        <f aca="false">IF(AND(Parameter!$B$21="Ja",ISNUMBER(W1109),N(X1109)&gt;0),IFERROR(N(INDEX(Parameter!$L$5:$L$7,W1109))*INDEX(Parameter!$E$5:$E$7,W1109)*X1109/SUMIFS($X$7:$X$1843,$W$7:$W$1843,W1109),0),0)</f>
        <v>0</v>
      </c>
    </row>
    <row r="1110" customFormat="false" ht="15" hidden="false" customHeight="false" outlineLevel="0" collapsed="false">
      <c r="A1110" s="48" t="s">
        <v>2024</v>
      </c>
      <c r="B1110" s="48" t="s">
        <v>2025</v>
      </c>
      <c r="C1110" s="48" t="s">
        <v>173</v>
      </c>
      <c r="D1110" s="48" t="s">
        <v>193</v>
      </c>
      <c r="E1110" s="48"/>
      <c r="F1110" s="48" t="s">
        <v>227</v>
      </c>
      <c r="G1110" s="49" t="n">
        <v>45.6</v>
      </c>
      <c r="H1110" s="50" t="n">
        <f aca="false">MAX(0,IF(AND(Parameter!$B$21="Ja",ISNUMBER(Y1110)),Y1110,IF(Parameter!$B$20="Jahresanfang 2025 + Export",BR1110+BQ1110,BQ1110)))</f>
        <v>0</v>
      </c>
      <c r="I1110" s="50" t="n">
        <f aca="false">H1110*G1110</f>
        <v>0</v>
      </c>
      <c r="J1110" s="50" t="n">
        <f aca="false">BT1110*Parameter!$B$18</f>
        <v>0</v>
      </c>
      <c r="K1110" s="51" t="n">
        <v>2.5</v>
      </c>
      <c r="L1110" s="52" t="n">
        <v>0</v>
      </c>
      <c r="M1110" s="50" t="n">
        <v>0</v>
      </c>
      <c r="N1110" s="50" t="n">
        <v>1</v>
      </c>
      <c r="O1110" s="53" t="n">
        <v>21</v>
      </c>
      <c r="P1110" s="48" t="s">
        <v>177</v>
      </c>
      <c r="Q1110" s="50"/>
      <c r="R1110" s="53" t="n">
        <f aca="false">IF(BZ1110=1,0,IFERROR(VLOOKUP(BX1110,'Gebinde-Kategorie'!$A$5:$N$45,13,0)+0,0))</f>
        <v>26</v>
      </c>
      <c r="S1110" s="54"/>
      <c r="T1110" s="55" t="s">
        <v>284</v>
      </c>
      <c r="U1110" s="55"/>
      <c r="V1110" s="55"/>
      <c r="W1110" s="48"/>
      <c r="X1110" s="50"/>
      <c r="Y1110" s="50"/>
      <c r="Z1110" s="48" t="n">
        <f aca="false">IF(A1110="","",IF(AND(Parameter!$B$21="Ja",ISNUMBER(W1110)),W1110,IF(CC1110="2+3",IF(ISNUMBER(SEARCH("grosser Artikel",BU1110)),2,IFERROR(VLOOKUP(BX1110,Parameter!$F$35:$G$64,2,0),2)),IF(OR(CC1110="Nein",CC1110=""),"-",CC1110))))</f>
        <v>3</v>
      </c>
      <c r="AA1110" s="55"/>
      <c r="AB1110" s="56"/>
      <c r="AC1110" s="50" t="n">
        <f aca="false">AV1110</f>
        <v>1</v>
      </c>
      <c r="AD1110" s="50" t="n">
        <f aca="false">MAX(AV1110,H1110)</f>
        <v>1</v>
      </c>
      <c r="AE1110" s="57"/>
      <c r="AF1110" s="50" t="n">
        <f aca="false">IF(LEFT(Cockpit!$C$5,1)="A",H1110,IF(Parameter!$E$30="MAX-Bestand",IF(CH1110=1,CI1110,IF(LEFT(Cockpit!$C$5,1)="B",AL1110,MAX(AL1110,H1110))),ROUNDUP(AJ1110,0)))</f>
        <v>0</v>
      </c>
      <c r="AG1110" s="50" t="n">
        <f aca="false">IF(BZ1110=1,0,ROUNDUP(AF1110/BY1110,0))</f>
        <v>0</v>
      </c>
      <c r="AH1110" s="52" t="n">
        <f aca="false">IF(CQ1110&gt;0,CQ1110*MAX(1,AF1110/X1110),IF(BZ1110=1,IF(AF1110&lt;=0,0,CD1110*MAX(1,IF(H1110&gt;0,AF1110/H1110,1))),IF(R1110&gt;0,AG1110/R1110,0))/MAX(0.1,N(Parameter!$M$21)))</f>
        <v>0</v>
      </c>
      <c r="AI1110" s="50" t="n">
        <f aca="false">AH1110*CB1110</f>
        <v>0</v>
      </c>
      <c r="AJ1110" s="51" t="n">
        <f aca="false">IF(LEFT(Cockpit!$C$5,1)="A",H1110,IF(CH1110=1,(CK1110+CI1110)/2,IF(LEFT(Cockpit!$C$5,1)="B",(CK1110+AL1110)/2,MAX((CK1110+AL1110)/2,H1110))))</f>
        <v>0</v>
      </c>
      <c r="AK1110" s="50" t="n">
        <f aca="false">AJ1110*G1110</f>
        <v>0</v>
      </c>
      <c r="AL1110" s="50" t="n">
        <f aca="false">ROUNDUP(CK1110+MAX(CL1110,2*(J1110/IF(CG1110&gt;0,CG1110,MAX(0.1,N(Cockpit!$C$6)))-CK1110)),0)</f>
        <v>1</v>
      </c>
      <c r="AM1110" s="51" t="n">
        <f aca="false">IF(AI1110&gt;0,J1110/AI1110,-1)</f>
        <v>-1</v>
      </c>
      <c r="AN1110" s="51" t="str">
        <f aca="false">IF(AND(OR(CF1110="L1",CF1110="L23",CF1110="LIFT"),AI1110&gt;0),SUMIFS($AI$7:$AI$1843,$CF$7:$CF$1843,CF1110,$AM$7:$AM$1843,"&gt;"&amp;AM1110)+SUMIFS($AI$7:$AI$1843,$CF$7:$CF$1843,CF1110,$AM$7:$AM$1843,AM1110,$BW$7:$BW$1843,"&lt;="&amp;BW1110),"")</f>
        <v/>
      </c>
      <c r="AO1110" s="58" t="n">
        <f aca="false">IF(AN1110="",0,MAX(0,MIN(1,(IF(CF1110="L1",Parameter!$H$5,IF(CF1110="L23",Parameter!$H$6+Parameter!$H$7,Parameter!$H$5+Parameter!$H$6+Parameter!$H$7))-(AN1110-AI1110))/AI1110)))</f>
        <v>0</v>
      </c>
      <c r="AP1110" s="50" t="n">
        <f aca="false">IF(LEFT(Cockpit!$I$5,1)="A",H1110,IF(Parameter!$E$30="MAX-Bestand",IF(CH1110=1,CI1110,IF(LEFT(Cockpit!$I$5,1)="B",AV1110,MAX(AV1110,H1110))),ROUNDUP(AT1110,0)))</f>
        <v>1</v>
      </c>
      <c r="AQ1110" s="50" t="n">
        <f aca="false">IF(BZ1110=1,0,ROUNDUP(AP1110/BY1110,0))</f>
        <v>1</v>
      </c>
      <c r="AR1110" s="52" t="n">
        <f aca="false">IF(CQ1110&gt;0,CQ1110*MAX(1,AP1110/X1110),IF(BZ1110=1,IF(AP1110&lt;=0,0,CD1110*MAX(1,IF(H1110&gt;0,AP1110/H1110,1))),IF(R1110&gt;0,AQ1110/R1110,0))/MAX(0.1,N(Parameter!$M$21)))</f>
        <v>0.0384615384615385</v>
      </c>
      <c r="AS1110" s="50" t="n">
        <f aca="false">AR1110*CB1110</f>
        <v>5.96153846153846</v>
      </c>
      <c r="AT1110" s="51" t="n">
        <f aca="false">IF(LEFT(Cockpit!$I$5,1)="A",H1110,IF(CH1110=1,(CK1110+CI1110)/2,IF(LEFT(Cockpit!$I$5,1)="B",(CK1110+AV1110)/2,MAX((CK1110+AV1110)/2,H1110))))</f>
        <v>0.5</v>
      </c>
      <c r="AU1110" s="50" t="n">
        <f aca="false">AT1110*G1110</f>
        <v>22.8</v>
      </c>
      <c r="AV1110" s="50" t="n">
        <f aca="false">ROUNDUP(CK1110+MAX(CL1110,2*(J1110/IF(CG1110&gt;0,CG1110,MAX(0.1,N(Cockpit!$I$6)))-CK1110)),0)</f>
        <v>1</v>
      </c>
      <c r="AW1110" s="51" t="n">
        <f aca="false">IF(AS1110&gt;0,J1110/AS1110,-1)</f>
        <v>0</v>
      </c>
      <c r="AX1110" s="51" t="n">
        <f aca="false">IF(AND(OR(CF1110="L1",CF1110="L23",CF1110="LIFT"),AS1110&gt;0),SUMIFS($AS$7:$AS$1843,$CF$7:$CF$1843,CF1110,$AW$7:$AW$1843,"&gt;"&amp;AW1110)+SUMIFS($AS$7:$AS$1843,$CF$7:$CF$1843,CF1110,$AW$7:$AW$1843,AW1110,$BW$7:$BW$1843,"&lt;="&amp;BW1110),"")</f>
        <v>34856.2426739927</v>
      </c>
      <c r="AY1110" s="58" t="n">
        <f aca="false">IF(AX1110="",0,MAX(0,MIN(1,(IF(CF1110="L1",Parameter!$H$5,IF(CF1110="L23",Parameter!$H$6+Parameter!$H$7,Parameter!$H$5+Parameter!$H$6+Parameter!$H$7))-(AX1110-AS1110))/AS1110)))</f>
        <v>1</v>
      </c>
      <c r="AZ1110" s="50" t="n">
        <f aca="false">IF(LEFT(Cockpit!$O$5,1)="A",H1110,IF(Parameter!$E$30="MAX-Bestand",IF(CH1110=1,CI1110,IF(LEFT(Cockpit!$O$5,1)="B",BF1110,MAX(BF1110,H1110))),ROUNDUP(BD1110,0)))</f>
        <v>1</v>
      </c>
      <c r="BA1110" s="50" t="n">
        <f aca="false">IF(BZ1110=1,0,ROUNDUP(AZ1110/BY1110,0))</f>
        <v>1</v>
      </c>
      <c r="BB1110" s="52" t="n">
        <f aca="false">IF(CQ1110&gt;0,CQ1110*MAX(1,AZ1110/X1110),IF(BZ1110=1,IF(AZ1110&lt;=0,0,CD1110*MAX(1,IF(H1110&gt;0,AZ1110/H1110,1))),IF(R1110&gt;0,BA1110/R1110,0))/MAX(0.1,N(Parameter!$M$21)))</f>
        <v>0.0384615384615385</v>
      </c>
      <c r="BC1110" s="50" t="n">
        <f aca="false">BB1110*CB1110</f>
        <v>5.96153846153846</v>
      </c>
      <c r="BD1110" s="51" t="n">
        <f aca="false">IF(LEFT(Cockpit!$O$5,1)="A",H1110,IF(CH1110=1,(CK1110+CI1110)/2,IF(LEFT(Cockpit!$O$5,1)="B",(CK1110+BF1110)/2,MAX((CK1110+BF1110)/2,H1110))))</f>
        <v>0.5</v>
      </c>
      <c r="BE1110" s="50" t="n">
        <f aca="false">BD1110*G1110</f>
        <v>22.8</v>
      </c>
      <c r="BF1110" s="50" t="n">
        <f aca="false">ROUNDUP(CK1110+MAX(CL1110,2*(J1110/IF(CG1110&gt;0,CG1110,MAX(0.1,N(Cockpit!$O$6)))-CK1110)),0)</f>
        <v>1</v>
      </c>
      <c r="BG1110" s="51" t="n">
        <f aca="false">IF(BC1110&gt;0,J1110/BC1110,-1)</f>
        <v>0</v>
      </c>
      <c r="BH1110" s="51" t="n">
        <f aca="false">IF(AND(OR(CF1110="L1",CF1110="L23",CF1110="LIFT"),BC1110&gt;0),SUMIFS($BC$7:$BC$1843,$CF$7:$CF$1843,CF1110,$BG$7:$BG$1843,"&gt;"&amp;BG1110)+SUMIFS($BC$7:$BC$1843,$CF$7:$CF$1843,CF1110,$BG$7:$BG$1843,BG1110,$BW$7:$BW$1843,"&lt;="&amp;BW1110),"")</f>
        <v>28841.5493341404</v>
      </c>
      <c r="BI1110" s="58" t="n">
        <f aca="false">IF(BH1110="",0,MAX(0,MIN(1,(IF(CF1110="L1",Parameter!$H$5,IF(CF1110="L23",Parameter!$H$6+Parameter!$H$7,Parameter!$H$5+Parameter!$H$6+Parameter!$H$7))-(BH1110-BC1110))/BC1110)))</f>
        <v>1</v>
      </c>
      <c r="BJ1110" s="48" t="str">
        <f aca="false">IF(AI1110&lt;=0,"",IF(CF1110="Aussen","Aussenlager",IF(CF1110="-","Nicht im Lift",IF(AO1110&gt;=1,"Lift",IF(AO1110&lt;=0,"Aussenlager","teilweise")))))</f>
        <v/>
      </c>
      <c r="BK1110" s="48" t="str">
        <f aca="false">IF(AS1110&lt;=0,"",IF(CF1110="Aussen","Aussenlager",IF(CF1110="-","Nicht im Lift",IF(AY1110&gt;=1,"Lift",IF(AY1110&lt;=0,"Aussenlager","teilweise")))))</f>
        <v>Lift</v>
      </c>
      <c r="BL1110" s="48" t="str">
        <f aca="false">IF(BC1110&lt;=0,"",IF(CF1110="Aussen","Aussenlager",IF(CF1110="-","Nicht im Lift",IF(BI1110&gt;=1,"Lift",IF(BI1110&lt;=0,"Aussenlager","teilweise")))))</f>
        <v>Lift</v>
      </c>
      <c r="BM1110" s="48" t="str">
        <f aca="false">IF(A1110="","",IF(BV1110=1,"Neu; ","")&amp;IF(AND(BV1110=0,BQ1110&lt;0),"negativer Bestand (Export "&amp;BQ1110&amp;"); ","")&amp;IF(J1110&lt;=0,"Kein Verbrauch; ","")&amp;IF(CQ1110&gt;0,"Lift "&amp;W1110&amp;" lt. Liftbericht (Fach "&amp;X1110&amp;" Stk); ",IF(CA1110=1,"Gebinde geschätzt ("&amp;T1110&amp;"); ",IF(BZ1110=1,"Lose – Tablare geschätzt; ","")))&amp;IF(H1110&gt;AV1110,"Überbestand "&amp;ROUND(H1110-AV1110,0)&amp;" Stk / CHF "&amp;ROUND((H1110-AV1110)*G1110,0)&amp;"; ","")&amp;IF(AND(CH1110=1,CI1110&lt;CJ1110),"MAX &lt; MB+LG; ","")&amp;IF(AND(CP1110&gt;0,CO1110*10&gt;CP1110),"zu hoch für Tablar; ","")&amp;IF(AND(BV1110=0,OR(CH1110=1,AA1110&lt;&gt;"",U1110&lt;&gt;"",V1110&lt;&gt;"",AB1110&lt;&gt;"")),"manuell übersteuert; ","")&amp;IF(AND(BZ1110=0,R1110=0),"Gebinde unbekannt / Stellmass fehlt; ","")&amp;IF(AND(BZ1110=0,N(V1110)&lt;=0,N(Q1110)&lt;=0),"Menge pro Gebinde fehlt (Ist = 1 Gebinde); ","")&amp;BU1110)</f>
        <v>negativer Bestand (Export -5); Kein Verbrauch; Gebinde geschätzt (Klein); Menge pro Gebinde fehlt (Ist = 1 Gebinde); </v>
      </c>
      <c r="BN1110" s="48"/>
      <c r="BO1110" s="48"/>
      <c r="BP1110" s="55"/>
      <c r="BQ1110" s="50" t="n">
        <v>-5</v>
      </c>
      <c r="BR1110" s="50" t="n">
        <v>5</v>
      </c>
      <c r="BS1110" s="49" t="n">
        <v>-228</v>
      </c>
      <c r="BT1110" s="50" t="n">
        <v>0</v>
      </c>
      <c r="BU1110" s="48"/>
      <c r="BV1110" s="53" t="n">
        <v>0</v>
      </c>
      <c r="BW1110" s="53" t="n">
        <v>1110</v>
      </c>
      <c r="BX1110" s="48" t="str">
        <f aca="false">IF(U1110&lt;&gt;"",UPPER(TRIM(U1110)),IF(CA1110=1,UPPER(VLOOKUP(T1110,Parameter!$I$27:$K$29,2,0)),IF(P1110="","LOSE",P1110)))</f>
        <v>S51</v>
      </c>
      <c r="BY1110" s="50" t="n">
        <f aca="false">IF(BX1110="LOSE",1,IF(N(V1110)&gt;0,V1110,IF(CA1110=1,MAX(1,N(VLOOKUP(T1110,Parameter!$I$27:$K$29,3,0)),H1110,N(N1110)),IF(N(Q1110)&gt;0,Q1110,MAX(1,H1110)))))</f>
        <v>20</v>
      </c>
      <c r="BZ1110" s="53" t="n">
        <f aca="false">IF(BX1110="LOSE",1,0)</f>
        <v>0</v>
      </c>
      <c r="CA1110" s="53" t="n">
        <f aca="false">IF(AND(U1110="",OR(P1110="",P1110="LOSE"),T1110&lt;&gt;"",N(S1110)&lt;=0,ISNUMBER(MATCH(T1110,Parameter!$I$27:$I$29,0))),1,0)</f>
        <v>1</v>
      </c>
      <c r="CB1110" s="53" t="n">
        <f aca="false">IF(CQ1110&gt;0,INDEX(Parameter!$H$5:$H$7,W1110)/INDEX(Parameter!$E$5:$E$7,W1110),IF(AND(BZ1110=0,N(IFERROR(VLOOKUP(BX1110,'Gebinde-Kategorie'!$A$5:$N$45,14,0),0))&gt;0),VLOOKUP(BX1110,'Gebinde-Kategorie'!$A$5:$N$45,14,0)*10+Parameter!$M$23,Parameter!$M$24))</f>
        <v>155</v>
      </c>
      <c r="CC1110" s="48" t="str">
        <f aca="false">IF(AND(Parameter!$B$19="Ja",E1110&lt;&gt;"",ISNUMBER(MATCH(E1110,Parameter!$I$35:$I$52,0))),VLOOKUP(E1110,Parameter!$I$35:$J$52,2,0),IFERROR(VLOOKUP(D1110,Parameter!$A$35:$C$64,2,0),"Nein"))</f>
        <v>2+3</v>
      </c>
      <c r="CD1110" s="52" t="n">
        <f aca="false">IF(BZ1110=0,0,IF(N(S1110)&gt;0,S1110,IFERROR(VLOOKUP(D1110,Parameter!$A$35:$C$64,3,0)+0,0)))</f>
        <v>0</v>
      </c>
      <c r="CE1110" s="48" t="n">
        <f aca="false">IF(AA1110&lt;&gt;"",AA1110,Z1110)</f>
        <v>3</v>
      </c>
      <c r="CF1110" s="48" t="str">
        <f aca="false">IF(OR(CE1110=1,CE1110=2,CE1110=3),IF(Parameter!$E$27="Ja","LIFT",IF(CE1110=1,"L1","L23")),IF(CE1110="Aussen","Aussen","-"))</f>
        <v>LIFT</v>
      </c>
      <c r="CG1110" s="59" t="n">
        <f aca="false">IF(N(AB1110)&gt;0,AB1110,0)</f>
        <v>0</v>
      </c>
      <c r="CH1110" s="53" t="n">
        <f aca="false">IF(ISNUMBER(AE1110),1,0)</f>
        <v>0</v>
      </c>
      <c r="CI1110" s="50" t="n">
        <f aca="false">N(AE1110)</f>
        <v>0</v>
      </c>
      <c r="CJ1110" s="50" t="n">
        <f aca="false">N(M1110)+N(N1110)</f>
        <v>1</v>
      </c>
      <c r="CK1110" s="50" t="n">
        <f aca="false">N(M1110)</f>
        <v>0</v>
      </c>
      <c r="CL1110" s="50" t="n">
        <f aca="false">N(N1110)</f>
        <v>1</v>
      </c>
      <c r="CM1110" s="50" t="n">
        <f aca="false">ROUNDUP(H1110/BY1110,0)</f>
        <v>0</v>
      </c>
      <c r="CN1110" s="50" t="n">
        <f aca="false">ROUNDUP(CI1110/BY1110,0)</f>
        <v>0</v>
      </c>
      <c r="CO1110" s="53" t="n">
        <f aca="false">IF(BZ1110=1,0,IFERROR(VLOOKUP(BX1110,'Gebinde-Kategorie'!$A$5:$N$45,5,0)+0,0))</f>
        <v>11</v>
      </c>
      <c r="CP1110" s="53" t="n">
        <f aca="false">IFERROR(IF(OR(CE1110=1,CE1110=2,CE1110=3),N(INDEX(Parameter!$I$5:$I$7,CE1110)),0),0)</f>
        <v>0</v>
      </c>
      <c r="CQ1110" s="52" t="n">
        <f aca="false">IF(AND(Parameter!$B$21="Ja",ISNUMBER(W1110),N(X1110)&gt;0),IFERROR(N(INDEX(Parameter!$L$5:$L$7,W1110))*INDEX(Parameter!$E$5:$E$7,W1110)*X1110/SUMIFS($X$7:$X$1843,$W$7:$W$1843,W1110),0),0)</f>
        <v>0</v>
      </c>
    </row>
    <row r="1111" customFormat="false" ht="15" hidden="false" customHeight="false" outlineLevel="0" collapsed="false">
      <c r="A1111" s="48" t="s">
        <v>2026</v>
      </c>
      <c r="B1111" s="48" t="s">
        <v>764</v>
      </c>
      <c r="C1111" s="48" t="s">
        <v>173</v>
      </c>
      <c r="D1111" s="48" t="s">
        <v>193</v>
      </c>
      <c r="E1111" s="48"/>
      <c r="F1111" s="48" t="s">
        <v>227</v>
      </c>
      <c r="G1111" s="49" t="n">
        <v>114.73</v>
      </c>
      <c r="H1111" s="50" t="n">
        <f aca="false">MAX(0,IF(AND(Parameter!$B$21="Ja",ISNUMBER(Y1111)),Y1111,IF(Parameter!$B$20="Jahresanfang 2025 + Export",BR1111+BQ1111,BQ1111)))</f>
        <v>4</v>
      </c>
      <c r="I1111" s="50" t="n">
        <f aca="false">H1111*G1111</f>
        <v>458.92</v>
      </c>
      <c r="J1111" s="50" t="n">
        <f aca="false">BT1111*Parameter!$B$18</f>
        <v>1</v>
      </c>
      <c r="K1111" s="51" t="n">
        <v>5.5</v>
      </c>
      <c r="L1111" s="52" t="n">
        <v>0.181818181818182</v>
      </c>
      <c r="M1111" s="50" t="n">
        <v>0</v>
      </c>
      <c r="N1111" s="50" t="n">
        <v>1</v>
      </c>
      <c r="O1111" s="53" t="n">
        <v>35</v>
      </c>
      <c r="P1111" s="48" t="s">
        <v>435</v>
      </c>
      <c r="Q1111" s="50" t="n">
        <v>5</v>
      </c>
      <c r="R1111" s="53" t="n">
        <f aca="false">IF(BZ1111=1,0,IFERROR(VLOOKUP(BX1111,'Gebinde-Kategorie'!$A$5:$N$45,13,0)+0,0))</f>
        <v>140</v>
      </c>
      <c r="S1111" s="54"/>
      <c r="T1111" s="55"/>
      <c r="U1111" s="55"/>
      <c r="V1111" s="55"/>
      <c r="W1111" s="48"/>
      <c r="X1111" s="50"/>
      <c r="Y1111" s="50"/>
      <c r="Z1111" s="48" t="n">
        <f aca="false">IF(A1111="","",IF(AND(Parameter!$B$21="Ja",ISNUMBER(W1111)),W1111,IF(CC1111="2+3",IF(ISNUMBER(SEARCH("grosser Artikel",BU1111)),2,IFERROR(VLOOKUP(BX1111,Parameter!$F$35:$G$64,2,0),2)),IF(OR(CC1111="Nein",CC1111=""),"-",CC1111))))</f>
        <v>3</v>
      </c>
      <c r="AA1111" s="55"/>
      <c r="AB1111" s="56"/>
      <c r="AC1111" s="50" t="n">
        <f aca="false">AV1111</f>
        <v>1</v>
      </c>
      <c r="AD1111" s="50" t="n">
        <f aca="false">MAX(AV1111,H1111)</f>
        <v>4</v>
      </c>
      <c r="AE1111" s="57"/>
      <c r="AF1111" s="50" t="n">
        <f aca="false">IF(LEFT(Cockpit!$C$5,1)="A",H1111,IF(Parameter!$E$30="MAX-Bestand",IF(CH1111=1,CI1111,IF(LEFT(Cockpit!$C$5,1)="B",AL1111,MAX(AL1111,H1111))),ROUNDUP(AJ1111,0)))</f>
        <v>4</v>
      </c>
      <c r="AG1111" s="50" t="n">
        <f aca="false">IF(BZ1111=1,0,ROUNDUP(AF1111/BY1111,0))</f>
        <v>1</v>
      </c>
      <c r="AH1111" s="52" t="n">
        <f aca="false">IF(CQ1111&gt;0,CQ1111*MAX(1,AF1111/X1111),IF(BZ1111=1,IF(AF1111&lt;=0,0,CD1111*MAX(1,IF(H1111&gt;0,AF1111/H1111,1))),IF(R1111&gt;0,AG1111/R1111,0))/MAX(0.1,N(Parameter!$M$21)))</f>
        <v>0.00714285714285714</v>
      </c>
      <c r="AI1111" s="50" t="n">
        <f aca="false">AH1111*CB1111</f>
        <v>1.10714285714286</v>
      </c>
      <c r="AJ1111" s="51" t="n">
        <f aca="false">IF(LEFT(Cockpit!$C$5,1)="A",H1111,IF(CH1111=1,(CK1111+CI1111)/2,IF(LEFT(Cockpit!$C$5,1)="B",(CK1111+AL1111)/2,MAX((CK1111+AL1111)/2,H1111))))</f>
        <v>4</v>
      </c>
      <c r="AK1111" s="50" t="n">
        <f aca="false">AJ1111*G1111</f>
        <v>458.92</v>
      </c>
      <c r="AL1111" s="50" t="n">
        <f aca="false">ROUNDUP(CK1111+MAX(CL1111,2*(J1111/IF(CG1111&gt;0,CG1111,MAX(0.1,N(Cockpit!$C$6)))-CK1111)),0)</f>
        <v>1</v>
      </c>
      <c r="AM1111" s="51" t="n">
        <f aca="false">IF(AI1111&gt;0,J1111/AI1111,-1)</f>
        <v>0.903225806451613</v>
      </c>
      <c r="AN1111" s="51" t="n">
        <f aca="false">IF(AND(OR(CF1111="L1",CF1111="L23",CF1111="LIFT"),AI1111&gt;0),SUMIFS($AI$7:$AI$1843,$CF$7:$CF$1843,CF1111,$AM$7:$AM$1843,"&gt;"&amp;AM1111)+SUMIFS($AI$7:$AI$1843,$CF$7:$CF$1843,CF1111,$AM$7:$AM$1843,AM1111,$BW$7:$BW$1843,"&lt;="&amp;BW1111),"")</f>
        <v>7622.16987179487</v>
      </c>
      <c r="AO1111" s="58" t="n">
        <f aca="false">IF(AN1111="",0,MAX(0,MIN(1,(IF(CF1111="L1",Parameter!$H$5,IF(CF1111="L23",Parameter!$H$6+Parameter!$H$7,Parameter!$H$5+Parameter!$H$6+Parameter!$H$7))-(AN1111-AI1111))/AI1111)))</f>
        <v>1</v>
      </c>
      <c r="AP1111" s="50" t="n">
        <f aca="false">IF(LEFT(Cockpit!$I$5,1)="A",H1111,IF(Parameter!$E$30="MAX-Bestand",IF(CH1111=1,CI1111,IF(LEFT(Cockpit!$I$5,1)="B",AV1111,MAX(AV1111,H1111))),ROUNDUP(AT1111,0)))</f>
        <v>4</v>
      </c>
      <c r="AQ1111" s="50" t="n">
        <f aca="false">IF(BZ1111=1,0,ROUNDUP(AP1111/BY1111,0))</f>
        <v>1</v>
      </c>
      <c r="AR1111" s="52" t="n">
        <f aca="false">IF(CQ1111&gt;0,CQ1111*MAX(1,AP1111/X1111),IF(BZ1111=1,IF(AP1111&lt;=0,0,CD1111*MAX(1,IF(H1111&gt;0,AP1111/H1111,1))),IF(R1111&gt;0,AQ1111/R1111,0))/MAX(0.1,N(Parameter!$M$21)))</f>
        <v>0.00714285714285714</v>
      </c>
      <c r="AS1111" s="50" t="n">
        <f aca="false">AR1111*CB1111</f>
        <v>1.10714285714286</v>
      </c>
      <c r="AT1111" s="51" t="n">
        <f aca="false">IF(LEFT(Cockpit!$I$5,1)="A",H1111,IF(CH1111=1,(CK1111+CI1111)/2,IF(LEFT(Cockpit!$I$5,1)="B",(CK1111+AV1111)/2,MAX((CK1111+AV1111)/2,H1111))))</f>
        <v>4</v>
      </c>
      <c r="AU1111" s="50" t="n">
        <f aca="false">AT1111*G1111</f>
        <v>458.92</v>
      </c>
      <c r="AV1111" s="50" t="n">
        <f aca="false">ROUNDUP(CK1111+MAX(CL1111,2*(J1111/IF(CG1111&gt;0,CG1111,MAX(0.1,N(Cockpit!$I$6)))-CK1111)),0)</f>
        <v>1</v>
      </c>
      <c r="AW1111" s="51" t="n">
        <f aca="false">IF(AS1111&gt;0,J1111/AS1111,-1)</f>
        <v>0.903225806451613</v>
      </c>
      <c r="AX1111" s="51" t="n">
        <f aca="false">IF(AND(OR(CF1111="L1",CF1111="L23",CF1111="LIFT"),AS1111&gt;0),SUMIFS($AS$7:$AS$1843,$CF$7:$CF$1843,CF1111,$AW$7:$AW$1843,"&gt;"&amp;AW1111)+SUMIFS($AS$7:$AS$1843,$CF$7:$CF$1843,CF1111,$AW$7:$AW$1843,AW1111,$BW$7:$BW$1843,"&lt;="&amp;BW1111),"")</f>
        <v>9196.60989010989</v>
      </c>
      <c r="AY1111" s="58" t="n">
        <f aca="false">IF(AX1111="",0,MAX(0,MIN(1,(IF(CF1111="L1",Parameter!$H$5,IF(CF1111="L23",Parameter!$H$6+Parameter!$H$7,Parameter!$H$5+Parameter!$H$6+Parameter!$H$7))-(AX1111-AS1111))/AS1111)))</f>
        <v>1</v>
      </c>
      <c r="AZ1111" s="50" t="n">
        <f aca="false">IF(LEFT(Cockpit!$O$5,1)="A",H1111,IF(Parameter!$E$30="MAX-Bestand",IF(CH1111=1,CI1111,IF(LEFT(Cockpit!$O$5,1)="B",BF1111,MAX(BF1111,H1111))),ROUNDUP(BD1111,0)))</f>
        <v>1</v>
      </c>
      <c r="BA1111" s="50" t="n">
        <f aca="false">IF(BZ1111=1,0,ROUNDUP(AZ1111/BY1111,0))</f>
        <v>1</v>
      </c>
      <c r="BB1111" s="52" t="n">
        <f aca="false">IF(CQ1111&gt;0,CQ1111*MAX(1,AZ1111/X1111),IF(BZ1111=1,IF(AZ1111&lt;=0,0,CD1111*MAX(1,IF(H1111&gt;0,AZ1111/H1111,1))),IF(R1111&gt;0,BA1111/R1111,0))/MAX(0.1,N(Parameter!$M$21)))</f>
        <v>0.00714285714285714</v>
      </c>
      <c r="BC1111" s="50" t="n">
        <f aca="false">BB1111*CB1111</f>
        <v>1.10714285714286</v>
      </c>
      <c r="BD1111" s="51" t="n">
        <f aca="false">IF(LEFT(Cockpit!$O$5,1)="A",H1111,IF(CH1111=1,(CK1111+CI1111)/2,IF(LEFT(Cockpit!$O$5,1)="B",(CK1111+BF1111)/2,MAX((CK1111+BF1111)/2,H1111))))</f>
        <v>0.5</v>
      </c>
      <c r="BE1111" s="50" t="n">
        <f aca="false">BD1111*G1111</f>
        <v>57.365</v>
      </c>
      <c r="BF1111" s="50" t="n">
        <f aca="false">ROUNDUP(CK1111+MAX(CL1111,2*(J1111/IF(CG1111&gt;0,CG1111,MAX(0.1,N(Cockpit!$O$6)))-CK1111)),0)</f>
        <v>1</v>
      </c>
      <c r="BG1111" s="51" t="n">
        <f aca="false">IF(BC1111&gt;0,J1111/BC1111,-1)</f>
        <v>0.903225806451613</v>
      </c>
      <c r="BH1111" s="51" t="n">
        <f aca="false">IF(AND(OR(CF1111="L1",CF1111="L23",CF1111="LIFT"),BC1111&gt;0),SUMIFS($BC$7:$BC$1843,$CF$7:$CF$1843,CF1111,$BG$7:$BG$1843,"&gt;"&amp;BG1111)+SUMIFS($BC$7:$BC$1843,$CF$7:$CF$1843,CF1111,$BG$7:$BG$1843,BG1111,$BW$7:$BW$1843,"&lt;="&amp;BW1111),"")</f>
        <v>8248.93635531136</v>
      </c>
      <c r="BI1111" s="58" t="n">
        <f aca="false">IF(BH1111="",0,MAX(0,MIN(1,(IF(CF1111="L1",Parameter!$H$5,IF(CF1111="L23",Parameter!$H$6+Parameter!$H$7,Parameter!$H$5+Parameter!$H$6+Parameter!$H$7))-(BH1111-BC1111))/BC1111)))</f>
        <v>1</v>
      </c>
      <c r="BJ1111" s="48" t="str">
        <f aca="false">IF(AI1111&lt;=0,"",IF(CF1111="Aussen","Aussenlager",IF(CF1111="-","Nicht im Lift",IF(AO1111&gt;=1,"Lift",IF(AO1111&lt;=0,"Aussenlager","teilweise")))))</f>
        <v>Lift</v>
      </c>
      <c r="BK1111" s="48" t="str">
        <f aca="false">IF(AS1111&lt;=0,"",IF(CF1111="Aussen","Aussenlager",IF(CF1111="-","Nicht im Lift",IF(AY1111&gt;=1,"Lift",IF(AY1111&lt;=0,"Aussenlager","teilweise")))))</f>
        <v>Lift</v>
      </c>
      <c r="BL1111" s="48" t="str">
        <f aca="false">IF(BC1111&lt;=0,"",IF(CF1111="Aussen","Aussenlager",IF(CF1111="-","Nicht im Lift",IF(BI1111&gt;=1,"Lift",IF(BI1111&lt;=0,"Aussenlager","teilweise")))))</f>
        <v>Lift</v>
      </c>
      <c r="BM1111" s="48" t="str">
        <f aca="false">IF(A1111="","",IF(BV1111=1,"Neu; ","")&amp;IF(AND(BV1111=0,BQ1111&lt;0),"negativer Bestand (Export "&amp;BQ1111&amp;"); ","")&amp;IF(J1111&lt;=0,"Kein Verbrauch; ","")&amp;IF(CQ1111&gt;0,"Lift "&amp;W1111&amp;" lt. Liftbericht (Fach "&amp;X1111&amp;" Stk); ",IF(CA1111=1,"Gebinde geschätzt ("&amp;T1111&amp;"); ",IF(BZ1111=1,"Lose – Tablare geschätzt; ","")))&amp;IF(H1111&gt;AV1111,"Überbestand "&amp;ROUND(H1111-AV1111,0)&amp;" Stk / CHF "&amp;ROUND((H1111-AV1111)*G1111,0)&amp;"; ","")&amp;IF(AND(CH1111=1,CI1111&lt;CJ1111),"MAX &lt; MB+LG; ","")&amp;IF(AND(CP1111&gt;0,CO1111*10&gt;CP1111),"zu hoch für Tablar; ","")&amp;IF(AND(BV1111=0,OR(CH1111=1,AA1111&lt;&gt;"",U1111&lt;&gt;"",V1111&lt;&gt;"",AB1111&lt;&gt;"")),"manuell übersteuert; ","")&amp;IF(AND(BZ1111=0,R1111=0),"Gebinde unbekannt / Stellmass fehlt; ","")&amp;IF(AND(BZ1111=0,N(V1111)&lt;=0,N(Q1111)&lt;=0),"Menge pro Gebinde fehlt (Ist = 1 Gebinde); ","")&amp;BU1111)</f>
        <v>negativer Bestand (Export -2); Überbestand 3 Stk / CHF 344; </v>
      </c>
      <c r="BN1111" s="48"/>
      <c r="BO1111" s="48"/>
      <c r="BP1111" s="55"/>
      <c r="BQ1111" s="50" t="n">
        <v>-2</v>
      </c>
      <c r="BR1111" s="50" t="n">
        <v>6</v>
      </c>
      <c r="BS1111" s="49" t="n">
        <v>-229.46</v>
      </c>
      <c r="BT1111" s="50" t="n">
        <v>1</v>
      </c>
      <c r="BU1111" s="48"/>
      <c r="BV1111" s="53" t="n">
        <v>0</v>
      </c>
      <c r="BW1111" s="53" t="n">
        <v>1111</v>
      </c>
      <c r="BX1111" s="48" t="str">
        <f aca="false">IF(U1111&lt;&gt;"",UPPER(TRIM(U1111)),IF(CA1111=1,UPPER(VLOOKUP(T1111,Parameter!$I$27:$K$29,2,0)),IF(P1111="","LOSE",P1111)))</f>
        <v>S22</v>
      </c>
      <c r="BY1111" s="50" t="n">
        <f aca="false">IF(BX1111="LOSE",1,IF(N(V1111)&gt;0,V1111,IF(CA1111=1,MAX(1,N(VLOOKUP(T1111,Parameter!$I$27:$K$29,3,0)),H1111,N(N1111)),IF(N(Q1111)&gt;0,Q1111,MAX(1,H1111)))))</f>
        <v>5</v>
      </c>
      <c r="BZ1111" s="53" t="n">
        <f aca="false">IF(BX1111="LOSE",1,0)</f>
        <v>0</v>
      </c>
      <c r="CA1111" s="53" t="n">
        <f aca="false">IF(AND(U1111="",OR(P1111="",P1111="LOSE"),T1111&lt;&gt;"",N(S1111)&lt;=0,ISNUMBER(MATCH(T1111,Parameter!$I$27:$I$29,0))),1,0)</f>
        <v>0</v>
      </c>
      <c r="CB1111" s="53" t="n">
        <f aca="false">IF(CQ1111&gt;0,INDEX(Parameter!$H$5:$H$7,W1111)/INDEX(Parameter!$E$5:$E$7,W1111),IF(AND(BZ1111=0,N(IFERROR(VLOOKUP(BX1111,'Gebinde-Kategorie'!$A$5:$N$45,14,0),0))&gt;0),VLOOKUP(BX1111,'Gebinde-Kategorie'!$A$5:$N$45,14,0)*10+Parameter!$M$23,Parameter!$M$24))</f>
        <v>155</v>
      </c>
      <c r="CC1111" s="48" t="str">
        <f aca="false">IF(AND(Parameter!$B$19="Ja",E1111&lt;&gt;"",ISNUMBER(MATCH(E1111,Parameter!$I$35:$I$52,0))),VLOOKUP(E1111,Parameter!$I$35:$J$52,2,0),IFERROR(VLOOKUP(D1111,Parameter!$A$35:$C$64,2,0),"Nein"))</f>
        <v>2+3</v>
      </c>
      <c r="CD1111" s="52" t="n">
        <f aca="false">IF(BZ1111=0,0,IF(N(S1111)&gt;0,S1111,IFERROR(VLOOKUP(D1111,Parameter!$A$35:$C$64,3,0)+0,0)))</f>
        <v>0</v>
      </c>
      <c r="CE1111" s="48" t="n">
        <f aca="false">IF(AA1111&lt;&gt;"",AA1111,Z1111)</f>
        <v>3</v>
      </c>
      <c r="CF1111" s="48" t="str">
        <f aca="false">IF(OR(CE1111=1,CE1111=2,CE1111=3),IF(Parameter!$E$27="Ja","LIFT",IF(CE1111=1,"L1","L23")),IF(CE1111="Aussen","Aussen","-"))</f>
        <v>LIFT</v>
      </c>
      <c r="CG1111" s="59" t="n">
        <f aca="false">IF(N(AB1111)&gt;0,AB1111,0)</f>
        <v>0</v>
      </c>
      <c r="CH1111" s="53" t="n">
        <f aca="false">IF(ISNUMBER(AE1111),1,0)</f>
        <v>0</v>
      </c>
      <c r="CI1111" s="50" t="n">
        <f aca="false">N(AE1111)</f>
        <v>0</v>
      </c>
      <c r="CJ1111" s="50" t="n">
        <f aca="false">N(M1111)+N(N1111)</f>
        <v>1</v>
      </c>
      <c r="CK1111" s="50" t="n">
        <f aca="false">N(M1111)</f>
        <v>0</v>
      </c>
      <c r="CL1111" s="50" t="n">
        <f aca="false">N(N1111)</f>
        <v>1</v>
      </c>
      <c r="CM1111" s="50" t="n">
        <f aca="false">ROUNDUP(H1111/BY1111,0)</f>
        <v>1</v>
      </c>
      <c r="CN1111" s="50" t="n">
        <f aca="false">ROUNDUP(CI1111/BY1111,0)</f>
        <v>0</v>
      </c>
      <c r="CO1111" s="53" t="n">
        <f aca="false">IF(BZ1111=1,0,IFERROR(VLOOKUP(BX1111,'Gebinde-Kategorie'!$A$5:$N$45,5,0)+0,0))</f>
        <v>8</v>
      </c>
      <c r="CP1111" s="53" t="n">
        <f aca="false">IFERROR(IF(OR(CE1111=1,CE1111=2,CE1111=3),N(INDEX(Parameter!$I$5:$I$7,CE1111)),0),0)</f>
        <v>0</v>
      </c>
      <c r="CQ1111" s="52" t="n">
        <f aca="false">IF(AND(Parameter!$B$21="Ja",ISNUMBER(W1111),N(X1111)&gt;0),IFERROR(N(INDEX(Parameter!$L$5:$L$7,W1111))*INDEX(Parameter!$E$5:$E$7,W1111)*X1111/SUMIFS($X$7:$X$1843,$W$7:$W$1843,W1111),0),0)</f>
        <v>0</v>
      </c>
    </row>
    <row r="1112" customFormat="false" ht="15" hidden="false" customHeight="false" outlineLevel="0" collapsed="false">
      <c r="A1112" s="48" t="s">
        <v>2027</v>
      </c>
      <c r="B1112" s="48" t="s">
        <v>2028</v>
      </c>
      <c r="C1112" s="48" t="s">
        <v>173</v>
      </c>
      <c r="D1112" s="48" t="s">
        <v>193</v>
      </c>
      <c r="E1112" s="48"/>
      <c r="F1112" s="48" t="s">
        <v>227</v>
      </c>
      <c r="G1112" s="49" t="n">
        <v>21.01</v>
      </c>
      <c r="H1112" s="50" t="n">
        <f aca="false">MAX(0,IF(AND(Parameter!$B$21="Ja",ISNUMBER(Y1112)),Y1112,IF(Parameter!$B$20="Jahresanfang 2025 + Export",BR1112+BQ1112,BQ1112)))</f>
        <v>17</v>
      </c>
      <c r="I1112" s="50" t="n">
        <f aca="false">H1112*G1112</f>
        <v>357.17</v>
      </c>
      <c r="J1112" s="50" t="n">
        <f aca="false">BT1112*Parameter!$B$18</f>
        <v>6</v>
      </c>
      <c r="K1112" s="51" t="n">
        <v>25</v>
      </c>
      <c r="L1112" s="52" t="n">
        <v>0.24</v>
      </c>
      <c r="M1112" s="50" t="n">
        <v>0</v>
      </c>
      <c r="N1112" s="50" t="n">
        <v>5</v>
      </c>
      <c r="O1112" s="53" t="n">
        <v>14</v>
      </c>
      <c r="P1112" s="48" t="s">
        <v>430</v>
      </c>
      <c r="Q1112" s="50" t="n">
        <v>20</v>
      </c>
      <c r="R1112" s="53" t="n">
        <f aca="false">IF(BZ1112=1,0,IFERROR(VLOOKUP(BX1112,'Gebinde-Kategorie'!$A$5:$N$45,13,0)+0,0))</f>
        <v>104</v>
      </c>
      <c r="S1112" s="54"/>
      <c r="T1112" s="55"/>
      <c r="U1112" s="55"/>
      <c r="V1112" s="55"/>
      <c r="W1112" s="48"/>
      <c r="X1112" s="50"/>
      <c r="Y1112" s="50"/>
      <c r="Z1112" s="48" t="n">
        <f aca="false">IF(A1112="","",IF(AND(Parameter!$B$21="Ja",ISNUMBER(W1112)),W1112,IF(CC1112="2+3",IF(ISNUMBER(SEARCH("grosser Artikel",BU1112)),2,IFERROR(VLOOKUP(BX1112,Parameter!$F$35:$G$64,2,0),2)),IF(OR(CC1112="Nein",CC1112=""),"-",CC1112))))</f>
        <v>3</v>
      </c>
      <c r="AA1112" s="55"/>
      <c r="AB1112" s="56"/>
      <c r="AC1112" s="50" t="n">
        <f aca="false">AV1112</f>
        <v>5</v>
      </c>
      <c r="AD1112" s="50" t="n">
        <f aca="false">MAX(AV1112,H1112)</f>
        <v>17</v>
      </c>
      <c r="AE1112" s="57"/>
      <c r="AF1112" s="50" t="n">
        <f aca="false">IF(LEFT(Cockpit!$C$5,1)="A",H1112,IF(Parameter!$E$30="MAX-Bestand",IF(CH1112=1,CI1112,IF(LEFT(Cockpit!$C$5,1)="B",AL1112,MAX(AL1112,H1112))),ROUNDUP(AJ1112,0)))</f>
        <v>17</v>
      </c>
      <c r="AG1112" s="50" t="n">
        <f aca="false">IF(BZ1112=1,0,ROUNDUP(AF1112/BY1112,0))</f>
        <v>1</v>
      </c>
      <c r="AH1112" s="52" t="n">
        <f aca="false">IF(CQ1112&gt;0,CQ1112*MAX(1,AF1112/X1112),IF(BZ1112=1,IF(AF1112&lt;=0,0,CD1112*MAX(1,IF(H1112&gt;0,AF1112/H1112,1))),IF(R1112&gt;0,AG1112/R1112,0))/MAX(0.1,N(Parameter!$M$21)))</f>
        <v>0.00961538461538462</v>
      </c>
      <c r="AI1112" s="50" t="n">
        <f aca="false">AH1112*CB1112</f>
        <v>1.49038461538462</v>
      </c>
      <c r="AJ1112" s="51" t="n">
        <f aca="false">IF(LEFT(Cockpit!$C$5,1)="A",H1112,IF(CH1112=1,(CK1112+CI1112)/2,IF(LEFT(Cockpit!$C$5,1)="B",(CK1112+AL1112)/2,MAX((CK1112+AL1112)/2,H1112))))</f>
        <v>17</v>
      </c>
      <c r="AK1112" s="50" t="n">
        <f aca="false">AJ1112*G1112</f>
        <v>357.17</v>
      </c>
      <c r="AL1112" s="50" t="n">
        <f aca="false">ROUNDUP(CK1112+MAX(CL1112,2*(J1112/IF(CG1112&gt;0,CG1112,MAX(0.1,N(Cockpit!$C$6)))-CK1112)),0)</f>
        <v>5</v>
      </c>
      <c r="AM1112" s="51" t="n">
        <f aca="false">IF(AI1112&gt;0,J1112/AI1112,-1)</f>
        <v>4.0258064516129</v>
      </c>
      <c r="AN1112" s="51" t="n">
        <f aca="false">IF(AND(OR(CF1112="L1",CF1112="L23",CF1112="LIFT"),AI1112&gt;0),SUMIFS($AI$7:$AI$1843,$CF$7:$CF$1843,CF1112,$AM$7:$AM$1843,"&gt;"&amp;AM1112)+SUMIFS($AI$7:$AI$1843,$CF$7:$CF$1843,CF1112,$AM$7:$AM$1843,AM1112,$BW$7:$BW$1843,"&lt;="&amp;BW1112),"")</f>
        <v>4361.66987179487</v>
      </c>
      <c r="AO1112" s="58" t="n">
        <f aca="false">IF(AN1112="",0,MAX(0,MIN(1,(IF(CF1112="L1",Parameter!$H$5,IF(CF1112="L23",Parameter!$H$6+Parameter!$H$7,Parameter!$H$5+Parameter!$H$6+Parameter!$H$7))-(AN1112-AI1112))/AI1112)))</f>
        <v>1</v>
      </c>
      <c r="AP1112" s="50" t="n">
        <f aca="false">IF(LEFT(Cockpit!$I$5,1)="A",H1112,IF(Parameter!$E$30="MAX-Bestand",IF(CH1112=1,CI1112,IF(LEFT(Cockpit!$I$5,1)="B",AV1112,MAX(AV1112,H1112))),ROUNDUP(AT1112,0)))</f>
        <v>17</v>
      </c>
      <c r="AQ1112" s="50" t="n">
        <f aca="false">IF(BZ1112=1,0,ROUNDUP(AP1112/BY1112,0))</f>
        <v>1</v>
      </c>
      <c r="AR1112" s="52" t="n">
        <f aca="false">IF(CQ1112&gt;0,CQ1112*MAX(1,AP1112/X1112),IF(BZ1112=1,IF(AP1112&lt;=0,0,CD1112*MAX(1,IF(H1112&gt;0,AP1112/H1112,1))),IF(R1112&gt;0,AQ1112/R1112,0))/MAX(0.1,N(Parameter!$M$21)))</f>
        <v>0.00961538461538462</v>
      </c>
      <c r="AS1112" s="50" t="n">
        <f aca="false">AR1112*CB1112</f>
        <v>1.49038461538462</v>
      </c>
      <c r="AT1112" s="51" t="n">
        <f aca="false">IF(LEFT(Cockpit!$I$5,1)="A",H1112,IF(CH1112=1,(CK1112+CI1112)/2,IF(LEFT(Cockpit!$I$5,1)="B",(CK1112+AV1112)/2,MAX((CK1112+AV1112)/2,H1112))))</f>
        <v>17</v>
      </c>
      <c r="AU1112" s="50" t="n">
        <f aca="false">AT1112*G1112</f>
        <v>357.17</v>
      </c>
      <c r="AV1112" s="50" t="n">
        <f aca="false">ROUNDUP(CK1112+MAX(CL1112,2*(J1112/IF(CG1112&gt;0,CG1112,MAX(0.1,N(Cockpit!$I$6)))-CK1112)),0)</f>
        <v>5</v>
      </c>
      <c r="AW1112" s="51" t="n">
        <f aca="false">IF(AS1112&gt;0,J1112/AS1112,-1)</f>
        <v>4.0258064516129</v>
      </c>
      <c r="AX1112" s="51" t="n">
        <f aca="false">IF(AND(OR(CF1112="L1",CF1112="L23",CF1112="LIFT"),AS1112&gt;0),SUMIFS($AS$7:$AS$1843,$CF$7:$CF$1843,CF1112,$AW$7:$AW$1843,"&gt;"&amp;AW1112)+SUMIFS($AS$7:$AS$1843,$CF$7:$CF$1843,CF1112,$AW$7:$AW$1843,AW1112,$BW$7:$BW$1843,"&lt;="&amp;BW1112),"")</f>
        <v>4970.66712454213</v>
      </c>
      <c r="AY1112" s="58" t="n">
        <f aca="false">IF(AX1112="",0,MAX(0,MIN(1,(IF(CF1112="L1",Parameter!$H$5,IF(CF1112="L23",Parameter!$H$6+Parameter!$H$7,Parameter!$H$5+Parameter!$H$6+Parameter!$H$7))-(AX1112-AS1112))/AS1112)))</f>
        <v>1</v>
      </c>
      <c r="AZ1112" s="50" t="n">
        <f aca="false">IF(LEFT(Cockpit!$O$5,1)="A",H1112,IF(Parameter!$E$30="MAX-Bestand",IF(CH1112=1,CI1112,IF(LEFT(Cockpit!$O$5,1)="B",BF1112,MAX(BF1112,H1112))),ROUNDUP(BD1112,0)))</f>
        <v>3</v>
      </c>
      <c r="BA1112" s="50" t="n">
        <f aca="false">IF(BZ1112=1,0,ROUNDUP(AZ1112/BY1112,0))</f>
        <v>1</v>
      </c>
      <c r="BB1112" s="52" t="n">
        <f aca="false">IF(CQ1112&gt;0,CQ1112*MAX(1,AZ1112/X1112),IF(BZ1112=1,IF(AZ1112&lt;=0,0,CD1112*MAX(1,IF(H1112&gt;0,AZ1112/H1112,1))),IF(R1112&gt;0,BA1112/R1112,0))/MAX(0.1,N(Parameter!$M$21)))</f>
        <v>0.00961538461538462</v>
      </c>
      <c r="BC1112" s="50" t="n">
        <f aca="false">BB1112*CB1112</f>
        <v>1.49038461538462</v>
      </c>
      <c r="BD1112" s="51" t="n">
        <f aca="false">IF(LEFT(Cockpit!$O$5,1)="A",H1112,IF(CH1112=1,(CK1112+CI1112)/2,IF(LEFT(Cockpit!$O$5,1)="B",(CK1112+BF1112)/2,MAX((CK1112+BF1112)/2,H1112))))</f>
        <v>2.5</v>
      </c>
      <c r="BE1112" s="50" t="n">
        <f aca="false">BD1112*G1112</f>
        <v>52.525</v>
      </c>
      <c r="BF1112" s="50" t="n">
        <f aca="false">ROUNDUP(CK1112+MAX(CL1112,2*(J1112/IF(CG1112&gt;0,CG1112,MAX(0.1,N(Cockpit!$O$6)))-CK1112)),0)</f>
        <v>5</v>
      </c>
      <c r="BG1112" s="51" t="n">
        <f aca="false">IF(BC1112&gt;0,J1112/BC1112,-1)</f>
        <v>4.0258064516129</v>
      </c>
      <c r="BH1112" s="51" t="n">
        <f aca="false">IF(AND(OR(CF1112="L1",CF1112="L23",CF1112="LIFT"),BC1112&gt;0),SUMIFS($BC$7:$BC$1843,$CF$7:$CF$1843,CF1112,$BG$7:$BG$1843,"&gt;"&amp;BG1112)+SUMIFS($BC$7:$BC$1843,$CF$7:$CF$1843,CF1112,$BG$7:$BG$1843,BG1112,$BW$7:$BW$1843,"&lt;="&amp;BW1112),"")</f>
        <v>4088.23763736264</v>
      </c>
      <c r="BI1112" s="58" t="n">
        <f aca="false">IF(BH1112="",0,MAX(0,MIN(1,(IF(CF1112="L1",Parameter!$H$5,IF(CF1112="L23",Parameter!$H$6+Parameter!$H$7,Parameter!$H$5+Parameter!$H$6+Parameter!$H$7))-(BH1112-BC1112))/BC1112)))</f>
        <v>1</v>
      </c>
      <c r="BJ1112" s="48" t="str">
        <f aca="false">IF(AI1112&lt;=0,"",IF(CF1112="Aussen","Aussenlager",IF(CF1112="-","Nicht im Lift",IF(AO1112&gt;=1,"Lift",IF(AO1112&lt;=0,"Aussenlager","teilweise")))))</f>
        <v>Lift</v>
      </c>
      <c r="BK1112" s="48" t="str">
        <f aca="false">IF(AS1112&lt;=0,"",IF(CF1112="Aussen","Aussenlager",IF(CF1112="-","Nicht im Lift",IF(AY1112&gt;=1,"Lift",IF(AY1112&lt;=0,"Aussenlager","teilweise")))))</f>
        <v>Lift</v>
      </c>
      <c r="BL1112" s="48" t="str">
        <f aca="false">IF(BC1112&lt;=0,"",IF(CF1112="Aussen","Aussenlager",IF(CF1112="-","Nicht im Lift",IF(BI1112&gt;=1,"Lift",IF(BI1112&lt;=0,"Aussenlager","teilweise")))))</f>
        <v>Lift</v>
      </c>
      <c r="BM1112" s="48" t="str">
        <f aca="false">IF(A1112="","",IF(BV1112=1,"Neu; ","")&amp;IF(AND(BV1112=0,BQ1112&lt;0),"negativer Bestand (Export "&amp;BQ1112&amp;"); ","")&amp;IF(J1112&lt;=0,"Kein Verbrauch; ","")&amp;IF(CQ1112&gt;0,"Lift "&amp;W1112&amp;" lt. Liftbericht (Fach "&amp;X1112&amp;" Stk); ",IF(CA1112=1,"Gebinde geschätzt ("&amp;T1112&amp;"); ",IF(BZ1112=1,"Lose – Tablare geschätzt; ","")))&amp;IF(H1112&gt;AV1112,"Überbestand "&amp;ROUND(H1112-AV1112,0)&amp;" Stk / CHF "&amp;ROUND((H1112-AV1112)*G1112,0)&amp;"; ","")&amp;IF(AND(CH1112=1,CI1112&lt;CJ1112),"MAX &lt; MB+LG; ","")&amp;IF(AND(CP1112&gt;0,CO1112*10&gt;CP1112),"zu hoch für Tablar; ","")&amp;IF(AND(BV1112=0,OR(CH1112=1,AA1112&lt;&gt;"",U1112&lt;&gt;"",V1112&lt;&gt;"",AB1112&lt;&gt;"")),"manuell übersteuert; ","")&amp;IF(AND(BZ1112=0,R1112=0),"Gebinde unbekannt / Stellmass fehlt; ","")&amp;IF(AND(BZ1112=0,N(V1112)&lt;=0,N(Q1112)&lt;=0),"Menge pro Gebinde fehlt (Ist = 1 Gebinde); ","")&amp;BU1112)</f>
        <v>negativer Bestand (Export -11); Überbestand 12 Stk / CHF 252; </v>
      </c>
      <c r="BN1112" s="48"/>
      <c r="BO1112" s="48"/>
      <c r="BP1112" s="55"/>
      <c r="BQ1112" s="50" t="n">
        <v>-11</v>
      </c>
      <c r="BR1112" s="50" t="n">
        <v>28</v>
      </c>
      <c r="BS1112" s="49" t="n">
        <v>-231.11</v>
      </c>
      <c r="BT1112" s="50" t="n">
        <v>6</v>
      </c>
      <c r="BU1112" s="48"/>
      <c r="BV1112" s="53" t="n">
        <v>0</v>
      </c>
      <c r="BW1112" s="53" t="n">
        <v>1112</v>
      </c>
      <c r="BX1112" s="48" t="str">
        <f aca="false">IF(U1112&lt;&gt;"",UPPER(TRIM(U1112)),IF(CA1112=1,UPPER(VLOOKUP(T1112,Parameter!$I$27:$K$29,2,0)),IF(P1112="","LOSE",P1112)))</f>
        <v>S32</v>
      </c>
      <c r="BY1112" s="50" t="n">
        <f aca="false">IF(BX1112="LOSE",1,IF(N(V1112)&gt;0,V1112,IF(CA1112=1,MAX(1,N(VLOOKUP(T1112,Parameter!$I$27:$K$29,3,0)),H1112,N(N1112)),IF(N(Q1112)&gt;0,Q1112,MAX(1,H1112)))))</f>
        <v>20</v>
      </c>
      <c r="BZ1112" s="53" t="n">
        <f aca="false">IF(BX1112="LOSE",1,0)</f>
        <v>0</v>
      </c>
      <c r="CA1112" s="53" t="n">
        <f aca="false">IF(AND(U1112="",OR(P1112="",P1112="LOSE"),T1112&lt;&gt;"",N(S1112)&lt;=0,ISNUMBER(MATCH(T1112,Parameter!$I$27:$I$29,0))),1,0)</f>
        <v>0</v>
      </c>
      <c r="CB1112" s="53" t="n">
        <f aca="false">IF(CQ1112&gt;0,INDEX(Parameter!$H$5:$H$7,W1112)/INDEX(Parameter!$E$5:$E$7,W1112),IF(AND(BZ1112=0,N(IFERROR(VLOOKUP(BX1112,'Gebinde-Kategorie'!$A$5:$N$45,14,0),0))&gt;0),VLOOKUP(BX1112,'Gebinde-Kategorie'!$A$5:$N$45,14,0)*10+Parameter!$M$23,Parameter!$M$24))</f>
        <v>155</v>
      </c>
      <c r="CC1112" s="48" t="str">
        <f aca="false">IF(AND(Parameter!$B$19="Ja",E1112&lt;&gt;"",ISNUMBER(MATCH(E1112,Parameter!$I$35:$I$52,0))),VLOOKUP(E1112,Parameter!$I$35:$J$52,2,0),IFERROR(VLOOKUP(D1112,Parameter!$A$35:$C$64,2,0),"Nein"))</f>
        <v>2+3</v>
      </c>
      <c r="CD1112" s="52" t="n">
        <f aca="false">IF(BZ1112=0,0,IF(N(S1112)&gt;0,S1112,IFERROR(VLOOKUP(D1112,Parameter!$A$35:$C$64,3,0)+0,0)))</f>
        <v>0</v>
      </c>
      <c r="CE1112" s="48" t="n">
        <f aca="false">IF(AA1112&lt;&gt;"",AA1112,Z1112)</f>
        <v>3</v>
      </c>
      <c r="CF1112" s="48" t="str">
        <f aca="false">IF(OR(CE1112=1,CE1112=2,CE1112=3),IF(Parameter!$E$27="Ja","LIFT",IF(CE1112=1,"L1","L23")),IF(CE1112="Aussen","Aussen","-"))</f>
        <v>LIFT</v>
      </c>
      <c r="CG1112" s="59" t="n">
        <f aca="false">IF(N(AB1112)&gt;0,AB1112,0)</f>
        <v>0</v>
      </c>
      <c r="CH1112" s="53" t="n">
        <f aca="false">IF(ISNUMBER(AE1112),1,0)</f>
        <v>0</v>
      </c>
      <c r="CI1112" s="50" t="n">
        <f aca="false">N(AE1112)</f>
        <v>0</v>
      </c>
      <c r="CJ1112" s="50" t="n">
        <f aca="false">N(M1112)+N(N1112)</f>
        <v>5</v>
      </c>
      <c r="CK1112" s="50" t="n">
        <f aca="false">N(M1112)</f>
        <v>0</v>
      </c>
      <c r="CL1112" s="50" t="n">
        <f aca="false">N(N1112)</f>
        <v>5</v>
      </c>
      <c r="CM1112" s="50" t="n">
        <f aca="false">ROUNDUP(H1112/BY1112,0)</f>
        <v>1</v>
      </c>
      <c r="CN1112" s="50" t="n">
        <f aca="false">ROUNDUP(CI1112/BY1112,0)</f>
        <v>0</v>
      </c>
      <c r="CO1112" s="53" t="n">
        <f aca="false">IF(BZ1112=1,0,IFERROR(VLOOKUP(BX1112,'Gebinde-Kategorie'!$A$5:$N$45,5,0)+0,0))</f>
        <v>8</v>
      </c>
      <c r="CP1112" s="53" t="n">
        <f aca="false">IFERROR(IF(OR(CE1112=1,CE1112=2,CE1112=3),N(INDEX(Parameter!$I$5:$I$7,CE1112)),0),0)</f>
        <v>0</v>
      </c>
      <c r="CQ1112" s="52" t="n">
        <f aca="false">IF(AND(Parameter!$B$21="Ja",ISNUMBER(W1112),N(X1112)&gt;0),IFERROR(N(INDEX(Parameter!$L$5:$L$7,W1112))*INDEX(Parameter!$E$5:$E$7,W1112)*X1112/SUMIFS($X$7:$X$1843,$W$7:$W$1843,W1112),0),0)</f>
        <v>0</v>
      </c>
    </row>
    <row r="1113" customFormat="false" ht="15" hidden="false" customHeight="false" outlineLevel="0" collapsed="false">
      <c r="A1113" s="48" t="s">
        <v>2029</v>
      </c>
      <c r="B1113" s="48" t="s">
        <v>598</v>
      </c>
      <c r="C1113" s="48" t="s">
        <v>173</v>
      </c>
      <c r="D1113" s="48" t="s">
        <v>193</v>
      </c>
      <c r="E1113" s="48"/>
      <c r="F1113" s="48" t="s">
        <v>227</v>
      </c>
      <c r="G1113" s="49" t="n">
        <v>21.05</v>
      </c>
      <c r="H1113" s="50" t="n">
        <f aca="false">MAX(0,IF(AND(Parameter!$B$21="Ja",ISNUMBER(Y1113)),Y1113,IF(Parameter!$B$20="Jahresanfang 2025 + Export",BR1113+BQ1113,BQ1113)))</f>
        <v>67</v>
      </c>
      <c r="I1113" s="50" t="n">
        <f aca="false">H1113*G1113</f>
        <v>1410.35</v>
      </c>
      <c r="J1113" s="50" t="n">
        <f aca="false">BT1113*Parameter!$B$18</f>
        <v>3</v>
      </c>
      <c r="K1113" s="51" t="n">
        <v>76</v>
      </c>
      <c r="L1113" s="52" t="n">
        <v>0.0394736842105263</v>
      </c>
      <c r="M1113" s="50" t="n">
        <v>0</v>
      </c>
      <c r="N1113" s="50" t="n">
        <v>5</v>
      </c>
      <c r="O1113" s="53" t="n">
        <v>35</v>
      </c>
      <c r="P1113" s="48" t="s">
        <v>410</v>
      </c>
      <c r="Q1113" s="50" t="n">
        <v>100</v>
      </c>
      <c r="R1113" s="53" t="n">
        <f aca="false">IF(BZ1113=1,0,IFERROR(VLOOKUP(BX1113,'Gebinde-Kategorie'!$A$5:$N$45,13,0)+0,0))</f>
        <v>280</v>
      </c>
      <c r="S1113" s="54"/>
      <c r="T1113" s="55"/>
      <c r="U1113" s="55"/>
      <c r="V1113" s="55"/>
      <c r="W1113" s="48"/>
      <c r="X1113" s="50"/>
      <c r="Y1113" s="50"/>
      <c r="Z1113" s="48" t="n">
        <f aca="false">IF(A1113="","",IF(AND(Parameter!$B$21="Ja",ISNUMBER(W1113)),W1113,IF(CC1113="2+3",IF(ISNUMBER(SEARCH("grosser Artikel",BU1113)),2,IFERROR(VLOOKUP(BX1113,Parameter!$F$35:$G$64,2,0),2)),IF(OR(CC1113="Nein",CC1113=""),"-",CC1113))))</f>
        <v>3</v>
      </c>
      <c r="AA1113" s="55"/>
      <c r="AB1113" s="56"/>
      <c r="AC1113" s="50" t="n">
        <f aca="false">AV1113</f>
        <v>5</v>
      </c>
      <c r="AD1113" s="50" t="n">
        <f aca="false">MAX(AV1113,H1113)</f>
        <v>67</v>
      </c>
      <c r="AE1113" s="57"/>
      <c r="AF1113" s="50" t="n">
        <f aca="false">IF(LEFT(Cockpit!$C$5,1)="A",H1113,IF(Parameter!$E$30="MAX-Bestand",IF(CH1113=1,CI1113,IF(LEFT(Cockpit!$C$5,1)="B",AL1113,MAX(AL1113,H1113))),ROUNDUP(AJ1113,0)))</f>
        <v>67</v>
      </c>
      <c r="AG1113" s="50" t="n">
        <f aca="false">IF(BZ1113=1,0,ROUNDUP(AF1113/BY1113,0))</f>
        <v>1</v>
      </c>
      <c r="AH1113" s="52" t="n">
        <f aca="false">IF(CQ1113&gt;0,CQ1113*MAX(1,AF1113/X1113),IF(BZ1113=1,IF(AF1113&lt;=0,0,CD1113*MAX(1,IF(H1113&gt;0,AF1113/H1113,1))),IF(R1113&gt;0,AG1113/R1113,0))/MAX(0.1,N(Parameter!$M$21)))</f>
        <v>0.00357142857142857</v>
      </c>
      <c r="AI1113" s="50" t="n">
        <f aca="false">AH1113*CB1113</f>
        <v>0.553571428571429</v>
      </c>
      <c r="AJ1113" s="51" t="n">
        <f aca="false">IF(LEFT(Cockpit!$C$5,1)="A",H1113,IF(CH1113=1,(CK1113+CI1113)/2,IF(LEFT(Cockpit!$C$5,1)="B",(CK1113+AL1113)/2,MAX((CK1113+AL1113)/2,H1113))))</f>
        <v>67</v>
      </c>
      <c r="AK1113" s="50" t="n">
        <f aca="false">AJ1113*G1113</f>
        <v>1410.35</v>
      </c>
      <c r="AL1113" s="50" t="n">
        <f aca="false">ROUNDUP(CK1113+MAX(CL1113,2*(J1113/IF(CG1113&gt;0,CG1113,MAX(0.1,N(Cockpit!$C$6)))-CK1113)),0)</f>
        <v>5</v>
      </c>
      <c r="AM1113" s="51" t="n">
        <f aca="false">IF(AI1113&gt;0,J1113/AI1113,-1)</f>
        <v>5.41935483870968</v>
      </c>
      <c r="AN1113" s="51" t="n">
        <f aca="false">IF(AND(OR(CF1113="L1",CF1113="L23",CF1113="LIFT"),AI1113&gt;0),SUMIFS($AI$7:$AI$1843,$CF$7:$CF$1843,CF1113,$AM$7:$AM$1843,"&gt;"&amp;AM1113)+SUMIFS($AI$7:$AI$1843,$CF$7:$CF$1843,CF1113,$AM$7:$AM$1843,AM1113,$BW$7:$BW$1843,"&lt;="&amp;BW1113),"")</f>
        <v>3717.24908424908</v>
      </c>
      <c r="AO1113" s="58" t="n">
        <f aca="false">IF(AN1113="",0,MAX(0,MIN(1,(IF(CF1113="L1",Parameter!$H$5,IF(CF1113="L23",Parameter!$H$6+Parameter!$H$7,Parameter!$H$5+Parameter!$H$6+Parameter!$H$7))-(AN1113-AI1113))/AI1113)))</f>
        <v>1</v>
      </c>
      <c r="AP1113" s="50" t="n">
        <f aca="false">IF(LEFT(Cockpit!$I$5,1)="A",H1113,IF(Parameter!$E$30="MAX-Bestand",IF(CH1113=1,CI1113,IF(LEFT(Cockpit!$I$5,1)="B",AV1113,MAX(AV1113,H1113))),ROUNDUP(AT1113,0)))</f>
        <v>67</v>
      </c>
      <c r="AQ1113" s="50" t="n">
        <f aca="false">IF(BZ1113=1,0,ROUNDUP(AP1113/BY1113,0))</f>
        <v>1</v>
      </c>
      <c r="AR1113" s="52" t="n">
        <f aca="false">IF(CQ1113&gt;0,CQ1113*MAX(1,AP1113/X1113),IF(BZ1113=1,IF(AP1113&lt;=0,0,CD1113*MAX(1,IF(H1113&gt;0,AP1113/H1113,1))),IF(R1113&gt;0,AQ1113/R1113,0))/MAX(0.1,N(Parameter!$M$21)))</f>
        <v>0.00357142857142857</v>
      </c>
      <c r="AS1113" s="50" t="n">
        <f aca="false">AR1113*CB1113</f>
        <v>0.553571428571429</v>
      </c>
      <c r="AT1113" s="51" t="n">
        <f aca="false">IF(LEFT(Cockpit!$I$5,1)="A",H1113,IF(CH1113=1,(CK1113+CI1113)/2,IF(LEFT(Cockpit!$I$5,1)="B",(CK1113+AV1113)/2,MAX((CK1113+AV1113)/2,H1113))))</f>
        <v>67</v>
      </c>
      <c r="AU1113" s="50" t="n">
        <f aca="false">AT1113*G1113</f>
        <v>1410.35</v>
      </c>
      <c r="AV1113" s="50" t="n">
        <f aca="false">ROUNDUP(CK1113+MAX(CL1113,2*(J1113/IF(CG1113&gt;0,CG1113,MAX(0.1,N(Cockpit!$I$6)))-CK1113)),0)</f>
        <v>5</v>
      </c>
      <c r="AW1113" s="51" t="n">
        <f aca="false">IF(AS1113&gt;0,J1113/AS1113,-1)</f>
        <v>5.41935483870968</v>
      </c>
      <c r="AX1113" s="51" t="n">
        <f aca="false">IF(AND(OR(CF1113="L1",CF1113="L23",CF1113="LIFT"),AS1113&gt;0),SUMIFS($AS$7:$AS$1843,$CF$7:$CF$1843,CF1113,$AW$7:$AW$1843,"&gt;"&amp;AW1113)+SUMIFS($AS$7:$AS$1843,$CF$7:$CF$1843,CF1113,$AW$7:$AW$1843,AW1113,$BW$7:$BW$1843,"&lt;="&amp;BW1113),"")</f>
        <v>4370.98992673993</v>
      </c>
      <c r="AY1113" s="58" t="n">
        <f aca="false">IF(AX1113="",0,MAX(0,MIN(1,(IF(CF1113="L1",Parameter!$H$5,IF(CF1113="L23",Parameter!$H$6+Parameter!$H$7,Parameter!$H$5+Parameter!$H$6+Parameter!$H$7))-(AX1113-AS1113))/AS1113)))</f>
        <v>1</v>
      </c>
      <c r="AZ1113" s="50" t="n">
        <f aca="false">IF(LEFT(Cockpit!$O$5,1)="A",H1113,IF(Parameter!$E$30="MAX-Bestand",IF(CH1113=1,CI1113,IF(LEFT(Cockpit!$O$5,1)="B",BF1113,MAX(BF1113,H1113))),ROUNDUP(BD1113,0)))</f>
        <v>3</v>
      </c>
      <c r="BA1113" s="50" t="n">
        <f aca="false">IF(BZ1113=1,0,ROUNDUP(AZ1113/BY1113,0))</f>
        <v>1</v>
      </c>
      <c r="BB1113" s="52" t="n">
        <f aca="false">IF(CQ1113&gt;0,CQ1113*MAX(1,AZ1113/X1113),IF(BZ1113=1,IF(AZ1113&lt;=0,0,CD1113*MAX(1,IF(H1113&gt;0,AZ1113/H1113,1))),IF(R1113&gt;0,BA1113/R1113,0))/MAX(0.1,N(Parameter!$M$21)))</f>
        <v>0.00357142857142857</v>
      </c>
      <c r="BC1113" s="50" t="n">
        <f aca="false">BB1113*CB1113</f>
        <v>0.553571428571429</v>
      </c>
      <c r="BD1113" s="51" t="n">
        <f aca="false">IF(LEFT(Cockpit!$O$5,1)="A",H1113,IF(CH1113=1,(CK1113+CI1113)/2,IF(LEFT(Cockpit!$O$5,1)="B",(CK1113+BF1113)/2,MAX((CK1113+BF1113)/2,H1113))))</f>
        <v>2.5</v>
      </c>
      <c r="BE1113" s="50" t="n">
        <f aca="false">BD1113*G1113</f>
        <v>52.625</v>
      </c>
      <c r="BF1113" s="50" t="n">
        <f aca="false">ROUNDUP(CK1113+MAX(CL1113,2*(J1113/IF(CG1113&gt;0,CG1113,MAX(0.1,N(Cockpit!$O$6)))-CK1113)),0)</f>
        <v>5</v>
      </c>
      <c r="BG1113" s="51" t="n">
        <f aca="false">IF(BC1113&gt;0,J1113/BC1113,-1)</f>
        <v>5.41935483870968</v>
      </c>
      <c r="BH1113" s="51" t="n">
        <f aca="false">IF(AND(OR(CF1113="L1",CF1113="L23",CF1113="LIFT"),BC1113&gt;0),SUMIFS($BC$7:$BC$1843,$CF$7:$CF$1843,CF1113,$BG$7:$BG$1843,"&gt;"&amp;BG1113)+SUMIFS($BC$7:$BC$1843,$CF$7:$CF$1843,CF1113,$BG$7:$BG$1843,BG1113,$BW$7:$BW$1843,"&lt;="&amp;BW1113),"")</f>
        <v>3685.51190476191</v>
      </c>
      <c r="BI1113" s="58" t="n">
        <f aca="false">IF(BH1113="",0,MAX(0,MIN(1,(IF(CF1113="L1",Parameter!$H$5,IF(CF1113="L23",Parameter!$H$6+Parameter!$H$7,Parameter!$H$5+Parameter!$H$6+Parameter!$H$7))-(BH1113-BC1113))/BC1113)))</f>
        <v>1</v>
      </c>
      <c r="BJ1113" s="48" t="str">
        <f aca="false">IF(AI1113&lt;=0,"",IF(CF1113="Aussen","Aussenlager",IF(CF1113="-","Nicht im Lift",IF(AO1113&gt;=1,"Lift",IF(AO1113&lt;=0,"Aussenlager","teilweise")))))</f>
        <v>Lift</v>
      </c>
      <c r="BK1113" s="48" t="str">
        <f aca="false">IF(AS1113&lt;=0,"",IF(CF1113="Aussen","Aussenlager",IF(CF1113="-","Nicht im Lift",IF(AY1113&gt;=1,"Lift",IF(AY1113&lt;=0,"Aussenlager","teilweise")))))</f>
        <v>Lift</v>
      </c>
      <c r="BL1113" s="48" t="str">
        <f aca="false">IF(BC1113&lt;=0,"",IF(CF1113="Aussen","Aussenlager",IF(CF1113="-","Nicht im Lift",IF(BI1113&gt;=1,"Lift",IF(BI1113&lt;=0,"Aussenlager","teilweise")))))</f>
        <v>Lift</v>
      </c>
      <c r="BM1113" s="48" t="str">
        <f aca="false">IF(A1113="","",IF(BV1113=1,"Neu; ","")&amp;IF(AND(BV1113=0,BQ1113&lt;0),"negativer Bestand (Export "&amp;BQ1113&amp;"); ","")&amp;IF(J1113&lt;=0,"Kein Verbrauch; ","")&amp;IF(CQ1113&gt;0,"Lift "&amp;W1113&amp;" lt. Liftbericht (Fach "&amp;X1113&amp;" Stk); ",IF(CA1113=1,"Gebinde geschätzt ("&amp;T1113&amp;"); ",IF(BZ1113=1,"Lose – Tablare geschätzt; ","")))&amp;IF(H1113&gt;AV1113,"Überbestand "&amp;ROUND(H1113-AV1113,0)&amp;" Stk / CHF "&amp;ROUND((H1113-AV1113)*G1113,0)&amp;"; ","")&amp;IF(AND(CH1113=1,CI1113&lt;CJ1113),"MAX &lt; MB+LG; ","")&amp;IF(AND(CP1113&gt;0,CO1113*10&gt;CP1113),"zu hoch für Tablar; ","")&amp;IF(AND(BV1113=0,OR(CH1113=1,AA1113&lt;&gt;"",U1113&lt;&gt;"",V1113&lt;&gt;"",AB1113&lt;&gt;"")),"manuell übersteuert; ","")&amp;IF(AND(BZ1113=0,R1113=0),"Gebinde unbekannt / Stellmass fehlt; ","")&amp;IF(AND(BZ1113=0,N(V1113)&lt;=0,N(Q1113)&lt;=0),"Menge pro Gebinde fehlt (Ist = 1 Gebinde); ","")&amp;BU1113)</f>
        <v>negativer Bestand (Export -11); Überbestand 62 Stk / CHF 1305; Überbestand</v>
      </c>
      <c r="BN1113" s="48"/>
      <c r="BO1113" s="48"/>
      <c r="BP1113" s="55"/>
      <c r="BQ1113" s="50" t="n">
        <v>-11</v>
      </c>
      <c r="BR1113" s="50" t="n">
        <v>78</v>
      </c>
      <c r="BS1113" s="49" t="n">
        <v>-231.55</v>
      </c>
      <c r="BT1113" s="50" t="n">
        <v>3</v>
      </c>
      <c r="BU1113" s="48" t="s">
        <v>401</v>
      </c>
      <c r="BV1113" s="53" t="n">
        <v>0</v>
      </c>
      <c r="BW1113" s="53" t="n">
        <v>1113</v>
      </c>
      <c r="BX1113" s="48" t="str">
        <f aca="false">IF(U1113&lt;&gt;"",UPPER(TRIM(U1113)),IF(CA1113=1,UPPER(VLOOKUP(T1113,Parameter!$I$27:$K$29,2,0)),IF(P1113="","LOSE",P1113)))</f>
        <v>S21</v>
      </c>
      <c r="BY1113" s="50" t="n">
        <f aca="false">IF(BX1113="LOSE",1,IF(N(V1113)&gt;0,V1113,IF(CA1113=1,MAX(1,N(VLOOKUP(T1113,Parameter!$I$27:$K$29,3,0)),H1113,N(N1113)),IF(N(Q1113)&gt;0,Q1113,MAX(1,H1113)))))</f>
        <v>100</v>
      </c>
      <c r="BZ1113" s="53" t="n">
        <f aca="false">IF(BX1113="LOSE",1,0)</f>
        <v>0</v>
      </c>
      <c r="CA1113" s="53" t="n">
        <f aca="false">IF(AND(U1113="",OR(P1113="",P1113="LOSE"),T1113&lt;&gt;"",N(S1113)&lt;=0,ISNUMBER(MATCH(T1113,Parameter!$I$27:$I$29,0))),1,0)</f>
        <v>0</v>
      </c>
      <c r="CB1113" s="53" t="n">
        <f aca="false">IF(CQ1113&gt;0,INDEX(Parameter!$H$5:$H$7,W1113)/INDEX(Parameter!$E$5:$E$7,W1113),IF(AND(BZ1113=0,N(IFERROR(VLOOKUP(BX1113,'Gebinde-Kategorie'!$A$5:$N$45,14,0),0))&gt;0),VLOOKUP(BX1113,'Gebinde-Kategorie'!$A$5:$N$45,14,0)*10+Parameter!$M$23,Parameter!$M$24))</f>
        <v>155</v>
      </c>
      <c r="CC1113" s="48" t="str">
        <f aca="false">IF(AND(Parameter!$B$19="Ja",E1113&lt;&gt;"",ISNUMBER(MATCH(E1113,Parameter!$I$35:$I$52,0))),VLOOKUP(E1113,Parameter!$I$35:$J$52,2,0),IFERROR(VLOOKUP(D1113,Parameter!$A$35:$C$64,2,0),"Nein"))</f>
        <v>2+3</v>
      </c>
      <c r="CD1113" s="52" t="n">
        <f aca="false">IF(BZ1113=0,0,IF(N(S1113)&gt;0,S1113,IFERROR(VLOOKUP(D1113,Parameter!$A$35:$C$64,3,0)+0,0)))</f>
        <v>0</v>
      </c>
      <c r="CE1113" s="48" t="n">
        <f aca="false">IF(AA1113&lt;&gt;"",AA1113,Z1113)</f>
        <v>3</v>
      </c>
      <c r="CF1113" s="48" t="str">
        <f aca="false">IF(OR(CE1113=1,CE1113=2,CE1113=3),IF(Parameter!$E$27="Ja","LIFT",IF(CE1113=1,"L1","L23")),IF(CE1113="Aussen","Aussen","-"))</f>
        <v>LIFT</v>
      </c>
      <c r="CG1113" s="59" t="n">
        <f aca="false">IF(N(AB1113)&gt;0,AB1113,0)</f>
        <v>0</v>
      </c>
      <c r="CH1113" s="53" t="n">
        <f aca="false">IF(ISNUMBER(AE1113),1,0)</f>
        <v>0</v>
      </c>
      <c r="CI1113" s="50" t="n">
        <f aca="false">N(AE1113)</f>
        <v>0</v>
      </c>
      <c r="CJ1113" s="50" t="n">
        <f aca="false">N(M1113)+N(N1113)</f>
        <v>5</v>
      </c>
      <c r="CK1113" s="50" t="n">
        <f aca="false">N(M1113)</f>
        <v>0</v>
      </c>
      <c r="CL1113" s="50" t="n">
        <f aca="false">N(N1113)</f>
        <v>5</v>
      </c>
      <c r="CM1113" s="50" t="n">
        <f aca="false">ROUNDUP(H1113/BY1113,0)</f>
        <v>1</v>
      </c>
      <c r="CN1113" s="50" t="n">
        <f aca="false">ROUNDUP(CI1113/BY1113,0)</f>
        <v>0</v>
      </c>
      <c r="CO1113" s="53" t="n">
        <f aca="false">IF(BZ1113=1,0,IFERROR(VLOOKUP(BX1113,'Gebinde-Kategorie'!$A$5:$N$45,5,0)+0,0))</f>
        <v>8</v>
      </c>
      <c r="CP1113" s="53" t="n">
        <f aca="false">IFERROR(IF(OR(CE1113=1,CE1113=2,CE1113=3),N(INDEX(Parameter!$I$5:$I$7,CE1113)),0),0)</f>
        <v>0</v>
      </c>
      <c r="CQ1113" s="52" t="n">
        <f aca="false">IF(AND(Parameter!$B$21="Ja",ISNUMBER(W1113),N(X1113)&gt;0),IFERROR(N(INDEX(Parameter!$L$5:$L$7,W1113))*INDEX(Parameter!$E$5:$E$7,W1113)*X1113/SUMIFS($X$7:$X$1843,$W$7:$W$1843,W1113),0),0)</f>
        <v>0</v>
      </c>
    </row>
    <row r="1114" customFormat="false" ht="15" hidden="false" customHeight="false" outlineLevel="0" collapsed="false">
      <c r="A1114" s="48" t="s">
        <v>2030</v>
      </c>
      <c r="B1114" s="48" t="s">
        <v>2031</v>
      </c>
      <c r="C1114" s="48" t="s">
        <v>173</v>
      </c>
      <c r="D1114" s="48" t="s">
        <v>193</v>
      </c>
      <c r="E1114" s="48"/>
      <c r="F1114" s="48" t="s">
        <v>227</v>
      </c>
      <c r="G1114" s="49" t="n">
        <v>116.54</v>
      </c>
      <c r="H1114" s="50" t="n">
        <f aca="false">MAX(0,IF(AND(Parameter!$B$21="Ja",ISNUMBER(Y1114)),Y1114,IF(Parameter!$B$20="Jahresanfang 2025 + Export",BR1114+BQ1114,BQ1114)))</f>
        <v>8</v>
      </c>
      <c r="I1114" s="50" t="n">
        <f aca="false">H1114*G1114</f>
        <v>932.32</v>
      </c>
      <c r="J1114" s="50" t="n">
        <f aca="false">BT1114*Parameter!$B$18</f>
        <v>0</v>
      </c>
      <c r="K1114" s="51" t="n">
        <v>10</v>
      </c>
      <c r="L1114" s="52" t="n">
        <v>0</v>
      </c>
      <c r="M1114" s="50" t="n">
        <v>0</v>
      </c>
      <c r="N1114" s="50" t="n">
        <v>1</v>
      </c>
      <c r="O1114" s="53" t="n">
        <v>28</v>
      </c>
      <c r="P1114" s="48" t="s">
        <v>311</v>
      </c>
      <c r="Q1114" s="50" t="n">
        <v>8</v>
      </c>
      <c r="R1114" s="53" t="n">
        <f aca="false">IF(BZ1114=1,0,IFERROR(VLOOKUP(BX1114,'Gebinde-Kategorie'!$A$5:$N$45,13,0)+0,0))</f>
        <v>26</v>
      </c>
      <c r="S1114" s="54"/>
      <c r="T1114" s="55"/>
      <c r="U1114" s="55"/>
      <c r="V1114" s="55"/>
      <c r="W1114" s="48"/>
      <c r="X1114" s="50"/>
      <c r="Y1114" s="50"/>
      <c r="Z1114" s="48" t="n">
        <f aca="false">IF(A1114="","",IF(AND(Parameter!$B$21="Ja",ISNUMBER(W1114)),W1114,IF(CC1114="2+3",IF(ISNUMBER(SEARCH("grosser Artikel",BU1114)),2,IFERROR(VLOOKUP(BX1114,Parameter!$F$35:$G$64,2,0),2)),IF(OR(CC1114="Nein",CC1114=""),"-",CC1114))))</f>
        <v>3</v>
      </c>
      <c r="AA1114" s="55"/>
      <c r="AB1114" s="56"/>
      <c r="AC1114" s="50" t="n">
        <f aca="false">AV1114</f>
        <v>1</v>
      </c>
      <c r="AD1114" s="50" t="n">
        <f aca="false">MAX(AV1114,H1114)</f>
        <v>8</v>
      </c>
      <c r="AE1114" s="57"/>
      <c r="AF1114" s="50" t="n">
        <f aca="false">IF(LEFT(Cockpit!$C$5,1)="A",H1114,IF(Parameter!$E$30="MAX-Bestand",IF(CH1114=1,CI1114,IF(LEFT(Cockpit!$C$5,1)="B",AL1114,MAX(AL1114,H1114))),ROUNDUP(AJ1114,0)))</f>
        <v>8</v>
      </c>
      <c r="AG1114" s="50" t="n">
        <f aca="false">IF(BZ1114=1,0,ROUNDUP(AF1114/BY1114,0))</f>
        <v>1</v>
      </c>
      <c r="AH1114" s="52" t="n">
        <f aca="false">IF(CQ1114&gt;0,CQ1114*MAX(1,AF1114/X1114),IF(BZ1114=1,IF(AF1114&lt;=0,0,CD1114*MAX(1,IF(H1114&gt;0,AF1114/H1114,1))),IF(R1114&gt;0,AG1114/R1114,0))/MAX(0.1,N(Parameter!$M$21)))</f>
        <v>0.0384615384615385</v>
      </c>
      <c r="AI1114" s="50" t="n">
        <f aca="false">AH1114*CB1114</f>
        <v>5.96153846153846</v>
      </c>
      <c r="AJ1114" s="51" t="n">
        <f aca="false">IF(LEFT(Cockpit!$C$5,1)="A",H1114,IF(CH1114=1,(CK1114+CI1114)/2,IF(LEFT(Cockpit!$C$5,1)="B",(CK1114+AL1114)/2,MAX((CK1114+AL1114)/2,H1114))))</f>
        <v>8</v>
      </c>
      <c r="AK1114" s="50" t="n">
        <f aca="false">AJ1114*G1114</f>
        <v>932.32</v>
      </c>
      <c r="AL1114" s="50" t="n">
        <f aca="false">ROUNDUP(CK1114+MAX(CL1114,2*(J1114/IF(CG1114&gt;0,CG1114,MAX(0.1,N(Cockpit!$C$6)))-CK1114)),0)</f>
        <v>1</v>
      </c>
      <c r="AM1114" s="51" t="n">
        <f aca="false">IF(AI1114&gt;0,J1114/AI1114,-1)</f>
        <v>0</v>
      </c>
      <c r="AN1114" s="51" t="n">
        <f aca="false">IF(AND(OR(CF1114="L1",CF1114="L23",CF1114="LIFT"),AI1114&gt;0),SUMIFS($AI$7:$AI$1843,$CF$7:$CF$1843,CF1114,$AM$7:$AM$1843,"&gt;"&amp;AM1114)+SUMIFS($AI$7:$AI$1843,$CF$7:$CF$1843,CF1114,$AM$7:$AM$1843,AM1114,$BW$7:$BW$1843,"&lt;="&amp;BW1114),"")</f>
        <v>29141.9475124687</v>
      </c>
      <c r="AO1114" s="58" t="n">
        <f aca="false">IF(AN1114="",0,MAX(0,MIN(1,(IF(CF1114="L1",Parameter!$H$5,IF(CF1114="L23",Parameter!$H$6+Parameter!$H$7,Parameter!$H$5+Parameter!$H$6+Parameter!$H$7))-(AN1114-AI1114))/AI1114)))</f>
        <v>1</v>
      </c>
      <c r="AP1114" s="50" t="n">
        <f aca="false">IF(LEFT(Cockpit!$I$5,1)="A",H1114,IF(Parameter!$E$30="MAX-Bestand",IF(CH1114=1,CI1114,IF(LEFT(Cockpit!$I$5,1)="B",AV1114,MAX(AV1114,H1114))),ROUNDUP(AT1114,0)))</f>
        <v>8</v>
      </c>
      <c r="AQ1114" s="50" t="n">
        <f aca="false">IF(BZ1114=1,0,ROUNDUP(AP1114/BY1114,0))</f>
        <v>1</v>
      </c>
      <c r="AR1114" s="52" t="n">
        <f aca="false">IF(CQ1114&gt;0,CQ1114*MAX(1,AP1114/X1114),IF(BZ1114=1,IF(AP1114&lt;=0,0,CD1114*MAX(1,IF(H1114&gt;0,AP1114/H1114,1))),IF(R1114&gt;0,AQ1114/R1114,0))/MAX(0.1,N(Parameter!$M$21)))</f>
        <v>0.0384615384615385</v>
      </c>
      <c r="AS1114" s="50" t="n">
        <f aca="false">AR1114*CB1114</f>
        <v>5.96153846153846</v>
      </c>
      <c r="AT1114" s="51" t="n">
        <f aca="false">IF(LEFT(Cockpit!$I$5,1)="A",H1114,IF(CH1114=1,(CK1114+CI1114)/2,IF(LEFT(Cockpit!$I$5,1)="B",(CK1114+AV1114)/2,MAX((CK1114+AV1114)/2,H1114))))</f>
        <v>8</v>
      </c>
      <c r="AU1114" s="50" t="n">
        <f aca="false">AT1114*G1114</f>
        <v>932.32</v>
      </c>
      <c r="AV1114" s="50" t="n">
        <f aca="false">ROUNDUP(CK1114+MAX(CL1114,2*(J1114/IF(CG1114&gt;0,CG1114,MAX(0.1,N(Cockpit!$I$6)))-CK1114)),0)</f>
        <v>1</v>
      </c>
      <c r="AW1114" s="51" t="n">
        <f aca="false">IF(AS1114&gt;0,J1114/AS1114,-1)</f>
        <v>0</v>
      </c>
      <c r="AX1114" s="51" t="n">
        <f aca="false">IF(AND(OR(CF1114="L1",CF1114="L23",CF1114="LIFT"),AS1114&gt;0),SUMIFS($AS$7:$AS$1843,$CF$7:$CF$1843,CF1114,$AW$7:$AW$1843,"&gt;"&amp;AW1114)+SUMIFS($AS$7:$AS$1843,$CF$7:$CF$1843,CF1114,$AW$7:$AW$1843,AW1114,$BW$7:$BW$1843,"&lt;="&amp;BW1114),"")</f>
        <v>34862.2042124542</v>
      </c>
      <c r="AY1114" s="58" t="n">
        <f aca="false">IF(AX1114="",0,MAX(0,MIN(1,(IF(CF1114="L1",Parameter!$H$5,IF(CF1114="L23",Parameter!$H$6+Parameter!$H$7,Parameter!$H$5+Parameter!$H$6+Parameter!$H$7))-(AX1114-AS1114))/AS1114)))</f>
        <v>1</v>
      </c>
      <c r="AZ1114" s="50" t="n">
        <f aca="false">IF(LEFT(Cockpit!$O$5,1)="A",H1114,IF(Parameter!$E$30="MAX-Bestand",IF(CH1114=1,CI1114,IF(LEFT(Cockpit!$O$5,1)="B",BF1114,MAX(BF1114,H1114))),ROUNDUP(BD1114,0)))</f>
        <v>1</v>
      </c>
      <c r="BA1114" s="50" t="n">
        <f aca="false">IF(BZ1114=1,0,ROUNDUP(AZ1114/BY1114,0))</f>
        <v>1</v>
      </c>
      <c r="BB1114" s="52" t="n">
        <f aca="false">IF(CQ1114&gt;0,CQ1114*MAX(1,AZ1114/X1114),IF(BZ1114=1,IF(AZ1114&lt;=0,0,CD1114*MAX(1,IF(H1114&gt;0,AZ1114/H1114,1))),IF(R1114&gt;0,BA1114/R1114,0))/MAX(0.1,N(Parameter!$M$21)))</f>
        <v>0.0384615384615385</v>
      </c>
      <c r="BC1114" s="50" t="n">
        <f aca="false">BB1114*CB1114</f>
        <v>5.96153846153846</v>
      </c>
      <c r="BD1114" s="51" t="n">
        <f aca="false">IF(LEFT(Cockpit!$O$5,1)="A",H1114,IF(CH1114=1,(CK1114+CI1114)/2,IF(LEFT(Cockpit!$O$5,1)="B",(CK1114+BF1114)/2,MAX((CK1114+BF1114)/2,H1114))))</f>
        <v>0.5</v>
      </c>
      <c r="BE1114" s="50" t="n">
        <f aca="false">BD1114*G1114</f>
        <v>58.27</v>
      </c>
      <c r="BF1114" s="50" t="n">
        <f aca="false">ROUNDUP(CK1114+MAX(CL1114,2*(J1114/IF(CG1114&gt;0,CG1114,MAX(0.1,N(Cockpit!$O$6)))-CK1114)),0)</f>
        <v>1</v>
      </c>
      <c r="BG1114" s="51" t="n">
        <f aca="false">IF(BC1114&gt;0,J1114/BC1114,-1)</f>
        <v>0</v>
      </c>
      <c r="BH1114" s="51" t="n">
        <f aca="false">IF(AND(OR(CF1114="L1",CF1114="L23",CF1114="LIFT"),BC1114&gt;0),SUMIFS($BC$7:$BC$1843,$CF$7:$CF$1843,CF1114,$BG$7:$BG$1843,"&gt;"&amp;BG1114)+SUMIFS($BC$7:$BC$1843,$CF$7:$CF$1843,CF1114,$BG$7:$BG$1843,BG1114,$BW$7:$BW$1843,"&lt;="&amp;BW1114),"")</f>
        <v>28847.510872602</v>
      </c>
      <c r="BI1114" s="58" t="n">
        <f aca="false">IF(BH1114="",0,MAX(0,MIN(1,(IF(CF1114="L1",Parameter!$H$5,IF(CF1114="L23",Parameter!$H$6+Parameter!$H$7,Parameter!$H$5+Parameter!$H$6+Parameter!$H$7))-(BH1114-BC1114))/BC1114)))</f>
        <v>1</v>
      </c>
      <c r="BJ1114" s="48" t="str">
        <f aca="false">IF(AI1114&lt;=0,"",IF(CF1114="Aussen","Aussenlager",IF(CF1114="-","Nicht im Lift",IF(AO1114&gt;=1,"Lift",IF(AO1114&lt;=0,"Aussenlager","teilweise")))))</f>
        <v>Lift</v>
      </c>
      <c r="BK1114" s="48" t="str">
        <f aca="false">IF(AS1114&lt;=0,"",IF(CF1114="Aussen","Aussenlager",IF(CF1114="-","Nicht im Lift",IF(AY1114&gt;=1,"Lift",IF(AY1114&lt;=0,"Aussenlager","teilweise")))))</f>
        <v>Lift</v>
      </c>
      <c r="BL1114" s="48" t="str">
        <f aca="false">IF(BC1114&lt;=0,"",IF(CF1114="Aussen","Aussenlager",IF(CF1114="-","Nicht im Lift",IF(BI1114&gt;=1,"Lift",IF(BI1114&lt;=0,"Aussenlager","teilweise")))))</f>
        <v>Lift</v>
      </c>
      <c r="BM1114" s="48" t="str">
        <f aca="false">IF(A1114="","",IF(BV1114=1,"Neu; ","")&amp;IF(AND(BV1114=0,BQ1114&lt;0),"negativer Bestand (Export "&amp;BQ1114&amp;"); ","")&amp;IF(J1114&lt;=0,"Kein Verbrauch; ","")&amp;IF(CQ1114&gt;0,"Lift "&amp;W1114&amp;" lt. Liftbericht (Fach "&amp;X1114&amp;" Stk); ",IF(CA1114=1,"Gebinde geschätzt ("&amp;T1114&amp;"); ",IF(BZ1114=1,"Lose – Tablare geschätzt; ","")))&amp;IF(H1114&gt;AV1114,"Überbestand "&amp;ROUND(H1114-AV1114,0)&amp;" Stk / CHF "&amp;ROUND((H1114-AV1114)*G1114,0)&amp;"; ","")&amp;IF(AND(CH1114=1,CI1114&lt;CJ1114),"MAX &lt; MB+LG; ","")&amp;IF(AND(CP1114&gt;0,CO1114*10&gt;CP1114),"zu hoch für Tablar; ","")&amp;IF(AND(BV1114=0,OR(CH1114=1,AA1114&lt;&gt;"",U1114&lt;&gt;"",V1114&lt;&gt;"",AB1114&lt;&gt;"")),"manuell übersteuert; ","")&amp;IF(AND(BZ1114=0,R1114=0),"Gebinde unbekannt / Stellmass fehlt; ","")&amp;IF(AND(BZ1114=0,N(V1114)&lt;=0,N(Q1114)&lt;=0),"Menge pro Gebinde fehlt (Ist = 1 Gebinde); ","")&amp;BU1114)</f>
        <v>negativer Bestand (Export -2); Kein Verbrauch; Überbestand 7 Stk / CHF 816; Verb.Lager</v>
      </c>
      <c r="BN1114" s="48"/>
      <c r="BO1114" s="48"/>
      <c r="BP1114" s="55"/>
      <c r="BQ1114" s="50" t="n">
        <v>-2</v>
      </c>
      <c r="BR1114" s="50" t="n">
        <v>10</v>
      </c>
      <c r="BS1114" s="49" t="n">
        <v>-233.08</v>
      </c>
      <c r="BT1114" s="50" t="n">
        <v>0</v>
      </c>
      <c r="BU1114" s="48" t="s">
        <v>1039</v>
      </c>
      <c r="BV1114" s="53" t="n">
        <v>0</v>
      </c>
      <c r="BW1114" s="53" t="n">
        <v>1114</v>
      </c>
      <c r="BX1114" s="48" t="str">
        <f aca="false">IF(U1114&lt;&gt;"",UPPER(TRIM(U1114)),IF(CA1114=1,UPPER(VLOOKUP(T1114,Parameter!$I$27:$K$29,2,0)),IF(P1114="","LOSE",P1114)))</f>
        <v>S51</v>
      </c>
      <c r="BY1114" s="50" t="n">
        <f aca="false">IF(BX1114="LOSE",1,IF(N(V1114)&gt;0,V1114,IF(CA1114=1,MAX(1,N(VLOOKUP(T1114,Parameter!$I$27:$K$29,3,0)),H1114,N(N1114)),IF(N(Q1114)&gt;0,Q1114,MAX(1,H1114)))))</f>
        <v>8</v>
      </c>
      <c r="BZ1114" s="53" t="n">
        <f aca="false">IF(BX1114="LOSE",1,0)</f>
        <v>0</v>
      </c>
      <c r="CA1114" s="53" t="n">
        <f aca="false">IF(AND(U1114="",OR(P1114="",P1114="LOSE"),T1114&lt;&gt;"",N(S1114)&lt;=0,ISNUMBER(MATCH(T1114,Parameter!$I$27:$I$29,0))),1,0)</f>
        <v>0</v>
      </c>
      <c r="CB1114" s="53" t="n">
        <f aca="false">IF(CQ1114&gt;0,INDEX(Parameter!$H$5:$H$7,W1114)/INDEX(Parameter!$E$5:$E$7,W1114),IF(AND(BZ1114=0,N(IFERROR(VLOOKUP(BX1114,'Gebinde-Kategorie'!$A$5:$N$45,14,0),0))&gt;0),VLOOKUP(BX1114,'Gebinde-Kategorie'!$A$5:$N$45,14,0)*10+Parameter!$M$23,Parameter!$M$24))</f>
        <v>155</v>
      </c>
      <c r="CC1114" s="48" t="str">
        <f aca="false">IF(AND(Parameter!$B$19="Ja",E1114&lt;&gt;"",ISNUMBER(MATCH(E1114,Parameter!$I$35:$I$52,0))),VLOOKUP(E1114,Parameter!$I$35:$J$52,2,0),IFERROR(VLOOKUP(D1114,Parameter!$A$35:$C$64,2,0),"Nein"))</f>
        <v>2+3</v>
      </c>
      <c r="CD1114" s="52" t="n">
        <f aca="false">IF(BZ1114=0,0,IF(N(S1114)&gt;0,S1114,IFERROR(VLOOKUP(D1114,Parameter!$A$35:$C$64,3,0)+0,0)))</f>
        <v>0</v>
      </c>
      <c r="CE1114" s="48" t="n">
        <f aca="false">IF(AA1114&lt;&gt;"",AA1114,Z1114)</f>
        <v>3</v>
      </c>
      <c r="CF1114" s="48" t="str">
        <f aca="false">IF(OR(CE1114=1,CE1114=2,CE1114=3),IF(Parameter!$E$27="Ja","LIFT",IF(CE1114=1,"L1","L23")),IF(CE1114="Aussen","Aussen","-"))</f>
        <v>LIFT</v>
      </c>
      <c r="CG1114" s="59" t="n">
        <f aca="false">IF(N(AB1114)&gt;0,AB1114,0)</f>
        <v>0</v>
      </c>
      <c r="CH1114" s="53" t="n">
        <f aca="false">IF(ISNUMBER(AE1114),1,0)</f>
        <v>0</v>
      </c>
      <c r="CI1114" s="50" t="n">
        <f aca="false">N(AE1114)</f>
        <v>0</v>
      </c>
      <c r="CJ1114" s="50" t="n">
        <f aca="false">N(M1114)+N(N1114)</f>
        <v>1</v>
      </c>
      <c r="CK1114" s="50" t="n">
        <f aca="false">N(M1114)</f>
        <v>0</v>
      </c>
      <c r="CL1114" s="50" t="n">
        <f aca="false">N(N1114)</f>
        <v>1</v>
      </c>
      <c r="CM1114" s="50" t="n">
        <f aca="false">ROUNDUP(H1114/BY1114,0)</f>
        <v>1</v>
      </c>
      <c r="CN1114" s="50" t="n">
        <f aca="false">ROUNDUP(CI1114/BY1114,0)</f>
        <v>0</v>
      </c>
      <c r="CO1114" s="53" t="n">
        <f aca="false">IF(BZ1114=1,0,IFERROR(VLOOKUP(BX1114,'Gebinde-Kategorie'!$A$5:$N$45,5,0)+0,0))</f>
        <v>11</v>
      </c>
      <c r="CP1114" s="53" t="n">
        <f aca="false">IFERROR(IF(OR(CE1114=1,CE1114=2,CE1114=3),N(INDEX(Parameter!$I$5:$I$7,CE1114)),0),0)</f>
        <v>0</v>
      </c>
      <c r="CQ1114" s="52" t="n">
        <f aca="false">IF(AND(Parameter!$B$21="Ja",ISNUMBER(W1114),N(X1114)&gt;0),IFERROR(N(INDEX(Parameter!$L$5:$L$7,W1114))*INDEX(Parameter!$E$5:$E$7,W1114)*X1114/SUMIFS($X$7:$X$1843,$W$7:$W$1843,W1114),0),0)</f>
        <v>0</v>
      </c>
    </row>
    <row r="1115" customFormat="false" ht="15" hidden="false" customHeight="false" outlineLevel="0" collapsed="false">
      <c r="A1115" s="48" t="s">
        <v>2032</v>
      </c>
      <c r="B1115" s="48" t="s">
        <v>2033</v>
      </c>
      <c r="C1115" s="48" t="s">
        <v>173</v>
      </c>
      <c r="D1115" s="48" t="s">
        <v>182</v>
      </c>
      <c r="E1115" s="48"/>
      <c r="F1115" s="48" t="s">
        <v>227</v>
      </c>
      <c r="G1115" s="49" t="n">
        <v>12.3</v>
      </c>
      <c r="H1115" s="50" t="n">
        <f aca="false">MAX(0,IF(AND(Parameter!$B$21="Ja",ISNUMBER(Y1115)),Y1115,IF(Parameter!$B$20="Jahresanfang 2025 + Export",BR1115+BQ1115,BQ1115)))</f>
        <v>0</v>
      </c>
      <c r="I1115" s="50" t="n">
        <f aca="false">H1115*G1115</f>
        <v>0</v>
      </c>
      <c r="J1115" s="50" t="n">
        <f aca="false">BT1115*Parameter!$B$18</f>
        <v>0</v>
      </c>
      <c r="K1115" s="51" t="n">
        <v>9.5</v>
      </c>
      <c r="L1115" s="52" t="n">
        <v>0</v>
      </c>
      <c r="M1115" s="50" t="n">
        <v>0</v>
      </c>
      <c r="N1115" s="50" t="n">
        <v>1</v>
      </c>
      <c r="O1115" s="53" t="n">
        <v>42</v>
      </c>
      <c r="P1115" s="48" t="s">
        <v>177</v>
      </c>
      <c r="Q1115" s="50"/>
      <c r="R1115" s="53" t="n">
        <f aca="false">IF(BZ1115=1,0,IFERROR(VLOOKUP(BX1115,'Gebinde-Kategorie'!$A$5:$N$45,13,0)+0,0))</f>
        <v>4</v>
      </c>
      <c r="S1115" s="54"/>
      <c r="T1115" s="55" t="s">
        <v>198</v>
      </c>
      <c r="U1115" s="55"/>
      <c r="V1115" s="55"/>
      <c r="W1115" s="48"/>
      <c r="X1115" s="50"/>
      <c r="Y1115" s="50"/>
      <c r="Z1115" s="48" t="n">
        <f aca="false">IF(A1115="","",IF(AND(Parameter!$B$21="Ja",ISNUMBER(W1115)),W1115,IF(CC1115="2+3",IF(ISNUMBER(SEARCH("grosser Artikel",BU1115)),2,IFERROR(VLOOKUP(BX1115,Parameter!$F$35:$G$64,2,0),2)),IF(OR(CC1115="Nein",CC1115=""),"-",CC1115))))</f>
        <v>2</v>
      </c>
      <c r="AA1115" s="55"/>
      <c r="AB1115" s="56"/>
      <c r="AC1115" s="50" t="n">
        <f aca="false">AV1115</f>
        <v>1</v>
      </c>
      <c r="AD1115" s="50" t="n">
        <f aca="false">MAX(AV1115,H1115)</f>
        <v>1</v>
      </c>
      <c r="AE1115" s="57"/>
      <c r="AF1115" s="50" t="n">
        <f aca="false">IF(LEFT(Cockpit!$C$5,1)="A",H1115,IF(Parameter!$E$30="MAX-Bestand",IF(CH1115=1,CI1115,IF(LEFT(Cockpit!$C$5,1)="B",AL1115,MAX(AL1115,H1115))),ROUNDUP(AJ1115,0)))</f>
        <v>0</v>
      </c>
      <c r="AG1115" s="50" t="n">
        <f aca="false">IF(BZ1115=1,0,ROUNDUP(AF1115/BY1115,0))</f>
        <v>0</v>
      </c>
      <c r="AH1115" s="52" t="n">
        <f aca="false">IF(CQ1115&gt;0,CQ1115*MAX(1,AF1115/X1115),IF(BZ1115=1,IF(AF1115&lt;=0,0,CD1115*MAX(1,IF(H1115&gt;0,AF1115/H1115,1))),IF(R1115&gt;0,AG1115/R1115,0))/MAX(0.1,N(Parameter!$M$21)))</f>
        <v>0</v>
      </c>
      <c r="AI1115" s="50" t="n">
        <f aca="false">AH1115*CB1115</f>
        <v>0</v>
      </c>
      <c r="AJ1115" s="51" t="n">
        <f aca="false">IF(LEFT(Cockpit!$C$5,1)="A",H1115,IF(CH1115=1,(CK1115+CI1115)/2,IF(LEFT(Cockpit!$C$5,1)="B",(CK1115+AL1115)/2,MAX((CK1115+AL1115)/2,H1115))))</f>
        <v>0</v>
      </c>
      <c r="AK1115" s="50" t="n">
        <f aca="false">AJ1115*G1115</f>
        <v>0</v>
      </c>
      <c r="AL1115" s="50" t="n">
        <f aca="false">ROUNDUP(CK1115+MAX(CL1115,2*(J1115/IF(CG1115&gt;0,CG1115,MAX(0.1,N(Cockpit!$C$6)))-CK1115)),0)</f>
        <v>1</v>
      </c>
      <c r="AM1115" s="51" t="n">
        <f aca="false">IF(AI1115&gt;0,J1115/AI1115,-1)</f>
        <v>-1</v>
      </c>
      <c r="AN1115" s="51" t="str">
        <f aca="false">IF(AND(OR(CF1115="L1",CF1115="L23",CF1115="LIFT"),AI1115&gt;0),SUMIFS($AI$7:$AI$1843,$CF$7:$CF$1843,CF1115,$AM$7:$AM$1843,"&gt;"&amp;AM1115)+SUMIFS($AI$7:$AI$1843,$CF$7:$CF$1843,CF1115,$AM$7:$AM$1843,AM1115,$BW$7:$BW$1843,"&lt;="&amp;BW1115),"")</f>
        <v/>
      </c>
      <c r="AO1115" s="58" t="n">
        <f aca="false">IF(AN1115="",0,MAX(0,MIN(1,(IF(CF1115="L1",Parameter!$H$5,IF(CF1115="L23",Parameter!$H$6+Parameter!$H$7,Parameter!$H$5+Parameter!$H$6+Parameter!$H$7))-(AN1115-AI1115))/AI1115)))</f>
        <v>0</v>
      </c>
      <c r="AP1115" s="50" t="n">
        <f aca="false">IF(LEFT(Cockpit!$I$5,1)="A",H1115,IF(Parameter!$E$30="MAX-Bestand",IF(CH1115=1,CI1115,IF(LEFT(Cockpit!$I$5,1)="B",AV1115,MAX(AV1115,H1115))),ROUNDUP(AT1115,0)))</f>
        <v>1</v>
      </c>
      <c r="AQ1115" s="50" t="n">
        <f aca="false">IF(BZ1115=1,0,ROUNDUP(AP1115/BY1115,0))</f>
        <v>1</v>
      </c>
      <c r="AR1115" s="52" t="n">
        <f aca="false">IF(CQ1115&gt;0,CQ1115*MAX(1,AP1115/X1115),IF(BZ1115=1,IF(AP1115&lt;=0,0,CD1115*MAX(1,IF(H1115&gt;0,AP1115/H1115,1))),IF(R1115&gt;0,AQ1115/R1115,0))/MAX(0.1,N(Parameter!$M$21)))</f>
        <v>0.25</v>
      </c>
      <c r="AS1115" s="50" t="n">
        <f aca="false">AR1115*CB1115</f>
        <v>58.75</v>
      </c>
      <c r="AT1115" s="51" t="n">
        <f aca="false">IF(LEFT(Cockpit!$I$5,1)="A",H1115,IF(CH1115=1,(CK1115+CI1115)/2,IF(LEFT(Cockpit!$I$5,1)="B",(CK1115+AV1115)/2,MAX((CK1115+AV1115)/2,H1115))))</f>
        <v>0.5</v>
      </c>
      <c r="AU1115" s="50" t="n">
        <f aca="false">AT1115*G1115</f>
        <v>6.15</v>
      </c>
      <c r="AV1115" s="50" t="n">
        <f aca="false">ROUNDUP(CK1115+MAX(CL1115,2*(J1115/IF(CG1115&gt;0,CG1115,MAX(0.1,N(Cockpit!$I$6)))-CK1115)),0)</f>
        <v>1</v>
      </c>
      <c r="AW1115" s="51" t="n">
        <f aca="false">IF(AS1115&gt;0,J1115/AS1115,-1)</f>
        <v>0</v>
      </c>
      <c r="AX1115" s="51" t="n">
        <f aca="false">IF(AND(OR(CF1115="L1",CF1115="L23",CF1115="LIFT"),AS1115&gt;0),SUMIFS($AS$7:$AS$1843,$CF$7:$CF$1843,CF1115,$AW$7:$AW$1843,"&gt;"&amp;AW1115)+SUMIFS($AS$7:$AS$1843,$CF$7:$CF$1843,CF1115,$AW$7:$AW$1843,AW1115,$BW$7:$BW$1843,"&lt;="&amp;BW1115),"")</f>
        <v>34920.9542124542</v>
      </c>
      <c r="AY1115" s="58" t="n">
        <f aca="false">IF(AX1115="",0,MAX(0,MIN(1,(IF(CF1115="L1",Parameter!$H$5,IF(CF1115="L23",Parameter!$H$6+Parameter!$H$7,Parameter!$H$5+Parameter!$H$6+Parameter!$H$7))-(AX1115-AS1115))/AS1115)))</f>
        <v>1</v>
      </c>
      <c r="AZ1115" s="50" t="n">
        <f aca="false">IF(LEFT(Cockpit!$O$5,1)="A",H1115,IF(Parameter!$E$30="MAX-Bestand",IF(CH1115=1,CI1115,IF(LEFT(Cockpit!$O$5,1)="B",BF1115,MAX(BF1115,H1115))),ROUNDUP(BD1115,0)))</f>
        <v>1</v>
      </c>
      <c r="BA1115" s="50" t="n">
        <f aca="false">IF(BZ1115=1,0,ROUNDUP(AZ1115/BY1115,0))</f>
        <v>1</v>
      </c>
      <c r="BB1115" s="52" t="n">
        <f aca="false">IF(CQ1115&gt;0,CQ1115*MAX(1,AZ1115/X1115),IF(BZ1115=1,IF(AZ1115&lt;=0,0,CD1115*MAX(1,IF(H1115&gt;0,AZ1115/H1115,1))),IF(R1115&gt;0,BA1115/R1115,0))/MAX(0.1,N(Parameter!$M$21)))</f>
        <v>0.25</v>
      </c>
      <c r="BC1115" s="50" t="n">
        <f aca="false">BB1115*CB1115</f>
        <v>58.75</v>
      </c>
      <c r="BD1115" s="51" t="n">
        <f aca="false">IF(LEFT(Cockpit!$O$5,1)="A",H1115,IF(CH1115=1,(CK1115+CI1115)/2,IF(LEFT(Cockpit!$O$5,1)="B",(CK1115+BF1115)/2,MAX((CK1115+BF1115)/2,H1115))))</f>
        <v>0.5</v>
      </c>
      <c r="BE1115" s="50" t="n">
        <f aca="false">BD1115*G1115</f>
        <v>6.15</v>
      </c>
      <c r="BF1115" s="50" t="n">
        <f aca="false">ROUNDUP(CK1115+MAX(CL1115,2*(J1115/IF(CG1115&gt;0,CG1115,MAX(0.1,N(Cockpit!$O$6)))-CK1115)),0)</f>
        <v>1</v>
      </c>
      <c r="BG1115" s="51" t="n">
        <f aca="false">IF(BC1115&gt;0,J1115/BC1115,-1)</f>
        <v>0</v>
      </c>
      <c r="BH1115" s="51" t="n">
        <f aca="false">IF(AND(OR(CF1115="L1",CF1115="L23",CF1115="LIFT"),BC1115&gt;0),SUMIFS($BC$7:$BC$1843,$CF$7:$CF$1843,CF1115,$BG$7:$BG$1843,"&gt;"&amp;BG1115)+SUMIFS($BC$7:$BC$1843,$CF$7:$CF$1843,CF1115,$BG$7:$BG$1843,BG1115,$BW$7:$BW$1843,"&lt;="&amp;BW1115),"")</f>
        <v>28906.260872602</v>
      </c>
      <c r="BI1115" s="58" t="n">
        <f aca="false">IF(BH1115="",0,MAX(0,MIN(1,(IF(CF1115="L1",Parameter!$H$5,IF(CF1115="L23",Parameter!$H$6+Parameter!$H$7,Parameter!$H$5+Parameter!$H$6+Parameter!$H$7))-(BH1115-BC1115))/BC1115)))</f>
        <v>1</v>
      </c>
      <c r="BJ1115" s="48" t="str">
        <f aca="false">IF(AI1115&lt;=0,"",IF(CF1115="Aussen","Aussenlager",IF(CF1115="-","Nicht im Lift",IF(AO1115&gt;=1,"Lift",IF(AO1115&lt;=0,"Aussenlager","teilweise")))))</f>
        <v/>
      </c>
      <c r="BK1115" s="48" t="str">
        <f aca="false">IF(AS1115&lt;=0,"",IF(CF1115="Aussen","Aussenlager",IF(CF1115="-","Nicht im Lift",IF(AY1115&gt;=1,"Lift",IF(AY1115&lt;=0,"Aussenlager","teilweise")))))</f>
        <v>Lift</v>
      </c>
      <c r="BL1115" s="48" t="str">
        <f aca="false">IF(BC1115&lt;=0,"",IF(CF1115="Aussen","Aussenlager",IF(CF1115="-","Nicht im Lift",IF(BI1115&gt;=1,"Lift",IF(BI1115&lt;=0,"Aussenlager","teilweise")))))</f>
        <v>Lift</v>
      </c>
      <c r="BM1115" s="48" t="str">
        <f aca="false">IF(A1115="","",IF(BV1115=1,"Neu; ","")&amp;IF(AND(BV1115=0,BQ1115&lt;0),"negativer Bestand (Export "&amp;BQ1115&amp;"); ","")&amp;IF(J1115&lt;=0,"Kein Verbrauch; ","")&amp;IF(CQ1115&gt;0,"Lift "&amp;W1115&amp;" lt. Liftbericht (Fach "&amp;X1115&amp;" Stk); ",IF(CA1115=1,"Gebinde geschätzt ("&amp;T1115&amp;"); ",IF(BZ1115=1,"Lose – Tablare geschätzt; ","")))&amp;IF(H1115&gt;AV1115,"Überbestand "&amp;ROUND(H1115-AV1115,0)&amp;" Stk / CHF "&amp;ROUND((H1115-AV1115)*G1115,0)&amp;"; ","")&amp;IF(AND(CH1115=1,CI1115&lt;CJ1115),"MAX &lt; MB+LG; ","")&amp;IF(AND(CP1115&gt;0,CO1115*10&gt;CP1115),"zu hoch für Tablar; ","")&amp;IF(AND(BV1115=0,OR(CH1115=1,AA1115&lt;&gt;"",U1115&lt;&gt;"",V1115&lt;&gt;"",AB1115&lt;&gt;"")),"manuell übersteuert; ","")&amp;IF(AND(BZ1115=0,R1115=0),"Gebinde unbekannt / Stellmass fehlt; ","")&amp;IF(AND(BZ1115=0,N(V1115)&lt;=0,N(Q1115)&lt;=0),"Menge pro Gebinde fehlt (Ist = 1 Gebinde); ","")&amp;BU1115)</f>
        <v>negativer Bestand (Export -19); Kein Verbrauch; Gebinde geschätzt (Gross); Menge pro Gebinde fehlt (Ist = 1 Gebinde); </v>
      </c>
      <c r="BN1115" s="48"/>
      <c r="BO1115" s="48"/>
      <c r="BP1115" s="55"/>
      <c r="BQ1115" s="50" t="n">
        <v>-19</v>
      </c>
      <c r="BR1115" s="50" t="n">
        <v>19</v>
      </c>
      <c r="BS1115" s="49" t="n">
        <v>-233.7</v>
      </c>
      <c r="BT1115" s="50" t="n">
        <v>0</v>
      </c>
      <c r="BU1115" s="48"/>
      <c r="BV1115" s="53" t="n">
        <v>0</v>
      </c>
      <c r="BW1115" s="53" t="n">
        <v>1115</v>
      </c>
      <c r="BX1115" s="48" t="str">
        <f aca="false">IF(U1115&lt;&gt;"",UPPER(TRIM(U1115)),IF(CA1115=1,UPPER(VLOOKUP(T1115,Parameter!$I$27:$K$29,2,0)),IF(P1115="","LOSE",P1115)))</f>
        <v>S81</v>
      </c>
      <c r="BY1115" s="50" t="n">
        <f aca="false">IF(BX1115="LOSE",1,IF(N(V1115)&gt;0,V1115,IF(CA1115=1,MAX(1,N(VLOOKUP(T1115,Parameter!$I$27:$K$29,3,0)),H1115,N(N1115)),IF(N(Q1115)&gt;0,Q1115,MAX(1,H1115)))))</f>
        <v>2</v>
      </c>
      <c r="BZ1115" s="53" t="n">
        <f aca="false">IF(BX1115="LOSE",1,0)</f>
        <v>0</v>
      </c>
      <c r="CA1115" s="53" t="n">
        <f aca="false">IF(AND(U1115="",OR(P1115="",P1115="LOSE"),T1115&lt;&gt;"",N(S1115)&lt;=0,ISNUMBER(MATCH(T1115,Parameter!$I$27:$I$29,0))),1,0)</f>
        <v>1</v>
      </c>
      <c r="CB1115" s="53" t="n">
        <f aca="false">IF(CQ1115&gt;0,INDEX(Parameter!$H$5:$H$7,W1115)/INDEX(Parameter!$E$5:$E$7,W1115),IF(AND(BZ1115=0,N(IFERROR(VLOOKUP(BX1115,'Gebinde-Kategorie'!$A$5:$N$45,14,0),0))&gt;0),VLOOKUP(BX1115,'Gebinde-Kategorie'!$A$5:$N$45,14,0)*10+Parameter!$M$23,Parameter!$M$24))</f>
        <v>235</v>
      </c>
      <c r="CC1115" s="48" t="str">
        <f aca="false">IF(AND(Parameter!$B$19="Ja",E1115&lt;&gt;"",ISNUMBER(MATCH(E1115,Parameter!$I$35:$I$52,0))),VLOOKUP(E1115,Parameter!$I$35:$J$52,2,0),IFERROR(VLOOKUP(D1115,Parameter!$A$35:$C$64,2,0),"Nein"))</f>
        <v>2+3</v>
      </c>
      <c r="CD1115" s="52" t="n">
        <f aca="false">IF(BZ1115=0,0,IF(N(S1115)&gt;0,S1115,IFERROR(VLOOKUP(D1115,Parameter!$A$35:$C$64,3,0)+0,0)))</f>
        <v>0</v>
      </c>
      <c r="CE1115" s="48" t="n">
        <f aca="false">IF(AA1115&lt;&gt;"",AA1115,Z1115)</f>
        <v>2</v>
      </c>
      <c r="CF1115" s="48" t="str">
        <f aca="false">IF(OR(CE1115=1,CE1115=2,CE1115=3),IF(Parameter!$E$27="Ja","LIFT",IF(CE1115=1,"L1","L23")),IF(CE1115="Aussen","Aussen","-"))</f>
        <v>LIFT</v>
      </c>
      <c r="CG1115" s="59" t="n">
        <f aca="false">IF(N(AB1115)&gt;0,AB1115,0)</f>
        <v>0</v>
      </c>
      <c r="CH1115" s="53" t="n">
        <f aca="false">IF(ISNUMBER(AE1115),1,0)</f>
        <v>0</v>
      </c>
      <c r="CI1115" s="50" t="n">
        <f aca="false">N(AE1115)</f>
        <v>0</v>
      </c>
      <c r="CJ1115" s="50" t="n">
        <f aca="false">N(M1115)+N(N1115)</f>
        <v>1</v>
      </c>
      <c r="CK1115" s="50" t="n">
        <f aca="false">N(M1115)</f>
        <v>0</v>
      </c>
      <c r="CL1115" s="50" t="n">
        <f aca="false">N(N1115)</f>
        <v>1</v>
      </c>
      <c r="CM1115" s="50" t="n">
        <f aca="false">ROUNDUP(H1115/BY1115,0)</f>
        <v>0</v>
      </c>
      <c r="CN1115" s="50" t="n">
        <f aca="false">ROUNDUP(CI1115/BY1115,0)</f>
        <v>0</v>
      </c>
      <c r="CO1115" s="53" t="n">
        <f aca="false">IF(BZ1115=1,0,IFERROR(VLOOKUP(BX1115,'Gebinde-Kategorie'!$A$5:$N$45,5,0)+0,0))</f>
        <v>20</v>
      </c>
      <c r="CP1115" s="53" t="n">
        <f aca="false">IFERROR(IF(OR(CE1115=1,CE1115=2,CE1115=3),N(INDEX(Parameter!$I$5:$I$7,CE1115)),0),0)</f>
        <v>0</v>
      </c>
      <c r="CQ1115" s="52" t="n">
        <f aca="false">IF(AND(Parameter!$B$21="Ja",ISNUMBER(W1115),N(X1115)&gt;0),IFERROR(N(INDEX(Parameter!$L$5:$L$7,W1115))*INDEX(Parameter!$E$5:$E$7,W1115)*X1115/SUMIFS($X$7:$X$1843,$W$7:$W$1843,W1115),0),0)</f>
        <v>0</v>
      </c>
    </row>
    <row r="1116" customFormat="false" ht="15" hidden="false" customHeight="false" outlineLevel="0" collapsed="false">
      <c r="A1116" s="48" t="s">
        <v>2034</v>
      </c>
      <c r="B1116" s="48" t="s">
        <v>2035</v>
      </c>
      <c r="C1116" s="48" t="s">
        <v>173</v>
      </c>
      <c r="D1116" s="48" t="s">
        <v>182</v>
      </c>
      <c r="E1116" s="48" t="s">
        <v>474</v>
      </c>
      <c r="F1116" s="48" t="s">
        <v>227</v>
      </c>
      <c r="G1116" s="49" t="n">
        <v>46.91</v>
      </c>
      <c r="H1116" s="50" t="n">
        <f aca="false">MAX(0,IF(AND(Parameter!$B$21="Ja",ISNUMBER(Y1116)),Y1116,IF(Parameter!$B$20="Jahresanfang 2025 + Export",BR1116+BQ1116,BQ1116)))</f>
        <v>38</v>
      </c>
      <c r="I1116" s="50" t="n">
        <f aca="false">H1116*G1116</f>
        <v>1782.58</v>
      </c>
      <c r="J1116" s="50" t="n">
        <f aca="false">BT1116*Parameter!$B$18</f>
        <v>4</v>
      </c>
      <c r="K1116" s="51" t="n">
        <v>40.5</v>
      </c>
      <c r="L1116" s="52" t="n">
        <v>0.0987654320987654</v>
      </c>
      <c r="M1116" s="50" t="n">
        <v>0</v>
      </c>
      <c r="N1116" s="50" t="n">
        <v>5</v>
      </c>
      <c r="O1116" s="53" t="n">
        <v>21</v>
      </c>
      <c r="P1116" s="48" t="s">
        <v>177</v>
      </c>
      <c r="Q1116" s="50"/>
      <c r="R1116" s="53" t="n">
        <f aca="false">IF(BZ1116=1,0,IFERROR(VLOOKUP(BX1116,'Gebinde-Kategorie'!$A$5:$N$45,13,0)+0,0))</f>
        <v>12</v>
      </c>
      <c r="S1116" s="54"/>
      <c r="T1116" s="55" t="s">
        <v>188</v>
      </c>
      <c r="U1116" s="55"/>
      <c r="V1116" s="55"/>
      <c r="W1116" s="48"/>
      <c r="X1116" s="50"/>
      <c r="Y1116" s="50"/>
      <c r="Z1116" s="48" t="str">
        <f aca="false">IF(A1116="","",IF(AND(Parameter!$B$21="Ja",ISNUMBER(W1116)),W1116,IF(CC1116="2+3",IF(ISNUMBER(SEARCH("grosser Artikel",BU1116)),2,IFERROR(VLOOKUP(BX1116,Parameter!$F$35:$G$64,2,0),2)),IF(OR(CC1116="Nein",CC1116=""),"-",CC1116))))</f>
        <v>-</v>
      </c>
      <c r="AA1116" s="55"/>
      <c r="AB1116" s="56"/>
      <c r="AC1116" s="50" t="n">
        <f aca="false">AV1116</f>
        <v>5</v>
      </c>
      <c r="AD1116" s="50" t="n">
        <f aca="false">MAX(AV1116,H1116)</f>
        <v>38</v>
      </c>
      <c r="AE1116" s="57"/>
      <c r="AF1116" s="50" t="n">
        <f aca="false">IF(LEFT(Cockpit!$C$5,1)="A",H1116,IF(Parameter!$E$30="MAX-Bestand",IF(CH1116=1,CI1116,IF(LEFT(Cockpit!$C$5,1)="B",AL1116,MAX(AL1116,H1116))),ROUNDUP(AJ1116,0)))</f>
        <v>38</v>
      </c>
      <c r="AG1116" s="50" t="n">
        <f aca="false">IF(BZ1116=1,0,ROUNDUP(AF1116/BY1116,0))</f>
        <v>1</v>
      </c>
      <c r="AH1116" s="52" t="n">
        <f aca="false">IF(CQ1116&gt;0,CQ1116*MAX(1,AF1116/X1116),IF(BZ1116=1,IF(AF1116&lt;=0,0,CD1116*MAX(1,IF(H1116&gt;0,AF1116/H1116,1))),IF(R1116&gt;0,AG1116/R1116,0))/MAX(0.1,N(Parameter!$M$21)))</f>
        <v>0.0833333333333333</v>
      </c>
      <c r="AI1116" s="50" t="n">
        <f aca="false">AH1116*CB1116</f>
        <v>12.0833333333333</v>
      </c>
      <c r="AJ1116" s="51" t="n">
        <f aca="false">IF(LEFT(Cockpit!$C$5,1)="A",H1116,IF(CH1116=1,(CK1116+CI1116)/2,IF(LEFT(Cockpit!$C$5,1)="B",(CK1116+AL1116)/2,MAX((CK1116+AL1116)/2,H1116))))</f>
        <v>38</v>
      </c>
      <c r="AK1116" s="50" t="n">
        <f aca="false">AJ1116*G1116</f>
        <v>1782.58</v>
      </c>
      <c r="AL1116" s="50" t="n">
        <f aca="false">ROUNDUP(CK1116+MAX(CL1116,2*(J1116/IF(CG1116&gt;0,CG1116,MAX(0.1,N(Cockpit!$C$6)))-CK1116)),0)</f>
        <v>5</v>
      </c>
      <c r="AM1116" s="51" t="n">
        <f aca="false">IF(AI1116&gt;0,J1116/AI1116,-1)</f>
        <v>0.331034482758621</v>
      </c>
      <c r="AN1116" s="51" t="str">
        <f aca="false">IF(AND(OR(CF1116="L1",CF1116="L23",CF1116="LIFT"),AI1116&gt;0),SUMIFS($AI$7:$AI$1843,$CF$7:$CF$1843,CF1116,$AM$7:$AM$1843,"&gt;"&amp;AM1116)+SUMIFS($AI$7:$AI$1843,$CF$7:$CF$1843,CF1116,$AM$7:$AM$1843,AM1116,$BW$7:$BW$1843,"&lt;="&amp;BW1116),"")</f>
        <v/>
      </c>
      <c r="AO1116" s="58" t="n">
        <f aca="false">IF(AN1116="",0,MAX(0,MIN(1,(IF(CF1116="L1",Parameter!$H$5,IF(CF1116="L23",Parameter!$H$6+Parameter!$H$7,Parameter!$H$5+Parameter!$H$6+Parameter!$H$7))-(AN1116-AI1116))/AI1116)))</f>
        <v>0</v>
      </c>
      <c r="AP1116" s="50" t="n">
        <f aca="false">IF(LEFT(Cockpit!$I$5,1)="A",H1116,IF(Parameter!$E$30="MAX-Bestand",IF(CH1116=1,CI1116,IF(LEFT(Cockpit!$I$5,1)="B",AV1116,MAX(AV1116,H1116))),ROUNDUP(AT1116,0)))</f>
        <v>38</v>
      </c>
      <c r="AQ1116" s="50" t="n">
        <f aca="false">IF(BZ1116=1,0,ROUNDUP(AP1116/BY1116,0))</f>
        <v>1</v>
      </c>
      <c r="AR1116" s="52" t="n">
        <f aca="false">IF(CQ1116&gt;0,CQ1116*MAX(1,AP1116/X1116),IF(BZ1116=1,IF(AP1116&lt;=0,0,CD1116*MAX(1,IF(H1116&gt;0,AP1116/H1116,1))),IF(R1116&gt;0,AQ1116/R1116,0))/MAX(0.1,N(Parameter!$M$21)))</f>
        <v>0.0833333333333333</v>
      </c>
      <c r="AS1116" s="50" t="n">
        <f aca="false">AR1116*CB1116</f>
        <v>12.0833333333333</v>
      </c>
      <c r="AT1116" s="51" t="n">
        <f aca="false">IF(LEFT(Cockpit!$I$5,1)="A",H1116,IF(CH1116=1,(CK1116+CI1116)/2,IF(LEFT(Cockpit!$I$5,1)="B",(CK1116+AV1116)/2,MAX((CK1116+AV1116)/2,H1116))))</f>
        <v>38</v>
      </c>
      <c r="AU1116" s="50" t="n">
        <f aca="false">AT1116*G1116</f>
        <v>1782.58</v>
      </c>
      <c r="AV1116" s="50" t="n">
        <f aca="false">ROUNDUP(CK1116+MAX(CL1116,2*(J1116/IF(CG1116&gt;0,CG1116,MAX(0.1,N(Cockpit!$I$6)))-CK1116)),0)</f>
        <v>5</v>
      </c>
      <c r="AW1116" s="51" t="n">
        <f aca="false">IF(AS1116&gt;0,J1116/AS1116,-1)</f>
        <v>0.331034482758621</v>
      </c>
      <c r="AX1116" s="51" t="str">
        <f aca="false">IF(AND(OR(CF1116="L1",CF1116="L23",CF1116="LIFT"),AS1116&gt;0),SUMIFS($AS$7:$AS$1843,$CF$7:$CF$1843,CF1116,$AW$7:$AW$1843,"&gt;"&amp;AW1116)+SUMIFS($AS$7:$AS$1843,$CF$7:$CF$1843,CF1116,$AW$7:$AW$1843,AW1116,$BW$7:$BW$1843,"&lt;="&amp;BW1116),"")</f>
        <v/>
      </c>
      <c r="AY1116" s="58" t="n">
        <f aca="false">IF(AX1116="",0,MAX(0,MIN(1,(IF(CF1116="L1",Parameter!$H$5,IF(CF1116="L23",Parameter!$H$6+Parameter!$H$7,Parameter!$H$5+Parameter!$H$6+Parameter!$H$7))-(AX1116-AS1116))/AS1116)))</f>
        <v>0</v>
      </c>
      <c r="AZ1116" s="50" t="n">
        <f aca="false">IF(LEFT(Cockpit!$O$5,1)="A",H1116,IF(Parameter!$E$30="MAX-Bestand",IF(CH1116=1,CI1116,IF(LEFT(Cockpit!$O$5,1)="B",BF1116,MAX(BF1116,H1116))),ROUNDUP(BD1116,0)))</f>
        <v>3</v>
      </c>
      <c r="BA1116" s="50" t="n">
        <f aca="false">IF(BZ1116=1,0,ROUNDUP(AZ1116/BY1116,0))</f>
        <v>1</v>
      </c>
      <c r="BB1116" s="52" t="n">
        <f aca="false">IF(CQ1116&gt;0,CQ1116*MAX(1,AZ1116/X1116),IF(BZ1116=1,IF(AZ1116&lt;=0,0,CD1116*MAX(1,IF(H1116&gt;0,AZ1116/H1116,1))),IF(R1116&gt;0,BA1116/R1116,0))/MAX(0.1,N(Parameter!$M$21)))</f>
        <v>0.0833333333333333</v>
      </c>
      <c r="BC1116" s="50" t="n">
        <f aca="false">BB1116*CB1116</f>
        <v>12.0833333333333</v>
      </c>
      <c r="BD1116" s="51" t="n">
        <f aca="false">IF(LEFT(Cockpit!$O$5,1)="A",H1116,IF(CH1116=1,(CK1116+CI1116)/2,IF(LEFT(Cockpit!$O$5,1)="B",(CK1116+BF1116)/2,MAX((CK1116+BF1116)/2,H1116))))</f>
        <v>2.5</v>
      </c>
      <c r="BE1116" s="50" t="n">
        <f aca="false">BD1116*G1116</f>
        <v>117.275</v>
      </c>
      <c r="BF1116" s="50" t="n">
        <f aca="false">ROUNDUP(CK1116+MAX(CL1116,2*(J1116/IF(CG1116&gt;0,CG1116,MAX(0.1,N(Cockpit!$O$6)))-CK1116)),0)</f>
        <v>5</v>
      </c>
      <c r="BG1116" s="51" t="n">
        <f aca="false">IF(BC1116&gt;0,J1116/BC1116,-1)</f>
        <v>0.331034482758621</v>
      </c>
      <c r="BH1116" s="51" t="str">
        <f aca="false">IF(AND(OR(CF1116="L1",CF1116="L23",CF1116="LIFT"),BC1116&gt;0),SUMIFS($BC$7:$BC$1843,$CF$7:$CF$1843,CF1116,$BG$7:$BG$1843,"&gt;"&amp;BG1116)+SUMIFS($BC$7:$BC$1843,$CF$7:$CF$1843,CF1116,$BG$7:$BG$1843,BG1116,$BW$7:$BW$1843,"&lt;="&amp;BW1116),"")</f>
        <v/>
      </c>
      <c r="BI1116" s="58" t="n">
        <f aca="false">IF(BH1116="",0,MAX(0,MIN(1,(IF(CF1116="L1",Parameter!$H$5,IF(CF1116="L23",Parameter!$H$6+Parameter!$H$7,Parameter!$H$5+Parameter!$H$6+Parameter!$H$7))-(BH1116-BC1116))/BC1116)))</f>
        <v>0</v>
      </c>
      <c r="BJ1116" s="48" t="str">
        <f aca="false">IF(AI1116&lt;=0,"",IF(CF1116="Aussen","Aussenlager",IF(CF1116="-","Nicht im Lift",IF(AO1116&gt;=1,"Lift",IF(AO1116&lt;=0,"Aussenlager","teilweise")))))</f>
        <v>Nicht im Lift</v>
      </c>
      <c r="BK1116" s="48" t="str">
        <f aca="false">IF(AS1116&lt;=0,"",IF(CF1116="Aussen","Aussenlager",IF(CF1116="-","Nicht im Lift",IF(AY1116&gt;=1,"Lift",IF(AY1116&lt;=0,"Aussenlager","teilweise")))))</f>
        <v>Nicht im Lift</v>
      </c>
      <c r="BL1116" s="48" t="str">
        <f aca="false">IF(BC1116&lt;=0,"",IF(CF1116="Aussen","Aussenlager",IF(CF1116="-","Nicht im Lift",IF(BI1116&gt;=1,"Lift",IF(BI1116&lt;=0,"Aussenlager","teilweise")))))</f>
        <v>Nicht im Lift</v>
      </c>
      <c r="BM1116" s="48" t="str">
        <f aca="false">IF(A1116="","",IF(BV1116=1,"Neu; ","")&amp;IF(AND(BV1116=0,BQ1116&lt;0),"negativer Bestand (Export "&amp;BQ1116&amp;"); ","")&amp;IF(J1116&lt;=0,"Kein Verbrauch; ","")&amp;IF(CQ1116&gt;0,"Lift "&amp;W1116&amp;" lt. Liftbericht (Fach "&amp;X1116&amp;" Stk); ",IF(CA1116=1,"Gebinde geschätzt ("&amp;T1116&amp;"); ",IF(BZ1116=1,"Lose – Tablare geschätzt; ","")))&amp;IF(H1116&gt;AV1116,"Überbestand "&amp;ROUND(H1116-AV1116,0)&amp;" Stk / CHF "&amp;ROUND((H1116-AV1116)*G1116,0)&amp;"; ","")&amp;IF(AND(CH1116=1,CI1116&lt;CJ1116),"MAX &lt; MB+LG; ","")&amp;IF(AND(CP1116&gt;0,CO1116*10&gt;CP1116),"zu hoch für Tablar; ","")&amp;IF(AND(BV1116=0,OR(CH1116=1,AA1116&lt;&gt;"",U1116&lt;&gt;"",V1116&lt;&gt;"",AB1116&lt;&gt;"")),"manuell übersteuert; ","")&amp;IF(AND(BZ1116=0,R1116=0),"Gebinde unbekannt / Stellmass fehlt; ","")&amp;IF(AND(BZ1116=0,N(V1116)&lt;=0,N(Q1116)&lt;=0),"Menge pro Gebinde fehlt (Ist = 1 Gebinde); ","")&amp;BU1116)</f>
        <v>negativer Bestand (Export -5); Gebinde geschätzt (Mittel); Überbestand 33 Stk / CHF 1548; Menge pro Gebinde fehlt (Ist = 1 Gebinde); </v>
      </c>
      <c r="BN1116" s="48"/>
      <c r="BO1116" s="48"/>
      <c r="BP1116" s="55"/>
      <c r="BQ1116" s="50" t="n">
        <v>-5</v>
      </c>
      <c r="BR1116" s="50" t="n">
        <v>43</v>
      </c>
      <c r="BS1116" s="49" t="n">
        <v>-234.55</v>
      </c>
      <c r="BT1116" s="50" t="n">
        <v>4</v>
      </c>
      <c r="BU1116" s="48"/>
      <c r="BV1116" s="53" t="n">
        <v>0</v>
      </c>
      <c r="BW1116" s="53" t="n">
        <v>1116</v>
      </c>
      <c r="BX1116" s="48" t="str">
        <f aca="false">IF(U1116&lt;&gt;"",UPPER(TRIM(U1116)),IF(CA1116=1,UPPER(VLOOKUP(T1116,Parameter!$I$27:$K$29,2,0)),IF(P1116="","LOSE",P1116)))</f>
        <v>S61</v>
      </c>
      <c r="BY1116" s="50" t="n">
        <f aca="false">IF(BX1116="LOSE",1,IF(N(V1116)&gt;0,V1116,IF(CA1116=1,MAX(1,N(VLOOKUP(T1116,Parameter!$I$27:$K$29,3,0)),H1116,N(N1116)),IF(N(Q1116)&gt;0,Q1116,MAX(1,H1116)))))</f>
        <v>38</v>
      </c>
      <c r="BZ1116" s="53" t="n">
        <f aca="false">IF(BX1116="LOSE",1,0)</f>
        <v>0</v>
      </c>
      <c r="CA1116" s="53" t="n">
        <f aca="false">IF(AND(U1116="",OR(P1116="",P1116="LOSE"),T1116&lt;&gt;"",N(S1116)&lt;=0,ISNUMBER(MATCH(T1116,Parameter!$I$27:$I$29,0))),1,0)</f>
        <v>1</v>
      </c>
      <c r="CB1116" s="53" t="n">
        <f aca="false">IF(CQ1116&gt;0,INDEX(Parameter!$H$5:$H$7,W1116)/INDEX(Parameter!$E$5:$E$7,W1116),IF(AND(BZ1116=0,N(IFERROR(VLOOKUP(BX1116,'Gebinde-Kategorie'!$A$5:$N$45,14,0),0))&gt;0),VLOOKUP(BX1116,'Gebinde-Kategorie'!$A$5:$N$45,14,0)*10+Parameter!$M$23,Parameter!$M$24))</f>
        <v>145</v>
      </c>
      <c r="CC1116" s="48" t="str">
        <f aca="false">IF(AND(Parameter!$B$19="Ja",E1116&lt;&gt;"",ISNUMBER(MATCH(E1116,Parameter!$I$35:$I$52,0))),VLOOKUP(E1116,Parameter!$I$35:$J$52,2,0),IFERROR(VLOOKUP(D1116,Parameter!$A$35:$C$64,2,0),"Nein"))</f>
        <v>Nein</v>
      </c>
      <c r="CD1116" s="52" t="n">
        <f aca="false">IF(BZ1116=0,0,IF(N(S1116)&gt;0,S1116,IFERROR(VLOOKUP(D1116,Parameter!$A$35:$C$64,3,0)+0,0)))</f>
        <v>0</v>
      </c>
      <c r="CE1116" s="48" t="str">
        <f aca="false">IF(AA1116&lt;&gt;"",AA1116,Z1116)</f>
        <v>-</v>
      </c>
      <c r="CF1116" s="48" t="str">
        <f aca="false">IF(OR(CE1116=1,CE1116=2,CE1116=3),IF(Parameter!$E$27="Ja","LIFT",IF(CE1116=1,"L1","L23")),IF(CE1116="Aussen","Aussen","-"))</f>
        <v>-</v>
      </c>
      <c r="CG1116" s="59" t="n">
        <f aca="false">IF(N(AB1116)&gt;0,AB1116,0)</f>
        <v>0</v>
      </c>
      <c r="CH1116" s="53" t="n">
        <f aca="false">IF(ISNUMBER(AE1116),1,0)</f>
        <v>0</v>
      </c>
      <c r="CI1116" s="50" t="n">
        <f aca="false">N(AE1116)</f>
        <v>0</v>
      </c>
      <c r="CJ1116" s="50" t="n">
        <f aca="false">N(M1116)+N(N1116)</f>
        <v>5</v>
      </c>
      <c r="CK1116" s="50" t="n">
        <f aca="false">N(M1116)</f>
        <v>0</v>
      </c>
      <c r="CL1116" s="50" t="n">
        <f aca="false">N(N1116)</f>
        <v>5</v>
      </c>
      <c r="CM1116" s="50" t="n">
        <f aca="false">ROUNDUP(H1116/BY1116,0)</f>
        <v>1</v>
      </c>
      <c r="CN1116" s="50" t="n">
        <f aca="false">ROUNDUP(CI1116/BY1116,0)</f>
        <v>0</v>
      </c>
      <c r="CO1116" s="53" t="n">
        <f aca="false">IF(BZ1116=1,0,IFERROR(VLOOKUP(BX1116,'Gebinde-Kategorie'!$A$5:$N$45,5,0)+0,0))</f>
        <v>11</v>
      </c>
      <c r="CP1116" s="53" t="n">
        <f aca="false">IFERROR(IF(OR(CE1116=1,CE1116=2,CE1116=3),N(INDEX(Parameter!$I$5:$I$7,CE1116)),0),0)</f>
        <v>0</v>
      </c>
      <c r="CQ1116" s="52" t="n">
        <f aca="false">IF(AND(Parameter!$B$21="Ja",ISNUMBER(W1116),N(X1116)&gt;0),IFERROR(N(INDEX(Parameter!$L$5:$L$7,W1116))*INDEX(Parameter!$E$5:$E$7,W1116)*X1116/SUMIFS($X$7:$X$1843,$W$7:$W$1843,W1116),0),0)</f>
        <v>0</v>
      </c>
    </row>
    <row r="1117" customFormat="false" ht="15" hidden="false" customHeight="false" outlineLevel="0" collapsed="false">
      <c r="A1117" s="48" t="s">
        <v>2036</v>
      </c>
      <c r="B1117" s="48" t="s">
        <v>1033</v>
      </c>
      <c r="C1117" s="48" t="s">
        <v>173</v>
      </c>
      <c r="D1117" s="48" t="s">
        <v>182</v>
      </c>
      <c r="E1117" s="48" t="s">
        <v>474</v>
      </c>
      <c r="F1117" s="48" t="s">
        <v>227</v>
      </c>
      <c r="G1117" s="49" t="n">
        <v>11.8</v>
      </c>
      <c r="H1117" s="50" t="n">
        <f aca="false">MAX(0,IF(AND(Parameter!$B$21="Ja",ISNUMBER(Y1117)),Y1117,IF(Parameter!$B$20="Jahresanfang 2025 + Export",BR1117+BQ1117,BQ1117)))</f>
        <v>3</v>
      </c>
      <c r="I1117" s="50" t="n">
        <f aca="false">H1117*G1117</f>
        <v>35.4</v>
      </c>
      <c r="J1117" s="50" t="n">
        <f aca="false">BT1117*Parameter!$B$18</f>
        <v>141</v>
      </c>
      <c r="K1117" s="51" t="n">
        <v>15.5</v>
      </c>
      <c r="L1117" s="52" t="n">
        <v>9.09677419354839</v>
      </c>
      <c r="M1117" s="50" t="n">
        <v>10</v>
      </c>
      <c r="N1117" s="50" t="n">
        <v>15</v>
      </c>
      <c r="O1117" s="53" t="n">
        <v>21</v>
      </c>
      <c r="P1117" s="48" t="s">
        <v>177</v>
      </c>
      <c r="Q1117" s="50"/>
      <c r="R1117" s="53" t="n">
        <f aca="false">IF(BZ1117=1,0,IFERROR(VLOOKUP(BX1117,'Gebinde-Kategorie'!$A$5:$N$45,13,0)+0,0))</f>
        <v>4</v>
      </c>
      <c r="S1117" s="54"/>
      <c r="T1117" s="55" t="s">
        <v>198</v>
      </c>
      <c r="U1117" s="55"/>
      <c r="V1117" s="55"/>
      <c r="W1117" s="48"/>
      <c r="X1117" s="50"/>
      <c r="Y1117" s="50"/>
      <c r="Z1117" s="48" t="str">
        <f aca="false">IF(A1117="","",IF(AND(Parameter!$B$21="Ja",ISNUMBER(W1117)),W1117,IF(CC1117="2+3",IF(ISNUMBER(SEARCH("grosser Artikel",BU1117)),2,IFERROR(VLOOKUP(BX1117,Parameter!$F$35:$G$64,2,0),2)),IF(OR(CC1117="Nein",CC1117=""),"-",CC1117))))</f>
        <v>-</v>
      </c>
      <c r="AA1117" s="55"/>
      <c r="AB1117" s="56"/>
      <c r="AC1117" s="50" t="n">
        <f aca="false">AV1117</f>
        <v>84</v>
      </c>
      <c r="AD1117" s="50" t="n">
        <f aca="false">MAX(AV1117,H1117)</f>
        <v>84</v>
      </c>
      <c r="AE1117" s="57"/>
      <c r="AF1117" s="50" t="n">
        <f aca="false">IF(LEFT(Cockpit!$C$5,1)="A",H1117,IF(Parameter!$E$30="MAX-Bestand",IF(CH1117=1,CI1117,IF(LEFT(Cockpit!$C$5,1)="B",AL1117,MAX(AL1117,H1117))),ROUNDUP(AJ1117,0)))</f>
        <v>3</v>
      </c>
      <c r="AG1117" s="50" t="n">
        <f aca="false">IF(BZ1117=1,0,ROUNDUP(AF1117/BY1117,0))</f>
        <v>1</v>
      </c>
      <c r="AH1117" s="52" t="n">
        <f aca="false">IF(CQ1117&gt;0,CQ1117*MAX(1,AF1117/X1117),IF(BZ1117=1,IF(AF1117&lt;=0,0,CD1117*MAX(1,IF(H1117&gt;0,AF1117/H1117,1))),IF(R1117&gt;0,AG1117/R1117,0))/MAX(0.1,N(Parameter!$M$21)))</f>
        <v>0.25</v>
      </c>
      <c r="AI1117" s="50" t="n">
        <f aca="false">AH1117*CB1117</f>
        <v>58.75</v>
      </c>
      <c r="AJ1117" s="51" t="n">
        <f aca="false">IF(LEFT(Cockpit!$C$5,1)="A",H1117,IF(CH1117=1,(CK1117+CI1117)/2,IF(LEFT(Cockpit!$C$5,1)="B",(CK1117+AL1117)/2,MAX((CK1117+AL1117)/2,H1117))))</f>
        <v>3</v>
      </c>
      <c r="AK1117" s="50" t="n">
        <f aca="false">AJ1117*G1117</f>
        <v>35.4</v>
      </c>
      <c r="AL1117" s="50" t="n">
        <f aca="false">ROUNDUP(CK1117+MAX(CL1117,2*(J1117/IF(CG1117&gt;0,CG1117,MAX(0.1,N(Cockpit!$C$6)))-CK1117)),0)</f>
        <v>84</v>
      </c>
      <c r="AM1117" s="51" t="n">
        <f aca="false">IF(AI1117&gt;0,J1117/AI1117,-1)</f>
        <v>2.4</v>
      </c>
      <c r="AN1117" s="51" t="str">
        <f aca="false">IF(AND(OR(CF1117="L1",CF1117="L23",CF1117="LIFT"),AI1117&gt;0),SUMIFS($AI$7:$AI$1843,$CF$7:$CF$1843,CF1117,$AM$7:$AM$1843,"&gt;"&amp;AM1117)+SUMIFS($AI$7:$AI$1843,$CF$7:$CF$1843,CF1117,$AM$7:$AM$1843,AM1117,$BW$7:$BW$1843,"&lt;="&amp;BW1117),"")</f>
        <v/>
      </c>
      <c r="AO1117" s="58" t="n">
        <f aca="false">IF(AN1117="",0,MAX(0,MIN(1,(IF(CF1117="L1",Parameter!$H$5,IF(CF1117="L23",Parameter!$H$6+Parameter!$H$7,Parameter!$H$5+Parameter!$H$6+Parameter!$H$7))-(AN1117-AI1117))/AI1117)))</f>
        <v>0</v>
      </c>
      <c r="AP1117" s="50" t="n">
        <f aca="false">IF(LEFT(Cockpit!$I$5,1)="A",H1117,IF(Parameter!$E$30="MAX-Bestand",IF(CH1117=1,CI1117,IF(LEFT(Cockpit!$I$5,1)="B",AV1117,MAX(AV1117,H1117))),ROUNDUP(AT1117,0)))</f>
        <v>47</v>
      </c>
      <c r="AQ1117" s="50" t="n">
        <f aca="false">IF(BZ1117=1,0,ROUNDUP(AP1117/BY1117,0))</f>
        <v>4</v>
      </c>
      <c r="AR1117" s="52" t="n">
        <f aca="false">IF(CQ1117&gt;0,CQ1117*MAX(1,AP1117/X1117),IF(BZ1117=1,IF(AP1117&lt;=0,0,CD1117*MAX(1,IF(H1117&gt;0,AP1117/H1117,1))),IF(R1117&gt;0,AQ1117/R1117,0))/MAX(0.1,N(Parameter!$M$21)))</f>
        <v>1</v>
      </c>
      <c r="AS1117" s="50" t="n">
        <f aca="false">AR1117*CB1117</f>
        <v>235</v>
      </c>
      <c r="AT1117" s="51" t="n">
        <f aca="false">IF(LEFT(Cockpit!$I$5,1)="A",H1117,IF(CH1117=1,(CK1117+CI1117)/2,IF(LEFT(Cockpit!$I$5,1)="B",(CK1117+AV1117)/2,MAX((CK1117+AV1117)/2,H1117))))</f>
        <v>47</v>
      </c>
      <c r="AU1117" s="50" t="n">
        <f aca="false">AT1117*G1117</f>
        <v>554.6</v>
      </c>
      <c r="AV1117" s="50" t="n">
        <f aca="false">ROUNDUP(CK1117+MAX(CL1117,2*(J1117/IF(CG1117&gt;0,CG1117,MAX(0.1,N(Cockpit!$I$6)))-CK1117)),0)</f>
        <v>84</v>
      </c>
      <c r="AW1117" s="51" t="n">
        <f aca="false">IF(AS1117&gt;0,J1117/AS1117,-1)</f>
        <v>0.6</v>
      </c>
      <c r="AX1117" s="51" t="str">
        <f aca="false">IF(AND(OR(CF1117="L1",CF1117="L23",CF1117="LIFT"),AS1117&gt;0),SUMIFS($AS$7:$AS$1843,$CF$7:$CF$1843,CF1117,$AW$7:$AW$1843,"&gt;"&amp;AW1117)+SUMIFS($AS$7:$AS$1843,$CF$7:$CF$1843,CF1117,$AW$7:$AW$1843,AW1117,$BW$7:$BW$1843,"&lt;="&amp;BW1117),"")</f>
        <v/>
      </c>
      <c r="AY1117" s="58" t="n">
        <f aca="false">IF(AX1117="",0,MAX(0,MIN(1,(IF(CF1117="L1",Parameter!$H$5,IF(CF1117="L23",Parameter!$H$6+Parameter!$H$7,Parameter!$H$5+Parameter!$H$6+Parameter!$H$7))-(AX1117-AS1117))/AS1117)))</f>
        <v>0</v>
      </c>
      <c r="AZ1117" s="50" t="n">
        <f aca="false">IF(LEFT(Cockpit!$O$5,1)="A",H1117,IF(Parameter!$E$30="MAX-Bestand",IF(CH1117=1,CI1117,IF(LEFT(Cockpit!$O$5,1)="B",BF1117,MAX(BF1117,H1117))),ROUNDUP(BD1117,0)))</f>
        <v>36</v>
      </c>
      <c r="BA1117" s="50" t="n">
        <f aca="false">IF(BZ1117=1,0,ROUNDUP(AZ1117/BY1117,0))</f>
        <v>3</v>
      </c>
      <c r="BB1117" s="52" t="n">
        <f aca="false">IF(CQ1117&gt;0,CQ1117*MAX(1,AZ1117/X1117),IF(BZ1117=1,IF(AZ1117&lt;=0,0,CD1117*MAX(1,IF(H1117&gt;0,AZ1117/H1117,1))),IF(R1117&gt;0,BA1117/R1117,0))/MAX(0.1,N(Parameter!$M$21)))</f>
        <v>0.75</v>
      </c>
      <c r="BC1117" s="50" t="n">
        <f aca="false">BB1117*CB1117</f>
        <v>176.25</v>
      </c>
      <c r="BD1117" s="51" t="n">
        <f aca="false">IF(LEFT(Cockpit!$O$5,1)="A",H1117,IF(CH1117=1,(CK1117+CI1117)/2,IF(LEFT(Cockpit!$O$5,1)="B",(CK1117+BF1117)/2,MAX((CK1117+BF1117)/2,H1117))))</f>
        <v>35.5</v>
      </c>
      <c r="BE1117" s="50" t="n">
        <f aca="false">BD1117*G1117</f>
        <v>418.9</v>
      </c>
      <c r="BF1117" s="50" t="n">
        <f aca="false">ROUNDUP(CK1117+MAX(CL1117,2*(J1117/IF(CG1117&gt;0,CG1117,MAX(0.1,N(Cockpit!$O$6)))-CK1117)),0)</f>
        <v>61</v>
      </c>
      <c r="BG1117" s="51" t="n">
        <f aca="false">IF(BC1117&gt;0,J1117/BC1117,-1)</f>
        <v>0.8</v>
      </c>
      <c r="BH1117" s="51" t="str">
        <f aca="false">IF(AND(OR(CF1117="L1",CF1117="L23",CF1117="LIFT"),BC1117&gt;0),SUMIFS($BC$7:$BC$1843,$CF$7:$CF$1843,CF1117,$BG$7:$BG$1843,"&gt;"&amp;BG1117)+SUMIFS($BC$7:$BC$1843,$CF$7:$CF$1843,CF1117,$BG$7:$BG$1843,BG1117,$BW$7:$BW$1843,"&lt;="&amp;BW1117),"")</f>
        <v/>
      </c>
      <c r="BI1117" s="58" t="n">
        <f aca="false">IF(BH1117="",0,MAX(0,MIN(1,(IF(CF1117="L1",Parameter!$H$5,IF(CF1117="L23",Parameter!$H$6+Parameter!$H$7,Parameter!$H$5+Parameter!$H$6+Parameter!$H$7))-(BH1117-BC1117))/BC1117)))</f>
        <v>0</v>
      </c>
      <c r="BJ1117" s="48" t="str">
        <f aca="false">IF(AI1117&lt;=0,"",IF(CF1117="Aussen","Aussenlager",IF(CF1117="-","Nicht im Lift",IF(AO1117&gt;=1,"Lift",IF(AO1117&lt;=0,"Aussenlager","teilweise")))))</f>
        <v>Nicht im Lift</v>
      </c>
      <c r="BK1117" s="48" t="str">
        <f aca="false">IF(AS1117&lt;=0,"",IF(CF1117="Aussen","Aussenlager",IF(CF1117="-","Nicht im Lift",IF(AY1117&gt;=1,"Lift",IF(AY1117&lt;=0,"Aussenlager","teilweise")))))</f>
        <v>Nicht im Lift</v>
      </c>
      <c r="BL1117" s="48" t="str">
        <f aca="false">IF(BC1117&lt;=0,"",IF(CF1117="Aussen","Aussenlager",IF(CF1117="-","Nicht im Lift",IF(BI1117&gt;=1,"Lift",IF(BI1117&lt;=0,"Aussenlager","teilweise")))))</f>
        <v>Nicht im Lift</v>
      </c>
      <c r="BM1117" s="48" t="str">
        <f aca="false">IF(A1117="","",IF(BV1117=1,"Neu; ","")&amp;IF(AND(BV1117=0,BQ1117&lt;0),"negativer Bestand (Export "&amp;BQ1117&amp;"); ","")&amp;IF(J1117&lt;=0,"Kein Verbrauch; ","")&amp;IF(CQ1117&gt;0,"Lift "&amp;W1117&amp;" lt. Liftbericht (Fach "&amp;X1117&amp;" Stk); ",IF(CA1117=1,"Gebinde geschätzt ("&amp;T1117&amp;"); ",IF(BZ1117=1,"Lose – Tablare geschätzt; ","")))&amp;IF(H1117&gt;AV1117,"Überbestand "&amp;ROUND(H1117-AV1117,0)&amp;" Stk / CHF "&amp;ROUND((H1117-AV1117)*G1117,0)&amp;"; ","")&amp;IF(AND(CH1117=1,CI1117&lt;CJ1117),"MAX &lt; MB+LG; ","")&amp;IF(AND(CP1117&gt;0,CO1117*10&gt;CP1117),"zu hoch für Tablar; ","")&amp;IF(AND(BV1117=0,OR(CH1117=1,AA1117&lt;&gt;"",U1117&lt;&gt;"",V1117&lt;&gt;"",AB1117&lt;&gt;"")),"manuell übersteuert; ","")&amp;IF(AND(BZ1117=0,R1117=0),"Gebinde unbekannt / Stellmass fehlt; ","")&amp;IF(AND(BZ1117=0,N(V1117)&lt;=0,N(Q1117)&lt;=0),"Menge pro Gebinde fehlt (Ist = 1 Gebinde); ","")&amp;BU1117)</f>
        <v>negativer Bestand (Export -22); Gebinde geschätzt (Gross); Menge pro Gebinde fehlt (Ist = 1 Gebinde); </v>
      </c>
      <c r="BN1117" s="48"/>
      <c r="BO1117" s="48"/>
      <c r="BP1117" s="55"/>
      <c r="BQ1117" s="50" t="n">
        <v>-22</v>
      </c>
      <c r="BR1117" s="50" t="n">
        <v>25</v>
      </c>
      <c r="BS1117" s="49" t="n">
        <v>-235.35</v>
      </c>
      <c r="BT1117" s="50" t="n">
        <v>141</v>
      </c>
      <c r="BU1117" s="48"/>
      <c r="BV1117" s="53" t="n">
        <v>0</v>
      </c>
      <c r="BW1117" s="53" t="n">
        <v>1117</v>
      </c>
      <c r="BX1117" s="48" t="str">
        <f aca="false">IF(U1117&lt;&gt;"",UPPER(TRIM(U1117)),IF(CA1117=1,UPPER(VLOOKUP(T1117,Parameter!$I$27:$K$29,2,0)),IF(P1117="","LOSE",P1117)))</f>
        <v>S81</v>
      </c>
      <c r="BY1117" s="50" t="n">
        <f aca="false">IF(BX1117="LOSE",1,IF(N(V1117)&gt;0,V1117,IF(CA1117=1,MAX(1,N(VLOOKUP(T1117,Parameter!$I$27:$K$29,3,0)),H1117,N(N1117)),IF(N(Q1117)&gt;0,Q1117,MAX(1,H1117)))))</f>
        <v>15</v>
      </c>
      <c r="BZ1117" s="53" t="n">
        <f aca="false">IF(BX1117="LOSE",1,0)</f>
        <v>0</v>
      </c>
      <c r="CA1117" s="53" t="n">
        <f aca="false">IF(AND(U1117="",OR(P1117="",P1117="LOSE"),T1117&lt;&gt;"",N(S1117)&lt;=0,ISNUMBER(MATCH(T1117,Parameter!$I$27:$I$29,0))),1,0)</f>
        <v>1</v>
      </c>
      <c r="CB1117" s="53" t="n">
        <f aca="false">IF(CQ1117&gt;0,INDEX(Parameter!$H$5:$H$7,W1117)/INDEX(Parameter!$E$5:$E$7,W1117),IF(AND(BZ1117=0,N(IFERROR(VLOOKUP(BX1117,'Gebinde-Kategorie'!$A$5:$N$45,14,0),0))&gt;0),VLOOKUP(BX1117,'Gebinde-Kategorie'!$A$5:$N$45,14,0)*10+Parameter!$M$23,Parameter!$M$24))</f>
        <v>235</v>
      </c>
      <c r="CC1117" s="48" t="str">
        <f aca="false">IF(AND(Parameter!$B$19="Ja",E1117&lt;&gt;"",ISNUMBER(MATCH(E1117,Parameter!$I$35:$I$52,0))),VLOOKUP(E1117,Parameter!$I$35:$J$52,2,0),IFERROR(VLOOKUP(D1117,Parameter!$A$35:$C$64,2,0),"Nein"))</f>
        <v>Nein</v>
      </c>
      <c r="CD1117" s="52" t="n">
        <f aca="false">IF(BZ1117=0,0,IF(N(S1117)&gt;0,S1117,IFERROR(VLOOKUP(D1117,Parameter!$A$35:$C$64,3,0)+0,0)))</f>
        <v>0</v>
      </c>
      <c r="CE1117" s="48" t="str">
        <f aca="false">IF(AA1117&lt;&gt;"",AA1117,Z1117)</f>
        <v>-</v>
      </c>
      <c r="CF1117" s="48" t="str">
        <f aca="false">IF(OR(CE1117=1,CE1117=2,CE1117=3),IF(Parameter!$E$27="Ja","LIFT",IF(CE1117=1,"L1","L23")),IF(CE1117="Aussen","Aussen","-"))</f>
        <v>-</v>
      </c>
      <c r="CG1117" s="59" t="n">
        <f aca="false">IF(N(AB1117)&gt;0,AB1117,0)</f>
        <v>0</v>
      </c>
      <c r="CH1117" s="53" t="n">
        <f aca="false">IF(ISNUMBER(AE1117),1,0)</f>
        <v>0</v>
      </c>
      <c r="CI1117" s="50" t="n">
        <f aca="false">N(AE1117)</f>
        <v>0</v>
      </c>
      <c r="CJ1117" s="50" t="n">
        <f aca="false">N(M1117)+N(N1117)</f>
        <v>25</v>
      </c>
      <c r="CK1117" s="50" t="n">
        <f aca="false">N(M1117)</f>
        <v>10</v>
      </c>
      <c r="CL1117" s="50" t="n">
        <f aca="false">N(N1117)</f>
        <v>15</v>
      </c>
      <c r="CM1117" s="50" t="n">
        <f aca="false">ROUNDUP(H1117/BY1117,0)</f>
        <v>1</v>
      </c>
      <c r="CN1117" s="50" t="n">
        <f aca="false">ROUNDUP(CI1117/BY1117,0)</f>
        <v>0</v>
      </c>
      <c r="CO1117" s="53" t="n">
        <f aca="false">IF(BZ1117=1,0,IFERROR(VLOOKUP(BX1117,'Gebinde-Kategorie'!$A$5:$N$45,5,0)+0,0))</f>
        <v>20</v>
      </c>
      <c r="CP1117" s="53" t="n">
        <f aca="false">IFERROR(IF(OR(CE1117=1,CE1117=2,CE1117=3),N(INDEX(Parameter!$I$5:$I$7,CE1117)),0),0)</f>
        <v>0</v>
      </c>
      <c r="CQ1117" s="52" t="n">
        <f aca="false">IF(AND(Parameter!$B$21="Ja",ISNUMBER(W1117),N(X1117)&gt;0),IFERROR(N(INDEX(Parameter!$L$5:$L$7,W1117))*INDEX(Parameter!$E$5:$E$7,W1117)*X1117/SUMIFS($X$7:$X$1843,$W$7:$W$1843,W1117),0),0)</f>
        <v>0</v>
      </c>
    </row>
    <row r="1118" customFormat="false" ht="15" hidden="false" customHeight="false" outlineLevel="0" collapsed="false">
      <c r="A1118" s="48" t="s">
        <v>2037</v>
      </c>
      <c r="B1118" s="48" t="s">
        <v>2020</v>
      </c>
      <c r="C1118" s="48" t="s">
        <v>173</v>
      </c>
      <c r="D1118" s="48" t="s">
        <v>193</v>
      </c>
      <c r="E1118" s="48" t="s">
        <v>194</v>
      </c>
      <c r="F1118" s="48" t="s">
        <v>227</v>
      </c>
      <c r="G1118" s="49" t="n">
        <v>237.52</v>
      </c>
      <c r="H1118" s="50" t="n">
        <f aca="false">MAX(0,IF(AND(Parameter!$B$21="Ja",ISNUMBER(Y1118)),Y1118,IF(Parameter!$B$20="Jahresanfang 2025 + Export",BR1118+BQ1118,BQ1118)))</f>
        <v>6</v>
      </c>
      <c r="I1118" s="50" t="n">
        <f aca="false">H1118*G1118</f>
        <v>1425.12</v>
      </c>
      <c r="J1118" s="50" t="n">
        <f aca="false">BT1118*Parameter!$B$18</f>
        <v>1</v>
      </c>
      <c r="K1118" s="51" t="n">
        <v>6.5</v>
      </c>
      <c r="L1118" s="52" t="n">
        <v>0.153846153846154</v>
      </c>
      <c r="M1118" s="50" t="n">
        <v>0</v>
      </c>
      <c r="N1118" s="50" t="n">
        <v>1</v>
      </c>
      <c r="O1118" s="53" t="n">
        <v>28</v>
      </c>
      <c r="P1118" s="48" t="s">
        <v>485</v>
      </c>
      <c r="Q1118" s="50" t="n">
        <v>7</v>
      </c>
      <c r="R1118" s="53" t="n">
        <f aca="false">IF(BZ1118=1,0,IFERROR(VLOOKUP(BX1118,'Gebinde-Kategorie'!$A$5:$N$45,13,0)+0,0))</f>
        <v>52</v>
      </c>
      <c r="S1118" s="54"/>
      <c r="T1118" s="55"/>
      <c r="U1118" s="55"/>
      <c r="V1118" s="55"/>
      <c r="W1118" s="48"/>
      <c r="X1118" s="50"/>
      <c r="Y1118" s="50"/>
      <c r="Z1118" s="48" t="n">
        <f aca="false">IF(A1118="","",IF(AND(Parameter!$B$21="Ja",ISNUMBER(W1118)),W1118,IF(CC1118="2+3",IF(ISNUMBER(SEARCH("grosser Artikel",BU1118)),2,IFERROR(VLOOKUP(BX1118,Parameter!$F$35:$G$64,2,0),2)),IF(OR(CC1118="Nein",CC1118=""),"-",CC1118))))</f>
        <v>3</v>
      </c>
      <c r="AA1118" s="55"/>
      <c r="AB1118" s="56"/>
      <c r="AC1118" s="50" t="n">
        <f aca="false">AV1118</f>
        <v>1</v>
      </c>
      <c r="AD1118" s="50" t="n">
        <f aca="false">MAX(AV1118,H1118)</f>
        <v>6</v>
      </c>
      <c r="AE1118" s="57"/>
      <c r="AF1118" s="50" t="n">
        <f aca="false">IF(LEFT(Cockpit!$C$5,1)="A",H1118,IF(Parameter!$E$30="MAX-Bestand",IF(CH1118=1,CI1118,IF(LEFT(Cockpit!$C$5,1)="B",AL1118,MAX(AL1118,H1118))),ROUNDUP(AJ1118,0)))</f>
        <v>6</v>
      </c>
      <c r="AG1118" s="50" t="n">
        <f aca="false">IF(BZ1118=1,0,ROUNDUP(AF1118/BY1118,0))</f>
        <v>1</v>
      </c>
      <c r="AH1118" s="52" t="n">
        <f aca="false">IF(CQ1118&gt;0,CQ1118*MAX(1,AF1118/X1118),IF(BZ1118=1,IF(AF1118&lt;=0,0,CD1118*MAX(1,IF(H1118&gt;0,AF1118/H1118,1))),IF(R1118&gt;0,AG1118/R1118,0))/MAX(0.1,N(Parameter!$M$21)))</f>
        <v>0.0192307692307692</v>
      </c>
      <c r="AI1118" s="50" t="n">
        <f aca="false">AH1118*CB1118</f>
        <v>2.98076923076923</v>
      </c>
      <c r="AJ1118" s="51" t="n">
        <f aca="false">IF(LEFT(Cockpit!$C$5,1)="A",H1118,IF(CH1118=1,(CK1118+CI1118)/2,IF(LEFT(Cockpit!$C$5,1)="B",(CK1118+AL1118)/2,MAX((CK1118+AL1118)/2,H1118))))</f>
        <v>6</v>
      </c>
      <c r="AK1118" s="50" t="n">
        <f aca="false">AJ1118*G1118</f>
        <v>1425.12</v>
      </c>
      <c r="AL1118" s="50" t="n">
        <f aca="false">ROUNDUP(CK1118+MAX(CL1118,2*(J1118/IF(CG1118&gt;0,CG1118,MAX(0.1,N(Cockpit!$C$6)))-CK1118)),0)</f>
        <v>1</v>
      </c>
      <c r="AM1118" s="51" t="n">
        <f aca="false">IF(AI1118&gt;0,J1118/AI1118,-1)</f>
        <v>0.335483870967742</v>
      </c>
      <c r="AN1118" s="51" t="n">
        <f aca="false">IF(AND(OR(CF1118="L1",CF1118="L23",CF1118="LIFT"),AI1118&gt;0),SUMIFS($AI$7:$AI$1843,$CF$7:$CF$1843,CF1118,$AM$7:$AM$1843,"&gt;"&amp;AM1118)+SUMIFS($AI$7:$AI$1843,$CF$7:$CF$1843,CF1118,$AM$7:$AM$1843,AM1118,$BW$7:$BW$1843,"&lt;="&amp;BW1118),"")</f>
        <v>11227.750116409</v>
      </c>
      <c r="AO1118" s="58" t="n">
        <f aca="false">IF(AN1118="",0,MAX(0,MIN(1,(IF(CF1118="L1",Parameter!$H$5,IF(CF1118="L23",Parameter!$H$6+Parameter!$H$7,Parameter!$H$5+Parameter!$H$6+Parameter!$H$7))-(AN1118-AI1118))/AI1118)))</f>
        <v>1</v>
      </c>
      <c r="AP1118" s="50" t="n">
        <f aca="false">IF(LEFT(Cockpit!$I$5,1)="A",H1118,IF(Parameter!$E$30="MAX-Bestand",IF(CH1118=1,CI1118,IF(LEFT(Cockpit!$I$5,1)="B",AV1118,MAX(AV1118,H1118))),ROUNDUP(AT1118,0)))</f>
        <v>6</v>
      </c>
      <c r="AQ1118" s="50" t="n">
        <f aca="false">IF(BZ1118=1,0,ROUNDUP(AP1118/BY1118,0))</f>
        <v>1</v>
      </c>
      <c r="AR1118" s="52" t="n">
        <f aca="false">IF(CQ1118&gt;0,CQ1118*MAX(1,AP1118/X1118),IF(BZ1118=1,IF(AP1118&lt;=0,0,CD1118*MAX(1,IF(H1118&gt;0,AP1118/H1118,1))),IF(R1118&gt;0,AQ1118/R1118,0))/MAX(0.1,N(Parameter!$M$21)))</f>
        <v>0.0192307692307692</v>
      </c>
      <c r="AS1118" s="50" t="n">
        <f aca="false">AR1118*CB1118</f>
        <v>2.98076923076923</v>
      </c>
      <c r="AT1118" s="51" t="n">
        <f aca="false">IF(LEFT(Cockpit!$I$5,1)="A",H1118,IF(CH1118=1,(CK1118+CI1118)/2,IF(LEFT(Cockpit!$I$5,1)="B",(CK1118+AV1118)/2,MAX((CK1118+AV1118)/2,H1118))))</f>
        <v>6</v>
      </c>
      <c r="AU1118" s="50" t="n">
        <f aca="false">AT1118*G1118</f>
        <v>1425.12</v>
      </c>
      <c r="AV1118" s="50" t="n">
        <f aca="false">ROUNDUP(CK1118+MAX(CL1118,2*(J1118/IF(CG1118&gt;0,CG1118,MAX(0.1,N(Cockpit!$I$6)))-CK1118)),0)</f>
        <v>1</v>
      </c>
      <c r="AW1118" s="51" t="n">
        <f aca="false">IF(AS1118&gt;0,J1118/AS1118,-1)</f>
        <v>0.335483870967742</v>
      </c>
      <c r="AX1118" s="51" t="n">
        <f aca="false">IF(AND(OR(CF1118="L1",CF1118="L23",CF1118="LIFT"),AS1118&gt;0),SUMIFS($AS$7:$AS$1843,$CF$7:$CF$1843,CF1118,$AW$7:$AW$1843,"&gt;"&amp;AW1118)+SUMIFS($AS$7:$AS$1843,$CF$7:$CF$1843,CF1118,$AW$7:$AW$1843,AW1118,$BW$7:$BW$1843,"&lt;="&amp;BW1118),"")</f>
        <v>13761.8878205128</v>
      </c>
      <c r="AY1118" s="58" t="n">
        <f aca="false">IF(AX1118="",0,MAX(0,MIN(1,(IF(CF1118="L1",Parameter!$H$5,IF(CF1118="L23",Parameter!$H$6+Parameter!$H$7,Parameter!$H$5+Parameter!$H$6+Parameter!$H$7))-(AX1118-AS1118))/AS1118)))</f>
        <v>1</v>
      </c>
      <c r="AZ1118" s="50" t="n">
        <f aca="false">IF(LEFT(Cockpit!$O$5,1)="A",H1118,IF(Parameter!$E$30="MAX-Bestand",IF(CH1118=1,CI1118,IF(LEFT(Cockpit!$O$5,1)="B",BF1118,MAX(BF1118,H1118))),ROUNDUP(BD1118,0)))</f>
        <v>1</v>
      </c>
      <c r="BA1118" s="50" t="n">
        <f aca="false">IF(BZ1118=1,0,ROUNDUP(AZ1118/BY1118,0))</f>
        <v>1</v>
      </c>
      <c r="BB1118" s="52" t="n">
        <f aca="false">IF(CQ1118&gt;0,CQ1118*MAX(1,AZ1118/X1118),IF(BZ1118=1,IF(AZ1118&lt;=0,0,CD1118*MAX(1,IF(H1118&gt;0,AZ1118/H1118,1))),IF(R1118&gt;0,BA1118/R1118,0))/MAX(0.1,N(Parameter!$M$21)))</f>
        <v>0.0192307692307692</v>
      </c>
      <c r="BC1118" s="50" t="n">
        <f aca="false">BB1118*CB1118</f>
        <v>2.98076923076923</v>
      </c>
      <c r="BD1118" s="51" t="n">
        <f aca="false">IF(LEFT(Cockpit!$O$5,1)="A",H1118,IF(CH1118=1,(CK1118+CI1118)/2,IF(LEFT(Cockpit!$O$5,1)="B",(CK1118+BF1118)/2,MAX((CK1118+BF1118)/2,H1118))))</f>
        <v>0.5</v>
      </c>
      <c r="BE1118" s="50" t="n">
        <f aca="false">BD1118*G1118</f>
        <v>118.76</v>
      </c>
      <c r="BF1118" s="50" t="n">
        <f aca="false">ROUNDUP(CK1118+MAX(CL1118,2*(J1118/IF(CG1118&gt;0,CG1118,MAX(0.1,N(Cockpit!$O$6)))-CK1118)),0)</f>
        <v>1</v>
      </c>
      <c r="BG1118" s="51" t="n">
        <f aca="false">IF(BC1118&gt;0,J1118/BC1118,-1)</f>
        <v>0.335483870967742</v>
      </c>
      <c r="BH1118" s="51" t="n">
        <f aca="false">IF(AND(OR(CF1118="L1",CF1118="L23",CF1118="LIFT"),BC1118&gt;0),SUMIFS($BC$7:$BC$1843,$CF$7:$CF$1843,CF1118,$BG$7:$BG$1843,"&gt;"&amp;BG1118)+SUMIFS($BC$7:$BC$1843,$CF$7:$CF$1843,CF1118,$BG$7:$BG$1843,BG1118,$BW$7:$BW$1843,"&lt;="&amp;BW1118),"")</f>
        <v>11612.8466117216</v>
      </c>
      <c r="BI1118" s="58" t="n">
        <f aca="false">IF(BH1118="",0,MAX(0,MIN(1,(IF(CF1118="L1",Parameter!$H$5,IF(CF1118="L23",Parameter!$H$6+Parameter!$H$7,Parameter!$H$5+Parameter!$H$6+Parameter!$H$7))-(BH1118-BC1118))/BC1118)))</f>
        <v>1</v>
      </c>
      <c r="BJ1118" s="48" t="str">
        <f aca="false">IF(AI1118&lt;=0,"",IF(CF1118="Aussen","Aussenlager",IF(CF1118="-","Nicht im Lift",IF(AO1118&gt;=1,"Lift",IF(AO1118&lt;=0,"Aussenlager","teilweise")))))</f>
        <v>Lift</v>
      </c>
      <c r="BK1118" s="48" t="str">
        <f aca="false">IF(AS1118&lt;=0,"",IF(CF1118="Aussen","Aussenlager",IF(CF1118="-","Nicht im Lift",IF(AY1118&gt;=1,"Lift",IF(AY1118&lt;=0,"Aussenlager","teilweise")))))</f>
        <v>Lift</v>
      </c>
      <c r="BL1118" s="48" t="str">
        <f aca="false">IF(BC1118&lt;=0,"",IF(CF1118="Aussen","Aussenlager",IF(CF1118="-","Nicht im Lift",IF(BI1118&gt;=1,"Lift",IF(BI1118&lt;=0,"Aussenlager","teilweise")))))</f>
        <v>Lift</v>
      </c>
      <c r="BM1118" s="48" t="str">
        <f aca="false">IF(A1118="","",IF(BV1118=1,"Neu; ","")&amp;IF(AND(BV1118=0,BQ1118&lt;0),"negativer Bestand (Export "&amp;BQ1118&amp;"); ","")&amp;IF(J1118&lt;=0,"Kein Verbrauch; ","")&amp;IF(CQ1118&gt;0,"Lift "&amp;W1118&amp;" lt. Liftbericht (Fach "&amp;X1118&amp;" Stk); ",IF(CA1118=1,"Gebinde geschätzt ("&amp;T1118&amp;"); ",IF(BZ1118=1,"Lose – Tablare geschätzt; ","")))&amp;IF(H1118&gt;AV1118,"Überbestand "&amp;ROUND(H1118-AV1118,0)&amp;" Stk / CHF "&amp;ROUND((H1118-AV1118)*G1118,0)&amp;"; ","")&amp;IF(AND(CH1118=1,CI1118&lt;CJ1118),"MAX &lt; MB+LG; ","")&amp;IF(AND(CP1118&gt;0,CO1118*10&gt;CP1118),"zu hoch für Tablar; ","")&amp;IF(AND(BV1118=0,OR(CH1118=1,AA1118&lt;&gt;"",U1118&lt;&gt;"",V1118&lt;&gt;"",AB1118&lt;&gt;"")),"manuell übersteuert; ","")&amp;IF(AND(BZ1118=0,R1118=0),"Gebinde unbekannt / Stellmass fehlt; ","")&amp;IF(AND(BZ1118=0,N(V1118)&lt;=0,N(Q1118)&lt;=0),"Menge pro Gebinde fehlt (Ist = 1 Gebinde); ","")&amp;BU1118)</f>
        <v>negativer Bestand (Export -1); Überbestand 5 Stk / CHF 1188; Überbestand</v>
      </c>
      <c r="BN1118" s="48"/>
      <c r="BO1118" s="48"/>
      <c r="BP1118" s="55"/>
      <c r="BQ1118" s="50" t="n">
        <v>-1</v>
      </c>
      <c r="BR1118" s="50" t="n">
        <v>7</v>
      </c>
      <c r="BS1118" s="49" t="n">
        <v>-237.52</v>
      </c>
      <c r="BT1118" s="50" t="n">
        <v>1</v>
      </c>
      <c r="BU1118" s="48" t="s">
        <v>401</v>
      </c>
      <c r="BV1118" s="53" t="n">
        <v>0</v>
      </c>
      <c r="BW1118" s="53" t="n">
        <v>1118</v>
      </c>
      <c r="BX1118" s="48" t="str">
        <f aca="false">IF(U1118&lt;&gt;"",UPPER(TRIM(U1118)),IF(CA1118=1,UPPER(VLOOKUP(T1118,Parameter!$I$27:$K$29,2,0)),IF(P1118="","LOSE",P1118)))</f>
        <v>S33</v>
      </c>
      <c r="BY1118" s="50" t="n">
        <f aca="false">IF(BX1118="LOSE",1,IF(N(V1118)&gt;0,V1118,IF(CA1118=1,MAX(1,N(VLOOKUP(T1118,Parameter!$I$27:$K$29,3,0)),H1118,N(N1118)),IF(N(Q1118)&gt;0,Q1118,MAX(1,H1118)))))</f>
        <v>7</v>
      </c>
      <c r="BZ1118" s="53" t="n">
        <f aca="false">IF(BX1118="LOSE",1,0)</f>
        <v>0</v>
      </c>
      <c r="CA1118" s="53" t="n">
        <f aca="false">IF(AND(U1118="",OR(P1118="",P1118="LOSE"),T1118&lt;&gt;"",N(S1118)&lt;=0,ISNUMBER(MATCH(T1118,Parameter!$I$27:$I$29,0))),1,0)</f>
        <v>0</v>
      </c>
      <c r="CB1118" s="53" t="n">
        <f aca="false">IF(CQ1118&gt;0,INDEX(Parameter!$H$5:$H$7,W1118)/INDEX(Parameter!$E$5:$E$7,W1118),IF(AND(BZ1118=0,N(IFERROR(VLOOKUP(BX1118,'Gebinde-Kategorie'!$A$5:$N$45,14,0),0))&gt;0),VLOOKUP(BX1118,'Gebinde-Kategorie'!$A$5:$N$45,14,0)*10+Parameter!$M$23,Parameter!$M$24))</f>
        <v>155</v>
      </c>
      <c r="CC1118" s="48" t="str">
        <f aca="false">IF(AND(Parameter!$B$19="Ja",E1118&lt;&gt;"",ISNUMBER(MATCH(E1118,Parameter!$I$35:$I$52,0))),VLOOKUP(E1118,Parameter!$I$35:$J$52,2,0),IFERROR(VLOOKUP(D1118,Parameter!$A$35:$C$64,2,0),"Nein"))</f>
        <v>2+3</v>
      </c>
      <c r="CD1118" s="52" t="n">
        <f aca="false">IF(BZ1118=0,0,IF(N(S1118)&gt;0,S1118,IFERROR(VLOOKUP(D1118,Parameter!$A$35:$C$64,3,0)+0,0)))</f>
        <v>0</v>
      </c>
      <c r="CE1118" s="48" t="n">
        <f aca="false">IF(AA1118&lt;&gt;"",AA1118,Z1118)</f>
        <v>3</v>
      </c>
      <c r="CF1118" s="48" t="str">
        <f aca="false">IF(OR(CE1118=1,CE1118=2,CE1118=3),IF(Parameter!$E$27="Ja","LIFT",IF(CE1118=1,"L1","L23")),IF(CE1118="Aussen","Aussen","-"))</f>
        <v>LIFT</v>
      </c>
      <c r="CG1118" s="59" t="n">
        <f aca="false">IF(N(AB1118)&gt;0,AB1118,0)</f>
        <v>0</v>
      </c>
      <c r="CH1118" s="53" t="n">
        <f aca="false">IF(ISNUMBER(AE1118),1,0)</f>
        <v>0</v>
      </c>
      <c r="CI1118" s="50" t="n">
        <f aca="false">N(AE1118)</f>
        <v>0</v>
      </c>
      <c r="CJ1118" s="50" t="n">
        <f aca="false">N(M1118)+N(N1118)</f>
        <v>1</v>
      </c>
      <c r="CK1118" s="50" t="n">
        <f aca="false">N(M1118)</f>
        <v>0</v>
      </c>
      <c r="CL1118" s="50" t="n">
        <f aca="false">N(N1118)</f>
        <v>1</v>
      </c>
      <c r="CM1118" s="50" t="n">
        <f aca="false">ROUNDUP(H1118/BY1118,0)</f>
        <v>1</v>
      </c>
      <c r="CN1118" s="50" t="n">
        <f aca="false">ROUNDUP(CI1118/BY1118,0)</f>
        <v>0</v>
      </c>
      <c r="CO1118" s="53" t="n">
        <f aca="false">IF(BZ1118=1,0,IFERROR(VLOOKUP(BX1118,'Gebinde-Kategorie'!$A$5:$N$45,5,0)+0,0))</f>
        <v>8</v>
      </c>
      <c r="CP1118" s="53" t="n">
        <f aca="false">IFERROR(IF(OR(CE1118=1,CE1118=2,CE1118=3),N(INDEX(Parameter!$I$5:$I$7,CE1118)),0),0)</f>
        <v>0</v>
      </c>
      <c r="CQ1118" s="52" t="n">
        <f aca="false">IF(AND(Parameter!$B$21="Ja",ISNUMBER(W1118),N(X1118)&gt;0),IFERROR(N(INDEX(Parameter!$L$5:$L$7,W1118))*INDEX(Parameter!$E$5:$E$7,W1118)*X1118/SUMIFS($X$7:$X$1843,$W$7:$W$1843,W1118),0),0)</f>
        <v>0</v>
      </c>
    </row>
    <row r="1119" customFormat="false" ht="15" hidden="false" customHeight="false" outlineLevel="0" collapsed="false">
      <c r="A1119" s="48" t="s">
        <v>2038</v>
      </c>
      <c r="B1119" s="48" t="s">
        <v>492</v>
      </c>
      <c r="C1119" s="48" t="s">
        <v>173</v>
      </c>
      <c r="D1119" s="48" t="s">
        <v>193</v>
      </c>
      <c r="E1119" s="48" t="s">
        <v>194</v>
      </c>
      <c r="F1119" s="48" t="s">
        <v>227</v>
      </c>
      <c r="G1119" s="49" t="n">
        <v>71.63</v>
      </c>
      <c r="H1119" s="50" t="n">
        <f aca="false">MAX(0,IF(AND(Parameter!$B$21="Ja",ISNUMBER(Y1119)),Y1119,IF(Parameter!$B$20="Jahresanfang 2025 + Export",BR1119+BQ1119,BQ1119)))</f>
        <v>5</v>
      </c>
      <c r="I1119" s="50" t="n">
        <f aca="false">H1119*G1119</f>
        <v>358.15</v>
      </c>
      <c r="J1119" s="50" t="n">
        <f aca="false">BT1119*Parameter!$B$18</f>
        <v>13</v>
      </c>
      <c r="K1119" s="51" t="n">
        <v>7.5</v>
      </c>
      <c r="L1119" s="52" t="n">
        <v>1.73333333333333</v>
      </c>
      <c r="M1119" s="50" t="n">
        <v>0</v>
      </c>
      <c r="N1119" s="50" t="n">
        <v>15</v>
      </c>
      <c r="O1119" s="53" t="n">
        <v>14</v>
      </c>
      <c r="P1119" s="48" t="s">
        <v>311</v>
      </c>
      <c r="Q1119" s="50" t="n">
        <v>37</v>
      </c>
      <c r="R1119" s="53" t="n">
        <f aca="false">IF(BZ1119=1,0,IFERROR(VLOOKUP(BX1119,'Gebinde-Kategorie'!$A$5:$N$45,13,0)+0,0))</f>
        <v>26</v>
      </c>
      <c r="S1119" s="54"/>
      <c r="T1119" s="55"/>
      <c r="U1119" s="55"/>
      <c r="V1119" s="55"/>
      <c r="W1119" s="48"/>
      <c r="X1119" s="50"/>
      <c r="Y1119" s="50"/>
      <c r="Z1119" s="48" t="n">
        <f aca="false">IF(A1119="","",IF(AND(Parameter!$B$21="Ja",ISNUMBER(W1119)),W1119,IF(CC1119="2+3",IF(ISNUMBER(SEARCH("grosser Artikel",BU1119)),2,IFERROR(VLOOKUP(BX1119,Parameter!$F$35:$G$64,2,0),2)),IF(OR(CC1119="Nein",CC1119=""),"-",CC1119))))</f>
        <v>3</v>
      </c>
      <c r="AA1119" s="55"/>
      <c r="AB1119" s="56"/>
      <c r="AC1119" s="50" t="n">
        <f aca="false">AV1119</f>
        <v>15</v>
      </c>
      <c r="AD1119" s="50" t="n">
        <f aca="false">MAX(AV1119,H1119)</f>
        <v>15</v>
      </c>
      <c r="AE1119" s="57"/>
      <c r="AF1119" s="50" t="n">
        <f aca="false">IF(LEFT(Cockpit!$C$5,1)="A",H1119,IF(Parameter!$E$30="MAX-Bestand",IF(CH1119=1,CI1119,IF(LEFT(Cockpit!$C$5,1)="B",AL1119,MAX(AL1119,H1119))),ROUNDUP(AJ1119,0)))</f>
        <v>5</v>
      </c>
      <c r="AG1119" s="50" t="n">
        <f aca="false">IF(BZ1119=1,0,ROUNDUP(AF1119/BY1119,0))</f>
        <v>1</v>
      </c>
      <c r="AH1119" s="52" t="n">
        <f aca="false">IF(CQ1119&gt;0,CQ1119*MAX(1,AF1119/X1119),IF(BZ1119=1,IF(AF1119&lt;=0,0,CD1119*MAX(1,IF(H1119&gt;0,AF1119/H1119,1))),IF(R1119&gt;0,AG1119/R1119,0))/MAX(0.1,N(Parameter!$M$21)))</f>
        <v>0.0384615384615385</v>
      </c>
      <c r="AI1119" s="50" t="n">
        <f aca="false">AH1119*CB1119</f>
        <v>5.96153846153846</v>
      </c>
      <c r="AJ1119" s="51" t="n">
        <f aca="false">IF(LEFT(Cockpit!$C$5,1)="A",H1119,IF(CH1119=1,(CK1119+CI1119)/2,IF(LEFT(Cockpit!$C$5,1)="B",(CK1119+AL1119)/2,MAX((CK1119+AL1119)/2,H1119))))</f>
        <v>5</v>
      </c>
      <c r="AK1119" s="50" t="n">
        <f aca="false">AJ1119*G1119</f>
        <v>358.15</v>
      </c>
      <c r="AL1119" s="50" t="n">
        <f aca="false">ROUNDUP(CK1119+MAX(CL1119,2*(J1119/IF(CG1119&gt;0,CG1119,MAX(0.1,N(Cockpit!$C$6)))-CK1119)),0)</f>
        <v>15</v>
      </c>
      <c r="AM1119" s="51" t="n">
        <f aca="false">IF(AI1119&gt;0,J1119/AI1119,-1)</f>
        <v>2.18064516129032</v>
      </c>
      <c r="AN1119" s="51" t="n">
        <f aca="false">IF(AND(OR(CF1119="L1",CF1119="L23",CF1119="LIFT"),AI1119&gt;0),SUMIFS($AI$7:$AI$1843,$CF$7:$CF$1843,CF1119,$AM$7:$AM$1843,"&gt;"&amp;AM1119)+SUMIFS($AI$7:$AI$1843,$CF$7:$CF$1843,CF1119,$AM$7:$AM$1843,AM1119,$BW$7:$BW$1843,"&lt;="&amp;BW1119),"")</f>
        <v>5729.10302197802</v>
      </c>
      <c r="AO1119" s="58" t="n">
        <f aca="false">IF(AN1119="",0,MAX(0,MIN(1,(IF(CF1119="L1",Parameter!$H$5,IF(CF1119="L23",Parameter!$H$6+Parameter!$H$7,Parameter!$H$5+Parameter!$H$6+Parameter!$H$7))-(AN1119-AI1119))/AI1119)))</f>
        <v>1</v>
      </c>
      <c r="AP1119" s="50" t="n">
        <f aca="false">IF(LEFT(Cockpit!$I$5,1)="A",H1119,IF(Parameter!$E$30="MAX-Bestand",IF(CH1119=1,CI1119,IF(LEFT(Cockpit!$I$5,1)="B",AV1119,MAX(AV1119,H1119))),ROUNDUP(AT1119,0)))</f>
        <v>8</v>
      </c>
      <c r="AQ1119" s="50" t="n">
        <f aca="false">IF(BZ1119=1,0,ROUNDUP(AP1119/BY1119,0))</f>
        <v>1</v>
      </c>
      <c r="AR1119" s="52" t="n">
        <f aca="false">IF(CQ1119&gt;0,CQ1119*MAX(1,AP1119/X1119),IF(BZ1119=1,IF(AP1119&lt;=0,0,CD1119*MAX(1,IF(H1119&gt;0,AP1119/H1119,1))),IF(R1119&gt;0,AQ1119/R1119,0))/MAX(0.1,N(Parameter!$M$21)))</f>
        <v>0.0384615384615385</v>
      </c>
      <c r="AS1119" s="50" t="n">
        <f aca="false">AR1119*CB1119</f>
        <v>5.96153846153846</v>
      </c>
      <c r="AT1119" s="51" t="n">
        <f aca="false">IF(LEFT(Cockpit!$I$5,1)="A",H1119,IF(CH1119=1,(CK1119+CI1119)/2,IF(LEFT(Cockpit!$I$5,1)="B",(CK1119+AV1119)/2,MAX((CK1119+AV1119)/2,H1119))))</f>
        <v>7.5</v>
      </c>
      <c r="AU1119" s="50" t="n">
        <f aca="false">AT1119*G1119</f>
        <v>537.225</v>
      </c>
      <c r="AV1119" s="50" t="n">
        <f aca="false">ROUNDUP(CK1119+MAX(CL1119,2*(J1119/IF(CG1119&gt;0,CG1119,MAX(0.1,N(Cockpit!$I$6)))-CK1119)),0)</f>
        <v>15</v>
      </c>
      <c r="AW1119" s="51" t="n">
        <f aca="false">IF(AS1119&gt;0,J1119/AS1119,-1)</f>
        <v>2.18064516129032</v>
      </c>
      <c r="AX1119" s="51" t="n">
        <f aca="false">IF(AND(OR(CF1119="L1",CF1119="L23",CF1119="LIFT"),AS1119&gt;0),SUMIFS($AS$7:$AS$1843,$CF$7:$CF$1843,CF1119,$AW$7:$AW$1843,"&gt;"&amp;AW1119)+SUMIFS($AS$7:$AS$1843,$CF$7:$CF$1843,CF1119,$AW$7:$AW$1843,AW1119,$BW$7:$BW$1843,"&lt;="&amp;BW1119),"")</f>
        <v>6633.16437728938</v>
      </c>
      <c r="AY1119" s="58" t="n">
        <f aca="false">IF(AX1119="",0,MAX(0,MIN(1,(IF(CF1119="L1",Parameter!$H$5,IF(CF1119="L23",Parameter!$H$6+Parameter!$H$7,Parameter!$H$5+Parameter!$H$6+Parameter!$H$7))-(AX1119-AS1119))/AS1119)))</f>
        <v>1</v>
      </c>
      <c r="AZ1119" s="50" t="n">
        <f aca="false">IF(LEFT(Cockpit!$O$5,1)="A",H1119,IF(Parameter!$E$30="MAX-Bestand",IF(CH1119=1,CI1119,IF(LEFT(Cockpit!$O$5,1)="B",BF1119,MAX(BF1119,H1119))),ROUNDUP(BD1119,0)))</f>
        <v>8</v>
      </c>
      <c r="BA1119" s="50" t="n">
        <f aca="false">IF(BZ1119=1,0,ROUNDUP(AZ1119/BY1119,0))</f>
        <v>1</v>
      </c>
      <c r="BB1119" s="52" t="n">
        <f aca="false">IF(CQ1119&gt;0,CQ1119*MAX(1,AZ1119/X1119),IF(BZ1119=1,IF(AZ1119&lt;=0,0,CD1119*MAX(1,IF(H1119&gt;0,AZ1119/H1119,1))),IF(R1119&gt;0,BA1119/R1119,0))/MAX(0.1,N(Parameter!$M$21)))</f>
        <v>0.0384615384615385</v>
      </c>
      <c r="BC1119" s="50" t="n">
        <f aca="false">BB1119*CB1119</f>
        <v>5.96153846153846</v>
      </c>
      <c r="BD1119" s="51" t="n">
        <f aca="false">IF(LEFT(Cockpit!$O$5,1)="A",H1119,IF(CH1119=1,(CK1119+CI1119)/2,IF(LEFT(Cockpit!$O$5,1)="B",(CK1119+BF1119)/2,MAX((CK1119+BF1119)/2,H1119))))</f>
        <v>7.5</v>
      </c>
      <c r="BE1119" s="50" t="n">
        <f aca="false">BD1119*G1119</f>
        <v>537.225</v>
      </c>
      <c r="BF1119" s="50" t="n">
        <f aca="false">ROUNDUP(CK1119+MAX(CL1119,2*(J1119/IF(CG1119&gt;0,CG1119,MAX(0.1,N(Cockpit!$O$6)))-CK1119)),0)</f>
        <v>15</v>
      </c>
      <c r="BG1119" s="51" t="n">
        <f aca="false">IF(BC1119&gt;0,J1119/BC1119,-1)</f>
        <v>2.18064516129032</v>
      </c>
      <c r="BH1119" s="51" t="n">
        <f aca="false">IF(AND(OR(CF1119="L1",CF1119="L23",CF1119="LIFT"),BC1119&gt;0),SUMIFS($BC$7:$BC$1843,$CF$7:$CF$1843,CF1119,$BG$7:$BG$1843,"&gt;"&amp;BG1119)+SUMIFS($BC$7:$BC$1843,$CF$7:$CF$1843,CF1119,$BG$7:$BG$1843,BG1119,$BW$7:$BW$1843,"&lt;="&amp;BW1119),"")</f>
        <v>5711.32692307692</v>
      </c>
      <c r="BI1119" s="58" t="n">
        <f aca="false">IF(BH1119="",0,MAX(0,MIN(1,(IF(CF1119="L1",Parameter!$H$5,IF(CF1119="L23",Parameter!$H$6+Parameter!$H$7,Parameter!$H$5+Parameter!$H$6+Parameter!$H$7))-(BH1119-BC1119))/BC1119)))</f>
        <v>1</v>
      </c>
      <c r="BJ1119" s="48" t="str">
        <f aca="false">IF(AI1119&lt;=0,"",IF(CF1119="Aussen","Aussenlager",IF(CF1119="-","Nicht im Lift",IF(AO1119&gt;=1,"Lift",IF(AO1119&lt;=0,"Aussenlager","teilweise")))))</f>
        <v>Lift</v>
      </c>
      <c r="BK1119" s="48" t="str">
        <f aca="false">IF(AS1119&lt;=0,"",IF(CF1119="Aussen","Aussenlager",IF(CF1119="-","Nicht im Lift",IF(AY1119&gt;=1,"Lift",IF(AY1119&lt;=0,"Aussenlager","teilweise")))))</f>
        <v>Lift</v>
      </c>
      <c r="BL1119" s="48" t="str">
        <f aca="false">IF(BC1119&lt;=0,"",IF(CF1119="Aussen","Aussenlager",IF(CF1119="-","Nicht im Lift",IF(BI1119&gt;=1,"Lift",IF(BI1119&lt;=0,"Aussenlager","teilweise")))))</f>
        <v>Lift</v>
      </c>
      <c r="BM1119" s="48" t="str">
        <f aca="false">IF(A1119="","",IF(BV1119=1,"Neu; ","")&amp;IF(AND(BV1119=0,BQ1119&lt;0),"negativer Bestand (Export "&amp;BQ1119&amp;"); ","")&amp;IF(J1119&lt;=0,"Kein Verbrauch; ","")&amp;IF(CQ1119&gt;0,"Lift "&amp;W1119&amp;" lt. Liftbericht (Fach "&amp;X1119&amp;" Stk); ",IF(CA1119=1,"Gebinde geschätzt ("&amp;T1119&amp;"); ",IF(BZ1119=1,"Lose – Tablare geschätzt; ","")))&amp;IF(H1119&gt;AV1119,"Überbestand "&amp;ROUND(H1119-AV1119,0)&amp;" Stk / CHF "&amp;ROUND((H1119-AV1119)*G1119,0)&amp;"; ","")&amp;IF(AND(CH1119=1,CI1119&lt;CJ1119),"MAX &lt; MB+LG; ","")&amp;IF(AND(CP1119&gt;0,CO1119*10&gt;CP1119),"zu hoch für Tablar; ","")&amp;IF(AND(BV1119=0,OR(CH1119=1,AA1119&lt;&gt;"",U1119&lt;&gt;"",V1119&lt;&gt;"",AB1119&lt;&gt;"")),"manuell übersteuert; ","")&amp;IF(AND(BZ1119=0,R1119=0),"Gebinde unbekannt / Stellmass fehlt; ","")&amp;IF(AND(BZ1119=0,N(V1119)&lt;=0,N(Q1119)&lt;=0),"Menge pro Gebinde fehlt (Ist = 1 Gebinde); ","")&amp;BU1119)</f>
        <v>negativer Bestand (Export -4); Überbestand</v>
      </c>
      <c r="BN1119" s="48"/>
      <c r="BO1119" s="48"/>
      <c r="BP1119" s="55"/>
      <c r="BQ1119" s="50" t="n">
        <v>-4</v>
      </c>
      <c r="BR1119" s="50" t="n">
        <v>9</v>
      </c>
      <c r="BS1119" s="49" t="n">
        <v>-239.45</v>
      </c>
      <c r="BT1119" s="50" t="n">
        <v>13</v>
      </c>
      <c r="BU1119" s="48" t="s">
        <v>401</v>
      </c>
      <c r="BV1119" s="53" t="n">
        <v>0</v>
      </c>
      <c r="BW1119" s="53" t="n">
        <v>1119</v>
      </c>
      <c r="BX1119" s="48" t="str">
        <f aca="false">IF(U1119&lt;&gt;"",UPPER(TRIM(U1119)),IF(CA1119=1,UPPER(VLOOKUP(T1119,Parameter!$I$27:$K$29,2,0)),IF(P1119="","LOSE",P1119)))</f>
        <v>S51</v>
      </c>
      <c r="BY1119" s="50" t="n">
        <f aca="false">IF(BX1119="LOSE",1,IF(N(V1119)&gt;0,V1119,IF(CA1119=1,MAX(1,N(VLOOKUP(T1119,Parameter!$I$27:$K$29,3,0)),H1119,N(N1119)),IF(N(Q1119)&gt;0,Q1119,MAX(1,H1119)))))</f>
        <v>37</v>
      </c>
      <c r="BZ1119" s="53" t="n">
        <f aca="false">IF(BX1119="LOSE",1,0)</f>
        <v>0</v>
      </c>
      <c r="CA1119" s="53" t="n">
        <f aca="false">IF(AND(U1119="",OR(P1119="",P1119="LOSE"),T1119&lt;&gt;"",N(S1119)&lt;=0,ISNUMBER(MATCH(T1119,Parameter!$I$27:$I$29,0))),1,0)</f>
        <v>0</v>
      </c>
      <c r="CB1119" s="53" t="n">
        <f aca="false">IF(CQ1119&gt;0,INDEX(Parameter!$H$5:$H$7,W1119)/INDEX(Parameter!$E$5:$E$7,W1119),IF(AND(BZ1119=0,N(IFERROR(VLOOKUP(BX1119,'Gebinde-Kategorie'!$A$5:$N$45,14,0),0))&gt;0),VLOOKUP(BX1119,'Gebinde-Kategorie'!$A$5:$N$45,14,0)*10+Parameter!$M$23,Parameter!$M$24))</f>
        <v>155</v>
      </c>
      <c r="CC1119" s="48" t="str">
        <f aca="false">IF(AND(Parameter!$B$19="Ja",E1119&lt;&gt;"",ISNUMBER(MATCH(E1119,Parameter!$I$35:$I$52,0))),VLOOKUP(E1119,Parameter!$I$35:$J$52,2,0),IFERROR(VLOOKUP(D1119,Parameter!$A$35:$C$64,2,0),"Nein"))</f>
        <v>2+3</v>
      </c>
      <c r="CD1119" s="52" t="n">
        <f aca="false">IF(BZ1119=0,0,IF(N(S1119)&gt;0,S1119,IFERROR(VLOOKUP(D1119,Parameter!$A$35:$C$64,3,0)+0,0)))</f>
        <v>0</v>
      </c>
      <c r="CE1119" s="48" t="n">
        <f aca="false">IF(AA1119&lt;&gt;"",AA1119,Z1119)</f>
        <v>3</v>
      </c>
      <c r="CF1119" s="48" t="str">
        <f aca="false">IF(OR(CE1119=1,CE1119=2,CE1119=3),IF(Parameter!$E$27="Ja","LIFT",IF(CE1119=1,"L1","L23")),IF(CE1119="Aussen","Aussen","-"))</f>
        <v>LIFT</v>
      </c>
      <c r="CG1119" s="59" t="n">
        <f aca="false">IF(N(AB1119)&gt;0,AB1119,0)</f>
        <v>0</v>
      </c>
      <c r="CH1119" s="53" t="n">
        <f aca="false">IF(ISNUMBER(AE1119),1,0)</f>
        <v>0</v>
      </c>
      <c r="CI1119" s="50" t="n">
        <f aca="false">N(AE1119)</f>
        <v>0</v>
      </c>
      <c r="CJ1119" s="50" t="n">
        <f aca="false">N(M1119)+N(N1119)</f>
        <v>15</v>
      </c>
      <c r="CK1119" s="50" t="n">
        <f aca="false">N(M1119)</f>
        <v>0</v>
      </c>
      <c r="CL1119" s="50" t="n">
        <f aca="false">N(N1119)</f>
        <v>15</v>
      </c>
      <c r="CM1119" s="50" t="n">
        <f aca="false">ROUNDUP(H1119/BY1119,0)</f>
        <v>1</v>
      </c>
      <c r="CN1119" s="50" t="n">
        <f aca="false">ROUNDUP(CI1119/BY1119,0)</f>
        <v>0</v>
      </c>
      <c r="CO1119" s="53" t="n">
        <f aca="false">IF(BZ1119=1,0,IFERROR(VLOOKUP(BX1119,'Gebinde-Kategorie'!$A$5:$N$45,5,0)+0,0))</f>
        <v>11</v>
      </c>
      <c r="CP1119" s="53" t="n">
        <f aca="false">IFERROR(IF(OR(CE1119=1,CE1119=2,CE1119=3),N(INDEX(Parameter!$I$5:$I$7,CE1119)),0),0)</f>
        <v>0</v>
      </c>
      <c r="CQ1119" s="52" t="n">
        <f aca="false">IF(AND(Parameter!$B$21="Ja",ISNUMBER(W1119),N(X1119)&gt;0),IFERROR(N(INDEX(Parameter!$L$5:$L$7,W1119))*INDEX(Parameter!$E$5:$E$7,W1119)*X1119/SUMIFS($X$7:$X$1843,$W$7:$W$1843,W1119),0),0)</f>
        <v>0</v>
      </c>
    </row>
    <row r="1120" customFormat="false" ht="15" hidden="false" customHeight="false" outlineLevel="0" collapsed="false">
      <c r="A1120" s="48" t="s">
        <v>2039</v>
      </c>
      <c r="B1120" s="48" t="s">
        <v>2040</v>
      </c>
      <c r="C1120" s="48" t="s">
        <v>173</v>
      </c>
      <c r="D1120" s="48" t="s">
        <v>193</v>
      </c>
      <c r="E1120" s="48" t="s">
        <v>194</v>
      </c>
      <c r="F1120" s="48" t="s">
        <v>227</v>
      </c>
      <c r="G1120" s="49" t="n">
        <v>58.79</v>
      </c>
      <c r="H1120" s="50" t="n">
        <f aca="false">MAX(0,IF(AND(Parameter!$B$21="Ja",ISNUMBER(Y1120)),Y1120,IF(Parameter!$B$20="Jahresanfang 2025 + Export",BR1120+BQ1120,BQ1120)))</f>
        <v>6</v>
      </c>
      <c r="I1120" s="50" t="n">
        <f aca="false">H1120*G1120</f>
        <v>352.74</v>
      </c>
      <c r="J1120" s="50" t="n">
        <f aca="false">BT1120*Parameter!$B$18</f>
        <v>7</v>
      </c>
      <c r="K1120" s="51" t="n">
        <v>10.5</v>
      </c>
      <c r="L1120" s="52" t="n">
        <v>0.666666666666667</v>
      </c>
      <c r="M1120" s="50" t="n">
        <v>0</v>
      </c>
      <c r="N1120" s="50" t="n">
        <v>5</v>
      </c>
      <c r="O1120" s="53" t="n">
        <v>28</v>
      </c>
      <c r="P1120" s="48" t="s">
        <v>242</v>
      </c>
      <c r="Q1120" s="50" t="n">
        <v>18</v>
      </c>
      <c r="R1120" s="53" t="n">
        <f aca="false">IF(BZ1120=1,0,IFERROR(VLOOKUP(BX1120,'Gebinde-Kategorie'!$A$5:$N$45,13,0)+0,0))</f>
        <v>26</v>
      </c>
      <c r="S1120" s="54"/>
      <c r="T1120" s="55"/>
      <c r="U1120" s="55"/>
      <c r="V1120" s="55"/>
      <c r="W1120" s="48"/>
      <c r="X1120" s="50"/>
      <c r="Y1120" s="50"/>
      <c r="Z1120" s="48" t="n">
        <f aca="false">IF(A1120="","",IF(AND(Parameter!$B$21="Ja",ISNUMBER(W1120)),W1120,IF(CC1120="2+3",IF(ISNUMBER(SEARCH("grosser Artikel",BU1120)),2,IFERROR(VLOOKUP(BX1120,Parameter!$F$35:$G$64,2,0),2)),IF(OR(CC1120="Nein",CC1120=""),"-",CC1120))))</f>
        <v>3</v>
      </c>
      <c r="AA1120" s="55"/>
      <c r="AB1120" s="56"/>
      <c r="AC1120" s="50" t="n">
        <f aca="false">AV1120</f>
        <v>5</v>
      </c>
      <c r="AD1120" s="50" t="n">
        <f aca="false">MAX(AV1120,H1120)</f>
        <v>6</v>
      </c>
      <c r="AE1120" s="57"/>
      <c r="AF1120" s="50" t="n">
        <f aca="false">IF(LEFT(Cockpit!$C$5,1)="A",H1120,IF(Parameter!$E$30="MAX-Bestand",IF(CH1120=1,CI1120,IF(LEFT(Cockpit!$C$5,1)="B",AL1120,MAX(AL1120,H1120))),ROUNDUP(AJ1120,0)))</f>
        <v>6</v>
      </c>
      <c r="AG1120" s="50" t="n">
        <f aca="false">IF(BZ1120=1,0,ROUNDUP(AF1120/BY1120,0))</f>
        <v>1</v>
      </c>
      <c r="AH1120" s="52" t="n">
        <f aca="false">IF(CQ1120&gt;0,CQ1120*MAX(1,AF1120/X1120),IF(BZ1120=1,IF(AF1120&lt;=0,0,CD1120*MAX(1,IF(H1120&gt;0,AF1120/H1120,1))),IF(R1120&gt;0,AG1120/R1120,0))/MAX(0.1,N(Parameter!$M$21)))</f>
        <v>0.0384615384615385</v>
      </c>
      <c r="AI1120" s="50" t="n">
        <f aca="false">AH1120*CB1120</f>
        <v>9.42307692307692</v>
      </c>
      <c r="AJ1120" s="51" t="n">
        <f aca="false">IF(LEFT(Cockpit!$C$5,1)="A",H1120,IF(CH1120=1,(CK1120+CI1120)/2,IF(LEFT(Cockpit!$C$5,1)="B",(CK1120+AL1120)/2,MAX((CK1120+AL1120)/2,H1120))))</f>
        <v>6</v>
      </c>
      <c r="AK1120" s="50" t="n">
        <f aca="false">AJ1120*G1120</f>
        <v>352.74</v>
      </c>
      <c r="AL1120" s="50" t="n">
        <f aca="false">ROUNDUP(CK1120+MAX(CL1120,2*(J1120/IF(CG1120&gt;0,CG1120,MAX(0.1,N(Cockpit!$C$6)))-CK1120)),0)</f>
        <v>5</v>
      </c>
      <c r="AM1120" s="51" t="n">
        <f aca="false">IF(AI1120&gt;0,J1120/AI1120,-1)</f>
        <v>0.742857142857143</v>
      </c>
      <c r="AN1120" s="51" t="n">
        <f aca="false">IF(AND(OR(CF1120="L1",CF1120="L23",CF1120="LIFT"),AI1120&gt;0),SUMIFS($AI$7:$AI$1843,$CF$7:$CF$1843,CF1120,$AM$7:$AM$1843,"&gt;"&amp;AM1120)+SUMIFS($AI$7:$AI$1843,$CF$7:$CF$1843,CF1120,$AM$7:$AM$1843,AM1120,$BW$7:$BW$1843,"&lt;="&amp;BW1120),"")</f>
        <v>8398.41987179487</v>
      </c>
      <c r="AO1120" s="58" t="n">
        <f aca="false">IF(AN1120="",0,MAX(0,MIN(1,(IF(CF1120="L1",Parameter!$H$5,IF(CF1120="L23",Parameter!$H$6+Parameter!$H$7,Parameter!$H$5+Parameter!$H$6+Parameter!$H$7))-(AN1120-AI1120))/AI1120)))</f>
        <v>1</v>
      </c>
      <c r="AP1120" s="50" t="n">
        <f aca="false">IF(LEFT(Cockpit!$I$5,1)="A",H1120,IF(Parameter!$E$30="MAX-Bestand",IF(CH1120=1,CI1120,IF(LEFT(Cockpit!$I$5,1)="B",AV1120,MAX(AV1120,H1120))),ROUNDUP(AT1120,0)))</f>
        <v>6</v>
      </c>
      <c r="AQ1120" s="50" t="n">
        <f aca="false">IF(BZ1120=1,0,ROUNDUP(AP1120/BY1120,0))</f>
        <v>1</v>
      </c>
      <c r="AR1120" s="52" t="n">
        <f aca="false">IF(CQ1120&gt;0,CQ1120*MAX(1,AP1120/X1120),IF(BZ1120=1,IF(AP1120&lt;=0,0,CD1120*MAX(1,IF(H1120&gt;0,AP1120/H1120,1))),IF(R1120&gt;0,AQ1120/R1120,0))/MAX(0.1,N(Parameter!$M$21)))</f>
        <v>0.0384615384615385</v>
      </c>
      <c r="AS1120" s="50" t="n">
        <f aca="false">AR1120*CB1120</f>
        <v>9.42307692307692</v>
      </c>
      <c r="AT1120" s="51" t="n">
        <f aca="false">IF(LEFT(Cockpit!$I$5,1)="A",H1120,IF(CH1120=1,(CK1120+CI1120)/2,IF(LEFT(Cockpit!$I$5,1)="B",(CK1120+AV1120)/2,MAX((CK1120+AV1120)/2,H1120))))</f>
        <v>6</v>
      </c>
      <c r="AU1120" s="50" t="n">
        <f aca="false">AT1120*G1120</f>
        <v>352.74</v>
      </c>
      <c r="AV1120" s="50" t="n">
        <f aca="false">ROUNDUP(CK1120+MAX(CL1120,2*(J1120/IF(CG1120&gt;0,CG1120,MAX(0.1,N(Cockpit!$I$6)))-CK1120)),0)</f>
        <v>5</v>
      </c>
      <c r="AW1120" s="51" t="n">
        <f aca="false">IF(AS1120&gt;0,J1120/AS1120,-1)</f>
        <v>0.742857142857143</v>
      </c>
      <c r="AX1120" s="51" t="n">
        <f aca="false">IF(AND(OR(CF1120="L1",CF1120="L23",CF1120="LIFT"),AS1120&gt;0),SUMIFS($AS$7:$AS$1843,$CF$7:$CF$1843,CF1120,$AW$7:$AW$1843,"&gt;"&amp;AW1120)+SUMIFS($AS$7:$AS$1843,$CF$7:$CF$1843,CF1120,$AW$7:$AW$1843,AW1120,$BW$7:$BW$1843,"&lt;="&amp;BW1120),"")</f>
        <v>10657.9880952381</v>
      </c>
      <c r="AY1120" s="58" t="n">
        <f aca="false">IF(AX1120="",0,MAX(0,MIN(1,(IF(CF1120="L1",Parameter!$H$5,IF(CF1120="L23",Parameter!$H$6+Parameter!$H$7,Parameter!$H$5+Parameter!$H$6+Parameter!$H$7))-(AX1120-AS1120))/AS1120)))</f>
        <v>1</v>
      </c>
      <c r="AZ1120" s="50" t="n">
        <f aca="false">IF(LEFT(Cockpit!$O$5,1)="A",H1120,IF(Parameter!$E$30="MAX-Bestand",IF(CH1120=1,CI1120,IF(LEFT(Cockpit!$O$5,1)="B",BF1120,MAX(BF1120,H1120))),ROUNDUP(BD1120,0)))</f>
        <v>3</v>
      </c>
      <c r="BA1120" s="50" t="n">
        <f aca="false">IF(BZ1120=1,0,ROUNDUP(AZ1120/BY1120,0))</f>
        <v>1</v>
      </c>
      <c r="BB1120" s="52" t="n">
        <f aca="false">IF(CQ1120&gt;0,CQ1120*MAX(1,AZ1120/X1120),IF(BZ1120=1,IF(AZ1120&lt;=0,0,CD1120*MAX(1,IF(H1120&gt;0,AZ1120/H1120,1))),IF(R1120&gt;0,BA1120/R1120,0))/MAX(0.1,N(Parameter!$M$21)))</f>
        <v>0.0384615384615385</v>
      </c>
      <c r="BC1120" s="50" t="n">
        <f aca="false">BB1120*CB1120</f>
        <v>9.42307692307692</v>
      </c>
      <c r="BD1120" s="51" t="n">
        <f aca="false">IF(LEFT(Cockpit!$O$5,1)="A",H1120,IF(CH1120=1,(CK1120+CI1120)/2,IF(LEFT(Cockpit!$O$5,1)="B",(CK1120+BF1120)/2,MAX((CK1120+BF1120)/2,H1120))))</f>
        <v>2.5</v>
      </c>
      <c r="BE1120" s="50" t="n">
        <f aca="false">BD1120*G1120</f>
        <v>146.975</v>
      </c>
      <c r="BF1120" s="50" t="n">
        <f aca="false">ROUNDUP(CK1120+MAX(CL1120,2*(J1120/IF(CG1120&gt;0,CG1120,MAX(0.1,N(Cockpit!$O$6)))-CK1120)),0)</f>
        <v>5</v>
      </c>
      <c r="BG1120" s="51" t="n">
        <f aca="false">IF(BC1120&gt;0,J1120/BC1120,-1)</f>
        <v>0.742857142857143</v>
      </c>
      <c r="BH1120" s="51" t="n">
        <f aca="false">IF(AND(OR(CF1120="L1",CF1120="L23",CF1120="LIFT"),BC1120&gt;0),SUMIFS($BC$7:$BC$1843,$CF$7:$CF$1843,CF1120,$BG$7:$BG$1843,"&gt;"&amp;BG1120)+SUMIFS($BC$7:$BC$1843,$CF$7:$CF$1843,CF1120,$BG$7:$BG$1843,BG1120,$BW$7:$BW$1843,"&lt;="&amp;BW1120),"")</f>
        <v>9121.37225274725</v>
      </c>
      <c r="BI1120" s="58" t="n">
        <f aca="false">IF(BH1120="",0,MAX(0,MIN(1,(IF(CF1120="L1",Parameter!$H$5,IF(CF1120="L23",Parameter!$H$6+Parameter!$H$7,Parameter!$H$5+Parameter!$H$6+Parameter!$H$7))-(BH1120-BC1120))/BC1120)))</f>
        <v>1</v>
      </c>
      <c r="BJ1120" s="48" t="str">
        <f aca="false">IF(AI1120&lt;=0,"",IF(CF1120="Aussen","Aussenlager",IF(CF1120="-","Nicht im Lift",IF(AO1120&gt;=1,"Lift",IF(AO1120&lt;=0,"Aussenlager","teilweise")))))</f>
        <v>Lift</v>
      </c>
      <c r="BK1120" s="48" t="str">
        <f aca="false">IF(AS1120&lt;=0,"",IF(CF1120="Aussen","Aussenlager",IF(CF1120="-","Nicht im Lift",IF(AY1120&gt;=1,"Lift",IF(AY1120&lt;=0,"Aussenlager","teilweise")))))</f>
        <v>Lift</v>
      </c>
      <c r="BL1120" s="48" t="str">
        <f aca="false">IF(BC1120&lt;=0,"",IF(CF1120="Aussen","Aussenlager",IF(CF1120="-","Nicht im Lift",IF(BI1120&gt;=1,"Lift",IF(BI1120&lt;=0,"Aussenlager","teilweise")))))</f>
        <v>Lift</v>
      </c>
      <c r="BM1120" s="48" t="str">
        <f aca="false">IF(A1120="","",IF(BV1120=1,"Neu; ","")&amp;IF(AND(BV1120=0,BQ1120&lt;0),"negativer Bestand (Export "&amp;BQ1120&amp;"); ","")&amp;IF(J1120&lt;=0,"Kein Verbrauch; ","")&amp;IF(CQ1120&gt;0,"Lift "&amp;W1120&amp;" lt. Liftbericht (Fach "&amp;X1120&amp;" Stk); ",IF(CA1120=1,"Gebinde geschätzt ("&amp;T1120&amp;"); ",IF(BZ1120=1,"Lose – Tablare geschätzt; ","")))&amp;IF(H1120&gt;AV1120,"Überbestand "&amp;ROUND(H1120-AV1120,0)&amp;" Stk / CHF "&amp;ROUND((H1120-AV1120)*G1120,0)&amp;"; ","")&amp;IF(AND(CH1120=1,CI1120&lt;CJ1120),"MAX &lt; MB+LG; ","")&amp;IF(AND(CP1120&gt;0,CO1120*10&gt;CP1120),"zu hoch für Tablar; ","")&amp;IF(AND(BV1120=0,OR(CH1120=1,AA1120&lt;&gt;"",U1120&lt;&gt;"",V1120&lt;&gt;"",AB1120&lt;&gt;"")),"manuell übersteuert; ","")&amp;IF(AND(BZ1120=0,R1120=0),"Gebinde unbekannt / Stellmass fehlt; ","")&amp;IF(AND(BZ1120=0,N(V1120)&lt;=0,N(Q1120)&lt;=0),"Menge pro Gebinde fehlt (Ist = 1 Gebinde); ","")&amp;BU1120)</f>
        <v>negativer Bestand (Export -4); Überbestand 1 Stk / CHF 59; Neu</v>
      </c>
      <c r="BN1120" s="48"/>
      <c r="BO1120" s="48"/>
      <c r="BP1120" s="55"/>
      <c r="BQ1120" s="50" t="n">
        <v>-4</v>
      </c>
      <c r="BR1120" s="50" t="n">
        <v>10</v>
      </c>
      <c r="BS1120" s="49" t="n">
        <v>-241.06</v>
      </c>
      <c r="BT1120" s="50" t="n">
        <v>7</v>
      </c>
      <c r="BU1120" s="48" t="s">
        <v>635</v>
      </c>
      <c r="BV1120" s="53" t="n">
        <v>0</v>
      </c>
      <c r="BW1120" s="53" t="n">
        <v>1120</v>
      </c>
      <c r="BX1120" s="48" t="str">
        <f aca="false">IF(U1120&lt;&gt;"",UPPER(TRIM(U1120)),IF(CA1120=1,UPPER(VLOOKUP(T1120,Parameter!$I$27:$K$29,2,0)),IF(P1120="","LOSE",P1120)))</f>
        <v>S52</v>
      </c>
      <c r="BY1120" s="50" t="n">
        <f aca="false">IF(BX1120="LOSE",1,IF(N(V1120)&gt;0,V1120,IF(CA1120=1,MAX(1,N(VLOOKUP(T1120,Parameter!$I$27:$K$29,3,0)),H1120,N(N1120)),IF(N(Q1120)&gt;0,Q1120,MAX(1,H1120)))))</f>
        <v>18</v>
      </c>
      <c r="BZ1120" s="53" t="n">
        <f aca="false">IF(BX1120="LOSE",1,0)</f>
        <v>0</v>
      </c>
      <c r="CA1120" s="53" t="n">
        <f aca="false">IF(AND(U1120="",OR(P1120="",P1120="LOSE"),T1120&lt;&gt;"",N(S1120)&lt;=0,ISNUMBER(MATCH(T1120,Parameter!$I$27:$I$29,0))),1,0)</f>
        <v>0</v>
      </c>
      <c r="CB1120" s="53" t="n">
        <f aca="false">IF(CQ1120&gt;0,INDEX(Parameter!$H$5:$H$7,W1120)/INDEX(Parameter!$E$5:$E$7,W1120),IF(AND(BZ1120=0,N(IFERROR(VLOOKUP(BX1120,'Gebinde-Kategorie'!$A$5:$N$45,14,0),0))&gt;0),VLOOKUP(BX1120,'Gebinde-Kategorie'!$A$5:$N$45,14,0)*10+Parameter!$M$23,Parameter!$M$24))</f>
        <v>245</v>
      </c>
      <c r="CC1120" s="48" t="str">
        <f aca="false">IF(AND(Parameter!$B$19="Ja",E1120&lt;&gt;"",ISNUMBER(MATCH(E1120,Parameter!$I$35:$I$52,0))),VLOOKUP(E1120,Parameter!$I$35:$J$52,2,0),IFERROR(VLOOKUP(D1120,Parameter!$A$35:$C$64,2,0),"Nein"))</f>
        <v>2+3</v>
      </c>
      <c r="CD1120" s="52" t="n">
        <f aca="false">IF(BZ1120=0,0,IF(N(S1120)&gt;0,S1120,IFERROR(VLOOKUP(D1120,Parameter!$A$35:$C$64,3,0)+0,0)))</f>
        <v>0</v>
      </c>
      <c r="CE1120" s="48" t="n">
        <f aca="false">IF(AA1120&lt;&gt;"",AA1120,Z1120)</f>
        <v>3</v>
      </c>
      <c r="CF1120" s="48" t="str">
        <f aca="false">IF(OR(CE1120=1,CE1120=2,CE1120=3),IF(Parameter!$E$27="Ja","LIFT",IF(CE1120=1,"L1","L23")),IF(CE1120="Aussen","Aussen","-"))</f>
        <v>LIFT</v>
      </c>
      <c r="CG1120" s="59" t="n">
        <f aca="false">IF(N(AB1120)&gt;0,AB1120,0)</f>
        <v>0</v>
      </c>
      <c r="CH1120" s="53" t="n">
        <f aca="false">IF(ISNUMBER(AE1120),1,0)</f>
        <v>0</v>
      </c>
      <c r="CI1120" s="50" t="n">
        <f aca="false">N(AE1120)</f>
        <v>0</v>
      </c>
      <c r="CJ1120" s="50" t="n">
        <f aca="false">N(M1120)+N(N1120)</f>
        <v>5</v>
      </c>
      <c r="CK1120" s="50" t="n">
        <f aca="false">N(M1120)</f>
        <v>0</v>
      </c>
      <c r="CL1120" s="50" t="n">
        <f aca="false">N(N1120)</f>
        <v>5</v>
      </c>
      <c r="CM1120" s="50" t="n">
        <f aca="false">ROUNDUP(H1120/BY1120,0)</f>
        <v>1</v>
      </c>
      <c r="CN1120" s="50" t="n">
        <f aca="false">ROUNDUP(CI1120/BY1120,0)</f>
        <v>0</v>
      </c>
      <c r="CO1120" s="53" t="n">
        <f aca="false">IF(BZ1120=1,0,IFERROR(VLOOKUP(BX1120,'Gebinde-Kategorie'!$A$5:$N$45,5,0)+0,0))</f>
        <v>21</v>
      </c>
      <c r="CP1120" s="53" t="n">
        <f aca="false">IFERROR(IF(OR(CE1120=1,CE1120=2,CE1120=3),N(INDEX(Parameter!$I$5:$I$7,CE1120)),0),0)</f>
        <v>0</v>
      </c>
      <c r="CQ1120" s="52" t="n">
        <f aca="false">IF(AND(Parameter!$B$21="Ja",ISNUMBER(W1120),N(X1120)&gt;0),IFERROR(N(INDEX(Parameter!$L$5:$L$7,W1120))*INDEX(Parameter!$E$5:$E$7,W1120)*X1120/SUMIFS($X$7:$X$1843,$W$7:$W$1843,W1120),0),0)</f>
        <v>0</v>
      </c>
    </row>
    <row r="1121" customFormat="false" ht="15" hidden="false" customHeight="false" outlineLevel="0" collapsed="false">
      <c r="A1121" s="48" t="s">
        <v>2041</v>
      </c>
      <c r="B1121" s="48" t="s">
        <v>414</v>
      </c>
      <c r="C1121" s="48" t="s">
        <v>173</v>
      </c>
      <c r="D1121" s="48" t="s">
        <v>182</v>
      </c>
      <c r="E1121" s="48" t="s">
        <v>194</v>
      </c>
      <c r="F1121" s="48" t="s">
        <v>227</v>
      </c>
      <c r="G1121" s="49" t="n">
        <v>0.32</v>
      </c>
      <c r="H1121" s="50" t="n">
        <f aca="false">MAX(0,IF(AND(Parameter!$B$21="Ja",ISNUMBER(Y1121)),Y1121,IF(Parameter!$B$20="Jahresanfang 2025 + Export",BR1121+BQ1121,BQ1121)))</f>
        <v>984</v>
      </c>
      <c r="I1121" s="50" t="n">
        <f aca="false">H1121*G1121</f>
        <v>314.88</v>
      </c>
      <c r="J1121" s="50" t="n">
        <f aca="false">BT1121*Parameter!$B$18</f>
        <v>3771</v>
      </c>
      <c r="K1121" s="51" t="n">
        <v>2367</v>
      </c>
      <c r="L1121" s="52" t="n">
        <v>1.59315589353612</v>
      </c>
      <c r="M1121" s="50" t="n">
        <v>219</v>
      </c>
      <c r="N1121" s="50" t="n">
        <v>500</v>
      </c>
      <c r="O1121" s="53" t="n">
        <v>21</v>
      </c>
      <c r="P1121" s="48" t="s">
        <v>183</v>
      </c>
      <c r="Q1121" s="50" t="n">
        <v>1000</v>
      </c>
      <c r="R1121" s="53" t="n">
        <f aca="false">IF(BZ1121=1,0,IFERROR(VLOOKUP(BX1121,'Gebinde-Kategorie'!$A$5:$N$45,13,0)+0,0))</f>
        <v>6</v>
      </c>
      <c r="S1121" s="54"/>
      <c r="T1121" s="55"/>
      <c r="U1121" s="55"/>
      <c r="V1121" s="55"/>
      <c r="W1121" s="48"/>
      <c r="X1121" s="50"/>
      <c r="Y1121" s="50"/>
      <c r="Z1121" s="48" t="n">
        <f aca="false">IF(A1121="","",IF(AND(Parameter!$B$21="Ja",ISNUMBER(W1121)),W1121,IF(CC1121="2+3",IF(ISNUMBER(SEARCH("grosser Artikel",BU1121)),2,IFERROR(VLOOKUP(BX1121,Parameter!$F$35:$G$64,2,0),2)),IF(OR(CC1121="Nein",CC1121=""),"-",CC1121))))</f>
        <v>2</v>
      </c>
      <c r="AA1121" s="55"/>
      <c r="AB1121" s="56"/>
      <c r="AC1121" s="50" t="n">
        <f aca="false">AV1121</f>
        <v>2295</v>
      </c>
      <c r="AD1121" s="50" t="n">
        <f aca="false">MAX(AV1121,H1121)</f>
        <v>2295</v>
      </c>
      <c r="AE1121" s="57"/>
      <c r="AF1121" s="50" t="n">
        <f aca="false">IF(LEFT(Cockpit!$C$5,1)="A",H1121,IF(Parameter!$E$30="MAX-Bestand",IF(CH1121=1,CI1121,IF(LEFT(Cockpit!$C$5,1)="B",AL1121,MAX(AL1121,H1121))),ROUNDUP(AJ1121,0)))</f>
        <v>984</v>
      </c>
      <c r="AG1121" s="50" t="n">
        <f aca="false">IF(BZ1121=1,0,ROUNDUP(AF1121/BY1121,0))</f>
        <v>1</v>
      </c>
      <c r="AH1121" s="52" t="n">
        <f aca="false">IF(CQ1121&gt;0,CQ1121*MAX(1,AF1121/X1121),IF(BZ1121=1,IF(AF1121&lt;=0,0,CD1121*MAX(1,IF(H1121&gt;0,AF1121/H1121,1))),IF(R1121&gt;0,AG1121/R1121,0))/MAX(0.1,N(Parameter!$M$21)))</f>
        <v>0.166666666666667</v>
      </c>
      <c r="AI1121" s="50" t="n">
        <f aca="false">AH1121*CB1121</f>
        <v>39.1666666666667</v>
      </c>
      <c r="AJ1121" s="51" t="n">
        <f aca="false">IF(LEFT(Cockpit!$C$5,1)="A",H1121,IF(CH1121=1,(CK1121+CI1121)/2,IF(LEFT(Cockpit!$C$5,1)="B",(CK1121+AL1121)/2,MAX((CK1121+AL1121)/2,H1121))))</f>
        <v>984</v>
      </c>
      <c r="AK1121" s="50" t="n">
        <f aca="false">AJ1121*G1121</f>
        <v>314.88</v>
      </c>
      <c r="AL1121" s="50" t="n">
        <f aca="false">ROUNDUP(CK1121+MAX(CL1121,2*(J1121/IF(CG1121&gt;0,CG1121,MAX(0.1,N(Cockpit!$C$6)))-CK1121)),0)</f>
        <v>2295</v>
      </c>
      <c r="AM1121" s="51" t="n">
        <f aca="false">IF(AI1121&gt;0,J1121/AI1121,-1)</f>
        <v>96.2808510638298</v>
      </c>
      <c r="AN1121" s="51" t="n">
        <f aca="false">IF(AND(OR(CF1121="L1",CF1121="L23",CF1121="LIFT"),AI1121&gt;0),SUMIFS($AI$7:$AI$1843,$CF$7:$CF$1843,CF1121,$AM$7:$AM$1843,"&gt;"&amp;AM1121)+SUMIFS($AI$7:$AI$1843,$CF$7:$CF$1843,CF1121,$AM$7:$AM$1843,AM1121,$BW$7:$BW$1843,"&lt;="&amp;BW1121),"")</f>
        <v>808.07967032967</v>
      </c>
      <c r="AO1121" s="58" t="n">
        <f aca="false">IF(AN1121="",0,MAX(0,MIN(1,(IF(CF1121="L1",Parameter!$H$5,IF(CF1121="L23",Parameter!$H$6+Parameter!$H$7,Parameter!$H$5+Parameter!$H$6+Parameter!$H$7))-(AN1121-AI1121))/AI1121)))</f>
        <v>1</v>
      </c>
      <c r="AP1121" s="50" t="n">
        <f aca="false">IF(LEFT(Cockpit!$I$5,1)="A",H1121,IF(Parameter!$E$30="MAX-Bestand",IF(CH1121=1,CI1121,IF(LEFT(Cockpit!$I$5,1)="B",AV1121,MAX(AV1121,H1121))),ROUNDUP(AT1121,0)))</f>
        <v>1257</v>
      </c>
      <c r="AQ1121" s="50" t="n">
        <f aca="false">IF(BZ1121=1,0,ROUNDUP(AP1121/BY1121,0))</f>
        <v>2</v>
      </c>
      <c r="AR1121" s="52" t="n">
        <f aca="false">IF(CQ1121&gt;0,CQ1121*MAX(1,AP1121/X1121),IF(BZ1121=1,IF(AP1121&lt;=0,0,CD1121*MAX(1,IF(H1121&gt;0,AP1121/H1121,1))),IF(R1121&gt;0,AQ1121/R1121,0))/MAX(0.1,N(Parameter!$M$21)))</f>
        <v>0.333333333333333</v>
      </c>
      <c r="AS1121" s="50" t="n">
        <f aca="false">AR1121*CB1121</f>
        <v>78.3333333333333</v>
      </c>
      <c r="AT1121" s="51" t="n">
        <f aca="false">IF(LEFT(Cockpit!$I$5,1)="A",H1121,IF(CH1121=1,(CK1121+CI1121)/2,IF(LEFT(Cockpit!$I$5,1)="B",(CK1121+AV1121)/2,MAX((CK1121+AV1121)/2,H1121))))</f>
        <v>1257</v>
      </c>
      <c r="AU1121" s="50" t="n">
        <f aca="false">AT1121*G1121</f>
        <v>402.24</v>
      </c>
      <c r="AV1121" s="50" t="n">
        <f aca="false">ROUNDUP(CK1121+MAX(CL1121,2*(J1121/IF(CG1121&gt;0,CG1121,MAX(0.1,N(Cockpit!$I$6)))-CK1121)),0)</f>
        <v>2295</v>
      </c>
      <c r="AW1121" s="51" t="n">
        <f aca="false">IF(AS1121&gt;0,J1121/AS1121,-1)</f>
        <v>48.1404255319149</v>
      </c>
      <c r="AX1121" s="51" t="n">
        <f aca="false">IF(AND(OR(CF1121="L1",CF1121="L23",CF1121="LIFT"),AS1121&gt;0),SUMIFS($AS$7:$AS$1843,$CF$7:$CF$1843,CF1121,$AW$7:$AW$1843,"&gt;"&amp;AW1121)+SUMIFS($AS$7:$AS$1843,$CF$7:$CF$1843,CF1121,$AW$7:$AW$1843,AW1121,$BW$7:$BW$1843,"&lt;="&amp;BW1121),"")</f>
        <v>1390.01144688645</v>
      </c>
      <c r="AY1121" s="58" t="n">
        <f aca="false">IF(AX1121="",0,MAX(0,MIN(1,(IF(CF1121="L1",Parameter!$H$5,IF(CF1121="L23",Parameter!$H$6+Parameter!$H$7,Parameter!$H$5+Parameter!$H$6+Parameter!$H$7))-(AX1121-AS1121))/AS1121)))</f>
        <v>1</v>
      </c>
      <c r="AZ1121" s="50" t="n">
        <f aca="false">IF(LEFT(Cockpit!$O$5,1)="A",H1121,IF(Parameter!$E$30="MAX-Bestand",IF(CH1121=1,CI1121,IF(LEFT(Cockpit!$O$5,1)="B",BF1121,MAX(BF1121,H1121))),ROUNDUP(BD1121,0)))</f>
        <v>943</v>
      </c>
      <c r="BA1121" s="50" t="n">
        <f aca="false">IF(BZ1121=1,0,ROUNDUP(AZ1121/BY1121,0))</f>
        <v>1</v>
      </c>
      <c r="BB1121" s="52" t="n">
        <f aca="false">IF(CQ1121&gt;0,CQ1121*MAX(1,AZ1121/X1121),IF(BZ1121=1,IF(AZ1121&lt;=0,0,CD1121*MAX(1,IF(H1121&gt;0,AZ1121/H1121,1))),IF(R1121&gt;0,BA1121/R1121,0))/MAX(0.1,N(Parameter!$M$21)))</f>
        <v>0.166666666666667</v>
      </c>
      <c r="BC1121" s="50" t="n">
        <f aca="false">BB1121*CB1121</f>
        <v>39.1666666666667</v>
      </c>
      <c r="BD1121" s="51" t="n">
        <f aca="false">IF(LEFT(Cockpit!$O$5,1)="A",H1121,IF(CH1121=1,(CK1121+CI1121)/2,IF(LEFT(Cockpit!$O$5,1)="B",(CK1121+BF1121)/2,MAX((CK1121+BF1121)/2,H1121))))</f>
        <v>943</v>
      </c>
      <c r="BE1121" s="50" t="n">
        <f aca="false">BD1121*G1121</f>
        <v>301.76</v>
      </c>
      <c r="BF1121" s="50" t="n">
        <f aca="false">ROUNDUP(CK1121+MAX(CL1121,2*(J1121/IF(CG1121&gt;0,CG1121,MAX(0.1,N(Cockpit!$O$6)))-CK1121)),0)</f>
        <v>1667</v>
      </c>
      <c r="BG1121" s="51" t="n">
        <f aca="false">IF(BC1121&gt;0,J1121/BC1121,-1)</f>
        <v>96.2808510638298</v>
      </c>
      <c r="BH1121" s="51" t="n">
        <f aca="false">IF(AND(OR(CF1121="L1",CF1121="L23",CF1121="LIFT"),BC1121&gt;0),SUMIFS($BC$7:$BC$1843,$CF$7:$CF$1843,CF1121,$BG$7:$BG$1843,"&gt;"&amp;BG1121)+SUMIFS($BC$7:$BC$1843,$CF$7:$CF$1843,CF1121,$BG$7:$BG$1843,BG1121,$BW$7:$BW$1843,"&lt;="&amp;BW1121),"")</f>
        <v>955.524267399267</v>
      </c>
      <c r="BI1121" s="58" t="n">
        <f aca="false">IF(BH1121="",0,MAX(0,MIN(1,(IF(CF1121="L1",Parameter!$H$5,IF(CF1121="L23",Parameter!$H$6+Parameter!$H$7,Parameter!$H$5+Parameter!$H$6+Parameter!$H$7))-(BH1121-BC1121))/BC1121)))</f>
        <v>1</v>
      </c>
      <c r="BJ1121" s="48" t="str">
        <f aca="false">IF(AI1121&lt;=0,"",IF(CF1121="Aussen","Aussenlager",IF(CF1121="-","Nicht im Lift",IF(AO1121&gt;=1,"Lift",IF(AO1121&lt;=0,"Aussenlager","teilweise")))))</f>
        <v>Lift</v>
      </c>
      <c r="BK1121" s="48" t="str">
        <f aca="false">IF(AS1121&lt;=0,"",IF(CF1121="Aussen","Aussenlager",IF(CF1121="-","Nicht im Lift",IF(AY1121&gt;=1,"Lift",IF(AY1121&lt;=0,"Aussenlager","teilweise")))))</f>
        <v>Lift</v>
      </c>
      <c r="BL1121" s="48" t="str">
        <f aca="false">IF(BC1121&lt;=0,"",IF(CF1121="Aussen","Aussenlager",IF(CF1121="-","Nicht im Lift",IF(BI1121&gt;=1,"Lift",IF(BI1121&lt;=0,"Aussenlager","teilweise")))))</f>
        <v>Lift</v>
      </c>
      <c r="BM1121" s="48" t="str">
        <f aca="false">IF(A1121="","",IF(BV1121=1,"Neu; ","")&amp;IF(AND(BV1121=0,BQ1121&lt;0),"negativer Bestand (Export "&amp;BQ1121&amp;"); ","")&amp;IF(J1121&lt;=0,"Kein Verbrauch; ","")&amp;IF(CQ1121&gt;0,"Lift "&amp;W1121&amp;" lt. Liftbericht (Fach "&amp;X1121&amp;" Stk); ",IF(CA1121=1,"Gebinde geschätzt ("&amp;T1121&amp;"); ",IF(BZ1121=1,"Lose – Tablare geschätzt; ","")))&amp;IF(H1121&gt;AV1121,"Überbestand "&amp;ROUND(H1121-AV1121,0)&amp;" Stk / CHF "&amp;ROUND((H1121-AV1121)*G1121,0)&amp;"; ","")&amp;IF(AND(CH1121=1,CI1121&lt;CJ1121),"MAX &lt; MB+LG; ","")&amp;IF(AND(CP1121&gt;0,CO1121*10&gt;CP1121),"zu hoch für Tablar; ","")&amp;IF(AND(BV1121=0,OR(CH1121=1,AA1121&lt;&gt;"",U1121&lt;&gt;"",V1121&lt;&gt;"",AB1121&lt;&gt;"")),"manuell übersteuert; ","")&amp;IF(AND(BZ1121=0,R1121=0),"Gebinde unbekannt / Stellmass fehlt; ","")&amp;IF(AND(BZ1121=0,N(V1121)&lt;=0,N(Q1121)&lt;=0),"Menge pro Gebinde fehlt (Ist = 1 Gebinde); ","")&amp;BU1121)</f>
        <v>negativer Bestand (Export -809); </v>
      </c>
      <c r="BN1121" s="48"/>
      <c r="BO1121" s="48"/>
      <c r="BP1121" s="55"/>
      <c r="BQ1121" s="50" t="n">
        <v>-809</v>
      </c>
      <c r="BR1121" s="50" t="n">
        <v>1793</v>
      </c>
      <c r="BS1121" s="49" t="n">
        <v>-241.2</v>
      </c>
      <c r="BT1121" s="50" t="n">
        <v>3771</v>
      </c>
      <c r="BU1121" s="48"/>
      <c r="BV1121" s="53" t="n">
        <v>0</v>
      </c>
      <c r="BW1121" s="53" t="n">
        <v>1121</v>
      </c>
      <c r="BX1121" s="48" t="str">
        <f aca="false">IF(U1121&lt;&gt;"",UPPER(TRIM(U1121)),IF(CA1121=1,UPPER(VLOOKUP(T1121,Parameter!$I$27:$K$29,2,0)),IF(P1121="","LOSE",P1121)))</f>
        <v>S71</v>
      </c>
      <c r="BY1121" s="50" t="n">
        <f aca="false">IF(BX1121="LOSE",1,IF(N(V1121)&gt;0,V1121,IF(CA1121=1,MAX(1,N(VLOOKUP(T1121,Parameter!$I$27:$K$29,3,0)),H1121,N(N1121)),IF(N(Q1121)&gt;0,Q1121,MAX(1,H1121)))))</f>
        <v>1000</v>
      </c>
      <c r="BZ1121" s="53" t="n">
        <f aca="false">IF(BX1121="LOSE",1,0)</f>
        <v>0</v>
      </c>
      <c r="CA1121" s="53" t="n">
        <f aca="false">IF(AND(U1121="",OR(P1121="",P1121="LOSE"),T1121&lt;&gt;"",N(S1121)&lt;=0,ISNUMBER(MATCH(T1121,Parameter!$I$27:$I$29,0))),1,0)</f>
        <v>0</v>
      </c>
      <c r="CB1121" s="53" t="n">
        <f aca="false">IF(CQ1121&gt;0,INDEX(Parameter!$H$5:$H$7,W1121)/INDEX(Parameter!$E$5:$E$7,W1121),IF(AND(BZ1121=0,N(IFERROR(VLOOKUP(BX1121,'Gebinde-Kategorie'!$A$5:$N$45,14,0),0))&gt;0),VLOOKUP(BX1121,'Gebinde-Kategorie'!$A$5:$N$45,14,0)*10+Parameter!$M$23,Parameter!$M$24))</f>
        <v>235</v>
      </c>
      <c r="CC1121" s="48" t="str">
        <f aca="false">IF(AND(Parameter!$B$19="Ja",E1121&lt;&gt;"",ISNUMBER(MATCH(E1121,Parameter!$I$35:$I$52,0))),VLOOKUP(E1121,Parameter!$I$35:$J$52,2,0),IFERROR(VLOOKUP(D1121,Parameter!$A$35:$C$64,2,0),"Nein"))</f>
        <v>2+3</v>
      </c>
      <c r="CD1121" s="52" t="n">
        <f aca="false">IF(BZ1121=0,0,IF(N(S1121)&gt;0,S1121,IFERROR(VLOOKUP(D1121,Parameter!$A$35:$C$64,3,0)+0,0)))</f>
        <v>0</v>
      </c>
      <c r="CE1121" s="48" t="n">
        <f aca="false">IF(AA1121&lt;&gt;"",AA1121,Z1121)</f>
        <v>2</v>
      </c>
      <c r="CF1121" s="48" t="str">
        <f aca="false">IF(OR(CE1121=1,CE1121=2,CE1121=3),IF(Parameter!$E$27="Ja","LIFT",IF(CE1121=1,"L1","L23")),IF(CE1121="Aussen","Aussen","-"))</f>
        <v>LIFT</v>
      </c>
      <c r="CG1121" s="59" t="n">
        <f aca="false">IF(N(AB1121)&gt;0,AB1121,0)</f>
        <v>0</v>
      </c>
      <c r="CH1121" s="53" t="n">
        <f aca="false">IF(ISNUMBER(AE1121),1,0)</f>
        <v>0</v>
      </c>
      <c r="CI1121" s="50" t="n">
        <f aca="false">N(AE1121)</f>
        <v>0</v>
      </c>
      <c r="CJ1121" s="50" t="n">
        <f aca="false">N(M1121)+N(N1121)</f>
        <v>719</v>
      </c>
      <c r="CK1121" s="50" t="n">
        <f aca="false">N(M1121)</f>
        <v>219</v>
      </c>
      <c r="CL1121" s="50" t="n">
        <f aca="false">N(N1121)</f>
        <v>500</v>
      </c>
      <c r="CM1121" s="50" t="n">
        <f aca="false">ROUNDUP(H1121/BY1121,0)</f>
        <v>1</v>
      </c>
      <c r="CN1121" s="50" t="n">
        <f aca="false">ROUNDUP(CI1121/BY1121,0)</f>
        <v>0</v>
      </c>
      <c r="CO1121" s="53" t="n">
        <f aca="false">IF(BZ1121=1,0,IFERROR(VLOOKUP(BX1121,'Gebinde-Kategorie'!$A$5:$N$45,5,0)+0,0))</f>
        <v>20</v>
      </c>
      <c r="CP1121" s="53" t="n">
        <f aca="false">IFERROR(IF(OR(CE1121=1,CE1121=2,CE1121=3),N(INDEX(Parameter!$I$5:$I$7,CE1121)),0),0)</f>
        <v>0</v>
      </c>
      <c r="CQ1121" s="52" t="n">
        <f aca="false">IF(AND(Parameter!$B$21="Ja",ISNUMBER(W1121),N(X1121)&gt;0),IFERROR(N(INDEX(Parameter!$L$5:$L$7,W1121))*INDEX(Parameter!$E$5:$E$7,W1121)*X1121/SUMIFS($X$7:$X$1843,$W$7:$W$1843,W1121),0),0)</f>
        <v>0</v>
      </c>
    </row>
    <row r="1122" customFormat="false" ht="15" hidden="false" customHeight="false" outlineLevel="0" collapsed="false">
      <c r="A1122" s="48" t="s">
        <v>2042</v>
      </c>
      <c r="B1122" s="48" t="s">
        <v>2043</v>
      </c>
      <c r="C1122" s="48" t="s">
        <v>173</v>
      </c>
      <c r="D1122" s="48" t="s">
        <v>193</v>
      </c>
      <c r="E1122" s="48" t="s">
        <v>194</v>
      </c>
      <c r="F1122" s="48" t="s">
        <v>227</v>
      </c>
      <c r="G1122" s="49" t="n">
        <v>20.38</v>
      </c>
      <c r="H1122" s="50" t="n">
        <f aca="false">MAX(0,IF(AND(Parameter!$B$21="Ja",ISNUMBER(Y1122)),Y1122,IF(Parameter!$B$20="Jahresanfang 2025 + Export",BR1122+BQ1122,BQ1122)))</f>
        <v>74</v>
      </c>
      <c r="I1122" s="50" t="n">
        <f aca="false">H1122*G1122</f>
        <v>1508.12</v>
      </c>
      <c r="J1122" s="50" t="n">
        <f aca="false">BT1122*Parameter!$B$18</f>
        <v>8</v>
      </c>
      <c r="K1122" s="51" t="n">
        <v>82</v>
      </c>
      <c r="L1122" s="52" t="n">
        <v>0.0975609756097561</v>
      </c>
      <c r="M1122" s="50" t="n">
        <v>0</v>
      </c>
      <c r="N1122" s="50" t="n">
        <v>10</v>
      </c>
      <c r="O1122" s="53" t="n">
        <v>28</v>
      </c>
      <c r="P1122" s="48" t="s">
        <v>337</v>
      </c>
      <c r="Q1122" s="50" t="n">
        <v>94</v>
      </c>
      <c r="R1122" s="53" t="n">
        <f aca="false">IF(BZ1122=1,0,IFERROR(VLOOKUP(BX1122,'Gebinde-Kategorie'!$A$5:$N$45,13,0)+0,0))</f>
        <v>52</v>
      </c>
      <c r="S1122" s="54"/>
      <c r="T1122" s="55"/>
      <c r="U1122" s="55"/>
      <c r="V1122" s="55"/>
      <c r="W1122" s="48"/>
      <c r="X1122" s="50"/>
      <c r="Y1122" s="50"/>
      <c r="Z1122" s="48" t="n">
        <f aca="false">IF(A1122="","",IF(AND(Parameter!$B$21="Ja",ISNUMBER(W1122)),W1122,IF(CC1122="2+3",IF(ISNUMBER(SEARCH("grosser Artikel",BU1122)),2,IFERROR(VLOOKUP(BX1122,Parameter!$F$35:$G$64,2,0),2)),IF(OR(CC1122="Nein",CC1122=""),"-",CC1122))))</f>
        <v>3</v>
      </c>
      <c r="AA1122" s="55"/>
      <c r="AB1122" s="56"/>
      <c r="AC1122" s="50" t="n">
        <f aca="false">AV1122</f>
        <v>10</v>
      </c>
      <c r="AD1122" s="50" t="n">
        <f aca="false">MAX(AV1122,H1122)</f>
        <v>74</v>
      </c>
      <c r="AE1122" s="57"/>
      <c r="AF1122" s="50" t="n">
        <f aca="false">IF(LEFT(Cockpit!$C$5,1)="A",H1122,IF(Parameter!$E$30="MAX-Bestand",IF(CH1122=1,CI1122,IF(LEFT(Cockpit!$C$5,1)="B",AL1122,MAX(AL1122,H1122))),ROUNDUP(AJ1122,0)))</f>
        <v>74</v>
      </c>
      <c r="AG1122" s="50" t="n">
        <f aca="false">IF(BZ1122=1,0,ROUNDUP(AF1122/BY1122,0))</f>
        <v>1</v>
      </c>
      <c r="AH1122" s="52" t="n">
        <f aca="false">IF(CQ1122&gt;0,CQ1122*MAX(1,AF1122/X1122),IF(BZ1122=1,IF(AF1122&lt;=0,0,CD1122*MAX(1,IF(H1122&gt;0,AF1122/H1122,1))),IF(R1122&gt;0,AG1122/R1122,0))/MAX(0.1,N(Parameter!$M$21)))</f>
        <v>0.0192307692307692</v>
      </c>
      <c r="AI1122" s="50" t="n">
        <f aca="false">AH1122*CB1122</f>
        <v>2.98076923076923</v>
      </c>
      <c r="AJ1122" s="51" t="n">
        <f aca="false">IF(LEFT(Cockpit!$C$5,1)="A",H1122,IF(CH1122=1,(CK1122+CI1122)/2,IF(LEFT(Cockpit!$C$5,1)="B",(CK1122+AL1122)/2,MAX((CK1122+AL1122)/2,H1122))))</f>
        <v>74</v>
      </c>
      <c r="AK1122" s="50" t="n">
        <f aca="false">AJ1122*G1122</f>
        <v>1508.12</v>
      </c>
      <c r="AL1122" s="50" t="n">
        <f aca="false">ROUNDUP(CK1122+MAX(CL1122,2*(J1122/IF(CG1122&gt;0,CG1122,MAX(0.1,N(Cockpit!$C$6)))-CK1122)),0)</f>
        <v>10</v>
      </c>
      <c r="AM1122" s="51" t="n">
        <f aca="false">IF(AI1122&gt;0,J1122/AI1122,-1)</f>
        <v>2.68387096774194</v>
      </c>
      <c r="AN1122" s="51" t="n">
        <f aca="false">IF(AND(OR(CF1122="L1",CF1122="L23",CF1122="LIFT"),AI1122&gt;0),SUMIFS($AI$7:$AI$1843,$CF$7:$CF$1843,CF1122,$AM$7:$AM$1843,"&gt;"&amp;AM1122)+SUMIFS($AI$7:$AI$1843,$CF$7:$CF$1843,CF1122,$AM$7:$AM$1843,AM1122,$BW$7:$BW$1843,"&lt;="&amp;BW1122),"")</f>
        <v>5345.81364468865</v>
      </c>
      <c r="AO1122" s="58" t="n">
        <f aca="false">IF(AN1122="",0,MAX(0,MIN(1,(IF(CF1122="L1",Parameter!$H$5,IF(CF1122="L23",Parameter!$H$6+Parameter!$H$7,Parameter!$H$5+Parameter!$H$6+Parameter!$H$7))-(AN1122-AI1122))/AI1122)))</f>
        <v>1</v>
      </c>
      <c r="AP1122" s="50" t="n">
        <f aca="false">IF(LEFT(Cockpit!$I$5,1)="A",H1122,IF(Parameter!$E$30="MAX-Bestand",IF(CH1122=1,CI1122,IF(LEFT(Cockpit!$I$5,1)="B",AV1122,MAX(AV1122,H1122))),ROUNDUP(AT1122,0)))</f>
        <v>74</v>
      </c>
      <c r="AQ1122" s="50" t="n">
        <f aca="false">IF(BZ1122=1,0,ROUNDUP(AP1122/BY1122,0))</f>
        <v>1</v>
      </c>
      <c r="AR1122" s="52" t="n">
        <f aca="false">IF(CQ1122&gt;0,CQ1122*MAX(1,AP1122/X1122),IF(BZ1122=1,IF(AP1122&lt;=0,0,CD1122*MAX(1,IF(H1122&gt;0,AP1122/H1122,1))),IF(R1122&gt;0,AQ1122/R1122,0))/MAX(0.1,N(Parameter!$M$21)))</f>
        <v>0.0192307692307692</v>
      </c>
      <c r="AS1122" s="50" t="n">
        <f aca="false">AR1122*CB1122</f>
        <v>2.98076923076923</v>
      </c>
      <c r="AT1122" s="51" t="n">
        <f aca="false">IF(LEFT(Cockpit!$I$5,1)="A",H1122,IF(CH1122=1,(CK1122+CI1122)/2,IF(LEFT(Cockpit!$I$5,1)="B",(CK1122+AV1122)/2,MAX((CK1122+AV1122)/2,H1122))))</f>
        <v>74</v>
      </c>
      <c r="AU1122" s="50" t="n">
        <f aca="false">AT1122*G1122</f>
        <v>1508.12</v>
      </c>
      <c r="AV1122" s="50" t="n">
        <f aca="false">ROUNDUP(CK1122+MAX(CL1122,2*(J1122/IF(CG1122&gt;0,CG1122,MAX(0.1,N(Cockpit!$I$6)))-CK1122)),0)</f>
        <v>10</v>
      </c>
      <c r="AW1122" s="51" t="n">
        <f aca="false">IF(AS1122&gt;0,J1122/AS1122,-1)</f>
        <v>2.68387096774194</v>
      </c>
      <c r="AX1122" s="51" t="n">
        <f aca="false">IF(AND(OR(CF1122="L1",CF1122="L23",CF1122="LIFT"),AS1122&gt;0),SUMIFS($AS$7:$AS$1843,$CF$7:$CF$1843,CF1122,$AW$7:$AW$1843,"&gt;"&amp;AW1122)+SUMIFS($AS$7:$AS$1843,$CF$7:$CF$1843,CF1122,$AW$7:$AW$1843,AW1122,$BW$7:$BW$1843,"&lt;="&amp;BW1122),"")</f>
        <v>6180.29166666667</v>
      </c>
      <c r="AY1122" s="58" t="n">
        <f aca="false">IF(AX1122="",0,MAX(0,MIN(1,(IF(CF1122="L1",Parameter!$H$5,IF(CF1122="L23",Parameter!$H$6+Parameter!$H$7,Parameter!$H$5+Parameter!$H$6+Parameter!$H$7))-(AX1122-AS1122))/AS1122)))</f>
        <v>1</v>
      </c>
      <c r="AZ1122" s="50" t="n">
        <f aca="false">IF(LEFT(Cockpit!$O$5,1)="A",H1122,IF(Parameter!$E$30="MAX-Bestand",IF(CH1122=1,CI1122,IF(LEFT(Cockpit!$O$5,1)="B",BF1122,MAX(BF1122,H1122))),ROUNDUP(BD1122,0)))</f>
        <v>5</v>
      </c>
      <c r="BA1122" s="50" t="n">
        <f aca="false">IF(BZ1122=1,0,ROUNDUP(AZ1122/BY1122,0))</f>
        <v>1</v>
      </c>
      <c r="BB1122" s="52" t="n">
        <f aca="false">IF(CQ1122&gt;0,CQ1122*MAX(1,AZ1122/X1122),IF(BZ1122=1,IF(AZ1122&lt;=0,0,CD1122*MAX(1,IF(H1122&gt;0,AZ1122/H1122,1))),IF(R1122&gt;0,BA1122/R1122,0))/MAX(0.1,N(Parameter!$M$21)))</f>
        <v>0.0192307692307692</v>
      </c>
      <c r="BC1122" s="50" t="n">
        <f aca="false">BB1122*CB1122</f>
        <v>2.98076923076923</v>
      </c>
      <c r="BD1122" s="51" t="n">
        <f aca="false">IF(LEFT(Cockpit!$O$5,1)="A",H1122,IF(CH1122=1,(CK1122+CI1122)/2,IF(LEFT(Cockpit!$O$5,1)="B",(CK1122+BF1122)/2,MAX((CK1122+BF1122)/2,H1122))))</f>
        <v>5</v>
      </c>
      <c r="BE1122" s="50" t="n">
        <f aca="false">BD1122*G1122</f>
        <v>101.9</v>
      </c>
      <c r="BF1122" s="50" t="n">
        <f aca="false">ROUNDUP(CK1122+MAX(CL1122,2*(J1122/IF(CG1122&gt;0,CG1122,MAX(0.1,N(Cockpit!$O$6)))-CK1122)),0)</f>
        <v>10</v>
      </c>
      <c r="BG1122" s="51" t="n">
        <f aca="false">IF(BC1122&gt;0,J1122/BC1122,-1)</f>
        <v>2.68387096774194</v>
      </c>
      <c r="BH1122" s="51" t="n">
        <f aca="false">IF(AND(OR(CF1122="L1",CF1122="L23",CF1122="LIFT"),BC1122&gt;0),SUMIFS($BC$7:$BC$1843,$CF$7:$CF$1843,CF1122,$BG$7:$BG$1843,"&gt;"&amp;BG1122)+SUMIFS($BC$7:$BC$1843,$CF$7:$CF$1843,CF1122,$BG$7:$BG$1843,BG1122,$BW$7:$BW$1843,"&lt;="&amp;BW1122),"")</f>
        <v>5358.34615384615</v>
      </c>
      <c r="BI1122" s="58" t="n">
        <f aca="false">IF(BH1122="",0,MAX(0,MIN(1,(IF(CF1122="L1",Parameter!$H$5,IF(CF1122="L23",Parameter!$H$6+Parameter!$H$7,Parameter!$H$5+Parameter!$H$6+Parameter!$H$7))-(BH1122-BC1122))/BC1122)))</f>
        <v>1</v>
      </c>
      <c r="BJ1122" s="48" t="str">
        <f aca="false">IF(AI1122&lt;=0,"",IF(CF1122="Aussen","Aussenlager",IF(CF1122="-","Nicht im Lift",IF(AO1122&gt;=1,"Lift",IF(AO1122&lt;=0,"Aussenlager","teilweise")))))</f>
        <v>Lift</v>
      </c>
      <c r="BK1122" s="48" t="str">
        <f aca="false">IF(AS1122&lt;=0,"",IF(CF1122="Aussen","Aussenlager",IF(CF1122="-","Nicht im Lift",IF(AY1122&gt;=1,"Lift",IF(AY1122&lt;=0,"Aussenlager","teilweise")))))</f>
        <v>Lift</v>
      </c>
      <c r="BL1122" s="48" t="str">
        <f aca="false">IF(BC1122&lt;=0,"",IF(CF1122="Aussen","Aussenlager",IF(CF1122="-","Nicht im Lift",IF(BI1122&gt;=1,"Lift",IF(BI1122&lt;=0,"Aussenlager","teilweise")))))</f>
        <v>Lift</v>
      </c>
      <c r="BM1122" s="48" t="str">
        <f aca="false">IF(A1122="","",IF(BV1122=1,"Neu; ","")&amp;IF(AND(BV1122=0,BQ1122&lt;0),"negativer Bestand (Export "&amp;BQ1122&amp;"); ","")&amp;IF(J1122&lt;=0,"Kein Verbrauch; ","")&amp;IF(CQ1122&gt;0,"Lift "&amp;W1122&amp;" lt. Liftbericht (Fach "&amp;X1122&amp;" Stk); ",IF(CA1122=1,"Gebinde geschätzt ("&amp;T1122&amp;"); ",IF(BZ1122=1,"Lose – Tablare geschätzt; ","")))&amp;IF(H1122&gt;AV1122,"Überbestand "&amp;ROUND(H1122-AV1122,0)&amp;" Stk / CHF "&amp;ROUND((H1122-AV1122)*G1122,0)&amp;"; ","")&amp;IF(AND(CH1122=1,CI1122&lt;CJ1122),"MAX &lt; MB+LG; ","")&amp;IF(AND(CP1122&gt;0,CO1122*10&gt;CP1122),"zu hoch für Tablar; ","")&amp;IF(AND(BV1122=0,OR(CH1122=1,AA1122&lt;&gt;"",U1122&lt;&gt;"",V1122&lt;&gt;"",AB1122&lt;&gt;"")),"manuell übersteuert; ","")&amp;IF(AND(BZ1122=0,R1122=0),"Gebinde unbekannt / Stellmass fehlt; ","")&amp;IF(AND(BZ1122=0,N(V1122)&lt;=0,N(Q1122)&lt;=0),"Menge pro Gebinde fehlt (Ist = 1 Gebinde); ","")&amp;BU1122)</f>
        <v>negativer Bestand (Export -12); Überbestand 64 Stk / CHF 1304; </v>
      </c>
      <c r="BN1122" s="48"/>
      <c r="BO1122" s="48"/>
      <c r="BP1122" s="55"/>
      <c r="BQ1122" s="50" t="n">
        <v>-12</v>
      </c>
      <c r="BR1122" s="50" t="n">
        <v>86</v>
      </c>
      <c r="BS1122" s="49" t="n">
        <v>-244.56</v>
      </c>
      <c r="BT1122" s="50" t="n">
        <v>8</v>
      </c>
      <c r="BU1122" s="48"/>
      <c r="BV1122" s="53" t="n">
        <v>0</v>
      </c>
      <c r="BW1122" s="53" t="n">
        <v>1122</v>
      </c>
      <c r="BX1122" s="48" t="str">
        <f aca="false">IF(U1122&lt;&gt;"",UPPER(TRIM(U1122)),IF(CA1122=1,UPPER(VLOOKUP(T1122,Parameter!$I$27:$K$29,2,0)),IF(P1122="","LOSE",P1122)))</f>
        <v>S41</v>
      </c>
      <c r="BY1122" s="50" t="n">
        <f aca="false">IF(BX1122="LOSE",1,IF(N(V1122)&gt;0,V1122,IF(CA1122=1,MAX(1,N(VLOOKUP(T1122,Parameter!$I$27:$K$29,3,0)),H1122,N(N1122)),IF(N(Q1122)&gt;0,Q1122,MAX(1,H1122)))))</f>
        <v>94</v>
      </c>
      <c r="BZ1122" s="53" t="n">
        <f aca="false">IF(BX1122="LOSE",1,0)</f>
        <v>0</v>
      </c>
      <c r="CA1122" s="53" t="n">
        <f aca="false">IF(AND(U1122="",OR(P1122="",P1122="LOSE"),T1122&lt;&gt;"",N(S1122)&lt;=0,ISNUMBER(MATCH(T1122,Parameter!$I$27:$I$29,0))),1,0)</f>
        <v>0</v>
      </c>
      <c r="CB1122" s="53" t="n">
        <f aca="false">IF(CQ1122&gt;0,INDEX(Parameter!$H$5:$H$7,W1122)/INDEX(Parameter!$E$5:$E$7,W1122),IF(AND(BZ1122=0,N(IFERROR(VLOOKUP(BX1122,'Gebinde-Kategorie'!$A$5:$N$45,14,0),0))&gt;0),VLOOKUP(BX1122,'Gebinde-Kategorie'!$A$5:$N$45,14,0)*10+Parameter!$M$23,Parameter!$M$24))</f>
        <v>155</v>
      </c>
      <c r="CC1122" s="48" t="str">
        <f aca="false">IF(AND(Parameter!$B$19="Ja",E1122&lt;&gt;"",ISNUMBER(MATCH(E1122,Parameter!$I$35:$I$52,0))),VLOOKUP(E1122,Parameter!$I$35:$J$52,2,0),IFERROR(VLOOKUP(D1122,Parameter!$A$35:$C$64,2,0),"Nein"))</f>
        <v>2+3</v>
      </c>
      <c r="CD1122" s="52" t="n">
        <f aca="false">IF(BZ1122=0,0,IF(N(S1122)&gt;0,S1122,IFERROR(VLOOKUP(D1122,Parameter!$A$35:$C$64,3,0)+0,0)))</f>
        <v>0</v>
      </c>
      <c r="CE1122" s="48" t="n">
        <f aca="false">IF(AA1122&lt;&gt;"",AA1122,Z1122)</f>
        <v>3</v>
      </c>
      <c r="CF1122" s="48" t="str">
        <f aca="false">IF(OR(CE1122=1,CE1122=2,CE1122=3),IF(Parameter!$E$27="Ja","LIFT",IF(CE1122=1,"L1","L23")),IF(CE1122="Aussen","Aussen","-"))</f>
        <v>LIFT</v>
      </c>
      <c r="CG1122" s="59" t="n">
        <f aca="false">IF(N(AB1122)&gt;0,AB1122,0)</f>
        <v>0</v>
      </c>
      <c r="CH1122" s="53" t="n">
        <f aca="false">IF(ISNUMBER(AE1122),1,0)</f>
        <v>0</v>
      </c>
      <c r="CI1122" s="50" t="n">
        <f aca="false">N(AE1122)</f>
        <v>0</v>
      </c>
      <c r="CJ1122" s="50" t="n">
        <f aca="false">N(M1122)+N(N1122)</f>
        <v>10</v>
      </c>
      <c r="CK1122" s="50" t="n">
        <f aca="false">N(M1122)</f>
        <v>0</v>
      </c>
      <c r="CL1122" s="50" t="n">
        <f aca="false">N(N1122)</f>
        <v>10</v>
      </c>
      <c r="CM1122" s="50" t="n">
        <f aca="false">ROUNDUP(H1122/BY1122,0)</f>
        <v>1</v>
      </c>
      <c r="CN1122" s="50" t="n">
        <f aca="false">ROUNDUP(CI1122/BY1122,0)</f>
        <v>0</v>
      </c>
      <c r="CO1122" s="53" t="n">
        <f aca="false">IF(BZ1122=1,0,IFERROR(VLOOKUP(BX1122,'Gebinde-Kategorie'!$A$5:$N$45,5,0)+0,0))</f>
        <v>11</v>
      </c>
      <c r="CP1122" s="53" t="n">
        <f aca="false">IFERROR(IF(OR(CE1122=1,CE1122=2,CE1122=3),N(INDEX(Parameter!$I$5:$I$7,CE1122)),0),0)</f>
        <v>0</v>
      </c>
      <c r="CQ1122" s="52" t="n">
        <f aca="false">IF(AND(Parameter!$B$21="Ja",ISNUMBER(W1122),N(X1122)&gt;0),IFERROR(N(INDEX(Parameter!$L$5:$L$7,W1122))*INDEX(Parameter!$E$5:$E$7,W1122)*X1122/SUMIFS($X$7:$X$1843,$W$7:$W$1843,W1122),0),0)</f>
        <v>0</v>
      </c>
    </row>
    <row r="1123" customFormat="false" ht="15" hidden="false" customHeight="false" outlineLevel="0" collapsed="false">
      <c r="A1123" s="48" t="s">
        <v>2044</v>
      </c>
      <c r="B1123" s="48" t="s">
        <v>2045</v>
      </c>
      <c r="C1123" s="48" t="s">
        <v>173</v>
      </c>
      <c r="D1123" s="48" t="s">
        <v>193</v>
      </c>
      <c r="E1123" s="48" t="s">
        <v>194</v>
      </c>
      <c r="F1123" s="48" t="s">
        <v>227</v>
      </c>
      <c r="G1123" s="49" t="n">
        <v>35.15</v>
      </c>
      <c r="H1123" s="50" t="n">
        <f aca="false">MAX(0,IF(AND(Parameter!$B$21="Ja",ISNUMBER(Y1123)),Y1123,IF(Parameter!$B$20="Jahresanfang 2025 + Export",BR1123+BQ1123,BQ1123)))</f>
        <v>145</v>
      </c>
      <c r="I1123" s="50" t="n">
        <f aca="false">H1123*G1123</f>
        <v>5096.75</v>
      </c>
      <c r="J1123" s="50" t="n">
        <f aca="false">BT1123*Parameter!$B$18</f>
        <v>3</v>
      </c>
      <c r="K1123" s="51" t="n">
        <v>150</v>
      </c>
      <c r="L1123" s="52" t="n">
        <v>0.02</v>
      </c>
      <c r="M1123" s="50" t="n">
        <v>0</v>
      </c>
      <c r="N1123" s="50" t="n">
        <v>5</v>
      </c>
      <c r="O1123" s="53" t="n">
        <v>28</v>
      </c>
      <c r="P1123" s="48" t="s">
        <v>242</v>
      </c>
      <c r="Q1123" s="50" t="n">
        <v>30</v>
      </c>
      <c r="R1123" s="53" t="n">
        <f aca="false">IF(BZ1123=1,0,IFERROR(VLOOKUP(BX1123,'Gebinde-Kategorie'!$A$5:$N$45,13,0)+0,0))</f>
        <v>26</v>
      </c>
      <c r="S1123" s="54"/>
      <c r="T1123" s="55"/>
      <c r="U1123" s="55"/>
      <c r="V1123" s="55"/>
      <c r="W1123" s="48"/>
      <c r="X1123" s="50"/>
      <c r="Y1123" s="50"/>
      <c r="Z1123" s="48" t="n">
        <f aca="false">IF(A1123="","",IF(AND(Parameter!$B$21="Ja",ISNUMBER(W1123)),W1123,IF(CC1123="2+3",IF(ISNUMBER(SEARCH("grosser Artikel",BU1123)),2,IFERROR(VLOOKUP(BX1123,Parameter!$F$35:$G$64,2,0),2)),IF(OR(CC1123="Nein",CC1123=""),"-",CC1123))))</f>
        <v>3</v>
      </c>
      <c r="AA1123" s="55"/>
      <c r="AB1123" s="56"/>
      <c r="AC1123" s="50" t="n">
        <f aca="false">AV1123</f>
        <v>5</v>
      </c>
      <c r="AD1123" s="50" t="n">
        <f aca="false">MAX(AV1123,H1123)</f>
        <v>145</v>
      </c>
      <c r="AE1123" s="57"/>
      <c r="AF1123" s="50" t="n">
        <f aca="false">IF(LEFT(Cockpit!$C$5,1)="A",H1123,IF(Parameter!$E$30="MAX-Bestand",IF(CH1123=1,CI1123,IF(LEFT(Cockpit!$C$5,1)="B",AL1123,MAX(AL1123,H1123))),ROUNDUP(AJ1123,0)))</f>
        <v>145</v>
      </c>
      <c r="AG1123" s="50" t="n">
        <f aca="false">IF(BZ1123=1,0,ROUNDUP(AF1123/BY1123,0))</f>
        <v>5</v>
      </c>
      <c r="AH1123" s="52" t="n">
        <f aca="false">IF(CQ1123&gt;0,CQ1123*MAX(1,AF1123/X1123),IF(BZ1123=1,IF(AF1123&lt;=0,0,CD1123*MAX(1,IF(H1123&gt;0,AF1123/H1123,1))),IF(R1123&gt;0,AG1123/R1123,0))/MAX(0.1,N(Parameter!$M$21)))</f>
        <v>0.192307692307692</v>
      </c>
      <c r="AI1123" s="50" t="n">
        <f aca="false">AH1123*CB1123</f>
        <v>47.1153846153846</v>
      </c>
      <c r="AJ1123" s="51" t="n">
        <f aca="false">IF(LEFT(Cockpit!$C$5,1)="A",H1123,IF(CH1123=1,(CK1123+CI1123)/2,IF(LEFT(Cockpit!$C$5,1)="B",(CK1123+AL1123)/2,MAX((CK1123+AL1123)/2,H1123))))</f>
        <v>145</v>
      </c>
      <c r="AK1123" s="50" t="n">
        <f aca="false">AJ1123*G1123</f>
        <v>5096.75</v>
      </c>
      <c r="AL1123" s="50" t="n">
        <f aca="false">ROUNDUP(CK1123+MAX(CL1123,2*(J1123/IF(CG1123&gt;0,CG1123,MAX(0.1,N(Cockpit!$C$6)))-CK1123)),0)</f>
        <v>5</v>
      </c>
      <c r="AM1123" s="51" t="n">
        <f aca="false">IF(AI1123&gt;0,J1123/AI1123,-1)</f>
        <v>0.0636734693877551</v>
      </c>
      <c r="AN1123" s="51" t="n">
        <f aca="false">IF(AND(OR(CF1123="L1",CF1123="L23",CF1123="LIFT"),AI1123&gt;0),SUMIFS($AI$7:$AI$1843,$CF$7:$CF$1843,CF1123,$AM$7:$AM$1843,"&gt;"&amp;AM1123)+SUMIFS($AI$7:$AI$1843,$CF$7:$CF$1843,CF1123,$AM$7:$AM$1843,AM1123,$BW$7:$BW$1843,"&lt;="&amp;BW1123),"")</f>
        <v>18989.2232543822</v>
      </c>
      <c r="AO1123" s="58" t="n">
        <f aca="false">IF(AN1123="",0,MAX(0,MIN(1,(IF(CF1123="L1",Parameter!$H$5,IF(CF1123="L23",Parameter!$H$6+Parameter!$H$7,Parameter!$H$5+Parameter!$H$6+Parameter!$H$7))-(AN1123-AI1123))/AI1123)))</f>
        <v>1</v>
      </c>
      <c r="AP1123" s="50" t="n">
        <f aca="false">IF(LEFT(Cockpit!$I$5,1)="A",H1123,IF(Parameter!$E$30="MAX-Bestand",IF(CH1123=1,CI1123,IF(LEFT(Cockpit!$I$5,1)="B",AV1123,MAX(AV1123,H1123))),ROUNDUP(AT1123,0)))</f>
        <v>145</v>
      </c>
      <c r="AQ1123" s="50" t="n">
        <f aca="false">IF(BZ1123=1,0,ROUNDUP(AP1123/BY1123,0))</f>
        <v>5</v>
      </c>
      <c r="AR1123" s="52" t="n">
        <f aca="false">IF(CQ1123&gt;0,CQ1123*MAX(1,AP1123/X1123),IF(BZ1123=1,IF(AP1123&lt;=0,0,CD1123*MAX(1,IF(H1123&gt;0,AP1123/H1123,1))),IF(R1123&gt;0,AQ1123/R1123,0))/MAX(0.1,N(Parameter!$M$21)))</f>
        <v>0.192307692307692</v>
      </c>
      <c r="AS1123" s="50" t="n">
        <f aca="false">AR1123*CB1123</f>
        <v>47.1153846153846</v>
      </c>
      <c r="AT1123" s="51" t="n">
        <f aca="false">IF(LEFT(Cockpit!$I$5,1)="A",H1123,IF(CH1123=1,(CK1123+CI1123)/2,IF(LEFT(Cockpit!$I$5,1)="B",(CK1123+AV1123)/2,MAX((CK1123+AV1123)/2,H1123))))</f>
        <v>145</v>
      </c>
      <c r="AU1123" s="50" t="n">
        <f aca="false">AT1123*G1123</f>
        <v>5096.75</v>
      </c>
      <c r="AV1123" s="50" t="n">
        <f aca="false">ROUNDUP(CK1123+MAX(CL1123,2*(J1123/IF(CG1123&gt;0,CG1123,MAX(0.1,N(Cockpit!$I$6)))-CK1123)),0)</f>
        <v>5</v>
      </c>
      <c r="AW1123" s="51" t="n">
        <f aca="false">IF(AS1123&gt;0,J1123/AS1123,-1)</f>
        <v>0.0636734693877551</v>
      </c>
      <c r="AX1123" s="51" t="n">
        <f aca="false">IF(AND(OR(CF1123="L1",CF1123="L23",CF1123="LIFT"),AS1123&gt;0),SUMIFS($AS$7:$AS$1843,$CF$7:$CF$1843,CF1123,$AW$7:$AW$1843,"&gt;"&amp;AW1123)+SUMIFS($AS$7:$AS$1843,$CF$7:$CF$1843,CF1123,$AW$7:$AW$1843,AW1123,$BW$7:$BW$1843,"&lt;="&amp;BW1123),"")</f>
        <v>24107.3718957596</v>
      </c>
      <c r="AY1123" s="58" t="n">
        <f aca="false">IF(AX1123="",0,MAX(0,MIN(1,(IF(CF1123="L1",Parameter!$H$5,IF(CF1123="L23",Parameter!$H$6+Parameter!$H$7,Parameter!$H$5+Parameter!$H$6+Parameter!$H$7))-(AX1123-AS1123))/AS1123)))</f>
        <v>1</v>
      </c>
      <c r="AZ1123" s="50" t="n">
        <f aca="false">IF(LEFT(Cockpit!$O$5,1)="A",H1123,IF(Parameter!$E$30="MAX-Bestand",IF(CH1123=1,CI1123,IF(LEFT(Cockpit!$O$5,1)="B",BF1123,MAX(BF1123,H1123))),ROUNDUP(BD1123,0)))</f>
        <v>3</v>
      </c>
      <c r="BA1123" s="50" t="n">
        <f aca="false">IF(BZ1123=1,0,ROUNDUP(AZ1123/BY1123,0))</f>
        <v>1</v>
      </c>
      <c r="BB1123" s="52" t="n">
        <f aca="false">IF(CQ1123&gt;0,CQ1123*MAX(1,AZ1123/X1123),IF(BZ1123=1,IF(AZ1123&lt;=0,0,CD1123*MAX(1,IF(H1123&gt;0,AZ1123/H1123,1))),IF(R1123&gt;0,BA1123/R1123,0))/MAX(0.1,N(Parameter!$M$21)))</f>
        <v>0.0384615384615385</v>
      </c>
      <c r="BC1123" s="50" t="n">
        <f aca="false">BB1123*CB1123</f>
        <v>9.42307692307692</v>
      </c>
      <c r="BD1123" s="51" t="n">
        <f aca="false">IF(LEFT(Cockpit!$O$5,1)="A",H1123,IF(CH1123=1,(CK1123+CI1123)/2,IF(LEFT(Cockpit!$O$5,1)="B",(CK1123+BF1123)/2,MAX((CK1123+BF1123)/2,H1123))))</f>
        <v>2.5</v>
      </c>
      <c r="BE1123" s="50" t="n">
        <f aca="false">BD1123*G1123</f>
        <v>87.875</v>
      </c>
      <c r="BF1123" s="50" t="n">
        <f aca="false">ROUNDUP(CK1123+MAX(CL1123,2*(J1123/IF(CG1123&gt;0,CG1123,MAX(0.1,N(Cockpit!$O$6)))-CK1123)),0)</f>
        <v>5</v>
      </c>
      <c r="BG1123" s="51" t="n">
        <f aca="false">IF(BC1123&gt;0,J1123/BC1123,-1)</f>
        <v>0.318367346938776</v>
      </c>
      <c r="BH1123" s="51" t="n">
        <f aca="false">IF(AND(OR(CF1123="L1",CF1123="L23",CF1123="LIFT"),BC1123&gt;0),SUMIFS($BC$7:$BC$1843,$CF$7:$CF$1843,CF1123,$BG$7:$BG$1843,"&gt;"&amp;BG1123)+SUMIFS($BC$7:$BC$1843,$CF$7:$CF$1843,CF1123,$BG$7:$BG$1843,BG1123,$BW$7:$BW$1843,"&lt;="&amp;BW1123),"")</f>
        <v>11755.0581501832</v>
      </c>
      <c r="BI1123" s="58" t="n">
        <f aca="false">IF(BH1123="",0,MAX(0,MIN(1,(IF(CF1123="L1",Parameter!$H$5,IF(CF1123="L23",Parameter!$H$6+Parameter!$H$7,Parameter!$H$5+Parameter!$H$6+Parameter!$H$7))-(BH1123-BC1123))/BC1123)))</f>
        <v>1</v>
      </c>
      <c r="BJ1123" s="48" t="str">
        <f aca="false">IF(AI1123&lt;=0,"",IF(CF1123="Aussen","Aussenlager",IF(CF1123="-","Nicht im Lift",IF(AO1123&gt;=1,"Lift",IF(AO1123&lt;=0,"Aussenlager","teilweise")))))</f>
        <v>Lift</v>
      </c>
      <c r="BK1123" s="48" t="str">
        <f aca="false">IF(AS1123&lt;=0,"",IF(CF1123="Aussen","Aussenlager",IF(CF1123="-","Nicht im Lift",IF(AY1123&gt;=1,"Lift",IF(AY1123&lt;=0,"Aussenlager","teilweise")))))</f>
        <v>Lift</v>
      </c>
      <c r="BL1123" s="48" t="str">
        <f aca="false">IF(BC1123&lt;=0,"",IF(CF1123="Aussen","Aussenlager",IF(CF1123="-","Nicht im Lift",IF(BI1123&gt;=1,"Lift",IF(BI1123&lt;=0,"Aussenlager","teilweise")))))</f>
        <v>Lift</v>
      </c>
      <c r="BM1123" s="48" t="str">
        <f aca="false">IF(A1123="","",IF(BV1123=1,"Neu; ","")&amp;IF(AND(BV1123=0,BQ1123&lt;0),"negativer Bestand (Export "&amp;BQ1123&amp;"); ","")&amp;IF(J1123&lt;=0,"Kein Verbrauch; ","")&amp;IF(CQ1123&gt;0,"Lift "&amp;W1123&amp;" lt. Liftbericht (Fach "&amp;X1123&amp;" Stk); ",IF(CA1123=1,"Gebinde geschätzt ("&amp;T1123&amp;"); ",IF(BZ1123=1,"Lose – Tablare geschätzt; ","")))&amp;IF(H1123&gt;AV1123,"Überbestand "&amp;ROUND(H1123-AV1123,0)&amp;" Stk / CHF "&amp;ROUND((H1123-AV1123)*G1123,0)&amp;"; ","")&amp;IF(AND(CH1123=1,CI1123&lt;CJ1123),"MAX &lt; MB+LG; ","")&amp;IF(AND(CP1123&gt;0,CO1123*10&gt;CP1123),"zu hoch für Tablar; ","")&amp;IF(AND(BV1123=0,OR(CH1123=1,AA1123&lt;&gt;"",U1123&lt;&gt;"",V1123&lt;&gt;"",AB1123&lt;&gt;"")),"manuell übersteuert; ","")&amp;IF(AND(BZ1123=0,R1123=0),"Gebinde unbekannt / Stellmass fehlt; ","")&amp;IF(AND(BZ1123=0,N(V1123)&lt;=0,N(Q1123)&lt;=0),"Menge pro Gebinde fehlt (Ist = 1 Gebinde); ","")&amp;BU1123)</f>
        <v>negativer Bestand (Export -7); Überbestand 140 Stk / CHF 4921; Überbestand</v>
      </c>
      <c r="BN1123" s="48"/>
      <c r="BO1123" s="48"/>
      <c r="BP1123" s="55"/>
      <c r="BQ1123" s="50" t="n">
        <v>-7</v>
      </c>
      <c r="BR1123" s="50" t="n">
        <v>152</v>
      </c>
      <c r="BS1123" s="49" t="n">
        <v>-246.05</v>
      </c>
      <c r="BT1123" s="50" t="n">
        <v>3</v>
      </c>
      <c r="BU1123" s="48" t="s">
        <v>401</v>
      </c>
      <c r="BV1123" s="53" t="n">
        <v>0</v>
      </c>
      <c r="BW1123" s="53" t="n">
        <v>1123</v>
      </c>
      <c r="BX1123" s="48" t="str">
        <f aca="false">IF(U1123&lt;&gt;"",UPPER(TRIM(U1123)),IF(CA1123=1,UPPER(VLOOKUP(T1123,Parameter!$I$27:$K$29,2,0)),IF(P1123="","LOSE",P1123)))</f>
        <v>S52</v>
      </c>
      <c r="BY1123" s="50" t="n">
        <f aca="false">IF(BX1123="LOSE",1,IF(N(V1123)&gt;0,V1123,IF(CA1123=1,MAX(1,N(VLOOKUP(T1123,Parameter!$I$27:$K$29,3,0)),H1123,N(N1123)),IF(N(Q1123)&gt;0,Q1123,MAX(1,H1123)))))</f>
        <v>30</v>
      </c>
      <c r="BZ1123" s="53" t="n">
        <f aca="false">IF(BX1123="LOSE",1,0)</f>
        <v>0</v>
      </c>
      <c r="CA1123" s="53" t="n">
        <f aca="false">IF(AND(U1123="",OR(P1123="",P1123="LOSE"),T1123&lt;&gt;"",N(S1123)&lt;=0,ISNUMBER(MATCH(T1123,Parameter!$I$27:$I$29,0))),1,0)</f>
        <v>0</v>
      </c>
      <c r="CB1123" s="53" t="n">
        <f aca="false">IF(CQ1123&gt;0,INDEX(Parameter!$H$5:$H$7,W1123)/INDEX(Parameter!$E$5:$E$7,W1123),IF(AND(BZ1123=0,N(IFERROR(VLOOKUP(BX1123,'Gebinde-Kategorie'!$A$5:$N$45,14,0),0))&gt;0),VLOOKUP(BX1123,'Gebinde-Kategorie'!$A$5:$N$45,14,0)*10+Parameter!$M$23,Parameter!$M$24))</f>
        <v>245</v>
      </c>
      <c r="CC1123" s="48" t="str">
        <f aca="false">IF(AND(Parameter!$B$19="Ja",E1123&lt;&gt;"",ISNUMBER(MATCH(E1123,Parameter!$I$35:$I$52,0))),VLOOKUP(E1123,Parameter!$I$35:$J$52,2,0),IFERROR(VLOOKUP(D1123,Parameter!$A$35:$C$64,2,0),"Nein"))</f>
        <v>2+3</v>
      </c>
      <c r="CD1123" s="52" t="n">
        <f aca="false">IF(BZ1123=0,0,IF(N(S1123)&gt;0,S1123,IFERROR(VLOOKUP(D1123,Parameter!$A$35:$C$64,3,0)+0,0)))</f>
        <v>0</v>
      </c>
      <c r="CE1123" s="48" t="n">
        <f aca="false">IF(AA1123&lt;&gt;"",AA1123,Z1123)</f>
        <v>3</v>
      </c>
      <c r="CF1123" s="48" t="str">
        <f aca="false">IF(OR(CE1123=1,CE1123=2,CE1123=3),IF(Parameter!$E$27="Ja","LIFT",IF(CE1123=1,"L1","L23")),IF(CE1123="Aussen","Aussen","-"))</f>
        <v>LIFT</v>
      </c>
      <c r="CG1123" s="59" t="n">
        <f aca="false">IF(N(AB1123)&gt;0,AB1123,0)</f>
        <v>0</v>
      </c>
      <c r="CH1123" s="53" t="n">
        <f aca="false">IF(ISNUMBER(AE1123),1,0)</f>
        <v>0</v>
      </c>
      <c r="CI1123" s="50" t="n">
        <f aca="false">N(AE1123)</f>
        <v>0</v>
      </c>
      <c r="CJ1123" s="50" t="n">
        <f aca="false">N(M1123)+N(N1123)</f>
        <v>5</v>
      </c>
      <c r="CK1123" s="50" t="n">
        <f aca="false">N(M1123)</f>
        <v>0</v>
      </c>
      <c r="CL1123" s="50" t="n">
        <f aca="false">N(N1123)</f>
        <v>5</v>
      </c>
      <c r="CM1123" s="50" t="n">
        <f aca="false">ROUNDUP(H1123/BY1123,0)</f>
        <v>5</v>
      </c>
      <c r="CN1123" s="50" t="n">
        <f aca="false">ROUNDUP(CI1123/BY1123,0)</f>
        <v>0</v>
      </c>
      <c r="CO1123" s="53" t="n">
        <f aca="false">IF(BZ1123=1,0,IFERROR(VLOOKUP(BX1123,'Gebinde-Kategorie'!$A$5:$N$45,5,0)+0,0))</f>
        <v>21</v>
      </c>
      <c r="CP1123" s="53" t="n">
        <f aca="false">IFERROR(IF(OR(CE1123=1,CE1123=2,CE1123=3),N(INDEX(Parameter!$I$5:$I$7,CE1123)),0),0)</f>
        <v>0</v>
      </c>
      <c r="CQ1123" s="52" t="n">
        <f aca="false">IF(AND(Parameter!$B$21="Ja",ISNUMBER(W1123),N(X1123)&gt;0),IFERROR(N(INDEX(Parameter!$L$5:$L$7,W1123))*INDEX(Parameter!$E$5:$E$7,W1123)*X1123/SUMIFS($X$7:$X$1843,$W$7:$W$1843,W1123),0),0)</f>
        <v>0</v>
      </c>
    </row>
    <row r="1124" customFormat="false" ht="15" hidden="false" customHeight="false" outlineLevel="0" collapsed="false">
      <c r="A1124" s="48" t="s">
        <v>2046</v>
      </c>
      <c r="B1124" s="48" t="s">
        <v>2047</v>
      </c>
      <c r="C1124" s="48" t="s">
        <v>173</v>
      </c>
      <c r="D1124" s="48" t="s">
        <v>193</v>
      </c>
      <c r="E1124" s="48" t="s">
        <v>194</v>
      </c>
      <c r="F1124" s="48" t="s">
        <v>227</v>
      </c>
      <c r="G1124" s="49" t="n">
        <v>90.32</v>
      </c>
      <c r="H1124" s="50" t="n">
        <f aca="false">MAX(0,IF(AND(Parameter!$B$21="Ja",ISNUMBER(Y1124)),Y1124,IF(Parameter!$B$20="Jahresanfang 2025 + Export",BR1124+BQ1124,BQ1124)))</f>
        <v>36</v>
      </c>
      <c r="I1124" s="50" t="n">
        <f aca="false">H1124*G1124</f>
        <v>3251.52</v>
      </c>
      <c r="J1124" s="50" t="n">
        <f aca="false">BT1124*Parameter!$B$18</f>
        <v>58</v>
      </c>
      <c r="K1124" s="51" t="n">
        <v>30.5</v>
      </c>
      <c r="L1124" s="52" t="n">
        <v>1.9016393442623</v>
      </c>
      <c r="M1124" s="50" t="n">
        <v>5</v>
      </c>
      <c r="N1124" s="50" t="n">
        <v>40</v>
      </c>
      <c r="O1124" s="53" t="n">
        <v>28</v>
      </c>
      <c r="P1124" s="48" t="s">
        <v>242</v>
      </c>
      <c r="Q1124" s="50" t="n">
        <v>30</v>
      </c>
      <c r="R1124" s="53" t="n">
        <f aca="false">IF(BZ1124=1,0,IFERROR(VLOOKUP(BX1124,'Gebinde-Kategorie'!$A$5:$N$45,13,0)+0,0))</f>
        <v>26</v>
      </c>
      <c r="S1124" s="54"/>
      <c r="T1124" s="55"/>
      <c r="U1124" s="55"/>
      <c r="V1124" s="55"/>
      <c r="W1124" s="48"/>
      <c r="X1124" s="50"/>
      <c r="Y1124" s="50"/>
      <c r="Z1124" s="48" t="n">
        <f aca="false">IF(A1124="","",IF(AND(Parameter!$B$21="Ja",ISNUMBER(W1124)),W1124,IF(CC1124="2+3",IF(ISNUMBER(SEARCH("grosser Artikel",BU1124)),2,IFERROR(VLOOKUP(BX1124,Parameter!$F$35:$G$64,2,0),2)),IF(OR(CC1124="Nein",CC1124=""),"-",CC1124))))</f>
        <v>3</v>
      </c>
      <c r="AA1124" s="55"/>
      <c r="AB1124" s="56"/>
      <c r="AC1124" s="50" t="n">
        <f aca="false">AV1124</f>
        <v>45</v>
      </c>
      <c r="AD1124" s="50" t="n">
        <f aca="false">MAX(AV1124,H1124)</f>
        <v>45</v>
      </c>
      <c r="AE1124" s="57"/>
      <c r="AF1124" s="50" t="n">
        <f aca="false">IF(LEFT(Cockpit!$C$5,1)="A",H1124,IF(Parameter!$E$30="MAX-Bestand",IF(CH1124=1,CI1124,IF(LEFT(Cockpit!$C$5,1)="B",AL1124,MAX(AL1124,H1124))),ROUNDUP(AJ1124,0)))</f>
        <v>36</v>
      </c>
      <c r="AG1124" s="50" t="n">
        <f aca="false">IF(BZ1124=1,0,ROUNDUP(AF1124/BY1124,0))</f>
        <v>2</v>
      </c>
      <c r="AH1124" s="52" t="n">
        <f aca="false">IF(CQ1124&gt;0,CQ1124*MAX(1,AF1124/X1124),IF(BZ1124=1,IF(AF1124&lt;=0,0,CD1124*MAX(1,IF(H1124&gt;0,AF1124/H1124,1))),IF(R1124&gt;0,AG1124/R1124,0))/MAX(0.1,N(Parameter!$M$21)))</f>
        <v>0.0769230769230769</v>
      </c>
      <c r="AI1124" s="50" t="n">
        <f aca="false">AH1124*CB1124</f>
        <v>18.8461538461538</v>
      </c>
      <c r="AJ1124" s="51" t="n">
        <f aca="false">IF(LEFT(Cockpit!$C$5,1)="A",H1124,IF(CH1124=1,(CK1124+CI1124)/2,IF(LEFT(Cockpit!$C$5,1)="B",(CK1124+AL1124)/2,MAX((CK1124+AL1124)/2,H1124))))</f>
        <v>36</v>
      </c>
      <c r="AK1124" s="50" t="n">
        <f aca="false">AJ1124*G1124</f>
        <v>3251.52</v>
      </c>
      <c r="AL1124" s="50" t="n">
        <f aca="false">ROUNDUP(CK1124+MAX(CL1124,2*(J1124/IF(CG1124&gt;0,CG1124,MAX(0.1,N(Cockpit!$C$6)))-CK1124)),0)</f>
        <v>45</v>
      </c>
      <c r="AM1124" s="51" t="n">
        <f aca="false">IF(AI1124&gt;0,J1124/AI1124,-1)</f>
        <v>3.07755102040816</v>
      </c>
      <c r="AN1124" s="51" t="n">
        <f aca="false">IF(AND(OR(CF1124="L1",CF1124="L23",CF1124="LIFT"),AI1124&gt;0),SUMIFS($AI$7:$AI$1843,$CF$7:$CF$1843,CF1124,$AM$7:$AM$1843,"&gt;"&amp;AM1124)+SUMIFS($AI$7:$AI$1843,$CF$7:$CF$1843,CF1124,$AM$7:$AM$1843,AM1124,$BW$7:$BW$1843,"&lt;="&amp;BW1124),"")</f>
        <v>5031.66163003663</v>
      </c>
      <c r="AO1124" s="58" t="n">
        <f aca="false">IF(AN1124="",0,MAX(0,MIN(1,(IF(CF1124="L1",Parameter!$H$5,IF(CF1124="L23",Parameter!$H$6+Parameter!$H$7,Parameter!$H$5+Parameter!$H$6+Parameter!$H$7))-(AN1124-AI1124))/AI1124)))</f>
        <v>1</v>
      </c>
      <c r="AP1124" s="50" t="n">
        <f aca="false">IF(LEFT(Cockpit!$I$5,1)="A",H1124,IF(Parameter!$E$30="MAX-Bestand",IF(CH1124=1,CI1124,IF(LEFT(Cockpit!$I$5,1)="B",AV1124,MAX(AV1124,H1124))),ROUNDUP(AT1124,0)))</f>
        <v>36</v>
      </c>
      <c r="AQ1124" s="50" t="n">
        <f aca="false">IF(BZ1124=1,0,ROUNDUP(AP1124/BY1124,0))</f>
        <v>2</v>
      </c>
      <c r="AR1124" s="52" t="n">
        <f aca="false">IF(CQ1124&gt;0,CQ1124*MAX(1,AP1124/X1124),IF(BZ1124=1,IF(AP1124&lt;=0,0,CD1124*MAX(1,IF(H1124&gt;0,AP1124/H1124,1))),IF(R1124&gt;0,AQ1124/R1124,0))/MAX(0.1,N(Parameter!$M$21)))</f>
        <v>0.0769230769230769</v>
      </c>
      <c r="AS1124" s="50" t="n">
        <f aca="false">AR1124*CB1124</f>
        <v>18.8461538461538</v>
      </c>
      <c r="AT1124" s="51" t="n">
        <f aca="false">IF(LEFT(Cockpit!$I$5,1)="A",H1124,IF(CH1124=1,(CK1124+CI1124)/2,IF(LEFT(Cockpit!$I$5,1)="B",(CK1124+AV1124)/2,MAX((CK1124+AV1124)/2,H1124))))</f>
        <v>36</v>
      </c>
      <c r="AU1124" s="50" t="n">
        <f aca="false">AT1124*G1124</f>
        <v>3251.52</v>
      </c>
      <c r="AV1124" s="50" t="n">
        <f aca="false">ROUNDUP(CK1124+MAX(CL1124,2*(J1124/IF(CG1124&gt;0,CG1124,MAX(0.1,N(Cockpit!$I$6)))-CK1124)),0)</f>
        <v>45</v>
      </c>
      <c r="AW1124" s="51" t="n">
        <f aca="false">IF(AS1124&gt;0,J1124/AS1124,-1)</f>
        <v>3.07755102040816</v>
      </c>
      <c r="AX1124" s="51" t="n">
        <f aca="false">IF(AND(OR(CF1124="L1",CF1124="L23",CF1124="LIFT"),AS1124&gt;0),SUMIFS($AS$7:$AS$1843,$CF$7:$CF$1843,CF1124,$AW$7:$AW$1843,"&gt;"&amp;AW1124)+SUMIFS($AS$7:$AS$1843,$CF$7:$CF$1843,CF1124,$AW$7:$AW$1843,AW1124,$BW$7:$BW$1843,"&lt;="&amp;BW1124),"")</f>
        <v>5787.71016483516</v>
      </c>
      <c r="AY1124" s="58" t="n">
        <f aca="false">IF(AX1124="",0,MAX(0,MIN(1,(IF(CF1124="L1",Parameter!$H$5,IF(CF1124="L23",Parameter!$H$6+Parameter!$H$7,Parameter!$H$5+Parameter!$H$6+Parameter!$H$7))-(AX1124-AS1124))/AS1124)))</f>
        <v>1</v>
      </c>
      <c r="AZ1124" s="50" t="n">
        <f aca="false">IF(LEFT(Cockpit!$O$5,1)="A",H1124,IF(Parameter!$E$30="MAX-Bestand",IF(CH1124=1,CI1124,IF(LEFT(Cockpit!$O$5,1)="B",BF1124,MAX(BF1124,H1124))),ROUNDUP(BD1124,0)))</f>
        <v>25</v>
      </c>
      <c r="BA1124" s="50" t="n">
        <f aca="false">IF(BZ1124=1,0,ROUNDUP(AZ1124/BY1124,0))</f>
        <v>1</v>
      </c>
      <c r="BB1124" s="52" t="n">
        <f aca="false">IF(CQ1124&gt;0,CQ1124*MAX(1,AZ1124/X1124),IF(BZ1124=1,IF(AZ1124&lt;=0,0,CD1124*MAX(1,IF(H1124&gt;0,AZ1124/H1124,1))),IF(R1124&gt;0,BA1124/R1124,0))/MAX(0.1,N(Parameter!$M$21)))</f>
        <v>0.0384615384615385</v>
      </c>
      <c r="BC1124" s="50" t="n">
        <f aca="false">BB1124*CB1124</f>
        <v>9.42307692307692</v>
      </c>
      <c r="BD1124" s="51" t="n">
        <f aca="false">IF(LEFT(Cockpit!$O$5,1)="A",H1124,IF(CH1124=1,(CK1124+CI1124)/2,IF(LEFT(Cockpit!$O$5,1)="B",(CK1124+BF1124)/2,MAX((CK1124+BF1124)/2,H1124))))</f>
        <v>25</v>
      </c>
      <c r="BE1124" s="50" t="n">
        <f aca="false">BD1124*G1124</f>
        <v>2258</v>
      </c>
      <c r="BF1124" s="50" t="n">
        <f aca="false">ROUNDUP(CK1124+MAX(CL1124,2*(J1124/IF(CG1124&gt;0,CG1124,MAX(0.1,N(Cockpit!$O$6)))-CK1124)),0)</f>
        <v>45</v>
      </c>
      <c r="BG1124" s="51" t="n">
        <f aca="false">IF(BC1124&gt;0,J1124/BC1124,-1)</f>
        <v>6.15510204081633</v>
      </c>
      <c r="BH1124" s="51" t="n">
        <f aca="false">IF(AND(OR(CF1124="L1",CF1124="L23",CF1124="LIFT"),BC1124&gt;0),SUMIFS($BC$7:$BC$1843,$CF$7:$CF$1843,CF1124,$BG$7:$BG$1843,"&gt;"&amp;BG1124)+SUMIFS($BC$7:$BC$1843,$CF$7:$CF$1843,CF1124,$BG$7:$BG$1843,BG1124,$BW$7:$BW$1843,"&lt;="&amp;BW1124),"")</f>
        <v>3440.75686813187</v>
      </c>
      <c r="BI1124" s="58" t="n">
        <f aca="false">IF(BH1124="",0,MAX(0,MIN(1,(IF(CF1124="L1",Parameter!$H$5,IF(CF1124="L23",Parameter!$H$6+Parameter!$H$7,Parameter!$H$5+Parameter!$H$6+Parameter!$H$7))-(BH1124-BC1124))/BC1124)))</f>
        <v>1</v>
      </c>
      <c r="BJ1124" s="48" t="str">
        <f aca="false">IF(AI1124&lt;=0,"",IF(CF1124="Aussen","Aussenlager",IF(CF1124="-","Nicht im Lift",IF(AO1124&gt;=1,"Lift",IF(AO1124&lt;=0,"Aussenlager","teilweise")))))</f>
        <v>Lift</v>
      </c>
      <c r="BK1124" s="48" t="str">
        <f aca="false">IF(AS1124&lt;=0,"",IF(CF1124="Aussen","Aussenlager",IF(CF1124="-","Nicht im Lift",IF(AY1124&gt;=1,"Lift",IF(AY1124&lt;=0,"Aussenlager","teilweise")))))</f>
        <v>Lift</v>
      </c>
      <c r="BL1124" s="48" t="str">
        <f aca="false">IF(BC1124&lt;=0,"",IF(CF1124="Aussen","Aussenlager",IF(CF1124="-","Nicht im Lift",IF(BI1124&gt;=1,"Lift",IF(BI1124&lt;=0,"Aussenlager","teilweise")))))</f>
        <v>Lift</v>
      </c>
      <c r="BM1124" s="48" t="str">
        <f aca="false">IF(A1124="","",IF(BV1124=1,"Neu; ","")&amp;IF(AND(BV1124=0,BQ1124&lt;0),"negativer Bestand (Export "&amp;BQ1124&amp;"); ","")&amp;IF(J1124&lt;=0,"Kein Verbrauch; ","")&amp;IF(CQ1124&gt;0,"Lift "&amp;W1124&amp;" lt. Liftbericht (Fach "&amp;X1124&amp;" Stk); ",IF(CA1124=1,"Gebinde geschätzt ("&amp;T1124&amp;"); ",IF(BZ1124=1,"Lose – Tablare geschätzt; ","")))&amp;IF(H1124&gt;AV1124,"Überbestand "&amp;ROUND(H1124-AV1124,0)&amp;" Stk / CHF "&amp;ROUND((H1124-AV1124)*G1124,0)&amp;"; ","")&amp;IF(AND(CH1124=1,CI1124&lt;CJ1124),"MAX &lt; MB+LG; ","")&amp;IF(AND(CP1124&gt;0,CO1124*10&gt;CP1124),"zu hoch für Tablar; ","")&amp;IF(AND(BV1124=0,OR(CH1124=1,AA1124&lt;&gt;"",U1124&lt;&gt;"",V1124&lt;&gt;"",AB1124&lt;&gt;"")),"manuell übersteuert; ","")&amp;IF(AND(BZ1124=0,R1124=0),"Gebinde unbekannt / Stellmass fehlt; ","")&amp;IF(AND(BZ1124=0,N(V1124)&lt;=0,N(Q1124)&lt;=0),"Menge pro Gebinde fehlt (Ist = 1 Gebinde); ","")&amp;BU1124)</f>
        <v>negativer Bestand (Export -2); </v>
      </c>
      <c r="BN1124" s="48"/>
      <c r="BO1124" s="48"/>
      <c r="BP1124" s="55"/>
      <c r="BQ1124" s="50" t="n">
        <v>-2</v>
      </c>
      <c r="BR1124" s="50" t="n">
        <v>38</v>
      </c>
      <c r="BS1124" s="49" t="n">
        <v>-246.380000000003</v>
      </c>
      <c r="BT1124" s="50" t="n">
        <v>58</v>
      </c>
      <c r="BU1124" s="48"/>
      <c r="BV1124" s="53" t="n">
        <v>0</v>
      </c>
      <c r="BW1124" s="53" t="n">
        <v>1124</v>
      </c>
      <c r="BX1124" s="48" t="str">
        <f aca="false">IF(U1124&lt;&gt;"",UPPER(TRIM(U1124)),IF(CA1124=1,UPPER(VLOOKUP(T1124,Parameter!$I$27:$K$29,2,0)),IF(P1124="","LOSE",P1124)))</f>
        <v>S52</v>
      </c>
      <c r="BY1124" s="50" t="n">
        <f aca="false">IF(BX1124="LOSE",1,IF(N(V1124)&gt;0,V1124,IF(CA1124=1,MAX(1,N(VLOOKUP(T1124,Parameter!$I$27:$K$29,3,0)),H1124,N(N1124)),IF(N(Q1124)&gt;0,Q1124,MAX(1,H1124)))))</f>
        <v>30</v>
      </c>
      <c r="BZ1124" s="53" t="n">
        <f aca="false">IF(BX1124="LOSE",1,0)</f>
        <v>0</v>
      </c>
      <c r="CA1124" s="53" t="n">
        <f aca="false">IF(AND(U1124="",OR(P1124="",P1124="LOSE"),T1124&lt;&gt;"",N(S1124)&lt;=0,ISNUMBER(MATCH(T1124,Parameter!$I$27:$I$29,0))),1,0)</f>
        <v>0</v>
      </c>
      <c r="CB1124" s="53" t="n">
        <f aca="false">IF(CQ1124&gt;0,INDEX(Parameter!$H$5:$H$7,W1124)/INDEX(Parameter!$E$5:$E$7,W1124),IF(AND(BZ1124=0,N(IFERROR(VLOOKUP(BX1124,'Gebinde-Kategorie'!$A$5:$N$45,14,0),0))&gt;0),VLOOKUP(BX1124,'Gebinde-Kategorie'!$A$5:$N$45,14,0)*10+Parameter!$M$23,Parameter!$M$24))</f>
        <v>245</v>
      </c>
      <c r="CC1124" s="48" t="str">
        <f aca="false">IF(AND(Parameter!$B$19="Ja",E1124&lt;&gt;"",ISNUMBER(MATCH(E1124,Parameter!$I$35:$I$52,0))),VLOOKUP(E1124,Parameter!$I$35:$J$52,2,0),IFERROR(VLOOKUP(D1124,Parameter!$A$35:$C$64,2,0),"Nein"))</f>
        <v>2+3</v>
      </c>
      <c r="CD1124" s="52" t="n">
        <f aca="false">IF(BZ1124=0,0,IF(N(S1124)&gt;0,S1124,IFERROR(VLOOKUP(D1124,Parameter!$A$35:$C$64,3,0)+0,0)))</f>
        <v>0</v>
      </c>
      <c r="CE1124" s="48" t="n">
        <f aca="false">IF(AA1124&lt;&gt;"",AA1124,Z1124)</f>
        <v>3</v>
      </c>
      <c r="CF1124" s="48" t="str">
        <f aca="false">IF(OR(CE1124=1,CE1124=2,CE1124=3),IF(Parameter!$E$27="Ja","LIFT",IF(CE1124=1,"L1","L23")),IF(CE1124="Aussen","Aussen","-"))</f>
        <v>LIFT</v>
      </c>
      <c r="CG1124" s="59" t="n">
        <f aca="false">IF(N(AB1124)&gt;0,AB1124,0)</f>
        <v>0</v>
      </c>
      <c r="CH1124" s="53" t="n">
        <f aca="false">IF(ISNUMBER(AE1124),1,0)</f>
        <v>0</v>
      </c>
      <c r="CI1124" s="50" t="n">
        <f aca="false">N(AE1124)</f>
        <v>0</v>
      </c>
      <c r="CJ1124" s="50" t="n">
        <f aca="false">N(M1124)+N(N1124)</f>
        <v>45</v>
      </c>
      <c r="CK1124" s="50" t="n">
        <f aca="false">N(M1124)</f>
        <v>5</v>
      </c>
      <c r="CL1124" s="50" t="n">
        <f aca="false">N(N1124)</f>
        <v>40</v>
      </c>
      <c r="CM1124" s="50" t="n">
        <f aca="false">ROUNDUP(H1124/BY1124,0)</f>
        <v>2</v>
      </c>
      <c r="CN1124" s="50" t="n">
        <f aca="false">ROUNDUP(CI1124/BY1124,0)</f>
        <v>0</v>
      </c>
      <c r="CO1124" s="53" t="n">
        <f aca="false">IF(BZ1124=1,0,IFERROR(VLOOKUP(BX1124,'Gebinde-Kategorie'!$A$5:$N$45,5,0)+0,0))</f>
        <v>21</v>
      </c>
      <c r="CP1124" s="53" t="n">
        <f aca="false">IFERROR(IF(OR(CE1124=1,CE1124=2,CE1124=3),N(INDEX(Parameter!$I$5:$I$7,CE1124)),0),0)</f>
        <v>0</v>
      </c>
      <c r="CQ1124" s="52" t="n">
        <f aca="false">IF(AND(Parameter!$B$21="Ja",ISNUMBER(W1124),N(X1124)&gt;0),IFERROR(N(INDEX(Parameter!$L$5:$L$7,W1124))*INDEX(Parameter!$E$5:$E$7,W1124)*X1124/SUMIFS($X$7:$X$1843,$W$7:$W$1843,W1124),0),0)</f>
        <v>0</v>
      </c>
    </row>
    <row r="1125" customFormat="false" ht="15" hidden="false" customHeight="false" outlineLevel="0" collapsed="false">
      <c r="A1125" s="48" t="s">
        <v>2048</v>
      </c>
      <c r="B1125" s="48" t="s">
        <v>758</v>
      </c>
      <c r="C1125" s="48" t="s">
        <v>173</v>
      </c>
      <c r="D1125" s="48" t="s">
        <v>193</v>
      </c>
      <c r="E1125" s="48"/>
      <c r="F1125" s="48" t="s">
        <v>227</v>
      </c>
      <c r="G1125" s="49" t="n">
        <v>123.42</v>
      </c>
      <c r="H1125" s="50" t="n">
        <f aca="false">MAX(0,IF(AND(Parameter!$B$21="Ja",ISNUMBER(Y1125)),Y1125,IF(Parameter!$B$20="Jahresanfang 2025 + Export",BR1125+BQ1125,BQ1125)))</f>
        <v>2</v>
      </c>
      <c r="I1125" s="50" t="n">
        <f aca="false">H1125*G1125</f>
        <v>246.84</v>
      </c>
      <c r="J1125" s="50" t="n">
        <f aca="false">BT1125*Parameter!$B$18</f>
        <v>2</v>
      </c>
      <c r="K1125" s="51" t="n">
        <v>3</v>
      </c>
      <c r="L1125" s="52" t="n">
        <v>0.666666666666667</v>
      </c>
      <c r="M1125" s="50" t="n">
        <v>0</v>
      </c>
      <c r="N1125" s="50" t="n">
        <v>1</v>
      </c>
      <c r="O1125" s="53" t="n">
        <v>28</v>
      </c>
      <c r="P1125" s="48" t="s">
        <v>430</v>
      </c>
      <c r="Q1125" s="50" t="n">
        <v>5</v>
      </c>
      <c r="R1125" s="53" t="n">
        <f aca="false">IF(BZ1125=1,0,IFERROR(VLOOKUP(BX1125,'Gebinde-Kategorie'!$A$5:$N$45,13,0)+0,0))</f>
        <v>104</v>
      </c>
      <c r="S1125" s="54"/>
      <c r="T1125" s="55"/>
      <c r="U1125" s="55"/>
      <c r="V1125" s="55"/>
      <c r="W1125" s="48"/>
      <c r="X1125" s="50"/>
      <c r="Y1125" s="50"/>
      <c r="Z1125" s="48" t="n">
        <f aca="false">IF(A1125="","",IF(AND(Parameter!$B$21="Ja",ISNUMBER(W1125)),W1125,IF(CC1125="2+3",IF(ISNUMBER(SEARCH("grosser Artikel",BU1125)),2,IFERROR(VLOOKUP(BX1125,Parameter!$F$35:$G$64,2,0),2)),IF(OR(CC1125="Nein",CC1125=""),"-",CC1125))))</f>
        <v>3</v>
      </c>
      <c r="AA1125" s="55"/>
      <c r="AB1125" s="56"/>
      <c r="AC1125" s="50" t="n">
        <f aca="false">AV1125</f>
        <v>2</v>
      </c>
      <c r="AD1125" s="50" t="n">
        <f aca="false">MAX(AV1125,H1125)</f>
        <v>2</v>
      </c>
      <c r="AE1125" s="57"/>
      <c r="AF1125" s="50" t="n">
        <f aca="false">IF(LEFT(Cockpit!$C$5,1)="A",H1125,IF(Parameter!$E$30="MAX-Bestand",IF(CH1125=1,CI1125,IF(LEFT(Cockpit!$C$5,1)="B",AL1125,MAX(AL1125,H1125))),ROUNDUP(AJ1125,0)))</f>
        <v>2</v>
      </c>
      <c r="AG1125" s="50" t="n">
        <f aca="false">IF(BZ1125=1,0,ROUNDUP(AF1125/BY1125,0))</f>
        <v>1</v>
      </c>
      <c r="AH1125" s="52" t="n">
        <f aca="false">IF(CQ1125&gt;0,CQ1125*MAX(1,AF1125/X1125),IF(BZ1125=1,IF(AF1125&lt;=0,0,CD1125*MAX(1,IF(H1125&gt;0,AF1125/H1125,1))),IF(R1125&gt;0,AG1125/R1125,0))/MAX(0.1,N(Parameter!$M$21)))</f>
        <v>0.00961538461538462</v>
      </c>
      <c r="AI1125" s="50" t="n">
        <f aca="false">AH1125*CB1125</f>
        <v>1.49038461538462</v>
      </c>
      <c r="AJ1125" s="51" t="n">
        <f aca="false">IF(LEFT(Cockpit!$C$5,1)="A",H1125,IF(CH1125=1,(CK1125+CI1125)/2,IF(LEFT(Cockpit!$C$5,1)="B",(CK1125+AL1125)/2,MAX((CK1125+AL1125)/2,H1125))))</f>
        <v>2</v>
      </c>
      <c r="AK1125" s="50" t="n">
        <f aca="false">AJ1125*G1125</f>
        <v>246.84</v>
      </c>
      <c r="AL1125" s="50" t="n">
        <f aca="false">ROUNDUP(CK1125+MAX(CL1125,2*(J1125/IF(CG1125&gt;0,CG1125,MAX(0.1,N(Cockpit!$C$6)))-CK1125)),0)</f>
        <v>2</v>
      </c>
      <c r="AM1125" s="51" t="n">
        <f aca="false">IF(AI1125&gt;0,J1125/AI1125,-1)</f>
        <v>1.34193548387097</v>
      </c>
      <c r="AN1125" s="51" t="n">
        <f aca="false">IF(AND(OR(CF1125="L1",CF1125="L23",CF1125="LIFT"),AI1125&gt;0),SUMIFS($AI$7:$AI$1843,$CF$7:$CF$1843,CF1125,$AM$7:$AM$1843,"&gt;"&amp;AM1125)+SUMIFS($AI$7:$AI$1843,$CF$7:$CF$1843,CF1125,$AM$7:$AM$1843,AM1125,$BW$7:$BW$1843,"&lt;="&amp;BW1125),"")</f>
        <v>6350.52289377289</v>
      </c>
      <c r="AO1125" s="58" t="n">
        <f aca="false">IF(AN1125="",0,MAX(0,MIN(1,(IF(CF1125="L1",Parameter!$H$5,IF(CF1125="L23",Parameter!$H$6+Parameter!$H$7,Parameter!$H$5+Parameter!$H$6+Parameter!$H$7))-(AN1125-AI1125))/AI1125)))</f>
        <v>1</v>
      </c>
      <c r="AP1125" s="50" t="n">
        <f aca="false">IF(LEFT(Cockpit!$I$5,1)="A",H1125,IF(Parameter!$E$30="MAX-Bestand",IF(CH1125=1,CI1125,IF(LEFT(Cockpit!$I$5,1)="B",AV1125,MAX(AV1125,H1125))),ROUNDUP(AT1125,0)))</f>
        <v>2</v>
      </c>
      <c r="AQ1125" s="50" t="n">
        <f aca="false">IF(BZ1125=1,0,ROUNDUP(AP1125/BY1125,0))</f>
        <v>1</v>
      </c>
      <c r="AR1125" s="52" t="n">
        <f aca="false">IF(CQ1125&gt;0,CQ1125*MAX(1,AP1125/X1125),IF(BZ1125=1,IF(AP1125&lt;=0,0,CD1125*MAX(1,IF(H1125&gt;0,AP1125/H1125,1))),IF(R1125&gt;0,AQ1125/R1125,0))/MAX(0.1,N(Parameter!$M$21)))</f>
        <v>0.00961538461538462</v>
      </c>
      <c r="AS1125" s="50" t="n">
        <f aca="false">AR1125*CB1125</f>
        <v>1.49038461538462</v>
      </c>
      <c r="AT1125" s="51" t="n">
        <f aca="false">IF(LEFT(Cockpit!$I$5,1)="A",H1125,IF(CH1125=1,(CK1125+CI1125)/2,IF(LEFT(Cockpit!$I$5,1)="B",(CK1125+AV1125)/2,MAX((CK1125+AV1125)/2,H1125))))</f>
        <v>2</v>
      </c>
      <c r="AU1125" s="50" t="n">
        <f aca="false">AT1125*G1125</f>
        <v>246.84</v>
      </c>
      <c r="AV1125" s="50" t="n">
        <f aca="false">ROUNDUP(CK1125+MAX(CL1125,2*(J1125/IF(CG1125&gt;0,CG1125,MAX(0.1,N(Cockpit!$I$6)))-CK1125)),0)</f>
        <v>2</v>
      </c>
      <c r="AW1125" s="51" t="n">
        <f aca="false">IF(AS1125&gt;0,J1125/AS1125,-1)</f>
        <v>1.34193548387097</v>
      </c>
      <c r="AX1125" s="51" t="n">
        <f aca="false">IF(AND(OR(CF1125="L1",CF1125="L23",CF1125="LIFT"),AS1125&gt;0),SUMIFS($AS$7:$AS$1843,$CF$7:$CF$1843,CF1125,$AW$7:$AW$1843,"&gt;"&amp;AW1125)+SUMIFS($AS$7:$AS$1843,$CF$7:$CF$1843,CF1125,$AW$7:$AW$1843,AW1125,$BW$7:$BW$1843,"&lt;="&amp;BW1125),"")</f>
        <v>7877.68727106227</v>
      </c>
      <c r="AY1125" s="58" t="n">
        <f aca="false">IF(AX1125="",0,MAX(0,MIN(1,(IF(CF1125="L1",Parameter!$H$5,IF(CF1125="L23",Parameter!$H$6+Parameter!$H$7,Parameter!$H$5+Parameter!$H$6+Parameter!$H$7))-(AX1125-AS1125))/AS1125)))</f>
        <v>1</v>
      </c>
      <c r="AZ1125" s="50" t="n">
        <f aca="false">IF(LEFT(Cockpit!$O$5,1)="A",H1125,IF(Parameter!$E$30="MAX-Bestand",IF(CH1125=1,CI1125,IF(LEFT(Cockpit!$O$5,1)="B",BF1125,MAX(BF1125,H1125))),ROUNDUP(BD1125,0)))</f>
        <v>1</v>
      </c>
      <c r="BA1125" s="50" t="n">
        <f aca="false">IF(BZ1125=1,0,ROUNDUP(AZ1125/BY1125,0))</f>
        <v>1</v>
      </c>
      <c r="BB1125" s="52" t="n">
        <f aca="false">IF(CQ1125&gt;0,CQ1125*MAX(1,AZ1125/X1125),IF(BZ1125=1,IF(AZ1125&lt;=0,0,CD1125*MAX(1,IF(H1125&gt;0,AZ1125/H1125,1))),IF(R1125&gt;0,BA1125/R1125,0))/MAX(0.1,N(Parameter!$M$21)))</f>
        <v>0.00961538461538462</v>
      </c>
      <c r="BC1125" s="50" t="n">
        <f aca="false">BB1125*CB1125</f>
        <v>1.49038461538462</v>
      </c>
      <c r="BD1125" s="51" t="n">
        <f aca="false">IF(LEFT(Cockpit!$O$5,1)="A",H1125,IF(CH1125=1,(CK1125+CI1125)/2,IF(LEFT(Cockpit!$O$5,1)="B",(CK1125+BF1125)/2,MAX((CK1125+BF1125)/2,H1125))))</f>
        <v>0.5</v>
      </c>
      <c r="BE1125" s="50" t="n">
        <f aca="false">BD1125*G1125</f>
        <v>61.71</v>
      </c>
      <c r="BF1125" s="50" t="n">
        <f aca="false">ROUNDUP(CK1125+MAX(CL1125,2*(J1125/IF(CG1125&gt;0,CG1125,MAX(0.1,N(Cockpit!$O$6)))-CK1125)),0)</f>
        <v>1</v>
      </c>
      <c r="BG1125" s="51" t="n">
        <f aca="false">IF(BC1125&gt;0,J1125/BC1125,-1)</f>
        <v>1.34193548387097</v>
      </c>
      <c r="BH1125" s="51" t="n">
        <f aca="false">IF(AND(OR(CF1125="L1",CF1125="L23",CF1125="LIFT"),BC1125&gt;0),SUMIFS($BC$7:$BC$1843,$CF$7:$CF$1843,CF1125,$BG$7:$BG$1843,"&gt;"&amp;BG1125)+SUMIFS($BC$7:$BC$1843,$CF$7:$CF$1843,CF1125,$BG$7:$BG$1843,BG1125,$BW$7:$BW$1843,"&lt;="&amp;BW1125),"")</f>
        <v>6814.90293040293</v>
      </c>
      <c r="BI1125" s="58" t="n">
        <f aca="false">IF(BH1125="",0,MAX(0,MIN(1,(IF(CF1125="L1",Parameter!$H$5,IF(CF1125="L23",Parameter!$H$6+Parameter!$H$7,Parameter!$H$5+Parameter!$H$6+Parameter!$H$7))-(BH1125-BC1125))/BC1125)))</f>
        <v>1</v>
      </c>
      <c r="BJ1125" s="48" t="str">
        <f aca="false">IF(AI1125&lt;=0,"",IF(CF1125="Aussen","Aussenlager",IF(CF1125="-","Nicht im Lift",IF(AO1125&gt;=1,"Lift",IF(AO1125&lt;=0,"Aussenlager","teilweise")))))</f>
        <v>Lift</v>
      </c>
      <c r="BK1125" s="48" t="str">
        <f aca="false">IF(AS1125&lt;=0,"",IF(CF1125="Aussen","Aussenlager",IF(CF1125="-","Nicht im Lift",IF(AY1125&gt;=1,"Lift",IF(AY1125&lt;=0,"Aussenlager","teilweise")))))</f>
        <v>Lift</v>
      </c>
      <c r="BL1125" s="48" t="str">
        <f aca="false">IF(BC1125&lt;=0,"",IF(CF1125="Aussen","Aussenlager",IF(CF1125="-","Nicht im Lift",IF(BI1125&gt;=1,"Lift",IF(BI1125&lt;=0,"Aussenlager","teilweise")))))</f>
        <v>Lift</v>
      </c>
      <c r="BM1125" s="48" t="str">
        <f aca="false">IF(A1125="","",IF(BV1125=1,"Neu; ","")&amp;IF(AND(BV1125=0,BQ1125&lt;0),"negativer Bestand (Export "&amp;BQ1125&amp;"); ","")&amp;IF(J1125&lt;=0,"Kein Verbrauch; ","")&amp;IF(CQ1125&gt;0,"Lift "&amp;W1125&amp;" lt. Liftbericht (Fach "&amp;X1125&amp;" Stk); ",IF(CA1125=1,"Gebinde geschätzt ("&amp;T1125&amp;"); ",IF(BZ1125=1,"Lose – Tablare geschätzt; ","")))&amp;IF(H1125&gt;AV1125,"Überbestand "&amp;ROUND(H1125-AV1125,0)&amp;" Stk / CHF "&amp;ROUND((H1125-AV1125)*G1125,0)&amp;"; ","")&amp;IF(AND(CH1125=1,CI1125&lt;CJ1125),"MAX &lt; MB+LG; ","")&amp;IF(AND(CP1125&gt;0,CO1125*10&gt;CP1125),"zu hoch für Tablar; ","")&amp;IF(AND(BV1125=0,OR(CH1125=1,AA1125&lt;&gt;"",U1125&lt;&gt;"",V1125&lt;&gt;"",AB1125&lt;&gt;"")),"manuell übersteuert; ","")&amp;IF(AND(BZ1125=0,R1125=0),"Gebinde unbekannt / Stellmass fehlt; ","")&amp;IF(AND(BZ1125=0,N(V1125)&lt;=0,N(Q1125)&lt;=0),"Menge pro Gebinde fehlt (Ist = 1 Gebinde); ","")&amp;BU1125)</f>
        <v>negativer Bestand (Export -2); </v>
      </c>
      <c r="BN1125" s="48"/>
      <c r="BO1125" s="48"/>
      <c r="BP1125" s="55"/>
      <c r="BQ1125" s="50" t="n">
        <v>-2</v>
      </c>
      <c r="BR1125" s="50" t="n">
        <v>4</v>
      </c>
      <c r="BS1125" s="49" t="n">
        <v>-246.84</v>
      </c>
      <c r="BT1125" s="50" t="n">
        <v>2</v>
      </c>
      <c r="BU1125" s="48"/>
      <c r="BV1125" s="53" t="n">
        <v>0</v>
      </c>
      <c r="BW1125" s="53" t="n">
        <v>1125</v>
      </c>
      <c r="BX1125" s="48" t="str">
        <f aca="false">IF(U1125&lt;&gt;"",UPPER(TRIM(U1125)),IF(CA1125=1,UPPER(VLOOKUP(T1125,Parameter!$I$27:$K$29,2,0)),IF(P1125="","LOSE",P1125)))</f>
        <v>S32</v>
      </c>
      <c r="BY1125" s="50" t="n">
        <f aca="false">IF(BX1125="LOSE",1,IF(N(V1125)&gt;0,V1125,IF(CA1125=1,MAX(1,N(VLOOKUP(T1125,Parameter!$I$27:$K$29,3,0)),H1125,N(N1125)),IF(N(Q1125)&gt;0,Q1125,MAX(1,H1125)))))</f>
        <v>5</v>
      </c>
      <c r="BZ1125" s="53" t="n">
        <f aca="false">IF(BX1125="LOSE",1,0)</f>
        <v>0</v>
      </c>
      <c r="CA1125" s="53" t="n">
        <f aca="false">IF(AND(U1125="",OR(P1125="",P1125="LOSE"),T1125&lt;&gt;"",N(S1125)&lt;=0,ISNUMBER(MATCH(T1125,Parameter!$I$27:$I$29,0))),1,0)</f>
        <v>0</v>
      </c>
      <c r="CB1125" s="53" t="n">
        <f aca="false">IF(CQ1125&gt;0,INDEX(Parameter!$H$5:$H$7,W1125)/INDEX(Parameter!$E$5:$E$7,W1125),IF(AND(BZ1125=0,N(IFERROR(VLOOKUP(BX1125,'Gebinde-Kategorie'!$A$5:$N$45,14,0),0))&gt;0),VLOOKUP(BX1125,'Gebinde-Kategorie'!$A$5:$N$45,14,0)*10+Parameter!$M$23,Parameter!$M$24))</f>
        <v>155</v>
      </c>
      <c r="CC1125" s="48" t="str">
        <f aca="false">IF(AND(Parameter!$B$19="Ja",E1125&lt;&gt;"",ISNUMBER(MATCH(E1125,Parameter!$I$35:$I$52,0))),VLOOKUP(E1125,Parameter!$I$35:$J$52,2,0),IFERROR(VLOOKUP(D1125,Parameter!$A$35:$C$64,2,0),"Nein"))</f>
        <v>2+3</v>
      </c>
      <c r="CD1125" s="52" t="n">
        <f aca="false">IF(BZ1125=0,0,IF(N(S1125)&gt;0,S1125,IFERROR(VLOOKUP(D1125,Parameter!$A$35:$C$64,3,0)+0,0)))</f>
        <v>0</v>
      </c>
      <c r="CE1125" s="48" t="n">
        <f aca="false">IF(AA1125&lt;&gt;"",AA1125,Z1125)</f>
        <v>3</v>
      </c>
      <c r="CF1125" s="48" t="str">
        <f aca="false">IF(OR(CE1125=1,CE1125=2,CE1125=3),IF(Parameter!$E$27="Ja","LIFT",IF(CE1125=1,"L1","L23")),IF(CE1125="Aussen","Aussen","-"))</f>
        <v>LIFT</v>
      </c>
      <c r="CG1125" s="59" t="n">
        <f aca="false">IF(N(AB1125)&gt;0,AB1125,0)</f>
        <v>0</v>
      </c>
      <c r="CH1125" s="53" t="n">
        <f aca="false">IF(ISNUMBER(AE1125),1,0)</f>
        <v>0</v>
      </c>
      <c r="CI1125" s="50" t="n">
        <f aca="false">N(AE1125)</f>
        <v>0</v>
      </c>
      <c r="CJ1125" s="50" t="n">
        <f aca="false">N(M1125)+N(N1125)</f>
        <v>1</v>
      </c>
      <c r="CK1125" s="50" t="n">
        <f aca="false">N(M1125)</f>
        <v>0</v>
      </c>
      <c r="CL1125" s="50" t="n">
        <f aca="false">N(N1125)</f>
        <v>1</v>
      </c>
      <c r="CM1125" s="50" t="n">
        <f aca="false">ROUNDUP(H1125/BY1125,0)</f>
        <v>1</v>
      </c>
      <c r="CN1125" s="50" t="n">
        <f aca="false">ROUNDUP(CI1125/BY1125,0)</f>
        <v>0</v>
      </c>
      <c r="CO1125" s="53" t="n">
        <f aca="false">IF(BZ1125=1,0,IFERROR(VLOOKUP(BX1125,'Gebinde-Kategorie'!$A$5:$N$45,5,0)+0,0))</f>
        <v>8</v>
      </c>
      <c r="CP1125" s="53" t="n">
        <f aca="false">IFERROR(IF(OR(CE1125=1,CE1125=2,CE1125=3),N(INDEX(Parameter!$I$5:$I$7,CE1125)),0),0)</f>
        <v>0</v>
      </c>
      <c r="CQ1125" s="52" t="n">
        <f aca="false">IF(AND(Parameter!$B$21="Ja",ISNUMBER(W1125),N(X1125)&gt;0),IFERROR(N(INDEX(Parameter!$L$5:$L$7,W1125))*INDEX(Parameter!$E$5:$E$7,W1125)*X1125/SUMIFS($X$7:$X$1843,$W$7:$W$1843,W1125),0),0)</f>
        <v>0</v>
      </c>
    </row>
    <row r="1126" customFormat="false" ht="15" hidden="false" customHeight="false" outlineLevel="0" collapsed="false">
      <c r="A1126" s="48" t="s">
        <v>2049</v>
      </c>
      <c r="B1126" s="48" t="s">
        <v>2050</v>
      </c>
      <c r="C1126" s="48" t="s">
        <v>173</v>
      </c>
      <c r="D1126" s="48" t="s">
        <v>193</v>
      </c>
      <c r="E1126" s="48" t="s">
        <v>194</v>
      </c>
      <c r="F1126" s="48" t="s">
        <v>227</v>
      </c>
      <c r="G1126" s="49" t="n">
        <v>82.88</v>
      </c>
      <c r="H1126" s="50" t="n">
        <f aca="false">MAX(0,IF(AND(Parameter!$B$21="Ja",ISNUMBER(Y1126)),Y1126,IF(Parameter!$B$20="Jahresanfang 2025 + Export",BR1126+BQ1126,BQ1126)))</f>
        <v>14</v>
      </c>
      <c r="I1126" s="50" t="n">
        <f aca="false">H1126*G1126</f>
        <v>1160.32</v>
      </c>
      <c r="J1126" s="50" t="n">
        <f aca="false">BT1126*Parameter!$B$18</f>
        <v>0</v>
      </c>
      <c r="K1126" s="51" t="n">
        <v>17</v>
      </c>
      <c r="L1126" s="52" t="n">
        <v>0</v>
      </c>
      <c r="M1126" s="50" t="n">
        <v>0</v>
      </c>
      <c r="N1126" s="50" t="n">
        <v>1</v>
      </c>
      <c r="O1126" s="53" t="n">
        <v>28</v>
      </c>
      <c r="P1126" s="48" t="s">
        <v>430</v>
      </c>
      <c r="Q1126" s="50" t="n">
        <v>18</v>
      </c>
      <c r="R1126" s="53" t="n">
        <f aca="false">IF(BZ1126=1,0,IFERROR(VLOOKUP(BX1126,'Gebinde-Kategorie'!$A$5:$N$45,13,0)+0,0))</f>
        <v>104</v>
      </c>
      <c r="S1126" s="54"/>
      <c r="T1126" s="55"/>
      <c r="U1126" s="55"/>
      <c r="V1126" s="55"/>
      <c r="W1126" s="48"/>
      <c r="X1126" s="50"/>
      <c r="Y1126" s="50"/>
      <c r="Z1126" s="48" t="n">
        <f aca="false">IF(A1126="","",IF(AND(Parameter!$B$21="Ja",ISNUMBER(W1126)),W1126,IF(CC1126="2+3",IF(ISNUMBER(SEARCH("grosser Artikel",BU1126)),2,IFERROR(VLOOKUP(BX1126,Parameter!$F$35:$G$64,2,0),2)),IF(OR(CC1126="Nein",CC1126=""),"-",CC1126))))</f>
        <v>3</v>
      </c>
      <c r="AA1126" s="55"/>
      <c r="AB1126" s="56"/>
      <c r="AC1126" s="50" t="n">
        <f aca="false">AV1126</f>
        <v>1</v>
      </c>
      <c r="AD1126" s="50" t="n">
        <f aca="false">MAX(AV1126,H1126)</f>
        <v>14</v>
      </c>
      <c r="AE1126" s="57"/>
      <c r="AF1126" s="50" t="n">
        <f aca="false">IF(LEFT(Cockpit!$C$5,1)="A",H1126,IF(Parameter!$E$30="MAX-Bestand",IF(CH1126=1,CI1126,IF(LEFT(Cockpit!$C$5,1)="B",AL1126,MAX(AL1126,H1126))),ROUNDUP(AJ1126,0)))</f>
        <v>14</v>
      </c>
      <c r="AG1126" s="50" t="n">
        <f aca="false">IF(BZ1126=1,0,ROUNDUP(AF1126/BY1126,0))</f>
        <v>1</v>
      </c>
      <c r="AH1126" s="52" t="n">
        <f aca="false">IF(CQ1126&gt;0,CQ1126*MAX(1,AF1126/X1126),IF(BZ1126=1,IF(AF1126&lt;=0,0,CD1126*MAX(1,IF(H1126&gt;0,AF1126/H1126,1))),IF(R1126&gt;0,AG1126/R1126,0))/MAX(0.1,N(Parameter!$M$21)))</f>
        <v>0.00961538461538462</v>
      </c>
      <c r="AI1126" s="50" t="n">
        <f aca="false">AH1126*CB1126</f>
        <v>1.49038461538462</v>
      </c>
      <c r="AJ1126" s="51" t="n">
        <f aca="false">IF(LEFT(Cockpit!$C$5,1)="A",H1126,IF(CH1126=1,(CK1126+CI1126)/2,IF(LEFT(Cockpit!$C$5,1)="B",(CK1126+AL1126)/2,MAX((CK1126+AL1126)/2,H1126))))</f>
        <v>14</v>
      </c>
      <c r="AK1126" s="50" t="n">
        <f aca="false">AJ1126*G1126</f>
        <v>1160.32</v>
      </c>
      <c r="AL1126" s="50" t="n">
        <f aca="false">ROUNDUP(CK1126+MAX(CL1126,2*(J1126/IF(CG1126&gt;0,CG1126,MAX(0.1,N(Cockpit!$C$6)))-CK1126)),0)</f>
        <v>1</v>
      </c>
      <c r="AM1126" s="51" t="n">
        <f aca="false">IF(AI1126&gt;0,J1126/AI1126,-1)</f>
        <v>0</v>
      </c>
      <c r="AN1126" s="51" t="n">
        <f aca="false">IF(AND(OR(CF1126="L1",CF1126="L23",CF1126="LIFT"),AI1126&gt;0),SUMIFS($AI$7:$AI$1843,$CF$7:$CF$1843,CF1126,$AM$7:$AM$1843,"&gt;"&amp;AM1126)+SUMIFS($AI$7:$AI$1843,$CF$7:$CF$1843,CF1126,$AM$7:$AM$1843,AM1126,$BW$7:$BW$1843,"&lt;="&amp;BW1126),"")</f>
        <v>29143.4378970841</v>
      </c>
      <c r="AO1126" s="58" t="n">
        <f aca="false">IF(AN1126="",0,MAX(0,MIN(1,(IF(CF1126="L1",Parameter!$H$5,IF(CF1126="L23",Parameter!$H$6+Parameter!$H$7,Parameter!$H$5+Parameter!$H$6+Parameter!$H$7))-(AN1126-AI1126))/AI1126)))</f>
        <v>1</v>
      </c>
      <c r="AP1126" s="50" t="n">
        <f aca="false">IF(LEFT(Cockpit!$I$5,1)="A",H1126,IF(Parameter!$E$30="MAX-Bestand",IF(CH1126=1,CI1126,IF(LEFT(Cockpit!$I$5,1)="B",AV1126,MAX(AV1126,H1126))),ROUNDUP(AT1126,0)))</f>
        <v>14</v>
      </c>
      <c r="AQ1126" s="50" t="n">
        <f aca="false">IF(BZ1126=1,0,ROUNDUP(AP1126/BY1126,0))</f>
        <v>1</v>
      </c>
      <c r="AR1126" s="52" t="n">
        <f aca="false">IF(CQ1126&gt;0,CQ1126*MAX(1,AP1126/X1126),IF(BZ1126=1,IF(AP1126&lt;=0,0,CD1126*MAX(1,IF(H1126&gt;0,AP1126/H1126,1))),IF(R1126&gt;0,AQ1126/R1126,0))/MAX(0.1,N(Parameter!$M$21)))</f>
        <v>0.00961538461538462</v>
      </c>
      <c r="AS1126" s="50" t="n">
        <f aca="false">AR1126*CB1126</f>
        <v>1.49038461538462</v>
      </c>
      <c r="AT1126" s="51" t="n">
        <f aca="false">IF(LEFT(Cockpit!$I$5,1)="A",H1126,IF(CH1126=1,(CK1126+CI1126)/2,IF(LEFT(Cockpit!$I$5,1)="B",(CK1126+AV1126)/2,MAX((CK1126+AV1126)/2,H1126))))</f>
        <v>14</v>
      </c>
      <c r="AU1126" s="50" t="n">
        <f aca="false">AT1126*G1126</f>
        <v>1160.32</v>
      </c>
      <c r="AV1126" s="50" t="n">
        <f aca="false">ROUNDUP(CK1126+MAX(CL1126,2*(J1126/IF(CG1126&gt;0,CG1126,MAX(0.1,N(Cockpit!$I$6)))-CK1126)),0)</f>
        <v>1</v>
      </c>
      <c r="AW1126" s="51" t="n">
        <f aca="false">IF(AS1126&gt;0,J1126/AS1126,-1)</f>
        <v>0</v>
      </c>
      <c r="AX1126" s="51" t="n">
        <f aca="false">IF(AND(OR(CF1126="L1",CF1126="L23",CF1126="LIFT"),AS1126&gt;0),SUMIFS($AS$7:$AS$1843,$CF$7:$CF$1843,CF1126,$AW$7:$AW$1843,"&gt;"&amp;AW1126)+SUMIFS($AS$7:$AS$1843,$CF$7:$CF$1843,CF1126,$AW$7:$AW$1843,AW1126,$BW$7:$BW$1843,"&lt;="&amp;BW1126),"")</f>
        <v>34922.4445970696</v>
      </c>
      <c r="AY1126" s="58" t="n">
        <f aca="false">IF(AX1126="",0,MAX(0,MIN(1,(IF(CF1126="L1",Parameter!$H$5,IF(CF1126="L23",Parameter!$H$6+Parameter!$H$7,Parameter!$H$5+Parameter!$H$6+Parameter!$H$7))-(AX1126-AS1126))/AS1126)))</f>
        <v>1</v>
      </c>
      <c r="AZ1126" s="50" t="n">
        <f aca="false">IF(LEFT(Cockpit!$O$5,1)="A",H1126,IF(Parameter!$E$30="MAX-Bestand",IF(CH1126=1,CI1126,IF(LEFT(Cockpit!$O$5,1)="B",BF1126,MAX(BF1126,H1126))),ROUNDUP(BD1126,0)))</f>
        <v>1</v>
      </c>
      <c r="BA1126" s="50" t="n">
        <f aca="false">IF(BZ1126=1,0,ROUNDUP(AZ1126/BY1126,0))</f>
        <v>1</v>
      </c>
      <c r="BB1126" s="52" t="n">
        <f aca="false">IF(CQ1126&gt;0,CQ1126*MAX(1,AZ1126/X1126),IF(BZ1126=1,IF(AZ1126&lt;=0,0,CD1126*MAX(1,IF(H1126&gt;0,AZ1126/H1126,1))),IF(R1126&gt;0,BA1126/R1126,0))/MAX(0.1,N(Parameter!$M$21)))</f>
        <v>0.00961538461538462</v>
      </c>
      <c r="BC1126" s="50" t="n">
        <f aca="false">BB1126*CB1126</f>
        <v>1.49038461538462</v>
      </c>
      <c r="BD1126" s="51" t="n">
        <f aca="false">IF(LEFT(Cockpit!$O$5,1)="A",H1126,IF(CH1126=1,(CK1126+CI1126)/2,IF(LEFT(Cockpit!$O$5,1)="B",(CK1126+BF1126)/2,MAX((CK1126+BF1126)/2,H1126))))</f>
        <v>0.5</v>
      </c>
      <c r="BE1126" s="50" t="n">
        <f aca="false">BD1126*G1126</f>
        <v>41.44</v>
      </c>
      <c r="BF1126" s="50" t="n">
        <f aca="false">ROUNDUP(CK1126+MAX(CL1126,2*(J1126/IF(CG1126&gt;0,CG1126,MAX(0.1,N(Cockpit!$O$6)))-CK1126)),0)</f>
        <v>1</v>
      </c>
      <c r="BG1126" s="51" t="n">
        <f aca="false">IF(BC1126&gt;0,J1126/BC1126,-1)</f>
        <v>0</v>
      </c>
      <c r="BH1126" s="51" t="n">
        <f aca="false">IF(AND(OR(CF1126="L1",CF1126="L23",CF1126="LIFT"),BC1126&gt;0),SUMIFS($BC$7:$BC$1843,$CF$7:$CF$1843,CF1126,$BG$7:$BG$1843,"&gt;"&amp;BG1126)+SUMIFS($BC$7:$BC$1843,$CF$7:$CF$1843,CF1126,$BG$7:$BG$1843,BG1126,$BW$7:$BW$1843,"&lt;="&amp;BW1126),"")</f>
        <v>28907.7512572174</v>
      </c>
      <c r="BI1126" s="58" t="n">
        <f aca="false">IF(BH1126="",0,MAX(0,MIN(1,(IF(CF1126="L1",Parameter!$H$5,IF(CF1126="L23",Parameter!$H$6+Parameter!$H$7,Parameter!$H$5+Parameter!$H$6+Parameter!$H$7))-(BH1126-BC1126))/BC1126)))</f>
        <v>1</v>
      </c>
      <c r="BJ1126" s="48" t="str">
        <f aca="false">IF(AI1126&lt;=0,"",IF(CF1126="Aussen","Aussenlager",IF(CF1126="-","Nicht im Lift",IF(AO1126&gt;=1,"Lift",IF(AO1126&lt;=0,"Aussenlager","teilweise")))))</f>
        <v>Lift</v>
      </c>
      <c r="BK1126" s="48" t="str">
        <f aca="false">IF(AS1126&lt;=0,"",IF(CF1126="Aussen","Aussenlager",IF(CF1126="-","Nicht im Lift",IF(AY1126&gt;=1,"Lift",IF(AY1126&lt;=0,"Aussenlager","teilweise")))))</f>
        <v>Lift</v>
      </c>
      <c r="BL1126" s="48" t="str">
        <f aca="false">IF(BC1126&lt;=0,"",IF(CF1126="Aussen","Aussenlager",IF(CF1126="-","Nicht im Lift",IF(BI1126&gt;=1,"Lift",IF(BI1126&lt;=0,"Aussenlager","teilweise")))))</f>
        <v>Lift</v>
      </c>
      <c r="BM1126" s="48" t="str">
        <f aca="false">IF(A1126="","",IF(BV1126=1,"Neu; ","")&amp;IF(AND(BV1126=0,BQ1126&lt;0),"negativer Bestand (Export "&amp;BQ1126&amp;"); ","")&amp;IF(J1126&lt;=0,"Kein Verbrauch; ","")&amp;IF(CQ1126&gt;0,"Lift "&amp;W1126&amp;" lt. Liftbericht (Fach "&amp;X1126&amp;" Stk); ",IF(CA1126=1,"Gebinde geschätzt ("&amp;T1126&amp;"); ",IF(BZ1126=1,"Lose – Tablare geschätzt; ","")))&amp;IF(H1126&gt;AV1126,"Überbestand "&amp;ROUND(H1126-AV1126,0)&amp;" Stk / CHF "&amp;ROUND((H1126-AV1126)*G1126,0)&amp;"; ","")&amp;IF(AND(CH1126=1,CI1126&lt;CJ1126),"MAX &lt; MB+LG; ","")&amp;IF(AND(CP1126&gt;0,CO1126*10&gt;CP1126),"zu hoch für Tablar; ","")&amp;IF(AND(BV1126=0,OR(CH1126=1,AA1126&lt;&gt;"",U1126&lt;&gt;"",V1126&lt;&gt;"",AB1126&lt;&gt;"")),"manuell übersteuert; ","")&amp;IF(AND(BZ1126=0,R1126=0),"Gebinde unbekannt / Stellmass fehlt; ","")&amp;IF(AND(BZ1126=0,N(V1126)&lt;=0,N(Q1126)&lt;=0),"Menge pro Gebinde fehlt (Ist = 1 Gebinde); ","")&amp;BU1126)</f>
        <v>negativer Bestand (Export -3); Kein Verbrauch; Überbestand 13 Stk / CHF 1077; </v>
      </c>
      <c r="BN1126" s="48"/>
      <c r="BO1126" s="48"/>
      <c r="BP1126" s="55"/>
      <c r="BQ1126" s="50" t="n">
        <v>-3</v>
      </c>
      <c r="BR1126" s="50" t="n">
        <v>17</v>
      </c>
      <c r="BS1126" s="49" t="n">
        <v>-248.64</v>
      </c>
      <c r="BT1126" s="50" t="n">
        <v>0</v>
      </c>
      <c r="BU1126" s="48"/>
      <c r="BV1126" s="53" t="n">
        <v>0</v>
      </c>
      <c r="BW1126" s="53" t="n">
        <v>1126</v>
      </c>
      <c r="BX1126" s="48" t="str">
        <f aca="false">IF(U1126&lt;&gt;"",UPPER(TRIM(U1126)),IF(CA1126=1,UPPER(VLOOKUP(T1126,Parameter!$I$27:$K$29,2,0)),IF(P1126="","LOSE",P1126)))</f>
        <v>S32</v>
      </c>
      <c r="BY1126" s="50" t="n">
        <f aca="false">IF(BX1126="LOSE",1,IF(N(V1126)&gt;0,V1126,IF(CA1126=1,MAX(1,N(VLOOKUP(T1126,Parameter!$I$27:$K$29,3,0)),H1126,N(N1126)),IF(N(Q1126)&gt;0,Q1126,MAX(1,H1126)))))</f>
        <v>18</v>
      </c>
      <c r="BZ1126" s="53" t="n">
        <f aca="false">IF(BX1126="LOSE",1,0)</f>
        <v>0</v>
      </c>
      <c r="CA1126" s="53" t="n">
        <f aca="false">IF(AND(U1126="",OR(P1126="",P1126="LOSE"),T1126&lt;&gt;"",N(S1126)&lt;=0,ISNUMBER(MATCH(T1126,Parameter!$I$27:$I$29,0))),1,0)</f>
        <v>0</v>
      </c>
      <c r="CB1126" s="53" t="n">
        <f aca="false">IF(CQ1126&gt;0,INDEX(Parameter!$H$5:$H$7,W1126)/INDEX(Parameter!$E$5:$E$7,W1126),IF(AND(BZ1126=0,N(IFERROR(VLOOKUP(BX1126,'Gebinde-Kategorie'!$A$5:$N$45,14,0),0))&gt;0),VLOOKUP(BX1126,'Gebinde-Kategorie'!$A$5:$N$45,14,0)*10+Parameter!$M$23,Parameter!$M$24))</f>
        <v>155</v>
      </c>
      <c r="CC1126" s="48" t="str">
        <f aca="false">IF(AND(Parameter!$B$19="Ja",E1126&lt;&gt;"",ISNUMBER(MATCH(E1126,Parameter!$I$35:$I$52,0))),VLOOKUP(E1126,Parameter!$I$35:$J$52,2,0),IFERROR(VLOOKUP(D1126,Parameter!$A$35:$C$64,2,0),"Nein"))</f>
        <v>2+3</v>
      </c>
      <c r="CD1126" s="52" t="n">
        <f aca="false">IF(BZ1126=0,0,IF(N(S1126)&gt;0,S1126,IFERROR(VLOOKUP(D1126,Parameter!$A$35:$C$64,3,0)+0,0)))</f>
        <v>0</v>
      </c>
      <c r="CE1126" s="48" t="n">
        <f aca="false">IF(AA1126&lt;&gt;"",AA1126,Z1126)</f>
        <v>3</v>
      </c>
      <c r="CF1126" s="48" t="str">
        <f aca="false">IF(OR(CE1126=1,CE1126=2,CE1126=3),IF(Parameter!$E$27="Ja","LIFT",IF(CE1126=1,"L1","L23")),IF(CE1126="Aussen","Aussen","-"))</f>
        <v>LIFT</v>
      </c>
      <c r="CG1126" s="59" t="n">
        <f aca="false">IF(N(AB1126)&gt;0,AB1126,0)</f>
        <v>0</v>
      </c>
      <c r="CH1126" s="53" t="n">
        <f aca="false">IF(ISNUMBER(AE1126),1,0)</f>
        <v>0</v>
      </c>
      <c r="CI1126" s="50" t="n">
        <f aca="false">N(AE1126)</f>
        <v>0</v>
      </c>
      <c r="CJ1126" s="50" t="n">
        <f aca="false">N(M1126)+N(N1126)</f>
        <v>1</v>
      </c>
      <c r="CK1126" s="50" t="n">
        <f aca="false">N(M1126)</f>
        <v>0</v>
      </c>
      <c r="CL1126" s="50" t="n">
        <f aca="false">N(N1126)</f>
        <v>1</v>
      </c>
      <c r="CM1126" s="50" t="n">
        <f aca="false">ROUNDUP(H1126/BY1126,0)</f>
        <v>1</v>
      </c>
      <c r="CN1126" s="50" t="n">
        <f aca="false">ROUNDUP(CI1126/BY1126,0)</f>
        <v>0</v>
      </c>
      <c r="CO1126" s="53" t="n">
        <f aca="false">IF(BZ1126=1,0,IFERROR(VLOOKUP(BX1126,'Gebinde-Kategorie'!$A$5:$N$45,5,0)+0,0))</f>
        <v>8</v>
      </c>
      <c r="CP1126" s="53" t="n">
        <f aca="false">IFERROR(IF(OR(CE1126=1,CE1126=2,CE1126=3),N(INDEX(Parameter!$I$5:$I$7,CE1126)),0),0)</f>
        <v>0</v>
      </c>
      <c r="CQ1126" s="52" t="n">
        <f aca="false">IF(AND(Parameter!$B$21="Ja",ISNUMBER(W1126),N(X1126)&gt;0),IFERROR(N(INDEX(Parameter!$L$5:$L$7,W1126))*INDEX(Parameter!$E$5:$E$7,W1126)*X1126/SUMIFS($X$7:$X$1843,$W$7:$W$1843,W1126),0),0)</f>
        <v>0</v>
      </c>
    </row>
    <row r="1127" customFormat="false" ht="15" hidden="false" customHeight="false" outlineLevel="0" collapsed="false">
      <c r="A1127" s="48" t="s">
        <v>2051</v>
      </c>
      <c r="B1127" s="48" t="s">
        <v>758</v>
      </c>
      <c r="C1127" s="48" t="s">
        <v>173</v>
      </c>
      <c r="D1127" s="48" t="s">
        <v>193</v>
      </c>
      <c r="E1127" s="48"/>
      <c r="F1127" s="48" t="s">
        <v>227</v>
      </c>
      <c r="G1127" s="49" t="n">
        <v>64.13</v>
      </c>
      <c r="H1127" s="50" t="n">
        <f aca="false">MAX(0,IF(AND(Parameter!$B$21="Ja",ISNUMBER(Y1127)),Y1127,IF(Parameter!$B$20="Jahresanfang 2025 + Export",BR1127+BQ1127,BQ1127)))</f>
        <v>6</v>
      </c>
      <c r="I1127" s="50" t="n">
        <f aca="false">H1127*G1127</f>
        <v>384.78</v>
      </c>
      <c r="J1127" s="50" t="n">
        <f aca="false">BT1127*Parameter!$B$18</f>
        <v>7</v>
      </c>
      <c r="K1127" s="51" t="n">
        <v>11.5</v>
      </c>
      <c r="L1127" s="52" t="n">
        <v>0.608695652173913</v>
      </c>
      <c r="M1127" s="50" t="n">
        <v>0</v>
      </c>
      <c r="N1127" s="50" t="n">
        <v>5</v>
      </c>
      <c r="O1127" s="53" t="n">
        <v>35</v>
      </c>
      <c r="P1127" s="48" t="s">
        <v>430</v>
      </c>
      <c r="Q1127" s="50" t="n">
        <v>12</v>
      </c>
      <c r="R1127" s="53" t="n">
        <f aca="false">IF(BZ1127=1,0,IFERROR(VLOOKUP(BX1127,'Gebinde-Kategorie'!$A$5:$N$45,13,0)+0,0))</f>
        <v>104</v>
      </c>
      <c r="S1127" s="54"/>
      <c r="T1127" s="55"/>
      <c r="U1127" s="55"/>
      <c r="V1127" s="55"/>
      <c r="W1127" s="48"/>
      <c r="X1127" s="50"/>
      <c r="Y1127" s="50"/>
      <c r="Z1127" s="48" t="n">
        <f aca="false">IF(A1127="","",IF(AND(Parameter!$B$21="Ja",ISNUMBER(W1127)),W1127,IF(CC1127="2+3",IF(ISNUMBER(SEARCH("grosser Artikel",BU1127)),2,IFERROR(VLOOKUP(BX1127,Parameter!$F$35:$G$64,2,0),2)),IF(OR(CC1127="Nein",CC1127=""),"-",CC1127))))</f>
        <v>3</v>
      </c>
      <c r="AA1127" s="55"/>
      <c r="AB1127" s="56"/>
      <c r="AC1127" s="50" t="n">
        <f aca="false">AV1127</f>
        <v>5</v>
      </c>
      <c r="AD1127" s="50" t="n">
        <f aca="false">MAX(AV1127,H1127)</f>
        <v>6</v>
      </c>
      <c r="AE1127" s="57"/>
      <c r="AF1127" s="50" t="n">
        <f aca="false">IF(LEFT(Cockpit!$C$5,1)="A",H1127,IF(Parameter!$E$30="MAX-Bestand",IF(CH1127=1,CI1127,IF(LEFT(Cockpit!$C$5,1)="B",AL1127,MAX(AL1127,H1127))),ROUNDUP(AJ1127,0)))</f>
        <v>6</v>
      </c>
      <c r="AG1127" s="50" t="n">
        <f aca="false">IF(BZ1127=1,0,ROUNDUP(AF1127/BY1127,0))</f>
        <v>1</v>
      </c>
      <c r="AH1127" s="52" t="n">
        <f aca="false">IF(CQ1127&gt;0,CQ1127*MAX(1,AF1127/X1127),IF(BZ1127=1,IF(AF1127&lt;=0,0,CD1127*MAX(1,IF(H1127&gt;0,AF1127/H1127,1))),IF(R1127&gt;0,AG1127/R1127,0))/MAX(0.1,N(Parameter!$M$21)))</f>
        <v>0.00961538461538462</v>
      </c>
      <c r="AI1127" s="50" t="n">
        <f aca="false">AH1127*CB1127</f>
        <v>1.49038461538462</v>
      </c>
      <c r="AJ1127" s="51" t="n">
        <f aca="false">IF(LEFT(Cockpit!$C$5,1)="A",H1127,IF(CH1127=1,(CK1127+CI1127)/2,IF(LEFT(Cockpit!$C$5,1)="B",(CK1127+AL1127)/2,MAX((CK1127+AL1127)/2,H1127))))</f>
        <v>6</v>
      </c>
      <c r="AK1127" s="50" t="n">
        <f aca="false">AJ1127*G1127</f>
        <v>384.78</v>
      </c>
      <c r="AL1127" s="50" t="n">
        <f aca="false">ROUNDUP(CK1127+MAX(CL1127,2*(J1127/IF(CG1127&gt;0,CG1127,MAX(0.1,N(Cockpit!$C$6)))-CK1127)),0)</f>
        <v>5</v>
      </c>
      <c r="AM1127" s="51" t="n">
        <f aca="false">IF(AI1127&gt;0,J1127/AI1127,-1)</f>
        <v>4.69677419354839</v>
      </c>
      <c r="AN1127" s="51" t="n">
        <f aca="false">IF(AND(OR(CF1127="L1",CF1127="L23",CF1127="LIFT"),AI1127&gt;0),SUMIFS($AI$7:$AI$1843,$CF$7:$CF$1843,CF1127,$AM$7:$AM$1843,"&gt;"&amp;AM1127)+SUMIFS($AI$7:$AI$1843,$CF$7:$CF$1843,CF1127,$AM$7:$AM$1843,AM1127,$BW$7:$BW$1843,"&lt;="&amp;BW1127),"")</f>
        <v>4120.46657509158</v>
      </c>
      <c r="AO1127" s="58" t="n">
        <f aca="false">IF(AN1127="",0,MAX(0,MIN(1,(IF(CF1127="L1",Parameter!$H$5,IF(CF1127="L23",Parameter!$H$6+Parameter!$H$7,Parameter!$H$5+Parameter!$H$6+Parameter!$H$7))-(AN1127-AI1127))/AI1127)))</f>
        <v>1</v>
      </c>
      <c r="AP1127" s="50" t="n">
        <f aca="false">IF(LEFT(Cockpit!$I$5,1)="A",H1127,IF(Parameter!$E$30="MAX-Bestand",IF(CH1127=1,CI1127,IF(LEFT(Cockpit!$I$5,1)="B",AV1127,MAX(AV1127,H1127))),ROUNDUP(AT1127,0)))</f>
        <v>6</v>
      </c>
      <c r="AQ1127" s="50" t="n">
        <f aca="false">IF(BZ1127=1,0,ROUNDUP(AP1127/BY1127,0))</f>
        <v>1</v>
      </c>
      <c r="AR1127" s="52" t="n">
        <f aca="false">IF(CQ1127&gt;0,CQ1127*MAX(1,AP1127/X1127),IF(BZ1127=1,IF(AP1127&lt;=0,0,CD1127*MAX(1,IF(H1127&gt;0,AP1127/H1127,1))),IF(R1127&gt;0,AQ1127/R1127,0))/MAX(0.1,N(Parameter!$M$21)))</f>
        <v>0.00961538461538462</v>
      </c>
      <c r="AS1127" s="50" t="n">
        <f aca="false">AR1127*CB1127</f>
        <v>1.49038461538462</v>
      </c>
      <c r="AT1127" s="51" t="n">
        <f aca="false">IF(LEFT(Cockpit!$I$5,1)="A",H1127,IF(CH1127=1,(CK1127+CI1127)/2,IF(LEFT(Cockpit!$I$5,1)="B",(CK1127+AV1127)/2,MAX((CK1127+AV1127)/2,H1127))))</f>
        <v>6</v>
      </c>
      <c r="AU1127" s="50" t="n">
        <f aca="false">AT1127*G1127</f>
        <v>384.78</v>
      </c>
      <c r="AV1127" s="50" t="n">
        <f aca="false">ROUNDUP(CK1127+MAX(CL1127,2*(J1127/IF(CG1127&gt;0,CG1127,MAX(0.1,N(Cockpit!$I$6)))-CK1127)),0)</f>
        <v>5</v>
      </c>
      <c r="AW1127" s="51" t="n">
        <f aca="false">IF(AS1127&gt;0,J1127/AS1127,-1)</f>
        <v>4.69677419354839</v>
      </c>
      <c r="AX1127" s="51" t="n">
        <f aca="false">IF(AND(OR(CF1127="L1",CF1127="L23",CF1127="LIFT"),AS1127&gt;0),SUMIFS($AS$7:$AS$1843,$CF$7:$CF$1843,CF1127,$AW$7:$AW$1843,"&gt;"&amp;AW1127)+SUMIFS($AS$7:$AS$1843,$CF$7:$CF$1843,CF1127,$AW$7:$AW$1843,AW1127,$BW$7:$BW$1843,"&lt;="&amp;BW1127),"")</f>
        <v>4716.70741758242</v>
      </c>
      <c r="AY1127" s="58" t="n">
        <f aca="false">IF(AX1127="",0,MAX(0,MIN(1,(IF(CF1127="L1",Parameter!$H$5,IF(CF1127="L23",Parameter!$H$6+Parameter!$H$7,Parameter!$H$5+Parameter!$H$6+Parameter!$H$7))-(AX1127-AS1127))/AS1127)))</f>
        <v>1</v>
      </c>
      <c r="AZ1127" s="50" t="n">
        <f aca="false">IF(LEFT(Cockpit!$O$5,1)="A",H1127,IF(Parameter!$E$30="MAX-Bestand",IF(CH1127=1,CI1127,IF(LEFT(Cockpit!$O$5,1)="B",BF1127,MAX(BF1127,H1127))),ROUNDUP(BD1127,0)))</f>
        <v>3</v>
      </c>
      <c r="BA1127" s="50" t="n">
        <f aca="false">IF(BZ1127=1,0,ROUNDUP(AZ1127/BY1127,0))</f>
        <v>1</v>
      </c>
      <c r="BB1127" s="52" t="n">
        <f aca="false">IF(CQ1127&gt;0,CQ1127*MAX(1,AZ1127/X1127),IF(BZ1127=1,IF(AZ1127&lt;=0,0,CD1127*MAX(1,IF(H1127&gt;0,AZ1127/H1127,1))),IF(R1127&gt;0,BA1127/R1127,0))/MAX(0.1,N(Parameter!$M$21)))</f>
        <v>0.00961538461538462</v>
      </c>
      <c r="BC1127" s="50" t="n">
        <f aca="false">BB1127*CB1127</f>
        <v>1.49038461538462</v>
      </c>
      <c r="BD1127" s="51" t="n">
        <f aca="false">IF(LEFT(Cockpit!$O$5,1)="A",H1127,IF(CH1127=1,(CK1127+CI1127)/2,IF(LEFT(Cockpit!$O$5,1)="B",(CK1127+BF1127)/2,MAX((CK1127+BF1127)/2,H1127))))</f>
        <v>2.5</v>
      </c>
      <c r="BE1127" s="50" t="n">
        <f aca="false">BD1127*G1127</f>
        <v>160.325</v>
      </c>
      <c r="BF1127" s="50" t="n">
        <f aca="false">ROUNDUP(CK1127+MAX(CL1127,2*(J1127/IF(CG1127&gt;0,CG1127,MAX(0.1,N(Cockpit!$O$6)))-CK1127)),0)</f>
        <v>5</v>
      </c>
      <c r="BG1127" s="51" t="n">
        <f aca="false">IF(BC1127&gt;0,J1127/BC1127,-1)</f>
        <v>4.69677419354839</v>
      </c>
      <c r="BH1127" s="51" t="n">
        <f aca="false">IF(AND(OR(CF1127="L1",CF1127="L23",CF1127="LIFT"),BC1127&gt;0),SUMIFS($BC$7:$BC$1843,$CF$7:$CF$1843,CF1127,$BG$7:$BG$1843,"&gt;"&amp;BG1127)+SUMIFS($BC$7:$BC$1843,$CF$7:$CF$1843,CF1127,$BG$7:$BG$1843,BG1127,$BW$7:$BW$1843,"&lt;="&amp;BW1127),"")</f>
        <v>3884.39010989011</v>
      </c>
      <c r="BI1127" s="58" t="n">
        <f aca="false">IF(BH1127="",0,MAX(0,MIN(1,(IF(CF1127="L1",Parameter!$H$5,IF(CF1127="L23",Parameter!$H$6+Parameter!$H$7,Parameter!$H$5+Parameter!$H$6+Parameter!$H$7))-(BH1127-BC1127))/BC1127)))</f>
        <v>1</v>
      </c>
      <c r="BJ1127" s="48" t="str">
        <f aca="false">IF(AI1127&lt;=0,"",IF(CF1127="Aussen","Aussenlager",IF(CF1127="-","Nicht im Lift",IF(AO1127&gt;=1,"Lift",IF(AO1127&lt;=0,"Aussenlager","teilweise")))))</f>
        <v>Lift</v>
      </c>
      <c r="BK1127" s="48" t="str">
        <f aca="false">IF(AS1127&lt;=0,"",IF(CF1127="Aussen","Aussenlager",IF(CF1127="-","Nicht im Lift",IF(AY1127&gt;=1,"Lift",IF(AY1127&lt;=0,"Aussenlager","teilweise")))))</f>
        <v>Lift</v>
      </c>
      <c r="BL1127" s="48" t="str">
        <f aca="false">IF(BC1127&lt;=0,"",IF(CF1127="Aussen","Aussenlager",IF(CF1127="-","Nicht im Lift",IF(BI1127&gt;=1,"Lift",IF(BI1127&lt;=0,"Aussenlager","teilweise")))))</f>
        <v>Lift</v>
      </c>
      <c r="BM1127" s="48" t="str">
        <f aca="false">IF(A1127="","",IF(BV1127=1,"Neu; ","")&amp;IF(AND(BV1127=0,BQ1127&lt;0),"negativer Bestand (Export "&amp;BQ1127&amp;"); ","")&amp;IF(J1127&lt;=0,"Kein Verbrauch; ","")&amp;IF(CQ1127&gt;0,"Lift "&amp;W1127&amp;" lt. Liftbericht (Fach "&amp;X1127&amp;" Stk); ",IF(CA1127=1,"Gebinde geschätzt ("&amp;T1127&amp;"); ",IF(BZ1127=1,"Lose – Tablare geschätzt; ","")))&amp;IF(H1127&gt;AV1127,"Überbestand "&amp;ROUND(H1127-AV1127,0)&amp;" Stk / CHF "&amp;ROUND((H1127-AV1127)*G1127,0)&amp;"; ","")&amp;IF(AND(CH1127=1,CI1127&lt;CJ1127),"MAX &lt; MB+LG; ","")&amp;IF(AND(CP1127&gt;0,CO1127*10&gt;CP1127),"zu hoch für Tablar; ","")&amp;IF(AND(BV1127=0,OR(CH1127=1,AA1127&lt;&gt;"",U1127&lt;&gt;"",V1127&lt;&gt;"",AB1127&lt;&gt;"")),"manuell übersteuert; ","")&amp;IF(AND(BZ1127=0,R1127=0),"Gebinde unbekannt / Stellmass fehlt; ","")&amp;IF(AND(BZ1127=0,N(V1127)&lt;=0,N(Q1127)&lt;=0),"Menge pro Gebinde fehlt (Ist = 1 Gebinde); ","")&amp;BU1127)</f>
        <v>negativer Bestand (Export -4); Überbestand 1 Stk / CHF 64; </v>
      </c>
      <c r="BN1127" s="48"/>
      <c r="BO1127" s="48"/>
      <c r="BP1127" s="55"/>
      <c r="BQ1127" s="50" t="n">
        <v>-4</v>
      </c>
      <c r="BR1127" s="50" t="n">
        <v>10</v>
      </c>
      <c r="BS1127" s="49" t="n">
        <v>-249.82</v>
      </c>
      <c r="BT1127" s="50" t="n">
        <v>7</v>
      </c>
      <c r="BU1127" s="48"/>
      <c r="BV1127" s="53" t="n">
        <v>0</v>
      </c>
      <c r="BW1127" s="53" t="n">
        <v>1127</v>
      </c>
      <c r="BX1127" s="48" t="str">
        <f aca="false">IF(U1127&lt;&gt;"",UPPER(TRIM(U1127)),IF(CA1127=1,UPPER(VLOOKUP(T1127,Parameter!$I$27:$K$29,2,0)),IF(P1127="","LOSE",P1127)))</f>
        <v>S32</v>
      </c>
      <c r="BY1127" s="50" t="n">
        <f aca="false">IF(BX1127="LOSE",1,IF(N(V1127)&gt;0,V1127,IF(CA1127=1,MAX(1,N(VLOOKUP(T1127,Parameter!$I$27:$K$29,3,0)),H1127,N(N1127)),IF(N(Q1127)&gt;0,Q1127,MAX(1,H1127)))))</f>
        <v>12</v>
      </c>
      <c r="BZ1127" s="53" t="n">
        <f aca="false">IF(BX1127="LOSE",1,0)</f>
        <v>0</v>
      </c>
      <c r="CA1127" s="53" t="n">
        <f aca="false">IF(AND(U1127="",OR(P1127="",P1127="LOSE"),T1127&lt;&gt;"",N(S1127)&lt;=0,ISNUMBER(MATCH(T1127,Parameter!$I$27:$I$29,0))),1,0)</f>
        <v>0</v>
      </c>
      <c r="CB1127" s="53" t="n">
        <f aca="false">IF(CQ1127&gt;0,INDEX(Parameter!$H$5:$H$7,W1127)/INDEX(Parameter!$E$5:$E$7,W1127),IF(AND(BZ1127=0,N(IFERROR(VLOOKUP(BX1127,'Gebinde-Kategorie'!$A$5:$N$45,14,0),0))&gt;0),VLOOKUP(BX1127,'Gebinde-Kategorie'!$A$5:$N$45,14,0)*10+Parameter!$M$23,Parameter!$M$24))</f>
        <v>155</v>
      </c>
      <c r="CC1127" s="48" t="str">
        <f aca="false">IF(AND(Parameter!$B$19="Ja",E1127&lt;&gt;"",ISNUMBER(MATCH(E1127,Parameter!$I$35:$I$52,0))),VLOOKUP(E1127,Parameter!$I$35:$J$52,2,0),IFERROR(VLOOKUP(D1127,Parameter!$A$35:$C$64,2,0),"Nein"))</f>
        <v>2+3</v>
      </c>
      <c r="CD1127" s="52" t="n">
        <f aca="false">IF(BZ1127=0,0,IF(N(S1127)&gt;0,S1127,IFERROR(VLOOKUP(D1127,Parameter!$A$35:$C$64,3,0)+0,0)))</f>
        <v>0</v>
      </c>
      <c r="CE1127" s="48" t="n">
        <f aca="false">IF(AA1127&lt;&gt;"",AA1127,Z1127)</f>
        <v>3</v>
      </c>
      <c r="CF1127" s="48" t="str">
        <f aca="false">IF(OR(CE1127=1,CE1127=2,CE1127=3),IF(Parameter!$E$27="Ja","LIFT",IF(CE1127=1,"L1","L23")),IF(CE1127="Aussen","Aussen","-"))</f>
        <v>LIFT</v>
      </c>
      <c r="CG1127" s="59" t="n">
        <f aca="false">IF(N(AB1127)&gt;0,AB1127,0)</f>
        <v>0</v>
      </c>
      <c r="CH1127" s="53" t="n">
        <f aca="false">IF(ISNUMBER(AE1127),1,0)</f>
        <v>0</v>
      </c>
      <c r="CI1127" s="50" t="n">
        <f aca="false">N(AE1127)</f>
        <v>0</v>
      </c>
      <c r="CJ1127" s="50" t="n">
        <f aca="false">N(M1127)+N(N1127)</f>
        <v>5</v>
      </c>
      <c r="CK1127" s="50" t="n">
        <f aca="false">N(M1127)</f>
        <v>0</v>
      </c>
      <c r="CL1127" s="50" t="n">
        <f aca="false">N(N1127)</f>
        <v>5</v>
      </c>
      <c r="CM1127" s="50" t="n">
        <f aca="false">ROUNDUP(H1127/BY1127,0)</f>
        <v>1</v>
      </c>
      <c r="CN1127" s="50" t="n">
        <f aca="false">ROUNDUP(CI1127/BY1127,0)</f>
        <v>0</v>
      </c>
      <c r="CO1127" s="53" t="n">
        <f aca="false">IF(BZ1127=1,0,IFERROR(VLOOKUP(BX1127,'Gebinde-Kategorie'!$A$5:$N$45,5,0)+0,0))</f>
        <v>8</v>
      </c>
      <c r="CP1127" s="53" t="n">
        <f aca="false">IFERROR(IF(OR(CE1127=1,CE1127=2,CE1127=3),N(INDEX(Parameter!$I$5:$I$7,CE1127)),0),0)</f>
        <v>0</v>
      </c>
      <c r="CQ1127" s="52" t="n">
        <f aca="false">IF(AND(Parameter!$B$21="Ja",ISNUMBER(W1127),N(X1127)&gt;0),IFERROR(N(INDEX(Parameter!$L$5:$L$7,W1127))*INDEX(Parameter!$E$5:$E$7,W1127)*X1127/SUMIFS($X$7:$X$1843,$W$7:$W$1843,W1127),0),0)</f>
        <v>0</v>
      </c>
    </row>
    <row r="1128" customFormat="false" ht="15" hidden="false" customHeight="false" outlineLevel="0" collapsed="false">
      <c r="A1128" s="48" t="s">
        <v>2052</v>
      </c>
      <c r="B1128" s="48" t="s">
        <v>440</v>
      </c>
      <c r="C1128" s="48" t="s">
        <v>173</v>
      </c>
      <c r="D1128" s="48" t="s">
        <v>193</v>
      </c>
      <c r="E1128" s="48" t="s">
        <v>194</v>
      </c>
      <c r="F1128" s="48" t="s">
        <v>227</v>
      </c>
      <c r="G1128" s="49" t="n">
        <v>63.5</v>
      </c>
      <c r="H1128" s="50" t="n">
        <f aca="false">MAX(0,IF(AND(Parameter!$B$21="Ja",ISNUMBER(Y1128)),Y1128,IF(Parameter!$B$20="Jahresanfang 2025 + Export",BR1128+BQ1128,BQ1128)))</f>
        <v>42</v>
      </c>
      <c r="I1128" s="50" t="n">
        <f aca="false">H1128*G1128</f>
        <v>2667</v>
      </c>
      <c r="J1128" s="50" t="n">
        <f aca="false">BT1128*Parameter!$B$18</f>
        <v>0</v>
      </c>
      <c r="K1128" s="51" t="n">
        <v>46</v>
      </c>
      <c r="L1128" s="52" t="n">
        <v>0</v>
      </c>
      <c r="M1128" s="50" t="n">
        <v>0</v>
      </c>
      <c r="N1128" s="50" t="n">
        <v>1</v>
      </c>
      <c r="O1128" s="53" t="n">
        <v>70</v>
      </c>
      <c r="P1128" s="48" t="s">
        <v>242</v>
      </c>
      <c r="Q1128" s="50" t="n">
        <v>45</v>
      </c>
      <c r="R1128" s="53" t="n">
        <f aca="false">IF(BZ1128=1,0,IFERROR(VLOOKUP(BX1128,'Gebinde-Kategorie'!$A$5:$N$45,13,0)+0,0))</f>
        <v>26</v>
      </c>
      <c r="S1128" s="54"/>
      <c r="T1128" s="55"/>
      <c r="U1128" s="55"/>
      <c r="V1128" s="55"/>
      <c r="W1128" s="48"/>
      <c r="X1128" s="50"/>
      <c r="Y1128" s="50"/>
      <c r="Z1128" s="48" t="n">
        <f aca="false">IF(A1128="","",IF(AND(Parameter!$B$21="Ja",ISNUMBER(W1128)),W1128,IF(CC1128="2+3",IF(ISNUMBER(SEARCH("grosser Artikel",BU1128)),2,IFERROR(VLOOKUP(BX1128,Parameter!$F$35:$G$64,2,0),2)),IF(OR(CC1128="Nein",CC1128=""),"-",CC1128))))</f>
        <v>3</v>
      </c>
      <c r="AA1128" s="55"/>
      <c r="AB1128" s="56"/>
      <c r="AC1128" s="50" t="n">
        <f aca="false">AV1128</f>
        <v>1</v>
      </c>
      <c r="AD1128" s="50" t="n">
        <f aca="false">MAX(AV1128,H1128)</f>
        <v>42</v>
      </c>
      <c r="AE1128" s="57"/>
      <c r="AF1128" s="50" t="n">
        <f aca="false">IF(LEFT(Cockpit!$C$5,1)="A",H1128,IF(Parameter!$E$30="MAX-Bestand",IF(CH1128=1,CI1128,IF(LEFT(Cockpit!$C$5,1)="B",AL1128,MAX(AL1128,H1128))),ROUNDUP(AJ1128,0)))</f>
        <v>42</v>
      </c>
      <c r="AG1128" s="50" t="n">
        <f aca="false">IF(BZ1128=1,0,ROUNDUP(AF1128/BY1128,0))</f>
        <v>1</v>
      </c>
      <c r="AH1128" s="52" t="n">
        <f aca="false">IF(CQ1128&gt;0,CQ1128*MAX(1,AF1128/X1128),IF(BZ1128=1,IF(AF1128&lt;=0,0,CD1128*MAX(1,IF(H1128&gt;0,AF1128/H1128,1))),IF(R1128&gt;0,AG1128/R1128,0))/MAX(0.1,N(Parameter!$M$21)))</f>
        <v>0.0384615384615385</v>
      </c>
      <c r="AI1128" s="50" t="n">
        <f aca="false">AH1128*CB1128</f>
        <v>9.42307692307692</v>
      </c>
      <c r="AJ1128" s="51" t="n">
        <f aca="false">IF(LEFT(Cockpit!$C$5,1)="A",H1128,IF(CH1128=1,(CK1128+CI1128)/2,IF(LEFT(Cockpit!$C$5,1)="B",(CK1128+AL1128)/2,MAX((CK1128+AL1128)/2,H1128))))</f>
        <v>42</v>
      </c>
      <c r="AK1128" s="50" t="n">
        <f aca="false">AJ1128*G1128</f>
        <v>2667</v>
      </c>
      <c r="AL1128" s="50" t="n">
        <f aca="false">ROUNDUP(CK1128+MAX(CL1128,2*(J1128/IF(CG1128&gt;0,CG1128,MAX(0.1,N(Cockpit!$C$6)))-CK1128)),0)</f>
        <v>1</v>
      </c>
      <c r="AM1128" s="51" t="n">
        <f aca="false">IF(AI1128&gt;0,J1128/AI1128,-1)</f>
        <v>0</v>
      </c>
      <c r="AN1128" s="51" t="n">
        <f aca="false">IF(AND(OR(CF1128="L1",CF1128="L23",CF1128="LIFT"),AI1128&gt;0),SUMIFS($AI$7:$AI$1843,$CF$7:$CF$1843,CF1128,$AM$7:$AM$1843,"&gt;"&amp;AM1128)+SUMIFS($AI$7:$AI$1843,$CF$7:$CF$1843,CF1128,$AM$7:$AM$1843,AM1128,$BW$7:$BW$1843,"&lt;="&amp;BW1128),"")</f>
        <v>29152.8609740072</v>
      </c>
      <c r="AO1128" s="58" t="n">
        <f aca="false">IF(AN1128="",0,MAX(0,MIN(1,(IF(CF1128="L1",Parameter!$H$5,IF(CF1128="L23",Parameter!$H$6+Parameter!$H$7,Parameter!$H$5+Parameter!$H$6+Parameter!$H$7))-(AN1128-AI1128))/AI1128)))</f>
        <v>1</v>
      </c>
      <c r="AP1128" s="50" t="n">
        <f aca="false">IF(LEFT(Cockpit!$I$5,1)="A",H1128,IF(Parameter!$E$30="MAX-Bestand",IF(CH1128=1,CI1128,IF(LEFT(Cockpit!$I$5,1)="B",AV1128,MAX(AV1128,H1128))),ROUNDUP(AT1128,0)))</f>
        <v>42</v>
      </c>
      <c r="AQ1128" s="50" t="n">
        <f aca="false">IF(BZ1128=1,0,ROUNDUP(AP1128/BY1128,0))</f>
        <v>1</v>
      </c>
      <c r="AR1128" s="52" t="n">
        <f aca="false">IF(CQ1128&gt;0,CQ1128*MAX(1,AP1128/X1128),IF(BZ1128=1,IF(AP1128&lt;=0,0,CD1128*MAX(1,IF(H1128&gt;0,AP1128/H1128,1))),IF(R1128&gt;0,AQ1128/R1128,0))/MAX(0.1,N(Parameter!$M$21)))</f>
        <v>0.0384615384615385</v>
      </c>
      <c r="AS1128" s="50" t="n">
        <f aca="false">AR1128*CB1128</f>
        <v>9.42307692307692</v>
      </c>
      <c r="AT1128" s="51" t="n">
        <f aca="false">IF(LEFT(Cockpit!$I$5,1)="A",H1128,IF(CH1128=1,(CK1128+CI1128)/2,IF(LEFT(Cockpit!$I$5,1)="B",(CK1128+AV1128)/2,MAX((CK1128+AV1128)/2,H1128))))</f>
        <v>42</v>
      </c>
      <c r="AU1128" s="50" t="n">
        <f aca="false">AT1128*G1128</f>
        <v>2667</v>
      </c>
      <c r="AV1128" s="50" t="n">
        <f aca="false">ROUNDUP(CK1128+MAX(CL1128,2*(J1128/IF(CG1128&gt;0,CG1128,MAX(0.1,N(Cockpit!$I$6)))-CK1128)),0)</f>
        <v>1</v>
      </c>
      <c r="AW1128" s="51" t="n">
        <f aca="false">IF(AS1128&gt;0,J1128/AS1128,-1)</f>
        <v>0</v>
      </c>
      <c r="AX1128" s="51" t="n">
        <f aca="false">IF(AND(OR(CF1128="L1",CF1128="L23",CF1128="LIFT"),AS1128&gt;0),SUMIFS($AS$7:$AS$1843,$CF$7:$CF$1843,CF1128,$AW$7:$AW$1843,"&gt;"&amp;AW1128)+SUMIFS($AS$7:$AS$1843,$CF$7:$CF$1843,CF1128,$AW$7:$AW$1843,AW1128,$BW$7:$BW$1843,"&lt;="&amp;BW1128),"")</f>
        <v>34931.8676739927</v>
      </c>
      <c r="AY1128" s="58" t="n">
        <f aca="false">IF(AX1128="",0,MAX(0,MIN(1,(IF(CF1128="L1",Parameter!$H$5,IF(CF1128="L23",Parameter!$H$6+Parameter!$H$7,Parameter!$H$5+Parameter!$H$6+Parameter!$H$7))-(AX1128-AS1128))/AS1128)))</f>
        <v>1</v>
      </c>
      <c r="AZ1128" s="50" t="n">
        <f aca="false">IF(LEFT(Cockpit!$O$5,1)="A",H1128,IF(Parameter!$E$30="MAX-Bestand",IF(CH1128=1,CI1128,IF(LEFT(Cockpit!$O$5,1)="B",BF1128,MAX(BF1128,H1128))),ROUNDUP(BD1128,0)))</f>
        <v>1</v>
      </c>
      <c r="BA1128" s="50" t="n">
        <f aca="false">IF(BZ1128=1,0,ROUNDUP(AZ1128/BY1128,0))</f>
        <v>1</v>
      </c>
      <c r="BB1128" s="52" t="n">
        <f aca="false">IF(CQ1128&gt;0,CQ1128*MAX(1,AZ1128/X1128),IF(BZ1128=1,IF(AZ1128&lt;=0,0,CD1128*MAX(1,IF(H1128&gt;0,AZ1128/H1128,1))),IF(R1128&gt;0,BA1128/R1128,0))/MAX(0.1,N(Parameter!$M$21)))</f>
        <v>0.0384615384615385</v>
      </c>
      <c r="BC1128" s="50" t="n">
        <f aca="false">BB1128*CB1128</f>
        <v>9.42307692307692</v>
      </c>
      <c r="BD1128" s="51" t="n">
        <f aca="false">IF(LEFT(Cockpit!$O$5,1)="A",H1128,IF(CH1128=1,(CK1128+CI1128)/2,IF(LEFT(Cockpit!$O$5,1)="B",(CK1128+BF1128)/2,MAX((CK1128+BF1128)/2,H1128))))</f>
        <v>0.5</v>
      </c>
      <c r="BE1128" s="50" t="n">
        <f aca="false">BD1128*G1128</f>
        <v>31.75</v>
      </c>
      <c r="BF1128" s="50" t="n">
        <f aca="false">ROUNDUP(CK1128+MAX(CL1128,2*(J1128/IF(CG1128&gt;0,CG1128,MAX(0.1,N(Cockpit!$O$6)))-CK1128)),0)</f>
        <v>1</v>
      </c>
      <c r="BG1128" s="51" t="n">
        <f aca="false">IF(BC1128&gt;0,J1128/BC1128,-1)</f>
        <v>0</v>
      </c>
      <c r="BH1128" s="51" t="n">
        <f aca="false">IF(AND(OR(CF1128="L1",CF1128="L23",CF1128="LIFT"),BC1128&gt;0),SUMIFS($BC$7:$BC$1843,$CF$7:$CF$1843,CF1128,$BG$7:$BG$1843,"&gt;"&amp;BG1128)+SUMIFS($BC$7:$BC$1843,$CF$7:$CF$1843,CF1128,$BG$7:$BG$1843,BG1128,$BW$7:$BW$1843,"&lt;="&amp;BW1128),"")</f>
        <v>28917.1743341404</v>
      </c>
      <c r="BI1128" s="58" t="n">
        <f aca="false">IF(BH1128="",0,MAX(0,MIN(1,(IF(CF1128="L1",Parameter!$H$5,IF(CF1128="L23",Parameter!$H$6+Parameter!$H$7,Parameter!$H$5+Parameter!$H$6+Parameter!$H$7))-(BH1128-BC1128))/BC1128)))</f>
        <v>1</v>
      </c>
      <c r="BJ1128" s="48" t="str">
        <f aca="false">IF(AI1128&lt;=0,"",IF(CF1128="Aussen","Aussenlager",IF(CF1128="-","Nicht im Lift",IF(AO1128&gt;=1,"Lift",IF(AO1128&lt;=0,"Aussenlager","teilweise")))))</f>
        <v>Lift</v>
      </c>
      <c r="BK1128" s="48" t="str">
        <f aca="false">IF(AS1128&lt;=0,"",IF(CF1128="Aussen","Aussenlager",IF(CF1128="-","Nicht im Lift",IF(AY1128&gt;=1,"Lift",IF(AY1128&lt;=0,"Aussenlager","teilweise")))))</f>
        <v>Lift</v>
      </c>
      <c r="BL1128" s="48" t="str">
        <f aca="false">IF(BC1128&lt;=0,"",IF(CF1128="Aussen","Aussenlager",IF(CF1128="-","Nicht im Lift",IF(BI1128&gt;=1,"Lift",IF(BI1128&lt;=0,"Aussenlager","teilweise")))))</f>
        <v>Lift</v>
      </c>
      <c r="BM1128" s="48" t="str">
        <f aca="false">IF(A1128="","",IF(BV1128=1,"Neu; ","")&amp;IF(AND(BV1128=0,BQ1128&lt;0),"negativer Bestand (Export "&amp;BQ1128&amp;"); ","")&amp;IF(J1128&lt;=0,"Kein Verbrauch; ","")&amp;IF(CQ1128&gt;0,"Lift "&amp;W1128&amp;" lt. Liftbericht (Fach "&amp;X1128&amp;" Stk); ",IF(CA1128=1,"Gebinde geschätzt ("&amp;T1128&amp;"); ",IF(BZ1128=1,"Lose – Tablare geschätzt; ","")))&amp;IF(H1128&gt;AV1128,"Überbestand "&amp;ROUND(H1128-AV1128,0)&amp;" Stk / CHF "&amp;ROUND((H1128-AV1128)*G1128,0)&amp;"; ","")&amp;IF(AND(CH1128=1,CI1128&lt;CJ1128),"MAX &lt; MB+LG; ","")&amp;IF(AND(CP1128&gt;0,CO1128*10&gt;CP1128),"zu hoch für Tablar; ","")&amp;IF(AND(BV1128=0,OR(CH1128=1,AA1128&lt;&gt;"",U1128&lt;&gt;"",V1128&lt;&gt;"",AB1128&lt;&gt;"")),"manuell übersteuert; ","")&amp;IF(AND(BZ1128=0,R1128=0),"Gebinde unbekannt / Stellmass fehlt; ","")&amp;IF(AND(BZ1128=0,N(V1128)&lt;=0,N(Q1128)&lt;=0),"Menge pro Gebinde fehlt (Ist = 1 Gebinde); ","")&amp;BU1128)</f>
        <v>negativer Bestand (Export -4); Kein Verbrauch; Überbestand 41 Stk / CHF 2604; </v>
      </c>
      <c r="BN1128" s="48"/>
      <c r="BO1128" s="48"/>
      <c r="BP1128" s="55"/>
      <c r="BQ1128" s="50" t="n">
        <v>-4</v>
      </c>
      <c r="BR1128" s="50" t="n">
        <v>46</v>
      </c>
      <c r="BS1128" s="49" t="n">
        <v>-254</v>
      </c>
      <c r="BT1128" s="50" t="n">
        <v>0</v>
      </c>
      <c r="BU1128" s="48"/>
      <c r="BV1128" s="53" t="n">
        <v>0</v>
      </c>
      <c r="BW1128" s="53" t="n">
        <v>1128</v>
      </c>
      <c r="BX1128" s="48" t="str">
        <f aca="false">IF(U1128&lt;&gt;"",UPPER(TRIM(U1128)),IF(CA1128=1,UPPER(VLOOKUP(T1128,Parameter!$I$27:$K$29,2,0)),IF(P1128="","LOSE",P1128)))</f>
        <v>S52</v>
      </c>
      <c r="BY1128" s="50" t="n">
        <f aca="false">IF(BX1128="LOSE",1,IF(N(V1128)&gt;0,V1128,IF(CA1128=1,MAX(1,N(VLOOKUP(T1128,Parameter!$I$27:$K$29,3,0)),H1128,N(N1128)),IF(N(Q1128)&gt;0,Q1128,MAX(1,H1128)))))</f>
        <v>45</v>
      </c>
      <c r="BZ1128" s="53" t="n">
        <f aca="false">IF(BX1128="LOSE",1,0)</f>
        <v>0</v>
      </c>
      <c r="CA1128" s="53" t="n">
        <f aca="false">IF(AND(U1128="",OR(P1128="",P1128="LOSE"),T1128&lt;&gt;"",N(S1128)&lt;=0,ISNUMBER(MATCH(T1128,Parameter!$I$27:$I$29,0))),1,0)</f>
        <v>0</v>
      </c>
      <c r="CB1128" s="53" t="n">
        <f aca="false">IF(CQ1128&gt;0,INDEX(Parameter!$H$5:$H$7,W1128)/INDEX(Parameter!$E$5:$E$7,W1128),IF(AND(BZ1128=0,N(IFERROR(VLOOKUP(BX1128,'Gebinde-Kategorie'!$A$5:$N$45,14,0),0))&gt;0),VLOOKUP(BX1128,'Gebinde-Kategorie'!$A$5:$N$45,14,0)*10+Parameter!$M$23,Parameter!$M$24))</f>
        <v>245</v>
      </c>
      <c r="CC1128" s="48" t="str">
        <f aca="false">IF(AND(Parameter!$B$19="Ja",E1128&lt;&gt;"",ISNUMBER(MATCH(E1128,Parameter!$I$35:$I$52,0))),VLOOKUP(E1128,Parameter!$I$35:$J$52,2,0),IFERROR(VLOOKUP(D1128,Parameter!$A$35:$C$64,2,0),"Nein"))</f>
        <v>2+3</v>
      </c>
      <c r="CD1128" s="52" t="n">
        <f aca="false">IF(BZ1128=0,0,IF(N(S1128)&gt;0,S1128,IFERROR(VLOOKUP(D1128,Parameter!$A$35:$C$64,3,0)+0,0)))</f>
        <v>0</v>
      </c>
      <c r="CE1128" s="48" t="n">
        <f aca="false">IF(AA1128&lt;&gt;"",AA1128,Z1128)</f>
        <v>3</v>
      </c>
      <c r="CF1128" s="48" t="str">
        <f aca="false">IF(OR(CE1128=1,CE1128=2,CE1128=3),IF(Parameter!$E$27="Ja","LIFT",IF(CE1128=1,"L1","L23")),IF(CE1128="Aussen","Aussen","-"))</f>
        <v>LIFT</v>
      </c>
      <c r="CG1128" s="59" t="n">
        <f aca="false">IF(N(AB1128)&gt;0,AB1128,0)</f>
        <v>0</v>
      </c>
      <c r="CH1128" s="53" t="n">
        <f aca="false">IF(ISNUMBER(AE1128),1,0)</f>
        <v>0</v>
      </c>
      <c r="CI1128" s="50" t="n">
        <f aca="false">N(AE1128)</f>
        <v>0</v>
      </c>
      <c r="CJ1128" s="50" t="n">
        <f aca="false">N(M1128)+N(N1128)</f>
        <v>1</v>
      </c>
      <c r="CK1128" s="50" t="n">
        <f aca="false">N(M1128)</f>
        <v>0</v>
      </c>
      <c r="CL1128" s="50" t="n">
        <f aca="false">N(N1128)</f>
        <v>1</v>
      </c>
      <c r="CM1128" s="50" t="n">
        <f aca="false">ROUNDUP(H1128/BY1128,0)</f>
        <v>1</v>
      </c>
      <c r="CN1128" s="50" t="n">
        <f aca="false">ROUNDUP(CI1128/BY1128,0)</f>
        <v>0</v>
      </c>
      <c r="CO1128" s="53" t="n">
        <f aca="false">IF(BZ1128=1,0,IFERROR(VLOOKUP(BX1128,'Gebinde-Kategorie'!$A$5:$N$45,5,0)+0,0))</f>
        <v>21</v>
      </c>
      <c r="CP1128" s="53" t="n">
        <f aca="false">IFERROR(IF(OR(CE1128=1,CE1128=2,CE1128=3),N(INDEX(Parameter!$I$5:$I$7,CE1128)),0),0)</f>
        <v>0</v>
      </c>
      <c r="CQ1128" s="52" t="n">
        <f aca="false">IF(AND(Parameter!$B$21="Ja",ISNUMBER(W1128),N(X1128)&gt;0),IFERROR(N(INDEX(Parameter!$L$5:$L$7,W1128))*INDEX(Parameter!$E$5:$E$7,W1128)*X1128/SUMIFS($X$7:$X$1843,$W$7:$W$1843,W1128),0),0)</f>
        <v>0</v>
      </c>
    </row>
    <row r="1129" customFormat="false" ht="15" hidden="false" customHeight="false" outlineLevel="0" collapsed="false">
      <c r="A1129" s="48" t="s">
        <v>2053</v>
      </c>
      <c r="B1129" s="48" t="s">
        <v>2054</v>
      </c>
      <c r="C1129" s="48" t="s">
        <v>465</v>
      </c>
      <c r="D1129" s="48" t="s">
        <v>193</v>
      </c>
      <c r="E1129" s="48"/>
      <c r="F1129" s="48" t="s">
        <v>227</v>
      </c>
      <c r="G1129" s="49" t="n">
        <v>14.14</v>
      </c>
      <c r="H1129" s="50" t="n">
        <f aca="false">MAX(0,IF(AND(Parameter!$B$21="Ja",ISNUMBER(Y1129)),Y1129,IF(Parameter!$B$20="Jahresanfang 2025 + Export",BR1129+BQ1129,BQ1129)))</f>
        <v>18</v>
      </c>
      <c r="I1129" s="50" t="n">
        <f aca="false">H1129*G1129</f>
        <v>254.52</v>
      </c>
      <c r="J1129" s="50" t="n">
        <f aca="false">BT1129*Parameter!$B$18</f>
        <v>18</v>
      </c>
      <c r="K1129" s="51" t="n">
        <v>18</v>
      </c>
      <c r="L1129" s="52" t="n">
        <v>1</v>
      </c>
      <c r="M1129" s="50" t="n">
        <v>2</v>
      </c>
      <c r="N1129" s="50" t="n">
        <v>20</v>
      </c>
      <c r="O1129" s="53" t="n">
        <v>56</v>
      </c>
      <c r="P1129" s="48" t="s">
        <v>177</v>
      </c>
      <c r="Q1129" s="50"/>
      <c r="R1129" s="53" t="n">
        <f aca="false">IF(BZ1129=1,0,IFERROR(VLOOKUP(BX1129,'Gebinde-Kategorie'!$A$5:$N$45,13,0)+0,0))</f>
        <v>26</v>
      </c>
      <c r="S1129" s="54"/>
      <c r="T1129" s="55" t="s">
        <v>284</v>
      </c>
      <c r="U1129" s="55"/>
      <c r="V1129" s="55"/>
      <c r="W1129" s="48"/>
      <c r="X1129" s="50"/>
      <c r="Y1129" s="50"/>
      <c r="Z1129" s="48" t="n">
        <f aca="false">IF(A1129="","",IF(AND(Parameter!$B$21="Ja",ISNUMBER(W1129)),W1129,IF(CC1129="2+3",IF(ISNUMBER(SEARCH("grosser Artikel",BU1129)),2,IFERROR(VLOOKUP(BX1129,Parameter!$F$35:$G$64,2,0),2)),IF(OR(CC1129="Nein",CC1129=""),"-",CC1129))))</f>
        <v>3</v>
      </c>
      <c r="AA1129" s="55"/>
      <c r="AB1129" s="56"/>
      <c r="AC1129" s="50" t="n">
        <f aca="false">AV1129</f>
        <v>22</v>
      </c>
      <c r="AD1129" s="50" t="n">
        <f aca="false">MAX(AV1129,H1129)</f>
        <v>22</v>
      </c>
      <c r="AE1129" s="57"/>
      <c r="AF1129" s="50" t="n">
        <f aca="false">IF(LEFT(Cockpit!$C$5,1)="A",H1129,IF(Parameter!$E$30="MAX-Bestand",IF(CH1129=1,CI1129,IF(LEFT(Cockpit!$C$5,1)="B",AL1129,MAX(AL1129,H1129))),ROUNDUP(AJ1129,0)))</f>
        <v>18</v>
      </c>
      <c r="AG1129" s="50" t="n">
        <f aca="false">IF(BZ1129=1,0,ROUNDUP(AF1129/BY1129,0))</f>
        <v>1</v>
      </c>
      <c r="AH1129" s="52" t="n">
        <f aca="false">IF(CQ1129&gt;0,CQ1129*MAX(1,AF1129/X1129),IF(BZ1129=1,IF(AF1129&lt;=0,0,CD1129*MAX(1,IF(H1129&gt;0,AF1129/H1129,1))),IF(R1129&gt;0,AG1129/R1129,0))/MAX(0.1,N(Parameter!$M$21)))</f>
        <v>0.0384615384615385</v>
      </c>
      <c r="AI1129" s="50" t="n">
        <f aca="false">AH1129*CB1129</f>
        <v>5.96153846153846</v>
      </c>
      <c r="AJ1129" s="51" t="n">
        <f aca="false">IF(LEFT(Cockpit!$C$5,1)="A",H1129,IF(CH1129=1,(CK1129+CI1129)/2,IF(LEFT(Cockpit!$C$5,1)="B",(CK1129+AL1129)/2,MAX((CK1129+AL1129)/2,H1129))))</f>
        <v>18</v>
      </c>
      <c r="AK1129" s="50" t="n">
        <f aca="false">AJ1129*G1129</f>
        <v>254.52</v>
      </c>
      <c r="AL1129" s="50" t="n">
        <f aca="false">ROUNDUP(CK1129+MAX(CL1129,2*(J1129/IF(CG1129&gt;0,CG1129,MAX(0.1,N(Cockpit!$C$6)))-CK1129)),0)</f>
        <v>22</v>
      </c>
      <c r="AM1129" s="51" t="n">
        <f aca="false">IF(AI1129&gt;0,J1129/AI1129,-1)</f>
        <v>3.01935483870968</v>
      </c>
      <c r="AN1129" s="51" t="n">
        <f aca="false">IF(AND(OR(CF1129="L1",CF1129="L23",CF1129="LIFT"),AI1129&gt;0),SUMIFS($AI$7:$AI$1843,$CF$7:$CF$1843,CF1129,$AM$7:$AM$1843,"&gt;"&amp;AM1129)+SUMIFS($AI$7:$AI$1843,$CF$7:$CF$1843,CF1129,$AM$7:$AM$1843,AM1129,$BW$7:$BW$1843,"&lt;="&amp;BW1129),"")</f>
        <v>5081.75778388278</v>
      </c>
      <c r="AO1129" s="58" t="n">
        <f aca="false">IF(AN1129="",0,MAX(0,MIN(1,(IF(CF1129="L1",Parameter!$H$5,IF(CF1129="L23",Parameter!$H$6+Parameter!$H$7,Parameter!$H$5+Parameter!$H$6+Parameter!$H$7))-(AN1129-AI1129))/AI1129)))</f>
        <v>1</v>
      </c>
      <c r="AP1129" s="50" t="n">
        <f aca="false">IF(LEFT(Cockpit!$I$5,1)="A",H1129,IF(Parameter!$E$30="MAX-Bestand",IF(CH1129=1,CI1129,IF(LEFT(Cockpit!$I$5,1)="B",AV1129,MAX(AV1129,H1129))),ROUNDUP(AT1129,0)))</f>
        <v>18</v>
      </c>
      <c r="AQ1129" s="50" t="n">
        <f aca="false">IF(BZ1129=1,0,ROUNDUP(AP1129/BY1129,0))</f>
        <v>1</v>
      </c>
      <c r="AR1129" s="52" t="n">
        <f aca="false">IF(CQ1129&gt;0,CQ1129*MAX(1,AP1129/X1129),IF(BZ1129=1,IF(AP1129&lt;=0,0,CD1129*MAX(1,IF(H1129&gt;0,AP1129/H1129,1))),IF(R1129&gt;0,AQ1129/R1129,0))/MAX(0.1,N(Parameter!$M$21)))</f>
        <v>0.0384615384615385</v>
      </c>
      <c r="AS1129" s="50" t="n">
        <f aca="false">AR1129*CB1129</f>
        <v>5.96153846153846</v>
      </c>
      <c r="AT1129" s="51" t="n">
        <f aca="false">IF(LEFT(Cockpit!$I$5,1)="A",H1129,IF(CH1129=1,(CK1129+CI1129)/2,IF(LEFT(Cockpit!$I$5,1)="B",(CK1129+AV1129)/2,MAX((CK1129+AV1129)/2,H1129))))</f>
        <v>18</v>
      </c>
      <c r="AU1129" s="50" t="n">
        <f aca="false">AT1129*G1129</f>
        <v>254.52</v>
      </c>
      <c r="AV1129" s="50" t="n">
        <f aca="false">ROUNDUP(CK1129+MAX(CL1129,2*(J1129/IF(CG1129&gt;0,CG1129,MAX(0.1,N(Cockpit!$I$6)))-CK1129)),0)</f>
        <v>22</v>
      </c>
      <c r="AW1129" s="51" t="n">
        <f aca="false">IF(AS1129&gt;0,J1129/AS1129,-1)</f>
        <v>3.01935483870968</v>
      </c>
      <c r="AX1129" s="51" t="n">
        <f aca="false">IF(AND(OR(CF1129="L1",CF1129="L23",CF1129="LIFT"),AS1129&gt;0),SUMIFS($AS$7:$AS$1843,$CF$7:$CF$1843,CF1129,$AW$7:$AW$1843,"&gt;"&amp;AW1129)+SUMIFS($AS$7:$AS$1843,$CF$7:$CF$1843,CF1129,$AW$7:$AW$1843,AW1129,$BW$7:$BW$1843,"&lt;="&amp;BW1129),"")</f>
        <v>5919.47298534799</v>
      </c>
      <c r="AY1129" s="58" t="n">
        <f aca="false">IF(AX1129="",0,MAX(0,MIN(1,(IF(CF1129="L1",Parameter!$H$5,IF(CF1129="L23",Parameter!$H$6+Parameter!$H$7,Parameter!$H$5+Parameter!$H$6+Parameter!$H$7))-(AX1129-AS1129))/AS1129)))</f>
        <v>1</v>
      </c>
      <c r="AZ1129" s="50" t="n">
        <f aca="false">IF(LEFT(Cockpit!$O$5,1)="A",H1129,IF(Parameter!$E$30="MAX-Bestand",IF(CH1129=1,CI1129,IF(LEFT(Cockpit!$O$5,1)="B",BF1129,MAX(BF1129,H1129))),ROUNDUP(BD1129,0)))</f>
        <v>12</v>
      </c>
      <c r="BA1129" s="50" t="n">
        <f aca="false">IF(BZ1129=1,0,ROUNDUP(AZ1129/BY1129,0))</f>
        <v>1</v>
      </c>
      <c r="BB1129" s="52" t="n">
        <f aca="false">IF(CQ1129&gt;0,CQ1129*MAX(1,AZ1129/X1129),IF(BZ1129=1,IF(AZ1129&lt;=0,0,CD1129*MAX(1,IF(H1129&gt;0,AZ1129/H1129,1))),IF(R1129&gt;0,BA1129/R1129,0))/MAX(0.1,N(Parameter!$M$21)))</f>
        <v>0.0384615384615385</v>
      </c>
      <c r="BC1129" s="50" t="n">
        <f aca="false">BB1129*CB1129</f>
        <v>5.96153846153846</v>
      </c>
      <c r="BD1129" s="51" t="n">
        <f aca="false">IF(LEFT(Cockpit!$O$5,1)="A",H1129,IF(CH1129=1,(CK1129+CI1129)/2,IF(LEFT(Cockpit!$O$5,1)="B",(CK1129+BF1129)/2,MAX((CK1129+BF1129)/2,H1129))))</f>
        <v>12</v>
      </c>
      <c r="BE1129" s="50" t="n">
        <f aca="false">BD1129*G1129</f>
        <v>169.68</v>
      </c>
      <c r="BF1129" s="50" t="n">
        <f aca="false">ROUNDUP(CK1129+MAX(CL1129,2*(J1129/IF(CG1129&gt;0,CG1129,MAX(0.1,N(Cockpit!$O$6)))-CK1129)),0)</f>
        <v>22</v>
      </c>
      <c r="BG1129" s="51" t="n">
        <f aca="false">IF(BC1129&gt;0,J1129/BC1129,-1)</f>
        <v>3.01935483870968</v>
      </c>
      <c r="BH1129" s="51" t="n">
        <f aca="false">IF(AND(OR(CF1129="L1",CF1129="L23",CF1129="LIFT"),BC1129&gt;0),SUMIFS($BC$7:$BC$1843,$CF$7:$CF$1843,CF1129,$BG$7:$BG$1843,"&gt;"&amp;BG1129)+SUMIFS($BC$7:$BC$1843,$CF$7:$CF$1843,CF1129,$BG$7:$BG$1843,BG1129,$BW$7:$BW$1843,"&lt;="&amp;BW1129),"")</f>
        <v>4782.22298534799</v>
      </c>
      <c r="BI1129" s="58" t="n">
        <f aca="false">IF(BH1129="",0,MAX(0,MIN(1,(IF(CF1129="L1",Parameter!$H$5,IF(CF1129="L23",Parameter!$H$6+Parameter!$H$7,Parameter!$H$5+Parameter!$H$6+Parameter!$H$7))-(BH1129-BC1129))/BC1129)))</f>
        <v>1</v>
      </c>
      <c r="BJ1129" s="48" t="str">
        <f aca="false">IF(AI1129&lt;=0,"",IF(CF1129="Aussen","Aussenlager",IF(CF1129="-","Nicht im Lift",IF(AO1129&gt;=1,"Lift",IF(AO1129&lt;=0,"Aussenlager","teilweise")))))</f>
        <v>Lift</v>
      </c>
      <c r="BK1129" s="48" t="str">
        <f aca="false">IF(AS1129&lt;=0,"",IF(CF1129="Aussen","Aussenlager",IF(CF1129="-","Nicht im Lift",IF(AY1129&gt;=1,"Lift",IF(AY1129&lt;=0,"Aussenlager","teilweise")))))</f>
        <v>Lift</v>
      </c>
      <c r="BL1129" s="48" t="str">
        <f aca="false">IF(BC1129&lt;=0,"",IF(CF1129="Aussen","Aussenlager",IF(CF1129="-","Nicht im Lift",IF(BI1129&gt;=1,"Lift",IF(BI1129&lt;=0,"Aussenlager","teilweise")))))</f>
        <v>Lift</v>
      </c>
      <c r="BM1129" s="48" t="str">
        <f aca="false">IF(A1129="","",IF(BV1129=1,"Neu; ","")&amp;IF(AND(BV1129=0,BQ1129&lt;0),"negativer Bestand (Export "&amp;BQ1129&amp;"); ","")&amp;IF(J1129&lt;=0,"Kein Verbrauch; ","")&amp;IF(CQ1129&gt;0,"Lift "&amp;W1129&amp;" lt. Liftbericht (Fach "&amp;X1129&amp;" Stk); ",IF(CA1129=1,"Gebinde geschätzt ("&amp;T1129&amp;"); ",IF(BZ1129=1,"Lose – Tablare geschätzt; ","")))&amp;IF(H1129&gt;AV1129,"Überbestand "&amp;ROUND(H1129-AV1129,0)&amp;" Stk / CHF "&amp;ROUND((H1129-AV1129)*G1129,0)&amp;"; ","")&amp;IF(AND(CH1129=1,CI1129&lt;CJ1129),"MAX &lt; MB+LG; ","")&amp;IF(AND(CP1129&gt;0,CO1129*10&gt;CP1129),"zu hoch für Tablar; ","")&amp;IF(AND(BV1129=0,OR(CH1129=1,AA1129&lt;&gt;"",U1129&lt;&gt;"",V1129&lt;&gt;"",AB1129&lt;&gt;"")),"manuell übersteuert; ","")&amp;IF(AND(BZ1129=0,R1129=0),"Gebinde unbekannt / Stellmass fehlt; ","")&amp;IF(AND(BZ1129=0,N(V1129)&lt;=0,N(Q1129)&lt;=0),"Menge pro Gebinde fehlt (Ist = 1 Gebinde); ","")&amp;BU1129)</f>
        <v>negativer Bestand (Export -18); Gebinde geschätzt (Klein); Menge pro Gebinde fehlt (Ist = 1 Gebinde); </v>
      </c>
      <c r="BN1129" s="48"/>
      <c r="BO1129" s="48"/>
      <c r="BP1129" s="55"/>
      <c r="BQ1129" s="50" t="n">
        <v>-18</v>
      </c>
      <c r="BR1129" s="50" t="n">
        <v>36</v>
      </c>
      <c r="BS1129" s="49" t="n">
        <v>-254.52</v>
      </c>
      <c r="BT1129" s="50" t="n">
        <v>18</v>
      </c>
      <c r="BU1129" s="48"/>
      <c r="BV1129" s="53" t="n">
        <v>0</v>
      </c>
      <c r="BW1129" s="53" t="n">
        <v>1129</v>
      </c>
      <c r="BX1129" s="48" t="str">
        <f aca="false">IF(U1129&lt;&gt;"",UPPER(TRIM(U1129)),IF(CA1129=1,UPPER(VLOOKUP(T1129,Parameter!$I$27:$K$29,2,0)),IF(P1129="","LOSE",P1129)))</f>
        <v>S51</v>
      </c>
      <c r="BY1129" s="50" t="n">
        <f aca="false">IF(BX1129="LOSE",1,IF(N(V1129)&gt;0,V1129,IF(CA1129=1,MAX(1,N(VLOOKUP(T1129,Parameter!$I$27:$K$29,3,0)),H1129,N(N1129)),IF(N(Q1129)&gt;0,Q1129,MAX(1,H1129)))))</f>
        <v>20</v>
      </c>
      <c r="BZ1129" s="53" t="n">
        <f aca="false">IF(BX1129="LOSE",1,0)</f>
        <v>0</v>
      </c>
      <c r="CA1129" s="53" t="n">
        <f aca="false">IF(AND(U1129="",OR(P1129="",P1129="LOSE"),T1129&lt;&gt;"",N(S1129)&lt;=0,ISNUMBER(MATCH(T1129,Parameter!$I$27:$I$29,0))),1,0)</f>
        <v>1</v>
      </c>
      <c r="CB1129" s="53" t="n">
        <f aca="false">IF(CQ1129&gt;0,INDEX(Parameter!$H$5:$H$7,W1129)/INDEX(Parameter!$E$5:$E$7,W1129),IF(AND(BZ1129=0,N(IFERROR(VLOOKUP(BX1129,'Gebinde-Kategorie'!$A$5:$N$45,14,0),0))&gt;0),VLOOKUP(BX1129,'Gebinde-Kategorie'!$A$5:$N$45,14,0)*10+Parameter!$M$23,Parameter!$M$24))</f>
        <v>155</v>
      </c>
      <c r="CC1129" s="48" t="str">
        <f aca="false">IF(AND(Parameter!$B$19="Ja",E1129&lt;&gt;"",ISNUMBER(MATCH(E1129,Parameter!$I$35:$I$52,0))),VLOOKUP(E1129,Parameter!$I$35:$J$52,2,0),IFERROR(VLOOKUP(D1129,Parameter!$A$35:$C$64,2,0),"Nein"))</f>
        <v>2+3</v>
      </c>
      <c r="CD1129" s="52" t="n">
        <f aca="false">IF(BZ1129=0,0,IF(N(S1129)&gt;0,S1129,IFERROR(VLOOKUP(D1129,Parameter!$A$35:$C$64,3,0)+0,0)))</f>
        <v>0</v>
      </c>
      <c r="CE1129" s="48" t="n">
        <f aca="false">IF(AA1129&lt;&gt;"",AA1129,Z1129)</f>
        <v>3</v>
      </c>
      <c r="CF1129" s="48" t="str">
        <f aca="false">IF(OR(CE1129=1,CE1129=2,CE1129=3),IF(Parameter!$E$27="Ja","LIFT",IF(CE1129=1,"L1","L23")),IF(CE1129="Aussen","Aussen","-"))</f>
        <v>LIFT</v>
      </c>
      <c r="CG1129" s="59" t="n">
        <f aca="false">IF(N(AB1129)&gt;0,AB1129,0)</f>
        <v>0</v>
      </c>
      <c r="CH1129" s="53" t="n">
        <f aca="false">IF(ISNUMBER(AE1129),1,0)</f>
        <v>0</v>
      </c>
      <c r="CI1129" s="50" t="n">
        <f aca="false">N(AE1129)</f>
        <v>0</v>
      </c>
      <c r="CJ1129" s="50" t="n">
        <f aca="false">N(M1129)+N(N1129)</f>
        <v>22</v>
      </c>
      <c r="CK1129" s="50" t="n">
        <f aca="false">N(M1129)</f>
        <v>2</v>
      </c>
      <c r="CL1129" s="50" t="n">
        <f aca="false">N(N1129)</f>
        <v>20</v>
      </c>
      <c r="CM1129" s="50" t="n">
        <f aca="false">ROUNDUP(H1129/BY1129,0)</f>
        <v>1</v>
      </c>
      <c r="CN1129" s="50" t="n">
        <f aca="false">ROUNDUP(CI1129/BY1129,0)</f>
        <v>0</v>
      </c>
      <c r="CO1129" s="53" t="n">
        <f aca="false">IF(BZ1129=1,0,IFERROR(VLOOKUP(BX1129,'Gebinde-Kategorie'!$A$5:$N$45,5,0)+0,0))</f>
        <v>11</v>
      </c>
      <c r="CP1129" s="53" t="n">
        <f aca="false">IFERROR(IF(OR(CE1129=1,CE1129=2,CE1129=3),N(INDEX(Parameter!$I$5:$I$7,CE1129)),0),0)</f>
        <v>0</v>
      </c>
      <c r="CQ1129" s="52" t="n">
        <f aca="false">IF(AND(Parameter!$B$21="Ja",ISNUMBER(W1129),N(X1129)&gt;0),IFERROR(N(INDEX(Parameter!$L$5:$L$7,W1129))*INDEX(Parameter!$E$5:$E$7,W1129)*X1129/SUMIFS($X$7:$X$1843,$W$7:$W$1843,W1129),0),0)</f>
        <v>0</v>
      </c>
    </row>
    <row r="1130" customFormat="false" ht="15" hidden="false" customHeight="false" outlineLevel="0" collapsed="false">
      <c r="A1130" s="48" t="s">
        <v>2055</v>
      </c>
      <c r="B1130" s="48" t="s">
        <v>2056</v>
      </c>
      <c r="C1130" s="48" t="s">
        <v>465</v>
      </c>
      <c r="D1130" s="48" t="s">
        <v>193</v>
      </c>
      <c r="E1130" s="48"/>
      <c r="F1130" s="48" t="s">
        <v>227</v>
      </c>
      <c r="G1130" s="49" t="n">
        <v>31.9</v>
      </c>
      <c r="H1130" s="50" t="n">
        <f aca="false">MAX(0,IF(AND(Parameter!$B$21="Ja",ISNUMBER(Y1130)),Y1130,IF(Parameter!$B$20="Jahresanfang 2025 + Export",BR1130+BQ1130,BQ1130)))</f>
        <v>8</v>
      </c>
      <c r="I1130" s="50" t="n">
        <f aca="false">H1130*G1130</f>
        <v>255.2</v>
      </c>
      <c r="J1130" s="50" t="n">
        <f aca="false">BT1130*Parameter!$B$18</f>
        <v>8</v>
      </c>
      <c r="K1130" s="51" t="n">
        <v>8</v>
      </c>
      <c r="L1130" s="52" t="n">
        <v>1</v>
      </c>
      <c r="M1130" s="50" t="n">
        <v>0</v>
      </c>
      <c r="N1130" s="50" t="n">
        <v>10</v>
      </c>
      <c r="O1130" s="53" t="n">
        <v>21</v>
      </c>
      <c r="P1130" s="48" t="s">
        <v>177</v>
      </c>
      <c r="Q1130" s="50"/>
      <c r="R1130" s="53" t="n">
        <f aca="false">IF(BZ1130=1,0,IFERROR(VLOOKUP(BX1130,'Gebinde-Kategorie'!$A$5:$N$45,13,0)+0,0))</f>
        <v>26</v>
      </c>
      <c r="S1130" s="54"/>
      <c r="T1130" s="55" t="s">
        <v>284</v>
      </c>
      <c r="U1130" s="55"/>
      <c r="V1130" s="55"/>
      <c r="W1130" s="48"/>
      <c r="X1130" s="50"/>
      <c r="Y1130" s="50"/>
      <c r="Z1130" s="48" t="n">
        <f aca="false">IF(A1130="","",IF(AND(Parameter!$B$21="Ja",ISNUMBER(W1130)),W1130,IF(CC1130="2+3",IF(ISNUMBER(SEARCH("grosser Artikel",BU1130)),2,IFERROR(VLOOKUP(BX1130,Parameter!$F$35:$G$64,2,0),2)),IF(OR(CC1130="Nein",CC1130=""),"-",CC1130))))</f>
        <v>3</v>
      </c>
      <c r="AA1130" s="55"/>
      <c r="AB1130" s="56"/>
      <c r="AC1130" s="50" t="n">
        <f aca="false">AV1130</f>
        <v>10</v>
      </c>
      <c r="AD1130" s="50" t="n">
        <f aca="false">MAX(AV1130,H1130)</f>
        <v>10</v>
      </c>
      <c r="AE1130" s="57"/>
      <c r="AF1130" s="50" t="n">
        <f aca="false">IF(LEFT(Cockpit!$C$5,1)="A",H1130,IF(Parameter!$E$30="MAX-Bestand",IF(CH1130=1,CI1130,IF(LEFT(Cockpit!$C$5,1)="B",AL1130,MAX(AL1130,H1130))),ROUNDUP(AJ1130,0)))</f>
        <v>8</v>
      </c>
      <c r="AG1130" s="50" t="n">
        <f aca="false">IF(BZ1130=1,0,ROUNDUP(AF1130/BY1130,0))</f>
        <v>1</v>
      </c>
      <c r="AH1130" s="52" t="n">
        <f aca="false">IF(CQ1130&gt;0,CQ1130*MAX(1,AF1130/X1130),IF(BZ1130=1,IF(AF1130&lt;=0,0,CD1130*MAX(1,IF(H1130&gt;0,AF1130/H1130,1))),IF(R1130&gt;0,AG1130/R1130,0))/MAX(0.1,N(Parameter!$M$21)))</f>
        <v>0.0384615384615385</v>
      </c>
      <c r="AI1130" s="50" t="n">
        <f aca="false">AH1130*CB1130</f>
        <v>5.96153846153846</v>
      </c>
      <c r="AJ1130" s="51" t="n">
        <f aca="false">IF(LEFT(Cockpit!$C$5,1)="A",H1130,IF(CH1130=1,(CK1130+CI1130)/2,IF(LEFT(Cockpit!$C$5,1)="B",(CK1130+AL1130)/2,MAX((CK1130+AL1130)/2,H1130))))</f>
        <v>8</v>
      </c>
      <c r="AK1130" s="50" t="n">
        <f aca="false">AJ1130*G1130</f>
        <v>255.2</v>
      </c>
      <c r="AL1130" s="50" t="n">
        <f aca="false">ROUNDUP(CK1130+MAX(CL1130,2*(J1130/IF(CG1130&gt;0,CG1130,MAX(0.1,N(Cockpit!$C$6)))-CK1130)),0)</f>
        <v>10</v>
      </c>
      <c r="AM1130" s="51" t="n">
        <f aca="false">IF(AI1130&gt;0,J1130/AI1130,-1)</f>
        <v>1.34193548387097</v>
      </c>
      <c r="AN1130" s="51" t="n">
        <f aca="false">IF(AND(OR(CF1130="L1",CF1130="L23",CF1130="LIFT"),AI1130&gt;0),SUMIFS($AI$7:$AI$1843,$CF$7:$CF$1843,CF1130,$AM$7:$AM$1843,"&gt;"&amp;AM1130)+SUMIFS($AI$7:$AI$1843,$CF$7:$CF$1843,CF1130,$AM$7:$AM$1843,AM1130,$BW$7:$BW$1843,"&lt;="&amp;BW1130),"")</f>
        <v>6356.48443223443</v>
      </c>
      <c r="AO1130" s="58" t="n">
        <f aca="false">IF(AN1130="",0,MAX(0,MIN(1,(IF(CF1130="L1",Parameter!$H$5,IF(CF1130="L23",Parameter!$H$6+Parameter!$H$7,Parameter!$H$5+Parameter!$H$6+Parameter!$H$7))-(AN1130-AI1130))/AI1130)))</f>
        <v>1</v>
      </c>
      <c r="AP1130" s="50" t="n">
        <f aca="false">IF(LEFT(Cockpit!$I$5,1)="A",H1130,IF(Parameter!$E$30="MAX-Bestand",IF(CH1130=1,CI1130,IF(LEFT(Cockpit!$I$5,1)="B",AV1130,MAX(AV1130,H1130))),ROUNDUP(AT1130,0)))</f>
        <v>8</v>
      </c>
      <c r="AQ1130" s="50" t="n">
        <f aca="false">IF(BZ1130=1,0,ROUNDUP(AP1130/BY1130,0))</f>
        <v>1</v>
      </c>
      <c r="AR1130" s="52" t="n">
        <f aca="false">IF(CQ1130&gt;0,CQ1130*MAX(1,AP1130/X1130),IF(BZ1130=1,IF(AP1130&lt;=0,0,CD1130*MAX(1,IF(H1130&gt;0,AP1130/H1130,1))),IF(R1130&gt;0,AQ1130/R1130,0))/MAX(0.1,N(Parameter!$M$21)))</f>
        <v>0.0384615384615385</v>
      </c>
      <c r="AS1130" s="50" t="n">
        <f aca="false">AR1130*CB1130</f>
        <v>5.96153846153846</v>
      </c>
      <c r="AT1130" s="51" t="n">
        <f aca="false">IF(LEFT(Cockpit!$I$5,1)="A",H1130,IF(CH1130=1,(CK1130+CI1130)/2,IF(LEFT(Cockpit!$I$5,1)="B",(CK1130+AV1130)/2,MAX((CK1130+AV1130)/2,H1130))))</f>
        <v>8</v>
      </c>
      <c r="AU1130" s="50" t="n">
        <f aca="false">AT1130*G1130</f>
        <v>255.2</v>
      </c>
      <c r="AV1130" s="50" t="n">
        <f aca="false">ROUNDUP(CK1130+MAX(CL1130,2*(J1130/IF(CG1130&gt;0,CG1130,MAX(0.1,N(Cockpit!$I$6)))-CK1130)),0)</f>
        <v>10</v>
      </c>
      <c r="AW1130" s="51" t="n">
        <f aca="false">IF(AS1130&gt;0,J1130/AS1130,-1)</f>
        <v>1.34193548387097</v>
      </c>
      <c r="AX1130" s="51" t="n">
        <f aca="false">IF(AND(OR(CF1130="L1",CF1130="L23",CF1130="LIFT"),AS1130&gt;0),SUMIFS($AS$7:$AS$1843,$CF$7:$CF$1843,CF1130,$AW$7:$AW$1843,"&gt;"&amp;AW1130)+SUMIFS($AS$7:$AS$1843,$CF$7:$CF$1843,CF1130,$AW$7:$AW$1843,AW1130,$BW$7:$BW$1843,"&lt;="&amp;BW1130),"")</f>
        <v>7883.64880952381</v>
      </c>
      <c r="AY1130" s="58" t="n">
        <f aca="false">IF(AX1130="",0,MAX(0,MIN(1,(IF(CF1130="L1",Parameter!$H$5,IF(CF1130="L23",Parameter!$H$6+Parameter!$H$7,Parameter!$H$5+Parameter!$H$6+Parameter!$H$7))-(AX1130-AS1130))/AS1130)))</f>
        <v>1</v>
      </c>
      <c r="AZ1130" s="50" t="n">
        <f aca="false">IF(LEFT(Cockpit!$O$5,1)="A",H1130,IF(Parameter!$E$30="MAX-Bestand",IF(CH1130=1,CI1130,IF(LEFT(Cockpit!$O$5,1)="B",BF1130,MAX(BF1130,H1130))),ROUNDUP(BD1130,0)))</f>
        <v>5</v>
      </c>
      <c r="BA1130" s="50" t="n">
        <f aca="false">IF(BZ1130=1,0,ROUNDUP(AZ1130/BY1130,0))</f>
        <v>1</v>
      </c>
      <c r="BB1130" s="52" t="n">
        <f aca="false">IF(CQ1130&gt;0,CQ1130*MAX(1,AZ1130/X1130),IF(BZ1130=1,IF(AZ1130&lt;=0,0,CD1130*MAX(1,IF(H1130&gt;0,AZ1130/H1130,1))),IF(R1130&gt;0,BA1130/R1130,0))/MAX(0.1,N(Parameter!$M$21)))</f>
        <v>0.0384615384615385</v>
      </c>
      <c r="BC1130" s="50" t="n">
        <f aca="false">BB1130*CB1130</f>
        <v>5.96153846153846</v>
      </c>
      <c r="BD1130" s="51" t="n">
        <f aca="false">IF(LEFT(Cockpit!$O$5,1)="A",H1130,IF(CH1130=1,(CK1130+CI1130)/2,IF(LEFT(Cockpit!$O$5,1)="B",(CK1130+BF1130)/2,MAX((CK1130+BF1130)/2,H1130))))</f>
        <v>5</v>
      </c>
      <c r="BE1130" s="50" t="n">
        <f aca="false">BD1130*G1130</f>
        <v>159.5</v>
      </c>
      <c r="BF1130" s="50" t="n">
        <f aca="false">ROUNDUP(CK1130+MAX(CL1130,2*(J1130/IF(CG1130&gt;0,CG1130,MAX(0.1,N(Cockpit!$O$6)))-CK1130)),0)</f>
        <v>10</v>
      </c>
      <c r="BG1130" s="51" t="n">
        <f aca="false">IF(BC1130&gt;0,J1130/BC1130,-1)</f>
        <v>1.34193548387097</v>
      </c>
      <c r="BH1130" s="51" t="n">
        <f aca="false">IF(AND(OR(CF1130="L1",CF1130="L23",CF1130="LIFT"),BC1130&gt;0),SUMIFS($BC$7:$BC$1843,$CF$7:$CF$1843,CF1130,$BG$7:$BG$1843,"&gt;"&amp;BG1130)+SUMIFS($BC$7:$BC$1843,$CF$7:$CF$1843,CF1130,$BG$7:$BG$1843,BG1130,$BW$7:$BW$1843,"&lt;="&amp;BW1130),"")</f>
        <v>6820.86446886447</v>
      </c>
      <c r="BI1130" s="58" t="n">
        <f aca="false">IF(BH1130="",0,MAX(0,MIN(1,(IF(CF1130="L1",Parameter!$H$5,IF(CF1130="L23",Parameter!$H$6+Parameter!$H$7,Parameter!$H$5+Parameter!$H$6+Parameter!$H$7))-(BH1130-BC1130))/BC1130)))</f>
        <v>1</v>
      </c>
      <c r="BJ1130" s="48" t="str">
        <f aca="false">IF(AI1130&lt;=0,"",IF(CF1130="Aussen","Aussenlager",IF(CF1130="-","Nicht im Lift",IF(AO1130&gt;=1,"Lift",IF(AO1130&lt;=0,"Aussenlager","teilweise")))))</f>
        <v>Lift</v>
      </c>
      <c r="BK1130" s="48" t="str">
        <f aca="false">IF(AS1130&lt;=0,"",IF(CF1130="Aussen","Aussenlager",IF(CF1130="-","Nicht im Lift",IF(AY1130&gt;=1,"Lift",IF(AY1130&lt;=0,"Aussenlager","teilweise")))))</f>
        <v>Lift</v>
      </c>
      <c r="BL1130" s="48" t="str">
        <f aca="false">IF(BC1130&lt;=0,"",IF(CF1130="Aussen","Aussenlager",IF(CF1130="-","Nicht im Lift",IF(BI1130&gt;=1,"Lift",IF(BI1130&lt;=0,"Aussenlager","teilweise")))))</f>
        <v>Lift</v>
      </c>
      <c r="BM1130" s="48" t="str">
        <f aca="false">IF(A1130="","",IF(BV1130=1,"Neu; ","")&amp;IF(AND(BV1130=0,BQ1130&lt;0),"negativer Bestand (Export "&amp;BQ1130&amp;"); ","")&amp;IF(J1130&lt;=0,"Kein Verbrauch; ","")&amp;IF(CQ1130&gt;0,"Lift "&amp;W1130&amp;" lt. Liftbericht (Fach "&amp;X1130&amp;" Stk); ",IF(CA1130=1,"Gebinde geschätzt ("&amp;T1130&amp;"); ",IF(BZ1130=1,"Lose – Tablare geschätzt; ","")))&amp;IF(H1130&gt;AV1130,"Überbestand "&amp;ROUND(H1130-AV1130,0)&amp;" Stk / CHF "&amp;ROUND((H1130-AV1130)*G1130,0)&amp;"; ","")&amp;IF(AND(CH1130=1,CI1130&lt;CJ1130),"MAX &lt; MB+LG; ","")&amp;IF(AND(CP1130&gt;0,CO1130*10&gt;CP1130),"zu hoch für Tablar; ","")&amp;IF(AND(BV1130=0,OR(CH1130=1,AA1130&lt;&gt;"",U1130&lt;&gt;"",V1130&lt;&gt;"",AB1130&lt;&gt;"")),"manuell übersteuert; ","")&amp;IF(AND(BZ1130=0,R1130=0),"Gebinde unbekannt / Stellmass fehlt; ","")&amp;IF(AND(BZ1130=0,N(V1130)&lt;=0,N(Q1130)&lt;=0),"Menge pro Gebinde fehlt (Ist = 1 Gebinde); ","")&amp;BU1130)</f>
        <v>negativer Bestand (Export -8); Gebinde geschätzt (Klein); Menge pro Gebinde fehlt (Ist = 1 Gebinde); </v>
      </c>
      <c r="BN1130" s="48"/>
      <c r="BO1130" s="48"/>
      <c r="BP1130" s="55"/>
      <c r="BQ1130" s="50" t="n">
        <v>-8</v>
      </c>
      <c r="BR1130" s="50" t="n">
        <v>16</v>
      </c>
      <c r="BS1130" s="49" t="n">
        <v>-255.2</v>
      </c>
      <c r="BT1130" s="50" t="n">
        <v>8</v>
      </c>
      <c r="BU1130" s="48"/>
      <c r="BV1130" s="53" t="n">
        <v>0</v>
      </c>
      <c r="BW1130" s="53" t="n">
        <v>1130</v>
      </c>
      <c r="BX1130" s="48" t="str">
        <f aca="false">IF(U1130&lt;&gt;"",UPPER(TRIM(U1130)),IF(CA1130=1,UPPER(VLOOKUP(T1130,Parameter!$I$27:$K$29,2,0)),IF(P1130="","LOSE",P1130)))</f>
        <v>S51</v>
      </c>
      <c r="BY1130" s="50" t="n">
        <f aca="false">IF(BX1130="LOSE",1,IF(N(V1130)&gt;0,V1130,IF(CA1130=1,MAX(1,N(VLOOKUP(T1130,Parameter!$I$27:$K$29,3,0)),H1130,N(N1130)),IF(N(Q1130)&gt;0,Q1130,MAX(1,H1130)))))</f>
        <v>20</v>
      </c>
      <c r="BZ1130" s="53" t="n">
        <f aca="false">IF(BX1130="LOSE",1,0)</f>
        <v>0</v>
      </c>
      <c r="CA1130" s="53" t="n">
        <f aca="false">IF(AND(U1130="",OR(P1130="",P1130="LOSE"),T1130&lt;&gt;"",N(S1130)&lt;=0,ISNUMBER(MATCH(T1130,Parameter!$I$27:$I$29,0))),1,0)</f>
        <v>1</v>
      </c>
      <c r="CB1130" s="53" t="n">
        <f aca="false">IF(CQ1130&gt;0,INDEX(Parameter!$H$5:$H$7,W1130)/INDEX(Parameter!$E$5:$E$7,W1130),IF(AND(BZ1130=0,N(IFERROR(VLOOKUP(BX1130,'Gebinde-Kategorie'!$A$5:$N$45,14,0),0))&gt;0),VLOOKUP(BX1130,'Gebinde-Kategorie'!$A$5:$N$45,14,0)*10+Parameter!$M$23,Parameter!$M$24))</f>
        <v>155</v>
      </c>
      <c r="CC1130" s="48" t="str">
        <f aca="false">IF(AND(Parameter!$B$19="Ja",E1130&lt;&gt;"",ISNUMBER(MATCH(E1130,Parameter!$I$35:$I$52,0))),VLOOKUP(E1130,Parameter!$I$35:$J$52,2,0),IFERROR(VLOOKUP(D1130,Parameter!$A$35:$C$64,2,0),"Nein"))</f>
        <v>2+3</v>
      </c>
      <c r="CD1130" s="52" t="n">
        <f aca="false">IF(BZ1130=0,0,IF(N(S1130)&gt;0,S1130,IFERROR(VLOOKUP(D1130,Parameter!$A$35:$C$64,3,0)+0,0)))</f>
        <v>0</v>
      </c>
      <c r="CE1130" s="48" t="n">
        <f aca="false">IF(AA1130&lt;&gt;"",AA1130,Z1130)</f>
        <v>3</v>
      </c>
      <c r="CF1130" s="48" t="str">
        <f aca="false">IF(OR(CE1130=1,CE1130=2,CE1130=3),IF(Parameter!$E$27="Ja","LIFT",IF(CE1130=1,"L1","L23")),IF(CE1130="Aussen","Aussen","-"))</f>
        <v>LIFT</v>
      </c>
      <c r="CG1130" s="59" t="n">
        <f aca="false">IF(N(AB1130)&gt;0,AB1130,0)</f>
        <v>0</v>
      </c>
      <c r="CH1130" s="53" t="n">
        <f aca="false">IF(ISNUMBER(AE1130),1,0)</f>
        <v>0</v>
      </c>
      <c r="CI1130" s="50" t="n">
        <f aca="false">N(AE1130)</f>
        <v>0</v>
      </c>
      <c r="CJ1130" s="50" t="n">
        <f aca="false">N(M1130)+N(N1130)</f>
        <v>10</v>
      </c>
      <c r="CK1130" s="50" t="n">
        <f aca="false">N(M1130)</f>
        <v>0</v>
      </c>
      <c r="CL1130" s="50" t="n">
        <f aca="false">N(N1130)</f>
        <v>10</v>
      </c>
      <c r="CM1130" s="50" t="n">
        <f aca="false">ROUNDUP(H1130/BY1130,0)</f>
        <v>1</v>
      </c>
      <c r="CN1130" s="50" t="n">
        <f aca="false">ROUNDUP(CI1130/BY1130,0)</f>
        <v>0</v>
      </c>
      <c r="CO1130" s="53" t="n">
        <f aca="false">IF(BZ1130=1,0,IFERROR(VLOOKUP(BX1130,'Gebinde-Kategorie'!$A$5:$N$45,5,0)+0,0))</f>
        <v>11</v>
      </c>
      <c r="CP1130" s="53" t="n">
        <f aca="false">IFERROR(IF(OR(CE1130=1,CE1130=2,CE1130=3),N(INDEX(Parameter!$I$5:$I$7,CE1130)),0),0)</f>
        <v>0</v>
      </c>
      <c r="CQ1130" s="52" t="n">
        <f aca="false">IF(AND(Parameter!$B$21="Ja",ISNUMBER(W1130),N(X1130)&gt;0),IFERROR(N(INDEX(Parameter!$L$5:$L$7,W1130))*INDEX(Parameter!$E$5:$E$7,W1130)*X1130/SUMIFS($X$7:$X$1843,$W$7:$W$1843,W1130),0),0)</f>
        <v>0</v>
      </c>
    </row>
    <row r="1131" customFormat="false" ht="15" hidden="false" customHeight="false" outlineLevel="0" collapsed="false">
      <c r="A1131" s="48" t="s">
        <v>2057</v>
      </c>
      <c r="B1131" s="48" t="s">
        <v>306</v>
      </c>
      <c r="C1131" s="48" t="s">
        <v>173</v>
      </c>
      <c r="D1131" s="48" t="s">
        <v>182</v>
      </c>
      <c r="E1131" s="48"/>
      <c r="F1131" s="48" t="s">
        <v>227</v>
      </c>
      <c r="G1131" s="49" t="n">
        <v>257.72</v>
      </c>
      <c r="H1131" s="50" t="n">
        <f aca="false">MAX(0,IF(AND(Parameter!$B$21="Ja",ISNUMBER(Y1131)),Y1131,IF(Parameter!$B$20="Jahresanfang 2025 + Export",BR1131+BQ1131,BQ1131)))</f>
        <v>0</v>
      </c>
      <c r="I1131" s="50" t="n">
        <f aca="false">H1131*G1131</f>
        <v>0</v>
      </c>
      <c r="J1131" s="50" t="n">
        <f aca="false">BT1131*Parameter!$B$18</f>
        <v>0</v>
      </c>
      <c r="K1131" s="51" t="n">
        <v>0.5</v>
      </c>
      <c r="L1131" s="52" t="n">
        <v>0</v>
      </c>
      <c r="M1131" s="50" t="n">
        <v>0</v>
      </c>
      <c r="N1131" s="50" t="n">
        <v>1</v>
      </c>
      <c r="O1131" s="53" t="n">
        <v>70</v>
      </c>
      <c r="P1131" s="48" t="s">
        <v>177</v>
      </c>
      <c r="Q1131" s="50"/>
      <c r="R1131" s="53" t="n">
        <f aca="false">IF(BZ1131=1,0,IFERROR(VLOOKUP(BX1131,'Gebinde-Kategorie'!$A$5:$N$45,13,0)+0,0))</f>
        <v>26</v>
      </c>
      <c r="S1131" s="54"/>
      <c r="T1131" s="55" t="s">
        <v>284</v>
      </c>
      <c r="U1131" s="55"/>
      <c r="V1131" s="55"/>
      <c r="W1131" s="48"/>
      <c r="X1131" s="50"/>
      <c r="Y1131" s="50"/>
      <c r="Z1131" s="48" t="n">
        <f aca="false">IF(A1131="","",IF(AND(Parameter!$B$21="Ja",ISNUMBER(W1131)),W1131,IF(CC1131="2+3",IF(ISNUMBER(SEARCH("grosser Artikel",BU1131)),2,IFERROR(VLOOKUP(BX1131,Parameter!$F$35:$G$64,2,0),2)),IF(OR(CC1131="Nein",CC1131=""),"-",CC1131))))</f>
        <v>3</v>
      </c>
      <c r="AA1131" s="55"/>
      <c r="AB1131" s="56"/>
      <c r="AC1131" s="50" t="n">
        <f aca="false">AV1131</f>
        <v>1</v>
      </c>
      <c r="AD1131" s="50" t="n">
        <f aca="false">MAX(AV1131,H1131)</f>
        <v>1</v>
      </c>
      <c r="AE1131" s="57"/>
      <c r="AF1131" s="50" t="n">
        <f aca="false">IF(LEFT(Cockpit!$C$5,1)="A",H1131,IF(Parameter!$E$30="MAX-Bestand",IF(CH1131=1,CI1131,IF(LEFT(Cockpit!$C$5,1)="B",AL1131,MAX(AL1131,H1131))),ROUNDUP(AJ1131,0)))</f>
        <v>0</v>
      </c>
      <c r="AG1131" s="50" t="n">
        <f aca="false">IF(BZ1131=1,0,ROUNDUP(AF1131/BY1131,0))</f>
        <v>0</v>
      </c>
      <c r="AH1131" s="52" t="n">
        <f aca="false">IF(CQ1131&gt;0,CQ1131*MAX(1,AF1131/X1131),IF(BZ1131=1,IF(AF1131&lt;=0,0,CD1131*MAX(1,IF(H1131&gt;0,AF1131/H1131,1))),IF(R1131&gt;0,AG1131/R1131,0))/MAX(0.1,N(Parameter!$M$21)))</f>
        <v>0</v>
      </c>
      <c r="AI1131" s="50" t="n">
        <f aca="false">AH1131*CB1131</f>
        <v>0</v>
      </c>
      <c r="AJ1131" s="51" t="n">
        <f aca="false">IF(LEFT(Cockpit!$C$5,1)="A",H1131,IF(CH1131=1,(CK1131+CI1131)/2,IF(LEFT(Cockpit!$C$5,1)="B",(CK1131+AL1131)/2,MAX((CK1131+AL1131)/2,H1131))))</f>
        <v>0</v>
      </c>
      <c r="AK1131" s="50" t="n">
        <f aca="false">AJ1131*G1131</f>
        <v>0</v>
      </c>
      <c r="AL1131" s="50" t="n">
        <f aca="false">ROUNDUP(CK1131+MAX(CL1131,2*(J1131/IF(CG1131&gt;0,CG1131,MAX(0.1,N(Cockpit!$C$6)))-CK1131)),0)</f>
        <v>1</v>
      </c>
      <c r="AM1131" s="51" t="n">
        <f aca="false">IF(AI1131&gt;0,J1131/AI1131,-1)</f>
        <v>-1</v>
      </c>
      <c r="AN1131" s="51" t="str">
        <f aca="false">IF(AND(OR(CF1131="L1",CF1131="L23",CF1131="LIFT"),AI1131&gt;0),SUMIFS($AI$7:$AI$1843,$CF$7:$CF$1843,CF1131,$AM$7:$AM$1843,"&gt;"&amp;AM1131)+SUMIFS($AI$7:$AI$1843,$CF$7:$CF$1843,CF1131,$AM$7:$AM$1843,AM1131,$BW$7:$BW$1843,"&lt;="&amp;BW1131),"")</f>
        <v/>
      </c>
      <c r="AO1131" s="58" t="n">
        <f aca="false">IF(AN1131="",0,MAX(0,MIN(1,(IF(CF1131="L1",Parameter!$H$5,IF(CF1131="L23",Parameter!$H$6+Parameter!$H$7,Parameter!$H$5+Parameter!$H$6+Parameter!$H$7))-(AN1131-AI1131))/AI1131)))</f>
        <v>0</v>
      </c>
      <c r="AP1131" s="50" t="n">
        <f aca="false">IF(LEFT(Cockpit!$I$5,1)="A",H1131,IF(Parameter!$E$30="MAX-Bestand",IF(CH1131=1,CI1131,IF(LEFT(Cockpit!$I$5,1)="B",AV1131,MAX(AV1131,H1131))),ROUNDUP(AT1131,0)))</f>
        <v>1</v>
      </c>
      <c r="AQ1131" s="50" t="n">
        <f aca="false">IF(BZ1131=1,0,ROUNDUP(AP1131/BY1131,0))</f>
        <v>1</v>
      </c>
      <c r="AR1131" s="52" t="n">
        <f aca="false">IF(CQ1131&gt;0,CQ1131*MAX(1,AP1131/X1131),IF(BZ1131=1,IF(AP1131&lt;=0,0,CD1131*MAX(1,IF(H1131&gt;0,AP1131/H1131,1))),IF(R1131&gt;0,AQ1131/R1131,0))/MAX(0.1,N(Parameter!$M$21)))</f>
        <v>0.0384615384615385</v>
      </c>
      <c r="AS1131" s="50" t="n">
        <f aca="false">AR1131*CB1131</f>
        <v>5.96153846153846</v>
      </c>
      <c r="AT1131" s="51" t="n">
        <f aca="false">IF(LEFT(Cockpit!$I$5,1)="A",H1131,IF(CH1131=1,(CK1131+CI1131)/2,IF(LEFT(Cockpit!$I$5,1)="B",(CK1131+AV1131)/2,MAX((CK1131+AV1131)/2,H1131))))</f>
        <v>0.5</v>
      </c>
      <c r="AU1131" s="50" t="n">
        <f aca="false">AT1131*G1131</f>
        <v>128.86</v>
      </c>
      <c r="AV1131" s="50" t="n">
        <f aca="false">ROUNDUP(CK1131+MAX(CL1131,2*(J1131/IF(CG1131&gt;0,CG1131,MAX(0.1,N(Cockpit!$I$6)))-CK1131)),0)</f>
        <v>1</v>
      </c>
      <c r="AW1131" s="51" t="n">
        <f aca="false">IF(AS1131&gt;0,J1131/AS1131,-1)</f>
        <v>0</v>
      </c>
      <c r="AX1131" s="51" t="n">
        <f aca="false">IF(AND(OR(CF1131="L1",CF1131="L23",CF1131="LIFT"),AS1131&gt;0),SUMIFS($AS$7:$AS$1843,$CF$7:$CF$1843,CF1131,$AW$7:$AW$1843,"&gt;"&amp;AW1131)+SUMIFS($AS$7:$AS$1843,$CF$7:$CF$1843,CF1131,$AW$7:$AW$1843,AW1131,$BW$7:$BW$1843,"&lt;="&amp;BW1131),"")</f>
        <v>34937.8292124542</v>
      </c>
      <c r="AY1131" s="58" t="n">
        <f aca="false">IF(AX1131="",0,MAX(0,MIN(1,(IF(CF1131="L1",Parameter!$H$5,IF(CF1131="L23",Parameter!$H$6+Parameter!$H$7,Parameter!$H$5+Parameter!$H$6+Parameter!$H$7))-(AX1131-AS1131))/AS1131)))</f>
        <v>1</v>
      </c>
      <c r="AZ1131" s="50" t="n">
        <f aca="false">IF(LEFT(Cockpit!$O$5,1)="A",H1131,IF(Parameter!$E$30="MAX-Bestand",IF(CH1131=1,CI1131,IF(LEFT(Cockpit!$O$5,1)="B",BF1131,MAX(BF1131,H1131))),ROUNDUP(BD1131,0)))</f>
        <v>1</v>
      </c>
      <c r="BA1131" s="50" t="n">
        <f aca="false">IF(BZ1131=1,0,ROUNDUP(AZ1131/BY1131,0))</f>
        <v>1</v>
      </c>
      <c r="BB1131" s="52" t="n">
        <f aca="false">IF(CQ1131&gt;0,CQ1131*MAX(1,AZ1131/X1131),IF(BZ1131=1,IF(AZ1131&lt;=0,0,CD1131*MAX(1,IF(H1131&gt;0,AZ1131/H1131,1))),IF(R1131&gt;0,BA1131/R1131,0))/MAX(0.1,N(Parameter!$M$21)))</f>
        <v>0.0384615384615385</v>
      </c>
      <c r="BC1131" s="50" t="n">
        <f aca="false">BB1131*CB1131</f>
        <v>5.96153846153846</v>
      </c>
      <c r="BD1131" s="51" t="n">
        <f aca="false">IF(LEFT(Cockpit!$O$5,1)="A",H1131,IF(CH1131=1,(CK1131+CI1131)/2,IF(LEFT(Cockpit!$O$5,1)="B",(CK1131+BF1131)/2,MAX((CK1131+BF1131)/2,H1131))))</f>
        <v>0.5</v>
      </c>
      <c r="BE1131" s="50" t="n">
        <f aca="false">BD1131*G1131</f>
        <v>128.86</v>
      </c>
      <c r="BF1131" s="50" t="n">
        <f aca="false">ROUNDUP(CK1131+MAX(CL1131,2*(J1131/IF(CG1131&gt;0,CG1131,MAX(0.1,N(Cockpit!$O$6)))-CK1131)),0)</f>
        <v>1</v>
      </c>
      <c r="BG1131" s="51" t="n">
        <f aca="false">IF(BC1131&gt;0,J1131/BC1131,-1)</f>
        <v>0</v>
      </c>
      <c r="BH1131" s="51" t="n">
        <f aca="false">IF(AND(OR(CF1131="L1",CF1131="L23",CF1131="LIFT"),BC1131&gt;0),SUMIFS($BC$7:$BC$1843,$CF$7:$CF$1843,CF1131,$BG$7:$BG$1843,"&gt;"&amp;BG1131)+SUMIFS($BC$7:$BC$1843,$CF$7:$CF$1843,CF1131,$BG$7:$BG$1843,BG1131,$BW$7:$BW$1843,"&lt;="&amp;BW1131),"")</f>
        <v>28923.135872602</v>
      </c>
      <c r="BI1131" s="58" t="n">
        <f aca="false">IF(BH1131="",0,MAX(0,MIN(1,(IF(CF1131="L1",Parameter!$H$5,IF(CF1131="L23",Parameter!$H$6+Parameter!$H$7,Parameter!$H$5+Parameter!$H$6+Parameter!$H$7))-(BH1131-BC1131))/BC1131)))</f>
        <v>1</v>
      </c>
      <c r="BJ1131" s="48" t="str">
        <f aca="false">IF(AI1131&lt;=0,"",IF(CF1131="Aussen","Aussenlager",IF(CF1131="-","Nicht im Lift",IF(AO1131&gt;=1,"Lift",IF(AO1131&lt;=0,"Aussenlager","teilweise")))))</f>
        <v/>
      </c>
      <c r="BK1131" s="48" t="str">
        <f aca="false">IF(AS1131&lt;=0,"",IF(CF1131="Aussen","Aussenlager",IF(CF1131="-","Nicht im Lift",IF(AY1131&gt;=1,"Lift",IF(AY1131&lt;=0,"Aussenlager","teilweise")))))</f>
        <v>Lift</v>
      </c>
      <c r="BL1131" s="48" t="str">
        <f aca="false">IF(BC1131&lt;=0,"",IF(CF1131="Aussen","Aussenlager",IF(CF1131="-","Nicht im Lift",IF(BI1131&gt;=1,"Lift",IF(BI1131&lt;=0,"Aussenlager","teilweise")))))</f>
        <v>Lift</v>
      </c>
      <c r="BM1131" s="48" t="str">
        <f aca="false">IF(A1131="","",IF(BV1131=1,"Neu; ","")&amp;IF(AND(BV1131=0,BQ1131&lt;0),"negativer Bestand (Export "&amp;BQ1131&amp;"); ","")&amp;IF(J1131&lt;=0,"Kein Verbrauch; ","")&amp;IF(CQ1131&gt;0,"Lift "&amp;W1131&amp;" lt. Liftbericht (Fach "&amp;X1131&amp;" Stk); ",IF(CA1131=1,"Gebinde geschätzt ("&amp;T1131&amp;"); ",IF(BZ1131=1,"Lose – Tablare geschätzt; ","")))&amp;IF(H1131&gt;AV1131,"Überbestand "&amp;ROUND(H1131-AV1131,0)&amp;" Stk / CHF "&amp;ROUND((H1131-AV1131)*G1131,0)&amp;"; ","")&amp;IF(AND(CH1131=1,CI1131&lt;CJ1131),"MAX &lt; MB+LG; ","")&amp;IF(AND(CP1131&gt;0,CO1131*10&gt;CP1131),"zu hoch für Tablar; ","")&amp;IF(AND(BV1131=0,OR(CH1131=1,AA1131&lt;&gt;"",U1131&lt;&gt;"",V1131&lt;&gt;"",AB1131&lt;&gt;"")),"manuell übersteuert; ","")&amp;IF(AND(BZ1131=0,R1131=0),"Gebinde unbekannt / Stellmass fehlt; ","")&amp;IF(AND(BZ1131=0,N(V1131)&lt;=0,N(Q1131)&lt;=0),"Menge pro Gebinde fehlt (Ist = 1 Gebinde); ","")&amp;BU1131)</f>
        <v>negativer Bestand (Export -1); Kein Verbrauch; Gebinde geschätzt (Klein); Menge pro Gebinde fehlt (Ist = 1 Gebinde); </v>
      </c>
      <c r="BN1131" s="48"/>
      <c r="BO1131" s="48"/>
      <c r="BP1131" s="55"/>
      <c r="BQ1131" s="50" t="n">
        <v>-1</v>
      </c>
      <c r="BR1131" s="50" t="n">
        <v>1</v>
      </c>
      <c r="BS1131" s="49" t="n">
        <v>-257.72</v>
      </c>
      <c r="BT1131" s="50" t="n">
        <v>0</v>
      </c>
      <c r="BU1131" s="48"/>
      <c r="BV1131" s="53" t="n">
        <v>0</v>
      </c>
      <c r="BW1131" s="53" t="n">
        <v>1131</v>
      </c>
      <c r="BX1131" s="48" t="str">
        <f aca="false">IF(U1131&lt;&gt;"",UPPER(TRIM(U1131)),IF(CA1131=1,UPPER(VLOOKUP(T1131,Parameter!$I$27:$K$29,2,0)),IF(P1131="","LOSE",P1131)))</f>
        <v>S51</v>
      </c>
      <c r="BY1131" s="50" t="n">
        <f aca="false">IF(BX1131="LOSE",1,IF(N(V1131)&gt;0,V1131,IF(CA1131=1,MAX(1,N(VLOOKUP(T1131,Parameter!$I$27:$K$29,3,0)),H1131,N(N1131)),IF(N(Q1131)&gt;0,Q1131,MAX(1,H1131)))))</f>
        <v>20</v>
      </c>
      <c r="BZ1131" s="53" t="n">
        <f aca="false">IF(BX1131="LOSE",1,0)</f>
        <v>0</v>
      </c>
      <c r="CA1131" s="53" t="n">
        <f aca="false">IF(AND(U1131="",OR(P1131="",P1131="LOSE"),T1131&lt;&gt;"",N(S1131)&lt;=0,ISNUMBER(MATCH(T1131,Parameter!$I$27:$I$29,0))),1,0)</f>
        <v>1</v>
      </c>
      <c r="CB1131" s="53" t="n">
        <f aca="false">IF(CQ1131&gt;0,INDEX(Parameter!$H$5:$H$7,W1131)/INDEX(Parameter!$E$5:$E$7,W1131),IF(AND(BZ1131=0,N(IFERROR(VLOOKUP(BX1131,'Gebinde-Kategorie'!$A$5:$N$45,14,0),0))&gt;0),VLOOKUP(BX1131,'Gebinde-Kategorie'!$A$5:$N$45,14,0)*10+Parameter!$M$23,Parameter!$M$24))</f>
        <v>155</v>
      </c>
      <c r="CC1131" s="48" t="str">
        <f aca="false">IF(AND(Parameter!$B$19="Ja",E1131&lt;&gt;"",ISNUMBER(MATCH(E1131,Parameter!$I$35:$I$52,0))),VLOOKUP(E1131,Parameter!$I$35:$J$52,2,0),IFERROR(VLOOKUP(D1131,Parameter!$A$35:$C$64,2,0),"Nein"))</f>
        <v>2+3</v>
      </c>
      <c r="CD1131" s="52" t="n">
        <f aca="false">IF(BZ1131=0,0,IF(N(S1131)&gt;0,S1131,IFERROR(VLOOKUP(D1131,Parameter!$A$35:$C$64,3,0)+0,0)))</f>
        <v>0</v>
      </c>
      <c r="CE1131" s="48" t="n">
        <f aca="false">IF(AA1131&lt;&gt;"",AA1131,Z1131)</f>
        <v>3</v>
      </c>
      <c r="CF1131" s="48" t="str">
        <f aca="false">IF(OR(CE1131=1,CE1131=2,CE1131=3),IF(Parameter!$E$27="Ja","LIFT",IF(CE1131=1,"L1","L23")),IF(CE1131="Aussen","Aussen","-"))</f>
        <v>LIFT</v>
      </c>
      <c r="CG1131" s="59" t="n">
        <f aca="false">IF(N(AB1131)&gt;0,AB1131,0)</f>
        <v>0</v>
      </c>
      <c r="CH1131" s="53" t="n">
        <f aca="false">IF(ISNUMBER(AE1131),1,0)</f>
        <v>0</v>
      </c>
      <c r="CI1131" s="50" t="n">
        <f aca="false">N(AE1131)</f>
        <v>0</v>
      </c>
      <c r="CJ1131" s="50" t="n">
        <f aca="false">N(M1131)+N(N1131)</f>
        <v>1</v>
      </c>
      <c r="CK1131" s="50" t="n">
        <f aca="false">N(M1131)</f>
        <v>0</v>
      </c>
      <c r="CL1131" s="50" t="n">
        <f aca="false">N(N1131)</f>
        <v>1</v>
      </c>
      <c r="CM1131" s="50" t="n">
        <f aca="false">ROUNDUP(H1131/BY1131,0)</f>
        <v>0</v>
      </c>
      <c r="CN1131" s="50" t="n">
        <f aca="false">ROUNDUP(CI1131/BY1131,0)</f>
        <v>0</v>
      </c>
      <c r="CO1131" s="53" t="n">
        <f aca="false">IF(BZ1131=1,0,IFERROR(VLOOKUP(BX1131,'Gebinde-Kategorie'!$A$5:$N$45,5,0)+0,0))</f>
        <v>11</v>
      </c>
      <c r="CP1131" s="53" t="n">
        <f aca="false">IFERROR(IF(OR(CE1131=1,CE1131=2,CE1131=3),N(INDEX(Parameter!$I$5:$I$7,CE1131)),0),0)</f>
        <v>0</v>
      </c>
      <c r="CQ1131" s="52" t="n">
        <f aca="false">IF(AND(Parameter!$B$21="Ja",ISNUMBER(W1131),N(X1131)&gt;0),IFERROR(N(INDEX(Parameter!$L$5:$L$7,W1131))*INDEX(Parameter!$E$5:$E$7,W1131)*X1131/SUMIFS($X$7:$X$1843,$W$7:$W$1843,W1131),0),0)</f>
        <v>0</v>
      </c>
    </row>
    <row r="1132" customFormat="false" ht="15" hidden="false" customHeight="false" outlineLevel="0" collapsed="false">
      <c r="A1132" s="48" t="s">
        <v>2058</v>
      </c>
      <c r="B1132" s="48" t="s">
        <v>2059</v>
      </c>
      <c r="C1132" s="48" t="s">
        <v>173</v>
      </c>
      <c r="D1132" s="48" t="s">
        <v>193</v>
      </c>
      <c r="E1132" s="48" t="s">
        <v>194</v>
      </c>
      <c r="F1132" s="48" t="s">
        <v>227</v>
      </c>
      <c r="G1132" s="49" t="n">
        <v>259.12</v>
      </c>
      <c r="H1132" s="50" t="n">
        <f aca="false">MAX(0,IF(AND(Parameter!$B$21="Ja",ISNUMBER(Y1132)),Y1132,IF(Parameter!$B$20="Jahresanfang 2025 + Export",BR1132+BQ1132,BQ1132)))</f>
        <v>6</v>
      </c>
      <c r="I1132" s="50" t="n">
        <f aca="false">H1132*G1132</f>
        <v>1554.72</v>
      </c>
      <c r="J1132" s="50" t="n">
        <f aca="false">BT1132*Parameter!$B$18</f>
        <v>1</v>
      </c>
      <c r="K1132" s="51" t="n">
        <v>6.5</v>
      </c>
      <c r="L1132" s="52" t="n">
        <v>0.153846153846154</v>
      </c>
      <c r="M1132" s="50" t="n">
        <v>0</v>
      </c>
      <c r="N1132" s="50" t="n">
        <v>1</v>
      </c>
      <c r="O1132" s="53" t="n">
        <v>28</v>
      </c>
      <c r="P1132" s="48" t="s">
        <v>311</v>
      </c>
      <c r="Q1132" s="50" t="n">
        <v>7</v>
      </c>
      <c r="R1132" s="53" t="n">
        <f aca="false">IF(BZ1132=1,0,IFERROR(VLOOKUP(BX1132,'Gebinde-Kategorie'!$A$5:$N$45,13,0)+0,0))</f>
        <v>26</v>
      </c>
      <c r="S1132" s="54"/>
      <c r="T1132" s="55"/>
      <c r="U1132" s="55"/>
      <c r="V1132" s="55"/>
      <c r="W1132" s="48"/>
      <c r="X1132" s="50"/>
      <c r="Y1132" s="50"/>
      <c r="Z1132" s="48" t="n">
        <f aca="false">IF(A1132="","",IF(AND(Parameter!$B$21="Ja",ISNUMBER(W1132)),W1132,IF(CC1132="2+3",IF(ISNUMBER(SEARCH("grosser Artikel",BU1132)),2,IFERROR(VLOOKUP(BX1132,Parameter!$F$35:$G$64,2,0),2)),IF(OR(CC1132="Nein",CC1132=""),"-",CC1132))))</f>
        <v>3</v>
      </c>
      <c r="AA1132" s="55"/>
      <c r="AB1132" s="56"/>
      <c r="AC1132" s="50" t="n">
        <f aca="false">AV1132</f>
        <v>1</v>
      </c>
      <c r="AD1132" s="50" t="n">
        <f aca="false">MAX(AV1132,H1132)</f>
        <v>6</v>
      </c>
      <c r="AE1132" s="57"/>
      <c r="AF1132" s="50" t="n">
        <f aca="false">IF(LEFT(Cockpit!$C$5,1)="A",H1132,IF(Parameter!$E$30="MAX-Bestand",IF(CH1132=1,CI1132,IF(LEFT(Cockpit!$C$5,1)="B",AL1132,MAX(AL1132,H1132))),ROUNDUP(AJ1132,0)))</f>
        <v>6</v>
      </c>
      <c r="AG1132" s="50" t="n">
        <f aca="false">IF(BZ1132=1,0,ROUNDUP(AF1132/BY1132,0))</f>
        <v>1</v>
      </c>
      <c r="AH1132" s="52" t="n">
        <f aca="false">IF(CQ1132&gt;0,CQ1132*MAX(1,AF1132/X1132),IF(BZ1132=1,IF(AF1132&lt;=0,0,CD1132*MAX(1,IF(H1132&gt;0,AF1132/H1132,1))),IF(R1132&gt;0,AG1132/R1132,0))/MAX(0.1,N(Parameter!$M$21)))</f>
        <v>0.0384615384615385</v>
      </c>
      <c r="AI1132" s="50" t="n">
        <f aca="false">AH1132*CB1132</f>
        <v>5.96153846153846</v>
      </c>
      <c r="AJ1132" s="51" t="n">
        <f aca="false">IF(LEFT(Cockpit!$C$5,1)="A",H1132,IF(CH1132=1,(CK1132+CI1132)/2,IF(LEFT(Cockpit!$C$5,1)="B",(CK1132+AL1132)/2,MAX((CK1132+AL1132)/2,H1132))))</f>
        <v>6</v>
      </c>
      <c r="AK1132" s="50" t="n">
        <f aca="false">AJ1132*G1132</f>
        <v>1554.72</v>
      </c>
      <c r="AL1132" s="50" t="n">
        <f aca="false">ROUNDUP(CK1132+MAX(CL1132,2*(J1132/IF(CG1132&gt;0,CG1132,MAX(0.1,N(Cockpit!$C$6)))-CK1132)),0)</f>
        <v>1</v>
      </c>
      <c r="AM1132" s="51" t="n">
        <f aca="false">IF(AI1132&gt;0,J1132/AI1132,-1)</f>
        <v>0.167741935483871</v>
      </c>
      <c r="AN1132" s="51" t="n">
        <f aca="false">IF(AND(OR(CF1132="L1",CF1132="L23",CF1132="LIFT"),AI1132&gt;0),SUMIFS($AI$7:$AI$1843,$CF$7:$CF$1843,CF1132,$AM$7:$AM$1843,"&gt;"&amp;AM1132)+SUMIFS($AI$7:$AI$1843,$CF$7:$CF$1843,CF1132,$AM$7:$AM$1843,AM1132,$BW$7:$BW$1843,"&lt;="&amp;BW1132),"")</f>
        <v>12751.2721823845</v>
      </c>
      <c r="AO1132" s="58" t="n">
        <f aca="false">IF(AN1132="",0,MAX(0,MIN(1,(IF(CF1132="L1",Parameter!$H$5,IF(CF1132="L23",Parameter!$H$6+Parameter!$H$7,Parameter!$H$5+Parameter!$H$6+Parameter!$H$7))-(AN1132-AI1132))/AI1132)))</f>
        <v>1</v>
      </c>
      <c r="AP1132" s="50" t="n">
        <f aca="false">IF(LEFT(Cockpit!$I$5,1)="A",H1132,IF(Parameter!$E$30="MAX-Bestand",IF(CH1132=1,CI1132,IF(LEFT(Cockpit!$I$5,1)="B",AV1132,MAX(AV1132,H1132))),ROUNDUP(AT1132,0)))</f>
        <v>6</v>
      </c>
      <c r="AQ1132" s="50" t="n">
        <f aca="false">IF(BZ1132=1,0,ROUNDUP(AP1132/BY1132,0))</f>
        <v>1</v>
      </c>
      <c r="AR1132" s="52" t="n">
        <f aca="false">IF(CQ1132&gt;0,CQ1132*MAX(1,AP1132/X1132),IF(BZ1132=1,IF(AP1132&lt;=0,0,CD1132*MAX(1,IF(H1132&gt;0,AP1132/H1132,1))),IF(R1132&gt;0,AQ1132/R1132,0))/MAX(0.1,N(Parameter!$M$21)))</f>
        <v>0.0384615384615385</v>
      </c>
      <c r="AS1132" s="50" t="n">
        <f aca="false">AR1132*CB1132</f>
        <v>5.96153846153846</v>
      </c>
      <c r="AT1132" s="51" t="n">
        <f aca="false">IF(LEFT(Cockpit!$I$5,1)="A",H1132,IF(CH1132=1,(CK1132+CI1132)/2,IF(LEFT(Cockpit!$I$5,1)="B",(CK1132+AV1132)/2,MAX((CK1132+AV1132)/2,H1132))))</f>
        <v>6</v>
      </c>
      <c r="AU1132" s="50" t="n">
        <f aca="false">AT1132*G1132</f>
        <v>1554.72</v>
      </c>
      <c r="AV1132" s="50" t="n">
        <f aca="false">ROUNDUP(CK1132+MAX(CL1132,2*(J1132/IF(CG1132&gt;0,CG1132,MAX(0.1,N(Cockpit!$I$6)))-CK1132)),0)</f>
        <v>1</v>
      </c>
      <c r="AW1132" s="51" t="n">
        <f aca="false">IF(AS1132&gt;0,J1132/AS1132,-1)</f>
        <v>0.167741935483871</v>
      </c>
      <c r="AX1132" s="51" t="n">
        <f aca="false">IF(AND(OR(CF1132="L1",CF1132="L23",CF1132="LIFT"),AS1132&gt;0),SUMIFS($AS$7:$AS$1843,$CF$7:$CF$1843,CF1132,$AW$7:$AW$1843,"&gt;"&amp;AW1132)+SUMIFS($AS$7:$AS$1843,$CF$7:$CF$1843,CF1132,$AW$7:$AW$1843,AW1132,$BW$7:$BW$1843,"&lt;="&amp;BW1132),"")</f>
        <v>15679.9528388278</v>
      </c>
      <c r="AY1132" s="58" t="n">
        <f aca="false">IF(AX1132="",0,MAX(0,MIN(1,(IF(CF1132="L1",Parameter!$H$5,IF(CF1132="L23",Parameter!$H$6+Parameter!$H$7,Parameter!$H$5+Parameter!$H$6+Parameter!$H$7))-(AX1132-AS1132))/AS1132)))</f>
        <v>1</v>
      </c>
      <c r="AZ1132" s="50" t="n">
        <f aca="false">IF(LEFT(Cockpit!$O$5,1)="A",H1132,IF(Parameter!$E$30="MAX-Bestand",IF(CH1132=1,CI1132,IF(LEFT(Cockpit!$O$5,1)="B",BF1132,MAX(BF1132,H1132))),ROUNDUP(BD1132,0)))</f>
        <v>1</v>
      </c>
      <c r="BA1132" s="50" t="n">
        <f aca="false">IF(BZ1132=1,0,ROUNDUP(AZ1132/BY1132,0))</f>
        <v>1</v>
      </c>
      <c r="BB1132" s="52" t="n">
        <f aca="false">IF(CQ1132&gt;0,CQ1132*MAX(1,AZ1132/X1132),IF(BZ1132=1,IF(AZ1132&lt;=0,0,CD1132*MAX(1,IF(H1132&gt;0,AZ1132/H1132,1))),IF(R1132&gt;0,BA1132/R1132,0))/MAX(0.1,N(Parameter!$M$21)))</f>
        <v>0.0384615384615385</v>
      </c>
      <c r="BC1132" s="50" t="n">
        <f aca="false">BB1132*CB1132</f>
        <v>5.96153846153846</v>
      </c>
      <c r="BD1132" s="51" t="n">
        <f aca="false">IF(LEFT(Cockpit!$O$5,1)="A",H1132,IF(CH1132=1,(CK1132+CI1132)/2,IF(LEFT(Cockpit!$O$5,1)="B",(CK1132+BF1132)/2,MAX((CK1132+BF1132)/2,H1132))))</f>
        <v>0.5</v>
      </c>
      <c r="BE1132" s="50" t="n">
        <f aca="false">BD1132*G1132</f>
        <v>129.56</v>
      </c>
      <c r="BF1132" s="50" t="n">
        <f aca="false">ROUNDUP(CK1132+MAX(CL1132,2*(J1132/IF(CG1132&gt;0,CG1132,MAX(0.1,N(Cockpit!$O$6)))-CK1132)),0)</f>
        <v>1</v>
      </c>
      <c r="BG1132" s="51" t="n">
        <f aca="false">IF(BC1132&gt;0,J1132/BC1132,-1)</f>
        <v>0.167741935483871</v>
      </c>
      <c r="BH1132" s="51" t="n">
        <f aca="false">IF(AND(OR(CF1132="L1",CF1132="L23",CF1132="LIFT"),BC1132&gt;0),SUMIFS($BC$7:$BC$1843,$CF$7:$CF$1843,CF1132,$BG$7:$BG$1843,"&gt;"&amp;BG1132)+SUMIFS($BC$7:$BC$1843,$CF$7:$CF$1843,CF1132,$BG$7:$BG$1843,BG1132,$BW$7:$BW$1843,"&lt;="&amp;BW1132),"")</f>
        <v>13482.2526670599</v>
      </c>
      <c r="BI1132" s="58" t="n">
        <f aca="false">IF(BH1132="",0,MAX(0,MIN(1,(IF(CF1132="L1",Parameter!$H$5,IF(CF1132="L23",Parameter!$H$6+Parameter!$H$7,Parameter!$H$5+Parameter!$H$6+Parameter!$H$7))-(BH1132-BC1132))/BC1132)))</f>
        <v>1</v>
      </c>
      <c r="BJ1132" s="48" t="str">
        <f aca="false">IF(AI1132&lt;=0,"",IF(CF1132="Aussen","Aussenlager",IF(CF1132="-","Nicht im Lift",IF(AO1132&gt;=1,"Lift",IF(AO1132&lt;=0,"Aussenlager","teilweise")))))</f>
        <v>Lift</v>
      </c>
      <c r="BK1132" s="48" t="str">
        <f aca="false">IF(AS1132&lt;=0,"",IF(CF1132="Aussen","Aussenlager",IF(CF1132="-","Nicht im Lift",IF(AY1132&gt;=1,"Lift",IF(AY1132&lt;=0,"Aussenlager","teilweise")))))</f>
        <v>Lift</v>
      </c>
      <c r="BL1132" s="48" t="str">
        <f aca="false">IF(BC1132&lt;=0,"",IF(CF1132="Aussen","Aussenlager",IF(CF1132="-","Nicht im Lift",IF(BI1132&gt;=1,"Lift",IF(BI1132&lt;=0,"Aussenlager","teilweise")))))</f>
        <v>Lift</v>
      </c>
      <c r="BM1132" s="48" t="str">
        <f aca="false">IF(A1132="","",IF(BV1132=1,"Neu; ","")&amp;IF(AND(BV1132=0,BQ1132&lt;0),"negativer Bestand (Export "&amp;BQ1132&amp;"); ","")&amp;IF(J1132&lt;=0,"Kein Verbrauch; ","")&amp;IF(CQ1132&gt;0,"Lift "&amp;W1132&amp;" lt. Liftbericht (Fach "&amp;X1132&amp;" Stk); ",IF(CA1132=1,"Gebinde geschätzt ("&amp;T1132&amp;"); ",IF(BZ1132=1,"Lose – Tablare geschätzt; ","")))&amp;IF(H1132&gt;AV1132,"Überbestand "&amp;ROUND(H1132-AV1132,0)&amp;" Stk / CHF "&amp;ROUND((H1132-AV1132)*G1132,0)&amp;"; ","")&amp;IF(AND(CH1132=1,CI1132&lt;CJ1132),"MAX &lt; MB+LG; ","")&amp;IF(AND(CP1132&gt;0,CO1132*10&gt;CP1132),"zu hoch für Tablar; ","")&amp;IF(AND(BV1132=0,OR(CH1132=1,AA1132&lt;&gt;"",U1132&lt;&gt;"",V1132&lt;&gt;"",AB1132&lt;&gt;"")),"manuell übersteuert; ","")&amp;IF(AND(BZ1132=0,R1132=0),"Gebinde unbekannt / Stellmass fehlt; ","")&amp;IF(AND(BZ1132=0,N(V1132)&lt;=0,N(Q1132)&lt;=0),"Menge pro Gebinde fehlt (Ist = 1 Gebinde); ","")&amp;BU1132)</f>
        <v>negativer Bestand (Export -1); Überbestand 5 Stk / CHF 1296; Überbestand</v>
      </c>
      <c r="BN1132" s="48"/>
      <c r="BO1132" s="48"/>
      <c r="BP1132" s="55"/>
      <c r="BQ1132" s="50" t="n">
        <v>-1</v>
      </c>
      <c r="BR1132" s="50" t="n">
        <v>7</v>
      </c>
      <c r="BS1132" s="49" t="n">
        <v>-259.12</v>
      </c>
      <c r="BT1132" s="50" t="n">
        <v>1</v>
      </c>
      <c r="BU1132" s="48" t="s">
        <v>401</v>
      </c>
      <c r="BV1132" s="53" t="n">
        <v>0</v>
      </c>
      <c r="BW1132" s="53" t="n">
        <v>1132</v>
      </c>
      <c r="BX1132" s="48" t="str">
        <f aca="false">IF(U1132&lt;&gt;"",UPPER(TRIM(U1132)),IF(CA1132=1,UPPER(VLOOKUP(T1132,Parameter!$I$27:$K$29,2,0)),IF(P1132="","LOSE",P1132)))</f>
        <v>S51</v>
      </c>
      <c r="BY1132" s="50" t="n">
        <f aca="false">IF(BX1132="LOSE",1,IF(N(V1132)&gt;0,V1132,IF(CA1132=1,MAX(1,N(VLOOKUP(T1132,Parameter!$I$27:$K$29,3,0)),H1132,N(N1132)),IF(N(Q1132)&gt;0,Q1132,MAX(1,H1132)))))</f>
        <v>7</v>
      </c>
      <c r="BZ1132" s="53" t="n">
        <f aca="false">IF(BX1132="LOSE",1,0)</f>
        <v>0</v>
      </c>
      <c r="CA1132" s="53" t="n">
        <f aca="false">IF(AND(U1132="",OR(P1132="",P1132="LOSE"),T1132&lt;&gt;"",N(S1132)&lt;=0,ISNUMBER(MATCH(T1132,Parameter!$I$27:$I$29,0))),1,0)</f>
        <v>0</v>
      </c>
      <c r="CB1132" s="53" t="n">
        <f aca="false">IF(CQ1132&gt;0,INDEX(Parameter!$H$5:$H$7,W1132)/INDEX(Parameter!$E$5:$E$7,W1132),IF(AND(BZ1132=0,N(IFERROR(VLOOKUP(BX1132,'Gebinde-Kategorie'!$A$5:$N$45,14,0),0))&gt;0),VLOOKUP(BX1132,'Gebinde-Kategorie'!$A$5:$N$45,14,0)*10+Parameter!$M$23,Parameter!$M$24))</f>
        <v>155</v>
      </c>
      <c r="CC1132" s="48" t="str">
        <f aca="false">IF(AND(Parameter!$B$19="Ja",E1132&lt;&gt;"",ISNUMBER(MATCH(E1132,Parameter!$I$35:$I$52,0))),VLOOKUP(E1132,Parameter!$I$35:$J$52,2,0),IFERROR(VLOOKUP(D1132,Parameter!$A$35:$C$64,2,0),"Nein"))</f>
        <v>2+3</v>
      </c>
      <c r="CD1132" s="52" t="n">
        <f aca="false">IF(BZ1132=0,0,IF(N(S1132)&gt;0,S1132,IFERROR(VLOOKUP(D1132,Parameter!$A$35:$C$64,3,0)+0,0)))</f>
        <v>0</v>
      </c>
      <c r="CE1132" s="48" t="n">
        <f aca="false">IF(AA1132&lt;&gt;"",AA1132,Z1132)</f>
        <v>3</v>
      </c>
      <c r="CF1132" s="48" t="str">
        <f aca="false">IF(OR(CE1132=1,CE1132=2,CE1132=3),IF(Parameter!$E$27="Ja","LIFT",IF(CE1132=1,"L1","L23")),IF(CE1132="Aussen","Aussen","-"))</f>
        <v>LIFT</v>
      </c>
      <c r="CG1132" s="59" t="n">
        <f aca="false">IF(N(AB1132)&gt;0,AB1132,0)</f>
        <v>0</v>
      </c>
      <c r="CH1132" s="53" t="n">
        <f aca="false">IF(ISNUMBER(AE1132),1,0)</f>
        <v>0</v>
      </c>
      <c r="CI1132" s="50" t="n">
        <f aca="false">N(AE1132)</f>
        <v>0</v>
      </c>
      <c r="CJ1132" s="50" t="n">
        <f aca="false">N(M1132)+N(N1132)</f>
        <v>1</v>
      </c>
      <c r="CK1132" s="50" t="n">
        <f aca="false">N(M1132)</f>
        <v>0</v>
      </c>
      <c r="CL1132" s="50" t="n">
        <f aca="false">N(N1132)</f>
        <v>1</v>
      </c>
      <c r="CM1132" s="50" t="n">
        <f aca="false">ROUNDUP(H1132/BY1132,0)</f>
        <v>1</v>
      </c>
      <c r="CN1132" s="50" t="n">
        <f aca="false">ROUNDUP(CI1132/BY1132,0)</f>
        <v>0</v>
      </c>
      <c r="CO1132" s="53" t="n">
        <f aca="false">IF(BZ1132=1,0,IFERROR(VLOOKUP(BX1132,'Gebinde-Kategorie'!$A$5:$N$45,5,0)+0,0))</f>
        <v>11</v>
      </c>
      <c r="CP1132" s="53" t="n">
        <f aca="false">IFERROR(IF(OR(CE1132=1,CE1132=2,CE1132=3),N(INDEX(Parameter!$I$5:$I$7,CE1132)),0),0)</f>
        <v>0</v>
      </c>
      <c r="CQ1132" s="52" t="n">
        <f aca="false">IF(AND(Parameter!$B$21="Ja",ISNUMBER(W1132),N(X1132)&gt;0),IFERROR(N(INDEX(Parameter!$L$5:$L$7,W1132))*INDEX(Parameter!$E$5:$E$7,W1132)*X1132/SUMIFS($X$7:$X$1843,$W$7:$W$1843,W1132),0),0)</f>
        <v>0</v>
      </c>
    </row>
    <row r="1133" customFormat="false" ht="15" hidden="false" customHeight="false" outlineLevel="0" collapsed="false">
      <c r="A1133" s="48" t="s">
        <v>2060</v>
      </c>
      <c r="B1133" s="48" t="s">
        <v>2061</v>
      </c>
      <c r="C1133" s="48" t="s">
        <v>465</v>
      </c>
      <c r="D1133" s="48" t="s">
        <v>182</v>
      </c>
      <c r="E1133" s="48" t="s">
        <v>1488</v>
      </c>
      <c r="F1133" s="48" t="s">
        <v>227</v>
      </c>
      <c r="G1133" s="49" t="n">
        <v>65.07</v>
      </c>
      <c r="H1133" s="50" t="n">
        <f aca="false">MAX(0,IF(AND(Parameter!$B$21="Ja",ISNUMBER(Y1133)),Y1133,IF(Parameter!$B$20="Jahresanfang 2025 + Export",BR1133+BQ1133,BQ1133)))</f>
        <v>0</v>
      </c>
      <c r="I1133" s="50" t="n">
        <f aca="false">H1133*G1133</f>
        <v>0</v>
      </c>
      <c r="J1133" s="50" t="n">
        <f aca="false">BT1133*Parameter!$B$18</f>
        <v>0</v>
      </c>
      <c r="K1133" s="51" t="n">
        <v>2</v>
      </c>
      <c r="L1133" s="52" t="n">
        <v>0</v>
      </c>
      <c r="M1133" s="50" t="n">
        <v>0</v>
      </c>
      <c r="N1133" s="50" t="n">
        <v>1</v>
      </c>
      <c r="O1133" s="53" t="n">
        <v>56</v>
      </c>
      <c r="P1133" s="48" t="s">
        <v>177</v>
      </c>
      <c r="Q1133" s="50"/>
      <c r="R1133" s="53" t="n">
        <f aca="false">IF(BZ1133=1,0,IFERROR(VLOOKUP(BX1133,'Gebinde-Kategorie'!$A$5:$N$45,13,0)+0,0))</f>
        <v>4</v>
      </c>
      <c r="S1133" s="54"/>
      <c r="T1133" s="55" t="s">
        <v>198</v>
      </c>
      <c r="U1133" s="55"/>
      <c r="V1133" s="55"/>
      <c r="W1133" s="48"/>
      <c r="X1133" s="50"/>
      <c r="Y1133" s="50"/>
      <c r="Z1133" s="48" t="str">
        <f aca="false">IF(A1133="","",IF(AND(Parameter!$B$21="Ja",ISNUMBER(W1133)),W1133,IF(CC1133="2+3",IF(ISNUMBER(SEARCH("grosser Artikel",BU1133)),2,IFERROR(VLOOKUP(BX1133,Parameter!$F$35:$G$64,2,0),2)),IF(OR(CC1133="Nein",CC1133=""),"-",CC1133))))</f>
        <v>-</v>
      </c>
      <c r="AA1133" s="55"/>
      <c r="AB1133" s="56"/>
      <c r="AC1133" s="50" t="n">
        <f aca="false">AV1133</f>
        <v>1</v>
      </c>
      <c r="AD1133" s="50" t="n">
        <f aca="false">MAX(AV1133,H1133)</f>
        <v>1</v>
      </c>
      <c r="AE1133" s="57"/>
      <c r="AF1133" s="50" t="n">
        <f aca="false">IF(LEFT(Cockpit!$C$5,1)="A",H1133,IF(Parameter!$E$30="MAX-Bestand",IF(CH1133=1,CI1133,IF(LEFT(Cockpit!$C$5,1)="B",AL1133,MAX(AL1133,H1133))),ROUNDUP(AJ1133,0)))</f>
        <v>0</v>
      </c>
      <c r="AG1133" s="50" t="n">
        <f aca="false">IF(BZ1133=1,0,ROUNDUP(AF1133/BY1133,0))</f>
        <v>0</v>
      </c>
      <c r="AH1133" s="52" t="n">
        <f aca="false">IF(CQ1133&gt;0,CQ1133*MAX(1,AF1133/X1133),IF(BZ1133=1,IF(AF1133&lt;=0,0,CD1133*MAX(1,IF(H1133&gt;0,AF1133/H1133,1))),IF(R1133&gt;0,AG1133/R1133,0))/MAX(0.1,N(Parameter!$M$21)))</f>
        <v>0</v>
      </c>
      <c r="AI1133" s="50" t="n">
        <f aca="false">AH1133*CB1133</f>
        <v>0</v>
      </c>
      <c r="AJ1133" s="51" t="n">
        <f aca="false">IF(LEFT(Cockpit!$C$5,1)="A",H1133,IF(CH1133=1,(CK1133+CI1133)/2,IF(LEFT(Cockpit!$C$5,1)="B",(CK1133+AL1133)/2,MAX((CK1133+AL1133)/2,H1133))))</f>
        <v>0</v>
      </c>
      <c r="AK1133" s="50" t="n">
        <f aca="false">AJ1133*G1133</f>
        <v>0</v>
      </c>
      <c r="AL1133" s="50" t="n">
        <f aca="false">ROUNDUP(CK1133+MAX(CL1133,2*(J1133/IF(CG1133&gt;0,CG1133,MAX(0.1,N(Cockpit!$C$6)))-CK1133)),0)</f>
        <v>1</v>
      </c>
      <c r="AM1133" s="51" t="n">
        <f aca="false">IF(AI1133&gt;0,J1133/AI1133,-1)</f>
        <v>-1</v>
      </c>
      <c r="AN1133" s="51" t="str">
        <f aca="false">IF(AND(OR(CF1133="L1",CF1133="L23",CF1133="LIFT"),AI1133&gt;0),SUMIFS($AI$7:$AI$1843,$CF$7:$CF$1843,CF1133,$AM$7:$AM$1843,"&gt;"&amp;AM1133)+SUMIFS($AI$7:$AI$1843,$CF$7:$CF$1843,CF1133,$AM$7:$AM$1843,AM1133,$BW$7:$BW$1843,"&lt;="&amp;BW1133),"")</f>
        <v/>
      </c>
      <c r="AO1133" s="58" t="n">
        <f aca="false">IF(AN1133="",0,MAX(0,MIN(1,(IF(CF1133="L1",Parameter!$H$5,IF(CF1133="L23",Parameter!$H$6+Parameter!$H$7,Parameter!$H$5+Parameter!$H$6+Parameter!$H$7))-(AN1133-AI1133))/AI1133)))</f>
        <v>0</v>
      </c>
      <c r="AP1133" s="50" t="n">
        <f aca="false">IF(LEFT(Cockpit!$I$5,1)="A",H1133,IF(Parameter!$E$30="MAX-Bestand",IF(CH1133=1,CI1133,IF(LEFT(Cockpit!$I$5,1)="B",AV1133,MAX(AV1133,H1133))),ROUNDUP(AT1133,0)))</f>
        <v>1</v>
      </c>
      <c r="AQ1133" s="50" t="n">
        <f aca="false">IF(BZ1133=1,0,ROUNDUP(AP1133/BY1133,0))</f>
        <v>1</v>
      </c>
      <c r="AR1133" s="52" t="n">
        <f aca="false">IF(CQ1133&gt;0,CQ1133*MAX(1,AP1133/X1133),IF(BZ1133=1,IF(AP1133&lt;=0,0,CD1133*MAX(1,IF(H1133&gt;0,AP1133/H1133,1))),IF(R1133&gt;0,AQ1133/R1133,0))/MAX(0.1,N(Parameter!$M$21)))</f>
        <v>0.25</v>
      </c>
      <c r="AS1133" s="50" t="n">
        <f aca="false">AR1133*CB1133</f>
        <v>58.75</v>
      </c>
      <c r="AT1133" s="51" t="n">
        <f aca="false">IF(LEFT(Cockpit!$I$5,1)="A",H1133,IF(CH1133=1,(CK1133+CI1133)/2,IF(LEFT(Cockpit!$I$5,1)="B",(CK1133+AV1133)/2,MAX((CK1133+AV1133)/2,H1133))))</f>
        <v>0.5</v>
      </c>
      <c r="AU1133" s="50" t="n">
        <f aca="false">AT1133*G1133</f>
        <v>32.535</v>
      </c>
      <c r="AV1133" s="50" t="n">
        <f aca="false">ROUNDUP(CK1133+MAX(CL1133,2*(J1133/IF(CG1133&gt;0,CG1133,MAX(0.1,N(Cockpit!$I$6)))-CK1133)),0)</f>
        <v>1</v>
      </c>
      <c r="AW1133" s="51" t="n">
        <f aca="false">IF(AS1133&gt;0,J1133/AS1133,-1)</f>
        <v>0</v>
      </c>
      <c r="AX1133" s="51" t="str">
        <f aca="false">IF(AND(OR(CF1133="L1",CF1133="L23",CF1133="LIFT"),AS1133&gt;0),SUMIFS($AS$7:$AS$1843,$CF$7:$CF$1843,CF1133,$AW$7:$AW$1843,"&gt;"&amp;AW1133)+SUMIFS($AS$7:$AS$1843,$CF$7:$CF$1843,CF1133,$AW$7:$AW$1843,AW1133,$BW$7:$BW$1843,"&lt;="&amp;BW1133),"")</f>
        <v/>
      </c>
      <c r="AY1133" s="58" t="n">
        <f aca="false">IF(AX1133="",0,MAX(0,MIN(1,(IF(CF1133="L1",Parameter!$H$5,IF(CF1133="L23",Parameter!$H$6+Parameter!$H$7,Parameter!$H$5+Parameter!$H$6+Parameter!$H$7))-(AX1133-AS1133))/AS1133)))</f>
        <v>0</v>
      </c>
      <c r="AZ1133" s="50" t="n">
        <f aca="false">IF(LEFT(Cockpit!$O$5,1)="A",H1133,IF(Parameter!$E$30="MAX-Bestand",IF(CH1133=1,CI1133,IF(LEFT(Cockpit!$O$5,1)="B",BF1133,MAX(BF1133,H1133))),ROUNDUP(BD1133,0)))</f>
        <v>1</v>
      </c>
      <c r="BA1133" s="50" t="n">
        <f aca="false">IF(BZ1133=1,0,ROUNDUP(AZ1133/BY1133,0))</f>
        <v>1</v>
      </c>
      <c r="BB1133" s="52" t="n">
        <f aca="false">IF(CQ1133&gt;0,CQ1133*MAX(1,AZ1133/X1133),IF(BZ1133=1,IF(AZ1133&lt;=0,0,CD1133*MAX(1,IF(H1133&gt;0,AZ1133/H1133,1))),IF(R1133&gt;0,BA1133/R1133,0))/MAX(0.1,N(Parameter!$M$21)))</f>
        <v>0.25</v>
      </c>
      <c r="BC1133" s="50" t="n">
        <f aca="false">BB1133*CB1133</f>
        <v>58.75</v>
      </c>
      <c r="BD1133" s="51" t="n">
        <f aca="false">IF(LEFT(Cockpit!$O$5,1)="A",H1133,IF(CH1133=1,(CK1133+CI1133)/2,IF(LEFT(Cockpit!$O$5,1)="B",(CK1133+BF1133)/2,MAX((CK1133+BF1133)/2,H1133))))</f>
        <v>0.5</v>
      </c>
      <c r="BE1133" s="50" t="n">
        <f aca="false">BD1133*G1133</f>
        <v>32.535</v>
      </c>
      <c r="BF1133" s="50" t="n">
        <f aca="false">ROUNDUP(CK1133+MAX(CL1133,2*(J1133/IF(CG1133&gt;0,CG1133,MAX(0.1,N(Cockpit!$O$6)))-CK1133)),0)</f>
        <v>1</v>
      </c>
      <c r="BG1133" s="51" t="n">
        <f aca="false">IF(BC1133&gt;0,J1133/BC1133,-1)</f>
        <v>0</v>
      </c>
      <c r="BH1133" s="51" t="str">
        <f aca="false">IF(AND(OR(CF1133="L1",CF1133="L23",CF1133="LIFT"),BC1133&gt;0),SUMIFS($BC$7:$BC$1843,$CF$7:$CF$1843,CF1133,$BG$7:$BG$1843,"&gt;"&amp;BG1133)+SUMIFS($BC$7:$BC$1843,$CF$7:$CF$1843,CF1133,$BG$7:$BG$1843,BG1133,$BW$7:$BW$1843,"&lt;="&amp;BW1133),"")</f>
        <v/>
      </c>
      <c r="BI1133" s="58" t="n">
        <f aca="false">IF(BH1133="",0,MAX(0,MIN(1,(IF(CF1133="L1",Parameter!$H$5,IF(CF1133="L23",Parameter!$H$6+Parameter!$H$7,Parameter!$H$5+Parameter!$H$6+Parameter!$H$7))-(BH1133-BC1133))/BC1133)))</f>
        <v>0</v>
      </c>
      <c r="BJ1133" s="48" t="str">
        <f aca="false">IF(AI1133&lt;=0,"",IF(CF1133="Aussen","Aussenlager",IF(CF1133="-","Nicht im Lift",IF(AO1133&gt;=1,"Lift",IF(AO1133&lt;=0,"Aussenlager","teilweise")))))</f>
        <v/>
      </c>
      <c r="BK1133" s="48" t="str">
        <f aca="false">IF(AS1133&lt;=0,"",IF(CF1133="Aussen","Aussenlager",IF(CF1133="-","Nicht im Lift",IF(AY1133&gt;=1,"Lift",IF(AY1133&lt;=0,"Aussenlager","teilweise")))))</f>
        <v>Nicht im Lift</v>
      </c>
      <c r="BL1133" s="48" t="str">
        <f aca="false">IF(BC1133&lt;=0,"",IF(CF1133="Aussen","Aussenlager",IF(CF1133="-","Nicht im Lift",IF(BI1133&gt;=1,"Lift",IF(BI1133&lt;=0,"Aussenlager","teilweise")))))</f>
        <v>Nicht im Lift</v>
      </c>
      <c r="BM1133" s="48" t="str">
        <f aca="false">IF(A1133="","",IF(BV1133=1,"Neu; ","")&amp;IF(AND(BV1133=0,BQ1133&lt;0),"negativer Bestand (Export "&amp;BQ1133&amp;"); ","")&amp;IF(J1133&lt;=0,"Kein Verbrauch; ","")&amp;IF(CQ1133&gt;0,"Lift "&amp;W1133&amp;" lt. Liftbericht (Fach "&amp;X1133&amp;" Stk); ",IF(CA1133=1,"Gebinde geschätzt ("&amp;T1133&amp;"); ",IF(BZ1133=1,"Lose – Tablare geschätzt; ","")))&amp;IF(H1133&gt;AV1133,"Überbestand "&amp;ROUND(H1133-AV1133,0)&amp;" Stk / CHF "&amp;ROUND((H1133-AV1133)*G1133,0)&amp;"; ","")&amp;IF(AND(CH1133=1,CI1133&lt;CJ1133),"MAX &lt; MB+LG; ","")&amp;IF(AND(CP1133&gt;0,CO1133*10&gt;CP1133),"zu hoch für Tablar; ","")&amp;IF(AND(BV1133=0,OR(CH1133=1,AA1133&lt;&gt;"",U1133&lt;&gt;"",V1133&lt;&gt;"",AB1133&lt;&gt;"")),"manuell übersteuert; ","")&amp;IF(AND(BZ1133=0,R1133=0),"Gebinde unbekannt / Stellmass fehlt; ","")&amp;IF(AND(BZ1133=0,N(V1133)&lt;=0,N(Q1133)&lt;=0),"Menge pro Gebinde fehlt (Ist = 1 Gebinde); ","")&amp;BU1133)</f>
        <v>negativer Bestand (Export -4); Kein Verbrauch; Gebinde geschätzt (Gross); Menge pro Gebinde fehlt (Ist = 1 Gebinde); </v>
      </c>
      <c r="BN1133" s="48"/>
      <c r="BO1133" s="48"/>
      <c r="BP1133" s="55"/>
      <c r="BQ1133" s="50" t="n">
        <v>-4</v>
      </c>
      <c r="BR1133" s="50" t="n">
        <v>4</v>
      </c>
      <c r="BS1133" s="49" t="n">
        <v>-260.28</v>
      </c>
      <c r="BT1133" s="50" t="n">
        <v>0</v>
      </c>
      <c r="BU1133" s="48"/>
      <c r="BV1133" s="53" t="n">
        <v>0</v>
      </c>
      <c r="BW1133" s="53" t="n">
        <v>1133</v>
      </c>
      <c r="BX1133" s="48" t="str">
        <f aca="false">IF(U1133&lt;&gt;"",UPPER(TRIM(U1133)),IF(CA1133=1,UPPER(VLOOKUP(T1133,Parameter!$I$27:$K$29,2,0)),IF(P1133="","LOSE",P1133)))</f>
        <v>S81</v>
      </c>
      <c r="BY1133" s="50" t="n">
        <f aca="false">IF(BX1133="LOSE",1,IF(N(V1133)&gt;0,V1133,IF(CA1133=1,MAX(1,N(VLOOKUP(T1133,Parameter!$I$27:$K$29,3,0)),H1133,N(N1133)),IF(N(Q1133)&gt;0,Q1133,MAX(1,H1133)))))</f>
        <v>2</v>
      </c>
      <c r="BZ1133" s="53" t="n">
        <f aca="false">IF(BX1133="LOSE",1,0)</f>
        <v>0</v>
      </c>
      <c r="CA1133" s="53" t="n">
        <f aca="false">IF(AND(U1133="",OR(P1133="",P1133="LOSE"),T1133&lt;&gt;"",N(S1133)&lt;=0,ISNUMBER(MATCH(T1133,Parameter!$I$27:$I$29,0))),1,0)</f>
        <v>1</v>
      </c>
      <c r="CB1133" s="53" t="n">
        <f aca="false">IF(CQ1133&gt;0,INDEX(Parameter!$H$5:$H$7,W1133)/INDEX(Parameter!$E$5:$E$7,W1133),IF(AND(BZ1133=0,N(IFERROR(VLOOKUP(BX1133,'Gebinde-Kategorie'!$A$5:$N$45,14,0),0))&gt;0),VLOOKUP(BX1133,'Gebinde-Kategorie'!$A$5:$N$45,14,0)*10+Parameter!$M$23,Parameter!$M$24))</f>
        <v>235</v>
      </c>
      <c r="CC1133" s="48" t="str">
        <f aca="false">IF(AND(Parameter!$B$19="Ja",E1133&lt;&gt;"",ISNUMBER(MATCH(E1133,Parameter!$I$35:$I$52,0))),VLOOKUP(E1133,Parameter!$I$35:$J$52,2,0),IFERROR(VLOOKUP(D1133,Parameter!$A$35:$C$64,2,0),"Nein"))</f>
        <v>Nein</v>
      </c>
      <c r="CD1133" s="52" t="n">
        <f aca="false">IF(BZ1133=0,0,IF(N(S1133)&gt;0,S1133,IFERROR(VLOOKUP(D1133,Parameter!$A$35:$C$64,3,0)+0,0)))</f>
        <v>0</v>
      </c>
      <c r="CE1133" s="48" t="str">
        <f aca="false">IF(AA1133&lt;&gt;"",AA1133,Z1133)</f>
        <v>-</v>
      </c>
      <c r="CF1133" s="48" t="str">
        <f aca="false">IF(OR(CE1133=1,CE1133=2,CE1133=3),IF(Parameter!$E$27="Ja","LIFT",IF(CE1133=1,"L1","L23")),IF(CE1133="Aussen","Aussen","-"))</f>
        <v>-</v>
      </c>
      <c r="CG1133" s="59" t="n">
        <f aca="false">IF(N(AB1133)&gt;0,AB1133,0)</f>
        <v>0</v>
      </c>
      <c r="CH1133" s="53" t="n">
        <f aca="false">IF(ISNUMBER(AE1133),1,0)</f>
        <v>0</v>
      </c>
      <c r="CI1133" s="50" t="n">
        <f aca="false">N(AE1133)</f>
        <v>0</v>
      </c>
      <c r="CJ1133" s="50" t="n">
        <f aca="false">N(M1133)+N(N1133)</f>
        <v>1</v>
      </c>
      <c r="CK1133" s="50" t="n">
        <f aca="false">N(M1133)</f>
        <v>0</v>
      </c>
      <c r="CL1133" s="50" t="n">
        <f aca="false">N(N1133)</f>
        <v>1</v>
      </c>
      <c r="CM1133" s="50" t="n">
        <f aca="false">ROUNDUP(H1133/BY1133,0)</f>
        <v>0</v>
      </c>
      <c r="CN1133" s="50" t="n">
        <f aca="false">ROUNDUP(CI1133/BY1133,0)</f>
        <v>0</v>
      </c>
      <c r="CO1133" s="53" t="n">
        <f aca="false">IF(BZ1133=1,0,IFERROR(VLOOKUP(BX1133,'Gebinde-Kategorie'!$A$5:$N$45,5,0)+0,0))</f>
        <v>20</v>
      </c>
      <c r="CP1133" s="53" t="n">
        <f aca="false">IFERROR(IF(OR(CE1133=1,CE1133=2,CE1133=3),N(INDEX(Parameter!$I$5:$I$7,CE1133)),0),0)</f>
        <v>0</v>
      </c>
      <c r="CQ1133" s="52" t="n">
        <f aca="false">IF(AND(Parameter!$B$21="Ja",ISNUMBER(W1133),N(X1133)&gt;0),IFERROR(N(INDEX(Parameter!$L$5:$L$7,W1133))*INDEX(Parameter!$E$5:$E$7,W1133)*X1133/SUMIFS($X$7:$X$1843,$W$7:$W$1843,W1133),0),0)</f>
        <v>0</v>
      </c>
    </row>
    <row r="1134" customFormat="false" ht="15" hidden="false" customHeight="false" outlineLevel="0" collapsed="false">
      <c r="A1134" s="48" t="s">
        <v>2062</v>
      </c>
      <c r="B1134" s="48" t="s">
        <v>1143</v>
      </c>
      <c r="C1134" s="48" t="s">
        <v>173</v>
      </c>
      <c r="D1134" s="48" t="s">
        <v>193</v>
      </c>
      <c r="E1134" s="48" t="s">
        <v>194</v>
      </c>
      <c r="F1134" s="48" t="s">
        <v>227</v>
      </c>
      <c r="G1134" s="49" t="n">
        <v>87.23</v>
      </c>
      <c r="H1134" s="50" t="n">
        <f aca="false">MAX(0,IF(AND(Parameter!$B$21="Ja",ISNUMBER(Y1134)),Y1134,IF(Parameter!$B$20="Jahresanfang 2025 + Export",BR1134+BQ1134,BQ1134)))</f>
        <v>30</v>
      </c>
      <c r="I1134" s="50" t="n">
        <f aca="false">H1134*G1134</f>
        <v>2616.9</v>
      </c>
      <c r="J1134" s="50" t="n">
        <f aca="false">BT1134*Parameter!$B$18</f>
        <v>2</v>
      </c>
      <c r="K1134" s="51" t="n">
        <v>31.5</v>
      </c>
      <c r="L1134" s="52" t="n">
        <v>0.0634920634920635</v>
      </c>
      <c r="M1134" s="50" t="n">
        <v>0</v>
      </c>
      <c r="N1134" s="50" t="n">
        <v>1</v>
      </c>
      <c r="O1134" s="53" t="n">
        <v>42</v>
      </c>
      <c r="P1134" s="48" t="s">
        <v>195</v>
      </c>
      <c r="Q1134" s="50" t="n">
        <v>8</v>
      </c>
      <c r="R1134" s="53" t="n">
        <f aca="false">IF(BZ1134=1,0,IFERROR(VLOOKUP(BX1134,'Gebinde-Kategorie'!$A$5:$N$45,13,0)+0,0))</f>
        <v>12</v>
      </c>
      <c r="S1134" s="54"/>
      <c r="T1134" s="55"/>
      <c r="U1134" s="55"/>
      <c r="V1134" s="55"/>
      <c r="W1134" s="48"/>
      <c r="X1134" s="50"/>
      <c r="Y1134" s="50"/>
      <c r="Z1134" s="48" t="n">
        <f aca="false">IF(A1134="","",IF(AND(Parameter!$B$21="Ja",ISNUMBER(W1134)),W1134,IF(CC1134="2+3",IF(ISNUMBER(SEARCH("grosser Artikel",BU1134)),2,IFERROR(VLOOKUP(BX1134,Parameter!$F$35:$G$64,2,0),2)),IF(OR(CC1134="Nein",CC1134=""),"-",CC1134))))</f>
        <v>2</v>
      </c>
      <c r="AA1134" s="55"/>
      <c r="AB1134" s="56"/>
      <c r="AC1134" s="50" t="n">
        <f aca="false">AV1134</f>
        <v>2</v>
      </c>
      <c r="AD1134" s="50" t="n">
        <f aca="false">MAX(AV1134,H1134)</f>
        <v>30</v>
      </c>
      <c r="AE1134" s="57"/>
      <c r="AF1134" s="50" t="n">
        <f aca="false">IF(LEFT(Cockpit!$C$5,1)="A",H1134,IF(Parameter!$E$30="MAX-Bestand",IF(CH1134=1,CI1134,IF(LEFT(Cockpit!$C$5,1)="B",AL1134,MAX(AL1134,H1134))),ROUNDUP(AJ1134,0)))</f>
        <v>30</v>
      </c>
      <c r="AG1134" s="50" t="n">
        <f aca="false">IF(BZ1134=1,0,ROUNDUP(AF1134/BY1134,0))</f>
        <v>4</v>
      </c>
      <c r="AH1134" s="52" t="n">
        <f aca="false">IF(CQ1134&gt;0,CQ1134*MAX(1,AF1134/X1134),IF(BZ1134=1,IF(AF1134&lt;=0,0,CD1134*MAX(1,IF(H1134&gt;0,AF1134/H1134,1))),IF(R1134&gt;0,AG1134/R1134,0))/MAX(0.1,N(Parameter!$M$21)))</f>
        <v>0.333333333333333</v>
      </c>
      <c r="AI1134" s="50" t="n">
        <f aca="false">AH1134*CB1134</f>
        <v>48.3333333333333</v>
      </c>
      <c r="AJ1134" s="51" t="n">
        <f aca="false">IF(LEFT(Cockpit!$C$5,1)="A",H1134,IF(CH1134=1,(CK1134+CI1134)/2,IF(LEFT(Cockpit!$C$5,1)="B",(CK1134+AL1134)/2,MAX((CK1134+AL1134)/2,H1134))))</f>
        <v>30</v>
      </c>
      <c r="AK1134" s="50" t="n">
        <f aca="false">AJ1134*G1134</f>
        <v>2616.9</v>
      </c>
      <c r="AL1134" s="50" t="n">
        <f aca="false">ROUNDUP(CK1134+MAX(CL1134,2*(J1134/IF(CG1134&gt;0,CG1134,MAX(0.1,N(Cockpit!$C$6)))-CK1134)),0)</f>
        <v>2</v>
      </c>
      <c r="AM1134" s="51" t="n">
        <f aca="false">IF(AI1134&gt;0,J1134/AI1134,-1)</f>
        <v>0.0413793103448276</v>
      </c>
      <c r="AN1134" s="51" t="n">
        <f aca="false">IF(AND(OR(CF1134="L1",CF1134="L23",CF1134="LIFT"),AI1134&gt;0),SUMIFS($AI$7:$AI$1843,$CF$7:$CF$1843,CF1134,$AM$7:$AM$1843,"&gt;"&amp;AM1134)+SUMIFS($AI$7:$AI$1843,$CF$7:$CF$1843,CF1134,$AM$7:$AM$1843,AM1134,$BW$7:$BW$1843,"&lt;="&amp;BW1134),"")</f>
        <v>19721.4740873533</v>
      </c>
      <c r="AO1134" s="58" t="n">
        <f aca="false">IF(AN1134="",0,MAX(0,MIN(1,(IF(CF1134="L1",Parameter!$H$5,IF(CF1134="L23",Parameter!$H$6+Parameter!$H$7,Parameter!$H$5+Parameter!$H$6+Parameter!$H$7))-(AN1134-AI1134))/AI1134)))</f>
        <v>1</v>
      </c>
      <c r="AP1134" s="50" t="n">
        <f aca="false">IF(LEFT(Cockpit!$I$5,1)="A",H1134,IF(Parameter!$E$30="MAX-Bestand",IF(CH1134=1,CI1134,IF(LEFT(Cockpit!$I$5,1)="B",AV1134,MAX(AV1134,H1134))),ROUNDUP(AT1134,0)))</f>
        <v>30</v>
      </c>
      <c r="AQ1134" s="50" t="n">
        <f aca="false">IF(BZ1134=1,0,ROUNDUP(AP1134/BY1134,0))</f>
        <v>4</v>
      </c>
      <c r="AR1134" s="52" t="n">
        <f aca="false">IF(CQ1134&gt;0,CQ1134*MAX(1,AP1134/X1134),IF(BZ1134=1,IF(AP1134&lt;=0,0,CD1134*MAX(1,IF(H1134&gt;0,AP1134/H1134,1))),IF(R1134&gt;0,AQ1134/R1134,0))/MAX(0.1,N(Parameter!$M$21)))</f>
        <v>0.333333333333333</v>
      </c>
      <c r="AS1134" s="50" t="n">
        <f aca="false">AR1134*CB1134</f>
        <v>48.3333333333333</v>
      </c>
      <c r="AT1134" s="51" t="n">
        <f aca="false">IF(LEFT(Cockpit!$I$5,1)="A",H1134,IF(CH1134=1,(CK1134+CI1134)/2,IF(LEFT(Cockpit!$I$5,1)="B",(CK1134+AV1134)/2,MAX((CK1134+AV1134)/2,H1134))))</f>
        <v>30</v>
      </c>
      <c r="AU1134" s="50" t="n">
        <f aca="false">AT1134*G1134</f>
        <v>2616.9</v>
      </c>
      <c r="AV1134" s="50" t="n">
        <f aca="false">ROUNDUP(CK1134+MAX(CL1134,2*(J1134/IF(CG1134&gt;0,CG1134,MAX(0.1,N(Cockpit!$I$6)))-CK1134)),0)</f>
        <v>2</v>
      </c>
      <c r="AW1134" s="51" t="n">
        <f aca="false">IF(AS1134&gt;0,J1134/AS1134,-1)</f>
        <v>0.0413793103448276</v>
      </c>
      <c r="AX1134" s="51" t="n">
        <f aca="false">IF(AND(OR(CF1134="L1",CF1134="L23",CF1134="LIFT"),AS1134&gt;0),SUMIFS($AS$7:$AS$1843,$CF$7:$CF$1843,CF1134,$AW$7:$AW$1843,"&gt;"&amp;AW1134)+SUMIFS($AS$7:$AS$1843,$CF$7:$CF$1843,CF1134,$AW$7:$AW$1843,AW1134,$BW$7:$BW$1843,"&lt;="&amp;BW1134),"")</f>
        <v>24780.8727287308</v>
      </c>
      <c r="AY1134" s="58" t="n">
        <f aca="false">IF(AX1134="",0,MAX(0,MIN(1,(IF(CF1134="L1",Parameter!$H$5,IF(CF1134="L23",Parameter!$H$6+Parameter!$H$7,Parameter!$H$5+Parameter!$H$6+Parameter!$H$7))-(AX1134-AS1134))/AS1134)))</f>
        <v>1</v>
      </c>
      <c r="AZ1134" s="50" t="n">
        <f aca="false">IF(LEFT(Cockpit!$O$5,1)="A",H1134,IF(Parameter!$E$30="MAX-Bestand",IF(CH1134=1,CI1134,IF(LEFT(Cockpit!$O$5,1)="B",BF1134,MAX(BF1134,H1134))),ROUNDUP(BD1134,0)))</f>
        <v>1</v>
      </c>
      <c r="BA1134" s="50" t="n">
        <f aca="false">IF(BZ1134=1,0,ROUNDUP(AZ1134/BY1134,0))</f>
        <v>1</v>
      </c>
      <c r="BB1134" s="52" t="n">
        <f aca="false">IF(CQ1134&gt;0,CQ1134*MAX(1,AZ1134/X1134),IF(BZ1134=1,IF(AZ1134&lt;=0,0,CD1134*MAX(1,IF(H1134&gt;0,AZ1134/H1134,1))),IF(R1134&gt;0,BA1134/R1134,0))/MAX(0.1,N(Parameter!$M$21)))</f>
        <v>0.0833333333333333</v>
      </c>
      <c r="BC1134" s="50" t="n">
        <f aca="false">BB1134*CB1134</f>
        <v>12.0833333333333</v>
      </c>
      <c r="BD1134" s="51" t="n">
        <f aca="false">IF(LEFT(Cockpit!$O$5,1)="A",H1134,IF(CH1134=1,(CK1134+CI1134)/2,IF(LEFT(Cockpit!$O$5,1)="B",(CK1134+BF1134)/2,MAX((CK1134+BF1134)/2,H1134))))</f>
        <v>0.5</v>
      </c>
      <c r="BE1134" s="50" t="n">
        <f aca="false">BD1134*G1134</f>
        <v>43.615</v>
      </c>
      <c r="BF1134" s="50" t="n">
        <f aca="false">ROUNDUP(CK1134+MAX(CL1134,2*(J1134/IF(CG1134&gt;0,CG1134,MAX(0.1,N(Cockpit!$O$6)))-CK1134)),0)</f>
        <v>1</v>
      </c>
      <c r="BG1134" s="51" t="n">
        <f aca="false">IF(BC1134&gt;0,J1134/BC1134,-1)</f>
        <v>0.16551724137931</v>
      </c>
      <c r="BH1134" s="51" t="n">
        <f aca="false">IF(AND(OR(CF1134="L1",CF1134="L23",CF1134="LIFT"),BC1134&gt;0),SUMIFS($BC$7:$BC$1843,$CF$7:$CF$1843,CF1134,$BG$7:$BG$1843,"&gt;"&amp;BG1134)+SUMIFS($BC$7:$BC$1843,$CF$7:$CF$1843,CF1134,$BG$7:$BG$1843,BG1134,$BW$7:$BW$1843,"&lt;="&amp;BW1134),"")</f>
        <v>13584.7206157778</v>
      </c>
      <c r="BI1134" s="58" t="n">
        <f aca="false">IF(BH1134="",0,MAX(0,MIN(1,(IF(CF1134="L1",Parameter!$H$5,IF(CF1134="L23",Parameter!$H$6+Parameter!$H$7,Parameter!$H$5+Parameter!$H$6+Parameter!$H$7))-(BH1134-BC1134))/BC1134)))</f>
        <v>1</v>
      </c>
      <c r="BJ1134" s="48" t="str">
        <f aca="false">IF(AI1134&lt;=0,"",IF(CF1134="Aussen","Aussenlager",IF(CF1134="-","Nicht im Lift",IF(AO1134&gt;=1,"Lift",IF(AO1134&lt;=0,"Aussenlager","teilweise")))))</f>
        <v>Lift</v>
      </c>
      <c r="BK1134" s="48" t="str">
        <f aca="false">IF(AS1134&lt;=0,"",IF(CF1134="Aussen","Aussenlager",IF(CF1134="-","Nicht im Lift",IF(AY1134&gt;=1,"Lift",IF(AY1134&lt;=0,"Aussenlager","teilweise")))))</f>
        <v>Lift</v>
      </c>
      <c r="BL1134" s="48" t="str">
        <f aca="false">IF(BC1134&lt;=0,"",IF(CF1134="Aussen","Aussenlager",IF(CF1134="-","Nicht im Lift",IF(BI1134&gt;=1,"Lift",IF(BI1134&lt;=0,"Aussenlager","teilweise")))))</f>
        <v>Lift</v>
      </c>
      <c r="BM1134" s="48" t="str">
        <f aca="false">IF(A1134="","",IF(BV1134=1,"Neu; ","")&amp;IF(AND(BV1134=0,BQ1134&lt;0),"negativer Bestand (Export "&amp;BQ1134&amp;"); ","")&amp;IF(J1134&lt;=0,"Kein Verbrauch; ","")&amp;IF(CQ1134&gt;0,"Lift "&amp;W1134&amp;" lt. Liftbericht (Fach "&amp;X1134&amp;" Stk); ",IF(CA1134=1,"Gebinde geschätzt ("&amp;T1134&amp;"); ",IF(BZ1134=1,"Lose – Tablare geschätzt; ","")))&amp;IF(H1134&gt;AV1134,"Überbestand "&amp;ROUND(H1134-AV1134,0)&amp;" Stk / CHF "&amp;ROUND((H1134-AV1134)*G1134,0)&amp;"; ","")&amp;IF(AND(CH1134=1,CI1134&lt;CJ1134),"MAX &lt; MB+LG; ","")&amp;IF(AND(CP1134&gt;0,CO1134*10&gt;CP1134),"zu hoch für Tablar; ","")&amp;IF(AND(BV1134=0,OR(CH1134=1,AA1134&lt;&gt;"",U1134&lt;&gt;"",V1134&lt;&gt;"",AB1134&lt;&gt;"")),"manuell übersteuert; ","")&amp;IF(AND(BZ1134=0,R1134=0),"Gebinde unbekannt / Stellmass fehlt; ","")&amp;IF(AND(BZ1134=0,N(V1134)&lt;=0,N(Q1134)&lt;=0),"Menge pro Gebinde fehlt (Ist = 1 Gebinde); ","")&amp;BU1134)</f>
        <v>negativer Bestand (Export -3); Überbestand 28 Stk / CHF 2442; Neu</v>
      </c>
      <c r="BN1134" s="48"/>
      <c r="BO1134" s="48"/>
      <c r="BP1134" s="55"/>
      <c r="BQ1134" s="50" t="n">
        <v>-3</v>
      </c>
      <c r="BR1134" s="50" t="n">
        <v>33</v>
      </c>
      <c r="BS1134" s="49" t="n">
        <v>-261.69</v>
      </c>
      <c r="BT1134" s="50" t="n">
        <v>2</v>
      </c>
      <c r="BU1134" s="48" t="s">
        <v>635</v>
      </c>
      <c r="BV1134" s="53" t="n">
        <v>0</v>
      </c>
      <c r="BW1134" s="53" t="n">
        <v>1134</v>
      </c>
      <c r="BX1134" s="48" t="str">
        <f aca="false">IF(U1134&lt;&gt;"",UPPER(TRIM(U1134)),IF(CA1134=1,UPPER(VLOOKUP(T1134,Parameter!$I$27:$K$29,2,0)),IF(P1134="","LOSE",P1134)))</f>
        <v>S61</v>
      </c>
      <c r="BY1134" s="50" t="n">
        <f aca="false">IF(BX1134="LOSE",1,IF(N(V1134)&gt;0,V1134,IF(CA1134=1,MAX(1,N(VLOOKUP(T1134,Parameter!$I$27:$K$29,3,0)),H1134,N(N1134)),IF(N(Q1134)&gt;0,Q1134,MAX(1,H1134)))))</f>
        <v>8</v>
      </c>
      <c r="BZ1134" s="53" t="n">
        <f aca="false">IF(BX1134="LOSE",1,0)</f>
        <v>0</v>
      </c>
      <c r="CA1134" s="53" t="n">
        <f aca="false">IF(AND(U1134="",OR(P1134="",P1134="LOSE"),T1134&lt;&gt;"",N(S1134)&lt;=0,ISNUMBER(MATCH(T1134,Parameter!$I$27:$I$29,0))),1,0)</f>
        <v>0</v>
      </c>
      <c r="CB1134" s="53" t="n">
        <f aca="false">IF(CQ1134&gt;0,INDEX(Parameter!$H$5:$H$7,W1134)/INDEX(Parameter!$E$5:$E$7,W1134),IF(AND(BZ1134=0,N(IFERROR(VLOOKUP(BX1134,'Gebinde-Kategorie'!$A$5:$N$45,14,0),0))&gt;0),VLOOKUP(BX1134,'Gebinde-Kategorie'!$A$5:$N$45,14,0)*10+Parameter!$M$23,Parameter!$M$24))</f>
        <v>145</v>
      </c>
      <c r="CC1134" s="48" t="str">
        <f aca="false">IF(AND(Parameter!$B$19="Ja",E1134&lt;&gt;"",ISNUMBER(MATCH(E1134,Parameter!$I$35:$I$52,0))),VLOOKUP(E1134,Parameter!$I$35:$J$52,2,0),IFERROR(VLOOKUP(D1134,Parameter!$A$35:$C$64,2,0),"Nein"))</f>
        <v>2+3</v>
      </c>
      <c r="CD1134" s="52" t="n">
        <f aca="false">IF(BZ1134=0,0,IF(N(S1134)&gt;0,S1134,IFERROR(VLOOKUP(D1134,Parameter!$A$35:$C$64,3,0)+0,0)))</f>
        <v>0</v>
      </c>
      <c r="CE1134" s="48" t="n">
        <f aca="false">IF(AA1134&lt;&gt;"",AA1134,Z1134)</f>
        <v>2</v>
      </c>
      <c r="CF1134" s="48" t="str">
        <f aca="false">IF(OR(CE1134=1,CE1134=2,CE1134=3),IF(Parameter!$E$27="Ja","LIFT",IF(CE1134=1,"L1","L23")),IF(CE1134="Aussen","Aussen","-"))</f>
        <v>LIFT</v>
      </c>
      <c r="CG1134" s="59" t="n">
        <f aca="false">IF(N(AB1134)&gt;0,AB1134,0)</f>
        <v>0</v>
      </c>
      <c r="CH1134" s="53" t="n">
        <f aca="false">IF(ISNUMBER(AE1134),1,0)</f>
        <v>0</v>
      </c>
      <c r="CI1134" s="50" t="n">
        <f aca="false">N(AE1134)</f>
        <v>0</v>
      </c>
      <c r="CJ1134" s="50" t="n">
        <f aca="false">N(M1134)+N(N1134)</f>
        <v>1</v>
      </c>
      <c r="CK1134" s="50" t="n">
        <f aca="false">N(M1134)</f>
        <v>0</v>
      </c>
      <c r="CL1134" s="50" t="n">
        <f aca="false">N(N1134)</f>
        <v>1</v>
      </c>
      <c r="CM1134" s="50" t="n">
        <f aca="false">ROUNDUP(H1134/BY1134,0)</f>
        <v>4</v>
      </c>
      <c r="CN1134" s="50" t="n">
        <f aca="false">ROUNDUP(CI1134/BY1134,0)</f>
        <v>0</v>
      </c>
      <c r="CO1134" s="53" t="n">
        <f aca="false">IF(BZ1134=1,0,IFERROR(VLOOKUP(BX1134,'Gebinde-Kategorie'!$A$5:$N$45,5,0)+0,0))</f>
        <v>11</v>
      </c>
      <c r="CP1134" s="53" t="n">
        <f aca="false">IFERROR(IF(OR(CE1134=1,CE1134=2,CE1134=3),N(INDEX(Parameter!$I$5:$I$7,CE1134)),0),0)</f>
        <v>0</v>
      </c>
      <c r="CQ1134" s="52" t="n">
        <f aca="false">IF(AND(Parameter!$B$21="Ja",ISNUMBER(W1134),N(X1134)&gt;0),IFERROR(N(INDEX(Parameter!$L$5:$L$7,W1134))*INDEX(Parameter!$E$5:$E$7,W1134)*X1134/SUMIFS($X$7:$X$1843,$W$7:$W$1843,W1134),0),0)</f>
        <v>0</v>
      </c>
    </row>
    <row r="1135" customFormat="false" ht="15" hidden="false" customHeight="false" outlineLevel="0" collapsed="false">
      <c r="A1135" s="48" t="s">
        <v>2063</v>
      </c>
      <c r="B1135" s="48" t="s">
        <v>573</v>
      </c>
      <c r="C1135" s="48" t="s">
        <v>173</v>
      </c>
      <c r="D1135" s="48" t="s">
        <v>193</v>
      </c>
      <c r="E1135" s="48" t="s">
        <v>194</v>
      </c>
      <c r="F1135" s="48" t="s">
        <v>227</v>
      </c>
      <c r="G1135" s="49" t="n">
        <v>20.24</v>
      </c>
      <c r="H1135" s="50" t="n">
        <f aca="false">MAX(0,IF(AND(Parameter!$B$21="Ja",ISNUMBER(Y1135)),Y1135,IF(Parameter!$B$20="Jahresanfang 2025 + Export",BR1135+BQ1135,BQ1135)))</f>
        <v>6</v>
      </c>
      <c r="I1135" s="50" t="n">
        <f aca="false">H1135*G1135</f>
        <v>121.44</v>
      </c>
      <c r="J1135" s="50" t="n">
        <f aca="false">BT1135*Parameter!$B$18</f>
        <v>10</v>
      </c>
      <c r="K1135" s="51" t="n">
        <v>14</v>
      </c>
      <c r="L1135" s="52" t="n">
        <v>0.714285714285714</v>
      </c>
      <c r="M1135" s="50" t="n">
        <v>0</v>
      </c>
      <c r="N1135" s="50" t="n">
        <v>10</v>
      </c>
      <c r="O1135" s="53" t="n">
        <v>28</v>
      </c>
      <c r="P1135" s="48" t="s">
        <v>485</v>
      </c>
      <c r="Q1135" s="50" t="n">
        <v>7</v>
      </c>
      <c r="R1135" s="53" t="n">
        <f aca="false">IF(BZ1135=1,0,IFERROR(VLOOKUP(BX1135,'Gebinde-Kategorie'!$A$5:$N$45,13,0)+0,0))</f>
        <v>52</v>
      </c>
      <c r="S1135" s="54"/>
      <c r="T1135" s="55"/>
      <c r="U1135" s="55"/>
      <c r="V1135" s="55"/>
      <c r="W1135" s="48"/>
      <c r="X1135" s="50"/>
      <c r="Y1135" s="50"/>
      <c r="Z1135" s="48" t="n">
        <f aca="false">IF(A1135="","",IF(AND(Parameter!$B$21="Ja",ISNUMBER(W1135)),W1135,IF(CC1135="2+3",IF(ISNUMBER(SEARCH("grosser Artikel",BU1135)),2,IFERROR(VLOOKUP(BX1135,Parameter!$F$35:$G$64,2,0),2)),IF(OR(CC1135="Nein",CC1135=""),"-",CC1135))))</f>
        <v>3</v>
      </c>
      <c r="AA1135" s="55"/>
      <c r="AB1135" s="56"/>
      <c r="AC1135" s="50" t="n">
        <f aca="false">AV1135</f>
        <v>10</v>
      </c>
      <c r="AD1135" s="50" t="n">
        <f aca="false">MAX(AV1135,H1135)</f>
        <v>10</v>
      </c>
      <c r="AE1135" s="57"/>
      <c r="AF1135" s="50" t="n">
        <f aca="false">IF(LEFT(Cockpit!$C$5,1)="A",H1135,IF(Parameter!$E$30="MAX-Bestand",IF(CH1135=1,CI1135,IF(LEFT(Cockpit!$C$5,1)="B",AL1135,MAX(AL1135,H1135))),ROUNDUP(AJ1135,0)))</f>
        <v>6</v>
      </c>
      <c r="AG1135" s="50" t="n">
        <f aca="false">IF(BZ1135=1,0,ROUNDUP(AF1135/BY1135,0))</f>
        <v>1</v>
      </c>
      <c r="AH1135" s="52" t="n">
        <f aca="false">IF(CQ1135&gt;0,CQ1135*MAX(1,AF1135/X1135),IF(BZ1135=1,IF(AF1135&lt;=0,0,CD1135*MAX(1,IF(H1135&gt;0,AF1135/H1135,1))),IF(R1135&gt;0,AG1135/R1135,0))/MAX(0.1,N(Parameter!$M$21)))</f>
        <v>0.0192307692307692</v>
      </c>
      <c r="AI1135" s="50" t="n">
        <f aca="false">AH1135*CB1135</f>
        <v>2.98076923076923</v>
      </c>
      <c r="AJ1135" s="51" t="n">
        <f aca="false">IF(LEFT(Cockpit!$C$5,1)="A",H1135,IF(CH1135=1,(CK1135+CI1135)/2,IF(LEFT(Cockpit!$C$5,1)="B",(CK1135+AL1135)/2,MAX((CK1135+AL1135)/2,H1135))))</f>
        <v>6</v>
      </c>
      <c r="AK1135" s="50" t="n">
        <f aca="false">AJ1135*G1135</f>
        <v>121.44</v>
      </c>
      <c r="AL1135" s="50" t="n">
        <f aca="false">ROUNDUP(CK1135+MAX(CL1135,2*(J1135/IF(CG1135&gt;0,CG1135,MAX(0.1,N(Cockpit!$C$6)))-CK1135)),0)</f>
        <v>10</v>
      </c>
      <c r="AM1135" s="51" t="n">
        <f aca="false">IF(AI1135&gt;0,J1135/AI1135,-1)</f>
        <v>3.35483870967742</v>
      </c>
      <c r="AN1135" s="51" t="n">
        <f aca="false">IF(AND(OR(CF1135="L1",CF1135="L23",CF1135="LIFT"),AI1135&gt;0),SUMIFS($AI$7:$AI$1843,$CF$7:$CF$1843,CF1135,$AM$7:$AM$1843,"&gt;"&amp;AM1135)+SUMIFS($AI$7:$AI$1843,$CF$7:$CF$1843,CF1135,$AM$7:$AM$1843,AM1135,$BW$7:$BW$1843,"&lt;="&amp;BW1135),"")</f>
        <v>4955.58791208791</v>
      </c>
      <c r="AO1135" s="58" t="n">
        <f aca="false">IF(AN1135="",0,MAX(0,MIN(1,(IF(CF1135="L1",Parameter!$H$5,IF(CF1135="L23",Parameter!$H$6+Parameter!$H$7,Parameter!$H$5+Parameter!$H$6+Parameter!$H$7))-(AN1135-AI1135))/AI1135)))</f>
        <v>1</v>
      </c>
      <c r="AP1135" s="50" t="n">
        <f aca="false">IF(LEFT(Cockpit!$I$5,1)="A",H1135,IF(Parameter!$E$30="MAX-Bestand",IF(CH1135=1,CI1135,IF(LEFT(Cockpit!$I$5,1)="B",AV1135,MAX(AV1135,H1135))),ROUNDUP(AT1135,0)))</f>
        <v>6</v>
      </c>
      <c r="AQ1135" s="50" t="n">
        <f aca="false">IF(BZ1135=1,0,ROUNDUP(AP1135/BY1135,0))</f>
        <v>1</v>
      </c>
      <c r="AR1135" s="52" t="n">
        <f aca="false">IF(CQ1135&gt;0,CQ1135*MAX(1,AP1135/X1135),IF(BZ1135=1,IF(AP1135&lt;=0,0,CD1135*MAX(1,IF(H1135&gt;0,AP1135/H1135,1))),IF(R1135&gt;0,AQ1135/R1135,0))/MAX(0.1,N(Parameter!$M$21)))</f>
        <v>0.0192307692307692</v>
      </c>
      <c r="AS1135" s="50" t="n">
        <f aca="false">AR1135*CB1135</f>
        <v>2.98076923076923</v>
      </c>
      <c r="AT1135" s="51" t="n">
        <f aca="false">IF(LEFT(Cockpit!$I$5,1)="A",H1135,IF(CH1135=1,(CK1135+CI1135)/2,IF(LEFT(Cockpit!$I$5,1)="B",(CK1135+AV1135)/2,MAX((CK1135+AV1135)/2,H1135))))</f>
        <v>6</v>
      </c>
      <c r="AU1135" s="50" t="n">
        <f aca="false">AT1135*G1135</f>
        <v>121.44</v>
      </c>
      <c r="AV1135" s="50" t="n">
        <f aca="false">ROUNDUP(CK1135+MAX(CL1135,2*(J1135/IF(CG1135&gt;0,CG1135,MAX(0.1,N(Cockpit!$I$6)))-CK1135)),0)</f>
        <v>10</v>
      </c>
      <c r="AW1135" s="51" t="n">
        <f aca="false">IF(AS1135&gt;0,J1135/AS1135,-1)</f>
        <v>3.35483870967742</v>
      </c>
      <c r="AX1135" s="51" t="n">
        <f aca="false">IF(AND(OR(CF1135="L1",CF1135="L23",CF1135="LIFT"),AS1135&gt;0),SUMIFS($AS$7:$AS$1843,$CF$7:$CF$1843,CF1135,$AW$7:$AW$1843,"&gt;"&amp;AW1135)+SUMIFS($AS$7:$AS$1843,$CF$7:$CF$1843,CF1135,$AW$7:$AW$1843,AW1135,$BW$7:$BW$1843,"&lt;="&amp;BW1135),"")</f>
        <v>5619.42490842491</v>
      </c>
      <c r="AY1135" s="58" t="n">
        <f aca="false">IF(AX1135="",0,MAX(0,MIN(1,(IF(CF1135="L1",Parameter!$H$5,IF(CF1135="L23",Parameter!$H$6+Parameter!$H$7,Parameter!$H$5+Parameter!$H$6+Parameter!$H$7))-(AX1135-AS1135))/AS1135)))</f>
        <v>1</v>
      </c>
      <c r="AZ1135" s="50" t="n">
        <f aca="false">IF(LEFT(Cockpit!$O$5,1)="A",H1135,IF(Parameter!$E$30="MAX-Bestand",IF(CH1135=1,CI1135,IF(LEFT(Cockpit!$O$5,1)="B",BF1135,MAX(BF1135,H1135))),ROUNDUP(BD1135,0)))</f>
        <v>5</v>
      </c>
      <c r="BA1135" s="50" t="n">
        <f aca="false">IF(BZ1135=1,0,ROUNDUP(AZ1135/BY1135,0))</f>
        <v>1</v>
      </c>
      <c r="BB1135" s="52" t="n">
        <f aca="false">IF(CQ1135&gt;0,CQ1135*MAX(1,AZ1135/X1135),IF(BZ1135=1,IF(AZ1135&lt;=0,0,CD1135*MAX(1,IF(H1135&gt;0,AZ1135/H1135,1))),IF(R1135&gt;0,BA1135/R1135,0))/MAX(0.1,N(Parameter!$M$21)))</f>
        <v>0.0192307692307692</v>
      </c>
      <c r="BC1135" s="50" t="n">
        <f aca="false">BB1135*CB1135</f>
        <v>2.98076923076923</v>
      </c>
      <c r="BD1135" s="51" t="n">
        <f aca="false">IF(LEFT(Cockpit!$O$5,1)="A",H1135,IF(CH1135=1,(CK1135+CI1135)/2,IF(LEFT(Cockpit!$O$5,1)="B",(CK1135+BF1135)/2,MAX((CK1135+BF1135)/2,H1135))))</f>
        <v>5</v>
      </c>
      <c r="BE1135" s="50" t="n">
        <f aca="false">BD1135*G1135</f>
        <v>101.2</v>
      </c>
      <c r="BF1135" s="50" t="n">
        <f aca="false">ROUNDUP(CK1135+MAX(CL1135,2*(J1135/IF(CG1135&gt;0,CG1135,MAX(0.1,N(Cockpit!$O$6)))-CK1135)),0)</f>
        <v>10</v>
      </c>
      <c r="BG1135" s="51" t="n">
        <f aca="false">IF(BC1135&gt;0,J1135/BC1135,-1)</f>
        <v>3.35483870967742</v>
      </c>
      <c r="BH1135" s="51" t="n">
        <f aca="false">IF(AND(OR(CF1135="L1",CF1135="L23",CF1135="LIFT"),BC1135&gt;0),SUMIFS($BC$7:$BC$1843,$CF$7:$CF$1843,CF1135,$BG$7:$BG$1843,"&gt;"&amp;BG1135)+SUMIFS($BC$7:$BC$1843,$CF$7:$CF$1843,CF1135,$BG$7:$BG$1843,BG1135,$BW$7:$BW$1843,"&lt;="&amp;BW1135),"")</f>
        <v>4599.64285714286</v>
      </c>
      <c r="BI1135" s="58" t="n">
        <f aca="false">IF(BH1135="",0,MAX(0,MIN(1,(IF(CF1135="L1",Parameter!$H$5,IF(CF1135="L23",Parameter!$H$6+Parameter!$H$7,Parameter!$H$5+Parameter!$H$6+Parameter!$H$7))-(BH1135-BC1135))/BC1135)))</f>
        <v>1</v>
      </c>
      <c r="BJ1135" s="48" t="str">
        <f aca="false">IF(AI1135&lt;=0,"",IF(CF1135="Aussen","Aussenlager",IF(CF1135="-","Nicht im Lift",IF(AO1135&gt;=1,"Lift",IF(AO1135&lt;=0,"Aussenlager","teilweise")))))</f>
        <v>Lift</v>
      </c>
      <c r="BK1135" s="48" t="str">
        <f aca="false">IF(AS1135&lt;=0,"",IF(CF1135="Aussen","Aussenlager",IF(CF1135="-","Nicht im Lift",IF(AY1135&gt;=1,"Lift",IF(AY1135&lt;=0,"Aussenlager","teilweise")))))</f>
        <v>Lift</v>
      </c>
      <c r="BL1135" s="48" t="str">
        <f aca="false">IF(BC1135&lt;=0,"",IF(CF1135="Aussen","Aussenlager",IF(CF1135="-","Nicht im Lift",IF(BI1135&gt;=1,"Lift",IF(BI1135&lt;=0,"Aussenlager","teilweise")))))</f>
        <v>Lift</v>
      </c>
      <c r="BM1135" s="48" t="str">
        <f aca="false">IF(A1135="","",IF(BV1135=1,"Neu; ","")&amp;IF(AND(BV1135=0,BQ1135&lt;0),"negativer Bestand (Export "&amp;BQ1135&amp;"); ","")&amp;IF(J1135&lt;=0,"Kein Verbrauch; ","")&amp;IF(CQ1135&gt;0,"Lift "&amp;W1135&amp;" lt. Liftbericht (Fach "&amp;X1135&amp;" Stk); ",IF(CA1135=1,"Gebinde geschätzt ("&amp;T1135&amp;"); ",IF(BZ1135=1,"Lose – Tablare geschätzt; ","")))&amp;IF(H1135&gt;AV1135,"Überbestand "&amp;ROUND(H1135-AV1135,0)&amp;" Stk / CHF "&amp;ROUND((H1135-AV1135)*G1135,0)&amp;"; ","")&amp;IF(AND(CH1135=1,CI1135&lt;CJ1135),"MAX &lt; MB+LG; ","")&amp;IF(AND(CP1135&gt;0,CO1135*10&gt;CP1135),"zu hoch für Tablar; ","")&amp;IF(AND(BV1135=0,OR(CH1135=1,AA1135&lt;&gt;"",U1135&lt;&gt;"",V1135&lt;&gt;"",AB1135&lt;&gt;"")),"manuell übersteuert; ","")&amp;IF(AND(BZ1135=0,R1135=0),"Gebinde unbekannt / Stellmass fehlt; ","")&amp;IF(AND(BZ1135=0,N(V1135)&lt;=0,N(Q1135)&lt;=0),"Menge pro Gebinde fehlt (Ist = 1 Gebinde); ","")&amp;BU1135)</f>
        <v>negativer Bestand (Export -13); </v>
      </c>
      <c r="BN1135" s="48"/>
      <c r="BO1135" s="48"/>
      <c r="BP1135" s="55"/>
      <c r="BQ1135" s="50" t="n">
        <v>-13</v>
      </c>
      <c r="BR1135" s="50" t="n">
        <v>19</v>
      </c>
      <c r="BS1135" s="49" t="n">
        <v>-263.12</v>
      </c>
      <c r="BT1135" s="50" t="n">
        <v>10</v>
      </c>
      <c r="BU1135" s="48"/>
      <c r="BV1135" s="53" t="n">
        <v>0</v>
      </c>
      <c r="BW1135" s="53" t="n">
        <v>1135</v>
      </c>
      <c r="BX1135" s="48" t="str">
        <f aca="false">IF(U1135&lt;&gt;"",UPPER(TRIM(U1135)),IF(CA1135=1,UPPER(VLOOKUP(T1135,Parameter!$I$27:$K$29,2,0)),IF(P1135="","LOSE",P1135)))</f>
        <v>S33</v>
      </c>
      <c r="BY1135" s="50" t="n">
        <f aca="false">IF(BX1135="LOSE",1,IF(N(V1135)&gt;0,V1135,IF(CA1135=1,MAX(1,N(VLOOKUP(T1135,Parameter!$I$27:$K$29,3,0)),H1135,N(N1135)),IF(N(Q1135)&gt;0,Q1135,MAX(1,H1135)))))</f>
        <v>7</v>
      </c>
      <c r="BZ1135" s="53" t="n">
        <f aca="false">IF(BX1135="LOSE",1,0)</f>
        <v>0</v>
      </c>
      <c r="CA1135" s="53" t="n">
        <f aca="false">IF(AND(U1135="",OR(P1135="",P1135="LOSE"),T1135&lt;&gt;"",N(S1135)&lt;=0,ISNUMBER(MATCH(T1135,Parameter!$I$27:$I$29,0))),1,0)</f>
        <v>0</v>
      </c>
      <c r="CB1135" s="53" t="n">
        <f aca="false">IF(CQ1135&gt;0,INDEX(Parameter!$H$5:$H$7,W1135)/INDEX(Parameter!$E$5:$E$7,W1135),IF(AND(BZ1135=0,N(IFERROR(VLOOKUP(BX1135,'Gebinde-Kategorie'!$A$5:$N$45,14,0),0))&gt;0),VLOOKUP(BX1135,'Gebinde-Kategorie'!$A$5:$N$45,14,0)*10+Parameter!$M$23,Parameter!$M$24))</f>
        <v>155</v>
      </c>
      <c r="CC1135" s="48" t="str">
        <f aca="false">IF(AND(Parameter!$B$19="Ja",E1135&lt;&gt;"",ISNUMBER(MATCH(E1135,Parameter!$I$35:$I$52,0))),VLOOKUP(E1135,Parameter!$I$35:$J$52,2,0),IFERROR(VLOOKUP(D1135,Parameter!$A$35:$C$64,2,0),"Nein"))</f>
        <v>2+3</v>
      </c>
      <c r="CD1135" s="52" t="n">
        <f aca="false">IF(BZ1135=0,0,IF(N(S1135)&gt;0,S1135,IFERROR(VLOOKUP(D1135,Parameter!$A$35:$C$64,3,0)+0,0)))</f>
        <v>0</v>
      </c>
      <c r="CE1135" s="48" t="n">
        <f aca="false">IF(AA1135&lt;&gt;"",AA1135,Z1135)</f>
        <v>3</v>
      </c>
      <c r="CF1135" s="48" t="str">
        <f aca="false">IF(OR(CE1135=1,CE1135=2,CE1135=3),IF(Parameter!$E$27="Ja","LIFT",IF(CE1135=1,"L1","L23")),IF(CE1135="Aussen","Aussen","-"))</f>
        <v>LIFT</v>
      </c>
      <c r="CG1135" s="59" t="n">
        <f aca="false">IF(N(AB1135)&gt;0,AB1135,0)</f>
        <v>0</v>
      </c>
      <c r="CH1135" s="53" t="n">
        <f aca="false">IF(ISNUMBER(AE1135),1,0)</f>
        <v>0</v>
      </c>
      <c r="CI1135" s="50" t="n">
        <f aca="false">N(AE1135)</f>
        <v>0</v>
      </c>
      <c r="CJ1135" s="50" t="n">
        <f aca="false">N(M1135)+N(N1135)</f>
        <v>10</v>
      </c>
      <c r="CK1135" s="50" t="n">
        <f aca="false">N(M1135)</f>
        <v>0</v>
      </c>
      <c r="CL1135" s="50" t="n">
        <f aca="false">N(N1135)</f>
        <v>10</v>
      </c>
      <c r="CM1135" s="50" t="n">
        <f aca="false">ROUNDUP(H1135/BY1135,0)</f>
        <v>1</v>
      </c>
      <c r="CN1135" s="50" t="n">
        <f aca="false">ROUNDUP(CI1135/BY1135,0)</f>
        <v>0</v>
      </c>
      <c r="CO1135" s="53" t="n">
        <f aca="false">IF(BZ1135=1,0,IFERROR(VLOOKUP(BX1135,'Gebinde-Kategorie'!$A$5:$N$45,5,0)+0,0))</f>
        <v>8</v>
      </c>
      <c r="CP1135" s="53" t="n">
        <f aca="false">IFERROR(IF(OR(CE1135=1,CE1135=2,CE1135=3),N(INDEX(Parameter!$I$5:$I$7,CE1135)),0),0)</f>
        <v>0</v>
      </c>
      <c r="CQ1135" s="52" t="n">
        <f aca="false">IF(AND(Parameter!$B$21="Ja",ISNUMBER(W1135),N(X1135)&gt;0),IFERROR(N(INDEX(Parameter!$L$5:$L$7,W1135))*INDEX(Parameter!$E$5:$E$7,W1135)*X1135/SUMIFS($X$7:$X$1843,$W$7:$W$1843,W1135),0),0)</f>
        <v>0</v>
      </c>
    </row>
    <row r="1136" customFormat="false" ht="15" hidden="false" customHeight="false" outlineLevel="0" collapsed="false">
      <c r="A1136" s="48" t="s">
        <v>2064</v>
      </c>
      <c r="B1136" s="48" t="s">
        <v>2045</v>
      </c>
      <c r="C1136" s="48" t="s">
        <v>173</v>
      </c>
      <c r="D1136" s="48" t="s">
        <v>193</v>
      </c>
      <c r="E1136" s="48"/>
      <c r="F1136" s="48" t="s">
        <v>227</v>
      </c>
      <c r="G1136" s="49" t="n">
        <v>66.83</v>
      </c>
      <c r="H1136" s="50" t="n">
        <f aca="false">MAX(0,IF(AND(Parameter!$B$21="Ja",ISNUMBER(Y1136)),Y1136,IF(Parameter!$B$20="Jahresanfang 2025 + Export",BR1136+BQ1136,BQ1136)))</f>
        <v>4</v>
      </c>
      <c r="I1136" s="50" t="n">
        <f aca="false">H1136*G1136</f>
        <v>267.32</v>
      </c>
      <c r="J1136" s="50" t="n">
        <f aca="false">BT1136*Parameter!$B$18</f>
        <v>0</v>
      </c>
      <c r="K1136" s="51" t="n">
        <v>8.5</v>
      </c>
      <c r="L1136" s="52" t="n">
        <v>0</v>
      </c>
      <c r="M1136" s="50" t="n">
        <v>0</v>
      </c>
      <c r="N1136" s="50" t="n">
        <v>1</v>
      </c>
      <c r="O1136" s="53" t="n">
        <v>28</v>
      </c>
      <c r="P1136" s="48" t="s">
        <v>311</v>
      </c>
      <c r="Q1136" s="50" t="n">
        <v>6</v>
      </c>
      <c r="R1136" s="53" t="n">
        <f aca="false">IF(BZ1136=1,0,IFERROR(VLOOKUP(BX1136,'Gebinde-Kategorie'!$A$5:$N$45,13,0)+0,0))</f>
        <v>26</v>
      </c>
      <c r="S1136" s="54"/>
      <c r="T1136" s="55"/>
      <c r="U1136" s="55"/>
      <c r="V1136" s="55"/>
      <c r="W1136" s="48"/>
      <c r="X1136" s="50"/>
      <c r="Y1136" s="50"/>
      <c r="Z1136" s="48" t="n">
        <f aca="false">IF(A1136="","",IF(AND(Parameter!$B$21="Ja",ISNUMBER(W1136)),W1136,IF(CC1136="2+3",IF(ISNUMBER(SEARCH("grosser Artikel",BU1136)),2,IFERROR(VLOOKUP(BX1136,Parameter!$F$35:$G$64,2,0),2)),IF(OR(CC1136="Nein",CC1136=""),"-",CC1136))))</f>
        <v>3</v>
      </c>
      <c r="AA1136" s="55"/>
      <c r="AB1136" s="56"/>
      <c r="AC1136" s="50" t="n">
        <f aca="false">AV1136</f>
        <v>1</v>
      </c>
      <c r="AD1136" s="50" t="n">
        <f aca="false">MAX(AV1136,H1136)</f>
        <v>4</v>
      </c>
      <c r="AE1136" s="57"/>
      <c r="AF1136" s="50" t="n">
        <f aca="false">IF(LEFT(Cockpit!$C$5,1)="A",H1136,IF(Parameter!$E$30="MAX-Bestand",IF(CH1136=1,CI1136,IF(LEFT(Cockpit!$C$5,1)="B",AL1136,MAX(AL1136,H1136))),ROUNDUP(AJ1136,0)))</f>
        <v>4</v>
      </c>
      <c r="AG1136" s="50" t="n">
        <f aca="false">IF(BZ1136=1,0,ROUNDUP(AF1136/BY1136,0))</f>
        <v>1</v>
      </c>
      <c r="AH1136" s="52" t="n">
        <f aca="false">IF(CQ1136&gt;0,CQ1136*MAX(1,AF1136/X1136),IF(BZ1136=1,IF(AF1136&lt;=0,0,CD1136*MAX(1,IF(H1136&gt;0,AF1136/H1136,1))),IF(R1136&gt;0,AG1136/R1136,0))/MAX(0.1,N(Parameter!$M$21)))</f>
        <v>0.0384615384615385</v>
      </c>
      <c r="AI1136" s="50" t="n">
        <f aca="false">AH1136*CB1136</f>
        <v>5.96153846153846</v>
      </c>
      <c r="AJ1136" s="51" t="n">
        <f aca="false">IF(LEFT(Cockpit!$C$5,1)="A",H1136,IF(CH1136=1,(CK1136+CI1136)/2,IF(LEFT(Cockpit!$C$5,1)="B",(CK1136+AL1136)/2,MAX((CK1136+AL1136)/2,H1136))))</f>
        <v>4</v>
      </c>
      <c r="AK1136" s="50" t="n">
        <f aca="false">AJ1136*G1136</f>
        <v>267.32</v>
      </c>
      <c r="AL1136" s="50" t="n">
        <f aca="false">ROUNDUP(CK1136+MAX(CL1136,2*(J1136/IF(CG1136&gt;0,CG1136,MAX(0.1,N(Cockpit!$C$6)))-CK1136)),0)</f>
        <v>1</v>
      </c>
      <c r="AM1136" s="51" t="n">
        <f aca="false">IF(AI1136&gt;0,J1136/AI1136,-1)</f>
        <v>0</v>
      </c>
      <c r="AN1136" s="51" t="n">
        <f aca="false">IF(AND(OR(CF1136="L1",CF1136="L23",CF1136="LIFT"),AI1136&gt;0),SUMIFS($AI$7:$AI$1843,$CF$7:$CF$1843,CF1136,$AM$7:$AM$1843,"&gt;"&amp;AM1136)+SUMIFS($AI$7:$AI$1843,$CF$7:$CF$1843,CF1136,$AM$7:$AM$1843,AM1136,$BW$7:$BW$1843,"&lt;="&amp;BW1136),"")</f>
        <v>29158.8225124687</v>
      </c>
      <c r="AO1136" s="58" t="n">
        <f aca="false">IF(AN1136="",0,MAX(0,MIN(1,(IF(CF1136="L1",Parameter!$H$5,IF(CF1136="L23",Parameter!$H$6+Parameter!$H$7,Parameter!$H$5+Parameter!$H$6+Parameter!$H$7))-(AN1136-AI1136))/AI1136)))</f>
        <v>1</v>
      </c>
      <c r="AP1136" s="50" t="n">
        <f aca="false">IF(LEFT(Cockpit!$I$5,1)="A",H1136,IF(Parameter!$E$30="MAX-Bestand",IF(CH1136=1,CI1136,IF(LEFT(Cockpit!$I$5,1)="B",AV1136,MAX(AV1136,H1136))),ROUNDUP(AT1136,0)))</f>
        <v>4</v>
      </c>
      <c r="AQ1136" s="50" t="n">
        <f aca="false">IF(BZ1136=1,0,ROUNDUP(AP1136/BY1136,0))</f>
        <v>1</v>
      </c>
      <c r="AR1136" s="52" t="n">
        <f aca="false">IF(CQ1136&gt;0,CQ1136*MAX(1,AP1136/X1136),IF(BZ1136=1,IF(AP1136&lt;=0,0,CD1136*MAX(1,IF(H1136&gt;0,AP1136/H1136,1))),IF(R1136&gt;0,AQ1136/R1136,0))/MAX(0.1,N(Parameter!$M$21)))</f>
        <v>0.0384615384615385</v>
      </c>
      <c r="AS1136" s="50" t="n">
        <f aca="false">AR1136*CB1136</f>
        <v>5.96153846153846</v>
      </c>
      <c r="AT1136" s="51" t="n">
        <f aca="false">IF(LEFT(Cockpit!$I$5,1)="A",H1136,IF(CH1136=1,(CK1136+CI1136)/2,IF(LEFT(Cockpit!$I$5,1)="B",(CK1136+AV1136)/2,MAX((CK1136+AV1136)/2,H1136))))</f>
        <v>4</v>
      </c>
      <c r="AU1136" s="50" t="n">
        <f aca="false">AT1136*G1136</f>
        <v>267.32</v>
      </c>
      <c r="AV1136" s="50" t="n">
        <f aca="false">ROUNDUP(CK1136+MAX(CL1136,2*(J1136/IF(CG1136&gt;0,CG1136,MAX(0.1,N(Cockpit!$I$6)))-CK1136)),0)</f>
        <v>1</v>
      </c>
      <c r="AW1136" s="51" t="n">
        <f aca="false">IF(AS1136&gt;0,J1136/AS1136,-1)</f>
        <v>0</v>
      </c>
      <c r="AX1136" s="51" t="n">
        <f aca="false">IF(AND(OR(CF1136="L1",CF1136="L23",CF1136="LIFT"),AS1136&gt;0),SUMIFS($AS$7:$AS$1843,$CF$7:$CF$1843,CF1136,$AW$7:$AW$1843,"&gt;"&amp;AW1136)+SUMIFS($AS$7:$AS$1843,$CF$7:$CF$1843,CF1136,$AW$7:$AW$1843,AW1136,$BW$7:$BW$1843,"&lt;="&amp;BW1136),"")</f>
        <v>34943.7907509158</v>
      </c>
      <c r="AY1136" s="58" t="n">
        <f aca="false">IF(AX1136="",0,MAX(0,MIN(1,(IF(CF1136="L1",Parameter!$H$5,IF(CF1136="L23",Parameter!$H$6+Parameter!$H$7,Parameter!$H$5+Parameter!$H$6+Parameter!$H$7))-(AX1136-AS1136))/AS1136)))</f>
        <v>1</v>
      </c>
      <c r="AZ1136" s="50" t="n">
        <f aca="false">IF(LEFT(Cockpit!$O$5,1)="A",H1136,IF(Parameter!$E$30="MAX-Bestand",IF(CH1136=1,CI1136,IF(LEFT(Cockpit!$O$5,1)="B",BF1136,MAX(BF1136,H1136))),ROUNDUP(BD1136,0)))</f>
        <v>1</v>
      </c>
      <c r="BA1136" s="50" t="n">
        <f aca="false">IF(BZ1136=1,0,ROUNDUP(AZ1136/BY1136,0))</f>
        <v>1</v>
      </c>
      <c r="BB1136" s="52" t="n">
        <f aca="false">IF(CQ1136&gt;0,CQ1136*MAX(1,AZ1136/X1136),IF(BZ1136=1,IF(AZ1136&lt;=0,0,CD1136*MAX(1,IF(H1136&gt;0,AZ1136/H1136,1))),IF(R1136&gt;0,BA1136/R1136,0))/MAX(0.1,N(Parameter!$M$21)))</f>
        <v>0.0384615384615385</v>
      </c>
      <c r="BC1136" s="50" t="n">
        <f aca="false">BB1136*CB1136</f>
        <v>5.96153846153846</v>
      </c>
      <c r="BD1136" s="51" t="n">
        <f aca="false">IF(LEFT(Cockpit!$O$5,1)="A",H1136,IF(CH1136=1,(CK1136+CI1136)/2,IF(LEFT(Cockpit!$O$5,1)="B",(CK1136+BF1136)/2,MAX((CK1136+BF1136)/2,H1136))))</f>
        <v>0.5</v>
      </c>
      <c r="BE1136" s="50" t="n">
        <f aca="false">BD1136*G1136</f>
        <v>33.415</v>
      </c>
      <c r="BF1136" s="50" t="n">
        <f aca="false">ROUNDUP(CK1136+MAX(CL1136,2*(J1136/IF(CG1136&gt;0,CG1136,MAX(0.1,N(Cockpit!$O$6)))-CK1136)),0)</f>
        <v>1</v>
      </c>
      <c r="BG1136" s="51" t="n">
        <f aca="false">IF(BC1136&gt;0,J1136/BC1136,-1)</f>
        <v>0</v>
      </c>
      <c r="BH1136" s="51" t="n">
        <f aca="false">IF(AND(OR(CF1136="L1",CF1136="L23",CF1136="LIFT"),BC1136&gt;0),SUMIFS($BC$7:$BC$1843,$CF$7:$CF$1843,CF1136,$BG$7:$BG$1843,"&gt;"&amp;BG1136)+SUMIFS($BC$7:$BC$1843,$CF$7:$CF$1843,CF1136,$BG$7:$BG$1843,BG1136,$BW$7:$BW$1843,"&lt;="&amp;BW1136),"")</f>
        <v>28929.0974110635</v>
      </c>
      <c r="BI1136" s="58" t="n">
        <f aca="false">IF(BH1136="",0,MAX(0,MIN(1,(IF(CF1136="L1",Parameter!$H$5,IF(CF1136="L23",Parameter!$H$6+Parameter!$H$7,Parameter!$H$5+Parameter!$H$6+Parameter!$H$7))-(BH1136-BC1136))/BC1136)))</f>
        <v>1</v>
      </c>
      <c r="BJ1136" s="48" t="str">
        <f aca="false">IF(AI1136&lt;=0,"",IF(CF1136="Aussen","Aussenlager",IF(CF1136="-","Nicht im Lift",IF(AO1136&gt;=1,"Lift",IF(AO1136&lt;=0,"Aussenlager","teilweise")))))</f>
        <v>Lift</v>
      </c>
      <c r="BK1136" s="48" t="str">
        <f aca="false">IF(AS1136&lt;=0,"",IF(CF1136="Aussen","Aussenlager",IF(CF1136="-","Nicht im Lift",IF(AY1136&gt;=1,"Lift",IF(AY1136&lt;=0,"Aussenlager","teilweise")))))</f>
        <v>Lift</v>
      </c>
      <c r="BL1136" s="48" t="str">
        <f aca="false">IF(BC1136&lt;=0,"",IF(CF1136="Aussen","Aussenlager",IF(CF1136="-","Nicht im Lift",IF(BI1136&gt;=1,"Lift",IF(BI1136&lt;=0,"Aussenlager","teilweise")))))</f>
        <v>Lift</v>
      </c>
      <c r="BM1136" s="48" t="str">
        <f aca="false">IF(A1136="","",IF(BV1136=1,"Neu; ","")&amp;IF(AND(BV1136=0,BQ1136&lt;0),"negativer Bestand (Export "&amp;BQ1136&amp;"); ","")&amp;IF(J1136&lt;=0,"Kein Verbrauch; ","")&amp;IF(CQ1136&gt;0,"Lift "&amp;W1136&amp;" lt. Liftbericht (Fach "&amp;X1136&amp;" Stk); ",IF(CA1136=1,"Gebinde geschätzt ("&amp;T1136&amp;"); ",IF(BZ1136=1,"Lose – Tablare geschätzt; ","")))&amp;IF(H1136&gt;AV1136,"Überbestand "&amp;ROUND(H1136-AV1136,0)&amp;" Stk / CHF "&amp;ROUND((H1136-AV1136)*G1136,0)&amp;"; ","")&amp;IF(AND(CH1136=1,CI1136&lt;CJ1136),"MAX &lt; MB+LG; ","")&amp;IF(AND(CP1136&gt;0,CO1136*10&gt;CP1136),"zu hoch für Tablar; ","")&amp;IF(AND(BV1136=0,OR(CH1136=1,AA1136&lt;&gt;"",U1136&lt;&gt;"",V1136&lt;&gt;"",AB1136&lt;&gt;"")),"manuell übersteuert; ","")&amp;IF(AND(BZ1136=0,R1136=0),"Gebinde unbekannt / Stellmass fehlt; ","")&amp;IF(AND(BZ1136=0,N(V1136)&lt;=0,N(Q1136)&lt;=0),"Menge pro Gebinde fehlt (Ist = 1 Gebinde); ","")&amp;BU1136)</f>
        <v>negativer Bestand (Export -4); Kein Verbrauch; Überbestand 3 Stk / CHF 200; </v>
      </c>
      <c r="BN1136" s="48"/>
      <c r="BO1136" s="48"/>
      <c r="BP1136" s="55"/>
      <c r="BQ1136" s="50" t="n">
        <v>-4</v>
      </c>
      <c r="BR1136" s="50" t="n">
        <v>8</v>
      </c>
      <c r="BS1136" s="49" t="n">
        <v>-267.32</v>
      </c>
      <c r="BT1136" s="50" t="n">
        <v>0</v>
      </c>
      <c r="BU1136" s="48"/>
      <c r="BV1136" s="53" t="n">
        <v>0</v>
      </c>
      <c r="BW1136" s="53" t="n">
        <v>1136</v>
      </c>
      <c r="BX1136" s="48" t="str">
        <f aca="false">IF(U1136&lt;&gt;"",UPPER(TRIM(U1136)),IF(CA1136=1,UPPER(VLOOKUP(T1136,Parameter!$I$27:$K$29,2,0)),IF(P1136="","LOSE",P1136)))</f>
        <v>S51</v>
      </c>
      <c r="BY1136" s="50" t="n">
        <f aca="false">IF(BX1136="LOSE",1,IF(N(V1136)&gt;0,V1136,IF(CA1136=1,MAX(1,N(VLOOKUP(T1136,Parameter!$I$27:$K$29,3,0)),H1136,N(N1136)),IF(N(Q1136)&gt;0,Q1136,MAX(1,H1136)))))</f>
        <v>6</v>
      </c>
      <c r="BZ1136" s="53" t="n">
        <f aca="false">IF(BX1136="LOSE",1,0)</f>
        <v>0</v>
      </c>
      <c r="CA1136" s="53" t="n">
        <f aca="false">IF(AND(U1136="",OR(P1136="",P1136="LOSE"),T1136&lt;&gt;"",N(S1136)&lt;=0,ISNUMBER(MATCH(T1136,Parameter!$I$27:$I$29,0))),1,0)</f>
        <v>0</v>
      </c>
      <c r="CB1136" s="53" t="n">
        <f aca="false">IF(CQ1136&gt;0,INDEX(Parameter!$H$5:$H$7,W1136)/INDEX(Parameter!$E$5:$E$7,W1136),IF(AND(BZ1136=0,N(IFERROR(VLOOKUP(BX1136,'Gebinde-Kategorie'!$A$5:$N$45,14,0),0))&gt;0),VLOOKUP(BX1136,'Gebinde-Kategorie'!$A$5:$N$45,14,0)*10+Parameter!$M$23,Parameter!$M$24))</f>
        <v>155</v>
      </c>
      <c r="CC1136" s="48" t="str">
        <f aca="false">IF(AND(Parameter!$B$19="Ja",E1136&lt;&gt;"",ISNUMBER(MATCH(E1136,Parameter!$I$35:$I$52,0))),VLOOKUP(E1136,Parameter!$I$35:$J$52,2,0),IFERROR(VLOOKUP(D1136,Parameter!$A$35:$C$64,2,0),"Nein"))</f>
        <v>2+3</v>
      </c>
      <c r="CD1136" s="52" t="n">
        <f aca="false">IF(BZ1136=0,0,IF(N(S1136)&gt;0,S1136,IFERROR(VLOOKUP(D1136,Parameter!$A$35:$C$64,3,0)+0,0)))</f>
        <v>0</v>
      </c>
      <c r="CE1136" s="48" t="n">
        <f aca="false">IF(AA1136&lt;&gt;"",AA1136,Z1136)</f>
        <v>3</v>
      </c>
      <c r="CF1136" s="48" t="str">
        <f aca="false">IF(OR(CE1136=1,CE1136=2,CE1136=3),IF(Parameter!$E$27="Ja","LIFT",IF(CE1136=1,"L1","L23")),IF(CE1136="Aussen","Aussen","-"))</f>
        <v>LIFT</v>
      </c>
      <c r="CG1136" s="59" t="n">
        <f aca="false">IF(N(AB1136)&gt;0,AB1136,0)</f>
        <v>0</v>
      </c>
      <c r="CH1136" s="53" t="n">
        <f aca="false">IF(ISNUMBER(AE1136),1,0)</f>
        <v>0</v>
      </c>
      <c r="CI1136" s="50" t="n">
        <f aca="false">N(AE1136)</f>
        <v>0</v>
      </c>
      <c r="CJ1136" s="50" t="n">
        <f aca="false">N(M1136)+N(N1136)</f>
        <v>1</v>
      </c>
      <c r="CK1136" s="50" t="n">
        <f aca="false">N(M1136)</f>
        <v>0</v>
      </c>
      <c r="CL1136" s="50" t="n">
        <f aca="false">N(N1136)</f>
        <v>1</v>
      </c>
      <c r="CM1136" s="50" t="n">
        <f aca="false">ROUNDUP(H1136/BY1136,0)</f>
        <v>1</v>
      </c>
      <c r="CN1136" s="50" t="n">
        <f aca="false">ROUNDUP(CI1136/BY1136,0)</f>
        <v>0</v>
      </c>
      <c r="CO1136" s="53" t="n">
        <f aca="false">IF(BZ1136=1,0,IFERROR(VLOOKUP(BX1136,'Gebinde-Kategorie'!$A$5:$N$45,5,0)+0,0))</f>
        <v>11</v>
      </c>
      <c r="CP1136" s="53" t="n">
        <f aca="false">IFERROR(IF(OR(CE1136=1,CE1136=2,CE1136=3),N(INDEX(Parameter!$I$5:$I$7,CE1136)),0),0)</f>
        <v>0</v>
      </c>
      <c r="CQ1136" s="52" t="n">
        <f aca="false">IF(AND(Parameter!$B$21="Ja",ISNUMBER(W1136),N(X1136)&gt;0),IFERROR(N(INDEX(Parameter!$L$5:$L$7,W1136))*INDEX(Parameter!$E$5:$E$7,W1136)*X1136/SUMIFS($X$7:$X$1843,$W$7:$W$1843,W1136),0),0)</f>
        <v>0</v>
      </c>
    </row>
    <row r="1137" customFormat="false" ht="15" hidden="false" customHeight="false" outlineLevel="0" collapsed="false">
      <c r="A1137" s="48" t="s">
        <v>2065</v>
      </c>
      <c r="B1137" s="48" t="s">
        <v>2066</v>
      </c>
      <c r="C1137" s="48" t="s">
        <v>173</v>
      </c>
      <c r="D1137" s="48" t="s">
        <v>193</v>
      </c>
      <c r="E1137" s="48"/>
      <c r="F1137" s="48" t="s">
        <v>227</v>
      </c>
      <c r="G1137" s="49" t="n">
        <v>275.65</v>
      </c>
      <c r="H1137" s="50" t="n">
        <f aca="false">MAX(0,IF(AND(Parameter!$B$21="Ja",ISNUMBER(Y1137)),Y1137,IF(Parameter!$B$20="Jahresanfang 2025 + Export",BR1137+BQ1137,BQ1137)))</f>
        <v>1</v>
      </c>
      <c r="I1137" s="50" t="n">
        <f aca="false">H1137*G1137</f>
        <v>275.65</v>
      </c>
      <c r="J1137" s="50" t="n">
        <f aca="false">BT1137*Parameter!$B$18</f>
        <v>0</v>
      </c>
      <c r="K1137" s="51" t="n">
        <v>2</v>
      </c>
      <c r="L1137" s="52" t="n">
        <v>0</v>
      </c>
      <c r="M1137" s="50" t="n">
        <v>0</v>
      </c>
      <c r="N1137" s="50" t="n">
        <v>2</v>
      </c>
      <c r="O1137" s="53" t="n">
        <v>70</v>
      </c>
      <c r="P1137" s="48" t="s">
        <v>235</v>
      </c>
      <c r="Q1137" s="50" t="n">
        <v>2</v>
      </c>
      <c r="R1137" s="53" t="n">
        <f aca="false">IF(BZ1137=1,0,IFERROR(VLOOKUP(BX1137,'Gebinde-Kategorie'!$A$5:$N$45,13,0)+0,0))</f>
        <v>12</v>
      </c>
      <c r="S1137" s="54"/>
      <c r="T1137" s="55"/>
      <c r="U1137" s="55"/>
      <c r="V1137" s="55"/>
      <c r="W1137" s="48"/>
      <c r="X1137" s="50"/>
      <c r="Y1137" s="50"/>
      <c r="Z1137" s="48" t="n">
        <f aca="false">IF(A1137="","",IF(AND(Parameter!$B$21="Ja",ISNUMBER(W1137)),W1137,IF(CC1137="2+3",IF(ISNUMBER(SEARCH("grosser Artikel",BU1137)),2,IFERROR(VLOOKUP(BX1137,Parameter!$F$35:$G$64,2,0),2)),IF(OR(CC1137="Nein",CC1137=""),"-",CC1137))))</f>
        <v>2</v>
      </c>
      <c r="AA1137" s="55"/>
      <c r="AB1137" s="56"/>
      <c r="AC1137" s="50" t="n">
        <f aca="false">AV1137</f>
        <v>2</v>
      </c>
      <c r="AD1137" s="50" t="n">
        <f aca="false">MAX(AV1137,H1137)</f>
        <v>2</v>
      </c>
      <c r="AE1137" s="57"/>
      <c r="AF1137" s="50" t="n">
        <f aca="false">IF(LEFT(Cockpit!$C$5,1)="A",H1137,IF(Parameter!$E$30="MAX-Bestand",IF(CH1137=1,CI1137,IF(LEFT(Cockpit!$C$5,1)="B",AL1137,MAX(AL1137,H1137))),ROUNDUP(AJ1137,0)))</f>
        <v>1</v>
      </c>
      <c r="AG1137" s="50" t="n">
        <f aca="false">IF(BZ1137=1,0,ROUNDUP(AF1137/BY1137,0))</f>
        <v>1</v>
      </c>
      <c r="AH1137" s="52" t="n">
        <f aca="false">IF(CQ1137&gt;0,CQ1137*MAX(1,AF1137/X1137),IF(BZ1137=1,IF(AF1137&lt;=0,0,CD1137*MAX(1,IF(H1137&gt;0,AF1137/H1137,1))),IF(R1137&gt;0,AG1137/R1137,0))/MAX(0.1,N(Parameter!$M$21)))</f>
        <v>0.0833333333333333</v>
      </c>
      <c r="AI1137" s="50" t="n">
        <f aca="false">AH1137*CB1137</f>
        <v>28.75</v>
      </c>
      <c r="AJ1137" s="51" t="n">
        <f aca="false">IF(LEFT(Cockpit!$C$5,1)="A",H1137,IF(CH1137=1,(CK1137+CI1137)/2,IF(LEFT(Cockpit!$C$5,1)="B",(CK1137+AL1137)/2,MAX((CK1137+AL1137)/2,H1137))))</f>
        <v>1</v>
      </c>
      <c r="AK1137" s="50" t="n">
        <f aca="false">AJ1137*G1137</f>
        <v>275.65</v>
      </c>
      <c r="AL1137" s="50" t="n">
        <f aca="false">ROUNDUP(CK1137+MAX(CL1137,2*(J1137/IF(CG1137&gt;0,CG1137,MAX(0.1,N(Cockpit!$C$6)))-CK1137)),0)</f>
        <v>2</v>
      </c>
      <c r="AM1137" s="51" t="n">
        <f aca="false">IF(AI1137&gt;0,J1137/AI1137,-1)</f>
        <v>0</v>
      </c>
      <c r="AN1137" s="51" t="n">
        <f aca="false">IF(AND(OR(CF1137="L1",CF1137="L23",CF1137="LIFT"),AI1137&gt;0),SUMIFS($AI$7:$AI$1843,$CF$7:$CF$1843,CF1137,$AM$7:$AM$1843,"&gt;"&amp;AM1137)+SUMIFS($AI$7:$AI$1843,$CF$7:$CF$1843,CF1137,$AM$7:$AM$1843,AM1137,$BW$7:$BW$1843,"&lt;="&amp;BW1137),"")</f>
        <v>29187.5725124687</v>
      </c>
      <c r="AO1137" s="58" t="n">
        <f aca="false">IF(AN1137="",0,MAX(0,MIN(1,(IF(CF1137="L1",Parameter!$H$5,IF(CF1137="L23",Parameter!$H$6+Parameter!$H$7,Parameter!$H$5+Parameter!$H$6+Parameter!$H$7))-(AN1137-AI1137))/AI1137)))</f>
        <v>1</v>
      </c>
      <c r="AP1137" s="50" t="n">
        <f aca="false">IF(LEFT(Cockpit!$I$5,1)="A",H1137,IF(Parameter!$E$30="MAX-Bestand",IF(CH1137=1,CI1137,IF(LEFT(Cockpit!$I$5,1)="B",AV1137,MAX(AV1137,H1137))),ROUNDUP(AT1137,0)))</f>
        <v>1</v>
      </c>
      <c r="AQ1137" s="50" t="n">
        <f aca="false">IF(BZ1137=1,0,ROUNDUP(AP1137/BY1137,0))</f>
        <v>1</v>
      </c>
      <c r="AR1137" s="52" t="n">
        <f aca="false">IF(CQ1137&gt;0,CQ1137*MAX(1,AP1137/X1137),IF(BZ1137=1,IF(AP1137&lt;=0,0,CD1137*MAX(1,IF(H1137&gt;0,AP1137/H1137,1))),IF(R1137&gt;0,AQ1137/R1137,0))/MAX(0.1,N(Parameter!$M$21)))</f>
        <v>0.0833333333333333</v>
      </c>
      <c r="AS1137" s="50" t="n">
        <f aca="false">AR1137*CB1137</f>
        <v>28.75</v>
      </c>
      <c r="AT1137" s="51" t="n">
        <f aca="false">IF(LEFT(Cockpit!$I$5,1)="A",H1137,IF(CH1137=1,(CK1137+CI1137)/2,IF(LEFT(Cockpit!$I$5,1)="B",(CK1137+AV1137)/2,MAX((CK1137+AV1137)/2,H1137))))</f>
        <v>1</v>
      </c>
      <c r="AU1137" s="50" t="n">
        <f aca="false">AT1137*G1137</f>
        <v>275.65</v>
      </c>
      <c r="AV1137" s="50" t="n">
        <f aca="false">ROUNDUP(CK1137+MAX(CL1137,2*(J1137/IF(CG1137&gt;0,CG1137,MAX(0.1,N(Cockpit!$I$6)))-CK1137)),0)</f>
        <v>2</v>
      </c>
      <c r="AW1137" s="51" t="n">
        <f aca="false">IF(AS1137&gt;0,J1137/AS1137,-1)</f>
        <v>0</v>
      </c>
      <c r="AX1137" s="51" t="n">
        <f aca="false">IF(AND(OR(CF1137="L1",CF1137="L23",CF1137="LIFT"),AS1137&gt;0),SUMIFS($AS$7:$AS$1843,$CF$7:$CF$1843,CF1137,$AW$7:$AW$1843,"&gt;"&amp;AW1137)+SUMIFS($AS$7:$AS$1843,$CF$7:$CF$1843,CF1137,$AW$7:$AW$1843,AW1137,$BW$7:$BW$1843,"&lt;="&amp;BW1137),"")</f>
        <v>34972.5407509158</v>
      </c>
      <c r="AY1137" s="58" t="n">
        <f aca="false">IF(AX1137="",0,MAX(0,MIN(1,(IF(CF1137="L1",Parameter!$H$5,IF(CF1137="L23",Parameter!$H$6+Parameter!$H$7,Parameter!$H$5+Parameter!$H$6+Parameter!$H$7))-(AX1137-AS1137))/AS1137)))</f>
        <v>1</v>
      </c>
      <c r="AZ1137" s="50" t="n">
        <f aca="false">IF(LEFT(Cockpit!$O$5,1)="A",H1137,IF(Parameter!$E$30="MAX-Bestand",IF(CH1137=1,CI1137,IF(LEFT(Cockpit!$O$5,1)="B",BF1137,MAX(BF1137,H1137))),ROUNDUP(BD1137,0)))</f>
        <v>1</v>
      </c>
      <c r="BA1137" s="50" t="n">
        <f aca="false">IF(BZ1137=1,0,ROUNDUP(AZ1137/BY1137,0))</f>
        <v>1</v>
      </c>
      <c r="BB1137" s="52" t="n">
        <f aca="false">IF(CQ1137&gt;0,CQ1137*MAX(1,AZ1137/X1137),IF(BZ1137=1,IF(AZ1137&lt;=0,0,CD1137*MAX(1,IF(H1137&gt;0,AZ1137/H1137,1))),IF(R1137&gt;0,BA1137/R1137,0))/MAX(0.1,N(Parameter!$M$21)))</f>
        <v>0.0833333333333333</v>
      </c>
      <c r="BC1137" s="50" t="n">
        <f aca="false">BB1137*CB1137</f>
        <v>28.75</v>
      </c>
      <c r="BD1137" s="51" t="n">
        <f aca="false">IF(LEFT(Cockpit!$O$5,1)="A",H1137,IF(CH1137=1,(CK1137+CI1137)/2,IF(LEFT(Cockpit!$O$5,1)="B",(CK1137+BF1137)/2,MAX((CK1137+BF1137)/2,H1137))))</f>
        <v>1</v>
      </c>
      <c r="BE1137" s="50" t="n">
        <f aca="false">BD1137*G1137</f>
        <v>275.65</v>
      </c>
      <c r="BF1137" s="50" t="n">
        <f aca="false">ROUNDUP(CK1137+MAX(CL1137,2*(J1137/IF(CG1137&gt;0,CG1137,MAX(0.1,N(Cockpit!$O$6)))-CK1137)),0)</f>
        <v>2</v>
      </c>
      <c r="BG1137" s="51" t="n">
        <f aca="false">IF(BC1137&gt;0,J1137/BC1137,-1)</f>
        <v>0</v>
      </c>
      <c r="BH1137" s="51" t="n">
        <f aca="false">IF(AND(OR(CF1137="L1",CF1137="L23",CF1137="LIFT"),BC1137&gt;0),SUMIFS($BC$7:$BC$1843,$CF$7:$CF$1843,CF1137,$BG$7:$BG$1843,"&gt;"&amp;BG1137)+SUMIFS($BC$7:$BC$1843,$CF$7:$CF$1843,CF1137,$BG$7:$BG$1843,BG1137,$BW$7:$BW$1843,"&lt;="&amp;BW1137),"")</f>
        <v>28957.8474110635</v>
      </c>
      <c r="BI1137" s="58" t="n">
        <f aca="false">IF(BH1137="",0,MAX(0,MIN(1,(IF(CF1137="L1",Parameter!$H$5,IF(CF1137="L23",Parameter!$H$6+Parameter!$H$7,Parameter!$H$5+Parameter!$H$6+Parameter!$H$7))-(BH1137-BC1137))/BC1137)))</f>
        <v>1</v>
      </c>
      <c r="BJ1137" s="48" t="str">
        <f aca="false">IF(AI1137&lt;=0,"",IF(CF1137="Aussen","Aussenlager",IF(CF1137="-","Nicht im Lift",IF(AO1137&gt;=1,"Lift",IF(AO1137&lt;=0,"Aussenlager","teilweise")))))</f>
        <v>Lift</v>
      </c>
      <c r="BK1137" s="48" t="str">
        <f aca="false">IF(AS1137&lt;=0,"",IF(CF1137="Aussen","Aussenlager",IF(CF1137="-","Nicht im Lift",IF(AY1137&gt;=1,"Lift",IF(AY1137&lt;=0,"Aussenlager","teilweise")))))</f>
        <v>Lift</v>
      </c>
      <c r="BL1137" s="48" t="str">
        <f aca="false">IF(BC1137&lt;=0,"",IF(CF1137="Aussen","Aussenlager",IF(CF1137="-","Nicht im Lift",IF(BI1137&gt;=1,"Lift",IF(BI1137&lt;=0,"Aussenlager","teilweise")))))</f>
        <v>Lift</v>
      </c>
      <c r="BM1137" s="48" t="str">
        <f aca="false">IF(A1137="","",IF(BV1137=1,"Neu; ","")&amp;IF(AND(BV1137=0,BQ1137&lt;0),"negativer Bestand (Export "&amp;BQ1137&amp;"); ","")&amp;IF(J1137&lt;=0,"Kein Verbrauch; ","")&amp;IF(CQ1137&gt;0,"Lift "&amp;W1137&amp;" lt. Liftbericht (Fach "&amp;X1137&amp;" Stk); ",IF(CA1137=1,"Gebinde geschätzt ("&amp;T1137&amp;"); ",IF(BZ1137=1,"Lose – Tablare geschätzt; ","")))&amp;IF(H1137&gt;AV1137,"Überbestand "&amp;ROUND(H1137-AV1137,0)&amp;" Stk / CHF "&amp;ROUND((H1137-AV1137)*G1137,0)&amp;"; ","")&amp;IF(AND(CH1137=1,CI1137&lt;CJ1137),"MAX &lt; MB+LG; ","")&amp;IF(AND(CP1137&gt;0,CO1137*10&gt;CP1137),"zu hoch für Tablar; ","")&amp;IF(AND(BV1137=0,OR(CH1137=1,AA1137&lt;&gt;"",U1137&lt;&gt;"",V1137&lt;&gt;"",AB1137&lt;&gt;"")),"manuell übersteuert; ","")&amp;IF(AND(BZ1137=0,R1137=0),"Gebinde unbekannt / Stellmass fehlt; ","")&amp;IF(AND(BZ1137=0,N(V1137)&lt;=0,N(Q1137)&lt;=0),"Menge pro Gebinde fehlt (Ist = 1 Gebinde); ","")&amp;BU1137)</f>
        <v>negativer Bestand (Export -1); Kein Verbrauch; </v>
      </c>
      <c r="BN1137" s="48"/>
      <c r="BO1137" s="48"/>
      <c r="BP1137" s="55"/>
      <c r="BQ1137" s="50" t="n">
        <v>-1</v>
      </c>
      <c r="BR1137" s="50" t="n">
        <v>2</v>
      </c>
      <c r="BS1137" s="49" t="n">
        <v>-275.65</v>
      </c>
      <c r="BT1137" s="50" t="n">
        <v>0</v>
      </c>
      <c r="BU1137" s="48"/>
      <c r="BV1137" s="53" t="n">
        <v>0</v>
      </c>
      <c r="BW1137" s="53" t="n">
        <v>1137</v>
      </c>
      <c r="BX1137" s="48" t="str">
        <f aca="false">IF(U1137&lt;&gt;"",UPPER(TRIM(U1137)),IF(CA1137=1,UPPER(VLOOKUP(T1137,Parameter!$I$27:$K$29,2,0)),IF(P1137="","LOSE",P1137)))</f>
        <v>S63</v>
      </c>
      <c r="BY1137" s="50" t="n">
        <f aca="false">IF(BX1137="LOSE",1,IF(N(V1137)&gt;0,V1137,IF(CA1137=1,MAX(1,N(VLOOKUP(T1137,Parameter!$I$27:$K$29,3,0)),H1137,N(N1137)),IF(N(Q1137)&gt;0,Q1137,MAX(1,H1137)))))</f>
        <v>2</v>
      </c>
      <c r="BZ1137" s="53" t="n">
        <f aca="false">IF(BX1137="LOSE",1,0)</f>
        <v>0</v>
      </c>
      <c r="CA1137" s="53" t="n">
        <f aca="false">IF(AND(U1137="",OR(P1137="",P1137="LOSE"),T1137&lt;&gt;"",N(S1137)&lt;=0,ISNUMBER(MATCH(T1137,Parameter!$I$27:$I$29,0))),1,0)</f>
        <v>0</v>
      </c>
      <c r="CB1137" s="53" t="n">
        <f aca="false">IF(CQ1137&gt;0,INDEX(Parameter!$H$5:$H$7,W1137)/INDEX(Parameter!$E$5:$E$7,W1137),IF(AND(BZ1137=0,N(IFERROR(VLOOKUP(BX1137,'Gebinde-Kategorie'!$A$5:$N$45,14,0),0))&gt;0),VLOOKUP(BX1137,'Gebinde-Kategorie'!$A$5:$N$45,14,0)*10+Parameter!$M$23,Parameter!$M$24))</f>
        <v>345</v>
      </c>
      <c r="CC1137" s="48" t="str">
        <f aca="false">IF(AND(Parameter!$B$19="Ja",E1137&lt;&gt;"",ISNUMBER(MATCH(E1137,Parameter!$I$35:$I$52,0))),VLOOKUP(E1137,Parameter!$I$35:$J$52,2,0),IFERROR(VLOOKUP(D1137,Parameter!$A$35:$C$64,2,0),"Nein"))</f>
        <v>2+3</v>
      </c>
      <c r="CD1137" s="52" t="n">
        <f aca="false">IF(BZ1137=0,0,IF(N(S1137)&gt;0,S1137,IFERROR(VLOOKUP(D1137,Parameter!$A$35:$C$64,3,0)+0,0)))</f>
        <v>0</v>
      </c>
      <c r="CE1137" s="48" t="n">
        <f aca="false">IF(AA1137&lt;&gt;"",AA1137,Z1137)</f>
        <v>2</v>
      </c>
      <c r="CF1137" s="48" t="str">
        <f aca="false">IF(OR(CE1137=1,CE1137=2,CE1137=3),IF(Parameter!$E$27="Ja","LIFT",IF(CE1137=1,"L1","L23")),IF(CE1137="Aussen","Aussen","-"))</f>
        <v>LIFT</v>
      </c>
      <c r="CG1137" s="59" t="n">
        <f aca="false">IF(N(AB1137)&gt;0,AB1137,0)</f>
        <v>0</v>
      </c>
      <c r="CH1137" s="53" t="n">
        <f aca="false">IF(ISNUMBER(AE1137),1,0)</f>
        <v>0</v>
      </c>
      <c r="CI1137" s="50" t="n">
        <f aca="false">N(AE1137)</f>
        <v>0</v>
      </c>
      <c r="CJ1137" s="50" t="n">
        <f aca="false">N(M1137)+N(N1137)</f>
        <v>2</v>
      </c>
      <c r="CK1137" s="50" t="n">
        <f aca="false">N(M1137)</f>
        <v>0</v>
      </c>
      <c r="CL1137" s="50" t="n">
        <f aca="false">N(N1137)</f>
        <v>2</v>
      </c>
      <c r="CM1137" s="50" t="n">
        <f aca="false">ROUNDUP(H1137/BY1137,0)</f>
        <v>1</v>
      </c>
      <c r="CN1137" s="50" t="n">
        <f aca="false">ROUNDUP(CI1137/BY1137,0)</f>
        <v>0</v>
      </c>
      <c r="CO1137" s="53" t="n">
        <f aca="false">IF(BZ1137=1,0,IFERROR(VLOOKUP(BX1137,'Gebinde-Kategorie'!$A$5:$N$45,5,0)+0,0))</f>
        <v>31</v>
      </c>
      <c r="CP1137" s="53" t="n">
        <f aca="false">IFERROR(IF(OR(CE1137=1,CE1137=2,CE1137=3),N(INDEX(Parameter!$I$5:$I$7,CE1137)),0),0)</f>
        <v>0</v>
      </c>
      <c r="CQ1137" s="52" t="n">
        <f aca="false">IF(AND(Parameter!$B$21="Ja",ISNUMBER(W1137),N(X1137)&gt;0),IFERROR(N(INDEX(Parameter!$L$5:$L$7,W1137))*INDEX(Parameter!$E$5:$E$7,W1137)*X1137/SUMIFS($X$7:$X$1843,$W$7:$W$1843,W1137),0),0)</f>
        <v>0</v>
      </c>
    </row>
    <row r="1138" customFormat="false" ht="15" hidden="false" customHeight="false" outlineLevel="0" collapsed="false">
      <c r="A1138" s="48" t="s">
        <v>2067</v>
      </c>
      <c r="B1138" s="48" t="s">
        <v>1957</v>
      </c>
      <c r="C1138" s="48" t="s">
        <v>465</v>
      </c>
      <c r="D1138" s="48" t="s">
        <v>193</v>
      </c>
      <c r="E1138" s="48"/>
      <c r="F1138" s="48" t="s">
        <v>227</v>
      </c>
      <c r="G1138" s="49" t="n">
        <v>34.5</v>
      </c>
      <c r="H1138" s="50" t="n">
        <f aca="false">MAX(0,IF(AND(Parameter!$B$21="Ja",ISNUMBER(Y1138)),Y1138,IF(Parameter!$B$20="Jahresanfang 2025 + Export",BR1138+BQ1138,BQ1138)))</f>
        <v>8</v>
      </c>
      <c r="I1138" s="50" t="n">
        <f aca="false">H1138*G1138</f>
        <v>276</v>
      </c>
      <c r="J1138" s="50" t="n">
        <f aca="false">BT1138*Parameter!$B$18</f>
        <v>0</v>
      </c>
      <c r="K1138" s="51" t="n">
        <v>8</v>
      </c>
      <c r="L1138" s="52" t="n">
        <v>0</v>
      </c>
      <c r="M1138" s="50" t="n">
        <v>0</v>
      </c>
      <c r="N1138" s="50" t="n">
        <v>1</v>
      </c>
      <c r="O1138" s="53" t="n">
        <v>21</v>
      </c>
      <c r="P1138" s="48" t="s">
        <v>177</v>
      </c>
      <c r="Q1138" s="50"/>
      <c r="R1138" s="53" t="n">
        <f aca="false">IF(BZ1138=1,0,IFERROR(VLOOKUP(BX1138,'Gebinde-Kategorie'!$A$5:$N$45,13,0)+0,0))</f>
        <v>4</v>
      </c>
      <c r="S1138" s="54"/>
      <c r="T1138" s="55" t="s">
        <v>198</v>
      </c>
      <c r="U1138" s="55"/>
      <c r="V1138" s="55"/>
      <c r="W1138" s="48"/>
      <c r="X1138" s="50"/>
      <c r="Y1138" s="50"/>
      <c r="Z1138" s="48" t="n">
        <f aca="false">IF(A1138="","",IF(AND(Parameter!$B$21="Ja",ISNUMBER(W1138)),W1138,IF(CC1138="2+3",IF(ISNUMBER(SEARCH("grosser Artikel",BU1138)),2,IFERROR(VLOOKUP(BX1138,Parameter!$F$35:$G$64,2,0),2)),IF(OR(CC1138="Nein",CC1138=""),"-",CC1138))))</f>
        <v>2</v>
      </c>
      <c r="AA1138" s="55"/>
      <c r="AB1138" s="56"/>
      <c r="AC1138" s="50" t="n">
        <f aca="false">AV1138</f>
        <v>1</v>
      </c>
      <c r="AD1138" s="50" t="n">
        <f aca="false">MAX(AV1138,H1138)</f>
        <v>8</v>
      </c>
      <c r="AE1138" s="57"/>
      <c r="AF1138" s="50" t="n">
        <f aca="false">IF(LEFT(Cockpit!$C$5,1)="A",H1138,IF(Parameter!$E$30="MAX-Bestand",IF(CH1138=1,CI1138,IF(LEFT(Cockpit!$C$5,1)="B",AL1138,MAX(AL1138,H1138))),ROUNDUP(AJ1138,0)))</f>
        <v>8</v>
      </c>
      <c r="AG1138" s="50" t="n">
        <f aca="false">IF(BZ1138=1,0,ROUNDUP(AF1138/BY1138,0))</f>
        <v>1</v>
      </c>
      <c r="AH1138" s="52" t="n">
        <f aca="false">IF(CQ1138&gt;0,CQ1138*MAX(1,AF1138/X1138),IF(BZ1138=1,IF(AF1138&lt;=0,0,CD1138*MAX(1,IF(H1138&gt;0,AF1138/H1138,1))),IF(R1138&gt;0,AG1138/R1138,0))/MAX(0.1,N(Parameter!$M$21)))</f>
        <v>0.25</v>
      </c>
      <c r="AI1138" s="50" t="n">
        <f aca="false">AH1138*CB1138</f>
        <v>58.75</v>
      </c>
      <c r="AJ1138" s="51" t="n">
        <f aca="false">IF(LEFT(Cockpit!$C$5,1)="A",H1138,IF(CH1138=1,(CK1138+CI1138)/2,IF(LEFT(Cockpit!$C$5,1)="B",(CK1138+AL1138)/2,MAX((CK1138+AL1138)/2,H1138))))</f>
        <v>8</v>
      </c>
      <c r="AK1138" s="50" t="n">
        <f aca="false">AJ1138*G1138</f>
        <v>276</v>
      </c>
      <c r="AL1138" s="50" t="n">
        <f aca="false">ROUNDUP(CK1138+MAX(CL1138,2*(J1138/IF(CG1138&gt;0,CG1138,MAX(0.1,N(Cockpit!$C$6)))-CK1138)),0)</f>
        <v>1</v>
      </c>
      <c r="AM1138" s="51" t="n">
        <f aca="false">IF(AI1138&gt;0,J1138/AI1138,-1)</f>
        <v>0</v>
      </c>
      <c r="AN1138" s="51" t="n">
        <f aca="false">IF(AND(OR(CF1138="L1",CF1138="L23",CF1138="LIFT"),AI1138&gt;0),SUMIFS($AI$7:$AI$1843,$CF$7:$CF$1843,CF1138,$AM$7:$AM$1843,"&gt;"&amp;AM1138)+SUMIFS($AI$7:$AI$1843,$CF$7:$CF$1843,CF1138,$AM$7:$AM$1843,AM1138,$BW$7:$BW$1843,"&lt;="&amp;BW1138),"")</f>
        <v>29246.3225124687</v>
      </c>
      <c r="AO1138" s="58" t="n">
        <f aca="false">IF(AN1138="",0,MAX(0,MIN(1,(IF(CF1138="L1",Parameter!$H$5,IF(CF1138="L23",Parameter!$H$6+Parameter!$H$7,Parameter!$H$5+Parameter!$H$6+Parameter!$H$7))-(AN1138-AI1138))/AI1138)))</f>
        <v>1</v>
      </c>
      <c r="AP1138" s="50" t="n">
        <f aca="false">IF(LEFT(Cockpit!$I$5,1)="A",H1138,IF(Parameter!$E$30="MAX-Bestand",IF(CH1138=1,CI1138,IF(LEFT(Cockpit!$I$5,1)="B",AV1138,MAX(AV1138,H1138))),ROUNDUP(AT1138,0)))</f>
        <v>8</v>
      </c>
      <c r="AQ1138" s="50" t="n">
        <f aca="false">IF(BZ1138=1,0,ROUNDUP(AP1138/BY1138,0))</f>
        <v>1</v>
      </c>
      <c r="AR1138" s="52" t="n">
        <f aca="false">IF(CQ1138&gt;0,CQ1138*MAX(1,AP1138/X1138),IF(BZ1138=1,IF(AP1138&lt;=0,0,CD1138*MAX(1,IF(H1138&gt;0,AP1138/H1138,1))),IF(R1138&gt;0,AQ1138/R1138,0))/MAX(0.1,N(Parameter!$M$21)))</f>
        <v>0.25</v>
      </c>
      <c r="AS1138" s="50" t="n">
        <f aca="false">AR1138*CB1138</f>
        <v>58.75</v>
      </c>
      <c r="AT1138" s="51" t="n">
        <f aca="false">IF(LEFT(Cockpit!$I$5,1)="A",H1138,IF(CH1138=1,(CK1138+CI1138)/2,IF(LEFT(Cockpit!$I$5,1)="B",(CK1138+AV1138)/2,MAX((CK1138+AV1138)/2,H1138))))</f>
        <v>8</v>
      </c>
      <c r="AU1138" s="50" t="n">
        <f aca="false">AT1138*G1138</f>
        <v>276</v>
      </c>
      <c r="AV1138" s="50" t="n">
        <f aca="false">ROUNDUP(CK1138+MAX(CL1138,2*(J1138/IF(CG1138&gt;0,CG1138,MAX(0.1,N(Cockpit!$I$6)))-CK1138)),0)</f>
        <v>1</v>
      </c>
      <c r="AW1138" s="51" t="n">
        <f aca="false">IF(AS1138&gt;0,J1138/AS1138,-1)</f>
        <v>0</v>
      </c>
      <c r="AX1138" s="51" t="n">
        <f aca="false">IF(AND(OR(CF1138="L1",CF1138="L23",CF1138="LIFT"),AS1138&gt;0),SUMIFS($AS$7:$AS$1843,$CF$7:$CF$1843,CF1138,$AW$7:$AW$1843,"&gt;"&amp;AW1138)+SUMIFS($AS$7:$AS$1843,$CF$7:$CF$1843,CF1138,$AW$7:$AW$1843,AW1138,$BW$7:$BW$1843,"&lt;="&amp;BW1138),"")</f>
        <v>35031.2907509158</v>
      </c>
      <c r="AY1138" s="58" t="n">
        <f aca="false">IF(AX1138="",0,MAX(0,MIN(1,(IF(CF1138="L1",Parameter!$H$5,IF(CF1138="L23",Parameter!$H$6+Parameter!$H$7,Parameter!$H$5+Parameter!$H$6+Parameter!$H$7))-(AX1138-AS1138))/AS1138)))</f>
        <v>1</v>
      </c>
      <c r="AZ1138" s="50" t="n">
        <f aca="false">IF(LEFT(Cockpit!$O$5,1)="A",H1138,IF(Parameter!$E$30="MAX-Bestand",IF(CH1138=1,CI1138,IF(LEFT(Cockpit!$O$5,1)="B",BF1138,MAX(BF1138,H1138))),ROUNDUP(BD1138,0)))</f>
        <v>1</v>
      </c>
      <c r="BA1138" s="50" t="n">
        <f aca="false">IF(BZ1138=1,0,ROUNDUP(AZ1138/BY1138,0))</f>
        <v>1</v>
      </c>
      <c r="BB1138" s="52" t="n">
        <f aca="false">IF(CQ1138&gt;0,CQ1138*MAX(1,AZ1138/X1138),IF(BZ1138=1,IF(AZ1138&lt;=0,0,CD1138*MAX(1,IF(H1138&gt;0,AZ1138/H1138,1))),IF(R1138&gt;0,BA1138/R1138,0))/MAX(0.1,N(Parameter!$M$21)))</f>
        <v>0.25</v>
      </c>
      <c r="BC1138" s="50" t="n">
        <f aca="false">BB1138*CB1138</f>
        <v>58.75</v>
      </c>
      <c r="BD1138" s="51" t="n">
        <f aca="false">IF(LEFT(Cockpit!$O$5,1)="A",H1138,IF(CH1138=1,(CK1138+CI1138)/2,IF(LEFT(Cockpit!$O$5,1)="B",(CK1138+BF1138)/2,MAX((CK1138+BF1138)/2,H1138))))</f>
        <v>0.5</v>
      </c>
      <c r="BE1138" s="50" t="n">
        <f aca="false">BD1138*G1138</f>
        <v>17.25</v>
      </c>
      <c r="BF1138" s="50" t="n">
        <f aca="false">ROUNDUP(CK1138+MAX(CL1138,2*(J1138/IF(CG1138&gt;0,CG1138,MAX(0.1,N(Cockpit!$O$6)))-CK1138)),0)</f>
        <v>1</v>
      </c>
      <c r="BG1138" s="51" t="n">
        <f aca="false">IF(BC1138&gt;0,J1138/BC1138,-1)</f>
        <v>0</v>
      </c>
      <c r="BH1138" s="51" t="n">
        <f aca="false">IF(AND(OR(CF1138="L1",CF1138="L23",CF1138="LIFT"),BC1138&gt;0),SUMIFS($BC$7:$BC$1843,$CF$7:$CF$1843,CF1138,$BG$7:$BG$1843,"&gt;"&amp;BG1138)+SUMIFS($BC$7:$BC$1843,$CF$7:$CF$1843,CF1138,$BG$7:$BG$1843,BG1138,$BW$7:$BW$1843,"&lt;="&amp;BW1138),"")</f>
        <v>29016.5974110635</v>
      </c>
      <c r="BI1138" s="58" t="n">
        <f aca="false">IF(BH1138="",0,MAX(0,MIN(1,(IF(CF1138="L1",Parameter!$H$5,IF(CF1138="L23",Parameter!$H$6+Parameter!$H$7,Parameter!$H$5+Parameter!$H$6+Parameter!$H$7))-(BH1138-BC1138))/BC1138)))</f>
        <v>1</v>
      </c>
      <c r="BJ1138" s="48" t="str">
        <f aca="false">IF(AI1138&lt;=0,"",IF(CF1138="Aussen","Aussenlager",IF(CF1138="-","Nicht im Lift",IF(AO1138&gt;=1,"Lift",IF(AO1138&lt;=0,"Aussenlager","teilweise")))))</f>
        <v>Lift</v>
      </c>
      <c r="BK1138" s="48" t="str">
        <f aca="false">IF(AS1138&lt;=0,"",IF(CF1138="Aussen","Aussenlager",IF(CF1138="-","Nicht im Lift",IF(AY1138&gt;=1,"Lift",IF(AY1138&lt;=0,"Aussenlager","teilweise")))))</f>
        <v>Lift</v>
      </c>
      <c r="BL1138" s="48" t="str">
        <f aca="false">IF(BC1138&lt;=0,"",IF(CF1138="Aussen","Aussenlager",IF(CF1138="-","Nicht im Lift",IF(BI1138&gt;=1,"Lift",IF(BI1138&lt;=0,"Aussenlager","teilweise")))))</f>
        <v>Lift</v>
      </c>
      <c r="BM1138" s="48" t="str">
        <f aca="false">IF(A1138="","",IF(BV1138=1,"Neu; ","")&amp;IF(AND(BV1138=0,BQ1138&lt;0),"negativer Bestand (Export "&amp;BQ1138&amp;"); ","")&amp;IF(J1138&lt;=0,"Kein Verbrauch; ","")&amp;IF(CQ1138&gt;0,"Lift "&amp;W1138&amp;" lt. Liftbericht (Fach "&amp;X1138&amp;" Stk); ",IF(CA1138=1,"Gebinde geschätzt ("&amp;T1138&amp;"); ",IF(BZ1138=1,"Lose – Tablare geschätzt; ","")))&amp;IF(H1138&gt;AV1138,"Überbestand "&amp;ROUND(H1138-AV1138,0)&amp;" Stk / CHF "&amp;ROUND((H1138-AV1138)*G1138,0)&amp;"; ","")&amp;IF(AND(CH1138=1,CI1138&lt;CJ1138),"MAX &lt; MB+LG; ","")&amp;IF(AND(CP1138&gt;0,CO1138*10&gt;CP1138),"zu hoch für Tablar; ","")&amp;IF(AND(BV1138=0,OR(CH1138=1,AA1138&lt;&gt;"",U1138&lt;&gt;"",V1138&lt;&gt;"",AB1138&lt;&gt;"")),"manuell übersteuert; ","")&amp;IF(AND(BZ1138=0,R1138=0),"Gebinde unbekannt / Stellmass fehlt; ","")&amp;IF(AND(BZ1138=0,N(V1138)&lt;=0,N(Q1138)&lt;=0),"Menge pro Gebinde fehlt (Ist = 1 Gebinde); ","")&amp;BU1138)</f>
        <v>negativer Bestand (Export -8); Kein Verbrauch; Gebinde geschätzt (Gross); Überbestand 7 Stk / CHF 242; Menge pro Gebinde fehlt (Ist = 1 Gebinde); </v>
      </c>
      <c r="BN1138" s="48"/>
      <c r="BO1138" s="48"/>
      <c r="BP1138" s="55"/>
      <c r="BQ1138" s="50" t="n">
        <v>-8</v>
      </c>
      <c r="BR1138" s="50" t="n">
        <v>16</v>
      </c>
      <c r="BS1138" s="49" t="n">
        <v>-276</v>
      </c>
      <c r="BT1138" s="50" t="n">
        <v>0</v>
      </c>
      <c r="BU1138" s="48"/>
      <c r="BV1138" s="53" t="n">
        <v>0</v>
      </c>
      <c r="BW1138" s="53" t="n">
        <v>1138</v>
      </c>
      <c r="BX1138" s="48" t="str">
        <f aca="false">IF(U1138&lt;&gt;"",UPPER(TRIM(U1138)),IF(CA1138=1,UPPER(VLOOKUP(T1138,Parameter!$I$27:$K$29,2,0)),IF(P1138="","LOSE",P1138)))</f>
        <v>S81</v>
      </c>
      <c r="BY1138" s="50" t="n">
        <f aca="false">IF(BX1138="LOSE",1,IF(N(V1138)&gt;0,V1138,IF(CA1138=1,MAX(1,N(VLOOKUP(T1138,Parameter!$I$27:$K$29,3,0)),H1138,N(N1138)),IF(N(Q1138)&gt;0,Q1138,MAX(1,H1138)))))</f>
        <v>8</v>
      </c>
      <c r="BZ1138" s="53" t="n">
        <f aca="false">IF(BX1138="LOSE",1,0)</f>
        <v>0</v>
      </c>
      <c r="CA1138" s="53" t="n">
        <f aca="false">IF(AND(U1138="",OR(P1138="",P1138="LOSE"),T1138&lt;&gt;"",N(S1138)&lt;=0,ISNUMBER(MATCH(T1138,Parameter!$I$27:$I$29,0))),1,0)</f>
        <v>1</v>
      </c>
      <c r="CB1138" s="53" t="n">
        <f aca="false">IF(CQ1138&gt;0,INDEX(Parameter!$H$5:$H$7,W1138)/INDEX(Parameter!$E$5:$E$7,W1138),IF(AND(BZ1138=0,N(IFERROR(VLOOKUP(BX1138,'Gebinde-Kategorie'!$A$5:$N$45,14,0),0))&gt;0),VLOOKUP(BX1138,'Gebinde-Kategorie'!$A$5:$N$45,14,0)*10+Parameter!$M$23,Parameter!$M$24))</f>
        <v>235</v>
      </c>
      <c r="CC1138" s="48" t="str">
        <f aca="false">IF(AND(Parameter!$B$19="Ja",E1138&lt;&gt;"",ISNUMBER(MATCH(E1138,Parameter!$I$35:$I$52,0))),VLOOKUP(E1138,Parameter!$I$35:$J$52,2,0),IFERROR(VLOOKUP(D1138,Parameter!$A$35:$C$64,2,0),"Nein"))</f>
        <v>2+3</v>
      </c>
      <c r="CD1138" s="52" t="n">
        <f aca="false">IF(BZ1138=0,0,IF(N(S1138)&gt;0,S1138,IFERROR(VLOOKUP(D1138,Parameter!$A$35:$C$64,3,0)+0,0)))</f>
        <v>0</v>
      </c>
      <c r="CE1138" s="48" t="n">
        <f aca="false">IF(AA1138&lt;&gt;"",AA1138,Z1138)</f>
        <v>2</v>
      </c>
      <c r="CF1138" s="48" t="str">
        <f aca="false">IF(OR(CE1138=1,CE1138=2,CE1138=3),IF(Parameter!$E$27="Ja","LIFT",IF(CE1138=1,"L1","L23")),IF(CE1138="Aussen","Aussen","-"))</f>
        <v>LIFT</v>
      </c>
      <c r="CG1138" s="59" t="n">
        <f aca="false">IF(N(AB1138)&gt;0,AB1138,0)</f>
        <v>0</v>
      </c>
      <c r="CH1138" s="53" t="n">
        <f aca="false">IF(ISNUMBER(AE1138),1,0)</f>
        <v>0</v>
      </c>
      <c r="CI1138" s="50" t="n">
        <f aca="false">N(AE1138)</f>
        <v>0</v>
      </c>
      <c r="CJ1138" s="50" t="n">
        <f aca="false">N(M1138)+N(N1138)</f>
        <v>1</v>
      </c>
      <c r="CK1138" s="50" t="n">
        <f aca="false">N(M1138)</f>
        <v>0</v>
      </c>
      <c r="CL1138" s="50" t="n">
        <f aca="false">N(N1138)</f>
        <v>1</v>
      </c>
      <c r="CM1138" s="50" t="n">
        <f aca="false">ROUNDUP(H1138/BY1138,0)</f>
        <v>1</v>
      </c>
      <c r="CN1138" s="50" t="n">
        <f aca="false">ROUNDUP(CI1138/BY1138,0)</f>
        <v>0</v>
      </c>
      <c r="CO1138" s="53" t="n">
        <f aca="false">IF(BZ1138=1,0,IFERROR(VLOOKUP(BX1138,'Gebinde-Kategorie'!$A$5:$N$45,5,0)+0,0))</f>
        <v>20</v>
      </c>
      <c r="CP1138" s="53" t="n">
        <f aca="false">IFERROR(IF(OR(CE1138=1,CE1138=2,CE1138=3),N(INDEX(Parameter!$I$5:$I$7,CE1138)),0),0)</f>
        <v>0</v>
      </c>
      <c r="CQ1138" s="52" t="n">
        <f aca="false">IF(AND(Parameter!$B$21="Ja",ISNUMBER(W1138),N(X1138)&gt;0),IFERROR(N(INDEX(Parameter!$L$5:$L$7,W1138))*INDEX(Parameter!$E$5:$E$7,W1138)*X1138/SUMIFS($X$7:$X$1843,$W$7:$W$1843,W1138),0),0)</f>
        <v>0</v>
      </c>
    </row>
    <row r="1139" customFormat="false" ht="15" hidden="false" customHeight="false" outlineLevel="0" collapsed="false">
      <c r="A1139" s="48" t="s">
        <v>2068</v>
      </c>
      <c r="B1139" s="48" t="s">
        <v>2069</v>
      </c>
      <c r="C1139" s="48" t="s">
        <v>173</v>
      </c>
      <c r="D1139" s="48" t="s">
        <v>193</v>
      </c>
      <c r="E1139" s="48" t="s">
        <v>194</v>
      </c>
      <c r="F1139" s="48" t="s">
        <v>227</v>
      </c>
      <c r="G1139" s="49" t="n">
        <v>279.01</v>
      </c>
      <c r="H1139" s="50" t="n">
        <f aca="false">MAX(0,IF(AND(Parameter!$B$21="Ja",ISNUMBER(Y1139)),Y1139,IF(Parameter!$B$20="Jahresanfang 2025 + Export",BR1139+BQ1139,BQ1139)))</f>
        <v>3</v>
      </c>
      <c r="I1139" s="50" t="n">
        <f aca="false">H1139*G1139</f>
        <v>837.03</v>
      </c>
      <c r="J1139" s="50" t="n">
        <f aca="false">BT1139*Parameter!$B$18</f>
        <v>1</v>
      </c>
      <c r="K1139" s="51" t="n">
        <v>3.5</v>
      </c>
      <c r="L1139" s="52" t="n">
        <v>0.285714285714286</v>
      </c>
      <c r="M1139" s="50" t="n">
        <v>0</v>
      </c>
      <c r="N1139" s="50" t="n">
        <v>1</v>
      </c>
      <c r="O1139" s="53" t="n">
        <v>14</v>
      </c>
      <c r="P1139" s="48" t="s">
        <v>337</v>
      </c>
      <c r="Q1139" s="50" t="n">
        <v>6</v>
      </c>
      <c r="R1139" s="53" t="n">
        <f aca="false">IF(BZ1139=1,0,IFERROR(VLOOKUP(BX1139,'Gebinde-Kategorie'!$A$5:$N$45,13,0)+0,0))</f>
        <v>52</v>
      </c>
      <c r="S1139" s="54"/>
      <c r="T1139" s="55"/>
      <c r="U1139" s="55"/>
      <c r="V1139" s="55"/>
      <c r="W1139" s="48"/>
      <c r="X1139" s="50"/>
      <c r="Y1139" s="50"/>
      <c r="Z1139" s="48" t="n">
        <f aca="false">IF(A1139="","",IF(AND(Parameter!$B$21="Ja",ISNUMBER(W1139)),W1139,IF(CC1139="2+3",IF(ISNUMBER(SEARCH("grosser Artikel",BU1139)),2,IFERROR(VLOOKUP(BX1139,Parameter!$F$35:$G$64,2,0),2)),IF(OR(CC1139="Nein",CC1139=""),"-",CC1139))))</f>
        <v>3</v>
      </c>
      <c r="AA1139" s="55"/>
      <c r="AB1139" s="56"/>
      <c r="AC1139" s="50" t="n">
        <f aca="false">AV1139</f>
        <v>1</v>
      </c>
      <c r="AD1139" s="50" t="n">
        <f aca="false">MAX(AV1139,H1139)</f>
        <v>3</v>
      </c>
      <c r="AE1139" s="57"/>
      <c r="AF1139" s="50" t="n">
        <f aca="false">IF(LEFT(Cockpit!$C$5,1)="A",H1139,IF(Parameter!$E$30="MAX-Bestand",IF(CH1139=1,CI1139,IF(LEFT(Cockpit!$C$5,1)="B",AL1139,MAX(AL1139,H1139))),ROUNDUP(AJ1139,0)))</f>
        <v>3</v>
      </c>
      <c r="AG1139" s="50" t="n">
        <f aca="false">IF(BZ1139=1,0,ROUNDUP(AF1139/BY1139,0))</f>
        <v>1</v>
      </c>
      <c r="AH1139" s="52" t="n">
        <f aca="false">IF(CQ1139&gt;0,CQ1139*MAX(1,AF1139/X1139),IF(BZ1139=1,IF(AF1139&lt;=0,0,CD1139*MAX(1,IF(H1139&gt;0,AF1139/H1139,1))),IF(R1139&gt;0,AG1139/R1139,0))/MAX(0.1,N(Parameter!$M$21)))</f>
        <v>0.0192307692307692</v>
      </c>
      <c r="AI1139" s="50" t="n">
        <f aca="false">AH1139*CB1139</f>
        <v>2.98076923076923</v>
      </c>
      <c r="AJ1139" s="51" t="n">
        <f aca="false">IF(LEFT(Cockpit!$C$5,1)="A",H1139,IF(CH1139=1,(CK1139+CI1139)/2,IF(LEFT(Cockpit!$C$5,1)="B",(CK1139+AL1139)/2,MAX((CK1139+AL1139)/2,H1139))))</f>
        <v>3</v>
      </c>
      <c r="AK1139" s="50" t="n">
        <f aca="false">AJ1139*G1139</f>
        <v>837.03</v>
      </c>
      <c r="AL1139" s="50" t="n">
        <f aca="false">ROUNDUP(CK1139+MAX(CL1139,2*(J1139/IF(CG1139&gt;0,CG1139,MAX(0.1,N(Cockpit!$C$6)))-CK1139)),0)</f>
        <v>1</v>
      </c>
      <c r="AM1139" s="51" t="n">
        <f aca="false">IF(AI1139&gt;0,J1139/AI1139,-1)</f>
        <v>0.335483870967742</v>
      </c>
      <c r="AN1139" s="51" t="n">
        <f aca="false">IF(AND(OR(CF1139="L1",CF1139="L23",CF1139="LIFT"),AI1139&gt;0),SUMIFS($AI$7:$AI$1843,$CF$7:$CF$1843,CF1139,$AM$7:$AM$1843,"&gt;"&amp;AM1139)+SUMIFS($AI$7:$AI$1843,$CF$7:$CF$1843,CF1139,$AM$7:$AM$1843,AM1139,$BW$7:$BW$1843,"&lt;="&amp;BW1139),"")</f>
        <v>11230.7308856398</v>
      </c>
      <c r="AO1139" s="58" t="n">
        <f aca="false">IF(AN1139="",0,MAX(0,MIN(1,(IF(CF1139="L1",Parameter!$H$5,IF(CF1139="L23",Parameter!$H$6+Parameter!$H$7,Parameter!$H$5+Parameter!$H$6+Parameter!$H$7))-(AN1139-AI1139))/AI1139)))</f>
        <v>1</v>
      </c>
      <c r="AP1139" s="50" t="n">
        <f aca="false">IF(LEFT(Cockpit!$I$5,1)="A",H1139,IF(Parameter!$E$30="MAX-Bestand",IF(CH1139=1,CI1139,IF(LEFT(Cockpit!$I$5,1)="B",AV1139,MAX(AV1139,H1139))),ROUNDUP(AT1139,0)))</f>
        <v>3</v>
      </c>
      <c r="AQ1139" s="50" t="n">
        <f aca="false">IF(BZ1139=1,0,ROUNDUP(AP1139/BY1139,0))</f>
        <v>1</v>
      </c>
      <c r="AR1139" s="52" t="n">
        <f aca="false">IF(CQ1139&gt;0,CQ1139*MAX(1,AP1139/X1139),IF(BZ1139=1,IF(AP1139&lt;=0,0,CD1139*MAX(1,IF(H1139&gt;0,AP1139/H1139,1))),IF(R1139&gt;0,AQ1139/R1139,0))/MAX(0.1,N(Parameter!$M$21)))</f>
        <v>0.0192307692307692</v>
      </c>
      <c r="AS1139" s="50" t="n">
        <f aca="false">AR1139*CB1139</f>
        <v>2.98076923076923</v>
      </c>
      <c r="AT1139" s="51" t="n">
        <f aca="false">IF(LEFT(Cockpit!$I$5,1)="A",H1139,IF(CH1139=1,(CK1139+CI1139)/2,IF(LEFT(Cockpit!$I$5,1)="B",(CK1139+AV1139)/2,MAX((CK1139+AV1139)/2,H1139))))</f>
        <v>3</v>
      </c>
      <c r="AU1139" s="50" t="n">
        <f aca="false">AT1139*G1139</f>
        <v>837.03</v>
      </c>
      <c r="AV1139" s="50" t="n">
        <f aca="false">ROUNDUP(CK1139+MAX(CL1139,2*(J1139/IF(CG1139&gt;0,CG1139,MAX(0.1,N(Cockpit!$I$6)))-CK1139)),0)</f>
        <v>1</v>
      </c>
      <c r="AW1139" s="51" t="n">
        <f aca="false">IF(AS1139&gt;0,J1139/AS1139,-1)</f>
        <v>0.335483870967742</v>
      </c>
      <c r="AX1139" s="51" t="n">
        <f aca="false">IF(AND(OR(CF1139="L1",CF1139="L23",CF1139="LIFT"),AS1139&gt;0),SUMIFS($AS$7:$AS$1843,$CF$7:$CF$1843,CF1139,$AW$7:$AW$1843,"&gt;"&amp;AW1139)+SUMIFS($AS$7:$AS$1843,$CF$7:$CF$1843,CF1139,$AW$7:$AW$1843,AW1139,$BW$7:$BW$1843,"&lt;="&amp;BW1139),"")</f>
        <v>13764.8685897436</v>
      </c>
      <c r="AY1139" s="58" t="n">
        <f aca="false">IF(AX1139="",0,MAX(0,MIN(1,(IF(CF1139="L1",Parameter!$H$5,IF(CF1139="L23",Parameter!$H$6+Parameter!$H$7,Parameter!$H$5+Parameter!$H$6+Parameter!$H$7))-(AX1139-AS1139))/AS1139)))</f>
        <v>1</v>
      </c>
      <c r="AZ1139" s="50" t="n">
        <f aca="false">IF(LEFT(Cockpit!$O$5,1)="A",H1139,IF(Parameter!$E$30="MAX-Bestand",IF(CH1139=1,CI1139,IF(LEFT(Cockpit!$O$5,1)="B",BF1139,MAX(BF1139,H1139))),ROUNDUP(BD1139,0)))</f>
        <v>1</v>
      </c>
      <c r="BA1139" s="50" t="n">
        <f aca="false">IF(BZ1139=1,0,ROUNDUP(AZ1139/BY1139,0))</f>
        <v>1</v>
      </c>
      <c r="BB1139" s="52" t="n">
        <f aca="false">IF(CQ1139&gt;0,CQ1139*MAX(1,AZ1139/X1139),IF(BZ1139=1,IF(AZ1139&lt;=0,0,CD1139*MAX(1,IF(H1139&gt;0,AZ1139/H1139,1))),IF(R1139&gt;0,BA1139/R1139,0))/MAX(0.1,N(Parameter!$M$21)))</f>
        <v>0.0192307692307692</v>
      </c>
      <c r="BC1139" s="50" t="n">
        <f aca="false">BB1139*CB1139</f>
        <v>2.98076923076923</v>
      </c>
      <c r="BD1139" s="51" t="n">
        <f aca="false">IF(LEFT(Cockpit!$O$5,1)="A",H1139,IF(CH1139=1,(CK1139+CI1139)/2,IF(LEFT(Cockpit!$O$5,1)="B",(CK1139+BF1139)/2,MAX((CK1139+BF1139)/2,H1139))))</f>
        <v>0.5</v>
      </c>
      <c r="BE1139" s="50" t="n">
        <f aca="false">BD1139*G1139</f>
        <v>139.505</v>
      </c>
      <c r="BF1139" s="50" t="n">
        <f aca="false">ROUNDUP(CK1139+MAX(CL1139,2*(J1139/IF(CG1139&gt;0,CG1139,MAX(0.1,N(Cockpit!$O$6)))-CK1139)),0)</f>
        <v>1</v>
      </c>
      <c r="BG1139" s="51" t="n">
        <f aca="false">IF(BC1139&gt;0,J1139/BC1139,-1)</f>
        <v>0.335483870967742</v>
      </c>
      <c r="BH1139" s="51" t="n">
        <f aca="false">IF(AND(OR(CF1139="L1",CF1139="L23",CF1139="LIFT"),BC1139&gt;0),SUMIFS($BC$7:$BC$1843,$CF$7:$CF$1843,CF1139,$BG$7:$BG$1843,"&gt;"&amp;BG1139)+SUMIFS($BC$7:$BC$1843,$CF$7:$CF$1843,CF1139,$BG$7:$BG$1843,BG1139,$BW$7:$BW$1843,"&lt;="&amp;BW1139),"")</f>
        <v>11615.8273809524</v>
      </c>
      <c r="BI1139" s="58" t="n">
        <f aca="false">IF(BH1139="",0,MAX(0,MIN(1,(IF(CF1139="L1",Parameter!$H$5,IF(CF1139="L23",Parameter!$H$6+Parameter!$H$7,Parameter!$H$5+Parameter!$H$6+Parameter!$H$7))-(BH1139-BC1139))/BC1139)))</f>
        <v>1</v>
      </c>
      <c r="BJ1139" s="48" t="str">
        <f aca="false">IF(AI1139&lt;=0,"",IF(CF1139="Aussen","Aussenlager",IF(CF1139="-","Nicht im Lift",IF(AO1139&gt;=1,"Lift",IF(AO1139&lt;=0,"Aussenlager","teilweise")))))</f>
        <v>Lift</v>
      </c>
      <c r="BK1139" s="48" t="str">
        <f aca="false">IF(AS1139&lt;=0,"",IF(CF1139="Aussen","Aussenlager",IF(CF1139="-","Nicht im Lift",IF(AY1139&gt;=1,"Lift",IF(AY1139&lt;=0,"Aussenlager","teilweise")))))</f>
        <v>Lift</v>
      </c>
      <c r="BL1139" s="48" t="str">
        <f aca="false">IF(BC1139&lt;=0,"",IF(CF1139="Aussen","Aussenlager",IF(CF1139="-","Nicht im Lift",IF(BI1139&gt;=1,"Lift",IF(BI1139&lt;=0,"Aussenlager","teilweise")))))</f>
        <v>Lift</v>
      </c>
      <c r="BM1139" s="48" t="str">
        <f aca="false">IF(A1139="","",IF(BV1139=1,"Neu; ","")&amp;IF(AND(BV1139=0,BQ1139&lt;0),"negativer Bestand (Export "&amp;BQ1139&amp;"); ","")&amp;IF(J1139&lt;=0,"Kein Verbrauch; ","")&amp;IF(CQ1139&gt;0,"Lift "&amp;W1139&amp;" lt. Liftbericht (Fach "&amp;X1139&amp;" Stk); ",IF(CA1139=1,"Gebinde geschätzt ("&amp;T1139&amp;"); ",IF(BZ1139=1,"Lose – Tablare geschätzt; ","")))&amp;IF(H1139&gt;AV1139,"Überbestand "&amp;ROUND(H1139-AV1139,0)&amp;" Stk / CHF "&amp;ROUND((H1139-AV1139)*G1139,0)&amp;"; ","")&amp;IF(AND(CH1139=1,CI1139&lt;CJ1139),"MAX &lt; MB+LG; ","")&amp;IF(AND(CP1139&gt;0,CO1139*10&gt;CP1139),"zu hoch für Tablar; ","")&amp;IF(AND(BV1139=0,OR(CH1139=1,AA1139&lt;&gt;"",U1139&lt;&gt;"",V1139&lt;&gt;"",AB1139&lt;&gt;"")),"manuell übersteuert; ","")&amp;IF(AND(BZ1139=0,R1139=0),"Gebinde unbekannt / Stellmass fehlt; ","")&amp;IF(AND(BZ1139=0,N(V1139)&lt;=0,N(Q1139)&lt;=0),"Menge pro Gebinde fehlt (Ist = 1 Gebinde); ","")&amp;BU1139)</f>
        <v>negativer Bestand (Export -1); Überbestand 2 Stk / CHF 558; </v>
      </c>
      <c r="BN1139" s="48"/>
      <c r="BO1139" s="48"/>
      <c r="BP1139" s="55"/>
      <c r="BQ1139" s="50" t="n">
        <v>-1</v>
      </c>
      <c r="BR1139" s="50" t="n">
        <v>4</v>
      </c>
      <c r="BS1139" s="49" t="n">
        <v>-279.01</v>
      </c>
      <c r="BT1139" s="50" t="n">
        <v>1</v>
      </c>
      <c r="BU1139" s="48"/>
      <c r="BV1139" s="53" t="n">
        <v>0</v>
      </c>
      <c r="BW1139" s="53" t="n">
        <v>1139</v>
      </c>
      <c r="BX1139" s="48" t="str">
        <f aca="false">IF(U1139&lt;&gt;"",UPPER(TRIM(U1139)),IF(CA1139=1,UPPER(VLOOKUP(T1139,Parameter!$I$27:$K$29,2,0)),IF(P1139="","LOSE",P1139)))</f>
        <v>S41</v>
      </c>
      <c r="BY1139" s="50" t="n">
        <f aca="false">IF(BX1139="LOSE",1,IF(N(V1139)&gt;0,V1139,IF(CA1139=1,MAX(1,N(VLOOKUP(T1139,Parameter!$I$27:$K$29,3,0)),H1139,N(N1139)),IF(N(Q1139)&gt;0,Q1139,MAX(1,H1139)))))</f>
        <v>6</v>
      </c>
      <c r="BZ1139" s="53" t="n">
        <f aca="false">IF(BX1139="LOSE",1,0)</f>
        <v>0</v>
      </c>
      <c r="CA1139" s="53" t="n">
        <f aca="false">IF(AND(U1139="",OR(P1139="",P1139="LOSE"),T1139&lt;&gt;"",N(S1139)&lt;=0,ISNUMBER(MATCH(T1139,Parameter!$I$27:$I$29,0))),1,0)</f>
        <v>0</v>
      </c>
      <c r="CB1139" s="53" t="n">
        <f aca="false">IF(CQ1139&gt;0,INDEX(Parameter!$H$5:$H$7,W1139)/INDEX(Parameter!$E$5:$E$7,W1139),IF(AND(BZ1139=0,N(IFERROR(VLOOKUP(BX1139,'Gebinde-Kategorie'!$A$5:$N$45,14,0),0))&gt;0),VLOOKUP(BX1139,'Gebinde-Kategorie'!$A$5:$N$45,14,0)*10+Parameter!$M$23,Parameter!$M$24))</f>
        <v>155</v>
      </c>
      <c r="CC1139" s="48" t="str">
        <f aca="false">IF(AND(Parameter!$B$19="Ja",E1139&lt;&gt;"",ISNUMBER(MATCH(E1139,Parameter!$I$35:$I$52,0))),VLOOKUP(E1139,Parameter!$I$35:$J$52,2,0),IFERROR(VLOOKUP(D1139,Parameter!$A$35:$C$64,2,0),"Nein"))</f>
        <v>2+3</v>
      </c>
      <c r="CD1139" s="52" t="n">
        <f aca="false">IF(BZ1139=0,0,IF(N(S1139)&gt;0,S1139,IFERROR(VLOOKUP(D1139,Parameter!$A$35:$C$64,3,0)+0,0)))</f>
        <v>0</v>
      </c>
      <c r="CE1139" s="48" t="n">
        <f aca="false">IF(AA1139&lt;&gt;"",AA1139,Z1139)</f>
        <v>3</v>
      </c>
      <c r="CF1139" s="48" t="str">
        <f aca="false">IF(OR(CE1139=1,CE1139=2,CE1139=3),IF(Parameter!$E$27="Ja","LIFT",IF(CE1139=1,"L1","L23")),IF(CE1139="Aussen","Aussen","-"))</f>
        <v>LIFT</v>
      </c>
      <c r="CG1139" s="59" t="n">
        <f aca="false">IF(N(AB1139)&gt;0,AB1139,0)</f>
        <v>0</v>
      </c>
      <c r="CH1139" s="53" t="n">
        <f aca="false">IF(ISNUMBER(AE1139),1,0)</f>
        <v>0</v>
      </c>
      <c r="CI1139" s="50" t="n">
        <f aca="false">N(AE1139)</f>
        <v>0</v>
      </c>
      <c r="CJ1139" s="50" t="n">
        <f aca="false">N(M1139)+N(N1139)</f>
        <v>1</v>
      </c>
      <c r="CK1139" s="50" t="n">
        <f aca="false">N(M1139)</f>
        <v>0</v>
      </c>
      <c r="CL1139" s="50" t="n">
        <f aca="false">N(N1139)</f>
        <v>1</v>
      </c>
      <c r="CM1139" s="50" t="n">
        <f aca="false">ROUNDUP(H1139/BY1139,0)</f>
        <v>1</v>
      </c>
      <c r="CN1139" s="50" t="n">
        <f aca="false">ROUNDUP(CI1139/BY1139,0)</f>
        <v>0</v>
      </c>
      <c r="CO1139" s="53" t="n">
        <f aca="false">IF(BZ1139=1,0,IFERROR(VLOOKUP(BX1139,'Gebinde-Kategorie'!$A$5:$N$45,5,0)+0,0))</f>
        <v>11</v>
      </c>
      <c r="CP1139" s="53" t="n">
        <f aca="false">IFERROR(IF(OR(CE1139=1,CE1139=2,CE1139=3),N(INDEX(Parameter!$I$5:$I$7,CE1139)),0),0)</f>
        <v>0</v>
      </c>
      <c r="CQ1139" s="52" t="n">
        <f aca="false">IF(AND(Parameter!$B$21="Ja",ISNUMBER(W1139),N(X1139)&gt;0),IFERROR(N(INDEX(Parameter!$L$5:$L$7,W1139))*INDEX(Parameter!$E$5:$E$7,W1139)*X1139/SUMIFS($X$7:$X$1843,$W$7:$W$1843,W1139),0),0)</f>
        <v>0</v>
      </c>
    </row>
    <row r="1140" customFormat="false" ht="15" hidden="false" customHeight="false" outlineLevel="0" collapsed="false">
      <c r="A1140" s="48" t="s">
        <v>2070</v>
      </c>
      <c r="B1140" s="48" t="s">
        <v>2071</v>
      </c>
      <c r="C1140" s="48" t="s">
        <v>173</v>
      </c>
      <c r="D1140" s="48" t="s">
        <v>193</v>
      </c>
      <c r="E1140" s="48" t="s">
        <v>182</v>
      </c>
      <c r="F1140" s="48" t="s">
        <v>227</v>
      </c>
      <c r="G1140" s="49" t="n">
        <v>111.1</v>
      </c>
      <c r="H1140" s="50" t="n">
        <f aca="false">MAX(0,IF(AND(Parameter!$B$21="Ja",ISNUMBER(Y1140)),Y1140,IF(Parameter!$B$20="Jahresanfang 2025 + Export",BR1140+BQ1140,BQ1140)))</f>
        <v>1</v>
      </c>
      <c r="I1140" s="50" t="n">
        <f aca="false">H1140*G1140</f>
        <v>111.1</v>
      </c>
      <c r="J1140" s="50" t="n">
        <f aca="false">BT1140*Parameter!$B$18</f>
        <v>2</v>
      </c>
      <c r="K1140" s="51" t="n">
        <v>3</v>
      </c>
      <c r="L1140" s="52" t="n">
        <v>0.666666666666667</v>
      </c>
      <c r="M1140" s="50" t="n">
        <v>0</v>
      </c>
      <c r="N1140" s="50" t="n">
        <v>1</v>
      </c>
      <c r="O1140" s="53" t="n">
        <v>28</v>
      </c>
      <c r="P1140" s="48" t="s">
        <v>430</v>
      </c>
      <c r="Q1140" s="50" t="n">
        <v>3</v>
      </c>
      <c r="R1140" s="53" t="n">
        <f aca="false">IF(BZ1140=1,0,IFERROR(VLOOKUP(BX1140,'Gebinde-Kategorie'!$A$5:$N$45,13,0)+0,0))</f>
        <v>104</v>
      </c>
      <c r="S1140" s="54"/>
      <c r="T1140" s="55"/>
      <c r="U1140" s="55"/>
      <c r="V1140" s="55"/>
      <c r="W1140" s="48"/>
      <c r="X1140" s="50"/>
      <c r="Y1140" s="50"/>
      <c r="Z1140" s="48" t="str">
        <f aca="false">IF(A1140="","",IF(AND(Parameter!$B$21="Ja",ISNUMBER(W1140)),W1140,IF(CC1140="2+3",IF(ISNUMBER(SEARCH("grosser Artikel",BU1140)),2,IFERROR(VLOOKUP(BX1140,Parameter!$F$35:$G$64,2,0),2)),IF(OR(CC1140="Nein",CC1140=""),"-",CC1140))))</f>
        <v>-</v>
      </c>
      <c r="AA1140" s="55"/>
      <c r="AB1140" s="56"/>
      <c r="AC1140" s="50" t="n">
        <f aca="false">AV1140</f>
        <v>2</v>
      </c>
      <c r="AD1140" s="50" t="n">
        <f aca="false">MAX(AV1140,H1140)</f>
        <v>2</v>
      </c>
      <c r="AE1140" s="57"/>
      <c r="AF1140" s="50" t="n">
        <f aca="false">IF(LEFT(Cockpit!$C$5,1)="A",H1140,IF(Parameter!$E$30="MAX-Bestand",IF(CH1140=1,CI1140,IF(LEFT(Cockpit!$C$5,1)="B",AL1140,MAX(AL1140,H1140))),ROUNDUP(AJ1140,0)))</f>
        <v>1</v>
      </c>
      <c r="AG1140" s="50" t="n">
        <f aca="false">IF(BZ1140=1,0,ROUNDUP(AF1140/BY1140,0))</f>
        <v>1</v>
      </c>
      <c r="AH1140" s="52" t="n">
        <f aca="false">IF(CQ1140&gt;0,CQ1140*MAX(1,AF1140/X1140),IF(BZ1140=1,IF(AF1140&lt;=0,0,CD1140*MAX(1,IF(H1140&gt;0,AF1140/H1140,1))),IF(R1140&gt;0,AG1140/R1140,0))/MAX(0.1,N(Parameter!$M$21)))</f>
        <v>0.00961538461538462</v>
      </c>
      <c r="AI1140" s="50" t="n">
        <f aca="false">AH1140*CB1140</f>
        <v>1.49038461538462</v>
      </c>
      <c r="AJ1140" s="51" t="n">
        <f aca="false">IF(LEFT(Cockpit!$C$5,1)="A",H1140,IF(CH1140=1,(CK1140+CI1140)/2,IF(LEFT(Cockpit!$C$5,1)="B",(CK1140+AL1140)/2,MAX((CK1140+AL1140)/2,H1140))))</f>
        <v>1</v>
      </c>
      <c r="AK1140" s="50" t="n">
        <f aca="false">AJ1140*G1140</f>
        <v>111.1</v>
      </c>
      <c r="AL1140" s="50" t="n">
        <f aca="false">ROUNDUP(CK1140+MAX(CL1140,2*(J1140/IF(CG1140&gt;0,CG1140,MAX(0.1,N(Cockpit!$C$6)))-CK1140)),0)</f>
        <v>2</v>
      </c>
      <c r="AM1140" s="51" t="n">
        <f aca="false">IF(AI1140&gt;0,J1140/AI1140,-1)</f>
        <v>1.34193548387097</v>
      </c>
      <c r="AN1140" s="51" t="str">
        <f aca="false">IF(AND(OR(CF1140="L1",CF1140="L23",CF1140="LIFT"),AI1140&gt;0),SUMIFS($AI$7:$AI$1843,$CF$7:$CF$1843,CF1140,$AM$7:$AM$1843,"&gt;"&amp;AM1140)+SUMIFS($AI$7:$AI$1843,$CF$7:$CF$1843,CF1140,$AM$7:$AM$1843,AM1140,$BW$7:$BW$1843,"&lt;="&amp;BW1140),"")</f>
        <v/>
      </c>
      <c r="AO1140" s="58" t="n">
        <f aca="false">IF(AN1140="",0,MAX(0,MIN(1,(IF(CF1140="L1",Parameter!$H$5,IF(CF1140="L23",Parameter!$H$6+Parameter!$H$7,Parameter!$H$5+Parameter!$H$6+Parameter!$H$7))-(AN1140-AI1140))/AI1140)))</f>
        <v>0</v>
      </c>
      <c r="AP1140" s="50" t="n">
        <f aca="false">IF(LEFT(Cockpit!$I$5,1)="A",H1140,IF(Parameter!$E$30="MAX-Bestand",IF(CH1140=1,CI1140,IF(LEFT(Cockpit!$I$5,1)="B",AV1140,MAX(AV1140,H1140))),ROUNDUP(AT1140,0)))</f>
        <v>1</v>
      </c>
      <c r="AQ1140" s="50" t="n">
        <f aca="false">IF(BZ1140=1,0,ROUNDUP(AP1140/BY1140,0))</f>
        <v>1</v>
      </c>
      <c r="AR1140" s="52" t="n">
        <f aca="false">IF(CQ1140&gt;0,CQ1140*MAX(1,AP1140/X1140),IF(BZ1140=1,IF(AP1140&lt;=0,0,CD1140*MAX(1,IF(H1140&gt;0,AP1140/H1140,1))),IF(R1140&gt;0,AQ1140/R1140,0))/MAX(0.1,N(Parameter!$M$21)))</f>
        <v>0.00961538461538462</v>
      </c>
      <c r="AS1140" s="50" t="n">
        <f aca="false">AR1140*CB1140</f>
        <v>1.49038461538462</v>
      </c>
      <c r="AT1140" s="51" t="n">
        <f aca="false">IF(LEFT(Cockpit!$I$5,1)="A",H1140,IF(CH1140=1,(CK1140+CI1140)/2,IF(LEFT(Cockpit!$I$5,1)="B",(CK1140+AV1140)/2,MAX((CK1140+AV1140)/2,H1140))))</f>
        <v>1</v>
      </c>
      <c r="AU1140" s="50" t="n">
        <f aca="false">AT1140*G1140</f>
        <v>111.1</v>
      </c>
      <c r="AV1140" s="50" t="n">
        <f aca="false">ROUNDUP(CK1140+MAX(CL1140,2*(J1140/IF(CG1140&gt;0,CG1140,MAX(0.1,N(Cockpit!$I$6)))-CK1140)),0)</f>
        <v>2</v>
      </c>
      <c r="AW1140" s="51" t="n">
        <f aca="false">IF(AS1140&gt;0,J1140/AS1140,-1)</f>
        <v>1.34193548387097</v>
      </c>
      <c r="AX1140" s="51" t="str">
        <f aca="false">IF(AND(OR(CF1140="L1",CF1140="L23",CF1140="LIFT"),AS1140&gt;0),SUMIFS($AS$7:$AS$1843,$CF$7:$CF$1843,CF1140,$AW$7:$AW$1843,"&gt;"&amp;AW1140)+SUMIFS($AS$7:$AS$1843,$CF$7:$CF$1843,CF1140,$AW$7:$AW$1843,AW1140,$BW$7:$BW$1843,"&lt;="&amp;BW1140),"")</f>
        <v/>
      </c>
      <c r="AY1140" s="58" t="n">
        <f aca="false">IF(AX1140="",0,MAX(0,MIN(1,(IF(CF1140="L1",Parameter!$H$5,IF(CF1140="L23",Parameter!$H$6+Parameter!$H$7,Parameter!$H$5+Parameter!$H$6+Parameter!$H$7))-(AX1140-AS1140))/AS1140)))</f>
        <v>0</v>
      </c>
      <c r="AZ1140" s="50" t="n">
        <f aca="false">IF(LEFT(Cockpit!$O$5,1)="A",H1140,IF(Parameter!$E$30="MAX-Bestand",IF(CH1140=1,CI1140,IF(LEFT(Cockpit!$O$5,1)="B",BF1140,MAX(BF1140,H1140))),ROUNDUP(BD1140,0)))</f>
        <v>1</v>
      </c>
      <c r="BA1140" s="50" t="n">
        <f aca="false">IF(BZ1140=1,0,ROUNDUP(AZ1140/BY1140,0))</f>
        <v>1</v>
      </c>
      <c r="BB1140" s="52" t="n">
        <f aca="false">IF(CQ1140&gt;0,CQ1140*MAX(1,AZ1140/X1140),IF(BZ1140=1,IF(AZ1140&lt;=0,0,CD1140*MAX(1,IF(H1140&gt;0,AZ1140/H1140,1))),IF(R1140&gt;0,BA1140/R1140,0))/MAX(0.1,N(Parameter!$M$21)))</f>
        <v>0.00961538461538462</v>
      </c>
      <c r="BC1140" s="50" t="n">
        <f aca="false">BB1140*CB1140</f>
        <v>1.49038461538462</v>
      </c>
      <c r="BD1140" s="51" t="n">
        <f aca="false">IF(LEFT(Cockpit!$O$5,1)="A",H1140,IF(CH1140=1,(CK1140+CI1140)/2,IF(LEFT(Cockpit!$O$5,1)="B",(CK1140+BF1140)/2,MAX((CK1140+BF1140)/2,H1140))))</f>
        <v>0.5</v>
      </c>
      <c r="BE1140" s="50" t="n">
        <f aca="false">BD1140*G1140</f>
        <v>55.55</v>
      </c>
      <c r="BF1140" s="50" t="n">
        <f aca="false">ROUNDUP(CK1140+MAX(CL1140,2*(J1140/IF(CG1140&gt;0,CG1140,MAX(0.1,N(Cockpit!$O$6)))-CK1140)),0)</f>
        <v>1</v>
      </c>
      <c r="BG1140" s="51" t="n">
        <f aca="false">IF(BC1140&gt;0,J1140/BC1140,-1)</f>
        <v>1.34193548387097</v>
      </c>
      <c r="BH1140" s="51" t="str">
        <f aca="false">IF(AND(OR(CF1140="L1",CF1140="L23",CF1140="LIFT"),BC1140&gt;0),SUMIFS($BC$7:$BC$1843,$CF$7:$CF$1843,CF1140,$BG$7:$BG$1843,"&gt;"&amp;BG1140)+SUMIFS($BC$7:$BC$1843,$CF$7:$CF$1843,CF1140,$BG$7:$BG$1843,BG1140,$BW$7:$BW$1843,"&lt;="&amp;BW1140),"")</f>
        <v/>
      </c>
      <c r="BI1140" s="58" t="n">
        <f aca="false">IF(BH1140="",0,MAX(0,MIN(1,(IF(CF1140="L1",Parameter!$H$5,IF(CF1140="L23",Parameter!$H$6+Parameter!$H$7,Parameter!$H$5+Parameter!$H$6+Parameter!$H$7))-(BH1140-BC1140))/BC1140)))</f>
        <v>0</v>
      </c>
      <c r="BJ1140" s="48" t="str">
        <f aca="false">IF(AI1140&lt;=0,"",IF(CF1140="Aussen","Aussenlager",IF(CF1140="-","Nicht im Lift",IF(AO1140&gt;=1,"Lift",IF(AO1140&lt;=0,"Aussenlager","teilweise")))))</f>
        <v>Nicht im Lift</v>
      </c>
      <c r="BK1140" s="48" t="str">
        <f aca="false">IF(AS1140&lt;=0,"",IF(CF1140="Aussen","Aussenlager",IF(CF1140="-","Nicht im Lift",IF(AY1140&gt;=1,"Lift",IF(AY1140&lt;=0,"Aussenlager","teilweise")))))</f>
        <v>Nicht im Lift</v>
      </c>
      <c r="BL1140" s="48" t="str">
        <f aca="false">IF(BC1140&lt;=0,"",IF(CF1140="Aussen","Aussenlager",IF(CF1140="-","Nicht im Lift",IF(BI1140&gt;=1,"Lift",IF(BI1140&lt;=0,"Aussenlager","teilweise")))))</f>
        <v>Nicht im Lift</v>
      </c>
      <c r="BM1140" s="48" t="str">
        <f aca="false">IF(A1140="","",IF(BV1140=1,"Neu; ","")&amp;IF(AND(BV1140=0,BQ1140&lt;0),"negativer Bestand (Export "&amp;BQ1140&amp;"); ","")&amp;IF(J1140&lt;=0,"Kein Verbrauch; ","")&amp;IF(CQ1140&gt;0,"Lift "&amp;W1140&amp;" lt. Liftbericht (Fach "&amp;X1140&amp;" Stk); ",IF(CA1140=1,"Gebinde geschätzt ("&amp;T1140&amp;"); ",IF(BZ1140=1,"Lose – Tablare geschätzt; ","")))&amp;IF(H1140&gt;AV1140,"Überbestand "&amp;ROUND(H1140-AV1140,0)&amp;" Stk / CHF "&amp;ROUND((H1140-AV1140)*G1140,0)&amp;"; ","")&amp;IF(AND(CH1140=1,CI1140&lt;CJ1140),"MAX &lt; MB+LG; ","")&amp;IF(AND(CP1140&gt;0,CO1140*10&gt;CP1140),"zu hoch für Tablar; ","")&amp;IF(AND(BV1140=0,OR(CH1140=1,AA1140&lt;&gt;"",U1140&lt;&gt;"",V1140&lt;&gt;"",AB1140&lt;&gt;"")),"manuell übersteuert; ","")&amp;IF(AND(BZ1140=0,R1140=0),"Gebinde unbekannt / Stellmass fehlt; ","")&amp;IF(AND(BZ1140=0,N(V1140)&lt;=0,N(Q1140)&lt;=0),"Menge pro Gebinde fehlt (Ist = 1 Gebinde); ","")&amp;BU1140)</f>
        <v>negativer Bestand (Export -3); Neu</v>
      </c>
      <c r="BN1140" s="48"/>
      <c r="BO1140" s="48"/>
      <c r="BP1140" s="55"/>
      <c r="BQ1140" s="50" t="n">
        <v>-3</v>
      </c>
      <c r="BR1140" s="50" t="n">
        <v>4</v>
      </c>
      <c r="BS1140" s="49" t="n">
        <v>-286.62</v>
      </c>
      <c r="BT1140" s="50" t="n">
        <v>2</v>
      </c>
      <c r="BU1140" s="48" t="s">
        <v>635</v>
      </c>
      <c r="BV1140" s="53" t="n">
        <v>0</v>
      </c>
      <c r="BW1140" s="53" t="n">
        <v>1140</v>
      </c>
      <c r="BX1140" s="48" t="str">
        <f aca="false">IF(U1140&lt;&gt;"",UPPER(TRIM(U1140)),IF(CA1140=1,UPPER(VLOOKUP(T1140,Parameter!$I$27:$K$29,2,0)),IF(P1140="","LOSE",P1140)))</f>
        <v>S32</v>
      </c>
      <c r="BY1140" s="50" t="n">
        <f aca="false">IF(BX1140="LOSE",1,IF(N(V1140)&gt;0,V1140,IF(CA1140=1,MAX(1,N(VLOOKUP(T1140,Parameter!$I$27:$K$29,3,0)),H1140,N(N1140)),IF(N(Q1140)&gt;0,Q1140,MAX(1,H1140)))))</f>
        <v>3</v>
      </c>
      <c r="BZ1140" s="53" t="n">
        <f aca="false">IF(BX1140="LOSE",1,0)</f>
        <v>0</v>
      </c>
      <c r="CA1140" s="53" t="n">
        <f aca="false">IF(AND(U1140="",OR(P1140="",P1140="LOSE"),T1140&lt;&gt;"",N(S1140)&lt;=0,ISNUMBER(MATCH(T1140,Parameter!$I$27:$I$29,0))),1,0)</f>
        <v>0</v>
      </c>
      <c r="CB1140" s="53" t="n">
        <f aca="false">IF(CQ1140&gt;0,INDEX(Parameter!$H$5:$H$7,W1140)/INDEX(Parameter!$E$5:$E$7,W1140),IF(AND(BZ1140=0,N(IFERROR(VLOOKUP(BX1140,'Gebinde-Kategorie'!$A$5:$N$45,14,0),0))&gt;0),VLOOKUP(BX1140,'Gebinde-Kategorie'!$A$5:$N$45,14,0)*10+Parameter!$M$23,Parameter!$M$24))</f>
        <v>155</v>
      </c>
      <c r="CC1140" s="48" t="str">
        <f aca="false">IF(AND(Parameter!$B$19="Ja",E1140&lt;&gt;"",ISNUMBER(MATCH(E1140,Parameter!$I$35:$I$52,0))),VLOOKUP(E1140,Parameter!$I$35:$J$52,2,0),IFERROR(VLOOKUP(D1140,Parameter!$A$35:$C$64,2,0),"Nein"))</f>
        <v>Nein</v>
      </c>
      <c r="CD1140" s="52" t="n">
        <f aca="false">IF(BZ1140=0,0,IF(N(S1140)&gt;0,S1140,IFERROR(VLOOKUP(D1140,Parameter!$A$35:$C$64,3,0)+0,0)))</f>
        <v>0</v>
      </c>
      <c r="CE1140" s="48" t="str">
        <f aca="false">IF(AA1140&lt;&gt;"",AA1140,Z1140)</f>
        <v>-</v>
      </c>
      <c r="CF1140" s="48" t="str">
        <f aca="false">IF(OR(CE1140=1,CE1140=2,CE1140=3),IF(Parameter!$E$27="Ja","LIFT",IF(CE1140=1,"L1","L23")),IF(CE1140="Aussen","Aussen","-"))</f>
        <v>-</v>
      </c>
      <c r="CG1140" s="59" t="n">
        <f aca="false">IF(N(AB1140)&gt;0,AB1140,0)</f>
        <v>0</v>
      </c>
      <c r="CH1140" s="53" t="n">
        <f aca="false">IF(ISNUMBER(AE1140),1,0)</f>
        <v>0</v>
      </c>
      <c r="CI1140" s="50" t="n">
        <f aca="false">N(AE1140)</f>
        <v>0</v>
      </c>
      <c r="CJ1140" s="50" t="n">
        <f aca="false">N(M1140)+N(N1140)</f>
        <v>1</v>
      </c>
      <c r="CK1140" s="50" t="n">
        <f aca="false">N(M1140)</f>
        <v>0</v>
      </c>
      <c r="CL1140" s="50" t="n">
        <f aca="false">N(N1140)</f>
        <v>1</v>
      </c>
      <c r="CM1140" s="50" t="n">
        <f aca="false">ROUNDUP(H1140/BY1140,0)</f>
        <v>1</v>
      </c>
      <c r="CN1140" s="50" t="n">
        <f aca="false">ROUNDUP(CI1140/BY1140,0)</f>
        <v>0</v>
      </c>
      <c r="CO1140" s="53" t="n">
        <f aca="false">IF(BZ1140=1,0,IFERROR(VLOOKUP(BX1140,'Gebinde-Kategorie'!$A$5:$N$45,5,0)+0,0))</f>
        <v>8</v>
      </c>
      <c r="CP1140" s="53" t="n">
        <f aca="false">IFERROR(IF(OR(CE1140=1,CE1140=2,CE1140=3),N(INDEX(Parameter!$I$5:$I$7,CE1140)),0),0)</f>
        <v>0</v>
      </c>
      <c r="CQ1140" s="52" t="n">
        <f aca="false">IF(AND(Parameter!$B$21="Ja",ISNUMBER(W1140),N(X1140)&gt;0),IFERROR(N(INDEX(Parameter!$L$5:$L$7,W1140))*INDEX(Parameter!$E$5:$E$7,W1140)*X1140/SUMIFS($X$7:$X$1843,$W$7:$W$1843,W1140),0),0)</f>
        <v>0</v>
      </c>
    </row>
    <row r="1141" customFormat="false" ht="15" hidden="false" customHeight="false" outlineLevel="0" collapsed="false">
      <c r="A1141" s="48" t="s">
        <v>2072</v>
      </c>
      <c r="B1141" s="48" t="s">
        <v>2073</v>
      </c>
      <c r="C1141" s="48" t="s">
        <v>173</v>
      </c>
      <c r="D1141" s="48" t="s">
        <v>193</v>
      </c>
      <c r="E1141" s="48"/>
      <c r="F1141" s="48" t="s">
        <v>227</v>
      </c>
      <c r="G1141" s="49" t="n">
        <v>101.35</v>
      </c>
      <c r="H1141" s="50" t="n">
        <f aca="false">MAX(0,IF(AND(Parameter!$B$21="Ja",ISNUMBER(Y1141)),Y1141,IF(Parameter!$B$20="Jahresanfang 2025 + Export",BR1141+BQ1141,BQ1141)))</f>
        <v>1</v>
      </c>
      <c r="I1141" s="50" t="n">
        <f aca="false">H1141*G1141</f>
        <v>101.35</v>
      </c>
      <c r="J1141" s="50" t="n">
        <f aca="false">BT1141*Parameter!$B$18</f>
        <v>6</v>
      </c>
      <c r="K1141" s="51" t="n">
        <v>3.5</v>
      </c>
      <c r="L1141" s="52" t="n">
        <v>1.71428571428571</v>
      </c>
      <c r="M1141" s="50" t="n">
        <v>0</v>
      </c>
      <c r="N1141" s="50" t="n">
        <v>5</v>
      </c>
      <c r="O1141" s="53" t="n">
        <v>35</v>
      </c>
      <c r="P1141" s="48" t="s">
        <v>177</v>
      </c>
      <c r="Q1141" s="50"/>
      <c r="R1141" s="53" t="n">
        <f aca="false">IF(BZ1141=1,0,IFERROR(VLOOKUP(BX1141,'Gebinde-Kategorie'!$A$5:$N$45,13,0)+0,0))</f>
        <v>26</v>
      </c>
      <c r="S1141" s="54"/>
      <c r="T1141" s="55" t="s">
        <v>284</v>
      </c>
      <c r="U1141" s="55"/>
      <c r="V1141" s="55"/>
      <c r="W1141" s="48"/>
      <c r="X1141" s="50"/>
      <c r="Y1141" s="50"/>
      <c r="Z1141" s="48" t="n">
        <f aca="false">IF(A1141="","",IF(AND(Parameter!$B$21="Ja",ISNUMBER(W1141)),W1141,IF(CC1141="2+3",IF(ISNUMBER(SEARCH("grosser Artikel",BU1141)),2,IFERROR(VLOOKUP(BX1141,Parameter!$F$35:$G$64,2,0),2)),IF(OR(CC1141="Nein",CC1141=""),"-",CC1141))))</f>
        <v>3</v>
      </c>
      <c r="AA1141" s="55"/>
      <c r="AB1141" s="56"/>
      <c r="AC1141" s="50" t="n">
        <f aca="false">AV1141</f>
        <v>5</v>
      </c>
      <c r="AD1141" s="50" t="n">
        <f aca="false">MAX(AV1141,H1141)</f>
        <v>5</v>
      </c>
      <c r="AE1141" s="57"/>
      <c r="AF1141" s="50" t="n">
        <f aca="false">IF(LEFT(Cockpit!$C$5,1)="A",H1141,IF(Parameter!$E$30="MAX-Bestand",IF(CH1141=1,CI1141,IF(LEFT(Cockpit!$C$5,1)="B",AL1141,MAX(AL1141,H1141))),ROUNDUP(AJ1141,0)))</f>
        <v>1</v>
      </c>
      <c r="AG1141" s="50" t="n">
        <f aca="false">IF(BZ1141=1,0,ROUNDUP(AF1141/BY1141,0))</f>
        <v>1</v>
      </c>
      <c r="AH1141" s="52" t="n">
        <f aca="false">IF(CQ1141&gt;0,CQ1141*MAX(1,AF1141/X1141),IF(BZ1141=1,IF(AF1141&lt;=0,0,CD1141*MAX(1,IF(H1141&gt;0,AF1141/H1141,1))),IF(R1141&gt;0,AG1141/R1141,0))/MAX(0.1,N(Parameter!$M$21)))</f>
        <v>0.0384615384615385</v>
      </c>
      <c r="AI1141" s="50" t="n">
        <f aca="false">AH1141*CB1141</f>
        <v>5.96153846153846</v>
      </c>
      <c r="AJ1141" s="51" t="n">
        <f aca="false">IF(LEFT(Cockpit!$C$5,1)="A",H1141,IF(CH1141=1,(CK1141+CI1141)/2,IF(LEFT(Cockpit!$C$5,1)="B",(CK1141+AL1141)/2,MAX((CK1141+AL1141)/2,H1141))))</f>
        <v>1</v>
      </c>
      <c r="AK1141" s="50" t="n">
        <f aca="false">AJ1141*G1141</f>
        <v>101.35</v>
      </c>
      <c r="AL1141" s="50" t="n">
        <f aca="false">ROUNDUP(CK1141+MAX(CL1141,2*(J1141/IF(CG1141&gt;0,CG1141,MAX(0.1,N(Cockpit!$C$6)))-CK1141)),0)</f>
        <v>5</v>
      </c>
      <c r="AM1141" s="51" t="n">
        <f aca="false">IF(AI1141&gt;0,J1141/AI1141,-1)</f>
        <v>1.00645161290323</v>
      </c>
      <c r="AN1141" s="51" t="n">
        <f aca="false">IF(AND(OR(CF1141="L1",CF1141="L23",CF1141="LIFT"),AI1141&gt;0),SUMIFS($AI$7:$AI$1843,$CF$7:$CF$1843,CF1141,$AM$7:$AM$1843,"&gt;"&amp;AM1141)+SUMIFS($AI$7:$AI$1843,$CF$7:$CF$1843,CF1141,$AM$7:$AM$1843,AM1141,$BW$7:$BW$1843,"&lt;="&amp;BW1141),"")</f>
        <v>7047.461996337</v>
      </c>
      <c r="AO1141" s="58" t="n">
        <f aca="false">IF(AN1141="",0,MAX(0,MIN(1,(IF(CF1141="L1",Parameter!$H$5,IF(CF1141="L23",Parameter!$H$6+Parameter!$H$7,Parameter!$H$5+Parameter!$H$6+Parameter!$H$7))-(AN1141-AI1141))/AI1141)))</f>
        <v>1</v>
      </c>
      <c r="AP1141" s="50" t="n">
        <f aca="false">IF(LEFT(Cockpit!$I$5,1)="A",H1141,IF(Parameter!$E$30="MAX-Bestand",IF(CH1141=1,CI1141,IF(LEFT(Cockpit!$I$5,1)="B",AV1141,MAX(AV1141,H1141))),ROUNDUP(AT1141,0)))</f>
        <v>3</v>
      </c>
      <c r="AQ1141" s="50" t="n">
        <f aca="false">IF(BZ1141=1,0,ROUNDUP(AP1141/BY1141,0))</f>
        <v>1</v>
      </c>
      <c r="AR1141" s="52" t="n">
        <f aca="false">IF(CQ1141&gt;0,CQ1141*MAX(1,AP1141/X1141),IF(BZ1141=1,IF(AP1141&lt;=0,0,CD1141*MAX(1,IF(H1141&gt;0,AP1141/H1141,1))),IF(R1141&gt;0,AQ1141/R1141,0))/MAX(0.1,N(Parameter!$M$21)))</f>
        <v>0.0384615384615385</v>
      </c>
      <c r="AS1141" s="50" t="n">
        <f aca="false">AR1141*CB1141</f>
        <v>5.96153846153846</v>
      </c>
      <c r="AT1141" s="51" t="n">
        <f aca="false">IF(LEFT(Cockpit!$I$5,1)="A",H1141,IF(CH1141=1,(CK1141+CI1141)/2,IF(LEFT(Cockpit!$I$5,1)="B",(CK1141+AV1141)/2,MAX((CK1141+AV1141)/2,H1141))))</f>
        <v>2.5</v>
      </c>
      <c r="AU1141" s="50" t="n">
        <f aca="false">AT1141*G1141</f>
        <v>253.375</v>
      </c>
      <c r="AV1141" s="50" t="n">
        <f aca="false">ROUNDUP(CK1141+MAX(CL1141,2*(J1141/IF(CG1141&gt;0,CG1141,MAX(0.1,N(Cockpit!$I$6)))-CK1141)),0)</f>
        <v>5</v>
      </c>
      <c r="AW1141" s="51" t="n">
        <f aca="false">IF(AS1141&gt;0,J1141/AS1141,-1)</f>
        <v>1.00645161290323</v>
      </c>
      <c r="AX1141" s="51" t="n">
        <f aca="false">IF(AND(OR(CF1141="L1",CF1141="L23",CF1141="LIFT"),AS1141&gt;0),SUMIFS($AS$7:$AS$1843,$CF$7:$CF$1843,CF1141,$AW$7:$AW$1843,"&gt;"&amp;AW1141)+SUMIFS($AS$7:$AS$1843,$CF$7:$CF$1843,CF1141,$AW$7:$AW$1843,AW1141,$BW$7:$BW$1843,"&lt;="&amp;BW1141),"")</f>
        <v>8419.14560439561</v>
      </c>
      <c r="AY1141" s="58" t="n">
        <f aca="false">IF(AX1141="",0,MAX(0,MIN(1,(IF(CF1141="L1",Parameter!$H$5,IF(CF1141="L23",Parameter!$H$6+Parameter!$H$7,Parameter!$H$5+Parameter!$H$6+Parameter!$H$7))-(AX1141-AS1141))/AS1141)))</f>
        <v>1</v>
      </c>
      <c r="AZ1141" s="50" t="n">
        <f aca="false">IF(LEFT(Cockpit!$O$5,1)="A",H1141,IF(Parameter!$E$30="MAX-Bestand",IF(CH1141=1,CI1141,IF(LEFT(Cockpit!$O$5,1)="B",BF1141,MAX(BF1141,H1141))),ROUNDUP(BD1141,0)))</f>
        <v>3</v>
      </c>
      <c r="BA1141" s="50" t="n">
        <f aca="false">IF(BZ1141=1,0,ROUNDUP(AZ1141/BY1141,0))</f>
        <v>1</v>
      </c>
      <c r="BB1141" s="52" t="n">
        <f aca="false">IF(CQ1141&gt;0,CQ1141*MAX(1,AZ1141/X1141),IF(BZ1141=1,IF(AZ1141&lt;=0,0,CD1141*MAX(1,IF(H1141&gt;0,AZ1141/H1141,1))),IF(R1141&gt;0,BA1141/R1141,0))/MAX(0.1,N(Parameter!$M$21)))</f>
        <v>0.0384615384615385</v>
      </c>
      <c r="BC1141" s="50" t="n">
        <f aca="false">BB1141*CB1141</f>
        <v>5.96153846153846</v>
      </c>
      <c r="BD1141" s="51" t="n">
        <f aca="false">IF(LEFT(Cockpit!$O$5,1)="A",H1141,IF(CH1141=1,(CK1141+CI1141)/2,IF(LEFT(Cockpit!$O$5,1)="B",(CK1141+BF1141)/2,MAX((CK1141+BF1141)/2,H1141))))</f>
        <v>2.5</v>
      </c>
      <c r="BE1141" s="50" t="n">
        <f aca="false">BD1141*G1141</f>
        <v>253.375</v>
      </c>
      <c r="BF1141" s="50" t="n">
        <f aca="false">ROUNDUP(CK1141+MAX(CL1141,2*(J1141/IF(CG1141&gt;0,CG1141,MAX(0.1,N(Cockpit!$O$6)))-CK1141)),0)</f>
        <v>5</v>
      </c>
      <c r="BG1141" s="51" t="n">
        <f aca="false">IF(BC1141&gt;0,J1141/BC1141,-1)</f>
        <v>1.00645161290323</v>
      </c>
      <c r="BH1141" s="51" t="n">
        <f aca="false">IF(AND(OR(CF1141="L1",CF1141="L23",CF1141="LIFT"),BC1141&gt;0),SUMIFS($BC$7:$BC$1843,$CF$7:$CF$1843,CF1141,$BG$7:$BG$1843,"&gt;"&amp;BG1141)+SUMIFS($BC$7:$BC$1843,$CF$7:$CF$1843,CF1141,$BG$7:$BG$1843,BG1141,$BW$7:$BW$1843,"&lt;="&amp;BW1141),"")</f>
        <v>7657.2586996337</v>
      </c>
      <c r="BI1141" s="58" t="n">
        <f aca="false">IF(BH1141="",0,MAX(0,MIN(1,(IF(CF1141="L1",Parameter!$H$5,IF(CF1141="L23",Parameter!$H$6+Parameter!$H$7,Parameter!$H$5+Parameter!$H$6+Parameter!$H$7))-(BH1141-BC1141))/BC1141)))</f>
        <v>1</v>
      </c>
      <c r="BJ1141" s="48" t="str">
        <f aca="false">IF(AI1141&lt;=0,"",IF(CF1141="Aussen","Aussenlager",IF(CF1141="-","Nicht im Lift",IF(AO1141&gt;=1,"Lift",IF(AO1141&lt;=0,"Aussenlager","teilweise")))))</f>
        <v>Lift</v>
      </c>
      <c r="BK1141" s="48" t="str">
        <f aca="false">IF(AS1141&lt;=0,"",IF(CF1141="Aussen","Aussenlager",IF(CF1141="-","Nicht im Lift",IF(AY1141&gt;=1,"Lift",IF(AY1141&lt;=0,"Aussenlager","teilweise")))))</f>
        <v>Lift</v>
      </c>
      <c r="BL1141" s="48" t="str">
        <f aca="false">IF(BC1141&lt;=0,"",IF(CF1141="Aussen","Aussenlager",IF(CF1141="-","Nicht im Lift",IF(BI1141&gt;=1,"Lift",IF(BI1141&lt;=0,"Aussenlager","teilweise")))))</f>
        <v>Lift</v>
      </c>
      <c r="BM1141" s="48" t="str">
        <f aca="false">IF(A1141="","",IF(BV1141=1,"Neu; ","")&amp;IF(AND(BV1141=0,BQ1141&lt;0),"negativer Bestand (Export "&amp;BQ1141&amp;"); ","")&amp;IF(J1141&lt;=0,"Kein Verbrauch; ","")&amp;IF(CQ1141&gt;0,"Lift "&amp;W1141&amp;" lt. Liftbericht (Fach "&amp;X1141&amp;" Stk); ",IF(CA1141=1,"Gebinde geschätzt ("&amp;T1141&amp;"); ",IF(BZ1141=1,"Lose – Tablare geschätzt; ","")))&amp;IF(H1141&gt;AV1141,"Überbestand "&amp;ROUND(H1141-AV1141,0)&amp;" Stk / CHF "&amp;ROUND((H1141-AV1141)*G1141,0)&amp;"; ","")&amp;IF(AND(CH1141=1,CI1141&lt;CJ1141),"MAX &lt; MB+LG; ","")&amp;IF(AND(CP1141&gt;0,CO1141*10&gt;CP1141),"zu hoch für Tablar; ","")&amp;IF(AND(BV1141=0,OR(CH1141=1,AA1141&lt;&gt;"",U1141&lt;&gt;"",V1141&lt;&gt;"",AB1141&lt;&gt;"")),"manuell übersteuert; ","")&amp;IF(AND(BZ1141=0,R1141=0),"Gebinde unbekannt / Stellmass fehlt; ","")&amp;IF(AND(BZ1141=0,N(V1141)&lt;=0,N(Q1141)&lt;=0),"Menge pro Gebinde fehlt (Ist = 1 Gebinde); ","")&amp;BU1141)</f>
        <v>negativer Bestand (Export -3); Gebinde geschätzt (Klein); Menge pro Gebinde fehlt (Ist = 1 Gebinde); </v>
      </c>
      <c r="BN1141" s="48"/>
      <c r="BO1141" s="48"/>
      <c r="BP1141" s="55"/>
      <c r="BQ1141" s="50" t="n">
        <v>-3</v>
      </c>
      <c r="BR1141" s="50" t="n">
        <v>4</v>
      </c>
      <c r="BS1141" s="49" t="n">
        <v>-287.21</v>
      </c>
      <c r="BT1141" s="50" t="n">
        <v>6</v>
      </c>
      <c r="BU1141" s="48"/>
      <c r="BV1141" s="53" t="n">
        <v>0</v>
      </c>
      <c r="BW1141" s="53" t="n">
        <v>1141</v>
      </c>
      <c r="BX1141" s="48" t="str">
        <f aca="false">IF(U1141&lt;&gt;"",UPPER(TRIM(U1141)),IF(CA1141=1,UPPER(VLOOKUP(T1141,Parameter!$I$27:$K$29,2,0)),IF(P1141="","LOSE",P1141)))</f>
        <v>S51</v>
      </c>
      <c r="BY1141" s="50" t="n">
        <f aca="false">IF(BX1141="LOSE",1,IF(N(V1141)&gt;0,V1141,IF(CA1141=1,MAX(1,N(VLOOKUP(T1141,Parameter!$I$27:$K$29,3,0)),H1141,N(N1141)),IF(N(Q1141)&gt;0,Q1141,MAX(1,H1141)))))</f>
        <v>20</v>
      </c>
      <c r="BZ1141" s="53" t="n">
        <f aca="false">IF(BX1141="LOSE",1,0)</f>
        <v>0</v>
      </c>
      <c r="CA1141" s="53" t="n">
        <f aca="false">IF(AND(U1141="",OR(P1141="",P1141="LOSE"),T1141&lt;&gt;"",N(S1141)&lt;=0,ISNUMBER(MATCH(T1141,Parameter!$I$27:$I$29,0))),1,0)</f>
        <v>1</v>
      </c>
      <c r="CB1141" s="53" t="n">
        <f aca="false">IF(CQ1141&gt;0,INDEX(Parameter!$H$5:$H$7,W1141)/INDEX(Parameter!$E$5:$E$7,W1141),IF(AND(BZ1141=0,N(IFERROR(VLOOKUP(BX1141,'Gebinde-Kategorie'!$A$5:$N$45,14,0),0))&gt;0),VLOOKUP(BX1141,'Gebinde-Kategorie'!$A$5:$N$45,14,0)*10+Parameter!$M$23,Parameter!$M$24))</f>
        <v>155</v>
      </c>
      <c r="CC1141" s="48" t="str">
        <f aca="false">IF(AND(Parameter!$B$19="Ja",E1141&lt;&gt;"",ISNUMBER(MATCH(E1141,Parameter!$I$35:$I$52,0))),VLOOKUP(E1141,Parameter!$I$35:$J$52,2,0),IFERROR(VLOOKUP(D1141,Parameter!$A$35:$C$64,2,0),"Nein"))</f>
        <v>2+3</v>
      </c>
      <c r="CD1141" s="52" t="n">
        <f aca="false">IF(BZ1141=0,0,IF(N(S1141)&gt;0,S1141,IFERROR(VLOOKUP(D1141,Parameter!$A$35:$C$64,3,0)+0,0)))</f>
        <v>0</v>
      </c>
      <c r="CE1141" s="48" t="n">
        <f aca="false">IF(AA1141&lt;&gt;"",AA1141,Z1141)</f>
        <v>3</v>
      </c>
      <c r="CF1141" s="48" t="str">
        <f aca="false">IF(OR(CE1141=1,CE1141=2,CE1141=3),IF(Parameter!$E$27="Ja","LIFT",IF(CE1141=1,"L1","L23")),IF(CE1141="Aussen","Aussen","-"))</f>
        <v>LIFT</v>
      </c>
      <c r="CG1141" s="59" t="n">
        <f aca="false">IF(N(AB1141)&gt;0,AB1141,0)</f>
        <v>0</v>
      </c>
      <c r="CH1141" s="53" t="n">
        <f aca="false">IF(ISNUMBER(AE1141),1,0)</f>
        <v>0</v>
      </c>
      <c r="CI1141" s="50" t="n">
        <f aca="false">N(AE1141)</f>
        <v>0</v>
      </c>
      <c r="CJ1141" s="50" t="n">
        <f aca="false">N(M1141)+N(N1141)</f>
        <v>5</v>
      </c>
      <c r="CK1141" s="50" t="n">
        <f aca="false">N(M1141)</f>
        <v>0</v>
      </c>
      <c r="CL1141" s="50" t="n">
        <f aca="false">N(N1141)</f>
        <v>5</v>
      </c>
      <c r="CM1141" s="50" t="n">
        <f aca="false">ROUNDUP(H1141/BY1141,0)</f>
        <v>1</v>
      </c>
      <c r="CN1141" s="50" t="n">
        <f aca="false">ROUNDUP(CI1141/BY1141,0)</f>
        <v>0</v>
      </c>
      <c r="CO1141" s="53" t="n">
        <f aca="false">IF(BZ1141=1,0,IFERROR(VLOOKUP(BX1141,'Gebinde-Kategorie'!$A$5:$N$45,5,0)+0,0))</f>
        <v>11</v>
      </c>
      <c r="CP1141" s="53" t="n">
        <f aca="false">IFERROR(IF(OR(CE1141=1,CE1141=2,CE1141=3),N(INDEX(Parameter!$I$5:$I$7,CE1141)),0),0)</f>
        <v>0</v>
      </c>
      <c r="CQ1141" s="52" t="n">
        <f aca="false">IF(AND(Parameter!$B$21="Ja",ISNUMBER(W1141),N(X1141)&gt;0),IFERROR(N(INDEX(Parameter!$L$5:$L$7,W1141))*INDEX(Parameter!$E$5:$E$7,W1141)*X1141/SUMIFS($X$7:$X$1843,$W$7:$W$1843,W1141),0),0)</f>
        <v>0</v>
      </c>
    </row>
    <row r="1142" customFormat="false" ht="15" hidden="false" customHeight="false" outlineLevel="0" collapsed="false">
      <c r="A1142" s="48" t="s">
        <v>2074</v>
      </c>
      <c r="B1142" s="48" t="s">
        <v>2075</v>
      </c>
      <c r="C1142" s="48" t="s">
        <v>173</v>
      </c>
      <c r="D1142" s="48" t="s">
        <v>193</v>
      </c>
      <c r="E1142" s="48" t="s">
        <v>194</v>
      </c>
      <c r="F1142" s="48" t="s">
        <v>227</v>
      </c>
      <c r="G1142" s="49" t="n">
        <v>0.65</v>
      </c>
      <c r="H1142" s="50" t="n">
        <f aca="false">MAX(0,IF(AND(Parameter!$B$21="Ja",ISNUMBER(Y1142)),Y1142,IF(Parameter!$B$20="Jahresanfang 2025 + Export",BR1142+BQ1142,BQ1142)))</f>
        <v>118</v>
      </c>
      <c r="I1142" s="50" t="n">
        <f aca="false">H1142*G1142</f>
        <v>76.7</v>
      </c>
      <c r="J1142" s="50" t="n">
        <f aca="false">BT1142*Parameter!$B$18</f>
        <v>595</v>
      </c>
      <c r="K1142" s="51" t="n">
        <v>564</v>
      </c>
      <c r="L1142" s="52" t="n">
        <v>1.05496453900709</v>
      </c>
      <c r="M1142" s="50" t="n">
        <v>34</v>
      </c>
      <c r="N1142" s="50" t="n">
        <v>600</v>
      </c>
      <c r="O1142" s="53" t="n">
        <v>21</v>
      </c>
      <c r="P1142" s="48" t="s">
        <v>242</v>
      </c>
      <c r="Q1142" s="50" t="n">
        <v>197</v>
      </c>
      <c r="R1142" s="53" t="n">
        <f aca="false">IF(BZ1142=1,0,IFERROR(VLOOKUP(BX1142,'Gebinde-Kategorie'!$A$5:$N$45,13,0)+0,0))</f>
        <v>26</v>
      </c>
      <c r="S1142" s="54"/>
      <c r="T1142" s="55"/>
      <c r="U1142" s="55"/>
      <c r="V1142" s="55"/>
      <c r="W1142" s="48"/>
      <c r="X1142" s="50"/>
      <c r="Y1142" s="50"/>
      <c r="Z1142" s="48" t="n">
        <f aca="false">IF(A1142="","",IF(AND(Parameter!$B$21="Ja",ISNUMBER(W1142)),W1142,IF(CC1142="2+3",IF(ISNUMBER(SEARCH("grosser Artikel",BU1142)),2,IFERROR(VLOOKUP(BX1142,Parameter!$F$35:$G$64,2,0),2)),IF(OR(CC1142="Nein",CC1142=""),"-",CC1142))))</f>
        <v>3</v>
      </c>
      <c r="AA1142" s="55"/>
      <c r="AB1142" s="56"/>
      <c r="AC1142" s="50" t="n">
        <f aca="false">AV1142</f>
        <v>634</v>
      </c>
      <c r="AD1142" s="50" t="n">
        <f aca="false">MAX(AV1142,H1142)</f>
        <v>634</v>
      </c>
      <c r="AE1142" s="57"/>
      <c r="AF1142" s="50" t="n">
        <f aca="false">IF(LEFT(Cockpit!$C$5,1)="A",H1142,IF(Parameter!$E$30="MAX-Bestand",IF(CH1142=1,CI1142,IF(LEFT(Cockpit!$C$5,1)="B",AL1142,MAX(AL1142,H1142))),ROUNDUP(AJ1142,0)))</f>
        <v>118</v>
      </c>
      <c r="AG1142" s="50" t="n">
        <f aca="false">IF(BZ1142=1,0,ROUNDUP(AF1142/BY1142,0))</f>
        <v>1</v>
      </c>
      <c r="AH1142" s="52" t="n">
        <f aca="false">IF(CQ1142&gt;0,CQ1142*MAX(1,AF1142/X1142),IF(BZ1142=1,IF(AF1142&lt;=0,0,CD1142*MAX(1,IF(H1142&gt;0,AF1142/H1142,1))),IF(R1142&gt;0,AG1142/R1142,0))/MAX(0.1,N(Parameter!$M$21)))</f>
        <v>0.0384615384615385</v>
      </c>
      <c r="AI1142" s="50" t="n">
        <f aca="false">AH1142*CB1142</f>
        <v>9.42307692307692</v>
      </c>
      <c r="AJ1142" s="51" t="n">
        <f aca="false">IF(LEFT(Cockpit!$C$5,1)="A",H1142,IF(CH1142=1,(CK1142+CI1142)/2,IF(LEFT(Cockpit!$C$5,1)="B",(CK1142+AL1142)/2,MAX((CK1142+AL1142)/2,H1142))))</f>
        <v>118</v>
      </c>
      <c r="AK1142" s="50" t="n">
        <f aca="false">AJ1142*G1142</f>
        <v>76.7</v>
      </c>
      <c r="AL1142" s="50" t="n">
        <f aca="false">ROUNDUP(CK1142+MAX(CL1142,2*(J1142/IF(CG1142&gt;0,CG1142,MAX(0.1,N(Cockpit!$C$6)))-CK1142)),0)</f>
        <v>634</v>
      </c>
      <c r="AM1142" s="51" t="n">
        <f aca="false">IF(AI1142&gt;0,J1142/AI1142,-1)</f>
        <v>63.1428571428571</v>
      </c>
      <c r="AN1142" s="51" t="n">
        <f aca="false">IF(AND(OR(CF1142="L1",CF1142="L23",CF1142="LIFT"),AI1142&gt;0),SUMIFS($AI$7:$AI$1843,$CF$7:$CF$1843,CF1142,$AM$7:$AM$1843,"&gt;"&amp;AM1142)+SUMIFS($AI$7:$AI$1843,$CF$7:$CF$1843,CF1142,$AM$7:$AM$1843,AM1142,$BW$7:$BW$1843,"&lt;="&amp;BW1142),"")</f>
        <v>961.583791208791</v>
      </c>
      <c r="AO1142" s="58" t="n">
        <f aca="false">IF(AN1142="",0,MAX(0,MIN(1,(IF(CF1142="L1",Parameter!$H$5,IF(CF1142="L23",Parameter!$H$6+Parameter!$H$7,Parameter!$H$5+Parameter!$H$6+Parameter!$H$7))-(AN1142-AI1142))/AI1142)))</f>
        <v>1</v>
      </c>
      <c r="AP1142" s="50" t="n">
        <f aca="false">IF(LEFT(Cockpit!$I$5,1)="A",H1142,IF(Parameter!$E$30="MAX-Bestand",IF(CH1142=1,CI1142,IF(LEFT(Cockpit!$I$5,1)="B",AV1142,MAX(AV1142,H1142))),ROUNDUP(AT1142,0)))</f>
        <v>334</v>
      </c>
      <c r="AQ1142" s="50" t="n">
        <f aca="false">IF(BZ1142=1,0,ROUNDUP(AP1142/BY1142,0))</f>
        <v>2</v>
      </c>
      <c r="AR1142" s="52" t="n">
        <f aca="false">IF(CQ1142&gt;0,CQ1142*MAX(1,AP1142/X1142),IF(BZ1142=1,IF(AP1142&lt;=0,0,CD1142*MAX(1,IF(H1142&gt;0,AP1142/H1142,1))),IF(R1142&gt;0,AQ1142/R1142,0))/MAX(0.1,N(Parameter!$M$21)))</f>
        <v>0.0769230769230769</v>
      </c>
      <c r="AS1142" s="50" t="n">
        <f aca="false">AR1142*CB1142</f>
        <v>18.8461538461538</v>
      </c>
      <c r="AT1142" s="51" t="n">
        <f aca="false">IF(LEFT(Cockpit!$I$5,1)="A",H1142,IF(CH1142=1,(CK1142+CI1142)/2,IF(LEFT(Cockpit!$I$5,1)="B",(CK1142+AV1142)/2,MAX((CK1142+AV1142)/2,H1142))))</f>
        <v>334</v>
      </c>
      <c r="AU1142" s="50" t="n">
        <f aca="false">AT1142*G1142</f>
        <v>217.1</v>
      </c>
      <c r="AV1142" s="50" t="n">
        <f aca="false">ROUNDUP(CK1142+MAX(CL1142,2*(J1142/IF(CG1142&gt;0,CG1142,MAX(0.1,N(Cockpit!$I$6)))-CK1142)),0)</f>
        <v>634</v>
      </c>
      <c r="AW1142" s="51" t="n">
        <f aca="false">IF(AS1142&gt;0,J1142/AS1142,-1)</f>
        <v>31.5714285714286</v>
      </c>
      <c r="AX1142" s="51" t="n">
        <f aca="false">IF(AND(OR(CF1142="L1",CF1142="L23",CF1142="LIFT"),AS1142&gt;0),SUMIFS($AS$7:$AS$1843,$CF$7:$CF$1843,CF1142,$AW$7:$AW$1843,"&gt;"&amp;AW1142)+SUMIFS($AS$7:$AS$1843,$CF$7:$CF$1843,CF1142,$AW$7:$AW$1843,AW1142,$BW$7:$BW$1843,"&lt;="&amp;BW1142),"")</f>
        <v>1791.1369047619</v>
      </c>
      <c r="AY1142" s="58" t="n">
        <f aca="false">IF(AX1142="",0,MAX(0,MIN(1,(IF(CF1142="L1",Parameter!$H$5,IF(CF1142="L23",Parameter!$H$6+Parameter!$H$7,Parameter!$H$5+Parameter!$H$6+Parameter!$H$7))-(AX1142-AS1142))/AS1142)))</f>
        <v>1</v>
      </c>
      <c r="AZ1142" s="50" t="n">
        <f aca="false">IF(LEFT(Cockpit!$O$5,1)="A",H1142,IF(Parameter!$E$30="MAX-Bestand",IF(CH1142=1,CI1142,IF(LEFT(Cockpit!$O$5,1)="B",BF1142,MAX(BF1142,H1142))),ROUNDUP(BD1142,0)))</f>
        <v>334</v>
      </c>
      <c r="BA1142" s="50" t="n">
        <f aca="false">IF(BZ1142=1,0,ROUNDUP(AZ1142/BY1142,0))</f>
        <v>2</v>
      </c>
      <c r="BB1142" s="52" t="n">
        <f aca="false">IF(CQ1142&gt;0,CQ1142*MAX(1,AZ1142/X1142),IF(BZ1142=1,IF(AZ1142&lt;=0,0,CD1142*MAX(1,IF(H1142&gt;0,AZ1142/H1142,1))),IF(R1142&gt;0,BA1142/R1142,0))/MAX(0.1,N(Parameter!$M$21)))</f>
        <v>0.0769230769230769</v>
      </c>
      <c r="BC1142" s="50" t="n">
        <f aca="false">BB1142*CB1142</f>
        <v>18.8461538461538</v>
      </c>
      <c r="BD1142" s="51" t="n">
        <f aca="false">IF(LEFT(Cockpit!$O$5,1)="A",H1142,IF(CH1142=1,(CK1142+CI1142)/2,IF(LEFT(Cockpit!$O$5,1)="B",(CK1142+BF1142)/2,MAX((CK1142+BF1142)/2,H1142))))</f>
        <v>334</v>
      </c>
      <c r="BE1142" s="50" t="n">
        <f aca="false">BD1142*G1142</f>
        <v>217.1</v>
      </c>
      <c r="BF1142" s="50" t="n">
        <f aca="false">ROUNDUP(CK1142+MAX(CL1142,2*(J1142/IF(CG1142&gt;0,CG1142,MAX(0.1,N(Cockpit!$O$6)))-CK1142)),0)</f>
        <v>634</v>
      </c>
      <c r="BG1142" s="51" t="n">
        <f aca="false">IF(BC1142&gt;0,J1142/BC1142,-1)</f>
        <v>31.5714285714286</v>
      </c>
      <c r="BH1142" s="51" t="n">
        <f aca="false">IF(AND(OR(CF1142="L1",CF1142="L23",CF1142="LIFT"),BC1142&gt;0),SUMIFS($BC$7:$BC$1843,$CF$7:$CF$1843,CF1142,$BG$7:$BG$1843,"&gt;"&amp;BG1142)+SUMIFS($BC$7:$BC$1843,$CF$7:$CF$1843,CF1142,$BG$7:$BG$1843,BG1142,$BW$7:$BW$1843,"&lt;="&amp;BW1142),"")</f>
        <v>1728.59844322344</v>
      </c>
      <c r="BI1142" s="58" t="n">
        <f aca="false">IF(BH1142="",0,MAX(0,MIN(1,(IF(CF1142="L1",Parameter!$H$5,IF(CF1142="L23",Parameter!$H$6+Parameter!$H$7,Parameter!$H$5+Parameter!$H$6+Parameter!$H$7))-(BH1142-BC1142))/BC1142)))</f>
        <v>1</v>
      </c>
      <c r="BJ1142" s="48" t="str">
        <f aca="false">IF(AI1142&lt;=0,"",IF(CF1142="Aussen","Aussenlager",IF(CF1142="-","Nicht im Lift",IF(AO1142&gt;=1,"Lift",IF(AO1142&lt;=0,"Aussenlager","teilweise")))))</f>
        <v>Lift</v>
      </c>
      <c r="BK1142" s="48" t="str">
        <f aca="false">IF(AS1142&lt;=0,"",IF(CF1142="Aussen","Aussenlager",IF(CF1142="-","Nicht im Lift",IF(AY1142&gt;=1,"Lift",IF(AY1142&lt;=0,"Aussenlager","teilweise")))))</f>
        <v>Lift</v>
      </c>
      <c r="BL1142" s="48" t="str">
        <f aca="false">IF(BC1142&lt;=0,"",IF(CF1142="Aussen","Aussenlager",IF(CF1142="-","Nicht im Lift",IF(BI1142&gt;=1,"Lift",IF(BI1142&lt;=0,"Aussenlager","teilweise")))))</f>
        <v>Lift</v>
      </c>
      <c r="BM1142" s="48" t="str">
        <f aca="false">IF(A1142="","",IF(BV1142=1,"Neu; ","")&amp;IF(AND(BV1142=0,BQ1142&lt;0),"negativer Bestand (Export "&amp;BQ1142&amp;"); ","")&amp;IF(J1142&lt;=0,"Kein Verbrauch; ","")&amp;IF(CQ1142&gt;0,"Lift "&amp;W1142&amp;" lt. Liftbericht (Fach "&amp;X1142&amp;" Stk); ",IF(CA1142=1,"Gebinde geschätzt ("&amp;T1142&amp;"); ",IF(BZ1142=1,"Lose – Tablare geschätzt; ","")))&amp;IF(H1142&gt;AV1142,"Überbestand "&amp;ROUND(H1142-AV1142,0)&amp;" Stk / CHF "&amp;ROUND((H1142-AV1142)*G1142,0)&amp;"; ","")&amp;IF(AND(CH1142=1,CI1142&lt;CJ1142),"MAX &lt; MB+LG; ","")&amp;IF(AND(CP1142&gt;0,CO1142*10&gt;CP1142),"zu hoch für Tablar; ","")&amp;IF(AND(BV1142=0,OR(CH1142=1,AA1142&lt;&gt;"",U1142&lt;&gt;"",V1142&lt;&gt;"",AB1142&lt;&gt;"")),"manuell übersteuert; ","")&amp;IF(AND(BZ1142=0,R1142=0),"Gebinde unbekannt / Stellmass fehlt; ","")&amp;IF(AND(BZ1142=0,N(V1142)&lt;=0,N(Q1142)&lt;=0),"Menge pro Gebinde fehlt (Ist = 1 Gebinde); ","")&amp;BU1142)</f>
        <v>negativer Bestand (Export -453); </v>
      </c>
      <c r="BN1142" s="48"/>
      <c r="BO1142" s="48"/>
      <c r="BP1142" s="55"/>
      <c r="BQ1142" s="50" t="n">
        <v>-453</v>
      </c>
      <c r="BR1142" s="50" t="n">
        <v>571</v>
      </c>
      <c r="BS1142" s="49" t="n">
        <v>-288.819999999999</v>
      </c>
      <c r="BT1142" s="50" t="n">
        <v>595</v>
      </c>
      <c r="BU1142" s="48"/>
      <c r="BV1142" s="53" t="n">
        <v>0</v>
      </c>
      <c r="BW1142" s="53" t="n">
        <v>1142</v>
      </c>
      <c r="BX1142" s="48" t="str">
        <f aca="false">IF(U1142&lt;&gt;"",UPPER(TRIM(U1142)),IF(CA1142=1,UPPER(VLOOKUP(T1142,Parameter!$I$27:$K$29,2,0)),IF(P1142="","LOSE",P1142)))</f>
        <v>S52</v>
      </c>
      <c r="BY1142" s="50" t="n">
        <f aca="false">IF(BX1142="LOSE",1,IF(N(V1142)&gt;0,V1142,IF(CA1142=1,MAX(1,N(VLOOKUP(T1142,Parameter!$I$27:$K$29,3,0)),H1142,N(N1142)),IF(N(Q1142)&gt;0,Q1142,MAX(1,H1142)))))</f>
        <v>197</v>
      </c>
      <c r="BZ1142" s="53" t="n">
        <f aca="false">IF(BX1142="LOSE",1,0)</f>
        <v>0</v>
      </c>
      <c r="CA1142" s="53" t="n">
        <f aca="false">IF(AND(U1142="",OR(P1142="",P1142="LOSE"),T1142&lt;&gt;"",N(S1142)&lt;=0,ISNUMBER(MATCH(T1142,Parameter!$I$27:$I$29,0))),1,0)</f>
        <v>0</v>
      </c>
      <c r="CB1142" s="53" t="n">
        <f aca="false">IF(CQ1142&gt;0,INDEX(Parameter!$H$5:$H$7,W1142)/INDEX(Parameter!$E$5:$E$7,W1142),IF(AND(BZ1142=0,N(IFERROR(VLOOKUP(BX1142,'Gebinde-Kategorie'!$A$5:$N$45,14,0),0))&gt;0),VLOOKUP(BX1142,'Gebinde-Kategorie'!$A$5:$N$45,14,0)*10+Parameter!$M$23,Parameter!$M$24))</f>
        <v>245</v>
      </c>
      <c r="CC1142" s="48" t="str">
        <f aca="false">IF(AND(Parameter!$B$19="Ja",E1142&lt;&gt;"",ISNUMBER(MATCH(E1142,Parameter!$I$35:$I$52,0))),VLOOKUP(E1142,Parameter!$I$35:$J$52,2,0),IFERROR(VLOOKUP(D1142,Parameter!$A$35:$C$64,2,0),"Nein"))</f>
        <v>2+3</v>
      </c>
      <c r="CD1142" s="52" t="n">
        <f aca="false">IF(BZ1142=0,0,IF(N(S1142)&gt;0,S1142,IFERROR(VLOOKUP(D1142,Parameter!$A$35:$C$64,3,0)+0,0)))</f>
        <v>0</v>
      </c>
      <c r="CE1142" s="48" t="n">
        <f aca="false">IF(AA1142&lt;&gt;"",AA1142,Z1142)</f>
        <v>3</v>
      </c>
      <c r="CF1142" s="48" t="str">
        <f aca="false">IF(OR(CE1142=1,CE1142=2,CE1142=3),IF(Parameter!$E$27="Ja","LIFT",IF(CE1142=1,"L1","L23")),IF(CE1142="Aussen","Aussen","-"))</f>
        <v>LIFT</v>
      </c>
      <c r="CG1142" s="59" t="n">
        <f aca="false">IF(N(AB1142)&gt;0,AB1142,0)</f>
        <v>0</v>
      </c>
      <c r="CH1142" s="53" t="n">
        <f aca="false">IF(ISNUMBER(AE1142),1,0)</f>
        <v>0</v>
      </c>
      <c r="CI1142" s="50" t="n">
        <f aca="false">N(AE1142)</f>
        <v>0</v>
      </c>
      <c r="CJ1142" s="50" t="n">
        <f aca="false">N(M1142)+N(N1142)</f>
        <v>634</v>
      </c>
      <c r="CK1142" s="50" t="n">
        <f aca="false">N(M1142)</f>
        <v>34</v>
      </c>
      <c r="CL1142" s="50" t="n">
        <f aca="false">N(N1142)</f>
        <v>600</v>
      </c>
      <c r="CM1142" s="50" t="n">
        <f aca="false">ROUNDUP(H1142/BY1142,0)</f>
        <v>1</v>
      </c>
      <c r="CN1142" s="50" t="n">
        <f aca="false">ROUNDUP(CI1142/BY1142,0)</f>
        <v>0</v>
      </c>
      <c r="CO1142" s="53" t="n">
        <f aca="false">IF(BZ1142=1,0,IFERROR(VLOOKUP(BX1142,'Gebinde-Kategorie'!$A$5:$N$45,5,0)+0,0))</f>
        <v>21</v>
      </c>
      <c r="CP1142" s="53" t="n">
        <f aca="false">IFERROR(IF(OR(CE1142=1,CE1142=2,CE1142=3),N(INDEX(Parameter!$I$5:$I$7,CE1142)),0),0)</f>
        <v>0</v>
      </c>
      <c r="CQ1142" s="52" t="n">
        <f aca="false">IF(AND(Parameter!$B$21="Ja",ISNUMBER(W1142),N(X1142)&gt;0),IFERROR(N(INDEX(Parameter!$L$5:$L$7,W1142))*INDEX(Parameter!$E$5:$E$7,W1142)*X1142/SUMIFS($X$7:$X$1843,$W$7:$W$1843,W1142),0),0)</f>
        <v>0</v>
      </c>
    </row>
    <row r="1143" customFormat="false" ht="15" hidden="false" customHeight="false" outlineLevel="0" collapsed="false">
      <c r="A1143" s="48" t="s">
        <v>2076</v>
      </c>
      <c r="B1143" s="48" t="s">
        <v>1968</v>
      </c>
      <c r="C1143" s="48" t="s">
        <v>173</v>
      </c>
      <c r="D1143" s="48" t="s">
        <v>182</v>
      </c>
      <c r="E1143" s="48"/>
      <c r="F1143" s="48" t="s">
        <v>227</v>
      </c>
      <c r="G1143" s="49" t="n">
        <v>288.93</v>
      </c>
      <c r="H1143" s="50" t="n">
        <f aca="false">MAX(0,IF(AND(Parameter!$B$21="Ja",ISNUMBER(Y1143)),Y1143,IF(Parameter!$B$20="Jahresanfang 2025 + Export",BR1143+BQ1143,BQ1143)))</f>
        <v>13</v>
      </c>
      <c r="I1143" s="50" t="n">
        <f aca="false">H1143*G1143</f>
        <v>3756.09</v>
      </c>
      <c r="J1143" s="50" t="n">
        <f aca="false">BT1143*Parameter!$B$18</f>
        <v>0</v>
      </c>
      <c r="K1143" s="51" t="n">
        <v>13.5</v>
      </c>
      <c r="L1143" s="52" t="n">
        <v>0</v>
      </c>
      <c r="M1143" s="50" t="n">
        <v>0</v>
      </c>
      <c r="N1143" s="50" t="n">
        <v>1</v>
      </c>
      <c r="O1143" s="53" t="n">
        <v>84</v>
      </c>
      <c r="P1143" s="48" t="s">
        <v>183</v>
      </c>
      <c r="Q1143" s="50" t="n">
        <v>15</v>
      </c>
      <c r="R1143" s="53" t="n">
        <f aca="false">IF(BZ1143=1,0,IFERROR(VLOOKUP(BX1143,'Gebinde-Kategorie'!$A$5:$N$45,13,0)+0,0))</f>
        <v>6</v>
      </c>
      <c r="S1143" s="54"/>
      <c r="T1143" s="55"/>
      <c r="U1143" s="55"/>
      <c r="V1143" s="55"/>
      <c r="W1143" s="48"/>
      <c r="X1143" s="50"/>
      <c r="Y1143" s="50"/>
      <c r="Z1143" s="48" t="n">
        <f aca="false">IF(A1143="","",IF(AND(Parameter!$B$21="Ja",ISNUMBER(W1143)),W1143,IF(CC1143="2+3",IF(ISNUMBER(SEARCH("grosser Artikel",BU1143)),2,IFERROR(VLOOKUP(BX1143,Parameter!$F$35:$G$64,2,0),2)),IF(OR(CC1143="Nein",CC1143=""),"-",CC1143))))</f>
        <v>2</v>
      </c>
      <c r="AA1143" s="55"/>
      <c r="AB1143" s="56"/>
      <c r="AC1143" s="50" t="n">
        <f aca="false">AV1143</f>
        <v>1</v>
      </c>
      <c r="AD1143" s="50" t="n">
        <f aca="false">MAX(AV1143,H1143)</f>
        <v>13</v>
      </c>
      <c r="AE1143" s="57"/>
      <c r="AF1143" s="50" t="n">
        <f aca="false">IF(LEFT(Cockpit!$C$5,1)="A",H1143,IF(Parameter!$E$30="MAX-Bestand",IF(CH1143=1,CI1143,IF(LEFT(Cockpit!$C$5,1)="B",AL1143,MAX(AL1143,H1143))),ROUNDUP(AJ1143,0)))</f>
        <v>13</v>
      </c>
      <c r="AG1143" s="50" t="n">
        <f aca="false">IF(BZ1143=1,0,ROUNDUP(AF1143/BY1143,0))</f>
        <v>1</v>
      </c>
      <c r="AH1143" s="52" t="n">
        <f aca="false">IF(CQ1143&gt;0,CQ1143*MAX(1,AF1143/X1143),IF(BZ1143=1,IF(AF1143&lt;=0,0,CD1143*MAX(1,IF(H1143&gt;0,AF1143/H1143,1))),IF(R1143&gt;0,AG1143/R1143,0))/MAX(0.1,N(Parameter!$M$21)))</f>
        <v>0.166666666666667</v>
      </c>
      <c r="AI1143" s="50" t="n">
        <f aca="false">AH1143*CB1143</f>
        <v>39.1666666666667</v>
      </c>
      <c r="AJ1143" s="51" t="n">
        <f aca="false">IF(LEFT(Cockpit!$C$5,1)="A",H1143,IF(CH1143=1,(CK1143+CI1143)/2,IF(LEFT(Cockpit!$C$5,1)="B",(CK1143+AL1143)/2,MAX((CK1143+AL1143)/2,H1143))))</f>
        <v>13</v>
      </c>
      <c r="AK1143" s="50" t="n">
        <f aca="false">AJ1143*G1143</f>
        <v>3756.09</v>
      </c>
      <c r="AL1143" s="50" t="n">
        <f aca="false">ROUNDUP(CK1143+MAX(CL1143,2*(J1143/IF(CG1143&gt;0,CG1143,MAX(0.1,N(Cockpit!$C$6)))-CK1143)),0)</f>
        <v>1</v>
      </c>
      <c r="AM1143" s="51" t="n">
        <f aca="false">IF(AI1143&gt;0,J1143/AI1143,-1)</f>
        <v>0</v>
      </c>
      <c r="AN1143" s="51" t="n">
        <f aca="false">IF(AND(OR(CF1143="L1",CF1143="L23",CF1143="LIFT"),AI1143&gt;0),SUMIFS($AI$7:$AI$1843,$CF$7:$CF$1843,CF1143,$AM$7:$AM$1843,"&gt;"&amp;AM1143)+SUMIFS($AI$7:$AI$1843,$CF$7:$CF$1843,CF1143,$AM$7:$AM$1843,AM1143,$BW$7:$BW$1843,"&lt;="&amp;BW1143),"")</f>
        <v>29285.4891791354</v>
      </c>
      <c r="AO1143" s="58" t="n">
        <f aca="false">IF(AN1143="",0,MAX(0,MIN(1,(IF(CF1143="L1",Parameter!$H$5,IF(CF1143="L23",Parameter!$H$6+Parameter!$H$7,Parameter!$H$5+Parameter!$H$6+Parameter!$H$7))-(AN1143-AI1143))/AI1143)))</f>
        <v>1</v>
      </c>
      <c r="AP1143" s="50" t="n">
        <f aca="false">IF(LEFT(Cockpit!$I$5,1)="A",H1143,IF(Parameter!$E$30="MAX-Bestand",IF(CH1143=1,CI1143,IF(LEFT(Cockpit!$I$5,1)="B",AV1143,MAX(AV1143,H1143))),ROUNDUP(AT1143,0)))</f>
        <v>13</v>
      </c>
      <c r="AQ1143" s="50" t="n">
        <f aca="false">IF(BZ1143=1,0,ROUNDUP(AP1143/BY1143,0))</f>
        <v>1</v>
      </c>
      <c r="AR1143" s="52" t="n">
        <f aca="false">IF(CQ1143&gt;0,CQ1143*MAX(1,AP1143/X1143),IF(BZ1143=1,IF(AP1143&lt;=0,0,CD1143*MAX(1,IF(H1143&gt;0,AP1143/H1143,1))),IF(R1143&gt;0,AQ1143/R1143,0))/MAX(0.1,N(Parameter!$M$21)))</f>
        <v>0.166666666666667</v>
      </c>
      <c r="AS1143" s="50" t="n">
        <f aca="false">AR1143*CB1143</f>
        <v>39.1666666666667</v>
      </c>
      <c r="AT1143" s="51" t="n">
        <f aca="false">IF(LEFT(Cockpit!$I$5,1)="A",H1143,IF(CH1143=1,(CK1143+CI1143)/2,IF(LEFT(Cockpit!$I$5,1)="B",(CK1143+AV1143)/2,MAX((CK1143+AV1143)/2,H1143))))</f>
        <v>13</v>
      </c>
      <c r="AU1143" s="50" t="n">
        <f aca="false">AT1143*G1143</f>
        <v>3756.09</v>
      </c>
      <c r="AV1143" s="50" t="n">
        <f aca="false">ROUNDUP(CK1143+MAX(CL1143,2*(J1143/IF(CG1143&gt;0,CG1143,MAX(0.1,N(Cockpit!$I$6)))-CK1143)),0)</f>
        <v>1</v>
      </c>
      <c r="AW1143" s="51" t="n">
        <f aca="false">IF(AS1143&gt;0,J1143/AS1143,-1)</f>
        <v>0</v>
      </c>
      <c r="AX1143" s="51" t="n">
        <f aca="false">IF(AND(OR(CF1143="L1",CF1143="L23",CF1143="LIFT"),AS1143&gt;0),SUMIFS($AS$7:$AS$1843,$CF$7:$CF$1843,CF1143,$AW$7:$AW$1843,"&gt;"&amp;AW1143)+SUMIFS($AS$7:$AS$1843,$CF$7:$CF$1843,CF1143,$AW$7:$AW$1843,AW1143,$BW$7:$BW$1843,"&lt;="&amp;BW1143),"")</f>
        <v>35070.4574175824</v>
      </c>
      <c r="AY1143" s="58" t="n">
        <f aca="false">IF(AX1143="",0,MAX(0,MIN(1,(IF(CF1143="L1",Parameter!$H$5,IF(CF1143="L23",Parameter!$H$6+Parameter!$H$7,Parameter!$H$5+Parameter!$H$6+Parameter!$H$7))-(AX1143-AS1143))/AS1143)))</f>
        <v>1</v>
      </c>
      <c r="AZ1143" s="50" t="n">
        <f aca="false">IF(LEFT(Cockpit!$O$5,1)="A",H1143,IF(Parameter!$E$30="MAX-Bestand",IF(CH1143=1,CI1143,IF(LEFT(Cockpit!$O$5,1)="B",BF1143,MAX(BF1143,H1143))),ROUNDUP(BD1143,0)))</f>
        <v>1</v>
      </c>
      <c r="BA1143" s="50" t="n">
        <f aca="false">IF(BZ1143=1,0,ROUNDUP(AZ1143/BY1143,0))</f>
        <v>1</v>
      </c>
      <c r="BB1143" s="52" t="n">
        <f aca="false">IF(CQ1143&gt;0,CQ1143*MAX(1,AZ1143/X1143),IF(BZ1143=1,IF(AZ1143&lt;=0,0,CD1143*MAX(1,IF(H1143&gt;0,AZ1143/H1143,1))),IF(R1143&gt;0,BA1143/R1143,0))/MAX(0.1,N(Parameter!$M$21)))</f>
        <v>0.166666666666667</v>
      </c>
      <c r="BC1143" s="50" t="n">
        <f aca="false">BB1143*CB1143</f>
        <v>39.1666666666667</v>
      </c>
      <c r="BD1143" s="51" t="n">
        <f aca="false">IF(LEFT(Cockpit!$O$5,1)="A",H1143,IF(CH1143=1,(CK1143+CI1143)/2,IF(LEFT(Cockpit!$O$5,1)="B",(CK1143+BF1143)/2,MAX((CK1143+BF1143)/2,H1143))))</f>
        <v>0.5</v>
      </c>
      <c r="BE1143" s="50" t="n">
        <f aca="false">BD1143*G1143</f>
        <v>144.465</v>
      </c>
      <c r="BF1143" s="50" t="n">
        <f aca="false">ROUNDUP(CK1143+MAX(CL1143,2*(J1143/IF(CG1143&gt;0,CG1143,MAX(0.1,N(Cockpit!$O$6)))-CK1143)),0)</f>
        <v>1</v>
      </c>
      <c r="BG1143" s="51" t="n">
        <f aca="false">IF(BC1143&gt;0,J1143/BC1143,-1)</f>
        <v>0</v>
      </c>
      <c r="BH1143" s="51" t="n">
        <f aca="false">IF(AND(OR(CF1143="L1",CF1143="L23",CF1143="LIFT"),BC1143&gt;0),SUMIFS($BC$7:$BC$1843,$CF$7:$CF$1843,CF1143,$BG$7:$BG$1843,"&gt;"&amp;BG1143)+SUMIFS($BC$7:$BC$1843,$CF$7:$CF$1843,CF1143,$BG$7:$BG$1843,BG1143,$BW$7:$BW$1843,"&lt;="&amp;BW1143),"")</f>
        <v>29055.7640777302</v>
      </c>
      <c r="BI1143" s="58" t="n">
        <f aca="false">IF(BH1143="",0,MAX(0,MIN(1,(IF(CF1143="L1",Parameter!$H$5,IF(CF1143="L23",Parameter!$H$6+Parameter!$H$7,Parameter!$H$5+Parameter!$H$6+Parameter!$H$7))-(BH1143-BC1143))/BC1143)))</f>
        <v>1</v>
      </c>
      <c r="BJ1143" s="48" t="str">
        <f aca="false">IF(AI1143&lt;=0,"",IF(CF1143="Aussen","Aussenlager",IF(CF1143="-","Nicht im Lift",IF(AO1143&gt;=1,"Lift",IF(AO1143&lt;=0,"Aussenlager","teilweise")))))</f>
        <v>Lift</v>
      </c>
      <c r="BK1143" s="48" t="str">
        <f aca="false">IF(AS1143&lt;=0,"",IF(CF1143="Aussen","Aussenlager",IF(CF1143="-","Nicht im Lift",IF(AY1143&gt;=1,"Lift",IF(AY1143&lt;=0,"Aussenlager","teilweise")))))</f>
        <v>Lift</v>
      </c>
      <c r="BL1143" s="48" t="str">
        <f aca="false">IF(BC1143&lt;=0,"",IF(CF1143="Aussen","Aussenlager",IF(CF1143="-","Nicht im Lift",IF(BI1143&gt;=1,"Lift",IF(BI1143&lt;=0,"Aussenlager","teilweise")))))</f>
        <v>Lift</v>
      </c>
      <c r="BM1143" s="48" t="str">
        <f aca="false">IF(A1143="","",IF(BV1143=1,"Neu; ","")&amp;IF(AND(BV1143=0,BQ1143&lt;0),"negativer Bestand (Export "&amp;BQ1143&amp;"); ","")&amp;IF(J1143&lt;=0,"Kein Verbrauch; ","")&amp;IF(CQ1143&gt;0,"Lift "&amp;W1143&amp;" lt. Liftbericht (Fach "&amp;X1143&amp;" Stk); ",IF(CA1143=1,"Gebinde geschätzt ("&amp;T1143&amp;"); ",IF(BZ1143=1,"Lose – Tablare geschätzt; ","")))&amp;IF(H1143&gt;AV1143,"Überbestand "&amp;ROUND(H1143-AV1143,0)&amp;" Stk / CHF "&amp;ROUND((H1143-AV1143)*G1143,0)&amp;"; ","")&amp;IF(AND(CH1143=1,CI1143&lt;CJ1143),"MAX &lt; MB+LG; ","")&amp;IF(AND(CP1143&gt;0,CO1143*10&gt;CP1143),"zu hoch für Tablar; ","")&amp;IF(AND(BV1143=0,OR(CH1143=1,AA1143&lt;&gt;"",U1143&lt;&gt;"",V1143&lt;&gt;"",AB1143&lt;&gt;"")),"manuell übersteuert; ","")&amp;IF(AND(BZ1143=0,R1143=0),"Gebinde unbekannt / Stellmass fehlt; ","")&amp;IF(AND(BZ1143=0,N(V1143)&lt;=0,N(Q1143)&lt;=0),"Menge pro Gebinde fehlt (Ist = 1 Gebinde); ","")&amp;BU1143)</f>
        <v>negativer Bestand (Export -1); Kein Verbrauch; Überbestand 12 Stk / CHF 3467; Überbestand</v>
      </c>
      <c r="BN1143" s="48"/>
      <c r="BO1143" s="48"/>
      <c r="BP1143" s="55"/>
      <c r="BQ1143" s="50" t="n">
        <v>-1</v>
      </c>
      <c r="BR1143" s="50" t="n">
        <v>14</v>
      </c>
      <c r="BS1143" s="49" t="n">
        <v>-288.93</v>
      </c>
      <c r="BT1143" s="50" t="n">
        <v>0</v>
      </c>
      <c r="BU1143" s="48" t="s">
        <v>401</v>
      </c>
      <c r="BV1143" s="53" t="n">
        <v>0</v>
      </c>
      <c r="BW1143" s="53" t="n">
        <v>1143</v>
      </c>
      <c r="BX1143" s="48" t="str">
        <f aca="false">IF(U1143&lt;&gt;"",UPPER(TRIM(U1143)),IF(CA1143=1,UPPER(VLOOKUP(T1143,Parameter!$I$27:$K$29,2,0)),IF(P1143="","LOSE",P1143)))</f>
        <v>S71</v>
      </c>
      <c r="BY1143" s="50" t="n">
        <f aca="false">IF(BX1143="LOSE",1,IF(N(V1143)&gt;0,V1143,IF(CA1143=1,MAX(1,N(VLOOKUP(T1143,Parameter!$I$27:$K$29,3,0)),H1143,N(N1143)),IF(N(Q1143)&gt;0,Q1143,MAX(1,H1143)))))</f>
        <v>15</v>
      </c>
      <c r="BZ1143" s="53" t="n">
        <f aca="false">IF(BX1143="LOSE",1,0)</f>
        <v>0</v>
      </c>
      <c r="CA1143" s="53" t="n">
        <f aca="false">IF(AND(U1143="",OR(P1143="",P1143="LOSE"),T1143&lt;&gt;"",N(S1143)&lt;=0,ISNUMBER(MATCH(T1143,Parameter!$I$27:$I$29,0))),1,0)</f>
        <v>0</v>
      </c>
      <c r="CB1143" s="53" t="n">
        <f aca="false">IF(CQ1143&gt;0,INDEX(Parameter!$H$5:$H$7,W1143)/INDEX(Parameter!$E$5:$E$7,W1143),IF(AND(BZ1143=0,N(IFERROR(VLOOKUP(BX1143,'Gebinde-Kategorie'!$A$5:$N$45,14,0),0))&gt;0),VLOOKUP(BX1143,'Gebinde-Kategorie'!$A$5:$N$45,14,0)*10+Parameter!$M$23,Parameter!$M$24))</f>
        <v>235</v>
      </c>
      <c r="CC1143" s="48" t="str">
        <f aca="false">IF(AND(Parameter!$B$19="Ja",E1143&lt;&gt;"",ISNUMBER(MATCH(E1143,Parameter!$I$35:$I$52,0))),VLOOKUP(E1143,Parameter!$I$35:$J$52,2,0),IFERROR(VLOOKUP(D1143,Parameter!$A$35:$C$64,2,0),"Nein"))</f>
        <v>2+3</v>
      </c>
      <c r="CD1143" s="52" t="n">
        <f aca="false">IF(BZ1143=0,0,IF(N(S1143)&gt;0,S1143,IFERROR(VLOOKUP(D1143,Parameter!$A$35:$C$64,3,0)+0,0)))</f>
        <v>0</v>
      </c>
      <c r="CE1143" s="48" t="n">
        <f aca="false">IF(AA1143&lt;&gt;"",AA1143,Z1143)</f>
        <v>2</v>
      </c>
      <c r="CF1143" s="48" t="str">
        <f aca="false">IF(OR(CE1143=1,CE1143=2,CE1143=3),IF(Parameter!$E$27="Ja","LIFT",IF(CE1143=1,"L1","L23")),IF(CE1143="Aussen","Aussen","-"))</f>
        <v>LIFT</v>
      </c>
      <c r="CG1143" s="59" t="n">
        <f aca="false">IF(N(AB1143)&gt;0,AB1143,0)</f>
        <v>0</v>
      </c>
      <c r="CH1143" s="53" t="n">
        <f aca="false">IF(ISNUMBER(AE1143),1,0)</f>
        <v>0</v>
      </c>
      <c r="CI1143" s="50" t="n">
        <f aca="false">N(AE1143)</f>
        <v>0</v>
      </c>
      <c r="CJ1143" s="50" t="n">
        <f aca="false">N(M1143)+N(N1143)</f>
        <v>1</v>
      </c>
      <c r="CK1143" s="50" t="n">
        <f aca="false">N(M1143)</f>
        <v>0</v>
      </c>
      <c r="CL1143" s="50" t="n">
        <f aca="false">N(N1143)</f>
        <v>1</v>
      </c>
      <c r="CM1143" s="50" t="n">
        <f aca="false">ROUNDUP(H1143/BY1143,0)</f>
        <v>1</v>
      </c>
      <c r="CN1143" s="50" t="n">
        <f aca="false">ROUNDUP(CI1143/BY1143,0)</f>
        <v>0</v>
      </c>
      <c r="CO1143" s="53" t="n">
        <f aca="false">IF(BZ1143=1,0,IFERROR(VLOOKUP(BX1143,'Gebinde-Kategorie'!$A$5:$N$45,5,0)+0,0))</f>
        <v>20</v>
      </c>
      <c r="CP1143" s="53" t="n">
        <f aca="false">IFERROR(IF(OR(CE1143=1,CE1143=2,CE1143=3),N(INDEX(Parameter!$I$5:$I$7,CE1143)),0),0)</f>
        <v>0</v>
      </c>
      <c r="CQ1143" s="52" t="n">
        <f aca="false">IF(AND(Parameter!$B$21="Ja",ISNUMBER(W1143),N(X1143)&gt;0),IFERROR(N(INDEX(Parameter!$L$5:$L$7,W1143))*INDEX(Parameter!$E$5:$E$7,W1143)*X1143/SUMIFS($X$7:$X$1843,$W$7:$W$1843,W1143),0),0)</f>
        <v>0</v>
      </c>
    </row>
    <row r="1144" customFormat="false" ht="15" hidden="false" customHeight="false" outlineLevel="0" collapsed="false">
      <c r="A1144" s="48" t="s">
        <v>2077</v>
      </c>
      <c r="B1144" s="48" t="s">
        <v>568</v>
      </c>
      <c r="C1144" s="48" t="s">
        <v>173</v>
      </c>
      <c r="D1144" s="48" t="s">
        <v>193</v>
      </c>
      <c r="E1144" s="48" t="s">
        <v>194</v>
      </c>
      <c r="F1144" s="48" t="s">
        <v>227</v>
      </c>
      <c r="G1144" s="49" t="n">
        <v>11.3</v>
      </c>
      <c r="H1144" s="50" t="n">
        <f aca="false">MAX(0,IF(AND(Parameter!$B$21="Ja",ISNUMBER(Y1144)),Y1144,IF(Parameter!$B$20="Jahresanfang 2025 + Export",BR1144+BQ1144,BQ1144)))</f>
        <v>119</v>
      </c>
      <c r="I1144" s="50" t="n">
        <f aca="false">H1144*G1144</f>
        <v>1344.7</v>
      </c>
      <c r="J1144" s="50" t="n">
        <f aca="false">BT1144*Parameter!$B$18</f>
        <v>12</v>
      </c>
      <c r="K1144" s="51" t="n">
        <v>136.5</v>
      </c>
      <c r="L1144" s="52" t="n">
        <v>0.0879120879120879</v>
      </c>
      <c r="M1144" s="50" t="n">
        <v>1</v>
      </c>
      <c r="N1144" s="50" t="n">
        <v>20</v>
      </c>
      <c r="O1144" s="53" t="n">
        <v>28</v>
      </c>
      <c r="P1144" s="48" t="s">
        <v>242</v>
      </c>
      <c r="Q1144" s="50" t="n">
        <v>41</v>
      </c>
      <c r="R1144" s="53" t="n">
        <f aca="false">IF(BZ1144=1,0,IFERROR(VLOOKUP(BX1144,'Gebinde-Kategorie'!$A$5:$N$45,13,0)+0,0))</f>
        <v>26</v>
      </c>
      <c r="S1144" s="54"/>
      <c r="T1144" s="55"/>
      <c r="U1144" s="55"/>
      <c r="V1144" s="55"/>
      <c r="W1144" s="48"/>
      <c r="X1144" s="50"/>
      <c r="Y1144" s="50"/>
      <c r="Z1144" s="48" t="n">
        <f aca="false">IF(A1144="","",IF(AND(Parameter!$B$21="Ja",ISNUMBER(W1144)),W1144,IF(CC1144="2+3",IF(ISNUMBER(SEARCH("grosser Artikel",BU1144)),2,IFERROR(VLOOKUP(BX1144,Parameter!$F$35:$G$64,2,0),2)),IF(OR(CC1144="Nein",CC1144=""),"-",CC1144))))</f>
        <v>3</v>
      </c>
      <c r="AA1144" s="55"/>
      <c r="AB1144" s="56"/>
      <c r="AC1144" s="50" t="n">
        <f aca="false">AV1144</f>
        <v>21</v>
      </c>
      <c r="AD1144" s="50" t="n">
        <f aca="false">MAX(AV1144,H1144)</f>
        <v>119</v>
      </c>
      <c r="AE1144" s="57"/>
      <c r="AF1144" s="50" t="n">
        <f aca="false">IF(LEFT(Cockpit!$C$5,1)="A",H1144,IF(Parameter!$E$30="MAX-Bestand",IF(CH1144=1,CI1144,IF(LEFT(Cockpit!$C$5,1)="B",AL1144,MAX(AL1144,H1144))),ROUNDUP(AJ1144,0)))</f>
        <v>119</v>
      </c>
      <c r="AG1144" s="50" t="n">
        <f aca="false">IF(BZ1144=1,0,ROUNDUP(AF1144/BY1144,0))</f>
        <v>3</v>
      </c>
      <c r="AH1144" s="52" t="n">
        <f aca="false">IF(CQ1144&gt;0,CQ1144*MAX(1,AF1144/X1144),IF(BZ1144=1,IF(AF1144&lt;=0,0,CD1144*MAX(1,IF(H1144&gt;0,AF1144/H1144,1))),IF(R1144&gt;0,AG1144/R1144,0))/MAX(0.1,N(Parameter!$M$21)))</f>
        <v>0.115384615384615</v>
      </c>
      <c r="AI1144" s="50" t="n">
        <f aca="false">AH1144*CB1144</f>
        <v>28.2692307692308</v>
      </c>
      <c r="AJ1144" s="51" t="n">
        <f aca="false">IF(LEFT(Cockpit!$C$5,1)="A",H1144,IF(CH1144=1,(CK1144+CI1144)/2,IF(LEFT(Cockpit!$C$5,1)="B",(CK1144+AL1144)/2,MAX((CK1144+AL1144)/2,H1144))))</f>
        <v>119</v>
      </c>
      <c r="AK1144" s="50" t="n">
        <f aca="false">AJ1144*G1144</f>
        <v>1344.7</v>
      </c>
      <c r="AL1144" s="50" t="n">
        <f aca="false">ROUNDUP(CK1144+MAX(CL1144,2*(J1144/IF(CG1144&gt;0,CG1144,MAX(0.1,N(Cockpit!$C$6)))-CK1144)),0)</f>
        <v>21</v>
      </c>
      <c r="AM1144" s="51" t="n">
        <f aca="false">IF(AI1144&gt;0,J1144/AI1144,-1)</f>
        <v>0.424489795918367</v>
      </c>
      <c r="AN1144" s="51" t="n">
        <f aca="false">IF(AND(OR(CF1144="L1",CF1144="L23",CF1144="LIFT"),AI1144&gt;0),SUMIFS($AI$7:$AI$1843,$CF$7:$CF$1843,CF1144,$AM$7:$AM$1843,"&gt;"&amp;AM1144)+SUMIFS($AI$7:$AI$1843,$CF$7:$CF$1843,CF1144,$AM$7:$AM$1843,AM1144,$BW$7:$BW$1843,"&lt;="&amp;BW1144),"")</f>
        <v>10031.0961253906</v>
      </c>
      <c r="AO1144" s="58" t="n">
        <f aca="false">IF(AN1144="",0,MAX(0,MIN(1,(IF(CF1144="L1",Parameter!$H$5,IF(CF1144="L23",Parameter!$H$6+Parameter!$H$7,Parameter!$H$5+Parameter!$H$6+Parameter!$H$7))-(AN1144-AI1144))/AI1144)))</f>
        <v>1</v>
      </c>
      <c r="AP1144" s="50" t="n">
        <f aca="false">IF(LEFT(Cockpit!$I$5,1)="A",H1144,IF(Parameter!$E$30="MAX-Bestand",IF(CH1144=1,CI1144,IF(LEFT(Cockpit!$I$5,1)="B",AV1144,MAX(AV1144,H1144))),ROUNDUP(AT1144,0)))</f>
        <v>119</v>
      </c>
      <c r="AQ1144" s="50" t="n">
        <f aca="false">IF(BZ1144=1,0,ROUNDUP(AP1144/BY1144,0))</f>
        <v>3</v>
      </c>
      <c r="AR1144" s="52" t="n">
        <f aca="false">IF(CQ1144&gt;0,CQ1144*MAX(1,AP1144/X1144),IF(BZ1144=1,IF(AP1144&lt;=0,0,CD1144*MAX(1,IF(H1144&gt;0,AP1144/H1144,1))),IF(R1144&gt;0,AQ1144/R1144,0))/MAX(0.1,N(Parameter!$M$21)))</f>
        <v>0.115384615384615</v>
      </c>
      <c r="AS1144" s="50" t="n">
        <f aca="false">AR1144*CB1144</f>
        <v>28.2692307692308</v>
      </c>
      <c r="AT1144" s="51" t="n">
        <f aca="false">IF(LEFT(Cockpit!$I$5,1)="A",H1144,IF(CH1144=1,(CK1144+CI1144)/2,IF(LEFT(Cockpit!$I$5,1)="B",(CK1144+AV1144)/2,MAX((CK1144+AV1144)/2,H1144))))</f>
        <v>119</v>
      </c>
      <c r="AU1144" s="50" t="n">
        <f aca="false">AT1144*G1144</f>
        <v>1344.7</v>
      </c>
      <c r="AV1144" s="50" t="n">
        <f aca="false">ROUNDUP(CK1144+MAX(CL1144,2*(J1144/IF(CG1144&gt;0,CG1144,MAX(0.1,N(Cockpit!$I$6)))-CK1144)),0)</f>
        <v>21</v>
      </c>
      <c r="AW1144" s="51" t="n">
        <f aca="false">IF(AS1144&gt;0,J1144/AS1144,-1)</f>
        <v>0.424489795918367</v>
      </c>
      <c r="AX1144" s="51" t="n">
        <f aca="false">IF(AND(OR(CF1144="L1",CF1144="L23",CF1144="LIFT"),AS1144&gt;0),SUMIFS($AS$7:$AS$1843,$CF$7:$CF$1843,CF1144,$AW$7:$AW$1843,"&gt;"&amp;AW1144)+SUMIFS($AS$7:$AS$1843,$CF$7:$CF$1843,CF1144,$AW$7:$AW$1843,AW1144,$BW$7:$BW$1843,"&lt;="&amp;BW1144),"")</f>
        <v>12386.1826923077</v>
      </c>
      <c r="AY1144" s="58" t="n">
        <f aca="false">IF(AX1144="",0,MAX(0,MIN(1,(IF(CF1144="L1",Parameter!$H$5,IF(CF1144="L23",Parameter!$H$6+Parameter!$H$7,Parameter!$H$5+Parameter!$H$6+Parameter!$H$7))-(AX1144-AS1144))/AS1144)))</f>
        <v>1</v>
      </c>
      <c r="AZ1144" s="50" t="n">
        <f aca="false">IF(LEFT(Cockpit!$O$5,1)="A",H1144,IF(Parameter!$E$30="MAX-Bestand",IF(CH1144=1,CI1144,IF(LEFT(Cockpit!$O$5,1)="B",BF1144,MAX(BF1144,H1144))),ROUNDUP(BD1144,0)))</f>
        <v>11</v>
      </c>
      <c r="BA1144" s="50" t="n">
        <f aca="false">IF(BZ1144=1,0,ROUNDUP(AZ1144/BY1144,0))</f>
        <v>1</v>
      </c>
      <c r="BB1144" s="52" t="n">
        <f aca="false">IF(CQ1144&gt;0,CQ1144*MAX(1,AZ1144/X1144),IF(BZ1144=1,IF(AZ1144&lt;=0,0,CD1144*MAX(1,IF(H1144&gt;0,AZ1144/H1144,1))),IF(R1144&gt;0,BA1144/R1144,0))/MAX(0.1,N(Parameter!$M$21)))</f>
        <v>0.0384615384615385</v>
      </c>
      <c r="BC1144" s="50" t="n">
        <f aca="false">BB1144*CB1144</f>
        <v>9.42307692307692</v>
      </c>
      <c r="BD1144" s="51" t="n">
        <f aca="false">IF(LEFT(Cockpit!$O$5,1)="A",H1144,IF(CH1144=1,(CK1144+CI1144)/2,IF(LEFT(Cockpit!$O$5,1)="B",(CK1144+BF1144)/2,MAX((CK1144+BF1144)/2,H1144))))</f>
        <v>11</v>
      </c>
      <c r="BE1144" s="50" t="n">
        <f aca="false">BD1144*G1144</f>
        <v>124.3</v>
      </c>
      <c r="BF1144" s="50" t="n">
        <f aca="false">ROUNDUP(CK1144+MAX(CL1144,2*(J1144/IF(CG1144&gt;0,CG1144,MAX(0.1,N(Cockpit!$O$6)))-CK1144)),0)</f>
        <v>21</v>
      </c>
      <c r="BG1144" s="51" t="n">
        <f aca="false">IF(BC1144&gt;0,J1144/BC1144,-1)</f>
        <v>1.2734693877551</v>
      </c>
      <c r="BH1144" s="51" t="n">
        <f aca="false">IF(AND(OR(CF1144="L1",CF1144="L23",CF1144="LIFT"),BC1144&gt;0),SUMIFS($BC$7:$BC$1843,$CF$7:$CF$1843,CF1144,$BG$7:$BG$1843,"&gt;"&amp;BG1144)+SUMIFS($BC$7:$BC$1843,$CF$7:$CF$1843,CF1144,$BG$7:$BG$1843,BG1144,$BW$7:$BW$1843,"&lt;="&amp;BW1144),"")</f>
        <v>6880.75228937729</v>
      </c>
      <c r="BI1144" s="58" t="n">
        <f aca="false">IF(BH1144="",0,MAX(0,MIN(1,(IF(CF1144="L1",Parameter!$H$5,IF(CF1144="L23",Parameter!$H$6+Parameter!$H$7,Parameter!$H$5+Parameter!$H$6+Parameter!$H$7))-(BH1144-BC1144))/BC1144)))</f>
        <v>1</v>
      </c>
      <c r="BJ1144" s="48" t="str">
        <f aca="false">IF(AI1144&lt;=0,"",IF(CF1144="Aussen","Aussenlager",IF(CF1144="-","Nicht im Lift",IF(AO1144&gt;=1,"Lift",IF(AO1144&lt;=0,"Aussenlager","teilweise")))))</f>
        <v>Lift</v>
      </c>
      <c r="BK1144" s="48" t="str">
        <f aca="false">IF(AS1144&lt;=0,"",IF(CF1144="Aussen","Aussenlager",IF(CF1144="-","Nicht im Lift",IF(AY1144&gt;=1,"Lift",IF(AY1144&lt;=0,"Aussenlager","teilweise")))))</f>
        <v>Lift</v>
      </c>
      <c r="BL1144" s="48" t="str">
        <f aca="false">IF(BC1144&lt;=0,"",IF(CF1144="Aussen","Aussenlager",IF(CF1144="-","Nicht im Lift",IF(BI1144&gt;=1,"Lift",IF(BI1144&lt;=0,"Aussenlager","teilweise")))))</f>
        <v>Lift</v>
      </c>
      <c r="BM1144" s="48" t="str">
        <f aca="false">IF(A1144="","",IF(BV1144=1,"Neu; ","")&amp;IF(AND(BV1144=0,BQ1144&lt;0),"negativer Bestand (Export "&amp;BQ1144&amp;"); ","")&amp;IF(J1144&lt;=0,"Kein Verbrauch; ","")&amp;IF(CQ1144&gt;0,"Lift "&amp;W1144&amp;" lt. Liftbericht (Fach "&amp;X1144&amp;" Stk); ",IF(CA1144=1,"Gebinde geschätzt ("&amp;T1144&amp;"); ",IF(BZ1144=1,"Lose – Tablare geschätzt; ","")))&amp;IF(H1144&gt;AV1144,"Überbestand "&amp;ROUND(H1144-AV1144,0)&amp;" Stk / CHF "&amp;ROUND((H1144-AV1144)*G1144,0)&amp;"; ","")&amp;IF(AND(CH1144=1,CI1144&lt;CJ1144),"MAX &lt; MB+LG; ","")&amp;IF(AND(CP1144&gt;0,CO1144*10&gt;CP1144),"zu hoch für Tablar; ","")&amp;IF(AND(BV1144=0,OR(CH1144=1,AA1144&lt;&gt;"",U1144&lt;&gt;"",V1144&lt;&gt;"",AB1144&lt;&gt;"")),"manuell übersteuert; ","")&amp;IF(AND(BZ1144=0,R1144=0),"Gebinde unbekannt / Stellmass fehlt; ","")&amp;IF(AND(BZ1144=0,N(V1144)&lt;=0,N(Q1144)&lt;=0),"Menge pro Gebinde fehlt (Ist = 1 Gebinde); ","")&amp;BU1144)</f>
        <v>negativer Bestand (Export -26); Überbestand 98 Stk / CHF 1107; </v>
      </c>
      <c r="BN1144" s="48"/>
      <c r="BO1144" s="48"/>
      <c r="BP1144" s="55"/>
      <c r="BQ1144" s="50" t="n">
        <v>-26</v>
      </c>
      <c r="BR1144" s="50" t="n">
        <v>145</v>
      </c>
      <c r="BS1144" s="49" t="n">
        <v>-293.8</v>
      </c>
      <c r="BT1144" s="50" t="n">
        <v>12</v>
      </c>
      <c r="BU1144" s="48"/>
      <c r="BV1144" s="53" t="n">
        <v>0</v>
      </c>
      <c r="BW1144" s="53" t="n">
        <v>1144</v>
      </c>
      <c r="BX1144" s="48" t="str">
        <f aca="false">IF(U1144&lt;&gt;"",UPPER(TRIM(U1144)),IF(CA1144=1,UPPER(VLOOKUP(T1144,Parameter!$I$27:$K$29,2,0)),IF(P1144="","LOSE",P1144)))</f>
        <v>S52</v>
      </c>
      <c r="BY1144" s="50" t="n">
        <f aca="false">IF(BX1144="LOSE",1,IF(N(V1144)&gt;0,V1144,IF(CA1144=1,MAX(1,N(VLOOKUP(T1144,Parameter!$I$27:$K$29,3,0)),H1144,N(N1144)),IF(N(Q1144)&gt;0,Q1144,MAX(1,H1144)))))</f>
        <v>41</v>
      </c>
      <c r="BZ1144" s="53" t="n">
        <f aca="false">IF(BX1144="LOSE",1,0)</f>
        <v>0</v>
      </c>
      <c r="CA1144" s="53" t="n">
        <f aca="false">IF(AND(U1144="",OR(P1144="",P1144="LOSE"),T1144&lt;&gt;"",N(S1144)&lt;=0,ISNUMBER(MATCH(T1144,Parameter!$I$27:$I$29,0))),1,0)</f>
        <v>0</v>
      </c>
      <c r="CB1144" s="53" t="n">
        <f aca="false">IF(CQ1144&gt;0,INDEX(Parameter!$H$5:$H$7,W1144)/INDEX(Parameter!$E$5:$E$7,W1144),IF(AND(BZ1144=0,N(IFERROR(VLOOKUP(BX1144,'Gebinde-Kategorie'!$A$5:$N$45,14,0),0))&gt;0),VLOOKUP(BX1144,'Gebinde-Kategorie'!$A$5:$N$45,14,0)*10+Parameter!$M$23,Parameter!$M$24))</f>
        <v>245</v>
      </c>
      <c r="CC1144" s="48" t="str">
        <f aca="false">IF(AND(Parameter!$B$19="Ja",E1144&lt;&gt;"",ISNUMBER(MATCH(E1144,Parameter!$I$35:$I$52,0))),VLOOKUP(E1144,Parameter!$I$35:$J$52,2,0),IFERROR(VLOOKUP(D1144,Parameter!$A$35:$C$64,2,0),"Nein"))</f>
        <v>2+3</v>
      </c>
      <c r="CD1144" s="52" t="n">
        <f aca="false">IF(BZ1144=0,0,IF(N(S1144)&gt;0,S1144,IFERROR(VLOOKUP(D1144,Parameter!$A$35:$C$64,3,0)+0,0)))</f>
        <v>0</v>
      </c>
      <c r="CE1144" s="48" t="n">
        <f aca="false">IF(AA1144&lt;&gt;"",AA1144,Z1144)</f>
        <v>3</v>
      </c>
      <c r="CF1144" s="48" t="str">
        <f aca="false">IF(OR(CE1144=1,CE1144=2,CE1144=3),IF(Parameter!$E$27="Ja","LIFT",IF(CE1144=1,"L1","L23")),IF(CE1144="Aussen","Aussen","-"))</f>
        <v>LIFT</v>
      </c>
      <c r="CG1144" s="59" t="n">
        <f aca="false">IF(N(AB1144)&gt;0,AB1144,0)</f>
        <v>0</v>
      </c>
      <c r="CH1144" s="53" t="n">
        <f aca="false">IF(ISNUMBER(AE1144),1,0)</f>
        <v>0</v>
      </c>
      <c r="CI1144" s="50" t="n">
        <f aca="false">N(AE1144)</f>
        <v>0</v>
      </c>
      <c r="CJ1144" s="50" t="n">
        <f aca="false">N(M1144)+N(N1144)</f>
        <v>21</v>
      </c>
      <c r="CK1144" s="50" t="n">
        <f aca="false">N(M1144)</f>
        <v>1</v>
      </c>
      <c r="CL1144" s="50" t="n">
        <f aca="false">N(N1144)</f>
        <v>20</v>
      </c>
      <c r="CM1144" s="50" t="n">
        <f aca="false">ROUNDUP(H1144/BY1144,0)</f>
        <v>3</v>
      </c>
      <c r="CN1144" s="50" t="n">
        <f aca="false">ROUNDUP(CI1144/BY1144,0)</f>
        <v>0</v>
      </c>
      <c r="CO1144" s="53" t="n">
        <f aca="false">IF(BZ1144=1,0,IFERROR(VLOOKUP(BX1144,'Gebinde-Kategorie'!$A$5:$N$45,5,0)+0,0))</f>
        <v>21</v>
      </c>
      <c r="CP1144" s="53" t="n">
        <f aca="false">IFERROR(IF(OR(CE1144=1,CE1144=2,CE1144=3),N(INDEX(Parameter!$I$5:$I$7,CE1144)),0),0)</f>
        <v>0</v>
      </c>
      <c r="CQ1144" s="52" t="n">
        <f aca="false">IF(AND(Parameter!$B$21="Ja",ISNUMBER(W1144),N(X1144)&gt;0),IFERROR(N(INDEX(Parameter!$L$5:$L$7,W1144))*INDEX(Parameter!$E$5:$E$7,W1144)*X1144/SUMIFS($X$7:$X$1843,$W$7:$W$1843,W1144),0),0)</f>
        <v>0</v>
      </c>
    </row>
    <row r="1145" customFormat="false" ht="15" hidden="false" customHeight="false" outlineLevel="0" collapsed="false">
      <c r="A1145" s="48" t="s">
        <v>2078</v>
      </c>
      <c r="B1145" s="48" t="s">
        <v>1968</v>
      </c>
      <c r="C1145" s="48" t="s">
        <v>173</v>
      </c>
      <c r="D1145" s="48" t="s">
        <v>182</v>
      </c>
      <c r="E1145" s="48" t="s">
        <v>194</v>
      </c>
      <c r="F1145" s="48" t="s">
        <v>227</v>
      </c>
      <c r="G1145" s="49" t="n">
        <v>296</v>
      </c>
      <c r="H1145" s="50" t="n">
        <f aca="false">MAX(0,IF(AND(Parameter!$B$21="Ja",ISNUMBER(Y1145)),Y1145,IF(Parameter!$B$20="Jahresanfang 2025 + Export",BR1145+BQ1145,BQ1145)))</f>
        <v>5</v>
      </c>
      <c r="I1145" s="50" t="n">
        <f aca="false">H1145*G1145</f>
        <v>1480</v>
      </c>
      <c r="J1145" s="50" t="n">
        <f aca="false">BT1145*Parameter!$B$18</f>
        <v>0</v>
      </c>
      <c r="K1145" s="51" t="n">
        <v>6</v>
      </c>
      <c r="L1145" s="52" t="n">
        <v>0</v>
      </c>
      <c r="M1145" s="50" t="n">
        <v>0</v>
      </c>
      <c r="N1145" s="50" t="n">
        <v>1</v>
      </c>
      <c r="O1145" s="53" t="n">
        <v>44</v>
      </c>
      <c r="P1145" s="48" t="s">
        <v>183</v>
      </c>
      <c r="Q1145" s="50" t="n">
        <v>15</v>
      </c>
      <c r="R1145" s="53" t="n">
        <f aca="false">IF(BZ1145=1,0,IFERROR(VLOOKUP(BX1145,'Gebinde-Kategorie'!$A$5:$N$45,13,0)+0,0))</f>
        <v>6</v>
      </c>
      <c r="S1145" s="54"/>
      <c r="T1145" s="55"/>
      <c r="U1145" s="55"/>
      <c r="V1145" s="55"/>
      <c r="W1145" s="48"/>
      <c r="X1145" s="50"/>
      <c r="Y1145" s="50"/>
      <c r="Z1145" s="48" t="n">
        <f aca="false">IF(A1145="","",IF(AND(Parameter!$B$21="Ja",ISNUMBER(W1145)),W1145,IF(CC1145="2+3",IF(ISNUMBER(SEARCH("grosser Artikel",BU1145)),2,IFERROR(VLOOKUP(BX1145,Parameter!$F$35:$G$64,2,0),2)),IF(OR(CC1145="Nein",CC1145=""),"-",CC1145))))</f>
        <v>2</v>
      </c>
      <c r="AA1145" s="55"/>
      <c r="AB1145" s="56"/>
      <c r="AC1145" s="50" t="n">
        <f aca="false">AV1145</f>
        <v>1</v>
      </c>
      <c r="AD1145" s="50" t="n">
        <f aca="false">MAX(AV1145,H1145)</f>
        <v>5</v>
      </c>
      <c r="AE1145" s="57"/>
      <c r="AF1145" s="50" t="n">
        <f aca="false">IF(LEFT(Cockpit!$C$5,1)="A",H1145,IF(Parameter!$E$30="MAX-Bestand",IF(CH1145=1,CI1145,IF(LEFT(Cockpit!$C$5,1)="B",AL1145,MAX(AL1145,H1145))),ROUNDUP(AJ1145,0)))</f>
        <v>5</v>
      </c>
      <c r="AG1145" s="50" t="n">
        <f aca="false">IF(BZ1145=1,0,ROUNDUP(AF1145/BY1145,0))</f>
        <v>1</v>
      </c>
      <c r="AH1145" s="52" t="n">
        <f aca="false">IF(CQ1145&gt;0,CQ1145*MAX(1,AF1145/X1145),IF(BZ1145=1,IF(AF1145&lt;=0,0,CD1145*MAX(1,IF(H1145&gt;0,AF1145/H1145,1))),IF(R1145&gt;0,AG1145/R1145,0))/MAX(0.1,N(Parameter!$M$21)))</f>
        <v>0.166666666666667</v>
      </c>
      <c r="AI1145" s="50" t="n">
        <f aca="false">AH1145*CB1145</f>
        <v>39.1666666666667</v>
      </c>
      <c r="AJ1145" s="51" t="n">
        <f aca="false">IF(LEFT(Cockpit!$C$5,1)="A",H1145,IF(CH1145=1,(CK1145+CI1145)/2,IF(LEFT(Cockpit!$C$5,1)="B",(CK1145+AL1145)/2,MAX((CK1145+AL1145)/2,H1145))))</f>
        <v>5</v>
      </c>
      <c r="AK1145" s="50" t="n">
        <f aca="false">AJ1145*G1145</f>
        <v>1480</v>
      </c>
      <c r="AL1145" s="50" t="n">
        <f aca="false">ROUNDUP(CK1145+MAX(CL1145,2*(J1145/IF(CG1145&gt;0,CG1145,MAX(0.1,N(Cockpit!$C$6)))-CK1145)),0)</f>
        <v>1</v>
      </c>
      <c r="AM1145" s="51" t="n">
        <f aca="false">IF(AI1145&gt;0,J1145/AI1145,-1)</f>
        <v>0</v>
      </c>
      <c r="AN1145" s="51" t="n">
        <f aca="false">IF(AND(OR(CF1145="L1",CF1145="L23",CF1145="LIFT"),AI1145&gt;0),SUMIFS($AI$7:$AI$1843,$CF$7:$CF$1843,CF1145,$AM$7:$AM$1843,"&gt;"&amp;AM1145)+SUMIFS($AI$7:$AI$1843,$CF$7:$CF$1843,CF1145,$AM$7:$AM$1843,AM1145,$BW$7:$BW$1843,"&lt;="&amp;BW1145),"")</f>
        <v>29324.655845802</v>
      </c>
      <c r="AO1145" s="58" t="n">
        <f aca="false">IF(AN1145="",0,MAX(0,MIN(1,(IF(CF1145="L1",Parameter!$H$5,IF(CF1145="L23",Parameter!$H$6+Parameter!$H$7,Parameter!$H$5+Parameter!$H$6+Parameter!$H$7))-(AN1145-AI1145))/AI1145)))</f>
        <v>1</v>
      </c>
      <c r="AP1145" s="50" t="n">
        <f aca="false">IF(LEFT(Cockpit!$I$5,1)="A",H1145,IF(Parameter!$E$30="MAX-Bestand",IF(CH1145=1,CI1145,IF(LEFT(Cockpit!$I$5,1)="B",AV1145,MAX(AV1145,H1145))),ROUNDUP(AT1145,0)))</f>
        <v>5</v>
      </c>
      <c r="AQ1145" s="50" t="n">
        <f aca="false">IF(BZ1145=1,0,ROUNDUP(AP1145/BY1145,0))</f>
        <v>1</v>
      </c>
      <c r="AR1145" s="52" t="n">
        <f aca="false">IF(CQ1145&gt;0,CQ1145*MAX(1,AP1145/X1145),IF(BZ1145=1,IF(AP1145&lt;=0,0,CD1145*MAX(1,IF(H1145&gt;0,AP1145/H1145,1))),IF(R1145&gt;0,AQ1145/R1145,0))/MAX(0.1,N(Parameter!$M$21)))</f>
        <v>0.166666666666667</v>
      </c>
      <c r="AS1145" s="50" t="n">
        <f aca="false">AR1145*CB1145</f>
        <v>39.1666666666667</v>
      </c>
      <c r="AT1145" s="51" t="n">
        <f aca="false">IF(LEFT(Cockpit!$I$5,1)="A",H1145,IF(CH1145=1,(CK1145+CI1145)/2,IF(LEFT(Cockpit!$I$5,1)="B",(CK1145+AV1145)/2,MAX((CK1145+AV1145)/2,H1145))))</f>
        <v>5</v>
      </c>
      <c r="AU1145" s="50" t="n">
        <f aca="false">AT1145*G1145</f>
        <v>1480</v>
      </c>
      <c r="AV1145" s="50" t="n">
        <f aca="false">ROUNDUP(CK1145+MAX(CL1145,2*(J1145/IF(CG1145&gt;0,CG1145,MAX(0.1,N(Cockpit!$I$6)))-CK1145)),0)</f>
        <v>1</v>
      </c>
      <c r="AW1145" s="51" t="n">
        <f aca="false">IF(AS1145&gt;0,J1145/AS1145,-1)</f>
        <v>0</v>
      </c>
      <c r="AX1145" s="51" t="n">
        <f aca="false">IF(AND(OR(CF1145="L1",CF1145="L23",CF1145="LIFT"),AS1145&gt;0),SUMIFS($AS$7:$AS$1843,$CF$7:$CF$1843,CF1145,$AW$7:$AW$1843,"&gt;"&amp;AW1145)+SUMIFS($AS$7:$AS$1843,$CF$7:$CF$1843,CF1145,$AW$7:$AW$1843,AW1145,$BW$7:$BW$1843,"&lt;="&amp;BW1145),"")</f>
        <v>35109.6240842491</v>
      </c>
      <c r="AY1145" s="58" t="n">
        <f aca="false">IF(AX1145="",0,MAX(0,MIN(1,(IF(CF1145="L1",Parameter!$H$5,IF(CF1145="L23",Parameter!$H$6+Parameter!$H$7,Parameter!$H$5+Parameter!$H$6+Parameter!$H$7))-(AX1145-AS1145))/AS1145)))</f>
        <v>1</v>
      </c>
      <c r="AZ1145" s="50" t="n">
        <f aca="false">IF(LEFT(Cockpit!$O$5,1)="A",H1145,IF(Parameter!$E$30="MAX-Bestand",IF(CH1145=1,CI1145,IF(LEFT(Cockpit!$O$5,1)="B",BF1145,MAX(BF1145,H1145))),ROUNDUP(BD1145,0)))</f>
        <v>1</v>
      </c>
      <c r="BA1145" s="50" t="n">
        <f aca="false">IF(BZ1145=1,0,ROUNDUP(AZ1145/BY1145,0))</f>
        <v>1</v>
      </c>
      <c r="BB1145" s="52" t="n">
        <f aca="false">IF(CQ1145&gt;0,CQ1145*MAX(1,AZ1145/X1145),IF(BZ1145=1,IF(AZ1145&lt;=0,0,CD1145*MAX(1,IF(H1145&gt;0,AZ1145/H1145,1))),IF(R1145&gt;0,BA1145/R1145,0))/MAX(0.1,N(Parameter!$M$21)))</f>
        <v>0.166666666666667</v>
      </c>
      <c r="BC1145" s="50" t="n">
        <f aca="false">BB1145*CB1145</f>
        <v>39.1666666666667</v>
      </c>
      <c r="BD1145" s="51" t="n">
        <f aca="false">IF(LEFT(Cockpit!$O$5,1)="A",H1145,IF(CH1145=1,(CK1145+CI1145)/2,IF(LEFT(Cockpit!$O$5,1)="B",(CK1145+BF1145)/2,MAX((CK1145+BF1145)/2,H1145))))</f>
        <v>0.5</v>
      </c>
      <c r="BE1145" s="50" t="n">
        <f aca="false">BD1145*G1145</f>
        <v>148</v>
      </c>
      <c r="BF1145" s="50" t="n">
        <f aca="false">ROUNDUP(CK1145+MAX(CL1145,2*(J1145/IF(CG1145&gt;0,CG1145,MAX(0.1,N(Cockpit!$O$6)))-CK1145)),0)</f>
        <v>1</v>
      </c>
      <c r="BG1145" s="51" t="n">
        <f aca="false">IF(BC1145&gt;0,J1145/BC1145,-1)</f>
        <v>0</v>
      </c>
      <c r="BH1145" s="51" t="n">
        <f aca="false">IF(AND(OR(CF1145="L1",CF1145="L23",CF1145="LIFT"),BC1145&gt;0),SUMIFS($BC$7:$BC$1843,$CF$7:$CF$1843,CF1145,$BG$7:$BG$1843,"&gt;"&amp;BG1145)+SUMIFS($BC$7:$BC$1843,$CF$7:$CF$1843,CF1145,$BG$7:$BG$1843,BG1145,$BW$7:$BW$1843,"&lt;="&amp;BW1145),"")</f>
        <v>29094.9307443968</v>
      </c>
      <c r="BI1145" s="58" t="n">
        <f aca="false">IF(BH1145="",0,MAX(0,MIN(1,(IF(CF1145="L1",Parameter!$H$5,IF(CF1145="L23",Parameter!$H$6+Parameter!$H$7,Parameter!$H$5+Parameter!$H$6+Parameter!$H$7))-(BH1145-BC1145))/BC1145)))</f>
        <v>1</v>
      </c>
      <c r="BJ1145" s="48" t="str">
        <f aca="false">IF(AI1145&lt;=0,"",IF(CF1145="Aussen","Aussenlager",IF(CF1145="-","Nicht im Lift",IF(AO1145&gt;=1,"Lift",IF(AO1145&lt;=0,"Aussenlager","teilweise")))))</f>
        <v>Lift</v>
      </c>
      <c r="BK1145" s="48" t="str">
        <f aca="false">IF(AS1145&lt;=0,"",IF(CF1145="Aussen","Aussenlager",IF(CF1145="-","Nicht im Lift",IF(AY1145&gt;=1,"Lift",IF(AY1145&lt;=0,"Aussenlager","teilweise")))))</f>
        <v>Lift</v>
      </c>
      <c r="BL1145" s="48" t="str">
        <f aca="false">IF(BC1145&lt;=0,"",IF(CF1145="Aussen","Aussenlager",IF(CF1145="-","Nicht im Lift",IF(BI1145&gt;=1,"Lift",IF(BI1145&lt;=0,"Aussenlager","teilweise")))))</f>
        <v>Lift</v>
      </c>
      <c r="BM1145" s="48" t="str">
        <f aca="false">IF(A1145="","",IF(BV1145=1,"Neu; ","")&amp;IF(AND(BV1145=0,BQ1145&lt;0),"negativer Bestand (Export "&amp;BQ1145&amp;"); ","")&amp;IF(J1145&lt;=0,"Kein Verbrauch; ","")&amp;IF(CQ1145&gt;0,"Lift "&amp;W1145&amp;" lt. Liftbericht (Fach "&amp;X1145&amp;" Stk); ",IF(CA1145=1,"Gebinde geschätzt ("&amp;T1145&amp;"); ",IF(BZ1145=1,"Lose – Tablare geschätzt; ","")))&amp;IF(H1145&gt;AV1145,"Überbestand "&amp;ROUND(H1145-AV1145,0)&amp;" Stk / CHF "&amp;ROUND((H1145-AV1145)*G1145,0)&amp;"; ","")&amp;IF(AND(CH1145=1,CI1145&lt;CJ1145),"MAX &lt; MB+LG; ","")&amp;IF(AND(CP1145&gt;0,CO1145*10&gt;CP1145),"zu hoch für Tablar; ","")&amp;IF(AND(BV1145=0,OR(CH1145=1,AA1145&lt;&gt;"",U1145&lt;&gt;"",V1145&lt;&gt;"",AB1145&lt;&gt;"")),"manuell übersteuert; ","")&amp;IF(AND(BZ1145=0,R1145=0),"Gebinde unbekannt / Stellmass fehlt; ","")&amp;IF(AND(BZ1145=0,N(V1145)&lt;=0,N(Q1145)&lt;=0),"Menge pro Gebinde fehlt (Ist = 1 Gebinde); ","")&amp;BU1145)</f>
        <v>negativer Bestand (Export -1); Kein Verbrauch; Überbestand 4 Stk / CHF 1184; Neu; grosser Artikel &amp; nicht im KTL</v>
      </c>
      <c r="BN1145" s="48"/>
      <c r="BO1145" s="48"/>
      <c r="BP1145" s="55"/>
      <c r="BQ1145" s="50" t="n">
        <v>-1</v>
      </c>
      <c r="BR1145" s="50" t="n">
        <v>6</v>
      </c>
      <c r="BS1145" s="49" t="n">
        <v>-296</v>
      </c>
      <c r="BT1145" s="50" t="n">
        <v>0</v>
      </c>
      <c r="BU1145" s="48" t="s">
        <v>2079</v>
      </c>
      <c r="BV1145" s="53" t="n">
        <v>0</v>
      </c>
      <c r="BW1145" s="53" t="n">
        <v>1145</v>
      </c>
      <c r="BX1145" s="48" t="str">
        <f aca="false">IF(U1145&lt;&gt;"",UPPER(TRIM(U1145)),IF(CA1145=1,UPPER(VLOOKUP(T1145,Parameter!$I$27:$K$29,2,0)),IF(P1145="","LOSE",P1145)))</f>
        <v>S71</v>
      </c>
      <c r="BY1145" s="50" t="n">
        <f aca="false">IF(BX1145="LOSE",1,IF(N(V1145)&gt;0,V1145,IF(CA1145=1,MAX(1,N(VLOOKUP(T1145,Parameter!$I$27:$K$29,3,0)),H1145,N(N1145)),IF(N(Q1145)&gt;0,Q1145,MAX(1,H1145)))))</f>
        <v>15</v>
      </c>
      <c r="BZ1145" s="53" t="n">
        <f aca="false">IF(BX1145="LOSE",1,0)</f>
        <v>0</v>
      </c>
      <c r="CA1145" s="53" t="n">
        <f aca="false">IF(AND(U1145="",OR(P1145="",P1145="LOSE"),T1145&lt;&gt;"",N(S1145)&lt;=0,ISNUMBER(MATCH(T1145,Parameter!$I$27:$I$29,0))),1,0)</f>
        <v>0</v>
      </c>
      <c r="CB1145" s="53" t="n">
        <f aca="false">IF(CQ1145&gt;0,INDEX(Parameter!$H$5:$H$7,W1145)/INDEX(Parameter!$E$5:$E$7,W1145),IF(AND(BZ1145=0,N(IFERROR(VLOOKUP(BX1145,'Gebinde-Kategorie'!$A$5:$N$45,14,0),0))&gt;0),VLOOKUP(BX1145,'Gebinde-Kategorie'!$A$5:$N$45,14,0)*10+Parameter!$M$23,Parameter!$M$24))</f>
        <v>235</v>
      </c>
      <c r="CC1145" s="48" t="str">
        <f aca="false">IF(AND(Parameter!$B$19="Ja",E1145&lt;&gt;"",ISNUMBER(MATCH(E1145,Parameter!$I$35:$I$52,0))),VLOOKUP(E1145,Parameter!$I$35:$J$52,2,0),IFERROR(VLOOKUP(D1145,Parameter!$A$35:$C$64,2,0),"Nein"))</f>
        <v>2+3</v>
      </c>
      <c r="CD1145" s="52" t="n">
        <f aca="false">IF(BZ1145=0,0,IF(N(S1145)&gt;0,S1145,IFERROR(VLOOKUP(D1145,Parameter!$A$35:$C$64,3,0)+0,0)))</f>
        <v>0</v>
      </c>
      <c r="CE1145" s="48" t="n">
        <f aca="false">IF(AA1145&lt;&gt;"",AA1145,Z1145)</f>
        <v>2</v>
      </c>
      <c r="CF1145" s="48" t="str">
        <f aca="false">IF(OR(CE1145=1,CE1145=2,CE1145=3),IF(Parameter!$E$27="Ja","LIFT",IF(CE1145=1,"L1","L23")),IF(CE1145="Aussen","Aussen","-"))</f>
        <v>LIFT</v>
      </c>
      <c r="CG1145" s="59" t="n">
        <f aca="false">IF(N(AB1145)&gt;0,AB1145,0)</f>
        <v>0</v>
      </c>
      <c r="CH1145" s="53" t="n">
        <f aca="false">IF(ISNUMBER(AE1145),1,0)</f>
        <v>0</v>
      </c>
      <c r="CI1145" s="50" t="n">
        <f aca="false">N(AE1145)</f>
        <v>0</v>
      </c>
      <c r="CJ1145" s="50" t="n">
        <f aca="false">N(M1145)+N(N1145)</f>
        <v>1</v>
      </c>
      <c r="CK1145" s="50" t="n">
        <f aca="false">N(M1145)</f>
        <v>0</v>
      </c>
      <c r="CL1145" s="50" t="n">
        <f aca="false">N(N1145)</f>
        <v>1</v>
      </c>
      <c r="CM1145" s="50" t="n">
        <f aca="false">ROUNDUP(H1145/BY1145,0)</f>
        <v>1</v>
      </c>
      <c r="CN1145" s="50" t="n">
        <f aca="false">ROUNDUP(CI1145/BY1145,0)</f>
        <v>0</v>
      </c>
      <c r="CO1145" s="53" t="n">
        <f aca="false">IF(BZ1145=1,0,IFERROR(VLOOKUP(BX1145,'Gebinde-Kategorie'!$A$5:$N$45,5,0)+0,0))</f>
        <v>20</v>
      </c>
      <c r="CP1145" s="53" t="n">
        <f aca="false">IFERROR(IF(OR(CE1145=1,CE1145=2,CE1145=3),N(INDEX(Parameter!$I$5:$I$7,CE1145)),0),0)</f>
        <v>0</v>
      </c>
      <c r="CQ1145" s="52" t="n">
        <f aca="false">IF(AND(Parameter!$B$21="Ja",ISNUMBER(W1145),N(X1145)&gt;0),IFERROR(N(INDEX(Parameter!$L$5:$L$7,W1145))*INDEX(Parameter!$E$5:$E$7,W1145)*X1145/SUMIFS($X$7:$X$1843,$W$7:$W$1843,W1145),0),0)</f>
        <v>0</v>
      </c>
    </row>
    <row r="1146" customFormat="false" ht="15" hidden="false" customHeight="false" outlineLevel="0" collapsed="false">
      <c r="A1146" s="48" t="s">
        <v>2080</v>
      </c>
      <c r="B1146" s="48" t="s">
        <v>381</v>
      </c>
      <c r="C1146" s="48" t="s">
        <v>173</v>
      </c>
      <c r="D1146" s="48" t="s">
        <v>182</v>
      </c>
      <c r="E1146" s="48" t="s">
        <v>194</v>
      </c>
      <c r="F1146" s="48" t="s">
        <v>227</v>
      </c>
      <c r="G1146" s="49" t="n">
        <v>296</v>
      </c>
      <c r="H1146" s="50" t="n">
        <f aca="false">MAX(0,IF(AND(Parameter!$B$21="Ja",ISNUMBER(Y1146)),Y1146,IF(Parameter!$B$20="Jahresanfang 2025 + Export",BR1146+BQ1146,BQ1146)))</f>
        <v>5</v>
      </c>
      <c r="I1146" s="50" t="n">
        <f aca="false">H1146*G1146</f>
        <v>1480</v>
      </c>
      <c r="J1146" s="50" t="n">
        <f aca="false">BT1146*Parameter!$B$18</f>
        <v>0</v>
      </c>
      <c r="K1146" s="51" t="n">
        <v>6</v>
      </c>
      <c r="L1146" s="52" t="n">
        <v>0</v>
      </c>
      <c r="M1146" s="50" t="n">
        <v>0</v>
      </c>
      <c r="N1146" s="50" t="n">
        <v>1</v>
      </c>
      <c r="O1146" s="53" t="n">
        <v>44</v>
      </c>
      <c r="P1146" s="48" t="s">
        <v>183</v>
      </c>
      <c r="Q1146" s="50" t="n">
        <v>15</v>
      </c>
      <c r="R1146" s="53" t="n">
        <f aca="false">IF(BZ1146=1,0,IFERROR(VLOOKUP(BX1146,'Gebinde-Kategorie'!$A$5:$N$45,13,0)+0,0))</f>
        <v>6</v>
      </c>
      <c r="S1146" s="54"/>
      <c r="T1146" s="55"/>
      <c r="U1146" s="55"/>
      <c r="V1146" s="55"/>
      <c r="W1146" s="48"/>
      <c r="X1146" s="50"/>
      <c r="Y1146" s="50"/>
      <c r="Z1146" s="48" t="n">
        <f aca="false">IF(A1146="","",IF(AND(Parameter!$B$21="Ja",ISNUMBER(W1146)),W1146,IF(CC1146="2+3",IF(ISNUMBER(SEARCH("grosser Artikel",BU1146)),2,IFERROR(VLOOKUP(BX1146,Parameter!$F$35:$G$64,2,0),2)),IF(OR(CC1146="Nein",CC1146=""),"-",CC1146))))</f>
        <v>2</v>
      </c>
      <c r="AA1146" s="55"/>
      <c r="AB1146" s="56"/>
      <c r="AC1146" s="50" t="n">
        <f aca="false">AV1146</f>
        <v>1</v>
      </c>
      <c r="AD1146" s="50" t="n">
        <f aca="false">MAX(AV1146,H1146)</f>
        <v>5</v>
      </c>
      <c r="AE1146" s="57"/>
      <c r="AF1146" s="50" t="n">
        <f aca="false">IF(LEFT(Cockpit!$C$5,1)="A",H1146,IF(Parameter!$E$30="MAX-Bestand",IF(CH1146=1,CI1146,IF(LEFT(Cockpit!$C$5,1)="B",AL1146,MAX(AL1146,H1146))),ROUNDUP(AJ1146,0)))</f>
        <v>5</v>
      </c>
      <c r="AG1146" s="50" t="n">
        <f aca="false">IF(BZ1146=1,0,ROUNDUP(AF1146/BY1146,0))</f>
        <v>1</v>
      </c>
      <c r="AH1146" s="52" t="n">
        <f aca="false">IF(CQ1146&gt;0,CQ1146*MAX(1,AF1146/X1146),IF(BZ1146=1,IF(AF1146&lt;=0,0,CD1146*MAX(1,IF(H1146&gt;0,AF1146/H1146,1))),IF(R1146&gt;0,AG1146/R1146,0))/MAX(0.1,N(Parameter!$M$21)))</f>
        <v>0.166666666666667</v>
      </c>
      <c r="AI1146" s="50" t="n">
        <f aca="false">AH1146*CB1146</f>
        <v>39.1666666666667</v>
      </c>
      <c r="AJ1146" s="51" t="n">
        <f aca="false">IF(LEFT(Cockpit!$C$5,1)="A",H1146,IF(CH1146=1,(CK1146+CI1146)/2,IF(LEFT(Cockpit!$C$5,1)="B",(CK1146+AL1146)/2,MAX((CK1146+AL1146)/2,H1146))))</f>
        <v>5</v>
      </c>
      <c r="AK1146" s="50" t="n">
        <f aca="false">AJ1146*G1146</f>
        <v>1480</v>
      </c>
      <c r="AL1146" s="50" t="n">
        <f aca="false">ROUNDUP(CK1146+MAX(CL1146,2*(J1146/IF(CG1146&gt;0,CG1146,MAX(0.1,N(Cockpit!$C$6)))-CK1146)),0)</f>
        <v>1</v>
      </c>
      <c r="AM1146" s="51" t="n">
        <f aca="false">IF(AI1146&gt;0,J1146/AI1146,-1)</f>
        <v>0</v>
      </c>
      <c r="AN1146" s="51" t="n">
        <f aca="false">IF(AND(OR(CF1146="L1",CF1146="L23",CF1146="LIFT"),AI1146&gt;0),SUMIFS($AI$7:$AI$1843,$CF$7:$CF$1843,CF1146,$AM$7:$AM$1843,"&gt;"&amp;AM1146)+SUMIFS($AI$7:$AI$1843,$CF$7:$CF$1843,CF1146,$AM$7:$AM$1843,AM1146,$BW$7:$BW$1843,"&lt;="&amp;BW1146),"")</f>
        <v>29363.8225124687</v>
      </c>
      <c r="AO1146" s="58" t="n">
        <f aca="false">IF(AN1146="",0,MAX(0,MIN(1,(IF(CF1146="L1",Parameter!$H$5,IF(CF1146="L23",Parameter!$H$6+Parameter!$H$7,Parameter!$H$5+Parameter!$H$6+Parameter!$H$7))-(AN1146-AI1146))/AI1146)))</f>
        <v>1</v>
      </c>
      <c r="AP1146" s="50" t="n">
        <f aca="false">IF(LEFT(Cockpit!$I$5,1)="A",H1146,IF(Parameter!$E$30="MAX-Bestand",IF(CH1146=1,CI1146,IF(LEFT(Cockpit!$I$5,1)="B",AV1146,MAX(AV1146,H1146))),ROUNDUP(AT1146,0)))</f>
        <v>5</v>
      </c>
      <c r="AQ1146" s="50" t="n">
        <f aca="false">IF(BZ1146=1,0,ROUNDUP(AP1146/BY1146,0))</f>
        <v>1</v>
      </c>
      <c r="AR1146" s="52" t="n">
        <f aca="false">IF(CQ1146&gt;0,CQ1146*MAX(1,AP1146/X1146),IF(BZ1146=1,IF(AP1146&lt;=0,0,CD1146*MAX(1,IF(H1146&gt;0,AP1146/H1146,1))),IF(R1146&gt;0,AQ1146/R1146,0))/MAX(0.1,N(Parameter!$M$21)))</f>
        <v>0.166666666666667</v>
      </c>
      <c r="AS1146" s="50" t="n">
        <f aca="false">AR1146*CB1146</f>
        <v>39.1666666666667</v>
      </c>
      <c r="AT1146" s="51" t="n">
        <f aca="false">IF(LEFT(Cockpit!$I$5,1)="A",H1146,IF(CH1146=1,(CK1146+CI1146)/2,IF(LEFT(Cockpit!$I$5,1)="B",(CK1146+AV1146)/2,MAX((CK1146+AV1146)/2,H1146))))</f>
        <v>5</v>
      </c>
      <c r="AU1146" s="50" t="n">
        <f aca="false">AT1146*G1146</f>
        <v>1480</v>
      </c>
      <c r="AV1146" s="50" t="n">
        <f aca="false">ROUNDUP(CK1146+MAX(CL1146,2*(J1146/IF(CG1146&gt;0,CG1146,MAX(0.1,N(Cockpit!$I$6)))-CK1146)),0)</f>
        <v>1</v>
      </c>
      <c r="AW1146" s="51" t="n">
        <f aca="false">IF(AS1146&gt;0,J1146/AS1146,-1)</f>
        <v>0</v>
      </c>
      <c r="AX1146" s="51" t="n">
        <f aca="false">IF(AND(OR(CF1146="L1",CF1146="L23",CF1146="LIFT"),AS1146&gt;0),SUMIFS($AS$7:$AS$1843,$CF$7:$CF$1843,CF1146,$AW$7:$AW$1843,"&gt;"&amp;AW1146)+SUMIFS($AS$7:$AS$1843,$CF$7:$CF$1843,CF1146,$AW$7:$AW$1843,AW1146,$BW$7:$BW$1843,"&lt;="&amp;BW1146),"")</f>
        <v>35148.7907509158</v>
      </c>
      <c r="AY1146" s="58" t="n">
        <f aca="false">IF(AX1146="",0,MAX(0,MIN(1,(IF(CF1146="L1",Parameter!$H$5,IF(CF1146="L23",Parameter!$H$6+Parameter!$H$7,Parameter!$H$5+Parameter!$H$6+Parameter!$H$7))-(AX1146-AS1146))/AS1146)))</f>
        <v>1</v>
      </c>
      <c r="AZ1146" s="50" t="n">
        <f aca="false">IF(LEFT(Cockpit!$O$5,1)="A",H1146,IF(Parameter!$E$30="MAX-Bestand",IF(CH1146=1,CI1146,IF(LEFT(Cockpit!$O$5,1)="B",BF1146,MAX(BF1146,H1146))),ROUNDUP(BD1146,0)))</f>
        <v>1</v>
      </c>
      <c r="BA1146" s="50" t="n">
        <f aca="false">IF(BZ1146=1,0,ROUNDUP(AZ1146/BY1146,0))</f>
        <v>1</v>
      </c>
      <c r="BB1146" s="52" t="n">
        <f aca="false">IF(CQ1146&gt;0,CQ1146*MAX(1,AZ1146/X1146),IF(BZ1146=1,IF(AZ1146&lt;=0,0,CD1146*MAX(1,IF(H1146&gt;0,AZ1146/H1146,1))),IF(R1146&gt;0,BA1146/R1146,0))/MAX(0.1,N(Parameter!$M$21)))</f>
        <v>0.166666666666667</v>
      </c>
      <c r="BC1146" s="50" t="n">
        <f aca="false">BB1146*CB1146</f>
        <v>39.1666666666667</v>
      </c>
      <c r="BD1146" s="51" t="n">
        <f aca="false">IF(LEFT(Cockpit!$O$5,1)="A",H1146,IF(CH1146=1,(CK1146+CI1146)/2,IF(LEFT(Cockpit!$O$5,1)="B",(CK1146+BF1146)/2,MAX((CK1146+BF1146)/2,H1146))))</f>
        <v>0.5</v>
      </c>
      <c r="BE1146" s="50" t="n">
        <f aca="false">BD1146*G1146</f>
        <v>148</v>
      </c>
      <c r="BF1146" s="50" t="n">
        <f aca="false">ROUNDUP(CK1146+MAX(CL1146,2*(J1146/IF(CG1146&gt;0,CG1146,MAX(0.1,N(Cockpit!$O$6)))-CK1146)),0)</f>
        <v>1</v>
      </c>
      <c r="BG1146" s="51" t="n">
        <f aca="false">IF(BC1146&gt;0,J1146/BC1146,-1)</f>
        <v>0</v>
      </c>
      <c r="BH1146" s="51" t="n">
        <f aca="false">IF(AND(OR(CF1146="L1",CF1146="L23",CF1146="LIFT"),BC1146&gt;0),SUMIFS($BC$7:$BC$1843,$CF$7:$CF$1843,CF1146,$BG$7:$BG$1843,"&gt;"&amp;BG1146)+SUMIFS($BC$7:$BC$1843,$CF$7:$CF$1843,CF1146,$BG$7:$BG$1843,BG1146,$BW$7:$BW$1843,"&lt;="&amp;BW1146),"")</f>
        <v>29134.0974110635</v>
      </c>
      <c r="BI1146" s="58" t="n">
        <f aca="false">IF(BH1146="",0,MAX(0,MIN(1,(IF(CF1146="L1",Parameter!$H$5,IF(CF1146="L23",Parameter!$H$6+Parameter!$H$7,Parameter!$H$5+Parameter!$H$6+Parameter!$H$7))-(BH1146-BC1146))/BC1146)))</f>
        <v>1</v>
      </c>
      <c r="BJ1146" s="48" t="str">
        <f aca="false">IF(AI1146&lt;=0,"",IF(CF1146="Aussen","Aussenlager",IF(CF1146="-","Nicht im Lift",IF(AO1146&gt;=1,"Lift",IF(AO1146&lt;=0,"Aussenlager","teilweise")))))</f>
        <v>Lift</v>
      </c>
      <c r="BK1146" s="48" t="str">
        <f aca="false">IF(AS1146&lt;=0,"",IF(CF1146="Aussen","Aussenlager",IF(CF1146="-","Nicht im Lift",IF(AY1146&gt;=1,"Lift",IF(AY1146&lt;=0,"Aussenlager","teilweise")))))</f>
        <v>Lift</v>
      </c>
      <c r="BL1146" s="48" t="str">
        <f aca="false">IF(BC1146&lt;=0,"",IF(CF1146="Aussen","Aussenlager",IF(CF1146="-","Nicht im Lift",IF(BI1146&gt;=1,"Lift",IF(BI1146&lt;=0,"Aussenlager","teilweise")))))</f>
        <v>Lift</v>
      </c>
      <c r="BM1146" s="48" t="str">
        <f aca="false">IF(A1146="","",IF(BV1146=1,"Neu; ","")&amp;IF(AND(BV1146=0,BQ1146&lt;0),"negativer Bestand (Export "&amp;BQ1146&amp;"); ","")&amp;IF(J1146&lt;=0,"Kein Verbrauch; ","")&amp;IF(CQ1146&gt;0,"Lift "&amp;W1146&amp;" lt. Liftbericht (Fach "&amp;X1146&amp;" Stk); ",IF(CA1146=1,"Gebinde geschätzt ("&amp;T1146&amp;"); ",IF(BZ1146=1,"Lose – Tablare geschätzt; ","")))&amp;IF(H1146&gt;AV1146,"Überbestand "&amp;ROUND(H1146-AV1146,0)&amp;" Stk / CHF "&amp;ROUND((H1146-AV1146)*G1146,0)&amp;"; ","")&amp;IF(AND(CH1146=1,CI1146&lt;CJ1146),"MAX &lt; MB+LG; ","")&amp;IF(AND(CP1146&gt;0,CO1146*10&gt;CP1146),"zu hoch für Tablar; ","")&amp;IF(AND(BV1146=0,OR(CH1146=1,AA1146&lt;&gt;"",U1146&lt;&gt;"",V1146&lt;&gt;"",AB1146&lt;&gt;"")),"manuell übersteuert; ","")&amp;IF(AND(BZ1146=0,R1146=0),"Gebinde unbekannt / Stellmass fehlt; ","")&amp;IF(AND(BZ1146=0,N(V1146)&lt;=0,N(Q1146)&lt;=0),"Menge pro Gebinde fehlt (Ist = 1 Gebinde); ","")&amp;BU1146)</f>
        <v>negativer Bestand (Export -1); Kein Verbrauch; Überbestand 4 Stk / CHF 1184; Neu; grosser Artikel &amp; nicht im KTL</v>
      </c>
      <c r="BN1146" s="48"/>
      <c r="BO1146" s="48"/>
      <c r="BP1146" s="55"/>
      <c r="BQ1146" s="50" t="n">
        <v>-1</v>
      </c>
      <c r="BR1146" s="50" t="n">
        <v>6</v>
      </c>
      <c r="BS1146" s="49" t="n">
        <v>-296</v>
      </c>
      <c r="BT1146" s="50" t="n">
        <v>0</v>
      </c>
      <c r="BU1146" s="48" t="s">
        <v>2079</v>
      </c>
      <c r="BV1146" s="53" t="n">
        <v>0</v>
      </c>
      <c r="BW1146" s="53" t="n">
        <v>1146</v>
      </c>
      <c r="BX1146" s="48" t="str">
        <f aca="false">IF(U1146&lt;&gt;"",UPPER(TRIM(U1146)),IF(CA1146=1,UPPER(VLOOKUP(T1146,Parameter!$I$27:$K$29,2,0)),IF(P1146="","LOSE",P1146)))</f>
        <v>S71</v>
      </c>
      <c r="BY1146" s="50" t="n">
        <f aca="false">IF(BX1146="LOSE",1,IF(N(V1146)&gt;0,V1146,IF(CA1146=1,MAX(1,N(VLOOKUP(T1146,Parameter!$I$27:$K$29,3,0)),H1146,N(N1146)),IF(N(Q1146)&gt;0,Q1146,MAX(1,H1146)))))</f>
        <v>15</v>
      </c>
      <c r="BZ1146" s="53" t="n">
        <f aca="false">IF(BX1146="LOSE",1,0)</f>
        <v>0</v>
      </c>
      <c r="CA1146" s="53" t="n">
        <f aca="false">IF(AND(U1146="",OR(P1146="",P1146="LOSE"),T1146&lt;&gt;"",N(S1146)&lt;=0,ISNUMBER(MATCH(T1146,Parameter!$I$27:$I$29,0))),1,0)</f>
        <v>0</v>
      </c>
      <c r="CB1146" s="53" t="n">
        <f aca="false">IF(CQ1146&gt;0,INDEX(Parameter!$H$5:$H$7,W1146)/INDEX(Parameter!$E$5:$E$7,W1146),IF(AND(BZ1146=0,N(IFERROR(VLOOKUP(BX1146,'Gebinde-Kategorie'!$A$5:$N$45,14,0),0))&gt;0),VLOOKUP(BX1146,'Gebinde-Kategorie'!$A$5:$N$45,14,0)*10+Parameter!$M$23,Parameter!$M$24))</f>
        <v>235</v>
      </c>
      <c r="CC1146" s="48" t="str">
        <f aca="false">IF(AND(Parameter!$B$19="Ja",E1146&lt;&gt;"",ISNUMBER(MATCH(E1146,Parameter!$I$35:$I$52,0))),VLOOKUP(E1146,Parameter!$I$35:$J$52,2,0),IFERROR(VLOOKUP(D1146,Parameter!$A$35:$C$64,2,0),"Nein"))</f>
        <v>2+3</v>
      </c>
      <c r="CD1146" s="52" t="n">
        <f aca="false">IF(BZ1146=0,0,IF(N(S1146)&gt;0,S1146,IFERROR(VLOOKUP(D1146,Parameter!$A$35:$C$64,3,0)+0,0)))</f>
        <v>0</v>
      </c>
      <c r="CE1146" s="48" t="n">
        <f aca="false">IF(AA1146&lt;&gt;"",AA1146,Z1146)</f>
        <v>2</v>
      </c>
      <c r="CF1146" s="48" t="str">
        <f aca="false">IF(OR(CE1146=1,CE1146=2,CE1146=3),IF(Parameter!$E$27="Ja","LIFT",IF(CE1146=1,"L1","L23")),IF(CE1146="Aussen","Aussen","-"))</f>
        <v>LIFT</v>
      </c>
      <c r="CG1146" s="59" t="n">
        <f aca="false">IF(N(AB1146)&gt;0,AB1146,0)</f>
        <v>0</v>
      </c>
      <c r="CH1146" s="53" t="n">
        <f aca="false">IF(ISNUMBER(AE1146),1,0)</f>
        <v>0</v>
      </c>
      <c r="CI1146" s="50" t="n">
        <f aca="false">N(AE1146)</f>
        <v>0</v>
      </c>
      <c r="CJ1146" s="50" t="n">
        <f aca="false">N(M1146)+N(N1146)</f>
        <v>1</v>
      </c>
      <c r="CK1146" s="50" t="n">
        <f aca="false">N(M1146)</f>
        <v>0</v>
      </c>
      <c r="CL1146" s="50" t="n">
        <f aca="false">N(N1146)</f>
        <v>1</v>
      </c>
      <c r="CM1146" s="50" t="n">
        <f aca="false">ROUNDUP(H1146/BY1146,0)</f>
        <v>1</v>
      </c>
      <c r="CN1146" s="50" t="n">
        <f aca="false">ROUNDUP(CI1146/BY1146,0)</f>
        <v>0</v>
      </c>
      <c r="CO1146" s="53" t="n">
        <f aca="false">IF(BZ1146=1,0,IFERROR(VLOOKUP(BX1146,'Gebinde-Kategorie'!$A$5:$N$45,5,0)+0,0))</f>
        <v>20</v>
      </c>
      <c r="CP1146" s="53" t="n">
        <f aca="false">IFERROR(IF(OR(CE1146=1,CE1146=2,CE1146=3),N(INDEX(Parameter!$I$5:$I$7,CE1146)),0),0)</f>
        <v>0</v>
      </c>
      <c r="CQ1146" s="52" t="n">
        <f aca="false">IF(AND(Parameter!$B$21="Ja",ISNUMBER(W1146),N(X1146)&gt;0),IFERROR(N(INDEX(Parameter!$L$5:$L$7,W1146))*INDEX(Parameter!$E$5:$E$7,W1146)*X1146/SUMIFS($X$7:$X$1843,$W$7:$W$1843,W1146),0),0)</f>
        <v>0</v>
      </c>
    </row>
    <row r="1147" customFormat="false" ht="15" hidden="false" customHeight="false" outlineLevel="0" collapsed="false">
      <c r="A1147" s="48" t="s">
        <v>2081</v>
      </c>
      <c r="B1147" s="48" t="s">
        <v>222</v>
      </c>
      <c r="C1147" s="48" t="s">
        <v>173</v>
      </c>
      <c r="D1147" s="48" t="s">
        <v>182</v>
      </c>
      <c r="E1147" s="48"/>
      <c r="F1147" s="48" t="s">
        <v>227</v>
      </c>
      <c r="G1147" s="49" t="n">
        <v>66.38</v>
      </c>
      <c r="H1147" s="50" t="n">
        <f aca="false">MAX(0,IF(AND(Parameter!$B$21="Ja",ISNUMBER(Y1147)),Y1147,IF(Parameter!$B$20="Jahresanfang 2025 + Export",BR1147+BQ1147,BQ1147)))</f>
        <v>9</v>
      </c>
      <c r="I1147" s="50" t="n">
        <f aca="false">H1147*G1147</f>
        <v>597.42</v>
      </c>
      <c r="J1147" s="50" t="n">
        <f aca="false">BT1147*Parameter!$B$18</f>
        <v>29</v>
      </c>
      <c r="K1147" s="51" t="n">
        <v>6</v>
      </c>
      <c r="L1147" s="52" t="n">
        <v>4.83333333333333</v>
      </c>
      <c r="M1147" s="50" t="n">
        <v>7</v>
      </c>
      <c r="N1147" s="50" t="n">
        <v>30</v>
      </c>
      <c r="O1147" s="53" t="n">
        <v>90</v>
      </c>
      <c r="P1147" s="48" t="s">
        <v>195</v>
      </c>
      <c r="Q1147" s="50" t="n">
        <v>20</v>
      </c>
      <c r="R1147" s="53" t="n">
        <f aca="false">IF(BZ1147=1,0,IFERROR(VLOOKUP(BX1147,'Gebinde-Kategorie'!$A$5:$N$45,13,0)+0,0))</f>
        <v>12</v>
      </c>
      <c r="S1147" s="54"/>
      <c r="T1147" s="55"/>
      <c r="U1147" s="55"/>
      <c r="V1147" s="55"/>
      <c r="W1147" s="48"/>
      <c r="X1147" s="50"/>
      <c r="Y1147" s="50"/>
      <c r="Z1147" s="48" t="n">
        <f aca="false">IF(A1147="","",IF(AND(Parameter!$B$21="Ja",ISNUMBER(W1147)),W1147,IF(CC1147="2+3",IF(ISNUMBER(SEARCH("grosser Artikel",BU1147)),2,IFERROR(VLOOKUP(BX1147,Parameter!$F$35:$G$64,2,0),2)),IF(OR(CC1147="Nein",CC1147=""),"-",CC1147))))</f>
        <v>2</v>
      </c>
      <c r="AA1147" s="55"/>
      <c r="AB1147" s="56"/>
      <c r="AC1147" s="50" t="n">
        <f aca="false">AV1147</f>
        <v>37</v>
      </c>
      <c r="AD1147" s="50" t="n">
        <f aca="false">MAX(AV1147,H1147)</f>
        <v>37</v>
      </c>
      <c r="AE1147" s="57"/>
      <c r="AF1147" s="50" t="n">
        <f aca="false">IF(LEFT(Cockpit!$C$5,1)="A",H1147,IF(Parameter!$E$30="MAX-Bestand",IF(CH1147=1,CI1147,IF(LEFT(Cockpit!$C$5,1)="B",AL1147,MAX(AL1147,H1147))),ROUNDUP(AJ1147,0)))</f>
        <v>9</v>
      </c>
      <c r="AG1147" s="50" t="n">
        <f aca="false">IF(BZ1147=1,0,ROUNDUP(AF1147/BY1147,0))</f>
        <v>1</v>
      </c>
      <c r="AH1147" s="52" t="n">
        <f aca="false">IF(CQ1147&gt;0,CQ1147*MAX(1,AF1147/X1147),IF(BZ1147=1,IF(AF1147&lt;=0,0,CD1147*MAX(1,IF(H1147&gt;0,AF1147/H1147,1))),IF(R1147&gt;0,AG1147/R1147,0))/MAX(0.1,N(Parameter!$M$21)))</f>
        <v>0.0833333333333333</v>
      </c>
      <c r="AI1147" s="50" t="n">
        <f aca="false">AH1147*CB1147</f>
        <v>12.0833333333333</v>
      </c>
      <c r="AJ1147" s="51" t="n">
        <f aca="false">IF(LEFT(Cockpit!$C$5,1)="A",H1147,IF(CH1147=1,(CK1147+CI1147)/2,IF(LEFT(Cockpit!$C$5,1)="B",(CK1147+AL1147)/2,MAX((CK1147+AL1147)/2,H1147))))</f>
        <v>9</v>
      </c>
      <c r="AK1147" s="50" t="n">
        <f aca="false">AJ1147*G1147</f>
        <v>597.42</v>
      </c>
      <c r="AL1147" s="50" t="n">
        <f aca="false">ROUNDUP(CK1147+MAX(CL1147,2*(J1147/IF(CG1147&gt;0,CG1147,MAX(0.1,N(Cockpit!$C$6)))-CK1147)),0)</f>
        <v>37</v>
      </c>
      <c r="AM1147" s="51" t="n">
        <f aca="false">IF(AI1147&gt;0,J1147/AI1147,-1)</f>
        <v>2.4</v>
      </c>
      <c r="AN1147" s="51" t="n">
        <f aca="false">IF(AND(OR(CF1147="L1",CF1147="L23",CF1147="LIFT"),AI1147&gt;0),SUMIFS($AI$7:$AI$1843,$CF$7:$CF$1843,CF1147,$AM$7:$AM$1843,"&gt;"&amp;AM1147)+SUMIFS($AI$7:$AI$1843,$CF$7:$CF$1843,CF1147,$AM$7:$AM$1843,AM1147,$BW$7:$BW$1843,"&lt;="&amp;BW1147),"")</f>
        <v>5613.33379120879</v>
      </c>
      <c r="AO1147" s="58" t="n">
        <f aca="false">IF(AN1147="",0,MAX(0,MIN(1,(IF(CF1147="L1",Parameter!$H$5,IF(CF1147="L23",Parameter!$H$6+Parameter!$H$7,Parameter!$H$5+Parameter!$H$6+Parameter!$H$7))-(AN1147-AI1147))/AI1147)))</f>
        <v>1</v>
      </c>
      <c r="AP1147" s="50" t="n">
        <f aca="false">IF(LEFT(Cockpit!$I$5,1)="A",H1147,IF(Parameter!$E$30="MAX-Bestand",IF(CH1147=1,CI1147,IF(LEFT(Cockpit!$I$5,1)="B",AV1147,MAX(AV1147,H1147))),ROUNDUP(AT1147,0)))</f>
        <v>22</v>
      </c>
      <c r="AQ1147" s="50" t="n">
        <f aca="false">IF(BZ1147=1,0,ROUNDUP(AP1147/BY1147,0))</f>
        <v>2</v>
      </c>
      <c r="AR1147" s="52" t="n">
        <f aca="false">IF(CQ1147&gt;0,CQ1147*MAX(1,AP1147/X1147),IF(BZ1147=1,IF(AP1147&lt;=0,0,CD1147*MAX(1,IF(H1147&gt;0,AP1147/H1147,1))),IF(R1147&gt;0,AQ1147/R1147,0))/MAX(0.1,N(Parameter!$M$21)))</f>
        <v>0.166666666666667</v>
      </c>
      <c r="AS1147" s="50" t="n">
        <f aca="false">AR1147*CB1147</f>
        <v>24.1666666666667</v>
      </c>
      <c r="AT1147" s="51" t="n">
        <f aca="false">IF(LEFT(Cockpit!$I$5,1)="A",H1147,IF(CH1147=1,(CK1147+CI1147)/2,IF(LEFT(Cockpit!$I$5,1)="B",(CK1147+AV1147)/2,MAX((CK1147+AV1147)/2,H1147))))</f>
        <v>22</v>
      </c>
      <c r="AU1147" s="50" t="n">
        <f aca="false">AT1147*G1147</f>
        <v>1460.36</v>
      </c>
      <c r="AV1147" s="50" t="n">
        <f aca="false">ROUNDUP(CK1147+MAX(CL1147,2*(J1147/IF(CG1147&gt;0,CG1147,MAX(0.1,N(Cockpit!$I$6)))-CK1147)),0)</f>
        <v>37</v>
      </c>
      <c r="AW1147" s="51" t="n">
        <f aca="false">IF(AS1147&gt;0,J1147/AS1147,-1)</f>
        <v>1.2</v>
      </c>
      <c r="AX1147" s="51" t="n">
        <f aca="false">IF(AND(OR(CF1147="L1",CF1147="L23",CF1147="LIFT"),AS1147&gt;0),SUMIFS($AS$7:$AS$1843,$CF$7:$CF$1843,CF1147,$AW$7:$AW$1843,"&gt;"&amp;AW1147)+SUMIFS($AS$7:$AS$1843,$CF$7:$CF$1843,CF1147,$AW$7:$AW$1843,AW1147,$BW$7:$BW$1843,"&lt;="&amp;BW1147),"")</f>
        <v>8131.13278388278</v>
      </c>
      <c r="AY1147" s="58" t="n">
        <f aca="false">IF(AX1147="",0,MAX(0,MIN(1,(IF(CF1147="L1",Parameter!$H$5,IF(CF1147="L23",Parameter!$H$6+Parameter!$H$7,Parameter!$H$5+Parameter!$H$6+Parameter!$H$7))-(AX1147-AS1147))/AS1147)))</f>
        <v>1</v>
      </c>
      <c r="AZ1147" s="50" t="n">
        <f aca="false">IF(LEFT(Cockpit!$O$5,1)="A",H1147,IF(Parameter!$E$30="MAX-Bestand",IF(CH1147=1,CI1147,IF(LEFT(Cockpit!$O$5,1)="B",BF1147,MAX(BF1147,H1147))),ROUNDUP(BD1147,0)))</f>
        <v>22</v>
      </c>
      <c r="BA1147" s="50" t="n">
        <f aca="false">IF(BZ1147=1,0,ROUNDUP(AZ1147/BY1147,0))</f>
        <v>2</v>
      </c>
      <c r="BB1147" s="52" t="n">
        <f aca="false">IF(CQ1147&gt;0,CQ1147*MAX(1,AZ1147/X1147),IF(BZ1147=1,IF(AZ1147&lt;=0,0,CD1147*MAX(1,IF(H1147&gt;0,AZ1147/H1147,1))),IF(R1147&gt;0,BA1147/R1147,0))/MAX(0.1,N(Parameter!$M$21)))</f>
        <v>0.166666666666667</v>
      </c>
      <c r="BC1147" s="50" t="n">
        <f aca="false">BB1147*CB1147</f>
        <v>24.1666666666667</v>
      </c>
      <c r="BD1147" s="51" t="n">
        <f aca="false">IF(LEFT(Cockpit!$O$5,1)="A",H1147,IF(CH1147=1,(CK1147+CI1147)/2,IF(LEFT(Cockpit!$O$5,1)="B",(CK1147+BF1147)/2,MAX((CK1147+BF1147)/2,H1147))))</f>
        <v>22</v>
      </c>
      <c r="BE1147" s="50" t="n">
        <f aca="false">BD1147*G1147</f>
        <v>1460.36</v>
      </c>
      <c r="BF1147" s="50" t="n">
        <f aca="false">ROUNDUP(CK1147+MAX(CL1147,2*(J1147/IF(CG1147&gt;0,CG1147,MAX(0.1,N(Cockpit!$O$6)))-CK1147)),0)</f>
        <v>37</v>
      </c>
      <c r="BG1147" s="51" t="n">
        <f aca="false">IF(BC1147&gt;0,J1147/BC1147,-1)</f>
        <v>1.2</v>
      </c>
      <c r="BH1147" s="51" t="n">
        <f aca="false">IF(AND(OR(CF1147="L1",CF1147="L23",CF1147="LIFT"),BC1147&gt;0),SUMIFS($BC$7:$BC$1843,$CF$7:$CF$1843,CF1147,$BG$7:$BG$1843,"&gt;"&amp;BG1147)+SUMIFS($BC$7:$BC$1843,$CF$7:$CF$1843,CF1147,$BG$7:$BG$1843,BG1147,$BW$7:$BW$1843,"&lt;="&amp;BW1147),"")</f>
        <v>7143.25228937729</v>
      </c>
      <c r="BI1147" s="58" t="n">
        <f aca="false">IF(BH1147="",0,MAX(0,MIN(1,(IF(CF1147="L1",Parameter!$H$5,IF(CF1147="L23",Parameter!$H$6+Parameter!$H$7,Parameter!$H$5+Parameter!$H$6+Parameter!$H$7))-(BH1147-BC1147))/BC1147)))</f>
        <v>1</v>
      </c>
      <c r="BJ1147" s="48" t="str">
        <f aca="false">IF(AI1147&lt;=0,"",IF(CF1147="Aussen","Aussenlager",IF(CF1147="-","Nicht im Lift",IF(AO1147&gt;=1,"Lift",IF(AO1147&lt;=0,"Aussenlager","teilweise")))))</f>
        <v>Lift</v>
      </c>
      <c r="BK1147" s="48" t="str">
        <f aca="false">IF(AS1147&lt;=0,"",IF(CF1147="Aussen","Aussenlager",IF(CF1147="-","Nicht im Lift",IF(AY1147&gt;=1,"Lift",IF(AY1147&lt;=0,"Aussenlager","teilweise")))))</f>
        <v>Lift</v>
      </c>
      <c r="BL1147" s="48" t="str">
        <f aca="false">IF(BC1147&lt;=0,"",IF(CF1147="Aussen","Aussenlager",IF(CF1147="-","Nicht im Lift",IF(BI1147&gt;=1,"Lift",IF(BI1147&lt;=0,"Aussenlager","teilweise")))))</f>
        <v>Lift</v>
      </c>
      <c r="BM1147" s="48" t="str">
        <f aca="false">IF(A1147="","",IF(BV1147=1,"Neu; ","")&amp;IF(AND(BV1147=0,BQ1147&lt;0),"negativer Bestand (Export "&amp;BQ1147&amp;"); ","")&amp;IF(J1147&lt;=0,"Kein Verbrauch; ","")&amp;IF(CQ1147&gt;0,"Lift "&amp;W1147&amp;" lt. Liftbericht (Fach "&amp;X1147&amp;" Stk); ",IF(CA1147=1,"Gebinde geschätzt ("&amp;T1147&amp;"); ",IF(BZ1147=1,"Lose – Tablare geschätzt; ","")))&amp;IF(H1147&gt;AV1147,"Überbestand "&amp;ROUND(H1147-AV1147,0)&amp;" Stk / CHF "&amp;ROUND((H1147-AV1147)*G1147,0)&amp;"; ","")&amp;IF(AND(CH1147=1,CI1147&lt;CJ1147),"MAX &lt; MB+LG; ","")&amp;IF(AND(CP1147&gt;0,CO1147*10&gt;CP1147),"zu hoch für Tablar; ","")&amp;IF(AND(BV1147=0,OR(CH1147=1,AA1147&lt;&gt;"",U1147&lt;&gt;"",V1147&lt;&gt;"",AB1147&lt;&gt;"")),"manuell übersteuert; ","")&amp;IF(AND(BZ1147=0,R1147=0),"Gebinde unbekannt / Stellmass fehlt; ","")&amp;IF(AND(BZ1147=0,N(V1147)&lt;=0,N(Q1147)&lt;=0),"Menge pro Gebinde fehlt (Ist = 1 Gebinde); ","")&amp;BU1147)</f>
        <v>negativer Bestand (Export -1); </v>
      </c>
      <c r="BN1147" s="48"/>
      <c r="BO1147" s="48"/>
      <c r="BP1147" s="55"/>
      <c r="BQ1147" s="50" t="n">
        <v>-1</v>
      </c>
      <c r="BR1147" s="50" t="n">
        <v>10</v>
      </c>
      <c r="BS1147" s="49" t="n">
        <v>-299.28</v>
      </c>
      <c r="BT1147" s="50" t="n">
        <v>29</v>
      </c>
      <c r="BU1147" s="48"/>
      <c r="BV1147" s="53" t="n">
        <v>0</v>
      </c>
      <c r="BW1147" s="53" t="n">
        <v>1147</v>
      </c>
      <c r="BX1147" s="48" t="str">
        <f aca="false">IF(U1147&lt;&gt;"",UPPER(TRIM(U1147)),IF(CA1147=1,UPPER(VLOOKUP(T1147,Parameter!$I$27:$K$29,2,0)),IF(P1147="","LOSE",P1147)))</f>
        <v>S61</v>
      </c>
      <c r="BY1147" s="50" t="n">
        <f aca="false">IF(BX1147="LOSE",1,IF(N(V1147)&gt;0,V1147,IF(CA1147=1,MAX(1,N(VLOOKUP(T1147,Parameter!$I$27:$K$29,3,0)),H1147,N(N1147)),IF(N(Q1147)&gt;0,Q1147,MAX(1,H1147)))))</f>
        <v>20</v>
      </c>
      <c r="BZ1147" s="53" t="n">
        <f aca="false">IF(BX1147="LOSE",1,0)</f>
        <v>0</v>
      </c>
      <c r="CA1147" s="53" t="n">
        <f aca="false">IF(AND(U1147="",OR(P1147="",P1147="LOSE"),T1147&lt;&gt;"",N(S1147)&lt;=0,ISNUMBER(MATCH(T1147,Parameter!$I$27:$I$29,0))),1,0)</f>
        <v>0</v>
      </c>
      <c r="CB1147" s="53" t="n">
        <f aca="false">IF(CQ1147&gt;0,INDEX(Parameter!$H$5:$H$7,W1147)/INDEX(Parameter!$E$5:$E$7,W1147),IF(AND(BZ1147=0,N(IFERROR(VLOOKUP(BX1147,'Gebinde-Kategorie'!$A$5:$N$45,14,0),0))&gt;0),VLOOKUP(BX1147,'Gebinde-Kategorie'!$A$5:$N$45,14,0)*10+Parameter!$M$23,Parameter!$M$24))</f>
        <v>145</v>
      </c>
      <c r="CC1147" s="48" t="str">
        <f aca="false">IF(AND(Parameter!$B$19="Ja",E1147&lt;&gt;"",ISNUMBER(MATCH(E1147,Parameter!$I$35:$I$52,0))),VLOOKUP(E1147,Parameter!$I$35:$J$52,2,0),IFERROR(VLOOKUP(D1147,Parameter!$A$35:$C$64,2,0),"Nein"))</f>
        <v>2+3</v>
      </c>
      <c r="CD1147" s="52" t="n">
        <f aca="false">IF(BZ1147=0,0,IF(N(S1147)&gt;0,S1147,IFERROR(VLOOKUP(D1147,Parameter!$A$35:$C$64,3,0)+0,0)))</f>
        <v>0</v>
      </c>
      <c r="CE1147" s="48" t="n">
        <f aca="false">IF(AA1147&lt;&gt;"",AA1147,Z1147)</f>
        <v>2</v>
      </c>
      <c r="CF1147" s="48" t="str">
        <f aca="false">IF(OR(CE1147=1,CE1147=2,CE1147=3),IF(Parameter!$E$27="Ja","LIFT",IF(CE1147=1,"L1","L23")),IF(CE1147="Aussen","Aussen","-"))</f>
        <v>LIFT</v>
      </c>
      <c r="CG1147" s="59" t="n">
        <f aca="false">IF(N(AB1147)&gt;0,AB1147,0)</f>
        <v>0</v>
      </c>
      <c r="CH1147" s="53" t="n">
        <f aca="false">IF(ISNUMBER(AE1147),1,0)</f>
        <v>0</v>
      </c>
      <c r="CI1147" s="50" t="n">
        <f aca="false">N(AE1147)</f>
        <v>0</v>
      </c>
      <c r="CJ1147" s="50" t="n">
        <f aca="false">N(M1147)+N(N1147)</f>
        <v>37</v>
      </c>
      <c r="CK1147" s="50" t="n">
        <f aca="false">N(M1147)</f>
        <v>7</v>
      </c>
      <c r="CL1147" s="50" t="n">
        <f aca="false">N(N1147)</f>
        <v>30</v>
      </c>
      <c r="CM1147" s="50" t="n">
        <f aca="false">ROUNDUP(H1147/BY1147,0)</f>
        <v>1</v>
      </c>
      <c r="CN1147" s="50" t="n">
        <f aca="false">ROUNDUP(CI1147/BY1147,0)</f>
        <v>0</v>
      </c>
      <c r="CO1147" s="53" t="n">
        <f aca="false">IF(BZ1147=1,0,IFERROR(VLOOKUP(BX1147,'Gebinde-Kategorie'!$A$5:$N$45,5,0)+0,0))</f>
        <v>11</v>
      </c>
      <c r="CP1147" s="53" t="n">
        <f aca="false">IFERROR(IF(OR(CE1147=1,CE1147=2,CE1147=3),N(INDEX(Parameter!$I$5:$I$7,CE1147)),0),0)</f>
        <v>0</v>
      </c>
      <c r="CQ1147" s="52" t="n">
        <f aca="false">IF(AND(Parameter!$B$21="Ja",ISNUMBER(W1147),N(X1147)&gt;0),IFERROR(N(INDEX(Parameter!$L$5:$L$7,W1147))*INDEX(Parameter!$E$5:$E$7,W1147)*X1147/SUMIFS($X$7:$X$1843,$W$7:$W$1843,W1147),0),0)</f>
        <v>0</v>
      </c>
    </row>
    <row r="1148" customFormat="false" ht="15" hidden="false" customHeight="false" outlineLevel="0" collapsed="false">
      <c r="A1148" s="48" t="s">
        <v>2082</v>
      </c>
      <c r="B1148" s="48" t="s">
        <v>2083</v>
      </c>
      <c r="C1148" s="48" t="s">
        <v>173</v>
      </c>
      <c r="D1148" s="48" t="s">
        <v>193</v>
      </c>
      <c r="E1148" s="48"/>
      <c r="F1148" s="48" t="s">
        <v>227</v>
      </c>
      <c r="G1148" s="49" t="n">
        <v>151.25</v>
      </c>
      <c r="H1148" s="50" t="n">
        <f aca="false">MAX(0,IF(AND(Parameter!$B$21="Ja",ISNUMBER(Y1148)),Y1148,IF(Parameter!$B$20="Jahresanfang 2025 + Export",BR1148+BQ1148,BQ1148)))</f>
        <v>0</v>
      </c>
      <c r="I1148" s="50" t="n">
        <f aca="false">H1148*G1148</f>
        <v>0</v>
      </c>
      <c r="J1148" s="50" t="n">
        <f aca="false">BT1148*Parameter!$B$18</f>
        <v>0</v>
      </c>
      <c r="K1148" s="51" t="n">
        <v>1</v>
      </c>
      <c r="L1148" s="52" t="n">
        <v>0</v>
      </c>
      <c r="M1148" s="50" t="n">
        <v>0</v>
      </c>
      <c r="N1148" s="50" t="n">
        <v>1</v>
      </c>
      <c r="O1148" s="53" t="n">
        <v>42</v>
      </c>
      <c r="P1148" s="48" t="s">
        <v>177</v>
      </c>
      <c r="Q1148" s="50"/>
      <c r="R1148" s="53" t="n">
        <f aca="false">IF(BZ1148=1,0,IFERROR(VLOOKUP(BX1148,'Gebinde-Kategorie'!$A$5:$N$45,13,0)+0,0))</f>
        <v>26</v>
      </c>
      <c r="S1148" s="54"/>
      <c r="T1148" s="55" t="s">
        <v>284</v>
      </c>
      <c r="U1148" s="55"/>
      <c r="V1148" s="55"/>
      <c r="W1148" s="48"/>
      <c r="X1148" s="50"/>
      <c r="Y1148" s="50"/>
      <c r="Z1148" s="48" t="n">
        <f aca="false">IF(A1148="","",IF(AND(Parameter!$B$21="Ja",ISNUMBER(W1148)),W1148,IF(CC1148="2+3",IF(ISNUMBER(SEARCH("grosser Artikel",BU1148)),2,IFERROR(VLOOKUP(BX1148,Parameter!$F$35:$G$64,2,0),2)),IF(OR(CC1148="Nein",CC1148=""),"-",CC1148))))</f>
        <v>3</v>
      </c>
      <c r="AA1148" s="55"/>
      <c r="AB1148" s="56"/>
      <c r="AC1148" s="50" t="n">
        <f aca="false">AV1148</f>
        <v>1</v>
      </c>
      <c r="AD1148" s="50" t="n">
        <f aca="false">MAX(AV1148,H1148)</f>
        <v>1</v>
      </c>
      <c r="AE1148" s="57"/>
      <c r="AF1148" s="50" t="n">
        <f aca="false">IF(LEFT(Cockpit!$C$5,1)="A",H1148,IF(Parameter!$E$30="MAX-Bestand",IF(CH1148=1,CI1148,IF(LEFT(Cockpit!$C$5,1)="B",AL1148,MAX(AL1148,H1148))),ROUNDUP(AJ1148,0)))</f>
        <v>0</v>
      </c>
      <c r="AG1148" s="50" t="n">
        <f aca="false">IF(BZ1148=1,0,ROUNDUP(AF1148/BY1148,0))</f>
        <v>0</v>
      </c>
      <c r="AH1148" s="52" t="n">
        <f aca="false">IF(CQ1148&gt;0,CQ1148*MAX(1,AF1148/X1148),IF(BZ1148=1,IF(AF1148&lt;=0,0,CD1148*MAX(1,IF(H1148&gt;0,AF1148/H1148,1))),IF(R1148&gt;0,AG1148/R1148,0))/MAX(0.1,N(Parameter!$M$21)))</f>
        <v>0</v>
      </c>
      <c r="AI1148" s="50" t="n">
        <f aca="false">AH1148*CB1148</f>
        <v>0</v>
      </c>
      <c r="AJ1148" s="51" t="n">
        <f aca="false">IF(LEFT(Cockpit!$C$5,1)="A",H1148,IF(CH1148=1,(CK1148+CI1148)/2,IF(LEFT(Cockpit!$C$5,1)="B",(CK1148+AL1148)/2,MAX((CK1148+AL1148)/2,H1148))))</f>
        <v>0</v>
      </c>
      <c r="AK1148" s="50" t="n">
        <f aca="false">AJ1148*G1148</f>
        <v>0</v>
      </c>
      <c r="AL1148" s="50" t="n">
        <f aca="false">ROUNDUP(CK1148+MAX(CL1148,2*(J1148/IF(CG1148&gt;0,CG1148,MAX(0.1,N(Cockpit!$C$6)))-CK1148)),0)</f>
        <v>1</v>
      </c>
      <c r="AM1148" s="51" t="n">
        <f aca="false">IF(AI1148&gt;0,J1148/AI1148,-1)</f>
        <v>-1</v>
      </c>
      <c r="AN1148" s="51" t="str">
        <f aca="false">IF(AND(OR(CF1148="L1",CF1148="L23",CF1148="LIFT"),AI1148&gt;0),SUMIFS($AI$7:$AI$1843,$CF$7:$CF$1843,CF1148,$AM$7:$AM$1843,"&gt;"&amp;AM1148)+SUMIFS($AI$7:$AI$1843,$CF$7:$CF$1843,CF1148,$AM$7:$AM$1843,AM1148,$BW$7:$BW$1843,"&lt;="&amp;BW1148),"")</f>
        <v/>
      </c>
      <c r="AO1148" s="58" t="n">
        <f aca="false">IF(AN1148="",0,MAX(0,MIN(1,(IF(CF1148="L1",Parameter!$H$5,IF(CF1148="L23",Parameter!$H$6+Parameter!$H$7,Parameter!$H$5+Parameter!$H$6+Parameter!$H$7))-(AN1148-AI1148))/AI1148)))</f>
        <v>0</v>
      </c>
      <c r="AP1148" s="50" t="n">
        <f aca="false">IF(LEFT(Cockpit!$I$5,1)="A",H1148,IF(Parameter!$E$30="MAX-Bestand",IF(CH1148=1,CI1148,IF(LEFT(Cockpit!$I$5,1)="B",AV1148,MAX(AV1148,H1148))),ROUNDUP(AT1148,0)))</f>
        <v>1</v>
      </c>
      <c r="AQ1148" s="50" t="n">
        <f aca="false">IF(BZ1148=1,0,ROUNDUP(AP1148/BY1148,0))</f>
        <v>1</v>
      </c>
      <c r="AR1148" s="52" t="n">
        <f aca="false">IF(CQ1148&gt;0,CQ1148*MAX(1,AP1148/X1148),IF(BZ1148=1,IF(AP1148&lt;=0,0,CD1148*MAX(1,IF(H1148&gt;0,AP1148/H1148,1))),IF(R1148&gt;0,AQ1148/R1148,0))/MAX(0.1,N(Parameter!$M$21)))</f>
        <v>0.0384615384615385</v>
      </c>
      <c r="AS1148" s="50" t="n">
        <f aca="false">AR1148*CB1148</f>
        <v>5.96153846153846</v>
      </c>
      <c r="AT1148" s="51" t="n">
        <f aca="false">IF(LEFT(Cockpit!$I$5,1)="A",H1148,IF(CH1148=1,(CK1148+CI1148)/2,IF(LEFT(Cockpit!$I$5,1)="B",(CK1148+AV1148)/2,MAX((CK1148+AV1148)/2,H1148))))</f>
        <v>0.5</v>
      </c>
      <c r="AU1148" s="50" t="n">
        <f aca="false">AT1148*G1148</f>
        <v>75.625</v>
      </c>
      <c r="AV1148" s="50" t="n">
        <f aca="false">ROUNDUP(CK1148+MAX(CL1148,2*(J1148/IF(CG1148&gt;0,CG1148,MAX(0.1,N(Cockpit!$I$6)))-CK1148)),0)</f>
        <v>1</v>
      </c>
      <c r="AW1148" s="51" t="n">
        <f aca="false">IF(AS1148&gt;0,J1148/AS1148,-1)</f>
        <v>0</v>
      </c>
      <c r="AX1148" s="51" t="n">
        <f aca="false">IF(AND(OR(CF1148="L1",CF1148="L23",CF1148="LIFT"),AS1148&gt;0),SUMIFS($AS$7:$AS$1843,$CF$7:$CF$1843,CF1148,$AW$7:$AW$1843,"&gt;"&amp;AW1148)+SUMIFS($AS$7:$AS$1843,$CF$7:$CF$1843,CF1148,$AW$7:$AW$1843,AW1148,$BW$7:$BW$1843,"&lt;="&amp;BW1148),"")</f>
        <v>35154.7522893773</v>
      </c>
      <c r="AY1148" s="58" t="n">
        <f aca="false">IF(AX1148="",0,MAX(0,MIN(1,(IF(CF1148="L1",Parameter!$H$5,IF(CF1148="L23",Parameter!$H$6+Parameter!$H$7,Parameter!$H$5+Parameter!$H$6+Parameter!$H$7))-(AX1148-AS1148))/AS1148)))</f>
        <v>1</v>
      </c>
      <c r="AZ1148" s="50" t="n">
        <f aca="false">IF(LEFT(Cockpit!$O$5,1)="A",H1148,IF(Parameter!$E$30="MAX-Bestand",IF(CH1148=1,CI1148,IF(LEFT(Cockpit!$O$5,1)="B",BF1148,MAX(BF1148,H1148))),ROUNDUP(BD1148,0)))</f>
        <v>1</v>
      </c>
      <c r="BA1148" s="50" t="n">
        <f aca="false">IF(BZ1148=1,0,ROUNDUP(AZ1148/BY1148,0))</f>
        <v>1</v>
      </c>
      <c r="BB1148" s="52" t="n">
        <f aca="false">IF(CQ1148&gt;0,CQ1148*MAX(1,AZ1148/X1148),IF(BZ1148=1,IF(AZ1148&lt;=0,0,CD1148*MAX(1,IF(H1148&gt;0,AZ1148/H1148,1))),IF(R1148&gt;0,BA1148/R1148,0))/MAX(0.1,N(Parameter!$M$21)))</f>
        <v>0.0384615384615385</v>
      </c>
      <c r="BC1148" s="50" t="n">
        <f aca="false">BB1148*CB1148</f>
        <v>5.96153846153846</v>
      </c>
      <c r="BD1148" s="51" t="n">
        <f aca="false">IF(LEFT(Cockpit!$O$5,1)="A",H1148,IF(CH1148=1,(CK1148+CI1148)/2,IF(LEFT(Cockpit!$O$5,1)="B",(CK1148+BF1148)/2,MAX((CK1148+BF1148)/2,H1148))))</f>
        <v>0.5</v>
      </c>
      <c r="BE1148" s="50" t="n">
        <f aca="false">BD1148*G1148</f>
        <v>75.625</v>
      </c>
      <c r="BF1148" s="50" t="n">
        <f aca="false">ROUNDUP(CK1148+MAX(CL1148,2*(J1148/IF(CG1148&gt;0,CG1148,MAX(0.1,N(Cockpit!$O$6)))-CK1148)),0)</f>
        <v>1</v>
      </c>
      <c r="BG1148" s="51" t="n">
        <f aca="false">IF(BC1148&gt;0,J1148/BC1148,-1)</f>
        <v>0</v>
      </c>
      <c r="BH1148" s="51" t="n">
        <f aca="false">IF(AND(OR(CF1148="L1",CF1148="L23",CF1148="LIFT"),BC1148&gt;0),SUMIFS($BC$7:$BC$1843,$CF$7:$CF$1843,CF1148,$BG$7:$BG$1843,"&gt;"&amp;BG1148)+SUMIFS($BC$7:$BC$1843,$CF$7:$CF$1843,CF1148,$BG$7:$BG$1843,BG1148,$BW$7:$BW$1843,"&lt;="&amp;BW1148),"")</f>
        <v>29140.0589495251</v>
      </c>
      <c r="BI1148" s="58" t="n">
        <f aca="false">IF(BH1148="",0,MAX(0,MIN(1,(IF(CF1148="L1",Parameter!$H$5,IF(CF1148="L23",Parameter!$H$6+Parameter!$H$7,Parameter!$H$5+Parameter!$H$6+Parameter!$H$7))-(BH1148-BC1148))/BC1148)))</f>
        <v>1</v>
      </c>
      <c r="BJ1148" s="48" t="str">
        <f aca="false">IF(AI1148&lt;=0,"",IF(CF1148="Aussen","Aussenlager",IF(CF1148="-","Nicht im Lift",IF(AO1148&gt;=1,"Lift",IF(AO1148&lt;=0,"Aussenlager","teilweise")))))</f>
        <v/>
      </c>
      <c r="BK1148" s="48" t="str">
        <f aca="false">IF(AS1148&lt;=0,"",IF(CF1148="Aussen","Aussenlager",IF(CF1148="-","Nicht im Lift",IF(AY1148&gt;=1,"Lift",IF(AY1148&lt;=0,"Aussenlager","teilweise")))))</f>
        <v>Lift</v>
      </c>
      <c r="BL1148" s="48" t="str">
        <f aca="false">IF(BC1148&lt;=0,"",IF(CF1148="Aussen","Aussenlager",IF(CF1148="-","Nicht im Lift",IF(BI1148&gt;=1,"Lift",IF(BI1148&lt;=0,"Aussenlager","teilweise")))))</f>
        <v>Lift</v>
      </c>
      <c r="BM1148" s="48" t="str">
        <f aca="false">IF(A1148="","",IF(BV1148=1,"Neu; ","")&amp;IF(AND(BV1148=0,BQ1148&lt;0),"negativer Bestand (Export "&amp;BQ1148&amp;"); ","")&amp;IF(J1148&lt;=0,"Kein Verbrauch; ","")&amp;IF(CQ1148&gt;0,"Lift "&amp;W1148&amp;" lt. Liftbericht (Fach "&amp;X1148&amp;" Stk); ",IF(CA1148=1,"Gebinde geschätzt ("&amp;T1148&amp;"); ",IF(BZ1148=1,"Lose – Tablare geschätzt; ","")))&amp;IF(H1148&gt;AV1148,"Überbestand "&amp;ROUND(H1148-AV1148,0)&amp;" Stk / CHF "&amp;ROUND((H1148-AV1148)*G1148,0)&amp;"; ","")&amp;IF(AND(CH1148=1,CI1148&lt;CJ1148),"MAX &lt; MB+LG; ","")&amp;IF(AND(CP1148&gt;0,CO1148*10&gt;CP1148),"zu hoch für Tablar; ","")&amp;IF(AND(BV1148=0,OR(CH1148=1,AA1148&lt;&gt;"",U1148&lt;&gt;"",V1148&lt;&gt;"",AB1148&lt;&gt;"")),"manuell übersteuert; ","")&amp;IF(AND(BZ1148=0,R1148=0),"Gebinde unbekannt / Stellmass fehlt; ","")&amp;IF(AND(BZ1148=0,N(V1148)&lt;=0,N(Q1148)&lt;=0),"Menge pro Gebinde fehlt (Ist = 1 Gebinde); ","")&amp;BU1148)</f>
        <v>negativer Bestand (Export -2); Kein Verbrauch; Gebinde geschätzt (Klein); Menge pro Gebinde fehlt (Ist = 1 Gebinde); </v>
      </c>
      <c r="BN1148" s="48"/>
      <c r="BO1148" s="48"/>
      <c r="BP1148" s="55"/>
      <c r="BQ1148" s="50" t="n">
        <v>-2</v>
      </c>
      <c r="BR1148" s="50" t="n">
        <v>2</v>
      </c>
      <c r="BS1148" s="49" t="n">
        <v>-302.5</v>
      </c>
      <c r="BT1148" s="50" t="n">
        <v>0</v>
      </c>
      <c r="BU1148" s="48"/>
      <c r="BV1148" s="53" t="n">
        <v>0</v>
      </c>
      <c r="BW1148" s="53" t="n">
        <v>1148</v>
      </c>
      <c r="BX1148" s="48" t="str">
        <f aca="false">IF(U1148&lt;&gt;"",UPPER(TRIM(U1148)),IF(CA1148=1,UPPER(VLOOKUP(T1148,Parameter!$I$27:$K$29,2,0)),IF(P1148="","LOSE",P1148)))</f>
        <v>S51</v>
      </c>
      <c r="BY1148" s="50" t="n">
        <f aca="false">IF(BX1148="LOSE",1,IF(N(V1148)&gt;0,V1148,IF(CA1148=1,MAX(1,N(VLOOKUP(T1148,Parameter!$I$27:$K$29,3,0)),H1148,N(N1148)),IF(N(Q1148)&gt;0,Q1148,MAX(1,H1148)))))</f>
        <v>20</v>
      </c>
      <c r="BZ1148" s="53" t="n">
        <f aca="false">IF(BX1148="LOSE",1,0)</f>
        <v>0</v>
      </c>
      <c r="CA1148" s="53" t="n">
        <f aca="false">IF(AND(U1148="",OR(P1148="",P1148="LOSE"),T1148&lt;&gt;"",N(S1148)&lt;=0,ISNUMBER(MATCH(T1148,Parameter!$I$27:$I$29,0))),1,0)</f>
        <v>1</v>
      </c>
      <c r="CB1148" s="53" t="n">
        <f aca="false">IF(CQ1148&gt;0,INDEX(Parameter!$H$5:$H$7,W1148)/INDEX(Parameter!$E$5:$E$7,W1148),IF(AND(BZ1148=0,N(IFERROR(VLOOKUP(BX1148,'Gebinde-Kategorie'!$A$5:$N$45,14,0),0))&gt;0),VLOOKUP(BX1148,'Gebinde-Kategorie'!$A$5:$N$45,14,0)*10+Parameter!$M$23,Parameter!$M$24))</f>
        <v>155</v>
      </c>
      <c r="CC1148" s="48" t="str">
        <f aca="false">IF(AND(Parameter!$B$19="Ja",E1148&lt;&gt;"",ISNUMBER(MATCH(E1148,Parameter!$I$35:$I$52,0))),VLOOKUP(E1148,Parameter!$I$35:$J$52,2,0),IFERROR(VLOOKUP(D1148,Parameter!$A$35:$C$64,2,0),"Nein"))</f>
        <v>2+3</v>
      </c>
      <c r="CD1148" s="52" t="n">
        <f aca="false">IF(BZ1148=0,0,IF(N(S1148)&gt;0,S1148,IFERROR(VLOOKUP(D1148,Parameter!$A$35:$C$64,3,0)+0,0)))</f>
        <v>0</v>
      </c>
      <c r="CE1148" s="48" t="n">
        <f aca="false">IF(AA1148&lt;&gt;"",AA1148,Z1148)</f>
        <v>3</v>
      </c>
      <c r="CF1148" s="48" t="str">
        <f aca="false">IF(OR(CE1148=1,CE1148=2,CE1148=3),IF(Parameter!$E$27="Ja","LIFT",IF(CE1148=1,"L1","L23")),IF(CE1148="Aussen","Aussen","-"))</f>
        <v>LIFT</v>
      </c>
      <c r="CG1148" s="59" t="n">
        <f aca="false">IF(N(AB1148)&gt;0,AB1148,0)</f>
        <v>0</v>
      </c>
      <c r="CH1148" s="53" t="n">
        <f aca="false">IF(ISNUMBER(AE1148),1,0)</f>
        <v>0</v>
      </c>
      <c r="CI1148" s="50" t="n">
        <f aca="false">N(AE1148)</f>
        <v>0</v>
      </c>
      <c r="CJ1148" s="50" t="n">
        <f aca="false">N(M1148)+N(N1148)</f>
        <v>1</v>
      </c>
      <c r="CK1148" s="50" t="n">
        <f aca="false">N(M1148)</f>
        <v>0</v>
      </c>
      <c r="CL1148" s="50" t="n">
        <f aca="false">N(N1148)</f>
        <v>1</v>
      </c>
      <c r="CM1148" s="50" t="n">
        <f aca="false">ROUNDUP(H1148/BY1148,0)</f>
        <v>0</v>
      </c>
      <c r="CN1148" s="50" t="n">
        <f aca="false">ROUNDUP(CI1148/BY1148,0)</f>
        <v>0</v>
      </c>
      <c r="CO1148" s="53" t="n">
        <f aca="false">IF(BZ1148=1,0,IFERROR(VLOOKUP(BX1148,'Gebinde-Kategorie'!$A$5:$N$45,5,0)+0,0))</f>
        <v>11</v>
      </c>
      <c r="CP1148" s="53" t="n">
        <f aca="false">IFERROR(IF(OR(CE1148=1,CE1148=2,CE1148=3),N(INDEX(Parameter!$I$5:$I$7,CE1148)),0),0)</f>
        <v>0</v>
      </c>
      <c r="CQ1148" s="52" t="n">
        <f aca="false">IF(AND(Parameter!$B$21="Ja",ISNUMBER(W1148),N(X1148)&gt;0),IFERROR(N(INDEX(Parameter!$L$5:$L$7,W1148))*INDEX(Parameter!$E$5:$E$7,W1148)*X1148/SUMIFS($X$7:$X$1843,$W$7:$W$1843,W1148),0),0)</f>
        <v>0</v>
      </c>
    </row>
    <row r="1149" customFormat="false" ht="15" hidden="false" customHeight="false" outlineLevel="0" collapsed="false">
      <c r="A1149" s="48" t="s">
        <v>2084</v>
      </c>
      <c r="B1149" s="48" t="s">
        <v>2085</v>
      </c>
      <c r="C1149" s="48" t="s">
        <v>173</v>
      </c>
      <c r="D1149" s="48" t="s">
        <v>193</v>
      </c>
      <c r="E1149" s="48"/>
      <c r="F1149" s="48" t="s">
        <v>227</v>
      </c>
      <c r="G1149" s="49" t="n">
        <v>151.82</v>
      </c>
      <c r="H1149" s="50" t="n">
        <f aca="false">MAX(0,IF(AND(Parameter!$B$21="Ja",ISNUMBER(Y1149)),Y1149,IF(Parameter!$B$20="Jahresanfang 2025 + Export",BR1149+BQ1149,BQ1149)))</f>
        <v>2</v>
      </c>
      <c r="I1149" s="50" t="n">
        <f aca="false">H1149*G1149</f>
        <v>303.64</v>
      </c>
      <c r="J1149" s="50" t="n">
        <f aca="false">BT1149*Parameter!$B$18</f>
        <v>2</v>
      </c>
      <c r="K1149" s="51" t="n">
        <v>3</v>
      </c>
      <c r="L1149" s="52" t="n">
        <v>0.666666666666667</v>
      </c>
      <c r="M1149" s="50" t="n">
        <v>0</v>
      </c>
      <c r="N1149" s="50" t="n">
        <v>1</v>
      </c>
      <c r="O1149" s="53" t="n">
        <v>35</v>
      </c>
      <c r="P1149" s="48" t="s">
        <v>177</v>
      </c>
      <c r="Q1149" s="50"/>
      <c r="R1149" s="53" t="n">
        <f aca="false">IF(BZ1149=1,0,IFERROR(VLOOKUP(BX1149,'Gebinde-Kategorie'!$A$5:$N$45,13,0)+0,0))</f>
        <v>26</v>
      </c>
      <c r="S1149" s="54"/>
      <c r="T1149" s="55" t="s">
        <v>284</v>
      </c>
      <c r="U1149" s="55"/>
      <c r="V1149" s="55"/>
      <c r="W1149" s="48"/>
      <c r="X1149" s="50"/>
      <c r="Y1149" s="50"/>
      <c r="Z1149" s="48" t="n">
        <f aca="false">IF(A1149="","",IF(AND(Parameter!$B$21="Ja",ISNUMBER(W1149)),W1149,IF(CC1149="2+3",IF(ISNUMBER(SEARCH("grosser Artikel",BU1149)),2,IFERROR(VLOOKUP(BX1149,Parameter!$F$35:$G$64,2,0),2)),IF(OR(CC1149="Nein",CC1149=""),"-",CC1149))))</f>
        <v>3</v>
      </c>
      <c r="AA1149" s="55"/>
      <c r="AB1149" s="56"/>
      <c r="AC1149" s="50" t="n">
        <f aca="false">AV1149</f>
        <v>2</v>
      </c>
      <c r="AD1149" s="50" t="n">
        <f aca="false">MAX(AV1149,H1149)</f>
        <v>2</v>
      </c>
      <c r="AE1149" s="57"/>
      <c r="AF1149" s="50" t="n">
        <f aca="false">IF(LEFT(Cockpit!$C$5,1)="A",H1149,IF(Parameter!$E$30="MAX-Bestand",IF(CH1149=1,CI1149,IF(LEFT(Cockpit!$C$5,1)="B",AL1149,MAX(AL1149,H1149))),ROUNDUP(AJ1149,0)))</f>
        <v>2</v>
      </c>
      <c r="AG1149" s="50" t="n">
        <f aca="false">IF(BZ1149=1,0,ROUNDUP(AF1149/BY1149,0))</f>
        <v>1</v>
      </c>
      <c r="AH1149" s="52" t="n">
        <f aca="false">IF(CQ1149&gt;0,CQ1149*MAX(1,AF1149/X1149),IF(BZ1149=1,IF(AF1149&lt;=0,0,CD1149*MAX(1,IF(H1149&gt;0,AF1149/H1149,1))),IF(R1149&gt;0,AG1149/R1149,0))/MAX(0.1,N(Parameter!$M$21)))</f>
        <v>0.0384615384615385</v>
      </c>
      <c r="AI1149" s="50" t="n">
        <f aca="false">AH1149*CB1149</f>
        <v>5.96153846153846</v>
      </c>
      <c r="AJ1149" s="51" t="n">
        <f aca="false">IF(LEFT(Cockpit!$C$5,1)="A",H1149,IF(CH1149=1,(CK1149+CI1149)/2,IF(LEFT(Cockpit!$C$5,1)="B",(CK1149+AL1149)/2,MAX((CK1149+AL1149)/2,H1149))))</f>
        <v>2</v>
      </c>
      <c r="AK1149" s="50" t="n">
        <f aca="false">AJ1149*G1149</f>
        <v>303.64</v>
      </c>
      <c r="AL1149" s="50" t="n">
        <f aca="false">ROUNDUP(CK1149+MAX(CL1149,2*(J1149/IF(CG1149&gt;0,CG1149,MAX(0.1,N(Cockpit!$C$6)))-CK1149)),0)</f>
        <v>2</v>
      </c>
      <c r="AM1149" s="51" t="n">
        <f aca="false">IF(AI1149&gt;0,J1149/AI1149,-1)</f>
        <v>0.335483870967742</v>
      </c>
      <c r="AN1149" s="51" t="n">
        <f aca="false">IF(AND(OR(CF1149="L1",CF1149="L23",CF1149="LIFT"),AI1149&gt;0),SUMIFS($AI$7:$AI$1843,$CF$7:$CF$1843,CF1149,$AM$7:$AM$1843,"&gt;"&amp;AM1149)+SUMIFS($AI$7:$AI$1843,$CF$7:$CF$1843,CF1149,$AM$7:$AM$1843,AM1149,$BW$7:$BW$1843,"&lt;="&amp;BW1149),"")</f>
        <v>11236.6924241013</v>
      </c>
      <c r="AO1149" s="58" t="n">
        <f aca="false">IF(AN1149="",0,MAX(0,MIN(1,(IF(CF1149="L1",Parameter!$H$5,IF(CF1149="L23",Parameter!$H$6+Parameter!$H$7,Parameter!$H$5+Parameter!$H$6+Parameter!$H$7))-(AN1149-AI1149))/AI1149)))</f>
        <v>1</v>
      </c>
      <c r="AP1149" s="50" t="n">
        <f aca="false">IF(LEFT(Cockpit!$I$5,1)="A",H1149,IF(Parameter!$E$30="MAX-Bestand",IF(CH1149=1,CI1149,IF(LEFT(Cockpit!$I$5,1)="B",AV1149,MAX(AV1149,H1149))),ROUNDUP(AT1149,0)))</f>
        <v>2</v>
      </c>
      <c r="AQ1149" s="50" t="n">
        <f aca="false">IF(BZ1149=1,0,ROUNDUP(AP1149/BY1149,0))</f>
        <v>1</v>
      </c>
      <c r="AR1149" s="52" t="n">
        <f aca="false">IF(CQ1149&gt;0,CQ1149*MAX(1,AP1149/X1149),IF(BZ1149=1,IF(AP1149&lt;=0,0,CD1149*MAX(1,IF(H1149&gt;0,AP1149/H1149,1))),IF(R1149&gt;0,AQ1149/R1149,0))/MAX(0.1,N(Parameter!$M$21)))</f>
        <v>0.0384615384615385</v>
      </c>
      <c r="AS1149" s="50" t="n">
        <f aca="false">AR1149*CB1149</f>
        <v>5.96153846153846</v>
      </c>
      <c r="AT1149" s="51" t="n">
        <f aca="false">IF(LEFT(Cockpit!$I$5,1)="A",H1149,IF(CH1149=1,(CK1149+CI1149)/2,IF(LEFT(Cockpit!$I$5,1)="B",(CK1149+AV1149)/2,MAX((CK1149+AV1149)/2,H1149))))</f>
        <v>2</v>
      </c>
      <c r="AU1149" s="50" t="n">
        <f aca="false">AT1149*G1149</f>
        <v>303.64</v>
      </c>
      <c r="AV1149" s="50" t="n">
        <f aca="false">ROUNDUP(CK1149+MAX(CL1149,2*(J1149/IF(CG1149&gt;0,CG1149,MAX(0.1,N(Cockpit!$I$6)))-CK1149)),0)</f>
        <v>2</v>
      </c>
      <c r="AW1149" s="51" t="n">
        <f aca="false">IF(AS1149&gt;0,J1149/AS1149,-1)</f>
        <v>0.335483870967742</v>
      </c>
      <c r="AX1149" s="51" t="n">
        <f aca="false">IF(AND(OR(CF1149="L1",CF1149="L23",CF1149="LIFT"),AS1149&gt;0),SUMIFS($AS$7:$AS$1843,$CF$7:$CF$1843,CF1149,$AW$7:$AW$1843,"&gt;"&amp;AW1149)+SUMIFS($AS$7:$AS$1843,$CF$7:$CF$1843,CF1149,$AW$7:$AW$1843,AW1149,$BW$7:$BW$1843,"&lt;="&amp;BW1149),"")</f>
        <v>13770.8301282051</v>
      </c>
      <c r="AY1149" s="58" t="n">
        <f aca="false">IF(AX1149="",0,MAX(0,MIN(1,(IF(CF1149="L1",Parameter!$H$5,IF(CF1149="L23",Parameter!$H$6+Parameter!$H$7,Parameter!$H$5+Parameter!$H$6+Parameter!$H$7))-(AX1149-AS1149))/AS1149)))</f>
        <v>1</v>
      </c>
      <c r="AZ1149" s="50" t="n">
        <f aca="false">IF(LEFT(Cockpit!$O$5,1)="A",H1149,IF(Parameter!$E$30="MAX-Bestand",IF(CH1149=1,CI1149,IF(LEFT(Cockpit!$O$5,1)="B",BF1149,MAX(BF1149,H1149))),ROUNDUP(BD1149,0)))</f>
        <v>1</v>
      </c>
      <c r="BA1149" s="50" t="n">
        <f aca="false">IF(BZ1149=1,0,ROUNDUP(AZ1149/BY1149,0))</f>
        <v>1</v>
      </c>
      <c r="BB1149" s="52" t="n">
        <f aca="false">IF(CQ1149&gt;0,CQ1149*MAX(1,AZ1149/X1149),IF(BZ1149=1,IF(AZ1149&lt;=0,0,CD1149*MAX(1,IF(H1149&gt;0,AZ1149/H1149,1))),IF(R1149&gt;0,BA1149/R1149,0))/MAX(0.1,N(Parameter!$M$21)))</f>
        <v>0.0384615384615385</v>
      </c>
      <c r="BC1149" s="50" t="n">
        <f aca="false">BB1149*CB1149</f>
        <v>5.96153846153846</v>
      </c>
      <c r="BD1149" s="51" t="n">
        <f aca="false">IF(LEFT(Cockpit!$O$5,1)="A",H1149,IF(CH1149=1,(CK1149+CI1149)/2,IF(LEFT(Cockpit!$O$5,1)="B",(CK1149+BF1149)/2,MAX((CK1149+BF1149)/2,H1149))))</f>
        <v>0.5</v>
      </c>
      <c r="BE1149" s="50" t="n">
        <f aca="false">BD1149*G1149</f>
        <v>75.91</v>
      </c>
      <c r="BF1149" s="50" t="n">
        <f aca="false">ROUNDUP(CK1149+MAX(CL1149,2*(J1149/IF(CG1149&gt;0,CG1149,MAX(0.1,N(Cockpit!$O$6)))-CK1149)),0)</f>
        <v>1</v>
      </c>
      <c r="BG1149" s="51" t="n">
        <f aca="false">IF(BC1149&gt;0,J1149/BC1149,-1)</f>
        <v>0.335483870967742</v>
      </c>
      <c r="BH1149" s="51" t="n">
        <f aca="false">IF(AND(OR(CF1149="L1",CF1149="L23",CF1149="LIFT"),BC1149&gt;0),SUMIFS($BC$7:$BC$1843,$CF$7:$CF$1843,CF1149,$BG$7:$BG$1843,"&gt;"&amp;BG1149)+SUMIFS($BC$7:$BC$1843,$CF$7:$CF$1843,CF1149,$BG$7:$BG$1843,BG1149,$BW$7:$BW$1843,"&lt;="&amp;BW1149),"")</f>
        <v>11621.7889194139</v>
      </c>
      <c r="BI1149" s="58" t="n">
        <f aca="false">IF(BH1149="",0,MAX(0,MIN(1,(IF(CF1149="L1",Parameter!$H$5,IF(CF1149="L23",Parameter!$H$6+Parameter!$H$7,Parameter!$H$5+Parameter!$H$6+Parameter!$H$7))-(BH1149-BC1149))/BC1149)))</f>
        <v>1</v>
      </c>
      <c r="BJ1149" s="48" t="str">
        <f aca="false">IF(AI1149&lt;=0,"",IF(CF1149="Aussen","Aussenlager",IF(CF1149="-","Nicht im Lift",IF(AO1149&gt;=1,"Lift",IF(AO1149&lt;=0,"Aussenlager","teilweise")))))</f>
        <v>Lift</v>
      </c>
      <c r="BK1149" s="48" t="str">
        <f aca="false">IF(AS1149&lt;=0,"",IF(CF1149="Aussen","Aussenlager",IF(CF1149="-","Nicht im Lift",IF(AY1149&gt;=1,"Lift",IF(AY1149&lt;=0,"Aussenlager","teilweise")))))</f>
        <v>Lift</v>
      </c>
      <c r="BL1149" s="48" t="str">
        <f aca="false">IF(BC1149&lt;=0,"",IF(CF1149="Aussen","Aussenlager",IF(CF1149="-","Nicht im Lift",IF(BI1149&gt;=1,"Lift",IF(BI1149&lt;=0,"Aussenlager","teilweise")))))</f>
        <v>Lift</v>
      </c>
      <c r="BM1149" s="48" t="str">
        <f aca="false">IF(A1149="","",IF(BV1149=1,"Neu; ","")&amp;IF(AND(BV1149=0,BQ1149&lt;0),"negativer Bestand (Export "&amp;BQ1149&amp;"); ","")&amp;IF(J1149&lt;=0,"Kein Verbrauch; ","")&amp;IF(CQ1149&gt;0,"Lift "&amp;W1149&amp;" lt. Liftbericht (Fach "&amp;X1149&amp;" Stk); ",IF(CA1149=1,"Gebinde geschätzt ("&amp;T1149&amp;"); ",IF(BZ1149=1,"Lose – Tablare geschätzt; ","")))&amp;IF(H1149&gt;AV1149,"Überbestand "&amp;ROUND(H1149-AV1149,0)&amp;" Stk / CHF "&amp;ROUND((H1149-AV1149)*G1149,0)&amp;"; ","")&amp;IF(AND(CH1149=1,CI1149&lt;CJ1149),"MAX &lt; MB+LG; ","")&amp;IF(AND(CP1149&gt;0,CO1149*10&gt;CP1149),"zu hoch für Tablar; ","")&amp;IF(AND(BV1149=0,OR(CH1149=1,AA1149&lt;&gt;"",U1149&lt;&gt;"",V1149&lt;&gt;"",AB1149&lt;&gt;"")),"manuell übersteuert; ","")&amp;IF(AND(BZ1149=0,R1149=0),"Gebinde unbekannt / Stellmass fehlt; ","")&amp;IF(AND(BZ1149=0,N(V1149)&lt;=0,N(Q1149)&lt;=0),"Menge pro Gebinde fehlt (Ist = 1 Gebinde); ","")&amp;BU1149)</f>
        <v>negativer Bestand (Export -2); Gebinde geschätzt (Klein); Menge pro Gebinde fehlt (Ist = 1 Gebinde); </v>
      </c>
      <c r="BN1149" s="48"/>
      <c r="BO1149" s="48"/>
      <c r="BP1149" s="55"/>
      <c r="BQ1149" s="50" t="n">
        <v>-2</v>
      </c>
      <c r="BR1149" s="50" t="n">
        <v>4</v>
      </c>
      <c r="BS1149" s="49" t="n">
        <v>-303.64</v>
      </c>
      <c r="BT1149" s="50" t="n">
        <v>2</v>
      </c>
      <c r="BU1149" s="48"/>
      <c r="BV1149" s="53" t="n">
        <v>0</v>
      </c>
      <c r="BW1149" s="53" t="n">
        <v>1149</v>
      </c>
      <c r="BX1149" s="48" t="str">
        <f aca="false">IF(U1149&lt;&gt;"",UPPER(TRIM(U1149)),IF(CA1149=1,UPPER(VLOOKUP(T1149,Parameter!$I$27:$K$29,2,0)),IF(P1149="","LOSE",P1149)))</f>
        <v>S51</v>
      </c>
      <c r="BY1149" s="50" t="n">
        <f aca="false">IF(BX1149="LOSE",1,IF(N(V1149)&gt;0,V1149,IF(CA1149=1,MAX(1,N(VLOOKUP(T1149,Parameter!$I$27:$K$29,3,0)),H1149,N(N1149)),IF(N(Q1149)&gt;0,Q1149,MAX(1,H1149)))))</f>
        <v>20</v>
      </c>
      <c r="BZ1149" s="53" t="n">
        <f aca="false">IF(BX1149="LOSE",1,0)</f>
        <v>0</v>
      </c>
      <c r="CA1149" s="53" t="n">
        <f aca="false">IF(AND(U1149="",OR(P1149="",P1149="LOSE"),T1149&lt;&gt;"",N(S1149)&lt;=0,ISNUMBER(MATCH(T1149,Parameter!$I$27:$I$29,0))),1,0)</f>
        <v>1</v>
      </c>
      <c r="CB1149" s="53" t="n">
        <f aca="false">IF(CQ1149&gt;0,INDEX(Parameter!$H$5:$H$7,W1149)/INDEX(Parameter!$E$5:$E$7,W1149),IF(AND(BZ1149=0,N(IFERROR(VLOOKUP(BX1149,'Gebinde-Kategorie'!$A$5:$N$45,14,0),0))&gt;0),VLOOKUP(BX1149,'Gebinde-Kategorie'!$A$5:$N$45,14,0)*10+Parameter!$M$23,Parameter!$M$24))</f>
        <v>155</v>
      </c>
      <c r="CC1149" s="48" t="str">
        <f aca="false">IF(AND(Parameter!$B$19="Ja",E1149&lt;&gt;"",ISNUMBER(MATCH(E1149,Parameter!$I$35:$I$52,0))),VLOOKUP(E1149,Parameter!$I$35:$J$52,2,0),IFERROR(VLOOKUP(D1149,Parameter!$A$35:$C$64,2,0),"Nein"))</f>
        <v>2+3</v>
      </c>
      <c r="CD1149" s="52" t="n">
        <f aca="false">IF(BZ1149=0,0,IF(N(S1149)&gt;0,S1149,IFERROR(VLOOKUP(D1149,Parameter!$A$35:$C$64,3,0)+0,0)))</f>
        <v>0</v>
      </c>
      <c r="CE1149" s="48" t="n">
        <f aca="false">IF(AA1149&lt;&gt;"",AA1149,Z1149)</f>
        <v>3</v>
      </c>
      <c r="CF1149" s="48" t="str">
        <f aca="false">IF(OR(CE1149=1,CE1149=2,CE1149=3),IF(Parameter!$E$27="Ja","LIFT",IF(CE1149=1,"L1","L23")),IF(CE1149="Aussen","Aussen","-"))</f>
        <v>LIFT</v>
      </c>
      <c r="CG1149" s="59" t="n">
        <f aca="false">IF(N(AB1149)&gt;0,AB1149,0)</f>
        <v>0</v>
      </c>
      <c r="CH1149" s="53" t="n">
        <f aca="false">IF(ISNUMBER(AE1149),1,0)</f>
        <v>0</v>
      </c>
      <c r="CI1149" s="50" t="n">
        <f aca="false">N(AE1149)</f>
        <v>0</v>
      </c>
      <c r="CJ1149" s="50" t="n">
        <f aca="false">N(M1149)+N(N1149)</f>
        <v>1</v>
      </c>
      <c r="CK1149" s="50" t="n">
        <f aca="false">N(M1149)</f>
        <v>0</v>
      </c>
      <c r="CL1149" s="50" t="n">
        <f aca="false">N(N1149)</f>
        <v>1</v>
      </c>
      <c r="CM1149" s="50" t="n">
        <f aca="false">ROUNDUP(H1149/BY1149,0)</f>
        <v>1</v>
      </c>
      <c r="CN1149" s="50" t="n">
        <f aca="false">ROUNDUP(CI1149/BY1149,0)</f>
        <v>0</v>
      </c>
      <c r="CO1149" s="53" t="n">
        <f aca="false">IF(BZ1149=1,0,IFERROR(VLOOKUP(BX1149,'Gebinde-Kategorie'!$A$5:$N$45,5,0)+0,0))</f>
        <v>11</v>
      </c>
      <c r="CP1149" s="53" t="n">
        <f aca="false">IFERROR(IF(OR(CE1149=1,CE1149=2,CE1149=3),N(INDEX(Parameter!$I$5:$I$7,CE1149)),0),0)</f>
        <v>0</v>
      </c>
      <c r="CQ1149" s="52" t="n">
        <f aca="false">IF(AND(Parameter!$B$21="Ja",ISNUMBER(W1149),N(X1149)&gt;0),IFERROR(N(INDEX(Parameter!$L$5:$L$7,W1149))*INDEX(Parameter!$E$5:$E$7,W1149)*X1149/SUMIFS($X$7:$X$1843,$W$7:$W$1843,W1149),0),0)</f>
        <v>0</v>
      </c>
    </row>
    <row r="1150" customFormat="false" ht="15" hidden="false" customHeight="false" outlineLevel="0" collapsed="false">
      <c r="A1150" s="48" t="s">
        <v>2086</v>
      </c>
      <c r="B1150" s="48" t="s">
        <v>2043</v>
      </c>
      <c r="C1150" s="48" t="s">
        <v>173</v>
      </c>
      <c r="D1150" s="48" t="s">
        <v>193</v>
      </c>
      <c r="E1150" s="48" t="s">
        <v>194</v>
      </c>
      <c r="F1150" s="48" t="s">
        <v>227</v>
      </c>
      <c r="G1150" s="49" t="n">
        <v>29.34</v>
      </c>
      <c r="H1150" s="50" t="n">
        <f aca="false">MAX(0,IF(AND(Parameter!$B$21="Ja",ISNUMBER(Y1150)),Y1150,IF(Parameter!$B$20="Jahresanfang 2025 + Export",BR1150+BQ1150,BQ1150)))</f>
        <v>9</v>
      </c>
      <c r="I1150" s="50" t="n">
        <f aca="false">H1150*G1150</f>
        <v>264.06</v>
      </c>
      <c r="J1150" s="50" t="n">
        <f aca="false">BT1150*Parameter!$B$18</f>
        <v>20</v>
      </c>
      <c r="K1150" s="51" t="n">
        <v>15</v>
      </c>
      <c r="L1150" s="52" t="n">
        <v>1.33333333333333</v>
      </c>
      <c r="M1150" s="50" t="n">
        <v>2</v>
      </c>
      <c r="N1150" s="50" t="n">
        <v>20</v>
      </c>
      <c r="O1150" s="53" t="n">
        <v>42</v>
      </c>
      <c r="P1150" s="48" t="s">
        <v>485</v>
      </c>
      <c r="Q1150" s="50" t="n">
        <v>26</v>
      </c>
      <c r="R1150" s="53" t="n">
        <f aca="false">IF(BZ1150=1,0,IFERROR(VLOOKUP(BX1150,'Gebinde-Kategorie'!$A$5:$N$45,13,0)+0,0))</f>
        <v>52</v>
      </c>
      <c r="S1150" s="54"/>
      <c r="T1150" s="55"/>
      <c r="U1150" s="55"/>
      <c r="V1150" s="55"/>
      <c r="W1150" s="48"/>
      <c r="X1150" s="50"/>
      <c r="Y1150" s="50"/>
      <c r="Z1150" s="48" t="n">
        <f aca="false">IF(A1150="","",IF(AND(Parameter!$B$21="Ja",ISNUMBER(W1150)),W1150,IF(CC1150="2+3",IF(ISNUMBER(SEARCH("grosser Artikel",BU1150)),2,IFERROR(VLOOKUP(BX1150,Parameter!$F$35:$G$64,2,0),2)),IF(OR(CC1150="Nein",CC1150=""),"-",CC1150))))</f>
        <v>3</v>
      </c>
      <c r="AA1150" s="55"/>
      <c r="AB1150" s="56"/>
      <c r="AC1150" s="50" t="n">
        <f aca="false">AV1150</f>
        <v>22</v>
      </c>
      <c r="AD1150" s="50" t="n">
        <f aca="false">MAX(AV1150,H1150)</f>
        <v>22</v>
      </c>
      <c r="AE1150" s="57"/>
      <c r="AF1150" s="50" t="n">
        <f aca="false">IF(LEFT(Cockpit!$C$5,1)="A",H1150,IF(Parameter!$E$30="MAX-Bestand",IF(CH1150=1,CI1150,IF(LEFT(Cockpit!$C$5,1)="B",AL1150,MAX(AL1150,H1150))),ROUNDUP(AJ1150,0)))</f>
        <v>9</v>
      </c>
      <c r="AG1150" s="50" t="n">
        <f aca="false">IF(BZ1150=1,0,ROUNDUP(AF1150/BY1150,0))</f>
        <v>1</v>
      </c>
      <c r="AH1150" s="52" t="n">
        <f aca="false">IF(CQ1150&gt;0,CQ1150*MAX(1,AF1150/X1150),IF(BZ1150=1,IF(AF1150&lt;=0,0,CD1150*MAX(1,IF(H1150&gt;0,AF1150/H1150,1))),IF(R1150&gt;0,AG1150/R1150,0))/MAX(0.1,N(Parameter!$M$21)))</f>
        <v>0.0192307692307692</v>
      </c>
      <c r="AI1150" s="50" t="n">
        <f aca="false">AH1150*CB1150</f>
        <v>2.98076923076923</v>
      </c>
      <c r="AJ1150" s="51" t="n">
        <f aca="false">IF(LEFT(Cockpit!$C$5,1)="A",H1150,IF(CH1150=1,(CK1150+CI1150)/2,IF(LEFT(Cockpit!$C$5,1)="B",(CK1150+AL1150)/2,MAX((CK1150+AL1150)/2,H1150))))</f>
        <v>9</v>
      </c>
      <c r="AK1150" s="50" t="n">
        <f aca="false">AJ1150*G1150</f>
        <v>264.06</v>
      </c>
      <c r="AL1150" s="50" t="n">
        <f aca="false">ROUNDUP(CK1150+MAX(CL1150,2*(J1150/IF(CG1150&gt;0,CG1150,MAX(0.1,N(Cockpit!$C$6)))-CK1150)),0)</f>
        <v>22</v>
      </c>
      <c r="AM1150" s="51" t="n">
        <f aca="false">IF(AI1150&gt;0,J1150/AI1150,-1)</f>
        <v>6.70967741935484</v>
      </c>
      <c r="AN1150" s="51" t="n">
        <f aca="false">IF(AND(OR(CF1150="L1",CF1150="L23",CF1150="LIFT"),AI1150&gt;0),SUMIFS($AI$7:$AI$1843,$CF$7:$CF$1843,CF1150,$AM$7:$AM$1843,"&gt;"&amp;AM1150)+SUMIFS($AI$7:$AI$1843,$CF$7:$CF$1843,CF1150,$AM$7:$AM$1843,AM1150,$BW$7:$BW$1843,"&lt;="&amp;BW1150),"")</f>
        <v>3397.12408424908</v>
      </c>
      <c r="AO1150" s="58" t="n">
        <f aca="false">IF(AN1150="",0,MAX(0,MIN(1,(IF(CF1150="L1",Parameter!$H$5,IF(CF1150="L23",Parameter!$H$6+Parameter!$H$7,Parameter!$H$5+Parameter!$H$6+Parameter!$H$7))-(AN1150-AI1150))/AI1150)))</f>
        <v>1</v>
      </c>
      <c r="AP1150" s="50" t="n">
        <f aca="false">IF(LEFT(Cockpit!$I$5,1)="A",H1150,IF(Parameter!$E$30="MAX-Bestand",IF(CH1150=1,CI1150,IF(LEFT(Cockpit!$I$5,1)="B",AV1150,MAX(AV1150,H1150))),ROUNDUP(AT1150,0)))</f>
        <v>12</v>
      </c>
      <c r="AQ1150" s="50" t="n">
        <f aca="false">IF(BZ1150=1,0,ROUNDUP(AP1150/BY1150,0))</f>
        <v>1</v>
      </c>
      <c r="AR1150" s="52" t="n">
        <f aca="false">IF(CQ1150&gt;0,CQ1150*MAX(1,AP1150/X1150),IF(BZ1150=1,IF(AP1150&lt;=0,0,CD1150*MAX(1,IF(H1150&gt;0,AP1150/H1150,1))),IF(R1150&gt;0,AQ1150/R1150,0))/MAX(0.1,N(Parameter!$M$21)))</f>
        <v>0.0192307692307692</v>
      </c>
      <c r="AS1150" s="50" t="n">
        <f aca="false">AR1150*CB1150</f>
        <v>2.98076923076923</v>
      </c>
      <c r="AT1150" s="51" t="n">
        <f aca="false">IF(LEFT(Cockpit!$I$5,1)="A",H1150,IF(CH1150=1,(CK1150+CI1150)/2,IF(LEFT(Cockpit!$I$5,1)="B",(CK1150+AV1150)/2,MAX((CK1150+AV1150)/2,H1150))))</f>
        <v>12</v>
      </c>
      <c r="AU1150" s="50" t="n">
        <f aca="false">AT1150*G1150</f>
        <v>352.08</v>
      </c>
      <c r="AV1150" s="50" t="n">
        <f aca="false">ROUNDUP(CK1150+MAX(CL1150,2*(J1150/IF(CG1150&gt;0,CG1150,MAX(0.1,N(Cockpit!$I$6)))-CK1150)),0)</f>
        <v>22</v>
      </c>
      <c r="AW1150" s="51" t="n">
        <f aca="false">IF(AS1150&gt;0,J1150/AS1150,-1)</f>
        <v>6.70967741935484</v>
      </c>
      <c r="AX1150" s="51" t="n">
        <f aca="false">IF(AND(OR(CF1150="L1",CF1150="L23",CF1150="LIFT"),AS1150&gt;0),SUMIFS($AS$7:$AS$1843,$CF$7:$CF$1843,CF1150,$AW$7:$AW$1843,"&gt;"&amp;AW1150)+SUMIFS($AS$7:$AS$1843,$CF$7:$CF$1843,CF1150,$AW$7:$AW$1843,AW1150,$BW$7:$BW$1843,"&lt;="&amp;BW1150),"")</f>
        <v>4114.93543956044</v>
      </c>
      <c r="AY1150" s="58" t="n">
        <f aca="false">IF(AX1150="",0,MAX(0,MIN(1,(IF(CF1150="L1",Parameter!$H$5,IF(CF1150="L23",Parameter!$H$6+Parameter!$H$7,Parameter!$H$5+Parameter!$H$6+Parameter!$H$7))-(AX1150-AS1150))/AS1150)))</f>
        <v>1</v>
      </c>
      <c r="AZ1150" s="50" t="n">
        <f aca="false">IF(LEFT(Cockpit!$O$5,1)="A",H1150,IF(Parameter!$E$30="MAX-Bestand",IF(CH1150=1,CI1150,IF(LEFT(Cockpit!$O$5,1)="B",BF1150,MAX(BF1150,H1150))),ROUNDUP(BD1150,0)))</f>
        <v>12</v>
      </c>
      <c r="BA1150" s="50" t="n">
        <f aca="false">IF(BZ1150=1,0,ROUNDUP(AZ1150/BY1150,0))</f>
        <v>1</v>
      </c>
      <c r="BB1150" s="52" t="n">
        <f aca="false">IF(CQ1150&gt;0,CQ1150*MAX(1,AZ1150/X1150),IF(BZ1150=1,IF(AZ1150&lt;=0,0,CD1150*MAX(1,IF(H1150&gt;0,AZ1150/H1150,1))),IF(R1150&gt;0,BA1150/R1150,0))/MAX(0.1,N(Parameter!$M$21)))</f>
        <v>0.0192307692307692</v>
      </c>
      <c r="BC1150" s="50" t="n">
        <f aca="false">BB1150*CB1150</f>
        <v>2.98076923076923</v>
      </c>
      <c r="BD1150" s="51" t="n">
        <f aca="false">IF(LEFT(Cockpit!$O$5,1)="A",H1150,IF(CH1150=1,(CK1150+CI1150)/2,IF(LEFT(Cockpit!$O$5,1)="B",(CK1150+BF1150)/2,MAX((CK1150+BF1150)/2,H1150))))</f>
        <v>12</v>
      </c>
      <c r="BE1150" s="50" t="n">
        <f aca="false">BD1150*G1150</f>
        <v>352.08</v>
      </c>
      <c r="BF1150" s="50" t="n">
        <f aca="false">ROUNDUP(CK1150+MAX(CL1150,2*(J1150/IF(CG1150&gt;0,CG1150,MAX(0.1,N(Cockpit!$O$6)))-CK1150)),0)</f>
        <v>22</v>
      </c>
      <c r="BG1150" s="51" t="n">
        <f aca="false">IF(BC1150&gt;0,J1150/BC1150,-1)</f>
        <v>6.70967741935484</v>
      </c>
      <c r="BH1150" s="51" t="n">
        <f aca="false">IF(AND(OR(CF1150="L1",CF1150="L23",CF1150="LIFT"),BC1150&gt;0),SUMIFS($BC$7:$BC$1843,$CF$7:$CF$1843,CF1150,$BG$7:$BG$1843,"&gt;"&amp;BG1150)+SUMIFS($BC$7:$BC$1843,$CF$7:$CF$1843,CF1150,$BG$7:$BG$1843,BG1150,$BW$7:$BW$1843,"&lt;="&amp;BW1150),"")</f>
        <v>3385.00228937729</v>
      </c>
      <c r="BI1150" s="58" t="n">
        <f aca="false">IF(BH1150="",0,MAX(0,MIN(1,(IF(CF1150="L1",Parameter!$H$5,IF(CF1150="L23",Parameter!$H$6+Parameter!$H$7,Parameter!$H$5+Parameter!$H$6+Parameter!$H$7))-(BH1150-BC1150))/BC1150)))</f>
        <v>1</v>
      </c>
      <c r="BJ1150" s="48" t="str">
        <f aca="false">IF(AI1150&lt;=0,"",IF(CF1150="Aussen","Aussenlager",IF(CF1150="-","Nicht im Lift",IF(AO1150&gt;=1,"Lift",IF(AO1150&lt;=0,"Aussenlager","teilweise")))))</f>
        <v>Lift</v>
      </c>
      <c r="BK1150" s="48" t="str">
        <f aca="false">IF(AS1150&lt;=0,"",IF(CF1150="Aussen","Aussenlager",IF(CF1150="-","Nicht im Lift",IF(AY1150&gt;=1,"Lift",IF(AY1150&lt;=0,"Aussenlager","teilweise")))))</f>
        <v>Lift</v>
      </c>
      <c r="BL1150" s="48" t="str">
        <f aca="false">IF(BC1150&lt;=0,"",IF(CF1150="Aussen","Aussenlager",IF(CF1150="-","Nicht im Lift",IF(BI1150&gt;=1,"Lift",IF(BI1150&lt;=0,"Aussenlager","teilweise")))))</f>
        <v>Lift</v>
      </c>
      <c r="BM1150" s="48" t="str">
        <f aca="false">IF(A1150="","",IF(BV1150=1,"Neu; ","")&amp;IF(AND(BV1150=0,BQ1150&lt;0),"negativer Bestand (Export "&amp;BQ1150&amp;"); ","")&amp;IF(J1150&lt;=0,"Kein Verbrauch; ","")&amp;IF(CQ1150&gt;0,"Lift "&amp;W1150&amp;" lt. Liftbericht (Fach "&amp;X1150&amp;" Stk); ",IF(CA1150=1,"Gebinde geschätzt ("&amp;T1150&amp;"); ",IF(BZ1150=1,"Lose – Tablare geschätzt; ","")))&amp;IF(H1150&gt;AV1150,"Überbestand "&amp;ROUND(H1150-AV1150,0)&amp;" Stk / CHF "&amp;ROUND((H1150-AV1150)*G1150,0)&amp;"; ","")&amp;IF(AND(CH1150=1,CI1150&lt;CJ1150),"MAX &lt; MB+LG; ","")&amp;IF(AND(CP1150&gt;0,CO1150*10&gt;CP1150),"zu hoch für Tablar; ","")&amp;IF(AND(BV1150=0,OR(CH1150=1,AA1150&lt;&gt;"",U1150&lt;&gt;"",V1150&lt;&gt;"",AB1150&lt;&gt;"")),"manuell übersteuert; ","")&amp;IF(AND(BZ1150=0,R1150=0),"Gebinde unbekannt / Stellmass fehlt; ","")&amp;IF(AND(BZ1150=0,N(V1150)&lt;=0,N(Q1150)&lt;=0),"Menge pro Gebinde fehlt (Ist = 1 Gebinde); ","")&amp;BU1150)</f>
        <v>negativer Bestand (Export -6); </v>
      </c>
      <c r="BN1150" s="48"/>
      <c r="BO1150" s="48"/>
      <c r="BP1150" s="55"/>
      <c r="BQ1150" s="50" t="n">
        <v>-6</v>
      </c>
      <c r="BR1150" s="50" t="n">
        <v>15</v>
      </c>
      <c r="BS1150" s="49" t="n">
        <v>-309.54</v>
      </c>
      <c r="BT1150" s="50" t="n">
        <v>20</v>
      </c>
      <c r="BU1150" s="48"/>
      <c r="BV1150" s="53" t="n">
        <v>0</v>
      </c>
      <c r="BW1150" s="53" t="n">
        <v>1150</v>
      </c>
      <c r="BX1150" s="48" t="str">
        <f aca="false">IF(U1150&lt;&gt;"",UPPER(TRIM(U1150)),IF(CA1150=1,UPPER(VLOOKUP(T1150,Parameter!$I$27:$K$29,2,0)),IF(P1150="","LOSE",P1150)))</f>
        <v>S33</v>
      </c>
      <c r="BY1150" s="50" t="n">
        <f aca="false">IF(BX1150="LOSE",1,IF(N(V1150)&gt;0,V1150,IF(CA1150=1,MAX(1,N(VLOOKUP(T1150,Parameter!$I$27:$K$29,3,0)),H1150,N(N1150)),IF(N(Q1150)&gt;0,Q1150,MAX(1,H1150)))))</f>
        <v>26</v>
      </c>
      <c r="BZ1150" s="53" t="n">
        <f aca="false">IF(BX1150="LOSE",1,0)</f>
        <v>0</v>
      </c>
      <c r="CA1150" s="53" t="n">
        <f aca="false">IF(AND(U1150="",OR(P1150="",P1150="LOSE"),T1150&lt;&gt;"",N(S1150)&lt;=0,ISNUMBER(MATCH(T1150,Parameter!$I$27:$I$29,0))),1,0)</f>
        <v>0</v>
      </c>
      <c r="CB1150" s="53" t="n">
        <f aca="false">IF(CQ1150&gt;0,INDEX(Parameter!$H$5:$H$7,W1150)/INDEX(Parameter!$E$5:$E$7,W1150),IF(AND(BZ1150=0,N(IFERROR(VLOOKUP(BX1150,'Gebinde-Kategorie'!$A$5:$N$45,14,0),0))&gt;0),VLOOKUP(BX1150,'Gebinde-Kategorie'!$A$5:$N$45,14,0)*10+Parameter!$M$23,Parameter!$M$24))</f>
        <v>155</v>
      </c>
      <c r="CC1150" s="48" t="str">
        <f aca="false">IF(AND(Parameter!$B$19="Ja",E1150&lt;&gt;"",ISNUMBER(MATCH(E1150,Parameter!$I$35:$I$52,0))),VLOOKUP(E1150,Parameter!$I$35:$J$52,2,0),IFERROR(VLOOKUP(D1150,Parameter!$A$35:$C$64,2,0),"Nein"))</f>
        <v>2+3</v>
      </c>
      <c r="CD1150" s="52" t="n">
        <f aca="false">IF(BZ1150=0,0,IF(N(S1150)&gt;0,S1150,IFERROR(VLOOKUP(D1150,Parameter!$A$35:$C$64,3,0)+0,0)))</f>
        <v>0</v>
      </c>
      <c r="CE1150" s="48" t="n">
        <f aca="false">IF(AA1150&lt;&gt;"",AA1150,Z1150)</f>
        <v>3</v>
      </c>
      <c r="CF1150" s="48" t="str">
        <f aca="false">IF(OR(CE1150=1,CE1150=2,CE1150=3),IF(Parameter!$E$27="Ja","LIFT",IF(CE1150=1,"L1","L23")),IF(CE1150="Aussen","Aussen","-"))</f>
        <v>LIFT</v>
      </c>
      <c r="CG1150" s="59" t="n">
        <f aca="false">IF(N(AB1150)&gt;0,AB1150,0)</f>
        <v>0</v>
      </c>
      <c r="CH1150" s="53" t="n">
        <f aca="false">IF(ISNUMBER(AE1150),1,0)</f>
        <v>0</v>
      </c>
      <c r="CI1150" s="50" t="n">
        <f aca="false">N(AE1150)</f>
        <v>0</v>
      </c>
      <c r="CJ1150" s="50" t="n">
        <f aca="false">N(M1150)+N(N1150)</f>
        <v>22</v>
      </c>
      <c r="CK1150" s="50" t="n">
        <f aca="false">N(M1150)</f>
        <v>2</v>
      </c>
      <c r="CL1150" s="50" t="n">
        <f aca="false">N(N1150)</f>
        <v>20</v>
      </c>
      <c r="CM1150" s="50" t="n">
        <f aca="false">ROUNDUP(H1150/BY1150,0)</f>
        <v>1</v>
      </c>
      <c r="CN1150" s="50" t="n">
        <f aca="false">ROUNDUP(CI1150/BY1150,0)</f>
        <v>0</v>
      </c>
      <c r="CO1150" s="53" t="n">
        <f aca="false">IF(BZ1150=1,0,IFERROR(VLOOKUP(BX1150,'Gebinde-Kategorie'!$A$5:$N$45,5,0)+0,0))</f>
        <v>8</v>
      </c>
      <c r="CP1150" s="53" t="n">
        <f aca="false">IFERROR(IF(OR(CE1150=1,CE1150=2,CE1150=3),N(INDEX(Parameter!$I$5:$I$7,CE1150)),0),0)</f>
        <v>0</v>
      </c>
      <c r="CQ1150" s="52" t="n">
        <f aca="false">IF(AND(Parameter!$B$21="Ja",ISNUMBER(W1150),N(X1150)&gt;0),IFERROR(N(INDEX(Parameter!$L$5:$L$7,W1150))*INDEX(Parameter!$E$5:$E$7,W1150)*X1150/SUMIFS($X$7:$X$1843,$W$7:$W$1843,W1150),0),0)</f>
        <v>0</v>
      </c>
    </row>
    <row r="1151" customFormat="false" ht="15" hidden="false" customHeight="false" outlineLevel="0" collapsed="false">
      <c r="A1151" s="48" t="s">
        <v>2087</v>
      </c>
      <c r="B1151" s="48" t="s">
        <v>2088</v>
      </c>
      <c r="C1151" s="48" t="s">
        <v>173</v>
      </c>
      <c r="D1151" s="48" t="s">
        <v>193</v>
      </c>
      <c r="E1151" s="48" t="s">
        <v>194</v>
      </c>
      <c r="F1151" s="48" t="s">
        <v>227</v>
      </c>
      <c r="G1151" s="49" t="n">
        <v>130.65</v>
      </c>
      <c r="H1151" s="50" t="n">
        <f aca="false">MAX(0,IF(AND(Parameter!$B$21="Ja",ISNUMBER(Y1151)),Y1151,IF(Parameter!$B$20="Jahresanfang 2025 + Export",BR1151+BQ1151,BQ1151)))</f>
        <v>1</v>
      </c>
      <c r="I1151" s="50" t="n">
        <f aca="false">H1151*G1151</f>
        <v>130.65</v>
      </c>
      <c r="J1151" s="50" t="n">
        <f aca="false">BT1151*Parameter!$B$18</f>
        <v>2</v>
      </c>
      <c r="K1151" s="51" t="n">
        <v>3</v>
      </c>
      <c r="L1151" s="52" t="n">
        <v>0.666666666666667</v>
      </c>
      <c r="M1151" s="50" t="n">
        <v>0</v>
      </c>
      <c r="N1151" s="50" t="n">
        <v>1</v>
      </c>
      <c r="O1151" s="53" t="n">
        <v>28</v>
      </c>
      <c r="P1151" s="48" t="s">
        <v>430</v>
      </c>
      <c r="Q1151" s="50" t="n">
        <v>3</v>
      </c>
      <c r="R1151" s="53" t="n">
        <f aca="false">IF(BZ1151=1,0,IFERROR(VLOOKUP(BX1151,'Gebinde-Kategorie'!$A$5:$N$45,13,0)+0,0))</f>
        <v>104</v>
      </c>
      <c r="S1151" s="54"/>
      <c r="T1151" s="55"/>
      <c r="U1151" s="55"/>
      <c r="V1151" s="55"/>
      <c r="W1151" s="48"/>
      <c r="X1151" s="50"/>
      <c r="Y1151" s="50"/>
      <c r="Z1151" s="48" t="n">
        <f aca="false">IF(A1151="","",IF(AND(Parameter!$B$21="Ja",ISNUMBER(W1151)),W1151,IF(CC1151="2+3",IF(ISNUMBER(SEARCH("grosser Artikel",BU1151)),2,IFERROR(VLOOKUP(BX1151,Parameter!$F$35:$G$64,2,0),2)),IF(OR(CC1151="Nein",CC1151=""),"-",CC1151))))</f>
        <v>2</v>
      </c>
      <c r="AA1151" s="55"/>
      <c r="AB1151" s="56"/>
      <c r="AC1151" s="50" t="n">
        <f aca="false">AV1151</f>
        <v>2</v>
      </c>
      <c r="AD1151" s="50" t="n">
        <f aca="false">MAX(AV1151,H1151)</f>
        <v>2</v>
      </c>
      <c r="AE1151" s="57"/>
      <c r="AF1151" s="50" t="n">
        <f aca="false">IF(LEFT(Cockpit!$C$5,1)="A",H1151,IF(Parameter!$E$30="MAX-Bestand",IF(CH1151=1,CI1151,IF(LEFT(Cockpit!$C$5,1)="B",AL1151,MAX(AL1151,H1151))),ROUNDUP(AJ1151,0)))</f>
        <v>1</v>
      </c>
      <c r="AG1151" s="50" t="n">
        <f aca="false">IF(BZ1151=1,0,ROUNDUP(AF1151/BY1151,0))</f>
        <v>1</v>
      </c>
      <c r="AH1151" s="52" t="n">
        <f aca="false">IF(CQ1151&gt;0,CQ1151*MAX(1,AF1151/X1151),IF(BZ1151=1,IF(AF1151&lt;=0,0,CD1151*MAX(1,IF(H1151&gt;0,AF1151/H1151,1))),IF(R1151&gt;0,AG1151/R1151,0))/MAX(0.1,N(Parameter!$M$21)))</f>
        <v>0.00961538461538462</v>
      </c>
      <c r="AI1151" s="50" t="n">
        <f aca="false">AH1151*CB1151</f>
        <v>1.49038461538462</v>
      </c>
      <c r="AJ1151" s="51" t="n">
        <f aca="false">IF(LEFT(Cockpit!$C$5,1)="A",H1151,IF(CH1151=1,(CK1151+CI1151)/2,IF(LEFT(Cockpit!$C$5,1)="B",(CK1151+AL1151)/2,MAX((CK1151+AL1151)/2,H1151))))</f>
        <v>1</v>
      </c>
      <c r="AK1151" s="50" t="n">
        <f aca="false">AJ1151*G1151</f>
        <v>130.65</v>
      </c>
      <c r="AL1151" s="50" t="n">
        <f aca="false">ROUNDUP(CK1151+MAX(CL1151,2*(J1151/IF(CG1151&gt;0,CG1151,MAX(0.1,N(Cockpit!$C$6)))-CK1151)),0)</f>
        <v>2</v>
      </c>
      <c r="AM1151" s="51" t="n">
        <f aca="false">IF(AI1151&gt;0,J1151/AI1151,-1)</f>
        <v>1.34193548387097</v>
      </c>
      <c r="AN1151" s="51" t="n">
        <f aca="false">IF(AND(OR(CF1151="L1",CF1151="L23",CF1151="LIFT"),AI1151&gt;0),SUMIFS($AI$7:$AI$1843,$CF$7:$CF$1843,CF1151,$AM$7:$AM$1843,"&gt;"&amp;AM1151)+SUMIFS($AI$7:$AI$1843,$CF$7:$CF$1843,CF1151,$AM$7:$AM$1843,AM1151,$BW$7:$BW$1843,"&lt;="&amp;BW1151),"")</f>
        <v>6357.97481684982</v>
      </c>
      <c r="AO1151" s="58" t="n">
        <f aca="false">IF(AN1151="",0,MAX(0,MIN(1,(IF(CF1151="L1",Parameter!$H$5,IF(CF1151="L23",Parameter!$H$6+Parameter!$H$7,Parameter!$H$5+Parameter!$H$6+Parameter!$H$7))-(AN1151-AI1151))/AI1151)))</f>
        <v>1</v>
      </c>
      <c r="AP1151" s="50" t="n">
        <f aca="false">IF(LEFT(Cockpit!$I$5,1)="A",H1151,IF(Parameter!$E$30="MAX-Bestand",IF(CH1151=1,CI1151,IF(LEFT(Cockpit!$I$5,1)="B",AV1151,MAX(AV1151,H1151))),ROUNDUP(AT1151,0)))</f>
        <v>1</v>
      </c>
      <c r="AQ1151" s="50" t="n">
        <f aca="false">IF(BZ1151=1,0,ROUNDUP(AP1151/BY1151,0))</f>
        <v>1</v>
      </c>
      <c r="AR1151" s="52" t="n">
        <f aca="false">IF(CQ1151&gt;0,CQ1151*MAX(1,AP1151/X1151),IF(BZ1151=1,IF(AP1151&lt;=0,0,CD1151*MAX(1,IF(H1151&gt;0,AP1151/H1151,1))),IF(R1151&gt;0,AQ1151/R1151,0))/MAX(0.1,N(Parameter!$M$21)))</f>
        <v>0.00961538461538462</v>
      </c>
      <c r="AS1151" s="50" t="n">
        <f aca="false">AR1151*CB1151</f>
        <v>1.49038461538462</v>
      </c>
      <c r="AT1151" s="51" t="n">
        <f aca="false">IF(LEFT(Cockpit!$I$5,1)="A",H1151,IF(CH1151=1,(CK1151+CI1151)/2,IF(LEFT(Cockpit!$I$5,1)="B",(CK1151+AV1151)/2,MAX((CK1151+AV1151)/2,H1151))))</f>
        <v>1</v>
      </c>
      <c r="AU1151" s="50" t="n">
        <f aca="false">AT1151*G1151</f>
        <v>130.65</v>
      </c>
      <c r="AV1151" s="50" t="n">
        <f aca="false">ROUNDUP(CK1151+MAX(CL1151,2*(J1151/IF(CG1151&gt;0,CG1151,MAX(0.1,N(Cockpit!$I$6)))-CK1151)),0)</f>
        <v>2</v>
      </c>
      <c r="AW1151" s="51" t="n">
        <f aca="false">IF(AS1151&gt;0,J1151/AS1151,-1)</f>
        <v>1.34193548387097</v>
      </c>
      <c r="AX1151" s="51" t="n">
        <f aca="false">IF(AND(OR(CF1151="L1",CF1151="L23",CF1151="LIFT"),AS1151&gt;0),SUMIFS($AS$7:$AS$1843,$CF$7:$CF$1843,CF1151,$AW$7:$AW$1843,"&gt;"&amp;AW1151)+SUMIFS($AS$7:$AS$1843,$CF$7:$CF$1843,CF1151,$AW$7:$AW$1843,AW1151,$BW$7:$BW$1843,"&lt;="&amp;BW1151),"")</f>
        <v>7885.13919413919</v>
      </c>
      <c r="AY1151" s="58" t="n">
        <f aca="false">IF(AX1151="",0,MAX(0,MIN(1,(IF(CF1151="L1",Parameter!$H$5,IF(CF1151="L23",Parameter!$H$6+Parameter!$H$7,Parameter!$H$5+Parameter!$H$6+Parameter!$H$7))-(AX1151-AS1151))/AS1151)))</f>
        <v>1</v>
      </c>
      <c r="AZ1151" s="50" t="n">
        <f aca="false">IF(LEFT(Cockpit!$O$5,1)="A",H1151,IF(Parameter!$E$30="MAX-Bestand",IF(CH1151=1,CI1151,IF(LEFT(Cockpit!$O$5,1)="B",BF1151,MAX(BF1151,H1151))),ROUNDUP(BD1151,0)))</f>
        <v>1</v>
      </c>
      <c r="BA1151" s="50" t="n">
        <f aca="false">IF(BZ1151=1,0,ROUNDUP(AZ1151/BY1151,0))</f>
        <v>1</v>
      </c>
      <c r="BB1151" s="52" t="n">
        <f aca="false">IF(CQ1151&gt;0,CQ1151*MAX(1,AZ1151/X1151),IF(BZ1151=1,IF(AZ1151&lt;=0,0,CD1151*MAX(1,IF(H1151&gt;0,AZ1151/H1151,1))),IF(R1151&gt;0,BA1151/R1151,0))/MAX(0.1,N(Parameter!$M$21)))</f>
        <v>0.00961538461538462</v>
      </c>
      <c r="BC1151" s="50" t="n">
        <f aca="false">BB1151*CB1151</f>
        <v>1.49038461538462</v>
      </c>
      <c r="BD1151" s="51" t="n">
        <f aca="false">IF(LEFT(Cockpit!$O$5,1)="A",H1151,IF(CH1151=1,(CK1151+CI1151)/2,IF(LEFT(Cockpit!$O$5,1)="B",(CK1151+BF1151)/2,MAX((CK1151+BF1151)/2,H1151))))</f>
        <v>0.5</v>
      </c>
      <c r="BE1151" s="50" t="n">
        <f aca="false">BD1151*G1151</f>
        <v>65.325</v>
      </c>
      <c r="BF1151" s="50" t="n">
        <f aca="false">ROUNDUP(CK1151+MAX(CL1151,2*(J1151/IF(CG1151&gt;0,CG1151,MAX(0.1,N(Cockpit!$O$6)))-CK1151)),0)</f>
        <v>1</v>
      </c>
      <c r="BG1151" s="51" t="n">
        <f aca="false">IF(BC1151&gt;0,J1151/BC1151,-1)</f>
        <v>1.34193548387097</v>
      </c>
      <c r="BH1151" s="51" t="n">
        <f aca="false">IF(AND(OR(CF1151="L1",CF1151="L23",CF1151="LIFT"),BC1151&gt;0),SUMIFS($BC$7:$BC$1843,$CF$7:$CF$1843,CF1151,$BG$7:$BG$1843,"&gt;"&amp;BG1151)+SUMIFS($BC$7:$BC$1843,$CF$7:$CF$1843,CF1151,$BG$7:$BG$1843,BG1151,$BW$7:$BW$1843,"&lt;="&amp;BW1151),"")</f>
        <v>6822.35485347985</v>
      </c>
      <c r="BI1151" s="58" t="n">
        <f aca="false">IF(BH1151="",0,MAX(0,MIN(1,(IF(CF1151="L1",Parameter!$H$5,IF(CF1151="L23",Parameter!$H$6+Parameter!$H$7,Parameter!$H$5+Parameter!$H$6+Parameter!$H$7))-(BH1151-BC1151))/BC1151)))</f>
        <v>1</v>
      </c>
      <c r="BJ1151" s="48" t="str">
        <f aca="false">IF(AI1151&lt;=0,"",IF(CF1151="Aussen","Aussenlager",IF(CF1151="-","Nicht im Lift",IF(AO1151&gt;=1,"Lift",IF(AO1151&lt;=0,"Aussenlager","teilweise")))))</f>
        <v>Lift</v>
      </c>
      <c r="BK1151" s="48" t="str">
        <f aca="false">IF(AS1151&lt;=0,"",IF(CF1151="Aussen","Aussenlager",IF(CF1151="-","Nicht im Lift",IF(AY1151&gt;=1,"Lift",IF(AY1151&lt;=0,"Aussenlager","teilweise")))))</f>
        <v>Lift</v>
      </c>
      <c r="BL1151" s="48" t="str">
        <f aca="false">IF(BC1151&lt;=0,"",IF(CF1151="Aussen","Aussenlager",IF(CF1151="-","Nicht im Lift",IF(BI1151&gt;=1,"Lift",IF(BI1151&lt;=0,"Aussenlager","teilweise")))))</f>
        <v>Lift</v>
      </c>
      <c r="BM1151" s="48" t="str">
        <f aca="false">IF(A1151="","",IF(BV1151=1,"Neu; ","")&amp;IF(AND(BV1151=0,BQ1151&lt;0),"negativer Bestand (Export "&amp;BQ1151&amp;"); ","")&amp;IF(J1151&lt;=0,"Kein Verbrauch; ","")&amp;IF(CQ1151&gt;0,"Lift "&amp;W1151&amp;" lt. Liftbericht (Fach "&amp;X1151&amp;" Stk); ",IF(CA1151=1,"Gebinde geschätzt ("&amp;T1151&amp;"); ",IF(BZ1151=1,"Lose – Tablare geschätzt; ","")))&amp;IF(H1151&gt;AV1151,"Überbestand "&amp;ROUND(H1151-AV1151,0)&amp;" Stk / CHF "&amp;ROUND((H1151-AV1151)*G1151,0)&amp;"; ","")&amp;IF(AND(CH1151=1,CI1151&lt;CJ1151),"MAX &lt; MB+LG; ","")&amp;IF(AND(CP1151&gt;0,CO1151*10&gt;CP1151),"zu hoch für Tablar; ","")&amp;IF(AND(BV1151=0,OR(CH1151=1,AA1151&lt;&gt;"",U1151&lt;&gt;"",V1151&lt;&gt;"",AB1151&lt;&gt;"")),"manuell übersteuert; ","")&amp;IF(AND(BZ1151=0,R1151=0),"Gebinde unbekannt / Stellmass fehlt; ","")&amp;IF(AND(BZ1151=0,N(V1151)&lt;=0,N(Q1151)&lt;=0),"Menge pro Gebinde fehlt (Ist = 1 Gebinde); ","")&amp;BU1151)</f>
        <v>negativer Bestand (Export -3); Neu; grosser Artikel &amp; nicht im KTL</v>
      </c>
      <c r="BN1151" s="48"/>
      <c r="BO1151" s="48"/>
      <c r="BP1151" s="55"/>
      <c r="BQ1151" s="50" t="n">
        <v>-3</v>
      </c>
      <c r="BR1151" s="50" t="n">
        <v>4</v>
      </c>
      <c r="BS1151" s="49" t="n">
        <v>-310.03</v>
      </c>
      <c r="BT1151" s="50" t="n">
        <v>2</v>
      </c>
      <c r="BU1151" s="48" t="s">
        <v>2079</v>
      </c>
      <c r="BV1151" s="53" t="n">
        <v>0</v>
      </c>
      <c r="BW1151" s="53" t="n">
        <v>1151</v>
      </c>
      <c r="BX1151" s="48" t="str">
        <f aca="false">IF(U1151&lt;&gt;"",UPPER(TRIM(U1151)),IF(CA1151=1,UPPER(VLOOKUP(T1151,Parameter!$I$27:$K$29,2,0)),IF(P1151="","LOSE",P1151)))</f>
        <v>S32</v>
      </c>
      <c r="BY1151" s="50" t="n">
        <f aca="false">IF(BX1151="LOSE",1,IF(N(V1151)&gt;0,V1151,IF(CA1151=1,MAX(1,N(VLOOKUP(T1151,Parameter!$I$27:$K$29,3,0)),H1151,N(N1151)),IF(N(Q1151)&gt;0,Q1151,MAX(1,H1151)))))</f>
        <v>3</v>
      </c>
      <c r="BZ1151" s="53" t="n">
        <f aca="false">IF(BX1151="LOSE",1,0)</f>
        <v>0</v>
      </c>
      <c r="CA1151" s="53" t="n">
        <f aca="false">IF(AND(U1151="",OR(P1151="",P1151="LOSE"),T1151&lt;&gt;"",N(S1151)&lt;=0,ISNUMBER(MATCH(T1151,Parameter!$I$27:$I$29,0))),1,0)</f>
        <v>0</v>
      </c>
      <c r="CB1151" s="53" t="n">
        <f aca="false">IF(CQ1151&gt;0,INDEX(Parameter!$H$5:$H$7,W1151)/INDEX(Parameter!$E$5:$E$7,W1151),IF(AND(BZ1151=0,N(IFERROR(VLOOKUP(BX1151,'Gebinde-Kategorie'!$A$5:$N$45,14,0),0))&gt;0),VLOOKUP(BX1151,'Gebinde-Kategorie'!$A$5:$N$45,14,0)*10+Parameter!$M$23,Parameter!$M$24))</f>
        <v>155</v>
      </c>
      <c r="CC1151" s="48" t="str">
        <f aca="false">IF(AND(Parameter!$B$19="Ja",E1151&lt;&gt;"",ISNUMBER(MATCH(E1151,Parameter!$I$35:$I$52,0))),VLOOKUP(E1151,Parameter!$I$35:$J$52,2,0),IFERROR(VLOOKUP(D1151,Parameter!$A$35:$C$64,2,0),"Nein"))</f>
        <v>2+3</v>
      </c>
      <c r="CD1151" s="52" t="n">
        <f aca="false">IF(BZ1151=0,0,IF(N(S1151)&gt;0,S1151,IFERROR(VLOOKUP(D1151,Parameter!$A$35:$C$64,3,0)+0,0)))</f>
        <v>0</v>
      </c>
      <c r="CE1151" s="48" t="n">
        <f aca="false">IF(AA1151&lt;&gt;"",AA1151,Z1151)</f>
        <v>2</v>
      </c>
      <c r="CF1151" s="48" t="str">
        <f aca="false">IF(OR(CE1151=1,CE1151=2,CE1151=3),IF(Parameter!$E$27="Ja","LIFT",IF(CE1151=1,"L1","L23")),IF(CE1151="Aussen","Aussen","-"))</f>
        <v>LIFT</v>
      </c>
      <c r="CG1151" s="59" t="n">
        <f aca="false">IF(N(AB1151)&gt;0,AB1151,0)</f>
        <v>0</v>
      </c>
      <c r="CH1151" s="53" t="n">
        <f aca="false">IF(ISNUMBER(AE1151),1,0)</f>
        <v>0</v>
      </c>
      <c r="CI1151" s="50" t="n">
        <f aca="false">N(AE1151)</f>
        <v>0</v>
      </c>
      <c r="CJ1151" s="50" t="n">
        <f aca="false">N(M1151)+N(N1151)</f>
        <v>1</v>
      </c>
      <c r="CK1151" s="50" t="n">
        <f aca="false">N(M1151)</f>
        <v>0</v>
      </c>
      <c r="CL1151" s="50" t="n">
        <f aca="false">N(N1151)</f>
        <v>1</v>
      </c>
      <c r="CM1151" s="50" t="n">
        <f aca="false">ROUNDUP(H1151/BY1151,0)</f>
        <v>1</v>
      </c>
      <c r="CN1151" s="50" t="n">
        <f aca="false">ROUNDUP(CI1151/BY1151,0)</f>
        <v>0</v>
      </c>
      <c r="CO1151" s="53" t="n">
        <f aca="false">IF(BZ1151=1,0,IFERROR(VLOOKUP(BX1151,'Gebinde-Kategorie'!$A$5:$N$45,5,0)+0,0))</f>
        <v>8</v>
      </c>
      <c r="CP1151" s="53" t="n">
        <f aca="false">IFERROR(IF(OR(CE1151=1,CE1151=2,CE1151=3),N(INDEX(Parameter!$I$5:$I$7,CE1151)),0),0)</f>
        <v>0</v>
      </c>
      <c r="CQ1151" s="52" t="n">
        <f aca="false">IF(AND(Parameter!$B$21="Ja",ISNUMBER(W1151),N(X1151)&gt;0),IFERROR(N(INDEX(Parameter!$L$5:$L$7,W1151))*INDEX(Parameter!$E$5:$E$7,W1151)*X1151/SUMIFS($X$7:$X$1843,$W$7:$W$1843,W1151),0),0)</f>
        <v>0</v>
      </c>
    </row>
    <row r="1152" customFormat="false" ht="15" hidden="false" customHeight="false" outlineLevel="0" collapsed="false">
      <c r="A1152" s="48" t="s">
        <v>2089</v>
      </c>
      <c r="B1152" s="48" t="s">
        <v>1096</v>
      </c>
      <c r="C1152" s="48" t="s">
        <v>173</v>
      </c>
      <c r="D1152" s="48" t="s">
        <v>193</v>
      </c>
      <c r="E1152" s="48" t="s">
        <v>194</v>
      </c>
      <c r="F1152" s="48" t="s">
        <v>227</v>
      </c>
      <c r="G1152" s="49" t="n">
        <v>25.19</v>
      </c>
      <c r="H1152" s="50" t="n">
        <f aca="false">MAX(0,IF(AND(Parameter!$B$21="Ja",ISNUMBER(Y1152)),Y1152,IF(Parameter!$B$20="Jahresanfang 2025 + Export",BR1152+BQ1152,BQ1152)))</f>
        <v>6</v>
      </c>
      <c r="I1152" s="50" t="n">
        <f aca="false">H1152*G1152</f>
        <v>151.14</v>
      </c>
      <c r="J1152" s="50" t="n">
        <f aca="false">BT1152*Parameter!$B$18</f>
        <v>10</v>
      </c>
      <c r="K1152" s="51" t="n">
        <v>12</v>
      </c>
      <c r="L1152" s="52" t="n">
        <v>0.833333333333333</v>
      </c>
      <c r="M1152" s="50" t="n">
        <v>0</v>
      </c>
      <c r="N1152" s="50" t="n">
        <v>10</v>
      </c>
      <c r="O1152" s="53" t="n">
        <v>28</v>
      </c>
      <c r="P1152" s="48" t="s">
        <v>242</v>
      </c>
      <c r="Q1152" s="50" t="n">
        <v>34</v>
      </c>
      <c r="R1152" s="53" t="n">
        <f aca="false">IF(BZ1152=1,0,IFERROR(VLOOKUP(BX1152,'Gebinde-Kategorie'!$A$5:$N$45,13,0)+0,0))</f>
        <v>26</v>
      </c>
      <c r="S1152" s="54"/>
      <c r="T1152" s="55"/>
      <c r="U1152" s="55"/>
      <c r="V1152" s="55"/>
      <c r="W1152" s="48"/>
      <c r="X1152" s="50"/>
      <c r="Y1152" s="50"/>
      <c r="Z1152" s="48" t="n">
        <f aca="false">IF(A1152="","",IF(AND(Parameter!$B$21="Ja",ISNUMBER(W1152)),W1152,IF(CC1152="2+3",IF(ISNUMBER(SEARCH("grosser Artikel",BU1152)),2,IFERROR(VLOOKUP(BX1152,Parameter!$F$35:$G$64,2,0),2)),IF(OR(CC1152="Nein",CC1152=""),"-",CC1152))))</f>
        <v>3</v>
      </c>
      <c r="AA1152" s="55"/>
      <c r="AB1152" s="56"/>
      <c r="AC1152" s="50" t="n">
        <f aca="false">AV1152</f>
        <v>10</v>
      </c>
      <c r="AD1152" s="50" t="n">
        <f aca="false">MAX(AV1152,H1152)</f>
        <v>10</v>
      </c>
      <c r="AE1152" s="57"/>
      <c r="AF1152" s="50" t="n">
        <f aca="false">IF(LEFT(Cockpit!$C$5,1)="A",H1152,IF(Parameter!$E$30="MAX-Bestand",IF(CH1152=1,CI1152,IF(LEFT(Cockpit!$C$5,1)="B",AL1152,MAX(AL1152,H1152))),ROUNDUP(AJ1152,0)))</f>
        <v>6</v>
      </c>
      <c r="AG1152" s="50" t="n">
        <f aca="false">IF(BZ1152=1,0,ROUNDUP(AF1152/BY1152,0))</f>
        <v>1</v>
      </c>
      <c r="AH1152" s="52" t="n">
        <f aca="false">IF(CQ1152&gt;0,CQ1152*MAX(1,AF1152/X1152),IF(BZ1152=1,IF(AF1152&lt;=0,0,CD1152*MAX(1,IF(H1152&gt;0,AF1152/H1152,1))),IF(R1152&gt;0,AG1152/R1152,0))/MAX(0.1,N(Parameter!$M$21)))</f>
        <v>0.0384615384615385</v>
      </c>
      <c r="AI1152" s="50" t="n">
        <f aca="false">AH1152*CB1152</f>
        <v>9.42307692307692</v>
      </c>
      <c r="AJ1152" s="51" t="n">
        <f aca="false">IF(LEFT(Cockpit!$C$5,1)="A",H1152,IF(CH1152=1,(CK1152+CI1152)/2,IF(LEFT(Cockpit!$C$5,1)="B",(CK1152+AL1152)/2,MAX((CK1152+AL1152)/2,H1152))))</f>
        <v>6</v>
      </c>
      <c r="AK1152" s="50" t="n">
        <f aca="false">AJ1152*G1152</f>
        <v>151.14</v>
      </c>
      <c r="AL1152" s="50" t="n">
        <f aca="false">ROUNDUP(CK1152+MAX(CL1152,2*(J1152/IF(CG1152&gt;0,CG1152,MAX(0.1,N(Cockpit!$C$6)))-CK1152)),0)</f>
        <v>10</v>
      </c>
      <c r="AM1152" s="51" t="n">
        <f aca="false">IF(AI1152&gt;0,J1152/AI1152,-1)</f>
        <v>1.06122448979592</v>
      </c>
      <c r="AN1152" s="51" t="n">
        <f aca="false">IF(AND(OR(CF1152="L1",CF1152="L23",CF1152="LIFT"),AI1152&gt;0),SUMIFS($AI$7:$AI$1843,$CF$7:$CF$1843,CF1152,$AM$7:$AM$1843,"&gt;"&amp;AM1152)+SUMIFS($AI$7:$AI$1843,$CF$7:$CF$1843,CF1152,$AM$7:$AM$1843,AM1152,$BW$7:$BW$1843,"&lt;="&amp;BW1152),"")</f>
        <v>6912.55815018315</v>
      </c>
      <c r="AO1152" s="58" t="n">
        <f aca="false">IF(AN1152="",0,MAX(0,MIN(1,(IF(CF1152="L1",Parameter!$H$5,IF(CF1152="L23",Parameter!$H$6+Parameter!$H$7,Parameter!$H$5+Parameter!$H$6+Parameter!$H$7))-(AN1152-AI1152))/AI1152)))</f>
        <v>1</v>
      </c>
      <c r="AP1152" s="50" t="n">
        <f aca="false">IF(LEFT(Cockpit!$I$5,1)="A",H1152,IF(Parameter!$E$30="MAX-Bestand",IF(CH1152=1,CI1152,IF(LEFT(Cockpit!$I$5,1)="B",AV1152,MAX(AV1152,H1152))),ROUNDUP(AT1152,0)))</f>
        <v>6</v>
      </c>
      <c r="AQ1152" s="50" t="n">
        <f aca="false">IF(BZ1152=1,0,ROUNDUP(AP1152/BY1152,0))</f>
        <v>1</v>
      </c>
      <c r="AR1152" s="52" t="n">
        <f aca="false">IF(CQ1152&gt;0,CQ1152*MAX(1,AP1152/X1152),IF(BZ1152=1,IF(AP1152&lt;=0,0,CD1152*MAX(1,IF(H1152&gt;0,AP1152/H1152,1))),IF(R1152&gt;0,AQ1152/R1152,0))/MAX(0.1,N(Parameter!$M$21)))</f>
        <v>0.0384615384615385</v>
      </c>
      <c r="AS1152" s="50" t="n">
        <f aca="false">AR1152*CB1152</f>
        <v>9.42307692307692</v>
      </c>
      <c r="AT1152" s="51" t="n">
        <f aca="false">IF(LEFT(Cockpit!$I$5,1)="A",H1152,IF(CH1152=1,(CK1152+CI1152)/2,IF(LEFT(Cockpit!$I$5,1)="B",(CK1152+AV1152)/2,MAX((CK1152+AV1152)/2,H1152))))</f>
        <v>6</v>
      </c>
      <c r="AU1152" s="50" t="n">
        <f aca="false">AT1152*G1152</f>
        <v>151.14</v>
      </c>
      <c r="AV1152" s="50" t="n">
        <f aca="false">ROUNDUP(CK1152+MAX(CL1152,2*(J1152/IF(CG1152&gt;0,CG1152,MAX(0.1,N(Cockpit!$I$6)))-CK1152)),0)</f>
        <v>10</v>
      </c>
      <c r="AW1152" s="51" t="n">
        <f aca="false">IF(AS1152&gt;0,J1152/AS1152,-1)</f>
        <v>1.06122448979592</v>
      </c>
      <c r="AX1152" s="51" t="n">
        <f aca="false">IF(AND(OR(CF1152="L1",CF1152="L23",CF1152="LIFT"),AS1152&gt;0),SUMIFS($AS$7:$AS$1843,$CF$7:$CF$1843,CF1152,$AW$7:$AW$1843,"&gt;"&amp;AW1152)+SUMIFS($AS$7:$AS$1843,$CF$7:$CF$1843,CF1152,$AW$7:$AW$1843,AW1152,$BW$7:$BW$1843,"&lt;="&amp;BW1152),"")</f>
        <v>8263.05586080586</v>
      </c>
      <c r="AY1152" s="58" t="n">
        <f aca="false">IF(AX1152="",0,MAX(0,MIN(1,(IF(CF1152="L1",Parameter!$H$5,IF(CF1152="L23",Parameter!$H$6+Parameter!$H$7,Parameter!$H$5+Parameter!$H$6+Parameter!$H$7))-(AX1152-AS1152))/AS1152)))</f>
        <v>1</v>
      </c>
      <c r="AZ1152" s="50" t="n">
        <f aca="false">IF(LEFT(Cockpit!$O$5,1)="A",H1152,IF(Parameter!$E$30="MAX-Bestand",IF(CH1152=1,CI1152,IF(LEFT(Cockpit!$O$5,1)="B",BF1152,MAX(BF1152,H1152))),ROUNDUP(BD1152,0)))</f>
        <v>5</v>
      </c>
      <c r="BA1152" s="50" t="n">
        <f aca="false">IF(BZ1152=1,0,ROUNDUP(AZ1152/BY1152,0))</f>
        <v>1</v>
      </c>
      <c r="BB1152" s="52" t="n">
        <f aca="false">IF(CQ1152&gt;0,CQ1152*MAX(1,AZ1152/X1152),IF(BZ1152=1,IF(AZ1152&lt;=0,0,CD1152*MAX(1,IF(H1152&gt;0,AZ1152/H1152,1))),IF(R1152&gt;0,BA1152/R1152,0))/MAX(0.1,N(Parameter!$M$21)))</f>
        <v>0.0384615384615385</v>
      </c>
      <c r="BC1152" s="50" t="n">
        <f aca="false">BB1152*CB1152</f>
        <v>9.42307692307692</v>
      </c>
      <c r="BD1152" s="51" t="n">
        <f aca="false">IF(LEFT(Cockpit!$O$5,1)="A",H1152,IF(CH1152=1,(CK1152+CI1152)/2,IF(LEFT(Cockpit!$O$5,1)="B",(CK1152+BF1152)/2,MAX((CK1152+BF1152)/2,H1152))))</f>
        <v>5</v>
      </c>
      <c r="BE1152" s="50" t="n">
        <f aca="false">BD1152*G1152</f>
        <v>125.95</v>
      </c>
      <c r="BF1152" s="50" t="n">
        <f aca="false">ROUNDUP(CK1152+MAX(CL1152,2*(J1152/IF(CG1152&gt;0,CG1152,MAX(0.1,N(Cockpit!$O$6)))-CK1152)),0)</f>
        <v>10</v>
      </c>
      <c r="BG1152" s="51" t="n">
        <f aca="false">IF(BC1152&gt;0,J1152/BC1152,-1)</f>
        <v>1.06122448979592</v>
      </c>
      <c r="BH1152" s="51" t="n">
        <f aca="false">IF(AND(OR(CF1152="L1",CF1152="L23",CF1152="LIFT"),BC1152&gt;0),SUMIFS($BC$7:$BC$1843,$CF$7:$CF$1843,CF1152,$BG$7:$BG$1843,"&gt;"&amp;BG1152)+SUMIFS($BC$7:$BC$1843,$CF$7:$CF$1843,CF1152,$BG$7:$BG$1843,BG1152,$BW$7:$BW$1843,"&lt;="&amp;BW1152),"")</f>
        <v>7429.30998168498</v>
      </c>
      <c r="BI1152" s="58" t="n">
        <f aca="false">IF(BH1152="",0,MAX(0,MIN(1,(IF(CF1152="L1",Parameter!$H$5,IF(CF1152="L23",Parameter!$H$6+Parameter!$H$7,Parameter!$H$5+Parameter!$H$6+Parameter!$H$7))-(BH1152-BC1152))/BC1152)))</f>
        <v>1</v>
      </c>
      <c r="BJ1152" s="48" t="str">
        <f aca="false">IF(AI1152&lt;=0,"",IF(CF1152="Aussen","Aussenlager",IF(CF1152="-","Nicht im Lift",IF(AO1152&gt;=1,"Lift",IF(AO1152&lt;=0,"Aussenlager","teilweise")))))</f>
        <v>Lift</v>
      </c>
      <c r="BK1152" s="48" t="str">
        <f aca="false">IF(AS1152&lt;=0,"",IF(CF1152="Aussen","Aussenlager",IF(CF1152="-","Nicht im Lift",IF(AY1152&gt;=1,"Lift",IF(AY1152&lt;=0,"Aussenlager","teilweise")))))</f>
        <v>Lift</v>
      </c>
      <c r="BL1152" s="48" t="str">
        <f aca="false">IF(BC1152&lt;=0,"",IF(CF1152="Aussen","Aussenlager",IF(CF1152="-","Nicht im Lift",IF(BI1152&gt;=1,"Lift",IF(BI1152&lt;=0,"Aussenlager","teilweise")))))</f>
        <v>Lift</v>
      </c>
      <c r="BM1152" s="48" t="str">
        <f aca="false">IF(A1152="","",IF(BV1152=1,"Neu; ","")&amp;IF(AND(BV1152=0,BQ1152&lt;0),"negativer Bestand (Export "&amp;BQ1152&amp;"); ","")&amp;IF(J1152&lt;=0,"Kein Verbrauch; ","")&amp;IF(CQ1152&gt;0,"Lift "&amp;W1152&amp;" lt. Liftbericht (Fach "&amp;X1152&amp;" Stk); ",IF(CA1152=1,"Gebinde geschätzt ("&amp;T1152&amp;"); ",IF(BZ1152=1,"Lose – Tablare geschätzt; ","")))&amp;IF(H1152&gt;AV1152,"Überbestand "&amp;ROUND(H1152-AV1152,0)&amp;" Stk / CHF "&amp;ROUND((H1152-AV1152)*G1152,0)&amp;"; ","")&amp;IF(AND(CH1152=1,CI1152&lt;CJ1152),"MAX &lt; MB+LG; ","")&amp;IF(AND(CP1152&gt;0,CO1152*10&gt;CP1152),"zu hoch für Tablar; ","")&amp;IF(AND(BV1152=0,OR(CH1152=1,AA1152&lt;&gt;"",U1152&lt;&gt;"",V1152&lt;&gt;"",AB1152&lt;&gt;"")),"manuell übersteuert; ","")&amp;IF(AND(BZ1152=0,R1152=0),"Gebinde unbekannt / Stellmass fehlt; ","")&amp;IF(AND(BZ1152=0,N(V1152)&lt;=0,N(Q1152)&lt;=0),"Menge pro Gebinde fehlt (Ist = 1 Gebinde); ","")&amp;BU1152)</f>
        <v>negativer Bestand (Export -10); Neu</v>
      </c>
      <c r="BN1152" s="48"/>
      <c r="BO1152" s="48"/>
      <c r="BP1152" s="55"/>
      <c r="BQ1152" s="50" t="n">
        <v>-10</v>
      </c>
      <c r="BR1152" s="50" t="n">
        <v>16</v>
      </c>
      <c r="BS1152" s="49" t="n">
        <v>-310.46</v>
      </c>
      <c r="BT1152" s="50" t="n">
        <v>10</v>
      </c>
      <c r="BU1152" s="48" t="s">
        <v>635</v>
      </c>
      <c r="BV1152" s="53" t="n">
        <v>0</v>
      </c>
      <c r="BW1152" s="53" t="n">
        <v>1152</v>
      </c>
      <c r="BX1152" s="48" t="str">
        <f aca="false">IF(U1152&lt;&gt;"",UPPER(TRIM(U1152)),IF(CA1152=1,UPPER(VLOOKUP(T1152,Parameter!$I$27:$K$29,2,0)),IF(P1152="","LOSE",P1152)))</f>
        <v>S52</v>
      </c>
      <c r="BY1152" s="50" t="n">
        <f aca="false">IF(BX1152="LOSE",1,IF(N(V1152)&gt;0,V1152,IF(CA1152=1,MAX(1,N(VLOOKUP(T1152,Parameter!$I$27:$K$29,3,0)),H1152,N(N1152)),IF(N(Q1152)&gt;0,Q1152,MAX(1,H1152)))))</f>
        <v>34</v>
      </c>
      <c r="BZ1152" s="53" t="n">
        <f aca="false">IF(BX1152="LOSE",1,0)</f>
        <v>0</v>
      </c>
      <c r="CA1152" s="53" t="n">
        <f aca="false">IF(AND(U1152="",OR(P1152="",P1152="LOSE"),T1152&lt;&gt;"",N(S1152)&lt;=0,ISNUMBER(MATCH(T1152,Parameter!$I$27:$I$29,0))),1,0)</f>
        <v>0</v>
      </c>
      <c r="CB1152" s="53" t="n">
        <f aca="false">IF(CQ1152&gt;0,INDEX(Parameter!$H$5:$H$7,W1152)/INDEX(Parameter!$E$5:$E$7,W1152),IF(AND(BZ1152=0,N(IFERROR(VLOOKUP(BX1152,'Gebinde-Kategorie'!$A$5:$N$45,14,0),0))&gt;0),VLOOKUP(BX1152,'Gebinde-Kategorie'!$A$5:$N$45,14,0)*10+Parameter!$M$23,Parameter!$M$24))</f>
        <v>245</v>
      </c>
      <c r="CC1152" s="48" t="str">
        <f aca="false">IF(AND(Parameter!$B$19="Ja",E1152&lt;&gt;"",ISNUMBER(MATCH(E1152,Parameter!$I$35:$I$52,0))),VLOOKUP(E1152,Parameter!$I$35:$J$52,2,0),IFERROR(VLOOKUP(D1152,Parameter!$A$35:$C$64,2,0),"Nein"))</f>
        <v>2+3</v>
      </c>
      <c r="CD1152" s="52" t="n">
        <f aca="false">IF(BZ1152=0,0,IF(N(S1152)&gt;0,S1152,IFERROR(VLOOKUP(D1152,Parameter!$A$35:$C$64,3,0)+0,0)))</f>
        <v>0</v>
      </c>
      <c r="CE1152" s="48" t="n">
        <f aca="false">IF(AA1152&lt;&gt;"",AA1152,Z1152)</f>
        <v>3</v>
      </c>
      <c r="CF1152" s="48" t="str">
        <f aca="false">IF(OR(CE1152=1,CE1152=2,CE1152=3),IF(Parameter!$E$27="Ja","LIFT",IF(CE1152=1,"L1","L23")),IF(CE1152="Aussen","Aussen","-"))</f>
        <v>LIFT</v>
      </c>
      <c r="CG1152" s="59" t="n">
        <f aca="false">IF(N(AB1152)&gt;0,AB1152,0)</f>
        <v>0</v>
      </c>
      <c r="CH1152" s="53" t="n">
        <f aca="false">IF(ISNUMBER(AE1152),1,0)</f>
        <v>0</v>
      </c>
      <c r="CI1152" s="50" t="n">
        <f aca="false">N(AE1152)</f>
        <v>0</v>
      </c>
      <c r="CJ1152" s="50" t="n">
        <f aca="false">N(M1152)+N(N1152)</f>
        <v>10</v>
      </c>
      <c r="CK1152" s="50" t="n">
        <f aca="false">N(M1152)</f>
        <v>0</v>
      </c>
      <c r="CL1152" s="50" t="n">
        <f aca="false">N(N1152)</f>
        <v>10</v>
      </c>
      <c r="CM1152" s="50" t="n">
        <f aca="false">ROUNDUP(H1152/BY1152,0)</f>
        <v>1</v>
      </c>
      <c r="CN1152" s="50" t="n">
        <f aca="false">ROUNDUP(CI1152/BY1152,0)</f>
        <v>0</v>
      </c>
      <c r="CO1152" s="53" t="n">
        <f aca="false">IF(BZ1152=1,0,IFERROR(VLOOKUP(BX1152,'Gebinde-Kategorie'!$A$5:$N$45,5,0)+0,0))</f>
        <v>21</v>
      </c>
      <c r="CP1152" s="53" t="n">
        <f aca="false">IFERROR(IF(OR(CE1152=1,CE1152=2,CE1152=3),N(INDEX(Parameter!$I$5:$I$7,CE1152)),0),0)</f>
        <v>0</v>
      </c>
      <c r="CQ1152" s="52" t="n">
        <f aca="false">IF(AND(Parameter!$B$21="Ja",ISNUMBER(W1152),N(X1152)&gt;0),IFERROR(N(INDEX(Parameter!$L$5:$L$7,W1152))*INDEX(Parameter!$E$5:$E$7,W1152)*X1152/SUMIFS($X$7:$X$1843,$W$7:$W$1843,W1152),0),0)</f>
        <v>0</v>
      </c>
    </row>
    <row r="1153" customFormat="false" ht="15" hidden="false" customHeight="false" outlineLevel="0" collapsed="false">
      <c r="A1153" s="48" t="s">
        <v>2090</v>
      </c>
      <c r="B1153" s="48" t="s">
        <v>2091</v>
      </c>
      <c r="C1153" s="48" t="s">
        <v>173</v>
      </c>
      <c r="D1153" s="48" t="s">
        <v>193</v>
      </c>
      <c r="E1153" s="48" t="s">
        <v>194</v>
      </c>
      <c r="F1153" s="48" t="s">
        <v>227</v>
      </c>
      <c r="G1153" s="49" t="n">
        <v>62.19</v>
      </c>
      <c r="H1153" s="50" t="n">
        <f aca="false">MAX(0,IF(AND(Parameter!$B$21="Ja",ISNUMBER(Y1153)),Y1153,IF(Parameter!$B$20="Jahresanfang 2025 + Export",BR1153+BQ1153,BQ1153)))</f>
        <v>5</v>
      </c>
      <c r="I1153" s="50" t="n">
        <f aca="false">H1153*G1153</f>
        <v>310.95</v>
      </c>
      <c r="J1153" s="50" t="n">
        <f aca="false">BT1153*Parameter!$B$18</f>
        <v>2</v>
      </c>
      <c r="K1153" s="51" t="n">
        <v>9</v>
      </c>
      <c r="L1153" s="52" t="n">
        <v>0.222222222222222</v>
      </c>
      <c r="M1153" s="50" t="n">
        <v>0</v>
      </c>
      <c r="N1153" s="50" t="n">
        <v>1</v>
      </c>
      <c r="O1153" s="53" t="n">
        <v>21</v>
      </c>
      <c r="P1153" s="48" t="s">
        <v>485</v>
      </c>
      <c r="Q1153" s="50" t="n">
        <v>8</v>
      </c>
      <c r="R1153" s="53" t="n">
        <f aca="false">IF(BZ1153=1,0,IFERROR(VLOOKUP(BX1153,'Gebinde-Kategorie'!$A$5:$N$45,13,0)+0,0))</f>
        <v>52</v>
      </c>
      <c r="S1153" s="54"/>
      <c r="T1153" s="55"/>
      <c r="U1153" s="55"/>
      <c r="V1153" s="55"/>
      <c r="W1153" s="48"/>
      <c r="X1153" s="50"/>
      <c r="Y1153" s="50"/>
      <c r="Z1153" s="48" t="n">
        <f aca="false">IF(A1153="","",IF(AND(Parameter!$B$21="Ja",ISNUMBER(W1153)),W1153,IF(CC1153="2+3",IF(ISNUMBER(SEARCH("grosser Artikel",BU1153)),2,IFERROR(VLOOKUP(BX1153,Parameter!$F$35:$G$64,2,0),2)),IF(OR(CC1153="Nein",CC1153=""),"-",CC1153))))</f>
        <v>3</v>
      </c>
      <c r="AA1153" s="55"/>
      <c r="AB1153" s="56"/>
      <c r="AC1153" s="50" t="n">
        <f aca="false">AV1153</f>
        <v>2</v>
      </c>
      <c r="AD1153" s="50" t="n">
        <f aca="false">MAX(AV1153,H1153)</f>
        <v>5</v>
      </c>
      <c r="AE1153" s="57"/>
      <c r="AF1153" s="50" t="n">
        <f aca="false">IF(LEFT(Cockpit!$C$5,1)="A",H1153,IF(Parameter!$E$30="MAX-Bestand",IF(CH1153=1,CI1153,IF(LEFT(Cockpit!$C$5,1)="B",AL1153,MAX(AL1153,H1153))),ROUNDUP(AJ1153,0)))</f>
        <v>5</v>
      </c>
      <c r="AG1153" s="50" t="n">
        <f aca="false">IF(BZ1153=1,0,ROUNDUP(AF1153/BY1153,0))</f>
        <v>1</v>
      </c>
      <c r="AH1153" s="52" t="n">
        <f aca="false">IF(CQ1153&gt;0,CQ1153*MAX(1,AF1153/X1153),IF(BZ1153=1,IF(AF1153&lt;=0,0,CD1153*MAX(1,IF(H1153&gt;0,AF1153/H1153,1))),IF(R1153&gt;0,AG1153/R1153,0))/MAX(0.1,N(Parameter!$M$21)))</f>
        <v>0.0192307692307692</v>
      </c>
      <c r="AI1153" s="50" t="n">
        <f aca="false">AH1153*CB1153</f>
        <v>2.98076923076923</v>
      </c>
      <c r="AJ1153" s="51" t="n">
        <f aca="false">IF(LEFT(Cockpit!$C$5,1)="A",H1153,IF(CH1153=1,(CK1153+CI1153)/2,IF(LEFT(Cockpit!$C$5,1)="B",(CK1153+AL1153)/2,MAX((CK1153+AL1153)/2,H1153))))</f>
        <v>5</v>
      </c>
      <c r="AK1153" s="50" t="n">
        <f aca="false">AJ1153*G1153</f>
        <v>310.95</v>
      </c>
      <c r="AL1153" s="50" t="n">
        <f aca="false">ROUNDUP(CK1153+MAX(CL1153,2*(J1153/IF(CG1153&gt;0,CG1153,MAX(0.1,N(Cockpit!$C$6)))-CK1153)),0)</f>
        <v>2</v>
      </c>
      <c r="AM1153" s="51" t="n">
        <f aca="false">IF(AI1153&gt;0,J1153/AI1153,-1)</f>
        <v>0.670967741935484</v>
      </c>
      <c r="AN1153" s="51" t="n">
        <f aca="false">IF(AND(OR(CF1153="L1",CF1153="L23",CF1153="LIFT"),AI1153&gt;0),SUMIFS($AI$7:$AI$1843,$CF$7:$CF$1843,CF1153,$AM$7:$AM$1843,"&gt;"&amp;AM1153)+SUMIFS($AI$7:$AI$1843,$CF$7:$CF$1843,CF1153,$AM$7:$AM$1843,AM1153,$BW$7:$BW$1843,"&lt;="&amp;BW1153),"")</f>
        <v>8636.97756410256</v>
      </c>
      <c r="AO1153" s="58" t="n">
        <f aca="false">IF(AN1153="",0,MAX(0,MIN(1,(IF(CF1153="L1",Parameter!$H$5,IF(CF1153="L23",Parameter!$H$6+Parameter!$H$7,Parameter!$H$5+Parameter!$H$6+Parameter!$H$7))-(AN1153-AI1153))/AI1153)))</f>
        <v>1</v>
      </c>
      <c r="AP1153" s="50" t="n">
        <f aca="false">IF(LEFT(Cockpit!$I$5,1)="A",H1153,IF(Parameter!$E$30="MAX-Bestand",IF(CH1153=1,CI1153,IF(LEFT(Cockpit!$I$5,1)="B",AV1153,MAX(AV1153,H1153))),ROUNDUP(AT1153,0)))</f>
        <v>5</v>
      </c>
      <c r="AQ1153" s="50" t="n">
        <f aca="false">IF(BZ1153=1,0,ROUNDUP(AP1153/BY1153,0))</f>
        <v>1</v>
      </c>
      <c r="AR1153" s="52" t="n">
        <f aca="false">IF(CQ1153&gt;0,CQ1153*MAX(1,AP1153/X1153),IF(BZ1153=1,IF(AP1153&lt;=0,0,CD1153*MAX(1,IF(H1153&gt;0,AP1153/H1153,1))),IF(R1153&gt;0,AQ1153/R1153,0))/MAX(0.1,N(Parameter!$M$21)))</f>
        <v>0.0192307692307692</v>
      </c>
      <c r="AS1153" s="50" t="n">
        <f aca="false">AR1153*CB1153</f>
        <v>2.98076923076923</v>
      </c>
      <c r="AT1153" s="51" t="n">
        <f aca="false">IF(LEFT(Cockpit!$I$5,1)="A",H1153,IF(CH1153=1,(CK1153+CI1153)/2,IF(LEFT(Cockpit!$I$5,1)="B",(CK1153+AV1153)/2,MAX((CK1153+AV1153)/2,H1153))))</f>
        <v>5</v>
      </c>
      <c r="AU1153" s="50" t="n">
        <f aca="false">AT1153*G1153</f>
        <v>310.95</v>
      </c>
      <c r="AV1153" s="50" t="n">
        <f aca="false">ROUNDUP(CK1153+MAX(CL1153,2*(J1153/IF(CG1153&gt;0,CG1153,MAX(0.1,N(Cockpit!$I$6)))-CK1153)),0)</f>
        <v>2</v>
      </c>
      <c r="AW1153" s="51" t="n">
        <f aca="false">IF(AS1153&gt;0,J1153/AS1153,-1)</f>
        <v>0.670967741935484</v>
      </c>
      <c r="AX1153" s="51" t="n">
        <f aca="false">IF(AND(OR(CF1153="L1",CF1153="L23",CF1153="LIFT"),AS1153&gt;0),SUMIFS($AS$7:$AS$1843,$CF$7:$CF$1843,CF1153,$AW$7:$AW$1843,"&gt;"&amp;AW1153)+SUMIFS($AS$7:$AS$1843,$CF$7:$CF$1843,CF1153,$AW$7:$AW$1843,AW1153,$BW$7:$BW$1843,"&lt;="&amp;BW1153),"")</f>
        <v>10931.1451465201</v>
      </c>
      <c r="AY1153" s="58" t="n">
        <f aca="false">IF(AX1153="",0,MAX(0,MIN(1,(IF(CF1153="L1",Parameter!$H$5,IF(CF1153="L23",Parameter!$H$6+Parameter!$H$7,Parameter!$H$5+Parameter!$H$6+Parameter!$H$7))-(AX1153-AS1153))/AS1153)))</f>
        <v>1</v>
      </c>
      <c r="AZ1153" s="50" t="n">
        <f aca="false">IF(LEFT(Cockpit!$O$5,1)="A",H1153,IF(Parameter!$E$30="MAX-Bestand",IF(CH1153=1,CI1153,IF(LEFT(Cockpit!$O$5,1)="B",BF1153,MAX(BF1153,H1153))),ROUNDUP(BD1153,0)))</f>
        <v>1</v>
      </c>
      <c r="BA1153" s="50" t="n">
        <f aca="false">IF(BZ1153=1,0,ROUNDUP(AZ1153/BY1153,0))</f>
        <v>1</v>
      </c>
      <c r="BB1153" s="52" t="n">
        <f aca="false">IF(CQ1153&gt;0,CQ1153*MAX(1,AZ1153/X1153),IF(BZ1153=1,IF(AZ1153&lt;=0,0,CD1153*MAX(1,IF(H1153&gt;0,AZ1153/H1153,1))),IF(R1153&gt;0,BA1153/R1153,0))/MAX(0.1,N(Parameter!$M$21)))</f>
        <v>0.0192307692307692</v>
      </c>
      <c r="BC1153" s="50" t="n">
        <f aca="false">BB1153*CB1153</f>
        <v>2.98076923076923</v>
      </c>
      <c r="BD1153" s="51" t="n">
        <f aca="false">IF(LEFT(Cockpit!$O$5,1)="A",H1153,IF(CH1153=1,(CK1153+CI1153)/2,IF(LEFT(Cockpit!$O$5,1)="B",(CK1153+BF1153)/2,MAX((CK1153+BF1153)/2,H1153))))</f>
        <v>0.5</v>
      </c>
      <c r="BE1153" s="50" t="n">
        <f aca="false">BD1153*G1153</f>
        <v>31.095</v>
      </c>
      <c r="BF1153" s="50" t="n">
        <f aca="false">ROUNDUP(CK1153+MAX(CL1153,2*(J1153/IF(CG1153&gt;0,CG1153,MAX(0.1,N(Cockpit!$O$6)))-CK1153)),0)</f>
        <v>1</v>
      </c>
      <c r="BG1153" s="51" t="n">
        <f aca="false">IF(BC1153&gt;0,J1153/BC1153,-1)</f>
        <v>0.670967741935484</v>
      </c>
      <c r="BH1153" s="51" t="n">
        <f aca="false">IF(AND(OR(CF1153="L1",CF1153="L23",CF1153="LIFT"),BC1153&gt;0),SUMIFS($BC$7:$BC$1843,$CF$7:$CF$1843,CF1153,$BG$7:$BG$1843,"&gt;"&amp;BG1153)+SUMIFS($BC$7:$BC$1843,$CF$7:$CF$1843,CF1153,$BG$7:$BG$1843,BG1153,$BW$7:$BW$1843,"&lt;="&amp;BW1153),"")</f>
        <v>9540.7793040293</v>
      </c>
      <c r="BI1153" s="58" t="n">
        <f aca="false">IF(BH1153="",0,MAX(0,MIN(1,(IF(CF1153="L1",Parameter!$H$5,IF(CF1153="L23",Parameter!$H$6+Parameter!$H$7,Parameter!$H$5+Parameter!$H$6+Parameter!$H$7))-(BH1153-BC1153))/BC1153)))</f>
        <v>1</v>
      </c>
      <c r="BJ1153" s="48" t="str">
        <f aca="false">IF(AI1153&lt;=0,"",IF(CF1153="Aussen","Aussenlager",IF(CF1153="-","Nicht im Lift",IF(AO1153&gt;=1,"Lift",IF(AO1153&lt;=0,"Aussenlager","teilweise")))))</f>
        <v>Lift</v>
      </c>
      <c r="BK1153" s="48" t="str">
        <f aca="false">IF(AS1153&lt;=0,"",IF(CF1153="Aussen","Aussenlager",IF(CF1153="-","Nicht im Lift",IF(AY1153&gt;=1,"Lift",IF(AY1153&lt;=0,"Aussenlager","teilweise")))))</f>
        <v>Lift</v>
      </c>
      <c r="BL1153" s="48" t="str">
        <f aca="false">IF(BC1153&lt;=0,"",IF(CF1153="Aussen","Aussenlager",IF(CF1153="-","Nicht im Lift",IF(BI1153&gt;=1,"Lift",IF(BI1153&lt;=0,"Aussenlager","teilweise")))))</f>
        <v>Lift</v>
      </c>
      <c r="BM1153" s="48" t="str">
        <f aca="false">IF(A1153="","",IF(BV1153=1,"Neu; ","")&amp;IF(AND(BV1153=0,BQ1153&lt;0),"negativer Bestand (Export "&amp;BQ1153&amp;"); ","")&amp;IF(J1153&lt;=0,"Kein Verbrauch; ","")&amp;IF(CQ1153&gt;0,"Lift "&amp;W1153&amp;" lt. Liftbericht (Fach "&amp;X1153&amp;" Stk); ",IF(CA1153=1,"Gebinde geschätzt ("&amp;T1153&amp;"); ",IF(BZ1153=1,"Lose – Tablare geschätzt; ","")))&amp;IF(H1153&gt;AV1153,"Überbestand "&amp;ROUND(H1153-AV1153,0)&amp;" Stk / CHF "&amp;ROUND((H1153-AV1153)*G1153,0)&amp;"; ","")&amp;IF(AND(CH1153=1,CI1153&lt;CJ1153),"MAX &lt; MB+LG; ","")&amp;IF(AND(CP1153&gt;0,CO1153*10&gt;CP1153),"zu hoch für Tablar; ","")&amp;IF(AND(BV1153=0,OR(CH1153=1,AA1153&lt;&gt;"",U1153&lt;&gt;"",V1153&lt;&gt;"",AB1153&lt;&gt;"")),"manuell übersteuert; ","")&amp;IF(AND(BZ1153=0,R1153=0),"Gebinde unbekannt / Stellmass fehlt; ","")&amp;IF(AND(BZ1153=0,N(V1153)&lt;=0,N(Q1153)&lt;=0),"Menge pro Gebinde fehlt (Ist = 1 Gebinde); ","")&amp;BU1153)</f>
        <v>negativer Bestand (Export -5); Überbestand 3 Stk / CHF 187; Neu</v>
      </c>
      <c r="BN1153" s="48"/>
      <c r="BO1153" s="48"/>
      <c r="BP1153" s="55"/>
      <c r="BQ1153" s="50" t="n">
        <v>-5</v>
      </c>
      <c r="BR1153" s="50" t="n">
        <v>10</v>
      </c>
      <c r="BS1153" s="49" t="n">
        <v>-310.95</v>
      </c>
      <c r="BT1153" s="50" t="n">
        <v>2</v>
      </c>
      <c r="BU1153" s="48" t="s">
        <v>635</v>
      </c>
      <c r="BV1153" s="53" t="n">
        <v>0</v>
      </c>
      <c r="BW1153" s="53" t="n">
        <v>1153</v>
      </c>
      <c r="BX1153" s="48" t="str">
        <f aca="false">IF(U1153&lt;&gt;"",UPPER(TRIM(U1153)),IF(CA1153=1,UPPER(VLOOKUP(T1153,Parameter!$I$27:$K$29,2,0)),IF(P1153="","LOSE",P1153)))</f>
        <v>S33</v>
      </c>
      <c r="BY1153" s="50" t="n">
        <f aca="false">IF(BX1153="LOSE",1,IF(N(V1153)&gt;0,V1153,IF(CA1153=1,MAX(1,N(VLOOKUP(T1153,Parameter!$I$27:$K$29,3,0)),H1153,N(N1153)),IF(N(Q1153)&gt;0,Q1153,MAX(1,H1153)))))</f>
        <v>8</v>
      </c>
      <c r="BZ1153" s="53" t="n">
        <f aca="false">IF(BX1153="LOSE",1,0)</f>
        <v>0</v>
      </c>
      <c r="CA1153" s="53" t="n">
        <f aca="false">IF(AND(U1153="",OR(P1153="",P1153="LOSE"),T1153&lt;&gt;"",N(S1153)&lt;=0,ISNUMBER(MATCH(T1153,Parameter!$I$27:$I$29,0))),1,0)</f>
        <v>0</v>
      </c>
      <c r="CB1153" s="53" t="n">
        <f aca="false">IF(CQ1153&gt;0,INDEX(Parameter!$H$5:$H$7,W1153)/INDEX(Parameter!$E$5:$E$7,W1153),IF(AND(BZ1153=0,N(IFERROR(VLOOKUP(BX1153,'Gebinde-Kategorie'!$A$5:$N$45,14,0),0))&gt;0),VLOOKUP(BX1153,'Gebinde-Kategorie'!$A$5:$N$45,14,0)*10+Parameter!$M$23,Parameter!$M$24))</f>
        <v>155</v>
      </c>
      <c r="CC1153" s="48" t="str">
        <f aca="false">IF(AND(Parameter!$B$19="Ja",E1153&lt;&gt;"",ISNUMBER(MATCH(E1153,Parameter!$I$35:$I$52,0))),VLOOKUP(E1153,Parameter!$I$35:$J$52,2,0),IFERROR(VLOOKUP(D1153,Parameter!$A$35:$C$64,2,0),"Nein"))</f>
        <v>2+3</v>
      </c>
      <c r="CD1153" s="52" t="n">
        <f aca="false">IF(BZ1153=0,0,IF(N(S1153)&gt;0,S1153,IFERROR(VLOOKUP(D1153,Parameter!$A$35:$C$64,3,0)+0,0)))</f>
        <v>0</v>
      </c>
      <c r="CE1153" s="48" t="n">
        <f aca="false">IF(AA1153&lt;&gt;"",AA1153,Z1153)</f>
        <v>3</v>
      </c>
      <c r="CF1153" s="48" t="str">
        <f aca="false">IF(OR(CE1153=1,CE1153=2,CE1153=3),IF(Parameter!$E$27="Ja","LIFT",IF(CE1153=1,"L1","L23")),IF(CE1153="Aussen","Aussen","-"))</f>
        <v>LIFT</v>
      </c>
      <c r="CG1153" s="59" t="n">
        <f aca="false">IF(N(AB1153)&gt;0,AB1153,0)</f>
        <v>0</v>
      </c>
      <c r="CH1153" s="53" t="n">
        <f aca="false">IF(ISNUMBER(AE1153),1,0)</f>
        <v>0</v>
      </c>
      <c r="CI1153" s="50" t="n">
        <f aca="false">N(AE1153)</f>
        <v>0</v>
      </c>
      <c r="CJ1153" s="50" t="n">
        <f aca="false">N(M1153)+N(N1153)</f>
        <v>1</v>
      </c>
      <c r="CK1153" s="50" t="n">
        <f aca="false">N(M1153)</f>
        <v>0</v>
      </c>
      <c r="CL1153" s="50" t="n">
        <f aca="false">N(N1153)</f>
        <v>1</v>
      </c>
      <c r="CM1153" s="50" t="n">
        <f aca="false">ROUNDUP(H1153/BY1153,0)</f>
        <v>1</v>
      </c>
      <c r="CN1153" s="50" t="n">
        <f aca="false">ROUNDUP(CI1153/BY1153,0)</f>
        <v>0</v>
      </c>
      <c r="CO1153" s="53" t="n">
        <f aca="false">IF(BZ1153=1,0,IFERROR(VLOOKUP(BX1153,'Gebinde-Kategorie'!$A$5:$N$45,5,0)+0,0))</f>
        <v>8</v>
      </c>
      <c r="CP1153" s="53" t="n">
        <f aca="false">IFERROR(IF(OR(CE1153=1,CE1153=2,CE1153=3),N(INDEX(Parameter!$I$5:$I$7,CE1153)),0),0)</f>
        <v>0</v>
      </c>
      <c r="CQ1153" s="52" t="n">
        <f aca="false">IF(AND(Parameter!$B$21="Ja",ISNUMBER(W1153),N(X1153)&gt;0),IFERROR(N(INDEX(Parameter!$L$5:$L$7,W1153))*INDEX(Parameter!$E$5:$E$7,W1153)*X1153/SUMIFS($X$7:$X$1843,$W$7:$W$1843,W1153),0),0)</f>
        <v>0</v>
      </c>
    </row>
    <row r="1154" customFormat="false" ht="15" hidden="false" customHeight="false" outlineLevel="0" collapsed="false">
      <c r="A1154" s="48" t="s">
        <v>2092</v>
      </c>
      <c r="B1154" s="48" t="s">
        <v>2093</v>
      </c>
      <c r="C1154" s="48" t="s">
        <v>173</v>
      </c>
      <c r="D1154" s="48" t="s">
        <v>193</v>
      </c>
      <c r="E1154" s="48" t="s">
        <v>194</v>
      </c>
      <c r="F1154" s="48" t="s">
        <v>227</v>
      </c>
      <c r="G1154" s="49" t="n">
        <v>166.8</v>
      </c>
      <c r="H1154" s="50" t="n">
        <f aca="false">MAX(0,IF(AND(Parameter!$B$21="Ja",ISNUMBER(Y1154)),Y1154,IF(Parameter!$B$20="Jahresanfang 2025 + Export",BR1154+BQ1154,BQ1154)))</f>
        <v>2</v>
      </c>
      <c r="I1154" s="50" t="n">
        <f aca="false">H1154*G1154</f>
        <v>333.6</v>
      </c>
      <c r="J1154" s="50" t="n">
        <f aca="false">BT1154*Parameter!$B$18</f>
        <v>3</v>
      </c>
      <c r="K1154" s="51" t="n">
        <v>3</v>
      </c>
      <c r="L1154" s="52" t="n">
        <v>1</v>
      </c>
      <c r="M1154" s="50" t="n">
        <v>0</v>
      </c>
      <c r="N1154" s="50" t="n">
        <v>5</v>
      </c>
      <c r="O1154" s="53" t="n">
        <v>28</v>
      </c>
      <c r="P1154" s="48" t="s">
        <v>430</v>
      </c>
      <c r="Q1154" s="50" t="n">
        <v>5</v>
      </c>
      <c r="R1154" s="53" t="n">
        <f aca="false">IF(BZ1154=1,0,IFERROR(VLOOKUP(BX1154,'Gebinde-Kategorie'!$A$5:$N$45,13,0)+0,0))</f>
        <v>104</v>
      </c>
      <c r="S1154" s="54"/>
      <c r="T1154" s="55"/>
      <c r="U1154" s="55"/>
      <c r="V1154" s="55"/>
      <c r="W1154" s="48"/>
      <c r="X1154" s="50"/>
      <c r="Y1154" s="50"/>
      <c r="Z1154" s="48" t="n">
        <f aca="false">IF(A1154="","",IF(AND(Parameter!$B$21="Ja",ISNUMBER(W1154)),W1154,IF(CC1154="2+3",IF(ISNUMBER(SEARCH("grosser Artikel",BU1154)),2,IFERROR(VLOOKUP(BX1154,Parameter!$F$35:$G$64,2,0),2)),IF(OR(CC1154="Nein",CC1154=""),"-",CC1154))))</f>
        <v>3</v>
      </c>
      <c r="AA1154" s="55"/>
      <c r="AB1154" s="56"/>
      <c r="AC1154" s="50" t="n">
        <f aca="false">AV1154</f>
        <v>5</v>
      </c>
      <c r="AD1154" s="50" t="n">
        <f aca="false">MAX(AV1154,H1154)</f>
        <v>5</v>
      </c>
      <c r="AE1154" s="57"/>
      <c r="AF1154" s="50" t="n">
        <f aca="false">IF(LEFT(Cockpit!$C$5,1)="A",H1154,IF(Parameter!$E$30="MAX-Bestand",IF(CH1154=1,CI1154,IF(LEFT(Cockpit!$C$5,1)="B",AL1154,MAX(AL1154,H1154))),ROUNDUP(AJ1154,0)))</f>
        <v>2</v>
      </c>
      <c r="AG1154" s="50" t="n">
        <f aca="false">IF(BZ1154=1,0,ROUNDUP(AF1154/BY1154,0))</f>
        <v>1</v>
      </c>
      <c r="AH1154" s="52" t="n">
        <f aca="false">IF(CQ1154&gt;0,CQ1154*MAX(1,AF1154/X1154),IF(BZ1154=1,IF(AF1154&lt;=0,0,CD1154*MAX(1,IF(H1154&gt;0,AF1154/H1154,1))),IF(R1154&gt;0,AG1154/R1154,0))/MAX(0.1,N(Parameter!$M$21)))</f>
        <v>0.00961538461538462</v>
      </c>
      <c r="AI1154" s="50" t="n">
        <f aca="false">AH1154*CB1154</f>
        <v>1.49038461538462</v>
      </c>
      <c r="AJ1154" s="51" t="n">
        <f aca="false">IF(LEFT(Cockpit!$C$5,1)="A",H1154,IF(CH1154=1,(CK1154+CI1154)/2,IF(LEFT(Cockpit!$C$5,1)="B",(CK1154+AL1154)/2,MAX((CK1154+AL1154)/2,H1154))))</f>
        <v>2</v>
      </c>
      <c r="AK1154" s="50" t="n">
        <f aca="false">AJ1154*G1154</f>
        <v>333.6</v>
      </c>
      <c r="AL1154" s="50" t="n">
        <f aca="false">ROUNDUP(CK1154+MAX(CL1154,2*(J1154/IF(CG1154&gt;0,CG1154,MAX(0.1,N(Cockpit!$C$6)))-CK1154)),0)</f>
        <v>5</v>
      </c>
      <c r="AM1154" s="51" t="n">
        <f aca="false">IF(AI1154&gt;0,J1154/AI1154,-1)</f>
        <v>2.01290322580645</v>
      </c>
      <c r="AN1154" s="51" t="n">
        <f aca="false">IF(AND(OR(CF1154="L1",CF1154="L23",CF1154="LIFT"),AI1154&gt;0),SUMIFS($AI$7:$AI$1843,$CF$7:$CF$1843,CF1154,$AM$7:$AM$1843,"&gt;"&amp;AM1154)+SUMIFS($AI$7:$AI$1843,$CF$7:$CF$1843,CF1154,$AM$7:$AM$1843,AM1154,$BW$7:$BW$1843,"&lt;="&amp;BW1154),"")</f>
        <v>5823.63827838828</v>
      </c>
      <c r="AO1154" s="58" t="n">
        <f aca="false">IF(AN1154="",0,MAX(0,MIN(1,(IF(CF1154="L1",Parameter!$H$5,IF(CF1154="L23",Parameter!$H$6+Parameter!$H$7,Parameter!$H$5+Parameter!$H$6+Parameter!$H$7))-(AN1154-AI1154))/AI1154)))</f>
        <v>1</v>
      </c>
      <c r="AP1154" s="50" t="n">
        <f aca="false">IF(LEFT(Cockpit!$I$5,1)="A",H1154,IF(Parameter!$E$30="MAX-Bestand",IF(CH1154=1,CI1154,IF(LEFT(Cockpit!$I$5,1)="B",AV1154,MAX(AV1154,H1154))),ROUNDUP(AT1154,0)))</f>
        <v>3</v>
      </c>
      <c r="AQ1154" s="50" t="n">
        <f aca="false">IF(BZ1154=1,0,ROUNDUP(AP1154/BY1154,0))</f>
        <v>1</v>
      </c>
      <c r="AR1154" s="52" t="n">
        <f aca="false">IF(CQ1154&gt;0,CQ1154*MAX(1,AP1154/X1154),IF(BZ1154=1,IF(AP1154&lt;=0,0,CD1154*MAX(1,IF(H1154&gt;0,AP1154/H1154,1))),IF(R1154&gt;0,AQ1154/R1154,0))/MAX(0.1,N(Parameter!$M$21)))</f>
        <v>0.00961538461538462</v>
      </c>
      <c r="AS1154" s="50" t="n">
        <f aca="false">AR1154*CB1154</f>
        <v>1.49038461538462</v>
      </c>
      <c r="AT1154" s="51" t="n">
        <f aca="false">IF(LEFT(Cockpit!$I$5,1)="A",H1154,IF(CH1154=1,(CK1154+CI1154)/2,IF(LEFT(Cockpit!$I$5,1)="B",(CK1154+AV1154)/2,MAX((CK1154+AV1154)/2,H1154))))</f>
        <v>2.5</v>
      </c>
      <c r="AU1154" s="50" t="n">
        <f aca="false">AT1154*G1154</f>
        <v>417</v>
      </c>
      <c r="AV1154" s="50" t="n">
        <f aca="false">ROUNDUP(CK1154+MAX(CL1154,2*(J1154/IF(CG1154&gt;0,CG1154,MAX(0.1,N(Cockpit!$I$6)))-CK1154)),0)</f>
        <v>5</v>
      </c>
      <c r="AW1154" s="51" t="n">
        <f aca="false">IF(AS1154&gt;0,J1154/AS1154,-1)</f>
        <v>2.01290322580645</v>
      </c>
      <c r="AX1154" s="51" t="n">
        <f aca="false">IF(AND(OR(CF1154="L1",CF1154="L23",CF1154="LIFT"),AS1154&gt;0),SUMIFS($AS$7:$AS$1843,$CF$7:$CF$1843,CF1154,$AW$7:$AW$1843,"&gt;"&amp;AW1154)+SUMIFS($AS$7:$AS$1843,$CF$7:$CF$1843,CF1154,$AW$7:$AW$1843,AW1154,$BW$7:$BW$1843,"&lt;="&amp;BW1154),"")</f>
        <v>7191.57783882784</v>
      </c>
      <c r="AY1154" s="58" t="n">
        <f aca="false">IF(AX1154="",0,MAX(0,MIN(1,(IF(CF1154="L1",Parameter!$H$5,IF(CF1154="L23",Parameter!$H$6+Parameter!$H$7,Parameter!$H$5+Parameter!$H$6+Parameter!$H$7))-(AX1154-AS1154))/AS1154)))</f>
        <v>1</v>
      </c>
      <c r="AZ1154" s="50" t="n">
        <f aca="false">IF(LEFT(Cockpit!$O$5,1)="A",H1154,IF(Parameter!$E$30="MAX-Bestand",IF(CH1154=1,CI1154,IF(LEFT(Cockpit!$O$5,1)="B",BF1154,MAX(BF1154,H1154))),ROUNDUP(BD1154,0)))</f>
        <v>3</v>
      </c>
      <c r="BA1154" s="50" t="n">
        <f aca="false">IF(BZ1154=1,0,ROUNDUP(AZ1154/BY1154,0))</f>
        <v>1</v>
      </c>
      <c r="BB1154" s="52" t="n">
        <f aca="false">IF(CQ1154&gt;0,CQ1154*MAX(1,AZ1154/X1154),IF(BZ1154=1,IF(AZ1154&lt;=0,0,CD1154*MAX(1,IF(H1154&gt;0,AZ1154/H1154,1))),IF(R1154&gt;0,BA1154/R1154,0))/MAX(0.1,N(Parameter!$M$21)))</f>
        <v>0.00961538461538462</v>
      </c>
      <c r="BC1154" s="50" t="n">
        <f aca="false">BB1154*CB1154</f>
        <v>1.49038461538462</v>
      </c>
      <c r="BD1154" s="51" t="n">
        <f aca="false">IF(LEFT(Cockpit!$O$5,1)="A",H1154,IF(CH1154=1,(CK1154+CI1154)/2,IF(LEFT(Cockpit!$O$5,1)="B",(CK1154+BF1154)/2,MAX((CK1154+BF1154)/2,H1154))))</f>
        <v>2.5</v>
      </c>
      <c r="BE1154" s="50" t="n">
        <f aca="false">BD1154*G1154</f>
        <v>417</v>
      </c>
      <c r="BF1154" s="50" t="n">
        <f aca="false">ROUNDUP(CK1154+MAX(CL1154,2*(J1154/IF(CG1154&gt;0,CG1154,MAX(0.1,N(Cockpit!$O$6)))-CK1154)),0)</f>
        <v>5</v>
      </c>
      <c r="BG1154" s="51" t="n">
        <f aca="false">IF(BC1154&gt;0,J1154/BC1154,-1)</f>
        <v>2.01290322580645</v>
      </c>
      <c r="BH1154" s="51" t="n">
        <f aca="false">IF(AND(OR(CF1154="L1",CF1154="L23",CF1154="LIFT"),BC1154&gt;0),SUMIFS($BC$7:$BC$1843,$CF$7:$CF$1843,CF1154,$BG$7:$BG$1843,"&gt;"&amp;BG1154)+SUMIFS($BC$7:$BC$1843,$CF$7:$CF$1843,CF1154,$BG$7:$BG$1843,BG1154,$BW$7:$BW$1843,"&lt;="&amp;BW1154),"")</f>
        <v>5893.41025641026</v>
      </c>
      <c r="BI1154" s="58" t="n">
        <f aca="false">IF(BH1154="",0,MAX(0,MIN(1,(IF(CF1154="L1",Parameter!$H$5,IF(CF1154="L23",Parameter!$H$6+Parameter!$H$7,Parameter!$H$5+Parameter!$H$6+Parameter!$H$7))-(BH1154-BC1154))/BC1154)))</f>
        <v>1</v>
      </c>
      <c r="BJ1154" s="48" t="str">
        <f aca="false">IF(AI1154&lt;=0,"",IF(CF1154="Aussen","Aussenlager",IF(CF1154="-","Nicht im Lift",IF(AO1154&gt;=1,"Lift",IF(AO1154&lt;=0,"Aussenlager","teilweise")))))</f>
        <v>Lift</v>
      </c>
      <c r="BK1154" s="48" t="str">
        <f aca="false">IF(AS1154&lt;=0,"",IF(CF1154="Aussen","Aussenlager",IF(CF1154="-","Nicht im Lift",IF(AY1154&gt;=1,"Lift",IF(AY1154&lt;=0,"Aussenlager","teilweise")))))</f>
        <v>Lift</v>
      </c>
      <c r="BL1154" s="48" t="str">
        <f aca="false">IF(BC1154&lt;=0,"",IF(CF1154="Aussen","Aussenlager",IF(CF1154="-","Nicht im Lift",IF(BI1154&gt;=1,"Lift",IF(BI1154&lt;=0,"Aussenlager","teilweise")))))</f>
        <v>Lift</v>
      </c>
      <c r="BM1154" s="48" t="str">
        <f aca="false">IF(A1154="","",IF(BV1154=1,"Neu; ","")&amp;IF(AND(BV1154=0,BQ1154&lt;0),"negativer Bestand (Export "&amp;BQ1154&amp;"); ","")&amp;IF(J1154&lt;=0,"Kein Verbrauch; ","")&amp;IF(CQ1154&gt;0,"Lift "&amp;W1154&amp;" lt. Liftbericht (Fach "&amp;X1154&amp;" Stk); ",IF(CA1154=1,"Gebinde geschätzt ("&amp;T1154&amp;"); ",IF(BZ1154=1,"Lose – Tablare geschätzt; ","")))&amp;IF(H1154&gt;AV1154,"Überbestand "&amp;ROUND(H1154-AV1154,0)&amp;" Stk / CHF "&amp;ROUND((H1154-AV1154)*G1154,0)&amp;"; ","")&amp;IF(AND(CH1154=1,CI1154&lt;CJ1154),"MAX &lt; MB+LG; ","")&amp;IF(AND(CP1154&gt;0,CO1154*10&gt;CP1154),"zu hoch für Tablar; ","")&amp;IF(AND(BV1154=0,OR(CH1154=1,AA1154&lt;&gt;"",U1154&lt;&gt;"",V1154&lt;&gt;"",AB1154&lt;&gt;"")),"manuell übersteuert; ","")&amp;IF(AND(BZ1154=0,R1154=0),"Gebinde unbekannt / Stellmass fehlt; ","")&amp;IF(AND(BZ1154=0,N(V1154)&lt;=0,N(Q1154)&lt;=0),"Menge pro Gebinde fehlt (Ist = 1 Gebinde); ","")&amp;BU1154)</f>
        <v>negativer Bestand (Export -2); Überbestand</v>
      </c>
      <c r="BN1154" s="48"/>
      <c r="BO1154" s="48"/>
      <c r="BP1154" s="55"/>
      <c r="BQ1154" s="50" t="n">
        <v>-2</v>
      </c>
      <c r="BR1154" s="50" t="n">
        <v>4</v>
      </c>
      <c r="BS1154" s="49" t="n">
        <v>-314.4</v>
      </c>
      <c r="BT1154" s="50" t="n">
        <v>3</v>
      </c>
      <c r="BU1154" s="48" t="s">
        <v>401</v>
      </c>
      <c r="BV1154" s="53" t="n">
        <v>0</v>
      </c>
      <c r="BW1154" s="53" t="n">
        <v>1154</v>
      </c>
      <c r="BX1154" s="48" t="str">
        <f aca="false">IF(U1154&lt;&gt;"",UPPER(TRIM(U1154)),IF(CA1154=1,UPPER(VLOOKUP(T1154,Parameter!$I$27:$K$29,2,0)),IF(P1154="","LOSE",P1154)))</f>
        <v>S32</v>
      </c>
      <c r="BY1154" s="50" t="n">
        <f aca="false">IF(BX1154="LOSE",1,IF(N(V1154)&gt;0,V1154,IF(CA1154=1,MAX(1,N(VLOOKUP(T1154,Parameter!$I$27:$K$29,3,0)),H1154,N(N1154)),IF(N(Q1154)&gt;0,Q1154,MAX(1,H1154)))))</f>
        <v>5</v>
      </c>
      <c r="BZ1154" s="53" t="n">
        <f aca="false">IF(BX1154="LOSE",1,0)</f>
        <v>0</v>
      </c>
      <c r="CA1154" s="53" t="n">
        <f aca="false">IF(AND(U1154="",OR(P1154="",P1154="LOSE"),T1154&lt;&gt;"",N(S1154)&lt;=0,ISNUMBER(MATCH(T1154,Parameter!$I$27:$I$29,0))),1,0)</f>
        <v>0</v>
      </c>
      <c r="CB1154" s="53" t="n">
        <f aca="false">IF(CQ1154&gt;0,INDEX(Parameter!$H$5:$H$7,W1154)/INDEX(Parameter!$E$5:$E$7,W1154),IF(AND(BZ1154=0,N(IFERROR(VLOOKUP(BX1154,'Gebinde-Kategorie'!$A$5:$N$45,14,0),0))&gt;0),VLOOKUP(BX1154,'Gebinde-Kategorie'!$A$5:$N$45,14,0)*10+Parameter!$M$23,Parameter!$M$24))</f>
        <v>155</v>
      </c>
      <c r="CC1154" s="48" t="str">
        <f aca="false">IF(AND(Parameter!$B$19="Ja",E1154&lt;&gt;"",ISNUMBER(MATCH(E1154,Parameter!$I$35:$I$52,0))),VLOOKUP(E1154,Parameter!$I$35:$J$52,2,0),IFERROR(VLOOKUP(D1154,Parameter!$A$35:$C$64,2,0),"Nein"))</f>
        <v>2+3</v>
      </c>
      <c r="CD1154" s="52" t="n">
        <f aca="false">IF(BZ1154=0,0,IF(N(S1154)&gt;0,S1154,IFERROR(VLOOKUP(D1154,Parameter!$A$35:$C$64,3,0)+0,0)))</f>
        <v>0</v>
      </c>
      <c r="CE1154" s="48" t="n">
        <f aca="false">IF(AA1154&lt;&gt;"",AA1154,Z1154)</f>
        <v>3</v>
      </c>
      <c r="CF1154" s="48" t="str">
        <f aca="false">IF(OR(CE1154=1,CE1154=2,CE1154=3),IF(Parameter!$E$27="Ja","LIFT",IF(CE1154=1,"L1","L23")),IF(CE1154="Aussen","Aussen","-"))</f>
        <v>LIFT</v>
      </c>
      <c r="CG1154" s="59" t="n">
        <f aca="false">IF(N(AB1154)&gt;0,AB1154,0)</f>
        <v>0</v>
      </c>
      <c r="CH1154" s="53" t="n">
        <f aca="false">IF(ISNUMBER(AE1154),1,0)</f>
        <v>0</v>
      </c>
      <c r="CI1154" s="50" t="n">
        <f aca="false">N(AE1154)</f>
        <v>0</v>
      </c>
      <c r="CJ1154" s="50" t="n">
        <f aca="false">N(M1154)+N(N1154)</f>
        <v>5</v>
      </c>
      <c r="CK1154" s="50" t="n">
        <f aca="false">N(M1154)</f>
        <v>0</v>
      </c>
      <c r="CL1154" s="50" t="n">
        <f aca="false">N(N1154)</f>
        <v>5</v>
      </c>
      <c r="CM1154" s="50" t="n">
        <f aca="false">ROUNDUP(H1154/BY1154,0)</f>
        <v>1</v>
      </c>
      <c r="CN1154" s="50" t="n">
        <f aca="false">ROUNDUP(CI1154/BY1154,0)</f>
        <v>0</v>
      </c>
      <c r="CO1154" s="53" t="n">
        <f aca="false">IF(BZ1154=1,0,IFERROR(VLOOKUP(BX1154,'Gebinde-Kategorie'!$A$5:$N$45,5,0)+0,0))</f>
        <v>8</v>
      </c>
      <c r="CP1154" s="53" t="n">
        <f aca="false">IFERROR(IF(OR(CE1154=1,CE1154=2,CE1154=3),N(INDEX(Parameter!$I$5:$I$7,CE1154)),0),0)</f>
        <v>0</v>
      </c>
      <c r="CQ1154" s="52" t="n">
        <f aca="false">IF(AND(Parameter!$B$21="Ja",ISNUMBER(W1154),N(X1154)&gt;0),IFERROR(N(INDEX(Parameter!$L$5:$L$7,W1154))*INDEX(Parameter!$E$5:$E$7,W1154)*X1154/SUMIFS($X$7:$X$1843,$W$7:$W$1843,W1154),0),0)</f>
        <v>0</v>
      </c>
    </row>
    <row r="1155" customFormat="false" ht="15" hidden="false" customHeight="false" outlineLevel="0" collapsed="false">
      <c r="A1155" s="48" t="s">
        <v>2094</v>
      </c>
      <c r="B1155" s="48" t="s">
        <v>2095</v>
      </c>
      <c r="C1155" s="48" t="s">
        <v>173</v>
      </c>
      <c r="D1155" s="48" t="s">
        <v>193</v>
      </c>
      <c r="E1155" s="48" t="s">
        <v>194</v>
      </c>
      <c r="F1155" s="48" t="s">
        <v>227</v>
      </c>
      <c r="G1155" s="49" t="n">
        <v>28.61</v>
      </c>
      <c r="H1155" s="50" t="n">
        <f aca="false">MAX(0,IF(AND(Parameter!$B$21="Ja",ISNUMBER(Y1155)),Y1155,IF(Parameter!$B$20="Jahresanfang 2025 + Export",BR1155+BQ1155,BQ1155)))</f>
        <v>31</v>
      </c>
      <c r="I1155" s="50" t="n">
        <f aca="false">H1155*G1155</f>
        <v>886.91</v>
      </c>
      <c r="J1155" s="50" t="n">
        <f aca="false">BT1155*Parameter!$B$18</f>
        <v>0</v>
      </c>
      <c r="K1155" s="51" t="n">
        <v>36.5</v>
      </c>
      <c r="L1155" s="52" t="n">
        <v>0</v>
      </c>
      <c r="M1155" s="50" t="n">
        <v>0</v>
      </c>
      <c r="N1155" s="50" t="n">
        <v>1</v>
      </c>
      <c r="O1155" s="53" t="n">
        <v>42</v>
      </c>
      <c r="P1155" s="48" t="s">
        <v>337</v>
      </c>
      <c r="Q1155" s="50" t="n">
        <v>52</v>
      </c>
      <c r="R1155" s="53" t="n">
        <f aca="false">IF(BZ1155=1,0,IFERROR(VLOOKUP(BX1155,'Gebinde-Kategorie'!$A$5:$N$45,13,0)+0,0))</f>
        <v>52</v>
      </c>
      <c r="S1155" s="54"/>
      <c r="T1155" s="55"/>
      <c r="U1155" s="55"/>
      <c r="V1155" s="55"/>
      <c r="W1155" s="48"/>
      <c r="X1155" s="50"/>
      <c r="Y1155" s="50"/>
      <c r="Z1155" s="48" t="n">
        <f aca="false">IF(A1155="","",IF(AND(Parameter!$B$21="Ja",ISNUMBER(W1155)),W1155,IF(CC1155="2+3",IF(ISNUMBER(SEARCH("grosser Artikel",BU1155)),2,IFERROR(VLOOKUP(BX1155,Parameter!$F$35:$G$64,2,0),2)),IF(OR(CC1155="Nein",CC1155=""),"-",CC1155))))</f>
        <v>3</v>
      </c>
      <c r="AA1155" s="55"/>
      <c r="AB1155" s="56"/>
      <c r="AC1155" s="50" t="n">
        <f aca="false">AV1155</f>
        <v>1</v>
      </c>
      <c r="AD1155" s="50" t="n">
        <f aca="false">MAX(AV1155,H1155)</f>
        <v>31</v>
      </c>
      <c r="AE1155" s="57"/>
      <c r="AF1155" s="50" t="n">
        <f aca="false">IF(LEFT(Cockpit!$C$5,1)="A",H1155,IF(Parameter!$E$30="MAX-Bestand",IF(CH1155=1,CI1155,IF(LEFT(Cockpit!$C$5,1)="B",AL1155,MAX(AL1155,H1155))),ROUNDUP(AJ1155,0)))</f>
        <v>31</v>
      </c>
      <c r="AG1155" s="50" t="n">
        <f aca="false">IF(BZ1155=1,0,ROUNDUP(AF1155/BY1155,0))</f>
        <v>1</v>
      </c>
      <c r="AH1155" s="52" t="n">
        <f aca="false">IF(CQ1155&gt;0,CQ1155*MAX(1,AF1155/X1155),IF(BZ1155=1,IF(AF1155&lt;=0,0,CD1155*MAX(1,IF(H1155&gt;0,AF1155/H1155,1))),IF(R1155&gt;0,AG1155/R1155,0))/MAX(0.1,N(Parameter!$M$21)))</f>
        <v>0.0192307692307692</v>
      </c>
      <c r="AI1155" s="50" t="n">
        <f aca="false">AH1155*CB1155</f>
        <v>2.98076923076923</v>
      </c>
      <c r="AJ1155" s="51" t="n">
        <f aca="false">IF(LEFT(Cockpit!$C$5,1)="A",H1155,IF(CH1155=1,(CK1155+CI1155)/2,IF(LEFT(Cockpit!$C$5,1)="B",(CK1155+AL1155)/2,MAX((CK1155+AL1155)/2,H1155))))</f>
        <v>31</v>
      </c>
      <c r="AK1155" s="50" t="n">
        <f aca="false">AJ1155*G1155</f>
        <v>886.91</v>
      </c>
      <c r="AL1155" s="50" t="n">
        <f aca="false">ROUNDUP(CK1155+MAX(CL1155,2*(J1155/IF(CG1155&gt;0,CG1155,MAX(0.1,N(Cockpit!$C$6)))-CK1155)),0)</f>
        <v>1</v>
      </c>
      <c r="AM1155" s="51" t="n">
        <f aca="false">IF(AI1155&gt;0,J1155/AI1155,-1)</f>
        <v>0</v>
      </c>
      <c r="AN1155" s="51" t="n">
        <f aca="false">IF(AND(OR(CF1155="L1",CF1155="L23",CF1155="LIFT"),AI1155&gt;0),SUMIFS($AI$7:$AI$1843,$CF$7:$CF$1843,CF1155,$AM$7:$AM$1843,"&gt;"&amp;AM1155)+SUMIFS($AI$7:$AI$1843,$CF$7:$CF$1843,CF1155,$AM$7:$AM$1843,AM1155,$BW$7:$BW$1843,"&lt;="&amp;BW1155),"")</f>
        <v>29366.8032816995</v>
      </c>
      <c r="AO1155" s="58" t="n">
        <f aca="false">IF(AN1155="",0,MAX(0,MIN(1,(IF(CF1155="L1",Parameter!$H$5,IF(CF1155="L23",Parameter!$H$6+Parameter!$H$7,Parameter!$H$5+Parameter!$H$6+Parameter!$H$7))-(AN1155-AI1155))/AI1155)))</f>
        <v>1</v>
      </c>
      <c r="AP1155" s="50" t="n">
        <f aca="false">IF(LEFT(Cockpit!$I$5,1)="A",H1155,IF(Parameter!$E$30="MAX-Bestand",IF(CH1155=1,CI1155,IF(LEFT(Cockpit!$I$5,1)="B",AV1155,MAX(AV1155,H1155))),ROUNDUP(AT1155,0)))</f>
        <v>31</v>
      </c>
      <c r="AQ1155" s="50" t="n">
        <f aca="false">IF(BZ1155=1,0,ROUNDUP(AP1155/BY1155,0))</f>
        <v>1</v>
      </c>
      <c r="AR1155" s="52" t="n">
        <f aca="false">IF(CQ1155&gt;0,CQ1155*MAX(1,AP1155/X1155),IF(BZ1155=1,IF(AP1155&lt;=0,0,CD1155*MAX(1,IF(H1155&gt;0,AP1155/H1155,1))),IF(R1155&gt;0,AQ1155/R1155,0))/MAX(0.1,N(Parameter!$M$21)))</f>
        <v>0.0192307692307692</v>
      </c>
      <c r="AS1155" s="50" t="n">
        <f aca="false">AR1155*CB1155</f>
        <v>2.98076923076923</v>
      </c>
      <c r="AT1155" s="51" t="n">
        <f aca="false">IF(LEFT(Cockpit!$I$5,1)="A",H1155,IF(CH1155=1,(CK1155+CI1155)/2,IF(LEFT(Cockpit!$I$5,1)="B",(CK1155+AV1155)/2,MAX((CK1155+AV1155)/2,H1155))))</f>
        <v>31</v>
      </c>
      <c r="AU1155" s="50" t="n">
        <f aca="false">AT1155*G1155</f>
        <v>886.91</v>
      </c>
      <c r="AV1155" s="50" t="n">
        <f aca="false">ROUNDUP(CK1155+MAX(CL1155,2*(J1155/IF(CG1155&gt;0,CG1155,MAX(0.1,N(Cockpit!$I$6)))-CK1155)),0)</f>
        <v>1</v>
      </c>
      <c r="AW1155" s="51" t="n">
        <f aca="false">IF(AS1155&gt;0,J1155/AS1155,-1)</f>
        <v>0</v>
      </c>
      <c r="AX1155" s="51" t="n">
        <f aca="false">IF(AND(OR(CF1155="L1",CF1155="L23",CF1155="LIFT"),AS1155&gt;0),SUMIFS($AS$7:$AS$1843,$CF$7:$CF$1843,CF1155,$AW$7:$AW$1843,"&gt;"&amp;AW1155)+SUMIFS($AS$7:$AS$1843,$CF$7:$CF$1843,CF1155,$AW$7:$AW$1843,AW1155,$BW$7:$BW$1843,"&lt;="&amp;BW1155),"")</f>
        <v>35157.7330586081</v>
      </c>
      <c r="AY1155" s="58" t="n">
        <f aca="false">IF(AX1155="",0,MAX(0,MIN(1,(IF(CF1155="L1",Parameter!$H$5,IF(CF1155="L23",Parameter!$H$6+Parameter!$H$7,Parameter!$H$5+Parameter!$H$6+Parameter!$H$7))-(AX1155-AS1155))/AS1155)))</f>
        <v>1</v>
      </c>
      <c r="AZ1155" s="50" t="n">
        <f aca="false">IF(LEFT(Cockpit!$O$5,1)="A",H1155,IF(Parameter!$E$30="MAX-Bestand",IF(CH1155=1,CI1155,IF(LEFT(Cockpit!$O$5,1)="B",BF1155,MAX(BF1155,H1155))),ROUNDUP(BD1155,0)))</f>
        <v>1</v>
      </c>
      <c r="BA1155" s="50" t="n">
        <f aca="false">IF(BZ1155=1,0,ROUNDUP(AZ1155/BY1155,0))</f>
        <v>1</v>
      </c>
      <c r="BB1155" s="52" t="n">
        <f aca="false">IF(CQ1155&gt;0,CQ1155*MAX(1,AZ1155/X1155),IF(BZ1155=1,IF(AZ1155&lt;=0,0,CD1155*MAX(1,IF(H1155&gt;0,AZ1155/H1155,1))),IF(R1155&gt;0,BA1155/R1155,0))/MAX(0.1,N(Parameter!$M$21)))</f>
        <v>0.0192307692307692</v>
      </c>
      <c r="BC1155" s="50" t="n">
        <f aca="false">BB1155*CB1155</f>
        <v>2.98076923076923</v>
      </c>
      <c r="BD1155" s="51" t="n">
        <f aca="false">IF(LEFT(Cockpit!$O$5,1)="A",H1155,IF(CH1155=1,(CK1155+CI1155)/2,IF(LEFT(Cockpit!$O$5,1)="B",(CK1155+BF1155)/2,MAX((CK1155+BF1155)/2,H1155))))</f>
        <v>0.5</v>
      </c>
      <c r="BE1155" s="50" t="n">
        <f aca="false">BD1155*G1155</f>
        <v>14.305</v>
      </c>
      <c r="BF1155" s="50" t="n">
        <f aca="false">ROUNDUP(CK1155+MAX(CL1155,2*(J1155/IF(CG1155&gt;0,CG1155,MAX(0.1,N(Cockpit!$O$6)))-CK1155)),0)</f>
        <v>1</v>
      </c>
      <c r="BG1155" s="51" t="n">
        <f aca="false">IF(BC1155&gt;0,J1155/BC1155,-1)</f>
        <v>0</v>
      </c>
      <c r="BH1155" s="51" t="n">
        <f aca="false">IF(AND(OR(CF1155="L1",CF1155="L23",CF1155="LIFT"),BC1155&gt;0),SUMIFS($BC$7:$BC$1843,$CF$7:$CF$1843,CF1155,$BG$7:$BG$1843,"&gt;"&amp;BG1155)+SUMIFS($BC$7:$BC$1843,$CF$7:$CF$1843,CF1155,$BG$7:$BG$1843,BG1155,$BW$7:$BW$1843,"&lt;="&amp;BW1155),"")</f>
        <v>29143.0397187558</v>
      </c>
      <c r="BI1155" s="58" t="n">
        <f aca="false">IF(BH1155="",0,MAX(0,MIN(1,(IF(CF1155="L1",Parameter!$H$5,IF(CF1155="L23",Parameter!$H$6+Parameter!$H$7,Parameter!$H$5+Parameter!$H$6+Parameter!$H$7))-(BH1155-BC1155))/BC1155)))</f>
        <v>1</v>
      </c>
      <c r="BJ1155" s="48" t="str">
        <f aca="false">IF(AI1155&lt;=0,"",IF(CF1155="Aussen","Aussenlager",IF(CF1155="-","Nicht im Lift",IF(AO1155&gt;=1,"Lift",IF(AO1155&lt;=0,"Aussenlager","teilweise")))))</f>
        <v>Lift</v>
      </c>
      <c r="BK1155" s="48" t="str">
        <f aca="false">IF(AS1155&lt;=0,"",IF(CF1155="Aussen","Aussenlager",IF(CF1155="-","Nicht im Lift",IF(AY1155&gt;=1,"Lift",IF(AY1155&lt;=0,"Aussenlager","teilweise")))))</f>
        <v>Lift</v>
      </c>
      <c r="BL1155" s="48" t="str">
        <f aca="false">IF(BC1155&lt;=0,"",IF(CF1155="Aussen","Aussenlager",IF(CF1155="-","Nicht im Lift",IF(BI1155&gt;=1,"Lift",IF(BI1155&lt;=0,"Aussenlager","teilweise")))))</f>
        <v>Lift</v>
      </c>
      <c r="BM1155" s="48" t="str">
        <f aca="false">IF(A1155="","",IF(BV1155=1,"Neu; ","")&amp;IF(AND(BV1155=0,BQ1155&lt;0),"negativer Bestand (Export "&amp;BQ1155&amp;"); ","")&amp;IF(J1155&lt;=0,"Kein Verbrauch; ","")&amp;IF(CQ1155&gt;0,"Lift "&amp;W1155&amp;" lt. Liftbericht (Fach "&amp;X1155&amp;" Stk); ",IF(CA1155=1,"Gebinde geschätzt ("&amp;T1155&amp;"); ",IF(BZ1155=1,"Lose – Tablare geschätzt; ","")))&amp;IF(H1155&gt;AV1155,"Überbestand "&amp;ROUND(H1155-AV1155,0)&amp;" Stk / CHF "&amp;ROUND((H1155-AV1155)*G1155,0)&amp;"; ","")&amp;IF(AND(CH1155=1,CI1155&lt;CJ1155),"MAX &lt; MB+LG; ","")&amp;IF(AND(CP1155&gt;0,CO1155*10&gt;CP1155),"zu hoch für Tablar; ","")&amp;IF(AND(BV1155=0,OR(CH1155=1,AA1155&lt;&gt;"",U1155&lt;&gt;"",V1155&lt;&gt;"",AB1155&lt;&gt;"")),"manuell übersteuert; ","")&amp;IF(AND(BZ1155=0,R1155=0),"Gebinde unbekannt / Stellmass fehlt; ","")&amp;IF(AND(BZ1155=0,N(V1155)&lt;=0,N(Q1155)&lt;=0),"Menge pro Gebinde fehlt (Ist = 1 Gebinde); ","")&amp;BU1155)</f>
        <v>negativer Bestand (Export -11); Kein Verbrauch; Überbestand 30 Stk / CHF 858; Überbestand</v>
      </c>
      <c r="BN1155" s="48"/>
      <c r="BO1155" s="48"/>
      <c r="BP1155" s="55"/>
      <c r="BQ1155" s="50" t="n">
        <v>-11</v>
      </c>
      <c r="BR1155" s="50" t="n">
        <v>42</v>
      </c>
      <c r="BS1155" s="49" t="n">
        <v>-314.71</v>
      </c>
      <c r="BT1155" s="50" t="n">
        <v>0</v>
      </c>
      <c r="BU1155" s="48" t="s">
        <v>401</v>
      </c>
      <c r="BV1155" s="53" t="n">
        <v>0</v>
      </c>
      <c r="BW1155" s="53" t="n">
        <v>1155</v>
      </c>
      <c r="BX1155" s="48" t="str">
        <f aca="false">IF(U1155&lt;&gt;"",UPPER(TRIM(U1155)),IF(CA1155=1,UPPER(VLOOKUP(T1155,Parameter!$I$27:$K$29,2,0)),IF(P1155="","LOSE",P1155)))</f>
        <v>S41</v>
      </c>
      <c r="BY1155" s="50" t="n">
        <f aca="false">IF(BX1155="LOSE",1,IF(N(V1155)&gt;0,V1155,IF(CA1155=1,MAX(1,N(VLOOKUP(T1155,Parameter!$I$27:$K$29,3,0)),H1155,N(N1155)),IF(N(Q1155)&gt;0,Q1155,MAX(1,H1155)))))</f>
        <v>52</v>
      </c>
      <c r="BZ1155" s="53" t="n">
        <f aca="false">IF(BX1155="LOSE",1,0)</f>
        <v>0</v>
      </c>
      <c r="CA1155" s="53" t="n">
        <f aca="false">IF(AND(U1155="",OR(P1155="",P1155="LOSE"),T1155&lt;&gt;"",N(S1155)&lt;=0,ISNUMBER(MATCH(T1155,Parameter!$I$27:$I$29,0))),1,0)</f>
        <v>0</v>
      </c>
      <c r="CB1155" s="53" t="n">
        <f aca="false">IF(CQ1155&gt;0,INDEX(Parameter!$H$5:$H$7,W1155)/INDEX(Parameter!$E$5:$E$7,W1155),IF(AND(BZ1155=0,N(IFERROR(VLOOKUP(BX1155,'Gebinde-Kategorie'!$A$5:$N$45,14,0),0))&gt;0),VLOOKUP(BX1155,'Gebinde-Kategorie'!$A$5:$N$45,14,0)*10+Parameter!$M$23,Parameter!$M$24))</f>
        <v>155</v>
      </c>
      <c r="CC1155" s="48" t="str">
        <f aca="false">IF(AND(Parameter!$B$19="Ja",E1155&lt;&gt;"",ISNUMBER(MATCH(E1155,Parameter!$I$35:$I$52,0))),VLOOKUP(E1155,Parameter!$I$35:$J$52,2,0),IFERROR(VLOOKUP(D1155,Parameter!$A$35:$C$64,2,0),"Nein"))</f>
        <v>2+3</v>
      </c>
      <c r="CD1155" s="52" t="n">
        <f aca="false">IF(BZ1155=0,0,IF(N(S1155)&gt;0,S1155,IFERROR(VLOOKUP(D1155,Parameter!$A$35:$C$64,3,0)+0,0)))</f>
        <v>0</v>
      </c>
      <c r="CE1155" s="48" t="n">
        <f aca="false">IF(AA1155&lt;&gt;"",AA1155,Z1155)</f>
        <v>3</v>
      </c>
      <c r="CF1155" s="48" t="str">
        <f aca="false">IF(OR(CE1155=1,CE1155=2,CE1155=3),IF(Parameter!$E$27="Ja","LIFT",IF(CE1155=1,"L1","L23")),IF(CE1155="Aussen","Aussen","-"))</f>
        <v>LIFT</v>
      </c>
      <c r="CG1155" s="59" t="n">
        <f aca="false">IF(N(AB1155)&gt;0,AB1155,0)</f>
        <v>0</v>
      </c>
      <c r="CH1155" s="53" t="n">
        <f aca="false">IF(ISNUMBER(AE1155),1,0)</f>
        <v>0</v>
      </c>
      <c r="CI1155" s="50" t="n">
        <f aca="false">N(AE1155)</f>
        <v>0</v>
      </c>
      <c r="CJ1155" s="50" t="n">
        <f aca="false">N(M1155)+N(N1155)</f>
        <v>1</v>
      </c>
      <c r="CK1155" s="50" t="n">
        <f aca="false">N(M1155)</f>
        <v>0</v>
      </c>
      <c r="CL1155" s="50" t="n">
        <f aca="false">N(N1155)</f>
        <v>1</v>
      </c>
      <c r="CM1155" s="50" t="n">
        <f aca="false">ROUNDUP(H1155/BY1155,0)</f>
        <v>1</v>
      </c>
      <c r="CN1155" s="50" t="n">
        <f aca="false">ROUNDUP(CI1155/BY1155,0)</f>
        <v>0</v>
      </c>
      <c r="CO1155" s="53" t="n">
        <f aca="false">IF(BZ1155=1,0,IFERROR(VLOOKUP(BX1155,'Gebinde-Kategorie'!$A$5:$N$45,5,0)+0,0))</f>
        <v>11</v>
      </c>
      <c r="CP1155" s="53" t="n">
        <f aca="false">IFERROR(IF(OR(CE1155=1,CE1155=2,CE1155=3),N(INDEX(Parameter!$I$5:$I$7,CE1155)),0),0)</f>
        <v>0</v>
      </c>
      <c r="CQ1155" s="52" t="n">
        <f aca="false">IF(AND(Parameter!$B$21="Ja",ISNUMBER(W1155),N(X1155)&gt;0),IFERROR(N(INDEX(Parameter!$L$5:$L$7,W1155))*INDEX(Parameter!$E$5:$E$7,W1155)*X1155/SUMIFS($X$7:$X$1843,$W$7:$W$1843,W1155),0),0)</f>
        <v>0</v>
      </c>
    </row>
    <row r="1156" customFormat="false" ht="15" hidden="false" customHeight="false" outlineLevel="0" collapsed="false">
      <c r="A1156" s="48" t="s">
        <v>2096</v>
      </c>
      <c r="B1156" s="48" t="s">
        <v>1957</v>
      </c>
      <c r="C1156" s="48" t="s">
        <v>465</v>
      </c>
      <c r="D1156" s="48" t="s">
        <v>193</v>
      </c>
      <c r="E1156" s="48"/>
      <c r="F1156" s="48" t="s">
        <v>227</v>
      </c>
      <c r="G1156" s="49" t="n">
        <v>45.5</v>
      </c>
      <c r="H1156" s="50" t="n">
        <f aca="false">MAX(0,IF(AND(Parameter!$B$21="Ja",ISNUMBER(Y1156)),Y1156,IF(Parameter!$B$20="Jahresanfang 2025 + Export",BR1156+BQ1156,BQ1156)))</f>
        <v>7</v>
      </c>
      <c r="I1156" s="50" t="n">
        <f aca="false">H1156*G1156</f>
        <v>318.5</v>
      </c>
      <c r="J1156" s="50" t="n">
        <f aca="false">BT1156*Parameter!$B$18</f>
        <v>7</v>
      </c>
      <c r="K1156" s="51" t="n">
        <v>7</v>
      </c>
      <c r="L1156" s="52" t="n">
        <v>1</v>
      </c>
      <c r="M1156" s="50" t="n">
        <v>0</v>
      </c>
      <c r="N1156" s="50" t="n">
        <v>5</v>
      </c>
      <c r="O1156" s="53" t="n">
        <v>21</v>
      </c>
      <c r="P1156" s="48" t="s">
        <v>177</v>
      </c>
      <c r="Q1156" s="50"/>
      <c r="R1156" s="53" t="n">
        <f aca="false">IF(BZ1156=1,0,IFERROR(VLOOKUP(BX1156,'Gebinde-Kategorie'!$A$5:$N$45,13,0)+0,0))</f>
        <v>4</v>
      </c>
      <c r="S1156" s="54"/>
      <c r="T1156" s="55" t="s">
        <v>198</v>
      </c>
      <c r="U1156" s="55"/>
      <c r="V1156" s="55"/>
      <c r="W1156" s="48"/>
      <c r="X1156" s="50"/>
      <c r="Y1156" s="50"/>
      <c r="Z1156" s="48" t="n">
        <f aca="false">IF(A1156="","",IF(AND(Parameter!$B$21="Ja",ISNUMBER(W1156)),W1156,IF(CC1156="2+3",IF(ISNUMBER(SEARCH("grosser Artikel",BU1156)),2,IFERROR(VLOOKUP(BX1156,Parameter!$F$35:$G$64,2,0),2)),IF(OR(CC1156="Nein",CC1156=""),"-",CC1156))))</f>
        <v>2</v>
      </c>
      <c r="AA1156" s="55"/>
      <c r="AB1156" s="56"/>
      <c r="AC1156" s="50" t="n">
        <f aca="false">AV1156</f>
        <v>5</v>
      </c>
      <c r="AD1156" s="50" t="n">
        <f aca="false">MAX(AV1156,H1156)</f>
        <v>7</v>
      </c>
      <c r="AE1156" s="57"/>
      <c r="AF1156" s="50" t="n">
        <f aca="false">IF(LEFT(Cockpit!$C$5,1)="A",H1156,IF(Parameter!$E$30="MAX-Bestand",IF(CH1156=1,CI1156,IF(LEFT(Cockpit!$C$5,1)="B",AL1156,MAX(AL1156,H1156))),ROUNDUP(AJ1156,0)))</f>
        <v>7</v>
      </c>
      <c r="AG1156" s="50" t="n">
        <f aca="false">IF(BZ1156=1,0,ROUNDUP(AF1156/BY1156,0))</f>
        <v>1</v>
      </c>
      <c r="AH1156" s="52" t="n">
        <f aca="false">IF(CQ1156&gt;0,CQ1156*MAX(1,AF1156/X1156),IF(BZ1156=1,IF(AF1156&lt;=0,0,CD1156*MAX(1,IF(H1156&gt;0,AF1156/H1156,1))),IF(R1156&gt;0,AG1156/R1156,0))/MAX(0.1,N(Parameter!$M$21)))</f>
        <v>0.25</v>
      </c>
      <c r="AI1156" s="50" t="n">
        <f aca="false">AH1156*CB1156</f>
        <v>58.75</v>
      </c>
      <c r="AJ1156" s="51" t="n">
        <f aca="false">IF(LEFT(Cockpit!$C$5,1)="A",H1156,IF(CH1156=1,(CK1156+CI1156)/2,IF(LEFT(Cockpit!$C$5,1)="B",(CK1156+AL1156)/2,MAX((CK1156+AL1156)/2,H1156))))</f>
        <v>7</v>
      </c>
      <c r="AK1156" s="50" t="n">
        <f aca="false">AJ1156*G1156</f>
        <v>318.5</v>
      </c>
      <c r="AL1156" s="50" t="n">
        <f aca="false">ROUNDUP(CK1156+MAX(CL1156,2*(J1156/IF(CG1156&gt;0,CG1156,MAX(0.1,N(Cockpit!$C$6)))-CK1156)),0)</f>
        <v>5</v>
      </c>
      <c r="AM1156" s="51" t="n">
        <f aca="false">IF(AI1156&gt;0,J1156/AI1156,-1)</f>
        <v>0.119148936170213</v>
      </c>
      <c r="AN1156" s="51" t="n">
        <f aca="false">IF(AND(OR(CF1156="L1",CF1156="L23",CF1156="LIFT"),AI1156&gt;0),SUMIFS($AI$7:$AI$1843,$CF$7:$CF$1843,CF1156,$AM$7:$AM$1843,"&gt;"&amp;AM1156)+SUMIFS($AI$7:$AI$1843,$CF$7:$CF$1843,CF1156,$AM$7:$AM$1843,AM1156,$BW$7:$BW$1843,"&lt;="&amp;BW1156),"")</f>
        <v>14422.6732036796</v>
      </c>
      <c r="AO1156" s="58" t="n">
        <f aca="false">IF(AN1156="",0,MAX(0,MIN(1,(IF(CF1156="L1",Parameter!$H$5,IF(CF1156="L23",Parameter!$H$6+Parameter!$H$7,Parameter!$H$5+Parameter!$H$6+Parameter!$H$7))-(AN1156-AI1156))/AI1156)))</f>
        <v>1</v>
      </c>
      <c r="AP1156" s="50" t="n">
        <f aca="false">IF(LEFT(Cockpit!$I$5,1)="A",H1156,IF(Parameter!$E$30="MAX-Bestand",IF(CH1156=1,CI1156,IF(LEFT(Cockpit!$I$5,1)="B",AV1156,MAX(AV1156,H1156))),ROUNDUP(AT1156,0)))</f>
        <v>7</v>
      </c>
      <c r="AQ1156" s="50" t="n">
        <f aca="false">IF(BZ1156=1,0,ROUNDUP(AP1156/BY1156,0))</f>
        <v>1</v>
      </c>
      <c r="AR1156" s="52" t="n">
        <f aca="false">IF(CQ1156&gt;0,CQ1156*MAX(1,AP1156/X1156),IF(BZ1156=1,IF(AP1156&lt;=0,0,CD1156*MAX(1,IF(H1156&gt;0,AP1156/H1156,1))),IF(R1156&gt;0,AQ1156/R1156,0))/MAX(0.1,N(Parameter!$M$21)))</f>
        <v>0.25</v>
      </c>
      <c r="AS1156" s="50" t="n">
        <f aca="false">AR1156*CB1156</f>
        <v>58.75</v>
      </c>
      <c r="AT1156" s="51" t="n">
        <f aca="false">IF(LEFT(Cockpit!$I$5,1)="A",H1156,IF(CH1156=1,(CK1156+CI1156)/2,IF(LEFT(Cockpit!$I$5,1)="B",(CK1156+AV1156)/2,MAX((CK1156+AV1156)/2,H1156))))</f>
        <v>7</v>
      </c>
      <c r="AU1156" s="50" t="n">
        <f aca="false">AT1156*G1156</f>
        <v>318.5</v>
      </c>
      <c r="AV1156" s="50" t="n">
        <f aca="false">ROUNDUP(CK1156+MAX(CL1156,2*(J1156/IF(CG1156&gt;0,CG1156,MAX(0.1,N(Cockpit!$I$6)))-CK1156)),0)</f>
        <v>5</v>
      </c>
      <c r="AW1156" s="51" t="n">
        <f aca="false">IF(AS1156&gt;0,J1156/AS1156,-1)</f>
        <v>0.119148936170213</v>
      </c>
      <c r="AX1156" s="51" t="n">
        <f aca="false">IF(AND(OR(CF1156="L1",CF1156="L23",CF1156="LIFT"),AS1156&gt;0),SUMIFS($AS$7:$AS$1843,$CF$7:$CF$1843,CF1156,$AW$7:$AW$1843,"&gt;"&amp;AW1156)+SUMIFS($AS$7:$AS$1843,$CF$7:$CF$1843,CF1156,$AW$7:$AW$1843,AW1156,$BW$7:$BW$1843,"&lt;="&amp;BW1156),"")</f>
        <v>18447.071845057</v>
      </c>
      <c r="AY1156" s="58" t="n">
        <f aca="false">IF(AX1156="",0,MAX(0,MIN(1,(IF(CF1156="L1",Parameter!$H$5,IF(CF1156="L23",Parameter!$H$6+Parameter!$H$7,Parameter!$H$5+Parameter!$H$6+Parameter!$H$7))-(AX1156-AS1156))/AS1156)))</f>
        <v>1</v>
      </c>
      <c r="AZ1156" s="50" t="n">
        <f aca="false">IF(LEFT(Cockpit!$O$5,1)="A",H1156,IF(Parameter!$E$30="MAX-Bestand",IF(CH1156=1,CI1156,IF(LEFT(Cockpit!$O$5,1)="B",BF1156,MAX(BF1156,H1156))),ROUNDUP(BD1156,0)))</f>
        <v>3</v>
      </c>
      <c r="BA1156" s="50" t="n">
        <f aca="false">IF(BZ1156=1,0,ROUNDUP(AZ1156/BY1156,0))</f>
        <v>1</v>
      </c>
      <c r="BB1156" s="52" t="n">
        <f aca="false">IF(CQ1156&gt;0,CQ1156*MAX(1,AZ1156/X1156),IF(BZ1156=1,IF(AZ1156&lt;=0,0,CD1156*MAX(1,IF(H1156&gt;0,AZ1156/H1156,1))),IF(R1156&gt;0,BA1156/R1156,0))/MAX(0.1,N(Parameter!$M$21)))</f>
        <v>0.25</v>
      </c>
      <c r="BC1156" s="50" t="n">
        <f aca="false">BB1156*CB1156</f>
        <v>58.75</v>
      </c>
      <c r="BD1156" s="51" t="n">
        <f aca="false">IF(LEFT(Cockpit!$O$5,1)="A",H1156,IF(CH1156=1,(CK1156+CI1156)/2,IF(LEFT(Cockpit!$O$5,1)="B",(CK1156+BF1156)/2,MAX((CK1156+BF1156)/2,H1156))))</f>
        <v>2.5</v>
      </c>
      <c r="BE1156" s="50" t="n">
        <f aca="false">BD1156*G1156</f>
        <v>113.75</v>
      </c>
      <c r="BF1156" s="50" t="n">
        <f aca="false">ROUNDUP(CK1156+MAX(CL1156,2*(J1156/IF(CG1156&gt;0,CG1156,MAX(0.1,N(Cockpit!$O$6)))-CK1156)),0)</f>
        <v>5</v>
      </c>
      <c r="BG1156" s="51" t="n">
        <f aca="false">IF(BC1156&gt;0,J1156/BC1156,-1)</f>
        <v>0.119148936170213</v>
      </c>
      <c r="BH1156" s="51" t="n">
        <f aca="false">IF(AND(OR(CF1156="L1",CF1156="L23",CF1156="LIFT"),BC1156&gt;0),SUMIFS($BC$7:$BC$1843,$CF$7:$CF$1843,CF1156,$BG$7:$BG$1843,"&gt;"&amp;BG1156)+SUMIFS($BC$7:$BC$1843,$CF$7:$CF$1843,CF1156,$BG$7:$BG$1843,BG1156,$BW$7:$BW$1843,"&lt;="&amp;BW1156),"")</f>
        <v>16047.8844575857</v>
      </c>
      <c r="BI1156" s="58" t="n">
        <f aca="false">IF(BH1156="",0,MAX(0,MIN(1,(IF(CF1156="L1",Parameter!$H$5,IF(CF1156="L23",Parameter!$H$6+Parameter!$H$7,Parameter!$H$5+Parameter!$H$6+Parameter!$H$7))-(BH1156-BC1156))/BC1156)))</f>
        <v>1</v>
      </c>
      <c r="BJ1156" s="48" t="str">
        <f aca="false">IF(AI1156&lt;=0,"",IF(CF1156="Aussen","Aussenlager",IF(CF1156="-","Nicht im Lift",IF(AO1156&gt;=1,"Lift",IF(AO1156&lt;=0,"Aussenlager","teilweise")))))</f>
        <v>Lift</v>
      </c>
      <c r="BK1156" s="48" t="str">
        <f aca="false">IF(AS1156&lt;=0,"",IF(CF1156="Aussen","Aussenlager",IF(CF1156="-","Nicht im Lift",IF(AY1156&gt;=1,"Lift",IF(AY1156&lt;=0,"Aussenlager","teilweise")))))</f>
        <v>Lift</v>
      </c>
      <c r="BL1156" s="48" t="str">
        <f aca="false">IF(BC1156&lt;=0,"",IF(CF1156="Aussen","Aussenlager",IF(CF1156="-","Nicht im Lift",IF(BI1156&gt;=1,"Lift",IF(BI1156&lt;=0,"Aussenlager","teilweise")))))</f>
        <v>Lift</v>
      </c>
      <c r="BM1156" s="48" t="str">
        <f aca="false">IF(A1156="","",IF(BV1156=1,"Neu; ","")&amp;IF(AND(BV1156=0,BQ1156&lt;0),"negativer Bestand (Export "&amp;BQ1156&amp;"); ","")&amp;IF(J1156&lt;=0,"Kein Verbrauch; ","")&amp;IF(CQ1156&gt;0,"Lift "&amp;W1156&amp;" lt. Liftbericht (Fach "&amp;X1156&amp;" Stk); ",IF(CA1156=1,"Gebinde geschätzt ("&amp;T1156&amp;"); ",IF(BZ1156=1,"Lose – Tablare geschätzt; ","")))&amp;IF(H1156&gt;AV1156,"Überbestand "&amp;ROUND(H1156-AV1156,0)&amp;" Stk / CHF "&amp;ROUND((H1156-AV1156)*G1156,0)&amp;"; ","")&amp;IF(AND(CH1156=1,CI1156&lt;CJ1156),"MAX &lt; MB+LG; ","")&amp;IF(AND(CP1156&gt;0,CO1156*10&gt;CP1156),"zu hoch für Tablar; ","")&amp;IF(AND(BV1156=0,OR(CH1156=1,AA1156&lt;&gt;"",U1156&lt;&gt;"",V1156&lt;&gt;"",AB1156&lt;&gt;"")),"manuell übersteuert; ","")&amp;IF(AND(BZ1156=0,R1156=0),"Gebinde unbekannt / Stellmass fehlt; ","")&amp;IF(AND(BZ1156=0,N(V1156)&lt;=0,N(Q1156)&lt;=0),"Menge pro Gebinde fehlt (Ist = 1 Gebinde); ","")&amp;BU1156)</f>
        <v>negativer Bestand (Export -7); Gebinde geschätzt (Gross); Überbestand 2 Stk / CHF 91; Menge pro Gebinde fehlt (Ist = 1 Gebinde); </v>
      </c>
      <c r="BN1156" s="48"/>
      <c r="BO1156" s="48"/>
      <c r="BP1156" s="55"/>
      <c r="BQ1156" s="50" t="n">
        <v>-7</v>
      </c>
      <c r="BR1156" s="50" t="n">
        <v>14</v>
      </c>
      <c r="BS1156" s="49" t="n">
        <v>-318.5</v>
      </c>
      <c r="BT1156" s="50" t="n">
        <v>7</v>
      </c>
      <c r="BU1156" s="48"/>
      <c r="BV1156" s="53" t="n">
        <v>0</v>
      </c>
      <c r="BW1156" s="53" t="n">
        <v>1156</v>
      </c>
      <c r="BX1156" s="48" t="str">
        <f aca="false">IF(U1156&lt;&gt;"",UPPER(TRIM(U1156)),IF(CA1156=1,UPPER(VLOOKUP(T1156,Parameter!$I$27:$K$29,2,0)),IF(P1156="","LOSE",P1156)))</f>
        <v>S81</v>
      </c>
      <c r="BY1156" s="50" t="n">
        <f aca="false">IF(BX1156="LOSE",1,IF(N(V1156)&gt;0,V1156,IF(CA1156=1,MAX(1,N(VLOOKUP(T1156,Parameter!$I$27:$K$29,3,0)),H1156,N(N1156)),IF(N(Q1156)&gt;0,Q1156,MAX(1,H1156)))))</f>
        <v>7</v>
      </c>
      <c r="BZ1156" s="53" t="n">
        <f aca="false">IF(BX1156="LOSE",1,0)</f>
        <v>0</v>
      </c>
      <c r="CA1156" s="53" t="n">
        <f aca="false">IF(AND(U1156="",OR(P1156="",P1156="LOSE"),T1156&lt;&gt;"",N(S1156)&lt;=0,ISNUMBER(MATCH(T1156,Parameter!$I$27:$I$29,0))),1,0)</f>
        <v>1</v>
      </c>
      <c r="CB1156" s="53" t="n">
        <f aca="false">IF(CQ1156&gt;0,INDEX(Parameter!$H$5:$H$7,W1156)/INDEX(Parameter!$E$5:$E$7,W1156),IF(AND(BZ1156=0,N(IFERROR(VLOOKUP(BX1156,'Gebinde-Kategorie'!$A$5:$N$45,14,0),0))&gt;0),VLOOKUP(BX1156,'Gebinde-Kategorie'!$A$5:$N$45,14,0)*10+Parameter!$M$23,Parameter!$M$24))</f>
        <v>235</v>
      </c>
      <c r="CC1156" s="48" t="str">
        <f aca="false">IF(AND(Parameter!$B$19="Ja",E1156&lt;&gt;"",ISNUMBER(MATCH(E1156,Parameter!$I$35:$I$52,0))),VLOOKUP(E1156,Parameter!$I$35:$J$52,2,0),IFERROR(VLOOKUP(D1156,Parameter!$A$35:$C$64,2,0),"Nein"))</f>
        <v>2+3</v>
      </c>
      <c r="CD1156" s="52" t="n">
        <f aca="false">IF(BZ1156=0,0,IF(N(S1156)&gt;0,S1156,IFERROR(VLOOKUP(D1156,Parameter!$A$35:$C$64,3,0)+0,0)))</f>
        <v>0</v>
      </c>
      <c r="CE1156" s="48" t="n">
        <f aca="false">IF(AA1156&lt;&gt;"",AA1156,Z1156)</f>
        <v>2</v>
      </c>
      <c r="CF1156" s="48" t="str">
        <f aca="false">IF(OR(CE1156=1,CE1156=2,CE1156=3),IF(Parameter!$E$27="Ja","LIFT",IF(CE1156=1,"L1","L23")),IF(CE1156="Aussen","Aussen","-"))</f>
        <v>LIFT</v>
      </c>
      <c r="CG1156" s="59" t="n">
        <f aca="false">IF(N(AB1156)&gt;0,AB1156,0)</f>
        <v>0</v>
      </c>
      <c r="CH1156" s="53" t="n">
        <f aca="false">IF(ISNUMBER(AE1156),1,0)</f>
        <v>0</v>
      </c>
      <c r="CI1156" s="50" t="n">
        <f aca="false">N(AE1156)</f>
        <v>0</v>
      </c>
      <c r="CJ1156" s="50" t="n">
        <f aca="false">N(M1156)+N(N1156)</f>
        <v>5</v>
      </c>
      <c r="CK1156" s="50" t="n">
        <f aca="false">N(M1156)</f>
        <v>0</v>
      </c>
      <c r="CL1156" s="50" t="n">
        <f aca="false">N(N1156)</f>
        <v>5</v>
      </c>
      <c r="CM1156" s="50" t="n">
        <f aca="false">ROUNDUP(H1156/BY1156,0)</f>
        <v>1</v>
      </c>
      <c r="CN1156" s="50" t="n">
        <f aca="false">ROUNDUP(CI1156/BY1156,0)</f>
        <v>0</v>
      </c>
      <c r="CO1156" s="53" t="n">
        <f aca="false">IF(BZ1156=1,0,IFERROR(VLOOKUP(BX1156,'Gebinde-Kategorie'!$A$5:$N$45,5,0)+0,0))</f>
        <v>20</v>
      </c>
      <c r="CP1156" s="53" t="n">
        <f aca="false">IFERROR(IF(OR(CE1156=1,CE1156=2,CE1156=3),N(INDEX(Parameter!$I$5:$I$7,CE1156)),0),0)</f>
        <v>0</v>
      </c>
      <c r="CQ1156" s="52" t="n">
        <f aca="false">IF(AND(Parameter!$B$21="Ja",ISNUMBER(W1156),N(X1156)&gt;0),IFERROR(N(INDEX(Parameter!$L$5:$L$7,W1156))*INDEX(Parameter!$E$5:$E$7,W1156)*X1156/SUMIFS($X$7:$X$1843,$W$7:$W$1843,W1156),0),0)</f>
        <v>0</v>
      </c>
    </row>
    <row r="1157" customFormat="false" ht="15" hidden="false" customHeight="false" outlineLevel="0" collapsed="false">
      <c r="A1157" s="48" t="s">
        <v>2097</v>
      </c>
      <c r="B1157" s="48" t="s">
        <v>2098</v>
      </c>
      <c r="C1157" s="48" t="s">
        <v>173</v>
      </c>
      <c r="D1157" s="48" t="s">
        <v>193</v>
      </c>
      <c r="E1157" s="48" t="s">
        <v>194</v>
      </c>
      <c r="F1157" s="48" t="s">
        <v>227</v>
      </c>
      <c r="G1157" s="49" t="n">
        <v>113.77</v>
      </c>
      <c r="H1157" s="50" t="n">
        <f aca="false">MAX(0,IF(AND(Parameter!$B$21="Ja",ISNUMBER(Y1157)),Y1157,IF(Parameter!$B$20="Jahresanfang 2025 + Export",BR1157+BQ1157,BQ1157)))</f>
        <v>11</v>
      </c>
      <c r="I1157" s="50" t="n">
        <f aca="false">H1157*G1157</f>
        <v>1251.47</v>
      </c>
      <c r="J1157" s="50" t="n">
        <f aca="false">BT1157*Parameter!$B$18</f>
        <v>4</v>
      </c>
      <c r="K1157" s="51" t="n">
        <v>15</v>
      </c>
      <c r="L1157" s="52" t="n">
        <v>0.266666666666667</v>
      </c>
      <c r="M1157" s="50" t="n">
        <v>0</v>
      </c>
      <c r="N1157" s="50" t="n">
        <v>5</v>
      </c>
      <c r="O1157" s="53" t="n">
        <v>56</v>
      </c>
      <c r="P1157" s="48" t="s">
        <v>337</v>
      </c>
      <c r="Q1157" s="50" t="n">
        <v>16</v>
      </c>
      <c r="R1157" s="53" t="n">
        <f aca="false">IF(BZ1157=1,0,IFERROR(VLOOKUP(BX1157,'Gebinde-Kategorie'!$A$5:$N$45,13,0)+0,0))</f>
        <v>52</v>
      </c>
      <c r="S1157" s="54"/>
      <c r="T1157" s="55"/>
      <c r="U1157" s="55"/>
      <c r="V1157" s="55"/>
      <c r="W1157" s="48"/>
      <c r="X1157" s="50"/>
      <c r="Y1157" s="50"/>
      <c r="Z1157" s="48" t="n">
        <f aca="false">IF(A1157="","",IF(AND(Parameter!$B$21="Ja",ISNUMBER(W1157)),W1157,IF(CC1157="2+3",IF(ISNUMBER(SEARCH("grosser Artikel",BU1157)),2,IFERROR(VLOOKUP(BX1157,Parameter!$F$35:$G$64,2,0),2)),IF(OR(CC1157="Nein",CC1157=""),"-",CC1157))))</f>
        <v>3</v>
      </c>
      <c r="AA1157" s="55"/>
      <c r="AB1157" s="56"/>
      <c r="AC1157" s="50" t="n">
        <f aca="false">AV1157</f>
        <v>5</v>
      </c>
      <c r="AD1157" s="50" t="n">
        <f aca="false">MAX(AV1157,H1157)</f>
        <v>11</v>
      </c>
      <c r="AE1157" s="57"/>
      <c r="AF1157" s="50" t="n">
        <f aca="false">IF(LEFT(Cockpit!$C$5,1)="A",H1157,IF(Parameter!$E$30="MAX-Bestand",IF(CH1157=1,CI1157,IF(LEFT(Cockpit!$C$5,1)="B",AL1157,MAX(AL1157,H1157))),ROUNDUP(AJ1157,0)))</f>
        <v>11</v>
      </c>
      <c r="AG1157" s="50" t="n">
        <f aca="false">IF(BZ1157=1,0,ROUNDUP(AF1157/BY1157,0))</f>
        <v>1</v>
      </c>
      <c r="AH1157" s="52" t="n">
        <f aca="false">IF(CQ1157&gt;0,CQ1157*MAX(1,AF1157/X1157),IF(BZ1157=1,IF(AF1157&lt;=0,0,CD1157*MAX(1,IF(H1157&gt;0,AF1157/H1157,1))),IF(R1157&gt;0,AG1157/R1157,0))/MAX(0.1,N(Parameter!$M$21)))</f>
        <v>0.0192307692307692</v>
      </c>
      <c r="AI1157" s="50" t="n">
        <f aca="false">AH1157*CB1157</f>
        <v>2.98076923076923</v>
      </c>
      <c r="AJ1157" s="51" t="n">
        <f aca="false">IF(LEFT(Cockpit!$C$5,1)="A",H1157,IF(CH1157=1,(CK1157+CI1157)/2,IF(LEFT(Cockpit!$C$5,1)="B",(CK1157+AL1157)/2,MAX((CK1157+AL1157)/2,H1157))))</f>
        <v>11</v>
      </c>
      <c r="AK1157" s="50" t="n">
        <f aca="false">AJ1157*G1157</f>
        <v>1251.47</v>
      </c>
      <c r="AL1157" s="50" t="n">
        <f aca="false">ROUNDUP(CK1157+MAX(CL1157,2*(J1157/IF(CG1157&gt;0,CG1157,MAX(0.1,N(Cockpit!$C$6)))-CK1157)),0)</f>
        <v>5</v>
      </c>
      <c r="AM1157" s="51" t="n">
        <f aca="false">IF(AI1157&gt;0,J1157/AI1157,-1)</f>
        <v>1.34193548387097</v>
      </c>
      <c r="AN1157" s="51" t="n">
        <f aca="false">IF(AND(OR(CF1157="L1",CF1157="L23",CF1157="LIFT"),AI1157&gt;0),SUMIFS($AI$7:$AI$1843,$CF$7:$CF$1843,CF1157,$AM$7:$AM$1843,"&gt;"&amp;AM1157)+SUMIFS($AI$7:$AI$1843,$CF$7:$CF$1843,CF1157,$AM$7:$AM$1843,AM1157,$BW$7:$BW$1843,"&lt;="&amp;BW1157),"")</f>
        <v>6360.95558608059</v>
      </c>
      <c r="AO1157" s="58" t="n">
        <f aca="false">IF(AN1157="",0,MAX(0,MIN(1,(IF(CF1157="L1",Parameter!$H$5,IF(CF1157="L23",Parameter!$H$6+Parameter!$H$7,Parameter!$H$5+Parameter!$H$6+Parameter!$H$7))-(AN1157-AI1157))/AI1157)))</f>
        <v>1</v>
      </c>
      <c r="AP1157" s="50" t="n">
        <f aca="false">IF(LEFT(Cockpit!$I$5,1)="A",H1157,IF(Parameter!$E$30="MAX-Bestand",IF(CH1157=1,CI1157,IF(LEFT(Cockpit!$I$5,1)="B",AV1157,MAX(AV1157,H1157))),ROUNDUP(AT1157,0)))</f>
        <v>11</v>
      </c>
      <c r="AQ1157" s="50" t="n">
        <f aca="false">IF(BZ1157=1,0,ROUNDUP(AP1157/BY1157,0))</f>
        <v>1</v>
      </c>
      <c r="AR1157" s="52" t="n">
        <f aca="false">IF(CQ1157&gt;0,CQ1157*MAX(1,AP1157/X1157),IF(BZ1157=1,IF(AP1157&lt;=0,0,CD1157*MAX(1,IF(H1157&gt;0,AP1157/H1157,1))),IF(R1157&gt;0,AQ1157/R1157,0))/MAX(0.1,N(Parameter!$M$21)))</f>
        <v>0.0192307692307692</v>
      </c>
      <c r="AS1157" s="50" t="n">
        <f aca="false">AR1157*CB1157</f>
        <v>2.98076923076923</v>
      </c>
      <c r="AT1157" s="51" t="n">
        <f aca="false">IF(LEFT(Cockpit!$I$5,1)="A",H1157,IF(CH1157=1,(CK1157+CI1157)/2,IF(LEFT(Cockpit!$I$5,1)="B",(CK1157+AV1157)/2,MAX((CK1157+AV1157)/2,H1157))))</f>
        <v>11</v>
      </c>
      <c r="AU1157" s="50" t="n">
        <f aca="false">AT1157*G1157</f>
        <v>1251.47</v>
      </c>
      <c r="AV1157" s="50" t="n">
        <f aca="false">ROUNDUP(CK1157+MAX(CL1157,2*(J1157/IF(CG1157&gt;0,CG1157,MAX(0.1,N(Cockpit!$I$6)))-CK1157)),0)</f>
        <v>5</v>
      </c>
      <c r="AW1157" s="51" t="n">
        <f aca="false">IF(AS1157&gt;0,J1157/AS1157,-1)</f>
        <v>1.34193548387097</v>
      </c>
      <c r="AX1157" s="51" t="n">
        <f aca="false">IF(AND(OR(CF1157="L1",CF1157="L23",CF1157="LIFT"),AS1157&gt;0),SUMIFS($AS$7:$AS$1843,$CF$7:$CF$1843,CF1157,$AW$7:$AW$1843,"&gt;"&amp;AW1157)+SUMIFS($AS$7:$AS$1843,$CF$7:$CF$1843,CF1157,$AW$7:$AW$1843,AW1157,$BW$7:$BW$1843,"&lt;="&amp;BW1157),"")</f>
        <v>7888.11996336996</v>
      </c>
      <c r="AY1157" s="58" t="n">
        <f aca="false">IF(AX1157="",0,MAX(0,MIN(1,(IF(CF1157="L1",Parameter!$H$5,IF(CF1157="L23",Parameter!$H$6+Parameter!$H$7,Parameter!$H$5+Parameter!$H$6+Parameter!$H$7))-(AX1157-AS1157))/AS1157)))</f>
        <v>1</v>
      </c>
      <c r="AZ1157" s="50" t="n">
        <f aca="false">IF(LEFT(Cockpit!$O$5,1)="A",H1157,IF(Parameter!$E$30="MAX-Bestand",IF(CH1157=1,CI1157,IF(LEFT(Cockpit!$O$5,1)="B",BF1157,MAX(BF1157,H1157))),ROUNDUP(BD1157,0)))</f>
        <v>3</v>
      </c>
      <c r="BA1157" s="50" t="n">
        <f aca="false">IF(BZ1157=1,0,ROUNDUP(AZ1157/BY1157,0))</f>
        <v>1</v>
      </c>
      <c r="BB1157" s="52" t="n">
        <f aca="false">IF(CQ1157&gt;0,CQ1157*MAX(1,AZ1157/X1157),IF(BZ1157=1,IF(AZ1157&lt;=0,0,CD1157*MAX(1,IF(H1157&gt;0,AZ1157/H1157,1))),IF(R1157&gt;0,BA1157/R1157,0))/MAX(0.1,N(Parameter!$M$21)))</f>
        <v>0.0192307692307692</v>
      </c>
      <c r="BC1157" s="50" t="n">
        <f aca="false">BB1157*CB1157</f>
        <v>2.98076923076923</v>
      </c>
      <c r="BD1157" s="51" t="n">
        <f aca="false">IF(LEFT(Cockpit!$O$5,1)="A",H1157,IF(CH1157=1,(CK1157+CI1157)/2,IF(LEFT(Cockpit!$O$5,1)="B",(CK1157+BF1157)/2,MAX((CK1157+BF1157)/2,H1157))))</f>
        <v>2.5</v>
      </c>
      <c r="BE1157" s="50" t="n">
        <f aca="false">BD1157*G1157</f>
        <v>284.425</v>
      </c>
      <c r="BF1157" s="50" t="n">
        <f aca="false">ROUNDUP(CK1157+MAX(CL1157,2*(J1157/IF(CG1157&gt;0,CG1157,MAX(0.1,N(Cockpit!$O$6)))-CK1157)),0)</f>
        <v>5</v>
      </c>
      <c r="BG1157" s="51" t="n">
        <f aca="false">IF(BC1157&gt;0,J1157/BC1157,-1)</f>
        <v>1.34193548387097</v>
      </c>
      <c r="BH1157" s="51" t="n">
        <f aca="false">IF(AND(OR(CF1157="L1",CF1157="L23",CF1157="LIFT"),BC1157&gt;0),SUMIFS($BC$7:$BC$1843,$CF$7:$CF$1843,CF1157,$BG$7:$BG$1843,"&gt;"&amp;BG1157)+SUMIFS($BC$7:$BC$1843,$CF$7:$CF$1843,CF1157,$BG$7:$BG$1843,BG1157,$BW$7:$BW$1843,"&lt;="&amp;BW1157),"")</f>
        <v>6825.33562271062</v>
      </c>
      <c r="BI1157" s="58" t="n">
        <f aca="false">IF(BH1157="",0,MAX(0,MIN(1,(IF(CF1157="L1",Parameter!$H$5,IF(CF1157="L23",Parameter!$H$6+Parameter!$H$7,Parameter!$H$5+Parameter!$H$6+Parameter!$H$7))-(BH1157-BC1157))/BC1157)))</f>
        <v>1</v>
      </c>
      <c r="BJ1157" s="48" t="str">
        <f aca="false">IF(AI1157&lt;=0,"",IF(CF1157="Aussen","Aussenlager",IF(CF1157="-","Nicht im Lift",IF(AO1157&gt;=1,"Lift",IF(AO1157&lt;=0,"Aussenlager","teilweise")))))</f>
        <v>Lift</v>
      </c>
      <c r="BK1157" s="48" t="str">
        <f aca="false">IF(AS1157&lt;=0,"",IF(CF1157="Aussen","Aussenlager",IF(CF1157="-","Nicht im Lift",IF(AY1157&gt;=1,"Lift",IF(AY1157&lt;=0,"Aussenlager","teilweise")))))</f>
        <v>Lift</v>
      </c>
      <c r="BL1157" s="48" t="str">
        <f aca="false">IF(BC1157&lt;=0,"",IF(CF1157="Aussen","Aussenlager",IF(CF1157="-","Nicht im Lift",IF(BI1157&gt;=1,"Lift",IF(BI1157&lt;=0,"Aussenlager","teilweise")))))</f>
        <v>Lift</v>
      </c>
      <c r="BM1157" s="48" t="str">
        <f aca="false">IF(A1157="","",IF(BV1157=1,"Neu; ","")&amp;IF(AND(BV1157=0,BQ1157&lt;0),"negativer Bestand (Export "&amp;BQ1157&amp;"); ","")&amp;IF(J1157&lt;=0,"Kein Verbrauch; ","")&amp;IF(CQ1157&gt;0,"Lift "&amp;W1157&amp;" lt. Liftbericht (Fach "&amp;X1157&amp;" Stk); ",IF(CA1157=1,"Gebinde geschätzt ("&amp;T1157&amp;"); ",IF(BZ1157=1,"Lose – Tablare geschätzt; ","")))&amp;IF(H1157&gt;AV1157,"Überbestand "&amp;ROUND(H1157-AV1157,0)&amp;" Stk / CHF "&amp;ROUND((H1157-AV1157)*G1157,0)&amp;"; ","")&amp;IF(AND(CH1157=1,CI1157&lt;CJ1157),"MAX &lt; MB+LG; ","")&amp;IF(AND(CP1157&gt;0,CO1157*10&gt;CP1157),"zu hoch für Tablar; ","")&amp;IF(AND(BV1157=0,OR(CH1157=1,AA1157&lt;&gt;"",U1157&lt;&gt;"",V1157&lt;&gt;"",AB1157&lt;&gt;"")),"manuell übersteuert; ","")&amp;IF(AND(BZ1157=0,R1157=0),"Gebinde unbekannt / Stellmass fehlt; ","")&amp;IF(AND(BZ1157=0,N(V1157)&lt;=0,N(Q1157)&lt;=0),"Menge pro Gebinde fehlt (Ist = 1 Gebinde); ","")&amp;BU1157)</f>
        <v>negativer Bestand (Export -3); Überbestand 6 Stk / CHF 683; </v>
      </c>
      <c r="BN1157" s="48"/>
      <c r="BO1157" s="48"/>
      <c r="BP1157" s="55"/>
      <c r="BQ1157" s="50" t="n">
        <v>-3</v>
      </c>
      <c r="BR1157" s="50" t="n">
        <v>14</v>
      </c>
      <c r="BS1157" s="49" t="n">
        <v>-319.95</v>
      </c>
      <c r="BT1157" s="50" t="n">
        <v>4</v>
      </c>
      <c r="BU1157" s="48"/>
      <c r="BV1157" s="53" t="n">
        <v>0</v>
      </c>
      <c r="BW1157" s="53" t="n">
        <v>1157</v>
      </c>
      <c r="BX1157" s="48" t="str">
        <f aca="false">IF(U1157&lt;&gt;"",UPPER(TRIM(U1157)),IF(CA1157=1,UPPER(VLOOKUP(T1157,Parameter!$I$27:$K$29,2,0)),IF(P1157="","LOSE",P1157)))</f>
        <v>S41</v>
      </c>
      <c r="BY1157" s="50" t="n">
        <f aca="false">IF(BX1157="LOSE",1,IF(N(V1157)&gt;0,V1157,IF(CA1157=1,MAX(1,N(VLOOKUP(T1157,Parameter!$I$27:$K$29,3,0)),H1157,N(N1157)),IF(N(Q1157)&gt;0,Q1157,MAX(1,H1157)))))</f>
        <v>16</v>
      </c>
      <c r="BZ1157" s="53" t="n">
        <f aca="false">IF(BX1157="LOSE",1,0)</f>
        <v>0</v>
      </c>
      <c r="CA1157" s="53" t="n">
        <f aca="false">IF(AND(U1157="",OR(P1157="",P1157="LOSE"),T1157&lt;&gt;"",N(S1157)&lt;=0,ISNUMBER(MATCH(T1157,Parameter!$I$27:$I$29,0))),1,0)</f>
        <v>0</v>
      </c>
      <c r="CB1157" s="53" t="n">
        <f aca="false">IF(CQ1157&gt;0,INDEX(Parameter!$H$5:$H$7,W1157)/INDEX(Parameter!$E$5:$E$7,W1157),IF(AND(BZ1157=0,N(IFERROR(VLOOKUP(BX1157,'Gebinde-Kategorie'!$A$5:$N$45,14,0),0))&gt;0),VLOOKUP(BX1157,'Gebinde-Kategorie'!$A$5:$N$45,14,0)*10+Parameter!$M$23,Parameter!$M$24))</f>
        <v>155</v>
      </c>
      <c r="CC1157" s="48" t="str">
        <f aca="false">IF(AND(Parameter!$B$19="Ja",E1157&lt;&gt;"",ISNUMBER(MATCH(E1157,Parameter!$I$35:$I$52,0))),VLOOKUP(E1157,Parameter!$I$35:$J$52,2,0),IFERROR(VLOOKUP(D1157,Parameter!$A$35:$C$64,2,0),"Nein"))</f>
        <v>2+3</v>
      </c>
      <c r="CD1157" s="52" t="n">
        <f aca="false">IF(BZ1157=0,0,IF(N(S1157)&gt;0,S1157,IFERROR(VLOOKUP(D1157,Parameter!$A$35:$C$64,3,0)+0,0)))</f>
        <v>0</v>
      </c>
      <c r="CE1157" s="48" t="n">
        <f aca="false">IF(AA1157&lt;&gt;"",AA1157,Z1157)</f>
        <v>3</v>
      </c>
      <c r="CF1157" s="48" t="str">
        <f aca="false">IF(OR(CE1157=1,CE1157=2,CE1157=3),IF(Parameter!$E$27="Ja","LIFT",IF(CE1157=1,"L1","L23")),IF(CE1157="Aussen","Aussen","-"))</f>
        <v>LIFT</v>
      </c>
      <c r="CG1157" s="59" t="n">
        <f aca="false">IF(N(AB1157)&gt;0,AB1157,0)</f>
        <v>0</v>
      </c>
      <c r="CH1157" s="53" t="n">
        <f aca="false">IF(ISNUMBER(AE1157),1,0)</f>
        <v>0</v>
      </c>
      <c r="CI1157" s="50" t="n">
        <f aca="false">N(AE1157)</f>
        <v>0</v>
      </c>
      <c r="CJ1157" s="50" t="n">
        <f aca="false">N(M1157)+N(N1157)</f>
        <v>5</v>
      </c>
      <c r="CK1157" s="50" t="n">
        <f aca="false">N(M1157)</f>
        <v>0</v>
      </c>
      <c r="CL1157" s="50" t="n">
        <f aca="false">N(N1157)</f>
        <v>5</v>
      </c>
      <c r="CM1157" s="50" t="n">
        <f aca="false">ROUNDUP(H1157/BY1157,0)</f>
        <v>1</v>
      </c>
      <c r="CN1157" s="50" t="n">
        <f aca="false">ROUNDUP(CI1157/BY1157,0)</f>
        <v>0</v>
      </c>
      <c r="CO1157" s="53" t="n">
        <f aca="false">IF(BZ1157=1,0,IFERROR(VLOOKUP(BX1157,'Gebinde-Kategorie'!$A$5:$N$45,5,0)+0,0))</f>
        <v>11</v>
      </c>
      <c r="CP1157" s="53" t="n">
        <f aca="false">IFERROR(IF(OR(CE1157=1,CE1157=2,CE1157=3),N(INDEX(Parameter!$I$5:$I$7,CE1157)),0),0)</f>
        <v>0</v>
      </c>
      <c r="CQ1157" s="52" t="n">
        <f aca="false">IF(AND(Parameter!$B$21="Ja",ISNUMBER(W1157),N(X1157)&gt;0),IFERROR(N(INDEX(Parameter!$L$5:$L$7,W1157))*INDEX(Parameter!$E$5:$E$7,W1157)*X1157/SUMIFS($X$7:$X$1843,$W$7:$W$1843,W1157),0),0)</f>
        <v>0</v>
      </c>
    </row>
    <row r="1158" customFormat="false" ht="15" hidden="false" customHeight="false" outlineLevel="0" collapsed="false">
      <c r="A1158" s="48" t="s">
        <v>2099</v>
      </c>
      <c r="B1158" s="48" t="s">
        <v>1652</v>
      </c>
      <c r="C1158" s="48" t="s">
        <v>173</v>
      </c>
      <c r="D1158" s="48" t="s">
        <v>193</v>
      </c>
      <c r="E1158" s="48"/>
      <c r="F1158" s="48" t="s">
        <v>227</v>
      </c>
      <c r="G1158" s="49" t="n">
        <v>20</v>
      </c>
      <c r="H1158" s="50" t="n">
        <f aca="false">MAX(0,IF(AND(Parameter!$B$21="Ja",ISNUMBER(Y1158)),Y1158,IF(Parameter!$B$20="Jahresanfang 2025 + Export",BR1158+BQ1158,BQ1158)))</f>
        <v>0</v>
      </c>
      <c r="I1158" s="50" t="n">
        <f aca="false">H1158*G1158</f>
        <v>0</v>
      </c>
      <c r="J1158" s="50" t="n">
        <f aca="false">BT1158*Parameter!$B$18</f>
        <v>0</v>
      </c>
      <c r="K1158" s="51" t="n">
        <v>16</v>
      </c>
      <c r="L1158" s="52" t="n">
        <v>0</v>
      </c>
      <c r="M1158" s="50" t="n">
        <v>0</v>
      </c>
      <c r="N1158" s="50" t="n">
        <v>1</v>
      </c>
      <c r="O1158" s="53" t="n">
        <v>35</v>
      </c>
      <c r="P1158" s="48" t="s">
        <v>177</v>
      </c>
      <c r="Q1158" s="50"/>
      <c r="R1158" s="53" t="n">
        <f aca="false">IF(BZ1158=1,0,IFERROR(VLOOKUP(BX1158,'Gebinde-Kategorie'!$A$5:$N$45,13,0)+0,0))</f>
        <v>26</v>
      </c>
      <c r="S1158" s="54"/>
      <c r="T1158" s="55" t="s">
        <v>284</v>
      </c>
      <c r="U1158" s="55"/>
      <c r="V1158" s="55"/>
      <c r="W1158" s="48"/>
      <c r="X1158" s="50"/>
      <c r="Y1158" s="50"/>
      <c r="Z1158" s="48" t="n">
        <f aca="false">IF(A1158="","",IF(AND(Parameter!$B$21="Ja",ISNUMBER(W1158)),W1158,IF(CC1158="2+3",IF(ISNUMBER(SEARCH("grosser Artikel",BU1158)),2,IFERROR(VLOOKUP(BX1158,Parameter!$F$35:$G$64,2,0),2)),IF(OR(CC1158="Nein",CC1158=""),"-",CC1158))))</f>
        <v>3</v>
      </c>
      <c r="AA1158" s="55"/>
      <c r="AB1158" s="56"/>
      <c r="AC1158" s="50" t="n">
        <f aca="false">AV1158</f>
        <v>1</v>
      </c>
      <c r="AD1158" s="50" t="n">
        <f aca="false">MAX(AV1158,H1158)</f>
        <v>1</v>
      </c>
      <c r="AE1158" s="57"/>
      <c r="AF1158" s="50" t="n">
        <f aca="false">IF(LEFT(Cockpit!$C$5,1)="A",H1158,IF(Parameter!$E$30="MAX-Bestand",IF(CH1158=1,CI1158,IF(LEFT(Cockpit!$C$5,1)="B",AL1158,MAX(AL1158,H1158))),ROUNDUP(AJ1158,0)))</f>
        <v>0</v>
      </c>
      <c r="AG1158" s="50" t="n">
        <f aca="false">IF(BZ1158=1,0,ROUNDUP(AF1158/BY1158,0))</f>
        <v>0</v>
      </c>
      <c r="AH1158" s="52" t="n">
        <f aca="false">IF(CQ1158&gt;0,CQ1158*MAX(1,AF1158/X1158),IF(BZ1158=1,IF(AF1158&lt;=0,0,CD1158*MAX(1,IF(H1158&gt;0,AF1158/H1158,1))),IF(R1158&gt;0,AG1158/R1158,0))/MAX(0.1,N(Parameter!$M$21)))</f>
        <v>0</v>
      </c>
      <c r="AI1158" s="50" t="n">
        <f aca="false">AH1158*CB1158</f>
        <v>0</v>
      </c>
      <c r="AJ1158" s="51" t="n">
        <f aca="false">IF(LEFT(Cockpit!$C$5,1)="A",H1158,IF(CH1158=1,(CK1158+CI1158)/2,IF(LEFT(Cockpit!$C$5,1)="B",(CK1158+AL1158)/2,MAX((CK1158+AL1158)/2,H1158))))</f>
        <v>0</v>
      </c>
      <c r="AK1158" s="50" t="n">
        <f aca="false">AJ1158*G1158</f>
        <v>0</v>
      </c>
      <c r="AL1158" s="50" t="n">
        <f aca="false">ROUNDUP(CK1158+MAX(CL1158,2*(J1158/IF(CG1158&gt;0,CG1158,MAX(0.1,N(Cockpit!$C$6)))-CK1158)),0)</f>
        <v>1</v>
      </c>
      <c r="AM1158" s="51" t="n">
        <f aca="false">IF(AI1158&gt;0,J1158/AI1158,-1)</f>
        <v>-1</v>
      </c>
      <c r="AN1158" s="51" t="str">
        <f aca="false">IF(AND(OR(CF1158="L1",CF1158="L23",CF1158="LIFT"),AI1158&gt;0),SUMIFS($AI$7:$AI$1843,$CF$7:$CF$1843,CF1158,$AM$7:$AM$1843,"&gt;"&amp;AM1158)+SUMIFS($AI$7:$AI$1843,$CF$7:$CF$1843,CF1158,$AM$7:$AM$1843,AM1158,$BW$7:$BW$1843,"&lt;="&amp;BW1158),"")</f>
        <v/>
      </c>
      <c r="AO1158" s="58" t="n">
        <f aca="false">IF(AN1158="",0,MAX(0,MIN(1,(IF(CF1158="L1",Parameter!$H$5,IF(CF1158="L23",Parameter!$H$6+Parameter!$H$7,Parameter!$H$5+Parameter!$H$6+Parameter!$H$7))-(AN1158-AI1158))/AI1158)))</f>
        <v>0</v>
      </c>
      <c r="AP1158" s="50" t="n">
        <f aca="false">IF(LEFT(Cockpit!$I$5,1)="A",H1158,IF(Parameter!$E$30="MAX-Bestand",IF(CH1158=1,CI1158,IF(LEFT(Cockpit!$I$5,1)="B",AV1158,MAX(AV1158,H1158))),ROUNDUP(AT1158,0)))</f>
        <v>1</v>
      </c>
      <c r="AQ1158" s="50" t="n">
        <f aca="false">IF(BZ1158=1,0,ROUNDUP(AP1158/BY1158,0))</f>
        <v>1</v>
      </c>
      <c r="AR1158" s="52" t="n">
        <f aca="false">IF(CQ1158&gt;0,CQ1158*MAX(1,AP1158/X1158),IF(BZ1158=1,IF(AP1158&lt;=0,0,CD1158*MAX(1,IF(H1158&gt;0,AP1158/H1158,1))),IF(R1158&gt;0,AQ1158/R1158,0))/MAX(0.1,N(Parameter!$M$21)))</f>
        <v>0.0384615384615385</v>
      </c>
      <c r="AS1158" s="50" t="n">
        <f aca="false">AR1158*CB1158</f>
        <v>5.96153846153846</v>
      </c>
      <c r="AT1158" s="51" t="n">
        <f aca="false">IF(LEFT(Cockpit!$I$5,1)="A",H1158,IF(CH1158=1,(CK1158+CI1158)/2,IF(LEFT(Cockpit!$I$5,1)="B",(CK1158+AV1158)/2,MAX((CK1158+AV1158)/2,H1158))))</f>
        <v>0.5</v>
      </c>
      <c r="AU1158" s="50" t="n">
        <f aca="false">AT1158*G1158</f>
        <v>10</v>
      </c>
      <c r="AV1158" s="50" t="n">
        <f aca="false">ROUNDUP(CK1158+MAX(CL1158,2*(J1158/IF(CG1158&gt;0,CG1158,MAX(0.1,N(Cockpit!$I$6)))-CK1158)),0)</f>
        <v>1</v>
      </c>
      <c r="AW1158" s="51" t="n">
        <f aca="false">IF(AS1158&gt;0,J1158/AS1158,-1)</f>
        <v>0</v>
      </c>
      <c r="AX1158" s="51" t="n">
        <f aca="false">IF(AND(OR(CF1158="L1",CF1158="L23",CF1158="LIFT"),AS1158&gt;0),SUMIFS($AS$7:$AS$1843,$CF$7:$CF$1843,CF1158,$AW$7:$AW$1843,"&gt;"&amp;AW1158)+SUMIFS($AS$7:$AS$1843,$CF$7:$CF$1843,CF1158,$AW$7:$AW$1843,AW1158,$BW$7:$BW$1843,"&lt;="&amp;BW1158),"")</f>
        <v>35163.6945970696</v>
      </c>
      <c r="AY1158" s="58" t="n">
        <f aca="false">IF(AX1158="",0,MAX(0,MIN(1,(IF(CF1158="L1",Parameter!$H$5,IF(CF1158="L23",Parameter!$H$6+Parameter!$H$7,Parameter!$H$5+Parameter!$H$6+Parameter!$H$7))-(AX1158-AS1158))/AS1158)))</f>
        <v>1</v>
      </c>
      <c r="AZ1158" s="50" t="n">
        <f aca="false">IF(LEFT(Cockpit!$O$5,1)="A",H1158,IF(Parameter!$E$30="MAX-Bestand",IF(CH1158=1,CI1158,IF(LEFT(Cockpit!$O$5,1)="B",BF1158,MAX(BF1158,H1158))),ROUNDUP(BD1158,0)))</f>
        <v>1</v>
      </c>
      <c r="BA1158" s="50" t="n">
        <f aca="false">IF(BZ1158=1,0,ROUNDUP(AZ1158/BY1158,0))</f>
        <v>1</v>
      </c>
      <c r="BB1158" s="52" t="n">
        <f aca="false">IF(CQ1158&gt;0,CQ1158*MAX(1,AZ1158/X1158),IF(BZ1158=1,IF(AZ1158&lt;=0,0,CD1158*MAX(1,IF(H1158&gt;0,AZ1158/H1158,1))),IF(R1158&gt;0,BA1158/R1158,0))/MAX(0.1,N(Parameter!$M$21)))</f>
        <v>0.0384615384615385</v>
      </c>
      <c r="BC1158" s="50" t="n">
        <f aca="false">BB1158*CB1158</f>
        <v>5.96153846153846</v>
      </c>
      <c r="BD1158" s="51" t="n">
        <f aca="false">IF(LEFT(Cockpit!$O$5,1)="A",H1158,IF(CH1158=1,(CK1158+CI1158)/2,IF(LEFT(Cockpit!$O$5,1)="B",(CK1158+BF1158)/2,MAX((CK1158+BF1158)/2,H1158))))</f>
        <v>0.5</v>
      </c>
      <c r="BE1158" s="50" t="n">
        <f aca="false">BD1158*G1158</f>
        <v>10</v>
      </c>
      <c r="BF1158" s="50" t="n">
        <f aca="false">ROUNDUP(CK1158+MAX(CL1158,2*(J1158/IF(CG1158&gt;0,CG1158,MAX(0.1,N(Cockpit!$O$6)))-CK1158)),0)</f>
        <v>1</v>
      </c>
      <c r="BG1158" s="51" t="n">
        <f aca="false">IF(BC1158&gt;0,J1158/BC1158,-1)</f>
        <v>0</v>
      </c>
      <c r="BH1158" s="51" t="n">
        <f aca="false">IF(AND(OR(CF1158="L1",CF1158="L23",CF1158="LIFT"),BC1158&gt;0),SUMIFS($BC$7:$BC$1843,$CF$7:$CF$1843,CF1158,$BG$7:$BG$1843,"&gt;"&amp;BG1158)+SUMIFS($BC$7:$BC$1843,$CF$7:$CF$1843,CF1158,$BG$7:$BG$1843,BG1158,$BW$7:$BW$1843,"&lt;="&amp;BW1158),"")</f>
        <v>29149.0012572174</v>
      </c>
      <c r="BI1158" s="58" t="n">
        <f aca="false">IF(BH1158="",0,MAX(0,MIN(1,(IF(CF1158="L1",Parameter!$H$5,IF(CF1158="L23",Parameter!$H$6+Parameter!$H$7,Parameter!$H$5+Parameter!$H$6+Parameter!$H$7))-(BH1158-BC1158))/BC1158)))</f>
        <v>1</v>
      </c>
      <c r="BJ1158" s="48" t="str">
        <f aca="false">IF(AI1158&lt;=0,"",IF(CF1158="Aussen","Aussenlager",IF(CF1158="-","Nicht im Lift",IF(AO1158&gt;=1,"Lift",IF(AO1158&lt;=0,"Aussenlager","teilweise")))))</f>
        <v/>
      </c>
      <c r="BK1158" s="48" t="str">
        <f aca="false">IF(AS1158&lt;=0,"",IF(CF1158="Aussen","Aussenlager",IF(CF1158="-","Nicht im Lift",IF(AY1158&gt;=1,"Lift",IF(AY1158&lt;=0,"Aussenlager","teilweise")))))</f>
        <v>Lift</v>
      </c>
      <c r="BL1158" s="48" t="str">
        <f aca="false">IF(BC1158&lt;=0,"",IF(CF1158="Aussen","Aussenlager",IF(CF1158="-","Nicht im Lift",IF(BI1158&gt;=1,"Lift",IF(BI1158&lt;=0,"Aussenlager","teilweise")))))</f>
        <v>Lift</v>
      </c>
      <c r="BM1158" s="48" t="str">
        <f aca="false">IF(A1158="","",IF(BV1158=1,"Neu; ","")&amp;IF(AND(BV1158=0,BQ1158&lt;0),"negativer Bestand (Export "&amp;BQ1158&amp;"); ","")&amp;IF(J1158&lt;=0,"Kein Verbrauch; ","")&amp;IF(CQ1158&gt;0,"Lift "&amp;W1158&amp;" lt. Liftbericht (Fach "&amp;X1158&amp;" Stk); ",IF(CA1158=1,"Gebinde geschätzt ("&amp;T1158&amp;"); ",IF(BZ1158=1,"Lose – Tablare geschätzt; ","")))&amp;IF(H1158&gt;AV1158,"Überbestand "&amp;ROUND(H1158-AV1158,0)&amp;" Stk / CHF "&amp;ROUND((H1158-AV1158)*G1158,0)&amp;"; ","")&amp;IF(AND(CH1158=1,CI1158&lt;CJ1158),"MAX &lt; MB+LG; ","")&amp;IF(AND(CP1158&gt;0,CO1158*10&gt;CP1158),"zu hoch für Tablar; ","")&amp;IF(AND(BV1158=0,OR(CH1158=1,AA1158&lt;&gt;"",U1158&lt;&gt;"",V1158&lt;&gt;"",AB1158&lt;&gt;"")),"manuell übersteuert; ","")&amp;IF(AND(BZ1158=0,R1158=0),"Gebinde unbekannt / Stellmass fehlt; ","")&amp;IF(AND(BZ1158=0,N(V1158)&lt;=0,N(Q1158)&lt;=0),"Menge pro Gebinde fehlt (Ist = 1 Gebinde); ","")&amp;BU1158)</f>
        <v>negativer Bestand (Export -16); Kein Verbrauch; Gebinde geschätzt (Klein); Menge pro Gebinde fehlt (Ist = 1 Gebinde); </v>
      </c>
      <c r="BN1158" s="48"/>
      <c r="BO1158" s="48"/>
      <c r="BP1158" s="55"/>
      <c r="BQ1158" s="50" t="n">
        <v>-16</v>
      </c>
      <c r="BR1158" s="50" t="n">
        <v>16</v>
      </c>
      <c r="BS1158" s="49" t="n">
        <v>-320</v>
      </c>
      <c r="BT1158" s="50" t="n">
        <v>0</v>
      </c>
      <c r="BU1158" s="48"/>
      <c r="BV1158" s="53" t="n">
        <v>0</v>
      </c>
      <c r="BW1158" s="53" t="n">
        <v>1158</v>
      </c>
      <c r="BX1158" s="48" t="str">
        <f aca="false">IF(U1158&lt;&gt;"",UPPER(TRIM(U1158)),IF(CA1158=1,UPPER(VLOOKUP(T1158,Parameter!$I$27:$K$29,2,0)),IF(P1158="","LOSE",P1158)))</f>
        <v>S51</v>
      </c>
      <c r="BY1158" s="50" t="n">
        <f aca="false">IF(BX1158="LOSE",1,IF(N(V1158)&gt;0,V1158,IF(CA1158=1,MAX(1,N(VLOOKUP(T1158,Parameter!$I$27:$K$29,3,0)),H1158,N(N1158)),IF(N(Q1158)&gt;0,Q1158,MAX(1,H1158)))))</f>
        <v>20</v>
      </c>
      <c r="BZ1158" s="53" t="n">
        <f aca="false">IF(BX1158="LOSE",1,0)</f>
        <v>0</v>
      </c>
      <c r="CA1158" s="53" t="n">
        <f aca="false">IF(AND(U1158="",OR(P1158="",P1158="LOSE"),T1158&lt;&gt;"",N(S1158)&lt;=0,ISNUMBER(MATCH(T1158,Parameter!$I$27:$I$29,0))),1,0)</f>
        <v>1</v>
      </c>
      <c r="CB1158" s="53" t="n">
        <f aca="false">IF(CQ1158&gt;0,INDEX(Parameter!$H$5:$H$7,W1158)/INDEX(Parameter!$E$5:$E$7,W1158),IF(AND(BZ1158=0,N(IFERROR(VLOOKUP(BX1158,'Gebinde-Kategorie'!$A$5:$N$45,14,0),0))&gt;0),VLOOKUP(BX1158,'Gebinde-Kategorie'!$A$5:$N$45,14,0)*10+Parameter!$M$23,Parameter!$M$24))</f>
        <v>155</v>
      </c>
      <c r="CC1158" s="48" t="str">
        <f aca="false">IF(AND(Parameter!$B$19="Ja",E1158&lt;&gt;"",ISNUMBER(MATCH(E1158,Parameter!$I$35:$I$52,0))),VLOOKUP(E1158,Parameter!$I$35:$J$52,2,0),IFERROR(VLOOKUP(D1158,Parameter!$A$35:$C$64,2,0),"Nein"))</f>
        <v>2+3</v>
      </c>
      <c r="CD1158" s="52" t="n">
        <f aca="false">IF(BZ1158=0,0,IF(N(S1158)&gt;0,S1158,IFERROR(VLOOKUP(D1158,Parameter!$A$35:$C$64,3,0)+0,0)))</f>
        <v>0</v>
      </c>
      <c r="CE1158" s="48" t="n">
        <f aca="false">IF(AA1158&lt;&gt;"",AA1158,Z1158)</f>
        <v>3</v>
      </c>
      <c r="CF1158" s="48" t="str">
        <f aca="false">IF(OR(CE1158=1,CE1158=2,CE1158=3),IF(Parameter!$E$27="Ja","LIFT",IF(CE1158=1,"L1","L23")),IF(CE1158="Aussen","Aussen","-"))</f>
        <v>LIFT</v>
      </c>
      <c r="CG1158" s="59" t="n">
        <f aca="false">IF(N(AB1158)&gt;0,AB1158,0)</f>
        <v>0</v>
      </c>
      <c r="CH1158" s="53" t="n">
        <f aca="false">IF(ISNUMBER(AE1158),1,0)</f>
        <v>0</v>
      </c>
      <c r="CI1158" s="50" t="n">
        <f aca="false">N(AE1158)</f>
        <v>0</v>
      </c>
      <c r="CJ1158" s="50" t="n">
        <f aca="false">N(M1158)+N(N1158)</f>
        <v>1</v>
      </c>
      <c r="CK1158" s="50" t="n">
        <f aca="false">N(M1158)</f>
        <v>0</v>
      </c>
      <c r="CL1158" s="50" t="n">
        <f aca="false">N(N1158)</f>
        <v>1</v>
      </c>
      <c r="CM1158" s="50" t="n">
        <f aca="false">ROUNDUP(H1158/BY1158,0)</f>
        <v>0</v>
      </c>
      <c r="CN1158" s="50" t="n">
        <f aca="false">ROUNDUP(CI1158/BY1158,0)</f>
        <v>0</v>
      </c>
      <c r="CO1158" s="53" t="n">
        <f aca="false">IF(BZ1158=1,0,IFERROR(VLOOKUP(BX1158,'Gebinde-Kategorie'!$A$5:$N$45,5,0)+0,0))</f>
        <v>11</v>
      </c>
      <c r="CP1158" s="53" t="n">
        <f aca="false">IFERROR(IF(OR(CE1158=1,CE1158=2,CE1158=3),N(INDEX(Parameter!$I$5:$I$7,CE1158)),0),0)</f>
        <v>0</v>
      </c>
      <c r="CQ1158" s="52" t="n">
        <f aca="false">IF(AND(Parameter!$B$21="Ja",ISNUMBER(W1158),N(X1158)&gt;0),IFERROR(N(INDEX(Parameter!$L$5:$L$7,W1158))*INDEX(Parameter!$E$5:$E$7,W1158)*X1158/SUMIFS($X$7:$X$1843,$W$7:$W$1843,W1158),0),0)</f>
        <v>0</v>
      </c>
    </row>
    <row r="1159" customFormat="false" ht="15" hidden="false" customHeight="false" outlineLevel="0" collapsed="false">
      <c r="A1159" s="48" t="s">
        <v>2100</v>
      </c>
      <c r="B1159" s="48" t="s">
        <v>449</v>
      </c>
      <c r="C1159" s="48" t="s">
        <v>173</v>
      </c>
      <c r="D1159" s="48" t="s">
        <v>193</v>
      </c>
      <c r="E1159" s="48" t="s">
        <v>194</v>
      </c>
      <c r="F1159" s="48" t="s">
        <v>227</v>
      </c>
      <c r="G1159" s="49" t="n">
        <v>107</v>
      </c>
      <c r="H1159" s="50" t="n">
        <f aca="false">MAX(0,IF(AND(Parameter!$B$21="Ja",ISNUMBER(Y1159)),Y1159,IF(Parameter!$B$20="Jahresanfang 2025 + Export",BR1159+BQ1159,BQ1159)))</f>
        <v>16</v>
      </c>
      <c r="I1159" s="50" t="n">
        <f aca="false">H1159*G1159</f>
        <v>1712</v>
      </c>
      <c r="J1159" s="50" t="n">
        <f aca="false">BT1159*Parameter!$B$18</f>
        <v>8</v>
      </c>
      <c r="K1159" s="51" t="n">
        <v>17</v>
      </c>
      <c r="L1159" s="52" t="n">
        <v>0.470588235294118</v>
      </c>
      <c r="M1159" s="50" t="n">
        <v>1</v>
      </c>
      <c r="N1159" s="50" t="n">
        <v>10</v>
      </c>
      <c r="O1159" s="53" t="n">
        <v>84</v>
      </c>
      <c r="P1159" s="48" t="s">
        <v>242</v>
      </c>
      <c r="Q1159" s="50" t="n">
        <v>50</v>
      </c>
      <c r="R1159" s="53" t="n">
        <f aca="false">IF(BZ1159=1,0,IFERROR(VLOOKUP(BX1159,'Gebinde-Kategorie'!$A$5:$N$45,13,0)+0,0))</f>
        <v>26</v>
      </c>
      <c r="S1159" s="54"/>
      <c r="T1159" s="55"/>
      <c r="U1159" s="55"/>
      <c r="V1159" s="55"/>
      <c r="W1159" s="48"/>
      <c r="X1159" s="50"/>
      <c r="Y1159" s="50"/>
      <c r="Z1159" s="48" t="n">
        <f aca="false">IF(A1159="","",IF(AND(Parameter!$B$21="Ja",ISNUMBER(W1159)),W1159,IF(CC1159="2+3",IF(ISNUMBER(SEARCH("grosser Artikel",BU1159)),2,IFERROR(VLOOKUP(BX1159,Parameter!$F$35:$G$64,2,0),2)),IF(OR(CC1159="Nein",CC1159=""),"-",CC1159))))</f>
        <v>3</v>
      </c>
      <c r="AA1159" s="55"/>
      <c r="AB1159" s="56"/>
      <c r="AC1159" s="50" t="n">
        <f aca="false">AV1159</f>
        <v>11</v>
      </c>
      <c r="AD1159" s="50" t="n">
        <f aca="false">MAX(AV1159,H1159)</f>
        <v>16</v>
      </c>
      <c r="AE1159" s="57"/>
      <c r="AF1159" s="50" t="n">
        <f aca="false">IF(LEFT(Cockpit!$C$5,1)="A",H1159,IF(Parameter!$E$30="MAX-Bestand",IF(CH1159=1,CI1159,IF(LEFT(Cockpit!$C$5,1)="B",AL1159,MAX(AL1159,H1159))),ROUNDUP(AJ1159,0)))</f>
        <v>16</v>
      </c>
      <c r="AG1159" s="50" t="n">
        <f aca="false">IF(BZ1159=1,0,ROUNDUP(AF1159/BY1159,0))</f>
        <v>1</v>
      </c>
      <c r="AH1159" s="52" t="n">
        <f aca="false">IF(CQ1159&gt;0,CQ1159*MAX(1,AF1159/X1159),IF(BZ1159=1,IF(AF1159&lt;=0,0,CD1159*MAX(1,IF(H1159&gt;0,AF1159/H1159,1))),IF(R1159&gt;0,AG1159/R1159,0))/MAX(0.1,N(Parameter!$M$21)))</f>
        <v>0.0384615384615385</v>
      </c>
      <c r="AI1159" s="50" t="n">
        <f aca="false">AH1159*CB1159</f>
        <v>9.42307692307692</v>
      </c>
      <c r="AJ1159" s="51" t="n">
        <f aca="false">IF(LEFT(Cockpit!$C$5,1)="A",H1159,IF(CH1159=1,(CK1159+CI1159)/2,IF(LEFT(Cockpit!$C$5,1)="B",(CK1159+AL1159)/2,MAX((CK1159+AL1159)/2,H1159))))</f>
        <v>16</v>
      </c>
      <c r="AK1159" s="50" t="n">
        <f aca="false">AJ1159*G1159</f>
        <v>1712</v>
      </c>
      <c r="AL1159" s="50" t="n">
        <f aca="false">ROUNDUP(CK1159+MAX(CL1159,2*(J1159/IF(CG1159&gt;0,CG1159,MAX(0.1,N(Cockpit!$C$6)))-CK1159)),0)</f>
        <v>11</v>
      </c>
      <c r="AM1159" s="51" t="n">
        <f aca="false">IF(AI1159&gt;0,J1159/AI1159,-1)</f>
        <v>0.848979591836735</v>
      </c>
      <c r="AN1159" s="51" t="n">
        <f aca="false">IF(AND(OR(CF1159="L1",CF1159="L23",CF1159="LIFT"),AI1159&gt;0),SUMIFS($AI$7:$AI$1843,$CF$7:$CF$1843,CF1159,$AM$7:$AM$1843,"&gt;"&amp;AM1159)+SUMIFS($AI$7:$AI$1843,$CF$7:$CF$1843,CF1159,$AM$7:$AM$1843,AM1159,$BW$7:$BW$1843,"&lt;="&amp;BW1159),"")</f>
        <v>7833.61217948718</v>
      </c>
      <c r="AO1159" s="58" t="n">
        <f aca="false">IF(AN1159="",0,MAX(0,MIN(1,(IF(CF1159="L1",Parameter!$H$5,IF(CF1159="L23",Parameter!$H$6+Parameter!$H$7,Parameter!$H$5+Parameter!$H$6+Parameter!$H$7))-(AN1159-AI1159))/AI1159)))</f>
        <v>1</v>
      </c>
      <c r="AP1159" s="50" t="n">
        <f aca="false">IF(LEFT(Cockpit!$I$5,1)="A",H1159,IF(Parameter!$E$30="MAX-Bestand",IF(CH1159=1,CI1159,IF(LEFT(Cockpit!$I$5,1)="B",AV1159,MAX(AV1159,H1159))),ROUNDUP(AT1159,0)))</f>
        <v>16</v>
      </c>
      <c r="AQ1159" s="50" t="n">
        <f aca="false">IF(BZ1159=1,0,ROUNDUP(AP1159/BY1159,0))</f>
        <v>1</v>
      </c>
      <c r="AR1159" s="52" t="n">
        <f aca="false">IF(CQ1159&gt;0,CQ1159*MAX(1,AP1159/X1159),IF(BZ1159=1,IF(AP1159&lt;=0,0,CD1159*MAX(1,IF(H1159&gt;0,AP1159/H1159,1))),IF(R1159&gt;0,AQ1159/R1159,0))/MAX(0.1,N(Parameter!$M$21)))</f>
        <v>0.0384615384615385</v>
      </c>
      <c r="AS1159" s="50" t="n">
        <f aca="false">AR1159*CB1159</f>
        <v>9.42307692307692</v>
      </c>
      <c r="AT1159" s="51" t="n">
        <f aca="false">IF(LEFT(Cockpit!$I$5,1)="A",H1159,IF(CH1159=1,(CK1159+CI1159)/2,IF(LEFT(Cockpit!$I$5,1)="B",(CK1159+AV1159)/2,MAX((CK1159+AV1159)/2,H1159))))</f>
        <v>16</v>
      </c>
      <c r="AU1159" s="50" t="n">
        <f aca="false">AT1159*G1159</f>
        <v>1712</v>
      </c>
      <c r="AV1159" s="50" t="n">
        <f aca="false">ROUNDUP(CK1159+MAX(CL1159,2*(J1159/IF(CG1159&gt;0,CG1159,MAX(0.1,N(Cockpit!$I$6)))-CK1159)),0)</f>
        <v>11</v>
      </c>
      <c r="AW1159" s="51" t="n">
        <f aca="false">IF(AS1159&gt;0,J1159/AS1159,-1)</f>
        <v>0.848979591836735</v>
      </c>
      <c r="AX1159" s="51" t="n">
        <f aca="false">IF(AND(OR(CF1159="L1",CF1159="L23",CF1159="LIFT"),AS1159&gt;0),SUMIFS($AS$7:$AS$1843,$CF$7:$CF$1843,CF1159,$AW$7:$AW$1843,"&gt;"&amp;AW1159)+SUMIFS($AS$7:$AS$1843,$CF$7:$CF$1843,CF1159,$AW$7:$AW$1843,AW1159,$BW$7:$BW$1843,"&lt;="&amp;BW1159),"")</f>
        <v>9583.0521978022</v>
      </c>
      <c r="AY1159" s="58" t="n">
        <f aca="false">IF(AX1159="",0,MAX(0,MIN(1,(IF(CF1159="L1",Parameter!$H$5,IF(CF1159="L23",Parameter!$H$6+Parameter!$H$7,Parameter!$H$5+Parameter!$H$6+Parameter!$H$7))-(AX1159-AS1159))/AS1159)))</f>
        <v>1</v>
      </c>
      <c r="AZ1159" s="50" t="n">
        <f aca="false">IF(LEFT(Cockpit!$O$5,1)="A",H1159,IF(Parameter!$E$30="MAX-Bestand",IF(CH1159=1,CI1159,IF(LEFT(Cockpit!$O$5,1)="B",BF1159,MAX(BF1159,H1159))),ROUNDUP(BD1159,0)))</f>
        <v>6</v>
      </c>
      <c r="BA1159" s="50" t="n">
        <f aca="false">IF(BZ1159=1,0,ROUNDUP(AZ1159/BY1159,0))</f>
        <v>1</v>
      </c>
      <c r="BB1159" s="52" t="n">
        <f aca="false">IF(CQ1159&gt;0,CQ1159*MAX(1,AZ1159/X1159),IF(BZ1159=1,IF(AZ1159&lt;=0,0,CD1159*MAX(1,IF(H1159&gt;0,AZ1159/H1159,1))),IF(R1159&gt;0,BA1159/R1159,0))/MAX(0.1,N(Parameter!$M$21)))</f>
        <v>0.0384615384615385</v>
      </c>
      <c r="BC1159" s="50" t="n">
        <f aca="false">BB1159*CB1159</f>
        <v>9.42307692307692</v>
      </c>
      <c r="BD1159" s="51" t="n">
        <f aca="false">IF(LEFT(Cockpit!$O$5,1)="A",H1159,IF(CH1159=1,(CK1159+CI1159)/2,IF(LEFT(Cockpit!$O$5,1)="B",(CK1159+BF1159)/2,MAX((CK1159+BF1159)/2,H1159))))</f>
        <v>6</v>
      </c>
      <c r="BE1159" s="50" t="n">
        <f aca="false">BD1159*G1159</f>
        <v>642</v>
      </c>
      <c r="BF1159" s="50" t="n">
        <f aca="false">ROUNDUP(CK1159+MAX(CL1159,2*(J1159/IF(CG1159&gt;0,CG1159,MAX(0.1,N(Cockpit!$O$6)))-CK1159)),0)</f>
        <v>11</v>
      </c>
      <c r="BG1159" s="51" t="n">
        <f aca="false">IF(BC1159&gt;0,J1159/BC1159,-1)</f>
        <v>0.848979591836735</v>
      </c>
      <c r="BH1159" s="51" t="n">
        <f aca="false">IF(AND(OR(CF1159="L1",CF1159="L23",CF1159="LIFT"),BC1159&gt;0),SUMIFS($BC$7:$BC$1843,$CF$7:$CF$1843,CF1159,$BG$7:$BG$1843,"&gt;"&amp;BG1159)+SUMIFS($BC$7:$BC$1843,$CF$7:$CF$1843,CF1159,$BG$7:$BG$1843,BG1159,$BW$7:$BW$1843,"&lt;="&amp;BW1159),"")</f>
        <v>8550.0902014652</v>
      </c>
      <c r="BI1159" s="58" t="n">
        <f aca="false">IF(BH1159="",0,MAX(0,MIN(1,(IF(CF1159="L1",Parameter!$H$5,IF(CF1159="L23",Parameter!$H$6+Parameter!$H$7,Parameter!$H$5+Parameter!$H$6+Parameter!$H$7))-(BH1159-BC1159))/BC1159)))</f>
        <v>1</v>
      </c>
      <c r="BJ1159" s="48" t="str">
        <f aca="false">IF(AI1159&lt;=0,"",IF(CF1159="Aussen","Aussenlager",IF(CF1159="-","Nicht im Lift",IF(AO1159&gt;=1,"Lift",IF(AO1159&lt;=0,"Aussenlager","teilweise")))))</f>
        <v>Lift</v>
      </c>
      <c r="BK1159" s="48" t="str">
        <f aca="false">IF(AS1159&lt;=0,"",IF(CF1159="Aussen","Aussenlager",IF(CF1159="-","Nicht im Lift",IF(AY1159&gt;=1,"Lift",IF(AY1159&lt;=0,"Aussenlager","teilweise")))))</f>
        <v>Lift</v>
      </c>
      <c r="BL1159" s="48" t="str">
        <f aca="false">IF(BC1159&lt;=0,"",IF(CF1159="Aussen","Aussenlager",IF(CF1159="-","Nicht im Lift",IF(BI1159&gt;=1,"Lift",IF(BI1159&lt;=0,"Aussenlager","teilweise")))))</f>
        <v>Lift</v>
      </c>
      <c r="BM1159" s="48" t="str">
        <f aca="false">IF(A1159="","",IF(BV1159=1,"Neu; ","")&amp;IF(AND(BV1159=0,BQ1159&lt;0),"negativer Bestand (Export "&amp;BQ1159&amp;"); ","")&amp;IF(J1159&lt;=0,"Kein Verbrauch; ","")&amp;IF(CQ1159&gt;0,"Lift "&amp;W1159&amp;" lt. Liftbericht (Fach "&amp;X1159&amp;" Stk); ",IF(CA1159=1,"Gebinde geschätzt ("&amp;T1159&amp;"); ",IF(BZ1159=1,"Lose – Tablare geschätzt; ","")))&amp;IF(H1159&gt;AV1159,"Überbestand "&amp;ROUND(H1159-AV1159,0)&amp;" Stk / CHF "&amp;ROUND((H1159-AV1159)*G1159,0)&amp;"; ","")&amp;IF(AND(CH1159=1,CI1159&lt;CJ1159),"MAX &lt; MB+LG; ","")&amp;IF(AND(CP1159&gt;0,CO1159*10&gt;CP1159),"zu hoch für Tablar; ","")&amp;IF(AND(BV1159=0,OR(CH1159=1,AA1159&lt;&gt;"",U1159&lt;&gt;"",V1159&lt;&gt;"",AB1159&lt;&gt;"")),"manuell übersteuert; ","")&amp;IF(AND(BZ1159=0,R1159=0),"Gebinde unbekannt / Stellmass fehlt; ","")&amp;IF(AND(BZ1159=0,N(V1159)&lt;=0,N(Q1159)&lt;=0),"Menge pro Gebinde fehlt (Ist = 1 Gebinde); ","")&amp;BU1159)</f>
        <v>negativer Bestand (Export -3); Überbestand 5 Stk / CHF 535; </v>
      </c>
      <c r="BN1159" s="48"/>
      <c r="BO1159" s="48"/>
      <c r="BP1159" s="55"/>
      <c r="BQ1159" s="50" t="n">
        <v>-3</v>
      </c>
      <c r="BR1159" s="50" t="n">
        <v>19</v>
      </c>
      <c r="BS1159" s="49" t="n">
        <v>-321</v>
      </c>
      <c r="BT1159" s="50" t="n">
        <v>8</v>
      </c>
      <c r="BU1159" s="48"/>
      <c r="BV1159" s="53" t="n">
        <v>0</v>
      </c>
      <c r="BW1159" s="53" t="n">
        <v>1159</v>
      </c>
      <c r="BX1159" s="48" t="str">
        <f aca="false">IF(U1159&lt;&gt;"",UPPER(TRIM(U1159)),IF(CA1159=1,UPPER(VLOOKUP(T1159,Parameter!$I$27:$K$29,2,0)),IF(P1159="","LOSE",P1159)))</f>
        <v>S52</v>
      </c>
      <c r="BY1159" s="50" t="n">
        <f aca="false">IF(BX1159="LOSE",1,IF(N(V1159)&gt;0,V1159,IF(CA1159=1,MAX(1,N(VLOOKUP(T1159,Parameter!$I$27:$K$29,3,0)),H1159,N(N1159)),IF(N(Q1159)&gt;0,Q1159,MAX(1,H1159)))))</f>
        <v>50</v>
      </c>
      <c r="BZ1159" s="53" t="n">
        <f aca="false">IF(BX1159="LOSE",1,0)</f>
        <v>0</v>
      </c>
      <c r="CA1159" s="53" t="n">
        <f aca="false">IF(AND(U1159="",OR(P1159="",P1159="LOSE"),T1159&lt;&gt;"",N(S1159)&lt;=0,ISNUMBER(MATCH(T1159,Parameter!$I$27:$I$29,0))),1,0)</f>
        <v>0</v>
      </c>
      <c r="CB1159" s="53" t="n">
        <f aca="false">IF(CQ1159&gt;0,INDEX(Parameter!$H$5:$H$7,W1159)/INDEX(Parameter!$E$5:$E$7,W1159),IF(AND(BZ1159=0,N(IFERROR(VLOOKUP(BX1159,'Gebinde-Kategorie'!$A$5:$N$45,14,0),0))&gt;0),VLOOKUP(BX1159,'Gebinde-Kategorie'!$A$5:$N$45,14,0)*10+Parameter!$M$23,Parameter!$M$24))</f>
        <v>245</v>
      </c>
      <c r="CC1159" s="48" t="str">
        <f aca="false">IF(AND(Parameter!$B$19="Ja",E1159&lt;&gt;"",ISNUMBER(MATCH(E1159,Parameter!$I$35:$I$52,0))),VLOOKUP(E1159,Parameter!$I$35:$J$52,2,0),IFERROR(VLOOKUP(D1159,Parameter!$A$35:$C$64,2,0),"Nein"))</f>
        <v>2+3</v>
      </c>
      <c r="CD1159" s="52" t="n">
        <f aca="false">IF(BZ1159=0,0,IF(N(S1159)&gt;0,S1159,IFERROR(VLOOKUP(D1159,Parameter!$A$35:$C$64,3,0)+0,0)))</f>
        <v>0</v>
      </c>
      <c r="CE1159" s="48" t="n">
        <f aca="false">IF(AA1159&lt;&gt;"",AA1159,Z1159)</f>
        <v>3</v>
      </c>
      <c r="CF1159" s="48" t="str">
        <f aca="false">IF(OR(CE1159=1,CE1159=2,CE1159=3),IF(Parameter!$E$27="Ja","LIFT",IF(CE1159=1,"L1","L23")),IF(CE1159="Aussen","Aussen","-"))</f>
        <v>LIFT</v>
      </c>
      <c r="CG1159" s="59" t="n">
        <f aca="false">IF(N(AB1159)&gt;0,AB1159,0)</f>
        <v>0</v>
      </c>
      <c r="CH1159" s="53" t="n">
        <f aca="false">IF(ISNUMBER(AE1159),1,0)</f>
        <v>0</v>
      </c>
      <c r="CI1159" s="50" t="n">
        <f aca="false">N(AE1159)</f>
        <v>0</v>
      </c>
      <c r="CJ1159" s="50" t="n">
        <f aca="false">N(M1159)+N(N1159)</f>
        <v>11</v>
      </c>
      <c r="CK1159" s="50" t="n">
        <f aca="false">N(M1159)</f>
        <v>1</v>
      </c>
      <c r="CL1159" s="50" t="n">
        <f aca="false">N(N1159)</f>
        <v>10</v>
      </c>
      <c r="CM1159" s="50" t="n">
        <f aca="false">ROUNDUP(H1159/BY1159,0)</f>
        <v>1</v>
      </c>
      <c r="CN1159" s="50" t="n">
        <f aca="false">ROUNDUP(CI1159/BY1159,0)</f>
        <v>0</v>
      </c>
      <c r="CO1159" s="53" t="n">
        <f aca="false">IF(BZ1159=1,0,IFERROR(VLOOKUP(BX1159,'Gebinde-Kategorie'!$A$5:$N$45,5,0)+0,0))</f>
        <v>21</v>
      </c>
      <c r="CP1159" s="53" t="n">
        <f aca="false">IFERROR(IF(OR(CE1159=1,CE1159=2,CE1159=3),N(INDEX(Parameter!$I$5:$I$7,CE1159)),0),0)</f>
        <v>0</v>
      </c>
      <c r="CQ1159" s="52" t="n">
        <f aca="false">IF(AND(Parameter!$B$21="Ja",ISNUMBER(W1159),N(X1159)&gt;0),IFERROR(N(INDEX(Parameter!$L$5:$L$7,W1159))*INDEX(Parameter!$E$5:$E$7,W1159)*X1159/SUMIFS($X$7:$X$1843,$W$7:$W$1843,W1159),0),0)</f>
        <v>0</v>
      </c>
    </row>
    <row r="1160" customFormat="false" ht="15" hidden="false" customHeight="false" outlineLevel="0" collapsed="false">
      <c r="A1160" s="48" t="s">
        <v>2101</v>
      </c>
      <c r="B1160" s="48" t="s">
        <v>2102</v>
      </c>
      <c r="C1160" s="48" t="s">
        <v>173</v>
      </c>
      <c r="D1160" s="48" t="s">
        <v>182</v>
      </c>
      <c r="E1160" s="48"/>
      <c r="F1160" s="48" t="s">
        <v>227</v>
      </c>
      <c r="G1160" s="49" t="n">
        <v>4.95</v>
      </c>
      <c r="H1160" s="50" t="n">
        <f aca="false">MAX(0,IF(AND(Parameter!$B$21="Ja",ISNUMBER(Y1160)),Y1160,IF(Parameter!$B$20="Jahresanfang 2025 + Export",BR1160+BQ1160,BQ1160)))</f>
        <v>50</v>
      </c>
      <c r="I1160" s="50" t="n">
        <f aca="false">H1160*G1160</f>
        <v>247.5</v>
      </c>
      <c r="J1160" s="50" t="n">
        <f aca="false">BT1160*Parameter!$B$18</f>
        <v>143</v>
      </c>
      <c r="K1160" s="51" t="n">
        <v>100</v>
      </c>
      <c r="L1160" s="52" t="n">
        <v>1.43</v>
      </c>
      <c r="M1160" s="50" t="n">
        <v>25</v>
      </c>
      <c r="N1160" s="50" t="n">
        <v>10</v>
      </c>
      <c r="O1160" s="53" t="n">
        <v>28</v>
      </c>
      <c r="P1160" s="48" t="s">
        <v>177</v>
      </c>
      <c r="Q1160" s="50"/>
      <c r="R1160" s="53" t="n">
        <f aca="false">IF(BZ1160=1,0,IFERROR(VLOOKUP(BX1160,'Gebinde-Kategorie'!$A$5:$N$45,13,0)+0,0))</f>
        <v>4</v>
      </c>
      <c r="S1160" s="54"/>
      <c r="T1160" s="55" t="s">
        <v>198</v>
      </c>
      <c r="U1160" s="55"/>
      <c r="V1160" s="55"/>
      <c r="W1160" s="48"/>
      <c r="X1160" s="50"/>
      <c r="Y1160" s="50"/>
      <c r="Z1160" s="48" t="n">
        <f aca="false">IF(A1160="","",IF(AND(Parameter!$B$21="Ja",ISNUMBER(W1160)),W1160,IF(CC1160="2+3",IF(ISNUMBER(SEARCH("grosser Artikel",BU1160)),2,IFERROR(VLOOKUP(BX1160,Parameter!$F$35:$G$64,2,0),2)),IF(OR(CC1160="Nein",CC1160=""),"-",CC1160))))</f>
        <v>2</v>
      </c>
      <c r="AA1160" s="55"/>
      <c r="AB1160" s="56"/>
      <c r="AC1160" s="50" t="n">
        <f aca="false">AV1160</f>
        <v>71</v>
      </c>
      <c r="AD1160" s="50" t="n">
        <f aca="false">MAX(AV1160,H1160)</f>
        <v>71</v>
      </c>
      <c r="AE1160" s="57"/>
      <c r="AF1160" s="50" t="n">
        <f aca="false">IF(LEFT(Cockpit!$C$5,1)="A",H1160,IF(Parameter!$E$30="MAX-Bestand",IF(CH1160=1,CI1160,IF(LEFT(Cockpit!$C$5,1)="B",AL1160,MAX(AL1160,H1160))),ROUNDUP(AJ1160,0)))</f>
        <v>50</v>
      </c>
      <c r="AG1160" s="50" t="n">
        <f aca="false">IF(BZ1160=1,0,ROUNDUP(AF1160/BY1160,0))</f>
        <v>1</v>
      </c>
      <c r="AH1160" s="52" t="n">
        <f aca="false">IF(CQ1160&gt;0,CQ1160*MAX(1,AF1160/X1160),IF(BZ1160=1,IF(AF1160&lt;=0,0,CD1160*MAX(1,IF(H1160&gt;0,AF1160/H1160,1))),IF(R1160&gt;0,AG1160/R1160,0))/MAX(0.1,N(Parameter!$M$21)))</f>
        <v>0.25</v>
      </c>
      <c r="AI1160" s="50" t="n">
        <f aca="false">AH1160*CB1160</f>
        <v>58.75</v>
      </c>
      <c r="AJ1160" s="51" t="n">
        <f aca="false">IF(LEFT(Cockpit!$C$5,1)="A",H1160,IF(CH1160=1,(CK1160+CI1160)/2,IF(LEFT(Cockpit!$C$5,1)="B",(CK1160+AL1160)/2,MAX((CK1160+AL1160)/2,H1160))))</f>
        <v>50</v>
      </c>
      <c r="AK1160" s="50" t="n">
        <f aca="false">AJ1160*G1160</f>
        <v>247.5</v>
      </c>
      <c r="AL1160" s="50" t="n">
        <f aca="false">ROUNDUP(CK1160+MAX(CL1160,2*(J1160/IF(CG1160&gt;0,CG1160,MAX(0.1,N(Cockpit!$C$6)))-CK1160)),0)</f>
        <v>71</v>
      </c>
      <c r="AM1160" s="51" t="n">
        <f aca="false">IF(AI1160&gt;0,J1160/AI1160,-1)</f>
        <v>2.43404255319149</v>
      </c>
      <c r="AN1160" s="51" t="n">
        <f aca="false">IF(AND(OR(CF1160="L1",CF1160="L23",CF1160="LIFT"),AI1160&gt;0),SUMIFS($AI$7:$AI$1843,$CF$7:$CF$1843,CF1160,$AM$7:$AM$1843,"&gt;"&amp;AM1160)+SUMIFS($AI$7:$AI$1843,$CF$7:$CF$1843,CF1160,$AM$7:$AM$1843,AM1160,$BW$7:$BW$1843,"&lt;="&amp;BW1160),"")</f>
        <v>5530.01236263736</v>
      </c>
      <c r="AO1160" s="58" t="n">
        <f aca="false">IF(AN1160="",0,MAX(0,MIN(1,(IF(CF1160="L1",Parameter!$H$5,IF(CF1160="L23",Parameter!$H$6+Parameter!$H$7,Parameter!$H$5+Parameter!$H$6+Parameter!$H$7))-(AN1160-AI1160))/AI1160)))</f>
        <v>1</v>
      </c>
      <c r="AP1160" s="50" t="n">
        <f aca="false">IF(LEFT(Cockpit!$I$5,1)="A",H1160,IF(Parameter!$E$30="MAX-Bestand",IF(CH1160=1,CI1160,IF(LEFT(Cockpit!$I$5,1)="B",AV1160,MAX(AV1160,H1160))),ROUNDUP(AT1160,0)))</f>
        <v>50</v>
      </c>
      <c r="AQ1160" s="50" t="n">
        <f aca="false">IF(BZ1160=1,0,ROUNDUP(AP1160/BY1160,0))</f>
        <v>1</v>
      </c>
      <c r="AR1160" s="52" t="n">
        <f aca="false">IF(CQ1160&gt;0,CQ1160*MAX(1,AP1160/X1160),IF(BZ1160=1,IF(AP1160&lt;=0,0,CD1160*MAX(1,IF(H1160&gt;0,AP1160/H1160,1))),IF(R1160&gt;0,AQ1160/R1160,0))/MAX(0.1,N(Parameter!$M$21)))</f>
        <v>0.25</v>
      </c>
      <c r="AS1160" s="50" t="n">
        <f aca="false">AR1160*CB1160</f>
        <v>58.75</v>
      </c>
      <c r="AT1160" s="51" t="n">
        <f aca="false">IF(LEFT(Cockpit!$I$5,1)="A",H1160,IF(CH1160=1,(CK1160+CI1160)/2,IF(LEFT(Cockpit!$I$5,1)="B",(CK1160+AV1160)/2,MAX((CK1160+AV1160)/2,H1160))))</f>
        <v>50</v>
      </c>
      <c r="AU1160" s="50" t="n">
        <f aca="false">AT1160*G1160</f>
        <v>247.5</v>
      </c>
      <c r="AV1160" s="50" t="n">
        <f aca="false">ROUNDUP(CK1160+MAX(CL1160,2*(J1160/IF(CG1160&gt;0,CG1160,MAX(0.1,N(Cockpit!$I$6)))-CK1160)),0)</f>
        <v>71</v>
      </c>
      <c r="AW1160" s="51" t="n">
        <f aca="false">IF(AS1160&gt;0,J1160/AS1160,-1)</f>
        <v>2.43404255319149</v>
      </c>
      <c r="AX1160" s="51" t="n">
        <f aca="false">IF(AND(OR(CF1160="L1",CF1160="L23",CF1160="LIFT"),AS1160&gt;0),SUMIFS($AS$7:$AS$1843,$CF$7:$CF$1843,CF1160,$AW$7:$AW$1843,"&gt;"&amp;AW1160)+SUMIFS($AS$7:$AS$1843,$CF$7:$CF$1843,CF1160,$AW$7:$AW$1843,AW1160,$BW$7:$BW$1843,"&lt;="&amp;BW1160),"")</f>
        <v>6303.24038461539</v>
      </c>
      <c r="AY1160" s="58" t="n">
        <f aca="false">IF(AX1160="",0,MAX(0,MIN(1,(IF(CF1160="L1",Parameter!$H$5,IF(CF1160="L23",Parameter!$H$6+Parameter!$H$7,Parameter!$H$5+Parameter!$H$6+Parameter!$H$7))-(AX1160-AS1160))/AS1160)))</f>
        <v>1</v>
      </c>
      <c r="AZ1160" s="50" t="n">
        <f aca="false">IF(LEFT(Cockpit!$O$5,1)="A",H1160,IF(Parameter!$E$30="MAX-Bestand",IF(CH1160=1,CI1160,IF(LEFT(Cockpit!$O$5,1)="B",BF1160,MAX(BF1160,H1160))),ROUNDUP(BD1160,0)))</f>
        <v>36</v>
      </c>
      <c r="BA1160" s="50" t="n">
        <f aca="false">IF(BZ1160=1,0,ROUNDUP(AZ1160/BY1160,0))</f>
        <v>1</v>
      </c>
      <c r="BB1160" s="52" t="n">
        <f aca="false">IF(CQ1160&gt;0,CQ1160*MAX(1,AZ1160/X1160),IF(BZ1160=1,IF(AZ1160&lt;=0,0,CD1160*MAX(1,IF(H1160&gt;0,AZ1160/H1160,1))),IF(R1160&gt;0,BA1160/R1160,0))/MAX(0.1,N(Parameter!$M$21)))</f>
        <v>0.25</v>
      </c>
      <c r="BC1160" s="50" t="n">
        <f aca="false">BB1160*CB1160</f>
        <v>58.75</v>
      </c>
      <c r="BD1160" s="51" t="n">
        <f aca="false">IF(LEFT(Cockpit!$O$5,1)="A",H1160,IF(CH1160=1,(CK1160+CI1160)/2,IF(LEFT(Cockpit!$O$5,1)="B",(CK1160+BF1160)/2,MAX((CK1160+BF1160)/2,H1160))))</f>
        <v>36</v>
      </c>
      <c r="BE1160" s="50" t="n">
        <f aca="false">BD1160*G1160</f>
        <v>178.2</v>
      </c>
      <c r="BF1160" s="50" t="n">
        <f aca="false">ROUNDUP(CK1160+MAX(CL1160,2*(J1160/IF(CG1160&gt;0,CG1160,MAX(0.1,N(Cockpit!$O$6)))-CK1160)),0)</f>
        <v>47</v>
      </c>
      <c r="BG1160" s="51" t="n">
        <f aca="false">IF(BC1160&gt;0,J1160/BC1160,-1)</f>
        <v>2.43404255319149</v>
      </c>
      <c r="BH1160" s="51" t="n">
        <f aca="false">IF(AND(OR(CF1160="L1",CF1160="L23",CF1160="LIFT"),BC1160&gt;0),SUMIFS($BC$7:$BC$1843,$CF$7:$CF$1843,CF1160,$BG$7:$BG$1843,"&gt;"&amp;BG1160)+SUMIFS($BC$7:$BC$1843,$CF$7:$CF$1843,CF1160,$BG$7:$BG$1843,BG1160,$BW$7:$BW$1843,"&lt;="&amp;BW1160),"")</f>
        <v>5460.42948717949</v>
      </c>
      <c r="BI1160" s="58" t="n">
        <f aca="false">IF(BH1160="",0,MAX(0,MIN(1,(IF(CF1160="L1",Parameter!$H$5,IF(CF1160="L23",Parameter!$H$6+Parameter!$H$7,Parameter!$H$5+Parameter!$H$6+Parameter!$H$7))-(BH1160-BC1160))/BC1160)))</f>
        <v>1</v>
      </c>
      <c r="BJ1160" s="48" t="str">
        <f aca="false">IF(AI1160&lt;=0,"",IF(CF1160="Aussen","Aussenlager",IF(CF1160="-","Nicht im Lift",IF(AO1160&gt;=1,"Lift",IF(AO1160&lt;=0,"Aussenlager","teilweise")))))</f>
        <v>Lift</v>
      </c>
      <c r="BK1160" s="48" t="str">
        <f aca="false">IF(AS1160&lt;=0,"",IF(CF1160="Aussen","Aussenlager",IF(CF1160="-","Nicht im Lift",IF(AY1160&gt;=1,"Lift",IF(AY1160&lt;=0,"Aussenlager","teilweise")))))</f>
        <v>Lift</v>
      </c>
      <c r="BL1160" s="48" t="str">
        <f aca="false">IF(BC1160&lt;=0,"",IF(CF1160="Aussen","Aussenlager",IF(CF1160="-","Nicht im Lift",IF(BI1160&gt;=1,"Lift",IF(BI1160&lt;=0,"Aussenlager","teilweise")))))</f>
        <v>Lift</v>
      </c>
      <c r="BM1160" s="48" t="str">
        <f aca="false">IF(A1160="","",IF(BV1160=1,"Neu; ","")&amp;IF(AND(BV1160=0,BQ1160&lt;0),"negativer Bestand (Export "&amp;BQ1160&amp;"); ","")&amp;IF(J1160&lt;=0,"Kein Verbrauch; ","")&amp;IF(CQ1160&gt;0,"Lift "&amp;W1160&amp;" lt. Liftbericht (Fach "&amp;X1160&amp;" Stk); ",IF(CA1160=1,"Gebinde geschätzt ("&amp;T1160&amp;"); ",IF(BZ1160=1,"Lose – Tablare geschätzt; ","")))&amp;IF(H1160&gt;AV1160,"Überbestand "&amp;ROUND(H1160-AV1160,0)&amp;" Stk / CHF "&amp;ROUND((H1160-AV1160)*G1160,0)&amp;"; ","")&amp;IF(AND(CH1160=1,CI1160&lt;CJ1160),"MAX &lt; MB+LG; ","")&amp;IF(AND(CP1160&gt;0,CO1160*10&gt;CP1160),"zu hoch für Tablar; ","")&amp;IF(AND(BV1160=0,OR(CH1160=1,AA1160&lt;&gt;"",U1160&lt;&gt;"",V1160&lt;&gt;"",AB1160&lt;&gt;"")),"manuell übersteuert; ","")&amp;IF(AND(BZ1160=0,R1160=0),"Gebinde unbekannt / Stellmass fehlt; ","")&amp;IF(AND(BZ1160=0,N(V1160)&lt;=0,N(Q1160)&lt;=0),"Menge pro Gebinde fehlt (Ist = 1 Gebinde); ","")&amp;BU1160)</f>
        <v>negativer Bestand (Export -50); Gebinde geschätzt (Gross); Menge pro Gebinde fehlt (Ist = 1 Gebinde); </v>
      </c>
      <c r="BN1160" s="48"/>
      <c r="BO1160" s="48"/>
      <c r="BP1160" s="55"/>
      <c r="BQ1160" s="50" t="n">
        <v>-50</v>
      </c>
      <c r="BR1160" s="50" t="n">
        <v>100</v>
      </c>
      <c r="BS1160" s="49" t="n">
        <v>-322.5</v>
      </c>
      <c r="BT1160" s="50" t="n">
        <v>143</v>
      </c>
      <c r="BU1160" s="48"/>
      <c r="BV1160" s="53" t="n">
        <v>0</v>
      </c>
      <c r="BW1160" s="53" t="n">
        <v>1160</v>
      </c>
      <c r="BX1160" s="48" t="str">
        <f aca="false">IF(U1160&lt;&gt;"",UPPER(TRIM(U1160)),IF(CA1160=1,UPPER(VLOOKUP(T1160,Parameter!$I$27:$K$29,2,0)),IF(P1160="","LOSE",P1160)))</f>
        <v>S81</v>
      </c>
      <c r="BY1160" s="50" t="n">
        <f aca="false">IF(BX1160="LOSE",1,IF(N(V1160)&gt;0,V1160,IF(CA1160=1,MAX(1,N(VLOOKUP(T1160,Parameter!$I$27:$K$29,3,0)),H1160,N(N1160)),IF(N(Q1160)&gt;0,Q1160,MAX(1,H1160)))))</f>
        <v>50</v>
      </c>
      <c r="BZ1160" s="53" t="n">
        <f aca="false">IF(BX1160="LOSE",1,0)</f>
        <v>0</v>
      </c>
      <c r="CA1160" s="53" t="n">
        <f aca="false">IF(AND(U1160="",OR(P1160="",P1160="LOSE"),T1160&lt;&gt;"",N(S1160)&lt;=0,ISNUMBER(MATCH(T1160,Parameter!$I$27:$I$29,0))),1,0)</f>
        <v>1</v>
      </c>
      <c r="CB1160" s="53" t="n">
        <f aca="false">IF(CQ1160&gt;0,INDEX(Parameter!$H$5:$H$7,W1160)/INDEX(Parameter!$E$5:$E$7,W1160),IF(AND(BZ1160=0,N(IFERROR(VLOOKUP(BX1160,'Gebinde-Kategorie'!$A$5:$N$45,14,0),0))&gt;0),VLOOKUP(BX1160,'Gebinde-Kategorie'!$A$5:$N$45,14,0)*10+Parameter!$M$23,Parameter!$M$24))</f>
        <v>235</v>
      </c>
      <c r="CC1160" s="48" t="str">
        <f aca="false">IF(AND(Parameter!$B$19="Ja",E1160&lt;&gt;"",ISNUMBER(MATCH(E1160,Parameter!$I$35:$I$52,0))),VLOOKUP(E1160,Parameter!$I$35:$J$52,2,0),IFERROR(VLOOKUP(D1160,Parameter!$A$35:$C$64,2,0),"Nein"))</f>
        <v>2+3</v>
      </c>
      <c r="CD1160" s="52" t="n">
        <f aca="false">IF(BZ1160=0,0,IF(N(S1160)&gt;0,S1160,IFERROR(VLOOKUP(D1160,Parameter!$A$35:$C$64,3,0)+0,0)))</f>
        <v>0</v>
      </c>
      <c r="CE1160" s="48" t="n">
        <f aca="false">IF(AA1160&lt;&gt;"",AA1160,Z1160)</f>
        <v>2</v>
      </c>
      <c r="CF1160" s="48" t="str">
        <f aca="false">IF(OR(CE1160=1,CE1160=2,CE1160=3),IF(Parameter!$E$27="Ja","LIFT",IF(CE1160=1,"L1","L23")),IF(CE1160="Aussen","Aussen","-"))</f>
        <v>LIFT</v>
      </c>
      <c r="CG1160" s="59" t="n">
        <f aca="false">IF(N(AB1160)&gt;0,AB1160,0)</f>
        <v>0</v>
      </c>
      <c r="CH1160" s="53" t="n">
        <f aca="false">IF(ISNUMBER(AE1160),1,0)</f>
        <v>0</v>
      </c>
      <c r="CI1160" s="50" t="n">
        <f aca="false">N(AE1160)</f>
        <v>0</v>
      </c>
      <c r="CJ1160" s="50" t="n">
        <f aca="false">N(M1160)+N(N1160)</f>
        <v>35</v>
      </c>
      <c r="CK1160" s="50" t="n">
        <f aca="false">N(M1160)</f>
        <v>25</v>
      </c>
      <c r="CL1160" s="50" t="n">
        <f aca="false">N(N1160)</f>
        <v>10</v>
      </c>
      <c r="CM1160" s="50" t="n">
        <f aca="false">ROUNDUP(H1160/BY1160,0)</f>
        <v>1</v>
      </c>
      <c r="CN1160" s="50" t="n">
        <f aca="false">ROUNDUP(CI1160/BY1160,0)</f>
        <v>0</v>
      </c>
      <c r="CO1160" s="53" t="n">
        <f aca="false">IF(BZ1160=1,0,IFERROR(VLOOKUP(BX1160,'Gebinde-Kategorie'!$A$5:$N$45,5,0)+0,0))</f>
        <v>20</v>
      </c>
      <c r="CP1160" s="53" t="n">
        <f aca="false">IFERROR(IF(OR(CE1160=1,CE1160=2,CE1160=3),N(INDEX(Parameter!$I$5:$I$7,CE1160)),0),0)</f>
        <v>0</v>
      </c>
      <c r="CQ1160" s="52" t="n">
        <f aca="false">IF(AND(Parameter!$B$21="Ja",ISNUMBER(W1160),N(X1160)&gt;0),IFERROR(N(INDEX(Parameter!$L$5:$L$7,W1160))*INDEX(Parameter!$E$5:$E$7,W1160)*X1160/SUMIFS($X$7:$X$1843,$W$7:$W$1843,W1160),0),0)</f>
        <v>0</v>
      </c>
    </row>
    <row r="1161" customFormat="false" ht="15" hidden="false" customHeight="false" outlineLevel="0" collapsed="false">
      <c r="A1161" s="48" t="s">
        <v>2103</v>
      </c>
      <c r="B1161" s="48" t="s">
        <v>414</v>
      </c>
      <c r="C1161" s="48" t="s">
        <v>465</v>
      </c>
      <c r="D1161" s="48" t="s">
        <v>193</v>
      </c>
      <c r="E1161" s="48" t="s">
        <v>194</v>
      </c>
      <c r="F1161" s="48" t="s">
        <v>227</v>
      </c>
      <c r="G1161" s="49" t="n">
        <v>7.18</v>
      </c>
      <c r="H1161" s="50" t="n">
        <f aca="false">MAX(0,IF(AND(Parameter!$B$21="Ja",ISNUMBER(Y1161)),Y1161,IF(Parameter!$B$20="Jahresanfang 2025 + Export",BR1161+BQ1161,BQ1161)))</f>
        <v>375</v>
      </c>
      <c r="I1161" s="50" t="n">
        <f aca="false">H1161*G1161</f>
        <v>2692.5</v>
      </c>
      <c r="J1161" s="50" t="n">
        <f aca="false">BT1161*Parameter!$B$18</f>
        <v>42</v>
      </c>
      <c r="K1161" s="51" t="n">
        <v>393.5</v>
      </c>
      <c r="L1161" s="52" t="n">
        <v>0.106734434561626</v>
      </c>
      <c r="M1161" s="50" t="n">
        <v>1</v>
      </c>
      <c r="N1161" s="50" t="n">
        <v>40</v>
      </c>
      <c r="O1161" s="53" t="n">
        <v>14</v>
      </c>
      <c r="P1161" s="48" t="s">
        <v>235</v>
      </c>
      <c r="Q1161" s="50" t="n">
        <v>320</v>
      </c>
      <c r="R1161" s="53" t="n">
        <f aca="false">IF(BZ1161=1,0,IFERROR(VLOOKUP(BX1161,'Gebinde-Kategorie'!$A$5:$N$45,13,0)+0,0))</f>
        <v>12</v>
      </c>
      <c r="S1161" s="54"/>
      <c r="T1161" s="55"/>
      <c r="U1161" s="55"/>
      <c r="V1161" s="55"/>
      <c r="W1161" s="48"/>
      <c r="X1161" s="50"/>
      <c r="Y1161" s="50"/>
      <c r="Z1161" s="48" t="n">
        <f aca="false">IF(A1161="","",IF(AND(Parameter!$B$21="Ja",ISNUMBER(W1161)),W1161,IF(CC1161="2+3",IF(ISNUMBER(SEARCH("grosser Artikel",BU1161)),2,IFERROR(VLOOKUP(BX1161,Parameter!$F$35:$G$64,2,0),2)),IF(OR(CC1161="Nein",CC1161=""),"-",CC1161))))</f>
        <v>2</v>
      </c>
      <c r="AA1161" s="55"/>
      <c r="AB1161" s="56"/>
      <c r="AC1161" s="50" t="n">
        <f aca="false">AV1161</f>
        <v>41</v>
      </c>
      <c r="AD1161" s="50" t="n">
        <f aca="false">MAX(AV1161,H1161)</f>
        <v>375</v>
      </c>
      <c r="AE1161" s="57"/>
      <c r="AF1161" s="50" t="n">
        <f aca="false">IF(LEFT(Cockpit!$C$5,1)="A",H1161,IF(Parameter!$E$30="MAX-Bestand",IF(CH1161=1,CI1161,IF(LEFT(Cockpit!$C$5,1)="B",AL1161,MAX(AL1161,H1161))),ROUNDUP(AJ1161,0)))</f>
        <v>375</v>
      </c>
      <c r="AG1161" s="50" t="n">
        <f aca="false">IF(BZ1161=1,0,ROUNDUP(AF1161/BY1161,0))</f>
        <v>2</v>
      </c>
      <c r="AH1161" s="52" t="n">
        <f aca="false">IF(CQ1161&gt;0,CQ1161*MAX(1,AF1161/X1161),IF(BZ1161=1,IF(AF1161&lt;=0,0,CD1161*MAX(1,IF(H1161&gt;0,AF1161/H1161,1))),IF(R1161&gt;0,AG1161/R1161,0))/MAX(0.1,N(Parameter!$M$21)))</f>
        <v>0.166666666666667</v>
      </c>
      <c r="AI1161" s="50" t="n">
        <f aca="false">AH1161*CB1161</f>
        <v>57.5</v>
      </c>
      <c r="AJ1161" s="51" t="n">
        <f aca="false">IF(LEFT(Cockpit!$C$5,1)="A",H1161,IF(CH1161=1,(CK1161+CI1161)/2,IF(LEFT(Cockpit!$C$5,1)="B",(CK1161+AL1161)/2,MAX((CK1161+AL1161)/2,H1161))))</f>
        <v>375</v>
      </c>
      <c r="AK1161" s="50" t="n">
        <f aca="false">AJ1161*G1161</f>
        <v>2692.5</v>
      </c>
      <c r="AL1161" s="50" t="n">
        <f aca="false">ROUNDUP(CK1161+MAX(CL1161,2*(J1161/IF(CG1161&gt;0,CG1161,MAX(0.1,N(Cockpit!$C$6)))-CK1161)),0)</f>
        <v>41</v>
      </c>
      <c r="AM1161" s="51" t="n">
        <f aca="false">IF(AI1161&gt;0,J1161/AI1161,-1)</f>
        <v>0.730434782608696</v>
      </c>
      <c r="AN1161" s="51" t="n">
        <f aca="false">IF(AND(OR(CF1161="L1",CF1161="L23",CF1161="LIFT"),AI1161&gt;0),SUMIFS($AI$7:$AI$1843,$CF$7:$CF$1843,CF1161,$AM$7:$AM$1843,"&gt;"&amp;AM1161)+SUMIFS($AI$7:$AI$1843,$CF$7:$CF$1843,CF1161,$AM$7:$AM$1843,AM1161,$BW$7:$BW$1843,"&lt;="&amp;BW1161),"")</f>
        <v>8455.91987179487</v>
      </c>
      <c r="AO1161" s="58" t="n">
        <f aca="false">IF(AN1161="",0,MAX(0,MIN(1,(IF(CF1161="L1",Parameter!$H$5,IF(CF1161="L23",Parameter!$H$6+Parameter!$H$7,Parameter!$H$5+Parameter!$H$6+Parameter!$H$7))-(AN1161-AI1161))/AI1161)))</f>
        <v>1</v>
      </c>
      <c r="AP1161" s="50" t="n">
        <f aca="false">IF(LEFT(Cockpit!$I$5,1)="A",H1161,IF(Parameter!$E$30="MAX-Bestand",IF(CH1161=1,CI1161,IF(LEFT(Cockpit!$I$5,1)="B",AV1161,MAX(AV1161,H1161))),ROUNDUP(AT1161,0)))</f>
        <v>375</v>
      </c>
      <c r="AQ1161" s="50" t="n">
        <f aca="false">IF(BZ1161=1,0,ROUNDUP(AP1161/BY1161,0))</f>
        <v>2</v>
      </c>
      <c r="AR1161" s="52" t="n">
        <f aca="false">IF(CQ1161&gt;0,CQ1161*MAX(1,AP1161/X1161),IF(BZ1161=1,IF(AP1161&lt;=0,0,CD1161*MAX(1,IF(H1161&gt;0,AP1161/H1161,1))),IF(R1161&gt;0,AQ1161/R1161,0))/MAX(0.1,N(Parameter!$M$21)))</f>
        <v>0.166666666666667</v>
      </c>
      <c r="AS1161" s="50" t="n">
        <f aca="false">AR1161*CB1161</f>
        <v>57.5</v>
      </c>
      <c r="AT1161" s="51" t="n">
        <f aca="false">IF(LEFT(Cockpit!$I$5,1)="A",H1161,IF(CH1161=1,(CK1161+CI1161)/2,IF(LEFT(Cockpit!$I$5,1)="B",(CK1161+AV1161)/2,MAX((CK1161+AV1161)/2,H1161))))</f>
        <v>375</v>
      </c>
      <c r="AU1161" s="50" t="n">
        <f aca="false">AT1161*G1161</f>
        <v>2692.5</v>
      </c>
      <c r="AV1161" s="50" t="n">
        <f aca="false">ROUNDUP(CK1161+MAX(CL1161,2*(J1161/IF(CG1161&gt;0,CG1161,MAX(0.1,N(Cockpit!$I$6)))-CK1161)),0)</f>
        <v>41</v>
      </c>
      <c r="AW1161" s="51" t="n">
        <f aca="false">IF(AS1161&gt;0,J1161/AS1161,-1)</f>
        <v>0.730434782608696</v>
      </c>
      <c r="AX1161" s="51" t="n">
        <f aca="false">IF(AND(OR(CF1161="L1",CF1161="L23",CF1161="LIFT"),AS1161&gt;0),SUMIFS($AS$7:$AS$1843,$CF$7:$CF$1843,CF1161,$AW$7:$AW$1843,"&gt;"&amp;AW1161)+SUMIFS($AS$7:$AS$1843,$CF$7:$CF$1843,CF1161,$AW$7:$AW$1843,AW1161,$BW$7:$BW$1843,"&lt;="&amp;BW1161),"")</f>
        <v>10715.4880952381</v>
      </c>
      <c r="AY1161" s="58" t="n">
        <f aca="false">IF(AX1161="",0,MAX(0,MIN(1,(IF(CF1161="L1",Parameter!$H$5,IF(CF1161="L23",Parameter!$H$6+Parameter!$H$7,Parameter!$H$5+Parameter!$H$6+Parameter!$H$7))-(AX1161-AS1161))/AS1161)))</f>
        <v>1</v>
      </c>
      <c r="AZ1161" s="50" t="n">
        <f aca="false">IF(LEFT(Cockpit!$O$5,1)="A",H1161,IF(Parameter!$E$30="MAX-Bestand",IF(CH1161=1,CI1161,IF(LEFT(Cockpit!$O$5,1)="B",BF1161,MAX(BF1161,H1161))),ROUNDUP(BD1161,0)))</f>
        <v>21</v>
      </c>
      <c r="BA1161" s="50" t="n">
        <f aca="false">IF(BZ1161=1,0,ROUNDUP(AZ1161/BY1161,0))</f>
        <v>1</v>
      </c>
      <c r="BB1161" s="52" t="n">
        <f aca="false">IF(CQ1161&gt;0,CQ1161*MAX(1,AZ1161/X1161),IF(BZ1161=1,IF(AZ1161&lt;=0,0,CD1161*MAX(1,IF(H1161&gt;0,AZ1161/H1161,1))),IF(R1161&gt;0,BA1161/R1161,0))/MAX(0.1,N(Parameter!$M$21)))</f>
        <v>0.0833333333333333</v>
      </c>
      <c r="BC1161" s="50" t="n">
        <f aca="false">BB1161*CB1161</f>
        <v>28.75</v>
      </c>
      <c r="BD1161" s="51" t="n">
        <f aca="false">IF(LEFT(Cockpit!$O$5,1)="A",H1161,IF(CH1161=1,(CK1161+CI1161)/2,IF(LEFT(Cockpit!$O$5,1)="B",(CK1161+BF1161)/2,MAX((CK1161+BF1161)/2,H1161))))</f>
        <v>21</v>
      </c>
      <c r="BE1161" s="50" t="n">
        <f aca="false">BD1161*G1161</f>
        <v>150.78</v>
      </c>
      <c r="BF1161" s="50" t="n">
        <f aca="false">ROUNDUP(CK1161+MAX(CL1161,2*(J1161/IF(CG1161&gt;0,CG1161,MAX(0.1,N(Cockpit!$O$6)))-CK1161)),0)</f>
        <v>41</v>
      </c>
      <c r="BG1161" s="51" t="n">
        <f aca="false">IF(BC1161&gt;0,J1161/BC1161,-1)</f>
        <v>1.46086956521739</v>
      </c>
      <c r="BH1161" s="51" t="n">
        <f aca="false">IF(AND(OR(CF1161="L1",CF1161="L23",CF1161="LIFT"),BC1161&gt;0),SUMIFS($BC$7:$BC$1843,$CF$7:$CF$1843,CF1161,$BG$7:$BG$1843,"&gt;"&amp;BG1161)+SUMIFS($BC$7:$BC$1843,$CF$7:$CF$1843,CF1161,$BG$7:$BG$1843,BG1161,$BW$7:$BW$1843,"&lt;="&amp;BW1161),"")</f>
        <v>6609.7586996337</v>
      </c>
      <c r="BI1161" s="58" t="n">
        <f aca="false">IF(BH1161="",0,MAX(0,MIN(1,(IF(CF1161="L1",Parameter!$H$5,IF(CF1161="L23",Parameter!$H$6+Parameter!$H$7,Parameter!$H$5+Parameter!$H$6+Parameter!$H$7))-(BH1161-BC1161))/BC1161)))</f>
        <v>1</v>
      </c>
      <c r="BJ1161" s="48" t="str">
        <f aca="false">IF(AI1161&lt;=0,"",IF(CF1161="Aussen","Aussenlager",IF(CF1161="-","Nicht im Lift",IF(AO1161&gt;=1,"Lift",IF(AO1161&lt;=0,"Aussenlager","teilweise")))))</f>
        <v>Lift</v>
      </c>
      <c r="BK1161" s="48" t="str">
        <f aca="false">IF(AS1161&lt;=0,"",IF(CF1161="Aussen","Aussenlager",IF(CF1161="-","Nicht im Lift",IF(AY1161&gt;=1,"Lift",IF(AY1161&lt;=0,"Aussenlager","teilweise")))))</f>
        <v>Lift</v>
      </c>
      <c r="BL1161" s="48" t="str">
        <f aca="false">IF(BC1161&lt;=0,"",IF(CF1161="Aussen","Aussenlager",IF(CF1161="-","Nicht im Lift",IF(BI1161&gt;=1,"Lift",IF(BI1161&lt;=0,"Aussenlager","teilweise")))))</f>
        <v>Lift</v>
      </c>
      <c r="BM1161" s="48" t="str">
        <f aca="false">IF(A1161="","",IF(BV1161=1,"Neu; ","")&amp;IF(AND(BV1161=0,BQ1161&lt;0),"negativer Bestand (Export "&amp;BQ1161&amp;"); ","")&amp;IF(J1161&lt;=0,"Kein Verbrauch; ","")&amp;IF(CQ1161&gt;0,"Lift "&amp;W1161&amp;" lt. Liftbericht (Fach "&amp;X1161&amp;" Stk); ",IF(CA1161=1,"Gebinde geschätzt ("&amp;T1161&amp;"); ",IF(BZ1161=1,"Lose – Tablare geschätzt; ","")))&amp;IF(H1161&gt;AV1161,"Überbestand "&amp;ROUND(H1161-AV1161,0)&amp;" Stk / CHF "&amp;ROUND((H1161-AV1161)*G1161,0)&amp;"; ","")&amp;IF(AND(CH1161=1,CI1161&lt;CJ1161),"MAX &lt; MB+LG; ","")&amp;IF(AND(CP1161&gt;0,CO1161*10&gt;CP1161),"zu hoch für Tablar; ","")&amp;IF(AND(BV1161=0,OR(CH1161=1,AA1161&lt;&gt;"",U1161&lt;&gt;"",V1161&lt;&gt;"",AB1161&lt;&gt;"")),"manuell übersteuert; ","")&amp;IF(AND(BZ1161=0,R1161=0),"Gebinde unbekannt / Stellmass fehlt; ","")&amp;IF(AND(BZ1161=0,N(V1161)&lt;=0,N(Q1161)&lt;=0),"Menge pro Gebinde fehlt (Ist = 1 Gebinde); ","")&amp;BU1161)</f>
        <v>negativer Bestand (Export -45); Überbestand 334 Stk / CHF 2398; </v>
      </c>
      <c r="BN1161" s="48"/>
      <c r="BO1161" s="48"/>
      <c r="BP1161" s="55"/>
      <c r="BQ1161" s="50" t="n">
        <v>-45</v>
      </c>
      <c r="BR1161" s="50" t="n">
        <v>420</v>
      </c>
      <c r="BS1161" s="49" t="n">
        <v>-323.1</v>
      </c>
      <c r="BT1161" s="50" t="n">
        <v>42</v>
      </c>
      <c r="BU1161" s="48"/>
      <c r="BV1161" s="53" t="n">
        <v>0</v>
      </c>
      <c r="BW1161" s="53" t="n">
        <v>1161</v>
      </c>
      <c r="BX1161" s="48" t="str">
        <f aca="false">IF(U1161&lt;&gt;"",UPPER(TRIM(U1161)),IF(CA1161=1,UPPER(VLOOKUP(T1161,Parameter!$I$27:$K$29,2,0)),IF(P1161="","LOSE",P1161)))</f>
        <v>S63</v>
      </c>
      <c r="BY1161" s="50" t="n">
        <f aca="false">IF(BX1161="LOSE",1,IF(N(V1161)&gt;0,V1161,IF(CA1161=1,MAX(1,N(VLOOKUP(T1161,Parameter!$I$27:$K$29,3,0)),H1161,N(N1161)),IF(N(Q1161)&gt;0,Q1161,MAX(1,H1161)))))</f>
        <v>320</v>
      </c>
      <c r="BZ1161" s="53" t="n">
        <f aca="false">IF(BX1161="LOSE",1,0)</f>
        <v>0</v>
      </c>
      <c r="CA1161" s="53" t="n">
        <f aca="false">IF(AND(U1161="",OR(P1161="",P1161="LOSE"),T1161&lt;&gt;"",N(S1161)&lt;=0,ISNUMBER(MATCH(T1161,Parameter!$I$27:$I$29,0))),1,0)</f>
        <v>0</v>
      </c>
      <c r="CB1161" s="53" t="n">
        <f aca="false">IF(CQ1161&gt;0,INDEX(Parameter!$H$5:$H$7,W1161)/INDEX(Parameter!$E$5:$E$7,W1161),IF(AND(BZ1161=0,N(IFERROR(VLOOKUP(BX1161,'Gebinde-Kategorie'!$A$5:$N$45,14,0),0))&gt;0),VLOOKUP(BX1161,'Gebinde-Kategorie'!$A$5:$N$45,14,0)*10+Parameter!$M$23,Parameter!$M$24))</f>
        <v>345</v>
      </c>
      <c r="CC1161" s="48" t="str">
        <f aca="false">IF(AND(Parameter!$B$19="Ja",E1161&lt;&gt;"",ISNUMBER(MATCH(E1161,Parameter!$I$35:$I$52,0))),VLOOKUP(E1161,Parameter!$I$35:$J$52,2,0),IFERROR(VLOOKUP(D1161,Parameter!$A$35:$C$64,2,0),"Nein"))</f>
        <v>2+3</v>
      </c>
      <c r="CD1161" s="52" t="n">
        <f aca="false">IF(BZ1161=0,0,IF(N(S1161)&gt;0,S1161,IFERROR(VLOOKUP(D1161,Parameter!$A$35:$C$64,3,0)+0,0)))</f>
        <v>0</v>
      </c>
      <c r="CE1161" s="48" t="n">
        <f aca="false">IF(AA1161&lt;&gt;"",AA1161,Z1161)</f>
        <v>2</v>
      </c>
      <c r="CF1161" s="48" t="str">
        <f aca="false">IF(OR(CE1161=1,CE1161=2,CE1161=3),IF(Parameter!$E$27="Ja","LIFT",IF(CE1161=1,"L1","L23")),IF(CE1161="Aussen","Aussen","-"))</f>
        <v>LIFT</v>
      </c>
      <c r="CG1161" s="59" t="n">
        <f aca="false">IF(N(AB1161)&gt;0,AB1161,0)</f>
        <v>0</v>
      </c>
      <c r="CH1161" s="53" t="n">
        <f aca="false">IF(ISNUMBER(AE1161),1,0)</f>
        <v>0</v>
      </c>
      <c r="CI1161" s="50" t="n">
        <f aca="false">N(AE1161)</f>
        <v>0</v>
      </c>
      <c r="CJ1161" s="50" t="n">
        <f aca="false">N(M1161)+N(N1161)</f>
        <v>41</v>
      </c>
      <c r="CK1161" s="50" t="n">
        <f aca="false">N(M1161)</f>
        <v>1</v>
      </c>
      <c r="CL1161" s="50" t="n">
        <f aca="false">N(N1161)</f>
        <v>40</v>
      </c>
      <c r="CM1161" s="50" t="n">
        <f aca="false">ROUNDUP(H1161/BY1161,0)</f>
        <v>2</v>
      </c>
      <c r="CN1161" s="50" t="n">
        <f aca="false">ROUNDUP(CI1161/BY1161,0)</f>
        <v>0</v>
      </c>
      <c r="CO1161" s="53" t="n">
        <f aca="false">IF(BZ1161=1,0,IFERROR(VLOOKUP(BX1161,'Gebinde-Kategorie'!$A$5:$N$45,5,0)+0,0))</f>
        <v>31</v>
      </c>
      <c r="CP1161" s="53" t="n">
        <f aca="false">IFERROR(IF(OR(CE1161=1,CE1161=2,CE1161=3),N(INDEX(Parameter!$I$5:$I$7,CE1161)),0),0)</f>
        <v>0</v>
      </c>
      <c r="CQ1161" s="52" t="n">
        <f aca="false">IF(AND(Parameter!$B$21="Ja",ISNUMBER(W1161),N(X1161)&gt;0),IFERROR(N(INDEX(Parameter!$L$5:$L$7,W1161))*INDEX(Parameter!$E$5:$E$7,W1161)*X1161/SUMIFS($X$7:$X$1843,$W$7:$W$1843,W1161),0),0)</f>
        <v>0</v>
      </c>
    </row>
    <row r="1162" customFormat="false" ht="15" hidden="false" customHeight="false" outlineLevel="0" collapsed="false">
      <c r="A1162" s="48" t="s">
        <v>2104</v>
      </c>
      <c r="B1162" s="48" t="s">
        <v>2105</v>
      </c>
      <c r="C1162" s="48" t="s">
        <v>465</v>
      </c>
      <c r="D1162" s="48" t="s">
        <v>182</v>
      </c>
      <c r="E1162" s="48" t="s">
        <v>1488</v>
      </c>
      <c r="F1162" s="48" t="s">
        <v>227</v>
      </c>
      <c r="G1162" s="49" t="n">
        <v>82.58</v>
      </c>
      <c r="H1162" s="50" t="n">
        <f aca="false">MAX(0,IF(AND(Parameter!$B$21="Ja",ISNUMBER(Y1162)),Y1162,IF(Parameter!$B$20="Jahresanfang 2025 + Export",BR1162+BQ1162,BQ1162)))</f>
        <v>0</v>
      </c>
      <c r="I1162" s="50" t="n">
        <f aca="false">H1162*G1162</f>
        <v>0</v>
      </c>
      <c r="J1162" s="50" t="n">
        <f aca="false">BT1162*Parameter!$B$18</f>
        <v>0</v>
      </c>
      <c r="K1162" s="51" t="n">
        <v>2</v>
      </c>
      <c r="L1162" s="52" t="n">
        <v>0</v>
      </c>
      <c r="M1162" s="50" t="n">
        <v>0</v>
      </c>
      <c r="N1162" s="50" t="n">
        <v>1</v>
      </c>
      <c r="O1162" s="53" t="n">
        <v>56</v>
      </c>
      <c r="P1162" s="48" t="s">
        <v>177</v>
      </c>
      <c r="Q1162" s="50"/>
      <c r="R1162" s="53" t="n">
        <f aca="false">IF(BZ1162=1,0,IFERROR(VLOOKUP(BX1162,'Gebinde-Kategorie'!$A$5:$N$45,13,0)+0,0))</f>
        <v>4</v>
      </c>
      <c r="S1162" s="54"/>
      <c r="T1162" s="55" t="s">
        <v>198</v>
      </c>
      <c r="U1162" s="55"/>
      <c r="V1162" s="55"/>
      <c r="W1162" s="48"/>
      <c r="X1162" s="50"/>
      <c r="Y1162" s="50"/>
      <c r="Z1162" s="48" t="str">
        <f aca="false">IF(A1162="","",IF(AND(Parameter!$B$21="Ja",ISNUMBER(W1162)),W1162,IF(CC1162="2+3",IF(ISNUMBER(SEARCH("grosser Artikel",BU1162)),2,IFERROR(VLOOKUP(BX1162,Parameter!$F$35:$G$64,2,0),2)),IF(OR(CC1162="Nein",CC1162=""),"-",CC1162))))</f>
        <v>-</v>
      </c>
      <c r="AA1162" s="55"/>
      <c r="AB1162" s="56"/>
      <c r="AC1162" s="50" t="n">
        <f aca="false">AV1162</f>
        <v>1</v>
      </c>
      <c r="AD1162" s="50" t="n">
        <f aca="false">MAX(AV1162,H1162)</f>
        <v>1</v>
      </c>
      <c r="AE1162" s="57"/>
      <c r="AF1162" s="50" t="n">
        <f aca="false">IF(LEFT(Cockpit!$C$5,1)="A",H1162,IF(Parameter!$E$30="MAX-Bestand",IF(CH1162=1,CI1162,IF(LEFT(Cockpit!$C$5,1)="B",AL1162,MAX(AL1162,H1162))),ROUNDUP(AJ1162,0)))</f>
        <v>0</v>
      </c>
      <c r="AG1162" s="50" t="n">
        <f aca="false">IF(BZ1162=1,0,ROUNDUP(AF1162/BY1162,0))</f>
        <v>0</v>
      </c>
      <c r="AH1162" s="52" t="n">
        <f aca="false">IF(CQ1162&gt;0,CQ1162*MAX(1,AF1162/X1162),IF(BZ1162=1,IF(AF1162&lt;=0,0,CD1162*MAX(1,IF(H1162&gt;0,AF1162/H1162,1))),IF(R1162&gt;0,AG1162/R1162,0))/MAX(0.1,N(Parameter!$M$21)))</f>
        <v>0</v>
      </c>
      <c r="AI1162" s="50" t="n">
        <f aca="false">AH1162*CB1162</f>
        <v>0</v>
      </c>
      <c r="AJ1162" s="51" t="n">
        <f aca="false">IF(LEFT(Cockpit!$C$5,1)="A",H1162,IF(CH1162=1,(CK1162+CI1162)/2,IF(LEFT(Cockpit!$C$5,1)="B",(CK1162+AL1162)/2,MAX((CK1162+AL1162)/2,H1162))))</f>
        <v>0</v>
      </c>
      <c r="AK1162" s="50" t="n">
        <f aca="false">AJ1162*G1162</f>
        <v>0</v>
      </c>
      <c r="AL1162" s="50" t="n">
        <f aca="false">ROUNDUP(CK1162+MAX(CL1162,2*(J1162/IF(CG1162&gt;0,CG1162,MAX(0.1,N(Cockpit!$C$6)))-CK1162)),0)</f>
        <v>1</v>
      </c>
      <c r="AM1162" s="51" t="n">
        <f aca="false">IF(AI1162&gt;0,J1162/AI1162,-1)</f>
        <v>-1</v>
      </c>
      <c r="AN1162" s="51" t="str">
        <f aca="false">IF(AND(OR(CF1162="L1",CF1162="L23",CF1162="LIFT"),AI1162&gt;0),SUMIFS($AI$7:$AI$1843,$CF$7:$CF$1843,CF1162,$AM$7:$AM$1843,"&gt;"&amp;AM1162)+SUMIFS($AI$7:$AI$1843,$CF$7:$CF$1843,CF1162,$AM$7:$AM$1843,AM1162,$BW$7:$BW$1843,"&lt;="&amp;BW1162),"")</f>
        <v/>
      </c>
      <c r="AO1162" s="58" t="n">
        <f aca="false">IF(AN1162="",0,MAX(0,MIN(1,(IF(CF1162="L1",Parameter!$H$5,IF(CF1162="L23",Parameter!$H$6+Parameter!$H$7,Parameter!$H$5+Parameter!$H$6+Parameter!$H$7))-(AN1162-AI1162))/AI1162)))</f>
        <v>0</v>
      </c>
      <c r="AP1162" s="50" t="n">
        <f aca="false">IF(LEFT(Cockpit!$I$5,1)="A",H1162,IF(Parameter!$E$30="MAX-Bestand",IF(CH1162=1,CI1162,IF(LEFT(Cockpit!$I$5,1)="B",AV1162,MAX(AV1162,H1162))),ROUNDUP(AT1162,0)))</f>
        <v>1</v>
      </c>
      <c r="AQ1162" s="50" t="n">
        <f aca="false">IF(BZ1162=1,0,ROUNDUP(AP1162/BY1162,0))</f>
        <v>1</v>
      </c>
      <c r="AR1162" s="52" t="n">
        <f aca="false">IF(CQ1162&gt;0,CQ1162*MAX(1,AP1162/X1162),IF(BZ1162=1,IF(AP1162&lt;=0,0,CD1162*MAX(1,IF(H1162&gt;0,AP1162/H1162,1))),IF(R1162&gt;0,AQ1162/R1162,0))/MAX(0.1,N(Parameter!$M$21)))</f>
        <v>0.25</v>
      </c>
      <c r="AS1162" s="50" t="n">
        <f aca="false">AR1162*CB1162</f>
        <v>58.75</v>
      </c>
      <c r="AT1162" s="51" t="n">
        <f aca="false">IF(LEFT(Cockpit!$I$5,1)="A",H1162,IF(CH1162=1,(CK1162+CI1162)/2,IF(LEFT(Cockpit!$I$5,1)="B",(CK1162+AV1162)/2,MAX((CK1162+AV1162)/2,H1162))))</f>
        <v>0.5</v>
      </c>
      <c r="AU1162" s="50" t="n">
        <f aca="false">AT1162*G1162</f>
        <v>41.29</v>
      </c>
      <c r="AV1162" s="50" t="n">
        <f aca="false">ROUNDUP(CK1162+MAX(CL1162,2*(J1162/IF(CG1162&gt;0,CG1162,MAX(0.1,N(Cockpit!$I$6)))-CK1162)),0)</f>
        <v>1</v>
      </c>
      <c r="AW1162" s="51" t="n">
        <f aca="false">IF(AS1162&gt;0,J1162/AS1162,-1)</f>
        <v>0</v>
      </c>
      <c r="AX1162" s="51" t="str">
        <f aca="false">IF(AND(OR(CF1162="L1",CF1162="L23",CF1162="LIFT"),AS1162&gt;0),SUMIFS($AS$7:$AS$1843,$CF$7:$CF$1843,CF1162,$AW$7:$AW$1843,"&gt;"&amp;AW1162)+SUMIFS($AS$7:$AS$1843,$CF$7:$CF$1843,CF1162,$AW$7:$AW$1843,AW1162,$BW$7:$BW$1843,"&lt;="&amp;BW1162),"")</f>
        <v/>
      </c>
      <c r="AY1162" s="58" t="n">
        <f aca="false">IF(AX1162="",0,MAX(0,MIN(1,(IF(CF1162="L1",Parameter!$H$5,IF(CF1162="L23",Parameter!$H$6+Parameter!$H$7,Parameter!$H$5+Parameter!$H$6+Parameter!$H$7))-(AX1162-AS1162))/AS1162)))</f>
        <v>0</v>
      </c>
      <c r="AZ1162" s="50" t="n">
        <f aca="false">IF(LEFT(Cockpit!$O$5,1)="A",H1162,IF(Parameter!$E$30="MAX-Bestand",IF(CH1162=1,CI1162,IF(LEFT(Cockpit!$O$5,1)="B",BF1162,MAX(BF1162,H1162))),ROUNDUP(BD1162,0)))</f>
        <v>1</v>
      </c>
      <c r="BA1162" s="50" t="n">
        <f aca="false">IF(BZ1162=1,0,ROUNDUP(AZ1162/BY1162,0))</f>
        <v>1</v>
      </c>
      <c r="BB1162" s="52" t="n">
        <f aca="false">IF(CQ1162&gt;0,CQ1162*MAX(1,AZ1162/X1162),IF(BZ1162=1,IF(AZ1162&lt;=0,0,CD1162*MAX(1,IF(H1162&gt;0,AZ1162/H1162,1))),IF(R1162&gt;0,BA1162/R1162,0))/MAX(0.1,N(Parameter!$M$21)))</f>
        <v>0.25</v>
      </c>
      <c r="BC1162" s="50" t="n">
        <f aca="false">BB1162*CB1162</f>
        <v>58.75</v>
      </c>
      <c r="BD1162" s="51" t="n">
        <f aca="false">IF(LEFT(Cockpit!$O$5,1)="A",H1162,IF(CH1162=1,(CK1162+CI1162)/2,IF(LEFT(Cockpit!$O$5,1)="B",(CK1162+BF1162)/2,MAX((CK1162+BF1162)/2,H1162))))</f>
        <v>0.5</v>
      </c>
      <c r="BE1162" s="50" t="n">
        <f aca="false">BD1162*G1162</f>
        <v>41.29</v>
      </c>
      <c r="BF1162" s="50" t="n">
        <f aca="false">ROUNDUP(CK1162+MAX(CL1162,2*(J1162/IF(CG1162&gt;0,CG1162,MAX(0.1,N(Cockpit!$O$6)))-CK1162)),0)</f>
        <v>1</v>
      </c>
      <c r="BG1162" s="51" t="n">
        <f aca="false">IF(BC1162&gt;0,J1162/BC1162,-1)</f>
        <v>0</v>
      </c>
      <c r="BH1162" s="51" t="str">
        <f aca="false">IF(AND(OR(CF1162="L1",CF1162="L23",CF1162="LIFT"),BC1162&gt;0),SUMIFS($BC$7:$BC$1843,$CF$7:$CF$1843,CF1162,$BG$7:$BG$1843,"&gt;"&amp;BG1162)+SUMIFS($BC$7:$BC$1843,$CF$7:$CF$1843,CF1162,$BG$7:$BG$1843,BG1162,$BW$7:$BW$1843,"&lt;="&amp;BW1162),"")</f>
        <v/>
      </c>
      <c r="BI1162" s="58" t="n">
        <f aca="false">IF(BH1162="",0,MAX(0,MIN(1,(IF(CF1162="L1",Parameter!$H$5,IF(CF1162="L23",Parameter!$H$6+Parameter!$H$7,Parameter!$H$5+Parameter!$H$6+Parameter!$H$7))-(BH1162-BC1162))/BC1162)))</f>
        <v>0</v>
      </c>
      <c r="BJ1162" s="48" t="str">
        <f aca="false">IF(AI1162&lt;=0,"",IF(CF1162="Aussen","Aussenlager",IF(CF1162="-","Nicht im Lift",IF(AO1162&gt;=1,"Lift",IF(AO1162&lt;=0,"Aussenlager","teilweise")))))</f>
        <v/>
      </c>
      <c r="BK1162" s="48" t="str">
        <f aca="false">IF(AS1162&lt;=0,"",IF(CF1162="Aussen","Aussenlager",IF(CF1162="-","Nicht im Lift",IF(AY1162&gt;=1,"Lift",IF(AY1162&lt;=0,"Aussenlager","teilweise")))))</f>
        <v>Nicht im Lift</v>
      </c>
      <c r="BL1162" s="48" t="str">
        <f aca="false">IF(BC1162&lt;=0,"",IF(CF1162="Aussen","Aussenlager",IF(CF1162="-","Nicht im Lift",IF(BI1162&gt;=1,"Lift",IF(BI1162&lt;=0,"Aussenlager","teilweise")))))</f>
        <v>Nicht im Lift</v>
      </c>
      <c r="BM1162" s="48" t="str">
        <f aca="false">IF(A1162="","",IF(BV1162=1,"Neu; ","")&amp;IF(AND(BV1162=0,BQ1162&lt;0),"negativer Bestand (Export "&amp;BQ1162&amp;"); ","")&amp;IF(J1162&lt;=0,"Kein Verbrauch; ","")&amp;IF(CQ1162&gt;0,"Lift "&amp;W1162&amp;" lt. Liftbericht (Fach "&amp;X1162&amp;" Stk); ",IF(CA1162=1,"Gebinde geschätzt ("&amp;T1162&amp;"); ",IF(BZ1162=1,"Lose – Tablare geschätzt; ","")))&amp;IF(H1162&gt;AV1162,"Überbestand "&amp;ROUND(H1162-AV1162,0)&amp;" Stk / CHF "&amp;ROUND((H1162-AV1162)*G1162,0)&amp;"; ","")&amp;IF(AND(CH1162=1,CI1162&lt;CJ1162),"MAX &lt; MB+LG; ","")&amp;IF(AND(CP1162&gt;0,CO1162*10&gt;CP1162),"zu hoch für Tablar; ","")&amp;IF(AND(BV1162=0,OR(CH1162=1,AA1162&lt;&gt;"",U1162&lt;&gt;"",V1162&lt;&gt;"",AB1162&lt;&gt;"")),"manuell übersteuert; ","")&amp;IF(AND(BZ1162=0,R1162=0),"Gebinde unbekannt / Stellmass fehlt; ","")&amp;IF(AND(BZ1162=0,N(V1162)&lt;=0,N(Q1162)&lt;=0),"Menge pro Gebinde fehlt (Ist = 1 Gebinde); ","")&amp;BU1162)</f>
        <v>negativer Bestand (Export -4); Kein Verbrauch; Gebinde geschätzt (Gross); Menge pro Gebinde fehlt (Ist = 1 Gebinde); </v>
      </c>
      <c r="BN1162" s="48"/>
      <c r="BO1162" s="48"/>
      <c r="BP1162" s="55"/>
      <c r="BQ1162" s="50" t="n">
        <v>-4</v>
      </c>
      <c r="BR1162" s="50" t="n">
        <v>4</v>
      </c>
      <c r="BS1162" s="49" t="n">
        <v>-330.32</v>
      </c>
      <c r="BT1162" s="50" t="n">
        <v>0</v>
      </c>
      <c r="BU1162" s="48"/>
      <c r="BV1162" s="53" t="n">
        <v>0</v>
      </c>
      <c r="BW1162" s="53" t="n">
        <v>1162</v>
      </c>
      <c r="BX1162" s="48" t="str">
        <f aca="false">IF(U1162&lt;&gt;"",UPPER(TRIM(U1162)),IF(CA1162=1,UPPER(VLOOKUP(T1162,Parameter!$I$27:$K$29,2,0)),IF(P1162="","LOSE",P1162)))</f>
        <v>S81</v>
      </c>
      <c r="BY1162" s="50" t="n">
        <f aca="false">IF(BX1162="LOSE",1,IF(N(V1162)&gt;0,V1162,IF(CA1162=1,MAX(1,N(VLOOKUP(T1162,Parameter!$I$27:$K$29,3,0)),H1162,N(N1162)),IF(N(Q1162)&gt;0,Q1162,MAX(1,H1162)))))</f>
        <v>2</v>
      </c>
      <c r="BZ1162" s="53" t="n">
        <f aca="false">IF(BX1162="LOSE",1,0)</f>
        <v>0</v>
      </c>
      <c r="CA1162" s="53" t="n">
        <f aca="false">IF(AND(U1162="",OR(P1162="",P1162="LOSE"),T1162&lt;&gt;"",N(S1162)&lt;=0,ISNUMBER(MATCH(T1162,Parameter!$I$27:$I$29,0))),1,0)</f>
        <v>1</v>
      </c>
      <c r="CB1162" s="53" t="n">
        <f aca="false">IF(CQ1162&gt;0,INDEX(Parameter!$H$5:$H$7,W1162)/INDEX(Parameter!$E$5:$E$7,W1162),IF(AND(BZ1162=0,N(IFERROR(VLOOKUP(BX1162,'Gebinde-Kategorie'!$A$5:$N$45,14,0),0))&gt;0),VLOOKUP(BX1162,'Gebinde-Kategorie'!$A$5:$N$45,14,0)*10+Parameter!$M$23,Parameter!$M$24))</f>
        <v>235</v>
      </c>
      <c r="CC1162" s="48" t="str">
        <f aca="false">IF(AND(Parameter!$B$19="Ja",E1162&lt;&gt;"",ISNUMBER(MATCH(E1162,Parameter!$I$35:$I$52,0))),VLOOKUP(E1162,Parameter!$I$35:$J$52,2,0),IFERROR(VLOOKUP(D1162,Parameter!$A$35:$C$64,2,0),"Nein"))</f>
        <v>Nein</v>
      </c>
      <c r="CD1162" s="52" t="n">
        <f aca="false">IF(BZ1162=0,0,IF(N(S1162)&gt;0,S1162,IFERROR(VLOOKUP(D1162,Parameter!$A$35:$C$64,3,0)+0,0)))</f>
        <v>0</v>
      </c>
      <c r="CE1162" s="48" t="str">
        <f aca="false">IF(AA1162&lt;&gt;"",AA1162,Z1162)</f>
        <v>-</v>
      </c>
      <c r="CF1162" s="48" t="str">
        <f aca="false">IF(OR(CE1162=1,CE1162=2,CE1162=3),IF(Parameter!$E$27="Ja","LIFT",IF(CE1162=1,"L1","L23")),IF(CE1162="Aussen","Aussen","-"))</f>
        <v>-</v>
      </c>
      <c r="CG1162" s="59" t="n">
        <f aca="false">IF(N(AB1162)&gt;0,AB1162,0)</f>
        <v>0</v>
      </c>
      <c r="CH1162" s="53" t="n">
        <f aca="false">IF(ISNUMBER(AE1162),1,0)</f>
        <v>0</v>
      </c>
      <c r="CI1162" s="50" t="n">
        <f aca="false">N(AE1162)</f>
        <v>0</v>
      </c>
      <c r="CJ1162" s="50" t="n">
        <f aca="false">N(M1162)+N(N1162)</f>
        <v>1</v>
      </c>
      <c r="CK1162" s="50" t="n">
        <f aca="false">N(M1162)</f>
        <v>0</v>
      </c>
      <c r="CL1162" s="50" t="n">
        <f aca="false">N(N1162)</f>
        <v>1</v>
      </c>
      <c r="CM1162" s="50" t="n">
        <f aca="false">ROUNDUP(H1162/BY1162,0)</f>
        <v>0</v>
      </c>
      <c r="CN1162" s="50" t="n">
        <f aca="false">ROUNDUP(CI1162/BY1162,0)</f>
        <v>0</v>
      </c>
      <c r="CO1162" s="53" t="n">
        <f aca="false">IF(BZ1162=1,0,IFERROR(VLOOKUP(BX1162,'Gebinde-Kategorie'!$A$5:$N$45,5,0)+0,0))</f>
        <v>20</v>
      </c>
      <c r="CP1162" s="53" t="n">
        <f aca="false">IFERROR(IF(OR(CE1162=1,CE1162=2,CE1162=3),N(INDEX(Parameter!$I$5:$I$7,CE1162)),0),0)</f>
        <v>0</v>
      </c>
      <c r="CQ1162" s="52" t="n">
        <f aca="false">IF(AND(Parameter!$B$21="Ja",ISNUMBER(W1162),N(X1162)&gt;0),IFERROR(N(INDEX(Parameter!$L$5:$L$7,W1162))*INDEX(Parameter!$E$5:$E$7,W1162)*X1162/SUMIFS($X$7:$X$1843,$W$7:$W$1843,W1162),0),0)</f>
        <v>0</v>
      </c>
    </row>
    <row r="1163" customFormat="false" ht="15" hidden="false" customHeight="false" outlineLevel="0" collapsed="false">
      <c r="A1163" s="48" t="s">
        <v>2106</v>
      </c>
      <c r="B1163" s="48" t="s">
        <v>2107</v>
      </c>
      <c r="C1163" s="48" t="s">
        <v>173</v>
      </c>
      <c r="D1163" s="48" t="s">
        <v>193</v>
      </c>
      <c r="E1163" s="48" t="s">
        <v>194</v>
      </c>
      <c r="F1163" s="48" t="s">
        <v>227</v>
      </c>
      <c r="G1163" s="49" t="n">
        <v>28.48</v>
      </c>
      <c r="H1163" s="50" t="n">
        <f aca="false">MAX(0,IF(AND(Parameter!$B$21="Ja",ISNUMBER(Y1163)),Y1163,IF(Parameter!$B$20="Jahresanfang 2025 + Export",BR1163+BQ1163,BQ1163)))</f>
        <v>53</v>
      </c>
      <c r="I1163" s="50" t="n">
        <f aca="false">H1163*G1163</f>
        <v>1509.44</v>
      </c>
      <c r="J1163" s="50" t="n">
        <f aca="false">BT1163*Parameter!$B$18</f>
        <v>292</v>
      </c>
      <c r="K1163" s="51" t="n">
        <v>108.5</v>
      </c>
      <c r="L1163" s="52" t="n">
        <v>2.69124423963134</v>
      </c>
      <c r="M1163" s="50" t="n">
        <v>17</v>
      </c>
      <c r="N1163" s="50" t="n">
        <v>100</v>
      </c>
      <c r="O1163" s="53" t="n">
        <v>21</v>
      </c>
      <c r="P1163" s="48" t="s">
        <v>337</v>
      </c>
      <c r="Q1163" s="50" t="n">
        <v>249</v>
      </c>
      <c r="R1163" s="53" t="n">
        <f aca="false">IF(BZ1163=1,0,IFERROR(VLOOKUP(BX1163,'Gebinde-Kategorie'!$A$5:$N$45,13,0)+0,0))</f>
        <v>52</v>
      </c>
      <c r="S1163" s="54"/>
      <c r="T1163" s="55"/>
      <c r="U1163" s="55"/>
      <c r="V1163" s="55"/>
      <c r="W1163" s="48"/>
      <c r="X1163" s="50"/>
      <c r="Y1163" s="50"/>
      <c r="Z1163" s="48" t="n">
        <f aca="false">IF(A1163="","",IF(AND(Parameter!$B$21="Ja",ISNUMBER(W1163)),W1163,IF(CC1163="2+3",IF(ISNUMBER(SEARCH("grosser Artikel",BU1163)),2,IFERROR(VLOOKUP(BX1163,Parameter!$F$35:$G$64,2,0),2)),IF(OR(CC1163="Nein",CC1163=""),"-",CC1163))))</f>
        <v>3</v>
      </c>
      <c r="AA1163" s="55"/>
      <c r="AB1163" s="56"/>
      <c r="AC1163" s="50" t="n">
        <f aca="false">AV1163</f>
        <v>178</v>
      </c>
      <c r="AD1163" s="50" t="n">
        <f aca="false">MAX(AV1163,H1163)</f>
        <v>178</v>
      </c>
      <c r="AE1163" s="57"/>
      <c r="AF1163" s="50" t="n">
        <f aca="false">IF(LEFT(Cockpit!$C$5,1)="A",H1163,IF(Parameter!$E$30="MAX-Bestand",IF(CH1163=1,CI1163,IF(LEFT(Cockpit!$C$5,1)="B",AL1163,MAX(AL1163,H1163))),ROUNDUP(AJ1163,0)))</f>
        <v>53</v>
      </c>
      <c r="AG1163" s="50" t="n">
        <f aca="false">IF(BZ1163=1,0,ROUNDUP(AF1163/BY1163,0))</f>
        <v>1</v>
      </c>
      <c r="AH1163" s="52" t="n">
        <f aca="false">IF(CQ1163&gt;0,CQ1163*MAX(1,AF1163/X1163),IF(BZ1163=1,IF(AF1163&lt;=0,0,CD1163*MAX(1,IF(H1163&gt;0,AF1163/H1163,1))),IF(R1163&gt;0,AG1163/R1163,0))/MAX(0.1,N(Parameter!$M$21)))</f>
        <v>0.0192307692307692</v>
      </c>
      <c r="AI1163" s="50" t="n">
        <f aca="false">AH1163*CB1163</f>
        <v>2.98076923076923</v>
      </c>
      <c r="AJ1163" s="51" t="n">
        <f aca="false">IF(LEFT(Cockpit!$C$5,1)="A",H1163,IF(CH1163=1,(CK1163+CI1163)/2,IF(LEFT(Cockpit!$C$5,1)="B",(CK1163+AL1163)/2,MAX((CK1163+AL1163)/2,H1163))))</f>
        <v>53</v>
      </c>
      <c r="AK1163" s="50" t="n">
        <f aca="false">AJ1163*G1163</f>
        <v>1509.44</v>
      </c>
      <c r="AL1163" s="50" t="n">
        <f aca="false">ROUNDUP(CK1163+MAX(CL1163,2*(J1163/IF(CG1163&gt;0,CG1163,MAX(0.1,N(Cockpit!$C$6)))-CK1163)),0)</f>
        <v>178</v>
      </c>
      <c r="AM1163" s="51" t="n">
        <f aca="false">IF(AI1163&gt;0,J1163/AI1163,-1)</f>
        <v>97.9612903225806</v>
      </c>
      <c r="AN1163" s="51" t="n">
        <f aca="false">IF(AND(OR(CF1163="L1",CF1163="L23",CF1163="LIFT"),AI1163&gt;0),SUMIFS($AI$7:$AI$1843,$CF$7:$CF$1843,CF1163,$AM$7:$AM$1843,"&gt;"&amp;AM1163)+SUMIFS($AI$7:$AI$1843,$CF$7:$CF$1843,CF1163,$AM$7:$AM$1843,AM1163,$BW$7:$BW$1843,"&lt;="&amp;BW1163),"")</f>
        <v>767.422619047619</v>
      </c>
      <c r="AO1163" s="58" t="n">
        <f aca="false">IF(AN1163="",0,MAX(0,MIN(1,(IF(CF1163="L1",Parameter!$H$5,IF(CF1163="L23",Parameter!$H$6+Parameter!$H$7,Parameter!$H$5+Parameter!$H$6+Parameter!$H$7))-(AN1163-AI1163))/AI1163)))</f>
        <v>1</v>
      </c>
      <c r="AP1163" s="50" t="n">
        <f aca="false">IF(LEFT(Cockpit!$I$5,1)="A",H1163,IF(Parameter!$E$30="MAX-Bestand",IF(CH1163=1,CI1163,IF(LEFT(Cockpit!$I$5,1)="B",AV1163,MAX(AV1163,H1163))),ROUNDUP(AT1163,0)))</f>
        <v>98</v>
      </c>
      <c r="AQ1163" s="50" t="n">
        <f aca="false">IF(BZ1163=1,0,ROUNDUP(AP1163/BY1163,0))</f>
        <v>1</v>
      </c>
      <c r="AR1163" s="52" t="n">
        <f aca="false">IF(CQ1163&gt;0,CQ1163*MAX(1,AP1163/X1163),IF(BZ1163=1,IF(AP1163&lt;=0,0,CD1163*MAX(1,IF(H1163&gt;0,AP1163/H1163,1))),IF(R1163&gt;0,AQ1163/R1163,0))/MAX(0.1,N(Parameter!$M$21)))</f>
        <v>0.0192307692307692</v>
      </c>
      <c r="AS1163" s="50" t="n">
        <f aca="false">AR1163*CB1163</f>
        <v>2.98076923076923</v>
      </c>
      <c r="AT1163" s="51" t="n">
        <f aca="false">IF(LEFT(Cockpit!$I$5,1)="A",H1163,IF(CH1163=1,(CK1163+CI1163)/2,IF(LEFT(Cockpit!$I$5,1)="B",(CK1163+AV1163)/2,MAX((CK1163+AV1163)/2,H1163))))</f>
        <v>97.5</v>
      </c>
      <c r="AU1163" s="50" t="n">
        <f aca="false">AT1163*G1163</f>
        <v>2776.8</v>
      </c>
      <c r="AV1163" s="50" t="n">
        <f aca="false">ROUNDUP(CK1163+MAX(CL1163,2*(J1163/IF(CG1163&gt;0,CG1163,MAX(0.1,N(Cockpit!$I$6)))-CK1163)),0)</f>
        <v>178</v>
      </c>
      <c r="AW1163" s="51" t="n">
        <f aca="false">IF(AS1163&gt;0,J1163/AS1163,-1)</f>
        <v>97.9612903225806</v>
      </c>
      <c r="AX1163" s="51" t="n">
        <f aca="false">IF(AND(OR(CF1163="L1",CF1163="L23",CF1163="LIFT"),AS1163&gt;0),SUMIFS($AS$7:$AS$1843,$CF$7:$CF$1843,CF1163,$AW$7:$AW$1843,"&gt;"&amp;AW1163)+SUMIFS($AS$7:$AS$1843,$CF$7:$CF$1843,CF1163,$AW$7:$AW$1843,AW1163,$BW$7:$BW$1843,"&lt;="&amp;BW1163),"")</f>
        <v>1020.99175824176</v>
      </c>
      <c r="AY1163" s="58" t="n">
        <f aca="false">IF(AX1163="",0,MAX(0,MIN(1,(IF(CF1163="L1",Parameter!$H$5,IF(CF1163="L23",Parameter!$H$6+Parameter!$H$7,Parameter!$H$5+Parameter!$H$6+Parameter!$H$7))-(AX1163-AS1163))/AS1163)))</f>
        <v>1</v>
      </c>
      <c r="AZ1163" s="50" t="n">
        <f aca="false">IF(LEFT(Cockpit!$O$5,1)="A",H1163,IF(Parameter!$E$30="MAX-Bestand",IF(CH1163=1,CI1163,IF(LEFT(Cockpit!$O$5,1)="B",BF1163,MAX(BF1163,H1163))),ROUNDUP(BD1163,0)))</f>
        <v>73</v>
      </c>
      <c r="BA1163" s="50" t="n">
        <f aca="false">IF(BZ1163=1,0,ROUNDUP(AZ1163/BY1163,0))</f>
        <v>1</v>
      </c>
      <c r="BB1163" s="52" t="n">
        <f aca="false">IF(CQ1163&gt;0,CQ1163*MAX(1,AZ1163/X1163),IF(BZ1163=1,IF(AZ1163&lt;=0,0,CD1163*MAX(1,IF(H1163&gt;0,AZ1163/H1163,1))),IF(R1163&gt;0,BA1163/R1163,0))/MAX(0.1,N(Parameter!$M$21)))</f>
        <v>0.0192307692307692</v>
      </c>
      <c r="BC1163" s="50" t="n">
        <f aca="false">BB1163*CB1163</f>
        <v>2.98076923076923</v>
      </c>
      <c r="BD1163" s="51" t="n">
        <f aca="false">IF(LEFT(Cockpit!$O$5,1)="A",H1163,IF(CH1163=1,(CK1163+CI1163)/2,IF(LEFT(Cockpit!$O$5,1)="B",(CK1163+BF1163)/2,MAX((CK1163+BF1163)/2,H1163))))</f>
        <v>73</v>
      </c>
      <c r="BE1163" s="50" t="n">
        <f aca="false">BD1163*G1163</f>
        <v>2079.04</v>
      </c>
      <c r="BF1163" s="50" t="n">
        <f aca="false">ROUNDUP(CK1163+MAX(CL1163,2*(J1163/IF(CG1163&gt;0,CG1163,MAX(0.1,N(Cockpit!$O$6)))-CK1163)),0)</f>
        <v>129</v>
      </c>
      <c r="BG1163" s="51" t="n">
        <f aca="false">IF(BC1163&gt;0,J1163/BC1163,-1)</f>
        <v>97.9612903225806</v>
      </c>
      <c r="BH1163" s="51" t="n">
        <f aca="false">IF(AND(OR(CF1163="L1",CF1163="L23",CF1163="LIFT"),BC1163&gt;0),SUMIFS($BC$7:$BC$1843,$CF$7:$CF$1843,CF1163,$BG$7:$BG$1843,"&gt;"&amp;BG1163)+SUMIFS($BC$7:$BC$1843,$CF$7:$CF$1843,CF1163,$BG$7:$BG$1843,BG1163,$BW$7:$BW$1843,"&lt;="&amp;BW1163),"")</f>
        <v>914.867216117216</v>
      </c>
      <c r="BI1163" s="58" t="n">
        <f aca="false">IF(BH1163="",0,MAX(0,MIN(1,(IF(CF1163="L1",Parameter!$H$5,IF(CF1163="L23",Parameter!$H$6+Parameter!$H$7,Parameter!$H$5+Parameter!$H$6+Parameter!$H$7))-(BH1163-BC1163))/BC1163)))</f>
        <v>1</v>
      </c>
      <c r="BJ1163" s="48" t="str">
        <f aca="false">IF(AI1163&lt;=0,"",IF(CF1163="Aussen","Aussenlager",IF(CF1163="-","Nicht im Lift",IF(AO1163&gt;=1,"Lift",IF(AO1163&lt;=0,"Aussenlager","teilweise")))))</f>
        <v>Lift</v>
      </c>
      <c r="BK1163" s="48" t="str">
        <f aca="false">IF(AS1163&lt;=0,"",IF(CF1163="Aussen","Aussenlager",IF(CF1163="-","Nicht im Lift",IF(AY1163&gt;=1,"Lift",IF(AY1163&lt;=0,"Aussenlager","teilweise")))))</f>
        <v>Lift</v>
      </c>
      <c r="BL1163" s="48" t="str">
        <f aca="false">IF(BC1163&lt;=0,"",IF(CF1163="Aussen","Aussenlager",IF(CF1163="-","Nicht im Lift",IF(BI1163&gt;=1,"Lift",IF(BI1163&lt;=0,"Aussenlager","teilweise")))))</f>
        <v>Lift</v>
      </c>
      <c r="BM1163" s="48" t="str">
        <f aca="false">IF(A1163="","",IF(BV1163=1,"Neu; ","")&amp;IF(AND(BV1163=0,BQ1163&lt;0),"negativer Bestand (Export "&amp;BQ1163&amp;"); ","")&amp;IF(J1163&lt;=0,"Kein Verbrauch; ","")&amp;IF(CQ1163&gt;0,"Lift "&amp;W1163&amp;" lt. Liftbericht (Fach "&amp;X1163&amp;" Stk); ",IF(CA1163=1,"Gebinde geschätzt ("&amp;T1163&amp;"); ",IF(BZ1163=1,"Lose – Tablare geschätzt; ","")))&amp;IF(H1163&gt;AV1163,"Überbestand "&amp;ROUND(H1163-AV1163,0)&amp;" Stk / CHF "&amp;ROUND((H1163-AV1163)*G1163,0)&amp;"; ","")&amp;IF(AND(CH1163=1,CI1163&lt;CJ1163),"MAX &lt; MB+LG; ","")&amp;IF(AND(CP1163&gt;0,CO1163*10&gt;CP1163),"zu hoch für Tablar; ","")&amp;IF(AND(BV1163=0,OR(CH1163=1,AA1163&lt;&gt;"",U1163&lt;&gt;"",V1163&lt;&gt;"",AB1163&lt;&gt;"")),"manuell übersteuert; ","")&amp;IF(AND(BZ1163=0,R1163=0),"Gebinde unbekannt / Stellmass fehlt; ","")&amp;IF(AND(BZ1163=0,N(V1163)&lt;=0,N(Q1163)&lt;=0),"Menge pro Gebinde fehlt (Ist = 1 Gebinde); ","")&amp;BU1163)</f>
        <v>negativer Bestand (Export -12); </v>
      </c>
      <c r="BN1163" s="48"/>
      <c r="BO1163" s="48"/>
      <c r="BP1163" s="55"/>
      <c r="BQ1163" s="50" t="n">
        <v>-12</v>
      </c>
      <c r="BR1163" s="50" t="n">
        <v>65</v>
      </c>
      <c r="BS1163" s="49" t="n">
        <v>-337.52</v>
      </c>
      <c r="BT1163" s="50" t="n">
        <v>292</v>
      </c>
      <c r="BU1163" s="48"/>
      <c r="BV1163" s="53" t="n">
        <v>0</v>
      </c>
      <c r="BW1163" s="53" t="n">
        <v>1163</v>
      </c>
      <c r="BX1163" s="48" t="str">
        <f aca="false">IF(U1163&lt;&gt;"",UPPER(TRIM(U1163)),IF(CA1163=1,UPPER(VLOOKUP(T1163,Parameter!$I$27:$K$29,2,0)),IF(P1163="","LOSE",P1163)))</f>
        <v>S41</v>
      </c>
      <c r="BY1163" s="50" t="n">
        <f aca="false">IF(BX1163="LOSE",1,IF(N(V1163)&gt;0,V1163,IF(CA1163=1,MAX(1,N(VLOOKUP(T1163,Parameter!$I$27:$K$29,3,0)),H1163,N(N1163)),IF(N(Q1163)&gt;0,Q1163,MAX(1,H1163)))))</f>
        <v>249</v>
      </c>
      <c r="BZ1163" s="53" t="n">
        <f aca="false">IF(BX1163="LOSE",1,0)</f>
        <v>0</v>
      </c>
      <c r="CA1163" s="53" t="n">
        <f aca="false">IF(AND(U1163="",OR(P1163="",P1163="LOSE"),T1163&lt;&gt;"",N(S1163)&lt;=0,ISNUMBER(MATCH(T1163,Parameter!$I$27:$I$29,0))),1,0)</f>
        <v>0</v>
      </c>
      <c r="CB1163" s="53" t="n">
        <f aca="false">IF(CQ1163&gt;0,INDEX(Parameter!$H$5:$H$7,W1163)/INDEX(Parameter!$E$5:$E$7,W1163),IF(AND(BZ1163=0,N(IFERROR(VLOOKUP(BX1163,'Gebinde-Kategorie'!$A$5:$N$45,14,0),0))&gt;0),VLOOKUP(BX1163,'Gebinde-Kategorie'!$A$5:$N$45,14,0)*10+Parameter!$M$23,Parameter!$M$24))</f>
        <v>155</v>
      </c>
      <c r="CC1163" s="48" t="str">
        <f aca="false">IF(AND(Parameter!$B$19="Ja",E1163&lt;&gt;"",ISNUMBER(MATCH(E1163,Parameter!$I$35:$I$52,0))),VLOOKUP(E1163,Parameter!$I$35:$J$52,2,0),IFERROR(VLOOKUP(D1163,Parameter!$A$35:$C$64,2,0),"Nein"))</f>
        <v>2+3</v>
      </c>
      <c r="CD1163" s="52" t="n">
        <f aca="false">IF(BZ1163=0,0,IF(N(S1163)&gt;0,S1163,IFERROR(VLOOKUP(D1163,Parameter!$A$35:$C$64,3,0)+0,0)))</f>
        <v>0</v>
      </c>
      <c r="CE1163" s="48" t="n">
        <f aca="false">IF(AA1163&lt;&gt;"",AA1163,Z1163)</f>
        <v>3</v>
      </c>
      <c r="CF1163" s="48" t="str">
        <f aca="false">IF(OR(CE1163=1,CE1163=2,CE1163=3),IF(Parameter!$E$27="Ja","LIFT",IF(CE1163=1,"L1","L23")),IF(CE1163="Aussen","Aussen","-"))</f>
        <v>LIFT</v>
      </c>
      <c r="CG1163" s="59" t="n">
        <f aca="false">IF(N(AB1163)&gt;0,AB1163,0)</f>
        <v>0</v>
      </c>
      <c r="CH1163" s="53" t="n">
        <f aca="false">IF(ISNUMBER(AE1163),1,0)</f>
        <v>0</v>
      </c>
      <c r="CI1163" s="50" t="n">
        <f aca="false">N(AE1163)</f>
        <v>0</v>
      </c>
      <c r="CJ1163" s="50" t="n">
        <f aca="false">N(M1163)+N(N1163)</f>
        <v>117</v>
      </c>
      <c r="CK1163" s="50" t="n">
        <f aca="false">N(M1163)</f>
        <v>17</v>
      </c>
      <c r="CL1163" s="50" t="n">
        <f aca="false">N(N1163)</f>
        <v>100</v>
      </c>
      <c r="CM1163" s="50" t="n">
        <f aca="false">ROUNDUP(H1163/BY1163,0)</f>
        <v>1</v>
      </c>
      <c r="CN1163" s="50" t="n">
        <f aca="false">ROUNDUP(CI1163/BY1163,0)</f>
        <v>0</v>
      </c>
      <c r="CO1163" s="53" t="n">
        <f aca="false">IF(BZ1163=1,0,IFERROR(VLOOKUP(BX1163,'Gebinde-Kategorie'!$A$5:$N$45,5,0)+0,0))</f>
        <v>11</v>
      </c>
      <c r="CP1163" s="53" t="n">
        <f aca="false">IFERROR(IF(OR(CE1163=1,CE1163=2,CE1163=3),N(INDEX(Parameter!$I$5:$I$7,CE1163)),0),0)</f>
        <v>0</v>
      </c>
      <c r="CQ1163" s="52" t="n">
        <f aca="false">IF(AND(Parameter!$B$21="Ja",ISNUMBER(W1163),N(X1163)&gt;0),IFERROR(N(INDEX(Parameter!$L$5:$L$7,W1163))*INDEX(Parameter!$E$5:$E$7,W1163)*X1163/SUMIFS($X$7:$X$1843,$W$7:$W$1843,W1163),0),0)</f>
        <v>0</v>
      </c>
    </row>
    <row r="1164" customFormat="false" ht="15" hidden="false" customHeight="false" outlineLevel="0" collapsed="false">
      <c r="A1164" s="48" t="s">
        <v>2108</v>
      </c>
      <c r="B1164" s="48" t="s">
        <v>1901</v>
      </c>
      <c r="C1164" s="48" t="s">
        <v>173</v>
      </c>
      <c r="D1164" s="48" t="s">
        <v>193</v>
      </c>
      <c r="E1164" s="48" t="s">
        <v>194</v>
      </c>
      <c r="F1164" s="48" t="s">
        <v>227</v>
      </c>
      <c r="G1164" s="49" t="n">
        <v>26.09</v>
      </c>
      <c r="H1164" s="50" t="n">
        <f aca="false">MAX(0,IF(AND(Parameter!$B$21="Ja",ISNUMBER(Y1164)),Y1164,IF(Parameter!$B$20="Jahresanfang 2025 + Export",BR1164+BQ1164,BQ1164)))</f>
        <v>77</v>
      </c>
      <c r="I1164" s="50" t="n">
        <f aca="false">H1164*G1164</f>
        <v>2008.93</v>
      </c>
      <c r="J1164" s="50" t="n">
        <f aca="false">BT1164*Parameter!$B$18</f>
        <v>12</v>
      </c>
      <c r="K1164" s="51" t="n">
        <v>84</v>
      </c>
      <c r="L1164" s="52" t="n">
        <v>0.142857142857143</v>
      </c>
      <c r="M1164" s="50" t="n">
        <v>1</v>
      </c>
      <c r="N1164" s="50" t="n">
        <v>10</v>
      </c>
      <c r="O1164" s="53" t="n">
        <v>35</v>
      </c>
      <c r="P1164" s="48" t="s">
        <v>337</v>
      </c>
      <c r="Q1164" s="50" t="n">
        <v>113</v>
      </c>
      <c r="R1164" s="53" t="n">
        <f aca="false">IF(BZ1164=1,0,IFERROR(VLOOKUP(BX1164,'Gebinde-Kategorie'!$A$5:$N$45,13,0)+0,0))</f>
        <v>52</v>
      </c>
      <c r="S1164" s="54"/>
      <c r="T1164" s="55"/>
      <c r="U1164" s="55"/>
      <c r="V1164" s="55"/>
      <c r="W1164" s="48"/>
      <c r="X1164" s="50"/>
      <c r="Y1164" s="50"/>
      <c r="Z1164" s="48" t="n">
        <f aca="false">IF(A1164="","",IF(AND(Parameter!$B$21="Ja",ISNUMBER(W1164)),W1164,IF(CC1164="2+3",IF(ISNUMBER(SEARCH("grosser Artikel",BU1164)),2,IFERROR(VLOOKUP(BX1164,Parameter!$F$35:$G$64,2,0),2)),IF(OR(CC1164="Nein",CC1164=""),"-",CC1164))))</f>
        <v>3</v>
      </c>
      <c r="AA1164" s="55"/>
      <c r="AB1164" s="56"/>
      <c r="AC1164" s="50" t="n">
        <f aca="false">AV1164</f>
        <v>11</v>
      </c>
      <c r="AD1164" s="50" t="n">
        <f aca="false">MAX(AV1164,H1164)</f>
        <v>77</v>
      </c>
      <c r="AE1164" s="57"/>
      <c r="AF1164" s="50" t="n">
        <f aca="false">IF(LEFT(Cockpit!$C$5,1)="A",H1164,IF(Parameter!$E$30="MAX-Bestand",IF(CH1164=1,CI1164,IF(LEFT(Cockpit!$C$5,1)="B",AL1164,MAX(AL1164,H1164))),ROUNDUP(AJ1164,0)))</f>
        <v>77</v>
      </c>
      <c r="AG1164" s="50" t="n">
        <f aca="false">IF(BZ1164=1,0,ROUNDUP(AF1164/BY1164,0))</f>
        <v>1</v>
      </c>
      <c r="AH1164" s="52" t="n">
        <f aca="false">IF(CQ1164&gt;0,CQ1164*MAX(1,AF1164/X1164),IF(BZ1164=1,IF(AF1164&lt;=0,0,CD1164*MAX(1,IF(H1164&gt;0,AF1164/H1164,1))),IF(R1164&gt;0,AG1164/R1164,0))/MAX(0.1,N(Parameter!$M$21)))</f>
        <v>0.0192307692307692</v>
      </c>
      <c r="AI1164" s="50" t="n">
        <f aca="false">AH1164*CB1164</f>
        <v>2.98076923076923</v>
      </c>
      <c r="AJ1164" s="51" t="n">
        <f aca="false">IF(LEFT(Cockpit!$C$5,1)="A",H1164,IF(CH1164=1,(CK1164+CI1164)/2,IF(LEFT(Cockpit!$C$5,1)="B",(CK1164+AL1164)/2,MAX((CK1164+AL1164)/2,H1164))))</f>
        <v>77</v>
      </c>
      <c r="AK1164" s="50" t="n">
        <f aca="false">AJ1164*G1164</f>
        <v>2008.93</v>
      </c>
      <c r="AL1164" s="50" t="n">
        <f aca="false">ROUNDUP(CK1164+MAX(CL1164,2*(J1164/IF(CG1164&gt;0,CG1164,MAX(0.1,N(Cockpit!$C$6)))-CK1164)),0)</f>
        <v>11</v>
      </c>
      <c r="AM1164" s="51" t="n">
        <f aca="false">IF(AI1164&gt;0,J1164/AI1164,-1)</f>
        <v>4.0258064516129</v>
      </c>
      <c r="AN1164" s="51" t="n">
        <f aca="false">IF(AND(OR(CF1164="L1",CF1164="L23",CF1164="LIFT"),AI1164&gt;0),SUMIFS($AI$7:$AI$1843,$CF$7:$CF$1843,CF1164,$AM$7:$AM$1843,"&gt;"&amp;AM1164)+SUMIFS($AI$7:$AI$1843,$CF$7:$CF$1843,CF1164,$AM$7:$AM$1843,AM1164,$BW$7:$BW$1843,"&lt;="&amp;BW1164),"")</f>
        <v>4364.65064102564</v>
      </c>
      <c r="AO1164" s="58" t="n">
        <f aca="false">IF(AN1164="",0,MAX(0,MIN(1,(IF(CF1164="L1",Parameter!$H$5,IF(CF1164="L23",Parameter!$H$6+Parameter!$H$7,Parameter!$H$5+Parameter!$H$6+Parameter!$H$7))-(AN1164-AI1164))/AI1164)))</f>
        <v>1</v>
      </c>
      <c r="AP1164" s="50" t="n">
        <f aca="false">IF(LEFT(Cockpit!$I$5,1)="A",H1164,IF(Parameter!$E$30="MAX-Bestand",IF(CH1164=1,CI1164,IF(LEFT(Cockpit!$I$5,1)="B",AV1164,MAX(AV1164,H1164))),ROUNDUP(AT1164,0)))</f>
        <v>77</v>
      </c>
      <c r="AQ1164" s="50" t="n">
        <f aca="false">IF(BZ1164=1,0,ROUNDUP(AP1164/BY1164,0))</f>
        <v>1</v>
      </c>
      <c r="AR1164" s="52" t="n">
        <f aca="false">IF(CQ1164&gt;0,CQ1164*MAX(1,AP1164/X1164),IF(BZ1164=1,IF(AP1164&lt;=0,0,CD1164*MAX(1,IF(H1164&gt;0,AP1164/H1164,1))),IF(R1164&gt;0,AQ1164/R1164,0))/MAX(0.1,N(Parameter!$M$21)))</f>
        <v>0.0192307692307692</v>
      </c>
      <c r="AS1164" s="50" t="n">
        <f aca="false">AR1164*CB1164</f>
        <v>2.98076923076923</v>
      </c>
      <c r="AT1164" s="51" t="n">
        <f aca="false">IF(LEFT(Cockpit!$I$5,1)="A",H1164,IF(CH1164=1,(CK1164+CI1164)/2,IF(LEFT(Cockpit!$I$5,1)="B",(CK1164+AV1164)/2,MAX((CK1164+AV1164)/2,H1164))))</f>
        <v>77</v>
      </c>
      <c r="AU1164" s="50" t="n">
        <f aca="false">AT1164*G1164</f>
        <v>2008.93</v>
      </c>
      <c r="AV1164" s="50" t="n">
        <f aca="false">ROUNDUP(CK1164+MAX(CL1164,2*(J1164/IF(CG1164&gt;0,CG1164,MAX(0.1,N(Cockpit!$I$6)))-CK1164)),0)</f>
        <v>11</v>
      </c>
      <c r="AW1164" s="51" t="n">
        <f aca="false">IF(AS1164&gt;0,J1164/AS1164,-1)</f>
        <v>4.0258064516129</v>
      </c>
      <c r="AX1164" s="51" t="n">
        <f aca="false">IF(AND(OR(CF1164="L1",CF1164="L23",CF1164="LIFT"),AS1164&gt;0),SUMIFS($AS$7:$AS$1843,$CF$7:$CF$1843,CF1164,$AW$7:$AW$1843,"&gt;"&amp;AW1164)+SUMIFS($AS$7:$AS$1843,$CF$7:$CF$1843,CF1164,$AW$7:$AW$1843,AW1164,$BW$7:$BW$1843,"&lt;="&amp;BW1164),"")</f>
        <v>4973.64789377289</v>
      </c>
      <c r="AY1164" s="58" t="n">
        <f aca="false">IF(AX1164="",0,MAX(0,MIN(1,(IF(CF1164="L1",Parameter!$H$5,IF(CF1164="L23",Parameter!$H$6+Parameter!$H$7,Parameter!$H$5+Parameter!$H$6+Parameter!$H$7))-(AX1164-AS1164))/AS1164)))</f>
        <v>1</v>
      </c>
      <c r="AZ1164" s="50" t="n">
        <f aca="false">IF(LEFT(Cockpit!$O$5,1)="A",H1164,IF(Parameter!$E$30="MAX-Bestand",IF(CH1164=1,CI1164,IF(LEFT(Cockpit!$O$5,1)="B",BF1164,MAX(BF1164,H1164))),ROUNDUP(BD1164,0)))</f>
        <v>6</v>
      </c>
      <c r="BA1164" s="50" t="n">
        <f aca="false">IF(BZ1164=1,0,ROUNDUP(AZ1164/BY1164,0))</f>
        <v>1</v>
      </c>
      <c r="BB1164" s="52" t="n">
        <f aca="false">IF(CQ1164&gt;0,CQ1164*MAX(1,AZ1164/X1164),IF(BZ1164=1,IF(AZ1164&lt;=0,0,CD1164*MAX(1,IF(H1164&gt;0,AZ1164/H1164,1))),IF(R1164&gt;0,BA1164/R1164,0))/MAX(0.1,N(Parameter!$M$21)))</f>
        <v>0.0192307692307692</v>
      </c>
      <c r="BC1164" s="50" t="n">
        <f aca="false">BB1164*CB1164</f>
        <v>2.98076923076923</v>
      </c>
      <c r="BD1164" s="51" t="n">
        <f aca="false">IF(LEFT(Cockpit!$O$5,1)="A",H1164,IF(CH1164=1,(CK1164+CI1164)/2,IF(LEFT(Cockpit!$O$5,1)="B",(CK1164+BF1164)/2,MAX((CK1164+BF1164)/2,H1164))))</f>
        <v>6</v>
      </c>
      <c r="BE1164" s="50" t="n">
        <f aca="false">BD1164*G1164</f>
        <v>156.54</v>
      </c>
      <c r="BF1164" s="50" t="n">
        <f aca="false">ROUNDUP(CK1164+MAX(CL1164,2*(J1164/IF(CG1164&gt;0,CG1164,MAX(0.1,N(Cockpit!$O$6)))-CK1164)),0)</f>
        <v>11</v>
      </c>
      <c r="BG1164" s="51" t="n">
        <f aca="false">IF(BC1164&gt;0,J1164/BC1164,-1)</f>
        <v>4.0258064516129</v>
      </c>
      <c r="BH1164" s="51" t="n">
        <f aca="false">IF(AND(OR(CF1164="L1",CF1164="L23",CF1164="LIFT"),BC1164&gt;0),SUMIFS($BC$7:$BC$1843,$CF$7:$CF$1843,CF1164,$BG$7:$BG$1843,"&gt;"&amp;BG1164)+SUMIFS($BC$7:$BC$1843,$CF$7:$CF$1843,CF1164,$BG$7:$BG$1843,BG1164,$BW$7:$BW$1843,"&lt;="&amp;BW1164),"")</f>
        <v>4091.21840659341</v>
      </c>
      <c r="BI1164" s="58" t="n">
        <f aca="false">IF(BH1164="",0,MAX(0,MIN(1,(IF(CF1164="L1",Parameter!$H$5,IF(CF1164="L23",Parameter!$H$6+Parameter!$H$7,Parameter!$H$5+Parameter!$H$6+Parameter!$H$7))-(BH1164-BC1164))/BC1164)))</f>
        <v>1</v>
      </c>
      <c r="BJ1164" s="48" t="str">
        <f aca="false">IF(AI1164&lt;=0,"",IF(CF1164="Aussen","Aussenlager",IF(CF1164="-","Nicht im Lift",IF(AO1164&gt;=1,"Lift",IF(AO1164&lt;=0,"Aussenlager","teilweise")))))</f>
        <v>Lift</v>
      </c>
      <c r="BK1164" s="48" t="str">
        <f aca="false">IF(AS1164&lt;=0,"",IF(CF1164="Aussen","Aussenlager",IF(CF1164="-","Nicht im Lift",IF(AY1164&gt;=1,"Lift",IF(AY1164&lt;=0,"Aussenlager","teilweise")))))</f>
        <v>Lift</v>
      </c>
      <c r="BL1164" s="48" t="str">
        <f aca="false">IF(BC1164&lt;=0,"",IF(CF1164="Aussen","Aussenlager",IF(CF1164="-","Nicht im Lift",IF(BI1164&gt;=1,"Lift",IF(BI1164&lt;=0,"Aussenlager","teilweise")))))</f>
        <v>Lift</v>
      </c>
      <c r="BM1164" s="48" t="str">
        <f aca="false">IF(A1164="","",IF(BV1164=1,"Neu; ","")&amp;IF(AND(BV1164=0,BQ1164&lt;0),"negativer Bestand (Export "&amp;BQ1164&amp;"); ","")&amp;IF(J1164&lt;=0,"Kein Verbrauch; ","")&amp;IF(CQ1164&gt;0,"Lift "&amp;W1164&amp;" lt. Liftbericht (Fach "&amp;X1164&amp;" Stk); ",IF(CA1164=1,"Gebinde geschätzt ("&amp;T1164&amp;"); ",IF(BZ1164=1,"Lose – Tablare geschätzt; ","")))&amp;IF(H1164&gt;AV1164,"Überbestand "&amp;ROUND(H1164-AV1164,0)&amp;" Stk / CHF "&amp;ROUND((H1164-AV1164)*G1164,0)&amp;"; ","")&amp;IF(AND(CH1164=1,CI1164&lt;CJ1164),"MAX &lt; MB+LG; ","")&amp;IF(AND(CP1164&gt;0,CO1164*10&gt;CP1164),"zu hoch für Tablar; ","")&amp;IF(AND(BV1164=0,OR(CH1164=1,AA1164&lt;&gt;"",U1164&lt;&gt;"",V1164&lt;&gt;"",AB1164&lt;&gt;"")),"manuell übersteuert; ","")&amp;IF(AND(BZ1164=0,R1164=0),"Gebinde unbekannt / Stellmass fehlt; ","")&amp;IF(AND(BZ1164=0,N(V1164)&lt;=0,N(Q1164)&lt;=0),"Menge pro Gebinde fehlt (Ist = 1 Gebinde); ","")&amp;BU1164)</f>
        <v>negativer Bestand (Export -13); Überbestand 66 Stk / CHF 1722; Twin</v>
      </c>
      <c r="BN1164" s="48"/>
      <c r="BO1164" s="48"/>
      <c r="BP1164" s="55"/>
      <c r="BQ1164" s="50" t="n">
        <v>-13</v>
      </c>
      <c r="BR1164" s="50" t="n">
        <v>90</v>
      </c>
      <c r="BS1164" s="49" t="n">
        <v>-339.17</v>
      </c>
      <c r="BT1164" s="50" t="n">
        <v>12</v>
      </c>
      <c r="BU1164" s="48" t="s">
        <v>223</v>
      </c>
      <c r="BV1164" s="53" t="n">
        <v>0</v>
      </c>
      <c r="BW1164" s="53" t="n">
        <v>1164</v>
      </c>
      <c r="BX1164" s="48" t="str">
        <f aca="false">IF(U1164&lt;&gt;"",UPPER(TRIM(U1164)),IF(CA1164=1,UPPER(VLOOKUP(T1164,Parameter!$I$27:$K$29,2,0)),IF(P1164="","LOSE",P1164)))</f>
        <v>S41</v>
      </c>
      <c r="BY1164" s="50" t="n">
        <f aca="false">IF(BX1164="LOSE",1,IF(N(V1164)&gt;0,V1164,IF(CA1164=1,MAX(1,N(VLOOKUP(T1164,Parameter!$I$27:$K$29,3,0)),H1164,N(N1164)),IF(N(Q1164)&gt;0,Q1164,MAX(1,H1164)))))</f>
        <v>113</v>
      </c>
      <c r="BZ1164" s="53" t="n">
        <f aca="false">IF(BX1164="LOSE",1,0)</f>
        <v>0</v>
      </c>
      <c r="CA1164" s="53" t="n">
        <f aca="false">IF(AND(U1164="",OR(P1164="",P1164="LOSE"),T1164&lt;&gt;"",N(S1164)&lt;=0,ISNUMBER(MATCH(T1164,Parameter!$I$27:$I$29,0))),1,0)</f>
        <v>0</v>
      </c>
      <c r="CB1164" s="53" t="n">
        <f aca="false">IF(CQ1164&gt;0,INDEX(Parameter!$H$5:$H$7,W1164)/INDEX(Parameter!$E$5:$E$7,W1164),IF(AND(BZ1164=0,N(IFERROR(VLOOKUP(BX1164,'Gebinde-Kategorie'!$A$5:$N$45,14,0),0))&gt;0),VLOOKUP(BX1164,'Gebinde-Kategorie'!$A$5:$N$45,14,0)*10+Parameter!$M$23,Parameter!$M$24))</f>
        <v>155</v>
      </c>
      <c r="CC1164" s="48" t="str">
        <f aca="false">IF(AND(Parameter!$B$19="Ja",E1164&lt;&gt;"",ISNUMBER(MATCH(E1164,Parameter!$I$35:$I$52,0))),VLOOKUP(E1164,Parameter!$I$35:$J$52,2,0),IFERROR(VLOOKUP(D1164,Parameter!$A$35:$C$64,2,0),"Nein"))</f>
        <v>2+3</v>
      </c>
      <c r="CD1164" s="52" t="n">
        <f aca="false">IF(BZ1164=0,0,IF(N(S1164)&gt;0,S1164,IFERROR(VLOOKUP(D1164,Parameter!$A$35:$C$64,3,0)+0,0)))</f>
        <v>0</v>
      </c>
      <c r="CE1164" s="48" t="n">
        <f aca="false">IF(AA1164&lt;&gt;"",AA1164,Z1164)</f>
        <v>3</v>
      </c>
      <c r="CF1164" s="48" t="str">
        <f aca="false">IF(OR(CE1164=1,CE1164=2,CE1164=3),IF(Parameter!$E$27="Ja","LIFT",IF(CE1164=1,"L1","L23")),IF(CE1164="Aussen","Aussen","-"))</f>
        <v>LIFT</v>
      </c>
      <c r="CG1164" s="59" t="n">
        <f aca="false">IF(N(AB1164)&gt;0,AB1164,0)</f>
        <v>0</v>
      </c>
      <c r="CH1164" s="53" t="n">
        <f aca="false">IF(ISNUMBER(AE1164),1,0)</f>
        <v>0</v>
      </c>
      <c r="CI1164" s="50" t="n">
        <f aca="false">N(AE1164)</f>
        <v>0</v>
      </c>
      <c r="CJ1164" s="50" t="n">
        <f aca="false">N(M1164)+N(N1164)</f>
        <v>11</v>
      </c>
      <c r="CK1164" s="50" t="n">
        <f aca="false">N(M1164)</f>
        <v>1</v>
      </c>
      <c r="CL1164" s="50" t="n">
        <f aca="false">N(N1164)</f>
        <v>10</v>
      </c>
      <c r="CM1164" s="50" t="n">
        <f aca="false">ROUNDUP(H1164/BY1164,0)</f>
        <v>1</v>
      </c>
      <c r="CN1164" s="50" t="n">
        <f aca="false">ROUNDUP(CI1164/BY1164,0)</f>
        <v>0</v>
      </c>
      <c r="CO1164" s="53" t="n">
        <f aca="false">IF(BZ1164=1,0,IFERROR(VLOOKUP(BX1164,'Gebinde-Kategorie'!$A$5:$N$45,5,0)+0,0))</f>
        <v>11</v>
      </c>
      <c r="CP1164" s="53" t="n">
        <f aca="false">IFERROR(IF(OR(CE1164=1,CE1164=2,CE1164=3),N(INDEX(Parameter!$I$5:$I$7,CE1164)),0),0)</f>
        <v>0</v>
      </c>
      <c r="CQ1164" s="52" t="n">
        <f aca="false">IF(AND(Parameter!$B$21="Ja",ISNUMBER(W1164),N(X1164)&gt;0),IFERROR(N(INDEX(Parameter!$L$5:$L$7,W1164))*INDEX(Parameter!$E$5:$E$7,W1164)*X1164/SUMIFS($X$7:$X$1843,$W$7:$W$1843,W1164),0),0)</f>
        <v>0</v>
      </c>
    </row>
    <row r="1165" customFormat="false" ht="15" hidden="false" customHeight="false" outlineLevel="0" collapsed="false">
      <c r="A1165" s="48" t="s">
        <v>2109</v>
      </c>
      <c r="B1165" s="48" t="s">
        <v>1957</v>
      </c>
      <c r="C1165" s="48" t="s">
        <v>465</v>
      </c>
      <c r="D1165" s="48" t="s">
        <v>193</v>
      </c>
      <c r="E1165" s="48"/>
      <c r="F1165" s="48" t="s">
        <v>227</v>
      </c>
      <c r="G1165" s="49" t="n">
        <v>42.75</v>
      </c>
      <c r="H1165" s="50" t="n">
        <f aca="false">MAX(0,IF(AND(Parameter!$B$21="Ja",ISNUMBER(Y1165)),Y1165,IF(Parameter!$B$20="Jahresanfang 2025 + Export",BR1165+BQ1165,BQ1165)))</f>
        <v>8</v>
      </c>
      <c r="I1165" s="50" t="n">
        <f aca="false">H1165*G1165</f>
        <v>342</v>
      </c>
      <c r="J1165" s="50" t="n">
        <f aca="false">BT1165*Parameter!$B$18</f>
        <v>8</v>
      </c>
      <c r="K1165" s="51" t="n">
        <v>8</v>
      </c>
      <c r="L1165" s="52" t="n">
        <v>1</v>
      </c>
      <c r="M1165" s="50" t="n">
        <v>0</v>
      </c>
      <c r="N1165" s="50" t="n">
        <v>10</v>
      </c>
      <c r="O1165" s="53" t="n">
        <v>21</v>
      </c>
      <c r="P1165" s="48" t="s">
        <v>177</v>
      </c>
      <c r="Q1165" s="50"/>
      <c r="R1165" s="53" t="n">
        <f aca="false">IF(BZ1165=1,0,IFERROR(VLOOKUP(BX1165,'Gebinde-Kategorie'!$A$5:$N$45,13,0)+0,0))</f>
        <v>4</v>
      </c>
      <c r="S1165" s="54"/>
      <c r="T1165" s="55" t="s">
        <v>198</v>
      </c>
      <c r="U1165" s="55"/>
      <c r="V1165" s="55"/>
      <c r="W1165" s="48"/>
      <c r="X1165" s="50"/>
      <c r="Y1165" s="50"/>
      <c r="Z1165" s="48" t="n">
        <f aca="false">IF(A1165="","",IF(AND(Parameter!$B$21="Ja",ISNUMBER(W1165)),W1165,IF(CC1165="2+3",IF(ISNUMBER(SEARCH("grosser Artikel",BU1165)),2,IFERROR(VLOOKUP(BX1165,Parameter!$F$35:$G$64,2,0),2)),IF(OR(CC1165="Nein",CC1165=""),"-",CC1165))))</f>
        <v>2</v>
      </c>
      <c r="AA1165" s="55"/>
      <c r="AB1165" s="56"/>
      <c r="AC1165" s="50" t="n">
        <f aca="false">AV1165</f>
        <v>10</v>
      </c>
      <c r="AD1165" s="50" t="n">
        <f aca="false">MAX(AV1165,H1165)</f>
        <v>10</v>
      </c>
      <c r="AE1165" s="57"/>
      <c r="AF1165" s="50" t="n">
        <f aca="false">IF(LEFT(Cockpit!$C$5,1)="A",H1165,IF(Parameter!$E$30="MAX-Bestand",IF(CH1165=1,CI1165,IF(LEFT(Cockpit!$C$5,1)="B",AL1165,MAX(AL1165,H1165))),ROUNDUP(AJ1165,0)))</f>
        <v>8</v>
      </c>
      <c r="AG1165" s="50" t="n">
        <f aca="false">IF(BZ1165=1,0,ROUNDUP(AF1165/BY1165,0))</f>
        <v>1</v>
      </c>
      <c r="AH1165" s="52" t="n">
        <f aca="false">IF(CQ1165&gt;0,CQ1165*MAX(1,AF1165/X1165),IF(BZ1165=1,IF(AF1165&lt;=0,0,CD1165*MAX(1,IF(H1165&gt;0,AF1165/H1165,1))),IF(R1165&gt;0,AG1165/R1165,0))/MAX(0.1,N(Parameter!$M$21)))</f>
        <v>0.25</v>
      </c>
      <c r="AI1165" s="50" t="n">
        <f aca="false">AH1165*CB1165</f>
        <v>58.75</v>
      </c>
      <c r="AJ1165" s="51" t="n">
        <f aca="false">IF(LEFT(Cockpit!$C$5,1)="A",H1165,IF(CH1165=1,(CK1165+CI1165)/2,IF(LEFT(Cockpit!$C$5,1)="B",(CK1165+AL1165)/2,MAX((CK1165+AL1165)/2,H1165))))</f>
        <v>8</v>
      </c>
      <c r="AK1165" s="50" t="n">
        <f aca="false">AJ1165*G1165</f>
        <v>342</v>
      </c>
      <c r="AL1165" s="50" t="n">
        <f aca="false">ROUNDUP(CK1165+MAX(CL1165,2*(J1165/IF(CG1165&gt;0,CG1165,MAX(0.1,N(Cockpit!$C$6)))-CK1165)),0)</f>
        <v>10</v>
      </c>
      <c r="AM1165" s="51" t="n">
        <f aca="false">IF(AI1165&gt;0,J1165/AI1165,-1)</f>
        <v>0.136170212765957</v>
      </c>
      <c r="AN1165" s="51" t="n">
        <f aca="false">IF(AND(OR(CF1165="L1",CF1165="L23",CF1165="LIFT"),AI1165&gt;0),SUMIFS($AI$7:$AI$1843,$CF$7:$CF$1843,CF1165,$AM$7:$AM$1843,"&gt;"&amp;AM1165)+SUMIFS($AI$7:$AI$1843,$CF$7:$CF$1843,CF1165,$AM$7:$AM$1843,AM1165,$BW$7:$BW$1843,"&lt;="&amp;BW1165),"")</f>
        <v>13329.092695205</v>
      </c>
      <c r="AO1165" s="58" t="n">
        <f aca="false">IF(AN1165="",0,MAX(0,MIN(1,(IF(CF1165="L1",Parameter!$H$5,IF(CF1165="L23",Parameter!$H$6+Parameter!$H$7,Parameter!$H$5+Parameter!$H$6+Parameter!$H$7))-(AN1165-AI1165))/AI1165)))</f>
        <v>1</v>
      </c>
      <c r="AP1165" s="50" t="n">
        <f aca="false">IF(LEFT(Cockpit!$I$5,1)="A",H1165,IF(Parameter!$E$30="MAX-Bestand",IF(CH1165=1,CI1165,IF(LEFT(Cockpit!$I$5,1)="B",AV1165,MAX(AV1165,H1165))),ROUNDUP(AT1165,0)))</f>
        <v>8</v>
      </c>
      <c r="AQ1165" s="50" t="n">
        <f aca="false">IF(BZ1165=1,0,ROUNDUP(AP1165/BY1165,0))</f>
        <v>1</v>
      </c>
      <c r="AR1165" s="52" t="n">
        <f aca="false">IF(CQ1165&gt;0,CQ1165*MAX(1,AP1165/X1165),IF(BZ1165=1,IF(AP1165&lt;=0,0,CD1165*MAX(1,IF(H1165&gt;0,AP1165/H1165,1))),IF(R1165&gt;0,AQ1165/R1165,0))/MAX(0.1,N(Parameter!$M$21)))</f>
        <v>0.25</v>
      </c>
      <c r="AS1165" s="50" t="n">
        <f aca="false">AR1165*CB1165</f>
        <v>58.75</v>
      </c>
      <c r="AT1165" s="51" t="n">
        <f aca="false">IF(LEFT(Cockpit!$I$5,1)="A",H1165,IF(CH1165=1,(CK1165+CI1165)/2,IF(LEFT(Cockpit!$I$5,1)="B",(CK1165+AV1165)/2,MAX((CK1165+AV1165)/2,H1165))))</f>
        <v>8</v>
      </c>
      <c r="AU1165" s="50" t="n">
        <f aca="false">AT1165*G1165</f>
        <v>342</v>
      </c>
      <c r="AV1165" s="50" t="n">
        <f aca="false">ROUNDUP(CK1165+MAX(CL1165,2*(J1165/IF(CG1165&gt;0,CG1165,MAX(0.1,N(Cockpit!$I$6)))-CK1165)),0)</f>
        <v>10</v>
      </c>
      <c r="AW1165" s="51" t="n">
        <f aca="false">IF(AS1165&gt;0,J1165/AS1165,-1)</f>
        <v>0.136170212765957</v>
      </c>
      <c r="AX1165" s="51" t="n">
        <f aca="false">IF(AND(OR(CF1165="L1",CF1165="L23",CF1165="LIFT"),AS1165&gt;0),SUMIFS($AS$7:$AS$1843,$CF$7:$CF$1843,CF1165,$AW$7:$AW$1843,"&gt;"&amp;AW1165)+SUMIFS($AS$7:$AS$1843,$CF$7:$CF$1843,CF1165,$AW$7:$AW$1843,AW1165,$BW$7:$BW$1843,"&lt;="&amp;BW1165),"")</f>
        <v>17353.4913365824</v>
      </c>
      <c r="AY1165" s="58" t="n">
        <f aca="false">IF(AX1165="",0,MAX(0,MIN(1,(IF(CF1165="L1",Parameter!$H$5,IF(CF1165="L23",Parameter!$H$6+Parameter!$H$7,Parameter!$H$5+Parameter!$H$6+Parameter!$H$7))-(AX1165-AS1165))/AS1165)))</f>
        <v>1</v>
      </c>
      <c r="AZ1165" s="50" t="n">
        <f aca="false">IF(LEFT(Cockpit!$O$5,1)="A",H1165,IF(Parameter!$E$30="MAX-Bestand",IF(CH1165=1,CI1165,IF(LEFT(Cockpit!$O$5,1)="B",BF1165,MAX(BF1165,H1165))),ROUNDUP(BD1165,0)))</f>
        <v>5</v>
      </c>
      <c r="BA1165" s="50" t="n">
        <f aca="false">IF(BZ1165=1,0,ROUNDUP(AZ1165/BY1165,0))</f>
        <v>1</v>
      </c>
      <c r="BB1165" s="52" t="n">
        <f aca="false">IF(CQ1165&gt;0,CQ1165*MAX(1,AZ1165/X1165),IF(BZ1165=1,IF(AZ1165&lt;=0,0,CD1165*MAX(1,IF(H1165&gt;0,AZ1165/H1165,1))),IF(R1165&gt;0,BA1165/R1165,0))/MAX(0.1,N(Parameter!$M$21)))</f>
        <v>0.25</v>
      </c>
      <c r="BC1165" s="50" t="n">
        <f aca="false">BB1165*CB1165</f>
        <v>58.75</v>
      </c>
      <c r="BD1165" s="51" t="n">
        <f aca="false">IF(LEFT(Cockpit!$O$5,1)="A",H1165,IF(CH1165=1,(CK1165+CI1165)/2,IF(LEFT(Cockpit!$O$5,1)="B",(CK1165+BF1165)/2,MAX((CK1165+BF1165)/2,H1165))))</f>
        <v>5</v>
      </c>
      <c r="BE1165" s="50" t="n">
        <f aca="false">BD1165*G1165</f>
        <v>213.75</v>
      </c>
      <c r="BF1165" s="50" t="n">
        <f aca="false">ROUNDUP(CK1165+MAX(CL1165,2*(J1165/IF(CG1165&gt;0,CG1165,MAX(0.1,N(Cockpit!$O$6)))-CK1165)),0)</f>
        <v>10</v>
      </c>
      <c r="BG1165" s="51" t="n">
        <f aca="false">IF(BC1165&gt;0,J1165/BC1165,-1)</f>
        <v>0.136170212765957</v>
      </c>
      <c r="BH1165" s="51" t="n">
        <f aca="false">IF(AND(OR(CF1165="L1",CF1165="L23",CF1165="LIFT"),BC1165&gt;0),SUMIFS($BC$7:$BC$1843,$CF$7:$CF$1843,CF1165,$BG$7:$BG$1843,"&gt;"&amp;BG1165)+SUMIFS($BC$7:$BC$1843,$CF$7:$CF$1843,CF1165,$BG$7:$BG$1843,BG1165,$BW$7:$BW$1843,"&lt;="&amp;BW1165),"")</f>
        <v>14567.2206157778</v>
      </c>
      <c r="BI1165" s="58" t="n">
        <f aca="false">IF(BH1165="",0,MAX(0,MIN(1,(IF(CF1165="L1",Parameter!$H$5,IF(CF1165="L23",Parameter!$H$6+Parameter!$H$7,Parameter!$H$5+Parameter!$H$6+Parameter!$H$7))-(BH1165-BC1165))/BC1165)))</f>
        <v>1</v>
      </c>
      <c r="BJ1165" s="48" t="str">
        <f aca="false">IF(AI1165&lt;=0,"",IF(CF1165="Aussen","Aussenlager",IF(CF1165="-","Nicht im Lift",IF(AO1165&gt;=1,"Lift",IF(AO1165&lt;=0,"Aussenlager","teilweise")))))</f>
        <v>Lift</v>
      </c>
      <c r="BK1165" s="48" t="str">
        <f aca="false">IF(AS1165&lt;=0,"",IF(CF1165="Aussen","Aussenlager",IF(CF1165="-","Nicht im Lift",IF(AY1165&gt;=1,"Lift",IF(AY1165&lt;=0,"Aussenlager","teilweise")))))</f>
        <v>Lift</v>
      </c>
      <c r="BL1165" s="48" t="str">
        <f aca="false">IF(BC1165&lt;=0,"",IF(CF1165="Aussen","Aussenlager",IF(CF1165="-","Nicht im Lift",IF(BI1165&gt;=1,"Lift",IF(BI1165&lt;=0,"Aussenlager","teilweise")))))</f>
        <v>Lift</v>
      </c>
      <c r="BM1165" s="48" t="str">
        <f aca="false">IF(A1165="","",IF(BV1165=1,"Neu; ","")&amp;IF(AND(BV1165=0,BQ1165&lt;0),"negativer Bestand (Export "&amp;BQ1165&amp;"); ","")&amp;IF(J1165&lt;=0,"Kein Verbrauch; ","")&amp;IF(CQ1165&gt;0,"Lift "&amp;W1165&amp;" lt. Liftbericht (Fach "&amp;X1165&amp;" Stk); ",IF(CA1165=1,"Gebinde geschätzt ("&amp;T1165&amp;"); ",IF(BZ1165=1,"Lose – Tablare geschätzt; ","")))&amp;IF(H1165&gt;AV1165,"Überbestand "&amp;ROUND(H1165-AV1165,0)&amp;" Stk / CHF "&amp;ROUND((H1165-AV1165)*G1165,0)&amp;"; ","")&amp;IF(AND(CH1165=1,CI1165&lt;CJ1165),"MAX &lt; MB+LG; ","")&amp;IF(AND(CP1165&gt;0,CO1165*10&gt;CP1165),"zu hoch für Tablar; ","")&amp;IF(AND(BV1165=0,OR(CH1165=1,AA1165&lt;&gt;"",U1165&lt;&gt;"",V1165&lt;&gt;"",AB1165&lt;&gt;"")),"manuell übersteuert; ","")&amp;IF(AND(BZ1165=0,R1165=0),"Gebinde unbekannt / Stellmass fehlt; ","")&amp;IF(AND(BZ1165=0,N(V1165)&lt;=0,N(Q1165)&lt;=0),"Menge pro Gebinde fehlt (Ist = 1 Gebinde); ","")&amp;BU1165)</f>
        <v>negativer Bestand (Export -8); Gebinde geschätzt (Gross); Menge pro Gebinde fehlt (Ist = 1 Gebinde); </v>
      </c>
      <c r="BN1165" s="48"/>
      <c r="BO1165" s="48"/>
      <c r="BP1165" s="55"/>
      <c r="BQ1165" s="50" t="n">
        <v>-8</v>
      </c>
      <c r="BR1165" s="50" t="n">
        <v>16</v>
      </c>
      <c r="BS1165" s="49" t="n">
        <v>-342</v>
      </c>
      <c r="BT1165" s="50" t="n">
        <v>8</v>
      </c>
      <c r="BU1165" s="48"/>
      <c r="BV1165" s="53" t="n">
        <v>0</v>
      </c>
      <c r="BW1165" s="53" t="n">
        <v>1165</v>
      </c>
      <c r="BX1165" s="48" t="str">
        <f aca="false">IF(U1165&lt;&gt;"",UPPER(TRIM(U1165)),IF(CA1165=1,UPPER(VLOOKUP(T1165,Parameter!$I$27:$K$29,2,0)),IF(P1165="","LOSE",P1165)))</f>
        <v>S81</v>
      </c>
      <c r="BY1165" s="50" t="n">
        <f aca="false">IF(BX1165="LOSE",1,IF(N(V1165)&gt;0,V1165,IF(CA1165=1,MAX(1,N(VLOOKUP(T1165,Parameter!$I$27:$K$29,3,0)),H1165,N(N1165)),IF(N(Q1165)&gt;0,Q1165,MAX(1,H1165)))))</f>
        <v>10</v>
      </c>
      <c r="BZ1165" s="53" t="n">
        <f aca="false">IF(BX1165="LOSE",1,0)</f>
        <v>0</v>
      </c>
      <c r="CA1165" s="53" t="n">
        <f aca="false">IF(AND(U1165="",OR(P1165="",P1165="LOSE"),T1165&lt;&gt;"",N(S1165)&lt;=0,ISNUMBER(MATCH(T1165,Parameter!$I$27:$I$29,0))),1,0)</f>
        <v>1</v>
      </c>
      <c r="CB1165" s="53" t="n">
        <f aca="false">IF(CQ1165&gt;0,INDEX(Parameter!$H$5:$H$7,W1165)/INDEX(Parameter!$E$5:$E$7,W1165),IF(AND(BZ1165=0,N(IFERROR(VLOOKUP(BX1165,'Gebinde-Kategorie'!$A$5:$N$45,14,0),0))&gt;0),VLOOKUP(BX1165,'Gebinde-Kategorie'!$A$5:$N$45,14,0)*10+Parameter!$M$23,Parameter!$M$24))</f>
        <v>235</v>
      </c>
      <c r="CC1165" s="48" t="str">
        <f aca="false">IF(AND(Parameter!$B$19="Ja",E1165&lt;&gt;"",ISNUMBER(MATCH(E1165,Parameter!$I$35:$I$52,0))),VLOOKUP(E1165,Parameter!$I$35:$J$52,2,0),IFERROR(VLOOKUP(D1165,Parameter!$A$35:$C$64,2,0),"Nein"))</f>
        <v>2+3</v>
      </c>
      <c r="CD1165" s="52" t="n">
        <f aca="false">IF(BZ1165=0,0,IF(N(S1165)&gt;0,S1165,IFERROR(VLOOKUP(D1165,Parameter!$A$35:$C$64,3,0)+0,0)))</f>
        <v>0</v>
      </c>
      <c r="CE1165" s="48" t="n">
        <f aca="false">IF(AA1165&lt;&gt;"",AA1165,Z1165)</f>
        <v>2</v>
      </c>
      <c r="CF1165" s="48" t="str">
        <f aca="false">IF(OR(CE1165=1,CE1165=2,CE1165=3),IF(Parameter!$E$27="Ja","LIFT",IF(CE1165=1,"L1","L23")),IF(CE1165="Aussen","Aussen","-"))</f>
        <v>LIFT</v>
      </c>
      <c r="CG1165" s="59" t="n">
        <f aca="false">IF(N(AB1165)&gt;0,AB1165,0)</f>
        <v>0</v>
      </c>
      <c r="CH1165" s="53" t="n">
        <f aca="false">IF(ISNUMBER(AE1165),1,0)</f>
        <v>0</v>
      </c>
      <c r="CI1165" s="50" t="n">
        <f aca="false">N(AE1165)</f>
        <v>0</v>
      </c>
      <c r="CJ1165" s="50" t="n">
        <f aca="false">N(M1165)+N(N1165)</f>
        <v>10</v>
      </c>
      <c r="CK1165" s="50" t="n">
        <f aca="false">N(M1165)</f>
        <v>0</v>
      </c>
      <c r="CL1165" s="50" t="n">
        <f aca="false">N(N1165)</f>
        <v>10</v>
      </c>
      <c r="CM1165" s="50" t="n">
        <f aca="false">ROUNDUP(H1165/BY1165,0)</f>
        <v>1</v>
      </c>
      <c r="CN1165" s="50" t="n">
        <f aca="false">ROUNDUP(CI1165/BY1165,0)</f>
        <v>0</v>
      </c>
      <c r="CO1165" s="53" t="n">
        <f aca="false">IF(BZ1165=1,0,IFERROR(VLOOKUP(BX1165,'Gebinde-Kategorie'!$A$5:$N$45,5,0)+0,0))</f>
        <v>20</v>
      </c>
      <c r="CP1165" s="53" t="n">
        <f aca="false">IFERROR(IF(OR(CE1165=1,CE1165=2,CE1165=3),N(INDEX(Parameter!$I$5:$I$7,CE1165)),0),0)</f>
        <v>0</v>
      </c>
      <c r="CQ1165" s="52" t="n">
        <f aca="false">IF(AND(Parameter!$B$21="Ja",ISNUMBER(W1165),N(X1165)&gt;0),IFERROR(N(INDEX(Parameter!$L$5:$L$7,W1165))*INDEX(Parameter!$E$5:$E$7,W1165)*X1165/SUMIFS($X$7:$X$1843,$W$7:$W$1843,W1165),0),0)</f>
        <v>0</v>
      </c>
    </row>
    <row r="1166" customFormat="false" ht="15" hidden="false" customHeight="false" outlineLevel="0" collapsed="false">
      <c r="A1166" s="48" t="s">
        <v>2110</v>
      </c>
      <c r="B1166" s="48" t="s">
        <v>471</v>
      </c>
      <c r="C1166" s="48" t="s">
        <v>173</v>
      </c>
      <c r="D1166" s="48" t="s">
        <v>182</v>
      </c>
      <c r="E1166" s="48" t="s">
        <v>175</v>
      </c>
      <c r="F1166" s="48" t="s">
        <v>227</v>
      </c>
      <c r="G1166" s="49" t="n">
        <v>148.21</v>
      </c>
      <c r="H1166" s="50" t="n">
        <f aca="false">MAX(0,IF(AND(Parameter!$B$21="Ja",ISNUMBER(Y1166)),Y1166,IF(Parameter!$B$20="Jahresanfang 2025 + Export",BR1166+BQ1166,BQ1166)))</f>
        <v>5</v>
      </c>
      <c r="I1166" s="50" t="n">
        <f aca="false">H1166*G1166</f>
        <v>741.05</v>
      </c>
      <c r="J1166" s="50" t="n">
        <f aca="false">BT1166*Parameter!$B$18</f>
        <v>29</v>
      </c>
      <c r="K1166" s="51" t="n">
        <v>14.5</v>
      </c>
      <c r="L1166" s="52" t="n">
        <v>2</v>
      </c>
      <c r="M1166" s="50" t="n">
        <v>2</v>
      </c>
      <c r="N1166" s="50" t="n">
        <v>20</v>
      </c>
      <c r="O1166" s="53" t="n">
        <v>28</v>
      </c>
      <c r="P1166" s="48" t="s">
        <v>177</v>
      </c>
      <c r="Q1166" s="50"/>
      <c r="R1166" s="53" t="n">
        <f aca="false">IF(BZ1166=1,0,IFERROR(VLOOKUP(BX1166,'Gebinde-Kategorie'!$A$5:$N$45,13,0)+0,0))</f>
        <v>0</v>
      </c>
      <c r="S1166" s="54"/>
      <c r="T1166" s="55"/>
      <c r="U1166" s="55"/>
      <c r="V1166" s="55"/>
      <c r="W1166" s="48" t="n">
        <v>1</v>
      </c>
      <c r="X1166" s="50" t="n">
        <v>14</v>
      </c>
      <c r="Y1166" s="50" t="n">
        <v>5</v>
      </c>
      <c r="Z1166" s="48" t="n">
        <f aca="false">IF(A1166="","",IF(AND(Parameter!$B$21="Ja",ISNUMBER(W1166)),W1166,IF(CC1166="2+3",IF(ISNUMBER(SEARCH("grosser Artikel",BU1166)),2,IFERROR(VLOOKUP(BX1166,Parameter!$F$35:$G$64,2,0),2)),IF(OR(CC1166="Nein",CC1166=""),"-",CC1166))))</f>
        <v>1</v>
      </c>
      <c r="AA1166" s="55"/>
      <c r="AB1166" s="56"/>
      <c r="AC1166" s="50" t="n">
        <f aca="false">AV1166</f>
        <v>22</v>
      </c>
      <c r="AD1166" s="50" t="n">
        <f aca="false">MAX(AV1166,H1166)</f>
        <v>22</v>
      </c>
      <c r="AE1166" s="57"/>
      <c r="AF1166" s="50" t="n">
        <f aca="false">IF(LEFT(Cockpit!$C$5,1)="A",H1166,IF(Parameter!$E$30="MAX-Bestand",IF(CH1166=1,CI1166,IF(LEFT(Cockpit!$C$5,1)="B",AL1166,MAX(AL1166,H1166))),ROUNDUP(AJ1166,0)))</f>
        <v>5</v>
      </c>
      <c r="AG1166" s="50" t="n">
        <f aca="false">IF(BZ1166=1,0,ROUNDUP(AF1166/BY1166,0))</f>
        <v>0</v>
      </c>
      <c r="AH1166" s="52" t="n">
        <f aca="false">IF(CQ1166&gt;0,CQ1166*MAX(1,AF1166/X1166),IF(BZ1166=1,IF(AF1166&lt;=0,0,CD1166*MAX(1,IF(H1166&gt;0,AF1166/H1166,1))),IF(R1166&gt;0,AG1166/R1166,0))/MAX(0.1,N(Parameter!$M$21)))</f>
        <v>1.12052730696798</v>
      </c>
      <c r="AI1166" s="50" t="n">
        <f aca="false">AH1166*CB1166</f>
        <v>266.68549905838</v>
      </c>
      <c r="AJ1166" s="51" t="n">
        <f aca="false">IF(LEFT(Cockpit!$C$5,1)="A",H1166,IF(CH1166=1,(CK1166+CI1166)/2,IF(LEFT(Cockpit!$C$5,1)="B",(CK1166+AL1166)/2,MAX((CK1166+AL1166)/2,H1166))))</f>
        <v>5</v>
      </c>
      <c r="AK1166" s="50" t="n">
        <f aca="false">AJ1166*G1166</f>
        <v>741.05</v>
      </c>
      <c r="AL1166" s="50" t="n">
        <f aca="false">ROUNDUP(CK1166+MAX(CL1166,2*(J1166/IF(CG1166&gt;0,CG1166,MAX(0.1,N(Cockpit!$C$6)))-CK1166)),0)</f>
        <v>22</v>
      </c>
      <c r="AM1166" s="51" t="n">
        <f aca="false">IF(AI1166&gt;0,J1166/AI1166,-1)</f>
        <v>0.108742320457595</v>
      </c>
      <c r="AN1166" s="51" t="n">
        <f aca="false">IF(AND(OR(CF1166="L1",CF1166="L23",CF1166="LIFT"),AI1166&gt;0),SUMIFS($AI$7:$AI$1843,$CF$7:$CF$1843,CF1166,$AM$7:$AM$1843,"&gt;"&amp;AM1166)+SUMIFS($AI$7:$AI$1843,$CF$7:$CF$1843,CF1166,$AM$7:$AM$1843,AM1166,$BW$7:$BW$1843,"&lt;="&amp;BW1166),"")</f>
        <v>15295.2297008547</v>
      </c>
      <c r="AO1166" s="58" t="n">
        <f aca="false">IF(AN1166="",0,MAX(0,MIN(1,(IF(CF1166="L1",Parameter!$H$5,IF(CF1166="L23",Parameter!$H$6+Parameter!$H$7,Parameter!$H$5+Parameter!$H$6+Parameter!$H$7))-(AN1166-AI1166))/AI1166)))</f>
        <v>1</v>
      </c>
      <c r="AP1166" s="50" t="n">
        <f aca="false">IF(LEFT(Cockpit!$I$5,1)="A",H1166,IF(Parameter!$E$30="MAX-Bestand",IF(CH1166=1,CI1166,IF(LEFT(Cockpit!$I$5,1)="B",AV1166,MAX(AV1166,H1166))),ROUNDUP(AT1166,0)))</f>
        <v>12</v>
      </c>
      <c r="AQ1166" s="50" t="n">
        <f aca="false">IF(BZ1166=1,0,ROUNDUP(AP1166/BY1166,0))</f>
        <v>0</v>
      </c>
      <c r="AR1166" s="52" t="n">
        <f aca="false">IF(CQ1166&gt;0,CQ1166*MAX(1,AP1166/X1166),IF(BZ1166=1,IF(AP1166&lt;=0,0,CD1166*MAX(1,IF(H1166&gt;0,AP1166/H1166,1))),IF(R1166&gt;0,AQ1166/R1166,0))/MAX(0.1,N(Parameter!$M$21)))</f>
        <v>1.12052730696798</v>
      </c>
      <c r="AS1166" s="50" t="n">
        <f aca="false">AR1166*CB1166</f>
        <v>266.68549905838</v>
      </c>
      <c r="AT1166" s="51" t="n">
        <f aca="false">IF(LEFT(Cockpit!$I$5,1)="A",H1166,IF(CH1166=1,(CK1166+CI1166)/2,IF(LEFT(Cockpit!$I$5,1)="B",(CK1166+AV1166)/2,MAX((CK1166+AV1166)/2,H1166))))</f>
        <v>12</v>
      </c>
      <c r="AU1166" s="50" t="n">
        <f aca="false">AT1166*G1166</f>
        <v>1778.52</v>
      </c>
      <c r="AV1166" s="50" t="n">
        <f aca="false">ROUNDUP(CK1166+MAX(CL1166,2*(J1166/IF(CG1166&gt;0,CG1166,MAX(0.1,N(Cockpit!$I$6)))-CK1166)),0)</f>
        <v>22</v>
      </c>
      <c r="AW1166" s="51" t="n">
        <f aca="false">IF(AS1166&gt;0,J1166/AS1166,-1)</f>
        <v>0.108742320457595</v>
      </c>
      <c r="AX1166" s="51" t="n">
        <f aca="false">IF(AND(OR(CF1166="L1",CF1166="L23",CF1166="LIFT"),AS1166&gt;0),SUMIFS($AS$7:$AS$1843,$CF$7:$CF$1843,CF1166,$AW$7:$AW$1843,"&gt;"&amp;AW1166)+SUMIFS($AS$7:$AS$1843,$CF$7:$CF$1843,CF1166,$AW$7:$AW$1843,AW1166,$BW$7:$BW$1843,"&lt;="&amp;BW1166),"")</f>
        <v>19319.6283422322</v>
      </c>
      <c r="AY1166" s="58" t="n">
        <f aca="false">IF(AX1166="",0,MAX(0,MIN(1,(IF(CF1166="L1",Parameter!$H$5,IF(CF1166="L23",Parameter!$H$6+Parameter!$H$7,Parameter!$H$5+Parameter!$H$6+Parameter!$H$7))-(AX1166-AS1166))/AS1166)))</f>
        <v>1</v>
      </c>
      <c r="AZ1166" s="50" t="n">
        <f aca="false">IF(LEFT(Cockpit!$O$5,1)="A",H1166,IF(Parameter!$E$30="MAX-Bestand",IF(CH1166=1,CI1166,IF(LEFT(Cockpit!$O$5,1)="B",BF1166,MAX(BF1166,H1166))),ROUNDUP(BD1166,0)))</f>
        <v>12</v>
      </c>
      <c r="BA1166" s="50" t="n">
        <f aca="false">IF(BZ1166=1,0,ROUNDUP(AZ1166/BY1166,0))</f>
        <v>0</v>
      </c>
      <c r="BB1166" s="52" t="n">
        <f aca="false">IF(CQ1166&gt;0,CQ1166*MAX(1,AZ1166/X1166),IF(BZ1166=1,IF(AZ1166&lt;=0,0,CD1166*MAX(1,IF(H1166&gt;0,AZ1166/H1166,1))),IF(R1166&gt;0,BA1166/R1166,0))/MAX(0.1,N(Parameter!$M$21)))</f>
        <v>1.12052730696798</v>
      </c>
      <c r="BC1166" s="50" t="n">
        <f aca="false">BB1166*CB1166</f>
        <v>266.68549905838</v>
      </c>
      <c r="BD1166" s="51" t="n">
        <f aca="false">IF(LEFT(Cockpit!$O$5,1)="A",H1166,IF(CH1166=1,(CK1166+CI1166)/2,IF(LEFT(Cockpit!$O$5,1)="B",(CK1166+BF1166)/2,MAX((CK1166+BF1166)/2,H1166))))</f>
        <v>12</v>
      </c>
      <c r="BE1166" s="50" t="n">
        <f aca="false">BD1166*G1166</f>
        <v>1778.52</v>
      </c>
      <c r="BF1166" s="50" t="n">
        <f aca="false">ROUNDUP(CK1166+MAX(CL1166,2*(J1166/IF(CG1166&gt;0,CG1166,MAX(0.1,N(Cockpit!$O$6)))-CK1166)),0)</f>
        <v>22</v>
      </c>
      <c r="BG1166" s="51" t="n">
        <f aca="false">IF(BC1166&gt;0,J1166/BC1166,-1)</f>
        <v>0.108742320457595</v>
      </c>
      <c r="BH1166" s="51" t="n">
        <f aca="false">IF(AND(OR(CF1166="L1",CF1166="L23",CF1166="LIFT"),BC1166&gt;0),SUMIFS($BC$7:$BC$1843,$CF$7:$CF$1843,CF1166,$BG$7:$BG$1843,"&gt;"&amp;BG1166)+SUMIFS($BC$7:$BC$1843,$CF$7:$CF$1843,CF1166,$BG$7:$BG$1843,BG1166,$BW$7:$BW$1843,"&lt;="&amp;BW1166),"")</f>
        <v>16920.4409547609</v>
      </c>
      <c r="BI1166" s="58" t="n">
        <f aca="false">IF(BH1166="",0,MAX(0,MIN(1,(IF(CF1166="L1",Parameter!$H$5,IF(CF1166="L23",Parameter!$H$6+Parameter!$H$7,Parameter!$H$5+Parameter!$H$6+Parameter!$H$7))-(BH1166-BC1166))/BC1166)))</f>
        <v>1</v>
      </c>
      <c r="BJ1166" s="48" t="str">
        <f aca="false">IF(AI1166&lt;=0,"",IF(CF1166="Aussen","Aussenlager",IF(CF1166="-","Nicht im Lift",IF(AO1166&gt;=1,"Lift",IF(AO1166&lt;=0,"Aussenlager","teilweise")))))</f>
        <v>Lift</v>
      </c>
      <c r="BK1166" s="48" t="str">
        <f aca="false">IF(AS1166&lt;=0,"",IF(CF1166="Aussen","Aussenlager",IF(CF1166="-","Nicht im Lift",IF(AY1166&gt;=1,"Lift",IF(AY1166&lt;=0,"Aussenlager","teilweise")))))</f>
        <v>Lift</v>
      </c>
      <c r="BL1166" s="48" t="str">
        <f aca="false">IF(BC1166&lt;=0,"",IF(CF1166="Aussen","Aussenlager",IF(CF1166="-","Nicht im Lift",IF(BI1166&gt;=1,"Lift",IF(BI1166&lt;=0,"Aussenlager","teilweise")))))</f>
        <v>Lift</v>
      </c>
      <c r="BM1166" s="48" t="str">
        <f aca="false">IF(A1166="","",IF(BV1166=1,"Neu; ","")&amp;IF(AND(BV1166=0,BQ1166&lt;0),"negativer Bestand (Export "&amp;BQ1166&amp;"); ","")&amp;IF(J1166&lt;=0,"Kein Verbrauch; ","")&amp;IF(CQ1166&gt;0,"Lift "&amp;W1166&amp;" lt. Liftbericht (Fach "&amp;X1166&amp;" Stk); ",IF(CA1166=1,"Gebinde geschätzt ("&amp;T1166&amp;"); ",IF(BZ1166=1,"Lose – Tablare geschätzt; ","")))&amp;IF(H1166&gt;AV1166,"Überbestand "&amp;ROUND(H1166-AV1166,0)&amp;" Stk / CHF "&amp;ROUND((H1166-AV1166)*G1166,0)&amp;"; ","")&amp;IF(AND(CH1166=1,CI1166&lt;CJ1166),"MAX &lt; MB+LG; ","")&amp;IF(AND(CP1166&gt;0,CO1166*10&gt;CP1166),"zu hoch für Tablar; ","")&amp;IF(AND(BV1166=0,OR(CH1166=1,AA1166&lt;&gt;"",U1166&lt;&gt;"",V1166&lt;&gt;"",AB1166&lt;&gt;"")),"manuell übersteuert; ","")&amp;IF(AND(BZ1166=0,R1166=0),"Gebinde unbekannt / Stellmass fehlt; ","")&amp;IF(AND(BZ1166=0,N(V1166)&lt;=0,N(Q1166)&lt;=0),"Menge pro Gebinde fehlt (Ist = 1 Gebinde); ","")&amp;BU1166)</f>
        <v>negativer Bestand (Export -2); Lift 1 lt. Liftbericht (Fach 14 Stk); </v>
      </c>
      <c r="BN1166" s="48"/>
      <c r="BO1166" s="48"/>
      <c r="BP1166" s="55"/>
      <c r="BQ1166" s="50" t="n">
        <v>-2</v>
      </c>
      <c r="BR1166" s="50" t="n">
        <v>9</v>
      </c>
      <c r="BS1166" s="49" t="n">
        <v>-343.76</v>
      </c>
      <c r="BT1166" s="50" t="n">
        <v>29</v>
      </c>
      <c r="BU1166" s="48"/>
      <c r="BV1166" s="53" t="n">
        <v>0</v>
      </c>
      <c r="BW1166" s="53" t="n">
        <v>1166</v>
      </c>
      <c r="BX1166" s="48" t="str">
        <f aca="false">IF(U1166&lt;&gt;"",UPPER(TRIM(U1166)),IF(CA1166=1,UPPER(VLOOKUP(T1166,Parameter!$I$27:$K$29,2,0)),IF(P1166="","LOSE",P1166)))</f>
        <v>LOSE</v>
      </c>
      <c r="BY1166" s="50" t="n">
        <f aca="false">IF(BX1166="LOSE",1,IF(N(V1166)&gt;0,V1166,IF(CA1166=1,MAX(1,N(VLOOKUP(T1166,Parameter!$I$27:$K$29,3,0)),H1166,N(N1166)),IF(N(Q1166)&gt;0,Q1166,MAX(1,H1166)))))</f>
        <v>1</v>
      </c>
      <c r="BZ1166" s="53" t="n">
        <f aca="false">IF(BX1166="LOSE",1,0)</f>
        <v>1</v>
      </c>
      <c r="CA1166" s="53" t="n">
        <f aca="false">IF(AND(U1166="",OR(P1166="",P1166="LOSE"),T1166&lt;&gt;"",N(S1166)&lt;=0,ISNUMBER(MATCH(T1166,Parameter!$I$27:$I$29,0))),1,0)</f>
        <v>0</v>
      </c>
      <c r="CB1166" s="53" t="n">
        <f aca="false">IF(CQ1166&gt;0,INDEX(Parameter!$H$5:$H$7,W1166)/INDEX(Parameter!$E$5:$E$7,W1166),IF(AND(BZ1166=0,N(IFERROR(VLOOKUP(BX1166,'Gebinde-Kategorie'!$A$5:$N$45,14,0),0))&gt;0),VLOOKUP(BX1166,'Gebinde-Kategorie'!$A$5:$N$45,14,0)*10+Parameter!$M$23,Parameter!$M$24))</f>
        <v>238</v>
      </c>
      <c r="CC1166" s="48" t="n">
        <f aca="false">IF(AND(Parameter!$B$19="Ja",E1166&lt;&gt;"",ISNUMBER(MATCH(E1166,Parameter!$I$35:$I$52,0))),VLOOKUP(E1166,Parameter!$I$35:$J$52,2,0),IFERROR(VLOOKUP(D1166,Parameter!$A$35:$C$64,2,0),"Nein"))</f>
        <v>1</v>
      </c>
      <c r="CD1166" s="52" t="n">
        <f aca="false">IF(BZ1166=0,0,IF(N(S1166)&gt;0,S1166,IFERROR(VLOOKUP(D1166,Parameter!$A$35:$C$64,3,0)+0,0)))</f>
        <v>0.15</v>
      </c>
      <c r="CE1166" s="48" t="n">
        <f aca="false">IF(AA1166&lt;&gt;"",AA1166,Z1166)</f>
        <v>1</v>
      </c>
      <c r="CF1166" s="48" t="str">
        <f aca="false">IF(OR(CE1166=1,CE1166=2,CE1166=3),IF(Parameter!$E$27="Ja","LIFT",IF(CE1166=1,"L1","L23")),IF(CE1166="Aussen","Aussen","-"))</f>
        <v>LIFT</v>
      </c>
      <c r="CG1166" s="59" t="n">
        <f aca="false">IF(N(AB1166)&gt;0,AB1166,0)</f>
        <v>0</v>
      </c>
      <c r="CH1166" s="53" t="n">
        <f aca="false">IF(ISNUMBER(AE1166),1,0)</f>
        <v>0</v>
      </c>
      <c r="CI1166" s="50" t="n">
        <f aca="false">N(AE1166)</f>
        <v>0</v>
      </c>
      <c r="CJ1166" s="50" t="n">
        <f aca="false">N(M1166)+N(N1166)</f>
        <v>22</v>
      </c>
      <c r="CK1166" s="50" t="n">
        <f aca="false">N(M1166)</f>
        <v>2</v>
      </c>
      <c r="CL1166" s="50" t="n">
        <f aca="false">N(N1166)</f>
        <v>20</v>
      </c>
      <c r="CM1166" s="50" t="n">
        <f aca="false">ROUNDUP(H1166/BY1166,0)</f>
        <v>5</v>
      </c>
      <c r="CN1166" s="50" t="n">
        <f aca="false">ROUNDUP(CI1166/BY1166,0)</f>
        <v>0</v>
      </c>
      <c r="CO1166" s="53" t="n">
        <f aca="false">IF(BZ1166=1,0,IFERROR(VLOOKUP(BX1166,'Gebinde-Kategorie'!$A$5:$N$45,5,0)+0,0))</f>
        <v>0</v>
      </c>
      <c r="CP1166" s="53" t="n">
        <f aca="false">IFERROR(IF(OR(CE1166=1,CE1166=2,CE1166=3),N(INDEX(Parameter!$I$5:$I$7,CE1166)),0),0)</f>
        <v>0</v>
      </c>
      <c r="CQ1166" s="52" t="n">
        <f aca="false">IF(AND(Parameter!$B$21="Ja",ISNUMBER(W1166),N(X1166)&gt;0),IFERROR(N(INDEX(Parameter!$L$5:$L$7,W1166))*INDEX(Parameter!$E$5:$E$7,W1166)*X1166/SUMIFS($X$7:$X$1843,$W$7:$W$1843,W1166),0),0)</f>
        <v>1.12052730696798</v>
      </c>
    </row>
    <row r="1167" customFormat="false" ht="15" hidden="false" customHeight="false" outlineLevel="0" collapsed="false">
      <c r="A1167" s="48" t="s">
        <v>2111</v>
      </c>
      <c r="B1167" s="48" t="s">
        <v>444</v>
      </c>
      <c r="C1167" s="48" t="s">
        <v>173</v>
      </c>
      <c r="D1167" s="48" t="s">
        <v>193</v>
      </c>
      <c r="E1167" s="48" t="s">
        <v>194</v>
      </c>
      <c r="F1167" s="48" t="s">
        <v>227</v>
      </c>
      <c r="G1167" s="49" t="n">
        <v>43.31</v>
      </c>
      <c r="H1167" s="50" t="n">
        <f aca="false">MAX(0,IF(AND(Parameter!$B$21="Ja",ISNUMBER(Y1167)),Y1167,IF(Parameter!$B$20="Jahresanfang 2025 + Export",BR1167+BQ1167,BQ1167)))</f>
        <v>23</v>
      </c>
      <c r="I1167" s="50" t="n">
        <f aca="false">H1167*G1167</f>
        <v>996.13</v>
      </c>
      <c r="J1167" s="50" t="n">
        <f aca="false">BT1167*Parameter!$B$18</f>
        <v>8</v>
      </c>
      <c r="K1167" s="51" t="n">
        <v>27</v>
      </c>
      <c r="L1167" s="52" t="n">
        <v>0.296296296296296</v>
      </c>
      <c r="M1167" s="50" t="n">
        <v>0</v>
      </c>
      <c r="N1167" s="50" t="n">
        <v>10</v>
      </c>
      <c r="O1167" s="53" t="n">
        <v>14</v>
      </c>
      <c r="P1167" s="48" t="s">
        <v>337</v>
      </c>
      <c r="Q1167" s="50" t="n">
        <v>25</v>
      </c>
      <c r="R1167" s="53" t="n">
        <f aca="false">IF(BZ1167=1,0,IFERROR(VLOOKUP(BX1167,'Gebinde-Kategorie'!$A$5:$N$45,13,0)+0,0))</f>
        <v>52</v>
      </c>
      <c r="S1167" s="54"/>
      <c r="T1167" s="55"/>
      <c r="U1167" s="55"/>
      <c r="V1167" s="55"/>
      <c r="W1167" s="48"/>
      <c r="X1167" s="50"/>
      <c r="Y1167" s="50"/>
      <c r="Z1167" s="48" t="n">
        <f aca="false">IF(A1167="","",IF(AND(Parameter!$B$21="Ja",ISNUMBER(W1167)),W1167,IF(CC1167="2+3",IF(ISNUMBER(SEARCH("grosser Artikel",BU1167)),2,IFERROR(VLOOKUP(BX1167,Parameter!$F$35:$G$64,2,0),2)),IF(OR(CC1167="Nein",CC1167=""),"-",CC1167))))</f>
        <v>3</v>
      </c>
      <c r="AA1167" s="55"/>
      <c r="AB1167" s="56"/>
      <c r="AC1167" s="50" t="n">
        <f aca="false">AV1167</f>
        <v>10</v>
      </c>
      <c r="AD1167" s="50" t="n">
        <f aca="false">MAX(AV1167,H1167)</f>
        <v>23</v>
      </c>
      <c r="AE1167" s="57"/>
      <c r="AF1167" s="50" t="n">
        <f aca="false">IF(LEFT(Cockpit!$C$5,1)="A",H1167,IF(Parameter!$E$30="MAX-Bestand",IF(CH1167=1,CI1167,IF(LEFT(Cockpit!$C$5,1)="B",AL1167,MAX(AL1167,H1167))),ROUNDUP(AJ1167,0)))</f>
        <v>23</v>
      </c>
      <c r="AG1167" s="50" t="n">
        <f aca="false">IF(BZ1167=1,0,ROUNDUP(AF1167/BY1167,0))</f>
        <v>1</v>
      </c>
      <c r="AH1167" s="52" t="n">
        <f aca="false">IF(CQ1167&gt;0,CQ1167*MAX(1,AF1167/X1167),IF(BZ1167=1,IF(AF1167&lt;=0,0,CD1167*MAX(1,IF(H1167&gt;0,AF1167/H1167,1))),IF(R1167&gt;0,AG1167/R1167,0))/MAX(0.1,N(Parameter!$M$21)))</f>
        <v>0.0192307692307692</v>
      </c>
      <c r="AI1167" s="50" t="n">
        <f aca="false">AH1167*CB1167</f>
        <v>2.98076923076923</v>
      </c>
      <c r="AJ1167" s="51" t="n">
        <f aca="false">IF(LEFT(Cockpit!$C$5,1)="A",H1167,IF(CH1167=1,(CK1167+CI1167)/2,IF(LEFT(Cockpit!$C$5,1)="B",(CK1167+AL1167)/2,MAX((CK1167+AL1167)/2,H1167))))</f>
        <v>23</v>
      </c>
      <c r="AK1167" s="50" t="n">
        <f aca="false">AJ1167*G1167</f>
        <v>996.13</v>
      </c>
      <c r="AL1167" s="50" t="n">
        <f aca="false">ROUNDUP(CK1167+MAX(CL1167,2*(J1167/IF(CG1167&gt;0,CG1167,MAX(0.1,N(Cockpit!$C$6)))-CK1167)),0)</f>
        <v>10</v>
      </c>
      <c r="AM1167" s="51" t="n">
        <f aca="false">IF(AI1167&gt;0,J1167/AI1167,-1)</f>
        <v>2.68387096774194</v>
      </c>
      <c r="AN1167" s="51" t="n">
        <f aca="false">IF(AND(OR(CF1167="L1",CF1167="L23",CF1167="LIFT"),AI1167&gt;0),SUMIFS($AI$7:$AI$1843,$CF$7:$CF$1843,CF1167,$AM$7:$AM$1843,"&gt;"&amp;AM1167)+SUMIFS($AI$7:$AI$1843,$CF$7:$CF$1843,CF1167,$AM$7:$AM$1843,AM1167,$BW$7:$BW$1843,"&lt;="&amp;BW1167),"")</f>
        <v>5348.79441391941</v>
      </c>
      <c r="AO1167" s="58" t="n">
        <f aca="false">IF(AN1167="",0,MAX(0,MIN(1,(IF(CF1167="L1",Parameter!$H$5,IF(CF1167="L23",Parameter!$H$6+Parameter!$H$7,Parameter!$H$5+Parameter!$H$6+Parameter!$H$7))-(AN1167-AI1167))/AI1167)))</f>
        <v>1</v>
      </c>
      <c r="AP1167" s="50" t="n">
        <f aca="false">IF(LEFT(Cockpit!$I$5,1)="A",H1167,IF(Parameter!$E$30="MAX-Bestand",IF(CH1167=1,CI1167,IF(LEFT(Cockpit!$I$5,1)="B",AV1167,MAX(AV1167,H1167))),ROUNDUP(AT1167,0)))</f>
        <v>23</v>
      </c>
      <c r="AQ1167" s="50" t="n">
        <f aca="false">IF(BZ1167=1,0,ROUNDUP(AP1167/BY1167,0))</f>
        <v>1</v>
      </c>
      <c r="AR1167" s="52" t="n">
        <f aca="false">IF(CQ1167&gt;0,CQ1167*MAX(1,AP1167/X1167),IF(BZ1167=1,IF(AP1167&lt;=0,0,CD1167*MAX(1,IF(H1167&gt;0,AP1167/H1167,1))),IF(R1167&gt;0,AQ1167/R1167,0))/MAX(0.1,N(Parameter!$M$21)))</f>
        <v>0.0192307692307692</v>
      </c>
      <c r="AS1167" s="50" t="n">
        <f aca="false">AR1167*CB1167</f>
        <v>2.98076923076923</v>
      </c>
      <c r="AT1167" s="51" t="n">
        <f aca="false">IF(LEFT(Cockpit!$I$5,1)="A",H1167,IF(CH1167=1,(CK1167+CI1167)/2,IF(LEFT(Cockpit!$I$5,1)="B",(CK1167+AV1167)/2,MAX((CK1167+AV1167)/2,H1167))))</f>
        <v>23</v>
      </c>
      <c r="AU1167" s="50" t="n">
        <f aca="false">AT1167*G1167</f>
        <v>996.13</v>
      </c>
      <c r="AV1167" s="50" t="n">
        <f aca="false">ROUNDUP(CK1167+MAX(CL1167,2*(J1167/IF(CG1167&gt;0,CG1167,MAX(0.1,N(Cockpit!$I$6)))-CK1167)),0)</f>
        <v>10</v>
      </c>
      <c r="AW1167" s="51" t="n">
        <f aca="false">IF(AS1167&gt;0,J1167/AS1167,-1)</f>
        <v>2.68387096774194</v>
      </c>
      <c r="AX1167" s="51" t="n">
        <f aca="false">IF(AND(OR(CF1167="L1",CF1167="L23",CF1167="LIFT"),AS1167&gt;0),SUMIFS($AS$7:$AS$1843,$CF$7:$CF$1843,CF1167,$AW$7:$AW$1843,"&gt;"&amp;AW1167)+SUMIFS($AS$7:$AS$1843,$CF$7:$CF$1843,CF1167,$AW$7:$AW$1843,AW1167,$BW$7:$BW$1843,"&lt;="&amp;BW1167),"")</f>
        <v>6183.27243589744</v>
      </c>
      <c r="AY1167" s="58" t="n">
        <f aca="false">IF(AX1167="",0,MAX(0,MIN(1,(IF(CF1167="L1",Parameter!$H$5,IF(CF1167="L23",Parameter!$H$6+Parameter!$H$7,Parameter!$H$5+Parameter!$H$6+Parameter!$H$7))-(AX1167-AS1167))/AS1167)))</f>
        <v>1</v>
      </c>
      <c r="AZ1167" s="50" t="n">
        <f aca="false">IF(LEFT(Cockpit!$O$5,1)="A",H1167,IF(Parameter!$E$30="MAX-Bestand",IF(CH1167=1,CI1167,IF(LEFT(Cockpit!$O$5,1)="B",BF1167,MAX(BF1167,H1167))),ROUNDUP(BD1167,0)))</f>
        <v>5</v>
      </c>
      <c r="BA1167" s="50" t="n">
        <f aca="false">IF(BZ1167=1,0,ROUNDUP(AZ1167/BY1167,0))</f>
        <v>1</v>
      </c>
      <c r="BB1167" s="52" t="n">
        <f aca="false">IF(CQ1167&gt;0,CQ1167*MAX(1,AZ1167/X1167),IF(BZ1167=1,IF(AZ1167&lt;=0,0,CD1167*MAX(1,IF(H1167&gt;0,AZ1167/H1167,1))),IF(R1167&gt;0,BA1167/R1167,0))/MAX(0.1,N(Parameter!$M$21)))</f>
        <v>0.0192307692307692</v>
      </c>
      <c r="BC1167" s="50" t="n">
        <f aca="false">BB1167*CB1167</f>
        <v>2.98076923076923</v>
      </c>
      <c r="BD1167" s="51" t="n">
        <f aca="false">IF(LEFT(Cockpit!$O$5,1)="A",H1167,IF(CH1167=1,(CK1167+CI1167)/2,IF(LEFT(Cockpit!$O$5,1)="B",(CK1167+BF1167)/2,MAX((CK1167+BF1167)/2,H1167))))</f>
        <v>5</v>
      </c>
      <c r="BE1167" s="50" t="n">
        <f aca="false">BD1167*G1167</f>
        <v>216.55</v>
      </c>
      <c r="BF1167" s="50" t="n">
        <f aca="false">ROUNDUP(CK1167+MAX(CL1167,2*(J1167/IF(CG1167&gt;0,CG1167,MAX(0.1,N(Cockpit!$O$6)))-CK1167)),0)</f>
        <v>10</v>
      </c>
      <c r="BG1167" s="51" t="n">
        <f aca="false">IF(BC1167&gt;0,J1167/BC1167,-1)</f>
        <v>2.68387096774194</v>
      </c>
      <c r="BH1167" s="51" t="n">
        <f aca="false">IF(AND(OR(CF1167="L1",CF1167="L23",CF1167="LIFT"),BC1167&gt;0),SUMIFS($BC$7:$BC$1843,$CF$7:$CF$1843,CF1167,$BG$7:$BG$1843,"&gt;"&amp;BG1167)+SUMIFS($BC$7:$BC$1843,$CF$7:$CF$1843,CF1167,$BG$7:$BG$1843,BG1167,$BW$7:$BW$1843,"&lt;="&amp;BW1167),"")</f>
        <v>5361.32692307692</v>
      </c>
      <c r="BI1167" s="58" t="n">
        <f aca="false">IF(BH1167="",0,MAX(0,MIN(1,(IF(CF1167="L1",Parameter!$H$5,IF(CF1167="L23",Parameter!$H$6+Parameter!$H$7,Parameter!$H$5+Parameter!$H$6+Parameter!$H$7))-(BH1167-BC1167))/BC1167)))</f>
        <v>1</v>
      </c>
      <c r="BJ1167" s="48" t="str">
        <f aca="false">IF(AI1167&lt;=0,"",IF(CF1167="Aussen","Aussenlager",IF(CF1167="-","Nicht im Lift",IF(AO1167&gt;=1,"Lift",IF(AO1167&lt;=0,"Aussenlager","teilweise")))))</f>
        <v>Lift</v>
      </c>
      <c r="BK1167" s="48" t="str">
        <f aca="false">IF(AS1167&lt;=0,"",IF(CF1167="Aussen","Aussenlager",IF(CF1167="-","Nicht im Lift",IF(AY1167&gt;=1,"Lift",IF(AY1167&lt;=0,"Aussenlager","teilweise")))))</f>
        <v>Lift</v>
      </c>
      <c r="BL1167" s="48" t="str">
        <f aca="false">IF(BC1167&lt;=0,"",IF(CF1167="Aussen","Aussenlager",IF(CF1167="-","Nicht im Lift",IF(BI1167&gt;=1,"Lift",IF(BI1167&lt;=0,"Aussenlager","teilweise")))))</f>
        <v>Lift</v>
      </c>
      <c r="BM1167" s="48" t="str">
        <f aca="false">IF(A1167="","",IF(BV1167=1,"Neu; ","")&amp;IF(AND(BV1167=0,BQ1167&lt;0),"negativer Bestand (Export "&amp;BQ1167&amp;"); ","")&amp;IF(J1167&lt;=0,"Kein Verbrauch; ","")&amp;IF(CQ1167&gt;0,"Lift "&amp;W1167&amp;" lt. Liftbericht (Fach "&amp;X1167&amp;" Stk); ",IF(CA1167=1,"Gebinde geschätzt ("&amp;T1167&amp;"); ",IF(BZ1167=1,"Lose – Tablare geschätzt; ","")))&amp;IF(H1167&gt;AV1167,"Überbestand "&amp;ROUND(H1167-AV1167,0)&amp;" Stk / CHF "&amp;ROUND((H1167-AV1167)*G1167,0)&amp;"; ","")&amp;IF(AND(CH1167=1,CI1167&lt;CJ1167),"MAX &lt; MB+LG; ","")&amp;IF(AND(CP1167&gt;0,CO1167*10&gt;CP1167),"zu hoch für Tablar; ","")&amp;IF(AND(BV1167=0,OR(CH1167=1,AA1167&lt;&gt;"",U1167&lt;&gt;"",V1167&lt;&gt;"",AB1167&lt;&gt;"")),"manuell übersteuert; ","")&amp;IF(AND(BZ1167=0,R1167=0),"Gebinde unbekannt / Stellmass fehlt; ","")&amp;IF(AND(BZ1167=0,N(V1167)&lt;=0,N(Q1167)&lt;=0),"Menge pro Gebinde fehlt (Ist = 1 Gebinde); ","")&amp;BU1167)</f>
        <v>negativer Bestand (Export -8); Überbestand 13 Stk / CHF 563; </v>
      </c>
      <c r="BN1167" s="48"/>
      <c r="BO1167" s="48"/>
      <c r="BP1167" s="55"/>
      <c r="BQ1167" s="50" t="n">
        <v>-8</v>
      </c>
      <c r="BR1167" s="50" t="n">
        <v>31</v>
      </c>
      <c r="BS1167" s="49" t="n">
        <v>-346.48</v>
      </c>
      <c r="BT1167" s="50" t="n">
        <v>8</v>
      </c>
      <c r="BU1167" s="48"/>
      <c r="BV1167" s="53" t="n">
        <v>0</v>
      </c>
      <c r="BW1167" s="53" t="n">
        <v>1167</v>
      </c>
      <c r="BX1167" s="48" t="str">
        <f aca="false">IF(U1167&lt;&gt;"",UPPER(TRIM(U1167)),IF(CA1167=1,UPPER(VLOOKUP(T1167,Parameter!$I$27:$K$29,2,0)),IF(P1167="","LOSE",P1167)))</f>
        <v>S41</v>
      </c>
      <c r="BY1167" s="50" t="n">
        <f aca="false">IF(BX1167="LOSE",1,IF(N(V1167)&gt;0,V1167,IF(CA1167=1,MAX(1,N(VLOOKUP(T1167,Parameter!$I$27:$K$29,3,0)),H1167,N(N1167)),IF(N(Q1167)&gt;0,Q1167,MAX(1,H1167)))))</f>
        <v>25</v>
      </c>
      <c r="BZ1167" s="53" t="n">
        <f aca="false">IF(BX1167="LOSE",1,0)</f>
        <v>0</v>
      </c>
      <c r="CA1167" s="53" t="n">
        <f aca="false">IF(AND(U1167="",OR(P1167="",P1167="LOSE"),T1167&lt;&gt;"",N(S1167)&lt;=0,ISNUMBER(MATCH(T1167,Parameter!$I$27:$I$29,0))),1,0)</f>
        <v>0</v>
      </c>
      <c r="CB1167" s="53" t="n">
        <f aca="false">IF(CQ1167&gt;0,INDEX(Parameter!$H$5:$H$7,W1167)/INDEX(Parameter!$E$5:$E$7,W1167),IF(AND(BZ1167=0,N(IFERROR(VLOOKUP(BX1167,'Gebinde-Kategorie'!$A$5:$N$45,14,0),0))&gt;0),VLOOKUP(BX1167,'Gebinde-Kategorie'!$A$5:$N$45,14,0)*10+Parameter!$M$23,Parameter!$M$24))</f>
        <v>155</v>
      </c>
      <c r="CC1167" s="48" t="str">
        <f aca="false">IF(AND(Parameter!$B$19="Ja",E1167&lt;&gt;"",ISNUMBER(MATCH(E1167,Parameter!$I$35:$I$52,0))),VLOOKUP(E1167,Parameter!$I$35:$J$52,2,0),IFERROR(VLOOKUP(D1167,Parameter!$A$35:$C$64,2,0),"Nein"))</f>
        <v>2+3</v>
      </c>
      <c r="CD1167" s="52" t="n">
        <f aca="false">IF(BZ1167=0,0,IF(N(S1167)&gt;0,S1167,IFERROR(VLOOKUP(D1167,Parameter!$A$35:$C$64,3,0)+0,0)))</f>
        <v>0</v>
      </c>
      <c r="CE1167" s="48" t="n">
        <f aca="false">IF(AA1167&lt;&gt;"",AA1167,Z1167)</f>
        <v>3</v>
      </c>
      <c r="CF1167" s="48" t="str">
        <f aca="false">IF(OR(CE1167=1,CE1167=2,CE1167=3),IF(Parameter!$E$27="Ja","LIFT",IF(CE1167=1,"L1","L23")),IF(CE1167="Aussen","Aussen","-"))</f>
        <v>LIFT</v>
      </c>
      <c r="CG1167" s="59" t="n">
        <f aca="false">IF(N(AB1167)&gt;0,AB1167,0)</f>
        <v>0</v>
      </c>
      <c r="CH1167" s="53" t="n">
        <f aca="false">IF(ISNUMBER(AE1167),1,0)</f>
        <v>0</v>
      </c>
      <c r="CI1167" s="50" t="n">
        <f aca="false">N(AE1167)</f>
        <v>0</v>
      </c>
      <c r="CJ1167" s="50" t="n">
        <f aca="false">N(M1167)+N(N1167)</f>
        <v>10</v>
      </c>
      <c r="CK1167" s="50" t="n">
        <f aca="false">N(M1167)</f>
        <v>0</v>
      </c>
      <c r="CL1167" s="50" t="n">
        <f aca="false">N(N1167)</f>
        <v>10</v>
      </c>
      <c r="CM1167" s="50" t="n">
        <f aca="false">ROUNDUP(H1167/BY1167,0)</f>
        <v>1</v>
      </c>
      <c r="CN1167" s="50" t="n">
        <f aca="false">ROUNDUP(CI1167/BY1167,0)</f>
        <v>0</v>
      </c>
      <c r="CO1167" s="53" t="n">
        <f aca="false">IF(BZ1167=1,0,IFERROR(VLOOKUP(BX1167,'Gebinde-Kategorie'!$A$5:$N$45,5,0)+0,0))</f>
        <v>11</v>
      </c>
      <c r="CP1167" s="53" t="n">
        <f aca="false">IFERROR(IF(OR(CE1167=1,CE1167=2,CE1167=3),N(INDEX(Parameter!$I$5:$I$7,CE1167)),0),0)</f>
        <v>0</v>
      </c>
      <c r="CQ1167" s="52" t="n">
        <f aca="false">IF(AND(Parameter!$B$21="Ja",ISNUMBER(W1167),N(X1167)&gt;0),IFERROR(N(INDEX(Parameter!$L$5:$L$7,W1167))*INDEX(Parameter!$E$5:$E$7,W1167)*X1167/SUMIFS($X$7:$X$1843,$W$7:$W$1843,W1167),0),0)</f>
        <v>0</v>
      </c>
    </row>
    <row r="1168" customFormat="false" ht="15" hidden="false" customHeight="false" outlineLevel="0" collapsed="false">
      <c r="A1168" s="48" t="s">
        <v>2112</v>
      </c>
      <c r="B1168" s="48" t="s">
        <v>2113</v>
      </c>
      <c r="C1168" s="48" t="s">
        <v>173</v>
      </c>
      <c r="D1168" s="48" t="s">
        <v>193</v>
      </c>
      <c r="E1168" s="48" t="s">
        <v>194</v>
      </c>
      <c r="F1168" s="48" t="s">
        <v>227</v>
      </c>
      <c r="G1168" s="49" t="n">
        <v>116.46</v>
      </c>
      <c r="H1168" s="50" t="n">
        <f aca="false">MAX(0,IF(AND(Parameter!$B$21="Ja",ISNUMBER(Y1168)),Y1168,IF(Parameter!$B$20="Jahresanfang 2025 + Export",BR1168+BQ1168,BQ1168)))</f>
        <v>46</v>
      </c>
      <c r="I1168" s="50" t="n">
        <f aca="false">H1168*G1168</f>
        <v>5357.16</v>
      </c>
      <c r="J1168" s="50" t="n">
        <f aca="false">BT1168*Parameter!$B$18</f>
        <v>3</v>
      </c>
      <c r="K1168" s="51" t="n">
        <v>48.5</v>
      </c>
      <c r="L1168" s="52" t="n">
        <v>0.0618556701030928</v>
      </c>
      <c r="M1168" s="50" t="n">
        <v>0</v>
      </c>
      <c r="N1168" s="50" t="n">
        <v>5</v>
      </c>
      <c r="O1168" s="53" t="n">
        <v>28</v>
      </c>
      <c r="P1168" s="48" t="s">
        <v>235</v>
      </c>
      <c r="Q1168" s="50" t="n">
        <v>50</v>
      </c>
      <c r="R1168" s="53" t="n">
        <f aca="false">IF(BZ1168=1,0,IFERROR(VLOOKUP(BX1168,'Gebinde-Kategorie'!$A$5:$N$45,13,0)+0,0))</f>
        <v>12</v>
      </c>
      <c r="S1168" s="54"/>
      <c r="T1168" s="55"/>
      <c r="U1168" s="55"/>
      <c r="V1168" s="55"/>
      <c r="W1168" s="48"/>
      <c r="X1168" s="50"/>
      <c r="Y1168" s="50"/>
      <c r="Z1168" s="48" t="n">
        <f aca="false">IF(A1168="","",IF(AND(Parameter!$B$21="Ja",ISNUMBER(W1168)),W1168,IF(CC1168="2+3",IF(ISNUMBER(SEARCH("grosser Artikel",BU1168)),2,IFERROR(VLOOKUP(BX1168,Parameter!$F$35:$G$64,2,0),2)),IF(OR(CC1168="Nein",CC1168=""),"-",CC1168))))</f>
        <v>2</v>
      </c>
      <c r="AA1168" s="55"/>
      <c r="AB1168" s="56"/>
      <c r="AC1168" s="50" t="n">
        <f aca="false">AV1168</f>
        <v>5</v>
      </c>
      <c r="AD1168" s="50" t="n">
        <f aca="false">MAX(AV1168,H1168)</f>
        <v>46</v>
      </c>
      <c r="AE1168" s="57"/>
      <c r="AF1168" s="50" t="n">
        <f aca="false">IF(LEFT(Cockpit!$C$5,1)="A",H1168,IF(Parameter!$E$30="MAX-Bestand",IF(CH1168=1,CI1168,IF(LEFT(Cockpit!$C$5,1)="B",AL1168,MAX(AL1168,H1168))),ROUNDUP(AJ1168,0)))</f>
        <v>46</v>
      </c>
      <c r="AG1168" s="50" t="n">
        <f aca="false">IF(BZ1168=1,0,ROUNDUP(AF1168/BY1168,0))</f>
        <v>1</v>
      </c>
      <c r="AH1168" s="52" t="n">
        <f aca="false">IF(CQ1168&gt;0,CQ1168*MAX(1,AF1168/X1168),IF(BZ1168=1,IF(AF1168&lt;=0,0,CD1168*MAX(1,IF(H1168&gt;0,AF1168/H1168,1))),IF(R1168&gt;0,AG1168/R1168,0))/MAX(0.1,N(Parameter!$M$21)))</f>
        <v>0.0833333333333333</v>
      </c>
      <c r="AI1168" s="50" t="n">
        <f aca="false">AH1168*CB1168</f>
        <v>28.75</v>
      </c>
      <c r="AJ1168" s="51" t="n">
        <f aca="false">IF(LEFT(Cockpit!$C$5,1)="A",H1168,IF(CH1168=1,(CK1168+CI1168)/2,IF(LEFT(Cockpit!$C$5,1)="B",(CK1168+AL1168)/2,MAX((CK1168+AL1168)/2,H1168))))</f>
        <v>46</v>
      </c>
      <c r="AK1168" s="50" t="n">
        <f aca="false">AJ1168*G1168</f>
        <v>5357.16</v>
      </c>
      <c r="AL1168" s="50" t="n">
        <f aca="false">ROUNDUP(CK1168+MAX(CL1168,2*(J1168/IF(CG1168&gt;0,CG1168,MAX(0.1,N(Cockpit!$C$6)))-CK1168)),0)</f>
        <v>5</v>
      </c>
      <c r="AM1168" s="51" t="n">
        <f aca="false">IF(AI1168&gt;0,J1168/AI1168,-1)</f>
        <v>0.104347826086957</v>
      </c>
      <c r="AN1168" s="51" t="n">
        <f aca="false">IF(AND(OR(CF1168="L1",CF1168="L23",CF1168="LIFT"),AI1168&gt;0),SUMIFS($AI$7:$AI$1843,$CF$7:$CF$1843,CF1168,$AM$7:$AM$1843,"&gt;"&amp;AM1168)+SUMIFS($AI$7:$AI$1843,$CF$7:$CF$1843,CF1168,$AM$7:$AM$1843,AM1168,$BW$7:$BW$1843,"&lt;="&amp;BW1168),"")</f>
        <v>15618.9344306823</v>
      </c>
      <c r="AO1168" s="58" t="n">
        <f aca="false">IF(AN1168="",0,MAX(0,MIN(1,(IF(CF1168="L1",Parameter!$H$5,IF(CF1168="L23",Parameter!$H$6+Parameter!$H$7,Parameter!$H$5+Parameter!$H$6+Parameter!$H$7))-(AN1168-AI1168))/AI1168)))</f>
        <v>1</v>
      </c>
      <c r="AP1168" s="50" t="n">
        <f aca="false">IF(LEFT(Cockpit!$I$5,1)="A",H1168,IF(Parameter!$E$30="MAX-Bestand",IF(CH1168=1,CI1168,IF(LEFT(Cockpit!$I$5,1)="B",AV1168,MAX(AV1168,H1168))),ROUNDUP(AT1168,0)))</f>
        <v>46</v>
      </c>
      <c r="AQ1168" s="50" t="n">
        <f aca="false">IF(BZ1168=1,0,ROUNDUP(AP1168/BY1168,0))</f>
        <v>1</v>
      </c>
      <c r="AR1168" s="52" t="n">
        <f aca="false">IF(CQ1168&gt;0,CQ1168*MAX(1,AP1168/X1168),IF(BZ1168=1,IF(AP1168&lt;=0,0,CD1168*MAX(1,IF(H1168&gt;0,AP1168/H1168,1))),IF(R1168&gt;0,AQ1168/R1168,0))/MAX(0.1,N(Parameter!$M$21)))</f>
        <v>0.0833333333333333</v>
      </c>
      <c r="AS1168" s="50" t="n">
        <f aca="false">AR1168*CB1168</f>
        <v>28.75</v>
      </c>
      <c r="AT1168" s="51" t="n">
        <f aca="false">IF(LEFT(Cockpit!$I$5,1)="A",H1168,IF(CH1168=1,(CK1168+CI1168)/2,IF(LEFT(Cockpit!$I$5,1)="B",(CK1168+AV1168)/2,MAX((CK1168+AV1168)/2,H1168))))</f>
        <v>46</v>
      </c>
      <c r="AU1168" s="50" t="n">
        <f aca="false">AT1168*G1168</f>
        <v>5357.16</v>
      </c>
      <c r="AV1168" s="50" t="n">
        <f aca="false">ROUNDUP(CK1168+MAX(CL1168,2*(J1168/IF(CG1168&gt;0,CG1168,MAX(0.1,N(Cockpit!$I$6)))-CK1168)),0)</f>
        <v>5</v>
      </c>
      <c r="AW1168" s="51" t="n">
        <f aca="false">IF(AS1168&gt;0,J1168/AS1168,-1)</f>
        <v>0.104347826086957</v>
      </c>
      <c r="AX1168" s="51" t="n">
        <f aca="false">IF(AND(OR(CF1168="L1",CF1168="L23",CF1168="LIFT"),AS1168&gt;0),SUMIFS($AS$7:$AS$1843,$CF$7:$CF$1843,CF1168,$AW$7:$AW$1843,"&gt;"&amp;AW1168)+SUMIFS($AS$7:$AS$1843,$CF$7:$CF$1843,CF1168,$AW$7:$AW$1843,AW1168,$BW$7:$BW$1843,"&lt;="&amp;BW1168),"")</f>
        <v>19643.3330720598</v>
      </c>
      <c r="AY1168" s="58" t="n">
        <f aca="false">IF(AX1168="",0,MAX(0,MIN(1,(IF(CF1168="L1",Parameter!$H$5,IF(CF1168="L23",Parameter!$H$6+Parameter!$H$7,Parameter!$H$5+Parameter!$H$6+Parameter!$H$7))-(AX1168-AS1168))/AS1168)))</f>
        <v>1</v>
      </c>
      <c r="AZ1168" s="50" t="n">
        <f aca="false">IF(LEFT(Cockpit!$O$5,1)="A",H1168,IF(Parameter!$E$30="MAX-Bestand",IF(CH1168=1,CI1168,IF(LEFT(Cockpit!$O$5,1)="B",BF1168,MAX(BF1168,H1168))),ROUNDUP(BD1168,0)))</f>
        <v>3</v>
      </c>
      <c r="BA1168" s="50" t="n">
        <f aca="false">IF(BZ1168=1,0,ROUNDUP(AZ1168/BY1168,0))</f>
        <v>1</v>
      </c>
      <c r="BB1168" s="52" t="n">
        <f aca="false">IF(CQ1168&gt;0,CQ1168*MAX(1,AZ1168/X1168),IF(BZ1168=1,IF(AZ1168&lt;=0,0,CD1168*MAX(1,IF(H1168&gt;0,AZ1168/H1168,1))),IF(R1168&gt;0,BA1168/R1168,0))/MAX(0.1,N(Parameter!$M$21)))</f>
        <v>0.0833333333333333</v>
      </c>
      <c r="BC1168" s="50" t="n">
        <f aca="false">BB1168*CB1168</f>
        <v>28.75</v>
      </c>
      <c r="BD1168" s="51" t="n">
        <f aca="false">IF(LEFT(Cockpit!$O$5,1)="A",H1168,IF(CH1168=1,(CK1168+CI1168)/2,IF(LEFT(Cockpit!$O$5,1)="B",(CK1168+BF1168)/2,MAX((CK1168+BF1168)/2,H1168))))</f>
        <v>2.5</v>
      </c>
      <c r="BE1168" s="50" t="n">
        <f aca="false">BD1168*G1168</f>
        <v>291.15</v>
      </c>
      <c r="BF1168" s="50" t="n">
        <f aca="false">ROUNDUP(CK1168+MAX(CL1168,2*(J1168/IF(CG1168&gt;0,CG1168,MAX(0.1,N(Cockpit!$O$6)))-CK1168)),0)</f>
        <v>5</v>
      </c>
      <c r="BG1168" s="51" t="n">
        <f aca="false">IF(BC1168&gt;0,J1168/BC1168,-1)</f>
        <v>0.104347826086957</v>
      </c>
      <c r="BH1168" s="51" t="n">
        <f aca="false">IF(AND(OR(CF1168="L1",CF1168="L23",CF1168="LIFT"),BC1168&gt;0),SUMIFS($BC$7:$BC$1843,$CF$7:$CF$1843,CF1168,$BG$7:$BG$1843,"&gt;"&amp;BG1168)+SUMIFS($BC$7:$BC$1843,$CF$7:$CF$1843,CF1168,$BG$7:$BG$1843,BG1168,$BW$7:$BW$1843,"&lt;="&amp;BW1168),"")</f>
        <v>17244.1456845885</v>
      </c>
      <c r="BI1168" s="58" t="n">
        <f aca="false">IF(BH1168="",0,MAX(0,MIN(1,(IF(CF1168="L1",Parameter!$H$5,IF(CF1168="L23",Parameter!$H$6+Parameter!$H$7,Parameter!$H$5+Parameter!$H$6+Parameter!$H$7))-(BH1168-BC1168))/BC1168)))</f>
        <v>1</v>
      </c>
      <c r="BJ1168" s="48" t="str">
        <f aca="false">IF(AI1168&lt;=0,"",IF(CF1168="Aussen","Aussenlager",IF(CF1168="-","Nicht im Lift",IF(AO1168&gt;=1,"Lift",IF(AO1168&lt;=0,"Aussenlager","teilweise")))))</f>
        <v>Lift</v>
      </c>
      <c r="BK1168" s="48" t="str">
        <f aca="false">IF(AS1168&lt;=0,"",IF(CF1168="Aussen","Aussenlager",IF(CF1168="-","Nicht im Lift",IF(AY1168&gt;=1,"Lift",IF(AY1168&lt;=0,"Aussenlager","teilweise")))))</f>
        <v>Lift</v>
      </c>
      <c r="BL1168" s="48" t="str">
        <f aca="false">IF(BC1168&lt;=0,"",IF(CF1168="Aussen","Aussenlager",IF(CF1168="-","Nicht im Lift",IF(BI1168&gt;=1,"Lift",IF(BI1168&lt;=0,"Aussenlager","teilweise")))))</f>
        <v>Lift</v>
      </c>
      <c r="BM1168" s="48" t="str">
        <f aca="false">IF(A1168="","",IF(BV1168=1,"Neu; ","")&amp;IF(AND(BV1168=0,BQ1168&lt;0),"negativer Bestand (Export "&amp;BQ1168&amp;"); ","")&amp;IF(J1168&lt;=0,"Kein Verbrauch; ","")&amp;IF(CQ1168&gt;0,"Lift "&amp;W1168&amp;" lt. Liftbericht (Fach "&amp;X1168&amp;" Stk); ",IF(CA1168=1,"Gebinde geschätzt ("&amp;T1168&amp;"); ",IF(BZ1168=1,"Lose – Tablare geschätzt; ","")))&amp;IF(H1168&gt;AV1168,"Überbestand "&amp;ROUND(H1168-AV1168,0)&amp;" Stk / CHF "&amp;ROUND((H1168-AV1168)*G1168,0)&amp;"; ","")&amp;IF(AND(CH1168=1,CI1168&lt;CJ1168),"MAX &lt; MB+LG; ","")&amp;IF(AND(CP1168&gt;0,CO1168*10&gt;CP1168),"zu hoch für Tablar; ","")&amp;IF(AND(BV1168=0,OR(CH1168=1,AA1168&lt;&gt;"",U1168&lt;&gt;"",V1168&lt;&gt;"",AB1168&lt;&gt;"")),"manuell übersteuert; ","")&amp;IF(AND(BZ1168=0,R1168=0),"Gebinde unbekannt / Stellmass fehlt; ","")&amp;IF(AND(BZ1168=0,N(V1168)&lt;=0,N(Q1168)&lt;=0),"Menge pro Gebinde fehlt (Ist = 1 Gebinde); ","")&amp;BU1168)</f>
        <v>negativer Bestand (Export -3); Überbestand 41 Stk / CHF 4775; </v>
      </c>
      <c r="BN1168" s="48"/>
      <c r="BO1168" s="48"/>
      <c r="BP1168" s="55"/>
      <c r="BQ1168" s="50" t="n">
        <v>-3</v>
      </c>
      <c r="BR1168" s="50" t="n">
        <v>49</v>
      </c>
      <c r="BS1168" s="49" t="n">
        <v>-349.38</v>
      </c>
      <c r="BT1168" s="50" t="n">
        <v>3</v>
      </c>
      <c r="BU1168" s="48"/>
      <c r="BV1168" s="53" t="n">
        <v>0</v>
      </c>
      <c r="BW1168" s="53" t="n">
        <v>1168</v>
      </c>
      <c r="BX1168" s="48" t="str">
        <f aca="false">IF(U1168&lt;&gt;"",UPPER(TRIM(U1168)),IF(CA1168=1,UPPER(VLOOKUP(T1168,Parameter!$I$27:$K$29,2,0)),IF(P1168="","LOSE",P1168)))</f>
        <v>S63</v>
      </c>
      <c r="BY1168" s="50" t="n">
        <f aca="false">IF(BX1168="LOSE",1,IF(N(V1168)&gt;0,V1168,IF(CA1168=1,MAX(1,N(VLOOKUP(T1168,Parameter!$I$27:$K$29,3,0)),H1168,N(N1168)),IF(N(Q1168)&gt;0,Q1168,MAX(1,H1168)))))</f>
        <v>50</v>
      </c>
      <c r="BZ1168" s="53" t="n">
        <f aca="false">IF(BX1168="LOSE",1,0)</f>
        <v>0</v>
      </c>
      <c r="CA1168" s="53" t="n">
        <f aca="false">IF(AND(U1168="",OR(P1168="",P1168="LOSE"),T1168&lt;&gt;"",N(S1168)&lt;=0,ISNUMBER(MATCH(T1168,Parameter!$I$27:$I$29,0))),1,0)</f>
        <v>0</v>
      </c>
      <c r="CB1168" s="53" t="n">
        <f aca="false">IF(CQ1168&gt;0,INDEX(Parameter!$H$5:$H$7,W1168)/INDEX(Parameter!$E$5:$E$7,W1168),IF(AND(BZ1168=0,N(IFERROR(VLOOKUP(BX1168,'Gebinde-Kategorie'!$A$5:$N$45,14,0),0))&gt;0),VLOOKUP(BX1168,'Gebinde-Kategorie'!$A$5:$N$45,14,0)*10+Parameter!$M$23,Parameter!$M$24))</f>
        <v>345</v>
      </c>
      <c r="CC1168" s="48" t="str">
        <f aca="false">IF(AND(Parameter!$B$19="Ja",E1168&lt;&gt;"",ISNUMBER(MATCH(E1168,Parameter!$I$35:$I$52,0))),VLOOKUP(E1168,Parameter!$I$35:$J$52,2,0),IFERROR(VLOOKUP(D1168,Parameter!$A$35:$C$64,2,0),"Nein"))</f>
        <v>2+3</v>
      </c>
      <c r="CD1168" s="52" t="n">
        <f aca="false">IF(BZ1168=0,0,IF(N(S1168)&gt;0,S1168,IFERROR(VLOOKUP(D1168,Parameter!$A$35:$C$64,3,0)+0,0)))</f>
        <v>0</v>
      </c>
      <c r="CE1168" s="48" t="n">
        <f aca="false">IF(AA1168&lt;&gt;"",AA1168,Z1168)</f>
        <v>2</v>
      </c>
      <c r="CF1168" s="48" t="str">
        <f aca="false">IF(OR(CE1168=1,CE1168=2,CE1168=3),IF(Parameter!$E$27="Ja","LIFT",IF(CE1168=1,"L1","L23")),IF(CE1168="Aussen","Aussen","-"))</f>
        <v>LIFT</v>
      </c>
      <c r="CG1168" s="59" t="n">
        <f aca="false">IF(N(AB1168)&gt;0,AB1168,0)</f>
        <v>0</v>
      </c>
      <c r="CH1168" s="53" t="n">
        <f aca="false">IF(ISNUMBER(AE1168),1,0)</f>
        <v>0</v>
      </c>
      <c r="CI1168" s="50" t="n">
        <f aca="false">N(AE1168)</f>
        <v>0</v>
      </c>
      <c r="CJ1168" s="50" t="n">
        <f aca="false">N(M1168)+N(N1168)</f>
        <v>5</v>
      </c>
      <c r="CK1168" s="50" t="n">
        <f aca="false">N(M1168)</f>
        <v>0</v>
      </c>
      <c r="CL1168" s="50" t="n">
        <f aca="false">N(N1168)</f>
        <v>5</v>
      </c>
      <c r="CM1168" s="50" t="n">
        <f aca="false">ROUNDUP(H1168/BY1168,0)</f>
        <v>1</v>
      </c>
      <c r="CN1168" s="50" t="n">
        <f aca="false">ROUNDUP(CI1168/BY1168,0)</f>
        <v>0</v>
      </c>
      <c r="CO1168" s="53" t="n">
        <f aca="false">IF(BZ1168=1,0,IFERROR(VLOOKUP(BX1168,'Gebinde-Kategorie'!$A$5:$N$45,5,0)+0,0))</f>
        <v>31</v>
      </c>
      <c r="CP1168" s="53" t="n">
        <f aca="false">IFERROR(IF(OR(CE1168=1,CE1168=2,CE1168=3),N(INDEX(Parameter!$I$5:$I$7,CE1168)),0),0)</f>
        <v>0</v>
      </c>
      <c r="CQ1168" s="52" t="n">
        <f aca="false">IF(AND(Parameter!$B$21="Ja",ISNUMBER(W1168),N(X1168)&gt;0),IFERROR(N(INDEX(Parameter!$L$5:$L$7,W1168))*INDEX(Parameter!$E$5:$E$7,W1168)*X1168/SUMIFS($X$7:$X$1843,$W$7:$W$1843,W1168),0),0)</f>
        <v>0</v>
      </c>
    </row>
    <row r="1169" customFormat="false" ht="15" hidden="false" customHeight="false" outlineLevel="0" collapsed="false">
      <c r="A1169" s="48" t="s">
        <v>2114</v>
      </c>
      <c r="B1169" s="48" t="s">
        <v>1013</v>
      </c>
      <c r="C1169" s="48" t="s">
        <v>173</v>
      </c>
      <c r="D1169" s="48" t="s">
        <v>193</v>
      </c>
      <c r="E1169" s="48"/>
      <c r="F1169" s="48" t="s">
        <v>227</v>
      </c>
      <c r="G1169" s="49" t="n">
        <v>58.46</v>
      </c>
      <c r="H1169" s="50" t="n">
        <f aca="false">MAX(0,IF(AND(Parameter!$B$21="Ja",ISNUMBER(Y1169)),Y1169,IF(Parameter!$B$20="Jahresanfang 2025 + Export",BR1169+BQ1169,BQ1169)))</f>
        <v>57</v>
      </c>
      <c r="I1169" s="50" t="n">
        <f aca="false">H1169*G1169</f>
        <v>3332.22</v>
      </c>
      <c r="J1169" s="50" t="n">
        <f aca="false">BT1169*Parameter!$B$18</f>
        <v>5</v>
      </c>
      <c r="K1169" s="51" t="n">
        <v>60</v>
      </c>
      <c r="L1169" s="52" t="n">
        <v>0.0833333333333333</v>
      </c>
      <c r="M1169" s="50" t="n">
        <v>0</v>
      </c>
      <c r="N1169" s="50" t="n">
        <v>5</v>
      </c>
      <c r="O1169" s="53" t="n">
        <v>28</v>
      </c>
      <c r="P1169" s="48" t="s">
        <v>311</v>
      </c>
      <c r="Q1169" s="50" t="n">
        <v>60</v>
      </c>
      <c r="R1169" s="53" t="n">
        <f aca="false">IF(BZ1169=1,0,IFERROR(VLOOKUP(BX1169,'Gebinde-Kategorie'!$A$5:$N$45,13,0)+0,0))</f>
        <v>26</v>
      </c>
      <c r="S1169" s="54"/>
      <c r="T1169" s="55"/>
      <c r="U1169" s="55"/>
      <c r="V1169" s="55"/>
      <c r="W1169" s="48"/>
      <c r="X1169" s="50"/>
      <c r="Y1169" s="50"/>
      <c r="Z1169" s="48" t="n">
        <f aca="false">IF(A1169="","",IF(AND(Parameter!$B$21="Ja",ISNUMBER(W1169)),W1169,IF(CC1169="2+3",IF(ISNUMBER(SEARCH("grosser Artikel",BU1169)),2,IFERROR(VLOOKUP(BX1169,Parameter!$F$35:$G$64,2,0),2)),IF(OR(CC1169="Nein",CC1169=""),"-",CC1169))))</f>
        <v>3</v>
      </c>
      <c r="AA1169" s="55"/>
      <c r="AB1169" s="56"/>
      <c r="AC1169" s="50" t="n">
        <f aca="false">AV1169</f>
        <v>5</v>
      </c>
      <c r="AD1169" s="50" t="n">
        <f aca="false">MAX(AV1169,H1169)</f>
        <v>57</v>
      </c>
      <c r="AE1169" s="57"/>
      <c r="AF1169" s="50" t="n">
        <f aca="false">IF(LEFT(Cockpit!$C$5,1)="A",H1169,IF(Parameter!$E$30="MAX-Bestand",IF(CH1169=1,CI1169,IF(LEFT(Cockpit!$C$5,1)="B",AL1169,MAX(AL1169,H1169))),ROUNDUP(AJ1169,0)))</f>
        <v>57</v>
      </c>
      <c r="AG1169" s="50" t="n">
        <f aca="false">IF(BZ1169=1,0,ROUNDUP(AF1169/BY1169,0))</f>
        <v>1</v>
      </c>
      <c r="AH1169" s="52" t="n">
        <f aca="false">IF(CQ1169&gt;0,CQ1169*MAX(1,AF1169/X1169),IF(BZ1169=1,IF(AF1169&lt;=0,0,CD1169*MAX(1,IF(H1169&gt;0,AF1169/H1169,1))),IF(R1169&gt;0,AG1169/R1169,0))/MAX(0.1,N(Parameter!$M$21)))</f>
        <v>0.0384615384615385</v>
      </c>
      <c r="AI1169" s="50" t="n">
        <f aca="false">AH1169*CB1169</f>
        <v>5.96153846153846</v>
      </c>
      <c r="AJ1169" s="51" t="n">
        <f aca="false">IF(LEFT(Cockpit!$C$5,1)="A",H1169,IF(CH1169=1,(CK1169+CI1169)/2,IF(LEFT(Cockpit!$C$5,1)="B",(CK1169+AL1169)/2,MAX((CK1169+AL1169)/2,H1169))))</f>
        <v>57</v>
      </c>
      <c r="AK1169" s="50" t="n">
        <f aca="false">AJ1169*G1169</f>
        <v>3332.22</v>
      </c>
      <c r="AL1169" s="50" t="n">
        <f aca="false">ROUNDUP(CK1169+MAX(CL1169,2*(J1169/IF(CG1169&gt;0,CG1169,MAX(0.1,N(Cockpit!$C$6)))-CK1169)),0)</f>
        <v>5</v>
      </c>
      <c r="AM1169" s="51" t="n">
        <f aca="false">IF(AI1169&gt;0,J1169/AI1169,-1)</f>
        <v>0.838709677419355</v>
      </c>
      <c r="AN1169" s="51" t="n">
        <f aca="false">IF(AND(OR(CF1169="L1",CF1169="L23",CF1169="LIFT"),AI1169&gt;0),SUMIFS($AI$7:$AI$1843,$CF$7:$CF$1843,CF1169,$AM$7:$AM$1843,"&gt;"&amp;AM1169)+SUMIFS($AI$7:$AI$1843,$CF$7:$CF$1843,CF1169,$AM$7:$AM$1843,AM1169,$BW$7:$BW$1843,"&lt;="&amp;BW1169),"")</f>
        <v>7896.625</v>
      </c>
      <c r="AO1169" s="58" t="n">
        <f aca="false">IF(AN1169="",0,MAX(0,MIN(1,(IF(CF1169="L1",Parameter!$H$5,IF(CF1169="L23",Parameter!$H$6+Parameter!$H$7,Parameter!$H$5+Parameter!$H$6+Parameter!$H$7))-(AN1169-AI1169))/AI1169)))</f>
        <v>1</v>
      </c>
      <c r="AP1169" s="50" t="n">
        <f aca="false">IF(LEFT(Cockpit!$I$5,1)="A",H1169,IF(Parameter!$E$30="MAX-Bestand",IF(CH1169=1,CI1169,IF(LEFT(Cockpit!$I$5,1)="B",AV1169,MAX(AV1169,H1169))),ROUNDUP(AT1169,0)))</f>
        <v>57</v>
      </c>
      <c r="AQ1169" s="50" t="n">
        <f aca="false">IF(BZ1169=1,0,ROUNDUP(AP1169/BY1169,0))</f>
        <v>1</v>
      </c>
      <c r="AR1169" s="52" t="n">
        <f aca="false">IF(CQ1169&gt;0,CQ1169*MAX(1,AP1169/X1169),IF(BZ1169=1,IF(AP1169&lt;=0,0,CD1169*MAX(1,IF(H1169&gt;0,AP1169/H1169,1))),IF(R1169&gt;0,AQ1169/R1169,0))/MAX(0.1,N(Parameter!$M$21)))</f>
        <v>0.0384615384615385</v>
      </c>
      <c r="AS1169" s="50" t="n">
        <f aca="false">AR1169*CB1169</f>
        <v>5.96153846153846</v>
      </c>
      <c r="AT1169" s="51" t="n">
        <f aca="false">IF(LEFT(Cockpit!$I$5,1)="A",H1169,IF(CH1169=1,(CK1169+CI1169)/2,IF(LEFT(Cockpit!$I$5,1)="B",(CK1169+AV1169)/2,MAX((CK1169+AV1169)/2,H1169))))</f>
        <v>57</v>
      </c>
      <c r="AU1169" s="50" t="n">
        <f aca="false">AT1169*G1169</f>
        <v>3332.22</v>
      </c>
      <c r="AV1169" s="50" t="n">
        <f aca="false">ROUNDUP(CK1169+MAX(CL1169,2*(J1169/IF(CG1169&gt;0,CG1169,MAX(0.1,N(Cockpit!$I$6)))-CK1169)),0)</f>
        <v>5</v>
      </c>
      <c r="AW1169" s="51" t="n">
        <f aca="false">IF(AS1169&gt;0,J1169/AS1169,-1)</f>
        <v>0.838709677419355</v>
      </c>
      <c r="AX1169" s="51" t="n">
        <f aca="false">IF(AND(OR(CF1169="L1",CF1169="L23",CF1169="LIFT"),AS1169&gt;0),SUMIFS($AS$7:$AS$1843,$CF$7:$CF$1843,CF1169,$AW$7:$AW$1843,"&gt;"&amp;AW1169)+SUMIFS($AS$7:$AS$1843,$CF$7:$CF$1843,CF1169,$AW$7:$AW$1843,AW1169,$BW$7:$BW$1843,"&lt;="&amp;BW1169),"")</f>
        <v>9652.02655677656</v>
      </c>
      <c r="AY1169" s="58" t="n">
        <f aca="false">IF(AX1169="",0,MAX(0,MIN(1,(IF(CF1169="L1",Parameter!$H$5,IF(CF1169="L23",Parameter!$H$6+Parameter!$H$7,Parameter!$H$5+Parameter!$H$6+Parameter!$H$7))-(AX1169-AS1169))/AS1169)))</f>
        <v>1</v>
      </c>
      <c r="AZ1169" s="50" t="n">
        <f aca="false">IF(LEFT(Cockpit!$O$5,1)="A",H1169,IF(Parameter!$E$30="MAX-Bestand",IF(CH1169=1,CI1169,IF(LEFT(Cockpit!$O$5,1)="B",BF1169,MAX(BF1169,H1169))),ROUNDUP(BD1169,0)))</f>
        <v>3</v>
      </c>
      <c r="BA1169" s="50" t="n">
        <f aca="false">IF(BZ1169=1,0,ROUNDUP(AZ1169/BY1169,0))</f>
        <v>1</v>
      </c>
      <c r="BB1169" s="52" t="n">
        <f aca="false">IF(CQ1169&gt;0,CQ1169*MAX(1,AZ1169/X1169),IF(BZ1169=1,IF(AZ1169&lt;=0,0,CD1169*MAX(1,IF(H1169&gt;0,AZ1169/H1169,1))),IF(R1169&gt;0,BA1169/R1169,0))/MAX(0.1,N(Parameter!$M$21)))</f>
        <v>0.0384615384615385</v>
      </c>
      <c r="BC1169" s="50" t="n">
        <f aca="false">BB1169*CB1169</f>
        <v>5.96153846153846</v>
      </c>
      <c r="BD1169" s="51" t="n">
        <f aca="false">IF(LEFT(Cockpit!$O$5,1)="A",H1169,IF(CH1169=1,(CK1169+CI1169)/2,IF(LEFT(Cockpit!$O$5,1)="B",(CK1169+BF1169)/2,MAX((CK1169+BF1169)/2,H1169))))</f>
        <v>2.5</v>
      </c>
      <c r="BE1169" s="50" t="n">
        <f aca="false">BD1169*G1169</f>
        <v>146.15</v>
      </c>
      <c r="BF1169" s="50" t="n">
        <f aca="false">ROUNDUP(CK1169+MAX(CL1169,2*(J1169/IF(CG1169&gt;0,CG1169,MAX(0.1,N(Cockpit!$O$6)))-CK1169)),0)</f>
        <v>5</v>
      </c>
      <c r="BG1169" s="51" t="n">
        <f aca="false">IF(BC1169&gt;0,J1169/BC1169,-1)</f>
        <v>0.838709677419355</v>
      </c>
      <c r="BH1169" s="51" t="n">
        <f aca="false">IF(AND(OR(CF1169="L1",CF1169="L23",CF1169="LIFT"),BC1169&gt;0),SUMIFS($BC$7:$BC$1843,$CF$7:$CF$1843,CF1169,$BG$7:$BG$1843,"&gt;"&amp;BG1169)+SUMIFS($BC$7:$BC$1843,$CF$7:$CF$1843,CF1169,$BG$7:$BG$1843,BG1169,$BW$7:$BW$1843,"&lt;="&amp;BW1169),"")</f>
        <v>8613.10302197802</v>
      </c>
      <c r="BI1169" s="58" t="n">
        <f aca="false">IF(BH1169="",0,MAX(0,MIN(1,(IF(CF1169="L1",Parameter!$H$5,IF(CF1169="L23",Parameter!$H$6+Parameter!$H$7,Parameter!$H$5+Parameter!$H$6+Parameter!$H$7))-(BH1169-BC1169))/BC1169)))</f>
        <v>1</v>
      </c>
      <c r="BJ1169" s="48" t="str">
        <f aca="false">IF(AI1169&lt;=0,"",IF(CF1169="Aussen","Aussenlager",IF(CF1169="-","Nicht im Lift",IF(AO1169&gt;=1,"Lift",IF(AO1169&lt;=0,"Aussenlager","teilweise")))))</f>
        <v>Lift</v>
      </c>
      <c r="BK1169" s="48" t="str">
        <f aca="false">IF(AS1169&lt;=0,"",IF(CF1169="Aussen","Aussenlager",IF(CF1169="-","Nicht im Lift",IF(AY1169&gt;=1,"Lift",IF(AY1169&lt;=0,"Aussenlager","teilweise")))))</f>
        <v>Lift</v>
      </c>
      <c r="BL1169" s="48" t="str">
        <f aca="false">IF(BC1169&lt;=0,"",IF(CF1169="Aussen","Aussenlager",IF(CF1169="-","Nicht im Lift",IF(BI1169&gt;=1,"Lift",IF(BI1169&lt;=0,"Aussenlager","teilweise")))))</f>
        <v>Lift</v>
      </c>
      <c r="BM1169" s="48" t="str">
        <f aca="false">IF(A1169="","",IF(BV1169=1,"Neu; ","")&amp;IF(AND(BV1169=0,BQ1169&lt;0),"negativer Bestand (Export "&amp;BQ1169&amp;"); ","")&amp;IF(J1169&lt;=0,"Kein Verbrauch; ","")&amp;IF(CQ1169&gt;0,"Lift "&amp;W1169&amp;" lt. Liftbericht (Fach "&amp;X1169&amp;" Stk); ",IF(CA1169=1,"Gebinde geschätzt ("&amp;T1169&amp;"); ",IF(BZ1169=1,"Lose – Tablare geschätzt; ","")))&amp;IF(H1169&gt;AV1169,"Überbestand "&amp;ROUND(H1169-AV1169,0)&amp;" Stk / CHF "&amp;ROUND((H1169-AV1169)*G1169,0)&amp;"; ","")&amp;IF(AND(CH1169=1,CI1169&lt;CJ1169),"MAX &lt; MB+LG; ","")&amp;IF(AND(CP1169&gt;0,CO1169*10&gt;CP1169),"zu hoch für Tablar; ","")&amp;IF(AND(BV1169=0,OR(CH1169=1,AA1169&lt;&gt;"",U1169&lt;&gt;"",V1169&lt;&gt;"",AB1169&lt;&gt;"")),"manuell übersteuert; ","")&amp;IF(AND(BZ1169=0,R1169=0),"Gebinde unbekannt / Stellmass fehlt; ","")&amp;IF(AND(BZ1169=0,N(V1169)&lt;=0,N(Q1169)&lt;=0),"Menge pro Gebinde fehlt (Ist = 1 Gebinde); ","")&amp;BU1169)</f>
        <v>negativer Bestand (Export -6); Überbestand 52 Stk / CHF 3040; </v>
      </c>
      <c r="BN1169" s="48"/>
      <c r="BO1169" s="48"/>
      <c r="BP1169" s="55"/>
      <c r="BQ1169" s="50" t="n">
        <v>-6</v>
      </c>
      <c r="BR1169" s="50" t="n">
        <v>63</v>
      </c>
      <c r="BS1169" s="49" t="n">
        <v>-350.76</v>
      </c>
      <c r="BT1169" s="50" t="n">
        <v>5</v>
      </c>
      <c r="BU1169" s="48"/>
      <c r="BV1169" s="53" t="n">
        <v>0</v>
      </c>
      <c r="BW1169" s="53" t="n">
        <v>1169</v>
      </c>
      <c r="BX1169" s="48" t="str">
        <f aca="false">IF(U1169&lt;&gt;"",UPPER(TRIM(U1169)),IF(CA1169=1,UPPER(VLOOKUP(T1169,Parameter!$I$27:$K$29,2,0)),IF(P1169="","LOSE",P1169)))</f>
        <v>S51</v>
      </c>
      <c r="BY1169" s="50" t="n">
        <f aca="false">IF(BX1169="LOSE",1,IF(N(V1169)&gt;0,V1169,IF(CA1169=1,MAX(1,N(VLOOKUP(T1169,Parameter!$I$27:$K$29,3,0)),H1169,N(N1169)),IF(N(Q1169)&gt;0,Q1169,MAX(1,H1169)))))</f>
        <v>60</v>
      </c>
      <c r="BZ1169" s="53" t="n">
        <f aca="false">IF(BX1169="LOSE",1,0)</f>
        <v>0</v>
      </c>
      <c r="CA1169" s="53" t="n">
        <f aca="false">IF(AND(U1169="",OR(P1169="",P1169="LOSE"),T1169&lt;&gt;"",N(S1169)&lt;=0,ISNUMBER(MATCH(T1169,Parameter!$I$27:$I$29,0))),1,0)</f>
        <v>0</v>
      </c>
      <c r="CB1169" s="53" t="n">
        <f aca="false">IF(CQ1169&gt;0,INDEX(Parameter!$H$5:$H$7,W1169)/INDEX(Parameter!$E$5:$E$7,W1169),IF(AND(BZ1169=0,N(IFERROR(VLOOKUP(BX1169,'Gebinde-Kategorie'!$A$5:$N$45,14,0),0))&gt;0),VLOOKUP(BX1169,'Gebinde-Kategorie'!$A$5:$N$45,14,0)*10+Parameter!$M$23,Parameter!$M$24))</f>
        <v>155</v>
      </c>
      <c r="CC1169" s="48" t="str">
        <f aca="false">IF(AND(Parameter!$B$19="Ja",E1169&lt;&gt;"",ISNUMBER(MATCH(E1169,Parameter!$I$35:$I$52,0))),VLOOKUP(E1169,Parameter!$I$35:$J$52,2,0),IFERROR(VLOOKUP(D1169,Parameter!$A$35:$C$64,2,0),"Nein"))</f>
        <v>2+3</v>
      </c>
      <c r="CD1169" s="52" t="n">
        <f aca="false">IF(BZ1169=0,0,IF(N(S1169)&gt;0,S1169,IFERROR(VLOOKUP(D1169,Parameter!$A$35:$C$64,3,0)+0,0)))</f>
        <v>0</v>
      </c>
      <c r="CE1169" s="48" t="n">
        <f aca="false">IF(AA1169&lt;&gt;"",AA1169,Z1169)</f>
        <v>3</v>
      </c>
      <c r="CF1169" s="48" t="str">
        <f aca="false">IF(OR(CE1169=1,CE1169=2,CE1169=3),IF(Parameter!$E$27="Ja","LIFT",IF(CE1169=1,"L1","L23")),IF(CE1169="Aussen","Aussen","-"))</f>
        <v>LIFT</v>
      </c>
      <c r="CG1169" s="59" t="n">
        <f aca="false">IF(N(AB1169)&gt;0,AB1169,0)</f>
        <v>0</v>
      </c>
      <c r="CH1169" s="53" t="n">
        <f aca="false">IF(ISNUMBER(AE1169),1,0)</f>
        <v>0</v>
      </c>
      <c r="CI1169" s="50" t="n">
        <f aca="false">N(AE1169)</f>
        <v>0</v>
      </c>
      <c r="CJ1169" s="50" t="n">
        <f aca="false">N(M1169)+N(N1169)</f>
        <v>5</v>
      </c>
      <c r="CK1169" s="50" t="n">
        <f aca="false">N(M1169)</f>
        <v>0</v>
      </c>
      <c r="CL1169" s="50" t="n">
        <f aca="false">N(N1169)</f>
        <v>5</v>
      </c>
      <c r="CM1169" s="50" t="n">
        <f aca="false">ROUNDUP(H1169/BY1169,0)</f>
        <v>1</v>
      </c>
      <c r="CN1169" s="50" t="n">
        <f aca="false">ROUNDUP(CI1169/BY1169,0)</f>
        <v>0</v>
      </c>
      <c r="CO1169" s="53" t="n">
        <f aca="false">IF(BZ1169=1,0,IFERROR(VLOOKUP(BX1169,'Gebinde-Kategorie'!$A$5:$N$45,5,0)+0,0))</f>
        <v>11</v>
      </c>
      <c r="CP1169" s="53" t="n">
        <f aca="false">IFERROR(IF(OR(CE1169=1,CE1169=2,CE1169=3),N(INDEX(Parameter!$I$5:$I$7,CE1169)),0),0)</f>
        <v>0</v>
      </c>
      <c r="CQ1169" s="52" t="n">
        <f aca="false">IF(AND(Parameter!$B$21="Ja",ISNUMBER(W1169),N(X1169)&gt;0),IFERROR(N(INDEX(Parameter!$L$5:$L$7,W1169))*INDEX(Parameter!$E$5:$E$7,W1169)*X1169/SUMIFS($X$7:$X$1843,$W$7:$W$1843,W1169),0),0)</f>
        <v>0</v>
      </c>
    </row>
    <row r="1170" customFormat="false" ht="15" hidden="false" customHeight="false" outlineLevel="0" collapsed="false">
      <c r="A1170" s="48" t="s">
        <v>2115</v>
      </c>
      <c r="B1170" s="48" t="s">
        <v>2116</v>
      </c>
      <c r="C1170" s="48" t="s">
        <v>173</v>
      </c>
      <c r="D1170" s="48" t="s">
        <v>193</v>
      </c>
      <c r="E1170" s="48" t="s">
        <v>194</v>
      </c>
      <c r="F1170" s="48" t="s">
        <v>227</v>
      </c>
      <c r="G1170" s="49" t="n">
        <v>8.97</v>
      </c>
      <c r="H1170" s="50" t="n">
        <f aca="false">MAX(0,IF(AND(Parameter!$B$21="Ja",ISNUMBER(Y1170)),Y1170,IF(Parameter!$B$20="Jahresanfang 2025 + Export",BR1170+BQ1170,BQ1170)))</f>
        <v>12</v>
      </c>
      <c r="I1170" s="50" t="n">
        <f aca="false">H1170*G1170</f>
        <v>107.64</v>
      </c>
      <c r="J1170" s="50" t="n">
        <f aca="false">BT1170*Parameter!$B$18</f>
        <v>80</v>
      </c>
      <c r="K1170" s="51" t="n">
        <v>55</v>
      </c>
      <c r="L1170" s="52" t="n">
        <v>1.45454545454546</v>
      </c>
      <c r="M1170" s="50" t="n">
        <v>6</v>
      </c>
      <c r="N1170" s="50" t="n">
        <v>80</v>
      </c>
      <c r="O1170" s="53" t="n">
        <v>28</v>
      </c>
      <c r="P1170" s="48" t="s">
        <v>435</v>
      </c>
      <c r="Q1170" s="50" t="n">
        <v>38</v>
      </c>
      <c r="R1170" s="53" t="n">
        <f aca="false">IF(BZ1170=1,0,IFERROR(VLOOKUP(BX1170,'Gebinde-Kategorie'!$A$5:$N$45,13,0)+0,0))</f>
        <v>140</v>
      </c>
      <c r="S1170" s="54"/>
      <c r="T1170" s="55"/>
      <c r="U1170" s="55"/>
      <c r="V1170" s="55"/>
      <c r="W1170" s="48"/>
      <c r="X1170" s="50"/>
      <c r="Y1170" s="50"/>
      <c r="Z1170" s="48" t="n">
        <f aca="false">IF(A1170="","",IF(AND(Parameter!$B$21="Ja",ISNUMBER(W1170)),W1170,IF(CC1170="2+3",IF(ISNUMBER(SEARCH("grosser Artikel",BU1170)),2,IFERROR(VLOOKUP(BX1170,Parameter!$F$35:$G$64,2,0),2)),IF(OR(CC1170="Nein",CC1170=""),"-",CC1170))))</f>
        <v>3</v>
      </c>
      <c r="AA1170" s="55"/>
      <c r="AB1170" s="56"/>
      <c r="AC1170" s="50" t="n">
        <f aca="false">AV1170</f>
        <v>86</v>
      </c>
      <c r="AD1170" s="50" t="n">
        <f aca="false">MAX(AV1170,H1170)</f>
        <v>86</v>
      </c>
      <c r="AE1170" s="57"/>
      <c r="AF1170" s="50" t="n">
        <f aca="false">IF(LEFT(Cockpit!$C$5,1)="A",H1170,IF(Parameter!$E$30="MAX-Bestand",IF(CH1170=1,CI1170,IF(LEFT(Cockpit!$C$5,1)="B",AL1170,MAX(AL1170,H1170))),ROUNDUP(AJ1170,0)))</f>
        <v>12</v>
      </c>
      <c r="AG1170" s="50" t="n">
        <f aca="false">IF(BZ1170=1,0,ROUNDUP(AF1170/BY1170,0))</f>
        <v>1</v>
      </c>
      <c r="AH1170" s="52" t="n">
        <f aca="false">IF(CQ1170&gt;0,CQ1170*MAX(1,AF1170/X1170),IF(BZ1170=1,IF(AF1170&lt;=0,0,CD1170*MAX(1,IF(H1170&gt;0,AF1170/H1170,1))),IF(R1170&gt;0,AG1170/R1170,0))/MAX(0.1,N(Parameter!$M$21)))</f>
        <v>0.00714285714285714</v>
      </c>
      <c r="AI1170" s="50" t="n">
        <f aca="false">AH1170*CB1170</f>
        <v>1.10714285714286</v>
      </c>
      <c r="AJ1170" s="51" t="n">
        <f aca="false">IF(LEFT(Cockpit!$C$5,1)="A",H1170,IF(CH1170=1,(CK1170+CI1170)/2,IF(LEFT(Cockpit!$C$5,1)="B",(CK1170+AL1170)/2,MAX((CK1170+AL1170)/2,H1170))))</f>
        <v>12</v>
      </c>
      <c r="AK1170" s="50" t="n">
        <f aca="false">AJ1170*G1170</f>
        <v>107.64</v>
      </c>
      <c r="AL1170" s="50" t="n">
        <f aca="false">ROUNDUP(CK1170+MAX(CL1170,2*(J1170/IF(CG1170&gt;0,CG1170,MAX(0.1,N(Cockpit!$C$6)))-CK1170)),0)</f>
        <v>86</v>
      </c>
      <c r="AM1170" s="51" t="n">
        <f aca="false">IF(AI1170&gt;0,J1170/AI1170,-1)</f>
        <v>72.258064516129</v>
      </c>
      <c r="AN1170" s="51" t="n">
        <f aca="false">IF(AND(OR(CF1170="L1",CF1170="L23",CF1170="LIFT"),AI1170&gt;0),SUMIFS($AI$7:$AI$1843,$CF$7:$CF$1843,CF1170,$AM$7:$AM$1843,"&gt;"&amp;AM1170)+SUMIFS($AI$7:$AI$1843,$CF$7:$CF$1843,CF1170,$AM$7:$AM$1843,AM1170,$BW$7:$BW$1843,"&lt;="&amp;BW1170),"")</f>
        <v>880.537087912088</v>
      </c>
      <c r="AO1170" s="58" t="n">
        <f aca="false">IF(AN1170="",0,MAX(0,MIN(1,(IF(CF1170="L1",Parameter!$H$5,IF(CF1170="L23",Parameter!$H$6+Parameter!$H$7,Parameter!$H$5+Parameter!$H$6+Parameter!$H$7))-(AN1170-AI1170))/AI1170)))</f>
        <v>1</v>
      </c>
      <c r="AP1170" s="50" t="n">
        <f aca="false">IF(LEFT(Cockpit!$I$5,1)="A",H1170,IF(Parameter!$E$30="MAX-Bestand",IF(CH1170=1,CI1170,IF(LEFT(Cockpit!$I$5,1)="B",AV1170,MAX(AV1170,H1170))),ROUNDUP(AT1170,0)))</f>
        <v>46</v>
      </c>
      <c r="AQ1170" s="50" t="n">
        <f aca="false">IF(BZ1170=1,0,ROUNDUP(AP1170/BY1170,0))</f>
        <v>2</v>
      </c>
      <c r="AR1170" s="52" t="n">
        <f aca="false">IF(CQ1170&gt;0,CQ1170*MAX(1,AP1170/X1170),IF(BZ1170=1,IF(AP1170&lt;=0,0,CD1170*MAX(1,IF(H1170&gt;0,AP1170/H1170,1))),IF(R1170&gt;0,AQ1170/R1170,0))/MAX(0.1,N(Parameter!$M$21)))</f>
        <v>0.0142857142857143</v>
      </c>
      <c r="AS1170" s="50" t="n">
        <f aca="false">AR1170*CB1170</f>
        <v>2.21428571428571</v>
      </c>
      <c r="AT1170" s="51" t="n">
        <f aca="false">IF(LEFT(Cockpit!$I$5,1)="A",H1170,IF(CH1170=1,(CK1170+CI1170)/2,IF(LEFT(Cockpit!$I$5,1)="B",(CK1170+AV1170)/2,MAX((CK1170+AV1170)/2,H1170))))</f>
        <v>46</v>
      </c>
      <c r="AU1170" s="50" t="n">
        <f aca="false">AT1170*G1170</f>
        <v>412.62</v>
      </c>
      <c r="AV1170" s="50" t="n">
        <f aca="false">ROUNDUP(CK1170+MAX(CL1170,2*(J1170/IF(CG1170&gt;0,CG1170,MAX(0.1,N(Cockpit!$I$6)))-CK1170)),0)</f>
        <v>86</v>
      </c>
      <c r="AW1170" s="51" t="n">
        <f aca="false">IF(AS1170&gt;0,J1170/AS1170,-1)</f>
        <v>36.1290322580645</v>
      </c>
      <c r="AX1170" s="51" t="n">
        <f aca="false">IF(AND(OR(CF1170="L1",CF1170="L23",CF1170="LIFT"),AS1170&gt;0),SUMIFS($AS$7:$AS$1843,$CF$7:$CF$1843,CF1170,$AW$7:$AW$1843,"&gt;"&amp;AW1170)+SUMIFS($AS$7:$AS$1843,$CF$7:$CF$1843,CF1170,$AW$7:$AW$1843,AW1170,$BW$7:$BW$1843,"&lt;="&amp;BW1170),"")</f>
        <v>1604.61904761905</v>
      </c>
      <c r="AY1170" s="58" t="n">
        <f aca="false">IF(AX1170="",0,MAX(0,MIN(1,(IF(CF1170="L1",Parameter!$H$5,IF(CF1170="L23",Parameter!$H$6+Parameter!$H$7,Parameter!$H$5+Parameter!$H$6+Parameter!$H$7))-(AX1170-AS1170))/AS1170)))</f>
        <v>1</v>
      </c>
      <c r="AZ1170" s="50" t="n">
        <f aca="false">IF(LEFT(Cockpit!$O$5,1)="A",H1170,IF(Parameter!$E$30="MAX-Bestand",IF(CH1170=1,CI1170,IF(LEFT(Cockpit!$O$5,1)="B",BF1170,MAX(BF1170,H1170))),ROUNDUP(BD1170,0)))</f>
        <v>46</v>
      </c>
      <c r="BA1170" s="50" t="n">
        <f aca="false">IF(BZ1170=1,0,ROUNDUP(AZ1170/BY1170,0))</f>
        <v>2</v>
      </c>
      <c r="BB1170" s="52" t="n">
        <f aca="false">IF(CQ1170&gt;0,CQ1170*MAX(1,AZ1170/X1170),IF(BZ1170=1,IF(AZ1170&lt;=0,0,CD1170*MAX(1,IF(H1170&gt;0,AZ1170/H1170,1))),IF(R1170&gt;0,BA1170/R1170,0))/MAX(0.1,N(Parameter!$M$21)))</f>
        <v>0.0142857142857143</v>
      </c>
      <c r="BC1170" s="50" t="n">
        <f aca="false">BB1170*CB1170</f>
        <v>2.21428571428571</v>
      </c>
      <c r="BD1170" s="51" t="n">
        <f aca="false">IF(LEFT(Cockpit!$O$5,1)="A",H1170,IF(CH1170=1,(CK1170+CI1170)/2,IF(LEFT(Cockpit!$O$5,1)="B",(CK1170+BF1170)/2,MAX((CK1170+BF1170)/2,H1170))))</f>
        <v>46</v>
      </c>
      <c r="BE1170" s="50" t="n">
        <f aca="false">BD1170*G1170</f>
        <v>412.62</v>
      </c>
      <c r="BF1170" s="50" t="n">
        <f aca="false">ROUNDUP(CK1170+MAX(CL1170,2*(J1170/IF(CG1170&gt;0,CG1170,MAX(0.1,N(Cockpit!$O$6)))-CK1170)),0)</f>
        <v>86</v>
      </c>
      <c r="BG1170" s="51" t="n">
        <f aca="false">IF(BC1170&gt;0,J1170/BC1170,-1)</f>
        <v>36.1290322580645</v>
      </c>
      <c r="BH1170" s="51" t="n">
        <f aca="false">IF(AND(OR(CF1170="L1",CF1170="L23",CF1170="LIFT"),BC1170&gt;0),SUMIFS($BC$7:$BC$1843,$CF$7:$CF$1843,CF1170,$BG$7:$BG$1843,"&gt;"&amp;BG1170)+SUMIFS($BC$7:$BC$1843,$CF$7:$CF$1843,CF1170,$BG$7:$BG$1843,BG1170,$BW$7:$BW$1843,"&lt;="&amp;BW1170),"")</f>
        <v>1532.82051282051</v>
      </c>
      <c r="BI1170" s="58" t="n">
        <f aca="false">IF(BH1170="",0,MAX(0,MIN(1,(IF(CF1170="L1",Parameter!$H$5,IF(CF1170="L23",Parameter!$H$6+Parameter!$H$7,Parameter!$H$5+Parameter!$H$6+Parameter!$H$7))-(BH1170-BC1170))/BC1170)))</f>
        <v>1</v>
      </c>
      <c r="BJ1170" s="48" t="str">
        <f aca="false">IF(AI1170&lt;=0,"",IF(CF1170="Aussen","Aussenlager",IF(CF1170="-","Nicht im Lift",IF(AO1170&gt;=1,"Lift",IF(AO1170&lt;=0,"Aussenlager","teilweise")))))</f>
        <v>Lift</v>
      </c>
      <c r="BK1170" s="48" t="str">
        <f aca="false">IF(AS1170&lt;=0,"",IF(CF1170="Aussen","Aussenlager",IF(CF1170="-","Nicht im Lift",IF(AY1170&gt;=1,"Lift",IF(AY1170&lt;=0,"Aussenlager","teilweise")))))</f>
        <v>Lift</v>
      </c>
      <c r="BL1170" s="48" t="str">
        <f aca="false">IF(BC1170&lt;=0,"",IF(CF1170="Aussen","Aussenlager",IF(CF1170="-","Nicht im Lift",IF(BI1170&gt;=1,"Lift",IF(BI1170&lt;=0,"Aussenlager","teilweise")))))</f>
        <v>Lift</v>
      </c>
      <c r="BM1170" s="48" t="str">
        <f aca="false">IF(A1170="","",IF(BV1170=1,"Neu; ","")&amp;IF(AND(BV1170=0,BQ1170&lt;0),"negativer Bestand (Export "&amp;BQ1170&amp;"); ","")&amp;IF(J1170&lt;=0,"Kein Verbrauch; ","")&amp;IF(CQ1170&gt;0,"Lift "&amp;W1170&amp;" lt. Liftbericht (Fach "&amp;X1170&amp;" Stk); ",IF(CA1170=1,"Gebinde geschätzt ("&amp;T1170&amp;"); ",IF(BZ1170=1,"Lose – Tablare geschätzt; ","")))&amp;IF(H1170&gt;AV1170,"Überbestand "&amp;ROUND(H1170-AV1170,0)&amp;" Stk / CHF "&amp;ROUND((H1170-AV1170)*G1170,0)&amp;"; ","")&amp;IF(AND(CH1170=1,CI1170&lt;CJ1170),"MAX &lt; MB+LG; ","")&amp;IF(AND(CP1170&gt;0,CO1170*10&gt;CP1170),"zu hoch für Tablar; ","")&amp;IF(AND(BV1170=0,OR(CH1170=1,AA1170&lt;&gt;"",U1170&lt;&gt;"",V1170&lt;&gt;"",AB1170&lt;&gt;"")),"manuell übersteuert; ","")&amp;IF(AND(BZ1170=0,R1170=0),"Gebinde unbekannt / Stellmass fehlt; ","")&amp;IF(AND(BZ1170=0,N(V1170)&lt;=0,N(Q1170)&lt;=0),"Menge pro Gebinde fehlt (Ist = 1 Gebinde); ","")&amp;BU1170)</f>
        <v>negativer Bestand (Export -48); Überbestand</v>
      </c>
      <c r="BN1170" s="48"/>
      <c r="BO1170" s="48"/>
      <c r="BP1170" s="55"/>
      <c r="BQ1170" s="50" t="n">
        <v>-48</v>
      </c>
      <c r="BR1170" s="50" t="n">
        <v>60</v>
      </c>
      <c r="BS1170" s="49" t="n">
        <v>-353.16</v>
      </c>
      <c r="BT1170" s="50" t="n">
        <v>80</v>
      </c>
      <c r="BU1170" s="48" t="s">
        <v>401</v>
      </c>
      <c r="BV1170" s="53" t="n">
        <v>0</v>
      </c>
      <c r="BW1170" s="53" t="n">
        <v>1170</v>
      </c>
      <c r="BX1170" s="48" t="str">
        <f aca="false">IF(U1170&lt;&gt;"",UPPER(TRIM(U1170)),IF(CA1170=1,UPPER(VLOOKUP(T1170,Parameter!$I$27:$K$29,2,0)),IF(P1170="","LOSE",P1170)))</f>
        <v>S22</v>
      </c>
      <c r="BY1170" s="50" t="n">
        <f aca="false">IF(BX1170="LOSE",1,IF(N(V1170)&gt;0,V1170,IF(CA1170=1,MAX(1,N(VLOOKUP(T1170,Parameter!$I$27:$K$29,3,0)),H1170,N(N1170)),IF(N(Q1170)&gt;0,Q1170,MAX(1,H1170)))))</f>
        <v>38</v>
      </c>
      <c r="BZ1170" s="53" t="n">
        <f aca="false">IF(BX1170="LOSE",1,0)</f>
        <v>0</v>
      </c>
      <c r="CA1170" s="53" t="n">
        <f aca="false">IF(AND(U1170="",OR(P1170="",P1170="LOSE"),T1170&lt;&gt;"",N(S1170)&lt;=0,ISNUMBER(MATCH(T1170,Parameter!$I$27:$I$29,0))),1,0)</f>
        <v>0</v>
      </c>
      <c r="CB1170" s="53" t="n">
        <f aca="false">IF(CQ1170&gt;0,INDEX(Parameter!$H$5:$H$7,W1170)/INDEX(Parameter!$E$5:$E$7,W1170),IF(AND(BZ1170=0,N(IFERROR(VLOOKUP(BX1170,'Gebinde-Kategorie'!$A$5:$N$45,14,0),0))&gt;0),VLOOKUP(BX1170,'Gebinde-Kategorie'!$A$5:$N$45,14,0)*10+Parameter!$M$23,Parameter!$M$24))</f>
        <v>155</v>
      </c>
      <c r="CC1170" s="48" t="str">
        <f aca="false">IF(AND(Parameter!$B$19="Ja",E1170&lt;&gt;"",ISNUMBER(MATCH(E1170,Parameter!$I$35:$I$52,0))),VLOOKUP(E1170,Parameter!$I$35:$J$52,2,0),IFERROR(VLOOKUP(D1170,Parameter!$A$35:$C$64,2,0),"Nein"))</f>
        <v>2+3</v>
      </c>
      <c r="CD1170" s="52" t="n">
        <f aca="false">IF(BZ1170=0,0,IF(N(S1170)&gt;0,S1170,IFERROR(VLOOKUP(D1170,Parameter!$A$35:$C$64,3,0)+0,0)))</f>
        <v>0</v>
      </c>
      <c r="CE1170" s="48" t="n">
        <f aca="false">IF(AA1170&lt;&gt;"",AA1170,Z1170)</f>
        <v>3</v>
      </c>
      <c r="CF1170" s="48" t="str">
        <f aca="false">IF(OR(CE1170=1,CE1170=2,CE1170=3),IF(Parameter!$E$27="Ja","LIFT",IF(CE1170=1,"L1","L23")),IF(CE1170="Aussen","Aussen","-"))</f>
        <v>LIFT</v>
      </c>
      <c r="CG1170" s="59" t="n">
        <f aca="false">IF(N(AB1170)&gt;0,AB1170,0)</f>
        <v>0</v>
      </c>
      <c r="CH1170" s="53" t="n">
        <f aca="false">IF(ISNUMBER(AE1170),1,0)</f>
        <v>0</v>
      </c>
      <c r="CI1170" s="50" t="n">
        <f aca="false">N(AE1170)</f>
        <v>0</v>
      </c>
      <c r="CJ1170" s="50" t="n">
        <f aca="false">N(M1170)+N(N1170)</f>
        <v>86</v>
      </c>
      <c r="CK1170" s="50" t="n">
        <f aca="false">N(M1170)</f>
        <v>6</v>
      </c>
      <c r="CL1170" s="50" t="n">
        <f aca="false">N(N1170)</f>
        <v>80</v>
      </c>
      <c r="CM1170" s="50" t="n">
        <f aca="false">ROUNDUP(H1170/BY1170,0)</f>
        <v>1</v>
      </c>
      <c r="CN1170" s="50" t="n">
        <f aca="false">ROUNDUP(CI1170/BY1170,0)</f>
        <v>0</v>
      </c>
      <c r="CO1170" s="53" t="n">
        <f aca="false">IF(BZ1170=1,0,IFERROR(VLOOKUP(BX1170,'Gebinde-Kategorie'!$A$5:$N$45,5,0)+0,0))</f>
        <v>8</v>
      </c>
      <c r="CP1170" s="53" t="n">
        <f aca="false">IFERROR(IF(OR(CE1170=1,CE1170=2,CE1170=3),N(INDEX(Parameter!$I$5:$I$7,CE1170)),0),0)</f>
        <v>0</v>
      </c>
      <c r="CQ1170" s="52" t="n">
        <f aca="false">IF(AND(Parameter!$B$21="Ja",ISNUMBER(W1170),N(X1170)&gt;0),IFERROR(N(INDEX(Parameter!$L$5:$L$7,W1170))*INDEX(Parameter!$E$5:$E$7,W1170)*X1170/SUMIFS($X$7:$X$1843,$W$7:$W$1843,W1170),0),0)</f>
        <v>0</v>
      </c>
    </row>
    <row r="1171" customFormat="false" ht="15" hidden="false" customHeight="false" outlineLevel="0" collapsed="false">
      <c r="A1171" s="48" t="s">
        <v>2117</v>
      </c>
      <c r="B1171" s="48" t="s">
        <v>2118</v>
      </c>
      <c r="C1171" s="48" t="s">
        <v>173</v>
      </c>
      <c r="D1171" s="48" t="s">
        <v>193</v>
      </c>
      <c r="E1171" s="48" t="s">
        <v>194</v>
      </c>
      <c r="F1171" s="48" t="s">
        <v>227</v>
      </c>
      <c r="G1171" s="49" t="n">
        <v>248.96</v>
      </c>
      <c r="H1171" s="50" t="n">
        <f aca="false">MAX(0,IF(AND(Parameter!$B$21="Ja",ISNUMBER(Y1171)),Y1171,IF(Parameter!$B$20="Jahresanfang 2025 + Export",BR1171+BQ1171,BQ1171)))</f>
        <v>24</v>
      </c>
      <c r="I1171" s="50" t="n">
        <f aca="false">H1171*G1171</f>
        <v>5975.04</v>
      </c>
      <c r="J1171" s="50" t="n">
        <f aca="false">BT1171*Parameter!$B$18</f>
        <v>216</v>
      </c>
      <c r="K1171" s="51" t="n">
        <v>20</v>
      </c>
      <c r="L1171" s="52" t="n">
        <v>10.8</v>
      </c>
      <c r="M1171" s="50" t="n">
        <v>12</v>
      </c>
      <c r="N1171" s="50" t="n">
        <v>25</v>
      </c>
      <c r="O1171" s="53" t="n">
        <v>21</v>
      </c>
      <c r="P1171" s="48" t="s">
        <v>242</v>
      </c>
      <c r="Q1171" s="50" t="n">
        <v>70</v>
      </c>
      <c r="R1171" s="53" t="n">
        <f aca="false">IF(BZ1171=1,0,IFERROR(VLOOKUP(BX1171,'Gebinde-Kategorie'!$A$5:$N$45,13,0)+0,0))</f>
        <v>26</v>
      </c>
      <c r="S1171" s="54"/>
      <c r="T1171" s="55"/>
      <c r="U1171" s="55"/>
      <c r="V1171" s="55"/>
      <c r="W1171" s="48"/>
      <c r="X1171" s="50"/>
      <c r="Y1171" s="50"/>
      <c r="Z1171" s="48" t="n">
        <f aca="false">IF(A1171="","",IF(AND(Parameter!$B$21="Ja",ISNUMBER(W1171)),W1171,IF(CC1171="2+3",IF(ISNUMBER(SEARCH("grosser Artikel",BU1171)),2,IFERROR(VLOOKUP(BX1171,Parameter!$F$35:$G$64,2,0),2)),IF(OR(CC1171="Nein",CC1171=""),"-",CC1171))))</f>
        <v>3</v>
      </c>
      <c r="AA1171" s="55"/>
      <c r="AB1171" s="56"/>
      <c r="AC1171" s="50" t="n">
        <f aca="false">AV1171</f>
        <v>132</v>
      </c>
      <c r="AD1171" s="50" t="n">
        <f aca="false">MAX(AV1171,H1171)</f>
        <v>132</v>
      </c>
      <c r="AE1171" s="57"/>
      <c r="AF1171" s="50" t="n">
        <f aca="false">IF(LEFT(Cockpit!$C$5,1)="A",H1171,IF(Parameter!$E$30="MAX-Bestand",IF(CH1171=1,CI1171,IF(LEFT(Cockpit!$C$5,1)="B",AL1171,MAX(AL1171,H1171))),ROUNDUP(AJ1171,0)))</f>
        <v>24</v>
      </c>
      <c r="AG1171" s="50" t="n">
        <f aca="false">IF(BZ1171=1,0,ROUNDUP(AF1171/BY1171,0))</f>
        <v>1</v>
      </c>
      <c r="AH1171" s="52" t="n">
        <f aca="false">IF(CQ1171&gt;0,CQ1171*MAX(1,AF1171/X1171),IF(BZ1171=1,IF(AF1171&lt;=0,0,CD1171*MAX(1,IF(H1171&gt;0,AF1171/H1171,1))),IF(R1171&gt;0,AG1171/R1171,0))/MAX(0.1,N(Parameter!$M$21)))</f>
        <v>0.0384615384615385</v>
      </c>
      <c r="AI1171" s="50" t="n">
        <f aca="false">AH1171*CB1171</f>
        <v>9.42307692307692</v>
      </c>
      <c r="AJ1171" s="51" t="n">
        <f aca="false">IF(LEFT(Cockpit!$C$5,1)="A",H1171,IF(CH1171=1,(CK1171+CI1171)/2,IF(LEFT(Cockpit!$C$5,1)="B",(CK1171+AL1171)/2,MAX((CK1171+AL1171)/2,H1171))))</f>
        <v>24</v>
      </c>
      <c r="AK1171" s="50" t="n">
        <f aca="false">AJ1171*G1171</f>
        <v>5975.04</v>
      </c>
      <c r="AL1171" s="50" t="n">
        <f aca="false">ROUNDUP(CK1171+MAX(CL1171,2*(J1171/IF(CG1171&gt;0,CG1171,MAX(0.1,N(Cockpit!$C$6)))-CK1171)),0)</f>
        <v>132</v>
      </c>
      <c r="AM1171" s="51" t="n">
        <f aca="false">IF(AI1171&gt;0,J1171/AI1171,-1)</f>
        <v>22.9224489795918</v>
      </c>
      <c r="AN1171" s="51" t="n">
        <f aca="false">IF(AND(OR(CF1171="L1",CF1171="L23",CF1171="LIFT"),AI1171&gt;0),SUMIFS($AI$7:$AI$1843,$CF$7:$CF$1843,CF1171,$AM$7:$AM$1843,"&gt;"&amp;AM1171)+SUMIFS($AI$7:$AI$1843,$CF$7:$CF$1843,CF1171,$AM$7:$AM$1843,AM1171,$BW$7:$BW$1843,"&lt;="&amp;BW1171),"")</f>
        <v>1589.40750915751</v>
      </c>
      <c r="AO1171" s="58" t="n">
        <f aca="false">IF(AN1171="",0,MAX(0,MIN(1,(IF(CF1171="L1",Parameter!$H$5,IF(CF1171="L23",Parameter!$H$6+Parameter!$H$7,Parameter!$H$5+Parameter!$H$6+Parameter!$H$7))-(AN1171-AI1171))/AI1171)))</f>
        <v>1</v>
      </c>
      <c r="AP1171" s="50" t="n">
        <f aca="false">IF(LEFT(Cockpit!$I$5,1)="A",H1171,IF(Parameter!$E$30="MAX-Bestand",IF(CH1171=1,CI1171,IF(LEFT(Cockpit!$I$5,1)="B",AV1171,MAX(AV1171,H1171))),ROUNDUP(AT1171,0)))</f>
        <v>72</v>
      </c>
      <c r="AQ1171" s="50" t="n">
        <f aca="false">IF(BZ1171=1,0,ROUNDUP(AP1171/BY1171,0))</f>
        <v>2</v>
      </c>
      <c r="AR1171" s="52" t="n">
        <f aca="false">IF(CQ1171&gt;0,CQ1171*MAX(1,AP1171/X1171),IF(BZ1171=1,IF(AP1171&lt;=0,0,CD1171*MAX(1,IF(H1171&gt;0,AP1171/H1171,1))),IF(R1171&gt;0,AQ1171/R1171,0))/MAX(0.1,N(Parameter!$M$21)))</f>
        <v>0.0769230769230769</v>
      </c>
      <c r="AS1171" s="50" t="n">
        <f aca="false">AR1171*CB1171</f>
        <v>18.8461538461538</v>
      </c>
      <c r="AT1171" s="51" t="n">
        <f aca="false">IF(LEFT(Cockpit!$I$5,1)="A",H1171,IF(CH1171=1,(CK1171+CI1171)/2,IF(LEFT(Cockpit!$I$5,1)="B",(CK1171+AV1171)/2,MAX((CK1171+AV1171)/2,H1171))))</f>
        <v>72</v>
      </c>
      <c r="AU1171" s="50" t="n">
        <f aca="false">AT1171*G1171</f>
        <v>17925.12</v>
      </c>
      <c r="AV1171" s="50" t="n">
        <f aca="false">ROUNDUP(CK1171+MAX(CL1171,2*(J1171/IF(CG1171&gt;0,CG1171,MAX(0.1,N(Cockpit!$I$6)))-CK1171)),0)</f>
        <v>132</v>
      </c>
      <c r="AW1171" s="51" t="n">
        <f aca="false">IF(AS1171&gt;0,J1171/AS1171,-1)</f>
        <v>11.4612244897959</v>
      </c>
      <c r="AX1171" s="51" t="n">
        <f aca="false">IF(AND(OR(CF1171="L1",CF1171="L23",CF1171="LIFT"),AS1171&gt;0),SUMIFS($AS$7:$AS$1843,$CF$7:$CF$1843,CF1171,$AW$7:$AW$1843,"&gt;"&amp;AW1171)+SUMIFS($AS$7:$AS$1843,$CF$7:$CF$1843,CF1171,$AW$7:$AW$1843,AW1171,$BW$7:$BW$1843,"&lt;="&amp;BW1171),"")</f>
        <v>3143.57875457875</v>
      </c>
      <c r="AY1171" s="58" t="n">
        <f aca="false">IF(AX1171="",0,MAX(0,MIN(1,(IF(CF1171="L1",Parameter!$H$5,IF(CF1171="L23",Parameter!$H$6+Parameter!$H$7,Parameter!$H$5+Parameter!$H$6+Parameter!$H$7))-(AX1171-AS1171))/AS1171)))</f>
        <v>1</v>
      </c>
      <c r="AZ1171" s="50" t="n">
        <f aca="false">IF(LEFT(Cockpit!$O$5,1)="A",H1171,IF(Parameter!$E$30="MAX-Bestand",IF(CH1171=1,CI1171,IF(LEFT(Cockpit!$O$5,1)="B",BF1171,MAX(BF1171,H1171))),ROUNDUP(BD1171,0)))</f>
        <v>54</v>
      </c>
      <c r="BA1171" s="50" t="n">
        <f aca="false">IF(BZ1171=1,0,ROUNDUP(AZ1171/BY1171,0))</f>
        <v>1</v>
      </c>
      <c r="BB1171" s="52" t="n">
        <f aca="false">IF(CQ1171&gt;0,CQ1171*MAX(1,AZ1171/X1171),IF(BZ1171=1,IF(AZ1171&lt;=0,0,CD1171*MAX(1,IF(H1171&gt;0,AZ1171/H1171,1))),IF(R1171&gt;0,BA1171/R1171,0))/MAX(0.1,N(Parameter!$M$21)))</f>
        <v>0.0384615384615385</v>
      </c>
      <c r="BC1171" s="50" t="n">
        <f aca="false">BB1171*CB1171</f>
        <v>9.42307692307692</v>
      </c>
      <c r="BD1171" s="51" t="n">
        <f aca="false">IF(LEFT(Cockpit!$O$5,1)="A",H1171,IF(CH1171=1,(CK1171+CI1171)/2,IF(LEFT(Cockpit!$O$5,1)="B",(CK1171+BF1171)/2,MAX((CK1171+BF1171)/2,H1171))))</f>
        <v>54</v>
      </c>
      <c r="BE1171" s="50" t="n">
        <f aca="false">BD1171*G1171</f>
        <v>13443.84</v>
      </c>
      <c r="BF1171" s="50" t="n">
        <f aca="false">ROUNDUP(CK1171+MAX(CL1171,2*(J1171/IF(CG1171&gt;0,CG1171,MAX(0.1,N(Cockpit!$O$6)))-CK1171)),0)</f>
        <v>96</v>
      </c>
      <c r="BG1171" s="51" t="n">
        <f aca="false">IF(BC1171&gt;0,J1171/BC1171,-1)</f>
        <v>22.9224489795918</v>
      </c>
      <c r="BH1171" s="51" t="n">
        <f aca="false">IF(AND(OR(CF1171="L1",CF1171="L23",CF1171="LIFT"),BC1171&gt;0),SUMIFS($BC$7:$BC$1843,$CF$7:$CF$1843,CF1171,$BG$7:$BG$1843,"&gt;"&amp;BG1171)+SUMIFS($BC$7:$BC$1843,$CF$7:$CF$1843,CF1171,$BG$7:$BG$1843,BG1171,$BW$7:$BW$1843,"&lt;="&amp;BW1171),"")</f>
        <v>2152.02335164835</v>
      </c>
      <c r="BI1171" s="58" t="n">
        <f aca="false">IF(BH1171="",0,MAX(0,MIN(1,(IF(CF1171="L1",Parameter!$H$5,IF(CF1171="L23",Parameter!$H$6+Parameter!$H$7,Parameter!$H$5+Parameter!$H$6+Parameter!$H$7))-(BH1171-BC1171))/BC1171)))</f>
        <v>1</v>
      </c>
      <c r="BJ1171" s="48" t="str">
        <f aca="false">IF(AI1171&lt;=0,"",IF(CF1171="Aussen","Aussenlager",IF(CF1171="-","Nicht im Lift",IF(AO1171&gt;=1,"Lift",IF(AO1171&lt;=0,"Aussenlager","teilweise")))))</f>
        <v>Lift</v>
      </c>
      <c r="BK1171" s="48" t="str">
        <f aca="false">IF(AS1171&lt;=0,"",IF(CF1171="Aussen","Aussenlager",IF(CF1171="-","Nicht im Lift",IF(AY1171&gt;=1,"Lift",IF(AY1171&lt;=0,"Aussenlager","teilweise")))))</f>
        <v>Lift</v>
      </c>
      <c r="BL1171" s="48" t="str">
        <f aca="false">IF(BC1171&lt;=0,"",IF(CF1171="Aussen","Aussenlager",IF(CF1171="-","Nicht im Lift",IF(BI1171&gt;=1,"Lift",IF(BI1171&lt;=0,"Aussenlager","teilweise")))))</f>
        <v>Lift</v>
      </c>
      <c r="BM1171" s="48" t="str">
        <f aca="false">IF(A1171="","",IF(BV1171=1,"Neu; ","")&amp;IF(AND(BV1171=0,BQ1171&lt;0),"negativer Bestand (Export "&amp;BQ1171&amp;"); ","")&amp;IF(J1171&lt;=0,"Kein Verbrauch; ","")&amp;IF(CQ1171&gt;0,"Lift "&amp;W1171&amp;" lt. Liftbericht (Fach "&amp;X1171&amp;" Stk); ",IF(CA1171=1,"Gebinde geschätzt ("&amp;T1171&amp;"); ",IF(BZ1171=1,"Lose – Tablare geschätzt; ","")))&amp;IF(H1171&gt;AV1171,"Überbestand "&amp;ROUND(H1171-AV1171,0)&amp;" Stk / CHF "&amp;ROUND((H1171-AV1171)*G1171,0)&amp;"; ","")&amp;IF(AND(CH1171=1,CI1171&lt;CJ1171),"MAX &lt; MB+LG; ","")&amp;IF(AND(CP1171&gt;0,CO1171*10&gt;CP1171),"zu hoch für Tablar; ","")&amp;IF(AND(BV1171=0,OR(CH1171=1,AA1171&lt;&gt;"",U1171&lt;&gt;"",V1171&lt;&gt;"",AB1171&lt;&gt;"")),"manuell übersteuert; ","")&amp;IF(AND(BZ1171=0,R1171=0),"Gebinde unbekannt / Stellmass fehlt; ","")&amp;IF(AND(BZ1171=0,N(V1171)&lt;=0,N(Q1171)&lt;=0),"Menge pro Gebinde fehlt (Ist = 1 Gebinde); ","")&amp;BU1171)</f>
        <v>negativer Bestand (Export -3); </v>
      </c>
      <c r="BN1171" s="48"/>
      <c r="BO1171" s="48"/>
      <c r="BP1171" s="55"/>
      <c r="BQ1171" s="50" t="n">
        <v>-3</v>
      </c>
      <c r="BR1171" s="50" t="n">
        <v>27</v>
      </c>
      <c r="BS1171" s="49" t="n">
        <v>-357.91999999998</v>
      </c>
      <c r="BT1171" s="50" t="n">
        <v>216</v>
      </c>
      <c r="BU1171" s="48"/>
      <c r="BV1171" s="53" t="n">
        <v>0</v>
      </c>
      <c r="BW1171" s="53" t="n">
        <v>1171</v>
      </c>
      <c r="BX1171" s="48" t="str">
        <f aca="false">IF(U1171&lt;&gt;"",UPPER(TRIM(U1171)),IF(CA1171=1,UPPER(VLOOKUP(T1171,Parameter!$I$27:$K$29,2,0)),IF(P1171="","LOSE",P1171)))</f>
        <v>S52</v>
      </c>
      <c r="BY1171" s="50" t="n">
        <f aca="false">IF(BX1171="LOSE",1,IF(N(V1171)&gt;0,V1171,IF(CA1171=1,MAX(1,N(VLOOKUP(T1171,Parameter!$I$27:$K$29,3,0)),H1171,N(N1171)),IF(N(Q1171)&gt;0,Q1171,MAX(1,H1171)))))</f>
        <v>70</v>
      </c>
      <c r="BZ1171" s="53" t="n">
        <f aca="false">IF(BX1171="LOSE",1,0)</f>
        <v>0</v>
      </c>
      <c r="CA1171" s="53" t="n">
        <f aca="false">IF(AND(U1171="",OR(P1171="",P1171="LOSE"),T1171&lt;&gt;"",N(S1171)&lt;=0,ISNUMBER(MATCH(T1171,Parameter!$I$27:$I$29,0))),1,0)</f>
        <v>0</v>
      </c>
      <c r="CB1171" s="53" t="n">
        <f aca="false">IF(CQ1171&gt;0,INDEX(Parameter!$H$5:$H$7,W1171)/INDEX(Parameter!$E$5:$E$7,W1171),IF(AND(BZ1171=0,N(IFERROR(VLOOKUP(BX1171,'Gebinde-Kategorie'!$A$5:$N$45,14,0),0))&gt;0),VLOOKUP(BX1171,'Gebinde-Kategorie'!$A$5:$N$45,14,0)*10+Parameter!$M$23,Parameter!$M$24))</f>
        <v>245</v>
      </c>
      <c r="CC1171" s="48" t="str">
        <f aca="false">IF(AND(Parameter!$B$19="Ja",E1171&lt;&gt;"",ISNUMBER(MATCH(E1171,Parameter!$I$35:$I$52,0))),VLOOKUP(E1171,Parameter!$I$35:$J$52,2,0),IFERROR(VLOOKUP(D1171,Parameter!$A$35:$C$64,2,0),"Nein"))</f>
        <v>2+3</v>
      </c>
      <c r="CD1171" s="52" t="n">
        <f aca="false">IF(BZ1171=0,0,IF(N(S1171)&gt;0,S1171,IFERROR(VLOOKUP(D1171,Parameter!$A$35:$C$64,3,0)+0,0)))</f>
        <v>0</v>
      </c>
      <c r="CE1171" s="48" t="n">
        <f aca="false">IF(AA1171&lt;&gt;"",AA1171,Z1171)</f>
        <v>3</v>
      </c>
      <c r="CF1171" s="48" t="str">
        <f aca="false">IF(OR(CE1171=1,CE1171=2,CE1171=3),IF(Parameter!$E$27="Ja","LIFT",IF(CE1171=1,"L1","L23")),IF(CE1171="Aussen","Aussen","-"))</f>
        <v>LIFT</v>
      </c>
      <c r="CG1171" s="59" t="n">
        <f aca="false">IF(N(AB1171)&gt;0,AB1171,0)</f>
        <v>0</v>
      </c>
      <c r="CH1171" s="53" t="n">
        <f aca="false">IF(ISNUMBER(AE1171),1,0)</f>
        <v>0</v>
      </c>
      <c r="CI1171" s="50" t="n">
        <f aca="false">N(AE1171)</f>
        <v>0</v>
      </c>
      <c r="CJ1171" s="50" t="n">
        <f aca="false">N(M1171)+N(N1171)</f>
        <v>37</v>
      </c>
      <c r="CK1171" s="50" t="n">
        <f aca="false">N(M1171)</f>
        <v>12</v>
      </c>
      <c r="CL1171" s="50" t="n">
        <f aca="false">N(N1171)</f>
        <v>25</v>
      </c>
      <c r="CM1171" s="50" t="n">
        <f aca="false">ROUNDUP(H1171/BY1171,0)</f>
        <v>1</v>
      </c>
      <c r="CN1171" s="50" t="n">
        <f aca="false">ROUNDUP(CI1171/BY1171,0)</f>
        <v>0</v>
      </c>
      <c r="CO1171" s="53" t="n">
        <f aca="false">IF(BZ1171=1,0,IFERROR(VLOOKUP(BX1171,'Gebinde-Kategorie'!$A$5:$N$45,5,0)+0,0))</f>
        <v>21</v>
      </c>
      <c r="CP1171" s="53" t="n">
        <f aca="false">IFERROR(IF(OR(CE1171=1,CE1171=2,CE1171=3),N(INDEX(Parameter!$I$5:$I$7,CE1171)),0),0)</f>
        <v>0</v>
      </c>
      <c r="CQ1171" s="52" t="n">
        <f aca="false">IF(AND(Parameter!$B$21="Ja",ISNUMBER(W1171),N(X1171)&gt;0),IFERROR(N(INDEX(Parameter!$L$5:$L$7,W1171))*INDEX(Parameter!$E$5:$E$7,W1171)*X1171/SUMIFS($X$7:$X$1843,$W$7:$W$1843,W1171),0),0)</f>
        <v>0</v>
      </c>
    </row>
    <row r="1172" customFormat="false" ht="15" hidden="false" customHeight="false" outlineLevel="0" collapsed="false">
      <c r="A1172" s="48" t="s">
        <v>2119</v>
      </c>
      <c r="B1172" s="48" t="s">
        <v>2120</v>
      </c>
      <c r="C1172" s="48" t="s">
        <v>173</v>
      </c>
      <c r="D1172" s="48" t="s">
        <v>182</v>
      </c>
      <c r="E1172" s="48" t="s">
        <v>175</v>
      </c>
      <c r="F1172" s="48" t="s">
        <v>227</v>
      </c>
      <c r="G1172" s="49" t="n">
        <v>360</v>
      </c>
      <c r="H1172" s="50" t="n">
        <f aca="false">MAX(0,IF(AND(Parameter!$B$21="Ja",ISNUMBER(Y1172)),Y1172,IF(Parameter!$B$20="Jahresanfang 2025 + Export",BR1172+BQ1172,BQ1172)))</f>
        <v>13</v>
      </c>
      <c r="I1172" s="50" t="n">
        <f aca="false">H1172*G1172</f>
        <v>4680</v>
      </c>
      <c r="J1172" s="50" t="n">
        <f aca="false">BT1172*Parameter!$B$18</f>
        <v>0</v>
      </c>
      <c r="K1172" s="51" t="n">
        <v>14</v>
      </c>
      <c r="L1172" s="52" t="n">
        <v>0</v>
      </c>
      <c r="M1172" s="50" t="n">
        <v>0</v>
      </c>
      <c r="N1172" s="50" t="n">
        <v>1</v>
      </c>
      <c r="O1172" s="53" t="n">
        <v>28</v>
      </c>
      <c r="P1172" s="48" t="s">
        <v>235</v>
      </c>
      <c r="Q1172" s="50" t="n">
        <v>15</v>
      </c>
      <c r="R1172" s="53" t="n">
        <f aca="false">IF(BZ1172=1,0,IFERROR(VLOOKUP(BX1172,'Gebinde-Kategorie'!$A$5:$N$45,13,0)+0,0))</f>
        <v>12</v>
      </c>
      <c r="S1172" s="54"/>
      <c r="T1172" s="55"/>
      <c r="U1172" s="55"/>
      <c r="V1172" s="55"/>
      <c r="W1172" s="48"/>
      <c r="X1172" s="50"/>
      <c r="Y1172" s="50"/>
      <c r="Z1172" s="48" t="n">
        <f aca="false">IF(A1172="","",IF(AND(Parameter!$B$21="Ja",ISNUMBER(W1172)),W1172,IF(CC1172="2+3",IF(ISNUMBER(SEARCH("grosser Artikel",BU1172)),2,IFERROR(VLOOKUP(BX1172,Parameter!$F$35:$G$64,2,0),2)),IF(OR(CC1172="Nein",CC1172=""),"-",CC1172))))</f>
        <v>1</v>
      </c>
      <c r="AA1172" s="55"/>
      <c r="AB1172" s="56"/>
      <c r="AC1172" s="50" t="n">
        <f aca="false">AV1172</f>
        <v>1</v>
      </c>
      <c r="AD1172" s="50" t="n">
        <f aca="false">MAX(AV1172,H1172)</f>
        <v>13</v>
      </c>
      <c r="AE1172" s="57"/>
      <c r="AF1172" s="50" t="n">
        <f aca="false">IF(LEFT(Cockpit!$C$5,1)="A",H1172,IF(Parameter!$E$30="MAX-Bestand",IF(CH1172=1,CI1172,IF(LEFT(Cockpit!$C$5,1)="B",AL1172,MAX(AL1172,H1172))),ROUNDUP(AJ1172,0)))</f>
        <v>13</v>
      </c>
      <c r="AG1172" s="50" t="n">
        <f aca="false">IF(BZ1172=1,0,ROUNDUP(AF1172/BY1172,0))</f>
        <v>1</v>
      </c>
      <c r="AH1172" s="52" t="n">
        <f aca="false">IF(CQ1172&gt;0,CQ1172*MAX(1,AF1172/X1172),IF(BZ1172=1,IF(AF1172&lt;=0,0,CD1172*MAX(1,IF(H1172&gt;0,AF1172/H1172,1))),IF(R1172&gt;0,AG1172/R1172,0))/MAX(0.1,N(Parameter!$M$21)))</f>
        <v>0.0833333333333333</v>
      </c>
      <c r="AI1172" s="50" t="n">
        <f aca="false">AH1172*CB1172</f>
        <v>28.75</v>
      </c>
      <c r="AJ1172" s="51" t="n">
        <f aca="false">IF(LEFT(Cockpit!$C$5,1)="A",H1172,IF(CH1172=1,(CK1172+CI1172)/2,IF(LEFT(Cockpit!$C$5,1)="B",(CK1172+AL1172)/2,MAX((CK1172+AL1172)/2,H1172))))</f>
        <v>13</v>
      </c>
      <c r="AK1172" s="50" t="n">
        <f aca="false">AJ1172*G1172</f>
        <v>4680</v>
      </c>
      <c r="AL1172" s="50" t="n">
        <f aca="false">ROUNDUP(CK1172+MAX(CL1172,2*(J1172/IF(CG1172&gt;0,CG1172,MAX(0.1,N(Cockpit!$C$6)))-CK1172)),0)</f>
        <v>1</v>
      </c>
      <c r="AM1172" s="51" t="n">
        <f aca="false">IF(AI1172&gt;0,J1172/AI1172,-1)</f>
        <v>0</v>
      </c>
      <c r="AN1172" s="51" t="n">
        <f aca="false">IF(AND(OR(CF1172="L1",CF1172="L23",CF1172="LIFT"),AI1172&gt;0),SUMIFS($AI$7:$AI$1843,$CF$7:$CF$1843,CF1172,$AM$7:$AM$1843,"&gt;"&amp;AM1172)+SUMIFS($AI$7:$AI$1843,$CF$7:$CF$1843,CF1172,$AM$7:$AM$1843,AM1172,$BW$7:$BW$1843,"&lt;="&amp;BW1172),"")</f>
        <v>29395.5532816995</v>
      </c>
      <c r="AO1172" s="58" t="n">
        <f aca="false">IF(AN1172="",0,MAX(0,MIN(1,(IF(CF1172="L1",Parameter!$H$5,IF(CF1172="L23",Parameter!$H$6+Parameter!$H$7,Parameter!$H$5+Parameter!$H$6+Parameter!$H$7))-(AN1172-AI1172))/AI1172)))</f>
        <v>1</v>
      </c>
      <c r="AP1172" s="50" t="n">
        <f aca="false">IF(LEFT(Cockpit!$I$5,1)="A",H1172,IF(Parameter!$E$30="MAX-Bestand",IF(CH1172=1,CI1172,IF(LEFT(Cockpit!$I$5,1)="B",AV1172,MAX(AV1172,H1172))),ROUNDUP(AT1172,0)))</f>
        <v>13</v>
      </c>
      <c r="AQ1172" s="50" t="n">
        <f aca="false">IF(BZ1172=1,0,ROUNDUP(AP1172/BY1172,0))</f>
        <v>1</v>
      </c>
      <c r="AR1172" s="52" t="n">
        <f aca="false">IF(CQ1172&gt;0,CQ1172*MAX(1,AP1172/X1172),IF(BZ1172=1,IF(AP1172&lt;=0,0,CD1172*MAX(1,IF(H1172&gt;0,AP1172/H1172,1))),IF(R1172&gt;0,AQ1172/R1172,0))/MAX(0.1,N(Parameter!$M$21)))</f>
        <v>0.0833333333333333</v>
      </c>
      <c r="AS1172" s="50" t="n">
        <f aca="false">AR1172*CB1172</f>
        <v>28.75</v>
      </c>
      <c r="AT1172" s="51" t="n">
        <f aca="false">IF(LEFT(Cockpit!$I$5,1)="A",H1172,IF(CH1172=1,(CK1172+CI1172)/2,IF(LEFT(Cockpit!$I$5,1)="B",(CK1172+AV1172)/2,MAX((CK1172+AV1172)/2,H1172))))</f>
        <v>13</v>
      </c>
      <c r="AU1172" s="50" t="n">
        <f aca="false">AT1172*G1172</f>
        <v>4680</v>
      </c>
      <c r="AV1172" s="50" t="n">
        <f aca="false">ROUNDUP(CK1172+MAX(CL1172,2*(J1172/IF(CG1172&gt;0,CG1172,MAX(0.1,N(Cockpit!$I$6)))-CK1172)),0)</f>
        <v>1</v>
      </c>
      <c r="AW1172" s="51" t="n">
        <f aca="false">IF(AS1172&gt;0,J1172/AS1172,-1)</f>
        <v>0</v>
      </c>
      <c r="AX1172" s="51" t="n">
        <f aca="false">IF(AND(OR(CF1172="L1",CF1172="L23",CF1172="LIFT"),AS1172&gt;0),SUMIFS($AS$7:$AS$1843,$CF$7:$CF$1843,CF1172,$AW$7:$AW$1843,"&gt;"&amp;AW1172)+SUMIFS($AS$7:$AS$1843,$CF$7:$CF$1843,CF1172,$AW$7:$AW$1843,AW1172,$BW$7:$BW$1843,"&lt;="&amp;BW1172),"")</f>
        <v>35192.4445970696</v>
      </c>
      <c r="AY1172" s="58" t="n">
        <f aca="false">IF(AX1172="",0,MAX(0,MIN(1,(IF(CF1172="L1",Parameter!$H$5,IF(CF1172="L23",Parameter!$H$6+Parameter!$H$7,Parameter!$H$5+Parameter!$H$6+Parameter!$H$7))-(AX1172-AS1172))/AS1172)))</f>
        <v>1</v>
      </c>
      <c r="AZ1172" s="50" t="n">
        <f aca="false">IF(LEFT(Cockpit!$O$5,1)="A",H1172,IF(Parameter!$E$30="MAX-Bestand",IF(CH1172=1,CI1172,IF(LEFT(Cockpit!$O$5,1)="B",BF1172,MAX(BF1172,H1172))),ROUNDUP(BD1172,0)))</f>
        <v>1</v>
      </c>
      <c r="BA1172" s="50" t="n">
        <f aca="false">IF(BZ1172=1,0,ROUNDUP(AZ1172/BY1172,0))</f>
        <v>1</v>
      </c>
      <c r="BB1172" s="52" t="n">
        <f aca="false">IF(CQ1172&gt;0,CQ1172*MAX(1,AZ1172/X1172),IF(BZ1172=1,IF(AZ1172&lt;=0,0,CD1172*MAX(1,IF(H1172&gt;0,AZ1172/H1172,1))),IF(R1172&gt;0,BA1172/R1172,0))/MAX(0.1,N(Parameter!$M$21)))</f>
        <v>0.0833333333333333</v>
      </c>
      <c r="BC1172" s="50" t="n">
        <f aca="false">BB1172*CB1172</f>
        <v>28.75</v>
      </c>
      <c r="BD1172" s="51" t="n">
        <f aca="false">IF(LEFT(Cockpit!$O$5,1)="A",H1172,IF(CH1172=1,(CK1172+CI1172)/2,IF(LEFT(Cockpit!$O$5,1)="B",(CK1172+BF1172)/2,MAX((CK1172+BF1172)/2,H1172))))</f>
        <v>0.5</v>
      </c>
      <c r="BE1172" s="50" t="n">
        <f aca="false">BD1172*G1172</f>
        <v>180</v>
      </c>
      <c r="BF1172" s="50" t="n">
        <f aca="false">ROUNDUP(CK1172+MAX(CL1172,2*(J1172/IF(CG1172&gt;0,CG1172,MAX(0.1,N(Cockpit!$O$6)))-CK1172)),0)</f>
        <v>1</v>
      </c>
      <c r="BG1172" s="51" t="n">
        <f aca="false">IF(BC1172&gt;0,J1172/BC1172,-1)</f>
        <v>0</v>
      </c>
      <c r="BH1172" s="51" t="n">
        <f aca="false">IF(AND(OR(CF1172="L1",CF1172="L23",CF1172="LIFT"),BC1172&gt;0),SUMIFS($BC$7:$BC$1843,$CF$7:$CF$1843,CF1172,$BG$7:$BG$1843,"&gt;"&amp;BG1172)+SUMIFS($BC$7:$BC$1843,$CF$7:$CF$1843,CF1172,$BG$7:$BG$1843,BG1172,$BW$7:$BW$1843,"&lt;="&amp;BW1172),"")</f>
        <v>29177.7512572174</v>
      </c>
      <c r="BI1172" s="58" t="n">
        <f aca="false">IF(BH1172="",0,MAX(0,MIN(1,(IF(CF1172="L1",Parameter!$H$5,IF(CF1172="L23",Parameter!$H$6+Parameter!$H$7,Parameter!$H$5+Parameter!$H$6+Parameter!$H$7))-(BH1172-BC1172))/BC1172)))</f>
        <v>1</v>
      </c>
      <c r="BJ1172" s="48" t="str">
        <f aca="false">IF(AI1172&lt;=0,"",IF(CF1172="Aussen","Aussenlager",IF(CF1172="-","Nicht im Lift",IF(AO1172&gt;=1,"Lift",IF(AO1172&lt;=0,"Aussenlager","teilweise")))))</f>
        <v>Lift</v>
      </c>
      <c r="BK1172" s="48" t="str">
        <f aca="false">IF(AS1172&lt;=0,"",IF(CF1172="Aussen","Aussenlager",IF(CF1172="-","Nicht im Lift",IF(AY1172&gt;=1,"Lift",IF(AY1172&lt;=0,"Aussenlager","teilweise")))))</f>
        <v>Lift</v>
      </c>
      <c r="BL1172" s="48" t="str">
        <f aca="false">IF(BC1172&lt;=0,"",IF(CF1172="Aussen","Aussenlager",IF(CF1172="-","Nicht im Lift",IF(BI1172&gt;=1,"Lift",IF(BI1172&lt;=0,"Aussenlager","teilweise")))))</f>
        <v>Lift</v>
      </c>
      <c r="BM1172" s="48" t="str">
        <f aca="false">IF(A1172="","",IF(BV1172=1,"Neu; ","")&amp;IF(AND(BV1172=0,BQ1172&lt;0),"negativer Bestand (Export "&amp;BQ1172&amp;"); ","")&amp;IF(J1172&lt;=0,"Kein Verbrauch; ","")&amp;IF(CQ1172&gt;0,"Lift "&amp;W1172&amp;" lt. Liftbericht (Fach "&amp;X1172&amp;" Stk); ",IF(CA1172=1,"Gebinde geschätzt ("&amp;T1172&amp;"); ",IF(BZ1172=1,"Lose – Tablare geschätzt; ","")))&amp;IF(H1172&gt;AV1172,"Überbestand "&amp;ROUND(H1172-AV1172,0)&amp;" Stk / CHF "&amp;ROUND((H1172-AV1172)*G1172,0)&amp;"; ","")&amp;IF(AND(CH1172=1,CI1172&lt;CJ1172),"MAX &lt; MB+LG; ","")&amp;IF(AND(CP1172&gt;0,CO1172*10&gt;CP1172),"zu hoch für Tablar; ","")&amp;IF(AND(BV1172=0,OR(CH1172=1,AA1172&lt;&gt;"",U1172&lt;&gt;"",V1172&lt;&gt;"",AB1172&lt;&gt;"")),"manuell übersteuert; ","")&amp;IF(AND(BZ1172=0,R1172=0),"Gebinde unbekannt / Stellmass fehlt; ","")&amp;IF(AND(BZ1172=0,N(V1172)&lt;=0,N(Q1172)&lt;=0),"Menge pro Gebinde fehlt (Ist = 1 Gebinde); ","")&amp;BU1172)</f>
        <v>negativer Bestand (Export -1); Kein Verbrauch; Überbestand 12 Stk / CHF 4320; </v>
      </c>
      <c r="BN1172" s="48"/>
      <c r="BO1172" s="48"/>
      <c r="BP1172" s="55"/>
      <c r="BQ1172" s="50" t="n">
        <v>-1</v>
      </c>
      <c r="BR1172" s="50" t="n">
        <v>14</v>
      </c>
      <c r="BS1172" s="49" t="n">
        <v>-360</v>
      </c>
      <c r="BT1172" s="50" t="n">
        <v>0</v>
      </c>
      <c r="BU1172" s="48"/>
      <c r="BV1172" s="53" t="n">
        <v>0</v>
      </c>
      <c r="BW1172" s="53" t="n">
        <v>1172</v>
      </c>
      <c r="BX1172" s="48" t="str">
        <f aca="false">IF(U1172&lt;&gt;"",UPPER(TRIM(U1172)),IF(CA1172=1,UPPER(VLOOKUP(T1172,Parameter!$I$27:$K$29,2,0)),IF(P1172="","LOSE",P1172)))</f>
        <v>S63</v>
      </c>
      <c r="BY1172" s="50" t="n">
        <f aca="false">IF(BX1172="LOSE",1,IF(N(V1172)&gt;0,V1172,IF(CA1172=1,MAX(1,N(VLOOKUP(T1172,Parameter!$I$27:$K$29,3,0)),H1172,N(N1172)),IF(N(Q1172)&gt;0,Q1172,MAX(1,H1172)))))</f>
        <v>15</v>
      </c>
      <c r="BZ1172" s="53" t="n">
        <f aca="false">IF(BX1172="LOSE",1,0)</f>
        <v>0</v>
      </c>
      <c r="CA1172" s="53" t="n">
        <f aca="false">IF(AND(U1172="",OR(P1172="",P1172="LOSE"),T1172&lt;&gt;"",N(S1172)&lt;=0,ISNUMBER(MATCH(T1172,Parameter!$I$27:$I$29,0))),1,0)</f>
        <v>0</v>
      </c>
      <c r="CB1172" s="53" t="n">
        <f aca="false">IF(CQ1172&gt;0,INDEX(Parameter!$H$5:$H$7,W1172)/INDEX(Parameter!$E$5:$E$7,W1172),IF(AND(BZ1172=0,N(IFERROR(VLOOKUP(BX1172,'Gebinde-Kategorie'!$A$5:$N$45,14,0),0))&gt;0),VLOOKUP(BX1172,'Gebinde-Kategorie'!$A$5:$N$45,14,0)*10+Parameter!$M$23,Parameter!$M$24))</f>
        <v>345</v>
      </c>
      <c r="CC1172" s="48" t="n">
        <f aca="false">IF(AND(Parameter!$B$19="Ja",E1172&lt;&gt;"",ISNUMBER(MATCH(E1172,Parameter!$I$35:$I$52,0))),VLOOKUP(E1172,Parameter!$I$35:$J$52,2,0),IFERROR(VLOOKUP(D1172,Parameter!$A$35:$C$64,2,0),"Nein"))</f>
        <v>1</v>
      </c>
      <c r="CD1172" s="52" t="n">
        <f aca="false">IF(BZ1172=0,0,IF(N(S1172)&gt;0,S1172,IFERROR(VLOOKUP(D1172,Parameter!$A$35:$C$64,3,0)+0,0)))</f>
        <v>0</v>
      </c>
      <c r="CE1172" s="48" t="n">
        <f aca="false">IF(AA1172&lt;&gt;"",AA1172,Z1172)</f>
        <v>1</v>
      </c>
      <c r="CF1172" s="48" t="str">
        <f aca="false">IF(OR(CE1172=1,CE1172=2,CE1172=3),IF(Parameter!$E$27="Ja","LIFT",IF(CE1172=1,"L1","L23")),IF(CE1172="Aussen","Aussen","-"))</f>
        <v>LIFT</v>
      </c>
      <c r="CG1172" s="59" t="n">
        <f aca="false">IF(N(AB1172)&gt;0,AB1172,0)</f>
        <v>0</v>
      </c>
      <c r="CH1172" s="53" t="n">
        <f aca="false">IF(ISNUMBER(AE1172),1,0)</f>
        <v>0</v>
      </c>
      <c r="CI1172" s="50" t="n">
        <f aca="false">N(AE1172)</f>
        <v>0</v>
      </c>
      <c r="CJ1172" s="50" t="n">
        <f aca="false">N(M1172)+N(N1172)</f>
        <v>1</v>
      </c>
      <c r="CK1172" s="50" t="n">
        <f aca="false">N(M1172)</f>
        <v>0</v>
      </c>
      <c r="CL1172" s="50" t="n">
        <f aca="false">N(N1172)</f>
        <v>1</v>
      </c>
      <c r="CM1172" s="50" t="n">
        <f aca="false">ROUNDUP(H1172/BY1172,0)</f>
        <v>1</v>
      </c>
      <c r="CN1172" s="50" t="n">
        <f aca="false">ROUNDUP(CI1172/BY1172,0)</f>
        <v>0</v>
      </c>
      <c r="CO1172" s="53" t="n">
        <f aca="false">IF(BZ1172=1,0,IFERROR(VLOOKUP(BX1172,'Gebinde-Kategorie'!$A$5:$N$45,5,0)+0,0))</f>
        <v>31</v>
      </c>
      <c r="CP1172" s="53" t="n">
        <f aca="false">IFERROR(IF(OR(CE1172=1,CE1172=2,CE1172=3),N(INDEX(Parameter!$I$5:$I$7,CE1172)),0),0)</f>
        <v>0</v>
      </c>
      <c r="CQ1172" s="52" t="n">
        <f aca="false">IF(AND(Parameter!$B$21="Ja",ISNUMBER(W1172),N(X1172)&gt;0),IFERROR(N(INDEX(Parameter!$L$5:$L$7,W1172))*INDEX(Parameter!$E$5:$E$7,W1172)*X1172/SUMIFS($X$7:$X$1843,$W$7:$W$1843,W1172),0),0)</f>
        <v>0</v>
      </c>
    </row>
    <row r="1173" customFormat="false" ht="15" hidden="false" customHeight="false" outlineLevel="0" collapsed="false">
      <c r="A1173" s="48" t="s">
        <v>2121</v>
      </c>
      <c r="B1173" s="48" t="s">
        <v>848</v>
      </c>
      <c r="C1173" s="48" t="s">
        <v>465</v>
      </c>
      <c r="D1173" s="48" t="s">
        <v>193</v>
      </c>
      <c r="E1173" s="48" t="s">
        <v>194</v>
      </c>
      <c r="F1173" s="48" t="s">
        <v>227</v>
      </c>
      <c r="G1173" s="49" t="n">
        <v>32.8</v>
      </c>
      <c r="H1173" s="50" t="n">
        <f aca="false">MAX(0,IF(AND(Parameter!$B$21="Ja",ISNUMBER(Y1173)),Y1173,IF(Parameter!$B$20="Jahresanfang 2025 + Export",BR1173+BQ1173,BQ1173)))</f>
        <v>0</v>
      </c>
      <c r="I1173" s="50" t="n">
        <f aca="false">H1173*G1173</f>
        <v>0</v>
      </c>
      <c r="J1173" s="50" t="n">
        <f aca="false">BT1173*Parameter!$B$18</f>
        <v>0</v>
      </c>
      <c r="K1173" s="51" t="n">
        <v>9.5</v>
      </c>
      <c r="L1173" s="52" t="n">
        <v>0</v>
      </c>
      <c r="M1173" s="50" t="n">
        <v>0</v>
      </c>
      <c r="N1173" s="50" t="n">
        <v>1</v>
      </c>
      <c r="O1173" s="53" t="n">
        <v>28</v>
      </c>
      <c r="P1173" s="48" t="s">
        <v>311</v>
      </c>
      <c r="Q1173" s="50" t="n">
        <v>11</v>
      </c>
      <c r="R1173" s="53" t="n">
        <f aca="false">IF(BZ1173=1,0,IFERROR(VLOOKUP(BX1173,'Gebinde-Kategorie'!$A$5:$N$45,13,0)+0,0))</f>
        <v>26</v>
      </c>
      <c r="S1173" s="54"/>
      <c r="T1173" s="55"/>
      <c r="U1173" s="55"/>
      <c r="V1173" s="55"/>
      <c r="W1173" s="48"/>
      <c r="X1173" s="50"/>
      <c r="Y1173" s="50"/>
      <c r="Z1173" s="48" t="n">
        <f aca="false">IF(A1173="","",IF(AND(Parameter!$B$21="Ja",ISNUMBER(W1173)),W1173,IF(CC1173="2+3",IF(ISNUMBER(SEARCH("grosser Artikel",BU1173)),2,IFERROR(VLOOKUP(BX1173,Parameter!$F$35:$G$64,2,0),2)),IF(OR(CC1173="Nein",CC1173=""),"-",CC1173))))</f>
        <v>3</v>
      </c>
      <c r="AA1173" s="55"/>
      <c r="AB1173" s="56"/>
      <c r="AC1173" s="50" t="n">
        <f aca="false">AV1173</f>
        <v>1</v>
      </c>
      <c r="AD1173" s="50" t="n">
        <f aca="false">MAX(AV1173,H1173)</f>
        <v>1</v>
      </c>
      <c r="AE1173" s="57"/>
      <c r="AF1173" s="50" t="n">
        <f aca="false">IF(LEFT(Cockpit!$C$5,1)="A",H1173,IF(Parameter!$E$30="MAX-Bestand",IF(CH1173=1,CI1173,IF(LEFT(Cockpit!$C$5,1)="B",AL1173,MAX(AL1173,H1173))),ROUNDUP(AJ1173,0)))</f>
        <v>0</v>
      </c>
      <c r="AG1173" s="50" t="n">
        <f aca="false">IF(BZ1173=1,0,ROUNDUP(AF1173/BY1173,0))</f>
        <v>0</v>
      </c>
      <c r="AH1173" s="52" t="n">
        <f aca="false">IF(CQ1173&gt;0,CQ1173*MAX(1,AF1173/X1173),IF(BZ1173=1,IF(AF1173&lt;=0,0,CD1173*MAX(1,IF(H1173&gt;0,AF1173/H1173,1))),IF(R1173&gt;0,AG1173/R1173,0))/MAX(0.1,N(Parameter!$M$21)))</f>
        <v>0</v>
      </c>
      <c r="AI1173" s="50" t="n">
        <f aca="false">AH1173*CB1173</f>
        <v>0</v>
      </c>
      <c r="AJ1173" s="51" t="n">
        <f aca="false">IF(LEFT(Cockpit!$C$5,1)="A",H1173,IF(CH1173=1,(CK1173+CI1173)/2,IF(LEFT(Cockpit!$C$5,1)="B",(CK1173+AL1173)/2,MAX((CK1173+AL1173)/2,H1173))))</f>
        <v>0</v>
      </c>
      <c r="AK1173" s="50" t="n">
        <f aca="false">AJ1173*G1173</f>
        <v>0</v>
      </c>
      <c r="AL1173" s="50" t="n">
        <f aca="false">ROUNDUP(CK1173+MAX(CL1173,2*(J1173/IF(CG1173&gt;0,CG1173,MAX(0.1,N(Cockpit!$C$6)))-CK1173)),0)</f>
        <v>1</v>
      </c>
      <c r="AM1173" s="51" t="n">
        <f aca="false">IF(AI1173&gt;0,J1173/AI1173,-1)</f>
        <v>-1</v>
      </c>
      <c r="AN1173" s="51" t="str">
        <f aca="false">IF(AND(OR(CF1173="L1",CF1173="L23",CF1173="LIFT"),AI1173&gt;0),SUMIFS($AI$7:$AI$1843,$CF$7:$CF$1843,CF1173,$AM$7:$AM$1843,"&gt;"&amp;AM1173)+SUMIFS($AI$7:$AI$1843,$CF$7:$CF$1843,CF1173,$AM$7:$AM$1843,AM1173,$BW$7:$BW$1843,"&lt;="&amp;BW1173),"")</f>
        <v/>
      </c>
      <c r="AO1173" s="58" t="n">
        <f aca="false">IF(AN1173="",0,MAX(0,MIN(1,(IF(CF1173="L1",Parameter!$H$5,IF(CF1173="L23",Parameter!$H$6+Parameter!$H$7,Parameter!$H$5+Parameter!$H$6+Parameter!$H$7))-(AN1173-AI1173))/AI1173)))</f>
        <v>0</v>
      </c>
      <c r="AP1173" s="50" t="n">
        <f aca="false">IF(LEFT(Cockpit!$I$5,1)="A",H1173,IF(Parameter!$E$30="MAX-Bestand",IF(CH1173=1,CI1173,IF(LEFT(Cockpit!$I$5,1)="B",AV1173,MAX(AV1173,H1173))),ROUNDUP(AT1173,0)))</f>
        <v>1</v>
      </c>
      <c r="AQ1173" s="50" t="n">
        <f aca="false">IF(BZ1173=1,0,ROUNDUP(AP1173/BY1173,0))</f>
        <v>1</v>
      </c>
      <c r="AR1173" s="52" t="n">
        <f aca="false">IF(CQ1173&gt;0,CQ1173*MAX(1,AP1173/X1173),IF(BZ1173=1,IF(AP1173&lt;=0,0,CD1173*MAX(1,IF(H1173&gt;0,AP1173/H1173,1))),IF(R1173&gt;0,AQ1173/R1173,0))/MAX(0.1,N(Parameter!$M$21)))</f>
        <v>0.0384615384615385</v>
      </c>
      <c r="AS1173" s="50" t="n">
        <f aca="false">AR1173*CB1173</f>
        <v>5.96153846153846</v>
      </c>
      <c r="AT1173" s="51" t="n">
        <f aca="false">IF(LEFT(Cockpit!$I$5,1)="A",H1173,IF(CH1173=1,(CK1173+CI1173)/2,IF(LEFT(Cockpit!$I$5,1)="B",(CK1173+AV1173)/2,MAX((CK1173+AV1173)/2,H1173))))</f>
        <v>0.5</v>
      </c>
      <c r="AU1173" s="50" t="n">
        <f aca="false">AT1173*G1173</f>
        <v>16.4</v>
      </c>
      <c r="AV1173" s="50" t="n">
        <f aca="false">ROUNDUP(CK1173+MAX(CL1173,2*(J1173/IF(CG1173&gt;0,CG1173,MAX(0.1,N(Cockpit!$I$6)))-CK1173)),0)</f>
        <v>1</v>
      </c>
      <c r="AW1173" s="51" t="n">
        <f aca="false">IF(AS1173&gt;0,J1173/AS1173,-1)</f>
        <v>0</v>
      </c>
      <c r="AX1173" s="51" t="n">
        <f aca="false">IF(AND(OR(CF1173="L1",CF1173="L23",CF1173="LIFT"),AS1173&gt;0),SUMIFS($AS$7:$AS$1843,$CF$7:$CF$1843,CF1173,$AW$7:$AW$1843,"&gt;"&amp;AW1173)+SUMIFS($AS$7:$AS$1843,$CF$7:$CF$1843,CF1173,$AW$7:$AW$1843,AW1173,$BW$7:$BW$1843,"&lt;="&amp;BW1173),"")</f>
        <v>35198.4061355311</v>
      </c>
      <c r="AY1173" s="58" t="n">
        <f aca="false">IF(AX1173="",0,MAX(0,MIN(1,(IF(CF1173="L1",Parameter!$H$5,IF(CF1173="L23",Parameter!$H$6+Parameter!$H$7,Parameter!$H$5+Parameter!$H$6+Parameter!$H$7))-(AX1173-AS1173))/AS1173)))</f>
        <v>1</v>
      </c>
      <c r="AZ1173" s="50" t="n">
        <f aca="false">IF(LEFT(Cockpit!$O$5,1)="A",H1173,IF(Parameter!$E$30="MAX-Bestand",IF(CH1173=1,CI1173,IF(LEFT(Cockpit!$O$5,1)="B",BF1173,MAX(BF1173,H1173))),ROUNDUP(BD1173,0)))</f>
        <v>1</v>
      </c>
      <c r="BA1173" s="50" t="n">
        <f aca="false">IF(BZ1173=1,0,ROUNDUP(AZ1173/BY1173,0))</f>
        <v>1</v>
      </c>
      <c r="BB1173" s="52" t="n">
        <f aca="false">IF(CQ1173&gt;0,CQ1173*MAX(1,AZ1173/X1173),IF(BZ1173=1,IF(AZ1173&lt;=0,0,CD1173*MAX(1,IF(H1173&gt;0,AZ1173/H1173,1))),IF(R1173&gt;0,BA1173/R1173,0))/MAX(0.1,N(Parameter!$M$21)))</f>
        <v>0.0384615384615385</v>
      </c>
      <c r="BC1173" s="50" t="n">
        <f aca="false">BB1173*CB1173</f>
        <v>5.96153846153846</v>
      </c>
      <c r="BD1173" s="51" t="n">
        <f aca="false">IF(LEFT(Cockpit!$O$5,1)="A",H1173,IF(CH1173=1,(CK1173+CI1173)/2,IF(LEFT(Cockpit!$O$5,1)="B",(CK1173+BF1173)/2,MAX((CK1173+BF1173)/2,H1173))))</f>
        <v>0.5</v>
      </c>
      <c r="BE1173" s="50" t="n">
        <f aca="false">BD1173*G1173</f>
        <v>16.4</v>
      </c>
      <c r="BF1173" s="50" t="n">
        <f aca="false">ROUNDUP(CK1173+MAX(CL1173,2*(J1173/IF(CG1173&gt;0,CG1173,MAX(0.1,N(Cockpit!$O$6)))-CK1173)),0)</f>
        <v>1</v>
      </c>
      <c r="BG1173" s="51" t="n">
        <f aca="false">IF(BC1173&gt;0,J1173/BC1173,-1)</f>
        <v>0</v>
      </c>
      <c r="BH1173" s="51" t="n">
        <f aca="false">IF(AND(OR(CF1173="L1",CF1173="L23",CF1173="LIFT"),BC1173&gt;0),SUMIFS($BC$7:$BC$1843,$CF$7:$CF$1843,CF1173,$BG$7:$BG$1843,"&gt;"&amp;BG1173)+SUMIFS($BC$7:$BC$1843,$CF$7:$CF$1843,CF1173,$BG$7:$BG$1843,BG1173,$BW$7:$BW$1843,"&lt;="&amp;BW1173),"")</f>
        <v>29183.7127956789</v>
      </c>
      <c r="BI1173" s="58" t="n">
        <f aca="false">IF(BH1173="",0,MAX(0,MIN(1,(IF(CF1173="L1",Parameter!$H$5,IF(CF1173="L23",Parameter!$H$6+Parameter!$H$7,Parameter!$H$5+Parameter!$H$6+Parameter!$H$7))-(BH1173-BC1173))/BC1173)))</f>
        <v>1</v>
      </c>
      <c r="BJ1173" s="48" t="str">
        <f aca="false">IF(AI1173&lt;=0,"",IF(CF1173="Aussen","Aussenlager",IF(CF1173="-","Nicht im Lift",IF(AO1173&gt;=1,"Lift",IF(AO1173&lt;=0,"Aussenlager","teilweise")))))</f>
        <v/>
      </c>
      <c r="BK1173" s="48" t="str">
        <f aca="false">IF(AS1173&lt;=0,"",IF(CF1173="Aussen","Aussenlager",IF(CF1173="-","Nicht im Lift",IF(AY1173&gt;=1,"Lift",IF(AY1173&lt;=0,"Aussenlager","teilweise")))))</f>
        <v>Lift</v>
      </c>
      <c r="BL1173" s="48" t="str">
        <f aca="false">IF(BC1173&lt;=0,"",IF(CF1173="Aussen","Aussenlager",IF(CF1173="-","Nicht im Lift",IF(BI1173&gt;=1,"Lift",IF(BI1173&lt;=0,"Aussenlager","teilweise")))))</f>
        <v>Lift</v>
      </c>
      <c r="BM1173" s="48" t="str">
        <f aca="false">IF(A1173="","",IF(BV1173=1,"Neu; ","")&amp;IF(AND(BV1173=0,BQ1173&lt;0),"negativer Bestand (Export "&amp;BQ1173&amp;"); ","")&amp;IF(J1173&lt;=0,"Kein Verbrauch; ","")&amp;IF(CQ1173&gt;0,"Lift "&amp;W1173&amp;" lt. Liftbericht (Fach "&amp;X1173&amp;" Stk); ",IF(CA1173=1,"Gebinde geschätzt ("&amp;T1173&amp;"); ",IF(BZ1173=1,"Lose – Tablare geschätzt; ","")))&amp;IF(H1173&gt;AV1173,"Überbestand "&amp;ROUND(H1173-AV1173,0)&amp;" Stk / CHF "&amp;ROUND((H1173-AV1173)*G1173,0)&amp;"; ","")&amp;IF(AND(CH1173=1,CI1173&lt;CJ1173),"MAX &lt; MB+LG; ","")&amp;IF(AND(CP1173&gt;0,CO1173*10&gt;CP1173),"zu hoch für Tablar; ","")&amp;IF(AND(BV1173=0,OR(CH1173=1,AA1173&lt;&gt;"",U1173&lt;&gt;"",V1173&lt;&gt;"",AB1173&lt;&gt;"")),"manuell übersteuert; ","")&amp;IF(AND(BZ1173=0,R1173=0),"Gebinde unbekannt / Stellmass fehlt; ","")&amp;IF(AND(BZ1173=0,N(V1173)&lt;=0,N(Q1173)&lt;=0),"Menge pro Gebinde fehlt (Ist = 1 Gebinde); ","")&amp;BU1173)</f>
        <v>negativer Bestand (Export -11); Kein Verbrauch; </v>
      </c>
      <c r="BN1173" s="48"/>
      <c r="BO1173" s="48"/>
      <c r="BP1173" s="55"/>
      <c r="BQ1173" s="50" t="n">
        <v>-11</v>
      </c>
      <c r="BR1173" s="50" t="n">
        <v>11</v>
      </c>
      <c r="BS1173" s="49" t="n">
        <v>-360.8</v>
      </c>
      <c r="BT1173" s="50" t="n">
        <v>0</v>
      </c>
      <c r="BU1173" s="48"/>
      <c r="BV1173" s="53" t="n">
        <v>0</v>
      </c>
      <c r="BW1173" s="53" t="n">
        <v>1173</v>
      </c>
      <c r="BX1173" s="48" t="str">
        <f aca="false">IF(U1173&lt;&gt;"",UPPER(TRIM(U1173)),IF(CA1173=1,UPPER(VLOOKUP(T1173,Parameter!$I$27:$K$29,2,0)),IF(P1173="","LOSE",P1173)))</f>
        <v>S51</v>
      </c>
      <c r="BY1173" s="50" t="n">
        <f aca="false">IF(BX1173="LOSE",1,IF(N(V1173)&gt;0,V1173,IF(CA1173=1,MAX(1,N(VLOOKUP(T1173,Parameter!$I$27:$K$29,3,0)),H1173,N(N1173)),IF(N(Q1173)&gt;0,Q1173,MAX(1,H1173)))))</f>
        <v>11</v>
      </c>
      <c r="BZ1173" s="53" t="n">
        <f aca="false">IF(BX1173="LOSE",1,0)</f>
        <v>0</v>
      </c>
      <c r="CA1173" s="53" t="n">
        <f aca="false">IF(AND(U1173="",OR(P1173="",P1173="LOSE"),T1173&lt;&gt;"",N(S1173)&lt;=0,ISNUMBER(MATCH(T1173,Parameter!$I$27:$I$29,0))),1,0)</f>
        <v>0</v>
      </c>
      <c r="CB1173" s="53" t="n">
        <f aca="false">IF(CQ1173&gt;0,INDEX(Parameter!$H$5:$H$7,W1173)/INDEX(Parameter!$E$5:$E$7,W1173),IF(AND(BZ1173=0,N(IFERROR(VLOOKUP(BX1173,'Gebinde-Kategorie'!$A$5:$N$45,14,0),0))&gt;0),VLOOKUP(BX1173,'Gebinde-Kategorie'!$A$5:$N$45,14,0)*10+Parameter!$M$23,Parameter!$M$24))</f>
        <v>155</v>
      </c>
      <c r="CC1173" s="48" t="str">
        <f aca="false">IF(AND(Parameter!$B$19="Ja",E1173&lt;&gt;"",ISNUMBER(MATCH(E1173,Parameter!$I$35:$I$52,0))),VLOOKUP(E1173,Parameter!$I$35:$J$52,2,0),IFERROR(VLOOKUP(D1173,Parameter!$A$35:$C$64,2,0),"Nein"))</f>
        <v>2+3</v>
      </c>
      <c r="CD1173" s="52" t="n">
        <f aca="false">IF(BZ1173=0,0,IF(N(S1173)&gt;0,S1173,IFERROR(VLOOKUP(D1173,Parameter!$A$35:$C$64,3,0)+0,0)))</f>
        <v>0</v>
      </c>
      <c r="CE1173" s="48" t="n">
        <f aca="false">IF(AA1173&lt;&gt;"",AA1173,Z1173)</f>
        <v>3</v>
      </c>
      <c r="CF1173" s="48" t="str">
        <f aca="false">IF(OR(CE1173=1,CE1173=2,CE1173=3),IF(Parameter!$E$27="Ja","LIFT",IF(CE1173=1,"L1","L23")),IF(CE1173="Aussen","Aussen","-"))</f>
        <v>LIFT</v>
      </c>
      <c r="CG1173" s="59" t="n">
        <f aca="false">IF(N(AB1173)&gt;0,AB1173,0)</f>
        <v>0</v>
      </c>
      <c r="CH1173" s="53" t="n">
        <f aca="false">IF(ISNUMBER(AE1173),1,0)</f>
        <v>0</v>
      </c>
      <c r="CI1173" s="50" t="n">
        <f aca="false">N(AE1173)</f>
        <v>0</v>
      </c>
      <c r="CJ1173" s="50" t="n">
        <f aca="false">N(M1173)+N(N1173)</f>
        <v>1</v>
      </c>
      <c r="CK1173" s="50" t="n">
        <f aca="false">N(M1173)</f>
        <v>0</v>
      </c>
      <c r="CL1173" s="50" t="n">
        <f aca="false">N(N1173)</f>
        <v>1</v>
      </c>
      <c r="CM1173" s="50" t="n">
        <f aca="false">ROUNDUP(H1173/BY1173,0)</f>
        <v>0</v>
      </c>
      <c r="CN1173" s="50" t="n">
        <f aca="false">ROUNDUP(CI1173/BY1173,0)</f>
        <v>0</v>
      </c>
      <c r="CO1173" s="53" t="n">
        <f aca="false">IF(BZ1173=1,0,IFERROR(VLOOKUP(BX1173,'Gebinde-Kategorie'!$A$5:$N$45,5,0)+0,0))</f>
        <v>11</v>
      </c>
      <c r="CP1173" s="53" t="n">
        <f aca="false">IFERROR(IF(OR(CE1173=1,CE1173=2,CE1173=3),N(INDEX(Parameter!$I$5:$I$7,CE1173)),0),0)</f>
        <v>0</v>
      </c>
      <c r="CQ1173" s="52" t="n">
        <f aca="false">IF(AND(Parameter!$B$21="Ja",ISNUMBER(W1173),N(X1173)&gt;0),IFERROR(N(INDEX(Parameter!$L$5:$L$7,W1173))*INDEX(Parameter!$E$5:$E$7,W1173)*X1173/SUMIFS($X$7:$X$1843,$W$7:$W$1843,W1173),0),0)</f>
        <v>0</v>
      </c>
    </row>
    <row r="1174" customFormat="false" ht="15" hidden="false" customHeight="false" outlineLevel="0" collapsed="false">
      <c r="A1174" s="48" t="s">
        <v>2122</v>
      </c>
      <c r="B1174" s="48" t="s">
        <v>2123</v>
      </c>
      <c r="C1174" s="48" t="s">
        <v>173</v>
      </c>
      <c r="D1174" s="48" t="s">
        <v>193</v>
      </c>
      <c r="E1174" s="48" t="s">
        <v>194</v>
      </c>
      <c r="F1174" s="48" t="s">
        <v>227</v>
      </c>
      <c r="G1174" s="49" t="n">
        <v>369.23</v>
      </c>
      <c r="H1174" s="50" t="n">
        <f aca="false">MAX(0,IF(AND(Parameter!$B$21="Ja",ISNUMBER(Y1174)),Y1174,IF(Parameter!$B$20="Jahresanfang 2025 + Export",BR1174+BQ1174,BQ1174)))</f>
        <v>5</v>
      </c>
      <c r="I1174" s="50" t="n">
        <f aca="false">H1174*G1174</f>
        <v>1846.15</v>
      </c>
      <c r="J1174" s="50" t="n">
        <f aca="false">BT1174*Parameter!$B$18</f>
        <v>3</v>
      </c>
      <c r="K1174" s="51" t="n">
        <v>6.5</v>
      </c>
      <c r="L1174" s="52" t="n">
        <v>0.461538461538462</v>
      </c>
      <c r="M1174" s="50" t="n">
        <v>0</v>
      </c>
      <c r="N1174" s="50" t="n">
        <v>5</v>
      </c>
      <c r="O1174" s="53" t="n">
        <v>28</v>
      </c>
      <c r="P1174" s="48" t="s">
        <v>235</v>
      </c>
      <c r="Q1174" s="50" t="n">
        <v>4</v>
      </c>
      <c r="R1174" s="53" t="n">
        <f aca="false">IF(BZ1174=1,0,IFERROR(VLOOKUP(BX1174,'Gebinde-Kategorie'!$A$5:$N$45,13,0)+0,0))</f>
        <v>12</v>
      </c>
      <c r="S1174" s="54"/>
      <c r="T1174" s="55"/>
      <c r="U1174" s="55"/>
      <c r="V1174" s="55"/>
      <c r="W1174" s="48"/>
      <c r="X1174" s="50"/>
      <c r="Y1174" s="50"/>
      <c r="Z1174" s="48" t="n">
        <f aca="false">IF(A1174="","",IF(AND(Parameter!$B$21="Ja",ISNUMBER(W1174)),W1174,IF(CC1174="2+3",IF(ISNUMBER(SEARCH("grosser Artikel",BU1174)),2,IFERROR(VLOOKUP(BX1174,Parameter!$F$35:$G$64,2,0),2)),IF(OR(CC1174="Nein",CC1174=""),"-",CC1174))))</f>
        <v>2</v>
      </c>
      <c r="AA1174" s="55"/>
      <c r="AB1174" s="56"/>
      <c r="AC1174" s="50" t="n">
        <f aca="false">AV1174</f>
        <v>5</v>
      </c>
      <c r="AD1174" s="50" t="n">
        <f aca="false">MAX(AV1174,H1174)</f>
        <v>5</v>
      </c>
      <c r="AE1174" s="57"/>
      <c r="AF1174" s="50" t="n">
        <f aca="false">IF(LEFT(Cockpit!$C$5,1)="A",H1174,IF(Parameter!$E$30="MAX-Bestand",IF(CH1174=1,CI1174,IF(LEFT(Cockpit!$C$5,1)="B",AL1174,MAX(AL1174,H1174))),ROUNDUP(AJ1174,0)))</f>
        <v>5</v>
      </c>
      <c r="AG1174" s="50" t="n">
        <f aca="false">IF(BZ1174=1,0,ROUNDUP(AF1174/BY1174,0))</f>
        <v>2</v>
      </c>
      <c r="AH1174" s="52" t="n">
        <f aca="false">IF(CQ1174&gt;0,CQ1174*MAX(1,AF1174/X1174),IF(BZ1174=1,IF(AF1174&lt;=0,0,CD1174*MAX(1,IF(H1174&gt;0,AF1174/H1174,1))),IF(R1174&gt;0,AG1174/R1174,0))/MAX(0.1,N(Parameter!$M$21)))</f>
        <v>0.166666666666667</v>
      </c>
      <c r="AI1174" s="50" t="n">
        <f aca="false">AH1174*CB1174</f>
        <v>57.5</v>
      </c>
      <c r="AJ1174" s="51" t="n">
        <f aca="false">IF(LEFT(Cockpit!$C$5,1)="A",H1174,IF(CH1174=1,(CK1174+CI1174)/2,IF(LEFT(Cockpit!$C$5,1)="B",(CK1174+AL1174)/2,MAX((CK1174+AL1174)/2,H1174))))</f>
        <v>5</v>
      </c>
      <c r="AK1174" s="50" t="n">
        <f aca="false">AJ1174*G1174</f>
        <v>1846.15</v>
      </c>
      <c r="AL1174" s="50" t="n">
        <f aca="false">ROUNDUP(CK1174+MAX(CL1174,2*(J1174/IF(CG1174&gt;0,CG1174,MAX(0.1,N(Cockpit!$C$6)))-CK1174)),0)</f>
        <v>5</v>
      </c>
      <c r="AM1174" s="51" t="n">
        <f aca="false">IF(AI1174&gt;0,J1174/AI1174,-1)</f>
        <v>0.0521739130434783</v>
      </c>
      <c r="AN1174" s="51" t="n">
        <f aca="false">IF(AND(OR(CF1174="L1",CF1174="L23",CF1174="LIFT"),AI1174&gt;0),SUMIFS($AI$7:$AI$1843,$CF$7:$CF$1843,CF1174,$AM$7:$AM$1843,"&gt;"&amp;AM1174)+SUMIFS($AI$7:$AI$1843,$CF$7:$CF$1843,CF1174,$AM$7:$AM$1843,AM1174,$BW$7:$BW$1843,"&lt;="&amp;BW1174),"")</f>
        <v>19141.5624547298</v>
      </c>
      <c r="AO1174" s="58" t="n">
        <f aca="false">IF(AN1174="",0,MAX(0,MIN(1,(IF(CF1174="L1",Parameter!$H$5,IF(CF1174="L23",Parameter!$H$6+Parameter!$H$7,Parameter!$H$5+Parameter!$H$6+Parameter!$H$7))-(AN1174-AI1174))/AI1174)))</f>
        <v>1</v>
      </c>
      <c r="AP1174" s="50" t="n">
        <f aca="false">IF(LEFT(Cockpit!$I$5,1)="A",H1174,IF(Parameter!$E$30="MAX-Bestand",IF(CH1174=1,CI1174,IF(LEFT(Cockpit!$I$5,1)="B",AV1174,MAX(AV1174,H1174))),ROUNDUP(AT1174,0)))</f>
        <v>5</v>
      </c>
      <c r="AQ1174" s="50" t="n">
        <f aca="false">IF(BZ1174=1,0,ROUNDUP(AP1174/BY1174,0))</f>
        <v>2</v>
      </c>
      <c r="AR1174" s="52" t="n">
        <f aca="false">IF(CQ1174&gt;0,CQ1174*MAX(1,AP1174/X1174),IF(BZ1174=1,IF(AP1174&lt;=0,0,CD1174*MAX(1,IF(H1174&gt;0,AP1174/H1174,1))),IF(R1174&gt;0,AQ1174/R1174,0))/MAX(0.1,N(Parameter!$M$21)))</f>
        <v>0.166666666666667</v>
      </c>
      <c r="AS1174" s="50" t="n">
        <f aca="false">AR1174*CB1174</f>
        <v>57.5</v>
      </c>
      <c r="AT1174" s="51" t="n">
        <f aca="false">IF(LEFT(Cockpit!$I$5,1)="A",H1174,IF(CH1174=1,(CK1174+CI1174)/2,IF(LEFT(Cockpit!$I$5,1)="B",(CK1174+AV1174)/2,MAX((CK1174+AV1174)/2,H1174))))</f>
        <v>5</v>
      </c>
      <c r="AU1174" s="50" t="n">
        <f aca="false">AT1174*G1174</f>
        <v>1846.15</v>
      </c>
      <c r="AV1174" s="50" t="n">
        <f aca="false">ROUNDUP(CK1174+MAX(CL1174,2*(J1174/IF(CG1174&gt;0,CG1174,MAX(0.1,N(Cockpit!$I$6)))-CK1174)),0)</f>
        <v>5</v>
      </c>
      <c r="AW1174" s="51" t="n">
        <f aca="false">IF(AS1174&gt;0,J1174/AS1174,-1)</f>
        <v>0.0521739130434783</v>
      </c>
      <c r="AX1174" s="51" t="n">
        <f aca="false">IF(AND(OR(CF1174="L1",CF1174="L23",CF1174="LIFT"),AS1174&gt;0),SUMIFS($AS$7:$AS$1843,$CF$7:$CF$1843,CF1174,$AW$7:$AW$1843,"&gt;"&amp;AW1174)+SUMIFS($AS$7:$AS$1843,$CF$7:$CF$1843,CF1174,$AW$7:$AW$1843,AW1174,$BW$7:$BW$1843,"&lt;="&amp;BW1174),"")</f>
        <v>24259.7110961073</v>
      </c>
      <c r="AY1174" s="58" t="n">
        <f aca="false">IF(AX1174="",0,MAX(0,MIN(1,(IF(CF1174="L1",Parameter!$H$5,IF(CF1174="L23",Parameter!$H$6+Parameter!$H$7,Parameter!$H$5+Parameter!$H$6+Parameter!$H$7))-(AX1174-AS1174))/AS1174)))</f>
        <v>1</v>
      </c>
      <c r="AZ1174" s="50" t="n">
        <f aca="false">IF(LEFT(Cockpit!$O$5,1)="A",H1174,IF(Parameter!$E$30="MAX-Bestand",IF(CH1174=1,CI1174,IF(LEFT(Cockpit!$O$5,1)="B",BF1174,MAX(BF1174,H1174))),ROUNDUP(BD1174,0)))</f>
        <v>3</v>
      </c>
      <c r="BA1174" s="50" t="n">
        <f aca="false">IF(BZ1174=1,0,ROUNDUP(AZ1174/BY1174,0))</f>
        <v>1</v>
      </c>
      <c r="BB1174" s="52" t="n">
        <f aca="false">IF(CQ1174&gt;0,CQ1174*MAX(1,AZ1174/X1174),IF(BZ1174=1,IF(AZ1174&lt;=0,0,CD1174*MAX(1,IF(H1174&gt;0,AZ1174/H1174,1))),IF(R1174&gt;0,BA1174/R1174,0))/MAX(0.1,N(Parameter!$M$21)))</f>
        <v>0.0833333333333333</v>
      </c>
      <c r="BC1174" s="50" t="n">
        <f aca="false">BB1174*CB1174</f>
        <v>28.75</v>
      </c>
      <c r="BD1174" s="51" t="n">
        <f aca="false">IF(LEFT(Cockpit!$O$5,1)="A",H1174,IF(CH1174=1,(CK1174+CI1174)/2,IF(LEFT(Cockpit!$O$5,1)="B",(CK1174+BF1174)/2,MAX((CK1174+BF1174)/2,H1174))))</f>
        <v>2.5</v>
      </c>
      <c r="BE1174" s="50" t="n">
        <f aca="false">BD1174*G1174</f>
        <v>923.075</v>
      </c>
      <c r="BF1174" s="50" t="n">
        <f aca="false">ROUNDUP(CK1174+MAX(CL1174,2*(J1174/IF(CG1174&gt;0,CG1174,MAX(0.1,N(Cockpit!$O$6)))-CK1174)),0)</f>
        <v>5</v>
      </c>
      <c r="BG1174" s="51" t="n">
        <f aca="false">IF(BC1174&gt;0,J1174/BC1174,-1)</f>
        <v>0.104347826086957</v>
      </c>
      <c r="BH1174" s="51" t="n">
        <f aca="false">IF(AND(OR(CF1174="L1",CF1174="L23",CF1174="LIFT"),BC1174&gt;0),SUMIFS($BC$7:$BC$1843,$CF$7:$CF$1843,CF1174,$BG$7:$BG$1843,"&gt;"&amp;BG1174)+SUMIFS($BC$7:$BC$1843,$CF$7:$CF$1843,CF1174,$BG$7:$BG$1843,BG1174,$BW$7:$BW$1843,"&lt;="&amp;BW1174),"")</f>
        <v>17272.8956845885</v>
      </c>
      <c r="BI1174" s="58" t="n">
        <f aca="false">IF(BH1174="",0,MAX(0,MIN(1,(IF(CF1174="L1",Parameter!$H$5,IF(CF1174="L23",Parameter!$H$6+Parameter!$H$7,Parameter!$H$5+Parameter!$H$6+Parameter!$H$7))-(BH1174-BC1174))/BC1174)))</f>
        <v>1</v>
      </c>
      <c r="BJ1174" s="48" t="str">
        <f aca="false">IF(AI1174&lt;=0,"",IF(CF1174="Aussen","Aussenlager",IF(CF1174="-","Nicht im Lift",IF(AO1174&gt;=1,"Lift",IF(AO1174&lt;=0,"Aussenlager","teilweise")))))</f>
        <v>Lift</v>
      </c>
      <c r="BK1174" s="48" t="str">
        <f aca="false">IF(AS1174&lt;=0,"",IF(CF1174="Aussen","Aussenlager",IF(CF1174="-","Nicht im Lift",IF(AY1174&gt;=1,"Lift",IF(AY1174&lt;=0,"Aussenlager","teilweise")))))</f>
        <v>Lift</v>
      </c>
      <c r="BL1174" s="48" t="str">
        <f aca="false">IF(BC1174&lt;=0,"",IF(CF1174="Aussen","Aussenlager",IF(CF1174="-","Nicht im Lift",IF(BI1174&gt;=1,"Lift",IF(BI1174&lt;=0,"Aussenlager","teilweise")))))</f>
        <v>Lift</v>
      </c>
      <c r="BM1174" s="48" t="str">
        <f aca="false">IF(A1174="","",IF(BV1174=1,"Neu; ","")&amp;IF(AND(BV1174=0,BQ1174&lt;0),"negativer Bestand (Export "&amp;BQ1174&amp;"); ","")&amp;IF(J1174&lt;=0,"Kein Verbrauch; ","")&amp;IF(CQ1174&gt;0,"Lift "&amp;W1174&amp;" lt. Liftbericht (Fach "&amp;X1174&amp;" Stk); ",IF(CA1174=1,"Gebinde geschätzt ("&amp;T1174&amp;"); ",IF(BZ1174=1,"Lose – Tablare geschätzt; ","")))&amp;IF(H1174&gt;AV1174,"Überbestand "&amp;ROUND(H1174-AV1174,0)&amp;" Stk / CHF "&amp;ROUND((H1174-AV1174)*G1174,0)&amp;"; ","")&amp;IF(AND(CH1174=1,CI1174&lt;CJ1174),"MAX &lt; MB+LG; ","")&amp;IF(AND(CP1174&gt;0,CO1174*10&gt;CP1174),"zu hoch für Tablar; ","")&amp;IF(AND(BV1174=0,OR(CH1174=1,AA1174&lt;&gt;"",U1174&lt;&gt;"",V1174&lt;&gt;"",AB1174&lt;&gt;"")),"manuell übersteuert; ","")&amp;IF(AND(BZ1174=0,R1174=0),"Gebinde unbekannt / Stellmass fehlt; ","")&amp;IF(AND(BZ1174=0,N(V1174)&lt;=0,N(Q1174)&lt;=0),"Menge pro Gebinde fehlt (Ist = 1 Gebinde); ","")&amp;BU1174)</f>
        <v>negativer Bestand (Export -1); nicht im KTL vorhanden</v>
      </c>
      <c r="BN1174" s="48"/>
      <c r="BO1174" s="48"/>
      <c r="BP1174" s="55"/>
      <c r="BQ1174" s="50" t="n">
        <v>-1</v>
      </c>
      <c r="BR1174" s="50" t="n">
        <v>6</v>
      </c>
      <c r="BS1174" s="49" t="n">
        <v>-363.89</v>
      </c>
      <c r="BT1174" s="50" t="n">
        <v>3</v>
      </c>
      <c r="BU1174" s="48" t="s">
        <v>239</v>
      </c>
      <c r="BV1174" s="53" t="n">
        <v>0</v>
      </c>
      <c r="BW1174" s="53" t="n">
        <v>1174</v>
      </c>
      <c r="BX1174" s="48" t="str">
        <f aca="false">IF(U1174&lt;&gt;"",UPPER(TRIM(U1174)),IF(CA1174=1,UPPER(VLOOKUP(T1174,Parameter!$I$27:$K$29,2,0)),IF(P1174="","LOSE",P1174)))</f>
        <v>S63</v>
      </c>
      <c r="BY1174" s="50" t="n">
        <f aca="false">IF(BX1174="LOSE",1,IF(N(V1174)&gt;0,V1174,IF(CA1174=1,MAX(1,N(VLOOKUP(T1174,Parameter!$I$27:$K$29,3,0)),H1174,N(N1174)),IF(N(Q1174)&gt;0,Q1174,MAX(1,H1174)))))</f>
        <v>4</v>
      </c>
      <c r="BZ1174" s="53" t="n">
        <f aca="false">IF(BX1174="LOSE",1,0)</f>
        <v>0</v>
      </c>
      <c r="CA1174" s="53" t="n">
        <f aca="false">IF(AND(U1174="",OR(P1174="",P1174="LOSE"),T1174&lt;&gt;"",N(S1174)&lt;=0,ISNUMBER(MATCH(T1174,Parameter!$I$27:$I$29,0))),1,0)</f>
        <v>0</v>
      </c>
      <c r="CB1174" s="53" t="n">
        <f aca="false">IF(CQ1174&gt;0,INDEX(Parameter!$H$5:$H$7,W1174)/INDEX(Parameter!$E$5:$E$7,W1174),IF(AND(BZ1174=0,N(IFERROR(VLOOKUP(BX1174,'Gebinde-Kategorie'!$A$5:$N$45,14,0),0))&gt;0),VLOOKUP(BX1174,'Gebinde-Kategorie'!$A$5:$N$45,14,0)*10+Parameter!$M$23,Parameter!$M$24))</f>
        <v>345</v>
      </c>
      <c r="CC1174" s="48" t="str">
        <f aca="false">IF(AND(Parameter!$B$19="Ja",E1174&lt;&gt;"",ISNUMBER(MATCH(E1174,Parameter!$I$35:$I$52,0))),VLOOKUP(E1174,Parameter!$I$35:$J$52,2,0),IFERROR(VLOOKUP(D1174,Parameter!$A$35:$C$64,2,0),"Nein"))</f>
        <v>2+3</v>
      </c>
      <c r="CD1174" s="52" t="n">
        <f aca="false">IF(BZ1174=0,0,IF(N(S1174)&gt;0,S1174,IFERROR(VLOOKUP(D1174,Parameter!$A$35:$C$64,3,0)+0,0)))</f>
        <v>0</v>
      </c>
      <c r="CE1174" s="48" t="n">
        <f aca="false">IF(AA1174&lt;&gt;"",AA1174,Z1174)</f>
        <v>2</v>
      </c>
      <c r="CF1174" s="48" t="str">
        <f aca="false">IF(OR(CE1174=1,CE1174=2,CE1174=3),IF(Parameter!$E$27="Ja","LIFT",IF(CE1174=1,"L1","L23")),IF(CE1174="Aussen","Aussen","-"))</f>
        <v>LIFT</v>
      </c>
      <c r="CG1174" s="59" t="n">
        <f aca="false">IF(N(AB1174)&gt;0,AB1174,0)</f>
        <v>0</v>
      </c>
      <c r="CH1174" s="53" t="n">
        <f aca="false">IF(ISNUMBER(AE1174),1,0)</f>
        <v>0</v>
      </c>
      <c r="CI1174" s="50" t="n">
        <f aca="false">N(AE1174)</f>
        <v>0</v>
      </c>
      <c r="CJ1174" s="50" t="n">
        <f aca="false">N(M1174)+N(N1174)</f>
        <v>5</v>
      </c>
      <c r="CK1174" s="50" t="n">
        <f aca="false">N(M1174)</f>
        <v>0</v>
      </c>
      <c r="CL1174" s="50" t="n">
        <f aca="false">N(N1174)</f>
        <v>5</v>
      </c>
      <c r="CM1174" s="50" t="n">
        <f aca="false">ROUNDUP(H1174/BY1174,0)</f>
        <v>2</v>
      </c>
      <c r="CN1174" s="50" t="n">
        <f aca="false">ROUNDUP(CI1174/BY1174,0)</f>
        <v>0</v>
      </c>
      <c r="CO1174" s="53" t="n">
        <f aca="false">IF(BZ1174=1,0,IFERROR(VLOOKUP(BX1174,'Gebinde-Kategorie'!$A$5:$N$45,5,0)+0,0))</f>
        <v>31</v>
      </c>
      <c r="CP1174" s="53" t="n">
        <f aca="false">IFERROR(IF(OR(CE1174=1,CE1174=2,CE1174=3),N(INDEX(Parameter!$I$5:$I$7,CE1174)),0),0)</f>
        <v>0</v>
      </c>
      <c r="CQ1174" s="52" t="n">
        <f aca="false">IF(AND(Parameter!$B$21="Ja",ISNUMBER(W1174),N(X1174)&gt;0),IFERROR(N(INDEX(Parameter!$L$5:$L$7,W1174))*INDEX(Parameter!$E$5:$E$7,W1174)*X1174/SUMIFS($X$7:$X$1843,$W$7:$W$1843,W1174),0),0)</f>
        <v>0</v>
      </c>
    </row>
    <row r="1175" customFormat="false" ht="15" hidden="false" customHeight="false" outlineLevel="0" collapsed="false">
      <c r="A1175" s="48" t="s">
        <v>2124</v>
      </c>
      <c r="B1175" s="48" t="s">
        <v>2125</v>
      </c>
      <c r="C1175" s="48" t="s">
        <v>173</v>
      </c>
      <c r="D1175" s="48" t="s">
        <v>193</v>
      </c>
      <c r="E1175" s="48"/>
      <c r="F1175" s="48" t="s">
        <v>227</v>
      </c>
      <c r="G1175" s="49" t="n">
        <v>31.84</v>
      </c>
      <c r="H1175" s="50" t="n">
        <f aca="false">MAX(0,IF(AND(Parameter!$B$21="Ja",ISNUMBER(Y1175)),Y1175,IF(Parameter!$B$20="Jahresanfang 2025 + Export",BR1175+BQ1175,BQ1175)))</f>
        <v>0</v>
      </c>
      <c r="I1175" s="50" t="n">
        <f aca="false">H1175*G1175</f>
        <v>0</v>
      </c>
      <c r="J1175" s="50" t="n">
        <f aca="false">BT1175*Parameter!$B$18</f>
        <v>10</v>
      </c>
      <c r="K1175" s="51" t="n">
        <v>6</v>
      </c>
      <c r="L1175" s="52" t="n">
        <v>1.66666666666667</v>
      </c>
      <c r="M1175" s="50" t="n">
        <v>0</v>
      </c>
      <c r="N1175" s="50" t="n">
        <v>10</v>
      </c>
      <c r="O1175" s="53" t="n">
        <v>14</v>
      </c>
      <c r="P1175" s="48" t="s">
        <v>177</v>
      </c>
      <c r="Q1175" s="50"/>
      <c r="R1175" s="53" t="n">
        <f aca="false">IF(BZ1175=1,0,IFERROR(VLOOKUP(BX1175,'Gebinde-Kategorie'!$A$5:$N$45,13,0)+0,0))</f>
        <v>26</v>
      </c>
      <c r="S1175" s="54"/>
      <c r="T1175" s="55" t="s">
        <v>284</v>
      </c>
      <c r="U1175" s="55"/>
      <c r="V1175" s="55"/>
      <c r="W1175" s="48"/>
      <c r="X1175" s="50"/>
      <c r="Y1175" s="50"/>
      <c r="Z1175" s="48" t="n">
        <f aca="false">IF(A1175="","",IF(AND(Parameter!$B$21="Ja",ISNUMBER(W1175)),W1175,IF(CC1175="2+3",IF(ISNUMBER(SEARCH("grosser Artikel",BU1175)),2,IFERROR(VLOOKUP(BX1175,Parameter!$F$35:$G$64,2,0),2)),IF(OR(CC1175="Nein",CC1175=""),"-",CC1175))))</f>
        <v>3</v>
      </c>
      <c r="AA1175" s="55"/>
      <c r="AB1175" s="56"/>
      <c r="AC1175" s="50" t="n">
        <f aca="false">AV1175</f>
        <v>10</v>
      </c>
      <c r="AD1175" s="50" t="n">
        <f aca="false">MAX(AV1175,H1175)</f>
        <v>10</v>
      </c>
      <c r="AE1175" s="57"/>
      <c r="AF1175" s="50" t="n">
        <f aca="false">IF(LEFT(Cockpit!$C$5,1)="A",H1175,IF(Parameter!$E$30="MAX-Bestand",IF(CH1175=1,CI1175,IF(LEFT(Cockpit!$C$5,1)="B",AL1175,MAX(AL1175,H1175))),ROUNDUP(AJ1175,0)))</f>
        <v>0</v>
      </c>
      <c r="AG1175" s="50" t="n">
        <f aca="false">IF(BZ1175=1,0,ROUNDUP(AF1175/BY1175,0))</f>
        <v>0</v>
      </c>
      <c r="AH1175" s="52" t="n">
        <f aca="false">IF(CQ1175&gt;0,CQ1175*MAX(1,AF1175/X1175),IF(BZ1175=1,IF(AF1175&lt;=0,0,CD1175*MAX(1,IF(H1175&gt;0,AF1175/H1175,1))),IF(R1175&gt;0,AG1175/R1175,0))/MAX(0.1,N(Parameter!$M$21)))</f>
        <v>0</v>
      </c>
      <c r="AI1175" s="50" t="n">
        <f aca="false">AH1175*CB1175</f>
        <v>0</v>
      </c>
      <c r="AJ1175" s="51" t="n">
        <f aca="false">IF(LEFT(Cockpit!$C$5,1)="A",H1175,IF(CH1175=1,(CK1175+CI1175)/2,IF(LEFT(Cockpit!$C$5,1)="B",(CK1175+AL1175)/2,MAX((CK1175+AL1175)/2,H1175))))</f>
        <v>0</v>
      </c>
      <c r="AK1175" s="50" t="n">
        <f aca="false">AJ1175*G1175</f>
        <v>0</v>
      </c>
      <c r="AL1175" s="50" t="n">
        <f aca="false">ROUNDUP(CK1175+MAX(CL1175,2*(J1175/IF(CG1175&gt;0,CG1175,MAX(0.1,N(Cockpit!$C$6)))-CK1175)),0)</f>
        <v>10</v>
      </c>
      <c r="AM1175" s="51" t="n">
        <f aca="false">IF(AI1175&gt;0,J1175/AI1175,-1)</f>
        <v>-1</v>
      </c>
      <c r="AN1175" s="51" t="str">
        <f aca="false">IF(AND(OR(CF1175="L1",CF1175="L23",CF1175="LIFT"),AI1175&gt;0),SUMIFS($AI$7:$AI$1843,$CF$7:$CF$1843,CF1175,$AM$7:$AM$1843,"&gt;"&amp;AM1175)+SUMIFS($AI$7:$AI$1843,$CF$7:$CF$1843,CF1175,$AM$7:$AM$1843,AM1175,$BW$7:$BW$1843,"&lt;="&amp;BW1175),"")</f>
        <v/>
      </c>
      <c r="AO1175" s="58" t="n">
        <f aca="false">IF(AN1175="",0,MAX(0,MIN(1,(IF(CF1175="L1",Parameter!$H$5,IF(CF1175="L23",Parameter!$H$6+Parameter!$H$7,Parameter!$H$5+Parameter!$H$6+Parameter!$H$7))-(AN1175-AI1175))/AI1175)))</f>
        <v>0</v>
      </c>
      <c r="AP1175" s="50" t="n">
        <f aca="false">IF(LEFT(Cockpit!$I$5,1)="A",H1175,IF(Parameter!$E$30="MAX-Bestand",IF(CH1175=1,CI1175,IF(LEFT(Cockpit!$I$5,1)="B",AV1175,MAX(AV1175,H1175))),ROUNDUP(AT1175,0)))</f>
        <v>5</v>
      </c>
      <c r="AQ1175" s="50" t="n">
        <f aca="false">IF(BZ1175=1,0,ROUNDUP(AP1175/BY1175,0))</f>
        <v>1</v>
      </c>
      <c r="AR1175" s="52" t="n">
        <f aca="false">IF(CQ1175&gt;0,CQ1175*MAX(1,AP1175/X1175),IF(BZ1175=1,IF(AP1175&lt;=0,0,CD1175*MAX(1,IF(H1175&gt;0,AP1175/H1175,1))),IF(R1175&gt;0,AQ1175/R1175,0))/MAX(0.1,N(Parameter!$M$21)))</f>
        <v>0.0384615384615385</v>
      </c>
      <c r="AS1175" s="50" t="n">
        <f aca="false">AR1175*CB1175</f>
        <v>5.96153846153846</v>
      </c>
      <c r="AT1175" s="51" t="n">
        <f aca="false">IF(LEFT(Cockpit!$I$5,1)="A",H1175,IF(CH1175=1,(CK1175+CI1175)/2,IF(LEFT(Cockpit!$I$5,1)="B",(CK1175+AV1175)/2,MAX((CK1175+AV1175)/2,H1175))))</f>
        <v>5</v>
      </c>
      <c r="AU1175" s="50" t="n">
        <f aca="false">AT1175*G1175</f>
        <v>159.2</v>
      </c>
      <c r="AV1175" s="50" t="n">
        <f aca="false">ROUNDUP(CK1175+MAX(CL1175,2*(J1175/IF(CG1175&gt;0,CG1175,MAX(0.1,N(Cockpit!$I$6)))-CK1175)),0)</f>
        <v>10</v>
      </c>
      <c r="AW1175" s="51" t="n">
        <f aca="false">IF(AS1175&gt;0,J1175/AS1175,-1)</f>
        <v>1.67741935483871</v>
      </c>
      <c r="AX1175" s="51" t="n">
        <f aca="false">IF(AND(OR(CF1175="L1",CF1175="L23",CF1175="LIFT"),AS1175&gt;0),SUMIFS($AS$7:$AS$1843,$CF$7:$CF$1843,CF1175,$AW$7:$AW$1843,"&gt;"&amp;AW1175)+SUMIFS($AS$7:$AS$1843,$CF$7:$CF$1843,CF1175,$AW$7:$AW$1843,AW1175,$BW$7:$BW$1843,"&lt;="&amp;BW1175),"")</f>
        <v>7497.7032967033</v>
      </c>
      <c r="AY1175" s="58" t="n">
        <f aca="false">IF(AX1175="",0,MAX(0,MIN(1,(IF(CF1175="L1",Parameter!$H$5,IF(CF1175="L23",Parameter!$H$6+Parameter!$H$7,Parameter!$H$5+Parameter!$H$6+Parameter!$H$7))-(AX1175-AS1175))/AS1175)))</f>
        <v>1</v>
      </c>
      <c r="AZ1175" s="50" t="n">
        <f aca="false">IF(LEFT(Cockpit!$O$5,1)="A",H1175,IF(Parameter!$E$30="MAX-Bestand",IF(CH1175=1,CI1175,IF(LEFT(Cockpit!$O$5,1)="B",BF1175,MAX(BF1175,H1175))),ROUNDUP(BD1175,0)))</f>
        <v>5</v>
      </c>
      <c r="BA1175" s="50" t="n">
        <f aca="false">IF(BZ1175=1,0,ROUNDUP(AZ1175/BY1175,0))</f>
        <v>1</v>
      </c>
      <c r="BB1175" s="52" t="n">
        <f aca="false">IF(CQ1175&gt;0,CQ1175*MAX(1,AZ1175/X1175),IF(BZ1175=1,IF(AZ1175&lt;=0,0,CD1175*MAX(1,IF(H1175&gt;0,AZ1175/H1175,1))),IF(R1175&gt;0,BA1175/R1175,0))/MAX(0.1,N(Parameter!$M$21)))</f>
        <v>0.0384615384615385</v>
      </c>
      <c r="BC1175" s="50" t="n">
        <f aca="false">BB1175*CB1175</f>
        <v>5.96153846153846</v>
      </c>
      <c r="BD1175" s="51" t="n">
        <f aca="false">IF(LEFT(Cockpit!$O$5,1)="A",H1175,IF(CH1175=1,(CK1175+CI1175)/2,IF(LEFT(Cockpit!$O$5,1)="B",(CK1175+BF1175)/2,MAX((CK1175+BF1175)/2,H1175))))</f>
        <v>5</v>
      </c>
      <c r="BE1175" s="50" t="n">
        <f aca="false">BD1175*G1175</f>
        <v>159.2</v>
      </c>
      <c r="BF1175" s="50" t="n">
        <f aca="false">ROUNDUP(CK1175+MAX(CL1175,2*(J1175/IF(CG1175&gt;0,CG1175,MAX(0.1,N(Cockpit!$O$6)))-CK1175)),0)</f>
        <v>10</v>
      </c>
      <c r="BG1175" s="51" t="n">
        <f aca="false">IF(BC1175&gt;0,J1175/BC1175,-1)</f>
        <v>1.67741935483871</v>
      </c>
      <c r="BH1175" s="51" t="n">
        <f aca="false">IF(AND(OR(CF1175="L1",CF1175="L23",CF1175="LIFT"),BC1175&gt;0),SUMIFS($BC$7:$BC$1843,$CF$7:$CF$1843,CF1175,$BG$7:$BG$1843,"&gt;"&amp;BG1175)+SUMIFS($BC$7:$BC$1843,$CF$7:$CF$1843,CF1175,$BG$7:$BG$1843,BG1175,$BW$7:$BW$1843,"&lt;="&amp;BW1175),"")</f>
        <v>6312.54716117216</v>
      </c>
      <c r="BI1175" s="58" t="n">
        <f aca="false">IF(BH1175="",0,MAX(0,MIN(1,(IF(CF1175="L1",Parameter!$H$5,IF(CF1175="L23",Parameter!$H$6+Parameter!$H$7,Parameter!$H$5+Parameter!$H$6+Parameter!$H$7))-(BH1175-BC1175))/BC1175)))</f>
        <v>1</v>
      </c>
      <c r="BJ1175" s="48" t="str">
        <f aca="false">IF(AI1175&lt;=0,"",IF(CF1175="Aussen","Aussenlager",IF(CF1175="-","Nicht im Lift",IF(AO1175&gt;=1,"Lift",IF(AO1175&lt;=0,"Aussenlager","teilweise")))))</f>
        <v/>
      </c>
      <c r="BK1175" s="48" t="str">
        <f aca="false">IF(AS1175&lt;=0,"",IF(CF1175="Aussen","Aussenlager",IF(CF1175="-","Nicht im Lift",IF(AY1175&gt;=1,"Lift",IF(AY1175&lt;=0,"Aussenlager","teilweise")))))</f>
        <v>Lift</v>
      </c>
      <c r="BL1175" s="48" t="str">
        <f aca="false">IF(BC1175&lt;=0,"",IF(CF1175="Aussen","Aussenlager",IF(CF1175="-","Nicht im Lift",IF(BI1175&gt;=1,"Lift",IF(BI1175&lt;=0,"Aussenlager","teilweise")))))</f>
        <v>Lift</v>
      </c>
      <c r="BM1175" s="48" t="str">
        <f aca="false">IF(A1175="","",IF(BV1175=1,"Neu; ","")&amp;IF(AND(BV1175=0,BQ1175&lt;0),"negativer Bestand (Export "&amp;BQ1175&amp;"); ","")&amp;IF(J1175&lt;=0,"Kein Verbrauch; ","")&amp;IF(CQ1175&gt;0,"Lift "&amp;W1175&amp;" lt. Liftbericht (Fach "&amp;X1175&amp;" Stk); ",IF(CA1175=1,"Gebinde geschätzt ("&amp;T1175&amp;"); ",IF(BZ1175=1,"Lose – Tablare geschätzt; ","")))&amp;IF(H1175&gt;AV1175,"Überbestand "&amp;ROUND(H1175-AV1175,0)&amp;" Stk / CHF "&amp;ROUND((H1175-AV1175)*G1175,0)&amp;"; ","")&amp;IF(AND(CH1175=1,CI1175&lt;CJ1175),"MAX &lt; MB+LG; ","")&amp;IF(AND(CP1175&gt;0,CO1175*10&gt;CP1175),"zu hoch für Tablar; ","")&amp;IF(AND(BV1175=0,OR(CH1175=1,AA1175&lt;&gt;"",U1175&lt;&gt;"",V1175&lt;&gt;"",AB1175&lt;&gt;"")),"manuell übersteuert; ","")&amp;IF(AND(BZ1175=0,R1175=0),"Gebinde unbekannt / Stellmass fehlt; ","")&amp;IF(AND(BZ1175=0,N(V1175)&lt;=0,N(Q1175)&lt;=0),"Menge pro Gebinde fehlt (Ist = 1 Gebinde); ","")&amp;BU1175)</f>
        <v>negativer Bestand (Export -8); Gebinde geschätzt (Klein); Menge pro Gebinde fehlt (Ist = 1 Gebinde); </v>
      </c>
      <c r="BN1175" s="48"/>
      <c r="BO1175" s="48"/>
      <c r="BP1175" s="55"/>
      <c r="BQ1175" s="50" t="n">
        <v>-8</v>
      </c>
      <c r="BR1175" s="50" t="n">
        <v>8</v>
      </c>
      <c r="BS1175" s="49" t="n">
        <v>-369.36</v>
      </c>
      <c r="BT1175" s="50" t="n">
        <v>10</v>
      </c>
      <c r="BU1175" s="48"/>
      <c r="BV1175" s="53" t="n">
        <v>0</v>
      </c>
      <c r="BW1175" s="53" t="n">
        <v>1175</v>
      </c>
      <c r="BX1175" s="48" t="str">
        <f aca="false">IF(U1175&lt;&gt;"",UPPER(TRIM(U1175)),IF(CA1175=1,UPPER(VLOOKUP(T1175,Parameter!$I$27:$K$29,2,0)),IF(P1175="","LOSE",P1175)))</f>
        <v>S51</v>
      </c>
      <c r="BY1175" s="50" t="n">
        <f aca="false">IF(BX1175="LOSE",1,IF(N(V1175)&gt;0,V1175,IF(CA1175=1,MAX(1,N(VLOOKUP(T1175,Parameter!$I$27:$K$29,3,0)),H1175,N(N1175)),IF(N(Q1175)&gt;0,Q1175,MAX(1,H1175)))))</f>
        <v>20</v>
      </c>
      <c r="BZ1175" s="53" t="n">
        <f aca="false">IF(BX1175="LOSE",1,0)</f>
        <v>0</v>
      </c>
      <c r="CA1175" s="53" t="n">
        <f aca="false">IF(AND(U1175="",OR(P1175="",P1175="LOSE"),T1175&lt;&gt;"",N(S1175)&lt;=0,ISNUMBER(MATCH(T1175,Parameter!$I$27:$I$29,0))),1,0)</f>
        <v>1</v>
      </c>
      <c r="CB1175" s="53" t="n">
        <f aca="false">IF(CQ1175&gt;0,INDEX(Parameter!$H$5:$H$7,W1175)/INDEX(Parameter!$E$5:$E$7,W1175),IF(AND(BZ1175=0,N(IFERROR(VLOOKUP(BX1175,'Gebinde-Kategorie'!$A$5:$N$45,14,0),0))&gt;0),VLOOKUP(BX1175,'Gebinde-Kategorie'!$A$5:$N$45,14,0)*10+Parameter!$M$23,Parameter!$M$24))</f>
        <v>155</v>
      </c>
      <c r="CC1175" s="48" t="str">
        <f aca="false">IF(AND(Parameter!$B$19="Ja",E1175&lt;&gt;"",ISNUMBER(MATCH(E1175,Parameter!$I$35:$I$52,0))),VLOOKUP(E1175,Parameter!$I$35:$J$52,2,0),IFERROR(VLOOKUP(D1175,Parameter!$A$35:$C$64,2,0),"Nein"))</f>
        <v>2+3</v>
      </c>
      <c r="CD1175" s="52" t="n">
        <f aca="false">IF(BZ1175=0,0,IF(N(S1175)&gt;0,S1175,IFERROR(VLOOKUP(D1175,Parameter!$A$35:$C$64,3,0)+0,0)))</f>
        <v>0</v>
      </c>
      <c r="CE1175" s="48" t="n">
        <f aca="false">IF(AA1175&lt;&gt;"",AA1175,Z1175)</f>
        <v>3</v>
      </c>
      <c r="CF1175" s="48" t="str">
        <f aca="false">IF(OR(CE1175=1,CE1175=2,CE1175=3),IF(Parameter!$E$27="Ja","LIFT",IF(CE1175=1,"L1","L23")),IF(CE1175="Aussen","Aussen","-"))</f>
        <v>LIFT</v>
      </c>
      <c r="CG1175" s="59" t="n">
        <f aca="false">IF(N(AB1175)&gt;0,AB1175,0)</f>
        <v>0</v>
      </c>
      <c r="CH1175" s="53" t="n">
        <f aca="false">IF(ISNUMBER(AE1175),1,0)</f>
        <v>0</v>
      </c>
      <c r="CI1175" s="50" t="n">
        <f aca="false">N(AE1175)</f>
        <v>0</v>
      </c>
      <c r="CJ1175" s="50" t="n">
        <f aca="false">N(M1175)+N(N1175)</f>
        <v>10</v>
      </c>
      <c r="CK1175" s="50" t="n">
        <f aca="false">N(M1175)</f>
        <v>0</v>
      </c>
      <c r="CL1175" s="50" t="n">
        <f aca="false">N(N1175)</f>
        <v>10</v>
      </c>
      <c r="CM1175" s="50" t="n">
        <f aca="false">ROUNDUP(H1175/BY1175,0)</f>
        <v>0</v>
      </c>
      <c r="CN1175" s="50" t="n">
        <f aca="false">ROUNDUP(CI1175/BY1175,0)</f>
        <v>0</v>
      </c>
      <c r="CO1175" s="53" t="n">
        <f aca="false">IF(BZ1175=1,0,IFERROR(VLOOKUP(BX1175,'Gebinde-Kategorie'!$A$5:$N$45,5,0)+0,0))</f>
        <v>11</v>
      </c>
      <c r="CP1175" s="53" t="n">
        <f aca="false">IFERROR(IF(OR(CE1175=1,CE1175=2,CE1175=3),N(INDEX(Parameter!$I$5:$I$7,CE1175)),0),0)</f>
        <v>0</v>
      </c>
      <c r="CQ1175" s="52" t="n">
        <f aca="false">IF(AND(Parameter!$B$21="Ja",ISNUMBER(W1175),N(X1175)&gt;0),IFERROR(N(INDEX(Parameter!$L$5:$L$7,W1175))*INDEX(Parameter!$E$5:$E$7,W1175)*X1175/SUMIFS($X$7:$X$1843,$W$7:$W$1843,W1175),0),0)</f>
        <v>0</v>
      </c>
    </row>
    <row r="1176" customFormat="false" ht="15" hidden="false" customHeight="false" outlineLevel="0" collapsed="false">
      <c r="A1176" s="48" t="s">
        <v>2126</v>
      </c>
      <c r="B1176" s="48" t="s">
        <v>2127</v>
      </c>
      <c r="C1176" s="48" t="s">
        <v>465</v>
      </c>
      <c r="D1176" s="48" t="s">
        <v>193</v>
      </c>
      <c r="E1176" s="48"/>
      <c r="F1176" s="48" t="s">
        <v>227</v>
      </c>
      <c r="G1176" s="49" t="n">
        <v>41.2</v>
      </c>
      <c r="H1176" s="50" t="n">
        <f aca="false">MAX(0,IF(AND(Parameter!$B$21="Ja",ISNUMBER(Y1176)),Y1176,IF(Parameter!$B$20="Jahresanfang 2025 + Export",BR1176+BQ1176,BQ1176)))</f>
        <v>9</v>
      </c>
      <c r="I1176" s="50" t="n">
        <f aca="false">H1176*G1176</f>
        <v>370.8</v>
      </c>
      <c r="J1176" s="50" t="n">
        <f aca="false">BT1176*Parameter!$B$18</f>
        <v>9</v>
      </c>
      <c r="K1176" s="51" t="n">
        <v>9</v>
      </c>
      <c r="L1176" s="52" t="n">
        <v>1</v>
      </c>
      <c r="M1176" s="50" t="n">
        <v>0</v>
      </c>
      <c r="N1176" s="50" t="n">
        <v>10</v>
      </c>
      <c r="O1176" s="53" t="n">
        <v>21</v>
      </c>
      <c r="P1176" s="48" t="s">
        <v>177</v>
      </c>
      <c r="Q1176" s="50"/>
      <c r="R1176" s="53" t="n">
        <f aca="false">IF(BZ1176=1,0,IFERROR(VLOOKUP(BX1176,'Gebinde-Kategorie'!$A$5:$N$45,13,0)+0,0))</f>
        <v>12</v>
      </c>
      <c r="S1176" s="54"/>
      <c r="T1176" s="55" t="s">
        <v>188</v>
      </c>
      <c r="U1176" s="55"/>
      <c r="V1176" s="55"/>
      <c r="W1176" s="48"/>
      <c r="X1176" s="50"/>
      <c r="Y1176" s="50"/>
      <c r="Z1176" s="48" t="n">
        <f aca="false">IF(A1176="","",IF(AND(Parameter!$B$21="Ja",ISNUMBER(W1176)),W1176,IF(CC1176="2+3",IF(ISNUMBER(SEARCH("grosser Artikel",BU1176)),2,IFERROR(VLOOKUP(BX1176,Parameter!$F$35:$G$64,2,0),2)),IF(OR(CC1176="Nein",CC1176=""),"-",CC1176))))</f>
        <v>2</v>
      </c>
      <c r="AA1176" s="55"/>
      <c r="AB1176" s="56"/>
      <c r="AC1176" s="50" t="n">
        <f aca="false">AV1176</f>
        <v>10</v>
      </c>
      <c r="AD1176" s="50" t="n">
        <f aca="false">MAX(AV1176,H1176)</f>
        <v>10</v>
      </c>
      <c r="AE1176" s="57"/>
      <c r="AF1176" s="50" t="n">
        <f aca="false">IF(LEFT(Cockpit!$C$5,1)="A",H1176,IF(Parameter!$E$30="MAX-Bestand",IF(CH1176=1,CI1176,IF(LEFT(Cockpit!$C$5,1)="B",AL1176,MAX(AL1176,H1176))),ROUNDUP(AJ1176,0)))</f>
        <v>9</v>
      </c>
      <c r="AG1176" s="50" t="n">
        <f aca="false">IF(BZ1176=1,0,ROUNDUP(AF1176/BY1176,0))</f>
        <v>1</v>
      </c>
      <c r="AH1176" s="52" t="n">
        <f aca="false">IF(CQ1176&gt;0,CQ1176*MAX(1,AF1176/X1176),IF(BZ1176=1,IF(AF1176&lt;=0,0,CD1176*MAX(1,IF(H1176&gt;0,AF1176/H1176,1))),IF(R1176&gt;0,AG1176/R1176,0))/MAX(0.1,N(Parameter!$M$21)))</f>
        <v>0.0833333333333333</v>
      </c>
      <c r="AI1176" s="50" t="n">
        <f aca="false">AH1176*CB1176</f>
        <v>12.0833333333333</v>
      </c>
      <c r="AJ1176" s="51" t="n">
        <f aca="false">IF(LEFT(Cockpit!$C$5,1)="A",H1176,IF(CH1176=1,(CK1176+CI1176)/2,IF(LEFT(Cockpit!$C$5,1)="B",(CK1176+AL1176)/2,MAX((CK1176+AL1176)/2,H1176))))</f>
        <v>9</v>
      </c>
      <c r="AK1176" s="50" t="n">
        <f aca="false">AJ1176*G1176</f>
        <v>370.8</v>
      </c>
      <c r="AL1176" s="50" t="n">
        <f aca="false">ROUNDUP(CK1176+MAX(CL1176,2*(J1176/IF(CG1176&gt;0,CG1176,MAX(0.1,N(Cockpit!$C$6)))-CK1176)),0)</f>
        <v>10</v>
      </c>
      <c r="AM1176" s="51" t="n">
        <f aca="false">IF(AI1176&gt;0,J1176/AI1176,-1)</f>
        <v>0.744827586206897</v>
      </c>
      <c r="AN1176" s="51" t="n">
        <f aca="false">IF(AND(OR(CF1176="L1",CF1176="L23",CF1176="LIFT"),AI1176&gt;0),SUMIFS($AI$7:$AI$1843,$CF$7:$CF$1843,CF1176,$AM$7:$AM$1843,"&gt;"&amp;AM1176)+SUMIFS($AI$7:$AI$1843,$CF$7:$CF$1843,CF1176,$AM$7:$AM$1843,AM1176,$BW$7:$BW$1843,"&lt;="&amp;BW1176),"")</f>
        <v>8370.15064102564</v>
      </c>
      <c r="AO1176" s="58" t="n">
        <f aca="false">IF(AN1176="",0,MAX(0,MIN(1,(IF(CF1176="L1",Parameter!$H$5,IF(CF1176="L23",Parameter!$H$6+Parameter!$H$7,Parameter!$H$5+Parameter!$H$6+Parameter!$H$7))-(AN1176-AI1176))/AI1176)))</f>
        <v>1</v>
      </c>
      <c r="AP1176" s="50" t="n">
        <f aca="false">IF(LEFT(Cockpit!$I$5,1)="A",H1176,IF(Parameter!$E$30="MAX-Bestand",IF(CH1176=1,CI1176,IF(LEFT(Cockpit!$I$5,1)="B",AV1176,MAX(AV1176,H1176))),ROUNDUP(AT1176,0)))</f>
        <v>9</v>
      </c>
      <c r="AQ1176" s="50" t="n">
        <f aca="false">IF(BZ1176=1,0,ROUNDUP(AP1176/BY1176,0))</f>
        <v>1</v>
      </c>
      <c r="AR1176" s="52" t="n">
        <f aca="false">IF(CQ1176&gt;0,CQ1176*MAX(1,AP1176/X1176),IF(BZ1176=1,IF(AP1176&lt;=0,0,CD1176*MAX(1,IF(H1176&gt;0,AP1176/H1176,1))),IF(R1176&gt;0,AQ1176/R1176,0))/MAX(0.1,N(Parameter!$M$21)))</f>
        <v>0.0833333333333333</v>
      </c>
      <c r="AS1176" s="50" t="n">
        <f aca="false">AR1176*CB1176</f>
        <v>12.0833333333333</v>
      </c>
      <c r="AT1176" s="51" t="n">
        <f aca="false">IF(LEFT(Cockpit!$I$5,1)="A",H1176,IF(CH1176=1,(CK1176+CI1176)/2,IF(LEFT(Cockpit!$I$5,1)="B",(CK1176+AV1176)/2,MAX((CK1176+AV1176)/2,H1176))))</f>
        <v>9</v>
      </c>
      <c r="AU1176" s="50" t="n">
        <f aca="false">AT1176*G1176</f>
        <v>370.8</v>
      </c>
      <c r="AV1176" s="50" t="n">
        <f aca="false">ROUNDUP(CK1176+MAX(CL1176,2*(J1176/IF(CG1176&gt;0,CG1176,MAX(0.1,N(Cockpit!$I$6)))-CK1176)),0)</f>
        <v>10</v>
      </c>
      <c r="AW1176" s="51" t="n">
        <f aca="false">IF(AS1176&gt;0,J1176/AS1176,-1)</f>
        <v>0.744827586206897</v>
      </c>
      <c r="AX1176" s="51" t="n">
        <f aca="false">IF(AND(OR(CF1176="L1",CF1176="L23",CF1176="LIFT"),AS1176&gt;0),SUMIFS($AS$7:$AS$1843,$CF$7:$CF$1843,CF1176,$AW$7:$AW$1843,"&gt;"&amp;AW1176)+SUMIFS($AS$7:$AS$1843,$CF$7:$CF$1843,CF1176,$AW$7:$AW$1843,AW1176,$BW$7:$BW$1843,"&lt;="&amp;BW1176),"")</f>
        <v>10629.7188644689</v>
      </c>
      <c r="AY1176" s="58" t="n">
        <f aca="false">IF(AX1176="",0,MAX(0,MIN(1,(IF(CF1176="L1",Parameter!$H$5,IF(CF1176="L23",Parameter!$H$6+Parameter!$H$7,Parameter!$H$5+Parameter!$H$6+Parameter!$H$7))-(AX1176-AS1176))/AS1176)))</f>
        <v>1</v>
      </c>
      <c r="AZ1176" s="50" t="n">
        <f aca="false">IF(LEFT(Cockpit!$O$5,1)="A",H1176,IF(Parameter!$E$30="MAX-Bestand",IF(CH1176=1,CI1176,IF(LEFT(Cockpit!$O$5,1)="B",BF1176,MAX(BF1176,H1176))),ROUNDUP(BD1176,0)))</f>
        <v>5</v>
      </c>
      <c r="BA1176" s="50" t="n">
        <f aca="false">IF(BZ1176=1,0,ROUNDUP(AZ1176/BY1176,0))</f>
        <v>1</v>
      </c>
      <c r="BB1176" s="52" t="n">
        <f aca="false">IF(CQ1176&gt;0,CQ1176*MAX(1,AZ1176/X1176),IF(BZ1176=1,IF(AZ1176&lt;=0,0,CD1176*MAX(1,IF(H1176&gt;0,AZ1176/H1176,1))),IF(R1176&gt;0,BA1176/R1176,0))/MAX(0.1,N(Parameter!$M$21)))</f>
        <v>0.0833333333333333</v>
      </c>
      <c r="BC1176" s="50" t="n">
        <f aca="false">BB1176*CB1176</f>
        <v>12.0833333333333</v>
      </c>
      <c r="BD1176" s="51" t="n">
        <f aca="false">IF(LEFT(Cockpit!$O$5,1)="A",H1176,IF(CH1176=1,(CK1176+CI1176)/2,IF(LEFT(Cockpit!$O$5,1)="B",(CK1176+BF1176)/2,MAX((CK1176+BF1176)/2,H1176))))</f>
        <v>5</v>
      </c>
      <c r="BE1176" s="50" t="n">
        <f aca="false">BD1176*G1176</f>
        <v>206</v>
      </c>
      <c r="BF1176" s="50" t="n">
        <f aca="false">ROUNDUP(CK1176+MAX(CL1176,2*(J1176/IF(CG1176&gt;0,CG1176,MAX(0.1,N(Cockpit!$O$6)))-CK1176)),0)</f>
        <v>10</v>
      </c>
      <c r="BG1176" s="51" t="n">
        <f aca="false">IF(BC1176&gt;0,J1176/BC1176,-1)</f>
        <v>0.744827586206897</v>
      </c>
      <c r="BH1176" s="51" t="n">
        <f aca="false">IF(AND(OR(CF1176="L1",CF1176="L23",CF1176="LIFT"),BC1176&gt;0),SUMIFS($BC$7:$BC$1843,$CF$7:$CF$1843,CF1176,$BG$7:$BG$1843,"&gt;"&amp;BG1176)+SUMIFS($BC$7:$BC$1843,$CF$7:$CF$1843,CF1176,$BG$7:$BG$1843,BG1176,$BW$7:$BW$1843,"&lt;="&amp;BW1176),"")</f>
        <v>9081.01968864469</v>
      </c>
      <c r="BI1176" s="58" t="n">
        <f aca="false">IF(BH1176="",0,MAX(0,MIN(1,(IF(CF1176="L1",Parameter!$H$5,IF(CF1176="L23",Parameter!$H$6+Parameter!$H$7,Parameter!$H$5+Parameter!$H$6+Parameter!$H$7))-(BH1176-BC1176))/BC1176)))</f>
        <v>1</v>
      </c>
      <c r="BJ1176" s="48" t="str">
        <f aca="false">IF(AI1176&lt;=0,"",IF(CF1176="Aussen","Aussenlager",IF(CF1176="-","Nicht im Lift",IF(AO1176&gt;=1,"Lift",IF(AO1176&lt;=0,"Aussenlager","teilweise")))))</f>
        <v>Lift</v>
      </c>
      <c r="BK1176" s="48" t="str">
        <f aca="false">IF(AS1176&lt;=0,"",IF(CF1176="Aussen","Aussenlager",IF(CF1176="-","Nicht im Lift",IF(AY1176&gt;=1,"Lift",IF(AY1176&lt;=0,"Aussenlager","teilweise")))))</f>
        <v>Lift</v>
      </c>
      <c r="BL1176" s="48" t="str">
        <f aca="false">IF(BC1176&lt;=0,"",IF(CF1176="Aussen","Aussenlager",IF(CF1176="-","Nicht im Lift",IF(BI1176&gt;=1,"Lift",IF(BI1176&lt;=0,"Aussenlager","teilweise")))))</f>
        <v>Lift</v>
      </c>
      <c r="BM1176" s="48" t="str">
        <f aca="false">IF(A1176="","",IF(BV1176=1,"Neu; ","")&amp;IF(AND(BV1176=0,BQ1176&lt;0),"negativer Bestand (Export "&amp;BQ1176&amp;"); ","")&amp;IF(J1176&lt;=0,"Kein Verbrauch; ","")&amp;IF(CQ1176&gt;0,"Lift "&amp;W1176&amp;" lt. Liftbericht (Fach "&amp;X1176&amp;" Stk); ",IF(CA1176=1,"Gebinde geschätzt ("&amp;T1176&amp;"); ",IF(BZ1176=1,"Lose – Tablare geschätzt; ","")))&amp;IF(H1176&gt;AV1176,"Überbestand "&amp;ROUND(H1176-AV1176,0)&amp;" Stk / CHF "&amp;ROUND((H1176-AV1176)*G1176,0)&amp;"; ","")&amp;IF(AND(CH1176=1,CI1176&lt;CJ1176),"MAX &lt; MB+LG; ","")&amp;IF(AND(CP1176&gt;0,CO1176*10&gt;CP1176),"zu hoch für Tablar; ","")&amp;IF(AND(BV1176=0,OR(CH1176=1,AA1176&lt;&gt;"",U1176&lt;&gt;"",V1176&lt;&gt;"",AB1176&lt;&gt;"")),"manuell übersteuert; ","")&amp;IF(AND(BZ1176=0,R1176=0),"Gebinde unbekannt / Stellmass fehlt; ","")&amp;IF(AND(BZ1176=0,N(V1176)&lt;=0,N(Q1176)&lt;=0),"Menge pro Gebinde fehlt (Ist = 1 Gebinde); ","")&amp;BU1176)</f>
        <v>negativer Bestand (Export -9); Gebinde geschätzt (Mittel); Menge pro Gebinde fehlt (Ist = 1 Gebinde); </v>
      </c>
      <c r="BN1176" s="48"/>
      <c r="BO1176" s="48"/>
      <c r="BP1176" s="55"/>
      <c r="BQ1176" s="50" t="n">
        <v>-9</v>
      </c>
      <c r="BR1176" s="50" t="n">
        <v>18</v>
      </c>
      <c r="BS1176" s="49" t="n">
        <v>-370.8</v>
      </c>
      <c r="BT1176" s="50" t="n">
        <v>9</v>
      </c>
      <c r="BU1176" s="48"/>
      <c r="BV1176" s="53" t="n">
        <v>0</v>
      </c>
      <c r="BW1176" s="53" t="n">
        <v>1176</v>
      </c>
      <c r="BX1176" s="48" t="str">
        <f aca="false">IF(U1176&lt;&gt;"",UPPER(TRIM(U1176)),IF(CA1176=1,UPPER(VLOOKUP(T1176,Parameter!$I$27:$K$29,2,0)),IF(P1176="","LOSE",P1176)))</f>
        <v>S61</v>
      </c>
      <c r="BY1176" s="50" t="n">
        <f aca="false">IF(BX1176="LOSE",1,IF(N(V1176)&gt;0,V1176,IF(CA1176=1,MAX(1,N(VLOOKUP(T1176,Parameter!$I$27:$K$29,3,0)),H1176,N(N1176)),IF(N(Q1176)&gt;0,Q1176,MAX(1,H1176)))))</f>
        <v>10</v>
      </c>
      <c r="BZ1176" s="53" t="n">
        <f aca="false">IF(BX1176="LOSE",1,0)</f>
        <v>0</v>
      </c>
      <c r="CA1176" s="53" t="n">
        <f aca="false">IF(AND(U1176="",OR(P1176="",P1176="LOSE"),T1176&lt;&gt;"",N(S1176)&lt;=0,ISNUMBER(MATCH(T1176,Parameter!$I$27:$I$29,0))),1,0)</f>
        <v>1</v>
      </c>
      <c r="CB1176" s="53" t="n">
        <f aca="false">IF(CQ1176&gt;0,INDEX(Parameter!$H$5:$H$7,W1176)/INDEX(Parameter!$E$5:$E$7,W1176),IF(AND(BZ1176=0,N(IFERROR(VLOOKUP(BX1176,'Gebinde-Kategorie'!$A$5:$N$45,14,0),0))&gt;0),VLOOKUP(BX1176,'Gebinde-Kategorie'!$A$5:$N$45,14,0)*10+Parameter!$M$23,Parameter!$M$24))</f>
        <v>145</v>
      </c>
      <c r="CC1176" s="48" t="str">
        <f aca="false">IF(AND(Parameter!$B$19="Ja",E1176&lt;&gt;"",ISNUMBER(MATCH(E1176,Parameter!$I$35:$I$52,0))),VLOOKUP(E1176,Parameter!$I$35:$J$52,2,0),IFERROR(VLOOKUP(D1176,Parameter!$A$35:$C$64,2,0),"Nein"))</f>
        <v>2+3</v>
      </c>
      <c r="CD1176" s="52" t="n">
        <f aca="false">IF(BZ1176=0,0,IF(N(S1176)&gt;0,S1176,IFERROR(VLOOKUP(D1176,Parameter!$A$35:$C$64,3,0)+0,0)))</f>
        <v>0</v>
      </c>
      <c r="CE1176" s="48" t="n">
        <f aca="false">IF(AA1176&lt;&gt;"",AA1176,Z1176)</f>
        <v>2</v>
      </c>
      <c r="CF1176" s="48" t="str">
        <f aca="false">IF(OR(CE1176=1,CE1176=2,CE1176=3),IF(Parameter!$E$27="Ja","LIFT",IF(CE1176=1,"L1","L23")),IF(CE1176="Aussen","Aussen","-"))</f>
        <v>LIFT</v>
      </c>
      <c r="CG1176" s="59" t="n">
        <f aca="false">IF(N(AB1176)&gt;0,AB1176,0)</f>
        <v>0</v>
      </c>
      <c r="CH1176" s="53" t="n">
        <f aca="false">IF(ISNUMBER(AE1176),1,0)</f>
        <v>0</v>
      </c>
      <c r="CI1176" s="50" t="n">
        <f aca="false">N(AE1176)</f>
        <v>0</v>
      </c>
      <c r="CJ1176" s="50" t="n">
        <f aca="false">N(M1176)+N(N1176)</f>
        <v>10</v>
      </c>
      <c r="CK1176" s="50" t="n">
        <f aca="false">N(M1176)</f>
        <v>0</v>
      </c>
      <c r="CL1176" s="50" t="n">
        <f aca="false">N(N1176)</f>
        <v>10</v>
      </c>
      <c r="CM1176" s="50" t="n">
        <f aca="false">ROUNDUP(H1176/BY1176,0)</f>
        <v>1</v>
      </c>
      <c r="CN1176" s="50" t="n">
        <f aca="false">ROUNDUP(CI1176/BY1176,0)</f>
        <v>0</v>
      </c>
      <c r="CO1176" s="53" t="n">
        <f aca="false">IF(BZ1176=1,0,IFERROR(VLOOKUP(BX1176,'Gebinde-Kategorie'!$A$5:$N$45,5,0)+0,0))</f>
        <v>11</v>
      </c>
      <c r="CP1176" s="53" t="n">
        <f aca="false">IFERROR(IF(OR(CE1176=1,CE1176=2,CE1176=3),N(INDEX(Parameter!$I$5:$I$7,CE1176)),0),0)</f>
        <v>0</v>
      </c>
      <c r="CQ1176" s="52" t="n">
        <f aca="false">IF(AND(Parameter!$B$21="Ja",ISNUMBER(W1176),N(X1176)&gt;0),IFERROR(N(INDEX(Parameter!$L$5:$L$7,W1176))*INDEX(Parameter!$E$5:$E$7,W1176)*X1176/SUMIFS($X$7:$X$1843,$W$7:$W$1843,W1176),0),0)</f>
        <v>0</v>
      </c>
    </row>
    <row r="1177" customFormat="false" ht="15" hidden="false" customHeight="false" outlineLevel="0" collapsed="false">
      <c r="A1177" s="48" t="s">
        <v>2128</v>
      </c>
      <c r="B1177" s="48" t="s">
        <v>2129</v>
      </c>
      <c r="C1177" s="48" t="s">
        <v>173</v>
      </c>
      <c r="D1177" s="48" t="s">
        <v>193</v>
      </c>
      <c r="E1177" s="48" t="s">
        <v>194</v>
      </c>
      <c r="F1177" s="48" t="s">
        <v>227</v>
      </c>
      <c r="G1177" s="49" t="n">
        <v>6.09</v>
      </c>
      <c r="H1177" s="50" t="n">
        <f aca="false">MAX(0,IF(AND(Parameter!$B$21="Ja",ISNUMBER(Y1177)),Y1177,IF(Parameter!$B$20="Jahresanfang 2025 + Export",BR1177+BQ1177,BQ1177)))</f>
        <v>106</v>
      </c>
      <c r="I1177" s="50" t="n">
        <f aca="false">H1177*G1177</f>
        <v>645.54</v>
      </c>
      <c r="J1177" s="50" t="n">
        <f aca="false">BT1177*Parameter!$B$18</f>
        <v>16</v>
      </c>
      <c r="K1177" s="51" t="n">
        <v>163</v>
      </c>
      <c r="L1177" s="52" t="n">
        <v>0.098159509202454</v>
      </c>
      <c r="M1177" s="50" t="n">
        <v>1</v>
      </c>
      <c r="N1177" s="50" t="n">
        <v>15</v>
      </c>
      <c r="O1177" s="53" t="n">
        <v>28</v>
      </c>
      <c r="P1177" s="48" t="s">
        <v>430</v>
      </c>
      <c r="Q1177" s="50" t="n">
        <v>104</v>
      </c>
      <c r="R1177" s="53" t="n">
        <f aca="false">IF(BZ1177=1,0,IFERROR(VLOOKUP(BX1177,'Gebinde-Kategorie'!$A$5:$N$45,13,0)+0,0))</f>
        <v>104</v>
      </c>
      <c r="S1177" s="54"/>
      <c r="T1177" s="55"/>
      <c r="U1177" s="55"/>
      <c r="V1177" s="55"/>
      <c r="W1177" s="48"/>
      <c r="X1177" s="50"/>
      <c r="Y1177" s="50"/>
      <c r="Z1177" s="48" t="n">
        <f aca="false">IF(A1177="","",IF(AND(Parameter!$B$21="Ja",ISNUMBER(W1177)),W1177,IF(CC1177="2+3",IF(ISNUMBER(SEARCH("grosser Artikel",BU1177)),2,IFERROR(VLOOKUP(BX1177,Parameter!$F$35:$G$64,2,0),2)),IF(OR(CC1177="Nein",CC1177=""),"-",CC1177))))</f>
        <v>3</v>
      </c>
      <c r="AA1177" s="55"/>
      <c r="AB1177" s="56"/>
      <c r="AC1177" s="50" t="n">
        <f aca="false">AV1177</f>
        <v>16</v>
      </c>
      <c r="AD1177" s="50" t="n">
        <f aca="false">MAX(AV1177,H1177)</f>
        <v>106</v>
      </c>
      <c r="AE1177" s="57"/>
      <c r="AF1177" s="50" t="n">
        <f aca="false">IF(LEFT(Cockpit!$C$5,1)="A",H1177,IF(Parameter!$E$30="MAX-Bestand",IF(CH1177=1,CI1177,IF(LEFT(Cockpit!$C$5,1)="B",AL1177,MAX(AL1177,H1177))),ROUNDUP(AJ1177,0)))</f>
        <v>106</v>
      </c>
      <c r="AG1177" s="50" t="n">
        <f aca="false">IF(BZ1177=1,0,ROUNDUP(AF1177/BY1177,0))</f>
        <v>2</v>
      </c>
      <c r="AH1177" s="52" t="n">
        <f aca="false">IF(CQ1177&gt;0,CQ1177*MAX(1,AF1177/X1177),IF(BZ1177=1,IF(AF1177&lt;=0,0,CD1177*MAX(1,IF(H1177&gt;0,AF1177/H1177,1))),IF(R1177&gt;0,AG1177/R1177,0))/MAX(0.1,N(Parameter!$M$21)))</f>
        <v>0.0192307692307692</v>
      </c>
      <c r="AI1177" s="50" t="n">
        <f aca="false">AH1177*CB1177</f>
        <v>2.98076923076923</v>
      </c>
      <c r="AJ1177" s="51" t="n">
        <f aca="false">IF(LEFT(Cockpit!$C$5,1)="A",H1177,IF(CH1177=1,(CK1177+CI1177)/2,IF(LEFT(Cockpit!$C$5,1)="B",(CK1177+AL1177)/2,MAX((CK1177+AL1177)/2,H1177))))</f>
        <v>106</v>
      </c>
      <c r="AK1177" s="50" t="n">
        <f aca="false">AJ1177*G1177</f>
        <v>645.54</v>
      </c>
      <c r="AL1177" s="50" t="n">
        <f aca="false">ROUNDUP(CK1177+MAX(CL1177,2*(J1177/IF(CG1177&gt;0,CG1177,MAX(0.1,N(Cockpit!$C$6)))-CK1177)),0)</f>
        <v>16</v>
      </c>
      <c r="AM1177" s="51" t="n">
        <f aca="false">IF(AI1177&gt;0,J1177/AI1177,-1)</f>
        <v>5.36774193548387</v>
      </c>
      <c r="AN1177" s="51" t="n">
        <f aca="false">IF(AND(OR(CF1177="L1",CF1177="L23",CF1177="LIFT"),AI1177&gt;0),SUMIFS($AI$7:$AI$1843,$CF$7:$CF$1843,CF1177,$AM$7:$AM$1843,"&gt;"&amp;AM1177)+SUMIFS($AI$7:$AI$1843,$CF$7:$CF$1843,CF1177,$AM$7:$AM$1843,AM1177,$BW$7:$BW$1843,"&lt;="&amp;BW1177),"")</f>
        <v>3733.64331501832</v>
      </c>
      <c r="AO1177" s="58" t="n">
        <f aca="false">IF(AN1177="",0,MAX(0,MIN(1,(IF(CF1177="L1",Parameter!$H$5,IF(CF1177="L23",Parameter!$H$6+Parameter!$H$7,Parameter!$H$5+Parameter!$H$6+Parameter!$H$7))-(AN1177-AI1177))/AI1177)))</f>
        <v>1</v>
      </c>
      <c r="AP1177" s="50" t="n">
        <f aca="false">IF(LEFT(Cockpit!$I$5,1)="A",H1177,IF(Parameter!$E$30="MAX-Bestand",IF(CH1177=1,CI1177,IF(LEFT(Cockpit!$I$5,1)="B",AV1177,MAX(AV1177,H1177))),ROUNDUP(AT1177,0)))</f>
        <v>106</v>
      </c>
      <c r="AQ1177" s="50" t="n">
        <f aca="false">IF(BZ1177=1,0,ROUNDUP(AP1177/BY1177,0))</f>
        <v>2</v>
      </c>
      <c r="AR1177" s="52" t="n">
        <f aca="false">IF(CQ1177&gt;0,CQ1177*MAX(1,AP1177/X1177),IF(BZ1177=1,IF(AP1177&lt;=0,0,CD1177*MAX(1,IF(H1177&gt;0,AP1177/H1177,1))),IF(R1177&gt;0,AQ1177/R1177,0))/MAX(0.1,N(Parameter!$M$21)))</f>
        <v>0.0192307692307692</v>
      </c>
      <c r="AS1177" s="50" t="n">
        <f aca="false">AR1177*CB1177</f>
        <v>2.98076923076923</v>
      </c>
      <c r="AT1177" s="51" t="n">
        <f aca="false">IF(LEFT(Cockpit!$I$5,1)="A",H1177,IF(CH1177=1,(CK1177+CI1177)/2,IF(LEFT(Cockpit!$I$5,1)="B",(CK1177+AV1177)/2,MAX((CK1177+AV1177)/2,H1177))))</f>
        <v>106</v>
      </c>
      <c r="AU1177" s="50" t="n">
        <f aca="false">AT1177*G1177</f>
        <v>645.54</v>
      </c>
      <c r="AV1177" s="50" t="n">
        <f aca="false">ROUNDUP(CK1177+MAX(CL1177,2*(J1177/IF(CG1177&gt;0,CG1177,MAX(0.1,N(Cockpit!$I$6)))-CK1177)),0)</f>
        <v>16</v>
      </c>
      <c r="AW1177" s="51" t="n">
        <f aca="false">IF(AS1177&gt;0,J1177/AS1177,-1)</f>
        <v>5.36774193548387</v>
      </c>
      <c r="AX1177" s="51" t="n">
        <f aca="false">IF(AND(OR(CF1177="L1",CF1177="L23",CF1177="LIFT"),AS1177&gt;0),SUMIFS($AS$7:$AS$1843,$CF$7:$CF$1843,CF1177,$AW$7:$AW$1843,"&gt;"&amp;AW1177)+SUMIFS($AS$7:$AS$1843,$CF$7:$CF$1843,CF1177,$AW$7:$AW$1843,AW1177,$BW$7:$BW$1843,"&lt;="&amp;BW1177),"")</f>
        <v>4387.38415750916</v>
      </c>
      <c r="AY1177" s="58" t="n">
        <f aca="false">IF(AX1177="",0,MAX(0,MIN(1,(IF(CF1177="L1",Parameter!$H$5,IF(CF1177="L23",Parameter!$H$6+Parameter!$H$7,Parameter!$H$5+Parameter!$H$6+Parameter!$H$7))-(AX1177-AS1177))/AS1177)))</f>
        <v>1</v>
      </c>
      <c r="AZ1177" s="50" t="n">
        <f aca="false">IF(LEFT(Cockpit!$O$5,1)="A",H1177,IF(Parameter!$E$30="MAX-Bestand",IF(CH1177=1,CI1177,IF(LEFT(Cockpit!$O$5,1)="B",BF1177,MAX(BF1177,H1177))),ROUNDUP(BD1177,0)))</f>
        <v>9</v>
      </c>
      <c r="BA1177" s="50" t="n">
        <f aca="false">IF(BZ1177=1,0,ROUNDUP(AZ1177/BY1177,0))</f>
        <v>1</v>
      </c>
      <c r="BB1177" s="52" t="n">
        <f aca="false">IF(CQ1177&gt;0,CQ1177*MAX(1,AZ1177/X1177),IF(BZ1177=1,IF(AZ1177&lt;=0,0,CD1177*MAX(1,IF(H1177&gt;0,AZ1177/H1177,1))),IF(R1177&gt;0,BA1177/R1177,0))/MAX(0.1,N(Parameter!$M$21)))</f>
        <v>0.00961538461538462</v>
      </c>
      <c r="BC1177" s="50" t="n">
        <f aca="false">BB1177*CB1177</f>
        <v>1.49038461538462</v>
      </c>
      <c r="BD1177" s="51" t="n">
        <f aca="false">IF(LEFT(Cockpit!$O$5,1)="A",H1177,IF(CH1177=1,(CK1177+CI1177)/2,IF(LEFT(Cockpit!$O$5,1)="B",(CK1177+BF1177)/2,MAX((CK1177+BF1177)/2,H1177))))</f>
        <v>8.5</v>
      </c>
      <c r="BE1177" s="50" t="n">
        <f aca="false">BD1177*G1177</f>
        <v>51.765</v>
      </c>
      <c r="BF1177" s="50" t="n">
        <f aca="false">ROUNDUP(CK1177+MAX(CL1177,2*(J1177/IF(CG1177&gt;0,CG1177,MAX(0.1,N(Cockpit!$O$6)))-CK1177)),0)</f>
        <v>16</v>
      </c>
      <c r="BG1177" s="51" t="n">
        <f aca="false">IF(BC1177&gt;0,J1177/BC1177,-1)</f>
        <v>10.7354838709677</v>
      </c>
      <c r="BH1177" s="51" t="n">
        <f aca="false">IF(AND(OR(CF1177="L1",CF1177="L23",CF1177="LIFT"),BC1177&gt;0),SUMIFS($BC$7:$BC$1843,$CF$7:$CF$1843,CF1177,$BG$7:$BG$1843,"&gt;"&amp;BG1177)+SUMIFS($BC$7:$BC$1843,$CF$7:$CF$1843,CF1177,$BG$7:$BG$1843,BG1177,$BW$7:$BW$1843,"&lt;="&amp;BW1177),"")</f>
        <v>2669.96978021978</v>
      </c>
      <c r="BI1177" s="58" t="n">
        <f aca="false">IF(BH1177="",0,MAX(0,MIN(1,(IF(CF1177="L1",Parameter!$H$5,IF(CF1177="L23",Parameter!$H$6+Parameter!$H$7,Parameter!$H$5+Parameter!$H$6+Parameter!$H$7))-(BH1177-BC1177))/BC1177)))</f>
        <v>1</v>
      </c>
      <c r="BJ1177" s="48" t="str">
        <f aca="false">IF(AI1177&lt;=0,"",IF(CF1177="Aussen","Aussenlager",IF(CF1177="-","Nicht im Lift",IF(AO1177&gt;=1,"Lift",IF(AO1177&lt;=0,"Aussenlager","teilweise")))))</f>
        <v>Lift</v>
      </c>
      <c r="BK1177" s="48" t="str">
        <f aca="false">IF(AS1177&lt;=0,"",IF(CF1177="Aussen","Aussenlager",IF(CF1177="-","Nicht im Lift",IF(AY1177&gt;=1,"Lift",IF(AY1177&lt;=0,"Aussenlager","teilweise")))))</f>
        <v>Lift</v>
      </c>
      <c r="BL1177" s="48" t="str">
        <f aca="false">IF(BC1177&lt;=0,"",IF(CF1177="Aussen","Aussenlager",IF(CF1177="-","Nicht im Lift",IF(BI1177&gt;=1,"Lift",IF(BI1177&lt;=0,"Aussenlager","teilweise")))))</f>
        <v>Lift</v>
      </c>
      <c r="BM1177" s="48" t="str">
        <f aca="false">IF(A1177="","",IF(BV1177=1,"Neu; ","")&amp;IF(AND(BV1177=0,BQ1177&lt;0),"negativer Bestand (Export "&amp;BQ1177&amp;"); ","")&amp;IF(J1177&lt;=0,"Kein Verbrauch; ","")&amp;IF(CQ1177&gt;0,"Lift "&amp;W1177&amp;" lt. Liftbericht (Fach "&amp;X1177&amp;" Stk); ",IF(CA1177=1,"Gebinde geschätzt ("&amp;T1177&amp;"); ",IF(BZ1177=1,"Lose – Tablare geschätzt; ","")))&amp;IF(H1177&gt;AV1177,"Überbestand "&amp;ROUND(H1177-AV1177,0)&amp;" Stk / CHF "&amp;ROUND((H1177-AV1177)*G1177,0)&amp;"; ","")&amp;IF(AND(CH1177=1,CI1177&lt;CJ1177),"MAX &lt; MB+LG; ","")&amp;IF(AND(CP1177&gt;0,CO1177*10&gt;CP1177),"zu hoch für Tablar; ","")&amp;IF(AND(BV1177=0,OR(CH1177=1,AA1177&lt;&gt;"",U1177&lt;&gt;"",V1177&lt;&gt;"",AB1177&lt;&gt;"")),"manuell übersteuert; ","")&amp;IF(AND(BZ1177=0,R1177=0),"Gebinde unbekannt / Stellmass fehlt; ","")&amp;IF(AND(BZ1177=0,N(V1177)&lt;=0,N(Q1177)&lt;=0),"Menge pro Gebinde fehlt (Ist = 1 Gebinde); ","")&amp;BU1177)</f>
        <v>negativer Bestand (Export -61); Überbestand 90 Stk / CHF 548; </v>
      </c>
      <c r="BN1177" s="48"/>
      <c r="BO1177" s="48"/>
      <c r="BP1177" s="55"/>
      <c r="BQ1177" s="50" t="n">
        <v>-61</v>
      </c>
      <c r="BR1177" s="50" t="n">
        <v>167</v>
      </c>
      <c r="BS1177" s="49" t="n">
        <v>-371.49</v>
      </c>
      <c r="BT1177" s="50" t="n">
        <v>16</v>
      </c>
      <c r="BU1177" s="48"/>
      <c r="BV1177" s="53" t="n">
        <v>0</v>
      </c>
      <c r="BW1177" s="53" t="n">
        <v>1177</v>
      </c>
      <c r="BX1177" s="48" t="str">
        <f aca="false">IF(U1177&lt;&gt;"",UPPER(TRIM(U1177)),IF(CA1177=1,UPPER(VLOOKUP(T1177,Parameter!$I$27:$K$29,2,0)),IF(P1177="","LOSE",P1177)))</f>
        <v>S32</v>
      </c>
      <c r="BY1177" s="50" t="n">
        <f aca="false">IF(BX1177="LOSE",1,IF(N(V1177)&gt;0,V1177,IF(CA1177=1,MAX(1,N(VLOOKUP(T1177,Parameter!$I$27:$K$29,3,0)),H1177,N(N1177)),IF(N(Q1177)&gt;0,Q1177,MAX(1,H1177)))))</f>
        <v>104</v>
      </c>
      <c r="BZ1177" s="53" t="n">
        <f aca="false">IF(BX1177="LOSE",1,0)</f>
        <v>0</v>
      </c>
      <c r="CA1177" s="53" t="n">
        <f aca="false">IF(AND(U1177="",OR(P1177="",P1177="LOSE"),T1177&lt;&gt;"",N(S1177)&lt;=0,ISNUMBER(MATCH(T1177,Parameter!$I$27:$I$29,0))),1,0)</f>
        <v>0</v>
      </c>
      <c r="CB1177" s="53" t="n">
        <f aca="false">IF(CQ1177&gt;0,INDEX(Parameter!$H$5:$H$7,W1177)/INDEX(Parameter!$E$5:$E$7,W1177),IF(AND(BZ1177=0,N(IFERROR(VLOOKUP(BX1177,'Gebinde-Kategorie'!$A$5:$N$45,14,0),0))&gt;0),VLOOKUP(BX1177,'Gebinde-Kategorie'!$A$5:$N$45,14,0)*10+Parameter!$M$23,Parameter!$M$24))</f>
        <v>155</v>
      </c>
      <c r="CC1177" s="48" t="str">
        <f aca="false">IF(AND(Parameter!$B$19="Ja",E1177&lt;&gt;"",ISNUMBER(MATCH(E1177,Parameter!$I$35:$I$52,0))),VLOOKUP(E1177,Parameter!$I$35:$J$52,2,0),IFERROR(VLOOKUP(D1177,Parameter!$A$35:$C$64,2,0),"Nein"))</f>
        <v>2+3</v>
      </c>
      <c r="CD1177" s="52" t="n">
        <f aca="false">IF(BZ1177=0,0,IF(N(S1177)&gt;0,S1177,IFERROR(VLOOKUP(D1177,Parameter!$A$35:$C$64,3,0)+0,0)))</f>
        <v>0</v>
      </c>
      <c r="CE1177" s="48" t="n">
        <f aca="false">IF(AA1177&lt;&gt;"",AA1177,Z1177)</f>
        <v>3</v>
      </c>
      <c r="CF1177" s="48" t="str">
        <f aca="false">IF(OR(CE1177=1,CE1177=2,CE1177=3),IF(Parameter!$E$27="Ja","LIFT",IF(CE1177=1,"L1","L23")),IF(CE1177="Aussen","Aussen","-"))</f>
        <v>LIFT</v>
      </c>
      <c r="CG1177" s="59" t="n">
        <f aca="false">IF(N(AB1177)&gt;0,AB1177,0)</f>
        <v>0</v>
      </c>
      <c r="CH1177" s="53" t="n">
        <f aca="false">IF(ISNUMBER(AE1177),1,0)</f>
        <v>0</v>
      </c>
      <c r="CI1177" s="50" t="n">
        <f aca="false">N(AE1177)</f>
        <v>0</v>
      </c>
      <c r="CJ1177" s="50" t="n">
        <f aca="false">N(M1177)+N(N1177)</f>
        <v>16</v>
      </c>
      <c r="CK1177" s="50" t="n">
        <f aca="false">N(M1177)</f>
        <v>1</v>
      </c>
      <c r="CL1177" s="50" t="n">
        <f aca="false">N(N1177)</f>
        <v>15</v>
      </c>
      <c r="CM1177" s="50" t="n">
        <f aca="false">ROUNDUP(H1177/BY1177,0)</f>
        <v>2</v>
      </c>
      <c r="CN1177" s="50" t="n">
        <f aca="false">ROUNDUP(CI1177/BY1177,0)</f>
        <v>0</v>
      </c>
      <c r="CO1177" s="53" t="n">
        <f aca="false">IF(BZ1177=1,0,IFERROR(VLOOKUP(BX1177,'Gebinde-Kategorie'!$A$5:$N$45,5,0)+0,0))</f>
        <v>8</v>
      </c>
      <c r="CP1177" s="53" t="n">
        <f aca="false">IFERROR(IF(OR(CE1177=1,CE1177=2,CE1177=3),N(INDEX(Parameter!$I$5:$I$7,CE1177)),0),0)</f>
        <v>0</v>
      </c>
      <c r="CQ1177" s="52" t="n">
        <f aca="false">IF(AND(Parameter!$B$21="Ja",ISNUMBER(W1177),N(X1177)&gt;0),IFERROR(N(INDEX(Parameter!$L$5:$L$7,W1177))*INDEX(Parameter!$E$5:$E$7,W1177)*X1177/SUMIFS($X$7:$X$1843,$W$7:$W$1843,W1177),0),0)</f>
        <v>0</v>
      </c>
    </row>
    <row r="1178" customFormat="false" ht="15" hidden="false" customHeight="false" outlineLevel="0" collapsed="false">
      <c r="A1178" s="48" t="s">
        <v>2130</v>
      </c>
      <c r="B1178" s="48" t="s">
        <v>2131</v>
      </c>
      <c r="C1178" s="48" t="s">
        <v>173</v>
      </c>
      <c r="D1178" s="48" t="s">
        <v>193</v>
      </c>
      <c r="E1178" s="48"/>
      <c r="F1178" s="48" t="s">
        <v>227</v>
      </c>
      <c r="G1178" s="49" t="n">
        <v>371.82</v>
      </c>
      <c r="H1178" s="50" t="n">
        <f aca="false">MAX(0,IF(AND(Parameter!$B$21="Ja",ISNUMBER(Y1178)),Y1178,IF(Parameter!$B$20="Jahresanfang 2025 + Export",BR1178+BQ1178,BQ1178)))</f>
        <v>1</v>
      </c>
      <c r="I1178" s="50" t="n">
        <f aca="false">H1178*G1178</f>
        <v>371.82</v>
      </c>
      <c r="J1178" s="50" t="n">
        <f aca="false">BT1178*Parameter!$B$18</f>
        <v>1</v>
      </c>
      <c r="K1178" s="51" t="n">
        <v>1.5</v>
      </c>
      <c r="L1178" s="52" t="n">
        <v>0.666666666666667</v>
      </c>
      <c r="M1178" s="50" t="n">
        <v>0</v>
      </c>
      <c r="N1178" s="50" t="n">
        <v>1</v>
      </c>
      <c r="O1178" s="53" t="n">
        <v>21</v>
      </c>
      <c r="P1178" s="48" t="s">
        <v>430</v>
      </c>
      <c r="Q1178" s="50" t="n">
        <v>1</v>
      </c>
      <c r="R1178" s="53" t="n">
        <f aca="false">IF(BZ1178=1,0,IFERROR(VLOOKUP(BX1178,'Gebinde-Kategorie'!$A$5:$N$45,13,0)+0,0))</f>
        <v>104</v>
      </c>
      <c r="S1178" s="54"/>
      <c r="T1178" s="55"/>
      <c r="U1178" s="55"/>
      <c r="V1178" s="55"/>
      <c r="W1178" s="48"/>
      <c r="X1178" s="50"/>
      <c r="Y1178" s="50"/>
      <c r="Z1178" s="48" t="n">
        <f aca="false">IF(A1178="","",IF(AND(Parameter!$B$21="Ja",ISNUMBER(W1178)),W1178,IF(CC1178="2+3",IF(ISNUMBER(SEARCH("grosser Artikel",BU1178)),2,IFERROR(VLOOKUP(BX1178,Parameter!$F$35:$G$64,2,0),2)),IF(OR(CC1178="Nein",CC1178=""),"-",CC1178))))</f>
        <v>3</v>
      </c>
      <c r="AA1178" s="55"/>
      <c r="AB1178" s="56"/>
      <c r="AC1178" s="50" t="n">
        <f aca="false">AV1178</f>
        <v>1</v>
      </c>
      <c r="AD1178" s="50" t="n">
        <f aca="false">MAX(AV1178,H1178)</f>
        <v>1</v>
      </c>
      <c r="AE1178" s="57"/>
      <c r="AF1178" s="50" t="n">
        <f aca="false">IF(LEFT(Cockpit!$C$5,1)="A",H1178,IF(Parameter!$E$30="MAX-Bestand",IF(CH1178=1,CI1178,IF(LEFT(Cockpit!$C$5,1)="B",AL1178,MAX(AL1178,H1178))),ROUNDUP(AJ1178,0)))</f>
        <v>1</v>
      </c>
      <c r="AG1178" s="50" t="n">
        <f aca="false">IF(BZ1178=1,0,ROUNDUP(AF1178/BY1178,0))</f>
        <v>1</v>
      </c>
      <c r="AH1178" s="52" t="n">
        <f aca="false">IF(CQ1178&gt;0,CQ1178*MAX(1,AF1178/X1178),IF(BZ1178=1,IF(AF1178&lt;=0,0,CD1178*MAX(1,IF(H1178&gt;0,AF1178/H1178,1))),IF(R1178&gt;0,AG1178/R1178,0))/MAX(0.1,N(Parameter!$M$21)))</f>
        <v>0.00961538461538462</v>
      </c>
      <c r="AI1178" s="50" t="n">
        <f aca="false">AH1178*CB1178</f>
        <v>1.49038461538462</v>
      </c>
      <c r="AJ1178" s="51" t="n">
        <f aca="false">IF(LEFT(Cockpit!$C$5,1)="A",H1178,IF(CH1178=1,(CK1178+CI1178)/2,IF(LEFT(Cockpit!$C$5,1)="B",(CK1178+AL1178)/2,MAX((CK1178+AL1178)/2,H1178))))</f>
        <v>1</v>
      </c>
      <c r="AK1178" s="50" t="n">
        <f aca="false">AJ1178*G1178</f>
        <v>371.82</v>
      </c>
      <c r="AL1178" s="50" t="n">
        <f aca="false">ROUNDUP(CK1178+MAX(CL1178,2*(J1178/IF(CG1178&gt;0,CG1178,MAX(0.1,N(Cockpit!$C$6)))-CK1178)),0)</f>
        <v>1</v>
      </c>
      <c r="AM1178" s="51" t="n">
        <f aca="false">IF(AI1178&gt;0,J1178/AI1178,-1)</f>
        <v>0.670967741935484</v>
      </c>
      <c r="AN1178" s="51" t="n">
        <f aca="false">IF(AND(OR(CF1178="L1",CF1178="L23",CF1178="LIFT"),AI1178&gt;0),SUMIFS($AI$7:$AI$1843,$CF$7:$CF$1843,CF1178,$AM$7:$AM$1843,"&gt;"&amp;AM1178)+SUMIFS($AI$7:$AI$1843,$CF$7:$CF$1843,CF1178,$AM$7:$AM$1843,AM1178,$BW$7:$BW$1843,"&lt;="&amp;BW1178),"")</f>
        <v>8638.46794871795</v>
      </c>
      <c r="AO1178" s="58" t="n">
        <f aca="false">IF(AN1178="",0,MAX(0,MIN(1,(IF(CF1178="L1",Parameter!$H$5,IF(CF1178="L23",Parameter!$H$6+Parameter!$H$7,Parameter!$H$5+Parameter!$H$6+Parameter!$H$7))-(AN1178-AI1178))/AI1178)))</f>
        <v>1</v>
      </c>
      <c r="AP1178" s="50" t="n">
        <f aca="false">IF(LEFT(Cockpit!$I$5,1)="A",H1178,IF(Parameter!$E$30="MAX-Bestand",IF(CH1178=1,CI1178,IF(LEFT(Cockpit!$I$5,1)="B",AV1178,MAX(AV1178,H1178))),ROUNDUP(AT1178,0)))</f>
        <v>1</v>
      </c>
      <c r="AQ1178" s="50" t="n">
        <f aca="false">IF(BZ1178=1,0,ROUNDUP(AP1178/BY1178,0))</f>
        <v>1</v>
      </c>
      <c r="AR1178" s="52" t="n">
        <f aca="false">IF(CQ1178&gt;0,CQ1178*MAX(1,AP1178/X1178),IF(BZ1178=1,IF(AP1178&lt;=0,0,CD1178*MAX(1,IF(H1178&gt;0,AP1178/H1178,1))),IF(R1178&gt;0,AQ1178/R1178,0))/MAX(0.1,N(Parameter!$M$21)))</f>
        <v>0.00961538461538462</v>
      </c>
      <c r="AS1178" s="50" t="n">
        <f aca="false">AR1178*CB1178</f>
        <v>1.49038461538462</v>
      </c>
      <c r="AT1178" s="51" t="n">
        <f aca="false">IF(LEFT(Cockpit!$I$5,1)="A",H1178,IF(CH1178=1,(CK1178+CI1178)/2,IF(LEFT(Cockpit!$I$5,1)="B",(CK1178+AV1178)/2,MAX((CK1178+AV1178)/2,H1178))))</f>
        <v>1</v>
      </c>
      <c r="AU1178" s="50" t="n">
        <f aca="false">AT1178*G1178</f>
        <v>371.82</v>
      </c>
      <c r="AV1178" s="50" t="n">
        <f aca="false">ROUNDUP(CK1178+MAX(CL1178,2*(J1178/IF(CG1178&gt;0,CG1178,MAX(0.1,N(Cockpit!$I$6)))-CK1178)),0)</f>
        <v>1</v>
      </c>
      <c r="AW1178" s="51" t="n">
        <f aca="false">IF(AS1178&gt;0,J1178/AS1178,-1)</f>
        <v>0.670967741935484</v>
      </c>
      <c r="AX1178" s="51" t="n">
        <f aca="false">IF(AND(OR(CF1178="L1",CF1178="L23",CF1178="LIFT"),AS1178&gt;0),SUMIFS($AS$7:$AS$1843,$CF$7:$CF$1843,CF1178,$AW$7:$AW$1843,"&gt;"&amp;AW1178)+SUMIFS($AS$7:$AS$1843,$CF$7:$CF$1843,CF1178,$AW$7:$AW$1843,AW1178,$BW$7:$BW$1843,"&lt;="&amp;BW1178),"")</f>
        <v>10932.6355311355</v>
      </c>
      <c r="AY1178" s="58" t="n">
        <f aca="false">IF(AX1178="",0,MAX(0,MIN(1,(IF(CF1178="L1",Parameter!$H$5,IF(CF1178="L23",Parameter!$H$6+Parameter!$H$7,Parameter!$H$5+Parameter!$H$6+Parameter!$H$7))-(AX1178-AS1178))/AS1178)))</f>
        <v>1</v>
      </c>
      <c r="AZ1178" s="50" t="n">
        <f aca="false">IF(LEFT(Cockpit!$O$5,1)="A",H1178,IF(Parameter!$E$30="MAX-Bestand",IF(CH1178=1,CI1178,IF(LEFT(Cockpit!$O$5,1)="B",BF1178,MAX(BF1178,H1178))),ROUNDUP(BD1178,0)))</f>
        <v>1</v>
      </c>
      <c r="BA1178" s="50" t="n">
        <f aca="false">IF(BZ1178=1,0,ROUNDUP(AZ1178/BY1178,0))</f>
        <v>1</v>
      </c>
      <c r="BB1178" s="52" t="n">
        <f aca="false">IF(CQ1178&gt;0,CQ1178*MAX(1,AZ1178/X1178),IF(BZ1178=1,IF(AZ1178&lt;=0,0,CD1178*MAX(1,IF(H1178&gt;0,AZ1178/H1178,1))),IF(R1178&gt;0,BA1178/R1178,0))/MAX(0.1,N(Parameter!$M$21)))</f>
        <v>0.00961538461538462</v>
      </c>
      <c r="BC1178" s="50" t="n">
        <f aca="false">BB1178*CB1178</f>
        <v>1.49038461538462</v>
      </c>
      <c r="BD1178" s="51" t="n">
        <f aca="false">IF(LEFT(Cockpit!$O$5,1)="A",H1178,IF(CH1178=1,(CK1178+CI1178)/2,IF(LEFT(Cockpit!$O$5,1)="B",(CK1178+BF1178)/2,MAX((CK1178+BF1178)/2,H1178))))</f>
        <v>0.5</v>
      </c>
      <c r="BE1178" s="50" t="n">
        <f aca="false">BD1178*G1178</f>
        <v>185.91</v>
      </c>
      <c r="BF1178" s="50" t="n">
        <f aca="false">ROUNDUP(CK1178+MAX(CL1178,2*(J1178/IF(CG1178&gt;0,CG1178,MAX(0.1,N(Cockpit!$O$6)))-CK1178)),0)</f>
        <v>1</v>
      </c>
      <c r="BG1178" s="51" t="n">
        <f aca="false">IF(BC1178&gt;0,J1178/BC1178,-1)</f>
        <v>0.670967741935484</v>
      </c>
      <c r="BH1178" s="51" t="n">
        <f aca="false">IF(AND(OR(CF1178="L1",CF1178="L23",CF1178="LIFT"),BC1178&gt;0),SUMIFS($BC$7:$BC$1843,$CF$7:$CF$1843,CF1178,$BG$7:$BG$1843,"&gt;"&amp;BG1178)+SUMIFS($BC$7:$BC$1843,$CF$7:$CF$1843,CF1178,$BG$7:$BG$1843,BG1178,$BW$7:$BW$1843,"&lt;="&amp;BW1178),"")</f>
        <v>9542.26968864469</v>
      </c>
      <c r="BI1178" s="58" t="n">
        <f aca="false">IF(BH1178="",0,MAX(0,MIN(1,(IF(CF1178="L1",Parameter!$H$5,IF(CF1178="L23",Parameter!$H$6+Parameter!$H$7,Parameter!$H$5+Parameter!$H$6+Parameter!$H$7))-(BH1178-BC1178))/BC1178)))</f>
        <v>1</v>
      </c>
      <c r="BJ1178" s="48" t="str">
        <f aca="false">IF(AI1178&lt;=0,"",IF(CF1178="Aussen","Aussenlager",IF(CF1178="-","Nicht im Lift",IF(AO1178&gt;=1,"Lift",IF(AO1178&lt;=0,"Aussenlager","teilweise")))))</f>
        <v>Lift</v>
      </c>
      <c r="BK1178" s="48" t="str">
        <f aca="false">IF(AS1178&lt;=0,"",IF(CF1178="Aussen","Aussenlager",IF(CF1178="-","Nicht im Lift",IF(AY1178&gt;=1,"Lift",IF(AY1178&lt;=0,"Aussenlager","teilweise")))))</f>
        <v>Lift</v>
      </c>
      <c r="BL1178" s="48" t="str">
        <f aca="false">IF(BC1178&lt;=0,"",IF(CF1178="Aussen","Aussenlager",IF(CF1178="-","Nicht im Lift",IF(BI1178&gt;=1,"Lift",IF(BI1178&lt;=0,"Aussenlager","teilweise")))))</f>
        <v>Lift</v>
      </c>
      <c r="BM1178" s="48" t="str">
        <f aca="false">IF(A1178="","",IF(BV1178=1,"Neu; ","")&amp;IF(AND(BV1178=0,BQ1178&lt;0),"negativer Bestand (Export "&amp;BQ1178&amp;"); ","")&amp;IF(J1178&lt;=0,"Kein Verbrauch; ","")&amp;IF(CQ1178&gt;0,"Lift "&amp;W1178&amp;" lt. Liftbericht (Fach "&amp;X1178&amp;" Stk); ",IF(CA1178=1,"Gebinde geschätzt ("&amp;T1178&amp;"); ",IF(BZ1178=1,"Lose – Tablare geschätzt; ","")))&amp;IF(H1178&gt;AV1178,"Überbestand "&amp;ROUND(H1178-AV1178,0)&amp;" Stk / CHF "&amp;ROUND((H1178-AV1178)*G1178,0)&amp;"; ","")&amp;IF(AND(CH1178=1,CI1178&lt;CJ1178),"MAX &lt; MB+LG; ","")&amp;IF(AND(CP1178&gt;0,CO1178*10&gt;CP1178),"zu hoch für Tablar; ","")&amp;IF(AND(BV1178=0,OR(CH1178=1,AA1178&lt;&gt;"",U1178&lt;&gt;"",V1178&lt;&gt;"",AB1178&lt;&gt;"")),"manuell übersteuert; ","")&amp;IF(AND(BZ1178=0,R1178=0),"Gebinde unbekannt / Stellmass fehlt; ","")&amp;IF(AND(BZ1178=0,N(V1178)&lt;=0,N(Q1178)&lt;=0),"Menge pro Gebinde fehlt (Ist = 1 Gebinde); ","")&amp;BU1178)</f>
        <v>negativer Bestand (Export -1); </v>
      </c>
      <c r="BN1178" s="48"/>
      <c r="BO1178" s="48"/>
      <c r="BP1178" s="55"/>
      <c r="BQ1178" s="50" t="n">
        <v>-1</v>
      </c>
      <c r="BR1178" s="50" t="n">
        <v>2</v>
      </c>
      <c r="BS1178" s="49" t="n">
        <v>-371.82</v>
      </c>
      <c r="BT1178" s="50" t="n">
        <v>1</v>
      </c>
      <c r="BU1178" s="48"/>
      <c r="BV1178" s="53" t="n">
        <v>0</v>
      </c>
      <c r="BW1178" s="53" t="n">
        <v>1178</v>
      </c>
      <c r="BX1178" s="48" t="str">
        <f aca="false">IF(U1178&lt;&gt;"",UPPER(TRIM(U1178)),IF(CA1178=1,UPPER(VLOOKUP(T1178,Parameter!$I$27:$K$29,2,0)),IF(P1178="","LOSE",P1178)))</f>
        <v>S32</v>
      </c>
      <c r="BY1178" s="50" t="n">
        <f aca="false">IF(BX1178="LOSE",1,IF(N(V1178)&gt;0,V1178,IF(CA1178=1,MAX(1,N(VLOOKUP(T1178,Parameter!$I$27:$K$29,3,0)),H1178,N(N1178)),IF(N(Q1178)&gt;0,Q1178,MAX(1,H1178)))))</f>
        <v>1</v>
      </c>
      <c r="BZ1178" s="53" t="n">
        <f aca="false">IF(BX1178="LOSE",1,0)</f>
        <v>0</v>
      </c>
      <c r="CA1178" s="53" t="n">
        <f aca="false">IF(AND(U1178="",OR(P1178="",P1178="LOSE"),T1178&lt;&gt;"",N(S1178)&lt;=0,ISNUMBER(MATCH(T1178,Parameter!$I$27:$I$29,0))),1,0)</f>
        <v>0</v>
      </c>
      <c r="CB1178" s="53" t="n">
        <f aca="false">IF(CQ1178&gt;0,INDEX(Parameter!$H$5:$H$7,W1178)/INDEX(Parameter!$E$5:$E$7,W1178),IF(AND(BZ1178=0,N(IFERROR(VLOOKUP(BX1178,'Gebinde-Kategorie'!$A$5:$N$45,14,0),0))&gt;0),VLOOKUP(BX1178,'Gebinde-Kategorie'!$A$5:$N$45,14,0)*10+Parameter!$M$23,Parameter!$M$24))</f>
        <v>155</v>
      </c>
      <c r="CC1178" s="48" t="str">
        <f aca="false">IF(AND(Parameter!$B$19="Ja",E1178&lt;&gt;"",ISNUMBER(MATCH(E1178,Parameter!$I$35:$I$52,0))),VLOOKUP(E1178,Parameter!$I$35:$J$52,2,0),IFERROR(VLOOKUP(D1178,Parameter!$A$35:$C$64,2,0),"Nein"))</f>
        <v>2+3</v>
      </c>
      <c r="CD1178" s="52" t="n">
        <f aca="false">IF(BZ1178=0,0,IF(N(S1178)&gt;0,S1178,IFERROR(VLOOKUP(D1178,Parameter!$A$35:$C$64,3,0)+0,0)))</f>
        <v>0</v>
      </c>
      <c r="CE1178" s="48" t="n">
        <f aca="false">IF(AA1178&lt;&gt;"",AA1178,Z1178)</f>
        <v>3</v>
      </c>
      <c r="CF1178" s="48" t="str">
        <f aca="false">IF(OR(CE1178=1,CE1178=2,CE1178=3),IF(Parameter!$E$27="Ja","LIFT",IF(CE1178=1,"L1","L23")),IF(CE1178="Aussen","Aussen","-"))</f>
        <v>LIFT</v>
      </c>
      <c r="CG1178" s="59" t="n">
        <f aca="false">IF(N(AB1178)&gt;0,AB1178,0)</f>
        <v>0</v>
      </c>
      <c r="CH1178" s="53" t="n">
        <f aca="false">IF(ISNUMBER(AE1178),1,0)</f>
        <v>0</v>
      </c>
      <c r="CI1178" s="50" t="n">
        <f aca="false">N(AE1178)</f>
        <v>0</v>
      </c>
      <c r="CJ1178" s="50" t="n">
        <f aca="false">N(M1178)+N(N1178)</f>
        <v>1</v>
      </c>
      <c r="CK1178" s="50" t="n">
        <f aca="false">N(M1178)</f>
        <v>0</v>
      </c>
      <c r="CL1178" s="50" t="n">
        <f aca="false">N(N1178)</f>
        <v>1</v>
      </c>
      <c r="CM1178" s="50" t="n">
        <f aca="false">ROUNDUP(H1178/BY1178,0)</f>
        <v>1</v>
      </c>
      <c r="CN1178" s="50" t="n">
        <f aca="false">ROUNDUP(CI1178/BY1178,0)</f>
        <v>0</v>
      </c>
      <c r="CO1178" s="53" t="n">
        <f aca="false">IF(BZ1178=1,0,IFERROR(VLOOKUP(BX1178,'Gebinde-Kategorie'!$A$5:$N$45,5,0)+0,0))</f>
        <v>8</v>
      </c>
      <c r="CP1178" s="53" t="n">
        <f aca="false">IFERROR(IF(OR(CE1178=1,CE1178=2,CE1178=3),N(INDEX(Parameter!$I$5:$I$7,CE1178)),0),0)</f>
        <v>0</v>
      </c>
      <c r="CQ1178" s="52" t="n">
        <f aca="false">IF(AND(Parameter!$B$21="Ja",ISNUMBER(W1178),N(X1178)&gt;0),IFERROR(N(INDEX(Parameter!$L$5:$L$7,W1178))*INDEX(Parameter!$E$5:$E$7,W1178)*X1178/SUMIFS($X$7:$X$1843,$W$7:$W$1843,W1178),0),0)</f>
        <v>0</v>
      </c>
    </row>
    <row r="1179" customFormat="false" ht="15" hidden="false" customHeight="false" outlineLevel="0" collapsed="false">
      <c r="A1179" s="48" t="s">
        <v>2132</v>
      </c>
      <c r="B1179" s="48" t="s">
        <v>416</v>
      </c>
      <c r="C1179" s="48" t="s">
        <v>173</v>
      </c>
      <c r="D1179" s="48" t="s">
        <v>193</v>
      </c>
      <c r="E1179" s="48" t="s">
        <v>194</v>
      </c>
      <c r="F1179" s="48" t="s">
        <v>227</v>
      </c>
      <c r="G1179" s="49" t="n">
        <v>0.59</v>
      </c>
      <c r="H1179" s="50" t="n">
        <f aca="false">MAX(0,IF(AND(Parameter!$B$21="Ja",ISNUMBER(Y1179)),Y1179,IF(Parameter!$B$20="Jahresanfang 2025 + Export",BR1179+BQ1179,BQ1179)))</f>
        <v>2306</v>
      </c>
      <c r="I1179" s="50" t="n">
        <f aca="false">H1179*G1179</f>
        <v>1360.54</v>
      </c>
      <c r="J1179" s="50" t="n">
        <f aca="false">BT1179*Parameter!$B$18</f>
        <v>15676</v>
      </c>
      <c r="K1179" s="51" t="n">
        <v>3733.5</v>
      </c>
      <c r="L1179" s="52" t="n">
        <v>4.19874112762823</v>
      </c>
      <c r="M1179" s="50" t="n">
        <v>914</v>
      </c>
      <c r="N1179" s="50" t="n">
        <v>1000</v>
      </c>
      <c r="O1179" s="53" t="n">
        <v>21</v>
      </c>
      <c r="P1179" s="48" t="s">
        <v>235</v>
      </c>
      <c r="Q1179" s="50" t="n">
        <v>20503</v>
      </c>
      <c r="R1179" s="53" t="n">
        <f aca="false">IF(BZ1179=1,0,IFERROR(VLOOKUP(BX1179,'Gebinde-Kategorie'!$A$5:$N$45,13,0)+0,0))</f>
        <v>12</v>
      </c>
      <c r="S1179" s="54"/>
      <c r="T1179" s="55"/>
      <c r="U1179" s="55"/>
      <c r="V1179" s="55"/>
      <c r="W1179" s="48"/>
      <c r="X1179" s="50"/>
      <c r="Y1179" s="50"/>
      <c r="Z1179" s="48" t="n">
        <f aca="false">IF(A1179="","",IF(AND(Parameter!$B$21="Ja",ISNUMBER(W1179)),W1179,IF(CC1179="2+3",IF(ISNUMBER(SEARCH("grosser Artikel",BU1179)),2,IFERROR(VLOOKUP(BX1179,Parameter!$F$35:$G$64,2,0),2)),IF(OR(CC1179="Nein",CC1179=""),"-",CC1179))))</f>
        <v>2</v>
      </c>
      <c r="AA1179" s="55"/>
      <c r="AB1179" s="56"/>
      <c r="AC1179" s="50" t="n">
        <f aca="false">AV1179</f>
        <v>9537</v>
      </c>
      <c r="AD1179" s="50" t="n">
        <f aca="false">MAX(AV1179,H1179)</f>
        <v>9537</v>
      </c>
      <c r="AE1179" s="57"/>
      <c r="AF1179" s="50" t="n">
        <f aca="false">IF(LEFT(Cockpit!$C$5,1)="A",H1179,IF(Parameter!$E$30="MAX-Bestand",IF(CH1179=1,CI1179,IF(LEFT(Cockpit!$C$5,1)="B",AL1179,MAX(AL1179,H1179))),ROUNDUP(AJ1179,0)))</f>
        <v>2306</v>
      </c>
      <c r="AG1179" s="50" t="n">
        <f aca="false">IF(BZ1179=1,0,ROUNDUP(AF1179/BY1179,0))</f>
        <v>1</v>
      </c>
      <c r="AH1179" s="52" t="n">
        <f aca="false">IF(CQ1179&gt;0,CQ1179*MAX(1,AF1179/X1179),IF(BZ1179=1,IF(AF1179&lt;=0,0,CD1179*MAX(1,IF(H1179&gt;0,AF1179/H1179,1))),IF(R1179&gt;0,AG1179/R1179,0))/MAX(0.1,N(Parameter!$M$21)))</f>
        <v>0.0833333333333333</v>
      </c>
      <c r="AI1179" s="50" t="n">
        <f aca="false">AH1179*CB1179</f>
        <v>28.75</v>
      </c>
      <c r="AJ1179" s="51" t="n">
        <f aca="false">IF(LEFT(Cockpit!$C$5,1)="A",H1179,IF(CH1179=1,(CK1179+CI1179)/2,IF(LEFT(Cockpit!$C$5,1)="B",(CK1179+AL1179)/2,MAX((CK1179+AL1179)/2,H1179))))</f>
        <v>2306</v>
      </c>
      <c r="AK1179" s="50" t="n">
        <f aca="false">AJ1179*G1179</f>
        <v>1360.54</v>
      </c>
      <c r="AL1179" s="50" t="n">
        <f aca="false">ROUNDUP(CK1179+MAX(CL1179,2*(J1179/IF(CG1179&gt;0,CG1179,MAX(0.1,N(Cockpit!$C$6)))-CK1179)),0)</f>
        <v>9537</v>
      </c>
      <c r="AM1179" s="51" t="n">
        <f aca="false">IF(AI1179&gt;0,J1179/AI1179,-1)</f>
        <v>545.252173913044</v>
      </c>
      <c r="AN1179" s="51" t="n">
        <f aca="false">IF(AND(OR(CF1179="L1",CF1179="L23",CF1179="LIFT"),AI1179&gt;0),SUMIFS($AI$7:$AI$1843,$CF$7:$CF$1843,CF1179,$AM$7:$AM$1843,"&gt;"&amp;AM1179)+SUMIFS($AI$7:$AI$1843,$CF$7:$CF$1843,CF1179,$AM$7:$AM$1843,AM1179,$BW$7:$BW$1843,"&lt;="&amp;BW1179),"")</f>
        <v>80.9684065934066</v>
      </c>
      <c r="AO1179" s="58" t="n">
        <f aca="false">IF(AN1179="",0,MAX(0,MIN(1,(IF(CF1179="L1",Parameter!$H$5,IF(CF1179="L23",Parameter!$H$6+Parameter!$H$7,Parameter!$H$5+Parameter!$H$6+Parameter!$H$7))-(AN1179-AI1179))/AI1179)))</f>
        <v>1</v>
      </c>
      <c r="AP1179" s="50" t="n">
        <f aca="false">IF(LEFT(Cockpit!$I$5,1)="A",H1179,IF(Parameter!$E$30="MAX-Bestand",IF(CH1179=1,CI1179,IF(LEFT(Cockpit!$I$5,1)="B",AV1179,MAX(AV1179,H1179))),ROUNDUP(AT1179,0)))</f>
        <v>5226</v>
      </c>
      <c r="AQ1179" s="50" t="n">
        <f aca="false">IF(BZ1179=1,0,ROUNDUP(AP1179/BY1179,0))</f>
        <v>1</v>
      </c>
      <c r="AR1179" s="52" t="n">
        <f aca="false">IF(CQ1179&gt;0,CQ1179*MAX(1,AP1179/X1179),IF(BZ1179=1,IF(AP1179&lt;=0,0,CD1179*MAX(1,IF(H1179&gt;0,AP1179/H1179,1))),IF(R1179&gt;0,AQ1179/R1179,0))/MAX(0.1,N(Parameter!$M$21)))</f>
        <v>0.0833333333333333</v>
      </c>
      <c r="AS1179" s="50" t="n">
        <f aca="false">AR1179*CB1179</f>
        <v>28.75</v>
      </c>
      <c r="AT1179" s="51" t="n">
        <f aca="false">IF(LEFT(Cockpit!$I$5,1)="A",H1179,IF(CH1179=1,(CK1179+CI1179)/2,IF(LEFT(Cockpit!$I$5,1)="B",(CK1179+AV1179)/2,MAX((CK1179+AV1179)/2,H1179))))</f>
        <v>5225.5</v>
      </c>
      <c r="AU1179" s="50" t="n">
        <f aca="false">AT1179*G1179</f>
        <v>3083.045</v>
      </c>
      <c r="AV1179" s="50" t="n">
        <f aca="false">ROUNDUP(CK1179+MAX(CL1179,2*(J1179/IF(CG1179&gt;0,CG1179,MAX(0.1,N(Cockpit!$I$6)))-CK1179)),0)</f>
        <v>9537</v>
      </c>
      <c r="AW1179" s="51" t="n">
        <f aca="false">IF(AS1179&gt;0,J1179/AS1179,-1)</f>
        <v>545.252173913044</v>
      </c>
      <c r="AX1179" s="51" t="n">
        <f aca="false">IF(AND(OR(CF1179="L1",CF1179="L23",CF1179="LIFT"),AS1179&gt;0),SUMIFS($AS$7:$AS$1843,$CF$7:$CF$1843,CF1179,$AW$7:$AW$1843,"&gt;"&amp;AW1179)+SUMIFS($AS$7:$AS$1843,$CF$7:$CF$1843,CF1179,$AW$7:$AW$1843,AW1179,$BW$7:$BW$1843,"&lt;="&amp;BW1179),"")</f>
        <v>73.9725274725275</v>
      </c>
      <c r="AY1179" s="58" t="n">
        <f aca="false">IF(AX1179="",0,MAX(0,MIN(1,(IF(CF1179="L1",Parameter!$H$5,IF(CF1179="L23",Parameter!$H$6+Parameter!$H$7,Parameter!$H$5+Parameter!$H$6+Parameter!$H$7))-(AX1179-AS1179))/AS1179)))</f>
        <v>1</v>
      </c>
      <c r="AZ1179" s="50" t="n">
        <f aca="false">IF(LEFT(Cockpit!$O$5,1)="A",H1179,IF(Parameter!$E$30="MAX-Bestand",IF(CH1179=1,CI1179,IF(LEFT(Cockpit!$O$5,1)="B",BF1179,MAX(BF1179,H1179))),ROUNDUP(BD1179,0)))</f>
        <v>3919</v>
      </c>
      <c r="BA1179" s="50" t="n">
        <f aca="false">IF(BZ1179=1,0,ROUNDUP(AZ1179/BY1179,0))</f>
        <v>1</v>
      </c>
      <c r="BB1179" s="52" t="n">
        <f aca="false">IF(CQ1179&gt;0,CQ1179*MAX(1,AZ1179/X1179),IF(BZ1179=1,IF(AZ1179&lt;=0,0,CD1179*MAX(1,IF(H1179&gt;0,AZ1179/H1179,1))),IF(R1179&gt;0,BA1179/R1179,0))/MAX(0.1,N(Parameter!$M$21)))</f>
        <v>0.0833333333333333</v>
      </c>
      <c r="BC1179" s="50" t="n">
        <f aca="false">BB1179*CB1179</f>
        <v>28.75</v>
      </c>
      <c r="BD1179" s="51" t="n">
        <f aca="false">IF(LEFT(Cockpit!$O$5,1)="A",H1179,IF(CH1179=1,(CK1179+CI1179)/2,IF(LEFT(Cockpit!$O$5,1)="B",(CK1179+BF1179)/2,MAX((CK1179+BF1179)/2,H1179))))</f>
        <v>3919</v>
      </c>
      <c r="BE1179" s="50" t="n">
        <f aca="false">BD1179*G1179</f>
        <v>2312.21</v>
      </c>
      <c r="BF1179" s="50" t="n">
        <f aca="false">ROUNDUP(CK1179+MAX(CL1179,2*(J1179/IF(CG1179&gt;0,CG1179,MAX(0.1,N(Cockpit!$O$6)))-CK1179)),0)</f>
        <v>6924</v>
      </c>
      <c r="BG1179" s="51" t="n">
        <f aca="false">IF(BC1179&gt;0,J1179/BC1179,-1)</f>
        <v>545.252173913044</v>
      </c>
      <c r="BH1179" s="51" t="n">
        <f aca="false">IF(AND(OR(CF1179="L1",CF1179="L23",CF1179="LIFT"),BC1179&gt;0),SUMIFS($BC$7:$BC$1843,$CF$7:$CF$1843,CF1179,$BG$7:$BG$1843,"&gt;"&amp;BG1179)+SUMIFS($BC$7:$BC$1843,$CF$7:$CF$1843,CF1179,$BG$7:$BG$1843,BG1179,$BW$7:$BW$1843,"&lt;="&amp;BW1179),"")</f>
        <v>94.6149267399267</v>
      </c>
      <c r="BI1179" s="58" t="n">
        <f aca="false">IF(BH1179="",0,MAX(0,MIN(1,(IF(CF1179="L1",Parameter!$H$5,IF(CF1179="L23",Parameter!$H$6+Parameter!$H$7,Parameter!$H$5+Parameter!$H$6+Parameter!$H$7))-(BH1179-BC1179))/BC1179)))</f>
        <v>1</v>
      </c>
      <c r="BJ1179" s="48" t="str">
        <f aca="false">IF(AI1179&lt;=0,"",IF(CF1179="Aussen","Aussenlager",IF(CF1179="-","Nicht im Lift",IF(AO1179&gt;=1,"Lift",IF(AO1179&lt;=0,"Aussenlager","teilweise")))))</f>
        <v>Lift</v>
      </c>
      <c r="BK1179" s="48" t="str">
        <f aca="false">IF(AS1179&lt;=0,"",IF(CF1179="Aussen","Aussenlager",IF(CF1179="-","Nicht im Lift",IF(AY1179&gt;=1,"Lift",IF(AY1179&lt;=0,"Aussenlager","teilweise")))))</f>
        <v>Lift</v>
      </c>
      <c r="BL1179" s="48" t="str">
        <f aca="false">IF(BC1179&lt;=0,"",IF(CF1179="Aussen","Aussenlager",IF(CF1179="-","Nicht im Lift",IF(BI1179&gt;=1,"Lift",IF(BI1179&lt;=0,"Aussenlager","teilweise")))))</f>
        <v>Lift</v>
      </c>
      <c r="BM1179" s="48" t="str">
        <f aca="false">IF(A1179="","",IF(BV1179=1,"Neu; ","")&amp;IF(AND(BV1179=0,BQ1179&lt;0),"negativer Bestand (Export "&amp;BQ1179&amp;"); ","")&amp;IF(J1179&lt;=0,"Kein Verbrauch; ","")&amp;IF(CQ1179&gt;0,"Lift "&amp;W1179&amp;" lt. Liftbericht (Fach "&amp;X1179&amp;" Stk); ",IF(CA1179=1,"Gebinde geschätzt ("&amp;T1179&amp;"); ",IF(BZ1179=1,"Lose – Tablare geschätzt; ","")))&amp;IF(H1179&gt;AV1179,"Überbestand "&amp;ROUND(H1179-AV1179,0)&amp;" Stk / CHF "&amp;ROUND((H1179-AV1179)*G1179,0)&amp;"; ","")&amp;IF(AND(CH1179=1,CI1179&lt;CJ1179),"MAX &lt; MB+LG; ","")&amp;IF(AND(CP1179&gt;0,CO1179*10&gt;CP1179),"zu hoch für Tablar; ","")&amp;IF(AND(BV1179=0,OR(CH1179=1,AA1179&lt;&gt;"",U1179&lt;&gt;"",V1179&lt;&gt;"",AB1179&lt;&gt;"")),"manuell übersteuert; ","")&amp;IF(AND(BZ1179=0,R1179=0),"Gebinde unbekannt / Stellmass fehlt; ","")&amp;IF(AND(BZ1179=0,N(V1179)&lt;=0,N(Q1179)&lt;=0),"Menge pro Gebinde fehlt (Ist = 1 Gebinde); ","")&amp;BU1179)</f>
        <v>negativer Bestand (Export -1436); </v>
      </c>
      <c r="BN1179" s="48"/>
      <c r="BO1179" s="48"/>
      <c r="BP1179" s="55"/>
      <c r="BQ1179" s="50" t="n">
        <v>-1436</v>
      </c>
      <c r="BR1179" s="50" t="n">
        <v>3742</v>
      </c>
      <c r="BS1179" s="49" t="n">
        <v>-371.960000000004</v>
      </c>
      <c r="BT1179" s="50" t="n">
        <v>15676</v>
      </c>
      <c r="BU1179" s="48"/>
      <c r="BV1179" s="53" t="n">
        <v>0</v>
      </c>
      <c r="BW1179" s="53" t="n">
        <v>1179</v>
      </c>
      <c r="BX1179" s="48" t="str">
        <f aca="false">IF(U1179&lt;&gt;"",UPPER(TRIM(U1179)),IF(CA1179=1,UPPER(VLOOKUP(T1179,Parameter!$I$27:$K$29,2,0)),IF(P1179="","LOSE",P1179)))</f>
        <v>S63</v>
      </c>
      <c r="BY1179" s="50" t="n">
        <f aca="false">IF(BX1179="LOSE",1,IF(N(V1179)&gt;0,V1179,IF(CA1179=1,MAX(1,N(VLOOKUP(T1179,Parameter!$I$27:$K$29,3,0)),H1179,N(N1179)),IF(N(Q1179)&gt;0,Q1179,MAX(1,H1179)))))</f>
        <v>20503</v>
      </c>
      <c r="BZ1179" s="53" t="n">
        <f aca="false">IF(BX1179="LOSE",1,0)</f>
        <v>0</v>
      </c>
      <c r="CA1179" s="53" t="n">
        <f aca="false">IF(AND(U1179="",OR(P1179="",P1179="LOSE"),T1179&lt;&gt;"",N(S1179)&lt;=0,ISNUMBER(MATCH(T1179,Parameter!$I$27:$I$29,0))),1,0)</f>
        <v>0</v>
      </c>
      <c r="CB1179" s="53" t="n">
        <f aca="false">IF(CQ1179&gt;0,INDEX(Parameter!$H$5:$H$7,W1179)/INDEX(Parameter!$E$5:$E$7,W1179),IF(AND(BZ1179=0,N(IFERROR(VLOOKUP(BX1179,'Gebinde-Kategorie'!$A$5:$N$45,14,0),0))&gt;0),VLOOKUP(BX1179,'Gebinde-Kategorie'!$A$5:$N$45,14,0)*10+Parameter!$M$23,Parameter!$M$24))</f>
        <v>345</v>
      </c>
      <c r="CC1179" s="48" t="str">
        <f aca="false">IF(AND(Parameter!$B$19="Ja",E1179&lt;&gt;"",ISNUMBER(MATCH(E1179,Parameter!$I$35:$I$52,0))),VLOOKUP(E1179,Parameter!$I$35:$J$52,2,0),IFERROR(VLOOKUP(D1179,Parameter!$A$35:$C$64,2,0),"Nein"))</f>
        <v>2+3</v>
      </c>
      <c r="CD1179" s="52" t="n">
        <f aca="false">IF(BZ1179=0,0,IF(N(S1179)&gt;0,S1179,IFERROR(VLOOKUP(D1179,Parameter!$A$35:$C$64,3,0)+0,0)))</f>
        <v>0</v>
      </c>
      <c r="CE1179" s="48" t="n">
        <f aca="false">IF(AA1179&lt;&gt;"",AA1179,Z1179)</f>
        <v>2</v>
      </c>
      <c r="CF1179" s="48" t="str">
        <f aca="false">IF(OR(CE1179=1,CE1179=2,CE1179=3),IF(Parameter!$E$27="Ja","LIFT",IF(CE1179=1,"L1","L23")),IF(CE1179="Aussen","Aussen","-"))</f>
        <v>LIFT</v>
      </c>
      <c r="CG1179" s="59" t="n">
        <f aca="false">IF(N(AB1179)&gt;0,AB1179,0)</f>
        <v>0</v>
      </c>
      <c r="CH1179" s="53" t="n">
        <f aca="false">IF(ISNUMBER(AE1179),1,0)</f>
        <v>0</v>
      </c>
      <c r="CI1179" s="50" t="n">
        <f aca="false">N(AE1179)</f>
        <v>0</v>
      </c>
      <c r="CJ1179" s="50" t="n">
        <f aca="false">N(M1179)+N(N1179)</f>
        <v>1914</v>
      </c>
      <c r="CK1179" s="50" t="n">
        <f aca="false">N(M1179)</f>
        <v>914</v>
      </c>
      <c r="CL1179" s="50" t="n">
        <f aca="false">N(N1179)</f>
        <v>1000</v>
      </c>
      <c r="CM1179" s="50" t="n">
        <f aca="false">ROUNDUP(H1179/BY1179,0)</f>
        <v>1</v>
      </c>
      <c r="CN1179" s="50" t="n">
        <f aca="false">ROUNDUP(CI1179/BY1179,0)</f>
        <v>0</v>
      </c>
      <c r="CO1179" s="53" t="n">
        <f aca="false">IF(BZ1179=1,0,IFERROR(VLOOKUP(BX1179,'Gebinde-Kategorie'!$A$5:$N$45,5,0)+0,0))</f>
        <v>31</v>
      </c>
      <c r="CP1179" s="53" t="n">
        <f aca="false">IFERROR(IF(OR(CE1179=1,CE1179=2,CE1179=3),N(INDEX(Parameter!$I$5:$I$7,CE1179)),0),0)</f>
        <v>0</v>
      </c>
      <c r="CQ1179" s="52" t="n">
        <f aca="false">IF(AND(Parameter!$B$21="Ja",ISNUMBER(W1179),N(X1179)&gt;0),IFERROR(N(INDEX(Parameter!$L$5:$L$7,W1179))*INDEX(Parameter!$E$5:$E$7,W1179)*X1179/SUMIFS($X$7:$X$1843,$W$7:$W$1843,W1179),0),0)</f>
        <v>0</v>
      </c>
    </row>
    <row r="1180" customFormat="false" ht="15" hidden="false" customHeight="false" outlineLevel="0" collapsed="false">
      <c r="A1180" s="48" t="s">
        <v>2133</v>
      </c>
      <c r="B1180" s="48" t="s">
        <v>1143</v>
      </c>
      <c r="C1180" s="48" t="s">
        <v>173</v>
      </c>
      <c r="D1180" s="48" t="s">
        <v>193</v>
      </c>
      <c r="E1180" s="48" t="s">
        <v>194</v>
      </c>
      <c r="F1180" s="48" t="s">
        <v>227</v>
      </c>
      <c r="G1180" s="49" t="n">
        <v>93.6</v>
      </c>
      <c r="H1180" s="50" t="n">
        <f aca="false">MAX(0,IF(AND(Parameter!$B$21="Ja",ISNUMBER(Y1180)),Y1180,IF(Parameter!$B$20="Jahresanfang 2025 + Export",BR1180+BQ1180,BQ1180)))</f>
        <v>3</v>
      </c>
      <c r="I1180" s="50" t="n">
        <f aca="false">H1180*G1180</f>
        <v>280.8</v>
      </c>
      <c r="J1180" s="50" t="n">
        <f aca="false">BT1180*Parameter!$B$18</f>
        <v>0</v>
      </c>
      <c r="K1180" s="51" t="n">
        <v>5</v>
      </c>
      <c r="L1180" s="52" t="n">
        <v>0</v>
      </c>
      <c r="M1180" s="50" t="n">
        <v>0</v>
      </c>
      <c r="N1180" s="50" t="n">
        <v>1</v>
      </c>
      <c r="O1180" s="53" t="n">
        <v>56</v>
      </c>
      <c r="P1180" s="48" t="s">
        <v>311</v>
      </c>
      <c r="Q1180" s="50" t="n">
        <v>3</v>
      </c>
      <c r="R1180" s="53" t="n">
        <f aca="false">IF(BZ1180=1,0,IFERROR(VLOOKUP(BX1180,'Gebinde-Kategorie'!$A$5:$N$45,13,0)+0,0))</f>
        <v>26</v>
      </c>
      <c r="S1180" s="54"/>
      <c r="T1180" s="55"/>
      <c r="U1180" s="55"/>
      <c r="V1180" s="55"/>
      <c r="W1180" s="48"/>
      <c r="X1180" s="50"/>
      <c r="Y1180" s="50"/>
      <c r="Z1180" s="48" t="n">
        <f aca="false">IF(A1180="","",IF(AND(Parameter!$B$21="Ja",ISNUMBER(W1180)),W1180,IF(CC1180="2+3",IF(ISNUMBER(SEARCH("grosser Artikel",BU1180)),2,IFERROR(VLOOKUP(BX1180,Parameter!$F$35:$G$64,2,0),2)),IF(OR(CC1180="Nein",CC1180=""),"-",CC1180))))</f>
        <v>3</v>
      </c>
      <c r="AA1180" s="55"/>
      <c r="AB1180" s="56"/>
      <c r="AC1180" s="50" t="n">
        <f aca="false">AV1180</f>
        <v>1</v>
      </c>
      <c r="AD1180" s="50" t="n">
        <f aca="false">MAX(AV1180,H1180)</f>
        <v>3</v>
      </c>
      <c r="AE1180" s="57"/>
      <c r="AF1180" s="50" t="n">
        <f aca="false">IF(LEFT(Cockpit!$C$5,1)="A",H1180,IF(Parameter!$E$30="MAX-Bestand",IF(CH1180=1,CI1180,IF(LEFT(Cockpit!$C$5,1)="B",AL1180,MAX(AL1180,H1180))),ROUNDUP(AJ1180,0)))</f>
        <v>3</v>
      </c>
      <c r="AG1180" s="50" t="n">
        <f aca="false">IF(BZ1180=1,0,ROUNDUP(AF1180/BY1180,0))</f>
        <v>1</v>
      </c>
      <c r="AH1180" s="52" t="n">
        <f aca="false">IF(CQ1180&gt;0,CQ1180*MAX(1,AF1180/X1180),IF(BZ1180=1,IF(AF1180&lt;=0,0,CD1180*MAX(1,IF(H1180&gt;0,AF1180/H1180,1))),IF(R1180&gt;0,AG1180/R1180,0))/MAX(0.1,N(Parameter!$M$21)))</f>
        <v>0.0384615384615385</v>
      </c>
      <c r="AI1180" s="50" t="n">
        <f aca="false">AH1180*CB1180</f>
        <v>5.96153846153846</v>
      </c>
      <c r="AJ1180" s="51" t="n">
        <f aca="false">IF(LEFT(Cockpit!$C$5,1)="A",H1180,IF(CH1180=1,(CK1180+CI1180)/2,IF(LEFT(Cockpit!$C$5,1)="B",(CK1180+AL1180)/2,MAX((CK1180+AL1180)/2,H1180))))</f>
        <v>3</v>
      </c>
      <c r="AK1180" s="50" t="n">
        <f aca="false">AJ1180*G1180</f>
        <v>280.8</v>
      </c>
      <c r="AL1180" s="50" t="n">
        <f aca="false">ROUNDUP(CK1180+MAX(CL1180,2*(J1180/IF(CG1180&gt;0,CG1180,MAX(0.1,N(Cockpit!$C$6)))-CK1180)),0)</f>
        <v>1</v>
      </c>
      <c r="AM1180" s="51" t="n">
        <f aca="false">IF(AI1180&gt;0,J1180/AI1180,-1)</f>
        <v>0</v>
      </c>
      <c r="AN1180" s="51" t="n">
        <f aca="false">IF(AND(OR(CF1180="L1",CF1180="L23",CF1180="LIFT"),AI1180&gt;0),SUMIFS($AI$7:$AI$1843,$CF$7:$CF$1843,CF1180,$AM$7:$AM$1843,"&gt;"&amp;AM1180)+SUMIFS($AI$7:$AI$1843,$CF$7:$CF$1843,CF1180,$AM$7:$AM$1843,AM1180,$BW$7:$BW$1843,"&lt;="&amp;BW1180),"")</f>
        <v>29401.514820161</v>
      </c>
      <c r="AO1180" s="58" t="n">
        <f aca="false">IF(AN1180="",0,MAX(0,MIN(1,(IF(CF1180="L1",Parameter!$H$5,IF(CF1180="L23",Parameter!$H$6+Parameter!$H$7,Parameter!$H$5+Parameter!$H$6+Parameter!$H$7))-(AN1180-AI1180))/AI1180)))</f>
        <v>1</v>
      </c>
      <c r="AP1180" s="50" t="n">
        <f aca="false">IF(LEFT(Cockpit!$I$5,1)="A",H1180,IF(Parameter!$E$30="MAX-Bestand",IF(CH1180=1,CI1180,IF(LEFT(Cockpit!$I$5,1)="B",AV1180,MAX(AV1180,H1180))),ROUNDUP(AT1180,0)))</f>
        <v>3</v>
      </c>
      <c r="AQ1180" s="50" t="n">
        <f aca="false">IF(BZ1180=1,0,ROUNDUP(AP1180/BY1180,0))</f>
        <v>1</v>
      </c>
      <c r="AR1180" s="52" t="n">
        <f aca="false">IF(CQ1180&gt;0,CQ1180*MAX(1,AP1180/X1180),IF(BZ1180=1,IF(AP1180&lt;=0,0,CD1180*MAX(1,IF(H1180&gt;0,AP1180/H1180,1))),IF(R1180&gt;0,AQ1180/R1180,0))/MAX(0.1,N(Parameter!$M$21)))</f>
        <v>0.0384615384615385</v>
      </c>
      <c r="AS1180" s="50" t="n">
        <f aca="false">AR1180*CB1180</f>
        <v>5.96153846153846</v>
      </c>
      <c r="AT1180" s="51" t="n">
        <f aca="false">IF(LEFT(Cockpit!$I$5,1)="A",H1180,IF(CH1180=1,(CK1180+CI1180)/2,IF(LEFT(Cockpit!$I$5,1)="B",(CK1180+AV1180)/2,MAX((CK1180+AV1180)/2,H1180))))</f>
        <v>3</v>
      </c>
      <c r="AU1180" s="50" t="n">
        <f aca="false">AT1180*G1180</f>
        <v>280.8</v>
      </c>
      <c r="AV1180" s="50" t="n">
        <f aca="false">ROUNDUP(CK1180+MAX(CL1180,2*(J1180/IF(CG1180&gt;0,CG1180,MAX(0.1,N(Cockpit!$I$6)))-CK1180)),0)</f>
        <v>1</v>
      </c>
      <c r="AW1180" s="51" t="n">
        <f aca="false">IF(AS1180&gt;0,J1180/AS1180,-1)</f>
        <v>0</v>
      </c>
      <c r="AX1180" s="51" t="n">
        <f aca="false">IF(AND(OR(CF1180="L1",CF1180="L23",CF1180="LIFT"),AS1180&gt;0),SUMIFS($AS$7:$AS$1843,$CF$7:$CF$1843,CF1180,$AW$7:$AW$1843,"&gt;"&amp;AW1180)+SUMIFS($AS$7:$AS$1843,$CF$7:$CF$1843,CF1180,$AW$7:$AW$1843,AW1180,$BW$7:$BW$1843,"&lt;="&amp;BW1180),"")</f>
        <v>35204.3676739927</v>
      </c>
      <c r="AY1180" s="58" t="n">
        <f aca="false">IF(AX1180="",0,MAX(0,MIN(1,(IF(CF1180="L1",Parameter!$H$5,IF(CF1180="L23",Parameter!$H$6+Parameter!$H$7,Parameter!$H$5+Parameter!$H$6+Parameter!$H$7))-(AX1180-AS1180))/AS1180)))</f>
        <v>1</v>
      </c>
      <c r="AZ1180" s="50" t="n">
        <f aca="false">IF(LEFT(Cockpit!$O$5,1)="A",H1180,IF(Parameter!$E$30="MAX-Bestand",IF(CH1180=1,CI1180,IF(LEFT(Cockpit!$O$5,1)="B",BF1180,MAX(BF1180,H1180))),ROUNDUP(BD1180,0)))</f>
        <v>1</v>
      </c>
      <c r="BA1180" s="50" t="n">
        <f aca="false">IF(BZ1180=1,0,ROUNDUP(AZ1180/BY1180,0))</f>
        <v>1</v>
      </c>
      <c r="BB1180" s="52" t="n">
        <f aca="false">IF(CQ1180&gt;0,CQ1180*MAX(1,AZ1180/X1180),IF(BZ1180=1,IF(AZ1180&lt;=0,0,CD1180*MAX(1,IF(H1180&gt;0,AZ1180/H1180,1))),IF(R1180&gt;0,BA1180/R1180,0))/MAX(0.1,N(Parameter!$M$21)))</f>
        <v>0.0384615384615385</v>
      </c>
      <c r="BC1180" s="50" t="n">
        <f aca="false">BB1180*CB1180</f>
        <v>5.96153846153846</v>
      </c>
      <c r="BD1180" s="51" t="n">
        <f aca="false">IF(LEFT(Cockpit!$O$5,1)="A",H1180,IF(CH1180=1,(CK1180+CI1180)/2,IF(LEFT(Cockpit!$O$5,1)="B",(CK1180+BF1180)/2,MAX((CK1180+BF1180)/2,H1180))))</f>
        <v>0.5</v>
      </c>
      <c r="BE1180" s="50" t="n">
        <f aca="false">BD1180*G1180</f>
        <v>46.8</v>
      </c>
      <c r="BF1180" s="50" t="n">
        <f aca="false">ROUNDUP(CK1180+MAX(CL1180,2*(J1180/IF(CG1180&gt;0,CG1180,MAX(0.1,N(Cockpit!$O$6)))-CK1180)),0)</f>
        <v>1</v>
      </c>
      <c r="BG1180" s="51" t="n">
        <f aca="false">IF(BC1180&gt;0,J1180/BC1180,-1)</f>
        <v>0</v>
      </c>
      <c r="BH1180" s="51" t="n">
        <f aca="false">IF(AND(OR(CF1180="L1",CF1180="L23",CF1180="LIFT"),BC1180&gt;0),SUMIFS($BC$7:$BC$1843,$CF$7:$CF$1843,CF1180,$BG$7:$BG$1843,"&gt;"&amp;BG1180)+SUMIFS($BC$7:$BC$1843,$CF$7:$CF$1843,CF1180,$BG$7:$BG$1843,BG1180,$BW$7:$BW$1843,"&lt;="&amp;BW1180),"")</f>
        <v>29189.6743341404</v>
      </c>
      <c r="BI1180" s="58" t="n">
        <f aca="false">IF(BH1180="",0,MAX(0,MIN(1,(IF(CF1180="L1",Parameter!$H$5,IF(CF1180="L23",Parameter!$H$6+Parameter!$H$7,Parameter!$H$5+Parameter!$H$6+Parameter!$H$7))-(BH1180-BC1180))/BC1180)))</f>
        <v>1</v>
      </c>
      <c r="BJ1180" s="48" t="str">
        <f aca="false">IF(AI1180&lt;=0,"",IF(CF1180="Aussen","Aussenlager",IF(CF1180="-","Nicht im Lift",IF(AO1180&gt;=1,"Lift",IF(AO1180&lt;=0,"Aussenlager","teilweise")))))</f>
        <v>Lift</v>
      </c>
      <c r="BK1180" s="48" t="str">
        <f aca="false">IF(AS1180&lt;=0,"",IF(CF1180="Aussen","Aussenlager",IF(CF1180="-","Nicht im Lift",IF(AY1180&gt;=1,"Lift",IF(AY1180&lt;=0,"Aussenlager","teilweise")))))</f>
        <v>Lift</v>
      </c>
      <c r="BL1180" s="48" t="str">
        <f aca="false">IF(BC1180&lt;=0,"",IF(CF1180="Aussen","Aussenlager",IF(CF1180="-","Nicht im Lift",IF(BI1180&gt;=1,"Lift",IF(BI1180&lt;=0,"Aussenlager","teilweise")))))</f>
        <v>Lift</v>
      </c>
      <c r="BM1180" s="48" t="str">
        <f aca="false">IF(A1180="","",IF(BV1180=1,"Neu; ","")&amp;IF(AND(BV1180=0,BQ1180&lt;0),"negativer Bestand (Export "&amp;BQ1180&amp;"); ","")&amp;IF(J1180&lt;=0,"Kein Verbrauch; ","")&amp;IF(CQ1180&gt;0,"Lift "&amp;W1180&amp;" lt. Liftbericht (Fach "&amp;X1180&amp;" Stk); ",IF(CA1180=1,"Gebinde geschätzt ("&amp;T1180&amp;"); ",IF(BZ1180=1,"Lose – Tablare geschätzt; ","")))&amp;IF(H1180&gt;AV1180,"Überbestand "&amp;ROUND(H1180-AV1180,0)&amp;" Stk / CHF "&amp;ROUND((H1180-AV1180)*G1180,0)&amp;"; ","")&amp;IF(AND(CH1180=1,CI1180&lt;CJ1180),"MAX &lt; MB+LG; ","")&amp;IF(AND(CP1180&gt;0,CO1180*10&gt;CP1180),"zu hoch für Tablar; ","")&amp;IF(AND(BV1180=0,OR(CH1180=1,AA1180&lt;&gt;"",U1180&lt;&gt;"",V1180&lt;&gt;"",AB1180&lt;&gt;"")),"manuell übersteuert; ","")&amp;IF(AND(BZ1180=0,R1180=0),"Gebinde unbekannt / Stellmass fehlt; ","")&amp;IF(AND(BZ1180=0,N(V1180)&lt;=0,N(Q1180)&lt;=0),"Menge pro Gebinde fehlt (Ist = 1 Gebinde); ","")&amp;BU1180)</f>
        <v>negativer Bestand (Export -4); Kein Verbrauch; Überbestand 2 Stk / CHF 187; </v>
      </c>
      <c r="BN1180" s="48"/>
      <c r="BO1180" s="48"/>
      <c r="BP1180" s="55"/>
      <c r="BQ1180" s="50" t="n">
        <v>-4</v>
      </c>
      <c r="BR1180" s="50" t="n">
        <v>7</v>
      </c>
      <c r="BS1180" s="49" t="n">
        <v>-374.4</v>
      </c>
      <c r="BT1180" s="50" t="n">
        <v>0</v>
      </c>
      <c r="BU1180" s="48"/>
      <c r="BV1180" s="53" t="n">
        <v>0</v>
      </c>
      <c r="BW1180" s="53" t="n">
        <v>1180</v>
      </c>
      <c r="BX1180" s="48" t="str">
        <f aca="false">IF(U1180&lt;&gt;"",UPPER(TRIM(U1180)),IF(CA1180=1,UPPER(VLOOKUP(T1180,Parameter!$I$27:$K$29,2,0)),IF(P1180="","LOSE",P1180)))</f>
        <v>S51</v>
      </c>
      <c r="BY1180" s="50" t="n">
        <f aca="false">IF(BX1180="LOSE",1,IF(N(V1180)&gt;0,V1180,IF(CA1180=1,MAX(1,N(VLOOKUP(T1180,Parameter!$I$27:$K$29,3,0)),H1180,N(N1180)),IF(N(Q1180)&gt;0,Q1180,MAX(1,H1180)))))</f>
        <v>3</v>
      </c>
      <c r="BZ1180" s="53" t="n">
        <f aca="false">IF(BX1180="LOSE",1,0)</f>
        <v>0</v>
      </c>
      <c r="CA1180" s="53" t="n">
        <f aca="false">IF(AND(U1180="",OR(P1180="",P1180="LOSE"),T1180&lt;&gt;"",N(S1180)&lt;=0,ISNUMBER(MATCH(T1180,Parameter!$I$27:$I$29,0))),1,0)</f>
        <v>0</v>
      </c>
      <c r="CB1180" s="53" t="n">
        <f aca="false">IF(CQ1180&gt;0,INDEX(Parameter!$H$5:$H$7,W1180)/INDEX(Parameter!$E$5:$E$7,W1180),IF(AND(BZ1180=0,N(IFERROR(VLOOKUP(BX1180,'Gebinde-Kategorie'!$A$5:$N$45,14,0),0))&gt;0),VLOOKUP(BX1180,'Gebinde-Kategorie'!$A$5:$N$45,14,0)*10+Parameter!$M$23,Parameter!$M$24))</f>
        <v>155</v>
      </c>
      <c r="CC1180" s="48" t="str">
        <f aca="false">IF(AND(Parameter!$B$19="Ja",E1180&lt;&gt;"",ISNUMBER(MATCH(E1180,Parameter!$I$35:$I$52,0))),VLOOKUP(E1180,Parameter!$I$35:$J$52,2,0),IFERROR(VLOOKUP(D1180,Parameter!$A$35:$C$64,2,0),"Nein"))</f>
        <v>2+3</v>
      </c>
      <c r="CD1180" s="52" t="n">
        <f aca="false">IF(BZ1180=0,0,IF(N(S1180)&gt;0,S1180,IFERROR(VLOOKUP(D1180,Parameter!$A$35:$C$64,3,0)+0,0)))</f>
        <v>0</v>
      </c>
      <c r="CE1180" s="48" t="n">
        <f aca="false">IF(AA1180&lt;&gt;"",AA1180,Z1180)</f>
        <v>3</v>
      </c>
      <c r="CF1180" s="48" t="str">
        <f aca="false">IF(OR(CE1180=1,CE1180=2,CE1180=3),IF(Parameter!$E$27="Ja","LIFT",IF(CE1180=1,"L1","L23")),IF(CE1180="Aussen","Aussen","-"))</f>
        <v>LIFT</v>
      </c>
      <c r="CG1180" s="59" t="n">
        <f aca="false">IF(N(AB1180)&gt;0,AB1180,0)</f>
        <v>0</v>
      </c>
      <c r="CH1180" s="53" t="n">
        <f aca="false">IF(ISNUMBER(AE1180),1,0)</f>
        <v>0</v>
      </c>
      <c r="CI1180" s="50" t="n">
        <f aca="false">N(AE1180)</f>
        <v>0</v>
      </c>
      <c r="CJ1180" s="50" t="n">
        <f aca="false">N(M1180)+N(N1180)</f>
        <v>1</v>
      </c>
      <c r="CK1180" s="50" t="n">
        <f aca="false">N(M1180)</f>
        <v>0</v>
      </c>
      <c r="CL1180" s="50" t="n">
        <f aca="false">N(N1180)</f>
        <v>1</v>
      </c>
      <c r="CM1180" s="50" t="n">
        <f aca="false">ROUNDUP(H1180/BY1180,0)</f>
        <v>1</v>
      </c>
      <c r="CN1180" s="50" t="n">
        <f aca="false">ROUNDUP(CI1180/BY1180,0)</f>
        <v>0</v>
      </c>
      <c r="CO1180" s="53" t="n">
        <f aca="false">IF(BZ1180=1,0,IFERROR(VLOOKUP(BX1180,'Gebinde-Kategorie'!$A$5:$N$45,5,0)+0,0))</f>
        <v>11</v>
      </c>
      <c r="CP1180" s="53" t="n">
        <f aca="false">IFERROR(IF(OR(CE1180=1,CE1180=2,CE1180=3),N(INDEX(Parameter!$I$5:$I$7,CE1180)),0),0)</f>
        <v>0</v>
      </c>
      <c r="CQ1180" s="52" t="n">
        <f aca="false">IF(AND(Parameter!$B$21="Ja",ISNUMBER(W1180),N(X1180)&gt;0),IFERROR(N(INDEX(Parameter!$L$5:$L$7,W1180))*INDEX(Parameter!$E$5:$E$7,W1180)*X1180/SUMIFS($X$7:$X$1843,$W$7:$W$1843,W1180),0),0)</f>
        <v>0</v>
      </c>
    </row>
    <row r="1181" customFormat="false" ht="15" hidden="false" customHeight="false" outlineLevel="0" collapsed="false">
      <c r="A1181" s="48" t="s">
        <v>2134</v>
      </c>
      <c r="B1181" s="48" t="s">
        <v>477</v>
      </c>
      <c r="C1181" s="48" t="s">
        <v>173</v>
      </c>
      <c r="D1181" s="48" t="s">
        <v>193</v>
      </c>
      <c r="E1181" s="48" t="s">
        <v>194</v>
      </c>
      <c r="F1181" s="48" t="s">
        <v>227</v>
      </c>
      <c r="G1181" s="49" t="n">
        <v>7.34</v>
      </c>
      <c r="H1181" s="50" t="n">
        <f aca="false">MAX(0,IF(AND(Parameter!$B$21="Ja",ISNUMBER(Y1181)),Y1181,IF(Parameter!$B$20="Jahresanfang 2025 + Export",BR1181+BQ1181,BQ1181)))</f>
        <v>23</v>
      </c>
      <c r="I1181" s="50" t="n">
        <f aca="false">H1181*G1181</f>
        <v>168.82</v>
      </c>
      <c r="J1181" s="50" t="n">
        <f aca="false">BT1181*Parameter!$B$18</f>
        <v>24</v>
      </c>
      <c r="K1181" s="51" t="n">
        <v>57.5</v>
      </c>
      <c r="L1181" s="52" t="n">
        <v>0.417391304347826</v>
      </c>
      <c r="M1181" s="50" t="n">
        <v>0</v>
      </c>
      <c r="N1181" s="50" t="n">
        <v>25</v>
      </c>
      <c r="O1181" s="53" t="n">
        <v>14</v>
      </c>
      <c r="P1181" s="48" t="s">
        <v>311</v>
      </c>
      <c r="Q1181" s="50" t="n">
        <v>35</v>
      </c>
      <c r="R1181" s="53" t="n">
        <f aca="false">IF(BZ1181=1,0,IFERROR(VLOOKUP(BX1181,'Gebinde-Kategorie'!$A$5:$N$45,13,0)+0,0))</f>
        <v>26</v>
      </c>
      <c r="S1181" s="54"/>
      <c r="T1181" s="55"/>
      <c r="U1181" s="55"/>
      <c r="V1181" s="55"/>
      <c r="W1181" s="48"/>
      <c r="X1181" s="50"/>
      <c r="Y1181" s="50"/>
      <c r="Z1181" s="48" t="n">
        <f aca="false">IF(A1181="","",IF(AND(Parameter!$B$21="Ja",ISNUMBER(W1181)),W1181,IF(CC1181="2+3",IF(ISNUMBER(SEARCH("grosser Artikel",BU1181)),2,IFERROR(VLOOKUP(BX1181,Parameter!$F$35:$G$64,2,0),2)),IF(OR(CC1181="Nein",CC1181=""),"-",CC1181))))</f>
        <v>3</v>
      </c>
      <c r="AA1181" s="55"/>
      <c r="AB1181" s="56"/>
      <c r="AC1181" s="50" t="n">
        <f aca="false">AV1181</f>
        <v>25</v>
      </c>
      <c r="AD1181" s="50" t="n">
        <f aca="false">MAX(AV1181,H1181)</f>
        <v>25</v>
      </c>
      <c r="AE1181" s="57"/>
      <c r="AF1181" s="50" t="n">
        <f aca="false">IF(LEFT(Cockpit!$C$5,1)="A",H1181,IF(Parameter!$E$30="MAX-Bestand",IF(CH1181=1,CI1181,IF(LEFT(Cockpit!$C$5,1)="B",AL1181,MAX(AL1181,H1181))),ROUNDUP(AJ1181,0)))</f>
        <v>23</v>
      </c>
      <c r="AG1181" s="50" t="n">
        <f aca="false">IF(BZ1181=1,0,ROUNDUP(AF1181/BY1181,0))</f>
        <v>1</v>
      </c>
      <c r="AH1181" s="52" t="n">
        <f aca="false">IF(CQ1181&gt;0,CQ1181*MAX(1,AF1181/X1181),IF(BZ1181=1,IF(AF1181&lt;=0,0,CD1181*MAX(1,IF(H1181&gt;0,AF1181/H1181,1))),IF(R1181&gt;0,AG1181/R1181,0))/MAX(0.1,N(Parameter!$M$21)))</f>
        <v>0.0384615384615385</v>
      </c>
      <c r="AI1181" s="50" t="n">
        <f aca="false">AH1181*CB1181</f>
        <v>5.96153846153846</v>
      </c>
      <c r="AJ1181" s="51" t="n">
        <f aca="false">IF(LEFT(Cockpit!$C$5,1)="A",H1181,IF(CH1181=1,(CK1181+CI1181)/2,IF(LEFT(Cockpit!$C$5,1)="B",(CK1181+AL1181)/2,MAX((CK1181+AL1181)/2,H1181))))</f>
        <v>23</v>
      </c>
      <c r="AK1181" s="50" t="n">
        <f aca="false">AJ1181*G1181</f>
        <v>168.82</v>
      </c>
      <c r="AL1181" s="50" t="n">
        <f aca="false">ROUNDUP(CK1181+MAX(CL1181,2*(J1181/IF(CG1181&gt;0,CG1181,MAX(0.1,N(Cockpit!$C$6)))-CK1181)),0)</f>
        <v>25</v>
      </c>
      <c r="AM1181" s="51" t="n">
        <f aca="false">IF(AI1181&gt;0,J1181/AI1181,-1)</f>
        <v>4.0258064516129</v>
      </c>
      <c r="AN1181" s="51" t="n">
        <f aca="false">IF(AND(OR(CF1181="L1",CF1181="L23",CF1181="LIFT"),AI1181&gt;0),SUMIFS($AI$7:$AI$1843,$CF$7:$CF$1843,CF1181,$AM$7:$AM$1843,"&gt;"&amp;AM1181)+SUMIFS($AI$7:$AI$1843,$CF$7:$CF$1843,CF1181,$AM$7:$AM$1843,AM1181,$BW$7:$BW$1843,"&lt;="&amp;BW1181),"")</f>
        <v>4370.61217948718</v>
      </c>
      <c r="AO1181" s="58" t="n">
        <f aca="false">IF(AN1181="",0,MAX(0,MIN(1,(IF(CF1181="L1",Parameter!$H$5,IF(CF1181="L23",Parameter!$H$6+Parameter!$H$7,Parameter!$H$5+Parameter!$H$6+Parameter!$H$7))-(AN1181-AI1181))/AI1181)))</f>
        <v>1</v>
      </c>
      <c r="AP1181" s="50" t="n">
        <f aca="false">IF(LEFT(Cockpit!$I$5,1)="A",H1181,IF(Parameter!$E$30="MAX-Bestand",IF(CH1181=1,CI1181,IF(LEFT(Cockpit!$I$5,1)="B",AV1181,MAX(AV1181,H1181))),ROUNDUP(AT1181,0)))</f>
        <v>23</v>
      </c>
      <c r="AQ1181" s="50" t="n">
        <f aca="false">IF(BZ1181=1,0,ROUNDUP(AP1181/BY1181,0))</f>
        <v>1</v>
      </c>
      <c r="AR1181" s="52" t="n">
        <f aca="false">IF(CQ1181&gt;0,CQ1181*MAX(1,AP1181/X1181),IF(BZ1181=1,IF(AP1181&lt;=0,0,CD1181*MAX(1,IF(H1181&gt;0,AP1181/H1181,1))),IF(R1181&gt;0,AQ1181/R1181,0))/MAX(0.1,N(Parameter!$M$21)))</f>
        <v>0.0384615384615385</v>
      </c>
      <c r="AS1181" s="50" t="n">
        <f aca="false">AR1181*CB1181</f>
        <v>5.96153846153846</v>
      </c>
      <c r="AT1181" s="51" t="n">
        <f aca="false">IF(LEFT(Cockpit!$I$5,1)="A",H1181,IF(CH1181=1,(CK1181+CI1181)/2,IF(LEFT(Cockpit!$I$5,1)="B",(CK1181+AV1181)/2,MAX((CK1181+AV1181)/2,H1181))))</f>
        <v>23</v>
      </c>
      <c r="AU1181" s="50" t="n">
        <f aca="false">AT1181*G1181</f>
        <v>168.82</v>
      </c>
      <c r="AV1181" s="50" t="n">
        <f aca="false">ROUNDUP(CK1181+MAX(CL1181,2*(J1181/IF(CG1181&gt;0,CG1181,MAX(0.1,N(Cockpit!$I$6)))-CK1181)),0)</f>
        <v>25</v>
      </c>
      <c r="AW1181" s="51" t="n">
        <f aca="false">IF(AS1181&gt;0,J1181/AS1181,-1)</f>
        <v>4.0258064516129</v>
      </c>
      <c r="AX1181" s="51" t="n">
        <f aca="false">IF(AND(OR(CF1181="L1",CF1181="L23",CF1181="LIFT"),AS1181&gt;0),SUMIFS($AS$7:$AS$1843,$CF$7:$CF$1843,CF1181,$AW$7:$AW$1843,"&gt;"&amp;AW1181)+SUMIFS($AS$7:$AS$1843,$CF$7:$CF$1843,CF1181,$AW$7:$AW$1843,AW1181,$BW$7:$BW$1843,"&lt;="&amp;BW1181),"")</f>
        <v>4979.60943223443</v>
      </c>
      <c r="AY1181" s="58" t="n">
        <f aca="false">IF(AX1181="",0,MAX(0,MIN(1,(IF(CF1181="L1",Parameter!$H$5,IF(CF1181="L23",Parameter!$H$6+Parameter!$H$7,Parameter!$H$5+Parameter!$H$6+Parameter!$H$7))-(AX1181-AS1181))/AS1181)))</f>
        <v>1</v>
      </c>
      <c r="AZ1181" s="50" t="n">
        <f aca="false">IF(LEFT(Cockpit!$O$5,1)="A",H1181,IF(Parameter!$E$30="MAX-Bestand",IF(CH1181=1,CI1181,IF(LEFT(Cockpit!$O$5,1)="B",BF1181,MAX(BF1181,H1181))),ROUNDUP(BD1181,0)))</f>
        <v>13</v>
      </c>
      <c r="BA1181" s="50" t="n">
        <f aca="false">IF(BZ1181=1,0,ROUNDUP(AZ1181/BY1181,0))</f>
        <v>1</v>
      </c>
      <c r="BB1181" s="52" t="n">
        <f aca="false">IF(CQ1181&gt;0,CQ1181*MAX(1,AZ1181/X1181),IF(BZ1181=1,IF(AZ1181&lt;=0,0,CD1181*MAX(1,IF(H1181&gt;0,AZ1181/H1181,1))),IF(R1181&gt;0,BA1181/R1181,0))/MAX(0.1,N(Parameter!$M$21)))</f>
        <v>0.0384615384615385</v>
      </c>
      <c r="BC1181" s="50" t="n">
        <f aca="false">BB1181*CB1181</f>
        <v>5.96153846153846</v>
      </c>
      <c r="BD1181" s="51" t="n">
        <f aca="false">IF(LEFT(Cockpit!$O$5,1)="A",H1181,IF(CH1181=1,(CK1181+CI1181)/2,IF(LEFT(Cockpit!$O$5,1)="B",(CK1181+BF1181)/2,MAX((CK1181+BF1181)/2,H1181))))</f>
        <v>12.5</v>
      </c>
      <c r="BE1181" s="50" t="n">
        <f aca="false">BD1181*G1181</f>
        <v>91.75</v>
      </c>
      <c r="BF1181" s="50" t="n">
        <f aca="false">ROUNDUP(CK1181+MAX(CL1181,2*(J1181/IF(CG1181&gt;0,CG1181,MAX(0.1,N(Cockpit!$O$6)))-CK1181)),0)</f>
        <v>25</v>
      </c>
      <c r="BG1181" s="51" t="n">
        <f aca="false">IF(BC1181&gt;0,J1181/BC1181,-1)</f>
        <v>4.0258064516129</v>
      </c>
      <c r="BH1181" s="51" t="n">
        <f aca="false">IF(AND(OR(CF1181="L1",CF1181="L23",CF1181="LIFT"),BC1181&gt;0),SUMIFS($BC$7:$BC$1843,$CF$7:$CF$1843,CF1181,$BG$7:$BG$1843,"&gt;"&amp;BG1181)+SUMIFS($BC$7:$BC$1843,$CF$7:$CF$1843,CF1181,$BG$7:$BG$1843,BG1181,$BW$7:$BW$1843,"&lt;="&amp;BW1181),"")</f>
        <v>4097.17994505495</v>
      </c>
      <c r="BI1181" s="58" t="n">
        <f aca="false">IF(BH1181="",0,MAX(0,MIN(1,(IF(CF1181="L1",Parameter!$H$5,IF(CF1181="L23",Parameter!$H$6+Parameter!$H$7,Parameter!$H$5+Parameter!$H$6+Parameter!$H$7))-(BH1181-BC1181))/BC1181)))</f>
        <v>1</v>
      </c>
      <c r="BJ1181" s="48" t="str">
        <f aca="false">IF(AI1181&lt;=0,"",IF(CF1181="Aussen","Aussenlager",IF(CF1181="-","Nicht im Lift",IF(AO1181&gt;=1,"Lift",IF(AO1181&lt;=0,"Aussenlager","teilweise")))))</f>
        <v>Lift</v>
      </c>
      <c r="BK1181" s="48" t="str">
        <f aca="false">IF(AS1181&lt;=0,"",IF(CF1181="Aussen","Aussenlager",IF(CF1181="-","Nicht im Lift",IF(AY1181&gt;=1,"Lift",IF(AY1181&lt;=0,"Aussenlager","teilweise")))))</f>
        <v>Lift</v>
      </c>
      <c r="BL1181" s="48" t="str">
        <f aca="false">IF(BC1181&lt;=0,"",IF(CF1181="Aussen","Aussenlager",IF(CF1181="-","Nicht im Lift",IF(BI1181&gt;=1,"Lift",IF(BI1181&lt;=0,"Aussenlager","teilweise")))))</f>
        <v>Lift</v>
      </c>
      <c r="BM1181" s="48" t="str">
        <f aca="false">IF(A1181="","",IF(BV1181=1,"Neu; ","")&amp;IF(AND(BV1181=0,BQ1181&lt;0),"negativer Bestand (Export "&amp;BQ1181&amp;"); ","")&amp;IF(J1181&lt;=0,"Kein Verbrauch; ","")&amp;IF(CQ1181&gt;0,"Lift "&amp;W1181&amp;" lt. Liftbericht (Fach "&amp;X1181&amp;" Stk); ",IF(CA1181=1,"Gebinde geschätzt ("&amp;T1181&amp;"); ",IF(BZ1181=1,"Lose – Tablare geschätzt; ","")))&amp;IF(H1181&gt;AV1181,"Überbestand "&amp;ROUND(H1181-AV1181,0)&amp;" Stk / CHF "&amp;ROUND((H1181-AV1181)*G1181,0)&amp;"; ","")&amp;IF(AND(CH1181=1,CI1181&lt;CJ1181),"MAX &lt; MB+LG; ","")&amp;IF(AND(CP1181&gt;0,CO1181*10&gt;CP1181),"zu hoch für Tablar; ","")&amp;IF(AND(BV1181=0,OR(CH1181=1,AA1181&lt;&gt;"",U1181&lt;&gt;"",V1181&lt;&gt;"",AB1181&lt;&gt;"")),"manuell übersteuert; ","")&amp;IF(AND(BZ1181=0,R1181=0),"Gebinde unbekannt / Stellmass fehlt; ","")&amp;IF(AND(BZ1181=0,N(V1181)&lt;=0,N(Q1181)&lt;=0),"Menge pro Gebinde fehlt (Ist = 1 Gebinde); ","")&amp;BU1181)</f>
        <v>negativer Bestand (Export -52); </v>
      </c>
      <c r="BN1181" s="48"/>
      <c r="BO1181" s="48"/>
      <c r="BP1181" s="55"/>
      <c r="BQ1181" s="50" t="n">
        <v>-52</v>
      </c>
      <c r="BR1181" s="50" t="n">
        <v>75</v>
      </c>
      <c r="BS1181" s="49" t="n">
        <v>-381.68</v>
      </c>
      <c r="BT1181" s="50" t="n">
        <v>24</v>
      </c>
      <c r="BU1181" s="48"/>
      <c r="BV1181" s="53" t="n">
        <v>0</v>
      </c>
      <c r="BW1181" s="53" t="n">
        <v>1181</v>
      </c>
      <c r="BX1181" s="48" t="str">
        <f aca="false">IF(U1181&lt;&gt;"",UPPER(TRIM(U1181)),IF(CA1181=1,UPPER(VLOOKUP(T1181,Parameter!$I$27:$K$29,2,0)),IF(P1181="","LOSE",P1181)))</f>
        <v>S51</v>
      </c>
      <c r="BY1181" s="50" t="n">
        <f aca="false">IF(BX1181="LOSE",1,IF(N(V1181)&gt;0,V1181,IF(CA1181=1,MAX(1,N(VLOOKUP(T1181,Parameter!$I$27:$K$29,3,0)),H1181,N(N1181)),IF(N(Q1181)&gt;0,Q1181,MAX(1,H1181)))))</f>
        <v>35</v>
      </c>
      <c r="BZ1181" s="53" t="n">
        <f aca="false">IF(BX1181="LOSE",1,0)</f>
        <v>0</v>
      </c>
      <c r="CA1181" s="53" t="n">
        <f aca="false">IF(AND(U1181="",OR(P1181="",P1181="LOSE"),T1181&lt;&gt;"",N(S1181)&lt;=0,ISNUMBER(MATCH(T1181,Parameter!$I$27:$I$29,0))),1,0)</f>
        <v>0</v>
      </c>
      <c r="CB1181" s="53" t="n">
        <f aca="false">IF(CQ1181&gt;0,INDEX(Parameter!$H$5:$H$7,W1181)/INDEX(Parameter!$E$5:$E$7,W1181),IF(AND(BZ1181=0,N(IFERROR(VLOOKUP(BX1181,'Gebinde-Kategorie'!$A$5:$N$45,14,0),0))&gt;0),VLOOKUP(BX1181,'Gebinde-Kategorie'!$A$5:$N$45,14,0)*10+Parameter!$M$23,Parameter!$M$24))</f>
        <v>155</v>
      </c>
      <c r="CC1181" s="48" t="str">
        <f aca="false">IF(AND(Parameter!$B$19="Ja",E1181&lt;&gt;"",ISNUMBER(MATCH(E1181,Parameter!$I$35:$I$52,0))),VLOOKUP(E1181,Parameter!$I$35:$J$52,2,0),IFERROR(VLOOKUP(D1181,Parameter!$A$35:$C$64,2,0),"Nein"))</f>
        <v>2+3</v>
      </c>
      <c r="CD1181" s="52" t="n">
        <f aca="false">IF(BZ1181=0,0,IF(N(S1181)&gt;0,S1181,IFERROR(VLOOKUP(D1181,Parameter!$A$35:$C$64,3,0)+0,0)))</f>
        <v>0</v>
      </c>
      <c r="CE1181" s="48" t="n">
        <f aca="false">IF(AA1181&lt;&gt;"",AA1181,Z1181)</f>
        <v>3</v>
      </c>
      <c r="CF1181" s="48" t="str">
        <f aca="false">IF(OR(CE1181=1,CE1181=2,CE1181=3),IF(Parameter!$E$27="Ja","LIFT",IF(CE1181=1,"L1","L23")),IF(CE1181="Aussen","Aussen","-"))</f>
        <v>LIFT</v>
      </c>
      <c r="CG1181" s="59" t="n">
        <f aca="false">IF(N(AB1181)&gt;0,AB1181,0)</f>
        <v>0</v>
      </c>
      <c r="CH1181" s="53" t="n">
        <f aca="false">IF(ISNUMBER(AE1181),1,0)</f>
        <v>0</v>
      </c>
      <c r="CI1181" s="50" t="n">
        <f aca="false">N(AE1181)</f>
        <v>0</v>
      </c>
      <c r="CJ1181" s="50" t="n">
        <f aca="false">N(M1181)+N(N1181)</f>
        <v>25</v>
      </c>
      <c r="CK1181" s="50" t="n">
        <f aca="false">N(M1181)</f>
        <v>0</v>
      </c>
      <c r="CL1181" s="50" t="n">
        <f aca="false">N(N1181)</f>
        <v>25</v>
      </c>
      <c r="CM1181" s="50" t="n">
        <f aca="false">ROUNDUP(H1181/BY1181,0)</f>
        <v>1</v>
      </c>
      <c r="CN1181" s="50" t="n">
        <f aca="false">ROUNDUP(CI1181/BY1181,0)</f>
        <v>0</v>
      </c>
      <c r="CO1181" s="53" t="n">
        <f aca="false">IF(BZ1181=1,0,IFERROR(VLOOKUP(BX1181,'Gebinde-Kategorie'!$A$5:$N$45,5,0)+0,0))</f>
        <v>11</v>
      </c>
      <c r="CP1181" s="53" t="n">
        <f aca="false">IFERROR(IF(OR(CE1181=1,CE1181=2,CE1181=3),N(INDEX(Parameter!$I$5:$I$7,CE1181)),0),0)</f>
        <v>0</v>
      </c>
      <c r="CQ1181" s="52" t="n">
        <f aca="false">IF(AND(Parameter!$B$21="Ja",ISNUMBER(W1181),N(X1181)&gt;0),IFERROR(N(INDEX(Parameter!$L$5:$L$7,W1181))*INDEX(Parameter!$E$5:$E$7,W1181)*X1181/SUMIFS($X$7:$X$1843,$W$7:$W$1843,W1181),0),0)</f>
        <v>0</v>
      </c>
    </row>
    <row r="1182" customFormat="false" ht="15" hidden="false" customHeight="false" outlineLevel="0" collapsed="false">
      <c r="A1182" s="48" t="s">
        <v>2135</v>
      </c>
      <c r="B1182" s="48" t="s">
        <v>2136</v>
      </c>
      <c r="C1182" s="48" t="s">
        <v>173</v>
      </c>
      <c r="D1182" s="48" t="s">
        <v>193</v>
      </c>
      <c r="E1182" s="48" t="s">
        <v>194</v>
      </c>
      <c r="F1182" s="48" t="s">
        <v>227</v>
      </c>
      <c r="G1182" s="49" t="n">
        <v>63.61</v>
      </c>
      <c r="H1182" s="50" t="n">
        <f aca="false">MAX(0,IF(AND(Parameter!$B$21="Ja",ISNUMBER(Y1182)),Y1182,IF(Parameter!$B$20="Jahresanfang 2025 + Export",BR1182+BQ1182,BQ1182)))</f>
        <v>66</v>
      </c>
      <c r="I1182" s="50" t="n">
        <f aca="false">H1182*G1182</f>
        <v>4198.26</v>
      </c>
      <c r="J1182" s="50" t="n">
        <f aca="false">BT1182*Parameter!$B$18</f>
        <v>248</v>
      </c>
      <c r="K1182" s="51" t="n">
        <v>78</v>
      </c>
      <c r="L1182" s="52" t="n">
        <v>3.17948717948718</v>
      </c>
      <c r="M1182" s="50" t="n">
        <v>14</v>
      </c>
      <c r="N1182" s="50" t="n">
        <v>30</v>
      </c>
      <c r="O1182" s="53" t="n">
        <v>21</v>
      </c>
      <c r="P1182" s="48" t="s">
        <v>302</v>
      </c>
      <c r="Q1182" s="50" t="n">
        <v>27</v>
      </c>
      <c r="R1182" s="53" t="n">
        <f aca="false">IF(BZ1182=1,0,IFERROR(VLOOKUP(BX1182,'Gebinde-Kategorie'!$A$5:$N$45,13,0)+0,0))</f>
        <v>12</v>
      </c>
      <c r="S1182" s="54"/>
      <c r="T1182" s="55"/>
      <c r="U1182" s="55"/>
      <c r="V1182" s="55"/>
      <c r="W1182" s="48"/>
      <c r="X1182" s="50"/>
      <c r="Y1182" s="50"/>
      <c r="Z1182" s="48" t="n">
        <f aca="false">IF(A1182="","",IF(AND(Parameter!$B$21="Ja",ISNUMBER(W1182)),W1182,IF(CC1182="2+3",IF(ISNUMBER(SEARCH("grosser Artikel",BU1182)),2,IFERROR(VLOOKUP(BX1182,Parameter!$F$35:$G$64,2,0),2)),IF(OR(CC1182="Nein",CC1182=""),"-",CC1182))))</f>
        <v>2</v>
      </c>
      <c r="AA1182" s="55"/>
      <c r="AB1182" s="56"/>
      <c r="AC1182" s="50" t="n">
        <f aca="false">AV1182</f>
        <v>152</v>
      </c>
      <c r="AD1182" s="50" t="n">
        <f aca="false">MAX(AV1182,H1182)</f>
        <v>152</v>
      </c>
      <c r="AE1182" s="57"/>
      <c r="AF1182" s="50" t="n">
        <f aca="false">IF(LEFT(Cockpit!$C$5,1)="A",H1182,IF(Parameter!$E$30="MAX-Bestand",IF(CH1182=1,CI1182,IF(LEFT(Cockpit!$C$5,1)="B",AL1182,MAX(AL1182,H1182))),ROUNDUP(AJ1182,0)))</f>
        <v>66</v>
      </c>
      <c r="AG1182" s="50" t="n">
        <f aca="false">IF(BZ1182=1,0,ROUNDUP(AF1182/BY1182,0))</f>
        <v>3</v>
      </c>
      <c r="AH1182" s="52" t="n">
        <f aca="false">IF(CQ1182&gt;0,CQ1182*MAX(1,AF1182/X1182),IF(BZ1182=1,IF(AF1182&lt;=0,0,CD1182*MAX(1,IF(H1182&gt;0,AF1182/H1182,1))),IF(R1182&gt;0,AG1182/R1182,0))/MAX(0.1,N(Parameter!$M$21)))</f>
        <v>0.25</v>
      </c>
      <c r="AI1182" s="50" t="n">
        <f aca="false">AH1182*CB1182</f>
        <v>61.25</v>
      </c>
      <c r="AJ1182" s="51" t="n">
        <f aca="false">IF(LEFT(Cockpit!$C$5,1)="A",H1182,IF(CH1182=1,(CK1182+CI1182)/2,IF(LEFT(Cockpit!$C$5,1)="B",(CK1182+AL1182)/2,MAX((CK1182+AL1182)/2,H1182))))</f>
        <v>66</v>
      </c>
      <c r="AK1182" s="50" t="n">
        <f aca="false">AJ1182*G1182</f>
        <v>4198.26</v>
      </c>
      <c r="AL1182" s="50" t="n">
        <f aca="false">ROUNDUP(CK1182+MAX(CL1182,2*(J1182/IF(CG1182&gt;0,CG1182,MAX(0.1,N(Cockpit!$C$6)))-CK1182)),0)</f>
        <v>152</v>
      </c>
      <c r="AM1182" s="51" t="n">
        <f aca="false">IF(AI1182&gt;0,J1182/AI1182,-1)</f>
        <v>4.04897959183673</v>
      </c>
      <c r="AN1182" s="51" t="n">
        <f aca="false">IF(AND(OR(CF1182="L1",CF1182="L23",CF1182="LIFT"),AI1182&gt;0),SUMIFS($AI$7:$AI$1843,$CF$7:$CF$1843,CF1182,$AM$7:$AM$1843,"&gt;"&amp;AM1182)+SUMIFS($AI$7:$AI$1843,$CF$7:$CF$1843,CF1182,$AM$7:$AM$1843,AM1182,$BW$7:$BW$1843,"&lt;="&amp;BW1182),"")</f>
        <v>4310.9967948718</v>
      </c>
      <c r="AO1182" s="58" t="n">
        <f aca="false">IF(AN1182="",0,MAX(0,MIN(1,(IF(CF1182="L1",Parameter!$H$5,IF(CF1182="L23",Parameter!$H$6+Parameter!$H$7,Parameter!$H$5+Parameter!$H$6+Parameter!$H$7))-(AN1182-AI1182))/AI1182)))</f>
        <v>1</v>
      </c>
      <c r="AP1182" s="50" t="n">
        <f aca="false">IF(LEFT(Cockpit!$I$5,1)="A",H1182,IF(Parameter!$E$30="MAX-Bestand",IF(CH1182=1,CI1182,IF(LEFT(Cockpit!$I$5,1)="B",AV1182,MAX(AV1182,H1182))),ROUNDUP(AT1182,0)))</f>
        <v>83</v>
      </c>
      <c r="AQ1182" s="50" t="n">
        <f aca="false">IF(BZ1182=1,0,ROUNDUP(AP1182/BY1182,0))</f>
        <v>4</v>
      </c>
      <c r="AR1182" s="52" t="n">
        <f aca="false">IF(CQ1182&gt;0,CQ1182*MAX(1,AP1182/X1182),IF(BZ1182=1,IF(AP1182&lt;=0,0,CD1182*MAX(1,IF(H1182&gt;0,AP1182/H1182,1))),IF(R1182&gt;0,AQ1182/R1182,0))/MAX(0.1,N(Parameter!$M$21)))</f>
        <v>0.333333333333333</v>
      </c>
      <c r="AS1182" s="50" t="n">
        <f aca="false">AR1182*CB1182</f>
        <v>81.6666666666667</v>
      </c>
      <c r="AT1182" s="51" t="n">
        <f aca="false">IF(LEFT(Cockpit!$I$5,1)="A",H1182,IF(CH1182=1,(CK1182+CI1182)/2,IF(LEFT(Cockpit!$I$5,1)="B",(CK1182+AV1182)/2,MAX((CK1182+AV1182)/2,H1182))))</f>
        <v>83</v>
      </c>
      <c r="AU1182" s="50" t="n">
        <f aca="false">AT1182*G1182</f>
        <v>5279.63</v>
      </c>
      <c r="AV1182" s="50" t="n">
        <f aca="false">ROUNDUP(CK1182+MAX(CL1182,2*(J1182/IF(CG1182&gt;0,CG1182,MAX(0.1,N(Cockpit!$I$6)))-CK1182)),0)</f>
        <v>152</v>
      </c>
      <c r="AW1182" s="51" t="n">
        <f aca="false">IF(AS1182&gt;0,J1182/AS1182,-1)</f>
        <v>3.03673469387755</v>
      </c>
      <c r="AX1182" s="51" t="n">
        <f aca="false">IF(AND(OR(CF1182="L1",CF1182="L23",CF1182="LIFT"),AS1182&gt;0),SUMIFS($AS$7:$AS$1843,$CF$7:$CF$1843,CF1182,$AW$7:$AW$1843,"&gt;"&amp;AW1182)+SUMIFS($AS$7:$AS$1843,$CF$7:$CF$1843,CF1182,$AW$7:$AW$1843,AW1182,$BW$7:$BW$1843,"&lt;="&amp;BW1182),"")</f>
        <v>5907.54990842491</v>
      </c>
      <c r="AY1182" s="58" t="n">
        <f aca="false">IF(AX1182="",0,MAX(0,MIN(1,(IF(CF1182="L1",Parameter!$H$5,IF(CF1182="L23",Parameter!$H$6+Parameter!$H$7,Parameter!$H$5+Parameter!$H$6+Parameter!$H$7))-(AX1182-AS1182))/AS1182)))</f>
        <v>1</v>
      </c>
      <c r="AZ1182" s="50" t="n">
        <f aca="false">IF(LEFT(Cockpit!$O$5,1)="A",H1182,IF(Parameter!$E$30="MAX-Bestand",IF(CH1182=1,CI1182,IF(LEFT(Cockpit!$O$5,1)="B",BF1182,MAX(BF1182,H1182))),ROUNDUP(BD1182,0)))</f>
        <v>62</v>
      </c>
      <c r="BA1182" s="50" t="n">
        <f aca="false">IF(BZ1182=1,0,ROUNDUP(AZ1182/BY1182,0))</f>
        <v>3</v>
      </c>
      <c r="BB1182" s="52" t="n">
        <f aca="false">IF(CQ1182&gt;0,CQ1182*MAX(1,AZ1182/X1182),IF(BZ1182=1,IF(AZ1182&lt;=0,0,CD1182*MAX(1,IF(H1182&gt;0,AZ1182/H1182,1))),IF(R1182&gt;0,BA1182/R1182,0))/MAX(0.1,N(Parameter!$M$21)))</f>
        <v>0.25</v>
      </c>
      <c r="BC1182" s="50" t="n">
        <f aca="false">BB1182*CB1182</f>
        <v>61.25</v>
      </c>
      <c r="BD1182" s="51" t="n">
        <f aca="false">IF(LEFT(Cockpit!$O$5,1)="A",H1182,IF(CH1182=1,(CK1182+CI1182)/2,IF(LEFT(Cockpit!$O$5,1)="B",(CK1182+BF1182)/2,MAX((CK1182+BF1182)/2,H1182))))</f>
        <v>62</v>
      </c>
      <c r="BE1182" s="50" t="n">
        <f aca="false">BD1182*G1182</f>
        <v>3943.82</v>
      </c>
      <c r="BF1182" s="50" t="n">
        <f aca="false">ROUNDUP(CK1182+MAX(CL1182,2*(J1182/IF(CG1182&gt;0,CG1182,MAX(0.1,N(Cockpit!$O$6)))-CK1182)),0)</f>
        <v>110</v>
      </c>
      <c r="BG1182" s="51" t="n">
        <f aca="false">IF(BC1182&gt;0,J1182/BC1182,-1)</f>
        <v>4.04897959183673</v>
      </c>
      <c r="BH1182" s="51" t="n">
        <f aca="false">IF(AND(OR(CF1182="L1",CF1182="L23",CF1182="LIFT"),BC1182&gt;0),SUMIFS($BC$7:$BC$1843,$CF$7:$CF$1843,CF1182,$BG$7:$BG$1843,"&gt;"&amp;BG1182)+SUMIFS($BC$7:$BC$1843,$CF$7:$CF$1843,CF1182,$BG$7:$BG$1843,BG1182,$BW$7:$BW$1843,"&lt;="&amp;BW1182),"")</f>
        <v>4030.11263736264</v>
      </c>
      <c r="BI1182" s="58" t="n">
        <f aca="false">IF(BH1182="",0,MAX(0,MIN(1,(IF(CF1182="L1",Parameter!$H$5,IF(CF1182="L23",Parameter!$H$6+Parameter!$H$7,Parameter!$H$5+Parameter!$H$6+Parameter!$H$7))-(BH1182-BC1182))/BC1182)))</f>
        <v>1</v>
      </c>
      <c r="BJ1182" s="48" t="str">
        <f aca="false">IF(AI1182&lt;=0,"",IF(CF1182="Aussen","Aussenlager",IF(CF1182="-","Nicht im Lift",IF(AO1182&gt;=1,"Lift",IF(AO1182&lt;=0,"Aussenlager","teilweise")))))</f>
        <v>Lift</v>
      </c>
      <c r="BK1182" s="48" t="str">
        <f aca="false">IF(AS1182&lt;=0,"",IF(CF1182="Aussen","Aussenlager",IF(CF1182="-","Nicht im Lift",IF(AY1182&gt;=1,"Lift",IF(AY1182&lt;=0,"Aussenlager","teilweise")))))</f>
        <v>Lift</v>
      </c>
      <c r="BL1182" s="48" t="str">
        <f aca="false">IF(BC1182&lt;=0,"",IF(CF1182="Aussen","Aussenlager",IF(CF1182="-","Nicht im Lift",IF(BI1182&gt;=1,"Lift",IF(BI1182&lt;=0,"Aussenlager","teilweise")))))</f>
        <v>Lift</v>
      </c>
      <c r="BM1182" s="48" t="str">
        <f aca="false">IF(A1182="","",IF(BV1182=1,"Neu; ","")&amp;IF(AND(BV1182=0,BQ1182&lt;0),"negativer Bestand (Export "&amp;BQ1182&amp;"); ","")&amp;IF(J1182&lt;=0,"Kein Verbrauch; ","")&amp;IF(CQ1182&gt;0,"Lift "&amp;W1182&amp;" lt. Liftbericht (Fach "&amp;X1182&amp;" Stk); ",IF(CA1182=1,"Gebinde geschätzt ("&amp;T1182&amp;"); ",IF(BZ1182=1,"Lose – Tablare geschätzt; ","")))&amp;IF(H1182&gt;AV1182,"Überbestand "&amp;ROUND(H1182-AV1182,0)&amp;" Stk / CHF "&amp;ROUND((H1182-AV1182)*G1182,0)&amp;"; ","")&amp;IF(AND(CH1182=1,CI1182&lt;CJ1182),"MAX &lt; MB+LG; ","")&amp;IF(AND(CP1182&gt;0,CO1182*10&gt;CP1182),"zu hoch für Tablar; ","")&amp;IF(AND(BV1182=0,OR(CH1182=1,AA1182&lt;&gt;"",U1182&lt;&gt;"",V1182&lt;&gt;"",AB1182&lt;&gt;"")),"manuell übersteuert; ","")&amp;IF(AND(BZ1182=0,R1182=0),"Gebinde unbekannt / Stellmass fehlt; ","")&amp;IF(AND(BZ1182=0,N(V1182)&lt;=0,N(Q1182)&lt;=0),"Menge pro Gebinde fehlt (Ist = 1 Gebinde); ","")&amp;BU1182)</f>
        <v/>
      </c>
      <c r="BN1182" s="48"/>
      <c r="BO1182" s="48"/>
      <c r="BP1182" s="55"/>
      <c r="BQ1182" s="50" t="n">
        <v>15</v>
      </c>
      <c r="BR1182" s="50" t="n">
        <v>51</v>
      </c>
      <c r="BS1182" s="49" t="n">
        <v>-384.089999999989</v>
      </c>
      <c r="BT1182" s="50" t="n">
        <v>248</v>
      </c>
      <c r="BU1182" s="48"/>
      <c r="BV1182" s="53" t="n">
        <v>0</v>
      </c>
      <c r="BW1182" s="53" t="n">
        <v>1182</v>
      </c>
      <c r="BX1182" s="48" t="str">
        <f aca="false">IF(U1182&lt;&gt;"",UPPER(TRIM(U1182)),IF(CA1182=1,UPPER(VLOOKUP(T1182,Parameter!$I$27:$K$29,2,0)),IF(P1182="","LOSE",P1182)))</f>
        <v>S62</v>
      </c>
      <c r="BY1182" s="50" t="n">
        <f aca="false">IF(BX1182="LOSE",1,IF(N(V1182)&gt;0,V1182,IF(CA1182=1,MAX(1,N(VLOOKUP(T1182,Parameter!$I$27:$K$29,3,0)),H1182,N(N1182)),IF(N(Q1182)&gt;0,Q1182,MAX(1,H1182)))))</f>
        <v>27</v>
      </c>
      <c r="BZ1182" s="53" t="n">
        <f aca="false">IF(BX1182="LOSE",1,0)</f>
        <v>0</v>
      </c>
      <c r="CA1182" s="53" t="n">
        <f aca="false">IF(AND(U1182="",OR(P1182="",P1182="LOSE"),T1182&lt;&gt;"",N(S1182)&lt;=0,ISNUMBER(MATCH(T1182,Parameter!$I$27:$I$29,0))),1,0)</f>
        <v>0</v>
      </c>
      <c r="CB1182" s="53" t="n">
        <f aca="false">IF(CQ1182&gt;0,INDEX(Parameter!$H$5:$H$7,W1182)/INDEX(Parameter!$E$5:$E$7,W1182),IF(AND(BZ1182=0,N(IFERROR(VLOOKUP(BX1182,'Gebinde-Kategorie'!$A$5:$N$45,14,0),0))&gt;0),VLOOKUP(BX1182,'Gebinde-Kategorie'!$A$5:$N$45,14,0)*10+Parameter!$M$23,Parameter!$M$24))</f>
        <v>245</v>
      </c>
      <c r="CC1182" s="48" t="str">
        <f aca="false">IF(AND(Parameter!$B$19="Ja",E1182&lt;&gt;"",ISNUMBER(MATCH(E1182,Parameter!$I$35:$I$52,0))),VLOOKUP(E1182,Parameter!$I$35:$J$52,2,0),IFERROR(VLOOKUP(D1182,Parameter!$A$35:$C$64,2,0),"Nein"))</f>
        <v>2+3</v>
      </c>
      <c r="CD1182" s="52" t="n">
        <f aca="false">IF(BZ1182=0,0,IF(N(S1182)&gt;0,S1182,IFERROR(VLOOKUP(D1182,Parameter!$A$35:$C$64,3,0)+0,0)))</f>
        <v>0</v>
      </c>
      <c r="CE1182" s="48" t="n">
        <f aca="false">IF(AA1182&lt;&gt;"",AA1182,Z1182)</f>
        <v>2</v>
      </c>
      <c r="CF1182" s="48" t="str">
        <f aca="false">IF(OR(CE1182=1,CE1182=2,CE1182=3),IF(Parameter!$E$27="Ja","LIFT",IF(CE1182=1,"L1","L23")),IF(CE1182="Aussen","Aussen","-"))</f>
        <v>LIFT</v>
      </c>
      <c r="CG1182" s="59" t="n">
        <f aca="false">IF(N(AB1182)&gt;0,AB1182,0)</f>
        <v>0</v>
      </c>
      <c r="CH1182" s="53" t="n">
        <f aca="false">IF(ISNUMBER(AE1182),1,0)</f>
        <v>0</v>
      </c>
      <c r="CI1182" s="50" t="n">
        <f aca="false">N(AE1182)</f>
        <v>0</v>
      </c>
      <c r="CJ1182" s="50" t="n">
        <f aca="false">N(M1182)+N(N1182)</f>
        <v>44</v>
      </c>
      <c r="CK1182" s="50" t="n">
        <f aca="false">N(M1182)</f>
        <v>14</v>
      </c>
      <c r="CL1182" s="50" t="n">
        <f aca="false">N(N1182)</f>
        <v>30</v>
      </c>
      <c r="CM1182" s="50" t="n">
        <f aca="false">ROUNDUP(H1182/BY1182,0)</f>
        <v>3</v>
      </c>
      <c r="CN1182" s="50" t="n">
        <f aca="false">ROUNDUP(CI1182/BY1182,0)</f>
        <v>0</v>
      </c>
      <c r="CO1182" s="53" t="n">
        <f aca="false">IF(BZ1182=1,0,IFERROR(VLOOKUP(BX1182,'Gebinde-Kategorie'!$A$5:$N$45,5,0)+0,0))</f>
        <v>21</v>
      </c>
      <c r="CP1182" s="53" t="n">
        <f aca="false">IFERROR(IF(OR(CE1182=1,CE1182=2,CE1182=3),N(INDEX(Parameter!$I$5:$I$7,CE1182)),0),0)</f>
        <v>0</v>
      </c>
      <c r="CQ1182" s="52" t="n">
        <f aca="false">IF(AND(Parameter!$B$21="Ja",ISNUMBER(W1182),N(X1182)&gt;0),IFERROR(N(INDEX(Parameter!$L$5:$L$7,W1182))*INDEX(Parameter!$E$5:$E$7,W1182)*X1182/SUMIFS($X$7:$X$1843,$W$7:$W$1843,W1182),0),0)</f>
        <v>0</v>
      </c>
    </row>
    <row r="1183" customFormat="false" ht="15" hidden="false" customHeight="false" outlineLevel="0" collapsed="false">
      <c r="A1183" s="48" t="s">
        <v>2137</v>
      </c>
      <c r="B1183" s="48" t="s">
        <v>2138</v>
      </c>
      <c r="C1183" s="48" t="s">
        <v>173</v>
      </c>
      <c r="D1183" s="48" t="s">
        <v>193</v>
      </c>
      <c r="E1183" s="48" t="s">
        <v>194</v>
      </c>
      <c r="F1183" s="48" t="s">
        <v>227</v>
      </c>
      <c r="G1183" s="49" t="n">
        <v>181.86</v>
      </c>
      <c r="H1183" s="50" t="n">
        <f aca="false">MAX(0,IF(AND(Parameter!$B$21="Ja",ISNUMBER(Y1183)),Y1183,IF(Parameter!$B$20="Jahresanfang 2025 + Export",BR1183+BQ1183,BQ1183)))</f>
        <v>8</v>
      </c>
      <c r="I1183" s="50" t="n">
        <f aca="false">H1183*G1183</f>
        <v>1454.88</v>
      </c>
      <c r="J1183" s="50" t="n">
        <f aca="false">BT1183*Parameter!$B$18</f>
        <v>20</v>
      </c>
      <c r="K1183" s="51" t="n">
        <v>8.5</v>
      </c>
      <c r="L1183" s="52" t="n">
        <v>2.35294117647059</v>
      </c>
      <c r="M1183" s="50" t="n">
        <v>1</v>
      </c>
      <c r="N1183" s="50" t="n">
        <v>15</v>
      </c>
      <c r="O1183" s="53" t="n">
        <v>28</v>
      </c>
      <c r="P1183" s="48" t="s">
        <v>242</v>
      </c>
      <c r="Q1183" s="50" t="n">
        <v>30</v>
      </c>
      <c r="R1183" s="53" t="n">
        <f aca="false">IF(BZ1183=1,0,IFERROR(VLOOKUP(BX1183,'Gebinde-Kategorie'!$A$5:$N$45,13,0)+0,0))</f>
        <v>26</v>
      </c>
      <c r="S1183" s="54"/>
      <c r="T1183" s="55"/>
      <c r="U1183" s="55"/>
      <c r="V1183" s="55"/>
      <c r="W1183" s="48"/>
      <c r="X1183" s="50"/>
      <c r="Y1183" s="50"/>
      <c r="Z1183" s="48" t="n">
        <f aca="false">IF(A1183="","",IF(AND(Parameter!$B$21="Ja",ISNUMBER(W1183)),W1183,IF(CC1183="2+3",IF(ISNUMBER(SEARCH("grosser Artikel",BU1183)),2,IFERROR(VLOOKUP(BX1183,Parameter!$F$35:$G$64,2,0),2)),IF(OR(CC1183="Nein",CC1183=""),"-",CC1183))))</f>
        <v>3</v>
      </c>
      <c r="AA1183" s="55"/>
      <c r="AB1183" s="56"/>
      <c r="AC1183" s="50" t="n">
        <f aca="false">AV1183</f>
        <v>16</v>
      </c>
      <c r="AD1183" s="50" t="n">
        <f aca="false">MAX(AV1183,H1183)</f>
        <v>16</v>
      </c>
      <c r="AE1183" s="57"/>
      <c r="AF1183" s="50" t="n">
        <f aca="false">IF(LEFT(Cockpit!$C$5,1)="A",H1183,IF(Parameter!$E$30="MAX-Bestand",IF(CH1183=1,CI1183,IF(LEFT(Cockpit!$C$5,1)="B",AL1183,MAX(AL1183,H1183))),ROUNDUP(AJ1183,0)))</f>
        <v>8</v>
      </c>
      <c r="AG1183" s="50" t="n">
        <f aca="false">IF(BZ1183=1,0,ROUNDUP(AF1183/BY1183,0))</f>
        <v>1</v>
      </c>
      <c r="AH1183" s="52" t="n">
        <f aca="false">IF(CQ1183&gt;0,CQ1183*MAX(1,AF1183/X1183),IF(BZ1183=1,IF(AF1183&lt;=0,0,CD1183*MAX(1,IF(H1183&gt;0,AF1183/H1183,1))),IF(R1183&gt;0,AG1183/R1183,0))/MAX(0.1,N(Parameter!$M$21)))</f>
        <v>0.0384615384615385</v>
      </c>
      <c r="AI1183" s="50" t="n">
        <f aca="false">AH1183*CB1183</f>
        <v>9.42307692307692</v>
      </c>
      <c r="AJ1183" s="51" t="n">
        <f aca="false">IF(LEFT(Cockpit!$C$5,1)="A",H1183,IF(CH1183=1,(CK1183+CI1183)/2,IF(LEFT(Cockpit!$C$5,1)="B",(CK1183+AL1183)/2,MAX((CK1183+AL1183)/2,H1183))))</f>
        <v>8</v>
      </c>
      <c r="AK1183" s="50" t="n">
        <f aca="false">AJ1183*G1183</f>
        <v>1454.88</v>
      </c>
      <c r="AL1183" s="50" t="n">
        <f aca="false">ROUNDUP(CK1183+MAX(CL1183,2*(J1183/IF(CG1183&gt;0,CG1183,MAX(0.1,N(Cockpit!$C$6)))-CK1183)),0)</f>
        <v>16</v>
      </c>
      <c r="AM1183" s="51" t="n">
        <f aca="false">IF(AI1183&gt;0,J1183/AI1183,-1)</f>
        <v>2.12244897959184</v>
      </c>
      <c r="AN1183" s="51" t="n">
        <f aca="false">IF(AND(OR(CF1183="L1",CF1183="L23",CF1183="LIFT"),AI1183&gt;0),SUMIFS($AI$7:$AI$1843,$CF$7:$CF$1843,CF1183,$AM$7:$AM$1843,"&gt;"&amp;AM1183)+SUMIFS($AI$7:$AI$1843,$CF$7:$CF$1843,CF1183,$AM$7:$AM$1843,AM1183,$BW$7:$BW$1843,"&lt;="&amp;BW1183),"")</f>
        <v>5738.5260989011</v>
      </c>
      <c r="AO1183" s="58" t="n">
        <f aca="false">IF(AN1183="",0,MAX(0,MIN(1,(IF(CF1183="L1",Parameter!$H$5,IF(CF1183="L23",Parameter!$H$6+Parameter!$H$7,Parameter!$H$5+Parameter!$H$6+Parameter!$H$7))-(AN1183-AI1183))/AI1183)))</f>
        <v>1</v>
      </c>
      <c r="AP1183" s="50" t="n">
        <f aca="false">IF(LEFT(Cockpit!$I$5,1)="A",H1183,IF(Parameter!$E$30="MAX-Bestand",IF(CH1183=1,CI1183,IF(LEFT(Cockpit!$I$5,1)="B",AV1183,MAX(AV1183,H1183))),ROUNDUP(AT1183,0)))</f>
        <v>9</v>
      </c>
      <c r="AQ1183" s="50" t="n">
        <f aca="false">IF(BZ1183=1,0,ROUNDUP(AP1183/BY1183,0))</f>
        <v>1</v>
      </c>
      <c r="AR1183" s="52" t="n">
        <f aca="false">IF(CQ1183&gt;0,CQ1183*MAX(1,AP1183/X1183),IF(BZ1183=1,IF(AP1183&lt;=0,0,CD1183*MAX(1,IF(H1183&gt;0,AP1183/H1183,1))),IF(R1183&gt;0,AQ1183/R1183,0))/MAX(0.1,N(Parameter!$M$21)))</f>
        <v>0.0384615384615385</v>
      </c>
      <c r="AS1183" s="50" t="n">
        <f aca="false">AR1183*CB1183</f>
        <v>9.42307692307692</v>
      </c>
      <c r="AT1183" s="51" t="n">
        <f aca="false">IF(LEFT(Cockpit!$I$5,1)="A",H1183,IF(CH1183=1,(CK1183+CI1183)/2,IF(LEFT(Cockpit!$I$5,1)="B",(CK1183+AV1183)/2,MAX((CK1183+AV1183)/2,H1183))))</f>
        <v>8.5</v>
      </c>
      <c r="AU1183" s="50" t="n">
        <f aca="false">AT1183*G1183</f>
        <v>1545.81</v>
      </c>
      <c r="AV1183" s="50" t="n">
        <f aca="false">ROUNDUP(CK1183+MAX(CL1183,2*(J1183/IF(CG1183&gt;0,CG1183,MAX(0.1,N(Cockpit!$I$6)))-CK1183)),0)</f>
        <v>16</v>
      </c>
      <c r="AW1183" s="51" t="n">
        <f aca="false">IF(AS1183&gt;0,J1183/AS1183,-1)</f>
        <v>2.12244897959184</v>
      </c>
      <c r="AX1183" s="51" t="n">
        <f aca="false">IF(AND(OR(CF1183="L1",CF1183="L23",CF1183="LIFT"),AS1183&gt;0),SUMIFS($AS$7:$AS$1843,$CF$7:$CF$1843,CF1183,$AW$7:$AW$1843,"&gt;"&amp;AW1183)+SUMIFS($AS$7:$AS$1843,$CF$7:$CF$1843,CF1183,$AW$7:$AW$1843,AW1183,$BW$7:$BW$1843,"&lt;="&amp;BW1183),"")</f>
        <v>7040.21565934066</v>
      </c>
      <c r="AY1183" s="58" t="n">
        <f aca="false">IF(AX1183="",0,MAX(0,MIN(1,(IF(CF1183="L1",Parameter!$H$5,IF(CF1183="L23",Parameter!$H$6+Parameter!$H$7,Parameter!$H$5+Parameter!$H$6+Parameter!$H$7))-(AX1183-AS1183))/AS1183)))</f>
        <v>1</v>
      </c>
      <c r="AZ1183" s="50" t="n">
        <f aca="false">IF(LEFT(Cockpit!$O$5,1)="A",H1183,IF(Parameter!$E$30="MAX-Bestand",IF(CH1183=1,CI1183,IF(LEFT(Cockpit!$O$5,1)="B",BF1183,MAX(BF1183,H1183))),ROUNDUP(BD1183,0)))</f>
        <v>9</v>
      </c>
      <c r="BA1183" s="50" t="n">
        <f aca="false">IF(BZ1183=1,0,ROUNDUP(AZ1183/BY1183,0))</f>
        <v>1</v>
      </c>
      <c r="BB1183" s="52" t="n">
        <f aca="false">IF(CQ1183&gt;0,CQ1183*MAX(1,AZ1183/X1183),IF(BZ1183=1,IF(AZ1183&lt;=0,0,CD1183*MAX(1,IF(H1183&gt;0,AZ1183/H1183,1))),IF(R1183&gt;0,BA1183/R1183,0))/MAX(0.1,N(Parameter!$M$21)))</f>
        <v>0.0384615384615385</v>
      </c>
      <c r="BC1183" s="50" t="n">
        <f aca="false">BB1183*CB1183</f>
        <v>9.42307692307692</v>
      </c>
      <c r="BD1183" s="51" t="n">
        <f aca="false">IF(LEFT(Cockpit!$O$5,1)="A",H1183,IF(CH1183=1,(CK1183+CI1183)/2,IF(LEFT(Cockpit!$O$5,1)="B",(CK1183+BF1183)/2,MAX((CK1183+BF1183)/2,H1183))))</f>
        <v>8.5</v>
      </c>
      <c r="BE1183" s="50" t="n">
        <f aca="false">BD1183*G1183</f>
        <v>1545.81</v>
      </c>
      <c r="BF1183" s="50" t="n">
        <f aca="false">ROUNDUP(CK1183+MAX(CL1183,2*(J1183/IF(CG1183&gt;0,CG1183,MAX(0.1,N(Cockpit!$O$6)))-CK1183)),0)</f>
        <v>16</v>
      </c>
      <c r="BG1183" s="51" t="n">
        <f aca="false">IF(BC1183&gt;0,J1183/BC1183,-1)</f>
        <v>2.12244897959184</v>
      </c>
      <c r="BH1183" s="51" t="n">
        <f aca="false">IF(AND(OR(CF1183="L1",CF1183="L23",CF1183="LIFT"),BC1183&gt;0),SUMIFS($BC$7:$BC$1843,$CF$7:$CF$1843,CF1183,$BG$7:$BG$1843,"&gt;"&amp;BG1183)+SUMIFS($BC$7:$BC$1843,$CF$7:$CF$1843,CF1183,$BG$7:$BG$1843,BG1183,$BW$7:$BW$1843,"&lt;="&amp;BW1183),"")</f>
        <v>5726.71153846154</v>
      </c>
      <c r="BI1183" s="58" t="n">
        <f aca="false">IF(BH1183="",0,MAX(0,MIN(1,(IF(CF1183="L1",Parameter!$H$5,IF(CF1183="L23",Parameter!$H$6+Parameter!$H$7,Parameter!$H$5+Parameter!$H$6+Parameter!$H$7))-(BH1183-BC1183))/BC1183)))</f>
        <v>1</v>
      </c>
      <c r="BJ1183" s="48" t="str">
        <f aca="false">IF(AI1183&lt;=0,"",IF(CF1183="Aussen","Aussenlager",IF(CF1183="-","Nicht im Lift",IF(AO1183&gt;=1,"Lift",IF(AO1183&lt;=0,"Aussenlager","teilweise")))))</f>
        <v>Lift</v>
      </c>
      <c r="BK1183" s="48" t="str">
        <f aca="false">IF(AS1183&lt;=0,"",IF(CF1183="Aussen","Aussenlager",IF(CF1183="-","Nicht im Lift",IF(AY1183&gt;=1,"Lift",IF(AY1183&lt;=0,"Aussenlager","teilweise")))))</f>
        <v>Lift</v>
      </c>
      <c r="BL1183" s="48" t="str">
        <f aca="false">IF(BC1183&lt;=0,"",IF(CF1183="Aussen","Aussenlager",IF(CF1183="-","Nicht im Lift",IF(BI1183&gt;=1,"Lift",IF(BI1183&lt;=0,"Aussenlager","teilweise")))))</f>
        <v>Lift</v>
      </c>
      <c r="BM1183" s="48" t="str">
        <f aca="false">IF(A1183="","",IF(BV1183=1,"Neu; ","")&amp;IF(AND(BV1183=0,BQ1183&lt;0),"negativer Bestand (Export "&amp;BQ1183&amp;"); ","")&amp;IF(J1183&lt;=0,"Kein Verbrauch; ","")&amp;IF(CQ1183&gt;0,"Lift "&amp;W1183&amp;" lt. Liftbericht (Fach "&amp;X1183&amp;" Stk); ",IF(CA1183=1,"Gebinde geschätzt ("&amp;T1183&amp;"); ",IF(BZ1183=1,"Lose – Tablare geschätzt; ","")))&amp;IF(H1183&gt;AV1183,"Überbestand "&amp;ROUND(H1183-AV1183,0)&amp;" Stk / CHF "&amp;ROUND((H1183-AV1183)*G1183,0)&amp;"; ","")&amp;IF(AND(CH1183=1,CI1183&lt;CJ1183),"MAX &lt; MB+LG; ","")&amp;IF(AND(CP1183&gt;0,CO1183*10&gt;CP1183),"zu hoch für Tablar; ","")&amp;IF(AND(BV1183=0,OR(CH1183=1,AA1183&lt;&gt;"",U1183&lt;&gt;"",V1183&lt;&gt;"",AB1183&lt;&gt;"")),"manuell übersteuert; ","")&amp;IF(AND(BZ1183=0,R1183=0),"Gebinde unbekannt / Stellmass fehlt; ","")&amp;IF(AND(BZ1183=0,N(V1183)&lt;=0,N(Q1183)&lt;=0),"Menge pro Gebinde fehlt (Ist = 1 Gebinde); ","")&amp;BU1183)</f>
        <v>negativer Bestand (Export -2); </v>
      </c>
      <c r="BN1183" s="48"/>
      <c r="BO1183" s="48"/>
      <c r="BP1183" s="55"/>
      <c r="BQ1183" s="50" t="n">
        <v>-2</v>
      </c>
      <c r="BR1183" s="50" t="n">
        <v>10</v>
      </c>
      <c r="BS1183" s="49" t="n">
        <v>-385.72</v>
      </c>
      <c r="BT1183" s="50" t="n">
        <v>20</v>
      </c>
      <c r="BU1183" s="48"/>
      <c r="BV1183" s="53" t="n">
        <v>0</v>
      </c>
      <c r="BW1183" s="53" t="n">
        <v>1183</v>
      </c>
      <c r="BX1183" s="48" t="str">
        <f aca="false">IF(U1183&lt;&gt;"",UPPER(TRIM(U1183)),IF(CA1183=1,UPPER(VLOOKUP(T1183,Parameter!$I$27:$K$29,2,0)),IF(P1183="","LOSE",P1183)))</f>
        <v>S52</v>
      </c>
      <c r="BY1183" s="50" t="n">
        <f aca="false">IF(BX1183="LOSE",1,IF(N(V1183)&gt;0,V1183,IF(CA1183=1,MAX(1,N(VLOOKUP(T1183,Parameter!$I$27:$K$29,3,0)),H1183,N(N1183)),IF(N(Q1183)&gt;0,Q1183,MAX(1,H1183)))))</f>
        <v>30</v>
      </c>
      <c r="BZ1183" s="53" t="n">
        <f aca="false">IF(BX1183="LOSE",1,0)</f>
        <v>0</v>
      </c>
      <c r="CA1183" s="53" t="n">
        <f aca="false">IF(AND(U1183="",OR(P1183="",P1183="LOSE"),T1183&lt;&gt;"",N(S1183)&lt;=0,ISNUMBER(MATCH(T1183,Parameter!$I$27:$I$29,0))),1,0)</f>
        <v>0</v>
      </c>
      <c r="CB1183" s="53" t="n">
        <f aca="false">IF(CQ1183&gt;0,INDEX(Parameter!$H$5:$H$7,W1183)/INDEX(Parameter!$E$5:$E$7,W1183),IF(AND(BZ1183=0,N(IFERROR(VLOOKUP(BX1183,'Gebinde-Kategorie'!$A$5:$N$45,14,0),0))&gt;0),VLOOKUP(BX1183,'Gebinde-Kategorie'!$A$5:$N$45,14,0)*10+Parameter!$M$23,Parameter!$M$24))</f>
        <v>245</v>
      </c>
      <c r="CC1183" s="48" t="str">
        <f aca="false">IF(AND(Parameter!$B$19="Ja",E1183&lt;&gt;"",ISNUMBER(MATCH(E1183,Parameter!$I$35:$I$52,0))),VLOOKUP(E1183,Parameter!$I$35:$J$52,2,0),IFERROR(VLOOKUP(D1183,Parameter!$A$35:$C$64,2,0),"Nein"))</f>
        <v>2+3</v>
      </c>
      <c r="CD1183" s="52" t="n">
        <f aca="false">IF(BZ1183=0,0,IF(N(S1183)&gt;0,S1183,IFERROR(VLOOKUP(D1183,Parameter!$A$35:$C$64,3,0)+0,0)))</f>
        <v>0</v>
      </c>
      <c r="CE1183" s="48" t="n">
        <f aca="false">IF(AA1183&lt;&gt;"",AA1183,Z1183)</f>
        <v>3</v>
      </c>
      <c r="CF1183" s="48" t="str">
        <f aca="false">IF(OR(CE1183=1,CE1183=2,CE1183=3),IF(Parameter!$E$27="Ja","LIFT",IF(CE1183=1,"L1","L23")),IF(CE1183="Aussen","Aussen","-"))</f>
        <v>LIFT</v>
      </c>
      <c r="CG1183" s="59" t="n">
        <f aca="false">IF(N(AB1183)&gt;0,AB1183,0)</f>
        <v>0</v>
      </c>
      <c r="CH1183" s="53" t="n">
        <f aca="false">IF(ISNUMBER(AE1183),1,0)</f>
        <v>0</v>
      </c>
      <c r="CI1183" s="50" t="n">
        <f aca="false">N(AE1183)</f>
        <v>0</v>
      </c>
      <c r="CJ1183" s="50" t="n">
        <f aca="false">N(M1183)+N(N1183)</f>
        <v>16</v>
      </c>
      <c r="CK1183" s="50" t="n">
        <f aca="false">N(M1183)</f>
        <v>1</v>
      </c>
      <c r="CL1183" s="50" t="n">
        <f aca="false">N(N1183)</f>
        <v>15</v>
      </c>
      <c r="CM1183" s="50" t="n">
        <f aca="false">ROUNDUP(H1183/BY1183,0)</f>
        <v>1</v>
      </c>
      <c r="CN1183" s="50" t="n">
        <f aca="false">ROUNDUP(CI1183/BY1183,0)</f>
        <v>0</v>
      </c>
      <c r="CO1183" s="53" t="n">
        <f aca="false">IF(BZ1183=1,0,IFERROR(VLOOKUP(BX1183,'Gebinde-Kategorie'!$A$5:$N$45,5,0)+0,0))</f>
        <v>21</v>
      </c>
      <c r="CP1183" s="53" t="n">
        <f aca="false">IFERROR(IF(OR(CE1183=1,CE1183=2,CE1183=3),N(INDEX(Parameter!$I$5:$I$7,CE1183)),0),0)</f>
        <v>0</v>
      </c>
      <c r="CQ1183" s="52" t="n">
        <f aca="false">IF(AND(Parameter!$B$21="Ja",ISNUMBER(W1183),N(X1183)&gt;0),IFERROR(N(INDEX(Parameter!$L$5:$L$7,W1183))*INDEX(Parameter!$E$5:$E$7,W1183)*X1183/SUMIFS($X$7:$X$1843,$W$7:$W$1843,W1183),0),0)</f>
        <v>0</v>
      </c>
    </row>
    <row r="1184" customFormat="false" ht="15" hidden="false" customHeight="false" outlineLevel="0" collapsed="false">
      <c r="A1184" s="48" t="s">
        <v>2139</v>
      </c>
      <c r="B1184" s="48" t="s">
        <v>2140</v>
      </c>
      <c r="C1184" s="48" t="s">
        <v>465</v>
      </c>
      <c r="D1184" s="48" t="s">
        <v>193</v>
      </c>
      <c r="E1184" s="48"/>
      <c r="F1184" s="48" t="s">
        <v>227</v>
      </c>
      <c r="G1184" s="49" t="n">
        <v>38.88</v>
      </c>
      <c r="H1184" s="50" t="n">
        <f aca="false">MAX(0,IF(AND(Parameter!$B$21="Ja",ISNUMBER(Y1184)),Y1184,IF(Parameter!$B$20="Jahresanfang 2025 + Export",BR1184+BQ1184,BQ1184)))</f>
        <v>0</v>
      </c>
      <c r="I1184" s="50" t="n">
        <f aca="false">H1184*G1184</f>
        <v>0</v>
      </c>
      <c r="J1184" s="50" t="n">
        <f aca="false">BT1184*Parameter!$B$18</f>
        <v>10</v>
      </c>
      <c r="K1184" s="51" t="n">
        <v>5</v>
      </c>
      <c r="L1184" s="52" t="n">
        <v>2</v>
      </c>
      <c r="M1184" s="50" t="n">
        <v>0</v>
      </c>
      <c r="N1184" s="50" t="n">
        <v>10</v>
      </c>
      <c r="O1184" s="53" t="n">
        <v>14</v>
      </c>
      <c r="P1184" s="48" t="s">
        <v>177</v>
      </c>
      <c r="Q1184" s="50"/>
      <c r="R1184" s="53" t="n">
        <f aca="false">IF(BZ1184=1,0,IFERROR(VLOOKUP(BX1184,'Gebinde-Kategorie'!$A$5:$N$45,13,0)+0,0))</f>
        <v>26</v>
      </c>
      <c r="S1184" s="54"/>
      <c r="T1184" s="55" t="s">
        <v>284</v>
      </c>
      <c r="U1184" s="55"/>
      <c r="V1184" s="55"/>
      <c r="W1184" s="48"/>
      <c r="X1184" s="50"/>
      <c r="Y1184" s="50"/>
      <c r="Z1184" s="48" t="n">
        <f aca="false">IF(A1184="","",IF(AND(Parameter!$B$21="Ja",ISNUMBER(W1184)),W1184,IF(CC1184="2+3",IF(ISNUMBER(SEARCH("grosser Artikel",BU1184)),2,IFERROR(VLOOKUP(BX1184,Parameter!$F$35:$G$64,2,0),2)),IF(OR(CC1184="Nein",CC1184=""),"-",CC1184))))</f>
        <v>3</v>
      </c>
      <c r="AA1184" s="55"/>
      <c r="AB1184" s="56"/>
      <c r="AC1184" s="50" t="n">
        <f aca="false">AV1184</f>
        <v>10</v>
      </c>
      <c r="AD1184" s="50" t="n">
        <f aca="false">MAX(AV1184,H1184)</f>
        <v>10</v>
      </c>
      <c r="AE1184" s="57"/>
      <c r="AF1184" s="50" t="n">
        <f aca="false">IF(LEFT(Cockpit!$C$5,1)="A",H1184,IF(Parameter!$E$30="MAX-Bestand",IF(CH1184=1,CI1184,IF(LEFT(Cockpit!$C$5,1)="B",AL1184,MAX(AL1184,H1184))),ROUNDUP(AJ1184,0)))</f>
        <v>0</v>
      </c>
      <c r="AG1184" s="50" t="n">
        <f aca="false">IF(BZ1184=1,0,ROUNDUP(AF1184/BY1184,0))</f>
        <v>0</v>
      </c>
      <c r="AH1184" s="52" t="n">
        <f aca="false">IF(CQ1184&gt;0,CQ1184*MAX(1,AF1184/X1184),IF(BZ1184=1,IF(AF1184&lt;=0,0,CD1184*MAX(1,IF(H1184&gt;0,AF1184/H1184,1))),IF(R1184&gt;0,AG1184/R1184,0))/MAX(0.1,N(Parameter!$M$21)))</f>
        <v>0</v>
      </c>
      <c r="AI1184" s="50" t="n">
        <f aca="false">AH1184*CB1184</f>
        <v>0</v>
      </c>
      <c r="AJ1184" s="51" t="n">
        <f aca="false">IF(LEFT(Cockpit!$C$5,1)="A",H1184,IF(CH1184=1,(CK1184+CI1184)/2,IF(LEFT(Cockpit!$C$5,1)="B",(CK1184+AL1184)/2,MAX((CK1184+AL1184)/2,H1184))))</f>
        <v>0</v>
      </c>
      <c r="AK1184" s="50" t="n">
        <f aca="false">AJ1184*G1184</f>
        <v>0</v>
      </c>
      <c r="AL1184" s="50" t="n">
        <f aca="false">ROUNDUP(CK1184+MAX(CL1184,2*(J1184/IF(CG1184&gt;0,CG1184,MAX(0.1,N(Cockpit!$C$6)))-CK1184)),0)</f>
        <v>10</v>
      </c>
      <c r="AM1184" s="51" t="n">
        <f aca="false">IF(AI1184&gt;0,J1184/AI1184,-1)</f>
        <v>-1</v>
      </c>
      <c r="AN1184" s="51" t="str">
        <f aca="false">IF(AND(OR(CF1184="L1",CF1184="L23",CF1184="LIFT"),AI1184&gt;0),SUMIFS($AI$7:$AI$1843,$CF$7:$CF$1843,CF1184,$AM$7:$AM$1843,"&gt;"&amp;AM1184)+SUMIFS($AI$7:$AI$1843,$CF$7:$CF$1843,CF1184,$AM$7:$AM$1843,AM1184,$BW$7:$BW$1843,"&lt;="&amp;BW1184),"")</f>
        <v/>
      </c>
      <c r="AO1184" s="58" t="n">
        <f aca="false">IF(AN1184="",0,MAX(0,MIN(1,(IF(CF1184="L1",Parameter!$H$5,IF(CF1184="L23",Parameter!$H$6+Parameter!$H$7,Parameter!$H$5+Parameter!$H$6+Parameter!$H$7))-(AN1184-AI1184))/AI1184)))</f>
        <v>0</v>
      </c>
      <c r="AP1184" s="50" t="n">
        <f aca="false">IF(LEFT(Cockpit!$I$5,1)="A",H1184,IF(Parameter!$E$30="MAX-Bestand",IF(CH1184=1,CI1184,IF(LEFT(Cockpit!$I$5,1)="B",AV1184,MAX(AV1184,H1184))),ROUNDUP(AT1184,0)))</f>
        <v>5</v>
      </c>
      <c r="AQ1184" s="50" t="n">
        <f aca="false">IF(BZ1184=1,0,ROUNDUP(AP1184/BY1184,0))</f>
        <v>1</v>
      </c>
      <c r="AR1184" s="52" t="n">
        <f aca="false">IF(CQ1184&gt;0,CQ1184*MAX(1,AP1184/X1184),IF(BZ1184=1,IF(AP1184&lt;=0,0,CD1184*MAX(1,IF(H1184&gt;0,AP1184/H1184,1))),IF(R1184&gt;0,AQ1184/R1184,0))/MAX(0.1,N(Parameter!$M$21)))</f>
        <v>0.0384615384615385</v>
      </c>
      <c r="AS1184" s="50" t="n">
        <f aca="false">AR1184*CB1184</f>
        <v>5.96153846153846</v>
      </c>
      <c r="AT1184" s="51" t="n">
        <f aca="false">IF(LEFT(Cockpit!$I$5,1)="A",H1184,IF(CH1184=1,(CK1184+CI1184)/2,IF(LEFT(Cockpit!$I$5,1)="B",(CK1184+AV1184)/2,MAX((CK1184+AV1184)/2,H1184))))</f>
        <v>5</v>
      </c>
      <c r="AU1184" s="50" t="n">
        <f aca="false">AT1184*G1184</f>
        <v>194.4</v>
      </c>
      <c r="AV1184" s="50" t="n">
        <f aca="false">ROUNDUP(CK1184+MAX(CL1184,2*(J1184/IF(CG1184&gt;0,CG1184,MAX(0.1,N(Cockpit!$I$6)))-CK1184)),0)</f>
        <v>10</v>
      </c>
      <c r="AW1184" s="51" t="n">
        <f aca="false">IF(AS1184&gt;0,J1184/AS1184,-1)</f>
        <v>1.67741935483871</v>
      </c>
      <c r="AX1184" s="51" t="n">
        <f aca="false">IF(AND(OR(CF1184="L1",CF1184="L23",CF1184="LIFT"),AS1184&gt;0),SUMIFS($AS$7:$AS$1843,$CF$7:$CF$1843,CF1184,$AW$7:$AW$1843,"&gt;"&amp;AW1184)+SUMIFS($AS$7:$AS$1843,$CF$7:$CF$1843,CF1184,$AW$7:$AW$1843,AW1184,$BW$7:$BW$1843,"&lt;="&amp;BW1184),"")</f>
        <v>7503.66483516484</v>
      </c>
      <c r="AY1184" s="58" t="n">
        <f aca="false">IF(AX1184="",0,MAX(0,MIN(1,(IF(CF1184="L1",Parameter!$H$5,IF(CF1184="L23",Parameter!$H$6+Parameter!$H$7,Parameter!$H$5+Parameter!$H$6+Parameter!$H$7))-(AX1184-AS1184))/AS1184)))</f>
        <v>1</v>
      </c>
      <c r="AZ1184" s="50" t="n">
        <f aca="false">IF(LEFT(Cockpit!$O$5,1)="A",H1184,IF(Parameter!$E$30="MAX-Bestand",IF(CH1184=1,CI1184,IF(LEFT(Cockpit!$O$5,1)="B",BF1184,MAX(BF1184,H1184))),ROUNDUP(BD1184,0)))</f>
        <v>5</v>
      </c>
      <c r="BA1184" s="50" t="n">
        <f aca="false">IF(BZ1184=1,0,ROUNDUP(AZ1184/BY1184,0))</f>
        <v>1</v>
      </c>
      <c r="BB1184" s="52" t="n">
        <f aca="false">IF(CQ1184&gt;0,CQ1184*MAX(1,AZ1184/X1184),IF(BZ1184=1,IF(AZ1184&lt;=0,0,CD1184*MAX(1,IF(H1184&gt;0,AZ1184/H1184,1))),IF(R1184&gt;0,BA1184/R1184,0))/MAX(0.1,N(Parameter!$M$21)))</f>
        <v>0.0384615384615385</v>
      </c>
      <c r="BC1184" s="50" t="n">
        <f aca="false">BB1184*CB1184</f>
        <v>5.96153846153846</v>
      </c>
      <c r="BD1184" s="51" t="n">
        <f aca="false">IF(LEFT(Cockpit!$O$5,1)="A",H1184,IF(CH1184=1,(CK1184+CI1184)/2,IF(LEFT(Cockpit!$O$5,1)="B",(CK1184+BF1184)/2,MAX((CK1184+BF1184)/2,H1184))))</f>
        <v>5</v>
      </c>
      <c r="BE1184" s="50" t="n">
        <f aca="false">BD1184*G1184</f>
        <v>194.4</v>
      </c>
      <c r="BF1184" s="50" t="n">
        <f aca="false">ROUNDUP(CK1184+MAX(CL1184,2*(J1184/IF(CG1184&gt;0,CG1184,MAX(0.1,N(Cockpit!$O$6)))-CK1184)),0)</f>
        <v>10</v>
      </c>
      <c r="BG1184" s="51" t="n">
        <f aca="false">IF(BC1184&gt;0,J1184/BC1184,-1)</f>
        <v>1.67741935483871</v>
      </c>
      <c r="BH1184" s="51" t="n">
        <f aca="false">IF(AND(OR(CF1184="L1",CF1184="L23",CF1184="LIFT"),BC1184&gt;0),SUMIFS($BC$7:$BC$1843,$CF$7:$CF$1843,CF1184,$BG$7:$BG$1843,"&gt;"&amp;BG1184)+SUMIFS($BC$7:$BC$1843,$CF$7:$CF$1843,CF1184,$BG$7:$BG$1843,BG1184,$BW$7:$BW$1843,"&lt;="&amp;BW1184),"")</f>
        <v>6318.5086996337</v>
      </c>
      <c r="BI1184" s="58" t="n">
        <f aca="false">IF(BH1184="",0,MAX(0,MIN(1,(IF(CF1184="L1",Parameter!$H$5,IF(CF1184="L23",Parameter!$H$6+Parameter!$H$7,Parameter!$H$5+Parameter!$H$6+Parameter!$H$7))-(BH1184-BC1184))/BC1184)))</f>
        <v>1</v>
      </c>
      <c r="BJ1184" s="48" t="str">
        <f aca="false">IF(AI1184&lt;=0,"",IF(CF1184="Aussen","Aussenlager",IF(CF1184="-","Nicht im Lift",IF(AO1184&gt;=1,"Lift",IF(AO1184&lt;=0,"Aussenlager","teilweise")))))</f>
        <v/>
      </c>
      <c r="BK1184" s="48" t="str">
        <f aca="false">IF(AS1184&lt;=0,"",IF(CF1184="Aussen","Aussenlager",IF(CF1184="-","Nicht im Lift",IF(AY1184&gt;=1,"Lift",IF(AY1184&lt;=0,"Aussenlager","teilweise")))))</f>
        <v>Lift</v>
      </c>
      <c r="BL1184" s="48" t="str">
        <f aca="false">IF(BC1184&lt;=0,"",IF(CF1184="Aussen","Aussenlager",IF(CF1184="-","Nicht im Lift",IF(BI1184&gt;=1,"Lift",IF(BI1184&lt;=0,"Aussenlager","teilweise")))))</f>
        <v>Lift</v>
      </c>
      <c r="BM1184" s="48" t="str">
        <f aca="false">IF(A1184="","",IF(BV1184=1,"Neu; ","")&amp;IF(AND(BV1184=0,BQ1184&lt;0),"negativer Bestand (Export "&amp;BQ1184&amp;"); ","")&amp;IF(J1184&lt;=0,"Kein Verbrauch; ","")&amp;IF(CQ1184&gt;0,"Lift "&amp;W1184&amp;" lt. Liftbericht (Fach "&amp;X1184&amp;" Stk); ",IF(CA1184=1,"Gebinde geschätzt ("&amp;T1184&amp;"); ",IF(BZ1184=1,"Lose – Tablare geschätzt; ","")))&amp;IF(H1184&gt;AV1184,"Überbestand "&amp;ROUND(H1184-AV1184,0)&amp;" Stk / CHF "&amp;ROUND((H1184-AV1184)*G1184,0)&amp;"; ","")&amp;IF(AND(CH1184=1,CI1184&lt;CJ1184),"MAX &lt; MB+LG; ","")&amp;IF(AND(CP1184&gt;0,CO1184*10&gt;CP1184),"zu hoch für Tablar; ","")&amp;IF(AND(BV1184=0,OR(CH1184=1,AA1184&lt;&gt;"",U1184&lt;&gt;"",V1184&lt;&gt;"",AB1184&lt;&gt;"")),"manuell übersteuert; ","")&amp;IF(AND(BZ1184=0,R1184=0),"Gebinde unbekannt / Stellmass fehlt; ","")&amp;IF(AND(BZ1184=0,N(V1184)&lt;=0,N(Q1184)&lt;=0),"Menge pro Gebinde fehlt (Ist = 1 Gebinde); ","")&amp;BU1184)</f>
        <v>negativer Bestand (Export -10); Gebinde geschätzt (Klein); Menge pro Gebinde fehlt (Ist = 1 Gebinde); </v>
      </c>
      <c r="BN1184" s="48"/>
      <c r="BO1184" s="48"/>
      <c r="BP1184" s="55"/>
      <c r="BQ1184" s="50" t="n">
        <v>-10</v>
      </c>
      <c r="BR1184" s="50" t="n">
        <v>10</v>
      </c>
      <c r="BS1184" s="49" t="n">
        <v>-388.8</v>
      </c>
      <c r="BT1184" s="50" t="n">
        <v>10</v>
      </c>
      <c r="BU1184" s="48"/>
      <c r="BV1184" s="53" t="n">
        <v>0</v>
      </c>
      <c r="BW1184" s="53" t="n">
        <v>1184</v>
      </c>
      <c r="BX1184" s="48" t="str">
        <f aca="false">IF(U1184&lt;&gt;"",UPPER(TRIM(U1184)),IF(CA1184=1,UPPER(VLOOKUP(T1184,Parameter!$I$27:$K$29,2,0)),IF(P1184="","LOSE",P1184)))</f>
        <v>S51</v>
      </c>
      <c r="BY1184" s="50" t="n">
        <f aca="false">IF(BX1184="LOSE",1,IF(N(V1184)&gt;0,V1184,IF(CA1184=1,MAX(1,N(VLOOKUP(T1184,Parameter!$I$27:$K$29,3,0)),H1184,N(N1184)),IF(N(Q1184)&gt;0,Q1184,MAX(1,H1184)))))</f>
        <v>20</v>
      </c>
      <c r="BZ1184" s="53" t="n">
        <f aca="false">IF(BX1184="LOSE",1,0)</f>
        <v>0</v>
      </c>
      <c r="CA1184" s="53" t="n">
        <f aca="false">IF(AND(U1184="",OR(P1184="",P1184="LOSE"),T1184&lt;&gt;"",N(S1184)&lt;=0,ISNUMBER(MATCH(T1184,Parameter!$I$27:$I$29,0))),1,0)</f>
        <v>1</v>
      </c>
      <c r="CB1184" s="53" t="n">
        <f aca="false">IF(CQ1184&gt;0,INDEX(Parameter!$H$5:$H$7,W1184)/INDEX(Parameter!$E$5:$E$7,W1184),IF(AND(BZ1184=0,N(IFERROR(VLOOKUP(BX1184,'Gebinde-Kategorie'!$A$5:$N$45,14,0),0))&gt;0),VLOOKUP(BX1184,'Gebinde-Kategorie'!$A$5:$N$45,14,0)*10+Parameter!$M$23,Parameter!$M$24))</f>
        <v>155</v>
      </c>
      <c r="CC1184" s="48" t="str">
        <f aca="false">IF(AND(Parameter!$B$19="Ja",E1184&lt;&gt;"",ISNUMBER(MATCH(E1184,Parameter!$I$35:$I$52,0))),VLOOKUP(E1184,Parameter!$I$35:$J$52,2,0),IFERROR(VLOOKUP(D1184,Parameter!$A$35:$C$64,2,0),"Nein"))</f>
        <v>2+3</v>
      </c>
      <c r="CD1184" s="52" t="n">
        <f aca="false">IF(BZ1184=0,0,IF(N(S1184)&gt;0,S1184,IFERROR(VLOOKUP(D1184,Parameter!$A$35:$C$64,3,0)+0,0)))</f>
        <v>0</v>
      </c>
      <c r="CE1184" s="48" t="n">
        <f aca="false">IF(AA1184&lt;&gt;"",AA1184,Z1184)</f>
        <v>3</v>
      </c>
      <c r="CF1184" s="48" t="str">
        <f aca="false">IF(OR(CE1184=1,CE1184=2,CE1184=3),IF(Parameter!$E$27="Ja","LIFT",IF(CE1184=1,"L1","L23")),IF(CE1184="Aussen","Aussen","-"))</f>
        <v>LIFT</v>
      </c>
      <c r="CG1184" s="59" t="n">
        <f aca="false">IF(N(AB1184)&gt;0,AB1184,0)</f>
        <v>0</v>
      </c>
      <c r="CH1184" s="53" t="n">
        <f aca="false">IF(ISNUMBER(AE1184),1,0)</f>
        <v>0</v>
      </c>
      <c r="CI1184" s="50" t="n">
        <f aca="false">N(AE1184)</f>
        <v>0</v>
      </c>
      <c r="CJ1184" s="50" t="n">
        <f aca="false">N(M1184)+N(N1184)</f>
        <v>10</v>
      </c>
      <c r="CK1184" s="50" t="n">
        <f aca="false">N(M1184)</f>
        <v>0</v>
      </c>
      <c r="CL1184" s="50" t="n">
        <f aca="false">N(N1184)</f>
        <v>10</v>
      </c>
      <c r="CM1184" s="50" t="n">
        <f aca="false">ROUNDUP(H1184/BY1184,0)</f>
        <v>0</v>
      </c>
      <c r="CN1184" s="50" t="n">
        <f aca="false">ROUNDUP(CI1184/BY1184,0)</f>
        <v>0</v>
      </c>
      <c r="CO1184" s="53" t="n">
        <f aca="false">IF(BZ1184=1,0,IFERROR(VLOOKUP(BX1184,'Gebinde-Kategorie'!$A$5:$N$45,5,0)+0,0))</f>
        <v>11</v>
      </c>
      <c r="CP1184" s="53" t="n">
        <f aca="false">IFERROR(IF(OR(CE1184=1,CE1184=2,CE1184=3),N(INDEX(Parameter!$I$5:$I$7,CE1184)),0),0)</f>
        <v>0</v>
      </c>
      <c r="CQ1184" s="52" t="n">
        <f aca="false">IF(AND(Parameter!$B$21="Ja",ISNUMBER(W1184),N(X1184)&gt;0),IFERROR(N(INDEX(Parameter!$L$5:$L$7,W1184))*INDEX(Parameter!$E$5:$E$7,W1184)*X1184/SUMIFS($X$7:$X$1843,$W$7:$W$1843,W1184),0),0)</f>
        <v>0</v>
      </c>
    </row>
    <row r="1185" customFormat="false" ht="15" hidden="false" customHeight="false" outlineLevel="0" collapsed="false">
      <c r="A1185" s="48" t="s">
        <v>2141</v>
      </c>
      <c r="B1185" s="48" t="s">
        <v>2142</v>
      </c>
      <c r="C1185" s="48" t="s">
        <v>173</v>
      </c>
      <c r="D1185" s="48" t="s">
        <v>182</v>
      </c>
      <c r="E1185" s="48"/>
      <c r="F1185" s="48" t="s">
        <v>227</v>
      </c>
      <c r="G1185" s="49" t="n">
        <v>393.01</v>
      </c>
      <c r="H1185" s="50" t="n">
        <f aca="false">MAX(0,IF(AND(Parameter!$B$21="Ja",ISNUMBER(Y1185)),Y1185,IF(Parameter!$B$20="Jahresanfang 2025 + Export",BR1185+BQ1185,BQ1185)))</f>
        <v>8</v>
      </c>
      <c r="I1185" s="50" t="n">
        <f aca="false">H1185*G1185</f>
        <v>3144.08</v>
      </c>
      <c r="J1185" s="50" t="n">
        <f aca="false">BT1185*Parameter!$B$18</f>
        <v>1</v>
      </c>
      <c r="K1185" s="51" t="n">
        <v>8.5</v>
      </c>
      <c r="L1185" s="52" t="n">
        <v>0.117647058823529</v>
      </c>
      <c r="M1185" s="50" t="n">
        <v>0</v>
      </c>
      <c r="N1185" s="50" t="n">
        <v>1</v>
      </c>
      <c r="O1185" s="53" t="n">
        <v>35</v>
      </c>
      <c r="P1185" s="48" t="s">
        <v>183</v>
      </c>
      <c r="Q1185" s="50" t="n">
        <v>10</v>
      </c>
      <c r="R1185" s="53" t="n">
        <f aca="false">IF(BZ1185=1,0,IFERROR(VLOOKUP(BX1185,'Gebinde-Kategorie'!$A$5:$N$45,13,0)+0,0))</f>
        <v>6</v>
      </c>
      <c r="S1185" s="54"/>
      <c r="T1185" s="55"/>
      <c r="U1185" s="55"/>
      <c r="V1185" s="55"/>
      <c r="W1185" s="48"/>
      <c r="X1185" s="50"/>
      <c r="Y1185" s="50"/>
      <c r="Z1185" s="48" t="n">
        <f aca="false">IF(A1185="","",IF(AND(Parameter!$B$21="Ja",ISNUMBER(W1185)),W1185,IF(CC1185="2+3",IF(ISNUMBER(SEARCH("grosser Artikel",BU1185)),2,IFERROR(VLOOKUP(BX1185,Parameter!$F$35:$G$64,2,0),2)),IF(OR(CC1185="Nein",CC1185=""),"-",CC1185))))</f>
        <v>2</v>
      </c>
      <c r="AA1185" s="55"/>
      <c r="AB1185" s="56"/>
      <c r="AC1185" s="50" t="n">
        <f aca="false">AV1185</f>
        <v>1</v>
      </c>
      <c r="AD1185" s="50" t="n">
        <f aca="false">MAX(AV1185,H1185)</f>
        <v>8</v>
      </c>
      <c r="AE1185" s="57"/>
      <c r="AF1185" s="50" t="n">
        <f aca="false">IF(LEFT(Cockpit!$C$5,1)="A",H1185,IF(Parameter!$E$30="MAX-Bestand",IF(CH1185=1,CI1185,IF(LEFT(Cockpit!$C$5,1)="B",AL1185,MAX(AL1185,H1185))),ROUNDUP(AJ1185,0)))</f>
        <v>8</v>
      </c>
      <c r="AG1185" s="50" t="n">
        <f aca="false">IF(BZ1185=1,0,ROUNDUP(AF1185/BY1185,0))</f>
        <v>1</v>
      </c>
      <c r="AH1185" s="52" t="n">
        <f aca="false">IF(CQ1185&gt;0,CQ1185*MAX(1,AF1185/X1185),IF(BZ1185=1,IF(AF1185&lt;=0,0,CD1185*MAX(1,IF(H1185&gt;0,AF1185/H1185,1))),IF(R1185&gt;0,AG1185/R1185,0))/MAX(0.1,N(Parameter!$M$21)))</f>
        <v>0.166666666666667</v>
      </c>
      <c r="AI1185" s="50" t="n">
        <f aca="false">AH1185*CB1185</f>
        <v>39.1666666666667</v>
      </c>
      <c r="AJ1185" s="51" t="n">
        <f aca="false">IF(LEFT(Cockpit!$C$5,1)="A",H1185,IF(CH1185=1,(CK1185+CI1185)/2,IF(LEFT(Cockpit!$C$5,1)="B",(CK1185+AL1185)/2,MAX((CK1185+AL1185)/2,H1185))))</f>
        <v>8</v>
      </c>
      <c r="AK1185" s="50" t="n">
        <f aca="false">AJ1185*G1185</f>
        <v>3144.08</v>
      </c>
      <c r="AL1185" s="50" t="n">
        <f aca="false">ROUNDUP(CK1185+MAX(CL1185,2*(J1185/IF(CG1185&gt;0,CG1185,MAX(0.1,N(Cockpit!$C$6)))-CK1185)),0)</f>
        <v>1</v>
      </c>
      <c r="AM1185" s="51" t="n">
        <f aca="false">IF(AI1185&gt;0,J1185/AI1185,-1)</f>
        <v>0.025531914893617</v>
      </c>
      <c r="AN1185" s="51" t="n">
        <f aca="false">IF(AND(OR(CF1185="L1",CF1185="L23",CF1185="LIFT"),AI1185&gt;0),SUMIFS($AI$7:$AI$1843,$CF$7:$CF$1843,CF1185,$AM$7:$AM$1843,"&gt;"&amp;AM1185)+SUMIFS($AI$7:$AI$1843,$CF$7:$CF$1843,CF1185,$AM$7:$AM$1843,AM1185,$BW$7:$BW$1843,"&lt;="&amp;BW1185),"")</f>
        <v>21847.1104048964</v>
      </c>
      <c r="AO1185" s="58" t="n">
        <f aca="false">IF(AN1185="",0,MAX(0,MIN(1,(IF(CF1185="L1",Parameter!$H$5,IF(CF1185="L23",Parameter!$H$6+Parameter!$H$7,Parameter!$H$5+Parameter!$H$6+Parameter!$H$7))-(AN1185-AI1185))/AI1185)))</f>
        <v>1</v>
      </c>
      <c r="AP1185" s="50" t="n">
        <f aca="false">IF(LEFT(Cockpit!$I$5,1)="A",H1185,IF(Parameter!$E$30="MAX-Bestand",IF(CH1185=1,CI1185,IF(LEFT(Cockpit!$I$5,1)="B",AV1185,MAX(AV1185,H1185))),ROUNDUP(AT1185,0)))</f>
        <v>8</v>
      </c>
      <c r="AQ1185" s="50" t="n">
        <f aca="false">IF(BZ1185=1,0,ROUNDUP(AP1185/BY1185,0))</f>
        <v>1</v>
      </c>
      <c r="AR1185" s="52" t="n">
        <f aca="false">IF(CQ1185&gt;0,CQ1185*MAX(1,AP1185/X1185),IF(BZ1185=1,IF(AP1185&lt;=0,0,CD1185*MAX(1,IF(H1185&gt;0,AP1185/H1185,1))),IF(R1185&gt;0,AQ1185/R1185,0))/MAX(0.1,N(Parameter!$M$21)))</f>
        <v>0.166666666666667</v>
      </c>
      <c r="AS1185" s="50" t="n">
        <f aca="false">AR1185*CB1185</f>
        <v>39.1666666666667</v>
      </c>
      <c r="AT1185" s="51" t="n">
        <f aca="false">IF(LEFT(Cockpit!$I$5,1)="A",H1185,IF(CH1185=1,(CK1185+CI1185)/2,IF(LEFT(Cockpit!$I$5,1)="B",(CK1185+AV1185)/2,MAX((CK1185+AV1185)/2,H1185))))</f>
        <v>8</v>
      </c>
      <c r="AU1185" s="50" t="n">
        <f aca="false">AT1185*G1185</f>
        <v>3144.08</v>
      </c>
      <c r="AV1185" s="50" t="n">
        <f aca="false">ROUNDUP(CK1185+MAX(CL1185,2*(J1185/IF(CG1185&gt;0,CG1185,MAX(0.1,N(Cockpit!$I$6)))-CK1185)),0)</f>
        <v>1</v>
      </c>
      <c r="AW1185" s="51" t="n">
        <f aca="false">IF(AS1185&gt;0,J1185/AS1185,-1)</f>
        <v>0.025531914893617</v>
      </c>
      <c r="AX1185" s="51" t="n">
        <f aca="false">IF(AND(OR(CF1185="L1",CF1185="L23",CF1185="LIFT"),AS1185&gt;0),SUMIFS($AS$7:$AS$1843,$CF$7:$CF$1843,CF1185,$AW$7:$AW$1843,"&gt;"&amp;AW1185)+SUMIFS($AS$7:$AS$1843,$CF$7:$CF$1843,CF1185,$AW$7:$AW$1843,AW1185,$BW$7:$BW$1843,"&lt;="&amp;BW1185),"")</f>
        <v>26965.2590462739</v>
      </c>
      <c r="AY1185" s="58" t="n">
        <f aca="false">IF(AX1185="",0,MAX(0,MIN(1,(IF(CF1185="L1",Parameter!$H$5,IF(CF1185="L23",Parameter!$H$6+Parameter!$H$7,Parameter!$H$5+Parameter!$H$6+Parameter!$H$7))-(AX1185-AS1185))/AS1185)))</f>
        <v>1</v>
      </c>
      <c r="AZ1185" s="50" t="n">
        <f aca="false">IF(LEFT(Cockpit!$O$5,1)="A",H1185,IF(Parameter!$E$30="MAX-Bestand",IF(CH1185=1,CI1185,IF(LEFT(Cockpit!$O$5,1)="B",BF1185,MAX(BF1185,H1185))),ROUNDUP(BD1185,0)))</f>
        <v>1</v>
      </c>
      <c r="BA1185" s="50" t="n">
        <f aca="false">IF(BZ1185=1,0,ROUNDUP(AZ1185/BY1185,0))</f>
        <v>1</v>
      </c>
      <c r="BB1185" s="52" t="n">
        <f aca="false">IF(CQ1185&gt;0,CQ1185*MAX(1,AZ1185/X1185),IF(BZ1185=1,IF(AZ1185&lt;=0,0,CD1185*MAX(1,IF(H1185&gt;0,AZ1185/H1185,1))),IF(R1185&gt;0,BA1185/R1185,0))/MAX(0.1,N(Parameter!$M$21)))</f>
        <v>0.166666666666667</v>
      </c>
      <c r="BC1185" s="50" t="n">
        <f aca="false">BB1185*CB1185</f>
        <v>39.1666666666667</v>
      </c>
      <c r="BD1185" s="51" t="n">
        <f aca="false">IF(LEFT(Cockpit!$O$5,1)="A",H1185,IF(CH1185=1,(CK1185+CI1185)/2,IF(LEFT(Cockpit!$O$5,1)="B",(CK1185+BF1185)/2,MAX((CK1185+BF1185)/2,H1185))))</f>
        <v>0.5</v>
      </c>
      <c r="BE1185" s="50" t="n">
        <f aca="false">BD1185*G1185</f>
        <v>196.505</v>
      </c>
      <c r="BF1185" s="50" t="n">
        <f aca="false">ROUNDUP(CK1185+MAX(CL1185,2*(J1185/IF(CG1185&gt;0,CG1185,MAX(0.1,N(Cockpit!$O$6)))-CK1185)),0)</f>
        <v>1</v>
      </c>
      <c r="BG1185" s="51" t="n">
        <f aca="false">IF(BC1185&gt;0,J1185/BC1185,-1)</f>
        <v>0.025531914893617</v>
      </c>
      <c r="BH1185" s="51" t="n">
        <f aca="false">IF(AND(OR(CF1185="L1",CF1185="L23",CF1185="LIFT"),BC1185&gt;0),SUMIFS($BC$7:$BC$1843,$CF$7:$CF$1843,CF1185,$BG$7:$BG$1843,"&gt;"&amp;BG1185)+SUMIFS($BC$7:$BC$1843,$CF$7:$CF$1843,CF1185,$BG$7:$BG$1843,BG1185,$BW$7:$BW$1843,"&lt;="&amp;BW1185),"")</f>
        <v>22667.8665305975</v>
      </c>
      <c r="BI1185" s="58" t="n">
        <f aca="false">IF(BH1185="",0,MAX(0,MIN(1,(IF(CF1185="L1",Parameter!$H$5,IF(CF1185="L23",Parameter!$H$6+Parameter!$H$7,Parameter!$H$5+Parameter!$H$6+Parameter!$H$7))-(BH1185-BC1185))/BC1185)))</f>
        <v>1</v>
      </c>
      <c r="BJ1185" s="48" t="str">
        <f aca="false">IF(AI1185&lt;=0,"",IF(CF1185="Aussen","Aussenlager",IF(CF1185="-","Nicht im Lift",IF(AO1185&gt;=1,"Lift",IF(AO1185&lt;=0,"Aussenlager","teilweise")))))</f>
        <v>Lift</v>
      </c>
      <c r="BK1185" s="48" t="str">
        <f aca="false">IF(AS1185&lt;=0,"",IF(CF1185="Aussen","Aussenlager",IF(CF1185="-","Nicht im Lift",IF(AY1185&gt;=1,"Lift",IF(AY1185&lt;=0,"Aussenlager","teilweise")))))</f>
        <v>Lift</v>
      </c>
      <c r="BL1185" s="48" t="str">
        <f aca="false">IF(BC1185&lt;=0,"",IF(CF1185="Aussen","Aussenlager",IF(CF1185="-","Nicht im Lift",IF(BI1185&gt;=1,"Lift",IF(BI1185&lt;=0,"Aussenlager","teilweise")))))</f>
        <v>Lift</v>
      </c>
      <c r="BM1185" s="48" t="str">
        <f aca="false">IF(A1185="","",IF(BV1185=1,"Neu; ","")&amp;IF(AND(BV1185=0,BQ1185&lt;0),"negativer Bestand (Export "&amp;BQ1185&amp;"); ","")&amp;IF(J1185&lt;=0,"Kein Verbrauch; ","")&amp;IF(CQ1185&gt;0,"Lift "&amp;W1185&amp;" lt. Liftbericht (Fach "&amp;X1185&amp;" Stk); ",IF(CA1185=1,"Gebinde geschätzt ("&amp;T1185&amp;"); ",IF(BZ1185=1,"Lose – Tablare geschätzt; ","")))&amp;IF(H1185&gt;AV1185,"Überbestand "&amp;ROUND(H1185-AV1185,0)&amp;" Stk / CHF "&amp;ROUND((H1185-AV1185)*G1185,0)&amp;"; ","")&amp;IF(AND(CH1185=1,CI1185&lt;CJ1185),"MAX &lt; MB+LG; ","")&amp;IF(AND(CP1185&gt;0,CO1185*10&gt;CP1185),"zu hoch für Tablar; ","")&amp;IF(AND(BV1185=0,OR(CH1185=1,AA1185&lt;&gt;"",U1185&lt;&gt;"",V1185&lt;&gt;"",AB1185&lt;&gt;"")),"manuell übersteuert; ","")&amp;IF(AND(BZ1185=0,R1185=0),"Gebinde unbekannt / Stellmass fehlt; ","")&amp;IF(AND(BZ1185=0,N(V1185)&lt;=0,N(Q1185)&lt;=0),"Menge pro Gebinde fehlt (Ist = 1 Gebinde); ","")&amp;BU1185)</f>
        <v>negativer Bestand (Export -1); Überbestand 7 Stk / CHF 2751; </v>
      </c>
      <c r="BN1185" s="48"/>
      <c r="BO1185" s="48"/>
      <c r="BP1185" s="55"/>
      <c r="BQ1185" s="50" t="n">
        <v>-1</v>
      </c>
      <c r="BR1185" s="50" t="n">
        <v>9</v>
      </c>
      <c r="BS1185" s="49" t="n">
        <v>-393.01</v>
      </c>
      <c r="BT1185" s="50" t="n">
        <v>1</v>
      </c>
      <c r="BU1185" s="48"/>
      <c r="BV1185" s="53" t="n">
        <v>0</v>
      </c>
      <c r="BW1185" s="53" t="n">
        <v>1185</v>
      </c>
      <c r="BX1185" s="48" t="str">
        <f aca="false">IF(U1185&lt;&gt;"",UPPER(TRIM(U1185)),IF(CA1185=1,UPPER(VLOOKUP(T1185,Parameter!$I$27:$K$29,2,0)),IF(P1185="","LOSE",P1185)))</f>
        <v>S71</v>
      </c>
      <c r="BY1185" s="50" t="n">
        <f aca="false">IF(BX1185="LOSE",1,IF(N(V1185)&gt;0,V1185,IF(CA1185=1,MAX(1,N(VLOOKUP(T1185,Parameter!$I$27:$K$29,3,0)),H1185,N(N1185)),IF(N(Q1185)&gt;0,Q1185,MAX(1,H1185)))))</f>
        <v>10</v>
      </c>
      <c r="BZ1185" s="53" t="n">
        <f aca="false">IF(BX1185="LOSE",1,0)</f>
        <v>0</v>
      </c>
      <c r="CA1185" s="53" t="n">
        <f aca="false">IF(AND(U1185="",OR(P1185="",P1185="LOSE"),T1185&lt;&gt;"",N(S1185)&lt;=0,ISNUMBER(MATCH(T1185,Parameter!$I$27:$I$29,0))),1,0)</f>
        <v>0</v>
      </c>
      <c r="CB1185" s="53" t="n">
        <f aca="false">IF(CQ1185&gt;0,INDEX(Parameter!$H$5:$H$7,W1185)/INDEX(Parameter!$E$5:$E$7,W1185),IF(AND(BZ1185=0,N(IFERROR(VLOOKUP(BX1185,'Gebinde-Kategorie'!$A$5:$N$45,14,0),0))&gt;0),VLOOKUP(BX1185,'Gebinde-Kategorie'!$A$5:$N$45,14,0)*10+Parameter!$M$23,Parameter!$M$24))</f>
        <v>235</v>
      </c>
      <c r="CC1185" s="48" t="str">
        <f aca="false">IF(AND(Parameter!$B$19="Ja",E1185&lt;&gt;"",ISNUMBER(MATCH(E1185,Parameter!$I$35:$I$52,0))),VLOOKUP(E1185,Parameter!$I$35:$J$52,2,0),IFERROR(VLOOKUP(D1185,Parameter!$A$35:$C$64,2,0),"Nein"))</f>
        <v>2+3</v>
      </c>
      <c r="CD1185" s="52" t="n">
        <f aca="false">IF(BZ1185=0,0,IF(N(S1185)&gt;0,S1185,IFERROR(VLOOKUP(D1185,Parameter!$A$35:$C$64,3,0)+0,0)))</f>
        <v>0</v>
      </c>
      <c r="CE1185" s="48" t="n">
        <f aca="false">IF(AA1185&lt;&gt;"",AA1185,Z1185)</f>
        <v>2</v>
      </c>
      <c r="CF1185" s="48" t="str">
        <f aca="false">IF(OR(CE1185=1,CE1185=2,CE1185=3),IF(Parameter!$E$27="Ja","LIFT",IF(CE1185=1,"L1","L23")),IF(CE1185="Aussen","Aussen","-"))</f>
        <v>LIFT</v>
      </c>
      <c r="CG1185" s="59" t="n">
        <f aca="false">IF(N(AB1185)&gt;0,AB1185,0)</f>
        <v>0</v>
      </c>
      <c r="CH1185" s="53" t="n">
        <f aca="false">IF(ISNUMBER(AE1185),1,0)</f>
        <v>0</v>
      </c>
      <c r="CI1185" s="50" t="n">
        <f aca="false">N(AE1185)</f>
        <v>0</v>
      </c>
      <c r="CJ1185" s="50" t="n">
        <f aca="false">N(M1185)+N(N1185)</f>
        <v>1</v>
      </c>
      <c r="CK1185" s="50" t="n">
        <f aca="false">N(M1185)</f>
        <v>0</v>
      </c>
      <c r="CL1185" s="50" t="n">
        <f aca="false">N(N1185)</f>
        <v>1</v>
      </c>
      <c r="CM1185" s="50" t="n">
        <f aca="false">ROUNDUP(H1185/BY1185,0)</f>
        <v>1</v>
      </c>
      <c r="CN1185" s="50" t="n">
        <f aca="false">ROUNDUP(CI1185/BY1185,0)</f>
        <v>0</v>
      </c>
      <c r="CO1185" s="53" t="n">
        <f aca="false">IF(BZ1185=1,0,IFERROR(VLOOKUP(BX1185,'Gebinde-Kategorie'!$A$5:$N$45,5,0)+0,0))</f>
        <v>20</v>
      </c>
      <c r="CP1185" s="53" t="n">
        <f aca="false">IFERROR(IF(OR(CE1185=1,CE1185=2,CE1185=3),N(INDEX(Parameter!$I$5:$I$7,CE1185)),0),0)</f>
        <v>0</v>
      </c>
      <c r="CQ1185" s="52" t="n">
        <f aca="false">IF(AND(Parameter!$B$21="Ja",ISNUMBER(W1185),N(X1185)&gt;0),IFERROR(N(INDEX(Parameter!$L$5:$L$7,W1185))*INDEX(Parameter!$E$5:$E$7,W1185)*X1185/SUMIFS($X$7:$X$1843,$W$7:$W$1843,W1185),0),0)</f>
        <v>0</v>
      </c>
    </row>
    <row r="1186" customFormat="false" ht="15" hidden="false" customHeight="false" outlineLevel="0" collapsed="false">
      <c r="A1186" s="48" t="s">
        <v>2143</v>
      </c>
      <c r="B1186" s="48" t="s">
        <v>2144</v>
      </c>
      <c r="C1186" s="48" t="s">
        <v>173</v>
      </c>
      <c r="D1186" s="48" t="s">
        <v>182</v>
      </c>
      <c r="E1186" s="48"/>
      <c r="F1186" s="48" t="s">
        <v>227</v>
      </c>
      <c r="G1186" s="49" t="n">
        <v>393.01</v>
      </c>
      <c r="H1186" s="50" t="n">
        <f aca="false">MAX(0,IF(AND(Parameter!$B$21="Ja",ISNUMBER(Y1186)),Y1186,IF(Parameter!$B$20="Jahresanfang 2025 + Export",BR1186+BQ1186,BQ1186)))</f>
        <v>8</v>
      </c>
      <c r="I1186" s="50" t="n">
        <f aca="false">H1186*G1186</f>
        <v>3144.08</v>
      </c>
      <c r="J1186" s="50" t="n">
        <f aca="false">BT1186*Parameter!$B$18</f>
        <v>1</v>
      </c>
      <c r="K1186" s="51" t="n">
        <v>8.5</v>
      </c>
      <c r="L1186" s="52" t="n">
        <v>0.117647058823529</v>
      </c>
      <c r="M1186" s="50" t="n">
        <v>0</v>
      </c>
      <c r="N1186" s="50" t="n">
        <v>1</v>
      </c>
      <c r="O1186" s="53" t="n">
        <v>35</v>
      </c>
      <c r="P1186" s="48" t="s">
        <v>177</v>
      </c>
      <c r="Q1186" s="50"/>
      <c r="R1186" s="53" t="n">
        <f aca="false">IF(BZ1186=1,0,IFERROR(VLOOKUP(BX1186,'Gebinde-Kategorie'!$A$5:$N$45,13,0)+0,0))</f>
        <v>12</v>
      </c>
      <c r="S1186" s="54"/>
      <c r="T1186" s="55" t="s">
        <v>188</v>
      </c>
      <c r="U1186" s="55"/>
      <c r="V1186" s="55"/>
      <c r="W1186" s="48"/>
      <c r="X1186" s="50"/>
      <c r="Y1186" s="50"/>
      <c r="Z1186" s="48" t="n">
        <f aca="false">IF(A1186="","",IF(AND(Parameter!$B$21="Ja",ISNUMBER(W1186)),W1186,IF(CC1186="2+3",IF(ISNUMBER(SEARCH("grosser Artikel",BU1186)),2,IFERROR(VLOOKUP(BX1186,Parameter!$F$35:$G$64,2,0),2)),IF(OR(CC1186="Nein",CC1186=""),"-",CC1186))))</f>
        <v>2</v>
      </c>
      <c r="AA1186" s="55"/>
      <c r="AB1186" s="56"/>
      <c r="AC1186" s="50" t="n">
        <f aca="false">AV1186</f>
        <v>1</v>
      </c>
      <c r="AD1186" s="50" t="n">
        <f aca="false">MAX(AV1186,H1186)</f>
        <v>8</v>
      </c>
      <c r="AE1186" s="57"/>
      <c r="AF1186" s="50" t="n">
        <f aca="false">IF(LEFT(Cockpit!$C$5,1)="A",H1186,IF(Parameter!$E$30="MAX-Bestand",IF(CH1186=1,CI1186,IF(LEFT(Cockpit!$C$5,1)="B",AL1186,MAX(AL1186,H1186))),ROUNDUP(AJ1186,0)))</f>
        <v>8</v>
      </c>
      <c r="AG1186" s="50" t="n">
        <f aca="false">IF(BZ1186=1,0,ROUNDUP(AF1186/BY1186,0))</f>
        <v>1</v>
      </c>
      <c r="AH1186" s="52" t="n">
        <f aca="false">IF(CQ1186&gt;0,CQ1186*MAX(1,AF1186/X1186),IF(BZ1186=1,IF(AF1186&lt;=0,0,CD1186*MAX(1,IF(H1186&gt;0,AF1186/H1186,1))),IF(R1186&gt;0,AG1186/R1186,0))/MAX(0.1,N(Parameter!$M$21)))</f>
        <v>0.0833333333333333</v>
      </c>
      <c r="AI1186" s="50" t="n">
        <f aca="false">AH1186*CB1186</f>
        <v>12.0833333333333</v>
      </c>
      <c r="AJ1186" s="51" t="n">
        <f aca="false">IF(LEFT(Cockpit!$C$5,1)="A",H1186,IF(CH1186=1,(CK1186+CI1186)/2,IF(LEFT(Cockpit!$C$5,1)="B",(CK1186+AL1186)/2,MAX((CK1186+AL1186)/2,H1186))))</f>
        <v>8</v>
      </c>
      <c r="AK1186" s="50" t="n">
        <f aca="false">AJ1186*G1186</f>
        <v>3144.08</v>
      </c>
      <c r="AL1186" s="50" t="n">
        <f aca="false">ROUNDUP(CK1186+MAX(CL1186,2*(J1186/IF(CG1186&gt;0,CG1186,MAX(0.1,N(Cockpit!$C$6)))-CK1186)),0)</f>
        <v>1</v>
      </c>
      <c r="AM1186" s="51" t="n">
        <f aca="false">IF(AI1186&gt;0,J1186/AI1186,-1)</f>
        <v>0.0827586206896552</v>
      </c>
      <c r="AN1186" s="51" t="n">
        <f aca="false">IF(AND(OR(CF1186="L1",CF1186="L23",CF1186="LIFT"),AI1186&gt;0),SUMIFS($AI$7:$AI$1843,$CF$7:$CF$1843,CF1186,$AM$7:$AM$1843,"&gt;"&amp;AM1186)+SUMIFS($AI$7:$AI$1843,$CF$7:$CF$1843,CF1186,$AM$7:$AM$1843,AM1186,$BW$7:$BW$1843,"&lt;="&amp;BW1186),"")</f>
        <v>16749.857398957</v>
      </c>
      <c r="AO1186" s="58" t="n">
        <f aca="false">IF(AN1186="",0,MAX(0,MIN(1,(IF(CF1186="L1",Parameter!$H$5,IF(CF1186="L23",Parameter!$H$6+Parameter!$H$7,Parameter!$H$5+Parameter!$H$6+Parameter!$H$7))-(AN1186-AI1186))/AI1186)))</f>
        <v>1</v>
      </c>
      <c r="AP1186" s="50" t="n">
        <f aca="false">IF(LEFT(Cockpit!$I$5,1)="A",H1186,IF(Parameter!$E$30="MAX-Bestand",IF(CH1186=1,CI1186,IF(LEFT(Cockpit!$I$5,1)="B",AV1186,MAX(AV1186,H1186))),ROUNDUP(AT1186,0)))</f>
        <v>8</v>
      </c>
      <c r="AQ1186" s="50" t="n">
        <f aca="false">IF(BZ1186=1,0,ROUNDUP(AP1186/BY1186,0))</f>
        <v>1</v>
      </c>
      <c r="AR1186" s="52" t="n">
        <f aca="false">IF(CQ1186&gt;0,CQ1186*MAX(1,AP1186/X1186),IF(BZ1186=1,IF(AP1186&lt;=0,0,CD1186*MAX(1,IF(H1186&gt;0,AP1186/H1186,1))),IF(R1186&gt;0,AQ1186/R1186,0))/MAX(0.1,N(Parameter!$M$21)))</f>
        <v>0.0833333333333333</v>
      </c>
      <c r="AS1186" s="50" t="n">
        <f aca="false">AR1186*CB1186</f>
        <v>12.0833333333333</v>
      </c>
      <c r="AT1186" s="51" t="n">
        <f aca="false">IF(LEFT(Cockpit!$I$5,1)="A",H1186,IF(CH1186=1,(CK1186+CI1186)/2,IF(LEFT(Cockpit!$I$5,1)="B",(CK1186+AV1186)/2,MAX((CK1186+AV1186)/2,H1186))))</f>
        <v>8</v>
      </c>
      <c r="AU1186" s="50" t="n">
        <f aca="false">AT1186*G1186</f>
        <v>3144.08</v>
      </c>
      <c r="AV1186" s="50" t="n">
        <f aca="false">ROUNDUP(CK1186+MAX(CL1186,2*(J1186/IF(CG1186&gt;0,CG1186,MAX(0.1,N(Cockpit!$I$6)))-CK1186)),0)</f>
        <v>1</v>
      </c>
      <c r="AW1186" s="51" t="n">
        <f aca="false">IF(AS1186&gt;0,J1186/AS1186,-1)</f>
        <v>0.0827586206896552</v>
      </c>
      <c r="AX1186" s="51" t="n">
        <f aca="false">IF(AND(OR(CF1186="L1",CF1186="L23",CF1186="LIFT"),AS1186&gt;0),SUMIFS($AS$7:$AS$1843,$CF$7:$CF$1843,CF1186,$AW$7:$AW$1843,"&gt;"&amp;AW1186)+SUMIFS($AS$7:$AS$1843,$CF$7:$CF$1843,CF1186,$AW$7:$AW$1843,AW1186,$BW$7:$BW$1843,"&lt;="&amp;BW1186),"")</f>
        <v>21809.2560403344</v>
      </c>
      <c r="AY1186" s="58" t="n">
        <f aca="false">IF(AX1186="",0,MAX(0,MIN(1,(IF(CF1186="L1",Parameter!$H$5,IF(CF1186="L23",Parameter!$H$6+Parameter!$H$7,Parameter!$H$5+Parameter!$H$6+Parameter!$H$7))-(AX1186-AS1186))/AS1186)))</f>
        <v>1</v>
      </c>
      <c r="AZ1186" s="50" t="n">
        <f aca="false">IF(LEFT(Cockpit!$O$5,1)="A",H1186,IF(Parameter!$E$30="MAX-Bestand",IF(CH1186=1,CI1186,IF(LEFT(Cockpit!$O$5,1)="B",BF1186,MAX(BF1186,H1186))),ROUNDUP(BD1186,0)))</f>
        <v>1</v>
      </c>
      <c r="BA1186" s="50" t="n">
        <f aca="false">IF(BZ1186=1,0,ROUNDUP(AZ1186/BY1186,0))</f>
        <v>1</v>
      </c>
      <c r="BB1186" s="52" t="n">
        <f aca="false">IF(CQ1186&gt;0,CQ1186*MAX(1,AZ1186/X1186),IF(BZ1186=1,IF(AZ1186&lt;=0,0,CD1186*MAX(1,IF(H1186&gt;0,AZ1186/H1186,1))),IF(R1186&gt;0,BA1186/R1186,0))/MAX(0.1,N(Parameter!$M$21)))</f>
        <v>0.0833333333333333</v>
      </c>
      <c r="BC1186" s="50" t="n">
        <f aca="false">BB1186*CB1186</f>
        <v>12.0833333333333</v>
      </c>
      <c r="BD1186" s="51" t="n">
        <f aca="false">IF(LEFT(Cockpit!$O$5,1)="A",H1186,IF(CH1186=1,(CK1186+CI1186)/2,IF(LEFT(Cockpit!$O$5,1)="B",(CK1186+BF1186)/2,MAX((CK1186+BF1186)/2,H1186))))</f>
        <v>0.5</v>
      </c>
      <c r="BE1186" s="50" t="n">
        <f aca="false">BD1186*G1186</f>
        <v>196.505</v>
      </c>
      <c r="BF1186" s="50" t="n">
        <f aca="false">ROUNDUP(CK1186+MAX(CL1186,2*(J1186/IF(CG1186&gt;0,CG1186,MAX(0.1,N(Cockpit!$O$6)))-CK1186)),0)</f>
        <v>1</v>
      </c>
      <c r="BG1186" s="51" t="n">
        <f aca="false">IF(BC1186&gt;0,J1186/BC1186,-1)</f>
        <v>0.0827586206896552</v>
      </c>
      <c r="BH1186" s="51" t="n">
        <f aca="false">IF(AND(OR(CF1186="L1",CF1186="L23",CF1186="LIFT"),BC1186&gt;0),SUMIFS($BC$7:$BC$1843,$CF$7:$CF$1843,CF1186,$BG$7:$BG$1843,"&gt;"&amp;BG1186)+SUMIFS($BC$7:$BC$1843,$CF$7:$CF$1843,CF1186,$BG$7:$BG$1843,BG1186,$BW$7:$BW$1843,"&lt;="&amp;BW1186),"")</f>
        <v>18347.3122426067</v>
      </c>
      <c r="BI1186" s="58" t="n">
        <f aca="false">IF(BH1186="",0,MAX(0,MIN(1,(IF(CF1186="L1",Parameter!$H$5,IF(CF1186="L23",Parameter!$H$6+Parameter!$H$7,Parameter!$H$5+Parameter!$H$6+Parameter!$H$7))-(BH1186-BC1186))/BC1186)))</f>
        <v>1</v>
      </c>
      <c r="BJ1186" s="48" t="str">
        <f aca="false">IF(AI1186&lt;=0,"",IF(CF1186="Aussen","Aussenlager",IF(CF1186="-","Nicht im Lift",IF(AO1186&gt;=1,"Lift",IF(AO1186&lt;=0,"Aussenlager","teilweise")))))</f>
        <v>Lift</v>
      </c>
      <c r="BK1186" s="48" t="str">
        <f aca="false">IF(AS1186&lt;=0,"",IF(CF1186="Aussen","Aussenlager",IF(CF1186="-","Nicht im Lift",IF(AY1186&gt;=1,"Lift",IF(AY1186&lt;=0,"Aussenlager","teilweise")))))</f>
        <v>Lift</v>
      </c>
      <c r="BL1186" s="48" t="str">
        <f aca="false">IF(BC1186&lt;=0,"",IF(CF1186="Aussen","Aussenlager",IF(CF1186="-","Nicht im Lift",IF(BI1186&gt;=1,"Lift",IF(BI1186&lt;=0,"Aussenlager","teilweise")))))</f>
        <v>Lift</v>
      </c>
      <c r="BM1186" s="48" t="str">
        <f aca="false">IF(A1186="","",IF(BV1186=1,"Neu; ","")&amp;IF(AND(BV1186=0,BQ1186&lt;0),"negativer Bestand (Export "&amp;BQ1186&amp;"); ","")&amp;IF(J1186&lt;=0,"Kein Verbrauch; ","")&amp;IF(CQ1186&gt;0,"Lift "&amp;W1186&amp;" lt. Liftbericht (Fach "&amp;X1186&amp;" Stk); ",IF(CA1186=1,"Gebinde geschätzt ("&amp;T1186&amp;"); ",IF(BZ1186=1,"Lose – Tablare geschätzt; ","")))&amp;IF(H1186&gt;AV1186,"Überbestand "&amp;ROUND(H1186-AV1186,0)&amp;" Stk / CHF "&amp;ROUND((H1186-AV1186)*G1186,0)&amp;"; ","")&amp;IF(AND(CH1186=1,CI1186&lt;CJ1186),"MAX &lt; MB+LG; ","")&amp;IF(AND(CP1186&gt;0,CO1186*10&gt;CP1186),"zu hoch für Tablar; ","")&amp;IF(AND(BV1186=0,OR(CH1186=1,AA1186&lt;&gt;"",U1186&lt;&gt;"",V1186&lt;&gt;"",AB1186&lt;&gt;"")),"manuell übersteuert; ","")&amp;IF(AND(BZ1186=0,R1186=0),"Gebinde unbekannt / Stellmass fehlt; ","")&amp;IF(AND(BZ1186=0,N(V1186)&lt;=0,N(Q1186)&lt;=0),"Menge pro Gebinde fehlt (Ist = 1 Gebinde); ","")&amp;BU1186)</f>
        <v>negativer Bestand (Export -1); Gebinde geschätzt (Mittel); Überbestand 7 Stk / CHF 2751; Menge pro Gebinde fehlt (Ist = 1 Gebinde); </v>
      </c>
      <c r="BN1186" s="48"/>
      <c r="BO1186" s="48"/>
      <c r="BP1186" s="55"/>
      <c r="BQ1186" s="50" t="n">
        <v>-1</v>
      </c>
      <c r="BR1186" s="50" t="n">
        <v>9</v>
      </c>
      <c r="BS1186" s="49" t="n">
        <v>-393.01</v>
      </c>
      <c r="BT1186" s="50" t="n">
        <v>1</v>
      </c>
      <c r="BU1186" s="48"/>
      <c r="BV1186" s="53" t="n">
        <v>0</v>
      </c>
      <c r="BW1186" s="53" t="n">
        <v>1186</v>
      </c>
      <c r="BX1186" s="48" t="str">
        <f aca="false">IF(U1186&lt;&gt;"",UPPER(TRIM(U1186)),IF(CA1186=1,UPPER(VLOOKUP(T1186,Parameter!$I$27:$K$29,2,0)),IF(P1186="","LOSE",P1186)))</f>
        <v>S61</v>
      </c>
      <c r="BY1186" s="50" t="n">
        <f aca="false">IF(BX1186="LOSE",1,IF(N(V1186)&gt;0,V1186,IF(CA1186=1,MAX(1,N(VLOOKUP(T1186,Parameter!$I$27:$K$29,3,0)),H1186,N(N1186)),IF(N(Q1186)&gt;0,Q1186,MAX(1,H1186)))))</f>
        <v>8</v>
      </c>
      <c r="BZ1186" s="53" t="n">
        <f aca="false">IF(BX1186="LOSE",1,0)</f>
        <v>0</v>
      </c>
      <c r="CA1186" s="53" t="n">
        <f aca="false">IF(AND(U1186="",OR(P1186="",P1186="LOSE"),T1186&lt;&gt;"",N(S1186)&lt;=0,ISNUMBER(MATCH(T1186,Parameter!$I$27:$I$29,0))),1,0)</f>
        <v>1</v>
      </c>
      <c r="CB1186" s="53" t="n">
        <f aca="false">IF(CQ1186&gt;0,INDEX(Parameter!$H$5:$H$7,W1186)/INDEX(Parameter!$E$5:$E$7,W1186),IF(AND(BZ1186=0,N(IFERROR(VLOOKUP(BX1186,'Gebinde-Kategorie'!$A$5:$N$45,14,0),0))&gt;0),VLOOKUP(BX1186,'Gebinde-Kategorie'!$A$5:$N$45,14,0)*10+Parameter!$M$23,Parameter!$M$24))</f>
        <v>145</v>
      </c>
      <c r="CC1186" s="48" t="str">
        <f aca="false">IF(AND(Parameter!$B$19="Ja",E1186&lt;&gt;"",ISNUMBER(MATCH(E1186,Parameter!$I$35:$I$52,0))),VLOOKUP(E1186,Parameter!$I$35:$J$52,2,0),IFERROR(VLOOKUP(D1186,Parameter!$A$35:$C$64,2,0),"Nein"))</f>
        <v>2+3</v>
      </c>
      <c r="CD1186" s="52" t="n">
        <f aca="false">IF(BZ1186=0,0,IF(N(S1186)&gt;0,S1186,IFERROR(VLOOKUP(D1186,Parameter!$A$35:$C$64,3,0)+0,0)))</f>
        <v>0</v>
      </c>
      <c r="CE1186" s="48" t="n">
        <f aca="false">IF(AA1186&lt;&gt;"",AA1186,Z1186)</f>
        <v>2</v>
      </c>
      <c r="CF1186" s="48" t="str">
        <f aca="false">IF(OR(CE1186=1,CE1186=2,CE1186=3),IF(Parameter!$E$27="Ja","LIFT",IF(CE1186=1,"L1","L23")),IF(CE1186="Aussen","Aussen","-"))</f>
        <v>LIFT</v>
      </c>
      <c r="CG1186" s="59" t="n">
        <f aca="false">IF(N(AB1186)&gt;0,AB1186,0)</f>
        <v>0</v>
      </c>
      <c r="CH1186" s="53" t="n">
        <f aca="false">IF(ISNUMBER(AE1186),1,0)</f>
        <v>0</v>
      </c>
      <c r="CI1186" s="50" t="n">
        <f aca="false">N(AE1186)</f>
        <v>0</v>
      </c>
      <c r="CJ1186" s="50" t="n">
        <f aca="false">N(M1186)+N(N1186)</f>
        <v>1</v>
      </c>
      <c r="CK1186" s="50" t="n">
        <f aca="false">N(M1186)</f>
        <v>0</v>
      </c>
      <c r="CL1186" s="50" t="n">
        <f aca="false">N(N1186)</f>
        <v>1</v>
      </c>
      <c r="CM1186" s="50" t="n">
        <f aca="false">ROUNDUP(H1186/BY1186,0)</f>
        <v>1</v>
      </c>
      <c r="CN1186" s="50" t="n">
        <f aca="false">ROUNDUP(CI1186/BY1186,0)</f>
        <v>0</v>
      </c>
      <c r="CO1186" s="53" t="n">
        <f aca="false">IF(BZ1186=1,0,IFERROR(VLOOKUP(BX1186,'Gebinde-Kategorie'!$A$5:$N$45,5,0)+0,0))</f>
        <v>11</v>
      </c>
      <c r="CP1186" s="53" t="n">
        <f aca="false">IFERROR(IF(OR(CE1186=1,CE1186=2,CE1186=3),N(INDEX(Parameter!$I$5:$I$7,CE1186)),0),0)</f>
        <v>0</v>
      </c>
      <c r="CQ1186" s="52" t="n">
        <f aca="false">IF(AND(Parameter!$B$21="Ja",ISNUMBER(W1186),N(X1186)&gt;0),IFERROR(N(INDEX(Parameter!$L$5:$L$7,W1186))*INDEX(Parameter!$E$5:$E$7,W1186)*X1186/SUMIFS($X$7:$X$1843,$W$7:$W$1843,W1186),0),0)</f>
        <v>0</v>
      </c>
    </row>
    <row r="1187" customFormat="false" ht="15" hidden="false" customHeight="false" outlineLevel="0" collapsed="false">
      <c r="A1187" s="48" t="s">
        <v>2145</v>
      </c>
      <c r="B1187" s="48" t="s">
        <v>2146</v>
      </c>
      <c r="C1187" s="48" t="s">
        <v>173</v>
      </c>
      <c r="D1187" s="48" t="s">
        <v>182</v>
      </c>
      <c r="E1187" s="48"/>
      <c r="F1187" s="48" t="s">
        <v>227</v>
      </c>
      <c r="G1187" s="49" t="n">
        <v>46.89</v>
      </c>
      <c r="H1187" s="50" t="n">
        <f aca="false">MAX(0,IF(AND(Parameter!$B$21="Ja",ISNUMBER(Y1187)),Y1187,IF(Parameter!$B$20="Jahresanfang 2025 + Export",BR1187+BQ1187,BQ1187)))</f>
        <v>7</v>
      </c>
      <c r="I1187" s="50" t="n">
        <f aca="false">H1187*G1187</f>
        <v>328.23</v>
      </c>
      <c r="J1187" s="50" t="n">
        <f aca="false">BT1187*Parameter!$B$18</f>
        <v>12</v>
      </c>
      <c r="K1187" s="51" t="n">
        <v>11.5</v>
      </c>
      <c r="L1187" s="52" t="n">
        <v>1.04347826086957</v>
      </c>
      <c r="M1187" s="50" t="n">
        <v>1</v>
      </c>
      <c r="N1187" s="50" t="n">
        <v>10</v>
      </c>
      <c r="O1187" s="53" t="n">
        <v>42</v>
      </c>
      <c r="P1187" s="48" t="s">
        <v>177</v>
      </c>
      <c r="Q1187" s="50"/>
      <c r="R1187" s="53" t="n">
        <f aca="false">IF(BZ1187=1,0,IFERROR(VLOOKUP(BX1187,'Gebinde-Kategorie'!$A$5:$N$45,13,0)+0,0))</f>
        <v>12</v>
      </c>
      <c r="S1187" s="54"/>
      <c r="T1187" s="55" t="s">
        <v>188</v>
      </c>
      <c r="U1187" s="55"/>
      <c r="V1187" s="55"/>
      <c r="W1187" s="48"/>
      <c r="X1187" s="50"/>
      <c r="Y1187" s="50"/>
      <c r="Z1187" s="48" t="n">
        <f aca="false">IF(A1187="","",IF(AND(Parameter!$B$21="Ja",ISNUMBER(W1187)),W1187,IF(CC1187="2+3",IF(ISNUMBER(SEARCH("grosser Artikel",BU1187)),2,IFERROR(VLOOKUP(BX1187,Parameter!$F$35:$G$64,2,0),2)),IF(OR(CC1187="Nein",CC1187=""),"-",CC1187))))</f>
        <v>2</v>
      </c>
      <c r="AA1187" s="55"/>
      <c r="AB1187" s="56"/>
      <c r="AC1187" s="50" t="n">
        <f aca="false">AV1187</f>
        <v>11</v>
      </c>
      <c r="AD1187" s="50" t="n">
        <f aca="false">MAX(AV1187,H1187)</f>
        <v>11</v>
      </c>
      <c r="AE1187" s="57"/>
      <c r="AF1187" s="50" t="n">
        <f aca="false">IF(LEFT(Cockpit!$C$5,1)="A",H1187,IF(Parameter!$E$30="MAX-Bestand",IF(CH1187=1,CI1187,IF(LEFT(Cockpit!$C$5,1)="B",AL1187,MAX(AL1187,H1187))),ROUNDUP(AJ1187,0)))</f>
        <v>7</v>
      </c>
      <c r="AG1187" s="50" t="n">
        <f aca="false">IF(BZ1187=1,0,ROUNDUP(AF1187/BY1187,0))</f>
        <v>1</v>
      </c>
      <c r="AH1187" s="52" t="n">
        <f aca="false">IF(CQ1187&gt;0,CQ1187*MAX(1,AF1187/X1187),IF(BZ1187=1,IF(AF1187&lt;=0,0,CD1187*MAX(1,IF(H1187&gt;0,AF1187/H1187,1))),IF(R1187&gt;0,AG1187/R1187,0))/MAX(0.1,N(Parameter!$M$21)))</f>
        <v>0.0833333333333333</v>
      </c>
      <c r="AI1187" s="50" t="n">
        <f aca="false">AH1187*CB1187</f>
        <v>12.0833333333333</v>
      </c>
      <c r="AJ1187" s="51" t="n">
        <f aca="false">IF(LEFT(Cockpit!$C$5,1)="A",H1187,IF(CH1187=1,(CK1187+CI1187)/2,IF(LEFT(Cockpit!$C$5,1)="B",(CK1187+AL1187)/2,MAX((CK1187+AL1187)/2,H1187))))</f>
        <v>7</v>
      </c>
      <c r="AK1187" s="50" t="n">
        <f aca="false">AJ1187*G1187</f>
        <v>328.23</v>
      </c>
      <c r="AL1187" s="50" t="n">
        <f aca="false">ROUNDUP(CK1187+MAX(CL1187,2*(J1187/IF(CG1187&gt;0,CG1187,MAX(0.1,N(Cockpit!$C$6)))-CK1187)),0)</f>
        <v>11</v>
      </c>
      <c r="AM1187" s="51" t="n">
        <f aca="false">IF(AI1187&gt;0,J1187/AI1187,-1)</f>
        <v>0.993103448275862</v>
      </c>
      <c r="AN1187" s="51" t="n">
        <f aca="false">IF(AND(OR(CF1187="L1",CF1187="L23",CF1187="LIFT"),AI1187&gt;0),SUMIFS($AI$7:$AI$1843,$CF$7:$CF$1843,CF1187,$AM$7:$AM$1843,"&gt;"&amp;AM1187)+SUMIFS($AI$7:$AI$1843,$CF$7:$CF$1843,CF1187,$AM$7:$AM$1843,AM1187,$BW$7:$BW$1843,"&lt;="&amp;BW1187),"")</f>
        <v>7074.60943223443</v>
      </c>
      <c r="AO1187" s="58" t="n">
        <f aca="false">IF(AN1187="",0,MAX(0,MIN(1,(IF(CF1187="L1",Parameter!$H$5,IF(CF1187="L23",Parameter!$H$6+Parameter!$H$7,Parameter!$H$5+Parameter!$H$6+Parameter!$H$7))-(AN1187-AI1187))/AI1187)))</f>
        <v>1</v>
      </c>
      <c r="AP1187" s="50" t="n">
        <f aca="false">IF(LEFT(Cockpit!$I$5,1)="A",H1187,IF(Parameter!$E$30="MAX-Bestand",IF(CH1187=1,CI1187,IF(LEFT(Cockpit!$I$5,1)="B",AV1187,MAX(AV1187,H1187))),ROUNDUP(AT1187,0)))</f>
        <v>7</v>
      </c>
      <c r="AQ1187" s="50" t="n">
        <f aca="false">IF(BZ1187=1,0,ROUNDUP(AP1187/BY1187,0))</f>
        <v>1</v>
      </c>
      <c r="AR1187" s="52" t="n">
        <f aca="false">IF(CQ1187&gt;0,CQ1187*MAX(1,AP1187/X1187),IF(BZ1187=1,IF(AP1187&lt;=0,0,CD1187*MAX(1,IF(H1187&gt;0,AP1187/H1187,1))),IF(R1187&gt;0,AQ1187/R1187,0))/MAX(0.1,N(Parameter!$M$21)))</f>
        <v>0.0833333333333333</v>
      </c>
      <c r="AS1187" s="50" t="n">
        <f aca="false">AR1187*CB1187</f>
        <v>12.0833333333333</v>
      </c>
      <c r="AT1187" s="51" t="n">
        <f aca="false">IF(LEFT(Cockpit!$I$5,1)="A",H1187,IF(CH1187=1,(CK1187+CI1187)/2,IF(LEFT(Cockpit!$I$5,1)="B",(CK1187+AV1187)/2,MAX((CK1187+AV1187)/2,H1187))))</f>
        <v>7</v>
      </c>
      <c r="AU1187" s="50" t="n">
        <f aca="false">AT1187*G1187</f>
        <v>328.23</v>
      </c>
      <c r="AV1187" s="50" t="n">
        <f aca="false">ROUNDUP(CK1187+MAX(CL1187,2*(J1187/IF(CG1187&gt;0,CG1187,MAX(0.1,N(Cockpit!$I$6)))-CK1187)),0)</f>
        <v>11</v>
      </c>
      <c r="AW1187" s="51" t="n">
        <f aca="false">IF(AS1187&gt;0,J1187/AS1187,-1)</f>
        <v>0.993103448275862</v>
      </c>
      <c r="AX1187" s="51" t="n">
        <f aca="false">IF(AND(OR(CF1187="L1",CF1187="L23",CF1187="LIFT"),AS1187&gt;0),SUMIFS($AS$7:$AS$1843,$CF$7:$CF$1843,CF1187,$AW$7:$AW$1843,"&gt;"&amp;AW1187)+SUMIFS($AS$7:$AS$1843,$CF$7:$CF$1843,CF1187,$AW$7:$AW$1843,AW1187,$BW$7:$BW$1843,"&lt;="&amp;BW1187),"")</f>
        <v>8446.29304029304</v>
      </c>
      <c r="AY1187" s="58" t="n">
        <f aca="false">IF(AX1187="",0,MAX(0,MIN(1,(IF(CF1187="L1",Parameter!$H$5,IF(CF1187="L23",Parameter!$H$6+Parameter!$H$7,Parameter!$H$5+Parameter!$H$6+Parameter!$H$7))-(AX1187-AS1187))/AS1187)))</f>
        <v>1</v>
      </c>
      <c r="AZ1187" s="50" t="n">
        <f aca="false">IF(LEFT(Cockpit!$O$5,1)="A",H1187,IF(Parameter!$E$30="MAX-Bestand",IF(CH1187=1,CI1187,IF(LEFT(Cockpit!$O$5,1)="B",BF1187,MAX(BF1187,H1187))),ROUNDUP(BD1187,0)))</f>
        <v>6</v>
      </c>
      <c r="BA1187" s="50" t="n">
        <f aca="false">IF(BZ1187=1,0,ROUNDUP(AZ1187/BY1187,0))</f>
        <v>1</v>
      </c>
      <c r="BB1187" s="52" t="n">
        <f aca="false">IF(CQ1187&gt;0,CQ1187*MAX(1,AZ1187/X1187),IF(BZ1187=1,IF(AZ1187&lt;=0,0,CD1187*MAX(1,IF(H1187&gt;0,AZ1187/H1187,1))),IF(R1187&gt;0,BA1187/R1187,0))/MAX(0.1,N(Parameter!$M$21)))</f>
        <v>0.0833333333333333</v>
      </c>
      <c r="BC1187" s="50" t="n">
        <f aca="false">BB1187*CB1187</f>
        <v>12.0833333333333</v>
      </c>
      <c r="BD1187" s="51" t="n">
        <f aca="false">IF(LEFT(Cockpit!$O$5,1)="A",H1187,IF(CH1187=1,(CK1187+CI1187)/2,IF(LEFT(Cockpit!$O$5,1)="B",(CK1187+BF1187)/2,MAX((CK1187+BF1187)/2,H1187))))</f>
        <v>6</v>
      </c>
      <c r="BE1187" s="50" t="n">
        <f aca="false">BD1187*G1187</f>
        <v>281.34</v>
      </c>
      <c r="BF1187" s="50" t="n">
        <f aca="false">ROUNDUP(CK1187+MAX(CL1187,2*(J1187/IF(CG1187&gt;0,CG1187,MAX(0.1,N(Cockpit!$O$6)))-CK1187)),0)</f>
        <v>11</v>
      </c>
      <c r="BG1187" s="51" t="n">
        <f aca="false">IF(BC1187&gt;0,J1187/BC1187,-1)</f>
        <v>0.993103448275862</v>
      </c>
      <c r="BH1187" s="51" t="n">
        <f aca="false">IF(AND(OR(CF1187="L1",CF1187="L23",CF1187="LIFT"),BC1187&gt;0),SUMIFS($BC$7:$BC$1843,$CF$7:$CF$1843,CF1187,$BG$7:$BG$1843,"&gt;"&amp;BG1187)+SUMIFS($BC$7:$BC$1843,$CF$7:$CF$1843,CF1187,$BG$7:$BG$1843,BG1187,$BW$7:$BW$1843,"&lt;="&amp;BW1187),"")</f>
        <v>7684.40613553114</v>
      </c>
      <c r="BI1187" s="58" t="n">
        <f aca="false">IF(BH1187="",0,MAX(0,MIN(1,(IF(CF1187="L1",Parameter!$H$5,IF(CF1187="L23",Parameter!$H$6+Parameter!$H$7,Parameter!$H$5+Parameter!$H$6+Parameter!$H$7))-(BH1187-BC1187))/BC1187)))</f>
        <v>1</v>
      </c>
      <c r="BJ1187" s="48" t="str">
        <f aca="false">IF(AI1187&lt;=0,"",IF(CF1187="Aussen","Aussenlager",IF(CF1187="-","Nicht im Lift",IF(AO1187&gt;=1,"Lift",IF(AO1187&lt;=0,"Aussenlager","teilweise")))))</f>
        <v>Lift</v>
      </c>
      <c r="BK1187" s="48" t="str">
        <f aca="false">IF(AS1187&lt;=0,"",IF(CF1187="Aussen","Aussenlager",IF(CF1187="-","Nicht im Lift",IF(AY1187&gt;=1,"Lift",IF(AY1187&lt;=0,"Aussenlager","teilweise")))))</f>
        <v>Lift</v>
      </c>
      <c r="BL1187" s="48" t="str">
        <f aca="false">IF(BC1187&lt;=0,"",IF(CF1187="Aussen","Aussenlager",IF(CF1187="-","Nicht im Lift",IF(BI1187&gt;=1,"Lift",IF(BI1187&lt;=0,"Aussenlager","teilweise")))))</f>
        <v>Lift</v>
      </c>
      <c r="BM1187" s="48" t="str">
        <f aca="false">IF(A1187="","",IF(BV1187=1,"Neu; ","")&amp;IF(AND(BV1187=0,BQ1187&lt;0),"negativer Bestand (Export "&amp;BQ1187&amp;"); ","")&amp;IF(J1187&lt;=0,"Kein Verbrauch; ","")&amp;IF(CQ1187&gt;0,"Lift "&amp;W1187&amp;" lt. Liftbericht (Fach "&amp;X1187&amp;" Stk); ",IF(CA1187=1,"Gebinde geschätzt ("&amp;T1187&amp;"); ",IF(BZ1187=1,"Lose – Tablare geschätzt; ","")))&amp;IF(H1187&gt;AV1187,"Überbestand "&amp;ROUND(H1187-AV1187,0)&amp;" Stk / CHF "&amp;ROUND((H1187-AV1187)*G1187,0)&amp;"; ","")&amp;IF(AND(CH1187=1,CI1187&lt;CJ1187),"MAX &lt; MB+LG; ","")&amp;IF(AND(CP1187&gt;0,CO1187*10&gt;CP1187),"zu hoch für Tablar; ","")&amp;IF(AND(BV1187=0,OR(CH1187=1,AA1187&lt;&gt;"",U1187&lt;&gt;"",V1187&lt;&gt;"",AB1187&lt;&gt;"")),"manuell übersteuert; ","")&amp;IF(AND(BZ1187=0,R1187=0),"Gebinde unbekannt / Stellmass fehlt; ","")&amp;IF(AND(BZ1187=0,N(V1187)&lt;=0,N(Q1187)&lt;=0),"Menge pro Gebinde fehlt (Ist = 1 Gebinde); ","")&amp;BU1187)</f>
        <v>negativer Bestand (Export -7); Gebinde geschätzt (Mittel); Menge pro Gebinde fehlt (Ist = 1 Gebinde); </v>
      </c>
      <c r="BN1187" s="48"/>
      <c r="BO1187" s="48"/>
      <c r="BP1187" s="55"/>
      <c r="BQ1187" s="50" t="n">
        <v>-7</v>
      </c>
      <c r="BR1187" s="50" t="n">
        <v>14</v>
      </c>
      <c r="BS1187" s="49" t="n">
        <v>-410.27</v>
      </c>
      <c r="BT1187" s="50" t="n">
        <v>12</v>
      </c>
      <c r="BU1187" s="48"/>
      <c r="BV1187" s="53" t="n">
        <v>0</v>
      </c>
      <c r="BW1187" s="53" t="n">
        <v>1187</v>
      </c>
      <c r="BX1187" s="48" t="str">
        <f aca="false">IF(U1187&lt;&gt;"",UPPER(TRIM(U1187)),IF(CA1187=1,UPPER(VLOOKUP(T1187,Parameter!$I$27:$K$29,2,0)),IF(P1187="","LOSE",P1187)))</f>
        <v>S61</v>
      </c>
      <c r="BY1187" s="50" t="n">
        <f aca="false">IF(BX1187="LOSE",1,IF(N(V1187)&gt;0,V1187,IF(CA1187=1,MAX(1,N(VLOOKUP(T1187,Parameter!$I$27:$K$29,3,0)),H1187,N(N1187)),IF(N(Q1187)&gt;0,Q1187,MAX(1,H1187)))))</f>
        <v>10</v>
      </c>
      <c r="BZ1187" s="53" t="n">
        <f aca="false">IF(BX1187="LOSE",1,0)</f>
        <v>0</v>
      </c>
      <c r="CA1187" s="53" t="n">
        <f aca="false">IF(AND(U1187="",OR(P1187="",P1187="LOSE"),T1187&lt;&gt;"",N(S1187)&lt;=0,ISNUMBER(MATCH(T1187,Parameter!$I$27:$I$29,0))),1,0)</f>
        <v>1</v>
      </c>
      <c r="CB1187" s="53" t="n">
        <f aca="false">IF(CQ1187&gt;0,INDEX(Parameter!$H$5:$H$7,W1187)/INDEX(Parameter!$E$5:$E$7,W1187),IF(AND(BZ1187=0,N(IFERROR(VLOOKUP(BX1187,'Gebinde-Kategorie'!$A$5:$N$45,14,0),0))&gt;0),VLOOKUP(BX1187,'Gebinde-Kategorie'!$A$5:$N$45,14,0)*10+Parameter!$M$23,Parameter!$M$24))</f>
        <v>145</v>
      </c>
      <c r="CC1187" s="48" t="str">
        <f aca="false">IF(AND(Parameter!$B$19="Ja",E1187&lt;&gt;"",ISNUMBER(MATCH(E1187,Parameter!$I$35:$I$52,0))),VLOOKUP(E1187,Parameter!$I$35:$J$52,2,0),IFERROR(VLOOKUP(D1187,Parameter!$A$35:$C$64,2,0),"Nein"))</f>
        <v>2+3</v>
      </c>
      <c r="CD1187" s="52" t="n">
        <f aca="false">IF(BZ1187=0,0,IF(N(S1187)&gt;0,S1187,IFERROR(VLOOKUP(D1187,Parameter!$A$35:$C$64,3,0)+0,0)))</f>
        <v>0</v>
      </c>
      <c r="CE1187" s="48" t="n">
        <f aca="false">IF(AA1187&lt;&gt;"",AA1187,Z1187)</f>
        <v>2</v>
      </c>
      <c r="CF1187" s="48" t="str">
        <f aca="false">IF(OR(CE1187=1,CE1187=2,CE1187=3),IF(Parameter!$E$27="Ja","LIFT",IF(CE1187=1,"L1","L23")),IF(CE1187="Aussen","Aussen","-"))</f>
        <v>LIFT</v>
      </c>
      <c r="CG1187" s="59" t="n">
        <f aca="false">IF(N(AB1187)&gt;0,AB1187,0)</f>
        <v>0</v>
      </c>
      <c r="CH1187" s="53" t="n">
        <f aca="false">IF(ISNUMBER(AE1187),1,0)</f>
        <v>0</v>
      </c>
      <c r="CI1187" s="50" t="n">
        <f aca="false">N(AE1187)</f>
        <v>0</v>
      </c>
      <c r="CJ1187" s="50" t="n">
        <f aca="false">N(M1187)+N(N1187)</f>
        <v>11</v>
      </c>
      <c r="CK1187" s="50" t="n">
        <f aca="false">N(M1187)</f>
        <v>1</v>
      </c>
      <c r="CL1187" s="50" t="n">
        <f aca="false">N(N1187)</f>
        <v>10</v>
      </c>
      <c r="CM1187" s="50" t="n">
        <f aca="false">ROUNDUP(H1187/BY1187,0)</f>
        <v>1</v>
      </c>
      <c r="CN1187" s="50" t="n">
        <f aca="false">ROUNDUP(CI1187/BY1187,0)</f>
        <v>0</v>
      </c>
      <c r="CO1187" s="53" t="n">
        <f aca="false">IF(BZ1187=1,0,IFERROR(VLOOKUP(BX1187,'Gebinde-Kategorie'!$A$5:$N$45,5,0)+0,0))</f>
        <v>11</v>
      </c>
      <c r="CP1187" s="53" t="n">
        <f aca="false">IFERROR(IF(OR(CE1187=1,CE1187=2,CE1187=3),N(INDEX(Parameter!$I$5:$I$7,CE1187)),0),0)</f>
        <v>0</v>
      </c>
      <c r="CQ1187" s="52" t="n">
        <f aca="false">IF(AND(Parameter!$B$21="Ja",ISNUMBER(W1187),N(X1187)&gt;0),IFERROR(N(INDEX(Parameter!$L$5:$L$7,W1187))*INDEX(Parameter!$E$5:$E$7,W1187)*X1187/SUMIFS($X$7:$X$1843,$W$7:$W$1843,W1187),0),0)</f>
        <v>0</v>
      </c>
    </row>
    <row r="1188" customFormat="false" ht="15" hidden="false" customHeight="false" outlineLevel="0" collapsed="false">
      <c r="A1188" s="48" t="s">
        <v>2147</v>
      </c>
      <c r="B1188" s="48" t="s">
        <v>2148</v>
      </c>
      <c r="C1188" s="48" t="s">
        <v>173</v>
      </c>
      <c r="D1188" s="48" t="s">
        <v>182</v>
      </c>
      <c r="E1188" s="48" t="s">
        <v>474</v>
      </c>
      <c r="F1188" s="48" t="s">
        <v>227</v>
      </c>
      <c r="G1188" s="49" t="n">
        <v>457</v>
      </c>
      <c r="H1188" s="50" t="n">
        <f aca="false">MAX(0,IF(AND(Parameter!$B$21="Ja",ISNUMBER(Y1188)),Y1188,IF(Parameter!$B$20="Jahresanfang 2025 + Export",BR1188+BQ1188,BQ1188)))</f>
        <v>1</v>
      </c>
      <c r="I1188" s="50" t="n">
        <f aca="false">H1188*G1188</f>
        <v>457</v>
      </c>
      <c r="J1188" s="50" t="n">
        <f aca="false">BT1188*Parameter!$B$18</f>
        <v>3</v>
      </c>
      <c r="K1188" s="51" t="n">
        <v>1.5</v>
      </c>
      <c r="L1188" s="52" t="n">
        <v>2</v>
      </c>
      <c r="M1188" s="50" t="n">
        <v>0</v>
      </c>
      <c r="N1188" s="50" t="n">
        <v>5</v>
      </c>
      <c r="O1188" s="53" t="n">
        <v>21</v>
      </c>
      <c r="P1188" s="48" t="s">
        <v>177</v>
      </c>
      <c r="Q1188" s="50"/>
      <c r="R1188" s="53" t="n">
        <f aca="false">IF(BZ1188=1,0,IFERROR(VLOOKUP(BX1188,'Gebinde-Kategorie'!$A$5:$N$45,13,0)+0,0))</f>
        <v>12</v>
      </c>
      <c r="S1188" s="54"/>
      <c r="T1188" s="55" t="s">
        <v>188</v>
      </c>
      <c r="U1188" s="55"/>
      <c r="V1188" s="55"/>
      <c r="W1188" s="48"/>
      <c r="X1188" s="50"/>
      <c r="Y1188" s="50"/>
      <c r="Z1188" s="48" t="str">
        <f aca="false">IF(A1188="","",IF(AND(Parameter!$B$21="Ja",ISNUMBER(W1188)),W1188,IF(CC1188="2+3",IF(ISNUMBER(SEARCH("grosser Artikel",BU1188)),2,IFERROR(VLOOKUP(BX1188,Parameter!$F$35:$G$64,2,0),2)),IF(OR(CC1188="Nein",CC1188=""),"-",CC1188))))</f>
        <v>-</v>
      </c>
      <c r="AA1188" s="55"/>
      <c r="AB1188" s="56"/>
      <c r="AC1188" s="50" t="n">
        <f aca="false">AV1188</f>
        <v>5</v>
      </c>
      <c r="AD1188" s="50" t="n">
        <f aca="false">MAX(AV1188,H1188)</f>
        <v>5</v>
      </c>
      <c r="AE1188" s="57"/>
      <c r="AF1188" s="50" t="n">
        <f aca="false">IF(LEFT(Cockpit!$C$5,1)="A",H1188,IF(Parameter!$E$30="MAX-Bestand",IF(CH1188=1,CI1188,IF(LEFT(Cockpit!$C$5,1)="B",AL1188,MAX(AL1188,H1188))),ROUNDUP(AJ1188,0)))</f>
        <v>1</v>
      </c>
      <c r="AG1188" s="50" t="n">
        <f aca="false">IF(BZ1188=1,0,ROUNDUP(AF1188/BY1188,0))</f>
        <v>1</v>
      </c>
      <c r="AH1188" s="52" t="n">
        <f aca="false">IF(CQ1188&gt;0,CQ1188*MAX(1,AF1188/X1188),IF(BZ1188=1,IF(AF1188&lt;=0,0,CD1188*MAX(1,IF(H1188&gt;0,AF1188/H1188,1))),IF(R1188&gt;0,AG1188/R1188,0))/MAX(0.1,N(Parameter!$M$21)))</f>
        <v>0.0833333333333333</v>
      </c>
      <c r="AI1188" s="50" t="n">
        <f aca="false">AH1188*CB1188</f>
        <v>12.0833333333333</v>
      </c>
      <c r="AJ1188" s="51" t="n">
        <f aca="false">IF(LEFT(Cockpit!$C$5,1)="A",H1188,IF(CH1188=1,(CK1188+CI1188)/2,IF(LEFT(Cockpit!$C$5,1)="B",(CK1188+AL1188)/2,MAX((CK1188+AL1188)/2,H1188))))</f>
        <v>1</v>
      </c>
      <c r="AK1188" s="50" t="n">
        <f aca="false">AJ1188*G1188</f>
        <v>457</v>
      </c>
      <c r="AL1188" s="50" t="n">
        <f aca="false">ROUNDUP(CK1188+MAX(CL1188,2*(J1188/IF(CG1188&gt;0,CG1188,MAX(0.1,N(Cockpit!$C$6)))-CK1188)),0)</f>
        <v>5</v>
      </c>
      <c r="AM1188" s="51" t="n">
        <f aca="false">IF(AI1188&gt;0,J1188/AI1188,-1)</f>
        <v>0.248275862068966</v>
      </c>
      <c r="AN1188" s="51" t="str">
        <f aca="false">IF(AND(OR(CF1188="L1",CF1188="L23",CF1188="LIFT"),AI1188&gt;0),SUMIFS($AI$7:$AI$1843,$CF$7:$CF$1843,CF1188,$AM$7:$AM$1843,"&gt;"&amp;AM1188)+SUMIFS($AI$7:$AI$1843,$CF$7:$CF$1843,CF1188,$AM$7:$AM$1843,AM1188,$BW$7:$BW$1843,"&lt;="&amp;BW1188),"")</f>
        <v/>
      </c>
      <c r="AO1188" s="58" t="n">
        <f aca="false">IF(AN1188="",0,MAX(0,MIN(1,(IF(CF1188="L1",Parameter!$H$5,IF(CF1188="L23",Parameter!$H$6+Parameter!$H$7,Parameter!$H$5+Parameter!$H$6+Parameter!$H$7))-(AN1188-AI1188))/AI1188)))</f>
        <v>0</v>
      </c>
      <c r="AP1188" s="50" t="n">
        <f aca="false">IF(LEFT(Cockpit!$I$5,1)="A",H1188,IF(Parameter!$E$30="MAX-Bestand",IF(CH1188=1,CI1188,IF(LEFT(Cockpit!$I$5,1)="B",AV1188,MAX(AV1188,H1188))),ROUNDUP(AT1188,0)))</f>
        <v>3</v>
      </c>
      <c r="AQ1188" s="50" t="n">
        <f aca="false">IF(BZ1188=1,0,ROUNDUP(AP1188/BY1188,0))</f>
        <v>1</v>
      </c>
      <c r="AR1188" s="52" t="n">
        <f aca="false">IF(CQ1188&gt;0,CQ1188*MAX(1,AP1188/X1188),IF(BZ1188=1,IF(AP1188&lt;=0,0,CD1188*MAX(1,IF(H1188&gt;0,AP1188/H1188,1))),IF(R1188&gt;0,AQ1188/R1188,0))/MAX(0.1,N(Parameter!$M$21)))</f>
        <v>0.0833333333333333</v>
      </c>
      <c r="AS1188" s="50" t="n">
        <f aca="false">AR1188*CB1188</f>
        <v>12.0833333333333</v>
      </c>
      <c r="AT1188" s="51" t="n">
        <f aca="false">IF(LEFT(Cockpit!$I$5,1)="A",H1188,IF(CH1188=1,(CK1188+CI1188)/2,IF(LEFT(Cockpit!$I$5,1)="B",(CK1188+AV1188)/2,MAX((CK1188+AV1188)/2,H1188))))</f>
        <v>2.5</v>
      </c>
      <c r="AU1188" s="50" t="n">
        <f aca="false">AT1188*G1188</f>
        <v>1142.5</v>
      </c>
      <c r="AV1188" s="50" t="n">
        <f aca="false">ROUNDUP(CK1188+MAX(CL1188,2*(J1188/IF(CG1188&gt;0,CG1188,MAX(0.1,N(Cockpit!$I$6)))-CK1188)),0)</f>
        <v>5</v>
      </c>
      <c r="AW1188" s="51" t="n">
        <f aca="false">IF(AS1188&gt;0,J1188/AS1188,-1)</f>
        <v>0.248275862068966</v>
      </c>
      <c r="AX1188" s="51" t="str">
        <f aca="false">IF(AND(OR(CF1188="L1",CF1188="L23",CF1188="LIFT"),AS1188&gt;0),SUMIFS($AS$7:$AS$1843,$CF$7:$CF$1843,CF1188,$AW$7:$AW$1843,"&gt;"&amp;AW1188)+SUMIFS($AS$7:$AS$1843,$CF$7:$CF$1843,CF1188,$AW$7:$AW$1843,AW1188,$BW$7:$BW$1843,"&lt;="&amp;BW1188),"")</f>
        <v/>
      </c>
      <c r="AY1188" s="58" t="n">
        <f aca="false">IF(AX1188="",0,MAX(0,MIN(1,(IF(CF1188="L1",Parameter!$H$5,IF(CF1188="L23",Parameter!$H$6+Parameter!$H$7,Parameter!$H$5+Parameter!$H$6+Parameter!$H$7))-(AX1188-AS1188))/AS1188)))</f>
        <v>0</v>
      </c>
      <c r="AZ1188" s="50" t="n">
        <f aca="false">IF(LEFT(Cockpit!$O$5,1)="A",H1188,IF(Parameter!$E$30="MAX-Bestand",IF(CH1188=1,CI1188,IF(LEFT(Cockpit!$O$5,1)="B",BF1188,MAX(BF1188,H1188))),ROUNDUP(BD1188,0)))</f>
        <v>3</v>
      </c>
      <c r="BA1188" s="50" t="n">
        <f aca="false">IF(BZ1188=1,0,ROUNDUP(AZ1188/BY1188,0))</f>
        <v>1</v>
      </c>
      <c r="BB1188" s="52" t="n">
        <f aca="false">IF(CQ1188&gt;0,CQ1188*MAX(1,AZ1188/X1188),IF(BZ1188=1,IF(AZ1188&lt;=0,0,CD1188*MAX(1,IF(H1188&gt;0,AZ1188/H1188,1))),IF(R1188&gt;0,BA1188/R1188,0))/MAX(0.1,N(Parameter!$M$21)))</f>
        <v>0.0833333333333333</v>
      </c>
      <c r="BC1188" s="50" t="n">
        <f aca="false">BB1188*CB1188</f>
        <v>12.0833333333333</v>
      </c>
      <c r="BD1188" s="51" t="n">
        <f aca="false">IF(LEFT(Cockpit!$O$5,1)="A",H1188,IF(CH1188=1,(CK1188+CI1188)/2,IF(LEFT(Cockpit!$O$5,1)="B",(CK1188+BF1188)/2,MAX((CK1188+BF1188)/2,H1188))))</f>
        <v>2.5</v>
      </c>
      <c r="BE1188" s="50" t="n">
        <f aca="false">BD1188*G1188</f>
        <v>1142.5</v>
      </c>
      <c r="BF1188" s="50" t="n">
        <f aca="false">ROUNDUP(CK1188+MAX(CL1188,2*(J1188/IF(CG1188&gt;0,CG1188,MAX(0.1,N(Cockpit!$O$6)))-CK1188)),0)</f>
        <v>5</v>
      </c>
      <c r="BG1188" s="51" t="n">
        <f aca="false">IF(BC1188&gt;0,J1188/BC1188,-1)</f>
        <v>0.248275862068966</v>
      </c>
      <c r="BH1188" s="51" t="str">
        <f aca="false">IF(AND(OR(CF1188="L1",CF1188="L23",CF1188="LIFT"),BC1188&gt;0),SUMIFS($BC$7:$BC$1843,$CF$7:$CF$1843,CF1188,$BG$7:$BG$1843,"&gt;"&amp;BG1188)+SUMIFS($BC$7:$BC$1843,$CF$7:$CF$1843,CF1188,$BG$7:$BG$1843,BG1188,$BW$7:$BW$1843,"&lt;="&amp;BW1188),"")</f>
        <v/>
      </c>
      <c r="BI1188" s="58" t="n">
        <f aca="false">IF(BH1188="",0,MAX(0,MIN(1,(IF(CF1188="L1",Parameter!$H$5,IF(CF1188="L23",Parameter!$H$6+Parameter!$H$7,Parameter!$H$5+Parameter!$H$6+Parameter!$H$7))-(BH1188-BC1188))/BC1188)))</f>
        <v>0</v>
      </c>
      <c r="BJ1188" s="48" t="str">
        <f aca="false">IF(AI1188&lt;=0,"",IF(CF1188="Aussen","Aussenlager",IF(CF1188="-","Nicht im Lift",IF(AO1188&gt;=1,"Lift",IF(AO1188&lt;=0,"Aussenlager","teilweise")))))</f>
        <v>Nicht im Lift</v>
      </c>
      <c r="BK1188" s="48" t="str">
        <f aca="false">IF(AS1188&lt;=0,"",IF(CF1188="Aussen","Aussenlager",IF(CF1188="-","Nicht im Lift",IF(AY1188&gt;=1,"Lift",IF(AY1188&lt;=0,"Aussenlager","teilweise")))))</f>
        <v>Nicht im Lift</v>
      </c>
      <c r="BL1188" s="48" t="str">
        <f aca="false">IF(BC1188&lt;=0,"",IF(CF1188="Aussen","Aussenlager",IF(CF1188="-","Nicht im Lift",IF(BI1188&gt;=1,"Lift",IF(BI1188&lt;=0,"Aussenlager","teilweise")))))</f>
        <v>Nicht im Lift</v>
      </c>
      <c r="BM1188" s="48" t="str">
        <f aca="false">IF(A1188="","",IF(BV1188=1,"Neu; ","")&amp;IF(AND(BV1188=0,BQ1188&lt;0),"negativer Bestand (Export "&amp;BQ1188&amp;"); ","")&amp;IF(J1188&lt;=0,"Kein Verbrauch; ","")&amp;IF(CQ1188&gt;0,"Lift "&amp;W1188&amp;" lt. Liftbericht (Fach "&amp;X1188&amp;" Stk); ",IF(CA1188=1,"Gebinde geschätzt ("&amp;T1188&amp;"); ",IF(BZ1188=1,"Lose – Tablare geschätzt; ","")))&amp;IF(H1188&gt;AV1188,"Überbestand "&amp;ROUND(H1188-AV1188,0)&amp;" Stk / CHF "&amp;ROUND((H1188-AV1188)*G1188,0)&amp;"; ","")&amp;IF(AND(CH1188=1,CI1188&lt;CJ1188),"MAX &lt; MB+LG; ","")&amp;IF(AND(CP1188&gt;0,CO1188*10&gt;CP1188),"zu hoch für Tablar; ","")&amp;IF(AND(BV1188=0,OR(CH1188=1,AA1188&lt;&gt;"",U1188&lt;&gt;"",V1188&lt;&gt;"",AB1188&lt;&gt;"")),"manuell übersteuert; ","")&amp;IF(AND(BZ1188=0,R1188=0),"Gebinde unbekannt / Stellmass fehlt; ","")&amp;IF(AND(BZ1188=0,N(V1188)&lt;=0,N(Q1188)&lt;=0),"Menge pro Gebinde fehlt (Ist = 1 Gebinde); ","")&amp;BU1188)</f>
        <v>negativer Bestand (Export -1); Gebinde geschätzt (Mittel); Menge pro Gebinde fehlt (Ist = 1 Gebinde); </v>
      </c>
      <c r="BN1188" s="48"/>
      <c r="BO1188" s="48"/>
      <c r="BP1188" s="55"/>
      <c r="BQ1188" s="50" t="n">
        <v>-1</v>
      </c>
      <c r="BR1188" s="50" t="n">
        <v>2</v>
      </c>
      <c r="BS1188" s="49" t="n">
        <v>-412.34</v>
      </c>
      <c r="BT1188" s="50" t="n">
        <v>3</v>
      </c>
      <c r="BU1188" s="48"/>
      <c r="BV1188" s="53" t="n">
        <v>0</v>
      </c>
      <c r="BW1188" s="53" t="n">
        <v>1188</v>
      </c>
      <c r="BX1188" s="48" t="str">
        <f aca="false">IF(U1188&lt;&gt;"",UPPER(TRIM(U1188)),IF(CA1188=1,UPPER(VLOOKUP(T1188,Parameter!$I$27:$K$29,2,0)),IF(P1188="","LOSE",P1188)))</f>
        <v>S61</v>
      </c>
      <c r="BY1188" s="50" t="n">
        <f aca="false">IF(BX1188="LOSE",1,IF(N(V1188)&gt;0,V1188,IF(CA1188=1,MAX(1,N(VLOOKUP(T1188,Parameter!$I$27:$K$29,3,0)),H1188,N(N1188)),IF(N(Q1188)&gt;0,Q1188,MAX(1,H1188)))))</f>
        <v>5</v>
      </c>
      <c r="BZ1188" s="53" t="n">
        <f aca="false">IF(BX1188="LOSE",1,0)</f>
        <v>0</v>
      </c>
      <c r="CA1188" s="53" t="n">
        <f aca="false">IF(AND(U1188="",OR(P1188="",P1188="LOSE"),T1188&lt;&gt;"",N(S1188)&lt;=0,ISNUMBER(MATCH(T1188,Parameter!$I$27:$I$29,0))),1,0)</f>
        <v>1</v>
      </c>
      <c r="CB1188" s="53" t="n">
        <f aca="false">IF(CQ1188&gt;0,INDEX(Parameter!$H$5:$H$7,W1188)/INDEX(Parameter!$E$5:$E$7,W1188),IF(AND(BZ1188=0,N(IFERROR(VLOOKUP(BX1188,'Gebinde-Kategorie'!$A$5:$N$45,14,0),0))&gt;0),VLOOKUP(BX1188,'Gebinde-Kategorie'!$A$5:$N$45,14,0)*10+Parameter!$M$23,Parameter!$M$24))</f>
        <v>145</v>
      </c>
      <c r="CC1188" s="48" t="str">
        <f aca="false">IF(AND(Parameter!$B$19="Ja",E1188&lt;&gt;"",ISNUMBER(MATCH(E1188,Parameter!$I$35:$I$52,0))),VLOOKUP(E1188,Parameter!$I$35:$J$52,2,0),IFERROR(VLOOKUP(D1188,Parameter!$A$35:$C$64,2,0),"Nein"))</f>
        <v>Nein</v>
      </c>
      <c r="CD1188" s="52" t="n">
        <f aca="false">IF(BZ1188=0,0,IF(N(S1188)&gt;0,S1188,IFERROR(VLOOKUP(D1188,Parameter!$A$35:$C$64,3,0)+0,0)))</f>
        <v>0</v>
      </c>
      <c r="CE1188" s="48" t="str">
        <f aca="false">IF(AA1188&lt;&gt;"",AA1188,Z1188)</f>
        <v>-</v>
      </c>
      <c r="CF1188" s="48" t="str">
        <f aca="false">IF(OR(CE1188=1,CE1188=2,CE1188=3),IF(Parameter!$E$27="Ja","LIFT",IF(CE1188=1,"L1","L23")),IF(CE1188="Aussen","Aussen","-"))</f>
        <v>-</v>
      </c>
      <c r="CG1188" s="59" t="n">
        <f aca="false">IF(N(AB1188)&gt;0,AB1188,0)</f>
        <v>0</v>
      </c>
      <c r="CH1188" s="53" t="n">
        <f aca="false">IF(ISNUMBER(AE1188),1,0)</f>
        <v>0</v>
      </c>
      <c r="CI1188" s="50" t="n">
        <f aca="false">N(AE1188)</f>
        <v>0</v>
      </c>
      <c r="CJ1188" s="50" t="n">
        <f aca="false">N(M1188)+N(N1188)</f>
        <v>5</v>
      </c>
      <c r="CK1188" s="50" t="n">
        <f aca="false">N(M1188)</f>
        <v>0</v>
      </c>
      <c r="CL1188" s="50" t="n">
        <f aca="false">N(N1188)</f>
        <v>5</v>
      </c>
      <c r="CM1188" s="50" t="n">
        <f aca="false">ROUNDUP(H1188/BY1188,0)</f>
        <v>1</v>
      </c>
      <c r="CN1188" s="50" t="n">
        <f aca="false">ROUNDUP(CI1188/BY1188,0)</f>
        <v>0</v>
      </c>
      <c r="CO1188" s="53" t="n">
        <f aca="false">IF(BZ1188=1,0,IFERROR(VLOOKUP(BX1188,'Gebinde-Kategorie'!$A$5:$N$45,5,0)+0,0))</f>
        <v>11</v>
      </c>
      <c r="CP1188" s="53" t="n">
        <f aca="false">IFERROR(IF(OR(CE1188=1,CE1188=2,CE1188=3),N(INDEX(Parameter!$I$5:$I$7,CE1188)),0),0)</f>
        <v>0</v>
      </c>
      <c r="CQ1188" s="52" t="n">
        <f aca="false">IF(AND(Parameter!$B$21="Ja",ISNUMBER(W1188),N(X1188)&gt;0),IFERROR(N(INDEX(Parameter!$L$5:$L$7,W1188))*INDEX(Parameter!$E$5:$E$7,W1188)*X1188/SUMIFS($X$7:$X$1843,$W$7:$W$1843,W1188),0),0)</f>
        <v>0</v>
      </c>
    </row>
    <row r="1189" customFormat="false" ht="15" hidden="false" customHeight="false" outlineLevel="0" collapsed="false">
      <c r="A1189" s="48" t="s">
        <v>2149</v>
      </c>
      <c r="B1189" s="48" t="s">
        <v>1504</v>
      </c>
      <c r="C1189" s="48" t="s">
        <v>173</v>
      </c>
      <c r="D1189" s="48" t="s">
        <v>193</v>
      </c>
      <c r="E1189" s="48"/>
      <c r="F1189" s="48" t="s">
        <v>227</v>
      </c>
      <c r="G1189" s="49" t="n">
        <v>2.2</v>
      </c>
      <c r="H1189" s="50" t="n">
        <f aca="false">MAX(0,IF(AND(Parameter!$B$21="Ja",ISNUMBER(Y1189)),Y1189,IF(Parameter!$B$20="Jahresanfang 2025 + Export",BR1189+BQ1189,BQ1189)))</f>
        <v>792</v>
      </c>
      <c r="I1189" s="50" t="n">
        <f aca="false">H1189*G1189</f>
        <v>1742.4</v>
      </c>
      <c r="J1189" s="50" t="n">
        <f aca="false">BT1189*Parameter!$B$18</f>
        <v>118</v>
      </c>
      <c r="K1189" s="51" t="n">
        <v>936</v>
      </c>
      <c r="L1189" s="52" t="n">
        <v>0.126068376068376</v>
      </c>
      <c r="M1189" s="50" t="n">
        <v>6</v>
      </c>
      <c r="N1189" s="50" t="n">
        <v>120</v>
      </c>
      <c r="O1189" s="53" t="n">
        <v>21</v>
      </c>
      <c r="P1189" s="48" t="s">
        <v>410</v>
      </c>
      <c r="Q1189" s="50" t="n">
        <v>800</v>
      </c>
      <c r="R1189" s="53" t="n">
        <f aca="false">IF(BZ1189=1,0,IFERROR(VLOOKUP(BX1189,'Gebinde-Kategorie'!$A$5:$N$45,13,0)+0,0))</f>
        <v>280</v>
      </c>
      <c r="S1189" s="54"/>
      <c r="T1189" s="55"/>
      <c r="U1189" s="55"/>
      <c r="V1189" s="55"/>
      <c r="W1189" s="48"/>
      <c r="X1189" s="50"/>
      <c r="Y1189" s="50"/>
      <c r="Z1189" s="48" t="n">
        <f aca="false">IF(A1189="","",IF(AND(Parameter!$B$21="Ja",ISNUMBER(W1189)),W1189,IF(CC1189="2+3",IF(ISNUMBER(SEARCH("grosser Artikel",BU1189)),2,IFERROR(VLOOKUP(BX1189,Parameter!$F$35:$G$64,2,0),2)),IF(OR(CC1189="Nein",CC1189=""),"-",CC1189))))</f>
        <v>3</v>
      </c>
      <c r="AA1189" s="55"/>
      <c r="AB1189" s="56"/>
      <c r="AC1189" s="50" t="n">
        <f aca="false">AV1189</f>
        <v>126</v>
      </c>
      <c r="AD1189" s="50" t="n">
        <f aca="false">MAX(AV1189,H1189)</f>
        <v>792</v>
      </c>
      <c r="AE1189" s="57"/>
      <c r="AF1189" s="50" t="n">
        <f aca="false">IF(LEFT(Cockpit!$C$5,1)="A",H1189,IF(Parameter!$E$30="MAX-Bestand",IF(CH1189=1,CI1189,IF(LEFT(Cockpit!$C$5,1)="B",AL1189,MAX(AL1189,H1189))),ROUNDUP(AJ1189,0)))</f>
        <v>792</v>
      </c>
      <c r="AG1189" s="50" t="n">
        <f aca="false">IF(BZ1189=1,0,ROUNDUP(AF1189/BY1189,0))</f>
        <v>1</v>
      </c>
      <c r="AH1189" s="52" t="n">
        <f aca="false">IF(CQ1189&gt;0,CQ1189*MAX(1,AF1189/X1189),IF(BZ1189=1,IF(AF1189&lt;=0,0,CD1189*MAX(1,IF(H1189&gt;0,AF1189/H1189,1))),IF(R1189&gt;0,AG1189/R1189,0))/MAX(0.1,N(Parameter!$M$21)))</f>
        <v>0.00357142857142857</v>
      </c>
      <c r="AI1189" s="50" t="n">
        <f aca="false">AH1189*CB1189</f>
        <v>0.553571428571429</v>
      </c>
      <c r="AJ1189" s="51" t="n">
        <f aca="false">IF(LEFT(Cockpit!$C$5,1)="A",H1189,IF(CH1189=1,(CK1189+CI1189)/2,IF(LEFT(Cockpit!$C$5,1)="B",(CK1189+AL1189)/2,MAX((CK1189+AL1189)/2,H1189))))</f>
        <v>792</v>
      </c>
      <c r="AK1189" s="50" t="n">
        <f aca="false">AJ1189*G1189</f>
        <v>1742.4</v>
      </c>
      <c r="AL1189" s="50" t="n">
        <f aca="false">ROUNDUP(CK1189+MAX(CL1189,2*(J1189/IF(CG1189&gt;0,CG1189,MAX(0.1,N(Cockpit!$C$6)))-CK1189)),0)</f>
        <v>126</v>
      </c>
      <c r="AM1189" s="51" t="n">
        <f aca="false">IF(AI1189&gt;0,J1189/AI1189,-1)</f>
        <v>213.161290322581</v>
      </c>
      <c r="AN1189" s="51" t="n">
        <f aca="false">IF(AND(OR(CF1189="L1",CF1189="L23",CF1189="LIFT"),AI1189&gt;0),SUMIFS($AI$7:$AI$1843,$CF$7:$CF$1843,CF1189,$AM$7:$AM$1843,"&gt;"&amp;AM1189)+SUMIFS($AI$7:$AI$1843,$CF$7:$CF$1843,CF1189,$AM$7:$AM$1843,AM1189,$BW$7:$BW$1843,"&lt;="&amp;BW1189),"")</f>
        <v>323.012820512821</v>
      </c>
      <c r="AO1189" s="58" t="n">
        <f aca="false">IF(AN1189="",0,MAX(0,MIN(1,(IF(CF1189="L1",Parameter!$H$5,IF(CF1189="L23",Parameter!$H$6+Parameter!$H$7,Parameter!$H$5+Parameter!$H$6+Parameter!$H$7))-(AN1189-AI1189))/AI1189)))</f>
        <v>1</v>
      </c>
      <c r="AP1189" s="50" t="n">
        <f aca="false">IF(LEFT(Cockpit!$I$5,1)="A",H1189,IF(Parameter!$E$30="MAX-Bestand",IF(CH1189=1,CI1189,IF(LEFT(Cockpit!$I$5,1)="B",AV1189,MAX(AV1189,H1189))),ROUNDUP(AT1189,0)))</f>
        <v>792</v>
      </c>
      <c r="AQ1189" s="50" t="n">
        <f aca="false">IF(BZ1189=1,0,ROUNDUP(AP1189/BY1189,0))</f>
        <v>1</v>
      </c>
      <c r="AR1189" s="52" t="n">
        <f aca="false">IF(CQ1189&gt;0,CQ1189*MAX(1,AP1189/X1189),IF(BZ1189=1,IF(AP1189&lt;=0,0,CD1189*MAX(1,IF(H1189&gt;0,AP1189/H1189,1))),IF(R1189&gt;0,AQ1189/R1189,0))/MAX(0.1,N(Parameter!$M$21)))</f>
        <v>0.00357142857142857</v>
      </c>
      <c r="AS1189" s="50" t="n">
        <f aca="false">AR1189*CB1189</f>
        <v>0.553571428571429</v>
      </c>
      <c r="AT1189" s="51" t="n">
        <f aca="false">IF(LEFT(Cockpit!$I$5,1)="A",H1189,IF(CH1189=1,(CK1189+CI1189)/2,IF(LEFT(Cockpit!$I$5,1)="B",(CK1189+AV1189)/2,MAX((CK1189+AV1189)/2,H1189))))</f>
        <v>792</v>
      </c>
      <c r="AU1189" s="50" t="n">
        <f aca="false">AT1189*G1189</f>
        <v>1742.4</v>
      </c>
      <c r="AV1189" s="50" t="n">
        <f aca="false">ROUNDUP(CK1189+MAX(CL1189,2*(J1189/IF(CG1189&gt;0,CG1189,MAX(0.1,N(Cockpit!$I$6)))-CK1189)),0)</f>
        <v>126</v>
      </c>
      <c r="AW1189" s="51" t="n">
        <f aca="false">IF(AS1189&gt;0,J1189/AS1189,-1)</f>
        <v>213.161290322581</v>
      </c>
      <c r="AX1189" s="51" t="n">
        <f aca="false">IF(AND(OR(CF1189="L1",CF1189="L23",CF1189="LIFT"),AS1189&gt;0),SUMIFS($AS$7:$AS$1843,$CF$7:$CF$1843,CF1189,$AW$7:$AW$1843,"&gt;"&amp;AW1189)+SUMIFS($AS$7:$AS$1843,$CF$7:$CF$1843,CF1189,$AW$7:$AW$1843,AW1189,$BW$7:$BW$1843,"&lt;="&amp;BW1189),"")</f>
        <v>432.188186813187</v>
      </c>
      <c r="AY1189" s="58" t="n">
        <f aca="false">IF(AX1189="",0,MAX(0,MIN(1,(IF(CF1189="L1",Parameter!$H$5,IF(CF1189="L23",Parameter!$H$6+Parameter!$H$7,Parameter!$H$5+Parameter!$H$6+Parameter!$H$7))-(AX1189-AS1189))/AS1189)))</f>
        <v>1</v>
      </c>
      <c r="AZ1189" s="50" t="n">
        <f aca="false">IF(LEFT(Cockpit!$O$5,1)="A",H1189,IF(Parameter!$E$30="MAX-Bestand",IF(CH1189=1,CI1189,IF(LEFT(Cockpit!$O$5,1)="B",BF1189,MAX(BF1189,H1189))),ROUNDUP(BD1189,0)))</f>
        <v>66</v>
      </c>
      <c r="BA1189" s="50" t="n">
        <f aca="false">IF(BZ1189=1,0,ROUNDUP(AZ1189/BY1189,0))</f>
        <v>1</v>
      </c>
      <c r="BB1189" s="52" t="n">
        <f aca="false">IF(CQ1189&gt;0,CQ1189*MAX(1,AZ1189/X1189),IF(BZ1189=1,IF(AZ1189&lt;=0,0,CD1189*MAX(1,IF(H1189&gt;0,AZ1189/H1189,1))),IF(R1189&gt;0,BA1189/R1189,0))/MAX(0.1,N(Parameter!$M$21)))</f>
        <v>0.00357142857142857</v>
      </c>
      <c r="BC1189" s="50" t="n">
        <f aca="false">BB1189*CB1189</f>
        <v>0.553571428571429</v>
      </c>
      <c r="BD1189" s="51" t="n">
        <f aca="false">IF(LEFT(Cockpit!$O$5,1)="A",H1189,IF(CH1189=1,(CK1189+CI1189)/2,IF(LEFT(Cockpit!$O$5,1)="B",(CK1189+BF1189)/2,MAX((CK1189+BF1189)/2,H1189))))</f>
        <v>66</v>
      </c>
      <c r="BE1189" s="50" t="n">
        <f aca="false">BD1189*G1189</f>
        <v>145.2</v>
      </c>
      <c r="BF1189" s="50" t="n">
        <f aca="false">ROUNDUP(CK1189+MAX(CL1189,2*(J1189/IF(CG1189&gt;0,CG1189,MAX(0.1,N(Cockpit!$O$6)))-CK1189)),0)</f>
        <v>126</v>
      </c>
      <c r="BG1189" s="51" t="n">
        <f aca="false">IF(BC1189&gt;0,J1189/BC1189,-1)</f>
        <v>213.161290322581</v>
      </c>
      <c r="BH1189" s="51" t="n">
        <f aca="false">IF(AND(OR(CF1189="L1",CF1189="L23",CF1189="LIFT"),BC1189&gt;0),SUMIFS($BC$7:$BC$1843,$CF$7:$CF$1843,CF1189,$BG$7:$BG$1843,"&gt;"&amp;BG1189)+SUMIFS($BC$7:$BC$1843,$CF$7:$CF$1843,CF1189,$BG$7:$BG$1843,BG1189,$BW$7:$BW$1843,"&lt;="&amp;BW1189),"")</f>
        <v>408.100274725275</v>
      </c>
      <c r="BI1189" s="58" t="n">
        <f aca="false">IF(BH1189="",0,MAX(0,MIN(1,(IF(CF1189="L1",Parameter!$H$5,IF(CF1189="L23",Parameter!$H$6+Parameter!$H$7,Parameter!$H$5+Parameter!$H$6+Parameter!$H$7))-(BH1189-BC1189))/BC1189)))</f>
        <v>1</v>
      </c>
      <c r="BJ1189" s="48" t="str">
        <f aca="false">IF(AI1189&lt;=0,"",IF(CF1189="Aussen","Aussenlager",IF(CF1189="-","Nicht im Lift",IF(AO1189&gt;=1,"Lift",IF(AO1189&lt;=0,"Aussenlager","teilweise")))))</f>
        <v>Lift</v>
      </c>
      <c r="BK1189" s="48" t="str">
        <f aca="false">IF(AS1189&lt;=0,"",IF(CF1189="Aussen","Aussenlager",IF(CF1189="-","Nicht im Lift",IF(AY1189&gt;=1,"Lift",IF(AY1189&lt;=0,"Aussenlager","teilweise")))))</f>
        <v>Lift</v>
      </c>
      <c r="BL1189" s="48" t="str">
        <f aca="false">IF(BC1189&lt;=0,"",IF(CF1189="Aussen","Aussenlager",IF(CF1189="-","Nicht im Lift",IF(BI1189&gt;=1,"Lift",IF(BI1189&lt;=0,"Aussenlager","teilweise")))))</f>
        <v>Lift</v>
      </c>
      <c r="BM1189" s="48" t="str">
        <f aca="false">IF(A1189="","",IF(BV1189=1,"Neu; ","")&amp;IF(AND(BV1189=0,BQ1189&lt;0),"negativer Bestand (Export "&amp;BQ1189&amp;"); ","")&amp;IF(J1189&lt;=0,"Kein Verbrauch; ","")&amp;IF(CQ1189&gt;0,"Lift "&amp;W1189&amp;" lt. Liftbericht (Fach "&amp;X1189&amp;" Stk); ",IF(CA1189=1,"Gebinde geschätzt ("&amp;T1189&amp;"); ",IF(BZ1189=1,"Lose – Tablare geschätzt; ","")))&amp;IF(H1189&gt;AV1189,"Überbestand "&amp;ROUND(H1189-AV1189,0)&amp;" Stk / CHF "&amp;ROUND((H1189-AV1189)*G1189,0)&amp;"; ","")&amp;IF(AND(CH1189=1,CI1189&lt;CJ1189),"MAX &lt; MB+LG; ","")&amp;IF(AND(CP1189&gt;0,CO1189*10&gt;CP1189),"zu hoch für Tablar; ","")&amp;IF(AND(BV1189=0,OR(CH1189=1,AA1189&lt;&gt;"",U1189&lt;&gt;"",V1189&lt;&gt;"",AB1189&lt;&gt;"")),"manuell übersteuert; ","")&amp;IF(AND(BZ1189=0,R1189=0),"Gebinde unbekannt / Stellmass fehlt; ","")&amp;IF(AND(BZ1189=0,N(V1189)&lt;=0,N(Q1189)&lt;=0),"Menge pro Gebinde fehlt (Ist = 1 Gebinde); ","")&amp;BU1189)</f>
        <v>negativer Bestand (Export -188); Überbestand 666 Stk / CHF 1465; </v>
      </c>
      <c r="BN1189" s="48"/>
      <c r="BO1189" s="48"/>
      <c r="BP1189" s="55"/>
      <c r="BQ1189" s="50" t="n">
        <v>-188</v>
      </c>
      <c r="BR1189" s="50" t="n">
        <v>980</v>
      </c>
      <c r="BS1189" s="49" t="n">
        <v>-413.6</v>
      </c>
      <c r="BT1189" s="50" t="n">
        <v>118</v>
      </c>
      <c r="BU1189" s="48"/>
      <c r="BV1189" s="53" t="n">
        <v>0</v>
      </c>
      <c r="BW1189" s="53" t="n">
        <v>1189</v>
      </c>
      <c r="BX1189" s="48" t="str">
        <f aca="false">IF(U1189&lt;&gt;"",UPPER(TRIM(U1189)),IF(CA1189=1,UPPER(VLOOKUP(T1189,Parameter!$I$27:$K$29,2,0)),IF(P1189="","LOSE",P1189)))</f>
        <v>S21</v>
      </c>
      <c r="BY1189" s="50" t="n">
        <f aca="false">IF(BX1189="LOSE",1,IF(N(V1189)&gt;0,V1189,IF(CA1189=1,MAX(1,N(VLOOKUP(T1189,Parameter!$I$27:$K$29,3,0)),H1189,N(N1189)),IF(N(Q1189)&gt;0,Q1189,MAX(1,H1189)))))</f>
        <v>800</v>
      </c>
      <c r="BZ1189" s="53" t="n">
        <f aca="false">IF(BX1189="LOSE",1,0)</f>
        <v>0</v>
      </c>
      <c r="CA1189" s="53" t="n">
        <f aca="false">IF(AND(U1189="",OR(P1189="",P1189="LOSE"),T1189&lt;&gt;"",N(S1189)&lt;=0,ISNUMBER(MATCH(T1189,Parameter!$I$27:$I$29,0))),1,0)</f>
        <v>0</v>
      </c>
      <c r="CB1189" s="53" t="n">
        <f aca="false">IF(CQ1189&gt;0,INDEX(Parameter!$H$5:$H$7,W1189)/INDEX(Parameter!$E$5:$E$7,W1189),IF(AND(BZ1189=0,N(IFERROR(VLOOKUP(BX1189,'Gebinde-Kategorie'!$A$5:$N$45,14,0),0))&gt;0),VLOOKUP(BX1189,'Gebinde-Kategorie'!$A$5:$N$45,14,0)*10+Parameter!$M$23,Parameter!$M$24))</f>
        <v>155</v>
      </c>
      <c r="CC1189" s="48" t="str">
        <f aca="false">IF(AND(Parameter!$B$19="Ja",E1189&lt;&gt;"",ISNUMBER(MATCH(E1189,Parameter!$I$35:$I$52,0))),VLOOKUP(E1189,Parameter!$I$35:$J$52,2,0),IFERROR(VLOOKUP(D1189,Parameter!$A$35:$C$64,2,0),"Nein"))</f>
        <v>2+3</v>
      </c>
      <c r="CD1189" s="52" t="n">
        <f aca="false">IF(BZ1189=0,0,IF(N(S1189)&gt;0,S1189,IFERROR(VLOOKUP(D1189,Parameter!$A$35:$C$64,3,0)+0,0)))</f>
        <v>0</v>
      </c>
      <c r="CE1189" s="48" t="n">
        <f aca="false">IF(AA1189&lt;&gt;"",AA1189,Z1189)</f>
        <v>3</v>
      </c>
      <c r="CF1189" s="48" t="str">
        <f aca="false">IF(OR(CE1189=1,CE1189=2,CE1189=3),IF(Parameter!$E$27="Ja","LIFT",IF(CE1189=1,"L1","L23")),IF(CE1189="Aussen","Aussen","-"))</f>
        <v>LIFT</v>
      </c>
      <c r="CG1189" s="59" t="n">
        <f aca="false">IF(N(AB1189)&gt;0,AB1189,0)</f>
        <v>0</v>
      </c>
      <c r="CH1189" s="53" t="n">
        <f aca="false">IF(ISNUMBER(AE1189),1,0)</f>
        <v>0</v>
      </c>
      <c r="CI1189" s="50" t="n">
        <f aca="false">N(AE1189)</f>
        <v>0</v>
      </c>
      <c r="CJ1189" s="50" t="n">
        <f aca="false">N(M1189)+N(N1189)</f>
        <v>126</v>
      </c>
      <c r="CK1189" s="50" t="n">
        <f aca="false">N(M1189)</f>
        <v>6</v>
      </c>
      <c r="CL1189" s="50" t="n">
        <f aca="false">N(N1189)</f>
        <v>120</v>
      </c>
      <c r="CM1189" s="50" t="n">
        <f aca="false">ROUNDUP(H1189/BY1189,0)</f>
        <v>1</v>
      </c>
      <c r="CN1189" s="50" t="n">
        <f aca="false">ROUNDUP(CI1189/BY1189,0)</f>
        <v>0</v>
      </c>
      <c r="CO1189" s="53" t="n">
        <f aca="false">IF(BZ1189=1,0,IFERROR(VLOOKUP(BX1189,'Gebinde-Kategorie'!$A$5:$N$45,5,0)+0,0))</f>
        <v>8</v>
      </c>
      <c r="CP1189" s="53" t="n">
        <f aca="false">IFERROR(IF(OR(CE1189=1,CE1189=2,CE1189=3),N(INDEX(Parameter!$I$5:$I$7,CE1189)),0),0)</f>
        <v>0</v>
      </c>
      <c r="CQ1189" s="52" t="n">
        <f aca="false">IF(AND(Parameter!$B$21="Ja",ISNUMBER(W1189),N(X1189)&gt;0),IFERROR(N(INDEX(Parameter!$L$5:$L$7,W1189))*INDEX(Parameter!$E$5:$E$7,W1189)*X1189/SUMIFS($X$7:$X$1843,$W$7:$W$1843,W1189),0),0)</f>
        <v>0</v>
      </c>
    </row>
    <row r="1190" customFormat="false" ht="15" hidden="false" customHeight="false" outlineLevel="0" collapsed="false">
      <c r="A1190" s="48" t="s">
        <v>2150</v>
      </c>
      <c r="B1190" s="48" t="s">
        <v>2151</v>
      </c>
      <c r="C1190" s="48" t="s">
        <v>173</v>
      </c>
      <c r="D1190" s="48" t="s">
        <v>193</v>
      </c>
      <c r="E1190" s="48"/>
      <c r="F1190" s="48" t="s">
        <v>227</v>
      </c>
      <c r="G1190" s="49" t="n">
        <v>14.3</v>
      </c>
      <c r="H1190" s="50" t="n">
        <f aca="false">MAX(0,IF(AND(Parameter!$B$21="Ja",ISNUMBER(Y1190)),Y1190,IF(Parameter!$B$20="Jahresanfang 2025 + Export",BR1190+BQ1190,BQ1190)))</f>
        <v>0</v>
      </c>
      <c r="I1190" s="50" t="n">
        <f aca="false">H1190*G1190</f>
        <v>0</v>
      </c>
      <c r="J1190" s="50" t="n">
        <f aca="false">BT1190*Parameter!$B$18</f>
        <v>29</v>
      </c>
      <c r="K1190" s="51" t="n">
        <v>14.5</v>
      </c>
      <c r="L1190" s="52" t="n">
        <v>2</v>
      </c>
      <c r="M1190" s="50" t="n">
        <v>0</v>
      </c>
      <c r="N1190" s="50" t="n">
        <v>1</v>
      </c>
      <c r="O1190" s="53" t="n">
        <v>21</v>
      </c>
      <c r="P1190" s="48" t="s">
        <v>177</v>
      </c>
      <c r="Q1190" s="50"/>
      <c r="R1190" s="53" t="n">
        <f aca="false">IF(BZ1190=1,0,IFERROR(VLOOKUP(BX1190,'Gebinde-Kategorie'!$A$5:$N$45,13,0)+0,0))</f>
        <v>4</v>
      </c>
      <c r="S1190" s="54"/>
      <c r="T1190" s="55" t="s">
        <v>198</v>
      </c>
      <c r="U1190" s="55"/>
      <c r="V1190" s="55"/>
      <c r="W1190" s="48"/>
      <c r="X1190" s="50"/>
      <c r="Y1190" s="50"/>
      <c r="Z1190" s="48" t="n">
        <f aca="false">IF(A1190="","",IF(AND(Parameter!$B$21="Ja",ISNUMBER(W1190)),W1190,IF(CC1190="2+3",IF(ISNUMBER(SEARCH("grosser Artikel",BU1190)),2,IFERROR(VLOOKUP(BX1190,Parameter!$F$35:$G$64,2,0),2)),IF(OR(CC1190="Nein",CC1190=""),"-",CC1190))))</f>
        <v>2</v>
      </c>
      <c r="AA1190" s="55"/>
      <c r="AB1190" s="56"/>
      <c r="AC1190" s="50" t="n">
        <f aca="false">AV1190</f>
        <v>20</v>
      </c>
      <c r="AD1190" s="50" t="n">
        <f aca="false">MAX(AV1190,H1190)</f>
        <v>20</v>
      </c>
      <c r="AE1190" s="57"/>
      <c r="AF1190" s="50" t="n">
        <f aca="false">IF(LEFT(Cockpit!$C$5,1)="A",H1190,IF(Parameter!$E$30="MAX-Bestand",IF(CH1190=1,CI1190,IF(LEFT(Cockpit!$C$5,1)="B",AL1190,MAX(AL1190,H1190))),ROUNDUP(AJ1190,0)))</f>
        <v>0</v>
      </c>
      <c r="AG1190" s="50" t="n">
        <f aca="false">IF(BZ1190=1,0,ROUNDUP(AF1190/BY1190,0))</f>
        <v>0</v>
      </c>
      <c r="AH1190" s="52" t="n">
        <f aca="false">IF(CQ1190&gt;0,CQ1190*MAX(1,AF1190/X1190),IF(BZ1190=1,IF(AF1190&lt;=0,0,CD1190*MAX(1,IF(H1190&gt;0,AF1190/H1190,1))),IF(R1190&gt;0,AG1190/R1190,0))/MAX(0.1,N(Parameter!$M$21)))</f>
        <v>0</v>
      </c>
      <c r="AI1190" s="50" t="n">
        <f aca="false">AH1190*CB1190</f>
        <v>0</v>
      </c>
      <c r="AJ1190" s="51" t="n">
        <f aca="false">IF(LEFT(Cockpit!$C$5,1)="A",H1190,IF(CH1190=1,(CK1190+CI1190)/2,IF(LEFT(Cockpit!$C$5,1)="B",(CK1190+AL1190)/2,MAX((CK1190+AL1190)/2,H1190))))</f>
        <v>0</v>
      </c>
      <c r="AK1190" s="50" t="n">
        <f aca="false">AJ1190*G1190</f>
        <v>0</v>
      </c>
      <c r="AL1190" s="50" t="n">
        <f aca="false">ROUNDUP(CK1190+MAX(CL1190,2*(J1190/IF(CG1190&gt;0,CG1190,MAX(0.1,N(Cockpit!$C$6)))-CK1190)),0)</f>
        <v>20</v>
      </c>
      <c r="AM1190" s="51" t="n">
        <f aca="false">IF(AI1190&gt;0,J1190/AI1190,-1)</f>
        <v>-1</v>
      </c>
      <c r="AN1190" s="51" t="str">
        <f aca="false">IF(AND(OR(CF1190="L1",CF1190="L23",CF1190="LIFT"),AI1190&gt;0),SUMIFS($AI$7:$AI$1843,$CF$7:$CF$1843,CF1190,$AM$7:$AM$1843,"&gt;"&amp;AM1190)+SUMIFS($AI$7:$AI$1843,$CF$7:$CF$1843,CF1190,$AM$7:$AM$1843,AM1190,$BW$7:$BW$1843,"&lt;="&amp;BW1190),"")</f>
        <v/>
      </c>
      <c r="AO1190" s="58" t="n">
        <f aca="false">IF(AN1190="",0,MAX(0,MIN(1,(IF(CF1190="L1",Parameter!$H$5,IF(CF1190="L23",Parameter!$H$6+Parameter!$H$7,Parameter!$H$5+Parameter!$H$6+Parameter!$H$7))-(AN1190-AI1190))/AI1190)))</f>
        <v>0</v>
      </c>
      <c r="AP1190" s="50" t="n">
        <f aca="false">IF(LEFT(Cockpit!$I$5,1)="A",H1190,IF(Parameter!$E$30="MAX-Bestand",IF(CH1190=1,CI1190,IF(LEFT(Cockpit!$I$5,1)="B",AV1190,MAX(AV1190,H1190))),ROUNDUP(AT1190,0)))</f>
        <v>10</v>
      </c>
      <c r="AQ1190" s="50" t="n">
        <f aca="false">IF(BZ1190=1,0,ROUNDUP(AP1190/BY1190,0))</f>
        <v>5</v>
      </c>
      <c r="AR1190" s="52" t="n">
        <f aca="false">IF(CQ1190&gt;0,CQ1190*MAX(1,AP1190/X1190),IF(BZ1190=1,IF(AP1190&lt;=0,0,CD1190*MAX(1,IF(H1190&gt;0,AP1190/H1190,1))),IF(R1190&gt;0,AQ1190/R1190,0))/MAX(0.1,N(Parameter!$M$21)))</f>
        <v>1.25</v>
      </c>
      <c r="AS1190" s="50" t="n">
        <f aca="false">AR1190*CB1190</f>
        <v>293.75</v>
      </c>
      <c r="AT1190" s="51" t="n">
        <f aca="false">IF(LEFT(Cockpit!$I$5,1)="A",H1190,IF(CH1190=1,(CK1190+CI1190)/2,IF(LEFT(Cockpit!$I$5,1)="B",(CK1190+AV1190)/2,MAX((CK1190+AV1190)/2,H1190))))</f>
        <v>10</v>
      </c>
      <c r="AU1190" s="50" t="n">
        <f aca="false">AT1190*G1190</f>
        <v>143</v>
      </c>
      <c r="AV1190" s="50" t="n">
        <f aca="false">ROUNDUP(CK1190+MAX(CL1190,2*(J1190/IF(CG1190&gt;0,CG1190,MAX(0.1,N(Cockpit!$I$6)))-CK1190)),0)</f>
        <v>20</v>
      </c>
      <c r="AW1190" s="51" t="n">
        <f aca="false">IF(AS1190&gt;0,J1190/AS1190,-1)</f>
        <v>0.0987234042553192</v>
      </c>
      <c r="AX1190" s="51" t="n">
        <f aca="false">IF(AND(OR(CF1190="L1",CF1190="L23",CF1190="LIFT"),AS1190&gt;0),SUMIFS($AS$7:$AS$1843,$CF$7:$CF$1843,CF1190,$AW$7:$AW$1843,"&gt;"&amp;AW1190)+SUMIFS($AS$7:$AS$1843,$CF$7:$CF$1843,CF1190,$AW$7:$AW$1843,AW1190,$BW$7:$BW$1843,"&lt;="&amp;BW1190),"")</f>
        <v>21182.4008686699</v>
      </c>
      <c r="AY1190" s="58" t="n">
        <f aca="false">IF(AX1190="",0,MAX(0,MIN(1,(IF(CF1190="L1",Parameter!$H$5,IF(CF1190="L23",Parameter!$H$6+Parameter!$H$7,Parameter!$H$5+Parameter!$H$6+Parameter!$H$7))-(AX1190-AS1190))/AS1190)))</f>
        <v>1</v>
      </c>
      <c r="AZ1190" s="50" t="n">
        <f aca="false">IF(LEFT(Cockpit!$O$5,1)="A",H1190,IF(Parameter!$E$30="MAX-Bestand",IF(CH1190=1,CI1190,IF(LEFT(Cockpit!$O$5,1)="B",BF1190,MAX(BF1190,H1190))),ROUNDUP(BD1190,0)))</f>
        <v>8</v>
      </c>
      <c r="BA1190" s="50" t="n">
        <f aca="false">IF(BZ1190=1,0,ROUNDUP(AZ1190/BY1190,0))</f>
        <v>4</v>
      </c>
      <c r="BB1190" s="52" t="n">
        <f aca="false">IF(CQ1190&gt;0,CQ1190*MAX(1,AZ1190/X1190),IF(BZ1190=1,IF(AZ1190&lt;=0,0,CD1190*MAX(1,IF(H1190&gt;0,AZ1190/H1190,1))),IF(R1190&gt;0,BA1190/R1190,0))/MAX(0.1,N(Parameter!$M$21)))</f>
        <v>1</v>
      </c>
      <c r="BC1190" s="50" t="n">
        <f aca="false">BB1190*CB1190</f>
        <v>235</v>
      </c>
      <c r="BD1190" s="51" t="n">
        <f aca="false">IF(LEFT(Cockpit!$O$5,1)="A",H1190,IF(CH1190=1,(CK1190+CI1190)/2,IF(LEFT(Cockpit!$O$5,1)="B",(CK1190+BF1190)/2,MAX((CK1190+BF1190)/2,H1190))))</f>
        <v>7.5</v>
      </c>
      <c r="BE1190" s="50" t="n">
        <f aca="false">BD1190*G1190</f>
        <v>107.25</v>
      </c>
      <c r="BF1190" s="50" t="n">
        <f aca="false">ROUNDUP(CK1190+MAX(CL1190,2*(J1190/IF(CG1190&gt;0,CG1190,MAX(0.1,N(Cockpit!$O$6)))-CK1190)),0)</f>
        <v>15</v>
      </c>
      <c r="BG1190" s="51" t="n">
        <f aca="false">IF(BC1190&gt;0,J1190/BC1190,-1)</f>
        <v>0.123404255319149</v>
      </c>
      <c r="BH1190" s="51" t="n">
        <f aca="false">IF(AND(OR(CF1190="L1",CF1190="L23",CF1190="LIFT"),BC1190&gt;0),SUMIFS($BC$7:$BC$1843,$CF$7:$CF$1843,CF1190,$BG$7:$BG$1843,"&gt;"&amp;BG1190)+SUMIFS($BC$7:$BC$1843,$CF$7:$CF$1843,CF1190,$BG$7:$BG$1843,BG1190,$BW$7:$BW$1843,"&lt;="&amp;BW1190),"")</f>
        <v>15741.4979227458</v>
      </c>
      <c r="BI1190" s="58" t="n">
        <f aca="false">IF(BH1190="",0,MAX(0,MIN(1,(IF(CF1190="L1",Parameter!$H$5,IF(CF1190="L23",Parameter!$H$6+Parameter!$H$7,Parameter!$H$5+Parameter!$H$6+Parameter!$H$7))-(BH1190-BC1190))/BC1190)))</f>
        <v>1</v>
      </c>
      <c r="BJ1190" s="48" t="str">
        <f aca="false">IF(AI1190&lt;=0,"",IF(CF1190="Aussen","Aussenlager",IF(CF1190="-","Nicht im Lift",IF(AO1190&gt;=1,"Lift",IF(AO1190&lt;=0,"Aussenlager","teilweise")))))</f>
        <v/>
      </c>
      <c r="BK1190" s="48" t="str">
        <f aca="false">IF(AS1190&lt;=0,"",IF(CF1190="Aussen","Aussenlager",IF(CF1190="-","Nicht im Lift",IF(AY1190&gt;=1,"Lift",IF(AY1190&lt;=0,"Aussenlager","teilweise")))))</f>
        <v>Lift</v>
      </c>
      <c r="BL1190" s="48" t="str">
        <f aca="false">IF(BC1190&lt;=0,"",IF(CF1190="Aussen","Aussenlager",IF(CF1190="-","Nicht im Lift",IF(BI1190&gt;=1,"Lift",IF(BI1190&lt;=0,"Aussenlager","teilweise")))))</f>
        <v>Lift</v>
      </c>
      <c r="BM1190" s="48" t="str">
        <f aca="false">IF(A1190="","",IF(BV1190=1,"Neu; ","")&amp;IF(AND(BV1190=0,BQ1190&lt;0),"negativer Bestand (Export "&amp;BQ1190&amp;"); ","")&amp;IF(J1190&lt;=0,"Kein Verbrauch; ","")&amp;IF(CQ1190&gt;0,"Lift "&amp;W1190&amp;" lt. Liftbericht (Fach "&amp;X1190&amp;" Stk); ",IF(CA1190=1,"Gebinde geschätzt ("&amp;T1190&amp;"); ",IF(BZ1190=1,"Lose – Tablare geschätzt; ","")))&amp;IF(H1190&gt;AV1190,"Überbestand "&amp;ROUND(H1190-AV1190,0)&amp;" Stk / CHF "&amp;ROUND((H1190-AV1190)*G1190,0)&amp;"; ","")&amp;IF(AND(CH1190=1,CI1190&lt;CJ1190),"MAX &lt; MB+LG; ","")&amp;IF(AND(CP1190&gt;0,CO1190*10&gt;CP1190),"zu hoch für Tablar; ","")&amp;IF(AND(BV1190=0,OR(CH1190=1,AA1190&lt;&gt;"",U1190&lt;&gt;"",V1190&lt;&gt;"",AB1190&lt;&gt;"")),"manuell übersteuert; ","")&amp;IF(AND(BZ1190=0,R1190=0),"Gebinde unbekannt / Stellmass fehlt; ","")&amp;IF(AND(BZ1190=0,N(V1190)&lt;=0,N(Q1190)&lt;=0),"Menge pro Gebinde fehlt (Ist = 1 Gebinde); ","")&amp;BU1190)</f>
        <v>negativer Bestand (Export -29); Gebinde geschätzt (Gross); Menge pro Gebinde fehlt (Ist = 1 Gebinde); </v>
      </c>
      <c r="BN1190" s="48"/>
      <c r="BO1190" s="48"/>
      <c r="BP1190" s="55"/>
      <c r="BQ1190" s="50" t="n">
        <v>-29</v>
      </c>
      <c r="BR1190" s="50" t="n">
        <v>29</v>
      </c>
      <c r="BS1190" s="49" t="n">
        <v>-414.7</v>
      </c>
      <c r="BT1190" s="50" t="n">
        <v>29</v>
      </c>
      <c r="BU1190" s="48"/>
      <c r="BV1190" s="53" t="n">
        <v>0</v>
      </c>
      <c r="BW1190" s="53" t="n">
        <v>1190</v>
      </c>
      <c r="BX1190" s="48" t="str">
        <f aca="false">IF(U1190&lt;&gt;"",UPPER(TRIM(U1190)),IF(CA1190=1,UPPER(VLOOKUP(T1190,Parameter!$I$27:$K$29,2,0)),IF(P1190="","LOSE",P1190)))</f>
        <v>S81</v>
      </c>
      <c r="BY1190" s="50" t="n">
        <f aca="false">IF(BX1190="LOSE",1,IF(N(V1190)&gt;0,V1190,IF(CA1190=1,MAX(1,N(VLOOKUP(T1190,Parameter!$I$27:$K$29,3,0)),H1190,N(N1190)),IF(N(Q1190)&gt;0,Q1190,MAX(1,H1190)))))</f>
        <v>2</v>
      </c>
      <c r="BZ1190" s="53" t="n">
        <f aca="false">IF(BX1190="LOSE",1,0)</f>
        <v>0</v>
      </c>
      <c r="CA1190" s="53" t="n">
        <f aca="false">IF(AND(U1190="",OR(P1190="",P1190="LOSE"),T1190&lt;&gt;"",N(S1190)&lt;=0,ISNUMBER(MATCH(T1190,Parameter!$I$27:$I$29,0))),1,0)</f>
        <v>1</v>
      </c>
      <c r="CB1190" s="53" t="n">
        <f aca="false">IF(CQ1190&gt;0,INDEX(Parameter!$H$5:$H$7,W1190)/INDEX(Parameter!$E$5:$E$7,W1190),IF(AND(BZ1190=0,N(IFERROR(VLOOKUP(BX1190,'Gebinde-Kategorie'!$A$5:$N$45,14,0),0))&gt;0),VLOOKUP(BX1190,'Gebinde-Kategorie'!$A$5:$N$45,14,0)*10+Parameter!$M$23,Parameter!$M$24))</f>
        <v>235</v>
      </c>
      <c r="CC1190" s="48" t="str">
        <f aca="false">IF(AND(Parameter!$B$19="Ja",E1190&lt;&gt;"",ISNUMBER(MATCH(E1190,Parameter!$I$35:$I$52,0))),VLOOKUP(E1190,Parameter!$I$35:$J$52,2,0),IFERROR(VLOOKUP(D1190,Parameter!$A$35:$C$64,2,0),"Nein"))</f>
        <v>2+3</v>
      </c>
      <c r="CD1190" s="52" t="n">
        <f aca="false">IF(BZ1190=0,0,IF(N(S1190)&gt;0,S1190,IFERROR(VLOOKUP(D1190,Parameter!$A$35:$C$64,3,0)+0,0)))</f>
        <v>0</v>
      </c>
      <c r="CE1190" s="48" t="n">
        <f aca="false">IF(AA1190&lt;&gt;"",AA1190,Z1190)</f>
        <v>2</v>
      </c>
      <c r="CF1190" s="48" t="str">
        <f aca="false">IF(OR(CE1190=1,CE1190=2,CE1190=3),IF(Parameter!$E$27="Ja","LIFT",IF(CE1190=1,"L1","L23")),IF(CE1190="Aussen","Aussen","-"))</f>
        <v>LIFT</v>
      </c>
      <c r="CG1190" s="59" t="n">
        <f aca="false">IF(N(AB1190)&gt;0,AB1190,0)</f>
        <v>0</v>
      </c>
      <c r="CH1190" s="53" t="n">
        <f aca="false">IF(ISNUMBER(AE1190),1,0)</f>
        <v>0</v>
      </c>
      <c r="CI1190" s="50" t="n">
        <f aca="false">N(AE1190)</f>
        <v>0</v>
      </c>
      <c r="CJ1190" s="50" t="n">
        <f aca="false">N(M1190)+N(N1190)</f>
        <v>1</v>
      </c>
      <c r="CK1190" s="50" t="n">
        <f aca="false">N(M1190)</f>
        <v>0</v>
      </c>
      <c r="CL1190" s="50" t="n">
        <f aca="false">N(N1190)</f>
        <v>1</v>
      </c>
      <c r="CM1190" s="50" t="n">
        <f aca="false">ROUNDUP(H1190/BY1190,0)</f>
        <v>0</v>
      </c>
      <c r="CN1190" s="50" t="n">
        <f aca="false">ROUNDUP(CI1190/BY1190,0)</f>
        <v>0</v>
      </c>
      <c r="CO1190" s="53" t="n">
        <f aca="false">IF(BZ1190=1,0,IFERROR(VLOOKUP(BX1190,'Gebinde-Kategorie'!$A$5:$N$45,5,0)+0,0))</f>
        <v>20</v>
      </c>
      <c r="CP1190" s="53" t="n">
        <f aca="false">IFERROR(IF(OR(CE1190=1,CE1190=2,CE1190=3),N(INDEX(Parameter!$I$5:$I$7,CE1190)),0),0)</f>
        <v>0</v>
      </c>
      <c r="CQ1190" s="52" t="n">
        <f aca="false">IF(AND(Parameter!$B$21="Ja",ISNUMBER(W1190),N(X1190)&gt;0),IFERROR(N(INDEX(Parameter!$L$5:$L$7,W1190))*INDEX(Parameter!$E$5:$E$7,W1190)*X1190/SUMIFS($X$7:$X$1843,$W$7:$W$1843,W1190),0),0)</f>
        <v>0</v>
      </c>
    </row>
    <row r="1191" customFormat="false" ht="15" hidden="false" customHeight="false" outlineLevel="0" collapsed="false">
      <c r="A1191" s="48" t="s">
        <v>2152</v>
      </c>
      <c r="B1191" s="48" t="s">
        <v>2153</v>
      </c>
      <c r="C1191" s="48" t="s">
        <v>173</v>
      </c>
      <c r="D1191" s="48" t="s">
        <v>193</v>
      </c>
      <c r="E1191" s="48"/>
      <c r="F1191" s="48" t="s">
        <v>227</v>
      </c>
      <c r="G1191" s="49" t="n">
        <v>142.18</v>
      </c>
      <c r="H1191" s="50" t="n">
        <f aca="false">MAX(0,IF(AND(Parameter!$B$21="Ja",ISNUMBER(Y1191)),Y1191,IF(Parameter!$B$20="Jahresanfang 2025 + Export",BR1191+BQ1191,BQ1191)))</f>
        <v>31</v>
      </c>
      <c r="I1191" s="50" t="n">
        <f aca="false">H1191*G1191</f>
        <v>4407.58</v>
      </c>
      <c r="J1191" s="50" t="n">
        <f aca="false">BT1191*Parameter!$B$18</f>
        <v>0</v>
      </c>
      <c r="K1191" s="51" t="n">
        <v>33.5</v>
      </c>
      <c r="L1191" s="52" t="n">
        <v>0</v>
      </c>
      <c r="M1191" s="50" t="n">
        <v>0</v>
      </c>
      <c r="N1191" s="50" t="n">
        <v>1</v>
      </c>
      <c r="O1191" s="53" t="n">
        <v>28</v>
      </c>
      <c r="P1191" s="48" t="s">
        <v>311</v>
      </c>
      <c r="Q1191" s="50" t="n">
        <v>35</v>
      </c>
      <c r="R1191" s="53" t="n">
        <f aca="false">IF(BZ1191=1,0,IFERROR(VLOOKUP(BX1191,'Gebinde-Kategorie'!$A$5:$N$45,13,0)+0,0))</f>
        <v>26</v>
      </c>
      <c r="S1191" s="54"/>
      <c r="T1191" s="55"/>
      <c r="U1191" s="55"/>
      <c r="V1191" s="55"/>
      <c r="W1191" s="48"/>
      <c r="X1191" s="50"/>
      <c r="Y1191" s="50"/>
      <c r="Z1191" s="48" t="n">
        <f aca="false">IF(A1191="","",IF(AND(Parameter!$B$21="Ja",ISNUMBER(W1191)),W1191,IF(CC1191="2+3",IF(ISNUMBER(SEARCH("grosser Artikel",BU1191)),2,IFERROR(VLOOKUP(BX1191,Parameter!$F$35:$G$64,2,0),2)),IF(OR(CC1191="Nein",CC1191=""),"-",CC1191))))</f>
        <v>3</v>
      </c>
      <c r="AA1191" s="55"/>
      <c r="AB1191" s="56"/>
      <c r="AC1191" s="50" t="n">
        <f aca="false">AV1191</f>
        <v>1</v>
      </c>
      <c r="AD1191" s="50" t="n">
        <f aca="false">MAX(AV1191,H1191)</f>
        <v>31</v>
      </c>
      <c r="AE1191" s="57"/>
      <c r="AF1191" s="50" t="n">
        <f aca="false">IF(LEFT(Cockpit!$C$5,1)="A",H1191,IF(Parameter!$E$30="MAX-Bestand",IF(CH1191=1,CI1191,IF(LEFT(Cockpit!$C$5,1)="B",AL1191,MAX(AL1191,H1191))),ROUNDUP(AJ1191,0)))</f>
        <v>31</v>
      </c>
      <c r="AG1191" s="50" t="n">
        <f aca="false">IF(BZ1191=1,0,ROUNDUP(AF1191/BY1191,0))</f>
        <v>1</v>
      </c>
      <c r="AH1191" s="52" t="n">
        <f aca="false">IF(CQ1191&gt;0,CQ1191*MAX(1,AF1191/X1191),IF(BZ1191=1,IF(AF1191&lt;=0,0,CD1191*MAX(1,IF(H1191&gt;0,AF1191/H1191,1))),IF(R1191&gt;0,AG1191/R1191,0))/MAX(0.1,N(Parameter!$M$21)))</f>
        <v>0.0384615384615385</v>
      </c>
      <c r="AI1191" s="50" t="n">
        <f aca="false">AH1191*CB1191</f>
        <v>5.96153846153846</v>
      </c>
      <c r="AJ1191" s="51" t="n">
        <f aca="false">IF(LEFT(Cockpit!$C$5,1)="A",H1191,IF(CH1191=1,(CK1191+CI1191)/2,IF(LEFT(Cockpit!$C$5,1)="B",(CK1191+AL1191)/2,MAX((CK1191+AL1191)/2,H1191))))</f>
        <v>31</v>
      </c>
      <c r="AK1191" s="50" t="n">
        <f aca="false">AJ1191*G1191</f>
        <v>4407.58</v>
      </c>
      <c r="AL1191" s="50" t="n">
        <f aca="false">ROUNDUP(CK1191+MAX(CL1191,2*(J1191/IF(CG1191&gt;0,CG1191,MAX(0.1,N(Cockpit!$C$6)))-CK1191)),0)</f>
        <v>1</v>
      </c>
      <c r="AM1191" s="51" t="n">
        <f aca="false">IF(AI1191&gt;0,J1191/AI1191,-1)</f>
        <v>0</v>
      </c>
      <c r="AN1191" s="51" t="n">
        <f aca="false">IF(AND(OR(CF1191="L1",CF1191="L23",CF1191="LIFT"),AI1191&gt;0),SUMIFS($AI$7:$AI$1843,$CF$7:$CF$1843,CF1191,$AM$7:$AM$1843,"&gt;"&amp;AM1191)+SUMIFS($AI$7:$AI$1843,$CF$7:$CF$1843,CF1191,$AM$7:$AM$1843,AM1191,$BW$7:$BW$1843,"&lt;="&amp;BW1191),"")</f>
        <v>29407.4763586225</v>
      </c>
      <c r="AO1191" s="58" t="n">
        <f aca="false">IF(AN1191="",0,MAX(0,MIN(1,(IF(CF1191="L1",Parameter!$H$5,IF(CF1191="L23",Parameter!$H$6+Parameter!$H$7,Parameter!$H$5+Parameter!$H$6+Parameter!$H$7))-(AN1191-AI1191))/AI1191)))</f>
        <v>1</v>
      </c>
      <c r="AP1191" s="50" t="n">
        <f aca="false">IF(LEFT(Cockpit!$I$5,1)="A",H1191,IF(Parameter!$E$30="MAX-Bestand",IF(CH1191=1,CI1191,IF(LEFT(Cockpit!$I$5,1)="B",AV1191,MAX(AV1191,H1191))),ROUNDUP(AT1191,0)))</f>
        <v>31</v>
      </c>
      <c r="AQ1191" s="50" t="n">
        <f aca="false">IF(BZ1191=1,0,ROUNDUP(AP1191/BY1191,0))</f>
        <v>1</v>
      </c>
      <c r="AR1191" s="52" t="n">
        <f aca="false">IF(CQ1191&gt;0,CQ1191*MAX(1,AP1191/X1191),IF(BZ1191=1,IF(AP1191&lt;=0,0,CD1191*MAX(1,IF(H1191&gt;0,AP1191/H1191,1))),IF(R1191&gt;0,AQ1191/R1191,0))/MAX(0.1,N(Parameter!$M$21)))</f>
        <v>0.0384615384615385</v>
      </c>
      <c r="AS1191" s="50" t="n">
        <f aca="false">AR1191*CB1191</f>
        <v>5.96153846153846</v>
      </c>
      <c r="AT1191" s="51" t="n">
        <f aca="false">IF(LEFT(Cockpit!$I$5,1)="A",H1191,IF(CH1191=1,(CK1191+CI1191)/2,IF(LEFT(Cockpit!$I$5,1)="B",(CK1191+AV1191)/2,MAX((CK1191+AV1191)/2,H1191))))</f>
        <v>31</v>
      </c>
      <c r="AU1191" s="50" t="n">
        <f aca="false">AT1191*G1191</f>
        <v>4407.58</v>
      </c>
      <c r="AV1191" s="50" t="n">
        <f aca="false">ROUNDUP(CK1191+MAX(CL1191,2*(J1191/IF(CG1191&gt;0,CG1191,MAX(0.1,N(Cockpit!$I$6)))-CK1191)),0)</f>
        <v>1</v>
      </c>
      <c r="AW1191" s="51" t="n">
        <f aca="false">IF(AS1191&gt;0,J1191/AS1191,-1)</f>
        <v>0</v>
      </c>
      <c r="AX1191" s="51" t="n">
        <f aca="false">IF(AND(OR(CF1191="L1",CF1191="L23",CF1191="LIFT"),AS1191&gt;0),SUMIFS($AS$7:$AS$1843,$CF$7:$CF$1843,CF1191,$AW$7:$AW$1843,"&gt;"&amp;AW1191)+SUMIFS($AS$7:$AS$1843,$CF$7:$CF$1843,CF1191,$AW$7:$AW$1843,AW1191,$BW$7:$BW$1843,"&lt;="&amp;BW1191),"")</f>
        <v>35210.3292124542</v>
      </c>
      <c r="AY1191" s="58" t="n">
        <f aca="false">IF(AX1191="",0,MAX(0,MIN(1,(IF(CF1191="L1",Parameter!$H$5,IF(CF1191="L23",Parameter!$H$6+Parameter!$H$7,Parameter!$H$5+Parameter!$H$6+Parameter!$H$7))-(AX1191-AS1191))/AS1191)))</f>
        <v>1</v>
      </c>
      <c r="AZ1191" s="50" t="n">
        <f aca="false">IF(LEFT(Cockpit!$O$5,1)="A",H1191,IF(Parameter!$E$30="MAX-Bestand",IF(CH1191=1,CI1191,IF(LEFT(Cockpit!$O$5,1)="B",BF1191,MAX(BF1191,H1191))),ROUNDUP(BD1191,0)))</f>
        <v>1</v>
      </c>
      <c r="BA1191" s="50" t="n">
        <f aca="false">IF(BZ1191=1,0,ROUNDUP(AZ1191/BY1191,0))</f>
        <v>1</v>
      </c>
      <c r="BB1191" s="52" t="n">
        <f aca="false">IF(CQ1191&gt;0,CQ1191*MAX(1,AZ1191/X1191),IF(BZ1191=1,IF(AZ1191&lt;=0,0,CD1191*MAX(1,IF(H1191&gt;0,AZ1191/H1191,1))),IF(R1191&gt;0,BA1191/R1191,0))/MAX(0.1,N(Parameter!$M$21)))</f>
        <v>0.0384615384615385</v>
      </c>
      <c r="BC1191" s="50" t="n">
        <f aca="false">BB1191*CB1191</f>
        <v>5.96153846153846</v>
      </c>
      <c r="BD1191" s="51" t="n">
        <f aca="false">IF(LEFT(Cockpit!$O$5,1)="A",H1191,IF(CH1191=1,(CK1191+CI1191)/2,IF(LEFT(Cockpit!$O$5,1)="B",(CK1191+BF1191)/2,MAX((CK1191+BF1191)/2,H1191))))</f>
        <v>0.5</v>
      </c>
      <c r="BE1191" s="50" t="n">
        <f aca="false">BD1191*G1191</f>
        <v>71.09</v>
      </c>
      <c r="BF1191" s="50" t="n">
        <f aca="false">ROUNDUP(CK1191+MAX(CL1191,2*(J1191/IF(CG1191&gt;0,CG1191,MAX(0.1,N(Cockpit!$O$6)))-CK1191)),0)</f>
        <v>1</v>
      </c>
      <c r="BG1191" s="51" t="n">
        <f aca="false">IF(BC1191&gt;0,J1191/BC1191,-1)</f>
        <v>0</v>
      </c>
      <c r="BH1191" s="51" t="n">
        <f aca="false">IF(AND(OR(CF1191="L1",CF1191="L23",CF1191="LIFT"),BC1191&gt;0),SUMIFS($BC$7:$BC$1843,$CF$7:$CF$1843,CF1191,$BG$7:$BG$1843,"&gt;"&amp;BG1191)+SUMIFS($BC$7:$BC$1843,$CF$7:$CF$1843,CF1191,$BG$7:$BG$1843,BG1191,$BW$7:$BW$1843,"&lt;="&amp;BW1191),"")</f>
        <v>29195.635872602</v>
      </c>
      <c r="BI1191" s="58" t="n">
        <f aca="false">IF(BH1191="",0,MAX(0,MIN(1,(IF(CF1191="L1",Parameter!$H$5,IF(CF1191="L23",Parameter!$H$6+Parameter!$H$7,Parameter!$H$5+Parameter!$H$6+Parameter!$H$7))-(BH1191-BC1191))/BC1191)))</f>
        <v>1</v>
      </c>
      <c r="BJ1191" s="48" t="str">
        <f aca="false">IF(AI1191&lt;=0,"",IF(CF1191="Aussen","Aussenlager",IF(CF1191="-","Nicht im Lift",IF(AO1191&gt;=1,"Lift",IF(AO1191&lt;=0,"Aussenlager","teilweise")))))</f>
        <v>Lift</v>
      </c>
      <c r="BK1191" s="48" t="str">
        <f aca="false">IF(AS1191&lt;=0,"",IF(CF1191="Aussen","Aussenlager",IF(CF1191="-","Nicht im Lift",IF(AY1191&gt;=1,"Lift",IF(AY1191&lt;=0,"Aussenlager","teilweise")))))</f>
        <v>Lift</v>
      </c>
      <c r="BL1191" s="48" t="str">
        <f aca="false">IF(BC1191&lt;=0,"",IF(CF1191="Aussen","Aussenlager",IF(CF1191="-","Nicht im Lift",IF(BI1191&gt;=1,"Lift",IF(BI1191&lt;=0,"Aussenlager","teilweise")))))</f>
        <v>Lift</v>
      </c>
      <c r="BM1191" s="48" t="str">
        <f aca="false">IF(A1191="","",IF(BV1191=1,"Neu; ","")&amp;IF(AND(BV1191=0,BQ1191&lt;0),"negativer Bestand (Export "&amp;BQ1191&amp;"); ","")&amp;IF(J1191&lt;=0,"Kein Verbrauch; ","")&amp;IF(CQ1191&gt;0,"Lift "&amp;W1191&amp;" lt. Liftbericht (Fach "&amp;X1191&amp;" Stk); ",IF(CA1191=1,"Gebinde geschätzt ("&amp;T1191&amp;"); ",IF(BZ1191=1,"Lose – Tablare geschätzt; ","")))&amp;IF(H1191&gt;AV1191,"Überbestand "&amp;ROUND(H1191-AV1191,0)&amp;" Stk / CHF "&amp;ROUND((H1191-AV1191)*G1191,0)&amp;"; ","")&amp;IF(AND(CH1191=1,CI1191&lt;CJ1191),"MAX &lt; MB+LG; ","")&amp;IF(AND(CP1191&gt;0,CO1191*10&gt;CP1191),"zu hoch für Tablar; ","")&amp;IF(AND(BV1191=0,OR(CH1191=1,AA1191&lt;&gt;"",U1191&lt;&gt;"",V1191&lt;&gt;"",AB1191&lt;&gt;"")),"manuell übersteuert; ","")&amp;IF(AND(BZ1191=0,R1191=0),"Gebinde unbekannt / Stellmass fehlt; ","")&amp;IF(AND(BZ1191=0,N(V1191)&lt;=0,N(Q1191)&lt;=0),"Menge pro Gebinde fehlt (Ist = 1 Gebinde); ","")&amp;BU1191)</f>
        <v>negativer Bestand (Export -3); Kein Verbrauch; Überbestand 30 Stk / CHF 4265; </v>
      </c>
      <c r="BN1191" s="48"/>
      <c r="BO1191" s="48"/>
      <c r="BP1191" s="55"/>
      <c r="BQ1191" s="50" t="n">
        <v>-3</v>
      </c>
      <c r="BR1191" s="50" t="n">
        <v>34</v>
      </c>
      <c r="BS1191" s="49" t="n">
        <v>-426.54</v>
      </c>
      <c r="BT1191" s="50" t="n">
        <v>0</v>
      </c>
      <c r="BU1191" s="48"/>
      <c r="BV1191" s="53" t="n">
        <v>0</v>
      </c>
      <c r="BW1191" s="53" t="n">
        <v>1191</v>
      </c>
      <c r="BX1191" s="48" t="str">
        <f aca="false">IF(U1191&lt;&gt;"",UPPER(TRIM(U1191)),IF(CA1191=1,UPPER(VLOOKUP(T1191,Parameter!$I$27:$K$29,2,0)),IF(P1191="","LOSE",P1191)))</f>
        <v>S51</v>
      </c>
      <c r="BY1191" s="50" t="n">
        <f aca="false">IF(BX1191="LOSE",1,IF(N(V1191)&gt;0,V1191,IF(CA1191=1,MAX(1,N(VLOOKUP(T1191,Parameter!$I$27:$K$29,3,0)),H1191,N(N1191)),IF(N(Q1191)&gt;0,Q1191,MAX(1,H1191)))))</f>
        <v>35</v>
      </c>
      <c r="BZ1191" s="53" t="n">
        <f aca="false">IF(BX1191="LOSE",1,0)</f>
        <v>0</v>
      </c>
      <c r="CA1191" s="53" t="n">
        <f aca="false">IF(AND(U1191="",OR(P1191="",P1191="LOSE"),T1191&lt;&gt;"",N(S1191)&lt;=0,ISNUMBER(MATCH(T1191,Parameter!$I$27:$I$29,0))),1,0)</f>
        <v>0</v>
      </c>
      <c r="CB1191" s="53" t="n">
        <f aca="false">IF(CQ1191&gt;0,INDEX(Parameter!$H$5:$H$7,W1191)/INDEX(Parameter!$E$5:$E$7,W1191),IF(AND(BZ1191=0,N(IFERROR(VLOOKUP(BX1191,'Gebinde-Kategorie'!$A$5:$N$45,14,0),0))&gt;0),VLOOKUP(BX1191,'Gebinde-Kategorie'!$A$5:$N$45,14,0)*10+Parameter!$M$23,Parameter!$M$24))</f>
        <v>155</v>
      </c>
      <c r="CC1191" s="48" t="str">
        <f aca="false">IF(AND(Parameter!$B$19="Ja",E1191&lt;&gt;"",ISNUMBER(MATCH(E1191,Parameter!$I$35:$I$52,0))),VLOOKUP(E1191,Parameter!$I$35:$J$52,2,0),IFERROR(VLOOKUP(D1191,Parameter!$A$35:$C$64,2,0),"Nein"))</f>
        <v>2+3</v>
      </c>
      <c r="CD1191" s="52" t="n">
        <f aca="false">IF(BZ1191=0,0,IF(N(S1191)&gt;0,S1191,IFERROR(VLOOKUP(D1191,Parameter!$A$35:$C$64,3,0)+0,0)))</f>
        <v>0</v>
      </c>
      <c r="CE1191" s="48" t="n">
        <f aca="false">IF(AA1191&lt;&gt;"",AA1191,Z1191)</f>
        <v>3</v>
      </c>
      <c r="CF1191" s="48" t="str">
        <f aca="false">IF(OR(CE1191=1,CE1191=2,CE1191=3),IF(Parameter!$E$27="Ja","LIFT",IF(CE1191=1,"L1","L23")),IF(CE1191="Aussen","Aussen","-"))</f>
        <v>LIFT</v>
      </c>
      <c r="CG1191" s="59" t="n">
        <f aca="false">IF(N(AB1191)&gt;0,AB1191,0)</f>
        <v>0</v>
      </c>
      <c r="CH1191" s="53" t="n">
        <f aca="false">IF(ISNUMBER(AE1191),1,0)</f>
        <v>0</v>
      </c>
      <c r="CI1191" s="50" t="n">
        <f aca="false">N(AE1191)</f>
        <v>0</v>
      </c>
      <c r="CJ1191" s="50" t="n">
        <f aca="false">N(M1191)+N(N1191)</f>
        <v>1</v>
      </c>
      <c r="CK1191" s="50" t="n">
        <f aca="false">N(M1191)</f>
        <v>0</v>
      </c>
      <c r="CL1191" s="50" t="n">
        <f aca="false">N(N1191)</f>
        <v>1</v>
      </c>
      <c r="CM1191" s="50" t="n">
        <f aca="false">ROUNDUP(H1191/BY1191,0)</f>
        <v>1</v>
      </c>
      <c r="CN1191" s="50" t="n">
        <f aca="false">ROUNDUP(CI1191/BY1191,0)</f>
        <v>0</v>
      </c>
      <c r="CO1191" s="53" t="n">
        <f aca="false">IF(BZ1191=1,0,IFERROR(VLOOKUP(BX1191,'Gebinde-Kategorie'!$A$5:$N$45,5,0)+0,0))</f>
        <v>11</v>
      </c>
      <c r="CP1191" s="53" t="n">
        <f aca="false">IFERROR(IF(OR(CE1191=1,CE1191=2,CE1191=3),N(INDEX(Parameter!$I$5:$I$7,CE1191)),0),0)</f>
        <v>0</v>
      </c>
      <c r="CQ1191" s="52" t="n">
        <f aca="false">IF(AND(Parameter!$B$21="Ja",ISNUMBER(W1191),N(X1191)&gt;0),IFERROR(N(INDEX(Parameter!$L$5:$L$7,W1191))*INDEX(Parameter!$E$5:$E$7,W1191)*X1191/SUMIFS($X$7:$X$1843,$W$7:$W$1843,W1191),0),0)</f>
        <v>0</v>
      </c>
    </row>
    <row r="1192" customFormat="false" ht="15" hidden="false" customHeight="false" outlineLevel="0" collapsed="false">
      <c r="A1192" s="48" t="s">
        <v>2154</v>
      </c>
      <c r="B1192" s="48" t="s">
        <v>449</v>
      </c>
      <c r="C1192" s="48" t="s">
        <v>173</v>
      </c>
      <c r="D1192" s="48" t="s">
        <v>193</v>
      </c>
      <c r="E1192" s="48" t="s">
        <v>194</v>
      </c>
      <c r="F1192" s="48" t="s">
        <v>227</v>
      </c>
      <c r="G1192" s="49" t="n">
        <v>107</v>
      </c>
      <c r="H1192" s="50" t="n">
        <f aca="false">MAX(0,IF(AND(Parameter!$B$21="Ja",ISNUMBER(Y1192)),Y1192,IF(Parameter!$B$20="Jahresanfang 2025 + Export",BR1192+BQ1192,BQ1192)))</f>
        <v>13</v>
      </c>
      <c r="I1192" s="50" t="n">
        <f aca="false">H1192*G1192</f>
        <v>1391</v>
      </c>
      <c r="J1192" s="50" t="n">
        <f aca="false">BT1192*Parameter!$B$18</f>
        <v>4</v>
      </c>
      <c r="K1192" s="51" t="n">
        <v>17</v>
      </c>
      <c r="L1192" s="52" t="n">
        <v>0.235294117647059</v>
      </c>
      <c r="M1192" s="50" t="n">
        <v>0</v>
      </c>
      <c r="N1192" s="50" t="n">
        <v>5</v>
      </c>
      <c r="O1192" s="53" t="n">
        <v>84</v>
      </c>
      <c r="P1192" s="48" t="s">
        <v>302</v>
      </c>
      <c r="Q1192" s="50" t="n">
        <v>32</v>
      </c>
      <c r="R1192" s="53" t="n">
        <f aca="false">IF(BZ1192=1,0,IFERROR(VLOOKUP(BX1192,'Gebinde-Kategorie'!$A$5:$N$45,13,0)+0,0))</f>
        <v>12</v>
      </c>
      <c r="S1192" s="54"/>
      <c r="T1192" s="55"/>
      <c r="U1192" s="55"/>
      <c r="V1192" s="55"/>
      <c r="W1192" s="48"/>
      <c r="X1192" s="50"/>
      <c r="Y1192" s="50"/>
      <c r="Z1192" s="48" t="n">
        <f aca="false">IF(A1192="","",IF(AND(Parameter!$B$21="Ja",ISNUMBER(W1192)),W1192,IF(CC1192="2+3",IF(ISNUMBER(SEARCH("grosser Artikel",BU1192)),2,IFERROR(VLOOKUP(BX1192,Parameter!$F$35:$G$64,2,0),2)),IF(OR(CC1192="Nein",CC1192=""),"-",CC1192))))</f>
        <v>2</v>
      </c>
      <c r="AA1192" s="55"/>
      <c r="AB1192" s="56"/>
      <c r="AC1192" s="50" t="n">
        <f aca="false">AV1192</f>
        <v>5</v>
      </c>
      <c r="AD1192" s="50" t="n">
        <f aca="false">MAX(AV1192,H1192)</f>
        <v>13</v>
      </c>
      <c r="AE1192" s="57"/>
      <c r="AF1192" s="50" t="n">
        <f aca="false">IF(LEFT(Cockpit!$C$5,1)="A",H1192,IF(Parameter!$E$30="MAX-Bestand",IF(CH1192=1,CI1192,IF(LEFT(Cockpit!$C$5,1)="B",AL1192,MAX(AL1192,H1192))),ROUNDUP(AJ1192,0)))</f>
        <v>13</v>
      </c>
      <c r="AG1192" s="50" t="n">
        <f aca="false">IF(BZ1192=1,0,ROUNDUP(AF1192/BY1192,0))</f>
        <v>1</v>
      </c>
      <c r="AH1192" s="52" t="n">
        <f aca="false">IF(CQ1192&gt;0,CQ1192*MAX(1,AF1192/X1192),IF(BZ1192=1,IF(AF1192&lt;=0,0,CD1192*MAX(1,IF(H1192&gt;0,AF1192/H1192,1))),IF(R1192&gt;0,AG1192/R1192,0))/MAX(0.1,N(Parameter!$M$21)))</f>
        <v>0.0833333333333333</v>
      </c>
      <c r="AI1192" s="50" t="n">
        <f aca="false">AH1192*CB1192</f>
        <v>20.4166666666667</v>
      </c>
      <c r="AJ1192" s="51" t="n">
        <f aca="false">IF(LEFT(Cockpit!$C$5,1)="A",H1192,IF(CH1192=1,(CK1192+CI1192)/2,IF(LEFT(Cockpit!$C$5,1)="B",(CK1192+AL1192)/2,MAX((CK1192+AL1192)/2,H1192))))</f>
        <v>13</v>
      </c>
      <c r="AK1192" s="50" t="n">
        <f aca="false">AJ1192*G1192</f>
        <v>1391</v>
      </c>
      <c r="AL1192" s="50" t="n">
        <f aca="false">ROUNDUP(CK1192+MAX(CL1192,2*(J1192/IF(CG1192&gt;0,CG1192,MAX(0.1,N(Cockpit!$C$6)))-CK1192)),0)</f>
        <v>5</v>
      </c>
      <c r="AM1192" s="51" t="n">
        <f aca="false">IF(AI1192&gt;0,J1192/AI1192,-1)</f>
        <v>0.195918367346939</v>
      </c>
      <c r="AN1192" s="51" t="n">
        <f aca="false">IF(AND(OR(CF1192="L1",CF1192="L23",CF1192="LIFT"),AI1192&gt;0),SUMIFS($AI$7:$AI$1843,$CF$7:$CF$1843,CF1192,$AM$7:$AM$1843,"&gt;"&amp;AM1192)+SUMIFS($AI$7:$AI$1843,$CF$7:$CF$1843,CF1192,$AM$7:$AM$1843,AM1192,$BW$7:$BW$1843,"&lt;="&amp;BW1192),"")</f>
        <v>12581.4003875127</v>
      </c>
      <c r="AO1192" s="58" t="n">
        <f aca="false">IF(AN1192="",0,MAX(0,MIN(1,(IF(CF1192="L1",Parameter!$H$5,IF(CF1192="L23",Parameter!$H$6+Parameter!$H$7,Parameter!$H$5+Parameter!$H$6+Parameter!$H$7))-(AN1192-AI1192))/AI1192)))</f>
        <v>1</v>
      </c>
      <c r="AP1192" s="50" t="n">
        <f aca="false">IF(LEFT(Cockpit!$I$5,1)="A",H1192,IF(Parameter!$E$30="MAX-Bestand",IF(CH1192=1,CI1192,IF(LEFT(Cockpit!$I$5,1)="B",AV1192,MAX(AV1192,H1192))),ROUNDUP(AT1192,0)))</f>
        <v>13</v>
      </c>
      <c r="AQ1192" s="50" t="n">
        <f aca="false">IF(BZ1192=1,0,ROUNDUP(AP1192/BY1192,0))</f>
        <v>1</v>
      </c>
      <c r="AR1192" s="52" t="n">
        <f aca="false">IF(CQ1192&gt;0,CQ1192*MAX(1,AP1192/X1192),IF(BZ1192=1,IF(AP1192&lt;=0,0,CD1192*MAX(1,IF(H1192&gt;0,AP1192/H1192,1))),IF(R1192&gt;0,AQ1192/R1192,0))/MAX(0.1,N(Parameter!$M$21)))</f>
        <v>0.0833333333333333</v>
      </c>
      <c r="AS1192" s="50" t="n">
        <f aca="false">AR1192*CB1192</f>
        <v>20.4166666666667</v>
      </c>
      <c r="AT1192" s="51" t="n">
        <f aca="false">IF(LEFT(Cockpit!$I$5,1)="A",H1192,IF(CH1192=1,(CK1192+CI1192)/2,IF(LEFT(Cockpit!$I$5,1)="B",(CK1192+AV1192)/2,MAX((CK1192+AV1192)/2,H1192))))</f>
        <v>13</v>
      </c>
      <c r="AU1192" s="50" t="n">
        <f aca="false">AT1192*G1192</f>
        <v>1391</v>
      </c>
      <c r="AV1192" s="50" t="n">
        <f aca="false">ROUNDUP(CK1192+MAX(CL1192,2*(J1192/IF(CG1192&gt;0,CG1192,MAX(0.1,N(Cockpit!$I$6)))-CK1192)),0)</f>
        <v>5</v>
      </c>
      <c r="AW1192" s="51" t="n">
        <f aca="false">IF(AS1192&gt;0,J1192/AS1192,-1)</f>
        <v>0.195918367346939</v>
      </c>
      <c r="AX1192" s="51" t="n">
        <f aca="false">IF(AND(OR(CF1192="L1",CF1192="L23",CF1192="LIFT"),AS1192&gt;0),SUMIFS($AS$7:$AS$1843,$CF$7:$CF$1843,CF1192,$AW$7:$AW$1843,"&gt;"&amp;AW1192)+SUMIFS($AS$7:$AS$1843,$CF$7:$CF$1843,CF1192,$AW$7:$AW$1843,AW1192,$BW$7:$BW$1843,"&lt;="&amp;BW1192),"")</f>
        <v>15410.657967033</v>
      </c>
      <c r="AY1192" s="58" t="n">
        <f aca="false">IF(AX1192="",0,MAX(0,MIN(1,(IF(CF1192="L1",Parameter!$H$5,IF(CF1192="L23",Parameter!$H$6+Parameter!$H$7,Parameter!$H$5+Parameter!$H$6+Parameter!$H$7))-(AX1192-AS1192))/AS1192)))</f>
        <v>1</v>
      </c>
      <c r="AZ1192" s="50" t="n">
        <f aca="false">IF(LEFT(Cockpit!$O$5,1)="A",H1192,IF(Parameter!$E$30="MAX-Bestand",IF(CH1192=1,CI1192,IF(LEFT(Cockpit!$O$5,1)="B",BF1192,MAX(BF1192,H1192))),ROUNDUP(BD1192,0)))</f>
        <v>3</v>
      </c>
      <c r="BA1192" s="50" t="n">
        <f aca="false">IF(BZ1192=1,0,ROUNDUP(AZ1192/BY1192,0))</f>
        <v>1</v>
      </c>
      <c r="BB1192" s="52" t="n">
        <f aca="false">IF(CQ1192&gt;0,CQ1192*MAX(1,AZ1192/X1192),IF(BZ1192=1,IF(AZ1192&lt;=0,0,CD1192*MAX(1,IF(H1192&gt;0,AZ1192/H1192,1))),IF(R1192&gt;0,BA1192/R1192,0))/MAX(0.1,N(Parameter!$M$21)))</f>
        <v>0.0833333333333333</v>
      </c>
      <c r="BC1192" s="50" t="n">
        <f aca="false">BB1192*CB1192</f>
        <v>20.4166666666667</v>
      </c>
      <c r="BD1192" s="51" t="n">
        <f aca="false">IF(LEFT(Cockpit!$O$5,1)="A",H1192,IF(CH1192=1,(CK1192+CI1192)/2,IF(LEFT(Cockpit!$O$5,1)="B",(CK1192+BF1192)/2,MAX((CK1192+BF1192)/2,H1192))))</f>
        <v>2.5</v>
      </c>
      <c r="BE1192" s="50" t="n">
        <f aca="false">BD1192*G1192</f>
        <v>267.5</v>
      </c>
      <c r="BF1192" s="50" t="n">
        <f aca="false">ROUNDUP(CK1192+MAX(CL1192,2*(J1192/IF(CG1192&gt;0,CG1192,MAX(0.1,N(Cockpit!$O$6)))-CK1192)),0)</f>
        <v>5</v>
      </c>
      <c r="BG1192" s="51" t="n">
        <f aca="false">IF(BC1192&gt;0,J1192/BC1192,-1)</f>
        <v>0.195918367346939</v>
      </c>
      <c r="BH1192" s="51" t="n">
        <f aca="false">IF(AND(OR(CF1192="L1",CF1192="L23",CF1192="LIFT"),BC1192&gt;0),SUMIFS($BC$7:$BC$1843,$CF$7:$CF$1843,CF1192,$BG$7:$BG$1843,"&gt;"&amp;BG1192)+SUMIFS($BC$7:$BC$1843,$CF$7:$CF$1843,CF1192,$BG$7:$BG$1843,BG1192,$BW$7:$BW$1843,"&lt;="&amp;BW1192),"")</f>
        <v>13206.9962568035</v>
      </c>
      <c r="BI1192" s="58" t="n">
        <f aca="false">IF(BH1192="",0,MAX(0,MIN(1,(IF(CF1192="L1",Parameter!$H$5,IF(CF1192="L23",Parameter!$H$6+Parameter!$H$7,Parameter!$H$5+Parameter!$H$6+Parameter!$H$7))-(BH1192-BC1192))/BC1192)))</f>
        <v>1</v>
      </c>
      <c r="BJ1192" s="48" t="str">
        <f aca="false">IF(AI1192&lt;=0,"",IF(CF1192="Aussen","Aussenlager",IF(CF1192="-","Nicht im Lift",IF(AO1192&gt;=1,"Lift",IF(AO1192&lt;=0,"Aussenlager","teilweise")))))</f>
        <v>Lift</v>
      </c>
      <c r="BK1192" s="48" t="str">
        <f aca="false">IF(AS1192&lt;=0,"",IF(CF1192="Aussen","Aussenlager",IF(CF1192="-","Nicht im Lift",IF(AY1192&gt;=1,"Lift",IF(AY1192&lt;=0,"Aussenlager","teilweise")))))</f>
        <v>Lift</v>
      </c>
      <c r="BL1192" s="48" t="str">
        <f aca="false">IF(BC1192&lt;=0,"",IF(CF1192="Aussen","Aussenlager",IF(CF1192="-","Nicht im Lift",IF(BI1192&gt;=1,"Lift",IF(BI1192&lt;=0,"Aussenlager","teilweise")))))</f>
        <v>Lift</v>
      </c>
      <c r="BM1192" s="48" t="str">
        <f aca="false">IF(A1192="","",IF(BV1192=1,"Neu; ","")&amp;IF(AND(BV1192=0,BQ1192&lt;0),"negativer Bestand (Export "&amp;BQ1192&amp;"); ","")&amp;IF(J1192&lt;=0,"Kein Verbrauch; ","")&amp;IF(CQ1192&gt;0,"Lift "&amp;W1192&amp;" lt. Liftbericht (Fach "&amp;X1192&amp;" Stk); ",IF(CA1192=1,"Gebinde geschätzt ("&amp;T1192&amp;"); ",IF(BZ1192=1,"Lose – Tablare geschätzt; ","")))&amp;IF(H1192&gt;AV1192,"Überbestand "&amp;ROUND(H1192-AV1192,0)&amp;" Stk / CHF "&amp;ROUND((H1192-AV1192)*G1192,0)&amp;"; ","")&amp;IF(AND(CH1192=1,CI1192&lt;CJ1192),"MAX &lt; MB+LG; ","")&amp;IF(AND(CP1192&gt;0,CO1192*10&gt;CP1192),"zu hoch für Tablar; ","")&amp;IF(AND(BV1192=0,OR(CH1192=1,AA1192&lt;&gt;"",U1192&lt;&gt;"",V1192&lt;&gt;"",AB1192&lt;&gt;"")),"manuell übersteuert; ","")&amp;IF(AND(BZ1192=0,R1192=0),"Gebinde unbekannt / Stellmass fehlt; ","")&amp;IF(AND(BZ1192=0,N(V1192)&lt;=0,N(Q1192)&lt;=0),"Menge pro Gebinde fehlt (Ist = 1 Gebinde); ","")&amp;BU1192)</f>
        <v>negativer Bestand (Export -4); Überbestand 8 Stk / CHF 856; Überbestand</v>
      </c>
      <c r="BN1192" s="48"/>
      <c r="BO1192" s="48"/>
      <c r="BP1192" s="55"/>
      <c r="BQ1192" s="50" t="n">
        <v>-4</v>
      </c>
      <c r="BR1192" s="50" t="n">
        <v>17</v>
      </c>
      <c r="BS1192" s="49" t="n">
        <v>-428</v>
      </c>
      <c r="BT1192" s="50" t="n">
        <v>4</v>
      </c>
      <c r="BU1192" s="48" t="s">
        <v>401</v>
      </c>
      <c r="BV1192" s="53" t="n">
        <v>0</v>
      </c>
      <c r="BW1192" s="53" t="n">
        <v>1192</v>
      </c>
      <c r="BX1192" s="48" t="str">
        <f aca="false">IF(U1192&lt;&gt;"",UPPER(TRIM(U1192)),IF(CA1192=1,UPPER(VLOOKUP(T1192,Parameter!$I$27:$K$29,2,0)),IF(P1192="","LOSE",P1192)))</f>
        <v>S62</v>
      </c>
      <c r="BY1192" s="50" t="n">
        <f aca="false">IF(BX1192="LOSE",1,IF(N(V1192)&gt;0,V1192,IF(CA1192=1,MAX(1,N(VLOOKUP(T1192,Parameter!$I$27:$K$29,3,0)),H1192,N(N1192)),IF(N(Q1192)&gt;0,Q1192,MAX(1,H1192)))))</f>
        <v>32</v>
      </c>
      <c r="BZ1192" s="53" t="n">
        <f aca="false">IF(BX1192="LOSE",1,0)</f>
        <v>0</v>
      </c>
      <c r="CA1192" s="53" t="n">
        <f aca="false">IF(AND(U1192="",OR(P1192="",P1192="LOSE"),T1192&lt;&gt;"",N(S1192)&lt;=0,ISNUMBER(MATCH(T1192,Parameter!$I$27:$I$29,0))),1,0)</f>
        <v>0</v>
      </c>
      <c r="CB1192" s="53" t="n">
        <f aca="false">IF(CQ1192&gt;0,INDEX(Parameter!$H$5:$H$7,W1192)/INDEX(Parameter!$E$5:$E$7,W1192),IF(AND(BZ1192=0,N(IFERROR(VLOOKUP(BX1192,'Gebinde-Kategorie'!$A$5:$N$45,14,0),0))&gt;0),VLOOKUP(BX1192,'Gebinde-Kategorie'!$A$5:$N$45,14,0)*10+Parameter!$M$23,Parameter!$M$24))</f>
        <v>245</v>
      </c>
      <c r="CC1192" s="48" t="str">
        <f aca="false">IF(AND(Parameter!$B$19="Ja",E1192&lt;&gt;"",ISNUMBER(MATCH(E1192,Parameter!$I$35:$I$52,0))),VLOOKUP(E1192,Parameter!$I$35:$J$52,2,0),IFERROR(VLOOKUP(D1192,Parameter!$A$35:$C$64,2,0),"Nein"))</f>
        <v>2+3</v>
      </c>
      <c r="CD1192" s="52" t="n">
        <f aca="false">IF(BZ1192=0,0,IF(N(S1192)&gt;0,S1192,IFERROR(VLOOKUP(D1192,Parameter!$A$35:$C$64,3,0)+0,0)))</f>
        <v>0</v>
      </c>
      <c r="CE1192" s="48" t="n">
        <f aca="false">IF(AA1192&lt;&gt;"",AA1192,Z1192)</f>
        <v>2</v>
      </c>
      <c r="CF1192" s="48" t="str">
        <f aca="false">IF(OR(CE1192=1,CE1192=2,CE1192=3),IF(Parameter!$E$27="Ja","LIFT",IF(CE1192=1,"L1","L23")),IF(CE1192="Aussen","Aussen","-"))</f>
        <v>LIFT</v>
      </c>
      <c r="CG1192" s="59" t="n">
        <f aca="false">IF(N(AB1192)&gt;0,AB1192,0)</f>
        <v>0</v>
      </c>
      <c r="CH1192" s="53" t="n">
        <f aca="false">IF(ISNUMBER(AE1192),1,0)</f>
        <v>0</v>
      </c>
      <c r="CI1192" s="50" t="n">
        <f aca="false">N(AE1192)</f>
        <v>0</v>
      </c>
      <c r="CJ1192" s="50" t="n">
        <f aca="false">N(M1192)+N(N1192)</f>
        <v>5</v>
      </c>
      <c r="CK1192" s="50" t="n">
        <f aca="false">N(M1192)</f>
        <v>0</v>
      </c>
      <c r="CL1192" s="50" t="n">
        <f aca="false">N(N1192)</f>
        <v>5</v>
      </c>
      <c r="CM1192" s="50" t="n">
        <f aca="false">ROUNDUP(H1192/BY1192,0)</f>
        <v>1</v>
      </c>
      <c r="CN1192" s="50" t="n">
        <f aca="false">ROUNDUP(CI1192/BY1192,0)</f>
        <v>0</v>
      </c>
      <c r="CO1192" s="53" t="n">
        <f aca="false">IF(BZ1192=1,0,IFERROR(VLOOKUP(BX1192,'Gebinde-Kategorie'!$A$5:$N$45,5,0)+0,0))</f>
        <v>21</v>
      </c>
      <c r="CP1192" s="53" t="n">
        <f aca="false">IFERROR(IF(OR(CE1192=1,CE1192=2,CE1192=3),N(INDEX(Parameter!$I$5:$I$7,CE1192)),0),0)</f>
        <v>0</v>
      </c>
      <c r="CQ1192" s="52" t="n">
        <f aca="false">IF(AND(Parameter!$B$21="Ja",ISNUMBER(W1192),N(X1192)&gt;0),IFERROR(N(INDEX(Parameter!$L$5:$L$7,W1192))*INDEX(Parameter!$E$5:$E$7,W1192)*X1192/SUMIFS($X$7:$X$1843,$W$7:$W$1843,W1192),0),0)</f>
        <v>0</v>
      </c>
    </row>
    <row r="1193" customFormat="false" ht="15" hidden="false" customHeight="false" outlineLevel="0" collapsed="false">
      <c r="A1193" s="48" t="s">
        <v>2155</v>
      </c>
      <c r="B1193" s="48" t="s">
        <v>2156</v>
      </c>
      <c r="C1193" s="48" t="s">
        <v>173</v>
      </c>
      <c r="D1193" s="48" t="s">
        <v>193</v>
      </c>
      <c r="E1193" s="48" t="s">
        <v>194</v>
      </c>
      <c r="F1193" s="48" t="s">
        <v>227</v>
      </c>
      <c r="G1193" s="49" t="n">
        <v>79.87</v>
      </c>
      <c r="H1193" s="50" t="n">
        <f aca="false">MAX(0,IF(AND(Parameter!$B$21="Ja",ISNUMBER(Y1193)),Y1193,IF(Parameter!$B$20="Jahresanfang 2025 + Export",BR1193+BQ1193,BQ1193)))</f>
        <v>6</v>
      </c>
      <c r="I1193" s="50" t="n">
        <f aca="false">H1193*G1193</f>
        <v>479.22</v>
      </c>
      <c r="J1193" s="50" t="n">
        <f aca="false">BT1193*Parameter!$B$18</f>
        <v>13</v>
      </c>
      <c r="K1193" s="51" t="n">
        <v>10</v>
      </c>
      <c r="L1193" s="52" t="n">
        <v>1.3</v>
      </c>
      <c r="M1193" s="50" t="n">
        <v>0</v>
      </c>
      <c r="N1193" s="50" t="n">
        <v>15</v>
      </c>
      <c r="O1193" s="53" t="n">
        <v>21</v>
      </c>
      <c r="P1193" s="48" t="s">
        <v>242</v>
      </c>
      <c r="Q1193" s="50" t="n">
        <v>4</v>
      </c>
      <c r="R1193" s="53" t="n">
        <f aca="false">IF(BZ1193=1,0,IFERROR(VLOOKUP(BX1193,'Gebinde-Kategorie'!$A$5:$N$45,13,0)+0,0))</f>
        <v>26</v>
      </c>
      <c r="S1193" s="54"/>
      <c r="T1193" s="55"/>
      <c r="U1193" s="55"/>
      <c r="V1193" s="55"/>
      <c r="W1193" s="48"/>
      <c r="X1193" s="50"/>
      <c r="Y1193" s="50"/>
      <c r="Z1193" s="48" t="n">
        <f aca="false">IF(A1193="","",IF(AND(Parameter!$B$21="Ja",ISNUMBER(W1193)),W1193,IF(CC1193="2+3",IF(ISNUMBER(SEARCH("grosser Artikel",BU1193)),2,IFERROR(VLOOKUP(BX1193,Parameter!$F$35:$G$64,2,0),2)),IF(OR(CC1193="Nein",CC1193=""),"-",CC1193))))</f>
        <v>3</v>
      </c>
      <c r="AA1193" s="55"/>
      <c r="AB1193" s="56"/>
      <c r="AC1193" s="50" t="n">
        <f aca="false">AV1193</f>
        <v>15</v>
      </c>
      <c r="AD1193" s="50" t="n">
        <f aca="false">MAX(AV1193,H1193)</f>
        <v>15</v>
      </c>
      <c r="AE1193" s="57"/>
      <c r="AF1193" s="50" t="n">
        <f aca="false">IF(LEFT(Cockpit!$C$5,1)="A",H1193,IF(Parameter!$E$30="MAX-Bestand",IF(CH1193=1,CI1193,IF(LEFT(Cockpit!$C$5,1)="B",AL1193,MAX(AL1193,H1193))),ROUNDUP(AJ1193,0)))</f>
        <v>6</v>
      </c>
      <c r="AG1193" s="50" t="n">
        <f aca="false">IF(BZ1193=1,0,ROUNDUP(AF1193/BY1193,0))</f>
        <v>2</v>
      </c>
      <c r="AH1193" s="52" t="n">
        <f aca="false">IF(CQ1193&gt;0,CQ1193*MAX(1,AF1193/X1193),IF(BZ1193=1,IF(AF1193&lt;=0,0,CD1193*MAX(1,IF(H1193&gt;0,AF1193/H1193,1))),IF(R1193&gt;0,AG1193/R1193,0))/MAX(0.1,N(Parameter!$M$21)))</f>
        <v>0.0769230769230769</v>
      </c>
      <c r="AI1193" s="50" t="n">
        <f aca="false">AH1193*CB1193</f>
        <v>18.8461538461538</v>
      </c>
      <c r="AJ1193" s="51" t="n">
        <f aca="false">IF(LEFT(Cockpit!$C$5,1)="A",H1193,IF(CH1193=1,(CK1193+CI1193)/2,IF(LEFT(Cockpit!$C$5,1)="B",(CK1193+AL1193)/2,MAX((CK1193+AL1193)/2,H1193))))</f>
        <v>6</v>
      </c>
      <c r="AK1193" s="50" t="n">
        <f aca="false">AJ1193*G1193</f>
        <v>479.22</v>
      </c>
      <c r="AL1193" s="50" t="n">
        <f aca="false">ROUNDUP(CK1193+MAX(CL1193,2*(J1193/IF(CG1193&gt;0,CG1193,MAX(0.1,N(Cockpit!$C$6)))-CK1193)),0)</f>
        <v>15</v>
      </c>
      <c r="AM1193" s="51" t="n">
        <f aca="false">IF(AI1193&gt;0,J1193/AI1193,-1)</f>
        <v>0.689795918367347</v>
      </c>
      <c r="AN1193" s="51" t="n">
        <f aca="false">IF(AND(OR(CF1193="L1",CF1193="L23",CF1193="LIFT"),AI1193&gt;0),SUMIFS($AI$7:$AI$1843,$CF$7:$CF$1843,CF1193,$AM$7:$AM$1843,"&gt;"&amp;AM1193)+SUMIFS($AI$7:$AI$1843,$CF$7:$CF$1843,CF1193,$AM$7:$AM$1843,AM1193,$BW$7:$BW$1843,"&lt;="&amp;BW1193),"")</f>
        <v>8474.76602564103</v>
      </c>
      <c r="AO1193" s="58" t="n">
        <f aca="false">IF(AN1193="",0,MAX(0,MIN(1,(IF(CF1193="L1",Parameter!$H$5,IF(CF1193="L23",Parameter!$H$6+Parameter!$H$7,Parameter!$H$5+Parameter!$H$6+Parameter!$H$7))-(AN1193-AI1193))/AI1193)))</f>
        <v>1</v>
      </c>
      <c r="AP1193" s="50" t="n">
        <f aca="false">IF(LEFT(Cockpit!$I$5,1)="A",H1193,IF(Parameter!$E$30="MAX-Bestand",IF(CH1193=1,CI1193,IF(LEFT(Cockpit!$I$5,1)="B",AV1193,MAX(AV1193,H1193))),ROUNDUP(AT1193,0)))</f>
        <v>8</v>
      </c>
      <c r="AQ1193" s="50" t="n">
        <f aca="false">IF(BZ1193=1,0,ROUNDUP(AP1193/BY1193,0))</f>
        <v>2</v>
      </c>
      <c r="AR1193" s="52" t="n">
        <f aca="false">IF(CQ1193&gt;0,CQ1193*MAX(1,AP1193/X1193),IF(BZ1193=1,IF(AP1193&lt;=0,0,CD1193*MAX(1,IF(H1193&gt;0,AP1193/H1193,1))),IF(R1193&gt;0,AQ1193/R1193,0))/MAX(0.1,N(Parameter!$M$21)))</f>
        <v>0.0769230769230769</v>
      </c>
      <c r="AS1193" s="50" t="n">
        <f aca="false">AR1193*CB1193</f>
        <v>18.8461538461538</v>
      </c>
      <c r="AT1193" s="51" t="n">
        <f aca="false">IF(LEFT(Cockpit!$I$5,1)="A",H1193,IF(CH1193=1,(CK1193+CI1193)/2,IF(LEFT(Cockpit!$I$5,1)="B",(CK1193+AV1193)/2,MAX((CK1193+AV1193)/2,H1193))))</f>
        <v>7.5</v>
      </c>
      <c r="AU1193" s="50" t="n">
        <f aca="false">AT1193*G1193</f>
        <v>599.025</v>
      </c>
      <c r="AV1193" s="50" t="n">
        <f aca="false">ROUNDUP(CK1193+MAX(CL1193,2*(J1193/IF(CG1193&gt;0,CG1193,MAX(0.1,N(Cockpit!$I$6)))-CK1193)),0)</f>
        <v>15</v>
      </c>
      <c r="AW1193" s="51" t="n">
        <f aca="false">IF(AS1193&gt;0,J1193/AS1193,-1)</f>
        <v>0.689795918367347</v>
      </c>
      <c r="AX1193" s="51" t="n">
        <f aca="false">IF(AND(OR(CF1193="L1",CF1193="L23",CF1193="LIFT"),AS1193&gt;0),SUMIFS($AS$7:$AS$1843,$CF$7:$CF$1843,CF1193,$AW$7:$AW$1843,"&gt;"&amp;AW1193)+SUMIFS($AS$7:$AS$1843,$CF$7:$CF$1843,CF1193,$AW$7:$AW$1843,AW1193,$BW$7:$BW$1843,"&lt;="&amp;BW1193),"")</f>
        <v>10758.5009157509</v>
      </c>
      <c r="AY1193" s="58" t="n">
        <f aca="false">IF(AX1193="",0,MAX(0,MIN(1,(IF(CF1193="L1",Parameter!$H$5,IF(CF1193="L23",Parameter!$H$6+Parameter!$H$7,Parameter!$H$5+Parameter!$H$6+Parameter!$H$7))-(AX1193-AS1193))/AS1193)))</f>
        <v>1</v>
      </c>
      <c r="AZ1193" s="50" t="n">
        <f aca="false">IF(LEFT(Cockpit!$O$5,1)="A",H1193,IF(Parameter!$E$30="MAX-Bestand",IF(CH1193=1,CI1193,IF(LEFT(Cockpit!$O$5,1)="B",BF1193,MAX(BF1193,H1193))),ROUNDUP(BD1193,0)))</f>
        <v>8</v>
      </c>
      <c r="BA1193" s="50" t="n">
        <f aca="false">IF(BZ1193=1,0,ROUNDUP(AZ1193/BY1193,0))</f>
        <v>2</v>
      </c>
      <c r="BB1193" s="52" t="n">
        <f aca="false">IF(CQ1193&gt;0,CQ1193*MAX(1,AZ1193/X1193),IF(BZ1193=1,IF(AZ1193&lt;=0,0,CD1193*MAX(1,IF(H1193&gt;0,AZ1193/H1193,1))),IF(R1193&gt;0,BA1193/R1193,0))/MAX(0.1,N(Parameter!$M$21)))</f>
        <v>0.0769230769230769</v>
      </c>
      <c r="BC1193" s="50" t="n">
        <f aca="false">BB1193*CB1193</f>
        <v>18.8461538461538</v>
      </c>
      <c r="BD1193" s="51" t="n">
        <f aca="false">IF(LEFT(Cockpit!$O$5,1)="A",H1193,IF(CH1193=1,(CK1193+CI1193)/2,IF(LEFT(Cockpit!$O$5,1)="B",(CK1193+BF1193)/2,MAX((CK1193+BF1193)/2,H1193))))</f>
        <v>7.5</v>
      </c>
      <c r="BE1193" s="50" t="n">
        <f aca="false">BD1193*G1193</f>
        <v>599.025</v>
      </c>
      <c r="BF1193" s="50" t="n">
        <f aca="false">ROUNDUP(CK1193+MAX(CL1193,2*(J1193/IF(CG1193&gt;0,CG1193,MAX(0.1,N(Cockpit!$O$6)))-CK1193)),0)</f>
        <v>15</v>
      </c>
      <c r="BG1193" s="51" t="n">
        <f aca="false">IF(BC1193&gt;0,J1193/BC1193,-1)</f>
        <v>0.689795918367347</v>
      </c>
      <c r="BH1193" s="51" t="n">
        <f aca="false">IF(AND(OR(CF1193="L1",CF1193="L23",CF1193="LIFT"),BC1193&gt;0),SUMIFS($BC$7:$BC$1843,$CF$7:$CF$1843,CF1193,$BG$7:$BG$1843,"&gt;"&amp;BG1193)+SUMIFS($BC$7:$BC$1843,$CF$7:$CF$1843,CF1193,$BG$7:$BG$1843,BG1193,$BW$7:$BW$1843,"&lt;="&amp;BW1193),"")</f>
        <v>9376.88507326007</v>
      </c>
      <c r="BI1193" s="58" t="n">
        <f aca="false">IF(BH1193="",0,MAX(0,MIN(1,(IF(CF1193="L1",Parameter!$H$5,IF(CF1193="L23",Parameter!$H$6+Parameter!$H$7,Parameter!$H$5+Parameter!$H$6+Parameter!$H$7))-(BH1193-BC1193))/BC1193)))</f>
        <v>1</v>
      </c>
      <c r="BJ1193" s="48" t="str">
        <f aca="false">IF(AI1193&lt;=0,"",IF(CF1193="Aussen","Aussenlager",IF(CF1193="-","Nicht im Lift",IF(AO1193&gt;=1,"Lift",IF(AO1193&lt;=0,"Aussenlager","teilweise")))))</f>
        <v>Lift</v>
      </c>
      <c r="BK1193" s="48" t="str">
        <f aca="false">IF(AS1193&lt;=0,"",IF(CF1193="Aussen","Aussenlager",IF(CF1193="-","Nicht im Lift",IF(AY1193&gt;=1,"Lift",IF(AY1193&lt;=0,"Aussenlager","teilweise")))))</f>
        <v>Lift</v>
      </c>
      <c r="BL1193" s="48" t="str">
        <f aca="false">IF(BC1193&lt;=0,"",IF(CF1193="Aussen","Aussenlager",IF(CF1193="-","Nicht im Lift",IF(BI1193&gt;=1,"Lift",IF(BI1193&lt;=0,"Aussenlager","teilweise")))))</f>
        <v>Lift</v>
      </c>
      <c r="BM1193" s="48" t="str">
        <f aca="false">IF(A1193="","",IF(BV1193=1,"Neu; ","")&amp;IF(AND(BV1193=0,BQ1193&lt;0),"negativer Bestand (Export "&amp;BQ1193&amp;"); ","")&amp;IF(J1193&lt;=0,"Kein Verbrauch; ","")&amp;IF(CQ1193&gt;0,"Lift "&amp;W1193&amp;" lt. Liftbericht (Fach "&amp;X1193&amp;" Stk); ",IF(CA1193=1,"Gebinde geschätzt ("&amp;T1193&amp;"); ",IF(BZ1193=1,"Lose – Tablare geschätzt; ","")))&amp;IF(H1193&gt;AV1193,"Überbestand "&amp;ROUND(H1193-AV1193,0)&amp;" Stk / CHF "&amp;ROUND((H1193-AV1193)*G1193,0)&amp;"; ","")&amp;IF(AND(CH1193=1,CI1193&lt;CJ1193),"MAX &lt; MB+LG; ","")&amp;IF(AND(CP1193&gt;0,CO1193*10&gt;CP1193),"zu hoch für Tablar; ","")&amp;IF(AND(BV1193=0,OR(CH1193=1,AA1193&lt;&gt;"",U1193&lt;&gt;"",V1193&lt;&gt;"",AB1193&lt;&gt;"")),"manuell übersteuert; ","")&amp;IF(AND(BZ1193=0,R1193=0),"Gebinde unbekannt / Stellmass fehlt; ","")&amp;IF(AND(BZ1193=0,N(V1193)&lt;=0,N(Q1193)&lt;=0),"Menge pro Gebinde fehlt (Ist = 1 Gebinde); ","")&amp;BU1193)</f>
        <v>negativer Bestand (Export -6); </v>
      </c>
      <c r="BN1193" s="48"/>
      <c r="BO1193" s="48"/>
      <c r="BP1193" s="55"/>
      <c r="BQ1193" s="50" t="n">
        <v>-6</v>
      </c>
      <c r="BR1193" s="50" t="n">
        <v>12</v>
      </c>
      <c r="BS1193" s="49" t="n">
        <v>-435.78</v>
      </c>
      <c r="BT1193" s="50" t="n">
        <v>13</v>
      </c>
      <c r="BU1193" s="48"/>
      <c r="BV1193" s="53" t="n">
        <v>0</v>
      </c>
      <c r="BW1193" s="53" t="n">
        <v>1193</v>
      </c>
      <c r="BX1193" s="48" t="str">
        <f aca="false">IF(U1193&lt;&gt;"",UPPER(TRIM(U1193)),IF(CA1193=1,UPPER(VLOOKUP(T1193,Parameter!$I$27:$K$29,2,0)),IF(P1193="","LOSE",P1193)))</f>
        <v>S52</v>
      </c>
      <c r="BY1193" s="50" t="n">
        <f aca="false">IF(BX1193="LOSE",1,IF(N(V1193)&gt;0,V1193,IF(CA1193=1,MAX(1,N(VLOOKUP(T1193,Parameter!$I$27:$K$29,3,0)),H1193,N(N1193)),IF(N(Q1193)&gt;0,Q1193,MAX(1,H1193)))))</f>
        <v>4</v>
      </c>
      <c r="BZ1193" s="53" t="n">
        <f aca="false">IF(BX1193="LOSE",1,0)</f>
        <v>0</v>
      </c>
      <c r="CA1193" s="53" t="n">
        <f aca="false">IF(AND(U1193="",OR(P1193="",P1193="LOSE"),T1193&lt;&gt;"",N(S1193)&lt;=0,ISNUMBER(MATCH(T1193,Parameter!$I$27:$I$29,0))),1,0)</f>
        <v>0</v>
      </c>
      <c r="CB1193" s="53" t="n">
        <f aca="false">IF(CQ1193&gt;0,INDEX(Parameter!$H$5:$H$7,W1193)/INDEX(Parameter!$E$5:$E$7,W1193),IF(AND(BZ1193=0,N(IFERROR(VLOOKUP(BX1193,'Gebinde-Kategorie'!$A$5:$N$45,14,0),0))&gt;0),VLOOKUP(BX1193,'Gebinde-Kategorie'!$A$5:$N$45,14,0)*10+Parameter!$M$23,Parameter!$M$24))</f>
        <v>245</v>
      </c>
      <c r="CC1193" s="48" t="str">
        <f aca="false">IF(AND(Parameter!$B$19="Ja",E1193&lt;&gt;"",ISNUMBER(MATCH(E1193,Parameter!$I$35:$I$52,0))),VLOOKUP(E1193,Parameter!$I$35:$J$52,2,0),IFERROR(VLOOKUP(D1193,Parameter!$A$35:$C$64,2,0),"Nein"))</f>
        <v>2+3</v>
      </c>
      <c r="CD1193" s="52" t="n">
        <f aca="false">IF(BZ1193=0,0,IF(N(S1193)&gt;0,S1193,IFERROR(VLOOKUP(D1193,Parameter!$A$35:$C$64,3,0)+0,0)))</f>
        <v>0</v>
      </c>
      <c r="CE1193" s="48" t="n">
        <f aca="false">IF(AA1193&lt;&gt;"",AA1193,Z1193)</f>
        <v>3</v>
      </c>
      <c r="CF1193" s="48" t="str">
        <f aca="false">IF(OR(CE1193=1,CE1193=2,CE1193=3),IF(Parameter!$E$27="Ja","LIFT",IF(CE1193=1,"L1","L23")),IF(CE1193="Aussen","Aussen","-"))</f>
        <v>LIFT</v>
      </c>
      <c r="CG1193" s="59" t="n">
        <f aca="false">IF(N(AB1193)&gt;0,AB1193,0)</f>
        <v>0</v>
      </c>
      <c r="CH1193" s="53" t="n">
        <f aca="false">IF(ISNUMBER(AE1193),1,0)</f>
        <v>0</v>
      </c>
      <c r="CI1193" s="50" t="n">
        <f aca="false">N(AE1193)</f>
        <v>0</v>
      </c>
      <c r="CJ1193" s="50" t="n">
        <f aca="false">N(M1193)+N(N1193)</f>
        <v>15</v>
      </c>
      <c r="CK1193" s="50" t="n">
        <f aca="false">N(M1193)</f>
        <v>0</v>
      </c>
      <c r="CL1193" s="50" t="n">
        <f aca="false">N(N1193)</f>
        <v>15</v>
      </c>
      <c r="CM1193" s="50" t="n">
        <f aca="false">ROUNDUP(H1193/BY1193,0)</f>
        <v>2</v>
      </c>
      <c r="CN1193" s="50" t="n">
        <f aca="false">ROUNDUP(CI1193/BY1193,0)</f>
        <v>0</v>
      </c>
      <c r="CO1193" s="53" t="n">
        <f aca="false">IF(BZ1193=1,0,IFERROR(VLOOKUP(BX1193,'Gebinde-Kategorie'!$A$5:$N$45,5,0)+0,0))</f>
        <v>21</v>
      </c>
      <c r="CP1193" s="53" t="n">
        <f aca="false">IFERROR(IF(OR(CE1193=1,CE1193=2,CE1193=3),N(INDEX(Parameter!$I$5:$I$7,CE1193)),0),0)</f>
        <v>0</v>
      </c>
      <c r="CQ1193" s="52" t="n">
        <f aca="false">IF(AND(Parameter!$B$21="Ja",ISNUMBER(W1193),N(X1193)&gt;0),IFERROR(N(INDEX(Parameter!$L$5:$L$7,W1193))*INDEX(Parameter!$E$5:$E$7,W1193)*X1193/SUMIFS($X$7:$X$1843,$W$7:$W$1843,W1193),0),0)</f>
        <v>0</v>
      </c>
    </row>
    <row r="1194" customFormat="false" ht="15" hidden="false" customHeight="false" outlineLevel="0" collapsed="false">
      <c r="A1194" s="48" t="s">
        <v>2157</v>
      </c>
      <c r="B1194" s="48" t="s">
        <v>1951</v>
      </c>
      <c r="C1194" s="48" t="s">
        <v>173</v>
      </c>
      <c r="D1194" s="48" t="s">
        <v>193</v>
      </c>
      <c r="E1194" s="48"/>
      <c r="F1194" s="48" t="s">
        <v>227</v>
      </c>
      <c r="G1194" s="49" t="n">
        <v>40.33</v>
      </c>
      <c r="H1194" s="50" t="n">
        <f aca="false">MAX(0,IF(AND(Parameter!$B$21="Ja",ISNUMBER(Y1194)),Y1194,IF(Parameter!$B$20="Jahresanfang 2025 + Export",BR1194+BQ1194,BQ1194)))</f>
        <v>18</v>
      </c>
      <c r="I1194" s="50" t="n">
        <f aca="false">H1194*G1194</f>
        <v>725.94</v>
      </c>
      <c r="J1194" s="50" t="n">
        <f aca="false">BT1194*Parameter!$B$18</f>
        <v>0</v>
      </c>
      <c r="K1194" s="51" t="n">
        <v>23.5</v>
      </c>
      <c r="L1194" s="52" t="n">
        <v>0</v>
      </c>
      <c r="M1194" s="50" t="n">
        <v>0</v>
      </c>
      <c r="N1194" s="50" t="n">
        <v>1</v>
      </c>
      <c r="O1194" s="53" t="n">
        <v>14</v>
      </c>
      <c r="P1194" s="48" t="s">
        <v>435</v>
      </c>
      <c r="Q1194" s="50" t="n">
        <v>20</v>
      </c>
      <c r="R1194" s="53" t="n">
        <f aca="false">IF(BZ1194=1,0,IFERROR(VLOOKUP(BX1194,'Gebinde-Kategorie'!$A$5:$N$45,13,0)+0,0))</f>
        <v>140</v>
      </c>
      <c r="S1194" s="54"/>
      <c r="T1194" s="55"/>
      <c r="U1194" s="55"/>
      <c r="V1194" s="55"/>
      <c r="W1194" s="48"/>
      <c r="X1194" s="50"/>
      <c r="Y1194" s="50"/>
      <c r="Z1194" s="48" t="n">
        <f aca="false">IF(A1194="","",IF(AND(Parameter!$B$21="Ja",ISNUMBER(W1194)),W1194,IF(CC1194="2+3",IF(ISNUMBER(SEARCH("grosser Artikel",BU1194)),2,IFERROR(VLOOKUP(BX1194,Parameter!$F$35:$G$64,2,0),2)),IF(OR(CC1194="Nein",CC1194=""),"-",CC1194))))</f>
        <v>3</v>
      </c>
      <c r="AA1194" s="55"/>
      <c r="AB1194" s="56"/>
      <c r="AC1194" s="50" t="n">
        <f aca="false">AV1194</f>
        <v>1</v>
      </c>
      <c r="AD1194" s="50" t="n">
        <f aca="false">MAX(AV1194,H1194)</f>
        <v>18</v>
      </c>
      <c r="AE1194" s="57"/>
      <c r="AF1194" s="50" t="n">
        <f aca="false">IF(LEFT(Cockpit!$C$5,1)="A",H1194,IF(Parameter!$E$30="MAX-Bestand",IF(CH1194=1,CI1194,IF(LEFT(Cockpit!$C$5,1)="B",AL1194,MAX(AL1194,H1194))),ROUNDUP(AJ1194,0)))</f>
        <v>18</v>
      </c>
      <c r="AG1194" s="50" t="n">
        <f aca="false">IF(BZ1194=1,0,ROUNDUP(AF1194/BY1194,0))</f>
        <v>1</v>
      </c>
      <c r="AH1194" s="52" t="n">
        <f aca="false">IF(CQ1194&gt;0,CQ1194*MAX(1,AF1194/X1194),IF(BZ1194=1,IF(AF1194&lt;=0,0,CD1194*MAX(1,IF(H1194&gt;0,AF1194/H1194,1))),IF(R1194&gt;0,AG1194/R1194,0))/MAX(0.1,N(Parameter!$M$21)))</f>
        <v>0.00714285714285714</v>
      </c>
      <c r="AI1194" s="50" t="n">
        <f aca="false">AH1194*CB1194</f>
        <v>1.10714285714286</v>
      </c>
      <c r="AJ1194" s="51" t="n">
        <f aca="false">IF(LEFT(Cockpit!$C$5,1)="A",H1194,IF(CH1194=1,(CK1194+CI1194)/2,IF(LEFT(Cockpit!$C$5,1)="B",(CK1194+AL1194)/2,MAX((CK1194+AL1194)/2,H1194))))</f>
        <v>18</v>
      </c>
      <c r="AK1194" s="50" t="n">
        <f aca="false">AJ1194*G1194</f>
        <v>725.94</v>
      </c>
      <c r="AL1194" s="50" t="n">
        <f aca="false">ROUNDUP(CK1194+MAX(CL1194,2*(J1194/IF(CG1194&gt;0,CG1194,MAX(0.1,N(Cockpit!$C$6)))-CK1194)),0)</f>
        <v>1</v>
      </c>
      <c r="AM1194" s="51" t="n">
        <f aca="false">IF(AI1194&gt;0,J1194/AI1194,-1)</f>
        <v>0</v>
      </c>
      <c r="AN1194" s="51" t="n">
        <f aca="false">IF(AND(OR(CF1194="L1",CF1194="L23",CF1194="LIFT"),AI1194&gt;0),SUMIFS($AI$7:$AI$1843,$CF$7:$CF$1843,CF1194,$AM$7:$AM$1843,"&gt;"&amp;AM1194)+SUMIFS($AI$7:$AI$1843,$CF$7:$CF$1843,CF1194,$AM$7:$AM$1843,AM1194,$BW$7:$BW$1843,"&lt;="&amp;BW1194),"")</f>
        <v>29408.5835014797</v>
      </c>
      <c r="AO1194" s="58" t="n">
        <f aca="false">IF(AN1194="",0,MAX(0,MIN(1,(IF(CF1194="L1",Parameter!$H$5,IF(CF1194="L23",Parameter!$H$6+Parameter!$H$7,Parameter!$H$5+Parameter!$H$6+Parameter!$H$7))-(AN1194-AI1194))/AI1194)))</f>
        <v>1</v>
      </c>
      <c r="AP1194" s="50" t="n">
        <f aca="false">IF(LEFT(Cockpit!$I$5,1)="A",H1194,IF(Parameter!$E$30="MAX-Bestand",IF(CH1194=1,CI1194,IF(LEFT(Cockpit!$I$5,1)="B",AV1194,MAX(AV1194,H1194))),ROUNDUP(AT1194,0)))</f>
        <v>18</v>
      </c>
      <c r="AQ1194" s="50" t="n">
        <f aca="false">IF(BZ1194=1,0,ROUNDUP(AP1194/BY1194,0))</f>
        <v>1</v>
      </c>
      <c r="AR1194" s="52" t="n">
        <f aca="false">IF(CQ1194&gt;0,CQ1194*MAX(1,AP1194/X1194),IF(BZ1194=1,IF(AP1194&lt;=0,0,CD1194*MAX(1,IF(H1194&gt;0,AP1194/H1194,1))),IF(R1194&gt;0,AQ1194/R1194,0))/MAX(0.1,N(Parameter!$M$21)))</f>
        <v>0.00714285714285714</v>
      </c>
      <c r="AS1194" s="50" t="n">
        <f aca="false">AR1194*CB1194</f>
        <v>1.10714285714286</v>
      </c>
      <c r="AT1194" s="51" t="n">
        <f aca="false">IF(LEFT(Cockpit!$I$5,1)="A",H1194,IF(CH1194=1,(CK1194+CI1194)/2,IF(LEFT(Cockpit!$I$5,1)="B",(CK1194+AV1194)/2,MAX((CK1194+AV1194)/2,H1194))))</f>
        <v>18</v>
      </c>
      <c r="AU1194" s="50" t="n">
        <f aca="false">AT1194*G1194</f>
        <v>725.94</v>
      </c>
      <c r="AV1194" s="50" t="n">
        <f aca="false">ROUNDUP(CK1194+MAX(CL1194,2*(J1194/IF(CG1194&gt;0,CG1194,MAX(0.1,N(Cockpit!$I$6)))-CK1194)),0)</f>
        <v>1</v>
      </c>
      <c r="AW1194" s="51" t="n">
        <f aca="false">IF(AS1194&gt;0,J1194/AS1194,-1)</f>
        <v>0</v>
      </c>
      <c r="AX1194" s="51" t="n">
        <f aca="false">IF(AND(OR(CF1194="L1",CF1194="L23",CF1194="LIFT"),AS1194&gt;0),SUMIFS($AS$7:$AS$1843,$CF$7:$CF$1843,CF1194,$AW$7:$AW$1843,"&gt;"&amp;AW1194)+SUMIFS($AS$7:$AS$1843,$CF$7:$CF$1843,CF1194,$AW$7:$AW$1843,AW1194,$BW$7:$BW$1843,"&lt;="&amp;BW1194),"")</f>
        <v>35211.4363553114</v>
      </c>
      <c r="AY1194" s="58" t="n">
        <f aca="false">IF(AX1194="",0,MAX(0,MIN(1,(IF(CF1194="L1",Parameter!$H$5,IF(CF1194="L23",Parameter!$H$6+Parameter!$H$7,Parameter!$H$5+Parameter!$H$6+Parameter!$H$7))-(AX1194-AS1194))/AS1194)))</f>
        <v>1</v>
      </c>
      <c r="AZ1194" s="50" t="n">
        <f aca="false">IF(LEFT(Cockpit!$O$5,1)="A",H1194,IF(Parameter!$E$30="MAX-Bestand",IF(CH1194=1,CI1194,IF(LEFT(Cockpit!$O$5,1)="B",BF1194,MAX(BF1194,H1194))),ROUNDUP(BD1194,0)))</f>
        <v>1</v>
      </c>
      <c r="BA1194" s="50" t="n">
        <f aca="false">IF(BZ1194=1,0,ROUNDUP(AZ1194/BY1194,0))</f>
        <v>1</v>
      </c>
      <c r="BB1194" s="52" t="n">
        <f aca="false">IF(CQ1194&gt;0,CQ1194*MAX(1,AZ1194/X1194),IF(BZ1194=1,IF(AZ1194&lt;=0,0,CD1194*MAX(1,IF(H1194&gt;0,AZ1194/H1194,1))),IF(R1194&gt;0,BA1194/R1194,0))/MAX(0.1,N(Parameter!$M$21)))</f>
        <v>0.00714285714285714</v>
      </c>
      <c r="BC1194" s="50" t="n">
        <f aca="false">BB1194*CB1194</f>
        <v>1.10714285714286</v>
      </c>
      <c r="BD1194" s="51" t="n">
        <f aca="false">IF(LEFT(Cockpit!$O$5,1)="A",H1194,IF(CH1194=1,(CK1194+CI1194)/2,IF(LEFT(Cockpit!$O$5,1)="B",(CK1194+BF1194)/2,MAX((CK1194+BF1194)/2,H1194))))</f>
        <v>0.5</v>
      </c>
      <c r="BE1194" s="50" t="n">
        <f aca="false">BD1194*G1194</f>
        <v>20.165</v>
      </c>
      <c r="BF1194" s="50" t="n">
        <f aca="false">ROUNDUP(CK1194+MAX(CL1194,2*(J1194/IF(CG1194&gt;0,CG1194,MAX(0.1,N(Cockpit!$O$6)))-CK1194)),0)</f>
        <v>1</v>
      </c>
      <c r="BG1194" s="51" t="n">
        <f aca="false">IF(BC1194&gt;0,J1194/BC1194,-1)</f>
        <v>0</v>
      </c>
      <c r="BH1194" s="51" t="n">
        <f aca="false">IF(AND(OR(CF1194="L1",CF1194="L23",CF1194="LIFT"),BC1194&gt;0),SUMIFS($BC$7:$BC$1843,$CF$7:$CF$1843,CF1194,$BG$7:$BG$1843,"&gt;"&amp;BG1194)+SUMIFS($BC$7:$BC$1843,$CF$7:$CF$1843,CF1194,$BG$7:$BG$1843,BG1194,$BW$7:$BW$1843,"&lt;="&amp;BW1194),"")</f>
        <v>29196.7430154591</v>
      </c>
      <c r="BI1194" s="58" t="n">
        <f aca="false">IF(BH1194="",0,MAX(0,MIN(1,(IF(CF1194="L1",Parameter!$H$5,IF(CF1194="L23",Parameter!$H$6+Parameter!$H$7,Parameter!$H$5+Parameter!$H$6+Parameter!$H$7))-(BH1194-BC1194))/BC1194)))</f>
        <v>1</v>
      </c>
      <c r="BJ1194" s="48" t="str">
        <f aca="false">IF(AI1194&lt;=0,"",IF(CF1194="Aussen","Aussenlager",IF(CF1194="-","Nicht im Lift",IF(AO1194&gt;=1,"Lift",IF(AO1194&lt;=0,"Aussenlager","teilweise")))))</f>
        <v>Lift</v>
      </c>
      <c r="BK1194" s="48" t="str">
        <f aca="false">IF(AS1194&lt;=0,"",IF(CF1194="Aussen","Aussenlager",IF(CF1194="-","Nicht im Lift",IF(AY1194&gt;=1,"Lift",IF(AY1194&lt;=0,"Aussenlager","teilweise")))))</f>
        <v>Lift</v>
      </c>
      <c r="BL1194" s="48" t="str">
        <f aca="false">IF(BC1194&lt;=0,"",IF(CF1194="Aussen","Aussenlager",IF(CF1194="-","Nicht im Lift",IF(BI1194&gt;=1,"Lift",IF(BI1194&lt;=0,"Aussenlager","teilweise")))))</f>
        <v>Lift</v>
      </c>
      <c r="BM1194" s="48" t="str">
        <f aca="false">IF(A1194="","",IF(BV1194=1,"Neu; ","")&amp;IF(AND(BV1194=0,BQ1194&lt;0),"negativer Bestand (Export "&amp;BQ1194&amp;"); ","")&amp;IF(J1194&lt;=0,"Kein Verbrauch; ","")&amp;IF(CQ1194&gt;0,"Lift "&amp;W1194&amp;" lt. Liftbericht (Fach "&amp;X1194&amp;" Stk); ",IF(CA1194=1,"Gebinde geschätzt ("&amp;T1194&amp;"); ",IF(BZ1194=1,"Lose – Tablare geschätzt; ","")))&amp;IF(H1194&gt;AV1194,"Überbestand "&amp;ROUND(H1194-AV1194,0)&amp;" Stk / CHF "&amp;ROUND((H1194-AV1194)*G1194,0)&amp;"; ","")&amp;IF(AND(CH1194=1,CI1194&lt;CJ1194),"MAX &lt; MB+LG; ","")&amp;IF(AND(CP1194&gt;0,CO1194*10&gt;CP1194),"zu hoch für Tablar; ","")&amp;IF(AND(BV1194=0,OR(CH1194=1,AA1194&lt;&gt;"",U1194&lt;&gt;"",V1194&lt;&gt;"",AB1194&lt;&gt;"")),"manuell übersteuert; ","")&amp;IF(AND(BZ1194=0,R1194=0),"Gebinde unbekannt / Stellmass fehlt; ","")&amp;IF(AND(BZ1194=0,N(V1194)&lt;=0,N(Q1194)&lt;=0),"Menge pro Gebinde fehlt (Ist = 1 Gebinde); ","")&amp;BU1194)</f>
        <v>negativer Bestand (Export -11); Kein Verbrauch; Überbestand 17 Stk / CHF 686; Verb.Lager</v>
      </c>
      <c r="BN1194" s="48"/>
      <c r="BO1194" s="48"/>
      <c r="BP1194" s="55"/>
      <c r="BQ1194" s="50" t="n">
        <v>-11</v>
      </c>
      <c r="BR1194" s="50" t="n">
        <v>29</v>
      </c>
      <c r="BS1194" s="49" t="n">
        <v>-443.63</v>
      </c>
      <c r="BT1194" s="50" t="n">
        <v>0</v>
      </c>
      <c r="BU1194" s="48" t="s">
        <v>1039</v>
      </c>
      <c r="BV1194" s="53" t="n">
        <v>0</v>
      </c>
      <c r="BW1194" s="53" t="n">
        <v>1194</v>
      </c>
      <c r="BX1194" s="48" t="str">
        <f aca="false">IF(U1194&lt;&gt;"",UPPER(TRIM(U1194)),IF(CA1194=1,UPPER(VLOOKUP(T1194,Parameter!$I$27:$K$29,2,0)),IF(P1194="","LOSE",P1194)))</f>
        <v>S22</v>
      </c>
      <c r="BY1194" s="50" t="n">
        <f aca="false">IF(BX1194="LOSE",1,IF(N(V1194)&gt;0,V1194,IF(CA1194=1,MAX(1,N(VLOOKUP(T1194,Parameter!$I$27:$K$29,3,0)),H1194,N(N1194)),IF(N(Q1194)&gt;0,Q1194,MAX(1,H1194)))))</f>
        <v>20</v>
      </c>
      <c r="BZ1194" s="53" t="n">
        <f aca="false">IF(BX1194="LOSE",1,0)</f>
        <v>0</v>
      </c>
      <c r="CA1194" s="53" t="n">
        <f aca="false">IF(AND(U1194="",OR(P1194="",P1194="LOSE"),T1194&lt;&gt;"",N(S1194)&lt;=0,ISNUMBER(MATCH(T1194,Parameter!$I$27:$I$29,0))),1,0)</f>
        <v>0</v>
      </c>
      <c r="CB1194" s="53" t="n">
        <f aca="false">IF(CQ1194&gt;0,INDEX(Parameter!$H$5:$H$7,W1194)/INDEX(Parameter!$E$5:$E$7,W1194),IF(AND(BZ1194=0,N(IFERROR(VLOOKUP(BX1194,'Gebinde-Kategorie'!$A$5:$N$45,14,0),0))&gt;0),VLOOKUP(BX1194,'Gebinde-Kategorie'!$A$5:$N$45,14,0)*10+Parameter!$M$23,Parameter!$M$24))</f>
        <v>155</v>
      </c>
      <c r="CC1194" s="48" t="str">
        <f aca="false">IF(AND(Parameter!$B$19="Ja",E1194&lt;&gt;"",ISNUMBER(MATCH(E1194,Parameter!$I$35:$I$52,0))),VLOOKUP(E1194,Parameter!$I$35:$J$52,2,0),IFERROR(VLOOKUP(D1194,Parameter!$A$35:$C$64,2,0),"Nein"))</f>
        <v>2+3</v>
      </c>
      <c r="CD1194" s="52" t="n">
        <f aca="false">IF(BZ1194=0,0,IF(N(S1194)&gt;0,S1194,IFERROR(VLOOKUP(D1194,Parameter!$A$35:$C$64,3,0)+0,0)))</f>
        <v>0</v>
      </c>
      <c r="CE1194" s="48" t="n">
        <f aca="false">IF(AA1194&lt;&gt;"",AA1194,Z1194)</f>
        <v>3</v>
      </c>
      <c r="CF1194" s="48" t="str">
        <f aca="false">IF(OR(CE1194=1,CE1194=2,CE1194=3),IF(Parameter!$E$27="Ja","LIFT",IF(CE1194=1,"L1","L23")),IF(CE1194="Aussen","Aussen","-"))</f>
        <v>LIFT</v>
      </c>
      <c r="CG1194" s="59" t="n">
        <f aca="false">IF(N(AB1194)&gt;0,AB1194,0)</f>
        <v>0</v>
      </c>
      <c r="CH1194" s="53" t="n">
        <f aca="false">IF(ISNUMBER(AE1194),1,0)</f>
        <v>0</v>
      </c>
      <c r="CI1194" s="50" t="n">
        <f aca="false">N(AE1194)</f>
        <v>0</v>
      </c>
      <c r="CJ1194" s="50" t="n">
        <f aca="false">N(M1194)+N(N1194)</f>
        <v>1</v>
      </c>
      <c r="CK1194" s="50" t="n">
        <f aca="false">N(M1194)</f>
        <v>0</v>
      </c>
      <c r="CL1194" s="50" t="n">
        <f aca="false">N(N1194)</f>
        <v>1</v>
      </c>
      <c r="CM1194" s="50" t="n">
        <f aca="false">ROUNDUP(H1194/BY1194,0)</f>
        <v>1</v>
      </c>
      <c r="CN1194" s="50" t="n">
        <f aca="false">ROUNDUP(CI1194/BY1194,0)</f>
        <v>0</v>
      </c>
      <c r="CO1194" s="53" t="n">
        <f aca="false">IF(BZ1194=1,0,IFERROR(VLOOKUP(BX1194,'Gebinde-Kategorie'!$A$5:$N$45,5,0)+0,0))</f>
        <v>8</v>
      </c>
      <c r="CP1194" s="53" t="n">
        <f aca="false">IFERROR(IF(OR(CE1194=1,CE1194=2,CE1194=3),N(INDEX(Parameter!$I$5:$I$7,CE1194)),0),0)</f>
        <v>0</v>
      </c>
      <c r="CQ1194" s="52" t="n">
        <f aca="false">IF(AND(Parameter!$B$21="Ja",ISNUMBER(W1194),N(X1194)&gt;0),IFERROR(N(INDEX(Parameter!$L$5:$L$7,W1194))*INDEX(Parameter!$E$5:$E$7,W1194)*X1194/SUMIFS($X$7:$X$1843,$W$7:$W$1843,W1194),0),0)</f>
        <v>0</v>
      </c>
    </row>
    <row r="1195" customFormat="false" ht="15" hidden="false" customHeight="false" outlineLevel="0" collapsed="false">
      <c r="A1195" s="48" t="s">
        <v>2158</v>
      </c>
      <c r="B1195" s="48" t="s">
        <v>2159</v>
      </c>
      <c r="C1195" s="48" t="s">
        <v>176</v>
      </c>
      <c r="D1195" s="48" t="s">
        <v>182</v>
      </c>
      <c r="E1195" s="48" t="s">
        <v>194</v>
      </c>
      <c r="F1195" s="48" t="s">
        <v>227</v>
      </c>
      <c r="G1195" s="49" t="n">
        <v>225.57</v>
      </c>
      <c r="H1195" s="50" t="n">
        <f aca="false">MAX(0,IF(AND(Parameter!$B$21="Ja",ISNUMBER(Y1195)),Y1195,IF(Parameter!$B$20="Jahresanfang 2025 + Export",BR1195+BQ1195,BQ1195)))</f>
        <v>13</v>
      </c>
      <c r="I1195" s="50" t="n">
        <f aca="false">H1195*G1195</f>
        <v>2932.41</v>
      </c>
      <c r="J1195" s="50" t="n">
        <f aca="false">BT1195*Parameter!$B$18</f>
        <v>2</v>
      </c>
      <c r="K1195" s="51" t="n">
        <v>14</v>
      </c>
      <c r="L1195" s="52" t="n">
        <v>0.142857142857143</v>
      </c>
      <c r="M1195" s="50" t="n">
        <v>0</v>
      </c>
      <c r="N1195" s="50" t="n">
        <v>1</v>
      </c>
      <c r="O1195" s="53" t="n">
        <v>77</v>
      </c>
      <c r="P1195" s="48" t="s">
        <v>302</v>
      </c>
      <c r="Q1195" s="50" t="n">
        <v>13</v>
      </c>
      <c r="R1195" s="53" t="n">
        <f aca="false">IF(BZ1195=1,0,IFERROR(VLOOKUP(BX1195,'Gebinde-Kategorie'!$A$5:$N$45,13,0)+0,0))</f>
        <v>12</v>
      </c>
      <c r="S1195" s="54"/>
      <c r="T1195" s="55"/>
      <c r="U1195" s="55"/>
      <c r="V1195" s="55"/>
      <c r="W1195" s="48"/>
      <c r="X1195" s="50"/>
      <c r="Y1195" s="50"/>
      <c r="Z1195" s="48" t="n">
        <f aca="false">IF(A1195="","",IF(AND(Parameter!$B$21="Ja",ISNUMBER(W1195)),W1195,IF(CC1195="2+3",IF(ISNUMBER(SEARCH("grosser Artikel",BU1195)),2,IFERROR(VLOOKUP(BX1195,Parameter!$F$35:$G$64,2,0),2)),IF(OR(CC1195="Nein",CC1195=""),"-",CC1195))))</f>
        <v>2</v>
      </c>
      <c r="AA1195" s="55"/>
      <c r="AB1195" s="56"/>
      <c r="AC1195" s="50" t="n">
        <f aca="false">AV1195</f>
        <v>2</v>
      </c>
      <c r="AD1195" s="50" t="n">
        <f aca="false">MAX(AV1195,H1195)</f>
        <v>13</v>
      </c>
      <c r="AE1195" s="57"/>
      <c r="AF1195" s="50" t="n">
        <f aca="false">IF(LEFT(Cockpit!$C$5,1)="A",H1195,IF(Parameter!$E$30="MAX-Bestand",IF(CH1195=1,CI1195,IF(LEFT(Cockpit!$C$5,1)="B",AL1195,MAX(AL1195,H1195))),ROUNDUP(AJ1195,0)))</f>
        <v>13</v>
      </c>
      <c r="AG1195" s="50" t="n">
        <f aca="false">IF(BZ1195=1,0,ROUNDUP(AF1195/BY1195,0))</f>
        <v>1</v>
      </c>
      <c r="AH1195" s="52" t="n">
        <f aca="false">IF(CQ1195&gt;0,CQ1195*MAX(1,AF1195/X1195),IF(BZ1195=1,IF(AF1195&lt;=0,0,CD1195*MAX(1,IF(H1195&gt;0,AF1195/H1195,1))),IF(R1195&gt;0,AG1195/R1195,0))/MAX(0.1,N(Parameter!$M$21)))</f>
        <v>0.0833333333333333</v>
      </c>
      <c r="AI1195" s="50" t="n">
        <f aca="false">AH1195*CB1195</f>
        <v>20.4166666666667</v>
      </c>
      <c r="AJ1195" s="51" t="n">
        <f aca="false">IF(LEFT(Cockpit!$C$5,1)="A",H1195,IF(CH1195=1,(CK1195+CI1195)/2,IF(LEFT(Cockpit!$C$5,1)="B",(CK1195+AL1195)/2,MAX((CK1195+AL1195)/2,H1195))))</f>
        <v>13</v>
      </c>
      <c r="AK1195" s="50" t="n">
        <f aca="false">AJ1195*G1195</f>
        <v>2932.41</v>
      </c>
      <c r="AL1195" s="50" t="n">
        <f aca="false">ROUNDUP(CK1195+MAX(CL1195,2*(J1195/IF(CG1195&gt;0,CG1195,MAX(0.1,N(Cockpit!$C$6)))-CK1195)),0)</f>
        <v>2</v>
      </c>
      <c r="AM1195" s="51" t="n">
        <f aca="false">IF(AI1195&gt;0,J1195/AI1195,-1)</f>
        <v>0.0979591836734694</v>
      </c>
      <c r="AN1195" s="51" t="n">
        <f aca="false">IF(AND(OR(CF1195="L1",CF1195="L23",CF1195="LIFT"),AI1195&gt;0),SUMIFS($AI$7:$AI$1843,$CF$7:$CF$1843,CF1195,$AM$7:$AM$1843,"&gt;"&amp;AM1195)+SUMIFS($AI$7:$AI$1843,$CF$7:$CF$1843,CF1195,$AM$7:$AM$1843,AM1195,$BW$7:$BW$1843,"&lt;="&amp;BW1195),"")</f>
        <v>16179.6688939591</v>
      </c>
      <c r="AO1195" s="58" t="n">
        <f aca="false">IF(AN1195="",0,MAX(0,MIN(1,(IF(CF1195="L1",Parameter!$H$5,IF(CF1195="L23",Parameter!$H$6+Parameter!$H$7,Parameter!$H$5+Parameter!$H$6+Parameter!$H$7))-(AN1195-AI1195))/AI1195)))</f>
        <v>1</v>
      </c>
      <c r="AP1195" s="50" t="n">
        <f aca="false">IF(LEFT(Cockpit!$I$5,1)="A",H1195,IF(Parameter!$E$30="MAX-Bestand",IF(CH1195=1,CI1195,IF(LEFT(Cockpit!$I$5,1)="B",AV1195,MAX(AV1195,H1195))),ROUNDUP(AT1195,0)))</f>
        <v>13</v>
      </c>
      <c r="AQ1195" s="50" t="n">
        <f aca="false">IF(BZ1195=1,0,ROUNDUP(AP1195/BY1195,0))</f>
        <v>1</v>
      </c>
      <c r="AR1195" s="52" t="n">
        <f aca="false">IF(CQ1195&gt;0,CQ1195*MAX(1,AP1195/X1195),IF(BZ1195=1,IF(AP1195&lt;=0,0,CD1195*MAX(1,IF(H1195&gt;0,AP1195/H1195,1))),IF(R1195&gt;0,AQ1195/R1195,0))/MAX(0.1,N(Parameter!$M$21)))</f>
        <v>0.0833333333333333</v>
      </c>
      <c r="AS1195" s="50" t="n">
        <f aca="false">AR1195*CB1195</f>
        <v>20.4166666666667</v>
      </c>
      <c r="AT1195" s="51" t="n">
        <f aca="false">IF(LEFT(Cockpit!$I$5,1)="A",H1195,IF(CH1195=1,(CK1195+CI1195)/2,IF(LEFT(Cockpit!$I$5,1)="B",(CK1195+AV1195)/2,MAX((CK1195+AV1195)/2,H1195))))</f>
        <v>13</v>
      </c>
      <c r="AU1195" s="50" t="n">
        <f aca="false">AT1195*G1195</f>
        <v>2932.41</v>
      </c>
      <c r="AV1195" s="50" t="n">
        <f aca="false">ROUNDUP(CK1195+MAX(CL1195,2*(J1195/IF(CG1195&gt;0,CG1195,MAX(0.1,N(Cockpit!$I$6)))-CK1195)),0)</f>
        <v>2</v>
      </c>
      <c r="AW1195" s="51" t="n">
        <f aca="false">IF(AS1195&gt;0,J1195/AS1195,-1)</f>
        <v>0.0979591836734694</v>
      </c>
      <c r="AX1195" s="51" t="n">
        <f aca="false">IF(AND(OR(CF1195="L1",CF1195="L23",CF1195="LIFT"),AS1195&gt;0),SUMIFS($AS$7:$AS$1843,$CF$7:$CF$1843,CF1195,$AW$7:$AW$1843,"&gt;"&amp;AW1195)+SUMIFS($AS$7:$AS$1843,$CF$7:$CF$1843,CF1195,$AW$7:$AW$1843,AW1195,$BW$7:$BW$1843,"&lt;="&amp;BW1195),"")</f>
        <v>21202.8175353366</v>
      </c>
      <c r="AY1195" s="58" t="n">
        <f aca="false">IF(AX1195="",0,MAX(0,MIN(1,(IF(CF1195="L1",Parameter!$H$5,IF(CF1195="L23",Parameter!$H$6+Parameter!$H$7,Parameter!$H$5+Parameter!$H$6+Parameter!$H$7))-(AX1195-AS1195))/AS1195)))</f>
        <v>1</v>
      </c>
      <c r="AZ1195" s="50" t="n">
        <f aca="false">IF(LEFT(Cockpit!$O$5,1)="A",H1195,IF(Parameter!$E$30="MAX-Bestand",IF(CH1195=1,CI1195,IF(LEFT(Cockpit!$O$5,1)="B",BF1195,MAX(BF1195,H1195))),ROUNDUP(BD1195,0)))</f>
        <v>1</v>
      </c>
      <c r="BA1195" s="50" t="n">
        <f aca="false">IF(BZ1195=1,0,ROUNDUP(AZ1195/BY1195,0))</f>
        <v>1</v>
      </c>
      <c r="BB1195" s="52" t="n">
        <f aca="false">IF(CQ1195&gt;0,CQ1195*MAX(1,AZ1195/X1195),IF(BZ1195=1,IF(AZ1195&lt;=0,0,CD1195*MAX(1,IF(H1195&gt;0,AZ1195/H1195,1))),IF(R1195&gt;0,BA1195/R1195,0))/MAX(0.1,N(Parameter!$M$21)))</f>
        <v>0.0833333333333333</v>
      </c>
      <c r="BC1195" s="50" t="n">
        <f aca="false">BB1195*CB1195</f>
        <v>20.4166666666667</v>
      </c>
      <c r="BD1195" s="51" t="n">
        <f aca="false">IF(LEFT(Cockpit!$O$5,1)="A",H1195,IF(CH1195=1,(CK1195+CI1195)/2,IF(LEFT(Cockpit!$O$5,1)="B",(CK1195+BF1195)/2,MAX((CK1195+BF1195)/2,H1195))))</f>
        <v>0.5</v>
      </c>
      <c r="BE1195" s="50" t="n">
        <f aca="false">BD1195*G1195</f>
        <v>112.785</v>
      </c>
      <c r="BF1195" s="50" t="n">
        <f aca="false">ROUNDUP(CK1195+MAX(CL1195,2*(J1195/IF(CG1195&gt;0,CG1195,MAX(0.1,N(Cockpit!$O$6)))-CK1195)),0)</f>
        <v>1</v>
      </c>
      <c r="BG1195" s="51" t="n">
        <f aca="false">IF(BC1195&gt;0,J1195/BC1195,-1)</f>
        <v>0.0979591836734694</v>
      </c>
      <c r="BH1195" s="51" t="n">
        <f aca="false">IF(AND(OR(CF1195="L1",CF1195="L23",CF1195="LIFT"),BC1195&gt;0),SUMIFS($BC$7:$BC$1843,$CF$7:$CF$1843,CF1195,$BG$7:$BG$1843,"&gt;"&amp;BG1195)+SUMIFS($BC$7:$BC$1843,$CF$7:$CF$1843,CF1195,$BG$7:$BG$1843,BG1195,$BW$7:$BW$1843,"&lt;="&amp;BW1195),"")</f>
        <v>17755.296814532</v>
      </c>
      <c r="BI1195" s="58" t="n">
        <f aca="false">IF(BH1195="",0,MAX(0,MIN(1,(IF(CF1195="L1",Parameter!$H$5,IF(CF1195="L23",Parameter!$H$6+Parameter!$H$7,Parameter!$H$5+Parameter!$H$6+Parameter!$H$7))-(BH1195-BC1195))/BC1195)))</f>
        <v>1</v>
      </c>
      <c r="BJ1195" s="48" t="str">
        <f aca="false">IF(AI1195&lt;=0,"",IF(CF1195="Aussen","Aussenlager",IF(CF1195="-","Nicht im Lift",IF(AO1195&gt;=1,"Lift",IF(AO1195&lt;=0,"Aussenlager","teilweise")))))</f>
        <v>Lift</v>
      </c>
      <c r="BK1195" s="48" t="str">
        <f aca="false">IF(AS1195&lt;=0,"",IF(CF1195="Aussen","Aussenlager",IF(CF1195="-","Nicht im Lift",IF(AY1195&gt;=1,"Lift",IF(AY1195&lt;=0,"Aussenlager","teilweise")))))</f>
        <v>Lift</v>
      </c>
      <c r="BL1195" s="48" t="str">
        <f aca="false">IF(BC1195&lt;=0,"",IF(CF1195="Aussen","Aussenlager",IF(CF1195="-","Nicht im Lift",IF(BI1195&gt;=1,"Lift",IF(BI1195&lt;=0,"Aussenlager","teilweise")))))</f>
        <v>Lift</v>
      </c>
      <c r="BM1195" s="48" t="str">
        <f aca="false">IF(A1195="","",IF(BV1195=1,"Neu; ","")&amp;IF(AND(BV1195=0,BQ1195&lt;0),"negativer Bestand (Export "&amp;BQ1195&amp;"); ","")&amp;IF(J1195&lt;=0,"Kein Verbrauch; ","")&amp;IF(CQ1195&gt;0,"Lift "&amp;W1195&amp;" lt. Liftbericht (Fach "&amp;X1195&amp;" Stk); ",IF(CA1195=1,"Gebinde geschätzt ("&amp;T1195&amp;"); ",IF(BZ1195=1,"Lose – Tablare geschätzt; ","")))&amp;IF(H1195&gt;AV1195,"Überbestand "&amp;ROUND(H1195-AV1195,0)&amp;" Stk / CHF "&amp;ROUND((H1195-AV1195)*G1195,0)&amp;"; ","")&amp;IF(AND(CH1195=1,CI1195&lt;CJ1195),"MAX &lt; MB+LG; ","")&amp;IF(AND(CP1195&gt;0,CO1195*10&gt;CP1195),"zu hoch für Tablar; ","")&amp;IF(AND(BV1195=0,OR(CH1195=1,AA1195&lt;&gt;"",U1195&lt;&gt;"",V1195&lt;&gt;"",AB1195&lt;&gt;"")),"manuell übersteuert; ","")&amp;IF(AND(BZ1195=0,R1195=0),"Gebinde unbekannt / Stellmass fehlt; ","")&amp;IF(AND(BZ1195=0,N(V1195)&lt;=0,N(Q1195)&lt;=0),"Menge pro Gebinde fehlt (Ist = 1 Gebinde); ","")&amp;BU1195)</f>
        <v>negativer Bestand (Export -2); Überbestand 11 Stk / CHF 2481; grosser Artikel &amp; nicht im KTL</v>
      </c>
      <c r="BN1195" s="48"/>
      <c r="BO1195" s="48"/>
      <c r="BP1195" s="55"/>
      <c r="BQ1195" s="50" t="n">
        <v>-2</v>
      </c>
      <c r="BR1195" s="50" t="n">
        <v>15</v>
      </c>
      <c r="BS1195" s="49" t="n">
        <v>-451.14</v>
      </c>
      <c r="BT1195" s="50" t="n">
        <v>2</v>
      </c>
      <c r="BU1195" s="48" t="s">
        <v>270</v>
      </c>
      <c r="BV1195" s="53" t="n">
        <v>0</v>
      </c>
      <c r="BW1195" s="53" t="n">
        <v>1195</v>
      </c>
      <c r="BX1195" s="48" t="str">
        <f aca="false">IF(U1195&lt;&gt;"",UPPER(TRIM(U1195)),IF(CA1195=1,UPPER(VLOOKUP(T1195,Parameter!$I$27:$K$29,2,0)),IF(P1195="","LOSE",P1195)))</f>
        <v>S62</v>
      </c>
      <c r="BY1195" s="50" t="n">
        <f aca="false">IF(BX1195="LOSE",1,IF(N(V1195)&gt;0,V1195,IF(CA1195=1,MAX(1,N(VLOOKUP(T1195,Parameter!$I$27:$K$29,3,0)),H1195,N(N1195)),IF(N(Q1195)&gt;0,Q1195,MAX(1,H1195)))))</f>
        <v>13</v>
      </c>
      <c r="BZ1195" s="53" t="n">
        <f aca="false">IF(BX1195="LOSE",1,0)</f>
        <v>0</v>
      </c>
      <c r="CA1195" s="53" t="n">
        <f aca="false">IF(AND(U1195="",OR(P1195="",P1195="LOSE"),T1195&lt;&gt;"",N(S1195)&lt;=0,ISNUMBER(MATCH(T1195,Parameter!$I$27:$I$29,0))),1,0)</f>
        <v>0</v>
      </c>
      <c r="CB1195" s="53" t="n">
        <f aca="false">IF(CQ1195&gt;0,INDEX(Parameter!$H$5:$H$7,W1195)/INDEX(Parameter!$E$5:$E$7,W1195),IF(AND(BZ1195=0,N(IFERROR(VLOOKUP(BX1195,'Gebinde-Kategorie'!$A$5:$N$45,14,0),0))&gt;0),VLOOKUP(BX1195,'Gebinde-Kategorie'!$A$5:$N$45,14,0)*10+Parameter!$M$23,Parameter!$M$24))</f>
        <v>245</v>
      </c>
      <c r="CC1195" s="48" t="str">
        <f aca="false">IF(AND(Parameter!$B$19="Ja",E1195&lt;&gt;"",ISNUMBER(MATCH(E1195,Parameter!$I$35:$I$52,0))),VLOOKUP(E1195,Parameter!$I$35:$J$52,2,0),IFERROR(VLOOKUP(D1195,Parameter!$A$35:$C$64,2,0),"Nein"))</f>
        <v>2+3</v>
      </c>
      <c r="CD1195" s="52" t="n">
        <f aca="false">IF(BZ1195=0,0,IF(N(S1195)&gt;0,S1195,IFERROR(VLOOKUP(D1195,Parameter!$A$35:$C$64,3,0)+0,0)))</f>
        <v>0</v>
      </c>
      <c r="CE1195" s="48" t="n">
        <f aca="false">IF(AA1195&lt;&gt;"",AA1195,Z1195)</f>
        <v>2</v>
      </c>
      <c r="CF1195" s="48" t="str">
        <f aca="false">IF(OR(CE1195=1,CE1195=2,CE1195=3),IF(Parameter!$E$27="Ja","LIFT",IF(CE1195=1,"L1","L23")),IF(CE1195="Aussen","Aussen","-"))</f>
        <v>LIFT</v>
      </c>
      <c r="CG1195" s="59" t="n">
        <f aca="false">IF(N(AB1195)&gt;0,AB1195,0)</f>
        <v>0</v>
      </c>
      <c r="CH1195" s="53" t="n">
        <f aca="false">IF(ISNUMBER(AE1195),1,0)</f>
        <v>0</v>
      </c>
      <c r="CI1195" s="50" t="n">
        <f aca="false">N(AE1195)</f>
        <v>0</v>
      </c>
      <c r="CJ1195" s="50" t="n">
        <f aca="false">N(M1195)+N(N1195)</f>
        <v>1</v>
      </c>
      <c r="CK1195" s="50" t="n">
        <f aca="false">N(M1195)</f>
        <v>0</v>
      </c>
      <c r="CL1195" s="50" t="n">
        <f aca="false">N(N1195)</f>
        <v>1</v>
      </c>
      <c r="CM1195" s="50" t="n">
        <f aca="false">ROUNDUP(H1195/BY1195,0)</f>
        <v>1</v>
      </c>
      <c r="CN1195" s="50" t="n">
        <f aca="false">ROUNDUP(CI1195/BY1195,0)</f>
        <v>0</v>
      </c>
      <c r="CO1195" s="53" t="n">
        <f aca="false">IF(BZ1195=1,0,IFERROR(VLOOKUP(BX1195,'Gebinde-Kategorie'!$A$5:$N$45,5,0)+0,0))</f>
        <v>21</v>
      </c>
      <c r="CP1195" s="53" t="n">
        <f aca="false">IFERROR(IF(OR(CE1195=1,CE1195=2,CE1195=3),N(INDEX(Parameter!$I$5:$I$7,CE1195)),0),0)</f>
        <v>0</v>
      </c>
      <c r="CQ1195" s="52" t="n">
        <f aca="false">IF(AND(Parameter!$B$21="Ja",ISNUMBER(W1195),N(X1195)&gt;0),IFERROR(N(INDEX(Parameter!$L$5:$L$7,W1195))*INDEX(Parameter!$E$5:$E$7,W1195)*X1195/SUMIFS($X$7:$X$1843,$W$7:$W$1843,W1195),0),0)</f>
        <v>0</v>
      </c>
    </row>
    <row r="1196" customFormat="false" ht="15" hidden="false" customHeight="false" outlineLevel="0" collapsed="false">
      <c r="A1196" s="48" t="s">
        <v>2160</v>
      </c>
      <c r="B1196" s="48" t="s">
        <v>2161</v>
      </c>
      <c r="C1196" s="48" t="s">
        <v>173</v>
      </c>
      <c r="D1196" s="48" t="s">
        <v>182</v>
      </c>
      <c r="E1196" s="48"/>
      <c r="F1196" s="48" t="s">
        <v>227</v>
      </c>
      <c r="G1196" s="49" t="n">
        <v>226</v>
      </c>
      <c r="H1196" s="50" t="n">
        <f aca="false">MAX(0,IF(AND(Parameter!$B$21="Ja",ISNUMBER(Y1196)),Y1196,IF(Parameter!$B$20="Jahresanfang 2025 + Export",BR1196+BQ1196,BQ1196)))</f>
        <v>0</v>
      </c>
      <c r="I1196" s="50" t="n">
        <f aca="false">H1196*G1196</f>
        <v>0</v>
      </c>
      <c r="J1196" s="50" t="n">
        <f aca="false">BT1196*Parameter!$B$18</f>
        <v>2</v>
      </c>
      <c r="K1196" s="51" t="n">
        <v>1</v>
      </c>
      <c r="L1196" s="52" t="n">
        <v>2</v>
      </c>
      <c r="M1196" s="50" t="n">
        <v>0</v>
      </c>
      <c r="N1196" s="50" t="n">
        <v>1</v>
      </c>
      <c r="O1196" s="53" t="n">
        <v>42</v>
      </c>
      <c r="P1196" s="48" t="s">
        <v>177</v>
      </c>
      <c r="Q1196" s="50"/>
      <c r="R1196" s="53" t="n">
        <f aca="false">IF(BZ1196=1,0,IFERROR(VLOOKUP(BX1196,'Gebinde-Kategorie'!$A$5:$N$45,13,0)+0,0))</f>
        <v>12</v>
      </c>
      <c r="S1196" s="54"/>
      <c r="T1196" s="55" t="s">
        <v>188</v>
      </c>
      <c r="U1196" s="55"/>
      <c r="V1196" s="55"/>
      <c r="W1196" s="48"/>
      <c r="X1196" s="50"/>
      <c r="Y1196" s="50"/>
      <c r="Z1196" s="48" t="n">
        <f aca="false">IF(A1196="","",IF(AND(Parameter!$B$21="Ja",ISNUMBER(W1196)),W1196,IF(CC1196="2+3",IF(ISNUMBER(SEARCH("grosser Artikel",BU1196)),2,IFERROR(VLOOKUP(BX1196,Parameter!$F$35:$G$64,2,0),2)),IF(OR(CC1196="Nein",CC1196=""),"-",CC1196))))</f>
        <v>2</v>
      </c>
      <c r="AA1196" s="55"/>
      <c r="AB1196" s="56"/>
      <c r="AC1196" s="50" t="n">
        <f aca="false">AV1196</f>
        <v>2</v>
      </c>
      <c r="AD1196" s="50" t="n">
        <f aca="false">MAX(AV1196,H1196)</f>
        <v>2</v>
      </c>
      <c r="AE1196" s="57"/>
      <c r="AF1196" s="50" t="n">
        <f aca="false">IF(LEFT(Cockpit!$C$5,1)="A",H1196,IF(Parameter!$E$30="MAX-Bestand",IF(CH1196=1,CI1196,IF(LEFT(Cockpit!$C$5,1)="B",AL1196,MAX(AL1196,H1196))),ROUNDUP(AJ1196,0)))</f>
        <v>0</v>
      </c>
      <c r="AG1196" s="50" t="n">
        <f aca="false">IF(BZ1196=1,0,ROUNDUP(AF1196/BY1196,0))</f>
        <v>0</v>
      </c>
      <c r="AH1196" s="52" t="n">
        <f aca="false">IF(CQ1196&gt;0,CQ1196*MAX(1,AF1196/X1196),IF(BZ1196=1,IF(AF1196&lt;=0,0,CD1196*MAX(1,IF(H1196&gt;0,AF1196/H1196,1))),IF(R1196&gt;0,AG1196/R1196,0))/MAX(0.1,N(Parameter!$M$21)))</f>
        <v>0</v>
      </c>
      <c r="AI1196" s="50" t="n">
        <f aca="false">AH1196*CB1196</f>
        <v>0</v>
      </c>
      <c r="AJ1196" s="51" t="n">
        <f aca="false">IF(LEFT(Cockpit!$C$5,1)="A",H1196,IF(CH1196=1,(CK1196+CI1196)/2,IF(LEFT(Cockpit!$C$5,1)="B",(CK1196+AL1196)/2,MAX((CK1196+AL1196)/2,H1196))))</f>
        <v>0</v>
      </c>
      <c r="AK1196" s="50" t="n">
        <f aca="false">AJ1196*G1196</f>
        <v>0</v>
      </c>
      <c r="AL1196" s="50" t="n">
        <f aca="false">ROUNDUP(CK1196+MAX(CL1196,2*(J1196/IF(CG1196&gt;0,CG1196,MAX(0.1,N(Cockpit!$C$6)))-CK1196)),0)</f>
        <v>2</v>
      </c>
      <c r="AM1196" s="51" t="n">
        <f aca="false">IF(AI1196&gt;0,J1196/AI1196,-1)</f>
        <v>-1</v>
      </c>
      <c r="AN1196" s="51" t="str">
        <f aca="false">IF(AND(OR(CF1196="L1",CF1196="L23",CF1196="LIFT"),AI1196&gt;0),SUMIFS($AI$7:$AI$1843,$CF$7:$CF$1843,CF1196,$AM$7:$AM$1843,"&gt;"&amp;AM1196)+SUMIFS($AI$7:$AI$1843,$CF$7:$CF$1843,CF1196,$AM$7:$AM$1843,AM1196,$BW$7:$BW$1843,"&lt;="&amp;BW1196),"")</f>
        <v/>
      </c>
      <c r="AO1196" s="58" t="n">
        <f aca="false">IF(AN1196="",0,MAX(0,MIN(1,(IF(CF1196="L1",Parameter!$H$5,IF(CF1196="L23",Parameter!$H$6+Parameter!$H$7,Parameter!$H$5+Parameter!$H$6+Parameter!$H$7))-(AN1196-AI1196))/AI1196)))</f>
        <v>0</v>
      </c>
      <c r="AP1196" s="50" t="n">
        <f aca="false">IF(LEFT(Cockpit!$I$5,1)="A",H1196,IF(Parameter!$E$30="MAX-Bestand",IF(CH1196=1,CI1196,IF(LEFT(Cockpit!$I$5,1)="B",AV1196,MAX(AV1196,H1196))),ROUNDUP(AT1196,0)))</f>
        <v>1</v>
      </c>
      <c r="AQ1196" s="50" t="n">
        <f aca="false">IF(BZ1196=1,0,ROUNDUP(AP1196/BY1196,0))</f>
        <v>1</v>
      </c>
      <c r="AR1196" s="52" t="n">
        <f aca="false">IF(CQ1196&gt;0,CQ1196*MAX(1,AP1196/X1196),IF(BZ1196=1,IF(AP1196&lt;=0,0,CD1196*MAX(1,IF(H1196&gt;0,AP1196/H1196,1))),IF(R1196&gt;0,AQ1196/R1196,0))/MAX(0.1,N(Parameter!$M$21)))</f>
        <v>0.0833333333333333</v>
      </c>
      <c r="AS1196" s="50" t="n">
        <f aca="false">AR1196*CB1196</f>
        <v>12.0833333333333</v>
      </c>
      <c r="AT1196" s="51" t="n">
        <f aca="false">IF(LEFT(Cockpit!$I$5,1)="A",H1196,IF(CH1196=1,(CK1196+CI1196)/2,IF(LEFT(Cockpit!$I$5,1)="B",(CK1196+AV1196)/2,MAX((CK1196+AV1196)/2,H1196))))</f>
        <v>1</v>
      </c>
      <c r="AU1196" s="50" t="n">
        <f aca="false">AT1196*G1196</f>
        <v>226</v>
      </c>
      <c r="AV1196" s="50" t="n">
        <f aca="false">ROUNDUP(CK1196+MAX(CL1196,2*(J1196/IF(CG1196&gt;0,CG1196,MAX(0.1,N(Cockpit!$I$6)))-CK1196)),0)</f>
        <v>2</v>
      </c>
      <c r="AW1196" s="51" t="n">
        <f aca="false">IF(AS1196&gt;0,J1196/AS1196,-1)</f>
        <v>0.16551724137931</v>
      </c>
      <c r="AX1196" s="51" t="n">
        <f aca="false">IF(AND(OR(CF1196="L1",CF1196="L23",CF1196="LIFT"),AS1196&gt;0),SUMIFS($AS$7:$AS$1843,$CF$7:$CF$1843,CF1196,$AW$7:$AW$1843,"&gt;"&amp;AW1196)+SUMIFS($AS$7:$AS$1843,$CF$7:$CF$1843,CF1196,$AW$7:$AW$1843,AW1196,$BW$7:$BW$1843,"&lt;="&amp;BW1196),"")</f>
        <v>15770.3374542125</v>
      </c>
      <c r="AY1196" s="58" t="n">
        <f aca="false">IF(AX1196="",0,MAX(0,MIN(1,(IF(CF1196="L1",Parameter!$H$5,IF(CF1196="L23",Parameter!$H$6+Parameter!$H$7,Parameter!$H$5+Parameter!$H$6+Parameter!$H$7))-(AX1196-AS1196))/AS1196)))</f>
        <v>1</v>
      </c>
      <c r="AZ1196" s="50" t="n">
        <f aca="false">IF(LEFT(Cockpit!$O$5,1)="A",H1196,IF(Parameter!$E$30="MAX-Bestand",IF(CH1196=1,CI1196,IF(LEFT(Cockpit!$O$5,1)="B",BF1196,MAX(BF1196,H1196))),ROUNDUP(BD1196,0)))</f>
        <v>1</v>
      </c>
      <c r="BA1196" s="50" t="n">
        <f aca="false">IF(BZ1196=1,0,ROUNDUP(AZ1196/BY1196,0))</f>
        <v>1</v>
      </c>
      <c r="BB1196" s="52" t="n">
        <f aca="false">IF(CQ1196&gt;0,CQ1196*MAX(1,AZ1196/X1196),IF(BZ1196=1,IF(AZ1196&lt;=0,0,CD1196*MAX(1,IF(H1196&gt;0,AZ1196/H1196,1))),IF(R1196&gt;0,BA1196/R1196,0))/MAX(0.1,N(Parameter!$M$21)))</f>
        <v>0.0833333333333333</v>
      </c>
      <c r="BC1196" s="50" t="n">
        <f aca="false">BB1196*CB1196</f>
        <v>12.0833333333333</v>
      </c>
      <c r="BD1196" s="51" t="n">
        <f aca="false">IF(LEFT(Cockpit!$O$5,1)="A",H1196,IF(CH1196=1,(CK1196+CI1196)/2,IF(LEFT(Cockpit!$O$5,1)="B",(CK1196+BF1196)/2,MAX((CK1196+BF1196)/2,H1196))))</f>
        <v>0.5</v>
      </c>
      <c r="BE1196" s="50" t="n">
        <f aca="false">BD1196*G1196</f>
        <v>113</v>
      </c>
      <c r="BF1196" s="50" t="n">
        <f aca="false">ROUNDUP(CK1196+MAX(CL1196,2*(J1196/IF(CG1196&gt;0,CG1196,MAX(0.1,N(Cockpit!$O$6)))-CK1196)),0)</f>
        <v>1</v>
      </c>
      <c r="BG1196" s="51" t="n">
        <f aca="false">IF(BC1196&gt;0,J1196/BC1196,-1)</f>
        <v>0.16551724137931</v>
      </c>
      <c r="BH1196" s="51" t="n">
        <f aca="false">IF(AND(OR(CF1196="L1",CF1196="L23",CF1196="LIFT"),BC1196&gt;0),SUMIFS($BC$7:$BC$1843,$CF$7:$CF$1843,CF1196,$BG$7:$BG$1843,"&gt;"&amp;BG1196)+SUMIFS($BC$7:$BC$1843,$CF$7:$CF$1843,CF1196,$BG$7:$BG$1843,BG1196,$BW$7:$BW$1843,"&lt;="&amp;BW1196),"")</f>
        <v>13596.8039491112</v>
      </c>
      <c r="BI1196" s="58" t="n">
        <f aca="false">IF(BH1196="",0,MAX(0,MIN(1,(IF(CF1196="L1",Parameter!$H$5,IF(CF1196="L23",Parameter!$H$6+Parameter!$H$7,Parameter!$H$5+Parameter!$H$6+Parameter!$H$7))-(BH1196-BC1196))/BC1196)))</f>
        <v>1</v>
      </c>
      <c r="BJ1196" s="48" t="str">
        <f aca="false">IF(AI1196&lt;=0,"",IF(CF1196="Aussen","Aussenlager",IF(CF1196="-","Nicht im Lift",IF(AO1196&gt;=1,"Lift",IF(AO1196&lt;=0,"Aussenlager","teilweise")))))</f>
        <v/>
      </c>
      <c r="BK1196" s="48" t="str">
        <f aca="false">IF(AS1196&lt;=0,"",IF(CF1196="Aussen","Aussenlager",IF(CF1196="-","Nicht im Lift",IF(AY1196&gt;=1,"Lift",IF(AY1196&lt;=0,"Aussenlager","teilweise")))))</f>
        <v>Lift</v>
      </c>
      <c r="BL1196" s="48" t="str">
        <f aca="false">IF(BC1196&lt;=0,"",IF(CF1196="Aussen","Aussenlager",IF(CF1196="-","Nicht im Lift",IF(BI1196&gt;=1,"Lift",IF(BI1196&lt;=0,"Aussenlager","teilweise")))))</f>
        <v>Lift</v>
      </c>
      <c r="BM1196" s="48" t="str">
        <f aca="false">IF(A1196="","",IF(BV1196=1,"Neu; ","")&amp;IF(AND(BV1196=0,BQ1196&lt;0),"negativer Bestand (Export "&amp;BQ1196&amp;"); ","")&amp;IF(J1196&lt;=0,"Kein Verbrauch; ","")&amp;IF(CQ1196&gt;0,"Lift "&amp;W1196&amp;" lt. Liftbericht (Fach "&amp;X1196&amp;" Stk); ",IF(CA1196=1,"Gebinde geschätzt ("&amp;T1196&amp;"); ",IF(BZ1196=1,"Lose – Tablare geschätzt; ","")))&amp;IF(H1196&gt;AV1196,"Überbestand "&amp;ROUND(H1196-AV1196,0)&amp;" Stk / CHF "&amp;ROUND((H1196-AV1196)*G1196,0)&amp;"; ","")&amp;IF(AND(CH1196=1,CI1196&lt;CJ1196),"MAX &lt; MB+LG; ","")&amp;IF(AND(CP1196&gt;0,CO1196*10&gt;CP1196),"zu hoch für Tablar; ","")&amp;IF(AND(BV1196=0,OR(CH1196=1,AA1196&lt;&gt;"",U1196&lt;&gt;"",V1196&lt;&gt;"",AB1196&lt;&gt;"")),"manuell übersteuert; ","")&amp;IF(AND(BZ1196=0,R1196=0),"Gebinde unbekannt / Stellmass fehlt; ","")&amp;IF(AND(BZ1196=0,N(V1196)&lt;=0,N(Q1196)&lt;=0),"Menge pro Gebinde fehlt (Ist = 1 Gebinde); ","")&amp;BU1196)</f>
        <v>negativer Bestand (Export -2); Gebinde geschätzt (Mittel); Menge pro Gebinde fehlt (Ist = 1 Gebinde); </v>
      </c>
      <c r="BN1196" s="48"/>
      <c r="BO1196" s="48"/>
      <c r="BP1196" s="55"/>
      <c r="BQ1196" s="50" t="n">
        <v>-2</v>
      </c>
      <c r="BR1196" s="50" t="n">
        <v>2</v>
      </c>
      <c r="BS1196" s="49" t="n">
        <v>-452</v>
      </c>
      <c r="BT1196" s="50" t="n">
        <v>2</v>
      </c>
      <c r="BU1196" s="48"/>
      <c r="BV1196" s="53" t="n">
        <v>0</v>
      </c>
      <c r="BW1196" s="53" t="n">
        <v>1196</v>
      </c>
      <c r="BX1196" s="48" t="str">
        <f aca="false">IF(U1196&lt;&gt;"",UPPER(TRIM(U1196)),IF(CA1196=1,UPPER(VLOOKUP(T1196,Parameter!$I$27:$K$29,2,0)),IF(P1196="","LOSE",P1196)))</f>
        <v>S61</v>
      </c>
      <c r="BY1196" s="50" t="n">
        <f aca="false">IF(BX1196="LOSE",1,IF(N(V1196)&gt;0,V1196,IF(CA1196=1,MAX(1,N(VLOOKUP(T1196,Parameter!$I$27:$K$29,3,0)),H1196,N(N1196)),IF(N(Q1196)&gt;0,Q1196,MAX(1,H1196)))))</f>
        <v>4</v>
      </c>
      <c r="BZ1196" s="53" t="n">
        <f aca="false">IF(BX1196="LOSE",1,0)</f>
        <v>0</v>
      </c>
      <c r="CA1196" s="53" t="n">
        <f aca="false">IF(AND(U1196="",OR(P1196="",P1196="LOSE"),T1196&lt;&gt;"",N(S1196)&lt;=0,ISNUMBER(MATCH(T1196,Parameter!$I$27:$I$29,0))),1,0)</f>
        <v>1</v>
      </c>
      <c r="CB1196" s="53" t="n">
        <f aca="false">IF(CQ1196&gt;0,INDEX(Parameter!$H$5:$H$7,W1196)/INDEX(Parameter!$E$5:$E$7,W1196),IF(AND(BZ1196=0,N(IFERROR(VLOOKUP(BX1196,'Gebinde-Kategorie'!$A$5:$N$45,14,0),0))&gt;0),VLOOKUP(BX1196,'Gebinde-Kategorie'!$A$5:$N$45,14,0)*10+Parameter!$M$23,Parameter!$M$24))</f>
        <v>145</v>
      </c>
      <c r="CC1196" s="48" t="str">
        <f aca="false">IF(AND(Parameter!$B$19="Ja",E1196&lt;&gt;"",ISNUMBER(MATCH(E1196,Parameter!$I$35:$I$52,0))),VLOOKUP(E1196,Parameter!$I$35:$J$52,2,0),IFERROR(VLOOKUP(D1196,Parameter!$A$35:$C$64,2,0),"Nein"))</f>
        <v>2+3</v>
      </c>
      <c r="CD1196" s="52" t="n">
        <f aca="false">IF(BZ1196=0,0,IF(N(S1196)&gt;0,S1196,IFERROR(VLOOKUP(D1196,Parameter!$A$35:$C$64,3,0)+0,0)))</f>
        <v>0</v>
      </c>
      <c r="CE1196" s="48" t="n">
        <f aca="false">IF(AA1196&lt;&gt;"",AA1196,Z1196)</f>
        <v>2</v>
      </c>
      <c r="CF1196" s="48" t="str">
        <f aca="false">IF(OR(CE1196=1,CE1196=2,CE1196=3),IF(Parameter!$E$27="Ja","LIFT",IF(CE1196=1,"L1","L23")),IF(CE1196="Aussen","Aussen","-"))</f>
        <v>LIFT</v>
      </c>
      <c r="CG1196" s="59" t="n">
        <f aca="false">IF(N(AB1196)&gt;0,AB1196,0)</f>
        <v>0</v>
      </c>
      <c r="CH1196" s="53" t="n">
        <f aca="false">IF(ISNUMBER(AE1196),1,0)</f>
        <v>0</v>
      </c>
      <c r="CI1196" s="50" t="n">
        <f aca="false">N(AE1196)</f>
        <v>0</v>
      </c>
      <c r="CJ1196" s="50" t="n">
        <f aca="false">N(M1196)+N(N1196)</f>
        <v>1</v>
      </c>
      <c r="CK1196" s="50" t="n">
        <f aca="false">N(M1196)</f>
        <v>0</v>
      </c>
      <c r="CL1196" s="50" t="n">
        <f aca="false">N(N1196)</f>
        <v>1</v>
      </c>
      <c r="CM1196" s="50" t="n">
        <f aca="false">ROUNDUP(H1196/BY1196,0)</f>
        <v>0</v>
      </c>
      <c r="CN1196" s="50" t="n">
        <f aca="false">ROUNDUP(CI1196/BY1196,0)</f>
        <v>0</v>
      </c>
      <c r="CO1196" s="53" t="n">
        <f aca="false">IF(BZ1196=1,0,IFERROR(VLOOKUP(BX1196,'Gebinde-Kategorie'!$A$5:$N$45,5,0)+0,0))</f>
        <v>11</v>
      </c>
      <c r="CP1196" s="53" t="n">
        <f aca="false">IFERROR(IF(OR(CE1196=1,CE1196=2,CE1196=3),N(INDEX(Parameter!$I$5:$I$7,CE1196)),0),0)</f>
        <v>0</v>
      </c>
      <c r="CQ1196" s="52" t="n">
        <f aca="false">IF(AND(Parameter!$B$21="Ja",ISNUMBER(W1196),N(X1196)&gt;0),IFERROR(N(INDEX(Parameter!$L$5:$L$7,W1196))*INDEX(Parameter!$E$5:$E$7,W1196)*X1196/SUMIFS($X$7:$X$1843,$W$7:$W$1843,W1196),0),0)</f>
        <v>0</v>
      </c>
    </row>
    <row r="1197" customFormat="false" ht="15" hidden="false" customHeight="false" outlineLevel="0" collapsed="false">
      <c r="A1197" s="48" t="s">
        <v>2162</v>
      </c>
      <c r="B1197" s="48" t="s">
        <v>1563</v>
      </c>
      <c r="C1197" s="48" t="s">
        <v>173</v>
      </c>
      <c r="D1197" s="48" t="s">
        <v>182</v>
      </c>
      <c r="E1197" s="48" t="s">
        <v>474</v>
      </c>
      <c r="F1197" s="48" t="s">
        <v>227</v>
      </c>
      <c r="G1197" s="49" t="n">
        <v>1.64</v>
      </c>
      <c r="H1197" s="50" t="n">
        <f aca="false">MAX(0,IF(AND(Parameter!$B$21="Ja",ISNUMBER(Y1197)),Y1197,IF(Parameter!$B$20="Jahresanfang 2025 + Export",BR1197+BQ1197,BQ1197)))</f>
        <v>43</v>
      </c>
      <c r="I1197" s="50" t="n">
        <f aca="false">H1197*G1197</f>
        <v>70.52</v>
      </c>
      <c r="J1197" s="50" t="n">
        <f aca="false">BT1197*Parameter!$B$18</f>
        <v>188</v>
      </c>
      <c r="K1197" s="51" t="n">
        <v>317</v>
      </c>
      <c r="L1197" s="52" t="n">
        <v>0.593059936908517</v>
      </c>
      <c r="M1197" s="50" t="n">
        <v>10</v>
      </c>
      <c r="N1197" s="50" t="n">
        <v>190</v>
      </c>
      <c r="O1197" s="53" t="n">
        <v>21</v>
      </c>
      <c r="P1197" s="48" t="s">
        <v>177</v>
      </c>
      <c r="Q1197" s="50"/>
      <c r="R1197" s="53" t="n">
        <f aca="false">IF(BZ1197=1,0,IFERROR(VLOOKUP(BX1197,'Gebinde-Kategorie'!$A$5:$N$45,13,0)+0,0))</f>
        <v>4</v>
      </c>
      <c r="S1197" s="54"/>
      <c r="T1197" s="55" t="s">
        <v>198</v>
      </c>
      <c r="U1197" s="55"/>
      <c r="V1197" s="55"/>
      <c r="W1197" s="48"/>
      <c r="X1197" s="50"/>
      <c r="Y1197" s="50"/>
      <c r="Z1197" s="48" t="str">
        <f aca="false">IF(A1197="","",IF(AND(Parameter!$B$21="Ja",ISNUMBER(W1197)),W1197,IF(CC1197="2+3",IF(ISNUMBER(SEARCH("grosser Artikel",BU1197)),2,IFERROR(VLOOKUP(BX1197,Parameter!$F$35:$G$64,2,0),2)),IF(OR(CC1197="Nein",CC1197=""),"-",CC1197))))</f>
        <v>-</v>
      </c>
      <c r="AA1197" s="55"/>
      <c r="AB1197" s="56"/>
      <c r="AC1197" s="50" t="n">
        <f aca="false">AV1197</f>
        <v>200</v>
      </c>
      <c r="AD1197" s="50" t="n">
        <f aca="false">MAX(AV1197,H1197)</f>
        <v>200</v>
      </c>
      <c r="AE1197" s="57"/>
      <c r="AF1197" s="50" t="n">
        <f aca="false">IF(LEFT(Cockpit!$C$5,1)="A",H1197,IF(Parameter!$E$30="MAX-Bestand",IF(CH1197=1,CI1197,IF(LEFT(Cockpit!$C$5,1)="B",AL1197,MAX(AL1197,H1197))),ROUNDUP(AJ1197,0)))</f>
        <v>43</v>
      </c>
      <c r="AG1197" s="50" t="n">
        <f aca="false">IF(BZ1197=1,0,ROUNDUP(AF1197/BY1197,0))</f>
        <v>1</v>
      </c>
      <c r="AH1197" s="52" t="n">
        <f aca="false">IF(CQ1197&gt;0,CQ1197*MAX(1,AF1197/X1197),IF(BZ1197=1,IF(AF1197&lt;=0,0,CD1197*MAX(1,IF(H1197&gt;0,AF1197/H1197,1))),IF(R1197&gt;0,AG1197/R1197,0))/MAX(0.1,N(Parameter!$M$21)))</f>
        <v>0.25</v>
      </c>
      <c r="AI1197" s="50" t="n">
        <f aca="false">AH1197*CB1197</f>
        <v>58.75</v>
      </c>
      <c r="AJ1197" s="51" t="n">
        <f aca="false">IF(LEFT(Cockpit!$C$5,1)="A",H1197,IF(CH1197=1,(CK1197+CI1197)/2,IF(LEFT(Cockpit!$C$5,1)="B",(CK1197+AL1197)/2,MAX((CK1197+AL1197)/2,H1197))))</f>
        <v>43</v>
      </c>
      <c r="AK1197" s="50" t="n">
        <f aca="false">AJ1197*G1197</f>
        <v>70.52</v>
      </c>
      <c r="AL1197" s="50" t="n">
        <f aca="false">ROUNDUP(CK1197+MAX(CL1197,2*(J1197/IF(CG1197&gt;0,CG1197,MAX(0.1,N(Cockpit!$C$6)))-CK1197)),0)</f>
        <v>200</v>
      </c>
      <c r="AM1197" s="51" t="n">
        <f aca="false">IF(AI1197&gt;0,J1197/AI1197,-1)</f>
        <v>3.2</v>
      </c>
      <c r="AN1197" s="51" t="str">
        <f aca="false">IF(AND(OR(CF1197="L1",CF1197="L23",CF1197="LIFT"),AI1197&gt;0),SUMIFS($AI$7:$AI$1843,$CF$7:$CF$1843,CF1197,$AM$7:$AM$1843,"&gt;"&amp;AM1197)+SUMIFS($AI$7:$AI$1843,$CF$7:$CF$1843,CF1197,$AM$7:$AM$1843,AM1197,$BW$7:$BW$1843,"&lt;="&amp;BW1197),"")</f>
        <v/>
      </c>
      <c r="AO1197" s="58" t="n">
        <f aca="false">IF(AN1197="",0,MAX(0,MIN(1,(IF(CF1197="L1",Parameter!$H$5,IF(CF1197="L23",Parameter!$H$6+Parameter!$H$7,Parameter!$H$5+Parameter!$H$6+Parameter!$H$7))-(AN1197-AI1197))/AI1197)))</f>
        <v>0</v>
      </c>
      <c r="AP1197" s="50" t="n">
        <f aca="false">IF(LEFT(Cockpit!$I$5,1)="A",H1197,IF(Parameter!$E$30="MAX-Bestand",IF(CH1197=1,CI1197,IF(LEFT(Cockpit!$I$5,1)="B",AV1197,MAX(AV1197,H1197))),ROUNDUP(AT1197,0)))</f>
        <v>105</v>
      </c>
      <c r="AQ1197" s="50" t="n">
        <f aca="false">IF(BZ1197=1,0,ROUNDUP(AP1197/BY1197,0))</f>
        <v>1</v>
      </c>
      <c r="AR1197" s="52" t="n">
        <f aca="false">IF(CQ1197&gt;0,CQ1197*MAX(1,AP1197/X1197),IF(BZ1197=1,IF(AP1197&lt;=0,0,CD1197*MAX(1,IF(H1197&gt;0,AP1197/H1197,1))),IF(R1197&gt;0,AQ1197/R1197,0))/MAX(0.1,N(Parameter!$M$21)))</f>
        <v>0.25</v>
      </c>
      <c r="AS1197" s="50" t="n">
        <f aca="false">AR1197*CB1197</f>
        <v>58.75</v>
      </c>
      <c r="AT1197" s="51" t="n">
        <f aca="false">IF(LEFT(Cockpit!$I$5,1)="A",H1197,IF(CH1197=1,(CK1197+CI1197)/2,IF(LEFT(Cockpit!$I$5,1)="B",(CK1197+AV1197)/2,MAX((CK1197+AV1197)/2,H1197))))</f>
        <v>105</v>
      </c>
      <c r="AU1197" s="50" t="n">
        <f aca="false">AT1197*G1197</f>
        <v>172.2</v>
      </c>
      <c r="AV1197" s="50" t="n">
        <f aca="false">ROUNDUP(CK1197+MAX(CL1197,2*(J1197/IF(CG1197&gt;0,CG1197,MAX(0.1,N(Cockpit!$I$6)))-CK1197)),0)</f>
        <v>200</v>
      </c>
      <c r="AW1197" s="51" t="n">
        <f aca="false">IF(AS1197&gt;0,J1197/AS1197,-1)</f>
        <v>3.2</v>
      </c>
      <c r="AX1197" s="51" t="str">
        <f aca="false">IF(AND(OR(CF1197="L1",CF1197="L23",CF1197="LIFT"),AS1197&gt;0),SUMIFS($AS$7:$AS$1843,$CF$7:$CF$1843,CF1197,$AW$7:$AW$1843,"&gt;"&amp;AW1197)+SUMIFS($AS$7:$AS$1843,$CF$7:$CF$1843,CF1197,$AW$7:$AW$1843,AW1197,$BW$7:$BW$1843,"&lt;="&amp;BW1197),"")</f>
        <v/>
      </c>
      <c r="AY1197" s="58" t="n">
        <f aca="false">IF(AX1197="",0,MAX(0,MIN(1,(IF(CF1197="L1",Parameter!$H$5,IF(CF1197="L23",Parameter!$H$6+Parameter!$H$7,Parameter!$H$5+Parameter!$H$6+Parameter!$H$7))-(AX1197-AS1197))/AS1197)))</f>
        <v>0</v>
      </c>
      <c r="AZ1197" s="50" t="n">
        <f aca="false">IF(LEFT(Cockpit!$O$5,1)="A",H1197,IF(Parameter!$E$30="MAX-Bestand",IF(CH1197=1,CI1197,IF(LEFT(Cockpit!$O$5,1)="B",BF1197,MAX(BF1197,H1197))),ROUNDUP(BD1197,0)))</f>
        <v>105</v>
      </c>
      <c r="BA1197" s="50" t="n">
        <f aca="false">IF(BZ1197=1,0,ROUNDUP(AZ1197/BY1197,0))</f>
        <v>1</v>
      </c>
      <c r="BB1197" s="52" t="n">
        <f aca="false">IF(CQ1197&gt;0,CQ1197*MAX(1,AZ1197/X1197),IF(BZ1197=1,IF(AZ1197&lt;=0,0,CD1197*MAX(1,IF(H1197&gt;0,AZ1197/H1197,1))),IF(R1197&gt;0,BA1197/R1197,0))/MAX(0.1,N(Parameter!$M$21)))</f>
        <v>0.25</v>
      </c>
      <c r="BC1197" s="50" t="n">
        <f aca="false">BB1197*CB1197</f>
        <v>58.75</v>
      </c>
      <c r="BD1197" s="51" t="n">
        <f aca="false">IF(LEFT(Cockpit!$O$5,1)="A",H1197,IF(CH1197=1,(CK1197+CI1197)/2,IF(LEFT(Cockpit!$O$5,1)="B",(CK1197+BF1197)/2,MAX((CK1197+BF1197)/2,H1197))))</f>
        <v>105</v>
      </c>
      <c r="BE1197" s="50" t="n">
        <f aca="false">BD1197*G1197</f>
        <v>172.2</v>
      </c>
      <c r="BF1197" s="50" t="n">
        <f aca="false">ROUNDUP(CK1197+MAX(CL1197,2*(J1197/IF(CG1197&gt;0,CG1197,MAX(0.1,N(Cockpit!$O$6)))-CK1197)),0)</f>
        <v>200</v>
      </c>
      <c r="BG1197" s="51" t="n">
        <f aca="false">IF(BC1197&gt;0,J1197/BC1197,-1)</f>
        <v>3.2</v>
      </c>
      <c r="BH1197" s="51" t="str">
        <f aca="false">IF(AND(OR(CF1197="L1",CF1197="L23",CF1197="LIFT"),BC1197&gt;0),SUMIFS($BC$7:$BC$1843,$CF$7:$CF$1843,CF1197,$BG$7:$BG$1843,"&gt;"&amp;BG1197)+SUMIFS($BC$7:$BC$1843,$CF$7:$CF$1843,CF1197,$BG$7:$BG$1843,BG1197,$BW$7:$BW$1843,"&lt;="&amp;BW1197),"")</f>
        <v/>
      </c>
      <c r="BI1197" s="58" t="n">
        <f aca="false">IF(BH1197="",0,MAX(0,MIN(1,(IF(CF1197="L1",Parameter!$H$5,IF(CF1197="L23",Parameter!$H$6+Parameter!$H$7,Parameter!$H$5+Parameter!$H$6+Parameter!$H$7))-(BH1197-BC1197))/BC1197)))</f>
        <v>0</v>
      </c>
      <c r="BJ1197" s="48" t="str">
        <f aca="false">IF(AI1197&lt;=0,"",IF(CF1197="Aussen","Aussenlager",IF(CF1197="-","Nicht im Lift",IF(AO1197&gt;=1,"Lift",IF(AO1197&lt;=0,"Aussenlager","teilweise")))))</f>
        <v>Nicht im Lift</v>
      </c>
      <c r="BK1197" s="48" t="str">
        <f aca="false">IF(AS1197&lt;=0,"",IF(CF1197="Aussen","Aussenlager",IF(CF1197="-","Nicht im Lift",IF(AY1197&gt;=1,"Lift",IF(AY1197&lt;=0,"Aussenlager","teilweise")))))</f>
        <v>Nicht im Lift</v>
      </c>
      <c r="BL1197" s="48" t="str">
        <f aca="false">IF(BC1197&lt;=0,"",IF(CF1197="Aussen","Aussenlager",IF(CF1197="-","Nicht im Lift",IF(BI1197&gt;=1,"Lift",IF(BI1197&lt;=0,"Aussenlager","teilweise")))))</f>
        <v>Nicht im Lift</v>
      </c>
      <c r="BM1197" s="48" t="str">
        <f aca="false">IF(A1197="","",IF(BV1197=1,"Neu; ","")&amp;IF(AND(BV1197=0,BQ1197&lt;0),"negativer Bestand (Export "&amp;BQ1197&amp;"); ","")&amp;IF(J1197&lt;=0,"Kein Verbrauch; ","")&amp;IF(CQ1197&gt;0,"Lift "&amp;W1197&amp;" lt. Liftbericht (Fach "&amp;X1197&amp;" Stk); ",IF(CA1197=1,"Gebinde geschätzt ("&amp;T1197&amp;"); ",IF(BZ1197=1,"Lose – Tablare geschätzt; ","")))&amp;IF(H1197&gt;AV1197,"Überbestand "&amp;ROUND(H1197-AV1197,0)&amp;" Stk / CHF "&amp;ROUND((H1197-AV1197)*G1197,0)&amp;"; ","")&amp;IF(AND(CH1197=1,CI1197&lt;CJ1197),"MAX &lt; MB+LG; ","")&amp;IF(AND(CP1197&gt;0,CO1197*10&gt;CP1197),"zu hoch für Tablar; ","")&amp;IF(AND(BV1197=0,OR(CH1197=1,AA1197&lt;&gt;"",U1197&lt;&gt;"",V1197&lt;&gt;"",AB1197&lt;&gt;"")),"manuell übersteuert; ","")&amp;IF(AND(BZ1197=0,R1197=0),"Gebinde unbekannt / Stellmass fehlt; ","")&amp;IF(AND(BZ1197=0,N(V1197)&lt;=0,N(Q1197)&lt;=0),"Menge pro Gebinde fehlt (Ist = 1 Gebinde); ","")&amp;BU1197)</f>
        <v>negativer Bestand (Export -318); Gebinde geschätzt (Gross); Menge pro Gebinde fehlt (Ist = 1 Gebinde); </v>
      </c>
      <c r="BN1197" s="48"/>
      <c r="BO1197" s="48"/>
      <c r="BP1197" s="55"/>
      <c r="BQ1197" s="50" t="n">
        <v>-318</v>
      </c>
      <c r="BR1197" s="50" t="n">
        <v>361</v>
      </c>
      <c r="BS1197" s="49" t="n">
        <v>-467.37</v>
      </c>
      <c r="BT1197" s="50" t="n">
        <v>188</v>
      </c>
      <c r="BU1197" s="48"/>
      <c r="BV1197" s="53" t="n">
        <v>0</v>
      </c>
      <c r="BW1197" s="53" t="n">
        <v>1197</v>
      </c>
      <c r="BX1197" s="48" t="str">
        <f aca="false">IF(U1197&lt;&gt;"",UPPER(TRIM(U1197)),IF(CA1197=1,UPPER(VLOOKUP(T1197,Parameter!$I$27:$K$29,2,0)),IF(P1197="","LOSE",P1197)))</f>
        <v>S81</v>
      </c>
      <c r="BY1197" s="50" t="n">
        <f aca="false">IF(BX1197="LOSE",1,IF(N(V1197)&gt;0,V1197,IF(CA1197=1,MAX(1,N(VLOOKUP(T1197,Parameter!$I$27:$K$29,3,0)),H1197,N(N1197)),IF(N(Q1197)&gt;0,Q1197,MAX(1,H1197)))))</f>
        <v>190</v>
      </c>
      <c r="BZ1197" s="53" t="n">
        <f aca="false">IF(BX1197="LOSE",1,0)</f>
        <v>0</v>
      </c>
      <c r="CA1197" s="53" t="n">
        <f aca="false">IF(AND(U1197="",OR(P1197="",P1197="LOSE"),T1197&lt;&gt;"",N(S1197)&lt;=0,ISNUMBER(MATCH(T1197,Parameter!$I$27:$I$29,0))),1,0)</f>
        <v>1</v>
      </c>
      <c r="CB1197" s="53" t="n">
        <f aca="false">IF(CQ1197&gt;0,INDEX(Parameter!$H$5:$H$7,W1197)/INDEX(Parameter!$E$5:$E$7,W1197),IF(AND(BZ1197=0,N(IFERROR(VLOOKUP(BX1197,'Gebinde-Kategorie'!$A$5:$N$45,14,0),0))&gt;0),VLOOKUP(BX1197,'Gebinde-Kategorie'!$A$5:$N$45,14,0)*10+Parameter!$M$23,Parameter!$M$24))</f>
        <v>235</v>
      </c>
      <c r="CC1197" s="48" t="str">
        <f aca="false">IF(AND(Parameter!$B$19="Ja",E1197&lt;&gt;"",ISNUMBER(MATCH(E1197,Parameter!$I$35:$I$52,0))),VLOOKUP(E1197,Parameter!$I$35:$J$52,2,0),IFERROR(VLOOKUP(D1197,Parameter!$A$35:$C$64,2,0),"Nein"))</f>
        <v>Nein</v>
      </c>
      <c r="CD1197" s="52" t="n">
        <f aca="false">IF(BZ1197=0,0,IF(N(S1197)&gt;0,S1197,IFERROR(VLOOKUP(D1197,Parameter!$A$35:$C$64,3,0)+0,0)))</f>
        <v>0</v>
      </c>
      <c r="CE1197" s="48" t="str">
        <f aca="false">IF(AA1197&lt;&gt;"",AA1197,Z1197)</f>
        <v>-</v>
      </c>
      <c r="CF1197" s="48" t="str">
        <f aca="false">IF(OR(CE1197=1,CE1197=2,CE1197=3),IF(Parameter!$E$27="Ja","LIFT",IF(CE1197=1,"L1","L23")),IF(CE1197="Aussen","Aussen","-"))</f>
        <v>-</v>
      </c>
      <c r="CG1197" s="59" t="n">
        <f aca="false">IF(N(AB1197)&gt;0,AB1197,0)</f>
        <v>0</v>
      </c>
      <c r="CH1197" s="53" t="n">
        <f aca="false">IF(ISNUMBER(AE1197),1,0)</f>
        <v>0</v>
      </c>
      <c r="CI1197" s="50" t="n">
        <f aca="false">N(AE1197)</f>
        <v>0</v>
      </c>
      <c r="CJ1197" s="50" t="n">
        <f aca="false">N(M1197)+N(N1197)</f>
        <v>200</v>
      </c>
      <c r="CK1197" s="50" t="n">
        <f aca="false">N(M1197)</f>
        <v>10</v>
      </c>
      <c r="CL1197" s="50" t="n">
        <f aca="false">N(N1197)</f>
        <v>190</v>
      </c>
      <c r="CM1197" s="50" t="n">
        <f aca="false">ROUNDUP(H1197/BY1197,0)</f>
        <v>1</v>
      </c>
      <c r="CN1197" s="50" t="n">
        <f aca="false">ROUNDUP(CI1197/BY1197,0)</f>
        <v>0</v>
      </c>
      <c r="CO1197" s="53" t="n">
        <f aca="false">IF(BZ1197=1,0,IFERROR(VLOOKUP(BX1197,'Gebinde-Kategorie'!$A$5:$N$45,5,0)+0,0))</f>
        <v>20</v>
      </c>
      <c r="CP1197" s="53" t="n">
        <f aca="false">IFERROR(IF(OR(CE1197=1,CE1197=2,CE1197=3),N(INDEX(Parameter!$I$5:$I$7,CE1197)),0),0)</f>
        <v>0</v>
      </c>
      <c r="CQ1197" s="52" t="n">
        <f aca="false">IF(AND(Parameter!$B$21="Ja",ISNUMBER(W1197),N(X1197)&gt;0),IFERROR(N(INDEX(Parameter!$L$5:$L$7,W1197))*INDEX(Parameter!$E$5:$E$7,W1197)*X1197/SUMIFS($X$7:$X$1843,$W$7:$W$1843,W1197),0),0)</f>
        <v>0</v>
      </c>
    </row>
    <row r="1198" customFormat="false" ht="15" hidden="false" customHeight="false" outlineLevel="0" collapsed="false">
      <c r="A1198" s="48" t="s">
        <v>2163</v>
      </c>
      <c r="B1198" s="48" t="s">
        <v>2164</v>
      </c>
      <c r="C1198" s="48" t="s">
        <v>465</v>
      </c>
      <c r="D1198" s="48" t="s">
        <v>182</v>
      </c>
      <c r="E1198" s="48" t="s">
        <v>1488</v>
      </c>
      <c r="F1198" s="48" t="s">
        <v>227</v>
      </c>
      <c r="G1198" s="49" t="n">
        <v>120.58</v>
      </c>
      <c r="H1198" s="50" t="n">
        <f aca="false">MAX(0,IF(AND(Parameter!$B$21="Ja",ISNUMBER(Y1198)),Y1198,IF(Parameter!$B$20="Jahresanfang 2025 + Export",BR1198+BQ1198,BQ1198)))</f>
        <v>0</v>
      </c>
      <c r="I1198" s="50" t="n">
        <f aca="false">H1198*G1198</f>
        <v>0</v>
      </c>
      <c r="J1198" s="50" t="n">
        <f aca="false">BT1198*Parameter!$B$18</f>
        <v>0</v>
      </c>
      <c r="K1198" s="51" t="n">
        <v>2</v>
      </c>
      <c r="L1198" s="52" t="n">
        <v>0</v>
      </c>
      <c r="M1198" s="50" t="n">
        <v>0</v>
      </c>
      <c r="N1198" s="50" t="n">
        <v>1</v>
      </c>
      <c r="O1198" s="53" t="n">
        <v>56</v>
      </c>
      <c r="P1198" s="48" t="s">
        <v>177</v>
      </c>
      <c r="Q1198" s="50"/>
      <c r="R1198" s="53" t="n">
        <f aca="false">IF(BZ1198=1,0,IFERROR(VLOOKUP(BX1198,'Gebinde-Kategorie'!$A$5:$N$45,13,0)+0,0))</f>
        <v>4</v>
      </c>
      <c r="S1198" s="54"/>
      <c r="T1198" s="55" t="s">
        <v>198</v>
      </c>
      <c r="U1198" s="55"/>
      <c r="V1198" s="55"/>
      <c r="W1198" s="48"/>
      <c r="X1198" s="50"/>
      <c r="Y1198" s="50"/>
      <c r="Z1198" s="48" t="str">
        <f aca="false">IF(A1198="","",IF(AND(Parameter!$B$21="Ja",ISNUMBER(W1198)),W1198,IF(CC1198="2+3",IF(ISNUMBER(SEARCH("grosser Artikel",BU1198)),2,IFERROR(VLOOKUP(BX1198,Parameter!$F$35:$G$64,2,0),2)),IF(OR(CC1198="Nein",CC1198=""),"-",CC1198))))</f>
        <v>-</v>
      </c>
      <c r="AA1198" s="55"/>
      <c r="AB1198" s="56"/>
      <c r="AC1198" s="50" t="n">
        <f aca="false">AV1198</f>
        <v>1</v>
      </c>
      <c r="AD1198" s="50" t="n">
        <f aca="false">MAX(AV1198,H1198)</f>
        <v>1</v>
      </c>
      <c r="AE1198" s="57"/>
      <c r="AF1198" s="50" t="n">
        <f aca="false">IF(LEFT(Cockpit!$C$5,1)="A",H1198,IF(Parameter!$E$30="MAX-Bestand",IF(CH1198=1,CI1198,IF(LEFT(Cockpit!$C$5,1)="B",AL1198,MAX(AL1198,H1198))),ROUNDUP(AJ1198,0)))</f>
        <v>0</v>
      </c>
      <c r="AG1198" s="50" t="n">
        <f aca="false">IF(BZ1198=1,0,ROUNDUP(AF1198/BY1198,0))</f>
        <v>0</v>
      </c>
      <c r="AH1198" s="52" t="n">
        <f aca="false">IF(CQ1198&gt;0,CQ1198*MAX(1,AF1198/X1198),IF(BZ1198=1,IF(AF1198&lt;=0,0,CD1198*MAX(1,IF(H1198&gt;0,AF1198/H1198,1))),IF(R1198&gt;0,AG1198/R1198,0))/MAX(0.1,N(Parameter!$M$21)))</f>
        <v>0</v>
      </c>
      <c r="AI1198" s="50" t="n">
        <f aca="false">AH1198*CB1198</f>
        <v>0</v>
      </c>
      <c r="AJ1198" s="51" t="n">
        <f aca="false">IF(LEFT(Cockpit!$C$5,1)="A",H1198,IF(CH1198=1,(CK1198+CI1198)/2,IF(LEFT(Cockpit!$C$5,1)="B",(CK1198+AL1198)/2,MAX((CK1198+AL1198)/2,H1198))))</f>
        <v>0</v>
      </c>
      <c r="AK1198" s="50" t="n">
        <f aca="false">AJ1198*G1198</f>
        <v>0</v>
      </c>
      <c r="AL1198" s="50" t="n">
        <f aca="false">ROUNDUP(CK1198+MAX(CL1198,2*(J1198/IF(CG1198&gt;0,CG1198,MAX(0.1,N(Cockpit!$C$6)))-CK1198)),0)</f>
        <v>1</v>
      </c>
      <c r="AM1198" s="51" t="n">
        <f aca="false">IF(AI1198&gt;0,J1198/AI1198,-1)</f>
        <v>-1</v>
      </c>
      <c r="AN1198" s="51" t="str">
        <f aca="false">IF(AND(OR(CF1198="L1",CF1198="L23",CF1198="LIFT"),AI1198&gt;0),SUMIFS($AI$7:$AI$1843,$CF$7:$CF$1843,CF1198,$AM$7:$AM$1843,"&gt;"&amp;AM1198)+SUMIFS($AI$7:$AI$1843,$CF$7:$CF$1843,CF1198,$AM$7:$AM$1843,AM1198,$BW$7:$BW$1843,"&lt;="&amp;BW1198),"")</f>
        <v/>
      </c>
      <c r="AO1198" s="58" t="n">
        <f aca="false">IF(AN1198="",0,MAX(0,MIN(1,(IF(CF1198="L1",Parameter!$H$5,IF(CF1198="L23",Parameter!$H$6+Parameter!$H$7,Parameter!$H$5+Parameter!$H$6+Parameter!$H$7))-(AN1198-AI1198))/AI1198)))</f>
        <v>0</v>
      </c>
      <c r="AP1198" s="50" t="n">
        <f aca="false">IF(LEFT(Cockpit!$I$5,1)="A",H1198,IF(Parameter!$E$30="MAX-Bestand",IF(CH1198=1,CI1198,IF(LEFT(Cockpit!$I$5,1)="B",AV1198,MAX(AV1198,H1198))),ROUNDUP(AT1198,0)))</f>
        <v>1</v>
      </c>
      <c r="AQ1198" s="50" t="n">
        <f aca="false">IF(BZ1198=1,0,ROUNDUP(AP1198/BY1198,0))</f>
        <v>1</v>
      </c>
      <c r="AR1198" s="52" t="n">
        <f aca="false">IF(CQ1198&gt;0,CQ1198*MAX(1,AP1198/X1198),IF(BZ1198=1,IF(AP1198&lt;=0,0,CD1198*MAX(1,IF(H1198&gt;0,AP1198/H1198,1))),IF(R1198&gt;0,AQ1198/R1198,0))/MAX(0.1,N(Parameter!$M$21)))</f>
        <v>0.25</v>
      </c>
      <c r="AS1198" s="50" t="n">
        <f aca="false">AR1198*CB1198</f>
        <v>58.75</v>
      </c>
      <c r="AT1198" s="51" t="n">
        <f aca="false">IF(LEFT(Cockpit!$I$5,1)="A",H1198,IF(CH1198=1,(CK1198+CI1198)/2,IF(LEFT(Cockpit!$I$5,1)="B",(CK1198+AV1198)/2,MAX((CK1198+AV1198)/2,H1198))))</f>
        <v>0.5</v>
      </c>
      <c r="AU1198" s="50" t="n">
        <f aca="false">AT1198*G1198</f>
        <v>60.29</v>
      </c>
      <c r="AV1198" s="50" t="n">
        <f aca="false">ROUNDUP(CK1198+MAX(CL1198,2*(J1198/IF(CG1198&gt;0,CG1198,MAX(0.1,N(Cockpit!$I$6)))-CK1198)),0)</f>
        <v>1</v>
      </c>
      <c r="AW1198" s="51" t="n">
        <f aca="false">IF(AS1198&gt;0,J1198/AS1198,-1)</f>
        <v>0</v>
      </c>
      <c r="AX1198" s="51" t="str">
        <f aca="false">IF(AND(OR(CF1198="L1",CF1198="L23",CF1198="LIFT"),AS1198&gt;0),SUMIFS($AS$7:$AS$1843,$CF$7:$CF$1843,CF1198,$AW$7:$AW$1843,"&gt;"&amp;AW1198)+SUMIFS($AS$7:$AS$1843,$CF$7:$CF$1843,CF1198,$AW$7:$AW$1843,AW1198,$BW$7:$BW$1843,"&lt;="&amp;BW1198),"")</f>
        <v/>
      </c>
      <c r="AY1198" s="58" t="n">
        <f aca="false">IF(AX1198="",0,MAX(0,MIN(1,(IF(CF1198="L1",Parameter!$H$5,IF(CF1198="L23",Parameter!$H$6+Parameter!$H$7,Parameter!$H$5+Parameter!$H$6+Parameter!$H$7))-(AX1198-AS1198))/AS1198)))</f>
        <v>0</v>
      </c>
      <c r="AZ1198" s="50" t="n">
        <f aca="false">IF(LEFT(Cockpit!$O$5,1)="A",H1198,IF(Parameter!$E$30="MAX-Bestand",IF(CH1198=1,CI1198,IF(LEFT(Cockpit!$O$5,1)="B",BF1198,MAX(BF1198,H1198))),ROUNDUP(BD1198,0)))</f>
        <v>1</v>
      </c>
      <c r="BA1198" s="50" t="n">
        <f aca="false">IF(BZ1198=1,0,ROUNDUP(AZ1198/BY1198,0))</f>
        <v>1</v>
      </c>
      <c r="BB1198" s="52" t="n">
        <f aca="false">IF(CQ1198&gt;0,CQ1198*MAX(1,AZ1198/X1198),IF(BZ1198=1,IF(AZ1198&lt;=0,0,CD1198*MAX(1,IF(H1198&gt;0,AZ1198/H1198,1))),IF(R1198&gt;0,BA1198/R1198,0))/MAX(0.1,N(Parameter!$M$21)))</f>
        <v>0.25</v>
      </c>
      <c r="BC1198" s="50" t="n">
        <f aca="false">BB1198*CB1198</f>
        <v>58.75</v>
      </c>
      <c r="BD1198" s="51" t="n">
        <f aca="false">IF(LEFT(Cockpit!$O$5,1)="A",H1198,IF(CH1198=1,(CK1198+CI1198)/2,IF(LEFT(Cockpit!$O$5,1)="B",(CK1198+BF1198)/2,MAX((CK1198+BF1198)/2,H1198))))</f>
        <v>0.5</v>
      </c>
      <c r="BE1198" s="50" t="n">
        <f aca="false">BD1198*G1198</f>
        <v>60.29</v>
      </c>
      <c r="BF1198" s="50" t="n">
        <f aca="false">ROUNDUP(CK1198+MAX(CL1198,2*(J1198/IF(CG1198&gt;0,CG1198,MAX(0.1,N(Cockpit!$O$6)))-CK1198)),0)</f>
        <v>1</v>
      </c>
      <c r="BG1198" s="51" t="n">
        <f aca="false">IF(BC1198&gt;0,J1198/BC1198,-1)</f>
        <v>0</v>
      </c>
      <c r="BH1198" s="51" t="str">
        <f aca="false">IF(AND(OR(CF1198="L1",CF1198="L23",CF1198="LIFT"),BC1198&gt;0),SUMIFS($BC$7:$BC$1843,$CF$7:$CF$1843,CF1198,$BG$7:$BG$1843,"&gt;"&amp;BG1198)+SUMIFS($BC$7:$BC$1843,$CF$7:$CF$1843,CF1198,$BG$7:$BG$1843,BG1198,$BW$7:$BW$1843,"&lt;="&amp;BW1198),"")</f>
        <v/>
      </c>
      <c r="BI1198" s="58" t="n">
        <f aca="false">IF(BH1198="",0,MAX(0,MIN(1,(IF(CF1198="L1",Parameter!$H$5,IF(CF1198="L23",Parameter!$H$6+Parameter!$H$7,Parameter!$H$5+Parameter!$H$6+Parameter!$H$7))-(BH1198-BC1198))/BC1198)))</f>
        <v>0</v>
      </c>
      <c r="BJ1198" s="48" t="str">
        <f aca="false">IF(AI1198&lt;=0,"",IF(CF1198="Aussen","Aussenlager",IF(CF1198="-","Nicht im Lift",IF(AO1198&gt;=1,"Lift",IF(AO1198&lt;=0,"Aussenlager","teilweise")))))</f>
        <v/>
      </c>
      <c r="BK1198" s="48" t="str">
        <f aca="false">IF(AS1198&lt;=0,"",IF(CF1198="Aussen","Aussenlager",IF(CF1198="-","Nicht im Lift",IF(AY1198&gt;=1,"Lift",IF(AY1198&lt;=0,"Aussenlager","teilweise")))))</f>
        <v>Nicht im Lift</v>
      </c>
      <c r="BL1198" s="48" t="str">
        <f aca="false">IF(BC1198&lt;=0,"",IF(CF1198="Aussen","Aussenlager",IF(CF1198="-","Nicht im Lift",IF(BI1198&gt;=1,"Lift",IF(BI1198&lt;=0,"Aussenlager","teilweise")))))</f>
        <v>Nicht im Lift</v>
      </c>
      <c r="BM1198" s="48" t="str">
        <f aca="false">IF(A1198="","",IF(BV1198=1,"Neu; ","")&amp;IF(AND(BV1198=0,BQ1198&lt;0),"negativer Bestand (Export "&amp;BQ1198&amp;"); ","")&amp;IF(J1198&lt;=0,"Kein Verbrauch; ","")&amp;IF(CQ1198&gt;0,"Lift "&amp;W1198&amp;" lt. Liftbericht (Fach "&amp;X1198&amp;" Stk); ",IF(CA1198=1,"Gebinde geschätzt ("&amp;T1198&amp;"); ",IF(BZ1198=1,"Lose – Tablare geschätzt; ","")))&amp;IF(H1198&gt;AV1198,"Überbestand "&amp;ROUND(H1198-AV1198,0)&amp;" Stk / CHF "&amp;ROUND((H1198-AV1198)*G1198,0)&amp;"; ","")&amp;IF(AND(CH1198=1,CI1198&lt;CJ1198),"MAX &lt; MB+LG; ","")&amp;IF(AND(CP1198&gt;0,CO1198*10&gt;CP1198),"zu hoch für Tablar; ","")&amp;IF(AND(BV1198=0,OR(CH1198=1,AA1198&lt;&gt;"",U1198&lt;&gt;"",V1198&lt;&gt;"",AB1198&lt;&gt;"")),"manuell übersteuert; ","")&amp;IF(AND(BZ1198=0,R1198=0),"Gebinde unbekannt / Stellmass fehlt; ","")&amp;IF(AND(BZ1198=0,N(V1198)&lt;=0,N(Q1198)&lt;=0),"Menge pro Gebinde fehlt (Ist = 1 Gebinde); ","")&amp;BU1198)</f>
        <v>negativer Bestand (Export -4); Kein Verbrauch; Gebinde geschätzt (Gross); Menge pro Gebinde fehlt (Ist = 1 Gebinde); </v>
      </c>
      <c r="BN1198" s="48"/>
      <c r="BO1198" s="48"/>
      <c r="BP1198" s="55"/>
      <c r="BQ1198" s="50" t="n">
        <v>-4</v>
      </c>
      <c r="BR1198" s="50" t="n">
        <v>4</v>
      </c>
      <c r="BS1198" s="49" t="n">
        <v>-482.32</v>
      </c>
      <c r="BT1198" s="50" t="n">
        <v>0</v>
      </c>
      <c r="BU1198" s="48"/>
      <c r="BV1198" s="53" t="n">
        <v>0</v>
      </c>
      <c r="BW1198" s="53" t="n">
        <v>1198</v>
      </c>
      <c r="BX1198" s="48" t="str">
        <f aca="false">IF(U1198&lt;&gt;"",UPPER(TRIM(U1198)),IF(CA1198=1,UPPER(VLOOKUP(T1198,Parameter!$I$27:$K$29,2,0)),IF(P1198="","LOSE",P1198)))</f>
        <v>S81</v>
      </c>
      <c r="BY1198" s="50" t="n">
        <f aca="false">IF(BX1198="LOSE",1,IF(N(V1198)&gt;0,V1198,IF(CA1198=1,MAX(1,N(VLOOKUP(T1198,Parameter!$I$27:$K$29,3,0)),H1198,N(N1198)),IF(N(Q1198)&gt;0,Q1198,MAX(1,H1198)))))</f>
        <v>2</v>
      </c>
      <c r="BZ1198" s="53" t="n">
        <f aca="false">IF(BX1198="LOSE",1,0)</f>
        <v>0</v>
      </c>
      <c r="CA1198" s="53" t="n">
        <f aca="false">IF(AND(U1198="",OR(P1198="",P1198="LOSE"),T1198&lt;&gt;"",N(S1198)&lt;=0,ISNUMBER(MATCH(T1198,Parameter!$I$27:$I$29,0))),1,0)</f>
        <v>1</v>
      </c>
      <c r="CB1198" s="53" t="n">
        <f aca="false">IF(CQ1198&gt;0,INDEX(Parameter!$H$5:$H$7,W1198)/INDEX(Parameter!$E$5:$E$7,W1198),IF(AND(BZ1198=0,N(IFERROR(VLOOKUP(BX1198,'Gebinde-Kategorie'!$A$5:$N$45,14,0),0))&gt;0),VLOOKUP(BX1198,'Gebinde-Kategorie'!$A$5:$N$45,14,0)*10+Parameter!$M$23,Parameter!$M$24))</f>
        <v>235</v>
      </c>
      <c r="CC1198" s="48" t="str">
        <f aca="false">IF(AND(Parameter!$B$19="Ja",E1198&lt;&gt;"",ISNUMBER(MATCH(E1198,Parameter!$I$35:$I$52,0))),VLOOKUP(E1198,Parameter!$I$35:$J$52,2,0),IFERROR(VLOOKUP(D1198,Parameter!$A$35:$C$64,2,0),"Nein"))</f>
        <v>Nein</v>
      </c>
      <c r="CD1198" s="52" t="n">
        <f aca="false">IF(BZ1198=0,0,IF(N(S1198)&gt;0,S1198,IFERROR(VLOOKUP(D1198,Parameter!$A$35:$C$64,3,0)+0,0)))</f>
        <v>0</v>
      </c>
      <c r="CE1198" s="48" t="str">
        <f aca="false">IF(AA1198&lt;&gt;"",AA1198,Z1198)</f>
        <v>-</v>
      </c>
      <c r="CF1198" s="48" t="str">
        <f aca="false">IF(OR(CE1198=1,CE1198=2,CE1198=3),IF(Parameter!$E$27="Ja","LIFT",IF(CE1198=1,"L1","L23")),IF(CE1198="Aussen","Aussen","-"))</f>
        <v>-</v>
      </c>
      <c r="CG1198" s="59" t="n">
        <f aca="false">IF(N(AB1198)&gt;0,AB1198,0)</f>
        <v>0</v>
      </c>
      <c r="CH1198" s="53" t="n">
        <f aca="false">IF(ISNUMBER(AE1198),1,0)</f>
        <v>0</v>
      </c>
      <c r="CI1198" s="50" t="n">
        <f aca="false">N(AE1198)</f>
        <v>0</v>
      </c>
      <c r="CJ1198" s="50" t="n">
        <f aca="false">N(M1198)+N(N1198)</f>
        <v>1</v>
      </c>
      <c r="CK1198" s="50" t="n">
        <f aca="false">N(M1198)</f>
        <v>0</v>
      </c>
      <c r="CL1198" s="50" t="n">
        <f aca="false">N(N1198)</f>
        <v>1</v>
      </c>
      <c r="CM1198" s="50" t="n">
        <f aca="false">ROUNDUP(H1198/BY1198,0)</f>
        <v>0</v>
      </c>
      <c r="CN1198" s="50" t="n">
        <f aca="false">ROUNDUP(CI1198/BY1198,0)</f>
        <v>0</v>
      </c>
      <c r="CO1198" s="53" t="n">
        <f aca="false">IF(BZ1198=1,0,IFERROR(VLOOKUP(BX1198,'Gebinde-Kategorie'!$A$5:$N$45,5,0)+0,0))</f>
        <v>20</v>
      </c>
      <c r="CP1198" s="53" t="n">
        <f aca="false">IFERROR(IF(OR(CE1198=1,CE1198=2,CE1198=3),N(INDEX(Parameter!$I$5:$I$7,CE1198)),0),0)</f>
        <v>0</v>
      </c>
      <c r="CQ1198" s="52" t="n">
        <f aca="false">IF(AND(Parameter!$B$21="Ja",ISNUMBER(W1198),N(X1198)&gt;0),IFERROR(N(INDEX(Parameter!$L$5:$L$7,W1198))*INDEX(Parameter!$E$5:$E$7,W1198)*X1198/SUMIFS($X$7:$X$1843,$W$7:$W$1843,W1198),0),0)</f>
        <v>0</v>
      </c>
    </row>
    <row r="1199" customFormat="false" ht="15" hidden="false" customHeight="false" outlineLevel="0" collapsed="false">
      <c r="A1199" s="48" t="s">
        <v>2165</v>
      </c>
      <c r="B1199" s="48" t="s">
        <v>516</v>
      </c>
      <c r="C1199" s="48" t="s">
        <v>173</v>
      </c>
      <c r="D1199" s="48" t="s">
        <v>193</v>
      </c>
      <c r="E1199" s="48" t="s">
        <v>194</v>
      </c>
      <c r="F1199" s="48" t="s">
        <v>227</v>
      </c>
      <c r="G1199" s="49" t="n">
        <v>2.22</v>
      </c>
      <c r="H1199" s="50" t="n">
        <f aca="false">MAX(0,IF(AND(Parameter!$B$21="Ja",ISNUMBER(Y1199)),Y1199,IF(Parameter!$B$20="Jahresanfang 2025 + Export",BR1199+BQ1199,BQ1199)))</f>
        <v>102</v>
      </c>
      <c r="I1199" s="50" t="n">
        <f aca="false">H1199*G1199</f>
        <v>226.44</v>
      </c>
      <c r="J1199" s="50" t="n">
        <f aca="false">BT1199*Parameter!$B$18</f>
        <v>361</v>
      </c>
      <c r="K1199" s="51" t="n">
        <v>284.5</v>
      </c>
      <c r="L1199" s="52" t="n">
        <v>1.2688927943761</v>
      </c>
      <c r="M1199" s="50" t="n">
        <v>21</v>
      </c>
      <c r="N1199" s="50" t="n">
        <v>360</v>
      </c>
      <c r="O1199" s="53" t="n">
        <v>21</v>
      </c>
      <c r="P1199" s="48" t="s">
        <v>311</v>
      </c>
      <c r="Q1199" s="50" t="n">
        <v>215</v>
      </c>
      <c r="R1199" s="53" t="n">
        <f aca="false">IF(BZ1199=1,0,IFERROR(VLOOKUP(BX1199,'Gebinde-Kategorie'!$A$5:$N$45,13,0)+0,0))</f>
        <v>26</v>
      </c>
      <c r="S1199" s="54"/>
      <c r="T1199" s="55"/>
      <c r="U1199" s="55"/>
      <c r="V1199" s="55"/>
      <c r="W1199" s="48"/>
      <c r="X1199" s="50"/>
      <c r="Y1199" s="50"/>
      <c r="Z1199" s="48" t="n">
        <f aca="false">IF(A1199="","",IF(AND(Parameter!$B$21="Ja",ISNUMBER(W1199)),W1199,IF(CC1199="2+3",IF(ISNUMBER(SEARCH("grosser Artikel",BU1199)),2,IFERROR(VLOOKUP(BX1199,Parameter!$F$35:$G$64,2,0),2)),IF(OR(CC1199="Nein",CC1199=""),"-",CC1199))))</f>
        <v>3</v>
      </c>
      <c r="AA1199" s="55"/>
      <c r="AB1199" s="56"/>
      <c r="AC1199" s="50" t="n">
        <f aca="false">AV1199</f>
        <v>381</v>
      </c>
      <c r="AD1199" s="50" t="n">
        <f aca="false">MAX(AV1199,H1199)</f>
        <v>381</v>
      </c>
      <c r="AE1199" s="57"/>
      <c r="AF1199" s="50" t="n">
        <f aca="false">IF(LEFT(Cockpit!$C$5,1)="A",H1199,IF(Parameter!$E$30="MAX-Bestand",IF(CH1199=1,CI1199,IF(LEFT(Cockpit!$C$5,1)="B",AL1199,MAX(AL1199,H1199))),ROUNDUP(AJ1199,0)))</f>
        <v>102</v>
      </c>
      <c r="AG1199" s="50" t="n">
        <f aca="false">IF(BZ1199=1,0,ROUNDUP(AF1199/BY1199,0))</f>
        <v>1</v>
      </c>
      <c r="AH1199" s="52" t="n">
        <f aca="false">IF(CQ1199&gt;0,CQ1199*MAX(1,AF1199/X1199),IF(BZ1199=1,IF(AF1199&lt;=0,0,CD1199*MAX(1,IF(H1199&gt;0,AF1199/H1199,1))),IF(R1199&gt;0,AG1199/R1199,0))/MAX(0.1,N(Parameter!$M$21)))</f>
        <v>0.0384615384615385</v>
      </c>
      <c r="AI1199" s="50" t="n">
        <f aca="false">AH1199*CB1199</f>
        <v>5.96153846153846</v>
      </c>
      <c r="AJ1199" s="51" t="n">
        <f aca="false">IF(LEFT(Cockpit!$C$5,1)="A",H1199,IF(CH1199=1,(CK1199+CI1199)/2,IF(LEFT(Cockpit!$C$5,1)="B",(CK1199+AL1199)/2,MAX((CK1199+AL1199)/2,H1199))))</f>
        <v>102</v>
      </c>
      <c r="AK1199" s="50" t="n">
        <f aca="false">AJ1199*G1199</f>
        <v>226.44</v>
      </c>
      <c r="AL1199" s="50" t="n">
        <f aca="false">ROUNDUP(CK1199+MAX(CL1199,2*(J1199/IF(CG1199&gt;0,CG1199,MAX(0.1,N(Cockpit!$C$6)))-CK1199)),0)</f>
        <v>381</v>
      </c>
      <c r="AM1199" s="51" t="n">
        <f aca="false">IF(AI1199&gt;0,J1199/AI1199,-1)</f>
        <v>60.5548387096774</v>
      </c>
      <c r="AN1199" s="51" t="n">
        <f aca="false">IF(AND(OR(CF1199="L1",CF1199="L23",CF1199="LIFT"),AI1199&gt;0),SUMIFS($AI$7:$AI$1843,$CF$7:$CF$1843,CF1199,$AM$7:$AM$1843,"&gt;"&amp;AM1199)+SUMIFS($AI$7:$AI$1843,$CF$7:$CF$1843,CF1199,$AM$7:$AM$1843,AM1199,$BW$7:$BW$1843,"&lt;="&amp;BW1199),"")</f>
        <v>985.429945054945</v>
      </c>
      <c r="AO1199" s="58" t="n">
        <f aca="false">IF(AN1199="",0,MAX(0,MIN(1,(IF(CF1199="L1",Parameter!$H$5,IF(CF1199="L23",Parameter!$H$6+Parameter!$H$7,Parameter!$H$5+Parameter!$H$6+Parameter!$H$7))-(AN1199-AI1199))/AI1199)))</f>
        <v>1</v>
      </c>
      <c r="AP1199" s="50" t="n">
        <f aca="false">IF(LEFT(Cockpit!$I$5,1)="A",H1199,IF(Parameter!$E$30="MAX-Bestand",IF(CH1199=1,CI1199,IF(LEFT(Cockpit!$I$5,1)="B",AV1199,MAX(AV1199,H1199))),ROUNDUP(AT1199,0)))</f>
        <v>201</v>
      </c>
      <c r="AQ1199" s="50" t="n">
        <f aca="false">IF(BZ1199=1,0,ROUNDUP(AP1199/BY1199,0))</f>
        <v>1</v>
      </c>
      <c r="AR1199" s="52" t="n">
        <f aca="false">IF(CQ1199&gt;0,CQ1199*MAX(1,AP1199/X1199),IF(BZ1199=1,IF(AP1199&lt;=0,0,CD1199*MAX(1,IF(H1199&gt;0,AP1199/H1199,1))),IF(R1199&gt;0,AQ1199/R1199,0))/MAX(0.1,N(Parameter!$M$21)))</f>
        <v>0.0384615384615385</v>
      </c>
      <c r="AS1199" s="50" t="n">
        <f aca="false">AR1199*CB1199</f>
        <v>5.96153846153846</v>
      </c>
      <c r="AT1199" s="51" t="n">
        <f aca="false">IF(LEFT(Cockpit!$I$5,1)="A",H1199,IF(CH1199=1,(CK1199+CI1199)/2,IF(LEFT(Cockpit!$I$5,1)="B",(CK1199+AV1199)/2,MAX((CK1199+AV1199)/2,H1199))))</f>
        <v>201</v>
      </c>
      <c r="AU1199" s="50" t="n">
        <f aca="false">AT1199*G1199</f>
        <v>446.22</v>
      </c>
      <c r="AV1199" s="50" t="n">
        <f aca="false">ROUNDUP(CK1199+MAX(CL1199,2*(J1199/IF(CG1199&gt;0,CG1199,MAX(0.1,N(Cockpit!$I$6)))-CK1199)),0)</f>
        <v>381</v>
      </c>
      <c r="AW1199" s="51" t="n">
        <f aca="false">IF(AS1199&gt;0,J1199/AS1199,-1)</f>
        <v>60.5548387096774</v>
      </c>
      <c r="AX1199" s="51" t="n">
        <f aca="false">IF(AND(OR(CF1199="L1",CF1199="L23",CF1199="LIFT"),AS1199&gt;0),SUMIFS($AS$7:$AS$1843,$CF$7:$CF$1843,CF1199,$AW$7:$AW$1843,"&gt;"&amp;AW1199)+SUMIFS($AS$7:$AS$1843,$CF$7:$CF$1843,CF1199,$AW$7:$AW$1843,AW1199,$BW$7:$BW$1843,"&lt;="&amp;BW1199),"")</f>
        <v>1187.81181318681</v>
      </c>
      <c r="AY1199" s="58" t="n">
        <f aca="false">IF(AX1199="",0,MAX(0,MIN(1,(IF(CF1199="L1",Parameter!$H$5,IF(CF1199="L23",Parameter!$H$6+Parameter!$H$7,Parameter!$H$5+Parameter!$H$6+Parameter!$H$7))-(AX1199-AS1199))/AS1199)))</f>
        <v>1</v>
      </c>
      <c r="AZ1199" s="50" t="n">
        <f aca="false">IF(LEFT(Cockpit!$O$5,1)="A",H1199,IF(Parameter!$E$30="MAX-Bestand",IF(CH1199=1,CI1199,IF(LEFT(Cockpit!$O$5,1)="B",BF1199,MAX(BF1199,H1199))),ROUNDUP(BD1199,0)))</f>
        <v>201</v>
      </c>
      <c r="BA1199" s="50" t="n">
        <f aca="false">IF(BZ1199=1,0,ROUNDUP(AZ1199/BY1199,0))</f>
        <v>1</v>
      </c>
      <c r="BB1199" s="52" t="n">
        <f aca="false">IF(CQ1199&gt;0,CQ1199*MAX(1,AZ1199/X1199),IF(BZ1199=1,IF(AZ1199&lt;=0,0,CD1199*MAX(1,IF(H1199&gt;0,AZ1199/H1199,1))),IF(R1199&gt;0,BA1199/R1199,0))/MAX(0.1,N(Parameter!$M$21)))</f>
        <v>0.0384615384615385</v>
      </c>
      <c r="BC1199" s="50" t="n">
        <f aca="false">BB1199*CB1199</f>
        <v>5.96153846153846</v>
      </c>
      <c r="BD1199" s="51" t="n">
        <f aca="false">IF(LEFT(Cockpit!$O$5,1)="A",H1199,IF(CH1199=1,(CK1199+CI1199)/2,IF(LEFT(Cockpit!$O$5,1)="B",(CK1199+BF1199)/2,MAX((CK1199+BF1199)/2,H1199))))</f>
        <v>201</v>
      </c>
      <c r="BE1199" s="50" t="n">
        <f aca="false">BD1199*G1199</f>
        <v>446.22</v>
      </c>
      <c r="BF1199" s="50" t="n">
        <f aca="false">ROUNDUP(CK1199+MAX(CL1199,2*(J1199/IF(CG1199&gt;0,CG1199,MAX(0.1,N(Cockpit!$O$6)))-CK1199)),0)</f>
        <v>381</v>
      </c>
      <c r="BG1199" s="51" t="n">
        <f aca="false">IF(BC1199&gt;0,J1199/BC1199,-1)</f>
        <v>60.5548387096774</v>
      </c>
      <c r="BH1199" s="51" t="n">
        <f aca="false">IF(AND(OR(CF1199="L1",CF1199="L23",CF1199="LIFT"),BC1199&gt;0),SUMIFS($BC$7:$BC$1843,$CF$7:$CF$1843,CF1199,$BG$7:$BG$1843,"&gt;"&amp;BG1199)+SUMIFS($BC$7:$BC$1843,$CF$7:$CF$1843,CF1199,$BG$7:$BG$1843,BG1199,$BW$7:$BW$1843,"&lt;="&amp;BW1199),"")</f>
        <v>1116.97344322344</v>
      </c>
      <c r="BI1199" s="58" t="n">
        <f aca="false">IF(BH1199="",0,MAX(0,MIN(1,(IF(CF1199="L1",Parameter!$H$5,IF(CF1199="L23",Parameter!$H$6+Parameter!$H$7,Parameter!$H$5+Parameter!$H$6+Parameter!$H$7))-(BH1199-BC1199))/BC1199)))</f>
        <v>1</v>
      </c>
      <c r="BJ1199" s="48" t="str">
        <f aca="false">IF(AI1199&lt;=0,"",IF(CF1199="Aussen","Aussenlager",IF(CF1199="-","Nicht im Lift",IF(AO1199&gt;=1,"Lift",IF(AO1199&lt;=0,"Aussenlager","teilweise")))))</f>
        <v>Lift</v>
      </c>
      <c r="BK1199" s="48" t="str">
        <f aca="false">IF(AS1199&lt;=0,"",IF(CF1199="Aussen","Aussenlager",IF(CF1199="-","Nicht im Lift",IF(AY1199&gt;=1,"Lift",IF(AY1199&lt;=0,"Aussenlager","teilweise")))))</f>
        <v>Lift</v>
      </c>
      <c r="BL1199" s="48" t="str">
        <f aca="false">IF(BC1199&lt;=0,"",IF(CF1199="Aussen","Aussenlager",IF(CF1199="-","Nicht im Lift",IF(BI1199&gt;=1,"Lift",IF(BI1199&lt;=0,"Aussenlager","teilweise")))))</f>
        <v>Lift</v>
      </c>
      <c r="BM1199" s="48" t="str">
        <f aca="false">IF(A1199="","",IF(BV1199=1,"Neu; ","")&amp;IF(AND(BV1199=0,BQ1199&lt;0),"negativer Bestand (Export "&amp;BQ1199&amp;"); ","")&amp;IF(J1199&lt;=0,"Kein Verbrauch; ","")&amp;IF(CQ1199&gt;0,"Lift "&amp;W1199&amp;" lt. Liftbericht (Fach "&amp;X1199&amp;" Stk); ",IF(CA1199=1,"Gebinde geschätzt ("&amp;T1199&amp;"); ",IF(BZ1199=1,"Lose – Tablare geschätzt; ","")))&amp;IF(H1199&gt;AV1199,"Überbestand "&amp;ROUND(H1199-AV1199,0)&amp;" Stk / CHF "&amp;ROUND((H1199-AV1199)*G1199,0)&amp;"; ","")&amp;IF(AND(CH1199=1,CI1199&lt;CJ1199),"MAX &lt; MB+LG; ","")&amp;IF(AND(CP1199&gt;0,CO1199*10&gt;CP1199),"zu hoch für Tablar; ","")&amp;IF(AND(BV1199=0,OR(CH1199=1,AA1199&lt;&gt;"",U1199&lt;&gt;"",V1199&lt;&gt;"",AB1199&lt;&gt;"")),"manuell übersteuert; ","")&amp;IF(AND(BZ1199=0,R1199=0),"Gebinde unbekannt / Stellmass fehlt; ","")&amp;IF(AND(BZ1199=0,N(V1199)&lt;=0,N(Q1199)&lt;=0),"Menge pro Gebinde fehlt (Ist = 1 Gebinde); ","")&amp;BU1199)</f>
        <v>negativer Bestand (Export -209); </v>
      </c>
      <c r="BN1199" s="48"/>
      <c r="BO1199" s="48"/>
      <c r="BP1199" s="55"/>
      <c r="BQ1199" s="50" t="n">
        <v>-209</v>
      </c>
      <c r="BR1199" s="50" t="n">
        <v>311</v>
      </c>
      <c r="BS1199" s="49" t="n">
        <v>-485.539999999999</v>
      </c>
      <c r="BT1199" s="50" t="n">
        <v>361</v>
      </c>
      <c r="BU1199" s="48"/>
      <c r="BV1199" s="53" t="n">
        <v>0</v>
      </c>
      <c r="BW1199" s="53" t="n">
        <v>1199</v>
      </c>
      <c r="BX1199" s="48" t="str">
        <f aca="false">IF(U1199&lt;&gt;"",UPPER(TRIM(U1199)),IF(CA1199=1,UPPER(VLOOKUP(T1199,Parameter!$I$27:$K$29,2,0)),IF(P1199="","LOSE",P1199)))</f>
        <v>S51</v>
      </c>
      <c r="BY1199" s="50" t="n">
        <f aca="false">IF(BX1199="LOSE",1,IF(N(V1199)&gt;0,V1199,IF(CA1199=1,MAX(1,N(VLOOKUP(T1199,Parameter!$I$27:$K$29,3,0)),H1199,N(N1199)),IF(N(Q1199)&gt;0,Q1199,MAX(1,H1199)))))</f>
        <v>215</v>
      </c>
      <c r="BZ1199" s="53" t="n">
        <f aca="false">IF(BX1199="LOSE",1,0)</f>
        <v>0</v>
      </c>
      <c r="CA1199" s="53" t="n">
        <f aca="false">IF(AND(U1199="",OR(P1199="",P1199="LOSE"),T1199&lt;&gt;"",N(S1199)&lt;=0,ISNUMBER(MATCH(T1199,Parameter!$I$27:$I$29,0))),1,0)</f>
        <v>0</v>
      </c>
      <c r="CB1199" s="53" t="n">
        <f aca="false">IF(CQ1199&gt;0,INDEX(Parameter!$H$5:$H$7,W1199)/INDEX(Parameter!$E$5:$E$7,W1199),IF(AND(BZ1199=0,N(IFERROR(VLOOKUP(BX1199,'Gebinde-Kategorie'!$A$5:$N$45,14,0),0))&gt;0),VLOOKUP(BX1199,'Gebinde-Kategorie'!$A$5:$N$45,14,0)*10+Parameter!$M$23,Parameter!$M$24))</f>
        <v>155</v>
      </c>
      <c r="CC1199" s="48" t="str">
        <f aca="false">IF(AND(Parameter!$B$19="Ja",E1199&lt;&gt;"",ISNUMBER(MATCH(E1199,Parameter!$I$35:$I$52,0))),VLOOKUP(E1199,Parameter!$I$35:$J$52,2,0),IFERROR(VLOOKUP(D1199,Parameter!$A$35:$C$64,2,0),"Nein"))</f>
        <v>2+3</v>
      </c>
      <c r="CD1199" s="52" t="n">
        <f aca="false">IF(BZ1199=0,0,IF(N(S1199)&gt;0,S1199,IFERROR(VLOOKUP(D1199,Parameter!$A$35:$C$64,3,0)+0,0)))</f>
        <v>0</v>
      </c>
      <c r="CE1199" s="48" t="n">
        <f aca="false">IF(AA1199&lt;&gt;"",AA1199,Z1199)</f>
        <v>3</v>
      </c>
      <c r="CF1199" s="48" t="str">
        <f aca="false">IF(OR(CE1199=1,CE1199=2,CE1199=3),IF(Parameter!$E$27="Ja","LIFT",IF(CE1199=1,"L1","L23")),IF(CE1199="Aussen","Aussen","-"))</f>
        <v>LIFT</v>
      </c>
      <c r="CG1199" s="59" t="n">
        <f aca="false">IF(N(AB1199)&gt;0,AB1199,0)</f>
        <v>0</v>
      </c>
      <c r="CH1199" s="53" t="n">
        <f aca="false">IF(ISNUMBER(AE1199),1,0)</f>
        <v>0</v>
      </c>
      <c r="CI1199" s="50" t="n">
        <f aca="false">N(AE1199)</f>
        <v>0</v>
      </c>
      <c r="CJ1199" s="50" t="n">
        <f aca="false">N(M1199)+N(N1199)</f>
        <v>381</v>
      </c>
      <c r="CK1199" s="50" t="n">
        <f aca="false">N(M1199)</f>
        <v>21</v>
      </c>
      <c r="CL1199" s="50" t="n">
        <f aca="false">N(N1199)</f>
        <v>360</v>
      </c>
      <c r="CM1199" s="50" t="n">
        <f aca="false">ROUNDUP(H1199/BY1199,0)</f>
        <v>1</v>
      </c>
      <c r="CN1199" s="50" t="n">
        <f aca="false">ROUNDUP(CI1199/BY1199,0)</f>
        <v>0</v>
      </c>
      <c r="CO1199" s="53" t="n">
        <f aca="false">IF(BZ1199=1,0,IFERROR(VLOOKUP(BX1199,'Gebinde-Kategorie'!$A$5:$N$45,5,0)+0,0))</f>
        <v>11</v>
      </c>
      <c r="CP1199" s="53" t="n">
        <f aca="false">IFERROR(IF(OR(CE1199=1,CE1199=2,CE1199=3),N(INDEX(Parameter!$I$5:$I$7,CE1199)),0),0)</f>
        <v>0</v>
      </c>
      <c r="CQ1199" s="52" t="n">
        <f aca="false">IF(AND(Parameter!$B$21="Ja",ISNUMBER(W1199),N(X1199)&gt;0),IFERROR(N(INDEX(Parameter!$L$5:$L$7,W1199))*INDEX(Parameter!$E$5:$E$7,W1199)*X1199/SUMIFS($X$7:$X$1843,$W$7:$W$1843,W1199),0),0)</f>
        <v>0</v>
      </c>
    </row>
    <row r="1200" customFormat="false" ht="15" hidden="false" customHeight="false" outlineLevel="0" collapsed="false">
      <c r="A1200" s="48" t="s">
        <v>2166</v>
      </c>
      <c r="B1200" s="48" t="s">
        <v>383</v>
      </c>
      <c r="C1200" s="48" t="s">
        <v>173</v>
      </c>
      <c r="D1200" s="48" t="s">
        <v>193</v>
      </c>
      <c r="E1200" s="48" t="s">
        <v>194</v>
      </c>
      <c r="F1200" s="48" t="s">
        <v>227</v>
      </c>
      <c r="G1200" s="49" t="n">
        <v>15.83</v>
      </c>
      <c r="H1200" s="50" t="n">
        <f aca="false">MAX(0,IF(AND(Parameter!$B$21="Ja",ISNUMBER(Y1200)),Y1200,IF(Parameter!$B$20="Jahresanfang 2025 + Export",BR1200+BQ1200,BQ1200)))</f>
        <v>22</v>
      </c>
      <c r="I1200" s="50" t="n">
        <f aca="false">H1200*G1200</f>
        <v>348.26</v>
      </c>
      <c r="J1200" s="50" t="n">
        <f aca="false">BT1200*Parameter!$B$18</f>
        <v>69</v>
      </c>
      <c r="K1200" s="51" t="n">
        <v>45</v>
      </c>
      <c r="L1200" s="52" t="n">
        <v>1.53333333333333</v>
      </c>
      <c r="M1200" s="50" t="n">
        <v>2</v>
      </c>
      <c r="N1200" s="50" t="n">
        <v>70</v>
      </c>
      <c r="O1200" s="53" t="n">
        <v>14</v>
      </c>
      <c r="P1200" s="48" t="s">
        <v>430</v>
      </c>
      <c r="Q1200" s="50" t="n">
        <v>30</v>
      </c>
      <c r="R1200" s="53" t="n">
        <f aca="false">IF(BZ1200=1,0,IFERROR(VLOOKUP(BX1200,'Gebinde-Kategorie'!$A$5:$N$45,13,0)+0,0))</f>
        <v>104</v>
      </c>
      <c r="S1200" s="54"/>
      <c r="T1200" s="55"/>
      <c r="U1200" s="55"/>
      <c r="V1200" s="55"/>
      <c r="W1200" s="48"/>
      <c r="X1200" s="50"/>
      <c r="Y1200" s="50"/>
      <c r="Z1200" s="48" t="n">
        <f aca="false">IF(A1200="","",IF(AND(Parameter!$B$21="Ja",ISNUMBER(W1200)),W1200,IF(CC1200="2+3",IF(ISNUMBER(SEARCH("grosser Artikel",BU1200)),2,IFERROR(VLOOKUP(BX1200,Parameter!$F$35:$G$64,2,0),2)),IF(OR(CC1200="Nein",CC1200=""),"-",CC1200))))</f>
        <v>3</v>
      </c>
      <c r="AA1200" s="55"/>
      <c r="AB1200" s="56"/>
      <c r="AC1200" s="50" t="n">
        <f aca="false">AV1200</f>
        <v>72</v>
      </c>
      <c r="AD1200" s="50" t="n">
        <f aca="false">MAX(AV1200,H1200)</f>
        <v>72</v>
      </c>
      <c r="AE1200" s="57"/>
      <c r="AF1200" s="50" t="n">
        <f aca="false">IF(LEFT(Cockpit!$C$5,1)="A",H1200,IF(Parameter!$E$30="MAX-Bestand",IF(CH1200=1,CI1200,IF(LEFT(Cockpit!$C$5,1)="B",AL1200,MAX(AL1200,H1200))),ROUNDUP(AJ1200,0)))</f>
        <v>22</v>
      </c>
      <c r="AG1200" s="50" t="n">
        <f aca="false">IF(BZ1200=1,0,ROUNDUP(AF1200/BY1200,0))</f>
        <v>1</v>
      </c>
      <c r="AH1200" s="52" t="n">
        <f aca="false">IF(CQ1200&gt;0,CQ1200*MAX(1,AF1200/X1200),IF(BZ1200=1,IF(AF1200&lt;=0,0,CD1200*MAX(1,IF(H1200&gt;0,AF1200/H1200,1))),IF(R1200&gt;0,AG1200/R1200,0))/MAX(0.1,N(Parameter!$M$21)))</f>
        <v>0.00961538461538462</v>
      </c>
      <c r="AI1200" s="50" t="n">
        <f aca="false">AH1200*CB1200</f>
        <v>1.49038461538462</v>
      </c>
      <c r="AJ1200" s="51" t="n">
        <f aca="false">IF(LEFT(Cockpit!$C$5,1)="A",H1200,IF(CH1200=1,(CK1200+CI1200)/2,IF(LEFT(Cockpit!$C$5,1)="B",(CK1200+AL1200)/2,MAX((CK1200+AL1200)/2,H1200))))</f>
        <v>22</v>
      </c>
      <c r="AK1200" s="50" t="n">
        <f aca="false">AJ1200*G1200</f>
        <v>348.26</v>
      </c>
      <c r="AL1200" s="50" t="n">
        <f aca="false">ROUNDUP(CK1200+MAX(CL1200,2*(J1200/IF(CG1200&gt;0,CG1200,MAX(0.1,N(Cockpit!$C$6)))-CK1200)),0)</f>
        <v>72</v>
      </c>
      <c r="AM1200" s="51" t="n">
        <f aca="false">IF(AI1200&gt;0,J1200/AI1200,-1)</f>
        <v>46.2967741935484</v>
      </c>
      <c r="AN1200" s="51" t="n">
        <f aca="false">IF(AND(OR(CF1200="L1",CF1200="L23",CF1200="LIFT"),AI1200&gt;0),SUMIFS($AI$7:$AI$1843,$CF$7:$CF$1843,CF1200,$AM$7:$AM$1843,"&gt;"&amp;AM1200)+SUMIFS($AI$7:$AI$1843,$CF$7:$CF$1843,CF1200,$AM$7:$AM$1843,AM1200,$BW$7:$BW$1843,"&lt;="&amp;BW1200),"")</f>
        <v>1160.86675824176</v>
      </c>
      <c r="AO1200" s="58" t="n">
        <f aca="false">IF(AN1200="",0,MAX(0,MIN(1,(IF(CF1200="L1",Parameter!$H$5,IF(CF1200="L23",Parameter!$H$6+Parameter!$H$7,Parameter!$H$5+Parameter!$H$6+Parameter!$H$7))-(AN1200-AI1200))/AI1200)))</f>
        <v>1</v>
      </c>
      <c r="AP1200" s="50" t="n">
        <f aca="false">IF(LEFT(Cockpit!$I$5,1)="A",H1200,IF(Parameter!$E$30="MAX-Bestand",IF(CH1200=1,CI1200,IF(LEFT(Cockpit!$I$5,1)="B",AV1200,MAX(AV1200,H1200))),ROUNDUP(AT1200,0)))</f>
        <v>37</v>
      </c>
      <c r="AQ1200" s="50" t="n">
        <f aca="false">IF(BZ1200=1,0,ROUNDUP(AP1200/BY1200,0))</f>
        <v>2</v>
      </c>
      <c r="AR1200" s="52" t="n">
        <f aca="false">IF(CQ1200&gt;0,CQ1200*MAX(1,AP1200/X1200),IF(BZ1200=1,IF(AP1200&lt;=0,0,CD1200*MAX(1,IF(H1200&gt;0,AP1200/H1200,1))),IF(R1200&gt;0,AQ1200/R1200,0))/MAX(0.1,N(Parameter!$M$21)))</f>
        <v>0.0192307692307692</v>
      </c>
      <c r="AS1200" s="50" t="n">
        <f aca="false">AR1200*CB1200</f>
        <v>2.98076923076923</v>
      </c>
      <c r="AT1200" s="51" t="n">
        <f aca="false">IF(LEFT(Cockpit!$I$5,1)="A",H1200,IF(CH1200=1,(CK1200+CI1200)/2,IF(LEFT(Cockpit!$I$5,1)="B",(CK1200+AV1200)/2,MAX((CK1200+AV1200)/2,H1200))))</f>
        <v>37</v>
      </c>
      <c r="AU1200" s="50" t="n">
        <f aca="false">AT1200*G1200</f>
        <v>585.71</v>
      </c>
      <c r="AV1200" s="50" t="n">
        <f aca="false">ROUNDUP(CK1200+MAX(CL1200,2*(J1200/IF(CG1200&gt;0,CG1200,MAX(0.1,N(Cockpit!$I$6)))-CK1200)),0)</f>
        <v>72</v>
      </c>
      <c r="AW1200" s="51" t="n">
        <f aca="false">IF(AS1200&gt;0,J1200/AS1200,-1)</f>
        <v>23.1483870967742</v>
      </c>
      <c r="AX1200" s="51" t="n">
        <f aca="false">IF(AND(OR(CF1200="L1",CF1200="L23",CF1200="LIFT"),AS1200&gt;0),SUMIFS($AS$7:$AS$1843,$CF$7:$CF$1843,CF1200,$AW$7:$AW$1843,"&gt;"&amp;AW1200)+SUMIFS($AS$7:$AS$1843,$CF$7:$CF$1843,CF1200,$AW$7:$AW$1843,AW1200,$BW$7:$BW$1843,"&lt;="&amp;BW1200),"")</f>
        <v>2205.82326007326</v>
      </c>
      <c r="AY1200" s="58" t="n">
        <f aca="false">IF(AX1200="",0,MAX(0,MIN(1,(IF(CF1200="L1",Parameter!$H$5,IF(CF1200="L23",Parameter!$H$6+Parameter!$H$7,Parameter!$H$5+Parameter!$H$6+Parameter!$H$7))-(AX1200-AS1200))/AS1200)))</f>
        <v>1</v>
      </c>
      <c r="AZ1200" s="50" t="n">
        <f aca="false">IF(LEFT(Cockpit!$O$5,1)="A",H1200,IF(Parameter!$E$30="MAX-Bestand",IF(CH1200=1,CI1200,IF(LEFT(Cockpit!$O$5,1)="B",BF1200,MAX(BF1200,H1200))),ROUNDUP(BD1200,0)))</f>
        <v>37</v>
      </c>
      <c r="BA1200" s="50" t="n">
        <f aca="false">IF(BZ1200=1,0,ROUNDUP(AZ1200/BY1200,0))</f>
        <v>2</v>
      </c>
      <c r="BB1200" s="52" t="n">
        <f aca="false">IF(CQ1200&gt;0,CQ1200*MAX(1,AZ1200/X1200),IF(BZ1200=1,IF(AZ1200&lt;=0,0,CD1200*MAX(1,IF(H1200&gt;0,AZ1200/H1200,1))),IF(R1200&gt;0,BA1200/R1200,0))/MAX(0.1,N(Parameter!$M$21)))</f>
        <v>0.0192307692307692</v>
      </c>
      <c r="BC1200" s="50" t="n">
        <f aca="false">BB1200*CB1200</f>
        <v>2.98076923076923</v>
      </c>
      <c r="BD1200" s="51" t="n">
        <f aca="false">IF(LEFT(Cockpit!$O$5,1)="A",H1200,IF(CH1200=1,(CK1200+CI1200)/2,IF(LEFT(Cockpit!$O$5,1)="B",(CK1200+BF1200)/2,MAX((CK1200+BF1200)/2,H1200))))</f>
        <v>37</v>
      </c>
      <c r="BE1200" s="50" t="n">
        <f aca="false">BD1200*G1200</f>
        <v>585.71</v>
      </c>
      <c r="BF1200" s="50" t="n">
        <f aca="false">ROUNDUP(CK1200+MAX(CL1200,2*(J1200/IF(CG1200&gt;0,CG1200,MAX(0.1,N(Cockpit!$O$6)))-CK1200)),0)</f>
        <v>72</v>
      </c>
      <c r="BG1200" s="51" t="n">
        <f aca="false">IF(BC1200&gt;0,J1200/BC1200,-1)</f>
        <v>23.1483870967742</v>
      </c>
      <c r="BH1200" s="51" t="n">
        <f aca="false">IF(AND(OR(CF1200="L1",CF1200="L23",CF1200="LIFT"),BC1200&gt;0),SUMIFS($BC$7:$BC$1843,$CF$7:$CF$1843,CF1200,$BG$7:$BG$1843,"&gt;"&amp;BG1200)+SUMIFS($BC$7:$BC$1843,$CF$7:$CF$1843,CF1200,$BG$7:$BG$1843,BG1200,$BW$7:$BW$1843,"&lt;="&amp;BW1200),"")</f>
        <v>2139.61950549451</v>
      </c>
      <c r="BI1200" s="58" t="n">
        <f aca="false">IF(BH1200="",0,MAX(0,MIN(1,(IF(CF1200="L1",Parameter!$H$5,IF(CF1200="L23",Parameter!$H$6+Parameter!$H$7,Parameter!$H$5+Parameter!$H$6+Parameter!$H$7))-(BH1200-BC1200))/BC1200)))</f>
        <v>1</v>
      </c>
      <c r="BJ1200" s="48" t="str">
        <f aca="false">IF(AI1200&lt;=0,"",IF(CF1200="Aussen","Aussenlager",IF(CF1200="-","Nicht im Lift",IF(AO1200&gt;=1,"Lift",IF(AO1200&lt;=0,"Aussenlager","teilweise")))))</f>
        <v>Lift</v>
      </c>
      <c r="BK1200" s="48" t="str">
        <f aca="false">IF(AS1200&lt;=0,"",IF(CF1200="Aussen","Aussenlager",IF(CF1200="-","Nicht im Lift",IF(AY1200&gt;=1,"Lift",IF(AY1200&lt;=0,"Aussenlager","teilweise")))))</f>
        <v>Lift</v>
      </c>
      <c r="BL1200" s="48" t="str">
        <f aca="false">IF(BC1200&lt;=0,"",IF(CF1200="Aussen","Aussenlager",IF(CF1200="-","Nicht im Lift",IF(BI1200&gt;=1,"Lift",IF(BI1200&lt;=0,"Aussenlager","teilweise")))))</f>
        <v>Lift</v>
      </c>
      <c r="BM1200" s="48" t="str">
        <f aca="false">IF(A1200="","",IF(BV1200=1,"Neu; ","")&amp;IF(AND(BV1200=0,BQ1200&lt;0),"negativer Bestand (Export "&amp;BQ1200&amp;"); ","")&amp;IF(J1200&lt;=0,"Kein Verbrauch; ","")&amp;IF(CQ1200&gt;0,"Lift "&amp;W1200&amp;" lt. Liftbericht (Fach "&amp;X1200&amp;" Stk); ",IF(CA1200=1,"Gebinde geschätzt ("&amp;T1200&amp;"); ",IF(BZ1200=1,"Lose – Tablare geschätzt; ","")))&amp;IF(H1200&gt;AV1200,"Überbestand "&amp;ROUND(H1200-AV1200,0)&amp;" Stk / CHF "&amp;ROUND((H1200-AV1200)*G1200,0)&amp;"; ","")&amp;IF(AND(CH1200=1,CI1200&lt;CJ1200),"MAX &lt; MB+LG; ","")&amp;IF(AND(CP1200&gt;0,CO1200*10&gt;CP1200),"zu hoch für Tablar; ","")&amp;IF(AND(BV1200=0,OR(CH1200=1,AA1200&lt;&gt;"",U1200&lt;&gt;"",V1200&lt;&gt;"",AB1200&lt;&gt;"")),"manuell übersteuert; ","")&amp;IF(AND(BZ1200=0,R1200=0),"Gebinde unbekannt / Stellmass fehlt; ","")&amp;IF(AND(BZ1200=0,N(V1200)&lt;=0,N(Q1200)&lt;=0),"Menge pro Gebinde fehlt (Ist = 1 Gebinde); ","")&amp;BU1200)</f>
        <v>negativer Bestand (Export -29); </v>
      </c>
      <c r="BN1200" s="48"/>
      <c r="BO1200" s="48"/>
      <c r="BP1200" s="55"/>
      <c r="BQ1200" s="50" t="n">
        <v>-29</v>
      </c>
      <c r="BR1200" s="50" t="n">
        <v>51</v>
      </c>
      <c r="BS1200" s="49" t="n">
        <v>-487.74</v>
      </c>
      <c r="BT1200" s="50" t="n">
        <v>69</v>
      </c>
      <c r="BU1200" s="48"/>
      <c r="BV1200" s="53" t="n">
        <v>0</v>
      </c>
      <c r="BW1200" s="53" t="n">
        <v>1200</v>
      </c>
      <c r="BX1200" s="48" t="str">
        <f aca="false">IF(U1200&lt;&gt;"",UPPER(TRIM(U1200)),IF(CA1200=1,UPPER(VLOOKUP(T1200,Parameter!$I$27:$K$29,2,0)),IF(P1200="","LOSE",P1200)))</f>
        <v>S32</v>
      </c>
      <c r="BY1200" s="50" t="n">
        <f aca="false">IF(BX1200="LOSE",1,IF(N(V1200)&gt;0,V1200,IF(CA1200=1,MAX(1,N(VLOOKUP(T1200,Parameter!$I$27:$K$29,3,0)),H1200,N(N1200)),IF(N(Q1200)&gt;0,Q1200,MAX(1,H1200)))))</f>
        <v>30</v>
      </c>
      <c r="BZ1200" s="53" t="n">
        <f aca="false">IF(BX1200="LOSE",1,0)</f>
        <v>0</v>
      </c>
      <c r="CA1200" s="53" t="n">
        <f aca="false">IF(AND(U1200="",OR(P1200="",P1200="LOSE"),T1200&lt;&gt;"",N(S1200)&lt;=0,ISNUMBER(MATCH(T1200,Parameter!$I$27:$I$29,0))),1,0)</f>
        <v>0</v>
      </c>
      <c r="CB1200" s="53" t="n">
        <f aca="false">IF(CQ1200&gt;0,INDEX(Parameter!$H$5:$H$7,W1200)/INDEX(Parameter!$E$5:$E$7,W1200),IF(AND(BZ1200=0,N(IFERROR(VLOOKUP(BX1200,'Gebinde-Kategorie'!$A$5:$N$45,14,0),0))&gt;0),VLOOKUP(BX1200,'Gebinde-Kategorie'!$A$5:$N$45,14,0)*10+Parameter!$M$23,Parameter!$M$24))</f>
        <v>155</v>
      </c>
      <c r="CC1200" s="48" t="str">
        <f aca="false">IF(AND(Parameter!$B$19="Ja",E1200&lt;&gt;"",ISNUMBER(MATCH(E1200,Parameter!$I$35:$I$52,0))),VLOOKUP(E1200,Parameter!$I$35:$J$52,2,0),IFERROR(VLOOKUP(D1200,Parameter!$A$35:$C$64,2,0),"Nein"))</f>
        <v>2+3</v>
      </c>
      <c r="CD1200" s="52" t="n">
        <f aca="false">IF(BZ1200=0,0,IF(N(S1200)&gt;0,S1200,IFERROR(VLOOKUP(D1200,Parameter!$A$35:$C$64,3,0)+0,0)))</f>
        <v>0</v>
      </c>
      <c r="CE1200" s="48" t="n">
        <f aca="false">IF(AA1200&lt;&gt;"",AA1200,Z1200)</f>
        <v>3</v>
      </c>
      <c r="CF1200" s="48" t="str">
        <f aca="false">IF(OR(CE1200=1,CE1200=2,CE1200=3),IF(Parameter!$E$27="Ja","LIFT",IF(CE1200=1,"L1","L23")),IF(CE1200="Aussen","Aussen","-"))</f>
        <v>LIFT</v>
      </c>
      <c r="CG1200" s="59" t="n">
        <f aca="false">IF(N(AB1200)&gt;0,AB1200,0)</f>
        <v>0</v>
      </c>
      <c r="CH1200" s="53" t="n">
        <f aca="false">IF(ISNUMBER(AE1200),1,0)</f>
        <v>0</v>
      </c>
      <c r="CI1200" s="50" t="n">
        <f aca="false">N(AE1200)</f>
        <v>0</v>
      </c>
      <c r="CJ1200" s="50" t="n">
        <f aca="false">N(M1200)+N(N1200)</f>
        <v>72</v>
      </c>
      <c r="CK1200" s="50" t="n">
        <f aca="false">N(M1200)</f>
        <v>2</v>
      </c>
      <c r="CL1200" s="50" t="n">
        <f aca="false">N(N1200)</f>
        <v>70</v>
      </c>
      <c r="CM1200" s="50" t="n">
        <f aca="false">ROUNDUP(H1200/BY1200,0)</f>
        <v>1</v>
      </c>
      <c r="CN1200" s="50" t="n">
        <f aca="false">ROUNDUP(CI1200/BY1200,0)</f>
        <v>0</v>
      </c>
      <c r="CO1200" s="53" t="n">
        <f aca="false">IF(BZ1200=1,0,IFERROR(VLOOKUP(BX1200,'Gebinde-Kategorie'!$A$5:$N$45,5,0)+0,0))</f>
        <v>8</v>
      </c>
      <c r="CP1200" s="53" t="n">
        <f aca="false">IFERROR(IF(OR(CE1200=1,CE1200=2,CE1200=3),N(INDEX(Parameter!$I$5:$I$7,CE1200)),0),0)</f>
        <v>0</v>
      </c>
      <c r="CQ1200" s="52" t="n">
        <f aca="false">IF(AND(Parameter!$B$21="Ja",ISNUMBER(W1200),N(X1200)&gt;0),IFERROR(N(INDEX(Parameter!$L$5:$L$7,W1200))*INDEX(Parameter!$E$5:$E$7,W1200)*X1200/SUMIFS($X$7:$X$1843,$W$7:$W$1843,W1200),0),0)</f>
        <v>0</v>
      </c>
    </row>
    <row r="1201" customFormat="false" ht="15" hidden="false" customHeight="false" outlineLevel="0" collapsed="false">
      <c r="A1201" s="48" t="s">
        <v>2167</v>
      </c>
      <c r="B1201" s="48" t="s">
        <v>2168</v>
      </c>
      <c r="C1201" s="48" t="s">
        <v>173</v>
      </c>
      <c r="D1201" s="48" t="s">
        <v>182</v>
      </c>
      <c r="E1201" s="48" t="s">
        <v>182</v>
      </c>
      <c r="F1201" s="48" t="s">
        <v>227</v>
      </c>
      <c r="G1201" s="49" t="n">
        <v>490.5</v>
      </c>
      <c r="H1201" s="50" t="n">
        <f aca="false">MAX(0,IF(AND(Parameter!$B$21="Ja",ISNUMBER(Y1201)),Y1201,IF(Parameter!$B$20="Jahresanfang 2025 + Export",BR1201+BQ1201,BQ1201)))</f>
        <v>1</v>
      </c>
      <c r="I1201" s="50" t="n">
        <f aca="false">H1201*G1201</f>
        <v>490.5</v>
      </c>
      <c r="J1201" s="50" t="n">
        <f aca="false">BT1201*Parameter!$B$18</f>
        <v>0</v>
      </c>
      <c r="K1201" s="51" t="n">
        <v>1.5</v>
      </c>
      <c r="L1201" s="52" t="n">
        <v>0</v>
      </c>
      <c r="M1201" s="50" t="n">
        <v>0</v>
      </c>
      <c r="N1201" s="50" t="n">
        <v>1</v>
      </c>
      <c r="O1201" s="53" t="n">
        <v>28</v>
      </c>
      <c r="P1201" s="48" t="s">
        <v>177</v>
      </c>
      <c r="Q1201" s="50"/>
      <c r="R1201" s="53" t="n">
        <f aca="false">IF(BZ1201=1,0,IFERROR(VLOOKUP(BX1201,'Gebinde-Kategorie'!$A$5:$N$45,13,0)+0,0))</f>
        <v>12</v>
      </c>
      <c r="S1201" s="54"/>
      <c r="T1201" s="55" t="s">
        <v>188</v>
      </c>
      <c r="U1201" s="55"/>
      <c r="V1201" s="55"/>
      <c r="W1201" s="48"/>
      <c r="X1201" s="50"/>
      <c r="Y1201" s="50"/>
      <c r="Z1201" s="48" t="str">
        <f aca="false">IF(A1201="","",IF(AND(Parameter!$B$21="Ja",ISNUMBER(W1201)),W1201,IF(CC1201="2+3",IF(ISNUMBER(SEARCH("grosser Artikel",BU1201)),2,IFERROR(VLOOKUP(BX1201,Parameter!$F$35:$G$64,2,0),2)),IF(OR(CC1201="Nein",CC1201=""),"-",CC1201))))</f>
        <v>-</v>
      </c>
      <c r="AA1201" s="55"/>
      <c r="AB1201" s="56"/>
      <c r="AC1201" s="50" t="n">
        <f aca="false">AV1201</f>
        <v>1</v>
      </c>
      <c r="AD1201" s="50" t="n">
        <f aca="false">MAX(AV1201,H1201)</f>
        <v>1</v>
      </c>
      <c r="AE1201" s="57"/>
      <c r="AF1201" s="50" t="n">
        <f aca="false">IF(LEFT(Cockpit!$C$5,1)="A",H1201,IF(Parameter!$E$30="MAX-Bestand",IF(CH1201=1,CI1201,IF(LEFT(Cockpit!$C$5,1)="B",AL1201,MAX(AL1201,H1201))),ROUNDUP(AJ1201,0)))</f>
        <v>1</v>
      </c>
      <c r="AG1201" s="50" t="n">
        <f aca="false">IF(BZ1201=1,0,ROUNDUP(AF1201/BY1201,0))</f>
        <v>1</v>
      </c>
      <c r="AH1201" s="52" t="n">
        <f aca="false">IF(CQ1201&gt;0,CQ1201*MAX(1,AF1201/X1201),IF(BZ1201=1,IF(AF1201&lt;=0,0,CD1201*MAX(1,IF(H1201&gt;0,AF1201/H1201,1))),IF(R1201&gt;0,AG1201/R1201,0))/MAX(0.1,N(Parameter!$M$21)))</f>
        <v>0.0833333333333333</v>
      </c>
      <c r="AI1201" s="50" t="n">
        <f aca="false">AH1201*CB1201</f>
        <v>12.0833333333333</v>
      </c>
      <c r="AJ1201" s="51" t="n">
        <f aca="false">IF(LEFT(Cockpit!$C$5,1)="A",H1201,IF(CH1201=1,(CK1201+CI1201)/2,IF(LEFT(Cockpit!$C$5,1)="B",(CK1201+AL1201)/2,MAX((CK1201+AL1201)/2,H1201))))</f>
        <v>1</v>
      </c>
      <c r="AK1201" s="50" t="n">
        <f aca="false">AJ1201*G1201</f>
        <v>490.5</v>
      </c>
      <c r="AL1201" s="50" t="n">
        <f aca="false">ROUNDUP(CK1201+MAX(CL1201,2*(J1201/IF(CG1201&gt;0,CG1201,MAX(0.1,N(Cockpit!$C$6)))-CK1201)),0)</f>
        <v>1</v>
      </c>
      <c r="AM1201" s="51" t="n">
        <f aca="false">IF(AI1201&gt;0,J1201/AI1201,-1)</f>
        <v>0</v>
      </c>
      <c r="AN1201" s="51" t="str">
        <f aca="false">IF(AND(OR(CF1201="L1",CF1201="L23",CF1201="LIFT"),AI1201&gt;0),SUMIFS($AI$7:$AI$1843,$CF$7:$CF$1843,CF1201,$AM$7:$AM$1843,"&gt;"&amp;AM1201)+SUMIFS($AI$7:$AI$1843,$CF$7:$CF$1843,CF1201,$AM$7:$AM$1843,AM1201,$BW$7:$BW$1843,"&lt;="&amp;BW1201),"")</f>
        <v/>
      </c>
      <c r="AO1201" s="58" t="n">
        <f aca="false">IF(AN1201="",0,MAX(0,MIN(1,(IF(CF1201="L1",Parameter!$H$5,IF(CF1201="L23",Parameter!$H$6+Parameter!$H$7,Parameter!$H$5+Parameter!$H$6+Parameter!$H$7))-(AN1201-AI1201))/AI1201)))</f>
        <v>0</v>
      </c>
      <c r="AP1201" s="50" t="n">
        <f aca="false">IF(LEFT(Cockpit!$I$5,1)="A",H1201,IF(Parameter!$E$30="MAX-Bestand",IF(CH1201=1,CI1201,IF(LEFT(Cockpit!$I$5,1)="B",AV1201,MAX(AV1201,H1201))),ROUNDUP(AT1201,0)))</f>
        <v>1</v>
      </c>
      <c r="AQ1201" s="50" t="n">
        <f aca="false">IF(BZ1201=1,0,ROUNDUP(AP1201/BY1201,0))</f>
        <v>1</v>
      </c>
      <c r="AR1201" s="52" t="n">
        <f aca="false">IF(CQ1201&gt;0,CQ1201*MAX(1,AP1201/X1201),IF(BZ1201=1,IF(AP1201&lt;=0,0,CD1201*MAX(1,IF(H1201&gt;0,AP1201/H1201,1))),IF(R1201&gt;0,AQ1201/R1201,0))/MAX(0.1,N(Parameter!$M$21)))</f>
        <v>0.0833333333333333</v>
      </c>
      <c r="AS1201" s="50" t="n">
        <f aca="false">AR1201*CB1201</f>
        <v>12.0833333333333</v>
      </c>
      <c r="AT1201" s="51" t="n">
        <f aca="false">IF(LEFT(Cockpit!$I$5,1)="A",H1201,IF(CH1201=1,(CK1201+CI1201)/2,IF(LEFT(Cockpit!$I$5,1)="B",(CK1201+AV1201)/2,MAX((CK1201+AV1201)/2,H1201))))</f>
        <v>1</v>
      </c>
      <c r="AU1201" s="50" t="n">
        <f aca="false">AT1201*G1201</f>
        <v>490.5</v>
      </c>
      <c r="AV1201" s="50" t="n">
        <f aca="false">ROUNDUP(CK1201+MAX(CL1201,2*(J1201/IF(CG1201&gt;0,CG1201,MAX(0.1,N(Cockpit!$I$6)))-CK1201)),0)</f>
        <v>1</v>
      </c>
      <c r="AW1201" s="51" t="n">
        <f aca="false">IF(AS1201&gt;0,J1201/AS1201,-1)</f>
        <v>0</v>
      </c>
      <c r="AX1201" s="51" t="str">
        <f aca="false">IF(AND(OR(CF1201="L1",CF1201="L23",CF1201="LIFT"),AS1201&gt;0),SUMIFS($AS$7:$AS$1843,$CF$7:$CF$1843,CF1201,$AW$7:$AW$1843,"&gt;"&amp;AW1201)+SUMIFS($AS$7:$AS$1843,$CF$7:$CF$1843,CF1201,$AW$7:$AW$1843,AW1201,$BW$7:$BW$1843,"&lt;="&amp;BW1201),"")</f>
        <v/>
      </c>
      <c r="AY1201" s="58" t="n">
        <f aca="false">IF(AX1201="",0,MAX(0,MIN(1,(IF(CF1201="L1",Parameter!$H$5,IF(CF1201="L23",Parameter!$H$6+Parameter!$H$7,Parameter!$H$5+Parameter!$H$6+Parameter!$H$7))-(AX1201-AS1201))/AS1201)))</f>
        <v>0</v>
      </c>
      <c r="AZ1201" s="50" t="n">
        <f aca="false">IF(LEFT(Cockpit!$O$5,1)="A",H1201,IF(Parameter!$E$30="MAX-Bestand",IF(CH1201=1,CI1201,IF(LEFT(Cockpit!$O$5,1)="B",BF1201,MAX(BF1201,H1201))),ROUNDUP(BD1201,0)))</f>
        <v>1</v>
      </c>
      <c r="BA1201" s="50" t="n">
        <f aca="false">IF(BZ1201=1,0,ROUNDUP(AZ1201/BY1201,0))</f>
        <v>1</v>
      </c>
      <c r="BB1201" s="52" t="n">
        <f aca="false">IF(CQ1201&gt;0,CQ1201*MAX(1,AZ1201/X1201),IF(BZ1201=1,IF(AZ1201&lt;=0,0,CD1201*MAX(1,IF(H1201&gt;0,AZ1201/H1201,1))),IF(R1201&gt;0,BA1201/R1201,0))/MAX(0.1,N(Parameter!$M$21)))</f>
        <v>0.0833333333333333</v>
      </c>
      <c r="BC1201" s="50" t="n">
        <f aca="false">BB1201*CB1201</f>
        <v>12.0833333333333</v>
      </c>
      <c r="BD1201" s="51" t="n">
        <f aca="false">IF(LEFT(Cockpit!$O$5,1)="A",H1201,IF(CH1201=1,(CK1201+CI1201)/2,IF(LEFT(Cockpit!$O$5,1)="B",(CK1201+BF1201)/2,MAX((CK1201+BF1201)/2,H1201))))</f>
        <v>0.5</v>
      </c>
      <c r="BE1201" s="50" t="n">
        <f aca="false">BD1201*G1201</f>
        <v>245.25</v>
      </c>
      <c r="BF1201" s="50" t="n">
        <f aca="false">ROUNDUP(CK1201+MAX(CL1201,2*(J1201/IF(CG1201&gt;0,CG1201,MAX(0.1,N(Cockpit!$O$6)))-CK1201)),0)</f>
        <v>1</v>
      </c>
      <c r="BG1201" s="51" t="n">
        <f aca="false">IF(BC1201&gt;0,J1201/BC1201,-1)</f>
        <v>0</v>
      </c>
      <c r="BH1201" s="51" t="str">
        <f aca="false">IF(AND(OR(CF1201="L1",CF1201="L23",CF1201="LIFT"),BC1201&gt;0),SUMIFS($BC$7:$BC$1843,$CF$7:$CF$1843,CF1201,$BG$7:$BG$1843,"&gt;"&amp;BG1201)+SUMIFS($BC$7:$BC$1843,$CF$7:$CF$1843,CF1201,$BG$7:$BG$1843,BG1201,$BW$7:$BW$1843,"&lt;="&amp;BW1201),"")</f>
        <v/>
      </c>
      <c r="BI1201" s="58" t="n">
        <f aca="false">IF(BH1201="",0,MAX(0,MIN(1,(IF(CF1201="L1",Parameter!$H$5,IF(CF1201="L23",Parameter!$H$6+Parameter!$H$7,Parameter!$H$5+Parameter!$H$6+Parameter!$H$7))-(BH1201-BC1201))/BC1201)))</f>
        <v>0</v>
      </c>
      <c r="BJ1201" s="48" t="str">
        <f aca="false">IF(AI1201&lt;=0,"",IF(CF1201="Aussen","Aussenlager",IF(CF1201="-","Nicht im Lift",IF(AO1201&gt;=1,"Lift",IF(AO1201&lt;=0,"Aussenlager","teilweise")))))</f>
        <v>Nicht im Lift</v>
      </c>
      <c r="BK1201" s="48" t="str">
        <f aca="false">IF(AS1201&lt;=0,"",IF(CF1201="Aussen","Aussenlager",IF(CF1201="-","Nicht im Lift",IF(AY1201&gt;=1,"Lift",IF(AY1201&lt;=0,"Aussenlager","teilweise")))))</f>
        <v>Nicht im Lift</v>
      </c>
      <c r="BL1201" s="48" t="str">
        <f aca="false">IF(BC1201&lt;=0,"",IF(CF1201="Aussen","Aussenlager",IF(CF1201="-","Nicht im Lift",IF(BI1201&gt;=1,"Lift",IF(BI1201&lt;=0,"Aussenlager","teilweise")))))</f>
        <v>Nicht im Lift</v>
      </c>
      <c r="BM1201" s="48" t="str">
        <f aca="false">IF(A1201="","",IF(BV1201=1,"Neu; ","")&amp;IF(AND(BV1201=0,BQ1201&lt;0),"negativer Bestand (Export "&amp;BQ1201&amp;"); ","")&amp;IF(J1201&lt;=0,"Kein Verbrauch; ","")&amp;IF(CQ1201&gt;0,"Lift "&amp;W1201&amp;" lt. Liftbericht (Fach "&amp;X1201&amp;" Stk); ",IF(CA1201=1,"Gebinde geschätzt ("&amp;T1201&amp;"); ",IF(BZ1201=1,"Lose – Tablare geschätzt; ","")))&amp;IF(H1201&gt;AV1201,"Überbestand "&amp;ROUND(H1201-AV1201,0)&amp;" Stk / CHF "&amp;ROUND((H1201-AV1201)*G1201,0)&amp;"; ","")&amp;IF(AND(CH1201=1,CI1201&lt;CJ1201),"MAX &lt; MB+LG; ","")&amp;IF(AND(CP1201&gt;0,CO1201*10&gt;CP1201),"zu hoch für Tablar; ","")&amp;IF(AND(BV1201=0,OR(CH1201=1,AA1201&lt;&gt;"",U1201&lt;&gt;"",V1201&lt;&gt;"",AB1201&lt;&gt;"")),"manuell übersteuert; ","")&amp;IF(AND(BZ1201=0,R1201=0),"Gebinde unbekannt / Stellmass fehlt; ","")&amp;IF(AND(BZ1201=0,N(V1201)&lt;=0,N(Q1201)&lt;=0),"Menge pro Gebinde fehlt (Ist = 1 Gebinde); ","")&amp;BU1201)</f>
        <v>negativer Bestand (Export -1); Kein Verbrauch; Gebinde geschätzt (Mittel); Menge pro Gebinde fehlt (Ist = 1 Gebinde); </v>
      </c>
      <c r="BN1201" s="48"/>
      <c r="BO1201" s="48"/>
      <c r="BP1201" s="55"/>
      <c r="BQ1201" s="50" t="n">
        <v>-1</v>
      </c>
      <c r="BR1201" s="50" t="n">
        <v>2</v>
      </c>
      <c r="BS1201" s="49" t="n">
        <v>-490.5</v>
      </c>
      <c r="BT1201" s="50" t="n">
        <v>0</v>
      </c>
      <c r="BU1201" s="48"/>
      <c r="BV1201" s="53" t="n">
        <v>0</v>
      </c>
      <c r="BW1201" s="53" t="n">
        <v>1201</v>
      </c>
      <c r="BX1201" s="48" t="str">
        <f aca="false">IF(U1201&lt;&gt;"",UPPER(TRIM(U1201)),IF(CA1201=1,UPPER(VLOOKUP(T1201,Parameter!$I$27:$K$29,2,0)),IF(P1201="","LOSE",P1201)))</f>
        <v>S61</v>
      </c>
      <c r="BY1201" s="50" t="n">
        <f aca="false">IF(BX1201="LOSE",1,IF(N(V1201)&gt;0,V1201,IF(CA1201=1,MAX(1,N(VLOOKUP(T1201,Parameter!$I$27:$K$29,3,0)),H1201,N(N1201)),IF(N(Q1201)&gt;0,Q1201,MAX(1,H1201)))))</f>
        <v>4</v>
      </c>
      <c r="BZ1201" s="53" t="n">
        <f aca="false">IF(BX1201="LOSE",1,0)</f>
        <v>0</v>
      </c>
      <c r="CA1201" s="53" t="n">
        <f aca="false">IF(AND(U1201="",OR(P1201="",P1201="LOSE"),T1201&lt;&gt;"",N(S1201)&lt;=0,ISNUMBER(MATCH(T1201,Parameter!$I$27:$I$29,0))),1,0)</f>
        <v>1</v>
      </c>
      <c r="CB1201" s="53" t="n">
        <f aca="false">IF(CQ1201&gt;0,INDEX(Parameter!$H$5:$H$7,W1201)/INDEX(Parameter!$E$5:$E$7,W1201),IF(AND(BZ1201=0,N(IFERROR(VLOOKUP(BX1201,'Gebinde-Kategorie'!$A$5:$N$45,14,0),0))&gt;0),VLOOKUP(BX1201,'Gebinde-Kategorie'!$A$5:$N$45,14,0)*10+Parameter!$M$23,Parameter!$M$24))</f>
        <v>145</v>
      </c>
      <c r="CC1201" s="48" t="str">
        <f aca="false">IF(AND(Parameter!$B$19="Ja",E1201&lt;&gt;"",ISNUMBER(MATCH(E1201,Parameter!$I$35:$I$52,0))),VLOOKUP(E1201,Parameter!$I$35:$J$52,2,0),IFERROR(VLOOKUP(D1201,Parameter!$A$35:$C$64,2,0),"Nein"))</f>
        <v>Nein</v>
      </c>
      <c r="CD1201" s="52" t="n">
        <f aca="false">IF(BZ1201=0,0,IF(N(S1201)&gt;0,S1201,IFERROR(VLOOKUP(D1201,Parameter!$A$35:$C$64,3,0)+0,0)))</f>
        <v>0</v>
      </c>
      <c r="CE1201" s="48" t="str">
        <f aca="false">IF(AA1201&lt;&gt;"",AA1201,Z1201)</f>
        <v>-</v>
      </c>
      <c r="CF1201" s="48" t="str">
        <f aca="false">IF(OR(CE1201=1,CE1201=2,CE1201=3),IF(Parameter!$E$27="Ja","LIFT",IF(CE1201=1,"L1","L23")),IF(CE1201="Aussen","Aussen","-"))</f>
        <v>-</v>
      </c>
      <c r="CG1201" s="59" t="n">
        <f aca="false">IF(N(AB1201)&gt;0,AB1201,0)</f>
        <v>0</v>
      </c>
      <c r="CH1201" s="53" t="n">
        <f aca="false">IF(ISNUMBER(AE1201),1,0)</f>
        <v>0</v>
      </c>
      <c r="CI1201" s="50" t="n">
        <f aca="false">N(AE1201)</f>
        <v>0</v>
      </c>
      <c r="CJ1201" s="50" t="n">
        <f aca="false">N(M1201)+N(N1201)</f>
        <v>1</v>
      </c>
      <c r="CK1201" s="50" t="n">
        <f aca="false">N(M1201)</f>
        <v>0</v>
      </c>
      <c r="CL1201" s="50" t="n">
        <f aca="false">N(N1201)</f>
        <v>1</v>
      </c>
      <c r="CM1201" s="50" t="n">
        <f aca="false">ROUNDUP(H1201/BY1201,0)</f>
        <v>1</v>
      </c>
      <c r="CN1201" s="50" t="n">
        <f aca="false">ROUNDUP(CI1201/BY1201,0)</f>
        <v>0</v>
      </c>
      <c r="CO1201" s="53" t="n">
        <f aca="false">IF(BZ1201=1,0,IFERROR(VLOOKUP(BX1201,'Gebinde-Kategorie'!$A$5:$N$45,5,0)+0,0))</f>
        <v>11</v>
      </c>
      <c r="CP1201" s="53" t="n">
        <f aca="false">IFERROR(IF(OR(CE1201=1,CE1201=2,CE1201=3),N(INDEX(Parameter!$I$5:$I$7,CE1201)),0),0)</f>
        <v>0</v>
      </c>
      <c r="CQ1201" s="52" t="n">
        <f aca="false">IF(AND(Parameter!$B$21="Ja",ISNUMBER(W1201),N(X1201)&gt;0),IFERROR(N(INDEX(Parameter!$L$5:$L$7,W1201))*INDEX(Parameter!$E$5:$E$7,W1201)*X1201/SUMIFS($X$7:$X$1843,$W$7:$W$1843,W1201),0),0)</f>
        <v>0</v>
      </c>
    </row>
    <row r="1202" customFormat="false" ht="15" hidden="false" customHeight="false" outlineLevel="0" collapsed="false">
      <c r="A1202" s="48" t="s">
        <v>2169</v>
      </c>
      <c r="B1202" s="48" t="s">
        <v>416</v>
      </c>
      <c r="C1202" s="48" t="s">
        <v>173</v>
      </c>
      <c r="D1202" s="48" t="s">
        <v>193</v>
      </c>
      <c r="E1202" s="48" t="s">
        <v>194</v>
      </c>
      <c r="F1202" s="48" t="s">
        <v>227</v>
      </c>
      <c r="G1202" s="49" t="n">
        <v>0.34</v>
      </c>
      <c r="H1202" s="50" t="n">
        <f aca="false">MAX(0,IF(AND(Parameter!$B$21="Ja",ISNUMBER(Y1202)),Y1202,IF(Parameter!$B$20="Jahresanfang 2025 + Export",BR1202+BQ1202,BQ1202)))</f>
        <v>987</v>
      </c>
      <c r="I1202" s="50" t="n">
        <f aca="false">H1202*G1202</f>
        <v>335.58</v>
      </c>
      <c r="J1202" s="50" t="n">
        <f aca="false">BT1202*Parameter!$B$18</f>
        <v>6215</v>
      </c>
      <c r="K1202" s="51" t="n">
        <v>2301.5</v>
      </c>
      <c r="L1202" s="52" t="n">
        <v>2.70041277427765</v>
      </c>
      <c r="M1202" s="50" t="n">
        <v>242</v>
      </c>
      <c r="N1202" s="50" t="n">
        <v>2000</v>
      </c>
      <c r="O1202" s="53" t="n">
        <v>14</v>
      </c>
      <c r="P1202" s="48" t="s">
        <v>242</v>
      </c>
      <c r="Q1202" s="50" t="n">
        <v>1527</v>
      </c>
      <c r="R1202" s="53" t="n">
        <f aca="false">IF(BZ1202=1,0,IFERROR(VLOOKUP(BX1202,'Gebinde-Kategorie'!$A$5:$N$45,13,0)+0,0))</f>
        <v>26</v>
      </c>
      <c r="S1202" s="54"/>
      <c r="T1202" s="55"/>
      <c r="U1202" s="55"/>
      <c r="V1202" s="55"/>
      <c r="W1202" s="48"/>
      <c r="X1202" s="50"/>
      <c r="Y1202" s="50"/>
      <c r="Z1202" s="48" t="n">
        <f aca="false">IF(A1202="","",IF(AND(Parameter!$B$21="Ja",ISNUMBER(W1202)),W1202,IF(CC1202="2+3",IF(ISNUMBER(SEARCH("grosser Artikel",BU1202)),2,IFERROR(VLOOKUP(BX1202,Parameter!$F$35:$G$64,2,0),2)),IF(OR(CC1202="Nein",CC1202=""),"-",CC1202))))</f>
        <v>3</v>
      </c>
      <c r="AA1202" s="55"/>
      <c r="AB1202" s="56"/>
      <c r="AC1202" s="50" t="n">
        <f aca="false">AV1202</f>
        <v>3902</v>
      </c>
      <c r="AD1202" s="50" t="n">
        <f aca="false">MAX(AV1202,H1202)</f>
        <v>3902</v>
      </c>
      <c r="AE1202" s="57"/>
      <c r="AF1202" s="50" t="n">
        <f aca="false">IF(LEFT(Cockpit!$C$5,1)="A",H1202,IF(Parameter!$E$30="MAX-Bestand",IF(CH1202=1,CI1202,IF(LEFT(Cockpit!$C$5,1)="B",AL1202,MAX(AL1202,H1202))),ROUNDUP(AJ1202,0)))</f>
        <v>987</v>
      </c>
      <c r="AG1202" s="50" t="n">
        <f aca="false">IF(BZ1202=1,0,ROUNDUP(AF1202/BY1202,0))</f>
        <v>1</v>
      </c>
      <c r="AH1202" s="52" t="n">
        <f aca="false">IF(CQ1202&gt;0,CQ1202*MAX(1,AF1202/X1202),IF(BZ1202=1,IF(AF1202&lt;=0,0,CD1202*MAX(1,IF(H1202&gt;0,AF1202/H1202,1))),IF(R1202&gt;0,AG1202/R1202,0))/MAX(0.1,N(Parameter!$M$21)))</f>
        <v>0.0384615384615385</v>
      </c>
      <c r="AI1202" s="50" t="n">
        <f aca="false">AH1202*CB1202</f>
        <v>9.42307692307692</v>
      </c>
      <c r="AJ1202" s="51" t="n">
        <f aca="false">IF(LEFT(Cockpit!$C$5,1)="A",H1202,IF(CH1202=1,(CK1202+CI1202)/2,IF(LEFT(Cockpit!$C$5,1)="B",(CK1202+AL1202)/2,MAX((CK1202+AL1202)/2,H1202))))</f>
        <v>987</v>
      </c>
      <c r="AK1202" s="50" t="n">
        <f aca="false">AJ1202*G1202</f>
        <v>335.58</v>
      </c>
      <c r="AL1202" s="50" t="n">
        <f aca="false">ROUNDUP(CK1202+MAX(CL1202,2*(J1202/IF(CG1202&gt;0,CG1202,MAX(0.1,N(Cockpit!$C$6)))-CK1202)),0)</f>
        <v>3902</v>
      </c>
      <c r="AM1202" s="51" t="n">
        <f aca="false">IF(AI1202&gt;0,J1202/AI1202,-1)</f>
        <v>659.551020408163</v>
      </c>
      <c r="AN1202" s="51" t="n">
        <f aca="false">IF(AND(OR(CF1202="L1",CF1202="L23",CF1202="LIFT"),AI1202&gt;0),SUMIFS($AI$7:$AI$1843,$CF$7:$CF$1843,CF1202,$AM$7:$AM$1843,"&gt;"&amp;AM1202)+SUMIFS($AI$7:$AI$1843,$CF$7:$CF$1843,CF1202,$AM$7:$AM$1843,AM1202,$BW$7:$BW$1843,"&lt;="&amp;BW1202),"")</f>
        <v>35.8667582417583</v>
      </c>
      <c r="AO1202" s="58" t="n">
        <f aca="false">IF(AN1202="",0,MAX(0,MIN(1,(IF(CF1202="L1",Parameter!$H$5,IF(CF1202="L23",Parameter!$H$6+Parameter!$H$7,Parameter!$H$5+Parameter!$H$6+Parameter!$H$7))-(AN1202-AI1202))/AI1202)))</f>
        <v>1</v>
      </c>
      <c r="AP1202" s="50" t="n">
        <f aca="false">IF(LEFT(Cockpit!$I$5,1)="A",H1202,IF(Parameter!$E$30="MAX-Bestand",IF(CH1202=1,CI1202,IF(LEFT(Cockpit!$I$5,1)="B",AV1202,MAX(AV1202,H1202))),ROUNDUP(AT1202,0)))</f>
        <v>2072</v>
      </c>
      <c r="AQ1202" s="50" t="n">
        <f aca="false">IF(BZ1202=1,0,ROUNDUP(AP1202/BY1202,0))</f>
        <v>2</v>
      </c>
      <c r="AR1202" s="52" t="n">
        <f aca="false">IF(CQ1202&gt;0,CQ1202*MAX(1,AP1202/X1202),IF(BZ1202=1,IF(AP1202&lt;=0,0,CD1202*MAX(1,IF(H1202&gt;0,AP1202/H1202,1))),IF(R1202&gt;0,AQ1202/R1202,0))/MAX(0.1,N(Parameter!$M$21)))</f>
        <v>0.0769230769230769</v>
      </c>
      <c r="AS1202" s="50" t="n">
        <f aca="false">AR1202*CB1202</f>
        <v>18.8461538461538</v>
      </c>
      <c r="AT1202" s="51" t="n">
        <f aca="false">IF(LEFT(Cockpit!$I$5,1)="A",H1202,IF(CH1202=1,(CK1202+CI1202)/2,IF(LEFT(Cockpit!$I$5,1)="B",(CK1202+AV1202)/2,MAX((CK1202+AV1202)/2,H1202))))</f>
        <v>2072</v>
      </c>
      <c r="AU1202" s="50" t="n">
        <f aca="false">AT1202*G1202</f>
        <v>704.48</v>
      </c>
      <c r="AV1202" s="50" t="n">
        <f aca="false">ROUNDUP(CK1202+MAX(CL1202,2*(J1202/IF(CG1202&gt;0,CG1202,MAX(0.1,N(Cockpit!$I$6)))-CK1202)),0)</f>
        <v>3902</v>
      </c>
      <c r="AW1202" s="51" t="n">
        <f aca="false">IF(AS1202&gt;0,J1202/AS1202,-1)</f>
        <v>329.775510204082</v>
      </c>
      <c r="AX1202" s="51" t="n">
        <f aca="false">IF(AND(OR(CF1202="L1",CF1202="L23",CF1202="LIFT"),AS1202&gt;0),SUMIFS($AS$7:$AS$1843,$CF$7:$CF$1843,CF1202,$AW$7:$AW$1843,"&gt;"&amp;AW1202)+SUMIFS($AS$7:$AS$1843,$CF$7:$CF$1843,CF1202,$AW$7:$AW$1843,AW1202,$BW$7:$BW$1843,"&lt;="&amp;BW1202),"")</f>
        <v>184.347985347985</v>
      </c>
      <c r="AY1202" s="58" t="n">
        <f aca="false">IF(AX1202="",0,MAX(0,MIN(1,(IF(CF1202="L1",Parameter!$H$5,IF(CF1202="L23",Parameter!$H$6+Parameter!$H$7,Parameter!$H$5+Parameter!$H$6+Parameter!$H$7))-(AX1202-AS1202))/AS1202)))</f>
        <v>1</v>
      </c>
      <c r="AZ1202" s="50" t="n">
        <f aca="false">IF(LEFT(Cockpit!$O$5,1)="A",H1202,IF(Parameter!$E$30="MAX-Bestand",IF(CH1202=1,CI1202,IF(LEFT(Cockpit!$O$5,1)="B",BF1202,MAX(BF1202,H1202))),ROUNDUP(BD1202,0)))</f>
        <v>1554</v>
      </c>
      <c r="BA1202" s="50" t="n">
        <f aca="false">IF(BZ1202=1,0,ROUNDUP(AZ1202/BY1202,0))</f>
        <v>2</v>
      </c>
      <c r="BB1202" s="52" t="n">
        <f aca="false">IF(CQ1202&gt;0,CQ1202*MAX(1,AZ1202/X1202),IF(BZ1202=1,IF(AZ1202&lt;=0,0,CD1202*MAX(1,IF(H1202&gt;0,AZ1202/H1202,1))),IF(R1202&gt;0,BA1202/R1202,0))/MAX(0.1,N(Parameter!$M$21)))</f>
        <v>0.0769230769230769</v>
      </c>
      <c r="BC1202" s="50" t="n">
        <f aca="false">BB1202*CB1202</f>
        <v>18.8461538461538</v>
      </c>
      <c r="BD1202" s="51" t="n">
        <f aca="false">IF(LEFT(Cockpit!$O$5,1)="A",H1202,IF(CH1202=1,(CK1202+CI1202)/2,IF(LEFT(Cockpit!$O$5,1)="B",(CK1202+BF1202)/2,MAX((CK1202+BF1202)/2,H1202))))</f>
        <v>1554</v>
      </c>
      <c r="BE1202" s="50" t="n">
        <f aca="false">BD1202*G1202</f>
        <v>528.36</v>
      </c>
      <c r="BF1202" s="50" t="n">
        <f aca="false">ROUNDUP(CK1202+MAX(CL1202,2*(J1202/IF(CG1202&gt;0,CG1202,MAX(0.1,N(Cockpit!$O$6)))-CK1202)),0)</f>
        <v>2866</v>
      </c>
      <c r="BG1202" s="51" t="n">
        <f aca="false">IF(BC1202&gt;0,J1202/BC1202,-1)</f>
        <v>329.775510204082</v>
      </c>
      <c r="BH1202" s="51" t="n">
        <f aca="false">IF(AND(OR(CF1202="L1",CF1202="L23",CF1202="LIFT"),BC1202&gt;0),SUMIFS($BC$7:$BC$1843,$CF$7:$CF$1843,CF1202,$BG$7:$BG$1843,"&gt;"&amp;BG1202)+SUMIFS($BC$7:$BC$1843,$CF$7:$CF$1843,CF1202,$BG$7:$BG$1843,BG1202,$BW$7:$BW$1843,"&lt;="&amp;BW1202),"")</f>
        <v>253.580128205128</v>
      </c>
      <c r="BI1202" s="58" t="n">
        <f aca="false">IF(BH1202="",0,MAX(0,MIN(1,(IF(CF1202="L1",Parameter!$H$5,IF(CF1202="L23",Parameter!$H$6+Parameter!$H$7,Parameter!$H$5+Parameter!$H$6+Parameter!$H$7))-(BH1202-BC1202))/BC1202)))</f>
        <v>1</v>
      </c>
      <c r="BJ1202" s="48" t="str">
        <f aca="false">IF(AI1202&lt;=0,"",IF(CF1202="Aussen","Aussenlager",IF(CF1202="-","Nicht im Lift",IF(AO1202&gt;=1,"Lift",IF(AO1202&lt;=0,"Aussenlager","teilweise")))))</f>
        <v>Lift</v>
      </c>
      <c r="BK1202" s="48" t="str">
        <f aca="false">IF(AS1202&lt;=0,"",IF(CF1202="Aussen","Aussenlager",IF(CF1202="-","Nicht im Lift",IF(AY1202&gt;=1,"Lift",IF(AY1202&lt;=0,"Aussenlager","teilweise")))))</f>
        <v>Lift</v>
      </c>
      <c r="BL1202" s="48" t="str">
        <f aca="false">IF(BC1202&lt;=0,"",IF(CF1202="Aussen","Aussenlager",IF(CF1202="-","Nicht im Lift",IF(BI1202&gt;=1,"Lift",IF(BI1202&lt;=0,"Aussenlager","teilweise")))))</f>
        <v>Lift</v>
      </c>
      <c r="BM1202" s="48" t="str">
        <f aca="false">IF(A1202="","",IF(BV1202=1,"Neu; ","")&amp;IF(AND(BV1202=0,BQ1202&lt;0),"negativer Bestand (Export "&amp;BQ1202&amp;"); ","")&amp;IF(J1202&lt;=0,"Kein Verbrauch; ","")&amp;IF(CQ1202&gt;0,"Lift "&amp;W1202&amp;" lt. Liftbericht (Fach "&amp;X1202&amp;" Stk); ",IF(CA1202=1,"Gebinde geschätzt ("&amp;T1202&amp;"); ",IF(BZ1202=1,"Lose – Tablare geschätzt; ","")))&amp;IF(H1202&gt;AV1202,"Überbestand "&amp;ROUND(H1202-AV1202,0)&amp;" Stk / CHF "&amp;ROUND((H1202-AV1202)*G1202,0)&amp;"; ","")&amp;IF(AND(CH1202=1,CI1202&lt;CJ1202),"MAX &lt; MB+LG; ","")&amp;IF(AND(CP1202&gt;0,CO1202*10&gt;CP1202),"zu hoch für Tablar; ","")&amp;IF(AND(BV1202=0,OR(CH1202=1,AA1202&lt;&gt;"",U1202&lt;&gt;"",V1202&lt;&gt;"",AB1202&lt;&gt;"")),"manuell übersteuert; ","")&amp;IF(AND(BZ1202=0,R1202=0),"Gebinde unbekannt / Stellmass fehlt; ","")&amp;IF(AND(BZ1202=0,N(V1202)&lt;=0,N(Q1202)&lt;=0),"Menge pro Gebinde fehlt (Ist = 1 Gebinde); ","")&amp;BU1202)</f>
        <v>negativer Bestand (Export -1519); </v>
      </c>
      <c r="BN1202" s="48"/>
      <c r="BO1202" s="48"/>
      <c r="BP1202" s="55"/>
      <c r="BQ1202" s="50" t="n">
        <v>-1519</v>
      </c>
      <c r="BR1202" s="50" t="n">
        <v>2506</v>
      </c>
      <c r="BS1202" s="49" t="n">
        <v>-492.019999999998</v>
      </c>
      <c r="BT1202" s="50" t="n">
        <v>6215</v>
      </c>
      <c r="BU1202" s="48"/>
      <c r="BV1202" s="53" t="n">
        <v>0</v>
      </c>
      <c r="BW1202" s="53" t="n">
        <v>1202</v>
      </c>
      <c r="BX1202" s="48" t="str">
        <f aca="false">IF(U1202&lt;&gt;"",UPPER(TRIM(U1202)),IF(CA1202=1,UPPER(VLOOKUP(T1202,Parameter!$I$27:$K$29,2,0)),IF(P1202="","LOSE",P1202)))</f>
        <v>S52</v>
      </c>
      <c r="BY1202" s="50" t="n">
        <f aca="false">IF(BX1202="LOSE",1,IF(N(V1202)&gt;0,V1202,IF(CA1202=1,MAX(1,N(VLOOKUP(T1202,Parameter!$I$27:$K$29,3,0)),H1202,N(N1202)),IF(N(Q1202)&gt;0,Q1202,MAX(1,H1202)))))</f>
        <v>1527</v>
      </c>
      <c r="BZ1202" s="53" t="n">
        <f aca="false">IF(BX1202="LOSE",1,0)</f>
        <v>0</v>
      </c>
      <c r="CA1202" s="53" t="n">
        <f aca="false">IF(AND(U1202="",OR(P1202="",P1202="LOSE"),T1202&lt;&gt;"",N(S1202)&lt;=0,ISNUMBER(MATCH(T1202,Parameter!$I$27:$I$29,0))),1,0)</f>
        <v>0</v>
      </c>
      <c r="CB1202" s="53" t="n">
        <f aca="false">IF(CQ1202&gt;0,INDEX(Parameter!$H$5:$H$7,W1202)/INDEX(Parameter!$E$5:$E$7,W1202),IF(AND(BZ1202=0,N(IFERROR(VLOOKUP(BX1202,'Gebinde-Kategorie'!$A$5:$N$45,14,0),0))&gt;0),VLOOKUP(BX1202,'Gebinde-Kategorie'!$A$5:$N$45,14,0)*10+Parameter!$M$23,Parameter!$M$24))</f>
        <v>245</v>
      </c>
      <c r="CC1202" s="48" t="str">
        <f aca="false">IF(AND(Parameter!$B$19="Ja",E1202&lt;&gt;"",ISNUMBER(MATCH(E1202,Parameter!$I$35:$I$52,0))),VLOOKUP(E1202,Parameter!$I$35:$J$52,2,0),IFERROR(VLOOKUP(D1202,Parameter!$A$35:$C$64,2,0),"Nein"))</f>
        <v>2+3</v>
      </c>
      <c r="CD1202" s="52" t="n">
        <f aca="false">IF(BZ1202=0,0,IF(N(S1202)&gt;0,S1202,IFERROR(VLOOKUP(D1202,Parameter!$A$35:$C$64,3,0)+0,0)))</f>
        <v>0</v>
      </c>
      <c r="CE1202" s="48" t="n">
        <f aca="false">IF(AA1202&lt;&gt;"",AA1202,Z1202)</f>
        <v>3</v>
      </c>
      <c r="CF1202" s="48" t="str">
        <f aca="false">IF(OR(CE1202=1,CE1202=2,CE1202=3),IF(Parameter!$E$27="Ja","LIFT",IF(CE1202=1,"L1","L23")),IF(CE1202="Aussen","Aussen","-"))</f>
        <v>LIFT</v>
      </c>
      <c r="CG1202" s="59" t="n">
        <f aca="false">IF(N(AB1202)&gt;0,AB1202,0)</f>
        <v>0</v>
      </c>
      <c r="CH1202" s="53" t="n">
        <f aca="false">IF(ISNUMBER(AE1202),1,0)</f>
        <v>0</v>
      </c>
      <c r="CI1202" s="50" t="n">
        <f aca="false">N(AE1202)</f>
        <v>0</v>
      </c>
      <c r="CJ1202" s="50" t="n">
        <f aca="false">N(M1202)+N(N1202)</f>
        <v>2242</v>
      </c>
      <c r="CK1202" s="50" t="n">
        <f aca="false">N(M1202)</f>
        <v>242</v>
      </c>
      <c r="CL1202" s="50" t="n">
        <f aca="false">N(N1202)</f>
        <v>2000</v>
      </c>
      <c r="CM1202" s="50" t="n">
        <f aca="false">ROUNDUP(H1202/BY1202,0)</f>
        <v>1</v>
      </c>
      <c r="CN1202" s="50" t="n">
        <f aca="false">ROUNDUP(CI1202/BY1202,0)</f>
        <v>0</v>
      </c>
      <c r="CO1202" s="53" t="n">
        <f aca="false">IF(BZ1202=1,0,IFERROR(VLOOKUP(BX1202,'Gebinde-Kategorie'!$A$5:$N$45,5,0)+0,0))</f>
        <v>21</v>
      </c>
      <c r="CP1202" s="53" t="n">
        <f aca="false">IFERROR(IF(OR(CE1202=1,CE1202=2,CE1202=3),N(INDEX(Parameter!$I$5:$I$7,CE1202)),0),0)</f>
        <v>0</v>
      </c>
      <c r="CQ1202" s="52" t="n">
        <f aca="false">IF(AND(Parameter!$B$21="Ja",ISNUMBER(W1202),N(X1202)&gt;0),IFERROR(N(INDEX(Parameter!$L$5:$L$7,W1202))*INDEX(Parameter!$E$5:$E$7,W1202)*X1202/SUMIFS($X$7:$X$1843,$W$7:$W$1843,W1202),0),0)</f>
        <v>0</v>
      </c>
    </row>
    <row r="1203" customFormat="false" ht="15" hidden="false" customHeight="false" outlineLevel="0" collapsed="false">
      <c r="A1203" s="48" t="s">
        <v>2170</v>
      </c>
      <c r="B1203" s="48" t="s">
        <v>1927</v>
      </c>
      <c r="C1203" s="48" t="s">
        <v>173</v>
      </c>
      <c r="D1203" s="48" t="s">
        <v>193</v>
      </c>
      <c r="E1203" s="48"/>
      <c r="F1203" s="48" t="s">
        <v>227</v>
      </c>
      <c r="G1203" s="49" t="n">
        <v>16.62</v>
      </c>
      <c r="H1203" s="50" t="n">
        <f aca="false">MAX(0,IF(AND(Parameter!$B$21="Ja",ISNUMBER(Y1203)),Y1203,IF(Parameter!$B$20="Jahresanfang 2025 + Export",BR1203+BQ1203,BQ1203)))</f>
        <v>0</v>
      </c>
      <c r="I1203" s="50" t="n">
        <f aca="false">H1203*G1203</f>
        <v>0</v>
      </c>
      <c r="J1203" s="50" t="n">
        <f aca="false">BT1203*Parameter!$B$18</f>
        <v>0</v>
      </c>
      <c r="K1203" s="51" t="n">
        <v>30</v>
      </c>
      <c r="L1203" s="52" t="n">
        <v>0</v>
      </c>
      <c r="M1203" s="50" t="n">
        <v>0</v>
      </c>
      <c r="N1203" s="50" t="n">
        <v>1</v>
      </c>
      <c r="O1203" s="53" t="n">
        <v>28</v>
      </c>
      <c r="P1203" s="48" t="s">
        <v>337</v>
      </c>
      <c r="Q1203" s="50" t="n">
        <v>15</v>
      </c>
      <c r="R1203" s="53" t="n">
        <f aca="false">IF(BZ1203=1,0,IFERROR(VLOOKUP(BX1203,'Gebinde-Kategorie'!$A$5:$N$45,13,0)+0,0))</f>
        <v>52</v>
      </c>
      <c r="S1203" s="54"/>
      <c r="T1203" s="55"/>
      <c r="U1203" s="55"/>
      <c r="V1203" s="55"/>
      <c r="W1203" s="48"/>
      <c r="X1203" s="50"/>
      <c r="Y1203" s="50"/>
      <c r="Z1203" s="48" t="n">
        <f aca="false">IF(A1203="","",IF(AND(Parameter!$B$21="Ja",ISNUMBER(W1203)),W1203,IF(CC1203="2+3",IF(ISNUMBER(SEARCH("grosser Artikel",BU1203)),2,IFERROR(VLOOKUP(BX1203,Parameter!$F$35:$G$64,2,0),2)),IF(OR(CC1203="Nein",CC1203=""),"-",CC1203))))</f>
        <v>3</v>
      </c>
      <c r="AA1203" s="55"/>
      <c r="AB1203" s="56"/>
      <c r="AC1203" s="50" t="n">
        <f aca="false">AV1203</f>
        <v>1</v>
      </c>
      <c r="AD1203" s="50" t="n">
        <f aca="false">MAX(AV1203,H1203)</f>
        <v>1</v>
      </c>
      <c r="AE1203" s="57"/>
      <c r="AF1203" s="50" t="n">
        <f aca="false">IF(LEFT(Cockpit!$C$5,1)="A",H1203,IF(Parameter!$E$30="MAX-Bestand",IF(CH1203=1,CI1203,IF(LEFT(Cockpit!$C$5,1)="B",AL1203,MAX(AL1203,H1203))),ROUNDUP(AJ1203,0)))</f>
        <v>0</v>
      </c>
      <c r="AG1203" s="50" t="n">
        <f aca="false">IF(BZ1203=1,0,ROUNDUP(AF1203/BY1203,0))</f>
        <v>0</v>
      </c>
      <c r="AH1203" s="52" t="n">
        <f aca="false">IF(CQ1203&gt;0,CQ1203*MAX(1,AF1203/X1203),IF(BZ1203=1,IF(AF1203&lt;=0,0,CD1203*MAX(1,IF(H1203&gt;0,AF1203/H1203,1))),IF(R1203&gt;0,AG1203/R1203,0))/MAX(0.1,N(Parameter!$M$21)))</f>
        <v>0</v>
      </c>
      <c r="AI1203" s="50" t="n">
        <f aca="false">AH1203*CB1203</f>
        <v>0</v>
      </c>
      <c r="AJ1203" s="51" t="n">
        <f aca="false">IF(LEFT(Cockpit!$C$5,1)="A",H1203,IF(CH1203=1,(CK1203+CI1203)/2,IF(LEFT(Cockpit!$C$5,1)="B",(CK1203+AL1203)/2,MAX((CK1203+AL1203)/2,H1203))))</f>
        <v>0</v>
      </c>
      <c r="AK1203" s="50" t="n">
        <f aca="false">AJ1203*G1203</f>
        <v>0</v>
      </c>
      <c r="AL1203" s="50" t="n">
        <f aca="false">ROUNDUP(CK1203+MAX(CL1203,2*(J1203/IF(CG1203&gt;0,CG1203,MAX(0.1,N(Cockpit!$C$6)))-CK1203)),0)</f>
        <v>1</v>
      </c>
      <c r="AM1203" s="51" t="n">
        <f aca="false">IF(AI1203&gt;0,J1203/AI1203,-1)</f>
        <v>-1</v>
      </c>
      <c r="AN1203" s="51" t="str">
        <f aca="false">IF(AND(OR(CF1203="L1",CF1203="L23",CF1203="LIFT"),AI1203&gt;0),SUMIFS($AI$7:$AI$1843,$CF$7:$CF$1843,CF1203,$AM$7:$AM$1843,"&gt;"&amp;AM1203)+SUMIFS($AI$7:$AI$1843,$CF$7:$CF$1843,CF1203,$AM$7:$AM$1843,AM1203,$BW$7:$BW$1843,"&lt;="&amp;BW1203),"")</f>
        <v/>
      </c>
      <c r="AO1203" s="58" t="n">
        <f aca="false">IF(AN1203="",0,MAX(0,MIN(1,(IF(CF1203="L1",Parameter!$H$5,IF(CF1203="L23",Parameter!$H$6+Parameter!$H$7,Parameter!$H$5+Parameter!$H$6+Parameter!$H$7))-(AN1203-AI1203))/AI1203)))</f>
        <v>0</v>
      </c>
      <c r="AP1203" s="50" t="n">
        <f aca="false">IF(LEFT(Cockpit!$I$5,1)="A",H1203,IF(Parameter!$E$30="MAX-Bestand",IF(CH1203=1,CI1203,IF(LEFT(Cockpit!$I$5,1)="B",AV1203,MAX(AV1203,H1203))),ROUNDUP(AT1203,0)))</f>
        <v>1</v>
      </c>
      <c r="AQ1203" s="50" t="n">
        <f aca="false">IF(BZ1203=1,0,ROUNDUP(AP1203/BY1203,0))</f>
        <v>1</v>
      </c>
      <c r="AR1203" s="52" t="n">
        <f aca="false">IF(CQ1203&gt;0,CQ1203*MAX(1,AP1203/X1203),IF(BZ1203=1,IF(AP1203&lt;=0,0,CD1203*MAX(1,IF(H1203&gt;0,AP1203/H1203,1))),IF(R1203&gt;0,AQ1203/R1203,0))/MAX(0.1,N(Parameter!$M$21)))</f>
        <v>0.0192307692307692</v>
      </c>
      <c r="AS1203" s="50" t="n">
        <f aca="false">AR1203*CB1203</f>
        <v>2.98076923076923</v>
      </c>
      <c r="AT1203" s="51" t="n">
        <f aca="false">IF(LEFT(Cockpit!$I$5,1)="A",H1203,IF(CH1203=1,(CK1203+CI1203)/2,IF(LEFT(Cockpit!$I$5,1)="B",(CK1203+AV1203)/2,MAX((CK1203+AV1203)/2,H1203))))</f>
        <v>0.5</v>
      </c>
      <c r="AU1203" s="50" t="n">
        <f aca="false">AT1203*G1203</f>
        <v>8.31</v>
      </c>
      <c r="AV1203" s="50" t="n">
        <f aca="false">ROUNDUP(CK1203+MAX(CL1203,2*(J1203/IF(CG1203&gt;0,CG1203,MAX(0.1,N(Cockpit!$I$6)))-CK1203)),0)</f>
        <v>1</v>
      </c>
      <c r="AW1203" s="51" t="n">
        <f aca="false">IF(AS1203&gt;0,J1203/AS1203,-1)</f>
        <v>0</v>
      </c>
      <c r="AX1203" s="51" t="n">
        <f aca="false">IF(AND(OR(CF1203="L1",CF1203="L23",CF1203="LIFT"),AS1203&gt;0),SUMIFS($AS$7:$AS$1843,$CF$7:$CF$1843,CF1203,$AW$7:$AW$1843,"&gt;"&amp;AW1203)+SUMIFS($AS$7:$AS$1843,$CF$7:$CF$1843,CF1203,$AW$7:$AW$1843,AW1203,$BW$7:$BW$1843,"&lt;="&amp;BW1203),"")</f>
        <v>35214.4171245421</v>
      </c>
      <c r="AY1203" s="58" t="n">
        <f aca="false">IF(AX1203="",0,MAX(0,MIN(1,(IF(CF1203="L1",Parameter!$H$5,IF(CF1203="L23",Parameter!$H$6+Parameter!$H$7,Parameter!$H$5+Parameter!$H$6+Parameter!$H$7))-(AX1203-AS1203))/AS1203)))</f>
        <v>1</v>
      </c>
      <c r="AZ1203" s="50" t="n">
        <f aca="false">IF(LEFT(Cockpit!$O$5,1)="A",H1203,IF(Parameter!$E$30="MAX-Bestand",IF(CH1203=1,CI1203,IF(LEFT(Cockpit!$O$5,1)="B",BF1203,MAX(BF1203,H1203))),ROUNDUP(BD1203,0)))</f>
        <v>1</v>
      </c>
      <c r="BA1203" s="50" t="n">
        <f aca="false">IF(BZ1203=1,0,ROUNDUP(AZ1203/BY1203,0))</f>
        <v>1</v>
      </c>
      <c r="BB1203" s="52" t="n">
        <f aca="false">IF(CQ1203&gt;0,CQ1203*MAX(1,AZ1203/X1203),IF(BZ1203=1,IF(AZ1203&lt;=0,0,CD1203*MAX(1,IF(H1203&gt;0,AZ1203/H1203,1))),IF(R1203&gt;0,BA1203/R1203,0))/MAX(0.1,N(Parameter!$M$21)))</f>
        <v>0.0192307692307692</v>
      </c>
      <c r="BC1203" s="50" t="n">
        <f aca="false">BB1203*CB1203</f>
        <v>2.98076923076923</v>
      </c>
      <c r="BD1203" s="51" t="n">
        <f aca="false">IF(LEFT(Cockpit!$O$5,1)="A",H1203,IF(CH1203=1,(CK1203+CI1203)/2,IF(LEFT(Cockpit!$O$5,1)="B",(CK1203+BF1203)/2,MAX((CK1203+BF1203)/2,H1203))))</f>
        <v>0.5</v>
      </c>
      <c r="BE1203" s="50" t="n">
        <f aca="false">BD1203*G1203</f>
        <v>8.31</v>
      </c>
      <c r="BF1203" s="50" t="n">
        <f aca="false">ROUNDUP(CK1203+MAX(CL1203,2*(J1203/IF(CG1203&gt;0,CG1203,MAX(0.1,N(Cockpit!$O$6)))-CK1203)),0)</f>
        <v>1</v>
      </c>
      <c r="BG1203" s="51" t="n">
        <f aca="false">IF(BC1203&gt;0,J1203/BC1203,-1)</f>
        <v>0</v>
      </c>
      <c r="BH1203" s="51" t="n">
        <f aca="false">IF(AND(OR(CF1203="L1",CF1203="L23",CF1203="LIFT"),BC1203&gt;0),SUMIFS($BC$7:$BC$1843,$CF$7:$CF$1843,CF1203,$BG$7:$BG$1843,"&gt;"&amp;BG1203)+SUMIFS($BC$7:$BC$1843,$CF$7:$CF$1843,CF1203,$BG$7:$BG$1843,BG1203,$BW$7:$BW$1843,"&lt;="&amp;BW1203),"")</f>
        <v>29199.7237846899</v>
      </c>
      <c r="BI1203" s="58" t="n">
        <f aca="false">IF(BH1203="",0,MAX(0,MIN(1,(IF(CF1203="L1",Parameter!$H$5,IF(CF1203="L23",Parameter!$H$6+Parameter!$H$7,Parameter!$H$5+Parameter!$H$6+Parameter!$H$7))-(BH1203-BC1203))/BC1203)))</f>
        <v>1</v>
      </c>
      <c r="BJ1203" s="48" t="str">
        <f aca="false">IF(AI1203&lt;=0,"",IF(CF1203="Aussen","Aussenlager",IF(CF1203="-","Nicht im Lift",IF(AO1203&gt;=1,"Lift",IF(AO1203&lt;=0,"Aussenlager","teilweise")))))</f>
        <v/>
      </c>
      <c r="BK1203" s="48" t="str">
        <f aca="false">IF(AS1203&lt;=0,"",IF(CF1203="Aussen","Aussenlager",IF(CF1203="-","Nicht im Lift",IF(AY1203&gt;=1,"Lift",IF(AY1203&lt;=0,"Aussenlager","teilweise")))))</f>
        <v>Lift</v>
      </c>
      <c r="BL1203" s="48" t="str">
        <f aca="false">IF(BC1203&lt;=0,"",IF(CF1203="Aussen","Aussenlager",IF(CF1203="-","Nicht im Lift",IF(BI1203&gt;=1,"Lift",IF(BI1203&lt;=0,"Aussenlager","teilweise")))))</f>
        <v>Lift</v>
      </c>
      <c r="BM1203" s="48" t="str">
        <f aca="false">IF(A1203="","",IF(BV1203=1,"Neu; ","")&amp;IF(AND(BV1203=0,BQ1203&lt;0),"negativer Bestand (Export "&amp;BQ1203&amp;"); ","")&amp;IF(J1203&lt;=0,"Kein Verbrauch; ","")&amp;IF(CQ1203&gt;0,"Lift "&amp;W1203&amp;" lt. Liftbericht (Fach "&amp;X1203&amp;" Stk); ",IF(CA1203=1,"Gebinde geschätzt ("&amp;T1203&amp;"); ",IF(BZ1203=1,"Lose – Tablare geschätzt; ","")))&amp;IF(H1203&gt;AV1203,"Überbestand "&amp;ROUND(H1203-AV1203,0)&amp;" Stk / CHF "&amp;ROUND((H1203-AV1203)*G1203,0)&amp;"; ","")&amp;IF(AND(CH1203=1,CI1203&lt;CJ1203),"MAX &lt; MB+LG; ","")&amp;IF(AND(CP1203&gt;0,CO1203*10&gt;CP1203),"zu hoch für Tablar; ","")&amp;IF(AND(BV1203=0,OR(CH1203=1,AA1203&lt;&gt;"",U1203&lt;&gt;"",V1203&lt;&gt;"",AB1203&lt;&gt;"")),"manuell übersteuert; ","")&amp;IF(AND(BZ1203=0,R1203=0),"Gebinde unbekannt / Stellmass fehlt; ","")&amp;IF(AND(BZ1203=0,N(V1203)&lt;=0,N(Q1203)&lt;=0),"Menge pro Gebinde fehlt (Ist = 1 Gebinde); ","")&amp;BU1203)</f>
        <v>negativer Bestand (Export -30); Kein Verbrauch; </v>
      </c>
      <c r="BN1203" s="48"/>
      <c r="BO1203" s="48"/>
      <c r="BP1203" s="55"/>
      <c r="BQ1203" s="50" t="n">
        <v>-30</v>
      </c>
      <c r="BR1203" s="50" t="n">
        <v>30</v>
      </c>
      <c r="BS1203" s="49" t="n">
        <v>-498.6</v>
      </c>
      <c r="BT1203" s="50" t="n">
        <v>0</v>
      </c>
      <c r="BU1203" s="48"/>
      <c r="BV1203" s="53" t="n">
        <v>0</v>
      </c>
      <c r="BW1203" s="53" t="n">
        <v>1203</v>
      </c>
      <c r="BX1203" s="48" t="str">
        <f aca="false">IF(U1203&lt;&gt;"",UPPER(TRIM(U1203)),IF(CA1203=1,UPPER(VLOOKUP(T1203,Parameter!$I$27:$K$29,2,0)),IF(P1203="","LOSE",P1203)))</f>
        <v>S41</v>
      </c>
      <c r="BY1203" s="50" t="n">
        <f aca="false">IF(BX1203="LOSE",1,IF(N(V1203)&gt;0,V1203,IF(CA1203=1,MAX(1,N(VLOOKUP(T1203,Parameter!$I$27:$K$29,3,0)),H1203,N(N1203)),IF(N(Q1203)&gt;0,Q1203,MAX(1,H1203)))))</f>
        <v>15</v>
      </c>
      <c r="BZ1203" s="53" t="n">
        <f aca="false">IF(BX1203="LOSE",1,0)</f>
        <v>0</v>
      </c>
      <c r="CA1203" s="53" t="n">
        <f aca="false">IF(AND(U1203="",OR(P1203="",P1203="LOSE"),T1203&lt;&gt;"",N(S1203)&lt;=0,ISNUMBER(MATCH(T1203,Parameter!$I$27:$I$29,0))),1,0)</f>
        <v>0</v>
      </c>
      <c r="CB1203" s="53" t="n">
        <f aca="false">IF(CQ1203&gt;0,INDEX(Parameter!$H$5:$H$7,W1203)/INDEX(Parameter!$E$5:$E$7,W1203),IF(AND(BZ1203=0,N(IFERROR(VLOOKUP(BX1203,'Gebinde-Kategorie'!$A$5:$N$45,14,0),0))&gt;0),VLOOKUP(BX1203,'Gebinde-Kategorie'!$A$5:$N$45,14,0)*10+Parameter!$M$23,Parameter!$M$24))</f>
        <v>155</v>
      </c>
      <c r="CC1203" s="48" t="str">
        <f aca="false">IF(AND(Parameter!$B$19="Ja",E1203&lt;&gt;"",ISNUMBER(MATCH(E1203,Parameter!$I$35:$I$52,0))),VLOOKUP(E1203,Parameter!$I$35:$J$52,2,0),IFERROR(VLOOKUP(D1203,Parameter!$A$35:$C$64,2,0),"Nein"))</f>
        <v>2+3</v>
      </c>
      <c r="CD1203" s="52" t="n">
        <f aca="false">IF(BZ1203=0,0,IF(N(S1203)&gt;0,S1203,IFERROR(VLOOKUP(D1203,Parameter!$A$35:$C$64,3,0)+0,0)))</f>
        <v>0</v>
      </c>
      <c r="CE1203" s="48" t="n">
        <f aca="false">IF(AA1203&lt;&gt;"",AA1203,Z1203)</f>
        <v>3</v>
      </c>
      <c r="CF1203" s="48" t="str">
        <f aca="false">IF(OR(CE1203=1,CE1203=2,CE1203=3),IF(Parameter!$E$27="Ja","LIFT",IF(CE1203=1,"L1","L23")),IF(CE1203="Aussen","Aussen","-"))</f>
        <v>LIFT</v>
      </c>
      <c r="CG1203" s="59" t="n">
        <f aca="false">IF(N(AB1203)&gt;0,AB1203,0)</f>
        <v>0</v>
      </c>
      <c r="CH1203" s="53" t="n">
        <f aca="false">IF(ISNUMBER(AE1203),1,0)</f>
        <v>0</v>
      </c>
      <c r="CI1203" s="50" t="n">
        <f aca="false">N(AE1203)</f>
        <v>0</v>
      </c>
      <c r="CJ1203" s="50" t="n">
        <f aca="false">N(M1203)+N(N1203)</f>
        <v>1</v>
      </c>
      <c r="CK1203" s="50" t="n">
        <f aca="false">N(M1203)</f>
        <v>0</v>
      </c>
      <c r="CL1203" s="50" t="n">
        <f aca="false">N(N1203)</f>
        <v>1</v>
      </c>
      <c r="CM1203" s="50" t="n">
        <f aca="false">ROUNDUP(H1203/BY1203,0)</f>
        <v>0</v>
      </c>
      <c r="CN1203" s="50" t="n">
        <f aca="false">ROUNDUP(CI1203/BY1203,0)</f>
        <v>0</v>
      </c>
      <c r="CO1203" s="53" t="n">
        <f aca="false">IF(BZ1203=1,0,IFERROR(VLOOKUP(BX1203,'Gebinde-Kategorie'!$A$5:$N$45,5,0)+0,0))</f>
        <v>11</v>
      </c>
      <c r="CP1203" s="53" t="n">
        <f aca="false">IFERROR(IF(OR(CE1203=1,CE1203=2,CE1203=3),N(INDEX(Parameter!$I$5:$I$7,CE1203)),0),0)</f>
        <v>0</v>
      </c>
      <c r="CQ1203" s="52" t="n">
        <f aca="false">IF(AND(Parameter!$B$21="Ja",ISNUMBER(W1203),N(X1203)&gt;0),IFERROR(N(INDEX(Parameter!$L$5:$L$7,W1203))*INDEX(Parameter!$E$5:$E$7,W1203)*X1203/SUMIFS($X$7:$X$1843,$W$7:$W$1843,W1203),0),0)</f>
        <v>0</v>
      </c>
    </row>
    <row r="1204" customFormat="false" ht="15" hidden="false" customHeight="false" outlineLevel="0" collapsed="false">
      <c r="A1204" s="48" t="s">
        <v>2171</v>
      </c>
      <c r="B1204" s="48" t="s">
        <v>2172</v>
      </c>
      <c r="C1204" s="48" t="s">
        <v>173</v>
      </c>
      <c r="D1204" s="48" t="s">
        <v>182</v>
      </c>
      <c r="E1204" s="48" t="s">
        <v>194</v>
      </c>
      <c r="F1204" s="48" t="s">
        <v>227</v>
      </c>
      <c r="G1204" s="49" t="n">
        <v>380.7</v>
      </c>
      <c r="H1204" s="50" t="n">
        <f aca="false">MAX(0,IF(AND(Parameter!$B$21="Ja",ISNUMBER(Y1204)),Y1204,IF(Parameter!$B$20="Jahresanfang 2025 + Export",BR1204+BQ1204,BQ1204)))</f>
        <v>2</v>
      </c>
      <c r="I1204" s="50" t="n">
        <f aca="false">H1204*G1204</f>
        <v>761.4</v>
      </c>
      <c r="J1204" s="50" t="n">
        <f aca="false">BT1204*Parameter!$B$18</f>
        <v>0</v>
      </c>
      <c r="K1204" s="51" t="n">
        <v>3.5</v>
      </c>
      <c r="L1204" s="52" t="n">
        <v>0</v>
      </c>
      <c r="M1204" s="50" t="n">
        <v>0</v>
      </c>
      <c r="N1204" s="50" t="n">
        <v>1</v>
      </c>
      <c r="O1204" s="53" t="n">
        <v>28</v>
      </c>
      <c r="P1204" s="48" t="s">
        <v>177</v>
      </c>
      <c r="Q1204" s="50"/>
      <c r="R1204" s="53" t="n">
        <f aca="false">IF(BZ1204=1,0,IFERROR(VLOOKUP(BX1204,'Gebinde-Kategorie'!$A$5:$N$45,13,0)+0,0))</f>
        <v>12</v>
      </c>
      <c r="S1204" s="54"/>
      <c r="T1204" s="55" t="s">
        <v>188</v>
      </c>
      <c r="U1204" s="55"/>
      <c r="V1204" s="55"/>
      <c r="W1204" s="48"/>
      <c r="X1204" s="50"/>
      <c r="Y1204" s="50"/>
      <c r="Z1204" s="48" t="n">
        <f aca="false">IF(A1204="","",IF(AND(Parameter!$B$21="Ja",ISNUMBER(W1204)),W1204,IF(CC1204="2+3",IF(ISNUMBER(SEARCH("grosser Artikel",BU1204)),2,IFERROR(VLOOKUP(BX1204,Parameter!$F$35:$G$64,2,0),2)),IF(OR(CC1204="Nein",CC1204=""),"-",CC1204))))</f>
        <v>2</v>
      </c>
      <c r="AA1204" s="55"/>
      <c r="AB1204" s="56"/>
      <c r="AC1204" s="50" t="n">
        <f aca="false">AV1204</f>
        <v>1</v>
      </c>
      <c r="AD1204" s="50" t="n">
        <f aca="false">MAX(AV1204,H1204)</f>
        <v>2</v>
      </c>
      <c r="AE1204" s="57"/>
      <c r="AF1204" s="50" t="n">
        <f aca="false">IF(LEFT(Cockpit!$C$5,1)="A",H1204,IF(Parameter!$E$30="MAX-Bestand",IF(CH1204=1,CI1204,IF(LEFT(Cockpit!$C$5,1)="B",AL1204,MAX(AL1204,H1204))),ROUNDUP(AJ1204,0)))</f>
        <v>2</v>
      </c>
      <c r="AG1204" s="50" t="n">
        <f aca="false">IF(BZ1204=1,0,ROUNDUP(AF1204/BY1204,0))</f>
        <v>1</v>
      </c>
      <c r="AH1204" s="52" t="n">
        <f aca="false">IF(CQ1204&gt;0,CQ1204*MAX(1,AF1204/X1204),IF(BZ1204=1,IF(AF1204&lt;=0,0,CD1204*MAX(1,IF(H1204&gt;0,AF1204/H1204,1))),IF(R1204&gt;0,AG1204/R1204,0))/MAX(0.1,N(Parameter!$M$21)))</f>
        <v>0.0833333333333333</v>
      </c>
      <c r="AI1204" s="50" t="n">
        <f aca="false">AH1204*CB1204</f>
        <v>12.0833333333333</v>
      </c>
      <c r="AJ1204" s="51" t="n">
        <f aca="false">IF(LEFT(Cockpit!$C$5,1)="A",H1204,IF(CH1204=1,(CK1204+CI1204)/2,IF(LEFT(Cockpit!$C$5,1)="B",(CK1204+AL1204)/2,MAX((CK1204+AL1204)/2,H1204))))</f>
        <v>2</v>
      </c>
      <c r="AK1204" s="50" t="n">
        <f aca="false">AJ1204*G1204</f>
        <v>761.4</v>
      </c>
      <c r="AL1204" s="50" t="n">
        <f aca="false">ROUNDUP(CK1204+MAX(CL1204,2*(J1204/IF(CG1204&gt;0,CG1204,MAX(0.1,N(Cockpit!$C$6)))-CK1204)),0)</f>
        <v>1</v>
      </c>
      <c r="AM1204" s="51" t="n">
        <f aca="false">IF(AI1204&gt;0,J1204/AI1204,-1)</f>
        <v>0</v>
      </c>
      <c r="AN1204" s="51" t="n">
        <f aca="false">IF(AND(OR(CF1204="L1",CF1204="L23",CF1204="LIFT"),AI1204&gt;0),SUMIFS($AI$7:$AI$1843,$CF$7:$CF$1843,CF1204,$AM$7:$AM$1843,"&gt;"&amp;AM1204)+SUMIFS($AI$7:$AI$1843,$CF$7:$CF$1843,CF1204,$AM$7:$AM$1843,AM1204,$BW$7:$BW$1843,"&lt;="&amp;BW1204),"")</f>
        <v>29420.666834813</v>
      </c>
      <c r="AO1204" s="58" t="n">
        <f aca="false">IF(AN1204="",0,MAX(0,MIN(1,(IF(CF1204="L1",Parameter!$H$5,IF(CF1204="L23",Parameter!$H$6+Parameter!$H$7,Parameter!$H$5+Parameter!$H$6+Parameter!$H$7))-(AN1204-AI1204))/AI1204)))</f>
        <v>1</v>
      </c>
      <c r="AP1204" s="50" t="n">
        <f aca="false">IF(LEFT(Cockpit!$I$5,1)="A",H1204,IF(Parameter!$E$30="MAX-Bestand",IF(CH1204=1,CI1204,IF(LEFT(Cockpit!$I$5,1)="B",AV1204,MAX(AV1204,H1204))),ROUNDUP(AT1204,0)))</f>
        <v>2</v>
      </c>
      <c r="AQ1204" s="50" t="n">
        <f aca="false">IF(BZ1204=1,0,ROUNDUP(AP1204/BY1204,0))</f>
        <v>1</v>
      </c>
      <c r="AR1204" s="52" t="n">
        <f aca="false">IF(CQ1204&gt;0,CQ1204*MAX(1,AP1204/X1204),IF(BZ1204=1,IF(AP1204&lt;=0,0,CD1204*MAX(1,IF(H1204&gt;0,AP1204/H1204,1))),IF(R1204&gt;0,AQ1204/R1204,0))/MAX(0.1,N(Parameter!$M$21)))</f>
        <v>0.0833333333333333</v>
      </c>
      <c r="AS1204" s="50" t="n">
        <f aca="false">AR1204*CB1204</f>
        <v>12.0833333333333</v>
      </c>
      <c r="AT1204" s="51" t="n">
        <f aca="false">IF(LEFT(Cockpit!$I$5,1)="A",H1204,IF(CH1204=1,(CK1204+CI1204)/2,IF(LEFT(Cockpit!$I$5,1)="B",(CK1204+AV1204)/2,MAX((CK1204+AV1204)/2,H1204))))</f>
        <v>2</v>
      </c>
      <c r="AU1204" s="50" t="n">
        <f aca="false">AT1204*G1204</f>
        <v>761.4</v>
      </c>
      <c r="AV1204" s="50" t="n">
        <f aca="false">ROUNDUP(CK1204+MAX(CL1204,2*(J1204/IF(CG1204&gt;0,CG1204,MAX(0.1,N(Cockpit!$I$6)))-CK1204)),0)</f>
        <v>1</v>
      </c>
      <c r="AW1204" s="51" t="n">
        <f aca="false">IF(AS1204&gt;0,J1204/AS1204,-1)</f>
        <v>0</v>
      </c>
      <c r="AX1204" s="51" t="n">
        <f aca="false">IF(AND(OR(CF1204="L1",CF1204="L23",CF1204="LIFT"),AS1204&gt;0),SUMIFS($AS$7:$AS$1843,$CF$7:$CF$1843,CF1204,$AW$7:$AW$1843,"&gt;"&amp;AW1204)+SUMIFS($AS$7:$AS$1843,$CF$7:$CF$1843,CF1204,$AW$7:$AW$1843,AW1204,$BW$7:$BW$1843,"&lt;="&amp;BW1204),"")</f>
        <v>35226.5004578755</v>
      </c>
      <c r="AY1204" s="58" t="n">
        <f aca="false">IF(AX1204="",0,MAX(0,MIN(1,(IF(CF1204="L1",Parameter!$H$5,IF(CF1204="L23",Parameter!$H$6+Parameter!$H$7,Parameter!$H$5+Parameter!$H$6+Parameter!$H$7))-(AX1204-AS1204))/AS1204)))</f>
        <v>1</v>
      </c>
      <c r="AZ1204" s="50" t="n">
        <f aca="false">IF(LEFT(Cockpit!$O$5,1)="A",H1204,IF(Parameter!$E$30="MAX-Bestand",IF(CH1204=1,CI1204,IF(LEFT(Cockpit!$O$5,1)="B",BF1204,MAX(BF1204,H1204))),ROUNDUP(BD1204,0)))</f>
        <v>1</v>
      </c>
      <c r="BA1204" s="50" t="n">
        <f aca="false">IF(BZ1204=1,0,ROUNDUP(AZ1204/BY1204,0))</f>
        <v>1</v>
      </c>
      <c r="BB1204" s="52" t="n">
        <f aca="false">IF(CQ1204&gt;0,CQ1204*MAX(1,AZ1204/X1204),IF(BZ1204=1,IF(AZ1204&lt;=0,0,CD1204*MAX(1,IF(H1204&gt;0,AZ1204/H1204,1))),IF(R1204&gt;0,BA1204/R1204,0))/MAX(0.1,N(Parameter!$M$21)))</f>
        <v>0.0833333333333333</v>
      </c>
      <c r="BC1204" s="50" t="n">
        <f aca="false">BB1204*CB1204</f>
        <v>12.0833333333333</v>
      </c>
      <c r="BD1204" s="51" t="n">
        <f aca="false">IF(LEFT(Cockpit!$O$5,1)="A",H1204,IF(CH1204=1,(CK1204+CI1204)/2,IF(LEFT(Cockpit!$O$5,1)="B",(CK1204+BF1204)/2,MAX((CK1204+BF1204)/2,H1204))))</f>
        <v>0.5</v>
      </c>
      <c r="BE1204" s="50" t="n">
        <f aca="false">BD1204*G1204</f>
        <v>190.35</v>
      </c>
      <c r="BF1204" s="50" t="n">
        <f aca="false">ROUNDUP(CK1204+MAX(CL1204,2*(J1204/IF(CG1204&gt;0,CG1204,MAX(0.1,N(Cockpit!$O$6)))-CK1204)),0)</f>
        <v>1</v>
      </c>
      <c r="BG1204" s="51" t="n">
        <f aca="false">IF(BC1204&gt;0,J1204/BC1204,-1)</f>
        <v>0</v>
      </c>
      <c r="BH1204" s="51" t="n">
        <f aca="false">IF(AND(OR(CF1204="L1",CF1204="L23",CF1204="LIFT"),BC1204&gt;0),SUMIFS($BC$7:$BC$1843,$CF$7:$CF$1843,CF1204,$BG$7:$BG$1843,"&gt;"&amp;BG1204)+SUMIFS($BC$7:$BC$1843,$CF$7:$CF$1843,CF1204,$BG$7:$BG$1843,BG1204,$BW$7:$BW$1843,"&lt;="&amp;BW1204),"")</f>
        <v>29211.8071180232</v>
      </c>
      <c r="BI1204" s="58" t="n">
        <f aca="false">IF(BH1204="",0,MAX(0,MIN(1,(IF(CF1204="L1",Parameter!$H$5,IF(CF1204="L23",Parameter!$H$6+Parameter!$H$7,Parameter!$H$5+Parameter!$H$6+Parameter!$H$7))-(BH1204-BC1204))/BC1204)))</f>
        <v>1</v>
      </c>
      <c r="BJ1204" s="48" t="str">
        <f aca="false">IF(AI1204&lt;=0,"",IF(CF1204="Aussen","Aussenlager",IF(CF1204="-","Nicht im Lift",IF(AO1204&gt;=1,"Lift",IF(AO1204&lt;=0,"Aussenlager","teilweise")))))</f>
        <v>Lift</v>
      </c>
      <c r="BK1204" s="48" t="str">
        <f aca="false">IF(AS1204&lt;=0,"",IF(CF1204="Aussen","Aussenlager",IF(CF1204="-","Nicht im Lift",IF(AY1204&gt;=1,"Lift",IF(AY1204&lt;=0,"Aussenlager","teilweise")))))</f>
        <v>Lift</v>
      </c>
      <c r="BL1204" s="48" t="str">
        <f aca="false">IF(BC1204&lt;=0,"",IF(CF1204="Aussen","Aussenlager",IF(CF1204="-","Nicht im Lift",IF(BI1204&gt;=1,"Lift",IF(BI1204&lt;=0,"Aussenlager","teilweise")))))</f>
        <v>Lift</v>
      </c>
      <c r="BM1204" s="48" t="str">
        <f aca="false">IF(A1204="","",IF(BV1204=1,"Neu; ","")&amp;IF(AND(BV1204=0,BQ1204&lt;0),"negativer Bestand (Export "&amp;BQ1204&amp;"); ","")&amp;IF(J1204&lt;=0,"Kein Verbrauch; ","")&amp;IF(CQ1204&gt;0,"Lift "&amp;W1204&amp;" lt. Liftbericht (Fach "&amp;X1204&amp;" Stk); ",IF(CA1204=1,"Gebinde geschätzt ("&amp;T1204&amp;"); ",IF(BZ1204=1,"Lose – Tablare geschätzt; ","")))&amp;IF(H1204&gt;AV1204,"Überbestand "&amp;ROUND(H1204-AV1204,0)&amp;" Stk / CHF "&amp;ROUND((H1204-AV1204)*G1204,0)&amp;"; ","")&amp;IF(AND(CH1204=1,CI1204&lt;CJ1204),"MAX &lt; MB+LG; ","")&amp;IF(AND(CP1204&gt;0,CO1204*10&gt;CP1204),"zu hoch für Tablar; ","")&amp;IF(AND(BV1204=0,OR(CH1204=1,AA1204&lt;&gt;"",U1204&lt;&gt;"",V1204&lt;&gt;"",AB1204&lt;&gt;"")),"manuell übersteuert; ","")&amp;IF(AND(BZ1204=0,R1204=0),"Gebinde unbekannt / Stellmass fehlt; ","")&amp;IF(AND(BZ1204=0,N(V1204)&lt;=0,N(Q1204)&lt;=0),"Menge pro Gebinde fehlt (Ist = 1 Gebinde); ","")&amp;BU1204)</f>
        <v>negativer Bestand (Export -2); Kein Verbrauch; Gebinde geschätzt (Mittel); Überbestand 1 Stk / CHF 381; Menge pro Gebinde fehlt (Ist = 1 Gebinde); grosser Artikel &amp; nicht im KTL</v>
      </c>
      <c r="BN1204" s="48"/>
      <c r="BO1204" s="48"/>
      <c r="BP1204" s="55"/>
      <c r="BQ1204" s="50" t="n">
        <v>-2</v>
      </c>
      <c r="BR1204" s="50" t="n">
        <v>4</v>
      </c>
      <c r="BS1204" s="49" t="n">
        <v>-506.68</v>
      </c>
      <c r="BT1204" s="50" t="n">
        <v>0</v>
      </c>
      <c r="BU1204" s="48" t="s">
        <v>270</v>
      </c>
      <c r="BV1204" s="53" t="n">
        <v>0</v>
      </c>
      <c r="BW1204" s="53" t="n">
        <v>1204</v>
      </c>
      <c r="BX1204" s="48" t="str">
        <f aca="false">IF(U1204&lt;&gt;"",UPPER(TRIM(U1204)),IF(CA1204=1,UPPER(VLOOKUP(T1204,Parameter!$I$27:$K$29,2,0)),IF(P1204="","LOSE",P1204)))</f>
        <v>S61</v>
      </c>
      <c r="BY1204" s="50" t="n">
        <f aca="false">IF(BX1204="LOSE",1,IF(N(V1204)&gt;0,V1204,IF(CA1204=1,MAX(1,N(VLOOKUP(T1204,Parameter!$I$27:$K$29,3,0)),H1204,N(N1204)),IF(N(Q1204)&gt;0,Q1204,MAX(1,H1204)))))</f>
        <v>4</v>
      </c>
      <c r="BZ1204" s="53" t="n">
        <f aca="false">IF(BX1204="LOSE",1,0)</f>
        <v>0</v>
      </c>
      <c r="CA1204" s="53" t="n">
        <f aca="false">IF(AND(U1204="",OR(P1204="",P1204="LOSE"),T1204&lt;&gt;"",N(S1204)&lt;=0,ISNUMBER(MATCH(T1204,Parameter!$I$27:$I$29,0))),1,0)</f>
        <v>1</v>
      </c>
      <c r="CB1204" s="53" t="n">
        <f aca="false">IF(CQ1204&gt;0,INDEX(Parameter!$H$5:$H$7,W1204)/INDEX(Parameter!$E$5:$E$7,W1204),IF(AND(BZ1204=0,N(IFERROR(VLOOKUP(BX1204,'Gebinde-Kategorie'!$A$5:$N$45,14,0),0))&gt;0),VLOOKUP(BX1204,'Gebinde-Kategorie'!$A$5:$N$45,14,0)*10+Parameter!$M$23,Parameter!$M$24))</f>
        <v>145</v>
      </c>
      <c r="CC1204" s="48" t="str">
        <f aca="false">IF(AND(Parameter!$B$19="Ja",E1204&lt;&gt;"",ISNUMBER(MATCH(E1204,Parameter!$I$35:$I$52,0))),VLOOKUP(E1204,Parameter!$I$35:$J$52,2,0),IFERROR(VLOOKUP(D1204,Parameter!$A$35:$C$64,2,0),"Nein"))</f>
        <v>2+3</v>
      </c>
      <c r="CD1204" s="52" t="n">
        <f aca="false">IF(BZ1204=0,0,IF(N(S1204)&gt;0,S1204,IFERROR(VLOOKUP(D1204,Parameter!$A$35:$C$64,3,0)+0,0)))</f>
        <v>0</v>
      </c>
      <c r="CE1204" s="48" t="n">
        <f aca="false">IF(AA1204&lt;&gt;"",AA1204,Z1204)</f>
        <v>2</v>
      </c>
      <c r="CF1204" s="48" t="str">
        <f aca="false">IF(OR(CE1204=1,CE1204=2,CE1204=3),IF(Parameter!$E$27="Ja","LIFT",IF(CE1204=1,"L1","L23")),IF(CE1204="Aussen","Aussen","-"))</f>
        <v>LIFT</v>
      </c>
      <c r="CG1204" s="59" t="n">
        <f aca="false">IF(N(AB1204)&gt;0,AB1204,0)</f>
        <v>0</v>
      </c>
      <c r="CH1204" s="53" t="n">
        <f aca="false">IF(ISNUMBER(AE1204),1,0)</f>
        <v>0</v>
      </c>
      <c r="CI1204" s="50" t="n">
        <f aca="false">N(AE1204)</f>
        <v>0</v>
      </c>
      <c r="CJ1204" s="50" t="n">
        <f aca="false">N(M1204)+N(N1204)</f>
        <v>1</v>
      </c>
      <c r="CK1204" s="50" t="n">
        <f aca="false">N(M1204)</f>
        <v>0</v>
      </c>
      <c r="CL1204" s="50" t="n">
        <f aca="false">N(N1204)</f>
        <v>1</v>
      </c>
      <c r="CM1204" s="50" t="n">
        <f aca="false">ROUNDUP(H1204/BY1204,0)</f>
        <v>1</v>
      </c>
      <c r="CN1204" s="50" t="n">
        <f aca="false">ROUNDUP(CI1204/BY1204,0)</f>
        <v>0</v>
      </c>
      <c r="CO1204" s="53" t="n">
        <f aca="false">IF(BZ1204=1,0,IFERROR(VLOOKUP(BX1204,'Gebinde-Kategorie'!$A$5:$N$45,5,0)+0,0))</f>
        <v>11</v>
      </c>
      <c r="CP1204" s="53" t="n">
        <f aca="false">IFERROR(IF(OR(CE1204=1,CE1204=2,CE1204=3),N(INDEX(Parameter!$I$5:$I$7,CE1204)),0),0)</f>
        <v>0</v>
      </c>
      <c r="CQ1204" s="52" t="n">
        <f aca="false">IF(AND(Parameter!$B$21="Ja",ISNUMBER(W1204),N(X1204)&gt;0),IFERROR(N(INDEX(Parameter!$L$5:$L$7,W1204))*INDEX(Parameter!$E$5:$E$7,W1204)*X1204/SUMIFS($X$7:$X$1843,$W$7:$W$1843,W1204),0),0)</f>
        <v>0</v>
      </c>
    </row>
    <row r="1205" customFormat="false" ht="15" hidden="false" customHeight="false" outlineLevel="0" collapsed="false">
      <c r="A1205" s="48" t="s">
        <v>2173</v>
      </c>
      <c r="B1205" s="48" t="s">
        <v>2174</v>
      </c>
      <c r="C1205" s="48" t="s">
        <v>173</v>
      </c>
      <c r="D1205" s="48" t="s">
        <v>182</v>
      </c>
      <c r="E1205" s="48" t="s">
        <v>194</v>
      </c>
      <c r="F1205" s="48" t="s">
        <v>227</v>
      </c>
      <c r="G1205" s="49" t="n">
        <v>65.23</v>
      </c>
      <c r="H1205" s="50" t="n">
        <f aca="false">MAX(0,IF(AND(Parameter!$B$21="Ja",ISNUMBER(Y1205)),Y1205,IF(Parameter!$B$20="Jahresanfang 2025 + Export",BR1205+BQ1205,BQ1205)))</f>
        <v>56</v>
      </c>
      <c r="I1205" s="50" t="n">
        <f aca="false">H1205*G1205</f>
        <v>3652.88</v>
      </c>
      <c r="J1205" s="50" t="n">
        <f aca="false">BT1205*Parameter!$B$18</f>
        <v>194</v>
      </c>
      <c r="K1205" s="51" t="n">
        <v>103</v>
      </c>
      <c r="L1205" s="52" t="n">
        <v>1.88349514563107</v>
      </c>
      <c r="M1205" s="50" t="n">
        <v>11</v>
      </c>
      <c r="N1205" s="50" t="n">
        <v>100</v>
      </c>
      <c r="O1205" s="53" t="n">
        <v>21</v>
      </c>
      <c r="P1205" s="48" t="s">
        <v>183</v>
      </c>
      <c r="Q1205" s="50" t="n">
        <v>140</v>
      </c>
      <c r="R1205" s="53" t="n">
        <f aca="false">IF(BZ1205=1,0,IFERROR(VLOOKUP(BX1205,'Gebinde-Kategorie'!$A$5:$N$45,13,0)+0,0))</f>
        <v>6</v>
      </c>
      <c r="S1205" s="54"/>
      <c r="T1205" s="55"/>
      <c r="U1205" s="55"/>
      <c r="V1205" s="55"/>
      <c r="W1205" s="48"/>
      <c r="X1205" s="50"/>
      <c r="Y1205" s="50"/>
      <c r="Z1205" s="48" t="n">
        <f aca="false">IF(A1205="","",IF(AND(Parameter!$B$21="Ja",ISNUMBER(W1205)),W1205,IF(CC1205="2+3",IF(ISNUMBER(SEARCH("grosser Artikel",BU1205)),2,IFERROR(VLOOKUP(BX1205,Parameter!$F$35:$G$64,2,0),2)),IF(OR(CC1205="Nein",CC1205=""),"-",CC1205))))</f>
        <v>2</v>
      </c>
      <c r="AA1205" s="55"/>
      <c r="AB1205" s="56"/>
      <c r="AC1205" s="50" t="n">
        <f aca="false">AV1205</f>
        <v>119</v>
      </c>
      <c r="AD1205" s="50" t="n">
        <f aca="false">MAX(AV1205,H1205)</f>
        <v>119</v>
      </c>
      <c r="AE1205" s="57"/>
      <c r="AF1205" s="50" t="n">
        <f aca="false">IF(LEFT(Cockpit!$C$5,1)="A",H1205,IF(Parameter!$E$30="MAX-Bestand",IF(CH1205=1,CI1205,IF(LEFT(Cockpit!$C$5,1)="B",AL1205,MAX(AL1205,H1205))),ROUNDUP(AJ1205,0)))</f>
        <v>56</v>
      </c>
      <c r="AG1205" s="50" t="n">
        <f aca="false">IF(BZ1205=1,0,ROUNDUP(AF1205/BY1205,0))</f>
        <v>1</v>
      </c>
      <c r="AH1205" s="52" t="n">
        <f aca="false">IF(CQ1205&gt;0,CQ1205*MAX(1,AF1205/X1205),IF(BZ1205=1,IF(AF1205&lt;=0,0,CD1205*MAX(1,IF(H1205&gt;0,AF1205/H1205,1))),IF(R1205&gt;0,AG1205/R1205,0))/MAX(0.1,N(Parameter!$M$21)))</f>
        <v>0.166666666666667</v>
      </c>
      <c r="AI1205" s="50" t="n">
        <f aca="false">AH1205*CB1205</f>
        <v>39.1666666666667</v>
      </c>
      <c r="AJ1205" s="51" t="n">
        <f aca="false">IF(LEFT(Cockpit!$C$5,1)="A",H1205,IF(CH1205=1,(CK1205+CI1205)/2,IF(LEFT(Cockpit!$C$5,1)="B",(CK1205+AL1205)/2,MAX((CK1205+AL1205)/2,H1205))))</f>
        <v>56</v>
      </c>
      <c r="AK1205" s="50" t="n">
        <f aca="false">AJ1205*G1205</f>
        <v>3652.88</v>
      </c>
      <c r="AL1205" s="50" t="n">
        <f aca="false">ROUNDUP(CK1205+MAX(CL1205,2*(J1205/IF(CG1205&gt;0,CG1205,MAX(0.1,N(Cockpit!$C$6)))-CK1205)),0)</f>
        <v>119</v>
      </c>
      <c r="AM1205" s="51" t="n">
        <f aca="false">IF(AI1205&gt;0,J1205/AI1205,-1)</f>
        <v>4.9531914893617</v>
      </c>
      <c r="AN1205" s="51" t="n">
        <f aca="false">IF(AND(OR(CF1205="L1",CF1205="L23",CF1205="LIFT"),AI1205&gt;0),SUMIFS($AI$7:$AI$1843,$CF$7:$CF$1843,CF1205,$AM$7:$AM$1843,"&gt;"&amp;AM1205)+SUMIFS($AI$7:$AI$1843,$CF$7:$CF$1843,CF1205,$AM$7:$AM$1843,AM1205,$BW$7:$BW$1843,"&lt;="&amp;BW1205),"")</f>
        <v>3964.21657509158</v>
      </c>
      <c r="AO1205" s="58" t="n">
        <f aca="false">IF(AN1205="",0,MAX(0,MIN(1,(IF(CF1205="L1",Parameter!$H$5,IF(CF1205="L23",Parameter!$H$6+Parameter!$H$7,Parameter!$H$5+Parameter!$H$6+Parameter!$H$7))-(AN1205-AI1205))/AI1205)))</f>
        <v>1</v>
      </c>
      <c r="AP1205" s="50" t="n">
        <f aca="false">IF(LEFT(Cockpit!$I$5,1)="A",H1205,IF(Parameter!$E$30="MAX-Bestand",IF(CH1205=1,CI1205,IF(LEFT(Cockpit!$I$5,1)="B",AV1205,MAX(AV1205,H1205))),ROUNDUP(AT1205,0)))</f>
        <v>65</v>
      </c>
      <c r="AQ1205" s="50" t="n">
        <f aca="false">IF(BZ1205=1,0,ROUNDUP(AP1205/BY1205,0))</f>
        <v>1</v>
      </c>
      <c r="AR1205" s="52" t="n">
        <f aca="false">IF(CQ1205&gt;0,CQ1205*MAX(1,AP1205/X1205),IF(BZ1205=1,IF(AP1205&lt;=0,0,CD1205*MAX(1,IF(H1205&gt;0,AP1205/H1205,1))),IF(R1205&gt;0,AQ1205/R1205,0))/MAX(0.1,N(Parameter!$M$21)))</f>
        <v>0.166666666666667</v>
      </c>
      <c r="AS1205" s="50" t="n">
        <f aca="false">AR1205*CB1205</f>
        <v>39.1666666666667</v>
      </c>
      <c r="AT1205" s="51" t="n">
        <f aca="false">IF(LEFT(Cockpit!$I$5,1)="A",H1205,IF(CH1205=1,(CK1205+CI1205)/2,IF(LEFT(Cockpit!$I$5,1)="B",(CK1205+AV1205)/2,MAX((CK1205+AV1205)/2,H1205))))</f>
        <v>65</v>
      </c>
      <c r="AU1205" s="50" t="n">
        <f aca="false">AT1205*G1205</f>
        <v>4239.95</v>
      </c>
      <c r="AV1205" s="50" t="n">
        <f aca="false">ROUNDUP(CK1205+MAX(CL1205,2*(J1205/IF(CG1205&gt;0,CG1205,MAX(0.1,N(Cockpit!$I$6)))-CK1205)),0)</f>
        <v>119</v>
      </c>
      <c r="AW1205" s="51" t="n">
        <f aca="false">IF(AS1205&gt;0,J1205/AS1205,-1)</f>
        <v>4.9531914893617</v>
      </c>
      <c r="AX1205" s="51" t="n">
        <f aca="false">IF(AND(OR(CF1205="L1",CF1205="L23",CF1205="LIFT"),AS1205&gt;0),SUMIFS($AS$7:$AS$1843,$CF$7:$CF$1843,CF1205,$AW$7:$AW$1843,"&gt;"&amp;AW1205)+SUMIFS($AS$7:$AS$1843,$CF$7:$CF$1843,CF1205,$AW$7:$AW$1843,AW1205,$BW$7:$BW$1843,"&lt;="&amp;BW1205),"")</f>
        <v>4560.45741758242</v>
      </c>
      <c r="AY1205" s="58" t="n">
        <f aca="false">IF(AX1205="",0,MAX(0,MIN(1,(IF(CF1205="L1",Parameter!$H$5,IF(CF1205="L23",Parameter!$H$6+Parameter!$H$7,Parameter!$H$5+Parameter!$H$6+Parameter!$H$7))-(AX1205-AS1205))/AS1205)))</f>
        <v>1</v>
      </c>
      <c r="AZ1205" s="50" t="n">
        <f aca="false">IF(LEFT(Cockpit!$O$5,1)="A",H1205,IF(Parameter!$E$30="MAX-Bestand",IF(CH1205=1,CI1205,IF(LEFT(Cockpit!$O$5,1)="B",BF1205,MAX(BF1205,H1205))),ROUNDUP(BD1205,0)))</f>
        <v>61</v>
      </c>
      <c r="BA1205" s="50" t="n">
        <f aca="false">IF(BZ1205=1,0,ROUNDUP(AZ1205/BY1205,0))</f>
        <v>1</v>
      </c>
      <c r="BB1205" s="52" t="n">
        <f aca="false">IF(CQ1205&gt;0,CQ1205*MAX(1,AZ1205/X1205),IF(BZ1205=1,IF(AZ1205&lt;=0,0,CD1205*MAX(1,IF(H1205&gt;0,AZ1205/H1205,1))),IF(R1205&gt;0,BA1205/R1205,0))/MAX(0.1,N(Parameter!$M$21)))</f>
        <v>0.166666666666667</v>
      </c>
      <c r="BC1205" s="50" t="n">
        <f aca="false">BB1205*CB1205</f>
        <v>39.1666666666667</v>
      </c>
      <c r="BD1205" s="51" t="n">
        <f aca="false">IF(LEFT(Cockpit!$O$5,1)="A",H1205,IF(CH1205=1,(CK1205+CI1205)/2,IF(LEFT(Cockpit!$O$5,1)="B",(CK1205+BF1205)/2,MAX((CK1205+BF1205)/2,H1205))))</f>
        <v>61</v>
      </c>
      <c r="BE1205" s="50" t="n">
        <f aca="false">BD1205*G1205</f>
        <v>3979.03</v>
      </c>
      <c r="BF1205" s="50" t="n">
        <f aca="false">ROUNDUP(CK1205+MAX(CL1205,2*(J1205/IF(CG1205&gt;0,CG1205,MAX(0.1,N(Cockpit!$O$6)))-CK1205)),0)</f>
        <v>111</v>
      </c>
      <c r="BG1205" s="51" t="n">
        <f aca="false">IF(BC1205&gt;0,J1205/BC1205,-1)</f>
        <v>4.9531914893617</v>
      </c>
      <c r="BH1205" s="51" t="n">
        <f aca="false">IF(AND(OR(CF1205="L1",CF1205="L23",CF1205="LIFT"),BC1205&gt;0),SUMIFS($BC$7:$BC$1843,$CF$7:$CF$1843,CF1205,$BG$7:$BG$1843,"&gt;"&amp;BG1205)+SUMIFS($BC$7:$BC$1843,$CF$7:$CF$1843,CF1205,$BG$7:$BG$1843,BG1205,$BW$7:$BW$1843,"&lt;="&amp;BW1205),"")</f>
        <v>3780.25549450549</v>
      </c>
      <c r="BI1205" s="58" t="n">
        <f aca="false">IF(BH1205="",0,MAX(0,MIN(1,(IF(CF1205="L1",Parameter!$H$5,IF(CF1205="L23",Parameter!$H$6+Parameter!$H$7,Parameter!$H$5+Parameter!$H$6+Parameter!$H$7))-(BH1205-BC1205))/BC1205)))</f>
        <v>1</v>
      </c>
      <c r="BJ1205" s="48" t="str">
        <f aca="false">IF(AI1205&lt;=0,"",IF(CF1205="Aussen","Aussenlager",IF(CF1205="-","Nicht im Lift",IF(AO1205&gt;=1,"Lift",IF(AO1205&lt;=0,"Aussenlager","teilweise")))))</f>
        <v>Lift</v>
      </c>
      <c r="BK1205" s="48" t="str">
        <f aca="false">IF(AS1205&lt;=0,"",IF(CF1205="Aussen","Aussenlager",IF(CF1205="-","Nicht im Lift",IF(AY1205&gt;=1,"Lift",IF(AY1205&lt;=0,"Aussenlager","teilweise")))))</f>
        <v>Lift</v>
      </c>
      <c r="BL1205" s="48" t="str">
        <f aca="false">IF(BC1205&lt;=0,"",IF(CF1205="Aussen","Aussenlager",IF(CF1205="-","Nicht im Lift",IF(BI1205&gt;=1,"Lift",IF(BI1205&lt;=0,"Aussenlager","teilweise")))))</f>
        <v>Lift</v>
      </c>
      <c r="BM1205" s="48" t="str">
        <f aca="false">IF(A1205="","",IF(BV1205=1,"Neu; ","")&amp;IF(AND(BV1205=0,BQ1205&lt;0),"negativer Bestand (Export "&amp;BQ1205&amp;"); ","")&amp;IF(J1205&lt;=0,"Kein Verbrauch; ","")&amp;IF(CQ1205&gt;0,"Lift "&amp;W1205&amp;" lt. Liftbericht (Fach "&amp;X1205&amp;" Stk); ",IF(CA1205=1,"Gebinde geschätzt ("&amp;T1205&amp;"); ",IF(BZ1205=1,"Lose – Tablare geschätzt; ","")))&amp;IF(H1205&gt;AV1205,"Überbestand "&amp;ROUND(H1205-AV1205,0)&amp;" Stk / CHF "&amp;ROUND((H1205-AV1205)*G1205,0)&amp;"; ","")&amp;IF(AND(CH1205=1,CI1205&lt;CJ1205),"MAX &lt; MB+LG; ","")&amp;IF(AND(CP1205&gt;0,CO1205*10&gt;CP1205),"zu hoch für Tablar; ","")&amp;IF(AND(BV1205=0,OR(CH1205=1,AA1205&lt;&gt;"",U1205&lt;&gt;"",V1205&lt;&gt;"",AB1205&lt;&gt;"")),"manuell übersteuert; ","")&amp;IF(AND(BZ1205=0,R1205=0),"Gebinde unbekannt / Stellmass fehlt; ","")&amp;IF(AND(BZ1205=0,N(V1205)&lt;=0,N(Q1205)&lt;=0),"Menge pro Gebinde fehlt (Ist = 1 Gebinde); ","")&amp;BU1205)</f>
        <v>grosser Artikel &amp; nicht im KTL</v>
      </c>
      <c r="BN1205" s="48"/>
      <c r="BO1205" s="48"/>
      <c r="BP1205" s="55"/>
      <c r="BQ1205" s="50" t="n">
        <v>6</v>
      </c>
      <c r="BR1205" s="50" t="n">
        <v>50</v>
      </c>
      <c r="BS1205" s="49" t="n">
        <v>-513.119999999997</v>
      </c>
      <c r="BT1205" s="50" t="n">
        <v>194</v>
      </c>
      <c r="BU1205" s="48" t="s">
        <v>270</v>
      </c>
      <c r="BV1205" s="53" t="n">
        <v>0</v>
      </c>
      <c r="BW1205" s="53" t="n">
        <v>1205</v>
      </c>
      <c r="BX1205" s="48" t="str">
        <f aca="false">IF(U1205&lt;&gt;"",UPPER(TRIM(U1205)),IF(CA1205=1,UPPER(VLOOKUP(T1205,Parameter!$I$27:$K$29,2,0)),IF(P1205="","LOSE",P1205)))</f>
        <v>S71</v>
      </c>
      <c r="BY1205" s="50" t="n">
        <f aca="false">IF(BX1205="LOSE",1,IF(N(V1205)&gt;0,V1205,IF(CA1205=1,MAX(1,N(VLOOKUP(T1205,Parameter!$I$27:$K$29,3,0)),H1205,N(N1205)),IF(N(Q1205)&gt;0,Q1205,MAX(1,H1205)))))</f>
        <v>140</v>
      </c>
      <c r="BZ1205" s="53" t="n">
        <f aca="false">IF(BX1205="LOSE",1,0)</f>
        <v>0</v>
      </c>
      <c r="CA1205" s="53" t="n">
        <f aca="false">IF(AND(U1205="",OR(P1205="",P1205="LOSE"),T1205&lt;&gt;"",N(S1205)&lt;=0,ISNUMBER(MATCH(T1205,Parameter!$I$27:$I$29,0))),1,0)</f>
        <v>0</v>
      </c>
      <c r="CB1205" s="53" t="n">
        <f aca="false">IF(CQ1205&gt;0,INDEX(Parameter!$H$5:$H$7,W1205)/INDEX(Parameter!$E$5:$E$7,W1205),IF(AND(BZ1205=0,N(IFERROR(VLOOKUP(BX1205,'Gebinde-Kategorie'!$A$5:$N$45,14,0),0))&gt;0),VLOOKUP(BX1205,'Gebinde-Kategorie'!$A$5:$N$45,14,0)*10+Parameter!$M$23,Parameter!$M$24))</f>
        <v>235</v>
      </c>
      <c r="CC1205" s="48" t="str">
        <f aca="false">IF(AND(Parameter!$B$19="Ja",E1205&lt;&gt;"",ISNUMBER(MATCH(E1205,Parameter!$I$35:$I$52,0))),VLOOKUP(E1205,Parameter!$I$35:$J$52,2,0),IFERROR(VLOOKUP(D1205,Parameter!$A$35:$C$64,2,0),"Nein"))</f>
        <v>2+3</v>
      </c>
      <c r="CD1205" s="52" t="n">
        <f aca="false">IF(BZ1205=0,0,IF(N(S1205)&gt;0,S1205,IFERROR(VLOOKUP(D1205,Parameter!$A$35:$C$64,3,0)+0,0)))</f>
        <v>0</v>
      </c>
      <c r="CE1205" s="48" t="n">
        <f aca="false">IF(AA1205&lt;&gt;"",AA1205,Z1205)</f>
        <v>2</v>
      </c>
      <c r="CF1205" s="48" t="str">
        <f aca="false">IF(OR(CE1205=1,CE1205=2,CE1205=3),IF(Parameter!$E$27="Ja","LIFT",IF(CE1205=1,"L1","L23")),IF(CE1205="Aussen","Aussen","-"))</f>
        <v>LIFT</v>
      </c>
      <c r="CG1205" s="59" t="n">
        <f aca="false">IF(N(AB1205)&gt;0,AB1205,0)</f>
        <v>0</v>
      </c>
      <c r="CH1205" s="53" t="n">
        <f aca="false">IF(ISNUMBER(AE1205),1,0)</f>
        <v>0</v>
      </c>
      <c r="CI1205" s="50" t="n">
        <f aca="false">N(AE1205)</f>
        <v>0</v>
      </c>
      <c r="CJ1205" s="50" t="n">
        <f aca="false">N(M1205)+N(N1205)</f>
        <v>111</v>
      </c>
      <c r="CK1205" s="50" t="n">
        <f aca="false">N(M1205)</f>
        <v>11</v>
      </c>
      <c r="CL1205" s="50" t="n">
        <f aca="false">N(N1205)</f>
        <v>100</v>
      </c>
      <c r="CM1205" s="50" t="n">
        <f aca="false">ROUNDUP(H1205/BY1205,0)</f>
        <v>1</v>
      </c>
      <c r="CN1205" s="50" t="n">
        <f aca="false">ROUNDUP(CI1205/BY1205,0)</f>
        <v>0</v>
      </c>
      <c r="CO1205" s="53" t="n">
        <f aca="false">IF(BZ1205=1,0,IFERROR(VLOOKUP(BX1205,'Gebinde-Kategorie'!$A$5:$N$45,5,0)+0,0))</f>
        <v>20</v>
      </c>
      <c r="CP1205" s="53" t="n">
        <f aca="false">IFERROR(IF(OR(CE1205=1,CE1205=2,CE1205=3),N(INDEX(Parameter!$I$5:$I$7,CE1205)),0),0)</f>
        <v>0</v>
      </c>
      <c r="CQ1205" s="52" t="n">
        <f aca="false">IF(AND(Parameter!$B$21="Ja",ISNUMBER(W1205),N(X1205)&gt;0),IFERROR(N(INDEX(Parameter!$L$5:$L$7,W1205))*INDEX(Parameter!$E$5:$E$7,W1205)*X1205/SUMIFS($X$7:$X$1843,$W$7:$W$1843,W1205),0),0)</f>
        <v>0</v>
      </c>
    </row>
    <row r="1206" customFormat="false" ht="15" hidden="false" customHeight="false" outlineLevel="0" collapsed="false">
      <c r="A1206" s="48" t="s">
        <v>2175</v>
      </c>
      <c r="B1206" s="48" t="s">
        <v>2176</v>
      </c>
      <c r="C1206" s="48" t="s">
        <v>173</v>
      </c>
      <c r="D1206" s="48" t="s">
        <v>193</v>
      </c>
      <c r="E1206" s="48" t="s">
        <v>194</v>
      </c>
      <c r="F1206" s="48" t="s">
        <v>227</v>
      </c>
      <c r="G1206" s="49" t="n">
        <v>508.45</v>
      </c>
      <c r="H1206" s="50" t="n">
        <f aca="false">MAX(0,IF(AND(Parameter!$B$21="Ja",ISNUMBER(Y1206)),Y1206,IF(Parameter!$B$20="Jahresanfang 2025 + Export",BR1206+BQ1206,BQ1206)))</f>
        <v>4</v>
      </c>
      <c r="I1206" s="50" t="n">
        <f aca="false">H1206*G1206</f>
        <v>2033.8</v>
      </c>
      <c r="J1206" s="50" t="n">
        <f aca="false">BT1206*Parameter!$B$18</f>
        <v>5</v>
      </c>
      <c r="K1206" s="51" t="n">
        <v>4.5</v>
      </c>
      <c r="L1206" s="52" t="n">
        <v>1.11111111111111</v>
      </c>
      <c r="M1206" s="50" t="n">
        <v>0</v>
      </c>
      <c r="N1206" s="50" t="n">
        <v>5</v>
      </c>
      <c r="O1206" s="53" t="n">
        <v>21</v>
      </c>
      <c r="P1206" s="48" t="s">
        <v>235</v>
      </c>
      <c r="Q1206" s="50" t="n">
        <v>8</v>
      </c>
      <c r="R1206" s="53" t="n">
        <f aca="false">IF(BZ1206=1,0,IFERROR(VLOOKUP(BX1206,'Gebinde-Kategorie'!$A$5:$N$45,13,0)+0,0))</f>
        <v>12</v>
      </c>
      <c r="S1206" s="54"/>
      <c r="T1206" s="55"/>
      <c r="U1206" s="55"/>
      <c r="V1206" s="55"/>
      <c r="W1206" s="48"/>
      <c r="X1206" s="50"/>
      <c r="Y1206" s="50"/>
      <c r="Z1206" s="48" t="n">
        <f aca="false">IF(A1206="","",IF(AND(Parameter!$B$21="Ja",ISNUMBER(W1206)),W1206,IF(CC1206="2+3",IF(ISNUMBER(SEARCH("grosser Artikel",BU1206)),2,IFERROR(VLOOKUP(BX1206,Parameter!$F$35:$G$64,2,0),2)),IF(OR(CC1206="Nein",CC1206=""),"-",CC1206))))</f>
        <v>2</v>
      </c>
      <c r="AA1206" s="55"/>
      <c r="AB1206" s="56"/>
      <c r="AC1206" s="50" t="n">
        <f aca="false">AV1206</f>
        <v>5</v>
      </c>
      <c r="AD1206" s="50" t="n">
        <f aca="false">MAX(AV1206,H1206)</f>
        <v>5</v>
      </c>
      <c r="AE1206" s="57"/>
      <c r="AF1206" s="50" t="n">
        <f aca="false">IF(LEFT(Cockpit!$C$5,1)="A",H1206,IF(Parameter!$E$30="MAX-Bestand",IF(CH1206=1,CI1206,IF(LEFT(Cockpit!$C$5,1)="B",AL1206,MAX(AL1206,H1206))),ROUNDUP(AJ1206,0)))</f>
        <v>4</v>
      </c>
      <c r="AG1206" s="50" t="n">
        <f aca="false">IF(BZ1206=1,0,ROUNDUP(AF1206/BY1206,0))</f>
        <v>1</v>
      </c>
      <c r="AH1206" s="52" t="n">
        <f aca="false">IF(CQ1206&gt;0,CQ1206*MAX(1,AF1206/X1206),IF(BZ1206=1,IF(AF1206&lt;=0,0,CD1206*MAX(1,IF(H1206&gt;0,AF1206/H1206,1))),IF(R1206&gt;0,AG1206/R1206,0))/MAX(0.1,N(Parameter!$M$21)))</f>
        <v>0.0833333333333333</v>
      </c>
      <c r="AI1206" s="50" t="n">
        <f aca="false">AH1206*CB1206</f>
        <v>28.75</v>
      </c>
      <c r="AJ1206" s="51" t="n">
        <f aca="false">IF(LEFT(Cockpit!$C$5,1)="A",H1206,IF(CH1206=1,(CK1206+CI1206)/2,IF(LEFT(Cockpit!$C$5,1)="B",(CK1206+AL1206)/2,MAX((CK1206+AL1206)/2,H1206))))</f>
        <v>4</v>
      </c>
      <c r="AK1206" s="50" t="n">
        <f aca="false">AJ1206*G1206</f>
        <v>2033.8</v>
      </c>
      <c r="AL1206" s="50" t="n">
        <f aca="false">ROUNDUP(CK1206+MAX(CL1206,2*(J1206/IF(CG1206&gt;0,CG1206,MAX(0.1,N(Cockpit!$C$6)))-CK1206)),0)</f>
        <v>5</v>
      </c>
      <c r="AM1206" s="51" t="n">
        <f aca="false">IF(AI1206&gt;0,J1206/AI1206,-1)</f>
        <v>0.173913043478261</v>
      </c>
      <c r="AN1206" s="51" t="n">
        <f aca="false">IF(AND(OR(CF1206="L1",CF1206="L23",CF1206="LIFT"),AI1206&gt;0),SUMIFS($AI$7:$AI$1843,$CF$7:$CF$1843,CF1206,$AM$7:$AM$1843,"&gt;"&amp;AM1206)+SUMIFS($AI$7:$AI$1843,$CF$7:$CF$1843,CF1206,$AM$7:$AM$1843,AM1206,$BW$7:$BW$1843,"&lt;="&amp;BW1206),"")</f>
        <v>12650.983720846</v>
      </c>
      <c r="AO1206" s="58" t="n">
        <f aca="false">IF(AN1206="",0,MAX(0,MIN(1,(IF(CF1206="L1",Parameter!$H$5,IF(CF1206="L23",Parameter!$H$6+Parameter!$H$7,Parameter!$H$5+Parameter!$H$6+Parameter!$H$7))-(AN1206-AI1206))/AI1206)))</f>
        <v>1</v>
      </c>
      <c r="AP1206" s="50" t="n">
        <f aca="false">IF(LEFT(Cockpit!$I$5,1)="A",H1206,IF(Parameter!$E$30="MAX-Bestand",IF(CH1206=1,CI1206,IF(LEFT(Cockpit!$I$5,1)="B",AV1206,MAX(AV1206,H1206))),ROUNDUP(AT1206,0)))</f>
        <v>4</v>
      </c>
      <c r="AQ1206" s="50" t="n">
        <f aca="false">IF(BZ1206=1,0,ROUNDUP(AP1206/BY1206,0))</f>
        <v>1</v>
      </c>
      <c r="AR1206" s="52" t="n">
        <f aca="false">IF(CQ1206&gt;0,CQ1206*MAX(1,AP1206/X1206),IF(BZ1206=1,IF(AP1206&lt;=0,0,CD1206*MAX(1,IF(H1206&gt;0,AP1206/H1206,1))),IF(R1206&gt;0,AQ1206/R1206,0))/MAX(0.1,N(Parameter!$M$21)))</f>
        <v>0.0833333333333333</v>
      </c>
      <c r="AS1206" s="50" t="n">
        <f aca="false">AR1206*CB1206</f>
        <v>28.75</v>
      </c>
      <c r="AT1206" s="51" t="n">
        <f aca="false">IF(LEFT(Cockpit!$I$5,1)="A",H1206,IF(CH1206=1,(CK1206+CI1206)/2,IF(LEFT(Cockpit!$I$5,1)="B",(CK1206+AV1206)/2,MAX((CK1206+AV1206)/2,H1206))))</f>
        <v>4</v>
      </c>
      <c r="AU1206" s="50" t="n">
        <f aca="false">AT1206*G1206</f>
        <v>2033.8</v>
      </c>
      <c r="AV1206" s="50" t="n">
        <f aca="false">ROUNDUP(CK1206+MAX(CL1206,2*(J1206/IF(CG1206&gt;0,CG1206,MAX(0.1,N(Cockpit!$I$6)))-CK1206)),0)</f>
        <v>5</v>
      </c>
      <c r="AW1206" s="51" t="n">
        <f aca="false">IF(AS1206&gt;0,J1206/AS1206,-1)</f>
        <v>0.173913043478261</v>
      </c>
      <c r="AX1206" s="51" t="n">
        <f aca="false">IF(AND(OR(CF1206="L1",CF1206="L23",CF1206="LIFT"),AS1206&gt;0),SUMIFS($AS$7:$AS$1843,$CF$7:$CF$1843,CF1206,$AW$7:$AW$1843,"&gt;"&amp;AW1206)+SUMIFS($AS$7:$AS$1843,$CF$7:$CF$1843,CF1206,$AW$7:$AW$1843,AW1206,$BW$7:$BW$1843,"&lt;="&amp;BW1206),"")</f>
        <v>15480.2413003663</v>
      </c>
      <c r="AY1206" s="58" t="n">
        <f aca="false">IF(AX1206="",0,MAX(0,MIN(1,(IF(CF1206="L1",Parameter!$H$5,IF(CF1206="L23",Parameter!$H$6+Parameter!$H$7,Parameter!$H$5+Parameter!$H$6+Parameter!$H$7))-(AX1206-AS1206))/AS1206)))</f>
        <v>1</v>
      </c>
      <c r="AZ1206" s="50" t="n">
        <f aca="false">IF(LEFT(Cockpit!$O$5,1)="A",H1206,IF(Parameter!$E$30="MAX-Bestand",IF(CH1206=1,CI1206,IF(LEFT(Cockpit!$O$5,1)="B",BF1206,MAX(BF1206,H1206))),ROUNDUP(BD1206,0)))</f>
        <v>3</v>
      </c>
      <c r="BA1206" s="50" t="n">
        <f aca="false">IF(BZ1206=1,0,ROUNDUP(AZ1206/BY1206,0))</f>
        <v>1</v>
      </c>
      <c r="BB1206" s="52" t="n">
        <f aca="false">IF(CQ1206&gt;0,CQ1206*MAX(1,AZ1206/X1206),IF(BZ1206=1,IF(AZ1206&lt;=0,0,CD1206*MAX(1,IF(H1206&gt;0,AZ1206/H1206,1))),IF(R1206&gt;0,BA1206/R1206,0))/MAX(0.1,N(Parameter!$M$21)))</f>
        <v>0.0833333333333333</v>
      </c>
      <c r="BC1206" s="50" t="n">
        <f aca="false">BB1206*CB1206</f>
        <v>28.75</v>
      </c>
      <c r="BD1206" s="51" t="n">
        <f aca="false">IF(LEFT(Cockpit!$O$5,1)="A",H1206,IF(CH1206=1,(CK1206+CI1206)/2,IF(LEFT(Cockpit!$O$5,1)="B",(CK1206+BF1206)/2,MAX((CK1206+BF1206)/2,H1206))))</f>
        <v>2.5</v>
      </c>
      <c r="BE1206" s="50" t="n">
        <f aca="false">BD1206*G1206</f>
        <v>1271.125</v>
      </c>
      <c r="BF1206" s="50" t="n">
        <f aca="false">ROUNDUP(CK1206+MAX(CL1206,2*(J1206/IF(CG1206&gt;0,CG1206,MAX(0.1,N(Cockpit!$O$6)))-CK1206)),0)</f>
        <v>5</v>
      </c>
      <c r="BG1206" s="51" t="n">
        <f aca="false">IF(BC1206&gt;0,J1206/BC1206,-1)</f>
        <v>0.173913043478261</v>
      </c>
      <c r="BH1206" s="51" t="n">
        <f aca="false">IF(AND(OR(CF1206="L1",CF1206="L23",CF1206="LIFT"),BC1206&gt;0),SUMIFS($BC$7:$BC$1843,$CF$7:$CF$1843,CF1206,$BG$7:$BG$1843,"&gt;"&amp;BG1206)+SUMIFS($BC$7:$BC$1843,$CF$7:$CF$1843,CF1206,$BG$7:$BG$1843,BG1206,$BW$7:$BW$1843,"&lt;="&amp;BW1206),"")</f>
        <v>13276.5795901368</v>
      </c>
      <c r="BI1206" s="58" t="n">
        <f aca="false">IF(BH1206="",0,MAX(0,MIN(1,(IF(CF1206="L1",Parameter!$H$5,IF(CF1206="L23",Parameter!$H$6+Parameter!$H$7,Parameter!$H$5+Parameter!$H$6+Parameter!$H$7))-(BH1206-BC1206))/BC1206)))</f>
        <v>1</v>
      </c>
      <c r="BJ1206" s="48" t="str">
        <f aca="false">IF(AI1206&lt;=0,"",IF(CF1206="Aussen","Aussenlager",IF(CF1206="-","Nicht im Lift",IF(AO1206&gt;=1,"Lift",IF(AO1206&lt;=0,"Aussenlager","teilweise")))))</f>
        <v>Lift</v>
      </c>
      <c r="BK1206" s="48" t="str">
        <f aca="false">IF(AS1206&lt;=0,"",IF(CF1206="Aussen","Aussenlager",IF(CF1206="-","Nicht im Lift",IF(AY1206&gt;=1,"Lift",IF(AY1206&lt;=0,"Aussenlager","teilweise")))))</f>
        <v>Lift</v>
      </c>
      <c r="BL1206" s="48" t="str">
        <f aca="false">IF(BC1206&lt;=0,"",IF(CF1206="Aussen","Aussenlager",IF(CF1206="-","Nicht im Lift",IF(BI1206&gt;=1,"Lift",IF(BI1206&lt;=0,"Aussenlager","teilweise")))))</f>
        <v>Lift</v>
      </c>
      <c r="BM1206" s="48" t="str">
        <f aca="false">IF(A1206="","",IF(BV1206=1,"Neu; ","")&amp;IF(AND(BV1206=0,BQ1206&lt;0),"negativer Bestand (Export "&amp;BQ1206&amp;"); ","")&amp;IF(J1206&lt;=0,"Kein Verbrauch; ","")&amp;IF(CQ1206&gt;0,"Lift "&amp;W1206&amp;" lt. Liftbericht (Fach "&amp;X1206&amp;" Stk); ",IF(CA1206=1,"Gebinde geschätzt ("&amp;T1206&amp;"); ",IF(BZ1206=1,"Lose – Tablare geschätzt; ","")))&amp;IF(H1206&gt;AV1206,"Überbestand "&amp;ROUND(H1206-AV1206,0)&amp;" Stk / CHF "&amp;ROUND((H1206-AV1206)*G1206,0)&amp;"; ","")&amp;IF(AND(CH1206=1,CI1206&lt;CJ1206),"MAX &lt; MB+LG; ","")&amp;IF(AND(CP1206&gt;0,CO1206*10&gt;CP1206),"zu hoch für Tablar; ","")&amp;IF(AND(BV1206=0,OR(CH1206=1,AA1206&lt;&gt;"",U1206&lt;&gt;"",V1206&lt;&gt;"",AB1206&lt;&gt;"")),"manuell übersteuert; ","")&amp;IF(AND(BZ1206=0,R1206=0),"Gebinde unbekannt / Stellmass fehlt; ","")&amp;IF(AND(BZ1206=0,N(V1206)&lt;=0,N(Q1206)&lt;=0),"Menge pro Gebinde fehlt (Ist = 1 Gebinde); ","")&amp;BU1206)</f>
        <v>negativer Bestand (Export -2); </v>
      </c>
      <c r="BN1206" s="48"/>
      <c r="BO1206" s="48"/>
      <c r="BP1206" s="55"/>
      <c r="BQ1206" s="50" t="n">
        <v>-2</v>
      </c>
      <c r="BR1206" s="50" t="n">
        <v>6</v>
      </c>
      <c r="BS1206" s="49" t="n">
        <v>-514.58</v>
      </c>
      <c r="BT1206" s="50" t="n">
        <v>5</v>
      </c>
      <c r="BU1206" s="48"/>
      <c r="BV1206" s="53" t="n">
        <v>0</v>
      </c>
      <c r="BW1206" s="53" t="n">
        <v>1206</v>
      </c>
      <c r="BX1206" s="48" t="str">
        <f aca="false">IF(U1206&lt;&gt;"",UPPER(TRIM(U1206)),IF(CA1206=1,UPPER(VLOOKUP(T1206,Parameter!$I$27:$K$29,2,0)),IF(P1206="","LOSE",P1206)))</f>
        <v>S63</v>
      </c>
      <c r="BY1206" s="50" t="n">
        <f aca="false">IF(BX1206="LOSE",1,IF(N(V1206)&gt;0,V1206,IF(CA1206=1,MAX(1,N(VLOOKUP(T1206,Parameter!$I$27:$K$29,3,0)),H1206,N(N1206)),IF(N(Q1206)&gt;0,Q1206,MAX(1,H1206)))))</f>
        <v>8</v>
      </c>
      <c r="BZ1206" s="53" t="n">
        <f aca="false">IF(BX1206="LOSE",1,0)</f>
        <v>0</v>
      </c>
      <c r="CA1206" s="53" t="n">
        <f aca="false">IF(AND(U1206="",OR(P1206="",P1206="LOSE"),T1206&lt;&gt;"",N(S1206)&lt;=0,ISNUMBER(MATCH(T1206,Parameter!$I$27:$I$29,0))),1,0)</f>
        <v>0</v>
      </c>
      <c r="CB1206" s="53" t="n">
        <f aca="false">IF(CQ1206&gt;0,INDEX(Parameter!$H$5:$H$7,W1206)/INDEX(Parameter!$E$5:$E$7,W1206),IF(AND(BZ1206=0,N(IFERROR(VLOOKUP(BX1206,'Gebinde-Kategorie'!$A$5:$N$45,14,0),0))&gt;0),VLOOKUP(BX1206,'Gebinde-Kategorie'!$A$5:$N$45,14,0)*10+Parameter!$M$23,Parameter!$M$24))</f>
        <v>345</v>
      </c>
      <c r="CC1206" s="48" t="str">
        <f aca="false">IF(AND(Parameter!$B$19="Ja",E1206&lt;&gt;"",ISNUMBER(MATCH(E1206,Parameter!$I$35:$I$52,0))),VLOOKUP(E1206,Parameter!$I$35:$J$52,2,0),IFERROR(VLOOKUP(D1206,Parameter!$A$35:$C$64,2,0),"Nein"))</f>
        <v>2+3</v>
      </c>
      <c r="CD1206" s="52" t="n">
        <f aca="false">IF(BZ1206=0,0,IF(N(S1206)&gt;0,S1206,IFERROR(VLOOKUP(D1206,Parameter!$A$35:$C$64,3,0)+0,0)))</f>
        <v>0</v>
      </c>
      <c r="CE1206" s="48" t="n">
        <f aca="false">IF(AA1206&lt;&gt;"",AA1206,Z1206)</f>
        <v>2</v>
      </c>
      <c r="CF1206" s="48" t="str">
        <f aca="false">IF(OR(CE1206=1,CE1206=2,CE1206=3),IF(Parameter!$E$27="Ja","LIFT",IF(CE1206=1,"L1","L23")),IF(CE1206="Aussen","Aussen","-"))</f>
        <v>LIFT</v>
      </c>
      <c r="CG1206" s="59" t="n">
        <f aca="false">IF(N(AB1206)&gt;0,AB1206,0)</f>
        <v>0</v>
      </c>
      <c r="CH1206" s="53" t="n">
        <f aca="false">IF(ISNUMBER(AE1206),1,0)</f>
        <v>0</v>
      </c>
      <c r="CI1206" s="50" t="n">
        <f aca="false">N(AE1206)</f>
        <v>0</v>
      </c>
      <c r="CJ1206" s="50" t="n">
        <f aca="false">N(M1206)+N(N1206)</f>
        <v>5</v>
      </c>
      <c r="CK1206" s="50" t="n">
        <f aca="false">N(M1206)</f>
        <v>0</v>
      </c>
      <c r="CL1206" s="50" t="n">
        <f aca="false">N(N1206)</f>
        <v>5</v>
      </c>
      <c r="CM1206" s="50" t="n">
        <f aca="false">ROUNDUP(H1206/BY1206,0)</f>
        <v>1</v>
      </c>
      <c r="CN1206" s="50" t="n">
        <f aca="false">ROUNDUP(CI1206/BY1206,0)</f>
        <v>0</v>
      </c>
      <c r="CO1206" s="53" t="n">
        <f aca="false">IF(BZ1206=1,0,IFERROR(VLOOKUP(BX1206,'Gebinde-Kategorie'!$A$5:$N$45,5,0)+0,0))</f>
        <v>31</v>
      </c>
      <c r="CP1206" s="53" t="n">
        <f aca="false">IFERROR(IF(OR(CE1206=1,CE1206=2,CE1206=3),N(INDEX(Parameter!$I$5:$I$7,CE1206)),0),0)</f>
        <v>0</v>
      </c>
      <c r="CQ1206" s="52" t="n">
        <f aca="false">IF(AND(Parameter!$B$21="Ja",ISNUMBER(W1206),N(X1206)&gt;0),IFERROR(N(INDEX(Parameter!$L$5:$L$7,W1206))*INDEX(Parameter!$E$5:$E$7,W1206)*X1206/SUMIFS($X$7:$X$1843,$W$7:$W$1843,W1206),0),0)</f>
        <v>0</v>
      </c>
    </row>
    <row r="1207" customFormat="false" ht="15" hidden="false" customHeight="false" outlineLevel="0" collapsed="false">
      <c r="A1207" s="48" t="s">
        <v>2177</v>
      </c>
      <c r="B1207" s="48" t="s">
        <v>2178</v>
      </c>
      <c r="C1207" s="48" t="s">
        <v>173</v>
      </c>
      <c r="D1207" s="48" t="s">
        <v>193</v>
      </c>
      <c r="E1207" s="48"/>
      <c r="F1207" s="48" t="s">
        <v>227</v>
      </c>
      <c r="G1207" s="49" t="n">
        <v>103.28</v>
      </c>
      <c r="H1207" s="50" t="n">
        <f aca="false">MAX(0,IF(AND(Parameter!$B$21="Ja",ISNUMBER(Y1207)),Y1207,IF(Parameter!$B$20="Jahresanfang 2025 + Export",BR1207+BQ1207,BQ1207)))</f>
        <v>18</v>
      </c>
      <c r="I1207" s="50" t="n">
        <f aca="false">H1207*G1207</f>
        <v>1859.04</v>
      </c>
      <c r="J1207" s="50" t="n">
        <f aca="false">BT1207*Parameter!$B$18</f>
        <v>2</v>
      </c>
      <c r="K1207" s="51" t="n">
        <v>22</v>
      </c>
      <c r="L1207" s="52" t="n">
        <v>0.0909090909090909</v>
      </c>
      <c r="M1207" s="50" t="n">
        <v>0</v>
      </c>
      <c r="N1207" s="50" t="n">
        <v>1</v>
      </c>
      <c r="O1207" s="53" t="n">
        <v>21</v>
      </c>
      <c r="P1207" s="48" t="s">
        <v>337</v>
      </c>
      <c r="Q1207" s="50" t="n">
        <v>30</v>
      </c>
      <c r="R1207" s="53" t="n">
        <f aca="false">IF(BZ1207=1,0,IFERROR(VLOOKUP(BX1207,'Gebinde-Kategorie'!$A$5:$N$45,13,0)+0,0))</f>
        <v>52</v>
      </c>
      <c r="S1207" s="54"/>
      <c r="T1207" s="55"/>
      <c r="U1207" s="55"/>
      <c r="V1207" s="55"/>
      <c r="W1207" s="48"/>
      <c r="X1207" s="50"/>
      <c r="Y1207" s="50"/>
      <c r="Z1207" s="48" t="n">
        <f aca="false">IF(A1207="","",IF(AND(Parameter!$B$21="Ja",ISNUMBER(W1207)),W1207,IF(CC1207="2+3",IF(ISNUMBER(SEARCH("grosser Artikel",BU1207)),2,IFERROR(VLOOKUP(BX1207,Parameter!$F$35:$G$64,2,0),2)),IF(OR(CC1207="Nein",CC1207=""),"-",CC1207))))</f>
        <v>3</v>
      </c>
      <c r="AA1207" s="55"/>
      <c r="AB1207" s="56"/>
      <c r="AC1207" s="50" t="n">
        <f aca="false">AV1207</f>
        <v>2</v>
      </c>
      <c r="AD1207" s="50" t="n">
        <f aca="false">MAX(AV1207,H1207)</f>
        <v>18</v>
      </c>
      <c r="AE1207" s="57"/>
      <c r="AF1207" s="50" t="n">
        <f aca="false">IF(LEFT(Cockpit!$C$5,1)="A",H1207,IF(Parameter!$E$30="MAX-Bestand",IF(CH1207=1,CI1207,IF(LEFT(Cockpit!$C$5,1)="B",AL1207,MAX(AL1207,H1207))),ROUNDUP(AJ1207,0)))</f>
        <v>18</v>
      </c>
      <c r="AG1207" s="50" t="n">
        <f aca="false">IF(BZ1207=1,0,ROUNDUP(AF1207/BY1207,0))</f>
        <v>1</v>
      </c>
      <c r="AH1207" s="52" t="n">
        <f aca="false">IF(CQ1207&gt;0,CQ1207*MAX(1,AF1207/X1207),IF(BZ1207=1,IF(AF1207&lt;=0,0,CD1207*MAX(1,IF(H1207&gt;0,AF1207/H1207,1))),IF(R1207&gt;0,AG1207/R1207,0))/MAX(0.1,N(Parameter!$M$21)))</f>
        <v>0.0192307692307692</v>
      </c>
      <c r="AI1207" s="50" t="n">
        <f aca="false">AH1207*CB1207</f>
        <v>2.98076923076923</v>
      </c>
      <c r="AJ1207" s="51" t="n">
        <f aca="false">IF(LEFT(Cockpit!$C$5,1)="A",H1207,IF(CH1207=1,(CK1207+CI1207)/2,IF(LEFT(Cockpit!$C$5,1)="B",(CK1207+AL1207)/2,MAX((CK1207+AL1207)/2,H1207))))</f>
        <v>18</v>
      </c>
      <c r="AK1207" s="50" t="n">
        <f aca="false">AJ1207*G1207</f>
        <v>1859.04</v>
      </c>
      <c r="AL1207" s="50" t="n">
        <f aca="false">ROUNDUP(CK1207+MAX(CL1207,2*(J1207/IF(CG1207&gt;0,CG1207,MAX(0.1,N(Cockpit!$C$6)))-CK1207)),0)</f>
        <v>2</v>
      </c>
      <c r="AM1207" s="51" t="n">
        <f aca="false">IF(AI1207&gt;0,J1207/AI1207,-1)</f>
        <v>0.670967741935484</v>
      </c>
      <c r="AN1207" s="51" t="n">
        <f aca="false">IF(AND(OR(CF1207="L1",CF1207="L23",CF1207="LIFT"),AI1207&gt;0),SUMIFS($AI$7:$AI$1843,$CF$7:$CF$1843,CF1207,$AM$7:$AM$1843,"&gt;"&amp;AM1207)+SUMIFS($AI$7:$AI$1843,$CF$7:$CF$1843,CF1207,$AM$7:$AM$1843,AM1207,$BW$7:$BW$1843,"&lt;="&amp;BW1207),"")</f>
        <v>8641.44871794872</v>
      </c>
      <c r="AO1207" s="58" t="n">
        <f aca="false">IF(AN1207="",0,MAX(0,MIN(1,(IF(CF1207="L1",Parameter!$H$5,IF(CF1207="L23",Parameter!$H$6+Parameter!$H$7,Parameter!$H$5+Parameter!$H$6+Parameter!$H$7))-(AN1207-AI1207))/AI1207)))</f>
        <v>1</v>
      </c>
      <c r="AP1207" s="50" t="n">
        <f aca="false">IF(LEFT(Cockpit!$I$5,1)="A",H1207,IF(Parameter!$E$30="MAX-Bestand",IF(CH1207=1,CI1207,IF(LEFT(Cockpit!$I$5,1)="B",AV1207,MAX(AV1207,H1207))),ROUNDUP(AT1207,0)))</f>
        <v>18</v>
      </c>
      <c r="AQ1207" s="50" t="n">
        <f aca="false">IF(BZ1207=1,0,ROUNDUP(AP1207/BY1207,0))</f>
        <v>1</v>
      </c>
      <c r="AR1207" s="52" t="n">
        <f aca="false">IF(CQ1207&gt;0,CQ1207*MAX(1,AP1207/X1207),IF(BZ1207=1,IF(AP1207&lt;=0,0,CD1207*MAX(1,IF(H1207&gt;0,AP1207/H1207,1))),IF(R1207&gt;0,AQ1207/R1207,0))/MAX(0.1,N(Parameter!$M$21)))</f>
        <v>0.0192307692307692</v>
      </c>
      <c r="AS1207" s="50" t="n">
        <f aca="false">AR1207*CB1207</f>
        <v>2.98076923076923</v>
      </c>
      <c r="AT1207" s="51" t="n">
        <f aca="false">IF(LEFT(Cockpit!$I$5,1)="A",H1207,IF(CH1207=1,(CK1207+CI1207)/2,IF(LEFT(Cockpit!$I$5,1)="B",(CK1207+AV1207)/2,MAX((CK1207+AV1207)/2,H1207))))</f>
        <v>18</v>
      </c>
      <c r="AU1207" s="50" t="n">
        <f aca="false">AT1207*G1207</f>
        <v>1859.04</v>
      </c>
      <c r="AV1207" s="50" t="n">
        <f aca="false">ROUNDUP(CK1207+MAX(CL1207,2*(J1207/IF(CG1207&gt;0,CG1207,MAX(0.1,N(Cockpit!$I$6)))-CK1207)),0)</f>
        <v>2</v>
      </c>
      <c r="AW1207" s="51" t="n">
        <f aca="false">IF(AS1207&gt;0,J1207/AS1207,-1)</f>
        <v>0.670967741935484</v>
      </c>
      <c r="AX1207" s="51" t="n">
        <f aca="false">IF(AND(OR(CF1207="L1",CF1207="L23",CF1207="LIFT"),AS1207&gt;0),SUMIFS($AS$7:$AS$1843,$CF$7:$CF$1843,CF1207,$AW$7:$AW$1843,"&gt;"&amp;AW1207)+SUMIFS($AS$7:$AS$1843,$CF$7:$CF$1843,CF1207,$AW$7:$AW$1843,AW1207,$BW$7:$BW$1843,"&lt;="&amp;BW1207),"")</f>
        <v>10935.6163003663</v>
      </c>
      <c r="AY1207" s="58" t="n">
        <f aca="false">IF(AX1207="",0,MAX(0,MIN(1,(IF(CF1207="L1",Parameter!$H$5,IF(CF1207="L23",Parameter!$H$6+Parameter!$H$7,Parameter!$H$5+Parameter!$H$6+Parameter!$H$7))-(AX1207-AS1207))/AS1207)))</f>
        <v>1</v>
      </c>
      <c r="AZ1207" s="50" t="n">
        <f aca="false">IF(LEFT(Cockpit!$O$5,1)="A",H1207,IF(Parameter!$E$30="MAX-Bestand",IF(CH1207=1,CI1207,IF(LEFT(Cockpit!$O$5,1)="B",BF1207,MAX(BF1207,H1207))),ROUNDUP(BD1207,0)))</f>
        <v>1</v>
      </c>
      <c r="BA1207" s="50" t="n">
        <f aca="false">IF(BZ1207=1,0,ROUNDUP(AZ1207/BY1207,0))</f>
        <v>1</v>
      </c>
      <c r="BB1207" s="52" t="n">
        <f aca="false">IF(CQ1207&gt;0,CQ1207*MAX(1,AZ1207/X1207),IF(BZ1207=1,IF(AZ1207&lt;=0,0,CD1207*MAX(1,IF(H1207&gt;0,AZ1207/H1207,1))),IF(R1207&gt;0,BA1207/R1207,0))/MAX(0.1,N(Parameter!$M$21)))</f>
        <v>0.0192307692307692</v>
      </c>
      <c r="BC1207" s="50" t="n">
        <f aca="false">BB1207*CB1207</f>
        <v>2.98076923076923</v>
      </c>
      <c r="BD1207" s="51" t="n">
        <f aca="false">IF(LEFT(Cockpit!$O$5,1)="A",H1207,IF(CH1207=1,(CK1207+CI1207)/2,IF(LEFT(Cockpit!$O$5,1)="B",(CK1207+BF1207)/2,MAX((CK1207+BF1207)/2,H1207))))</f>
        <v>0.5</v>
      </c>
      <c r="BE1207" s="50" t="n">
        <f aca="false">BD1207*G1207</f>
        <v>51.64</v>
      </c>
      <c r="BF1207" s="50" t="n">
        <f aca="false">ROUNDUP(CK1207+MAX(CL1207,2*(J1207/IF(CG1207&gt;0,CG1207,MAX(0.1,N(Cockpit!$O$6)))-CK1207)),0)</f>
        <v>1</v>
      </c>
      <c r="BG1207" s="51" t="n">
        <f aca="false">IF(BC1207&gt;0,J1207/BC1207,-1)</f>
        <v>0.670967741935484</v>
      </c>
      <c r="BH1207" s="51" t="n">
        <f aca="false">IF(AND(OR(CF1207="L1",CF1207="L23",CF1207="LIFT"),BC1207&gt;0),SUMIFS($BC$7:$BC$1843,$CF$7:$CF$1843,CF1207,$BG$7:$BG$1843,"&gt;"&amp;BG1207)+SUMIFS($BC$7:$BC$1843,$CF$7:$CF$1843,CF1207,$BG$7:$BG$1843,BG1207,$BW$7:$BW$1843,"&lt;="&amp;BW1207),"")</f>
        <v>9545.25045787546</v>
      </c>
      <c r="BI1207" s="58" t="n">
        <f aca="false">IF(BH1207="",0,MAX(0,MIN(1,(IF(CF1207="L1",Parameter!$H$5,IF(CF1207="L23",Parameter!$H$6+Parameter!$H$7,Parameter!$H$5+Parameter!$H$6+Parameter!$H$7))-(BH1207-BC1207))/BC1207)))</f>
        <v>1</v>
      </c>
      <c r="BJ1207" s="48" t="str">
        <f aca="false">IF(AI1207&lt;=0,"",IF(CF1207="Aussen","Aussenlager",IF(CF1207="-","Nicht im Lift",IF(AO1207&gt;=1,"Lift",IF(AO1207&lt;=0,"Aussenlager","teilweise")))))</f>
        <v>Lift</v>
      </c>
      <c r="BK1207" s="48" t="str">
        <f aca="false">IF(AS1207&lt;=0,"",IF(CF1207="Aussen","Aussenlager",IF(CF1207="-","Nicht im Lift",IF(AY1207&gt;=1,"Lift",IF(AY1207&lt;=0,"Aussenlager","teilweise")))))</f>
        <v>Lift</v>
      </c>
      <c r="BL1207" s="48" t="str">
        <f aca="false">IF(BC1207&lt;=0,"",IF(CF1207="Aussen","Aussenlager",IF(CF1207="-","Nicht im Lift",IF(BI1207&gt;=1,"Lift",IF(BI1207&lt;=0,"Aussenlager","teilweise")))))</f>
        <v>Lift</v>
      </c>
      <c r="BM1207" s="48" t="str">
        <f aca="false">IF(A1207="","",IF(BV1207=1,"Neu; ","")&amp;IF(AND(BV1207=0,BQ1207&lt;0),"negativer Bestand (Export "&amp;BQ1207&amp;"); ","")&amp;IF(J1207&lt;=0,"Kein Verbrauch; ","")&amp;IF(CQ1207&gt;0,"Lift "&amp;W1207&amp;" lt. Liftbericht (Fach "&amp;X1207&amp;" Stk); ",IF(CA1207=1,"Gebinde geschätzt ("&amp;T1207&amp;"); ",IF(BZ1207=1,"Lose – Tablare geschätzt; ","")))&amp;IF(H1207&gt;AV1207,"Überbestand "&amp;ROUND(H1207-AV1207,0)&amp;" Stk / CHF "&amp;ROUND((H1207-AV1207)*G1207,0)&amp;"; ","")&amp;IF(AND(CH1207=1,CI1207&lt;CJ1207),"MAX &lt; MB+LG; ","")&amp;IF(AND(CP1207&gt;0,CO1207*10&gt;CP1207),"zu hoch für Tablar; ","")&amp;IF(AND(BV1207=0,OR(CH1207=1,AA1207&lt;&gt;"",U1207&lt;&gt;"",V1207&lt;&gt;"",AB1207&lt;&gt;"")),"manuell übersteuert; ","")&amp;IF(AND(BZ1207=0,R1207=0),"Gebinde unbekannt / Stellmass fehlt; ","")&amp;IF(AND(BZ1207=0,N(V1207)&lt;=0,N(Q1207)&lt;=0),"Menge pro Gebinde fehlt (Ist = 1 Gebinde); ","")&amp;BU1207)</f>
        <v>negativer Bestand (Export -5); Überbestand 16 Stk / CHF 1652; </v>
      </c>
      <c r="BN1207" s="48"/>
      <c r="BO1207" s="48"/>
      <c r="BP1207" s="55"/>
      <c r="BQ1207" s="50" t="n">
        <v>-5</v>
      </c>
      <c r="BR1207" s="50" t="n">
        <v>23</v>
      </c>
      <c r="BS1207" s="49" t="n">
        <v>-516.4</v>
      </c>
      <c r="BT1207" s="50" t="n">
        <v>2</v>
      </c>
      <c r="BU1207" s="48"/>
      <c r="BV1207" s="53" t="n">
        <v>0</v>
      </c>
      <c r="BW1207" s="53" t="n">
        <v>1207</v>
      </c>
      <c r="BX1207" s="48" t="str">
        <f aca="false">IF(U1207&lt;&gt;"",UPPER(TRIM(U1207)),IF(CA1207=1,UPPER(VLOOKUP(T1207,Parameter!$I$27:$K$29,2,0)),IF(P1207="","LOSE",P1207)))</f>
        <v>S41</v>
      </c>
      <c r="BY1207" s="50" t="n">
        <f aca="false">IF(BX1207="LOSE",1,IF(N(V1207)&gt;0,V1207,IF(CA1207=1,MAX(1,N(VLOOKUP(T1207,Parameter!$I$27:$K$29,3,0)),H1207,N(N1207)),IF(N(Q1207)&gt;0,Q1207,MAX(1,H1207)))))</f>
        <v>30</v>
      </c>
      <c r="BZ1207" s="53" t="n">
        <f aca="false">IF(BX1207="LOSE",1,0)</f>
        <v>0</v>
      </c>
      <c r="CA1207" s="53" t="n">
        <f aca="false">IF(AND(U1207="",OR(P1207="",P1207="LOSE"),T1207&lt;&gt;"",N(S1207)&lt;=0,ISNUMBER(MATCH(T1207,Parameter!$I$27:$I$29,0))),1,0)</f>
        <v>0</v>
      </c>
      <c r="CB1207" s="53" t="n">
        <f aca="false">IF(CQ1207&gt;0,INDEX(Parameter!$H$5:$H$7,W1207)/INDEX(Parameter!$E$5:$E$7,W1207),IF(AND(BZ1207=0,N(IFERROR(VLOOKUP(BX1207,'Gebinde-Kategorie'!$A$5:$N$45,14,0),0))&gt;0),VLOOKUP(BX1207,'Gebinde-Kategorie'!$A$5:$N$45,14,0)*10+Parameter!$M$23,Parameter!$M$24))</f>
        <v>155</v>
      </c>
      <c r="CC1207" s="48" t="str">
        <f aca="false">IF(AND(Parameter!$B$19="Ja",E1207&lt;&gt;"",ISNUMBER(MATCH(E1207,Parameter!$I$35:$I$52,0))),VLOOKUP(E1207,Parameter!$I$35:$J$52,2,0),IFERROR(VLOOKUP(D1207,Parameter!$A$35:$C$64,2,0),"Nein"))</f>
        <v>2+3</v>
      </c>
      <c r="CD1207" s="52" t="n">
        <f aca="false">IF(BZ1207=0,0,IF(N(S1207)&gt;0,S1207,IFERROR(VLOOKUP(D1207,Parameter!$A$35:$C$64,3,0)+0,0)))</f>
        <v>0</v>
      </c>
      <c r="CE1207" s="48" t="n">
        <f aca="false">IF(AA1207&lt;&gt;"",AA1207,Z1207)</f>
        <v>3</v>
      </c>
      <c r="CF1207" s="48" t="str">
        <f aca="false">IF(OR(CE1207=1,CE1207=2,CE1207=3),IF(Parameter!$E$27="Ja","LIFT",IF(CE1207=1,"L1","L23")),IF(CE1207="Aussen","Aussen","-"))</f>
        <v>LIFT</v>
      </c>
      <c r="CG1207" s="59" t="n">
        <f aca="false">IF(N(AB1207)&gt;0,AB1207,0)</f>
        <v>0</v>
      </c>
      <c r="CH1207" s="53" t="n">
        <f aca="false">IF(ISNUMBER(AE1207),1,0)</f>
        <v>0</v>
      </c>
      <c r="CI1207" s="50" t="n">
        <f aca="false">N(AE1207)</f>
        <v>0</v>
      </c>
      <c r="CJ1207" s="50" t="n">
        <f aca="false">N(M1207)+N(N1207)</f>
        <v>1</v>
      </c>
      <c r="CK1207" s="50" t="n">
        <f aca="false">N(M1207)</f>
        <v>0</v>
      </c>
      <c r="CL1207" s="50" t="n">
        <f aca="false">N(N1207)</f>
        <v>1</v>
      </c>
      <c r="CM1207" s="50" t="n">
        <f aca="false">ROUNDUP(H1207/BY1207,0)</f>
        <v>1</v>
      </c>
      <c r="CN1207" s="50" t="n">
        <f aca="false">ROUNDUP(CI1207/BY1207,0)</f>
        <v>0</v>
      </c>
      <c r="CO1207" s="53" t="n">
        <f aca="false">IF(BZ1207=1,0,IFERROR(VLOOKUP(BX1207,'Gebinde-Kategorie'!$A$5:$N$45,5,0)+0,0))</f>
        <v>11</v>
      </c>
      <c r="CP1207" s="53" t="n">
        <f aca="false">IFERROR(IF(OR(CE1207=1,CE1207=2,CE1207=3),N(INDEX(Parameter!$I$5:$I$7,CE1207)),0),0)</f>
        <v>0</v>
      </c>
      <c r="CQ1207" s="52" t="n">
        <f aca="false">IF(AND(Parameter!$B$21="Ja",ISNUMBER(W1207),N(X1207)&gt;0),IFERROR(N(INDEX(Parameter!$L$5:$L$7,W1207))*INDEX(Parameter!$E$5:$E$7,W1207)*X1207/SUMIFS($X$7:$X$1843,$W$7:$W$1843,W1207),0),0)</f>
        <v>0</v>
      </c>
    </row>
    <row r="1208" customFormat="false" ht="15" hidden="false" customHeight="false" outlineLevel="0" collapsed="false">
      <c r="A1208" s="48" t="s">
        <v>2179</v>
      </c>
      <c r="B1208" s="48" t="s">
        <v>306</v>
      </c>
      <c r="C1208" s="48" t="s">
        <v>173</v>
      </c>
      <c r="D1208" s="48" t="s">
        <v>174</v>
      </c>
      <c r="E1208" s="48" t="s">
        <v>175</v>
      </c>
      <c r="F1208" s="48" t="s">
        <v>227</v>
      </c>
      <c r="G1208" s="49" t="n">
        <v>257.76</v>
      </c>
      <c r="H1208" s="50" t="n">
        <f aca="false">MAX(0,IF(AND(Parameter!$B$21="Ja",ISNUMBER(Y1208)),Y1208,IF(Parameter!$B$20="Jahresanfang 2025 + Export",BR1208+BQ1208,BQ1208)))</f>
        <v>16</v>
      </c>
      <c r="I1208" s="50" t="n">
        <f aca="false">H1208*G1208</f>
        <v>4124.16</v>
      </c>
      <c r="J1208" s="50" t="n">
        <f aca="false">BT1208*Parameter!$B$18</f>
        <v>16</v>
      </c>
      <c r="K1208" s="51" t="n">
        <v>25.5</v>
      </c>
      <c r="L1208" s="52" t="n">
        <v>0.627450980392157</v>
      </c>
      <c r="M1208" s="50" t="n">
        <v>3</v>
      </c>
      <c r="N1208" s="50" t="n">
        <v>10</v>
      </c>
      <c r="O1208" s="53" t="n">
        <v>70</v>
      </c>
      <c r="P1208" s="48" t="s">
        <v>177</v>
      </c>
      <c r="Q1208" s="50"/>
      <c r="R1208" s="53" t="n">
        <f aca="false">IF(BZ1208=1,0,IFERROR(VLOOKUP(BX1208,'Gebinde-Kategorie'!$A$5:$N$45,13,0)+0,0))</f>
        <v>0</v>
      </c>
      <c r="S1208" s="54"/>
      <c r="T1208" s="55"/>
      <c r="U1208" s="55"/>
      <c r="V1208" s="55"/>
      <c r="W1208" s="48" t="n">
        <v>1</v>
      </c>
      <c r="X1208" s="50" t="n">
        <v>35</v>
      </c>
      <c r="Y1208" s="50" t="n">
        <v>16</v>
      </c>
      <c r="Z1208" s="48" t="n">
        <f aca="false">IF(A1208="","",IF(AND(Parameter!$B$21="Ja",ISNUMBER(W1208)),W1208,IF(CC1208="2+3",IF(ISNUMBER(SEARCH("grosser Artikel",BU1208)),2,IFERROR(VLOOKUP(BX1208,Parameter!$F$35:$G$64,2,0),2)),IF(OR(CC1208="Nein",CC1208=""),"-",CC1208))))</f>
        <v>1</v>
      </c>
      <c r="AA1208" s="55"/>
      <c r="AB1208" s="56"/>
      <c r="AC1208" s="50" t="n">
        <f aca="false">AV1208</f>
        <v>13</v>
      </c>
      <c r="AD1208" s="50" t="n">
        <f aca="false">MAX(AV1208,H1208)</f>
        <v>16</v>
      </c>
      <c r="AE1208" s="57"/>
      <c r="AF1208" s="50" t="n">
        <f aca="false">IF(LEFT(Cockpit!$C$5,1)="A",H1208,IF(Parameter!$E$30="MAX-Bestand",IF(CH1208=1,CI1208,IF(LEFT(Cockpit!$C$5,1)="B",AL1208,MAX(AL1208,H1208))),ROUNDUP(AJ1208,0)))</f>
        <v>16</v>
      </c>
      <c r="AG1208" s="50" t="n">
        <f aca="false">IF(BZ1208=1,0,ROUNDUP(AF1208/BY1208,0))</f>
        <v>0</v>
      </c>
      <c r="AH1208" s="52" t="n">
        <f aca="false">IF(CQ1208&gt;0,CQ1208*MAX(1,AF1208/X1208),IF(BZ1208=1,IF(AF1208&lt;=0,0,CD1208*MAX(1,IF(H1208&gt;0,AF1208/H1208,1))),IF(R1208&gt;0,AG1208/R1208,0))/MAX(0.1,N(Parameter!$M$21)))</f>
        <v>2.80131826741996</v>
      </c>
      <c r="AI1208" s="50" t="n">
        <f aca="false">AH1208*CB1208</f>
        <v>666.713747645951</v>
      </c>
      <c r="AJ1208" s="51" t="n">
        <f aca="false">IF(LEFT(Cockpit!$C$5,1)="A",H1208,IF(CH1208=1,(CK1208+CI1208)/2,IF(LEFT(Cockpit!$C$5,1)="B",(CK1208+AL1208)/2,MAX((CK1208+AL1208)/2,H1208))))</f>
        <v>16</v>
      </c>
      <c r="AK1208" s="50" t="n">
        <f aca="false">AJ1208*G1208</f>
        <v>4124.16</v>
      </c>
      <c r="AL1208" s="50" t="n">
        <f aca="false">ROUNDUP(CK1208+MAX(CL1208,2*(J1208/IF(CG1208&gt;0,CG1208,MAX(0.1,N(Cockpit!$C$6)))-CK1208)),0)</f>
        <v>13</v>
      </c>
      <c r="AM1208" s="51" t="n">
        <f aca="false">IF(AI1208&gt;0,J1208/AI1208,-1)</f>
        <v>0.0239983052044347</v>
      </c>
      <c r="AN1208" s="51" t="n">
        <f aca="false">IF(AND(OR(CF1208="L1",CF1208="L23",CF1208="LIFT"),AI1208&gt;0),SUMIFS($AI$7:$AI$1843,$CF$7:$CF$1843,CF1208,$AM$7:$AM$1843,"&gt;"&amp;AM1208)+SUMIFS($AI$7:$AI$1843,$CF$7:$CF$1843,CF1208,$AM$7:$AM$1843,AM1208,$BW$7:$BW$1843,"&lt;="&amp;BW1208),"")</f>
        <v>22711.3241525424</v>
      </c>
      <c r="AO1208" s="58" t="n">
        <f aca="false">IF(AN1208="",0,MAX(0,MIN(1,(IF(CF1208="L1",Parameter!$H$5,IF(CF1208="L23",Parameter!$H$6+Parameter!$H$7,Parameter!$H$5+Parameter!$H$6+Parameter!$H$7))-(AN1208-AI1208))/AI1208)))</f>
        <v>1</v>
      </c>
      <c r="AP1208" s="50" t="n">
        <f aca="false">IF(LEFT(Cockpit!$I$5,1)="A",H1208,IF(Parameter!$E$30="MAX-Bestand",IF(CH1208=1,CI1208,IF(LEFT(Cockpit!$I$5,1)="B",AV1208,MAX(AV1208,H1208))),ROUNDUP(AT1208,0)))</f>
        <v>16</v>
      </c>
      <c r="AQ1208" s="50" t="n">
        <f aca="false">IF(BZ1208=1,0,ROUNDUP(AP1208/BY1208,0))</f>
        <v>0</v>
      </c>
      <c r="AR1208" s="52" t="n">
        <f aca="false">IF(CQ1208&gt;0,CQ1208*MAX(1,AP1208/X1208),IF(BZ1208=1,IF(AP1208&lt;=0,0,CD1208*MAX(1,IF(H1208&gt;0,AP1208/H1208,1))),IF(R1208&gt;0,AQ1208/R1208,0))/MAX(0.1,N(Parameter!$M$21)))</f>
        <v>2.80131826741996</v>
      </c>
      <c r="AS1208" s="50" t="n">
        <f aca="false">AR1208*CB1208</f>
        <v>666.713747645951</v>
      </c>
      <c r="AT1208" s="51" t="n">
        <f aca="false">IF(LEFT(Cockpit!$I$5,1)="A",H1208,IF(CH1208=1,(CK1208+CI1208)/2,IF(LEFT(Cockpit!$I$5,1)="B",(CK1208+AV1208)/2,MAX((CK1208+AV1208)/2,H1208))))</f>
        <v>16</v>
      </c>
      <c r="AU1208" s="50" t="n">
        <f aca="false">AT1208*G1208</f>
        <v>4124.16</v>
      </c>
      <c r="AV1208" s="50" t="n">
        <f aca="false">ROUNDUP(CK1208+MAX(CL1208,2*(J1208/IF(CG1208&gt;0,CG1208,MAX(0.1,N(Cockpit!$I$6)))-CK1208)),0)</f>
        <v>13</v>
      </c>
      <c r="AW1208" s="51" t="n">
        <f aca="false">IF(AS1208&gt;0,J1208/AS1208,-1)</f>
        <v>0.0239983052044347</v>
      </c>
      <c r="AX1208" s="51" t="n">
        <f aca="false">IF(AND(OR(CF1208="L1",CF1208="L23",CF1208="LIFT"),AS1208&gt;0),SUMIFS($AS$7:$AS$1843,$CF$7:$CF$1843,CF1208,$AW$7:$AW$1843,"&gt;"&amp;AW1208)+SUMIFS($AS$7:$AS$1843,$CF$7:$CF$1843,CF1208,$AW$7:$AW$1843,AW1208,$BW$7:$BW$1843,"&lt;="&amp;BW1208),"")</f>
        <v>27946.9727939198</v>
      </c>
      <c r="AY1208" s="58" t="n">
        <f aca="false">IF(AX1208="",0,MAX(0,MIN(1,(IF(CF1208="L1",Parameter!$H$5,IF(CF1208="L23",Parameter!$H$6+Parameter!$H$7,Parameter!$H$5+Parameter!$H$6+Parameter!$H$7))-(AX1208-AS1208))/AS1208)))</f>
        <v>1</v>
      </c>
      <c r="AZ1208" s="50" t="n">
        <f aca="false">IF(LEFT(Cockpit!$O$5,1)="A",H1208,IF(Parameter!$E$30="MAX-Bestand",IF(CH1208=1,CI1208,IF(LEFT(Cockpit!$O$5,1)="B",BF1208,MAX(BF1208,H1208))),ROUNDUP(BD1208,0)))</f>
        <v>8</v>
      </c>
      <c r="BA1208" s="50" t="n">
        <f aca="false">IF(BZ1208=1,0,ROUNDUP(AZ1208/BY1208,0))</f>
        <v>0</v>
      </c>
      <c r="BB1208" s="52" t="n">
        <f aca="false">IF(CQ1208&gt;0,CQ1208*MAX(1,AZ1208/X1208),IF(BZ1208=1,IF(AZ1208&lt;=0,0,CD1208*MAX(1,IF(H1208&gt;0,AZ1208/H1208,1))),IF(R1208&gt;0,BA1208/R1208,0))/MAX(0.1,N(Parameter!$M$21)))</f>
        <v>2.80131826741996</v>
      </c>
      <c r="BC1208" s="50" t="n">
        <f aca="false">BB1208*CB1208</f>
        <v>666.713747645951</v>
      </c>
      <c r="BD1208" s="51" t="n">
        <f aca="false">IF(LEFT(Cockpit!$O$5,1)="A",H1208,IF(CH1208=1,(CK1208+CI1208)/2,IF(LEFT(Cockpit!$O$5,1)="B",(CK1208+BF1208)/2,MAX((CK1208+BF1208)/2,H1208))))</f>
        <v>8</v>
      </c>
      <c r="BE1208" s="50" t="n">
        <f aca="false">BD1208*G1208</f>
        <v>2062.08</v>
      </c>
      <c r="BF1208" s="50" t="n">
        <f aca="false">ROUNDUP(CK1208+MAX(CL1208,2*(J1208/IF(CG1208&gt;0,CG1208,MAX(0.1,N(Cockpit!$O$6)))-CK1208)),0)</f>
        <v>13</v>
      </c>
      <c r="BG1208" s="51" t="n">
        <f aca="false">IF(BC1208&gt;0,J1208/BC1208,-1)</f>
        <v>0.0239983052044347</v>
      </c>
      <c r="BH1208" s="51" t="n">
        <f aca="false">IF(AND(OR(CF1208="L1",CF1208="L23",CF1208="LIFT"),BC1208&gt;0),SUMIFS($BC$7:$BC$1843,$CF$7:$CF$1843,CF1208,$BG$7:$BG$1843,"&gt;"&amp;BG1208)+SUMIFS($BC$7:$BC$1843,$CF$7:$CF$1843,CF1208,$BG$7:$BG$1843,BG1208,$BW$7:$BW$1843,"&lt;="&amp;BW1208),"")</f>
        <v>23530.4136115767</v>
      </c>
      <c r="BI1208" s="58" t="n">
        <f aca="false">IF(BH1208="",0,MAX(0,MIN(1,(IF(CF1208="L1",Parameter!$H$5,IF(CF1208="L23",Parameter!$H$6+Parameter!$H$7,Parameter!$H$5+Parameter!$H$6+Parameter!$H$7))-(BH1208-BC1208))/BC1208)))</f>
        <v>1</v>
      </c>
      <c r="BJ1208" s="48" t="str">
        <f aca="false">IF(AI1208&lt;=0,"",IF(CF1208="Aussen","Aussenlager",IF(CF1208="-","Nicht im Lift",IF(AO1208&gt;=1,"Lift",IF(AO1208&lt;=0,"Aussenlager","teilweise")))))</f>
        <v>Lift</v>
      </c>
      <c r="BK1208" s="48" t="str">
        <f aca="false">IF(AS1208&lt;=0,"",IF(CF1208="Aussen","Aussenlager",IF(CF1208="-","Nicht im Lift",IF(AY1208&gt;=1,"Lift",IF(AY1208&lt;=0,"Aussenlager","teilweise")))))</f>
        <v>Lift</v>
      </c>
      <c r="BL1208" s="48" t="str">
        <f aca="false">IF(BC1208&lt;=0,"",IF(CF1208="Aussen","Aussenlager",IF(CF1208="-","Nicht im Lift",IF(BI1208&gt;=1,"Lift",IF(BI1208&lt;=0,"Aussenlager","teilweise")))))</f>
        <v>Lift</v>
      </c>
      <c r="BM1208" s="48" t="str">
        <f aca="false">IF(A1208="","",IF(BV1208=1,"Neu; ","")&amp;IF(AND(BV1208=0,BQ1208&lt;0),"negativer Bestand (Export "&amp;BQ1208&amp;"); ","")&amp;IF(J1208&lt;=0,"Kein Verbrauch; ","")&amp;IF(CQ1208&gt;0,"Lift "&amp;W1208&amp;" lt. Liftbericht (Fach "&amp;X1208&amp;" Stk); ",IF(CA1208=1,"Gebinde geschätzt ("&amp;T1208&amp;"); ",IF(BZ1208=1,"Lose – Tablare geschätzt; ","")))&amp;IF(H1208&gt;AV1208,"Überbestand "&amp;ROUND(H1208-AV1208,0)&amp;" Stk / CHF "&amp;ROUND((H1208-AV1208)*G1208,0)&amp;"; ","")&amp;IF(AND(CH1208=1,CI1208&lt;CJ1208),"MAX &lt; MB+LG; ","")&amp;IF(AND(CP1208&gt;0,CO1208*10&gt;CP1208),"zu hoch für Tablar; ","")&amp;IF(AND(BV1208=0,OR(CH1208=1,AA1208&lt;&gt;"",U1208&lt;&gt;"",V1208&lt;&gt;"",AB1208&lt;&gt;"")),"manuell übersteuert; ","")&amp;IF(AND(BZ1208=0,R1208=0),"Gebinde unbekannt / Stellmass fehlt; ","")&amp;IF(AND(BZ1208=0,N(V1208)&lt;=0,N(Q1208)&lt;=0),"Menge pro Gebinde fehlt (Ist = 1 Gebinde); ","")&amp;BU1208)</f>
        <v>negativer Bestand (Export -3); Lift 1 lt. Liftbericht (Fach 35 Stk); Überbestand 3 Stk / CHF 773; </v>
      </c>
      <c r="BN1208" s="48"/>
      <c r="BO1208" s="48"/>
      <c r="BP1208" s="55"/>
      <c r="BQ1208" s="50" t="n">
        <v>-3</v>
      </c>
      <c r="BR1208" s="50" t="n">
        <v>21</v>
      </c>
      <c r="BS1208" s="49" t="n">
        <v>-516.87</v>
      </c>
      <c r="BT1208" s="50" t="n">
        <v>16</v>
      </c>
      <c r="BU1208" s="48"/>
      <c r="BV1208" s="53" t="n">
        <v>0</v>
      </c>
      <c r="BW1208" s="53" t="n">
        <v>1208</v>
      </c>
      <c r="BX1208" s="48" t="str">
        <f aca="false">IF(U1208&lt;&gt;"",UPPER(TRIM(U1208)),IF(CA1208=1,UPPER(VLOOKUP(T1208,Parameter!$I$27:$K$29,2,0)),IF(P1208="","LOSE",P1208)))</f>
        <v>LOSE</v>
      </c>
      <c r="BY1208" s="50" t="n">
        <f aca="false">IF(BX1208="LOSE",1,IF(N(V1208)&gt;0,V1208,IF(CA1208=1,MAX(1,N(VLOOKUP(T1208,Parameter!$I$27:$K$29,3,0)),H1208,N(N1208)),IF(N(Q1208)&gt;0,Q1208,MAX(1,H1208)))))</f>
        <v>1</v>
      </c>
      <c r="BZ1208" s="53" t="n">
        <f aca="false">IF(BX1208="LOSE",1,0)</f>
        <v>1</v>
      </c>
      <c r="CA1208" s="53" t="n">
        <f aca="false">IF(AND(U1208="",OR(P1208="",P1208="LOSE"),T1208&lt;&gt;"",N(S1208)&lt;=0,ISNUMBER(MATCH(T1208,Parameter!$I$27:$I$29,0))),1,0)</f>
        <v>0</v>
      </c>
      <c r="CB1208" s="53" t="n">
        <f aca="false">IF(CQ1208&gt;0,INDEX(Parameter!$H$5:$H$7,W1208)/INDEX(Parameter!$E$5:$E$7,W1208),IF(AND(BZ1208=0,N(IFERROR(VLOOKUP(BX1208,'Gebinde-Kategorie'!$A$5:$N$45,14,0),0))&gt;0),VLOOKUP(BX1208,'Gebinde-Kategorie'!$A$5:$N$45,14,0)*10+Parameter!$M$23,Parameter!$M$24))</f>
        <v>238</v>
      </c>
      <c r="CC1208" s="48" t="n">
        <f aca="false">IF(AND(Parameter!$B$19="Ja",E1208&lt;&gt;"",ISNUMBER(MATCH(E1208,Parameter!$I$35:$I$52,0))),VLOOKUP(E1208,Parameter!$I$35:$J$52,2,0),IFERROR(VLOOKUP(D1208,Parameter!$A$35:$C$64,2,0),"Nein"))</f>
        <v>1</v>
      </c>
      <c r="CD1208" s="52" t="n">
        <f aca="false">IF(BZ1208=0,0,IF(N(S1208)&gt;0,S1208,IFERROR(VLOOKUP(D1208,Parameter!$A$35:$C$64,3,0)+0,0)))</f>
        <v>1</v>
      </c>
      <c r="CE1208" s="48" t="n">
        <f aca="false">IF(AA1208&lt;&gt;"",AA1208,Z1208)</f>
        <v>1</v>
      </c>
      <c r="CF1208" s="48" t="str">
        <f aca="false">IF(OR(CE1208=1,CE1208=2,CE1208=3),IF(Parameter!$E$27="Ja","LIFT",IF(CE1208=1,"L1","L23")),IF(CE1208="Aussen","Aussen","-"))</f>
        <v>LIFT</v>
      </c>
      <c r="CG1208" s="59" t="n">
        <f aca="false">IF(N(AB1208)&gt;0,AB1208,0)</f>
        <v>0</v>
      </c>
      <c r="CH1208" s="53" t="n">
        <f aca="false">IF(ISNUMBER(AE1208),1,0)</f>
        <v>0</v>
      </c>
      <c r="CI1208" s="50" t="n">
        <f aca="false">N(AE1208)</f>
        <v>0</v>
      </c>
      <c r="CJ1208" s="50" t="n">
        <f aca="false">N(M1208)+N(N1208)</f>
        <v>13</v>
      </c>
      <c r="CK1208" s="50" t="n">
        <f aca="false">N(M1208)</f>
        <v>3</v>
      </c>
      <c r="CL1208" s="50" t="n">
        <f aca="false">N(N1208)</f>
        <v>10</v>
      </c>
      <c r="CM1208" s="50" t="n">
        <f aca="false">ROUNDUP(H1208/BY1208,0)</f>
        <v>16</v>
      </c>
      <c r="CN1208" s="50" t="n">
        <f aca="false">ROUNDUP(CI1208/BY1208,0)</f>
        <v>0</v>
      </c>
      <c r="CO1208" s="53" t="n">
        <f aca="false">IF(BZ1208=1,0,IFERROR(VLOOKUP(BX1208,'Gebinde-Kategorie'!$A$5:$N$45,5,0)+0,0))</f>
        <v>0</v>
      </c>
      <c r="CP1208" s="53" t="n">
        <f aca="false">IFERROR(IF(OR(CE1208=1,CE1208=2,CE1208=3),N(INDEX(Parameter!$I$5:$I$7,CE1208)),0),0)</f>
        <v>0</v>
      </c>
      <c r="CQ1208" s="52" t="n">
        <f aca="false">IF(AND(Parameter!$B$21="Ja",ISNUMBER(W1208),N(X1208)&gt;0),IFERROR(N(INDEX(Parameter!$L$5:$L$7,W1208))*INDEX(Parameter!$E$5:$E$7,W1208)*X1208/SUMIFS($X$7:$X$1843,$W$7:$W$1843,W1208),0),0)</f>
        <v>2.80131826741996</v>
      </c>
    </row>
    <row r="1209" customFormat="false" ht="15" hidden="false" customHeight="false" outlineLevel="0" collapsed="false">
      <c r="A1209" s="48" t="s">
        <v>2180</v>
      </c>
      <c r="B1209" s="48" t="s">
        <v>2181</v>
      </c>
      <c r="C1209" s="48" t="s">
        <v>173</v>
      </c>
      <c r="D1209" s="48" t="s">
        <v>193</v>
      </c>
      <c r="E1209" s="48"/>
      <c r="F1209" s="48" t="s">
        <v>227</v>
      </c>
      <c r="G1209" s="49" t="n">
        <v>519.59</v>
      </c>
      <c r="H1209" s="50" t="n">
        <f aca="false">MAX(0,IF(AND(Parameter!$B$21="Ja",ISNUMBER(Y1209)),Y1209,IF(Parameter!$B$20="Jahresanfang 2025 + Export",BR1209+BQ1209,BQ1209)))</f>
        <v>7</v>
      </c>
      <c r="I1209" s="50" t="n">
        <f aca="false">H1209*G1209</f>
        <v>3637.13</v>
      </c>
      <c r="J1209" s="50" t="n">
        <f aca="false">BT1209*Parameter!$B$18</f>
        <v>0</v>
      </c>
      <c r="K1209" s="51" t="n">
        <v>7.5</v>
      </c>
      <c r="L1209" s="52" t="n">
        <v>0</v>
      </c>
      <c r="M1209" s="50" t="n">
        <v>0</v>
      </c>
      <c r="N1209" s="50" t="n">
        <v>1</v>
      </c>
      <c r="O1209" s="53" t="n">
        <v>70</v>
      </c>
      <c r="P1209" s="48" t="s">
        <v>337</v>
      </c>
      <c r="Q1209" s="50" t="n">
        <v>10</v>
      </c>
      <c r="R1209" s="53" t="n">
        <f aca="false">IF(BZ1209=1,0,IFERROR(VLOOKUP(BX1209,'Gebinde-Kategorie'!$A$5:$N$45,13,0)+0,0))</f>
        <v>52</v>
      </c>
      <c r="S1209" s="54"/>
      <c r="T1209" s="55"/>
      <c r="U1209" s="55"/>
      <c r="V1209" s="55"/>
      <c r="W1209" s="48"/>
      <c r="X1209" s="50"/>
      <c r="Y1209" s="50"/>
      <c r="Z1209" s="48" t="n">
        <f aca="false">IF(A1209="","",IF(AND(Parameter!$B$21="Ja",ISNUMBER(W1209)),W1209,IF(CC1209="2+3",IF(ISNUMBER(SEARCH("grosser Artikel",BU1209)),2,IFERROR(VLOOKUP(BX1209,Parameter!$F$35:$G$64,2,0),2)),IF(OR(CC1209="Nein",CC1209=""),"-",CC1209))))</f>
        <v>3</v>
      </c>
      <c r="AA1209" s="55"/>
      <c r="AB1209" s="56"/>
      <c r="AC1209" s="50" t="n">
        <f aca="false">AV1209</f>
        <v>1</v>
      </c>
      <c r="AD1209" s="50" t="n">
        <f aca="false">MAX(AV1209,H1209)</f>
        <v>7</v>
      </c>
      <c r="AE1209" s="57"/>
      <c r="AF1209" s="50" t="n">
        <f aca="false">IF(LEFT(Cockpit!$C$5,1)="A",H1209,IF(Parameter!$E$30="MAX-Bestand",IF(CH1209=1,CI1209,IF(LEFT(Cockpit!$C$5,1)="B",AL1209,MAX(AL1209,H1209))),ROUNDUP(AJ1209,0)))</f>
        <v>7</v>
      </c>
      <c r="AG1209" s="50" t="n">
        <f aca="false">IF(BZ1209=1,0,ROUNDUP(AF1209/BY1209,0))</f>
        <v>1</v>
      </c>
      <c r="AH1209" s="52" t="n">
        <f aca="false">IF(CQ1209&gt;0,CQ1209*MAX(1,AF1209/X1209),IF(BZ1209=1,IF(AF1209&lt;=0,0,CD1209*MAX(1,IF(H1209&gt;0,AF1209/H1209,1))),IF(R1209&gt;0,AG1209/R1209,0))/MAX(0.1,N(Parameter!$M$21)))</f>
        <v>0.0192307692307692</v>
      </c>
      <c r="AI1209" s="50" t="n">
        <f aca="false">AH1209*CB1209</f>
        <v>2.98076923076923</v>
      </c>
      <c r="AJ1209" s="51" t="n">
        <f aca="false">IF(LEFT(Cockpit!$C$5,1)="A",H1209,IF(CH1209=1,(CK1209+CI1209)/2,IF(LEFT(Cockpit!$C$5,1)="B",(CK1209+AL1209)/2,MAX((CK1209+AL1209)/2,H1209))))</f>
        <v>7</v>
      </c>
      <c r="AK1209" s="50" t="n">
        <f aca="false">AJ1209*G1209</f>
        <v>3637.13</v>
      </c>
      <c r="AL1209" s="50" t="n">
        <f aca="false">ROUNDUP(CK1209+MAX(CL1209,2*(J1209/IF(CG1209&gt;0,CG1209,MAX(0.1,N(Cockpit!$C$6)))-CK1209)),0)</f>
        <v>1</v>
      </c>
      <c r="AM1209" s="51" t="n">
        <f aca="false">IF(AI1209&gt;0,J1209/AI1209,-1)</f>
        <v>0</v>
      </c>
      <c r="AN1209" s="51" t="n">
        <f aca="false">IF(AND(OR(CF1209="L1",CF1209="L23",CF1209="LIFT"),AI1209&gt;0),SUMIFS($AI$7:$AI$1843,$CF$7:$CF$1843,CF1209,$AM$7:$AM$1843,"&gt;"&amp;AM1209)+SUMIFS($AI$7:$AI$1843,$CF$7:$CF$1843,CF1209,$AM$7:$AM$1843,AM1209,$BW$7:$BW$1843,"&lt;="&amp;BW1209),"")</f>
        <v>29423.6476040438</v>
      </c>
      <c r="AO1209" s="58" t="n">
        <f aca="false">IF(AN1209="",0,MAX(0,MIN(1,(IF(CF1209="L1",Parameter!$H$5,IF(CF1209="L23",Parameter!$H$6+Parameter!$H$7,Parameter!$H$5+Parameter!$H$6+Parameter!$H$7))-(AN1209-AI1209))/AI1209)))</f>
        <v>1</v>
      </c>
      <c r="AP1209" s="50" t="n">
        <f aca="false">IF(LEFT(Cockpit!$I$5,1)="A",H1209,IF(Parameter!$E$30="MAX-Bestand",IF(CH1209=1,CI1209,IF(LEFT(Cockpit!$I$5,1)="B",AV1209,MAX(AV1209,H1209))),ROUNDUP(AT1209,0)))</f>
        <v>7</v>
      </c>
      <c r="AQ1209" s="50" t="n">
        <f aca="false">IF(BZ1209=1,0,ROUNDUP(AP1209/BY1209,0))</f>
        <v>1</v>
      </c>
      <c r="AR1209" s="52" t="n">
        <f aca="false">IF(CQ1209&gt;0,CQ1209*MAX(1,AP1209/X1209),IF(BZ1209=1,IF(AP1209&lt;=0,0,CD1209*MAX(1,IF(H1209&gt;0,AP1209/H1209,1))),IF(R1209&gt;0,AQ1209/R1209,0))/MAX(0.1,N(Parameter!$M$21)))</f>
        <v>0.0192307692307692</v>
      </c>
      <c r="AS1209" s="50" t="n">
        <f aca="false">AR1209*CB1209</f>
        <v>2.98076923076923</v>
      </c>
      <c r="AT1209" s="51" t="n">
        <f aca="false">IF(LEFT(Cockpit!$I$5,1)="A",H1209,IF(CH1209=1,(CK1209+CI1209)/2,IF(LEFT(Cockpit!$I$5,1)="B",(CK1209+AV1209)/2,MAX((CK1209+AV1209)/2,H1209))))</f>
        <v>7</v>
      </c>
      <c r="AU1209" s="50" t="n">
        <f aca="false">AT1209*G1209</f>
        <v>3637.13</v>
      </c>
      <c r="AV1209" s="50" t="n">
        <f aca="false">ROUNDUP(CK1209+MAX(CL1209,2*(J1209/IF(CG1209&gt;0,CG1209,MAX(0.1,N(Cockpit!$I$6)))-CK1209)),0)</f>
        <v>1</v>
      </c>
      <c r="AW1209" s="51" t="n">
        <f aca="false">IF(AS1209&gt;0,J1209/AS1209,-1)</f>
        <v>0</v>
      </c>
      <c r="AX1209" s="51" t="n">
        <f aca="false">IF(AND(OR(CF1209="L1",CF1209="L23",CF1209="LIFT"),AS1209&gt;0),SUMIFS($AS$7:$AS$1843,$CF$7:$CF$1843,CF1209,$AW$7:$AW$1843,"&gt;"&amp;AW1209)+SUMIFS($AS$7:$AS$1843,$CF$7:$CF$1843,CF1209,$AW$7:$AW$1843,AW1209,$BW$7:$BW$1843,"&lt;="&amp;BW1209),"")</f>
        <v>35229.4812271062</v>
      </c>
      <c r="AY1209" s="58" t="n">
        <f aca="false">IF(AX1209="",0,MAX(0,MIN(1,(IF(CF1209="L1",Parameter!$H$5,IF(CF1209="L23",Parameter!$H$6+Parameter!$H$7,Parameter!$H$5+Parameter!$H$6+Parameter!$H$7))-(AX1209-AS1209))/AS1209)))</f>
        <v>1</v>
      </c>
      <c r="AZ1209" s="50" t="n">
        <f aca="false">IF(LEFT(Cockpit!$O$5,1)="A",H1209,IF(Parameter!$E$30="MAX-Bestand",IF(CH1209=1,CI1209,IF(LEFT(Cockpit!$O$5,1)="B",BF1209,MAX(BF1209,H1209))),ROUNDUP(BD1209,0)))</f>
        <v>1</v>
      </c>
      <c r="BA1209" s="50" t="n">
        <f aca="false">IF(BZ1209=1,0,ROUNDUP(AZ1209/BY1209,0))</f>
        <v>1</v>
      </c>
      <c r="BB1209" s="52" t="n">
        <f aca="false">IF(CQ1209&gt;0,CQ1209*MAX(1,AZ1209/X1209),IF(BZ1209=1,IF(AZ1209&lt;=0,0,CD1209*MAX(1,IF(H1209&gt;0,AZ1209/H1209,1))),IF(R1209&gt;0,BA1209/R1209,0))/MAX(0.1,N(Parameter!$M$21)))</f>
        <v>0.0192307692307692</v>
      </c>
      <c r="BC1209" s="50" t="n">
        <f aca="false">BB1209*CB1209</f>
        <v>2.98076923076923</v>
      </c>
      <c r="BD1209" s="51" t="n">
        <f aca="false">IF(LEFT(Cockpit!$O$5,1)="A",H1209,IF(CH1209=1,(CK1209+CI1209)/2,IF(LEFT(Cockpit!$O$5,1)="B",(CK1209+BF1209)/2,MAX((CK1209+BF1209)/2,H1209))))</f>
        <v>0.5</v>
      </c>
      <c r="BE1209" s="50" t="n">
        <f aca="false">BD1209*G1209</f>
        <v>259.795</v>
      </c>
      <c r="BF1209" s="50" t="n">
        <f aca="false">ROUNDUP(CK1209+MAX(CL1209,2*(J1209/IF(CG1209&gt;0,CG1209,MAX(0.1,N(Cockpit!$O$6)))-CK1209)),0)</f>
        <v>1</v>
      </c>
      <c r="BG1209" s="51" t="n">
        <f aca="false">IF(BC1209&gt;0,J1209/BC1209,-1)</f>
        <v>0</v>
      </c>
      <c r="BH1209" s="51" t="n">
        <f aca="false">IF(AND(OR(CF1209="L1",CF1209="L23",CF1209="LIFT"),BC1209&gt;0),SUMIFS($BC$7:$BC$1843,$CF$7:$CF$1843,CF1209,$BG$7:$BG$1843,"&gt;"&amp;BG1209)+SUMIFS($BC$7:$BC$1843,$CF$7:$CF$1843,CF1209,$BG$7:$BG$1843,BG1209,$BW$7:$BW$1843,"&lt;="&amp;BW1209),"")</f>
        <v>29214.787887254</v>
      </c>
      <c r="BI1209" s="58" t="n">
        <f aca="false">IF(BH1209="",0,MAX(0,MIN(1,(IF(CF1209="L1",Parameter!$H$5,IF(CF1209="L23",Parameter!$H$6+Parameter!$H$7,Parameter!$H$5+Parameter!$H$6+Parameter!$H$7))-(BH1209-BC1209))/BC1209)))</f>
        <v>1</v>
      </c>
      <c r="BJ1209" s="48" t="str">
        <f aca="false">IF(AI1209&lt;=0,"",IF(CF1209="Aussen","Aussenlager",IF(CF1209="-","Nicht im Lift",IF(AO1209&gt;=1,"Lift",IF(AO1209&lt;=0,"Aussenlager","teilweise")))))</f>
        <v>Lift</v>
      </c>
      <c r="BK1209" s="48" t="str">
        <f aca="false">IF(AS1209&lt;=0,"",IF(CF1209="Aussen","Aussenlager",IF(CF1209="-","Nicht im Lift",IF(AY1209&gt;=1,"Lift",IF(AY1209&lt;=0,"Aussenlager","teilweise")))))</f>
        <v>Lift</v>
      </c>
      <c r="BL1209" s="48" t="str">
        <f aca="false">IF(BC1209&lt;=0,"",IF(CF1209="Aussen","Aussenlager",IF(CF1209="-","Nicht im Lift",IF(BI1209&gt;=1,"Lift",IF(BI1209&lt;=0,"Aussenlager","teilweise")))))</f>
        <v>Lift</v>
      </c>
      <c r="BM1209" s="48" t="str">
        <f aca="false">IF(A1209="","",IF(BV1209=1,"Neu; ","")&amp;IF(AND(BV1209=0,BQ1209&lt;0),"negativer Bestand (Export "&amp;BQ1209&amp;"); ","")&amp;IF(J1209&lt;=0,"Kein Verbrauch; ","")&amp;IF(CQ1209&gt;0,"Lift "&amp;W1209&amp;" lt. Liftbericht (Fach "&amp;X1209&amp;" Stk); ",IF(CA1209=1,"Gebinde geschätzt ("&amp;T1209&amp;"); ",IF(BZ1209=1,"Lose – Tablare geschätzt; ","")))&amp;IF(H1209&gt;AV1209,"Überbestand "&amp;ROUND(H1209-AV1209,0)&amp;" Stk / CHF "&amp;ROUND((H1209-AV1209)*G1209,0)&amp;"; ","")&amp;IF(AND(CH1209=1,CI1209&lt;CJ1209),"MAX &lt; MB+LG; ","")&amp;IF(AND(CP1209&gt;0,CO1209*10&gt;CP1209),"zu hoch für Tablar; ","")&amp;IF(AND(BV1209=0,OR(CH1209=1,AA1209&lt;&gt;"",U1209&lt;&gt;"",V1209&lt;&gt;"",AB1209&lt;&gt;"")),"manuell übersteuert; ","")&amp;IF(AND(BZ1209=0,R1209=0),"Gebinde unbekannt / Stellmass fehlt; ","")&amp;IF(AND(BZ1209=0,N(V1209)&lt;=0,N(Q1209)&lt;=0),"Menge pro Gebinde fehlt (Ist = 1 Gebinde); ","")&amp;BU1209)</f>
        <v>negativer Bestand (Export -1); Kein Verbrauch; Überbestand 6 Stk / CHF 3118; </v>
      </c>
      <c r="BN1209" s="48"/>
      <c r="BO1209" s="48"/>
      <c r="BP1209" s="55"/>
      <c r="BQ1209" s="50" t="n">
        <v>-1</v>
      </c>
      <c r="BR1209" s="50" t="n">
        <v>8</v>
      </c>
      <c r="BS1209" s="49" t="n">
        <v>-519.59</v>
      </c>
      <c r="BT1209" s="50" t="n">
        <v>0</v>
      </c>
      <c r="BU1209" s="48"/>
      <c r="BV1209" s="53" t="n">
        <v>0</v>
      </c>
      <c r="BW1209" s="53" t="n">
        <v>1209</v>
      </c>
      <c r="BX1209" s="48" t="str">
        <f aca="false">IF(U1209&lt;&gt;"",UPPER(TRIM(U1209)),IF(CA1209=1,UPPER(VLOOKUP(T1209,Parameter!$I$27:$K$29,2,0)),IF(P1209="","LOSE",P1209)))</f>
        <v>S41</v>
      </c>
      <c r="BY1209" s="50" t="n">
        <f aca="false">IF(BX1209="LOSE",1,IF(N(V1209)&gt;0,V1209,IF(CA1209=1,MAX(1,N(VLOOKUP(T1209,Parameter!$I$27:$K$29,3,0)),H1209,N(N1209)),IF(N(Q1209)&gt;0,Q1209,MAX(1,H1209)))))</f>
        <v>10</v>
      </c>
      <c r="BZ1209" s="53" t="n">
        <f aca="false">IF(BX1209="LOSE",1,0)</f>
        <v>0</v>
      </c>
      <c r="CA1209" s="53" t="n">
        <f aca="false">IF(AND(U1209="",OR(P1209="",P1209="LOSE"),T1209&lt;&gt;"",N(S1209)&lt;=0,ISNUMBER(MATCH(T1209,Parameter!$I$27:$I$29,0))),1,0)</f>
        <v>0</v>
      </c>
      <c r="CB1209" s="53" t="n">
        <f aca="false">IF(CQ1209&gt;0,INDEX(Parameter!$H$5:$H$7,W1209)/INDEX(Parameter!$E$5:$E$7,W1209),IF(AND(BZ1209=0,N(IFERROR(VLOOKUP(BX1209,'Gebinde-Kategorie'!$A$5:$N$45,14,0),0))&gt;0),VLOOKUP(BX1209,'Gebinde-Kategorie'!$A$5:$N$45,14,0)*10+Parameter!$M$23,Parameter!$M$24))</f>
        <v>155</v>
      </c>
      <c r="CC1209" s="48" t="str">
        <f aca="false">IF(AND(Parameter!$B$19="Ja",E1209&lt;&gt;"",ISNUMBER(MATCH(E1209,Parameter!$I$35:$I$52,0))),VLOOKUP(E1209,Parameter!$I$35:$J$52,2,0),IFERROR(VLOOKUP(D1209,Parameter!$A$35:$C$64,2,0),"Nein"))</f>
        <v>2+3</v>
      </c>
      <c r="CD1209" s="52" t="n">
        <f aca="false">IF(BZ1209=0,0,IF(N(S1209)&gt;0,S1209,IFERROR(VLOOKUP(D1209,Parameter!$A$35:$C$64,3,0)+0,0)))</f>
        <v>0</v>
      </c>
      <c r="CE1209" s="48" t="n">
        <f aca="false">IF(AA1209&lt;&gt;"",AA1209,Z1209)</f>
        <v>3</v>
      </c>
      <c r="CF1209" s="48" t="str">
        <f aca="false">IF(OR(CE1209=1,CE1209=2,CE1209=3),IF(Parameter!$E$27="Ja","LIFT",IF(CE1209=1,"L1","L23")),IF(CE1209="Aussen","Aussen","-"))</f>
        <v>LIFT</v>
      </c>
      <c r="CG1209" s="59" t="n">
        <f aca="false">IF(N(AB1209)&gt;0,AB1209,0)</f>
        <v>0</v>
      </c>
      <c r="CH1209" s="53" t="n">
        <f aca="false">IF(ISNUMBER(AE1209),1,0)</f>
        <v>0</v>
      </c>
      <c r="CI1209" s="50" t="n">
        <f aca="false">N(AE1209)</f>
        <v>0</v>
      </c>
      <c r="CJ1209" s="50" t="n">
        <f aca="false">N(M1209)+N(N1209)</f>
        <v>1</v>
      </c>
      <c r="CK1209" s="50" t="n">
        <f aca="false">N(M1209)</f>
        <v>0</v>
      </c>
      <c r="CL1209" s="50" t="n">
        <f aca="false">N(N1209)</f>
        <v>1</v>
      </c>
      <c r="CM1209" s="50" t="n">
        <f aca="false">ROUNDUP(H1209/BY1209,0)</f>
        <v>1</v>
      </c>
      <c r="CN1209" s="50" t="n">
        <f aca="false">ROUNDUP(CI1209/BY1209,0)</f>
        <v>0</v>
      </c>
      <c r="CO1209" s="53" t="n">
        <f aca="false">IF(BZ1209=1,0,IFERROR(VLOOKUP(BX1209,'Gebinde-Kategorie'!$A$5:$N$45,5,0)+0,0))</f>
        <v>11</v>
      </c>
      <c r="CP1209" s="53" t="n">
        <f aca="false">IFERROR(IF(OR(CE1209=1,CE1209=2,CE1209=3),N(INDEX(Parameter!$I$5:$I$7,CE1209)),0),0)</f>
        <v>0</v>
      </c>
      <c r="CQ1209" s="52" t="n">
        <f aca="false">IF(AND(Parameter!$B$21="Ja",ISNUMBER(W1209),N(X1209)&gt;0),IFERROR(N(INDEX(Parameter!$L$5:$L$7,W1209))*INDEX(Parameter!$E$5:$E$7,W1209)*X1209/SUMIFS($X$7:$X$1843,$W$7:$W$1843,W1209),0),0)</f>
        <v>0</v>
      </c>
    </row>
    <row r="1210" customFormat="false" ht="15" hidden="false" customHeight="false" outlineLevel="0" collapsed="false">
      <c r="A1210" s="48" t="s">
        <v>2182</v>
      </c>
      <c r="B1210" s="48" t="s">
        <v>2009</v>
      </c>
      <c r="C1210" s="48" t="s">
        <v>173</v>
      </c>
      <c r="D1210" s="48" t="s">
        <v>182</v>
      </c>
      <c r="E1210" s="48"/>
      <c r="F1210" s="48" t="s">
        <v>227</v>
      </c>
      <c r="G1210" s="49" t="n">
        <v>206.49</v>
      </c>
      <c r="H1210" s="50" t="n">
        <f aca="false">MAX(0,IF(AND(Parameter!$B$21="Ja",ISNUMBER(Y1210)),Y1210,IF(Parameter!$B$20="Jahresanfang 2025 + Export",BR1210+BQ1210,BQ1210)))</f>
        <v>5</v>
      </c>
      <c r="I1210" s="50" t="n">
        <f aca="false">H1210*G1210</f>
        <v>1032.45</v>
      </c>
      <c r="J1210" s="50" t="n">
        <f aca="false">BT1210*Parameter!$B$18</f>
        <v>18</v>
      </c>
      <c r="K1210" s="51" t="n">
        <v>14</v>
      </c>
      <c r="L1210" s="52" t="n">
        <v>1.28571428571429</v>
      </c>
      <c r="M1210" s="50" t="n">
        <v>2</v>
      </c>
      <c r="N1210" s="50" t="n">
        <v>15</v>
      </c>
      <c r="O1210" s="53" t="n">
        <v>28</v>
      </c>
      <c r="P1210" s="48" t="s">
        <v>183</v>
      </c>
      <c r="Q1210" s="50" t="n">
        <v>15</v>
      </c>
      <c r="R1210" s="53" t="n">
        <f aca="false">IF(BZ1210=1,0,IFERROR(VLOOKUP(BX1210,'Gebinde-Kategorie'!$A$5:$N$45,13,0)+0,0))</f>
        <v>6</v>
      </c>
      <c r="S1210" s="54"/>
      <c r="T1210" s="55"/>
      <c r="U1210" s="55"/>
      <c r="V1210" s="55"/>
      <c r="W1210" s="48"/>
      <c r="X1210" s="50"/>
      <c r="Y1210" s="50"/>
      <c r="Z1210" s="48" t="n">
        <f aca="false">IF(A1210="","",IF(AND(Parameter!$B$21="Ja",ISNUMBER(W1210)),W1210,IF(CC1210="2+3",IF(ISNUMBER(SEARCH("grosser Artikel",BU1210)),2,IFERROR(VLOOKUP(BX1210,Parameter!$F$35:$G$64,2,0),2)),IF(OR(CC1210="Nein",CC1210=""),"-",CC1210))))</f>
        <v>2</v>
      </c>
      <c r="AA1210" s="55"/>
      <c r="AB1210" s="56"/>
      <c r="AC1210" s="50" t="n">
        <f aca="false">AV1210</f>
        <v>17</v>
      </c>
      <c r="AD1210" s="50" t="n">
        <f aca="false">MAX(AV1210,H1210)</f>
        <v>17</v>
      </c>
      <c r="AE1210" s="57"/>
      <c r="AF1210" s="50" t="n">
        <f aca="false">IF(LEFT(Cockpit!$C$5,1)="A",H1210,IF(Parameter!$E$30="MAX-Bestand",IF(CH1210=1,CI1210,IF(LEFT(Cockpit!$C$5,1)="B",AL1210,MAX(AL1210,H1210))),ROUNDUP(AJ1210,0)))</f>
        <v>5</v>
      </c>
      <c r="AG1210" s="50" t="n">
        <f aca="false">IF(BZ1210=1,0,ROUNDUP(AF1210/BY1210,0))</f>
        <v>1</v>
      </c>
      <c r="AH1210" s="52" t="n">
        <f aca="false">IF(CQ1210&gt;0,CQ1210*MAX(1,AF1210/X1210),IF(BZ1210=1,IF(AF1210&lt;=0,0,CD1210*MAX(1,IF(H1210&gt;0,AF1210/H1210,1))),IF(R1210&gt;0,AG1210/R1210,0))/MAX(0.1,N(Parameter!$M$21)))</f>
        <v>0.166666666666667</v>
      </c>
      <c r="AI1210" s="50" t="n">
        <f aca="false">AH1210*CB1210</f>
        <v>39.1666666666667</v>
      </c>
      <c r="AJ1210" s="51" t="n">
        <f aca="false">IF(LEFT(Cockpit!$C$5,1)="A",H1210,IF(CH1210=1,(CK1210+CI1210)/2,IF(LEFT(Cockpit!$C$5,1)="B",(CK1210+AL1210)/2,MAX((CK1210+AL1210)/2,H1210))))</f>
        <v>5</v>
      </c>
      <c r="AK1210" s="50" t="n">
        <f aca="false">AJ1210*G1210</f>
        <v>1032.45</v>
      </c>
      <c r="AL1210" s="50" t="n">
        <f aca="false">ROUNDUP(CK1210+MAX(CL1210,2*(J1210/IF(CG1210&gt;0,CG1210,MAX(0.1,N(Cockpit!$C$6)))-CK1210)),0)</f>
        <v>17</v>
      </c>
      <c r="AM1210" s="51" t="n">
        <f aca="false">IF(AI1210&gt;0,J1210/AI1210,-1)</f>
        <v>0.459574468085106</v>
      </c>
      <c r="AN1210" s="51" t="n">
        <f aca="false">IF(AND(OR(CF1210="L1",CF1210="L23",CF1210="LIFT"),AI1210&gt;0),SUMIFS($AI$7:$AI$1843,$CF$7:$CF$1843,CF1210,$AM$7:$AM$1843,"&gt;"&amp;AM1210)+SUMIFS($AI$7:$AI$1843,$CF$7:$CF$1843,CF1210,$AM$7:$AM$1843,AM1210,$BW$7:$BW$1843,"&lt;="&amp;BW1210),"")</f>
        <v>9817.67716934666</v>
      </c>
      <c r="AO1210" s="58" t="n">
        <f aca="false">IF(AN1210="",0,MAX(0,MIN(1,(IF(CF1210="L1",Parameter!$H$5,IF(CF1210="L23",Parameter!$H$6+Parameter!$H$7,Parameter!$H$5+Parameter!$H$6+Parameter!$H$7))-(AN1210-AI1210))/AI1210)))</f>
        <v>1</v>
      </c>
      <c r="AP1210" s="50" t="n">
        <f aca="false">IF(LEFT(Cockpit!$I$5,1)="A",H1210,IF(Parameter!$E$30="MAX-Bestand",IF(CH1210=1,CI1210,IF(LEFT(Cockpit!$I$5,1)="B",AV1210,MAX(AV1210,H1210))),ROUNDUP(AT1210,0)))</f>
        <v>10</v>
      </c>
      <c r="AQ1210" s="50" t="n">
        <f aca="false">IF(BZ1210=1,0,ROUNDUP(AP1210/BY1210,0))</f>
        <v>1</v>
      </c>
      <c r="AR1210" s="52" t="n">
        <f aca="false">IF(CQ1210&gt;0,CQ1210*MAX(1,AP1210/X1210),IF(BZ1210=1,IF(AP1210&lt;=0,0,CD1210*MAX(1,IF(H1210&gt;0,AP1210/H1210,1))),IF(R1210&gt;0,AQ1210/R1210,0))/MAX(0.1,N(Parameter!$M$21)))</f>
        <v>0.166666666666667</v>
      </c>
      <c r="AS1210" s="50" t="n">
        <f aca="false">AR1210*CB1210</f>
        <v>39.1666666666667</v>
      </c>
      <c r="AT1210" s="51" t="n">
        <f aca="false">IF(LEFT(Cockpit!$I$5,1)="A",H1210,IF(CH1210=1,(CK1210+CI1210)/2,IF(LEFT(Cockpit!$I$5,1)="B",(CK1210+AV1210)/2,MAX((CK1210+AV1210)/2,H1210))))</f>
        <v>9.5</v>
      </c>
      <c r="AU1210" s="50" t="n">
        <f aca="false">AT1210*G1210</f>
        <v>1961.655</v>
      </c>
      <c r="AV1210" s="50" t="n">
        <f aca="false">ROUNDUP(CK1210+MAX(CL1210,2*(J1210/IF(CG1210&gt;0,CG1210,MAX(0.1,N(Cockpit!$I$6)))-CK1210)),0)</f>
        <v>17</v>
      </c>
      <c r="AW1210" s="51" t="n">
        <f aca="false">IF(AS1210&gt;0,J1210/AS1210,-1)</f>
        <v>0.459574468085106</v>
      </c>
      <c r="AX1210" s="51" t="n">
        <f aca="false">IF(AND(OR(CF1210="L1",CF1210="L23",CF1210="LIFT"),AS1210&gt;0),SUMIFS($AS$7:$AS$1843,$CF$7:$CF$1843,CF1210,$AW$7:$AW$1843,"&gt;"&amp;AW1210)+SUMIFS($AS$7:$AS$1843,$CF$7:$CF$1843,CF1210,$AW$7:$AW$1843,AW1210,$BW$7:$BW$1843,"&lt;="&amp;BW1210),"")</f>
        <v>12231.5137362637</v>
      </c>
      <c r="AY1210" s="58" t="n">
        <f aca="false">IF(AX1210="",0,MAX(0,MIN(1,(IF(CF1210="L1",Parameter!$H$5,IF(CF1210="L23",Parameter!$H$6+Parameter!$H$7,Parameter!$H$5+Parameter!$H$6+Parameter!$H$7))-(AX1210-AS1210))/AS1210)))</f>
        <v>1</v>
      </c>
      <c r="AZ1210" s="50" t="n">
        <f aca="false">IF(LEFT(Cockpit!$O$5,1)="A",H1210,IF(Parameter!$E$30="MAX-Bestand",IF(CH1210=1,CI1210,IF(LEFT(Cockpit!$O$5,1)="B",BF1210,MAX(BF1210,H1210))),ROUNDUP(BD1210,0)))</f>
        <v>10</v>
      </c>
      <c r="BA1210" s="50" t="n">
        <f aca="false">IF(BZ1210=1,0,ROUNDUP(AZ1210/BY1210,0))</f>
        <v>1</v>
      </c>
      <c r="BB1210" s="52" t="n">
        <f aca="false">IF(CQ1210&gt;0,CQ1210*MAX(1,AZ1210/X1210),IF(BZ1210=1,IF(AZ1210&lt;=0,0,CD1210*MAX(1,IF(H1210&gt;0,AZ1210/H1210,1))),IF(R1210&gt;0,BA1210/R1210,0))/MAX(0.1,N(Parameter!$M$21)))</f>
        <v>0.166666666666667</v>
      </c>
      <c r="BC1210" s="50" t="n">
        <f aca="false">BB1210*CB1210</f>
        <v>39.1666666666667</v>
      </c>
      <c r="BD1210" s="51" t="n">
        <f aca="false">IF(LEFT(Cockpit!$O$5,1)="A",H1210,IF(CH1210=1,(CK1210+CI1210)/2,IF(LEFT(Cockpit!$O$5,1)="B",(CK1210+BF1210)/2,MAX((CK1210+BF1210)/2,H1210))))</f>
        <v>9.5</v>
      </c>
      <c r="BE1210" s="50" t="n">
        <f aca="false">BD1210*G1210</f>
        <v>1961.655</v>
      </c>
      <c r="BF1210" s="50" t="n">
        <f aca="false">ROUNDUP(CK1210+MAX(CL1210,2*(J1210/IF(CG1210&gt;0,CG1210,MAX(0.1,N(Cockpit!$O$6)))-CK1210)),0)</f>
        <v>17</v>
      </c>
      <c r="BG1210" s="51" t="n">
        <f aca="false">IF(BC1210&gt;0,J1210/BC1210,-1)</f>
        <v>0.459574468085106</v>
      </c>
      <c r="BH1210" s="51" t="n">
        <f aca="false">IF(AND(OR(CF1210="L1",CF1210="L23",CF1210="LIFT"),BC1210&gt;0),SUMIFS($BC$7:$BC$1843,$CF$7:$CF$1843,CF1210,$BG$7:$BG$1843,"&gt;"&amp;BG1210)+SUMIFS($BC$7:$BC$1843,$CF$7:$CF$1843,CF1210,$BG$7:$BG$1843,BG1210,$BW$7:$BW$1843,"&lt;="&amp;BW1210),"")</f>
        <v>10537.4299450549</v>
      </c>
      <c r="BI1210" s="58" t="n">
        <f aca="false">IF(BH1210="",0,MAX(0,MIN(1,(IF(CF1210="L1",Parameter!$H$5,IF(CF1210="L23",Parameter!$H$6+Parameter!$H$7,Parameter!$H$5+Parameter!$H$6+Parameter!$H$7))-(BH1210-BC1210))/BC1210)))</f>
        <v>1</v>
      </c>
      <c r="BJ1210" s="48" t="str">
        <f aca="false">IF(AI1210&lt;=0,"",IF(CF1210="Aussen","Aussenlager",IF(CF1210="-","Nicht im Lift",IF(AO1210&gt;=1,"Lift",IF(AO1210&lt;=0,"Aussenlager","teilweise")))))</f>
        <v>Lift</v>
      </c>
      <c r="BK1210" s="48" t="str">
        <f aca="false">IF(AS1210&lt;=0,"",IF(CF1210="Aussen","Aussenlager",IF(CF1210="-","Nicht im Lift",IF(AY1210&gt;=1,"Lift",IF(AY1210&lt;=0,"Aussenlager","teilweise")))))</f>
        <v>Lift</v>
      </c>
      <c r="BL1210" s="48" t="str">
        <f aca="false">IF(BC1210&lt;=0,"",IF(CF1210="Aussen","Aussenlager",IF(CF1210="-","Nicht im Lift",IF(BI1210&gt;=1,"Lift",IF(BI1210&lt;=0,"Aussenlager","teilweise")))))</f>
        <v>Lift</v>
      </c>
      <c r="BM1210" s="48" t="str">
        <f aca="false">IF(A1210="","",IF(BV1210=1,"Neu; ","")&amp;IF(AND(BV1210=0,BQ1210&lt;0),"negativer Bestand (Export "&amp;BQ1210&amp;"); ","")&amp;IF(J1210&lt;=0,"Kein Verbrauch; ","")&amp;IF(CQ1210&gt;0,"Lift "&amp;W1210&amp;" lt. Liftbericht (Fach "&amp;X1210&amp;" Stk); ",IF(CA1210=1,"Gebinde geschätzt ("&amp;T1210&amp;"); ",IF(BZ1210=1,"Lose – Tablare geschätzt; ","")))&amp;IF(H1210&gt;AV1210,"Überbestand "&amp;ROUND(H1210-AV1210,0)&amp;" Stk / CHF "&amp;ROUND((H1210-AV1210)*G1210,0)&amp;"; ","")&amp;IF(AND(CH1210=1,CI1210&lt;CJ1210),"MAX &lt; MB+LG; ","")&amp;IF(AND(CP1210&gt;0,CO1210*10&gt;CP1210),"zu hoch für Tablar; ","")&amp;IF(AND(BV1210=0,OR(CH1210=1,AA1210&lt;&gt;"",U1210&lt;&gt;"",V1210&lt;&gt;"",AB1210&lt;&gt;"")),"manuell übersteuert; ","")&amp;IF(AND(BZ1210=0,R1210=0),"Gebinde unbekannt / Stellmass fehlt; ","")&amp;IF(AND(BZ1210=0,N(V1210)&lt;=0,N(Q1210)&lt;=0),"Menge pro Gebinde fehlt (Ist = 1 Gebinde); ","")&amp;BU1210)</f>
        <v>negativer Bestand (Export -3); </v>
      </c>
      <c r="BN1210" s="48"/>
      <c r="BO1210" s="48"/>
      <c r="BP1210" s="55"/>
      <c r="BQ1210" s="50" t="n">
        <v>-3</v>
      </c>
      <c r="BR1210" s="50" t="n">
        <v>8</v>
      </c>
      <c r="BS1210" s="49" t="n">
        <v>-527.629999999999</v>
      </c>
      <c r="BT1210" s="50" t="n">
        <v>18</v>
      </c>
      <c r="BU1210" s="48"/>
      <c r="BV1210" s="53" t="n">
        <v>0</v>
      </c>
      <c r="BW1210" s="53" t="n">
        <v>1210</v>
      </c>
      <c r="BX1210" s="48" t="str">
        <f aca="false">IF(U1210&lt;&gt;"",UPPER(TRIM(U1210)),IF(CA1210=1,UPPER(VLOOKUP(T1210,Parameter!$I$27:$K$29,2,0)),IF(P1210="","LOSE",P1210)))</f>
        <v>S71</v>
      </c>
      <c r="BY1210" s="50" t="n">
        <f aca="false">IF(BX1210="LOSE",1,IF(N(V1210)&gt;0,V1210,IF(CA1210=1,MAX(1,N(VLOOKUP(T1210,Parameter!$I$27:$K$29,3,0)),H1210,N(N1210)),IF(N(Q1210)&gt;0,Q1210,MAX(1,H1210)))))</f>
        <v>15</v>
      </c>
      <c r="BZ1210" s="53" t="n">
        <f aca="false">IF(BX1210="LOSE",1,0)</f>
        <v>0</v>
      </c>
      <c r="CA1210" s="53" t="n">
        <f aca="false">IF(AND(U1210="",OR(P1210="",P1210="LOSE"),T1210&lt;&gt;"",N(S1210)&lt;=0,ISNUMBER(MATCH(T1210,Parameter!$I$27:$I$29,0))),1,0)</f>
        <v>0</v>
      </c>
      <c r="CB1210" s="53" t="n">
        <f aca="false">IF(CQ1210&gt;0,INDEX(Parameter!$H$5:$H$7,W1210)/INDEX(Parameter!$E$5:$E$7,W1210),IF(AND(BZ1210=0,N(IFERROR(VLOOKUP(BX1210,'Gebinde-Kategorie'!$A$5:$N$45,14,0),0))&gt;0),VLOOKUP(BX1210,'Gebinde-Kategorie'!$A$5:$N$45,14,0)*10+Parameter!$M$23,Parameter!$M$24))</f>
        <v>235</v>
      </c>
      <c r="CC1210" s="48" t="str">
        <f aca="false">IF(AND(Parameter!$B$19="Ja",E1210&lt;&gt;"",ISNUMBER(MATCH(E1210,Parameter!$I$35:$I$52,0))),VLOOKUP(E1210,Parameter!$I$35:$J$52,2,0),IFERROR(VLOOKUP(D1210,Parameter!$A$35:$C$64,2,0),"Nein"))</f>
        <v>2+3</v>
      </c>
      <c r="CD1210" s="52" t="n">
        <f aca="false">IF(BZ1210=0,0,IF(N(S1210)&gt;0,S1210,IFERROR(VLOOKUP(D1210,Parameter!$A$35:$C$64,3,0)+0,0)))</f>
        <v>0</v>
      </c>
      <c r="CE1210" s="48" t="n">
        <f aca="false">IF(AA1210&lt;&gt;"",AA1210,Z1210)</f>
        <v>2</v>
      </c>
      <c r="CF1210" s="48" t="str">
        <f aca="false">IF(OR(CE1210=1,CE1210=2,CE1210=3),IF(Parameter!$E$27="Ja","LIFT",IF(CE1210=1,"L1","L23")),IF(CE1210="Aussen","Aussen","-"))</f>
        <v>LIFT</v>
      </c>
      <c r="CG1210" s="59" t="n">
        <f aca="false">IF(N(AB1210)&gt;0,AB1210,0)</f>
        <v>0</v>
      </c>
      <c r="CH1210" s="53" t="n">
        <f aca="false">IF(ISNUMBER(AE1210),1,0)</f>
        <v>0</v>
      </c>
      <c r="CI1210" s="50" t="n">
        <f aca="false">N(AE1210)</f>
        <v>0</v>
      </c>
      <c r="CJ1210" s="50" t="n">
        <f aca="false">N(M1210)+N(N1210)</f>
        <v>17</v>
      </c>
      <c r="CK1210" s="50" t="n">
        <f aca="false">N(M1210)</f>
        <v>2</v>
      </c>
      <c r="CL1210" s="50" t="n">
        <f aca="false">N(N1210)</f>
        <v>15</v>
      </c>
      <c r="CM1210" s="50" t="n">
        <f aca="false">ROUNDUP(H1210/BY1210,0)</f>
        <v>1</v>
      </c>
      <c r="CN1210" s="50" t="n">
        <f aca="false">ROUNDUP(CI1210/BY1210,0)</f>
        <v>0</v>
      </c>
      <c r="CO1210" s="53" t="n">
        <f aca="false">IF(BZ1210=1,0,IFERROR(VLOOKUP(BX1210,'Gebinde-Kategorie'!$A$5:$N$45,5,0)+0,0))</f>
        <v>20</v>
      </c>
      <c r="CP1210" s="53" t="n">
        <f aca="false">IFERROR(IF(OR(CE1210=1,CE1210=2,CE1210=3),N(INDEX(Parameter!$I$5:$I$7,CE1210)),0),0)</f>
        <v>0</v>
      </c>
      <c r="CQ1210" s="52" t="n">
        <f aca="false">IF(AND(Parameter!$B$21="Ja",ISNUMBER(W1210),N(X1210)&gt;0),IFERROR(N(INDEX(Parameter!$L$5:$L$7,W1210))*INDEX(Parameter!$E$5:$E$7,W1210)*X1210/SUMIFS($X$7:$X$1843,$W$7:$W$1843,W1210),0),0)</f>
        <v>0</v>
      </c>
    </row>
    <row r="1211" customFormat="false" ht="15" hidden="false" customHeight="false" outlineLevel="0" collapsed="false">
      <c r="A1211" s="48" t="s">
        <v>2183</v>
      </c>
      <c r="B1211" s="48" t="s">
        <v>2184</v>
      </c>
      <c r="C1211" s="48" t="s">
        <v>173</v>
      </c>
      <c r="D1211" s="48" t="s">
        <v>193</v>
      </c>
      <c r="E1211" s="48" t="s">
        <v>194</v>
      </c>
      <c r="F1211" s="48" t="s">
        <v>227</v>
      </c>
      <c r="G1211" s="49" t="n">
        <v>48.12</v>
      </c>
      <c r="H1211" s="50" t="n">
        <f aca="false">MAX(0,IF(AND(Parameter!$B$21="Ja",ISNUMBER(Y1211)),Y1211,IF(Parameter!$B$20="Jahresanfang 2025 + Export",BR1211+BQ1211,BQ1211)))</f>
        <v>34</v>
      </c>
      <c r="I1211" s="50" t="n">
        <f aca="false">H1211*G1211</f>
        <v>1636.08</v>
      </c>
      <c r="J1211" s="50" t="n">
        <f aca="false">BT1211*Parameter!$B$18</f>
        <v>14</v>
      </c>
      <c r="K1211" s="51" t="n">
        <v>40.5</v>
      </c>
      <c r="L1211" s="52" t="n">
        <v>0.345679012345679</v>
      </c>
      <c r="M1211" s="50" t="n">
        <v>1</v>
      </c>
      <c r="N1211" s="50" t="n">
        <v>15</v>
      </c>
      <c r="O1211" s="53" t="n">
        <v>28</v>
      </c>
      <c r="P1211" s="48" t="s">
        <v>242</v>
      </c>
      <c r="Q1211" s="50" t="n">
        <v>38</v>
      </c>
      <c r="R1211" s="53" t="n">
        <f aca="false">IF(BZ1211=1,0,IFERROR(VLOOKUP(BX1211,'Gebinde-Kategorie'!$A$5:$N$45,13,0)+0,0))</f>
        <v>26</v>
      </c>
      <c r="S1211" s="54"/>
      <c r="T1211" s="55"/>
      <c r="U1211" s="55"/>
      <c r="V1211" s="55"/>
      <c r="W1211" s="48"/>
      <c r="X1211" s="50"/>
      <c r="Y1211" s="50"/>
      <c r="Z1211" s="48" t="n">
        <f aca="false">IF(A1211="","",IF(AND(Parameter!$B$21="Ja",ISNUMBER(W1211)),W1211,IF(CC1211="2+3",IF(ISNUMBER(SEARCH("grosser Artikel",BU1211)),2,IFERROR(VLOOKUP(BX1211,Parameter!$F$35:$G$64,2,0),2)),IF(OR(CC1211="Nein",CC1211=""),"-",CC1211))))</f>
        <v>3</v>
      </c>
      <c r="AA1211" s="55"/>
      <c r="AB1211" s="56"/>
      <c r="AC1211" s="50" t="n">
        <f aca="false">AV1211</f>
        <v>16</v>
      </c>
      <c r="AD1211" s="50" t="n">
        <f aca="false">MAX(AV1211,H1211)</f>
        <v>34</v>
      </c>
      <c r="AE1211" s="57"/>
      <c r="AF1211" s="50" t="n">
        <f aca="false">IF(LEFT(Cockpit!$C$5,1)="A",H1211,IF(Parameter!$E$30="MAX-Bestand",IF(CH1211=1,CI1211,IF(LEFT(Cockpit!$C$5,1)="B",AL1211,MAX(AL1211,H1211))),ROUNDUP(AJ1211,0)))</f>
        <v>34</v>
      </c>
      <c r="AG1211" s="50" t="n">
        <f aca="false">IF(BZ1211=1,0,ROUNDUP(AF1211/BY1211,0))</f>
        <v>1</v>
      </c>
      <c r="AH1211" s="52" t="n">
        <f aca="false">IF(CQ1211&gt;0,CQ1211*MAX(1,AF1211/X1211),IF(BZ1211=1,IF(AF1211&lt;=0,0,CD1211*MAX(1,IF(H1211&gt;0,AF1211/H1211,1))),IF(R1211&gt;0,AG1211/R1211,0))/MAX(0.1,N(Parameter!$M$21)))</f>
        <v>0.0384615384615385</v>
      </c>
      <c r="AI1211" s="50" t="n">
        <f aca="false">AH1211*CB1211</f>
        <v>9.42307692307692</v>
      </c>
      <c r="AJ1211" s="51" t="n">
        <f aca="false">IF(LEFT(Cockpit!$C$5,1)="A",H1211,IF(CH1211=1,(CK1211+CI1211)/2,IF(LEFT(Cockpit!$C$5,1)="B",(CK1211+AL1211)/2,MAX((CK1211+AL1211)/2,H1211))))</f>
        <v>34</v>
      </c>
      <c r="AK1211" s="50" t="n">
        <f aca="false">AJ1211*G1211</f>
        <v>1636.08</v>
      </c>
      <c r="AL1211" s="50" t="n">
        <f aca="false">ROUNDUP(CK1211+MAX(CL1211,2*(J1211/IF(CG1211&gt;0,CG1211,MAX(0.1,N(Cockpit!$C$6)))-CK1211)),0)</f>
        <v>16</v>
      </c>
      <c r="AM1211" s="51" t="n">
        <f aca="false">IF(AI1211&gt;0,J1211/AI1211,-1)</f>
        <v>1.48571428571429</v>
      </c>
      <c r="AN1211" s="51" t="n">
        <f aca="false">IF(AND(OR(CF1211="L1",CF1211="L23",CF1211="LIFT"),AI1211&gt;0),SUMIFS($AI$7:$AI$1843,$CF$7:$CF$1843,CF1211,$AM$7:$AM$1843,"&gt;"&amp;AM1211)+SUMIFS($AI$7:$AI$1843,$CF$7:$CF$1843,CF1211,$AM$7:$AM$1843,AM1211,$BW$7:$BW$1843,"&lt;="&amp;BW1211),"")</f>
        <v>6231.2760989011</v>
      </c>
      <c r="AO1211" s="58" t="n">
        <f aca="false">IF(AN1211="",0,MAX(0,MIN(1,(IF(CF1211="L1",Parameter!$H$5,IF(CF1211="L23",Parameter!$H$6+Parameter!$H$7,Parameter!$H$5+Parameter!$H$6+Parameter!$H$7))-(AN1211-AI1211))/AI1211)))</f>
        <v>1</v>
      </c>
      <c r="AP1211" s="50" t="n">
        <f aca="false">IF(LEFT(Cockpit!$I$5,1)="A",H1211,IF(Parameter!$E$30="MAX-Bestand",IF(CH1211=1,CI1211,IF(LEFT(Cockpit!$I$5,1)="B",AV1211,MAX(AV1211,H1211))),ROUNDUP(AT1211,0)))</f>
        <v>34</v>
      </c>
      <c r="AQ1211" s="50" t="n">
        <f aca="false">IF(BZ1211=1,0,ROUNDUP(AP1211/BY1211,0))</f>
        <v>1</v>
      </c>
      <c r="AR1211" s="52" t="n">
        <f aca="false">IF(CQ1211&gt;0,CQ1211*MAX(1,AP1211/X1211),IF(BZ1211=1,IF(AP1211&lt;=0,0,CD1211*MAX(1,IF(H1211&gt;0,AP1211/H1211,1))),IF(R1211&gt;0,AQ1211/R1211,0))/MAX(0.1,N(Parameter!$M$21)))</f>
        <v>0.0384615384615385</v>
      </c>
      <c r="AS1211" s="50" t="n">
        <f aca="false">AR1211*CB1211</f>
        <v>9.42307692307692</v>
      </c>
      <c r="AT1211" s="51" t="n">
        <f aca="false">IF(LEFT(Cockpit!$I$5,1)="A",H1211,IF(CH1211=1,(CK1211+CI1211)/2,IF(LEFT(Cockpit!$I$5,1)="B",(CK1211+AV1211)/2,MAX((CK1211+AV1211)/2,H1211))))</f>
        <v>34</v>
      </c>
      <c r="AU1211" s="50" t="n">
        <f aca="false">AT1211*G1211</f>
        <v>1636.08</v>
      </c>
      <c r="AV1211" s="50" t="n">
        <f aca="false">ROUNDUP(CK1211+MAX(CL1211,2*(J1211/IF(CG1211&gt;0,CG1211,MAX(0.1,N(Cockpit!$I$6)))-CK1211)),0)</f>
        <v>16</v>
      </c>
      <c r="AW1211" s="51" t="n">
        <f aca="false">IF(AS1211&gt;0,J1211/AS1211,-1)</f>
        <v>1.48571428571429</v>
      </c>
      <c r="AX1211" s="51" t="n">
        <f aca="false">IF(AND(OR(CF1211="L1",CF1211="L23",CF1211="LIFT"),AS1211&gt;0),SUMIFS($AS$7:$AS$1843,$CF$7:$CF$1843,CF1211,$AW$7:$AW$1843,"&gt;"&amp;AW1211)+SUMIFS($AS$7:$AS$1843,$CF$7:$CF$1843,CF1211,$AW$7:$AW$1843,AW1211,$BW$7:$BW$1843,"&lt;="&amp;BW1211),"")</f>
        <v>7749.49816849817</v>
      </c>
      <c r="AY1211" s="58" t="n">
        <f aca="false">IF(AX1211="",0,MAX(0,MIN(1,(IF(CF1211="L1",Parameter!$H$5,IF(CF1211="L23",Parameter!$H$6+Parameter!$H$7,Parameter!$H$5+Parameter!$H$6+Parameter!$H$7))-(AX1211-AS1211))/AS1211)))</f>
        <v>1</v>
      </c>
      <c r="AZ1211" s="50" t="n">
        <f aca="false">IF(LEFT(Cockpit!$O$5,1)="A",H1211,IF(Parameter!$E$30="MAX-Bestand",IF(CH1211=1,CI1211,IF(LEFT(Cockpit!$O$5,1)="B",BF1211,MAX(BF1211,H1211))),ROUNDUP(BD1211,0)))</f>
        <v>9</v>
      </c>
      <c r="BA1211" s="50" t="n">
        <f aca="false">IF(BZ1211=1,0,ROUNDUP(AZ1211/BY1211,0))</f>
        <v>1</v>
      </c>
      <c r="BB1211" s="52" t="n">
        <f aca="false">IF(CQ1211&gt;0,CQ1211*MAX(1,AZ1211/X1211),IF(BZ1211=1,IF(AZ1211&lt;=0,0,CD1211*MAX(1,IF(H1211&gt;0,AZ1211/H1211,1))),IF(R1211&gt;0,BA1211/R1211,0))/MAX(0.1,N(Parameter!$M$21)))</f>
        <v>0.0384615384615385</v>
      </c>
      <c r="BC1211" s="50" t="n">
        <f aca="false">BB1211*CB1211</f>
        <v>9.42307692307692</v>
      </c>
      <c r="BD1211" s="51" t="n">
        <f aca="false">IF(LEFT(Cockpit!$O$5,1)="A",H1211,IF(CH1211=1,(CK1211+CI1211)/2,IF(LEFT(Cockpit!$O$5,1)="B",(CK1211+BF1211)/2,MAX((CK1211+BF1211)/2,H1211))))</f>
        <v>8.5</v>
      </c>
      <c r="BE1211" s="50" t="n">
        <f aca="false">BD1211*G1211</f>
        <v>409.02</v>
      </c>
      <c r="BF1211" s="50" t="n">
        <f aca="false">ROUNDUP(CK1211+MAX(CL1211,2*(J1211/IF(CG1211&gt;0,CG1211,MAX(0.1,N(Cockpit!$O$6)))-CK1211)),0)</f>
        <v>16</v>
      </c>
      <c r="BG1211" s="51" t="n">
        <f aca="false">IF(BC1211&gt;0,J1211/BC1211,-1)</f>
        <v>1.48571428571429</v>
      </c>
      <c r="BH1211" s="51" t="n">
        <f aca="false">IF(AND(OR(CF1211="L1",CF1211="L23",CF1211="LIFT"),BC1211&gt;0),SUMIFS($BC$7:$BC$1843,$CF$7:$CF$1843,CF1211,$BG$7:$BG$1843,"&gt;"&amp;BG1211)+SUMIFS($BC$7:$BC$1843,$CF$7:$CF$1843,CF1211,$BG$7:$BG$1843,BG1211,$BW$7:$BW$1843,"&lt;="&amp;BW1211),"")</f>
        <v>6562.16254578755</v>
      </c>
      <c r="BI1211" s="58" t="n">
        <f aca="false">IF(BH1211="",0,MAX(0,MIN(1,(IF(CF1211="L1",Parameter!$H$5,IF(CF1211="L23",Parameter!$H$6+Parameter!$H$7,Parameter!$H$5+Parameter!$H$6+Parameter!$H$7))-(BH1211-BC1211))/BC1211)))</f>
        <v>1</v>
      </c>
      <c r="BJ1211" s="48" t="str">
        <f aca="false">IF(AI1211&lt;=0,"",IF(CF1211="Aussen","Aussenlager",IF(CF1211="-","Nicht im Lift",IF(AO1211&gt;=1,"Lift",IF(AO1211&lt;=0,"Aussenlager","teilweise")))))</f>
        <v>Lift</v>
      </c>
      <c r="BK1211" s="48" t="str">
        <f aca="false">IF(AS1211&lt;=0,"",IF(CF1211="Aussen","Aussenlager",IF(CF1211="-","Nicht im Lift",IF(AY1211&gt;=1,"Lift",IF(AY1211&lt;=0,"Aussenlager","teilweise")))))</f>
        <v>Lift</v>
      </c>
      <c r="BL1211" s="48" t="str">
        <f aca="false">IF(BC1211&lt;=0,"",IF(CF1211="Aussen","Aussenlager",IF(CF1211="-","Nicht im Lift",IF(BI1211&gt;=1,"Lift",IF(BI1211&lt;=0,"Aussenlager","teilweise")))))</f>
        <v>Lift</v>
      </c>
      <c r="BM1211" s="48" t="str">
        <f aca="false">IF(A1211="","",IF(BV1211=1,"Neu; ","")&amp;IF(AND(BV1211=0,BQ1211&lt;0),"negativer Bestand (Export "&amp;BQ1211&amp;"); ","")&amp;IF(J1211&lt;=0,"Kein Verbrauch; ","")&amp;IF(CQ1211&gt;0,"Lift "&amp;W1211&amp;" lt. Liftbericht (Fach "&amp;X1211&amp;" Stk); ",IF(CA1211=1,"Gebinde geschätzt ("&amp;T1211&amp;"); ",IF(BZ1211=1,"Lose – Tablare geschätzt; ","")))&amp;IF(H1211&gt;AV1211,"Überbestand "&amp;ROUND(H1211-AV1211,0)&amp;" Stk / CHF "&amp;ROUND((H1211-AV1211)*G1211,0)&amp;"; ","")&amp;IF(AND(CH1211=1,CI1211&lt;CJ1211),"MAX &lt; MB+LG; ","")&amp;IF(AND(CP1211&gt;0,CO1211*10&gt;CP1211),"zu hoch für Tablar; ","")&amp;IF(AND(BV1211=0,OR(CH1211=1,AA1211&lt;&gt;"",U1211&lt;&gt;"",V1211&lt;&gt;"",AB1211&lt;&gt;"")),"manuell übersteuert; ","")&amp;IF(AND(BZ1211=0,R1211=0),"Gebinde unbekannt / Stellmass fehlt; ","")&amp;IF(AND(BZ1211=0,N(V1211)&lt;=0,N(Q1211)&lt;=0),"Menge pro Gebinde fehlt (Ist = 1 Gebinde); ","")&amp;BU1211)</f>
        <v>negativer Bestand (Export -11); Überbestand 18 Stk / CHF 866; Neu</v>
      </c>
      <c r="BN1211" s="48"/>
      <c r="BO1211" s="48"/>
      <c r="BP1211" s="55"/>
      <c r="BQ1211" s="50" t="n">
        <v>-11</v>
      </c>
      <c r="BR1211" s="50" t="n">
        <v>45</v>
      </c>
      <c r="BS1211" s="49" t="n">
        <v>-529.32</v>
      </c>
      <c r="BT1211" s="50" t="n">
        <v>14</v>
      </c>
      <c r="BU1211" s="48" t="s">
        <v>635</v>
      </c>
      <c r="BV1211" s="53" t="n">
        <v>0</v>
      </c>
      <c r="BW1211" s="53" t="n">
        <v>1211</v>
      </c>
      <c r="BX1211" s="48" t="str">
        <f aca="false">IF(U1211&lt;&gt;"",UPPER(TRIM(U1211)),IF(CA1211=1,UPPER(VLOOKUP(T1211,Parameter!$I$27:$K$29,2,0)),IF(P1211="","LOSE",P1211)))</f>
        <v>S52</v>
      </c>
      <c r="BY1211" s="50" t="n">
        <f aca="false">IF(BX1211="LOSE",1,IF(N(V1211)&gt;0,V1211,IF(CA1211=1,MAX(1,N(VLOOKUP(T1211,Parameter!$I$27:$K$29,3,0)),H1211,N(N1211)),IF(N(Q1211)&gt;0,Q1211,MAX(1,H1211)))))</f>
        <v>38</v>
      </c>
      <c r="BZ1211" s="53" t="n">
        <f aca="false">IF(BX1211="LOSE",1,0)</f>
        <v>0</v>
      </c>
      <c r="CA1211" s="53" t="n">
        <f aca="false">IF(AND(U1211="",OR(P1211="",P1211="LOSE"),T1211&lt;&gt;"",N(S1211)&lt;=0,ISNUMBER(MATCH(T1211,Parameter!$I$27:$I$29,0))),1,0)</f>
        <v>0</v>
      </c>
      <c r="CB1211" s="53" t="n">
        <f aca="false">IF(CQ1211&gt;0,INDEX(Parameter!$H$5:$H$7,W1211)/INDEX(Parameter!$E$5:$E$7,W1211),IF(AND(BZ1211=0,N(IFERROR(VLOOKUP(BX1211,'Gebinde-Kategorie'!$A$5:$N$45,14,0),0))&gt;0),VLOOKUP(BX1211,'Gebinde-Kategorie'!$A$5:$N$45,14,0)*10+Parameter!$M$23,Parameter!$M$24))</f>
        <v>245</v>
      </c>
      <c r="CC1211" s="48" t="str">
        <f aca="false">IF(AND(Parameter!$B$19="Ja",E1211&lt;&gt;"",ISNUMBER(MATCH(E1211,Parameter!$I$35:$I$52,0))),VLOOKUP(E1211,Parameter!$I$35:$J$52,2,0),IFERROR(VLOOKUP(D1211,Parameter!$A$35:$C$64,2,0),"Nein"))</f>
        <v>2+3</v>
      </c>
      <c r="CD1211" s="52" t="n">
        <f aca="false">IF(BZ1211=0,0,IF(N(S1211)&gt;0,S1211,IFERROR(VLOOKUP(D1211,Parameter!$A$35:$C$64,3,0)+0,0)))</f>
        <v>0</v>
      </c>
      <c r="CE1211" s="48" t="n">
        <f aca="false">IF(AA1211&lt;&gt;"",AA1211,Z1211)</f>
        <v>3</v>
      </c>
      <c r="CF1211" s="48" t="str">
        <f aca="false">IF(OR(CE1211=1,CE1211=2,CE1211=3),IF(Parameter!$E$27="Ja","LIFT",IF(CE1211=1,"L1","L23")),IF(CE1211="Aussen","Aussen","-"))</f>
        <v>LIFT</v>
      </c>
      <c r="CG1211" s="59" t="n">
        <f aca="false">IF(N(AB1211)&gt;0,AB1211,0)</f>
        <v>0</v>
      </c>
      <c r="CH1211" s="53" t="n">
        <f aca="false">IF(ISNUMBER(AE1211),1,0)</f>
        <v>0</v>
      </c>
      <c r="CI1211" s="50" t="n">
        <f aca="false">N(AE1211)</f>
        <v>0</v>
      </c>
      <c r="CJ1211" s="50" t="n">
        <f aca="false">N(M1211)+N(N1211)</f>
        <v>16</v>
      </c>
      <c r="CK1211" s="50" t="n">
        <f aca="false">N(M1211)</f>
        <v>1</v>
      </c>
      <c r="CL1211" s="50" t="n">
        <f aca="false">N(N1211)</f>
        <v>15</v>
      </c>
      <c r="CM1211" s="50" t="n">
        <f aca="false">ROUNDUP(H1211/BY1211,0)</f>
        <v>1</v>
      </c>
      <c r="CN1211" s="50" t="n">
        <f aca="false">ROUNDUP(CI1211/BY1211,0)</f>
        <v>0</v>
      </c>
      <c r="CO1211" s="53" t="n">
        <f aca="false">IF(BZ1211=1,0,IFERROR(VLOOKUP(BX1211,'Gebinde-Kategorie'!$A$5:$N$45,5,0)+0,0))</f>
        <v>21</v>
      </c>
      <c r="CP1211" s="53" t="n">
        <f aca="false">IFERROR(IF(OR(CE1211=1,CE1211=2,CE1211=3),N(INDEX(Parameter!$I$5:$I$7,CE1211)),0),0)</f>
        <v>0</v>
      </c>
      <c r="CQ1211" s="52" t="n">
        <f aca="false">IF(AND(Parameter!$B$21="Ja",ISNUMBER(W1211),N(X1211)&gt;0),IFERROR(N(INDEX(Parameter!$L$5:$L$7,W1211))*INDEX(Parameter!$E$5:$E$7,W1211)*X1211/SUMIFS($X$7:$X$1843,$W$7:$W$1843,W1211),0),0)</f>
        <v>0</v>
      </c>
    </row>
    <row r="1212" customFormat="false" ht="15" hidden="false" customHeight="false" outlineLevel="0" collapsed="false">
      <c r="A1212" s="48" t="s">
        <v>2185</v>
      </c>
      <c r="B1212" s="48" t="s">
        <v>2186</v>
      </c>
      <c r="C1212" s="48" t="s">
        <v>173</v>
      </c>
      <c r="D1212" s="48" t="s">
        <v>193</v>
      </c>
      <c r="E1212" s="48"/>
      <c r="F1212" s="48" t="s">
        <v>227</v>
      </c>
      <c r="G1212" s="49" t="n">
        <v>44.28</v>
      </c>
      <c r="H1212" s="50" t="n">
        <f aca="false">MAX(0,IF(AND(Parameter!$B$21="Ja",ISNUMBER(Y1212)),Y1212,IF(Parameter!$B$20="Jahresanfang 2025 + Export",BR1212+BQ1212,BQ1212)))</f>
        <v>385</v>
      </c>
      <c r="I1212" s="50" t="n">
        <f aca="false">H1212*G1212</f>
        <v>17047.8</v>
      </c>
      <c r="J1212" s="50" t="n">
        <f aca="false">BT1212*Parameter!$B$18</f>
        <v>9</v>
      </c>
      <c r="K1212" s="51" t="n">
        <v>394.5</v>
      </c>
      <c r="L1212" s="52" t="n">
        <v>0.0228136882129278</v>
      </c>
      <c r="M1212" s="50" t="n">
        <v>0</v>
      </c>
      <c r="N1212" s="50" t="n">
        <v>10</v>
      </c>
      <c r="O1212" s="53" t="n">
        <v>28</v>
      </c>
      <c r="P1212" s="48" t="s">
        <v>195</v>
      </c>
      <c r="Q1212" s="50" t="n">
        <v>150</v>
      </c>
      <c r="R1212" s="53" t="n">
        <f aca="false">IF(BZ1212=1,0,IFERROR(VLOOKUP(BX1212,'Gebinde-Kategorie'!$A$5:$N$45,13,0)+0,0))</f>
        <v>12</v>
      </c>
      <c r="S1212" s="54"/>
      <c r="T1212" s="55"/>
      <c r="U1212" s="55"/>
      <c r="V1212" s="55"/>
      <c r="W1212" s="48"/>
      <c r="X1212" s="50"/>
      <c r="Y1212" s="50"/>
      <c r="Z1212" s="48" t="n">
        <f aca="false">IF(A1212="","",IF(AND(Parameter!$B$21="Ja",ISNUMBER(W1212)),W1212,IF(CC1212="2+3",IF(ISNUMBER(SEARCH("grosser Artikel",BU1212)),2,IFERROR(VLOOKUP(BX1212,Parameter!$F$35:$G$64,2,0),2)),IF(OR(CC1212="Nein",CC1212=""),"-",CC1212))))</f>
        <v>2</v>
      </c>
      <c r="AA1212" s="55"/>
      <c r="AB1212" s="56"/>
      <c r="AC1212" s="50" t="n">
        <f aca="false">AV1212</f>
        <v>10</v>
      </c>
      <c r="AD1212" s="50" t="n">
        <f aca="false">MAX(AV1212,H1212)</f>
        <v>385</v>
      </c>
      <c r="AE1212" s="57"/>
      <c r="AF1212" s="50" t="n">
        <f aca="false">IF(LEFT(Cockpit!$C$5,1)="A",H1212,IF(Parameter!$E$30="MAX-Bestand",IF(CH1212=1,CI1212,IF(LEFT(Cockpit!$C$5,1)="B",AL1212,MAX(AL1212,H1212))),ROUNDUP(AJ1212,0)))</f>
        <v>385</v>
      </c>
      <c r="AG1212" s="50" t="n">
        <f aca="false">IF(BZ1212=1,0,ROUNDUP(AF1212/BY1212,0))</f>
        <v>3</v>
      </c>
      <c r="AH1212" s="52" t="n">
        <f aca="false">IF(CQ1212&gt;0,CQ1212*MAX(1,AF1212/X1212),IF(BZ1212=1,IF(AF1212&lt;=0,0,CD1212*MAX(1,IF(H1212&gt;0,AF1212/H1212,1))),IF(R1212&gt;0,AG1212/R1212,0))/MAX(0.1,N(Parameter!$M$21)))</f>
        <v>0.25</v>
      </c>
      <c r="AI1212" s="50" t="n">
        <f aca="false">AH1212*CB1212</f>
        <v>36.25</v>
      </c>
      <c r="AJ1212" s="51" t="n">
        <f aca="false">IF(LEFT(Cockpit!$C$5,1)="A",H1212,IF(CH1212=1,(CK1212+CI1212)/2,IF(LEFT(Cockpit!$C$5,1)="B",(CK1212+AL1212)/2,MAX((CK1212+AL1212)/2,H1212))))</f>
        <v>385</v>
      </c>
      <c r="AK1212" s="50" t="n">
        <f aca="false">AJ1212*G1212</f>
        <v>17047.8</v>
      </c>
      <c r="AL1212" s="50" t="n">
        <f aca="false">ROUNDUP(CK1212+MAX(CL1212,2*(J1212/IF(CG1212&gt;0,CG1212,MAX(0.1,N(Cockpit!$C$6)))-CK1212)),0)</f>
        <v>10</v>
      </c>
      <c r="AM1212" s="51" t="n">
        <f aca="false">IF(AI1212&gt;0,J1212/AI1212,-1)</f>
        <v>0.248275862068966</v>
      </c>
      <c r="AN1212" s="51" t="n">
        <f aca="false">IF(AND(OR(CF1212="L1",CF1212="L23",CF1212="LIFT"),AI1212&gt;0),SUMIFS($AI$7:$AI$1843,$CF$7:$CF$1843,CF1212,$AM$7:$AM$1843,"&gt;"&amp;AM1212)+SUMIFS($AI$7:$AI$1843,$CF$7:$CF$1843,CF1212,$AM$7:$AM$1843,AM1212,$BW$7:$BW$1843,"&lt;="&amp;BW1212),"")</f>
        <v>11901.1035962625</v>
      </c>
      <c r="AO1212" s="58" t="n">
        <f aca="false">IF(AN1212="",0,MAX(0,MIN(1,(IF(CF1212="L1",Parameter!$H$5,IF(CF1212="L23",Parameter!$H$6+Parameter!$H$7,Parameter!$H$5+Parameter!$H$6+Parameter!$H$7))-(AN1212-AI1212))/AI1212)))</f>
        <v>1</v>
      </c>
      <c r="AP1212" s="50" t="n">
        <f aca="false">IF(LEFT(Cockpit!$I$5,1)="A",H1212,IF(Parameter!$E$30="MAX-Bestand",IF(CH1212=1,CI1212,IF(LEFT(Cockpit!$I$5,1)="B",AV1212,MAX(AV1212,H1212))),ROUNDUP(AT1212,0)))</f>
        <v>385</v>
      </c>
      <c r="AQ1212" s="50" t="n">
        <f aca="false">IF(BZ1212=1,0,ROUNDUP(AP1212/BY1212,0))</f>
        <v>3</v>
      </c>
      <c r="AR1212" s="52" t="n">
        <f aca="false">IF(CQ1212&gt;0,CQ1212*MAX(1,AP1212/X1212),IF(BZ1212=1,IF(AP1212&lt;=0,0,CD1212*MAX(1,IF(H1212&gt;0,AP1212/H1212,1))),IF(R1212&gt;0,AQ1212/R1212,0))/MAX(0.1,N(Parameter!$M$21)))</f>
        <v>0.25</v>
      </c>
      <c r="AS1212" s="50" t="n">
        <f aca="false">AR1212*CB1212</f>
        <v>36.25</v>
      </c>
      <c r="AT1212" s="51" t="n">
        <f aca="false">IF(LEFT(Cockpit!$I$5,1)="A",H1212,IF(CH1212=1,(CK1212+CI1212)/2,IF(LEFT(Cockpit!$I$5,1)="B",(CK1212+AV1212)/2,MAX((CK1212+AV1212)/2,H1212))))</f>
        <v>385</v>
      </c>
      <c r="AU1212" s="50" t="n">
        <f aca="false">AT1212*G1212</f>
        <v>17047.8</v>
      </c>
      <c r="AV1212" s="50" t="n">
        <f aca="false">ROUNDUP(CK1212+MAX(CL1212,2*(J1212/IF(CG1212&gt;0,CG1212,MAX(0.1,N(Cockpit!$I$6)))-CK1212)),0)</f>
        <v>10</v>
      </c>
      <c r="AW1212" s="51" t="n">
        <f aca="false">IF(AS1212&gt;0,J1212/AS1212,-1)</f>
        <v>0.248275862068966</v>
      </c>
      <c r="AX1212" s="51" t="n">
        <f aca="false">IF(AND(OR(CF1212="L1",CF1212="L23",CF1212="LIFT"),AS1212&gt;0),SUMIFS($AS$7:$AS$1843,$CF$7:$CF$1843,CF1212,$AW$7:$AW$1843,"&gt;"&amp;AW1212)+SUMIFS($AS$7:$AS$1843,$CF$7:$CF$1843,CF1212,$AW$7:$AW$1843,AW1212,$BW$7:$BW$1843,"&lt;="&amp;BW1212),"")</f>
        <v>14977.9977106227</v>
      </c>
      <c r="AY1212" s="58" t="n">
        <f aca="false">IF(AX1212="",0,MAX(0,MIN(1,(IF(CF1212="L1",Parameter!$H$5,IF(CF1212="L23",Parameter!$H$6+Parameter!$H$7,Parameter!$H$5+Parameter!$H$6+Parameter!$H$7))-(AX1212-AS1212))/AS1212)))</f>
        <v>1</v>
      </c>
      <c r="AZ1212" s="50" t="n">
        <f aca="false">IF(LEFT(Cockpit!$O$5,1)="A",H1212,IF(Parameter!$E$30="MAX-Bestand",IF(CH1212=1,CI1212,IF(LEFT(Cockpit!$O$5,1)="B",BF1212,MAX(BF1212,H1212))),ROUNDUP(BD1212,0)))</f>
        <v>5</v>
      </c>
      <c r="BA1212" s="50" t="n">
        <f aca="false">IF(BZ1212=1,0,ROUNDUP(AZ1212/BY1212,0))</f>
        <v>1</v>
      </c>
      <c r="BB1212" s="52" t="n">
        <f aca="false">IF(CQ1212&gt;0,CQ1212*MAX(1,AZ1212/X1212),IF(BZ1212=1,IF(AZ1212&lt;=0,0,CD1212*MAX(1,IF(H1212&gt;0,AZ1212/H1212,1))),IF(R1212&gt;0,BA1212/R1212,0))/MAX(0.1,N(Parameter!$M$21)))</f>
        <v>0.0833333333333333</v>
      </c>
      <c r="BC1212" s="50" t="n">
        <f aca="false">BB1212*CB1212</f>
        <v>12.0833333333333</v>
      </c>
      <c r="BD1212" s="51" t="n">
        <f aca="false">IF(LEFT(Cockpit!$O$5,1)="A",H1212,IF(CH1212=1,(CK1212+CI1212)/2,IF(LEFT(Cockpit!$O$5,1)="B",(CK1212+BF1212)/2,MAX((CK1212+BF1212)/2,H1212))))</f>
        <v>5</v>
      </c>
      <c r="BE1212" s="50" t="n">
        <f aca="false">BD1212*G1212</f>
        <v>221.4</v>
      </c>
      <c r="BF1212" s="50" t="n">
        <f aca="false">ROUNDUP(CK1212+MAX(CL1212,2*(J1212/IF(CG1212&gt;0,CG1212,MAX(0.1,N(Cockpit!$O$6)))-CK1212)),0)</f>
        <v>10</v>
      </c>
      <c r="BG1212" s="51" t="n">
        <f aca="false">IF(BC1212&gt;0,J1212/BC1212,-1)</f>
        <v>0.744827586206897</v>
      </c>
      <c r="BH1212" s="51" t="n">
        <f aca="false">IF(AND(OR(CF1212="L1",CF1212="L23",CF1212="LIFT"),BC1212&gt;0),SUMIFS($BC$7:$BC$1843,$CF$7:$CF$1843,CF1212,$BG$7:$BG$1843,"&gt;"&amp;BG1212)+SUMIFS($BC$7:$BC$1843,$CF$7:$CF$1843,CF1212,$BG$7:$BG$1843,BG1212,$BW$7:$BW$1843,"&lt;="&amp;BW1212),"")</f>
        <v>9093.10302197802</v>
      </c>
      <c r="BI1212" s="58" t="n">
        <f aca="false">IF(BH1212="",0,MAX(0,MIN(1,(IF(CF1212="L1",Parameter!$H$5,IF(CF1212="L23",Parameter!$H$6+Parameter!$H$7,Parameter!$H$5+Parameter!$H$6+Parameter!$H$7))-(BH1212-BC1212))/BC1212)))</f>
        <v>1</v>
      </c>
      <c r="BJ1212" s="48" t="str">
        <f aca="false">IF(AI1212&lt;=0,"",IF(CF1212="Aussen","Aussenlager",IF(CF1212="-","Nicht im Lift",IF(AO1212&gt;=1,"Lift",IF(AO1212&lt;=0,"Aussenlager","teilweise")))))</f>
        <v>Lift</v>
      </c>
      <c r="BK1212" s="48" t="str">
        <f aca="false">IF(AS1212&lt;=0,"",IF(CF1212="Aussen","Aussenlager",IF(CF1212="-","Nicht im Lift",IF(AY1212&gt;=1,"Lift",IF(AY1212&lt;=0,"Aussenlager","teilweise")))))</f>
        <v>Lift</v>
      </c>
      <c r="BL1212" s="48" t="str">
        <f aca="false">IF(BC1212&lt;=0,"",IF(CF1212="Aussen","Aussenlager",IF(CF1212="-","Nicht im Lift",IF(BI1212&gt;=1,"Lift",IF(BI1212&lt;=0,"Aussenlager","teilweise")))))</f>
        <v>Lift</v>
      </c>
      <c r="BM1212" s="48" t="str">
        <f aca="false">IF(A1212="","",IF(BV1212=1,"Neu; ","")&amp;IF(AND(BV1212=0,BQ1212&lt;0),"negativer Bestand (Export "&amp;BQ1212&amp;"); ","")&amp;IF(J1212&lt;=0,"Kein Verbrauch; ","")&amp;IF(CQ1212&gt;0,"Lift "&amp;W1212&amp;" lt. Liftbericht (Fach "&amp;X1212&amp;" Stk); ",IF(CA1212=1,"Gebinde geschätzt ("&amp;T1212&amp;"); ",IF(BZ1212=1,"Lose – Tablare geschätzt; ","")))&amp;IF(H1212&gt;AV1212,"Überbestand "&amp;ROUND(H1212-AV1212,0)&amp;" Stk / CHF "&amp;ROUND((H1212-AV1212)*G1212,0)&amp;"; ","")&amp;IF(AND(CH1212=1,CI1212&lt;CJ1212),"MAX &lt; MB+LG; ","")&amp;IF(AND(CP1212&gt;0,CO1212*10&gt;CP1212),"zu hoch für Tablar; ","")&amp;IF(AND(BV1212=0,OR(CH1212=1,AA1212&lt;&gt;"",U1212&lt;&gt;"",V1212&lt;&gt;"",AB1212&lt;&gt;"")),"manuell übersteuert; ","")&amp;IF(AND(BZ1212=0,R1212=0),"Gebinde unbekannt / Stellmass fehlt; ","")&amp;IF(AND(BZ1212=0,N(V1212)&lt;=0,N(Q1212)&lt;=0),"Menge pro Gebinde fehlt (Ist = 1 Gebinde); ","")&amp;BU1212)</f>
        <v>negativer Bestand (Export -12); Überbestand 375 Stk / CHF 16605; i.o</v>
      </c>
      <c r="BN1212" s="48"/>
      <c r="BO1212" s="48"/>
      <c r="BP1212" s="55"/>
      <c r="BQ1212" s="50" t="n">
        <v>-12</v>
      </c>
      <c r="BR1212" s="50" t="n">
        <v>397</v>
      </c>
      <c r="BS1212" s="49" t="n">
        <v>-531.36</v>
      </c>
      <c r="BT1212" s="50" t="n">
        <v>9</v>
      </c>
      <c r="BU1212" s="48" t="s">
        <v>545</v>
      </c>
      <c r="BV1212" s="53" t="n">
        <v>0</v>
      </c>
      <c r="BW1212" s="53" t="n">
        <v>1212</v>
      </c>
      <c r="BX1212" s="48" t="str">
        <f aca="false">IF(U1212&lt;&gt;"",UPPER(TRIM(U1212)),IF(CA1212=1,UPPER(VLOOKUP(T1212,Parameter!$I$27:$K$29,2,0)),IF(P1212="","LOSE",P1212)))</f>
        <v>S61</v>
      </c>
      <c r="BY1212" s="50" t="n">
        <f aca="false">IF(BX1212="LOSE",1,IF(N(V1212)&gt;0,V1212,IF(CA1212=1,MAX(1,N(VLOOKUP(T1212,Parameter!$I$27:$K$29,3,0)),H1212,N(N1212)),IF(N(Q1212)&gt;0,Q1212,MAX(1,H1212)))))</f>
        <v>150</v>
      </c>
      <c r="BZ1212" s="53" t="n">
        <f aca="false">IF(BX1212="LOSE",1,0)</f>
        <v>0</v>
      </c>
      <c r="CA1212" s="53" t="n">
        <f aca="false">IF(AND(U1212="",OR(P1212="",P1212="LOSE"),T1212&lt;&gt;"",N(S1212)&lt;=0,ISNUMBER(MATCH(T1212,Parameter!$I$27:$I$29,0))),1,0)</f>
        <v>0</v>
      </c>
      <c r="CB1212" s="53" t="n">
        <f aca="false">IF(CQ1212&gt;0,INDEX(Parameter!$H$5:$H$7,W1212)/INDEX(Parameter!$E$5:$E$7,W1212),IF(AND(BZ1212=0,N(IFERROR(VLOOKUP(BX1212,'Gebinde-Kategorie'!$A$5:$N$45,14,0),0))&gt;0),VLOOKUP(BX1212,'Gebinde-Kategorie'!$A$5:$N$45,14,0)*10+Parameter!$M$23,Parameter!$M$24))</f>
        <v>145</v>
      </c>
      <c r="CC1212" s="48" t="str">
        <f aca="false">IF(AND(Parameter!$B$19="Ja",E1212&lt;&gt;"",ISNUMBER(MATCH(E1212,Parameter!$I$35:$I$52,0))),VLOOKUP(E1212,Parameter!$I$35:$J$52,2,0),IFERROR(VLOOKUP(D1212,Parameter!$A$35:$C$64,2,0),"Nein"))</f>
        <v>2+3</v>
      </c>
      <c r="CD1212" s="52" t="n">
        <f aca="false">IF(BZ1212=0,0,IF(N(S1212)&gt;0,S1212,IFERROR(VLOOKUP(D1212,Parameter!$A$35:$C$64,3,0)+0,0)))</f>
        <v>0</v>
      </c>
      <c r="CE1212" s="48" t="n">
        <f aca="false">IF(AA1212&lt;&gt;"",AA1212,Z1212)</f>
        <v>2</v>
      </c>
      <c r="CF1212" s="48" t="str">
        <f aca="false">IF(OR(CE1212=1,CE1212=2,CE1212=3),IF(Parameter!$E$27="Ja","LIFT",IF(CE1212=1,"L1","L23")),IF(CE1212="Aussen","Aussen","-"))</f>
        <v>LIFT</v>
      </c>
      <c r="CG1212" s="59" t="n">
        <f aca="false">IF(N(AB1212)&gt;0,AB1212,0)</f>
        <v>0</v>
      </c>
      <c r="CH1212" s="53" t="n">
        <f aca="false">IF(ISNUMBER(AE1212),1,0)</f>
        <v>0</v>
      </c>
      <c r="CI1212" s="50" t="n">
        <f aca="false">N(AE1212)</f>
        <v>0</v>
      </c>
      <c r="CJ1212" s="50" t="n">
        <f aca="false">N(M1212)+N(N1212)</f>
        <v>10</v>
      </c>
      <c r="CK1212" s="50" t="n">
        <f aca="false">N(M1212)</f>
        <v>0</v>
      </c>
      <c r="CL1212" s="50" t="n">
        <f aca="false">N(N1212)</f>
        <v>10</v>
      </c>
      <c r="CM1212" s="50" t="n">
        <f aca="false">ROUNDUP(H1212/BY1212,0)</f>
        <v>3</v>
      </c>
      <c r="CN1212" s="50" t="n">
        <f aca="false">ROUNDUP(CI1212/BY1212,0)</f>
        <v>0</v>
      </c>
      <c r="CO1212" s="53" t="n">
        <f aca="false">IF(BZ1212=1,0,IFERROR(VLOOKUP(BX1212,'Gebinde-Kategorie'!$A$5:$N$45,5,0)+0,0))</f>
        <v>11</v>
      </c>
      <c r="CP1212" s="53" t="n">
        <f aca="false">IFERROR(IF(OR(CE1212=1,CE1212=2,CE1212=3),N(INDEX(Parameter!$I$5:$I$7,CE1212)),0),0)</f>
        <v>0</v>
      </c>
      <c r="CQ1212" s="52" t="n">
        <f aca="false">IF(AND(Parameter!$B$21="Ja",ISNUMBER(W1212),N(X1212)&gt;0),IFERROR(N(INDEX(Parameter!$L$5:$L$7,W1212))*INDEX(Parameter!$E$5:$E$7,W1212)*X1212/SUMIFS($X$7:$X$1843,$W$7:$W$1843,W1212),0),0)</f>
        <v>0</v>
      </c>
    </row>
    <row r="1213" customFormat="false" ht="15" hidden="false" customHeight="false" outlineLevel="0" collapsed="false">
      <c r="A1213" s="48" t="s">
        <v>2187</v>
      </c>
      <c r="B1213" s="48" t="s">
        <v>1717</v>
      </c>
      <c r="C1213" s="48" t="s">
        <v>173</v>
      </c>
      <c r="D1213" s="48" t="s">
        <v>193</v>
      </c>
      <c r="E1213" s="48" t="s">
        <v>194</v>
      </c>
      <c r="F1213" s="48" t="s">
        <v>227</v>
      </c>
      <c r="G1213" s="49" t="n">
        <v>107</v>
      </c>
      <c r="H1213" s="50" t="n">
        <f aca="false">MAX(0,IF(AND(Parameter!$B$21="Ja",ISNUMBER(Y1213)),Y1213,IF(Parameter!$B$20="Jahresanfang 2025 + Export",BR1213+BQ1213,BQ1213)))</f>
        <v>16</v>
      </c>
      <c r="I1213" s="50" t="n">
        <f aca="false">H1213*G1213</f>
        <v>1712</v>
      </c>
      <c r="J1213" s="50" t="n">
        <f aca="false">BT1213*Parameter!$B$18</f>
        <v>14</v>
      </c>
      <c r="K1213" s="51" t="n">
        <v>23</v>
      </c>
      <c r="L1213" s="52" t="n">
        <v>0.608695652173913</v>
      </c>
      <c r="M1213" s="50" t="n">
        <v>3</v>
      </c>
      <c r="N1213" s="50" t="n">
        <v>15</v>
      </c>
      <c r="O1213" s="53" t="n">
        <v>84</v>
      </c>
      <c r="P1213" s="48" t="s">
        <v>242</v>
      </c>
      <c r="Q1213" s="50" t="n">
        <v>64</v>
      </c>
      <c r="R1213" s="53" t="n">
        <f aca="false">IF(BZ1213=1,0,IFERROR(VLOOKUP(BX1213,'Gebinde-Kategorie'!$A$5:$N$45,13,0)+0,0))</f>
        <v>26</v>
      </c>
      <c r="S1213" s="54"/>
      <c r="T1213" s="55"/>
      <c r="U1213" s="55"/>
      <c r="V1213" s="55"/>
      <c r="W1213" s="48"/>
      <c r="X1213" s="50"/>
      <c r="Y1213" s="50"/>
      <c r="Z1213" s="48" t="n">
        <f aca="false">IF(A1213="","",IF(AND(Parameter!$B$21="Ja",ISNUMBER(W1213)),W1213,IF(CC1213="2+3",IF(ISNUMBER(SEARCH("grosser Artikel",BU1213)),2,IFERROR(VLOOKUP(BX1213,Parameter!$F$35:$G$64,2,0),2)),IF(OR(CC1213="Nein",CC1213=""),"-",CC1213))))</f>
        <v>3</v>
      </c>
      <c r="AA1213" s="55"/>
      <c r="AB1213" s="56"/>
      <c r="AC1213" s="50" t="n">
        <f aca="false">AV1213</f>
        <v>18</v>
      </c>
      <c r="AD1213" s="50" t="n">
        <f aca="false">MAX(AV1213,H1213)</f>
        <v>18</v>
      </c>
      <c r="AE1213" s="57"/>
      <c r="AF1213" s="50" t="n">
        <f aca="false">IF(LEFT(Cockpit!$C$5,1)="A",H1213,IF(Parameter!$E$30="MAX-Bestand",IF(CH1213=1,CI1213,IF(LEFT(Cockpit!$C$5,1)="B",AL1213,MAX(AL1213,H1213))),ROUNDUP(AJ1213,0)))</f>
        <v>16</v>
      </c>
      <c r="AG1213" s="50" t="n">
        <f aca="false">IF(BZ1213=1,0,ROUNDUP(AF1213/BY1213,0))</f>
        <v>1</v>
      </c>
      <c r="AH1213" s="52" t="n">
        <f aca="false">IF(CQ1213&gt;0,CQ1213*MAX(1,AF1213/X1213),IF(BZ1213=1,IF(AF1213&lt;=0,0,CD1213*MAX(1,IF(H1213&gt;0,AF1213/H1213,1))),IF(R1213&gt;0,AG1213/R1213,0))/MAX(0.1,N(Parameter!$M$21)))</f>
        <v>0.0384615384615385</v>
      </c>
      <c r="AI1213" s="50" t="n">
        <f aca="false">AH1213*CB1213</f>
        <v>9.42307692307692</v>
      </c>
      <c r="AJ1213" s="51" t="n">
        <f aca="false">IF(LEFT(Cockpit!$C$5,1)="A",H1213,IF(CH1213=1,(CK1213+CI1213)/2,IF(LEFT(Cockpit!$C$5,1)="B",(CK1213+AL1213)/2,MAX((CK1213+AL1213)/2,H1213))))</f>
        <v>16</v>
      </c>
      <c r="AK1213" s="50" t="n">
        <f aca="false">AJ1213*G1213</f>
        <v>1712</v>
      </c>
      <c r="AL1213" s="50" t="n">
        <f aca="false">ROUNDUP(CK1213+MAX(CL1213,2*(J1213/IF(CG1213&gt;0,CG1213,MAX(0.1,N(Cockpit!$C$6)))-CK1213)),0)</f>
        <v>18</v>
      </c>
      <c r="AM1213" s="51" t="n">
        <f aca="false">IF(AI1213&gt;0,J1213/AI1213,-1)</f>
        <v>1.48571428571429</v>
      </c>
      <c r="AN1213" s="51" t="n">
        <f aca="false">IF(AND(OR(CF1213="L1",CF1213="L23",CF1213="LIFT"),AI1213&gt;0),SUMIFS($AI$7:$AI$1843,$CF$7:$CF$1843,CF1213,$AM$7:$AM$1843,"&gt;"&amp;AM1213)+SUMIFS($AI$7:$AI$1843,$CF$7:$CF$1843,CF1213,$AM$7:$AM$1843,AM1213,$BW$7:$BW$1843,"&lt;="&amp;BW1213),"")</f>
        <v>6240.69917582418</v>
      </c>
      <c r="AO1213" s="58" t="n">
        <f aca="false">IF(AN1213="",0,MAX(0,MIN(1,(IF(CF1213="L1",Parameter!$H$5,IF(CF1213="L23",Parameter!$H$6+Parameter!$H$7,Parameter!$H$5+Parameter!$H$6+Parameter!$H$7))-(AN1213-AI1213))/AI1213)))</f>
        <v>1</v>
      </c>
      <c r="AP1213" s="50" t="n">
        <f aca="false">IF(LEFT(Cockpit!$I$5,1)="A",H1213,IF(Parameter!$E$30="MAX-Bestand",IF(CH1213=1,CI1213,IF(LEFT(Cockpit!$I$5,1)="B",AV1213,MAX(AV1213,H1213))),ROUNDUP(AT1213,0)))</f>
        <v>16</v>
      </c>
      <c r="AQ1213" s="50" t="n">
        <f aca="false">IF(BZ1213=1,0,ROUNDUP(AP1213/BY1213,0))</f>
        <v>1</v>
      </c>
      <c r="AR1213" s="52" t="n">
        <f aca="false">IF(CQ1213&gt;0,CQ1213*MAX(1,AP1213/X1213),IF(BZ1213=1,IF(AP1213&lt;=0,0,CD1213*MAX(1,IF(H1213&gt;0,AP1213/H1213,1))),IF(R1213&gt;0,AQ1213/R1213,0))/MAX(0.1,N(Parameter!$M$21)))</f>
        <v>0.0384615384615385</v>
      </c>
      <c r="AS1213" s="50" t="n">
        <f aca="false">AR1213*CB1213</f>
        <v>9.42307692307692</v>
      </c>
      <c r="AT1213" s="51" t="n">
        <f aca="false">IF(LEFT(Cockpit!$I$5,1)="A",H1213,IF(CH1213=1,(CK1213+CI1213)/2,IF(LEFT(Cockpit!$I$5,1)="B",(CK1213+AV1213)/2,MAX((CK1213+AV1213)/2,H1213))))</f>
        <v>16</v>
      </c>
      <c r="AU1213" s="50" t="n">
        <f aca="false">AT1213*G1213</f>
        <v>1712</v>
      </c>
      <c r="AV1213" s="50" t="n">
        <f aca="false">ROUNDUP(CK1213+MAX(CL1213,2*(J1213/IF(CG1213&gt;0,CG1213,MAX(0.1,N(Cockpit!$I$6)))-CK1213)),0)</f>
        <v>18</v>
      </c>
      <c r="AW1213" s="51" t="n">
        <f aca="false">IF(AS1213&gt;0,J1213/AS1213,-1)</f>
        <v>1.48571428571429</v>
      </c>
      <c r="AX1213" s="51" t="n">
        <f aca="false">IF(AND(OR(CF1213="L1",CF1213="L23",CF1213="LIFT"),AS1213&gt;0),SUMIFS($AS$7:$AS$1843,$CF$7:$CF$1843,CF1213,$AW$7:$AW$1843,"&gt;"&amp;AW1213)+SUMIFS($AS$7:$AS$1843,$CF$7:$CF$1843,CF1213,$AW$7:$AW$1843,AW1213,$BW$7:$BW$1843,"&lt;="&amp;BW1213),"")</f>
        <v>7758.92124542125</v>
      </c>
      <c r="AY1213" s="58" t="n">
        <f aca="false">IF(AX1213="",0,MAX(0,MIN(1,(IF(CF1213="L1",Parameter!$H$5,IF(CF1213="L23",Parameter!$H$6+Parameter!$H$7,Parameter!$H$5+Parameter!$H$6+Parameter!$H$7))-(AX1213-AS1213))/AS1213)))</f>
        <v>1</v>
      </c>
      <c r="AZ1213" s="50" t="n">
        <f aca="false">IF(LEFT(Cockpit!$O$5,1)="A",H1213,IF(Parameter!$E$30="MAX-Bestand",IF(CH1213=1,CI1213,IF(LEFT(Cockpit!$O$5,1)="B",BF1213,MAX(BF1213,H1213))),ROUNDUP(BD1213,0)))</f>
        <v>11</v>
      </c>
      <c r="BA1213" s="50" t="n">
        <f aca="false">IF(BZ1213=1,0,ROUNDUP(AZ1213/BY1213,0))</f>
        <v>1</v>
      </c>
      <c r="BB1213" s="52" t="n">
        <f aca="false">IF(CQ1213&gt;0,CQ1213*MAX(1,AZ1213/X1213),IF(BZ1213=1,IF(AZ1213&lt;=0,0,CD1213*MAX(1,IF(H1213&gt;0,AZ1213/H1213,1))),IF(R1213&gt;0,BA1213/R1213,0))/MAX(0.1,N(Parameter!$M$21)))</f>
        <v>0.0384615384615385</v>
      </c>
      <c r="BC1213" s="50" t="n">
        <f aca="false">BB1213*CB1213</f>
        <v>9.42307692307692</v>
      </c>
      <c r="BD1213" s="51" t="n">
        <f aca="false">IF(LEFT(Cockpit!$O$5,1)="A",H1213,IF(CH1213=1,(CK1213+CI1213)/2,IF(LEFT(Cockpit!$O$5,1)="B",(CK1213+BF1213)/2,MAX((CK1213+BF1213)/2,H1213))))</f>
        <v>10.5</v>
      </c>
      <c r="BE1213" s="50" t="n">
        <f aca="false">BD1213*G1213</f>
        <v>1123.5</v>
      </c>
      <c r="BF1213" s="50" t="n">
        <f aca="false">ROUNDUP(CK1213+MAX(CL1213,2*(J1213/IF(CG1213&gt;0,CG1213,MAX(0.1,N(Cockpit!$O$6)))-CK1213)),0)</f>
        <v>18</v>
      </c>
      <c r="BG1213" s="51" t="n">
        <f aca="false">IF(BC1213&gt;0,J1213/BC1213,-1)</f>
        <v>1.48571428571429</v>
      </c>
      <c r="BH1213" s="51" t="n">
        <f aca="false">IF(AND(OR(CF1213="L1",CF1213="L23",CF1213="LIFT"),BC1213&gt;0),SUMIFS($BC$7:$BC$1843,$CF$7:$CF$1843,CF1213,$BG$7:$BG$1843,"&gt;"&amp;BG1213)+SUMIFS($BC$7:$BC$1843,$CF$7:$CF$1843,CF1213,$BG$7:$BG$1843,BG1213,$BW$7:$BW$1843,"&lt;="&amp;BW1213),"")</f>
        <v>6571.58562271062</v>
      </c>
      <c r="BI1213" s="58" t="n">
        <f aca="false">IF(BH1213="",0,MAX(0,MIN(1,(IF(CF1213="L1",Parameter!$H$5,IF(CF1213="L23",Parameter!$H$6+Parameter!$H$7,Parameter!$H$5+Parameter!$H$6+Parameter!$H$7))-(BH1213-BC1213))/BC1213)))</f>
        <v>1</v>
      </c>
      <c r="BJ1213" s="48" t="str">
        <f aca="false">IF(AI1213&lt;=0,"",IF(CF1213="Aussen","Aussenlager",IF(CF1213="-","Nicht im Lift",IF(AO1213&gt;=1,"Lift",IF(AO1213&lt;=0,"Aussenlager","teilweise")))))</f>
        <v>Lift</v>
      </c>
      <c r="BK1213" s="48" t="str">
        <f aca="false">IF(AS1213&lt;=0,"",IF(CF1213="Aussen","Aussenlager",IF(CF1213="-","Nicht im Lift",IF(AY1213&gt;=1,"Lift",IF(AY1213&lt;=0,"Aussenlager","teilweise")))))</f>
        <v>Lift</v>
      </c>
      <c r="BL1213" s="48" t="str">
        <f aca="false">IF(BC1213&lt;=0,"",IF(CF1213="Aussen","Aussenlager",IF(CF1213="-","Nicht im Lift",IF(BI1213&gt;=1,"Lift",IF(BI1213&lt;=0,"Aussenlager","teilweise")))))</f>
        <v>Lift</v>
      </c>
      <c r="BM1213" s="48" t="str">
        <f aca="false">IF(A1213="","",IF(BV1213=1,"Neu; ","")&amp;IF(AND(BV1213=0,BQ1213&lt;0),"negativer Bestand (Export "&amp;BQ1213&amp;"); ","")&amp;IF(J1213&lt;=0,"Kein Verbrauch; ","")&amp;IF(CQ1213&gt;0,"Lift "&amp;W1213&amp;" lt. Liftbericht (Fach "&amp;X1213&amp;" Stk); ",IF(CA1213=1,"Gebinde geschätzt ("&amp;T1213&amp;"); ",IF(BZ1213=1,"Lose – Tablare geschätzt; ","")))&amp;IF(H1213&gt;AV1213,"Überbestand "&amp;ROUND(H1213-AV1213,0)&amp;" Stk / CHF "&amp;ROUND((H1213-AV1213)*G1213,0)&amp;"; ","")&amp;IF(AND(CH1213=1,CI1213&lt;CJ1213),"MAX &lt; MB+LG; ","")&amp;IF(AND(CP1213&gt;0,CO1213*10&gt;CP1213),"zu hoch für Tablar; ","")&amp;IF(AND(BV1213=0,OR(CH1213=1,AA1213&lt;&gt;"",U1213&lt;&gt;"",V1213&lt;&gt;"",AB1213&lt;&gt;"")),"manuell übersteuert; ","")&amp;IF(AND(BZ1213=0,R1213=0),"Gebinde unbekannt / Stellmass fehlt; ","")&amp;IF(AND(BZ1213=0,N(V1213)&lt;=0,N(Q1213)&lt;=0),"Menge pro Gebinde fehlt (Ist = 1 Gebinde); ","")&amp;BU1213)</f>
        <v>negativer Bestand (Export -5); </v>
      </c>
      <c r="BN1213" s="48"/>
      <c r="BO1213" s="48"/>
      <c r="BP1213" s="55"/>
      <c r="BQ1213" s="50" t="n">
        <v>-5</v>
      </c>
      <c r="BR1213" s="50" t="n">
        <v>21</v>
      </c>
      <c r="BS1213" s="49" t="n">
        <v>-535</v>
      </c>
      <c r="BT1213" s="50" t="n">
        <v>14</v>
      </c>
      <c r="BU1213" s="48"/>
      <c r="BV1213" s="53" t="n">
        <v>0</v>
      </c>
      <c r="BW1213" s="53" t="n">
        <v>1213</v>
      </c>
      <c r="BX1213" s="48" t="str">
        <f aca="false">IF(U1213&lt;&gt;"",UPPER(TRIM(U1213)),IF(CA1213=1,UPPER(VLOOKUP(T1213,Parameter!$I$27:$K$29,2,0)),IF(P1213="","LOSE",P1213)))</f>
        <v>S52</v>
      </c>
      <c r="BY1213" s="50" t="n">
        <f aca="false">IF(BX1213="LOSE",1,IF(N(V1213)&gt;0,V1213,IF(CA1213=1,MAX(1,N(VLOOKUP(T1213,Parameter!$I$27:$K$29,3,0)),H1213,N(N1213)),IF(N(Q1213)&gt;0,Q1213,MAX(1,H1213)))))</f>
        <v>64</v>
      </c>
      <c r="BZ1213" s="53" t="n">
        <f aca="false">IF(BX1213="LOSE",1,0)</f>
        <v>0</v>
      </c>
      <c r="CA1213" s="53" t="n">
        <f aca="false">IF(AND(U1213="",OR(P1213="",P1213="LOSE"),T1213&lt;&gt;"",N(S1213)&lt;=0,ISNUMBER(MATCH(T1213,Parameter!$I$27:$I$29,0))),1,0)</f>
        <v>0</v>
      </c>
      <c r="CB1213" s="53" t="n">
        <f aca="false">IF(CQ1213&gt;0,INDEX(Parameter!$H$5:$H$7,W1213)/INDEX(Parameter!$E$5:$E$7,W1213),IF(AND(BZ1213=0,N(IFERROR(VLOOKUP(BX1213,'Gebinde-Kategorie'!$A$5:$N$45,14,0),0))&gt;0),VLOOKUP(BX1213,'Gebinde-Kategorie'!$A$5:$N$45,14,0)*10+Parameter!$M$23,Parameter!$M$24))</f>
        <v>245</v>
      </c>
      <c r="CC1213" s="48" t="str">
        <f aca="false">IF(AND(Parameter!$B$19="Ja",E1213&lt;&gt;"",ISNUMBER(MATCH(E1213,Parameter!$I$35:$I$52,0))),VLOOKUP(E1213,Parameter!$I$35:$J$52,2,0),IFERROR(VLOOKUP(D1213,Parameter!$A$35:$C$64,2,0),"Nein"))</f>
        <v>2+3</v>
      </c>
      <c r="CD1213" s="52" t="n">
        <f aca="false">IF(BZ1213=0,0,IF(N(S1213)&gt;0,S1213,IFERROR(VLOOKUP(D1213,Parameter!$A$35:$C$64,3,0)+0,0)))</f>
        <v>0</v>
      </c>
      <c r="CE1213" s="48" t="n">
        <f aca="false">IF(AA1213&lt;&gt;"",AA1213,Z1213)</f>
        <v>3</v>
      </c>
      <c r="CF1213" s="48" t="str">
        <f aca="false">IF(OR(CE1213=1,CE1213=2,CE1213=3),IF(Parameter!$E$27="Ja","LIFT",IF(CE1213=1,"L1","L23")),IF(CE1213="Aussen","Aussen","-"))</f>
        <v>LIFT</v>
      </c>
      <c r="CG1213" s="59" t="n">
        <f aca="false">IF(N(AB1213)&gt;0,AB1213,0)</f>
        <v>0</v>
      </c>
      <c r="CH1213" s="53" t="n">
        <f aca="false">IF(ISNUMBER(AE1213),1,0)</f>
        <v>0</v>
      </c>
      <c r="CI1213" s="50" t="n">
        <f aca="false">N(AE1213)</f>
        <v>0</v>
      </c>
      <c r="CJ1213" s="50" t="n">
        <f aca="false">N(M1213)+N(N1213)</f>
        <v>18</v>
      </c>
      <c r="CK1213" s="50" t="n">
        <f aca="false">N(M1213)</f>
        <v>3</v>
      </c>
      <c r="CL1213" s="50" t="n">
        <f aca="false">N(N1213)</f>
        <v>15</v>
      </c>
      <c r="CM1213" s="50" t="n">
        <f aca="false">ROUNDUP(H1213/BY1213,0)</f>
        <v>1</v>
      </c>
      <c r="CN1213" s="50" t="n">
        <f aca="false">ROUNDUP(CI1213/BY1213,0)</f>
        <v>0</v>
      </c>
      <c r="CO1213" s="53" t="n">
        <f aca="false">IF(BZ1213=1,0,IFERROR(VLOOKUP(BX1213,'Gebinde-Kategorie'!$A$5:$N$45,5,0)+0,0))</f>
        <v>21</v>
      </c>
      <c r="CP1213" s="53" t="n">
        <f aca="false">IFERROR(IF(OR(CE1213=1,CE1213=2,CE1213=3),N(INDEX(Parameter!$I$5:$I$7,CE1213)),0),0)</f>
        <v>0</v>
      </c>
      <c r="CQ1213" s="52" t="n">
        <f aca="false">IF(AND(Parameter!$B$21="Ja",ISNUMBER(W1213),N(X1213)&gt;0),IFERROR(N(INDEX(Parameter!$L$5:$L$7,W1213))*INDEX(Parameter!$E$5:$E$7,W1213)*X1213/SUMIFS($X$7:$X$1843,$W$7:$W$1843,W1213),0),0)</f>
        <v>0</v>
      </c>
    </row>
    <row r="1214" customFormat="false" ht="15" hidden="false" customHeight="false" outlineLevel="0" collapsed="false">
      <c r="A1214" s="48" t="s">
        <v>2188</v>
      </c>
      <c r="B1214" s="48" t="s">
        <v>2189</v>
      </c>
      <c r="C1214" s="48" t="s">
        <v>173</v>
      </c>
      <c r="D1214" s="48" t="s">
        <v>182</v>
      </c>
      <c r="E1214" s="48" t="s">
        <v>474</v>
      </c>
      <c r="F1214" s="48" t="s">
        <v>227</v>
      </c>
      <c r="G1214" s="49" t="n">
        <v>86</v>
      </c>
      <c r="H1214" s="50" t="n">
        <f aca="false">MAX(0,IF(AND(Parameter!$B$21="Ja",ISNUMBER(Y1214)),Y1214,IF(Parameter!$B$20="Jahresanfang 2025 + Export",BR1214+BQ1214,BQ1214)))</f>
        <v>2</v>
      </c>
      <c r="I1214" s="50" t="n">
        <f aca="false">H1214*G1214</f>
        <v>172</v>
      </c>
      <c r="J1214" s="50" t="n">
        <f aca="false">BT1214*Parameter!$B$18</f>
        <v>36</v>
      </c>
      <c r="K1214" s="51" t="n">
        <v>13</v>
      </c>
      <c r="L1214" s="52" t="n">
        <v>2.76923076923077</v>
      </c>
      <c r="M1214" s="50" t="n">
        <v>1</v>
      </c>
      <c r="N1214" s="50" t="n">
        <v>2</v>
      </c>
      <c r="O1214" s="53" t="n">
        <v>14</v>
      </c>
      <c r="P1214" s="48" t="s">
        <v>177</v>
      </c>
      <c r="Q1214" s="50"/>
      <c r="R1214" s="53" t="n">
        <f aca="false">IF(BZ1214=1,0,IFERROR(VLOOKUP(BX1214,'Gebinde-Kategorie'!$A$5:$N$45,13,0)+0,0))</f>
        <v>4</v>
      </c>
      <c r="S1214" s="54"/>
      <c r="T1214" s="55" t="s">
        <v>198</v>
      </c>
      <c r="U1214" s="55"/>
      <c r="V1214" s="55"/>
      <c r="W1214" s="48"/>
      <c r="X1214" s="50"/>
      <c r="Y1214" s="50"/>
      <c r="Z1214" s="48" t="str">
        <f aca="false">IF(A1214="","",IF(AND(Parameter!$B$21="Ja",ISNUMBER(W1214)),W1214,IF(CC1214="2+3",IF(ISNUMBER(SEARCH("grosser Artikel",BU1214)),2,IFERROR(VLOOKUP(BX1214,Parameter!$F$35:$G$64,2,0),2)),IF(OR(CC1214="Nein",CC1214=""),"-",CC1214))))</f>
        <v>-</v>
      </c>
      <c r="AA1214" s="55"/>
      <c r="AB1214" s="56"/>
      <c r="AC1214" s="50" t="n">
        <f aca="false">AV1214</f>
        <v>23</v>
      </c>
      <c r="AD1214" s="50" t="n">
        <f aca="false">MAX(AV1214,H1214)</f>
        <v>23</v>
      </c>
      <c r="AE1214" s="57"/>
      <c r="AF1214" s="50" t="n">
        <f aca="false">IF(LEFT(Cockpit!$C$5,1)="A",H1214,IF(Parameter!$E$30="MAX-Bestand",IF(CH1214=1,CI1214,IF(LEFT(Cockpit!$C$5,1)="B",AL1214,MAX(AL1214,H1214))),ROUNDUP(AJ1214,0)))</f>
        <v>2</v>
      </c>
      <c r="AG1214" s="50" t="n">
        <f aca="false">IF(BZ1214=1,0,ROUNDUP(AF1214/BY1214,0))</f>
        <v>1</v>
      </c>
      <c r="AH1214" s="52" t="n">
        <f aca="false">IF(CQ1214&gt;0,CQ1214*MAX(1,AF1214/X1214),IF(BZ1214=1,IF(AF1214&lt;=0,0,CD1214*MAX(1,IF(H1214&gt;0,AF1214/H1214,1))),IF(R1214&gt;0,AG1214/R1214,0))/MAX(0.1,N(Parameter!$M$21)))</f>
        <v>0.25</v>
      </c>
      <c r="AI1214" s="50" t="n">
        <f aca="false">AH1214*CB1214</f>
        <v>58.75</v>
      </c>
      <c r="AJ1214" s="51" t="n">
        <f aca="false">IF(LEFT(Cockpit!$C$5,1)="A",H1214,IF(CH1214=1,(CK1214+CI1214)/2,IF(LEFT(Cockpit!$C$5,1)="B",(CK1214+AL1214)/2,MAX((CK1214+AL1214)/2,H1214))))</f>
        <v>2</v>
      </c>
      <c r="AK1214" s="50" t="n">
        <f aca="false">AJ1214*G1214</f>
        <v>172</v>
      </c>
      <c r="AL1214" s="50" t="n">
        <f aca="false">ROUNDUP(CK1214+MAX(CL1214,2*(J1214/IF(CG1214&gt;0,CG1214,MAX(0.1,N(Cockpit!$C$6)))-CK1214)),0)</f>
        <v>23</v>
      </c>
      <c r="AM1214" s="51" t="n">
        <f aca="false">IF(AI1214&gt;0,J1214/AI1214,-1)</f>
        <v>0.612765957446809</v>
      </c>
      <c r="AN1214" s="51" t="str">
        <f aca="false">IF(AND(OR(CF1214="L1",CF1214="L23",CF1214="LIFT"),AI1214&gt;0),SUMIFS($AI$7:$AI$1843,$CF$7:$CF$1843,CF1214,$AM$7:$AM$1843,"&gt;"&amp;AM1214)+SUMIFS($AI$7:$AI$1843,$CF$7:$CF$1843,CF1214,$AM$7:$AM$1843,AM1214,$BW$7:$BW$1843,"&lt;="&amp;BW1214),"")</f>
        <v/>
      </c>
      <c r="AO1214" s="58" t="n">
        <f aca="false">IF(AN1214="",0,MAX(0,MIN(1,(IF(CF1214="L1",Parameter!$H$5,IF(CF1214="L23",Parameter!$H$6+Parameter!$H$7,Parameter!$H$5+Parameter!$H$6+Parameter!$H$7))-(AN1214-AI1214))/AI1214)))</f>
        <v>0</v>
      </c>
      <c r="AP1214" s="50" t="n">
        <f aca="false">IF(LEFT(Cockpit!$I$5,1)="A",H1214,IF(Parameter!$E$30="MAX-Bestand",IF(CH1214=1,CI1214,IF(LEFT(Cockpit!$I$5,1)="B",AV1214,MAX(AV1214,H1214))),ROUNDUP(AT1214,0)))</f>
        <v>12</v>
      </c>
      <c r="AQ1214" s="50" t="n">
        <f aca="false">IF(BZ1214=1,0,ROUNDUP(AP1214/BY1214,0))</f>
        <v>6</v>
      </c>
      <c r="AR1214" s="52" t="n">
        <f aca="false">IF(CQ1214&gt;0,CQ1214*MAX(1,AP1214/X1214),IF(BZ1214=1,IF(AP1214&lt;=0,0,CD1214*MAX(1,IF(H1214&gt;0,AP1214/H1214,1))),IF(R1214&gt;0,AQ1214/R1214,0))/MAX(0.1,N(Parameter!$M$21)))</f>
        <v>1.5</v>
      </c>
      <c r="AS1214" s="50" t="n">
        <f aca="false">AR1214*CB1214</f>
        <v>352.5</v>
      </c>
      <c r="AT1214" s="51" t="n">
        <f aca="false">IF(LEFT(Cockpit!$I$5,1)="A",H1214,IF(CH1214=1,(CK1214+CI1214)/2,IF(LEFT(Cockpit!$I$5,1)="B",(CK1214+AV1214)/2,MAX((CK1214+AV1214)/2,H1214))))</f>
        <v>12</v>
      </c>
      <c r="AU1214" s="50" t="n">
        <f aca="false">AT1214*G1214</f>
        <v>1032</v>
      </c>
      <c r="AV1214" s="50" t="n">
        <f aca="false">ROUNDUP(CK1214+MAX(CL1214,2*(J1214/IF(CG1214&gt;0,CG1214,MAX(0.1,N(Cockpit!$I$6)))-CK1214)),0)</f>
        <v>23</v>
      </c>
      <c r="AW1214" s="51" t="n">
        <f aca="false">IF(AS1214&gt;0,J1214/AS1214,-1)</f>
        <v>0.102127659574468</v>
      </c>
      <c r="AX1214" s="51" t="str">
        <f aca="false">IF(AND(OR(CF1214="L1",CF1214="L23",CF1214="LIFT"),AS1214&gt;0),SUMIFS($AS$7:$AS$1843,$CF$7:$CF$1843,CF1214,$AW$7:$AW$1843,"&gt;"&amp;AW1214)+SUMIFS($AS$7:$AS$1843,$CF$7:$CF$1843,CF1214,$AW$7:$AW$1843,AW1214,$BW$7:$BW$1843,"&lt;="&amp;BW1214),"")</f>
        <v/>
      </c>
      <c r="AY1214" s="58" t="n">
        <f aca="false">IF(AX1214="",0,MAX(0,MIN(1,(IF(CF1214="L1",Parameter!$H$5,IF(CF1214="L23",Parameter!$H$6+Parameter!$H$7,Parameter!$H$5+Parameter!$H$6+Parameter!$H$7))-(AX1214-AS1214))/AS1214)))</f>
        <v>0</v>
      </c>
      <c r="AZ1214" s="50" t="n">
        <f aca="false">IF(LEFT(Cockpit!$O$5,1)="A",H1214,IF(Parameter!$E$30="MAX-Bestand",IF(CH1214=1,CI1214,IF(LEFT(Cockpit!$O$5,1)="B",BF1214,MAX(BF1214,H1214))),ROUNDUP(BD1214,0)))</f>
        <v>9</v>
      </c>
      <c r="BA1214" s="50" t="n">
        <f aca="false">IF(BZ1214=1,0,ROUNDUP(AZ1214/BY1214,0))</f>
        <v>5</v>
      </c>
      <c r="BB1214" s="52" t="n">
        <f aca="false">IF(CQ1214&gt;0,CQ1214*MAX(1,AZ1214/X1214),IF(BZ1214=1,IF(AZ1214&lt;=0,0,CD1214*MAX(1,IF(H1214&gt;0,AZ1214/H1214,1))),IF(R1214&gt;0,BA1214/R1214,0))/MAX(0.1,N(Parameter!$M$21)))</f>
        <v>1.25</v>
      </c>
      <c r="BC1214" s="50" t="n">
        <f aca="false">BB1214*CB1214</f>
        <v>293.75</v>
      </c>
      <c r="BD1214" s="51" t="n">
        <f aca="false">IF(LEFT(Cockpit!$O$5,1)="A",H1214,IF(CH1214=1,(CK1214+CI1214)/2,IF(LEFT(Cockpit!$O$5,1)="B",(CK1214+BF1214)/2,MAX((CK1214+BF1214)/2,H1214))))</f>
        <v>9</v>
      </c>
      <c r="BE1214" s="50" t="n">
        <f aca="false">BD1214*G1214</f>
        <v>774</v>
      </c>
      <c r="BF1214" s="50" t="n">
        <f aca="false">ROUNDUP(CK1214+MAX(CL1214,2*(J1214/IF(CG1214&gt;0,CG1214,MAX(0.1,N(Cockpit!$O$6)))-CK1214)),0)</f>
        <v>17</v>
      </c>
      <c r="BG1214" s="51" t="n">
        <f aca="false">IF(BC1214&gt;0,J1214/BC1214,-1)</f>
        <v>0.122553191489362</v>
      </c>
      <c r="BH1214" s="51" t="str">
        <f aca="false">IF(AND(OR(CF1214="L1",CF1214="L23",CF1214="LIFT"),BC1214&gt;0),SUMIFS($BC$7:$BC$1843,$CF$7:$CF$1843,CF1214,$BG$7:$BG$1843,"&gt;"&amp;BG1214)+SUMIFS($BC$7:$BC$1843,$CF$7:$CF$1843,CF1214,$BG$7:$BG$1843,BG1214,$BW$7:$BW$1843,"&lt;="&amp;BW1214),"")</f>
        <v/>
      </c>
      <c r="BI1214" s="58" t="n">
        <f aca="false">IF(BH1214="",0,MAX(0,MIN(1,(IF(CF1214="L1",Parameter!$H$5,IF(CF1214="L23",Parameter!$H$6+Parameter!$H$7,Parameter!$H$5+Parameter!$H$6+Parameter!$H$7))-(BH1214-BC1214))/BC1214)))</f>
        <v>0</v>
      </c>
      <c r="BJ1214" s="48" t="str">
        <f aca="false">IF(AI1214&lt;=0,"",IF(CF1214="Aussen","Aussenlager",IF(CF1214="-","Nicht im Lift",IF(AO1214&gt;=1,"Lift",IF(AO1214&lt;=0,"Aussenlager","teilweise")))))</f>
        <v>Nicht im Lift</v>
      </c>
      <c r="BK1214" s="48" t="str">
        <f aca="false">IF(AS1214&lt;=0,"",IF(CF1214="Aussen","Aussenlager",IF(CF1214="-","Nicht im Lift",IF(AY1214&gt;=1,"Lift",IF(AY1214&lt;=0,"Aussenlager","teilweise")))))</f>
        <v>Nicht im Lift</v>
      </c>
      <c r="BL1214" s="48" t="str">
        <f aca="false">IF(BC1214&lt;=0,"",IF(CF1214="Aussen","Aussenlager",IF(CF1214="-","Nicht im Lift",IF(BI1214&gt;=1,"Lift",IF(BI1214&lt;=0,"Aussenlager","teilweise")))))</f>
        <v>Nicht im Lift</v>
      </c>
      <c r="BM1214" s="48" t="str">
        <f aca="false">IF(A1214="","",IF(BV1214=1,"Neu; ","")&amp;IF(AND(BV1214=0,BQ1214&lt;0),"negativer Bestand (Export "&amp;BQ1214&amp;"); ","")&amp;IF(J1214&lt;=0,"Kein Verbrauch; ","")&amp;IF(CQ1214&gt;0,"Lift "&amp;W1214&amp;" lt. Liftbericht (Fach "&amp;X1214&amp;" Stk); ",IF(CA1214=1,"Gebinde geschätzt ("&amp;T1214&amp;"); ",IF(BZ1214=1,"Lose – Tablare geschätzt; ","")))&amp;IF(H1214&gt;AV1214,"Überbestand "&amp;ROUND(H1214-AV1214,0)&amp;" Stk / CHF "&amp;ROUND((H1214-AV1214)*G1214,0)&amp;"; ","")&amp;IF(AND(CH1214=1,CI1214&lt;CJ1214),"MAX &lt; MB+LG; ","")&amp;IF(AND(CP1214&gt;0,CO1214*10&gt;CP1214),"zu hoch für Tablar; ","")&amp;IF(AND(BV1214=0,OR(CH1214=1,AA1214&lt;&gt;"",U1214&lt;&gt;"",V1214&lt;&gt;"",AB1214&lt;&gt;"")),"manuell übersteuert; ","")&amp;IF(AND(BZ1214=0,R1214=0),"Gebinde unbekannt / Stellmass fehlt; ","")&amp;IF(AND(BZ1214=0,N(V1214)&lt;=0,N(Q1214)&lt;=0),"Menge pro Gebinde fehlt (Ist = 1 Gebinde); ","")&amp;BU1214)</f>
        <v>negativer Bestand (Export -7); Gebinde geschätzt (Gross); Menge pro Gebinde fehlt (Ist = 1 Gebinde); </v>
      </c>
      <c r="BN1214" s="48"/>
      <c r="BO1214" s="48"/>
      <c r="BP1214" s="55"/>
      <c r="BQ1214" s="50" t="n">
        <v>-7</v>
      </c>
      <c r="BR1214" s="50" t="n">
        <v>9</v>
      </c>
      <c r="BS1214" s="49" t="n">
        <v>-544.22</v>
      </c>
      <c r="BT1214" s="50" t="n">
        <v>36</v>
      </c>
      <c r="BU1214" s="48"/>
      <c r="BV1214" s="53" t="n">
        <v>0</v>
      </c>
      <c r="BW1214" s="53" t="n">
        <v>1214</v>
      </c>
      <c r="BX1214" s="48" t="str">
        <f aca="false">IF(U1214&lt;&gt;"",UPPER(TRIM(U1214)),IF(CA1214=1,UPPER(VLOOKUP(T1214,Parameter!$I$27:$K$29,2,0)),IF(P1214="","LOSE",P1214)))</f>
        <v>S81</v>
      </c>
      <c r="BY1214" s="50" t="n">
        <f aca="false">IF(BX1214="LOSE",1,IF(N(V1214)&gt;0,V1214,IF(CA1214=1,MAX(1,N(VLOOKUP(T1214,Parameter!$I$27:$K$29,3,0)),H1214,N(N1214)),IF(N(Q1214)&gt;0,Q1214,MAX(1,H1214)))))</f>
        <v>2</v>
      </c>
      <c r="BZ1214" s="53" t="n">
        <f aca="false">IF(BX1214="LOSE",1,0)</f>
        <v>0</v>
      </c>
      <c r="CA1214" s="53" t="n">
        <f aca="false">IF(AND(U1214="",OR(P1214="",P1214="LOSE"),T1214&lt;&gt;"",N(S1214)&lt;=0,ISNUMBER(MATCH(T1214,Parameter!$I$27:$I$29,0))),1,0)</f>
        <v>1</v>
      </c>
      <c r="CB1214" s="53" t="n">
        <f aca="false">IF(CQ1214&gt;0,INDEX(Parameter!$H$5:$H$7,W1214)/INDEX(Parameter!$E$5:$E$7,W1214),IF(AND(BZ1214=0,N(IFERROR(VLOOKUP(BX1214,'Gebinde-Kategorie'!$A$5:$N$45,14,0),0))&gt;0),VLOOKUP(BX1214,'Gebinde-Kategorie'!$A$5:$N$45,14,0)*10+Parameter!$M$23,Parameter!$M$24))</f>
        <v>235</v>
      </c>
      <c r="CC1214" s="48" t="str">
        <f aca="false">IF(AND(Parameter!$B$19="Ja",E1214&lt;&gt;"",ISNUMBER(MATCH(E1214,Parameter!$I$35:$I$52,0))),VLOOKUP(E1214,Parameter!$I$35:$J$52,2,0),IFERROR(VLOOKUP(D1214,Parameter!$A$35:$C$64,2,0),"Nein"))</f>
        <v>Nein</v>
      </c>
      <c r="CD1214" s="52" t="n">
        <f aca="false">IF(BZ1214=0,0,IF(N(S1214)&gt;0,S1214,IFERROR(VLOOKUP(D1214,Parameter!$A$35:$C$64,3,0)+0,0)))</f>
        <v>0</v>
      </c>
      <c r="CE1214" s="48" t="str">
        <f aca="false">IF(AA1214&lt;&gt;"",AA1214,Z1214)</f>
        <v>-</v>
      </c>
      <c r="CF1214" s="48" t="str">
        <f aca="false">IF(OR(CE1214=1,CE1214=2,CE1214=3),IF(Parameter!$E$27="Ja","LIFT",IF(CE1214=1,"L1","L23")),IF(CE1214="Aussen","Aussen","-"))</f>
        <v>-</v>
      </c>
      <c r="CG1214" s="59" t="n">
        <f aca="false">IF(N(AB1214)&gt;0,AB1214,0)</f>
        <v>0</v>
      </c>
      <c r="CH1214" s="53" t="n">
        <f aca="false">IF(ISNUMBER(AE1214),1,0)</f>
        <v>0</v>
      </c>
      <c r="CI1214" s="50" t="n">
        <f aca="false">N(AE1214)</f>
        <v>0</v>
      </c>
      <c r="CJ1214" s="50" t="n">
        <f aca="false">N(M1214)+N(N1214)</f>
        <v>3</v>
      </c>
      <c r="CK1214" s="50" t="n">
        <f aca="false">N(M1214)</f>
        <v>1</v>
      </c>
      <c r="CL1214" s="50" t="n">
        <f aca="false">N(N1214)</f>
        <v>2</v>
      </c>
      <c r="CM1214" s="50" t="n">
        <f aca="false">ROUNDUP(H1214/BY1214,0)</f>
        <v>1</v>
      </c>
      <c r="CN1214" s="50" t="n">
        <f aca="false">ROUNDUP(CI1214/BY1214,0)</f>
        <v>0</v>
      </c>
      <c r="CO1214" s="53" t="n">
        <f aca="false">IF(BZ1214=1,0,IFERROR(VLOOKUP(BX1214,'Gebinde-Kategorie'!$A$5:$N$45,5,0)+0,0))</f>
        <v>20</v>
      </c>
      <c r="CP1214" s="53" t="n">
        <f aca="false">IFERROR(IF(OR(CE1214=1,CE1214=2,CE1214=3),N(INDEX(Parameter!$I$5:$I$7,CE1214)),0),0)</f>
        <v>0</v>
      </c>
      <c r="CQ1214" s="52" t="n">
        <f aca="false">IF(AND(Parameter!$B$21="Ja",ISNUMBER(W1214),N(X1214)&gt;0),IFERROR(N(INDEX(Parameter!$L$5:$L$7,W1214))*INDEX(Parameter!$E$5:$E$7,W1214)*X1214/SUMIFS($X$7:$X$1843,$W$7:$W$1843,W1214),0),0)</f>
        <v>0</v>
      </c>
    </row>
    <row r="1215" customFormat="false" ht="15" hidden="false" customHeight="false" outlineLevel="0" collapsed="false">
      <c r="A1215" s="48" t="s">
        <v>2190</v>
      </c>
      <c r="B1215" s="48" t="s">
        <v>2191</v>
      </c>
      <c r="C1215" s="48" t="s">
        <v>465</v>
      </c>
      <c r="D1215" s="48" t="s">
        <v>182</v>
      </c>
      <c r="E1215" s="48" t="s">
        <v>1488</v>
      </c>
      <c r="F1215" s="48" t="s">
        <v>227</v>
      </c>
      <c r="G1215" s="49" t="n">
        <v>141.18</v>
      </c>
      <c r="H1215" s="50" t="n">
        <f aca="false">MAX(0,IF(AND(Parameter!$B$21="Ja",ISNUMBER(Y1215)),Y1215,IF(Parameter!$B$20="Jahresanfang 2025 + Export",BR1215+BQ1215,BQ1215)))</f>
        <v>0</v>
      </c>
      <c r="I1215" s="50" t="n">
        <f aca="false">H1215*G1215</f>
        <v>0</v>
      </c>
      <c r="J1215" s="50" t="n">
        <f aca="false">BT1215*Parameter!$B$18</f>
        <v>0</v>
      </c>
      <c r="K1215" s="51" t="n">
        <v>2</v>
      </c>
      <c r="L1215" s="52" t="n">
        <v>0</v>
      </c>
      <c r="M1215" s="50" t="n">
        <v>0</v>
      </c>
      <c r="N1215" s="50" t="n">
        <v>1</v>
      </c>
      <c r="O1215" s="53" t="n">
        <v>56</v>
      </c>
      <c r="P1215" s="48" t="s">
        <v>177</v>
      </c>
      <c r="Q1215" s="50"/>
      <c r="R1215" s="53" t="n">
        <f aca="false">IF(BZ1215=1,0,IFERROR(VLOOKUP(BX1215,'Gebinde-Kategorie'!$A$5:$N$45,13,0)+0,0))</f>
        <v>4</v>
      </c>
      <c r="S1215" s="54"/>
      <c r="T1215" s="55" t="s">
        <v>198</v>
      </c>
      <c r="U1215" s="55"/>
      <c r="V1215" s="55"/>
      <c r="W1215" s="48"/>
      <c r="X1215" s="50"/>
      <c r="Y1215" s="50"/>
      <c r="Z1215" s="48" t="str">
        <f aca="false">IF(A1215="","",IF(AND(Parameter!$B$21="Ja",ISNUMBER(W1215)),W1215,IF(CC1215="2+3",IF(ISNUMBER(SEARCH("grosser Artikel",BU1215)),2,IFERROR(VLOOKUP(BX1215,Parameter!$F$35:$G$64,2,0),2)),IF(OR(CC1215="Nein",CC1215=""),"-",CC1215))))</f>
        <v>-</v>
      </c>
      <c r="AA1215" s="55"/>
      <c r="AB1215" s="56"/>
      <c r="AC1215" s="50" t="n">
        <f aca="false">AV1215</f>
        <v>1</v>
      </c>
      <c r="AD1215" s="50" t="n">
        <f aca="false">MAX(AV1215,H1215)</f>
        <v>1</v>
      </c>
      <c r="AE1215" s="57"/>
      <c r="AF1215" s="50" t="n">
        <f aca="false">IF(LEFT(Cockpit!$C$5,1)="A",H1215,IF(Parameter!$E$30="MAX-Bestand",IF(CH1215=1,CI1215,IF(LEFT(Cockpit!$C$5,1)="B",AL1215,MAX(AL1215,H1215))),ROUNDUP(AJ1215,0)))</f>
        <v>0</v>
      </c>
      <c r="AG1215" s="50" t="n">
        <f aca="false">IF(BZ1215=1,0,ROUNDUP(AF1215/BY1215,0))</f>
        <v>0</v>
      </c>
      <c r="AH1215" s="52" t="n">
        <f aca="false">IF(CQ1215&gt;0,CQ1215*MAX(1,AF1215/X1215),IF(BZ1215=1,IF(AF1215&lt;=0,0,CD1215*MAX(1,IF(H1215&gt;0,AF1215/H1215,1))),IF(R1215&gt;0,AG1215/R1215,0))/MAX(0.1,N(Parameter!$M$21)))</f>
        <v>0</v>
      </c>
      <c r="AI1215" s="50" t="n">
        <f aca="false">AH1215*CB1215</f>
        <v>0</v>
      </c>
      <c r="AJ1215" s="51" t="n">
        <f aca="false">IF(LEFT(Cockpit!$C$5,1)="A",H1215,IF(CH1215=1,(CK1215+CI1215)/2,IF(LEFT(Cockpit!$C$5,1)="B",(CK1215+AL1215)/2,MAX((CK1215+AL1215)/2,H1215))))</f>
        <v>0</v>
      </c>
      <c r="AK1215" s="50" t="n">
        <f aca="false">AJ1215*G1215</f>
        <v>0</v>
      </c>
      <c r="AL1215" s="50" t="n">
        <f aca="false">ROUNDUP(CK1215+MAX(CL1215,2*(J1215/IF(CG1215&gt;0,CG1215,MAX(0.1,N(Cockpit!$C$6)))-CK1215)),0)</f>
        <v>1</v>
      </c>
      <c r="AM1215" s="51" t="n">
        <f aca="false">IF(AI1215&gt;0,J1215/AI1215,-1)</f>
        <v>-1</v>
      </c>
      <c r="AN1215" s="51" t="str">
        <f aca="false">IF(AND(OR(CF1215="L1",CF1215="L23",CF1215="LIFT"),AI1215&gt;0),SUMIFS($AI$7:$AI$1843,$CF$7:$CF$1843,CF1215,$AM$7:$AM$1843,"&gt;"&amp;AM1215)+SUMIFS($AI$7:$AI$1843,$CF$7:$CF$1843,CF1215,$AM$7:$AM$1843,AM1215,$BW$7:$BW$1843,"&lt;="&amp;BW1215),"")</f>
        <v/>
      </c>
      <c r="AO1215" s="58" t="n">
        <f aca="false">IF(AN1215="",0,MAX(0,MIN(1,(IF(CF1215="L1",Parameter!$H$5,IF(CF1215="L23",Parameter!$H$6+Parameter!$H$7,Parameter!$H$5+Parameter!$H$6+Parameter!$H$7))-(AN1215-AI1215))/AI1215)))</f>
        <v>0</v>
      </c>
      <c r="AP1215" s="50" t="n">
        <f aca="false">IF(LEFT(Cockpit!$I$5,1)="A",H1215,IF(Parameter!$E$30="MAX-Bestand",IF(CH1215=1,CI1215,IF(LEFT(Cockpit!$I$5,1)="B",AV1215,MAX(AV1215,H1215))),ROUNDUP(AT1215,0)))</f>
        <v>1</v>
      </c>
      <c r="AQ1215" s="50" t="n">
        <f aca="false">IF(BZ1215=1,0,ROUNDUP(AP1215/BY1215,0))</f>
        <v>1</v>
      </c>
      <c r="AR1215" s="52" t="n">
        <f aca="false">IF(CQ1215&gt;0,CQ1215*MAX(1,AP1215/X1215),IF(BZ1215=1,IF(AP1215&lt;=0,0,CD1215*MAX(1,IF(H1215&gt;0,AP1215/H1215,1))),IF(R1215&gt;0,AQ1215/R1215,0))/MAX(0.1,N(Parameter!$M$21)))</f>
        <v>0.25</v>
      </c>
      <c r="AS1215" s="50" t="n">
        <f aca="false">AR1215*CB1215</f>
        <v>58.75</v>
      </c>
      <c r="AT1215" s="51" t="n">
        <f aca="false">IF(LEFT(Cockpit!$I$5,1)="A",H1215,IF(CH1215=1,(CK1215+CI1215)/2,IF(LEFT(Cockpit!$I$5,1)="B",(CK1215+AV1215)/2,MAX((CK1215+AV1215)/2,H1215))))</f>
        <v>0.5</v>
      </c>
      <c r="AU1215" s="50" t="n">
        <f aca="false">AT1215*G1215</f>
        <v>70.59</v>
      </c>
      <c r="AV1215" s="50" t="n">
        <f aca="false">ROUNDUP(CK1215+MAX(CL1215,2*(J1215/IF(CG1215&gt;0,CG1215,MAX(0.1,N(Cockpit!$I$6)))-CK1215)),0)</f>
        <v>1</v>
      </c>
      <c r="AW1215" s="51" t="n">
        <f aca="false">IF(AS1215&gt;0,J1215/AS1215,-1)</f>
        <v>0</v>
      </c>
      <c r="AX1215" s="51" t="str">
        <f aca="false">IF(AND(OR(CF1215="L1",CF1215="L23",CF1215="LIFT"),AS1215&gt;0),SUMIFS($AS$7:$AS$1843,$CF$7:$CF$1843,CF1215,$AW$7:$AW$1843,"&gt;"&amp;AW1215)+SUMIFS($AS$7:$AS$1843,$CF$7:$CF$1843,CF1215,$AW$7:$AW$1843,AW1215,$BW$7:$BW$1843,"&lt;="&amp;BW1215),"")</f>
        <v/>
      </c>
      <c r="AY1215" s="58" t="n">
        <f aca="false">IF(AX1215="",0,MAX(0,MIN(1,(IF(CF1215="L1",Parameter!$H$5,IF(CF1215="L23",Parameter!$H$6+Parameter!$H$7,Parameter!$H$5+Parameter!$H$6+Parameter!$H$7))-(AX1215-AS1215))/AS1215)))</f>
        <v>0</v>
      </c>
      <c r="AZ1215" s="50" t="n">
        <f aca="false">IF(LEFT(Cockpit!$O$5,1)="A",H1215,IF(Parameter!$E$30="MAX-Bestand",IF(CH1215=1,CI1215,IF(LEFT(Cockpit!$O$5,1)="B",BF1215,MAX(BF1215,H1215))),ROUNDUP(BD1215,0)))</f>
        <v>1</v>
      </c>
      <c r="BA1215" s="50" t="n">
        <f aca="false">IF(BZ1215=1,0,ROUNDUP(AZ1215/BY1215,0))</f>
        <v>1</v>
      </c>
      <c r="BB1215" s="52" t="n">
        <f aca="false">IF(CQ1215&gt;0,CQ1215*MAX(1,AZ1215/X1215),IF(BZ1215=1,IF(AZ1215&lt;=0,0,CD1215*MAX(1,IF(H1215&gt;0,AZ1215/H1215,1))),IF(R1215&gt;0,BA1215/R1215,0))/MAX(0.1,N(Parameter!$M$21)))</f>
        <v>0.25</v>
      </c>
      <c r="BC1215" s="50" t="n">
        <f aca="false">BB1215*CB1215</f>
        <v>58.75</v>
      </c>
      <c r="BD1215" s="51" t="n">
        <f aca="false">IF(LEFT(Cockpit!$O$5,1)="A",H1215,IF(CH1215=1,(CK1215+CI1215)/2,IF(LEFT(Cockpit!$O$5,1)="B",(CK1215+BF1215)/2,MAX((CK1215+BF1215)/2,H1215))))</f>
        <v>0.5</v>
      </c>
      <c r="BE1215" s="50" t="n">
        <f aca="false">BD1215*G1215</f>
        <v>70.59</v>
      </c>
      <c r="BF1215" s="50" t="n">
        <f aca="false">ROUNDUP(CK1215+MAX(CL1215,2*(J1215/IF(CG1215&gt;0,CG1215,MAX(0.1,N(Cockpit!$O$6)))-CK1215)),0)</f>
        <v>1</v>
      </c>
      <c r="BG1215" s="51" t="n">
        <f aca="false">IF(BC1215&gt;0,J1215/BC1215,-1)</f>
        <v>0</v>
      </c>
      <c r="BH1215" s="51" t="str">
        <f aca="false">IF(AND(OR(CF1215="L1",CF1215="L23",CF1215="LIFT"),BC1215&gt;0),SUMIFS($BC$7:$BC$1843,$CF$7:$CF$1843,CF1215,$BG$7:$BG$1843,"&gt;"&amp;BG1215)+SUMIFS($BC$7:$BC$1843,$CF$7:$CF$1843,CF1215,$BG$7:$BG$1843,BG1215,$BW$7:$BW$1843,"&lt;="&amp;BW1215),"")</f>
        <v/>
      </c>
      <c r="BI1215" s="58" t="n">
        <f aca="false">IF(BH1215="",0,MAX(0,MIN(1,(IF(CF1215="L1",Parameter!$H$5,IF(CF1215="L23",Parameter!$H$6+Parameter!$H$7,Parameter!$H$5+Parameter!$H$6+Parameter!$H$7))-(BH1215-BC1215))/BC1215)))</f>
        <v>0</v>
      </c>
      <c r="BJ1215" s="48" t="str">
        <f aca="false">IF(AI1215&lt;=0,"",IF(CF1215="Aussen","Aussenlager",IF(CF1215="-","Nicht im Lift",IF(AO1215&gt;=1,"Lift",IF(AO1215&lt;=0,"Aussenlager","teilweise")))))</f>
        <v/>
      </c>
      <c r="BK1215" s="48" t="str">
        <f aca="false">IF(AS1215&lt;=0,"",IF(CF1215="Aussen","Aussenlager",IF(CF1215="-","Nicht im Lift",IF(AY1215&gt;=1,"Lift",IF(AY1215&lt;=0,"Aussenlager","teilweise")))))</f>
        <v>Nicht im Lift</v>
      </c>
      <c r="BL1215" s="48" t="str">
        <f aca="false">IF(BC1215&lt;=0,"",IF(CF1215="Aussen","Aussenlager",IF(CF1215="-","Nicht im Lift",IF(BI1215&gt;=1,"Lift",IF(BI1215&lt;=0,"Aussenlager","teilweise")))))</f>
        <v>Nicht im Lift</v>
      </c>
      <c r="BM1215" s="48" t="str">
        <f aca="false">IF(A1215="","",IF(BV1215=1,"Neu; ","")&amp;IF(AND(BV1215=0,BQ1215&lt;0),"negativer Bestand (Export "&amp;BQ1215&amp;"); ","")&amp;IF(J1215&lt;=0,"Kein Verbrauch; ","")&amp;IF(CQ1215&gt;0,"Lift "&amp;W1215&amp;" lt. Liftbericht (Fach "&amp;X1215&amp;" Stk); ",IF(CA1215=1,"Gebinde geschätzt ("&amp;T1215&amp;"); ",IF(BZ1215=1,"Lose – Tablare geschätzt; ","")))&amp;IF(H1215&gt;AV1215,"Überbestand "&amp;ROUND(H1215-AV1215,0)&amp;" Stk / CHF "&amp;ROUND((H1215-AV1215)*G1215,0)&amp;"; ","")&amp;IF(AND(CH1215=1,CI1215&lt;CJ1215),"MAX &lt; MB+LG; ","")&amp;IF(AND(CP1215&gt;0,CO1215*10&gt;CP1215),"zu hoch für Tablar; ","")&amp;IF(AND(BV1215=0,OR(CH1215=1,AA1215&lt;&gt;"",U1215&lt;&gt;"",V1215&lt;&gt;"",AB1215&lt;&gt;"")),"manuell übersteuert; ","")&amp;IF(AND(BZ1215=0,R1215=0),"Gebinde unbekannt / Stellmass fehlt; ","")&amp;IF(AND(BZ1215=0,N(V1215)&lt;=0,N(Q1215)&lt;=0),"Menge pro Gebinde fehlt (Ist = 1 Gebinde); ","")&amp;BU1215)</f>
        <v>negativer Bestand (Export -4); Kein Verbrauch; Gebinde geschätzt (Gross); Menge pro Gebinde fehlt (Ist = 1 Gebinde); </v>
      </c>
      <c r="BN1215" s="48"/>
      <c r="BO1215" s="48"/>
      <c r="BP1215" s="55"/>
      <c r="BQ1215" s="50" t="n">
        <v>-4</v>
      </c>
      <c r="BR1215" s="50" t="n">
        <v>4</v>
      </c>
      <c r="BS1215" s="49" t="n">
        <v>-564.72</v>
      </c>
      <c r="BT1215" s="50" t="n">
        <v>0</v>
      </c>
      <c r="BU1215" s="48"/>
      <c r="BV1215" s="53" t="n">
        <v>0</v>
      </c>
      <c r="BW1215" s="53" t="n">
        <v>1215</v>
      </c>
      <c r="BX1215" s="48" t="str">
        <f aca="false">IF(U1215&lt;&gt;"",UPPER(TRIM(U1215)),IF(CA1215=1,UPPER(VLOOKUP(T1215,Parameter!$I$27:$K$29,2,0)),IF(P1215="","LOSE",P1215)))</f>
        <v>S81</v>
      </c>
      <c r="BY1215" s="50" t="n">
        <f aca="false">IF(BX1215="LOSE",1,IF(N(V1215)&gt;0,V1215,IF(CA1215=1,MAX(1,N(VLOOKUP(T1215,Parameter!$I$27:$K$29,3,0)),H1215,N(N1215)),IF(N(Q1215)&gt;0,Q1215,MAX(1,H1215)))))</f>
        <v>2</v>
      </c>
      <c r="BZ1215" s="53" t="n">
        <f aca="false">IF(BX1215="LOSE",1,0)</f>
        <v>0</v>
      </c>
      <c r="CA1215" s="53" t="n">
        <f aca="false">IF(AND(U1215="",OR(P1215="",P1215="LOSE"),T1215&lt;&gt;"",N(S1215)&lt;=0,ISNUMBER(MATCH(T1215,Parameter!$I$27:$I$29,0))),1,0)</f>
        <v>1</v>
      </c>
      <c r="CB1215" s="53" t="n">
        <f aca="false">IF(CQ1215&gt;0,INDEX(Parameter!$H$5:$H$7,W1215)/INDEX(Parameter!$E$5:$E$7,W1215),IF(AND(BZ1215=0,N(IFERROR(VLOOKUP(BX1215,'Gebinde-Kategorie'!$A$5:$N$45,14,0),0))&gt;0),VLOOKUP(BX1215,'Gebinde-Kategorie'!$A$5:$N$45,14,0)*10+Parameter!$M$23,Parameter!$M$24))</f>
        <v>235</v>
      </c>
      <c r="CC1215" s="48" t="str">
        <f aca="false">IF(AND(Parameter!$B$19="Ja",E1215&lt;&gt;"",ISNUMBER(MATCH(E1215,Parameter!$I$35:$I$52,0))),VLOOKUP(E1215,Parameter!$I$35:$J$52,2,0),IFERROR(VLOOKUP(D1215,Parameter!$A$35:$C$64,2,0),"Nein"))</f>
        <v>Nein</v>
      </c>
      <c r="CD1215" s="52" t="n">
        <f aca="false">IF(BZ1215=0,0,IF(N(S1215)&gt;0,S1215,IFERROR(VLOOKUP(D1215,Parameter!$A$35:$C$64,3,0)+0,0)))</f>
        <v>0</v>
      </c>
      <c r="CE1215" s="48" t="str">
        <f aca="false">IF(AA1215&lt;&gt;"",AA1215,Z1215)</f>
        <v>-</v>
      </c>
      <c r="CF1215" s="48" t="str">
        <f aca="false">IF(OR(CE1215=1,CE1215=2,CE1215=3),IF(Parameter!$E$27="Ja","LIFT",IF(CE1215=1,"L1","L23")),IF(CE1215="Aussen","Aussen","-"))</f>
        <v>-</v>
      </c>
      <c r="CG1215" s="59" t="n">
        <f aca="false">IF(N(AB1215)&gt;0,AB1215,0)</f>
        <v>0</v>
      </c>
      <c r="CH1215" s="53" t="n">
        <f aca="false">IF(ISNUMBER(AE1215),1,0)</f>
        <v>0</v>
      </c>
      <c r="CI1215" s="50" t="n">
        <f aca="false">N(AE1215)</f>
        <v>0</v>
      </c>
      <c r="CJ1215" s="50" t="n">
        <f aca="false">N(M1215)+N(N1215)</f>
        <v>1</v>
      </c>
      <c r="CK1215" s="50" t="n">
        <f aca="false">N(M1215)</f>
        <v>0</v>
      </c>
      <c r="CL1215" s="50" t="n">
        <f aca="false">N(N1215)</f>
        <v>1</v>
      </c>
      <c r="CM1215" s="50" t="n">
        <f aca="false">ROUNDUP(H1215/BY1215,0)</f>
        <v>0</v>
      </c>
      <c r="CN1215" s="50" t="n">
        <f aca="false">ROUNDUP(CI1215/BY1215,0)</f>
        <v>0</v>
      </c>
      <c r="CO1215" s="53" t="n">
        <f aca="false">IF(BZ1215=1,0,IFERROR(VLOOKUP(BX1215,'Gebinde-Kategorie'!$A$5:$N$45,5,0)+0,0))</f>
        <v>20</v>
      </c>
      <c r="CP1215" s="53" t="n">
        <f aca="false">IFERROR(IF(OR(CE1215=1,CE1215=2,CE1215=3),N(INDEX(Parameter!$I$5:$I$7,CE1215)),0),0)</f>
        <v>0</v>
      </c>
      <c r="CQ1215" s="52" t="n">
        <f aca="false">IF(AND(Parameter!$B$21="Ja",ISNUMBER(W1215),N(X1215)&gt;0),IFERROR(N(INDEX(Parameter!$L$5:$L$7,W1215))*INDEX(Parameter!$E$5:$E$7,W1215)*X1215/SUMIFS($X$7:$X$1843,$W$7:$W$1843,W1215),0),0)</f>
        <v>0</v>
      </c>
    </row>
    <row r="1216" customFormat="false" ht="15" hidden="false" customHeight="false" outlineLevel="0" collapsed="false">
      <c r="A1216" s="48" t="s">
        <v>2192</v>
      </c>
      <c r="B1216" s="48" t="s">
        <v>1412</v>
      </c>
      <c r="C1216" s="48" t="s">
        <v>173</v>
      </c>
      <c r="D1216" s="48" t="s">
        <v>193</v>
      </c>
      <c r="E1216" s="48"/>
      <c r="F1216" s="48" t="s">
        <v>227</v>
      </c>
      <c r="G1216" s="49" t="n">
        <v>63.26</v>
      </c>
      <c r="H1216" s="50" t="n">
        <f aca="false">MAX(0,IF(AND(Parameter!$B$21="Ja",ISNUMBER(Y1216)),Y1216,IF(Parameter!$B$20="Jahresanfang 2025 + Export",BR1216+BQ1216,BQ1216)))</f>
        <v>18</v>
      </c>
      <c r="I1216" s="50" t="n">
        <f aca="false">H1216*G1216</f>
        <v>1138.68</v>
      </c>
      <c r="J1216" s="50" t="n">
        <f aca="false">BT1216*Parameter!$B$18</f>
        <v>2</v>
      </c>
      <c r="K1216" s="51" t="n">
        <v>25</v>
      </c>
      <c r="L1216" s="52" t="n">
        <v>0.08</v>
      </c>
      <c r="M1216" s="50" t="n">
        <v>0</v>
      </c>
      <c r="N1216" s="50" t="n">
        <v>1</v>
      </c>
      <c r="O1216" s="53" t="n">
        <v>35</v>
      </c>
      <c r="P1216" s="48" t="s">
        <v>177</v>
      </c>
      <c r="Q1216" s="50"/>
      <c r="R1216" s="53" t="n">
        <f aca="false">IF(BZ1216=1,0,IFERROR(VLOOKUP(BX1216,'Gebinde-Kategorie'!$A$5:$N$45,13,0)+0,0))</f>
        <v>26</v>
      </c>
      <c r="S1216" s="54"/>
      <c r="T1216" s="55" t="s">
        <v>284</v>
      </c>
      <c r="U1216" s="55"/>
      <c r="V1216" s="55"/>
      <c r="W1216" s="48"/>
      <c r="X1216" s="50"/>
      <c r="Y1216" s="50"/>
      <c r="Z1216" s="48" t="n">
        <f aca="false">IF(A1216="","",IF(AND(Parameter!$B$21="Ja",ISNUMBER(W1216)),W1216,IF(CC1216="2+3",IF(ISNUMBER(SEARCH("grosser Artikel",BU1216)),2,IFERROR(VLOOKUP(BX1216,Parameter!$F$35:$G$64,2,0),2)),IF(OR(CC1216="Nein",CC1216=""),"-",CC1216))))</f>
        <v>3</v>
      </c>
      <c r="AA1216" s="55"/>
      <c r="AB1216" s="56"/>
      <c r="AC1216" s="50" t="n">
        <f aca="false">AV1216</f>
        <v>2</v>
      </c>
      <c r="AD1216" s="50" t="n">
        <f aca="false">MAX(AV1216,H1216)</f>
        <v>18</v>
      </c>
      <c r="AE1216" s="57"/>
      <c r="AF1216" s="50" t="n">
        <f aca="false">IF(LEFT(Cockpit!$C$5,1)="A",H1216,IF(Parameter!$E$30="MAX-Bestand",IF(CH1216=1,CI1216,IF(LEFT(Cockpit!$C$5,1)="B",AL1216,MAX(AL1216,H1216))),ROUNDUP(AJ1216,0)))</f>
        <v>18</v>
      </c>
      <c r="AG1216" s="50" t="n">
        <f aca="false">IF(BZ1216=1,0,ROUNDUP(AF1216/BY1216,0))</f>
        <v>1</v>
      </c>
      <c r="AH1216" s="52" t="n">
        <f aca="false">IF(CQ1216&gt;0,CQ1216*MAX(1,AF1216/X1216),IF(BZ1216=1,IF(AF1216&lt;=0,0,CD1216*MAX(1,IF(H1216&gt;0,AF1216/H1216,1))),IF(R1216&gt;0,AG1216/R1216,0))/MAX(0.1,N(Parameter!$M$21)))</f>
        <v>0.0384615384615385</v>
      </c>
      <c r="AI1216" s="50" t="n">
        <f aca="false">AH1216*CB1216</f>
        <v>5.96153846153846</v>
      </c>
      <c r="AJ1216" s="51" t="n">
        <f aca="false">IF(LEFT(Cockpit!$C$5,1)="A",H1216,IF(CH1216=1,(CK1216+CI1216)/2,IF(LEFT(Cockpit!$C$5,1)="B",(CK1216+AL1216)/2,MAX((CK1216+AL1216)/2,H1216))))</f>
        <v>18</v>
      </c>
      <c r="AK1216" s="50" t="n">
        <f aca="false">AJ1216*G1216</f>
        <v>1138.68</v>
      </c>
      <c r="AL1216" s="50" t="n">
        <f aca="false">ROUNDUP(CK1216+MAX(CL1216,2*(J1216/IF(CG1216&gt;0,CG1216,MAX(0.1,N(Cockpit!$C$6)))-CK1216)),0)</f>
        <v>2</v>
      </c>
      <c r="AM1216" s="51" t="n">
        <f aca="false">IF(AI1216&gt;0,J1216/AI1216,-1)</f>
        <v>0.335483870967742</v>
      </c>
      <c r="AN1216" s="51" t="n">
        <f aca="false">IF(AND(OR(CF1216="L1",CF1216="L23",CF1216="LIFT"),AI1216&gt;0),SUMIFS($AI$7:$AI$1843,$CF$7:$CF$1843,CF1216,$AM$7:$AM$1843,"&gt;"&amp;AM1216)+SUMIFS($AI$7:$AI$1843,$CF$7:$CF$1843,CF1216,$AM$7:$AM$1843,AM1216,$BW$7:$BW$1843,"&lt;="&amp;BW1216),"")</f>
        <v>11242.6539625629</v>
      </c>
      <c r="AO1216" s="58" t="n">
        <f aca="false">IF(AN1216="",0,MAX(0,MIN(1,(IF(CF1216="L1",Parameter!$H$5,IF(CF1216="L23",Parameter!$H$6+Parameter!$H$7,Parameter!$H$5+Parameter!$H$6+Parameter!$H$7))-(AN1216-AI1216))/AI1216)))</f>
        <v>1</v>
      </c>
      <c r="AP1216" s="50" t="n">
        <f aca="false">IF(LEFT(Cockpit!$I$5,1)="A",H1216,IF(Parameter!$E$30="MAX-Bestand",IF(CH1216=1,CI1216,IF(LEFT(Cockpit!$I$5,1)="B",AV1216,MAX(AV1216,H1216))),ROUNDUP(AT1216,0)))</f>
        <v>18</v>
      </c>
      <c r="AQ1216" s="50" t="n">
        <f aca="false">IF(BZ1216=1,0,ROUNDUP(AP1216/BY1216,0))</f>
        <v>1</v>
      </c>
      <c r="AR1216" s="52" t="n">
        <f aca="false">IF(CQ1216&gt;0,CQ1216*MAX(1,AP1216/X1216),IF(BZ1216=1,IF(AP1216&lt;=0,0,CD1216*MAX(1,IF(H1216&gt;0,AP1216/H1216,1))),IF(R1216&gt;0,AQ1216/R1216,0))/MAX(0.1,N(Parameter!$M$21)))</f>
        <v>0.0384615384615385</v>
      </c>
      <c r="AS1216" s="50" t="n">
        <f aca="false">AR1216*CB1216</f>
        <v>5.96153846153846</v>
      </c>
      <c r="AT1216" s="51" t="n">
        <f aca="false">IF(LEFT(Cockpit!$I$5,1)="A",H1216,IF(CH1216=1,(CK1216+CI1216)/2,IF(LEFT(Cockpit!$I$5,1)="B",(CK1216+AV1216)/2,MAX((CK1216+AV1216)/2,H1216))))</f>
        <v>18</v>
      </c>
      <c r="AU1216" s="50" t="n">
        <f aca="false">AT1216*G1216</f>
        <v>1138.68</v>
      </c>
      <c r="AV1216" s="50" t="n">
        <f aca="false">ROUNDUP(CK1216+MAX(CL1216,2*(J1216/IF(CG1216&gt;0,CG1216,MAX(0.1,N(Cockpit!$I$6)))-CK1216)),0)</f>
        <v>2</v>
      </c>
      <c r="AW1216" s="51" t="n">
        <f aca="false">IF(AS1216&gt;0,J1216/AS1216,-1)</f>
        <v>0.335483870967742</v>
      </c>
      <c r="AX1216" s="51" t="n">
        <f aca="false">IF(AND(OR(CF1216="L1",CF1216="L23",CF1216="LIFT"),AS1216&gt;0),SUMIFS($AS$7:$AS$1843,$CF$7:$CF$1843,CF1216,$AW$7:$AW$1843,"&gt;"&amp;AW1216)+SUMIFS($AS$7:$AS$1843,$CF$7:$CF$1843,CF1216,$AW$7:$AW$1843,AW1216,$BW$7:$BW$1843,"&lt;="&amp;BW1216),"")</f>
        <v>13776.7916666667</v>
      </c>
      <c r="AY1216" s="58" t="n">
        <f aca="false">IF(AX1216="",0,MAX(0,MIN(1,(IF(CF1216="L1",Parameter!$H$5,IF(CF1216="L23",Parameter!$H$6+Parameter!$H$7,Parameter!$H$5+Parameter!$H$6+Parameter!$H$7))-(AX1216-AS1216))/AS1216)))</f>
        <v>1</v>
      </c>
      <c r="AZ1216" s="50" t="n">
        <f aca="false">IF(LEFT(Cockpit!$O$5,1)="A",H1216,IF(Parameter!$E$30="MAX-Bestand",IF(CH1216=1,CI1216,IF(LEFT(Cockpit!$O$5,1)="B",BF1216,MAX(BF1216,H1216))),ROUNDUP(BD1216,0)))</f>
        <v>1</v>
      </c>
      <c r="BA1216" s="50" t="n">
        <f aca="false">IF(BZ1216=1,0,ROUNDUP(AZ1216/BY1216,0))</f>
        <v>1</v>
      </c>
      <c r="BB1216" s="52" t="n">
        <f aca="false">IF(CQ1216&gt;0,CQ1216*MAX(1,AZ1216/X1216),IF(BZ1216=1,IF(AZ1216&lt;=0,0,CD1216*MAX(1,IF(H1216&gt;0,AZ1216/H1216,1))),IF(R1216&gt;0,BA1216/R1216,0))/MAX(0.1,N(Parameter!$M$21)))</f>
        <v>0.0384615384615385</v>
      </c>
      <c r="BC1216" s="50" t="n">
        <f aca="false">BB1216*CB1216</f>
        <v>5.96153846153846</v>
      </c>
      <c r="BD1216" s="51" t="n">
        <f aca="false">IF(LEFT(Cockpit!$O$5,1)="A",H1216,IF(CH1216=1,(CK1216+CI1216)/2,IF(LEFT(Cockpit!$O$5,1)="B",(CK1216+BF1216)/2,MAX((CK1216+BF1216)/2,H1216))))</f>
        <v>0.5</v>
      </c>
      <c r="BE1216" s="50" t="n">
        <f aca="false">BD1216*G1216</f>
        <v>31.63</v>
      </c>
      <c r="BF1216" s="50" t="n">
        <f aca="false">ROUNDUP(CK1216+MAX(CL1216,2*(J1216/IF(CG1216&gt;0,CG1216,MAX(0.1,N(Cockpit!$O$6)))-CK1216)),0)</f>
        <v>1</v>
      </c>
      <c r="BG1216" s="51" t="n">
        <f aca="false">IF(BC1216&gt;0,J1216/BC1216,-1)</f>
        <v>0.335483870967742</v>
      </c>
      <c r="BH1216" s="51" t="n">
        <f aca="false">IF(AND(OR(CF1216="L1",CF1216="L23",CF1216="LIFT"),BC1216&gt;0),SUMIFS($BC$7:$BC$1843,$CF$7:$CF$1843,CF1216,$BG$7:$BG$1843,"&gt;"&amp;BG1216)+SUMIFS($BC$7:$BC$1843,$CF$7:$CF$1843,CF1216,$BG$7:$BG$1843,BG1216,$BW$7:$BW$1843,"&lt;="&amp;BW1216),"")</f>
        <v>11627.7504578755</v>
      </c>
      <c r="BI1216" s="58" t="n">
        <f aca="false">IF(BH1216="",0,MAX(0,MIN(1,(IF(CF1216="L1",Parameter!$H$5,IF(CF1216="L23",Parameter!$H$6+Parameter!$H$7,Parameter!$H$5+Parameter!$H$6+Parameter!$H$7))-(BH1216-BC1216))/BC1216)))</f>
        <v>1</v>
      </c>
      <c r="BJ1216" s="48" t="str">
        <f aca="false">IF(AI1216&lt;=0,"",IF(CF1216="Aussen","Aussenlager",IF(CF1216="-","Nicht im Lift",IF(AO1216&gt;=1,"Lift",IF(AO1216&lt;=0,"Aussenlager","teilweise")))))</f>
        <v>Lift</v>
      </c>
      <c r="BK1216" s="48" t="str">
        <f aca="false">IF(AS1216&lt;=0,"",IF(CF1216="Aussen","Aussenlager",IF(CF1216="-","Nicht im Lift",IF(AY1216&gt;=1,"Lift",IF(AY1216&lt;=0,"Aussenlager","teilweise")))))</f>
        <v>Lift</v>
      </c>
      <c r="BL1216" s="48" t="str">
        <f aca="false">IF(BC1216&lt;=0,"",IF(CF1216="Aussen","Aussenlager",IF(CF1216="-","Nicht im Lift",IF(BI1216&gt;=1,"Lift",IF(BI1216&lt;=0,"Aussenlager","teilweise")))))</f>
        <v>Lift</v>
      </c>
      <c r="BM1216" s="48" t="str">
        <f aca="false">IF(A1216="","",IF(BV1216=1,"Neu; ","")&amp;IF(AND(BV1216=0,BQ1216&lt;0),"negativer Bestand (Export "&amp;BQ1216&amp;"); ","")&amp;IF(J1216&lt;=0,"Kein Verbrauch; ","")&amp;IF(CQ1216&gt;0,"Lift "&amp;W1216&amp;" lt. Liftbericht (Fach "&amp;X1216&amp;" Stk); ",IF(CA1216=1,"Gebinde geschätzt ("&amp;T1216&amp;"); ",IF(BZ1216=1,"Lose – Tablare geschätzt; ","")))&amp;IF(H1216&gt;AV1216,"Überbestand "&amp;ROUND(H1216-AV1216,0)&amp;" Stk / CHF "&amp;ROUND((H1216-AV1216)*G1216,0)&amp;"; ","")&amp;IF(AND(CH1216=1,CI1216&lt;CJ1216),"MAX &lt; MB+LG; ","")&amp;IF(AND(CP1216&gt;0,CO1216*10&gt;CP1216),"zu hoch für Tablar; ","")&amp;IF(AND(BV1216=0,OR(CH1216=1,AA1216&lt;&gt;"",U1216&lt;&gt;"",V1216&lt;&gt;"",AB1216&lt;&gt;"")),"manuell übersteuert; ","")&amp;IF(AND(BZ1216=0,R1216=0),"Gebinde unbekannt / Stellmass fehlt; ","")&amp;IF(AND(BZ1216=0,N(V1216)&lt;=0,N(Q1216)&lt;=0),"Menge pro Gebinde fehlt (Ist = 1 Gebinde); ","")&amp;BU1216)</f>
        <v>negativer Bestand (Export -9); Gebinde geschätzt (Klein); Überbestand 16 Stk / CHF 1012; Menge pro Gebinde fehlt (Ist = 1 Gebinde); </v>
      </c>
      <c r="BN1216" s="48"/>
      <c r="BO1216" s="48"/>
      <c r="BP1216" s="55"/>
      <c r="BQ1216" s="50" t="n">
        <v>-9</v>
      </c>
      <c r="BR1216" s="50" t="n">
        <v>27</v>
      </c>
      <c r="BS1216" s="49" t="n">
        <v>-569.34</v>
      </c>
      <c r="BT1216" s="50" t="n">
        <v>2</v>
      </c>
      <c r="BU1216" s="48"/>
      <c r="BV1216" s="53" t="n">
        <v>0</v>
      </c>
      <c r="BW1216" s="53" t="n">
        <v>1216</v>
      </c>
      <c r="BX1216" s="48" t="str">
        <f aca="false">IF(U1216&lt;&gt;"",UPPER(TRIM(U1216)),IF(CA1216=1,UPPER(VLOOKUP(T1216,Parameter!$I$27:$K$29,2,0)),IF(P1216="","LOSE",P1216)))</f>
        <v>S51</v>
      </c>
      <c r="BY1216" s="50" t="n">
        <f aca="false">IF(BX1216="LOSE",1,IF(N(V1216)&gt;0,V1216,IF(CA1216=1,MAX(1,N(VLOOKUP(T1216,Parameter!$I$27:$K$29,3,0)),H1216,N(N1216)),IF(N(Q1216)&gt;0,Q1216,MAX(1,H1216)))))</f>
        <v>20</v>
      </c>
      <c r="BZ1216" s="53" t="n">
        <f aca="false">IF(BX1216="LOSE",1,0)</f>
        <v>0</v>
      </c>
      <c r="CA1216" s="53" t="n">
        <f aca="false">IF(AND(U1216="",OR(P1216="",P1216="LOSE"),T1216&lt;&gt;"",N(S1216)&lt;=0,ISNUMBER(MATCH(T1216,Parameter!$I$27:$I$29,0))),1,0)</f>
        <v>1</v>
      </c>
      <c r="CB1216" s="53" t="n">
        <f aca="false">IF(CQ1216&gt;0,INDEX(Parameter!$H$5:$H$7,W1216)/INDEX(Parameter!$E$5:$E$7,W1216),IF(AND(BZ1216=0,N(IFERROR(VLOOKUP(BX1216,'Gebinde-Kategorie'!$A$5:$N$45,14,0),0))&gt;0),VLOOKUP(BX1216,'Gebinde-Kategorie'!$A$5:$N$45,14,0)*10+Parameter!$M$23,Parameter!$M$24))</f>
        <v>155</v>
      </c>
      <c r="CC1216" s="48" t="str">
        <f aca="false">IF(AND(Parameter!$B$19="Ja",E1216&lt;&gt;"",ISNUMBER(MATCH(E1216,Parameter!$I$35:$I$52,0))),VLOOKUP(E1216,Parameter!$I$35:$J$52,2,0),IFERROR(VLOOKUP(D1216,Parameter!$A$35:$C$64,2,0),"Nein"))</f>
        <v>2+3</v>
      </c>
      <c r="CD1216" s="52" t="n">
        <f aca="false">IF(BZ1216=0,0,IF(N(S1216)&gt;0,S1216,IFERROR(VLOOKUP(D1216,Parameter!$A$35:$C$64,3,0)+0,0)))</f>
        <v>0</v>
      </c>
      <c r="CE1216" s="48" t="n">
        <f aca="false">IF(AA1216&lt;&gt;"",AA1216,Z1216)</f>
        <v>3</v>
      </c>
      <c r="CF1216" s="48" t="str">
        <f aca="false">IF(OR(CE1216=1,CE1216=2,CE1216=3),IF(Parameter!$E$27="Ja","LIFT",IF(CE1216=1,"L1","L23")),IF(CE1216="Aussen","Aussen","-"))</f>
        <v>LIFT</v>
      </c>
      <c r="CG1216" s="59" t="n">
        <f aca="false">IF(N(AB1216)&gt;0,AB1216,0)</f>
        <v>0</v>
      </c>
      <c r="CH1216" s="53" t="n">
        <f aca="false">IF(ISNUMBER(AE1216),1,0)</f>
        <v>0</v>
      </c>
      <c r="CI1216" s="50" t="n">
        <f aca="false">N(AE1216)</f>
        <v>0</v>
      </c>
      <c r="CJ1216" s="50" t="n">
        <f aca="false">N(M1216)+N(N1216)</f>
        <v>1</v>
      </c>
      <c r="CK1216" s="50" t="n">
        <f aca="false">N(M1216)</f>
        <v>0</v>
      </c>
      <c r="CL1216" s="50" t="n">
        <f aca="false">N(N1216)</f>
        <v>1</v>
      </c>
      <c r="CM1216" s="50" t="n">
        <f aca="false">ROUNDUP(H1216/BY1216,0)</f>
        <v>1</v>
      </c>
      <c r="CN1216" s="50" t="n">
        <f aca="false">ROUNDUP(CI1216/BY1216,0)</f>
        <v>0</v>
      </c>
      <c r="CO1216" s="53" t="n">
        <f aca="false">IF(BZ1216=1,0,IFERROR(VLOOKUP(BX1216,'Gebinde-Kategorie'!$A$5:$N$45,5,0)+0,0))</f>
        <v>11</v>
      </c>
      <c r="CP1216" s="53" t="n">
        <f aca="false">IFERROR(IF(OR(CE1216=1,CE1216=2,CE1216=3),N(INDEX(Parameter!$I$5:$I$7,CE1216)),0),0)</f>
        <v>0</v>
      </c>
      <c r="CQ1216" s="52" t="n">
        <f aca="false">IF(AND(Parameter!$B$21="Ja",ISNUMBER(W1216),N(X1216)&gt;0),IFERROR(N(INDEX(Parameter!$L$5:$L$7,W1216))*INDEX(Parameter!$E$5:$E$7,W1216)*X1216/SUMIFS($X$7:$X$1843,$W$7:$W$1843,W1216),0),0)</f>
        <v>0</v>
      </c>
    </row>
    <row r="1217" customFormat="false" ht="15" hidden="false" customHeight="false" outlineLevel="0" collapsed="false">
      <c r="A1217" s="48" t="s">
        <v>2193</v>
      </c>
      <c r="B1217" s="48" t="s">
        <v>480</v>
      </c>
      <c r="C1217" s="48" t="s">
        <v>173</v>
      </c>
      <c r="D1217" s="48" t="s">
        <v>182</v>
      </c>
      <c r="E1217" s="48" t="s">
        <v>194</v>
      </c>
      <c r="F1217" s="48" t="s">
        <v>227</v>
      </c>
      <c r="G1217" s="49" t="n">
        <v>2.9</v>
      </c>
      <c r="H1217" s="50" t="n">
        <f aca="false">MAX(0,IF(AND(Parameter!$B$21="Ja",ISNUMBER(Y1217)),Y1217,IF(Parameter!$B$20="Jahresanfang 2025 + Export",BR1217+BQ1217,BQ1217)))</f>
        <v>119</v>
      </c>
      <c r="I1217" s="50" t="n">
        <f aca="false">H1217*G1217</f>
        <v>345.1</v>
      </c>
      <c r="J1217" s="50" t="n">
        <f aca="false">BT1217*Parameter!$B$18</f>
        <v>403</v>
      </c>
      <c r="K1217" s="51" t="n">
        <v>227</v>
      </c>
      <c r="L1217" s="52" t="n">
        <v>1.77533039647577</v>
      </c>
      <c r="M1217" s="50" t="n">
        <v>39</v>
      </c>
      <c r="N1217" s="50" t="n">
        <v>405</v>
      </c>
      <c r="O1217" s="53" t="n">
        <v>35</v>
      </c>
      <c r="P1217" s="48" t="s">
        <v>235</v>
      </c>
      <c r="Q1217" s="50" t="n">
        <v>196</v>
      </c>
      <c r="R1217" s="53" t="n">
        <f aca="false">IF(BZ1217=1,0,IFERROR(VLOOKUP(BX1217,'Gebinde-Kategorie'!$A$5:$N$45,13,0)+0,0))</f>
        <v>12</v>
      </c>
      <c r="S1217" s="54"/>
      <c r="T1217" s="55"/>
      <c r="U1217" s="55"/>
      <c r="V1217" s="55"/>
      <c r="W1217" s="48"/>
      <c r="X1217" s="50"/>
      <c r="Y1217" s="50"/>
      <c r="Z1217" s="48" t="n">
        <f aca="false">IF(A1217="","",IF(AND(Parameter!$B$21="Ja",ISNUMBER(W1217)),W1217,IF(CC1217="2+3",IF(ISNUMBER(SEARCH("grosser Artikel",BU1217)),2,IFERROR(VLOOKUP(BX1217,Parameter!$F$35:$G$64,2,0),2)),IF(OR(CC1217="Nein",CC1217=""),"-",CC1217))))</f>
        <v>2</v>
      </c>
      <c r="AA1217" s="55"/>
      <c r="AB1217" s="56"/>
      <c r="AC1217" s="50" t="n">
        <f aca="false">AV1217</f>
        <v>444</v>
      </c>
      <c r="AD1217" s="50" t="n">
        <f aca="false">MAX(AV1217,H1217)</f>
        <v>444</v>
      </c>
      <c r="AE1217" s="57"/>
      <c r="AF1217" s="50" t="n">
        <f aca="false">IF(LEFT(Cockpit!$C$5,1)="A",H1217,IF(Parameter!$E$30="MAX-Bestand",IF(CH1217=1,CI1217,IF(LEFT(Cockpit!$C$5,1)="B",AL1217,MAX(AL1217,H1217))),ROUNDUP(AJ1217,0)))</f>
        <v>119</v>
      </c>
      <c r="AG1217" s="50" t="n">
        <f aca="false">IF(BZ1217=1,0,ROUNDUP(AF1217/BY1217,0))</f>
        <v>1</v>
      </c>
      <c r="AH1217" s="52" t="n">
        <f aca="false">IF(CQ1217&gt;0,CQ1217*MAX(1,AF1217/X1217),IF(BZ1217=1,IF(AF1217&lt;=0,0,CD1217*MAX(1,IF(H1217&gt;0,AF1217/H1217,1))),IF(R1217&gt;0,AG1217/R1217,0))/MAX(0.1,N(Parameter!$M$21)))</f>
        <v>0.0833333333333333</v>
      </c>
      <c r="AI1217" s="50" t="n">
        <f aca="false">AH1217*CB1217</f>
        <v>28.75</v>
      </c>
      <c r="AJ1217" s="51" t="n">
        <f aca="false">IF(LEFT(Cockpit!$C$5,1)="A",H1217,IF(CH1217=1,(CK1217+CI1217)/2,IF(LEFT(Cockpit!$C$5,1)="B",(CK1217+AL1217)/2,MAX((CK1217+AL1217)/2,H1217))))</f>
        <v>119</v>
      </c>
      <c r="AK1217" s="50" t="n">
        <f aca="false">AJ1217*G1217</f>
        <v>345.1</v>
      </c>
      <c r="AL1217" s="50" t="n">
        <f aca="false">ROUNDUP(CK1217+MAX(CL1217,2*(J1217/IF(CG1217&gt;0,CG1217,MAX(0.1,N(Cockpit!$C$6)))-CK1217)),0)</f>
        <v>444</v>
      </c>
      <c r="AM1217" s="51" t="n">
        <f aca="false">IF(AI1217&gt;0,J1217/AI1217,-1)</f>
        <v>14.0173913043478</v>
      </c>
      <c r="AN1217" s="51" t="n">
        <f aca="false">IF(AND(OR(CF1217="L1",CF1217="L23",CF1217="LIFT"),AI1217&gt;0),SUMIFS($AI$7:$AI$1843,$CF$7:$CF$1843,CF1217,$AM$7:$AM$1843,"&gt;"&amp;AM1217)+SUMIFS($AI$7:$AI$1843,$CF$7:$CF$1843,CF1217,$AM$7:$AM$1843,AM1217,$BW$7:$BW$1843,"&lt;="&amp;BW1217),"")</f>
        <v>2143.34340659341</v>
      </c>
      <c r="AO1217" s="58" t="n">
        <f aca="false">IF(AN1217="",0,MAX(0,MIN(1,(IF(CF1217="L1",Parameter!$H$5,IF(CF1217="L23",Parameter!$H$6+Parameter!$H$7,Parameter!$H$5+Parameter!$H$6+Parameter!$H$7))-(AN1217-AI1217))/AI1217)))</f>
        <v>1</v>
      </c>
      <c r="AP1217" s="50" t="n">
        <f aca="false">IF(LEFT(Cockpit!$I$5,1)="A",H1217,IF(Parameter!$E$30="MAX-Bestand",IF(CH1217=1,CI1217,IF(LEFT(Cockpit!$I$5,1)="B",AV1217,MAX(AV1217,H1217))),ROUNDUP(AT1217,0)))</f>
        <v>242</v>
      </c>
      <c r="AQ1217" s="50" t="n">
        <f aca="false">IF(BZ1217=1,0,ROUNDUP(AP1217/BY1217,0))</f>
        <v>2</v>
      </c>
      <c r="AR1217" s="52" t="n">
        <f aca="false">IF(CQ1217&gt;0,CQ1217*MAX(1,AP1217/X1217),IF(BZ1217=1,IF(AP1217&lt;=0,0,CD1217*MAX(1,IF(H1217&gt;0,AP1217/H1217,1))),IF(R1217&gt;0,AQ1217/R1217,0))/MAX(0.1,N(Parameter!$M$21)))</f>
        <v>0.166666666666667</v>
      </c>
      <c r="AS1217" s="50" t="n">
        <f aca="false">AR1217*CB1217</f>
        <v>57.5</v>
      </c>
      <c r="AT1217" s="51" t="n">
        <f aca="false">IF(LEFT(Cockpit!$I$5,1)="A",H1217,IF(CH1217=1,(CK1217+CI1217)/2,IF(LEFT(Cockpit!$I$5,1)="B",(CK1217+AV1217)/2,MAX((CK1217+AV1217)/2,H1217))))</f>
        <v>241.5</v>
      </c>
      <c r="AU1217" s="50" t="n">
        <f aca="false">AT1217*G1217</f>
        <v>700.35</v>
      </c>
      <c r="AV1217" s="50" t="n">
        <f aca="false">ROUNDUP(CK1217+MAX(CL1217,2*(J1217/IF(CG1217&gt;0,CG1217,MAX(0.1,N(Cockpit!$I$6)))-CK1217)),0)</f>
        <v>444</v>
      </c>
      <c r="AW1217" s="51" t="n">
        <f aca="false">IF(AS1217&gt;0,J1217/AS1217,-1)</f>
        <v>7.00869565217391</v>
      </c>
      <c r="AX1217" s="51" t="n">
        <f aca="false">IF(AND(OR(CF1217="L1",CF1217="L23",CF1217="LIFT"),AS1217&gt;0),SUMIFS($AS$7:$AS$1843,$CF$7:$CF$1843,CF1217,$AW$7:$AW$1843,"&gt;"&amp;AW1217)+SUMIFS($AS$7:$AS$1843,$CF$7:$CF$1843,CF1217,$AW$7:$AW$1843,AW1217,$BW$7:$BW$1843,"&lt;="&amp;BW1217),"")</f>
        <v>3936.69826007326</v>
      </c>
      <c r="AY1217" s="58" t="n">
        <f aca="false">IF(AX1217="",0,MAX(0,MIN(1,(IF(CF1217="L1",Parameter!$H$5,IF(CF1217="L23",Parameter!$H$6+Parameter!$H$7,Parameter!$H$5+Parameter!$H$6+Parameter!$H$7))-(AX1217-AS1217))/AS1217)))</f>
        <v>1</v>
      </c>
      <c r="AZ1217" s="50" t="n">
        <f aca="false">IF(LEFT(Cockpit!$O$5,1)="A",H1217,IF(Parameter!$E$30="MAX-Bestand",IF(CH1217=1,CI1217,IF(LEFT(Cockpit!$O$5,1)="B",BF1217,MAX(BF1217,H1217))),ROUNDUP(BD1217,0)))</f>
        <v>242</v>
      </c>
      <c r="BA1217" s="50" t="n">
        <f aca="false">IF(BZ1217=1,0,ROUNDUP(AZ1217/BY1217,0))</f>
        <v>2</v>
      </c>
      <c r="BB1217" s="52" t="n">
        <f aca="false">IF(CQ1217&gt;0,CQ1217*MAX(1,AZ1217/X1217),IF(BZ1217=1,IF(AZ1217&lt;=0,0,CD1217*MAX(1,IF(H1217&gt;0,AZ1217/H1217,1))),IF(R1217&gt;0,BA1217/R1217,0))/MAX(0.1,N(Parameter!$M$21)))</f>
        <v>0.166666666666667</v>
      </c>
      <c r="BC1217" s="50" t="n">
        <f aca="false">BB1217*CB1217</f>
        <v>57.5</v>
      </c>
      <c r="BD1217" s="51" t="n">
        <f aca="false">IF(LEFT(Cockpit!$O$5,1)="A",H1217,IF(CH1217=1,(CK1217+CI1217)/2,IF(LEFT(Cockpit!$O$5,1)="B",(CK1217+BF1217)/2,MAX((CK1217+BF1217)/2,H1217))))</f>
        <v>241.5</v>
      </c>
      <c r="BE1217" s="50" t="n">
        <f aca="false">BD1217*G1217</f>
        <v>700.35</v>
      </c>
      <c r="BF1217" s="50" t="n">
        <f aca="false">ROUNDUP(CK1217+MAX(CL1217,2*(J1217/IF(CG1217&gt;0,CG1217,MAX(0.1,N(Cockpit!$O$6)))-CK1217)),0)</f>
        <v>444</v>
      </c>
      <c r="BG1217" s="51" t="n">
        <f aca="false">IF(BC1217&gt;0,J1217/BC1217,-1)</f>
        <v>7.00869565217391</v>
      </c>
      <c r="BH1217" s="51" t="n">
        <f aca="false">IF(AND(OR(CF1217="L1",CF1217="L23",CF1217="LIFT"),BC1217&gt;0),SUMIFS($BC$7:$BC$1843,$CF$7:$CF$1843,CF1217,$BG$7:$BG$1843,"&gt;"&amp;BG1217)+SUMIFS($BC$7:$BC$1843,$CF$7:$CF$1843,CF1217,$BG$7:$BG$1843,BG1217,$BW$7:$BW$1843,"&lt;="&amp;BW1217),"")</f>
        <v>3370.09844322344</v>
      </c>
      <c r="BI1217" s="58" t="n">
        <f aca="false">IF(BH1217="",0,MAX(0,MIN(1,(IF(CF1217="L1",Parameter!$H$5,IF(CF1217="L23",Parameter!$H$6+Parameter!$H$7,Parameter!$H$5+Parameter!$H$6+Parameter!$H$7))-(BH1217-BC1217))/BC1217)))</f>
        <v>1</v>
      </c>
      <c r="BJ1217" s="48" t="str">
        <f aca="false">IF(AI1217&lt;=0,"",IF(CF1217="Aussen","Aussenlager",IF(CF1217="-","Nicht im Lift",IF(AO1217&gt;=1,"Lift",IF(AO1217&lt;=0,"Aussenlager","teilweise")))))</f>
        <v>Lift</v>
      </c>
      <c r="BK1217" s="48" t="str">
        <f aca="false">IF(AS1217&lt;=0,"",IF(CF1217="Aussen","Aussenlager",IF(CF1217="-","Nicht im Lift",IF(AY1217&gt;=1,"Lift",IF(AY1217&lt;=0,"Aussenlager","teilweise")))))</f>
        <v>Lift</v>
      </c>
      <c r="BL1217" s="48" t="str">
        <f aca="false">IF(BC1217&lt;=0,"",IF(CF1217="Aussen","Aussenlager",IF(CF1217="-","Nicht im Lift",IF(BI1217&gt;=1,"Lift",IF(BI1217&lt;=0,"Aussenlager","teilweise")))))</f>
        <v>Lift</v>
      </c>
      <c r="BM1217" s="48" t="str">
        <f aca="false">IF(A1217="","",IF(BV1217=1,"Neu; ","")&amp;IF(AND(BV1217=0,BQ1217&lt;0),"negativer Bestand (Export "&amp;BQ1217&amp;"); ","")&amp;IF(J1217&lt;=0,"Kein Verbrauch; ","")&amp;IF(CQ1217&gt;0,"Lift "&amp;W1217&amp;" lt. Liftbericht (Fach "&amp;X1217&amp;" Stk); ",IF(CA1217=1,"Gebinde geschätzt ("&amp;T1217&amp;"); ",IF(BZ1217=1,"Lose – Tablare geschätzt; ","")))&amp;IF(H1217&gt;AV1217,"Überbestand "&amp;ROUND(H1217-AV1217,0)&amp;" Stk / CHF "&amp;ROUND((H1217-AV1217)*G1217,0)&amp;"; ","")&amp;IF(AND(CH1217=1,CI1217&lt;CJ1217),"MAX &lt; MB+LG; ","")&amp;IF(AND(CP1217&gt;0,CO1217*10&gt;CP1217),"zu hoch für Tablar; ","")&amp;IF(AND(BV1217=0,OR(CH1217=1,AA1217&lt;&gt;"",U1217&lt;&gt;"",V1217&lt;&gt;"",AB1217&lt;&gt;"")),"manuell übersteuert; ","")&amp;IF(AND(BZ1217=0,R1217=0),"Gebinde unbekannt / Stellmass fehlt; ","")&amp;IF(AND(BZ1217=0,N(V1217)&lt;=0,N(Q1217)&lt;=0),"Menge pro Gebinde fehlt (Ist = 1 Gebinde); ","")&amp;BU1217)</f>
        <v>negativer Bestand (Export -133); gehört dieser Artikel ins KTL ?</v>
      </c>
      <c r="BN1217" s="48"/>
      <c r="BO1217" s="48"/>
      <c r="BP1217" s="55"/>
      <c r="BQ1217" s="50" t="n">
        <v>-133</v>
      </c>
      <c r="BR1217" s="50" t="n">
        <v>252</v>
      </c>
      <c r="BS1217" s="49" t="n">
        <v>-574.46</v>
      </c>
      <c r="BT1217" s="50" t="n">
        <v>403</v>
      </c>
      <c r="BU1217" s="48" t="s">
        <v>481</v>
      </c>
      <c r="BV1217" s="53" t="n">
        <v>0</v>
      </c>
      <c r="BW1217" s="53" t="n">
        <v>1217</v>
      </c>
      <c r="BX1217" s="48" t="str">
        <f aca="false">IF(U1217&lt;&gt;"",UPPER(TRIM(U1217)),IF(CA1217=1,UPPER(VLOOKUP(T1217,Parameter!$I$27:$K$29,2,0)),IF(P1217="","LOSE",P1217)))</f>
        <v>S63</v>
      </c>
      <c r="BY1217" s="50" t="n">
        <f aca="false">IF(BX1217="LOSE",1,IF(N(V1217)&gt;0,V1217,IF(CA1217=1,MAX(1,N(VLOOKUP(T1217,Parameter!$I$27:$K$29,3,0)),H1217,N(N1217)),IF(N(Q1217)&gt;0,Q1217,MAX(1,H1217)))))</f>
        <v>196</v>
      </c>
      <c r="BZ1217" s="53" t="n">
        <f aca="false">IF(BX1217="LOSE",1,0)</f>
        <v>0</v>
      </c>
      <c r="CA1217" s="53" t="n">
        <f aca="false">IF(AND(U1217="",OR(P1217="",P1217="LOSE"),T1217&lt;&gt;"",N(S1217)&lt;=0,ISNUMBER(MATCH(T1217,Parameter!$I$27:$I$29,0))),1,0)</f>
        <v>0</v>
      </c>
      <c r="CB1217" s="53" t="n">
        <f aca="false">IF(CQ1217&gt;0,INDEX(Parameter!$H$5:$H$7,W1217)/INDEX(Parameter!$E$5:$E$7,W1217),IF(AND(BZ1217=0,N(IFERROR(VLOOKUP(BX1217,'Gebinde-Kategorie'!$A$5:$N$45,14,0),0))&gt;0),VLOOKUP(BX1217,'Gebinde-Kategorie'!$A$5:$N$45,14,0)*10+Parameter!$M$23,Parameter!$M$24))</f>
        <v>345</v>
      </c>
      <c r="CC1217" s="48" t="str">
        <f aca="false">IF(AND(Parameter!$B$19="Ja",E1217&lt;&gt;"",ISNUMBER(MATCH(E1217,Parameter!$I$35:$I$52,0))),VLOOKUP(E1217,Parameter!$I$35:$J$52,2,0),IFERROR(VLOOKUP(D1217,Parameter!$A$35:$C$64,2,0),"Nein"))</f>
        <v>2+3</v>
      </c>
      <c r="CD1217" s="52" t="n">
        <f aca="false">IF(BZ1217=0,0,IF(N(S1217)&gt;0,S1217,IFERROR(VLOOKUP(D1217,Parameter!$A$35:$C$64,3,0)+0,0)))</f>
        <v>0</v>
      </c>
      <c r="CE1217" s="48" t="n">
        <f aca="false">IF(AA1217&lt;&gt;"",AA1217,Z1217)</f>
        <v>2</v>
      </c>
      <c r="CF1217" s="48" t="str">
        <f aca="false">IF(OR(CE1217=1,CE1217=2,CE1217=3),IF(Parameter!$E$27="Ja","LIFT",IF(CE1217=1,"L1","L23")),IF(CE1217="Aussen","Aussen","-"))</f>
        <v>LIFT</v>
      </c>
      <c r="CG1217" s="59" t="n">
        <f aca="false">IF(N(AB1217)&gt;0,AB1217,0)</f>
        <v>0</v>
      </c>
      <c r="CH1217" s="53" t="n">
        <f aca="false">IF(ISNUMBER(AE1217),1,0)</f>
        <v>0</v>
      </c>
      <c r="CI1217" s="50" t="n">
        <f aca="false">N(AE1217)</f>
        <v>0</v>
      </c>
      <c r="CJ1217" s="50" t="n">
        <f aca="false">N(M1217)+N(N1217)</f>
        <v>444</v>
      </c>
      <c r="CK1217" s="50" t="n">
        <f aca="false">N(M1217)</f>
        <v>39</v>
      </c>
      <c r="CL1217" s="50" t="n">
        <f aca="false">N(N1217)</f>
        <v>405</v>
      </c>
      <c r="CM1217" s="50" t="n">
        <f aca="false">ROUNDUP(H1217/BY1217,0)</f>
        <v>1</v>
      </c>
      <c r="CN1217" s="50" t="n">
        <f aca="false">ROUNDUP(CI1217/BY1217,0)</f>
        <v>0</v>
      </c>
      <c r="CO1217" s="53" t="n">
        <f aca="false">IF(BZ1217=1,0,IFERROR(VLOOKUP(BX1217,'Gebinde-Kategorie'!$A$5:$N$45,5,0)+0,0))</f>
        <v>31</v>
      </c>
      <c r="CP1217" s="53" t="n">
        <f aca="false">IFERROR(IF(OR(CE1217=1,CE1217=2,CE1217=3),N(INDEX(Parameter!$I$5:$I$7,CE1217)),0),0)</f>
        <v>0</v>
      </c>
      <c r="CQ1217" s="52" t="n">
        <f aca="false">IF(AND(Parameter!$B$21="Ja",ISNUMBER(W1217),N(X1217)&gt;0),IFERROR(N(INDEX(Parameter!$L$5:$L$7,W1217))*INDEX(Parameter!$E$5:$E$7,W1217)*X1217/SUMIFS($X$7:$X$1843,$W$7:$W$1843,W1217),0),0)</f>
        <v>0</v>
      </c>
    </row>
    <row r="1218" customFormat="false" ht="15" hidden="false" customHeight="false" outlineLevel="0" collapsed="false">
      <c r="A1218" s="48" t="s">
        <v>2194</v>
      </c>
      <c r="B1218" s="48" t="s">
        <v>531</v>
      </c>
      <c r="C1218" s="48" t="s">
        <v>173</v>
      </c>
      <c r="D1218" s="48" t="s">
        <v>182</v>
      </c>
      <c r="E1218" s="48"/>
      <c r="F1218" s="48" t="s">
        <v>227</v>
      </c>
      <c r="G1218" s="49" t="n">
        <v>301.79</v>
      </c>
      <c r="H1218" s="50" t="n">
        <f aca="false">MAX(0,IF(AND(Parameter!$B$21="Ja",ISNUMBER(Y1218)),Y1218,IF(Parameter!$B$20="Jahresanfang 2025 + Export",BR1218+BQ1218,BQ1218)))</f>
        <v>1</v>
      </c>
      <c r="I1218" s="50" t="n">
        <f aca="false">H1218*G1218</f>
        <v>301.79</v>
      </c>
      <c r="J1218" s="50" t="n">
        <f aca="false">BT1218*Parameter!$B$18</f>
        <v>15</v>
      </c>
      <c r="K1218" s="51" t="n">
        <v>10</v>
      </c>
      <c r="L1218" s="52" t="n">
        <v>1.5</v>
      </c>
      <c r="M1218" s="50" t="n">
        <v>1</v>
      </c>
      <c r="N1218" s="50" t="n">
        <v>10</v>
      </c>
      <c r="O1218" s="53" t="n">
        <v>35</v>
      </c>
      <c r="P1218" s="48" t="s">
        <v>177</v>
      </c>
      <c r="Q1218" s="50"/>
      <c r="R1218" s="53" t="n">
        <f aca="false">IF(BZ1218=1,0,IFERROR(VLOOKUP(BX1218,'Gebinde-Kategorie'!$A$5:$N$45,13,0)+0,0))</f>
        <v>12</v>
      </c>
      <c r="S1218" s="54"/>
      <c r="T1218" s="55" t="s">
        <v>188</v>
      </c>
      <c r="U1218" s="55"/>
      <c r="V1218" s="55"/>
      <c r="W1218" s="48"/>
      <c r="X1218" s="50"/>
      <c r="Y1218" s="50"/>
      <c r="Z1218" s="48" t="n">
        <f aca="false">IF(A1218="","",IF(AND(Parameter!$B$21="Ja",ISNUMBER(W1218)),W1218,IF(CC1218="2+3",IF(ISNUMBER(SEARCH("grosser Artikel",BU1218)),2,IFERROR(VLOOKUP(BX1218,Parameter!$F$35:$G$64,2,0),2)),IF(OR(CC1218="Nein",CC1218=""),"-",CC1218))))</f>
        <v>2</v>
      </c>
      <c r="AA1218" s="55"/>
      <c r="AB1218" s="56"/>
      <c r="AC1218" s="50" t="n">
        <f aca="false">AV1218</f>
        <v>11</v>
      </c>
      <c r="AD1218" s="50" t="n">
        <f aca="false">MAX(AV1218,H1218)</f>
        <v>11</v>
      </c>
      <c r="AE1218" s="57"/>
      <c r="AF1218" s="50" t="n">
        <f aca="false">IF(LEFT(Cockpit!$C$5,1)="A",H1218,IF(Parameter!$E$30="MAX-Bestand",IF(CH1218=1,CI1218,IF(LEFT(Cockpit!$C$5,1)="B",AL1218,MAX(AL1218,H1218))),ROUNDUP(AJ1218,0)))</f>
        <v>1</v>
      </c>
      <c r="AG1218" s="50" t="n">
        <f aca="false">IF(BZ1218=1,0,ROUNDUP(AF1218/BY1218,0))</f>
        <v>1</v>
      </c>
      <c r="AH1218" s="52" t="n">
        <f aca="false">IF(CQ1218&gt;0,CQ1218*MAX(1,AF1218/X1218),IF(BZ1218=1,IF(AF1218&lt;=0,0,CD1218*MAX(1,IF(H1218&gt;0,AF1218/H1218,1))),IF(R1218&gt;0,AG1218/R1218,0))/MAX(0.1,N(Parameter!$M$21)))</f>
        <v>0.0833333333333333</v>
      </c>
      <c r="AI1218" s="50" t="n">
        <f aca="false">AH1218*CB1218</f>
        <v>12.0833333333333</v>
      </c>
      <c r="AJ1218" s="51" t="n">
        <f aca="false">IF(LEFT(Cockpit!$C$5,1)="A",H1218,IF(CH1218=1,(CK1218+CI1218)/2,IF(LEFT(Cockpit!$C$5,1)="B",(CK1218+AL1218)/2,MAX((CK1218+AL1218)/2,H1218))))</f>
        <v>1</v>
      </c>
      <c r="AK1218" s="50" t="n">
        <f aca="false">AJ1218*G1218</f>
        <v>301.79</v>
      </c>
      <c r="AL1218" s="50" t="n">
        <f aca="false">ROUNDUP(CK1218+MAX(CL1218,2*(J1218/IF(CG1218&gt;0,CG1218,MAX(0.1,N(Cockpit!$C$6)))-CK1218)),0)</f>
        <v>11</v>
      </c>
      <c r="AM1218" s="51" t="n">
        <f aca="false">IF(AI1218&gt;0,J1218/AI1218,-1)</f>
        <v>1.24137931034483</v>
      </c>
      <c r="AN1218" s="51" t="n">
        <f aca="false">IF(AND(OR(CF1218="L1",CF1218="L23",CF1218="LIFT"),AI1218&gt;0),SUMIFS($AI$7:$AI$1843,$CF$7:$CF$1843,CF1218,$AM$7:$AM$1843,"&gt;"&amp;AM1218)+SUMIFS($AI$7:$AI$1843,$CF$7:$CF$1843,CF1218,$AM$7:$AM$1843,AM1218,$BW$7:$BW$1843,"&lt;="&amp;BW1218),"")</f>
        <v>6423.13507326007</v>
      </c>
      <c r="AO1218" s="58" t="n">
        <f aca="false">IF(AN1218="",0,MAX(0,MIN(1,(IF(CF1218="L1",Parameter!$H$5,IF(CF1218="L23",Parameter!$H$6+Parameter!$H$7,Parameter!$H$5+Parameter!$H$6+Parameter!$H$7))-(AN1218-AI1218))/AI1218)))</f>
        <v>1</v>
      </c>
      <c r="AP1218" s="50" t="n">
        <f aca="false">IF(LEFT(Cockpit!$I$5,1)="A",H1218,IF(Parameter!$E$30="MAX-Bestand",IF(CH1218=1,CI1218,IF(LEFT(Cockpit!$I$5,1)="B",AV1218,MAX(AV1218,H1218))),ROUNDUP(AT1218,0)))</f>
        <v>6</v>
      </c>
      <c r="AQ1218" s="50" t="n">
        <f aca="false">IF(BZ1218=1,0,ROUNDUP(AP1218/BY1218,0))</f>
        <v>1</v>
      </c>
      <c r="AR1218" s="52" t="n">
        <f aca="false">IF(CQ1218&gt;0,CQ1218*MAX(1,AP1218/X1218),IF(BZ1218=1,IF(AP1218&lt;=0,0,CD1218*MAX(1,IF(H1218&gt;0,AP1218/H1218,1))),IF(R1218&gt;0,AQ1218/R1218,0))/MAX(0.1,N(Parameter!$M$21)))</f>
        <v>0.0833333333333333</v>
      </c>
      <c r="AS1218" s="50" t="n">
        <f aca="false">AR1218*CB1218</f>
        <v>12.0833333333333</v>
      </c>
      <c r="AT1218" s="51" t="n">
        <f aca="false">IF(LEFT(Cockpit!$I$5,1)="A",H1218,IF(CH1218=1,(CK1218+CI1218)/2,IF(LEFT(Cockpit!$I$5,1)="B",(CK1218+AV1218)/2,MAX((CK1218+AV1218)/2,H1218))))</f>
        <v>6</v>
      </c>
      <c r="AU1218" s="50" t="n">
        <f aca="false">AT1218*G1218</f>
        <v>1810.74</v>
      </c>
      <c r="AV1218" s="50" t="n">
        <f aca="false">ROUNDUP(CK1218+MAX(CL1218,2*(J1218/IF(CG1218&gt;0,CG1218,MAX(0.1,N(Cockpit!$I$6)))-CK1218)),0)</f>
        <v>11</v>
      </c>
      <c r="AW1218" s="51" t="n">
        <f aca="false">IF(AS1218&gt;0,J1218/AS1218,-1)</f>
        <v>1.24137931034483</v>
      </c>
      <c r="AX1218" s="51" t="n">
        <f aca="false">IF(AND(OR(CF1218="L1",CF1218="L23",CF1218="LIFT"),AS1218&gt;0),SUMIFS($AS$7:$AS$1843,$CF$7:$CF$1843,CF1218,$AW$7:$AW$1843,"&gt;"&amp;AW1218)+SUMIFS($AS$7:$AS$1843,$CF$7:$CF$1843,CF1218,$AW$7:$AW$1843,AW1218,$BW$7:$BW$1843,"&lt;="&amp;BW1218),"")</f>
        <v>8106.96611721612</v>
      </c>
      <c r="AY1218" s="58" t="n">
        <f aca="false">IF(AX1218="",0,MAX(0,MIN(1,(IF(CF1218="L1",Parameter!$H$5,IF(CF1218="L23",Parameter!$H$6+Parameter!$H$7,Parameter!$H$5+Parameter!$H$6+Parameter!$H$7))-(AX1218-AS1218))/AS1218)))</f>
        <v>1</v>
      </c>
      <c r="AZ1218" s="50" t="n">
        <f aca="false">IF(LEFT(Cockpit!$O$5,1)="A",H1218,IF(Parameter!$E$30="MAX-Bestand",IF(CH1218=1,CI1218,IF(LEFT(Cockpit!$O$5,1)="B",BF1218,MAX(BF1218,H1218))),ROUNDUP(BD1218,0)))</f>
        <v>6</v>
      </c>
      <c r="BA1218" s="50" t="n">
        <f aca="false">IF(BZ1218=1,0,ROUNDUP(AZ1218/BY1218,0))</f>
        <v>1</v>
      </c>
      <c r="BB1218" s="52" t="n">
        <f aca="false">IF(CQ1218&gt;0,CQ1218*MAX(1,AZ1218/X1218),IF(BZ1218=1,IF(AZ1218&lt;=0,0,CD1218*MAX(1,IF(H1218&gt;0,AZ1218/H1218,1))),IF(R1218&gt;0,BA1218/R1218,0))/MAX(0.1,N(Parameter!$M$21)))</f>
        <v>0.0833333333333333</v>
      </c>
      <c r="BC1218" s="50" t="n">
        <f aca="false">BB1218*CB1218</f>
        <v>12.0833333333333</v>
      </c>
      <c r="BD1218" s="51" t="n">
        <f aca="false">IF(LEFT(Cockpit!$O$5,1)="A",H1218,IF(CH1218=1,(CK1218+CI1218)/2,IF(LEFT(Cockpit!$O$5,1)="B",(CK1218+BF1218)/2,MAX((CK1218+BF1218)/2,H1218))))</f>
        <v>6</v>
      </c>
      <c r="BE1218" s="50" t="n">
        <f aca="false">BD1218*G1218</f>
        <v>1810.74</v>
      </c>
      <c r="BF1218" s="50" t="n">
        <f aca="false">ROUNDUP(CK1218+MAX(CL1218,2*(J1218/IF(CG1218&gt;0,CG1218,MAX(0.1,N(Cockpit!$O$6)))-CK1218)),0)</f>
        <v>11</v>
      </c>
      <c r="BG1218" s="51" t="n">
        <f aca="false">IF(BC1218&gt;0,J1218/BC1218,-1)</f>
        <v>1.24137931034483</v>
      </c>
      <c r="BH1218" s="51" t="n">
        <f aca="false">IF(AND(OR(CF1218="L1",CF1218="L23",CF1218="LIFT"),BC1218&gt;0),SUMIFS($BC$7:$BC$1843,$CF$7:$CF$1843,CF1218,$BG$7:$BG$1843,"&gt;"&amp;BG1218)+SUMIFS($BC$7:$BC$1843,$CF$7:$CF$1843,CF1218,$BG$7:$BG$1843,BG1218,$BW$7:$BW$1843,"&lt;="&amp;BW1218),"")</f>
        <v>6892.83562271062</v>
      </c>
      <c r="BI1218" s="58" t="n">
        <f aca="false">IF(BH1218="",0,MAX(0,MIN(1,(IF(CF1218="L1",Parameter!$H$5,IF(CF1218="L23",Parameter!$H$6+Parameter!$H$7,Parameter!$H$5+Parameter!$H$6+Parameter!$H$7))-(BH1218-BC1218))/BC1218)))</f>
        <v>1</v>
      </c>
      <c r="BJ1218" s="48" t="str">
        <f aca="false">IF(AI1218&lt;=0,"",IF(CF1218="Aussen","Aussenlager",IF(CF1218="-","Nicht im Lift",IF(AO1218&gt;=1,"Lift",IF(AO1218&lt;=0,"Aussenlager","teilweise")))))</f>
        <v>Lift</v>
      </c>
      <c r="BK1218" s="48" t="str">
        <f aca="false">IF(AS1218&lt;=0,"",IF(CF1218="Aussen","Aussenlager",IF(CF1218="-","Nicht im Lift",IF(AY1218&gt;=1,"Lift",IF(AY1218&lt;=0,"Aussenlager","teilweise")))))</f>
        <v>Lift</v>
      </c>
      <c r="BL1218" s="48" t="str">
        <f aca="false">IF(BC1218&lt;=0,"",IF(CF1218="Aussen","Aussenlager",IF(CF1218="-","Nicht im Lift",IF(BI1218&gt;=1,"Lift",IF(BI1218&lt;=0,"Aussenlager","teilweise")))))</f>
        <v>Lift</v>
      </c>
      <c r="BM1218" s="48" t="str">
        <f aca="false">IF(A1218="","",IF(BV1218=1,"Neu; ","")&amp;IF(AND(BV1218=0,BQ1218&lt;0),"negativer Bestand (Export "&amp;BQ1218&amp;"); ","")&amp;IF(J1218&lt;=0,"Kein Verbrauch; ","")&amp;IF(CQ1218&gt;0,"Lift "&amp;W1218&amp;" lt. Liftbericht (Fach "&amp;X1218&amp;" Stk); ",IF(CA1218=1,"Gebinde geschätzt ("&amp;T1218&amp;"); ",IF(BZ1218=1,"Lose – Tablare geschätzt; ","")))&amp;IF(H1218&gt;AV1218,"Überbestand "&amp;ROUND(H1218-AV1218,0)&amp;" Stk / CHF "&amp;ROUND((H1218-AV1218)*G1218,0)&amp;"; ","")&amp;IF(AND(CH1218=1,CI1218&lt;CJ1218),"MAX &lt; MB+LG; ","")&amp;IF(AND(CP1218&gt;0,CO1218*10&gt;CP1218),"zu hoch für Tablar; ","")&amp;IF(AND(BV1218=0,OR(CH1218=1,AA1218&lt;&gt;"",U1218&lt;&gt;"",V1218&lt;&gt;"",AB1218&lt;&gt;"")),"manuell übersteuert; ","")&amp;IF(AND(BZ1218=0,R1218=0),"Gebinde unbekannt / Stellmass fehlt; ","")&amp;IF(AND(BZ1218=0,N(V1218)&lt;=0,N(Q1218)&lt;=0),"Menge pro Gebinde fehlt (Ist = 1 Gebinde); ","")&amp;BU1218)</f>
        <v>negativer Bestand (Export -2); Gebinde geschätzt (Mittel); Menge pro Gebinde fehlt (Ist = 1 Gebinde); </v>
      </c>
      <c r="BN1218" s="48"/>
      <c r="BO1218" s="48"/>
      <c r="BP1218" s="55"/>
      <c r="BQ1218" s="50" t="n">
        <v>-2</v>
      </c>
      <c r="BR1218" s="50" t="n">
        <v>3</v>
      </c>
      <c r="BS1218" s="49" t="n">
        <v>-580.570000000002</v>
      </c>
      <c r="BT1218" s="50" t="n">
        <v>15</v>
      </c>
      <c r="BU1218" s="48"/>
      <c r="BV1218" s="53" t="n">
        <v>0</v>
      </c>
      <c r="BW1218" s="53" t="n">
        <v>1218</v>
      </c>
      <c r="BX1218" s="48" t="str">
        <f aca="false">IF(U1218&lt;&gt;"",UPPER(TRIM(U1218)),IF(CA1218=1,UPPER(VLOOKUP(T1218,Parameter!$I$27:$K$29,2,0)),IF(P1218="","LOSE",P1218)))</f>
        <v>S61</v>
      </c>
      <c r="BY1218" s="50" t="n">
        <f aca="false">IF(BX1218="LOSE",1,IF(N(V1218)&gt;0,V1218,IF(CA1218=1,MAX(1,N(VLOOKUP(T1218,Parameter!$I$27:$K$29,3,0)),H1218,N(N1218)),IF(N(Q1218)&gt;0,Q1218,MAX(1,H1218)))))</f>
        <v>10</v>
      </c>
      <c r="BZ1218" s="53" t="n">
        <f aca="false">IF(BX1218="LOSE",1,0)</f>
        <v>0</v>
      </c>
      <c r="CA1218" s="53" t="n">
        <f aca="false">IF(AND(U1218="",OR(P1218="",P1218="LOSE"),T1218&lt;&gt;"",N(S1218)&lt;=0,ISNUMBER(MATCH(T1218,Parameter!$I$27:$I$29,0))),1,0)</f>
        <v>1</v>
      </c>
      <c r="CB1218" s="53" t="n">
        <f aca="false">IF(CQ1218&gt;0,INDEX(Parameter!$H$5:$H$7,W1218)/INDEX(Parameter!$E$5:$E$7,W1218),IF(AND(BZ1218=0,N(IFERROR(VLOOKUP(BX1218,'Gebinde-Kategorie'!$A$5:$N$45,14,0),0))&gt;0),VLOOKUP(BX1218,'Gebinde-Kategorie'!$A$5:$N$45,14,0)*10+Parameter!$M$23,Parameter!$M$24))</f>
        <v>145</v>
      </c>
      <c r="CC1218" s="48" t="str">
        <f aca="false">IF(AND(Parameter!$B$19="Ja",E1218&lt;&gt;"",ISNUMBER(MATCH(E1218,Parameter!$I$35:$I$52,0))),VLOOKUP(E1218,Parameter!$I$35:$J$52,2,0),IFERROR(VLOOKUP(D1218,Parameter!$A$35:$C$64,2,0),"Nein"))</f>
        <v>2+3</v>
      </c>
      <c r="CD1218" s="52" t="n">
        <f aca="false">IF(BZ1218=0,0,IF(N(S1218)&gt;0,S1218,IFERROR(VLOOKUP(D1218,Parameter!$A$35:$C$64,3,0)+0,0)))</f>
        <v>0</v>
      </c>
      <c r="CE1218" s="48" t="n">
        <f aca="false">IF(AA1218&lt;&gt;"",AA1218,Z1218)</f>
        <v>2</v>
      </c>
      <c r="CF1218" s="48" t="str">
        <f aca="false">IF(OR(CE1218=1,CE1218=2,CE1218=3),IF(Parameter!$E$27="Ja","LIFT",IF(CE1218=1,"L1","L23")),IF(CE1218="Aussen","Aussen","-"))</f>
        <v>LIFT</v>
      </c>
      <c r="CG1218" s="59" t="n">
        <f aca="false">IF(N(AB1218)&gt;0,AB1218,0)</f>
        <v>0</v>
      </c>
      <c r="CH1218" s="53" t="n">
        <f aca="false">IF(ISNUMBER(AE1218),1,0)</f>
        <v>0</v>
      </c>
      <c r="CI1218" s="50" t="n">
        <f aca="false">N(AE1218)</f>
        <v>0</v>
      </c>
      <c r="CJ1218" s="50" t="n">
        <f aca="false">N(M1218)+N(N1218)</f>
        <v>11</v>
      </c>
      <c r="CK1218" s="50" t="n">
        <f aca="false">N(M1218)</f>
        <v>1</v>
      </c>
      <c r="CL1218" s="50" t="n">
        <f aca="false">N(N1218)</f>
        <v>10</v>
      </c>
      <c r="CM1218" s="50" t="n">
        <f aca="false">ROUNDUP(H1218/BY1218,0)</f>
        <v>1</v>
      </c>
      <c r="CN1218" s="50" t="n">
        <f aca="false">ROUNDUP(CI1218/BY1218,0)</f>
        <v>0</v>
      </c>
      <c r="CO1218" s="53" t="n">
        <f aca="false">IF(BZ1218=1,0,IFERROR(VLOOKUP(BX1218,'Gebinde-Kategorie'!$A$5:$N$45,5,0)+0,0))</f>
        <v>11</v>
      </c>
      <c r="CP1218" s="53" t="n">
        <f aca="false">IFERROR(IF(OR(CE1218=1,CE1218=2,CE1218=3),N(INDEX(Parameter!$I$5:$I$7,CE1218)),0),0)</f>
        <v>0</v>
      </c>
      <c r="CQ1218" s="52" t="n">
        <f aca="false">IF(AND(Parameter!$B$21="Ja",ISNUMBER(W1218),N(X1218)&gt;0),IFERROR(N(INDEX(Parameter!$L$5:$L$7,W1218))*INDEX(Parameter!$E$5:$E$7,W1218)*X1218/SUMIFS($X$7:$X$1843,$W$7:$W$1843,W1218),0),0)</f>
        <v>0</v>
      </c>
    </row>
    <row r="1219" customFormat="false" ht="15" hidden="false" customHeight="false" outlineLevel="0" collapsed="false">
      <c r="A1219" s="48" t="s">
        <v>2195</v>
      </c>
      <c r="B1219" s="48" t="s">
        <v>1587</v>
      </c>
      <c r="C1219" s="48" t="s">
        <v>173</v>
      </c>
      <c r="D1219" s="48" t="s">
        <v>193</v>
      </c>
      <c r="E1219" s="48" t="s">
        <v>194</v>
      </c>
      <c r="F1219" s="48" t="s">
        <v>227</v>
      </c>
      <c r="G1219" s="49" t="n">
        <v>7.16</v>
      </c>
      <c r="H1219" s="50" t="n">
        <f aca="false">MAX(0,IF(AND(Parameter!$B$21="Ja",ISNUMBER(Y1219)),Y1219,IF(Parameter!$B$20="Jahresanfang 2025 + Export",BR1219+BQ1219,BQ1219)))</f>
        <v>33</v>
      </c>
      <c r="I1219" s="50" t="n">
        <f aca="false">H1219*G1219</f>
        <v>236.28</v>
      </c>
      <c r="J1219" s="50" t="n">
        <f aca="false">BT1219*Parameter!$B$18</f>
        <v>0</v>
      </c>
      <c r="K1219" s="51" t="n">
        <v>74</v>
      </c>
      <c r="L1219" s="52" t="n">
        <v>0</v>
      </c>
      <c r="M1219" s="50" t="n">
        <v>0</v>
      </c>
      <c r="N1219" s="50" t="n">
        <v>1</v>
      </c>
      <c r="O1219" s="53" t="n">
        <v>63</v>
      </c>
      <c r="P1219" s="48" t="s">
        <v>242</v>
      </c>
      <c r="Q1219" s="50" t="n">
        <v>33</v>
      </c>
      <c r="R1219" s="53" t="n">
        <f aca="false">IF(BZ1219=1,0,IFERROR(VLOOKUP(BX1219,'Gebinde-Kategorie'!$A$5:$N$45,13,0)+0,0))</f>
        <v>26</v>
      </c>
      <c r="S1219" s="54"/>
      <c r="T1219" s="55"/>
      <c r="U1219" s="55"/>
      <c r="V1219" s="55"/>
      <c r="W1219" s="48"/>
      <c r="X1219" s="50"/>
      <c r="Y1219" s="50"/>
      <c r="Z1219" s="48" t="n">
        <f aca="false">IF(A1219="","",IF(AND(Parameter!$B$21="Ja",ISNUMBER(W1219)),W1219,IF(CC1219="2+3",IF(ISNUMBER(SEARCH("grosser Artikel",BU1219)),2,IFERROR(VLOOKUP(BX1219,Parameter!$F$35:$G$64,2,0),2)),IF(OR(CC1219="Nein",CC1219=""),"-",CC1219))))</f>
        <v>3</v>
      </c>
      <c r="AA1219" s="55"/>
      <c r="AB1219" s="56"/>
      <c r="AC1219" s="50" t="n">
        <f aca="false">AV1219</f>
        <v>1</v>
      </c>
      <c r="AD1219" s="50" t="n">
        <f aca="false">MAX(AV1219,H1219)</f>
        <v>33</v>
      </c>
      <c r="AE1219" s="57"/>
      <c r="AF1219" s="50" t="n">
        <f aca="false">IF(LEFT(Cockpit!$C$5,1)="A",H1219,IF(Parameter!$E$30="MAX-Bestand",IF(CH1219=1,CI1219,IF(LEFT(Cockpit!$C$5,1)="B",AL1219,MAX(AL1219,H1219))),ROUNDUP(AJ1219,0)))</f>
        <v>33</v>
      </c>
      <c r="AG1219" s="50" t="n">
        <f aca="false">IF(BZ1219=1,0,ROUNDUP(AF1219/BY1219,0))</f>
        <v>1</v>
      </c>
      <c r="AH1219" s="52" t="n">
        <f aca="false">IF(CQ1219&gt;0,CQ1219*MAX(1,AF1219/X1219),IF(BZ1219=1,IF(AF1219&lt;=0,0,CD1219*MAX(1,IF(H1219&gt;0,AF1219/H1219,1))),IF(R1219&gt;0,AG1219/R1219,0))/MAX(0.1,N(Parameter!$M$21)))</f>
        <v>0.0384615384615385</v>
      </c>
      <c r="AI1219" s="50" t="n">
        <f aca="false">AH1219*CB1219</f>
        <v>9.42307692307692</v>
      </c>
      <c r="AJ1219" s="51" t="n">
        <f aca="false">IF(LEFT(Cockpit!$C$5,1)="A",H1219,IF(CH1219=1,(CK1219+CI1219)/2,IF(LEFT(Cockpit!$C$5,1)="B",(CK1219+AL1219)/2,MAX((CK1219+AL1219)/2,H1219))))</f>
        <v>33</v>
      </c>
      <c r="AK1219" s="50" t="n">
        <f aca="false">AJ1219*G1219</f>
        <v>236.28</v>
      </c>
      <c r="AL1219" s="50" t="n">
        <f aca="false">ROUNDUP(CK1219+MAX(CL1219,2*(J1219/IF(CG1219&gt;0,CG1219,MAX(0.1,N(Cockpit!$C$6)))-CK1219)),0)</f>
        <v>1</v>
      </c>
      <c r="AM1219" s="51" t="n">
        <f aca="false">IF(AI1219&gt;0,J1219/AI1219,-1)</f>
        <v>0</v>
      </c>
      <c r="AN1219" s="51" t="n">
        <f aca="false">IF(AND(OR(CF1219="L1",CF1219="L23",CF1219="LIFT"),AI1219&gt;0),SUMIFS($AI$7:$AI$1843,$CF$7:$CF$1843,CF1219,$AM$7:$AM$1843,"&gt;"&amp;AM1219)+SUMIFS($AI$7:$AI$1843,$CF$7:$CF$1843,CF1219,$AM$7:$AM$1843,AM1219,$BW$7:$BW$1843,"&lt;="&amp;BW1219),"")</f>
        <v>29433.0706809669</v>
      </c>
      <c r="AO1219" s="58" t="n">
        <f aca="false">IF(AN1219="",0,MAX(0,MIN(1,(IF(CF1219="L1",Parameter!$H$5,IF(CF1219="L23",Parameter!$H$6+Parameter!$H$7,Parameter!$H$5+Parameter!$H$6+Parameter!$H$7))-(AN1219-AI1219))/AI1219)))</f>
        <v>1</v>
      </c>
      <c r="AP1219" s="50" t="n">
        <f aca="false">IF(LEFT(Cockpit!$I$5,1)="A",H1219,IF(Parameter!$E$30="MAX-Bestand",IF(CH1219=1,CI1219,IF(LEFT(Cockpit!$I$5,1)="B",AV1219,MAX(AV1219,H1219))),ROUNDUP(AT1219,0)))</f>
        <v>33</v>
      </c>
      <c r="AQ1219" s="50" t="n">
        <f aca="false">IF(BZ1219=1,0,ROUNDUP(AP1219/BY1219,0))</f>
        <v>1</v>
      </c>
      <c r="AR1219" s="52" t="n">
        <f aca="false">IF(CQ1219&gt;0,CQ1219*MAX(1,AP1219/X1219),IF(BZ1219=1,IF(AP1219&lt;=0,0,CD1219*MAX(1,IF(H1219&gt;0,AP1219/H1219,1))),IF(R1219&gt;0,AQ1219/R1219,0))/MAX(0.1,N(Parameter!$M$21)))</f>
        <v>0.0384615384615385</v>
      </c>
      <c r="AS1219" s="50" t="n">
        <f aca="false">AR1219*CB1219</f>
        <v>9.42307692307692</v>
      </c>
      <c r="AT1219" s="51" t="n">
        <f aca="false">IF(LEFT(Cockpit!$I$5,1)="A",H1219,IF(CH1219=1,(CK1219+CI1219)/2,IF(LEFT(Cockpit!$I$5,1)="B",(CK1219+AV1219)/2,MAX((CK1219+AV1219)/2,H1219))))</f>
        <v>33</v>
      </c>
      <c r="AU1219" s="50" t="n">
        <f aca="false">AT1219*G1219</f>
        <v>236.28</v>
      </c>
      <c r="AV1219" s="50" t="n">
        <f aca="false">ROUNDUP(CK1219+MAX(CL1219,2*(J1219/IF(CG1219&gt;0,CG1219,MAX(0.1,N(Cockpit!$I$6)))-CK1219)),0)</f>
        <v>1</v>
      </c>
      <c r="AW1219" s="51" t="n">
        <f aca="false">IF(AS1219&gt;0,J1219/AS1219,-1)</f>
        <v>0</v>
      </c>
      <c r="AX1219" s="51" t="n">
        <f aca="false">IF(AND(OR(CF1219="L1",CF1219="L23",CF1219="LIFT"),AS1219&gt;0),SUMIFS($AS$7:$AS$1843,$CF$7:$CF$1843,CF1219,$AW$7:$AW$1843,"&gt;"&amp;AW1219)+SUMIFS($AS$7:$AS$1843,$CF$7:$CF$1843,CF1219,$AW$7:$AW$1843,AW1219,$BW$7:$BW$1843,"&lt;="&amp;BW1219),"")</f>
        <v>35238.9043040293</v>
      </c>
      <c r="AY1219" s="58" t="n">
        <f aca="false">IF(AX1219="",0,MAX(0,MIN(1,(IF(CF1219="L1",Parameter!$H$5,IF(CF1219="L23",Parameter!$H$6+Parameter!$H$7,Parameter!$H$5+Parameter!$H$6+Parameter!$H$7))-(AX1219-AS1219))/AS1219)))</f>
        <v>1</v>
      </c>
      <c r="AZ1219" s="50" t="n">
        <f aca="false">IF(LEFT(Cockpit!$O$5,1)="A",H1219,IF(Parameter!$E$30="MAX-Bestand",IF(CH1219=1,CI1219,IF(LEFT(Cockpit!$O$5,1)="B",BF1219,MAX(BF1219,H1219))),ROUNDUP(BD1219,0)))</f>
        <v>1</v>
      </c>
      <c r="BA1219" s="50" t="n">
        <f aca="false">IF(BZ1219=1,0,ROUNDUP(AZ1219/BY1219,0))</f>
        <v>1</v>
      </c>
      <c r="BB1219" s="52" t="n">
        <f aca="false">IF(CQ1219&gt;0,CQ1219*MAX(1,AZ1219/X1219),IF(BZ1219=1,IF(AZ1219&lt;=0,0,CD1219*MAX(1,IF(H1219&gt;0,AZ1219/H1219,1))),IF(R1219&gt;0,BA1219/R1219,0))/MAX(0.1,N(Parameter!$M$21)))</f>
        <v>0.0384615384615385</v>
      </c>
      <c r="BC1219" s="50" t="n">
        <f aca="false">BB1219*CB1219</f>
        <v>9.42307692307692</v>
      </c>
      <c r="BD1219" s="51" t="n">
        <f aca="false">IF(LEFT(Cockpit!$O$5,1)="A",H1219,IF(CH1219=1,(CK1219+CI1219)/2,IF(LEFT(Cockpit!$O$5,1)="B",(CK1219+BF1219)/2,MAX((CK1219+BF1219)/2,H1219))))</f>
        <v>0.5</v>
      </c>
      <c r="BE1219" s="50" t="n">
        <f aca="false">BD1219*G1219</f>
        <v>3.58</v>
      </c>
      <c r="BF1219" s="50" t="n">
        <f aca="false">ROUNDUP(CK1219+MAX(CL1219,2*(J1219/IF(CG1219&gt;0,CG1219,MAX(0.1,N(Cockpit!$O$6)))-CK1219)),0)</f>
        <v>1</v>
      </c>
      <c r="BG1219" s="51" t="n">
        <f aca="false">IF(BC1219&gt;0,J1219/BC1219,-1)</f>
        <v>0</v>
      </c>
      <c r="BH1219" s="51" t="n">
        <f aca="false">IF(AND(OR(CF1219="L1",CF1219="L23",CF1219="LIFT"),BC1219&gt;0),SUMIFS($BC$7:$BC$1843,$CF$7:$CF$1843,CF1219,$BG$7:$BG$1843,"&gt;"&amp;BG1219)+SUMIFS($BC$7:$BC$1843,$CF$7:$CF$1843,CF1219,$BG$7:$BG$1843,BG1219,$BW$7:$BW$1843,"&lt;="&amp;BW1219),"")</f>
        <v>29224.2109641771</v>
      </c>
      <c r="BI1219" s="58" t="n">
        <f aca="false">IF(BH1219="",0,MAX(0,MIN(1,(IF(CF1219="L1",Parameter!$H$5,IF(CF1219="L23",Parameter!$H$6+Parameter!$H$7,Parameter!$H$5+Parameter!$H$6+Parameter!$H$7))-(BH1219-BC1219))/BC1219)))</f>
        <v>1</v>
      </c>
      <c r="BJ1219" s="48" t="str">
        <f aca="false">IF(AI1219&lt;=0,"",IF(CF1219="Aussen","Aussenlager",IF(CF1219="-","Nicht im Lift",IF(AO1219&gt;=1,"Lift",IF(AO1219&lt;=0,"Aussenlager","teilweise")))))</f>
        <v>Lift</v>
      </c>
      <c r="BK1219" s="48" t="str">
        <f aca="false">IF(AS1219&lt;=0,"",IF(CF1219="Aussen","Aussenlager",IF(CF1219="-","Nicht im Lift",IF(AY1219&gt;=1,"Lift",IF(AY1219&lt;=0,"Aussenlager","teilweise")))))</f>
        <v>Lift</v>
      </c>
      <c r="BL1219" s="48" t="str">
        <f aca="false">IF(BC1219&lt;=0,"",IF(CF1219="Aussen","Aussenlager",IF(CF1219="-","Nicht im Lift",IF(BI1219&gt;=1,"Lift",IF(BI1219&lt;=0,"Aussenlager","teilweise")))))</f>
        <v>Lift</v>
      </c>
      <c r="BM1219" s="48" t="str">
        <f aca="false">IF(A1219="","",IF(BV1219=1,"Neu; ","")&amp;IF(AND(BV1219=0,BQ1219&lt;0),"negativer Bestand (Export "&amp;BQ1219&amp;"); ","")&amp;IF(J1219&lt;=0,"Kein Verbrauch; ","")&amp;IF(CQ1219&gt;0,"Lift "&amp;W1219&amp;" lt. Liftbericht (Fach "&amp;X1219&amp;" Stk); ",IF(CA1219=1,"Gebinde geschätzt ("&amp;T1219&amp;"); ",IF(BZ1219=1,"Lose – Tablare geschätzt; ","")))&amp;IF(H1219&gt;AV1219,"Überbestand "&amp;ROUND(H1219-AV1219,0)&amp;" Stk / CHF "&amp;ROUND((H1219-AV1219)*G1219,0)&amp;"; ","")&amp;IF(AND(CH1219=1,CI1219&lt;CJ1219),"MAX &lt; MB+LG; ","")&amp;IF(AND(CP1219&gt;0,CO1219*10&gt;CP1219),"zu hoch für Tablar; ","")&amp;IF(AND(BV1219=0,OR(CH1219=1,AA1219&lt;&gt;"",U1219&lt;&gt;"",V1219&lt;&gt;"",AB1219&lt;&gt;"")),"manuell übersteuert; ","")&amp;IF(AND(BZ1219=0,R1219=0),"Gebinde unbekannt / Stellmass fehlt; ","")&amp;IF(AND(BZ1219=0,N(V1219)&lt;=0,N(Q1219)&lt;=0),"Menge pro Gebinde fehlt (Ist = 1 Gebinde); ","")&amp;BU1219)</f>
        <v>negativer Bestand (Export -82); Kein Verbrauch; Überbestand 32 Stk / CHF 229; </v>
      </c>
      <c r="BN1219" s="48"/>
      <c r="BO1219" s="48"/>
      <c r="BP1219" s="55"/>
      <c r="BQ1219" s="50" t="n">
        <v>-82</v>
      </c>
      <c r="BR1219" s="50" t="n">
        <v>115</v>
      </c>
      <c r="BS1219" s="49" t="n">
        <v>-587.12</v>
      </c>
      <c r="BT1219" s="50" t="n">
        <v>0</v>
      </c>
      <c r="BU1219" s="48"/>
      <c r="BV1219" s="53" t="n">
        <v>0</v>
      </c>
      <c r="BW1219" s="53" t="n">
        <v>1219</v>
      </c>
      <c r="BX1219" s="48" t="str">
        <f aca="false">IF(U1219&lt;&gt;"",UPPER(TRIM(U1219)),IF(CA1219=1,UPPER(VLOOKUP(T1219,Parameter!$I$27:$K$29,2,0)),IF(P1219="","LOSE",P1219)))</f>
        <v>S52</v>
      </c>
      <c r="BY1219" s="50" t="n">
        <f aca="false">IF(BX1219="LOSE",1,IF(N(V1219)&gt;0,V1219,IF(CA1219=1,MAX(1,N(VLOOKUP(T1219,Parameter!$I$27:$K$29,3,0)),H1219,N(N1219)),IF(N(Q1219)&gt;0,Q1219,MAX(1,H1219)))))</f>
        <v>33</v>
      </c>
      <c r="BZ1219" s="53" t="n">
        <f aca="false">IF(BX1219="LOSE",1,0)</f>
        <v>0</v>
      </c>
      <c r="CA1219" s="53" t="n">
        <f aca="false">IF(AND(U1219="",OR(P1219="",P1219="LOSE"),T1219&lt;&gt;"",N(S1219)&lt;=0,ISNUMBER(MATCH(T1219,Parameter!$I$27:$I$29,0))),1,0)</f>
        <v>0</v>
      </c>
      <c r="CB1219" s="53" t="n">
        <f aca="false">IF(CQ1219&gt;0,INDEX(Parameter!$H$5:$H$7,W1219)/INDEX(Parameter!$E$5:$E$7,W1219),IF(AND(BZ1219=0,N(IFERROR(VLOOKUP(BX1219,'Gebinde-Kategorie'!$A$5:$N$45,14,0),0))&gt;0),VLOOKUP(BX1219,'Gebinde-Kategorie'!$A$5:$N$45,14,0)*10+Parameter!$M$23,Parameter!$M$24))</f>
        <v>245</v>
      </c>
      <c r="CC1219" s="48" t="str">
        <f aca="false">IF(AND(Parameter!$B$19="Ja",E1219&lt;&gt;"",ISNUMBER(MATCH(E1219,Parameter!$I$35:$I$52,0))),VLOOKUP(E1219,Parameter!$I$35:$J$52,2,0),IFERROR(VLOOKUP(D1219,Parameter!$A$35:$C$64,2,0),"Nein"))</f>
        <v>2+3</v>
      </c>
      <c r="CD1219" s="52" t="n">
        <f aca="false">IF(BZ1219=0,0,IF(N(S1219)&gt;0,S1219,IFERROR(VLOOKUP(D1219,Parameter!$A$35:$C$64,3,0)+0,0)))</f>
        <v>0</v>
      </c>
      <c r="CE1219" s="48" t="n">
        <f aca="false">IF(AA1219&lt;&gt;"",AA1219,Z1219)</f>
        <v>3</v>
      </c>
      <c r="CF1219" s="48" t="str">
        <f aca="false">IF(OR(CE1219=1,CE1219=2,CE1219=3),IF(Parameter!$E$27="Ja","LIFT",IF(CE1219=1,"L1","L23")),IF(CE1219="Aussen","Aussen","-"))</f>
        <v>LIFT</v>
      </c>
      <c r="CG1219" s="59" t="n">
        <f aca="false">IF(N(AB1219)&gt;0,AB1219,0)</f>
        <v>0</v>
      </c>
      <c r="CH1219" s="53" t="n">
        <f aca="false">IF(ISNUMBER(AE1219),1,0)</f>
        <v>0</v>
      </c>
      <c r="CI1219" s="50" t="n">
        <f aca="false">N(AE1219)</f>
        <v>0</v>
      </c>
      <c r="CJ1219" s="50" t="n">
        <f aca="false">N(M1219)+N(N1219)</f>
        <v>1</v>
      </c>
      <c r="CK1219" s="50" t="n">
        <f aca="false">N(M1219)</f>
        <v>0</v>
      </c>
      <c r="CL1219" s="50" t="n">
        <f aca="false">N(N1219)</f>
        <v>1</v>
      </c>
      <c r="CM1219" s="50" t="n">
        <f aca="false">ROUNDUP(H1219/BY1219,0)</f>
        <v>1</v>
      </c>
      <c r="CN1219" s="50" t="n">
        <f aca="false">ROUNDUP(CI1219/BY1219,0)</f>
        <v>0</v>
      </c>
      <c r="CO1219" s="53" t="n">
        <f aca="false">IF(BZ1219=1,0,IFERROR(VLOOKUP(BX1219,'Gebinde-Kategorie'!$A$5:$N$45,5,0)+0,0))</f>
        <v>21</v>
      </c>
      <c r="CP1219" s="53" t="n">
        <f aca="false">IFERROR(IF(OR(CE1219=1,CE1219=2,CE1219=3),N(INDEX(Parameter!$I$5:$I$7,CE1219)),0),0)</f>
        <v>0</v>
      </c>
      <c r="CQ1219" s="52" t="n">
        <f aca="false">IF(AND(Parameter!$B$21="Ja",ISNUMBER(W1219),N(X1219)&gt;0),IFERROR(N(INDEX(Parameter!$L$5:$L$7,W1219))*INDEX(Parameter!$E$5:$E$7,W1219)*X1219/SUMIFS($X$7:$X$1843,$W$7:$W$1843,W1219),0),0)</f>
        <v>0</v>
      </c>
    </row>
    <row r="1220" customFormat="false" ht="15" hidden="false" customHeight="false" outlineLevel="0" collapsed="false">
      <c r="A1220" s="48" t="s">
        <v>2196</v>
      </c>
      <c r="B1220" s="48" t="s">
        <v>607</v>
      </c>
      <c r="C1220" s="48" t="s">
        <v>173</v>
      </c>
      <c r="D1220" s="48" t="s">
        <v>193</v>
      </c>
      <c r="E1220" s="48" t="s">
        <v>194</v>
      </c>
      <c r="F1220" s="48" t="s">
        <v>227</v>
      </c>
      <c r="G1220" s="49" t="n">
        <v>29.25</v>
      </c>
      <c r="H1220" s="50" t="n">
        <f aca="false">MAX(0,IF(AND(Parameter!$B$21="Ja",ISNUMBER(Y1220)),Y1220,IF(Parameter!$B$20="Jahresanfang 2025 + Export",BR1220+BQ1220,BQ1220)))</f>
        <v>27</v>
      </c>
      <c r="I1220" s="50" t="n">
        <f aca="false">H1220*G1220</f>
        <v>789.75</v>
      </c>
      <c r="J1220" s="50" t="n">
        <f aca="false">BT1220*Parameter!$B$18</f>
        <v>47</v>
      </c>
      <c r="K1220" s="51" t="n">
        <v>66</v>
      </c>
      <c r="L1220" s="52" t="n">
        <v>0.712121212121212</v>
      </c>
      <c r="M1220" s="50" t="n">
        <v>1</v>
      </c>
      <c r="N1220" s="50" t="n">
        <v>45</v>
      </c>
      <c r="O1220" s="53" t="n">
        <v>14</v>
      </c>
      <c r="P1220" s="48" t="s">
        <v>337</v>
      </c>
      <c r="Q1220" s="50" t="n">
        <v>124</v>
      </c>
      <c r="R1220" s="53" t="n">
        <f aca="false">IF(BZ1220=1,0,IFERROR(VLOOKUP(BX1220,'Gebinde-Kategorie'!$A$5:$N$45,13,0)+0,0))</f>
        <v>52</v>
      </c>
      <c r="S1220" s="54"/>
      <c r="T1220" s="55"/>
      <c r="U1220" s="55"/>
      <c r="V1220" s="55"/>
      <c r="W1220" s="48"/>
      <c r="X1220" s="50"/>
      <c r="Y1220" s="50"/>
      <c r="Z1220" s="48" t="n">
        <f aca="false">IF(A1220="","",IF(AND(Parameter!$B$21="Ja",ISNUMBER(W1220)),W1220,IF(CC1220="2+3",IF(ISNUMBER(SEARCH("grosser Artikel",BU1220)),2,IFERROR(VLOOKUP(BX1220,Parameter!$F$35:$G$64,2,0),2)),IF(OR(CC1220="Nein",CC1220=""),"-",CC1220))))</f>
        <v>3</v>
      </c>
      <c r="AA1220" s="55"/>
      <c r="AB1220" s="56"/>
      <c r="AC1220" s="50" t="n">
        <f aca="false">AV1220</f>
        <v>46</v>
      </c>
      <c r="AD1220" s="50" t="n">
        <f aca="false">MAX(AV1220,H1220)</f>
        <v>46</v>
      </c>
      <c r="AE1220" s="57"/>
      <c r="AF1220" s="50" t="n">
        <f aca="false">IF(LEFT(Cockpit!$C$5,1)="A",H1220,IF(Parameter!$E$30="MAX-Bestand",IF(CH1220=1,CI1220,IF(LEFT(Cockpit!$C$5,1)="B",AL1220,MAX(AL1220,H1220))),ROUNDUP(AJ1220,0)))</f>
        <v>27</v>
      </c>
      <c r="AG1220" s="50" t="n">
        <f aca="false">IF(BZ1220=1,0,ROUNDUP(AF1220/BY1220,0))</f>
        <v>1</v>
      </c>
      <c r="AH1220" s="52" t="n">
        <f aca="false">IF(CQ1220&gt;0,CQ1220*MAX(1,AF1220/X1220),IF(BZ1220=1,IF(AF1220&lt;=0,0,CD1220*MAX(1,IF(H1220&gt;0,AF1220/H1220,1))),IF(R1220&gt;0,AG1220/R1220,0))/MAX(0.1,N(Parameter!$M$21)))</f>
        <v>0.0192307692307692</v>
      </c>
      <c r="AI1220" s="50" t="n">
        <f aca="false">AH1220*CB1220</f>
        <v>2.98076923076923</v>
      </c>
      <c r="AJ1220" s="51" t="n">
        <f aca="false">IF(LEFT(Cockpit!$C$5,1)="A",H1220,IF(CH1220=1,(CK1220+CI1220)/2,IF(LEFT(Cockpit!$C$5,1)="B",(CK1220+AL1220)/2,MAX((CK1220+AL1220)/2,H1220))))</f>
        <v>27</v>
      </c>
      <c r="AK1220" s="50" t="n">
        <f aca="false">AJ1220*G1220</f>
        <v>789.75</v>
      </c>
      <c r="AL1220" s="50" t="n">
        <f aca="false">ROUNDUP(CK1220+MAX(CL1220,2*(J1220/IF(CG1220&gt;0,CG1220,MAX(0.1,N(Cockpit!$C$6)))-CK1220)),0)</f>
        <v>46</v>
      </c>
      <c r="AM1220" s="51" t="n">
        <f aca="false">IF(AI1220&gt;0,J1220/AI1220,-1)</f>
        <v>15.7677419354839</v>
      </c>
      <c r="AN1220" s="51" t="n">
        <f aca="false">IF(AND(OR(CF1220="L1",CF1220="L23",CF1220="LIFT"),AI1220&gt;0),SUMIFS($AI$7:$AI$1843,$CF$7:$CF$1843,CF1220,$AM$7:$AM$1843,"&gt;"&amp;AM1220)+SUMIFS($AI$7:$AI$1843,$CF$7:$CF$1843,CF1220,$AM$7:$AM$1843,AM1220,$BW$7:$BW$1843,"&lt;="&amp;BW1220),"")</f>
        <v>2065.6891025641</v>
      </c>
      <c r="AO1220" s="58" t="n">
        <f aca="false">IF(AN1220="",0,MAX(0,MIN(1,(IF(CF1220="L1",Parameter!$H$5,IF(CF1220="L23",Parameter!$H$6+Parameter!$H$7,Parameter!$H$5+Parameter!$H$6+Parameter!$H$7))-(AN1220-AI1220))/AI1220)))</f>
        <v>1</v>
      </c>
      <c r="AP1220" s="50" t="n">
        <f aca="false">IF(LEFT(Cockpit!$I$5,1)="A",H1220,IF(Parameter!$E$30="MAX-Bestand",IF(CH1220=1,CI1220,IF(LEFT(Cockpit!$I$5,1)="B",AV1220,MAX(AV1220,H1220))),ROUNDUP(AT1220,0)))</f>
        <v>27</v>
      </c>
      <c r="AQ1220" s="50" t="n">
        <f aca="false">IF(BZ1220=1,0,ROUNDUP(AP1220/BY1220,0))</f>
        <v>1</v>
      </c>
      <c r="AR1220" s="52" t="n">
        <f aca="false">IF(CQ1220&gt;0,CQ1220*MAX(1,AP1220/X1220),IF(BZ1220=1,IF(AP1220&lt;=0,0,CD1220*MAX(1,IF(H1220&gt;0,AP1220/H1220,1))),IF(R1220&gt;0,AQ1220/R1220,0))/MAX(0.1,N(Parameter!$M$21)))</f>
        <v>0.0192307692307692</v>
      </c>
      <c r="AS1220" s="50" t="n">
        <f aca="false">AR1220*CB1220</f>
        <v>2.98076923076923</v>
      </c>
      <c r="AT1220" s="51" t="n">
        <f aca="false">IF(LEFT(Cockpit!$I$5,1)="A",H1220,IF(CH1220=1,(CK1220+CI1220)/2,IF(LEFT(Cockpit!$I$5,1)="B",(CK1220+AV1220)/2,MAX((CK1220+AV1220)/2,H1220))))</f>
        <v>27</v>
      </c>
      <c r="AU1220" s="50" t="n">
        <f aca="false">AT1220*G1220</f>
        <v>789.75</v>
      </c>
      <c r="AV1220" s="50" t="n">
        <f aca="false">ROUNDUP(CK1220+MAX(CL1220,2*(J1220/IF(CG1220&gt;0,CG1220,MAX(0.1,N(Cockpit!$I$6)))-CK1220)),0)</f>
        <v>46</v>
      </c>
      <c r="AW1220" s="51" t="n">
        <f aca="false">IF(AS1220&gt;0,J1220/AS1220,-1)</f>
        <v>15.7677419354839</v>
      </c>
      <c r="AX1220" s="51" t="n">
        <f aca="false">IF(AND(OR(CF1220="L1",CF1220="L23",CF1220="LIFT"),AS1220&gt;0),SUMIFS($AS$7:$AS$1843,$CF$7:$CF$1843,CF1220,$AW$7:$AW$1843,"&gt;"&amp;AW1220)+SUMIFS($AS$7:$AS$1843,$CF$7:$CF$1843,CF1220,$AW$7:$AW$1843,AW1220,$BW$7:$BW$1843,"&lt;="&amp;BW1220),"")</f>
        <v>2701.70283882784</v>
      </c>
      <c r="AY1220" s="58" t="n">
        <f aca="false">IF(AX1220="",0,MAX(0,MIN(1,(IF(CF1220="L1",Parameter!$H$5,IF(CF1220="L23",Parameter!$H$6+Parameter!$H$7,Parameter!$H$5+Parameter!$H$6+Parameter!$H$7))-(AX1220-AS1220))/AS1220)))</f>
        <v>1</v>
      </c>
      <c r="AZ1220" s="50" t="n">
        <f aca="false">IF(LEFT(Cockpit!$O$5,1)="A",H1220,IF(Parameter!$E$30="MAX-Bestand",IF(CH1220=1,CI1220,IF(LEFT(Cockpit!$O$5,1)="B",BF1220,MAX(BF1220,H1220))),ROUNDUP(BD1220,0)))</f>
        <v>24</v>
      </c>
      <c r="BA1220" s="50" t="n">
        <f aca="false">IF(BZ1220=1,0,ROUNDUP(AZ1220/BY1220,0))</f>
        <v>1</v>
      </c>
      <c r="BB1220" s="52" t="n">
        <f aca="false">IF(CQ1220&gt;0,CQ1220*MAX(1,AZ1220/X1220),IF(BZ1220=1,IF(AZ1220&lt;=0,0,CD1220*MAX(1,IF(H1220&gt;0,AZ1220/H1220,1))),IF(R1220&gt;0,BA1220/R1220,0))/MAX(0.1,N(Parameter!$M$21)))</f>
        <v>0.0192307692307692</v>
      </c>
      <c r="BC1220" s="50" t="n">
        <f aca="false">BB1220*CB1220</f>
        <v>2.98076923076923</v>
      </c>
      <c r="BD1220" s="51" t="n">
        <f aca="false">IF(LEFT(Cockpit!$O$5,1)="A",H1220,IF(CH1220=1,(CK1220+CI1220)/2,IF(LEFT(Cockpit!$O$5,1)="B",(CK1220+BF1220)/2,MAX((CK1220+BF1220)/2,H1220))))</f>
        <v>23.5</v>
      </c>
      <c r="BE1220" s="50" t="n">
        <f aca="false">BD1220*G1220</f>
        <v>687.375</v>
      </c>
      <c r="BF1220" s="50" t="n">
        <f aca="false">ROUNDUP(CK1220+MAX(CL1220,2*(J1220/IF(CG1220&gt;0,CG1220,MAX(0.1,N(Cockpit!$O$6)))-CK1220)),0)</f>
        <v>46</v>
      </c>
      <c r="BG1220" s="51" t="n">
        <f aca="false">IF(BC1220&gt;0,J1220/BC1220,-1)</f>
        <v>15.7677419354839</v>
      </c>
      <c r="BH1220" s="51" t="n">
        <f aca="false">IF(AND(OR(CF1220="L1",CF1220="L23",CF1220="LIFT"),BC1220&gt;0),SUMIFS($BC$7:$BC$1843,$CF$7:$CF$1843,CF1220,$BG$7:$BG$1843,"&gt;"&amp;BG1220)+SUMIFS($BC$7:$BC$1843,$CF$7:$CF$1843,CF1220,$BG$7:$BG$1843,BG1220,$BW$7:$BW$1843,"&lt;="&amp;BW1220),"")</f>
        <v>2396.663003663</v>
      </c>
      <c r="BI1220" s="58" t="n">
        <f aca="false">IF(BH1220="",0,MAX(0,MIN(1,(IF(CF1220="L1",Parameter!$H$5,IF(CF1220="L23",Parameter!$H$6+Parameter!$H$7,Parameter!$H$5+Parameter!$H$6+Parameter!$H$7))-(BH1220-BC1220))/BC1220)))</f>
        <v>1</v>
      </c>
      <c r="BJ1220" s="48" t="str">
        <f aca="false">IF(AI1220&lt;=0,"",IF(CF1220="Aussen","Aussenlager",IF(CF1220="-","Nicht im Lift",IF(AO1220&gt;=1,"Lift",IF(AO1220&lt;=0,"Aussenlager","teilweise")))))</f>
        <v>Lift</v>
      </c>
      <c r="BK1220" s="48" t="str">
        <f aca="false">IF(AS1220&lt;=0,"",IF(CF1220="Aussen","Aussenlager",IF(CF1220="-","Nicht im Lift",IF(AY1220&gt;=1,"Lift",IF(AY1220&lt;=0,"Aussenlager","teilweise")))))</f>
        <v>Lift</v>
      </c>
      <c r="BL1220" s="48" t="str">
        <f aca="false">IF(BC1220&lt;=0,"",IF(CF1220="Aussen","Aussenlager",IF(CF1220="-","Nicht im Lift",IF(BI1220&gt;=1,"Lift",IF(BI1220&lt;=0,"Aussenlager","teilweise")))))</f>
        <v>Lift</v>
      </c>
      <c r="BM1220" s="48" t="str">
        <f aca="false">IF(A1220="","",IF(BV1220=1,"Neu; ","")&amp;IF(AND(BV1220=0,BQ1220&lt;0),"negativer Bestand (Export "&amp;BQ1220&amp;"); ","")&amp;IF(J1220&lt;=0,"Kein Verbrauch; ","")&amp;IF(CQ1220&gt;0,"Lift "&amp;W1220&amp;" lt. Liftbericht (Fach "&amp;X1220&amp;" Stk); ",IF(CA1220=1,"Gebinde geschätzt ("&amp;T1220&amp;"); ",IF(BZ1220=1,"Lose – Tablare geschätzt; ","")))&amp;IF(H1220&gt;AV1220,"Überbestand "&amp;ROUND(H1220-AV1220,0)&amp;" Stk / CHF "&amp;ROUND((H1220-AV1220)*G1220,0)&amp;"; ","")&amp;IF(AND(CH1220=1,CI1220&lt;CJ1220),"MAX &lt; MB+LG; ","")&amp;IF(AND(CP1220&gt;0,CO1220*10&gt;CP1220),"zu hoch für Tablar; ","")&amp;IF(AND(BV1220=0,OR(CH1220=1,AA1220&lt;&gt;"",U1220&lt;&gt;"",V1220&lt;&gt;"",AB1220&lt;&gt;"")),"manuell übersteuert; ","")&amp;IF(AND(BZ1220=0,R1220=0),"Gebinde unbekannt / Stellmass fehlt; ","")&amp;IF(AND(BZ1220=0,N(V1220)&lt;=0,N(Q1220)&lt;=0),"Menge pro Gebinde fehlt (Ist = 1 Gebinde); ","")&amp;BU1220)</f>
        <v>negativer Bestand (Export -23); </v>
      </c>
      <c r="BN1220" s="48"/>
      <c r="BO1220" s="48"/>
      <c r="BP1220" s="55"/>
      <c r="BQ1220" s="50" t="n">
        <v>-23</v>
      </c>
      <c r="BR1220" s="50" t="n">
        <v>50</v>
      </c>
      <c r="BS1220" s="49" t="n">
        <v>-588.750000000001</v>
      </c>
      <c r="BT1220" s="50" t="n">
        <v>47</v>
      </c>
      <c r="BU1220" s="48"/>
      <c r="BV1220" s="53" t="n">
        <v>0</v>
      </c>
      <c r="BW1220" s="53" t="n">
        <v>1220</v>
      </c>
      <c r="BX1220" s="48" t="str">
        <f aca="false">IF(U1220&lt;&gt;"",UPPER(TRIM(U1220)),IF(CA1220=1,UPPER(VLOOKUP(T1220,Parameter!$I$27:$K$29,2,0)),IF(P1220="","LOSE",P1220)))</f>
        <v>S41</v>
      </c>
      <c r="BY1220" s="50" t="n">
        <f aca="false">IF(BX1220="LOSE",1,IF(N(V1220)&gt;0,V1220,IF(CA1220=1,MAX(1,N(VLOOKUP(T1220,Parameter!$I$27:$K$29,3,0)),H1220,N(N1220)),IF(N(Q1220)&gt;0,Q1220,MAX(1,H1220)))))</f>
        <v>124</v>
      </c>
      <c r="BZ1220" s="53" t="n">
        <f aca="false">IF(BX1220="LOSE",1,0)</f>
        <v>0</v>
      </c>
      <c r="CA1220" s="53" t="n">
        <f aca="false">IF(AND(U1220="",OR(P1220="",P1220="LOSE"),T1220&lt;&gt;"",N(S1220)&lt;=0,ISNUMBER(MATCH(T1220,Parameter!$I$27:$I$29,0))),1,0)</f>
        <v>0</v>
      </c>
      <c r="CB1220" s="53" t="n">
        <f aca="false">IF(CQ1220&gt;0,INDEX(Parameter!$H$5:$H$7,W1220)/INDEX(Parameter!$E$5:$E$7,W1220),IF(AND(BZ1220=0,N(IFERROR(VLOOKUP(BX1220,'Gebinde-Kategorie'!$A$5:$N$45,14,0),0))&gt;0),VLOOKUP(BX1220,'Gebinde-Kategorie'!$A$5:$N$45,14,0)*10+Parameter!$M$23,Parameter!$M$24))</f>
        <v>155</v>
      </c>
      <c r="CC1220" s="48" t="str">
        <f aca="false">IF(AND(Parameter!$B$19="Ja",E1220&lt;&gt;"",ISNUMBER(MATCH(E1220,Parameter!$I$35:$I$52,0))),VLOOKUP(E1220,Parameter!$I$35:$J$52,2,0),IFERROR(VLOOKUP(D1220,Parameter!$A$35:$C$64,2,0),"Nein"))</f>
        <v>2+3</v>
      </c>
      <c r="CD1220" s="52" t="n">
        <f aca="false">IF(BZ1220=0,0,IF(N(S1220)&gt;0,S1220,IFERROR(VLOOKUP(D1220,Parameter!$A$35:$C$64,3,0)+0,0)))</f>
        <v>0</v>
      </c>
      <c r="CE1220" s="48" t="n">
        <f aca="false">IF(AA1220&lt;&gt;"",AA1220,Z1220)</f>
        <v>3</v>
      </c>
      <c r="CF1220" s="48" t="str">
        <f aca="false">IF(OR(CE1220=1,CE1220=2,CE1220=3),IF(Parameter!$E$27="Ja","LIFT",IF(CE1220=1,"L1","L23")),IF(CE1220="Aussen","Aussen","-"))</f>
        <v>LIFT</v>
      </c>
      <c r="CG1220" s="59" t="n">
        <f aca="false">IF(N(AB1220)&gt;0,AB1220,0)</f>
        <v>0</v>
      </c>
      <c r="CH1220" s="53" t="n">
        <f aca="false">IF(ISNUMBER(AE1220),1,0)</f>
        <v>0</v>
      </c>
      <c r="CI1220" s="50" t="n">
        <f aca="false">N(AE1220)</f>
        <v>0</v>
      </c>
      <c r="CJ1220" s="50" t="n">
        <f aca="false">N(M1220)+N(N1220)</f>
        <v>46</v>
      </c>
      <c r="CK1220" s="50" t="n">
        <f aca="false">N(M1220)</f>
        <v>1</v>
      </c>
      <c r="CL1220" s="50" t="n">
        <f aca="false">N(N1220)</f>
        <v>45</v>
      </c>
      <c r="CM1220" s="50" t="n">
        <f aca="false">ROUNDUP(H1220/BY1220,0)</f>
        <v>1</v>
      </c>
      <c r="CN1220" s="50" t="n">
        <f aca="false">ROUNDUP(CI1220/BY1220,0)</f>
        <v>0</v>
      </c>
      <c r="CO1220" s="53" t="n">
        <f aca="false">IF(BZ1220=1,0,IFERROR(VLOOKUP(BX1220,'Gebinde-Kategorie'!$A$5:$N$45,5,0)+0,0))</f>
        <v>11</v>
      </c>
      <c r="CP1220" s="53" t="n">
        <f aca="false">IFERROR(IF(OR(CE1220=1,CE1220=2,CE1220=3),N(INDEX(Parameter!$I$5:$I$7,CE1220)),0),0)</f>
        <v>0</v>
      </c>
      <c r="CQ1220" s="52" t="n">
        <f aca="false">IF(AND(Parameter!$B$21="Ja",ISNUMBER(W1220),N(X1220)&gt;0),IFERROR(N(INDEX(Parameter!$L$5:$L$7,W1220))*INDEX(Parameter!$E$5:$E$7,W1220)*X1220/SUMIFS($X$7:$X$1843,$W$7:$W$1843,W1220),0),0)</f>
        <v>0</v>
      </c>
    </row>
    <row r="1221" customFormat="false" ht="15" hidden="false" customHeight="false" outlineLevel="0" collapsed="false">
      <c r="A1221" s="48" t="s">
        <v>2197</v>
      </c>
      <c r="B1221" s="48" t="s">
        <v>585</v>
      </c>
      <c r="C1221" s="48" t="s">
        <v>173</v>
      </c>
      <c r="D1221" s="48" t="s">
        <v>182</v>
      </c>
      <c r="E1221" s="48" t="s">
        <v>194</v>
      </c>
      <c r="F1221" s="48" t="s">
        <v>227</v>
      </c>
      <c r="G1221" s="49" t="n">
        <v>800.37</v>
      </c>
      <c r="H1221" s="50" t="n">
        <f aca="false">MAX(0,IF(AND(Parameter!$B$21="Ja",ISNUMBER(Y1221)),Y1221,IF(Parameter!$B$20="Jahresanfang 2025 + Export",BR1221+BQ1221,BQ1221)))</f>
        <v>7</v>
      </c>
      <c r="I1221" s="50" t="n">
        <f aca="false">H1221*G1221</f>
        <v>5602.59</v>
      </c>
      <c r="J1221" s="50" t="n">
        <f aca="false">BT1221*Parameter!$B$18</f>
        <v>8</v>
      </c>
      <c r="K1221" s="51" t="n">
        <v>9.5</v>
      </c>
      <c r="L1221" s="52" t="n">
        <v>0.842105263157895</v>
      </c>
      <c r="M1221" s="50" t="n">
        <v>0</v>
      </c>
      <c r="N1221" s="50" t="n">
        <v>5</v>
      </c>
      <c r="O1221" s="53" t="n">
        <v>28</v>
      </c>
      <c r="P1221" s="48" t="s">
        <v>183</v>
      </c>
      <c r="Q1221" s="50" t="n">
        <v>4.5</v>
      </c>
      <c r="R1221" s="53" t="n">
        <f aca="false">IF(BZ1221=1,0,IFERROR(VLOOKUP(BX1221,'Gebinde-Kategorie'!$A$5:$N$45,13,0)+0,0))</f>
        <v>6</v>
      </c>
      <c r="S1221" s="54"/>
      <c r="T1221" s="55"/>
      <c r="U1221" s="55"/>
      <c r="V1221" s="55"/>
      <c r="W1221" s="48"/>
      <c r="X1221" s="50"/>
      <c r="Y1221" s="50"/>
      <c r="Z1221" s="48" t="n">
        <f aca="false">IF(A1221="","",IF(AND(Parameter!$B$21="Ja",ISNUMBER(W1221)),W1221,IF(CC1221="2+3",IF(ISNUMBER(SEARCH("grosser Artikel",BU1221)),2,IFERROR(VLOOKUP(BX1221,Parameter!$F$35:$G$64,2,0),2)),IF(OR(CC1221="Nein",CC1221=""),"-",CC1221))))</f>
        <v>2</v>
      </c>
      <c r="AA1221" s="55"/>
      <c r="AB1221" s="56"/>
      <c r="AC1221" s="50" t="n">
        <f aca="false">AV1221</f>
        <v>6</v>
      </c>
      <c r="AD1221" s="50" t="n">
        <f aca="false">MAX(AV1221,H1221)</f>
        <v>7</v>
      </c>
      <c r="AE1221" s="57"/>
      <c r="AF1221" s="50" t="n">
        <f aca="false">IF(LEFT(Cockpit!$C$5,1)="A",H1221,IF(Parameter!$E$30="MAX-Bestand",IF(CH1221=1,CI1221,IF(LEFT(Cockpit!$C$5,1)="B",AL1221,MAX(AL1221,H1221))),ROUNDUP(AJ1221,0)))</f>
        <v>7</v>
      </c>
      <c r="AG1221" s="50" t="n">
        <f aca="false">IF(BZ1221=1,0,ROUNDUP(AF1221/BY1221,0))</f>
        <v>2</v>
      </c>
      <c r="AH1221" s="52" t="n">
        <f aca="false">IF(CQ1221&gt;0,CQ1221*MAX(1,AF1221/X1221),IF(BZ1221=1,IF(AF1221&lt;=0,0,CD1221*MAX(1,IF(H1221&gt;0,AF1221/H1221,1))),IF(R1221&gt;0,AG1221/R1221,0))/MAX(0.1,N(Parameter!$M$21)))</f>
        <v>0.333333333333333</v>
      </c>
      <c r="AI1221" s="50" t="n">
        <f aca="false">AH1221*CB1221</f>
        <v>78.3333333333333</v>
      </c>
      <c r="AJ1221" s="51" t="n">
        <f aca="false">IF(LEFT(Cockpit!$C$5,1)="A",H1221,IF(CH1221=1,(CK1221+CI1221)/2,IF(LEFT(Cockpit!$C$5,1)="B",(CK1221+AL1221)/2,MAX((CK1221+AL1221)/2,H1221))))</f>
        <v>7</v>
      </c>
      <c r="AK1221" s="50" t="n">
        <f aca="false">AJ1221*G1221</f>
        <v>5602.59</v>
      </c>
      <c r="AL1221" s="50" t="n">
        <f aca="false">ROUNDUP(CK1221+MAX(CL1221,2*(J1221/IF(CG1221&gt;0,CG1221,MAX(0.1,N(Cockpit!$C$6)))-CK1221)),0)</f>
        <v>6</v>
      </c>
      <c r="AM1221" s="51" t="n">
        <f aca="false">IF(AI1221&gt;0,J1221/AI1221,-1)</f>
        <v>0.102127659574468</v>
      </c>
      <c r="AN1221" s="51" t="n">
        <f aca="false">IF(AND(OR(CF1221="L1",CF1221="L23",CF1221="LIFT"),AI1221&gt;0),SUMIFS($AI$7:$AI$1843,$CF$7:$CF$1843,CF1221,$AM$7:$AM$1843,"&gt;"&amp;AM1221)+SUMIFS($AI$7:$AI$1843,$CF$7:$CF$1843,CF1221,$AM$7:$AM$1843,AM1221,$BW$7:$BW$1843,"&lt;="&amp;BW1221),"")</f>
        <v>15873.5177640156</v>
      </c>
      <c r="AO1221" s="58" t="n">
        <f aca="false">IF(AN1221="",0,MAX(0,MIN(1,(IF(CF1221="L1",Parameter!$H$5,IF(CF1221="L23",Parameter!$H$6+Parameter!$H$7,Parameter!$H$5+Parameter!$H$6+Parameter!$H$7))-(AN1221-AI1221))/AI1221)))</f>
        <v>1</v>
      </c>
      <c r="AP1221" s="50" t="n">
        <f aca="false">IF(LEFT(Cockpit!$I$5,1)="A",H1221,IF(Parameter!$E$30="MAX-Bestand",IF(CH1221=1,CI1221,IF(LEFT(Cockpit!$I$5,1)="B",AV1221,MAX(AV1221,H1221))),ROUNDUP(AT1221,0)))</f>
        <v>7</v>
      </c>
      <c r="AQ1221" s="50" t="n">
        <f aca="false">IF(BZ1221=1,0,ROUNDUP(AP1221/BY1221,0))</f>
        <v>2</v>
      </c>
      <c r="AR1221" s="52" t="n">
        <f aca="false">IF(CQ1221&gt;0,CQ1221*MAX(1,AP1221/X1221),IF(BZ1221=1,IF(AP1221&lt;=0,0,CD1221*MAX(1,IF(H1221&gt;0,AP1221/H1221,1))),IF(R1221&gt;0,AQ1221/R1221,0))/MAX(0.1,N(Parameter!$M$21)))</f>
        <v>0.333333333333333</v>
      </c>
      <c r="AS1221" s="50" t="n">
        <f aca="false">AR1221*CB1221</f>
        <v>78.3333333333333</v>
      </c>
      <c r="AT1221" s="51" t="n">
        <f aca="false">IF(LEFT(Cockpit!$I$5,1)="A",H1221,IF(CH1221=1,(CK1221+CI1221)/2,IF(LEFT(Cockpit!$I$5,1)="B",(CK1221+AV1221)/2,MAX((CK1221+AV1221)/2,H1221))))</f>
        <v>7</v>
      </c>
      <c r="AU1221" s="50" t="n">
        <f aca="false">AT1221*G1221</f>
        <v>5602.59</v>
      </c>
      <c r="AV1221" s="50" t="n">
        <f aca="false">ROUNDUP(CK1221+MAX(CL1221,2*(J1221/IF(CG1221&gt;0,CG1221,MAX(0.1,N(Cockpit!$I$6)))-CK1221)),0)</f>
        <v>6</v>
      </c>
      <c r="AW1221" s="51" t="n">
        <f aca="false">IF(AS1221&gt;0,J1221/AS1221,-1)</f>
        <v>0.102127659574468</v>
      </c>
      <c r="AX1221" s="51" t="n">
        <f aca="false">IF(AND(OR(CF1221="L1",CF1221="L23",CF1221="LIFT"),AS1221&gt;0),SUMIFS($AS$7:$AS$1843,$CF$7:$CF$1843,CF1221,$AW$7:$AW$1843,"&gt;"&amp;AW1221)+SUMIFS($AS$7:$AS$1843,$CF$7:$CF$1843,CF1221,$AW$7:$AW$1843,AW1221,$BW$7:$BW$1843,"&lt;="&amp;BW1221),"")</f>
        <v>20602.9164053931</v>
      </c>
      <c r="AY1221" s="58" t="n">
        <f aca="false">IF(AX1221="",0,MAX(0,MIN(1,(IF(CF1221="L1",Parameter!$H$5,IF(CF1221="L23",Parameter!$H$6+Parameter!$H$7,Parameter!$H$5+Parameter!$H$6+Parameter!$H$7))-(AX1221-AS1221))/AS1221)))</f>
        <v>1</v>
      </c>
      <c r="AZ1221" s="50" t="n">
        <f aca="false">IF(LEFT(Cockpit!$O$5,1)="A",H1221,IF(Parameter!$E$30="MAX-Bestand",IF(CH1221=1,CI1221,IF(LEFT(Cockpit!$O$5,1)="B",BF1221,MAX(BF1221,H1221))),ROUNDUP(BD1221,0)))</f>
        <v>3</v>
      </c>
      <c r="BA1221" s="50" t="n">
        <f aca="false">IF(BZ1221=1,0,ROUNDUP(AZ1221/BY1221,0))</f>
        <v>1</v>
      </c>
      <c r="BB1221" s="52" t="n">
        <f aca="false">IF(CQ1221&gt;0,CQ1221*MAX(1,AZ1221/X1221),IF(BZ1221=1,IF(AZ1221&lt;=0,0,CD1221*MAX(1,IF(H1221&gt;0,AZ1221/H1221,1))),IF(R1221&gt;0,BA1221/R1221,0))/MAX(0.1,N(Parameter!$M$21)))</f>
        <v>0.166666666666667</v>
      </c>
      <c r="BC1221" s="50" t="n">
        <f aca="false">BB1221*CB1221</f>
        <v>39.1666666666667</v>
      </c>
      <c r="BD1221" s="51" t="n">
        <f aca="false">IF(LEFT(Cockpit!$O$5,1)="A",H1221,IF(CH1221=1,(CK1221+CI1221)/2,IF(LEFT(Cockpit!$O$5,1)="B",(CK1221+BF1221)/2,MAX((CK1221+BF1221)/2,H1221))))</f>
        <v>2.5</v>
      </c>
      <c r="BE1221" s="50" t="n">
        <f aca="false">BD1221*G1221</f>
        <v>2000.925</v>
      </c>
      <c r="BF1221" s="50" t="n">
        <f aca="false">ROUNDUP(CK1221+MAX(CL1221,2*(J1221/IF(CG1221&gt;0,CG1221,MAX(0.1,N(Cockpit!$O$6)))-CK1221)),0)</f>
        <v>5</v>
      </c>
      <c r="BG1221" s="51" t="n">
        <f aca="false">IF(BC1221&gt;0,J1221/BC1221,-1)</f>
        <v>0.204255319148936</v>
      </c>
      <c r="BH1221" s="51" t="n">
        <f aca="false">IF(AND(OR(CF1221="L1",CF1221="L23",CF1221="LIFT"),BC1221&gt;0),SUMIFS($BC$7:$BC$1843,$CF$7:$CF$1843,CF1221,$BG$7:$BG$1843,"&gt;"&amp;BG1221)+SUMIFS($BC$7:$BC$1843,$CF$7:$CF$1843,CF1221,$BG$7:$BG$1843,BG1221,$BW$7:$BW$1843,"&lt;="&amp;BW1221),"")</f>
        <v>13186.5795901368</v>
      </c>
      <c r="BI1221" s="58" t="n">
        <f aca="false">IF(BH1221="",0,MAX(0,MIN(1,(IF(CF1221="L1",Parameter!$H$5,IF(CF1221="L23",Parameter!$H$6+Parameter!$H$7,Parameter!$H$5+Parameter!$H$6+Parameter!$H$7))-(BH1221-BC1221))/BC1221)))</f>
        <v>1</v>
      </c>
      <c r="BJ1221" s="48" t="str">
        <f aca="false">IF(AI1221&lt;=0,"",IF(CF1221="Aussen","Aussenlager",IF(CF1221="-","Nicht im Lift",IF(AO1221&gt;=1,"Lift",IF(AO1221&lt;=0,"Aussenlager","teilweise")))))</f>
        <v>Lift</v>
      </c>
      <c r="BK1221" s="48" t="str">
        <f aca="false">IF(AS1221&lt;=0,"",IF(CF1221="Aussen","Aussenlager",IF(CF1221="-","Nicht im Lift",IF(AY1221&gt;=1,"Lift",IF(AY1221&lt;=0,"Aussenlager","teilweise")))))</f>
        <v>Lift</v>
      </c>
      <c r="BL1221" s="48" t="str">
        <f aca="false">IF(BC1221&lt;=0,"",IF(CF1221="Aussen","Aussenlager",IF(CF1221="-","Nicht im Lift",IF(BI1221&gt;=1,"Lift",IF(BI1221&lt;=0,"Aussenlager","teilweise")))))</f>
        <v>Lift</v>
      </c>
      <c r="BM1221" s="48" t="str">
        <f aca="false">IF(A1221="","",IF(BV1221=1,"Neu; ","")&amp;IF(AND(BV1221=0,BQ1221&lt;0),"negativer Bestand (Export "&amp;BQ1221&amp;"); ","")&amp;IF(J1221&lt;=0,"Kein Verbrauch; ","")&amp;IF(CQ1221&gt;0,"Lift "&amp;W1221&amp;" lt. Liftbericht (Fach "&amp;X1221&amp;" Stk); ",IF(CA1221=1,"Gebinde geschätzt ("&amp;T1221&amp;"); ",IF(BZ1221=1,"Lose – Tablare geschätzt; ","")))&amp;IF(H1221&gt;AV1221,"Überbestand "&amp;ROUND(H1221-AV1221,0)&amp;" Stk / CHF "&amp;ROUND((H1221-AV1221)*G1221,0)&amp;"; ","")&amp;IF(AND(CH1221=1,CI1221&lt;CJ1221),"MAX &lt; MB+LG; ","")&amp;IF(AND(CP1221&gt;0,CO1221*10&gt;CP1221),"zu hoch für Tablar; ","")&amp;IF(AND(BV1221=0,OR(CH1221=1,AA1221&lt;&gt;"",U1221&lt;&gt;"",V1221&lt;&gt;"",AB1221&lt;&gt;"")),"manuell übersteuert; ","")&amp;IF(AND(BZ1221=0,R1221=0),"Gebinde unbekannt / Stellmass fehlt; ","")&amp;IF(AND(BZ1221=0,N(V1221)&lt;=0,N(Q1221)&lt;=0),"Menge pro Gebinde fehlt (Ist = 1 Gebinde); ","")&amp;BU1221)</f>
        <v>negativer Bestand (Export -1); Überbestand 1 Stk / CHF 800; nicht im KTL vorhanden</v>
      </c>
      <c r="BN1221" s="48"/>
      <c r="BO1221" s="48"/>
      <c r="BP1221" s="55"/>
      <c r="BQ1221" s="50" t="n">
        <v>-1</v>
      </c>
      <c r="BR1221" s="50" t="n">
        <v>8</v>
      </c>
      <c r="BS1221" s="49" t="n">
        <v>-591.01</v>
      </c>
      <c r="BT1221" s="50" t="n">
        <v>8</v>
      </c>
      <c r="BU1221" s="48" t="s">
        <v>239</v>
      </c>
      <c r="BV1221" s="53" t="n">
        <v>0</v>
      </c>
      <c r="BW1221" s="53" t="n">
        <v>1221</v>
      </c>
      <c r="BX1221" s="48" t="str">
        <f aca="false">IF(U1221&lt;&gt;"",UPPER(TRIM(U1221)),IF(CA1221=1,UPPER(VLOOKUP(T1221,Parameter!$I$27:$K$29,2,0)),IF(P1221="","LOSE",P1221)))</f>
        <v>S71</v>
      </c>
      <c r="BY1221" s="50" t="n">
        <f aca="false">IF(BX1221="LOSE",1,IF(N(V1221)&gt;0,V1221,IF(CA1221=1,MAX(1,N(VLOOKUP(T1221,Parameter!$I$27:$K$29,3,0)),H1221,N(N1221)),IF(N(Q1221)&gt;0,Q1221,MAX(1,H1221)))))</f>
        <v>4.5</v>
      </c>
      <c r="BZ1221" s="53" t="n">
        <f aca="false">IF(BX1221="LOSE",1,0)</f>
        <v>0</v>
      </c>
      <c r="CA1221" s="53" t="n">
        <f aca="false">IF(AND(U1221="",OR(P1221="",P1221="LOSE"),T1221&lt;&gt;"",N(S1221)&lt;=0,ISNUMBER(MATCH(T1221,Parameter!$I$27:$I$29,0))),1,0)</f>
        <v>0</v>
      </c>
      <c r="CB1221" s="53" t="n">
        <f aca="false">IF(CQ1221&gt;0,INDEX(Parameter!$H$5:$H$7,W1221)/INDEX(Parameter!$E$5:$E$7,W1221),IF(AND(BZ1221=0,N(IFERROR(VLOOKUP(BX1221,'Gebinde-Kategorie'!$A$5:$N$45,14,0),0))&gt;0),VLOOKUP(BX1221,'Gebinde-Kategorie'!$A$5:$N$45,14,0)*10+Parameter!$M$23,Parameter!$M$24))</f>
        <v>235</v>
      </c>
      <c r="CC1221" s="48" t="str">
        <f aca="false">IF(AND(Parameter!$B$19="Ja",E1221&lt;&gt;"",ISNUMBER(MATCH(E1221,Parameter!$I$35:$I$52,0))),VLOOKUP(E1221,Parameter!$I$35:$J$52,2,0),IFERROR(VLOOKUP(D1221,Parameter!$A$35:$C$64,2,0),"Nein"))</f>
        <v>2+3</v>
      </c>
      <c r="CD1221" s="52" t="n">
        <f aca="false">IF(BZ1221=0,0,IF(N(S1221)&gt;0,S1221,IFERROR(VLOOKUP(D1221,Parameter!$A$35:$C$64,3,0)+0,0)))</f>
        <v>0</v>
      </c>
      <c r="CE1221" s="48" t="n">
        <f aca="false">IF(AA1221&lt;&gt;"",AA1221,Z1221)</f>
        <v>2</v>
      </c>
      <c r="CF1221" s="48" t="str">
        <f aca="false">IF(OR(CE1221=1,CE1221=2,CE1221=3),IF(Parameter!$E$27="Ja","LIFT",IF(CE1221=1,"L1","L23")),IF(CE1221="Aussen","Aussen","-"))</f>
        <v>LIFT</v>
      </c>
      <c r="CG1221" s="59" t="n">
        <f aca="false">IF(N(AB1221)&gt;0,AB1221,0)</f>
        <v>0</v>
      </c>
      <c r="CH1221" s="53" t="n">
        <f aca="false">IF(ISNUMBER(AE1221),1,0)</f>
        <v>0</v>
      </c>
      <c r="CI1221" s="50" t="n">
        <f aca="false">N(AE1221)</f>
        <v>0</v>
      </c>
      <c r="CJ1221" s="50" t="n">
        <f aca="false">N(M1221)+N(N1221)</f>
        <v>5</v>
      </c>
      <c r="CK1221" s="50" t="n">
        <f aca="false">N(M1221)</f>
        <v>0</v>
      </c>
      <c r="CL1221" s="50" t="n">
        <f aca="false">N(N1221)</f>
        <v>5</v>
      </c>
      <c r="CM1221" s="50" t="n">
        <f aca="false">ROUNDUP(H1221/BY1221,0)</f>
        <v>2</v>
      </c>
      <c r="CN1221" s="50" t="n">
        <f aca="false">ROUNDUP(CI1221/BY1221,0)</f>
        <v>0</v>
      </c>
      <c r="CO1221" s="53" t="n">
        <f aca="false">IF(BZ1221=1,0,IFERROR(VLOOKUP(BX1221,'Gebinde-Kategorie'!$A$5:$N$45,5,0)+0,0))</f>
        <v>20</v>
      </c>
      <c r="CP1221" s="53" t="n">
        <f aca="false">IFERROR(IF(OR(CE1221=1,CE1221=2,CE1221=3),N(INDEX(Parameter!$I$5:$I$7,CE1221)),0),0)</f>
        <v>0</v>
      </c>
      <c r="CQ1221" s="52" t="n">
        <f aca="false">IF(AND(Parameter!$B$21="Ja",ISNUMBER(W1221),N(X1221)&gt;0),IFERROR(N(INDEX(Parameter!$L$5:$L$7,W1221))*INDEX(Parameter!$E$5:$E$7,W1221)*X1221/SUMIFS($X$7:$X$1843,$W$7:$W$1843,W1221),0),0)</f>
        <v>0</v>
      </c>
    </row>
    <row r="1222" customFormat="false" ht="15" hidden="false" customHeight="false" outlineLevel="0" collapsed="false">
      <c r="A1222" s="48" t="s">
        <v>2198</v>
      </c>
      <c r="B1222" s="48" t="s">
        <v>2199</v>
      </c>
      <c r="C1222" s="48" t="s">
        <v>173</v>
      </c>
      <c r="D1222" s="48" t="s">
        <v>193</v>
      </c>
      <c r="E1222" s="48"/>
      <c r="F1222" s="48" t="s">
        <v>227</v>
      </c>
      <c r="G1222" s="49" t="n">
        <v>296.55</v>
      </c>
      <c r="H1222" s="50" t="n">
        <f aca="false">MAX(0,IF(AND(Parameter!$B$21="Ja",ISNUMBER(Y1222)),Y1222,IF(Parameter!$B$20="Jahresanfang 2025 + Export",BR1222+BQ1222,BQ1222)))</f>
        <v>32</v>
      </c>
      <c r="I1222" s="50" t="n">
        <f aca="false">H1222*G1222</f>
        <v>9489.6</v>
      </c>
      <c r="J1222" s="50" t="n">
        <f aca="false">BT1222*Parameter!$B$18</f>
        <v>1</v>
      </c>
      <c r="K1222" s="51" t="n">
        <v>33</v>
      </c>
      <c r="L1222" s="52" t="n">
        <v>0.0303030303030303</v>
      </c>
      <c r="M1222" s="50" t="n">
        <v>0</v>
      </c>
      <c r="N1222" s="50" t="n">
        <v>1</v>
      </c>
      <c r="O1222" s="53" t="n">
        <v>63</v>
      </c>
      <c r="P1222" s="48" t="s">
        <v>235</v>
      </c>
      <c r="Q1222" s="50" t="n">
        <v>35</v>
      </c>
      <c r="R1222" s="53" t="n">
        <f aca="false">IF(BZ1222=1,0,IFERROR(VLOOKUP(BX1222,'Gebinde-Kategorie'!$A$5:$N$45,13,0)+0,0))</f>
        <v>12</v>
      </c>
      <c r="S1222" s="54"/>
      <c r="T1222" s="55"/>
      <c r="U1222" s="55"/>
      <c r="V1222" s="55"/>
      <c r="W1222" s="48"/>
      <c r="X1222" s="50"/>
      <c r="Y1222" s="50"/>
      <c r="Z1222" s="48" t="n">
        <f aca="false">IF(A1222="","",IF(AND(Parameter!$B$21="Ja",ISNUMBER(W1222)),W1222,IF(CC1222="2+3",IF(ISNUMBER(SEARCH("grosser Artikel",BU1222)),2,IFERROR(VLOOKUP(BX1222,Parameter!$F$35:$G$64,2,0),2)),IF(OR(CC1222="Nein",CC1222=""),"-",CC1222))))</f>
        <v>2</v>
      </c>
      <c r="AA1222" s="55"/>
      <c r="AB1222" s="56"/>
      <c r="AC1222" s="50" t="n">
        <f aca="false">AV1222</f>
        <v>1</v>
      </c>
      <c r="AD1222" s="50" t="n">
        <f aca="false">MAX(AV1222,H1222)</f>
        <v>32</v>
      </c>
      <c r="AE1222" s="57"/>
      <c r="AF1222" s="50" t="n">
        <f aca="false">IF(LEFT(Cockpit!$C$5,1)="A",H1222,IF(Parameter!$E$30="MAX-Bestand",IF(CH1222=1,CI1222,IF(LEFT(Cockpit!$C$5,1)="B",AL1222,MAX(AL1222,H1222))),ROUNDUP(AJ1222,0)))</f>
        <v>32</v>
      </c>
      <c r="AG1222" s="50" t="n">
        <f aca="false">IF(BZ1222=1,0,ROUNDUP(AF1222/BY1222,0))</f>
        <v>1</v>
      </c>
      <c r="AH1222" s="52" t="n">
        <f aca="false">IF(CQ1222&gt;0,CQ1222*MAX(1,AF1222/X1222),IF(BZ1222=1,IF(AF1222&lt;=0,0,CD1222*MAX(1,IF(H1222&gt;0,AF1222/H1222,1))),IF(R1222&gt;0,AG1222/R1222,0))/MAX(0.1,N(Parameter!$M$21)))</f>
        <v>0.0833333333333333</v>
      </c>
      <c r="AI1222" s="50" t="n">
        <f aca="false">AH1222*CB1222</f>
        <v>28.75</v>
      </c>
      <c r="AJ1222" s="51" t="n">
        <f aca="false">IF(LEFT(Cockpit!$C$5,1)="A",H1222,IF(CH1222=1,(CK1222+CI1222)/2,IF(LEFT(Cockpit!$C$5,1)="B",(CK1222+AL1222)/2,MAX((CK1222+AL1222)/2,H1222))))</f>
        <v>32</v>
      </c>
      <c r="AK1222" s="50" t="n">
        <f aca="false">AJ1222*G1222</f>
        <v>9489.6</v>
      </c>
      <c r="AL1222" s="50" t="n">
        <f aca="false">ROUNDUP(CK1222+MAX(CL1222,2*(J1222/IF(CG1222&gt;0,CG1222,MAX(0.1,N(Cockpit!$C$6)))-CK1222)),0)</f>
        <v>1</v>
      </c>
      <c r="AM1222" s="51" t="n">
        <f aca="false">IF(AI1222&gt;0,J1222/AI1222,-1)</f>
        <v>0.0347826086956522</v>
      </c>
      <c r="AN1222" s="51" t="n">
        <f aca="false">IF(AND(OR(CF1222="L1",CF1222="L23",CF1222="LIFT"),AI1222&gt;0),SUMIFS($AI$7:$AI$1843,$CF$7:$CF$1843,CF1222,$AM$7:$AM$1843,"&gt;"&amp;AM1222)+SUMIFS($AI$7:$AI$1843,$CF$7:$CF$1843,CF1222,$AM$7:$AM$1843,AM1222,$BW$7:$BW$1843,"&lt;="&amp;BW1222),"")</f>
        <v>19952.3709800087</v>
      </c>
      <c r="AO1222" s="58" t="n">
        <f aca="false">IF(AN1222="",0,MAX(0,MIN(1,(IF(CF1222="L1",Parameter!$H$5,IF(CF1222="L23",Parameter!$H$6+Parameter!$H$7,Parameter!$H$5+Parameter!$H$6+Parameter!$H$7))-(AN1222-AI1222))/AI1222)))</f>
        <v>1</v>
      </c>
      <c r="AP1222" s="50" t="n">
        <f aca="false">IF(LEFT(Cockpit!$I$5,1)="A",H1222,IF(Parameter!$E$30="MAX-Bestand",IF(CH1222=1,CI1222,IF(LEFT(Cockpit!$I$5,1)="B",AV1222,MAX(AV1222,H1222))),ROUNDUP(AT1222,0)))</f>
        <v>32</v>
      </c>
      <c r="AQ1222" s="50" t="n">
        <f aca="false">IF(BZ1222=1,0,ROUNDUP(AP1222/BY1222,0))</f>
        <v>1</v>
      </c>
      <c r="AR1222" s="52" t="n">
        <f aca="false">IF(CQ1222&gt;0,CQ1222*MAX(1,AP1222/X1222),IF(BZ1222=1,IF(AP1222&lt;=0,0,CD1222*MAX(1,IF(H1222&gt;0,AP1222/H1222,1))),IF(R1222&gt;0,AQ1222/R1222,0))/MAX(0.1,N(Parameter!$M$21)))</f>
        <v>0.0833333333333333</v>
      </c>
      <c r="AS1222" s="50" t="n">
        <f aca="false">AR1222*CB1222</f>
        <v>28.75</v>
      </c>
      <c r="AT1222" s="51" t="n">
        <f aca="false">IF(LEFT(Cockpit!$I$5,1)="A",H1222,IF(CH1222=1,(CK1222+CI1222)/2,IF(LEFT(Cockpit!$I$5,1)="B",(CK1222+AV1222)/2,MAX((CK1222+AV1222)/2,H1222))))</f>
        <v>32</v>
      </c>
      <c r="AU1222" s="50" t="n">
        <f aca="false">AT1222*G1222</f>
        <v>9489.6</v>
      </c>
      <c r="AV1222" s="50" t="n">
        <f aca="false">ROUNDUP(CK1222+MAX(CL1222,2*(J1222/IF(CG1222&gt;0,CG1222,MAX(0.1,N(Cockpit!$I$6)))-CK1222)),0)</f>
        <v>1</v>
      </c>
      <c r="AW1222" s="51" t="n">
        <f aca="false">IF(AS1222&gt;0,J1222/AS1222,-1)</f>
        <v>0.0347826086956522</v>
      </c>
      <c r="AX1222" s="51" t="n">
        <f aca="false">IF(AND(OR(CF1222="L1",CF1222="L23",CF1222="LIFT"),AS1222&gt;0),SUMIFS($AS$7:$AS$1843,$CF$7:$CF$1843,CF1222,$AW$7:$AW$1843,"&gt;"&amp;AW1222)+SUMIFS($AS$7:$AS$1843,$CF$7:$CF$1843,CF1222,$AW$7:$AW$1843,AW1222,$BW$7:$BW$1843,"&lt;="&amp;BW1222),"")</f>
        <v>25011.7696213861</v>
      </c>
      <c r="AY1222" s="58" t="n">
        <f aca="false">IF(AX1222="",0,MAX(0,MIN(1,(IF(CF1222="L1",Parameter!$H$5,IF(CF1222="L23",Parameter!$H$6+Parameter!$H$7,Parameter!$H$5+Parameter!$H$6+Parameter!$H$7))-(AX1222-AS1222))/AS1222)))</f>
        <v>1</v>
      </c>
      <c r="AZ1222" s="50" t="n">
        <f aca="false">IF(LEFT(Cockpit!$O$5,1)="A",H1222,IF(Parameter!$E$30="MAX-Bestand",IF(CH1222=1,CI1222,IF(LEFT(Cockpit!$O$5,1)="B",BF1222,MAX(BF1222,H1222))),ROUNDUP(BD1222,0)))</f>
        <v>1</v>
      </c>
      <c r="BA1222" s="50" t="n">
        <f aca="false">IF(BZ1222=1,0,ROUNDUP(AZ1222/BY1222,0))</f>
        <v>1</v>
      </c>
      <c r="BB1222" s="52" t="n">
        <f aca="false">IF(CQ1222&gt;0,CQ1222*MAX(1,AZ1222/X1222),IF(BZ1222=1,IF(AZ1222&lt;=0,0,CD1222*MAX(1,IF(H1222&gt;0,AZ1222/H1222,1))),IF(R1222&gt;0,BA1222/R1222,0))/MAX(0.1,N(Parameter!$M$21)))</f>
        <v>0.0833333333333333</v>
      </c>
      <c r="BC1222" s="50" t="n">
        <f aca="false">BB1222*CB1222</f>
        <v>28.75</v>
      </c>
      <c r="BD1222" s="51" t="n">
        <f aca="false">IF(LEFT(Cockpit!$O$5,1)="A",H1222,IF(CH1222=1,(CK1222+CI1222)/2,IF(LEFT(Cockpit!$O$5,1)="B",(CK1222+BF1222)/2,MAX((CK1222+BF1222)/2,H1222))))</f>
        <v>0.5</v>
      </c>
      <c r="BE1222" s="50" t="n">
        <f aca="false">BD1222*G1222</f>
        <v>148.275</v>
      </c>
      <c r="BF1222" s="50" t="n">
        <f aca="false">ROUNDUP(CK1222+MAX(CL1222,2*(J1222/IF(CG1222&gt;0,CG1222,MAX(0.1,N(Cockpit!$O$6)))-CK1222)),0)</f>
        <v>1</v>
      </c>
      <c r="BG1222" s="51" t="n">
        <f aca="false">IF(BC1222&gt;0,J1222/BC1222,-1)</f>
        <v>0.0347826086956522</v>
      </c>
      <c r="BH1222" s="51" t="n">
        <f aca="false">IF(AND(OR(CF1222="L1",CF1222="L23",CF1222="LIFT"),BC1222&gt;0),SUMIFS($BC$7:$BC$1843,$CF$7:$CF$1843,CF1222,$BG$7:$BG$1843,"&gt;"&amp;BG1222)+SUMIFS($BC$7:$BC$1843,$CF$7:$CF$1843,CF1222,$BG$7:$BG$1843,BG1222,$BW$7:$BW$1843,"&lt;="&amp;BW1222),"")</f>
        <v>20861.6847980174</v>
      </c>
      <c r="BI1222" s="58" t="n">
        <f aca="false">IF(BH1222="",0,MAX(0,MIN(1,(IF(CF1222="L1",Parameter!$H$5,IF(CF1222="L23",Parameter!$H$6+Parameter!$H$7,Parameter!$H$5+Parameter!$H$6+Parameter!$H$7))-(BH1222-BC1222))/BC1222)))</f>
        <v>1</v>
      </c>
      <c r="BJ1222" s="48" t="str">
        <f aca="false">IF(AI1222&lt;=0,"",IF(CF1222="Aussen","Aussenlager",IF(CF1222="-","Nicht im Lift",IF(AO1222&gt;=1,"Lift",IF(AO1222&lt;=0,"Aussenlager","teilweise")))))</f>
        <v>Lift</v>
      </c>
      <c r="BK1222" s="48" t="str">
        <f aca="false">IF(AS1222&lt;=0,"",IF(CF1222="Aussen","Aussenlager",IF(CF1222="-","Nicht im Lift",IF(AY1222&gt;=1,"Lift",IF(AY1222&lt;=0,"Aussenlager","teilweise")))))</f>
        <v>Lift</v>
      </c>
      <c r="BL1222" s="48" t="str">
        <f aca="false">IF(BC1222&lt;=0,"",IF(CF1222="Aussen","Aussenlager",IF(CF1222="-","Nicht im Lift",IF(BI1222&gt;=1,"Lift",IF(BI1222&lt;=0,"Aussenlager","teilweise")))))</f>
        <v>Lift</v>
      </c>
      <c r="BM1222" s="48" t="str">
        <f aca="false">IF(A1222="","",IF(BV1222=1,"Neu; ","")&amp;IF(AND(BV1222=0,BQ1222&lt;0),"negativer Bestand (Export "&amp;BQ1222&amp;"); ","")&amp;IF(J1222&lt;=0,"Kein Verbrauch; ","")&amp;IF(CQ1222&gt;0,"Lift "&amp;W1222&amp;" lt. Liftbericht (Fach "&amp;X1222&amp;" Stk); ",IF(CA1222=1,"Gebinde geschätzt ("&amp;T1222&amp;"); ",IF(BZ1222=1,"Lose – Tablare geschätzt; ","")))&amp;IF(H1222&gt;AV1222,"Überbestand "&amp;ROUND(H1222-AV1222,0)&amp;" Stk / CHF "&amp;ROUND((H1222-AV1222)*G1222,0)&amp;"; ","")&amp;IF(AND(CH1222=1,CI1222&lt;CJ1222),"MAX &lt; MB+LG; ","")&amp;IF(AND(CP1222&gt;0,CO1222*10&gt;CP1222),"zu hoch für Tablar; ","")&amp;IF(AND(BV1222=0,OR(CH1222=1,AA1222&lt;&gt;"",U1222&lt;&gt;"",V1222&lt;&gt;"",AB1222&lt;&gt;"")),"manuell übersteuert; ","")&amp;IF(AND(BZ1222=0,R1222=0),"Gebinde unbekannt / Stellmass fehlt; ","")&amp;IF(AND(BZ1222=0,N(V1222)&lt;=0,N(Q1222)&lt;=0),"Menge pro Gebinde fehlt (Ist = 1 Gebinde); ","")&amp;BU1222)</f>
        <v>negativer Bestand (Export -2); Überbestand 31 Stk / CHF 9193; </v>
      </c>
      <c r="BN1222" s="48"/>
      <c r="BO1222" s="48"/>
      <c r="BP1222" s="55"/>
      <c r="BQ1222" s="50" t="n">
        <v>-2</v>
      </c>
      <c r="BR1222" s="50" t="n">
        <v>34</v>
      </c>
      <c r="BS1222" s="49" t="n">
        <v>-593.1</v>
      </c>
      <c r="BT1222" s="50" t="n">
        <v>1</v>
      </c>
      <c r="BU1222" s="48"/>
      <c r="BV1222" s="53" t="n">
        <v>0</v>
      </c>
      <c r="BW1222" s="53" t="n">
        <v>1222</v>
      </c>
      <c r="BX1222" s="48" t="str">
        <f aca="false">IF(U1222&lt;&gt;"",UPPER(TRIM(U1222)),IF(CA1222=1,UPPER(VLOOKUP(T1222,Parameter!$I$27:$K$29,2,0)),IF(P1222="","LOSE",P1222)))</f>
        <v>S63</v>
      </c>
      <c r="BY1222" s="50" t="n">
        <f aca="false">IF(BX1222="LOSE",1,IF(N(V1222)&gt;0,V1222,IF(CA1222=1,MAX(1,N(VLOOKUP(T1222,Parameter!$I$27:$K$29,3,0)),H1222,N(N1222)),IF(N(Q1222)&gt;0,Q1222,MAX(1,H1222)))))</f>
        <v>35</v>
      </c>
      <c r="BZ1222" s="53" t="n">
        <f aca="false">IF(BX1222="LOSE",1,0)</f>
        <v>0</v>
      </c>
      <c r="CA1222" s="53" t="n">
        <f aca="false">IF(AND(U1222="",OR(P1222="",P1222="LOSE"),T1222&lt;&gt;"",N(S1222)&lt;=0,ISNUMBER(MATCH(T1222,Parameter!$I$27:$I$29,0))),1,0)</f>
        <v>0</v>
      </c>
      <c r="CB1222" s="53" t="n">
        <f aca="false">IF(CQ1222&gt;0,INDEX(Parameter!$H$5:$H$7,W1222)/INDEX(Parameter!$E$5:$E$7,W1222),IF(AND(BZ1222=0,N(IFERROR(VLOOKUP(BX1222,'Gebinde-Kategorie'!$A$5:$N$45,14,0),0))&gt;0),VLOOKUP(BX1222,'Gebinde-Kategorie'!$A$5:$N$45,14,0)*10+Parameter!$M$23,Parameter!$M$24))</f>
        <v>345</v>
      </c>
      <c r="CC1222" s="48" t="str">
        <f aca="false">IF(AND(Parameter!$B$19="Ja",E1222&lt;&gt;"",ISNUMBER(MATCH(E1222,Parameter!$I$35:$I$52,0))),VLOOKUP(E1222,Parameter!$I$35:$J$52,2,0),IFERROR(VLOOKUP(D1222,Parameter!$A$35:$C$64,2,0),"Nein"))</f>
        <v>2+3</v>
      </c>
      <c r="CD1222" s="52" t="n">
        <f aca="false">IF(BZ1222=0,0,IF(N(S1222)&gt;0,S1222,IFERROR(VLOOKUP(D1222,Parameter!$A$35:$C$64,3,0)+0,0)))</f>
        <v>0</v>
      </c>
      <c r="CE1222" s="48" t="n">
        <f aca="false">IF(AA1222&lt;&gt;"",AA1222,Z1222)</f>
        <v>2</v>
      </c>
      <c r="CF1222" s="48" t="str">
        <f aca="false">IF(OR(CE1222=1,CE1222=2,CE1222=3),IF(Parameter!$E$27="Ja","LIFT",IF(CE1222=1,"L1","L23")),IF(CE1222="Aussen","Aussen","-"))</f>
        <v>LIFT</v>
      </c>
      <c r="CG1222" s="59" t="n">
        <f aca="false">IF(N(AB1222)&gt;0,AB1222,0)</f>
        <v>0</v>
      </c>
      <c r="CH1222" s="53" t="n">
        <f aca="false">IF(ISNUMBER(AE1222),1,0)</f>
        <v>0</v>
      </c>
      <c r="CI1222" s="50" t="n">
        <f aca="false">N(AE1222)</f>
        <v>0</v>
      </c>
      <c r="CJ1222" s="50" t="n">
        <f aca="false">N(M1222)+N(N1222)</f>
        <v>1</v>
      </c>
      <c r="CK1222" s="50" t="n">
        <f aca="false">N(M1222)</f>
        <v>0</v>
      </c>
      <c r="CL1222" s="50" t="n">
        <f aca="false">N(N1222)</f>
        <v>1</v>
      </c>
      <c r="CM1222" s="50" t="n">
        <f aca="false">ROUNDUP(H1222/BY1222,0)</f>
        <v>1</v>
      </c>
      <c r="CN1222" s="50" t="n">
        <f aca="false">ROUNDUP(CI1222/BY1222,0)</f>
        <v>0</v>
      </c>
      <c r="CO1222" s="53" t="n">
        <f aca="false">IF(BZ1222=1,0,IFERROR(VLOOKUP(BX1222,'Gebinde-Kategorie'!$A$5:$N$45,5,0)+0,0))</f>
        <v>31</v>
      </c>
      <c r="CP1222" s="53" t="n">
        <f aca="false">IFERROR(IF(OR(CE1222=1,CE1222=2,CE1222=3),N(INDEX(Parameter!$I$5:$I$7,CE1222)),0),0)</f>
        <v>0</v>
      </c>
      <c r="CQ1222" s="52" t="n">
        <f aca="false">IF(AND(Parameter!$B$21="Ja",ISNUMBER(W1222),N(X1222)&gt;0),IFERROR(N(INDEX(Parameter!$L$5:$L$7,W1222))*INDEX(Parameter!$E$5:$E$7,W1222)*X1222/SUMIFS($X$7:$X$1843,$W$7:$W$1843,W1222),0),0)</f>
        <v>0</v>
      </c>
    </row>
    <row r="1223" customFormat="false" ht="15" hidden="false" customHeight="false" outlineLevel="0" collapsed="false">
      <c r="A1223" s="48" t="s">
        <v>2200</v>
      </c>
      <c r="B1223" s="48" t="s">
        <v>618</v>
      </c>
      <c r="C1223" s="48" t="s">
        <v>173</v>
      </c>
      <c r="D1223" s="48" t="s">
        <v>182</v>
      </c>
      <c r="E1223" s="48"/>
      <c r="F1223" s="48" t="s">
        <v>227</v>
      </c>
      <c r="G1223" s="49" t="n">
        <v>35.5</v>
      </c>
      <c r="H1223" s="50" t="n">
        <f aca="false">MAX(0,IF(AND(Parameter!$B$21="Ja",ISNUMBER(Y1223)),Y1223,IF(Parameter!$B$20="Jahresanfang 2025 + Export",BR1223+BQ1223,BQ1223)))</f>
        <v>0</v>
      </c>
      <c r="I1223" s="50" t="n">
        <f aca="false">H1223*G1223</f>
        <v>0</v>
      </c>
      <c r="J1223" s="50" t="n">
        <f aca="false">BT1223*Parameter!$B$18</f>
        <v>0</v>
      </c>
      <c r="K1223" s="51" t="n">
        <v>8.5</v>
      </c>
      <c r="L1223" s="52" t="n">
        <v>0</v>
      </c>
      <c r="M1223" s="50" t="n">
        <v>0</v>
      </c>
      <c r="N1223" s="50" t="n">
        <v>1</v>
      </c>
      <c r="O1223" s="53" t="n">
        <v>42</v>
      </c>
      <c r="P1223" s="48" t="s">
        <v>177</v>
      </c>
      <c r="Q1223" s="50"/>
      <c r="R1223" s="53" t="n">
        <f aca="false">IF(BZ1223=1,0,IFERROR(VLOOKUP(BX1223,'Gebinde-Kategorie'!$A$5:$N$45,13,0)+0,0))</f>
        <v>12</v>
      </c>
      <c r="S1223" s="54"/>
      <c r="T1223" s="55" t="s">
        <v>188</v>
      </c>
      <c r="U1223" s="55"/>
      <c r="V1223" s="55"/>
      <c r="W1223" s="48"/>
      <c r="X1223" s="50"/>
      <c r="Y1223" s="50"/>
      <c r="Z1223" s="48" t="n">
        <f aca="false">IF(A1223="","",IF(AND(Parameter!$B$21="Ja",ISNUMBER(W1223)),W1223,IF(CC1223="2+3",IF(ISNUMBER(SEARCH("grosser Artikel",BU1223)),2,IFERROR(VLOOKUP(BX1223,Parameter!$F$35:$G$64,2,0),2)),IF(OR(CC1223="Nein",CC1223=""),"-",CC1223))))</f>
        <v>2</v>
      </c>
      <c r="AA1223" s="55"/>
      <c r="AB1223" s="56"/>
      <c r="AC1223" s="50" t="n">
        <f aca="false">AV1223</f>
        <v>1</v>
      </c>
      <c r="AD1223" s="50" t="n">
        <f aca="false">MAX(AV1223,H1223)</f>
        <v>1</v>
      </c>
      <c r="AE1223" s="57"/>
      <c r="AF1223" s="50" t="n">
        <f aca="false">IF(LEFT(Cockpit!$C$5,1)="A",H1223,IF(Parameter!$E$30="MAX-Bestand",IF(CH1223=1,CI1223,IF(LEFT(Cockpit!$C$5,1)="B",AL1223,MAX(AL1223,H1223))),ROUNDUP(AJ1223,0)))</f>
        <v>0</v>
      </c>
      <c r="AG1223" s="50" t="n">
        <f aca="false">IF(BZ1223=1,0,ROUNDUP(AF1223/BY1223,0))</f>
        <v>0</v>
      </c>
      <c r="AH1223" s="52" t="n">
        <f aca="false">IF(CQ1223&gt;0,CQ1223*MAX(1,AF1223/X1223),IF(BZ1223=1,IF(AF1223&lt;=0,0,CD1223*MAX(1,IF(H1223&gt;0,AF1223/H1223,1))),IF(R1223&gt;0,AG1223/R1223,0))/MAX(0.1,N(Parameter!$M$21)))</f>
        <v>0</v>
      </c>
      <c r="AI1223" s="50" t="n">
        <f aca="false">AH1223*CB1223</f>
        <v>0</v>
      </c>
      <c r="AJ1223" s="51" t="n">
        <f aca="false">IF(LEFT(Cockpit!$C$5,1)="A",H1223,IF(CH1223=1,(CK1223+CI1223)/2,IF(LEFT(Cockpit!$C$5,1)="B",(CK1223+AL1223)/2,MAX((CK1223+AL1223)/2,H1223))))</f>
        <v>0</v>
      </c>
      <c r="AK1223" s="50" t="n">
        <f aca="false">AJ1223*G1223</f>
        <v>0</v>
      </c>
      <c r="AL1223" s="50" t="n">
        <f aca="false">ROUNDUP(CK1223+MAX(CL1223,2*(J1223/IF(CG1223&gt;0,CG1223,MAX(0.1,N(Cockpit!$C$6)))-CK1223)),0)</f>
        <v>1</v>
      </c>
      <c r="AM1223" s="51" t="n">
        <f aca="false">IF(AI1223&gt;0,J1223/AI1223,-1)</f>
        <v>-1</v>
      </c>
      <c r="AN1223" s="51" t="str">
        <f aca="false">IF(AND(OR(CF1223="L1",CF1223="L23",CF1223="LIFT"),AI1223&gt;0),SUMIFS($AI$7:$AI$1843,$CF$7:$CF$1843,CF1223,$AM$7:$AM$1843,"&gt;"&amp;AM1223)+SUMIFS($AI$7:$AI$1843,$CF$7:$CF$1843,CF1223,$AM$7:$AM$1843,AM1223,$BW$7:$BW$1843,"&lt;="&amp;BW1223),"")</f>
        <v/>
      </c>
      <c r="AO1223" s="58" t="n">
        <f aca="false">IF(AN1223="",0,MAX(0,MIN(1,(IF(CF1223="L1",Parameter!$H$5,IF(CF1223="L23",Parameter!$H$6+Parameter!$H$7,Parameter!$H$5+Parameter!$H$6+Parameter!$H$7))-(AN1223-AI1223))/AI1223)))</f>
        <v>0</v>
      </c>
      <c r="AP1223" s="50" t="n">
        <f aca="false">IF(LEFT(Cockpit!$I$5,1)="A",H1223,IF(Parameter!$E$30="MAX-Bestand",IF(CH1223=1,CI1223,IF(LEFT(Cockpit!$I$5,1)="B",AV1223,MAX(AV1223,H1223))),ROUNDUP(AT1223,0)))</f>
        <v>1</v>
      </c>
      <c r="AQ1223" s="50" t="n">
        <f aca="false">IF(BZ1223=1,0,ROUNDUP(AP1223/BY1223,0))</f>
        <v>1</v>
      </c>
      <c r="AR1223" s="52" t="n">
        <f aca="false">IF(CQ1223&gt;0,CQ1223*MAX(1,AP1223/X1223),IF(BZ1223=1,IF(AP1223&lt;=0,0,CD1223*MAX(1,IF(H1223&gt;0,AP1223/H1223,1))),IF(R1223&gt;0,AQ1223/R1223,0))/MAX(0.1,N(Parameter!$M$21)))</f>
        <v>0.0833333333333333</v>
      </c>
      <c r="AS1223" s="50" t="n">
        <f aca="false">AR1223*CB1223</f>
        <v>12.0833333333333</v>
      </c>
      <c r="AT1223" s="51" t="n">
        <f aca="false">IF(LEFT(Cockpit!$I$5,1)="A",H1223,IF(CH1223=1,(CK1223+CI1223)/2,IF(LEFT(Cockpit!$I$5,1)="B",(CK1223+AV1223)/2,MAX((CK1223+AV1223)/2,H1223))))</f>
        <v>0.5</v>
      </c>
      <c r="AU1223" s="50" t="n">
        <f aca="false">AT1223*G1223</f>
        <v>17.75</v>
      </c>
      <c r="AV1223" s="50" t="n">
        <f aca="false">ROUNDUP(CK1223+MAX(CL1223,2*(J1223/IF(CG1223&gt;0,CG1223,MAX(0.1,N(Cockpit!$I$6)))-CK1223)),0)</f>
        <v>1</v>
      </c>
      <c r="AW1223" s="51" t="n">
        <f aca="false">IF(AS1223&gt;0,J1223/AS1223,-1)</f>
        <v>0</v>
      </c>
      <c r="AX1223" s="51" t="n">
        <f aca="false">IF(AND(OR(CF1223="L1",CF1223="L23",CF1223="LIFT"),AS1223&gt;0),SUMIFS($AS$7:$AS$1843,$CF$7:$CF$1843,CF1223,$AW$7:$AW$1843,"&gt;"&amp;AW1223)+SUMIFS($AS$7:$AS$1843,$CF$7:$CF$1843,CF1223,$AW$7:$AW$1843,AW1223,$BW$7:$BW$1843,"&lt;="&amp;BW1223),"")</f>
        <v>35250.9876373626</v>
      </c>
      <c r="AY1223" s="58" t="n">
        <f aca="false">IF(AX1223="",0,MAX(0,MIN(1,(IF(CF1223="L1",Parameter!$H$5,IF(CF1223="L23",Parameter!$H$6+Parameter!$H$7,Parameter!$H$5+Parameter!$H$6+Parameter!$H$7))-(AX1223-AS1223))/AS1223)))</f>
        <v>1</v>
      </c>
      <c r="AZ1223" s="50" t="n">
        <f aca="false">IF(LEFT(Cockpit!$O$5,1)="A",H1223,IF(Parameter!$E$30="MAX-Bestand",IF(CH1223=1,CI1223,IF(LEFT(Cockpit!$O$5,1)="B",BF1223,MAX(BF1223,H1223))),ROUNDUP(BD1223,0)))</f>
        <v>1</v>
      </c>
      <c r="BA1223" s="50" t="n">
        <f aca="false">IF(BZ1223=1,0,ROUNDUP(AZ1223/BY1223,0))</f>
        <v>1</v>
      </c>
      <c r="BB1223" s="52" t="n">
        <f aca="false">IF(CQ1223&gt;0,CQ1223*MAX(1,AZ1223/X1223),IF(BZ1223=1,IF(AZ1223&lt;=0,0,CD1223*MAX(1,IF(H1223&gt;0,AZ1223/H1223,1))),IF(R1223&gt;0,BA1223/R1223,0))/MAX(0.1,N(Parameter!$M$21)))</f>
        <v>0.0833333333333333</v>
      </c>
      <c r="BC1223" s="50" t="n">
        <f aca="false">BB1223*CB1223</f>
        <v>12.0833333333333</v>
      </c>
      <c r="BD1223" s="51" t="n">
        <f aca="false">IF(LEFT(Cockpit!$O$5,1)="A",H1223,IF(CH1223=1,(CK1223+CI1223)/2,IF(LEFT(Cockpit!$O$5,1)="B",(CK1223+BF1223)/2,MAX((CK1223+BF1223)/2,H1223))))</f>
        <v>0.5</v>
      </c>
      <c r="BE1223" s="50" t="n">
        <f aca="false">BD1223*G1223</f>
        <v>17.75</v>
      </c>
      <c r="BF1223" s="50" t="n">
        <f aca="false">ROUNDUP(CK1223+MAX(CL1223,2*(J1223/IF(CG1223&gt;0,CG1223,MAX(0.1,N(Cockpit!$O$6)))-CK1223)),0)</f>
        <v>1</v>
      </c>
      <c r="BG1223" s="51" t="n">
        <f aca="false">IF(BC1223&gt;0,J1223/BC1223,-1)</f>
        <v>0</v>
      </c>
      <c r="BH1223" s="51" t="n">
        <f aca="false">IF(AND(OR(CF1223="L1",CF1223="L23",CF1223="LIFT"),BC1223&gt;0),SUMIFS($BC$7:$BC$1843,$CF$7:$CF$1843,CF1223,$BG$7:$BG$1843,"&gt;"&amp;BG1223)+SUMIFS($BC$7:$BC$1843,$CF$7:$CF$1843,CF1223,$BG$7:$BG$1843,BG1223,$BW$7:$BW$1843,"&lt;="&amp;BW1223),"")</f>
        <v>29236.2942975104</v>
      </c>
      <c r="BI1223" s="58" t="n">
        <f aca="false">IF(BH1223="",0,MAX(0,MIN(1,(IF(CF1223="L1",Parameter!$H$5,IF(CF1223="L23",Parameter!$H$6+Parameter!$H$7,Parameter!$H$5+Parameter!$H$6+Parameter!$H$7))-(BH1223-BC1223))/BC1223)))</f>
        <v>1</v>
      </c>
      <c r="BJ1223" s="48" t="str">
        <f aca="false">IF(AI1223&lt;=0,"",IF(CF1223="Aussen","Aussenlager",IF(CF1223="-","Nicht im Lift",IF(AO1223&gt;=1,"Lift",IF(AO1223&lt;=0,"Aussenlager","teilweise")))))</f>
        <v/>
      </c>
      <c r="BK1223" s="48" t="str">
        <f aca="false">IF(AS1223&lt;=0,"",IF(CF1223="Aussen","Aussenlager",IF(CF1223="-","Nicht im Lift",IF(AY1223&gt;=1,"Lift",IF(AY1223&lt;=0,"Aussenlager","teilweise")))))</f>
        <v>Lift</v>
      </c>
      <c r="BL1223" s="48" t="str">
        <f aca="false">IF(BC1223&lt;=0,"",IF(CF1223="Aussen","Aussenlager",IF(CF1223="-","Nicht im Lift",IF(BI1223&gt;=1,"Lift",IF(BI1223&lt;=0,"Aussenlager","teilweise")))))</f>
        <v>Lift</v>
      </c>
      <c r="BM1223" s="48" t="str">
        <f aca="false">IF(A1223="","",IF(BV1223=1,"Neu; ","")&amp;IF(AND(BV1223=0,BQ1223&lt;0),"negativer Bestand (Export "&amp;BQ1223&amp;"); ","")&amp;IF(J1223&lt;=0,"Kein Verbrauch; ","")&amp;IF(CQ1223&gt;0,"Lift "&amp;W1223&amp;" lt. Liftbericht (Fach "&amp;X1223&amp;" Stk); ",IF(CA1223=1,"Gebinde geschätzt ("&amp;T1223&amp;"); ",IF(BZ1223=1,"Lose – Tablare geschätzt; ","")))&amp;IF(H1223&gt;AV1223,"Überbestand "&amp;ROUND(H1223-AV1223,0)&amp;" Stk / CHF "&amp;ROUND((H1223-AV1223)*G1223,0)&amp;"; ","")&amp;IF(AND(CH1223=1,CI1223&lt;CJ1223),"MAX &lt; MB+LG; ","")&amp;IF(AND(CP1223&gt;0,CO1223*10&gt;CP1223),"zu hoch für Tablar; ","")&amp;IF(AND(BV1223=0,OR(CH1223=1,AA1223&lt;&gt;"",U1223&lt;&gt;"",V1223&lt;&gt;"",AB1223&lt;&gt;"")),"manuell übersteuert; ","")&amp;IF(AND(BZ1223=0,R1223=0),"Gebinde unbekannt / Stellmass fehlt; ","")&amp;IF(AND(BZ1223=0,N(V1223)&lt;=0,N(Q1223)&lt;=0),"Menge pro Gebinde fehlt (Ist = 1 Gebinde); ","")&amp;BU1223)</f>
        <v>negativer Bestand (Export -17); Kein Verbrauch; Gebinde geschätzt (Mittel); Menge pro Gebinde fehlt (Ist = 1 Gebinde); </v>
      </c>
      <c r="BN1223" s="48"/>
      <c r="BO1223" s="48"/>
      <c r="BP1223" s="55"/>
      <c r="BQ1223" s="50" t="n">
        <v>-17</v>
      </c>
      <c r="BR1223" s="50" t="n">
        <v>17</v>
      </c>
      <c r="BS1223" s="49" t="n">
        <v>-603.5</v>
      </c>
      <c r="BT1223" s="50" t="n">
        <v>0</v>
      </c>
      <c r="BU1223" s="48"/>
      <c r="BV1223" s="53" t="n">
        <v>0</v>
      </c>
      <c r="BW1223" s="53" t="n">
        <v>1223</v>
      </c>
      <c r="BX1223" s="48" t="str">
        <f aca="false">IF(U1223&lt;&gt;"",UPPER(TRIM(U1223)),IF(CA1223=1,UPPER(VLOOKUP(T1223,Parameter!$I$27:$K$29,2,0)),IF(P1223="","LOSE",P1223)))</f>
        <v>S61</v>
      </c>
      <c r="BY1223" s="50" t="n">
        <f aca="false">IF(BX1223="LOSE",1,IF(N(V1223)&gt;0,V1223,IF(CA1223=1,MAX(1,N(VLOOKUP(T1223,Parameter!$I$27:$K$29,3,0)),H1223,N(N1223)),IF(N(Q1223)&gt;0,Q1223,MAX(1,H1223)))))</f>
        <v>4</v>
      </c>
      <c r="BZ1223" s="53" t="n">
        <f aca="false">IF(BX1223="LOSE",1,0)</f>
        <v>0</v>
      </c>
      <c r="CA1223" s="53" t="n">
        <f aca="false">IF(AND(U1223="",OR(P1223="",P1223="LOSE"),T1223&lt;&gt;"",N(S1223)&lt;=0,ISNUMBER(MATCH(T1223,Parameter!$I$27:$I$29,0))),1,0)</f>
        <v>1</v>
      </c>
      <c r="CB1223" s="53" t="n">
        <f aca="false">IF(CQ1223&gt;0,INDEX(Parameter!$H$5:$H$7,W1223)/INDEX(Parameter!$E$5:$E$7,W1223),IF(AND(BZ1223=0,N(IFERROR(VLOOKUP(BX1223,'Gebinde-Kategorie'!$A$5:$N$45,14,0),0))&gt;0),VLOOKUP(BX1223,'Gebinde-Kategorie'!$A$5:$N$45,14,0)*10+Parameter!$M$23,Parameter!$M$24))</f>
        <v>145</v>
      </c>
      <c r="CC1223" s="48" t="str">
        <f aca="false">IF(AND(Parameter!$B$19="Ja",E1223&lt;&gt;"",ISNUMBER(MATCH(E1223,Parameter!$I$35:$I$52,0))),VLOOKUP(E1223,Parameter!$I$35:$J$52,2,0),IFERROR(VLOOKUP(D1223,Parameter!$A$35:$C$64,2,0),"Nein"))</f>
        <v>2+3</v>
      </c>
      <c r="CD1223" s="52" t="n">
        <f aca="false">IF(BZ1223=0,0,IF(N(S1223)&gt;0,S1223,IFERROR(VLOOKUP(D1223,Parameter!$A$35:$C$64,3,0)+0,0)))</f>
        <v>0</v>
      </c>
      <c r="CE1223" s="48" t="n">
        <f aca="false">IF(AA1223&lt;&gt;"",AA1223,Z1223)</f>
        <v>2</v>
      </c>
      <c r="CF1223" s="48" t="str">
        <f aca="false">IF(OR(CE1223=1,CE1223=2,CE1223=3),IF(Parameter!$E$27="Ja","LIFT",IF(CE1223=1,"L1","L23")),IF(CE1223="Aussen","Aussen","-"))</f>
        <v>LIFT</v>
      </c>
      <c r="CG1223" s="59" t="n">
        <f aca="false">IF(N(AB1223)&gt;0,AB1223,0)</f>
        <v>0</v>
      </c>
      <c r="CH1223" s="53" t="n">
        <f aca="false">IF(ISNUMBER(AE1223),1,0)</f>
        <v>0</v>
      </c>
      <c r="CI1223" s="50" t="n">
        <f aca="false">N(AE1223)</f>
        <v>0</v>
      </c>
      <c r="CJ1223" s="50" t="n">
        <f aca="false">N(M1223)+N(N1223)</f>
        <v>1</v>
      </c>
      <c r="CK1223" s="50" t="n">
        <f aca="false">N(M1223)</f>
        <v>0</v>
      </c>
      <c r="CL1223" s="50" t="n">
        <f aca="false">N(N1223)</f>
        <v>1</v>
      </c>
      <c r="CM1223" s="50" t="n">
        <f aca="false">ROUNDUP(H1223/BY1223,0)</f>
        <v>0</v>
      </c>
      <c r="CN1223" s="50" t="n">
        <f aca="false">ROUNDUP(CI1223/BY1223,0)</f>
        <v>0</v>
      </c>
      <c r="CO1223" s="53" t="n">
        <f aca="false">IF(BZ1223=1,0,IFERROR(VLOOKUP(BX1223,'Gebinde-Kategorie'!$A$5:$N$45,5,0)+0,0))</f>
        <v>11</v>
      </c>
      <c r="CP1223" s="53" t="n">
        <f aca="false">IFERROR(IF(OR(CE1223=1,CE1223=2,CE1223=3),N(INDEX(Parameter!$I$5:$I$7,CE1223)),0),0)</f>
        <v>0</v>
      </c>
      <c r="CQ1223" s="52" t="n">
        <f aca="false">IF(AND(Parameter!$B$21="Ja",ISNUMBER(W1223),N(X1223)&gt;0),IFERROR(N(INDEX(Parameter!$L$5:$L$7,W1223))*INDEX(Parameter!$E$5:$E$7,W1223)*X1223/SUMIFS($X$7:$X$1843,$W$7:$W$1843,W1223),0),0)</f>
        <v>0</v>
      </c>
    </row>
    <row r="1224" customFormat="false" ht="15" hidden="false" customHeight="false" outlineLevel="0" collapsed="false">
      <c r="A1224" s="48" t="s">
        <v>2201</v>
      </c>
      <c r="B1224" s="48" t="s">
        <v>356</v>
      </c>
      <c r="C1224" s="48" t="s">
        <v>173</v>
      </c>
      <c r="D1224" s="48" t="s">
        <v>182</v>
      </c>
      <c r="E1224" s="48"/>
      <c r="F1224" s="48" t="s">
        <v>227</v>
      </c>
      <c r="G1224" s="49" t="n">
        <v>75.62</v>
      </c>
      <c r="H1224" s="50" t="n">
        <f aca="false">MAX(0,IF(AND(Parameter!$B$21="Ja",ISNUMBER(Y1224)),Y1224,IF(Parameter!$B$20="Jahresanfang 2025 + Export",BR1224+BQ1224,BQ1224)))</f>
        <v>128</v>
      </c>
      <c r="I1224" s="50" t="n">
        <f aca="false">H1224*G1224</f>
        <v>9679.36</v>
      </c>
      <c r="J1224" s="50" t="n">
        <f aca="false">BT1224*Parameter!$B$18</f>
        <v>3</v>
      </c>
      <c r="K1224" s="51" t="n">
        <v>134.5</v>
      </c>
      <c r="L1224" s="52" t="n">
        <v>0.0223048327137547</v>
      </c>
      <c r="M1224" s="50" t="n">
        <v>0</v>
      </c>
      <c r="N1224" s="50" t="n">
        <v>5</v>
      </c>
      <c r="O1224" s="53" t="n">
        <v>70</v>
      </c>
      <c r="P1224" s="48" t="s">
        <v>183</v>
      </c>
      <c r="Q1224" s="50" t="n">
        <v>10</v>
      </c>
      <c r="R1224" s="53" t="n">
        <f aca="false">IF(BZ1224=1,0,IFERROR(VLOOKUP(BX1224,'Gebinde-Kategorie'!$A$5:$N$45,13,0)+0,0))</f>
        <v>6</v>
      </c>
      <c r="S1224" s="54"/>
      <c r="T1224" s="55"/>
      <c r="U1224" s="55"/>
      <c r="V1224" s="55"/>
      <c r="W1224" s="48"/>
      <c r="X1224" s="50"/>
      <c r="Y1224" s="50"/>
      <c r="Z1224" s="48" t="n">
        <f aca="false">IF(A1224="","",IF(AND(Parameter!$B$21="Ja",ISNUMBER(W1224)),W1224,IF(CC1224="2+3",IF(ISNUMBER(SEARCH("grosser Artikel",BU1224)),2,IFERROR(VLOOKUP(BX1224,Parameter!$F$35:$G$64,2,0),2)),IF(OR(CC1224="Nein",CC1224=""),"-",CC1224))))</f>
        <v>2</v>
      </c>
      <c r="AA1224" s="55"/>
      <c r="AB1224" s="56"/>
      <c r="AC1224" s="50" t="n">
        <f aca="false">AV1224</f>
        <v>5</v>
      </c>
      <c r="AD1224" s="50" t="n">
        <f aca="false">MAX(AV1224,H1224)</f>
        <v>128</v>
      </c>
      <c r="AE1224" s="57"/>
      <c r="AF1224" s="50" t="n">
        <f aca="false">IF(LEFT(Cockpit!$C$5,1)="A",H1224,IF(Parameter!$E$30="MAX-Bestand",IF(CH1224=1,CI1224,IF(LEFT(Cockpit!$C$5,1)="B",AL1224,MAX(AL1224,H1224))),ROUNDUP(AJ1224,0)))</f>
        <v>128</v>
      </c>
      <c r="AG1224" s="50" t="n">
        <f aca="false">IF(BZ1224=1,0,ROUNDUP(AF1224/BY1224,0))</f>
        <v>13</v>
      </c>
      <c r="AH1224" s="52" t="n">
        <f aca="false">IF(CQ1224&gt;0,CQ1224*MAX(1,AF1224/X1224),IF(BZ1224=1,IF(AF1224&lt;=0,0,CD1224*MAX(1,IF(H1224&gt;0,AF1224/H1224,1))),IF(R1224&gt;0,AG1224/R1224,0))/MAX(0.1,N(Parameter!$M$21)))</f>
        <v>2.16666666666667</v>
      </c>
      <c r="AI1224" s="50" t="n">
        <f aca="false">AH1224*CB1224</f>
        <v>509.166666666667</v>
      </c>
      <c r="AJ1224" s="51" t="n">
        <f aca="false">IF(LEFT(Cockpit!$C$5,1)="A",H1224,IF(CH1224=1,(CK1224+CI1224)/2,IF(LEFT(Cockpit!$C$5,1)="B",(CK1224+AL1224)/2,MAX((CK1224+AL1224)/2,H1224))))</f>
        <v>128</v>
      </c>
      <c r="AK1224" s="50" t="n">
        <f aca="false">AJ1224*G1224</f>
        <v>9679.36</v>
      </c>
      <c r="AL1224" s="50" t="n">
        <f aca="false">ROUNDUP(CK1224+MAX(CL1224,2*(J1224/IF(CG1224&gt;0,CG1224,MAX(0.1,N(Cockpit!$C$6)))-CK1224)),0)</f>
        <v>5</v>
      </c>
      <c r="AM1224" s="51" t="n">
        <f aca="false">IF(AI1224&gt;0,J1224/AI1224,-1)</f>
        <v>0.00589198036006547</v>
      </c>
      <c r="AN1224" s="51" t="n">
        <f aca="false">IF(AND(OR(CF1224="L1",CF1224="L23",CF1224="LIFT"),AI1224&gt;0),SUMIFS($AI$7:$AI$1843,$CF$7:$CF$1843,CF1224,$AM$7:$AM$1843,"&gt;"&amp;AM1224)+SUMIFS($AI$7:$AI$1843,$CF$7:$CF$1843,CF1224,$AM$7:$AM$1843,AM1224,$BW$7:$BW$1843,"&lt;="&amp;BW1224),"")</f>
        <v>25077.4980986528</v>
      </c>
      <c r="AO1224" s="58" t="n">
        <f aca="false">IF(AN1224="",0,MAX(0,MIN(1,(IF(CF1224="L1",Parameter!$H$5,IF(CF1224="L23",Parameter!$H$6+Parameter!$H$7,Parameter!$H$5+Parameter!$H$6+Parameter!$H$7))-(AN1224-AI1224))/AI1224)))</f>
        <v>1</v>
      </c>
      <c r="AP1224" s="50" t="n">
        <f aca="false">IF(LEFT(Cockpit!$I$5,1)="A",H1224,IF(Parameter!$E$30="MAX-Bestand",IF(CH1224=1,CI1224,IF(LEFT(Cockpit!$I$5,1)="B",AV1224,MAX(AV1224,H1224))),ROUNDUP(AT1224,0)))</f>
        <v>128</v>
      </c>
      <c r="AQ1224" s="50" t="n">
        <f aca="false">IF(BZ1224=1,0,ROUNDUP(AP1224/BY1224,0))</f>
        <v>13</v>
      </c>
      <c r="AR1224" s="52" t="n">
        <f aca="false">IF(CQ1224&gt;0,CQ1224*MAX(1,AP1224/X1224),IF(BZ1224=1,IF(AP1224&lt;=0,0,CD1224*MAX(1,IF(H1224&gt;0,AP1224/H1224,1))),IF(R1224&gt;0,AQ1224/R1224,0))/MAX(0.1,N(Parameter!$M$21)))</f>
        <v>2.16666666666667</v>
      </c>
      <c r="AS1224" s="50" t="n">
        <f aca="false">AR1224*CB1224</f>
        <v>509.166666666667</v>
      </c>
      <c r="AT1224" s="51" t="n">
        <f aca="false">IF(LEFT(Cockpit!$I$5,1)="A",H1224,IF(CH1224=1,(CK1224+CI1224)/2,IF(LEFT(Cockpit!$I$5,1)="B",(CK1224+AV1224)/2,MAX((CK1224+AV1224)/2,H1224))))</f>
        <v>128</v>
      </c>
      <c r="AU1224" s="50" t="n">
        <f aca="false">AT1224*G1224</f>
        <v>9679.36</v>
      </c>
      <c r="AV1224" s="50" t="n">
        <f aca="false">ROUNDUP(CK1224+MAX(CL1224,2*(J1224/IF(CG1224&gt;0,CG1224,MAX(0.1,N(Cockpit!$I$6)))-CK1224)),0)</f>
        <v>5</v>
      </c>
      <c r="AW1224" s="51" t="n">
        <f aca="false">IF(AS1224&gt;0,J1224/AS1224,-1)</f>
        <v>0.00589198036006547</v>
      </c>
      <c r="AX1224" s="51" t="n">
        <f aca="false">IF(AND(OR(CF1224="L1",CF1224="L23",CF1224="LIFT"),AS1224&gt;0),SUMIFS($AS$7:$AS$1843,$CF$7:$CF$1843,CF1224,$AW$7:$AW$1843,"&gt;"&amp;AW1224)+SUMIFS($AS$7:$AS$1843,$CF$7:$CF$1843,CF1224,$AW$7:$AW$1843,AW1224,$BW$7:$BW$1843,"&lt;="&amp;BW1224),"")</f>
        <v>30430.6467400302</v>
      </c>
      <c r="AY1224" s="58" t="n">
        <f aca="false">IF(AX1224="",0,MAX(0,MIN(1,(IF(CF1224="L1",Parameter!$H$5,IF(CF1224="L23",Parameter!$H$6+Parameter!$H$7,Parameter!$H$5+Parameter!$H$6+Parameter!$H$7))-(AX1224-AS1224))/AS1224)))</f>
        <v>1</v>
      </c>
      <c r="AZ1224" s="50" t="n">
        <f aca="false">IF(LEFT(Cockpit!$O$5,1)="A",H1224,IF(Parameter!$E$30="MAX-Bestand",IF(CH1224=1,CI1224,IF(LEFT(Cockpit!$O$5,1)="B",BF1224,MAX(BF1224,H1224))),ROUNDUP(BD1224,0)))</f>
        <v>3</v>
      </c>
      <c r="BA1224" s="50" t="n">
        <f aca="false">IF(BZ1224=1,0,ROUNDUP(AZ1224/BY1224,0))</f>
        <v>1</v>
      </c>
      <c r="BB1224" s="52" t="n">
        <f aca="false">IF(CQ1224&gt;0,CQ1224*MAX(1,AZ1224/X1224),IF(BZ1224=1,IF(AZ1224&lt;=0,0,CD1224*MAX(1,IF(H1224&gt;0,AZ1224/H1224,1))),IF(R1224&gt;0,BA1224/R1224,0))/MAX(0.1,N(Parameter!$M$21)))</f>
        <v>0.166666666666667</v>
      </c>
      <c r="BC1224" s="50" t="n">
        <f aca="false">BB1224*CB1224</f>
        <v>39.1666666666667</v>
      </c>
      <c r="BD1224" s="51" t="n">
        <f aca="false">IF(LEFT(Cockpit!$O$5,1)="A",H1224,IF(CH1224=1,(CK1224+CI1224)/2,IF(LEFT(Cockpit!$O$5,1)="B",(CK1224+BF1224)/2,MAX((CK1224+BF1224)/2,H1224))))</f>
        <v>2.5</v>
      </c>
      <c r="BE1224" s="50" t="n">
        <f aca="false">BD1224*G1224</f>
        <v>189.05</v>
      </c>
      <c r="BF1224" s="50" t="n">
        <f aca="false">ROUNDUP(CK1224+MAX(CL1224,2*(J1224/IF(CG1224&gt;0,CG1224,MAX(0.1,N(Cockpit!$O$6)))-CK1224)),0)</f>
        <v>5</v>
      </c>
      <c r="BG1224" s="51" t="n">
        <f aca="false">IF(BC1224&gt;0,J1224/BC1224,-1)</f>
        <v>0.0765957446808511</v>
      </c>
      <c r="BH1224" s="51" t="n">
        <f aca="false">IF(AND(OR(CF1224="L1",CF1224="L23",CF1224="LIFT"),BC1224&gt;0),SUMIFS($BC$7:$BC$1843,$CF$7:$CF$1843,CF1224,$BG$7:$BG$1843,"&gt;"&amp;BG1224)+SUMIFS($BC$7:$BC$1843,$CF$7:$CF$1843,CF1224,$BG$7:$BG$1843,BG1224,$BW$7:$BW$1843,"&lt;="&amp;BW1224),"")</f>
        <v>18890.1394554128</v>
      </c>
      <c r="BI1224" s="58" t="n">
        <f aca="false">IF(BH1224="",0,MAX(0,MIN(1,(IF(CF1224="L1",Parameter!$H$5,IF(CF1224="L23",Parameter!$H$6+Parameter!$H$7,Parameter!$H$5+Parameter!$H$6+Parameter!$H$7))-(BH1224-BC1224))/BC1224)))</f>
        <v>1</v>
      </c>
      <c r="BJ1224" s="48" t="str">
        <f aca="false">IF(AI1224&lt;=0,"",IF(CF1224="Aussen","Aussenlager",IF(CF1224="-","Nicht im Lift",IF(AO1224&gt;=1,"Lift",IF(AO1224&lt;=0,"Aussenlager","teilweise")))))</f>
        <v>Lift</v>
      </c>
      <c r="BK1224" s="48" t="str">
        <f aca="false">IF(AS1224&lt;=0,"",IF(CF1224="Aussen","Aussenlager",IF(CF1224="-","Nicht im Lift",IF(AY1224&gt;=1,"Lift",IF(AY1224&lt;=0,"Aussenlager","teilweise")))))</f>
        <v>Lift</v>
      </c>
      <c r="BL1224" s="48" t="str">
        <f aca="false">IF(BC1224&lt;=0,"",IF(CF1224="Aussen","Aussenlager",IF(CF1224="-","Nicht im Lift",IF(BI1224&gt;=1,"Lift",IF(BI1224&lt;=0,"Aussenlager","teilweise")))))</f>
        <v>Lift</v>
      </c>
      <c r="BM1224" s="48" t="str">
        <f aca="false">IF(A1224="","",IF(BV1224=1,"Neu; ","")&amp;IF(AND(BV1224=0,BQ1224&lt;0),"negativer Bestand (Export "&amp;BQ1224&amp;"); ","")&amp;IF(J1224&lt;=0,"Kein Verbrauch; ","")&amp;IF(CQ1224&gt;0,"Lift "&amp;W1224&amp;" lt. Liftbericht (Fach "&amp;X1224&amp;" Stk); ",IF(CA1224=1,"Gebinde geschätzt ("&amp;T1224&amp;"); ",IF(BZ1224=1,"Lose – Tablare geschätzt; ","")))&amp;IF(H1224&gt;AV1224,"Überbestand "&amp;ROUND(H1224-AV1224,0)&amp;" Stk / CHF "&amp;ROUND((H1224-AV1224)*G1224,0)&amp;"; ","")&amp;IF(AND(CH1224=1,CI1224&lt;CJ1224),"MAX &lt; MB+LG; ","")&amp;IF(AND(CP1224&gt;0,CO1224*10&gt;CP1224),"zu hoch für Tablar; ","")&amp;IF(AND(BV1224=0,OR(CH1224=1,AA1224&lt;&gt;"",U1224&lt;&gt;"",V1224&lt;&gt;"",AB1224&lt;&gt;"")),"manuell übersteuert; ","")&amp;IF(AND(BZ1224=0,R1224=0),"Gebinde unbekannt / Stellmass fehlt; ","")&amp;IF(AND(BZ1224=0,N(V1224)&lt;=0,N(Q1224)&lt;=0),"Menge pro Gebinde fehlt (Ist = 1 Gebinde); ","")&amp;BU1224)</f>
        <v>negativer Bestand (Export -8); Überbestand 123 Stk / CHF 9301; Bis auf 10stk?</v>
      </c>
      <c r="BN1224" s="48"/>
      <c r="BO1224" s="48"/>
      <c r="BP1224" s="55"/>
      <c r="BQ1224" s="50" t="n">
        <v>-8</v>
      </c>
      <c r="BR1224" s="50" t="n">
        <v>136</v>
      </c>
      <c r="BS1224" s="49" t="n">
        <v>-604.96</v>
      </c>
      <c r="BT1224" s="50" t="n">
        <v>3</v>
      </c>
      <c r="BU1224" s="48" t="s">
        <v>2202</v>
      </c>
      <c r="BV1224" s="53" t="n">
        <v>0</v>
      </c>
      <c r="BW1224" s="53" t="n">
        <v>1224</v>
      </c>
      <c r="BX1224" s="48" t="str">
        <f aca="false">IF(U1224&lt;&gt;"",UPPER(TRIM(U1224)),IF(CA1224=1,UPPER(VLOOKUP(T1224,Parameter!$I$27:$K$29,2,0)),IF(P1224="","LOSE",P1224)))</f>
        <v>S71</v>
      </c>
      <c r="BY1224" s="50" t="n">
        <f aca="false">IF(BX1224="LOSE",1,IF(N(V1224)&gt;0,V1224,IF(CA1224=1,MAX(1,N(VLOOKUP(T1224,Parameter!$I$27:$K$29,3,0)),H1224,N(N1224)),IF(N(Q1224)&gt;0,Q1224,MAX(1,H1224)))))</f>
        <v>10</v>
      </c>
      <c r="BZ1224" s="53" t="n">
        <f aca="false">IF(BX1224="LOSE",1,0)</f>
        <v>0</v>
      </c>
      <c r="CA1224" s="53" t="n">
        <f aca="false">IF(AND(U1224="",OR(P1224="",P1224="LOSE"),T1224&lt;&gt;"",N(S1224)&lt;=0,ISNUMBER(MATCH(T1224,Parameter!$I$27:$I$29,0))),1,0)</f>
        <v>0</v>
      </c>
      <c r="CB1224" s="53" t="n">
        <f aca="false">IF(CQ1224&gt;0,INDEX(Parameter!$H$5:$H$7,W1224)/INDEX(Parameter!$E$5:$E$7,W1224),IF(AND(BZ1224=0,N(IFERROR(VLOOKUP(BX1224,'Gebinde-Kategorie'!$A$5:$N$45,14,0),0))&gt;0),VLOOKUP(BX1224,'Gebinde-Kategorie'!$A$5:$N$45,14,0)*10+Parameter!$M$23,Parameter!$M$24))</f>
        <v>235</v>
      </c>
      <c r="CC1224" s="48" t="str">
        <f aca="false">IF(AND(Parameter!$B$19="Ja",E1224&lt;&gt;"",ISNUMBER(MATCH(E1224,Parameter!$I$35:$I$52,0))),VLOOKUP(E1224,Parameter!$I$35:$J$52,2,0),IFERROR(VLOOKUP(D1224,Parameter!$A$35:$C$64,2,0),"Nein"))</f>
        <v>2+3</v>
      </c>
      <c r="CD1224" s="52" t="n">
        <f aca="false">IF(BZ1224=0,0,IF(N(S1224)&gt;0,S1224,IFERROR(VLOOKUP(D1224,Parameter!$A$35:$C$64,3,0)+0,0)))</f>
        <v>0</v>
      </c>
      <c r="CE1224" s="48" t="n">
        <f aca="false">IF(AA1224&lt;&gt;"",AA1224,Z1224)</f>
        <v>2</v>
      </c>
      <c r="CF1224" s="48" t="str">
        <f aca="false">IF(OR(CE1224=1,CE1224=2,CE1224=3),IF(Parameter!$E$27="Ja","LIFT",IF(CE1224=1,"L1","L23")),IF(CE1224="Aussen","Aussen","-"))</f>
        <v>LIFT</v>
      </c>
      <c r="CG1224" s="59" t="n">
        <f aca="false">IF(N(AB1224)&gt;0,AB1224,0)</f>
        <v>0</v>
      </c>
      <c r="CH1224" s="53" t="n">
        <f aca="false">IF(ISNUMBER(AE1224),1,0)</f>
        <v>0</v>
      </c>
      <c r="CI1224" s="50" t="n">
        <f aca="false">N(AE1224)</f>
        <v>0</v>
      </c>
      <c r="CJ1224" s="50" t="n">
        <f aca="false">N(M1224)+N(N1224)</f>
        <v>5</v>
      </c>
      <c r="CK1224" s="50" t="n">
        <f aca="false">N(M1224)</f>
        <v>0</v>
      </c>
      <c r="CL1224" s="50" t="n">
        <f aca="false">N(N1224)</f>
        <v>5</v>
      </c>
      <c r="CM1224" s="50" t="n">
        <f aca="false">ROUNDUP(H1224/BY1224,0)</f>
        <v>13</v>
      </c>
      <c r="CN1224" s="50" t="n">
        <f aca="false">ROUNDUP(CI1224/BY1224,0)</f>
        <v>0</v>
      </c>
      <c r="CO1224" s="53" t="n">
        <f aca="false">IF(BZ1224=1,0,IFERROR(VLOOKUP(BX1224,'Gebinde-Kategorie'!$A$5:$N$45,5,0)+0,0))</f>
        <v>20</v>
      </c>
      <c r="CP1224" s="53" t="n">
        <f aca="false">IFERROR(IF(OR(CE1224=1,CE1224=2,CE1224=3),N(INDEX(Parameter!$I$5:$I$7,CE1224)),0),0)</f>
        <v>0</v>
      </c>
      <c r="CQ1224" s="52" t="n">
        <f aca="false">IF(AND(Parameter!$B$21="Ja",ISNUMBER(W1224),N(X1224)&gt;0),IFERROR(N(INDEX(Parameter!$L$5:$L$7,W1224))*INDEX(Parameter!$E$5:$E$7,W1224)*X1224/SUMIFS($X$7:$X$1843,$W$7:$W$1843,W1224),0),0)</f>
        <v>0</v>
      </c>
    </row>
    <row r="1225" customFormat="false" ht="15" hidden="false" customHeight="false" outlineLevel="0" collapsed="false">
      <c r="A1225" s="48" t="s">
        <v>2203</v>
      </c>
      <c r="B1225" s="48" t="s">
        <v>780</v>
      </c>
      <c r="C1225" s="48" t="s">
        <v>173</v>
      </c>
      <c r="D1225" s="48" t="s">
        <v>193</v>
      </c>
      <c r="E1225" s="48"/>
      <c r="F1225" s="48" t="s">
        <v>227</v>
      </c>
      <c r="G1225" s="49" t="n">
        <v>55.29</v>
      </c>
      <c r="H1225" s="50" t="n">
        <f aca="false">MAX(0,IF(AND(Parameter!$B$21="Ja",ISNUMBER(Y1225)),Y1225,IF(Parameter!$B$20="Jahresanfang 2025 + Export",BR1225+BQ1225,BQ1225)))</f>
        <v>16</v>
      </c>
      <c r="I1225" s="50" t="n">
        <f aca="false">H1225*G1225</f>
        <v>884.64</v>
      </c>
      <c r="J1225" s="50" t="n">
        <f aca="false">BT1225*Parameter!$B$18</f>
        <v>6</v>
      </c>
      <c r="K1225" s="51" t="n">
        <v>24</v>
      </c>
      <c r="L1225" s="52" t="n">
        <v>0.25</v>
      </c>
      <c r="M1225" s="50" t="n">
        <v>0</v>
      </c>
      <c r="N1225" s="50" t="n">
        <v>5</v>
      </c>
      <c r="O1225" s="53" t="n">
        <v>14</v>
      </c>
      <c r="P1225" s="48" t="s">
        <v>430</v>
      </c>
      <c r="Q1225" s="50" t="n">
        <v>19</v>
      </c>
      <c r="R1225" s="53" t="n">
        <f aca="false">IF(BZ1225=1,0,IFERROR(VLOOKUP(BX1225,'Gebinde-Kategorie'!$A$5:$N$45,13,0)+0,0))</f>
        <v>104</v>
      </c>
      <c r="S1225" s="54"/>
      <c r="T1225" s="55"/>
      <c r="U1225" s="55"/>
      <c r="V1225" s="55"/>
      <c r="W1225" s="48"/>
      <c r="X1225" s="50"/>
      <c r="Y1225" s="50"/>
      <c r="Z1225" s="48" t="n">
        <f aca="false">IF(A1225="","",IF(AND(Parameter!$B$21="Ja",ISNUMBER(W1225)),W1225,IF(CC1225="2+3",IF(ISNUMBER(SEARCH("grosser Artikel",BU1225)),2,IFERROR(VLOOKUP(BX1225,Parameter!$F$35:$G$64,2,0),2)),IF(OR(CC1225="Nein",CC1225=""),"-",CC1225))))</f>
        <v>3</v>
      </c>
      <c r="AA1225" s="55"/>
      <c r="AB1225" s="56"/>
      <c r="AC1225" s="50" t="n">
        <f aca="false">AV1225</f>
        <v>5</v>
      </c>
      <c r="AD1225" s="50" t="n">
        <f aca="false">MAX(AV1225,H1225)</f>
        <v>16</v>
      </c>
      <c r="AE1225" s="57"/>
      <c r="AF1225" s="50" t="n">
        <f aca="false">IF(LEFT(Cockpit!$C$5,1)="A",H1225,IF(Parameter!$E$30="MAX-Bestand",IF(CH1225=1,CI1225,IF(LEFT(Cockpit!$C$5,1)="B",AL1225,MAX(AL1225,H1225))),ROUNDUP(AJ1225,0)))</f>
        <v>16</v>
      </c>
      <c r="AG1225" s="50" t="n">
        <f aca="false">IF(BZ1225=1,0,ROUNDUP(AF1225/BY1225,0))</f>
        <v>1</v>
      </c>
      <c r="AH1225" s="52" t="n">
        <f aca="false">IF(CQ1225&gt;0,CQ1225*MAX(1,AF1225/X1225),IF(BZ1225=1,IF(AF1225&lt;=0,0,CD1225*MAX(1,IF(H1225&gt;0,AF1225/H1225,1))),IF(R1225&gt;0,AG1225/R1225,0))/MAX(0.1,N(Parameter!$M$21)))</f>
        <v>0.00961538461538462</v>
      </c>
      <c r="AI1225" s="50" t="n">
        <f aca="false">AH1225*CB1225</f>
        <v>1.49038461538462</v>
      </c>
      <c r="AJ1225" s="51" t="n">
        <f aca="false">IF(LEFT(Cockpit!$C$5,1)="A",H1225,IF(CH1225=1,(CK1225+CI1225)/2,IF(LEFT(Cockpit!$C$5,1)="B",(CK1225+AL1225)/2,MAX((CK1225+AL1225)/2,H1225))))</f>
        <v>16</v>
      </c>
      <c r="AK1225" s="50" t="n">
        <f aca="false">AJ1225*G1225</f>
        <v>884.64</v>
      </c>
      <c r="AL1225" s="50" t="n">
        <f aca="false">ROUNDUP(CK1225+MAX(CL1225,2*(J1225/IF(CG1225&gt;0,CG1225,MAX(0.1,N(Cockpit!$C$6)))-CK1225)),0)</f>
        <v>5</v>
      </c>
      <c r="AM1225" s="51" t="n">
        <f aca="false">IF(AI1225&gt;0,J1225/AI1225,-1)</f>
        <v>4.0258064516129</v>
      </c>
      <c r="AN1225" s="51" t="n">
        <f aca="false">IF(AND(OR(CF1225="L1",CF1225="L23",CF1225="LIFT"),AI1225&gt;0),SUMIFS($AI$7:$AI$1843,$CF$7:$CF$1843,CF1225,$AM$7:$AM$1843,"&gt;"&amp;AM1225)+SUMIFS($AI$7:$AI$1843,$CF$7:$CF$1843,CF1225,$AM$7:$AM$1843,AM1225,$BW$7:$BW$1843,"&lt;="&amp;BW1225),"")</f>
        <v>4372.10256410256</v>
      </c>
      <c r="AO1225" s="58" t="n">
        <f aca="false">IF(AN1225="",0,MAX(0,MIN(1,(IF(CF1225="L1",Parameter!$H$5,IF(CF1225="L23",Parameter!$H$6+Parameter!$H$7,Parameter!$H$5+Parameter!$H$6+Parameter!$H$7))-(AN1225-AI1225))/AI1225)))</f>
        <v>1</v>
      </c>
      <c r="AP1225" s="50" t="n">
        <f aca="false">IF(LEFT(Cockpit!$I$5,1)="A",H1225,IF(Parameter!$E$30="MAX-Bestand",IF(CH1225=1,CI1225,IF(LEFT(Cockpit!$I$5,1)="B",AV1225,MAX(AV1225,H1225))),ROUNDUP(AT1225,0)))</f>
        <v>16</v>
      </c>
      <c r="AQ1225" s="50" t="n">
        <f aca="false">IF(BZ1225=1,0,ROUNDUP(AP1225/BY1225,0))</f>
        <v>1</v>
      </c>
      <c r="AR1225" s="52" t="n">
        <f aca="false">IF(CQ1225&gt;0,CQ1225*MAX(1,AP1225/X1225),IF(BZ1225=1,IF(AP1225&lt;=0,0,CD1225*MAX(1,IF(H1225&gt;0,AP1225/H1225,1))),IF(R1225&gt;0,AQ1225/R1225,0))/MAX(0.1,N(Parameter!$M$21)))</f>
        <v>0.00961538461538462</v>
      </c>
      <c r="AS1225" s="50" t="n">
        <f aca="false">AR1225*CB1225</f>
        <v>1.49038461538462</v>
      </c>
      <c r="AT1225" s="51" t="n">
        <f aca="false">IF(LEFT(Cockpit!$I$5,1)="A",H1225,IF(CH1225=1,(CK1225+CI1225)/2,IF(LEFT(Cockpit!$I$5,1)="B",(CK1225+AV1225)/2,MAX((CK1225+AV1225)/2,H1225))))</f>
        <v>16</v>
      </c>
      <c r="AU1225" s="50" t="n">
        <f aca="false">AT1225*G1225</f>
        <v>884.64</v>
      </c>
      <c r="AV1225" s="50" t="n">
        <f aca="false">ROUNDUP(CK1225+MAX(CL1225,2*(J1225/IF(CG1225&gt;0,CG1225,MAX(0.1,N(Cockpit!$I$6)))-CK1225)),0)</f>
        <v>5</v>
      </c>
      <c r="AW1225" s="51" t="n">
        <f aca="false">IF(AS1225&gt;0,J1225/AS1225,-1)</f>
        <v>4.0258064516129</v>
      </c>
      <c r="AX1225" s="51" t="n">
        <f aca="false">IF(AND(OR(CF1225="L1",CF1225="L23",CF1225="LIFT"),AS1225&gt;0),SUMIFS($AS$7:$AS$1843,$CF$7:$CF$1843,CF1225,$AW$7:$AW$1843,"&gt;"&amp;AW1225)+SUMIFS($AS$7:$AS$1843,$CF$7:$CF$1843,CF1225,$AW$7:$AW$1843,AW1225,$BW$7:$BW$1843,"&lt;="&amp;BW1225),"")</f>
        <v>4981.09981684982</v>
      </c>
      <c r="AY1225" s="58" t="n">
        <f aca="false">IF(AX1225="",0,MAX(0,MIN(1,(IF(CF1225="L1",Parameter!$H$5,IF(CF1225="L23",Parameter!$H$6+Parameter!$H$7,Parameter!$H$5+Parameter!$H$6+Parameter!$H$7))-(AX1225-AS1225))/AS1225)))</f>
        <v>1</v>
      </c>
      <c r="AZ1225" s="50" t="n">
        <f aca="false">IF(LEFT(Cockpit!$O$5,1)="A",H1225,IF(Parameter!$E$30="MAX-Bestand",IF(CH1225=1,CI1225,IF(LEFT(Cockpit!$O$5,1)="B",BF1225,MAX(BF1225,H1225))),ROUNDUP(BD1225,0)))</f>
        <v>3</v>
      </c>
      <c r="BA1225" s="50" t="n">
        <f aca="false">IF(BZ1225=1,0,ROUNDUP(AZ1225/BY1225,0))</f>
        <v>1</v>
      </c>
      <c r="BB1225" s="52" t="n">
        <f aca="false">IF(CQ1225&gt;0,CQ1225*MAX(1,AZ1225/X1225),IF(BZ1225=1,IF(AZ1225&lt;=0,0,CD1225*MAX(1,IF(H1225&gt;0,AZ1225/H1225,1))),IF(R1225&gt;0,BA1225/R1225,0))/MAX(0.1,N(Parameter!$M$21)))</f>
        <v>0.00961538461538462</v>
      </c>
      <c r="BC1225" s="50" t="n">
        <f aca="false">BB1225*CB1225</f>
        <v>1.49038461538462</v>
      </c>
      <c r="BD1225" s="51" t="n">
        <f aca="false">IF(LEFT(Cockpit!$O$5,1)="A",H1225,IF(CH1225=1,(CK1225+CI1225)/2,IF(LEFT(Cockpit!$O$5,1)="B",(CK1225+BF1225)/2,MAX((CK1225+BF1225)/2,H1225))))</f>
        <v>2.5</v>
      </c>
      <c r="BE1225" s="50" t="n">
        <f aca="false">BD1225*G1225</f>
        <v>138.225</v>
      </c>
      <c r="BF1225" s="50" t="n">
        <f aca="false">ROUNDUP(CK1225+MAX(CL1225,2*(J1225/IF(CG1225&gt;0,CG1225,MAX(0.1,N(Cockpit!$O$6)))-CK1225)),0)</f>
        <v>5</v>
      </c>
      <c r="BG1225" s="51" t="n">
        <f aca="false">IF(BC1225&gt;0,J1225/BC1225,-1)</f>
        <v>4.0258064516129</v>
      </c>
      <c r="BH1225" s="51" t="n">
        <f aca="false">IF(AND(OR(CF1225="L1",CF1225="L23",CF1225="LIFT"),BC1225&gt;0),SUMIFS($BC$7:$BC$1843,$CF$7:$CF$1843,CF1225,$BG$7:$BG$1843,"&gt;"&amp;BG1225)+SUMIFS($BC$7:$BC$1843,$CF$7:$CF$1843,CF1225,$BG$7:$BG$1843,BG1225,$BW$7:$BW$1843,"&lt;="&amp;BW1225),"")</f>
        <v>4098.67032967033</v>
      </c>
      <c r="BI1225" s="58" t="n">
        <f aca="false">IF(BH1225="",0,MAX(0,MIN(1,(IF(CF1225="L1",Parameter!$H$5,IF(CF1225="L23",Parameter!$H$6+Parameter!$H$7,Parameter!$H$5+Parameter!$H$6+Parameter!$H$7))-(BH1225-BC1225))/BC1225)))</f>
        <v>1</v>
      </c>
      <c r="BJ1225" s="48" t="str">
        <f aca="false">IF(AI1225&lt;=0,"",IF(CF1225="Aussen","Aussenlager",IF(CF1225="-","Nicht im Lift",IF(AO1225&gt;=1,"Lift",IF(AO1225&lt;=0,"Aussenlager","teilweise")))))</f>
        <v>Lift</v>
      </c>
      <c r="BK1225" s="48" t="str">
        <f aca="false">IF(AS1225&lt;=0,"",IF(CF1225="Aussen","Aussenlager",IF(CF1225="-","Nicht im Lift",IF(AY1225&gt;=1,"Lift",IF(AY1225&lt;=0,"Aussenlager","teilweise")))))</f>
        <v>Lift</v>
      </c>
      <c r="BL1225" s="48" t="str">
        <f aca="false">IF(BC1225&lt;=0,"",IF(CF1225="Aussen","Aussenlager",IF(CF1225="-","Nicht im Lift",IF(BI1225&gt;=1,"Lift",IF(BI1225&lt;=0,"Aussenlager","teilweise")))))</f>
        <v>Lift</v>
      </c>
      <c r="BM1225" s="48" t="str">
        <f aca="false">IF(A1225="","",IF(BV1225=1,"Neu; ","")&amp;IF(AND(BV1225=0,BQ1225&lt;0),"negativer Bestand (Export "&amp;BQ1225&amp;"); ","")&amp;IF(J1225&lt;=0,"Kein Verbrauch; ","")&amp;IF(CQ1225&gt;0,"Lift "&amp;W1225&amp;" lt. Liftbericht (Fach "&amp;X1225&amp;" Stk); ",IF(CA1225=1,"Gebinde geschätzt ("&amp;T1225&amp;"); ",IF(BZ1225=1,"Lose – Tablare geschätzt; ","")))&amp;IF(H1225&gt;AV1225,"Überbestand "&amp;ROUND(H1225-AV1225,0)&amp;" Stk / CHF "&amp;ROUND((H1225-AV1225)*G1225,0)&amp;"; ","")&amp;IF(AND(CH1225=1,CI1225&lt;CJ1225),"MAX &lt; MB+LG; ","")&amp;IF(AND(CP1225&gt;0,CO1225*10&gt;CP1225),"zu hoch für Tablar; ","")&amp;IF(AND(BV1225=0,OR(CH1225=1,AA1225&lt;&gt;"",U1225&lt;&gt;"",V1225&lt;&gt;"",AB1225&lt;&gt;"")),"manuell übersteuert; ","")&amp;IF(AND(BZ1225=0,R1225=0),"Gebinde unbekannt / Stellmass fehlt; ","")&amp;IF(AND(BZ1225=0,N(V1225)&lt;=0,N(Q1225)&lt;=0),"Menge pro Gebinde fehlt (Ist = 1 Gebinde); ","")&amp;BU1225)</f>
        <v>negativer Bestand (Export -11); Überbestand 11 Stk / CHF 608; </v>
      </c>
      <c r="BN1225" s="48"/>
      <c r="BO1225" s="48"/>
      <c r="BP1225" s="55"/>
      <c r="BQ1225" s="50" t="n">
        <v>-11</v>
      </c>
      <c r="BR1225" s="50" t="n">
        <v>27</v>
      </c>
      <c r="BS1225" s="49" t="n">
        <v>-608.19</v>
      </c>
      <c r="BT1225" s="50" t="n">
        <v>6</v>
      </c>
      <c r="BU1225" s="48"/>
      <c r="BV1225" s="53" t="n">
        <v>0</v>
      </c>
      <c r="BW1225" s="53" t="n">
        <v>1225</v>
      </c>
      <c r="BX1225" s="48" t="str">
        <f aca="false">IF(U1225&lt;&gt;"",UPPER(TRIM(U1225)),IF(CA1225=1,UPPER(VLOOKUP(T1225,Parameter!$I$27:$K$29,2,0)),IF(P1225="","LOSE",P1225)))</f>
        <v>S32</v>
      </c>
      <c r="BY1225" s="50" t="n">
        <f aca="false">IF(BX1225="LOSE",1,IF(N(V1225)&gt;0,V1225,IF(CA1225=1,MAX(1,N(VLOOKUP(T1225,Parameter!$I$27:$K$29,3,0)),H1225,N(N1225)),IF(N(Q1225)&gt;0,Q1225,MAX(1,H1225)))))</f>
        <v>19</v>
      </c>
      <c r="BZ1225" s="53" t="n">
        <f aca="false">IF(BX1225="LOSE",1,0)</f>
        <v>0</v>
      </c>
      <c r="CA1225" s="53" t="n">
        <f aca="false">IF(AND(U1225="",OR(P1225="",P1225="LOSE"),T1225&lt;&gt;"",N(S1225)&lt;=0,ISNUMBER(MATCH(T1225,Parameter!$I$27:$I$29,0))),1,0)</f>
        <v>0</v>
      </c>
      <c r="CB1225" s="53" t="n">
        <f aca="false">IF(CQ1225&gt;0,INDEX(Parameter!$H$5:$H$7,W1225)/INDEX(Parameter!$E$5:$E$7,W1225),IF(AND(BZ1225=0,N(IFERROR(VLOOKUP(BX1225,'Gebinde-Kategorie'!$A$5:$N$45,14,0),0))&gt;0),VLOOKUP(BX1225,'Gebinde-Kategorie'!$A$5:$N$45,14,0)*10+Parameter!$M$23,Parameter!$M$24))</f>
        <v>155</v>
      </c>
      <c r="CC1225" s="48" t="str">
        <f aca="false">IF(AND(Parameter!$B$19="Ja",E1225&lt;&gt;"",ISNUMBER(MATCH(E1225,Parameter!$I$35:$I$52,0))),VLOOKUP(E1225,Parameter!$I$35:$J$52,2,0),IFERROR(VLOOKUP(D1225,Parameter!$A$35:$C$64,2,0),"Nein"))</f>
        <v>2+3</v>
      </c>
      <c r="CD1225" s="52" t="n">
        <f aca="false">IF(BZ1225=0,0,IF(N(S1225)&gt;0,S1225,IFERROR(VLOOKUP(D1225,Parameter!$A$35:$C$64,3,0)+0,0)))</f>
        <v>0</v>
      </c>
      <c r="CE1225" s="48" t="n">
        <f aca="false">IF(AA1225&lt;&gt;"",AA1225,Z1225)</f>
        <v>3</v>
      </c>
      <c r="CF1225" s="48" t="str">
        <f aca="false">IF(OR(CE1225=1,CE1225=2,CE1225=3),IF(Parameter!$E$27="Ja","LIFT",IF(CE1225=1,"L1","L23")),IF(CE1225="Aussen","Aussen","-"))</f>
        <v>LIFT</v>
      </c>
      <c r="CG1225" s="59" t="n">
        <f aca="false">IF(N(AB1225)&gt;0,AB1225,0)</f>
        <v>0</v>
      </c>
      <c r="CH1225" s="53" t="n">
        <f aca="false">IF(ISNUMBER(AE1225),1,0)</f>
        <v>0</v>
      </c>
      <c r="CI1225" s="50" t="n">
        <f aca="false">N(AE1225)</f>
        <v>0</v>
      </c>
      <c r="CJ1225" s="50" t="n">
        <f aca="false">N(M1225)+N(N1225)</f>
        <v>5</v>
      </c>
      <c r="CK1225" s="50" t="n">
        <f aca="false">N(M1225)</f>
        <v>0</v>
      </c>
      <c r="CL1225" s="50" t="n">
        <f aca="false">N(N1225)</f>
        <v>5</v>
      </c>
      <c r="CM1225" s="50" t="n">
        <f aca="false">ROUNDUP(H1225/BY1225,0)</f>
        <v>1</v>
      </c>
      <c r="CN1225" s="50" t="n">
        <f aca="false">ROUNDUP(CI1225/BY1225,0)</f>
        <v>0</v>
      </c>
      <c r="CO1225" s="53" t="n">
        <f aca="false">IF(BZ1225=1,0,IFERROR(VLOOKUP(BX1225,'Gebinde-Kategorie'!$A$5:$N$45,5,0)+0,0))</f>
        <v>8</v>
      </c>
      <c r="CP1225" s="53" t="n">
        <f aca="false">IFERROR(IF(OR(CE1225=1,CE1225=2,CE1225=3),N(INDEX(Parameter!$I$5:$I$7,CE1225)),0),0)</f>
        <v>0</v>
      </c>
      <c r="CQ1225" s="52" t="n">
        <f aca="false">IF(AND(Parameter!$B$21="Ja",ISNUMBER(W1225),N(X1225)&gt;0),IFERROR(N(INDEX(Parameter!$L$5:$L$7,W1225))*INDEX(Parameter!$E$5:$E$7,W1225)*X1225/SUMIFS($X$7:$X$1843,$W$7:$W$1843,W1225),0),0)</f>
        <v>0</v>
      </c>
    </row>
    <row r="1226" customFormat="false" ht="15" hidden="false" customHeight="false" outlineLevel="0" collapsed="false">
      <c r="A1226" s="48" t="s">
        <v>2204</v>
      </c>
      <c r="B1226" s="48" t="s">
        <v>2205</v>
      </c>
      <c r="C1226" s="48" t="s">
        <v>173</v>
      </c>
      <c r="D1226" s="48" t="s">
        <v>193</v>
      </c>
      <c r="E1226" s="48" t="s">
        <v>194</v>
      </c>
      <c r="F1226" s="48" t="s">
        <v>227</v>
      </c>
      <c r="G1226" s="49" t="n">
        <v>688</v>
      </c>
      <c r="H1226" s="50" t="n">
        <f aca="false">MAX(0,IF(AND(Parameter!$B$21="Ja",ISNUMBER(Y1226)),Y1226,IF(Parameter!$B$20="Jahresanfang 2025 + Export",BR1226+BQ1226,BQ1226)))</f>
        <v>19</v>
      </c>
      <c r="I1226" s="50" t="n">
        <f aca="false">H1226*G1226</f>
        <v>13072</v>
      </c>
      <c r="J1226" s="50" t="n">
        <f aca="false">BT1226*Parameter!$B$18</f>
        <v>69</v>
      </c>
      <c r="K1226" s="51" t="n">
        <v>21</v>
      </c>
      <c r="L1226" s="52" t="n">
        <v>3.28571428571429</v>
      </c>
      <c r="M1226" s="50" t="n">
        <v>10</v>
      </c>
      <c r="N1226" s="50" t="n">
        <v>5</v>
      </c>
      <c r="O1226" s="53" t="n">
        <v>30</v>
      </c>
      <c r="P1226" s="48" t="s">
        <v>311</v>
      </c>
      <c r="Q1226" s="50" t="n">
        <v>11</v>
      </c>
      <c r="R1226" s="53" t="n">
        <f aca="false">IF(BZ1226=1,0,IFERROR(VLOOKUP(BX1226,'Gebinde-Kategorie'!$A$5:$N$45,13,0)+0,0))</f>
        <v>26</v>
      </c>
      <c r="S1226" s="54"/>
      <c r="T1226" s="55"/>
      <c r="U1226" s="55"/>
      <c r="V1226" s="55"/>
      <c r="W1226" s="48"/>
      <c r="X1226" s="50"/>
      <c r="Y1226" s="50"/>
      <c r="Z1226" s="48" t="n">
        <f aca="false">IF(A1226="","",IF(AND(Parameter!$B$21="Ja",ISNUMBER(W1226)),W1226,IF(CC1226="2+3",IF(ISNUMBER(SEARCH("grosser Artikel",BU1226)),2,IFERROR(VLOOKUP(BX1226,Parameter!$F$35:$G$64,2,0),2)),IF(OR(CC1226="Nein",CC1226=""),"-",CC1226))))</f>
        <v>3</v>
      </c>
      <c r="AA1226" s="55"/>
      <c r="AB1226" s="56"/>
      <c r="AC1226" s="50" t="n">
        <f aca="false">AV1226</f>
        <v>36</v>
      </c>
      <c r="AD1226" s="50" t="n">
        <f aca="false">MAX(AV1226,H1226)</f>
        <v>36</v>
      </c>
      <c r="AE1226" s="57"/>
      <c r="AF1226" s="50" t="n">
        <f aca="false">IF(LEFT(Cockpit!$C$5,1)="A",H1226,IF(Parameter!$E$30="MAX-Bestand",IF(CH1226=1,CI1226,IF(LEFT(Cockpit!$C$5,1)="B",AL1226,MAX(AL1226,H1226))),ROUNDUP(AJ1226,0)))</f>
        <v>19</v>
      </c>
      <c r="AG1226" s="50" t="n">
        <f aca="false">IF(BZ1226=1,0,ROUNDUP(AF1226/BY1226,0))</f>
        <v>2</v>
      </c>
      <c r="AH1226" s="52" t="n">
        <f aca="false">IF(CQ1226&gt;0,CQ1226*MAX(1,AF1226/X1226),IF(BZ1226=1,IF(AF1226&lt;=0,0,CD1226*MAX(1,IF(H1226&gt;0,AF1226/H1226,1))),IF(R1226&gt;0,AG1226/R1226,0))/MAX(0.1,N(Parameter!$M$21)))</f>
        <v>0.0769230769230769</v>
      </c>
      <c r="AI1226" s="50" t="n">
        <f aca="false">AH1226*CB1226</f>
        <v>11.9230769230769</v>
      </c>
      <c r="AJ1226" s="51" t="n">
        <f aca="false">IF(LEFT(Cockpit!$C$5,1)="A",H1226,IF(CH1226=1,(CK1226+CI1226)/2,IF(LEFT(Cockpit!$C$5,1)="B",(CK1226+AL1226)/2,MAX((CK1226+AL1226)/2,H1226))))</f>
        <v>19</v>
      </c>
      <c r="AK1226" s="50" t="n">
        <f aca="false">AJ1226*G1226</f>
        <v>13072</v>
      </c>
      <c r="AL1226" s="50" t="n">
        <f aca="false">ROUNDUP(CK1226+MAX(CL1226,2*(J1226/IF(CG1226&gt;0,CG1226,MAX(0.1,N(Cockpit!$C$6)))-CK1226)),0)</f>
        <v>36</v>
      </c>
      <c r="AM1226" s="51" t="n">
        <f aca="false">IF(AI1226&gt;0,J1226/AI1226,-1)</f>
        <v>5.78709677419355</v>
      </c>
      <c r="AN1226" s="51" t="n">
        <f aca="false">IF(AND(OR(CF1226="L1",CF1226="L23",CF1226="LIFT"),AI1226&gt;0),SUMIFS($AI$7:$AI$1843,$CF$7:$CF$1843,CF1226,$AM$7:$AM$1843,"&gt;"&amp;AM1226)+SUMIFS($AI$7:$AI$1843,$CF$7:$CF$1843,CF1226,$AM$7:$AM$1843,AM1226,$BW$7:$BW$1843,"&lt;="&amp;BW1226),"")</f>
        <v>3540.79532967033</v>
      </c>
      <c r="AO1226" s="58" t="n">
        <f aca="false">IF(AN1226="",0,MAX(0,MIN(1,(IF(CF1226="L1",Parameter!$H$5,IF(CF1226="L23",Parameter!$H$6+Parameter!$H$7,Parameter!$H$5+Parameter!$H$6+Parameter!$H$7))-(AN1226-AI1226))/AI1226)))</f>
        <v>1</v>
      </c>
      <c r="AP1226" s="50" t="n">
        <f aca="false">IF(LEFT(Cockpit!$I$5,1)="A",H1226,IF(Parameter!$E$30="MAX-Bestand",IF(CH1226=1,CI1226,IF(LEFT(Cockpit!$I$5,1)="B",AV1226,MAX(AV1226,H1226))),ROUNDUP(AT1226,0)))</f>
        <v>23</v>
      </c>
      <c r="AQ1226" s="50" t="n">
        <f aca="false">IF(BZ1226=1,0,ROUNDUP(AP1226/BY1226,0))</f>
        <v>3</v>
      </c>
      <c r="AR1226" s="52" t="n">
        <f aca="false">IF(CQ1226&gt;0,CQ1226*MAX(1,AP1226/X1226),IF(BZ1226=1,IF(AP1226&lt;=0,0,CD1226*MAX(1,IF(H1226&gt;0,AP1226/H1226,1))),IF(R1226&gt;0,AQ1226/R1226,0))/MAX(0.1,N(Parameter!$M$21)))</f>
        <v>0.115384615384615</v>
      </c>
      <c r="AS1226" s="50" t="n">
        <f aca="false">AR1226*CB1226</f>
        <v>17.8846153846154</v>
      </c>
      <c r="AT1226" s="51" t="n">
        <f aca="false">IF(LEFT(Cockpit!$I$5,1)="A",H1226,IF(CH1226=1,(CK1226+CI1226)/2,IF(LEFT(Cockpit!$I$5,1)="B",(CK1226+AV1226)/2,MAX((CK1226+AV1226)/2,H1226))))</f>
        <v>23</v>
      </c>
      <c r="AU1226" s="50" t="n">
        <f aca="false">AT1226*G1226</f>
        <v>15824</v>
      </c>
      <c r="AV1226" s="50" t="n">
        <f aca="false">ROUNDUP(CK1226+MAX(CL1226,2*(J1226/IF(CG1226&gt;0,CG1226,MAX(0.1,N(Cockpit!$I$6)))-CK1226)),0)</f>
        <v>36</v>
      </c>
      <c r="AW1226" s="51" t="n">
        <f aca="false">IF(AS1226&gt;0,J1226/AS1226,-1)</f>
        <v>3.85806451612903</v>
      </c>
      <c r="AX1226" s="51" t="n">
        <f aca="false">IF(AND(OR(CF1226="L1",CF1226="L23",CF1226="LIFT"),AS1226&gt;0),SUMIFS($AS$7:$AS$1843,$CF$7:$CF$1843,CF1226,$AW$7:$AW$1843,"&gt;"&amp;AW1226)+SUMIFS($AS$7:$AS$1843,$CF$7:$CF$1843,CF1226,$AW$7:$AW$1843,AW1226,$BW$7:$BW$1843,"&lt;="&amp;BW1226),"")</f>
        <v>5179.97802197802</v>
      </c>
      <c r="AY1226" s="58" t="n">
        <f aca="false">IF(AX1226="",0,MAX(0,MIN(1,(IF(CF1226="L1",Parameter!$H$5,IF(CF1226="L23",Parameter!$H$6+Parameter!$H$7,Parameter!$H$5+Parameter!$H$6+Parameter!$H$7))-(AX1226-AS1226))/AS1226)))</f>
        <v>1</v>
      </c>
      <c r="AZ1226" s="50" t="n">
        <f aca="false">IF(LEFT(Cockpit!$O$5,1)="A",H1226,IF(Parameter!$E$30="MAX-Bestand",IF(CH1226=1,CI1226,IF(LEFT(Cockpit!$O$5,1)="B",BF1226,MAX(BF1226,H1226))),ROUNDUP(BD1226,0)))</f>
        <v>18</v>
      </c>
      <c r="BA1226" s="50" t="n">
        <f aca="false">IF(BZ1226=1,0,ROUNDUP(AZ1226/BY1226,0))</f>
        <v>2</v>
      </c>
      <c r="BB1226" s="52" t="n">
        <f aca="false">IF(CQ1226&gt;0,CQ1226*MAX(1,AZ1226/X1226),IF(BZ1226=1,IF(AZ1226&lt;=0,0,CD1226*MAX(1,IF(H1226&gt;0,AZ1226/H1226,1))),IF(R1226&gt;0,BA1226/R1226,0))/MAX(0.1,N(Parameter!$M$21)))</f>
        <v>0.0769230769230769</v>
      </c>
      <c r="BC1226" s="50" t="n">
        <f aca="false">BB1226*CB1226</f>
        <v>11.9230769230769</v>
      </c>
      <c r="BD1226" s="51" t="n">
        <f aca="false">IF(LEFT(Cockpit!$O$5,1)="A",H1226,IF(CH1226=1,(CK1226+CI1226)/2,IF(LEFT(Cockpit!$O$5,1)="B",(CK1226+BF1226)/2,MAX((CK1226+BF1226)/2,H1226))))</f>
        <v>17.5</v>
      </c>
      <c r="BE1226" s="50" t="n">
        <f aca="false">BD1226*G1226</f>
        <v>12040</v>
      </c>
      <c r="BF1226" s="50" t="n">
        <f aca="false">ROUNDUP(CK1226+MAX(CL1226,2*(J1226/IF(CG1226&gt;0,CG1226,MAX(0.1,N(Cockpit!$O$6)))-CK1226)),0)</f>
        <v>25</v>
      </c>
      <c r="BG1226" s="51" t="n">
        <f aca="false">IF(BC1226&gt;0,J1226/BC1226,-1)</f>
        <v>5.78709677419355</v>
      </c>
      <c r="BH1226" s="51" t="n">
        <f aca="false">IF(AND(OR(CF1226="L1",CF1226="L23",CF1226="LIFT"),BC1226&gt;0),SUMIFS($BC$7:$BC$1843,$CF$7:$CF$1843,CF1226,$BG$7:$BG$1843,"&gt;"&amp;BG1226)+SUMIFS($BC$7:$BC$1843,$CF$7:$CF$1843,CF1226,$BG$7:$BG$1843,BG1226,$BW$7:$BW$1843,"&lt;="&amp;BW1226),"")</f>
        <v>3530.53250915751</v>
      </c>
      <c r="BI1226" s="58" t="n">
        <f aca="false">IF(BH1226="",0,MAX(0,MIN(1,(IF(CF1226="L1",Parameter!$H$5,IF(CF1226="L23",Parameter!$H$6+Parameter!$H$7,Parameter!$H$5+Parameter!$H$6+Parameter!$H$7))-(BH1226-BC1226))/BC1226)))</f>
        <v>1</v>
      </c>
      <c r="BJ1226" s="48" t="str">
        <f aca="false">IF(AI1226&lt;=0,"",IF(CF1226="Aussen","Aussenlager",IF(CF1226="-","Nicht im Lift",IF(AO1226&gt;=1,"Lift",IF(AO1226&lt;=0,"Aussenlager","teilweise")))))</f>
        <v>Lift</v>
      </c>
      <c r="BK1226" s="48" t="str">
        <f aca="false">IF(AS1226&lt;=0,"",IF(CF1226="Aussen","Aussenlager",IF(CF1226="-","Nicht im Lift",IF(AY1226&gt;=1,"Lift",IF(AY1226&lt;=0,"Aussenlager","teilweise")))))</f>
        <v>Lift</v>
      </c>
      <c r="BL1226" s="48" t="str">
        <f aca="false">IF(BC1226&lt;=0,"",IF(CF1226="Aussen","Aussenlager",IF(CF1226="-","Nicht im Lift",IF(BI1226&gt;=1,"Lift",IF(BI1226&lt;=0,"Aussenlager","teilweise")))))</f>
        <v>Lift</v>
      </c>
      <c r="BM1226" s="48" t="str">
        <f aca="false">IF(A1226="","",IF(BV1226=1,"Neu; ","")&amp;IF(AND(BV1226=0,BQ1226&lt;0),"negativer Bestand (Export "&amp;BQ1226&amp;"); ","")&amp;IF(J1226&lt;=0,"Kein Verbrauch; ","")&amp;IF(CQ1226&gt;0,"Lift "&amp;W1226&amp;" lt. Liftbericht (Fach "&amp;X1226&amp;" Stk); ",IF(CA1226=1,"Gebinde geschätzt ("&amp;T1226&amp;"); ",IF(BZ1226=1,"Lose – Tablare geschätzt; ","")))&amp;IF(H1226&gt;AV1226,"Überbestand "&amp;ROUND(H1226-AV1226,0)&amp;" Stk / CHF "&amp;ROUND((H1226-AV1226)*G1226,0)&amp;"; ","")&amp;IF(AND(CH1226=1,CI1226&lt;CJ1226),"MAX &lt; MB+LG; ","")&amp;IF(AND(CP1226&gt;0,CO1226*10&gt;CP1226),"zu hoch für Tablar; ","")&amp;IF(AND(BV1226=0,OR(CH1226=1,AA1226&lt;&gt;"",U1226&lt;&gt;"",V1226&lt;&gt;"",AB1226&lt;&gt;"")),"manuell übersteuert; ","")&amp;IF(AND(BZ1226=0,R1226=0),"Gebinde unbekannt / Stellmass fehlt; ","")&amp;IF(AND(BZ1226=0,N(V1226)&lt;=0,N(Q1226)&lt;=0),"Menge pro Gebinde fehlt (Ist = 1 Gebinde); ","")&amp;BU1226)</f>
        <v>negativer Bestand (Export -2); </v>
      </c>
      <c r="BN1226" s="48"/>
      <c r="BO1226" s="48"/>
      <c r="BP1226" s="55"/>
      <c r="BQ1226" s="50" t="n">
        <v>-2</v>
      </c>
      <c r="BR1226" s="50" t="n">
        <v>21</v>
      </c>
      <c r="BS1226" s="49" t="n">
        <v>-619.999999999998</v>
      </c>
      <c r="BT1226" s="50" t="n">
        <v>69</v>
      </c>
      <c r="BU1226" s="48"/>
      <c r="BV1226" s="53" t="n">
        <v>0</v>
      </c>
      <c r="BW1226" s="53" t="n">
        <v>1226</v>
      </c>
      <c r="BX1226" s="48" t="str">
        <f aca="false">IF(U1226&lt;&gt;"",UPPER(TRIM(U1226)),IF(CA1226=1,UPPER(VLOOKUP(T1226,Parameter!$I$27:$K$29,2,0)),IF(P1226="","LOSE",P1226)))</f>
        <v>S51</v>
      </c>
      <c r="BY1226" s="50" t="n">
        <f aca="false">IF(BX1226="LOSE",1,IF(N(V1226)&gt;0,V1226,IF(CA1226=1,MAX(1,N(VLOOKUP(T1226,Parameter!$I$27:$K$29,3,0)),H1226,N(N1226)),IF(N(Q1226)&gt;0,Q1226,MAX(1,H1226)))))</f>
        <v>11</v>
      </c>
      <c r="BZ1226" s="53" t="n">
        <f aca="false">IF(BX1226="LOSE",1,0)</f>
        <v>0</v>
      </c>
      <c r="CA1226" s="53" t="n">
        <f aca="false">IF(AND(U1226="",OR(P1226="",P1226="LOSE"),T1226&lt;&gt;"",N(S1226)&lt;=0,ISNUMBER(MATCH(T1226,Parameter!$I$27:$I$29,0))),1,0)</f>
        <v>0</v>
      </c>
      <c r="CB1226" s="53" t="n">
        <f aca="false">IF(CQ1226&gt;0,INDEX(Parameter!$H$5:$H$7,W1226)/INDEX(Parameter!$E$5:$E$7,W1226),IF(AND(BZ1226=0,N(IFERROR(VLOOKUP(BX1226,'Gebinde-Kategorie'!$A$5:$N$45,14,0),0))&gt;0),VLOOKUP(BX1226,'Gebinde-Kategorie'!$A$5:$N$45,14,0)*10+Parameter!$M$23,Parameter!$M$24))</f>
        <v>155</v>
      </c>
      <c r="CC1226" s="48" t="str">
        <f aca="false">IF(AND(Parameter!$B$19="Ja",E1226&lt;&gt;"",ISNUMBER(MATCH(E1226,Parameter!$I$35:$I$52,0))),VLOOKUP(E1226,Parameter!$I$35:$J$52,2,0),IFERROR(VLOOKUP(D1226,Parameter!$A$35:$C$64,2,0),"Nein"))</f>
        <v>2+3</v>
      </c>
      <c r="CD1226" s="52" t="n">
        <f aca="false">IF(BZ1226=0,0,IF(N(S1226)&gt;0,S1226,IFERROR(VLOOKUP(D1226,Parameter!$A$35:$C$64,3,0)+0,0)))</f>
        <v>0</v>
      </c>
      <c r="CE1226" s="48" t="n">
        <f aca="false">IF(AA1226&lt;&gt;"",AA1226,Z1226)</f>
        <v>3</v>
      </c>
      <c r="CF1226" s="48" t="str">
        <f aca="false">IF(OR(CE1226=1,CE1226=2,CE1226=3),IF(Parameter!$E$27="Ja","LIFT",IF(CE1226=1,"L1","L23")),IF(CE1226="Aussen","Aussen","-"))</f>
        <v>LIFT</v>
      </c>
      <c r="CG1226" s="59" t="n">
        <f aca="false">IF(N(AB1226)&gt;0,AB1226,0)</f>
        <v>0</v>
      </c>
      <c r="CH1226" s="53" t="n">
        <f aca="false">IF(ISNUMBER(AE1226),1,0)</f>
        <v>0</v>
      </c>
      <c r="CI1226" s="50" t="n">
        <f aca="false">N(AE1226)</f>
        <v>0</v>
      </c>
      <c r="CJ1226" s="50" t="n">
        <f aca="false">N(M1226)+N(N1226)</f>
        <v>15</v>
      </c>
      <c r="CK1226" s="50" t="n">
        <f aca="false">N(M1226)</f>
        <v>10</v>
      </c>
      <c r="CL1226" s="50" t="n">
        <f aca="false">N(N1226)</f>
        <v>5</v>
      </c>
      <c r="CM1226" s="50" t="n">
        <f aca="false">ROUNDUP(H1226/BY1226,0)</f>
        <v>2</v>
      </c>
      <c r="CN1226" s="50" t="n">
        <f aca="false">ROUNDUP(CI1226/BY1226,0)</f>
        <v>0</v>
      </c>
      <c r="CO1226" s="53" t="n">
        <f aca="false">IF(BZ1226=1,0,IFERROR(VLOOKUP(BX1226,'Gebinde-Kategorie'!$A$5:$N$45,5,0)+0,0))</f>
        <v>11</v>
      </c>
      <c r="CP1226" s="53" t="n">
        <f aca="false">IFERROR(IF(OR(CE1226=1,CE1226=2,CE1226=3),N(INDEX(Parameter!$I$5:$I$7,CE1226)),0),0)</f>
        <v>0</v>
      </c>
      <c r="CQ1226" s="52" t="n">
        <f aca="false">IF(AND(Parameter!$B$21="Ja",ISNUMBER(W1226),N(X1226)&gt;0),IFERROR(N(INDEX(Parameter!$L$5:$L$7,W1226))*INDEX(Parameter!$E$5:$E$7,W1226)*X1226/SUMIFS($X$7:$X$1843,$W$7:$W$1843,W1226),0),0)</f>
        <v>0</v>
      </c>
    </row>
    <row r="1227" customFormat="false" ht="15" hidden="false" customHeight="false" outlineLevel="0" collapsed="false">
      <c r="A1227" s="48" t="s">
        <v>2206</v>
      </c>
      <c r="B1227" s="48" t="s">
        <v>2207</v>
      </c>
      <c r="C1227" s="48" t="s">
        <v>173</v>
      </c>
      <c r="D1227" s="48" t="s">
        <v>193</v>
      </c>
      <c r="E1227" s="48" t="s">
        <v>194</v>
      </c>
      <c r="F1227" s="48" t="s">
        <v>227</v>
      </c>
      <c r="G1227" s="49" t="n">
        <v>310.56</v>
      </c>
      <c r="H1227" s="50" t="n">
        <f aca="false">MAX(0,IF(AND(Parameter!$B$21="Ja",ISNUMBER(Y1227)),Y1227,IF(Parameter!$B$20="Jahresanfang 2025 + Export",BR1227+BQ1227,BQ1227)))</f>
        <v>8</v>
      </c>
      <c r="I1227" s="50" t="n">
        <f aca="false">H1227*G1227</f>
        <v>2484.48</v>
      </c>
      <c r="J1227" s="50" t="n">
        <f aca="false">BT1227*Parameter!$B$18</f>
        <v>1</v>
      </c>
      <c r="K1227" s="51" t="n">
        <v>9.5</v>
      </c>
      <c r="L1227" s="52" t="n">
        <v>0.105263157894737</v>
      </c>
      <c r="M1227" s="50" t="n">
        <v>0</v>
      </c>
      <c r="N1227" s="50" t="n">
        <v>1</v>
      </c>
      <c r="O1227" s="53" t="n">
        <v>35</v>
      </c>
      <c r="P1227" s="48" t="s">
        <v>242</v>
      </c>
      <c r="Q1227" s="50" t="n">
        <v>12</v>
      </c>
      <c r="R1227" s="53" t="n">
        <f aca="false">IF(BZ1227=1,0,IFERROR(VLOOKUP(BX1227,'Gebinde-Kategorie'!$A$5:$N$45,13,0)+0,0))</f>
        <v>26</v>
      </c>
      <c r="S1227" s="54"/>
      <c r="T1227" s="55"/>
      <c r="U1227" s="55"/>
      <c r="V1227" s="55"/>
      <c r="W1227" s="48"/>
      <c r="X1227" s="50"/>
      <c r="Y1227" s="50"/>
      <c r="Z1227" s="48" t="n">
        <f aca="false">IF(A1227="","",IF(AND(Parameter!$B$21="Ja",ISNUMBER(W1227)),W1227,IF(CC1227="2+3",IF(ISNUMBER(SEARCH("grosser Artikel",BU1227)),2,IFERROR(VLOOKUP(BX1227,Parameter!$F$35:$G$64,2,0),2)),IF(OR(CC1227="Nein",CC1227=""),"-",CC1227))))</f>
        <v>3</v>
      </c>
      <c r="AA1227" s="55"/>
      <c r="AB1227" s="56"/>
      <c r="AC1227" s="50" t="n">
        <f aca="false">AV1227</f>
        <v>1</v>
      </c>
      <c r="AD1227" s="50" t="n">
        <f aca="false">MAX(AV1227,H1227)</f>
        <v>8</v>
      </c>
      <c r="AE1227" s="57"/>
      <c r="AF1227" s="50" t="n">
        <f aca="false">IF(LEFT(Cockpit!$C$5,1)="A",H1227,IF(Parameter!$E$30="MAX-Bestand",IF(CH1227=1,CI1227,IF(LEFT(Cockpit!$C$5,1)="B",AL1227,MAX(AL1227,H1227))),ROUNDUP(AJ1227,0)))</f>
        <v>8</v>
      </c>
      <c r="AG1227" s="50" t="n">
        <f aca="false">IF(BZ1227=1,0,ROUNDUP(AF1227/BY1227,0))</f>
        <v>1</v>
      </c>
      <c r="AH1227" s="52" t="n">
        <f aca="false">IF(CQ1227&gt;0,CQ1227*MAX(1,AF1227/X1227),IF(BZ1227=1,IF(AF1227&lt;=0,0,CD1227*MAX(1,IF(H1227&gt;0,AF1227/H1227,1))),IF(R1227&gt;0,AG1227/R1227,0))/MAX(0.1,N(Parameter!$M$21)))</f>
        <v>0.0384615384615385</v>
      </c>
      <c r="AI1227" s="50" t="n">
        <f aca="false">AH1227*CB1227</f>
        <v>9.42307692307692</v>
      </c>
      <c r="AJ1227" s="51" t="n">
        <f aca="false">IF(LEFT(Cockpit!$C$5,1)="A",H1227,IF(CH1227=1,(CK1227+CI1227)/2,IF(LEFT(Cockpit!$C$5,1)="B",(CK1227+AL1227)/2,MAX((CK1227+AL1227)/2,H1227))))</f>
        <v>8</v>
      </c>
      <c r="AK1227" s="50" t="n">
        <f aca="false">AJ1227*G1227</f>
        <v>2484.48</v>
      </c>
      <c r="AL1227" s="50" t="n">
        <f aca="false">ROUNDUP(CK1227+MAX(CL1227,2*(J1227/IF(CG1227&gt;0,CG1227,MAX(0.1,N(Cockpit!$C$6)))-CK1227)),0)</f>
        <v>1</v>
      </c>
      <c r="AM1227" s="51" t="n">
        <f aca="false">IF(AI1227&gt;0,J1227/AI1227,-1)</f>
        <v>0.106122448979592</v>
      </c>
      <c r="AN1227" s="51" t="n">
        <f aca="false">IF(AND(OR(CF1227="L1",CF1227="L23",CF1227="LIFT"),AI1227&gt;0),SUMIFS($AI$7:$AI$1843,$CF$7:$CF$1843,CF1227,$AM$7:$AM$1843,"&gt;"&amp;AM1227)+SUMIFS($AI$7:$AI$1843,$CF$7:$CF$1843,CF1227,$AM$7:$AM$1843,AM1227,$BW$7:$BW$1843,"&lt;="&amp;BW1227),"")</f>
        <v>15323.4989316239</v>
      </c>
      <c r="AO1227" s="58" t="n">
        <f aca="false">IF(AN1227="",0,MAX(0,MIN(1,(IF(CF1227="L1",Parameter!$H$5,IF(CF1227="L23",Parameter!$H$6+Parameter!$H$7,Parameter!$H$5+Parameter!$H$6+Parameter!$H$7))-(AN1227-AI1227))/AI1227)))</f>
        <v>1</v>
      </c>
      <c r="AP1227" s="50" t="n">
        <f aca="false">IF(LEFT(Cockpit!$I$5,1)="A",H1227,IF(Parameter!$E$30="MAX-Bestand",IF(CH1227=1,CI1227,IF(LEFT(Cockpit!$I$5,1)="B",AV1227,MAX(AV1227,H1227))),ROUNDUP(AT1227,0)))</f>
        <v>8</v>
      </c>
      <c r="AQ1227" s="50" t="n">
        <f aca="false">IF(BZ1227=1,0,ROUNDUP(AP1227/BY1227,0))</f>
        <v>1</v>
      </c>
      <c r="AR1227" s="52" t="n">
        <f aca="false">IF(CQ1227&gt;0,CQ1227*MAX(1,AP1227/X1227),IF(BZ1227=1,IF(AP1227&lt;=0,0,CD1227*MAX(1,IF(H1227&gt;0,AP1227/H1227,1))),IF(R1227&gt;0,AQ1227/R1227,0))/MAX(0.1,N(Parameter!$M$21)))</f>
        <v>0.0384615384615385</v>
      </c>
      <c r="AS1227" s="50" t="n">
        <f aca="false">AR1227*CB1227</f>
        <v>9.42307692307692</v>
      </c>
      <c r="AT1227" s="51" t="n">
        <f aca="false">IF(LEFT(Cockpit!$I$5,1)="A",H1227,IF(CH1227=1,(CK1227+CI1227)/2,IF(LEFT(Cockpit!$I$5,1)="B",(CK1227+AV1227)/2,MAX((CK1227+AV1227)/2,H1227))))</f>
        <v>8</v>
      </c>
      <c r="AU1227" s="50" t="n">
        <f aca="false">AT1227*G1227</f>
        <v>2484.48</v>
      </c>
      <c r="AV1227" s="50" t="n">
        <f aca="false">ROUNDUP(CK1227+MAX(CL1227,2*(J1227/IF(CG1227&gt;0,CG1227,MAX(0.1,N(Cockpit!$I$6)))-CK1227)),0)</f>
        <v>1</v>
      </c>
      <c r="AW1227" s="51" t="n">
        <f aca="false">IF(AS1227&gt;0,J1227/AS1227,-1)</f>
        <v>0.106122448979592</v>
      </c>
      <c r="AX1227" s="51" t="n">
        <f aca="false">IF(AND(OR(CF1227="L1",CF1227="L23",CF1227="LIFT"),AS1227&gt;0),SUMIFS($AS$7:$AS$1843,$CF$7:$CF$1843,CF1227,$AW$7:$AW$1843,"&gt;"&amp;AW1227)+SUMIFS($AS$7:$AS$1843,$CF$7:$CF$1843,CF1227,$AW$7:$AW$1843,AW1227,$BW$7:$BW$1843,"&lt;="&amp;BW1227),"")</f>
        <v>19347.8975730014</v>
      </c>
      <c r="AY1227" s="58" t="n">
        <f aca="false">IF(AX1227="",0,MAX(0,MIN(1,(IF(CF1227="L1",Parameter!$H$5,IF(CF1227="L23",Parameter!$H$6+Parameter!$H$7,Parameter!$H$5+Parameter!$H$6+Parameter!$H$7))-(AX1227-AS1227))/AS1227)))</f>
        <v>1</v>
      </c>
      <c r="AZ1227" s="50" t="n">
        <f aca="false">IF(LEFT(Cockpit!$O$5,1)="A",H1227,IF(Parameter!$E$30="MAX-Bestand",IF(CH1227=1,CI1227,IF(LEFT(Cockpit!$O$5,1)="B",BF1227,MAX(BF1227,H1227))),ROUNDUP(BD1227,0)))</f>
        <v>1</v>
      </c>
      <c r="BA1227" s="50" t="n">
        <f aca="false">IF(BZ1227=1,0,ROUNDUP(AZ1227/BY1227,0))</f>
        <v>1</v>
      </c>
      <c r="BB1227" s="52" t="n">
        <f aca="false">IF(CQ1227&gt;0,CQ1227*MAX(1,AZ1227/X1227),IF(BZ1227=1,IF(AZ1227&lt;=0,0,CD1227*MAX(1,IF(H1227&gt;0,AZ1227/H1227,1))),IF(R1227&gt;0,BA1227/R1227,0))/MAX(0.1,N(Parameter!$M$21)))</f>
        <v>0.0384615384615385</v>
      </c>
      <c r="BC1227" s="50" t="n">
        <f aca="false">BB1227*CB1227</f>
        <v>9.42307692307692</v>
      </c>
      <c r="BD1227" s="51" t="n">
        <f aca="false">IF(LEFT(Cockpit!$O$5,1)="A",H1227,IF(CH1227=1,(CK1227+CI1227)/2,IF(LEFT(Cockpit!$O$5,1)="B",(CK1227+BF1227)/2,MAX((CK1227+BF1227)/2,H1227))))</f>
        <v>0.5</v>
      </c>
      <c r="BE1227" s="50" t="n">
        <f aca="false">BD1227*G1227</f>
        <v>155.28</v>
      </c>
      <c r="BF1227" s="50" t="n">
        <f aca="false">ROUNDUP(CK1227+MAX(CL1227,2*(J1227/IF(CG1227&gt;0,CG1227,MAX(0.1,N(Cockpit!$O$6)))-CK1227)),0)</f>
        <v>1</v>
      </c>
      <c r="BG1227" s="51" t="n">
        <f aca="false">IF(BC1227&gt;0,J1227/BC1227,-1)</f>
        <v>0.106122448979592</v>
      </c>
      <c r="BH1227" s="51" t="n">
        <f aca="false">IF(AND(OR(CF1227="L1",CF1227="L23",CF1227="LIFT"),BC1227&gt;0),SUMIFS($BC$7:$BC$1843,$CF$7:$CF$1843,CF1227,$BG$7:$BG$1843,"&gt;"&amp;BG1227)+SUMIFS($BC$7:$BC$1843,$CF$7:$CF$1843,CF1227,$BG$7:$BG$1843,BG1227,$BW$7:$BW$1843,"&lt;="&amp;BW1227),"")</f>
        <v>16948.7101855301</v>
      </c>
      <c r="BI1227" s="58" t="n">
        <f aca="false">IF(BH1227="",0,MAX(0,MIN(1,(IF(CF1227="L1",Parameter!$H$5,IF(CF1227="L23",Parameter!$H$6+Parameter!$H$7,Parameter!$H$5+Parameter!$H$6+Parameter!$H$7))-(BH1227-BC1227))/BC1227)))</f>
        <v>1</v>
      </c>
      <c r="BJ1227" s="48" t="str">
        <f aca="false">IF(AI1227&lt;=0,"",IF(CF1227="Aussen","Aussenlager",IF(CF1227="-","Nicht im Lift",IF(AO1227&gt;=1,"Lift",IF(AO1227&lt;=0,"Aussenlager","teilweise")))))</f>
        <v>Lift</v>
      </c>
      <c r="BK1227" s="48" t="str">
        <f aca="false">IF(AS1227&lt;=0,"",IF(CF1227="Aussen","Aussenlager",IF(CF1227="-","Nicht im Lift",IF(AY1227&gt;=1,"Lift",IF(AY1227&lt;=0,"Aussenlager","teilweise")))))</f>
        <v>Lift</v>
      </c>
      <c r="BL1227" s="48" t="str">
        <f aca="false">IF(BC1227&lt;=0,"",IF(CF1227="Aussen","Aussenlager",IF(CF1227="-","Nicht im Lift",IF(BI1227&gt;=1,"Lift",IF(BI1227&lt;=0,"Aussenlager","teilweise")))))</f>
        <v>Lift</v>
      </c>
      <c r="BM1227" s="48" t="str">
        <f aca="false">IF(A1227="","",IF(BV1227=1,"Neu; ","")&amp;IF(AND(BV1227=0,BQ1227&lt;0),"negativer Bestand (Export "&amp;BQ1227&amp;"); ","")&amp;IF(J1227&lt;=0,"Kein Verbrauch; ","")&amp;IF(CQ1227&gt;0,"Lift "&amp;W1227&amp;" lt. Liftbericht (Fach "&amp;X1227&amp;" Stk); ",IF(CA1227=1,"Gebinde geschätzt ("&amp;T1227&amp;"); ",IF(BZ1227=1,"Lose – Tablare geschätzt; ","")))&amp;IF(H1227&gt;AV1227,"Überbestand "&amp;ROUND(H1227-AV1227,0)&amp;" Stk / CHF "&amp;ROUND((H1227-AV1227)*G1227,0)&amp;"; ","")&amp;IF(AND(CH1227=1,CI1227&lt;CJ1227),"MAX &lt; MB+LG; ","")&amp;IF(AND(CP1227&gt;0,CO1227*10&gt;CP1227),"zu hoch für Tablar; ","")&amp;IF(AND(BV1227=0,OR(CH1227=1,AA1227&lt;&gt;"",U1227&lt;&gt;"",V1227&lt;&gt;"",AB1227&lt;&gt;"")),"manuell übersteuert; ","")&amp;IF(AND(BZ1227=0,R1227=0),"Gebinde unbekannt / Stellmass fehlt; ","")&amp;IF(AND(BZ1227=0,N(V1227)&lt;=0,N(Q1227)&lt;=0),"Menge pro Gebinde fehlt (Ist = 1 Gebinde); ","")&amp;BU1227)</f>
        <v>negativer Bestand (Export -2); Überbestand 7 Stk / CHF 2174; </v>
      </c>
      <c r="BN1227" s="48"/>
      <c r="BO1227" s="48"/>
      <c r="BP1227" s="55"/>
      <c r="BQ1227" s="50" t="n">
        <v>-2</v>
      </c>
      <c r="BR1227" s="50" t="n">
        <v>10</v>
      </c>
      <c r="BS1227" s="49" t="n">
        <v>-621.12</v>
      </c>
      <c r="BT1227" s="50" t="n">
        <v>1</v>
      </c>
      <c r="BU1227" s="48"/>
      <c r="BV1227" s="53" t="n">
        <v>0</v>
      </c>
      <c r="BW1227" s="53" t="n">
        <v>1227</v>
      </c>
      <c r="BX1227" s="48" t="str">
        <f aca="false">IF(U1227&lt;&gt;"",UPPER(TRIM(U1227)),IF(CA1227=1,UPPER(VLOOKUP(T1227,Parameter!$I$27:$K$29,2,0)),IF(P1227="","LOSE",P1227)))</f>
        <v>S52</v>
      </c>
      <c r="BY1227" s="50" t="n">
        <f aca="false">IF(BX1227="LOSE",1,IF(N(V1227)&gt;0,V1227,IF(CA1227=1,MAX(1,N(VLOOKUP(T1227,Parameter!$I$27:$K$29,3,0)),H1227,N(N1227)),IF(N(Q1227)&gt;0,Q1227,MAX(1,H1227)))))</f>
        <v>12</v>
      </c>
      <c r="BZ1227" s="53" t="n">
        <f aca="false">IF(BX1227="LOSE",1,0)</f>
        <v>0</v>
      </c>
      <c r="CA1227" s="53" t="n">
        <f aca="false">IF(AND(U1227="",OR(P1227="",P1227="LOSE"),T1227&lt;&gt;"",N(S1227)&lt;=0,ISNUMBER(MATCH(T1227,Parameter!$I$27:$I$29,0))),1,0)</f>
        <v>0</v>
      </c>
      <c r="CB1227" s="53" t="n">
        <f aca="false">IF(CQ1227&gt;0,INDEX(Parameter!$H$5:$H$7,W1227)/INDEX(Parameter!$E$5:$E$7,W1227),IF(AND(BZ1227=0,N(IFERROR(VLOOKUP(BX1227,'Gebinde-Kategorie'!$A$5:$N$45,14,0),0))&gt;0),VLOOKUP(BX1227,'Gebinde-Kategorie'!$A$5:$N$45,14,0)*10+Parameter!$M$23,Parameter!$M$24))</f>
        <v>245</v>
      </c>
      <c r="CC1227" s="48" t="str">
        <f aca="false">IF(AND(Parameter!$B$19="Ja",E1227&lt;&gt;"",ISNUMBER(MATCH(E1227,Parameter!$I$35:$I$52,0))),VLOOKUP(E1227,Parameter!$I$35:$J$52,2,0),IFERROR(VLOOKUP(D1227,Parameter!$A$35:$C$64,2,0),"Nein"))</f>
        <v>2+3</v>
      </c>
      <c r="CD1227" s="52" t="n">
        <f aca="false">IF(BZ1227=0,0,IF(N(S1227)&gt;0,S1227,IFERROR(VLOOKUP(D1227,Parameter!$A$35:$C$64,3,0)+0,0)))</f>
        <v>0</v>
      </c>
      <c r="CE1227" s="48" t="n">
        <f aca="false">IF(AA1227&lt;&gt;"",AA1227,Z1227)</f>
        <v>3</v>
      </c>
      <c r="CF1227" s="48" t="str">
        <f aca="false">IF(OR(CE1227=1,CE1227=2,CE1227=3),IF(Parameter!$E$27="Ja","LIFT",IF(CE1227=1,"L1","L23")),IF(CE1227="Aussen","Aussen","-"))</f>
        <v>LIFT</v>
      </c>
      <c r="CG1227" s="59" t="n">
        <f aca="false">IF(N(AB1227)&gt;0,AB1227,0)</f>
        <v>0</v>
      </c>
      <c r="CH1227" s="53" t="n">
        <f aca="false">IF(ISNUMBER(AE1227),1,0)</f>
        <v>0</v>
      </c>
      <c r="CI1227" s="50" t="n">
        <f aca="false">N(AE1227)</f>
        <v>0</v>
      </c>
      <c r="CJ1227" s="50" t="n">
        <f aca="false">N(M1227)+N(N1227)</f>
        <v>1</v>
      </c>
      <c r="CK1227" s="50" t="n">
        <f aca="false">N(M1227)</f>
        <v>0</v>
      </c>
      <c r="CL1227" s="50" t="n">
        <f aca="false">N(N1227)</f>
        <v>1</v>
      </c>
      <c r="CM1227" s="50" t="n">
        <f aca="false">ROUNDUP(H1227/BY1227,0)</f>
        <v>1</v>
      </c>
      <c r="CN1227" s="50" t="n">
        <f aca="false">ROUNDUP(CI1227/BY1227,0)</f>
        <v>0</v>
      </c>
      <c r="CO1227" s="53" t="n">
        <f aca="false">IF(BZ1227=1,0,IFERROR(VLOOKUP(BX1227,'Gebinde-Kategorie'!$A$5:$N$45,5,0)+0,0))</f>
        <v>21</v>
      </c>
      <c r="CP1227" s="53" t="n">
        <f aca="false">IFERROR(IF(OR(CE1227=1,CE1227=2,CE1227=3),N(INDEX(Parameter!$I$5:$I$7,CE1227)),0),0)</f>
        <v>0</v>
      </c>
      <c r="CQ1227" s="52" t="n">
        <f aca="false">IF(AND(Parameter!$B$21="Ja",ISNUMBER(W1227),N(X1227)&gt;0),IFERROR(N(INDEX(Parameter!$L$5:$L$7,W1227))*INDEX(Parameter!$E$5:$E$7,W1227)*X1227/SUMIFS($X$7:$X$1843,$W$7:$W$1843,W1227),0),0)</f>
        <v>0</v>
      </c>
    </row>
    <row r="1228" customFormat="false" ht="15" hidden="false" customHeight="false" outlineLevel="0" collapsed="false">
      <c r="A1228" s="48" t="s">
        <v>2208</v>
      </c>
      <c r="B1228" s="48" t="s">
        <v>514</v>
      </c>
      <c r="C1228" s="48" t="s">
        <v>173</v>
      </c>
      <c r="D1228" s="48" t="s">
        <v>193</v>
      </c>
      <c r="E1228" s="48" t="s">
        <v>194</v>
      </c>
      <c r="F1228" s="48" t="s">
        <v>227</v>
      </c>
      <c r="G1228" s="49" t="n">
        <v>24</v>
      </c>
      <c r="H1228" s="50" t="n">
        <f aca="false">MAX(0,IF(AND(Parameter!$B$21="Ja",ISNUMBER(Y1228)),Y1228,IF(Parameter!$B$20="Jahresanfang 2025 + Export",BR1228+BQ1228,BQ1228)))</f>
        <v>28</v>
      </c>
      <c r="I1228" s="50" t="n">
        <f aca="false">H1228*G1228</f>
        <v>672</v>
      </c>
      <c r="J1228" s="50" t="n">
        <f aca="false">BT1228*Parameter!$B$18</f>
        <v>43</v>
      </c>
      <c r="K1228" s="51" t="n">
        <v>32</v>
      </c>
      <c r="L1228" s="52" t="n">
        <v>1.34375</v>
      </c>
      <c r="M1228" s="50" t="n">
        <v>4</v>
      </c>
      <c r="N1228" s="50" t="n">
        <v>45</v>
      </c>
      <c r="O1228" s="53" t="n">
        <v>35</v>
      </c>
      <c r="P1228" s="48" t="s">
        <v>242</v>
      </c>
      <c r="Q1228" s="50" t="n">
        <v>40</v>
      </c>
      <c r="R1228" s="53" t="n">
        <f aca="false">IF(BZ1228=1,0,IFERROR(VLOOKUP(BX1228,'Gebinde-Kategorie'!$A$5:$N$45,13,0)+0,0))</f>
        <v>26</v>
      </c>
      <c r="S1228" s="54"/>
      <c r="T1228" s="55"/>
      <c r="U1228" s="55"/>
      <c r="V1228" s="55"/>
      <c r="W1228" s="48"/>
      <c r="X1228" s="50"/>
      <c r="Y1228" s="50"/>
      <c r="Z1228" s="48" t="n">
        <f aca="false">IF(A1228="","",IF(AND(Parameter!$B$21="Ja",ISNUMBER(W1228)),W1228,IF(CC1228="2+3",IF(ISNUMBER(SEARCH("grosser Artikel",BU1228)),2,IFERROR(VLOOKUP(BX1228,Parameter!$F$35:$G$64,2,0),2)),IF(OR(CC1228="Nein",CC1228=""),"-",CC1228))))</f>
        <v>3</v>
      </c>
      <c r="AA1228" s="55"/>
      <c r="AB1228" s="56"/>
      <c r="AC1228" s="50" t="n">
        <f aca="false">AV1228</f>
        <v>49</v>
      </c>
      <c r="AD1228" s="50" t="n">
        <f aca="false">MAX(AV1228,H1228)</f>
        <v>49</v>
      </c>
      <c r="AE1228" s="57"/>
      <c r="AF1228" s="50" t="n">
        <f aca="false">IF(LEFT(Cockpit!$C$5,1)="A",H1228,IF(Parameter!$E$30="MAX-Bestand",IF(CH1228=1,CI1228,IF(LEFT(Cockpit!$C$5,1)="B",AL1228,MAX(AL1228,H1228))),ROUNDUP(AJ1228,0)))</f>
        <v>28</v>
      </c>
      <c r="AG1228" s="50" t="n">
        <f aca="false">IF(BZ1228=1,0,ROUNDUP(AF1228/BY1228,0))</f>
        <v>1</v>
      </c>
      <c r="AH1228" s="52" t="n">
        <f aca="false">IF(CQ1228&gt;0,CQ1228*MAX(1,AF1228/X1228),IF(BZ1228=1,IF(AF1228&lt;=0,0,CD1228*MAX(1,IF(H1228&gt;0,AF1228/H1228,1))),IF(R1228&gt;0,AG1228/R1228,0))/MAX(0.1,N(Parameter!$M$21)))</f>
        <v>0.0384615384615385</v>
      </c>
      <c r="AI1228" s="50" t="n">
        <f aca="false">AH1228*CB1228</f>
        <v>9.42307692307692</v>
      </c>
      <c r="AJ1228" s="51" t="n">
        <f aca="false">IF(LEFT(Cockpit!$C$5,1)="A",H1228,IF(CH1228=1,(CK1228+CI1228)/2,IF(LEFT(Cockpit!$C$5,1)="B",(CK1228+AL1228)/2,MAX((CK1228+AL1228)/2,H1228))))</f>
        <v>28</v>
      </c>
      <c r="AK1228" s="50" t="n">
        <f aca="false">AJ1228*G1228</f>
        <v>672</v>
      </c>
      <c r="AL1228" s="50" t="n">
        <f aca="false">ROUNDUP(CK1228+MAX(CL1228,2*(J1228/IF(CG1228&gt;0,CG1228,MAX(0.1,N(Cockpit!$C$6)))-CK1228)),0)</f>
        <v>49</v>
      </c>
      <c r="AM1228" s="51" t="n">
        <f aca="false">IF(AI1228&gt;0,J1228/AI1228,-1)</f>
        <v>4.56326530612245</v>
      </c>
      <c r="AN1228" s="51" t="n">
        <f aca="false">IF(AND(OR(CF1228="L1",CF1228="L23",CF1228="LIFT"),AI1228&gt;0),SUMIFS($AI$7:$AI$1843,$CF$7:$CF$1843,CF1228,$AM$7:$AM$1843,"&gt;"&amp;AM1228)+SUMIFS($AI$7:$AI$1843,$CF$7:$CF$1843,CF1228,$AM$7:$AM$1843,AM1228,$BW$7:$BW$1843,"&lt;="&amp;BW1228),"")</f>
        <v>4129.88965201465</v>
      </c>
      <c r="AO1228" s="58" t="n">
        <f aca="false">IF(AN1228="",0,MAX(0,MIN(1,(IF(CF1228="L1",Parameter!$H$5,IF(CF1228="L23",Parameter!$H$6+Parameter!$H$7,Parameter!$H$5+Parameter!$H$6+Parameter!$H$7))-(AN1228-AI1228))/AI1228)))</f>
        <v>1</v>
      </c>
      <c r="AP1228" s="50" t="n">
        <f aca="false">IF(LEFT(Cockpit!$I$5,1)="A",H1228,IF(Parameter!$E$30="MAX-Bestand",IF(CH1228=1,CI1228,IF(LEFT(Cockpit!$I$5,1)="B",AV1228,MAX(AV1228,H1228))),ROUNDUP(AT1228,0)))</f>
        <v>28</v>
      </c>
      <c r="AQ1228" s="50" t="n">
        <f aca="false">IF(BZ1228=1,0,ROUNDUP(AP1228/BY1228,0))</f>
        <v>1</v>
      </c>
      <c r="AR1228" s="52" t="n">
        <f aca="false">IF(CQ1228&gt;0,CQ1228*MAX(1,AP1228/X1228),IF(BZ1228=1,IF(AP1228&lt;=0,0,CD1228*MAX(1,IF(H1228&gt;0,AP1228/H1228,1))),IF(R1228&gt;0,AQ1228/R1228,0))/MAX(0.1,N(Parameter!$M$21)))</f>
        <v>0.0384615384615385</v>
      </c>
      <c r="AS1228" s="50" t="n">
        <f aca="false">AR1228*CB1228</f>
        <v>9.42307692307692</v>
      </c>
      <c r="AT1228" s="51" t="n">
        <f aca="false">IF(LEFT(Cockpit!$I$5,1)="A",H1228,IF(CH1228=1,(CK1228+CI1228)/2,IF(LEFT(Cockpit!$I$5,1)="B",(CK1228+AV1228)/2,MAX((CK1228+AV1228)/2,H1228))))</f>
        <v>28</v>
      </c>
      <c r="AU1228" s="50" t="n">
        <f aca="false">AT1228*G1228</f>
        <v>672</v>
      </c>
      <c r="AV1228" s="50" t="n">
        <f aca="false">ROUNDUP(CK1228+MAX(CL1228,2*(J1228/IF(CG1228&gt;0,CG1228,MAX(0.1,N(Cockpit!$I$6)))-CK1228)),0)</f>
        <v>49</v>
      </c>
      <c r="AW1228" s="51" t="n">
        <f aca="false">IF(AS1228&gt;0,J1228/AS1228,-1)</f>
        <v>4.56326530612245</v>
      </c>
      <c r="AX1228" s="51" t="n">
        <f aca="false">IF(AND(OR(CF1228="L1",CF1228="L23",CF1228="LIFT"),AS1228&gt;0),SUMIFS($AS$7:$AS$1843,$CF$7:$CF$1843,CF1228,$AW$7:$AW$1843,"&gt;"&amp;AW1228)+SUMIFS($AS$7:$AS$1843,$CF$7:$CF$1843,CF1228,$AW$7:$AW$1843,AW1228,$BW$7:$BW$1843,"&lt;="&amp;BW1228),"")</f>
        <v>4726.13049450549</v>
      </c>
      <c r="AY1228" s="58" t="n">
        <f aca="false">IF(AX1228="",0,MAX(0,MIN(1,(IF(CF1228="L1",Parameter!$H$5,IF(CF1228="L23",Parameter!$H$6+Parameter!$H$7,Parameter!$H$5+Parameter!$H$6+Parameter!$H$7))-(AX1228-AS1228))/AS1228)))</f>
        <v>1</v>
      </c>
      <c r="AZ1228" s="50" t="n">
        <f aca="false">IF(LEFT(Cockpit!$O$5,1)="A",H1228,IF(Parameter!$E$30="MAX-Bestand",IF(CH1228=1,CI1228,IF(LEFT(Cockpit!$O$5,1)="B",BF1228,MAX(BF1228,H1228))),ROUNDUP(BD1228,0)))</f>
        <v>27</v>
      </c>
      <c r="BA1228" s="50" t="n">
        <f aca="false">IF(BZ1228=1,0,ROUNDUP(AZ1228/BY1228,0))</f>
        <v>1</v>
      </c>
      <c r="BB1228" s="52" t="n">
        <f aca="false">IF(CQ1228&gt;0,CQ1228*MAX(1,AZ1228/X1228),IF(BZ1228=1,IF(AZ1228&lt;=0,0,CD1228*MAX(1,IF(H1228&gt;0,AZ1228/H1228,1))),IF(R1228&gt;0,BA1228/R1228,0))/MAX(0.1,N(Parameter!$M$21)))</f>
        <v>0.0384615384615385</v>
      </c>
      <c r="BC1228" s="50" t="n">
        <f aca="false">BB1228*CB1228</f>
        <v>9.42307692307692</v>
      </c>
      <c r="BD1228" s="51" t="n">
        <f aca="false">IF(LEFT(Cockpit!$O$5,1)="A",H1228,IF(CH1228=1,(CK1228+CI1228)/2,IF(LEFT(Cockpit!$O$5,1)="B",(CK1228+BF1228)/2,MAX((CK1228+BF1228)/2,H1228))))</f>
        <v>26.5</v>
      </c>
      <c r="BE1228" s="50" t="n">
        <f aca="false">BD1228*G1228</f>
        <v>636</v>
      </c>
      <c r="BF1228" s="50" t="n">
        <f aca="false">ROUNDUP(CK1228+MAX(CL1228,2*(J1228/IF(CG1228&gt;0,CG1228,MAX(0.1,N(Cockpit!$O$6)))-CK1228)),0)</f>
        <v>49</v>
      </c>
      <c r="BG1228" s="51" t="n">
        <f aca="false">IF(BC1228&gt;0,J1228/BC1228,-1)</f>
        <v>4.56326530612245</v>
      </c>
      <c r="BH1228" s="51" t="n">
        <f aca="false">IF(AND(OR(CF1228="L1",CF1228="L23",CF1228="LIFT"),BC1228&gt;0),SUMIFS($BC$7:$BC$1843,$CF$7:$CF$1843,CF1228,$BG$7:$BG$1843,"&gt;"&amp;BG1228)+SUMIFS($BC$7:$BC$1843,$CF$7:$CF$1843,CF1228,$BG$7:$BG$1843,BG1228,$BW$7:$BW$1843,"&lt;="&amp;BW1228),"")</f>
        <v>3893.81318681319</v>
      </c>
      <c r="BI1228" s="58" t="n">
        <f aca="false">IF(BH1228="",0,MAX(0,MIN(1,(IF(CF1228="L1",Parameter!$H$5,IF(CF1228="L23",Parameter!$H$6+Parameter!$H$7,Parameter!$H$5+Parameter!$H$6+Parameter!$H$7))-(BH1228-BC1228))/BC1228)))</f>
        <v>1</v>
      </c>
      <c r="BJ1228" s="48" t="str">
        <f aca="false">IF(AI1228&lt;=0,"",IF(CF1228="Aussen","Aussenlager",IF(CF1228="-","Nicht im Lift",IF(AO1228&gt;=1,"Lift",IF(AO1228&lt;=0,"Aussenlager","teilweise")))))</f>
        <v>Lift</v>
      </c>
      <c r="BK1228" s="48" t="str">
        <f aca="false">IF(AS1228&lt;=0,"",IF(CF1228="Aussen","Aussenlager",IF(CF1228="-","Nicht im Lift",IF(AY1228&gt;=1,"Lift",IF(AY1228&lt;=0,"Aussenlager","teilweise")))))</f>
        <v>Lift</v>
      </c>
      <c r="BL1228" s="48" t="str">
        <f aca="false">IF(BC1228&lt;=0,"",IF(CF1228="Aussen","Aussenlager",IF(CF1228="-","Nicht im Lift",IF(BI1228&gt;=1,"Lift",IF(BI1228&lt;=0,"Aussenlager","teilweise")))))</f>
        <v>Lift</v>
      </c>
      <c r="BM1228" s="48" t="str">
        <f aca="false">IF(A1228="","",IF(BV1228=1,"Neu; ","")&amp;IF(AND(BV1228=0,BQ1228&lt;0),"negativer Bestand (Export "&amp;BQ1228&amp;"); ","")&amp;IF(J1228&lt;=0,"Kein Verbrauch; ","")&amp;IF(CQ1228&gt;0,"Lift "&amp;W1228&amp;" lt. Liftbericht (Fach "&amp;X1228&amp;" Stk); ",IF(CA1228=1,"Gebinde geschätzt ("&amp;T1228&amp;"); ",IF(BZ1228=1,"Lose – Tablare geschätzt; ","")))&amp;IF(H1228&gt;AV1228,"Überbestand "&amp;ROUND(H1228-AV1228,0)&amp;" Stk / CHF "&amp;ROUND((H1228-AV1228)*G1228,0)&amp;"; ","")&amp;IF(AND(CH1228=1,CI1228&lt;CJ1228),"MAX &lt; MB+LG; ","")&amp;IF(AND(CP1228&gt;0,CO1228*10&gt;CP1228),"zu hoch für Tablar; ","")&amp;IF(AND(BV1228=0,OR(CH1228=1,AA1228&lt;&gt;"",U1228&lt;&gt;"",V1228&lt;&gt;"",AB1228&lt;&gt;"")),"manuell übersteuert; ","")&amp;IF(AND(BZ1228=0,R1228=0),"Gebinde unbekannt / Stellmass fehlt; ","")&amp;IF(AND(BZ1228=0,N(V1228)&lt;=0,N(Q1228)&lt;=0),"Menge pro Gebinde fehlt (Ist = 1 Gebinde); ","")&amp;BU1228)</f>
        <v>negativer Bestand (Export -26); </v>
      </c>
      <c r="BN1228" s="48"/>
      <c r="BO1228" s="48"/>
      <c r="BP1228" s="55"/>
      <c r="BQ1228" s="50" t="n">
        <v>-26</v>
      </c>
      <c r="BR1228" s="50" t="n">
        <v>54</v>
      </c>
      <c r="BS1228" s="49" t="n">
        <v>-623.46</v>
      </c>
      <c r="BT1228" s="50" t="n">
        <v>43</v>
      </c>
      <c r="BU1228" s="48"/>
      <c r="BV1228" s="53" t="n">
        <v>0</v>
      </c>
      <c r="BW1228" s="53" t="n">
        <v>1228</v>
      </c>
      <c r="BX1228" s="48" t="str">
        <f aca="false">IF(U1228&lt;&gt;"",UPPER(TRIM(U1228)),IF(CA1228=1,UPPER(VLOOKUP(T1228,Parameter!$I$27:$K$29,2,0)),IF(P1228="","LOSE",P1228)))</f>
        <v>S52</v>
      </c>
      <c r="BY1228" s="50" t="n">
        <f aca="false">IF(BX1228="LOSE",1,IF(N(V1228)&gt;0,V1228,IF(CA1228=1,MAX(1,N(VLOOKUP(T1228,Parameter!$I$27:$K$29,3,0)),H1228,N(N1228)),IF(N(Q1228)&gt;0,Q1228,MAX(1,H1228)))))</f>
        <v>40</v>
      </c>
      <c r="BZ1228" s="53" t="n">
        <f aca="false">IF(BX1228="LOSE",1,0)</f>
        <v>0</v>
      </c>
      <c r="CA1228" s="53" t="n">
        <f aca="false">IF(AND(U1228="",OR(P1228="",P1228="LOSE"),T1228&lt;&gt;"",N(S1228)&lt;=0,ISNUMBER(MATCH(T1228,Parameter!$I$27:$I$29,0))),1,0)</f>
        <v>0</v>
      </c>
      <c r="CB1228" s="53" t="n">
        <f aca="false">IF(CQ1228&gt;0,INDEX(Parameter!$H$5:$H$7,W1228)/INDEX(Parameter!$E$5:$E$7,W1228),IF(AND(BZ1228=0,N(IFERROR(VLOOKUP(BX1228,'Gebinde-Kategorie'!$A$5:$N$45,14,0),0))&gt;0),VLOOKUP(BX1228,'Gebinde-Kategorie'!$A$5:$N$45,14,0)*10+Parameter!$M$23,Parameter!$M$24))</f>
        <v>245</v>
      </c>
      <c r="CC1228" s="48" t="str">
        <f aca="false">IF(AND(Parameter!$B$19="Ja",E1228&lt;&gt;"",ISNUMBER(MATCH(E1228,Parameter!$I$35:$I$52,0))),VLOOKUP(E1228,Parameter!$I$35:$J$52,2,0),IFERROR(VLOOKUP(D1228,Parameter!$A$35:$C$64,2,0),"Nein"))</f>
        <v>2+3</v>
      </c>
      <c r="CD1228" s="52" t="n">
        <f aca="false">IF(BZ1228=0,0,IF(N(S1228)&gt;0,S1228,IFERROR(VLOOKUP(D1228,Parameter!$A$35:$C$64,3,0)+0,0)))</f>
        <v>0</v>
      </c>
      <c r="CE1228" s="48" t="n">
        <f aca="false">IF(AA1228&lt;&gt;"",AA1228,Z1228)</f>
        <v>3</v>
      </c>
      <c r="CF1228" s="48" t="str">
        <f aca="false">IF(OR(CE1228=1,CE1228=2,CE1228=3),IF(Parameter!$E$27="Ja","LIFT",IF(CE1228=1,"L1","L23")),IF(CE1228="Aussen","Aussen","-"))</f>
        <v>LIFT</v>
      </c>
      <c r="CG1228" s="59" t="n">
        <f aca="false">IF(N(AB1228)&gt;0,AB1228,0)</f>
        <v>0</v>
      </c>
      <c r="CH1228" s="53" t="n">
        <f aca="false">IF(ISNUMBER(AE1228),1,0)</f>
        <v>0</v>
      </c>
      <c r="CI1228" s="50" t="n">
        <f aca="false">N(AE1228)</f>
        <v>0</v>
      </c>
      <c r="CJ1228" s="50" t="n">
        <f aca="false">N(M1228)+N(N1228)</f>
        <v>49</v>
      </c>
      <c r="CK1228" s="50" t="n">
        <f aca="false">N(M1228)</f>
        <v>4</v>
      </c>
      <c r="CL1228" s="50" t="n">
        <f aca="false">N(N1228)</f>
        <v>45</v>
      </c>
      <c r="CM1228" s="50" t="n">
        <f aca="false">ROUNDUP(H1228/BY1228,0)</f>
        <v>1</v>
      </c>
      <c r="CN1228" s="50" t="n">
        <f aca="false">ROUNDUP(CI1228/BY1228,0)</f>
        <v>0</v>
      </c>
      <c r="CO1228" s="53" t="n">
        <f aca="false">IF(BZ1228=1,0,IFERROR(VLOOKUP(BX1228,'Gebinde-Kategorie'!$A$5:$N$45,5,0)+0,0))</f>
        <v>21</v>
      </c>
      <c r="CP1228" s="53" t="n">
        <f aca="false">IFERROR(IF(OR(CE1228=1,CE1228=2,CE1228=3),N(INDEX(Parameter!$I$5:$I$7,CE1228)),0),0)</f>
        <v>0</v>
      </c>
      <c r="CQ1228" s="52" t="n">
        <f aca="false">IF(AND(Parameter!$B$21="Ja",ISNUMBER(W1228),N(X1228)&gt;0),IFERROR(N(INDEX(Parameter!$L$5:$L$7,W1228))*INDEX(Parameter!$E$5:$E$7,W1228)*X1228/SUMIFS($X$7:$X$1843,$W$7:$W$1843,W1228),0),0)</f>
        <v>0</v>
      </c>
    </row>
    <row r="1229" customFormat="false" ht="15" hidden="false" customHeight="false" outlineLevel="0" collapsed="false">
      <c r="A1229" s="48" t="s">
        <v>2209</v>
      </c>
      <c r="B1229" s="48" t="s">
        <v>2210</v>
      </c>
      <c r="C1229" s="48" t="s">
        <v>465</v>
      </c>
      <c r="D1229" s="48" t="s">
        <v>182</v>
      </c>
      <c r="E1229" s="48" t="s">
        <v>1488</v>
      </c>
      <c r="F1229" s="48" t="s">
        <v>227</v>
      </c>
      <c r="G1229" s="49" t="n">
        <v>160.38</v>
      </c>
      <c r="H1229" s="50" t="n">
        <f aca="false">MAX(0,IF(AND(Parameter!$B$21="Ja",ISNUMBER(Y1229)),Y1229,IF(Parameter!$B$20="Jahresanfang 2025 + Export",BR1229+BQ1229,BQ1229)))</f>
        <v>0</v>
      </c>
      <c r="I1229" s="50" t="n">
        <f aca="false">H1229*G1229</f>
        <v>0</v>
      </c>
      <c r="J1229" s="50" t="n">
        <f aca="false">BT1229*Parameter!$B$18</f>
        <v>0</v>
      </c>
      <c r="K1229" s="51" t="n">
        <v>2</v>
      </c>
      <c r="L1229" s="52" t="n">
        <v>0</v>
      </c>
      <c r="M1229" s="50" t="n">
        <v>0</v>
      </c>
      <c r="N1229" s="50" t="n">
        <v>1</v>
      </c>
      <c r="O1229" s="53" t="n">
        <v>56</v>
      </c>
      <c r="P1229" s="48" t="s">
        <v>177</v>
      </c>
      <c r="Q1229" s="50"/>
      <c r="R1229" s="53" t="n">
        <f aca="false">IF(BZ1229=1,0,IFERROR(VLOOKUP(BX1229,'Gebinde-Kategorie'!$A$5:$N$45,13,0)+0,0))</f>
        <v>4</v>
      </c>
      <c r="S1229" s="54"/>
      <c r="T1229" s="55" t="s">
        <v>198</v>
      </c>
      <c r="U1229" s="55"/>
      <c r="V1229" s="55"/>
      <c r="W1229" s="48"/>
      <c r="X1229" s="50"/>
      <c r="Y1229" s="50"/>
      <c r="Z1229" s="48" t="str">
        <f aca="false">IF(A1229="","",IF(AND(Parameter!$B$21="Ja",ISNUMBER(W1229)),W1229,IF(CC1229="2+3",IF(ISNUMBER(SEARCH("grosser Artikel",BU1229)),2,IFERROR(VLOOKUP(BX1229,Parameter!$F$35:$G$64,2,0),2)),IF(OR(CC1229="Nein",CC1229=""),"-",CC1229))))</f>
        <v>-</v>
      </c>
      <c r="AA1229" s="55"/>
      <c r="AB1229" s="56"/>
      <c r="AC1229" s="50" t="n">
        <f aca="false">AV1229</f>
        <v>1</v>
      </c>
      <c r="AD1229" s="50" t="n">
        <f aca="false">MAX(AV1229,H1229)</f>
        <v>1</v>
      </c>
      <c r="AE1229" s="57"/>
      <c r="AF1229" s="50" t="n">
        <f aca="false">IF(LEFT(Cockpit!$C$5,1)="A",H1229,IF(Parameter!$E$30="MAX-Bestand",IF(CH1229=1,CI1229,IF(LEFT(Cockpit!$C$5,1)="B",AL1229,MAX(AL1229,H1229))),ROUNDUP(AJ1229,0)))</f>
        <v>0</v>
      </c>
      <c r="AG1229" s="50" t="n">
        <f aca="false">IF(BZ1229=1,0,ROUNDUP(AF1229/BY1229,0))</f>
        <v>0</v>
      </c>
      <c r="AH1229" s="52" t="n">
        <f aca="false">IF(CQ1229&gt;0,CQ1229*MAX(1,AF1229/X1229),IF(BZ1229=1,IF(AF1229&lt;=0,0,CD1229*MAX(1,IF(H1229&gt;0,AF1229/H1229,1))),IF(R1229&gt;0,AG1229/R1229,0))/MAX(0.1,N(Parameter!$M$21)))</f>
        <v>0</v>
      </c>
      <c r="AI1229" s="50" t="n">
        <f aca="false">AH1229*CB1229</f>
        <v>0</v>
      </c>
      <c r="AJ1229" s="51" t="n">
        <f aca="false">IF(LEFT(Cockpit!$C$5,1)="A",H1229,IF(CH1229=1,(CK1229+CI1229)/2,IF(LEFT(Cockpit!$C$5,1)="B",(CK1229+AL1229)/2,MAX((CK1229+AL1229)/2,H1229))))</f>
        <v>0</v>
      </c>
      <c r="AK1229" s="50" t="n">
        <f aca="false">AJ1229*G1229</f>
        <v>0</v>
      </c>
      <c r="AL1229" s="50" t="n">
        <f aca="false">ROUNDUP(CK1229+MAX(CL1229,2*(J1229/IF(CG1229&gt;0,CG1229,MAX(0.1,N(Cockpit!$C$6)))-CK1229)),0)</f>
        <v>1</v>
      </c>
      <c r="AM1229" s="51" t="n">
        <f aca="false">IF(AI1229&gt;0,J1229/AI1229,-1)</f>
        <v>-1</v>
      </c>
      <c r="AN1229" s="51" t="str">
        <f aca="false">IF(AND(OR(CF1229="L1",CF1229="L23",CF1229="LIFT"),AI1229&gt;0),SUMIFS($AI$7:$AI$1843,$CF$7:$CF$1843,CF1229,$AM$7:$AM$1843,"&gt;"&amp;AM1229)+SUMIFS($AI$7:$AI$1843,$CF$7:$CF$1843,CF1229,$AM$7:$AM$1843,AM1229,$BW$7:$BW$1843,"&lt;="&amp;BW1229),"")</f>
        <v/>
      </c>
      <c r="AO1229" s="58" t="n">
        <f aca="false">IF(AN1229="",0,MAX(0,MIN(1,(IF(CF1229="L1",Parameter!$H$5,IF(CF1229="L23",Parameter!$H$6+Parameter!$H$7,Parameter!$H$5+Parameter!$H$6+Parameter!$H$7))-(AN1229-AI1229))/AI1229)))</f>
        <v>0</v>
      </c>
      <c r="AP1229" s="50" t="n">
        <f aca="false">IF(LEFT(Cockpit!$I$5,1)="A",H1229,IF(Parameter!$E$30="MAX-Bestand",IF(CH1229=1,CI1229,IF(LEFT(Cockpit!$I$5,1)="B",AV1229,MAX(AV1229,H1229))),ROUNDUP(AT1229,0)))</f>
        <v>1</v>
      </c>
      <c r="AQ1229" s="50" t="n">
        <f aca="false">IF(BZ1229=1,0,ROUNDUP(AP1229/BY1229,0))</f>
        <v>1</v>
      </c>
      <c r="AR1229" s="52" t="n">
        <f aca="false">IF(CQ1229&gt;0,CQ1229*MAX(1,AP1229/X1229),IF(BZ1229=1,IF(AP1229&lt;=0,0,CD1229*MAX(1,IF(H1229&gt;0,AP1229/H1229,1))),IF(R1229&gt;0,AQ1229/R1229,0))/MAX(0.1,N(Parameter!$M$21)))</f>
        <v>0.25</v>
      </c>
      <c r="AS1229" s="50" t="n">
        <f aca="false">AR1229*CB1229</f>
        <v>58.75</v>
      </c>
      <c r="AT1229" s="51" t="n">
        <f aca="false">IF(LEFT(Cockpit!$I$5,1)="A",H1229,IF(CH1229=1,(CK1229+CI1229)/2,IF(LEFT(Cockpit!$I$5,1)="B",(CK1229+AV1229)/2,MAX((CK1229+AV1229)/2,H1229))))</f>
        <v>0.5</v>
      </c>
      <c r="AU1229" s="50" t="n">
        <f aca="false">AT1229*G1229</f>
        <v>80.19</v>
      </c>
      <c r="AV1229" s="50" t="n">
        <f aca="false">ROUNDUP(CK1229+MAX(CL1229,2*(J1229/IF(CG1229&gt;0,CG1229,MAX(0.1,N(Cockpit!$I$6)))-CK1229)),0)</f>
        <v>1</v>
      </c>
      <c r="AW1229" s="51" t="n">
        <f aca="false">IF(AS1229&gt;0,J1229/AS1229,-1)</f>
        <v>0</v>
      </c>
      <c r="AX1229" s="51" t="str">
        <f aca="false">IF(AND(OR(CF1229="L1",CF1229="L23",CF1229="LIFT"),AS1229&gt;0),SUMIFS($AS$7:$AS$1843,$CF$7:$CF$1843,CF1229,$AW$7:$AW$1843,"&gt;"&amp;AW1229)+SUMIFS($AS$7:$AS$1843,$CF$7:$CF$1843,CF1229,$AW$7:$AW$1843,AW1229,$BW$7:$BW$1843,"&lt;="&amp;BW1229),"")</f>
        <v/>
      </c>
      <c r="AY1229" s="58" t="n">
        <f aca="false">IF(AX1229="",0,MAX(0,MIN(1,(IF(CF1229="L1",Parameter!$H$5,IF(CF1229="L23",Parameter!$H$6+Parameter!$H$7,Parameter!$H$5+Parameter!$H$6+Parameter!$H$7))-(AX1229-AS1229))/AS1229)))</f>
        <v>0</v>
      </c>
      <c r="AZ1229" s="50" t="n">
        <f aca="false">IF(LEFT(Cockpit!$O$5,1)="A",H1229,IF(Parameter!$E$30="MAX-Bestand",IF(CH1229=1,CI1229,IF(LEFT(Cockpit!$O$5,1)="B",BF1229,MAX(BF1229,H1229))),ROUNDUP(BD1229,0)))</f>
        <v>1</v>
      </c>
      <c r="BA1229" s="50" t="n">
        <f aca="false">IF(BZ1229=1,0,ROUNDUP(AZ1229/BY1229,0))</f>
        <v>1</v>
      </c>
      <c r="BB1229" s="52" t="n">
        <f aca="false">IF(CQ1229&gt;0,CQ1229*MAX(1,AZ1229/X1229),IF(BZ1229=1,IF(AZ1229&lt;=0,0,CD1229*MAX(1,IF(H1229&gt;0,AZ1229/H1229,1))),IF(R1229&gt;0,BA1229/R1229,0))/MAX(0.1,N(Parameter!$M$21)))</f>
        <v>0.25</v>
      </c>
      <c r="BC1229" s="50" t="n">
        <f aca="false">BB1229*CB1229</f>
        <v>58.75</v>
      </c>
      <c r="BD1229" s="51" t="n">
        <f aca="false">IF(LEFT(Cockpit!$O$5,1)="A",H1229,IF(CH1229=1,(CK1229+CI1229)/2,IF(LEFT(Cockpit!$O$5,1)="B",(CK1229+BF1229)/2,MAX((CK1229+BF1229)/2,H1229))))</f>
        <v>0.5</v>
      </c>
      <c r="BE1229" s="50" t="n">
        <f aca="false">BD1229*G1229</f>
        <v>80.19</v>
      </c>
      <c r="BF1229" s="50" t="n">
        <f aca="false">ROUNDUP(CK1229+MAX(CL1229,2*(J1229/IF(CG1229&gt;0,CG1229,MAX(0.1,N(Cockpit!$O$6)))-CK1229)),0)</f>
        <v>1</v>
      </c>
      <c r="BG1229" s="51" t="n">
        <f aca="false">IF(BC1229&gt;0,J1229/BC1229,-1)</f>
        <v>0</v>
      </c>
      <c r="BH1229" s="51" t="str">
        <f aca="false">IF(AND(OR(CF1229="L1",CF1229="L23",CF1229="LIFT"),BC1229&gt;0),SUMIFS($BC$7:$BC$1843,$CF$7:$CF$1843,CF1229,$BG$7:$BG$1843,"&gt;"&amp;BG1229)+SUMIFS($BC$7:$BC$1843,$CF$7:$CF$1843,CF1229,$BG$7:$BG$1843,BG1229,$BW$7:$BW$1843,"&lt;="&amp;BW1229),"")</f>
        <v/>
      </c>
      <c r="BI1229" s="58" t="n">
        <f aca="false">IF(BH1229="",0,MAX(0,MIN(1,(IF(CF1229="L1",Parameter!$H$5,IF(CF1229="L23",Parameter!$H$6+Parameter!$H$7,Parameter!$H$5+Parameter!$H$6+Parameter!$H$7))-(BH1229-BC1229))/BC1229)))</f>
        <v>0</v>
      </c>
      <c r="BJ1229" s="48" t="str">
        <f aca="false">IF(AI1229&lt;=0,"",IF(CF1229="Aussen","Aussenlager",IF(CF1229="-","Nicht im Lift",IF(AO1229&gt;=1,"Lift",IF(AO1229&lt;=0,"Aussenlager","teilweise")))))</f>
        <v/>
      </c>
      <c r="BK1229" s="48" t="str">
        <f aca="false">IF(AS1229&lt;=0,"",IF(CF1229="Aussen","Aussenlager",IF(CF1229="-","Nicht im Lift",IF(AY1229&gt;=1,"Lift",IF(AY1229&lt;=0,"Aussenlager","teilweise")))))</f>
        <v>Nicht im Lift</v>
      </c>
      <c r="BL1229" s="48" t="str">
        <f aca="false">IF(BC1229&lt;=0,"",IF(CF1229="Aussen","Aussenlager",IF(CF1229="-","Nicht im Lift",IF(BI1229&gt;=1,"Lift",IF(BI1229&lt;=0,"Aussenlager","teilweise")))))</f>
        <v>Nicht im Lift</v>
      </c>
      <c r="BM1229" s="48" t="str">
        <f aca="false">IF(A1229="","",IF(BV1229=1,"Neu; ","")&amp;IF(AND(BV1229=0,BQ1229&lt;0),"negativer Bestand (Export "&amp;BQ1229&amp;"); ","")&amp;IF(J1229&lt;=0,"Kein Verbrauch; ","")&amp;IF(CQ1229&gt;0,"Lift "&amp;W1229&amp;" lt. Liftbericht (Fach "&amp;X1229&amp;" Stk); ",IF(CA1229=1,"Gebinde geschätzt ("&amp;T1229&amp;"); ",IF(BZ1229=1,"Lose – Tablare geschätzt; ","")))&amp;IF(H1229&gt;AV1229,"Überbestand "&amp;ROUND(H1229-AV1229,0)&amp;" Stk / CHF "&amp;ROUND((H1229-AV1229)*G1229,0)&amp;"; ","")&amp;IF(AND(CH1229=1,CI1229&lt;CJ1229),"MAX &lt; MB+LG; ","")&amp;IF(AND(CP1229&gt;0,CO1229*10&gt;CP1229),"zu hoch für Tablar; ","")&amp;IF(AND(BV1229=0,OR(CH1229=1,AA1229&lt;&gt;"",U1229&lt;&gt;"",V1229&lt;&gt;"",AB1229&lt;&gt;"")),"manuell übersteuert; ","")&amp;IF(AND(BZ1229=0,R1229=0),"Gebinde unbekannt / Stellmass fehlt; ","")&amp;IF(AND(BZ1229=0,N(V1229)&lt;=0,N(Q1229)&lt;=0),"Menge pro Gebinde fehlt (Ist = 1 Gebinde); ","")&amp;BU1229)</f>
        <v>negativer Bestand (Export -4); Kein Verbrauch; Gebinde geschätzt (Gross); Menge pro Gebinde fehlt (Ist = 1 Gebinde); </v>
      </c>
      <c r="BN1229" s="48"/>
      <c r="BO1229" s="48"/>
      <c r="BP1229" s="55"/>
      <c r="BQ1229" s="50" t="n">
        <v>-4</v>
      </c>
      <c r="BR1229" s="50" t="n">
        <v>4</v>
      </c>
      <c r="BS1229" s="49" t="n">
        <v>-641.52</v>
      </c>
      <c r="BT1229" s="50" t="n">
        <v>0</v>
      </c>
      <c r="BU1229" s="48"/>
      <c r="BV1229" s="53" t="n">
        <v>0</v>
      </c>
      <c r="BW1229" s="53" t="n">
        <v>1229</v>
      </c>
      <c r="BX1229" s="48" t="str">
        <f aca="false">IF(U1229&lt;&gt;"",UPPER(TRIM(U1229)),IF(CA1229=1,UPPER(VLOOKUP(T1229,Parameter!$I$27:$K$29,2,0)),IF(P1229="","LOSE",P1229)))</f>
        <v>S81</v>
      </c>
      <c r="BY1229" s="50" t="n">
        <f aca="false">IF(BX1229="LOSE",1,IF(N(V1229)&gt;0,V1229,IF(CA1229=1,MAX(1,N(VLOOKUP(T1229,Parameter!$I$27:$K$29,3,0)),H1229,N(N1229)),IF(N(Q1229)&gt;0,Q1229,MAX(1,H1229)))))</f>
        <v>2</v>
      </c>
      <c r="BZ1229" s="53" t="n">
        <f aca="false">IF(BX1229="LOSE",1,0)</f>
        <v>0</v>
      </c>
      <c r="CA1229" s="53" t="n">
        <f aca="false">IF(AND(U1229="",OR(P1229="",P1229="LOSE"),T1229&lt;&gt;"",N(S1229)&lt;=0,ISNUMBER(MATCH(T1229,Parameter!$I$27:$I$29,0))),1,0)</f>
        <v>1</v>
      </c>
      <c r="CB1229" s="53" t="n">
        <f aca="false">IF(CQ1229&gt;0,INDEX(Parameter!$H$5:$H$7,W1229)/INDEX(Parameter!$E$5:$E$7,W1229),IF(AND(BZ1229=0,N(IFERROR(VLOOKUP(BX1229,'Gebinde-Kategorie'!$A$5:$N$45,14,0),0))&gt;0),VLOOKUP(BX1229,'Gebinde-Kategorie'!$A$5:$N$45,14,0)*10+Parameter!$M$23,Parameter!$M$24))</f>
        <v>235</v>
      </c>
      <c r="CC1229" s="48" t="str">
        <f aca="false">IF(AND(Parameter!$B$19="Ja",E1229&lt;&gt;"",ISNUMBER(MATCH(E1229,Parameter!$I$35:$I$52,0))),VLOOKUP(E1229,Parameter!$I$35:$J$52,2,0),IFERROR(VLOOKUP(D1229,Parameter!$A$35:$C$64,2,0),"Nein"))</f>
        <v>Nein</v>
      </c>
      <c r="CD1229" s="52" t="n">
        <f aca="false">IF(BZ1229=0,0,IF(N(S1229)&gt;0,S1229,IFERROR(VLOOKUP(D1229,Parameter!$A$35:$C$64,3,0)+0,0)))</f>
        <v>0</v>
      </c>
      <c r="CE1229" s="48" t="str">
        <f aca="false">IF(AA1229&lt;&gt;"",AA1229,Z1229)</f>
        <v>-</v>
      </c>
      <c r="CF1229" s="48" t="str">
        <f aca="false">IF(OR(CE1229=1,CE1229=2,CE1229=3),IF(Parameter!$E$27="Ja","LIFT",IF(CE1229=1,"L1","L23")),IF(CE1229="Aussen","Aussen","-"))</f>
        <v>-</v>
      </c>
      <c r="CG1229" s="59" t="n">
        <f aca="false">IF(N(AB1229)&gt;0,AB1229,0)</f>
        <v>0</v>
      </c>
      <c r="CH1229" s="53" t="n">
        <f aca="false">IF(ISNUMBER(AE1229),1,0)</f>
        <v>0</v>
      </c>
      <c r="CI1229" s="50" t="n">
        <f aca="false">N(AE1229)</f>
        <v>0</v>
      </c>
      <c r="CJ1229" s="50" t="n">
        <f aca="false">N(M1229)+N(N1229)</f>
        <v>1</v>
      </c>
      <c r="CK1229" s="50" t="n">
        <f aca="false">N(M1229)</f>
        <v>0</v>
      </c>
      <c r="CL1229" s="50" t="n">
        <f aca="false">N(N1229)</f>
        <v>1</v>
      </c>
      <c r="CM1229" s="50" t="n">
        <f aca="false">ROUNDUP(H1229/BY1229,0)</f>
        <v>0</v>
      </c>
      <c r="CN1229" s="50" t="n">
        <f aca="false">ROUNDUP(CI1229/BY1229,0)</f>
        <v>0</v>
      </c>
      <c r="CO1229" s="53" t="n">
        <f aca="false">IF(BZ1229=1,0,IFERROR(VLOOKUP(BX1229,'Gebinde-Kategorie'!$A$5:$N$45,5,0)+0,0))</f>
        <v>20</v>
      </c>
      <c r="CP1229" s="53" t="n">
        <f aca="false">IFERROR(IF(OR(CE1229=1,CE1229=2,CE1229=3),N(INDEX(Parameter!$I$5:$I$7,CE1229)),0),0)</f>
        <v>0</v>
      </c>
      <c r="CQ1229" s="52" t="n">
        <f aca="false">IF(AND(Parameter!$B$21="Ja",ISNUMBER(W1229),N(X1229)&gt;0),IFERROR(N(INDEX(Parameter!$L$5:$L$7,W1229))*INDEX(Parameter!$E$5:$E$7,W1229)*X1229/SUMIFS($X$7:$X$1843,$W$7:$W$1843,W1229),0),0)</f>
        <v>0</v>
      </c>
    </row>
    <row r="1230" customFormat="false" ht="15" hidden="false" customHeight="false" outlineLevel="0" collapsed="false">
      <c r="A1230" s="48" t="s">
        <v>2211</v>
      </c>
      <c r="B1230" s="48" t="s">
        <v>2212</v>
      </c>
      <c r="C1230" s="48" t="s">
        <v>465</v>
      </c>
      <c r="D1230" s="48" t="s">
        <v>182</v>
      </c>
      <c r="E1230" s="48" t="s">
        <v>1488</v>
      </c>
      <c r="F1230" s="48" t="s">
        <v>227</v>
      </c>
      <c r="G1230" s="49" t="n">
        <v>160.8</v>
      </c>
      <c r="H1230" s="50" t="n">
        <f aca="false">MAX(0,IF(AND(Parameter!$B$21="Ja",ISNUMBER(Y1230)),Y1230,IF(Parameter!$B$20="Jahresanfang 2025 + Export",BR1230+BQ1230,BQ1230)))</f>
        <v>0</v>
      </c>
      <c r="I1230" s="50" t="n">
        <f aca="false">H1230*G1230</f>
        <v>0</v>
      </c>
      <c r="J1230" s="50" t="n">
        <f aca="false">BT1230*Parameter!$B$18</f>
        <v>0</v>
      </c>
      <c r="K1230" s="51" t="n">
        <v>2</v>
      </c>
      <c r="L1230" s="52" t="n">
        <v>0</v>
      </c>
      <c r="M1230" s="50" t="n">
        <v>0</v>
      </c>
      <c r="N1230" s="50" t="n">
        <v>1</v>
      </c>
      <c r="O1230" s="53" t="n">
        <v>56</v>
      </c>
      <c r="P1230" s="48" t="s">
        <v>177</v>
      </c>
      <c r="Q1230" s="50"/>
      <c r="R1230" s="53" t="n">
        <f aca="false">IF(BZ1230=1,0,IFERROR(VLOOKUP(BX1230,'Gebinde-Kategorie'!$A$5:$N$45,13,0)+0,0))</f>
        <v>4</v>
      </c>
      <c r="S1230" s="54"/>
      <c r="T1230" s="55" t="s">
        <v>198</v>
      </c>
      <c r="U1230" s="55"/>
      <c r="V1230" s="55"/>
      <c r="W1230" s="48"/>
      <c r="X1230" s="50"/>
      <c r="Y1230" s="50"/>
      <c r="Z1230" s="48" t="str">
        <f aca="false">IF(A1230="","",IF(AND(Parameter!$B$21="Ja",ISNUMBER(W1230)),W1230,IF(CC1230="2+3",IF(ISNUMBER(SEARCH("grosser Artikel",BU1230)),2,IFERROR(VLOOKUP(BX1230,Parameter!$F$35:$G$64,2,0),2)),IF(OR(CC1230="Nein",CC1230=""),"-",CC1230))))</f>
        <v>-</v>
      </c>
      <c r="AA1230" s="55"/>
      <c r="AB1230" s="56"/>
      <c r="AC1230" s="50" t="n">
        <f aca="false">AV1230</f>
        <v>1</v>
      </c>
      <c r="AD1230" s="50" t="n">
        <f aca="false">MAX(AV1230,H1230)</f>
        <v>1</v>
      </c>
      <c r="AE1230" s="57"/>
      <c r="AF1230" s="50" t="n">
        <f aca="false">IF(LEFT(Cockpit!$C$5,1)="A",H1230,IF(Parameter!$E$30="MAX-Bestand",IF(CH1230=1,CI1230,IF(LEFT(Cockpit!$C$5,1)="B",AL1230,MAX(AL1230,H1230))),ROUNDUP(AJ1230,0)))</f>
        <v>0</v>
      </c>
      <c r="AG1230" s="50" t="n">
        <f aca="false">IF(BZ1230=1,0,ROUNDUP(AF1230/BY1230,0))</f>
        <v>0</v>
      </c>
      <c r="AH1230" s="52" t="n">
        <f aca="false">IF(CQ1230&gt;0,CQ1230*MAX(1,AF1230/X1230),IF(BZ1230=1,IF(AF1230&lt;=0,0,CD1230*MAX(1,IF(H1230&gt;0,AF1230/H1230,1))),IF(R1230&gt;0,AG1230/R1230,0))/MAX(0.1,N(Parameter!$M$21)))</f>
        <v>0</v>
      </c>
      <c r="AI1230" s="50" t="n">
        <f aca="false">AH1230*CB1230</f>
        <v>0</v>
      </c>
      <c r="AJ1230" s="51" t="n">
        <f aca="false">IF(LEFT(Cockpit!$C$5,1)="A",H1230,IF(CH1230=1,(CK1230+CI1230)/2,IF(LEFT(Cockpit!$C$5,1)="B",(CK1230+AL1230)/2,MAX((CK1230+AL1230)/2,H1230))))</f>
        <v>0</v>
      </c>
      <c r="AK1230" s="50" t="n">
        <f aca="false">AJ1230*G1230</f>
        <v>0</v>
      </c>
      <c r="AL1230" s="50" t="n">
        <f aca="false">ROUNDUP(CK1230+MAX(CL1230,2*(J1230/IF(CG1230&gt;0,CG1230,MAX(0.1,N(Cockpit!$C$6)))-CK1230)),0)</f>
        <v>1</v>
      </c>
      <c r="AM1230" s="51" t="n">
        <f aca="false">IF(AI1230&gt;0,J1230/AI1230,-1)</f>
        <v>-1</v>
      </c>
      <c r="AN1230" s="51" t="str">
        <f aca="false">IF(AND(OR(CF1230="L1",CF1230="L23",CF1230="LIFT"),AI1230&gt;0),SUMIFS($AI$7:$AI$1843,$CF$7:$CF$1843,CF1230,$AM$7:$AM$1843,"&gt;"&amp;AM1230)+SUMIFS($AI$7:$AI$1843,$CF$7:$CF$1843,CF1230,$AM$7:$AM$1843,AM1230,$BW$7:$BW$1843,"&lt;="&amp;BW1230),"")</f>
        <v/>
      </c>
      <c r="AO1230" s="58" t="n">
        <f aca="false">IF(AN1230="",0,MAX(0,MIN(1,(IF(CF1230="L1",Parameter!$H$5,IF(CF1230="L23",Parameter!$H$6+Parameter!$H$7,Parameter!$H$5+Parameter!$H$6+Parameter!$H$7))-(AN1230-AI1230))/AI1230)))</f>
        <v>0</v>
      </c>
      <c r="AP1230" s="50" t="n">
        <f aca="false">IF(LEFT(Cockpit!$I$5,1)="A",H1230,IF(Parameter!$E$30="MAX-Bestand",IF(CH1230=1,CI1230,IF(LEFT(Cockpit!$I$5,1)="B",AV1230,MAX(AV1230,H1230))),ROUNDUP(AT1230,0)))</f>
        <v>1</v>
      </c>
      <c r="AQ1230" s="50" t="n">
        <f aca="false">IF(BZ1230=1,0,ROUNDUP(AP1230/BY1230,0))</f>
        <v>1</v>
      </c>
      <c r="AR1230" s="52" t="n">
        <f aca="false">IF(CQ1230&gt;0,CQ1230*MAX(1,AP1230/X1230),IF(BZ1230=1,IF(AP1230&lt;=0,0,CD1230*MAX(1,IF(H1230&gt;0,AP1230/H1230,1))),IF(R1230&gt;0,AQ1230/R1230,0))/MAX(0.1,N(Parameter!$M$21)))</f>
        <v>0.25</v>
      </c>
      <c r="AS1230" s="50" t="n">
        <f aca="false">AR1230*CB1230</f>
        <v>58.75</v>
      </c>
      <c r="AT1230" s="51" t="n">
        <f aca="false">IF(LEFT(Cockpit!$I$5,1)="A",H1230,IF(CH1230=1,(CK1230+CI1230)/2,IF(LEFT(Cockpit!$I$5,1)="B",(CK1230+AV1230)/2,MAX((CK1230+AV1230)/2,H1230))))</f>
        <v>0.5</v>
      </c>
      <c r="AU1230" s="50" t="n">
        <f aca="false">AT1230*G1230</f>
        <v>80.4</v>
      </c>
      <c r="AV1230" s="50" t="n">
        <f aca="false">ROUNDUP(CK1230+MAX(CL1230,2*(J1230/IF(CG1230&gt;0,CG1230,MAX(0.1,N(Cockpit!$I$6)))-CK1230)),0)</f>
        <v>1</v>
      </c>
      <c r="AW1230" s="51" t="n">
        <f aca="false">IF(AS1230&gt;0,J1230/AS1230,-1)</f>
        <v>0</v>
      </c>
      <c r="AX1230" s="51" t="str">
        <f aca="false">IF(AND(OR(CF1230="L1",CF1230="L23",CF1230="LIFT"),AS1230&gt;0),SUMIFS($AS$7:$AS$1843,$CF$7:$CF$1843,CF1230,$AW$7:$AW$1843,"&gt;"&amp;AW1230)+SUMIFS($AS$7:$AS$1843,$CF$7:$CF$1843,CF1230,$AW$7:$AW$1843,AW1230,$BW$7:$BW$1843,"&lt;="&amp;BW1230),"")</f>
        <v/>
      </c>
      <c r="AY1230" s="58" t="n">
        <f aca="false">IF(AX1230="",0,MAX(0,MIN(1,(IF(CF1230="L1",Parameter!$H$5,IF(CF1230="L23",Parameter!$H$6+Parameter!$H$7,Parameter!$H$5+Parameter!$H$6+Parameter!$H$7))-(AX1230-AS1230))/AS1230)))</f>
        <v>0</v>
      </c>
      <c r="AZ1230" s="50" t="n">
        <f aca="false">IF(LEFT(Cockpit!$O$5,1)="A",H1230,IF(Parameter!$E$30="MAX-Bestand",IF(CH1230=1,CI1230,IF(LEFT(Cockpit!$O$5,1)="B",BF1230,MAX(BF1230,H1230))),ROUNDUP(BD1230,0)))</f>
        <v>1</v>
      </c>
      <c r="BA1230" s="50" t="n">
        <f aca="false">IF(BZ1230=1,0,ROUNDUP(AZ1230/BY1230,0))</f>
        <v>1</v>
      </c>
      <c r="BB1230" s="52" t="n">
        <f aca="false">IF(CQ1230&gt;0,CQ1230*MAX(1,AZ1230/X1230),IF(BZ1230=1,IF(AZ1230&lt;=0,0,CD1230*MAX(1,IF(H1230&gt;0,AZ1230/H1230,1))),IF(R1230&gt;0,BA1230/R1230,0))/MAX(0.1,N(Parameter!$M$21)))</f>
        <v>0.25</v>
      </c>
      <c r="BC1230" s="50" t="n">
        <f aca="false">BB1230*CB1230</f>
        <v>58.75</v>
      </c>
      <c r="BD1230" s="51" t="n">
        <f aca="false">IF(LEFT(Cockpit!$O$5,1)="A",H1230,IF(CH1230=1,(CK1230+CI1230)/2,IF(LEFT(Cockpit!$O$5,1)="B",(CK1230+BF1230)/2,MAX((CK1230+BF1230)/2,H1230))))</f>
        <v>0.5</v>
      </c>
      <c r="BE1230" s="50" t="n">
        <f aca="false">BD1230*G1230</f>
        <v>80.4</v>
      </c>
      <c r="BF1230" s="50" t="n">
        <f aca="false">ROUNDUP(CK1230+MAX(CL1230,2*(J1230/IF(CG1230&gt;0,CG1230,MAX(0.1,N(Cockpit!$O$6)))-CK1230)),0)</f>
        <v>1</v>
      </c>
      <c r="BG1230" s="51" t="n">
        <f aca="false">IF(BC1230&gt;0,J1230/BC1230,-1)</f>
        <v>0</v>
      </c>
      <c r="BH1230" s="51" t="str">
        <f aca="false">IF(AND(OR(CF1230="L1",CF1230="L23",CF1230="LIFT"),BC1230&gt;0),SUMIFS($BC$7:$BC$1843,$CF$7:$CF$1843,CF1230,$BG$7:$BG$1843,"&gt;"&amp;BG1230)+SUMIFS($BC$7:$BC$1843,$CF$7:$CF$1843,CF1230,$BG$7:$BG$1843,BG1230,$BW$7:$BW$1843,"&lt;="&amp;BW1230),"")</f>
        <v/>
      </c>
      <c r="BI1230" s="58" t="n">
        <f aca="false">IF(BH1230="",0,MAX(0,MIN(1,(IF(CF1230="L1",Parameter!$H$5,IF(CF1230="L23",Parameter!$H$6+Parameter!$H$7,Parameter!$H$5+Parameter!$H$6+Parameter!$H$7))-(BH1230-BC1230))/BC1230)))</f>
        <v>0</v>
      </c>
      <c r="BJ1230" s="48" t="str">
        <f aca="false">IF(AI1230&lt;=0,"",IF(CF1230="Aussen","Aussenlager",IF(CF1230="-","Nicht im Lift",IF(AO1230&gt;=1,"Lift",IF(AO1230&lt;=0,"Aussenlager","teilweise")))))</f>
        <v/>
      </c>
      <c r="BK1230" s="48" t="str">
        <f aca="false">IF(AS1230&lt;=0,"",IF(CF1230="Aussen","Aussenlager",IF(CF1230="-","Nicht im Lift",IF(AY1230&gt;=1,"Lift",IF(AY1230&lt;=0,"Aussenlager","teilweise")))))</f>
        <v>Nicht im Lift</v>
      </c>
      <c r="BL1230" s="48" t="str">
        <f aca="false">IF(BC1230&lt;=0,"",IF(CF1230="Aussen","Aussenlager",IF(CF1230="-","Nicht im Lift",IF(BI1230&gt;=1,"Lift",IF(BI1230&lt;=0,"Aussenlager","teilweise")))))</f>
        <v>Nicht im Lift</v>
      </c>
      <c r="BM1230" s="48" t="str">
        <f aca="false">IF(A1230="","",IF(BV1230=1,"Neu; ","")&amp;IF(AND(BV1230=0,BQ1230&lt;0),"negativer Bestand (Export "&amp;BQ1230&amp;"); ","")&amp;IF(J1230&lt;=0,"Kein Verbrauch; ","")&amp;IF(CQ1230&gt;0,"Lift "&amp;W1230&amp;" lt. Liftbericht (Fach "&amp;X1230&amp;" Stk); ",IF(CA1230=1,"Gebinde geschätzt ("&amp;T1230&amp;"); ",IF(BZ1230=1,"Lose – Tablare geschätzt; ","")))&amp;IF(H1230&gt;AV1230,"Überbestand "&amp;ROUND(H1230-AV1230,0)&amp;" Stk / CHF "&amp;ROUND((H1230-AV1230)*G1230,0)&amp;"; ","")&amp;IF(AND(CH1230=1,CI1230&lt;CJ1230),"MAX &lt; MB+LG; ","")&amp;IF(AND(CP1230&gt;0,CO1230*10&gt;CP1230),"zu hoch für Tablar; ","")&amp;IF(AND(BV1230=0,OR(CH1230=1,AA1230&lt;&gt;"",U1230&lt;&gt;"",V1230&lt;&gt;"",AB1230&lt;&gt;"")),"manuell übersteuert; ","")&amp;IF(AND(BZ1230=0,R1230=0),"Gebinde unbekannt / Stellmass fehlt; ","")&amp;IF(AND(BZ1230=0,N(V1230)&lt;=0,N(Q1230)&lt;=0),"Menge pro Gebinde fehlt (Ist = 1 Gebinde); ","")&amp;BU1230)</f>
        <v>negativer Bestand (Export -4); Kein Verbrauch; Gebinde geschätzt (Gross); Menge pro Gebinde fehlt (Ist = 1 Gebinde); </v>
      </c>
      <c r="BN1230" s="48"/>
      <c r="BO1230" s="48"/>
      <c r="BP1230" s="55"/>
      <c r="BQ1230" s="50" t="n">
        <v>-4</v>
      </c>
      <c r="BR1230" s="50" t="n">
        <v>4</v>
      </c>
      <c r="BS1230" s="49" t="n">
        <v>-643.2</v>
      </c>
      <c r="BT1230" s="50" t="n">
        <v>0</v>
      </c>
      <c r="BU1230" s="48"/>
      <c r="BV1230" s="53" t="n">
        <v>0</v>
      </c>
      <c r="BW1230" s="53" t="n">
        <v>1230</v>
      </c>
      <c r="BX1230" s="48" t="str">
        <f aca="false">IF(U1230&lt;&gt;"",UPPER(TRIM(U1230)),IF(CA1230=1,UPPER(VLOOKUP(T1230,Parameter!$I$27:$K$29,2,0)),IF(P1230="","LOSE",P1230)))</f>
        <v>S81</v>
      </c>
      <c r="BY1230" s="50" t="n">
        <f aca="false">IF(BX1230="LOSE",1,IF(N(V1230)&gt;0,V1230,IF(CA1230=1,MAX(1,N(VLOOKUP(T1230,Parameter!$I$27:$K$29,3,0)),H1230,N(N1230)),IF(N(Q1230)&gt;0,Q1230,MAX(1,H1230)))))</f>
        <v>2</v>
      </c>
      <c r="BZ1230" s="53" t="n">
        <f aca="false">IF(BX1230="LOSE",1,0)</f>
        <v>0</v>
      </c>
      <c r="CA1230" s="53" t="n">
        <f aca="false">IF(AND(U1230="",OR(P1230="",P1230="LOSE"),T1230&lt;&gt;"",N(S1230)&lt;=0,ISNUMBER(MATCH(T1230,Parameter!$I$27:$I$29,0))),1,0)</f>
        <v>1</v>
      </c>
      <c r="CB1230" s="53" t="n">
        <f aca="false">IF(CQ1230&gt;0,INDEX(Parameter!$H$5:$H$7,W1230)/INDEX(Parameter!$E$5:$E$7,W1230),IF(AND(BZ1230=0,N(IFERROR(VLOOKUP(BX1230,'Gebinde-Kategorie'!$A$5:$N$45,14,0),0))&gt;0),VLOOKUP(BX1230,'Gebinde-Kategorie'!$A$5:$N$45,14,0)*10+Parameter!$M$23,Parameter!$M$24))</f>
        <v>235</v>
      </c>
      <c r="CC1230" s="48" t="str">
        <f aca="false">IF(AND(Parameter!$B$19="Ja",E1230&lt;&gt;"",ISNUMBER(MATCH(E1230,Parameter!$I$35:$I$52,0))),VLOOKUP(E1230,Parameter!$I$35:$J$52,2,0),IFERROR(VLOOKUP(D1230,Parameter!$A$35:$C$64,2,0),"Nein"))</f>
        <v>Nein</v>
      </c>
      <c r="CD1230" s="52" t="n">
        <f aca="false">IF(BZ1230=0,0,IF(N(S1230)&gt;0,S1230,IFERROR(VLOOKUP(D1230,Parameter!$A$35:$C$64,3,0)+0,0)))</f>
        <v>0</v>
      </c>
      <c r="CE1230" s="48" t="str">
        <f aca="false">IF(AA1230&lt;&gt;"",AA1230,Z1230)</f>
        <v>-</v>
      </c>
      <c r="CF1230" s="48" t="str">
        <f aca="false">IF(OR(CE1230=1,CE1230=2,CE1230=3),IF(Parameter!$E$27="Ja","LIFT",IF(CE1230=1,"L1","L23")),IF(CE1230="Aussen","Aussen","-"))</f>
        <v>-</v>
      </c>
      <c r="CG1230" s="59" t="n">
        <f aca="false">IF(N(AB1230)&gt;0,AB1230,0)</f>
        <v>0</v>
      </c>
      <c r="CH1230" s="53" t="n">
        <f aca="false">IF(ISNUMBER(AE1230),1,0)</f>
        <v>0</v>
      </c>
      <c r="CI1230" s="50" t="n">
        <f aca="false">N(AE1230)</f>
        <v>0</v>
      </c>
      <c r="CJ1230" s="50" t="n">
        <f aca="false">N(M1230)+N(N1230)</f>
        <v>1</v>
      </c>
      <c r="CK1230" s="50" t="n">
        <f aca="false">N(M1230)</f>
        <v>0</v>
      </c>
      <c r="CL1230" s="50" t="n">
        <f aca="false">N(N1230)</f>
        <v>1</v>
      </c>
      <c r="CM1230" s="50" t="n">
        <f aca="false">ROUNDUP(H1230/BY1230,0)</f>
        <v>0</v>
      </c>
      <c r="CN1230" s="50" t="n">
        <f aca="false">ROUNDUP(CI1230/BY1230,0)</f>
        <v>0</v>
      </c>
      <c r="CO1230" s="53" t="n">
        <f aca="false">IF(BZ1230=1,0,IFERROR(VLOOKUP(BX1230,'Gebinde-Kategorie'!$A$5:$N$45,5,0)+0,0))</f>
        <v>20</v>
      </c>
      <c r="CP1230" s="53" t="n">
        <f aca="false">IFERROR(IF(OR(CE1230=1,CE1230=2,CE1230=3),N(INDEX(Parameter!$I$5:$I$7,CE1230)),0),0)</f>
        <v>0</v>
      </c>
      <c r="CQ1230" s="52" t="n">
        <f aca="false">IF(AND(Parameter!$B$21="Ja",ISNUMBER(W1230),N(X1230)&gt;0),IFERROR(N(INDEX(Parameter!$L$5:$L$7,W1230))*INDEX(Parameter!$E$5:$E$7,W1230)*X1230/SUMIFS($X$7:$X$1843,$W$7:$W$1843,W1230),0),0)</f>
        <v>0</v>
      </c>
    </row>
    <row r="1231" customFormat="false" ht="15" hidden="false" customHeight="false" outlineLevel="0" collapsed="false">
      <c r="A1231" s="48" t="s">
        <v>2213</v>
      </c>
      <c r="B1231" s="48" t="s">
        <v>1127</v>
      </c>
      <c r="C1231" s="48" t="s">
        <v>173</v>
      </c>
      <c r="D1231" s="48" t="s">
        <v>193</v>
      </c>
      <c r="E1231" s="48" t="s">
        <v>194</v>
      </c>
      <c r="F1231" s="48" t="s">
        <v>227</v>
      </c>
      <c r="G1231" s="49" t="n">
        <v>36.02</v>
      </c>
      <c r="H1231" s="50" t="n">
        <f aca="false">MAX(0,IF(AND(Parameter!$B$21="Ja",ISNUMBER(Y1231)),Y1231,IF(Parameter!$B$20="Jahresanfang 2025 + Export",BR1231+BQ1231,BQ1231)))</f>
        <v>45</v>
      </c>
      <c r="I1231" s="50" t="n">
        <f aca="false">H1231*G1231</f>
        <v>1620.9</v>
      </c>
      <c r="J1231" s="50" t="n">
        <f aca="false">BT1231*Parameter!$B$18</f>
        <v>2</v>
      </c>
      <c r="K1231" s="51" t="n">
        <v>54.5</v>
      </c>
      <c r="L1231" s="52" t="n">
        <v>0.036697247706422</v>
      </c>
      <c r="M1231" s="50" t="n">
        <v>0</v>
      </c>
      <c r="N1231" s="50" t="n">
        <v>1</v>
      </c>
      <c r="O1231" s="53" t="n">
        <v>56</v>
      </c>
      <c r="P1231" s="48" t="s">
        <v>242</v>
      </c>
      <c r="Q1231" s="50" t="n">
        <v>13</v>
      </c>
      <c r="R1231" s="53" t="n">
        <f aca="false">IF(BZ1231=1,0,IFERROR(VLOOKUP(BX1231,'Gebinde-Kategorie'!$A$5:$N$45,13,0)+0,0))</f>
        <v>26</v>
      </c>
      <c r="S1231" s="54"/>
      <c r="T1231" s="55"/>
      <c r="U1231" s="55"/>
      <c r="V1231" s="55"/>
      <c r="W1231" s="48"/>
      <c r="X1231" s="50"/>
      <c r="Y1231" s="50"/>
      <c r="Z1231" s="48" t="n">
        <f aca="false">IF(A1231="","",IF(AND(Parameter!$B$21="Ja",ISNUMBER(W1231)),W1231,IF(CC1231="2+3",IF(ISNUMBER(SEARCH("grosser Artikel",BU1231)),2,IFERROR(VLOOKUP(BX1231,Parameter!$F$35:$G$64,2,0),2)),IF(OR(CC1231="Nein",CC1231=""),"-",CC1231))))</f>
        <v>3</v>
      </c>
      <c r="AA1231" s="55"/>
      <c r="AB1231" s="56"/>
      <c r="AC1231" s="50" t="n">
        <f aca="false">AV1231</f>
        <v>2</v>
      </c>
      <c r="AD1231" s="50" t="n">
        <f aca="false">MAX(AV1231,H1231)</f>
        <v>45</v>
      </c>
      <c r="AE1231" s="57"/>
      <c r="AF1231" s="50" t="n">
        <f aca="false">IF(LEFT(Cockpit!$C$5,1)="A",H1231,IF(Parameter!$E$30="MAX-Bestand",IF(CH1231=1,CI1231,IF(LEFT(Cockpit!$C$5,1)="B",AL1231,MAX(AL1231,H1231))),ROUNDUP(AJ1231,0)))</f>
        <v>45</v>
      </c>
      <c r="AG1231" s="50" t="n">
        <f aca="false">IF(BZ1231=1,0,ROUNDUP(AF1231/BY1231,0))</f>
        <v>4</v>
      </c>
      <c r="AH1231" s="52" t="n">
        <f aca="false">IF(CQ1231&gt;0,CQ1231*MAX(1,AF1231/X1231),IF(BZ1231=1,IF(AF1231&lt;=0,0,CD1231*MAX(1,IF(H1231&gt;0,AF1231/H1231,1))),IF(R1231&gt;0,AG1231/R1231,0))/MAX(0.1,N(Parameter!$M$21)))</f>
        <v>0.153846153846154</v>
      </c>
      <c r="AI1231" s="50" t="n">
        <f aca="false">AH1231*CB1231</f>
        <v>37.6923076923077</v>
      </c>
      <c r="AJ1231" s="51" t="n">
        <f aca="false">IF(LEFT(Cockpit!$C$5,1)="A",H1231,IF(CH1231=1,(CK1231+CI1231)/2,IF(LEFT(Cockpit!$C$5,1)="B",(CK1231+AL1231)/2,MAX((CK1231+AL1231)/2,H1231))))</f>
        <v>45</v>
      </c>
      <c r="AK1231" s="50" t="n">
        <f aca="false">AJ1231*G1231</f>
        <v>1620.9</v>
      </c>
      <c r="AL1231" s="50" t="n">
        <f aca="false">ROUNDUP(CK1231+MAX(CL1231,2*(J1231/IF(CG1231&gt;0,CG1231,MAX(0.1,N(Cockpit!$C$6)))-CK1231)),0)</f>
        <v>2</v>
      </c>
      <c r="AM1231" s="51" t="n">
        <f aca="false">IF(AI1231&gt;0,J1231/AI1231,-1)</f>
        <v>0.0530612244897959</v>
      </c>
      <c r="AN1231" s="51" t="n">
        <f aca="false">IF(AND(OR(CF1231="L1",CF1231="L23",CF1231="LIFT"),AI1231&gt;0),SUMIFS($AI$7:$AI$1843,$CF$7:$CF$1843,CF1231,$AM$7:$AM$1843,"&gt;"&amp;AM1231)+SUMIFS($AI$7:$AI$1843,$CF$7:$CF$1843,CF1231,$AM$7:$AM$1843,AM1231,$BW$7:$BW$1843,"&lt;="&amp;BW1231),"")</f>
        <v>19026.9155620745</v>
      </c>
      <c r="AO1231" s="58" t="n">
        <f aca="false">IF(AN1231="",0,MAX(0,MIN(1,(IF(CF1231="L1",Parameter!$H$5,IF(CF1231="L23",Parameter!$H$6+Parameter!$H$7,Parameter!$H$5+Parameter!$H$6+Parameter!$H$7))-(AN1231-AI1231))/AI1231)))</f>
        <v>1</v>
      </c>
      <c r="AP1231" s="50" t="n">
        <f aca="false">IF(LEFT(Cockpit!$I$5,1)="A",H1231,IF(Parameter!$E$30="MAX-Bestand",IF(CH1231=1,CI1231,IF(LEFT(Cockpit!$I$5,1)="B",AV1231,MAX(AV1231,H1231))),ROUNDUP(AT1231,0)))</f>
        <v>45</v>
      </c>
      <c r="AQ1231" s="50" t="n">
        <f aca="false">IF(BZ1231=1,0,ROUNDUP(AP1231/BY1231,0))</f>
        <v>4</v>
      </c>
      <c r="AR1231" s="52" t="n">
        <f aca="false">IF(CQ1231&gt;0,CQ1231*MAX(1,AP1231/X1231),IF(BZ1231=1,IF(AP1231&lt;=0,0,CD1231*MAX(1,IF(H1231&gt;0,AP1231/H1231,1))),IF(R1231&gt;0,AQ1231/R1231,0))/MAX(0.1,N(Parameter!$M$21)))</f>
        <v>0.153846153846154</v>
      </c>
      <c r="AS1231" s="50" t="n">
        <f aca="false">AR1231*CB1231</f>
        <v>37.6923076923077</v>
      </c>
      <c r="AT1231" s="51" t="n">
        <f aca="false">IF(LEFT(Cockpit!$I$5,1)="A",H1231,IF(CH1231=1,(CK1231+CI1231)/2,IF(LEFT(Cockpit!$I$5,1)="B",(CK1231+AV1231)/2,MAX((CK1231+AV1231)/2,H1231))))</f>
        <v>45</v>
      </c>
      <c r="AU1231" s="50" t="n">
        <f aca="false">AT1231*G1231</f>
        <v>1620.9</v>
      </c>
      <c r="AV1231" s="50" t="n">
        <f aca="false">ROUNDUP(CK1231+MAX(CL1231,2*(J1231/IF(CG1231&gt;0,CG1231,MAX(0.1,N(Cockpit!$I$6)))-CK1231)),0)</f>
        <v>2</v>
      </c>
      <c r="AW1231" s="51" t="n">
        <f aca="false">IF(AS1231&gt;0,J1231/AS1231,-1)</f>
        <v>0.0530612244897959</v>
      </c>
      <c r="AX1231" s="51" t="n">
        <f aca="false">IF(AND(OR(CF1231="L1",CF1231="L23",CF1231="LIFT"),AS1231&gt;0),SUMIFS($AS$7:$AS$1843,$CF$7:$CF$1843,CF1231,$AW$7:$AW$1843,"&gt;"&amp;AW1231)+SUMIFS($AS$7:$AS$1843,$CF$7:$CF$1843,CF1231,$AW$7:$AW$1843,AW1231,$BW$7:$BW$1843,"&lt;="&amp;BW1231),"")</f>
        <v>24145.0642034519</v>
      </c>
      <c r="AY1231" s="58" t="n">
        <f aca="false">IF(AX1231="",0,MAX(0,MIN(1,(IF(CF1231="L1",Parameter!$H$5,IF(CF1231="L23",Parameter!$H$6+Parameter!$H$7,Parameter!$H$5+Parameter!$H$6+Parameter!$H$7))-(AX1231-AS1231))/AS1231)))</f>
        <v>1</v>
      </c>
      <c r="AZ1231" s="50" t="n">
        <f aca="false">IF(LEFT(Cockpit!$O$5,1)="A",H1231,IF(Parameter!$E$30="MAX-Bestand",IF(CH1231=1,CI1231,IF(LEFT(Cockpit!$O$5,1)="B",BF1231,MAX(BF1231,H1231))),ROUNDUP(BD1231,0)))</f>
        <v>1</v>
      </c>
      <c r="BA1231" s="50" t="n">
        <f aca="false">IF(BZ1231=1,0,ROUNDUP(AZ1231/BY1231,0))</f>
        <v>1</v>
      </c>
      <c r="BB1231" s="52" t="n">
        <f aca="false">IF(CQ1231&gt;0,CQ1231*MAX(1,AZ1231/X1231),IF(BZ1231=1,IF(AZ1231&lt;=0,0,CD1231*MAX(1,IF(H1231&gt;0,AZ1231/H1231,1))),IF(R1231&gt;0,BA1231/R1231,0))/MAX(0.1,N(Parameter!$M$21)))</f>
        <v>0.0384615384615385</v>
      </c>
      <c r="BC1231" s="50" t="n">
        <f aca="false">BB1231*CB1231</f>
        <v>9.42307692307692</v>
      </c>
      <c r="BD1231" s="51" t="n">
        <f aca="false">IF(LEFT(Cockpit!$O$5,1)="A",H1231,IF(CH1231=1,(CK1231+CI1231)/2,IF(LEFT(Cockpit!$O$5,1)="B",(CK1231+BF1231)/2,MAX((CK1231+BF1231)/2,H1231))))</f>
        <v>0.5</v>
      </c>
      <c r="BE1231" s="50" t="n">
        <f aca="false">BD1231*G1231</f>
        <v>18.01</v>
      </c>
      <c r="BF1231" s="50" t="n">
        <f aca="false">ROUNDUP(CK1231+MAX(CL1231,2*(J1231/IF(CG1231&gt;0,CG1231,MAX(0.1,N(Cockpit!$O$6)))-CK1231)),0)</f>
        <v>1</v>
      </c>
      <c r="BG1231" s="51" t="n">
        <f aca="false">IF(BC1231&gt;0,J1231/BC1231,-1)</f>
        <v>0.212244897959184</v>
      </c>
      <c r="BH1231" s="51" t="n">
        <f aca="false">IF(AND(OR(CF1231="L1",CF1231="L23",CF1231="LIFT"),BC1231&gt;0),SUMIFS($BC$7:$BC$1843,$CF$7:$CF$1843,CF1231,$BG$7:$BG$1843,"&gt;"&amp;BG1231)+SUMIFS($BC$7:$BC$1843,$CF$7:$CF$1843,CF1231,$BG$7:$BG$1843,BG1231,$BW$7:$BW$1843,"&lt;="&amp;BW1231),"")</f>
        <v>12363.9363553114</v>
      </c>
      <c r="BI1231" s="58" t="n">
        <f aca="false">IF(BH1231="",0,MAX(0,MIN(1,(IF(CF1231="L1",Parameter!$H$5,IF(CF1231="L23",Parameter!$H$6+Parameter!$H$7,Parameter!$H$5+Parameter!$H$6+Parameter!$H$7))-(BH1231-BC1231))/BC1231)))</f>
        <v>1</v>
      </c>
      <c r="BJ1231" s="48" t="str">
        <f aca="false">IF(AI1231&lt;=0,"",IF(CF1231="Aussen","Aussenlager",IF(CF1231="-","Nicht im Lift",IF(AO1231&gt;=1,"Lift",IF(AO1231&lt;=0,"Aussenlager","teilweise")))))</f>
        <v>Lift</v>
      </c>
      <c r="BK1231" s="48" t="str">
        <f aca="false">IF(AS1231&lt;=0,"",IF(CF1231="Aussen","Aussenlager",IF(CF1231="-","Nicht im Lift",IF(AY1231&gt;=1,"Lift",IF(AY1231&lt;=0,"Aussenlager","teilweise")))))</f>
        <v>Lift</v>
      </c>
      <c r="BL1231" s="48" t="str">
        <f aca="false">IF(BC1231&lt;=0,"",IF(CF1231="Aussen","Aussenlager",IF(CF1231="-","Nicht im Lift",IF(BI1231&gt;=1,"Lift",IF(BI1231&lt;=0,"Aussenlager","teilweise")))))</f>
        <v>Lift</v>
      </c>
      <c r="BM1231" s="48" t="str">
        <f aca="false">IF(A1231="","",IF(BV1231=1,"Neu; ","")&amp;IF(AND(BV1231=0,BQ1231&lt;0),"negativer Bestand (Export "&amp;BQ1231&amp;"); ","")&amp;IF(J1231&lt;=0,"Kein Verbrauch; ","")&amp;IF(CQ1231&gt;0,"Lift "&amp;W1231&amp;" lt. Liftbericht (Fach "&amp;X1231&amp;" Stk); ",IF(CA1231=1,"Gebinde geschätzt ("&amp;T1231&amp;"); ",IF(BZ1231=1,"Lose – Tablare geschätzt; ","")))&amp;IF(H1231&gt;AV1231,"Überbestand "&amp;ROUND(H1231-AV1231,0)&amp;" Stk / CHF "&amp;ROUND((H1231-AV1231)*G1231,0)&amp;"; ","")&amp;IF(AND(CH1231=1,CI1231&lt;CJ1231),"MAX &lt; MB+LG; ","")&amp;IF(AND(CP1231&gt;0,CO1231*10&gt;CP1231),"zu hoch für Tablar; ","")&amp;IF(AND(BV1231=0,OR(CH1231=1,AA1231&lt;&gt;"",U1231&lt;&gt;"",V1231&lt;&gt;"",AB1231&lt;&gt;"")),"manuell übersteuert; ","")&amp;IF(AND(BZ1231=0,R1231=0),"Gebinde unbekannt / Stellmass fehlt; ","")&amp;IF(AND(BZ1231=0,N(V1231)&lt;=0,N(Q1231)&lt;=0),"Menge pro Gebinde fehlt (Ist = 1 Gebinde); ","")&amp;BU1231)</f>
        <v>negativer Bestand (Export -18); Überbestand 43 Stk / CHF 1549; </v>
      </c>
      <c r="BN1231" s="48"/>
      <c r="BO1231" s="48"/>
      <c r="BP1231" s="55"/>
      <c r="BQ1231" s="50" t="n">
        <v>-18</v>
      </c>
      <c r="BR1231" s="50" t="n">
        <v>63</v>
      </c>
      <c r="BS1231" s="49" t="n">
        <v>-648.36</v>
      </c>
      <c r="BT1231" s="50" t="n">
        <v>2</v>
      </c>
      <c r="BU1231" s="48"/>
      <c r="BV1231" s="53" t="n">
        <v>0</v>
      </c>
      <c r="BW1231" s="53" t="n">
        <v>1231</v>
      </c>
      <c r="BX1231" s="48" t="str">
        <f aca="false">IF(U1231&lt;&gt;"",UPPER(TRIM(U1231)),IF(CA1231=1,UPPER(VLOOKUP(T1231,Parameter!$I$27:$K$29,2,0)),IF(P1231="","LOSE",P1231)))</f>
        <v>S52</v>
      </c>
      <c r="BY1231" s="50" t="n">
        <f aca="false">IF(BX1231="LOSE",1,IF(N(V1231)&gt;0,V1231,IF(CA1231=1,MAX(1,N(VLOOKUP(T1231,Parameter!$I$27:$K$29,3,0)),H1231,N(N1231)),IF(N(Q1231)&gt;0,Q1231,MAX(1,H1231)))))</f>
        <v>13</v>
      </c>
      <c r="BZ1231" s="53" t="n">
        <f aca="false">IF(BX1231="LOSE",1,0)</f>
        <v>0</v>
      </c>
      <c r="CA1231" s="53" t="n">
        <f aca="false">IF(AND(U1231="",OR(P1231="",P1231="LOSE"),T1231&lt;&gt;"",N(S1231)&lt;=0,ISNUMBER(MATCH(T1231,Parameter!$I$27:$I$29,0))),1,0)</f>
        <v>0</v>
      </c>
      <c r="CB1231" s="53" t="n">
        <f aca="false">IF(CQ1231&gt;0,INDEX(Parameter!$H$5:$H$7,W1231)/INDEX(Parameter!$E$5:$E$7,W1231),IF(AND(BZ1231=0,N(IFERROR(VLOOKUP(BX1231,'Gebinde-Kategorie'!$A$5:$N$45,14,0),0))&gt;0),VLOOKUP(BX1231,'Gebinde-Kategorie'!$A$5:$N$45,14,0)*10+Parameter!$M$23,Parameter!$M$24))</f>
        <v>245</v>
      </c>
      <c r="CC1231" s="48" t="str">
        <f aca="false">IF(AND(Parameter!$B$19="Ja",E1231&lt;&gt;"",ISNUMBER(MATCH(E1231,Parameter!$I$35:$I$52,0))),VLOOKUP(E1231,Parameter!$I$35:$J$52,2,0),IFERROR(VLOOKUP(D1231,Parameter!$A$35:$C$64,2,0),"Nein"))</f>
        <v>2+3</v>
      </c>
      <c r="CD1231" s="52" t="n">
        <f aca="false">IF(BZ1231=0,0,IF(N(S1231)&gt;0,S1231,IFERROR(VLOOKUP(D1231,Parameter!$A$35:$C$64,3,0)+0,0)))</f>
        <v>0</v>
      </c>
      <c r="CE1231" s="48" t="n">
        <f aca="false">IF(AA1231&lt;&gt;"",AA1231,Z1231)</f>
        <v>3</v>
      </c>
      <c r="CF1231" s="48" t="str">
        <f aca="false">IF(OR(CE1231=1,CE1231=2,CE1231=3),IF(Parameter!$E$27="Ja","LIFT",IF(CE1231=1,"L1","L23")),IF(CE1231="Aussen","Aussen","-"))</f>
        <v>LIFT</v>
      </c>
      <c r="CG1231" s="59" t="n">
        <f aca="false">IF(N(AB1231)&gt;0,AB1231,0)</f>
        <v>0</v>
      </c>
      <c r="CH1231" s="53" t="n">
        <f aca="false">IF(ISNUMBER(AE1231),1,0)</f>
        <v>0</v>
      </c>
      <c r="CI1231" s="50" t="n">
        <f aca="false">N(AE1231)</f>
        <v>0</v>
      </c>
      <c r="CJ1231" s="50" t="n">
        <f aca="false">N(M1231)+N(N1231)</f>
        <v>1</v>
      </c>
      <c r="CK1231" s="50" t="n">
        <f aca="false">N(M1231)</f>
        <v>0</v>
      </c>
      <c r="CL1231" s="50" t="n">
        <f aca="false">N(N1231)</f>
        <v>1</v>
      </c>
      <c r="CM1231" s="50" t="n">
        <f aca="false">ROUNDUP(H1231/BY1231,0)</f>
        <v>4</v>
      </c>
      <c r="CN1231" s="50" t="n">
        <f aca="false">ROUNDUP(CI1231/BY1231,0)</f>
        <v>0</v>
      </c>
      <c r="CO1231" s="53" t="n">
        <f aca="false">IF(BZ1231=1,0,IFERROR(VLOOKUP(BX1231,'Gebinde-Kategorie'!$A$5:$N$45,5,0)+0,0))</f>
        <v>21</v>
      </c>
      <c r="CP1231" s="53" t="n">
        <f aca="false">IFERROR(IF(OR(CE1231=1,CE1231=2,CE1231=3),N(INDEX(Parameter!$I$5:$I$7,CE1231)),0),0)</f>
        <v>0</v>
      </c>
      <c r="CQ1231" s="52" t="n">
        <f aca="false">IF(AND(Parameter!$B$21="Ja",ISNUMBER(W1231),N(X1231)&gt;0),IFERROR(N(INDEX(Parameter!$L$5:$L$7,W1231))*INDEX(Parameter!$E$5:$E$7,W1231)*X1231/SUMIFS($X$7:$X$1843,$W$7:$W$1843,W1231),0),0)</f>
        <v>0</v>
      </c>
    </row>
    <row r="1232" customFormat="false" ht="15" hidden="false" customHeight="false" outlineLevel="0" collapsed="false">
      <c r="A1232" s="48" t="s">
        <v>2214</v>
      </c>
      <c r="B1232" s="48" t="s">
        <v>2215</v>
      </c>
      <c r="C1232" s="48" t="s">
        <v>465</v>
      </c>
      <c r="D1232" s="48" t="s">
        <v>182</v>
      </c>
      <c r="E1232" s="48"/>
      <c r="F1232" s="48" t="s">
        <v>227</v>
      </c>
      <c r="G1232" s="49" t="n">
        <v>93.59</v>
      </c>
      <c r="H1232" s="50" t="n">
        <f aca="false">MAX(0,IF(AND(Parameter!$B$21="Ja",ISNUMBER(Y1232)),Y1232,IF(Parameter!$B$20="Jahresanfang 2025 + Export",BR1232+BQ1232,BQ1232)))</f>
        <v>0</v>
      </c>
      <c r="I1232" s="50" t="n">
        <f aca="false">H1232*G1232</f>
        <v>0</v>
      </c>
      <c r="J1232" s="50" t="n">
        <f aca="false">BT1232*Parameter!$B$18</f>
        <v>0</v>
      </c>
      <c r="K1232" s="51" t="n">
        <v>3.5</v>
      </c>
      <c r="L1232" s="52" t="n">
        <v>0</v>
      </c>
      <c r="M1232" s="50" t="n">
        <v>0</v>
      </c>
      <c r="N1232" s="50" t="n">
        <v>1</v>
      </c>
      <c r="O1232" s="53" t="n">
        <v>56</v>
      </c>
      <c r="P1232" s="48" t="s">
        <v>177</v>
      </c>
      <c r="Q1232" s="50"/>
      <c r="R1232" s="53" t="n">
        <f aca="false">IF(BZ1232=1,0,IFERROR(VLOOKUP(BX1232,'Gebinde-Kategorie'!$A$5:$N$45,13,0)+0,0))</f>
        <v>4</v>
      </c>
      <c r="S1232" s="54"/>
      <c r="T1232" s="55" t="s">
        <v>198</v>
      </c>
      <c r="U1232" s="55"/>
      <c r="V1232" s="55"/>
      <c r="W1232" s="48"/>
      <c r="X1232" s="50"/>
      <c r="Y1232" s="50"/>
      <c r="Z1232" s="48" t="n">
        <f aca="false">IF(A1232="","",IF(AND(Parameter!$B$21="Ja",ISNUMBER(W1232)),W1232,IF(CC1232="2+3",IF(ISNUMBER(SEARCH("grosser Artikel",BU1232)),2,IFERROR(VLOOKUP(BX1232,Parameter!$F$35:$G$64,2,0),2)),IF(OR(CC1232="Nein",CC1232=""),"-",CC1232))))</f>
        <v>2</v>
      </c>
      <c r="AA1232" s="55"/>
      <c r="AB1232" s="56"/>
      <c r="AC1232" s="50" t="n">
        <f aca="false">AV1232</f>
        <v>1</v>
      </c>
      <c r="AD1232" s="50" t="n">
        <f aca="false">MAX(AV1232,H1232)</f>
        <v>1</v>
      </c>
      <c r="AE1232" s="57"/>
      <c r="AF1232" s="50" t="n">
        <f aca="false">IF(LEFT(Cockpit!$C$5,1)="A",H1232,IF(Parameter!$E$30="MAX-Bestand",IF(CH1232=1,CI1232,IF(LEFT(Cockpit!$C$5,1)="B",AL1232,MAX(AL1232,H1232))),ROUNDUP(AJ1232,0)))</f>
        <v>0</v>
      </c>
      <c r="AG1232" s="50" t="n">
        <f aca="false">IF(BZ1232=1,0,ROUNDUP(AF1232/BY1232,0))</f>
        <v>0</v>
      </c>
      <c r="AH1232" s="52" t="n">
        <f aca="false">IF(CQ1232&gt;0,CQ1232*MAX(1,AF1232/X1232),IF(BZ1232=1,IF(AF1232&lt;=0,0,CD1232*MAX(1,IF(H1232&gt;0,AF1232/H1232,1))),IF(R1232&gt;0,AG1232/R1232,0))/MAX(0.1,N(Parameter!$M$21)))</f>
        <v>0</v>
      </c>
      <c r="AI1232" s="50" t="n">
        <f aca="false">AH1232*CB1232</f>
        <v>0</v>
      </c>
      <c r="AJ1232" s="51" t="n">
        <f aca="false">IF(LEFT(Cockpit!$C$5,1)="A",H1232,IF(CH1232=1,(CK1232+CI1232)/2,IF(LEFT(Cockpit!$C$5,1)="B",(CK1232+AL1232)/2,MAX((CK1232+AL1232)/2,H1232))))</f>
        <v>0</v>
      </c>
      <c r="AK1232" s="50" t="n">
        <f aca="false">AJ1232*G1232</f>
        <v>0</v>
      </c>
      <c r="AL1232" s="50" t="n">
        <f aca="false">ROUNDUP(CK1232+MAX(CL1232,2*(J1232/IF(CG1232&gt;0,CG1232,MAX(0.1,N(Cockpit!$C$6)))-CK1232)),0)</f>
        <v>1</v>
      </c>
      <c r="AM1232" s="51" t="n">
        <f aca="false">IF(AI1232&gt;0,J1232/AI1232,-1)</f>
        <v>-1</v>
      </c>
      <c r="AN1232" s="51" t="str">
        <f aca="false">IF(AND(OR(CF1232="L1",CF1232="L23",CF1232="LIFT"),AI1232&gt;0),SUMIFS($AI$7:$AI$1843,$CF$7:$CF$1843,CF1232,$AM$7:$AM$1843,"&gt;"&amp;AM1232)+SUMIFS($AI$7:$AI$1843,$CF$7:$CF$1843,CF1232,$AM$7:$AM$1843,AM1232,$BW$7:$BW$1843,"&lt;="&amp;BW1232),"")</f>
        <v/>
      </c>
      <c r="AO1232" s="58" t="n">
        <f aca="false">IF(AN1232="",0,MAX(0,MIN(1,(IF(CF1232="L1",Parameter!$H$5,IF(CF1232="L23",Parameter!$H$6+Parameter!$H$7,Parameter!$H$5+Parameter!$H$6+Parameter!$H$7))-(AN1232-AI1232))/AI1232)))</f>
        <v>0</v>
      </c>
      <c r="AP1232" s="50" t="n">
        <f aca="false">IF(LEFT(Cockpit!$I$5,1)="A",H1232,IF(Parameter!$E$30="MAX-Bestand",IF(CH1232=1,CI1232,IF(LEFT(Cockpit!$I$5,1)="B",AV1232,MAX(AV1232,H1232))),ROUNDUP(AT1232,0)))</f>
        <v>1</v>
      </c>
      <c r="AQ1232" s="50" t="n">
        <f aca="false">IF(BZ1232=1,0,ROUNDUP(AP1232/BY1232,0))</f>
        <v>1</v>
      </c>
      <c r="AR1232" s="52" t="n">
        <f aca="false">IF(CQ1232&gt;0,CQ1232*MAX(1,AP1232/X1232),IF(BZ1232=1,IF(AP1232&lt;=0,0,CD1232*MAX(1,IF(H1232&gt;0,AP1232/H1232,1))),IF(R1232&gt;0,AQ1232/R1232,0))/MAX(0.1,N(Parameter!$M$21)))</f>
        <v>0.25</v>
      </c>
      <c r="AS1232" s="50" t="n">
        <f aca="false">AR1232*CB1232</f>
        <v>58.75</v>
      </c>
      <c r="AT1232" s="51" t="n">
        <f aca="false">IF(LEFT(Cockpit!$I$5,1)="A",H1232,IF(CH1232=1,(CK1232+CI1232)/2,IF(LEFT(Cockpit!$I$5,1)="B",(CK1232+AV1232)/2,MAX((CK1232+AV1232)/2,H1232))))</f>
        <v>0.5</v>
      </c>
      <c r="AU1232" s="50" t="n">
        <f aca="false">AT1232*G1232</f>
        <v>46.795</v>
      </c>
      <c r="AV1232" s="50" t="n">
        <f aca="false">ROUNDUP(CK1232+MAX(CL1232,2*(J1232/IF(CG1232&gt;0,CG1232,MAX(0.1,N(Cockpit!$I$6)))-CK1232)),0)</f>
        <v>1</v>
      </c>
      <c r="AW1232" s="51" t="n">
        <f aca="false">IF(AS1232&gt;0,J1232/AS1232,-1)</f>
        <v>0</v>
      </c>
      <c r="AX1232" s="51" t="n">
        <f aca="false">IF(AND(OR(CF1232="L1",CF1232="L23",CF1232="LIFT"),AS1232&gt;0),SUMIFS($AS$7:$AS$1843,$CF$7:$CF$1843,CF1232,$AW$7:$AW$1843,"&gt;"&amp;AW1232)+SUMIFS($AS$7:$AS$1843,$CF$7:$CF$1843,CF1232,$AW$7:$AW$1843,AW1232,$BW$7:$BW$1843,"&lt;="&amp;BW1232),"")</f>
        <v>35309.7376373626</v>
      </c>
      <c r="AY1232" s="58" t="n">
        <f aca="false">IF(AX1232="",0,MAX(0,MIN(1,(IF(CF1232="L1",Parameter!$H$5,IF(CF1232="L23",Parameter!$H$6+Parameter!$H$7,Parameter!$H$5+Parameter!$H$6+Parameter!$H$7))-(AX1232-AS1232))/AS1232)))</f>
        <v>1</v>
      </c>
      <c r="AZ1232" s="50" t="n">
        <f aca="false">IF(LEFT(Cockpit!$O$5,1)="A",H1232,IF(Parameter!$E$30="MAX-Bestand",IF(CH1232=1,CI1232,IF(LEFT(Cockpit!$O$5,1)="B",BF1232,MAX(BF1232,H1232))),ROUNDUP(BD1232,0)))</f>
        <v>1</v>
      </c>
      <c r="BA1232" s="50" t="n">
        <f aca="false">IF(BZ1232=1,0,ROUNDUP(AZ1232/BY1232,0))</f>
        <v>1</v>
      </c>
      <c r="BB1232" s="52" t="n">
        <f aca="false">IF(CQ1232&gt;0,CQ1232*MAX(1,AZ1232/X1232),IF(BZ1232=1,IF(AZ1232&lt;=0,0,CD1232*MAX(1,IF(H1232&gt;0,AZ1232/H1232,1))),IF(R1232&gt;0,BA1232/R1232,0))/MAX(0.1,N(Parameter!$M$21)))</f>
        <v>0.25</v>
      </c>
      <c r="BC1232" s="50" t="n">
        <f aca="false">BB1232*CB1232</f>
        <v>58.75</v>
      </c>
      <c r="BD1232" s="51" t="n">
        <f aca="false">IF(LEFT(Cockpit!$O$5,1)="A",H1232,IF(CH1232=1,(CK1232+CI1232)/2,IF(LEFT(Cockpit!$O$5,1)="B",(CK1232+BF1232)/2,MAX((CK1232+BF1232)/2,H1232))))</f>
        <v>0.5</v>
      </c>
      <c r="BE1232" s="50" t="n">
        <f aca="false">BD1232*G1232</f>
        <v>46.795</v>
      </c>
      <c r="BF1232" s="50" t="n">
        <f aca="false">ROUNDUP(CK1232+MAX(CL1232,2*(J1232/IF(CG1232&gt;0,CG1232,MAX(0.1,N(Cockpit!$O$6)))-CK1232)),0)</f>
        <v>1</v>
      </c>
      <c r="BG1232" s="51" t="n">
        <f aca="false">IF(BC1232&gt;0,J1232/BC1232,-1)</f>
        <v>0</v>
      </c>
      <c r="BH1232" s="51" t="n">
        <f aca="false">IF(AND(OR(CF1232="L1",CF1232="L23",CF1232="LIFT"),BC1232&gt;0),SUMIFS($BC$7:$BC$1843,$CF$7:$CF$1843,CF1232,$BG$7:$BG$1843,"&gt;"&amp;BG1232)+SUMIFS($BC$7:$BC$1843,$CF$7:$CF$1843,CF1232,$BG$7:$BG$1843,BG1232,$BW$7:$BW$1843,"&lt;="&amp;BW1232),"")</f>
        <v>29295.0442975104</v>
      </c>
      <c r="BI1232" s="58" t="n">
        <f aca="false">IF(BH1232="",0,MAX(0,MIN(1,(IF(CF1232="L1",Parameter!$H$5,IF(CF1232="L23",Parameter!$H$6+Parameter!$H$7,Parameter!$H$5+Parameter!$H$6+Parameter!$H$7))-(BH1232-BC1232))/BC1232)))</f>
        <v>1</v>
      </c>
      <c r="BJ1232" s="48" t="str">
        <f aca="false">IF(AI1232&lt;=0,"",IF(CF1232="Aussen","Aussenlager",IF(CF1232="-","Nicht im Lift",IF(AO1232&gt;=1,"Lift",IF(AO1232&lt;=0,"Aussenlager","teilweise")))))</f>
        <v/>
      </c>
      <c r="BK1232" s="48" t="str">
        <f aca="false">IF(AS1232&lt;=0,"",IF(CF1232="Aussen","Aussenlager",IF(CF1232="-","Nicht im Lift",IF(AY1232&gt;=1,"Lift",IF(AY1232&lt;=0,"Aussenlager","teilweise")))))</f>
        <v>Lift</v>
      </c>
      <c r="BL1232" s="48" t="str">
        <f aca="false">IF(BC1232&lt;=0,"",IF(CF1232="Aussen","Aussenlager",IF(CF1232="-","Nicht im Lift",IF(BI1232&gt;=1,"Lift",IF(BI1232&lt;=0,"Aussenlager","teilweise")))))</f>
        <v>Lift</v>
      </c>
      <c r="BM1232" s="48" t="str">
        <f aca="false">IF(A1232="","",IF(BV1232=1,"Neu; ","")&amp;IF(AND(BV1232=0,BQ1232&lt;0),"negativer Bestand (Export "&amp;BQ1232&amp;"); ","")&amp;IF(J1232&lt;=0,"Kein Verbrauch; ","")&amp;IF(CQ1232&gt;0,"Lift "&amp;W1232&amp;" lt. Liftbericht (Fach "&amp;X1232&amp;" Stk); ",IF(CA1232=1,"Gebinde geschätzt ("&amp;T1232&amp;"); ",IF(BZ1232=1,"Lose – Tablare geschätzt; ","")))&amp;IF(H1232&gt;AV1232,"Überbestand "&amp;ROUND(H1232-AV1232,0)&amp;" Stk / CHF "&amp;ROUND((H1232-AV1232)*G1232,0)&amp;"; ","")&amp;IF(AND(CH1232=1,CI1232&lt;CJ1232),"MAX &lt; MB+LG; ","")&amp;IF(AND(CP1232&gt;0,CO1232*10&gt;CP1232),"zu hoch für Tablar; ","")&amp;IF(AND(BV1232=0,OR(CH1232=1,AA1232&lt;&gt;"",U1232&lt;&gt;"",V1232&lt;&gt;"",AB1232&lt;&gt;"")),"manuell übersteuert; ","")&amp;IF(AND(BZ1232=0,R1232=0),"Gebinde unbekannt / Stellmass fehlt; ","")&amp;IF(AND(BZ1232=0,N(V1232)&lt;=0,N(Q1232)&lt;=0),"Menge pro Gebinde fehlt (Ist = 1 Gebinde); ","")&amp;BU1232)</f>
        <v>negativer Bestand (Export -7); Kein Verbrauch; Gebinde geschätzt (Gross); Menge pro Gebinde fehlt (Ist = 1 Gebinde); Neuer Art.</v>
      </c>
      <c r="BN1232" s="48"/>
      <c r="BO1232" s="48"/>
      <c r="BP1232" s="55"/>
      <c r="BQ1232" s="50" t="n">
        <v>-7</v>
      </c>
      <c r="BR1232" s="50" t="n">
        <v>7</v>
      </c>
      <c r="BS1232" s="49" t="n">
        <v>-655.13</v>
      </c>
      <c r="BT1232" s="50" t="n">
        <v>0</v>
      </c>
      <c r="BU1232" s="48" t="s">
        <v>521</v>
      </c>
      <c r="BV1232" s="53" t="n">
        <v>0</v>
      </c>
      <c r="BW1232" s="53" t="n">
        <v>1232</v>
      </c>
      <c r="BX1232" s="48" t="str">
        <f aca="false">IF(U1232&lt;&gt;"",UPPER(TRIM(U1232)),IF(CA1232=1,UPPER(VLOOKUP(T1232,Parameter!$I$27:$K$29,2,0)),IF(P1232="","LOSE",P1232)))</f>
        <v>S81</v>
      </c>
      <c r="BY1232" s="50" t="n">
        <f aca="false">IF(BX1232="LOSE",1,IF(N(V1232)&gt;0,V1232,IF(CA1232=1,MAX(1,N(VLOOKUP(T1232,Parameter!$I$27:$K$29,3,0)),H1232,N(N1232)),IF(N(Q1232)&gt;0,Q1232,MAX(1,H1232)))))</f>
        <v>2</v>
      </c>
      <c r="BZ1232" s="53" t="n">
        <f aca="false">IF(BX1232="LOSE",1,0)</f>
        <v>0</v>
      </c>
      <c r="CA1232" s="53" t="n">
        <f aca="false">IF(AND(U1232="",OR(P1232="",P1232="LOSE"),T1232&lt;&gt;"",N(S1232)&lt;=0,ISNUMBER(MATCH(T1232,Parameter!$I$27:$I$29,0))),1,0)</f>
        <v>1</v>
      </c>
      <c r="CB1232" s="53" t="n">
        <f aca="false">IF(CQ1232&gt;0,INDEX(Parameter!$H$5:$H$7,W1232)/INDEX(Parameter!$E$5:$E$7,W1232),IF(AND(BZ1232=0,N(IFERROR(VLOOKUP(BX1232,'Gebinde-Kategorie'!$A$5:$N$45,14,0),0))&gt;0),VLOOKUP(BX1232,'Gebinde-Kategorie'!$A$5:$N$45,14,0)*10+Parameter!$M$23,Parameter!$M$24))</f>
        <v>235</v>
      </c>
      <c r="CC1232" s="48" t="str">
        <f aca="false">IF(AND(Parameter!$B$19="Ja",E1232&lt;&gt;"",ISNUMBER(MATCH(E1232,Parameter!$I$35:$I$52,0))),VLOOKUP(E1232,Parameter!$I$35:$J$52,2,0),IFERROR(VLOOKUP(D1232,Parameter!$A$35:$C$64,2,0),"Nein"))</f>
        <v>2+3</v>
      </c>
      <c r="CD1232" s="52" t="n">
        <f aca="false">IF(BZ1232=0,0,IF(N(S1232)&gt;0,S1232,IFERROR(VLOOKUP(D1232,Parameter!$A$35:$C$64,3,0)+0,0)))</f>
        <v>0</v>
      </c>
      <c r="CE1232" s="48" t="n">
        <f aca="false">IF(AA1232&lt;&gt;"",AA1232,Z1232)</f>
        <v>2</v>
      </c>
      <c r="CF1232" s="48" t="str">
        <f aca="false">IF(OR(CE1232=1,CE1232=2,CE1232=3),IF(Parameter!$E$27="Ja","LIFT",IF(CE1232=1,"L1","L23")),IF(CE1232="Aussen","Aussen","-"))</f>
        <v>LIFT</v>
      </c>
      <c r="CG1232" s="59" t="n">
        <f aca="false">IF(N(AB1232)&gt;0,AB1232,0)</f>
        <v>0</v>
      </c>
      <c r="CH1232" s="53" t="n">
        <f aca="false">IF(ISNUMBER(AE1232),1,0)</f>
        <v>0</v>
      </c>
      <c r="CI1232" s="50" t="n">
        <f aca="false">N(AE1232)</f>
        <v>0</v>
      </c>
      <c r="CJ1232" s="50" t="n">
        <f aca="false">N(M1232)+N(N1232)</f>
        <v>1</v>
      </c>
      <c r="CK1232" s="50" t="n">
        <f aca="false">N(M1232)</f>
        <v>0</v>
      </c>
      <c r="CL1232" s="50" t="n">
        <f aca="false">N(N1232)</f>
        <v>1</v>
      </c>
      <c r="CM1232" s="50" t="n">
        <f aca="false">ROUNDUP(H1232/BY1232,0)</f>
        <v>0</v>
      </c>
      <c r="CN1232" s="50" t="n">
        <f aca="false">ROUNDUP(CI1232/BY1232,0)</f>
        <v>0</v>
      </c>
      <c r="CO1232" s="53" t="n">
        <f aca="false">IF(BZ1232=1,0,IFERROR(VLOOKUP(BX1232,'Gebinde-Kategorie'!$A$5:$N$45,5,0)+0,0))</f>
        <v>20</v>
      </c>
      <c r="CP1232" s="53" t="n">
        <f aca="false">IFERROR(IF(OR(CE1232=1,CE1232=2,CE1232=3),N(INDEX(Parameter!$I$5:$I$7,CE1232)),0),0)</f>
        <v>0</v>
      </c>
      <c r="CQ1232" s="52" t="n">
        <f aca="false">IF(AND(Parameter!$B$21="Ja",ISNUMBER(W1232),N(X1232)&gt;0),IFERROR(N(INDEX(Parameter!$L$5:$L$7,W1232))*INDEX(Parameter!$E$5:$E$7,W1232)*X1232/SUMIFS($X$7:$X$1843,$W$7:$W$1843,W1232),0),0)</f>
        <v>0</v>
      </c>
    </row>
    <row r="1233" customFormat="false" ht="15" hidden="false" customHeight="false" outlineLevel="0" collapsed="false">
      <c r="A1233" s="48" t="s">
        <v>2216</v>
      </c>
      <c r="B1233" s="48" t="s">
        <v>2217</v>
      </c>
      <c r="C1233" s="48" t="s">
        <v>173</v>
      </c>
      <c r="D1233" s="48" t="s">
        <v>182</v>
      </c>
      <c r="E1233" s="48" t="s">
        <v>194</v>
      </c>
      <c r="F1233" s="48" t="s">
        <v>227</v>
      </c>
      <c r="G1233" s="49" t="n">
        <v>131.25</v>
      </c>
      <c r="H1233" s="50" t="n">
        <f aca="false">MAX(0,IF(AND(Parameter!$B$21="Ja",ISNUMBER(Y1233)),Y1233,IF(Parameter!$B$20="Jahresanfang 2025 + Export",BR1233+BQ1233,BQ1233)))</f>
        <v>8</v>
      </c>
      <c r="I1233" s="50" t="n">
        <f aca="false">H1233*G1233</f>
        <v>1050</v>
      </c>
      <c r="J1233" s="50" t="n">
        <f aca="false">BT1233*Parameter!$B$18</f>
        <v>6</v>
      </c>
      <c r="K1233" s="51" t="n">
        <v>9.5</v>
      </c>
      <c r="L1233" s="52" t="n">
        <v>0.631578947368421</v>
      </c>
      <c r="M1233" s="50" t="n">
        <v>0</v>
      </c>
      <c r="N1233" s="50" t="n">
        <v>5</v>
      </c>
      <c r="O1233" s="53" t="n">
        <v>21</v>
      </c>
      <c r="P1233" s="48" t="s">
        <v>268</v>
      </c>
      <c r="Q1233" s="50" t="n">
        <v>6</v>
      </c>
      <c r="R1233" s="53" t="n">
        <f aca="false">IF(BZ1233=1,0,IFERROR(VLOOKUP(BX1233,'Gebinde-Kategorie'!$A$5:$N$45,13,0)+0,0))</f>
        <v>6</v>
      </c>
      <c r="S1233" s="54"/>
      <c r="T1233" s="55"/>
      <c r="U1233" s="55"/>
      <c r="V1233" s="55"/>
      <c r="W1233" s="48"/>
      <c r="X1233" s="50"/>
      <c r="Y1233" s="50"/>
      <c r="Z1233" s="48" t="n">
        <f aca="false">IF(A1233="","",IF(AND(Parameter!$B$21="Ja",ISNUMBER(W1233)),W1233,IF(CC1233="2+3",IF(ISNUMBER(SEARCH("grosser Artikel",BU1233)),2,IFERROR(VLOOKUP(BX1233,Parameter!$F$35:$G$64,2,0),2)),IF(OR(CC1233="Nein",CC1233=""),"-",CC1233))))</f>
        <v>2</v>
      </c>
      <c r="AA1233" s="55"/>
      <c r="AB1233" s="56"/>
      <c r="AC1233" s="50" t="n">
        <f aca="false">AV1233</f>
        <v>5</v>
      </c>
      <c r="AD1233" s="50" t="n">
        <f aca="false">MAX(AV1233,H1233)</f>
        <v>8</v>
      </c>
      <c r="AE1233" s="57"/>
      <c r="AF1233" s="50" t="n">
        <f aca="false">IF(LEFT(Cockpit!$C$5,1)="A",H1233,IF(Parameter!$E$30="MAX-Bestand",IF(CH1233=1,CI1233,IF(LEFT(Cockpit!$C$5,1)="B",AL1233,MAX(AL1233,H1233))),ROUNDUP(AJ1233,0)))</f>
        <v>8</v>
      </c>
      <c r="AG1233" s="50" t="n">
        <f aca="false">IF(BZ1233=1,0,ROUNDUP(AF1233/BY1233,0))</f>
        <v>2</v>
      </c>
      <c r="AH1233" s="52" t="n">
        <f aca="false">IF(CQ1233&gt;0,CQ1233*MAX(1,AF1233/X1233),IF(BZ1233=1,IF(AF1233&lt;=0,0,CD1233*MAX(1,IF(H1233&gt;0,AF1233/H1233,1))),IF(R1233&gt;0,AG1233/R1233,0))/MAX(0.1,N(Parameter!$M$21)))</f>
        <v>0.333333333333333</v>
      </c>
      <c r="AI1233" s="50" t="n">
        <f aca="false">AH1233*CB1233</f>
        <v>145</v>
      </c>
      <c r="AJ1233" s="51" t="n">
        <f aca="false">IF(LEFT(Cockpit!$C$5,1)="A",H1233,IF(CH1233=1,(CK1233+CI1233)/2,IF(LEFT(Cockpit!$C$5,1)="B",(CK1233+AL1233)/2,MAX((CK1233+AL1233)/2,H1233))))</f>
        <v>8</v>
      </c>
      <c r="AK1233" s="50" t="n">
        <f aca="false">AJ1233*G1233</f>
        <v>1050</v>
      </c>
      <c r="AL1233" s="50" t="n">
        <f aca="false">ROUNDUP(CK1233+MAX(CL1233,2*(J1233/IF(CG1233&gt;0,CG1233,MAX(0.1,N(Cockpit!$C$6)))-CK1233)),0)</f>
        <v>5</v>
      </c>
      <c r="AM1233" s="51" t="n">
        <f aca="false">IF(AI1233&gt;0,J1233/AI1233,-1)</f>
        <v>0.0413793103448276</v>
      </c>
      <c r="AN1233" s="51" t="n">
        <f aca="false">IF(AND(OR(CF1233="L1",CF1233="L23",CF1233="LIFT"),AI1233&gt;0),SUMIFS($AI$7:$AI$1843,$CF$7:$CF$1843,CF1233,$AM$7:$AM$1843,"&gt;"&amp;AM1233)+SUMIFS($AI$7:$AI$1843,$CF$7:$CF$1843,CF1233,$AM$7:$AM$1843,AM1233,$BW$7:$BW$1843,"&lt;="&amp;BW1233),"")</f>
        <v>19866.4740873533</v>
      </c>
      <c r="AO1233" s="58" t="n">
        <f aca="false">IF(AN1233="",0,MAX(0,MIN(1,(IF(CF1233="L1",Parameter!$H$5,IF(CF1233="L23",Parameter!$H$6+Parameter!$H$7,Parameter!$H$5+Parameter!$H$6+Parameter!$H$7))-(AN1233-AI1233))/AI1233)))</f>
        <v>1</v>
      </c>
      <c r="AP1233" s="50" t="n">
        <f aca="false">IF(LEFT(Cockpit!$I$5,1)="A",H1233,IF(Parameter!$E$30="MAX-Bestand",IF(CH1233=1,CI1233,IF(LEFT(Cockpit!$I$5,1)="B",AV1233,MAX(AV1233,H1233))),ROUNDUP(AT1233,0)))</f>
        <v>8</v>
      </c>
      <c r="AQ1233" s="50" t="n">
        <f aca="false">IF(BZ1233=1,0,ROUNDUP(AP1233/BY1233,0))</f>
        <v>2</v>
      </c>
      <c r="AR1233" s="52" t="n">
        <f aca="false">IF(CQ1233&gt;0,CQ1233*MAX(1,AP1233/X1233),IF(BZ1233=1,IF(AP1233&lt;=0,0,CD1233*MAX(1,IF(H1233&gt;0,AP1233/H1233,1))),IF(R1233&gt;0,AQ1233/R1233,0))/MAX(0.1,N(Parameter!$M$21)))</f>
        <v>0.333333333333333</v>
      </c>
      <c r="AS1233" s="50" t="n">
        <f aca="false">AR1233*CB1233</f>
        <v>145</v>
      </c>
      <c r="AT1233" s="51" t="n">
        <f aca="false">IF(LEFT(Cockpit!$I$5,1)="A",H1233,IF(CH1233=1,(CK1233+CI1233)/2,IF(LEFT(Cockpit!$I$5,1)="B",(CK1233+AV1233)/2,MAX((CK1233+AV1233)/2,H1233))))</f>
        <v>8</v>
      </c>
      <c r="AU1233" s="50" t="n">
        <f aca="false">AT1233*G1233</f>
        <v>1050</v>
      </c>
      <c r="AV1233" s="50" t="n">
        <f aca="false">ROUNDUP(CK1233+MAX(CL1233,2*(J1233/IF(CG1233&gt;0,CG1233,MAX(0.1,N(Cockpit!$I$6)))-CK1233)),0)</f>
        <v>5</v>
      </c>
      <c r="AW1233" s="51" t="n">
        <f aca="false">IF(AS1233&gt;0,J1233/AS1233,-1)</f>
        <v>0.0413793103448276</v>
      </c>
      <c r="AX1233" s="51" t="n">
        <f aca="false">IF(AND(OR(CF1233="L1",CF1233="L23",CF1233="LIFT"),AS1233&gt;0),SUMIFS($AS$7:$AS$1843,$CF$7:$CF$1843,CF1233,$AW$7:$AW$1843,"&gt;"&amp;AW1233)+SUMIFS($AS$7:$AS$1843,$CF$7:$CF$1843,CF1233,$AW$7:$AW$1843,AW1233,$BW$7:$BW$1843,"&lt;="&amp;BW1233),"")</f>
        <v>24925.8727287308</v>
      </c>
      <c r="AY1233" s="58" t="n">
        <f aca="false">IF(AX1233="",0,MAX(0,MIN(1,(IF(CF1233="L1",Parameter!$H$5,IF(CF1233="L23",Parameter!$H$6+Parameter!$H$7,Parameter!$H$5+Parameter!$H$6+Parameter!$H$7))-(AX1233-AS1233))/AS1233)))</f>
        <v>1</v>
      </c>
      <c r="AZ1233" s="50" t="n">
        <f aca="false">IF(LEFT(Cockpit!$O$5,1)="A",H1233,IF(Parameter!$E$30="MAX-Bestand",IF(CH1233=1,CI1233,IF(LEFT(Cockpit!$O$5,1)="B",BF1233,MAX(BF1233,H1233))),ROUNDUP(BD1233,0)))</f>
        <v>3</v>
      </c>
      <c r="BA1233" s="50" t="n">
        <f aca="false">IF(BZ1233=1,0,ROUNDUP(AZ1233/BY1233,0))</f>
        <v>1</v>
      </c>
      <c r="BB1233" s="52" t="n">
        <f aca="false">IF(CQ1233&gt;0,CQ1233*MAX(1,AZ1233/X1233),IF(BZ1233=1,IF(AZ1233&lt;=0,0,CD1233*MAX(1,IF(H1233&gt;0,AZ1233/H1233,1))),IF(R1233&gt;0,BA1233/R1233,0))/MAX(0.1,N(Parameter!$M$21)))</f>
        <v>0.166666666666667</v>
      </c>
      <c r="BC1233" s="50" t="n">
        <f aca="false">BB1233*CB1233</f>
        <v>72.5</v>
      </c>
      <c r="BD1233" s="51" t="n">
        <f aca="false">IF(LEFT(Cockpit!$O$5,1)="A",H1233,IF(CH1233=1,(CK1233+CI1233)/2,IF(LEFT(Cockpit!$O$5,1)="B",(CK1233+BF1233)/2,MAX((CK1233+BF1233)/2,H1233))))</f>
        <v>2.5</v>
      </c>
      <c r="BE1233" s="50" t="n">
        <f aca="false">BD1233*G1233</f>
        <v>328.125</v>
      </c>
      <c r="BF1233" s="50" t="n">
        <f aca="false">ROUNDUP(CK1233+MAX(CL1233,2*(J1233/IF(CG1233&gt;0,CG1233,MAX(0.1,N(Cockpit!$O$6)))-CK1233)),0)</f>
        <v>5</v>
      </c>
      <c r="BG1233" s="51" t="n">
        <f aca="false">IF(BC1233&gt;0,J1233/BC1233,-1)</f>
        <v>0.0827586206896552</v>
      </c>
      <c r="BH1233" s="51" t="n">
        <f aca="false">IF(AND(OR(CF1233="L1",CF1233="L23",CF1233="LIFT"),BC1233&gt;0),SUMIFS($BC$7:$BC$1843,$CF$7:$CF$1843,CF1233,$BG$7:$BG$1843,"&gt;"&amp;BG1233)+SUMIFS($BC$7:$BC$1843,$CF$7:$CF$1843,CF1233,$BG$7:$BG$1843,BG1233,$BW$7:$BW$1843,"&lt;="&amp;BW1233),"")</f>
        <v>18419.8122426067</v>
      </c>
      <c r="BI1233" s="58" t="n">
        <f aca="false">IF(BH1233="",0,MAX(0,MIN(1,(IF(CF1233="L1",Parameter!$H$5,IF(CF1233="L23",Parameter!$H$6+Parameter!$H$7,Parameter!$H$5+Parameter!$H$6+Parameter!$H$7))-(BH1233-BC1233))/BC1233)))</f>
        <v>1</v>
      </c>
      <c r="BJ1233" s="48" t="str">
        <f aca="false">IF(AI1233&lt;=0,"",IF(CF1233="Aussen","Aussenlager",IF(CF1233="-","Nicht im Lift",IF(AO1233&gt;=1,"Lift",IF(AO1233&lt;=0,"Aussenlager","teilweise")))))</f>
        <v>Lift</v>
      </c>
      <c r="BK1233" s="48" t="str">
        <f aca="false">IF(AS1233&lt;=0,"",IF(CF1233="Aussen","Aussenlager",IF(CF1233="-","Nicht im Lift",IF(AY1233&gt;=1,"Lift",IF(AY1233&lt;=0,"Aussenlager","teilweise")))))</f>
        <v>Lift</v>
      </c>
      <c r="BL1233" s="48" t="str">
        <f aca="false">IF(BC1233&lt;=0,"",IF(CF1233="Aussen","Aussenlager",IF(CF1233="-","Nicht im Lift",IF(BI1233&gt;=1,"Lift",IF(BI1233&lt;=0,"Aussenlager","teilweise")))))</f>
        <v>Lift</v>
      </c>
      <c r="BM1233" s="48" t="str">
        <f aca="false">IF(A1233="","",IF(BV1233=1,"Neu; ","")&amp;IF(AND(BV1233=0,BQ1233&lt;0),"negativer Bestand (Export "&amp;BQ1233&amp;"); ","")&amp;IF(J1233&lt;=0,"Kein Verbrauch; ","")&amp;IF(CQ1233&gt;0,"Lift "&amp;W1233&amp;" lt. Liftbericht (Fach "&amp;X1233&amp;" Stk); ",IF(CA1233=1,"Gebinde geschätzt ("&amp;T1233&amp;"); ",IF(BZ1233=1,"Lose – Tablare geschätzt; ","")))&amp;IF(H1233&gt;AV1233,"Überbestand "&amp;ROUND(H1233-AV1233,0)&amp;" Stk / CHF "&amp;ROUND((H1233-AV1233)*G1233,0)&amp;"; ","")&amp;IF(AND(CH1233=1,CI1233&lt;CJ1233),"MAX &lt; MB+LG; ","")&amp;IF(AND(CP1233&gt;0,CO1233*10&gt;CP1233),"zu hoch für Tablar; ","")&amp;IF(AND(BV1233=0,OR(CH1233=1,AA1233&lt;&gt;"",U1233&lt;&gt;"",V1233&lt;&gt;"",AB1233&lt;&gt;"")),"manuell übersteuert; ","")&amp;IF(AND(BZ1233=0,R1233=0),"Gebinde unbekannt / Stellmass fehlt; ","")&amp;IF(AND(BZ1233=0,N(V1233)&lt;=0,N(Q1233)&lt;=0),"Menge pro Gebinde fehlt (Ist = 1 Gebinde); ","")&amp;BU1233)</f>
        <v>negativer Bestand (Export -5); Überbestand 3 Stk / CHF 394; grosser Artikel &amp; nicht im KTL</v>
      </c>
      <c r="BN1233" s="48"/>
      <c r="BO1233" s="48"/>
      <c r="BP1233" s="55"/>
      <c r="BQ1233" s="50" t="n">
        <v>-5</v>
      </c>
      <c r="BR1233" s="50" t="n">
        <v>13</v>
      </c>
      <c r="BS1233" s="49" t="n">
        <v>-656.25</v>
      </c>
      <c r="BT1233" s="50" t="n">
        <v>6</v>
      </c>
      <c r="BU1233" s="48" t="s">
        <v>270</v>
      </c>
      <c r="BV1233" s="53" t="n">
        <v>0</v>
      </c>
      <c r="BW1233" s="53" t="n">
        <v>1233</v>
      </c>
      <c r="BX1233" s="48" t="str">
        <f aca="false">IF(U1233&lt;&gt;"",UPPER(TRIM(U1233)),IF(CA1233=1,UPPER(VLOOKUP(T1233,Parameter!$I$27:$K$29,2,0)),IF(P1233="","LOSE",P1233)))</f>
        <v>S72</v>
      </c>
      <c r="BY1233" s="50" t="n">
        <f aca="false">IF(BX1233="LOSE",1,IF(N(V1233)&gt;0,V1233,IF(CA1233=1,MAX(1,N(VLOOKUP(T1233,Parameter!$I$27:$K$29,3,0)),H1233,N(N1233)),IF(N(Q1233)&gt;0,Q1233,MAX(1,H1233)))))</f>
        <v>6</v>
      </c>
      <c r="BZ1233" s="53" t="n">
        <f aca="false">IF(BX1233="LOSE",1,0)</f>
        <v>0</v>
      </c>
      <c r="CA1233" s="53" t="n">
        <f aca="false">IF(AND(U1233="",OR(P1233="",P1233="LOSE"),T1233&lt;&gt;"",N(S1233)&lt;=0,ISNUMBER(MATCH(T1233,Parameter!$I$27:$I$29,0))),1,0)</f>
        <v>0</v>
      </c>
      <c r="CB1233" s="53" t="n">
        <f aca="false">IF(CQ1233&gt;0,INDEX(Parameter!$H$5:$H$7,W1233)/INDEX(Parameter!$E$5:$E$7,W1233),IF(AND(BZ1233=0,N(IFERROR(VLOOKUP(BX1233,'Gebinde-Kategorie'!$A$5:$N$45,14,0),0))&gt;0),VLOOKUP(BX1233,'Gebinde-Kategorie'!$A$5:$N$45,14,0)*10+Parameter!$M$23,Parameter!$M$24))</f>
        <v>435</v>
      </c>
      <c r="CC1233" s="48" t="str">
        <f aca="false">IF(AND(Parameter!$B$19="Ja",E1233&lt;&gt;"",ISNUMBER(MATCH(E1233,Parameter!$I$35:$I$52,0))),VLOOKUP(E1233,Parameter!$I$35:$J$52,2,0),IFERROR(VLOOKUP(D1233,Parameter!$A$35:$C$64,2,0),"Nein"))</f>
        <v>2+3</v>
      </c>
      <c r="CD1233" s="52" t="n">
        <f aca="false">IF(BZ1233=0,0,IF(N(S1233)&gt;0,S1233,IFERROR(VLOOKUP(D1233,Parameter!$A$35:$C$64,3,0)+0,0)))</f>
        <v>0</v>
      </c>
      <c r="CE1233" s="48" t="n">
        <f aca="false">IF(AA1233&lt;&gt;"",AA1233,Z1233)</f>
        <v>2</v>
      </c>
      <c r="CF1233" s="48" t="str">
        <f aca="false">IF(OR(CE1233=1,CE1233=2,CE1233=3),IF(Parameter!$E$27="Ja","LIFT",IF(CE1233=1,"L1","L23")),IF(CE1233="Aussen","Aussen","-"))</f>
        <v>LIFT</v>
      </c>
      <c r="CG1233" s="59" t="n">
        <f aca="false">IF(N(AB1233)&gt;0,AB1233,0)</f>
        <v>0</v>
      </c>
      <c r="CH1233" s="53" t="n">
        <f aca="false">IF(ISNUMBER(AE1233),1,0)</f>
        <v>0</v>
      </c>
      <c r="CI1233" s="50" t="n">
        <f aca="false">N(AE1233)</f>
        <v>0</v>
      </c>
      <c r="CJ1233" s="50" t="n">
        <f aca="false">N(M1233)+N(N1233)</f>
        <v>5</v>
      </c>
      <c r="CK1233" s="50" t="n">
        <f aca="false">N(M1233)</f>
        <v>0</v>
      </c>
      <c r="CL1233" s="50" t="n">
        <f aca="false">N(N1233)</f>
        <v>5</v>
      </c>
      <c r="CM1233" s="50" t="n">
        <f aca="false">ROUNDUP(H1233/BY1233,0)</f>
        <v>2</v>
      </c>
      <c r="CN1233" s="50" t="n">
        <f aca="false">ROUNDUP(CI1233/BY1233,0)</f>
        <v>0</v>
      </c>
      <c r="CO1233" s="53" t="n">
        <f aca="false">IF(BZ1233=1,0,IFERROR(VLOOKUP(BX1233,'Gebinde-Kategorie'!$A$5:$N$45,5,0)+0,0))</f>
        <v>40</v>
      </c>
      <c r="CP1233" s="53" t="n">
        <f aca="false">IFERROR(IF(OR(CE1233=1,CE1233=2,CE1233=3),N(INDEX(Parameter!$I$5:$I$7,CE1233)),0),0)</f>
        <v>0</v>
      </c>
      <c r="CQ1233" s="52" t="n">
        <f aca="false">IF(AND(Parameter!$B$21="Ja",ISNUMBER(W1233),N(X1233)&gt;0),IFERROR(N(INDEX(Parameter!$L$5:$L$7,W1233))*INDEX(Parameter!$E$5:$E$7,W1233)*X1233/SUMIFS($X$7:$X$1843,$W$7:$W$1843,W1233),0),0)</f>
        <v>0</v>
      </c>
    </row>
    <row r="1234" customFormat="false" ht="15" hidden="false" customHeight="false" outlineLevel="0" collapsed="false">
      <c r="A1234" s="48" t="s">
        <v>2218</v>
      </c>
      <c r="B1234" s="48" t="s">
        <v>2219</v>
      </c>
      <c r="C1234" s="48" t="s">
        <v>465</v>
      </c>
      <c r="D1234" s="48" t="s">
        <v>182</v>
      </c>
      <c r="E1234" s="48"/>
      <c r="F1234" s="48" t="s">
        <v>227</v>
      </c>
      <c r="G1234" s="49" t="n">
        <v>94.82</v>
      </c>
      <c r="H1234" s="50" t="n">
        <f aca="false">MAX(0,IF(AND(Parameter!$B$21="Ja",ISNUMBER(Y1234)),Y1234,IF(Parameter!$B$20="Jahresanfang 2025 + Export",BR1234+BQ1234,BQ1234)))</f>
        <v>0</v>
      </c>
      <c r="I1234" s="50" t="n">
        <f aca="false">H1234*G1234</f>
        <v>0</v>
      </c>
      <c r="J1234" s="50" t="n">
        <f aca="false">BT1234*Parameter!$B$18</f>
        <v>0</v>
      </c>
      <c r="K1234" s="51" t="n">
        <v>3.5</v>
      </c>
      <c r="L1234" s="52" t="n">
        <v>0</v>
      </c>
      <c r="M1234" s="50" t="n">
        <v>0</v>
      </c>
      <c r="N1234" s="50" t="n">
        <v>1</v>
      </c>
      <c r="O1234" s="53" t="n">
        <v>56</v>
      </c>
      <c r="P1234" s="48" t="s">
        <v>177</v>
      </c>
      <c r="Q1234" s="50"/>
      <c r="R1234" s="53" t="n">
        <f aca="false">IF(BZ1234=1,0,IFERROR(VLOOKUP(BX1234,'Gebinde-Kategorie'!$A$5:$N$45,13,0)+0,0))</f>
        <v>4</v>
      </c>
      <c r="S1234" s="54"/>
      <c r="T1234" s="55" t="s">
        <v>198</v>
      </c>
      <c r="U1234" s="55"/>
      <c r="V1234" s="55"/>
      <c r="W1234" s="48"/>
      <c r="X1234" s="50"/>
      <c r="Y1234" s="50"/>
      <c r="Z1234" s="48" t="n">
        <f aca="false">IF(A1234="","",IF(AND(Parameter!$B$21="Ja",ISNUMBER(W1234)),W1234,IF(CC1234="2+3",IF(ISNUMBER(SEARCH("grosser Artikel",BU1234)),2,IFERROR(VLOOKUP(BX1234,Parameter!$F$35:$G$64,2,0),2)),IF(OR(CC1234="Nein",CC1234=""),"-",CC1234))))</f>
        <v>2</v>
      </c>
      <c r="AA1234" s="55"/>
      <c r="AB1234" s="56"/>
      <c r="AC1234" s="50" t="n">
        <f aca="false">AV1234</f>
        <v>1</v>
      </c>
      <c r="AD1234" s="50" t="n">
        <f aca="false">MAX(AV1234,H1234)</f>
        <v>1</v>
      </c>
      <c r="AE1234" s="57"/>
      <c r="AF1234" s="50" t="n">
        <f aca="false">IF(LEFT(Cockpit!$C$5,1)="A",H1234,IF(Parameter!$E$30="MAX-Bestand",IF(CH1234=1,CI1234,IF(LEFT(Cockpit!$C$5,1)="B",AL1234,MAX(AL1234,H1234))),ROUNDUP(AJ1234,0)))</f>
        <v>0</v>
      </c>
      <c r="AG1234" s="50" t="n">
        <f aca="false">IF(BZ1234=1,0,ROUNDUP(AF1234/BY1234,0))</f>
        <v>0</v>
      </c>
      <c r="AH1234" s="52" t="n">
        <f aca="false">IF(CQ1234&gt;0,CQ1234*MAX(1,AF1234/X1234),IF(BZ1234=1,IF(AF1234&lt;=0,0,CD1234*MAX(1,IF(H1234&gt;0,AF1234/H1234,1))),IF(R1234&gt;0,AG1234/R1234,0))/MAX(0.1,N(Parameter!$M$21)))</f>
        <v>0</v>
      </c>
      <c r="AI1234" s="50" t="n">
        <f aca="false">AH1234*CB1234</f>
        <v>0</v>
      </c>
      <c r="AJ1234" s="51" t="n">
        <f aca="false">IF(LEFT(Cockpit!$C$5,1)="A",H1234,IF(CH1234=1,(CK1234+CI1234)/2,IF(LEFT(Cockpit!$C$5,1)="B",(CK1234+AL1234)/2,MAX((CK1234+AL1234)/2,H1234))))</f>
        <v>0</v>
      </c>
      <c r="AK1234" s="50" t="n">
        <f aca="false">AJ1234*G1234</f>
        <v>0</v>
      </c>
      <c r="AL1234" s="50" t="n">
        <f aca="false">ROUNDUP(CK1234+MAX(CL1234,2*(J1234/IF(CG1234&gt;0,CG1234,MAX(0.1,N(Cockpit!$C$6)))-CK1234)),0)</f>
        <v>1</v>
      </c>
      <c r="AM1234" s="51" t="n">
        <f aca="false">IF(AI1234&gt;0,J1234/AI1234,-1)</f>
        <v>-1</v>
      </c>
      <c r="AN1234" s="51" t="str">
        <f aca="false">IF(AND(OR(CF1234="L1",CF1234="L23",CF1234="LIFT"),AI1234&gt;0),SUMIFS($AI$7:$AI$1843,$CF$7:$CF$1843,CF1234,$AM$7:$AM$1843,"&gt;"&amp;AM1234)+SUMIFS($AI$7:$AI$1843,$CF$7:$CF$1843,CF1234,$AM$7:$AM$1843,AM1234,$BW$7:$BW$1843,"&lt;="&amp;BW1234),"")</f>
        <v/>
      </c>
      <c r="AO1234" s="58" t="n">
        <f aca="false">IF(AN1234="",0,MAX(0,MIN(1,(IF(CF1234="L1",Parameter!$H$5,IF(CF1234="L23",Parameter!$H$6+Parameter!$H$7,Parameter!$H$5+Parameter!$H$6+Parameter!$H$7))-(AN1234-AI1234))/AI1234)))</f>
        <v>0</v>
      </c>
      <c r="AP1234" s="50" t="n">
        <f aca="false">IF(LEFT(Cockpit!$I$5,1)="A",H1234,IF(Parameter!$E$30="MAX-Bestand",IF(CH1234=1,CI1234,IF(LEFT(Cockpit!$I$5,1)="B",AV1234,MAX(AV1234,H1234))),ROUNDUP(AT1234,0)))</f>
        <v>1</v>
      </c>
      <c r="AQ1234" s="50" t="n">
        <f aca="false">IF(BZ1234=1,0,ROUNDUP(AP1234/BY1234,0))</f>
        <v>1</v>
      </c>
      <c r="AR1234" s="52" t="n">
        <f aca="false">IF(CQ1234&gt;0,CQ1234*MAX(1,AP1234/X1234),IF(BZ1234=1,IF(AP1234&lt;=0,0,CD1234*MAX(1,IF(H1234&gt;0,AP1234/H1234,1))),IF(R1234&gt;0,AQ1234/R1234,0))/MAX(0.1,N(Parameter!$M$21)))</f>
        <v>0.25</v>
      </c>
      <c r="AS1234" s="50" t="n">
        <f aca="false">AR1234*CB1234</f>
        <v>58.75</v>
      </c>
      <c r="AT1234" s="51" t="n">
        <f aca="false">IF(LEFT(Cockpit!$I$5,1)="A",H1234,IF(CH1234=1,(CK1234+CI1234)/2,IF(LEFT(Cockpit!$I$5,1)="B",(CK1234+AV1234)/2,MAX((CK1234+AV1234)/2,H1234))))</f>
        <v>0.5</v>
      </c>
      <c r="AU1234" s="50" t="n">
        <f aca="false">AT1234*G1234</f>
        <v>47.41</v>
      </c>
      <c r="AV1234" s="50" t="n">
        <f aca="false">ROUNDUP(CK1234+MAX(CL1234,2*(J1234/IF(CG1234&gt;0,CG1234,MAX(0.1,N(Cockpit!$I$6)))-CK1234)),0)</f>
        <v>1</v>
      </c>
      <c r="AW1234" s="51" t="n">
        <f aca="false">IF(AS1234&gt;0,J1234/AS1234,-1)</f>
        <v>0</v>
      </c>
      <c r="AX1234" s="51" t="n">
        <f aca="false">IF(AND(OR(CF1234="L1",CF1234="L23",CF1234="LIFT"),AS1234&gt;0),SUMIFS($AS$7:$AS$1843,$CF$7:$CF$1843,CF1234,$AW$7:$AW$1843,"&gt;"&amp;AW1234)+SUMIFS($AS$7:$AS$1843,$CF$7:$CF$1843,CF1234,$AW$7:$AW$1843,AW1234,$BW$7:$BW$1843,"&lt;="&amp;BW1234),"")</f>
        <v>35368.4876373626</v>
      </c>
      <c r="AY1234" s="58" t="n">
        <f aca="false">IF(AX1234="",0,MAX(0,MIN(1,(IF(CF1234="L1",Parameter!$H$5,IF(CF1234="L23",Parameter!$H$6+Parameter!$H$7,Parameter!$H$5+Parameter!$H$6+Parameter!$H$7))-(AX1234-AS1234))/AS1234)))</f>
        <v>1</v>
      </c>
      <c r="AZ1234" s="50" t="n">
        <f aca="false">IF(LEFT(Cockpit!$O$5,1)="A",H1234,IF(Parameter!$E$30="MAX-Bestand",IF(CH1234=1,CI1234,IF(LEFT(Cockpit!$O$5,1)="B",BF1234,MAX(BF1234,H1234))),ROUNDUP(BD1234,0)))</f>
        <v>1</v>
      </c>
      <c r="BA1234" s="50" t="n">
        <f aca="false">IF(BZ1234=1,0,ROUNDUP(AZ1234/BY1234,0))</f>
        <v>1</v>
      </c>
      <c r="BB1234" s="52" t="n">
        <f aca="false">IF(CQ1234&gt;0,CQ1234*MAX(1,AZ1234/X1234),IF(BZ1234=1,IF(AZ1234&lt;=0,0,CD1234*MAX(1,IF(H1234&gt;0,AZ1234/H1234,1))),IF(R1234&gt;0,BA1234/R1234,0))/MAX(0.1,N(Parameter!$M$21)))</f>
        <v>0.25</v>
      </c>
      <c r="BC1234" s="50" t="n">
        <f aca="false">BB1234*CB1234</f>
        <v>58.75</v>
      </c>
      <c r="BD1234" s="51" t="n">
        <f aca="false">IF(LEFT(Cockpit!$O$5,1)="A",H1234,IF(CH1234=1,(CK1234+CI1234)/2,IF(LEFT(Cockpit!$O$5,1)="B",(CK1234+BF1234)/2,MAX((CK1234+BF1234)/2,H1234))))</f>
        <v>0.5</v>
      </c>
      <c r="BE1234" s="50" t="n">
        <f aca="false">BD1234*G1234</f>
        <v>47.41</v>
      </c>
      <c r="BF1234" s="50" t="n">
        <f aca="false">ROUNDUP(CK1234+MAX(CL1234,2*(J1234/IF(CG1234&gt;0,CG1234,MAX(0.1,N(Cockpit!$O$6)))-CK1234)),0)</f>
        <v>1</v>
      </c>
      <c r="BG1234" s="51" t="n">
        <f aca="false">IF(BC1234&gt;0,J1234/BC1234,-1)</f>
        <v>0</v>
      </c>
      <c r="BH1234" s="51" t="n">
        <f aca="false">IF(AND(OR(CF1234="L1",CF1234="L23",CF1234="LIFT"),BC1234&gt;0),SUMIFS($BC$7:$BC$1843,$CF$7:$CF$1843,CF1234,$BG$7:$BG$1843,"&gt;"&amp;BG1234)+SUMIFS($BC$7:$BC$1843,$CF$7:$CF$1843,CF1234,$BG$7:$BG$1843,BG1234,$BW$7:$BW$1843,"&lt;="&amp;BW1234),"")</f>
        <v>29353.7942975104</v>
      </c>
      <c r="BI1234" s="58" t="n">
        <f aca="false">IF(BH1234="",0,MAX(0,MIN(1,(IF(CF1234="L1",Parameter!$H$5,IF(CF1234="L23",Parameter!$H$6+Parameter!$H$7,Parameter!$H$5+Parameter!$H$6+Parameter!$H$7))-(BH1234-BC1234))/BC1234)))</f>
        <v>1</v>
      </c>
      <c r="BJ1234" s="48" t="str">
        <f aca="false">IF(AI1234&lt;=0,"",IF(CF1234="Aussen","Aussenlager",IF(CF1234="-","Nicht im Lift",IF(AO1234&gt;=1,"Lift",IF(AO1234&lt;=0,"Aussenlager","teilweise")))))</f>
        <v/>
      </c>
      <c r="BK1234" s="48" t="str">
        <f aca="false">IF(AS1234&lt;=0,"",IF(CF1234="Aussen","Aussenlager",IF(CF1234="-","Nicht im Lift",IF(AY1234&gt;=1,"Lift",IF(AY1234&lt;=0,"Aussenlager","teilweise")))))</f>
        <v>Lift</v>
      </c>
      <c r="BL1234" s="48" t="str">
        <f aca="false">IF(BC1234&lt;=0,"",IF(CF1234="Aussen","Aussenlager",IF(CF1234="-","Nicht im Lift",IF(BI1234&gt;=1,"Lift",IF(BI1234&lt;=0,"Aussenlager","teilweise")))))</f>
        <v>Lift</v>
      </c>
      <c r="BM1234" s="48" t="str">
        <f aca="false">IF(A1234="","",IF(BV1234=1,"Neu; ","")&amp;IF(AND(BV1234=0,BQ1234&lt;0),"negativer Bestand (Export "&amp;BQ1234&amp;"); ","")&amp;IF(J1234&lt;=0,"Kein Verbrauch; ","")&amp;IF(CQ1234&gt;0,"Lift "&amp;W1234&amp;" lt. Liftbericht (Fach "&amp;X1234&amp;" Stk); ",IF(CA1234=1,"Gebinde geschätzt ("&amp;T1234&amp;"); ",IF(BZ1234=1,"Lose – Tablare geschätzt; ","")))&amp;IF(H1234&gt;AV1234,"Überbestand "&amp;ROUND(H1234-AV1234,0)&amp;" Stk / CHF "&amp;ROUND((H1234-AV1234)*G1234,0)&amp;"; ","")&amp;IF(AND(CH1234=1,CI1234&lt;CJ1234),"MAX &lt; MB+LG; ","")&amp;IF(AND(CP1234&gt;0,CO1234*10&gt;CP1234),"zu hoch für Tablar; ","")&amp;IF(AND(BV1234=0,OR(CH1234=1,AA1234&lt;&gt;"",U1234&lt;&gt;"",V1234&lt;&gt;"",AB1234&lt;&gt;"")),"manuell übersteuert; ","")&amp;IF(AND(BZ1234=0,R1234=0),"Gebinde unbekannt / Stellmass fehlt; ","")&amp;IF(AND(BZ1234=0,N(V1234)&lt;=0,N(Q1234)&lt;=0),"Menge pro Gebinde fehlt (Ist = 1 Gebinde); ","")&amp;BU1234)</f>
        <v>negativer Bestand (Export -7); Kein Verbrauch; Gebinde geschätzt (Gross); Menge pro Gebinde fehlt (Ist = 1 Gebinde); Neuer Art.</v>
      </c>
      <c r="BN1234" s="48"/>
      <c r="BO1234" s="48"/>
      <c r="BP1234" s="55"/>
      <c r="BQ1234" s="50" t="n">
        <v>-7</v>
      </c>
      <c r="BR1234" s="50" t="n">
        <v>7</v>
      </c>
      <c r="BS1234" s="49" t="n">
        <v>-663.74</v>
      </c>
      <c r="BT1234" s="50" t="n">
        <v>0</v>
      </c>
      <c r="BU1234" s="48" t="s">
        <v>521</v>
      </c>
      <c r="BV1234" s="53" t="n">
        <v>0</v>
      </c>
      <c r="BW1234" s="53" t="n">
        <v>1234</v>
      </c>
      <c r="BX1234" s="48" t="str">
        <f aca="false">IF(U1234&lt;&gt;"",UPPER(TRIM(U1234)),IF(CA1234=1,UPPER(VLOOKUP(T1234,Parameter!$I$27:$K$29,2,0)),IF(P1234="","LOSE",P1234)))</f>
        <v>S81</v>
      </c>
      <c r="BY1234" s="50" t="n">
        <f aca="false">IF(BX1234="LOSE",1,IF(N(V1234)&gt;0,V1234,IF(CA1234=1,MAX(1,N(VLOOKUP(T1234,Parameter!$I$27:$K$29,3,0)),H1234,N(N1234)),IF(N(Q1234)&gt;0,Q1234,MAX(1,H1234)))))</f>
        <v>2</v>
      </c>
      <c r="BZ1234" s="53" t="n">
        <f aca="false">IF(BX1234="LOSE",1,0)</f>
        <v>0</v>
      </c>
      <c r="CA1234" s="53" t="n">
        <f aca="false">IF(AND(U1234="",OR(P1234="",P1234="LOSE"),T1234&lt;&gt;"",N(S1234)&lt;=0,ISNUMBER(MATCH(T1234,Parameter!$I$27:$I$29,0))),1,0)</f>
        <v>1</v>
      </c>
      <c r="CB1234" s="53" t="n">
        <f aca="false">IF(CQ1234&gt;0,INDEX(Parameter!$H$5:$H$7,W1234)/INDEX(Parameter!$E$5:$E$7,W1234),IF(AND(BZ1234=0,N(IFERROR(VLOOKUP(BX1234,'Gebinde-Kategorie'!$A$5:$N$45,14,0),0))&gt;0),VLOOKUP(BX1234,'Gebinde-Kategorie'!$A$5:$N$45,14,0)*10+Parameter!$M$23,Parameter!$M$24))</f>
        <v>235</v>
      </c>
      <c r="CC1234" s="48" t="str">
        <f aca="false">IF(AND(Parameter!$B$19="Ja",E1234&lt;&gt;"",ISNUMBER(MATCH(E1234,Parameter!$I$35:$I$52,0))),VLOOKUP(E1234,Parameter!$I$35:$J$52,2,0),IFERROR(VLOOKUP(D1234,Parameter!$A$35:$C$64,2,0),"Nein"))</f>
        <v>2+3</v>
      </c>
      <c r="CD1234" s="52" t="n">
        <f aca="false">IF(BZ1234=0,0,IF(N(S1234)&gt;0,S1234,IFERROR(VLOOKUP(D1234,Parameter!$A$35:$C$64,3,0)+0,0)))</f>
        <v>0</v>
      </c>
      <c r="CE1234" s="48" t="n">
        <f aca="false">IF(AA1234&lt;&gt;"",AA1234,Z1234)</f>
        <v>2</v>
      </c>
      <c r="CF1234" s="48" t="str">
        <f aca="false">IF(OR(CE1234=1,CE1234=2,CE1234=3),IF(Parameter!$E$27="Ja","LIFT",IF(CE1234=1,"L1","L23")),IF(CE1234="Aussen","Aussen","-"))</f>
        <v>LIFT</v>
      </c>
      <c r="CG1234" s="59" t="n">
        <f aca="false">IF(N(AB1234)&gt;0,AB1234,0)</f>
        <v>0</v>
      </c>
      <c r="CH1234" s="53" t="n">
        <f aca="false">IF(ISNUMBER(AE1234),1,0)</f>
        <v>0</v>
      </c>
      <c r="CI1234" s="50" t="n">
        <f aca="false">N(AE1234)</f>
        <v>0</v>
      </c>
      <c r="CJ1234" s="50" t="n">
        <f aca="false">N(M1234)+N(N1234)</f>
        <v>1</v>
      </c>
      <c r="CK1234" s="50" t="n">
        <f aca="false">N(M1234)</f>
        <v>0</v>
      </c>
      <c r="CL1234" s="50" t="n">
        <f aca="false">N(N1234)</f>
        <v>1</v>
      </c>
      <c r="CM1234" s="50" t="n">
        <f aca="false">ROUNDUP(H1234/BY1234,0)</f>
        <v>0</v>
      </c>
      <c r="CN1234" s="50" t="n">
        <f aca="false">ROUNDUP(CI1234/BY1234,0)</f>
        <v>0</v>
      </c>
      <c r="CO1234" s="53" t="n">
        <f aca="false">IF(BZ1234=1,0,IFERROR(VLOOKUP(BX1234,'Gebinde-Kategorie'!$A$5:$N$45,5,0)+0,0))</f>
        <v>20</v>
      </c>
      <c r="CP1234" s="53" t="n">
        <f aca="false">IFERROR(IF(OR(CE1234=1,CE1234=2,CE1234=3),N(INDEX(Parameter!$I$5:$I$7,CE1234)),0),0)</f>
        <v>0</v>
      </c>
      <c r="CQ1234" s="52" t="n">
        <f aca="false">IF(AND(Parameter!$B$21="Ja",ISNUMBER(W1234),N(X1234)&gt;0),IFERROR(N(INDEX(Parameter!$L$5:$L$7,W1234))*INDEX(Parameter!$E$5:$E$7,W1234)*X1234/SUMIFS($X$7:$X$1843,$W$7:$W$1843,W1234),0),0)</f>
        <v>0</v>
      </c>
    </row>
    <row r="1235" customFormat="false" ht="15" hidden="false" customHeight="false" outlineLevel="0" collapsed="false">
      <c r="A1235" s="48" t="s">
        <v>2220</v>
      </c>
      <c r="B1235" s="48" t="s">
        <v>2136</v>
      </c>
      <c r="C1235" s="48" t="s">
        <v>173</v>
      </c>
      <c r="D1235" s="48" t="s">
        <v>193</v>
      </c>
      <c r="E1235" s="48" t="s">
        <v>175</v>
      </c>
      <c r="F1235" s="48" t="s">
        <v>227</v>
      </c>
      <c r="G1235" s="49" t="n">
        <v>54.19</v>
      </c>
      <c r="H1235" s="50" t="n">
        <f aca="false">MAX(0,IF(AND(Parameter!$B$21="Ja",ISNUMBER(Y1235)),Y1235,IF(Parameter!$B$20="Jahresanfang 2025 + Export",BR1235+BQ1235,BQ1235)))</f>
        <v>64</v>
      </c>
      <c r="I1235" s="50" t="n">
        <f aca="false">H1235*G1235</f>
        <v>3468.16</v>
      </c>
      <c r="J1235" s="50" t="n">
        <f aca="false">BT1235*Parameter!$B$18</f>
        <v>254</v>
      </c>
      <c r="K1235" s="51" t="n">
        <v>77.5</v>
      </c>
      <c r="L1235" s="52" t="n">
        <v>3.27741935483871</v>
      </c>
      <c r="M1235" s="50" t="n">
        <v>14</v>
      </c>
      <c r="N1235" s="50" t="n">
        <v>30</v>
      </c>
      <c r="O1235" s="53" t="n">
        <v>21</v>
      </c>
      <c r="P1235" s="48" t="s">
        <v>311</v>
      </c>
      <c r="Q1235" s="50" t="n">
        <v>54</v>
      </c>
      <c r="R1235" s="53" t="n">
        <f aca="false">IF(BZ1235=1,0,IFERROR(VLOOKUP(BX1235,'Gebinde-Kategorie'!$A$5:$N$45,13,0)+0,0))</f>
        <v>26</v>
      </c>
      <c r="S1235" s="54"/>
      <c r="T1235" s="55"/>
      <c r="U1235" s="55"/>
      <c r="V1235" s="55"/>
      <c r="W1235" s="48"/>
      <c r="X1235" s="50"/>
      <c r="Y1235" s="50"/>
      <c r="Z1235" s="48" t="n">
        <f aca="false">IF(A1235="","",IF(AND(Parameter!$B$21="Ja",ISNUMBER(W1235)),W1235,IF(CC1235="2+3",IF(ISNUMBER(SEARCH("grosser Artikel",BU1235)),2,IFERROR(VLOOKUP(BX1235,Parameter!$F$35:$G$64,2,0),2)),IF(OR(CC1235="Nein",CC1235=""),"-",CC1235))))</f>
        <v>1</v>
      </c>
      <c r="AA1235" s="55"/>
      <c r="AB1235" s="56"/>
      <c r="AC1235" s="50" t="n">
        <f aca="false">AV1235</f>
        <v>156</v>
      </c>
      <c r="AD1235" s="50" t="n">
        <f aca="false">MAX(AV1235,H1235)</f>
        <v>156</v>
      </c>
      <c r="AE1235" s="57"/>
      <c r="AF1235" s="50" t="n">
        <f aca="false">IF(LEFT(Cockpit!$C$5,1)="A",H1235,IF(Parameter!$E$30="MAX-Bestand",IF(CH1235=1,CI1235,IF(LEFT(Cockpit!$C$5,1)="B",AL1235,MAX(AL1235,H1235))),ROUNDUP(AJ1235,0)))</f>
        <v>64</v>
      </c>
      <c r="AG1235" s="50" t="n">
        <f aca="false">IF(BZ1235=1,0,ROUNDUP(AF1235/BY1235,0))</f>
        <v>2</v>
      </c>
      <c r="AH1235" s="52" t="n">
        <f aca="false">IF(CQ1235&gt;0,CQ1235*MAX(1,AF1235/X1235),IF(BZ1235=1,IF(AF1235&lt;=0,0,CD1235*MAX(1,IF(H1235&gt;0,AF1235/H1235,1))),IF(R1235&gt;0,AG1235/R1235,0))/MAX(0.1,N(Parameter!$M$21)))</f>
        <v>0.0769230769230769</v>
      </c>
      <c r="AI1235" s="50" t="n">
        <f aca="false">AH1235*CB1235</f>
        <v>11.9230769230769</v>
      </c>
      <c r="AJ1235" s="51" t="n">
        <f aca="false">IF(LEFT(Cockpit!$C$5,1)="A",H1235,IF(CH1235=1,(CK1235+CI1235)/2,IF(LEFT(Cockpit!$C$5,1)="B",(CK1235+AL1235)/2,MAX((CK1235+AL1235)/2,H1235))))</f>
        <v>64</v>
      </c>
      <c r="AK1235" s="50" t="n">
        <f aca="false">AJ1235*G1235</f>
        <v>3468.16</v>
      </c>
      <c r="AL1235" s="50" t="n">
        <f aca="false">ROUNDUP(CK1235+MAX(CL1235,2*(J1235/IF(CG1235&gt;0,CG1235,MAX(0.1,N(Cockpit!$C$6)))-CK1235)),0)</f>
        <v>156</v>
      </c>
      <c r="AM1235" s="51" t="n">
        <f aca="false">IF(AI1235&gt;0,J1235/AI1235,-1)</f>
        <v>21.3032258064516</v>
      </c>
      <c r="AN1235" s="51" t="n">
        <f aca="false">IF(AND(OR(CF1235="L1",CF1235="L23",CF1235="LIFT"),AI1235&gt;0),SUMIFS($AI$7:$AI$1843,$CF$7:$CF$1843,CF1235,$AM$7:$AM$1843,"&gt;"&amp;AM1235)+SUMIFS($AI$7:$AI$1843,$CF$7:$CF$1843,CF1235,$AM$7:$AM$1843,AM1235,$BW$7:$BW$1843,"&lt;="&amp;BW1235),"")</f>
        <v>1637.26007326007</v>
      </c>
      <c r="AO1235" s="58" t="n">
        <f aca="false">IF(AN1235="",0,MAX(0,MIN(1,(IF(CF1235="L1",Parameter!$H$5,IF(CF1235="L23",Parameter!$H$6+Parameter!$H$7,Parameter!$H$5+Parameter!$H$6+Parameter!$H$7))-(AN1235-AI1235))/AI1235)))</f>
        <v>1</v>
      </c>
      <c r="AP1235" s="50" t="n">
        <f aca="false">IF(LEFT(Cockpit!$I$5,1)="A",H1235,IF(Parameter!$E$30="MAX-Bestand",IF(CH1235=1,CI1235,IF(LEFT(Cockpit!$I$5,1)="B",AV1235,MAX(AV1235,H1235))),ROUNDUP(AT1235,0)))</f>
        <v>85</v>
      </c>
      <c r="AQ1235" s="50" t="n">
        <f aca="false">IF(BZ1235=1,0,ROUNDUP(AP1235/BY1235,0))</f>
        <v>2</v>
      </c>
      <c r="AR1235" s="52" t="n">
        <f aca="false">IF(CQ1235&gt;0,CQ1235*MAX(1,AP1235/X1235),IF(BZ1235=1,IF(AP1235&lt;=0,0,CD1235*MAX(1,IF(H1235&gt;0,AP1235/H1235,1))),IF(R1235&gt;0,AQ1235/R1235,0))/MAX(0.1,N(Parameter!$M$21)))</f>
        <v>0.0769230769230769</v>
      </c>
      <c r="AS1235" s="50" t="n">
        <f aca="false">AR1235*CB1235</f>
        <v>11.9230769230769</v>
      </c>
      <c r="AT1235" s="51" t="n">
        <f aca="false">IF(LEFT(Cockpit!$I$5,1)="A",H1235,IF(CH1235=1,(CK1235+CI1235)/2,IF(LEFT(Cockpit!$I$5,1)="B",(CK1235+AV1235)/2,MAX((CK1235+AV1235)/2,H1235))))</f>
        <v>85</v>
      </c>
      <c r="AU1235" s="50" t="n">
        <f aca="false">AT1235*G1235</f>
        <v>4606.15</v>
      </c>
      <c r="AV1235" s="50" t="n">
        <f aca="false">ROUNDUP(CK1235+MAX(CL1235,2*(J1235/IF(CG1235&gt;0,CG1235,MAX(0.1,N(Cockpit!$I$6)))-CK1235)),0)</f>
        <v>156</v>
      </c>
      <c r="AW1235" s="51" t="n">
        <f aca="false">IF(AS1235&gt;0,J1235/AS1235,-1)</f>
        <v>21.3032258064516</v>
      </c>
      <c r="AX1235" s="51" t="n">
        <f aca="false">IF(AND(OR(CF1235="L1",CF1235="L23",CF1235="LIFT"),AS1235&gt;0),SUMIFS($AS$7:$AS$1843,$CF$7:$CF$1843,CF1235,$AW$7:$AW$1843,"&gt;"&amp;AW1235)+SUMIFS($AS$7:$AS$1843,$CF$7:$CF$1843,CF1235,$AW$7:$AW$1843,AW1235,$BW$7:$BW$1843,"&lt;="&amp;BW1235),"")</f>
        <v>2274.38095238095</v>
      </c>
      <c r="AY1235" s="58" t="n">
        <f aca="false">IF(AX1235="",0,MAX(0,MIN(1,(IF(CF1235="L1",Parameter!$H$5,IF(CF1235="L23",Parameter!$H$6+Parameter!$H$7,Parameter!$H$5+Parameter!$H$6+Parameter!$H$7))-(AX1235-AS1235))/AS1235)))</f>
        <v>1</v>
      </c>
      <c r="AZ1235" s="50" t="n">
        <f aca="false">IF(LEFT(Cockpit!$O$5,1)="A",H1235,IF(Parameter!$E$30="MAX-Bestand",IF(CH1235=1,CI1235,IF(LEFT(Cockpit!$O$5,1)="B",BF1235,MAX(BF1235,H1235))),ROUNDUP(BD1235,0)))</f>
        <v>64</v>
      </c>
      <c r="BA1235" s="50" t="n">
        <f aca="false">IF(BZ1235=1,0,ROUNDUP(AZ1235/BY1235,0))</f>
        <v>2</v>
      </c>
      <c r="BB1235" s="52" t="n">
        <f aca="false">IF(CQ1235&gt;0,CQ1235*MAX(1,AZ1235/X1235),IF(BZ1235=1,IF(AZ1235&lt;=0,0,CD1235*MAX(1,IF(H1235&gt;0,AZ1235/H1235,1))),IF(R1235&gt;0,BA1235/R1235,0))/MAX(0.1,N(Parameter!$M$21)))</f>
        <v>0.0769230769230769</v>
      </c>
      <c r="BC1235" s="50" t="n">
        <f aca="false">BB1235*CB1235</f>
        <v>11.9230769230769</v>
      </c>
      <c r="BD1235" s="51" t="n">
        <f aca="false">IF(LEFT(Cockpit!$O$5,1)="A",H1235,IF(CH1235=1,(CK1235+CI1235)/2,IF(LEFT(Cockpit!$O$5,1)="B",(CK1235+BF1235)/2,MAX((CK1235+BF1235)/2,H1235))))</f>
        <v>63.5</v>
      </c>
      <c r="BE1235" s="50" t="n">
        <f aca="false">BD1235*G1235</f>
        <v>3441.065</v>
      </c>
      <c r="BF1235" s="50" t="n">
        <f aca="false">ROUNDUP(CK1235+MAX(CL1235,2*(J1235/IF(CG1235&gt;0,CG1235,MAX(0.1,N(Cockpit!$O$6)))-CK1235)),0)</f>
        <v>113</v>
      </c>
      <c r="BG1235" s="51" t="n">
        <f aca="false">IF(BC1235&gt;0,J1235/BC1235,-1)</f>
        <v>21.3032258064516</v>
      </c>
      <c r="BH1235" s="51" t="n">
        <f aca="false">IF(AND(OR(CF1235="L1",CF1235="L23",CF1235="LIFT"),BC1235&gt;0),SUMIFS($BC$7:$BC$1843,$CF$7:$CF$1843,CF1235,$BG$7:$BG$1843,"&gt;"&amp;BG1235)+SUMIFS($BC$7:$BC$1843,$CF$7:$CF$1843,CF1235,$BG$7:$BG$1843,BG1235,$BW$7:$BW$1843,"&lt;="&amp;BW1235),"")</f>
        <v>2187.79258241758</v>
      </c>
      <c r="BI1235" s="58" t="n">
        <f aca="false">IF(BH1235="",0,MAX(0,MIN(1,(IF(CF1235="L1",Parameter!$H$5,IF(CF1235="L23",Parameter!$H$6+Parameter!$H$7,Parameter!$H$5+Parameter!$H$6+Parameter!$H$7))-(BH1235-BC1235))/BC1235)))</f>
        <v>1</v>
      </c>
      <c r="BJ1235" s="48" t="str">
        <f aca="false">IF(AI1235&lt;=0,"",IF(CF1235="Aussen","Aussenlager",IF(CF1235="-","Nicht im Lift",IF(AO1235&gt;=1,"Lift",IF(AO1235&lt;=0,"Aussenlager","teilweise")))))</f>
        <v>Lift</v>
      </c>
      <c r="BK1235" s="48" t="str">
        <f aca="false">IF(AS1235&lt;=0,"",IF(CF1235="Aussen","Aussenlager",IF(CF1235="-","Nicht im Lift",IF(AY1235&gt;=1,"Lift",IF(AY1235&lt;=0,"Aussenlager","teilweise")))))</f>
        <v>Lift</v>
      </c>
      <c r="BL1235" s="48" t="str">
        <f aca="false">IF(BC1235&lt;=0,"",IF(CF1235="Aussen","Aussenlager",IF(CF1235="-","Nicht im Lift",IF(BI1235&gt;=1,"Lift",IF(BI1235&lt;=0,"Aussenlager","teilweise")))))</f>
        <v>Lift</v>
      </c>
      <c r="BM1235" s="48" t="str">
        <f aca="false">IF(A1235="","",IF(BV1235=1,"Neu; ","")&amp;IF(AND(BV1235=0,BQ1235&lt;0),"negativer Bestand (Export "&amp;BQ1235&amp;"); ","")&amp;IF(J1235&lt;=0,"Kein Verbrauch; ","")&amp;IF(CQ1235&gt;0,"Lift "&amp;W1235&amp;" lt. Liftbericht (Fach "&amp;X1235&amp;" Stk); ",IF(CA1235=1,"Gebinde geschätzt ("&amp;T1235&amp;"); ",IF(BZ1235=1,"Lose – Tablare geschätzt; ","")))&amp;IF(H1235&gt;AV1235,"Überbestand "&amp;ROUND(H1235-AV1235,0)&amp;" Stk / CHF "&amp;ROUND((H1235-AV1235)*G1235,0)&amp;"; ","")&amp;IF(AND(CH1235=1,CI1235&lt;CJ1235),"MAX &lt; MB+LG; ","")&amp;IF(AND(CP1235&gt;0,CO1235*10&gt;CP1235),"zu hoch für Tablar; ","")&amp;IF(AND(BV1235=0,OR(CH1235=1,AA1235&lt;&gt;"",U1235&lt;&gt;"",V1235&lt;&gt;"",AB1235&lt;&gt;"")),"manuell übersteuert; ","")&amp;IF(AND(BZ1235=0,R1235=0),"Gebinde unbekannt / Stellmass fehlt; ","")&amp;IF(AND(BZ1235=0,N(V1235)&lt;=0,N(Q1235)&lt;=0),"Menge pro Gebinde fehlt (Ist = 1 Gebinde); ","")&amp;BU1235)</f>
        <v/>
      </c>
      <c r="BN1235" s="48"/>
      <c r="BO1235" s="48"/>
      <c r="BP1235" s="55"/>
      <c r="BQ1235" s="50" t="n">
        <v>8</v>
      </c>
      <c r="BR1235" s="50" t="n">
        <v>56</v>
      </c>
      <c r="BS1235" s="49" t="n">
        <v>-673.040000000002</v>
      </c>
      <c r="BT1235" s="50" t="n">
        <v>254</v>
      </c>
      <c r="BU1235" s="48"/>
      <c r="BV1235" s="53" t="n">
        <v>0</v>
      </c>
      <c r="BW1235" s="53" t="n">
        <v>1235</v>
      </c>
      <c r="BX1235" s="48" t="str">
        <f aca="false">IF(U1235&lt;&gt;"",UPPER(TRIM(U1235)),IF(CA1235=1,UPPER(VLOOKUP(T1235,Parameter!$I$27:$K$29,2,0)),IF(P1235="","LOSE",P1235)))</f>
        <v>S51</v>
      </c>
      <c r="BY1235" s="50" t="n">
        <f aca="false">IF(BX1235="LOSE",1,IF(N(V1235)&gt;0,V1235,IF(CA1235=1,MAX(1,N(VLOOKUP(T1235,Parameter!$I$27:$K$29,3,0)),H1235,N(N1235)),IF(N(Q1235)&gt;0,Q1235,MAX(1,H1235)))))</f>
        <v>54</v>
      </c>
      <c r="BZ1235" s="53" t="n">
        <f aca="false">IF(BX1235="LOSE",1,0)</f>
        <v>0</v>
      </c>
      <c r="CA1235" s="53" t="n">
        <f aca="false">IF(AND(U1235="",OR(P1235="",P1235="LOSE"),T1235&lt;&gt;"",N(S1235)&lt;=0,ISNUMBER(MATCH(T1235,Parameter!$I$27:$I$29,0))),1,0)</f>
        <v>0</v>
      </c>
      <c r="CB1235" s="53" t="n">
        <f aca="false">IF(CQ1235&gt;0,INDEX(Parameter!$H$5:$H$7,W1235)/INDEX(Parameter!$E$5:$E$7,W1235),IF(AND(BZ1235=0,N(IFERROR(VLOOKUP(BX1235,'Gebinde-Kategorie'!$A$5:$N$45,14,0),0))&gt;0),VLOOKUP(BX1235,'Gebinde-Kategorie'!$A$5:$N$45,14,0)*10+Parameter!$M$23,Parameter!$M$24))</f>
        <v>155</v>
      </c>
      <c r="CC1235" s="48" t="n">
        <f aca="false">IF(AND(Parameter!$B$19="Ja",E1235&lt;&gt;"",ISNUMBER(MATCH(E1235,Parameter!$I$35:$I$52,0))),VLOOKUP(E1235,Parameter!$I$35:$J$52,2,0),IFERROR(VLOOKUP(D1235,Parameter!$A$35:$C$64,2,0),"Nein"))</f>
        <v>1</v>
      </c>
      <c r="CD1235" s="52" t="n">
        <f aca="false">IF(BZ1235=0,0,IF(N(S1235)&gt;0,S1235,IFERROR(VLOOKUP(D1235,Parameter!$A$35:$C$64,3,0)+0,0)))</f>
        <v>0</v>
      </c>
      <c r="CE1235" s="48" t="n">
        <f aca="false">IF(AA1235&lt;&gt;"",AA1235,Z1235)</f>
        <v>1</v>
      </c>
      <c r="CF1235" s="48" t="str">
        <f aca="false">IF(OR(CE1235=1,CE1235=2,CE1235=3),IF(Parameter!$E$27="Ja","LIFT",IF(CE1235=1,"L1","L23")),IF(CE1235="Aussen","Aussen","-"))</f>
        <v>LIFT</v>
      </c>
      <c r="CG1235" s="59" t="n">
        <f aca="false">IF(N(AB1235)&gt;0,AB1235,0)</f>
        <v>0</v>
      </c>
      <c r="CH1235" s="53" t="n">
        <f aca="false">IF(ISNUMBER(AE1235),1,0)</f>
        <v>0</v>
      </c>
      <c r="CI1235" s="50" t="n">
        <f aca="false">N(AE1235)</f>
        <v>0</v>
      </c>
      <c r="CJ1235" s="50" t="n">
        <f aca="false">N(M1235)+N(N1235)</f>
        <v>44</v>
      </c>
      <c r="CK1235" s="50" t="n">
        <f aca="false">N(M1235)</f>
        <v>14</v>
      </c>
      <c r="CL1235" s="50" t="n">
        <f aca="false">N(N1235)</f>
        <v>30</v>
      </c>
      <c r="CM1235" s="50" t="n">
        <f aca="false">ROUNDUP(H1235/BY1235,0)</f>
        <v>2</v>
      </c>
      <c r="CN1235" s="50" t="n">
        <f aca="false">ROUNDUP(CI1235/BY1235,0)</f>
        <v>0</v>
      </c>
      <c r="CO1235" s="53" t="n">
        <f aca="false">IF(BZ1235=1,0,IFERROR(VLOOKUP(BX1235,'Gebinde-Kategorie'!$A$5:$N$45,5,0)+0,0))</f>
        <v>11</v>
      </c>
      <c r="CP1235" s="53" t="n">
        <f aca="false">IFERROR(IF(OR(CE1235=1,CE1235=2,CE1235=3),N(INDEX(Parameter!$I$5:$I$7,CE1235)),0),0)</f>
        <v>0</v>
      </c>
      <c r="CQ1235" s="52" t="n">
        <f aca="false">IF(AND(Parameter!$B$21="Ja",ISNUMBER(W1235),N(X1235)&gt;0),IFERROR(N(INDEX(Parameter!$L$5:$L$7,W1235))*INDEX(Parameter!$E$5:$E$7,W1235)*X1235/SUMIFS($X$7:$X$1843,$W$7:$W$1843,W1235),0),0)</f>
        <v>0</v>
      </c>
    </row>
    <row r="1236" customFormat="false" ht="15" hidden="false" customHeight="false" outlineLevel="0" collapsed="false">
      <c r="A1236" s="48" t="s">
        <v>2221</v>
      </c>
      <c r="B1236" s="48" t="s">
        <v>2222</v>
      </c>
      <c r="C1236" s="48" t="s">
        <v>465</v>
      </c>
      <c r="D1236" s="48" t="s">
        <v>182</v>
      </c>
      <c r="E1236" s="48" t="s">
        <v>1488</v>
      </c>
      <c r="F1236" s="48" t="s">
        <v>227</v>
      </c>
      <c r="G1236" s="49" t="n">
        <v>67.89</v>
      </c>
      <c r="H1236" s="50" t="n">
        <f aca="false">MAX(0,IF(AND(Parameter!$B$21="Ja",ISNUMBER(Y1236)),Y1236,IF(Parameter!$B$20="Jahresanfang 2025 + Export",BR1236+BQ1236,BQ1236)))</f>
        <v>0</v>
      </c>
      <c r="I1236" s="50" t="n">
        <f aca="false">H1236*G1236</f>
        <v>0</v>
      </c>
      <c r="J1236" s="50" t="n">
        <f aca="false">BT1236*Parameter!$B$18</f>
        <v>0</v>
      </c>
      <c r="K1236" s="51" t="n">
        <v>5</v>
      </c>
      <c r="L1236" s="52" t="n">
        <v>0</v>
      </c>
      <c r="M1236" s="50" t="n">
        <v>0</v>
      </c>
      <c r="N1236" s="50" t="n">
        <v>1</v>
      </c>
      <c r="O1236" s="53" t="n">
        <v>56</v>
      </c>
      <c r="P1236" s="48" t="s">
        <v>177</v>
      </c>
      <c r="Q1236" s="50"/>
      <c r="R1236" s="53" t="n">
        <f aca="false">IF(BZ1236=1,0,IFERROR(VLOOKUP(BX1236,'Gebinde-Kategorie'!$A$5:$N$45,13,0)+0,0))</f>
        <v>4</v>
      </c>
      <c r="S1236" s="54"/>
      <c r="T1236" s="55" t="s">
        <v>198</v>
      </c>
      <c r="U1236" s="55"/>
      <c r="V1236" s="55"/>
      <c r="W1236" s="48"/>
      <c r="X1236" s="50"/>
      <c r="Y1236" s="50"/>
      <c r="Z1236" s="48" t="str">
        <f aca="false">IF(A1236="","",IF(AND(Parameter!$B$21="Ja",ISNUMBER(W1236)),W1236,IF(CC1236="2+3",IF(ISNUMBER(SEARCH("grosser Artikel",BU1236)),2,IFERROR(VLOOKUP(BX1236,Parameter!$F$35:$G$64,2,0),2)),IF(OR(CC1236="Nein",CC1236=""),"-",CC1236))))</f>
        <v>-</v>
      </c>
      <c r="AA1236" s="55"/>
      <c r="AB1236" s="56"/>
      <c r="AC1236" s="50" t="n">
        <f aca="false">AV1236</f>
        <v>1</v>
      </c>
      <c r="AD1236" s="50" t="n">
        <f aca="false">MAX(AV1236,H1236)</f>
        <v>1</v>
      </c>
      <c r="AE1236" s="57"/>
      <c r="AF1236" s="50" t="n">
        <f aca="false">IF(LEFT(Cockpit!$C$5,1)="A",H1236,IF(Parameter!$E$30="MAX-Bestand",IF(CH1236=1,CI1236,IF(LEFT(Cockpit!$C$5,1)="B",AL1236,MAX(AL1236,H1236))),ROUNDUP(AJ1236,0)))</f>
        <v>0</v>
      </c>
      <c r="AG1236" s="50" t="n">
        <f aca="false">IF(BZ1236=1,0,ROUNDUP(AF1236/BY1236,0))</f>
        <v>0</v>
      </c>
      <c r="AH1236" s="52" t="n">
        <f aca="false">IF(CQ1236&gt;0,CQ1236*MAX(1,AF1236/X1236),IF(BZ1236=1,IF(AF1236&lt;=0,0,CD1236*MAX(1,IF(H1236&gt;0,AF1236/H1236,1))),IF(R1236&gt;0,AG1236/R1236,0))/MAX(0.1,N(Parameter!$M$21)))</f>
        <v>0</v>
      </c>
      <c r="AI1236" s="50" t="n">
        <f aca="false">AH1236*CB1236</f>
        <v>0</v>
      </c>
      <c r="AJ1236" s="51" t="n">
        <f aca="false">IF(LEFT(Cockpit!$C$5,1)="A",H1236,IF(CH1236=1,(CK1236+CI1236)/2,IF(LEFT(Cockpit!$C$5,1)="B",(CK1236+AL1236)/2,MAX((CK1236+AL1236)/2,H1236))))</f>
        <v>0</v>
      </c>
      <c r="AK1236" s="50" t="n">
        <f aca="false">AJ1236*G1236</f>
        <v>0</v>
      </c>
      <c r="AL1236" s="50" t="n">
        <f aca="false">ROUNDUP(CK1236+MAX(CL1236,2*(J1236/IF(CG1236&gt;0,CG1236,MAX(0.1,N(Cockpit!$C$6)))-CK1236)),0)</f>
        <v>1</v>
      </c>
      <c r="AM1236" s="51" t="n">
        <f aca="false">IF(AI1236&gt;0,J1236/AI1236,-1)</f>
        <v>-1</v>
      </c>
      <c r="AN1236" s="51" t="str">
        <f aca="false">IF(AND(OR(CF1236="L1",CF1236="L23",CF1236="LIFT"),AI1236&gt;0),SUMIFS($AI$7:$AI$1843,$CF$7:$CF$1843,CF1236,$AM$7:$AM$1843,"&gt;"&amp;AM1236)+SUMIFS($AI$7:$AI$1843,$CF$7:$CF$1843,CF1236,$AM$7:$AM$1843,AM1236,$BW$7:$BW$1843,"&lt;="&amp;BW1236),"")</f>
        <v/>
      </c>
      <c r="AO1236" s="58" t="n">
        <f aca="false">IF(AN1236="",0,MAX(0,MIN(1,(IF(CF1236="L1",Parameter!$H$5,IF(CF1236="L23",Parameter!$H$6+Parameter!$H$7,Parameter!$H$5+Parameter!$H$6+Parameter!$H$7))-(AN1236-AI1236))/AI1236)))</f>
        <v>0</v>
      </c>
      <c r="AP1236" s="50" t="n">
        <f aca="false">IF(LEFT(Cockpit!$I$5,1)="A",H1236,IF(Parameter!$E$30="MAX-Bestand",IF(CH1236=1,CI1236,IF(LEFT(Cockpit!$I$5,1)="B",AV1236,MAX(AV1236,H1236))),ROUNDUP(AT1236,0)))</f>
        <v>1</v>
      </c>
      <c r="AQ1236" s="50" t="n">
        <f aca="false">IF(BZ1236=1,0,ROUNDUP(AP1236/BY1236,0))</f>
        <v>1</v>
      </c>
      <c r="AR1236" s="52" t="n">
        <f aca="false">IF(CQ1236&gt;0,CQ1236*MAX(1,AP1236/X1236),IF(BZ1236=1,IF(AP1236&lt;=0,0,CD1236*MAX(1,IF(H1236&gt;0,AP1236/H1236,1))),IF(R1236&gt;0,AQ1236/R1236,0))/MAX(0.1,N(Parameter!$M$21)))</f>
        <v>0.25</v>
      </c>
      <c r="AS1236" s="50" t="n">
        <f aca="false">AR1236*CB1236</f>
        <v>58.75</v>
      </c>
      <c r="AT1236" s="51" t="n">
        <f aca="false">IF(LEFT(Cockpit!$I$5,1)="A",H1236,IF(CH1236=1,(CK1236+CI1236)/2,IF(LEFT(Cockpit!$I$5,1)="B",(CK1236+AV1236)/2,MAX((CK1236+AV1236)/2,H1236))))</f>
        <v>0.5</v>
      </c>
      <c r="AU1236" s="50" t="n">
        <f aca="false">AT1236*G1236</f>
        <v>33.945</v>
      </c>
      <c r="AV1236" s="50" t="n">
        <f aca="false">ROUNDUP(CK1236+MAX(CL1236,2*(J1236/IF(CG1236&gt;0,CG1236,MAX(0.1,N(Cockpit!$I$6)))-CK1236)),0)</f>
        <v>1</v>
      </c>
      <c r="AW1236" s="51" t="n">
        <f aca="false">IF(AS1236&gt;0,J1236/AS1236,-1)</f>
        <v>0</v>
      </c>
      <c r="AX1236" s="51" t="str">
        <f aca="false">IF(AND(OR(CF1236="L1",CF1236="L23",CF1236="LIFT"),AS1236&gt;0),SUMIFS($AS$7:$AS$1843,$CF$7:$CF$1843,CF1236,$AW$7:$AW$1843,"&gt;"&amp;AW1236)+SUMIFS($AS$7:$AS$1843,$CF$7:$CF$1843,CF1236,$AW$7:$AW$1843,AW1236,$BW$7:$BW$1843,"&lt;="&amp;BW1236),"")</f>
        <v/>
      </c>
      <c r="AY1236" s="58" t="n">
        <f aca="false">IF(AX1236="",0,MAX(0,MIN(1,(IF(CF1236="L1",Parameter!$H$5,IF(CF1236="L23",Parameter!$H$6+Parameter!$H$7,Parameter!$H$5+Parameter!$H$6+Parameter!$H$7))-(AX1236-AS1236))/AS1236)))</f>
        <v>0</v>
      </c>
      <c r="AZ1236" s="50" t="n">
        <f aca="false">IF(LEFT(Cockpit!$O$5,1)="A",H1236,IF(Parameter!$E$30="MAX-Bestand",IF(CH1236=1,CI1236,IF(LEFT(Cockpit!$O$5,1)="B",BF1236,MAX(BF1236,H1236))),ROUNDUP(BD1236,0)))</f>
        <v>1</v>
      </c>
      <c r="BA1236" s="50" t="n">
        <f aca="false">IF(BZ1236=1,0,ROUNDUP(AZ1236/BY1236,0))</f>
        <v>1</v>
      </c>
      <c r="BB1236" s="52" t="n">
        <f aca="false">IF(CQ1236&gt;0,CQ1236*MAX(1,AZ1236/X1236),IF(BZ1236=1,IF(AZ1236&lt;=0,0,CD1236*MAX(1,IF(H1236&gt;0,AZ1236/H1236,1))),IF(R1236&gt;0,BA1236/R1236,0))/MAX(0.1,N(Parameter!$M$21)))</f>
        <v>0.25</v>
      </c>
      <c r="BC1236" s="50" t="n">
        <f aca="false">BB1236*CB1236</f>
        <v>58.75</v>
      </c>
      <c r="BD1236" s="51" t="n">
        <f aca="false">IF(LEFT(Cockpit!$O$5,1)="A",H1236,IF(CH1236=1,(CK1236+CI1236)/2,IF(LEFT(Cockpit!$O$5,1)="B",(CK1236+BF1236)/2,MAX((CK1236+BF1236)/2,H1236))))</f>
        <v>0.5</v>
      </c>
      <c r="BE1236" s="50" t="n">
        <f aca="false">BD1236*G1236</f>
        <v>33.945</v>
      </c>
      <c r="BF1236" s="50" t="n">
        <f aca="false">ROUNDUP(CK1236+MAX(CL1236,2*(J1236/IF(CG1236&gt;0,CG1236,MAX(0.1,N(Cockpit!$O$6)))-CK1236)),0)</f>
        <v>1</v>
      </c>
      <c r="BG1236" s="51" t="n">
        <f aca="false">IF(BC1236&gt;0,J1236/BC1236,-1)</f>
        <v>0</v>
      </c>
      <c r="BH1236" s="51" t="str">
        <f aca="false">IF(AND(OR(CF1236="L1",CF1236="L23",CF1236="LIFT"),BC1236&gt;0),SUMIFS($BC$7:$BC$1843,$CF$7:$CF$1843,CF1236,$BG$7:$BG$1843,"&gt;"&amp;BG1236)+SUMIFS($BC$7:$BC$1843,$CF$7:$CF$1843,CF1236,$BG$7:$BG$1843,BG1236,$BW$7:$BW$1843,"&lt;="&amp;BW1236),"")</f>
        <v/>
      </c>
      <c r="BI1236" s="58" t="n">
        <f aca="false">IF(BH1236="",0,MAX(0,MIN(1,(IF(CF1236="L1",Parameter!$H$5,IF(CF1236="L23",Parameter!$H$6+Parameter!$H$7,Parameter!$H$5+Parameter!$H$6+Parameter!$H$7))-(BH1236-BC1236))/BC1236)))</f>
        <v>0</v>
      </c>
      <c r="BJ1236" s="48" t="str">
        <f aca="false">IF(AI1236&lt;=0,"",IF(CF1236="Aussen","Aussenlager",IF(CF1236="-","Nicht im Lift",IF(AO1236&gt;=1,"Lift",IF(AO1236&lt;=0,"Aussenlager","teilweise")))))</f>
        <v/>
      </c>
      <c r="BK1236" s="48" t="str">
        <f aca="false">IF(AS1236&lt;=0,"",IF(CF1236="Aussen","Aussenlager",IF(CF1236="-","Nicht im Lift",IF(AY1236&gt;=1,"Lift",IF(AY1236&lt;=0,"Aussenlager","teilweise")))))</f>
        <v>Nicht im Lift</v>
      </c>
      <c r="BL1236" s="48" t="str">
        <f aca="false">IF(BC1236&lt;=0,"",IF(CF1236="Aussen","Aussenlager",IF(CF1236="-","Nicht im Lift",IF(BI1236&gt;=1,"Lift",IF(BI1236&lt;=0,"Aussenlager","teilweise")))))</f>
        <v>Nicht im Lift</v>
      </c>
      <c r="BM1236" s="48" t="str">
        <f aca="false">IF(A1236="","",IF(BV1236=1,"Neu; ","")&amp;IF(AND(BV1236=0,BQ1236&lt;0),"negativer Bestand (Export "&amp;BQ1236&amp;"); ","")&amp;IF(J1236&lt;=0,"Kein Verbrauch; ","")&amp;IF(CQ1236&gt;0,"Lift "&amp;W1236&amp;" lt. Liftbericht (Fach "&amp;X1236&amp;" Stk); ",IF(CA1236=1,"Gebinde geschätzt ("&amp;T1236&amp;"); ",IF(BZ1236=1,"Lose – Tablare geschätzt; ","")))&amp;IF(H1236&gt;AV1236,"Überbestand "&amp;ROUND(H1236-AV1236,0)&amp;" Stk / CHF "&amp;ROUND((H1236-AV1236)*G1236,0)&amp;"; ","")&amp;IF(AND(CH1236=1,CI1236&lt;CJ1236),"MAX &lt; MB+LG; ","")&amp;IF(AND(CP1236&gt;0,CO1236*10&gt;CP1236),"zu hoch für Tablar; ","")&amp;IF(AND(BV1236=0,OR(CH1236=1,AA1236&lt;&gt;"",U1236&lt;&gt;"",V1236&lt;&gt;"",AB1236&lt;&gt;"")),"manuell übersteuert; ","")&amp;IF(AND(BZ1236=0,R1236=0),"Gebinde unbekannt / Stellmass fehlt; ","")&amp;IF(AND(BZ1236=0,N(V1236)&lt;=0,N(Q1236)&lt;=0),"Menge pro Gebinde fehlt (Ist = 1 Gebinde); ","")&amp;BU1236)</f>
        <v>negativer Bestand (Export -10); Kein Verbrauch; Gebinde geschätzt (Gross); Menge pro Gebinde fehlt (Ist = 1 Gebinde); </v>
      </c>
      <c r="BN1236" s="48"/>
      <c r="BO1236" s="48"/>
      <c r="BP1236" s="55"/>
      <c r="BQ1236" s="50" t="n">
        <v>-10</v>
      </c>
      <c r="BR1236" s="50" t="n">
        <v>10</v>
      </c>
      <c r="BS1236" s="49" t="n">
        <v>-678.9</v>
      </c>
      <c r="BT1236" s="50" t="n">
        <v>0</v>
      </c>
      <c r="BU1236" s="48"/>
      <c r="BV1236" s="53" t="n">
        <v>0</v>
      </c>
      <c r="BW1236" s="53" t="n">
        <v>1236</v>
      </c>
      <c r="BX1236" s="48" t="str">
        <f aca="false">IF(U1236&lt;&gt;"",UPPER(TRIM(U1236)),IF(CA1236=1,UPPER(VLOOKUP(T1236,Parameter!$I$27:$K$29,2,0)),IF(P1236="","LOSE",P1236)))</f>
        <v>S81</v>
      </c>
      <c r="BY1236" s="50" t="n">
        <f aca="false">IF(BX1236="LOSE",1,IF(N(V1236)&gt;0,V1236,IF(CA1236=1,MAX(1,N(VLOOKUP(T1236,Parameter!$I$27:$K$29,3,0)),H1236,N(N1236)),IF(N(Q1236)&gt;0,Q1236,MAX(1,H1236)))))</f>
        <v>2</v>
      </c>
      <c r="BZ1236" s="53" t="n">
        <f aca="false">IF(BX1236="LOSE",1,0)</f>
        <v>0</v>
      </c>
      <c r="CA1236" s="53" t="n">
        <f aca="false">IF(AND(U1236="",OR(P1236="",P1236="LOSE"),T1236&lt;&gt;"",N(S1236)&lt;=0,ISNUMBER(MATCH(T1236,Parameter!$I$27:$I$29,0))),1,0)</f>
        <v>1</v>
      </c>
      <c r="CB1236" s="53" t="n">
        <f aca="false">IF(CQ1236&gt;0,INDEX(Parameter!$H$5:$H$7,W1236)/INDEX(Parameter!$E$5:$E$7,W1236),IF(AND(BZ1236=0,N(IFERROR(VLOOKUP(BX1236,'Gebinde-Kategorie'!$A$5:$N$45,14,0),0))&gt;0),VLOOKUP(BX1236,'Gebinde-Kategorie'!$A$5:$N$45,14,0)*10+Parameter!$M$23,Parameter!$M$24))</f>
        <v>235</v>
      </c>
      <c r="CC1236" s="48" t="str">
        <f aca="false">IF(AND(Parameter!$B$19="Ja",E1236&lt;&gt;"",ISNUMBER(MATCH(E1236,Parameter!$I$35:$I$52,0))),VLOOKUP(E1236,Parameter!$I$35:$J$52,2,0),IFERROR(VLOOKUP(D1236,Parameter!$A$35:$C$64,2,0),"Nein"))</f>
        <v>Nein</v>
      </c>
      <c r="CD1236" s="52" t="n">
        <f aca="false">IF(BZ1236=0,0,IF(N(S1236)&gt;0,S1236,IFERROR(VLOOKUP(D1236,Parameter!$A$35:$C$64,3,0)+0,0)))</f>
        <v>0</v>
      </c>
      <c r="CE1236" s="48" t="str">
        <f aca="false">IF(AA1236&lt;&gt;"",AA1236,Z1236)</f>
        <v>-</v>
      </c>
      <c r="CF1236" s="48" t="str">
        <f aca="false">IF(OR(CE1236=1,CE1236=2,CE1236=3),IF(Parameter!$E$27="Ja","LIFT",IF(CE1236=1,"L1","L23")),IF(CE1236="Aussen","Aussen","-"))</f>
        <v>-</v>
      </c>
      <c r="CG1236" s="59" t="n">
        <f aca="false">IF(N(AB1236)&gt;0,AB1236,0)</f>
        <v>0</v>
      </c>
      <c r="CH1236" s="53" t="n">
        <f aca="false">IF(ISNUMBER(AE1236),1,0)</f>
        <v>0</v>
      </c>
      <c r="CI1236" s="50" t="n">
        <f aca="false">N(AE1236)</f>
        <v>0</v>
      </c>
      <c r="CJ1236" s="50" t="n">
        <f aca="false">N(M1236)+N(N1236)</f>
        <v>1</v>
      </c>
      <c r="CK1236" s="50" t="n">
        <f aca="false">N(M1236)</f>
        <v>0</v>
      </c>
      <c r="CL1236" s="50" t="n">
        <f aca="false">N(N1236)</f>
        <v>1</v>
      </c>
      <c r="CM1236" s="50" t="n">
        <f aca="false">ROUNDUP(H1236/BY1236,0)</f>
        <v>0</v>
      </c>
      <c r="CN1236" s="50" t="n">
        <f aca="false">ROUNDUP(CI1236/BY1236,0)</f>
        <v>0</v>
      </c>
      <c r="CO1236" s="53" t="n">
        <f aca="false">IF(BZ1236=1,0,IFERROR(VLOOKUP(BX1236,'Gebinde-Kategorie'!$A$5:$N$45,5,0)+0,0))</f>
        <v>20</v>
      </c>
      <c r="CP1236" s="53" t="n">
        <f aca="false">IFERROR(IF(OR(CE1236=1,CE1236=2,CE1236=3),N(INDEX(Parameter!$I$5:$I$7,CE1236)),0),0)</f>
        <v>0</v>
      </c>
      <c r="CQ1236" s="52" t="n">
        <f aca="false">IF(AND(Parameter!$B$21="Ja",ISNUMBER(W1236),N(X1236)&gt;0),IFERROR(N(INDEX(Parameter!$L$5:$L$7,W1236))*INDEX(Parameter!$E$5:$E$7,W1236)*X1236/SUMIFS($X$7:$X$1843,$W$7:$W$1843,W1236),0),0)</f>
        <v>0</v>
      </c>
    </row>
    <row r="1237" customFormat="false" ht="15" hidden="false" customHeight="false" outlineLevel="0" collapsed="false">
      <c r="A1237" s="48" t="s">
        <v>2223</v>
      </c>
      <c r="B1237" s="48" t="s">
        <v>677</v>
      </c>
      <c r="C1237" s="48" t="s">
        <v>173</v>
      </c>
      <c r="D1237" s="48" t="s">
        <v>182</v>
      </c>
      <c r="E1237" s="48"/>
      <c r="F1237" s="48" t="s">
        <v>227</v>
      </c>
      <c r="G1237" s="49" t="n">
        <v>201.92</v>
      </c>
      <c r="H1237" s="50" t="n">
        <f aca="false">MAX(0,IF(AND(Parameter!$B$21="Ja",ISNUMBER(Y1237)),Y1237,IF(Parameter!$B$20="Jahresanfang 2025 + Export",BR1237+BQ1237,BQ1237)))</f>
        <v>8</v>
      </c>
      <c r="I1237" s="50" t="n">
        <f aca="false">H1237*G1237</f>
        <v>1615.36</v>
      </c>
      <c r="J1237" s="50" t="n">
        <f aca="false">BT1237*Parameter!$B$18</f>
        <v>55</v>
      </c>
      <c r="K1237" s="51" t="n">
        <v>17.5</v>
      </c>
      <c r="L1237" s="52" t="n">
        <v>3.14285714285714</v>
      </c>
      <c r="M1237" s="50" t="n">
        <v>5</v>
      </c>
      <c r="N1237" s="50" t="n">
        <v>10</v>
      </c>
      <c r="O1237" s="53" t="n">
        <v>28</v>
      </c>
      <c r="P1237" s="48" t="s">
        <v>177</v>
      </c>
      <c r="Q1237" s="50"/>
      <c r="R1237" s="53" t="n">
        <f aca="false">IF(BZ1237=1,0,IFERROR(VLOOKUP(BX1237,'Gebinde-Kategorie'!$A$5:$N$45,13,0)+0,0))</f>
        <v>0</v>
      </c>
      <c r="S1237" s="54"/>
      <c r="T1237" s="55"/>
      <c r="U1237" s="55"/>
      <c r="V1237" s="55"/>
      <c r="W1237" s="48" t="n">
        <v>1</v>
      </c>
      <c r="X1237" s="50" t="n">
        <v>22</v>
      </c>
      <c r="Y1237" s="50" t="n">
        <v>8</v>
      </c>
      <c r="Z1237" s="48" t="n">
        <f aca="false">IF(A1237="","",IF(AND(Parameter!$B$21="Ja",ISNUMBER(W1237)),W1237,IF(CC1237="2+3",IF(ISNUMBER(SEARCH("grosser Artikel",BU1237)),2,IFERROR(VLOOKUP(BX1237,Parameter!$F$35:$G$64,2,0),2)),IF(OR(CC1237="Nein",CC1237=""),"-",CC1237))))</f>
        <v>1</v>
      </c>
      <c r="AA1237" s="55"/>
      <c r="AB1237" s="56"/>
      <c r="AC1237" s="50" t="n">
        <f aca="false">AV1237</f>
        <v>32</v>
      </c>
      <c r="AD1237" s="50" t="n">
        <f aca="false">MAX(AV1237,H1237)</f>
        <v>32</v>
      </c>
      <c r="AE1237" s="57"/>
      <c r="AF1237" s="50" t="n">
        <f aca="false">IF(LEFT(Cockpit!$C$5,1)="A",H1237,IF(Parameter!$E$30="MAX-Bestand",IF(CH1237=1,CI1237,IF(LEFT(Cockpit!$C$5,1)="B",AL1237,MAX(AL1237,H1237))),ROUNDUP(AJ1237,0)))</f>
        <v>8</v>
      </c>
      <c r="AG1237" s="50" t="n">
        <f aca="false">IF(BZ1237=1,0,ROUNDUP(AF1237/BY1237,0))</f>
        <v>0</v>
      </c>
      <c r="AH1237" s="52" t="n">
        <f aca="false">IF(CQ1237&gt;0,CQ1237*MAX(1,AF1237/X1237),IF(BZ1237=1,IF(AF1237&lt;=0,0,CD1237*MAX(1,IF(H1237&gt;0,AF1237/H1237,1))),IF(R1237&gt;0,AG1237/R1237,0))/MAX(0.1,N(Parameter!$M$21)))</f>
        <v>1.7608286252354</v>
      </c>
      <c r="AI1237" s="50" t="n">
        <f aca="false">AH1237*CB1237</f>
        <v>419.077212806026</v>
      </c>
      <c r="AJ1237" s="51" t="n">
        <f aca="false">IF(LEFT(Cockpit!$C$5,1)="A",H1237,IF(CH1237=1,(CK1237+CI1237)/2,IF(LEFT(Cockpit!$C$5,1)="B",(CK1237+AL1237)/2,MAX((CK1237+AL1237)/2,H1237))))</f>
        <v>8</v>
      </c>
      <c r="AK1237" s="50" t="n">
        <f aca="false">AJ1237*G1237</f>
        <v>1615.36</v>
      </c>
      <c r="AL1237" s="50" t="n">
        <f aca="false">ROUNDUP(CK1237+MAX(CL1237,2*(J1237/IF(CG1237&gt;0,CG1237,MAX(0.1,N(Cockpit!$C$6)))-CK1237)),0)</f>
        <v>32</v>
      </c>
      <c r="AM1237" s="51" t="n">
        <f aca="false">IF(AI1237&gt;0,J1237/AI1237,-1)</f>
        <v>0.131240731586752</v>
      </c>
      <c r="AN1237" s="51" t="n">
        <f aca="false">IF(AND(OR(CF1237="L1",CF1237="L23",CF1237="LIFT"),AI1237&gt;0),SUMIFS($AI$7:$AI$1843,$CF$7:$CF$1843,CF1237,$AM$7:$AM$1843,"&gt;"&amp;AM1237)+SUMIFS($AI$7:$AI$1843,$CF$7:$CF$1843,CF1237,$AM$7:$AM$1843,AM1237,$BW$7:$BW$1843,"&lt;="&amp;BW1237),"")</f>
        <v>13748.169908011</v>
      </c>
      <c r="AO1237" s="58" t="n">
        <f aca="false">IF(AN1237="",0,MAX(0,MIN(1,(IF(CF1237="L1",Parameter!$H$5,IF(CF1237="L23",Parameter!$H$6+Parameter!$H$7,Parameter!$H$5+Parameter!$H$6+Parameter!$H$7))-(AN1237-AI1237))/AI1237)))</f>
        <v>1</v>
      </c>
      <c r="AP1237" s="50" t="n">
        <f aca="false">IF(LEFT(Cockpit!$I$5,1)="A",H1237,IF(Parameter!$E$30="MAX-Bestand",IF(CH1237=1,CI1237,IF(LEFT(Cockpit!$I$5,1)="B",AV1237,MAX(AV1237,H1237))),ROUNDUP(AT1237,0)))</f>
        <v>19</v>
      </c>
      <c r="AQ1237" s="50" t="n">
        <f aca="false">IF(BZ1237=1,0,ROUNDUP(AP1237/BY1237,0))</f>
        <v>0</v>
      </c>
      <c r="AR1237" s="52" t="n">
        <f aca="false">IF(CQ1237&gt;0,CQ1237*MAX(1,AP1237/X1237),IF(BZ1237=1,IF(AP1237&lt;=0,0,CD1237*MAX(1,IF(H1237&gt;0,AP1237/H1237,1))),IF(R1237&gt;0,AQ1237/R1237,0))/MAX(0.1,N(Parameter!$M$21)))</f>
        <v>1.7608286252354</v>
      </c>
      <c r="AS1237" s="50" t="n">
        <f aca="false">AR1237*CB1237</f>
        <v>419.077212806026</v>
      </c>
      <c r="AT1237" s="51" t="n">
        <f aca="false">IF(LEFT(Cockpit!$I$5,1)="A",H1237,IF(CH1237=1,(CK1237+CI1237)/2,IF(LEFT(Cockpit!$I$5,1)="B",(CK1237+AV1237)/2,MAX((CK1237+AV1237)/2,H1237))))</f>
        <v>18.5</v>
      </c>
      <c r="AU1237" s="50" t="n">
        <f aca="false">AT1237*G1237</f>
        <v>3735.52</v>
      </c>
      <c r="AV1237" s="50" t="n">
        <f aca="false">ROUNDUP(CK1237+MAX(CL1237,2*(J1237/IF(CG1237&gt;0,CG1237,MAX(0.1,N(Cockpit!$I$6)))-CK1237)),0)</f>
        <v>32</v>
      </c>
      <c r="AW1237" s="51" t="n">
        <f aca="false">IF(AS1237&gt;0,J1237/AS1237,-1)</f>
        <v>0.131240731586752</v>
      </c>
      <c r="AX1237" s="51" t="n">
        <f aca="false">IF(AND(OR(CF1237="L1",CF1237="L23",CF1237="LIFT"),AS1237&gt;0),SUMIFS($AS$7:$AS$1843,$CF$7:$CF$1843,CF1237,$AW$7:$AW$1843,"&gt;"&amp;AW1237)+SUMIFS($AS$7:$AS$1843,$CF$7:$CF$1843,CF1237,$AW$7:$AW$1843,AW1237,$BW$7:$BW$1843,"&lt;="&amp;BW1237),"")</f>
        <v>17772.5685493885</v>
      </c>
      <c r="AY1237" s="58" t="n">
        <f aca="false">IF(AX1237="",0,MAX(0,MIN(1,(IF(CF1237="L1",Parameter!$H$5,IF(CF1237="L23",Parameter!$H$6+Parameter!$H$7,Parameter!$H$5+Parameter!$H$6+Parameter!$H$7))-(AX1237-AS1237))/AS1237)))</f>
        <v>1</v>
      </c>
      <c r="AZ1237" s="50" t="n">
        <f aca="false">IF(LEFT(Cockpit!$O$5,1)="A",H1237,IF(Parameter!$E$30="MAX-Bestand",IF(CH1237=1,CI1237,IF(LEFT(Cockpit!$O$5,1)="B",BF1237,MAX(BF1237,H1237))),ROUNDUP(BD1237,0)))</f>
        <v>14</v>
      </c>
      <c r="BA1237" s="50" t="n">
        <f aca="false">IF(BZ1237=1,0,ROUNDUP(AZ1237/BY1237,0))</f>
        <v>0</v>
      </c>
      <c r="BB1237" s="52" t="n">
        <f aca="false">IF(CQ1237&gt;0,CQ1237*MAX(1,AZ1237/X1237),IF(BZ1237=1,IF(AZ1237&lt;=0,0,CD1237*MAX(1,IF(H1237&gt;0,AZ1237/H1237,1))),IF(R1237&gt;0,BA1237/R1237,0))/MAX(0.1,N(Parameter!$M$21)))</f>
        <v>1.7608286252354</v>
      </c>
      <c r="BC1237" s="50" t="n">
        <f aca="false">BB1237*CB1237</f>
        <v>419.077212806026</v>
      </c>
      <c r="BD1237" s="51" t="n">
        <f aca="false">IF(LEFT(Cockpit!$O$5,1)="A",H1237,IF(CH1237=1,(CK1237+CI1237)/2,IF(LEFT(Cockpit!$O$5,1)="B",(CK1237+BF1237)/2,MAX((CK1237+BF1237)/2,H1237))))</f>
        <v>14</v>
      </c>
      <c r="BE1237" s="50" t="n">
        <f aca="false">BD1237*G1237</f>
        <v>2826.88</v>
      </c>
      <c r="BF1237" s="50" t="n">
        <f aca="false">ROUNDUP(CK1237+MAX(CL1237,2*(J1237/IF(CG1237&gt;0,CG1237,MAX(0.1,N(Cockpit!$O$6)))-CK1237)),0)</f>
        <v>23</v>
      </c>
      <c r="BG1237" s="51" t="n">
        <f aca="false">IF(BC1237&gt;0,J1237/BC1237,-1)</f>
        <v>0.131240731586752</v>
      </c>
      <c r="BH1237" s="51" t="n">
        <f aca="false">IF(AND(OR(CF1237="L1",CF1237="L23",CF1237="LIFT"),BC1237&gt;0),SUMIFS($BC$7:$BC$1843,$CF$7:$CF$1843,CF1237,$BG$7:$BG$1843,"&gt;"&amp;BG1237)+SUMIFS($BC$7:$BC$1843,$CF$7:$CF$1843,CF1237,$BG$7:$BG$1843,BG1237,$BW$7:$BW$1843,"&lt;="&amp;BW1237),"")</f>
        <v>14986.2978285838</v>
      </c>
      <c r="BI1237" s="58" t="n">
        <f aca="false">IF(BH1237="",0,MAX(0,MIN(1,(IF(CF1237="L1",Parameter!$H$5,IF(CF1237="L23",Parameter!$H$6+Parameter!$H$7,Parameter!$H$5+Parameter!$H$6+Parameter!$H$7))-(BH1237-BC1237))/BC1237)))</f>
        <v>1</v>
      </c>
      <c r="BJ1237" s="48" t="str">
        <f aca="false">IF(AI1237&lt;=0,"",IF(CF1237="Aussen","Aussenlager",IF(CF1237="-","Nicht im Lift",IF(AO1237&gt;=1,"Lift",IF(AO1237&lt;=0,"Aussenlager","teilweise")))))</f>
        <v>Lift</v>
      </c>
      <c r="BK1237" s="48" t="str">
        <f aca="false">IF(AS1237&lt;=0,"",IF(CF1237="Aussen","Aussenlager",IF(CF1237="-","Nicht im Lift",IF(AY1237&gt;=1,"Lift",IF(AY1237&lt;=0,"Aussenlager","teilweise")))))</f>
        <v>Lift</v>
      </c>
      <c r="BL1237" s="48" t="str">
        <f aca="false">IF(BC1237&lt;=0,"",IF(CF1237="Aussen","Aussenlager",IF(CF1237="-","Nicht im Lift",IF(BI1237&gt;=1,"Lift",IF(BI1237&lt;=0,"Aussenlager","teilweise")))))</f>
        <v>Lift</v>
      </c>
      <c r="BM1237" s="48" t="str">
        <f aca="false">IF(A1237="","",IF(BV1237=1,"Neu; ","")&amp;IF(AND(BV1237=0,BQ1237&lt;0),"negativer Bestand (Export "&amp;BQ1237&amp;"); ","")&amp;IF(J1237&lt;=0,"Kein Verbrauch; ","")&amp;IF(CQ1237&gt;0,"Lift "&amp;W1237&amp;" lt. Liftbericht (Fach "&amp;X1237&amp;" Stk); ",IF(CA1237=1,"Gebinde geschätzt ("&amp;T1237&amp;"); ",IF(BZ1237=1,"Lose – Tablare geschätzt; ","")))&amp;IF(H1237&gt;AV1237,"Überbestand "&amp;ROUND(H1237-AV1237,0)&amp;" Stk / CHF "&amp;ROUND((H1237-AV1237)*G1237,0)&amp;"; ","")&amp;IF(AND(CH1237=1,CI1237&lt;CJ1237),"MAX &lt; MB+LG; ","")&amp;IF(AND(CP1237&gt;0,CO1237*10&gt;CP1237),"zu hoch für Tablar; ","")&amp;IF(AND(BV1237=0,OR(CH1237=1,AA1237&lt;&gt;"",U1237&lt;&gt;"",V1237&lt;&gt;"",AB1237&lt;&gt;"")),"manuell übersteuert; ","")&amp;IF(AND(BZ1237=0,R1237=0),"Gebinde unbekannt / Stellmass fehlt; ","")&amp;IF(AND(BZ1237=0,N(V1237)&lt;=0,N(Q1237)&lt;=0),"Menge pro Gebinde fehlt (Ist = 1 Gebinde); ","")&amp;BU1237)</f>
        <v>negativer Bestand (Export -3); Lift 1 lt. Liftbericht (Fach 22 Stk); </v>
      </c>
      <c r="BN1237" s="48"/>
      <c r="BO1237" s="48"/>
      <c r="BP1237" s="55"/>
      <c r="BQ1237" s="50" t="n">
        <v>-3</v>
      </c>
      <c r="BR1237" s="50" t="n">
        <v>15</v>
      </c>
      <c r="BS1237" s="49" t="n">
        <v>-687.960000000004</v>
      </c>
      <c r="BT1237" s="50" t="n">
        <v>55</v>
      </c>
      <c r="BU1237" s="48"/>
      <c r="BV1237" s="53" t="n">
        <v>0</v>
      </c>
      <c r="BW1237" s="53" t="n">
        <v>1237</v>
      </c>
      <c r="BX1237" s="48" t="str">
        <f aca="false">IF(U1237&lt;&gt;"",UPPER(TRIM(U1237)),IF(CA1237=1,UPPER(VLOOKUP(T1237,Parameter!$I$27:$K$29,2,0)),IF(P1237="","LOSE",P1237)))</f>
        <v>LOSE</v>
      </c>
      <c r="BY1237" s="50" t="n">
        <f aca="false">IF(BX1237="LOSE",1,IF(N(V1237)&gt;0,V1237,IF(CA1237=1,MAX(1,N(VLOOKUP(T1237,Parameter!$I$27:$K$29,3,0)),H1237,N(N1237)),IF(N(Q1237)&gt;0,Q1237,MAX(1,H1237)))))</f>
        <v>1</v>
      </c>
      <c r="BZ1237" s="53" t="n">
        <f aca="false">IF(BX1237="LOSE",1,0)</f>
        <v>1</v>
      </c>
      <c r="CA1237" s="53" t="n">
        <f aca="false">IF(AND(U1237="",OR(P1237="",P1237="LOSE"),T1237&lt;&gt;"",N(S1237)&lt;=0,ISNUMBER(MATCH(T1237,Parameter!$I$27:$I$29,0))),1,0)</f>
        <v>0</v>
      </c>
      <c r="CB1237" s="53" t="n">
        <f aca="false">IF(CQ1237&gt;0,INDEX(Parameter!$H$5:$H$7,W1237)/INDEX(Parameter!$E$5:$E$7,W1237),IF(AND(BZ1237=0,N(IFERROR(VLOOKUP(BX1237,'Gebinde-Kategorie'!$A$5:$N$45,14,0),0))&gt;0),VLOOKUP(BX1237,'Gebinde-Kategorie'!$A$5:$N$45,14,0)*10+Parameter!$M$23,Parameter!$M$24))</f>
        <v>238</v>
      </c>
      <c r="CC1237" s="48" t="str">
        <f aca="false">IF(AND(Parameter!$B$19="Ja",E1237&lt;&gt;"",ISNUMBER(MATCH(E1237,Parameter!$I$35:$I$52,0))),VLOOKUP(E1237,Parameter!$I$35:$J$52,2,0),IFERROR(VLOOKUP(D1237,Parameter!$A$35:$C$64,2,0),"Nein"))</f>
        <v>2+3</v>
      </c>
      <c r="CD1237" s="52" t="n">
        <f aca="false">IF(BZ1237=0,0,IF(N(S1237)&gt;0,S1237,IFERROR(VLOOKUP(D1237,Parameter!$A$35:$C$64,3,0)+0,0)))</f>
        <v>0.15</v>
      </c>
      <c r="CE1237" s="48" t="n">
        <f aca="false">IF(AA1237&lt;&gt;"",AA1237,Z1237)</f>
        <v>1</v>
      </c>
      <c r="CF1237" s="48" t="str">
        <f aca="false">IF(OR(CE1237=1,CE1237=2,CE1237=3),IF(Parameter!$E$27="Ja","LIFT",IF(CE1237=1,"L1","L23")),IF(CE1237="Aussen","Aussen","-"))</f>
        <v>LIFT</v>
      </c>
      <c r="CG1237" s="59" t="n">
        <f aca="false">IF(N(AB1237)&gt;0,AB1237,0)</f>
        <v>0</v>
      </c>
      <c r="CH1237" s="53" t="n">
        <f aca="false">IF(ISNUMBER(AE1237),1,0)</f>
        <v>0</v>
      </c>
      <c r="CI1237" s="50" t="n">
        <f aca="false">N(AE1237)</f>
        <v>0</v>
      </c>
      <c r="CJ1237" s="50" t="n">
        <f aca="false">N(M1237)+N(N1237)</f>
        <v>15</v>
      </c>
      <c r="CK1237" s="50" t="n">
        <f aca="false">N(M1237)</f>
        <v>5</v>
      </c>
      <c r="CL1237" s="50" t="n">
        <f aca="false">N(N1237)</f>
        <v>10</v>
      </c>
      <c r="CM1237" s="50" t="n">
        <f aca="false">ROUNDUP(H1237/BY1237,0)</f>
        <v>8</v>
      </c>
      <c r="CN1237" s="50" t="n">
        <f aca="false">ROUNDUP(CI1237/BY1237,0)</f>
        <v>0</v>
      </c>
      <c r="CO1237" s="53" t="n">
        <f aca="false">IF(BZ1237=1,0,IFERROR(VLOOKUP(BX1237,'Gebinde-Kategorie'!$A$5:$N$45,5,0)+0,0))</f>
        <v>0</v>
      </c>
      <c r="CP1237" s="53" t="n">
        <f aca="false">IFERROR(IF(OR(CE1237=1,CE1237=2,CE1237=3),N(INDEX(Parameter!$I$5:$I$7,CE1237)),0),0)</f>
        <v>0</v>
      </c>
      <c r="CQ1237" s="52" t="n">
        <f aca="false">IF(AND(Parameter!$B$21="Ja",ISNUMBER(W1237),N(X1237)&gt;0),IFERROR(N(INDEX(Parameter!$L$5:$L$7,W1237))*INDEX(Parameter!$E$5:$E$7,W1237)*X1237/SUMIFS($X$7:$X$1843,$W$7:$W$1843,W1237),0),0)</f>
        <v>1.7608286252354</v>
      </c>
    </row>
    <row r="1238" customFormat="false" ht="15" hidden="false" customHeight="false" outlineLevel="0" collapsed="false">
      <c r="A1238" s="48" t="s">
        <v>2224</v>
      </c>
      <c r="B1238" s="48" t="s">
        <v>547</v>
      </c>
      <c r="C1238" s="48" t="s">
        <v>173</v>
      </c>
      <c r="D1238" s="48" t="s">
        <v>182</v>
      </c>
      <c r="E1238" s="48"/>
      <c r="F1238" s="48" t="s">
        <v>227</v>
      </c>
      <c r="G1238" s="49" t="n">
        <v>185.97</v>
      </c>
      <c r="H1238" s="50" t="n">
        <f aca="false">MAX(0,IF(AND(Parameter!$B$21="Ja",ISNUMBER(Y1238)),Y1238,IF(Parameter!$B$20="Jahresanfang 2025 + Export",BR1238+BQ1238,BQ1238)))</f>
        <v>2</v>
      </c>
      <c r="I1238" s="50" t="n">
        <f aca="false">H1238*G1238</f>
        <v>371.94</v>
      </c>
      <c r="J1238" s="50" t="n">
        <f aca="false">BT1238*Parameter!$B$18</f>
        <v>9</v>
      </c>
      <c r="K1238" s="51" t="n">
        <v>6</v>
      </c>
      <c r="L1238" s="52" t="n">
        <v>1.5</v>
      </c>
      <c r="M1238" s="50" t="n">
        <v>0</v>
      </c>
      <c r="N1238" s="50" t="n">
        <v>10</v>
      </c>
      <c r="O1238" s="53" t="n">
        <v>35</v>
      </c>
      <c r="P1238" s="48" t="s">
        <v>183</v>
      </c>
      <c r="Q1238" s="50" t="n">
        <v>10</v>
      </c>
      <c r="R1238" s="53" t="n">
        <f aca="false">IF(BZ1238=1,0,IFERROR(VLOOKUP(BX1238,'Gebinde-Kategorie'!$A$5:$N$45,13,0)+0,0))</f>
        <v>6</v>
      </c>
      <c r="S1238" s="54"/>
      <c r="T1238" s="55"/>
      <c r="U1238" s="55"/>
      <c r="V1238" s="55"/>
      <c r="W1238" s="48"/>
      <c r="X1238" s="50"/>
      <c r="Y1238" s="50"/>
      <c r="Z1238" s="48" t="n">
        <f aca="false">IF(A1238="","",IF(AND(Parameter!$B$21="Ja",ISNUMBER(W1238)),W1238,IF(CC1238="2+3",IF(ISNUMBER(SEARCH("grosser Artikel",BU1238)),2,IFERROR(VLOOKUP(BX1238,Parameter!$F$35:$G$64,2,0),2)),IF(OR(CC1238="Nein",CC1238=""),"-",CC1238))))</f>
        <v>2</v>
      </c>
      <c r="AA1238" s="55"/>
      <c r="AB1238" s="56"/>
      <c r="AC1238" s="50" t="n">
        <f aca="false">AV1238</f>
        <v>10</v>
      </c>
      <c r="AD1238" s="50" t="n">
        <f aca="false">MAX(AV1238,H1238)</f>
        <v>10</v>
      </c>
      <c r="AE1238" s="57"/>
      <c r="AF1238" s="50" t="n">
        <f aca="false">IF(LEFT(Cockpit!$C$5,1)="A",H1238,IF(Parameter!$E$30="MAX-Bestand",IF(CH1238=1,CI1238,IF(LEFT(Cockpit!$C$5,1)="B",AL1238,MAX(AL1238,H1238))),ROUNDUP(AJ1238,0)))</f>
        <v>2</v>
      </c>
      <c r="AG1238" s="50" t="n">
        <f aca="false">IF(BZ1238=1,0,ROUNDUP(AF1238/BY1238,0))</f>
        <v>1</v>
      </c>
      <c r="AH1238" s="52" t="n">
        <f aca="false">IF(CQ1238&gt;0,CQ1238*MAX(1,AF1238/X1238),IF(BZ1238=1,IF(AF1238&lt;=0,0,CD1238*MAX(1,IF(H1238&gt;0,AF1238/H1238,1))),IF(R1238&gt;0,AG1238/R1238,0))/MAX(0.1,N(Parameter!$M$21)))</f>
        <v>0.166666666666667</v>
      </c>
      <c r="AI1238" s="50" t="n">
        <f aca="false">AH1238*CB1238</f>
        <v>39.1666666666667</v>
      </c>
      <c r="AJ1238" s="51" t="n">
        <f aca="false">IF(LEFT(Cockpit!$C$5,1)="A",H1238,IF(CH1238=1,(CK1238+CI1238)/2,IF(LEFT(Cockpit!$C$5,1)="B",(CK1238+AL1238)/2,MAX((CK1238+AL1238)/2,H1238))))</f>
        <v>2</v>
      </c>
      <c r="AK1238" s="50" t="n">
        <f aca="false">AJ1238*G1238</f>
        <v>371.94</v>
      </c>
      <c r="AL1238" s="50" t="n">
        <f aca="false">ROUNDUP(CK1238+MAX(CL1238,2*(J1238/IF(CG1238&gt;0,CG1238,MAX(0.1,N(Cockpit!$C$6)))-CK1238)),0)</f>
        <v>10</v>
      </c>
      <c r="AM1238" s="51" t="n">
        <f aca="false">IF(AI1238&gt;0,J1238/AI1238,-1)</f>
        <v>0.229787234042553</v>
      </c>
      <c r="AN1238" s="51" t="n">
        <f aca="false">IF(AND(OR(CF1238="L1",CF1238="L23",CF1238="LIFT"),AI1238&gt;0),SUMIFS($AI$7:$AI$1843,$CF$7:$CF$1843,CF1238,$AM$7:$AM$1843,"&gt;"&amp;AM1238)+SUMIFS($AI$7:$AI$1843,$CF$7:$CF$1843,CF1238,$AM$7:$AM$1843,AM1238,$BW$7:$BW$1843,"&lt;="&amp;BW1238),"")</f>
        <v>12030.6869295958</v>
      </c>
      <c r="AO1238" s="58" t="n">
        <f aca="false">IF(AN1238="",0,MAX(0,MIN(1,(IF(CF1238="L1",Parameter!$H$5,IF(CF1238="L23",Parameter!$H$6+Parameter!$H$7,Parameter!$H$5+Parameter!$H$6+Parameter!$H$7))-(AN1238-AI1238))/AI1238)))</f>
        <v>1</v>
      </c>
      <c r="AP1238" s="50" t="n">
        <f aca="false">IF(LEFT(Cockpit!$I$5,1)="A",H1238,IF(Parameter!$E$30="MAX-Bestand",IF(CH1238=1,CI1238,IF(LEFT(Cockpit!$I$5,1)="B",AV1238,MAX(AV1238,H1238))),ROUNDUP(AT1238,0)))</f>
        <v>5</v>
      </c>
      <c r="AQ1238" s="50" t="n">
        <f aca="false">IF(BZ1238=1,0,ROUNDUP(AP1238/BY1238,0))</f>
        <v>1</v>
      </c>
      <c r="AR1238" s="52" t="n">
        <f aca="false">IF(CQ1238&gt;0,CQ1238*MAX(1,AP1238/X1238),IF(BZ1238=1,IF(AP1238&lt;=0,0,CD1238*MAX(1,IF(H1238&gt;0,AP1238/H1238,1))),IF(R1238&gt;0,AQ1238/R1238,0))/MAX(0.1,N(Parameter!$M$21)))</f>
        <v>0.166666666666667</v>
      </c>
      <c r="AS1238" s="50" t="n">
        <f aca="false">AR1238*CB1238</f>
        <v>39.1666666666667</v>
      </c>
      <c r="AT1238" s="51" t="n">
        <f aca="false">IF(LEFT(Cockpit!$I$5,1)="A",H1238,IF(CH1238=1,(CK1238+CI1238)/2,IF(LEFT(Cockpit!$I$5,1)="B",(CK1238+AV1238)/2,MAX((CK1238+AV1238)/2,H1238))))</f>
        <v>5</v>
      </c>
      <c r="AU1238" s="50" t="n">
        <f aca="false">AT1238*G1238</f>
        <v>929.85</v>
      </c>
      <c r="AV1238" s="50" t="n">
        <f aca="false">ROUNDUP(CK1238+MAX(CL1238,2*(J1238/IF(CG1238&gt;0,CG1238,MAX(0.1,N(Cockpit!$I$6)))-CK1238)),0)</f>
        <v>10</v>
      </c>
      <c r="AW1238" s="51" t="n">
        <f aca="false">IF(AS1238&gt;0,J1238/AS1238,-1)</f>
        <v>0.229787234042553</v>
      </c>
      <c r="AX1238" s="51" t="n">
        <f aca="false">IF(AND(OR(CF1238="L1",CF1238="L23",CF1238="LIFT"),AS1238&gt;0),SUMIFS($AS$7:$AS$1843,$CF$7:$CF$1843,CF1238,$AW$7:$AW$1843,"&gt;"&amp;AW1238)+SUMIFS($AS$7:$AS$1843,$CF$7:$CF$1843,CF1238,$AW$7:$AW$1843,AW1238,$BW$7:$BW$1843,"&lt;="&amp;BW1238),"")</f>
        <v>15107.581043956</v>
      </c>
      <c r="AY1238" s="58" t="n">
        <f aca="false">IF(AX1238="",0,MAX(0,MIN(1,(IF(CF1238="L1",Parameter!$H$5,IF(CF1238="L23",Parameter!$H$6+Parameter!$H$7,Parameter!$H$5+Parameter!$H$6+Parameter!$H$7))-(AX1238-AS1238))/AS1238)))</f>
        <v>1</v>
      </c>
      <c r="AZ1238" s="50" t="n">
        <f aca="false">IF(LEFT(Cockpit!$O$5,1)="A",H1238,IF(Parameter!$E$30="MAX-Bestand",IF(CH1238=1,CI1238,IF(LEFT(Cockpit!$O$5,1)="B",BF1238,MAX(BF1238,H1238))),ROUNDUP(BD1238,0)))</f>
        <v>5</v>
      </c>
      <c r="BA1238" s="50" t="n">
        <f aca="false">IF(BZ1238=1,0,ROUNDUP(AZ1238/BY1238,0))</f>
        <v>1</v>
      </c>
      <c r="BB1238" s="52" t="n">
        <f aca="false">IF(CQ1238&gt;0,CQ1238*MAX(1,AZ1238/X1238),IF(BZ1238=1,IF(AZ1238&lt;=0,0,CD1238*MAX(1,IF(H1238&gt;0,AZ1238/H1238,1))),IF(R1238&gt;0,BA1238/R1238,0))/MAX(0.1,N(Parameter!$M$21)))</f>
        <v>0.166666666666667</v>
      </c>
      <c r="BC1238" s="50" t="n">
        <f aca="false">BB1238*CB1238</f>
        <v>39.1666666666667</v>
      </c>
      <c r="BD1238" s="51" t="n">
        <f aca="false">IF(LEFT(Cockpit!$O$5,1)="A",H1238,IF(CH1238=1,(CK1238+CI1238)/2,IF(LEFT(Cockpit!$O$5,1)="B",(CK1238+BF1238)/2,MAX((CK1238+BF1238)/2,H1238))))</f>
        <v>5</v>
      </c>
      <c r="BE1238" s="50" t="n">
        <f aca="false">BD1238*G1238</f>
        <v>929.85</v>
      </c>
      <c r="BF1238" s="50" t="n">
        <f aca="false">ROUNDUP(CK1238+MAX(CL1238,2*(J1238/IF(CG1238&gt;0,CG1238,MAX(0.1,N(Cockpit!$O$6)))-CK1238)),0)</f>
        <v>10</v>
      </c>
      <c r="BG1238" s="51" t="n">
        <f aca="false">IF(BC1238&gt;0,J1238/BC1238,-1)</f>
        <v>0.229787234042553</v>
      </c>
      <c r="BH1238" s="51" t="n">
        <f aca="false">IF(AND(OR(CF1238="L1",CF1238="L23",CF1238="LIFT"),BC1238&gt;0),SUMIFS($BC$7:$BC$1843,$CF$7:$CF$1843,CF1238,$BG$7:$BG$1843,"&gt;"&amp;BG1238)+SUMIFS($BC$7:$BC$1843,$CF$7:$CF$1843,CF1238,$BG$7:$BG$1843,BG1238,$BW$7:$BW$1843,"&lt;="&amp;BW1238),"")</f>
        <v>12258.8081501832</v>
      </c>
      <c r="BI1238" s="58" t="n">
        <f aca="false">IF(BH1238="",0,MAX(0,MIN(1,(IF(CF1238="L1",Parameter!$H$5,IF(CF1238="L23",Parameter!$H$6+Parameter!$H$7,Parameter!$H$5+Parameter!$H$6+Parameter!$H$7))-(BH1238-BC1238))/BC1238)))</f>
        <v>1</v>
      </c>
      <c r="BJ1238" s="48" t="str">
        <f aca="false">IF(AI1238&lt;=0,"",IF(CF1238="Aussen","Aussenlager",IF(CF1238="-","Nicht im Lift",IF(AO1238&gt;=1,"Lift",IF(AO1238&lt;=0,"Aussenlager","teilweise")))))</f>
        <v>Lift</v>
      </c>
      <c r="BK1238" s="48" t="str">
        <f aca="false">IF(AS1238&lt;=0,"",IF(CF1238="Aussen","Aussenlager",IF(CF1238="-","Nicht im Lift",IF(AY1238&gt;=1,"Lift",IF(AY1238&lt;=0,"Aussenlager","teilweise")))))</f>
        <v>Lift</v>
      </c>
      <c r="BL1238" s="48" t="str">
        <f aca="false">IF(BC1238&lt;=0,"",IF(CF1238="Aussen","Aussenlager",IF(CF1238="-","Nicht im Lift",IF(BI1238&gt;=1,"Lift",IF(BI1238&lt;=0,"Aussenlager","teilweise")))))</f>
        <v>Lift</v>
      </c>
      <c r="BM1238" s="48" t="str">
        <f aca="false">IF(A1238="","",IF(BV1238=1,"Neu; ","")&amp;IF(AND(BV1238=0,BQ1238&lt;0),"negativer Bestand (Export "&amp;BQ1238&amp;"); ","")&amp;IF(J1238&lt;=0,"Kein Verbrauch; ","")&amp;IF(CQ1238&gt;0,"Lift "&amp;W1238&amp;" lt. Liftbericht (Fach "&amp;X1238&amp;" Stk); ",IF(CA1238=1,"Gebinde geschätzt ("&amp;T1238&amp;"); ",IF(BZ1238=1,"Lose – Tablare geschätzt; ","")))&amp;IF(H1238&gt;AV1238,"Überbestand "&amp;ROUND(H1238-AV1238,0)&amp;" Stk / CHF "&amp;ROUND((H1238-AV1238)*G1238,0)&amp;"; ","")&amp;IF(AND(CH1238=1,CI1238&lt;CJ1238),"MAX &lt; MB+LG; ","")&amp;IF(AND(CP1238&gt;0,CO1238*10&gt;CP1238),"zu hoch für Tablar; ","")&amp;IF(AND(BV1238=0,OR(CH1238=1,AA1238&lt;&gt;"",U1238&lt;&gt;"",V1238&lt;&gt;"",AB1238&lt;&gt;"")),"manuell übersteuert; ","")&amp;IF(AND(BZ1238=0,R1238=0),"Gebinde unbekannt / Stellmass fehlt; ","")&amp;IF(AND(BZ1238=0,N(V1238)&lt;=0,N(Q1238)&lt;=0),"Menge pro Gebinde fehlt (Ist = 1 Gebinde); ","")&amp;BU1238)</f>
        <v>negativer Bestand (Export -4); </v>
      </c>
      <c r="BN1238" s="48"/>
      <c r="BO1238" s="48"/>
      <c r="BP1238" s="55"/>
      <c r="BQ1238" s="50" t="n">
        <v>-4</v>
      </c>
      <c r="BR1238" s="50" t="n">
        <v>6</v>
      </c>
      <c r="BS1238" s="49" t="n">
        <v>-689.16</v>
      </c>
      <c r="BT1238" s="50" t="n">
        <v>9</v>
      </c>
      <c r="BU1238" s="48"/>
      <c r="BV1238" s="53" t="n">
        <v>0</v>
      </c>
      <c r="BW1238" s="53" t="n">
        <v>1238</v>
      </c>
      <c r="BX1238" s="48" t="str">
        <f aca="false">IF(U1238&lt;&gt;"",UPPER(TRIM(U1238)),IF(CA1238=1,UPPER(VLOOKUP(T1238,Parameter!$I$27:$K$29,2,0)),IF(P1238="","LOSE",P1238)))</f>
        <v>S71</v>
      </c>
      <c r="BY1238" s="50" t="n">
        <f aca="false">IF(BX1238="LOSE",1,IF(N(V1238)&gt;0,V1238,IF(CA1238=1,MAX(1,N(VLOOKUP(T1238,Parameter!$I$27:$K$29,3,0)),H1238,N(N1238)),IF(N(Q1238)&gt;0,Q1238,MAX(1,H1238)))))</f>
        <v>10</v>
      </c>
      <c r="BZ1238" s="53" t="n">
        <f aca="false">IF(BX1238="LOSE",1,0)</f>
        <v>0</v>
      </c>
      <c r="CA1238" s="53" t="n">
        <f aca="false">IF(AND(U1238="",OR(P1238="",P1238="LOSE"),T1238&lt;&gt;"",N(S1238)&lt;=0,ISNUMBER(MATCH(T1238,Parameter!$I$27:$I$29,0))),1,0)</f>
        <v>0</v>
      </c>
      <c r="CB1238" s="53" t="n">
        <f aca="false">IF(CQ1238&gt;0,INDEX(Parameter!$H$5:$H$7,W1238)/INDEX(Parameter!$E$5:$E$7,W1238),IF(AND(BZ1238=0,N(IFERROR(VLOOKUP(BX1238,'Gebinde-Kategorie'!$A$5:$N$45,14,0),0))&gt;0),VLOOKUP(BX1238,'Gebinde-Kategorie'!$A$5:$N$45,14,0)*10+Parameter!$M$23,Parameter!$M$24))</f>
        <v>235</v>
      </c>
      <c r="CC1238" s="48" t="str">
        <f aca="false">IF(AND(Parameter!$B$19="Ja",E1238&lt;&gt;"",ISNUMBER(MATCH(E1238,Parameter!$I$35:$I$52,0))),VLOOKUP(E1238,Parameter!$I$35:$J$52,2,0),IFERROR(VLOOKUP(D1238,Parameter!$A$35:$C$64,2,0),"Nein"))</f>
        <v>2+3</v>
      </c>
      <c r="CD1238" s="52" t="n">
        <f aca="false">IF(BZ1238=0,0,IF(N(S1238)&gt;0,S1238,IFERROR(VLOOKUP(D1238,Parameter!$A$35:$C$64,3,0)+0,0)))</f>
        <v>0</v>
      </c>
      <c r="CE1238" s="48" t="n">
        <f aca="false">IF(AA1238&lt;&gt;"",AA1238,Z1238)</f>
        <v>2</v>
      </c>
      <c r="CF1238" s="48" t="str">
        <f aca="false">IF(OR(CE1238=1,CE1238=2,CE1238=3),IF(Parameter!$E$27="Ja","LIFT",IF(CE1238=1,"L1","L23")),IF(CE1238="Aussen","Aussen","-"))</f>
        <v>LIFT</v>
      </c>
      <c r="CG1238" s="59" t="n">
        <f aca="false">IF(N(AB1238)&gt;0,AB1238,0)</f>
        <v>0</v>
      </c>
      <c r="CH1238" s="53" t="n">
        <f aca="false">IF(ISNUMBER(AE1238),1,0)</f>
        <v>0</v>
      </c>
      <c r="CI1238" s="50" t="n">
        <f aca="false">N(AE1238)</f>
        <v>0</v>
      </c>
      <c r="CJ1238" s="50" t="n">
        <f aca="false">N(M1238)+N(N1238)</f>
        <v>10</v>
      </c>
      <c r="CK1238" s="50" t="n">
        <f aca="false">N(M1238)</f>
        <v>0</v>
      </c>
      <c r="CL1238" s="50" t="n">
        <f aca="false">N(N1238)</f>
        <v>10</v>
      </c>
      <c r="CM1238" s="50" t="n">
        <f aca="false">ROUNDUP(H1238/BY1238,0)</f>
        <v>1</v>
      </c>
      <c r="CN1238" s="50" t="n">
        <f aca="false">ROUNDUP(CI1238/BY1238,0)</f>
        <v>0</v>
      </c>
      <c r="CO1238" s="53" t="n">
        <f aca="false">IF(BZ1238=1,0,IFERROR(VLOOKUP(BX1238,'Gebinde-Kategorie'!$A$5:$N$45,5,0)+0,0))</f>
        <v>20</v>
      </c>
      <c r="CP1238" s="53" t="n">
        <f aca="false">IFERROR(IF(OR(CE1238=1,CE1238=2,CE1238=3),N(INDEX(Parameter!$I$5:$I$7,CE1238)),0),0)</f>
        <v>0</v>
      </c>
      <c r="CQ1238" s="52" t="n">
        <f aca="false">IF(AND(Parameter!$B$21="Ja",ISNUMBER(W1238),N(X1238)&gt;0),IFERROR(N(INDEX(Parameter!$L$5:$L$7,W1238))*INDEX(Parameter!$E$5:$E$7,W1238)*X1238/SUMIFS($X$7:$X$1843,$W$7:$W$1843,W1238),0),0)</f>
        <v>0</v>
      </c>
    </row>
    <row r="1239" customFormat="false" ht="15" hidden="false" customHeight="false" outlineLevel="0" collapsed="false">
      <c r="A1239" s="48" t="s">
        <v>2225</v>
      </c>
      <c r="B1239" s="48" t="s">
        <v>1877</v>
      </c>
      <c r="C1239" s="48" t="s">
        <v>173</v>
      </c>
      <c r="D1239" s="48" t="s">
        <v>193</v>
      </c>
      <c r="E1239" s="48" t="s">
        <v>194</v>
      </c>
      <c r="F1239" s="48" t="s">
        <v>227</v>
      </c>
      <c r="G1239" s="49" t="n">
        <v>63.53</v>
      </c>
      <c r="H1239" s="50" t="n">
        <f aca="false">MAX(0,IF(AND(Parameter!$B$21="Ja",ISNUMBER(Y1239)),Y1239,IF(Parameter!$B$20="Jahresanfang 2025 + Export",BR1239+BQ1239,BQ1239)))</f>
        <v>16</v>
      </c>
      <c r="I1239" s="50" t="n">
        <f aca="false">H1239*G1239</f>
        <v>1016.48</v>
      </c>
      <c r="J1239" s="50" t="n">
        <f aca="false">BT1239*Parameter!$B$18</f>
        <v>19</v>
      </c>
      <c r="K1239" s="51" t="n">
        <v>32.5</v>
      </c>
      <c r="L1239" s="52" t="n">
        <v>0.584615384615385</v>
      </c>
      <c r="M1239" s="50" t="n">
        <v>1</v>
      </c>
      <c r="N1239" s="50" t="n">
        <v>25</v>
      </c>
      <c r="O1239" s="53" t="n">
        <v>21</v>
      </c>
      <c r="P1239" s="48" t="s">
        <v>302</v>
      </c>
      <c r="Q1239" s="50" t="n">
        <v>60</v>
      </c>
      <c r="R1239" s="53" t="n">
        <f aca="false">IF(BZ1239=1,0,IFERROR(VLOOKUP(BX1239,'Gebinde-Kategorie'!$A$5:$N$45,13,0)+0,0))</f>
        <v>12</v>
      </c>
      <c r="S1239" s="54"/>
      <c r="T1239" s="55"/>
      <c r="U1239" s="55"/>
      <c r="V1239" s="55"/>
      <c r="W1239" s="48"/>
      <c r="X1239" s="50"/>
      <c r="Y1239" s="50"/>
      <c r="Z1239" s="48" t="n">
        <f aca="false">IF(A1239="","",IF(AND(Parameter!$B$21="Ja",ISNUMBER(W1239)),W1239,IF(CC1239="2+3",IF(ISNUMBER(SEARCH("grosser Artikel",BU1239)),2,IFERROR(VLOOKUP(BX1239,Parameter!$F$35:$G$64,2,0),2)),IF(OR(CC1239="Nein",CC1239=""),"-",CC1239))))</f>
        <v>2</v>
      </c>
      <c r="AA1239" s="55"/>
      <c r="AB1239" s="56"/>
      <c r="AC1239" s="50" t="n">
        <f aca="false">AV1239</f>
        <v>26</v>
      </c>
      <c r="AD1239" s="50" t="n">
        <f aca="false">MAX(AV1239,H1239)</f>
        <v>26</v>
      </c>
      <c r="AE1239" s="57"/>
      <c r="AF1239" s="50" t="n">
        <f aca="false">IF(LEFT(Cockpit!$C$5,1)="A",H1239,IF(Parameter!$E$30="MAX-Bestand",IF(CH1239=1,CI1239,IF(LEFT(Cockpit!$C$5,1)="B",AL1239,MAX(AL1239,H1239))),ROUNDUP(AJ1239,0)))</f>
        <v>16</v>
      </c>
      <c r="AG1239" s="50" t="n">
        <f aca="false">IF(BZ1239=1,0,ROUNDUP(AF1239/BY1239,0))</f>
        <v>1</v>
      </c>
      <c r="AH1239" s="52" t="n">
        <f aca="false">IF(CQ1239&gt;0,CQ1239*MAX(1,AF1239/X1239),IF(BZ1239=1,IF(AF1239&lt;=0,0,CD1239*MAX(1,IF(H1239&gt;0,AF1239/H1239,1))),IF(R1239&gt;0,AG1239/R1239,0))/MAX(0.1,N(Parameter!$M$21)))</f>
        <v>0.0833333333333333</v>
      </c>
      <c r="AI1239" s="50" t="n">
        <f aca="false">AH1239*CB1239</f>
        <v>20.4166666666667</v>
      </c>
      <c r="AJ1239" s="51" t="n">
        <f aca="false">IF(LEFT(Cockpit!$C$5,1)="A",H1239,IF(CH1239=1,(CK1239+CI1239)/2,IF(LEFT(Cockpit!$C$5,1)="B",(CK1239+AL1239)/2,MAX((CK1239+AL1239)/2,H1239))))</f>
        <v>16</v>
      </c>
      <c r="AK1239" s="50" t="n">
        <f aca="false">AJ1239*G1239</f>
        <v>1016.48</v>
      </c>
      <c r="AL1239" s="50" t="n">
        <f aca="false">ROUNDUP(CK1239+MAX(CL1239,2*(J1239/IF(CG1239&gt;0,CG1239,MAX(0.1,N(Cockpit!$C$6)))-CK1239)),0)</f>
        <v>26</v>
      </c>
      <c r="AM1239" s="51" t="n">
        <f aca="false">IF(AI1239&gt;0,J1239/AI1239,-1)</f>
        <v>0.930612244897959</v>
      </c>
      <c r="AN1239" s="51" t="n">
        <f aca="false">IF(AND(OR(CF1239="L1",CF1239="L23",CF1239="LIFT"),AI1239&gt;0),SUMIFS($AI$7:$AI$1843,$CF$7:$CF$1843,CF1239,$AM$7:$AM$1843,"&gt;"&amp;AM1239)+SUMIFS($AI$7:$AI$1843,$CF$7:$CF$1843,CF1239,$AM$7:$AM$1843,AM1239,$BW$7:$BW$1843,"&lt;="&amp;BW1239),"")</f>
        <v>7355.53891941392</v>
      </c>
      <c r="AO1239" s="58" t="n">
        <f aca="false">IF(AN1239="",0,MAX(0,MIN(1,(IF(CF1239="L1",Parameter!$H$5,IF(CF1239="L23",Parameter!$H$6+Parameter!$H$7,Parameter!$H$5+Parameter!$H$6+Parameter!$H$7))-(AN1239-AI1239))/AI1239)))</f>
        <v>1</v>
      </c>
      <c r="AP1239" s="50" t="n">
        <f aca="false">IF(LEFT(Cockpit!$I$5,1)="A",H1239,IF(Parameter!$E$30="MAX-Bestand",IF(CH1239=1,CI1239,IF(LEFT(Cockpit!$I$5,1)="B",AV1239,MAX(AV1239,H1239))),ROUNDUP(AT1239,0)))</f>
        <v>16</v>
      </c>
      <c r="AQ1239" s="50" t="n">
        <f aca="false">IF(BZ1239=1,0,ROUNDUP(AP1239/BY1239,0))</f>
        <v>1</v>
      </c>
      <c r="AR1239" s="52" t="n">
        <f aca="false">IF(CQ1239&gt;0,CQ1239*MAX(1,AP1239/X1239),IF(BZ1239=1,IF(AP1239&lt;=0,0,CD1239*MAX(1,IF(H1239&gt;0,AP1239/H1239,1))),IF(R1239&gt;0,AQ1239/R1239,0))/MAX(0.1,N(Parameter!$M$21)))</f>
        <v>0.0833333333333333</v>
      </c>
      <c r="AS1239" s="50" t="n">
        <f aca="false">AR1239*CB1239</f>
        <v>20.4166666666667</v>
      </c>
      <c r="AT1239" s="51" t="n">
        <f aca="false">IF(LEFT(Cockpit!$I$5,1)="A",H1239,IF(CH1239=1,(CK1239+CI1239)/2,IF(LEFT(Cockpit!$I$5,1)="B",(CK1239+AV1239)/2,MAX((CK1239+AV1239)/2,H1239))))</f>
        <v>16</v>
      </c>
      <c r="AU1239" s="50" t="n">
        <f aca="false">AT1239*G1239</f>
        <v>1016.48</v>
      </c>
      <c r="AV1239" s="50" t="n">
        <f aca="false">ROUNDUP(CK1239+MAX(CL1239,2*(J1239/IF(CG1239&gt;0,CG1239,MAX(0.1,N(Cockpit!$I$6)))-CK1239)),0)</f>
        <v>26</v>
      </c>
      <c r="AW1239" s="51" t="n">
        <f aca="false">IF(AS1239&gt;0,J1239/AS1239,-1)</f>
        <v>0.930612244897959</v>
      </c>
      <c r="AX1239" s="51" t="n">
        <f aca="false">IF(AND(OR(CF1239="L1",CF1239="L23",CF1239="LIFT"),AS1239&gt;0),SUMIFS($AS$7:$AS$1843,$CF$7:$CF$1843,CF1239,$AW$7:$AW$1843,"&gt;"&amp;AW1239)+SUMIFS($AS$7:$AS$1843,$CF$7:$CF$1843,CF1239,$AW$7:$AW$1843,AW1239,$BW$7:$BW$1843,"&lt;="&amp;BW1239),"")</f>
        <v>8929.97893772894</v>
      </c>
      <c r="AY1239" s="58" t="n">
        <f aca="false">IF(AX1239="",0,MAX(0,MIN(1,(IF(CF1239="L1",Parameter!$H$5,IF(CF1239="L23",Parameter!$H$6+Parameter!$H$7,Parameter!$H$5+Parameter!$H$6+Parameter!$H$7))-(AX1239-AS1239))/AS1239)))</f>
        <v>1</v>
      </c>
      <c r="AZ1239" s="50" t="n">
        <f aca="false">IF(LEFT(Cockpit!$O$5,1)="A",H1239,IF(Parameter!$E$30="MAX-Bestand",IF(CH1239=1,CI1239,IF(LEFT(Cockpit!$O$5,1)="B",BF1239,MAX(BF1239,H1239))),ROUNDUP(BD1239,0)))</f>
        <v>14</v>
      </c>
      <c r="BA1239" s="50" t="n">
        <f aca="false">IF(BZ1239=1,0,ROUNDUP(AZ1239/BY1239,0))</f>
        <v>1</v>
      </c>
      <c r="BB1239" s="52" t="n">
        <f aca="false">IF(CQ1239&gt;0,CQ1239*MAX(1,AZ1239/X1239),IF(BZ1239=1,IF(AZ1239&lt;=0,0,CD1239*MAX(1,IF(H1239&gt;0,AZ1239/H1239,1))),IF(R1239&gt;0,BA1239/R1239,0))/MAX(0.1,N(Parameter!$M$21)))</f>
        <v>0.0833333333333333</v>
      </c>
      <c r="BC1239" s="50" t="n">
        <f aca="false">BB1239*CB1239</f>
        <v>20.4166666666667</v>
      </c>
      <c r="BD1239" s="51" t="n">
        <f aca="false">IF(LEFT(Cockpit!$O$5,1)="A",H1239,IF(CH1239=1,(CK1239+CI1239)/2,IF(LEFT(Cockpit!$O$5,1)="B",(CK1239+BF1239)/2,MAX((CK1239+BF1239)/2,H1239))))</f>
        <v>13.5</v>
      </c>
      <c r="BE1239" s="50" t="n">
        <f aca="false">BD1239*G1239</f>
        <v>857.655</v>
      </c>
      <c r="BF1239" s="50" t="n">
        <f aca="false">ROUNDUP(CK1239+MAX(CL1239,2*(J1239/IF(CG1239&gt;0,CG1239,MAX(0.1,N(Cockpit!$O$6)))-CK1239)),0)</f>
        <v>26</v>
      </c>
      <c r="BG1239" s="51" t="n">
        <f aca="false">IF(BC1239&gt;0,J1239/BC1239,-1)</f>
        <v>0.930612244897959</v>
      </c>
      <c r="BH1239" s="51" t="n">
        <f aca="false">IF(AND(OR(CF1239="L1",CF1239="L23",CF1239="LIFT"),BC1239&gt;0),SUMIFS($BC$7:$BC$1843,$CF$7:$CF$1843,CF1239,$BG$7:$BG$1843,"&gt;"&amp;BG1239)+SUMIFS($BC$7:$BC$1843,$CF$7:$CF$1843,CF1239,$BG$7:$BG$1843,BG1239,$BW$7:$BW$1843,"&lt;="&amp;BW1239),"")</f>
        <v>8128.41254578755</v>
      </c>
      <c r="BI1239" s="58" t="n">
        <f aca="false">IF(BH1239="",0,MAX(0,MIN(1,(IF(CF1239="L1",Parameter!$H$5,IF(CF1239="L23",Parameter!$H$6+Parameter!$H$7,Parameter!$H$5+Parameter!$H$6+Parameter!$H$7))-(BH1239-BC1239))/BC1239)))</f>
        <v>1</v>
      </c>
      <c r="BJ1239" s="48" t="str">
        <f aca="false">IF(AI1239&lt;=0,"",IF(CF1239="Aussen","Aussenlager",IF(CF1239="-","Nicht im Lift",IF(AO1239&gt;=1,"Lift",IF(AO1239&lt;=0,"Aussenlager","teilweise")))))</f>
        <v>Lift</v>
      </c>
      <c r="BK1239" s="48" t="str">
        <f aca="false">IF(AS1239&lt;=0,"",IF(CF1239="Aussen","Aussenlager",IF(CF1239="-","Nicht im Lift",IF(AY1239&gt;=1,"Lift",IF(AY1239&lt;=0,"Aussenlager","teilweise")))))</f>
        <v>Lift</v>
      </c>
      <c r="BL1239" s="48" t="str">
        <f aca="false">IF(BC1239&lt;=0,"",IF(CF1239="Aussen","Aussenlager",IF(CF1239="-","Nicht im Lift",IF(BI1239&gt;=1,"Lift",IF(BI1239&lt;=0,"Aussenlager","teilweise")))))</f>
        <v>Lift</v>
      </c>
      <c r="BM1239" s="48" t="str">
        <f aca="false">IF(A1239="","",IF(BV1239=1,"Neu; ","")&amp;IF(AND(BV1239=0,BQ1239&lt;0),"negativer Bestand (Export "&amp;BQ1239&amp;"); ","")&amp;IF(J1239&lt;=0,"Kein Verbrauch; ","")&amp;IF(CQ1239&gt;0,"Lift "&amp;W1239&amp;" lt. Liftbericht (Fach "&amp;X1239&amp;" Stk); ",IF(CA1239=1,"Gebinde geschätzt ("&amp;T1239&amp;"); ",IF(BZ1239=1,"Lose – Tablare geschätzt; ","")))&amp;IF(H1239&gt;AV1239,"Überbestand "&amp;ROUND(H1239-AV1239,0)&amp;" Stk / CHF "&amp;ROUND((H1239-AV1239)*G1239,0)&amp;"; ","")&amp;IF(AND(CH1239=1,CI1239&lt;CJ1239),"MAX &lt; MB+LG; ","")&amp;IF(AND(CP1239&gt;0,CO1239*10&gt;CP1239),"zu hoch für Tablar; ","")&amp;IF(AND(BV1239=0,OR(CH1239=1,AA1239&lt;&gt;"",U1239&lt;&gt;"",V1239&lt;&gt;"",AB1239&lt;&gt;"")),"manuell übersteuert; ","")&amp;IF(AND(BZ1239=0,R1239=0),"Gebinde unbekannt / Stellmass fehlt; ","")&amp;IF(AND(BZ1239=0,N(V1239)&lt;=0,N(Q1239)&lt;=0),"Menge pro Gebinde fehlt (Ist = 1 Gebinde); ","")&amp;BU1239)</f>
        <v>negativer Bestand (Export -20); B&amp;R</v>
      </c>
      <c r="BN1239" s="48"/>
      <c r="BO1239" s="48"/>
      <c r="BP1239" s="55"/>
      <c r="BQ1239" s="50" t="n">
        <v>-20</v>
      </c>
      <c r="BR1239" s="50" t="n">
        <v>36</v>
      </c>
      <c r="BS1239" s="49" t="n">
        <v>-693.88</v>
      </c>
      <c r="BT1239" s="50" t="n">
        <v>19</v>
      </c>
      <c r="BU1239" s="48" t="s">
        <v>2226</v>
      </c>
      <c r="BV1239" s="53" t="n">
        <v>0</v>
      </c>
      <c r="BW1239" s="53" t="n">
        <v>1239</v>
      </c>
      <c r="BX1239" s="48" t="str">
        <f aca="false">IF(U1239&lt;&gt;"",UPPER(TRIM(U1239)),IF(CA1239=1,UPPER(VLOOKUP(T1239,Parameter!$I$27:$K$29,2,0)),IF(P1239="","LOSE",P1239)))</f>
        <v>S62</v>
      </c>
      <c r="BY1239" s="50" t="n">
        <f aca="false">IF(BX1239="LOSE",1,IF(N(V1239)&gt;0,V1239,IF(CA1239=1,MAX(1,N(VLOOKUP(T1239,Parameter!$I$27:$K$29,3,0)),H1239,N(N1239)),IF(N(Q1239)&gt;0,Q1239,MAX(1,H1239)))))</f>
        <v>60</v>
      </c>
      <c r="BZ1239" s="53" t="n">
        <f aca="false">IF(BX1239="LOSE",1,0)</f>
        <v>0</v>
      </c>
      <c r="CA1239" s="53" t="n">
        <f aca="false">IF(AND(U1239="",OR(P1239="",P1239="LOSE"),T1239&lt;&gt;"",N(S1239)&lt;=0,ISNUMBER(MATCH(T1239,Parameter!$I$27:$I$29,0))),1,0)</f>
        <v>0</v>
      </c>
      <c r="CB1239" s="53" t="n">
        <f aca="false">IF(CQ1239&gt;0,INDEX(Parameter!$H$5:$H$7,W1239)/INDEX(Parameter!$E$5:$E$7,W1239),IF(AND(BZ1239=0,N(IFERROR(VLOOKUP(BX1239,'Gebinde-Kategorie'!$A$5:$N$45,14,0),0))&gt;0),VLOOKUP(BX1239,'Gebinde-Kategorie'!$A$5:$N$45,14,0)*10+Parameter!$M$23,Parameter!$M$24))</f>
        <v>245</v>
      </c>
      <c r="CC1239" s="48" t="str">
        <f aca="false">IF(AND(Parameter!$B$19="Ja",E1239&lt;&gt;"",ISNUMBER(MATCH(E1239,Parameter!$I$35:$I$52,0))),VLOOKUP(E1239,Parameter!$I$35:$J$52,2,0),IFERROR(VLOOKUP(D1239,Parameter!$A$35:$C$64,2,0),"Nein"))</f>
        <v>2+3</v>
      </c>
      <c r="CD1239" s="52" t="n">
        <f aca="false">IF(BZ1239=0,0,IF(N(S1239)&gt;0,S1239,IFERROR(VLOOKUP(D1239,Parameter!$A$35:$C$64,3,0)+0,0)))</f>
        <v>0</v>
      </c>
      <c r="CE1239" s="48" t="n">
        <f aca="false">IF(AA1239&lt;&gt;"",AA1239,Z1239)</f>
        <v>2</v>
      </c>
      <c r="CF1239" s="48" t="str">
        <f aca="false">IF(OR(CE1239=1,CE1239=2,CE1239=3),IF(Parameter!$E$27="Ja","LIFT",IF(CE1239=1,"L1","L23")),IF(CE1239="Aussen","Aussen","-"))</f>
        <v>LIFT</v>
      </c>
      <c r="CG1239" s="59" t="n">
        <f aca="false">IF(N(AB1239)&gt;0,AB1239,0)</f>
        <v>0</v>
      </c>
      <c r="CH1239" s="53" t="n">
        <f aca="false">IF(ISNUMBER(AE1239),1,0)</f>
        <v>0</v>
      </c>
      <c r="CI1239" s="50" t="n">
        <f aca="false">N(AE1239)</f>
        <v>0</v>
      </c>
      <c r="CJ1239" s="50" t="n">
        <f aca="false">N(M1239)+N(N1239)</f>
        <v>26</v>
      </c>
      <c r="CK1239" s="50" t="n">
        <f aca="false">N(M1239)</f>
        <v>1</v>
      </c>
      <c r="CL1239" s="50" t="n">
        <f aca="false">N(N1239)</f>
        <v>25</v>
      </c>
      <c r="CM1239" s="50" t="n">
        <f aca="false">ROUNDUP(H1239/BY1239,0)</f>
        <v>1</v>
      </c>
      <c r="CN1239" s="50" t="n">
        <f aca="false">ROUNDUP(CI1239/BY1239,0)</f>
        <v>0</v>
      </c>
      <c r="CO1239" s="53" t="n">
        <f aca="false">IF(BZ1239=1,0,IFERROR(VLOOKUP(BX1239,'Gebinde-Kategorie'!$A$5:$N$45,5,0)+0,0))</f>
        <v>21</v>
      </c>
      <c r="CP1239" s="53" t="n">
        <f aca="false">IFERROR(IF(OR(CE1239=1,CE1239=2,CE1239=3),N(INDEX(Parameter!$I$5:$I$7,CE1239)),0),0)</f>
        <v>0</v>
      </c>
      <c r="CQ1239" s="52" t="n">
        <f aca="false">IF(AND(Parameter!$B$21="Ja",ISNUMBER(W1239),N(X1239)&gt;0),IFERROR(N(INDEX(Parameter!$L$5:$L$7,W1239))*INDEX(Parameter!$E$5:$E$7,W1239)*X1239/SUMIFS($X$7:$X$1843,$W$7:$W$1843,W1239),0),0)</f>
        <v>0</v>
      </c>
    </row>
    <row r="1240" customFormat="false" ht="15" hidden="false" customHeight="false" outlineLevel="0" collapsed="false">
      <c r="A1240" s="48" t="s">
        <v>2227</v>
      </c>
      <c r="B1240" s="48" t="s">
        <v>2228</v>
      </c>
      <c r="C1240" s="48" t="s">
        <v>173</v>
      </c>
      <c r="D1240" s="48" t="s">
        <v>193</v>
      </c>
      <c r="E1240" s="48"/>
      <c r="F1240" s="48" t="s">
        <v>227</v>
      </c>
      <c r="G1240" s="49" t="n">
        <v>139.36</v>
      </c>
      <c r="H1240" s="50" t="n">
        <f aca="false">MAX(0,IF(AND(Parameter!$B$21="Ja",ISNUMBER(Y1240)),Y1240,IF(Parameter!$B$20="Jahresanfang 2025 + Export",BR1240+BQ1240,BQ1240)))</f>
        <v>107</v>
      </c>
      <c r="I1240" s="50" t="n">
        <f aca="false">H1240*G1240</f>
        <v>14911.52</v>
      </c>
      <c r="J1240" s="50" t="n">
        <f aca="false">BT1240*Parameter!$B$18</f>
        <v>3</v>
      </c>
      <c r="K1240" s="51" t="n">
        <v>110.5</v>
      </c>
      <c r="L1240" s="52" t="n">
        <v>0.0271493212669683</v>
      </c>
      <c r="M1240" s="50" t="n">
        <v>0</v>
      </c>
      <c r="N1240" s="50" t="n">
        <v>5</v>
      </c>
      <c r="O1240" s="53" t="n">
        <v>63</v>
      </c>
      <c r="P1240" s="48" t="s">
        <v>302</v>
      </c>
      <c r="Q1240" s="50" t="n">
        <v>110</v>
      </c>
      <c r="R1240" s="53" t="n">
        <f aca="false">IF(BZ1240=1,0,IFERROR(VLOOKUP(BX1240,'Gebinde-Kategorie'!$A$5:$N$45,13,0)+0,0))</f>
        <v>12</v>
      </c>
      <c r="S1240" s="54"/>
      <c r="T1240" s="55"/>
      <c r="U1240" s="55"/>
      <c r="V1240" s="55"/>
      <c r="W1240" s="48"/>
      <c r="X1240" s="50"/>
      <c r="Y1240" s="50"/>
      <c r="Z1240" s="48" t="n">
        <f aca="false">IF(A1240="","",IF(AND(Parameter!$B$21="Ja",ISNUMBER(W1240)),W1240,IF(CC1240="2+3",IF(ISNUMBER(SEARCH("grosser Artikel",BU1240)),2,IFERROR(VLOOKUP(BX1240,Parameter!$F$35:$G$64,2,0),2)),IF(OR(CC1240="Nein",CC1240=""),"-",CC1240))))</f>
        <v>2</v>
      </c>
      <c r="AA1240" s="55"/>
      <c r="AB1240" s="56"/>
      <c r="AC1240" s="50" t="n">
        <f aca="false">AV1240</f>
        <v>5</v>
      </c>
      <c r="AD1240" s="50" t="n">
        <f aca="false">MAX(AV1240,H1240)</f>
        <v>107</v>
      </c>
      <c r="AE1240" s="57"/>
      <c r="AF1240" s="50" t="n">
        <f aca="false">IF(LEFT(Cockpit!$C$5,1)="A",H1240,IF(Parameter!$E$30="MAX-Bestand",IF(CH1240=1,CI1240,IF(LEFT(Cockpit!$C$5,1)="B",AL1240,MAX(AL1240,H1240))),ROUNDUP(AJ1240,0)))</f>
        <v>107</v>
      </c>
      <c r="AG1240" s="50" t="n">
        <f aca="false">IF(BZ1240=1,0,ROUNDUP(AF1240/BY1240,0))</f>
        <v>1</v>
      </c>
      <c r="AH1240" s="52" t="n">
        <f aca="false">IF(CQ1240&gt;0,CQ1240*MAX(1,AF1240/X1240),IF(BZ1240=1,IF(AF1240&lt;=0,0,CD1240*MAX(1,IF(H1240&gt;0,AF1240/H1240,1))),IF(R1240&gt;0,AG1240/R1240,0))/MAX(0.1,N(Parameter!$M$21)))</f>
        <v>0.0833333333333333</v>
      </c>
      <c r="AI1240" s="50" t="n">
        <f aca="false">AH1240*CB1240</f>
        <v>20.4166666666667</v>
      </c>
      <c r="AJ1240" s="51" t="n">
        <f aca="false">IF(LEFT(Cockpit!$C$5,1)="A",H1240,IF(CH1240=1,(CK1240+CI1240)/2,IF(LEFT(Cockpit!$C$5,1)="B",(CK1240+AL1240)/2,MAX((CK1240+AL1240)/2,H1240))))</f>
        <v>107</v>
      </c>
      <c r="AK1240" s="50" t="n">
        <f aca="false">AJ1240*G1240</f>
        <v>14911.52</v>
      </c>
      <c r="AL1240" s="50" t="n">
        <f aca="false">ROUNDUP(CK1240+MAX(CL1240,2*(J1240/IF(CG1240&gt;0,CG1240,MAX(0.1,N(Cockpit!$C$6)))-CK1240)),0)</f>
        <v>5</v>
      </c>
      <c r="AM1240" s="51" t="n">
        <f aca="false">IF(AI1240&gt;0,J1240/AI1240,-1)</f>
        <v>0.146938775510204</v>
      </c>
      <c r="AN1240" s="51" t="n">
        <f aca="false">IF(AND(OR(CF1240="L1",CF1240="L23",CF1240="LIFT"),AI1240&gt;0),SUMIFS($AI$7:$AI$1843,$CF$7:$CF$1843,CF1240,$AM$7:$AM$1843,"&gt;"&amp;AM1240)+SUMIFS($AI$7:$AI$1843,$CF$7:$CF$1843,CF1240,$AM$7:$AM$1843,AM1240,$BW$7:$BW$1843,"&lt;="&amp;BW1240),"")</f>
        <v>13063.3234644358</v>
      </c>
      <c r="AO1240" s="58" t="n">
        <f aca="false">IF(AN1240="",0,MAX(0,MIN(1,(IF(CF1240="L1",Parameter!$H$5,IF(CF1240="L23",Parameter!$H$6+Parameter!$H$7,Parameter!$H$5+Parameter!$H$6+Parameter!$H$7))-(AN1240-AI1240))/AI1240)))</f>
        <v>1</v>
      </c>
      <c r="AP1240" s="50" t="n">
        <f aca="false">IF(LEFT(Cockpit!$I$5,1)="A",H1240,IF(Parameter!$E$30="MAX-Bestand",IF(CH1240=1,CI1240,IF(LEFT(Cockpit!$I$5,1)="B",AV1240,MAX(AV1240,H1240))),ROUNDUP(AT1240,0)))</f>
        <v>107</v>
      </c>
      <c r="AQ1240" s="50" t="n">
        <f aca="false">IF(BZ1240=1,0,ROUNDUP(AP1240/BY1240,0))</f>
        <v>1</v>
      </c>
      <c r="AR1240" s="52" t="n">
        <f aca="false">IF(CQ1240&gt;0,CQ1240*MAX(1,AP1240/X1240),IF(BZ1240=1,IF(AP1240&lt;=0,0,CD1240*MAX(1,IF(H1240&gt;0,AP1240/H1240,1))),IF(R1240&gt;0,AQ1240/R1240,0))/MAX(0.1,N(Parameter!$M$21)))</f>
        <v>0.0833333333333333</v>
      </c>
      <c r="AS1240" s="50" t="n">
        <f aca="false">AR1240*CB1240</f>
        <v>20.4166666666667</v>
      </c>
      <c r="AT1240" s="51" t="n">
        <f aca="false">IF(LEFT(Cockpit!$I$5,1)="A",H1240,IF(CH1240=1,(CK1240+CI1240)/2,IF(LEFT(Cockpit!$I$5,1)="B",(CK1240+AV1240)/2,MAX((CK1240+AV1240)/2,H1240))))</f>
        <v>107</v>
      </c>
      <c r="AU1240" s="50" t="n">
        <f aca="false">AT1240*G1240</f>
        <v>14911.52</v>
      </c>
      <c r="AV1240" s="50" t="n">
        <f aca="false">ROUNDUP(CK1240+MAX(CL1240,2*(J1240/IF(CG1240&gt;0,CG1240,MAX(0.1,N(Cockpit!$I$6)))-CK1240)),0)</f>
        <v>5</v>
      </c>
      <c r="AW1240" s="51" t="n">
        <f aca="false">IF(AS1240&gt;0,J1240/AS1240,-1)</f>
        <v>0.146938775510204</v>
      </c>
      <c r="AX1240" s="51" t="n">
        <f aca="false">IF(AND(OR(CF1240="L1",CF1240="L23",CF1240="LIFT"),AS1240&gt;0),SUMIFS($AS$7:$AS$1843,$CF$7:$CF$1843,CF1240,$AW$7:$AW$1843,"&gt;"&amp;AW1240)+SUMIFS($AS$7:$AS$1843,$CF$7:$CF$1843,CF1240,$AW$7:$AW$1843,AW1240,$BW$7:$BW$1843,"&lt;="&amp;BW1240),"")</f>
        <v>17087.7221058132</v>
      </c>
      <c r="AY1240" s="58" t="n">
        <f aca="false">IF(AX1240="",0,MAX(0,MIN(1,(IF(CF1240="L1",Parameter!$H$5,IF(CF1240="L23",Parameter!$H$6+Parameter!$H$7,Parameter!$H$5+Parameter!$H$6+Parameter!$H$7))-(AX1240-AS1240))/AS1240)))</f>
        <v>1</v>
      </c>
      <c r="AZ1240" s="50" t="n">
        <f aca="false">IF(LEFT(Cockpit!$O$5,1)="A",H1240,IF(Parameter!$E$30="MAX-Bestand",IF(CH1240=1,CI1240,IF(LEFT(Cockpit!$O$5,1)="B",BF1240,MAX(BF1240,H1240))),ROUNDUP(BD1240,0)))</f>
        <v>3</v>
      </c>
      <c r="BA1240" s="50" t="n">
        <f aca="false">IF(BZ1240=1,0,ROUNDUP(AZ1240/BY1240,0))</f>
        <v>1</v>
      </c>
      <c r="BB1240" s="52" t="n">
        <f aca="false">IF(CQ1240&gt;0,CQ1240*MAX(1,AZ1240/X1240),IF(BZ1240=1,IF(AZ1240&lt;=0,0,CD1240*MAX(1,IF(H1240&gt;0,AZ1240/H1240,1))),IF(R1240&gt;0,BA1240/R1240,0))/MAX(0.1,N(Parameter!$M$21)))</f>
        <v>0.0833333333333333</v>
      </c>
      <c r="BC1240" s="50" t="n">
        <f aca="false">BB1240*CB1240</f>
        <v>20.4166666666667</v>
      </c>
      <c r="BD1240" s="51" t="n">
        <f aca="false">IF(LEFT(Cockpit!$O$5,1)="A",H1240,IF(CH1240=1,(CK1240+CI1240)/2,IF(LEFT(Cockpit!$O$5,1)="B",(CK1240+BF1240)/2,MAX((CK1240+BF1240)/2,H1240))))</f>
        <v>2.5</v>
      </c>
      <c r="BE1240" s="50" t="n">
        <f aca="false">BD1240*G1240</f>
        <v>348.4</v>
      </c>
      <c r="BF1240" s="50" t="n">
        <f aca="false">ROUNDUP(CK1240+MAX(CL1240,2*(J1240/IF(CG1240&gt;0,CG1240,MAX(0.1,N(Cockpit!$O$6)))-CK1240)),0)</f>
        <v>5</v>
      </c>
      <c r="BG1240" s="51" t="n">
        <f aca="false">IF(BC1240&gt;0,J1240/BC1240,-1)</f>
        <v>0.146938775510204</v>
      </c>
      <c r="BH1240" s="51" t="n">
        <f aca="false">IF(AND(OR(CF1240="L1",CF1240="L23",CF1240="LIFT"),BC1240&gt;0),SUMIFS($BC$7:$BC$1843,$CF$7:$CF$1843,CF1240,$BG$7:$BG$1843,"&gt;"&amp;BG1240)+SUMIFS($BC$7:$BC$1843,$CF$7:$CF$1843,CF1240,$BG$7:$BG$1843,BG1240,$BW$7:$BW$1843,"&lt;="&amp;BW1240),"")</f>
        <v>13862.2206157778</v>
      </c>
      <c r="BI1240" s="58" t="n">
        <f aca="false">IF(BH1240="",0,MAX(0,MIN(1,(IF(CF1240="L1",Parameter!$H$5,IF(CF1240="L23",Parameter!$H$6+Parameter!$H$7,Parameter!$H$5+Parameter!$H$6+Parameter!$H$7))-(BH1240-BC1240))/BC1240)))</f>
        <v>1</v>
      </c>
      <c r="BJ1240" s="48" t="str">
        <f aca="false">IF(AI1240&lt;=0,"",IF(CF1240="Aussen","Aussenlager",IF(CF1240="-","Nicht im Lift",IF(AO1240&gt;=1,"Lift",IF(AO1240&lt;=0,"Aussenlager","teilweise")))))</f>
        <v>Lift</v>
      </c>
      <c r="BK1240" s="48" t="str">
        <f aca="false">IF(AS1240&lt;=0,"",IF(CF1240="Aussen","Aussenlager",IF(CF1240="-","Nicht im Lift",IF(AY1240&gt;=1,"Lift",IF(AY1240&lt;=0,"Aussenlager","teilweise")))))</f>
        <v>Lift</v>
      </c>
      <c r="BL1240" s="48" t="str">
        <f aca="false">IF(BC1240&lt;=0,"",IF(CF1240="Aussen","Aussenlager",IF(CF1240="-","Nicht im Lift",IF(BI1240&gt;=1,"Lift",IF(BI1240&lt;=0,"Aussenlager","teilweise")))))</f>
        <v>Lift</v>
      </c>
      <c r="BM1240" s="48" t="str">
        <f aca="false">IF(A1240="","",IF(BV1240=1,"Neu; ","")&amp;IF(AND(BV1240=0,BQ1240&lt;0),"negativer Bestand (Export "&amp;BQ1240&amp;"); ","")&amp;IF(J1240&lt;=0,"Kein Verbrauch; ","")&amp;IF(CQ1240&gt;0,"Lift "&amp;W1240&amp;" lt. Liftbericht (Fach "&amp;X1240&amp;" Stk); ",IF(CA1240=1,"Gebinde geschätzt ("&amp;T1240&amp;"); ",IF(BZ1240=1,"Lose – Tablare geschätzt; ","")))&amp;IF(H1240&gt;AV1240,"Überbestand "&amp;ROUND(H1240-AV1240,0)&amp;" Stk / CHF "&amp;ROUND((H1240-AV1240)*G1240,0)&amp;"; ","")&amp;IF(AND(CH1240=1,CI1240&lt;CJ1240),"MAX &lt; MB+LG; ","")&amp;IF(AND(CP1240&gt;0,CO1240*10&gt;CP1240),"zu hoch für Tablar; ","")&amp;IF(AND(BV1240=0,OR(CH1240=1,AA1240&lt;&gt;"",U1240&lt;&gt;"",V1240&lt;&gt;"",AB1240&lt;&gt;"")),"manuell übersteuert; ","")&amp;IF(AND(BZ1240=0,R1240=0),"Gebinde unbekannt / Stellmass fehlt; ","")&amp;IF(AND(BZ1240=0,N(V1240)&lt;=0,N(Q1240)&lt;=0),"Menge pro Gebinde fehlt (Ist = 1 Gebinde); ","")&amp;BU1240)</f>
        <v>negativer Bestand (Export -5); Überbestand 102 Stk / CHF 14215; i.o</v>
      </c>
      <c r="BN1240" s="48"/>
      <c r="BO1240" s="48"/>
      <c r="BP1240" s="55"/>
      <c r="BQ1240" s="50" t="n">
        <v>-5</v>
      </c>
      <c r="BR1240" s="50" t="n">
        <v>112</v>
      </c>
      <c r="BS1240" s="49" t="n">
        <v>-696.8</v>
      </c>
      <c r="BT1240" s="50" t="n">
        <v>3</v>
      </c>
      <c r="BU1240" s="48" t="s">
        <v>545</v>
      </c>
      <c r="BV1240" s="53" t="n">
        <v>0</v>
      </c>
      <c r="BW1240" s="53" t="n">
        <v>1240</v>
      </c>
      <c r="BX1240" s="48" t="str">
        <f aca="false">IF(U1240&lt;&gt;"",UPPER(TRIM(U1240)),IF(CA1240=1,UPPER(VLOOKUP(T1240,Parameter!$I$27:$K$29,2,0)),IF(P1240="","LOSE",P1240)))</f>
        <v>S62</v>
      </c>
      <c r="BY1240" s="50" t="n">
        <f aca="false">IF(BX1240="LOSE",1,IF(N(V1240)&gt;0,V1240,IF(CA1240=1,MAX(1,N(VLOOKUP(T1240,Parameter!$I$27:$K$29,3,0)),H1240,N(N1240)),IF(N(Q1240)&gt;0,Q1240,MAX(1,H1240)))))</f>
        <v>110</v>
      </c>
      <c r="BZ1240" s="53" t="n">
        <f aca="false">IF(BX1240="LOSE",1,0)</f>
        <v>0</v>
      </c>
      <c r="CA1240" s="53" t="n">
        <f aca="false">IF(AND(U1240="",OR(P1240="",P1240="LOSE"),T1240&lt;&gt;"",N(S1240)&lt;=0,ISNUMBER(MATCH(T1240,Parameter!$I$27:$I$29,0))),1,0)</f>
        <v>0</v>
      </c>
      <c r="CB1240" s="53" t="n">
        <f aca="false">IF(CQ1240&gt;0,INDEX(Parameter!$H$5:$H$7,W1240)/INDEX(Parameter!$E$5:$E$7,W1240),IF(AND(BZ1240=0,N(IFERROR(VLOOKUP(BX1240,'Gebinde-Kategorie'!$A$5:$N$45,14,0),0))&gt;0),VLOOKUP(BX1240,'Gebinde-Kategorie'!$A$5:$N$45,14,0)*10+Parameter!$M$23,Parameter!$M$24))</f>
        <v>245</v>
      </c>
      <c r="CC1240" s="48" t="str">
        <f aca="false">IF(AND(Parameter!$B$19="Ja",E1240&lt;&gt;"",ISNUMBER(MATCH(E1240,Parameter!$I$35:$I$52,0))),VLOOKUP(E1240,Parameter!$I$35:$J$52,2,0),IFERROR(VLOOKUP(D1240,Parameter!$A$35:$C$64,2,0),"Nein"))</f>
        <v>2+3</v>
      </c>
      <c r="CD1240" s="52" t="n">
        <f aca="false">IF(BZ1240=0,0,IF(N(S1240)&gt;0,S1240,IFERROR(VLOOKUP(D1240,Parameter!$A$35:$C$64,3,0)+0,0)))</f>
        <v>0</v>
      </c>
      <c r="CE1240" s="48" t="n">
        <f aca="false">IF(AA1240&lt;&gt;"",AA1240,Z1240)</f>
        <v>2</v>
      </c>
      <c r="CF1240" s="48" t="str">
        <f aca="false">IF(OR(CE1240=1,CE1240=2,CE1240=3),IF(Parameter!$E$27="Ja","LIFT",IF(CE1240=1,"L1","L23")),IF(CE1240="Aussen","Aussen","-"))</f>
        <v>LIFT</v>
      </c>
      <c r="CG1240" s="59" t="n">
        <f aca="false">IF(N(AB1240)&gt;0,AB1240,0)</f>
        <v>0</v>
      </c>
      <c r="CH1240" s="53" t="n">
        <f aca="false">IF(ISNUMBER(AE1240),1,0)</f>
        <v>0</v>
      </c>
      <c r="CI1240" s="50" t="n">
        <f aca="false">N(AE1240)</f>
        <v>0</v>
      </c>
      <c r="CJ1240" s="50" t="n">
        <f aca="false">N(M1240)+N(N1240)</f>
        <v>5</v>
      </c>
      <c r="CK1240" s="50" t="n">
        <f aca="false">N(M1240)</f>
        <v>0</v>
      </c>
      <c r="CL1240" s="50" t="n">
        <f aca="false">N(N1240)</f>
        <v>5</v>
      </c>
      <c r="CM1240" s="50" t="n">
        <f aca="false">ROUNDUP(H1240/BY1240,0)</f>
        <v>1</v>
      </c>
      <c r="CN1240" s="50" t="n">
        <f aca="false">ROUNDUP(CI1240/BY1240,0)</f>
        <v>0</v>
      </c>
      <c r="CO1240" s="53" t="n">
        <f aca="false">IF(BZ1240=1,0,IFERROR(VLOOKUP(BX1240,'Gebinde-Kategorie'!$A$5:$N$45,5,0)+0,0))</f>
        <v>21</v>
      </c>
      <c r="CP1240" s="53" t="n">
        <f aca="false">IFERROR(IF(OR(CE1240=1,CE1240=2,CE1240=3),N(INDEX(Parameter!$I$5:$I$7,CE1240)),0),0)</f>
        <v>0</v>
      </c>
      <c r="CQ1240" s="52" t="n">
        <f aca="false">IF(AND(Parameter!$B$21="Ja",ISNUMBER(W1240),N(X1240)&gt;0),IFERROR(N(INDEX(Parameter!$L$5:$L$7,W1240))*INDEX(Parameter!$E$5:$E$7,W1240)*X1240/SUMIFS($X$7:$X$1843,$W$7:$W$1843,W1240),0),0)</f>
        <v>0</v>
      </c>
    </row>
    <row r="1241" customFormat="false" ht="15" hidden="false" customHeight="false" outlineLevel="0" collapsed="false">
      <c r="A1241" s="48" t="s">
        <v>2229</v>
      </c>
      <c r="B1241" s="48" t="s">
        <v>531</v>
      </c>
      <c r="C1241" s="48" t="s">
        <v>173</v>
      </c>
      <c r="D1241" s="48" t="s">
        <v>182</v>
      </c>
      <c r="E1241" s="48"/>
      <c r="F1241" s="48" t="s">
        <v>227</v>
      </c>
      <c r="G1241" s="49" t="n">
        <v>348.62</v>
      </c>
      <c r="H1241" s="50" t="n">
        <f aca="false">MAX(0,IF(AND(Parameter!$B$21="Ja",ISNUMBER(Y1241)),Y1241,IF(Parameter!$B$20="Jahresanfang 2025 + Export",BR1241+BQ1241,BQ1241)))</f>
        <v>6</v>
      </c>
      <c r="I1241" s="50" t="n">
        <f aca="false">H1241*G1241</f>
        <v>2091.72</v>
      </c>
      <c r="J1241" s="50" t="n">
        <f aca="false">BT1241*Parameter!$B$18</f>
        <v>1</v>
      </c>
      <c r="K1241" s="51" t="n">
        <v>7.5</v>
      </c>
      <c r="L1241" s="52" t="n">
        <v>0.133333333333333</v>
      </c>
      <c r="M1241" s="50" t="n">
        <v>0</v>
      </c>
      <c r="N1241" s="50" t="n">
        <v>1</v>
      </c>
      <c r="O1241" s="53" t="n">
        <v>35</v>
      </c>
      <c r="P1241" s="48" t="s">
        <v>177</v>
      </c>
      <c r="Q1241" s="50"/>
      <c r="R1241" s="53" t="n">
        <f aca="false">IF(BZ1241=1,0,IFERROR(VLOOKUP(BX1241,'Gebinde-Kategorie'!$A$5:$N$45,13,0)+0,0))</f>
        <v>12</v>
      </c>
      <c r="S1241" s="54"/>
      <c r="T1241" s="55" t="s">
        <v>188</v>
      </c>
      <c r="U1241" s="55"/>
      <c r="V1241" s="55"/>
      <c r="W1241" s="48"/>
      <c r="X1241" s="50"/>
      <c r="Y1241" s="50"/>
      <c r="Z1241" s="48" t="n">
        <f aca="false">IF(A1241="","",IF(AND(Parameter!$B$21="Ja",ISNUMBER(W1241)),W1241,IF(CC1241="2+3",IF(ISNUMBER(SEARCH("grosser Artikel",BU1241)),2,IFERROR(VLOOKUP(BX1241,Parameter!$F$35:$G$64,2,0),2)),IF(OR(CC1241="Nein",CC1241=""),"-",CC1241))))</f>
        <v>2</v>
      </c>
      <c r="AA1241" s="55"/>
      <c r="AB1241" s="56"/>
      <c r="AC1241" s="50" t="n">
        <f aca="false">AV1241</f>
        <v>1</v>
      </c>
      <c r="AD1241" s="50" t="n">
        <f aca="false">MAX(AV1241,H1241)</f>
        <v>6</v>
      </c>
      <c r="AE1241" s="57"/>
      <c r="AF1241" s="50" t="n">
        <f aca="false">IF(LEFT(Cockpit!$C$5,1)="A",H1241,IF(Parameter!$E$30="MAX-Bestand",IF(CH1241=1,CI1241,IF(LEFT(Cockpit!$C$5,1)="B",AL1241,MAX(AL1241,H1241))),ROUNDUP(AJ1241,0)))</f>
        <v>6</v>
      </c>
      <c r="AG1241" s="50" t="n">
        <f aca="false">IF(BZ1241=1,0,ROUNDUP(AF1241/BY1241,0))</f>
        <v>1</v>
      </c>
      <c r="AH1241" s="52" t="n">
        <f aca="false">IF(CQ1241&gt;0,CQ1241*MAX(1,AF1241/X1241),IF(BZ1241=1,IF(AF1241&lt;=0,0,CD1241*MAX(1,IF(H1241&gt;0,AF1241/H1241,1))),IF(R1241&gt;0,AG1241/R1241,0))/MAX(0.1,N(Parameter!$M$21)))</f>
        <v>0.0833333333333333</v>
      </c>
      <c r="AI1241" s="50" t="n">
        <f aca="false">AH1241*CB1241</f>
        <v>12.0833333333333</v>
      </c>
      <c r="AJ1241" s="51" t="n">
        <f aca="false">IF(LEFT(Cockpit!$C$5,1)="A",H1241,IF(CH1241=1,(CK1241+CI1241)/2,IF(LEFT(Cockpit!$C$5,1)="B",(CK1241+AL1241)/2,MAX((CK1241+AL1241)/2,H1241))))</f>
        <v>6</v>
      </c>
      <c r="AK1241" s="50" t="n">
        <f aca="false">AJ1241*G1241</f>
        <v>2091.72</v>
      </c>
      <c r="AL1241" s="50" t="n">
        <f aca="false">ROUNDUP(CK1241+MAX(CL1241,2*(J1241/IF(CG1241&gt;0,CG1241,MAX(0.1,N(Cockpit!$C$6)))-CK1241)),0)</f>
        <v>1</v>
      </c>
      <c r="AM1241" s="51" t="n">
        <f aca="false">IF(AI1241&gt;0,J1241/AI1241,-1)</f>
        <v>0.0827586206896552</v>
      </c>
      <c r="AN1241" s="51" t="n">
        <f aca="false">IF(AND(OR(CF1241="L1",CF1241="L23",CF1241="LIFT"),AI1241&gt;0),SUMIFS($AI$7:$AI$1843,$CF$7:$CF$1843,CF1241,$AM$7:$AM$1843,"&gt;"&amp;AM1241)+SUMIFS($AI$7:$AI$1843,$CF$7:$CF$1843,CF1241,$AM$7:$AM$1843,AM1241,$BW$7:$BW$1843,"&lt;="&amp;BW1241),"")</f>
        <v>16761.9407322903</v>
      </c>
      <c r="AO1241" s="58" t="n">
        <f aca="false">IF(AN1241="",0,MAX(0,MIN(1,(IF(CF1241="L1",Parameter!$H$5,IF(CF1241="L23",Parameter!$H$6+Parameter!$H$7,Parameter!$H$5+Parameter!$H$6+Parameter!$H$7))-(AN1241-AI1241))/AI1241)))</f>
        <v>1</v>
      </c>
      <c r="AP1241" s="50" t="n">
        <f aca="false">IF(LEFT(Cockpit!$I$5,1)="A",H1241,IF(Parameter!$E$30="MAX-Bestand",IF(CH1241=1,CI1241,IF(LEFT(Cockpit!$I$5,1)="B",AV1241,MAX(AV1241,H1241))),ROUNDUP(AT1241,0)))</f>
        <v>6</v>
      </c>
      <c r="AQ1241" s="50" t="n">
        <f aca="false">IF(BZ1241=1,0,ROUNDUP(AP1241/BY1241,0))</f>
        <v>1</v>
      </c>
      <c r="AR1241" s="52" t="n">
        <f aca="false">IF(CQ1241&gt;0,CQ1241*MAX(1,AP1241/X1241),IF(BZ1241=1,IF(AP1241&lt;=0,0,CD1241*MAX(1,IF(H1241&gt;0,AP1241/H1241,1))),IF(R1241&gt;0,AQ1241/R1241,0))/MAX(0.1,N(Parameter!$M$21)))</f>
        <v>0.0833333333333333</v>
      </c>
      <c r="AS1241" s="50" t="n">
        <f aca="false">AR1241*CB1241</f>
        <v>12.0833333333333</v>
      </c>
      <c r="AT1241" s="51" t="n">
        <f aca="false">IF(LEFT(Cockpit!$I$5,1)="A",H1241,IF(CH1241=1,(CK1241+CI1241)/2,IF(LEFT(Cockpit!$I$5,1)="B",(CK1241+AV1241)/2,MAX((CK1241+AV1241)/2,H1241))))</f>
        <v>6</v>
      </c>
      <c r="AU1241" s="50" t="n">
        <f aca="false">AT1241*G1241</f>
        <v>2091.72</v>
      </c>
      <c r="AV1241" s="50" t="n">
        <f aca="false">ROUNDUP(CK1241+MAX(CL1241,2*(J1241/IF(CG1241&gt;0,CG1241,MAX(0.1,N(Cockpit!$I$6)))-CK1241)),0)</f>
        <v>1</v>
      </c>
      <c r="AW1241" s="51" t="n">
        <f aca="false">IF(AS1241&gt;0,J1241/AS1241,-1)</f>
        <v>0.0827586206896552</v>
      </c>
      <c r="AX1241" s="51" t="n">
        <f aca="false">IF(AND(OR(CF1241="L1",CF1241="L23",CF1241="LIFT"),AS1241&gt;0),SUMIFS($AS$7:$AS$1843,$CF$7:$CF$1843,CF1241,$AW$7:$AW$1843,"&gt;"&amp;AW1241)+SUMIFS($AS$7:$AS$1843,$CF$7:$CF$1843,CF1241,$AW$7:$AW$1843,AW1241,$BW$7:$BW$1843,"&lt;="&amp;BW1241),"")</f>
        <v>21821.3393736678</v>
      </c>
      <c r="AY1241" s="58" t="n">
        <f aca="false">IF(AX1241="",0,MAX(0,MIN(1,(IF(CF1241="L1",Parameter!$H$5,IF(CF1241="L23",Parameter!$H$6+Parameter!$H$7,Parameter!$H$5+Parameter!$H$6+Parameter!$H$7))-(AX1241-AS1241))/AS1241)))</f>
        <v>1</v>
      </c>
      <c r="AZ1241" s="50" t="n">
        <f aca="false">IF(LEFT(Cockpit!$O$5,1)="A",H1241,IF(Parameter!$E$30="MAX-Bestand",IF(CH1241=1,CI1241,IF(LEFT(Cockpit!$O$5,1)="B",BF1241,MAX(BF1241,H1241))),ROUNDUP(BD1241,0)))</f>
        <v>1</v>
      </c>
      <c r="BA1241" s="50" t="n">
        <f aca="false">IF(BZ1241=1,0,ROUNDUP(AZ1241/BY1241,0))</f>
        <v>1</v>
      </c>
      <c r="BB1241" s="52" t="n">
        <f aca="false">IF(CQ1241&gt;0,CQ1241*MAX(1,AZ1241/X1241),IF(BZ1241=1,IF(AZ1241&lt;=0,0,CD1241*MAX(1,IF(H1241&gt;0,AZ1241/H1241,1))),IF(R1241&gt;0,BA1241/R1241,0))/MAX(0.1,N(Parameter!$M$21)))</f>
        <v>0.0833333333333333</v>
      </c>
      <c r="BC1241" s="50" t="n">
        <f aca="false">BB1241*CB1241</f>
        <v>12.0833333333333</v>
      </c>
      <c r="BD1241" s="51" t="n">
        <f aca="false">IF(LEFT(Cockpit!$O$5,1)="A",H1241,IF(CH1241=1,(CK1241+CI1241)/2,IF(LEFT(Cockpit!$O$5,1)="B",(CK1241+BF1241)/2,MAX((CK1241+BF1241)/2,H1241))))</f>
        <v>0.5</v>
      </c>
      <c r="BE1241" s="50" t="n">
        <f aca="false">BD1241*G1241</f>
        <v>174.31</v>
      </c>
      <c r="BF1241" s="50" t="n">
        <f aca="false">ROUNDUP(CK1241+MAX(CL1241,2*(J1241/IF(CG1241&gt;0,CG1241,MAX(0.1,N(Cockpit!$O$6)))-CK1241)),0)</f>
        <v>1</v>
      </c>
      <c r="BG1241" s="51" t="n">
        <f aca="false">IF(BC1241&gt;0,J1241/BC1241,-1)</f>
        <v>0.0827586206896552</v>
      </c>
      <c r="BH1241" s="51" t="n">
        <f aca="false">IF(AND(OR(CF1241="L1",CF1241="L23",CF1241="LIFT"),BC1241&gt;0),SUMIFS($BC$7:$BC$1843,$CF$7:$CF$1843,CF1241,$BG$7:$BG$1843,"&gt;"&amp;BG1241)+SUMIFS($BC$7:$BC$1843,$CF$7:$CF$1843,CF1241,$BG$7:$BG$1843,BG1241,$BW$7:$BW$1843,"&lt;="&amp;BW1241),"")</f>
        <v>18431.8955759401</v>
      </c>
      <c r="BI1241" s="58" t="n">
        <f aca="false">IF(BH1241="",0,MAX(0,MIN(1,(IF(CF1241="L1",Parameter!$H$5,IF(CF1241="L23",Parameter!$H$6+Parameter!$H$7,Parameter!$H$5+Parameter!$H$6+Parameter!$H$7))-(BH1241-BC1241))/BC1241)))</f>
        <v>1</v>
      </c>
      <c r="BJ1241" s="48" t="str">
        <f aca="false">IF(AI1241&lt;=0,"",IF(CF1241="Aussen","Aussenlager",IF(CF1241="-","Nicht im Lift",IF(AO1241&gt;=1,"Lift",IF(AO1241&lt;=0,"Aussenlager","teilweise")))))</f>
        <v>Lift</v>
      </c>
      <c r="BK1241" s="48" t="str">
        <f aca="false">IF(AS1241&lt;=0,"",IF(CF1241="Aussen","Aussenlager",IF(CF1241="-","Nicht im Lift",IF(AY1241&gt;=1,"Lift",IF(AY1241&lt;=0,"Aussenlager","teilweise")))))</f>
        <v>Lift</v>
      </c>
      <c r="BL1241" s="48" t="str">
        <f aca="false">IF(BC1241&lt;=0,"",IF(CF1241="Aussen","Aussenlager",IF(CF1241="-","Nicht im Lift",IF(BI1241&gt;=1,"Lift",IF(BI1241&lt;=0,"Aussenlager","teilweise")))))</f>
        <v>Lift</v>
      </c>
      <c r="BM1241" s="48" t="str">
        <f aca="false">IF(A1241="","",IF(BV1241=1,"Neu; ","")&amp;IF(AND(BV1241=0,BQ1241&lt;0),"negativer Bestand (Export "&amp;BQ1241&amp;"); ","")&amp;IF(J1241&lt;=0,"Kein Verbrauch; ","")&amp;IF(CQ1241&gt;0,"Lift "&amp;W1241&amp;" lt. Liftbericht (Fach "&amp;X1241&amp;" Stk); ",IF(CA1241=1,"Gebinde geschätzt ("&amp;T1241&amp;"); ",IF(BZ1241=1,"Lose – Tablare geschätzt; ","")))&amp;IF(H1241&gt;AV1241,"Überbestand "&amp;ROUND(H1241-AV1241,0)&amp;" Stk / CHF "&amp;ROUND((H1241-AV1241)*G1241,0)&amp;"; ","")&amp;IF(AND(CH1241=1,CI1241&lt;CJ1241),"MAX &lt; MB+LG; ","")&amp;IF(AND(CP1241&gt;0,CO1241*10&gt;CP1241),"zu hoch für Tablar; ","")&amp;IF(AND(BV1241=0,OR(CH1241=1,AA1241&lt;&gt;"",U1241&lt;&gt;"",V1241&lt;&gt;"",AB1241&lt;&gt;"")),"manuell übersteuert; ","")&amp;IF(AND(BZ1241=0,R1241=0),"Gebinde unbekannt / Stellmass fehlt; ","")&amp;IF(AND(BZ1241=0,N(V1241)&lt;=0,N(Q1241)&lt;=0),"Menge pro Gebinde fehlt (Ist = 1 Gebinde); ","")&amp;BU1241)</f>
        <v>negativer Bestand (Export -2); Gebinde geschätzt (Mittel); Überbestand 5 Stk / CHF 1743; Menge pro Gebinde fehlt (Ist = 1 Gebinde); </v>
      </c>
      <c r="BN1241" s="48"/>
      <c r="BO1241" s="48"/>
      <c r="BP1241" s="55"/>
      <c r="BQ1241" s="50" t="n">
        <v>-2</v>
      </c>
      <c r="BR1241" s="50" t="n">
        <v>8</v>
      </c>
      <c r="BS1241" s="49" t="n">
        <v>-697.24</v>
      </c>
      <c r="BT1241" s="50" t="n">
        <v>1</v>
      </c>
      <c r="BU1241" s="48"/>
      <c r="BV1241" s="53" t="n">
        <v>0</v>
      </c>
      <c r="BW1241" s="53" t="n">
        <v>1241</v>
      </c>
      <c r="BX1241" s="48" t="str">
        <f aca="false">IF(U1241&lt;&gt;"",UPPER(TRIM(U1241)),IF(CA1241=1,UPPER(VLOOKUP(T1241,Parameter!$I$27:$K$29,2,0)),IF(P1241="","LOSE",P1241)))</f>
        <v>S61</v>
      </c>
      <c r="BY1241" s="50" t="n">
        <f aca="false">IF(BX1241="LOSE",1,IF(N(V1241)&gt;0,V1241,IF(CA1241=1,MAX(1,N(VLOOKUP(T1241,Parameter!$I$27:$K$29,3,0)),H1241,N(N1241)),IF(N(Q1241)&gt;0,Q1241,MAX(1,H1241)))))</f>
        <v>6</v>
      </c>
      <c r="BZ1241" s="53" t="n">
        <f aca="false">IF(BX1241="LOSE",1,0)</f>
        <v>0</v>
      </c>
      <c r="CA1241" s="53" t="n">
        <f aca="false">IF(AND(U1241="",OR(P1241="",P1241="LOSE"),T1241&lt;&gt;"",N(S1241)&lt;=0,ISNUMBER(MATCH(T1241,Parameter!$I$27:$I$29,0))),1,0)</f>
        <v>1</v>
      </c>
      <c r="CB1241" s="53" t="n">
        <f aca="false">IF(CQ1241&gt;0,INDEX(Parameter!$H$5:$H$7,W1241)/INDEX(Parameter!$E$5:$E$7,W1241),IF(AND(BZ1241=0,N(IFERROR(VLOOKUP(BX1241,'Gebinde-Kategorie'!$A$5:$N$45,14,0),0))&gt;0),VLOOKUP(BX1241,'Gebinde-Kategorie'!$A$5:$N$45,14,0)*10+Parameter!$M$23,Parameter!$M$24))</f>
        <v>145</v>
      </c>
      <c r="CC1241" s="48" t="str">
        <f aca="false">IF(AND(Parameter!$B$19="Ja",E1241&lt;&gt;"",ISNUMBER(MATCH(E1241,Parameter!$I$35:$I$52,0))),VLOOKUP(E1241,Parameter!$I$35:$J$52,2,0),IFERROR(VLOOKUP(D1241,Parameter!$A$35:$C$64,2,0),"Nein"))</f>
        <v>2+3</v>
      </c>
      <c r="CD1241" s="52" t="n">
        <f aca="false">IF(BZ1241=0,0,IF(N(S1241)&gt;0,S1241,IFERROR(VLOOKUP(D1241,Parameter!$A$35:$C$64,3,0)+0,0)))</f>
        <v>0</v>
      </c>
      <c r="CE1241" s="48" t="n">
        <f aca="false">IF(AA1241&lt;&gt;"",AA1241,Z1241)</f>
        <v>2</v>
      </c>
      <c r="CF1241" s="48" t="str">
        <f aca="false">IF(OR(CE1241=1,CE1241=2,CE1241=3),IF(Parameter!$E$27="Ja","LIFT",IF(CE1241=1,"L1","L23")),IF(CE1241="Aussen","Aussen","-"))</f>
        <v>LIFT</v>
      </c>
      <c r="CG1241" s="59" t="n">
        <f aca="false">IF(N(AB1241)&gt;0,AB1241,0)</f>
        <v>0</v>
      </c>
      <c r="CH1241" s="53" t="n">
        <f aca="false">IF(ISNUMBER(AE1241),1,0)</f>
        <v>0</v>
      </c>
      <c r="CI1241" s="50" t="n">
        <f aca="false">N(AE1241)</f>
        <v>0</v>
      </c>
      <c r="CJ1241" s="50" t="n">
        <f aca="false">N(M1241)+N(N1241)</f>
        <v>1</v>
      </c>
      <c r="CK1241" s="50" t="n">
        <f aca="false">N(M1241)</f>
        <v>0</v>
      </c>
      <c r="CL1241" s="50" t="n">
        <f aca="false">N(N1241)</f>
        <v>1</v>
      </c>
      <c r="CM1241" s="50" t="n">
        <f aca="false">ROUNDUP(H1241/BY1241,0)</f>
        <v>1</v>
      </c>
      <c r="CN1241" s="50" t="n">
        <f aca="false">ROUNDUP(CI1241/BY1241,0)</f>
        <v>0</v>
      </c>
      <c r="CO1241" s="53" t="n">
        <f aca="false">IF(BZ1241=1,0,IFERROR(VLOOKUP(BX1241,'Gebinde-Kategorie'!$A$5:$N$45,5,0)+0,0))</f>
        <v>11</v>
      </c>
      <c r="CP1241" s="53" t="n">
        <f aca="false">IFERROR(IF(OR(CE1241=1,CE1241=2,CE1241=3),N(INDEX(Parameter!$I$5:$I$7,CE1241)),0),0)</f>
        <v>0</v>
      </c>
      <c r="CQ1241" s="52" t="n">
        <f aca="false">IF(AND(Parameter!$B$21="Ja",ISNUMBER(W1241),N(X1241)&gt;0),IFERROR(N(INDEX(Parameter!$L$5:$L$7,W1241))*INDEX(Parameter!$E$5:$E$7,W1241)*X1241/SUMIFS($X$7:$X$1843,$W$7:$W$1843,W1241),0),0)</f>
        <v>0</v>
      </c>
    </row>
    <row r="1242" customFormat="false" ht="15" hidden="false" customHeight="false" outlineLevel="0" collapsed="false">
      <c r="A1242" s="48" t="s">
        <v>2230</v>
      </c>
      <c r="B1242" s="48" t="s">
        <v>1412</v>
      </c>
      <c r="C1242" s="48" t="s">
        <v>173</v>
      </c>
      <c r="D1242" s="48" t="s">
        <v>193</v>
      </c>
      <c r="E1242" s="48"/>
      <c r="F1242" s="48" t="s">
        <v>227</v>
      </c>
      <c r="G1242" s="49" t="n">
        <v>77.59</v>
      </c>
      <c r="H1242" s="50" t="n">
        <f aca="false">MAX(0,IF(AND(Parameter!$B$21="Ja",ISNUMBER(Y1242)),Y1242,IF(Parameter!$B$20="Jahresanfang 2025 + Export",BR1242+BQ1242,BQ1242)))</f>
        <v>17</v>
      </c>
      <c r="I1242" s="50" t="n">
        <f aca="false">H1242*G1242</f>
        <v>1319.03</v>
      </c>
      <c r="J1242" s="50" t="n">
        <f aca="false">BT1242*Parameter!$B$18</f>
        <v>4</v>
      </c>
      <c r="K1242" s="51" t="n">
        <v>24</v>
      </c>
      <c r="L1242" s="52" t="n">
        <v>0.166666666666667</v>
      </c>
      <c r="M1242" s="50" t="n">
        <v>0</v>
      </c>
      <c r="N1242" s="50" t="n">
        <v>5</v>
      </c>
      <c r="O1242" s="53" t="n">
        <v>35</v>
      </c>
      <c r="P1242" s="48" t="s">
        <v>177</v>
      </c>
      <c r="Q1242" s="50"/>
      <c r="R1242" s="53" t="n">
        <f aca="false">IF(BZ1242=1,0,IFERROR(VLOOKUP(BX1242,'Gebinde-Kategorie'!$A$5:$N$45,13,0)+0,0))</f>
        <v>26</v>
      </c>
      <c r="S1242" s="54"/>
      <c r="T1242" s="55" t="s">
        <v>284</v>
      </c>
      <c r="U1242" s="55"/>
      <c r="V1242" s="55"/>
      <c r="W1242" s="48"/>
      <c r="X1242" s="50"/>
      <c r="Y1242" s="50"/>
      <c r="Z1242" s="48" t="n">
        <f aca="false">IF(A1242="","",IF(AND(Parameter!$B$21="Ja",ISNUMBER(W1242)),W1242,IF(CC1242="2+3",IF(ISNUMBER(SEARCH("grosser Artikel",BU1242)),2,IFERROR(VLOOKUP(BX1242,Parameter!$F$35:$G$64,2,0),2)),IF(OR(CC1242="Nein",CC1242=""),"-",CC1242))))</f>
        <v>3</v>
      </c>
      <c r="AA1242" s="55"/>
      <c r="AB1242" s="56"/>
      <c r="AC1242" s="50" t="n">
        <f aca="false">AV1242</f>
        <v>5</v>
      </c>
      <c r="AD1242" s="50" t="n">
        <f aca="false">MAX(AV1242,H1242)</f>
        <v>17</v>
      </c>
      <c r="AE1242" s="57"/>
      <c r="AF1242" s="50" t="n">
        <f aca="false">IF(LEFT(Cockpit!$C$5,1)="A",H1242,IF(Parameter!$E$30="MAX-Bestand",IF(CH1242=1,CI1242,IF(LEFT(Cockpit!$C$5,1)="B",AL1242,MAX(AL1242,H1242))),ROUNDUP(AJ1242,0)))</f>
        <v>17</v>
      </c>
      <c r="AG1242" s="50" t="n">
        <f aca="false">IF(BZ1242=1,0,ROUNDUP(AF1242/BY1242,0))</f>
        <v>1</v>
      </c>
      <c r="AH1242" s="52" t="n">
        <f aca="false">IF(CQ1242&gt;0,CQ1242*MAX(1,AF1242/X1242),IF(BZ1242=1,IF(AF1242&lt;=0,0,CD1242*MAX(1,IF(H1242&gt;0,AF1242/H1242,1))),IF(R1242&gt;0,AG1242/R1242,0))/MAX(0.1,N(Parameter!$M$21)))</f>
        <v>0.0384615384615385</v>
      </c>
      <c r="AI1242" s="50" t="n">
        <f aca="false">AH1242*CB1242</f>
        <v>5.96153846153846</v>
      </c>
      <c r="AJ1242" s="51" t="n">
        <f aca="false">IF(LEFT(Cockpit!$C$5,1)="A",H1242,IF(CH1242=1,(CK1242+CI1242)/2,IF(LEFT(Cockpit!$C$5,1)="B",(CK1242+AL1242)/2,MAX((CK1242+AL1242)/2,H1242))))</f>
        <v>17</v>
      </c>
      <c r="AK1242" s="50" t="n">
        <f aca="false">AJ1242*G1242</f>
        <v>1319.03</v>
      </c>
      <c r="AL1242" s="50" t="n">
        <f aca="false">ROUNDUP(CK1242+MAX(CL1242,2*(J1242/IF(CG1242&gt;0,CG1242,MAX(0.1,N(Cockpit!$C$6)))-CK1242)),0)</f>
        <v>5</v>
      </c>
      <c r="AM1242" s="51" t="n">
        <f aca="false">IF(AI1242&gt;0,J1242/AI1242,-1)</f>
        <v>0.670967741935484</v>
      </c>
      <c r="AN1242" s="51" t="n">
        <f aca="false">IF(AND(OR(CF1242="L1",CF1242="L23",CF1242="LIFT"),AI1242&gt;0),SUMIFS($AI$7:$AI$1843,$CF$7:$CF$1843,CF1242,$AM$7:$AM$1843,"&gt;"&amp;AM1242)+SUMIFS($AI$7:$AI$1843,$CF$7:$CF$1843,CF1242,$AM$7:$AM$1843,AM1242,$BW$7:$BW$1843,"&lt;="&amp;BW1242),"")</f>
        <v>8647.41025641026</v>
      </c>
      <c r="AO1242" s="58" t="n">
        <f aca="false">IF(AN1242="",0,MAX(0,MIN(1,(IF(CF1242="L1",Parameter!$H$5,IF(CF1242="L23",Parameter!$H$6+Parameter!$H$7,Parameter!$H$5+Parameter!$H$6+Parameter!$H$7))-(AN1242-AI1242))/AI1242)))</f>
        <v>1</v>
      </c>
      <c r="AP1242" s="50" t="n">
        <f aca="false">IF(LEFT(Cockpit!$I$5,1)="A",H1242,IF(Parameter!$E$30="MAX-Bestand",IF(CH1242=1,CI1242,IF(LEFT(Cockpit!$I$5,1)="B",AV1242,MAX(AV1242,H1242))),ROUNDUP(AT1242,0)))</f>
        <v>17</v>
      </c>
      <c r="AQ1242" s="50" t="n">
        <f aca="false">IF(BZ1242=1,0,ROUNDUP(AP1242/BY1242,0))</f>
        <v>1</v>
      </c>
      <c r="AR1242" s="52" t="n">
        <f aca="false">IF(CQ1242&gt;0,CQ1242*MAX(1,AP1242/X1242),IF(BZ1242=1,IF(AP1242&lt;=0,0,CD1242*MAX(1,IF(H1242&gt;0,AP1242/H1242,1))),IF(R1242&gt;0,AQ1242/R1242,0))/MAX(0.1,N(Parameter!$M$21)))</f>
        <v>0.0384615384615385</v>
      </c>
      <c r="AS1242" s="50" t="n">
        <f aca="false">AR1242*CB1242</f>
        <v>5.96153846153846</v>
      </c>
      <c r="AT1242" s="51" t="n">
        <f aca="false">IF(LEFT(Cockpit!$I$5,1)="A",H1242,IF(CH1242=1,(CK1242+CI1242)/2,IF(LEFT(Cockpit!$I$5,1)="B",(CK1242+AV1242)/2,MAX((CK1242+AV1242)/2,H1242))))</f>
        <v>17</v>
      </c>
      <c r="AU1242" s="50" t="n">
        <f aca="false">AT1242*G1242</f>
        <v>1319.03</v>
      </c>
      <c r="AV1242" s="50" t="n">
        <f aca="false">ROUNDUP(CK1242+MAX(CL1242,2*(J1242/IF(CG1242&gt;0,CG1242,MAX(0.1,N(Cockpit!$I$6)))-CK1242)),0)</f>
        <v>5</v>
      </c>
      <c r="AW1242" s="51" t="n">
        <f aca="false">IF(AS1242&gt;0,J1242/AS1242,-1)</f>
        <v>0.670967741935484</v>
      </c>
      <c r="AX1242" s="51" t="n">
        <f aca="false">IF(AND(OR(CF1242="L1",CF1242="L23",CF1242="LIFT"),AS1242&gt;0),SUMIFS($AS$7:$AS$1843,$CF$7:$CF$1843,CF1242,$AW$7:$AW$1843,"&gt;"&amp;AW1242)+SUMIFS($AS$7:$AS$1843,$CF$7:$CF$1843,CF1242,$AW$7:$AW$1843,AW1242,$BW$7:$BW$1843,"&lt;="&amp;BW1242),"")</f>
        <v>10941.5778388278</v>
      </c>
      <c r="AY1242" s="58" t="n">
        <f aca="false">IF(AX1242="",0,MAX(0,MIN(1,(IF(CF1242="L1",Parameter!$H$5,IF(CF1242="L23",Parameter!$H$6+Parameter!$H$7,Parameter!$H$5+Parameter!$H$6+Parameter!$H$7))-(AX1242-AS1242))/AS1242)))</f>
        <v>1</v>
      </c>
      <c r="AZ1242" s="50" t="n">
        <f aca="false">IF(LEFT(Cockpit!$O$5,1)="A",H1242,IF(Parameter!$E$30="MAX-Bestand",IF(CH1242=1,CI1242,IF(LEFT(Cockpit!$O$5,1)="B",BF1242,MAX(BF1242,H1242))),ROUNDUP(BD1242,0)))</f>
        <v>3</v>
      </c>
      <c r="BA1242" s="50" t="n">
        <f aca="false">IF(BZ1242=1,0,ROUNDUP(AZ1242/BY1242,0))</f>
        <v>1</v>
      </c>
      <c r="BB1242" s="52" t="n">
        <f aca="false">IF(CQ1242&gt;0,CQ1242*MAX(1,AZ1242/X1242),IF(BZ1242=1,IF(AZ1242&lt;=0,0,CD1242*MAX(1,IF(H1242&gt;0,AZ1242/H1242,1))),IF(R1242&gt;0,BA1242/R1242,0))/MAX(0.1,N(Parameter!$M$21)))</f>
        <v>0.0384615384615385</v>
      </c>
      <c r="BC1242" s="50" t="n">
        <f aca="false">BB1242*CB1242</f>
        <v>5.96153846153846</v>
      </c>
      <c r="BD1242" s="51" t="n">
        <f aca="false">IF(LEFT(Cockpit!$O$5,1)="A",H1242,IF(CH1242=1,(CK1242+CI1242)/2,IF(LEFT(Cockpit!$O$5,1)="B",(CK1242+BF1242)/2,MAX((CK1242+BF1242)/2,H1242))))</f>
        <v>2.5</v>
      </c>
      <c r="BE1242" s="50" t="n">
        <f aca="false">BD1242*G1242</f>
        <v>193.975</v>
      </c>
      <c r="BF1242" s="50" t="n">
        <f aca="false">ROUNDUP(CK1242+MAX(CL1242,2*(J1242/IF(CG1242&gt;0,CG1242,MAX(0.1,N(Cockpit!$O$6)))-CK1242)),0)</f>
        <v>5</v>
      </c>
      <c r="BG1242" s="51" t="n">
        <f aca="false">IF(BC1242&gt;0,J1242/BC1242,-1)</f>
        <v>0.670967741935484</v>
      </c>
      <c r="BH1242" s="51" t="n">
        <f aca="false">IF(AND(OR(CF1242="L1",CF1242="L23",CF1242="LIFT"),BC1242&gt;0),SUMIFS($BC$7:$BC$1843,$CF$7:$CF$1843,CF1242,$BG$7:$BG$1843,"&gt;"&amp;BG1242)+SUMIFS($BC$7:$BC$1843,$CF$7:$CF$1843,CF1242,$BG$7:$BG$1843,BG1242,$BW$7:$BW$1843,"&lt;="&amp;BW1242),"")</f>
        <v>9551.211996337</v>
      </c>
      <c r="BI1242" s="58" t="n">
        <f aca="false">IF(BH1242="",0,MAX(0,MIN(1,(IF(CF1242="L1",Parameter!$H$5,IF(CF1242="L23",Parameter!$H$6+Parameter!$H$7,Parameter!$H$5+Parameter!$H$6+Parameter!$H$7))-(BH1242-BC1242))/BC1242)))</f>
        <v>1</v>
      </c>
      <c r="BJ1242" s="48" t="str">
        <f aca="false">IF(AI1242&lt;=0,"",IF(CF1242="Aussen","Aussenlager",IF(CF1242="-","Nicht im Lift",IF(AO1242&gt;=1,"Lift",IF(AO1242&lt;=0,"Aussenlager","teilweise")))))</f>
        <v>Lift</v>
      </c>
      <c r="BK1242" s="48" t="str">
        <f aca="false">IF(AS1242&lt;=0,"",IF(CF1242="Aussen","Aussenlager",IF(CF1242="-","Nicht im Lift",IF(AY1242&gt;=1,"Lift",IF(AY1242&lt;=0,"Aussenlager","teilweise")))))</f>
        <v>Lift</v>
      </c>
      <c r="BL1242" s="48" t="str">
        <f aca="false">IF(BC1242&lt;=0,"",IF(CF1242="Aussen","Aussenlager",IF(CF1242="-","Nicht im Lift",IF(BI1242&gt;=1,"Lift",IF(BI1242&lt;=0,"Aussenlager","teilweise")))))</f>
        <v>Lift</v>
      </c>
      <c r="BM1242" s="48" t="str">
        <f aca="false">IF(A1242="","",IF(BV1242=1,"Neu; ","")&amp;IF(AND(BV1242=0,BQ1242&lt;0),"negativer Bestand (Export "&amp;BQ1242&amp;"); ","")&amp;IF(J1242&lt;=0,"Kein Verbrauch; ","")&amp;IF(CQ1242&gt;0,"Lift "&amp;W1242&amp;" lt. Liftbericht (Fach "&amp;X1242&amp;" Stk); ",IF(CA1242=1,"Gebinde geschätzt ("&amp;T1242&amp;"); ",IF(BZ1242=1,"Lose – Tablare geschätzt; ","")))&amp;IF(H1242&gt;AV1242,"Überbestand "&amp;ROUND(H1242-AV1242,0)&amp;" Stk / CHF "&amp;ROUND((H1242-AV1242)*G1242,0)&amp;"; ","")&amp;IF(AND(CH1242=1,CI1242&lt;CJ1242),"MAX &lt; MB+LG; ","")&amp;IF(AND(CP1242&gt;0,CO1242*10&gt;CP1242),"zu hoch für Tablar; ","")&amp;IF(AND(BV1242=0,OR(CH1242=1,AA1242&lt;&gt;"",U1242&lt;&gt;"",V1242&lt;&gt;"",AB1242&lt;&gt;"")),"manuell übersteuert; ","")&amp;IF(AND(BZ1242=0,R1242=0),"Gebinde unbekannt / Stellmass fehlt; ","")&amp;IF(AND(BZ1242=0,N(V1242)&lt;=0,N(Q1242)&lt;=0),"Menge pro Gebinde fehlt (Ist = 1 Gebinde); ","")&amp;BU1242)</f>
        <v>negativer Bestand (Export -9); Gebinde geschätzt (Klein); Überbestand 12 Stk / CHF 931; Menge pro Gebinde fehlt (Ist = 1 Gebinde); </v>
      </c>
      <c r="BN1242" s="48"/>
      <c r="BO1242" s="48"/>
      <c r="BP1242" s="55"/>
      <c r="BQ1242" s="50" t="n">
        <v>-9</v>
      </c>
      <c r="BR1242" s="50" t="n">
        <v>26</v>
      </c>
      <c r="BS1242" s="49" t="n">
        <v>-698.31</v>
      </c>
      <c r="BT1242" s="50" t="n">
        <v>4</v>
      </c>
      <c r="BU1242" s="48"/>
      <c r="BV1242" s="53" t="n">
        <v>0</v>
      </c>
      <c r="BW1242" s="53" t="n">
        <v>1242</v>
      </c>
      <c r="BX1242" s="48" t="str">
        <f aca="false">IF(U1242&lt;&gt;"",UPPER(TRIM(U1242)),IF(CA1242=1,UPPER(VLOOKUP(T1242,Parameter!$I$27:$K$29,2,0)),IF(P1242="","LOSE",P1242)))</f>
        <v>S51</v>
      </c>
      <c r="BY1242" s="50" t="n">
        <f aca="false">IF(BX1242="LOSE",1,IF(N(V1242)&gt;0,V1242,IF(CA1242=1,MAX(1,N(VLOOKUP(T1242,Parameter!$I$27:$K$29,3,0)),H1242,N(N1242)),IF(N(Q1242)&gt;0,Q1242,MAX(1,H1242)))))</f>
        <v>20</v>
      </c>
      <c r="BZ1242" s="53" t="n">
        <f aca="false">IF(BX1242="LOSE",1,0)</f>
        <v>0</v>
      </c>
      <c r="CA1242" s="53" t="n">
        <f aca="false">IF(AND(U1242="",OR(P1242="",P1242="LOSE"),T1242&lt;&gt;"",N(S1242)&lt;=0,ISNUMBER(MATCH(T1242,Parameter!$I$27:$I$29,0))),1,0)</f>
        <v>1</v>
      </c>
      <c r="CB1242" s="53" t="n">
        <f aca="false">IF(CQ1242&gt;0,INDEX(Parameter!$H$5:$H$7,W1242)/INDEX(Parameter!$E$5:$E$7,W1242),IF(AND(BZ1242=0,N(IFERROR(VLOOKUP(BX1242,'Gebinde-Kategorie'!$A$5:$N$45,14,0),0))&gt;0),VLOOKUP(BX1242,'Gebinde-Kategorie'!$A$5:$N$45,14,0)*10+Parameter!$M$23,Parameter!$M$24))</f>
        <v>155</v>
      </c>
      <c r="CC1242" s="48" t="str">
        <f aca="false">IF(AND(Parameter!$B$19="Ja",E1242&lt;&gt;"",ISNUMBER(MATCH(E1242,Parameter!$I$35:$I$52,0))),VLOOKUP(E1242,Parameter!$I$35:$J$52,2,0),IFERROR(VLOOKUP(D1242,Parameter!$A$35:$C$64,2,0),"Nein"))</f>
        <v>2+3</v>
      </c>
      <c r="CD1242" s="52" t="n">
        <f aca="false">IF(BZ1242=0,0,IF(N(S1242)&gt;0,S1242,IFERROR(VLOOKUP(D1242,Parameter!$A$35:$C$64,3,0)+0,0)))</f>
        <v>0</v>
      </c>
      <c r="CE1242" s="48" t="n">
        <f aca="false">IF(AA1242&lt;&gt;"",AA1242,Z1242)</f>
        <v>3</v>
      </c>
      <c r="CF1242" s="48" t="str">
        <f aca="false">IF(OR(CE1242=1,CE1242=2,CE1242=3),IF(Parameter!$E$27="Ja","LIFT",IF(CE1242=1,"L1","L23")),IF(CE1242="Aussen","Aussen","-"))</f>
        <v>LIFT</v>
      </c>
      <c r="CG1242" s="59" t="n">
        <f aca="false">IF(N(AB1242)&gt;0,AB1242,0)</f>
        <v>0</v>
      </c>
      <c r="CH1242" s="53" t="n">
        <f aca="false">IF(ISNUMBER(AE1242),1,0)</f>
        <v>0</v>
      </c>
      <c r="CI1242" s="50" t="n">
        <f aca="false">N(AE1242)</f>
        <v>0</v>
      </c>
      <c r="CJ1242" s="50" t="n">
        <f aca="false">N(M1242)+N(N1242)</f>
        <v>5</v>
      </c>
      <c r="CK1242" s="50" t="n">
        <f aca="false">N(M1242)</f>
        <v>0</v>
      </c>
      <c r="CL1242" s="50" t="n">
        <f aca="false">N(N1242)</f>
        <v>5</v>
      </c>
      <c r="CM1242" s="50" t="n">
        <f aca="false">ROUNDUP(H1242/BY1242,0)</f>
        <v>1</v>
      </c>
      <c r="CN1242" s="50" t="n">
        <f aca="false">ROUNDUP(CI1242/BY1242,0)</f>
        <v>0</v>
      </c>
      <c r="CO1242" s="53" t="n">
        <f aca="false">IF(BZ1242=1,0,IFERROR(VLOOKUP(BX1242,'Gebinde-Kategorie'!$A$5:$N$45,5,0)+0,0))</f>
        <v>11</v>
      </c>
      <c r="CP1242" s="53" t="n">
        <f aca="false">IFERROR(IF(OR(CE1242=1,CE1242=2,CE1242=3),N(INDEX(Parameter!$I$5:$I$7,CE1242)),0),0)</f>
        <v>0</v>
      </c>
      <c r="CQ1242" s="52" t="n">
        <f aca="false">IF(AND(Parameter!$B$21="Ja",ISNUMBER(W1242),N(X1242)&gt;0),IFERROR(N(INDEX(Parameter!$L$5:$L$7,W1242))*INDEX(Parameter!$E$5:$E$7,W1242)*X1242/SUMIFS($X$7:$X$1843,$W$7:$W$1843,W1242),0),0)</f>
        <v>0</v>
      </c>
    </row>
    <row r="1243" customFormat="false" ht="15" hidden="false" customHeight="false" outlineLevel="0" collapsed="false">
      <c r="A1243" s="48" t="s">
        <v>2231</v>
      </c>
      <c r="B1243" s="48" t="s">
        <v>1060</v>
      </c>
      <c r="C1243" s="48" t="s">
        <v>173</v>
      </c>
      <c r="D1243" s="48" t="s">
        <v>193</v>
      </c>
      <c r="E1243" s="48"/>
      <c r="F1243" s="48" t="s">
        <v>227</v>
      </c>
      <c r="G1243" s="49" t="n">
        <v>16.2</v>
      </c>
      <c r="H1243" s="50" t="n">
        <f aca="false">MAX(0,IF(AND(Parameter!$B$21="Ja",ISNUMBER(Y1243)),Y1243,IF(Parameter!$B$20="Jahresanfang 2025 + Export",BR1243+BQ1243,BQ1243)))</f>
        <v>17</v>
      </c>
      <c r="I1243" s="50" t="n">
        <f aca="false">H1243*G1243</f>
        <v>275.4</v>
      </c>
      <c r="J1243" s="50" t="n">
        <f aca="false">BT1243*Parameter!$B$18</f>
        <v>2</v>
      </c>
      <c r="K1243" s="51" t="n">
        <v>59.5</v>
      </c>
      <c r="L1243" s="52" t="n">
        <v>0.0336134453781513</v>
      </c>
      <c r="M1243" s="50" t="n">
        <v>0</v>
      </c>
      <c r="N1243" s="50" t="n">
        <v>1</v>
      </c>
      <c r="O1243" s="53" t="n">
        <v>28</v>
      </c>
      <c r="P1243" s="48" t="s">
        <v>195</v>
      </c>
      <c r="Q1243" s="50" t="n">
        <v>40</v>
      </c>
      <c r="R1243" s="53" t="n">
        <f aca="false">IF(BZ1243=1,0,IFERROR(VLOOKUP(BX1243,'Gebinde-Kategorie'!$A$5:$N$45,13,0)+0,0))</f>
        <v>12</v>
      </c>
      <c r="S1243" s="54"/>
      <c r="T1243" s="55"/>
      <c r="U1243" s="55"/>
      <c r="V1243" s="55"/>
      <c r="W1243" s="48"/>
      <c r="X1243" s="50"/>
      <c r="Y1243" s="50"/>
      <c r="Z1243" s="48" t="n">
        <f aca="false">IF(A1243="","",IF(AND(Parameter!$B$21="Ja",ISNUMBER(W1243)),W1243,IF(CC1243="2+3",IF(ISNUMBER(SEARCH("grosser Artikel",BU1243)),2,IFERROR(VLOOKUP(BX1243,Parameter!$F$35:$G$64,2,0),2)),IF(OR(CC1243="Nein",CC1243=""),"-",CC1243))))</f>
        <v>2</v>
      </c>
      <c r="AA1243" s="55"/>
      <c r="AB1243" s="56"/>
      <c r="AC1243" s="50" t="n">
        <f aca="false">AV1243</f>
        <v>2</v>
      </c>
      <c r="AD1243" s="50" t="n">
        <f aca="false">MAX(AV1243,H1243)</f>
        <v>17</v>
      </c>
      <c r="AE1243" s="57"/>
      <c r="AF1243" s="50" t="n">
        <f aca="false">IF(LEFT(Cockpit!$C$5,1)="A",H1243,IF(Parameter!$E$30="MAX-Bestand",IF(CH1243=1,CI1243,IF(LEFT(Cockpit!$C$5,1)="B",AL1243,MAX(AL1243,H1243))),ROUNDUP(AJ1243,0)))</f>
        <v>17</v>
      </c>
      <c r="AG1243" s="50" t="n">
        <f aca="false">IF(BZ1243=1,0,ROUNDUP(AF1243/BY1243,0))</f>
        <v>1</v>
      </c>
      <c r="AH1243" s="52" t="n">
        <f aca="false">IF(CQ1243&gt;0,CQ1243*MAX(1,AF1243/X1243),IF(BZ1243=1,IF(AF1243&lt;=0,0,CD1243*MAX(1,IF(H1243&gt;0,AF1243/H1243,1))),IF(R1243&gt;0,AG1243/R1243,0))/MAX(0.1,N(Parameter!$M$21)))</f>
        <v>0.0833333333333333</v>
      </c>
      <c r="AI1243" s="50" t="n">
        <f aca="false">AH1243*CB1243</f>
        <v>12.0833333333333</v>
      </c>
      <c r="AJ1243" s="51" t="n">
        <f aca="false">IF(LEFT(Cockpit!$C$5,1)="A",H1243,IF(CH1243=1,(CK1243+CI1243)/2,IF(LEFT(Cockpit!$C$5,1)="B",(CK1243+AL1243)/2,MAX((CK1243+AL1243)/2,H1243))))</f>
        <v>17</v>
      </c>
      <c r="AK1243" s="50" t="n">
        <f aca="false">AJ1243*G1243</f>
        <v>275.4</v>
      </c>
      <c r="AL1243" s="50" t="n">
        <f aca="false">ROUNDUP(CK1243+MAX(CL1243,2*(J1243/IF(CG1243&gt;0,CG1243,MAX(0.1,N(Cockpit!$C$6)))-CK1243)),0)</f>
        <v>2</v>
      </c>
      <c r="AM1243" s="51" t="n">
        <f aca="false">IF(AI1243&gt;0,J1243/AI1243,-1)</f>
        <v>0.16551724137931</v>
      </c>
      <c r="AN1243" s="51" t="n">
        <f aca="false">IF(AND(OR(CF1243="L1",CF1243="L23",CF1243="LIFT"),AI1243&gt;0),SUMIFS($AI$7:$AI$1843,$CF$7:$CF$1843,CF1243,$AM$7:$AM$1843,"&gt;"&amp;AM1243)+SUMIFS($AI$7:$AI$1843,$CF$7:$CF$1843,CF1243,$AM$7:$AM$1843,AM1243,$BW$7:$BW$1843,"&lt;="&amp;BW1243),"")</f>
        <v>12841.6567977691</v>
      </c>
      <c r="AO1243" s="58" t="n">
        <f aca="false">IF(AN1243="",0,MAX(0,MIN(1,(IF(CF1243="L1",Parameter!$H$5,IF(CF1243="L23",Parameter!$H$6+Parameter!$H$7,Parameter!$H$5+Parameter!$H$6+Parameter!$H$7))-(AN1243-AI1243))/AI1243)))</f>
        <v>1</v>
      </c>
      <c r="AP1243" s="50" t="n">
        <f aca="false">IF(LEFT(Cockpit!$I$5,1)="A",H1243,IF(Parameter!$E$30="MAX-Bestand",IF(CH1243=1,CI1243,IF(LEFT(Cockpit!$I$5,1)="B",AV1243,MAX(AV1243,H1243))),ROUNDUP(AT1243,0)))</f>
        <v>17</v>
      </c>
      <c r="AQ1243" s="50" t="n">
        <f aca="false">IF(BZ1243=1,0,ROUNDUP(AP1243/BY1243,0))</f>
        <v>1</v>
      </c>
      <c r="AR1243" s="52" t="n">
        <f aca="false">IF(CQ1243&gt;0,CQ1243*MAX(1,AP1243/X1243),IF(BZ1243=1,IF(AP1243&lt;=0,0,CD1243*MAX(1,IF(H1243&gt;0,AP1243/H1243,1))),IF(R1243&gt;0,AQ1243/R1243,0))/MAX(0.1,N(Parameter!$M$21)))</f>
        <v>0.0833333333333333</v>
      </c>
      <c r="AS1243" s="50" t="n">
        <f aca="false">AR1243*CB1243</f>
        <v>12.0833333333333</v>
      </c>
      <c r="AT1243" s="51" t="n">
        <f aca="false">IF(LEFT(Cockpit!$I$5,1)="A",H1243,IF(CH1243=1,(CK1243+CI1243)/2,IF(LEFT(Cockpit!$I$5,1)="B",(CK1243+AV1243)/2,MAX((CK1243+AV1243)/2,H1243))))</f>
        <v>17</v>
      </c>
      <c r="AU1243" s="50" t="n">
        <f aca="false">AT1243*G1243</f>
        <v>275.4</v>
      </c>
      <c r="AV1243" s="50" t="n">
        <f aca="false">ROUNDUP(CK1243+MAX(CL1243,2*(J1243/IF(CG1243&gt;0,CG1243,MAX(0.1,N(Cockpit!$I$6)))-CK1243)),0)</f>
        <v>2</v>
      </c>
      <c r="AW1243" s="51" t="n">
        <f aca="false">IF(AS1243&gt;0,J1243/AS1243,-1)</f>
        <v>0.16551724137931</v>
      </c>
      <c r="AX1243" s="51" t="n">
        <f aca="false">IF(AND(OR(CF1243="L1",CF1243="L23",CF1243="LIFT"),AS1243&gt;0),SUMIFS($AS$7:$AS$1843,$CF$7:$CF$1843,CF1243,$AW$7:$AW$1843,"&gt;"&amp;AW1243)+SUMIFS($AS$7:$AS$1843,$CF$7:$CF$1843,CF1243,$AW$7:$AW$1843,AW1243,$BW$7:$BW$1843,"&lt;="&amp;BW1243),"")</f>
        <v>15782.4207875458</v>
      </c>
      <c r="AY1243" s="58" t="n">
        <f aca="false">IF(AX1243="",0,MAX(0,MIN(1,(IF(CF1243="L1",Parameter!$H$5,IF(CF1243="L23",Parameter!$H$6+Parameter!$H$7,Parameter!$H$5+Parameter!$H$6+Parameter!$H$7))-(AX1243-AS1243))/AS1243)))</f>
        <v>1</v>
      </c>
      <c r="AZ1243" s="50" t="n">
        <f aca="false">IF(LEFT(Cockpit!$O$5,1)="A",H1243,IF(Parameter!$E$30="MAX-Bestand",IF(CH1243=1,CI1243,IF(LEFT(Cockpit!$O$5,1)="B",BF1243,MAX(BF1243,H1243))),ROUNDUP(BD1243,0)))</f>
        <v>1</v>
      </c>
      <c r="BA1243" s="50" t="n">
        <f aca="false">IF(BZ1243=1,0,ROUNDUP(AZ1243/BY1243,0))</f>
        <v>1</v>
      </c>
      <c r="BB1243" s="52" t="n">
        <f aca="false">IF(CQ1243&gt;0,CQ1243*MAX(1,AZ1243/X1243),IF(BZ1243=1,IF(AZ1243&lt;=0,0,CD1243*MAX(1,IF(H1243&gt;0,AZ1243/H1243,1))),IF(R1243&gt;0,BA1243/R1243,0))/MAX(0.1,N(Parameter!$M$21)))</f>
        <v>0.0833333333333333</v>
      </c>
      <c r="BC1243" s="50" t="n">
        <f aca="false">BB1243*CB1243</f>
        <v>12.0833333333333</v>
      </c>
      <c r="BD1243" s="51" t="n">
        <f aca="false">IF(LEFT(Cockpit!$O$5,1)="A",H1243,IF(CH1243=1,(CK1243+CI1243)/2,IF(LEFT(Cockpit!$O$5,1)="B",(CK1243+BF1243)/2,MAX((CK1243+BF1243)/2,H1243))))</f>
        <v>0.5</v>
      </c>
      <c r="BE1243" s="50" t="n">
        <f aca="false">BD1243*G1243</f>
        <v>8.1</v>
      </c>
      <c r="BF1243" s="50" t="n">
        <f aca="false">ROUNDUP(CK1243+MAX(CL1243,2*(J1243/IF(CG1243&gt;0,CG1243,MAX(0.1,N(Cockpit!$O$6)))-CK1243)),0)</f>
        <v>1</v>
      </c>
      <c r="BG1243" s="51" t="n">
        <f aca="false">IF(BC1243&gt;0,J1243/BC1243,-1)</f>
        <v>0.16551724137931</v>
      </c>
      <c r="BH1243" s="51" t="n">
        <f aca="false">IF(AND(OR(CF1243="L1",CF1243="L23",CF1243="LIFT"),BC1243&gt;0),SUMIFS($BC$7:$BC$1843,$CF$7:$CF$1843,CF1243,$BG$7:$BG$1843,"&gt;"&amp;BG1243)+SUMIFS($BC$7:$BC$1843,$CF$7:$CF$1843,CF1243,$BG$7:$BG$1843,BG1243,$BW$7:$BW$1843,"&lt;="&amp;BW1243),"")</f>
        <v>13608.8872824445</v>
      </c>
      <c r="BI1243" s="58" t="n">
        <f aca="false">IF(BH1243="",0,MAX(0,MIN(1,(IF(CF1243="L1",Parameter!$H$5,IF(CF1243="L23",Parameter!$H$6+Parameter!$H$7,Parameter!$H$5+Parameter!$H$6+Parameter!$H$7))-(BH1243-BC1243))/BC1243)))</f>
        <v>1</v>
      </c>
      <c r="BJ1243" s="48" t="str">
        <f aca="false">IF(AI1243&lt;=0,"",IF(CF1243="Aussen","Aussenlager",IF(CF1243="-","Nicht im Lift",IF(AO1243&gt;=1,"Lift",IF(AO1243&lt;=0,"Aussenlager","teilweise")))))</f>
        <v>Lift</v>
      </c>
      <c r="BK1243" s="48" t="str">
        <f aca="false">IF(AS1243&lt;=0,"",IF(CF1243="Aussen","Aussenlager",IF(CF1243="-","Nicht im Lift",IF(AY1243&gt;=1,"Lift",IF(AY1243&lt;=0,"Aussenlager","teilweise")))))</f>
        <v>Lift</v>
      </c>
      <c r="BL1243" s="48" t="str">
        <f aca="false">IF(BC1243&lt;=0,"",IF(CF1243="Aussen","Aussenlager",IF(CF1243="-","Nicht im Lift",IF(BI1243&gt;=1,"Lift",IF(BI1243&lt;=0,"Aussenlager","teilweise")))))</f>
        <v>Lift</v>
      </c>
      <c r="BM1243" s="48" t="str">
        <f aca="false">IF(A1243="","",IF(BV1243=1,"Neu; ","")&amp;IF(AND(BV1243=0,BQ1243&lt;0),"negativer Bestand (Export "&amp;BQ1243&amp;"); ","")&amp;IF(J1243&lt;=0,"Kein Verbrauch; ","")&amp;IF(CQ1243&gt;0,"Lift "&amp;W1243&amp;" lt. Liftbericht (Fach "&amp;X1243&amp;" Stk); ",IF(CA1243=1,"Gebinde geschätzt ("&amp;T1243&amp;"); ",IF(BZ1243=1,"Lose – Tablare geschätzt; ","")))&amp;IF(H1243&gt;AV1243,"Überbestand "&amp;ROUND(H1243-AV1243,0)&amp;" Stk / CHF "&amp;ROUND((H1243-AV1243)*G1243,0)&amp;"; ","")&amp;IF(AND(CH1243=1,CI1243&lt;CJ1243),"MAX &lt; MB+LG; ","")&amp;IF(AND(CP1243&gt;0,CO1243*10&gt;CP1243),"zu hoch für Tablar; ","")&amp;IF(AND(BV1243=0,OR(CH1243=1,AA1243&lt;&gt;"",U1243&lt;&gt;"",V1243&lt;&gt;"",AB1243&lt;&gt;"")),"manuell übersteuert; ","")&amp;IF(AND(BZ1243=0,R1243=0),"Gebinde unbekannt / Stellmass fehlt; ","")&amp;IF(AND(BZ1243=0,N(V1243)&lt;=0,N(Q1243)&lt;=0),"Menge pro Gebinde fehlt (Ist = 1 Gebinde); ","")&amp;BU1243)</f>
        <v>negativer Bestand (Export -44); Überbestand 15 Stk / CHF 243; </v>
      </c>
      <c r="BN1243" s="48"/>
      <c r="BO1243" s="48"/>
      <c r="BP1243" s="55"/>
      <c r="BQ1243" s="50" t="n">
        <v>-44</v>
      </c>
      <c r="BR1243" s="50" t="n">
        <v>61</v>
      </c>
      <c r="BS1243" s="49" t="n">
        <v>-712.8</v>
      </c>
      <c r="BT1243" s="50" t="n">
        <v>2</v>
      </c>
      <c r="BU1243" s="48"/>
      <c r="BV1243" s="53" t="n">
        <v>0</v>
      </c>
      <c r="BW1243" s="53" t="n">
        <v>1243</v>
      </c>
      <c r="BX1243" s="48" t="str">
        <f aca="false">IF(U1243&lt;&gt;"",UPPER(TRIM(U1243)),IF(CA1243=1,UPPER(VLOOKUP(T1243,Parameter!$I$27:$K$29,2,0)),IF(P1243="","LOSE",P1243)))</f>
        <v>S61</v>
      </c>
      <c r="BY1243" s="50" t="n">
        <f aca="false">IF(BX1243="LOSE",1,IF(N(V1243)&gt;0,V1243,IF(CA1243=1,MAX(1,N(VLOOKUP(T1243,Parameter!$I$27:$K$29,3,0)),H1243,N(N1243)),IF(N(Q1243)&gt;0,Q1243,MAX(1,H1243)))))</f>
        <v>40</v>
      </c>
      <c r="BZ1243" s="53" t="n">
        <f aca="false">IF(BX1243="LOSE",1,0)</f>
        <v>0</v>
      </c>
      <c r="CA1243" s="53" t="n">
        <f aca="false">IF(AND(U1243="",OR(P1243="",P1243="LOSE"),T1243&lt;&gt;"",N(S1243)&lt;=0,ISNUMBER(MATCH(T1243,Parameter!$I$27:$I$29,0))),1,0)</f>
        <v>0</v>
      </c>
      <c r="CB1243" s="53" t="n">
        <f aca="false">IF(CQ1243&gt;0,INDEX(Parameter!$H$5:$H$7,W1243)/INDEX(Parameter!$E$5:$E$7,W1243),IF(AND(BZ1243=0,N(IFERROR(VLOOKUP(BX1243,'Gebinde-Kategorie'!$A$5:$N$45,14,0),0))&gt;0),VLOOKUP(BX1243,'Gebinde-Kategorie'!$A$5:$N$45,14,0)*10+Parameter!$M$23,Parameter!$M$24))</f>
        <v>145</v>
      </c>
      <c r="CC1243" s="48" t="str">
        <f aca="false">IF(AND(Parameter!$B$19="Ja",E1243&lt;&gt;"",ISNUMBER(MATCH(E1243,Parameter!$I$35:$I$52,0))),VLOOKUP(E1243,Parameter!$I$35:$J$52,2,0),IFERROR(VLOOKUP(D1243,Parameter!$A$35:$C$64,2,0),"Nein"))</f>
        <v>2+3</v>
      </c>
      <c r="CD1243" s="52" t="n">
        <f aca="false">IF(BZ1243=0,0,IF(N(S1243)&gt;0,S1243,IFERROR(VLOOKUP(D1243,Parameter!$A$35:$C$64,3,0)+0,0)))</f>
        <v>0</v>
      </c>
      <c r="CE1243" s="48" t="n">
        <f aca="false">IF(AA1243&lt;&gt;"",AA1243,Z1243)</f>
        <v>2</v>
      </c>
      <c r="CF1243" s="48" t="str">
        <f aca="false">IF(OR(CE1243=1,CE1243=2,CE1243=3),IF(Parameter!$E$27="Ja","LIFT",IF(CE1243=1,"L1","L23")),IF(CE1243="Aussen","Aussen","-"))</f>
        <v>LIFT</v>
      </c>
      <c r="CG1243" s="59" t="n">
        <f aca="false">IF(N(AB1243)&gt;0,AB1243,0)</f>
        <v>0</v>
      </c>
      <c r="CH1243" s="53" t="n">
        <f aca="false">IF(ISNUMBER(AE1243),1,0)</f>
        <v>0</v>
      </c>
      <c r="CI1243" s="50" t="n">
        <f aca="false">N(AE1243)</f>
        <v>0</v>
      </c>
      <c r="CJ1243" s="50" t="n">
        <f aca="false">N(M1243)+N(N1243)</f>
        <v>1</v>
      </c>
      <c r="CK1243" s="50" t="n">
        <f aca="false">N(M1243)</f>
        <v>0</v>
      </c>
      <c r="CL1243" s="50" t="n">
        <f aca="false">N(N1243)</f>
        <v>1</v>
      </c>
      <c r="CM1243" s="50" t="n">
        <f aca="false">ROUNDUP(H1243/BY1243,0)</f>
        <v>1</v>
      </c>
      <c r="CN1243" s="50" t="n">
        <f aca="false">ROUNDUP(CI1243/BY1243,0)</f>
        <v>0</v>
      </c>
      <c r="CO1243" s="53" t="n">
        <f aca="false">IF(BZ1243=1,0,IFERROR(VLOOKUP(BX1243,'Gebinde-Kategorie'!$A$5:$N$45,5,0)+0,0))</f>
        <v>11</v>
      </c>
      <c r="CP1243" s="53" t="n">
        <f aca="false">IFERROR(IF(OR(CE1243=1,CE1243=2,CE1243=3),N(INDEX(Parameter!$I$5:$I$7,CE1243)),0),0)</f>
        <v>0</v>
      </c>
      <c r="CQ1243" s="52" t="n">
        <f aca="false">IF(AND(Parameter!$B$21="Ja",ISNUMBER(W1243),N(X1243)&gt;0),IFERROR(N(INDEX(Parameter!$L$5:$L$7,W1243))*INDEX(Parameter!$E$5:$E$7,W1243)*X1243/SUMIFS($X$7:$X$1843,$W$7:$W$1843,W1243),0),0)</f>
        <v>0</v>
      </c>
    </row>
    <row r="1244" customFormat="false" ht="15" hidden="false" customHeight="false" outlineLevel="0" collapsed="false">
      <c r="A1244" s="48" t="s">
        <v>2232</v>
      </c>
      <c r="B1244" s="48" t="s">
        <v>2233</v>
      </c>
      <c r="C1244" s="48" t="s">
        <v>173</v>
      </c>
      <c r="D1244" s="48" t="s">
        <v>193</v>
      </c>
      <c r="E1244" s="48"/>
      <c r="F1244" s="48" t="s">
        <v>227</v>
      </c>
      <c r="G1244" s="49" t="n">
        <v>79.39</v>
      </c>
      <c r="H1244" s="50" t="n">
        <f aca="false">MAX(0,IF(AND(Parameter!$B$21="Ja",ISNUMBER(Y1244)),Y1244,IF(Parameter!$B$20="Jahresanfang 2025 + Export",BR1244+BQ1244,BQ1244)))</f>
        <v>0</v>
      </c>
      <c r="I1244" s="50" t="n">
        <f aca="false">H1244*G1244</f>
        <v>0</v>
      </c>
      <c r="J1244" s="50" t="n">
        <f aca="false">BT1244*Parameter!$B$18</f>
        <v>3</v>
      </c>
      <c r="K1244" s="51" t="n">
        <v>6.5</v>
      </c>
      <c r="L1244" s="52" t="n">
        <v>0.461538461538462</v>
      </c>
      <c r="M1244" s="50" t="n">
        <v>0</v>
      </c>
      <c r="N1244" s="50" t="n">
        <v>5</v>
      </c>
      <c r="O1244" s="53" t="n">
        <v>35</v>
      </c>
      <c r="P1244" s="48" t="s">
        <v>177</v>
      </c>
      <c r="Q1244" s="50"/>
      <c r="R1244" s="53" t="n">
        <f aca="false">IF(BZ1244=1,0,IFERROR(VLOOKUP(BX1244,'Gebinde-Kategorie'!$A$5:$N$45,13,0)+0,0))</f>
        <v>26</v>
      </c>
      <c r="S1244" s="54"/>
      <c r="T1244" s="55" t="s">
        <v>284</v>
      </c>
      <c r="U1244" s="55"/>
      <c r="V1244" s="55"/>
      <c r="W1244" s="48"/>
      <c r="X1244" s="50"/>
      <c r="Y1244" s="50"/>
      <c r="Z1244" s="48" t="n">
        <f aca="false">IF(A1244="","",IF(AND(Parameter!$B$21="Ja",ISNUMBER(W1244)),W1244,IF(CC1244="2+3",IF(ISNUMBER(SEARCH("grosser Artikel",BU1244)),2,IFERROR(VLOOKUP(BX1244,Parameter!$F$35:$G$64,2,0),2)),IF(OR(CC1244="Nein",CC1244=""),"-",CC1244))))</f>
        <v>3</v>
      </c>
      <c r="AA1244" s="55"/>
      <c r="AB1244" s="56"/>
      <c r="AC1244" s="50" t="n">
        <f aca="false">AV1244</f>
        <v>5</v>
      </c>
      <c r="AD1244" s="50" t="n">
        <f aca="false">MAX(AV1244,H1244)</f>
        <v>5</v>
      </c>
      <c r="AE1244" s="57"/>
      <c r="AF1244" s="50" t="n">
        <f aca="false">IF(LEFT(Cockpit!$C$5,1)="A",H1244,IF(Parameter!$E$30="MAX-Bestand",IF(CH1244=1,CI1244,IF(LEFT(Cockpit!$C$5,1)="B",AL1244,MAX(AL1244,H1244))),ROUNDUP(AJ1244,0)))</f>
        <v>0</v>
      </c>
      <c r="AG1244" s="50" t="n">
        <f aca="false">IF(BZ1244=1,0,ROUNDUP(AF1244/BY1244,0))</f>
        <v>0</v>
      </c>
      <c r="AH1244" s="52" t="n">
        <f aca="false">IF(CQ1244&gt;0,CQ1244*MAX(1,AF1244/X1244),IF(BZ1244=1,IF(AF1244&lt;=0,0,CD1244*MAX(1,IF(H1244&gt;0,AF1244/H1244,1))),IF(R1244&gt;0,AG1244/R1244,0))/MAX(0.1,N(Parameter!$M$21)))</f>
        <v>0</v>
      </c>
      <c r="AI1244" s="50" t="n">
        <f aca="false">AH1244*CB1244</f>
        <v>0</v>
      </c>
      <c r="AJ1244" s="51" t="n">
        <f aca="false">IF(LEFT(Cockpit!$C$5,1)="A",H1244,IF(CH1244=1,(CK1244+CI1244)/2,IF(LEFT(Cockpit!$C$5,1)="B",(CK1244+AL1244)/2,MAX((CK1244+AL1244)/2,H1244))))</f>
        <v>0</v>
      </c>
      <c r="AK1244" s="50" t="n">
        <f aca="false">AJ1244*G1244</f>
        <v>0</v>
      </c>
      <c r="AL1244" s="50" t="n">
        <f aca="false">ROUNDUP(CK1244+MAX(CL1244,2*(J1244/IF(CG1244&gt;0,CG1244,MAX(0.1,N(Cockpit!$C$6)))-CK1244)),0)</f>
        <v>5</v>
      </c>
      <c r="AM1244" s="51" t="n">
        <f aca="false">IF(AI1244&gt;0,J1244/AI1244,-1)</f>
        <v>-1</v>
      </c>
      <c r="AN1244" s="51" t="str">
        <f aca="false">IF(AND(OR(CF1244="L1",CF1244="L23",CF1244="LIFT"),AI1244&gt;0),SUMIFS($AI$7:$AI$1843,$CF$7:$CF$1843,CF1244,$AM$7:$AM$1843,"&gt;"&amp;AM1244)+SUMIFS($AI$7:$AI$1843,$CF$7:$CF$1843,CF1244,$AM$7:$AM$1843,AM1244,$BW$7:$BW$1843,"&lt;="&amp;BW1244),"")</f>
        <v/>
      </c>
      <c r="AO1244" s="58" t="n">
        <f aca="false">IF(AN1244="",0,MAX(0,MIN(1,(IF(CF1244="L1",Parameter!$H$5,IF(CF1244="L23",Parameter!$H$6+Parameter!$H$7,Parameter!$H$5+Parameter!$H$6+Parameter!$H$7))-(AN1244-AI1244))/AI1244)))</f>
        <v>0</v>
      </c>
      <c r="AP1244" s="50" t="n">
        <f aca="false">IF(LEFT(Cockpit!$I$5,1)="A",H1244,IF(Parameter!$E$30="MAX-Bestand",IF(CH1244=1,CI1244,IF(LEFT(Cockpit!$I$5,1)="B",AV1244,MAX(AV1244,H1244))),ROUNDUP(AT1244,0)))</f>
        <v>3</v>
      </c>
      <c r="AQ1244" s="50" t="n">
        <f aca="false">IF(BZ1244=1,0,ROUNDUP(AP1244/BY1244,0))</f>
        <v>1</v>
      </c>
      <c r="AR1244" s="52" t="n">
        <f aca="false">IF(CQ1244&gt;0,CQ1244*MAX(1,AP1244/X1244),IF(BZ1244=1,IF(AP1244&lt;=0,0,CD1244*MAX(1,IF(H1244&gt;0,AP1244/H1244,1))),IF(R1244&gt;0,AQ1244/R1244,0))/MAX(0.1,N(Parameter!$M$21)))</f>
        <v>0.0384615384615385</v>
      </c>
      <c r="AS1244" s="50" t="n">
        <f aca="false">AR1244*CB1244</f>
        <v>5.96153846153846</v>
      </c>
      <c r="AT1244" s="51" t="n">
        <f aca="false">IF(LEFT(Cockpit!$I$5,1)="A",H1244,IF(CH1244=1,(CK1244+CI1244)/2,IF(LEFT(Cockpit!$I$5,1)="B",(CK1244+AV1244)/2,MAX((CK1244+AV1244)/2,H1244))))</f>
        <v>2.5</v>
      </c>
      <c r="AU1244" s="50" t="n">
        <f aca="false">AT1244*G1244</f>
        <v>198.475</v>
      </c>
      <c r="AV1244" s="50" t="n">
        <f aca="false">ROUNDUP(CK1244+MAX(CL1244,2*(J1244/IF(CG1244&gt;0,CG1244,MAX(0.1,N(Cockpit!$I$6)))-CK1244)),0)</f>
        <v>5</v>
      </c>
      <c r="AW1244" s="51" t="n">
        <f aca="false">IF(AS1244&gt;0,J1244/AS1244,-1)</f>
        <v>0.503225806451613</v>
      </c>
      <c r="AX1244" s="51" t="n">
        <f aca="false">IF(AND(OR(CF1244="L1",CF1244="L23",CF1244="LIFT"),AS1244&gt;0),SUMIFS($AS$7:$AS$1843,$CF$7:$CF$1843,CF1244,$AW$7:$AW$1843,"&gt;"&amp;AW1244)+SUMIFS($AS$7:$AS$1843,$CF$7:$CF$1843,CF1244,$AW$7:$AW$1843,AW1244,$BW$7:$BW$1843,"&lt;="&amp;BW1244),"")</f>
        <v>11987.923992674</v>
      </c>
      <c r="AY1244" s="58" t="n">
        <f aca="false">IF(AX1244="",0,MAX(0,MIN(1,(IF(CF1244="L1",Parameter!$H$5,IF(CF1244="L23",Parameter!$H$6+Parameter!$H$7,Parameter!$H$5+Parameter!$H$6+Parameter!$H$7))-(AX1244-AS1244))/AS1244)))</f>
        <v>1</v>
      </c>
      <c r="AZ1244" s="50" t="n">
        <f aca="false">IF(LEFT(Cockpit!$O$5,1)="A",H1244,IF(Parameter!$E$30="MAX-Bestand",IF(CH1244=1,CI1244,IF(LEFT(Cockpit!$O$5,1)="B",BF1244,MAX(BF1244,H1244))),ROUNDUP(BD1244,0)))</f>
        <v>3</v>
      </c>
      <c r="BA1244" s="50" t="n">
        <f aca="false">IF(BZ1244=1,0,ROUNDUP(AZ1244/BY1244,0))</f>
        <v>1</v>
      </c>
      <c r="BB1244" s="52" t="n">
        <f aca="false">IF(CQ1244&gt;0,CQ1244*MAX(1,AZ1244/X1244),IF(BZ1244=1,IF(AZ1244&lt;=0,0,CD1244*MAX(1,IF(H1244&gt;0,AZ1244/H1244,1))),IF(R1244&gt;0,BA1244/R1244,0))/MAX(0.1,N(Parameter!$M$21)))</f>
        <v>0.0384615384615385</v>
      </c>
      <c r="BC1244" s="50" t="n">
        <f aca="false">BB1244*CB1244</f>
        <v>5.96153846153846</v>
      </c>
      <c r="BD1244" s="51" t="n">
        <f aca="false">IF(LEFT(Cockpit!$O$5,1)="A",H1244,IF(CH1244=1,(CK1244+CI1244)/2,IF(LEFT(Cockpit!$O$5,1)="B",(CK1244+BF1244)/2,MAX((CK1244+BF1244)/2,H1244))))</f>
        <v>2.5</v>
      </c>
      <c r="BE1244" s="50" t="n">
        <f aca="false">BD1244*G1244</f>
        <v>198.475</v>
      </c>
      <c r="BF1244" s="50" t="n">
        <f aca="false">ROUNDUP(CK1244+MAX(CL1244,2*(J1244/IF(CG1244&gt;0,CG1244,MAX(0.1,N(Cockpit!$O$6)))-CK1244)),0)</f>
        <v>5</v>
      </c>
      <c r="BG1244" s="51" t="n">
        <f aca="false">IF(BC1244&gt;0,J1244/BC1244,-1)</f>
        <v>0.503225806451613</v>
      </c>
      <c r="BH1244" s="51" t="n">
        <f aca="false">IF(AND(OR(CF1244="L1",CF1244="L23",CF1244="LIFT"),BC1244&gt;0),SUMIFS($BC$7:$BC$1843,$CF$7:$CF$1843,CF1244,$BG$7:$BG$1843,"&gt;"&amp;BG1244)+SUMIFS($BC$7:$BC$1843,$CF$7:$CF$1843,CF1244,$BG$7:$BG$1843,BG1244,$BW$7:$BW$1843,"&lt;="&amp;BW1244),"")</f>
        <v>10351.3402014652</v>
      </c>
      <c r="BI1244" s="58" t="n">
        <f aca="false">IF(BH1244="",0,MAX(0,MIN(1,(IF(CF1244="L1",Parameter!$H$5,IF(CF1244="L23",Parameter!$H$6+Parameter!$H$7,Parameter!$H$5+Parameter!$H$6+Parameter!$H$7))-(BH1244-BC1244))/BC1244)))</f>
        <v>1</v>
      </c>
      <c r="BJ1244" s="48" t="str">
        <f aca="false">IF(AI1244&lt;=0,"",IF(CF1244="Aussen","Aussenlager",IF(CF1244="-","Nicht im Lift",IF(AO1244&gt;=1,"Lift",IF(AO1244&lt;=0,"Aussenlager","teilweise")))))</f>
        <v/>
      </c>
      <c r="BK1244" s="48" t="str">
        <f aca="false">IF(AS1244&lt;=0,"",IF(CF1244="Aussen","Aussenlager",IF(CF1244="-","Nicht im Lift",IF(AY1244&gt;=1,"Lift",IF(AY1244&lt;=0,"Aussenlager","teilweise")))))</f>
        <v>Lift</v>
      </c>
      <c r="BL1244" s="48" t="str">
        <f aca="false">IF(BC1244&lt;=0,"",IF(CF1244="Aussen","Aussenlager",IF(CF1244="-","Nicht im Lift",IF(BI1244&gt;=1,"Lift",IF(BI1244&lt;=0,"Aussenlager","teilweise")))))</f>
        <v>Lift</v>
      </c>
      <c r="BM1244" s="48" t="str">
        <f aca="false">IF(A1244="","",IF(BV1244=1,"Neu; ","")&amp;IF(AND(BV1244=0,BQ1244&lt;0),"negativer Bestand (Export "&amp;BQ1244&amp;"); ","")&amp;IF(J1244&lt;=0,"Kein Verbrauch; ","")&amp;IF(CQ1244&gt;0,"Lift "&amp;W1244&amp;" lt. Liftbericht (Fach "&amp;X1244&amp;" Stk); ",IF(CA1244=1,"Gebinde geschätzt ("&amp;T1244&amp;"); ",IF(BZ1244=1,"Lose – Tablare geschätzt; ","")))&amp;IF(H1244&gt;AV1244,"Überbestand "&amp;ROUND(H1244-AV1244,0)&amp;" Stk / CHF "&amp;ROUND((H1244-AV1244)*G1244,0)&amp;"; ","")&amp;IF(AND(CH1244=1,CI1244&lt;CJ1244),"MAX &lt; MB+LG; ","")&amp;IF(AND(CP1244&gt;0,CO1244*10&gt;CP1244),"zu hoch für Tablar; ","")&amp;IF(AND(BV1244=0,OR(CH1244=1,AA1244&lt;&gt;"",U1244&lt;&gt;"",V1244&lt;&gt;"",AB1244&lt;&gt;"")),"manuell übersteuert; ","")&amp;IF(AND(BZ1244=0,R1244=0),"Gebinde unbekannt / Stellmass fehlt; ","")&amp;IF(AND(BZ1244=0,N(V1244)&lt;=0,N(Q1244)&lt;=0),"Menge pro Gebinde fehlt (Ist = 1 Gebinde); ","")&amp;BU1244)</f>
        <v>negativer Bestand (Export -9); Gebinde geschätzt (Klein); Menge pro Gebinde fehlt (Ist = 1 Gebinde); </v>
      </c>
      <c r="BN1244" s="48"/>
      <c r="BO1244" s="48"/>
      <c r="BP1244" s="55"/>
      <c r="BQ1244" s="50" t="n">
        <v>-9</v>
      </c>
      <c r="BR1244" s="50" t="n">
        <v>9</v>
      </c>
      <c r="BS1244" s="49" t="n">
        <v>-714.51</v>
      </c>
      <c r="BT1244" s="50" t="n">
        <v>3</v>
      </c>
      <c r="BU1244" s="48"/>
      <c r="BV1244" s="53" t="n">
        <v>0</v>
      </c>
      <c r="BW1244" s="53" t="n">
        <v>1244</v>
      </c>
      <c r="BX1244" s="48" t="str">
        <f aca="false">IF(U1244&lt;&gt;"",UPPER(TRIM(U1244)),IF(CA1244=1,UPPER(VLOOKUP(T1244,Parameter!$I$27:$K$29,2,0)),IF(P1244="","LOSE",P1244)))</f>
        <v>S51</v>
      </c>
      <c r="BY1244" s="50" t="n">
        <f aca="false">IF(BX1244="LOSE",1,IF(N(V1244)&gt;0,V1244,IF(CA1244=1,MAX(1,N(VLOOKUP(T1244,Parameter!$I$27:$K$29,3,0)),H1244,N(N1244)),IF(N(Q1244)&gt;0,Q1244,MAX(1,H1244)))))</f>
        <v>20</v>
      </c>
      <c r="BZ1244" s="53" t="n">
        <f aca="false">IF(BX1244="LOSE",1,0)</f>
        <v>0</v>
      </c>
      <c r="CA1244" s="53" t="n">
        <f aca="false">IF(AND(U1244="",OR(P1244="",P1244="LOSE"),T1244&lt;&gt;"",N(S1244)&lt;=0,ISNUMBER(MATCH(T1244,Parameter!$I$27:$I$29,0))),1,0)</f>
        <v>1</v>
      </c>
      <c r="CB1244" s="53" t="n">
        <f aca="false">IF(CQ1244&gt;0,INDEX(Parameter!$H$5:$H$7,W1244)/INDEX(Parameter!$E$5:$E$7,W1244),IF(AND(BZ1244=0,N(IFERROR(VLOOKUP(BX1244,'Gebinde-Kategorie'!$A$5:$N$45,14,0),0))&gt;0),VLOOKUP(BX1244,'Gebinde-Kategorie'!$A$5:$N$45,14,0)*10+Parameter!$M$23,Parameter!$M$24))</f>
        <v>155</v>
      </c>
      <c r="CC1244" s="48" t="str">
        <f aca="false">IF(AND(Parameter!$B$19="Ja",E1244&lt;&gt;"",ISNUMBER(MATCH(E1244,Parameter!$I$35:$I$52,0))),VLOOKUP(E1244,Parameter!$I$35:$J$52,2,0),IFERROR(VLOOKUP(D1244,Parameter!$A$35:$C$64,2,0),"Nein"))</f>
        <v>2+3</v>
      </c>
      <c r="CD1244" s="52" t="n">
        <f aca="false">IF(BZ1244=0,0,IF(N(S1244)&gt;0,S1244,IFERROR(VLOOKUP(D1244,Parameter!$A$35:$C$64,3,0)+0,0)))</f>
        <v>0</v>
      </c>
      <c r="CE1244" s="48" t="n">
        <f aca="false">IF(AA1244&lt;&gt;"",AA1244,Z1244)</f>
        <v>3</v>
      </c>
      <c r="CF1244" s="48" t="str">
        <f aca="false">IF(OR(CE1244=1,CE1244=2,CE1244=3),IF(Parameter!$E$27="Ja","LIFT",IF(CE1244=1,"L1","L23")),IF(CE1244="Aussen","Aussen","-"))</f>
        <v>LIFT</v>
      </c>
      <c r="CG1244" s="59" t="n">
        <f aca="false">IF(N(AB1244)&gt;0,AB1244,0)</f>
        <v>0</v>
      </c>
      <c r="CH1244" s="53" t="n">
        <f aca="false">IF(ISNUMBER(AE1244),1,0)</f>
        <v>0</v>
      </c>
      <c r="CI1244" s="50" t="n">
        <f aca="false">N(AE1244)</f>
        <v>0</v>
      </c>
      <c r="CJ1244" s="50" t="n">
        <f aca="false">N(M1244)+N(N1244)</f>
        <v>5</v>
      </c>
      <c r="CK1244" s="50" t="n">
        <f aca="false">N(M1244)</f>
        <v>0</v>
      </c>
      <c r="CL1244" s="50" t="n">
        <f aca="false">N(N1244)</f>
        <v>5</v>
      </c>
      <c r="CM1244" s="50" t="n">
        <f aca="false">ROUNDUP(H1244/BY1244,0)</f>
        <v>0</v>
      </c>
      <c r="CN1244" s="50" t="n">
        <f aca="false">ROUNDUP(CI1244/BY1244,0)</f>
        <v>0</v>
      </c>
      <c r="CO1244" s="53" t="n">
        <f aca="false">IF(BZ1244=1,0,IFERROR(VLOOKUP(BX1244,'Gebinde-Kategorie'!$A$5:$N$45,5,0)+0,0))</f>
        <v>11</v>
      </c>
      <c r="CP1244" s="53" t="n">
        <f aca="false">IFERROR(IF(OR(CE1244=1,CE1244=2,CE1244=3),N(INDEX(Parameter!$I$5:$I$7,CE1244)),0),0)</f>
        <v>0</v>
      </c>
      <c r="CQ1244" s="52" t="n">
        <f aca="false">IF(AND(Parameter!$B$21="Ja",ISNUMBER(W1244),N(X1244)&gt;0),IFERROR(N(INDEX(Parameter!$L$5:$L$7,W1244))*INDEX(Parameter!$E$5:$E$7,W1244)*X1244/SUMIFS($X$7:$X$1843,$W$7:$W$1843,W1244),0),0)</f>
        <v>0</v>
      </c>
    </row>
    <row r="1245" customFormat="false" ht="15" hidden="false" customHeight="false" outlineLevel="0" collapsed="false">
      <c r="A1245" s="48" t="s">
        <v>2234</v>
      </c>
      <c r="B1245" s="48" t="s">
        <v>2235</v>
      </c>
      <c r="C1245" s="48" t="s">
        <v>173</v>
      </c>
      <c r="D1245" s="48" t="s">
        <v>193</v>
      </c>
      <c r="E1245" s="48" t="s">
        <v>194</v>
      </c>
      <c r="F1245" s="48" t="s">
        <v>227</v>
      </c>
      <c r="G1245" s="49" t="n">
        <v>51.08</v>
      </c>
      <c r="H1245" s="50" t="n">
        <f aca="false">MAX(0,IF(AND(Parameter!$B$21="Ja",ISNUMBER(Y1245)),Y1245,IF(Parameter!$B$20="Jahresanfang 2025 + Export",BR1245+BQ1245,BQ1245)))</f>
        <v>53</v>
      </c>
      <c r="I1245" s="50" t="n">
        <f aca="false">H1245*G1245</f>
        <v>2707.24</v>
      </c>
      <c r="J1245" s="50" t="n">
        <f aca="false">BT1245*Parameter!$B$18</f>
        <v>5</v>
      </c>
      <c r="K1245" s="51" t="n">
        <v>63.5</v>
      </c>
      <c r="L1245" s="52" t="n">
        <v>0.078740157480315</v>
      </c>
      <c r="M1245" s="50" t="n">
        <v>0</v>
      </c>
      <c r="N1245" s="50" t="n">
        <v>5</v>
      </c>
      <c r="O1245" s="53" t="n">
        <v>21</v>
      </c>
      <c r="P1245" s="48" t="s">
        <v>235</v>
      </c>
      <c r="Q1245" s="50" t="n">
        <v>71</v>
      </c>
      <c r="R1245" s="53" t="n">
        <f aca="false">IF(BZ1245=1,0,IFERROR(VLOOKUP(BX1245,'Gebinde-Kategorie'!$A$5:$N$45,13,0)+0,0))</f>
        <v>12</v>
      </c>
      <c r="S1245" s="54"/>
      <c r="T1245" s="55"/>
      <c r="U1245" s="55"/>
      <c r="V1245" s="55"/>
      <c r="W1245" s="48"/>
      <c r="X1245" s="50"/>
      <c r="Y1245" s="50"/>
      <c r="Z1245" s="48" t="n">
        <f aca="false">IF(A1245="","",IF(AND(Parameter!$B$21="Ja",ISNUMBER(W1245)),W1245,IF(CC1245="2+3",IF(ISNUMBER(SEARCH("grosser Artikel",BU1245)),2,IFERROR(VLOOKUP(BX1245,Parameter!$F$35:$G$64,2,0),2)),IF(OR(CC1245="Nein",CC1245=""),"-",CC1245))))</f>
        <v>2</v>
      </c>
      <c r="AA1245" s="55"/>
      <c r="AB1245" s="56"/>
      <c r="AC1245" s="50" t="n">
        <f aca="false">AV1245</f>
        <v>5</v>
      </c>
      <c r="AD1245" s="50" t="n">
        <f aca="false">MAX(AV1245,H1245)</f>
        <v>53</v>
      </c>
      <c r="AE1245" s="57"/>
      <c r="AF1245" s="50" t="n">
        <f aca="false">IF(LEFT(Cockpit!$C$5,1)="A",H1245,IF(Parameter!$E$30="MAX-Bestand",IF(CH1245=1,CI1245,IF(LEFT(Cockpit!$C$5,1)="B",AL1245,MAX(AL1245,H1245))),ROUNDUP(AJ1245,0)))</f>
        <v>53</v>
      </c>
      <c r="AG1245" s="50" t="n">
        <f aca="false">IF(BZ1245=1,0,ROUNDUP(AF1245/BY1245,0))</f>
        <v>1</v>
      </c>
      <c r="AH1245" s="52" t="n">
        <f aca="false">IF(CQ1245&gt;0,CQ1245*MAX(1,AF1245/X1245),IF(BZ1245=1,IF(AF1245&lt;=0,0,CD1245*MAX(1,IF(H1245&gt;0,AF1245/H1245,1))),IF(R1245&gt;0,AG1245/R1245,0))/MAX(0.1,N(Parameter!$M$21)))</f>
        <v>0.0833333333333333</v>
      </c>
      <c r="AI1245" s="50" t="n">
        <f aca="false">AH1245*CB1245</f>
        <v>28.75</v>
      </c>
      <c r="AJ1245" s="51" t="n">
        <f aca="false">IF(LEFT(Cockpit!$C$5,1)="A",H1245,IF(CH1245=1,(CK1245+CI1245)/2,IF(LEFT(Cockpit!$C$5,1)="B",(CK1245+AL1245)/2,MAX((CK1245+AL1245)/2,H1245))))</f>
        <v>53</v>
      </c>
      <c r="AK1245" s="50" t="n">
        <f aca="false">AJ1245*G1245</f>
        <v>2707.24</v>
      </c>
      <c r="AL1245" s="50" t="n">
        <f aca="false">ROUNDUP(CK1245+MAX(CL1245,2*(J1245/IF(CG1245&gt;0,CG1245,MAX(0.1,N(Cockpit!$C$6)))-CK1245)),0)</f>
        <v>5</v>
      </c>
      <c r="AM1245" s="51" t="n">
        <f aca="false">IF(AI1245&gt;0,J1245/AI1245,-1)</f>
        <v>0.173913043478261</v>
      </c>
      <c r="AN1245" s="51" t="n">
        <f aca="false">IF(AND(OR(CF1245="L1",CF1245="L23",CF1245="LIFT"),AI1245&gt;0),SUMIFS($AI$7:$AI$1843,$CF$7:$CF$1843,CF1245,$AM$7:$AM$1843,"&gt;"&amp;AM1245)+SUMIFS($AI$7:$AI$1843,$CF$7:$CF$1843,CF1245,$AM$7:$AM$1843,AM1245,$BW$7:$BW$1843,"&lt;="&amp;BW1245),"")</f>
        <v>12679.733720846</v>
      </c>
      <c r="AO1245" s="58" t="n">
        <f aca="false">IF(AN1245="",0,MAX(0,MIN(1,(IF(CF1245="L1",Parameter!$H$5,IF(CF1245="L23",Parameter!$H$6+Parameter!$H$7,Parameter!$H$5+Parameter!$H$6+Parameter!$H$7))-(AN1245-AI1245))/AI1245)))</f>
        <v>1</v>
      </c>
      <c r="AP1245" s="50" t="n">
        <f aca="false">IF(LEFT(Cockpit!$I$5,1)="A",H1245,IF(Parameter!$E$30="MAX-Bestand",IF(CH1245=1,CI1245,IF(LEFT(Cockpit!$I$5,1)="B",AV1245,MAX(AV1245,H1245))),ROUNDUP(AT1245,0)))</f>
        <v>53</v>
      </c>
      <c r="AQ1245" s="50" t="n">
        <f aca="false">IF(BZ1245=1,0,ROUNDUP(AP1245/BY1245,0))</f>
        <v>1</v>
      </c>
      <c r="AR1245" s="52" t="n">
        <f aca="false">IF(CQ1245&gt;0,CQ1245*MAX(1,AP1245/X1245),IF(BZ1245=1,IF(AP1245&lt;=0,0,CD1245*MAX(1,IF(H1245&gt;0,AP1245/H1245,1))),IF(R1245&gt;0,AQ1245/R1245,0))/MAX(0.1,N(Parameter!$M$21)))</f>
        <v>0.0833333333333333</v>
      </c>
      <c r="AS1245" s="50" t="n">
        <f aca="false">AR1245*CB1245</f>
        <v>28.75</v>
      </c>
      <c r="AT1245" s="51" t="n">
        <f aca="false">IF(LEFT(Cockpit!$I$5,1)="A",H1245,IF(CH1245=1,(CK1245+CI1245)/2,IF(LEFT(Cockpit!$I$5,1)="B",(CK1245+AV1245)/2,MAX((CK1245+AV1245)/2,H1245))))</f>
        <v>53</v>
      </c>
      <c r="AU1245" s="50" t="n">
        <f aca="false">AT1245*G1245</f>
        <v>2707.24</v>
      </c>
      <c r="AV1245" s="50" t="n">
        <f aca="false">ROUNDUP(CK1245+MAX(CL1245,2*(J1245/IF(CG1245&gt;0,CG1245,MAX(0.1,N(Cockpit!$I$6)))-CK1245)),0)</f>
        <v>5</v>
      </c>
      <c r="AW1245" s="51" t="n">
        <f aca="false">IF(AS1245&gt;0,J1245/AS1245,-1)</f>
        <v>0.173913043478261</v>
      </c>
      <c r="AX1245" s="51" t="n">
        <f aca="false">IF(AND(OR(CF1245="L1",CF1245="L23",CF1245="LIFT"),AS1245&gt;0),SUMIFS($AS$7:$AS$1843,$CF$7:$CF$1843,CF1245,$AW$7:$AW$1843,"&gt;"&amp;AW1245)+SUMIFS($AS$7:$AS$1843,$CF$7:$CF$1843,CF1245,$AW$7:$AW$1843,AW1245,$BW$7:$BW$1843,"&lt;="&amp;BW1245),"")</f>
        <v>15508.9913003663</v>
      </c>
      <c r="AY1245" s="58" t="n">
        <f aca="false">IF(AX1245="",0,MAX(0,MIN(1,(IF(CF1245="L1",Parameter!$H$5,IF(CF1245="L23",Parameter!$H$6+Parameter!$H$7,Parameter!$H$5+Parameter!$H$6+Parameter!$H$7))-(AX1245-AS1245))/AS1245)))</f>
        <v>1</v>
      </c>
      <c r="AZ1245" s="50" t="n">
        <f aca="false">IF(LEFT(Cockpit!$O$5,1)="A",H1245,IF(Parameter!$E$30="MAX-Bestand",IF(CH1245=1,CI1245,IF(LEFT(Cockpit!$O$5,1)="B",BF1245,MAX(BF1245,H1245))),ROUNDUP(BD1245,0)))</f>
        <v>3</v>
      </c>
      <c r="BA1245" s="50" t="n">
        <f aca="false">IF(BZ1245=1,0,ROUNDUP(AZ1245/BY1245,0))</f>
        <v>1</v>
      </c>
      <c r="BB1245" s="52" t="n">
        <f aca="false">IF(CQ1245&gt;0,CQ1245*MAX(1,AZ1245/X1245),IF(BZ1245=1,IF(AZ1245&lt;=0,0,CD1245*MAX(1,IF(H1245&gt;0,AZ1245/H1245,1))),IF(R1245&gt;0,BA1245/R1245,0))/MAX(0.1,N(Parameter!$M$21)))</f>
        <v>0.0833333333333333</v>
      </c>
      <c r="BC1245" s="50" t="n">
        <f aca="false">BB1245*CB1245</f>
        <v>28.75</v>
      </c>
      <c r="BD1245" s="51" t="n">
        <f aca="false">IF(LEFT(Cockpit!$O$5,1)="A",H1245,IF(CH1245=1,(CK1245+CI1245)/2,IF(LEFT(Cockpit!$O$5,1)="B",(CK1245+BF1245)/2,MAX((CK1245+BF1245)/2,H1245))))</f>
        <v>2.5</v>
      </c>
      <c r="BE1245" s="50" t="n">
        <f aca="false">BD1245*G1245</f>
        <v>127.7</v>
      </c>
      <c r="BF1245" s="50" t="n">
        <f aca="false">ROUNDUP(CK1245+MAX(CL1245,2*(J1245/IF(CG1245&gt;0,CG1245,MAX(0.1,N(Cockpit!$O$6)))-CK1245)),0)</f>
        <v>5</v>
      </c>
      <c r="BG1245" s="51" t="n">
        <f aca="false">IF(BC1245&gt;0,J1245/BC1245,-1)</f>
        <v>0.173913043478261</v>
      </c>
      <c r="BH1245" s="51" t="n">
        <f aca="false">IF(AND(OR(CF1245="L1",CF1245="L23",CF1245="LIFT"),BC1245&gt;0),SUMIFS($BC$7:$BC$1843,$CF$7:$CF$1843,CF1245,$BG$7:$BG$1843,"&gt;"&amp;BG1245)+SUMIFS($BC$7:$BC$1843,$CF$7:$CF$1843,CF1245,$BG$7:$BG$1843,BG1245,$BW$7:$BW$1843,"&lt;="&amp;BW1245),"")</f>
        <v>13305.3295901368</v>
      </c>
      <c r="BI1245" s="58" t="n">
        <f aca="false">IF(BH1245="",0,MAX(0,MIN(1,(IF(CF1245="L1",Parameter!$H$5,IF(CF1245="L23",Parameter!$H$6+Parameter!$H$7,Parameter!$H$5+Parameter!$H$6+Parameter!$H$7))-(BH1245-BC1245))/BC1245)))</f>
        <v>1</v>
      </c>
      <c r="BJ1245" s="48" t="str">
        <f aca="false">IF(AI1245&lt;=0,"",IF(CF1245="Aussen","Aussenlager",IF(CF1245="-","Nicht im Lift",IF(AO1245&gt;=1,"Lift",IF(AO1245&lt;=0,"Aussenlager","teilweise")))))</f>
        <v>Lift</v>
      </c>
      <c r="BK1245" s="48" t="str">
        <f aca="false">IF(AS1245&lt;=0,"",IF(CF1245="Aussen","Aussenlager",IF(CF1245="-","Nicht im Lift",IF(AY1245&gt;=1,"Lift",IF(AY1245&lt;=0,"Aussenlager","teilweise")))))</f>
        <v>Lift</v>
      </c>
      <c r="BL1245" s="48" t="str">
        <f aca="false">IF(BC1245&lt;=0,"",IF(CF1245="Aussen","Aussenlager",IF(CF1245="-","Nicht im Lift",IF(BI1245&gt;=1,"Lift",IF(BI1245&lt;=0,"Aussenlager","teilweise")))))</f>
        <v>Lift</v>
      </c>
      <c r="BM1245" s="48" t="str">
        <f aca="false">IF(A1245="","",IF(BV1245=1,"Neu; ","")&amp;IF(AND(BV1245=0,BQ1245&lt;0),"negativer Bestand (Export "&amp;BQ1245&amp;"); ","")&amp;IF(J1245&lt;=0,"Kein Verbrauch; ","")&amp;IF(CQ1245&gt;0,"Lift "&amp;W1245&amp;" lt. Liftbericht (Fach "&amp;X1245&amp;" Stk); ",IF(CA1245=1,"Gebinde geschätzt ("&amp;T1245&amp;"); ",IF(BZ1245=1,"Lose – Tablare geschätzt; ","")))&amp;IF(H1245&gt;AV1245,"Überbestand "&amp;ROUND(H1245-AV1245,0)&amp;" Stk / CHF "&amp;ROUND((H1245-AV1245)*G1245,0)&amp;"; ","")&amp;IF(AND(CH1245=1,CI1245&lt;CJ1245),"MAX &lt; MB+LG; ","")&amp;IF(AND(CP1245&gt;0,CO1245*10&gt;CP1245),"zu hoch für Tablar; ","")&amp;IF(AND(BV1245=0,OR(CH1245=1,AA1245&lt;&gt;"",U1245&lt;&gt;"",V1245&lt;&gt;"",AB1245&lt;&gt;"")),"manuell übersteuert; ","")&amp;IF(AND(BZ1245=0,R1245=0),"Gebinde unbekannt / Stellmass fehlt; ","")&amp;IF(AND(BZ1245=0,N(V1245)&lt;=0,N(Q1245)&lt;=0),"Menge pro Gebinde fehlt (Ist = 1 Gebinde); ","")&amp;BU1245)</f>
        <v>negativer Bestand (Export -14); Überbestand 48 Stk / CHF 2452; Überbestand; Braucht es diesen Artikel ?</v>
      </c>
      <c r="BN1245" s="48"/>
      <c r="BO1245" s="48"/>
      <c r="BP1245" s="55"/>
      <c r="BQ1245" s="50" t="n">
        <v>-14</v>
      </c>
      <c r="BR1245" s="50" t="n">
        <v>67</v>
      </c>
      <c r="BS1245" s="49" t="n">
        <v>-715.12</v>
      </c>
      <c r="BT1245" s="50" t="n">
        <v>5</v>
      </c>
      <c r="BU1245" s="48" t="s">
        <v>2236</v>
      </c>
      <c r="BV1245" s="53" t="n">
        <v>0</v>
      </c>
      <c r="BW1245" s="53" t="n">
        <v>1245</v>
      </c>
      <c r="BX1245" s="48" t="str">
        <f aca="false">IF(U1245&lt;&gt;"",UPPER(TRIM(U1245)),IF(CA1245=1,UPPER(VLOOKUP(T1245,Parameter!$I$27:$K$29,2,0)),IF(P1245="","LOSE",P1245)))</f>
        <v>S63</v>
      </c>
      <c r="BY1245" s="50" t="n">
        <f aca="false">IF(BX1245="LOSE",1,IF(N(V1245)&gt;0,V1245,IF(CA1245=1,MAX(1,N(VLOOKUP(T1245,Parameter!$I$27:$K$29,3,0)),H1245,N(N1245)),IF(N(Q1245)&gt;0,Q1245,MAX(1,H1245)))))</f>
        <v>71</v>
      </c>
      <c r="BZ1245" s="53" t="n">
        <f aca="false">IF(BX1245="LOSE",1,0)</f>
        <v>0</v>
      </c>
      <c r="CA1245" s="53" t="n">
        <f aca="false">IF(AND(U1245="",OR(P1245="",P1245="LOSE"),T1245&lt;&gt;"",N(S1245)&lt;=0,ISNUMBER(MATCH(T1245,Parameter!$I$27:$I$29,0))),1,0)</f>
        <v>0</v>
      </c>
      <c r="CB1245" s="53" t="n">
        <f aca="false">IF(CQ1245&gt;0,INDEX(Parameter!$H$5:$H$7,W1245)/INDEX(Parameter!$E$5:$E$7,W1245),IF(AND(BZ1245=0,N(IFERROR(VLOOKUP(BX1245,'Gebinde-Kategorie'!$A$5:$N$45,14,0),0))&gt;0),VLOOKUP(BX1245,'Gebinde-Kategorie'!$A$5:$N$45,14,0)*10+Parameter!$M$23,Parameter!$M$24))</f>
        <v>345</v>
      </c>
      <c r="CC1245" s="48" t="str">
        <f aca="false">IF(AND(Parameter!$B$19="Ja",E1245&lt;&gt;"",ISNUMBER(MATCH(E1245,Parameter!$I$35:$I$52,0))),VLOOKUP(E1245,Parameter!$I$35:$J$52,2,0),IFERROR(VLOOKUP(D1245,Parameter!$A$35:$C$64,2,0),"Nein"))</f>
        <v>2+3</v>
      </c>
      <c r="CD1245" s="52" t="n">
        <f aca="false">IF(BZ1245=0,0,IF(N(S1245)&gt;0,S1245,IFERROR(VLOOKUP(D1245,Parameter!$A$35:$C$64,3,0)+0,0)))</f>
        <v>0</v>
      </c>
      <c r="CE1245" s="48" t="n">
        <f aca="false">IF(AA1245&lt;&gt;"",AA1245,Z1245)</f>
        <v>2</v>
      </c>
      <c r="CF1245" s="48" t="str">
        <f aca="false">IF(OR(CE1245=1,CE1245=2,CE1245=3),IF(Parameter!$E$27="Ja","LIFT",IF(CE1245=1,"L1","L23")),IF(CE1245="Aussen","Aussen","-"))</f>
        <v>LIFT</v>
      </c>
      <c r="CG1245" s="59" t="n">
        <f aca="false">IF(N(AB1245)&gt;0,AB1245,0)</f>
        <v>0</v>
      </c>
      <c r="CH1245" s="53" t="n">
        <f aca="false">IF(ISNUMBER(AE1245),1,0)</f>
        <v>0</v>
      </c>
      <c r="CI1245" s="50" t="n">
        <f aca="false">N(AE1245)</f>
        <v>0</v>
      </c>
      <c r="CJ1245" s="50" t="n">
        <f aca="false">N(M1245)+N(N1245)</f>
        <v>5</v>
      </c>
      <c r="CK1245" s="50" t="n">
        <f aca="false">N(M1245)</f>
        <v>0</v>
      </c>
      <c r="CL1245" s="50" t="n">
        <f aca="false">N(N1245)</f>
        <v>5</v>
      </c>
      <c r="CM1245" s="50" t="n">
        <f aca="false">ROUNDUP(H1245/BY1245,0)</f>
        <v>1</v>
      </c>
      <c r="CN1245" s="50" t="n">
        <f aca="false">ROUNDUP(CI1245/BY1245,0)</f>
        <v>0</v>
      </c>
      <c r="CO1245" s="53" t="n">
        <f aca="false">IF(BZ1245=1,0,IFERROR(VLOOKUP(BX1245,'Gebinde-Kategorie'!$A$5:$N$45,5,0)+0,0))</f>
        <v>31</v>
      </c>
      <c r="CP1245" s="53" t="n">
        <f aca="false">IFERROR(IF(OR(CE1245=1,CE1245=2,CE1245=3),N(INDEX(Parameter!$I$5:$I$7,CE1245)),0),0)</f>
        <v>0</v>
      </c>
      <c r="CQ1245" s="52" t="n">
        <f aca="false">IF(AND(Parameter!$B$21="Ja",ISNUMBER(W1245),N(X1245)&gt;0),IFERROR(N(INDEX(Parameter!$L$5:$L$7,W1245))*INDEX(Parameter!$E$5:$E$7,W1245)*X1245/SUMIFS($X$7:$X$1843,$W$7:$W$1843,W1245),0),0)</f>
        <v>0</v>
      </c>
    </row>
    <row r="1246" customFormat="false" ht="15" hidden="false" customHeight="false" outlineLevel="0" collapsed="false">
      <c r="A1246" s="48" t="s">
        <v>2237</v>
      </c>
      <c r="B1246" s="48" t="s">
        <v>2238</v>
      </c>
      <c r="C1246" s="48" t="s">
        <v>465</v>
      </c>
      <c r="D1246" s="48" t="s">
        <v>182</v>
      </c>
      <c r="E1246" s="48" t="s">
        <v>1488</v>
      </c>
      <c r="F1246" s="48" t="s">
        <v>227</v>
      </c>
      <c r="G1246" s="49" t="n">
        <v>72.6</v>
      </c>
      <c r="H1246" s="50" t="n">
        <f aca="false">MAX(0,IF(AND(Parameter!$B$21="Ja",ISNUMBER(Y1246)),Y1246,IF(Parameter!$B$20="Jahresanfang 2025 + Export",BR1246+BQ1246,BQ1246)))</f>
        <v>0</v>
      </c>
      <c r="I1246" s="50" t="n">
        <f aca="false">H1246*G1246</f>
        <v>0</v>
      </c>
      <c r="J1246" s="50" t="n">
        <f aca="false">BT1246*Parameter!$B$18</f>
        <v>0</v>
      </c>
      <c r="K1246" s="51" t="n">
        <v>5</v>
      </c>
      <c r="L1246" s="52" t="n">
        <v>0</v>
      </c>
      <c r="M1246" s="50" t="n">
        <v>0</v>
      </c>
      <c r="N1246" s="50" t="n">
        <v>1</v>
      </c>
      <c r="O1246" s="53" t="n">
        <v>56</v>
      </c>
      <c r="P1246" s="48" t="s">
        <v>177</v>
      </c>
      <c r="Q1246" s="50"/>
      <c r="R1246" s="53" t="n">
        <f aca="false">IF(BZ1246=1,0,IFERROR(VLOOKUP(BX1246,'Gebinde-Kategorie'!$A$5:$N$45,13,0)+0,0))</f>
        <v>4</v>
      </c>
      <c r="S1246" s="54"/>
      <c r="T1246" s="55" t="s">
        <v>198</v>
      </c>
      <c r="U1246" s="55"/>
      <c r="V1246" s="55"/>
      <c r="W1246" s="48"/>
      <c r="X1246" s="50"/>
      <c r="Y1246" s="50"/>
      <c r="Z1246" s="48" t="str">
        <f aca="false">IF(A1246="","",IF(AND(Parameter!$B$21="Ja",ISNUMBER(W1246)),W1246,IF(CC1246="2+3",IF(ISNUMBER(SEARCH("grosser Artikel",BU1246)),2,IFERROR(VLOOKUP(BX1246,Parameter!$F$35:$G$64,2,0),2)),IF(OR(CC1246="Nein",CC1246=""),"-",CC1246))))</f>
        <v>-</v>
      </c>
      <c r="AA1246" s="55"/>
      <c r="AB1246" s="56"/>
      <c r="AC1246" s="50" t="n">
        <f aca="false">AV1246</f>
        <v>1</v>
      </c>
      <c r="AD1246" s="50" t="n">
        <f aca="false">MAX(AV1246,H1246)</f>
        <v>1</v>
      </c>
      <c r="AE1246" s="57"/>
      <c r="AF1246" s="50" t="n">
        <f aca="false">IF(LEFT(Cockpit!$C$5,1)="A",H1246,IF(Parameter!$E$30="MAX-Bestand",IF(CH1246=1,CI1246,IF(LEFT(Cockpit!$C$5,1)="B",AL1246,MAX(AL1246,H1246))),ROUNDUP(AJ1246,0)))</f>
        <v>0</v>
      </c>
      <c r="AG1246" s="50" t="n">
        <f aca="false">IF(BZ1246=1,0,ROUNDUP(AF1246/BY1246,0))</f>
        <v>0</v>
      </c>
      <c r="AH1246" s="52" t="n">
        <f aca="false">IF(CQ1246&gt;0,CQ1246*MAX(1,AF1246/X1246),IF(BZ1246=1,IF(AF1246&lt;=0,0,CD1246*MAX(1,IF(H1246&gt;0,AF1246/H1246,1))),IF(R1246&gt;0,AG1246/R1246,0))/MAX(0.1,N(Parameter!$M$21)))</f>
        <v>0</v>
      </c>
      <c r="AI1246" s="50" t="n">
        <f aca="false">AH1246*CB1246</f>
        <v>0</v>
      </c>
      <c r="AJ1246" s="51" t="n">
        <f aca="false">IF(LEFT(Cockpit!$C$5,1)="A",H1246,IF(CH1246=1,(CK1246+CI1246)/2,IF(LEFT(Cockpit!$C$5,1)="B",(CK1246+AL1246)/2,MAX((CK1246+AL1246)/2,H1246))))</f>
        <v>0</v>
      </c>
      <c r="AK1246" s="50" t="n">
        <f aca="false">AJ1246*G1246</f>
        <v>0</v>
      </c>
      <c r="AL1246" s="50" t="n">
        <f aca="false">ROUNDUP(CK1246+MAX(CL1246,2*(J1246/IF(CG1246&gt;0,CG1246,MAX(0.1,N(Cockpit!$C$6)))-CK1246)),0)</f>
        <v>1</v>
      </c>
      <c r="AM1246" s="51" t="n">
        <f aca="false">IF(AI1246&gt;0,J1246/AI1246,-1)</f>
        <v>-1</v>
      </c>
      <c r="AN1246" s="51" t="str">
        <f aca="false">IF(AND(OR(CF1246="L1",CF1246="L23",CF1246="LIFT"),AI1246&gt;0),SUMIFS($AI$7:$AI$1843,$CF$7:$CF$1843,CF1246,$AM$7:$AM$1843,"&gt;"&amp;AM1246)+SUMIFS($AI$7:$AI$1843,$CF$7:$CF$1843,CF1246,$AM$7:$AM$1843,AM1246,$BW$7:$BW$1843,"&lt;="&amp;BW1246),"")</f>
        <v/>
      </c>
      <c r="AO1246" s="58" t="n">
        <f aca="false">IF(AN1246="",0,MAX(0,MIN(1,(IF(CF1246="L1",Parameter!$H$5,IF(CF1246="L23",Parameter!$H$6+Parameter!$H$7,Parameter!$H$5+Parameter!$H$6+Parameter!$H$7))-(AN1246-AI1246))/AI1246)))</f>
        <v>0</v>
      </c>
      <c r="AP1246" s="50" t="n">
        <f aca="false">IF(LEFT(Cockpit!$I$5,1)="A",H1246,IF(Parameter!$E$30="MAX-Bestand",IF(CH1246=1,CI1246,IF(LEFT(Cockpit!$I$5,1)="B",AV1246,MAX(AV1246,H1246))),ROUNDUP(AT1246,0)))</f>
        <v>1</v>
      </c>
      <c r="AQ1246" s="50" t="n">
        <f aca="false">IF(BZ1246=1,0,ROUNDUP(AP1246/BY1246,0))</f>
        <v>1</v>
      </c>
      <c r="AR1246" s="52" t="n">
        <f aca="false">IF(CQ1246&gt;0,CQ1246*MAX(1,AP1246/X1246),IF(BZ1246=1,IF(AP1246&lt;=0,0,CD1246*MAX(1,IF(H1246&gt;0,AP1246/H1246,1))),IF(R1246&gt;0,AQ1246/R1246,0))/MAX(0.1,N(Parameter!$M$21)))</f>
        <v>0.25</v>
      </c>
      <c r="AS1246" s="50" t="n">
        <f aca="false">AR1246*CB1246</f>
        <v>58.75</v>
      </c>
      <c r="AT1246" s="51" t="n">
        <f aca="false">IF(LEFT(Cockpit!$I$5,1)="A",H1246,IF(CH1246=1,(CK1246+CI1246)/2,IF(LEFT(Cockpit!$I$5,1)="B",(CK1246+AV1246)/2,MAX((CK1246+AV1246)/2,H1246))))</f>
        <v>0.5</v>
      </c>
      <c r="AU1246" s="50" t="n">
        <f aca="false">AT1246*G1246</f>
        <v>36.3</v>
      </c>
      <c r="AV1246" s="50" t="n">
        <f aca="false">ROUNDUP(CK1246+MAX(CL1246,2*(J1246/IF(CG1246&gt;0,CG1246,MAX(0.1,N(Cockpit!$I$6)))-CK1246)),0)</f>
        <v>1</v>
      </c>
      <c r="AW1246" s="51" t="n">
        <f aca="false">IF(AS1246&gt;0,J1246/AS1246,-1)</f>
        <v>0</v>
      </c>
      <c r="AX1246" s="51" t="str">
        <f aca="false">IF(AND(OR(CF1246="L1",CF1246="L23",CF1246="LIFT"),AS1246&gt;0),SUMIFS($AS$7:$AS$1843,$CF$7:$CF$1843,CF1246,$AW$7:$AW$1843,"&gt;"&amp;AW1246)+SUMIFS($AS$7:$AS$1843,$CF$7:$CF$1843,CF1246,$AW$7:$AW$1843,AW1246,$BW$7:$BW$1843,"&lt;="&amp;BW1246),"")</f>
        <v/>
      </c>
      <c r="AY1246" s="58" t="n">
        <f aca="false">IF(AX1246="",0,MAX(0,MIN(1,(IF(CF1246="L1",Parameter!$H$5,IF(CF1246="L23",Parameter!$H$6+Parameter!$H$7,Parameter!$H$5+Parameter!$H$6+Parameter!$H$7))-(AX1246-AS1246))/AS1246)))</f>
        <v>0</v>
      </c>
      <c r="AZ1246" s="50" t="n">
        <f aca="false">IF(LEFT(Cockpit!$O$5,1)="A",H1246,IF(Parameter!$E$30="MAX-Bestand",IF(CH1246=1,CI1246,IF(LEFT(Cockpit!$O$5,1)="B",BF1246,MAX(BF1246,H1246))),ROUNDUP(BD1246,0)))</f>
        <v>1</v>
      </c>
      <c r="BA1246" s="50" t="n">
        <f aca="false">IF(BZ1246=1,0,ROUNDUP(AZ1246/BY1246,0))</f>
        <v>1</v>
      </c>
      <c r="BB1246" s="52" t="n">
        <f aca="false">IF(CQ1246&gt;0,CQ1246*MAX(1,AZ1246/X1246),IF(BZ1246=1,IF(AZ1246&lt;=0,0,CD1246*MAX(1,IF(H1246&gt;0,AZ1246/H1246,1))),IF(R1246&gt;0,BA1246/R1246,0))/MAX(0.1,N(Parameter!$M$21)))</f>
        <v>0.25</v>
      </c>
      <c r="BC1246" s="50" t="n">
        <f aca="false">BB1246*CB1246</f>
        <v>58.75</v>
      </c>
      <c r="BD1246" s="51" t="n">
        <f aca="false">IF(LEFT(Cockpit!$O$5,1)="A",H1246,IF(CH1246=1,(CK1246+CI1246)/2,IF(LEFT(Cockpit!$O$5,1)="B",(CK1246+BF1246)/2,MAX((CK1246+BF1246)/2,H1246))))</f>
        <v>0.5</v>
      </c>
      <c r="BE1246" s="50" t="n">
        <f aca="false">BD1246*G1246</f>
        <v>36.3</v>
      </c>
      <c r="BF1246" s="50" t="n">
        <f aca="false">ROUNDUP(CK1246+MAX(CL1246,2*(J1246/IF(CG1246&gt;0,CG1246,MAX(0.1,N(Cockpit!$O$6)))-CK1246)),0)</f>
        <v>1</v>
      </c>
      <c r="BG1246" s="51" t="n">
        <f aca="false">IF(BC1246&gt;0,J1246/BC1246,-1)</f>
        <v>0</v>
      </c>
      <c r="BH1246" s="51" t="str">
        <f aca="false">IF(AND(OR(CF1246="L1",CF1246="L23",CF1246="LIFT"),BC1246&gt;0),SUMIFS($BC$7:$BC$1843,$CF$7:$CF$1843,CF1246,$BG$7:$BG$1843,"&gt;"&amp;BG1246)+SUMIFS($BC$7:$BC$1843,$CF$7:$CF$1843,CF1246,$BG$7:$BG$1843,BG1246,$BW$7:$BW$1843,"&lt;="&amp;BW1246),"")</f>
        <v/>
      </c>
      <c r="BI1246" s="58" t="n">
        <f aca="false">IF(BH1246="",0,MAX(0,MIN(1,(IF(CF1246="L1",Parameter!$H$5,IF(CF1246="L23",Parameter!$H$6+Parameter!$H$7,Parameter!$H$5+Parameter!$H$6+Parameter!$H$7))-(BH1246-BC1246))/BC1246)))</f>
        <v>0</v>
      </c>
      <c r="BJ1246" s="48" t="str">
        <f aca="false">IF(AI1246&lt;=0,"",IF(CF1246="Aussen","Aussenlager",IF(CF1246="-","Nicht im Lift",IF(AO1246&gt;=1,"Lift",IF(AO1246&lt;=0,"Aussenlager","teilweise")))))</f>
        <v/>
      </c>
      <c r="BK1246" s="48" t="str">
        <f aca="false">IF(AS1246&lt;=0,"",IF(CF1246="Aussen","Aussenlager",IF(CF1246="-","Nicht im Lift",IF(AY1246&gt;=1,"Lift",IF(AY1246&lt;=0,"Aussenlager","teilweise")))))</f>
        <v>Nicht im Lift</v>
      </c>
      <c r="BL1246" s="48" t="str">
        <f aca="false">IF(BC1246&lt;=0,"",IF(CF1246="Aussen","Aussenlager",IF(CF1246="-","Nicht im Lift",IF(BI1246&gt;=1,"Lift",IF(BI1246&lt;=0,"Aussenlager","teilweise")))))</f>
        <v>Nicht im Lift</v>
      </c>
      <c r="BM1246" s="48" t="str">
        <f aca="false">IF(A1246="","",IF(BV1246=1,"Neu; ","")&amp;IF(AND(BV1246=0,BQ1246&lt;0),"negativer Bestand (Export "&amp;BQ1246&amp;"); ","")&amp;IF(J1246&lt;=0,"Kein Verbrauch; ","")&amp;IF(CQ1246&gt;0,"Lift "&amp;W1246&amp;" lt. Liftbericht (Fach "&amp;X1246&amp;" Stk); ",IF(CA1246=1,"Gebinde geschätzt ("&amp;T1246&amp;"); ",IF(BZ1246=1,"Lose – Tablare geschätzt; ","")))&amp;IF(H1246&gt;AV1246,"Überbestand "&amp;ROUND(H1246-AV1246,0)&amp;" Stk / CHF "&amp;ROUND((H1246-AV1246)*G1246,0)&amp;"; ","")&amp;IF(AND(CH1246=1,CI1246&lt;CJ1246),"MAX &lt; MB+LG; ","")&amp;IF(AND(CP1246&gt;0,CO1246*10&gt;CP1246),"zu hoch für Tablar; ","")&amp;IF(AND(BV1246=0,OR(CH1246=1,AA1246&lt;&gt;"",U1246&lt;&gt;"",V1246&lt;&gt;"",AB1246&lt;&gt;"")),"manuell übersteuert; ","")&amp;IF(AND(BZ1246=0,R1246=0),"Gebinde unbekannt / Stellmass fehlt; ","")&amp;IF(AND(BZ1246=0,N(V1246)&lt;=0,N(Q1246)&lt;=0),"Menge pro Gebinde fehlt (Ist = 1 Gebinde); ","")&amp;BU1246)</f>
        <v>negativer Bestand (Export -10); Kein Verbrauch; Gebinde geschätzt (Gross); Menge pro Gebinde fehlt (Ist = 1 Gebinde); Neu</v>
      </c>
      <c r="BN1246" s="48"/>
      <c r="BO1246" s="48"/>
      <c r="BP1246" s="55"/>
      <c r="BQ1246" s="50" t="n">
        <v>-10</v>
      </c>
      <c r="BR1246" s="50" t="n">
        <v>10</v>
      </c>
      <c r="BS1246" s="49" t="n">
        <v>-726</v>
      </c>
      <c r="BT1246" s="50" t="n">
        <v>0</v>
      </c>
      <c r="BU1246" s="48" t="s">
        <v>635</v>
      </c>
      <c r="BV1246" s="53" t="n">
        <v>0</v>
      </c>
      <c r="BW1246" s="53" t="n">
        <v>1246</v>
      </c>
      <c r="BX1246" s="48" t="str">
        <f aca="false">IF(U1246&lt;&gt;"",UPPER(TRIM(U1246)),IF(CA1246=1,UPPER(VLOOKUP(T1246,Parameter!$I$27:$K$29,2,0)),IF(P1246="","LOSE",P1246)))</f>
        <v>S81</v>
      </c>
      <c r="BY1246" s="50" t="n">
        <f aca="false">IF(BX1246="LOSE",1,IF(N(V1246)&gt;0,V1246,IF(CA1246=1,MAX(1,N(VLOOKUP(T1246,Parameter!$I$27:$K$29,3,0)),H1246,N(N1246)),IF(N(Q1246)&gt;0,Q1246,MAX(1,H1246)))))</f>
        <v>2</v>
      </c>
      <c r="BZ1246" s="53" t="n">
        <f aca="false">IF(BX1246="LOSE",1,0)</f>
        <v>0</v>
      </c>
      <c r="CA1246" s="53" t="n">
        <f aca="false">IF(AND(U1246="",OR(P1246="",P1246="LOSE"),T1246&lt;&gt;"",N(S1246)&lt;=0,ISNUMBER(MATCH(T1246,Parameter!$I$27:$I$29,0))),1,0)</f>
        <v>1</v>
      </c>
      <c r="CB1246" s="53" t="n">
        <f aca="false">IF(CQ1246&gt;0,INDEX(Parameter!$H$5:$H$7,W1246)/INDEX(Parameter!$E$5:$E$7,W1246),IF(AND(BZ1246=0,N(IFERROR(VLOOKUP(BX1246,'Gebinde-Kategorie'!$A$5:$N$45,14,0),0))&gt;0),VLOOKUP(BX1246,'Gebinde-Kategorie'!$A$5:$N$45,14,0)*10+Parameter!$M$23,Parameter!$M$24))</f>
        <v>235</v>
      </c>
      <c r="CC1246" s="48" t="str">
        <f aca="false">IF(AND(Parameter!$B$19="Ja",E1246&lt;&gt;"",ISNUMBER(MATCH(E1246,Parameter!$I$35:$I$52,0))),VLOOKUP(E1246,Parameter!$I$35:$J$52,2,0),IFERROR(VLOOKUP(D1246,Parameter!$A$35:$C$64,2,0),"Nein"))</f>
        <v>Nein</v>
      </c>
      <c r="CD1246" s="52" t="n">
        <f aca="false">IF(BZ1246=0,0,IF(N(S1246)&gt;0,S1246,IFERROR(VLOOKUP(D1246,Parameter!$A$35:$C$64,3,0)+0,0)))</f>
        <v>0</v>
      </c>
      <c r="CE1246" s="48" t="str">
        <f aca="false">IF(AA1246&lt;&gt;"",AA1246,Z1246)</f>
        <v>-</v>
      </c>
      <c r="CF1246" s="48" t="str">
        <f aca="false">IF(OR(CE1246=1,CE1246=2,CE1246=3),IF(Parameter!$E$27="Ja","LIFT",IF(CE1246=1,"L1","L23")),IF(CE1246="Aussen","Aussen","-"))</f>
        <v>-</v>
      </c>
      <c r="CG1246" s="59" t="n">
        <f aca="false">IF(N(AB1246)&gt;0,AB1246,0)</f>
        <v>0</v>
      </c>
      <c r="CH1246" s="53" t="n">
        <f aca="false">IF(ISNUMBER(AE1246),1,0)</f>
        <v>0</v>
      </c>
      <c r="CI1246" s="50" t="n">
        <f aca="false">N(AE1246)</f>
        <v>0</v>
      </c>
      <c r="CJ1246" s="50" t="n">
        <f aca="false">N(M1246)+N(N1246)</f>
        <v>1</v>
      </c>
      <c r="CK1246" s="50" t="n">
        <f aca="false">N(M1246)</f>
        <v>0</v>
      </c>
      <c r="CL1246" s="50" t="n">
        <f aca="false">N(N1246)</f>
        <v>1</v>
      </c>
      <c r="CM1246" s="50" t="n">
        <f aca="false">ROUNDUP(H1246/BY1246,0)</f>
        <v>0</v>
      </c>
      <c r="CN1246" s="50" t="n">
        <f aca="false">ROUNDUP(CI1246/BY1246,0)</f>
        <v>0</v>
      </c>
      <c r="CO1246" s="53" t="n">
        <f aca="false">IF(BZ1246=1,0,IFERROR(VLOOKUP(BX1246,'Gebinde-Kategorie'!$A$5:$N$45,5,0)+0,0))</f>
        <v>20</v>
      </c>
      <c r="CP1246" s="53" t="n">
        <f aca="false">IFERROR(IF(OR(CE1246=1,CE1246=2,CE1246=3),N(INDEX(Parameter!$I$5:$I$7,CE1246)),0),0)</f>
        <v>0</v>
      </c>
      <c r="CQ1246" s="52" t="n">
        <f aca="false">IF(AND(Parameter!$B$21="Ja",ISNUMBER(W1246),N(X1246)&gt;0),IFERROR(N(INDEX(Parameter!$L$5:$L$7,W1246))*INDEX(Parameter!$E$5:$E$7,W1246)*X1246/SUMIFS($X$7:$X$1843,$W$7:$W$1843,W1246),0),0)</f>
        <v>0</v>
      </c>
    </row>
    <row r="1247" customFormat="false" ht="15" hidden="false" customHeight="false" outlineLevel="0" collapsed="false">
      <c r="A1247" s="48" t="s">
        <v>2239</v>
      </c>
      <c r="B1247" s="48" t="s">
        <v>2240</v>
      </c>
      <c r="C1247" s="48" t="s">
        <v>173</v>
      </c>
      <c r="D1247" s="48" t="s">
        <v>193</v>
      </c>
      <c r="E1247" s="48" t="s">
        <v>194</v>
      </c>
      <c r="F1247" s="48" t="s">
        <v>227</v>
      </c>
      <c r="G1247" s="49" t="n">
        <v>731.7</v>
      </c>
      <c r="H1247" s="50" t="n">
        <f aca="false">MAX(0,IF(AND(Parameter!$B$21="Ja",ISNUMBER(Y1247)),Y1247,IF(Parameter!$B$20="Jahresanfang 2025 + Export",BR1247+BQ1247,BQ1247)))</f>
        <v>4</v>
      </c>
      <c r="I1247" s="50" t="n">
        <f aca="false">H1247*G1247</f>
        <v>2926.8</v>
      </c>
      <c r="J1247" s="50" t="n">
        <f aca="false">BT1247*Parameter!$B$18</f>
        <v>0</v>
      </c>
      <c r="K1247" s="51" t="n">
        <v>5</v>
      </c>
      <c r="L1247" s="52" t="n">
        <v>0</v>
      </c>
      <c r="M1247" s="50" t="n">
        <v>0</v>
      </c>
      <c r="N1247" s="50" t="n">
        <v>1</v>
      </c>
      <c r="O1247" s="53" t="n">
        <v>14</v>
      </c>
      <c r="P1247" s="48" t="s">
        <v>242</v>
      </c>
      <c r="Q1247" s="50" t="n">
        <v>4</v>
      </c>
      <c r="R1247" s="53" t="n">
        <f aca="false">IF(BZ1247=1,0,IFERROR(VLOOKUP(BX1247,'Gebinde-Kategorie'!$A$5:$N$45,13,0)+0,0))</f>
        <v>26</v>
      </c>
      <c r="S1247" s="54"/>
      <c r="T1247" s="55"/>
      <c r="U1247" s="55"/>
      <c r="V1247" s="55"/>
      <c r="W1247" s="48"/>
      <c r="X1247" s="50"/>
      <c r="Y1247" s="50"/>
      <c r="Z1247" s="48" t="n">
        <f aca="false">IF(A1247="","",IF(AND(Parameter!$B$21="Ja",ISNUMBER(W1247)),W1247,IF(CC1247="2+3",IF(ISNUMBER(SEARCH("grosser Artikel",BU1247)),2,IFERROR(VLOOKUP(BX1247,Parameter!$F$35:$G$64,2,0),2)),IF(OR(CC1247="Nein",CC1247=""),"-",CC1247))))</f>
        <v>3</v>
      </c>
      <c r="AA1247" s="55"/>
      <c r="AB1247" s="56"/>
      <c r="AC1247" s="50" t="n">
        <f aca="false">AV1247</f>
        <v>1</v>
      </c>
      <c r="AD1247" s="50" t="n">
        <f aca="false">MAX(AV1247,H1247)</f>
        <v>4</v>
      </c>
      <c r="AE1247" s="57"/>
      <c r="AF1247" s="50" t="n">
        <f aca="false">IF(LEFT(Cockpit!$C$5,1)="A",H1247,IF(Parameter!$E$30="MAX-Bestand",IF(CH1247=1,CI1247,IF(LEFT(Cockpit!$C$5,1)="B",AL1247,MAX(AL1247,H1247))),ROUNDUP(AJ1247,0)))</f>
        <v>4</v>
      </c>
      <c r="AG1247" s="50" t="n">
        <f aca="false">IF(BZ1247=1,0,ROUNDUP(AF1247/BY1247,0))</f>
        <v>1</v>
      </c>
      <c r="AH1247" s="52" t="n">
        <f aca="false">IF(CQ1247&gt;0,CQ1247*MAX(1,AF1247/X1247),IF(BZ1247=1,IF(AF1247&lt;=0,0,CD1247*MAX(1,IF(H1247&gt;0,AF1247/H1247,1))),IF(R1247&gt;0,AG1247/R1247,0))/MAX(0.1,N(Parameter!$M$21)))</f>
        <v>0.0384615384615385</v>
      </c>
      <c r="AI1247" s="50" t="n">
        <f aca="false">AH1247*CB1247</f>
        <v>9.42307692307692</v>
      </c>
      <c r="AJ1247" s="51" t="n">
        <f aca="false">IF(LEFT(Cockpit!$C$5,1)="A",H1247,IF(CH1247=1,(CK1247+CI1247)/2,IF(LEFT(Cockpit!$C$5,1)="B",(CK1247+AL1247)/2,MAX((CK1247+AL1247)/2,H1247))))</f>
        <v>4</v>
      </c>
      <c r="AK1247" s="50" t="n">
        <f aca="false">AJ1247*G1247</f>
        <v>2926.8</v>
      </c>
      <c r="AL1247" s="50" t="n">
        <f aca="false">ROUNDUP(CK1247+MAX(CL1247,2*(J1247/IF(CG1247&gt;0,CG1247,MAX(0.1,N(Cockpit!$C$6)))-CK1247)),0)</f>
        <v>1</v>
      </c>
      <c r="AM1247" s="51" t="n">
        <f aca="false">IF(AI1247&gt;0,J1247/AI1247,-1)</f>
        <v>0</v>
      </c>
      <c r="AN1247" s="51" t="n">
        <f aca="false">IF(AND(OR(CF1247="L1",CF1247="L23",CF1247="LIFT"),AI1247&gt;0),SUMIFS($AI$7:$AI$1843,$CF$7:$CF$1843,CF1247,$AM$7:$AM$1843,"&gt;"&amp;AM1247)+SUMIFS($AI$7:$AI$1843,$CF$7:$CF$1843,CF1247,$AM$7:$AM$1843,AM1247,$BW$7:$BW$1843,"&lt;="&amp;BW1247),"")</f>
        <v>29442.4937578899</v>
      </c>
      <c r="AO1247" s="58" t="n">
        <f aca="false">IF(AN1247="",0,MAX(0,MIN(1,(IF(CF1247="L1",Parameter!$H$5,IF(CF1247="L23",Parameter!$H$6+Parameter!$H$7,Parameter!$H$5+Parameter!$H$6+Parameter!$H$7))-(AN1247-AI1247))/AI1247)))</f>
        <v>1</v>
      </c>
      <c r="AP1247" s="50" t="n">
        <f aca="false">IF(LEFT(Cockpit!$I$5,1)="A",H1247,IF(Parameter!$E$30="MAX-Bestand",IF(CH1247=1,CI1247,IF(LEFT(Cockpit!$I$5,1)="B",AV1247,MAX(AV1247,H1247))),ROUNDUP(AT1247,0)))</f>
        <v>4</v>
      </c>
      <c r="AQ1247" s="50" t="n">
        <f aca="false">IF(BZ1247=1,0,ROUNDUP(AP1247/BY1247,0))</f>
        <v>1</v>
      </c>
      <c r="AR1247" s="52" t="n">
        <f aca="false">IF(CQ1247&gt;0,CQ1247*MAX(1,AP1247/X1247),IF(BZ1247=1,IF(AP1247&lt;=0,0,CD1247*MAX(1,IF(H1247&gt;0,AP1247/H1247,1))),IF(R1247&gt;0,AQ1247/R1247,0))/MAX(0.1,N(Parameter!$M$21)))</f>
        <v>0.0384615384615385</v>
      </c>
      <c r="AS1247" s="50" t="n">
        <f aca="false">AR1247*CB1247</f>
        <v>9.42307692307692</v>
      </c>
      <c r="AT1247" s="51" t="n">
        <f aca="false">IF(LEFT(Cockpit!$I$5,1)="A",H1247,IF(CH1247=1,(CK1247+CI1247)/2,IF(LEFT(Cockpit!$I$5,1)="B",(CK1247+AV1247)/2,MAX((CK1247+AV1247)/2,H1247))))</f>
        <v>4</v>
      </c>
      <c r="AU1247" s="50" t="n">
        <f aca="false">AT1247*G1247</f>
        <v>2926.8</v>
      </c>
      <c r="AV1247" s="50" t="n">
        <f aca="false">ROUNDUP(CK1247+MAX(CL1247,2*(J1247/IF(CG1247&gt;0,CG1247,MAX(0.1,N(Cockpit!$I$6)))-CK1247)),0)</f>
        <v>1</v>
      </c>
      <c r="AW1247" s="51" t="n">
        <f aca="false">IF(AS1247&gt;0,J1247/AS1247,-1)</f>
        <v>0</v>
      </c>
      <c r="AX1247" s="51" t="n">
        <f aca="false">IF(AND(OR(CF1247="L1",CF1247="L23",CF1247="LIFT"),AS1247&gt;0),SUMIFS($AS$7:$AS$1843,$CF$7:$CF$1843,CF1247,$AW$7:$AW$1843,"&gt;"&amp;AW1247)+SUMIFS($AS$7:$AS$1843,$CF$7:$CF$1843,CF1247,$AW$7:$AW$1843,AW1247,$BW$7:$BW$1843,"&lt;="&amp;BW1247),"")</f>
        <v>35377.9107142857</v>
      </c>
      <c r="AY1247" s="58" t="n">
        <f aca="false">IF(AX1247="",0,MAX(0,MIN(1,(IF(CF1247="L1",Parameter!$H$5,IF(CF1247="L23",Parameter!$H$6+Parameter!$H$7,Parameter!$H$5+Parameter!$H$6+Parameter!$H$7))-(AX1247-AS1247))/AS1247)))</f>
        <v>1</v>
      </c>
      <c r="AZ1247" s="50" t="n">
        <f aca="false">IF(LEFT(Cockpit!$O$5,1)="A",H1247,IF(Parameter!$E$30="MAX-Bestand",IF(CH1247=1,CI1247,IF(LEFT(Cockpit!$O$5,1)="B",BF1247,MAX(BF1247,H1247))),ROUNDUP(BD1247,0)))</f>
        <v>1</v>
      </c>
      <c r="BA1247" s="50" t="n">
        <f aca="false">IF(BZ1247=1,0,ROUNDUP(AZ1247/BY1247,0))</f>
        <v>1</v>
      </c>
      <c r="BB1247" s="52" t="n">
        <f aca="false">IF(CQ1247&gt;0,CQ1247*MAX(1,AZ1247/X1247),IF(BZ1247=1,IF(AZ1247&lt;=0,0,CD1247*MAX(1,IF(H1247&gt;0,AZ1247/H1247,1))),IF(R1247&gt;0,BA1247/R1247,0))/MAX(0.1,N(Parameter!$M$21)))</f>
        <v>0.0384615384615385</v>
      </c>
      <c r="BC1247" s="50" t="n">
        <f aca="false">BB1247*CB1247</f>
        <v>9.42307692307692</v>
      </c>
      <c r="BD1247" s="51" t="n">
        <f aca="false">IF(LEFT(Cockpit!$O$5,1)="A",H1247,IF(CH1247=1,(CK1247+CI1247)/2,IF(LEFT(Cockpit!$O$5,1)="B",(CK1247+BF1247)/2,MAX((CK1247+BF1247)/2,H1247))))</f>
        <v>0.5</v>
      </c>
      <c r="BE1247" s="50" t="n">
        <f aca="false">BD1247*G1247</f>
        <v>365.85</v>
      </c>
      <c r="BF1247" s="50" t="n">
        <f aca="false">ROUNDUP(CK1247+MAX(CL1247,2*(J1247/IF(CG1247&gt;0,CG1247,MAX(0.1,N(Cockpit!$O$6)))-CK1247)),0)</f>
        <v>1</v>
      </c>
      <c r="BG1247" s="51" t="n">
        <f aca="false">IF(BC1247&gt;0,J1247/BC1247,-1)</f>
        <v>0</v>
      </c>
      <c r="BH1247" s="51" t="n">
        <f aca="false">IF(AND(OR(CF1247="L1",CF1247="L23",CF1247="LIFT"),BC1247&gt;0),SUMIFS($BC$7:$BC$1843,$CF$7:$CF$1843,CF1247,$BG$7:$BG$1843,"&gt;"&amp;BG1247)+SUMIFS($BC$7:$BC$1843,$CF$7:$CF$1843,CF1247,$BG$7:$BG$1843,BG1247,$BW$7:$BW$1843,"&lt;="&amp;BW1247),"")</f>
        <v>29363.2173744335</v>
      </c>
      <c r="BI1247" s="58" t="n">
        <f aca="false">IF(BH1247="",0,MAX(0,MIN(1,(IF(CF1247="L1",Parameter!$H$5,IF(CF1247="L23",Parameter!$H$6+Parameter!$H$7,Parameter!$H$5+Parameter!$H$6+Parameter!$H$7))-(BH1247-BC1247))/BC1247)))</f>
        <v>1</v>
      </c>
      <c r="BJ1247" s="48" t="str">
        <f aca="false">IF(AI1247&lt;=0,"",IF(CF1247="Aussen","Aussenlager",IF(CF1247="-","Nicht im Lift",IF(AO1247&gt;=1,"Lift",IF(AO1247&lt;=0,"Aussenlager","teilweise")))))</f>
        <v>Lift</v>
      </c>
      <c r="BK1247" s="48" t="str">
        <f aca="false">IF(AS1247&lt;=0,"",IF(CF1247="Aussen","Aussenlager",IF(CF1247="-","Nicht im Lift",IF(AY1247&gt;=1,"Lift",IF(AY1247&lt;=0,"Aussenlager","teilweise")))))</f>
        <v>Lift</v>
      </c>
      <c r="BL1247" s="48" t="str">
        <f aca="false">IF(BC1247&lt;=0,"",IF(CF1247="Aussen","Aussenlager",IF(CF1247="-","Nicht im Lift",IF(BI1247&gt;=1,"Lift",IF(BI1247&lt;=0,"Aussenlager","teilweise")))))</f>
        <v>Lift</v>
      </c>
      <c r="BM1247" s="48" t="str">
        <f aca="false">IF(A1247="","",IF(BV1247=1,"Neu; ","")&amp;IF(AND(BV1247=0,BQ1247&lt;0),"negativer Bestand (Export "&amp;BQ1247&amp;"); ","")&amp;IF(J1247&lt;=0,"Kein Verbrauch; ","")&amp;IF(CQ1247&gt;0,"Lift "&amp;W1247&amp;" lt. Liftbericht (Fach "&amp;X1247&amp;" Stk); ",IF(CA1247=1,"Gebinde geschätzt ("&amp;T1247&amp;"); ",IF(BZ1247=1,"Lose – Tablare geschätzt; ","")))&amp;IF(H1247&gt;AV1247,"Überbestand "&amp;ROUND(H1247-AV1247,0)&amp;" Stk / CHF "&amp;ROUND((H1247-AV1247)*G1247,0)&amp;"; ","")&amp;IF(AND(CH1247=1,CI1247&lt;CJ1247),"MAX &lt; MB+LG; ","")&amp;IF(AND(CP1247&gt;0,CO1247*10&gt;CP1247),"zu hoch für Tablar; ","")&amp;IF(AND(BV1247=0,OR(CH1247=1,AA1247&lt;&gt;"",U1247&lt;&gt;"",V1247&lt;&gt;"",AB1247&lt;&gt;"")),"manuell übersteuert; ","")&amp;IF(AND(BZ1247=0,R1247=0),"Gebinde unbekannt / Stellmass fehlt; ","")&amp;IF(AND(BZ1247=0,N(V1247)&lt;=0,N(Q1247)&lt;=0),"Menge pro Gebinde fehlt (Ist = 1 Gebinde); ","")&amp;BU1247)</f>
        <v>negativer Bestand (Export -1); Kein Verbrauch; Überbestand 3 Stk / CHF 2195; </v>
      </c>
      <c r="BN1247" s="48"/>
      <c r="BO1247" s="48"/>
      <c r="BP1247" s="55"/>
      <c r="BQ1247" s="50" t="n">
        <v>-1</v>
      </c>
      <c r="BR1247" s="50" t="n">
        <v>5</v>
      </c>
      <c r="BS1247" s="49" t="n">
        <v>-731.7</v>
      </c>
      <c r="BT1247" s="50" t="n">
        <v>0</v>
      </c>
      <c r="BU1247" s="48"/>
      <c r="BV1247" s="53" t="n">
        <v>0</v>
      </c>
      <c r="BW1247" s="53" t="n">
        <v>1247</v>
      </c>
      <c r="BX1247" s="48" t="str">
        <f aca="false">IF(U1247&lt;&gt;"",UPPER(TRIM(U1247)),IF(CA1247=1,UPPER(VLOOKUP(T1247,Parameter!$I$27:$K$29,2,0)),IF(P1247="","LOSE",P1247)))</f>
        <v>S52</v>
      </c>
      <c r="BY1247" s="50" t="n">
        <f aca="false">IF(BX1247="LOSE",1,IF(N(V1247)&gt;0,V1247,IF(CA1247=1,MAX(1,N(VLOOKUP(T1247,Parameter!$I$27:$K$29,3,0)),H1247,N(N1247)),IF(N(Q1247)&gt;0,Q1247,MAX(1,H1247)))))</f>
        <v>4</v>
      </c>
      <c r="BZ1247" s="53" t="n">
        <f aca="false">IF(BX1247="LOSE",1,0)</f>
        <v>0</v>
      </c>
      <c r="CA1247" s="53" t="n">
        <f aca="false">IF(AND(U1247="",OR(P1247="",P1247="LOSE"),T1247&lt;&gt;"",N(S1247)&lt;=0,ISNUMBER(MATCH(T1247,Parameter!$I$27:$I$29,0))),1,0)</f>
        <v>0</v>
      </c>
      <c r="CB1247" s="53" t="n">
        <f aca="false">IF(CQ1247&gt;0,INDEX(Parameter!$H$5:$H$7,W1247)/INDEX(Parameter!$E$5:$E$7,W1247),IF(AND(BZ1247=0,N(IFERROR(VLOOKUP(BX1247,'Gebinde-Kategorie'!$A$5:$N$45,14,0),0))&gt;0),VLOOKUP(BX1247,'Gebinde-Kategorie'!$A$5:$N$45,14,0)*10+Parameter!$M$23,Parameter!$M$24))</f>
        <v>245</v>
      </c>
      <c r="CC1247" s="48" t="str">
        <f aca="false">IF(AND(Parameter!$B$19="Ja",E1247&lt;&gt;"",ISNUMBER(MATCH(E1247,Parameter!$I$35:$I$52,0))),VLOOKUP(E1247,Parameter!$I$35:$J$52,2,0),IFERROR(VLOOKUP(D1247,Parameter!$A$35:$C$64,2,0),"Nein"))</f>
        <v>2+3</v>
      </c>
      <c r="CD1247" s="52" t="n">
        <f aca="false">IF(BZ1247=0,0,IF(N(S1247)&gt;0,S1247,IFERROR(VLOOKUP(D1247,Parameter!$A$35:$C$64,3,0)+0,0)))</f>
        <v>0</v>
      </c>
      <c r="CE1247" s="48" t="n">
        <f aca="false">IF(AA1247&lt;&gt;"",AA1247,Z1247)</f>
        <v>3</v>
      </c>
      <c r="CF1247" s="48" t="str">
        <f aca="false">IF(OR(CE1247=1,CE1247=2,CE1247=3),IF(Parameter!$E$27="Ja","LIFT",IF(CE1247=1,"L1","L23")),IF(CE1247="Aussen","Aussen","-"))</f>
        <v>LIFT</v>
      </c>
      <c r="CG1247" s="59" t="n">
        <f aca="false">IF(N(AB1247)&gt;0,AB1247,0)</f>
        <v>0</v>
      </c>
      <c r="CH1247" s="53" t="n">
        <f aca="false">IF(ISNUMBER(AE1247),1,0)</f>
        <v>0</v>
      </c>
      <c r="CI1247" s="50" t="n">
        <f aca="false">N(AE1247)</f>
        <v>0</v>
      </c>
      <c r="CJ1247" s="50" t="n">
        <f aca="false">N(M1247)+N(N1247)</f>
        <v>1</v>
      </c>
      <c r="CK1247" s="50" t="n">
        <f aca="false">N(M1247)</f>
        <v>0</v>
      </c>
      <c r="CL1247" s="50" t="n">
        <f aca="false">N(N1247)</f>
        <v>1</v>
      </c>
      <c r="CM1247" s="50" t="n">
        <f aca="false">ROUNDUP(H1247/BY1247,0)</f>
        <v>1</v>
      </c>
      <c r="CN1247" s="50" t="n">
        <f aca="false">ROUNDUP(CI1247/BY1247,0)</f>
        <v>0</v>
      </c>
      <c r="CO1247" s="53" t="n">
        <f aca="false">IF(BZ1247=1,0,IFERROR(VLOOKUP(BX1247,'Gebinde-Kategorie'!$A$5:$N$45,5,0)+0,0))</f>
        <v>21</v>
      </c>
      <c r="CP1247" s="53" t="n">
        <f aca="false">IFERROR(IF(OR(CE1247=1,CE1247=2,CE1247=3),N(INDEX(Parameter!$I$5:$I$7,CE1247)),0),0)</f>
        <v>0</v>
      </c>
      <c r="CQ1247" s="52" t="n">
        <f aca="false">IF(AND(Parameter!$B$21="Ja",ISNUMBER(W1247),N(X1247)&gt;0),IFERROR(N(INDEX(Parameter!$L$5:$L$7,W1247))*INDEX(Parameter!$E$5:$E$7,W1247)*X1247/SUMIFS($X$7:$X$1843,$W$7:$W$1843,W1247),0),0)</f>
        <v>0</v>
      </c>
    </row>
    <row r="1248" customFormat="false" ht="15" hidden="false" customHeight="false" outlineLevel="0" collapsed="false">
      <c r="A1248" s="48" t="s">
        <v>2241</v>
      </c>
      <c r="B1248" s="48" t="s">
        <v>1968</v>
      </c>
      <c r="C1248" s="48" t="s">
        <v>173</v>
      </c>
      <c r="D1248" s="48" t="s">
        <v>182</v>
      </c>
      <c r="E1248" s="48" t="s">
        <v>194</v>
      </c>
      <c r="F1248" s="48" t="s">
        <v>227</v>
      </c>
      <c r="G1248" s="49" t="n">
        <v>183.46</v>
      </c>
      <c r="H1248" s="50" t="n">
        <f aca="false">MAX(0,IF(AND(Parameter!$B$21="Ja",ISNUMBER(Y1248)),Y1248,IF(Parameter!$B$20="Jahresanfang 2025 + Export",BR1248+BQ1248,BQ1248)))</f>
        <v>7</v>
      </c>
      <c r="I1248" s="50" t="n">
        <f aca="false">H1248*G1248</f>
        <v>1284.22</v>
      </c>
      <c r="J1248" s="50" t="n">
        <f aca="false">BT1248*Parameter!$B$18</f>
        <v>67</v>
      </c>
      <c r="K1248" s="51" t="n">
        <v>18.5</v>
      </c>
      <c r="L1248" s="52" t="n">
        <v>3.62162162162162</v>
      </c>
      <c r="M1248" s="50" t="n">
        <v>10</v>
      </c>
      <c r="N1248" s="50" t="n">
        <v>30</v>
      </c>
      <c r="O1248" s="53" t="n">
        <v>44</v>
      </c>
      <c r="P1248" s="48" t="s">
        <v>183</v>
      </c>
      <c r="Q1248" s="50" t="n">
        <v>18</v>
      </c>
      <c r="R1248" s="53" t="n">
        <f aca="false">IF(BZ1248=1,0,IFERROR(VLOOKUP(BX1248,'Gebinde-Kategorie'!$A$5:$N$45,13,0)+0,0))</f>
        <v>6</v>
      </c>
      <c r="S1248" s="54"/>
      <c r="T1248" s="55"/>
      <c r="U1248" s="55"/>
      <c r="V1248" s="55"/>
      <c r="W1248" s="48"/>
      <c r="X1248" s="50"/>
      <c r="Y1248" s="50"/>
      <c r="Z1248" s="48" t="n">
        <f aca="false">IF(A1248="","",IF(AND(Parameter!$B$21="Ja",ISNUMBER(W1248)),W1248,IF(CC1248="2+3",IF(ISNUMBER(SEARCH("grosser Artikel",BU1248)),2,IFERROR(VLOOKUP(BX1248,Parameter!$F$35:$G$64,2,0),2)),IF(OR(CC1248="Nein",CC1248=""),"-",CC1248))))</f>
        <v>2</v>
      </c>
      <c r="AA1248" s="55"/>
      <c r="AB1248" s="56"/>
      <c r="AC1248" s="50" t="n">
        <f aca="false">AV1248</f>
        <v>40</v>
      </c>
      <c r="AD1248" s="50" t="n">
        <f aca="false">MAX(AV1248,H1248)</f>
        <v>40</v>
      </c>
      <c r="AE1248" s="57"/>
      <c r="AF1248" s="50" t="n">
        <f aca="false">IF(LEFT(Cockpit!$C$5,1)="A",H1248,IF(Parameter!$E$30="MAX-Bestand",IF(CH1248=1,CI1248,IF(LEFT(Cockpit!$C$5,1)="B",AL1248,MAX(AL1248,H1248))),ROUNDUP(AJ1248,0)))</f>
        <v>7</v>
      </c>
      <c r="AG1248" s="50" t="n">
        <f aca="false">IF(BZ1248=1,0,ROUNDUP(AF1248/BY1248,0))</f>
        <v>1</v>
      </c>
      <c r="AH1248" s="52" t="n">
        <f aca="false">IF(CQ1248&gt;0,CQ1248*MAX(1,AF1248/X1248),IF(BZ1248=1,IF(AF1248&lt;=0,0,CD1248*MAX(1,IF(H1248&gt;0,AF1248/H1248,1))),IF(R1248&gt;0,AG1248/R1248,0))/MAX(0.1,N(Parameter!$M$21)))</f>
        <v>0.166666666666667</v>
      </c>
      <c r="AI1248" s="50" t="n">
        <f aca="false">AH1248*CB1248</f>
        <v>39.1666666666667</v>
      </c>
      <c r="AJ1248" s="51" t="n">
        <f aca="false">IF(LEFT(Cockpit!$C$5,1)="A",H1248,IF(CH1248=1,(CK1248+CI1248)/2,IF(LEFT(Cockpit!$C$5,1)="B",(CK1248+AL1248)/2,MAX((CK1248+AL1248)/2,H1248))))</f>
        <v>7</v>
      </c>
      <c r="AK1248" s="50" t="n">
        <f aca="false">AJ1248*G1248</f>
        <v>1284.22</v>
      </c>
      <c r="AL1248" s="50" t="n">
        <f aca="false">ROUNDUP(CK1248+MAX(CL1248,2*(J1248/IF(CG1248&gt;0,CG1248,MAX(0.1,N(Cockpit!$C$6)))-CK1248)),0)</f>
        <v>40</v>
      </c>
      <c r="AM1248" s="51" t="n">
        <f aca="false">IF(AI1248&gt;0,J1248/AI1248,-1)</f>
        <v>1.71063829787234</v>
      </c>
      <c r="AN1248" s="51" t="n">
        <f aca="false">IF(AND(OR(CF1248="L1",CF1248="L23",CF1248="LIFT"),AI1248&gt;0),SUMIFS($AI$7:$AI$1843,$CF$7:$CF$1843,CF1248,$AM$7:$AM$1843,"&gt;"&amp;AM1248)+SUMIFS($AI$7:$AI$1843,$CF$7:$CF$1843,CF1248,$AM$7:$AM$1843,AM1248,$BW$7:$BW$1843,"&lt;="&amp;BW1248),"")</f>
        <v>6045.89148351648</v>
      </c>
      <c r="AO1248" s="58" t="n">
        <f aca="false">IF(AN1248="",0,MAX(0,MIN(1,(IF(CF1248="L1",Parameter!$H$5,IF(CF1248="L23",Parameter!$H$6+Parameter!$H$7,Parameter!$H$5+Parameter!$H$6+Parameter!$H$7))-(AN1248-AI1248))/AI1248)))</f>
        <v>1</v>
      </c>
      <c r="AP1248" s="50" t="n">
        <f aca="false">IF(LEFT(Cockpit!$I$5,1)="A",H1248,IF(Parameter!$E$30="MAX-Bestand",IF(CH1248=1,CI1248,IF(LEFT(Cockpit!$I$5,1)="B",AV1248,MAX(AV1248,H1248))),ROUNDUP(AT1248,0)))</f>
        <v>25</v>
      </c>
      <c r="AQ1248" s="50" t="n">
        <f aca="false">IF(BZ1248=1,0,ROUNDUP(AP1248/BY1248,0))</f>
        <v>2</v>
      </c>
      <c r="AR1248" s="52" t="n">
        <f aca="false">IF(CQ1248&gt;0,CQ1248*MAX(1,AP1248/X1248),IF(BZ1248=1,IF(AP1248&lt;=0,0,CD1248*MAX(1,IF(H1248&gt;0,AP1248/H1248,1))),IF(R1248&gt;0,AQ1248/R1248,0))/MAX(0.1,N(Parameter!$M$21)))</f>
        <v>0.333333333333333</v>
      </c>
      <c r="AS1248" s="50" t="n">
        <f aca="false">AR1248*CB1248</f>
        <v>78.3333333333333</v>
      </c>
      <c r="AT1248" s="51" t="n">
        <f aca="false">IF(LEFT(Cockpit!$I$5,1)="A",H1248,IF(CH1248=1,(CK1248+CI1248)/2,IF(LEFT(Cockpit!$I$5,1)="B",(CK1248+AV1248)/2,MAX((CK1248+AV1248)/2,H1248))))</f>
        <v>25</v>
      </c>
      <c r="AU1248" s="50" t="n">
        <f aca="false">AT1248*G1248</f>
        <v>4586.5</v>
      </c>
      <c r="AV1248" s="50" t="n">
        <f aca="false">ROUNDUP(CK1248+MAX(CL1248,2*(J1248/IF(CG1248&gt;0,CG1248,MAX(0.1,N(Cockpit!$I$6)))-CK1248)),0)</f>
        <v>40</v>
      </c>
      <c r="AW1248" s="51" t="n">
        <f aca="false">IF(AS1248&gt;0,J1248/AS1248,-1)</f>
        <v>0.85531914893617</v>
      </c>
      <c r="AX1248" s="51" t="n">
        <f aca="false">IF(AND(OR(CF1248="L1",CF1248="L23",CF1248="LIFT"),AS1248&gt;0),SUMIFS($AS$7:$AS$1843,$CF$7:$CF$1843,CF1248,$AW$7:$AW$1843,"&gt;"&amp;AW1248)+SUMIFS($AS$7:$AS$1843,$CF$7:$CF$1843,CF1248,$AW$7:$AW$1843,AW1248,$BW$7:$BW$1843,"&lt;="&amp;BW1248),"")</f>
        <v>9446.03296703297</v>
      </c>
      <c r="AY1248" s="58" t="n">
        <f aca="false">IF(AX1248="",0,MAX(0,MIN(1,(IF(CF1248="L1",Parameter!$H$5,IF(CF1248="L23",Parameter!$H$6+Parameter!$H$7,Parameter!$H$5+Parameter!$H$6+Parameter!$H$7))-(AX1248-AS1248))/AS1248)))</f>
        <v>1</v>
      </c>
      <c r="AZ1248" s="50" t="n">
        <f aca="false">IF(LEFT(Cockpit!$O$5,1)="A",H1248,IF(Parameter!$E$30="MAX-Bestand",IF(CH1248=1,CI1248,IF(LEFT(Cockpit!$O$5,1)="B",BF1248,MAX(BF1248,H1248))),ROUNDUP(BD1248,0)))</f>
        <v>25</v>
      </c>
      <c r="BA1248" s="50" t="n">
        <f aca="false">IF(BZ1248=1,0,ROUNDUP(AZ1248/BY1248,0))</f>
        <v>2</v>
      </c>
      <c r="BB1248" s="52" t="n">
        <f aca="false">IF(CQ1248&gt;0,CQ1248*MAX(1,AZ1248/X1248),IF(BZ1248=1,IF(AZ1248&lt;=0,0,CD1248*MAX(1,IF(H1248&gt;0,AZ1248/H1248,1))),IF(R1248&gt;0,BA1248/R1248,0))/MAX(0.1,N(Parameter!$M$21)))</f>
        <v>0.333333333333333</v>
      </c>
      <c r="BC1248" s="50" t="n">
        <f aca="false">BB1248*CB1248</f>
        <v>78.3333333333333</v>
      </c>
      <c r="BD1248" s="51" t="n">
        <f aca="false">IF(LEFT(Cockpit!$O$5,1)="A",H1248,IF(CH1248=1,(CK1248+CI1248)/2,IF(LEFT(Cockpit!$O$5,1)="B",(CK1248+BF1248)/2,MAX((CK1248+BF1248)/2,H1248))))</f>
        <v>25</v>
      </c>
      <c r="BE1248" s="50" t="n">
        <f aca="false">BD1248*G1248</f>
        <v>4586.5</v>
      </c>
      <c r="BF1248" s="50" t="n">
        <f aca="false">ROUNDUP(CK1248+MAX(CL1248,2*(J1248/IF(CG1248&gt;0,CG1248,MAX(0.1,N(Cockpit!$O$6)))-CK1248)),0)</f>
        <v>40</v>
      </c>
      <c r="BG1248" s="51" t="n">
        <f aca="false">IF(BC1248&gt;0,J1248/BC1248,-1)</f>
        <v>0.85531914893617</v>
      </c>
      <c r="BH1248" s="51" t="n">
        <f aca="false">IF(AND(OR(CF1248="L1",CF1248="L23",CF1248="LIFT"),BC1248&gt;0),SUMIFS($BC$7:$BC$1843,$CF$7:$CF$1843,CF1248,$BG$7:$BG$1843,"&gt;"&amp;BG1248)+SUMIFS($BC$7:$BC$1843,$CF$7:$CF$1843,CF1248,$BG$7:$BG$1843,BG1248,$BW$7:$BW$1843,"&lt;="&amp;BW1248),"")</f>
        <v>8468.16712454212</v>
      </c>
      <c r="BI1248" s="58" t="n">
        <f aca="false">IF(BH1248="",0,MAX(0,MIN(1,(IF(CF1248="L1",Parameter!$H$5,IF(CF1248="L23",Parameter!$H$6+Parameter!$H$7,Parameter!$H$5+Parameter!$H$6+Parameter!$H$7))-(BH1248-BC1248))/BC1248)))</f>
        <v>1</v>
      </c>
      <c r="BJ1248" s="48" t="str">
        <f aca="false">IF(AI1248&lt;=0,"",IF(CF1248="Aussen","Aussenlager",IF(CF1248="-","Nicht im Lift",IF(AO1248&gt;=1,"Lift",IF(AO1248&lt;=0,"Aussenlager","teilweise")))))</f>
        <v>Lift</v>
      </c>
      <c r="BK1248" s="48" t="str">
        <f aca="false">IF(AS1248&lt;=0,"",IF(CF1248="Aussen","Aussenlager",IF(CF1248="-","Nicht im Lift",IF(AY1248&gt;=1,"Lift",IF(AY1248&lt;=0,"Aussenlager","teilweise")))))</f>
        <v>Lift</v>
      </c>
      <c r="BL1248" s="48" t="str">
        <f aca="false">IF(BC1248&lt;=0,"",IF(CF1248="Aussen","Aussenlager",IF(CF1248="-","Nicht im Lift",IF(BI1248&gt;=1,"Lift",IF(BI1248&lt;=0,"Aussenlager","teilweise")))))</f>
        <v>Lift</v>
      </c>
      <c r="BM1248" s="48" t="str">
        <f aca="false">IF(A1248="","",IF(BV1248=1,"Neu; ","")&amp;IF(AND(BV1248=0,BQ1248&lt;0),"negativer Bestand (Export "&amp;BQ1248&amp;"); ","")&amp;IF(J1248&lt;=0,"Kein Verbrauch; ","")&amp;IF(CQ1248&gt;0,"Lift "&amp;W1248&amp;" lt. Liftbericht (Fach "&amp;X1248&amp;" Stk); ",IF(CA1248=1,"Gebinde geschätzt ("&amp;T1248&amp;"); ",IF(BZ1248=1,"Lose – Tablare geschätzt; ","")))&amp;IF(H1248&gt;AV1248,"Überbestand "&amp;ROUND(H1248-AV1248,0)&amp;" Stk / CHF "&amp;ROUND((H1248-AV1248)*G1248,0)&amp;"; ","")&amp;IF(AND(CH1248=1,CI1248&lt;CJ1248),"MAX &lt; MB+LG; ","")&amp;IF(AND(CP1248&gt;0,CO1248*10&gt;CP1248),"zu hoch für Tablar; ","")&amp;IF(AND(BV1248=0,OR(CH1248=1,AA1248&lt;&gt;"",U1248&lt;&gt;"",V1248&lt;&gt;"",AB1248&lt;&gt;"")),"manuell übersteuert; ","")&amp;IF(AND(BZ1248=0,R1248=0),"Gebinde unbekannt / Stellmass fehlt; ","")&amp;IF(AND(BZ1248=0,N(V1248)&lt;=0,N(Q1248)&lt;=0),"Menge pro Gebinde fehlt (Ist = 1 Gebinde); ","")&amp;BU1248)</f>
        <v>negativer Bestand (Export -5); grosser Artikel &amp; nicht im KTL</v>
      </c>
      <c r="BN1248" s="48"/>
      <c r="BO1248" s="48"/>
      <c r="BP1248" s="55"/>
      <c r="BQ1248" s="50" t="n">
        <v>-5</v>
      </c>
      <c r="BR1248" s="50" t="n">
        <v>12</v>
      </c>
      <c r="BS1248" s="49" t="n">
        <v>-731.78</v>
      </c>
      <c r="BT1248" s="50" t="n">
        <v>67</v>
      </c>
      <c r="BU1248" s="48" t="s">
        <v>270</v>
      </c>
      <c r="BV1248" s="53" t="n">
        <v>0</v>
      </c>
      <c r="BW1248" s="53" t="n">
        <v>1248</v>
      </c>
      <c r="BX1248" s="48" t="str">
        <f aca="false">IF(U1248&lt;&gt;"",UPPER(TRIM(U1248)),IF(CA1248=1,UPPER(VLOOKUP(T1248,Parameter!$I$27:$K$29,2,0)),IF(P1248="","LOSE",P1248)))</f>
        <v>S71</v>
      </c>
      <c r="BY1248" s="50" t="n">
        <f aca="false">IF(BX1248="LOSE",1,IF(N(V1248)&gt;0,V1248,IF(CA1248=1,MAX(1,N(VLOOKUP(T1248,Parameter!$I$27:$K$29,3,0)),H1248,N(N1248)),IF(N(Q1248)&gt;0,Q1248,MAX(1,H1248)))))</f>
        <v>18</v>
      </c>
      <c r="BZ1248" s="53" t="n">
        <f aca="false">IF(BX1248="LOSE",1,0)</f>
        <v>0</v>
      </c>
      <c r="CA1248" s="53" t="n">
        <f aca="false">IF(AND(U1248="",OR(P1248="",P1248="LOSE"),T1248&lt;&gt;"",N(S1248)&lt;=0,ISNUMBER(MATCH(T1248,Parameter!$I$27:$I$29,0))),1,0)</f>
        <v>0</v>
      </c>
      <c r="CB1248" s="53" t="n">
        <f aca="false">IF(CQ1248&gt;0,INDEX(Parameter!$H$5:$H$7,W1248)/INDEX(Parameter!$E$5:$E$7,W1248),IF(AND(BZ1248=0,N(IFERROR(VLOOKUP(BX1248,'Gebinde-Kategorie'!$A$5:$N$45,14,0),0))&gt;0),VLOOKUP(BX1248,'Gebinde-Kategorie'!$A$5:$N$45,14,0)*10+Parameter!$M$23,Parameter!$M$24))</f>
        <v>235</v>
      </c>
      <c r="CC1248" s="48" t="str">
        <f aca="false">IF(AND(Parameter!$B$19="Ja",E1248&lt;&gt;"",ISNUMBER(MATCH(E1248,Parameter!$I$35:$I$52,0))),VLOOKUP(E1248,Parameter!$I$35:$J$52,2,0),IFERROR(VLOOKUP(D1248,Parameter!$A$35:$C$64,2,0),"Nein"))</f>
        <v>2+3</v>
      </c>
      <c r="CD1248" s="52" t="n">
        <f aca="false">IF(BZ1248=0,0,IF(N(S1248)&gt;0,S1248,IFERROR(VLOOKUP(D1248,Parameter!$A$35:$C$64,3,0)+0,0)))</f>
        <v>0</v>
      </c>
      <c r="CE1248" s="48" t="n">
        <f aca="false">IF(AA1248&lt;&gt;"",AA1248,Z1248)</f>
        <v>2</v>
      </c>
      <c r="CF1248" s="48" t="str">
        <f aca="false">IF(OR(CE1248=1,CE1248=2,CE1248=3),IF(Parameter!$E$27="Ja","LIFT",IF(CE1248=1,"L1","L23")),IF(CE1248="Aussen","Aussen","-"))</f>
        <v>LIFT</v>
      </c>
      <c r="CG1248" s="59" t="n">
        <f aca="false">IF(N(AB1248)&gt;0,AB1248,0)</f>
        <v>0</v>
      </c>
      <c r="CH1248" s="53" t="n">
        <f aca="false">IF(ISNUMBER(AE1248),1,0)</f>
        <v>0</v>
      </c>
      <c r="CI1248" s="50" t="n">
        <f aca="false">N(AE1248)</f>
        <v>0</v>
      </c>
      <c r="CJ1248" s="50" t="n">
        <f aca="false">N(M1248)+N(N1248)</f>
        <v>40</v>
      </c>
      <c r="CK1248" s="50" t="n">
        <f aca="false">N(M1248)</f>
        <v>10</v>
      </c>
      <c r="CL1248" s="50" t="n">
        <f aca="false">N(N1248)</f>
        <v>30</v>
      </c>
      <c r="CM1248" s="50" t="n">
        <f aca="false">ROUNDUP(H1248/BY1248,0)</f>
        <v>1</v>
      </c>
      <c r="CN1248" s="50" t="n">
        <f aca="false">ROUNDUP(CI1248/BY1248,0)</f>
        <v>0</v>
      </c>
      <c r="CO1248" s="53" t="n">
        <f aca="false">IF(BZ1248=1,0,IFERROR(VLOOKUP(BX1248,'Gebinde-Kategorie'!$A$5:$N$45,5,0)+0,0))</f>
        <v>20</v>
      </c>
      <c r="CP1248" s="53" t="n">
        <f aca="false">IFERROR(IF(OR(CE1248=1,CE1248=2,CE1248=3),N(INDEX(Parameter!$I$5:$I$7,CE1248)),0),0)</f>
        <v>0</v>
      </c>
      <c r="CQ1248" s="52" t="n">
        <f aca="false">IF(AND(Parameter!$B$21="Ja",ISNUMBER(W1248),N(X1248)&gt;0),IFERROR(N(INDEX(Parameter!$L$5:$L$7,W1248))*INDEX(Parameter!$E$5:$E$7,W1248)*X1248/SUMIFS($X$7:$X$1843,$W$7:$W$1843,W1248),0),0)</f>
        <v>0</v>
      </c>
    </row>
    <row r="1249" customFormat="false" ht="15" hidden="false" customHeight="false" outlineLevel="0" collapsed="false">
      <c r="A1249" s="48" t="s">
        <v>2242</v>
      </c>
      <c r="B1249" s="48" t="s">
        <v>2243</v>
      </c>
      <c r="C1249" s="48" t="s">
        <v>465</v>
      </c>
      <c r="D1249" s="48" t="s">
        <v>182</v>
      </c>
      <c r="E1249" s="48"/>
      <c r="F1249" s="48" t="s">
        <v>227</v>
      </c>
      <c r="G1249" s="49" t="n">
        <v>104.82</v>
      </c>
      <c r="H1249" s="50" t="n">
        <f aca="false">MAX(0,IF(AND(Parameter!$B$21="Ja",ISNUMBER(Y1249)),Y1249,IF(Parameter!$B$20="Jahresanfang 2025 + Export",BR1249+BQ1249,BQ1249)))</f>
        <v>0</v>
      </c>
      <c r="I1249" s="50" t="n">
        <f aca="false">H1249*G1249</f>
        <v>0</v>
      </c>
      <c r="J1249" s="50" t="n">
        <f aca="false">BT1249*Parameter!$B$18</f>
        <v>0</v>
      </c>
      <c r="K1249" s="51" t="n">
        <v>3.5</v>
      </c>
      <c r="L1249" s="52" t="n">
        <v>0</v>
      </c>
      <c r="M1249" s="50" t="n">
        <v>0</v>
      </c>
      <c r="N1249" s="50" t="n">
        <v>1</v>
      </c>
      <c r="O1249" s="53" t="n">
        <v>56</v>
      </c>
      <c r="P1249" s="48" t="s">
        <v>177</v>
      </c>
      <c r="Q1249" s="50"/>
      <c r="R1249" s="53" t="n">
        <f aca="false">IF(BZ1249=1,0,IFERROR(VLOOKUP(BX1249,'Gebinde-Kategorie'!$A$5:$N$45,13,0)+0,0))</f>
        <v>4</v>
      </c>
      <c r="S1249" s="54"/>
      <c r="T1249" s="55" t="s">
        <v>198</v>
      </c>
      <c r="U1249" s="55"/>
      <c r="V1249" s="55"/>
      <c r="W1249" s="48"/>
      <c r="X1249" s="50"/>
      <c r="Y1249" s="50"/>
      <c r="Z1249" s="48" t="n">
        <f aca="false">IF(A1249="","",IF(AND(Parameter!$B$21="Ja",ISNUMBER(W1249)),W1249,IF(CC1249="2+3",IF(ISNUMBER(SEARCH("grosser Artikel",BU1249)),2,IFERROR(VLOOKUP(BX1249,Parameter!$F$35:$G$64,2,0),2)),IF(OR(CC1249="Nein",CC1249=""),"-",CC1249))))</f>
        <v>2</v>
      </c>
      <c r="AA1249" s="55"/>
      <c r="AB1249" s="56"/>
      <c r="AC1249" s="50" t="n">
        <f aca="false">AV1249</f>
        <v>1</v>
      </c>
      <c r="AD1249" s="50" t="n">
        <f aca="false">MAX(AV1249,H1249)</f>
        <v>1</v>
      </c>
      <c r="AE1249" s="57"/>
      <c r="AF1249" s="50" t="n">
        <f aca="false">IF(LEFT(Cockpit!$C$5,1)="A",H1249,IF(Parameter!$E$30="MAX-Bestand",IF(CH1249=1,CI1249,IF(LEFT(Cockpit!$C$5,1)="B",AL1249,MAX(AL1249,H1249))),ROUNDUP(AJ1249,0)))</f>
        <v>0</v>
      </c>
      <c r="AG1249" s="50" t="n">
        <f aca="false">IF(BZ1249=1,0,ROUNDUP(AF1249/BY1249,0))</f>
        <v>0</v>
      </c>
      <c r="AH1249" s="52" t="n">
        <f aca="false">IF(CQ1249&gt;0,CQ1249*MAX(1,AF1249/X1249),IF(BZ1249=1,IF(AF1249&lt;=0,0,CD1249*MAX(1,IF(H1249&gt;0,AF1249/H1249,1))),IF(R1249&gt;0,AG1249/R1249,0))/MAX(0.1,N(Parameter!$M$21)))</f>
        <v>0</v>
      </c>
      <c r="AI1249" s="50" t="n">
        <f aca="false">AH1249*CB1249</f>
        <v>0</v>
      </c>
      <c r="AJ1249" s="51" t="n">
        <f aca="false">IF(LEFT(Cockpit!$C$5,1)="A",H1249,IF(CH1249=1,(CK1249+CI1249)/2,IF(LEFT(Cockpit!$C$5,1)="B",(CK1249+AL1249)/2,MAX((CK1249+AL1249)/2,H1249))))</f>
        <v>0</v>
      </c>
      <c r="AK1249" s="50" t="n">
        <f aca="false">AJ1249*G1249</f>
        <v>0</v>
      </c>
      <c r="AL1249" s="50" t="n">
        <f aca="false">ROUNDUP(CK1249+MAX(CL1249,2*(J1249/IF(CG1249&gt;0,CG1249,MAX(0.1,N(Cockpit!$C$6)))-CK1249)),0)</f>
        <v>1</v>
      </c>
      <c r="AM1249" s="51" t="n">
        <f aca="false">IF(AI1249&gt;0,J1249/AI1249,-1)</f>
        <v>-1</v>
      </c>
      <c r="AN1249" s="51" t="str">
        <f aca="false">IF(AND(OR(CF1249="L1",CF1249="L23",CF1249="LIFT"),AI1249&gt;0),SUMIFS($AI$7:$AI$1843,$CF$7:$CF$1843,CF1249,$AM$7:$AM$1843,"&gt;"&amp;AM1249)+SUMIFS($AI$7:$AI$1843,$CF$7:$CF$1843,CF1249,$AM$7:$AM$1843,AM1249,$BW$7:$BW$1843,"&lt;="&amp;BW1249),"")</f>
        <v/>
      </c>
      <c r="AO1249" s="58" t="n">
        <f aca="false">IF(AN1249="",0,MAX(0,MIN(1,(IF(CF1249="L1",Parameter!$H$5,IF(CF1249="L23",Parameter!$H$6+Parameter!$H$7,Parameter!$H$5+Parameter!$H$6+Parameter!$H$7))-(AN1249-AI1249))/AI1249)))</f>
        <v>0</v>
      </c>
      <c r="AP1249" s="50" t="n">
        <f aca="false">IF(LEFT(Cockpit!$I$5,1)="A",H1249,IF(Parameter!$E$30="MAX-Bestand",IF(CH1249=1,CI1249,IF(LEFT(Cockpit!$I$5,1)="B",AV1249,MAX(AV1249,H1249))),ROUNDUP(AT1249,0)))</f>
        <v>1</v>
      </c>
      <c r="AQ1249" s="50" t="n">
        <f aca="false">IF(BZ1249=1,0,ROUNDUP(AP1249/BY1249,0))</f>
        <v>1</v>
      </c>
      <c r="AR1249" s="52" t="n">
        <f aca="false">IF(CQ1249&gt;0,CQ1249*MAX(1,AP1249/X1249),IF(BZ1249=1,IF(AP1249&lt;=0,0,CD1249*MAX(1,IF(H1249&gt;0,AP1249/H1249,1))),IF(R1249&gt;0,AQ1249/R1249,0))/MAX(0.1,N(Parameter!$M$21)))</f>
        <v>0.25</v>
      </c>
      <c r="AS1249" s="50" t="n">
        <f aca="false">AR1249*CB1249</f>
        <v>58.75</v>
      </c>
      <c r="AT1249" s="51" t="n">
        <f aca="false">IF(LEFT(Cockpit!$I$5,1)="A",H1249,IF(CH1249=1,(CK1249+CI1249)/2,IF(LEFT(Cockpit!$I$5,1)="B",(CK1249+AV1249)/2,MAX((CK1249+AV1249)/2,H1249))))</f>
        <v>0.5</v>
      </c>
      <c r="AU1249" s="50" t="n">
        <f aca="false">AT1249*G1249</f>
        <v>52.41</v>
      </c>
      <c r="AV1249" s="50" t="n">
        <f aca="false">ROUNDUP(CK1249+MAX(CL1249,2*(J1249/IF(CG1249&gt;0,CG1249,MAX(0.1,N(Cockpit!$I$6)))-CK1249)),0)</f>
        <v>1</v>
      </c>
      <c r="AW1249" s="51" t="n">
        <f aca="false">IF(AS1249&gt;0,J1249/AS1249,-1)</f>
        <v>0</v>
      </c>
      <c r="AX1249" s="51" t="n">
        <f aca="false">IF(AND(OR(CF1249="L1",CF1249="L23",CF1249="LIFT"),AS1249&gt;0),SUMIFS($AS$7:$AS$1843,$CF$7:$CF$1843,CF1249,$AW$7:$AW$1843,"&gt;"&amp;AW1249)+SUMIFS($AS$7:$AS$1843,$CF$7:$CF$1843,CF1249,$AW$7:$AW$1843,AW1249,$BW$7:$BW$1843,"&lt;="&amp;BW1249),"")</f>
        <v>35436.6607142857</v>
      </c>
      <c r="AY1249" s="58" t="n">
        <f aca="false">IF(AX1249="",0,MAX(0,MIN(1,(IF(CF1249="L1",Parameter!$H$5,IF(CF1249="L23",Parameter!$H$6+Parameter!$H$7,Parameter!$H$5+Parameter!$H$6+Parameter!$H$7))-(AX1249-AS1249))/AS1249)))</f>
        <v>1</v>
      </c>
      <c r="AZ1249" s="50" t="n">
        <f aca="false">IF(LEFT(Cockpit!$O$5,1)="A",H1249,IF(Parameter!$E$30="MAX-Bestand",IF(CH1249=1,CI1249,IF(LEFT(Cockpit!$O$5,1)="B",BF1249,MAX(BF1249,H1249))),ROUNDUP(BD1249,0)))</f>
        <v>1</v>
      </c>
      <c r="BA1249" s="50" t="n">
        <f aca="false">IF(BZ1249=1,0,ROUNDUP(AZ1249/BY1249,0))</f>
        <v>1</v>
      </c>
      <c r="BB1249" s="52" t="n">
        <f aca="false">IF(CQ1249&gt;0,CQ1249*MAX(1,AZ1249/X1249),IF(BZ1249=1,IF(AZ1249&lt;=0,0,CD1249*MAX(1,IF(H1249&gt;0,AZ1249/H1249,1))),IF(R1249&gt;0,BA1249/R1249,0))/MAX(0.1,N(Parameter!$M$21)))</f>
        <v>0.25</v>
      </c>
      <c r="BC1249" s="50" t="n">
        <f aca="false">BB1249*CB1249</f>
        <v>58.75</v>
      </c>
      <c r="BD1249" s="51" t="n">
        <f aca="false">IF(LEFT(Cockpit!$O$5,1)="A",H1249,IF(CH1249=1,(CK1249+CI1249)/2,IF(LEFT(Cockpit!$O$5,1)="B",(CK1249+BF1249)/2,MAX((CK1249+BF1249)/2,H1249))))</f>
        <v>0.5</v>
      </c>
      <c r="BE1249" s="50" t="n">
        <f aca="false">BD1249*G1249</f>
        <v>52.41</v>
      </c>
      <c r="BF1249" s="50" t="n">
        <f aca="false">ROUNDUP(CK1249+MAX(CL1249,2*(J1249/IF(CG1249&gt;0,CG1249,MAX(0.1,N(Cockpit!$O$6)))-CK1249)),0)</f>
        <v>1</v>
      </c>
      <c r="BG1249" s="51" t="n">
        <f aca="false">IF(BC1249&gt;0,J1249/BC1249,-1)</f>
        <v>0</v>
      </c>
      <c r="BH1249" s="51" t="n">
        <f aca="false">IF(AND(OR(CF1249="L1",CF1249="L23",CF1249="LIFT"),BC1249&gt;0),SUMIFS($BC$7:$BC$1843,$CF$7:$CF$1843,CF1249,$BG$7:$BG$1843,"&gt;"&amp;BG1249)+SUMIFS($BC$7:$BC$1843,$CF$7:$CF$1843,CF1249,$BG$7:$BG$1843,BG1249,$BW$7:$BW$1843,"&lt;="&amp;BW1249),"")</f>
        <v>29421.9673744335</v>
      </c>
      <c r="BI1249" s="58" t="n">
        <f aca="false">IF(BH1249="",0,MAX(0,MIN(1,(IF(CF1249="L1",Parameter!$H$5,IF(CF1249="L23",Parameter!$H$6+Parameter!$H$7,Parameter!$H$5+Parameter!$H$6+Parameter!$H$7))-(BH1249-BC1249))/BC1249)))</f>
        <v>1</v>
      </c>
      <c r="BJ1249" s="48" t="str">
        <f aca="false">IF(AI1249&lt;=0,"",IF(CF1249="Aussen","Aussenlager",IF(CF1249="-","Nicht im Lift",IF(AO1249&gt;=1,"Lift",IF(AO1249&lt;=0,"Aussenlager","teilweise")))))</f>
        <v/>
      </c>
      <c r="BK1249" s="48" t="str">
        <f aca="false">IF(AS1249&lt;=0,"",IF(CF1249="Aussen","Aussenlager",IF(CF1249="-","Nicht im Lift",IF(AY1249&gt;=1,"Lift",IF(AY1249&lt;=0,"Aussenlager","teilweise")))))</f>
        <v>Lift</v>
      </c>
      <c r="BL1249" s="48" t="str">
        <f aca="false">IF(BC1249&lt;=0,"",IF(CF1249="Aussen","Aussenlager",IF(CF1249="-","Nicht im Lift",IF(BI1249&gt;=1,"Lift",IF(BI1249&lt;=0,"Aussenlager","teilweise")))))</f>
        <v>Lift</v>
      </c>
      <c r="BM1249" s="48" t="str">
        <f aca="false">IF(A1249="","",IF(BV1249=1,"Neu; ","")&amp;IF(AND(BV1249=0,BQ1249&lt;0),"negativer Bestand (Export "&amp;BQ1249&amp;"); ","")&amp;IF(J1249&lt;=0,"Kein Verbrauch; ","")&amp;IF(CQ1249&gt;0,"Lift "&amp;W1249&amp;" lt. Liftbericht (Fach "&amp;X1249&amp;" Stk); ",IF(CA1249=1,"Gebinde geschätzt ("&amp;T1249&amp;"); ",IF(BZ1249=1,"Lose – Tablare geschätzt; ","")))&amp;IF(H1249&gt;AV1249,"Überbestand "&amp;ROUND(H1249-AV1249,0)&amp;" Stk / CHF "&amp;ROUND((H1249-AV1249)*G1249,0)&amp;"; ","")&amp;IF(AND(CH1249=1,CI1249&lt;CJ1249),"MAX &lt; MB+LG; ","")&amp;IF(AND(CP1249&gt;0,CO1249*10&gt;CP1249),"zu hoch für Tablar; ","")&amp;IF(AND(BV1249=0,OR(CH1249=1,AA1249&lt;&gt;"",U1249&lt;&gt;"",V1249&lt;&gt;"",AB1249&lt;&gt;"")),"manuell übersteuert; ","")&amp;IF(AND(BZ1249=0,R1249=0),"Gebinde unbekannt / Stellmass fehlt; ","")&amp;IF(AND(BZ1249=0,N(V1249)&lt;=0,N(Q1249)&lt;=0),"Menge pro Gebinde fehlt (Ist = 1 Gebinde); ","")&amp;BU1249)</f>
        <v>negativer Bestand (Export -7); Kein Verbrauch; Gebinde geschätzt (Gross); Menge pro Gebinde fehlt (Ist = 1 Gebinde); Neuer Art.</v>
      </c>
      <c r="BN1249" s="48"/>
      <c r="BO1249" s="48"/>
      <c r="BP1249" s="55"/>
      <c r="BQ1249" s="50" t="n">
        <v>-7</v>
      </c>
      <c r="BR1249" s="50" t="n">
        <v>7</v>
      </c>
      <c r="BS1249" s="49" t="n">
        <v>-733.74</v>
      </c>
      <c r="BT1249" s="50" t="n">
        <v>0</v>
      </c>
      <c r="BU1249" s="48" t="s">
        <v>521</v>
      </c>
      <c r="BV1249" s="53" t="n">
        <v>0</v>
      </c>
      <c r="BW1249" s="53" t="n">
        <v>1249</v>
      </c>
      <c r="BX1249" s="48" t="str">
        <f aca="false">IF(U1249&lt;&gt;"",UPPER(TRIM(U1249)),IF(CA1249=1,UPPER(VLOOKUP(T1249,Parameter!$I$27:$K$29,2,0)),IF(P1249="","LOSE",P1249)))</f>
        <v>S81</v>
      </c>
      <c r="BY1249" s="50" t="n">
        <f aca="false">IF(BX1249="LOSE",1,IF(N(V1249)&gt;0,V1249,IF(CA1249=1,MAX(1,N(VLOOKUP(T1249,Parameter!$I$27:$K$29,3,0)),H1249,N(N1249)),IF(N(Q1249)&gt;0,Q1249,MAX(1,H1249)))))</f>
        <v>2</v>
      </c>
      <c r="BZ1249" s="53" t="n">
        <f aca="false">IF(BX1249="LOSE",1,0)</f>
        <v>0</v>
      </c>
      <c r="CA1249" s="53" t="n">
        <f aca="false">IF(AND(U1249="",OR(P1249="",P1249="LOSE"),T1249&lt;&gt;"",N(S1249)&lt;=0,ISNUMBER(MATCH(T1249,Parameter!$I$27:$I$29,0))),1,0)</f>
        <v>1</v>
      </c>
      <c r="CB1249" s="53" t="n">
        <f aca="false">IF(CQ1249&gt;0,INDEX(Parameter!$H$5:$H$7,W1249)/INDEX(Parameter!$E$5:$E$7,W1249),IF(AND(BZ1249=0,N(IFERROR(VLOOKUP(BX1249,'Gebinde-Kategorie'!$A$5:$N$45,14,0),0))&gt;0),VLOOKUP(BX1249,'Gebinde-Kategorie'!$A$5:$N$45,14,0)*10+Parameter!$M$23,Parameter!$M$24))</f>
        <v>235</v>
      </c>
      <c r="CC1249" s="48" t="str">
        <f aca="false">IF(AND(Parameter!$B$19="Ja",E1249&lt;&gt;"",ISNUMBER(MATCH(E1249,Parameter!$I$35:$I$52,0))),VLOOKUP(E1249,Parameter!$I$35:$J$52,2,0),IFERROR(VLOOKUP(D1249,Parameter!$A$35:$C$64,2,0),"Nein"))</f>
        <v>2+3</v>
      </c>
      <c r="CD1249" s="52" t="n">
        <f aca="false">IF(BZ1249=0,0,IF(N(S1249)&gt;0,S1249,IFERROR(VLOOKUP(D1249,Parameter!$A$35:$C$64,3,0)+0,0)))</f>
        <v>0</v>
      </c>
      <c r="CE1249" s="48" t="n">
        <f aca="false">IF(AA1249&lt;&gt;"",AA1249,Z1249)</f>
        <v>2</v>
      </c>
      <c r="CF1249" s="48" t="str">
        <f aca="false">IF(OR(CE1249=1,CE1249=2,CE1249=3),IF(Parameter!$E$27="Ja","LIFT",IF(CE1249=1,"L1","L23")),IF(CE1249="Aussen","Aussen","-"))</f>
        <v>LIFT</v>
      </c>
      <c r="CG1249" s="59" t="n">
        <f aca="false">IF(N(AB1249)&gt;0,AB1249,0)</f>
        <v>0</v>
      </c>
      <c r="CH1249" s="53" t="n">
        <f aca="false">IF(ISNUMBER(AE1249),1,0)</f>
        <v>0</v>
      </c>
      <c r="CI1249" s="50" t="n">
        <f aca="false">N(AE1249)</f>
        <v>0</v>
      </c>
      <c r="CJ1249" s="50" t="n">
        <f aca="false">N(M1249)+N(N1249)</f>
        <v>1</v>
      </c>
      <c r="CK1249" s="50" t="n">
        <f aca="false">N(M1249)</f>
        <v>0</v>
      </c>
      <c r="CL1249" s="50" t="n">
        <f aca="false">N(N1249)</f>
        <v>1</v>
      </c>
      <c r="CM1249" s="50" t="n">
        <f aca="false">ROUNDUP(H1249/BY1249,0)</f>
        <v>0</v>
      </c>
      <c r="CN1249" s="50" t="n">
        <f aca="false">ROUNDUP(CI1249/BY1249,0)</f>
        <v>0</v>
      </c>
      <c r="CO1249" s="53" t="n">
        <f aca="false">IF(BZ1249=1,0,IFERROR(VLOOKUP(BX1249,'Gebinde-Kategorie'!$A$5:$N$45,5,0)+0,0))</f>
        <v>20</v>
      </c>
      <c r="CP1249" s="53" t="n">
        <f aca="false">IFERROR(IF(OR(CE1249=1,CE1249=2,CE1249=3),N(INDEX(Parameter!$I$5:$I$7,CE1249)),0),0)</f>
        <v>0</v>
      </c>
      <c r="CQ1249" s="52" t="n">
        <f aca="false">IF(AND(Parameter!$B$21="Ja",ISNUMBER(W1249),N(X1249)&gt;0),IFERROR(N(INDEX(Parameter!$L$5:$L$7,W1249))*INDEX(Parameter!$E$5:$E$7,W1249)*X1249/SUMIFS($X$7:$X$1843,$W$7:$W$1843,W1249),0),0)</f>
        <v>0</v>
      </c>
    </row>
    <row r="1250" customFormat="false" ht="15" hidden="false" customHeight="false" outlineLevel="0" collapsed="false">
      <c r="A1250" s="48" t="s">
        <v>2244</v>
      </c>
      <c r="B1250" s="48" t="s">
        <v>2245</v>
      </c>
      <c r="C1250" s="48" t="s">
        <v>173</v>
      </c>
      <c r="D1250" s="48" t="s">
        <v>193</v>
      </c>
      <c r="E1250" s="48" t="s">
        <v>194</v>
      </c>
      <c r="F1250" s="48" t="s">
        <v>227</v>
      </c>
      <c r="G1250" s="49" t="n">
        <v>148.8</v>
      </c>
      <c r="H1250" s="50" t="n">
        <f aca="false">MAX(0,IF(AND(Parameter!$B$21="Ja",ISNUMBER(Y1250)),Y1250,IF(Parameter!$B$20="Jahresanfang 2025 + Export",BR1250+BQ1250,BQ1250)))</f>
        <v>19</v>
      </c>
      <c r="I1250" s="50" t="n">
        <f aca="false">H1250*G1250</f>
        <v>2827.2</v>
      </c>
      <c r="J1250" s="50" t="n">
        <f aca="false">BT1250*Parameter!$B$18</f>
        <v>29</v>
      </c>
      <c r="K1250" s="51" t="n">
        <v>19</v>
      </c>
      <c r="L1250" s="52" t="n">
        <v>1.52631578947368</v>
      </c>
      <c r="M1250" s="50" t="n">
        <v>3</v>
      </c>
      <c r="N1250" s="50" t="n">
        <v>20</v>
      </c>
      <c r="O1250" s="53" t="n">
        <v>31</v>
      </c>
      <c r="P1250" s="48" t="s">
        <v>485</v>
      </c>
      <c r="Q1250" s="50" t="n">
        <v>37</v>
      </c>
      <c r="R1250" s="53" t="n">
        <f aca="false">IF(BZ1250=1,0,IFERROR(VLOOKUP(BX1250,'Gebinde-Kategorie'!$A$5:$N$45,13,0)+0,0))</f>
        <v>52</v>
      </c>
      <c r="S1250" s="54"/>
      <c r="T1250" s="55"/>
      <c r="U1250" s="55"/>
      <c r="V1250" s="55"/>
      <c r="W1250" s="48"/>
      <c r="X1250" s="50"/>
      <c r="Y1250" s="50"/>
      <c r="Z1250" s="48" t="n">
        <f aca="false">IF(A1250="","",IF(AND(Parameter!$B$21="Ja",ISNUMBER(W1250)),W1250,IF(CC1250="2+3",IF(ISNUMBER(SEARCH("grosser Artikel",BU1250)),2,IFERROR(VLOOKUP(BX1250,Parameter!$F$35:$G$64,2,0),2)),IF(OR(CC1250="Nein",CC1250=""),"-",CC1250))))</f>
        <v>3</v>
      </c>
      <c r="AA1250" s="55"/>
      <c r="AB1250" s="56"/>
      <c r="AC1250" s="50" t="n">
        <f aca="false">AV1250</f>
        <v>23</v>
      </c>
      <c r="AD1250" s="50" t="n">
        <f aca="false">MAX(AV1250,H1250)</f>
        <v>23</v>
      </c>
      <c r="AE1250" s="57"/>
      <c r="AF1250" s="50" t="n">
        <f aca="false">IF(LEFT(Cockpit!$C$5,1)="A",H1250,IF(Parameter!$E$30="MAX-Bestand",IF(CH1250=1,CI1250,IF(LEFT(Cockpit!$C$5,1)="B",AL1250,MAX(AL1250,H1250))),ROUNDUP(AJ1250,0)))</f>
        <v>19</v>
      </c>
      <c r="AG1250" s="50" t="n">
        <f aca="false">IF(BZ1250=1,0,ROUNDUP(AF1250/BY1250,0))</f>
        <v>1</v>
      </c>
      <c r="AH1250" s="52" t="n">
        <f aca="false">IF(CQ1250&gt;0,CQ1250*MAX(1,AF1250/X1250),IF(BZ1250=1,IF(AF1250&lt;=0,0,CD1250*MAX(1,IF(H1250&gt;0,AF1250/H1250,1))),IF(R1250&gt;0,AG1250/R1250,0))/MAX(0.1,N(Parameter!$M$21)))</f>
        <v>0.0192307692307692</v>
      </c>
      <c r="AI1250" s="50" t="n">
        <f aca="false">AH1250*CB1250</f>
        <v>2.98076923076923</v>
      </c>
      <c r="AJ1250" s="51" t="n">
        <f aca="false">IF(LEFT(Cockpit!$C$5,1)="A",H1250,IF(CH1250=1,(CK1250+CI1250)/2,IF(LEFT(Cockpit!$C$5,1)="B",(CK1250+AL1250)/2,MAX((CK1250+AL1250)/2,H1250))))</f>
        <v>19</v>
      </c>
      <c r="AK1250" s="50" t="n">
        <f aca="false">AJ1250*G1250</f>
        <v>2827.2</v>
      </c>
      <c r="AL1250" s="50" t="n">
        <f aca="false">ROUNDUP(CK1250+MAX(CL1250,2*(J1250/IF(CG1250&gt;0,CG1250,MAX(0.1,N(Cockpit!$C$6)))-CK1250)),0)</f>
        <v>23</v>
      </c>
      <c r="AM1250" s="51" t="n">
        <f aca="false">IF(AI1250&gt;0,J1250/AI1250,-1)</f>
        <v>9.72903225806452</v>
      </c>
      <c r="AN1250" s="51" t="n">
        <f aca="false">IF(AND(OR(CF1250="L1",CF1250="L23",CF1250="LIFT"),AI1250&gt;0),SUMIFS($AI$7:$AI$1843,$CF$7:$CF$1843,CF1250,$AM$7:$AM$1843,"&gt;"&amp;AM1250)+SUMIFS($AI$7:$AI$1843,$CF$7:$CF$1843,CF1250,$AM$7:$AM$1843,AM1250,$BW$7:$BW$1843,"&lt;="&amp;BW1250),"")</f>
        <v>2897.21382783883</v>
      </c>
      <c r="AO1250" s="58" t="n">
        <f aca="false">IF(AN1250="",0,MAX(0,MIN(1,(IF(CF1250="L1",Parameter!$H$5,IF(CF1250="L23",Parameter!$H$6+Parameter!$H$7,Parameter!$H$5+Parameter!$H$6+Parameter!$H$7))-(AN1250-AI1250))/AI1250)))</f>
        <v>1</v>
      </c>
      <c r="AP1250" s="50" t="n">
        <f aca="false">IF(LEFT(Cockpit!$I$5,1)="A",H1250,IF(Parameter!$E$30="MAX-Bestand",IF(CH1250=1,CI1250,IF(LEFT(Cockpit!$I$5,1)="B",AV1250,MAX(AV1250,H1250))),ROUNDUP(AT1250,0)))</f>
        <v>19</v>
      </c>
      <c r="AQ1250" s="50" t="n">
        <f aca="false">IF(BZ1250=1,0,ROUNDUP(AP1250/BY1250,0))</f>
        <v>1</v>
      </c>
      <c r="AR1250" s="52" t="n">
        <f aca="false">IF(CQ1250&gt;0,CQ1250*MAX(1,AP1250/X1250),IF(BZ1250=1,IF(AP1250&lt;=0,0,CD1250*MAX(1,IF(H1250&gt;0,AP1250/H1250,1))),IF(R1250&gt;0,AQ1250/R1250,0))/MAX(0.1,N(Parameter!$M$21)))</f>
        <v>0.0192307692307692</v>
      </c>
      <c r="AS1250" s="50" t="n">
        <f aca="false">AR1250*CB1250</f>
        <v>2.98076923076923</v>
      </c>
      <c r="AT1250" s="51" t="n">
        <f aca="false">IF(LEFT(Cockpit!$I$5,1)="A",H1250,IF(CH1250=1,(CK1250+CI1250)/2,IF(LEFT(Cockpit!$I$5,1)="B",(CK1250+AV1250)/2,MAX((CK1250+AV1250)/2,H1250))))</f>
        <v>19</v>
      </c>
      <c r="AU1250" s="50" t="n">
        <f aca="false">AT1250*G1250</f>
        <v>2827.2</v>
      </c>
      <c r="AV1250" s="50" t="n">
        <f aca="false">ROUNDUP(CK1250+MAX(CL1250,2*(J1250/IF(CG1250&gt;0,CG1250,MAX(0.1,N(Cockpit!$I$6)))-CK1250)),0)</f>
        <v>23</v>
      </c>
      <c r="AW1250" s="51" t="n">
        <f aca="false">IF(AS1250&gt;0,J1250/AS1250,-1)</f>
        <v>9.72903225806452</v>
      </c>
      <c r="AX1250" s="51" t="n">
        <f aca="false">IF(AND(OR(CF1250="L1",CF1250="L23",CF1250="LIFT"),AS1250&gt;0),SUMIFS($AS$7:$AS$1843,$CF$7:$CF$1843,CF1250,$AW$7:$AW$1843,"&gt;"&amp;AW1250)+SUMIFS($AS$7:$AS$1843,$CF$7:$CF$1843,CF1250,$AW$7:$AW$1843,AW1250,$BW$7:$BW$1843,"&lt;="&amp;BW1250),"")</f>
        <v>3512.20192307692</v>
      </c>
      <c r="AY1250" s="58" t="n">
        <f aca="false">IF(AX1250="",0,MAX(0,MIN(1,(IF(CF1250="L1",Parameter!$H$5,IF(CF1250="L23",Parameter!$H$6+Parameter!$H$7,Parameter!$H$5+Parameter!$H$6+Parameter!$H$7))-(AX1250-AS1250))/AS1250)))</f>
        <v>1</v>
      </c>
      <c r="AZ1250" s="50" t="n">
        <f aca="false">IF(LEFT(Cockpit!$O$5,1)="A",H1250,IF(Parameter!$E$30="MAX-Bestand",IF(CH1250=1,CI1250,IF(LEFT(Cockpit!$O$5,1)="B",BF1250,MAX(BF1250,H1250))),ROUNDUP(BD1250,0)))</f>
        <v>13</v>
      </c>
      <c r="BA1250" s="50" t="n">
        <f aca="false">IF(BZ1250=1,0,ROUNDUP(AZ1250/BY1250,0))</f>
        <v>1</v>
      </c>
      <c r="BB1250" s="52" t="n">
        <f aca="false">IF(CQ1250&gt;0,CQ1250*MAX(1,AZ1250/X1250),IF(BZ1250=1,IF(AZ1250&lt;=0,0,CD1250*MAX(1,IF(H1250&gt;0,AZ1250/H1250,1))),IF(R1250&gt;0,BA1250/R1250,0))/MAX(0.1,N(Parameter!$M$21)))</f>
        <v>0.0192307692307692</v>
      </c>
      <c r="BC1250" s="50" t="n">
        <f aca="false">BB1250*CB1250</f>
        <v>2.98076923076923</v>
      </c>
      <c r="BD1250" s="51" t="n">
        <f aca="false">IF(LEFT(Cockpit!$O$5,1)="A",H1250,IF(CH1250=1,(CK1250+CI1250)/2,IF(LEFT(Cockpit!$O$5,1)="B",(CK1250+BF1250)/2,MAX((CK1250+BF1250)/2,H1250))))</f>
        <v>13</v>
      </c>
      <c r="BE1250" s="50" t="n">
        <f aca="false">BD1250*G1250</f>
        <v>1934.4</v>
      </c>
      <c r="BF1250" s="50" t="n">
        <f aca="false">ROUNDUP(CK1250+MAX(CL1250,2*(J1250/IF(CG1250&gt;0,CG1250,MAX(0.1,N(Cockpit!$O$6)))-CK1250)),0)</f>
        <v>23</v>
      </c>
      <c r="BG1250" s="51" t="n">
        <f aca="false">IF(BC1250&gt;0,J1250/BC1250,-1)</f>
        <v>9.72903225806452</v>
      </c>
      <c r="BH1250" s="51" t="n">
        <f aca="false">IF(AND(OR(CF1250="L1",CF1250="L23",CF1250="LIFT"),BC1250&gt;0),SUMIFS($BC$7:$BC$1843,$CF$7:$CF$1843,CF1250,$BG$7:$BG$1843,"&gt;"&amp;BG1250)+SUMIFS($BC$7:$BC$1843,$CF$7:$CF$1843,CF1250,$BG$7:$BG$1843,BG1250,$BW$7:$BW$1843,"&lt;="&amp;BW1250),"")</f>
        <v>2717.69551282051</v>
      </c>
      <c r="BI1250" s="58" t="n">
        <f aca="false">IF(BH1250="",0,MAX(0,MIN(1,(IF(CF1250="L1",Parameter!$H$5,IF(CF1250="L23",Parameter!$H$6+Parameter!$H$7,Parameter!$H$5+Parameter!$H$6+Parameter!$H$7))-(BH1250-BC1250))/BC1250)))</f>
        <v>1</v>
      </c>
      <c r="BJ1250" s="48" t="str">
        <f aca="false">IF(AI1250&lt;=0,"",IF(CF1250="Aussen","Aussenlager",IF(CF1250="-","Nicht im Lift",IF(AO1250&gt;=1,"Lift",IF(AO1250&lt;=0,"Aussenlager","teilweise")))))</f>
        <v>Lift</v>
      </c>
      <c r="BK1250" s="48" t="str">
        <f aca="false">IF(AS1250&lt;=0,"",IF(CF1250="Aussen","Aussenlager",IF(CF1250="-","Nicht im Lift",IF(AY1250&gt;=1,"Lift",IF(AY1250&lt;=0,"Aussenlager","teilweise")))))</f>
        <v>Lift</v>
      </c>
      <c r="BL1250" s="48" t="str">
        <f aca="false">IF(BC1250&lt;=0,"",IF(CF1250="Aussen","Aussenlager",IF(CF1250="-","Nicht im Lift",IF(BI1250&gt;=1,"Lift",IF(BI1250&lt;=0,"Aussenlager","teilweise")))))</f>
        <v>Lift</v>
      </c>
      <c r="BM1250" s="48" t="str">
        <f aca="false">IF(A1250="","",IF(BV1250=1,"Neu; ","")&amp;IF(AND(BV1250=0,BQ1250&lt;0),"negativer Bestand (Export "&amp;BQ1250&amp;"); ","")&amp;IF(J1250&lt;=0,"Kein Verbrauch; ","")&amp;IF(CQ1250&gt;0,"Lift "&amp;W1250&amp;" lt. Liftbericht (Fach "&amp;X1250&amp;" Stk); ",IF(CA1250=1,"Gebinde geschätzt ("&amp;T1250&amp;"); ",IF(BZ1250=1,"Lose – Tablare geschätzt; ","")))&amp;IF(H1250&gt;AV1250,"Überbestand "&amp;ROUND(H1250-AV1250,0)&amp;" Stk / CHF "&amp;ROUND((H1250-AV1250)*G1250,0)&amp;"; ","")&amp;IF(AND(CH1250=1,CI1250&lt;CJ1250),"MAX &lt; MB+LG; ","")&amp;IF(AND(CP1250&gt;0,CO1250*10&gt;CP1250),"zu hoch für Tablar; ","")&amp;IF(AND(BV1250=0,OR(CH1250=1,AA1250&lt;&gt;"",U1250&lt;&gt;"",V1250&lt;&gt;"",AB1250&lt;&gt;"")),"manuell übersteuert; ","")&amp;IF(AND(BZ1250=0,R1250=0),"Gebinde unbekannt / Stellmass fehlt; ","")&amp;IF(AND(BZ1250=0,N(V1250)&lt;=0,N(Q1250)&lt;=0),"Menge pro Gebinde fehlt (Ist = 1 Gebinde); ","")&amp;BU1250)</f>
        <v>negativer Bestand (Export -5); </v>
      </c>
      <c r="BN1250" s="48"/>
      <c r="BO1250" s="48"/>
      <c r="BP1250" s="55"/>
      <c r="BQ1250" s="50" t="n">
        <v>-5</v>
      </c>
      <c r="BR1250" s="50" t="n">
        <v>24</v>
      </c>
      <c r="BS1250" s="49" t="n">
        <v>-738.000000000001</v>
      </c>
      <c r="BT1250" s="50" t="n">
        <v>29</v>
      </c>
      <c r="BU1250" s="48"/>
      <c r="BV1250" s="53" t="n">
        <v>0</v>
      </c>
      <c r="BW1250" s="53" t="n">
        <v>1250</v>
      </c>
      <c r="BX1250" s="48" t="str">
        <f aca="false">IF(U1250&lt;&gt;"",UPPER(TRIM(U1250)),IF(CA1250=1,UPPER(VLOOKUP(T1250,Parameter!$I$27:$K$29,2,0)),IF(P1250="","LOSE",P1250)))</f>
        <v>S33</v>
      </c>
      <c r="BY1250" s="50" t="n">
        <f aca="false">IF(BX1250="LOSE",1,IF(N(V1250)&gt;0,V1250,IF(CA1250=1,MAX(1,N(VLOOKUP(T1250,Parameter!$I$27:$K$29,3,0)),H1250,N(N1250)),IF(N(Q1250)&gt;0,Q1250,MAX(1,H1250)))))</f>
        <v>37</v>
      </c>
      <c r="BZ1250" s="53" t="n">
        <f aca="false">IF(BX1250="LOSE",1,0)</f>
        <v>0</v>
      </c>
      <c r="CA1250" s="53" t="n">
        <f aca="false">IF(AND(U1250="",OR(P1250="",P1250="LOSE"),T1250&lt;&gt;"",N(S1250)&lt;=0,ISNUMBER(MATCH(T1250,Parameter!$I$27:$I$29,0))),1,0)</f>
        <v>0</v>
      </c>
      <c r="CB1250" s="53" t="n">
        <f aca="false">IF(CQ1250&gt;0,INDEX(Parameter!$H$5:$H$7,W1250)/INDEX(Parameter!$E$5:$E$7,W1250),IF(AND(BZ1250=0,N(IFERROR(VLOOKUP(BX1250,'Gebinde-Kategorie'!$A$5:$N$45,14,0),0))&gt;0),VLOOKUP(BX1250,'Gebinde-Kategorie'!$A$5:$N$45,14,0)*10+Parameter!$M$23,Parameter!$M$24))</f>
        <v>155</v>
      </c>
      <c r="CC1250" s="48" t="str">
        <f aca="false">IF(AND(Parameter!$B$19="Ja",E1250&lt;&gt;"",ISNUMBER(MATCH(E1250,Parameter!$I$35:$I$52,0))),VLOOKUP(E1250,Parameter!$I$35:$J$52,2,0),IFERROR(VLOOKUP(D1250,Parameter!$A$35:$C$64,2,0),"Nein"))</f>
        <v>2+3</v>
      </c>
      <c r="CD1250" s="52" t="n">
        <f aca="false">IF(BZ1250=0,0,IF(N(S1250)&gt;0,S1250,IFERROR(VLOOKUP(D1250,Parameter!$A$35:$C$64,3,0)+0,0)))</f>
        <v>0</v>
      </c>
      <c r="CE1250" s="48" t="n">
        <f aca="false">IF(AA1250&lt;&gt;"",AA1250,Z1250)</f>
        <v>3</v>
      </c>
      <c r="CF1250" s="48" t="str">
        <f aca="false">IF(OR(CE1250=1,CE1250=2,CE1250=3),IF(Parameter!$E$27="Ja","LIFT",IF(CE1250=1,"L1","L23")),IF(CE1250="Aussen","Aussen","-"))</f>
        <v>LIFT</v>
      </c>
      <c r="CG1250" s="59" t="n">
        <f aca="false">IF(N(AB1250)&gt;0,AB1250,0)</f>
        <v>0</v>
      </c>
      <c r="CH1250" s="53" t="n">
        <f aca="false">IF(ISNUMBER(AE1250),1,0)</f>
        <v>0</v>
      </c>
      <c r="CI1250" s="50" t="n">
        <f aca="false">N(AE1250)</f>
        <v>0</v>
      </c>
      <c r="CJ1250" s="50" t="n">
        <f aca="false">N(M1250)+N(N1250)</f>
        <v>23</v>
      </c>
      <c r="CK1250" s="50" t="n">
        <f aca="false">N(M1250)</f>
        <v>3</v>
      </c>
      <c r="CL1250" s="50" t="n">
        <f aca="false">N(N1250)</f>
        <v>20</v>
      </c>
      <c r="CM1250" s="50" t="n">
        <f aca="false">ROUNDUP(H1250/BY1250,0)</f>
        <v>1</v>
      </c>
      <c r="CN1250" s="50" t="n">
        <f aca="false">ROUNDUP(CI1250/BY1250,0)</f>
        <v>0</v>
      </c>
      <c r="CO1250" s="53" t="n">
        <f aca="false">IF(BZ1250=1,0,IFERROR(VLOOKUP(BX1250,'Gebinde-Kategorie'!$A$5:$N$45,5,0)+0,0))</f>
        <v>8</v>
      </c>
      <c r="CP1250" s="53" t="n">
        <f aca="false">IFERROR(IF(OR(CE1250=1,CE1250=2,CE1250=3),N(INDEX(Parameter!$I$5:$I$7,CE1250)),0),0)</f>
        <v>0</v>
      </c>
      <c r="CQ1250" s="52" t="n">
        <f aca="false">IF(AND(Parameter!$B$21="Ja",ISNUMBER(W1250),N(X1250)&gt;0),IFERROR(N(INDEX(Parameter!$L$5:$L$7,W1250))*INDEX(Parameter!$E$5:$E$7,W1250)*X1250/SUMIFS($X$7:$X$1843,$W$7:$W$1843,W1250),0),0)</f>
        <v>0</v>
      </c>
    </row>
    <row r="1251" customFormat="false" ht="15" hidden="false" customHeight="false" outlineLevel="0" collapsed="false">
      <c r="A1251" s="48" t="s">
        <v>2246</v>
      </c>
      <c r="B1251" s="48" t="s">
        <v>600</v>
      </c>
      <c r="C1251" s="48" t="s">
        <v>173</v>
      </c>
      <c r="D1251" s="48" t="s">
        <v>193</v>
      </c>
      <c r="E1251" s="48" t="s">
        <v>194</v>
      </c>
      <c r="F1251" s="48" t="s">
        <v>227</v>
      </c>
      <c r="G1251" s="49" t="n">
        <v>59.75</v>
      </c>
      <c r="H1251" s="50" t="n">
        <f aca="false">MAX(0,IF(AND(Parameter!$B$21="Ja",ISNUMBER(Y1251)),Y1251,IF(Parameter!$B$20="Jahresanfang 2025 + Export",BR1251+BQ1251,BQ1251)))</f>
        <v>70</v>
      </c>
      <c r="I1251" s="50" t="n">
        <f aca="false">H1251*G1251</f>
        <v>4182.5</v>
      </c>
      <c r="J1251" s="50" t="n">
        <f aca="false">BT1251*Parameter!$B$18</f>
        <v>29</v>
      </c>
      <c r="K1251" s="51" t="n">
        <v>77.5</v>
      </c>
      <c r="L1251" s="52" t="n">
        <v>0.374193548387097</v>
      </c>
      <c r="M1251" s="50" t="n">
        <v>4</v>
      </c>
      <c r="N1251" s="50" t="n">
        <v>30</v>
      </c>
      <c r="O1251" s="53" t="n">
        <v>21</v>
      </c>
      <c r="P1251" s="48" t="s">
        <v>242</v>
      </c>
      <c r="Q1251" s="50" t="n">
        <v>90</v>
      </c>
      <c r="R1251" s="53" t="n">
        <f aca="false">IF(BZ1251=1,0,IFERROR(VLOOKUP(BX1251,'Gebinde-Kategorie'!$A$5:$N$45,13,0)+0,0))</f>
        <v>26</v>
      </c>
      <c r="S1251" s="54"/>
      <c r="T1251" s="55"/>
      <c r="U1251" s="55"/>
      <c r="V1251" s="55"/>
      <c r="W1251" s="48"/>
      <c r="X1251" s="50"/>
      <c r="Y1251" s="50"/>
      <c r="Z1251" s="48" t="n">
        <f aca="false">IF(A1251="","",IF(AND(Parameter!$B$21="Ja",ISNUMBER(W1251)),W1251,IF(CC1251="2+3",IF(ISNUMBER(SEARCH("grosser Artikel",BU1251)),2,IFERROR(VLOOKUP(BX1251,Parameter!$F$35:$G$64,2,0),2)),IF(OR(CC1251="Nein",CC1251=""),"-",CC1251))))</f>
        <v>3</v>
      </c>
      <c r="AA1251" s="55"/>
      <c r="AB1251" s="56"/>
      <c r="AC1251" s="50" t="n">
        <f aca="false">AV1251</f>
        <v>34</v>
      </c>
      <c r="AD1251" s="50" t="n">
        <f aca="false">MAX(AV1251,H1251)</f>
        <v>70</v>
      </c>
      <c r="AE1251" s="57"/>
      <c r="AF1251" s="50" t="n">
        <f aca="false">IF(LEFT(Cockpit!$C$5,1)="A",H1251,IF(Parameter!$E$30="MAX-Bestand",IF(CH1251=1,CI1251,IF(LEFT(Cockpit!$C$5,1)="B",AL1251,MAX(AL1251,H1251))),ROUNDUP(AJ1251,0)))</f>
        <v>70</v>
      </c>
      <c r="AG1251" s="50" t="n">
        <f aca="false">IF(BZ1251=1,0,ROUNDUP(AF1251/BY1251,0))</f>
        <v>1</v>
      </c>
      <c r="AH1251" s="52" t="n">
        <f aca="false">IF(CQ1251&gt;0,CQ1251*MAX(1,AF1251/X1251),IF(BZ1251=1,IF(AF1251&lt;=0,0,CD1251*MAX(1,IF(H1251&gt;0,AF1251/H1251,1))),IF(R1251&gt;0,AG1251/R1251,0))/MAX(0.1,N(Parameter!$M$21)))</f>
        <v>0.0384615384615385</v>
      </c>
      <c r="AI1251" s="50" t="n">
        <f aca="false">AH1251*CB1251</f>
        <v>9.42307692307692</v>
      </c>
      <c r="AJ1251" s="51" t="n">
        <f aca="false">IF(LEFT(Cockpit!$C$5,1)="A",H1251,IF(CH1251=1,(CK1251+CI1251)/2,IF(LEFT(Cockpit!$C$5,1)="B",(CK1251+AL1251)/2,MAX((CK1251+AL1251)/2,H1251))))</f>
        <v>70</v>
      </c>
      <c r="AK1251" s="50" t="n">
        <f aca="false">AJ1251*G1251</f>
        <v>4182.5</v>
      </c>
      <c r="AL1251" s="50" t="n">
        <f aca="false">ROUNDUP(CK1251+MAX(CL1251,2*(J1251/IF(CG1251&gt;0,CG1251,MAX(0.1,N(Cockpit!$C$6)))-CK1251)),0)</f>
        <v>34</v>
      </c>
      <c r="AM1251" s="51" t="n">
        <f aca="false">IF(AI1251&gt;0,J1251/AI1251,-1)</f>
        <v>3.07755102040816</v>
      </c>
      <c r="AN1251" s="51" t="n">
        <f aca="false">IF(AND(OR(CF1251="L1",CF1251="L23",CF1251="LIFT"),AI1251&gt;0),SUMIFS($AI$7:$AI$1843,$CF$7:$CF$1843,CF1251,$AM$7:$AM$1843,"&gt;"&amp;AM1251)+SUMIFS($AI$7:$AI$1843,$CF$7:$CF$1843,CF1251,$AM$7:$AM$1843,AM1251,$BW$7:$BW$1843,"&lt;="&amp;BW1251),"")</f>
        <v>5041.08470695971</v>
      </c>
      <c r="AO1251" s="58" t="n">
        <f aca="false">IF(AN1251="",0,MAX(0,MIN(1,(IF(CF1251="L1",Parameter!$H$5,IF(CF1251="L23",Parameter!$H$6+Parameter!$H$7,Parameter!$H$5+Parameter!$H$6+Parameter!$H$7))-(AN1251-AI1251))/AI1251)))</f>
        <v>1</v>
      </c>
      <c r="AP1251" s="50" t="n">
        <f aca="false">IF(LEFT(Cockpit!$I$5,1)="A",H1251,IF(Parameter!$E$30="MAX-Bestand",IF(CH1251=1,CI1251,IF(LEFT(Cockpit!$I$5,1)="B",AV1251,MAX(AV1251,H1251))),ROUNDUP(AT1251,0)))</f>
        <v>70</v>
      </c>
      <c r="AQ1251" s="50" t="n">
        <f aca="false">IF(BZ1251=1,0,ROUNDUP(AP1251/BY1251,0))</f>
        <v>1</v>
      </c>
      <c r="AR1251" s="52" t="n">
        <f aca="false">IF(CQ1251&gt;0,CQ1251*MAX(1,AP1251/X1251),IF(BZ1251=1,IF(AP1251&lt;=0,0,CD1251*MAX(1,IF(H1251&gt;0,AP1251/H1251,1))),IF(R1251&gt;0,AQ1251/R1251,0))/MAX(0.1,N(Parameter!$M$21)))</f>
        <v>0.0384615384615385</v>
      </c>
      <c r="AS1251" s="50" t="n">
        <f aca="false">AR1251*CB1251</f>
        <v>9.42307692307692</v>
      </c>
      <c r="AT1251" s="51" t="n">
        <f aca="false">IF(LEFT(Cockpit!$I$5,1)="A",H1251,IF(CH1251=1,(CK1251+CI1251)/2,IF(LEFT(Cockpit!$I$5,1)="B",(CK1251+AV1251)/2,MAX((CK1251+AV1251)/2,H1251))))</f>
        <v>70</v>
      </c>
      <c r="AU1251" s="50" t="n">
        <f aca="false">AT1251*G1251</f>
        <v>4182.5</v>
      </c>
      <c r="AV1251" s="50" t="n">
        <f aca="false">ROUNDUP(CK1251+MAX(CL1251,2*(J1251/IF(CG1251&gt;0,CG1251,MAX(0.1,N(Cockpit!$I$6)))-CK1251)),0)</f>
        <v>34</v>
      </c>
      <c r="AW1251" s="51" t="n">
        <f aca="false">IF(AS1251&gt;0,J1251/AS1251,-1)</f>
        <v>3.07755102040816</v>
      </c>
      <c r="AX1251" s="51" t="n">
        <f aca="false">IF(AND(OR(CF1251="L1",CF1251="L23",CF1251="LIFT"),AS1251&gt;0),SUMIFS($AS$7:$AS$1843,$CF$7:$CF$1843,CF1251,$AW$7:$AW$1843,"&gt;"&amp;AW1251)+SUMIFS($AS$7:$AS$1843,$CF$7:$CF$1843,CF1251,$AW$7:$AW$1843,AW1251,$BW$7:$BW$1843,"&lt;="&amp;BW1251),"")</f>
        <v>5797.13324175824</v>
      </c>
      <c r="AY1251" s="58" t="n">
        <f aca="false">IF(AX1251="",0,MAX(0,MIN(1,(IF(CF1251="L1",Parameter!$H$5,IF(CF1251="L23",Parameter!$H$6+Parameter!$H$7,Parameter!$H$5+Parameter!$H$6+Parameter!$H$7))-(AX1251-AS1251))/AS1251)))</f>
        <v>1</v>
      </c>
      <c r="AZ1251" s="50" t="n">
        <f aca="false">IF(LEFT(Cockpit!$O$5,1)="A",H1251,IF(Parameter!$E$30="MAX-Bestand",IF(CH1251=1,CI1251,IF(LEFT(Cockpit!$O$5,1)="B",BF1251,MAX(BF1251,H1251))),ROUNDUP(BD1251,0)))</f>
        <v>19</v>
      </c>
      <c r="BA1251" s="50" t="n">
        <f aca="false">IF(BZ1251=1,0,ROUNDUP(AZ1251/BY1251,0))</f>
        <v>1</v>
      </c>
      <c r="BB1251" s="52" t="n">
        <f aca="false">IF(CQ1251&gt;0,CQ1251*MAX(1,AZ1251/X1251),IF(BZ1251=1,IF(AZ1251&lt;=0,0,CD1251*MAX(1,IF(H1251&gt;0,AZ1251/H1251,1))),IF(R1251&gt;0,BA1251/R1251,0))/MAX(0.1,N(Parameter!$M$21)))</f>
        <v>0.0384615384615385</v>
      </c>
      <c r="BC1251" s="50" t="n">
        <f aca="false">BB1251*CB1251</f>
        <v>9.42307692307692</v>
      </c>
      <c r="BD1251" s="51" t="n">
        <f aca="false">IF(LEFT(Cockpit!$O$5,1)="A",H1251,IF(CH1251=1,(CK1251+CI1251)/2,IF(LEFT(Cockpit!$O$5,1)="B",(CK1251+BF1251)/2,MAX((CK1251+BF1251)/2,H1251))))</f>
        <v>19</v>
      </c>
      <c r="BE1251" s="50" t="n">
        <f aca="false">BD1251*G1251</f>
        <v>1135.25</v>
      </c>
      <c r="BF1251" s="50" t="n">
        <f aca="false">ROUNDUP(CK1251+MAX(CL1251,2*(J1251/IF(CG1251&gt;0,CG1251,MAX(0.1,N(Cockpit!$O$6)))-CK1251)),0)</f>
        <v>34</v>
      </c>
      <c r="BG1251" s="51" t="n">
        <f aca="false">IF(BC1251&gt;0,J1251/BC1251,-1)</f>
        <v>3.07755102040816</v>
      </c>
      <c r="BH1251" s="51" t="n">
        <f aca="false">IF(AND(OR(CF1251="L1",CF1251="L23",CF1251="LIFT"),BC1251&gt;0),SUMIFS($BC$7:$BC$1843,$CF$7:$CF$1843,CF1251,$BG$7:$BG$1843,"&gt;"&amp;BG1251)+SUMIFS($BC$7:$BC$1843,$CF$7:$CF$1843,CF1251,$BG$7:$BG$1843,BG1251,$BW$7:$BW$1843,"&lt;="&amp;BW1251),"")</f>
        <v>4741.54990842491</v>
      </c>
      <c r="BI1251" s="58" t="n">
        <f aca="false">IF(BH1251="",0,MAX(0,MIN(1,(IF(CF1251="L1",Parameter!$H$5,IF(CF1251="L23",Parameter!$H$6+Parameter!$H$7,Parameter!$H$5+Parameter!$H$6+Parameter!$H$7))-(BH1251-BC1251))/BC1251)))</f>
        <v>1</v>
      </c>
      <c r="BJ1251" s="48" t="str">
        <f aca="false">IF(AI1251&lt;=0,"",IF(CF1251="Aussen","Aussenlager",IF(CF1251="-","Nicht im Lift",IF(AO1251&gt;=1,"Lift",IF(AO1251&lt;=0,"Aussenlager","teilweise")))))</f>
        <v>Lift</v>
      </c>
      <c r="BK1251" s="48" t="str">
        <f aca="false">IF(AS1251&lt;=0,"",IF(CF1251="Aussen","Aussenlager",IF(CF1251="-","Nicht im Lift",IF(AY1251&gt;=1,"Lift",IF(AY1251&lt;=0,"Aussenlager","teilweise")))))</f>
        <v>Lift</v>
      </c>
      <c r="BL1251" s="48" t="str">
        <f aca="false">IF(BC1251&lt;=0,"",IF(CF1251="Aussen","Aussenlager",IF(CF1251="-","Nicht im Lift",IF(BI1251&gt;=1,"Lift",IF(BI1251&lt;=0,"Aussenlager","teilweise")))))</f>
        <v>Lift</v>
      </c>
      <c r="BM1251" s="48" t="str">
        <f aca="false">IF(A1251="","",IF(BV1251=1,"Neu; ","")&amp;IF(AND(BV1251=0,BQ1251&lt;0),"negativer Bestand (Export "&amp;BQ1251&amp;"); ","")&amp;IF(J1251&lt;=0,"Kein Verbrauch; ","")&amp;IF(CQ1251&gt;0,"Lift "&amp;W1251&amp;" lt. Liftbericht (Fach "&amp;X1251&amp;" Stk); ",IF(CA1251=1,"Gebinde geschätzt ("&amp;T1251&amp;"); ",IF(BZ1251=1,"Lose – Tablare geschätzt; ","")))&amp;IF(H1251&gt;AV1251,"Überbestand "&amp;ROUND(H1251-AV1251,0)&amp;" Stk / CHF "&amp;ROUND((H1251-AV1251)*G1251,0)&amp;"; ","")&amp;IF(AND(CH1251=1,CI1251&lt;CJ1251),"MAX &lt; MB+LG; ","")&amp;IF(AND(CP1251&gt;0,CO1251*10&gt;CP1251),"zu hoch für Tablar; ","")&amp;IF(AND(BV1251=0,OR(CH1251=1,AA1251&lt;&gt;"",U1251&lt;&gt;"",V1251&lt;&gt;"",AB1251&lt;&gt;"")),"manuell übersteuert; ","")&amp;IF(AND(BZ1251=0,R1251=0),"Gebinde unbekannt / Stellmass fehlt; ","")&amp;IF(AND(BZ1251=0,N(V1251)&lt;=0,N(Q1251)&lt;=0),"Menge pro Gebinde fehlt (Ist = 1 Gebinde); ","")&amp;BU1251)</f>
        <v>negativer Bestand (Export -13); Überbestand 36 Stk / CHF 2151; </v>
      </c>
      <c r="BN1251" s="48"/>
      <c r="BO1251" s="48"/>
      <c r="BP1251" s="55"/>
      <c r="BQ1251" s="50" t="n">
        <v>-13</v>
      </c>
      <c r="BR1251" s="50" t="n">
        <v>83</v>
      </c>
      <c r="BS1251" s="49" t="n">
        <v>-750.190000000001</v>
      </c>
      <c r="BT1251" s="50" t="n">
        <v>29</v>
      </c>
      <c r="BU1251" s="48"/>
      <c r="BV1251" s="53" t="n">
        <v>0</v>
      </c>
      <c r="BW1251" s="53" t="n">
        <v>1251</v>
      </c>
      <c r="BX1251" s="48" t="str">
        <f aca="false">IF(U1251&lt;&gt;"",UPPER(TRIM(U1251)),IF(CA1251=1,UPPER(VLOOKUP(T1251,Parameter!$I$27:$K$29,2,0)),IF(P1251="","LOSE",P1251)))</f>
        <v>S52</v>
      </c>
      <c r="BY1251" s="50" t="n">
        <f aca="false">IF(BX1251="LOSE",1,IF(N(V1251)&gt;0,V1251,IF(CA1251=1,MAX(1,N(VLOOKUP(T1251,Parameter!$I$27:$K$29,3,0)),H1251,N(N1251)),IF(N(Q1251)&gt;0,Q1251,MAX(1,H1251)))))</f>
        <v>90</v>
      </c>
      <c r="BZ1251" s="53" t="n">
        <f aca="false">IF(BX1251="LOSE",1,0)</f>
        <v>0</v>
      </c>
      <c r="CA1251" s="53" t="n">
        <f aca="false">IF(AND(U1251="",OR(P1251="",P1251="LOSE"),T1251&lt;&gt;"",N(S1251)&lt;=0,ISNUMBER(MATCH(T1251,Parameter!$I$27:$I$29,0))),1,0)</f>
        <v>0</v>
      </c>
      <c r="CB1251" s="53" t="n">
        <f aca="false">IF(CQ1251&gt;0,INDEX(Parameter!$H$5:$H$7,W1251)/INDEX(Parameter!$E$5:$E$7,W1251),IF(AND(BZ1251=0,N(IFERROR(VLOOKUP(BX1251,'Gebinde-Kategorie'!$A$5:$N$45,14,0),0))&gt;0),VLOOKUP(BX1251,'Gebinde-Kategorie'!$A$5:$N$45,14,0)*10+Parameter!$M$23,Parameter!$M$24))</f>
        <v>245</v>
      </c>
      <c r="CC1251" s="48" t="str">
        <f aca="false">IF(AND(Parameter!$B$19="Ja",E1251&lt;&gt;"",ISNUMBER(MATCH(E1251,Parameter!$I$35:$I$52,0))),VLOOKUP(E1251,Parameter!$I$35:$J$52,2,0),IFERROR(VLOOKUP(D1251,Parameter!$A$35:$C$64,2,0),"Nein"))</f>
        <v>2+3</v>
      </c>
      <c r="CD1251" s="52" t="n">
        <f aca="false">IF(BZ1251=0,0,IF(N(S1251)&gt;0,S1251,IFERROR(VLOOKUP(D1251,Parameter!$A$35:$C$64,3,0)+0,0)))</f>
        <v>0</v>
      </c>
      <c r="CE1251" s="48" t="n">
        <f aca="false">IF(AA1251&lt;&gt;"",AA1251,Z1251)</f>
        <v>3</v>
      </c>
      <c r="CF1251" s="48" t="str">
        <f aca="false">IF(OR(CE1251=1,CE1251=2,CE1251=3),IF(Parameter!$E$27="Ja","LIFT",IF(CE1251=1,"L1","L23")),IF(CE1251="Aussen","Aussen","-"))</f>
        <v>LIFT</v>
      </c>
      <c r="CG1251" s="59" t="n">
        <f aca="false">IF(N(AB1251)&gt;0,AB1251,0)</f>
        <v>0</v>
      </c>
      <c r="CH1251" s="53" t="n">
        <f aca="false">IF(ISNUMBER(AE1251),1,0)</f>
        <v>0</v>
      </c>
      <c r="CI1251" s="50" t="n">
        <f aca="false">N(AE1251)</f>
        <v>0</v>
      </c>
      <c r="CJ1251" s="50" t="n">
        <f aca="false">N(M1251)+N(N1251)</f>
        <v>34</v>
      </c>
      <c r="CK1251" s="50" t="n">
        <f aca="false">N(M1251)</f>
        <v>4</v>
      </c>
      <c r="CL1251" s="50" t="n">
        <f aca="false">N(N1251)</f>
        <v>30</v>
      </c>
      <c r="CM1251" s="50" t="n">
        <f aca="false">ROUNDUP(H1251/BY1251,0)</f>
        <v>1</v>
      </c>
      <c r="CN1251" s="50" t="n">
        <f aca="false">ROUNDUP(CI1251/BY1251,0)</f>
        <v>0</v>
      </c>
      <c r="CO1251" s="53" t="n">
        <f aca="false">IF(BZ1251=1,0,IFERROR(VLOOKUP(BX1251,'Gebinde-Kategorie'!$A$5:$N$45,5,0)+0,0))</f>
        <v>21</v>
      </c>
      <c r="CP1251" s="53" t="n">
        <f aca="false">IFERROR(IF(OR(CE1251=1,CE1251=2,CE1251=3),N(INDEX(Parameter!$I$5:$I$7,CE1251)),0),0)</f>
        <v>0</v>
      </c>
      <c r="CQ1251" s="52" t="n">
        <f aca="false">IF(AND(Parameter!$B$21="Ja",ISNUMBER(W1251),N(X1251)&gt;0),IFERROR(N(INDEX(Parameter!$L$5:$L$7,W1251))*INDEX(Parameter!$E$5:$E$7,W1251)*X1251/SUMIFS($X$7:$X$1843,$W$7:$W$1843,W1251),0),0)</f>
        <v>0</v>
      </c>
    </row>
    <row r="1252" customFormat="false" ht="15" hidden="false" customHeight="false" outlineLevel="0" collapsed="false">
      <c r="A1252" s="48" t="s">
        <v>2247</v>
      </c>
      <c r="B1252" s="48" t="s">
        <v>1534</v>
      </c>
      <c r="C1252" s="48" t="s">
        <v>173</v>
      </c>
      <c r="D1252" s="48" t="s">
        <v>193</v>
      </c>
      <c r="E1252" s="48"/>
      <c r="F1252" s="48" t="s">
        <v>227</v>
      </c>
      <c r="G1252" s="49" t="n">
        <v>1.67</v>
      </c>
      <c r="H1252" s="50" t="n">
        <f aca="false">MAX(0,IF(AND(Parameter!$B$21="Ja",ISNUMBER(Y1252)),Y1252,IF(Parameter!$B$20="Jahresanfang 2025 + Export",BR1252+BQ1252,BQ1252)))</f>
        <v>48</v>
      </c>
      <c r="I1252" s="50" t="n">
        <f aca="false">H1252*G1252</f>
        <v>80.16</v>
      </c>
      <c r="J1252" s="50" t="n">
        <f aca="false">BT1252*Parameter!$B$18</f>
        <v>206</v>
      </c>
      <c r="K1252" s="51" t="n">
        <v>397.5</v>
      </c>
      <c r="L1252" s="52" t="n">
        <v>0.518238993710692</v>
      </c>
      <c r="M1252" s="50" t="n">
        <v>12</v>
      </c>
      <c r="N1252" s="50" t="n">
        <v>250</v>
      </c>
      <c r="O1252" s="53" t="n">
        <v>105</v>
      </c>
      <c r="P1252" s="48" t="s">
        <v>177</v>
      </c>
      <c r="Q1252" s="50"/>
      <c r="R1252" s="53" t="n">
        <f aca="false">IF(BZ1252=1,0,IFERROR(VLOOKUP(BX1252,'Gebinde-Kategorie'!$A$5:$N$45,13,0)+0,0))</f>
        <v>26</v>
      </c>
      <c r="S1252" s="54"/>
      <c r="T1252" s="55" t="s">
        <v>284</v>
      </c>
      <c r="U1252" s="55"/>
      <c r="V1252" s="55"/>
      <c r="W1252" s="48"/>
      <c r="X1252" s="50"/>
      <c r="Y1252" s="50"/>
      <c r="Z1252" s="48" t="n">
        <f aca="false">IF(A1252="","",IF(AND(Parameter!$B$21="Ja",ISNUMBER(W1252)),W1252,IF(CC1252="2+3",IF(ISNUMBER(SEARCH("grosser Artikel",BU1252)),2,IFERROR(VLOOKUP(BX1252,Parameter!$F$35:$G$64,2,0),2)),IF(OR(CC1252="Nein",CC1252=""),"-",CC1252))))</f>
        <v>3</v>
      </c>
      <c r="AA1252" s="55"/>
      <c r="AB1252" s="56"/>
      <c r="AC1252" s="50" t="n">
        <f aca="false">AV1252</f>
        <v>262</v>
      </c>
      <c r="AD1252" s="50" t="n">
        <f aca="false">MAX(AV1252,H1252)</f>
        <v>262</v>
      </c>
      <c r="AE1252" s="57"/>
      <c r="AF1252" s="50" t="n">
        <f aca="false">IF(LEFT(Cockpit!$C$5,1)="A",H1252,IF(Parameter!$E$30="MAX-Bestand",IF(CH1252=1,CI1252,IF(LEFT(Cockpit!$C$5,1)="B",AL1252,MAX(AL1252,H1252))),ROUNDUP(AJ1252,0)))</f>
        <v>48</v>
      </c>
      <c r="AG1252" s="50" t="n">
        <f aca="false">IF(BZ1252=1,0,ROUNDUP(AF1252/BY1252,0))</f>
        <v>1</v>
      </c>
      <c r="AH1252" s="52" t="n">
        <f aca="false">IF(CQ1252&gt;0,CQ1252*MAX(1,AF1252/X1252),IF(BZ1252=1,IF(AF1252&lt;=0,0,CD1252*MAX(1,IF(H1252&gt;0,AF1252/H1252,1))),IF(R1252&gt;0,AG1252/R1252,0))/MAX(0.1,N(Parameter!$M$21)))</f>
        <v>0.0384615384615385</v>
      </c>
      <c r="AI1252" s="50" t="n">
        <f aca="false">AH1252*CB1252</f>
        <v>5.96153846153846</v>
      </c>
      <c r="AJ1252" s="51" t="n">
        <f aca="false">IF(LEFT(Cockpit!$C$5,1)="A",H1252,IF(CH1252=1,(CK1252+CI1252)/2,IF(LEFT(Cockpit!$C$5,1)="B",(CK1252+AL1252)/2,MAX((CK1252+AL1252)/2,H1252))))</f>
        <v>48</v>
      </c>
      <c r="AK1252" s="50" t="n">
        <f aca="false">AJ1252*G1252</f>
        <v>80.16</v>
      </c>
      <c r="AL1252" s="50" t="n">
        <f aca="false">ROUNDUP(CK1252+MAX(CL1252,2*(J1252/IF(CG1252&gt;0,CG1252,MAX(0.1,N(Cockpit!$C$6)))-CK1252)),0)</f>
        <v>262</v>
      </c>
      <c r="AM1252" s="51" t="n">
        <f aca="false">IF(AI1252&gt;0,J1252/AI1252,-1)</f>
        <v>34.5548387096774</v>
      </c>
      <c r="AN1252" s="51" t="n">
        <f aca="false">IF(AND(OR(CF1252="L1",CF1252="L23",CF1252="LIFT"),AI1252&gt;0),SUMIFS($AI$7:$AI$1843,$CF$7:$CF$1843,CF1252,$AM$7:$AM$1843,"&gt;"&amp;AM1252)+SUMIFS($AI$7:$AI$1843,$CF$7:$CF$1843,CF1252,$AM$7:$AM$1843,AM1252,$BW$7:$BW$1843,"&lt;="&amp;BW1252),"")</f>
        <v>1307.69917582418</v>
      </c>
      <c r="AO1252" s="58" t="n">
        <f aca="false">IF(AN1252="",0,MAX(0,MIN(1,(IF(CF1252="L1",Parameter!$H$5,IF(CF1252="L23",Parameter!$H$6+Parameter!$H$7,Parameter!$H$5+Parameter!$H$6+Parameter!$H$7))-(AN1252-AI1252))/AI1252)))</f>
        <v>1</v>
      </c>
      <c r="AP1252" s="50" t="n">
        <f aca="false">IF(LEFT(Cockpit!$I$5,1)="A",H1252,IF(Parameter!$E$30="MAX-Bestand",IF(CH1252=1,CI1252,IF(LEFT(Cockpit!$I$5,1)="B",AV1252,MAX(AV1252,H1252))),ROUNDUP(AT1252,0)))</f>
        <v>137</v>
      </c>
      <c r="AQ1252" s="50" t="n">
        <f aca="false">IF(BZ1252=1,0,ROUNDUP(AP1252/BY1252,0))</f>
        <v>1</v>
      </c>
      <c r="AR1252" s="52" t="n">
        <f aca="false">IF(CQ1252&gt;0,CQ1252*MAX(1,AP1252/X1252),IF(BZ1252=1,IF(AP1252&lt;=0,0,CD1252*MAX(1,IF(H1252&gt;0,AP1252/H1252,1))),IF(R1252&gt;0,AQ1252/R1252,0))/MAX(0.1,N(Parameter!$M$21)))</f>
        <v>0.0384615384615385</v>
      </c>
      <c r="AS1252" s="50" t="n">
        <f aca="false">AR1252*CB1252</f>
        <v>5.96153846153846</v>
      </c>
      <c r="AT1252" s="51" t="n">
        <f aca="false">IF(LEFT(Cockpit!$I$5,1)="A",H1252,IF(CH1252=1,(CK1252+CI1252)/2,IF(LEFT(Cockpit!$I$5,1)="B",(CK1252+AV1252)/2,MAX((CK1252+AV1252)/2,H1252))))</f>
        <v>137</v>
      </c>
      <c r="AU1252" s="50" t="n">
        <f aca="false">AT1252*G1252</f>
        <v>228.79</v>
      </c>
      <c r="AV1252" s="50" t="n">
        <f aca="false">ROUNDUP(CK1252+MAX(CL1252,2*(J1252/IF(CG1252&gt;0,CG1252,MAX(0.1,N(Cockpit!$I$6)))-CK1252)),0)</f>
        <v>262</v>
      </c>
      <c r="AW1252" s="51" t="n">
        <f aca="false">IF(AS1252&gt;0,J1252/AS1252,-1)</f>
        <v>34.5548387096774</v>
      </c>
      <c r="AX1252" s="51" t="n">
        <f aca="false">IF(AND(OR(CF1252="L1",CF1252="L23",CF1252="LIFT"),AS1252&gt;0),SUMIFS($AS$7:$AS$1843,$CF$7:$CF$1843,CF1252,$AW$7:$AW$1843,"&gt;"&amp;AW1252)+SUMIFS($AS$7:$AS$1843,$CF$7:$CF$1843,CF1252,$AW$7:$AW$1843,AW1252,$BW$7:$BW$1843,"&lt;="&amp;BW1252),"")</f>
        <v>1628.4652014652</v>
      </c>
      <c r="AY1252" s="58" t="n">
        <f aca="false">IF(AX1252="",0,MAX(0,MIN(1,(IF(CF1252="L1",Parameter!$H$5,IF(CF1252="L23",Parameter!$H$6+Parameter!$H$7,Parameter!$H$5+Parameter!$H$6+Parameter!$H$7))-(AX1252-AS1252))/AS1252)))</f>
        <v>1</v>
      </c>
      <c r="AZ1252" s="50" t="n">
        <f aca="false">IF(LEFT(Cockpit!$O$5,1)="A",H1252,IF(Parameter!$E$30="MAX-Bestand",IF(CH1252=1,CI1252,IF(LEFT(Cockpit!$O$5,1)="B",BF1252,MAX(BF1252,H1252))),ROUNDUP(BD1252,0)))</f>
        <v>137</v>
      </c>
      <c r="BA1252" s="50" t="n">
        <f aca="false">IF(BZ1252=1,0,ROUNDUP(AZ1252/BY1252,0))</f>
        <v>1</v>
      </c>
      <c r="BB1252" s="52" t="n">
        <f aca="false">IF(CQ1252&gt;0,CQ1252*MAX(1,AZ1252/X1252),IF(BZ1252=1,IF(AZ1252&lt;=0,0,CD1252*MAX(1,IF(H1252&gt;0,AZ1252/H1252,1))),IF(R1252&gt;0,BA1252/R1252,0))/MAX(0.1,N(Parameter!$M$21)))</f>
        <v>0.0384615384615385</v>
      </c>
      <c r="BC1252" s="50" t="n">
        <f aca="false">BB1252*CB1252</f>
        <v>5.96153846153846</v>
      </c>
      <c r="BD1252" s="51" t="n">
        <f aca="false">IF(LEFT(Cockpit!$O$5,1)="A",H1252,IF(CH1252=1,(CK1252+CI1252)/2,IF(LEFT(Cockpit!$O$5,1)="B",(CK1252+BF1252)/2,MAX((CK1252+BF1252)/2,H1252))))</f>
        <v>137</v>
      </c>
      <c r="BE1252" s="50" t="n">
        <f aca="false">BD1252*G1252</f>
        <v>228.79</v>
      </c>
      <c r="BF1252" s="50" t="n">
        <f aca="false">ROUNDUP(CK1252+MAX(CL1252,2*(J1252/IF(CG1252&gt;0,CG1252,MAX(0.1,N(Cockpit!$O$6)))-CK1252)),0)</f>
        <v>262</v>
      </c>
      <c r="BG1252" s="51" t="n">
        <f aca="false">IF(BC1252&gt;0,J1252/BC1252,-1)</f>
        <v>34.5548387096774</v>
      </c>
      <c r="BH1252" s="51" t="n">
        <f aca="false">IF(AND(OR(CF1252="L1",CF1252="L23",CF1252="LIFT"),BC1252&gt;0),SUMIFS($BC$7:$BC$1843,$CF$7:$CF$1843,CF1252,$BG$7:$BG$1843,"&gt;"&amp;BG1252)+SUMIFS($BC$7:$BC$1843,$CF$7:$CF$1843,CF1252,$BG$7:$BG$1843,BG1252,$BW$7:$BW$1843,"&lt;="&amp;BW1252),"")</f>
        <v>1550.70512820513</v>
      </c>
      <c r="BI1252" s="58" t="n">
        <f aca="false">IF(BH1252="",0,MAX(0,MIN(1,(IF(CF1252="L1",Parameter!$H$5,IF(CF1252="L23",Parameter!$H$6+Parameter!$H$7,Parameter!$H$5+Parameter!$H$6+Parameter!$H$7))-(BH1252-BC1252))/BC1252)))</f>
        <v>1</v>
      </c>
      <c r="BJ1252" s="48" t="str">
        <f aca="false">IF(AI1252&lt;=0,"",IF(CF1252="Aussen","Aussenlager",IF(CF1252="-","Nicht im Lift",IF(AO1252&gt;=1,"Lift",IF(AO1252&lt;=0,"Aussenlager","teilweise")))))</f>
        <v>Lift</v>
      </c>
      <c r="BK1252" s="48" t="str">
        <f aca="false">IF(AS1252&lt;=0,"",IF(CF1252="Aussen","Aussenlager",IF(CF1252="-","Nicht im Lift",IF(AY1252&gt;=1,"Lift",IF(AY1252&lt;=0,"Aussenlager","teilweise")))))</f>
        <v>Lift</v>
      </c>
      <c r="BL1252" s="48" t="str">
        <f aca="false">IF(BC1252&lt;=0,"",IF(CF1252="Aussen","Aussenlager",IF(CF1252="-","Nicht im Lift",IF(BI1252&gt;=1,"Lift",IF(BI1252&lt;=0,"Aussenlager","teilweise")))))</f>
        <v>Lift</v>
      </c>
      <c r="BM1252" s="48" t="str">
        <f aca="false">IF(A1252="","",IF(BV1252=1,"Neu; ","")&amp;IF(AND(BV1252=0,BQ1252&lt;0),"negativer Bestand (Export "&amp;BQ1252&amp;"); ","")&amp;IF(J1252&lt;=0,"Kein Verbrauch; ","")&amp;IF(CQ1252&gt;0,"Lift "&amp;W1252&amp;" lt. Liftbericht (Fach "&amp;X1252&amp;" Stk); ",IF(CA1252=1,"Gebinde geschätzt ("&amp;T1252&amp;"); ",IF(BZ1252=1,"Lose – Tablare geschätzt; ","")))&amp;IF(H1252&gt;AV1252,"Überbestand "&amp;ROUND(H1252-AV1252,0)&amp;" Stk / CHF "&amp;ROUND((H1252-AV1252)*G1252,0)&amp;"; ","")&amp;IF(AND(CH1252=1,CI1252&lt;CJ1252),"MAX &lt; MB+LG; ","")&amp;IF(AND(CP1252&gt;0,CO1252*10&gt;CP1252),"zu hoch für Tablar; ","")&amp;IF(AND(BV1252=0,OR(CH1252=1,AA1252&lt;&gt;"",U1252&lt;&gt;"",V1252&lt;&gt;"",AB1252&lt;&gt;"")),"manuell übersteuert; ","")&amp;IF(AND(BZ1252=0,R1252=0),"Gebinde unbekannt / Stellmass fehlt; ","")&amp;IF(AND(BZ1252=0,N(V1252)&lt;=0,N(Q1252)&lt;=0),"Menge pro Gebinde fehlt (Ist = 1 Gebinde); ","")&amp;BU1252)</f>
        <v>negativer Bestand (Export -452); Gebinde geschätzt (Klein); Menge pro Gebinde fehlt (Ist = 1 Gebinde); </v>
      </c>
      <c r="BN1252" s="48"/>
      <c r="BO1252" s="48"/>
      <c r="BP1252" s="55"/>
      <c r="BQ1252" s="50" t="n">
        <v>-452</v>
      </c>
      <c r="BR1252" s="50" t="n">
        <v>500</v>
      </c>
      <c r="BS1252" s="49" t="n">
        <v>-754.84</v>
      </c>
      <c r="BT1252" s="50" t="n">
        <v>206</v>
      </c>
      <c r="BU1252" s="48"/>
      <c r="BV1252" s="53" t="n">
        <v>0</v>
      </c>
      <c r="BW1252" s="53" t="n">
        <v>1252</v>
      </c>
      <c r="BX1252" s="48" t="str">
        <f aca="false">IF(U1252&lt;&gt;"",UPPER(TRIM(U1252)),IF(CA1252=1,UPPER(VLOOKUP(T1252,Parameter!$I$27:$K$29,2,0)),IF(P1252="","LOSE",P1252)))</f>
        <v>S51</v>
      </c>
      <c r="BY1252" s="50" t="n">
        <f aca="false">IF(BX1252="LOSE",1,IF(N(V1252)&gt;0,V1252,IF(CA1252=1,MAX(1,N(VLOOKUP(T1252,Parameter!$I$27:$K$29,3,0)),H1252,N(N1252)),IF(N(Q1252)&gt;0,Q1252,MAX(1,H1252)))))</f>
        <v>250</v>
      </c>
      <c r="BZ1252" s="53" t="n">
        <f aca="false">IF(BX1252="LOSE",1,0)</f>
        <v>0</v>
      </c>
      <c r="CA1252" s="53" t="n">
        <f aca="false">IF(AND(U1252="",OR(P1252="",P1252="LOSE"),T1252&lt;&gt;"",N(S1252)&lt;=0,ISNUMBER(MATCH(T1252,Parameter!$I$27:$I$29,0))),1,0)</f>
        <v>1</v>
      </c>
      <c r="CB1252" s="53" t="n">
        <f aca="false">IF(CQ1252&gt;0,INDEX(Parameter!$H$5:$H$7,W1252)/INDEX(Parameter!$E$5:$E$7,W1252),IF(AND(BZ1252=0,N(IFERROR(VLOOKUP(BX1252,'Gebinde-Kategorie'!$A$5:$N$45,14,0),0))&gt;0),VLOOKUP(BX1252,'Gebinde-Kategorie'!$A$5:$N$45,14,0)*10+Parameter!$M$23,Parameter!$M$24))</f>
        <v>155</v>
      </c>
      <c r="CC1252" s="48" t="str">
        <f aca="false">IF(AND(Parameter!$B$19="Ja",E1252&lt;&gt;"",ISNUMBER(MATCH(E1252,Parameter!$I$35:$I$52,0))),VLOOKUP(E1252,Parameter!$I$35:$J$52,2,0),IFERROR(VLOOKUP(D1252,Parameter!$A$35:$C$64,2,0),"Nein"))</f>
        <v>2+3</v>
      </c>
      <c r="CD1252" s="52" t="n">
        <f aca="false">IF(BZ1252=0,0,IF(N(S1252)&gt;0,S1252,IFERROR(VLOOKUP(D1252,Parameter!$A$35:$C$64,3,0)+0,0)))</f>
        <v>0</v>
      </c>
      <c r="CE1252" s="48" t="n">
        <f aca="false">IF(AA1252&lt;&gt;"",AA1252,Z1252)</f>
        <v>3</v>
      </c>
      <c r="CF1252" s="48" t="str">
        <f aca="false">IF(OR(CE1252=1,CE1252=2,CE1252=3),IF(Parameter!$E$27="Ja","LIFT",IF(CE1252=1,"L1","L23")),IF(CE1252="Aussen","Aussen","-"))</f>
        <v>LIFT</v>
      </c>
      <c r="CG1252" s="59" t="n">
        <f aca="false">IF(N(AB1252)&gt;0,AB1252,0)</f>
        <v>0</v>
      </c>
      <c r="CH1252" s="53" t="n">
        <f aca="false">IF(ISNUMBER(AE1252),1,0)</f>
        <v>0</v>
      </c>
      <c r="CI1252" s="50" t="n">
        <f aca="false">N(AE1252)</f>
        <v>0</v>
      </c>
      <c r="CJ1252" s="50" t="n">
        <f aca="false">N(M1252)+N(N1252)</f>
        <v>262</v>
      </c>
      <c r="CK1252" s="50" t="n">
        <f aca="false">N(M1252)</f>
        <v>12</v>
      </c>
      <c r="CL1252" s="50" t="n">
        <f aca="false">N(N1252)</f>
        <v>250</v>
      </c>
      <c r="CM1252" s="50" t="n">
        <f aca="false">ROUNDUP(H1252/BY1252,0)</f>
        <v>1</v>
      </c>
      <c r="CN1252" s="50" t="n">
        <f aca="false">ROUNDUP(CI1252/BY1252,0)</f>
        <v>0</v>
      </c>
      <c r="CO1252" s="53" t="n">
        <f aca="false">IF(BZ1252=1,0,IFERROR(VLOOKUP(BX1252,'Gebinde-Kategorie'!$A$5:$N$45,5,0)+0,0))</f>
        <v>11</v>
      </c>
      <c r="CP1252" s="53" t="n">
        <f aca="false">IFERROR(IF(OR(CE1252=1,CE1252=2,CE1252=3),N(INDEX(Parameter!$I$5:$I$7,CE1252)),0),0)</f>
        <v>0</v>
      </c>
      <c r="CQ1252" s="52" t="n">
        <f aca="false">IF(AND(Parameter!$B$21="Ja",ISNUMBER(W1252),N(X1252)&gt;0),IFERROR(N(INDEX(Parameter!$L$5:$L$7,W1252))*INDEX(Parameter!$E$5:$E$7,W1252)*X1252/SUMIFS($X$7:$X$1843,$W$7:$W$1843,W1252),0),0)</f>
        <v>0</v>
      </c>
    </row>
    <row r="1253" customFormat="false" ht="15" hidden="false" customHeight="false" outlineLevel="0" collapsed="false">
      <c r="A1253" s="48" t="s">
        <v>2248</v>
      </c>
      <c r="B1253" s="48" t="s">
        <v>231</v>
      </c>
      <c r="C1253" s="48" t="s">
        <v>173</v>
      </c>
      <c r="D1253" s="48" t="s">
        <v>182</v>
      </c>
      <c r="E1253" s="48" t="s">
        <v>182</v>
      </c>
      <c r="F1253" s="48" t="s">
        <v>227</v>
      </c>
      <c r="G1253" s="49" t="n">
        <v>118.58</v>
      </c>
      <c r="H1253" s="50" t="n">
        <f aca="false">MAX(0,IF(AND(Parameter!$B$21="Ja",ISNUMBER(Y1253)),Y1253,IF(Parameter!$B$20="Jahresanfang 2025 + Export",BR1253+BQ1253,BQ1253)))</f>
        <v>16</v>
      </c>
      <c r="I1253" s="50" t="n">
        <f aca="false">H1253*G1253</f>
        <v>1897.28</v>
      </c>
      <c r="J1253" s="50" t="n">
        <f aca="false">BT1253*Parameter!$B$18</f>
        <v>17</v>
      </c>
      <c r="K1253" s="51" t="n">
        <v>18</v>
      </c>
      <c r="L1253" s="52" t="n">
        <v>0.944444444444444</v>
      </c>
      <c r="M1253" s="50" t="n">
        <v>0</v>
      </c>
      <c r="N1253" s="50" t="n">
        <v>15</v>
      </c>
      <c r="O1253" s="53" t="n">
        <v>21</v>
      </c>
      <c r="P1253" s="48" t="s">
        <v>232</v>
      </c>
      <c r="Q1253" s="50" t="n">
        <v>40</v>
      </c>
      <c r="R1253" s="53" t="n">
        <f aca="false">IF(BZ1253=1,0,IFERROR(VLOOKUP(BX1253,'Gebinde-Kategorie'!$A$5:$N$45,13,0)+0,0))</f>
        <v>4</v>
      </c>
      <c r="S1253" s="54"/>
      <c r="T1253" s="55"/>
      <c r="U1253" s="55"/>
      <c r="V1253" s="55"/>
      <c r="W1253" s="48"/>
      <c r="X1253" s="50"/>
      <c r="Y1253" s="50"/>
      <c r="Z1253" s="48" t="str">
        <f aca="false">IF(A1253="","",IF(AND(Parameter!$B$21="Ja",ISNUMBER(W1253)),W1253,IF(CC1253="2+3",IF(ISNUMBER(SEARCH("grosser Artikel",BU1253)),2,IFERROR(VLOOKUP(BX1253,Parameter!$F$35:$G$64,2,0),2)),IF(OR(CC1253="Nein",CC1253=""),"-",CC1253))))</f>
        <v>-</v>
      </c>
      <c r="AA1253" s="55"/>
      <c r="AB1253" s="56"/>
      <c r="AC1253" s="50" t="n">
        <f aca="false">AV1253</f>
        <v>15</v>
      </c>
      <c r="AD1253" s="50" t="n">
        <f aca="false">MAX(AV1253,H1253)</f>
        <v>16</v>
      </c>
      <c r="AE1253" s="57"/>
      <c r="AF1253" s="50" t="n">
        <f aca="false">IF(LEFT(Cockpit!$C$5,1)="A",H1253,IF(Parameter!$E$30="MAX-Bestand",IF(CH1253=1,CI1253,IF(LEFT(Cockpit!$C$5,1)="B",AL1253,MAX(AL1253,H1253))),ROUNDUP(AJ1253,0)))</f>
        <v>16</v>
      </c>
      <c r="AG1253" s="50" t="n">
        <f aca="false">IF(BZ1253=1,0,ROUNDUP(AF1253/BY1253,0))</f>
        <v>1</v>
      </c>
      <c r="AH1253" s="52" t="n">
        <f aca="false">IF(CQ1253&gt;0,CQ1253*MAX(1,AF1253/X1253),IF(BZ1253=1,IF(AF1253&lt;=0,0,CD1253*MAX(1,IF(H1253&gt;0,AF1253/H1253,1))),IF(R1253&gt;0,AG1253/R1253,0))/MAX(0.1,N(Parameter!$M$21)))</f>
        <v>0.25</v>
      </c>
      <c r="AI1253" s="50" t="n">
        <f aca="false">AH1253*CB1253</f>
        <v>58.75</v>
      </c>
      <c r="AJ1253" s="51" t="n">
        <f aca="false">IF(LEFT(Cockpit!$C$5,1)="A",H1253,IF(CH1253=1,(CK1253+CI1253)/2,IF(LEFT(Cockpit!$C$5,1)="B",(CK1253+AL1253)/2,MAX((CK1253+AL1253)/2,H1253))))</f>
        <v>16</v>
      </c>
      <c r="AK1253" s="50" t="n">
        <f aca="false">AJ1253*G1253</f>
        <v>1897.28</v>
      </c>
      <c r="AL1253" s="50" t="n">
        <f aca="false">ROUNDUP(CK1253+MAX(CL1253,2*(J1253/IF(CG1253&gt;0,CG1253,MAX(0.1,N(Cockpit!$C$6)))-CK1253)),0)</f>
        <v>15</v>
      </c>
      <c r="AM1253" s="51" t="n">
        <f aca="false">IF(AI1253&gt;0,J1253/AI1253,-1)</f>
        <v>0.28936170212766</v>
      </c>
      <c r="AN1253" s="51" t="str">
        <f aca="false">IF(AND(OR(CF1253="L1",CF1253="L23",CF1253="LIFT"),AI1253&gt;0),SUMIFS($AI$7:$AI$1843,$CF$7:$CF$1843,CF1253,$AM$7:$AM$1843,"&gt;"&amp;AM1253)+SUMIFS($AI$7:$AI$1843,$CF$7:$CF$1843,CF1253,$AM$7:$AM$1843,AM1253,$BW$7:$BW$1843,"&lt;="&amp;BW1253),"")</f>
        <v/>
      </c>
      <c r="AO1253" s="58" t="n">
        <f aca="false">IF(AN1253="",0,MAX(0,MIN(1,(IF(CF1253="L1",Parameter!$H$5,IF(CF1253="L23",Parameter!$H$6+Parameter!$H$7,Parameter!$H$5+Parameter!$H$6+Parameter!$H$7))-(AN1253-AI1253))/AI1253)))</f>
        <v>0</v>
      </c>
      <c r="AP1253" s="50" t="n">
        <f aca="false">IF(LEFT(Cockpit!$I$5,1)="A",H1253,IF(Parameter!$E$30="MAX-Bestand",IF(CH1253=1,CI1253,IF(LEFT(Cockpit!$I$5,1)="B",AV1253,MAX(AV1253,H1253))),ROUNDUP(AT1253,0)))</f>
        <v>16</v>
      </c>
      <c r="AQ1253" s="50" t="n">
        <f aca="false">IF(BZ1253=1,0,ROUNDUP(AP1253/BY1253,0))</f>
        <v>1</v>
      </c>
      <c r="AR1253" s="52" t="n">
        <f aca="false">IF(CQ1253&gt;0,CQ1253*MAX(1,AP1253/X1253),IF(BZ1253=1,IF(AP1253&lt;=0,0,CD1253*MAX(1,IF(H1253&gt;0,AP1253/H1253,1))),IF(R1253&gt;0,AQ1253/R1253,0))/MAX(0.1,N(Parameter!$M$21)))</f>
        <v>0.25</v>
      </c>
      <c r="AS1253" s="50" t="n">
        <f aca="false">AR1253*CB1253</f>
        <v>58.75</v>
      </c>
      <c r="AT1253" s="51" t="n">
        <f aca="false">IF(LEFT(Cockpit!$I$5,1)="A",H1253,IF(CH1253=1,(CK1253+CI1253)/2,IF(LEFT(Cockpit!$I$5,1)="B",(CK1253+AV1253)/2,MAX((CK1253+AV1253)/2,H1253))))</f>
        <v>16</v>
      </c>
      <c r="AU1253" s="50" t="n">
        <f aca="false">AT1253*G1253</f>
        <v>1897.28</v>
      </c>
      <c r="AV1253" s="50" t="n">
        <f aca="false">ROUNDUP(CK1253+MAX(CL1253,2*(J1253/IF(CG1253&gt;0,CG1253,MAX(0.1,N(Cockpit!$I$6)))-CK1253)),0)</f>
        <v>15</v>
      </c>
      <c r="AW1253" s="51" t="n">
        <f aca="false">IF(AS1253&gt;0,J1253/AS1253,-1)</f>
        <v>0.28936170212766</v>
      </c>
      <c r="AX1253" s="51" t="str">
        <f aca="false">IF(AND(OR(CF1253="L1",CF1253="L23",CF1253="LIFT"),AS1253&gt;0),SUMIFS($AS$7:$AS$1843,$CF$7:$CF$1843,CF1253,$AW$7:$AW$1843,"&gt;"&amp;AW1253)+SUMIFS($AS$7:$AS$1843,$CF$7:$CF$1843,CF1253,$AW$7:$AW$1843,AW1253,$BW$7:$BW$1843,"&lt;="&amp;BW1253),"")</f>
        <v/>
      </c>
      <c r="AY1253" s="58" t="n">
        <f aca="false">IF(AX1253="",0,MAX(0,MIN(1,(IF(CF1253="L1",Parameter!$H$5,IF(CF1253="L23",Parameter!$H$6+Parameter!$H$7,Parameter!$H$5+Parameter!$H$6+Parameter!$H$7))-(AX1253-AS1253))/AS1253)))</f>
        <v>0</v>
      </c>
      <c r="AZ1253" s="50" t="n">
        <f aca="false">IF(LEFT(Cockpit!$O$5,1)="A",H1253,IF(Parameter!$E$30="MAX-Bestand",IF(CH1253=1,CI1253,IF(LEFT(Cockpit!$O$5,1)="B",BF1253,MAX(BF1253,H1253))),ROUNDUP(BD1253,0)))</f>
        <v>8</v>
      </c>
      <c r="BA1253" s="50" t="n">
        <f aca="false">IF(BZ1253=1,0,ROUNDUP(AZ1253/BY1253,0))</f>
        <v>1</v>
      </c>
      <c r="BB1253" s="52" t="n">
        <f aca="false">IF(CQ1253&gt;0,CQ1253*MAX(1,AZ1253/X1253),IF(BZ1253=1,IF(AZ1253&lt;=0,0,CD1253*MAX(1,IF(H1253&gt;0,AZ1253/H1253,1))),IF(R1253&gt;0,BA1253/R1253,0))/MAX(0.1,N(Parameter!$M$21)))</f>
        <v>0.25</v>
      </c>
      <c r="BC1253" s="50" t="n">
        <f aca="false">BB1253*CB1253</f>
        <v>58.75</v>
      </c>
      <c r="BD1253" s="51" t="n">
        <f aca="false">IF(LEFT(Cockpit!$O$5,1)="A",H1253,IF(CH1253=1,(CK1253+CI1253)/2,IF(LEFT(Cockpit!$O$5,1)="B",(CK1253+BF1253)/2,MAX((CK1253+BF1253)/2,H1253))))</f>
        <v>7.5</v>
      </c>
      <c r="BE1253" s="50" t="n">
        <f aca="false">BD1253*G1253</f>
        <v>889.35</v>
      </c>
      <c r="BF1253" s="50" t="n">
        <f aca="false">ROUNDUP(CK1253+MAX(CL1253,2*(J1253/IF(CG1253&gt;0,CG1253,MAX(0.1,N(Cockpit!$O$6)))-CK1253)),0)</f>
        <v>15</v>
      </c>
      <c r="BG1253" s="51" t="n">
        <f aca="false">IF(BC1253&gt;0,J1253/BC1253,-1)</f>
        <v>0.28936170212766</v>
      </c>
      <c r="BH1253" s="51" t="str">
        <f aca="false">IF(AND(OR(CF1253="L1",CF1253="L23",CF1253="LIFT"),BC1253&gt;0),SUMIFS($BC$7:$BC$1843,$CF$7:$CF$1843,CF1253,$BG$7:$BG$1843,"&gt;"&amp;BG1253)+SUMIFS($BC$7:$BC$1843,$CF$7:$CF$1843,CF1253,$BG$7:$BG$1843,BG1253,$BW$7:$BW$1843,"&lt;="&amp;BW1253),"")</f>
        <v/>
      </c>
      <c r="BI1253" s="58" t="n">
        <f aca="false">IF(BH1253="",0,MAX(0,MIN(1,(IF(CF1253="L1",Parameter!$H$5,IF(CF1253="L23",Parameter!$H$6+Parameter!$H$7,Parameter!$H$5+Parameter!$H$6+Parameter!$H$7))-(BH1253-BC1253))/BC1253)))</f>
        <v>0</v>
      </c>
      <c r="BJ1253" s="48" t="str">
        <f aca="false">IF(AI1253&lt;=0,"",IF(CF1253="Aussen","Aussenlager",IF(CF1253="-","Nicht im Lift",IF(AO1253&gt;=1,"Lift",IF(AO1253&lt;=0,"Aussenlager","teilweise")))))</f>
        <v>Nicht im Lift</v>
      </c>
      <c r="BK1253" s="48" t="str">
        <f aca="false">IF(AS1253&lt;=0,"",IF(CF1253="Aussen","Aussenlager",IF(CF1253="-","Nicht im Lift",IF(AY1253&gt;=1,"Lift",IF(AY1253&lt;=0,"Aussenlager","teilweise")))))</f>
        <v>Nicht im Lift</v>
      </c>
      <c r="BL1253" s="48" t="str">
        <f aca="false">IF(BC1253&lt;=0,"",IF(CF1253="Aussen","Aussenlager",IF(CF1253="-","Nicht im Lift",IF(BI1253&gt;=1,"Lift",IF(BI1253&lt;=0,"Aussenlager","teilweise")))))</f>
        <v>Nicht im Lift</v>
      </c>
      <c r="BM1253" s="48" t="str">
        <f aca="false">IF(A1253="","",IF(BV1253=1,"Neu; ","")&amp;IF(AND(BV1253=0,BQ1253&lt;0),"negativer Bestand (Export "&amp;BQ1253&amp;"); ","")&amp;IF(J1253&lt;=0,"Kein Verbrauch; ","")&amp;IF(CQ1253&gt;0,"Lift "&amp;W1253&amp;" lt. Liftbericht (Fach "&amp;X1253&amp;" Stk); ",IF(CA1253=1,"Gebinde geschätzt ("&amp;T1253&amp;"); ",IF(BZ1253=1,"Lose – Tablare geschätzt; ","")))&amp;IF(H1253&gt;AV1253,"Überbestand "&amp;ROUND(H1253-AV1253,0)&amp;" Stk / CHF "&amp;ROUND((H1253-AV1253)*G1253,0)&amp;"; ","")&amp;IF(AND(CH1253=1,CI1253&lt;CJ1253),"MAX &lt; MB+LG; ","")&amp;IF(AND(CP1253&gt;0,CO1253*10&gt;CP1253),"zu hoch für Tablar; ","")&amp;IF(AND(BV1253=0,OR(CH1253=1,AA1253&lt;&gt;"",U1253&lt;&gt;"",V1253&lt;&gt;"",AB1253&lt;&gt;"")),"manuell übersteuert; ","")&amp;IF(AND(BZ1253=0,R1253=0),"Gebinde unbekannt / Stellmass fehlt; ","")&amp;IF(AND(BZ1253=0,N(V1253)&lt;=0,N(Q1253)&lt;=0),"Menge pro Gebinde fehlt (Ist = 1 Gebinde); ","")&amp;BU1253)</f>
        <v>negativer Bestand (Export -3); Überbestand 1 Stk / CHF 119; </v>
      </c>
      <c r="BN1253" s="48"/>
      <c r="BO1253" s="48"/>
      <c r="BP1253" s="55"/>
      <c r="BQ1253" s="50" t="n">
        <v>-3</v>
      </c>
      <c r="BR1253" s="50" t="n">
        <v>19</v>
      </c>
      <c r="BS1253" s="49" t="n">
        <v>-755.309999999999</v>
      </c>
      <c r="BT1253" s="50" t="n">
        <v>17</v>
      </c>
      <c r="BU1253" s="48"/>
      <c r="BV1253" s="53" t="n">
        <v>0</v>
      </c>
      <c r="BW1253" s="53" t="n">
        <v>1253</v>
      </c>
      <c r="BX1253" s="48" t="str">
        <f aca="false">IF(U1253&lt;&gt;"",UPPER(TRIM(U1253)),IF(CA1253=1,UPPER(VLOOKUP(T1253,Parameter!$I$27:$K$29,2,0)),IF(P1253="","LOSE",P1253)))</f>
        <v>S81</v>
      </c>
      <c r="BY1253" s="50" t="n">
        <f aca="false">IF(BX1253="LOSE",1,IF(N(V1253)&gt;0,V1253,IF(CA1253=1,MAX(1,N(VLOOKUP(T1253,Parameter!$I$27:$K$29,3,0)),H1253,N(N1253)),IF(N(Q1253)&gt;0,Q1253,MAX(1,H1253)))))</f>
        <v>40</v>
      </c>
      <c r="BZ1253" s="53" t="n">
        <f aca="false">IF(BX1253="LOSE",1,0)</f>
        <v>0</v>
      </c>
      <c r="CA1253" s="53" t="n">
        <f aca="false">IF(AND(U1253="",OR(P1253="",P1253="LOSE"),T1253&lt;&gt;"",N(S1253)&lt;=0,ISNUMBER(MATCH(T1253,Parameter!$I$27:$I$29,0))),1,0)</f>
        <v>0</v>
      </c>
      <c r="CB1253" s="53" t="n">
        <f aca="false">IF(CQ1253&gt;0,INDEX(Parameter!$H$5:$H$7,W1253)/INDEX(Parameter!$E$5:$E$7,W1253),IF(AND(BZ1253=0,N(IFERROR(VLOOKUP(BX1253,'Gebinde-Kategorie'!$A$5:$N$45,14,0),0))&gt;0),VLOOKUP(BX1253,'Gebinde-Kategorie'!$A$5:$N$45,14,0)*10+Parameter!$M$23,Parameter!$M$24))</f>
        <v>235</v>
      </c>
      <c r="CC1253" s="48" t="str">
        <f aca="false">IF(AND(Parameter!$B$19="Ja",E1253&lt;&gt;"",ISNUMBER(MATCH(E1253,Parameter!$I$35:$I$52,0))),VLOOKUP(E1253,Parameter!$I$35:$J$52,2,0),IFERROR(VLOOKUP(D1253,Parameter!$A$35:$C$64,2,0),"Nein"))</f>
        <v>Nein</v>
      </c>
      <c r="CD1253" s="52" t="n">
        <f aca="false">IF(BZ1253=0,0,IF(N(S1253)&gt;0,S1253,IFERROR(VLOOKUP(D1253,Parameter!$A$35:$C$64,3,0)+0,0)))</f>
        <v>0</v>
      </c>
      <c r="CE1253" s="48" t="str">
        <f aca="false">IF(AA1253&lt;&gt;"",AA1253,Z1253)</f>
        <v>-</v>
      </c>
      <c r="CF1253" s="48" t="str">
        <f aca="false">IF(OR(CE1253=1,CE1253=2,CE1253=3),IF(Parameter!$E$27="Ja","LIFT",IF(CE1253=1,"L1","L23")),IF(CE1253="Aussen","Aussen","-"))</f>
        <v>-</v>
      </c>
      <c r="CG1253" s="59" t="n">
        <f aca="false">IF(N(AB1253)&gt;0,AB1253,0)</f>
        <v>0</v>
      </c>
      <c r="CH1253" s="53" t="n">
        <f aca="false">IF(ISNUMBER(AE1253),1,0)</f>
        <v>0</v>
      </c>
      <c r="CI1253" s="50" t="n">
        <f aca="false">N(AE1253)</f>
        <v>0</v>
      </c>
      <c r="CJ1253" s="50" t="n">
        <f aca="false">N(M1253)+N(N1253)</f>
        <v>15</v>
      </c>
      <c r="CK1253" s="50" t="n">
        <f aca="false">N(M1253)</f>
        <v>0</v>
      </c>
      <c r="CL1253" s="50" t="n">
        <f aca="false">N(N1253)</f>
        <v>15</v>
      </c>
      <c r="CM1253" s="50" t="n">
        <f aca="false">ROUNDUP(H1253/BY1253,0)</f>
        <v>1</v>
      </c>
      <c r="CN1253" s="50" t="n">
        <f aca="false">ROUNDUP(CI1253/BY1253,0)</f>
        <v>0</v>
      </c>
      <c r="CO1253" s="53" t="n">
        <f aca="false">IF(BZ1253=1,0,IFERROR(VLOOKUP(BX1253,'Gebinde-Kategorie'!$A$5:$N$45,5,0)+0,0))</f>
        <v>20</v>
      </c>
      <c r="CP1253" s="53" t="n">
        <f aca="false">IFERROR(IF(OR(CE1253=1,CE1253=2,CE1253=3),N(INDEX(Parameter!$I$5:$I$7,CE1253)),0),0)</f>
        <v>0</v>
      </c>
      <c r="CQ1253" s="52" t="n">
        <f aca="false">IF(AND(Parameter!$B$21="Ja",ISNUMBER(W1253),N(X1253)&gt;0),IFERROR(N(INDEX(Parameter!$L$5:$L$7,W1253))*INDEX(Parameter!$E$5:$E$7,W1253)*X1253/SUMIFS($X$7:$X$1843,$W$7:$W$1843,W1253),0),0)</f>
        <v>0</v>
      </c>
    </row>
    <row r="1254" customFormat="false" ht="15" hidden="false" customHeight="false" outlineLevel="0" collapsed="false">
      <c r="A1254" s="48" t="s">
        <v>2249</v>
      </c>
      <c r="B1254" s="48" t="s">
        <v>192</v>
      </c>
      <c r="C1254" s="48" t="s">
        <v>173</v>
      </c>
      <c r="D1254" s="48" t="s">
        <v>193</v>
      </c>
      <c r="E1254" s="48"/>
      <c r="F1254" s="48" t="s">
        <v>227</v>
      </c>
      <c r="G1254" s="49" t="n">
        <v>292.14</v>
      </c>
      <c r="H1254" s="50" t="n">
        <f aca="false">MAX(0,IF(AND(Parameter!$B$21="Ja",ISNUMBER(Y1254)),Y1254,IF(Parameter!$B$20="Jahresanfang 2025 + Export",BR1254+BQ1254,BQ1254)))</f>
        <v>1</v>
      </c>
      <c r="I1254" s="50" t="n">
        <f aca="false">H1254*G1254</f>
        <v>292.14</v>
      </c>
      <c r="J1254" s="50" t="n">
        <f aca="false">BT1254*Parameter!$B$18</f>
        <v>3</v>
      </c>
      <c r="K1254" s="51" t="n">
        <v>2.5</v>
      </c>
      <c r="L1254" s="52" t="n">
        <v>1.2</v>
      </c>
      <c r="M1254" s="50" t="n">
        <v>0</v>
      </c>
      <c r="N1254" s="50" t="n">
        <v>5</v>
      </c>
      <c r="O1254" s="53" t="n">
        <v>28</v>
      </c>
      <c r="P1254" s="48" t="s">
        <v>177</v>
      </c>
      <c r="Q1254" s="50"/>
      <c r="R1254" s="53" t="n">
        <f aca="false">IF(BZ1254=1,0,IFERROR(VLOOKUP(BX1254,'Gebinde-Kategorie'!$A$5:$N$45,13,0)+0,0))</f>
        <v>12</v>
      </c>
      <c r="S1254" s="54"/>
      <c r="T1254" s="55" t="s">
        <v>188</v>
      </c>
      <c r="U1254" s="55"/>
      <c r="V1254" s="55"/>
      <c r="W1254" s="48"/>
      <c r="X1254" s="50"/>
      <c r="Y1254" s="50"/>
      <c r="Z1254" s="48" t="n">
        <f aca="false">IF(A1254="","",IF(AND(Parameter!$B$21="Ja",ISNUMBER(W1254)),W1254,IF(CC1254="2+3",IF(ISNUMBER(SEARCH("grosser Artikel",BU1254)),2,IFERROR(VLOOKUP(BX1254,Parameter!$F$35:$G$64,2,0),2)),IF(OR(CC1254="Nein",CC1254=""),"-",CC1254))))</f>
        <v>2</v>
      </c>
      <c r="AA1254" s="55"/>
      <c r="AB1254" s="56"/>
      <c r="AC1254" s="50" t="n">
        <f aca="false">AV1254</f>
        <v>5</v>
      </c>
      <c r="AD1254" s="50" t="n">
        <f aca="false">MAX(AV1254,H1254)</f>
        <v>5</v>
      </c>
      <c r="AE1254" s="57"/>
      <c r="AF1254" s="50" t="n">
        <f aca="false">IF(LEFT(Cockpit!$C$5,1)="A",H1254,IF(Parameter!$E$30="MAX-Bestand",IF(CH1254=1,CI1254,IF(LEFT(Cockpit!$C$5,1)="B",AL1254,MAX(AL1254,H1254))),ROUNDUP(AJ1254,0)))</f>
        <v>1</v>
      </c>
      <c r="AG1254" s="50" t="n">
        <f aca="false">IF(BZ1254=1,0,ROUNDUP(AF1254/BY1254,0))</f>
        <v>1</v>
      </c>
      <c r="AH1254" s="52" t="n">
        <f aca="false">IF(CQ1254&gt;0,CQ1254*MAX(1,AF1254/X1254),IF(BZ1254=1,IF(AF1254&lt;=0,0,CD1254*MAX(1,IF(H1254&gt;0,AF1254/H1254,1))),IF(R1254&gt;0,AG1254/R1254,0))/MAX(0.1,N(Parameter!$M$21)))</f>
        <v>0.0833333333333333</v>
      </c>
      <c r="AI1254" s="50" t="n">
        <f aca="false">AH1254*CB1254</f>
        <v>12.0833333333333</v>
      </c>
      <c r="AJ1254" s="51" t="n">
        <f aca="false">IF(LEFT(Cockpit!$C$5,1)="A",H1254,IF(CH1254=1,(CK1254+CI1254)/2,IF(LEFT(Cockpit!$C$5,1)="B",(CK1254+AL1254)/2,MAX((CK1254+AL1254)/2,H1254))))</f>
        <v>1</v>
      </c>
      <c r="AK1254" s="50" t="n">
        <f aca="false">AJ1254*G1254</f>
        <v>292.14</v>
      </c>
      <c r="AL1254" s="50" t="n">
        <f aca="false">ROUNDUP(CK1254+MAX(CL1254,2*(J1254/IF(CG1254&gt;0,CG1254,MAX(0.1,N(Cockpit!$C$6)))-CK1254)),0)</f>
        <v>5</v>
      </c>
      <c r="AM1254" s="51" t="n">
        <f aca="false">IF(AI1254&gt;0,J1254/AI1254,-1)</f>
        <v>0.248275862068966</v>
      </c>
      <c r="AN1254" s="51" t="n">
        <f aca="false">IF(AND(OR(CF1254="L1",CF1254="L23",CF1254="LIFT"),AI1254&gt;0),SUMIFS($AI$7:$AI$1843,$CF$7:$CF$1843,CF1254,$AM$7:$AM$1843,"&gt;"&amp;AM1254)+SUMIFS($AI$7:$AI$1843,$CF$7:$CF$1843,CF1254,$AM$7:$AM$1843,AM1254,$BW$7:$BW$1843,"&lt;="&amp;BW1254),"")</f>
        <v>11913.1869295958</v>
      </c>
      <c r="AO1254" s="58" t="n">
        <f aca="false">IF(AN1254="",0,MAX(0,MIN(1,(IF(CF1254="L1",Parameter!$H$5,IF(CF1254="L23",Parameter!$H$6+Parameter!$H$7,Parameter!$H$5+Parameter!$H$6+Parameter!$H$7))-(AN1254-AI1254))/AI1254)))</f>
        <v>1</v>
      </c>
      <c r="AP1254" s="50" t="n">
        <f aca="false">IF(LEFT(Cockpit!$I$5,1)="A",H1254,IF(Parameter!$E$30="MAX-Bestand",IF(CH1254=1,CI1254,IF(LEFT(Cockpit!$I$5,1)="B",AV1254,MAX(AV1254,H1254))),ROUNDUP(AT1254,0)))</f>
        <v>3</v>
      </c>
      <c r="AQ1254" s="50" t="n">
        <f aca="false">IF(BZ1254=1,0,ROUNDUP(AP1254/BY1254,0))</f>
        <v>1</v>
      </c>
      <c r="AR1254" s="52" t="n">
        <f aca="false">IF(CQ1254&gt;0,CQ1254*MAX(1,AP1254/X1254),IF(BZ1254=1,IF(AP1254&lt;=0,0,CD1254*MAX(1,IF(H1254&gt;0,AP1254/H1254,1))),IF(R1254&gt;0,AQ1254/R1254,0))/MAX(0.1,N(Parameter!$M$21)))</f>
        <v>0.0833333333333333</v>
      </c>
      <c r="AS1254" s="50" t="n">
        <f aca="false">AR1254*CB1254</f>
        <v>12.0833333333333</v>
      </c>
      <c r="AT1254" s="51" t="n">
        <f aca="false">IF(LEFT(Cockpit!$I$5,1)="A",H1254,IF(CH1254=1,(CK1254+CI1254)/2,IF(LEFT(Cockpit!$I$5,1)="B",(CK1254+AV1254)/2,MAX((CK1254+AV1254)/2,H1254))))</f>
        <v>2.5</v>
      </c>
      <c r="AU1254" s="50" t="n">
        <f aca="false">AT1254*G1254</f>
        <v>730.35</v>
      </c>
      <c r="AV1254" s="50" t="n">
        <f aca="false">ROUNDUP(CK1254+MAX(CL1254,2*(J1254/IF(CG1254&gt;0,CG1254,MAX(0.1,N(Cockpit!$I$6)))-CK1254)),0)</f>
        <v>5</v>
      </c>
      <c r="AW1254" s="51" t="n">
        <f aca="false">IF(AS1254&gt;0,J1254/AS1254,-1)</f>
        <v>0.248275862068966</v>
      </c>
      <c r="AX1254" s="51" t="n">
        <f aca="false">IF(AND(OR(CF1254="L1",CF1254="L23",CF1254="LIFT"),AS1254&gt;0),SUMIFS($AS$7:$AS$1843,$CF$7:$CF$1843,CF1254,$AW$7:$AW$1843,"&gt;"&amp;AW1254)+SUMIFS($AS$7:$AS$1843,$CF$7:$CF$1843,CF1254,$AW$7:$AW$1843,AW1254,$BW$7:$BW$1843,"&lt;="&amp;BW1254),"")</f>
        <v>14990.081043956</v>
      </c>
      <c r="AY1254" s="58" t="n">
        <f aca="false">IF(AX1254="",0,MAX(0,MIN(1,(IF(CF1254="L1",Parameter!$H$5,IF(CF1254="L23",Parameter!$H$6+Parameter!$H$7,Parameter!$H$5+Parameter!$H$6+Parameter!$H$7))-(AX1254-AS1254))/AS1254)))</f>
        <v>1</v>
      </c>
      <c r="AZ1254" s="50" t="n">
        <f aca="false">IF(LEFT(Cockpit!$O$5,1)="A",H1254,IF(Parameter!$E$30="MAX-Bestand",IF(CH1254=1,CI1254,IF(LEFT(Cockpit!$O$5,1)="B",BF1254,MAX(BF1254,H1254))),ROUNDUP(BD1254,0)))</f>
        <v>3</v>
      </c>
      <c r="BA1254" s="50" t="n">
        <f aca="false">IF(BZ1254=1,0,ROUNDUP(AZ1254/BY1254,0))</f>
        <v>1</v>
      </c>
      <c r="BB1254" s="52" t="n">
        <f aca="false">IF(CQ1254&gt;0,CQ1254*MAX(1,AZ1254/X1254),IF(BZ1254=1,IF(AZ1254&lt;=0,0,CD1254*MAX(1,IF(H1254&gt;0,AZ1254/H1254,1))),IF(R1254&gt;0,BA1254/R1254,0))/MAX(0.1,N(Parameter!$M$21)))</f>
        <v>0.0833333333333333</v>
      </c>
      <c r="BC1254" s="50" t="n">
        <f aca="false">BB1254*CB1254</f>
        <v>12.0833333333333</v>
      </c>
      <c r="BD1254" s="51" t="n">
        <f aca="false">IF(LEFT(Cockpit!$O$5,1)="A",H1254,IF(CH1254=1,(CK1254+CI1254)/2,IF(LEFT(Cockpit!$O$5,1)="B",(CK1254+BF1254)/2,MAX((CK1254+BF1254)/2,H1254))))</f>
        <v>2.5</v>
      </c>
      <c r="BE1254" s="50" t="n">
        <f aca="false">BD1254*G1254</f>
        <v>730.35</v>
      </c>
      <c r="BF1254" s="50" t="n">
        <f aca="false">ROUNDUP(CK1254+MAX(CL1254,2*(J1254/IF(CG1254&gt;0,CG1254,MAX(0.1,N(Cockpit!$O$6)))-CK1254)),0)</f>
        <v>5</v>
      </c>
      <c r="BG1254" s="51" t="n">
        <f aca="false">IF(BC1254&gt;0,J1254/BC1254,-1)</f>
        <v>0.248275862068966</v>
      </c>
      <c r="BH1254" s="51" t="n">
        <f aca="false">IF(AND(OR(CF1254="L1",CF1254="L23",CF1254="LIFT"),BC1254&gt;0),SUMIFS($BC$7:$BC$1843,$CF$7:$CF$1843,CF1254,$BG$7:$BG$1843,"&gt;"&amp;BG1254)+SUMIFS($BC$7:$BC$1843,$CF$7:$CF$1843,CF1254,$BG$7:$BG$1843,BG1254,$BW$7:$BW$1843,"&lt;="&amp;BW1254),"")</f>
        <v>12141.3081501832</v>
      </c>
      <c r="BI1254" s="58" t="n">
        <f aca="false">IF(BH1254="",0,MAX(0,MIN(1,(IF(CF1254="L1",Parameter!$H$5,IF(CF1254="L23",Parameter!$H$6+Parameter!$H$7,Parameter!$H$5+Parameter!$H$6+Parameter!$H$7))-(BH1254-BC1254))/BC1254)))</f>
        <v>1</v>
      </c>
      <c r="BJ1254" s="48" t="str">
        <f aca="false">IF(AI1254&lt;=0,"",IF(CF1254="Aussen","Aussenlager",IF(CF1254="-","Nicht im Lift",IF(AO1254&gt;=1,"Lift",IF(AO1254&lt;=0,"Aussenlager","teilweise")))))</f>
        <v>Lift</v>
      </c>
      <c r="BK1254" s="48" t="str">
        <f aca="false">IF(AS1254&lt;=0,"",IF(CF1254="Aussen","Aussenlager",IF(CF1254="-","Nicht im Lift",IF(AY1254&gt;=1,"Lift",IF(AY1254&lt;=0,"Aussenlager","teilweise")))))</f>
        <v>Lift</v>
      </c>
      <c r="BL1254" s="48" t="str">
        <f aca="false">IF(BC1254&lt;=0,"",IF(CF1254="Aussen","Aussenlager",IF(CF1254="-","Nicht im Lift",IF(BI1254&gt;=1,"Lift",IF(BI1254&lt;=0,"Aussenlager","teilweise")))))</f>
        <v>Lift</v>
      </c>
      <c r="BM1254" s="48" t="str">
        <f aca="false">IF(A1254="","",IF(BV1254=1,"Neu; ","")&amp;IF(AND(BV1254=0,BQ1254&lt;0),"negativer Bestand (Export "&amp;BQ1254&amp;"); ","")&amp;IF(J1254&lt;=0,"Kein Verbrauch; ","")&amp;IF(CQ1254&gt;0,"Lift "&amp;W1254&amp;" lt. Liftbericht (Fach "&amp;X1254&amp;" Stk); ",IF(CA1254=1,"Gebinde geschätzt ("&amp;T1254&amp;"); ",IF(BZ1254=1,"Lose – Tablare geschätzt; ","")))&amp;IF(H1254&gt;AV1254,"Überbestand "&amp;ROUND(H1254-AV1254,0)&amp;" Stk / CHF "&amp;ROUND((H1254-AV1254)*G1254,0)&amp;"; ","")&amp;IF(AND(CH1254=1,CI1254&lt;CJ1254),"MAX &lt; MB+LG; ","")&amp;IF(AND(CP1254&gt;0,CO1254*10&gt;CP1254),"zu hoch für Tablar; ","")&amp;IF(AND(BV1254=0,OR(CH1254=1,AA1254&lt;&gt;"",U1254&lt;&gt;"",V1254&lt;&gt;"",AB1254&lt;&gt;"")),"manuell übersteuert; ","")&amp;IF(AND(BZ1254=0,R1254=0),"Gebinde unbekannt / Stellmass fehlt; ","")&amp;IF(AND(BZ1254=0,N(V1254)&lt;=0,N(Q1254)&lt;=0),"Menge pro Gebinde fehlt (Ist = 1 Gebinde); ","")&amp;BU1254)</f>
        <v>negativer Bestand (Export -3); Gebinde geschätzt (Mittel); Menge pro Gebinde fehlt (Ist = 1 Gebinde); </v>
      </c>
      <c r="BN1254" s="48"/>
      <c r="BO1254" s="48"/>
      <c r="BP1254" s="55"/>
      <c r="BQ1254" s="50" t="n">
        <v>-3</v>
      </c>
      <c r="BR1254" s="50" t="n">
        <v>4</v>
      </c>
      <c r="BS1254" s="49" t="n">
        <v>-758.74</v>
      </c>
      <c r="BT1254" s="50" t="n">
        <v>3</v>
      </c>
      <c r="BU1254" s="48"/>
      <c r="BV1254" s="53" t="n">
        <v>0</v>
      </c>
      <c r="BW1254" s="53" t="n">
        <v>1254</v>
      </c>
      <c r="BX1254" s="48" t="str">
        <f aca="false">IF(U1254&lt;&gt;"",UPPER(TRIM(U1254)),IF(CA1254=1,UPPER(VLOOKUP(T1254,Parameter!$I$27:$K$29,2,0)),IF(P1254="","LOSE",P1254)))</f>
        <v>S61</v>
      </c>
      <c r="BY1254" s="50" t="n">
        <f aca="false">IF(BX1254="LOSE",1,IF(N(V1254)&gt;0,V1254,IF(CA1254=1,MAX(1,N(VLOOKUP(T1254,Parameter!$I$27:$K$29,3,0)),H1254,N(N1254)),IF(N(Q1254)&gt;0,Q1254,MAX(1,H1254)))))</f>
        <v>5</v>
      </c>
      <c r="BZ1254" s="53" t="n">
        <f aca="false">IF(BX1254="LOSE",1,0)</f>
        <v>0</v>
      </c>
      <c r="CA1254" s="53" t="n">
        <f aca="false">IF(AND(U1254="",OR(P1254="",P1254="LOSE"),T1254&lt;&gt;"",N(S1254)&lt;=0,ISNUMBER(MATCH(T1254,Parameter!$I$27:$I$29,0))),1,0)</f>
        <v>1</v>
      </c>
      <c r="CB1254" s="53" t="n">
        <f aca="false">IF(CQ1254&gt;0,INDEX(Parameter!$H$5:$H$7,W1254)/INDEX(Parameter!$E$5:$E$7,W1254),IF(AND(BZ1254=0,N(IFERROR(VLOOKUP(BX1254,'Gebinde-Kategorie'!$A$5:$N$45,14,0),0))&gt;0),VLOOKUP(BX1254,'Gebinde-Kategorie'!$A$5:$N$45,14,0)*10+Parameter!$M$23,Parameter!$M$24))</f>
        <v>145</v>
      </c>
      <c r="CC1254" s="48" t="str">
        <f aca="false">IF(AND(Parameter!$B$19="Ja",E1254&lt;&gt;"",ISNUMBER(MATCH(E1254,Parameter!$I$35:$I$52,0))),VLOOKUP(E1254,Parameter!$I$35:$J$52,2,0),IFERROR(VLOOKUP(D1254,Parameter!$A$35:$C$64,2,0),"Nein"))</f>
        <v>2+3</v>
      </c>
      <c r="CD1254" s="52" t="n">
        <f aca="false">IF(BZ1254=0,0,IF(N(S1254)&gt;0,S1254,IFERROR(VLOOKUP(D1254,Parameter!$A$35:$C$64,3,0)+0,0)))</f>
        <v>0</v>
      </c>
      <c r="CE1254" s="48" t="n">
        <f aca="false">IF(AA1254&lt;&gt;"",AA1254,Z1254)</f>
        <v>2</v>
      </c>
      <c r="CF1254" s="48" t="str">
        <f aca="false">IF(OR(CE1254=1,CE1254=2,CE1254=3),IF(Parameter!$E$27="Ja","LIFT",IF(CE1254=1,"L1","L23")),IF(CE1254="Aussen","Aussen","-"))</f>
        <v>LIFT</v>
      </c>
      <c r="CG1254" s="59" t="n">
        <f aca="false">IF(N(AB1254)&gt;0,AB1254,0)</f>
        <v>0</v>
      </c>
      <c r="CH1254" s="53" t="n">
        <f aca="false">IF(ISNUMBER(AE1254),1,0)</f>
        <v>0</v>
      </c>
      <c r="CI1254" s="50" t="n">
        <f aca="false">N(AE1254)</f>
        <v>0</v>
      </c>
      <c r="CJ1254" s="50" t="n">
        <f aca="false">N(M1254)+N(N1254)</f>
        <v>5</v>
      </c>
      <c r="CK1254" s="50" t="n">
        <f aca="false">N(M1254)</f>
        <v>0</v>
      </c>
      <c r="CL1254" s="50" t="n">
        <f aca="false">N(N1254)</f>
        <v>5</v>
      </c>
      <c r="CM1254" s="50" t="n">
        <f aca="false">ROUNDUP(H1254/BY1254,0)</f>
        <v>1</v>
      </c>
      <c r="CN1254" s="50" t="n">
        <f aca="false">ROUNDUP(CI1254/BY1254,0)</f>
        <v>0</v>
      </c>
      <c r="CO1254" s="53" t="n">
        <f aca="false">IF(BZ1254=1,0,IFERROR(VLOOKUP(BX1254,'Gebinde-Kategorie'!$A$5:$N$45,5,0)+0,0))</f>
        <v>11</v>
      </c>
      <c r="CP1254" s="53" t="n">
        <f aca="false">IFERROR(IF(OR(CE1254=1,CE1254=2,CE1254=3),N(INDEX(Parameter!$I$5:$I$7,CE1254)),0),0)</f>
        <v>0</v>
      </c>
      <c r="CQ1254" s="52" t="n">
        <f aca="false">IF(AND(Parameter!$B$21="Ja",ISNUMBER(W1254),N(X1254)&gt;0),IFERROR(N(INDEX(Parameter!$L$5:$L$7,W1254))*INDEX(Parameter!$E$5:$E$7,W1254)*X1254/SUMIFS($X$7:$X$1843,$W$7:$W$1843,W1254),0),0)</f>
        <v>0</v>
      </c>
    </row>
    <row r="1255" customFormat="false" ht="15" hidden="false" customHeight="false" outlineLevel="0" collapsed="false">
      <c r="A1255" s="48" t="s">
        <v>2250</v>
      </c>
      <c r="B1255" s="48" t="s">
        <v>2251</v>
      </c>
      <c r="C1255" s="48" t="s">
        <v>173</v>
      </c>
      <c r="D1255" s="48" t="s">
        <v>182</v>
      </c>
      <c r="E1255" s="48"/>
      <c r="F1255" s="48" t="s">
        <v>227</v>
      </c>
      <c r="G1255" s="49" t="n">
        <v>380</v>
      </c>
      <c r="H1255" s="50" t="n">
        <f aca="false">MAX(0,IF(AND(Parameter!$B$21="Ja",ISNUMBER(Y1255)),Y1255,IF(Parameter!$B$20="Jahresanfang 2025 + Export",BR1255+BQ1255,BQ1255)))</f>
        <v>9</v>
      </c>
      <c r="I1255" s="50" t="n">
        <f aca="false">H1255*G1255</f>
        <v>3420</v>
      </c>
      <c r="J1255" s="50" t="n">
        <f aca="false">BT1255*Parameter!$B$18</f>
        <v>2</v>
      </c>
      <c r="K1255" s="51" t="n">
        <v>10</v>
      </c>
      <c r="L1255" s="52" t="n">
        <v>0.2</v>
      </c>
      <c r="M1255" s="50" t="n">
        <v>0</v>
      </c>
      <c r="N1255" s="50" t="n">
        <v>1</v>
      </c>
      <c r="O1255" s="53" t="n">
        <v>35</v>
      </c>
      <c r="P1255" s="48" t="s">
        <v>242</v>
      </c>
      <c r="Q1255" s="50" t="n">
        <v>10</v>
      </c>
      <c r="R1255" s="53" t="n">
        <f aca="false">IF(BZ1255=1,0,IFERROR(VLOOKUP(BX1255,'Gebinde-Kategorie'!$A$5:$N$45,13,0)+0,0))</f>
        <v>26</v>
      </c>
      <c r="S1255" s="54"/>
      <c r="T1255" s="55"/>
      <c r="U1255" s="55"/>
      <c r="V1255" s="55"/>
      <c r="W1255" s="48"/>
      <c r="X1255" s="50"/>
      <c r="Y1255" s="50"/>
      <c r="Z1255" s="48" t="n">
        <f aca="false">IF(A1255="","",IF(AND(Parameter!$B$21="Ja",ISNUMBER(W1255)),W1255,IF(CC1255="2+3",IF(ISNUMBER(SEARCH("grosser Artikel",BU1255)),2,IFERROR(VLOOKUP(BX1255,Parameter!$F$35:$G$64,2,0),2)),IF(OR(CC1255="Nein",CC1255=""),"-",CC1255))))</f>
        <v>3</v>
      </c>
      <c r="AA1255" s="55"/>
      <c r="AB1255" s="56"/>
      <c r="AC1255" s="50" t="n">
        <f aca="false">AV1255</f>
        <v>2</v>
      </c>
      <c r="AD1255" s="50" t="n">
        <f aca="false">MAX(AV1255,H1255)</f>
        <v>9</v>
      </c>
      <c r="AE1255" s="57"/>
      <c r="AF1255" s="50" t="n">
        <f aca="false">IF(LEFT(Cockpit!$C$5,1)="A",H1255,IF(Parameter!$E$30="MAX-Bestand",IF(CH1255=1,CI1255,IF(LEFT(Cockpit!$C$5,1)="B",AL1255,MAX(AL1255,H1255))),ROUNDUP(AJ1255,0)))</f>
        <v>9</v>
      </c>
      <c r="AG1255" s="50" t="n">
        <f aca="false">IF(BZ1255=1,0,ROUNDUP(AF1255/BY1255,0))</f>
        <v>1</v>
      </c>
      <c r="AH1255" s="52" t="n">
        <f aca="false">IF(CQ1255&gt;0,CQ1255*MAX(1,AF1255/X1255),IF(BZ1255=1,IF(AF1255&lt;=0,0,CD1255*MAX(1,IF(H1255&gt;0,AF1255/H1255,1))),IF(R1255&gt;0,AG1255/R1255,0))/MAX(0.1,N(Parameter!$M$21)))</f>
        <v>0.0384615384615385</v>
      </c>
      <c r="AI1255" s="50" t="n">
        <f aca="false">AH1255*CB1255</f>
        <v>9.42307692307692</v>
      </c>
      <c r="AJ1255" s="51" t="n">
        <f aca="false">IF(LEFT(Cockpit!$C$5,1)="A",H1255,IF(CH1255=1,(CK1255+CI1255)/2,IF(LEFT(Cockpit!$C$5,1)="B",(CK1255+AL1255)/2,MAX((CK1255+AL1255)/2,H1255))))</f>
        <v>9</v>
      </c>
      <c r="AK1255" s="50" t="n">
        <f aca="false">AJ1255*G1255</f>
        <v>3420</v>
      </c>
      <c r="AL1255" s="50" t="n">
        <f aca="false">ROUNDUP(CK1255+MAX(CL1255,2*(J1255/IF(CG1255&gt;0,CG1255,MAX(0.1,N(Cockpit!$C$6)))-CK1255)),0)</f>
        <v>2</v>
      </c>
      <c r="AM1255" s="51" t="n">
        <f aca="false">IF(AI1255&gt;0,J1255/AI1255,-1)</f>
        <v>0.212244897959184</v>
      </c>
      <c r="AN1255" s="51" t="n">
        <f aca="false">IF(AND(OR(CF1255="L1",CF1255="L23",CF1255="LIFT"),AI1255&gt;0),SUMIFS($AI$7:$AI$1843,$CF$7:$CF$1843,CF1255,$AM$7:$AM$1843,"&gt;"&amp;AM1255)+SUMIFS($AI$7:$AI$1843,$CF$7:$CF$1843,CF1255,$AM$7:$AM$1843,AM1255,$BW$7:$BW$1843,"&lt;="&amp;BW1255),"")</f>
        <v>12392.3939772563</v>
      </c>
      <c r="AO1255" s="58" t="n">
        <f aca="false">IF(AN1255="",0,MAX(0,MIN(1,(IF(CF1255="L1",Parameter!$H$5,IF(CF1255="L23",Parameter!$H$6+Parameter!$H$7,Parameter!$H$5+Parameter!$H$6+Parameter!$H$7))-(AN1255-AI1255))/AI1255)))</f>
        <v>1</v>
      </c>
      <c r="AP1255" s="50" t="n">
        <f aca="false">IF(LEFT(Cockpit!$I$5,1)="A",H1255,IF(Parameter!$E$30="MAX-Bestand",IF(CH1255=1,CI1255,IF(LEFT(Cockpit!$I$5,1)="B",AV1255,MAX(AV1255,H1255))),ROUNDUP(AT1255,0)))</f>
        <v>9</v>
      </c>
      <c r="AQ1255" s="50" t="n">
        <f aca="false">IF(BZ1255=1,0,ROUNDUP(AP1255/BY1255,0))</f>
        <v>1</v>
      </c>
      <c r="AR1255" s="52" t="n">
        <f aca="false">IF(CQ1255&gt;0,CQ1255*MAX(1,AP1255/X1255),IF(BZ1255=1,IF(AP1255&lt;=0,0,CD1255*MAX(1,IF(H1255&gt;0,AP1255/H1255,1))),IF(R1255&gt;0,AQ1255/R1255,0))/MAX(0.1,N(Parameter!$M$21)))</f>
        <v>0.0384615384615385</v>
      </c>
      <c r="AS1255" s="50" t="n">
        <f aca="false">AR1255*CB1255</f>
        <v>9.42307692307692</v>
      </c>
      <c r="AT1255" s="51" t="n">
        <f aca="false">IF(LEFT(Cockpit!$I$5,1)="A",H1255,IF(CH1255=1,(CK1255+CI1255)/2,IF(LEFT(Cockpit!$I$5,1)="B",(CK1255+AV1255)/2,MAX((CK1255+AV1255)/2,H1255))))</f>
        <v>9</v>
      </c>
      <c r="AU1255" s="50" t="n">
        <f aca="false">AT1255*G1255</f>
        <v>3420</v>
      </c>
      <c r="AV1255" s="50" t="n">
        <f aca="false">ROUNDUP(CK1255+MAX(CL1255,2*(J1255/IF(CG1255&gt;0,CG1255,MAX(0.1,N(Cockpit!$I$6)))-CK1255)),0)</f>
        <v>2</v>
      </c>
      <c r="AW1255" s="51" t="n">
        <f aca="false">IF(AS1255&gt;0,J1255/AS1255,-1)</f>
        <v>0.212244897959184</v>
      </c>
      <c r="AX1255" s="51" t="n">
        <f aca="false">IF(AND(OR(CF1255="L1",CF1255="L23",CF1255="LIFT"),AS1255&gt;0),SUMIFS($AS$7:$AS$1843,$CF$7:$CF$1843,CF1255,$AW$7:$AW$1843,"&gt;"&amp;AW1255)+SUMIFS($AS$7:$AS$1843,$CF$7:$CF$1843,CF1255,$AW$7:$AW$1843,AW1255,$BW$7:$BW$1843,"&lt;="&amp;BW1255),"")</f>
        <v>15221.6515567766</v>
      </c>
      <c r="AY1255" s="58" t="n">
        <f aca="false">IF(AX1255="",0,MAX(0,MIN(1,(IF(CF1255="L1",Parameter!$H$5,IF(CF1255="L23",Parameter!$H$6+Parameter!$H$7,Parameter!$H$5+Parameter!$H$6+Parameter!$H$7))-(AX1255-AS1255))/AS1255)))</f>
        <v>1</v>
      </c>
      <c r="AZ1255" s="50" t="n">
        <f aca="false">IF(LEFT(Cockpit!$O$5,1)="A",H1255,IF(Parameter!$E$30="MAX-Bestand",IF(CH1255=1,CI1255,IF(LEFT(Cockpit!$O$5,1)="B",BF1255,MAX(BF1255,H1255))),ROUNDUP(BD1255,0)))</f>
        <v>1</v>
      </c>
      <c r="BA1255" s="50" t="n">
        <f aca="false">IF(BZ1255=1,0,ROUNDUP(AZ1255/BY1255,0))</f>
        <v>1</v>
      </c>
      <c r="BB1255" s="52" t="n">
        <f aca="false">IF(CQ1255&gt;0,CQ1255*MAX(1,AZ1255/X1255),IF(BZ1255=1,IF(AZ1255&lt;=0,0,CD1255*MAX(1,IF(H1255&gt;0,AZ1255/H1255,1))),IF(R1255&gt;0,BA1255/R1255,0))/MAX(0.1,N(Parameter!$M$21)))</f>
        <v>0.0384615384615385</v>
      </c>
      <c r="BC1255" s="50" t="n">
        <f aca="false">BB1255*CB1255</f>
        <v>9.42307692307692</v>
      </c>
      <c r="BD1255" s="51" t="n">
        <f aca="false">IF(LEFT(Cockpit!$O$5,1)="A",H1255,IF(CH1255=1,(CK1255+CI1255)/2,IF(LEFT(Cockpit!$O$5,1)="B",(CK1255+BF1255)/2,MAX((CK1255+BF1255)/2,H1255))))</f>
        <v>0.5</v>
      </c>
      <c r="BE1255" s="50" t="n">
        <f aca="false">BD1255*G1255</f>
        <v>190</v>
      </c>
      <c r="BF1255" s="50" t="n">
        <f aca="false">ROUNDUP(CK1255+MAX(CL1255,2*(J1255/IF(CG1255&gt;0,CG1255,MAX(0.1,N(Cockpit!$O$6)))-CK1255)),0)</f>
        <v>1</v>
      </c>
      <c r="BG1255" s="51" t="n">
        <f aca="false">IF(BC1255&gt;0,J1255/BC1255,-1)</f>
        <v>0.212244897959184</v>
      </c>
      <c r="BH1255" s="51" t="n">
        <f aca="false">IF(AND(OR(CF1255="L1",CF1255="L23",CF1255="LIFT"),BC1255&gt;0),SUMIFS($BC$7:$BC$1843,$CF$7:$CF$1843,CF1255,$BG$7:$BG$1843,"&gt;"&amp;BG1255)+SUMIFS($BC$7:$BC$1843,$CF$7:$CF$1843,CF1255,$BG$7:$BG$1843,BG1255,$BW$7:$BW$1843,"&lt;="&amp;BW1255),"")</f>
        <v>12373.3594322344</v>
      </c>
      <c r="BI1255" s="58" t="n">
        <f aca="false">IF(BH1255="",0,MAX(0,MIN(1,(IF(CF1255="L1",Parameter!$H$5,IF(CF1255="L23",Parameter!$H$6+Parameter!$H$7,Parameter!$H$5+Parameter!$H$6+Parameter!$H$7))-(BH1255-BC1255))/BC1255)))</f>
        <v>1</v>
      </c>
      <c r="BJ1255" s="48" t="str">
        <f aca="false">IF(AI1255&lt;=0,"",IF(CF1255="Aussen","Aussenlager",IF(CF1255="-","Nicht im Lift",IF(AO1255&gt;=1,"Lift",IF(AO1255&lt;=0,"Aussenlager","teilweise")))))</f>
        <v>Lift</v>
      </c>
      <c r="BK1255" s="48" t="str">
        <f aca="false">IF(AS1255&lt;=0,"",IF(CF1255="Aussen","Aussenlager",IF(CF1255="-","Nicht im Lift",IF(AY1255&gt;=1,"Lift",IF(AY1255&lt;=0,"Aussenlager","teilweise")))))</f>
        <v>Lift</v>
      </c>
      <c r="BL1255" s="48" t="str">
        <f aca="false">IF(BC1255&lt;=0,"",IF(CF1255="Aussen","Aussenlager",IF(CF1255="-","Nicht im Lift",IF(BI1255&gt;=1,"Lift",IF(BI1255&lt;=0,"Aussenlager","teilweise")))))</f>
        <v>Lift</v>
      </c>
      <c r="BM1255" s="48" t="str">
        <f aca="false">IF(A1255="","",IF(BV1255=1,"Neu; ","")&amp;IF(AND(BV1255=0,BQ1255&lt;0),"negativer Bestand (Export "&amp;BQ1255&amp;"); ","")&amp;IF(J1255&lt;=0,"Kein Verbrauch; ","")&amp;IF(CQ1255&gt;0,"Lift "&amp;W1255&amp;" lt. Liftbericht (Fach "&amp;X1255&amp;" Stk); ",IF(CA1255=1,"Gebinde geschätzt ("&amp;T1255&amp;"); ",IF(BZ1255=1,"Lose – Tablare geschätzt; ","")))&amp;IF(H1255&gt;AV1255,"Überbestand "&amp;ROUND(H1255-AV1255,0)&amp;" Stk / CHF "&amp;ROUND((H1255-AV1255)*G1255,0)&amp;"; ","")&amp;IF(AND(CH1255=1,CI1255&lt;CJ1255),"MAX &lt; MB+LG; ","")&amp;IF(AND(CP1255&gt;0,CO1255*10&gt;CP1255),"zu hoch für Tablar; ","")&amp;IF(AND(BV1255=0,OR(CH1255=1,AA1255&lt;&gt;"",U1255&lt;&gt;"",V1255&lt;&gt;"",AB1255&lt;&gt;"")),"manuell übersteuert; ","")&amp;IF(AND(BZ1255=0,R1255=0),"Gebinde unbekannt / Stellmass fehlt; ","")&amp;IF(AND(BZ1255=0,N(V1255)&lt;=0,N(Q1255)&lt;=0),"Menge pro Gebinde fehlt (Ist = 1 Gebinde); ","")&amp;BU1255)</f>
        <v>negativer Bestand (Export -2); Überbestand 7 Stk / CHF 2660; </v>
      </c>
      <c r="BN1255" s="48"/>
      <c r="BO1255" s="48"/>
      <c r="BP1255" s="55"/>
      <c r="BQ1255" s="50" t="n">
        <v>-2</v>
      </c>
      <c r="BR1255" s="50" t="n">
        <v>11</v>
      </c>
      <c r="BS1255" s="49" t="n">
        <v>-760</v>
      </c>
      <c r="BT1255" s="50" t="n">
        <v>2</v>
      </c>
      <c r="BU1255" s="48"/>
      <c r="BV1255" s="53" t="n">
        <v>0</v>
      </c>
      <c r="BW1255" s="53" t="n">
        <v>1255</v>
      </c>
      <c r="BX1255" s="48" t="str">
        <f aca="false">IF(U1255&lt;&gt;"",UPPER(TRIM(U1255)),IF(CA1255=1,UPPER(VLOOKUP(T1255,Parameter!$I$27:$K$29,2,0)),IF(P1255="","LOSE",P1255)))</f>
        <v>S52</v>
      </c>
      <c r="BY1255" s="50" t="n">
        <f aca="false">IF(BX1255="LOSE",1,IF(N(V1255)&gt;0,V1255,IF(CA1255=1,MAX(1,N(VLOOKUP(T1255,Parameter!$I$27:$K$29,3,0)),H1255,N(N1255)),IF(N(Q1255)&gt;0,Q1255,MAX(1,H1255)))))</f>
        <v>10</v>
      </c>
      <c r="BZ1255" s="53" t="n">
        <f aca="false">IF(BX1255="LOSE",1,0)</f>
        <v>0</v>
      </c>
      <c r="CA1255" s="53" t="n">
        <f aca="false">IF(AND(U1255="",OR(P1255="",P1255="LOSE"),T1255&lt;&gt;"",N(S1255)&lt;=0,ISNUMBER(MATCH(T1255,Parameter!$I$27:$I$29,0))),1,0)</f>
        <v>0</v>
      </c>
      <c r="CB1255" s="53" t="n">
        <f aca="false">IF(CQ1255&gt;0,INDEX(Parameter!$H$5:$H$7,W1255)/INDEX(Parameter!$E$5:$E$7,W1255),IF(AND(BZ1255=0,N(IFERROR(VLOOKUP(BX1255,'Gebinde-Kategorie'!$A$5:$N$45,14,0),0))&gt;0),VLOOKUP(BX1255,'Gebinde-Kategorie'!$A$5:$N$45,14,0)*10+Parameter!$M$23,Parameter!$M$24))</f>
        <v>245</v>
      </c>
      <c r="CC1255" s="48" t="str">
        <f aca="false">IF(AND(Parameter!$B$19="Ja",E1255&lt;&gt;"",ISNUMBER(MATCH(E1255,Parameter!$I$35:$I$52,0))),VLOOKUP(E1255,Parameter!$I$35:$J$52,2,0),IFERROR(VLOOKUP(D1255,Parameter!$A$35:$C$64,2,0),"Nein"))</f>
        <v>2+3</v>
      </c>
      <c r="CD1255" s="52" t="n">
        <f aca="false">IF(BZ1255=0,0,IF(N(S1255)&gt;0,S1255,IFERROR(VLOOKUP(D1255,Parameter!$A$35:$C$64,3,0)+0,0)))</f>
        <v>0</v>
      </c>
      <c r="CE1255" s="48" t="n">
        <f aca="false">IF(AA1255&lt;&gt;"",AA1255,Z1255)</f>
        <v>3</v>
      </c>
      <c r="CF1255" s="48" t="str">
        <f aca="false">IF(OR(CE1255=1,CE1255=2,CE1255=3),IF(Parameter!$E$27="Ja","LIFT",IF(CE1255=1,"L1","L23")),IF(CE1255="Aussen","Aussen","-"))</f>
        <v>LIFT</v>
      </c>
      <c r="CG1255" s="59" t="n">
        <f aca="false">IF(N(AB1255)&gt;0,AB1255,0)</f>
        <v>0</v>
      </c>
      <c r="CH1255" s="53" t="n">
        <f aca="false">IF(ISNUMBER(AE1255),1,0)</f>
        <v>0</v>
      </c>
      <c r="CI1255" s="50" t="n">
        <f aca="false">N(AE1255)</f>
        <v>0</v>
      </c>
      <c r="CJ1255" s="50" t="n">
        <f aca="false">N(M1255)+N(N1255)</f>
        <v>1</v>
      </c>
      <c r="CK1255" s="50" t="n">
        <f aca="false">N(M1255)</f>
        <v>0</v>
      </c>
      <c r="CL1255" s="50" t="n">
        <f aca="false">N(N1255)</f>
        <v>1</v>
      </c>
      <c r="CM1255" s="50" t="n">
        <f aca="false">ROUNDUP(H1255/BY1255,0)</f>
        <v>1</v>
      </c>
      <c r="CN1255" s="50" t="n">
        <f aca="false">ROUNDUP(CI1255/BY1255,0)</f>
        <v>0</v>
      </c>
      <c r="CO1255" s="53" t="n">
        <f aca="false">IF(BZ1255=1,0,IFERROR(VLOOKUP(BX1255,'Gebinde-Kategorie'!$A$5:$N$45,5,0)+0,0))</f>
        <v>21</v>
      </c>
      <c r="CP1255" s="53" t="n">
        <f aca="false">IFERROR(IF(OR(CE1255=1,CE1255=2,CE1255=3),N(INDEX(Parameter!$I$5:$I$7,CE1255)),0),0)</f>
        <v>0</v>
      </c>
      <c r="CQ1255" s="52" t="n">
        <f aca="false">IF(AND(Parameter!$B$21="Ja",ISNUMBER(W1255),N(X1255)&gt;0),IFERROR(N(INDEX(Parameter!$L$5:$L$7,W1255))*INDEX(Parameter!$E$5:$E$7,W1255)*X1255/SUMIFS($X$7:$X$1843,$W$7:$W$1843,W1255),0),0)</f>
        <v>0</v>
      </c>
    </row>
    <row r="1256" customFormat="false" ht="15" hidden="false" customHeight="false" outlineLevel="0" collapsed="false">
      <c r="A1256" s="48" t="s">
        <v>2252</v>
      </c>
      <c r="B1256" s="48" t="s">
        <v>440</v>
      </c>
      <c r="C1256" s="48" t="s">
        <v>173</v>
      </c>
      <c r="D1256" s="48" t="s">
        <v>193</v>
      </c>
      <c r="E1256" s="48" t="s">
        <v>194</v>
      </c>
      <c r="F1256" s="48" t="s">
        <v>227</v>
      </c>
      <c r="G1256" s="49" t="n">
        <v>104.71</v>
      </c>
      <c r="H1256" s="50" t="n">
        <f aca="false">MAX(0,IF(AND(Parameter!$B$21="Ja",ISNUMBER(Y1256)),Y1256,IF(Parameter!$B$20="Jahresanfang 2025 + Export",BR1256+BQ1256,BQ1256)))</f>
        <v>50</v>
      </c>
      <c r="I1256" s="50" t="n">
        <f aca="false">H1256*G1256</f>
        <v>5235.5</v>
      </c>
      <c r="J1256" s="50" t="n">
        <f aca="false">BT1256*Parameter!$B$18</f>
        <v>143</v>
      </c>
      <c r="K1256" s="51" t="n">
        <v>60</v>
      </c>
      <c r="L1256" s="52" t="n">
        <v>2.38333333333333</v>
      </c>
      <c r="M1256" s="50" t="n">
        <v>20</v>
      </c>
      <c r="N1256" s="50" t="n">
        <v>50</v>
      </c>
      <c r="O1256" s="53" t="n">
        <v>56</v>
      </c>
      <c r="P1256" s="48" t="s">
        <v>235</v>
      </c>
      <c r="Q1256" s="50" t="n">
        <v>154</v>
      </c>
      <c r="R1256" s="53" t="n">
        <f aca="false">IF(BZ1256=1,0,IFERROR(VLOOKUP(BX1256,'Gebinde-Kategorie'!$A$5:$N$45,13,0)+0,0))</f>
        <v>12</v>
      </c>
      <c r="S1256" s="54"/>
      <c r="T1256" s="55"/>
      <c r="U1256" s="55"/>
      <c r="V1256" s="55"/>
      <c r="W1256" s="48"/>
      <c r="X1256" s="50"/>
      <c r="Y1256" s="50"/>
      <c r="Z1256" s="48" t="n">
        <f aca="false">IF(A1256="","",IF(AND(Parameter!$B$21="Ja",ISNUMBER(W1256)),W1256,IF(CC1256="2+3",IF(ISNUMBER(SEARCH("grosser Artikel",BU1256)),2,IFERROR(VLOOKUP(BX1256,Parameter!$F$35:$G$64,2,0),2)),IF(OR(CC1256="Nein",CC1256=""),"-",CC1256))))</f>
        <v>2</v>
      </c>
      <c r="AA1256" s="55"/>
      <c r="AB1256" s="56"/>
      <c r="AC1256" s="50" t="n">
        <f aca="false">AV1256</f>
        <v>76</v>
      </c>
      <c r="AD1256" s="50" t="n">
        <f aca="false">MAX(AV1256,H1256)</f>
        <v>76</v>
      </c>
      <c r="AE1256" s="57"/>
      <c r="AF1256" s="50" t="n">
        <f aca="false">IF(LEFT(Cockpit!$C$5,1)="A",H1256,IF(Parameter!$E$30="MAX-Bestand",IF(CH1256=1,CI1256,IF(LEFT(Cockpit!$C$5,1)="B",AL1256,MAX(AL1256,H1256))),ROUNDUP(AJ1256,0)))</f>
        <v>50</v>
      </c>
      <c r="AG1256" s="50" t="n">
        <f aca="false">IF(BZ1256=1,0,ROUNDUP(AF1256/BY1256,0))</f>
        <v>1</v>
      </c>
      <c r="AH1256" s="52" t="n">
        <f aca="false">IF(CQ1256&gt;0,CQ1256*MAX(1,AF1256/X1256),IF(BZ1256=1,IF(AF1256&lt;=0,0,CD1256*MAX(1,IF(H1256&gt;0,AF1256/H1256,1))),IF(R1256&gt;0,AG1256/R1256,0))/MAX(0.1,N(Parameter!$M$21)))</f>
        <v>0.0833333333333333</v>
      </c>
      <c r="AI1256" s="50" t="n">
        <f aca="false">AH1256*CB1256</f>
        <v>28.75</v>
      </c>
      <c r="AJ1256" s="51" t="n">
        <f aca="false">IF(LEFT(Cockpit!$C$5,1)="A",H1256,IF(CH1256=1,(CK1256+CI1256)/2,IF(LEFT(Cockpit!$C$5,1)="B",(CK1256+AL1256)/2,MAX((CK1256+AL1256)/2,H1256))))</f>
        <v>50</v>
      </c>
      <c r="AK1256" s="50" t="n">
        <f aca="false">AJ1256*G1256</f>
        <v>5235.5</v>
      </c>
      <c r="AL1256" s="50" t="n">
        <f aca="false">ROUNDUP(CK1256+MAX(CL1256,2*(J1256/IF(CG1256&gt;0,CG1256,MAX(0.1,N(Cockpit!$C$6)))-CK1256)),0)</f>
        <v>76</v>
      </c>
      <c r="AM1256" s="51" t="n">
        <f aca="false">IF(AI1256&gt;0,J1256/AI1256,-1)</f>
        <v>4.97391304347826</v>
      </c>
      <c r="AN1256" s="51" t="n">
        <f aca="false">IF(AND(OR(CF1256="L1",CF1256="L23",CF1256="LIFT"),AI1256&gt;0),SUMIFS($AI$7:$AI$1843,$CF$7:$CF$1843,CF1256,$AM$7:$AM$1843,"&gt;"&amp;AM1256)+SUMIFS($AI$7:$AI$1843,$CF$7:$CF$1843,CF1256,$AM$7:$AM$1843,AM1256,$BW$7:$BW$1843,"&lt;="&amp;BW1256),"")</f>
        <v>3922.83562271062</v>
      </c>
      <c r="AO1256" s="58" t="n">
        <f aca="false">IF(AN1256="",0,MAX(0,MIN(1,(IF(CF1256="L1",Parameter!$H$5,IF(CF1256="L23",Parameter!$H$6+Parameter!$H$7,Parameter!$H$5+Parameter!$H$6+Parameter!$H$7))-(AN1256-AI1256))/AI1256)))</f>
        <v>1</v>
      </c>
      <c r="AP1256" s="50" t="n">
        <f aca="false">IF(LEFT(Cockpit!$I$5,1)="A",H1256,IF(Parameter!$E$30="MAX-Bestand",IF(CH1256=1,CI1256,IF(LEFT(Cockpit!$I$5,1)="B",AV1256,MAX(AV1256,H1256))),ROUNDUP(AT1256,0)))</f>
        <v>50</v>
      </c>
      <c r="AQ1256" s="50" t="n">
        <f aca="false">IF(BZ1256=1,0,ROUNDUP(AP1256/BY1256,0))</f>
        <v>1</v>
      </c>
      <c r="AR1256" s="52" t="n">
        <f aca="false">IF(CQ1256&gt;0,CQ1256*MAX(1,AP1256/X1256),IF(BZ1256=1,IF(AP1256&lt;=0,0,CD1256*MAX(1,IF(H1256&gt;0,AP1256/H1256,1))),IF(R1256&gt;0,AQ1256/R1256,0))/MAX(0.1,N(Parameter!$M$21)))</f>
        <v>0.0833333333333333</v>
      </c>
      <c r="AS1256" s="50" t="n">
        <f aca="false">AR1256*CB1256</f>
        <v>28.75</v>
      </c>
      <c r="AT1256" s="51" t="n">
        <f aca="false">IF(LEFT(Cockpit!$I$5,1)="A",H1256,IF(CH1256=1,(CK1256+CI1256)/2,IF(LEFT(Cockpit!$I$5,1)="B",(CK1256+AV1256)/2,MAX((CK1256+AV1256)/2,H1256))))</f>
        <v>50</v>
      </c>
      <c r="AU1256" s="50" t="n">
        <f aca="false">AT1256*G1256</f>
        <v>5235.5</v>
      </c>
      <c r="AV1256" s="50" t="n">
        <f aca="false">ROUNDUP(CK1256+MAX(CL1256,2*(J1256/IF(CG1256&gt;0,CG1256,MAX(0.1,N(Cockpit!$I$6)))-CK1256)),0)</f>
        <v>76</v>
      </c>
      <c r="AW1256" s="51" t="n">
        <f aca="false">IF(AS1256&gt;0,J1256/AS1256,-1)</f>
        <v>4.97391304347826</v>
      </c>
      <c r="AX1256" s="51" t="n">
        <f aca="false">IF(AND(OR(CF1256="L1",CF1256="L23",CF1256="LIFT"),AS1256&gt;0),SUMIFS($AS$7:$AS$1843,$CF$7:$CF$1843,CF1256,$AW$7:$AW$1843,"&gt;"&amp;AW1256)+SUMIFS($AS$7:$AS$1843,$CF$7:$CF$1843,CF1256,$AW$7:$AW$1843,AW1256,$BW$7:$BW$1843,"&lt;="&amp;BW1256),"")</f>
        <v>4519.07646520147</v>
      </c>
      <c r="AY1256" s="58" t="n">
        <f aca="false">IF(AX1256="",0,MAX(0,MIN(1,(IF(CF1256="L1",Parameter!$H$5,IF(CF1256="L23",Parameter!$H$6+Parameter!$H$7,Parameter!$H$5+Parameter!$H$6+Parameter!$H$7))-(AX1256-AS1256))/AS1256)))</f>
        <v>1</v>
      </c>
      <c r="AZ1256" s="50" t="n">
        <f aca="false">IF(LEFT(Cockpit!$O$5,1)="A",H1256,IF(Parameter!$E$30="MAX-Bestand",IF(CH1256=1,CI1256,IF(LEFT(Cockpit!$O$5,1)="B",BF1256,MAX(BF1256,H1256))),ROUNDUP(BD1256,0)))</f>
        <v>45</v>
      </c>
      <c r="BA1256" s="50" t="n">
        <f aca="false">IF(BZ1256=1,0,ROUNDUP(AZ1256/BY1256,0))</f>
        <v>1</v>
      </c>
      <c r="BB1256" s="52" t="n">
        <f aca="false">IF(CQ1256&gt;0,CQ1256*MAX(1,AZ1256/X1256),IF(BZ1256=1,IF(AZ1256&lt;=0,0,CD1256*MAX(1,IF(H1256&gt;0,AZ1256/H1256,1))),IF(R1256&gt;0,BA1256/R1256,0))/MAX(0.1,N(Parameter!$M$21)))</f>
        <v>0.0833333333333333</v>
      </c>
      <c r="BC1256" s="50" t="n">
        <f aca="false">BB1256*CB1256</f>
        <v>28.75</v>
      </c>
      <c r="BD1256" s="51" t="n">
        <f aca="false">IF(LEFT(Cockpit!$O$5,1)="A",H1256,IF(CH1256=1,(CK1256+CI1256)/2,IF(LEFT(Cockpit!$O$5,1)="B",(CK1256+BF1256)/2,MAX((CK1256+BF1256)/2,H1256))))</f>
        <v>45</v>
      </c>
      <c r="BE1256" s="50" t="n">
        <f aca="false">BD1256*G1256</f>
        <v>4711.95</v>
      </c>
      <c r="BF1256" s="50" t="n">
        <f aca="false">ROUNDUP(CK1256+MAX(CL1256,2*(J1256/IF(CG1256&gt;0,CG1256,MAX(0.1,N(Cockpit!$O$6)))-CK1256)),0)</f>
        <v>70</v>
      </c>
      <c r="BG1256" s="51" t="n">
        <f aca="false">IF(BC1256&gt;0,J1256/BC1256,-1)</f>
        <v>4.97391304347826</v>
      </c>
      <c r="BH1256" s="51" t="n">
        <f aca="false">IF(AND(OR(CF1256="L1",CF1256="L23",CF1256="LIFT"),BC1256&gt;0),SUMIFS($BC$7:$BC$1843,$CF$7:$CF$1843,CF1256,$BG$7:$BG$1843,"&gt;"&amp;BG1256)+SUMIFS($BC$7:$BC$1843,$CF$7:$CF$1843,CF1256,$BG$7:$BG$1843,BG1256,$BW$7:$BW$1843,"&lt;="&amp;BW1256),"")</f>
        <v>3741.08882783883</v>
      </c>
      <c r="BI1256" s="58" t="n">
        <f aca="false">IF(BH1256="",0,MAX(0,MIN(1,(IF(CF1256="L1",Parameter!$H$5,IF(CF1256="L23",Parameter!$H$6+Parameter!$H$7,Parameter!$H$5+Parameter!$H$6+Parameter!$H$7))-(BH1256-BC1256))/BC1256)))</f>
        <v>1</v>
      </c>
      <c r="BJ1256" s="48" t="str">
        <f aca="false">IF(AI1256&lt;=0,"",IF(CF1256="Aussen","Aussenlager",IF(CF1256="-","Nicht im Lift",IF(AO1256&gt;=1,"Lift",IF(AO1256&lt;=0,"Aussenlager","teilweise")))))</f>
        <v>Lift</v>
      </c>
      <c r="BK1256" s="48" t="str">
        <f aca="false">IF(AS1256&lt;=0,"",IF(CF1256="Aussen","Aussenlager",IF(CF1256="-","Nicht im Lift",IF(AY1256&gt;=1,"Lift",IF(AY1256&lt;=0,"Aussenlager","teilweise")))))</f>
        <v>Lift</v>
      </c>
      <c r="BL1256" s="48" t="str">
        <f aca="false">IF(BC1256&lt;=0,"",IF(CF1256="Aussen","Aussenlager",IF(CF1256="-","Nicht im Lift",IF(BI1256&gt;=1,"Lift",IF(BI1256&lt;=0,"Aussenlager","teilweise")))))</f>
        <v>Lift</v>
      </c>
      <c r="BM1256" s="48" t="str">
        <f aca="false">IF(A1256="","",IF(BV1256=1,"Neu; ","")&amp;IF(AND(BV1256=0,BQ1256&lt;0),"negativer Bestand (Export "&amp;BQ1256&amp;"); ","")&amp;IF(J1256&lt;=0,"Kein Verbrauch; ","")&amp;IF(CQ1256&gt;0,"Lift "&amp;W1256&amp;" lt. Liftbericht (Fach "&amp;X1256&amp;" Stk); ",IF(CA1256=1,"Gebinde geschätzt ("&amp;T1256&amp;"); ",IF(BZ1256=1,"Lose – Tablare geschätzt; ","")))&amp;IF(H1256&gt;AV1256,"Überbestand "&amp;ROUND(H1256-AV1256,0)&amp;" Stk / CHF "&amp;ROUND((H1256-AV1256)*G1256,0)&amp;"; ","")&amp;IF(AND(CH1256=1,CI1256&lt;CJ1256),"MAX &lt; MB+LG; ","")&amp;IF(AND(CP1256&gt;0,CO1256*10&gt;CP1256),"zu hoch für Tablar; ","")&amp;IF(AND(BV1256=0,OR(CH1256=1,AA1256&lt;&gt;"",U1256&lt;&gt;"",V1256&lt;&gt;"",AB1256&lt;&gt;"")),"manuell übersteuert; ","")&amp;IF(AND(BZ1256=0,R1256=0),"Gebinde unbekannt / Stellmass fehlt; ","")&amp;IF(AND(BZ1256=0,N(V1256)&lt;=0,N(Q1256)&lt;=0),"Menge pro Gebinde fehlt (Ist = 1 Gebinde); ","")&amp;BU1256)</f>
        <v>negativer Bestand (Export -27); </v>
      </c>
      <c r="BN1256" s="48"/>
      <c r="BO1256" s="48"/>
      <c r="BP1256" s="55"/>
      <c r="BQ1256" s="50" t="n">
        <v>-27</v>
      </c>
      <c r="BR1256" s="50" t="n">
        <v>77</v>
      </c>
      <c r="BS1256" s="49" t="n">
        <v>-762.8</v>
      </c>
      <c r="BT1256" s="50" t="n">
        <v>143</v>
      </c>
      <c r="BU1256" s="48"/>
      <c r="BV1256" s="53" t="n">
        <v>0</v>
      </c>
      <c r="BW1256" s="53" t="n">
        <v>1256</v>
      </c>
      <c r="BX1256" s="48" t="str">
        <f aca="false">IF(U1256&lt;&gt;"",UPPER(TRIM(U1256)),IF(CA1256=1,UPPER(VLOOKUP(T1256,Parameter!$I$27:$K$29,2,0)),IF(P1256="","LOSE",P1256)))</f>
        <v>S63</v>
      </c>
      <c r="BY1256" s="50" t="n">
        <f aca="false">IF(BX1256="LOSE",1,IF(N(V1256)&gt;0,V1256,IF(CA1256=1,MAX(1,N(VLOOKUP(T1256,Parameter!$I$27:$K$29,3,0)),H1256,N(N1256)),IF(N(Q1256)&gt;0,Q1256,MAX(1,H1256)))))</f>
        <v>154</v>
      </c>
      <c r="BZ1256" s="53" t="n">
        <f aca="false">IF(BX1256="LOSE",1,0)</f>
        <v>0</v>
      </c>
      <c r="CA1256" s="53" t="n">
        <f aca="false">IF(AND(U1256="",OR(P1256="",P1256="LOSE"),T1256&lt;&gt;"",N(S1256)&lt;=0,ISNUMBER(MATCH(T1256,Parameter!$I$27:$I$29,0))),1,0)</f>
        <v>0</v>
      </c>
      <c r="CB1256" s="53" t="n">
        <f aca="false">IF(CQ1256&gt;0,INDEX(Parameter!$H$5:$H$7,W1256)/INDEX(Parameter!$E$5:$E$7,W1256),IF(AND(BZ1256=0,N(IFERROR(VLOOKUP(BX1256,'Gebinde-Kategorie'!$A$5:$N$45,14,0),0))&gt;0),VLOOKUP(BX1256,'Gebinde-Kategorie'!$A$5:$N$45,14,0)*10+Parameter!$M$23,Parameter!$M$24))</f>
        <v>345</v>
      </c>
      <c r="CC1256" s="48" t="str">
        <f aca="false">IF(AND(Parameter!$B$19="Ja",E1256&lt;&gt;"",ISNUMBER(MATCH(E1256,Parameter!$I$35:$I$52,0))),VLOOKUP(E1256,Parameter!$I$35:$J$52,2,0),IFERROR(VLOOKUP(D1256,Parameter!$A$35:$C$64,2,0),"Nein"))</f>
        <v>2+3</v>
      </c>
      <c r="CD1256" s="52" t="n">
        <f aca="false">IF(BZ1256=0,0,IF(N(S1256)&gt;0,S1256,IFERROR(VLOOKUP(D1256,Parameter!$A$35:$C$64,3,0)+0,0)))</f>
        <v>0</v>
      </c>
      <c r="CE1256" s="48" t="n">
        <f aca="false">IF(AA1256&lt;&gt;"",AA1256,Z1256)</f>
        <v>2</v>
      </c>
      <c r="CF1256" s="48" t="str">
        <f aca="false">IF(OR(CE1256=1,CE1256=2,CE1256=3),IF(Parameter!$E$27="Ja","LIFT",IF(CE1256=1,"L1","L23")),IF(CE1256="Aussen","Aussen","-"))</f>
        <v>LIFT</v>
      </c>
      <c r="CG1256" s="59" t="n">
        <f aca="false">IF(N(AB1256)&gt;0,AB1256,0)</f>
        <v>0</v>
      </c>
      <c r="CH1256" s="53" t="n">
        <f aca="false">IF(ISNUMBER(AE1256),1,0)</f>
        <v>0</v>
      </c>
      <c r="CI1256" s="50" t="n">
        <f aca="false">N(AE1256)</f>
        <v>0</v>
      </c>
      <c r="CJ1256" s="50" t="n">
        <f aca="false">N(M1256)+N(N1256)</f>
        <v>70</v>
      </c>
      <c r="CK1256" s="50" t="n">
        <f aca="false">N(M1256)</f>
        <v>20</v>
      </c>
      <c r="CL1256" s="50" t="n">
        <f aca="false">N(N1256)</f>
        <v>50</v>
      </c>
      <c r="CM1256" s="50" t="n">
        <f aca="false">ROUNDUP(H1256/BY1256,0)</f>
        <v>1</v>
      </c>
      <c r="CN1256" s="50" t="n">
        <f aca="false">ROUNDUP(CI1256/BY1256,0)</f>
        <v>0</v>
      </c>
      <c r="CO1256" s="53" t="n">
        <f aca="false">IF(BZ1256=1,0,IFERROR(VLOOKUP(BX1256,'Gebinde-Kategorie'!$A$5:$N$45,5,0)+0,0))</f>
        <v>31</v>
      </c>
      <c r="CP1256" s="53" t="n">
        <f aca="false">IFERROR(IF(OR(CE1256=1,CE1256=2,CE1256=3),N(INDEX(Parameter!$I$5:$I$7,CE1256)),0),0)</f>
        <v>0</v>
      </c>
      <c r="CQ1256" s="52" t="n">
        <f aca="false">IF(AND(Parameter!$B$21="Ja",ISNUMBER(W1256),N(X1256)&gt;0),IFERROR(N(INDEX(Parameter!$L$5:$L$7,W1256))*INDEX(Parameter!$E$5:$E$7,W1256)*X1256/SUMIFS($X$7:$X$1843,$W$7:$W$1843,W1256),0),0)</f>
        <v>0</v>
      </c>
    </row>
    <row r="1257" customFormat="false" ht="15" hidden="false" customHeight="false" outlineLevel="0" collapsed="false">
      <c r="A1257" s="48" t="s">
        <v>2253</v>
      </c>
      <c r="B1257" s="48" t="s">
        <v>2254</v>
      </c>
      <c r="C1257" s="48" t="s">
        <v>173</v>
      </c>
      <c r="D1257" s="48" t="s">
        <v>193</v>
      </c>
      <c r="E1257" s="48"/>
      <c r="F1257" s="48" t="s">
        <v>227</v>
      </c>
      <c r="G1257" s="49" t="n">
        <v>95.87</v>
      </c>
      <c r="H1257" s="50" t="n">
        <f aca="false">MAX(0,IF(AND(Parameter!$B$21="Ja",ISNUMBER(Y1257)),Y1257,IF(Parameter!$B$20="Jahresanfang 2025 + Export",BR1257+BQ1257,BQ1257)))</f>
        <v>6</v>
      </c>
      <c r="I1257" s="50" t="n">
        <f aca="false">H1257*G1257</f>
        <v>575.22</v>
      </c>
      <c r="J1257" s="50" t="n">
        <f aca="false">BT1257*Parameter!$B$18</f>
        <v>4</v>
      </c>
      <c r="K1257" s="51" t="n">
        <v>12</v>
      </c>
      <c r="L1257" s="52" t="n">
        <v>0.333333333333333</v>
      </c>
      <c r="M1257" s="50" t="n">
        <v>0</v>
      </c>
      <c r="N1257" s="50" t="n">
        <v>5</v>
      </c>
      <c r="O1257" s="53" t="n">
        <v>35</v>
      </c>
      <c r="P1257" s="48" t="s">
        <v>177</v>
      </c>
      <c r="Q1257" s="50"/>
      <c r="R1257" s="53" t="n">
        <f aca="false">IF(BZ1257=1,0,IFERROR(VLOOKUP(BX1257,'Gebinde-Kategorie'!$A$5:$N$45,13,0)+0,0))</f>
        <v>26</v>
      </c>
      <c r="S1257" s="54"/>
      <c r="T1257" s="55" t="s">
        <v>284</v>
      </c>
      <c r="U1257" s="55"/>
      <c r="V1257" s="55"/>
      <c r="W1257" s="48"/>
      <c r="X1257" s="50"/>
      <c r="Y1257" s="50"/>
      <c r="Z1257" s="48" t="n">
        <f aca="false">IF(A1257="","",IF(AND(Parameter!$B$21="Ja",ISNUMBER(W1257)),W1257,IF(CC1257="2+3",IF(ISNUMBER(SEARCH("grosser Artikel",BU1257)),2,IFERROR(VLOOKUP(BX1257,Parameter!$F$35:$G$64,2,0),2)),IF(OR(CC1257="Nein",CC1257=""),"-",CC1257))))</f>
        <v>3</v>
      </c>
      <c r="AA1257" s="55"/>
      <c r="AB1257" s="56"/>
      <c r="AC1257" s="50" t="n">
        <f aca="false">AV1257</f>
        <v>5</v>
      </c>
      <c r="AD1257" s="50" t="n">
        <f aca="false">MAX(AV1257,H1257)</f>
        <v>6</v>
      </c>
      <c r="AE1257" s="57"/>
      <c r="AF1257" s="50" t="n">
        <f aca="false">IF(LEFT(Cockpit!$C$5,1)="A",H1257,IF(Parameter!$E$30="MAX-Bestand",IF(CH1257=1,CI1257,IF(LEFT(Cockpit!$C$5,1)="B",AL1257,MAX(AL1257,H1257))),ROUNDUP(AJ1257,0)))</f>
        <v>6</v>
      </c>
      <c r="AG1257" s="50" t="n">
        <f aca="false">IF(BZ1257=1,0,ROUNDUP(AF1257/BY1257,0))</f>
        <v>1</v>
      </c>
      <c r="AH1257" s="52" t="n">
        <f aca="false">IF(CQ1257&gt;0,CQ1257*MAX(1,AF1257/X1257),IF(BZ1257=1,IF(AF1257&lt;=0,0,CD1257*MAX(1,IF(H1257&gt;0,AF1257/H1257,1))),IF(R1257&gt;0,AG1257/R1257,0))/MAX(0.1,N(Parameter!$M$21)))</f>
        <v>0.0384615384615385</v>
      </c>
      <c r="AI1257" s="50" t="n">
        <f aca="false">AH1257*CB1257</f>
        <v>5.96153846153846</v>
      </c>
      <c r="AJ1257" s="51" t="n">
        <f aca="false">IF(LEFT(Cockpit!$C$5,1)="A",H1257,IF(CH1257=1,(CK1257+CI1257)/2,IF(LEFT(Cockpit!$C$5,1)="B",(CK1257+AL1257)/2,MAX((CK1257+AL1257)/2,H1257))))</f>
        <v>6</v>
      </c>
      <c r="AK1257" s="50" t="n">
        <f aca="false">AJ1257*G1257</f>
        <v>575.22</v>
      </c>
      <c r="AL1257" s="50" t="n">
        <f aca="false">ROUNDUP(CK1257+MAX(CL1257,2*(J1257/IF(CG1257&gt;0,CG1257,MAX(0.1,N(Cockpit!$C$6)))-CK1257)),0)</f>
        <v>5</v>
      </c>
      <c r="AM1257" s="51" t="n">
        <f aca="false">IF(AI1257&gt;0,J1257/AI1257,-1)</f>
        <v>0.670967741935484</v>
      </c>
      <c r="AN1257" s="51" t="n">
        <f aca="false">IF(AND(OR(CF1257="L1",CF1257="L23",CF1257="LIFT"),AI1257&gt;0),SUMIFS($AI$7:$AI$1843,$CF$7:$CF$1843,CF1257,$AM$7:$AM$1843,"&gt;"&amp;AM1257)+SUMIFS($AI$7:$AI$1843,$CF$7:$CF$1843,CF1257,$AM$7:$AM$1843,AM1257,$BW$7:$BW$1843,"&lt;="&amp;BW1257),"")</f>
        <v>8653.3717948718</v>
      </c>
      <c r="AO1257" s="58" t="n">
        <f aca="false">IF(AN1257="",0,MAX(0,MIN(1,(IF(CF1257="L1",Parameter!$H$5,IF(CF1257="L23",Parameter!$H$6+Parameter!$H$7,Parameter!$H$5+Parameter!$H$6+Parameter!$H$7))-(AN1257-AI1257))/AI1257)))</f>
        <v>1</v>
      </c>
      <c r="AP1257" s="50" t="n">
        <f aca="false">IF(LEFT(Cockpit!$I$5,1)="A",H1257,IF(Parameter!$E$30="MAX-Bestand",IF(CH1257=1,CI1257,IF(LEFT(Cockpit!$I$5,1)="B",AV1257,MAX(AV1257,H1257))),ROUNDUP(AT1257,0)))</f>
        <v>6</v>
      </c>
      <c r="AQ1257" s="50" t="n">
        <f aca="false">IF(BZ1257=1,0,ROUNDUP(AP1257/BY1257,0))</f>
        <v>1</v>
      </c>
      <c r="AR1257" s="52" t="n">
        <f aca="false">IF(CQ1257&gt;0,CQ1257*MAX(1,AP1257/X1257),IF(BZ1257=1,IF(AP1257&lt;=0,0,CD1257*MAX(1,IF(H1257&gt;0,AP1257/H1257,1))),IF(R1257&gt;0,AQ1257/R1257,0))/MAX(0.1,N(Parameter!$M$21)))</f>
        <v>0.0384615384615385</v>
      </c>
      <c r="AS1257" s="50" t="n">
        <f aca="false">AR1257*CB1257</f>
        <v>5.96153846153846</v>
      </c>
      <c r="AT1257" s="51" t="n">
        <f aca="false">IF(LEFT(Cockpit!$I$5,1)="A",H1257,IF(CH1257=1,(CK1257+CI1257)/2,IF(LEFT(Cockpit!$I$5,1)="B",(CK1257+AV1257)/2,MAX((CK1257+AV1257)/2,H1257))))</f>
        <v>6</v>
      </c>
      <c r="AU1257" s="50" t="n">
        <f aca="false">AT1257*G1257</f>
        <v>575.22</v>
      </c>
      <c r="AV1257" s="50" t="n">
        <f aca="false">ROUNDUP(CK1257+MAX(CL1257,2*(J1257/IF(CG1257&gt;0,CG1257,MAX(0.1,N(Cockpit!$I$6)))-CK1257)),0)</f>
        <v>5</v>
      </c>
      <c r="AW1257" s="51" t="n">
        <f aca="false">IF(AS1257&gt;0,J1257/AS1257,-1)</f>
        <v>0.670967741935484</v>
      </c>
      <c r="AX1257" s="51" t="n">
        <f aca="false">IF(AND(OR(CF1257="L1",CF1257="L23",CF1257="LIFT"),AS1257&gt;0),SUMIFS($AS$7:$AS$1843,$CF$7:$CF$1843,CF1257,$AW$7:$AW$1843,"&gt;"&amp;AW1257)+SUMIFS($AS$7:$AS$1843,$CF$7:$CF$1843,CF1257,$AW$7:$AW$1843,AW1257,$BW$7:$BW$1843,"&lt;="&amp;BW1257),"")</f>
        <v>10947.5393772894</v>
      </c>
      <c r="AY1257" s="58" t="n">
        <f aca="false">IF(AX1257="",0,MAX(0,MIN(1,(IF(CF1257="L1",Parameter!$H$5,IF(CF1257="L23",Parameter!$H$6+Parameter!$H$7,Parameter!$H$5+Parameter!$H$6+Parameter!$H$7))-(AX1257-AS1257))/AS1257)))</f>
        <v>1</v>
      </c>
      <c r="AZ1257" s="50" t="n">
        <f aca="false">IF(LEFT(Cockpit!$O$5,1)="A",H1257,IF(Parameter!$E$30="MAX-Bestand",IF(CH1257=1,CI1257,IF(LEFT(Cockpit!$O$5,1)="B",BF1257,MAX(BF1257,H1257))),ROUNDUP(BD1257,0)))</f>
        <v>3</v>
      </c>
      <c r="BA1257" s="50" t="n">
        <f aca="false">IF(BZ1257=1,0,ROUNDUP(AZ1257/BY1257,0))</f>
        <v>1</v>
      </c>
      <c r="BB1257" s="52" t="n">
        <f aca="false">IF(CQ1257&gt;0,CQ1257*MAX(1,AZ1257/X1257),IF(BZ1257=1,IF(AZ1257&lt;=0,0,CD1257*MAX(1,IF(H1257&gt;0,AZ1257/H1257,1))),IF(R1257&gt;0,BA1257/R1257,0))/MAX(0.1,N(Parameter!$M$21)))</f>
        <v>0.0384615384615385</v>
      </c>
      <c r="BC1257" s="50" t="n">
        <f aca="false">BB1257*CB1257</f>
        <v>5.96153846153846</v>
      </c>
      <c r="BD1257" s="51" t="n">
        <f aca="false">IF(LEFT(Cockpit!$O$5,1)="A",H1257,IF(CH1257=1,(CK1257+CI1257)/2,IF(LEFT(Cockpit!$O$5,1)="B",(CK1257+BF1257)/2,MAX((CK1257+BF1257)/2,H1257))))</f>
        <v>2.5</v>
      </c>
      <c r="BE1257" s="50" t="n">
        <f aca="false">BD1257*G1257</f>
        <v>239.675</v>
      </c>
      <c r="BF1257" s="50" t="n">
        <f aca="false">ROUNDUP(CK1257+MAX(CL1257,2*(J1257/IF(CG1257&gt;0,CG1257,MAX(0.1,N(Cockpit!$O$6)))-CK1257)),0)</f>
        <v>5</v>
      </c>
      <c r="BG1257" s="51" t="n">
        <f aca="false">IF(BC1257&gt;0,J1257/BC1257,-1)</f>
        <v>0.670967741935484</v>
      </c>
      <c r="BH1257" s="51" t="n">
        <f aca="false">IF(AND(OR(CF1257="L1",CF1257="L23",CF1257="LIFT"),BC1257&gt;0),SUMIFS($BC$7:$BC$1843,$CF$7:$CF$1843,CF1257,$BG$7:$BG$1843,"&gt;"&amp;BG1257)+SUMIFS($BC$7:$BC$1843,$CF$7:$CF$1843,CF1257,$BG$7:$BG$1843,BG1257,$BW$7:$BW$1843,"&lt;="&amp;BW1257),"")</f>
        <v>9557.17353479853</v>
      </c>
      <c r="BI1257" s="58" t="n">
        <f aca="false">IF(BH1257="",0,MAX(0,MIN(1,(IF(CF1257="L1",Parameter!$H$5,IF(CF1257="L23",Parameter!$H$6+Parameter!$H$7,Parameter!$H$5+Parameter!$H$6+Parameter!$H$7))-(BH1257-BC1257))/BC1257)))</f>
        <v>1</v>
      </c>
      <c r="BJ1257" s="48" t="str">
        <f aca="false">IF(AI1257&lt;=0,"",IF(CF1257="Aussen","Aussenlager",IF(CF1257="-","Nicht im Lift",IF(AO1257&gt;=1,"Lift",IF(AO1257&lt;=0,"Aussenlager","teilweise")))))</f>
        <v>Lift</v>
      </c>
      <c r="BK1257" s="48" t="str">
        <f aca="false">IF(AS1257&lt;=0,"",IF(CF1257="Aussen","Aussenlager",IF(CF1257="-","Nicht im Lift",IF(AY1257&gt;=1,"Lift",IF(AY1257&lt;=0,"Aussenlager","teilweise")))))</f>
        <v>Lift</v>
      </c>
      <c r="BL1257" s="48" t="str">
        <f aca="false">IF(BC1257&lt;=0,"",IF(CF1257="Aussen","Aussenlager",IF(CF1257="-","Nicht im Lift",IF(BI1257&gt;=1,"Lift",IF(BI1257&lt;=0,"Aussenlager","teilweise")))))</f>
        <v>Lift</v>
      </c>
      <c r="BM1257" s="48" t="str">
        <f aca="false">IF(A1257="","",IF(BV1257=1,"Neu; ","")&amp;IF(AND(BV1257=0,BQ1257&lt;0),"negativer Bestand (Export "&amp;BQ1257&amp;"); ","")&amp;IF(J1257&lt;=0,"Kein Verbrauch; ","")&amp;IF(CQ1257&gt;0,"Lift "&amp;W1257&amp;" lt. Liftbericht (Fach "&amp;X1257&amp;" Stk); ",IF(CA1257=1,"Gebinde geschätzt ("&amp;T1257&amp;"); ",IF(BZ1257=1,"Lose – Tablare geschätzt; ","")))&amp;IF(H1257&gt;AV1257,"Überbestand "&amp;ROUND(H1257-AV1257,0)&amp;" Stk / CHF "&amp;ROUND((H1257-AV1257)*G1257,0)&amp;"; ","")&amp;IF(AND(CH1257=1,CI1257&lt;CJ1257),"MAX &lt; MB+LG; ","")&amp;IF(AND(CP1257&gt;0,CO1257*10&gt;CP1257),"zu hoch für Tablar; ","")&amp;IF(AND(BV1257=0,OR(CH1257=1,AA1257&lt;&gt;"",U1257&lt;&gt;"",V1257&lt;&gt;"",AB1257&lt;&gt;"")),"manuell übersteuert; ","")&amp;IF(AND(BZ1257=0,R1257=0),"Gebinde unbekannt / Stellmass fehlt; ","")&amp;IF(AND(BZ1257=0,N(V1257)&lt;=0,N(Q1257)&lt;=0),"Menge pro Gebinde fehlt (Ist = 1 Gebinde); ","")&amp;BU1257)</f>
        <v>negativer Bestand (Export -8); Gebinde geschätzt (Klein); Überbestand 1 Stk / CHF 96; Menge pro Gebinde fehlt (Ist = 1 Gebinde); </v>
      </c>
      <c r="BN1257" s="48"/>
      <c r="BO1257" s="48"/>
      <c r="BP1257" s="55"/>
      <c r="BQ1257" s="50" t="n">
        <v>-8</v>
      </c>
      <c r="BR1257" s="50" t="n">
        <v>14</v>
      </c>
      <c r="BS1257" s="49" t="n">
        <v>-766.96</v>
      </c>
      <c r="BT1257" s="50" t="n">
        <v>4</v>
      </c>
      <c r="BU1257" s="48"/>
      <c r="BV1257" s="53" t="n">
        <v>0</v>
      </c>
      <c r="BW1257" s="53" t="n">
        <v>1257</v>
      </c>
      <c r="BX1257" s="48" t="str">
        <f aca="false">IF(U1257&lt;&gt;"",UPPER(TRIM(U1257)),IF(CA1257=1,UPPER(VLOOKUP(T1257,Parameter!$I$27:$K$29,2,0)),IF(P1257="","LOSE",P1257)))</f>
        <v>S51</v>
      </c>
      <c r="BY1257" s="50" t="n">
        <f aca="false">IF(BX1257="LOSE",1,IF(N(V1257)&gt;0,V1257,IF(CA1257=1,MAX(1,N(VLOOKUP(T1257,Parameter!$I$27:$K$29,3,0)),H1257,N(N1257)),IF(N(Q1257)&gt;0,Q1257,MAX(1,H1257)))))</f>
        <v>20</v>
      </c>
      <c r="BZ1257" s="53" t="n">
        <f aca="false">IF(BX1257="LOSE",1,0)</f>
        <v>0</v>
      </c>
      <c r="CA1257" s="53" t="n">
        <f aca="false">IF(AND(U1257="",OR(P1257="",P1257="LOSE"),T1257&lt;&gt;"",N(S1257)&lt;=0,ISNUMBER(MATCH(T1257,Parameter!$I$27:$I$29,0))),1,0)</f>
        <v>1</v>
      </c>
      <c r="CB1257" s="53" t="n">
        <f aca="false">IF(CQ1257&gt;0,INDEX(Parameter!$H$5:$H$7,W1257)/INDEX(Parameter!$E$5:$E$7,W1257),IF(AND(BZ1257=0,N(IFERROR(VLOOKUP(BX1257,'Gebinde-Kategorie'!$A$5:$N$45,14,0),0))&gt;0),VLOOKUP(BX1257,'Gebinde-Kategorie'!$A$5:$N$45,14,0)*10+Parameter!$M$23,Parameter!$M$24))</f>
        <v>155</v>
      </c>
      <c r="CC1257" s="48" t="str">
        <f aca="false">IF(AND(Parameter!$B$19="Ja",E1257&lt;&gt;"",ISNUMBER(MATCH(E1257,Parameter!$I$35:$I$52,0))),VLOOKUP(E1257,Parameter!$I$35:$J$52,2,0),IFERROR(VLOOKUP(D1257,Parameter!$A$35:$C$64,2,0),"Nein"))</f>
        <v>2+3</v>
      </c>
      <c r="CD1257" s="52" t="n">
        <f aca="false">IF(BZ1257=0,0,IF(N(S1257)&gt;0,S1257,IFERROR(VLOOKUP(D1257,Parameter!$A$35:$C$64,3,0)+0,0)))</f>
        <v>0</v>
      </c>
      <c r="CE1257" s="48" t="n">
        <f aca="false">IF(AA1257&lt;&gt;"",AA1257,Z1257)</f>
        <v>3</v>
      </c>
      <c r="CF1257" s="48" t="str">
        <f aca="false">IF(OR(CE1257=1,CE1257=2,CE1257=3),IF(Parameter!$E$27="Ja","LIFT",IF(CE1257=1,"L1","L23")),IF(CE1257="Aussen","Aussen","-"))</f>
        <v>LIFT</v>
      </c>
      <c r="CG1257" s="59" t="n">
        <f aca="false">IF(N(AB1257)&gt;0,AB1257,0)</f>
        <v>0</v>
      </c>
      <c r="CH1257" s="53" t="n">
        <f aca="false">IF(ISNUMBER(AE1257),1,0)</f>
        <v>0</v>
      </c>
      <c r="CI1257" s="50" t="n">
        <f aca="false">N(AE1257)</f>
        <v>0</v>
      </c>
      <c r="CJ1257" s="50" t="n">
        <f aca="false">N(M1257)+N(N1257)</f>
        <v>5</v>
      </c>
      <c r="CK1257" s="50" t="n">
        <f aca="false">N(M1257)</f>
        <v>0</v>
      </c>
      <c r="CL1257" s="50" t="n">
        <f aca="false">N(N1257)</f>
        <v>5</v>
      </c>
      <c r="CM1257" s="50" t="n">
        <f aca="false">ROUNDUP(H1257/BY1257,0)</f>
        <v>1</v>
      </c>
      <c r="CN1257" s="50" t="n">
        <f aca="false">ROUNDUP(CI1257/BY1257,0)</f>
        <v>0</v>
      </c>
      <c r="CO1257" s="53" t="n">
        <f aca="false">IF(BZ1257=1,0,IFERROR(VLOOKUP(BX1257,'Gebinde-Kategorie'!$A$5:$N$45,5,0)+0,0))</f>
        <v>11</v>
      </c>
      <c r="CP1257" s="53" t="n">
        <f aca="false">IFERROR(IF(OR(CE1257=1,CE1257=2,CE1257=3),N(INDEX(Parameter!$I$5:$I$7,CE1257)),0),0)</f>
        <v>0</v>
      </c>
      <c r="CQ1257" s="52" t="n">
        <f aca="false">IF(AND(Parameter!$B$21="Ja",ISNUMBER(W1257),N(X1257)&gt;0),IFERROR(N(INDEX(Parameter!$L$5:$L$7,W1257))*INDEX(Parameter!$E$5:$E$7,W1257)*X1257/SUMIFS($X$7:$X$1843,$W$7:$W$1843,W1257),0),0)</f>
        <v>0</v>
      </c>
    </row>
    <row r="1258" customFormat="false" ht="15" hidden="false" customHeight="false" outlineLevel="0" collapsed="false">
      <c r="A1258" s="48" t="s">
        <v>2255</v>
      </c>
      <c r="B1258" s="48" t="s">
        <v>1018</v>
      </c>
      <c r="C1258" s="48" t="s">
        <v>173</v>
      </c>
      <c r="D1258" s="48" t="s">
        <v>182</v>
      </c>
      <c r="E1258" s="48"/>
      <c r="F1258" s="48" t="s">
        <v>227</v>
      </c>
      <c r="G1258" s="49" t="n">
        <v>5.45</v>
      </c>
      <c r="H1258" s="50" t="n">
        <f aca="false">MAX(0,IF(AND(Parameter!$B$21="Ja",ISNUMBER(Y1258)),Y1258,IF(Parameter!$B$20="Jahresanfang 2025 + Export",BR1258+BQ1258,BQ1258)))</f>
        <v>50</v>
      </c>
      <c r="I1258" s="50" t="n">
        <f aca="false">H1258*G1258</f>
        <v>272.5</v>
      </c>
      <c r="J1258" s="50" t="n">
        <f aca="false">BT1258*Parameter!$B$18</f>
        <v>185</v>
      </c>
      <c r="K1258" s="51" t="n">
        <v>118.5</v>
      </c>
      <c r="L1258" s="52" t="n">
        <v>1.56118143459916</v>
      </c>
      <c r="M1258" s="50" t="n">
        <v>32</v>
      </c>
      <c r="N1258" s="50" t="n">
        <v>185</v>
      </c>
      <c r="O1258" s="53" t="n">
        <v>63</v>
      </c>
      <c r="P1258" s="48" t="s">
        <v>177</v>
      </c>
      <c r="Q1258" s="50"/>
      <c r="R1258" s="53" t="n">
        <f aca="false">IF(BZ1258=1,0,IFERROR(VLOOKUP(BX1258,'Gebinde-Kategorie'!$A$5:$N$45,13,0)+0,0))</f>
        <v>26</v>
      </c>
      <c r="S1258" s="54"/>
      <c r="T1258" s="55" t="s">
        <v>284</v>
      </c>
      <c r="U1258" s="55"/>
      <c r="V1258" s="55"/>
      <c r="W1258" s="48"/>
      <c r="X1258" s="50"/>
      <c r="Y1258" s="50"/>
      <c r="Z1258" s="48" t="n">
        <f aca="false">IF(A1258="","",IF(AND(Parameter!$B$21="Ja",ISNUMBER(W1258)),W1258,IF(CC1258="2+3",IF(ISNUMBER(SEARCH("grosser Artikel",BU1258)),2,IFERROR(VLOOKUP(BX1258,Parameter!$F$35:$G$64,2,0),2)),IF(OR(CC1258="Nein",CC1258=""),"-",CC1258))))</f>
        <v>3</v>
      </c>
      <c r="AA1258" s="55"/>
      <c r="AB1258" s="56"/>
      <c r="AC1258" s="50" t="n">
        <f aca="false">AV1258</f>
        <v>217</v>
      </c>
      <c r="AD1258" s="50" t="n">
        <f aca="false">MAX(AV1258,H1258)</f>
        <v>217</v>
      </c>
      <c r="AE1258" s="57"/>
      <c r="AF1258" s="50" t="n">
        <f aca="false">IF(LEFT(Cockpit!$C$5,1)="A",H1258,IF(Parameter!$E$30="MAX-Bestand",IF(CH1258=1,CI1258,IF(LEFT(Cockpit!$C$5,1)="B",AL1258,MAX(AL1258,H1258))),ROUNDUP(AJ1258,0)))</f>
        <v>50</v>
      </c>
      <c r="AG1258" s="50" t="n">
        <f aca="false">IF(BZ1258=1,0,ROUNDUP(AF1258/BY1258,0))</f>
        <v>1</v>
      </c>
      <c r="AH1258" s="52" t="n">
        <f aca="false">IF(CQ1258&gt;0,CQ1258*MAX(1,AF1258/X1258),IF(BZ1258=1,IF(AF1258&lt;=0,0,CD1258*MAX(1,IF(H1258&gt;0,AF1258/H1258,1))),IF(R1258&gt;0,AG1258/R1258,0))/MAX(0.1,N(Parameter!$M$21)))</f>
        <v>0.0384615384615385</v>
      </c>
      <c r="AI1258" s="50" t="n">
        <f aca="false">AH1258*CB1258</f>
        <v>5.96153846153846</v>
      </c>
      <c r="AJ1258" s="51" t="n">
        <f aca="false">IF(LEFT(Cockpit!$C$5,1)="A",H1258,IF(CH1258=1,(CK1258+CI1258)/2,IF(LEFT(Cockpit!$C$5,1)="B",(CK1258+AL1258)/2,MAX((CK1258+AL1258)/2,H1258))))</f>
        <v>50</v>
      </c>
      <c r="AK1258" s="50" t="n">
        <f aca="false">AJ1258*G1258</f>
        <v>272.5</v>
      </c>
      <c r="AL1258" s="50" t="n">
        <f aca="false">ROUNDUP(CK1258+MAX(CL1258,2*(J1258/IF(CG1258&gt;0,CG1258,MAX(0.1,N(Cockpit!$C$6)))-CK1258)),0)</f>
        <v>217</v>
      </c>
      <c r="AM1258" s="51" t="n">
        <f aca="false">IF(AI1258&gt;0,J1258/AI1258,-1)</f>
        <v>31.0322580645161</v>
      </c>
      <c r="AN1258" s="51" t="n">
        <f aca="false">IF(AND(OR(CF1258="L1",CF1258="L23",CF1258="LIFT"),AI1258&gt;0),SUMIFS($AI$7:$AI$1843,$CF$7:$CF$1843,CF1258,$AM$7:$AM$1843,"&gt;"&amp;AM1258)+SUMIFS($AI$7:$AI$1843,$CF$7:$CF$1843,CF1258,$AM$7:$AM$1843,AM1258,$BW$7:$BW$1843,"&lt;="&amp;BW1258),"")</f>
        <v>1387.96703296703</v>
      </c>
      <c r="AO1258" s="58" t="n">
        <f aca="false">IF(AN1258="",0,MAX(0,MIN(1,(IF(CF1258="L1",Parameter!$H$5,IF(CF1258="L23",Parameter!$H$6+Parameter!$H$7,Parameter!$H$5+Parameter!$H$6+Parameter!$H$7))-(AN1258-AI1258))/AI1258)))</f>
        <v>1</v>
      </c>
      <c r="AP1258" s="50" t="n">
        <f aca="false">IF(LEFT(Cockpit!$I$5,1)="A",H1258,IF(Parameter!$E$30="MAX-Bestand",IF(CH1258=1,CI1258,IF(LEFT(Cockpit!$I$5,1)="B",AV1258,MAX(AV1258,H1258))),ROUNDUP(AT1258,0)))</f>
        <v>125</v>
      </c>
      <c r="AQ1258" s="50" t="n">
        <f aca="false">IF(BZ1258=1,0,ROUNDUP(AP1258/BY1258,0))</f>
        <v>1</v>
      </c>
      <c r="AR1258" s="52" t="n">
        <f aca="false">IF(CQ1258&gt;0,CQ1258*MAX(1,AP1258/X1258),IF(BZ1258=1,IF(AP1258&lt;=0,0,CD1258*MAX(1,IF(H1258&gt;0,AP1258/H1258,1))),IF(R1258&gt;0,AQ1258/R1258,0))/MAX(0.1,N(Parameter!$M$21)))</f>
        <v>0.0384615384615385</v>
      </c>
      <c r="AS1258" s="50" t="n">
        <f aca="false">AR1258*CB1258</f>
        <v>5.96153846153846</v>
      </c>
      <c r="AT1258" s="51" t="n">
        <f aca="false">IF(LEFT(Cockpit!$I$5,1)="A",H1258,IF(CH1258=1,(CK1258+CI1258)/2,IF(LEFT(Cockpit!$I$5,1)="B",(CK1258+AV1258)/2,MAX((CK1258+AV1258)/2,H1258))))</f>
        <v>124.5</v>
      </c>
      <c r="AU1258" s="50" t="n">
        <f aca="false">AT1258*G1258</f>
        <v>678.525</v>
      </c>
      <c r="AV1258" s="50" t="n">
        <f aca="false">ROUNDUP(CK1258+MAX(CL1258,2*(J1258/IF(CG1258&gt;0,CG1258,MAX(0.1,N(Cockpit!$I$6)))-CK1258)),0)</f>
        <v>217</v>
      </c>
      <c r="AW1258" s="51" t="n">
        <f aca="false">IF(AS1258&gt;0,J1258/AS1258,-1)</f>
        <v>31.0322580645161</v>
      </c>
      <c r="AX1258" s="51" t="n">
        <f aca="false">IF(AND(OR(CF1258="L1",CF1258="L23",CF1258="LIFT"),AS1258&gt;0),SUMIFS($AS$7:$AS$1843,$CF$7:$CF$1843,CF1258,$AW$7:$AW$1843,"&gt;"&amp;AW1258)+SUMIFS($AS$7:$AS$1843,$CF$7:$CF$1843,CF1258,$AW$7:$AW$1843,AW1258,$BW$7:$BW$1843,"&lt;="&amp;BW1258),"")</f>
        <v>1800.07921245421</v>
      </c>
      <c r="AY1258" s="58" t="n">
        <f aca="false">IF(AX1258="",0,MAX(0,MIN(1,(IF(CF1258="L1",Parameter!$H$5,IF(CF1258="L23",Parameter!$H$6+Parameter!$H$7,Parameter!$H$5+Parameter!$H$6+Parameter!$H$7))-(AX1258-AS1258))/AS1258)))</f>
        <v>1</v>
      </c>
      <c r="AZ1258" s="50" t="n">
        <f aca="false">IF(LEFT(Cockpit!$O$5,1)="A",H1258,IF(Parameter!$E$30="MAX-Bestand",IF(CH1258=1,CI1258,IF(LEFT(Cockpit!$O$5,1)="B",BF1258,MAX(BF1258,H1258))),ROUNDUP(BD1258,0)))</f>
        <v>125</v>
      </c>
      <c r="BA1258" s="50" t="n">
        <f aca="false">IF(BZ1258=1,0,ROUNDUP(AZ1258/BY1258,0))</f>
        <v>1</v>
      </c>
      <c r="BB1258" s="52" t="n">
        <f aca="false">IF(CQ1258&gt;0,CQ1258*MAX(1,AZ1258/X1258),IF(BZ1258=1,IF(AZ1258&lt;=0,0,CD1258*MAX(1,IF(H1258&gt;0,AZ1258/H1258,1))),IF(R1258&gt;0,BA1258/R1258,0))/MAX(0.1,N(Parameter!$M$21)))</f>
        <v>0.0384615384615385</v>
      </c>
      <c r="BC1258" s="50" t="n">
        <f aca="false">BB1258*CB1258</f>
        <v>5.96153846153846</v>
      </c>
      <c r="BD1258" s="51" t="n">
        <f aca="false">IF(LEFT(Cockpit!$O$5,1)="A",H1258,IF(CH1258=1,(CK1258+CI1258)/2,IF(LEFT(Cockpit!$O$5,1)="B",(CK1258+BF1258)/2,MAX((CK1258+BF1258)/2,H1258))))</f>
        <v>124.5</v>
      </c>
      <c r="BE1258" s="50" t="n">
        <f aca="false">BD1258*G1258</f>
        <v>678.525</v>
      </c>
      <c r="BF1258" s="50" t="n">
        <f aca="false">ROUNDUP(CK1258+MAX(CL1258,2*(J1258/IF(CG1258&gt;0,CG1258,MAX(0.1,N(Cockpit!$O$6)))-CK1258)),0)</f>
        <v>217</v>
      </c>
      <c r="BG1258" s="51" t="n">
        <f aca="false">IF(BC1258&gt;0,J1258/BC1258,-1)</f>
        <v>31.0322580645161</v>
      </c>
      <c r="BH1258" s="51" t="n">
        <f aca="false">IF(AND(OR(CF1258="L1",CF1258="L23",CF1258="LIFT"),BC1258&gt;0),SUMIFS($BC$7:$BC$1843,$CF$7:$CF$1843,CF1258,$BG$7:$BG$1843,"&gt;"&amp;BG1258)+SUMIFS($BC$7:$BC$1843,$CF$7:$CF$1843,CF1258,$BG$7:$BG$1843,BG1258,$BW$7:$BW$1843,"&lt;="&amp;BW1258),"")</f>
        <v>1737.54075091575</v>
      </c>
      <c r="BI1258" s="58" t="n">
        <f aca="false">IF(BH1258="",0,MAX(0,MIN(1,(IF(CF1258="L1",Parameter!$H$5,IF(CF1258="L23",Parameter!$H$6+Parameter!$H$7,Parameter!$H$5+Parameter!$H$6+Parameter!$H$7))-(BH1258-BC1258))/BC1258)))</f>
        <v>1</v>
      </c>
      <c r="BJ1258" s="48" t="str">
        <f aca="false">IF(AI1258&lt;=0,"",IF(CF1258="Aussen","Aussenlager",IF(CF1258="-","Nicht im Lift",IF(AO1258&gt;=1,"Lift",IF(AO1258&lt;=0,"Aussenlager","teilweise")))))</f>
        <v>Lift</v>
      </c>
      <c r="BK1258" s="48" t="str">
        <f aca="false">IF(AS1258&lt;=0,"",IF(CF1258="Aussen","Aussenlager",IF(CF1258="-","Nicht im Lift",IF(AY1258&gt;=1,"Lift",IF(AY1258&lt;=0,"Aussenlager","teilweise")))))</f>
        <v>Lift</v>
      </c>
      <c r="BL1258" s="48" t="str">
        <f aca="false">IF(BC1258&lt;=0,"",IF(CF1258="Aussen","Aussenlager",IF(CF1258="-","Nicht im Lift",IF(BI1258&gt;=1,"Lift",IF(BI1258&lt;=0,"Aussenlager","teilweise")))))</f>
        <v>Lift</v>
      </c>
      <c r="BM1258" s="48" t="str">
        <f aca="false">IF(A1258="","",IF(BV1258=1,"Neu; ","")&amp;IF(AND(BV1258=0,BQ1258&lt;0),"negativer Bestand (Export "&amp;BQ1258&amp;"); ","")&amp;IF(J1258&lt;=0,"Kein Verbrauch; ","")&amp;IF(CQ1258&gt;0,"Lift "&amp;W1258&amp;" lt. Liftbericht (Fach "&amp;X1258&amp;" Stk); ",IF(CA1258=1,"Gebinde geschätzt ("&amp;T1258&amp;"); ",IF(BZ1258=1,"Lose – Tablare geschätzt; ","")))&amp;IF(H1258&gt;AV1258,"Überbestand "&amp;ROUND(H1258-AV1258,0)&amp;" Stk / CHF "&amp;ROUND((H1258-AV1258)*G1258,0)&amp;"; ","")&amp;IF(AND(CH1258=1,CI1258&lt;CJ1258),"MAX &lt; MB+LG; ","")&amp;IF(AND(CP1258&gt;0,CO1258*10&gt;CP1258),"zu hoch für Tablar; ","")&amp;IF(AND(BV1258=0,OR(CH1258=1,AA1258&lt;&gt;"",U1258&lt;&gt;"",V1258&lt;&gt;"",AB1258&lt;&gt;"")),"manuell übersteuert; ","")&amp;IF(AND(BZ1258=0,R1258=0),"Gebinde unbekannt / Stellmass fehlt; ","")&amp;IF(AND(BZ1258=0,N(V1258)&lt;=0,N(Q1258)&lt;=0),"Menge pro Gebinde fehlt (Ist = 1 Gebinde); ","")&amp;BU1258)</f>
        <v>negativer Bestand (Export -147); Gebinde geschätzt (Klein); Menge pro Gebinde fehlt (Ist = 1 Gebinde); </v>
      </c>
      <c r="BN1258" s="48"/>
      <c r="BO1258" s="48"/>
      <c r="BP1258" s="55"/>
      <c r="BQ1258" s="50" t="n">
        <v>-147</v>
      </c>
      <c r="BR1258" s="50" t="n">
        <v>197</v>
      </c>
      <c r="BS1258" s="49" t="n">
        <v>-793.27</v>
      </c>
      <c r="BT1258" s="50" t="n">
        <v>185</v>
      </c>
      <c r="BU1258" s="48"/>
      <c r="BV1258" s="53" t="n">
        <v>0</v>
      </c>
      <c r="BW1258" s="53" t="n">
        <v>1258</v>
      </c>
      <c r="BX1258" s="48" t="str">
        <f aca="false">IF(U1258&lt;&gt;"",UPPER(TRIM(U1258)),IF(CA1258=1,UPPER(VLOOKUP(T1258,Parameter!$I$27:$K$29,2,0)),IF(P1258="","LOSE",P1258)))</f>
        <v>S51</v>
      </c>
      <c r="BY1258" s="50" t="n">
        <f aca="false">IF(BX1258="LOSE",1,IF(N(V1258)&gt;0,V1258,IF(CA1258=1,MAX(1,N(VLOOKUP(T1258,Parameter!$I$27:$K$29,3,0)),H1258,N(N1258)),IF(N(Q1258)&gt;0,Q1258,MAX(1,H1258)))))</f>
        <v>185</v>
      </c>
      <c r="BZ1258" s="53" t="n">
        <f aca="false">IF(BX1258="LOSE",1,0)</f>
        <v>0</v>
      </c>
      <c r="CA1258" s="53" t="n">
        <f aca="false">IF(AND(U1258="",OR(P1258="",P1258="LOSE"),T1258&lt;&gt;"",N(S1258)&lt;=0,ISNUMBER(MATCH(T1258,Parameter!$I$27:$I$29,0))),1,0)</f>
        <v>1</v>
      </c>
      <c r="CB1258" s="53" t="n">
        <f aca="false">IF(CQ1258&gt;0,INDEX(Parameter!$H$5:$H$7,W1258)/INDEX(Parameter!$E$5:$E$7,W1258),IF(AND(BZ1258=0,N(IFERROR(VLOOKUP(BX1258,'Gebinde-Kategorie'!$A$5:$N$45,14,0),0))&gt;0),VLOOKUP(BX1258,'Gebinde-Kategorie'!$A$5:$N$45,14,0)*10+Parameter!$M$23,Parameter!$M$24))</f>
        <v>155</v>
      </c>
      <c r="CC1258" s="48" t="str">
        <f aca="false">IF(AND(Parameter!$B$19="Ja",E1258&lt;&gt;"",ISNUMBER(MATCH(E1258,Parameter!$I$35:$I$52,0))),VLOOKUP(E1258,Parameter!$I$35:$J$52,2,0),IFERROR(VLOOKUP(D1258,Parameter!$A$35:$C$64,2,0),"Nein"))</f>
        <v>2+3</v>
      </c>
      <c r="CD1258" s="52" t="n">
        <f aca="false">IF(BZ1258=0,0,IF(N(S1258)&gt;0,S1258,IFERROR(VLOOKUP(D1258,Parameter!$A$35:$C$64,3,0)+0,0)))</f>
        <v>0</v>
      </c>
      <c r="CE1258" s="48" t="n">
        <f aca="false">IF(AA1258&lt;&gt;"",AA1258,Z1258)</f>
        <v>3</v>
      </c>
      <c r="CF1258" s="48" t="str">
        <f aca="false">IF(OR(CE1258=1,CE1258=2,CE1258=3),IF(Parameter!$E$27="Ja","LIFT",IF(CE1258=1,"L1","L23")),IF(CE1258="Aussen","Aussen","-"))</f>
        <v>LIFT</v>
      </c>
      <c r="CG1258" s="59" t="n">
        <f aca="false">IF(N(AB1258)&gt;0,AB1258,0)</f>
        <v>0</v>
      </c>
      <c r="CH1258" s="53" t="n">
        <f aca="false">IF(ISNUMBER(AE1258),1,0)</f>
        <v>0</v>
      </c>
      <c r="CI1258" s="50" t="n">
        <f aca="false">N(AE1258)</f>
        <v>0</v>
      </c>
      <c r="CJ1258" s="50" t="n">
        <f aca="false">N(M1258)+N(N1258)</f>
        <v>217</v>
      </c>
      <c r="CK1258" s="50" t="n">
        <f aca="false">N(M1258)</f>
        <v>32</v>
      </c>
      <c r="CL1258" s="50" t="n">
        <f aca="false">N(N1258)</f>
        <v>185</v>
      </c>
      <c r="CM1258" s="50" t="n">
        <f aca="false">ROUNDUP(H1258/BY1258,0)</f>
        <v>1</v>
      </c>
      <c r="CN1258" s="50" t="n">
        <f aca="false">ROUNDUP(CI1258/BY1258,0)</f>
        <v>0</v>
      </c>
      <c r="CO1258" s="53" t="n">
        <f aca="false">IF(BZ1258=1,0,IFERROR(VLOOKUP(BX1258,'Gebinde-Kategorie'!$A$5:$N$45,5,0)+0,0))</f>
        <v>11</v>
      </c>
      <c r="CP1258" s="53" t="n">
        <f aca="false">IFERROR(IF(OR(CE1258=1,CE1258=2,CE1258=3),N(INDEX(Parameter!$I$5:$I$7,CE1258)),0),0)</f>
        <v>0</v>
      </c>
      <c r="CQ1258" s="52" t="n">
        <f aca="false">IF(AND(Parameter!$B$21="Ja",ISNUMBER(W1258),N(X1258)&gt;0),IFERROR(N(INDEX(Parameter!$L$5:$L$7,W1258))*INDEX(Parameter!$E$5:$E$7,W1258)*X1258/SUMIFS($X$7:$X$1843,$W$7:$W$1843,W1258),0),0)</f>
        <v>0</v>
      </c>
    </row>
    <row r="1259" customFormat="false" ht="15" hidden="false" customHeight="false" outlineLevel="0" collapsed="false">
      <c r="A1259" s="48" t="s">
        <v>2256</v>
      </c>
      <c r="B1259" s="48" t="s">
        <v>172</v>
      </c>
      <c r="C1259" s="48" t="s">
        <v>465</v>
      </c>
      <c r="D1259" s="48" t="s">
        <v>362</v>
      </c>
      <c r="E1259" s="48" t="s">
        <v>2257</v>
      </c>
      <c r="F1259" s="48" t="s">
        <v>227</v>
      </c>
      <c r="G1259" s="49" t="n">
        <v>401.72</v>
      </c>
      <c r="H1259" s="50" t="n">
        <f aca="false">MAX(0,IF(AND(Parameter!$B$21="Ja",ISNUMBER(Y1259)),Y1259,IF(Parameter!$B$20="Jahresanfang 2025 + Export",BR1259+BQ1259,BQ1259)))</f>
        <v>0</v>
      </c>
      <c r="I1259" s="50" t="n">
        <f aca="false">H1259*G1259</f>
        <v>0</v>
      </c>
      <c r="J1259" s="50" t="n">
        <f aca="false">BT1259*Parameter!$B$18</f>
        <v>0</v>
      </c>
      <c r="K1259" s="51" t="n">
        <v>1</v>
      </c>
      <c r="L1259" s="52" t="n">
        <v>0</v>
      </c>
      <c r="M1259" s="50" t="n">
        <v>0</v>
      </c>
      <c r="N1259" s="50" t="n">
        <v>0</v>
      </c>
      <c r="O1259" s="53" t="n">
        <v>35</v>
      </c>
      <c r="P1259" s="48" t="s">
        <v>177</v>
      </c>
      <c r="Q1259" s="50"/>
      <c r="R1259" s="53" t="n">
        <f aca="false">IF(BZ1259=1,0,IFERROR(VLOOKUP(BX1259,'Gebinde-Kategorie'!$A$5:$N$45,13,0)+0,0))</f>
        <v>0</v>
      </c>
      <c r="S1259" s="54"/>
      <c r="T1259" s="55"/>
      <c r="U1259" s="55"/>
      <c r="V1259" s="55"/>
      <c r="W1259" s="48"/>
      <c r="X1259" s="50"/>
      <c r="Y1259" s="50"/>
      <c r="Z1259" s="48" t="str">
        <f aca="false">IF(A1259="","",IF(AND(Parameter!$B$21="Ja",ISNUMBER(W1259)),W1259,IF(CC1259="2+3",IF(ISNUMBER(SEARCH("grosser Artikel",BU1259)),2,IFERROR(VLOOKUP(BX1259,Parameter!$F$35:$G$64,2,0),2)),IF(OR(CC1259="Nein",CC1259=""),"-",CC1259))))</f>
        <v>-</v>
      </c>
      <c r="AA1259" s="55"/>
      <c r="AB1259" s="56"/>
      <c r="AC1259" s="50" t="n">
        <f aca="false">AV1259</f>
        <v>0</v>
      </c>
      <c r="AD1259" s="50" t="n">
        <f aca="false">MAX(AV1259,H1259)</f>
        <v>0</v>
      </c>
      <c r="AE1259" s="57"/>
      <c r="AF1259" s="50" t="n">
        <f aca="false">IF(LEFT(Cockpit!$C$5,1)="A",H1259,IF(Parameter!$E$30="MAX-Bestand",IF(CH1259=1,CI1259,IF(LEFT(Cockpit!$C$5,1)="B",AL1259,MAX(AL1259,H1259))),ROUNDUP(AJ1259,0)))</f>
        <v>0</v>
      </c>
      <c r="AG1259" s="50" t="n">
        <f aca="false">IF(BZ1259=1,0,ROUNDUP(AF1259/BY1259,0))</f>
        <v>0</v>
      </c>
      <c r="AH1259" s="52" t="n">
        <f aca="false">IF(CQ1259&gt;0,CQ1259*MAX(1,AF1259/X1259),IF(BZ1259=1,IF(AF1259&lt;=0,0,CD1259*MAX(1,IF(H1259&gt;0,AF1259/H1259,1))),IF(R1259&gt;0,AG1259/R1259,0))/MAX(0.1,N(Parameter!$M$21)))</f>
        <v>0</v>
      </c>
      <c r="AI1259" s="50" t="n">
        <f aca="false">AH1259*CB1259</f>
        <v>0</v>
      </c>
      <c r="AJ1259" s="51" t="n">
        <f aca="false">IF(LEFT(Cockpit!$C$5,1)="A",H1259,IF(CH1259=1,(CK1259+CI1259)/2,IF(LEFT(Cockpit!$C$5,1)="B",(CK1259+AL1259)/2,MAX((CK1259+AL1259)/2,H1259))))</f>
        <v>0</v>
      </c>
      <c r="AK1259" s="50" t="n">
        <f aca="false">AJ1259*G1259</f>
        <v>0</v>
      </c>
      <c r="AL1259" s="50" t="n">
        <f aca="false">ROUNDUP(CK1259+MAX(CL1259,2*(J1259/IF(CG1259&gt;0,CG1259,MAX(0.1,N(Cockpit!$C$6)))-CK1259)),0)</f>
        <v>0</v>
      </c>
      <c r="AM1259" s="51" t="n">
        <f aca="false">IF(AI1259&gt;0,J1259/AI1259,-1)</f>
        <v>-1</v>
      </c>
      <c r="AN1259" s="51" t="str">
        <f aca="false">IF(AND(OR(CF1259="L1",CF1259="L23",CF1259="LIFT"),AI1259&gt;0),SUMIFS($AI$7:$AI$1843,$CF$7:$CF$1843,CF1259,$AM$7:$AM$1843,"&gt;"&amp;AM1259)+SUMIFS($AI$7:$AI$1843,$CF$7:$CF$1843,CF1259,$AM$7:$AM$1843,AM1259,$BW$7:$BW$1843,"&lt;="&amp;BW1259),"")</f>
        <v/>
      </c>
      <c r="AO1259" s="58" t="n">
        <f aca="false">IF(AN1259="",0,MAX(0,MIN(1,(IF(CF1259="L1",Parameter!$H$5,IF(CF1259="L23",Parameter!$H$6+Parameter!$H$7,Parameter!$H$5+Parameter!$H$6+Parameter!$H$7))-(AN1259-AI1259))/AI1259)))</f>
        <v>0</v>
      </c>
      <c r="AP1259" s="50" t="n">
        <f aca="false">IF(LEFT(Cockpit!$I$5,1)="A",H1259,IF(Parameter!$E$30="MAX-Bestand",IF(CH1259=1,CI1259,IF(LEFT(Cockpit!$I$5,1)="B",AV1259,MAX(AV1259,H1259))),ROUNDUP(AT1259,0)))</f>
        <v>0</v>
      </c>
      <c r="AQ1259" s="50" t="n">
        <f aca="false">IF(BZ1259=1,0,ROUNDUP(AP1259/BY1259,0))</f>
        <v>0</v>
      </c>
      <c r="AR1259" s="52" t="n">
        <f aca="false">IF(CQ1259&gt;0,CQ1259*MAX(1,AP1259/X1259),IF(BZ1259=1,IF(AP1259&lt;=0,0,CD1259*MAX(1,IF(H1259&gt;0,AP1259/H1259,1))),IF(R1259&gt;0,AQ1259/R1259,0))/MAX(0.1,N(Parameter!$M$21)))</f>
        <v>0</v>
      </c>
      <c r="AS1259" s="50" t="n">
        <f aca="false">AR1259*CB1259</f>
        <v>0</v>
      </c>
      <c r="AT1259" s="51" t="n">
        <f aca="false">IF(LEFT(Cockpit!$I$5,1)="A",H1259,IF(CH1259=1,(CK1259+CI1259)/2,IF(LEFT(Cockpit!$I$5,1)="B",(CK1259+AV1259)/2,MAX((CK1259+AV1259)/2,H1259))))</f>
        <v>0</v>
      </c>
      <c r="AU1259" s="50" t="n">
        <f aca="false">AT1259*G1259</f>
        <v>0</v>
      </c>
      <c r="AV1259" s="50" t="n">
        <f aca="false">ROUNDUP(CK1259+MAX(CL1259,2*(J1259/IF(CG1259&gt;0,CG1259,MAX(0.1,N(Cockpit!$I$6)))-CK1259)),0)</f>
        <v>0</v>
      </c>
      <c r="AW1259" s="51" t="n">
        <f aca="false">IF(AS1259&gt;0,J1259/AS1259,-1)</f>
        <v>-1</v>
      </c>
      <c r="AX1259" s="51" t="str">
        <f aca="false">IF(AND(OR(CF1259="L1",CF1259="L23",CF1259="LIFT"),AS1259&gt;0),SUMIFS($AS$7:$AS$1843,$CF$7:$CF$1843,CF1259,$AW$7:$AW$1843,"&gt;"&amp;AW1259)+SUMIFS($AS$7:$AS$1843,$CF$7:$CF$1843,CF1259,$AW$7:$AW$1843,AW1259,$BW$7:$BW$1843,"&lt;="&amp;BW1259),"")</f>
        <v/>
      </c>
      <c r="AY1259" s="58" t="n">
        <f aca="false">IF(AX1259="",0,MAX(0,MIN(1,(IF(CF1259="L1",Parameter!$H$5,IF(CF1259="L23",Parameter!$H$6+Parameter!$H$7,Parameter!$H$5+Parameter!$H$6+Parameter!$H$7))-(AX1259-AS1259))/AS1259)))</f>
        <v>0</v>
      </c>
      <c r="AZ1259" s="50" t="n">
        <f aca="false">IF(LEFT(Cockpit!$O$5,1)="A",H1259,IF(Parameter!$E$30="MAX-Bestand",IF(CH1259=1,CI1259,IF(LEFT(Cockpit!$O$5,1)="B",BF1259,MAX(BF1259,H1259))),ROUNDUP(BD1259,0)))</f>
        <v>0</v>
      </c>
      <c r="BA1259" s="50" t="n">
        <f aca="false">IF(BZ1259=1,0,ROUNDUP(AZ1259/BY1259,0))</f>
        <v>0</v>
      </c>
      <c r="BB1259" s="52" t="n">
        <f aca="false">IF(CQ1259&gt;0,CQ1259*MAX(1,AZ1259/X1259),IF(BZ1259=1,IF(AZ1259&lt;=0,0,CD1259*MAX(1,IF(H1259&gt;0,AZ1259/H1259,1))),IF(R1259&gt;0,BA1259/R1259,0))/MAX(0.1,N(Parameter!$M$21)))</f>
        <v>0</v>
      </c>
      <c r="BC1259" s="50" t="n">
        <f aca="false">BB1259*CB1259</f>
        <v>0</v>
      </c>
      <c r="BD1259" s="51" t="n">
        <f aca="false">IF(LEFT(Cockpit!$O$5,1)="A",H1259,IF(CH1259=1,(CK1259+CI1259)/2,IF(LEFT(Cockpit!$O$5,1)="B",(CK1259+BF1259)/2,MAX((CK1259+BF1259)/2,H1259))))</f>
        <v>0</v>
      </c>
      <c r="BE1259" s="50" t="n">
        <f aca="false">BD1259*G1259</f>
        <v>0</v>
      </c>
      <c r="BF1259" s="50" t="n">
        <f aca="false">ROUNDUP(CK1259+MAX(CL1259,2*(J1259/IF(CG1259&gt;0,CG1259,MAX(0.1,N(Cockpit!$O$6)))-CK1259)),0)</f>
        <v>0</v>
      </c>
      <c r="BG1259" s="51" t="n">
        <f aca="false">IF(BC1259&gt;0,J1259/BC1259,-1)</f>
        <v>-1</v>
      </c>
      <c r="BH1259" s="51" t="str">
        <f aca="false">IF(AND(OR(CF1259="L1",CF1259="L23",CF1259="LIFT"),BC1259&gt;0),SUMIFS($BC$7:$BC$1843,$CF$7:$CF$1843,CF1259,$BG$7:$BG$1843,"&gt;"&amp;BG1259)+SUMIFS($BC$7:$BC$1843,$CF$7:$CF$1843,CF1259,$BG$7:$BG$1843,BG1259,$BW$7:$BW$1843,"&lt;="&amp;BW1259),"")</f>
        <v/>
      </c>
      <c r="BI1259" s="58" t="n">
        <f aca="false">IF(BH1259="",0,MAX(0,MIN(1,(IF(CF1259="L1",Parameter!$H$5,IF(CF1259="L23",Parameter!$H$6+Parameter!$H$7,Parameter!$H$5+Parameter!$H$6+Parameter!$H$7))-(BH1259-BC1259))/BC1259)))</f>
        <v>0</v>
      </c>
      <c r="BJ1259" s="48" t="str">
        <f aca="false">IF(AI1259&lt;=0,"",IF(CF1259="Aussen","Aussenlager",IF(CF1259="-","Nicht im Lift",IF(AO1259&gt;=1,"Lift",IF(AO1259&lt;=0,"Aussenlager","teilweise")))))</f>
        <v/>
      </c>
      <c r="BK1259" s="48" t="str">
        <f aca="false">IF(AS1259&lt;=0,"",IF(CF1259="Aussen","Aussenlager",IF(CF1259="-","Nicht im Lift",IF(AY1259&gt;=1,"Lift",IF(AY1259&lt;=0,"Aussenlager","teilweise")))))</f>
        <v/>
      </c>
      <c r="BL1259" s="48" t="str">
        <f aca="false">IF(BC1259&lt;=0,"",IF(CF1259="Aussen","Aussenlager",IF(CF1259="-","Nicht im Lift",IF(BI1259&gt;=1,"Lift",IF(BI1259&lt;=0,"Aussenlager","teilweise")))))</f>
        <v/>
      </c>
      <c r="BM1259" s="48" t="str">
        <f aca="false">IF(A1259="","",IF(BV1259=1,"Neu; ","")&amp;IF(AND(BV1259=0,BQ1259&lt;0),"negativer Bestand (Export "&amp;BQ1259&amp;"); ","")&amp;IF(J1259&lt;=0,"Kein Verbrauch; ","")&amp;IF(CQ1259&gt;0,"Lift "&amp;W1259&amp;" lt. Liftbericht (Fach "&amp;X1259&amp;" Stk); ",IF(CA1259=1,"Gebinde geschätzt ("&amp;T1259&amp;"); ",IF(BZ1259=1,"Lose – Tablare geschätzt; ","")))&amp;IF(H1259&gt;AV1259,"Überbestand "&amp;ROUND(H1259-AV1259,0)&amp;" Stk / CHF "&amp;ROUND((H1259-AV1259)*G1259,0)&amp;"; ","")&amp;IF(AND(CH1259=1,CI1259&lt;CJ1259),"MAX &lt; MB+LG; ","")&amp;IF(AND(CP1259&gt;0,CO1259*10&gt;CP1259),"zu hoch für Tablar; ","")&amp;IF(AND(BV1259=0,OR(CH1259=1,AA1259&lt;&gt;"",U1259&lt;&gt;"",V1259&lt;&gt;"",AB1259&lt;&gt;"")),"manuell übersteuert; ","")&amp;IF(AND(BZ1259=0,R1259=0),"Gebinde unbekannt / Stellmass fehlt; ","")&amp;IF(AND(BZ1259=0,N(V1259)&lt;=0,N(Q1259)&lt;=0),"Menge pro Gebinde fehlt (Ist = 1 Gebinde); ","")&amp;BU1259)</f>
        <v>negativer Bestand (Export -2); Kein Verbrauch; Lose – Tablare geschätzt; </v>
      </c>
      <c r="BN1259" s="48"/>
      <c r="BO1259" s="48"/>
      <c r="BP1259" s="55"/>
      <c r="BQ1259" s="50" t="n">
        <v>-2</v>
      </c>
      <c r="BR1259" s="50" t="n">
        <v>2</v>
      </c>
      <c r="BS1259" s="49" t="n">
        <v>-803.44</v>
      </c>
      <c r="BT1259" s="50" t="n">
        <v>0</v>
      </c>
      <c r="BU1259" s="48"/>
      <c r="BV1259" s="53" t="n">
        <v>0</v>
      </c>
      <c r="BW1259" s="53" t="n">
        <v>1259</v>
      </c>
      <c r="BX1259" s="48" t="str">
        <f aca="false">IF(U1259&lt;&gt;"",UPPER(TRIM(U1259)),IF(CA1259=1,UPPER(VLOOKUP(T1259,Parameter!$I$27:$K$29,2,0)),IF(P1259="","LOSE",P1259)))</f>
        <v>LOSE</v>
      </c>
      <c r="BY1259" s="50" t="n">
        <f aca="false">IF(BX1259="LOSE",1,IF(N(V1259)&gt;0,V1259,IF(CA1259=1,MAX(1,N(VLOOKUP(T1259,Parameter!$I$27:$K$29,3,0)),H1259,N(N1259)),IF(N(Q1259)&gt;0,Q1259,MAX(1,H1259)))))</f>
        <v>1</v>
      </c>
      <c r="BZ1259" s="53" t="n">
        <f aca="false">IF(BX1259="LOSE",1,0)</f>
        <v>1</v>
      </c>
      <c r="CA1259" s="53" t="n">
        <f aca="false">IF(AND(U1259="",OR(P1259="",P1259="LOSE"),T1259&lt;&gt;"",N(S1259)&lt;=0,ISNUMBER(MATCH(T1259,Parameter!$I$27:$I$29,0))),1,0)</f>
        <v>0</v>
      </c>
      <c r="CB1259" s="53" t="n">
        <f aca="false">IF(CQ1259&gt;0,INDEX(Parameter!$H$5:$H$7,W1259)/INDEX(Parameter!$E$5:$E$7,W1259),IF(AND(BZ1259=0,N(IFERROR(VLOOKUP(BX1259,'Gebinde-Kategorie'!$A$5:$N$45,14,0),0))&gt;0),VLOOKUP(BX1259,'Gebinde-Kategorie'!$A$5:$N$45,14,0)*10+Parameter!$M$23,Parameter!$M$24))</f>
        <v>235</v>
      </c>
      <c r="CC1259" s="48" t="str">
        <f aca="false">IF(AND(Parameter!$B$19="Ja",E1259&lt;&gt;"",ISNUMBER(MATCH(E1259,Parameter!$I$35:$I$52,0))),VLOOKUP(E1259,Parameter!$I$35:$J$52,2,0),IFERROR(VLOOKUP(D1259,Parameter!$A$35:$C$64,2,0),"Nein"))</f>
        <v>Nein</v>
      </c>
      <c r="CD1259" s="52" t="n">
        <f aca="false">IF(BZ1259=0,0,IF(N(S1259)&gt;0,S1259,IFERROR(VLOOKUP(D1259,Parameter!$A$35:$C$64,3,0)+0,0)))</f>
        <v>0.15</v>
      </c>
      <c r="CE1259" s="48" t="str">
        <f aca="false">IF(AA1259&lt;&gt;"",AA1259,Z1259)</f>
        <v>-</v>
      </c>
      <c r="CF1259" s="48" t="str">
        <f aca="false">IF(OR(CE1259=1,CE1259=2,CE1259=3),IF(Parameter!$E$27="Ja","LIFT",IF(CE1259=1,"L1","L23")),IF(CE1259="Aussen","Aussen","-"))</f>
        <v>-</v>
      </c>
      <c r="CG1259" s="59" t="n">
        <f aca="false">IF(N(AB1259)&gt;0,AB1259,0)</f>
        <v>0</v>
      </c>
      <c r="CH1259" s="53" t="n">
        <f aca="false">IF(ISNUMBER(AE1259),1,0)</f>
        <v>0</v>
      </c>
      <c r="CI1259" s="50" t="n">
        <f aca="false">N(AE1259)</f>
        <v>0</v>
      </c>
      <c r="CJ1259" s="50" t="n">
        <f aca="false">N(M1259)+N(N1259)</f>
        <v>0</v>
      </c>
      <c r="CK1259" s="50" t="n">
        <f aca="false">N(M1259)</f>
        <v>0</v>
      </c>
      <c r="CL1259" s="50" t="n">
        <f aca="false">N(N1259)</f>
        <v>0</v>
      </c>
      <c r="CM1259" s="50" t="n">
        <f aca="false">ROUNDUP(H1259/BY1259,0)</f>
        <v>0</v>
      </c>
      <c r="CN1259" s="50" t="n">
        <f aca="false">ROUNDUP(CI1259/BY1259,0)</f>
        <v>0</v>
      </c>
      <c r="CO1259" s="53" t="n">
        <f aca="false">IF(BZ1259=1,0,IFERROR(VLOOKUP(BX1259,'Gebinde-Kategorie'!$A$5:$N$45,5,0)+0,0))</f>
        <v>0</v>
      </c>
      <c r="CP1259" s="53" t="n">
        <f aca="false">IFERROR(IF(OR(CE1259=1,CE1259=2,CE1259=3),N(INDEX(Parameter!$I$5:$I$7,CE1259)),0),0)</f>
        <v>0</v>
      </c>
      <c r="CQ1259" s="52" t="n">
        <f aca="false">IF(AND(Parameter!$B$21="Ja",ISNUMBER(W1259),N(X1259)&gt;0),IFERROR(N(INDEX(Parameter!$L$5:$L$7,W1259))*INDEX(Parameter!$E$5:$E$7,W1259)*X1259/SUMIFS($X$7:$X$1843,$W$7:$W$1843,W1259),0),0)</f>
        <v>0</v>
      </c>
    </row>
    <row r="1260" customFormat="false" ht="15" hidden="false" customHeight="false" outlineLevel="0" collapsed="false">
      <c r="A1260" s="48" t="s">
        <v>2258</v>
      </c>
      <c r="B1260" s="48" t="s">
        <v>2259</v>
      </c>
      <c r="C1260" s="48" t="s">
        <v>173</v>
      </c>
      <c r="D1260" s="48" t="s">
        <v>182</v>
      </c>
      <c r="E1260" s="48" t="s">
        <v>379</v>
      </c>
      <c r="F1260" s="48" t="s">
        <v>227</v>
      </c>
      <c r="G1260" s="49" t="n">
        <v>176.38</v>
      </c>
      <c r="H1260" s="50" t="n">
        <f aca="false">MAX(0,IF(AND(Parameter!$B$21="Ja",ISNUMBER(Y1260)),Y1260,IF(Parameter!$B$20="Jahresanfang 2025 + Export",BR1260+BQ1260,BQ1260)))</f>
        <v>0</v>
      </c>
      <c r="I1260" s="50" t="n">
        <f aca="false">H1260*G1260</f>
        <v>0</v>
      </c>
      <c r="J1260" s="50" t="n">
        <f aca="false">BT1260*Parameter!$B$18</f>
        <v>2</v>
      </c>
      <c r="K1260" s="51" t="n">
        <v>4</v>
      </c>
      <c r="L1260" s="52" t="n">
        <v>0.5</v>
      </c>
      <c r="M1260" s="50" t="n">
        <v>0</v>
      </c>
      <c r="N1260" s="50" t="n">
        <v>1</v>
      </c>
      <c r="O1260" s="53" t="n">
        <v>14</v>
      </c>
      <c r="P1260" s="48" t="s">
        <v>177</v>
      </c>
      <c r="Q1260" s="50"/>
      <c r="R1260" s="53" t="n">
        <f aca="false">IF(BZ1260=1,0,IFERROR(VLOOKUP(BX1260,'Gebinde-Kategorie'!$A$5:$N$45,13,0)+0,0))</f>
        <v>4</v>
      </c>
      <c r="S1260" s="54"/>
      <c r="T1260" s="55" t="s">
        <v>198</v>
      </c>
      <c r="U1260" s="55"/>
      <c r="V1260" s="55"/>
      <c r="W1260" s="48"/>
      <c r="X1260" s="50"/>
      <c r="Y1260" s="50"/>
      <c r="Z1260" s="48" t="str">
        <f aca="false">IF(A1260="","",IF(AND(Parameter!$B$21="Ja",ISNUMBER(W1260)),W1260,IF(CC1260="2+3",IF(ISNUMBER(SEARCH("grosser Artikel",BU1260)),2,IFERROR(VLOOKUP(BX1260,Parameter!$F$35:$G$64,2,0),2)),IF(OR(CC1260="Nein",CC1260=""),"-",CC1260))))</f>
        <v>-</v>
      </c>
      <c r="AA1260" s="55"/>
      <c r="AB1260" s="56"/>
      <c r="AC1260" s="50" t="n">
        <f aca="false">AV1260</f>
        <v>2</v>
      </c>
      <c r="AD1260" s="50" t="n">
        <f aca="false">MAX(AV1260,H1260)</f>
        <v>2</v>
      </c>
      <c r="AE1260" s="57"/>
      <c r="AF1260" s="50" t="n">
        <f aca="false">IF(LEFT(Cockpit!$C$5,1)="A",H1260,IF(Parameter!$E$30="MAX-Bestand",IF(CH1260=1,CI1260,IF(LEFT(Cockpit!$C$5,1)="B",AL1260,MAX(AL1260,H1260))),ROUNDUP(AJ1260,0)))</f>
        <v>0</v>
      </c>
      <c r="AG1260" s="50" t="n">
        <f aca="false">IF(BZ1260=1,0,ROUNDUP(AF1260/BY1260,0))</f>
        <v>0</v>
      </c>
      <c r="AH1260" s="52" t="n">
        <f aca="false">IF(CQ1260&gt;0,CQ1260*MAX(1,AF1260/X1260),IF(BZ1260=1,IF(AF1260&lt;=0,0,CD1260*MAX(1,IF(H1260&gt;0,AF1260/H1260,1))),IF(R1260&gt;0,AG1260/R1260,0))/MAX(0.1,N(Parameter!$M$21)))</f>
        <v>0</v>
      </c>
      <c r="AI1260" s="50" t="n">
        <f aca="false">AH1260*CB1260</f>
        <v>0</v>
      </c>
      <c r="AJ1260" s="51" t="n">
        <f aca="false">IF(LEFT(Cockpit!$C$5,1)="A",H1260,IF(CH1260=1,(CK1260+CI1260)/2,IF(LEFT(Cockpit!$C$5,1)="B",(CK1260+AL1260)/2,MAX((CK1260+AL1260)/2,H1260))))</f>
        <v>0</v>
      </c>
      <c r="AK1260" s="50" t="n">
        <f aca="false">AJ1260*G1260</f>
        <v>0</v>
      </c>
      <c r="AL1260" s="50" t="n">
        <f aca="false">ROUNDUP(CK1260+MAX(CL1260,2*(J1260/IF(CG1260&gt;0,CG1260,MAX(0.1,N(Cockpit!$C$6)))-CK1260)),0)</f>
        <v>2</v>
      </c>
      <c r="AM1260" s="51" t="n">
        <f aca="false">IF(AI1260&gt;0,J1260/AI1260,-1)</f>
        <v>-1</v>
      </c>
      <c r="AN1260" s="51" t="str">
        <f aca="false">IF(AND(OR(CF1260="L1",CF1260="L23",CF1260="LIFT"),AI1260&gt;0),SUMIFS($AI$7:$AI$1843,$CF$7:$CF$1843,CF1260,$AM$7:$AM$1843,"&gt;"&amp;AM1260)+SUMIFS($AI$7:$AI$1843,$CF$7:$CF$1843,CF1260,$AM$7:$AM$1843,AM1260,$BW$7:$BW$1843,"&lt;="&amp;BW1260),"")</f>
        <v/>
      </c>
      <c r="AO1260" s="58" t="n">
        <f aca="false">IF(AN1260="",0,MAX(0,MIN(1,(IF(CF1260="L1",Parameter!$H$5,IF(CF1260="L23",Parameter!$H$6+Parameter!$H$7,Parameter!$H$5+Parameter!$H$6+Parameter!$H$7))-(AN1260-AI1260))/AI1260)))</f>
        <v>0</v>
      </c>
      <c r="AP1260" s="50" t="n">
        <f aca="false">IF(LEFT(Cockpit!$I$5,1)="A",H1260,IF(Parameter!$E$30="MAX-Bestand",IF(CH1260=1,CI1260,IF(LEFT(Cockpit!$I$5,1)="B",AV1260,MAX(AV1260,H1260))),ROUNDUP(AT1260,0)))</f>
        <v>1</v>
      </c>
      <c r="AQ1260" s="50" t="n">
        <f aca="false">IF(BZ1260=1,0,ROUNDUP(AP1260/BY1260,0))</f>
        <v>1</v>
      </c>
      <c r="AR1260" s="52" t="n">
        <f aca="false">IF(CQ1260&gt;0,CQ1260*MAX(1,AP1260/X1260),IF(BZ1260=1,IF(AP1260&lt;=0,0,CD1260*MAX(1,IF(H1260&gt;0,AP1260/H1260,1))),IF(R1260&gt;0,AQ1260/R1260,0))/MAX(0.1,N(Parameter!$M$21)))</f>
        <v>0.25</v>
      </c>
      <c r="AS1260" s="50" t="n">
        <f aca="false">AR1260*CB1260</f>
        <v>58.75</v>
      </c>
      <c r="AT1260" s="51" t="n">
        <f aca="false">IF(LEFT(Cockpit!$I$5,1)="A",H1260,IF(CH1260=1,(CK1260+CI1260)/2,IF(LEFT(Cockpit!$I$5,1)="B",(CK1260+AV1260)/2,MAX((CK1260+AV1260)/2,H1260))))</f>
        <v>1</v>
      </c>
      <c r="AU1260" s="50" t="n">
        <f aca="false">AT1260*G1260</f>
        <v>176.38</v>
      </c>
      <c r="AV1260" s="50" t="n">
        <f aca="false">ROUNDUP(CK1260+MAX(CL1260,2*(J1260/IF(CG1260&gt;0,CG1260,MAX(0.1,N(Cockpit!$I$6)))-CK1260)),0)</f>
        <v>2</v>
      </c>
      <c r="AW1260" s="51" t="n">
        <f aca="false">IF(AS1260&gt;0,J1260/AS1260,-1)</f>
        <v>0.0340425531914894</v>
      </c>
      <c r="AX1260" s="51" t="str">
        <f aca="false">IF(AND(OR(CF1260="L1",CF1260="L23",CF1260="LIFT"),AS1260&gt;0),SUMIFS($AS$7:$AS$1843,$CF$7:$CF$1843,CF1260,$AW$7:$AW$1843,"&gt;"&amp;AW1260)+SUMIFS($AS$7:$AS$1843,$CF$7:$CF$1843,CF1260,$AW$7:$AW$1843,AW1260,$BW$7:$BW$1843,"&lt;="&amp;BW1260),"")</f>
        <v/>
      </c>
      <c r="AY1260" s="58" t="n">
        <f aca="false">IF(AX1260="",0,MAX(0,MIN(1,(IF(CF1260="L1",Parameter!$H$5,IF(CF1260="L23",Parameter!$H$6+Parameter!$H$7,Parameter!$H$5+Parameter!$H$6+Parameter!$H$7))-(AX1260-AS1260))/AS1260)))</f>
        <v>0</v>
      </c>
      <c r="AZ1260" s="50" t="n">
        <f aca="false">IF(LEFT(Cockpit!$O$5,1)="A",H1260,IF(Parameter!$E$30="MAX-Bestand",IF(CH1260=1,CI1260,IF(LEFT(Cockpit!$O$5,1)="B",BF1260,MAX(BF1260,H1260))),ROUNDUP(BD1260,0)))</f>
        <v>1</v>
      </c>
      <c r="BA1260" s="50" t="n">
        <f aca="false">IF(BZ1260=1,0,ROUNDUP(AZ1260/BY1260,0))</f>
        <v>1</v>
      </c>
      <c r="BB1260" s="52" t="n">
        <f aca="false">IF(CQ1260&gt;0,CQ1260*MAX(1,AZ1260/X1260),IF(BZ1260=1,IF(AZ1260&lt;=0,0,CD1260*MAX(1,IF(H1260&gt;0,AZ1260/H1260,1))),IF(R1260&gt;0,BA1260/R1260,0))/MAX(0.1,N(Parameter!$M$21)))</f>
        <v>0.25</v>
      </c>
      <c r="BC1260" s="50" t="n">
        <f aca="false">BB1260*CB1260</f>
        <v>58.75</v>
      </c>
      <c r="BD1260" s="51" t="n">
        <f aca="false">IF(LEFT(Cockpit!$O$5,1)="A",H1260,IF(CH1260=1,(CK1260+CI1260)/2,IF(LEFT(Cockpit!$O$5,1)="B",(CK1260+BF1260)/2,MAX((CK1260+BF1260)/2,H1260))))</f>
        <v>0.5</v>
      </c>
      <c r="BE1260" s="50" t="n">
        <f aca="false">BD1260*G1260</f>
        <v>88.19</v>
      </c>
      <c r="BF1260" s="50" t="n">
        <f aca="false">ROUNDUP(CK1260+MAX(CL1260,2*(J1260/IF(CG1260&gt;0,CG1260,MAX(0.1,N(Cockpit!$O$6)))-CK1260)),0)</f>
        <v>1</v>
      </c>
      <c r="BG1260" s="51" t="n">
        <f aca="false">IF(BC1260&gt;0,J1260/BC1260,-1)</f>
        <v>0.0340425531914894</v>
      </c>
      <c r="BH1260" s="51" t="str">
        <f aca="false">IF(AND(OR(CF1260="L1",CF1260="L23",CF1260="LIFT"),BC1260&gt;0),SUMIFS($BC$7:$BC$1843,$CF$7:$CF$1843,CF1260,$BG$7:$BG$1843,"&gt;"&amp;BG1260)+SUMIFS($BC$7:$BC$1843,$CF$7:$CF$1843,CF1260,$BG$7:$BG$1843,BG1260,$BW$7:$BW$1843,"&lt;="&amp;BW1260),"")</f>
        <v/>
      </c>
      <c r="BI1260" s="58" t="n">
        <f aca="false">IF(BH1260="",0,MAX(0,MIN(1,(IF(CF1260="L1",Parameter!$H$5,IF(CF1260="L23",Parameter!$H$6+Parameter!$H$7,Parameter!$H$5+Parameter!$H$6+Parameter!$H$7))-(BH1260-BC1260))/BC1260)))</f>
        <v>0</v>
      </c>
      <c r="BJ1260" s="48" t="str">
        <f aca="false">IF(AI1260&lt;=0,"",IF(CF1260="Aussen","Aussenlager",IF(CF1260="-","Nicht im Lift",IF(AO1260&gt;=1,"Lift",IF(AO1260&lt;=0,"Aussenlager","teilweise")))))</f>
        <v/>
      </c>
      <c r="BK1260" s="48" t="str">
        <f aca="false">IF(AS1260&lt;=0,"",IF(CF1260="Aussen","Aussenlager",IF(CF1260="-","Nicht im Lift",IF(AY1260&gt;=1,"Lift",IF(AY1260&lt;=0,"Aussenlager","teilweise")))))</f>
        <v>Nicht im Lift</v>
      </c>
      <c r="BL1260" s="48" t="str">
        <f aca="false">IF(BC1260&lt;=0,"",IF(CF1260="Aussen","Aussenlager",IF(CF1260="-","Nicht im Lift",IF(BI1260&gt;=1,"Lift",IF(BI1260&lt;=0,"Aussenlager","teilweise")))))</f>
        <v>Nicht im Lift</v>
      </c>
      <c r="BM1260" s="48" t="str">
        <f aca="false">IF(A1260="","",IF(BV1260=1,"Neu; ","")&amp;IF(AND(BV1260=0,BQ1260&lt;0),"negativer Bestand (Export "&amp;BQ1260&amp;"); ","")&amp;IF(J1260&lt;=0,"Kein Verbrauch; ","")&amp;IF(CQ1260&gt;0,"Lift "&amp;W1260&amp;" lt. Liftbericht (Fach "&amp;X1260&amp;" Stk); ",IF(CA1260=1,"Gebinde geschätzt ("&amp;T1260&amp;"); ",IF(BZ1260=1,"Lose – Tablare geschätzt; ","")))&amp;IF(H1260&gt;AV1260,"Überbestand "&amp;ROUND(H1260-AV1260,0)&amp;" Stk / CHF "&amp;ROUND((H1260-AV1260)*G1260,0)&amp;"; ","")&amp;IF(AND(CH1260=1,CI1260&lt;CJ1260),"MAX &lt; MB+LG; ","")&amp;IF(AND(CP1260&gt;0,CO1260*10&gt;CP1260),"zu hoch für Tablar; ","")&amp;IF(AND(BV1260=0,OR(CH1260=1,AA1260&lt;&gt;"",U1260&lt;&gt;"",V1260&lt;&gt;"",AB1260&lt;&gt;"")),"manuell übersteuert; ","")&amp;IF(AND(BZ1260=0,R1260=0),"Gebinde unbekannt / Stellmass fehlt; ","")&amp;IF(AND(BZ1260=0,N(V1260)&lt;=0,N(Q1260)&lt;=0),"Menge pro Gebinde fehlt (Ist = 1 Gebinde); ","")&amp;BU1260)</f>
        <v>negativer Bestand (Export -8); Gebinde geschätzt (Gross); Menge pro Gebinde fehlt (Ist = 1 Gebinde); </v>
      </c>
      <c r="BN1260" s="48"/>
      <c r="BO1260" s="48"/>
      <c r="BP1260" s="55"/>
      <c r="BQ1260" s="50" t="n">
        <v>-8</v>
      </c>
      <c r="BR1260" s="50" t="n">
        <v>8</v>
      </c>
      <c r="BS1260" s="49" t="n">
        <v>-824.48</v>
      </c>
      <c r="BT1260" s="50" t="n">
        <v>2</v>
      </c>
      <c r="BU1260" s="48"/>
      <c r="BV1260" s="53" t="n">
        <v>0</v>
      </c>
      <c r="BW1260" s="53" t="n">
        <v>1260</v>
      </c>
      <c r="BX1260" s="48" t="str">
        <f aca="false">IF(U1260&lt;&gt;"",UPPER(TRIM(U1260)),IF(CA1260=1,UPPER(VLOOKUP(T1260,Parameter!$I$27:$K$29,2,0)),IF(P1260="","LOSE",P1260)))</f>
        <v>S81</v>
      </c>
      <c r="BY1260" s="50" t="n">
        <f aca="false">IF(BX1260="LOSE",1,IF(N(V1260)&gt;0,V1260,IF(CA1260=1,MAX(1,N(VLOOKUP(T1260,Parameter!$I$27:$K$29,3,0)),H1260,N(N1260)),IF(N(Q1260)&gt;0,Q1260,MAX(1,H1260)))))</f>
        <v>2</v>
      </c>
      <c r="BZ1260" s="53" t="n">
        <f aca="false">IF(BX1260="LOSE",1,0)</f>
        <v>0</v>
      </c>
      <c r="CA1260" s="53" t="n">
        <f aca="false">IF(AND(U1260="",OR(P1260="",P1260="LOSE"),T1260&lt;&gt;"",N(S1260)&lt;=0,ISNUMBER(MATCH(T1260,Parameter!$I$27:$I$29,0))),1,0)</f>
        <v>1</v>
      </c>
      <c r="CB1260" s="53" t="n">
        <f aca="false">IF(CQ1260&gt;0,INDEX(Parameter!$H$5:$H$7,W1260)/INDEX(Parameter!$E$5:$E$7,W1260),IF(AND(BZ1260=0,N(IFERROR(VLOOKUP(BX1260,'Gebinde-Kategorie'!$A$5:$N$45,14,0),0))&gt;0),VLOOKUP(BX1260,'Gebinde-Kategorie'!$A$5:$N$45,14,0)*10+Parameter!$M$23,Parameter!$M$24))</f>
        <v>235</v>
      </c>
      <c r="CC1260" s="48" t="str">
        <f aca="false">IF(AND(Parameter!$B$19="Ja",E1260&lt;&gt;"",ISNUMBER(MATCH(E1260,Parameter!$I$35:$I$52,0))),VLOOKUP(E1260,Parameter!$I$35:$J$52,2,0),IFERROR(VLOOKUP(D1260,Parameter!$A$35:$C$64,2,0),"Nein"))</f>
        <v>Nein</v>
      </c>
      <c r="CD1260" s="52" t="n">
        <f aca="false">IF(BZ1260=0,0,IF(N(S1260)&gt;0,S1260,IFERROR(VLOOKUP(D1260,Parameter!$A$35:$C$64,3,0)+0,0)))</f>
        <v>0</v>
      </c>
      <c r="CE1260" s="48" t="str">
        <f aca="false">IF(AA1260&lt;&gt;"",AA1260,Z1260)</f>
        <v>-</v>
      </c>
      <c r="CF1260" s="48" t="str">
        <f aca="false">IF(OR(CE1260=1,CE1260=2,CE1260=3),IF(Parameter!$E$27="Ja","LIFT",IF(CE1260=1,"L1","L23")),IF(CE1260="Aussen","Aussen","-"))</f>
        <v>-</v>
      </c>
      <c r="CG1260" s="59" t="n">
        <f aca="false">IF(N(AB1260)&gt;0,AB1260,0)</f>
        <v>0</v>
      </c>
      <c r="CH1260" s="53" t="n">
        <f aca="false">IF(ISNUMBER(AE1260),1,0)</f>
        <v>0</v>
      </c>
      <c r="CI1260" s="50" t="n">
        <f aca="false">N(AE1260)</f>
        <v>0</v>
      </c>
      <c r="CJ1260" s="50" t="n">
        <f aca="false">N(M1260)+N(N1260)</f>
        <v>1</v>
      </c>
      <c r="CK1260" s="50" t="n">
        <f aca="false">N(M1260)</f>
        <v>0</v>
      </c>
      <c r="CL1260" s="50" t="n">
        <f aca="false">N(N1260)</f>
        <v>1</v>
      </c>
      <c r="CM1260" s="50" t="n">
        <f aca="false">ROUNDUP(H1260/BY1260,0)</f>
        <v>0</v>
      </c>
      <c r="CN1260" s="50" t="n">
        <f aca="false">ROUNDUP(CI1260/BY1260,0)</f>
        <v>0</v>
      </c>
      <c r="CO1260" s="53" t="n">
        <f aca="false">IF(BZ1260=1,0,IFERROR(VLOOKUP(BX1260,'Gebinde-Kategorie'!$A$5:$N$45,5,0)+0,0))</f>
        <v>20</v>
      </c>
      <c r="CP1260" s="53" t="n">
        <f aca="false">IFERROR(IF(OR(CE1260=1,CE1260=2,CE1260=3),N(INDEX(Parameter!$I$5:$I$7,CE1260)),0),0)</f>
        <v>0</v>
      </c>
      <c r="CQ1260" s="52" t="n">
        <f aca="false">IF(AND(Parameter!$B$21="Ja",ISNUMBER(W1260),N(X1260)&gt;0),IFERROR(N(INDEX(Parameter!$L$5:$L$7,W1260))*INDEX(Parameter!$E$5:$E$7,W1260)*X1260/SUMIFS($X$7:$X$1843,$W$7:$W$1843,W1260),0),0)</f>
        <v>0</v>
      </c>
    </row>
    <row r="1261" customFormat="false" ht="15" hidden="false" customHeight="false" outlineLevel="0" collapsed="false">
      <c r="A1261" s="48" t="s">
        <v>2260</v>
      </c>
      <c r="B1261" s="48" t="s">
        <v>2261</v>
      </c>
      <c r="C1261" s="48" t="s">
        <v>173</v>
      </c>
      <c r="D1261" s="48" t="s">
        <v>193</v>
      </c>
      <c r="E1261" s="48" t="s">
        <v>194</v>
      </c>
      <c r="F1261" s="48" t="s">
        <v>227</v>
      </c>
      <c r="G1261" s="49" t="n">
        <v>55.37</v>
      </c>
      <c r="H1261" s="50" t="n">
        <f aca="false">MAX(0,IF(AND(Parameter!$B$21="Ja",ISNUMBER(Y1261)),Y1261,IF(Parameter!$B$20="Jahresanfang 2025 + Export",BR1261+BQ1261,BQ1261)))</f>
        <v>21</v>
      </c>
      <c r="I1261" s="50" t="n">
        <f aca="false">H1261*G1261</f>
        <v>1162.77</v>
      </c>
      <c r="J1261" s="50" t="n">
        <f aca="false">BT1261*Parameter!$B$18</f>
        <v>12</v>
      </c>
      <c r="K1261" s="51" t="n">
        <v>29.5</v>
      </c>
      <c r="L1261" s="52" t="n">
        <v>0.406779661016949</v>
      </c>
      <c r="M1261" s="50" t="n">
        <v>5</v>
      </c>
      <c r="N1261" s="50" t="n">
        <v>5</v>
      </c>
      <c r="O1261" s="53" t="n">
        <v>14</v>
      </c>
      <c r="P1261" s="48" t="s">
        <v>430</v>
      </c>
      <c r="Q1261" s="50" t="n">
        <v>38</v>
      </c>
      <c r="R1261" s="53" t="n">
        <f aca="false">IF(BZ1261=1,0,IFERROR(VLOOKUP(BX1261,'Gebinde-Kategorie'!$A$5:$N$45,13,0)+0,0))</f>
        <v>104</v>
      </c>
      <c r="S1261" s="54"/>
      <c r="T1261" s="55"/>
      <c r="U1261" s="55"/>
      <c r="V1261" s="55"/>
      <c r="W1261" s="48"/>
      <c r="X1261" s="50"/>
      <c r="Y1261" s="50"/>
      <c r="Z1261" s="48" t="n">
        <f aca="false">IF(A1261="","",IF(AND(Parameter!$B$21="Ja",ISNUMBER(W1261)),W1261,IF(CC1261="2+3",IF(ISNUMBER(SEARCH("grosser Artikel",BU1261)),2,IFERROR(VLOOKUP(BX1261,Parameter!$F$35:$G$64,2,0),2)),IF(OR(CC1261="Nein",CC1261=""),"-",CC1261))))</f>
        <v>3</v>
      </c>
      <c r="AA1261" s="55"/>
      <c r="AB1261" s="56"/>
      <c r="AC1261" s="50" t="n">
        <f aca="false">AV1261</f>
        <v>10</v>
      </c>
      <c r="AD1261" s="50" t="n">
        <f aca="false">MAX(AV1261,H1261)</f>
        <v>21</v>
      </c>
      <c r="AE1261" s="57"/>
      <c r="AF1261" s="50" t="n">
        <f aca="false">IF(LEFT(Cockpit!$C$5,1)="A",H1261,IF(Parameter!$E$30="MAX-Bestand",IF(CH1261=1,CI1261,IF(LEFT(Cockpit!$C$5,1)="B",AL1261,MAX(AL1261,H1261))),ROUNDUP(AJ1261,0)))</f>
        <v>21</v>
      </c>
      <c r="AG1261" s="50" t="n">
        <f aca="false">IF(BZ1261=1,0,ROUNDUP(AF1261/BY1261,0))</f>
        <v>1</v>
      </c>
      <c r="AH1261" s="52" t="n">
        <f aca="false">IF(CQ1261&gt;0,CQ1261*MAX(1,AF1261/X1261),IF(BZ1261=1,IF(AF1261&lt;=0,0,CD1261*MAX(1,IF(H1261&gt;0,AF1261/H1261,1))),IF(R1261&gt;0,AG1261/R1261,0))/MAX(0.1,N(Parameter!$M$21)))</f>
        <v>0.00961538461538462</v>
      </c>
      <c r="AI1261" s="50" t="n">
        <f aca="false">AH1261*CB1261</f>
        <v>1.49038461538462</v>
      </c>
      <c r="AJ1261" s="51" t="n">
        <f aca="false">IF(LEFT(Cockpit!$C$5,1)="A",H1261,IF(CH1261=1,(CK1261+CI1261)/2,IF(LEFT(Cockpit!$C$5,1)="B",(CK1261+AL1261)/2,MAX((CK1261+AL1261)/2,H1261))))</f>
        <v>21</v>
      </c>
      <c r="AK1261" s="50" t="n">
        <f aca="false">AJ1261*G1261</f>
        <v>1162.77</v>
      </c>
      <c r="AL1261" s="50" t="n">
        <f aca="false">ROUNDUP(CK1261+MAX(CL1261,2*(J1261/IF(CG1261&gt;0,CG1261,MAX(0.1,N(Cockpit!$C$6)))-CK1261)),0)</f>
        <v>10</v>
      </c>
      <c r="AM1261" s="51" t="n">
        <f aca="false">IF(AI1261&gt;0,J1261/AI1261,-1)</f>
        <v>8.05161290322581</v>
      </c>
      <c r="AN1261" s="51" t="n">
        <f aca="false">IF(AND(OR(CF1261="L1",CF1261="L23",CF1261="LIFT"),AI1261&gt;0),SUMIFS($AI$7:$AI$1843,$CF$7:$CF$1843,CF1261,$AM$7:$AM$1843,"&gt;"&amp;AM1261)+SUMIFS($AI$7:$AI$1843,$CF$7:$CF$1843,CF1261,$AM$7:$AM$1843,AM1261,$BW$7:$BW$1843,"&lt;="&amp;BW1261),"")</f>
        <v>3049.60256410256</v>
      </c>
      <c r="AO1261" s="58" t="n">
        <f aca="false">IF(AN1261="",0,MAX(0,MIN(1,(IF(CF1261="L1",Parameter!$H$5,IF(CF1261="L23",Parameter!$H$6+Parameter!$H$7,Parameter!$H$5+Parameter!$H$6+Parameter!$H$7))-(AN1261-AI1261))/AI1261)))</f>
        <v>1</v>
      </c>
      <c r="AP1261" s="50" t="n">
        <f aca="false">IF(LEFT(Cockpit!$I$5,1)="A",H1261,IF(Parameter!$E$30="MAX-Bestand",IF(CH1261=1,CI1261,IF(LEFT(Cockpit!$I$5,1)="B",AV1261,MAX(AV1261,H1261))),ROUNDUP(AT1261,0)))</f>
        <v>21</v>
      </c>
      <c r="AQ1261" s="50" t="n">
        <f aca="false">IF(BZ1261=1,0,ROUNDUP(AP1261/BY1261,0))</f>
        <v>1</v>
      </c>
      <c r="AR1261" s="52" t="n">
        <f aca="false">IF(CQ1261&gt;0,CQ1261*MAX(1,AP1261/X1261),IF(BZ1261=1,IF(AP1261&lt;=0,0,CD1261*MAX(1,IF(H1261&gt;0,AP1261/H1261,1))),IF(R1261&gt;0,AQ1261/R1261,0))/MAX(0.1,N(Parameter!$M$21)))</f>
        <v>0.00961538461538462</v>
      </c>
      <c r="AS1261" s="50" t="n">
        <f aca="false">AR1261*CB1261</f>
        <v>1.49038461538462</v>
      </c>
      <c r="AT1261" s="51" t="n">
        <f aca="false">IF(LEFT(Cockpit!$I$5,1)="A",H1261,IF(CH1261=1,(CK1261+CI1261)/2,IF(LEFT(Cockpit!$I$5,1)="B",(CK1261+AV1261)/2,MAX((CK1261+AV1261)/2,H1261))))</f>
        <v>21</v>
      </c>
      <c r="AU1261" s="50" t="n">
        <f aca="false">AT1261*G1261</f>
        <v>1162.77</v>
      </c>
      <c r="AV1261" s="50" t="n">
        <f aca="false">ROUNDUP(CK1261+MAX(CL1261,2*(J1261/IF(CG1261&gt;0,CG1261,MAX(0.1,N(Cockpit!$I$6)))-CK1261)),0)</f>
        <v>10</v>
      </c>
      <c r="AW1261" s="51" t="n">
        <f aca="false">IF(AS1261&gt;0,J1261/AS1261,-1)</f>
        <v>8.05161290322581</v>
      </c>
      <c r="AX1261" s="51" t="n">
        <f aca="false">IF(AND(OR(CF1261="L1",CF1261="L23",CF1261="LIFT"),AS1261&gt;0),SUMIFS($AS$7:$AS$1843,$CF$7:$CF$1843,CF1261,$AW$7:$AW$1843,"&gt;"&amp;AW1261)+SUMIFS($AS$7:$AS$1843,$CF$7:$CF$1843,CF1261,$AW$7:$AW$1843,AW1261,$BW$7:$BW$1843,"&lt;="&amp;BW1261),"")</f>
        <v>3673.66391941392</v>
      </c>
      <c r="AY1261" s="58" t="n">
        <f aca="false">IF(AX1261="",0,MAX(0,MIN(1,(IF(CF1261="L1",Parameter!$H$5,IF(CF1261="L23",Parameter!$H$6+Parameter!$H$7,Parameter!$H$5+Parameter!$H$6+Parameter!$H$7))-(AX1261-AS1261))/AS1261)))</f>
        <v>1</v>
      </c>
      <c r="AZ1261" s="50" t="n">
        <f aca="false">IF(LEFT(Cockpit!$O$5,1)="A",H1261,IF(Parameter!$E$30="MAX-Bestand",IF(CH1261=1,CI1261,IF(LEFT(Cockpit!$O$5,1)="B",BF1261,MAX(BF1261,H1261))),ROUNDUP(BD1261,0)))</f>
        <v>8</v>
      </c>
      <c r="BA1261" s="50" t="n">
        <f aca="false">IF(BZ1261=1,0,ROUNDUP(AZ1261/BY1261,0))</f>
        <v>1</v>
      </c>
      <c r="BB1261" s="52" t="n">
        <f aca="false">IF(CQ1261&gt;0,CQ1261*MAX(1,AZ1261/X1261),IF(BZ1261=1,IF(AZ1261&lt;=0,0,CD1261*MAX(1,IF(H1261&gt;0,AZ1261/H1261,1))),IF(R1261&gt;0,BA1261/R1261,0))/MAX(0.1,N(Parameter!$M$21)))</f>
        <v>0.00961538461538462</v>
      </c>
      <c r="BC1261" s="50" t="n">
        <f aca="false">BB1261*CB1261</f>
        <v>1.49038461538462</v>
      </c>
      <c r="BD1261" s="51" t="n">
        <f aca="false">IF(LEFT(Cockpit!$O$5,1)="A",H1261,IF(CH1261=1,(CK1261+CI1261)/2,IF(LEFT(Cockpit!$O$5,1)="B",(CK1261+BF1261)/2,MAX((CK1261+BF1261)/2,H1261))))</f>
        <v>7.5</v>
      </c>
      <c r="BE1261" s="50" t="n">
        <f aca="false">BD1261*G1261</f>
        <v>415.275</v>
      </c>
      <c r="BF1261" s="50" t="n">
        <f aca="false">ROUNDUP(CK1261+MAX(CL1261,2*(J1261/IF(CG1261&gt;0,CG1261,MAX(0.1,N(Cockpit!$O$6)))-CK1261)),0)</f>
        <v>10</v>
      </c>
      <c r="BG1261" s="51" t="n">
        <f aca="false">IF(BC1261&gt;0,J1261/BC1261,-1)</f>
        <v>8.05161290322581</v>
      </c>
      <c r="BH1261" s="51" t="n">
        <f aca="false">IF(AND(OR(CF1261="L1",CF1261="L23",CF1261="LIFT"),BC1261&gt;0),SUMIFS($BC$7:$BC$1843,$CF$7:$CF$1843,CF1261,$BG$7:$BG$1843,"&gt;"&amp;BG1261)+SUMIFS($BC$7:$BC$1843,$CF$7:$CF$1843,CF1261,$BG$7:$BG$1843,BG1261,$BW$7:$BW$1843,"&lt;="&amp;BW1261),"")</f>
        <v>3035.03342490843</v>
      </c>
      <c r="BI1261" s="58" t="n">
        <f aca="false">IF(BH1261="",0,MAX(0,MIN(1,(IF(CF1261="L1",Parameter!$H$5,IF(CF1261="L23",Parameter!$H$6+Parameter!$H$7,Parameter!$H$5+Parameter!$H$6+Parameter!$H$7))-(BH1261-BC1261))/BC1261)))</f>
        <v>1</v>
      </c>
      <c r="BJ1261" s="48" t="str">
        <f aca="false">IF(AI1261&lt;=0,"",IF(CF1261="Aussen","Aussenlager",IF(CF1261="-","Nicht im Lift",IF(AO1261&gt;=1,"Lift",IF(AO1261&lt;=0,"Aussenlager","teilweise")))))</f>
        <v>Lift</v>
      </c>
      <c r="BK1261" s="48" t="str">
        <f aca="false">IF(AS1261&lt;=0,"",IF(CF1261="Aussen","Aussenlager",IF(CF1261="-","Nicht im Lift",IF(AY1261&gt;=1,"Lift",IF(AY1261&lt;=0,"Aussenlager","teilweise")))))</f>
        <v>Lift</v>
      </c>
      <c r="BL1261" s="48" t="str">
        <f aca="false">IF(BC1261&lt;=0,"",IF(CF1261="Aussen","Aussenlager",IF(CF1261="-","Nicht im Lift",IF(BI1261&gt;=1,"Lift",IF(BI1261&lt;=0,"Aussenlager","teilweise")))))</f>
        <v>Lift</v>
      </c>
      <c r="BM1261" s="48" t="str">
        <f aca="false">IF(A1261="","",IF(BV1261=1,"Neu; ","")&amp;IF(AND(BV1261=0,BQ1261&lt;0),"negativer Bestand (Export "&amp;BQ1261&amp;"); ","")&amp;IF(J1261&lt;=0,"Kein Verbrauch; ","")&amp;IF(CQ1261&gt;0,"Lift "&amp;W1261&amp;" lt. Liftbericht (Fach "&amp;X1261&amp;" Stk); ",IF(CA1261=1,"Gebinde geschätzt ("&amp;T1261&amp;"); ",IF(BZ1261=1,"Lose – Tablare geschätzt; ","")))&amp;IF(H1261&gt;AV1261,"Überbestand "&amp;ROUND(H1261-AV1261,0)&amp;" Stk / CHF "&amp;ROUND((H1261-AV1261)*G1261,0)&amp;"; ","")&amp;IF(AND(CH1261=1,CI1261&lt;CJ1261),"MAX &lt; MB+LG; ","")&amp;IF(AND(CP1261&gt;0,CO1261*10&gt;CP1261),"zu hoch für Tablar; ","")&amp;IF(AND(BV1261=0,OR(CH1261=1,AA1261&lt;&gt;"",U1261&lt;&gt;"",V1261&lt;&gt;"",AB1261&lt;&gt;"")),"manuell übersteuert; ","")&amp;IF(AND(BZ1261=0,R1261=0),"Gebinde unbekannt / Stellmass fehlt; ","")&amp;IF(AND(BZ1261=0,N(V1261)&lt;=0,N(Q1261)&lt;=0),"Menge pro Gebinde fehlt (Ist = 1 Gebinde); ","")&amp;BU1261)</f>
        <v>negativer Bestand (Export -15); Überbestand 11 Stk / CHF 609; </v>
      </c>
      <c r="BN1261" s="48"/>
      <c r="BO1261" s="48"/>
      <c r="BP1261" s="55"/>
      <c r="BQ1261" s="50" t="n">
        <v>-15</v>
      </c>
      <c r="BR1261" s="50" t="n">
        <v>36</v>
      </c>
      <c r="BS1261" s="49" t="n">
        <v>-830.55</v>
      </c>
      <c r="BT1261" s="50" t="n">
        <v>12</v>
      </c>
      <c r="BU1261" s="48"/>
      <c r="BV1261" s="53" t="n">
        <v>0</v>
      </c>
      <c r="BW1261" s="53" t="n">
        <v>1261</v>
      </c>
      <c r="BX1261" s="48" t="str">
        <f aca="false">IF(U1261&lt;&gt;"",UPPER(TRIM(U1261)),IF(CA1261=1,UPPER(VLOOKUP(T1261,Parameter!$I$27:$K$29,2,0)),IF(P1261="","LOSE",P1261)))</f>
        <v>S32</v>
      </c>
      <c r="BY1261" s="50" t="n">
        <f aca="false">IF(BX1261="LOSE",1,IF(N(V1261)&gt;0,V1261,IF(CA1261=1,MAX(1,N(VLOOKUP(T1261,Parameter!$I$27:$K$29,3,0)),H1261,N(N1261)),IF(N(Q1261)&gt;0,Q1261,MAX(1,H1261)))))</f>
        <v>38</v>
      </c>
      <c r="BZ1261" s="53" t="n">
        <f aca="false">IF(BX1261="LOSE",1,0)</f>
        <v>0</v>
      </c>
      <c r="CA1261" s="53" t="n">
        <f aca="false">IF(AND(U1261="",OR(P1261="",P1261="LOSE"),T1261&lt;&gt;"",N(S1261)&lt;=0,ISNUMBER(MATCH(T1261,Parameter!$I$27:$I$29,0))),1,0)</f>
        <v>0</v>
      </c>
      <c r="CB1261" s="53" t="n">
        <f aca="false">IF(CQ1261&gt;0,INDEX(Parameter!$H$5:$H$7,W1261)/INDEX(Parameter!$E$5:$E$7,W1261),IF(AND(BZ1261=0,N(IFERROR(VLOOKUP(BX1261,'Gebinde-Kategorie'!$A$5:$N$45,14,0),0))&gt;0),VLOOKUP(BX1261,'Gebinde-Kategorie'!$A$5:$N$45,14,0)*10+Parameter!$M$23,Parameter!$M$24))</f>
        <v>155</v>
      </c>
      <c r="CC1261" s="48" t="str">
        <f aca="false">IF(AND(Parameter!$B$19="Ja",E1261&lt;&gt;"",ISNUMBER(MATCH(E1261,Parameter!$I$35:$I$52,0))),VLOOKUP(E1261,Parameter!$I$35:$J$52,2,0),IFERROR(VLOOKUP(D1261,Parameter!$A$35:$C$64,2,0),"Nein"))</f>
        <v>2+3</v>
      </c>
      <c r="CD1261" s="52" t="n">
        <f aca="false">IF(BZ1261=0,0,IF(N(S1261)&gt;0,S1261,IFERROR(VLOOKUP(D1261,Parameter!$A$35:$C$64,3,0)+0,0)))</f>
        <v>0</v>
      </c>
      <c r="CE1261" s="48" t="n">
        <f aca="false">IF(AA1261&lt;&gt;"",AA1261,Z1261)</f>
        <v>3</v>
      </c>
      <c r="CF1261" s="48" t="str">
        <f aca="false">IF(OR(CE1261=1,CE1261=2,CE1261=3),IF(Parameter!$E$27="Ja","LIFT",IF(CE1261=1,"L1","L23")),IF(CE1261="Aussen","Aussen","-"))</f>
        <v>LIFT</v>
      </c>
      <c r="CG1261" s="59" t="n">
        <f aca="false">IF(N(AB1261)&gt;0,AB1261,0)</f>
        <v>0</v>
      </c>
      <c r="CH1261" s="53" t="n">
        <f aca="false">IF(ISNUMBER(AE1261),1,0)</f>
        <v>0</v>
      </c>
      <c r="CI1261" s="50" t="n">
        <f aca="false">N(AE1261)</f>
        <v>0</v>
      </c>
      <c r="CJ1261" s="50" t="n">
        <f aca="false">N(M1261)+N(N1261)</f>
        <v>10</v>
      </c>
      <c r="CK1261" s="50" t="n">
        <f aca="false">N(M1261)</f>
        <v>5</v>
      </c>
      <c r="CL1261" s="50" t="n">
        <f aca="false">N(N1261)</f>
        <v>5</v>
      </c>
      <c r="CM1261" s="50" t="n">
        <f aca="false">ROUNDUP(H1261/BY1261,0)</f>
        <v>1</v>
      </c>
      <c r="CN1261" s="50" t="n">
        <f aca="false">ROUNDUP(CI1261/BY1261,0)</f>
        <v>0</v>
      </c>
      <c r="CO1261" s="53" t="n">
        <f aca="false">IF(BZ1261=1,0,IFERROR(VLOOKUP(BX1261,'Gebinde-Kategorie'!$A$5:$N$45,5,0)+0,0))</f>
        <v>8</v>
      </c>
      <c r="CP1261" s="53" t="n">
        <f aca="false">IFERROR(IF(OR(CE1261=1,CE1261=2,CE1261=3),N(INDEX(Parameter!$I$5:$I$7,CE1261)),0),0)</f>
        <v>0</v>
      </c>
      <c r="CQ1261" s="52" t="n">
        <f aca="false">IF(AND(Parameter!$B$21="Ja",ISNUMBER(W1261),N(X1261)&gt;0),IFERROR(N(INDEX(Parameter!$L$5:$L$7,W1261))*INDEX(Parameter!$E$5:$E$7,W1261)*X1261/SUMIFS($X$7:$X$1843,$W$7:$W$1843,W1261),0),0)</f>
        <v>0</v>
      </c>
    </row>
    <row r="1262" customFormat="false" ht="15" hidden="false" customHeight="false" outlineLevel="0" collapsed="false">
      <c r="A1262" s="48" t="s">
        <v>2262</v>
      </c>
      <c r="B1262" s="48" t="s">
        <v>2263</v>
      </c>
      <c r="C1262" s="48" t="s">
        <v>173</v>
      </c>
      <c r="D1262" s="48" t="s">
        <v>182</v>
      </c>
      <c r="E1262" s="48" t="s">
        <v>182</v>
      </c>
      <c r="F1262" s="48" t="s">
        <v>227</v>
      </c>
      <c r="G1262" s="49" t="n">
        <v>65.63</v>
      </c>
      <c r="H1262" s="50" t="n">
        <f aca="false">MAX(0,IF(AND(Parameter!$B$21="Ja",ISNUMBER(Y1262)),Y1262,IF(Parameter!$B$20="Jahresanfang 2025 + Export",BR1262+BQ1262,BQ1262)))</f>
        <v>32</v>
      </c>
      <c r="I1262" s="50" t="n">
        <f aca="false">H1262*G1262</f>
        <v>2100.16</v>
      </c>
      <c r="J1262" s="50" t="n">
        <f aca="false">BT1262*Parameter!$B$18</f>
        <v>74</v>
      </c>
      <c r="K1262" s="51" t="n">
        <v>23.5</v>
      </c>
      <c r="L1262" s="52" t="n">
        <v>3.14893617021277</v>
      </c>
      <c r="M1262" s="50" t="n">
        <v>4</v>
      </c>
      <c r="N1262" s="50" t="n">
        <v>50</v>
      </c>
      <c r="O1262" s="53" t="n">
        <v>21</v>
      </c>
      <c r="P1262" s="48" t="s">
        <v>183</v>
      </c>
      <c r="Q1262" s="50" t="n">
        <v>60</v>
      </c>
      <c r="R1262" s="53" t="n">
        <f aca="false">IF(BZ1262=1,0,IFERROR(VLOOKUP(BX1262,'Gebinde-Kategorie'!$A$5:$N$45,13,0)+0,0))</f>
        <v>6</v>
      </c>
      <c r="S1262" s="54"/>
      <c r="T1262" s="55"/>
      <c r="U1262" s="55"/>
      <c r="V1262" s="55"/>
      <c r="W1262" s="48"/>
      <c r="X1262" s="50"/>
      <c r="Y1262" s="50"/>
      <c r="Z1262" s="48" t="str">
        <f aca="false">IF(A1262="","",IF(AND(Parameter!$B$21="Ja",ISNUMBER(W1262)),W1262,IF(CC1262="2+3",IF(ISNUMBER(SEARCH("grosser Artikel",BU1262)),2,IFERROR(VLOOKUP(BX1262,Parameter!$F$35:$G$64,2,0),2)),IF(OR(CC1262="Nein",CC1262=""),"-",CC1262))))</f>
        <v>-</v>
      </c>
      <c r="AA1262" s="55"/>
      <c r="AB1262" s="56"/>
      <c r="AC1262" s="50" t="n">
        <f aca="false">AV1262</f>
        <v>54</v>
      </c>
      <c r="AD1262" s="50" t="n">
        <f aca="false">MAX(AV1262,H1262)</f>
        <v>54</v>
      </c>
      <c r="AE1262" s="57"/>
      <c r="AF1262" s="50" t="n">
        <f aca="false">IF(LEFT(Cockpit!$C$5,1)="A",H1262,IF(Parameter!$E$30="MAX-Bestand",IF(CH1262=1,CI1262,IF(LEFT(Cockpit!$C$5,1)="B",AL1262,MAX(AL1262,H1262))),ROUNDUP(AJ1262,0)))</f>
        <v>32</v>
      </c>
      <c r="AG1262" s="50" t="n">
        <f aca="false">IF(BZ1262=1,0,ROUNDUP(AF1262/BY1262,0))</f>
        <v>1</v>
      </c>
      <c r="AH1262" s="52" t="n">
        <f aca="false">IF(CQ1262&gt;0,CQ1262*MAX(1,AF1262/X1262),IF(BZ1262=1,IF(AF1262&lt;=0,0,CD1262*MAX(1,IF(H1262&gt;0,AF1262/H1262,1))),IF(R1262&gt;0,AG1262/R1262,0))/MAX(0.1,N(Parameter!$M$21)))</f>
        <v>0.166666666666667</v>
      </c>
      <c r="AI1262" s="50" t="n">
        <f aca="false">AH1262*CB1262</f>
        <v>39.1666666666667</v>
      </c>
      <c r="AJ1262" s="51" t="n">
        <f aca="false">IF(LEFT(Cockpit!$C$5,1)="A",H1262,IF(CH1262=1,(CK1262+CI1262)/2,IF(LEFT(Cockpit!$C$5,1)="B",(CK1262+AL1262)/2,MAX((CK1262+AL1262)/2,H1262))))</f>
        <v>32</v>
      </c>
      <c r="AK1262" s="50" t="n">
        <f aca="false">AJ1262*G1262</f>
        <v>2100.16</v>
      </c>
      <c r="AL1262" s="50" t="n">
        <f aca="false">ROUNDUP(CK1262+MAX(CL1262,2*(J1262/IF(CG1262&gt;0,CG1262,MAX(0.1,N(Cockpit!$C$6)))-CK1262)),0)</f>
        <v>54</v>
      </c>
      <c r="AM1262" s="51" t="n">
        <f aca="false">IF(AI1262&gt;0,J1262/AI1262,-1)</f>
        <v>1.88936170212766</v>
      </c>
      <c r="AN1262" s="51" t="str">
        <f aca="false">IF(AND(OR(CF1262="L1",CF1262="L23",CF1262="LIFT"),AI1262&gt;0),SUMIFS($AI$7:$AI$1843,$CF$7:$CF$1843,CF1262,$AM$7:$AM$1843,"&gt;"&amp;AM1262)+SUMIFS($AI$7:$AI$1843,$CF$7:$CF$1843,CF1262,$AM$7:$AM$1843,AM1262,$BW$7:$BW$1843,"&lt;="&amp;BW1262),"")</f>
        <v/>
      </c>
      <c r="AO1262" s="58" t="n">
        <f aca="false">IF(AN1262="",0,MAX(0,MIN(1,(IF(CF1262="L1",Parameter!$H$5,IF(CF1262="L23",Parameter!$H$6+Parameter!$H$7,Parameter!$H$5+Parameter!$H$6+Parameter!$H$7))-(AN1262-AI1262))/AI1262)))</f>
        <v>0</v>
      </c>
      <c r="AP1262" s="50" t="n">
        <f aca="false">IF(LEFT(Cockpit!$I$5,1)="A",H1262,IF(Parameter!$E$30="MAX-Bestand",IF(CH1262=1,CI1262,IF(LEFT(Cockpit!$I$5,1)="B",AV1262,MAX(AV1262,H1262))),ROUNDUP(AT1262,0)))</f>
        <v>32</v>
      </c>
      <c r="AQ1262" s="50" t="n">
        <f aca="false">IF(BZ1262=1,0,ROUNDUP(AP1262/BY1262,0))</f>
        <v>1</v>
      </c>
      <c r="AR1262" s="52" t="n">
        <f aca="false">IF(CQ1262&gt;0,CQ1262*MAX(1,AP1262/X1262),IF(BZ1262=1,IF(AP1262&lt;=0,0,CD1262*MAX(1,IF(H1262&gt;0,AP1262/H1262,1))),IF(R1262&gt;0,AQ1262/R1262,0))/MAX(0.1,N(Parameter!$M$21)))</f>
        <v>0.166666666666667</v>
      </c>
      <c r="AS1262" s="50" t="n">
        <f aca="false">AR1262*CB1262</f>
        <v>39.1666666666667</v>
      </c>
      <c r="AT1262" s="51" t="n">
        <f aca="false">IF(LEFT(Cockpit!$I$5,1)="A",H1262,IF(CH1262=1,(CK1262+CI1262)/2,IF(LEFT(Cockpit!$I$5,1)="B",(CK1262+AV1262)/2,MAX((CK1262+AV1262)/2,H1262))))</f>
        <v>32</v>
      </c>
      <c r="AU1262" s="50" t="n">
        <f aca="false">AT1262*G1262</f>
        <v>2100.16</v>
      </c>
      <c r="AV1262" s="50" t="n">
        <f aca="false">ROUNDUP(CK1262+MAX(CL1262,2*(J1262/IF(CG1262&gt;0,CG1262,MAX(0.1,N(Cockpit!$I$6)))-CK1262)),0)</f>
        <v>54</v>
      </c>
      <c r="AW1262" s="51" t="n">
        <f aca="false">IF(AS1262&gt;0,J1262/AS1262,-1)</f>
        <v>1.88936170212766</v>
      </c>
      <c r="AX1262" s="51" t="str">
        <f aca="false">IF(AND(OR(CF1262="L1",CF1262="L23",CF1262="LIFT"),AS1262&gt;0),SUMIFS($AS$7:$AS$1843,$CF$7:$CF$1843,CF1262,$AW$7:$AW$1843,"&gt;"&amp;AW1262)+SUMIFS($AS$7:$AS$1843,$CF$7:$CF$1843,CF1262,$AW$7:$AW$1843,AW1262,$BW$7:$BW$1843,"&lt;="&amp;BW1262),"")</f>
        <v/>
      </c>
      <c r="AY1262" s="58" t="n">
        <f aca="false">IF(AX1262="",0,MAX(0,MIN(1,(IF(CF1262="L1",Parameter!$H$5,IF(CF1262="L23",Parameter!$H$6+Parameter!$H$7,Parameter!$H$5+Parameter!$H$6+Parameter!$H$7))-(AX1262-AS1262))/AS1262)))</f>
        <v>0</v>
      </c>
      <c r="AZ1262" s="50" t="n">
        <f aca="false">IF(LEFT(Cockpit!$O$5,1)="A",H1262,IF(Parameter!$E$30="MAX-Bestand",IF(CH1262=1,CI1262,IF(LEFT(Cockpit!$O$5,1)="B",BF1262,MAX(BF1262,H1262))),ROUNDUP(BD1262,0)))</f>
        <v>29</v>
      </c>
      <c r="BA1262" s="50" t="n">
        <f aca="false">IF(BZ1262=1,0,ROUNDUP(AZ1262/BY1262,0))</f>
        <v>1</v>
      </c>
      <c r="BB1262" s="52" t="n">
        <f aca="false">IF(CQ1262&gt;0,CQ1262*MAX(1,AZ1262/X1262),IF(BZ1262=1,IF(AZ1262&lt;=0,0,CD1262*MAX(1,IF(H1262&gt;0,AZ1262/H1262,1))),IF(R1262&gt;0,BA1262/R1262,0))/MAX(0.1,N(Parameter!$M$21)))</f>
        <v>0.166666666666667</v>
      </c>
      <c r="BC1262" s="50" t="n">
        <f aca="false">BB1262*CB1262</f>
        <v>39.1666666666667</v>
      </c>
      <c r="BD1262" s="51" t="n">
        <f aca="false">IF(LEFT(Cockpit!$O$5,1)="A",H1262,IF(CH1262=1,(CK1262+CI1262)/2,IF(LEFT(Cockpit!$O$5,1)="B",(CK1262+BF1262)/2,MAX((CK1262+BF1262)/2,H1262))))</f>
        <v>29</v>
      </c>
      <c r="BE1262" s="50" t="n">
        <f aca="false">BD1262*G1262</f>
        <v>1903.27</v>
      </c>
      <c r="BF1262" s="50" t="n">
        <f aca="false">ROUNDUP(CK1262+MAX(CL1262,2*(J1262/IF(CG1262&gt;0,CG1262,MAX(0.1,N(Cockpit!$O$6)))-CK1262)),0)</f>
        <v>54</v>
      </c>
      <c r="BG1262" s="51" t="n">
        <f aca="false">IF(BC1262&gt;0,J1262/BC1262,-1)</f>
        <v>1.88936170212766</v>
      </c>
      <c r="BH1262" s="51" t="str">
        <f aca="false">IF(AND(OR(CF1262="L1",CF1262="L23",CF1262="LIFT"),BC1262&gt;0),SUMIFS($BC$7:$BC$1843,$CF$7:$CF$1843,CF1262,$BG$7:$BG$1843,"&gt;"&amp;BG1262)+SUMIFS($BC$7:$BC$1843,$CF$7:$CF$1843,CF1262,$BG$7:$BG$1843,BG1262,$BW$7:$BW$1843,"&lt;="&amp;BW1262),"")</f>
        <v/>
      </c>
      <c r="BI1262" s="58" t="n">
        <f aca="false">IF(BH1262="",0,MAX(0,MIN(1,(IF(CF1262="L1",Parameter!$H$5,IF(CF1262="L23",Parameter!$H$6+Parameter!$H$7,Parameter!$H$5+Parameter!$H$6+Parameter!$H$7))-(BH1262-BC1262))/BC1262)))</f>
        <v>0</v>
      </c>
      <c r="BJ1262" s="48" t="str">
        <f aca="false">IF(AI1262&lt;=0,"",IF(CF1262="Aussen","Aussenlager",IF(CF1262="-","Nicht im Lift",IF(AO1262&gt;=1,"Lift",IF(AO1262&lt;=0,"Aussenlager","teilweise")))))</f>
        <v>Nicht im Lift</v>
      </c>
      <c r="BK1262" s="48" t="str">
        <f aca="false">IF(AS1262&lt;=0,"",IF(CF1262="Aussen","Aussenlager",IF(CF1262="-","Nicht im Lift",IF(AY1262&gt;=1,"Lift",IF(AY1262&lt;=0,"Aussenlager","teilweise")))))</f>
        <v>Nicht im Lift</v>
      </c>
      <c r="BL1262" s="48" t="str">
        <f aca="false">IF(BC1262&lt;=0,"",IF(CF1262="Aussen","Aussenlager",IF(CF1262="-","Nicht im Lift",IF(BI1262&gt;=1,"Lift",IF(BI1262&lt;=0,"Aussenlager","teilweise")))))</f>
        <v>Nicht im Lift</v>
      </c>
      <c r="BM1262" s="48" t="str">
        <f aca="false">IF(A1262="","",IF(BV1262=1,"Neu; ","")&amp;IF(AND(BV1262=0,BQ1262&lt;0),"negativer Bestand (Export "&amp;BQ1262&amp;"); ","")&amp;IF(J1262&lt;=0,"Kein Verbrauch; ","")&amp;IF(CQ1262&gt;0,"Lift "&amp;W1262&amp;" lt. Liftbericht (Fach "&amp;X1262&amp;" Stk); ",IF(CA1262=1,"Gebinde geschätzt ("&amp;T1262&amp;"); ",IF(BZ1262=1,"Lose – Tablare geschätzt; ","")))&amp;IF(H1262&gt;AV1262,"Überbestand "&amp;ROUND(H1262-AV1262,0)&amp;" Stk / CHF "&amp;ROUND((H1262-AV1262)*G1262,0)&amp;"; ","")&amp;IF(AND(CH1262=1,CI1262&lt;CJ1262),"MAX &lt; MB+LG; ","")&amp;IF(AND(CP1262&gt;0,CO1262*10&gt;CP1262),"zu hoch für Tablar; ","")&amp;IF(AND(BV1262=0,OR(CH1262=1,AA1262&lt;&gt;"",U1262&lt;&gt;"",V1262&lt;&gt;"",AB1262&lt;&gt;"")),"manuell übersteuert; ","")&amp;IF(AND(BZ1262=0,R1262=0),"Gebinde unbekannt / Stellmass fehlt; ","")&amp;IF(AND(BZ1262=0,N(V1262)&lt;=0,N(Q1262)&lt;=0),"Menge pro Gebinde fehlt (Ist = 1 Gebinde); ","")&amp;BU1262)</f>
        <v>negativer Bestand (Export -3); </v>
      </c>
      <c r="BN1262" s="48"/>
      <c r="BO1262" s="48"/>
      <c r="BP1262" s="55"/>
      <c r="BQ1262" s="50" t="n">
        <v>-3</v>
      </c>
      <c r="BR1262" s="50" t="n">
        <v>35</v>
      </c>
      <c r="BS1262" s="49" t="n">
        <v>-834.590000000002</v>
      </c>
      <c r="BT1262" s="50" t="n">
        <v>74</v>
      </c>
      <c r="BU1262" s="48"/>
      <c r="BV1262" s="53" t="n">
        <v>0</v>
      </c>
      <c r="BW1262" s="53" t="n">
        <v>1262</v>
      </c>
      <c r="BX1262" s="48" t="str">
        <f aca="false">IF(U1262&lt;&gt;"",UPPER(TRIM(U1262)),IF(CA1262=1,UPPER(VLOOKUP(T1262,Parameter!$I$27:$K$29,2,0)),IF(P1262="","LOSE",P1262)))</f>
        <v>S71</v>
      </c>
      <c r="BY1262" s="50" t="n">
        <f aca="false">IF(BX1262="LOSE",1,IF(N(V1262)&gt;0,V1262,IF(CA1262=1,MAX(1,N(VLOOKUP(T1262,Parameter!$I$27:$K$29,3,0)),H1262,N(N1262)),IF(N(Q1262)&gt;0,Q1262,MAX(1,H1262)))))</f>
        <v>60</v>
      </c>
      <c r="BZ1262" s="53" t="n">
        <f aca="false">IF(BX1262="LOSE",1,0)</f>
        <v>0</v>
      </c>
      <c r="CA1262" s="53" t="n">
        <f aca="false">IF(AND(U1262="",OR(P1262="",P1262="LOSE"),T1262&lt;&gt;"",N(S1262)&lt;=0,ISNUMBER(MATCH(T1262,Parameter!$I$27:$I$29,0))),1,0)</f>
        <v>0</v>
      </c>
      <c r="CB1262" s="53" t="n">
        <f aca="false">IF(CQ1262&gt;0,INDEX(Parameter!$H$5:$H$7,W1262)/INDEX(Parameter!$E$5:$E$7,W1262),IF(AND(BZ1262=0,N(IFERROR(VLOOKUP(BX1262,'Gebinde-Kategorie'!$A$5:$N$45,14,0),0))&gt;0),VLOOKUP(BX1262,'Gebinde-Kategorie'!$A$5:$N$45,14,0)*10+Parameter!$M$23,Parameter!$M$24))</f>
        <v>235</v>
      </c>
      <c r="CC1262" s="48" t="str">
        <f aca="false">IF(AND(Parameter!$B$19="Ja",E1262&lt;&gt;"",ISNUMBER(MATCH(E1262,Parameter!$I$35:$I$52,0))),VLOOKUP(E1262,Parameter!$I$35:$J$52,2,0),IFERROR(VLOOKUP(D1262,Parameter!$A$35:$C$64,2,0),"Nein"))</f>
        <v>Nein</v>
      </c>
      <c r="CD1262" s="52" t="n">
        <f aca="false">IF(BZ1262=0,0,IF(N(S1262)&gt;0,S1262,IFERROR(VLOOKUP(D1262,Parameter!$A$35:$C$64,3,0)+0,0)))</f>
        <v>0</v>
      </c>
      <c r="CE1262" s="48" t="str">
        <f aca="false">IF(AA1262&lt;&gt;"",AA1262,Z1262)</f>
        <v>-</v>
      </c>
      <c r="CF1262" s="48" t="str">
        <f aca="false">IF(OR(CE1262=1,CE1262=2,CE1262=3),IF(Parameter!$E$27="Ja","LIFT",IF(CE1262=1,"L1","L23")),IF(CE1262="Aussen","Aussen","-"))</f>
        <v>-</v>
      </c>
      <c r="CG1262" s="59" t="n">
        <f aca="false">IF(N(AB1262)&gt;0,AB1262,0)</f>
        <v>0</v>
      </c>
      <c r="CH1262" s="53" t="n">
        <f aca="false">IF(ISNUMBER(AE1262),1,0)</f>
        <v>0</v>
      </c>
      <c r="CI1262" s="50" t="n">
        <f aca="false">N(AE1262)</f>
        <v>0</v>
      </c>
      <c r="CJ1262" s="50" t="n">
        <f aca="false">N(M1262)+N(N1262)</f>
        <v>54</v>
      </c>
      <c r="CK1262" s="50" t="n">
        <f aca="false">N(M1262)</f>
        <v>4</v>
      </c>
      <c r="CL1262" s="50" t="n">
        <f aca="false">N(N1262)</f>
        <v>50</v>
      </c>
      <c r="CM1262" s="50" t="n">
        <f aca="false">ROUNDUP(H1262/BY1262,0)</f>
        <v>1</v>
      </c>
      <c r="CN1262" s="50" t="n">
        <f aca="false">ROUNDUP(CI1262/BY1262,0)</f>
        <v>0</v>
      </c>
      <c r="CO1262" s="53" t="n">
        <f aca="false">IF(BZ1262=1,0,IFERROR(VLOOKUP(BX1262,'Gebinde-Kategorie'!$A$5:$N$45,5,0)+0,0))</f>
        <v>20</v>
      </c>
      <c r="CP1262" s="53" t="n">
        <f aca="false">IFERROR(IF(OR(CE1262=1,CE1262=2,CE1262=3),N(INDEX(Parameter!$I$5:$I$7,CE1262)),0),0)</f>
        <v>0</v>
      </c>
      <c r="CQ1262" s="52" t="n">
        <f aca="false">IF(AND(Parameter!$B$21="Ja",ISNUMBER(W1262),N(X1262)&gt;0),IFERROR(N(INDEX(Parameter!$L$5:$L$7,W1262))*INDEX(Parameter!$E$5:$E$7,W1262)*X1262/SUMIFS($X$7:$X$1843,$W$7:$W$1843,W1262),0),0)</f>
        <v>0</v>
      </c>
    </row>
    <row r="1263" customFormat="false" ht="15" hidden="false" customHeight="false" outlineLevel="0" collapsed="false">
      <c r="A1263" s="48" t="s">
        <v>2264</v>
      </c>
      <c r="B1263" s="48" t="s">
        <v>2265</v>
      </c>
      <c r="C1263" s="48" t="s">
        <v>173</v>
      </c>
      <c r="D1263" s="48" t="s">
        <v>193</v>
      </c>
      <c r="E1263" s="48" t="s">
        <v>194</v>
      </c>
      <c r="F1263" s="48" t="s">
        <v>227</v>
      </c>
      <c r="G1263" s="49" t="n">
        <v>23.11</v>
      </c>
      <c r="H1263" s="50" t="n">
        <f aca="false">MAX(0,IF(AND(Parameter!$B$21="Ja",ISNUMBER(Y1263)),Y1263,IF(Parameter!$B$20="Jahresanfang 2025 + Export",BR1263+BQ1263,BQ1263)))</f>
        <v>132</v>
      </c>
      <c r="I1263" s="50" t="n">
        <f aca="false">H1263*G1263</f>
        <v>3050.52</v>
      </c>
      <c r="J1263" s="50" t="n">
        <f aca="false">BT1263*Parameter!$B$18</f>
        <v>153</v>
      </c>
      <c r="K1263" s="51" t="n">
        <v>150</v>
      </c>
      <c r="L1263" s="52" t="n">
        <v>1.02</v>
      </c>
      <c r="M1263" s="50" t="n">
        <v>10</v>
      </c>
      <c r="N1263" s="50" t="n">
        <v>130</v>
      </c>
      <c r="O1263" s="53" t="n">
        <v>14</v>
      </c>
      <c r="P1263" s="48" t="s">
        <v>242</v>
      </c>
      <c r="Q1263" s="50" t="n">
        <v>279</v>
      </c>
      <c r="R1263" s="53" t="n">
        <f aca="false">IF(BZ1263=1,0,IFERROR(VLOOKUP(BX1263,'Gebinde-Kategorie'!$A$5:$N$45,13,0)+0,0))</f>
        <v>26</v>
      </c>
      <c r="S1263" s="54"/>
      <c r="T1263" s="55"/>
      <c r="U1263" s="55"/>
      <c r="V1263" s="55"/>
      <c r="W1263" s="48"/>
      <c r="X1263" s="50"/>
      <c r="Y1263" s="50"/>
      <c r="Z1263" s="48" t="n">
        <f aca="false">IF(A1263="","",IF(AND(Parameter!$B$21="Ja",ISNUMBER(W1263)),W1263,IF(CC1263="2+3",IF(ISNUMBER(SEARCH("grosser Artikel",BU1263)),2,IFERROR(VLOOKUP(BX1263,Parameter!$F$35:$G$64,2,0),2)),IF(OR(CC1263="Nein",CC1263=""),"-",CC1263))))</f>
        <v>3</v>
      </c>
      <c r="AA1263" s="55"/>
      <c r="AB1263" s="56"/>
      <c r="AC1263" s="50" t="n">
        <f aca="false">AV1263</f>
        <v>140</v>
      </c>
      <c r="AD1263" s="50" t="n">
        <f aca="false">MAX(AV1263,H1263)</f>
        <v>140</v>
      </c>
      <c r="AE1263" s="57"/>
      <c r="AF1263" s="50" t="n">
        <f aca="false">IF(LEFT(Cockpit!$C$5,1)="A",H1263,IF(Parameter!$E$30="MAX-Bestand",IF(CH1263=1,CI1263,IF(LEFT(Cockpit!$C$5,1)="B",AL1263,MAX(AL1263,H1263))),ROUNDUP(AJ1263,0)))</f>
        <v>132</v>
      </c>
      <c r="AG1263" s="50" t="n">
        <f aca="false">IF(BZ1263=1,0,ROUNDUP(AF1263/BY1263,0))</f>
        <v>1</v>
      </c>
      <c r="AH1263" s="52" t="n">
        <f aca="false">IF(CQ1263&gt;0,CQ1263*MAX(1,AF1263/X1263),IF(BZ1263=1,IF(AF1263&lt;=0,0,CD1263*MAX(1,IF(H1263&gt;0,AF1263/H1263,1))),IF(R1263&gt;0,AG1263/R1263,0))/MAX(0.1,N(Parameter!$M$21)))</f>
        <v>0.0384615384615385</v>
      </c>
      <c r="AI1263" s="50" t="n">
        <f aca="false">AH1263*CB1263</f>
        <v>9.42307692307692</v>
      </c>
      <c r="AJ1263" s="51" t="n">
        <f aca="false">IF(LEFT(Cockpit!$C$5,1)="A",H1263,IF(CH1263=1,(CK1263+CI1263)/2,IF(LEFT(Cockpit!$C$5,1)="B",(CK1263+AL1263)/2,MAX((CK1263+AL1263)/2,H1263))))</f>
        <v>132</v>
      </c>
      <c r="AK1263" s="50" t="n">
        <f aca="false">AJ1263*G1263</f>
        <v>3050.52</v>
      </c>
      <c r="AL1263" s="50" t="n">
        <f aca="false">ROUNDUP(CK1263+MAX(CL1263,2*(J1263/IF(CG1263&gt;0,CG1263,MAX(0.1,N(Cockpit!$C$6)))-CK1263)),0)</f>
        <v>140</v>
      </c>
      <c r="AM1263" s="51" t="n">
        <f aca="false">IF(AI1263&gt;0,J1263/AI1263,-1)</f>
        <v>16.2367346938776</v>
      </c>
      <c r="AN1263" s="51" t="n">
        <f aca="false">IF(AND(OR(CF1263="L1",CF1263="L23",CF1263="LIFT"),AI1263&gt;0),SUMIFS($AI$7:$AI$1843,$CF$7:$CF$1843,CF1263,$AM$7:$AM$1843,"&gt;"&amp;AM1263)+SUMIFS($AI$7:$AI$1843,$CF$7:$CF$1843,CF1263,$AM$7:$AM$1843,AM1263,$BW$7:$BW$1843,"&lt;="&amp;BW1263),"")</f>
        <v>2056.7467948718</v>
      </c>
      <c r="AO1263" s="58" t="n">
        <f aca="false">IF(AN1263="",0,MAX(0,MIN(1,(IF(CF1263="L1",Parameter!$H$5,IF(CF1263="L23",Parameter!$H$6+Parameter!$H$7,Parameter!$H$5+Parameter!$H$6+Parameter!$H$7))-(AN1263-AI1263))/AI1263)))</f>
        <v>1</v>
      </c>
      <c r="AP1263" s="50" t="n">
        <f aca="false">IF(LEFT(Cockpit!$I$5,1)="A",H1263,IF(Parameter!$E$30="MAX-Bestand",IF(CH1263=1,CI1263,IF(LEFT(Cockpit!$I$5,1)="B",AV1263,MAX(AV1263,H1263))),ROUNDUP(AT1263,0)))</f>
        <v>132</v>
      </c>
      <c r="AQ1263" s="50" t="n">
        <f aca="false">IF(BZ1263=1,0,ROUNDUP(AP1263/BY1263,0))</f>
        <v>1</v>
      </c>
      <c r="AR1263" s="52" t="n">
        <f aca="false">IF(CQ1263&gt;0,CQ1263*MAX(1,AP1263/X1263),IF(BZ1263=1,IF(AP1263&lt;=0,0,CD1263*MAX(1,IF(H1263&gt;0,AP1263/H1263,1))),IF(R1263&gt;0,AQ1263/R1263,0))/MAX(0.1,N(Parameter!$M$21)))</f>
        <v>0.0384615384615385</v>
      </c>
      <c r="AS1263" s="50" t="n">
        <f aca="false">AR1263*CB1263</f>
        <v>9.42307692307692</v>
      </c>
      <c r="AT1263" s="51" t="n">
        <f aca="false">IF(LEFT(Cockpit!$I$5,1)="A",H1263,IF(CH1263=1,(CK1263+CI1263)/2,IF(LEFT(Cockpit!$I$5,1)="B",(CK1263+AV1263)/2,MAX((CK1263+AV1263)/2,H1263))))</f>
        <v>132</v>
      </c>
      <c r="AU1263" s="50" t="n">
        <f aca="false">AT1263*G1263</f>
        <v>3050.52</v>
      </c>
      <c r="AV1263" s="50" t="n">
        <f aca="false">ROUNDUP(CK1263+MAX(CL1263,2*(J1263/IF(CG1263&gt;0,CG1263,MAX(0.1,N(Cockpit!$I$6)))-CK1263)),0)</f>
        <v>140</v>
      </c>
      <c r="AW1263" s="51" t="n">
        <f aca="false">IF(AS1263&gt;0,J1263/AS1263,-1)</f>
        <v>16.2367346938776</v>
      </c>
      <c r="AX1263" s="51" t="n">
        <f aca="false">IF(AND(OR(CF1263="L1",CF1263="L23",CF1263="LIFT"),AS1263&gt;0),SUMIFS($AS$7:$AS$1843,$CF$7:$CF$1843,CF1263,$AW$7:$AW$1843,"&gt;"&amp;AW1263)+SUMIFS($AS$7:$AS$1843,$CF$7:$CF$1843,CF1263,$AW$7:$AW$1843,AW1263,$BW$7:$BW$1843,"&lt;="&amp;BW1263),"")</f>
        <v>2692.76053113553</v>
      </c>
      <c r="AY1263" s="58" t="n">
        <f aca="false">IF(AX1263="",0,MAX(0,MIN(1,(IF(CF1263="L1",Parameter!$H$5,IF(CF1263="L23",Parameter!$H$6+Parameter!$H$7,Parameter!$H$5+Parameter!$H$6+Parameter!$H$7))-(AX1263-AS1263))/AS1263)))</f>
        <v>1</v>
      </c>
      <c r="AZ1263" s="50" t="n">
        <f aca="false">IF(LEFT(Cockpit!$O$5,1)="A",H1263,IF(Parameter!$E$30="MAX-Bestand",IF(CH1263=1,CI1263,IF(LEFT(Cockpit!$O$5,1)="B",BF1263,MAX(BF1263,H1263))),ROUNDUP(BD1263,0)))</f>
        <v>75</v>
      </c>
      <c r="BA1263" s="50" t="n">
        <f aca="false">IF(BZ1263=1,0,ROUNDUP(AZ1263/BY1263,0))</f>
        <v>1</v>
      </c>
      <c r="BB1263" s="52" t="n">
        <f aca="false">IF(CQ1263&gt;0,CQ1263*MAX(1,AZ1263/X1263),IF(BZ1263=1,IF(AZ1263&lt;=0,0,CD1263*MAX(1,IF(H1263&gt;0,AZ1263/H1263,1))),IF(R1263&gt;0,BA1263/R1263,0))/MAX(0.1,N(Parameter!$M$21)))</f>
        <v>0.0384615384615385</v>
      </c>
      <c r="BC1263" s="50" t="n">
        <f aca="false">BB1263*CB1263</f>
        <v>9.42307692307692</v>
      </c>
      <c r="BD1263" s="51" t="n">
        <f aca="false">IF(LEFT(Cockpit!$O$5,1)="A",H1263,IF(CH1263=1,(CK1263+CI1263)/2,IF(LEFT(Cockpit!$O$5,1)="B",(CK1263+BF1263)/2,MAX((CK1263+BF1263)/2,H1263))))</f>
        <v>75</v>
      </c>
      <c r="BE1263" s="50" t="n">
        <f aca="false">BD1263*G1263</f>
        <v>1733.25</v>
      </c>
      <c r="BF1263" s="50" t="n">
        <f aca="false">ROUNDUP(CK1263+MAX(CL1263,2*(J1263/IF(CG1263&gt;0,CG1263,MAX(0.1,N(Cockpit!$O$6)))-CK1263)),0)</f>
        <v>140</v>
      </c>
      <c r="BG1263" s="51" t="n">
        <f aca="false">IF(BC1263&gt;0,J1263/BC1263,-1)</f>
        <v>16.2367346938776</v>
      </c>
      <c r="BH1263" s="51" t="n">
        <f aca="false">IF(AND(OR(CF1263="L1",CF1263="L23",CF1263="LIFT"),BC1263&gt;0),SUMIFS($BC$7:$BC$1843,$CF$7:$CF$1843,CF1263,$BG$7:$BG$1843,"&gt;"&amp;BG1263)+SUMIFS($BC$7:$BC$1843,$CF$7:$CF$1843,CF1263,$BG$7:$BG$1843,BG1263,$BW$7:$BW$1843,"&lt;="&amp;BW1263),"")</f>
        <v>2384.73992673993</v>
      </c>
      <c r="BI1263" s="58" t="n">
        <f aca="false">IF(BH1263="",0,MAX(0,MIN(1,(IF(CF1263="L1",Parameter!$H$5,IF(CF1263="L23",Parameter!$H$6+Parameter!$H$7,Parameter!$H$5+Parameter!$H$6+Parameter!$H$7))-(BH1263-BC1263))/BC1263)))</f>
        <v>1</v>
      </c>
      <c r="BJ1263" s="48" t="str">
        <f aca="false">IF(AI1263&lt;=0,"",IF(CF1263="Aussen","Aussenlager",IF(CF1263="-","Nicht im Lift",IF(AO1263&gt;=1,"Lift",IF(AO1263&lt;=0,"Aussenlager","teilweise")))))</f>
        <v>Lift</v>
      </c>
      <c r="BK1263" s="48" t="str">
        <f aca="false">IF(AS1263&lt;=0,"",IF(CF1263="Aussen","Aussenlager",IF(CF1263="-","Nicht im Lift",IF(AY1263&gt;=1,"Lift",IF(AY1263&lt;=0,"Aussenlager","teilweise")))))</f>
        <v>Lift</v>
      </c>
      <c r="BL1263" s="48" t="str">
        <f aca="false">IF(BC1263&lt;=0,"",IF(CF1263="Aussen","Aussenlager",IF(CF1263="-","Nicht im Lift",IF(BI1263&gt;=1,"Lift",IF(BI1263&lt;=0,"Aussenlager","teilweise")))))</f>
        <v>Lift</v>
      </c>
      <c r="BM1263" s="48" t="str">
        <f aca="false">IF(A1263="","",IF(BV1263=1,"Neu; ","")&amp;IF(AND(BV1263=0,BQ1263&lt;0),"negativer Bestand (Export "&amp;BQ1263&amp;"); ","")&amp;IF(J1263&lt;=0,"Kein Verbrauch; ","")&amp;IF(CQ1263&gt;0,"Lift "&amp;W1263&amp;" lt. Liftbericht (Fach "&amp;X1263&amp;" Stk); ",IF(CA1263=1,"Gebinde geschätzt ("&amp;T1263&amp;"); ",IF(BZ1263=1,"Lose – Tablare geschätzt; ","")))&amp;IF(H1263&gt;AV1263,"Überbestand "&amp;ROUND(H1263-AV1263,0)&amp;" Stk / CHF "&amp;ROUND((H1263-AV1263)*G1263,0)&amp;"; ","")&amp;IF(AND(CH1263=1,CI1263&lt;CJ1263),"MAX &lt; MB+LG; ","")&amp;IF(AND(CP1263&gt;0,CO1263*10&gt;CP1263),"zu hoch für Tablar; ","")&amp;IF(AND(BV1263=0,OR(CH1263=1,AA1263&lt;&gt;"",U1263&lt;&gt;"",V1263&lt;&gt;"",AB1263&lt;&gt;"")),"manuell übersteuert; ","")&amp;IF(AND(BZ1263=0,R1263=0),"Gebinde unbekannt / Stellmass fehlt; ","")&amp;IF(AND(BZ1263=0,N(V1263)&lt;=0,N(Q1263)&lt;=0),"Menge pro Gebinde fehlt (Ist = 1 Gebinde); ","")&amp;BU1263)</f>
        <v>negativer Bestand (Export -37); </v>
      </c>
      <c r="BN1263" s="48"/>
      <c r="BO1263" s="48"/>
      <c r="BP1263" s="55"/>
      <c r="BQ1263" s="50" t="n">
        <v>-37</v>
      </c>
      <c r="BR1263" s="50" t="n">
        <v>169</v>
      </c>
      <c r="BS1263" s="49" t="n">
        <v>-834.749999999999</v>
      </c>
      <c r="BT1263" s="50" t="n">
        <v>153</v>
      </c>
      <c r="BU1263" s="48"/>
      <c r="BV1263" s="53" t="n">
        <v>0</v>
      </c>
      <c r="BW1263" s="53" t="n">
        <v>1263</v>
      </c>
      <c r="BX1263" s="48" t="str">
        <f aca="false">IF(U1263&lt;&gt;"",UPPER(TRIM(U1263)),IF(CA1263=1,UPPER(VLOOKUP(T1263,Parameter!$I$27:$K$29,2,0)),IF(P1263="","LOSE",P1263)))</f>
        <v>S52</v>
      </c>
      <c r="BY1263" s="50" t="n">
        <f aca="false">IF(BX1263="LOSE",1,IF(N(V1263)&gt;0,V1263,IF(CA1263=1,MAX(1,N(VLOOKUP(T1263,Parameter!$I$27:$K$29,3,0)),H1263,N(N1263)),IF(N(Q1263)&gt;0,Q1263,MAX(1,H1263)))))</f>
        <v>279</v>
      </c>
      <c r="BZ1263" s="53" t="n">
        <f aca="false">IF(BX1263="LOSE",1,0)</f>
        <v>0</v>
      </c>
      <c r="CA1263" s="53" t="n">
        <f aca="false">IF(AND(U1263="",OR(P1263="",P1263="LOSE"),T1263&lt;&gt;"",N(S1263)&lt;=0,ISNUMBER(MATCH(T1263,Parameter!$I$27:$I$29,0))),1,0)</f>
        <v>0</v>
      </c>
      <c r="CB1263" s="53" t="n">
        <f aca="false">IF(CQ1263&gt;0,INDEX(Parameter!$H$5:$H$7,W1263)/INDEX(Parameter!$E$5:$E$7,W1263),IF(AND(BZ1263=0,N(IFERROR(VLOOKUP(BX1263,'Gebinde-Kategorie'!$A$5:$N$45,14,0),0))&gt;0),VLOOKUP(BX1263,'Gebinde-Kategorie'!$A$5:$N$45,14,0)*10+Parameter!$M$23,Parameter!$M$24))</f>
        <v>245</v>
      </c>
      <c r="CC1263" s="48" t="str">
        <f aca="false">IF(AND(Parameter!$B$19="Ja",E1263&lt;&gt;"",ISNUMBER(MATCH(E1263,Parameter!$I$35:$I$52,0))),VLOOKUP(E1263,Parameter!$I$35:$J$52,2,0),IFERROR(VLOOKUP(D1263,Parameter!$A$35:$C$64,2,0),"Nein"))</f>
        <v>2+3</v>
      </c>
      <c r="CD1263" s="52" t="n">
        <f aca="false">IF(BZ1263=0,0,IF(N(S1263)&gt;0,S1263,IFERROR(VLOOKUP(D1263,Parameter!$A$35:$C$64,3,0)+0,0)))</f>
        <v>0</v>
      </c>
      <c r="CE1263" s="48" t="n">
        <f aca="false">IF(AA1263&lt;&gt;"",AA1263,Z1263)</f>
        <v>3</v>
      </c>
      <c r="CF1263" s="48" t="str">
        <f aca="false">IF(OR(CE1263=1,CE1263=2,CE1263=3),IF(Parameter!$E$27="Ja","LIFT",IF(CE1263=1,"L1","L23")),IF(CE1263="Aussen","Aussen","-"))</f>
        <v>LIFT</v>
      </c>
      <c r="CG1263" s="59" t="n">
        <f aca="false">IF(N(AB1263)&gt;0,AB1263,0)</f>
        <v>0</v>
      </c>
      <c r="CH1263" s="53" t="n">
        <f aca="false">IF(ISNUMBER(AE1263),1,0)</f>
        <v>0</v>
      </c>
      <c r="CI1263" s="50" t="n">
        <f aca="false">N(AE1263)</f>
        <v>0</v>
      </c>
      <c r="CJ1263" s="50" t="n">
        <f aca="false">N(M1263)+N(N1263)</f>
        <v>140</v>
      </c>
      <c r="CK1263" s="50" t="n">
        <f aca="false">N(M1263)</f>
        <v>10</v>
      </c>
      <c r="CL1263" s="50" t="n">
        <f aca="false">N(N1263)</f>
        <v>130</v>
      </c>
      <c r="CM1263" s="50" t="n">
        <f aca="false">ROUNDUP(H1263/BY1263,0)</f>
        <v>1</v>
      </c>
      <c r="CN1263" s="50" t="n">
        <f aca="false">ROUNDUP(CI1263/BY1263,0)</f>
        <v>0</v>
      </c>
      <c r="CO1263" s="53" t="n">
        <f aca="false">IF(BZ1263=1,0,IFERROR(VLOOKUP(BX1263,'Gebinde-Kategorie'!$A$5:$N$45,5,0)+0,0))</f>
        <v>21</v>
      </c>
      <c r="CP1263" s="53" t="n">
        <f aca="false">IFERROR(IF(OR(CE1263=1,CE1263=2,CE1263=3),N(INDEX(Parameter!$I$5:$I$7,CE1263)),0),0)</f>
        <v>0</v>
      </c>
      <c r="CQ1263" s="52" t="n">
        <f aca="false">IF(AND(Parameter!$B$21="Ja",ISNUMBER(W1263),N(X1263)&gt;0),IFERROR(N(INDEX(Parameter!$L$5:$L$7,W1263))*INDEX(Parameter!$E$5:$E$7,W1263)*X1263/SUMIFS($X$7:$X$1843,$W$7:$W$1843,W1263),0),0)</f>
        <v>0</v>
      </c>
    </row>
    <row r="1264" customFormat="false" ht="15" hidden="false" customHeight="false" outlineLevel="0" collapsed="false">
      <c r="A1264" s="48" t="s">
        <v>2266</v>
      </c>
      <c r="B1264" s="48" t="s">
        <v>2267</v>
      </c>
      <c r="C1264" s="48" t="s">
        <v>173</v>
      </c>
      <c r="D1264" s="48" t="s">
        <v>1004</v>
      </c>
      <c r="E1264" s="48"/>
      <c r="F1264" s="48" t="s">
        <v>227</v>
      </c>
      <c r="G1264" s="49" t="n">
        <v>834.75</v>
      </c>
      <c r="H1264" s="50" t="n">
        <f aca="false">MAX(0,IF(AND(Parameter!$B$21="Ja",ISNUMBER(Y1264)),Y1264,IF(Parameter!$B$20="Jahresanfang 2025 + Export",BR1264+BQ1264,BQ1264)))</f>
        <v>3</v>
      </c>
      <c r="I1264" s="50" t="n">
        <f aca="false">H1264*G1264</f>
        <v>2504.25</v>
      </c>
      <c r="J1264" s="50" t="n">
        <f aca="false">BT1264*Parameter!$B$18</f>
        <v>0</v>
      </c>
      <c r="K1264" s="51" t="n">
        <v>2</v>
      </c>
      <c r="L1264" s="52" t="n">
        <v>0</v>
      </c>
      <c r="M1264" s="50" t="n">
        <v>1</v>
      </c>
      <c r="N1264" s="50" t="n">
        <v>1</v>
      </c>
      <c r="O1264" s="53" t="n">
        <v>7</v>
      </c>
      <c r="P1264" s="48" t="s">
        <v>177</v>
      </c>
      <c r="Q1264" s="50"/>
      <c r="R1264" s="53" t="n">
        <f aca="false">IF(BZ1264=1,0,IFERROR(VLOOKUP(BX1264,'Gebinde-Kategorie'!$A$5:$N$45,13,0)+0,0))</f>
        <v>0</v>
      </c>
      <c r="S1264" s="54"/>
      <c r="T1264" s="55"/>
      <c r="U1264" s="55"/>
      <c r="V1264" s="55"/>
      <c r="W1264" s="48"/>
      <c r="X1264" s="50"/>
      <c r="Y1264" s="50"/>
      <c r="Z1264" s="48" t="str">
        <f aca="false">IF(A1264="","",IF(AND(Parameter!$B$21="Ja",ISNUMBER(W1264)),W1264,IF(CC1264="2+3",IF(ISNUMBER(SEARCH("grosser Artikel",BU1264)),2,IFERROR(VLOOKUP(BX1264,Parameter!$F$35:$G$64,2,0),2)),IF(OR(CC1264="Nein",CC1264=""),"-",CC1264))))</f>
        <v>-</v>
      </c>
      <c r="AA1264" s="55"/>
      <c r="AB1264" s="56"/>
      <c r="AC1264" s="50" t="n">
        <f aca="false">AV1264</f>
        <v>2</v>
      </c>
      <c r="AD1264" s="50" t="n">
        <f aca="false">MAX(AV1264,H1264)</f>
        <v>3</v>
      </c>
      <c r="AE1264" s="57"/>
      <c r="AF1264" s="50" t="n">
        <f aca="false">IF(LEFT(Cockpit!$C$5,1)="A",H1264,IF(Parameter!$E$30="MAX-Bestand",IF(CH1264=1,CI1264,IF(LEFT(Cockpit!$C$5,1)="B",AL1264,MAX(AL1264,H1264))),ROUNDUP(AJ1264,0)))</f>
        <v>3</v>
      </c>
      <c r="AG1264" s="50" t="n">
        <f aca="false">IF(BZ1264=1,0,ROUNDUP(AF1264/BY1264,0))</f>
        <v>0</v>
      </c>
      <c r="AH1264" s="52" t="n">
        <f aca="false">IF(CQ1264&gt;0,CQ1264*MAX(1,AF1264/X1264),IF(BZ1264=1,IF(AF1264&lt;=0,0,CD1264*MAX(1,IF(H1264&gt;0,AF1264/H1264,1))),IF(R1264&gt;0,AG1264/R1264,0))/MAX(0.1,N(Parameter!$M$21)))</f>
        <v>0.15</v>
      </c>
      <c r="AI1264" s="50" t="n">
        <f aca="false">AH1264*CB1264</f>
        <v>35.25</v>
      </c>
      <c r="AJ1264" s="51" t="n">
        <f aca="false">IF(LEFT(Cockpit!$C$5,1)="A",H1264,IF(CH1264=1,(CK1264+CI1264)/2,IF(LEFT(Cockpit!$C$5,1)="B",(CK1264+AL1264)/2,MAX((CK1264+AL1264)/2,H1264))))</f>
        <v>3</v>
      </c>
      <c r="AK1264" s="50" t="n">
        <f aca="false">AJ1264*G1264</f>
        <v>2504.25</v>
      </c>
      <c r="AL1264" s="50" t="n">
        <f aca="false">ROUNDUP(CK1264+MAX(CL1264,2*(J1264/IF(CG1264&gt;0,CG1264,MAX(0.1,N(Cockpit!$C$6)))-CK1264)),0)</f>
        <v>2</v>
      </c>
      <c r="AM1264" s="51" t="n">
        <f aca="false">IF(AI1264&gt;0,J1264/AI1264,-1)</f>
        <v>0</v>
      </c>
      <c r="AN1264" s="51" t="str">
        <f aca="false">IF(AND(OR(CF1264="L1",CF1264="L23",CF1264="LIFT"),AI1264&gt;0),SUMIFS($AI$7:$AI$1843,$CF$7:$CF$1843,CF1264,$AM$7:$AM$1843,"&gt;"&amp;AM1264)+SUMIFS($AI$7:$AI$1843,$CF$7:$CF$1843,CF1264,$AM$7:$AM$1843,AM1264,$BW$7:$BW$1843,"&lt;="&amp;BW1264),"")</f>
        <v/>
      </c>
      <c r="AO1264" s="58" t="n">
        <f aca="false">IF(AN1264="",0,MAX(0,MIN(1,(IF(CF1264="L1",Parameter!$H$5,IF(CF1264="L23",Parameter!$H$6+Parameter!$H$7,Parameter!$H$5+Parameter!$H$6+Parameter!$H$7))-(AN1264-AI1264))/AI1264)))</f>
        <v>0</v>
      </c>
      <c r="AP1264" s="50" t="n">
        <f aca="false">IF(LEFT(Cockpit!$I$5,1)="A",H1264,IF(Parameter!$E$30="MAX-Bestand",IF(CH1264=1,CI1264,IF(LEFT(Cockpit!$I$5,1)="B",AV1264,MAX(AV1264,H1264))),ROUNDUP(AT1264,0)))</f>
        <v>3</v>
      </c>
      <c r="AQ1264" s="50" t="n">
        <f aca="false">IF(BZ1264=1,0,ROUNDUP(AP1264/BY1264,0))</f>
        <v>0</v>
      </c>
      <c r="AR1264" s="52" t="n">
        <f aca="false">IF(CQ1264&gt;0,CQ1264*MAX(1,AP1264/X1264),IF(BZ1264=1,IF(AP1264&lt;=0,0,CD1264*MAX(1,IF(H1264&gt;0,AP1264/H1264,1))),IF(R1264&gt;0,AQ1264/R1264,0))/MAX(0.1,N(Parameter!$M$21)))</f>
        <v>0.15</v>
      </c>
      <c r="AS1264" s="50" t="n">
        <f aca="false">AR1264*CB1264</f>
        <v>35.25</v>
      </c>
      <c r="AT1264" s="51" t="n">
        <f aca="false">IF(LEFT(Cockpit!$I$5,1)="A",H1264,IF(CH1264=1,(CK1264+CI1264)/2,IF(LEFT(Cockpit!$I$5,1)="B",(CK1264+AV1264)/2,MAX((CK1264+AV1264)/2,H1264))))</f>
        <v>3</v>
      </c>
      <c r="AU1264" s="50" t="n">
        <f aca="false">AT1264*G1264</f>
        <v>2504.25</v>
      </c>
      <c r="AV1264" s="50" t="n">
        <f aca="false">ROUNDUP(CK1264+MAX(CL1264,2*(J1264/IF(CG1264&gt;0,CG1264,MAX(0.1,N(Cockpit!$I$6)))-CK1264)),0)</f>
        <v>2</v>
      </c>
      <c r="AW1264" s="51" t="n">
        <f aca="false">IF(AS1264&gt;0,J1264/AS1264,-1)</f>
        <v>0</v>
      </c>
      <c r="AX1264" s="51" t="str">
        <f aca="false">IF(AND(OR(CF1264="L1",CF1264="L23",CF1264="LIFT"),AS1264&gt;0),SUMIFS($AS$7:$AS$1843,$CF$7:$CF$1843,CF1264,$AW$7:$AW$1843,"&gt;"&amp;AW1264)+SUMIFS($AS$7:$AS$1843,$CF$7:$CF$1843,CF1264,$AW$7:$AW$1843,AW1264,$BW$7:$BW$1843,"&lt;="&amp;BW1264),"")</f>
        <v/>
      </c>
      <c r="AY1264" s="58" t="n">
        <f aca="false">IF(AX1264="",0,MAX(0,MIN(1,(IF(CF1264="L1",Parameter!$H$5,IF(CF1264="L23",Parameter!$H$6+Parameter!$H$7,Parameter!$H$5+Parameter!$H$6+Parameter!$H$7))-(AX1264-AS1264))/AS1264)))</f>
        <v>0</v>
      </c>
      <c r="AZ1264" s="50" t="n">
        <f aca="false">IF(LEFT(Cockpit!$O$5,1)="A",H1264,IF(Parameter!$E$30="MAX-Bestand",IF(CH1264=1,CI1264,IF(LEFT(Cockpit!$O$5,1)="B",BF1264,MAX(BF1264,H1264))),ROUNDUP(BD1264,0)))</f>
        <v>2</v>
      </c>
      <c r="BA1264" s="50" t="n">
        <f aca="false">IF(BZ1264=1,0,ROUNDUP(AZ1264/BY1264,0))</f>
        <v>0</v>
      </c>
      <c r="BB1264" s="52" t="n">
        <f aca="false">IF(CQ1264&gt;0,CQ1264*MAX(1,AZ1264/X1264),IF(BZ1264=1,IF(AZ1264&lt;=0,0,CD1264*MAX(1,IF(H1264&gt;0,AZ1264/H1264,1))),IF(R1264&gt;0,BA1264/R1264,0))/MAX(0.1,N(Parameter!$M$21)))</f>
        <v>0.15</v>
      </c>
      <c r="BC1264" s="50" t="n">
        <f aca="false">BB1264*CB1264</f>
        <v>35.25</v>
      </c>
      <c r="BD1264" s="51" t="n">
        <f aca="false">IF(LEFT(Cockpit!$O$5,1)="A",H1264,IF(CH1264=1,(CK1264+CI1264)/2,IF(LEFT(Cockpit!$O$5,1)="B",(CK1264+BF1264)/2,MAX((CK1264+BF1264)/2,H1264))))</f>
        <v>1.5</v>
      </c>
      <c r="BE1264" s="50" t="n">
        <f aca="false">BD1264*G1264</f>
        <v>1252.125</v>
      </c>
      <c r="BF1264" s="50" t="n">
        <f aca="false">ROUNDUP(CK1264+MAX(CL1264,2*(J1264/IF(CG1264&gt;0,CG1264,MAX(0.1,N(Cockpit!$O$6)))-CK1264)),0)</f>
        <v>2</v>
      </c>
      <c r="BG1264" s="51" t="n">
        <f aca="false">IF(BC1264&gt;0,J1264/BC1264,-1)</f>
        <v>0</v>
      </c>
      <c r="BH1264" s="51" t="str">
        <f aca="false">IF(AND(OR(CF1264="L1",CF1264="L23",CF1264="LIFT"),BC1264&gt;0),SUMIFS($BC$7:$BC$1843,$CF$7:$CF$1843,CF1264,$BG$7:$BG$1843,"&gt;"&amp;BG1264)+SUMIFS($BC$7:$BC$1843,$CF$7:$CF$1843,CF1264,$BG$7:$BG$1843,BG1264,$BW$7:$BW$1843,"&lt;="&amp;BW1264),"")</f>
        <v/>
      </c>
      <c r="BI1264" s="58" t="n">
        <f aca="false">IF(BH1264="",0,MAX(0,MIN(1,(IF(CF1264="L1",Parameter!$H$5,IF(CF1264="L23",Parameter!$H$6+Parameter!$H$7,Parameter!$H$5+Parameter!$H$6+Parameter!$H$7))-(BH1264-BC1264))/BC1264)))</f>
        <v>0</v>
      </c>
      <c r="BJ1264" s="48" t="str">
        <f aca="false">IF(AI1264&lt;=0,"",IF(CF1264="Aussen","Aussenlager",IF(CF1264="-","Nicht im Lift",IF(AO1264&gt;=1,"Lift",IF(AO1264&lt;=0,"Aussenlager","teilweise")))))</f>
        <v>Nicht im Lift</v>
      </c>
      <c r="BK1264" s="48" t="str">
        <f aca="false">IF(AS1264&lt;=0,"",IF(CF1264="Aussen","Aussenlager",IF(CF1264="-","Nicht im Lift",IF(AY1264&gt;=1,"Lift",IF(AY1264&lt;=0,"Aussenlager","teilweise")))))</f>
        <v>Nicht im Lift</v>
      </c>
      <c r="BL1264" s="48" t="str">
        <f aca="false">IF(BC1264&lt;=0,"",IF(CF1264="Aussen","Aussenlager",IF(CF1264="-","Nicht im Lift",IF(BI1264&gt;=1,"Lift",IF(BI1264&lt;=0,"Aussenlager","teilweise")))))</f>
        <v>Nicht im Lift</v>
      </c>
      <c r="BM1264" s="48" t="str">
        <f aca="false">IF(A1264="","",IF(BV1264=1,"Neu; ","")&amp;IF(AND(BV1264=0,BQ1264&lt;0),"negativer Bestand (Export "&amp;BQ1264&amp;"); ","")&amp;IF(J1264&lt;=0,"Kein Verbrauch; ","")&amp;IF(CQ1264&gt;0,"Lift "&amp;W1264&amp;" lt. Liftbericht (Fach "&amp;X1264&amp;" Stk); ",IF(CA1264=1,"Gebinde geschätzt ("&amp;T1264&amp;"); ",IF(BZ1264=1,"Lose – Tablare geschätzt; ","")))&amp;IF(H1264&gt;AV1264,"Überbestand "&amp;ROUND(H1264-AV1264,0)&amp;" Stk / CHF "&amp;ROUND((H1264-AV1264)*G1264,0)&amp;"; ","")&amp;IF(AND(CH1264=1,CI1264&lt;CJ1264),"MAX &lt; MB+LG; ","")&amp;IF(AND(CP1264&gt;0,CO1264*10&gt;CP1264),"zu hoch für Tablar; ","")&amp;IF(AND(BV1264=0,OR(CH1264=1,AA1264&lt;&gt;"",U1264&lt;&gt;"",V1264&lt;&gt;"",AB1264&lt;&gt;"")),"manuell übersteuert; ","")&amp;IF(AND(BZ1264=0,R1264=0),"Gebinde unbekannt / Stellmass fehlt; ","")&amp;IF(AND(BZ1264=0,N(V1264)&lt;=0,N(Q1264)&lt;=0),"Menge pro Gebinde fehlt (Ist = 1 Gebinde); ","")&amp;BU1264)</f>
        <v>Kein Verbrauch; Lose – Tablare geschätzt; Überbestand 1 Stk / CHF 835; </v>
      </c>
      <c r="BN1264" s="48"/>
      <c r="BO1264" s="48"/>
      <c r="BP1264" s="55"/>
      <c r="BQ1264" s="50" t="n">
        <v>1</v>
      </c>
      <c r="BR1264" s="50" t="n">
        <v>2</v>
      </c>
      <c r="BS1264" s="49" t="n">
        <v>-834.75</v>
      </c>
      <c r="BT1264" s="50" t="n">
        <v>0</v>
      </c>
      <c r="BU1264" s="48"/>
      <c r="BV1264" s="53" t="n">
        <v>0</v>
      </c>
      <c r="BW1264" s="53" t="n">
        <v>1264</v>
      </c>
      <c r="BX1264" s="48" t="str">
        <f aca="false">IF(U1264&lt;&gt;"",UPPER(TRIM(U1264)),IF(CA1264=1,UPPER(VLOOKUP(T1264,Parameter!$I$27:$K$29,2,0)),IF(P1264="","LOSE",P1264)))</f>
        <v>LOSE</v>
      </c>
      <c r="BY1264" s="50" t="n">
        <f aca="false">IF(BX1264="LOSE",1,IF(N(V1264)&gt;0,V1264,IF(CA1264=1,MAX(1,N(VLOOKUP(T1264,Parameter!$I$27:$K$29,3,0)),H1264,N(N1264)),IF(N(Q1264)&gt;0,Q1264,MAX(1,H1264)))))</f>
        <v>1</v>
      </c>
      <c r="BZ1264" s="53" t="n">
        <f aca="false">IF(BX1264="LOSE",1,0)</f>
        <v>1</v>
      </c>
      <c r="CA1264" s="53" t="n">
        <f aca="false">IF(AND(U1264="",OR(P1264="",P1264="LOSE"),T1264&lt;&gt;"",N(S1264)&lt;=0,ISNUMBER(MATCH(T1264,Parameter!$I$27:$I$29,0))),1,0)</f>
        <v>0</v>
      </c>
      <c r="CB1264" s="53" t="n">
        <f aca="false">IF(CQ1264&gt;0,INDEX(Parameter!$H$5:$H$7,W1264)/INDEX(Parameter!$E$5:$E$7,W1264),IF(AND(BZ1264=0,N(IFERROR(VLOOKUP(BX1264,'Gebinde-Kategorie'!$A$5:$N$45,14,0),0))&gt;0),VLOOKUP(BX1264,'Gebinde-Kategorie'!$A$5:$N$45,14,0)*10+Parameter!$M$23,Parameter!$M$24))</f>
        <v>235</v>
      </c>
      <c r="CC1264" s="48" t="str">
        <f aca="false">IF(AND(Parameter!$B$19="Ja",E1264&lt;&gt;"",ISNUMBER(MATCH(E1264,Parameter!$I$35:$I$52,0))),VLOOKUP(E1264,Parameter!$I$35:$J$52,2,0),IFERROR(VLOOKUP(D1264,Parameter!$A$35:$C$64,2,0),"Nein"))</f>
        <v>Nein</v>
      </c>
      <c r="CD1264" s="52" t="n">
        <f aca="false">IF(BZ1264=0,0,IF(N(S1264)&gt;0,S1264,IFERROR(VLOOKUP(D1264,Parameter!$A$35:$C$64,3,0)+0,0)))</f>
        <v>0.15</v>
      </c>
      <c r="CE1264" s="48" t="str">
        <f aca="false">IF(AA1264&lt;&gt;"",AA1264,Z1264)</f>
        <v>-</v>
      </c>
      <c r="CF1264" s="48" t="str">
        <f aca="false">IF(OR(CE1264=1,CE1264=2,CE1264=3),IF(Parameter!$E$27="Ja","LIFT",IF(CE1264=1,"L1","L23")),IF(CE1264="Aussen","Aussen","-"))</f>
        <v>-</v>
      </c>
      <c r="CG1264" s="59" t="n">
        <f aca="false">IF(N(AB1264)&gt;0,AB1264,0)</f>
        <v>0</v>
      </c>
      <c r="CH1264" s="53" t="n">
        <f aca="false">IF(ISNUMBER(AE1264),1,0)</f>
        <v>0</v>
      </c>
      <c r="CI1264" s="50" t="n">
        <f aca="false">N(AE1264)</f>
        <v>0</v>
      </c>
      <c r="CJ1264" s="50" t="n">
        <f aca="false">N(M1264)+N(N1264)</f>
        <v>2</v>
      </c>
      <c r="CK1264" s="50" t="n">
        <f aca="false">N(M1264)</f>
        <v>1</v>
      </c>
      <c r="CL1264" s="50" t="n">
        <f aca="false">N(N1264)</f>
        <v>1</v>
      </c>
      <c r="CM1264" s="50" t="n">
        <f aca="false">ROUNDUP(H1264/BY1264,0)</f>
        <v>3</v>
      </c>
      <c r="CN1264" s="50" t="n">
        <f aca="false">ROUNDUP(CI1264/BY1264,0)</f>
        <v>0</v>
      </c>
      <c r="CO1264" s="53" t="n">
        <f aca="false">IF(BZ1264=1,0,IFERROR(VLOOKUP(BX1264,'Gebinde-Kategorie'!$A$5:$N$45,5,0)+0,0))</f>
        <v>0</v>
      </c>
      <c r="CP1264" s="53" t="n">
        <f aca="false">IFERROR(IF(OR(CE1264=1,CE1264=2,CE1264=3),N(INDEX(Parameter!$I$5:$I$7,CE1264)),0),0)</f>
        <v>0</v>
      </c>
      <c r="CQ1264" s="52" t="n">
        <f aca="false">IF(AND(Parameter!$B$21="Ja",ISNUMBER(W1264),N(X1264)&gt;0),IFERROR(N(INDEX(Parameter!$L$5:$L$7,W1264))*INDEX(Parameter!$E$5:$E$7,W1264)*X1264/SUMIFS($X$7:$X$1843,$W$7:$W$1843,W1264),0),0)</f>
        <v>0</v>
      </c>
    </row>
    <row r="1265" customFormat="false" ht="15" hidden="false" customHeight="false" outlineLevel="0" collapsed="false">
      <c r="A1265" s="48" t="s">
        <v>2268</v>
      </c>
      <c r="B1265" s="48" t="s">
        <v>2269</v>
      </c>
      <c r="C1265" s="48" t="s">
        <v>173</v>
      </c>
      <c r="D1265" s="48" t="s">
        <v>193</v>
      </c>
      <c r="E1265" s="48" t="s">
        <v>194</v>
      </c>
      <c r="F1265" s="48" t="s">
        <v>227</v>
      </c>
      <c r="G1265" s="49" t="n">
        <v>28.7</v>
      </c>
      <c r="H1265" s="50" t="n">
        <f aca="false">MAX(0,IF(AND(Parameter!$B$21="Ja",ISNUMBER(Y1265)),Y1265,IF(Parameter!$B$20="Jahresanfang 2025 + Export",BR1265+BQ1265,BQ1265)))</f>
        <v>110</v>
      </c>
      <c r="I1265" s="50" t="n">
        <f aca="false">H1265*G1265</f>
        <v>3157</v>
      </c>
      <c r="J1265" s="50" t="n">
        <f aca="false">BT1265*Parameter!$B$18</f>
        <v>19</v>
      </c>
      <c r="K1265" s="51" t="n">
        <v>130.5</v>
      </c>
      <c r="L1265" s="52" t="n">
        <v>0.145593869731801</v>
      </c>
      <c r="M1265" s="50" t="n">
        <v>1</v>
      </c>
      <c r="N1265" s="50" t="n">
        <v>20</v>
      </c>
      <c r="O1265" s="53" t="n">
        <v>28</v>
      </c>
      <c r="P1265" s="48" t="s">
        <v>235</v>
      </c>
      <c r="Q1265" s="50" t="n">
        <v>183</v>
      </c>
      <c r="R1265" s="53" t="n">
        <f aca="false">IF(BZ1265=1,0,IFERROR(VLOOKUP(BX1265,'Gebinde-Kategorie'!$A$5:$N$45,13,0)+0,0))</f>
        <v>12</v>
      </c>
      <c r="S1265" s="54"/>
      <c r="T1265" s="55"/>
      <c r="U1265" s="55"/>
      <c r="V1265" s="55"/>
      <c r="W1265" s="48"/>
      <c r="X1265" s="50"/>
      <c r="Y1265" s="50"/>
      <c r="Z1265" s="48" t="n">
        <f aca="false">IF(A1265="","",IF(AND(Parameter!$B$21="Ja",ISNUMBER(W1265)),W1265,IF(CC1265="2+3",IF(ISNUMBER(SEARCH("grosser Artikel",BU1265)),2,IFERROR(VLOOKUP(BX1265,Parameter!$F$35:$G$64,2,0),2)),IF(OR(CC1265="Nein",CC1265=""),"-",CC1265))))</f>
        <v>2</v>
      </c>
      <c r="AA1265" s="55"/>
      <c r="AB1265" s="56"/>
      <c r="AC1265" s="50" t="n">
        <f aca="false">AV1265</f>
        <v>21</v>
      </c>
      <c r="AD1265" s="50" t="n">
        <f aca="false">MAX(AV1265,H1265)</f>
        <v>110</v>
      </c>
      <c r="AE1265" s="57"/>
      <c r="AF1265" s="50" t="n">
        <f aca="false">IF(LEFT(Cockpit!$C$5,1)="A",H1265,IF(Parameter!$E$30="MAX-Bestand",IF(CH1265=1,CI1265,IF(LEFT(Cockpit!$C$5,1)="B",AL1265,MAX(AL1265,H1265))),ROUNDUP(AJ1265,0)))</f>
        <v>110</v>
      </c>
      <c r="AG1265" s="50" t="n">
        <f aca="false">IF(BZ1265=1,0,ROUNDUP(AF1265/BY1265,0))</f>
        <v>1</v>
      </c>
      <c r="AH1265" s="52" t="n">
        <f aca="false">IF(CQ1265&gt;0,CQ1265*MAX(1,AF1265/X1265),IF(BZ1265=1,IF(AF1265&lt;=0,0,CD1265*MAX(1,IF(H1265&gt;0,AF1265/H1265,1))),IF(R1265&gt;0,AG1265/R1265,0))/MAX(0.1,N(Parameter!$M$21)))</f>
        <v>0.0833333333333333</v>
      </c>
      <c r="AI1265" s="50" t="n">
        <f aca="false">AH1265*CB1265</f>
        <v>28.75</v>
      </c>
      <c r="AJ1265" s="51" t="n">
        <f aca="false">IF(LEFT(Cockpit!$C$5,1)="A",H1265,IF(CH1265=1,(CK1265+CI1265)/2,IF(LEFT(Cockpit!$C$5,1)="B",(CK1265+AL1265)/2,MAX((CK1265+AL1265)/2,H1265))))</f>
        <v>110</v>
      </c>
      <c r="AK1265" s="50" t="n">
        <f aca="false">AJ1265*G1265</f>
        <v>3157</v>
      </c>
      <c r="AL1265" s="50" t="n">
        <f aca="false">ROUNDUP(CK1265+MAX(CL1265,2*(J1265/IF(CG1265&gt;0,CG1265,MAX(0.1,N(Cockpit!$C$6)))-CK1265)),0)</f>
        <v>21</v>
      </c>
      <c r="AM1265" s="51" t="n">
        <f aca="false">IF(AI1265&gt;0,J1265/AI1265,-1)</f>
        <v>0.660869565217391</v>
      </c>
      <c r="AN1265" s="51" t="n">
        <f aca="false">IF(AND(OR(CF1265="L1",CF1265="L23",CF1265="LIFT"),AI1265&gt;0),SUMIFS($AI$7:$AI$1843,$CF$7:$CF$1843,CF1265,$AM$7:$AM$1843,"&gt;"&amp;AM1265)+SUMIFS($AI$7:$AI$1843,$CF$7:$CF$1843,CF1265,$AM$7:$AM$1843,AM1265,$BW$7:$BW$1843,"&lt;="&amp;BW1265),"")</f>
        <v>8733.3717948718</v>
      </c>
      <c r="AO1265" s="58" t="n">
        <f aca="false">IF(AN1265="",0,MAX(0,MIN(1,(IF(CF1265="L1",Parameter!$H$5,IF(CF1265="L23",Parameter!$H$6+Parameter!$H$7,Parameter!$H$5+Parameter!$H$6+Parameter!$H$7))-(AN1265-AI1265))/AI1265)))</f>
        <v>1</v>
      </c>
      <c r="AP1265" s="50" t="n">
        <f aca="false">IF(LEFT(Cockpit!$I$5,1)="A",H1265,IF(Parameter!$E$30="MAX-Bestand",IF(CH1265=1,CI1265,IF(LEFT(Cockpit!$I$5,1)="B",AV1265,MAX(AV1265,H1265))),ROUNDUP(AT1265,0)))</f>
        <v>110</v>
      </c>
      <c r="AQ1265" s="50" t="n">
        <f aca="false">IF(BZ1265=1,0,ROUNDUP(AP1265/BY1265,0))</f>
        <v>1</v>
      </c>
      <c r="AR1265" s="52" t="n">
        <f aca="false">IF(CQ1265&gt;0,CQ1265*MAX(1,AP1265/X1265),IF(BZ1265=1,IF(AP1265&lt;=0,0,CD1265*MAX(1,IF(H1265&gt;0,AP1265/H1265,1))),IF(R1265&gt;0,AQ1265/R1265,0))/MAX(0.1,N(Parameter!$M$21)))</f>
        <v>0.0833333333333333</v>
      </c>
      <c r="AS1265" s="50" t="n">
        <f aca="false">AR1265*CB1265</f>
        <v>28.75</v>
      </c>
      <c r="AT1265" s="51" t="n">
        <f aca="false">IF(LEFT(Cockpit!$I$5,1)="A",H1265,IF(CH1265=1,(CK1265+CI1265)/2,IF(LEFT(Cockpit!$I$5,1)="B",(CK1265+AV1265)/2,MAX((CK1265+AV1265)/2,H1265))))</f>
        <v>110</v>
      </c>
      <c r="AU1265" s="50" t="n">
        <f aca="false">AT1265*G1265</f>
        <v>3157</v>
      </c>
      <c r="AV1265" s="50" t="n">
        <f aca="false">ROUNDUP(CK1265+MAX(CL1265,2*(J1265/IF(CG1265&gt;0,CG1265,MAX(0.1,N(Cockpit!$I$6)))-CK1265)),0)</f>
        <v>21</v>
      </c>
      <c r="AW1265" s="51" t="n">
        <f aca="false">IF(AS1265&gt;0,J1265/AS1265,-1)</f>
        <v>0.660869565217391</v>
      </c>
      <c r="AX1265" s="51" t="n">
        <f aca="false">IF(AND(OR(CF1265="L1",CF1265="L23",CF1265="LIFT"),AS1265&gt;0),SUMIFS($AS$7:$AS$1843,$CF$7:$CF$1843,CF1265,$AW$7:$AW$1843,"&gt;"&amp;AW1265)+SUMIFS($AS$7:$AS$1843,$CF$7:$CF$1843,CF1265,$AW$7:$AW$1843,AW1265,$BW$7:$BW$1843,"&lt;="&amp;BW1265),"")</f>
        <v>11033.5009157509</v>
      </c>
      <c r="AY1265" s="58" t="n">
        <f aca="false">IF(AX1265="",0,MAX(0,MIN(1,(IF(CF1265="L1",Parameter!$H$5,IF(CF1265="L23",Parameter!$H$6+Parameter!$H$7,Parameter!$H$5+Parameter!$H$6+Parameter!$H$7))-(AX1265-AS1265))/AS1265)))</f>
        <v>1</v>
      </c>
      <c r="AZ1265" s="50" t="n">
        <f aca="false">IF(LEFT(Cockpit!$O$5,1)="A",H1265,IF(Parameter!$E$30="MAX-Bestand",IF(CH1265=1,CI1265,IF(LEFT(Cockpit!$O$5,1)="B",BF1265,MAX(BF1265,H1265))),ROUNDUP(BD1265,0)))</f>
        <v>11</v>
      </c>
      <c r="BA1265" s="50" t="n">
        <f aca="false">IF(BZ1265=1,0,ROUNDUP(AZ1265/BY1265,0))</f>
        <v>1</v>
      </c>
      <c r="BB1265" s="52" t="n">
        <f aca="false">IF(CQ1265&gt;0,CQ1265*MAX(1,AZ1265/X1265),IF(BZ1265=1,IF(AZ1265&lt;=0,0,CD1265*MAX(1,IF(H1265&gt;0,AZ1265/H1265,1))),IF(R1265&gt;0,BA1265/R1265,0))/MAX(0.1,N(Parameter!$M$21)))</f>
        <v>0.0833333333333333</v>
      </c>
      <c r="BC1265" s="50" t="n">
        <f aca="false">BB1265*CB1265</f>
        <v>28.75</v>
      </c>
      <c r="BD1265" s="51" t="n">
        <f aca="false">IF(LEFT(Cockpit!$O$5,1)="A",H1265,IF(CH1265=1,(CK1265+CI1265)/2,IF(LEFT(Cockpit!$O$5,1)="B",(CK1265+BF1265)/2,MAX((CK1265+BF1265)/2,H1265))))</f>
        <v>11</v>
      </c>
      <c r="BE1265" s="50" t="n">
        <f aca="false">BD1265*G1265</f>
        <v>315.7</v>
      </c>
      <c r="BF1265" s="50" t="n">
        <f aca="false">ROUNDUP(CK1265+MAX(CL1265,2*(J1265/IF(CG1265&gt;0,CG1265,MAX(0.1,N(Cockpit!$O$6)))-CK1265)),0)</f>
        <v>21</v>
      </c>
      <c r="BG1265" s="51" t="n">
        <f aca="false">IF(BC1265&gt;0,J1265/BC1265,-1)</f>
        <v>0.660869565217391</v>
      </c>
      <c r="BH1265" s="51" t="n">
        <f aca="false">IF(AND(OR(CF1265="L1",CF1265="L23",CF1265="LIFT"),BC1265&gt;0),SUMIFS($BC$7:$BC$1843,$CF$7:$CF$1843,CF1265,$BG$7:$BG$1843,"&gt;"&amp;BG1265)+SUMIFS($BC$7:$BC$1843,$CF$7:$CF$1843,CF1265,$BG$7:$BG$1843,BG1265,$BW$7:$BW$1843,"&lt;="&amp;BW1265),"")</f>
        <v>9646.11584249084</v>
      </c>
      <c r="BI1265" s="58" t="n">
        <f aca="false">IF(BH1265="",0,MAX(0,MIN(1,(IF(CF1265="L1",Parameter!$H$5,IF(CF1265="L23",Parameter!$H$6+Parameter!$H$7,Parameter!$H$5+Parameter!$H$6+Parameter!$H$7))-(BH1265-BC1265))/BC1265)))</f>
        <v>1</v>
      </c>
      <c r="BJ1265" s="48" t="str">
        <f aca="false">IF(AI1265&lt;=0,"",IF(CF1265="Aussen","Aussenlager",IF(CF1265="-","Nicht im Lift",IF(AO1265&gt;=1,"Lift",IF(AO1265&lt;=0,"Aussenlager","teilweise")))))</f>
        <v>Lift</v>
      </c>
      <c r="BK1265" s="48" t="str">
        <f aca="false">IF(AS1265&lt;=0,"",IF(CF1265="Aussen","Aussenlager",IF(CF1265="-","Nicht im Lift",IF(AY1265&gt;=1,"Lift",IF(AY1265&lt;=0,"Aussenlager","teilweise")))))</f>
        <v>Lift</v>
      </c>
      <c r="BL1265" s="48" t="str">
        <f aca="false">IF(BC1265&lt;=0,"",IF(CF1265="Aussen","Aussenlager",IF(CF1265="-","Nicht im Lift",IF(BI1265&gt;=1,"Lift",IF(BI1265&lt;=0,"Aussenlager","teilweise")))))</f>
        <v>Lift</v>
      </c>
      <c r="BM1265" s="48" t="str">
        <f aca="false">IF(A1265="","",IF(BV1265=1,"Neu; ","")&amp;IF(AND(BV1265=0,BQ1265&lt;0),"negativer Bestand (Export "&amp;BQ1265&amp;"); ","")&amp;IF(J1265&lt;=0,"Kein Verbrauch; ","")&amp;IF(CQ1265&gt;0,"Lift "&amp;W1265&amp;" lt. Liftbericht (Fach "&amp;X1265&amp;" Stk); ",IF(CA1265=1,"Gebinde geschätzt ("&amp;T1265&amp;"); ",IF(BZ1265=1,"Lose – Tablare geschätzt; ","")))&amp;IF(H1265&gt;AV1265,"Überbestand "&amp;ROUND(H1265-AV1265,0)&amp;" Stk / CHF "&amp;ROUND((H1265-AV1265)*G1265,0)&amp;"; ","")&amp;IF(AND(CH1265=1,CI1265&lt;CJ1265),"MAX &lt; MB+LG; ","")&amp;IF(AND(CP1265&gt;0,CO1265*10&gt;CP1265),"zu hoch für Tablar; ","")&amp;IF(AND(BV1265=0,OR(CH1265=1,AA1265&lt;&gt;"",U1265&lt;&gt;"",V1265&lt;&gt;"",AB1265&lt;&gt;"")),"manuell übersteuert; ","")&amp;IF(AND(BZ1265=0,R1265=0),"Gebinde unbekannt / Stellmass fehlt; ","")&amp;IF(AND(BZ1265=0,N(V1265)&lt;=0,N(Q1265)&lt;=0),"Menge pro Gebinde fehlt (Ist = 1 Gebinde); ","")&amp;BU1265)</f>
        <v>negativer Bestand (Export -30); Überbestand 89 Stk / CHF 2554; Überbestand</v>
      </c>
      <c r="BN1265" s="48"/>
      <c r="BO1265" s="48"/>
      <c r="BP1265" s="55"/>
      <c r="BQ1265" s="50" t="n">
        <v>-30</v>
      </c>
      <c r="BR1265" s="50" t="n">
        <v>140</v>
      </c>
      <c r="BS1265" s="49" t="n">
        <v>-861</v>
      </c>
      <c r="BT1265" s="50" t="n">
        <v>19</v>
      </c>
      <c r="BU1265" s="48" t="s">
        <v>401</v>
      </c>
      <c r="BV1265" s="53" t="n">
        <v>0</v>
      </c>
      <c r="BW1265" s="53" t="n">
        <v>1265</v>
      </c>
      <c r="BX1265" s="48" t="str">
        <f aca="false">IF(U1265&lt;&gt;"",UPPER(TRIM(U1265)),IF(CA1265=1,UPPER(VLOOKUP(T1265,Parameter!$I$27:$K$29,2,0)),IF(P1265="","LOSE",P1265)))</f>
        <v>S63</v>
      </c>
      <c r="BY1265" s="50" t="n">
        <f aca="false">IF(BX1265="LOSE",1,IF(N(V1265)&gt;0,V1265,IF(CA1265=1,MAX(1,N(VLOOKUP(T1265,Parameter!$I$27:$K$29,3,0)),H1265,N(N1265)),IF(N(Q1265)&gt;0,Q1265,MAX(1,H1265)))))</f>
        <v>183</v>
      </c>
      <c r="BZ1265" s="53" t="n">
        <f aca="false">IF(BX1265="LOSE",1,0)</f>
        <v>0</v>
      </c>
      <c r="CA1265" s="53" t="n">
        <f aca="false">IF(AND(U1265="",OR(P1265="",P1265="LOSE"),T1265&lt;&gt;"",N(S1265)&lt;=0,ISNUMBER(MATCH(T1265,Parameter!$I$27:$I$29,0))),1,0)</f>
        <v>0</v>
      </c>
      <c r="CB1265" s="53" t="n">
        <f aca="false">IF(CQ1265&gt;0,INDEX(Parameter!$H$5:$H$7,W1265)/INDEX(Parameter!$E$5:$E$7,W1265),IF(AND(BZ1265=0,N(IFERROR(VLOOKUP(BX1265,'Gebinde-Kategorie'!$A$5:$N$45,14,0),0))&gt;0),VLOOKUP(BX1265,'Gebinde-Kategorie'!$A$5:$N$45,14,0)*10+Parameter!$M$23,Parameter!$M$24))</f>
        <v>345</v>
      </c>
      <c r="CC1265" s="48" t="str">
        <f aca="false">IF(AND(Parameter!$B$19="Ja",E1265&lt;&gt;"",ISNUMBER(MATCH(E1265,Parameter!$I$35:$I$52,0))),VLOOKUP(E1265,Parameter!$I$35:$J$52,2,0),IFERROR(VLOOKUP(D1265,Parameter!$A$35:$C$64,2,0),"Nein"))</f>
        <v>2+3</v>
      </c>
      <c r="CD1265" s="52" t="n">
        <f aca="false">IF(BZ1265=0,0,IF(N(S1265)&gt;0,S1265,IFERROR(VLOOKUP(D1265,Parameter!$A$35:$C$64,3,0)+0,0)))</f>
        <v>0</v>
      </c>
      <c r="CE1265" s="48" t="n">
        <f aca="false">IF(AA1265&lt;&gt;"",AA1265,Z1265)</f>
        <v>2</v>
      </c>
      <c r="CF1265" s="48" t="str">
        <f aca="false">IF(OR(CE1265=1,CE1265=2,CE1265=3),IF(Parameter!$E$27="Ja","LIFT",IF(CE1265=1,"L1","L23")),IF(CE1265="Aussen","Aussen","-"))</f>
        <v>LIFT</v>
      </c>
      <c r="CG1265" s="59" t="n">
        <f aca="false">IF(N(AB1265)&gt;0,AB1265,0)</f>
        <v>0</v>
      </c>
      <c r="CH1265" s="53" t="n">
        <f aca="false">IF(ISNUMBER(AE1265),1,0)</f>
        <v>0</v>
      </c>
      <c r="CI1265" s="50" t="n">
        <f aca="false">N(AE1265)</f>
        <v>0</v>
      </c>
      <c r="CJ1265" s="50" t="n">
        <f aca="false">N(M1265)+N(N1265)</f>
        <v>21</v>
      </c>
      <c r="CK1265" s="50" t="n">
        <f aca="false">N(M1265)</f>
        <v>1</v>
      </c>
      <c r="CL1265" s="50" t="n">
        <f aca="false">N(N1265)</f>
        <v>20</v>
      </c>
      <c r="CM1265" s="50" t="n">
        <f aca="false">ROUNDUP(H1265/BY1265,0)</f>
        <v>1</v>
      </c>
      <c r="CN1265" s="50" t="n">
        <f aca="false">ROUNDUP(CI1265/BY1265,0)</f>
        <v>0</v>
      </c>
      <c r="CO1265" s="53" t="n">
        <f aca="false">IF(BZ1265=1,0,IFERROR(VLOOKUP(BX1265,'Gebinde-Kategorie'!$A$5:$N$45,5,0)+0,0))</f>
        <v>31</v>
      </c>
      <c r="CP1265" s="53" t="n">
        <f aca="false">IFERROR(IF(OR(CE1265=1,CE1265=2,CE1265=3),N(INDEX(Parameter!$I$5:$I$7,CE1265)),0),0)</f>
        <v>0</v>
      </c>
      <c r="CQ1265" s="52" t="n">
        <f aca="false">IF(AND(Parameter!$B$21="Ja",ISNUMBER(W1265),N(X1265)&gt;0),IFERROR(N(INDEX(Parameter!$L$5:$L$7,W1265))*INDEX(Parameter!$E$5:$E$7,W1265)*X1265/SUMIFS($X$7:$X$1843,$W$7:$W$1843,W1265),0),0)</f>
        <v>0</v>
      </c>
    </row>
    <row r="1266" customFormat="false" ht="15" hidden="false" customHeight="false" outlineLevel="0" collapsed="false">
      <c r="A1266" s="48" t="s">
        <v>2270</v>
      </c>
      <c r="B1266" s="48" t="s">
        <v>2271</v>
      </c>
      <c r="C1266" s="48" t="s">
        <v>173</v>
      </c>
      <c r="D1266" s="48" t="s">
        <v>193</v>
      </c>
      <c r="E1266" s="48"/>
      <c r="F1266" s="48" t="s">
        <v>227</v>
      </c>
      <c r="G1266" s="49" t="n">
        <v>2.98</v>
      </c>
      <c r="H1266" s="50" t="n">
        <f aca="false">MAX(0,IF(AND(Parameter!$B$21="Ja",ISNUMBER(Y1266)),Y1266,IF(Parameter!$B$20="Jahresanfang 2025 + Export",BR1266+BQ1266,BQ1266)))</f>
        <v>98</v>
      </c>
      <c r="I1266" s="50" t="n">
        <f aca="false">H1266*G1266</f>
        <v>292.04</v>
      </c>
      <c r="J1266" s="50" t="n">
        <f aca="false">BT1266*Parameter!$B$18</f>
        <v>370</v>
      </c>
      <c r="K1266" s="51" t="n">
        <v>236</v>
      </c>
      <c r="L1266" s="52" t="n">
        <v>1.56779661016949</v>
      </c>
      <c r="M1266" s="50" t="n">
        <v>28</v>
      </c>
      <c r="N1266" s="50" t="n">
        <v>370</v>
      </c>
      <c r="O1266" s="53" t="n">
        <v>28</v>
      </c>
      <c r="P1266" s="48" t="s">
        <v>311</v>
      </c>
      <c r="Q1266" s="50" t="n">
        <v>185</v>
      </c>
      <c r="R1266" s="53" t="n">
        <f aca="false">IF(BZ1266=1,0,IFERROR(VLOOKUP(BX1266,'Gebinde-Kategorie'!$A$5:$N$45,13,0)+0,0))</f>
        <v>26</v>
      </c>
      <c r="S1266" s="54"/>
      <c r="T1266" s="55"/>
      <c r="U1266" s="55"/>
      <c r="V1266" s="55"/>
      <c r="W1266" s="48"/>
      <c r="X1266" s="50"/>
      <c r="Y1266" s="50"/>
      <c r="Z1266" s="48" t="n">
        <f aca="false">IF(A1266="","",IF(AND(Parameter!$B$21="Ja",ISNUMBER(W1266)),W1266,IF(CC1266="2+3",IF(ISNUMBER(SEARCH("grosser Artikel",BU1266)),2,IFERROR(VLOOKUP(BX1266,Parameter!$F$35:$G$64,2,0),2)),IF(OR(CC1266="Nein",CC1266=""),"-",CC1266))))</f>
        <v>3</v>
      </c>
      <c r="AA1266" s="55"/>
      <c r="AB1266" s="56"/>
      <c r="AC1266" s="50" t="n">
        <f aca="false">AV1266</f>
        <v>398</v>
      </c>
      <c r="AD1266" s="50" t="n">
        <f aca="false">MAX(AV1266,H1266)</f>
        <v>398</v>
      </c>
      <c r="AE1266" s="57"/>
      <c r="AF1266" s="50" t="n">
        <f aca="false">IF(LEFT(Cockpit!$C$5,1)="A",H1266,IF(Parameter!$E$30="MAX-Bestand",IF(CH1266=1,CI1266,IF(LEFT(Cockpit!$C$5,1)="B",AL1266,MAX(AL1266,H1266))),ROUNDUP(AJ1266,0)))</f>
        <v>98</v>
      </c>
      <c r="AG1266" s="50" t="n">
        <f aca="false">IF(BZ1266=1,0,ROUNDUP(AF1266/BY1266,0))</f>
        <v>1</v>
      </c>
      <c r="AH1266" s="52" t="n">
        <f aca="false">IF(CQ1266&gt;0,CQ1266*MAX(1,AF1266/X1266),IF(BZ1266=1,IF(AF1266&lt;=0,0,CD1266*MAX(1,IF(H1266&gt;0,AF1266/H1266,1))),IF(R1266&gt;0,AG1266/R1266,0))/MAX(0.1,N(Parameter!$M$21)))</f>
        <v>0.0384615384615385</v>
      </c>
      <c r="AI1266" s="50" t="n">
        <f aca="false">AH1266*CB1266</f>
        <v>5.96153846153846</v>
      </c>
      <c r="AJ1266" s="51" t="n">
        <f aca="false">IF(LEFT(Cockpit!$C$5,1)="A",H1266,IF(CH1266=1,(CK1266+CI1266)/2,IF(LEFT(Cockpit!$C$5,1)="B",(CK1266+AL1266)/2,MAX((CK1266+AL1266)/2,H1266))))</f>
        <v>98</v>
      </c>
      <c r="AK1266" s="50" t="n">
        <f aca="false">AJ1266*G1266</f>
        <v>292.04</v>
      </c>
      <c r="AL1266" s="50" t="n">
        <f aca="false">ROUNDUP(CK1266+MAX(CL1266,2*(J1266/IF(CG1266&gt;0,CG1266,MAX(0.1,N(Cockpit!$C$6)))-CK1266)),0)</f>
        <v>398</v>
      </c>
      <c r="AM1266" s="51" t="n">
        <f aca="false">IF(AI1266&gt;0,J1266/AI1266,-1)</f>
        <v>62.0645161290323</v>
      </c>
      <c r="AN1266" s="51" t="n">
        <f aca="false">IF(AND(OR(CF1266="L1",CF1266="L23",CF1266="LIFT"),AI1266&gt;0),SUMIFS($AI$7:$AI$1843,$CF$7:$CF$1843,CF1266,$AM$7:$AM$1843,"&gt;"&amp;AM1266)+SUMIFS($AI$7:$AI$1843,$CF$7:$CF$1843,CF1266,$AM$7:$AM$1843,AM1266,$BW$7:$BW$1843,"&lt;="&amp;BW1266),"")</f>
        <v>967.54532967033</v>
      </c>
      <c r="AO1266" s="58" t="n">
        <f aca="false">IF(AN1266="",0,MAX(0,MIN(1,(IF(CF1266="L1",Parameter!$H$5,IF(CF1266="L23",Parameter!$H$6+Parameter!$H$7,Parameter!$H$5+Parameter!$H$6+Parameter!$H$7))-(AN1266-AI1266))/AI1266)))</f>
        <v>1</v>
      </c>
      <c r="AP1266" s="50" t="n">
        <f aca="false">IF(LEFT(Cockpit!$I$5,1)="A",H1266,IF(Parameter!$E$30="MAX-Bestand",IF(CH1266=1,CI1266,IF(LEFT(Cockpit!$I$5,1)="B",AV1266,MAX(AV1266,H1266))),ROUNDUP(AT1266,0)))</f>
        <v>213</v>
      </c>
      <c r="AQ1266" s="50" t="n">
        <f aca="false">IF(BZ1266=1,0,ROUNDUP(AP1266/BY1266,0))</f>
        <v>2</v>
      </c>
      <c r="AR1266" s="52" t="n">
        <f aca="false">IF(CQ1266&gt;0,CQ1266*MAX(1,AP1266/X1266),IF(BZ1266=1,IF(AP1266&lt;=0,0,CD1266*MAX(1,IF(H1266&gt;0,AP1266/H1266,1))),IF(R1266&gt;0,AQ1266/R1266,0))/MAX(0.1,N(Parameter!$M$21)))</f>
        <v>0.0769230769230769</v>
      </c>
      <c r="AS1266" s="50" t="n">
        <f aca="false">AR1266*CB1266</f>
        <v>11.9230769230769</v>
      </c>
      <c r="AT1266" s="51" t="n">
        <f aca="false">IF(LEFT(Cockpit!$I$5,1)="A",H1266,IF(CH1266=1,(CK1266+CI1266)/2,IF(LEFT(Cockpit!$I$5,1)="B",(CK1266+AV1266)/2,MAX((CK1266+AV1266)/2,H1266))))</f>
        <v>213</v>
      </c>
      <c r="AU1266" s="50" t="n">
        <f aca="false">AT1266*G1266</f>
        <v>634.74</v>
      </c>
      <c r="AV1266" s="50" t="n">
        <f aca="false">ROUNDUP(CK1266+MAX(CL1266,2*(J1266/IF(CG1266&gt;0,CG1266,MAX(0.1,N(Cockpit!$I$6)))-CK1266)),0)</f>
        <v>398</v>
      </c>
      <c r="AW1266" s="51" t="n">
        <f aca="false">IF(AS1266&gt;0,J1266/AS1266,-1)</f>
        <v>31.0322580645161</v>
      </c>
      <c r="AX1266" s="51" t="n">
        <f aca="false">IF(AND(OR(CF1266="L1",CF1266="L23",CF1266="LIFT"),AS1266&gt;0),SUMIFS($AS$7:$AS$1843,$CF$7:$CF$1843,CF1266,$AW$7:$AW$1843,"&gt;"&amp;AW1266)+SUMIFS($AS$7:$AS$1843,$CF$7:$CF$1843,CF1266,$AW$7:$AW$1843,AW1266,$BW$7:$BW$1843,"&lt;="&amp;BW1266),"")</f>
        <v>1812.00228937729</v>
      </c>
      <c r="AY1266" s="58" t="n">
        <f aca="false">IF(AX1266="",0,MAX(0,MIN(1,(IF(CF1266="L1",Parameter!$H$5,IF(CF1266="L23",Parameter!$H$6+Parameter!$H$7,Parameter!$H$5+Parameter!$H$6+Parameter!$H$7))-(AX1266-AS1266))/AS1266)))</f>
        <v>1</v>
      </c>
      <c r="AZ1266" s="50" t="n">
        <f aca="false">IF(LEFT(Cockpit!$O$5,1)="A",H1266,IF(Parameter!$E$30="MAX-Bestand",IF(CH1266=1,CI1266,IF(LEFT(Cockpit!$O$5,1)="B",BF1266,MAX(BF1266,H1266))),ROUNDUP(BD1266,0)))</f>
        <v>213</v>
      </c>
      <c r="BA1266" s="50" t="n">
        <f aca="false">IF(BZ1266=1,0,ROUNDUP(AZ1266/BY1266,0))</f>
        <v>2</v>
      </c>
      <c r="BB1266" s="52" t="n">
        <f aca="false">IF(CQ1266&gt;0,CQ1266*MAX(1,AZ1266/X1266),IF(BZ1266=1,IF(AZ1266&lt;=0,0,CD1266*MAX(1,IF(H1266&gt;0,AZ1266/H1266,1))),IF(R1266&gt;0,BA1266/R1266,0))/MAX(0.1,N(Parameter!$M$21)))</f>
        <v>0.0769230769230769</v>
      </c>
      <c r="BC1266" s="50" t="n">
        <f aca="false">BB1266*CB1266</f>
        <v>11.9230769230769</v>
      </c>
      <c r="BD1266" s="51" t="n">
        <f aca="false">IF(LEFT(Cockpit!$O$5,1)="A",H1266,IF(CH1266=1,(CK1266+CI1266)/2,IF(LEFT(Cockpit!$O$5,1)="B",(CK1266+BF1266)/2,MAX((CK1266+BF1266)/2,H1266))))</f>
        <v>213</v>
      </c>
      <c r="BE1266" s="50" t="n">
        <f aca="false">BD1266*G1266</f>
        <v>634.74</v>
      </c>
      <c r="BF1266" s="50" t="n">
        <f aca="false">ROUNDUP(CK1266+MAX(CL1266,2*(J1266/IF(CG1266&gt;0,CG1266,MAX(0.1,N(Cockpit!$O$6)))-CK1266)),0)</f>
        <v>398</v>
      </c>
      <c r="BG1266" s="51" t="n">
        <f aca="false">IF(BC1266&gt;0,J1266/BC1266,-1)</f>
        <v>31.0322580645161</v>
      </c>
      <c r="BH1266" s="51" t="n">
        <f aca="false">IF(AND(OR(CF1266="L1",CF1266="L23",CF1266="LIFT"),BC1266&gt;0),SUMIFS($BC$7:$BC$1843,$CF$7:$CF$1843,CF1266,$BG$7:$BG$1843,"&gt;"&amp;BG1266)+SUMIFS($BC$7:$BC$1843,$CF$7:$CF$1843,CF1266,$BG$7:$BG$1843,BG1266,$BW$7:$BW$1843,"&lt;="&amp;BW1266),"")</f>
        <v>1749.46382783883</v>
      </c>
      <c r="BI1266" s="58" t="n">
        <f aca="false">IF(BH1266="",0,MAX(0,MIN(1,(IF(CF1266="L1",Parameter!$H$5,IF(CF1266="L23",Parameter!$H$6+Parameter!$H$7,Parameter!$H$5+Parameter!$H$6+Parameter!$H$7))-(BH1266-BC1266))/BC1266)))</f>
        <v>1</v>
      </c>
      <c r="BJ1266" s="48" t="str">
        <f aca="false">IF(AI1266&lt;=0,"",IF(CF1266="Aussen","Aussenlager",IF(CF1266="-","Nicht im Lift",IF(AO1266&gt;=1,"Lift",IF(AO1266&lt;=0,"Aussenlager","teilweise")))))</f>
        <v>Lift</v>
      </c>
      <c r="BK1266" s="48" t="str">
        <f aca="false">IF(AS1266&lt;=0,"",IF(CF1266="Aussen","Aussenlager",IF(CF1266="-","Nicht im Lift",IF(AY1266&gt;=1,"Lift",IF(AY1266&lt;=0,"Aussenlager","teilweise")))))</f>
        <v>Lift</v>
      </c>
      <c r="BL1266" s="48" t="str">
        <f aca="false">IF(BC1266&lt;=0,"",IF(CF1266="Aussen","Aussenlager",IF(CF1266="-","Nicht im Lift",IF(BI1266&gt;=1,"Lift",IF(BI1266&lt;=0,"Aussenlager","teilweise")))))</f>
        <v>Lift</v>
      </c>
      <c r="BM1266" s="48" t="str">
        <f aca="false">IF(A1266="","",IF(BV1266=1,"Neu; ","")&amp;IF(AND(BV1266=0,BQ1266&lt;0),"negativer Bestand (Export "&amp;BQ1266&amp;"); ","")&amp;IF(J1266&lt;=0,"Kein Verbrauch; ","")&amp;IF(CQ1266&gt;0,"Lift "&amp;W1266&amp;" lt. Liftbericht (Fach "&amp;X1266&amp;" Stk); ",IF(CA1266=1,"Gebinde geschätzt ("&amp;T1266&amp;"); ",IF(BZ1266=1,"Lose – Tablare geschätzt; ","")))&amp;IF(H1266&gt;AV1266,"Überbestand "&amp;ROUND(H1266-AV1266,0)&amp;" Stk / CHF "&amp;ROUND((H1266-AV1266)*G1266,0)&amp;"; ","")&amp;IF(AND(CH1266=1,CI1266&lt;CJ1266),"MAX &lt; MB+LG; ","")&amp;IF(AND(CP1266&gt;0,CO1266*10&gt;CP1266),"zu hoch für Tablar; ","")&amp;IF(AND(BV1266=0,OR(CH1266=1,AA1266&lt;&gt;"",U1266&lt;&gt;"",V1266&lt;&gt;"",AB1266&lt;&gt;"")),"manuell übersteuert; ","")&amp;IF(AND(BZ1266=0,R1266=0),"Gebinde unbekannt / Stellmass fehlt; ","")&amp;IF(AND(BZ1266=0,N(V1266)&lt;=0,N(Q1266)&lt;=0),"Menge pro Gebinde fehlt (Ist = 1 Gebinde); ","")&amp;BU1266)</f>
        <v>negativer Bestand (Export -296); </v>
      </c>
      <c r="BN1266" s="48"/>
      <c r="BO1266" s="48"/>
      <c r="BP1266" s="55"/>
      <c r="BQ1266" s="50" t="n">
        <v>-296</v>
      </c>
      <c r="BR1266" s="50" t="n">
        <v>394</v>
      </c>
      <c r="BS1266" s="49" t="n">
        <v>-874.2</v>
      </c>
      <c r="BT1266" s="50" t="n">
        <v>370</v>
      </c>
      <c r="BU1266" s="48"/>
      <c r="BV1266" s="53" t="n">
        <v>0</v>
      </c>
      <c r="BW1266" s="53" t="n">
        <v>1266</v>
      </c>
      <c r="BX1266" s="48" t="str">
        <f aca="false">IF(U1266&lt;&gt;"",UPPER(TRIM(U1266)),IF(CA1266=1,UPPER(VLOOKUP(T1266,Parameter!$I$27:$K$29,2,0)),IF(P1266="","LOSE",P1266)))</f>
        <v>S51</v>
      </c>
      <c r="BY1266" s="50" t="n">
        <f aca="false">IF(BX1266="LOSE",1,IF(N(V1266)&gt;0,V1266,IF(CA1266=1,MAX(1,N(VLOOKUP(T1266,Parameter!$I$27:$K$29,3,0)),H1266,N(N1266)),IF(N(Q1266)&gt;0,Q1266,MAX(1,H1266)))))</f>
        <v>185</v>
      </c>
      <c r="BZ1266" s="53" t="n">
        <f aca="false">IF(BX1266="LOSE",1,0)</f>
        <v>0</v>
      </c>
      <c r="CA1266" s="53" t="n">
        <f aca="false">IF(AND(U1266="",OR(P1266="",P1266="LOSE"),T1266&lt;&gt;"",N(S1266)&lt;=0,ISNUMBER(MATCH(T1266,Parameter!$I$27:$I$29,0))),1,0)</f>
        <v>0</v>
      </c>
      <c r="CB1266" s="53" t="n">
        <f aca="false">IF(CQ1266&gt;0,INDEX(Parameter!$H$5:$H$7,W1266)/INDEX(Parameter!$E$5:$E$7,W1266),IF(AND(BZ1266=0,N(IFERROR(VLOOKUP(BX1266,'Gebinde-Kategorie'!$A$5:$N$45,14,0),0))&gt;0),VLOOKUP(BX1266,'Gebinde-Kategorie'!$A$5:$N$45,14,0)*10+Parameter!$M$23,Parameter!$M$24))</f>
        <v>155</v>
      </c>
      <c r="CC1266" s="48" t="str">
        <f aca="false">IF(AND(Parameter!$B$19="Ja",E1266&lt;&gt;"",ISNUMBER(MATCH(E1266,Parameter!$I$35:$I$52,0))),VLOOKUP(E1266,Parameter!$I$35:$J$52,2,0),IFERROR(VLOOKUP(D1266,Parameter!$A$35:$C$64,2,0),"Nein"))</f>
        <v>2+3</v>
      </c>
      <c r="CD1266" s="52" t="n">
        <f aca="false">IF(BZ1266=0,0,IF(N(S1266)&gt;0,S1266,IFERROR(VLOOKUP(D1266,Parameter!$A$35:$C$64,3,0)+0,0)))</f>
        <v>0</v>
      </c>
      <c r="CE1266" s="48" t="n">
        <f aca="false">IF(AA1266&lt;&gt;"",AA1266,Z1266)</f>
        <v>3</v>
      </c>
      <c r="CF1266" s="48" t="str">
        <f aca="false">IF(OR(CE1266=1,CE1266=2,CE1266=3),IF(Parameter!$E$27="Ja","LIFT",IF(CE1266=1,"L1","L23")),IF(CE1266="Aussen","Aussen","-"))</f>
        <v>LIFT</v>
      </c>
      <c r="CG1266" s="59" t="n">
        <f aca="false">IF(N(AB1266)&gt;0,AB1266,0)</f>
        <v>0</v>
      </c>
      <c r="CH1266" s="53" t="n">
        <f aca="false">IF(ISNUMBER(AE1266),1,0)</f>
        <v>0</v>
      </c>
      <c r="CI1266" s="50" t="n">
        <f aca="false">N(AE1266)</f>
        <v>0</v>
      </c>
      <c r="CJ1266" s="50" t="n">
        <f aca="false">N(M1266)+N(N1266)</f>
        <v>398</v>
      </c>
      <c r="CK1266" s="50" t="n">
        <f aca="false">N(M1266)</f>
        <v>28</v>
      </c>
      <c r="CL1266" s="50" t="n">
        <f aca="false">N(N1266)</f>
        <v>370</v>
      </c>
      <c r="CM1266" s="50" t="n">
        <f aca="false">ROUNDUP(H1266/BY1266,0)</f>
        <v>1</v>
      </c>
      <c r="CN1266" s="50" t="n">
        <f aca="false">ROUNDUP(CI1266/BY1266,0)</f>
        <v>0</v>
      </c>
      <c r="CO1266" s="53" t="n">
        <f aca="false">IF(BZ1266=1,0,IFERROR(VLOOKUP(BX1266,'Gebinde-Kategorie'!$A$5:$N$45,5,0)+0,0))</f>
        <v>11</v>
      </c>
      <c r="CP1266" s="53" t="n">
        <f aca="false">IFERROR(IF(OR(CE1266=1,CE1266=2,CE1266=3),N(INDEX(Parameter!$I$5:$I$7,CE1266)),0),0)</f>
        <v>0</v>
      </c>
      <c r="CQ1266" s="52" t="n">
        <f aca="false">IF(AND(Parameter!$B$21="Ja",ISNUMBER(W1266),N(X1266)&gt;0),IFERROR(N(INDEX(Parameter!$L$5:$L$7,W1266))*INDEX(Parameter!$E$5:$E$7,W1266)*X1266/SUMIFS($X$7:$X$1843,$W$7:$W$1843,W1266),0),0)</f>
        <v>0</v>
      </c>
    </row>
    <row r="1267" customFormat="false" ht="15" hidden="false" customHeight="false" outlineLevel="0" collapsed="false">
      <c r="A1267" s="48" t="s">
        <v>2272</v>
      </c>
      <c r="B1267" s="48" t="s">
        <v>2273</v>
      </c>
      <c r="C1267" s="48" t="s">
        <v>173</v>
      </c>
      <c r="D1267" s="48" t="s">
        <v>362</v>
      </c>
      <c r="E1267" s="48"/>
      <c r="F1267" s="48" t="s">
        <v>227</v>
      </c>
      <c r="G1267" s="49" t="n">
        <v>441.82</v>
      </c>
      <c r="H1267" s="50" t="n">
        <f aca="false">MAX(0,IF(AND(Parameter!$B$21="Ja",ISNUMBER(Y1267)),Y1267,IF(Parameter!$B$20="Jahresanfang 2025 + Export",BR1267+BQ1267,BQ1267)))</f>
        <v>0</v>
      </c>
      <c r="I1267" s="50" t="n">
        <f aca="false">H1267*G1267</f>
        <v>0</v>
      </c>
      <c r="J1267" s="50" t="n">
        <f aca="false">BT1267*Parameter!$B$18</f>
        <v>0</v>
      </c>
      <c r="K1267" s="51" t="n">
        <v>1</v>
      </c>
      <c r="L1267" s="52" t="n">
        <v>0</v>
      </c>
      <c r="M1267" s="50" t="n">
        <v>0</v>
      </c>
      <c r="N1267" s="50" t="n">
        <v>1</v>
      </c>
      <c r="O1267" s="53" t="n">
        <v>0</v>
      </c>
      <c r="P1267" s="48" t="s">
        <v>177</v>
      </c>
      <c r="Q1267" s="50"/>
      <c r="R1267" s="53" t="n">
        <f aca="false">IF(BZ1267=1,0,IFERROR(VLOOKUP(BX1267,'Gebinde-Kategorie'!$A$5:$N$45,13,0)+0,0))</f>
        <v>0</v>
      </c>
      <c r="S1267" s="54"/>
      <c r="T1267" s="55"/>
      <c r="U1267" s="55"/>
      <c r="V1267" s="55"/>
      <c r="W1267" s="48"/>
      <c r="X1267" s="50"/>
      <c r="Y1267" s="50"/>
      <c r="Z1267" s="48" t="str">
        <f aca="false">IF(A1267="","",IF(AND(Parameter!$B$21="Ja",ISNUMBER(W1267)),W1267,IF(CC1267="2+3",IF(ISNUMBER(SEARCH("grosser Artikel",BU1267)),2,IFERROR(VLOOKUP(BX1267,Parameter!$F$35:$G$64,2,0),2)),IF(OR(CC1267="Nein",CC1267=""),"-",CC1267))))</f>
        <v>-</v>
      </c>
      <c r="AA1267" s="55"/>
      <c r="AB1267" s="56"/>
      <c r="AC1267" s="50" t="n">
        <f aca="false">AV1267</f>
        <v>1</v>
      </c>
      <c r="AD1267" s="50" t="n">
        <f aca="false">MAX(AV1267,H1267)</f>
        <v>1</v>
      </c>
      <c r="AE1267" s="57"/>
      <c r="AF1267" s="50" t="n">
        <f aca="false">IF(LEFT(Cockpit!$C$5,1)="A",H1267,IF(Parameter!$E$30="MAX-Bestand",IF(CH1267=1,CI1267,IF(LEFT(Cockpit!$C$5,1)="B",AL1267,MAX(AL1267,H1267))),ROUNDUP(AJ1267,0)))</f>
        <v>0</v>
      </c>
      <c r="AG1267" s="50" t="n">
        <f aca="false">IF(BZ1267=1,0,ROUNDUP(AF1267/BY1267,0))</f>
        <v>0</v>
      </c>
      <c r="AH1267" s="52" t="n">
        <f aca="false">IF(CQ1267&gt;0,CQ1267*MAX(1,AF1267/X1267),IF(BZ1267=1,IF(AF1267&lt;=0,0,CD1267*MAX(1,IF(H1267&gt;0,AF1267/H1267,1))),IF(R1267&gt;0,AG1267/R1267,0))/MAX(0.1,N(Parameter!$M$21)))</f>
        <v>0</v>
      </c>
      <c r="AI1267" s="50" t="n">
        <f aca="false">AH1267*CB1267</f>
        <v>0</v>
      </c>
      <c r="AJ1267" s="51" t="n">
        <f aca="false">IF(LEFT(Cockpit!$C$5,1)="A",H1267,IF(CH1267=1,(CK1267+CI1267)/2,IF(LEFT(Cockpit!$C$5,1)="B",(CK1267+AL1267)/2,MAX((CK1267+AL1267)/2,H1267))))</f>
        <v>0</v>
      </c>
      <c r="AK1267" s="50" t="n">
        <f aca="false">AJ1267*G1267</f>
        <v>0</v>
      </c>
      <c r="AL1267" s="50" t="n">
        <f aca="false">ROUNDUP(CK1267+MAX(CL1267,2*(J1267/IF(CG1267&gt;0,CG1267,MAX(0.1,N(Cockpit!$C$6)))-CK1267)),0)</f>
        <v>1</v>
      </c>
      <c r="AM1267" s="51" t="n">
        <f aca="false">IF(AI1267&gt;0,J1267/AI1267,-1)</f>
        <v>-1</v>
      </c>
      <c r="AN1267" s="51" t="str">
        <f aca="false">IF(AND(OR(CF1267="L1",CF1267="L23",CF1267="LIFT"),AI1267&gt;0),SUMIFS($AI$7:$AI$1843,$CF$7:$CF$1843,CF1267,$AM$7:$AM$1843,"&gt;"&amp;AM1267)+SUMIFS($AI$7:$AI$1843,$CF$7:$CF$1843,CF1267,$AM$7:$AM$1843,AM1267,$BW$7:$BW$1843,"&lt;="&amp;BW1267),"")</f>
        <v/>
      </c>
      <c r="AO1267" s="58" t="n">
        <f aca="false">IF(AN1267="",0,MAX(0,MIN(1,(IF(CF1267="L1",Parameter!$H$5,IF(CF1267="L23",Parameter!$H$6+Parameter!$H$7,Parameter!$H$5+Parameter!$H$6+Parameter!$H$7))-(AN1267-AI1267))/AI1267)))</f>
        <v>0</v>
      </c>
      <c r="AP1267" s="50" t="n">
        <f aca="false">IF(LEFT(Cockpit!$I$5,1)="A",H1267,IF(Parameter!$E$30="MAX-Bestand",IF(CH1267=1,CI1267,IF(LEFT(Cockpit!$I$5,1)="B",AV1267,MAX(AV1267,H1267))),ROUNDUP(AT1267,0)))</f>
        <v>1</v>
      </c>
      <c r="AQ1267" s="50" t="n">
        <f aca="false">IF(BZ1267=1,0,ROUNDUP(AP1267/BY1267,0))</f>
        <v>0</v>
      </c>
      <c r="AR1267" s="52" t="n">
        <f aca="false">IF(CQ1267&gt;0,CQ1267*MAX(1,AP1267/X1267),IF(BZ1267=1,IF(AP1267&lt;=0,0,CD1267*MAX(1,IF(H1267&gt;0,AP1267/H1267,1))),IF(R1267&gt;0,AQ1267/R1267,0))/MAX(0.1,N(Parameter!$M$21)))</f>
        <v>0.15</v>
      </c>
      <c r="AS1267" s="50" t="n">
        <f aca="false">AR1267*CB1267</f>
        <v>35.25</v>
      </c>
      <c r="AT1267" s="51" t="n">
        <f aca="false">IF(LEFT(Cockpit!$I$5,1)="A",H1267,IF(CH1267=1,(CK1267+CI1267)/2,IF(LEFT(Cockpit!$I$5,1)="B",(CK1267+AV1267)/2,MAX((CK1267+AV1267)/2,H1267))))</f>
        <v>0.5</v>
      </c>
      <c r="AU1267" s="50" t="n">
        <f aca="false">AT1267*G1267</f>
        <v>220.91</v>
      </c>
      <c r="AV1267" s="50" t="n">
        <f aca="false">ROUNDUP(CK1267+MAX(CL1267,2*(J1267/IF(CG1267&gt;0,CG1267,MAX(0.1,N(Cockpit!$I$6)))-CK1267)),0)</f>
        <v>1</v>
      </c>
      <c r="AW1267" s="51" t="n">
        <f aca="false">IF(AS1267&gt;0,J1267/AS1267,-1)</f>
        <v>0</v>
      </c>
      <c r="AX1267" s="51" t="str">
        <f aca="false">IF(AND(OR(CF1267="L1",CF1267="L23",CF1267="LIFT"),AS1267&gt;0),SUMIFS($AS$7:$AS$1843,$CF$7:$CF$1843,CF1267,$AW$7:$AW$1843,"&gt;"&amp;AW1267)+SUMIFS($AS$7:$AS$1843,$CF$7:$CF$1843,CF1267,$AW$7:$AW$1843,AW1267,$BW$7:$BW$1843,"&lt;="&amp;BW1267),"")</f>
        <v/>
      </c>
      <c r="AY1267" s="58" t="n">
        <f aca="false">IF(AX1267="",0,MAX(0,MIN(1,(IF(CF1267="L1",Parameter!$H$5,IF(CF1267="L23",Parameter!$H$6+Parameter!$H$7,Parameter!$H$5+Parameter!$H$6+Parameter!$H$7))-(AX1267-AS1267))/AS1267)))</f>
        <v>0</v>
      </c>
      <c r="AZ1267" s="50" t="n">
        <f aca="false">IF(LEFT(Cockpit!$O$5,1)="A",H1267,IF(Parameter!$E$30="MAX-Bestand",IF(CH1267=1,CI1267,IF(LEFT(Cockpit!$O$5,1)="B",BF1267,MAX(BF1267,H1267))),ROUNDUP(BD1267,0)))</f>
        <v>1</v>
      </c>
      <c r="BA1267" s="50" t="n">
        <f aca="false">IF(BZ1267=1,0,ROUNDUP(AZ1267/BY1267,0))</f>
        <v>0</v>
      </c>
      <c r="BB1267" s="52" t="n">
        <f aca="false">IF(CQ1267&gt;0,CQ1267*MAX(1,AZ1267/X1267),IF(BZ1267=1,IF(AZ1267&lt;=0,0,CD1267*MAX(1,IF(H1267&gt;0,AZ1267/H1267,1))),IF(R1267&gt;0,BA1267/R1267,0))/MAX(0.1,N(Parameter!$M$21)))</f>
        <v>0.15</v>
      </c>
      <c r="BC1267" s="50" t="n">
        <f aca="false">BB1267*CB1267</f>
        <v>35.25</v>
      </c>
      <c r="BD1267" s="51" t="n">
        <f aca="false">IF(LEFT(Cockpit!$O$5,1)="A",H1267,IF(CH1267=1,(CK1267+CI1267)/2,IF(LEFT(Cockpit!$O$5,1)="B",(CK1267+BF1267)/2,MAX((CK1267+BF1267)/2,H1267))))</f>
        <v>0.5</v>
      </c>
      <c r="BE1267" s="50" t="n">
        <f aca="false">BD1267*G1267</f>
        <v>220.91</v>
      </c>
      <c r="BF1267" s="50" t="n">
        <f aca="false">ROUNDUP(CK1267+MAX(CL1267,2*(J1267/IF(CG1267&gt;0,CG1267,MAX(0.1,N(Cockpit!$O$6)))-CK1267)),0)</f>
        <v>1</v>
      </c>
      <c r="BG1267" s="51" t="n">
        <f aca="false">IF(BC1267&gt;0,J1267/BC1267,-1)</f>
        <v>0</v>
      </c>
      <c r="BH1267" s="51" t="str">
        <f aca="false">IF(AND(OR(CF1267="L1",CF1267="L23",CF1267="LIFT"),BC1267&gt;0),SUMIFS($BC$7:$BC$1843,$CF$7:$CF$1843,CF1267,$BG$7:$BG$1843,"&gt;"&amp;BG1267)+SUMIFS($BC$7:$BC$1843,$CF$7:$CF$1843,CF1267,$BG$7:$BG$1843,BG1267,$BW$7:$BW$1843,"&lt;="&amp;BW1267),"")</f>
        <v/>
      </c>
      <c r="BI1267" s="58" t="n">
        <f aca="false">IF(BH1267="",0,MAX(0,MIN(1,(IF(CF1267="L1",Parameter!$H$5,IF(CF1267="L23",Parameter!$H$6+Parameter!$H$7,Parameter!$H$5+Parameter!$H$6+Parameter!$H$7))-(BH1267-BC1267))/BC1267)))</f>
        <v>0</v>
      </c>
      <c r="BJ1267" s="48" t="str">
        <f aca="false">IF(AI1267&lt;=0,"",IF(CF1267="Aussen","Aussenlager",IF(CF1267="-","Nicht im Lift",IF(AO1267&gt;=1,"Lift",IF(AO1267&lt;=0,"Aussenlager","teilweise")))))</f>
        <v/>
      </c>
      <c r="BK1267" s="48" t="str">
        <f aca="false">IF(AS1267&lt;=0,"",IF(CF1267="Aussen","Aussenlager",IF(CF1267="-","Nicht im Lift",IF(AY1267&gt;=1,"Lift",IF(AY1267&lt;=0,"Aussenlager","teilweise")))))</f>
        <v>Nicht im Lift</v>
      </c>
      <c r="BL1267" s="48" t="str">
        <f aca="false">IF(BC1267&lt;=0,"",IF(CF1267="Aussen","Aussenlager",IF(CF1267="-","Nicht im Lift",IF(BI1267&gt;=1,"Lift",IF(BI1267&lt;=0,"Aussenlager","teilweise")))))</f>
        <v>Nicht im Lift</v>
      </c>
      <c r="BM1267" s="48" t="str">
        <f aca="false">IF(A1267="","",IF(BV1267=1,"Neu; ","")&amp;IF(AND(BV1267=0,BQ1267&lt;0),"negativer Bestand (Export "&amp;BQ1267&amp;"); ","")&amp;IF(J1267&lt;=0,"Kein Verbrauch; ","")&amp;IF(CQ1267&gt;0,"Lift "&amp;W1267&amp;" lt. Liftbericht (Fach "&amp;X1267&amp;" Stk); ",IF(CA1267=1,"Gebinde geschätzt ("&amp;T1267&amp;"); ",IF(BZ1267=1,"Lose – Tablare geschätzt; ","")))&amp;IF(H1267&gt;AV1267,"Überbestand "&amp;ROUND(H1267-AV1267,0)&amp;" Stk / CHF "&amp;ROUND((H1267-AV1267)*G1267,0)&amp;"; ","")&amp;IF(AND(CH1267=1,CI1267&lt;CJ1267),"MAX &lt; MB+LG; ","")&amp;IF(AND(CP1267&gt;0,CO1267*10&gt;CP1267),"zu hoch für Tablar; ","")&amp;IF(AND(BV1267=0,OR(CH1267=1,AA1267&lt;&gt;"",U1267&lt;&gt;"",V1267&lt;&gt;"",AB1267&lt;&gt;"")),"manuell übersteuert; ","")&amp;IF(AND(BZ1267=0,R1267=0),"Gebinde unbekannt / Stellmass fehlt; ","")&amp;IF(AND(BZ1267=0,N(V1267)&lt;=0,N(Q1267)&lt;=0),"Menge pro Gebinde fehlt (Ist = 1 Gebinde); ","")&amp;BU1267)</f>
        <v>negativer Bestand (Export -2); Kein Verbrauch; Lose – Tablare geschätzt; </v>
      </c>
      <c r="BN1267" s="48"/>
      <c r="BO1267" s="48"/>
      <c r="BP1267" s="55"/>
      <c r="BQ1267" s="50" t="n">
        <v>-2</v>
      </c>
      <c r="BR1267" s="50" t="n">
        <v>2</v>
      </c>
      <c r="BS1267" s="49" t="n">
        <v>-883.64</v>
      </c>
      <c r="BT1267" s="50" t="n">
        <v>0</v>
      </c>
      <c r="BU1267" s="48"/>
      <c r="BV1267" s="53" t="n">
        <v>0</v>
      </c>
      <c r="BW1267" s="53" t="n">
        <v>1267</v>
      </c>
      <c r="BX1267" s="48" t="str">
        <f aca="false">IF(U1267&lt;&gt;"",UPPER(TRIM(U1267)),IF(CA1267=1,UPPER(VLOOKUP(T1267,Parameter!$I$27:$K$29,2,0)),IF(P1267="","LOSE",P1267)))</f>
        <v>LOSE</v>
      </c>
      <c r="BY1267" s="50" t="n">
        <f aca="false">IF(BX1267="LOSE",1,IF(N(V1267)&gt;0,V1267,IF(CA1267=1,MAX(1,N(VLOOKUP(T1267,Parameter!$I$27:$K$29,3,0)),H1267,N(N1267)),IF(N(Q1267)&gt;0,Q1267,MAX(1,H1267)))))</f>
        <v>1</v>
      </c>
      <c r="BZ1267" s="53" t="n">
        <f aca="false">IF(BX1267="LOSE",1,0)</f>
        <v>1</v>
      </c>
      <c r="CA1267" s="53" t="n">
        <f aca="false">IF(AND(U1267="",OR(P1267="",P1267="LOSE"),T1267&lt;&gt;"",N(S1267)&lt;=0,ISNUMBER(MATCH(T1267,Parameter!$I$27:$I$29,0))),1,0)</f>
        <v>0</v>
      </c>
      <c r="CB1267" s="53" t="n">
        <f aca="false">IF(CQ1267&gt;0,INDEX(Parameter!$H$5:$H$7,W1267)/INDEX(Parameter!$E$5:$E$7,W1267),IF(AND(BZ1267=0,N(IFERROR(VLOOKUP(BX1267,'Gebinde-Kategorie'!$A$5:$N$45,14,0),0))&gt;0),VLOOKUP(BX1267,'Gebinde-Kategorie'!$A$5:$N$45,14,0)*10+Parameter!$M$23,Parameter!$M$24))</f>
        <v>235</v>
      </c>
      <c r="CC1267" s="48" t="str">
        <f aca="false">IF(AND(Parameter!$B$19="Ja",E1267&lt;&gt;"",ISNUMBER(MATCH(E1267,Parameter!$I$35:$I$52,0))),VLOOKUP(E1267,Parameter!$I$35:$J$52,2,0),IFERROR(VLOOKUP(D1267,Parameter!$A$35:$C$64,2,0),"Nein"))</f>
        <v>Nein</v>
      </c>
      <c r="CD1267" s="52" t="n">
        <f aca="false">IF(BZ1267=0,0,IF(N(S1267)&gt;0,S1267,IFERROR(VLOOKUP(D1267,Parameter!$A$35:$C$64,3,0)+0,0)))</f>
        <v>0.15</v>
      </c>
      <c r="CE1267" s="48" t="str">
        <f aca="false">IF(AA1267&lt;&gt;"",AA1267,Z1267)</f>
        <v>-</v>
      </c>
      <c r="CF1267" s="48" t="str">
        <f aca="false">IF(OR(CE1267=1,CE1267=2,CE1267=3),IF(Parameter!$E$27="Ja","LIFT",IF(CE1267=1,"L1","L23")),IF(CE1267="Aussen","Aussen","-"))</f>
        <v>-</v>
      </c>
      <c r="CG1267" s="59" t="n">
        <f aca="false">IF(N(AB1267)&gt;0,AB1267,0)</f>
        <v>0</v>
      </c>
      <c r="CH1267" s="53" t="n">
        <f aca="false">IF(ISNUMBER(AE1267),1,0)</f>
        <v>0</v>
      </c>
      <c r="CI1267" s="50" t="n">
        <f aca="false">N(AE1267)</f>
        <v>0</v>
      </c>
      <c r="CJ1267" s="50" t="n">
        <f aca="false">N(M1267)+N(N1267)</f>
        <v>1</v>
      </c>
      <c r="CK1267" s="50" t="n">
        <f aca="false">N(M1267)</f>
        <v>0</v>
      </c>
      <c r="CL1267" s="50" t="n">
        <f aca="false">N(N1267)</f>
        <v>1</v>
      </c>
      <c r="CM1267" s="50" t="n">
        <f aca="false">ROUNDUP(H1267/BY1267,0)</f>
        <v>0</v>
      </c>
      <c r="CN1267" s="50" t="n">
        <f aca="false">ROUNDUP(CI1267/BY1267,0)</f>
        <v>0</v>
      </c>
      <c r="CO1267" s="53" t="n">
        <f aca="false">IF(BZ1267=1,0,IFERROR(VLOOKUP(BX1267,'Gebinde-Kategorie'!$A$5:$N$45,5,0)+0,0))</f>
        <v>0</v>
      </c>
      <c r="CP1267" s="53" t="n">
        <f aca="false">IFERROR(IF(OR(CE1267=1,CE1267=2,CE1267=3),N(INDEX(Parameter!$I$5:$I$7,CE1267)),0),0)</f>
        <v>0</v>
      </c>
      <c r="CQ1267" s="52" t="n">
        <f aca="false">IF(AND(Parameter!$B$21="Ja",ISNUMBER(W1267),N(X1267)&gt;0),IFERROR(N(INDEX(Parameter!$L$5:$L$7,W1267))*INDEX(Parameter!$E$5:$E$7,W1267)*X1267/SUMIFS($X$7:$X$1843,$W$7:$W$1843,W1267),0),0)</f>
        <v>0</v>
      </c>
    </row>
    <row r="1268" customFormat="false" ht="15" hidden="false" customHeight="false" outlineLevel="0" collapsed="false">
      <c r="A1268" s="48" t="s">
        <v>2274</v>
      </c>
      <c r="B1268" s="48" t="s">
        <v>2275</v>
      </c>
      <c r="C1268" s="48" t="s">
        <v>465</v>
      </c>
      <c r="D1268" s="48" t="s">
        <v>182</v>
      </c>
      <c r="E1268" s="48"/>
      <c r="F1268" s="48" t="s">
        <v>227</v>
      </c>
      <c r="G1268" s="49" t="n">
        <v>132.27</v>
      </c>
      <c r="H1268" s="50" t="n">
        <f aca="false">MAX(0,IF(AND(Parameter!$B$21="Ja",ISNUMBER(Y1268)),Y1268,IF(Parameter!$B$20="Jahresanfang 2025 + Export",BR1268+BQ1268,BQ1268)))</f>
        <v>0</v>
      </c>
      <c r="I1268" s="50" t="n">
        <f aca="false">H1268*G1268</f>
        <v>0</v>
      </c>
      <c r="J1268" s="50" t="n">
        <f aca="false">BT1268*Parameter!$B$18</f>
        <v>0</v>
      </c>
      <c r="K1268" s="51" t="n">
        <v>3.5</v>
      </c>
      <c r="L1268" s="52" t="n">
        <v>0</v>
      </c>
      <c r="M1268" s="50" t="n">
        <v>0</v>
      </c>
      <c r="N1268" s="50" t="n">
        <v>1</v>
      </c>
      <c r="O1268" s="53" t="n">
        <v>56</v>
      </c>
      <c r="P1268" s="48" t="s">
        <v>177</v>
      </c>
      <c r="Q1268" s="50"/>
      <c r="R1268" s="53" t="n">
        <f aca="false">IF(BZ1268=1,0,IFERROR(VLOOKUP(BX1268,'Gebinde-Kategorie'!$A$5:$N$45,13,0)+0,0))</f>
        <v>4</v>
      </c>
      <c r="S1268" s="54"/>
      <c r="T1268" s="55" t="s">
        <v>198</v>
      </c>
      <c r="U1268" s="55"/>
      <c r="V1268" s="55"/>
      <c r="W1268" s="48"/>
      <c r="X1268" s="50"/>
      <c r="Y1268" s="50"/>
      <c r="Z1268" s="48" t="n">
        <f aca="false">IF(A1268="","",IF(AND(Parameter!$B$21="Ja",ISNUMBER(W1268)),W1268,IF(CC1268="2+3",IF(ISNUMBER(SEARCH("grosser Artikel",BU1268)),2,IFERROR(VLOOKUP(BX1268,Parameter!$F$35:$G$64,2,0),2)),IF(OR(CC1268="Nein",CC1268=""),"-",CC1268))))</f>
        <v>2</v>
      </c>
      <c r="AA1268" s="55"/>
      <c r="AB1268" s="56"/>
      <c r="AC1268" s="50" t="n">
        <f aca="false">AV1268</f>
        <v>1</v>
      </c>
      <c r="AD1268" s="50" t="n">
        <f aca="false">MAX(AV1268,H1268)</f>
        <v>1</v>
      </c>
      <c r="AE1268" s="57"/>
      <c r="AF1268" s="50" t="n">
        <f aca="false">IF(LEFT(Cockpit!$C$5,1)="A",H1268,IF(Parameter!$E$30="MAX-Bestand",IF(CH1268=1,CI1268,IF(LEFT(Cockpit!$C$5,1)="B",AL1268,MAX(AL1268,H1268))),ROUNDUP(AJ1268,0)))</f>
        <v>0</v>
      </c>
      <c r="AG1268" s="50" t="n">
        <f aca="false">IF(BZ1268=1,0,ROUNDUP(AF1268/BY1268,0))</f>
        <v>0</v>
      </c>
      <c r="AH1268" s="52" t="n">
        <f aca="false">IF(CQ1268&gt;0,CQ1268*MAX(1,AF1268/X1268),IF(BZ1268=1,IF(AF1268&lt;=0,0,CD1268*MAX(1,IF(H1268&gt;0,AF1268/H1268,1))),IF(R1268&gt;0,AG1268/R1268,0))/MAX(0.1,N(Parameter!$M$21)))</f>
        <v>0</v>
      </c>
      <c r="AI1268" s="50" t="n">
        <f aca="false">AH1268*CB1268</f>
        <v>0</v>
      </c>
      <c r="AJ1268" s="51" t="n">
        <f aca="false">IF(LEFT(Cockpit!$C$5,1)="A",H1268,IF(CH1268=1,(CK1268+CI1268)/2,IF(LEFT(Cockpit!$C$5,1)="B",(CK1268+AL1268)/2,MAX((CK1268+AL1268)/2,H1268))))</f>
        <v>0</v>
      </c>
      <c r="AK1268" s="50" t="n">
        <f aca="false">AJ1268*G1268</f>
        <v>0</v>
      </c>
      <c r="AL1268" s="50" t="n">
        <f aca="false">ROUNDUP(CK1268+MAX(CL1268,2*(J1268/IF(CG1268&gt;0,CG1268,MAX(0.1,N(Cockpit!$C$6)))-CK1268)),0)</f>
        <v>1</v>
      </c>
      <c r="AM1268" s="51" t="n">
        <f aca="false">IF(AI1268&gt;0,J1268/AI1268,-1)</f>
        <v>-1</v>
      </c>
      <c r="AN1268" s="51" t="str">
        <f aca="false">IF(AND(OR(CF1268="L1",CF1268="L23",CF1268="LIFT"),AI1268&gt;0),SUMIFS($AI$7:$AI$1843,$CF$7:$CF$1843,CF1268,$AM$7:$AM$1843,"&gt;"&amp;AM1268)+SUMIFS($AI$7:$AI$1843,$CF$7:$CF$1843,CF1268,$AM$7:$AM$1843,AM1268,$BW$7:$BW$1843,"&lt;="&amp;BW1268),"")</f>
        <v/>
      </c>
      <c r="AO1268" s="58" t="n">
        <f aca="false">IF(AN1268="",0,MAX(0,MIN(1,(IF(CF1268="L1",Parameter!$H$5,IF(CF1268="L23",Parameter!$H$6+Parameter!$H$7,Parameter!$H$5+Parameter!$H$6+Parameter!$H$7))-(AN1268-AI1268))/AI1268)))</f>
        <v>0</v>
      </c>
      <c r="AP1268" s="50" t="n">
        <f aca="false">IF(LEFT(Cockpit!$I$5,1)="A",H1268,IF(Parameter!$E$30="MAX-Bestand",IF(CH1268=1,CI1268,IF(LEFT(Cockpit!$I$5,1)="B",AV1268,MAX(AV1268,H1268))),ROUNDUP(AT1268,0)))</f>
        <v>1</v>
      </c>
      <c r="AQ1268" s="50" t="n">
        <f aca="false">IF(BZ1268=1,0,ROUNDUP(AP1268/BY1268,0))</f>
        <v>1</v>
      </c>
      <c r="AR1268" s="52" t="n">
        <f aca="false">IF(CQ1268&gt;0,CQ1268*MAX(1,AP1268/X1268),IF(BZ1268=1,IF(AP1268&lt;=0,0,CD1268*MAX(1,IF(H1268&gt;0,AP1268/H1268,1))),IF(R1268&gt;0,AQ1268/R1268,0))/MAX(0.1,N(Parameter!$M$21)))</f>
        <v>0.25</v>
      </c>
      <c r="AS1268" s="50" t="n">
        <f aca="false">AR1268*CB1268</f>
        <v>58.75</v>
      </c>
      <c r="AT1268" s="51" t="n">
        <f aca="false">IF(LEFT(Cockpit!$I$5,1)="A",H1268,IF(CH1268=1,(CK1268+CI1268)/2,IF(LEFT(Cockpit!$I$5,1)="B",(CK1268+AV1268)/2,MAX((CK1268+AV1268)/2,H1268))))</f>
        <v>0.5</v>
      </c>
      <c r="AU1268" s="50" t="n">
        <f aca="false">AT1268*G1268</f>
        <v>66.135</v>
      </c>
      <c r="AV1268" s="50" t="n">
        <f aca="false">ROUNDUP(CK1268+MAX(CL1268,2*(J1268/IF(CG1268&gt;0,CG1268,MAX(0.1,N(Cockpit!$I$6)))-CK1268)),0)</f>
        <v>1</v>
      </c>
      <c r="AW1268" s="51" t="n">
        <f aca="false">IF(AS1268&gt;0,J1268/AS1268,-1)</f>
        <v>0</v>
      </c>
      <c r="AX1268" s="51" t="n">
        <f aca="false">IF(AND(OR(CF1268="L1",CF1268="L23",CF1268="LIFT"),AS1268&gt;0),SUMIFS($AS$7:$AS$1843,$CF$7:$CF$1843,CF1268,$AW$7:$AW$1843,"&gt;"&amp;AW1268)+SUMIFS($AS$7:$AS$1843,$CF$7:$CF$1843,CF1268,$AW$7:$AW$1843,AW1268,$BW$7:$BW$1843,"&lt;="&amp;BW1268),"")</f>
        <v>35495.4107142857</v>
      </c>
      <c r="AY1268" s="58" t="n">
        <f aca="false">IF(AX1268="",0,MAX(0,MIN(1,(IF(CF1268="L1",Parameter!$H$5,IF(CF1268="L23",Parameter!$H$6+Parameter!$H$7,Parameter!$H$5+Parameter!$H$6+Parameter!$H$7))-(AX1268-AS1268))/AS1268)))</f>
        <v>1</v>
      </c>
      <c r="AZ1268" s="50" t="n">
        <f aca="false">IF(LEFT(Cockpit!$O$5,1)="A",H1268,IF(Parameter!$E$30="MAX-Bestand",IF(CH1268=1,CI1268,IF(LEFT(Cockpit!$O$5,1)="B",BF1268,MAX(BF1268,H1268))),ROUNDUP(BD1268,0)))</f>
        <v>1</v>
      </c>
      <c r="BA1268" s="50" t="n">
        <f aca="false">IF(BZ1268=1,0,ROUNDUP(AZ1268/BY1268,0))</f>
        <v>1</v>
      </c>
      <c r="BB1268" s="52" t="n">
        <f aca="false">IF(CQ1268&gt;0,CQ1268*MAX(1,AZ1268/X1268),IF(BZ1268=1,IF(AZ1268&lt;=0,0,CD1268*MAX(1,IF(H1268&gt;0,AZ1268/H1268,1))),IF(R1268&gt;0,BA1268/R1268,0))/MAX(0.1,N(Parameter!$M$21)))</f>
        <v>0.25</v>
      </c>
      <c r="BC1268" s="50" t="n">
        <f aca="false">BB1268*CB1268</f>
        <v>58.75</v>
      </c>
      <c r="BD1268" s="51" t="n">
        <f aca="false">IF(LEFT(Cockpit!$O$5,1)="A",H1268,IF(CH1268=1,(CK1268+CI1268)/2,IF(LEFT(Cockpit!$O$5,1)="B",(CK1268+BF1268)/2,MAX((CK1268+BF1268)/2,H1268))))</f>
        <v>0.5</v>
      </c>
      <c r="BE1268" s="50" t="n">
        <f aca="false">BD1268*G1268</f>
        <v>66.135</v>
      </c>
      <c r="BF1268" s="50" t="n">
        <f aca="false">ROUNDUP(CK1268+MAX(CL1268,2*(J1268/IF(CG1268&gt;0,CG1268,MAX(0.1,N(Cockpit!$O$6)))-CK1268)),0)</f>
        <v>1</v>
      </c>
      <c r="BG1268" s="51" t="n">
        <f aca="false">IF(BC1268&gt;0,J1268/BC1268,-1)</f>
        <v>0</v>
      </c>
      <c r="BH1268" s="51" t="n">
        <f aca="false">IF(AND(OR(CF1268="L1",CF1268="L23",CF1268="LIFT"),BC1268&gt;0),SUMIFS($BC$7:$BC$1843,$CF$7:$CF$1843,CF1268,$BG$7:$BG$1843,"&gt;"&amp;BG1268)+SUMIFS($BC$7:$BC$1843,$CF$7:$CF$1843,CF1268,$BG$7:$BG$1843,BG1268,$BW$7:$BW$1843,"&lt;="&amp;BW1268),"")</f>
        <v>29480.7173744335</v>
      </c>
      <c r="BI1268" s="58" t="n">
        <f aca="false">IF(BH1268="",0,MAX(0,MIN(1,(IF(CF1268="L1",Parameter!$H$5,IF(CF1268="L23",Parameter!$H$6+Parameter!$H$7,Parameter!$H$5+Parameter!$H$6+Parameter!$H$7))-(BH1268-BC1268))/BC1268)))</f>
        <v>1</v>
      </c>
      <c r="BJ1268" s="48" t="str">
        <f aca="false">IF(AI1268&lt;=0,"",IF(CF1268="Aussen","Aussenlager",IF(CF1268="-","Nicht im Lift",IF(AO1268&gt;=1,"Lift",IF(AO1268&lt;=0,"Aussenlager","teilweise")))))</f>
        <v/>
      </c>
      <c r="BK1268" s="48" t="str">
        <f aca="false">IF(AS1268&lt;=0,"",IF(CF1268="Aussen","Aussenlager",IF(CF1268="-","Nicht im Lift",IF(AY1268&gt;=1,"Lift",IF(AY1268&lt;=0,"Aussenlager","teilweise")))))</f>
        <v>Lift</v>
      </c>
      <c r="BL1268" s="48" t="str">
        <f aca="false">IF(BC1268&lt;=0,"",IF(CF1268="Aussen","Aussenlager",IF(CF1268="-","Nicht im Lift",IF(BI1268&gt;=1,"Lift",IF(BI1268&lt;=0,"Aussenlager","teilweise")))))</f>
        <v>Lift</v>
      </c>
      <c r="BM1268" s="48" t="str">
        <f aca="false">IF(A1268="","",IF(BV1268=1,"Neu; ","")&amp;IF(AND(BV1268=0,BQ1268&lt;0),"negativer Bestand (Export "&amp;BQ1268&amp;"); ","")&amp;IF(J1268&lt;=0,"Kein Verbrauch; ","")&amp;IF(CQ1268&gt;0,"Lift "&amp;W1268&amp;" lt. Liftbericht (Fach "&amp;X1268&amp;" Stk); ",IF(CA1268=1,"Gebinde geschätzt ("&amp;T1268&amp;"); ",IF(BZ1268=1,"Lose – Tablare geschätzt; ","")))&amp;IF(H1268&gt;AV1268,"Überbestand "&amp;ROUND(H1268-AV1268,0)&amp;" Stk / CHF "&amp;ROUND((H1268-AV1268)*G1268,0)&amp;"; ","")&amp;IF(AND(CH1268=1,CI1268&lt;CJ1268),"MAX &lt; MB+LG; ","")&amp;IF(AND(CP1268&gt;0,CO1268*10&gt;CP1268),"zu hoch für Tablar; ","")&amp;IF(AND(BV1268=0,OR(CH1268=1,AA1268&lt;&gt;"",U1268&lt;&gt;"",V1268&lt;&gt;"",AB1268&lt;&gt;"")),"manuell übersteuert; ","")&amp;IF(AND(BZ1268=0,R1268=0),"Gebinde unbekannt / Stellmass fehlt; ","")&amp;IF(AND(BZ1268=0,N(V1268)&lt;=0,N(Q1268)&lt;=0),"Menge pro Gebinde fehlt (Ist = 1 Gebinde); ","")&amp;BU1268)</f>
        <v>negativer Bestand (Export -7); Kein Verbrauch; Gebinde geschätzt (Gross); Menge pro Gebinde fehlt (Ist = 1 Gebinde); Neuer Art.</v>
      </c>
      <c r="BN1268" s="48"/>
      <c r="BO1268" s="48"/>
      <c r="BP1268" s="55"/>
      <c r="BQ1268" s="50" t="n">
        <v>-7</v>
      </c>
      <c r="BR1268" s="50" t="n">
        <v>7</v>
      </c>
      <c r="BS1268" s="49" t="n">
        <v>-925.89</v>
      </c>
      <c r="BT1268" s="50" t="n">
        <v>0</v>
      </c>
      <c r="BU1268" s="48" t="s">
        <v>521</v>
      </c>
      <c r="BV1268" s="53" t="n">
        <v>0</v>
      </c>
      <c r="BW1268" s="53" t="n">
        <v>1268</v>
      </c>
      <c r="BX1268" s="48" t="str">
        <f aca="false">IF(U1268&lt;&gt;"",UPPER(TRIM(U1268)),IF(CA1268=1,UPPER(VLOOKUP(T1268,Parameter!$I$27:$K$29,2,0)),IF(P1268="","LOSE",P1268)))</f>
        <v>S81</v>
      </c>
      <c r="BY1268" s="50" t="n">
        <f aca="false">IF(BX1268="LOSE",1,IF(N(V1268)&gt;0,V1268,IF(CA1268=1,MAX(1,N(VLOOKUP(T1268,Parameter!$I$27:$K$29,3,0)),H1268,N(N1268)),IF(N(Q1268)&gt;0,Q1268,MAX(1,H1268)))))</f>
        <v>2</v>
      </c>
      <c r="BZ1268" s="53" t="n">
        <f aca="false">IF(BX1268="LOSE",1,0)</f>
        <v>0</v>
      </c>
      <c r="CA1268" s="53" t="n">
        <f aca="false">IF(AND(U1268="",OR(P1268="",P1268="LOSE"),T1268&lt;&gt;"",N(S1268)&lt;=0,ISNUMBER(MATCH(T1268,Parameter!$I$27:$I$29,0))),1,0)</f>
        <v>1</v>
      </c>
      <c r="CB1268" s="53" t="n">
        <f aca="false">IF(CQ1268&gt;0,INDEX(Parameter!$H$5:$H$7,W1268)/INDEX(Parameter!$E$5:$E$7,W1268),IF(AND(BZ1268=0,N(IFERROR(VLOOKUP(BX1268,'Gebinde-Kategorie'!$A$5:$N$45,14,0),0))&gt;0),VLOOKUP(BX1268,'Gebinde-Kategorie'!$A$5:$N$45,14,0)*10+Parameter!$M$23,Parameter!$M$24))</f>
        <v>235</v>
      </c>
      <c r="CC1268" s="48" t="str">
        <f aca="false">IF(AND(Parameter!$B$19="Ja",E1268&lt;&gt;"",ISNUMBER(MATCH(E1268,Parameter!$I$35:$I$52,0))),VLOOKUP(E1268,Parameter!$I$35:$J$52,2,0),IFERROR(VLOOKUP(D1268,Parameter!$A$35:$C$64,2,0),"Nein"))</f>
        <v>2+3</v>
      </c>
      <c r="CD1268" s="52" t="n">
        <f aca="false">IF(BZ1268=0,0,IF(N(S1268)&gt;0,S1268,IFERROR(VLOOKUP(D1268,Parameter!$A$35:$C$64,3,0)+0,0)))</f>
        <v>0</v>
      </c>
      <c r="CE1268" s="48" t="n">
        <f aca="false">IF(AA1268&lt;&gt;"",AA1268,Z1268)</f>
        <v>2</v>
      </c>
      <c r="CF1268" s="48" t="str">
        <f aca="false">IF(OR(CE1268=1,CE1268=2,CE1268=3),IF(Parameter!$E$27="Ja","LIFT",IF(CE1268=1,"L1","L23")),IF(CE1268="Aussen","Aussen","-"))</f>
        <v>LIFT</v>
      </c>
      <c r="CG1268" s="59" t="n">
        <f aca="false">IF(N(AB1268)&gt;0,AB1268,0)</f>
        <v>0</v>
      </c>
      <c r="CH1268" s="53" t="n">
        <f aca="false">IF(ISNUMBER(AE1268),1,0)</f>
        <v>0</v>
      </c>
      <c r="CI1268" s="50" t="n">
        <f aca="false">N(AE1268)</f>
        <v>0</v>
      </c>
      <c r="CJ1268" s="50" t="n">
        <f aca="false">N(M1268)+N(N1268)</f>
        <v>1</v>
      </c>
      <c r="CK1268" s="50" t="n">
        <f aca="false">N(M1268)</f>
        <v>0</v>
      </c>
      <c r="CL1268" s="50" t="n">
        <f aca="false">N(N1268)</f>
        <v>1</v>
      </c>
      <c r="CM1268" s="50" t="n">
        <f aca="false">ROUNDUP(H1268/BY1268,0)</f>
        <v>0</v>
      </c>
      <c r="CN1268" s="50" t="n">
        <f aca="false">ROUNDUP(CI1268/BY1268,0)</f>
        <v>0</v>
      </c>
      <c r="CO1268" s="53" t="n">
        <f aca="false">IF(BZ1268=1,0,IFERROR(VLOOKUP(BX1268,'Gebinde-Kategorie'!$A$5:$N$45,5,0)+0,0))</f>
        <v>20</v>
      </c>
      <c r="CP1268" s="53" t="n">
        <f aca="false">IFERROR(IF(OR(CE1268=1,CE1268=2,CE1268=3),N(INDEX(Parameter!$I$5:$I$7,CE1268)),0),0)</f>
        <v>0</v>
      </c>
      <c r="CQ1268" s="52" t="n">
        <f aca="false">IF(AND(Parameter!$B$21="Ja",ISNUMBER(W1268),N(X1268)&gt;0),IFERROR(N(INDEX(Parameter!$L$5:$L$7,W1268))*INDEX(Parameter!$E$5:$E$7,W1268)*X1268/SUMIFS($X$7:$X$1843,$W$7:$W$1843,W1268),0),0)</f>
        <v>0</v>
      </c>
    </row>
    <row r="1269" customFormat="false" ht="15" hidden="false" customHeight="false" outlineLevel="0" collapsed="false">
      <c r="A1269" s="48" t="s">
        <v>2276</v>
      </c>
      <c r="B1269" s="48" t="s">
        <v>2277</v>
      </c>
      <c r="C1269" s="48" t="s">
        <v>173</v>
      </c>
      <c r="D1269" s="48" t="s">
        <v>193</v>
      </c>
      <c r="E1269" s="48"/>
      <c r="F1269" s="48" t="s">
        <v>227</v>
      </c>
      <c r="G1269" s="49" t="n">
        <v>5.02</v>
      </c>
      <c r="H1269" s="50" t="n">
        <f aca="false">MAX(0,IF(AND(Parameter!$B$21="Ja",ISNUMBER(Y1269)),Y1269,IF(Parameter!$B$20="Jahresanfang 2025 + Export",BR1269+BQ1269,BQ1269)))</f>
        <v>0</v>
      </c>
      <c r="I1269" s="50" t="n">
        <f aca="false">H1269*G1269</f>
        <v>0</v>
      </c>
      <c r="J1269" s="50" t="n">
        <f aca="false">BT1269*Parameter!$B$18</f>
        <v>331</v>
      </c>
      <c r="K1269" s="51" t="n">
        <v>83</v>
      </c>
      <c r="L1269" s="52" t="n">
        <v>3.98795180722892</v>
      </c>
      <c r="M1269" s="50" t="n">
        <v>0</v>
      </c>
      <c r="N1269" s="50" t="n">
        <v>330</v>
      </c>
      <c r="O1269" s="53" t="n">
        <v>28</v>
      </c>
      <c r="P1269" s="48" t="s">
        <v>177</v>
      </c>
      <c r="Q1269" s="50"/>
      <c r="R1269" s="53" t="n">
        <f aca="false">IF(BZ1269=1,0,IFERROR(VLOOKUP(BX1269,'Gebinde-Kategorie'!$A$5:$N$45,13,0)+0,0))</f>
        <v>26</v>
      </c>
      <c r="S1269" s="54"/>
      <c r="T1269" s="55" t="s">
        <v>284</v>
      </c>
      <c r="U1269" s="55"/>
      <c r="V1269" s="55"/>
      <c r="W1269" s="48"/>
      <c r="X1269" s="50"/>
      <c r="Y1269" s="50"/>
      <c r="Z1269" s="48" t="n">
        <f aca="false">IF(A1269="","",IF(AND(Parameter!$B$21="Ja",ISNUMBER(W1269)),W1269,IF(CC1269="2+3",IF(ISNUMBER(SEARCH("grosser Artikel",BU1269)),2,IFERROR(VLOOKUP(BX1269,Parameter!$F$35:$G$64,2,0),2)),IF(OR(CC1269="Nein",CC1269=""),"-",CC1269))))</f>
        <v>3</v>
      </c>
      <c r="AA1269" s="55"/>
      <c r="AB1269" s="56"/>
      <c r="AC1269" s="50" t="n">
        <f aca="false">AV1269</f>
        <v>330</v>
      </c>
      <c r="AD1269" s="50" t="n">
        <f aca="false">MAX(AV1269,H1269)</f>
        <v>330</v>
      </c>
      <c r="AE1269" s="57"/>
      <c r="AF1269" s="50" t="n">
        <f aca="false">IF(LEFT(Cockpit!$C$5,1)="A",H1269,IF(Parameter!$E$30="MAX-Bestand",IF(CH1269=1,CI1269,IF(LEFT(Cockpit!$C$5,1)="B",AL1269,MAX(AL1269,H1269))),ROUNDUP(AJ1269,0)))</f>
        <v>0</v>
      </c>
      <c r="AG1269" s="50" t="n">
        <f aca="false">IF(BZ1269=1,0,ROUNDUP(AF1269/BY1269,0))</f>
        <v>0</v>
      </c>
      <c r="AH1269" s="52" t="n">
        <f aca="false">IF(CQ1269&gt;0,CQ1269*MAX(1,AF1269/X1269),IF(BZ1269=1,IF(AF1269&lt;=0,0,CD1269*MAX(1,IF(H1269&gt;0,AF1269/H1269,1))),IF(R1269&gt;0,AG1269/R1269,0))/MAX(0.1,N(Parameter!$M$21)))</f>
        <v>0</v>
      </c>
      <c r="AI1269" s="50" t="n">
        <f aca="false">AH1269*CB1269</f>
        <v>0</v>
      </c>
      <c r="AJ1269" s="51" t="n">
        <f aca="false">IF(LEFT(Cockpit!$C$5,1)="A",H1269,IF(CH1269=1,(CK1269+CI1269)/2,IF(LEFT(Cockpit!$C$5,1)="B",(CK1269+AL1269)/2,MAX((CK1269+AL1269)/2,H1269))))</f>
        <v>0</v>
      </c>
      <c r="AK1269" s="50" t="n">
        <f aca="false">AJ1269*G1269</f>
        <v>0</v>
      </c>
      <c r="AL1269" s="50" t="n">
        <f aca="false">ROUNDUP(CK1269+MAX(CL1269,2*(J1269/IF(CG1269&gt;0,CG1269,MAX(0.1,N(Cockpit!$C$6)))-CK1269)),0)</f>
        <v>330</v>
      </c>
      <c r="AM1269" s="51" t="n">
        <f aca="false">IF(AI1269&gt;0,J1269/AI1269,-1)</f>
        <v>-1</v>
      </c>
      <c r="AN1269" s="51" t="str">
        <f aca="false">IF(AND(OR(CF1269="L1",CF1269="L23",CF1269="LIFT"),AI1269&gt;0),SUMIFS($AI$7:$AI$1843,$CF$7:$CF$1843,CF1269,$AM$7:$AM$1843,"&gt;"&amp;AM1269)+SUMIFS($AI$7:$AI$1843,$CF$7:$CF$1843,CF1269,$AM$7:$AM$1843,AM1269,$BW$7:$BW$1843,"&lt;="&amp;BW1269),"")</f>
        <v/>
      </c>
      <c r="AO1269" s="58" t="n">
        <f aca="false">IF(AN1269="",0,MAX(0,MIN(1,(IF(CF1269="L1",Parameter!$H$5,IF(CF1269="L23",Parameter!$H$6+Parameter!$H$7,Parameter!$H$5+Parameter!$H$6+Parameter!$H$7))-(AN1269-AI1269))/AI1269)))</f>
        <v>0</v>
      </c>
      <c r="AP1269" s="50" t="n">
        <f aca="false">IF(LEFT(Cockpit!$I$5,1)="A",H1269,IF(Parameter!$E$30="MAX-Bestand",IF(CH1269=1,CI1269,IF(LEFT(Cockpit!$I$5,1)="B",AV1269,MAX(AV1269,H1269))),ROUNDUP(AT1269,0)))</f>
        <v>165</v>
      </c>
      <c r="AQ1269" s="50" t="n">
        <f aca="false">IF(BZ1269=1,0,ROUNDUP(AP1269/BY1269,0))</f>
        <v>1</v>
      </c>
      <c r="AR1269" s="52" t="n">
        <f aca="false">IF(CQ1269&gt;0,CQ1269*MAX(1,AP1269/X1269),IF(BZ1269=1,IF(AP1269&lt;=0,0,CD1269*MAX(1,IF(H1269&gt;0,AP1269/H1269,1))),IF(R1269&gt;0,AQ1269/R1269,0))/MAX(0.1,N(Parameter!$M$21)))</f>
        <v>0.0384615384615385</v>
      </c>
      <c r="AS1269" s="50" t="n">
        <f aca="false">AR1269*CB1269</f>
        <v>5.96153846153846</v>
      </c>
      <c r="AT1269" s="51" t="n">
        <f aca="false">IF(LEFT(Cockpit!$I$5,1)="A",H1269,IF(CH1269=1,(CK1269+CI1269)/2,IF(LEFT(Cockpit!$I$5,1)="B",(CK1269+AV1269)/2,MAX((CK1269+AV1269)/2,H1269))))</f>
        <v>165</v>
      </c>
      <c r="AU1269" s="50" t="n">
        <f aca="false">AT1269*G1269</f>
        <v>828.3</v>
      </c>
      <c r="AV1269" s="50" t="n">
        <f aca="false">ROUNDUP(CK1269+MAX(CL1269,2*(J1269/IF(CG1269&gt;0,CG1269,MAX(0.1,N(Cockpit!$I$6)))-CK1269)),0)</f>
        <v>330</v>
      </c>
      <c r="AW1269" s="51" t="n">
        <f aca="false">IF(AS1269&gt;0,J1269/AS1269,-1)</f>
        <v>55.5225806451613</v>
      </c>
      <c r="AX1269" s="51" t="n">
        <f aca="false">IF(AND(OR(CF1269="L1",CF1269="L23",CF1269="LIFT"),AS1269&gt;0),SUMIFS($AS$7:$AS$1843,$CF$7:$CF$1843,CF1269,$AW$7:$AW$1843,"&gt;"&amp;AW1269)+SUMIFS($AS$7:$AS$1843,$CF$7:$CF$1843,CF1269,$AW$7:$AW$1843,AW1269,$BW$7:$BW$1843,"&lt;="&amp;BW1269),"")</f>
        <v>1282.15613553114</v>
      </c>
      <c r="AY1269" s="58" t="n">
        <f aca="false">IF(AX1269="",0,MAX(0,MIN(1,(IF(CF1269="L1",Parameter!$H$5,IF(CF1269="L23",Parameter!$H$6+Parameter!$H$7,Parameter!$H$5+Parameter!$H$6+Parameter!$H$7))-(AX1269-AS1269))/AS1269)))</f>
        <v>1</v>
      </c>
      <c r="AZ1269" s="50" t="n">
        <f aca="false">IF(LEFT(Cockpit!$O$5,1)="A",H1269,IF(Parameter!$E$30="MAX-Bestand",IF(CH1269=1,CI1269,IF(LEFT(Cockpit!$O$5,1)="B",BF1269,MAX(BF1269,H1269))),ROUNDUP(BD1269,0)))</f>
        <v>165</v>
      </c>
      <c r="BA1269" s="50" t="n">
        <f aca="false">IF(BZ1269=1,0,ROUNDUP(AZ1269/BY1269,0))</f>
        <v>1</v>
      </c>
      <c r="BB1269" s="52" t="n">
        <f aca="false">IF(CQ1269&gt;0,CQ1269*MAX(1,AZ1269/X1269),IF(BZ1269=1,IF(AZ1269&lt;=0,0,CD1269*MAX(1,IF(H1269&gt;0,AZ1269/H1269,1))),IF(R1269&gt;0,BA1269/R1269,0))/MAX(0.1,N(Parameter!$M$21)))</f>
        <v>0.0384615384615385</v>
      </c>
      <c r="BC1269" s="50" t="n">
        <f aca="false">BB1269*CB1269</f>
        <v>5.96153846153846</v>
      </c>
      <c r="BD1269" s="51" t="n">
        <f aca="false">IF(LEFT(Cockpit!$O$5,1)="A",H1269,IF(CH1269=1,(CK1269+CI1269)/2,IF(LEFT(Cockpit!$O$5,1)="B",(CK1269+BF1269)/2,MAX((CK1269+BF1269)/2,H1269))))</f>
        <v>165</v>
      </c>
      <c r="BE1269" s="50" t="n">
        <f aca="false">BD1269*G1269</f>
        <v>828.3</v>
      </c>
      <c r="BF1269" s="50" t="n">
        <f aca="false">ROUNDUP(CK1269+MAX(CL1269,2*(J1269/IF(CG1269&gt;0,CG1269,MAX(0.1,N(Cockpit!$O$6)))-CK1269)),0)</f>
        <v>330</v>
      </c>
      <c r="BG1269" s="51" t="n">
        <f aca="false">IF(BC1269&gt;0,J1269/BC1269,-1)</f>
        <v>55.5225806451613</v>
      </c>
      <c r="BH1269" s="51" t="n">
        <f aca="false">IF(AND(OR(CF1269="L1",CF1269="L23",CF1269="LIFT"),BC1269&gt;0),SUMIFS($BC$7:$BC$1843,$CF$7:$CF$1843,CF1269,$BG$7:$BG$1843,"&gt;"&amp;BG1269)+SUMIFS($BC$7:$BC$1843,$CF$7:$CF$1843,CF1269,$BG$7:$BG$1843,BG1269,$BW$7:$BW$1843,"&lt;="&amp;BW1269),"")</f>
        <v>1127.02289377289</v>
      </c>
      <c r="BI1269" s="58" t="n">
        <f aca="false">IF(BH1269="",0,MAX(0,MIN(1,(IF(CF1269="L1",Parameter!$H$5,IF(CF1269="L23",Parameter!$H$6+Parameter!$H$7,Parameter!$H$5+Parameter!$H$6+Parameter!$H$7))-(BH1269-BC1269))/BC1269)))</f>
        <v>1</v>
      </c>
      <c r="BJ1269" s="48" t="str">
        <f aca="false">IF(AI1269&lt;=0,"",IF(CF1269="Aussen","Aussenlager",IF(CF1269="-","Nicht im Lift",IF(AO1269&gt;=1,"Lift",IF(AO1269&lt;=0,"Aussenlager","teilweise")))))</f>
        <v/>
      </c>
      <c r="BK1269" s="48" t="str">
        <f aca="false">IF(AS1269&lt;=0,"",IF(CF1269="Aussen","Aussenlager",IF(CF1269="-","Nicht im Lift",IF(AY1269&gt;=1,"Lift",IF(AY1269&lt;=0,"Aussenlager","teilweise")))))</f>
        <v>Lift</v>
      </c>
      <c r="BL1269" s="48" t="str">
        <f aca="false">IF(BC1269&lt;=0,"",IF(CF1269="Aussen","Aussenlager",IF(CF1269="-","Nicht im Lift",IF(BI1269&gt;=1,"Lift",IF(BI1269&lt;=0,"Aussenlager","teilweise")))))</f>
        <v>Lift</v>
      </c>
      <c r="BM1269" s="48" t="str">
        <f aca="false">IF(A1269="","",IF(BV1269=1,"Neu; ","")&amp;IF(AND(BV1269=0,BQ1269&lt;0),"negativer Bestand (Export "&amp;BQ1269&amp;"); ","")&amp;IF(J1269&lt;=0,"Kein Verbrauch; ","")&amp;IF(CQ1269&gt;0,"Lift "&amp;W1269&amp;" lt. Liftbericht (Fach "&amp;X1269&amp;" Stk); ",IF(CA1269=1,"Gebinde geschätzt ("&amp;T1269&amp;"); ",IF(BZ1269=1,"Lose – Tablare geschätzt; ","")))&amp;IF(H1269&gt;AV1269,"Überbestand "&amp;ROUND(H1269-AV1269,0)&amp;" Stk / CHF "&amp;ROUND((H1269-AV1269)*G1269,0)&amp;"; ","")&amp;IF(AND(CH1269=1,CI1269&lt;CJ1269),"MAX &lt; MB+LG; ","")&amp;IF(AND(CP1269&gt;0,CO1269*10&gt;CP1269),"zu hoch für Tablar; ","")&amp;IF(AND(BV1269=0,OR(CH1269=1,AA1269&lt;&gt;"",U1269&lt;&gt;"",V1269&lt;&gt;"",AB1269&lt;&gt;"")),"manuell übersteuert; ","")&amp;IF(AND(BZ1269=0,R1269=0),"Gebinde unbekannt / Stellmass fehlt; ","")&amp;IF(AND(BZ1269=0,N(V1269)&lt;=0,N(Q1269)&lt;=0),"Menge pro Gebinde fehlt (Ist = 1 Gebinde); ","")&amp;BU1269)</f>
        <v>negativer Bestand (Export -166); Gebinde geschätzt (Klein); Menge pro Gebinde fehlt (Ist = 1 Gebinde); BEI MARIO</v>
      </c>
      <c r="BN1269" s="48"/>
      <c r="BO1269" s="48"/>
      <c r="BP1269" s="55"/>
      <c r="BQ1269" s="50" t="n">
        <v>-166</v>
      </c>
      <c r="BR1269" s="50" t="n">
        <v>166</v>
      </c>
      <c r="BS1269" s="49" t="n">
        <v>-929.6</v>
      </c>
      <c r="BT1269" s="50" t="n">
        <v>331</v>
      </c>
      <c r="BU1269" s="48" t="s">
        <v>2278</v>
      </c>
      <c r="BV1269" s="53" t="n">
        <v>0</v>
      </c>
      <c r="BW1269" s="53" t="n">
        <v>1269</v>
      </c>
      <c r="BX1269" s="48" t="str">
        <f aca="false">IF(U1269&lt;&gt;"",UPPER(TRIM(U1269)),IF(CA1269=1,UPPER(VLOOKUP(T1269,Parameter!$I$27:$K$29,2,0)),IF(P1269="","LOSE",P1269)))</f>
        <v>S51</v>
      </c>
      <c r="BY1269" s="50" t="n">
        <f aca="false">IF(BX1269="LOSE",1,IF(N(V1269)&gt;0,V1269,IF(CA1269=1,MAX(1,N(VLOOKUP(T1269,Parameter!$I$27:$K$29,3,0)),H1269,N(N1269)),IF(N(Q1269)&gt;0,Q1269,MAX(1,H1269)))))</f>
        <v>330</v>
      </c>
      <c r="BZ1269" s="53" t="n">
        <f aca="false">IF(BX1269="LOSE",1,0)</f>
        <v>0</v>
      </c>
      <c r="CA1269" s="53" t="n">
        <f aca="false">IF(AND(U1269="",OR(P1269="",P1269="LOSE"),T1269&lt;&gt;"",N(S1269)&lt;=0,ISNUMBER(MATCH(T1269,Parameter!$I$27:$I$29,0))),1,0)</f>
        <v>1</v>
      </c>
      <c r="CB1269" s="53" t="n">
        <f aca="false">IF(CQ1269&gt;0,INDEX(Parameter!$H$5:$H$7,W1269)/INDEX(Parameter!$E$5:$E$7,W1269),IF(AND(BZ1269=0,N(IFERROR(VLOOKUP(BX1269,'Gebinde-Kategorie'!$A$5:$N$45,14,0),0))&gt;0),VLOOKUP(BX1269,'Gebinde-Kategorie'!$A$5:$N$45,14,0)*10+Parameter!$M$23,Parameter!$M$24))</f>
        <v>155</v>
      </c>
      <c r="CC1269" s="48" t="str">
        <f aca="false">IF(AND(Parameter!$B$19="Ja",E1269&lt;&gt;"",ISNUMBER(MATCH(E1269,Parameter!$I$35:$I$52,0))),VLOOKUP(E1269,Parameter!$I$35:$J$52,2,0),IFERROR(VLOOKUP(D1269,Parameter!$A$35:$C$64,2,0),"Nein"))</f>
        <v>2+3</v>
      </c>
      <c r="CD1269" s="52" t="n">
        <f aca="false">IF(BZ1269=0,0,IF(N(S1269)&gt;0,S1269,IFERROR(VLOOKUP(D1269,Parameter!$A$35:$C$64,3,0)+0,0)))</f>
        <v>0</v>
      </c>
      <c r="CE1269" s="48" t="n">
        <f aca="false">IF(AA1269&lt;&gt;"",AA1269,Z1269)</f>
        <v>3</v>
      </c>
      <c r="CF1269" s="48" t="str">
        <f aca="false">IF(OR(CE1269=1,CE1269=2,CE1269=3),IF(Parameter!$E$27="Ja","LIFT",IF(CE1269=1,"L1","L23")),IF(CE1269="Aussen","Aussen","-"))</f>
        <v>LIFT</v>
      </c>
      <c r="CG1269" s="59" t="n">
        <f aca="false">IF(N(AB1269)&gt;0,AB1269,0)</f>
        <v>0</v>
      </c>
      <c r="CH1269" s="53" t="n">
        <f aca="false">IF(ISNUMBER(AE1269),1,0)</f>
        <v>0</v>
      </c>
      <c r="CI1269" s="50" t="n">
        <f aca="false">N(AE1269)</f>
        <v>0</v>
      </c>
      <c r="CJ1269" s="50" t="n">
        <f aca="false">N(M1269)+N(N1269)</f>
        <v>330</v>
      </c>
      <c r="CK1269" s="50" t="n">
        <f aca="false">N(M1269)</f>
        <v>0</v>
      </c>
      <c r="CL1269" s="50" t="n">
        <f aca="false">N(N1269)</f>
        <v>330</v>
      </c>
      <c r="CM1269" s="50" t="n">
        <f aca="false">ROUNDUP(H1269/BY1269,0)</f>
        <v>0</v>
      </c>
      <c r="CN1269" s="50" t="n">
        <f aca="false">ROUNDUP(CI1269/BY1269,0)</f>
        <v>0</v>
      </c>
      <c r="CO1269" s="53" t="n">
        <f aca="false">IF(BZ1269=1,0,IFERROR(VLOOKUP(BX1269,'Gebinde-Kategorie'!$A$5:$N$45,5,0)+0,0))</f>
        <v>11</v>
      </c>
      <c r="CP1269" s="53" t="n">
        <f aca="false">IFERROR(IF(OR(CE1269=1,CE1269=2,CE1269=3),N(INDEX(Parameter!$I$5:$I$7,CE1269)),0),0)</f>
        <v>0</v>
      </c>
      <c r="CQ1269" s="52" t="n">
        <f aca="false">IF(AND(Parameter!$B$21="Ja",ISNUMBER(W1269),N(X1269)&gt;0),IFERROR(N(INDEX(Parameter!$L$5:$L$7,W1269))*INDEX(Parameter!$E$5:$E$7,W1269)*X1269/SUMIFS($X$7:$X$1843,$W$7:$W$1843,W1269),0),0)</f>
        <v>0</v>
      </c>
    </row>
    <row r="1270" customFormat="false" ht="15" hidden="false" customHeight="false" outlineLevel="0" collapsed="false">
      <c r="A1270" s="48" t="s">
        <v>2279</v>
      </c>
      <c r="B1270" s="48" t="s">
        <v>279</v>
      </c>
      <c r="C1270" s="48" t="s">
        <v>173</v>
      </c>
      <c r="D1270" s="48" t="s">
        <v>182</v>
      </c>
      <c r="E1270" s="48"/>
      <c r="F1270" s="48" t="s">
        <v>227</v>
      </c>
      <c r="G1270" s="49" t="n">
        <v>643.09</v>
      </c>
      <c r="H1270" s="50" t="n">
        <f aca="false">MAX(0,IF(AND(Parameter!$B$21="Ja",ISNUMBER(Y1270)),Y1270,IF(Parameter!$B$20="Jahresanfang 2025 + Export",BR1270+BQ1270,BQ1270)))</f>
        <v>1</v>
      </c>
      <c r="I1270" s="50" t="n">
        <f aca="false">H1270*G1270</f>
        <v>643.09</v>
      </c>
      <c r="J1270" s="50" t="n">
        <f aca="false">BT1270*Parameter!$B$18</f>
        <v>5</v>
      </c>
      <c r="K1270" s="51" t="n">
        <v>4</v>
      </c>
      <c r="L1270" s="52" t="n">
        <v>1.25</v>
      </c>
      <c r="M1270" s="50" t="n">
        <v>0</v>
      </c>
      <c r="N1270" s="50" t="n">
        <v>5</v>
      </c>
      <c r="O1270" s="53" t="n">
        <v>56</v>
      </c>
      <c r="P1270" s="48" t="s">
        <v>177</v>
      </c>
      <c r="Q1270" s="50"/>
      <c r="R1270" s="53" t="n">
        <f aca="false">IF(BZ1270=1,0,IFERROR(VLOOKUP(BX1270,'Gebinde-Kategorie'!$A$5:$N$45,13,0)+0,0))</f>
        <v>4</v>
      </c>
      <c r="S1270" s="54"/>
      <c r="T1270" s="55" t="s">
        <v>198</v>
      </c>
      <c r="U1270" s="55"/>
      <c r="V1270" s="55"/>
      <c r="W1270" s="48"/>
      <c r="X1270" s="50"/>
      <c r="Y1270" s="50"/>
      <c r="Z1270" s="48" t="n">
        <f aca="false">IF(A1270="","",IF(AND(Parameter!$B$21="Ja",ISNUMBER(W1270)),W1270,IF(CC1270="2+3",IF(ISNUMBER(SEARCH("grosser Artikel",BU1270)),2,IFERROR(VLOOKUP(BX1270,Parameter!$F$35:$G$64,2,0),2)),IF(OR(CC1270="Nein",CC1270=""),"-",CC1270))))</f>
        <v>2</v>
      </c>
      <c r="AA1270" s="55"/>
      <c r="AB1270" s="56"/>
      <c r="AC1270" s="50" t="n">
        <f aca="false">AV1270</f>
        <v>5</v>
      </c>
      <c r="AD1270" s="50" t="n">
        <f aca="false">MAX(AV1270,H1270)</f>
        <v>5</v>
      </c>
      <c r="AE1270" s="57"/>
      <c r="AF1270" s="50" t="n">
        <f aca="false">IF(LEFT(Cockpit!$C$5,1)="A",H1270,IF(Parameter!$E$30="MAX-Bestand",IF(CH1270=1,CI1270,IF(LEFT(Cockpit!$C$5,1)="B",AL1270,MAX(AL1270,H1270))),ROUNDUP(AJ1270,0)))</f>
        <v>1</v>
      </c>
      <c r="AG1270" s="50" t="n">
        <f aca="false">IF(BZ1270=1,0,ROUNDUP(AF1270/BY1270,0))</f>
        <v>1</v>
      </c>
      <c r="AH1270" s="52" t="n">
        <f aca="false">IF(CQ1270&gt;0,CQ1270*MAX(1,AF1270/X1270),IF(BZ1270=1,IF(AF1270&lt;=0,0,CD1270*MAX(1,IF(H1270&gt;0,AF1270/H1270,1))),IF(R1270&gt;0,AG1270/R1270,0))/MAX(0.1,N(Parameter!$M$21)))</f>
        <v>0.25</v>
      </c>
      <c r="AI1270" s="50" t="n">
        <f aca="false">AH1270*CB1270</f>
        <v>58.75</v>
      </c>
      <c r="AJ1270" s="51" t="n">
        <f aca="false">IF(LEFT(Cockpit!$C$5,1)="A",H1270,IF(CH1270=1,(CK1270+CI1270)/2,IF(LEFT(Cockpit!$C$5,1)="B",(CK1270+AL1270)/2,MAX((CK1270+AL1270)/2,H1270))))</f>
        <v>1</v>
      </c>
      <c r="AK1270" s="50" t="n">
        <f aca="false">AJ1270*G1270</f>
        <v>643.09</v>
      </c>
      <c r="AL1270" s="50" t="n">
        <f aca="false">ROUNDUP(CK1270+MAX(CL1270,2*(J1270/IF(CG1270&gt;0,CG1270,MAX(0.1,N(Cockpit!$C$6)))-CK1270)),0)</f>
        <v>5</v>
      </c>
      <c r="AM1270" s="51" t="n">
        <f aca="false">IF(AI1270&gt;0,J1270/AI1270,-1)</f>
        <v>0.0851063829787234</v>
      </c>
      <c r="AN1270" s="51" t="n">
        <f aca="false">IF(AND(OR(CF1270="L1",CF1270="L23",CF1270="LIFT"),AI1270&gt;0),SUMIFS($AI$7:$AI$1843,$CF$7:$CF$1843,CF1270,$AM$7:$AM$1843,"&gt;"&amp;AM1270)+SUMIFS($AI$7:$AI$1843,$CF$7:$CF$1843,CF1270,$AM$7:$AM$1843,AM1270,$BW$7:$BW$1843,"&lt;="&amp;BW1270),"")</f>
        <v>16447.9575003622</v>
      </c>
      <c r="AO1270" s="58" t="n">
        <f aca="false">IF(AN1270="",0,MAX(0,MIN(1,(IF(CF1270="L1",Parameter!$H$5,IF(CF1270="L23",Parameter!$H$6+Parameter!$H$7,Parameter!$H$5+Parameter!$H$6+Parameter!$H$7))-(AN1270-AI1270))/AI1270)))</f>
        <v>1</v>
      </c>
      <c r="AP1270" s="50" t="n">
        <f aca="false">IF(LEFT(Cockpit!$I$5,1)="A",H1270,IF(Parameter!$E$30="MAX-Bestand",IF(CH1270=1,CI1270,IF(LEFT(Cockpit!$I$5,1)="B",AV1270,MAX(AV1270,H1270))),ROUNDUP(AT1270,0)))</f>
        <v>3</v>
      </c>
      <c r="AQ1270" s="50" t="n">
        <f aca="false">IF(BZ1270=1,0,ROUNDUP(AP1270/BY1270,0))</f>
        <v>1</v>
      </c>
      <c r="AR1270" s="52" t="n">
        <f aca="false">IF(CQ1270&gt;0,CQ1270*MAX(1,AP1270/X1270),IF(BZ1270=1,IF(AP1270&lt;=0,0,CD1270*MAX(1,IF(H1270&gt;0,AP1270/H1270,1))),IF(R1270&gt;0,AQ1270/R1270,0))/MAX(0.1,N(Parameter!$M$21)))</f>
        <v>0.25</v>
      </c>
      <c r="AS1270" s="50" t="n">
        <f aca="false">AR1270*CB1270</f>
        <v>58.75</v>
      </c>
      <c r="AT1270" s="51" t="n">
        <f aca="false">IF(LEFT(Cockpit!$I$5,1)="A",H1270,IF(CH1270=1,(CK1270+CI1270)/2,IF(LEFT(Cockpit!$I$5,1)="B",(CK1270+AV1270)/2,MAX((CK1270+AV1270)/2,H1270))))</f>
        <v>2.5</v>
      </c>
      <c r="AU1270" s="50" t="n">
        <f aca="false">AT1270*G1270</f>
        <v>1607.725</v>
      </c>
      <c r="AV1270" s="50" t="n">
        <f aca="false">ROUNDUP(CK1270+MAX(CL1270,2*(J1270/IF(CG1270&gt;0,CG1270,MAX(0.1,N(Cockpit!$I$6)))-CK1270)),0)</f>
        <v>5</v>
      </c>
      <c r="AW1270" s="51" t="n">
        <f aca="false">IF(AS1270&gt;0,J1270/AS1270,-1)</f>
        <v>0.0851063829787234</v>
      </c>
      <c r="AX1270" s="51" t="n">
        <f aca="false">IF(AND(OR(CF1270="L1",CF1270="L23",CF1270="LIFT"),AS1270&gt;0),SUMIFS($AS$7:$AS$1843,$CF$7:$CF$1843,CF1270,$AW$7:$AW$1843,"&gt;"&amp;AW1270)+SUMIFS($AS$7:$AS$1843,$CF$7:$CF$1843,CF1270,$AW$7:$AW$1843,AW1270,$BW$7:$BW$1843,"&lt;="&amp;BW1270),"")</f>
        <v>21471.1061417396</v>
      </c>
      <c r="AY1270" s="58" t="n">
        <f aca="false">IF(AX1270="",0,MAX(0,MIN(1,(IF(CF1270="L1",Parameter!$H$5,IF(CF1270="L23",Parameter!$H$6+Parameter!$H$7,Parameter!$H$5+Parameter!$H$6+Parameter!$H$7))-(AX1270-AS1270))/AS1270)))</f>
        <v>1</v>
      </c>
      <c r="AZ1270" s="50" t="n">
        <f aca="false">IF(LEFT(Cockpit!$O$5,1)="A",H1270,IF(Parameter!$E$30="MAX-Bestand",IF(CH1270=1,CI1270,IF(LEFT(Cockpit!$O$5,1)="B",BF1270,MAX(BF1270,H1270))),ROUNDUP(BD1270,0)))</f>
        <v>3</v>
      </c>
      <c r="BA1270" s="50" t="n">
        <f aca="false">IF(BZ1270=1,0,ROUNDUP(AZ1270/BY1270,0))</f>
        <v>1</v>
      </c>
      <c r="BB1270" s="52" t="n">
        <f aca="false">IF(CQ1270&gt;0,CQ1270*MAX(1,AZ1270/X1270),IF(BZ1270=1,IF(AZ1270&lt;=0,0,CD1270*MAX(1,IF(H1270&gt;0,AZ1270/H1270,1))),IF(R1270&gt;0,BA1270/R1270,0))/MAX(0.1,N(Parameter!$M$21)))</f>
        <v>0.25</v>
      </c>
      <c r="BC1270" s="50" t="n">
        <f aca="false">BB1270*CB1270</f>
        <v>58.75</v>
      </c>
      <c r="BD1270" s="51" t="n">
        <f aca="false">IF(LEFT(Cockpit!$O$5,1)="A",H1270,IF(CH1270=1,(CK1270+CI1270)/2,IF(LEFT(Cockpit!$O$5,1)="B",(CK1270+BF1270)/2,MAX((CK1270+BF1270)/2,H1270))))</f>
        <v>2.5</v>
      </c>
      <c r="BE1270" s="50" t="n">
        <f aca="false">BD1270*G1270</f>
        <v>1607.725</v>
      </c>
      <c r="BF1270" s="50" t="n">
        <f aca="false">ROUNDUP(CK1270+MAX(CL1270,2*(J1270/IF(CG1270&gt;0,CG1270,MAX(0.1,N(Cockpit!$O$6)))-CK1270)),0)</f>
        <v>5</v>
      </c>
      <c r="BG1270" s="51" t="n">
        <f aca="false">IF(BC1270&gt;0,J1270/BC1270,-1)</f>
        <v>0.0851063829787234</v>
      </c>
      <c r="BH1270" s="51" t="n">
        <f aca="false">IF(AND(OR(CF1270="L1",CF1270="L23",CF1270="LIFT"),BC1270&gt;0),SUMIFS($BC$7:$BC$1843,$CF$7:$CF$1843,CF1270,$BG$7:$BG$1843,"&gt;"&amp;BG1270)+SUMIFS($BC$7:$BC$1843,$CF$7:$CF$1843,CF1270,$BG$7:$BG$1843,BG1270,$BW$7:$BW$1843,"&lt;="&amp;BW1270),"")</f>
        <v>18023.585420935</v>
      </c>
      <c r="BI1270" s="58" t="n">
        <f aca="false">IF(BH1270="",0,MAX(0,MIN(1,(IF(CF1270="L1",Parameter!$H$5,IF(CF1270="L23",Parameter!$H$6+Parameter!$H$7,Parameter!$H$5+Parameter!$H$6+Parameter!$H$7))-(BH1270-BC1270))/BC1270)))</f>
        <v>1</v>
      </c>
      <c r="BJ1270" s="48" t="str">
        <f aca="false">IF(AI1270&lt;=0,"",IF(CF1270="Aussen","Aussenlager",IF(CF1270="-","Nicht im Lift",IF(AO1270&gt;=1,"Lift",IF(AO1270&lt;=0,"Aussenlager","teilweise")))))</f>
        <v>Lift</v>
      </c>
      <c r="BK1270" s="48" t="str">
        <f aca="false">IF(AS1270&lt;=0,"",IF(CF1270="Aussen","Aussenlager",IF(CF1270="-","Nicht im Lift",IF(AY1270&gt;=1,"Lift",IF(AY1270&lt;=0,"Aussenlager","teilweise")))))</f>
        <v>Lift</v>
      </c>
      <c r="BL1270" s="48" t="str">
        <f aca="false">IF(BC1270&lt;=0,"",IF(CF1270="Aussen","Aussenlager",IF(CF1270="-","Nicht im Lift",IF(BI1270&gt;=1,"Lift",IF(BI1270&lt;=0,"Aussenlager","teilweise")))))</f>
        <v>Lift</v>
      </c>
      <c r="BM1270" s="48" t="str">
        <f aca="false">IF(A1270="","",IF(BV1270=1,"Neu; ","")&amp;IF(AND(BV1270=0,BQ1270&lt;0),"negativer Bestand (Export "&amp;BQ1270&amp;"); ","")&amp;IF(J1270&lt;=0,"Kein Verbrauch; ","")&amp;IF(CQ1270&gt;0,"Lift "&amp;W1270&amp;" lt. Liftbericht (Fach "&amp;X1270&amp;" Stk); ",IF(CA1270=1,"Gebinde geschätzt ("&amp;T1270&amp;"); ",IF(BZ1270=1,"Lose – Tablare geschätzt; ","")))&amp;IF(H1270&gt;AV1270,"Überbestand "&amp;ROUND(H1270-AV1270,0)&amp;" Stk / CHF "&amp;ROUND((H1270-AV1270)*G1270,0)&amp;"; ","")&amp;IF(AND(CH1270=1,CI1270&lt;CJ1270),"MAX &lt; MB+LG; ","")&amp;IF(AND(CP1270&gt;0,CO1270*10&gt;CP1270),"zu hoch für Tablar; ","")&amp;IF(AND(BV1270=0,OR(CH1270=1,AA1270&lt;&gt;"",U1270&lt;&gt;"",V1270&lt;&gt;"",AB1270&lt;&gt;"")),"manuell übersteuert; ","")&amp;IF(AND(BZ1270=0,R1270=0),"Gebinde unbekannt / Stellmass fehlt; ","")&amp;IF(AND(BZ1270=0,N(V1270)&lt;=0,N(Q1270)&lt;=0),"Menge pro Gebinde fehlt (Ist = 1 Gebinde); ","")&amp;BU1270)</f>
        <v>negativer Bestand (Export -1); Gebinde geschätzt (Gross); Menge pro Gebinde fehlt (Ist = 1 Gebinde); </v>
      </c>
      <c r="BN1270" s="48"/>
      <c r="BO1270" s="48"/>
      <c r="BP1270" s="55"/>
      <c r="BQ1270" s="50" t="n">
        <v>-1</v>
      </c>
      <c r="BR1270" s="50" t="n">
        <v>2</v>
      </c>
      <c r="BS1270" s="49" t="n">
        <v>-936.91</v>
      </c>
      <c r="BT1270" s="50" t="n">
        <v>5</v>
      </c>
      <c r="BU1270" s="48"/>
      <c r="BV1270" s="53" t="n">
        <v>0</v>
      </c>
      <c r="BW1270" s="53" t="n">
        <v>1270</v>
      </c>
      <c r="BX1270" s="48" t="str">
        <f aca="false">IF(U1270&lt;&gt;"",UPPER(TRIM(U1270)),IF(CA1270=1,UPPER(VLOOKUP(T1270,Parameter!$I$27:$K$29,2,0)),IF(P1270="","LOSE",P1270)))</f>
        <v>S81</v>
      </c>
      <c r="BY1270" s="50" t="n">
        <f aca="false">IF(BX1270="LOSE",1,IF(N(V1270)&gt;0,V1270,IF(CA1270=1,MAX(1,N(VLOOKUP(T1270,Parameter!$I$27:$K$29,3,0)),H1270,N(N1270)),IF(N(Q1270)&gt;0,Q1270,MAX(1,H1270)))))</f>
        <v>5</v>
      </c>
      <c r="BZ1270" s="53" t="n">
        <f aca="false">IF(BX1270="LOSE",1,0)</f>
        <v>0</v>
      </c>
      <c r="CA1270" s="53" t="n">
        <f aca="false">IF(AND(U1270="",OR(P1270="",P1270="LOSE"),T1270&lt;&gt;"",N(S1270)&lt;=0,ISNUMBER(MATCH(T1270,Parameter!$I$27:$I$29,0))),1,0)</f>
        <v>1</v>
      </c>
      <c r="CB1270" s="53" t="n">
        <f aca="false">IF(CQ1270&gt;0,INDEX(Parameter!$H$5:$H$7,W1270)/INDEX(Parameter!$E$5:$E$7,W1270),IF(AND(BZ1270=0,N(IFERROR(VLOOKUP(BX1270,'Gebinde-Kategorie'!$A$5:$N$45,14,0),0))&gt;0),VLOOKUP(BX1270,'Gebinde-Kategorie'!$A$5:$N$45,14,0)*10+Parameter!$M$23,Parameter!$M$24))</f>
        <v>235</v>
      </c>
      <c r="CC1270" s="48" t="str">
        <f aca="false">IF(AND(Parameter!$B$19="Ja",E1270&lt;&gt;"",ISNUMBER(MATCH(E1270,Parameter!$I$35:$I$52,0))),VLOOKUP(E1270,Parameter!$I$35:$J$52,2,0),IFERROR(VLOOKUP(D1270,Parameter!$A$35:$C$64,2,0),"Nein"))</f>
        <v>2+3</v>
      </c>
      <c r="CD1270" s="52" t="n">
        <f aca="false">IF(BZ1270=0,0,IF(N(S1270)&gt;0,S1270,IFERROR(VLOOKUP(D1270,Parameter!$A$35:$C$64,3,0)+0,0)))</f>
        <v>0</v>
      </c>
      <c r="CE1270" s="48" t="n">
        <f aca="false">IF(AA1270&lt;&gt;"",AA1270,Z1270)</f>
        <v>2</v>
      </c>
      <c r="CF1270" s="48" t="str">
        <f aca="false">IF(OR(CE1270=1,CE1270=2,CE1270=3),IF(Parameter!$E$27="Ja","LIFT",IF(CE1270=1,"L1","L23")),IF(CE1270="Aussen","Aussen","-"))</f>
        <v>LIFT</v>
      </c>
      <c r="CG1270" s="59" t="n">
        <f aca="false">IF(N(AB1270)&gt;0,AB1270,0)</f>
        <v>0</v>
      </c>
      <c r="CH1270" s="53" t="n">
        <f aca="false">IF(ISNUMBER(AE1270),1,0)</f>
        <v>0</v>
      </c>
      <c r="CI1270" s="50" t="n">
        <f aca="false">N(AE1270)</f>
        <v>0</v>
      </c>
      <c r="CJ1270" s="50" t="n">
        <f aca="false">N(M1270)+N(N1270)</f>
        <v>5</v>
      </c>
      <c r="CK1270" s="50" t="n">
        <f aca="false">N(M1270)</f>
        <v>0</v>
      </c>
      <c r="CL1270" s="50" t="n">
        <f aca="false">N(N1270)</f>
        <v>5</v>
      </c>
      <c r="CM1270" s="50" t="n">
        <f aca="false">ROUNDUP(H1270/BY1270,0)</f>
        <v>1</v>
      </c>
      <c r="CN1270" s="50" t="n">
        <f aca="false">ROUNDUP(CI1270/BY1270,0)</f>
        <v>0</v>
      </c>
      <c r="CO1270" s="53" t="n">
        <f aca="false">IF(BZ1270=1,0,IFERROR(VLOOKUP(BX1270,'Gebinde-Kategorie'!$A$5:$N$45,5,0)+0,0))</f>
        <v>20</v>
      </c>
      <c r="CP1270" s="53" t="n">
        <f aca="false">IFERROR(IF(OR(CE1270=1,CE1270=2,CE1270=3),N(INDEX(Parameter!$I$5:$I$7,CE1270)),0),0)</f>
        <v>0</v>
      </c>
      <c r="CQ1270" s="52" t="n">
        <f aca="false">IF(AND(Parameter!$B$21="Ja",ISNUMBER(W1270),N(X1270)&gt;0),IFERROR(N(INDEX(Parameter!$L$5:$L$7,W1270))*INDEX(Parameter!$E$5:$E$7,W1270)*X1270/SUMIFS($X$7:$X$1843,$W$7:$W$1843,W1270),0),0)</f>
        <v>0</v>
      </c>
    </row>
    <row r="1271" customFormat="false" ht="15" hidden="false" customHeight="false" outlineLevel="0" collapsed="false">
      <c r="A1271" s="48" t="s">
        <v>2280</v>
      </c>
      <c r="B1271" s="48" t="s">
        <v>2281</v>
      </c>
      <c r="C1271" s="48" t="s">
        <v>173</v>
      </c>
      <c r="D1271" s="48" t="s">
        <v>193</v>
      </c>
      <c r="E1271" s="48" t="s">
        <v>194</v>
      </c>
      <c r="F1271" s="48" t="s">
        <v>227</v>
      </c>
      <c r="G1271" s="49" t="n">
        <v>315.61</v>
      </c>
      <c r="H1271" s="50" t="n">
        <f aca="false">MAX(0,IF(AND(Parameter!$B$21="Ja",ISNUMBER(Y1271)),Y1271,IF(Parameter!$B$20="Jahresanfang 2025 + Export",BR1271+BQ1271,BQ1271)))</f>
        <v>4</v>
      </c>
      <c r="I1271" s="50" t="n">
        <f aca="false">H1271*G1271</f>
        <v>1262.44</v>
      </c>
      <c r="J1271" s="50" t="n">
        <f aca="false">BT1271*Parameter!$B$18</f>
        <v>1</v>
      </c>
      <c r="K1271" s="51" t="n">
        <v>6.5</v>
      </c>
      <c r="L1271" s="52" t="n">
        <v>0.153846153846154</v>
      </c>
      <c r="M1271" s="50" t="n">
        <v>0</v>
      </c>
      <c r="N1271" s="50" t="n">
        <v>1</v>
      </c>
      <c r="O1271" s="53" t="n">
        <v>21</v>
      </c>
      <c r="P1271" s="48" t="s">
        <v>311</v>
      </c>
      <c r="Q1271" s="50" t="n">
        <v>4</v>
      </c>
      <c r="R1271" s="53" t="n">
        <f aca="false">IF(BZ1271=1,0,IFERROR(VLOOKUP(BX1271,'Gebinde-Kategorie'!$A$5:$N$45,13,0)+0,0))</f>
        <v>26</v>
      </c>
      <c r="S1271" s="54"/>
      <c r="T1271" s="55"/>
      <c r="U1271" s="55"/>
      <c r="V1271" s="55"/>
      <c r="W1271" s="48"/>
      <c r="X1271" s="50"/>
      <c r="Y1271" s="50"/>
      <c r="Z1271" s="48" t="n">
        <f aca="false">IF(A1271="","",IF(AND(Parameter!$B$21="Ja",ISNUMBER(W1271)),W1271,IF(CC1271="2+3",IF(ISNUMBER(SEARCH("grosser Artikel",BU1271)),2,IFERROR(VLOOKUP(BX1271,Parameter!$F$35:$G$64,2,0),2)),IF(OR(CC1271="Nein",CC1271=""),"-",CC1271))))</f>
        <v>3</v>
      </c>
      <c r="AA1271" s="55"/>
      <c r="AB1271" s="56"/>
      <c r="AC1271" s="50" t="n">
        <f aca="false">AV1271</f>
        <v>1</v>
      </c>
      <c r="AD1271" s="50" t="n">
        <f aca="false">MAX(AV1271,H1271)</f>
        <v>4</v>
      </c>
      <c r="AE1271" s="57"/>
      <c r="AF1271" s="50" t="n">
        <f aca="false">IF(LEFT(Cockpit!$C$5,1)="A",H1271,IF(Parameter!$E$30="MAX-Bestand",IF(CH1271=1,CI1271,IF(LEFT(Cockpit!$C$5,1)="B",AL1271,MAX(AL1271,H1271))),ROUNDUP(AJ1271,0)))</f>
        <v>4</v>
      </c>
      <c r="AG1271" s="50" t="n">
        <f aca="false">IF(BZ1271=1,0,ROUNDUP(AF1271/BY1271,0))</f>
        <v>1</v>
      </c>
      <c r="AH1271" s="52" t="n">
        <f aca="false">IF(CQ1271&gt;0,CQ1271*MAX(1,AF1271/X1271),IF(BZ1271=1,IF(AF1271&lt;=0,0,CD1271*MAX(1,IF(H1271&gt;0,AF1271/H1271,1))),IF(R1271&gt;0,AG1271/R1271,0))/MAX(0.1,N(Parameter!$M$21)))</f>
        <v>0.0384615384615385</v>
      </c>
      <c r="AI1271" s="50" t="n">
        <f aca="false">AH1271*CB1271</f>
        <v>5.96153846153846</v>
      </c>
      <c r="AJ1271" s="51" t="n">
        <f aca="false">IF(LEFT(Cockpit!$C$5,1)="A",H1271,IF(CH1271=1,(CK1271+CI1271)/2,IF(LEFT(Cockpit!$C$5,1)="B",(CK1271+AL1271)/2,MAX((CK1271+AL1271)/2,H1271))))</f>
        <v>4</v>
      </c>
      <c r="AK1271" s="50" t="n">
        <f aca="false">AJ1271*G1271</f>
        <v>1262.44</v>
      </c>
      <c r="AL1271" s="50" t="n">
        <f aca="false">ROUNDUP(CK1271+MAX(CL1271,2*(J1271/IF(CG1271&gt;0,CG1271,MAX(0.1,N(Cockpit!$C$6)))-CK1271)),0)</f>
        <v>1</v>
      </c>
      <c r="AM1271" s="51" t="n">
        <f aca="false">IF(AI1271&gt;0,J1271/AI1271,-1)</f>
        <v>0.167741935483871</v>
      </c>
      <c r="AN1271" s="51" t="n">
        <f aca="false">IF(AND(OR(CF1271="L1",CF1271="L23",CF1271="LIFT"),AI1271&gt;0),SUMIFS($AI$7:$AI$1843,$CF$7:$CF$1843,CF1271,$AM$7:$AM$1843,"&gt;"&amp;AM1271)+SUMIFS($AI$7:$AI$1843,$CF$7:$CF$1843,CF1271,$AM$7:$AM$1843,AM1271,$BW$7:$BW$1843,"&lt;="&amp;BW1271),"")</f>
        <v>12757.233720846</v>
      </c>
      <c r="AO1271" s="58" t="n">
        <f aca="false">IF(AN1271="",0,MAX(0,MIN(1,(IF(CF1271="L1",Parameter!$H$5,IF(CF1271="L23",Parameter!$H$6+Parameter!$H$7,Parameter!$H$5+Parameter!$H$6+Parameter!$H$7))-(AN1271-AI1271))/AI1271)))</f>
        <v>1</v>
      </c>
      <c r="AP1271" s="50" t="n">
        <f aca="false">IF(LEFT(Cockpit!$I$5,1)="A",H1271,IF(Parameter!$E$30="MAX-Bestand",IF(CH1271=1,CI1271,IF(LEFT(Cockpit!$I$5,1)="B",AV1271,MAX(AV1271,H1271))),ROUNDUP(AT1271,0)))</f>
        <v>4</v>
      </c>
      <c r="AQ1271" s="50" t="n">
        <f aca="false">IF(BZ1271=1,0,ROUNDUP(AP1271/BY1271,0))</f>
        <v>1</v>
      </c>
      <c r="AR1271" s="52" t="n">
        <f aca="false">IF(CQ1271&gt;0,CQ1271*MAX(1,AP1271/X1271),IF(BZ1271=1,IF(AP1271&lt;=0,0,CD1271*MAX(1,IF(H1271&gt;0,AP1271/H1271,1))),IF(R1271&gt;0,AQ1271/R1271,0))/MAX(0.1,N(Parameter!$M$21)))</f>
        <v>0.0384615384615385</v>
      </c>
      <c r="AS1271" s="50" t="n">
        <f aca="false">AR1271*CB1271</f>
        <v>5.96153846153846</v>
      </c>
      <c r="AT1271" s="51" t="n">
        <f aca="false">IF(LEFT(Cockpit!$I$5,1)="A",H1271,IF(CH1271=1,(CK1271+CI1271)/2,IF(LEFT(Cockpit!$I$5,1)="B",(CK1271+AV1271)/2,MAX((CK1271+AV1271)/2,H1271))))</f>
        <v>4</v>
      </c>
      <c r="AU1271" s="50" t="n">
        <f aca="false">AT1271*G1271</f>
        <v>1262.44</v>
      </c>
      <c r="AV1271" s="50" t="n">
        <f aca="false">ROUNDUP(CK1271+MAX(CL1271,2*(J1271/IF(CG1271&gt;0,CG1271,MAX(0.1,N(Cockpit!$I$6)))-CK1271)),0)</f>
        <v>1</v>
      </c>
      <c r="AW1271" s="51" t="n">
        <f aca="false">IF(AS1271&gt;0,J1271/AS1271,-1)</f>
        <v>0.167741935483871</v>
      </c>
      <c r="AX1271" s="51" t="n">
        <f aca="false">IF(AND(OR(CF1271="L1",CF1271="L23",CF1271="LIFT"),AS1271&gt;0),SUMIFS($AS$7:$AS$1843,$CF$7:$CF$1843,CF1271,$AW$7:$AW$1843,"&gt;"&amp;AW1271)+SUMIFS($AS$7:$AS$1843,$CF$7:$CF$1843,CF1271,$AW$7:$AW$1843,AW1271,$BW$7:$BW$1843,"&lt;="&amp;BW1271),"")</f>
        <v>15685.9143772894</v>
      </c>
      <c r="AY1271" s="58" t="n">
        <f aca="false">IF(AX1271="",0,MAX(0,MIN(1,(IF(CF1271="L1",Parameter!$H$5,IF(CF1271="L23",Parameter!$H$6+Parameter!$H$7,Parameter!$H$5+Parameter!$H$6+Parameter!$H$7))-(AX1271-AS1271))/AS1271)))</f>
        <v>1</v>
      </c>
      <c r="AZ1271" s="50" t="n">
        <f aca="false">IF(LEFT(Cockpit!$O$5,1)="A",H1271,IF(Parameter!$E$30="MAX-Bestand",IF(CH1271=1,CI1271,IF(LEFT(Cockpit!$O$5,1)="B",BF1271,MAX(BF1271,H1271))),ROUNDUP(BD1271,0)))</f>
        <v>1</v>
      </c>
      <c r="BA1271" s="50" t="n">
        <f aca="false">IF(BZ1271=1,0,ROUNDUP(AZ1271/BY1271,0))</f>
        <v>1</v>
      </c>
      <c r="BB1271" s="52" t="n">
        <f aca="false">IF(CQ1271&gt;0,CQ1271*MAX(1,AZ1271/X1271),IF(BZ1271=1,IF(AZ1271&lt;=0,0,CD1271*MAX(1,IF(H1271&gt;0,AZ1271/H1271,1))),IF(R1271&gt;0,BA1271/R1271,0))/MAX(0.1,N(Parameter!$M$21)))</f>
        <v>0.0384615384615385</v>
      </c>
      <c r="BC1271" s="50" t="n">
        <f aca="false">BB1271*CB1271</f>
        <v>5.96153846153846</v>
      </c>
      <c r="BD1271" s="51" t="n">
        <f aca="false">IF(LEFT(Cockpit!$O$5,1)="A",H1271,IF(CH1271=1,(CK1271+CI1271)/2,IF(LEFT(Cockpit!$O$5,1)="B",(CK1271+BF1271)/2,MAX((CK1271+BF1271)/2,H1271))))</f>
        <v>0.5</v>
      </c>
      <c r="BE1271" s="50" t="n">
        <f aca="false">BD1271*G1271</f>
        <v>157.805</v>
      </c>
      <c r="BF1271" s="50" t="n">
        <f aca="false">ROUNDUP(CK1271+MAX(CL1271,2*(J1271/IF(CG1271&gt;0,CG1271,MAX(0.1,N(Cockpit!$O$6)))-CK1271)),0)</f>
        <v>1</v>
      </c>
      <c r="BG1271" s="51" t="n">
        <f aca="false">IF(BC1271&gt;0,J1271/BC1271,-1)</f>
        <v>0.167741935483871</v>
      </c>
      <c r="BH1271" s="51" t="n">
        <f aca="false">IF(AND(OR(CF1271="L1",CF1271="L23",CF1271="LIFT"),BC1271&gt;0),SUMIFS($BC$7:$BC$1843,$CF$7:$CF$1843,CF1271,$BG$7:$BG$1843,"&gt;"&amp;BG1271)+SUMIFS($BC$7:$BC$1843,$CF$7:$CF$1843,CF1271,$BG$7:$BG$1843,BG1271,$BW$7:$BW$1843,"&lt;="&amp;BW1271),"")</f>
        <v>13488.2142055214</v>
      </c>
      <c r="BI1271" s="58" t="n">
        <f aca="false">IF(BH1271="",0,MAX(0,MIN(1,(IF(CF1271="L1",Parameter!$H$5,IF(CF1271="L23",Parameter!$H$6+Parameter!$H$7,Parameter!$H$5+Parameter!$H$6+Parameter!$H$7))-(BH1271-BC1271))/BC1271)))</f>
        <v>1</v>
      </c>
      <c r="BJ1271" s="48" t="str">
        <f aca="false">IF(AI1271&lt;=0,"",IF(CF1271="Aussen","Aussenlager",IF(CF1271="-","Nicht im Lift",IF(AO1271&gt;=1,"Lift",IF(AO1271&lt;=0,"Aussenlager","teilweise")))))</f>
        <v>Lift</v>
      </c>
      <c r="BK1271" s="48" t="str">
        <f aca="false">IF(AS1271&lt;=0,"",IF(CF1271="Aussen","Aussenlager",IF(CF1271="-","Nicht im Lift",IF(AY1271&gt;=1,"Lift",IF(AY1271&lt;=0,"Aussenlager","teilweise")))))</f>
        <v>Lift</v>
      </c>
      <c r="BL1271" s="48" t="str">
        <f aca="false">IF(BC1271&lt;=0,"",IF(CF1271="Aussen","Aussenlager",IF(CF1271="-","Nicht im Lift",IF(BI1271&gt;=1,"Lift",IF(BI1271&lt;=0,"Aussenlager","teilweise")))))</f>
        <v>Lift</v>
      </c>
      <c r="BM1271" s="48" t="str">
        <f aca="false">IF(A1271="","",IF(BV1271=1,"Neu; ","")&amp;IF(AND(BV1271=0,BQ1271&lt;0),"negativer Bestand (Export "&amp;BQ1271&amp;"); ","")&amp;IF(J1271&lt;=0,"Kein Verbrauch; ","")&amp;IF(CQ1271&gt;0,"Lift "&amp;W1271&amp;" lt. Liftbericht (Fach "&amp;X1271&amp;" Stk); ",IF(CA1271=1,"Gebinde geschätzt ("&amp;T1271&amp;"); ",IF(BZ1271=1,"Lose – Tablare geschätzt; ","")))&amp;IF(H1271&gt;AV1271,"Überbestand "&amp;ROUND(H1271-AV1271,0)&amp;" Stk / CHF "&amp;ROUND((H1271-AV1271)*G1271,0)&amp;"; ","")&amp;IF(AND(CH1271=1,CI1271&lt;CJ1271),"MAX &lt; MB+LG; ","")&amp;IF(AND(CP1271&gt;0,CO1271*10&gt;CP1271),"zu hoch für Tablar; ","")&amp;IF(AND(BV1271=0,OR(CH1271=1,AA1271&lt;&gt;"",U1271&lt;&gt;"",V1271&lt;&gt;"",AB1271&lt;&gt;"")),"manuell übersteuert; ","")&amp;IF(AND(BZ1271=0,R1271=0),"Gebinde unbekannt / Stellmass fehlt; ","")&amp;IF(AND(BZ1271=0,N(V1271)&lt;=0,N(Q1271)&lt;=0),"Menge pro Gebinde fehlt (Ist = 1 Gebinde); ","")&amp;BU1271)</f>
        <v>negativer Bestand (Export -3); Überbestand 3 Stk / CHF 947; Neu</v>
      </c>
      <c r="BN1271" s="48"/>
      <c r="BO1271" s="48"/>
      <c r="BP1271" s="55"/>
      <c r="BQ1271" s="50" t="n">
        <v>-3</v>
      </c>
      <c r="BR1271" s="50" t="n">
        <v>7</v>
      </c>
      <c r="BS1271" s="49" t="n">
        <v>-946.83</v>
      </c>
      <c r="BT1271" s="50" t="n">
        <v>1</v>
      </c>
      <c r="BU1271" s="48" t="s">
        <v>635</v>
      </c>
      <c r="BV1271" s="53" t="n">
        <v>0</v>
      </c>
      <c r="BW1271" s="53" t="n">
        <v>1271</v>
      </c>
      <c r="BX1271" s="48" t="str">
        <f aca="false">IF(U1271&lt;&gt;"",UPPER(TRIM(U1271)),IF(CA1271=1,UPPER(VLOOKUP(T1271,Parameter!$I$27:$K$29,2,0)),IF(P1271="","LOSE",P1271)))</f>
        <v>S51</v>
      </c>
      <c r="BY1271" s="50" t="n">
        <f aca="false">IF(BX1271="LOSE",1,IF(N(V1271)&gt;0,V1271,IF(CA1271=1,MAX(1,N(VLOOKUP(T1271,Parameter!$I$27:$K$29,3,0)),H1271,N(N1271)),IF(N(Q1271)&gt;0,Q1271,MAX(1,H1271)))))</f>
        <v>4</v>
      </c>
      <c r="BZ1271" s="53" t="n">
        <f aca="false">IF(BX1271="LOSE",1,0)</f>
        <v>0</v>
      </c>
      <c r="CA1271" s="53" t="n">
        <f aca="false">IF(AND(U1271="",OR(P1271="",P1271="LOSE"),T1271&lt;&gt;"",N(S1271)&lt;=0,ISNUMBER(MATCH(T1271,Parameter!$I$27:$I$29,0))),1,0)</f>
        <v>0</v>
      </c>
      <c r="CB1271" s="53" t="n">
        <f aca="false">IF(CQ1271&gt;0,INDEX(Parameter!$H$5:$H$7,W1271)/INDEX(Parameter!$E$5:$E$7,W1271),IF(AND(BZ1271=0,N(IFERROR(VLOOKUP(BX1271,'Gebinde-Kategorie'!$A$5:$N$45,14,0),0))&gt;0),VLOOKUP(BX1271,'Gebinde-Kategorie'!$A$5:$N$45,14,0)*10+Parameter!$M$23,Parameter!$M$24))</f>
        <v>155</v>
      </c>
      <c r="CC1271" s="48" t="str">
        <f aca="false">IF(AND(Parameter!$B$19="Ja",E1271&lt;&gt;"",ISNUMBER(MATCH(E1271,Parameter!$I$35:$I$52,0))),VLOOKUP(E1271,Parameter!$I$35:$J$52,2,0),IFERROR(VLOOKUP(D1271,Parameter!$A$35:$C$64,2,0),"Nein"))</f>
        <v>2+3</v>
      </c>
      <c r="CD1271" s="52" t="n">
        <f aca="false">IF(BZ1271=0,0,IF(N(S1271)&gt;0,S1271,IFERROR(VLOOKUP(D1271,Parameter!$A$35:$C$64,3,0)+0,0)))</f>
        <v>0</v>
      </c>
      <c r="CE1271" s="48" t="n">
        <f aca="false">IF(AA1271&lt;&gt;"",AA1271,Z1271)</f>
        <v>3</v>
      </c>
      <c r="CF1271" s="48" t="str">
        <f aca="false">IF(OR(CE1271=1,CE1271=2,CE1271=3),IF(Parameter!$E$27="Ja","LIFT",IF(CE1271=1,"L1","L23")),IF(CE1271="Aussen","Aussen","-"))</f>
        <v>LIFT</v>
      </c>
      <c r="CG1271" s="59" t="n">
        <f aca="false">IF(N(AB1271)&gt;0,AB1271,0)</f>
        <v>0</v>
      </c>
      <c r="CH1271" s="53" t="n">
        <f aca="false">IF(ISNUMBER(AE1271),1,0)</f>
        <v>0</v>
      </c>
      <c r="CI1271" s="50" t="n">
        <f aca="false">N(AE1271)</f>
        <v>0</v>
      </c>
      <c r="CJ1271" s="50" t="n">
        <f aca="false">N(M1271)+N(N1271)</f>
        <v>1</v>
      </c>
      <c r="CK1271" s="50" t="n">
        <f aca="false">N(M1271)</f>
        <v>0</v>
      </c>
      <c r="CL1271" s="50" t="n">
        <f aca="false">N(N1271)</f>
        <v>1</v>
      </c>
      <c r="CM1271" s="50" t="n">
        <f aca="false">ROUNDUP(H1271/BY1271,0)</f>
        <v>1</v>
      </c>
      <c r="CN1271" s="50" t="n">
        <f aca="false">ROUNDUP(CI1271/BY1271,0)</f>
        <v>0</v>
      </c>
      <c r="CO1271" s="53" t="n">
        <f aca="false">IF(BZ1271=1,0,IFERROR(VLOOKUP(BX1271,'Gebinde-Kategorie'!$A$5:$N$45,5,0)+0,0))</f>
        <v>11</v>
      </c>
      <c r="CP1271" s="53" t="n">
        <f aca="false">IFERROR(IF(OR(CE1271=1,CE1271=2,CE1271=3),N(INDEX(Parameter!$I$5:$I$7,CE1271)),0),0)</f>
        <v>0</v>
      </c>
      <c r="CQ1271" s="52" t="n">
        <f aca="false">IF(AND(Parameter!$B$21="Ja",ISNUMBER(W1271),N(X1271)&gt;0),IFERROR(N(INDEX(Parameter!$L$5:$L$7,W1271))*INDEX(Parameter!$E$5:$E$7,W1271)*X1271/SUMIFS($X$7:$X$1843,$W$7:$W$1843,W1271),0),0)</f>
        <v>0</v>
      </c>
    </row>
    <row r="1272" customFormat="false" ht="15" hidden="false" customHeight="false" outlineLevel="0" collapsed="false">
      <c r="A1272" s="48" t="s">
        <v>2282</v>
      </c>
      <c r="B1272" s="48" t="s">
        <v>2283</v>
      </c>
      <c r="C1272" s="48" t="s">
        <v>173</v>
      </c>
      <c r="D1272" s="48" t="s">
        <v>182</v>
      </c>
      <c r="E1272" s="48"/>
      <c r="F1272" s="48" t="s">
        <v>227</v>
      </c>
      <c r="G1272" s="49" t="n">
        <v>317.25</v>
      </c>
      <c r="H1272" s="50" t="n">
        <f aca="false">MAX(0,IF(AND(Parameter!$B$21="Ja",ISNUMBER(Y1272)),Y1272,IF(Parameter!$B$20="Jahresanfang 2025 + Export",BR1272+BQ1272,BQ1272)))</f>
        <v>7</v>
      </c>
      <c r="I1272" s="50" t="n">
        <f aca="false">H1272*G1272</f>
        <v>2220.75</v>
      </c>
      <c r="J1272" s="50" t="n">
        <f aca="false">BT1272*Parameter!$B$18</f>
        <v>2</v>
      </c>
      <c r="K1272" s="51" t="n">
        <v>9</v>
      </c>
      <c r="L1272" s="52" t="n">
        <v>0.222222222222222</v>
      </c>
      <c r="M1272" s="50" t="n">
        <v>0</v>
      </c>
      <c r="N1272" s="50" t="n">
        <v>1</v>
      </c>
      <c r="O1272" s="53" t="n">
        <v>35</v>
      </c>
      <c r="P1272" s="48" t="s">
        <v>183</v>
      </c>
      <c r="Q1272" s="50" t="n">
        <v>10</v>
      </c>
      <c r="R1272" s="53" t="n">
        <f aca="false">IF(BZ1272=1,0,IFERROR(VLOOKUP(BX1272,'Gebinde-Kategorie'!$A$5:$N$45,13,0)+0,0))</f>
        <v>6</v>
      </c>
      <c r="S1272" s="54"/>
      <c r="T1272" s="55"/>
      <c r="U1272" s="55"/>
      <c r="V1272" s="55"/>
      <c r="W1272" s="48"/>
      <c r="X1272" s="50"/>
      <c r="Y1272" s="50"/>
      <c r="Z1272" s="48" t="n">
        <f aca="false">IF(A1272="","",IF(AND(Parameter!$B$21="Ja",ISNUMBER(W1272)),W1272,IF(CC1272="2+3",IF(ISNUMBER(SEARCH("grosser Artikel",BU1272)),2,IFERROR(VLOOKUP(BX1272,Parameter!$F$35:$G$64,2,0),2)),IF(OR(CC1272="Nein",CC1272=""),"-",CC1272))))</f>
        <v>2</v>
      </c>
      <c r="AA1272" s="55"/>
      <c r="AB1272" s="56"/>
      <c r="AC1272" s="50" t="n">
        <f aca="false">AV1272</f>
        <v>2</v>
      </c>
      <c r="AD1272" s="50" t="n">
        <f aca="false">MAX(AV1272,H1272)</f>
        <v>7</v>
      </c>
      <c r="AE1272" s="57"/>
      <c r="AF1272" s="50" t="n">
        <f aca="false">IF(LEFT(Cockpit!$C$5,1)="A",H1272,IF(Parameter!$E$30="MAX-Bestand",IF(CH1272=1,CI1272,IF(LEFT(Cockpit!$C$5,1)="B",AL1272,MAX(AL1272,H1272))),ROUNDUP(AJ1272,0)))</f>
        <v>7</v>
      </c>
      <c r="AG1272" s="50" t="n">
        <f aca="false">IF(BZ1272=1,0,ROUNDUP(AF1272/BY1272,0))</f>
        <v>1</v>
      </c>
      <c r="AH1272" s="52" t="n">
        <f aca="false">IF(CQ1272&gt;0,CQ1272*MAX(1,AF1272/X1272),IF(BZ1272=1,IF(AF1272&lt;=0,0,CD1272*MAX(1,IF(H1272&gt;0,AF1272/H1272,1))),IF(R1272&gt;0,AG1272/R1272,0))/MAX(0.1,N(Parameter!$M$21)))</f>
        <v>0.166666666666667</v>
      </c>
      <c r="AI1272" s="50" t="n">
        <f aca="false">AH1272*CB1272</f>
        <v>39.1666666666667</v>
      </c>
      <c r="AJ1272" s="51" t="n">
        <f aca="false">IF(LEFT(Cockpit!$C$5,1)="A",H1272,IF(CH1272=1,(CK1272+CI1272)/2,IF(LEFT(Cockpit!$C$5,1)="B",(CK1272+AL1272)/2,MAX((CK1272+AL1272)/2,H1272))))</f>
        <v>7</v>
      </c>
      <c r="AK1272" s="50" t="n">
        <f aca="false">AJ1272*G1272</f>
        <v>2220.75</v>
      </c>
      <c r="AL1272" s="50" t="n">
        <f aca="false">ROUNDUP(CK1272+MAX(CL1272,2*(J1272/IF(CG1272&gt;0,CG1272,MAX(0.1,N(Cockpit!$C$6)))-CK1272)),0)</f>
        <v>2</v>
      </c>
      <c r="AM1272" s="51" t="n">
        <f aca="false">IF(AI1272&gt;0,J1272/AI1272,-1)</f>
        <v>0.0510638297872341</v>
      </c>
      <c r="AN1272" s="51" t="n">
        <f aca="false">IF(AND(OR(CF1272="L1",CF1272="L23",CF1272="LIFT"),AI1272&gt;0),SUMIFS($AI$7:$AI$1843,$CF$7:$CF$1843,CF1272,$AM$7:$AM$1843,"&gt;"&amp;AM1272)+SUMIFS($AI$7:$AI$1843,$CF$7:$CF$1843,CF1272,$AM$7:$AM$1843,AM1272,$BW$7:$BW$1843,"&lt;="&amp;BW1272),"")</f>
        <v>19219.8957880632</v>
      </c>
      <c r="AO1272" s="58" t="n">
        <f aca="false">IF(AN1272="",0,MAX(0,MIN(1,(IF(CF1272="L1",Parameter!$H$5,IF(CF1272="L23",Parameter!$H$6+Parameter!$H$7,Parameter!$H$5+Parameter!$H$6+Parameter!$H$7))-(AN1272-AI1272))/AI1272)))</f>
        <v>1</v>
      </c>
      <c r="AP1272" s="50" t="n">
        <f aca="false">IF(LEFT(Cockpit!$I$5,1)="A",H1272,IF(Parameter!$E$30="MAX-Bestand",IF(CH1272=1,CI1272,IF(LEFT(Cockpit!$I$5,1)="B",AV1272,MAX(AV1272,H1272))),ROUNDUP(AT1272,0)))</f>
        <v>7</v>
      </c>
      <c r="AQ1272" s="50" t="n">
        <f aca="false">IF(BZ1272=1,0,ROUNDUP(AP1272/BY1272,0))</f>
        <v>1</v>
      </c>
      <c r="AR1272" s="52" t="n">
        <f aca="false">IF(CQ1272&gt;0,CQ1272*MAX(1,AP1272/X1272),IF(BZ1272=1,IF(AP1272&lt;=0,0,CD1272*MAX(1,IF(H1272&gt;0,AP1272/H1272,1))),IF(R1272&gt;0,AQ1272/R1272,0))/MAX(0.1,N(Parameter!$M$21)))</f>
        <v>0.166666666666667</v>
      </c>
      <c r="AS1272" s="50" t="n">
        <f aca="false">AR1272*CB1272</f>
        <v>39.1666666666667</v>
      </c>
      <c r="AT1272" s="51" t="n">
        <f aca="false">IF(LEFT(Cockpit!$I$5,1)="A",H1272,IF(CH1272=1,(CK1272+CI1272)/2,IF(LEFT(Cockpit!$I$5,1)="B",(CK1272+AV1272)/2,MAX((CK1272+AV1272)/2,H1272))))</f>
        <v>7</v>
      </c>
      <c r="AU1272" s="50" t="n">
        <f aca="false">AT1272*G1272</f>
        <v>2220.75</v>
      </c>
      <c r="AV1272" s="50" t="n">
        <f aca="false">ROUNDUP(CK1272+MAX(CL1272,2*(J1272/IF(CG1272&gt;0,CG1272,MAX(0.1,N(Cockpit!$I$6)))-CK1272)),0)</f>
        <v>2</v>
      </c>
      <c r="AW1272" s="51" t="n">
        <f aca="false">IF(AS1272&gt;0,J1272/AS1272,-1)</f>
        <v>0.0510638297872341</v>
      </c>
      <c r="AX1272" s="51" t="n">
        <f aca="false">IF(AND(OR(CF1272="L1",CF1272="L23",CF1272="LIFT"),AS1272&gt;0),SUMIFS($AS$7:$AS$1843,$CF$7:$CF$1843,CF1272,$AW$7:$AW$1843,"&gt;"&amp;AW1272)+SUMIFS($AS$7:$AS$1843,$CF$7:$CF$1843,CF1272,$AW$7:$AW$1843,AW1272,$BW$7:$BW$1843,"&lt;="&amp;BW1272),"")</f>
        <v>24338.0444294406</v>
      </c>
      <c r="AY1272" s="58" t="n">
        <f aca="false">IF(AX1272="",0,MAX(0,MIN(1,(IF(CF1272="L1",Parameter!$H$5,IF(CF1272="L23",Parameter!$H$6+Parameter!$H$7,Parameter!$H$5+Parameter!$H$6+Parameter!$H$7))-(AX1272-AS1272))/AS1272)))</f>
        <v>1</v>
      </c>
      <c r="AZ1272" s="50" t="n">
        <f aca="false">IF(LEFT(Cockpit!$O$5,1)="A",H1272,IF(Parameter!$E$30="MAX-Bestand",IF(CH1272=1,CI1272,IF(LEFT(Cockpit!$O$5,1)="B",BF1272,MAX(BF1272,H1272))),ROUNDUP(BD1272,0)))</f>
        <v>1</v>
      </c>
      <c r="BA1272" s="50" t="n">
        <f aca="false">IF(BZ1272=1,0,ROUNDUP(AZ1272/BY1272,0))</f>
        <v>1</v>
      </c>
      <c r="BB1272" s="52" t="n">
        <f aca="false">IF(CQ1272&gt;0,CQ1272*MAX(1,AZ1272/X1272),IF(BZ1272=1,IF(AZ1272&lt;=0,0,CD1272*MAX(1,IF(H1272&gt;0,AZ1272/H1272,1))),IF(R1272&gt;0,BA1272/R1272,0))/MAX(0.1,N(Parameter!$M$21)))</f>
        <v>0.166666666666667</v>
      </c>
      <c r="BC1272" s="50" t="n">
        <f aca="false">BB1272*CB1272</f>
        <v>39.1666666666667</v>
      </c>
      <c r="BD1272" s="51" t="n">
        <f aca="false">IF(LEFT(Cockpit!$O$5,1)="A",H1272,IF(CH1272=1,(CK1272+CI1272)/2,IF(LEFT(Cockpit!$O$5,1)="B",(CK1272+BF1272)/2,MAX((CK1272+BF1272)/2,H1272))))</f>
        <v>0.5</v>
      </c>
      <c r="BE1272" s="50" t="n">
        <f aca="false">BD1272*G1272</f>
        <v>158.625</v>
      </c>
      <c r="BF1272" s="50" t="n">
        <f aca="false">ROUNDUP(CK1272+MAX(CL1272,2*(J1272/IF(CG1272&gt;0,CG1272,MAX(0.1,N(Cockpit!$O$6)))-CK1272)),0)</f>
        <v>1</v>
      </c>
      <c r="BG1272" s="51" t="n">
        <f aca="false">IF(BC1272&gt;0,J1272/BC1272,-1)</f>
        <v>0.0510638297872341</v>
      </c>
      <c r="BH1272" s="51" t="n">
        <f aca="false">IF(AND(OR(CF1272="L1",CF1272="L23",CF1272="LIFT"),BC1272&gt;0),SUMIFS($BC$7:$BC$1843,$CF$7:$CF$1843,CF1272,$BG$7:$BG$1843,"&gt;"&amp;BG1272)+SUMIFS($BC$7:$BC$1843,$CF$7:$CF$1843,CF1272,$BG$7:$BG$1843,BG1272,$BW$7:$BW$1843,"&lt;="&amp;BW1272),"")</f>
        <v>20228.3762727386</v>
      </c>
      <c r="BI1272" s="58" t="n">
        <f aca="false">IF(BH1272="",0,MAX(0,MIN(1,(IF(CF1272="L1",Parameter!$H$5,IF(CF1272="L23",Parameter!$H$6+Parameter!$H$7,Parameter!$H$5+Parameter!$H$6+Parameter!$H$7))-(BH1272-BC1272))/BC1272)))</f>
        <v>1</v>
      </c>
      <c r="BJ1272" s="48" t="str">
        <f aca="false">IF(AI1272&lt;=0,"",IF(CF1272="Aussen","Aussenlager",IF(CF1272="-","Nicht im Lift",IF(AO1272&gt;=1,"Lift",IF(AO1272&lt;=0,"Aussenlager","teilweise")))))</f>
        <v>Lift</v>
      </c>
      <c r="BK1272" s="48" t="str">
        <f aca="false">IF(AS1272&lt;=0,"",IF(CF1272="Aussen","Aussenlager",IF(CF1272="-","Nicht im Lift",IF(AY1272&gt;=1,"Lift",IF(AY1272&lt;=0,"Aussenlager","teilweise")))))</f>
        <v>Lift</v>
      </c>
      <c r="BL1272" s="48" t="str">
        <f aca="false">IF(BC1272&lt;=0,"",IF(CF1272="Aussen","Aussenlager",IF(CF1272="-","Nicht im Lift",IF(BI1272&gt;=1,"Lift",IF(BI1272&lt;=0,"Aussenlager","teilweise")))))</f>
        <v>Lift</v>
      </c>
      <c r="BM1272" s="48" t="str">
        <f aca="false">IF(A1272="","",IF(BV1272=1,"Neu; ","")&amp;IF(AND(BV1272=0,BQ1272&lt;0),"negativer Bestand (Export "&amp;BQ1272&amp;"); ","")&amp;IF(J1272&lt;=0,"Kein Verbrauch; ","")&amp;IF(CQ1272&gt;0,"Lift "&amp;W1272&amp;" lt. Liftbericht (Fach "&amp;X1272&amp;" Stk); ",IF(CA1272=1,"Gebinde geschätzt ("&amp;T1272&amp;"); ",IF(BZ1272=1,"Lose – Tablare geschätzt; ","")))&amp;IF(H1272&gt;AV1272,"Überbestand "&amp;ROUND(H1272-AV1272,0)&amp;" Stk / CHF "&amp;ROUND((H1272-AV1272)*G1272,0)&amp;"; ","")&amp;IF(AND(CH1272=1,CI1272&lt;CJ1272),"MAX &lt; MB+LG; ","")&amp;IF(AND(CP1272&gt;0,CO1272*10&gt;CP1272),"zu hoch für Tablar; ","")&amp;IF(AND(BV1272=0,OR(CH1272=1,AA1272&lt;&gt;"",U1272&lt;&gt;"",V1272&lt;&gt;"",AB1272&lt;&gt;"")),"manuell übersteuert; ","")&amp;IF(AND(BZ1272=0,R1272=0),"Gebinde unbekannt / Stellmass fehlt; ","")&amp;IF(AND(BZ1272=0,N(V1272)&lt;=0,N(Q1272)&lt;=0),"Menge pro Gebinde fehlt (Ist = 1 Gebinde); ","")&amp;BU1272)</f>
        <v>negativer Bestand (Export -3); Überbestand 5 Stk / CHF 1586; </v>
      </c>
      <c r="BN1272" s="48"/>
      <c r="BO1272" s="48"/>
      <c r="BP1272" s="55"/>
      <c r="BQ1272" s="50" t="n">
        <v>-3</v>
      </c>
      <c r="BR1272" s="50" t="n">
        <v>10</v>
      </c>
      <c r="BS1272" s="49" t="n">
        <v>-951.75</v>
      </c>
      <c r="BT1272" s="50" t="n">
        <v>2</v>
      </c>
      <c r="BU1272" s="48"/>
      <c r="BV1272" s="53" t="n">
        <v>0</v>
      </c>
      <c r="BW1272" s="53" t="n">
        <v>1272</v>
      </c>
      <c r="BX1272" s="48" t="str">
        <f aca="false">IF(U1272&lt;&gt;"",UPPER(TRIM(U1272)),IF(CA1272=1,UPPER(VLOOKUP(T1272,Parameter!$I$27:$K$29,2,0)),IF(P1272="","LOSE",P1272)))</f>
        <v>S71</v>
      </c>
      <c r="BY1272" s="50" t="n">
        <f aca="false">IF(BX1272="LOSE",1,IF(N(V1272)&gt;0,V1272,IF(CA1272=1,MAX(1,N(VLOOKUP(T1272,Parameter!$I$27:$K$29,3,0)),H1272,N(N1272)),IF(N(Q1272)&gt;0,Q1272,MAX(1,H1272)))))</f>
        <v>10</v>
      </c>
      <c r="BZ1272" s="53" t="n">
        <f aca="false">IF(BX1272="LOSE",1,0)</f>
        <v>0</v>
      </c>
      <c r="CA1272" s="53" t="n">
        <f aca="false">IF(AND(U1272="",OR(P1272="",P1272="LOSE"),T1272&lt;&gt;"",N(S1272)&lt;=0,ISNUMBER(MATCH(T1272,Parameter!$I$27:$I$29,0))),1,0)</f>
        <v>0</v>
      </c>
      <c r="CB1272" s="53" t="n">
        <f aca="false">IF(CQ1272&gt;0,INDEX(Parameter!$H$5:$H$7,W1272)/INDEX(Parameter!$E$5:$E$7,W1272),IF(AND(BZ1272=0,N(IFERROR(VLOOKUP(BX1272,'Gebinde-Kategorie'!$A$5:$N$45,14,0),0))&gt;0),VLOOKUP(BX1272,'Gebinde-Kategorie'!$A$5:$N$45,14,0)*10+Parameter!$M$23,Parameter!$M$24))</f>
        <v>235</v>
      </c>
      <c r="CC1272" s="48" t="str">
        <f aca="false">IF(AND(Parameter!$B$19="Ja",E1272&lt;&gt;"",ISNUMBER(MATCH(E1272,Parameter!$I$35:$I$52,0))),VLOOKUP(E1272,Parameter!$I$35:$J$52,2,0),IFERROR(VLOOKUP(D1272,Parameter!$A$35:$C$64,2,0),"Nein"))</f>
        <v>2+3</v>
      </c>
      <c r="CD1272" s="52" t="n">
        <f aca="false">IF(BZ1272=0,0,IF(N(S1272)&gt;0,S1272,IFERROR(VLOOKUP(D1272,Parameter!$A$35:$C$64,3,0)+0,0)))</f>
        <v>0</v>
      </c>
      <c r="CE1272" s="48" t="n">
        <f aca="false">IF(AA1272&lt;&gt;"",AA1272,Z1272)</f>
        <v>2</v>
      </c>
      <c r="CF1272" s="48" t="str">
        <f aca="false">IF(OR(CE1272=1,CE1272=2,CE1272=3),IF(Parameter!$E$27="Ja","LIFT",IF(CE1272=1,"L1","L23")),IF(CE1272="Aussen","Aussen","-"))</f>
        <v>LIFT</v>
      </c>
      <c r="CG1272" s="59" t="n">
        <f aca="false">IF(N(AB1272)&gt;0,AB1272,0)</f>
        <v>0</v>
      </c>
      <c r="CH1272" s="53" t="n">
        <f aca="false">IF(ISNUMBER(AE1272),1,0)</f>
        <v>0</v>
      </c>
      <c r="CI1272" s="50" t="n">
        <f aca="false">N(AE1272)</f>
        <v>0</v>
      </c>
      <c r="CJ1272" s="50" t="n">
        <f aca="false">N(M1272)+N(N1272)</f>
        <v>1</v>
      </c>
      <c r="CK1272" s="50" t="n">
        <f aca="false">N(M1272)</f>
        <v>0</v>
      </c>
      <c r="CL1272" s="50" t="n">
        <f aca="false">N(N1272)</f>
        <v>1</v>
      </c>
      <c r="CM1272" s="50" t="n">
        <f aca="false">ROUNDUP(H1272/BY1272,0)</f>
        <v>1</v>
      </c>
      <c r="CN1272" s="50" t="n">
        <f aca="false">ROUNDUP(CI1272/BY1272,0)</f>
        <v>0</v>
      </c>
      <c r="CO1272" s="53" t="n">
        <f aca="false">IF(BZ1272=1,0,IFERROR(VLOOKUP(BX1272,'Gebinde-Kategorie'!$A$5:$N$45,5,0)+0,0))</f>
        <v>20</v>
      </c>
      <c r="CP1272" s="53" t="n">
        <f aca="false">IFERROR(IF(OR(CE1272=1,CE1272=2,CE1272=3),N(INDEX(Parameter!$I$5:$I$7,CE1272)),0),0)</f>
        <v>0</v>
      </c>
      <c r="CQ1272" s="52" t="n">
        <f aca="false">IF(AND(Parameter!$B$21="Ja",ISNUMBER(W1272),N(X1272)&gt;0),IFERROR(N(INDEX(Parameter!$L$5:$L$7,W1272))*INDEX(Parameter!$E$5:$E$7,W1272)*X1272/SUMIFS($X$7:$X$1843,$W$7:$W$1843,W1272),0),0)</f>
        <v>0</v>
      </c>
    </row>
    <row r="1273" customFormat="false" ht="15" hidden="false" customHeight="false" outlineLevel="0" collapsed="false">
      <c r="A1273" s="48" t="s">
        <v>2284</v>
      </c>
      <c r="B1273" s="48" t="s">
        <v>2285</v>
      </c>
      <c r="C1273" s="48" t="s">
        <v>173</v>
      </c>
      <c r="D1273" s="48" t="s">
        <v>193</v>
      </c>
      <c r="E1273" s="48"/>
      <c r="F1273" s="48" t="s">
        <v>227</v>
      </c>
      <c r="G1273" s="49" t="n">
        <v>87.04</v>
      </c>
      <c r="H1273" s="50" t="n">
        <f aca="false">MAX(0,IF(AND(Parameter!$B$21="Ja",ISNUMBER(Y1273)),Y1273,IF(Parameter!$B$20="Jahresanfang 2025 + Export",BR1273+BQ1273,BQ1273)))</f>
        <v>46</v>
      </c>
      <c r="I1273" s="50" t="n">
        <f aca="false">H1273*G1273</f>
        <v>4003.84</v>
      </c>
      <c r="J1273" s="50" t="n">
        <f aca="false">BT1273*Parameter!$B$18</f>
        <v>1</v>
      </c>
      <c r="K1273" s="51" t="n">
        <v>52</v>
      </c>
      <c r="L1273" s="52" t="n">
        <v>0.0192307692307692</v>
      </c>
      <c r="M1273" s="50" t="n">
        <v>0</v>
      </c>
      <c r="N1273" s="50" t="n">
        <v>1</v>
      </c>
      <c r="O1273" s="53" t="n">
        <v>28</v>
      </c>
      <c r="P1273" s="48" t="s">
        <v>268</v>
      </c>
      <c r="Q1273" s="50" t="n">
        <v>50</v>
      </c>
      <c r="R1273" s="53" t="n">
        <f aca="false">IF(BZ1273=1,0,IFERROR(VLOOKUP(BX1273,'Gebinde-Kategorie'!$A$5:$N$45,13,0)+0,0))</f>
        <v>6</v>
      </c>
      <c r="S1273" s="54"/>
      <c r="T1273" s="55"/>
      <c r="U1273" s="55"/>
      <c r="V1273" s="55"/>
      <c r="W1273" s="48"/>
      <c r="X1273" s="50"/>
      <c r="Y1273" s="50"/>
      <c r="Z1273" s="48" t="n">
        <f aca="false">IF(A1273="","",IF(AND(Parameter!$B$21="Ja",ISNUMBER(W1273)),W1273,IF(CC1273="2+3",IF(ISNUMBER(SEARCH("grosser Artikel",BU1273)),2,IFERROR(VLOOKUP(BX1273,Parameter!$F$35:$G$64,2,0),2)),IF(OR(CC1273="Nein",CC1273=""),"-",CC1273))))</f>
        <v>2</v>
      </c>
      <c r="AA1273" s="55"/>
      <c r="AB1273" s="56"/>
      <c r="AC1273" s="50" t="n">
        <f aca="false">AV1273</f>
        <v>1</v>
      </c>
      <c r="AD1273" s="50" t="n">
        <f aca="false">MAX(AV1273,H1273)</f>
        <v>46</v>
      </c>
      <c r="AE1273" s="57"/>
      <c r="AF1273" s="50" t="n">
        <f aca="false">IF(LEFT(Cockpit!$C$5,1)="A",H1273,IF(Parameter!$E$30="MAX-Bestand",IF(CH1273=1,CI1273,IF(LEFT(Cockpit!$C$5,1)="B",AL1273,MAX(AL1273,H1273))),ROUNDUP(AJ1273,0)))</f>
        <v>46</v>
      </c>
      <c r="AG1273" s="50" t="n">
        <f aca="false">IF(BZ1273=1,0,ROUNDUP(AF1273/BY1273,0))</f>
        <v>1</v>
      </c>
      <c r="AH1273" s="52" t="n">
        <f aca="false">IF(CQ1273&gt;0,CQ1273*MAX(1,AF1273/X1273),IF(BZ1273=1,IF(AF1273&lt;=0,0,CD1273*MAX(1,IF(H1273&gt;0,AF1273/H1273,1))),IF(R1273&gt;0,AG1273/R1273,0))/MAX(0.1,N(Parameter!$M$21)))</f>
        <v>0.166666666666667</v>
      </c>
      <c r="AI1273" s="50" t="n">
        <f aca="false">AH1273*CB1273</f>
        <v>72.5</v>
      </c>
      <c r="AJ1273" s="51" t="n">
        <f aca="false">IF(LEFT(Cockpit!$C$5,1)="A",H1273,IF(CH1273=1,(CK1273+CI1273)/2,IF(LEFT(Cockpit!$C$5,1)="B",(CK1273+AL1273)/2,MAX((CK1273+AL1273)/2,H1273))))</f>
        <v>46</v>
      </c>
      <c r="AK1273" s="50" t="n">
        <f aca="false">AJ1273*G1273</f>
        <v>4003.84</v>
      </c>
      <c r="AL1273" s="50" t="n">
        <f aca="false">ROUNDUP(CK1273+MAX(CL1273,2*(J1273/IF(CG1273&gt;0,CG1273,MAX(0.1,N(Cockpit!$C$6)))-CK1273)),0)</f>
        <v>1</v>
      </c>
      <c r="AM1273" s="51" t="n">
        <f aca="false">IF(AI1273&gt;0,J1273/AI1273,-1)</f>
        <v>0.0137931034482759</v>
      </c>
      <c r="AN1273" s="51" t="n">
        <f aca="false">IF(AND(OR(CF1273="L1",CF1273="L23",CF1273="LIFT"),AI1273&gt;0),SUMIFS($AI$7:$AI$1843,$CF$7:$CF$1843,CF1273,$AM$7:$AM$1843,"&gt;"&amp;AM1273)+SUMIFS($AI$7:$AI$1843,$CF$7:$CF$1843,CF1273,$AM$7:$AM$1843,AM1273,$BW$7:$BW$1843,"&lt;="&amp;BW1273),"")</f>
        <v>24137.4980986528</v>
      </c>
      <c r="AO1273" s="58" t="n">
        <f aca="false">IF(AN1273="",0,MAX(0,MIN(1,(IF(CF1273="L1",Parameter!$H$5,IF(CF1273="L23",Parameter!$H$6+Parameter!$H$7,Parameter!$H$5+Parameter!$H$6+Parameter!$H$7))-(AN1273-AI1273))/AI1273)))</f>
        <v>1</v>
      </c>
      <c r="AP1273" s="50" t="n">
        <f aca="false">IF(LEFT(Cockpit!$I$5,1)="A",H1273,IF(Parameter!$E$30="MAX-Bestand",IF(CH1273=1,CI1273,IF(LEFT(Cockpit!$I$5,1)="B",AV1273,MAX(AV1273,H1273))),ROUNDUP(AT1273,0)))</f>
        <v>46</v>
      </c>
      <c r="AQ1273" s="50" t="n">
        <f aca="false">IF(BZ1273=1,0,ROUNDUP(AP1273/BY1273,0))</f>
        <v>1</v>
      </c>
      <c r="AR1273" s="52" t="n">
        <f aca="false">IF(CQ1273&gt;0,CQ1273*MAX(1,AP1273/X1273),IF(BZ1273=1,IF(AP1273&lt;=0,0,CD1273*MAX(1,IF(H1273&gt;0,AP1273/H1273,1))),IF(R1273&gt;0,AQ1273/R1273,0))/MAX(0.1,N(Parameter!$M$21)))</f>
        <v>0.166666666666667</v>
      </c>
      <c r="AS1273" s="50" t="n">
        <f aca="false">AR1273*CB1273</f>
        <v>72.5</v>
      </c>
      <c r="AT1273" s="51" t="n">
        <f aca="false">IF(LEFT(Cockpit!$I$5,1)="A",H1273,IF(CH1273=1,(CK1273+CI1273)/2,IF(LEFT(Cockpit!$I$5,1)="B",(CK1273+AV1273)/2,MAX((CK1273+AV1273)/2,H1273))))</f>
        <v>46</v>
      </c>
      <c r="AU1273" s="50" t="n">
        <f aca="false">AT1273*G1273</f>
        <v>4003.84</v>
      </c>
      <c r="AV1273" s="50" t="n">
        <f aca="false">ROUNDUP(CK1273+MAX(CL1273,2*(J1273/IF(CG1273&gt;0,CG1273,MAX(0.1,N(Cockpit!$I$6)))-CK1273)),0)</f>
        <v>1</v>
      </c>
      <c r="AW1273" s="51" t="n">
        <f aca="false">IF(AS1273&gt;0,J1273/AS1273,-1)</f>
        <v>0.0137931034482759</v>
      </c>
      <c r="AX1273" s="51" t="n">
        <f aca="false">IF(AND(OR(CF1273="L1",CF1273="L23",CF1273="LIFT"),AS1273&gt;0),SUMIFS($AS$7:$AS$1843,$CF$7:$CF$1843,CF1273,$AW$7:$AW$1843,"&gt;"&amp;AW1273)+SUMIFS($AS$7:$AS$1843,$CF$7:$CF$1843,CF1273,$AW$7:$AW$1843,AW1273,$BW$7:$BW$1843,"&lt;="&amp;BW1273),"")</f>
        <v>29490.6467400302</v>
      </c>
      <c r="AY1273" s="58" t="n">
        <f aca="false">IF(AX1273="",0,MAX(0,MIN(1,(IF(CF1273="L1",Parameter!$H$5,IF(CF1273="L23",Parameter!$H$6+Parameter!$H$7,Parameter!$H$5+Parameter!$H$6+Parameter!$H$7))-(AX1273-AS1273))/AS1273)))</f>
        <v>1</v>
      </c>
      <c r="AZ1273" s="50" t="n">
        <f aca="false">IF(LEFT(Cockpit!$O$5,1)="A",H1273,IF(Parameter!$E$30="MAX-Bestand",IF(CH1273=1,CI1273,IF(LEFT(Cockpit!$O$5,1)="B",BF1273,MAX(BF1273,H1273))),ROUNDUP(BD1273,0)))</f>
        <v>1</v>
      </c>
      <c r="BA1273" s="50" t="n">
        <f aca="false">IF(BZ1273=1,0,ROUNDUP(AZ1273/BY1273,0))</f>
        <v>1</v>
      </c>
      <c r="BB1273" s="52" t="n">
        <f aca="false">IF(CQ1273&gt;0,CQ1273*MAX(1,AZ1273/X1273),IF(BZ1273=1,IF(AZ1273&lt;=0,0,CD1273*MAX(1,IF(H1273&gt;0,AZ1273/H1273,1))),IF(R1273&gt;0,BA1273/R1273,0))/MAX(0.1,N(Parameter!$M$21)))</f>
        <v>0.166666666666667</v>
      </c>
      <c r="BC1273" s="50" t="n">
        <f aca="false">BB1273*CB1273</f>
        <v>72.5</v>
      </c>
      <c r="BD1273" s="51" t="n">
        <f aca="false">IF(LEFT(Cockpit!$O$5,1)="A",H1273,IF(CH1273=1,(CK1273+CI1273)/2,IF(LEFT(Cockpit!$O$5,1)="B",(CK1273+BF1273)/2,MAX((CK1273+BF1273)/2,H1273))))</f>
        <v>0.5</v>
      </c>
      <c r="BE1273" s="50" t="n">
        <f aca="false">BD1273*G1273</f>
        <v>43.52</v>
      </c>
      <c r="BF1273" s="50" t="n">
        <f aca="false">ROUNDUP(CK1273+MAX(CL1273,2*(J1273/IF(CG1273&gt;0,CG1273,MAX(0.1,N(Cockpit!$O$6)))-CK1273)),0)</f>
        <v>1</v>
      </c>
      <c r="BG1273" s="51" t="n">
        <f aca="false">IF(BC1273&gt;0,J1273/BC1273,-1)</f>
        <v>0.0137931034482759</v>
      </c>
      <c r="BH1273" s="51" t="n">
        <f aca="false">IF(AND(OR(CF1273="L1",CF1273="L23",CF1273="LIFT"),BC1273&gt;0),SUMIFS($BC$7:$BC$1843,$CF$7:$CF$1843,CF1273,$BG$7:$BG$1843,"&gt;"&amp;BG1273)+SUMIFS($BC$7:$BC$1843,$CF$7:$CF$1843,CF1273,$BG$7:$BG$1843,BG1273,$BW$7:$BW$1843,"&lt;="&amp;BW1273),"")</f>
        <v>25036.3952499948</v>
      </c>
      <c r="BI1273" s="58" t="n">
        <f aca="false">IF(BH1273="",0,MAX(0,MIN(1,(IF(CF1273="L1",Parameter!$H$5,IF(CF1273="L23",Parameter!$H$6+Parameter!$H$7,Parameter!$H$5+Parameter!$H$6+Parameter!$H$7))-(BH1273-BC1273))/BC1273)))</f>
        <v>1</v>
      </c>
      <c r="BJ1273" s="48" t="str">
        <f aca="false">IF(AI1273&lt;=0,"",IF(CF1273="Aussen","Aussenlager",IF(CF1273="-","Nicht im Lift",IF(AO1273&gt;=1,"Lift",IF(AO1273&lt;=0,"Aussenlager","teilweise")))))</f>
        <v>Lift</v>
      </c>
      <c r="BK1273" s="48" t="str">
        <f aca="false">IF(AS1273&lt;=0,"",IF(CF1273="Aussen","Aussenlager",IF(CF1273="-","Nicht im Lift",IF(AY1273&gt;=1,"Lift",IF(AY1273&lt;=0,"Aussenlager","teilweise")))))</f>
        <v>Lift</v>
      </c>
      <c r="BL1273" s="48" t="str">
        <f aca="false">IF(BC1273&lt;=0,"",IF(CF1273="Aussen","Aussenlager",IF(CF1273="-","Nicht im Lift",IF(BI1273&gt;=1,"Lift",IF(BI1273&lt;=0,"Aussenlager","teilweise")))))</f>
        <v>Lift</v>
      </c>
      <c r="BM1273" s="48" t="str">
        <f aca="false">IF(A1273="","",IF(BV1273=1,"Neu; ","")&amp;IF(AND(BV1273=0,BQ1273&lt;0),"negativer Bestand (Export "&amp;BQ1273&amp;"); ","")&amp;IF(J1273&lt;=0,"Kein Verbrauch; ","")&amp;IF(CQ1273&gt;0,"Lift "&amp;W1273&amp;" lt. Liftbericht (Fach "&amp;X1273&amp;" Stk); ",IF(CA1273=1,"Gebinde geschätzt ("&amp;T1273&amp;"); ",IF(BZ1273=1,"Lose – Tablare geschätzt; ","")))&amp;IF(H1273&gt;AV1273,"Überbestand "&amp;ROUND(H1273-AV1273,0)&amp;" Stk / CHF "&amp;ROUND((H1273-AV1273)*G1273,0)&amp;"; ","")&amp;IF(AND(CH1273=1,CI1273&lt;CJ1273),"MAX &lt; MB+LG; ","")&amp;IF(AND(CP1273&gt;0,CO1273*10&gt;CP1273),"zu hoch für Tablar; ","")&amp;IF(AND(BV1273=0,OR(CH1273=1,AA1273&lt;&gt;"",U1273&lt;&gt;"",V1273&lt;&gt;"",AB1273&lt;&gt;"")),"manuell übersteuert; ","")&amp;IF(AND(BZ1273=0,R1273=0),"Gebinde unbekannt / Stellmass fehlt; ","")&amp;IF(AND(BZ1273=0,N(V1273)&lt;=0,N(Q1273)&lt;=0),"Menge pro Gebinde fehlt (Ist = 1 Gebinde); ","")&amp;BU1273)</f>
        <v>negativer Bestand (Export -11); Überbestand 45 Stk / CHF 3917; überbestand</v>
      </c>
      <c r="BN1273" s="48"/>
      <c r="BO1273" s="48"/>
      <c r="BP1273" s="55"/>
      <c r="BQ1273" s="50" t="n">
        <v>-11</v>
      </c>
      <c r="BR1273" s="50" t="n">
        <v>57</v>
      </c>
      <c r="BS1273" s="49" t="n">
        <v>-957.44</v>
      </c>
      <c r="BT1273" s="50" t="n">
        <v>1</v>
      </c>
      <c r="BU1273" s="48" t="s">
        <v>1259</v>
      </c>
      <c r="BV1273" s="53" t="n">
        <v>0</v>
      </c>
      <c r="BW1273" s="53" t="n">
        <v>1273</v>
      </c>
      <c r="BX1273" s="48" t="str">
        <f aca="false">IF(U1273&lt;&gt;"",UPPER(TRIM(U1273)),IF(CA1273=1,UPPER(VLOOKUP(T1273,Parameter!$I$27:$K$29,2,0)),IF(P1273="","LOSE",P1273)))</f>
        <v>S72</v>
      </c>
      <c r="BY1273" s="50" t="n">
        <f aca="false">IF(BX1273="LOSE",1,IF(N(V1273)&gt;0,V1273,IF(CA1273=1,MAX(1,N(VLOOKUP(T1273,Parameter!$I$27:$K$29,3,0)),H1273,N(N1273)),IF(N(Q1273)&gt;0,Q1273,MAX(1,H1273)))))</f>
        <v>50</v>
      </c>
      <c r="BZ1273" s="53" t="n">
        <f aca="false">IF(BX1273="LOSE",1,0)</f>
        <v>0</v>
      </c>
      <c r="CA1273" s="53" t="n">
        <f aca="false">IF(AND(U1273="",OR(P1273="",P1273="LOSE"),T1273&lt;&gt;"",N(S1273)&lt;=0,ISNUMBER(MATCH(T1273,Parameter!$I$27:$I$29,0))),1,0)</f>
        <v>0</v>
      </c>
      <c r="CB1273" s="53" t="n">
        <f aca="false">IF(CQ1273&gt;0,INDEX(Parameter!$H$5:$H$7,W1273)/INDEX(Parameter!$E$5:$E$7,W1273),IF(AND(BZ1273=0,N(IFERROR(VLOOKUP(BX1273,'Gebinde-Kategorie'!$A$5:$N$45,14,0),0))&gt;0),VLOOKUP(BX1273,'Gebinde-Kategorie'!$A$5:$N$45,14,0)*10+Parameter!$M$23,Parameter!$M$24))</f>
        <v>435</v>
      </c>
      <c r="CC1273" s="48" t="str">
        <f aca="false">IF(AND(Parameter!$B$19="Ja",E1273&lt;&gt;"",ISNUMBER(MATCH(E1273,Parameter!$I$35:$I$52,0))),VLOOKUP(E1273,Parameter!$I$35:$J$52,2,0),IFERROR(VLOOKUP(D1273,Parameter!$A$35:$C$64,2,0),"Nein"))</f>
        <v>2+3</v>
      </c>
      <c r="CD1273" s="52" t="n">
        <f aca="false">IF(BZ1273=0,0,IF(N(S1273)&gt;0,S1273,IFERROR(VLOOKUP(D1273,Parameter!$A$35:$C$64,3,0)+0,0)))</f>
        <v>0</v>
      </c>
      <c r="CE1273" s="48" t="n">
        <f aca="false">IF(AA1273&lt;&gt;"",AA1273,Z1273)</f>
        <v>2</v>
      </c>
      <c r="CF1273" s="48" t="str">
        <f aca="false">IF(OR(CE1273=1,CE1273=2,CE1273=3),IF(Parameter!$E$27="Ja","LIFT",IF(CE1273=1,"L1","L23")),IF(CE1273="Aussen","Aussen","-"))</f>
        <v>LIFT</v>
      </c>
      <c r="CG1273" s="59" t="n">
        <f aca="false">IF(N(AB1273)&gt;0,AB1273,0)</f>
        <v>0</v>
      </c>
      <c r="CH1273" s="53" t="n">
        <f aca="false">IF(ISNUMBER(AE1273),1,0)</f>
        <v>0</v>
      </c>
      <c r="CI1273" s="50" t="n">
        <f aca="false">N(AE1273)</f>
        <v>0</v>
      </c>
      <c r="CJ1273" s="50" t="n">
        <f aca="false">N(M1273)+N(N1273)</f>
        <v>1</v>
      </c>
      <c r="CK1273" s="50" t="n">
        <f aca="false">N(M1273)</f>
        <v>0</v>
      </c>
      <c r="CL1273" s="50" t="n">
        <f aca="false">N(N1273)</f>
        <v>1</v>
      </c>
      <c r="CM1273" s="50" t="n">
        <f aca="false">ROUNDUP(H1273/BY1273,0)</f>
        <v>1</v>
      </c>
      <c r="CN1273" s="50" t="n">
        <f aca="false">ROUNDUP(CI1273/BY1273,0)</f>
        <v>0</v>
      </c>
      <c r="CO1273" s="53" t="n">
        <f aca="false">IF(BZ1273=1,0,IFERROR(VLOOKUP(BX1273,'Gebinde-Kategorie'!$A$5:$N$45,5,0)+0,0))</f>
        <v>40</v>
      </c>
      <c r="CP1273" s="53" t="n">
        <f aca="false">IFERROR(IF(OR(CE1273=1,CE1273=2,CE1273=3),N(INDEX(Parameter!$I$5:$I$7,CE1273)),0),0)</f>
        <v>0</v>
      </c>
      <c r="CQ1273" s="52" t="n">
        <f aca="false">IF(AND(Parameter!$B$21="Ja",ISNUMBER(W1273),N(X1273)&gt;0),IFERROR(N(INDEX(Parameter!$L$5:$L$7,W1273))*INDEX(Parameter!$E$5:$E$7,W1273)*X1273/SUMIFS($X$7:$X$1843,$W$7:$W$1843,W1273),0),0)</f>
        <v>0</v>
      </c>
    </row>
    <row r="1274" customFormat="false" ht="15" hidden="false" customHeight="false" outlineLevel="0" collapsed="false">
      <c r="A1274" s="48" t="s">
        <v>2286</v>
      </c>
      <c r="B1274" s="48" t="s">
        <v>1717</v>
      </c>
      <c r="C1274" s="48" t="s">
        <v>173</v>
      </c>
      <c r="D1274" s="48" t="s">
        <v>193</v>
      </c>
      <c r="E1274" s="48" t="s">
        <v>194</v>
      </c>
      <c r="F1274" s="48" t="s">
        <v>227</v>
      </c>
      <c r="G1274" s="49" t="n">
        <v>107</v>
      </c>
      <c r="H1274" s="50" t="n">
        <f aca="false">MAX(0,IF(AND(Parameter!$B$21="Ja",ISNUMBER(Y1274)),Y1274,IF(Parameter!$B$20="Jahresanfang 2025 + Export",BR1274+BQ1274,BQ1274)))</f>
        <v>24</v>
      </c>
      <c r="I1274" s="50" t="n">
        <f aca="false">H1274*G1274</f>
        <v>2568</v>
      </c>
      <c r="J1274" s="50" t="n">
        <f aca="false">BT1274*Parameter!$B$18</f>
        <v>56</v>
      </c>
      <c r="K1274" s="51" t="n">
        <v>34</v>
      </c>
      <c r="L1274" s="52" t="n">
        <v>1.64705882352941</v>
      </c>
      <c r="M1274" s="50" t="n">
        <v>2</v>
      </c>
      <c r="N1274" s="50" t="n">
        <v>10</v>
      </c>
      <c r="O1274" s="53" t="n">
        <v>14</v>
      </c>
      <c r="P1274" s="48" t="s">
        <v>242</v>
      </c>
      <c r="Q1274" s="50" t="n">
        <v>52</v>
      </c>
      <c r="R1274" s="53" t="n">
        <f aca="false">IF(BZ1274=1,0,IFERROR(VLOOKUP(BX1274,'Gebinde-Kategorie'!$A$5:$N$45,13,0)+0,0))</f>
        <v>26</v>
      </c>
      <c r="S1274" s="54"/>
      <c r="T1274" s="55"/>
      <c r="U1274" s="55"/>
      <c r="V1274" s="55"/>
      <c r="W1274" s="48"/>
      <c r="X1274" s="50"/>
      <c r="Y1274" s="50"/>
      <c r="Z1274" s="48" t="n">
        <f aca="false">IF(A1274="","",IF(AND(Parameter!$B$21="Ja",ISNUMBER(W1274)),W1274,IF(CC1274="2+3",IF(ISNUMBER(SEARCH("grosser Artikel",BU1274)),2,IFERROR(VLOOKUP(BX1274,Parameter!$F$35:$G$64,2,0),2)),IF(OR(CC1274="Nein",CC1274=""),"-",CC1274))))</f>
        <v>3</v>
      </c>
      <c r="AA1274" s="55"/>
      <c r="AB1274" s="56"/>
      <c r="AC1274" s="50" t="n">
        <f aca="false">AV1274</f>
        <v>36</v>
      </c>
      <c r="AD1274" s="50" t="n">
        <f aca="false">MAX(AV1274,H1274)</f>
        <v>36</v>
      </c>
      <c r="AE1274" s="57"/>
      <c r="AF1274" s="50" t="n">
        <f aca="false">IF(LEFT(Cockpit!$C$5,1)="A",H1274,IF(Parameter!$E$30="MAX-Bestand",IF(CH1274=1,CI1274,IF(LEFT(Cockpit!$C$5,1)="B",AL1274,MAX(AL1274,H1274))),ROUNDUP(AJ1274,0)))</f>
        <v>24</v>
      </c>
      <c r="AG1274" s="50" t="n">
        <f aca="false">IF(BZ1274=1,0,ROUNDUP(AF1274/BY1274,0))</f>
        <v>1</v>
      </c>
      <c r="AH1274" s="52" t="n">
        <f aca="false">IF(CQ1274&gt;0,CQ1274*MAX(1,AF1274/X1274),IF(BZ1274=1,IF(AF1274&lt;=0,0,CD1274*MAX(1,IF(H1274&gt;0,AF1274/H1274,1))),IF(R1274&gt;0,AG1274/R1274,0))/MAX(0.1,N(Parameter!$M$21)))</f>
        <v>0.0384615384615385</v>
      </c>
      <c r="AI1274" s="50" t="n">
        <f aca="false">AH1274*CB1274</f>
        <v>9.42307692307692</v>
      </c>
      <c r="AJ1274" s="51" t="n">
        <f aca="false">IF(LEFT(Cockpit!$C$5,1)="A",H1274,IF(CH1274=1,(CK1274+CI1274)/2,IF(LEFT(Cockpit!$C$5,1)="B",(CK1274+AL1274)/2,MAX((CK1274+AL1274)/2,H1274))))</f>
        <v>24</v>
      </c>
      <c r="AK1274" s="50" t="n">
        <f aca="false">AJ1274*G1274</f>
        <v>2568</v>
      </c>
      <c r="AL1274" s="50" t="n">
        <f aca="false">ROUNDUP(CK1274+MAX(CL1274,2*(J1274/IF(CG1274&gt;0,CG1274,MAX(0.1,N(Cockpit!$C$6)))-CK1274)),0)</f>
        <v>36</v>
      </c>
      <c r="AM1274" s="51" t="n">
        <f aca="false">IF(AI1274&gt;0,J1274/AI1274,-1)</f>
        <v>5.94285714285714</v>
      </c>
      <c r="AN1274" s="51" t="n">
        <f aca="false">IF(AND(OR(CF1274="L1",CF1274="L23",CF1274="LIFT"),AI1274&gt;0),SUMIFS($AI$7:$AI$1843,$CF$7:$CF$1843,CF1274,$AM$7:$AM$1843,"&gt;"&amp;AM1274)+SUMIFS($AI$7:$AI$1843,$CF$7:$CF$1843,CF1274,$AM$7:$AM$1843,AM1274,$BW$7:$BW$1843,"&lt;="&amp;BW1274),"")</f>
        <v>3522.91071428571</v>
      </c>
      <c r="AO1274" s="58" t="n">
        <f aca="false">IF(AN1274="",0,MAX(0,MIN(1,(IF(CF1274="L1",Parameter!$H$5,IF(CF1274="L23",Parameter!$H$6+Parameter!$H$7,Parameter!$H$5+Parameter!$H$6+Parameter!$H$7))-(AN1274-AI1274))/AI1274)))</f>
        <v>1</v>
      </c>
      <c r="AP1274" s="50" t="n">
        <f aca="false">IF(LEFT(Cockpit!$I$5,1)="A",H1274,IF(Parameter!$E$30="MAX-Bestand",IF(CH1274=1,CI1274,IF(LEFT(Cockpit!$I$5,1)="B",AV1274,MAX(AV1274,H1274))),ROUNDUP(AT1274,0)))</f>
        <v>24</v>
      </c>
      <c r="AQ1274" s="50" t="n">
        <f aca="false">IF(BZ1274=1,0,ROUNDUP(AP1274/BY1274,0))</f>
        <v>1</v>
      </c>
      <c r="AR1274" s="52" t="n">
        <f aca="false">IF(CQ1274&gt;0,CQ1274*MAX(1,AP1274/X1274),IF(BZ1274=1,IF(AP1274&lt;=0,0,CD1274*MAX(1,IF(H1274&gt;0,AP1274/H1274,1))),IF(R1274&gt;0,AQ1274/R1274,0))/MAX(0.1,N(Parameter!$M$21)))</f>
        <v>0.0384615384615385</v>
      </c>
      <c r="AS1274" s="50" t="n">
        <f aca="false">AR1274*CB1274</f>
        <v>9.42307692307692</v>
      </c>
      <c r="AT1274" s="51" t="n">
        <f aca="false">IF(LEFT(Cockpit!$I$5,1)="A",H1274,IF(CH1274=1,(CK1274+CI1274)/2,IF(LEFT(Cockpit!$I$5,1)="B",(CK1274+AV1274)/2,MAX((CK1274+AV1274)/2,H1274))))</f>
        <v>24</v>
      </c>
      <c r="AU1274" s="50" t="n">
        <f aca="false">AT1274*G1274</f>
        <v>2568</v>
      </c>
      <c r="AV1274" s="50" t="n">
        <f aca="false">ROUNDUP(CK1274+MAX(CL1274,2*(J1274/IF(CG1274&gt;0,CG1274,MAX(0.1,N(Cockpit!$I$6)))-CK1274)),0)</f>
        <v>36</v>
      </c>
      <c r="AW1274" s="51" t="n">
        <f aca="false">IF(AS1274&gt;0,J1274/AS1274,-1)</f>
        <v>5.94285714285714</v>
      </c>
      <c r="AX1274" s="51" t="n">
        <f aca="false">IF(AND(OR(CF1274="L1",CF1274="L23",CF1274="LIFT"),AS1274&gt;0),SUMIFS($AS$7:$AS$1843,$CF$7:$CF$1843,CF1274,$AW$7:$AW$1843,"&gt;"&amp;AW1274)+SUMIFS($AS$7:$AS$1843,$CF$7:$CF$1843,CF1274,$AW$7:$AW$1843,AW1274,$BW$7:$BW$1843,"&lt;="&amp;BW1274),"")</f>
        <v>4188.57463369963</v>
      </c>
      <c r="AY1274" s="58" t="n">
        <f aca="false">IF(AX1274="",0,MAX(0,MIN(1,(IF(CF1274="L1",Parameter!$H$5,IF(CF1274="L23",Parameter!$H$6+Parameter!$H$7,Parameter!$H$5+Parameter!$H$6+Parameter!$H$7))-(AX1274-AS1274))/AS1274)))</f>
        <v>1</v>
      </c>
      <c r="AZ1274" s="50" t="n">
        <f aca="false">IF(LEFT(Cockpit!$O$5,1)="A",H1274,IF(Parameter!$E$30="MAX-Bestand",IF(CH1274=1,CI1274,IF(LEFT(Cockpit!$O$5,1)="B",BF1274,MAX(BF1274,H1274))),ROUNDUP(BD1274,0)))</f>
        <v>14</v>
      </c>
      <c r="BA1274" s="50" t="n">
        <f aca="false">IF(BZ1274=1,0,ROUNDUP(AZ1274/BY1274,0))</f>
        <v>1</v>
      </c>
      <c r="BB1274" s="52" t="n">
        <f aca="false">IF(CQ1274&gt;0,CQ1274*MAX(1,AZ1274/X1274),IF(BZ1274=1,IF(AZ1274&lt;=0,0,CD1274*MAX(1,IF(H1274&gt;0,AZ1274/H1274,1))),IF(R1274&gt;0,BA1274/R1274,0))/MAX(0.1,N(Parameter!$M$21)))</f>
        <v>0.0384615384615385</v>
      </c>
      <c r="BC1274" s="50" t="n">
        <f aca="false">BB1274*CB1274</f>
        <v>9.42307692307692</v>
      </c>
      <c r="BD1274" s="51" t="n">
        <f aca="false">IF(LEFT(Cockpit!$O$5,1)="A",H1274,IF(CH1274=1,(CK1274+CI1274)/2,IF(LEFT(Cockpit!$O$5,1)="B",(CK1274+BF1274)/2,MAX((CK1274+BF1274)/2,H1274))))</f>
        <v>14</v>
      </c>
      <c r="BE1274" s="50" t="n">
        <f aca="false">BD1274*G1274</f>
        <v>1498</v>
      </c>
      <c r="BF1274" s="50" t="n">
        <f aca="false">ROUNDUP(CK1274+MAX(CL1274,2*(J1274/IF(CG1274&gt;0,CG1274,MAX(0.1,N(Cockpit!$O$6)))-CK1274)),0)</f>
        <v>26</v>
      </c>
      <c r="BG1274" s="51" t="n">
        <f aca="false">IF(BC1274&gt;0,J1274/BC1274,-1)</f>
        <v>5.94285714285714</v>
      </c>
      <c r="BH1274" s="51" t="n">
        <f aca="false">IF(AND(OR(CF1274="L1",CF1274="L23",CF1274="LIFT"),BC1274&gt;0),SUMIFS($BC$7:$BC$1843,$CF$7:$CF$1843,CF1274,$BG$7:$BG$1843,"&gt;"&amp;BG1274)+SUMIFS($BC$7:$BC$1843,$CF$7:$CF$1843,CF1274,$BG$7:$BG$1843,BG1274,$BW$7:$BW$1843,"&lt;="&amp;BW1274),"")</f>
        <v>3512.64789377289</v>
      </c>
      <c r="BI1274" s="58" t="n">
        <f aca="false">IF(BH1274="",0,MAX(0,MIN(1,(IF(CF1274="L1",Parameter!$H$5,IF(CF1274="L23",Parameter!$H$6+Parameter!$H$7,Parameter!$H$5+Parameter!$H$6+Parameter!$H$7))-(BH1274-BC1274))/BC1274)))</f>
        <v>1</v>
      </c>
      <c r="BJ1274" s="48" t="str">
        <f aca="false">IF(AI1274&lt;=0,"",IF(CF1274="Aussen","Aussenlager",IF(CF1274="-","Nicht im Lift",IF(AO1274&gt;=1,"Lift",IF(AO1274&lt;=0,"Aussenlager","teilweise")))))</f>
        <v>Lift</v>
      </c>
      <c r="BK1274" s="48" t="str">
        <f aca="false">IF(AS1274&lt;=0,"",IF(CF1274="Aussen","Aussenlager",IF(CF1274="-","Nicht im Lift",IF(AY1274&gt;=1,"Lift",IF(AY1274&lt;=0,"Aussenlager","teilweise")))))</f>
        <v>Lift</v>
      </c>
      <c r="BL1274" s="48" t="str">
        <f aca="false">IF(BC1274&lt;=0,"",IF(CF1274="Aussen","Aussenlager",IF(CF1274="-","Nicht im Lift",IF(BI1274&gt;=1,"Lift",IF(BI1274&lt;=0,"Aussenlager","teilweise")))))</f>
        <v>Lift</v>
      </c>
      <c r="BM1274" s="48" t="str">
        <f aca="false">IF(A1274="","",IF(BV1274=1,"Neu; ","")&amp;IF(AND(BV1274=0,BQ1274&lt;0),"negativer Bestand (Export "&amp;BQ1274&amp;"); ","")&amp;IF(J1274&lt;=0,"Kein Verbrauch; ","")&amp;IF(CQ1274&gt;0,"Lift "&amp;W1274&amp;" lt. Liftbericht (Fach "&amp;X1274&amp;" Stk); ",IF(CA1274=1,"Gebinde geschätzt ("&amp;T1274&amp;"); ",IF(BZ1274=1,"Lose – Tablare geschätzt; ","")))&amp;IF(H1274&gt;AV1274,"Überbestand "&amp;ROUND(H1274-AV1274,0)&amp;" Stk / CHF "&amp;ROUND((H1274-AV1274)*G1274,0)&amp;"; ","")&amp;IF(AND(CH1274=1,CI1274&lt;CJ1274),"MAX &lt; MB+LG; ","")&amp;IF(AND(CP1274&gt;0,CO1274*10&gt;CP1274),"zu hoch für Tablar; ","")&amp;IF(AND(BV1274=0,OR(CH1274=1,AA1274&lt;&gt;"",U1274&lt;&gt;"",V1274&lt;&gt;"",AB1274&lt;&gt;"")),"manuell übersteuert; ","")&amp;IF(AND(BZ1274=0,R1274=0),"Gebinde unbekannt / Stellmass fehlt; ","")&amp;IF(AND(BZ1274=0,N(V1274)&lt;=0,N(Q1274)&lt;=0),"Menge pro Gebinde fehlt (Ist = 1 Gebinde); ","")&amp;BU1274)</f>
        <v>negativer Bestand (Export -9); </v>
      </c>
      <c r="BN1274" s="48"/>
      <c r="BO1274" s="48"/>
      <c r="BP1274" s="55"/>
      <c r="BQ1274" s="50" t="n">
        <v>-9</v>
      </c>
      <c r="BR1274" s="50" t="n">
        <v>33</v>
      </c>
      <c r="BS1274" s="49" t="n">
        <v>-963</v>
      </c>
      <c r="BT1274" s="50" t="n">
        <v>56</v>
      </c>
      <c r="BU1274" s="48"/>
      <c r="BV1274" s="53" t="n">
        <v>0</v>
      </c>
      <c r="BW1274" s="53" t="n">
        <v>1274</v>
      </c>
      <c r="BX1274" s="48" t="str">
        <f aca="false">IF(U1274&lt;&gt;"",UPPER(TRIM(U1274)),IF(CA1274=1,UPPER(VLOOKUP(T1274,Parameter!$I$27:$K$29,2,0)),IF(P1274="","LOSE",P1274)))</f>
        <v>S52</v>
      </c>
      <c r="BY1274" s="50" t="n">
        <f aca="false">IF(BX1274="LOSE",1,IF(N(V1274)&gt;0,V1274,IF(CA1274=1,MAX(1,N(VLOOKUP(T1274,Parameter!$I$27:$K$29,3,0)),H1274,N(N1274)),IF(N(Q1274)&gt;0,Q1274,MAX(1,H1274)))))</f>
        <v>52</v>
      </c>
      <c r="BZ1274" s="53" t="n">
        <f aca="false">IF(BX1274="LOSE",1,0)</f>
        <v>0</v>
      </c>
      <c r="CA1274" s="53" t="n">
        <f aca="false">IF(AND(U1274="",OR(P1274="",P1274="LOSE"),T1274&lt;&gt;"",N(S1274)&lt;=0,ISNUMBER(MATCH(T1274,Parameter!$I$27:$I$29,0))),1,0)</f>
        <v>0</v>
      </c>
      <c r="CB1274" s="53" t="n">
        <f aca="false">IF(CQ1274&gt;0,INDEX(Parameter!$H$5:$H$7,W1274)/INDEX(Parameter!$E$5:$E$7,W1274),IF(AND(BZ1274=0,N(IFERROR(VLOOKUP(BX1274,'Gebinde-Kategorie'!$A$5:$N$45,14,0),0))&gt;0),VLOOKUP(BX1274,'Gebinde-Kategorie'!$A$5:$N$45,14,0)*10+Parameter!$M$23,Parameter!$M$24))</f>
        <v>245</v>
      </c>
      <c r="CC1274" s="48" t="str">
        <f aca="false">IF(AND(Parameter!$B$19="Ja",E1274&lt;&gt;"",ISNUMBER(MATCH(E1274,Parameter!$I$35:$I$52,0))),VLOOKUP(E1274,Parameter!$I$35:$J$52,2,0),IFERROR(VLOOKUP(D1274,Parameter!$A$35:$C$64,2,0),"Nein"))</f>
        <v>2+3</v>
      </c>
      <c r="CD1274" s="52" t="n">
        <f aca="false">IF(BZ1274=0,0,IF(N(S1274)&gt;0,S1274,IFERROR(VLOOKUP(D1274,Parameter!$A$35:$C$64,3,0)+0,0)))</f>
        <v>0</v>
      </c>
      <c r="CE1274" s="48" t="n">
        <f aca="false">IF(AA1274&lt;&gt;"",AA1274,Z1274)</f>
        <v>3</v>
      </c>
      <c r="CF1274" s="48" t="str">
        <f aca="false">IF(OR(CE1274=1,CE1274=2,CE1274=3),IF(Parameter!$E$27="Ja","LIFT",IF(CE1274=1,"L1","L23")),IF(CE1274="Aussen","Aussen","-"))</f>
        <v>LIFT</v>
      </c>
      <c r="CG1274" s="59" t="n">
        <f aca="false">IF(N(AB1274)&gt;0,AB1274,0)</f>
        <v>0</v>
      </c>
      <c r="CH1274" s="53" t="n">
        <f aca="false">IF(ISNUMBER(AE1274),1,0)</f>
        <v>0</v>
      </c>
      <c r="CI1274" s="50" t="n">
        <f aca="false">N(AE1274)</f>
        <v>0</v>
      </c>
      <c r="CJ1274" s="50" t="n">
        <f aca="false">N(M1274)+N(N1274)</f>
        <v>12</v>
      </c>
      <c r="CK1274" s="50" t="n">
        <f aca="false">N(M1274)</f>
        <v>2</v>
      </c>
      <c r="CL1274" s="50" t="n">
        <f aca="false">N(N1274)</f>
        <v>10</v>
      </c>
      <c r="CM1274" s="50" t="n">
        <f aca="false">ROUNDUP(H1274/BY1274,0)</f>
        <v>1</v>
      </c>
      <c r="CN1274" s="50" t="n">
        <f aca="false">ROUNDUP(CI1274/BY1274,0)</f>
        <v>0</v>
      </c>
      <c r="CO1274" s="53" t="n">
        <f aca="false">IF(BZ1274=1,0,IFERROR(VLOOKUP(BX1274,'Gebinde-Kategorie'!$A$5:$N$45,5,0)+0,0))</f>
        <v>21</v>
      </c>
      <c r="CP1274" s="53" t="n">
        <f aca="false">IFERROR(IF(OR(CE1274=1,CE1274=2,CE1274=3),N(INDEX(Parameter!$I$5:$I$7,CE1274)),0),0)</f>
        <v>0</v>
      </c>
      <c r="CQ1274" s="52" t="n">
        <f aca="false">IF(AND(Parameter!$B$21="Ja",ISNUMBER(W1274),N(X1274)&gt;0),IFERROR(N(INDEX(Parameter!$L$5:$L$7,W1274))*INDEX(Parameter!$E$5:$E$7,W1274)*X1274/SUMIFS($X$7:$X$1843,$W$7:$W$1843,W1274),0),0)</f>
        <v>0</v>
      </c>
    </row>
    <row r="1275" customFormat="false" ht="15" hidden="false" customHeight="false" outlineLevel="0" collapsed="false">
      <c r="A1275" s="48" t="s">
        <v>2287</v>
      </c>
      <c r="B1275" s="48" t="s">
        <v>2288</v>
      </c>
      <c r="C1275" s="48" t="s">
        <v>173</v>
      </c>
      <c r="D1275" s="48" t="s">
        <v>193</v>
      </c>
      <c r="E1275" s="48" t="s">
        <v>194</v>
      </c>
      <c r="F1275" s="48" t="s">
        <v>227</v>
      </c>
      <c r="G1275" s="49" t="n">
        <v>165.85</v>
      </c>
      <c r="H1275" s="50" t="n">
        <f aca="false">MAX(0,IF(AND(Parameter!$B$21="Ja",ISNUMBER(Y1275)),Y1275,IF(Parameter!$B$20="Jahresanfang 2025 + Export",BR1275+BQ1275,BQ1275)))</f>
        <v>2</v>
      </c>
      <c r="I1275" s="50" t="n">
        <f aca="false">H1275*G1275</f>
        <v>331.7</v>
      </c>
      <c r="J1275" s="50" t="n">
        <f aca="false">BT1275*Parameter!$B$18</f>
        <v>6</v>
      </c>
      <c r="K1275" s="51" t="n">
        <v>7.5</v>
      </c>
      <c r="L1275" s="52" t="n">
        <v>0.8</v>
      </c>
      <c r="M1275" s="50" t="n">
        <v>0</v>
      </c>
      <c r="N1275" s="50" t="n">
        <v>5</v>
      </c>
      <c r="O1275" s="53" t="n">
        <v>28</v>
      </c>
      <c r="P1275" s="48" t="s">
        <v>195</v>
      </c>
      <c r="Q1275" s="50" t="n">
        <v>7</v>
      </c>
      <c r="R1275" s="53" t="n">
        <f aca="false">IF(BZ1275=1,0,IFERROR(VLOOKUP(BX1275,'Gebinde-Kategorie'!$A$5:$N$45,13,0)+0,0))</f>
        <v>12</v>
      </c>
      <c r="S1275" s="54"/>
      <c r="T1275" s="55"/>
      <c r="U1275" s="55"/>
      <c r="V1275" s="55"/>
      <c r="W1275" s="48"/>
      <c r="X1275" s="50"/>
      <c r="Y1275" s="50"/>
      <c r="Z1275" s="48" t="n">
        <f aca="false">IF(A1275="","",IF(AND(Parameter!$B$21="Ja",ISNUMBER(W1275)),W1275,IF(CC1275="2+3",IF(ISNUMBER(SEARCH("grosser Artikel",BU1275)),2,IFERROR(VLOOKUP(BX1275,Parameter!$F$35:$G$64,2,0),2)),IF(OR(CC1275="Nein",CC1275=""),"-",CC1275))))</f>
        <v>2</v>
      </c>
      <c r="AA1275" s="55"/>
      <c r="AB1275" s="56"/>
      <c r="AC1275" s="50" t="n">
        <f aca="false">AV1275</f>
        <v>5</v>
      </c>
      <c r="AD1275" s="50" t="n">
        <f aca="false">MAX(AV1275,H1275)</f>
        <v>5</v>
      </c>
      <c r="AE1275" s="57"/>
      <c r="AF1275" s="50" t="n">
        <f aca="false">IF(LEFT(Cockpit!$C$5,1)="A",H1275,IF(Parameter!$E$30="MAX-Bestand",IF(CH1275=1,CI1275,IF(LEFT(Cockpit!$C$5,1)="B",AL1275,MAX(AL1275,H1275))),ROUNDUP(AJ1275,0)))</f>
        <v>2</v>
      </c>
      <c r="AG1275" s="50" t="n">
        <f aca="false">IF(BZ1275=1,0,ROUNDUP(AF1275/BY1275,0))</f>
        <v>1</v>
      </c>
      <c r="AH1275" s="52" t="n">
        <f aca="false">IF(CQ1275&gt;0,CQ1275*MAX(1,AF1275/X1275),IF(BZ1275=1,IF(AF1275&lt;=0,0,CD1275*MAX(1,IF(H1275&gt;0,AF1275/H1275,1))),IF(R1275&gt;0,AG1275/R1275,0))/MAX(0.1,N(Parameter!$M$21)))</f>
        <v>0.0833333333333333</v>
      </c>
      <c r="AI1275" s="50" t="n">
        <f aca="false">AH1275*CB1275</f>
        <v>12.0833333333333</v>
      </c>
      <c r="AJ1275" s="51" t="n">
        <f aca="false">IF(LEFT(Cockpit!$C$5,1)="A",H1275,IF(CH1275=1,(CK1275+CI1275)/2,IF(LEFT(Cockpit!$C$5,1)="B",(CK1275+AL1275)/2,MAX((CK1275+AL1275)/2,H1275))))</f>
        <v>2</v>
      </c>
      <c r="AK1275" s="50" t="n">
        <f aca="false">AJ1275*G1275</f>
        <v>331.7</v>
      </c>
      <c r="AL1275" s="50" t="n">
        <f aca="false">ROUNDUP(CK1275+MAX(CL1275,2*(J1275/IF(CG1275&gt;0,CG1275,MAX(0.1,N(Cockpit!$C$6)))-CK1275)),0)</f>
        <v>5</v>
      </c>
      <c r="AM1275" s="51" t="n">
        <f aca="false">IF(AI1275&gt;0,J1275/AI1275,-1)</f>
        <v>0.496551724137931</v>
      </c>
      <c r="AN1275" s="51" t="n">
        <f aca="false">IF(AND(OR(CF1275="L1",CF1275="L23",CF1275="LIFT"),AI1275&gt;0),SUMIFS($AI$7:$AI$1843,$CF$7:$CF$1843,CF1275,$AM$7:$AM$1843,"&gt;"&amp;AM1275)+SUMIFS($AI$7:$AI$1843,$CF$7:$CF$1843,CF1275,$AM$7:$AM$1843,AM1275,$BW$7:$BW$1843,"&lt;="&amp;BW1275),"")</f>
        <v>9622.26050267999</v>
      </c>
      <c r="AO1275" s="58" t="n">
        <f aca="false">IF(AN1275="",0,MAX(0,MIN(1,(IF(CF1275="L1",Parameter!$H$5,IF(CF1275="L23",Parameter!$H$6+Parameter!$H$7,Parameter!$H$5+Parameter!$H$6+Parameter!$H$7))-(AN1275-AI1275))/AI1275)))</f>
        <v>1</v>
      </c>
      <c r="AP1275" s="50" t="n">
        <f aca="false">IF(LEFT(Cockpit!$I$5,1)="A",H1275,IF(Parameter!$E$30="MAX-Bestand",IF(CH1275=1,CI1275,IF(LEFT(Cockpit!$I$5,1)="B",AV1275,MAX(AV1275,H1275))),ROUNDUP(AT1275,0)))</f>
        <v>3</v>
      </c>
      <c r="AQ1275" s="50" t="n">
        <f aca="false">IF(BZ1275=1,0,ROUNDUP(AP1275/BY1275,0))</f>
        <v>1</v>
      </c>
      <c r="AR1275" s="52" t="n">
        <f aca="false">IF(CQ1275&gt;0,CQ1275*MAX(1,AP1275/X1275),IF(BZ1275=1,IF(AP1275&lt;=0,0,CD1275*MAX(1,IF(H1275&gt;0,AP1275/H1275,1))),IF(R1275&gt;0,AQ1275/R1275,0))/MAX(0.1,N(Parameter!$M$21)))</f>
        <v>0.0833333333333333</v>
      </c>
      <c r="AS1275" s="50" t="n">
        <f aca="false">AR1275*CB1275</f>
        <v>12.0833333333333</v>
      </c>
      <c r="AT1275" s="51" t="n">
        <f aca="false">IF(LEFT(Cockpit!$I$5,1)="A",H1275,IF(CH1275=1,(CK1275+CI1275)/2,IF(LEFT(Cockpit!$I$5,1)="B",(CK1275+AV1275)/2,MAX((CK1275+AV1275)/2,H1275))))</f>
        <v>2.5</v>
      </c>
      <c r="AU1275" s="50" t="n">
        <f aca="false">AT1275*G1275</f>
        <v>414.625</v>
      </c>
      <c r="AV1275" s="50" t="n">
        <f aca="false">ROUNDUP(CK1275+MAX(CL1275,2*(J1275/IF(CG1275&gt;0,CG1275,MAX(0.1,N(Cockpit!$I$6)))-CK1275)),0)</f>
        <v>5</v>
      </c>
      <c r="AW1275" s="51" t="n">
        <f aca="false">IF(AS1275&gt;0,J1275/AS1275,-1)</f>
        <v>0.496551724137931</v>
      </c>
      <c r="AX1275" s="51" t="n">
        <f aca="false">IF(AND(OR(CF1275="L1",CF1275="L23",CF1275="LIFT"),AS1275&gt;0),SUMIFS($AS$7:$AS$1843,$CF$7:$CF$1843,CF1275,$AW$7:$AW$1843,"&gt;"&amp;AW1275)+SUMIFS($AS$7:$AS$1843,$CF$7:$CF$1843,CF1275,$AW$7:$AW$1843,AW1275,$BW$7:$BW$1843,"&lt;="&amp;BW1275),"")</f>
        <v>12036.0970695971</v>
      </c>
      <c r="AY1275" s="58" t="n">
        <f aca="false">IF(AX1275="",0,MAX(0,MIN(1,(IF(CF1275="L1",Parameter!$H$5,IF(CF1275="L23",Parameter!$H$6+Parameter!$H$7,Parameter!$H$5+Parameter!$H$6+Parameter!$H$7))-(AX1275-AS1275))/AS1275)))</f>
        <v>1</v>
      </c>
      <c r="AZ1275" s="50" t="n">
        <f aca="false">IF(LEFT(Cockpit!$O$5,1)="A",H1275,IF(Parameter!$E$30="MAX-Bestand",IF(CH1275=1,CI1275,IF(LEFT(Cockpit!$O$5,1)="B",BF1275,MAX(BF1275,H1275))),ROUNDUP(BD1275,0)))</f>
        <v>3</v>
      </c>
      <c r="BA1275" s="50" t="n">
        <f aca="false">IF(BZ1275=1,0,ROUNDUP(AZ1275/BY1275,0))</f>
        <v>1</v>
      </c>
      <c r="BB1275" s="52" t="n">
        <f aca="false">IF(CQ1275&gt;0,CQ1275*MAX(1,AZ1275/X1275),IF(BZ1275=1,IF(AZ1275&lt;=0,0,CD1275*MAX(1,IF(H1275&gt;0,AZ1275/H1275,1))),IF(R1275&gt;0,BA1275/R1275,0))/MAX(0.1,N(Parameter!$M$21)))</f>
        <v>0.0833333333333333</v>
      </c>
      <c r="BC1275" s="50" t="n">
        <f aca="false">BB1275*CB1275</f>
        <v>12.0833333333333</v>
      </c>
      <c r="BD1275" s="51" t="n">
        <f aca="false">IF(LEFT(Cockpit!$O$5,1)="A",H1275,IF(CH1275=1,(CK1275+CI1275)/2,IF(LEFT(Cockpit!$O$5,1)="B",(CK1275+BF1275)/2,MAX((CK1275+BF1275)/2,H1275))))</f>
        <v>2.5</v>
      </c>
      <c r="BE1275" s="50" t="n">
        <f aca="false">BD1275*G1275</f>
        <v>414.625</v>
      </c>
      <c r="BF1275" s="50" t="n">
        <f aca="false">ROUNDUP(CK1275+MAX(CL1275,2*(J1275/IF(CG1275&gt;0,CG1275,MAX(0.1,N(Cockpit!$O$6)))-CK1275)),0)</f>
        <v>5</v>
      </c>
      <c r="BG1275" s="51" t="n">
        <f aca="false">IF(BC1275&gt;0,J1275/BC1275,-1)</f>
        <v>0.496551724137931</v>
      </c>
      <c r="BH1275" s="51" t="n">
        <f aca="false">IF(AND(OR(CF1275="L1",CF1275="L23",CF1275="LIFT"),BC1275&gt;0),SUMIFS($BC$7:$BC$1843,$CF$7:$CF$1843,CF1275,$BG$7:$BG$1843,"&gt;"&amp;BG1275)+SUMIFS($BC$7:$BC$1843,$CF$7:$CF$1843,CF1275,$BG$7:$BG$1843,BG1275,$BW$7:$BW$1843,"&lt;="&amp;BW1275),"")</f>
        <v>10399.5132783883</v>
      </c>
      <c r="BI1275" s="58" t="n">
        <f aca="false">IF(BH1275="",0,MAX(0,MIN(1,(IF(CF1275="L1",Parameter!$H$5,IF(CF1275="L23",Parameter!$H$6+Parameter!$H$7,Parameter!$H$5+Parameter!$H$6+Parameter!$H$7))-(BH1275-BC1275))/BC1275)))</f>
        <v>1</v>
      </c>
      <c r="BJ1275" s="48" t="str">
        <f aca="false">IF(AI1275&lt;=0,"",IF(CF1275="Aussen","Aussenlager",IF(CF1275="-","Nicht im Lift",IF(AO1275&gt;=1,"Lift",IF(AO1275&lt;=0,"Aussenlager","teilweise")))))</f>
        <v>Lift</v>
      </c>
      <c r="BK1275" s="48" t="str">
        <f aca="false">IF(AS1275&lt;=0,"",IF(CF1275="Aussen","Aussenlager",IF(CF1275="-","Nicht im Lift",IF(AY1275&gt;=1,"Lift",IF(AY1275&lt;=0,"Aussenlager","teilweise")))))</f>
        <v>Lift</v>
      </c>
      <c r="BL1275" s="48" t="str">
        <f aca="false">IF(BC1275&lt;=0,"",IF(CF1275="Aussen","Aussenlager",IF(CF1275="-","Nicht im Lift",IF(BI1275&gt;=1,"Lift",IF(BI1275&lt;=0,"Aussenlager","teilweise")))))</f>
        <v>Lift</v>
      </c>
      <c r="BM1275" s="48" t="str">
        <f aca="false">IF(A1275="","",IF(BV1275=1,"Neu; ","")&amp;IF(AND(BV1275=0,BQ1275&lt;0),"negativer Bestand (Export "&amp;BQ1275&amp;"); ","")&amp;IF(J1275&lt;=0,"Kein Verbrauch; ","")&amp;IF(CQ1275&gt;0,"Lift "&amp;W1275&amp;" lt. Liftbericht (Fach "&amp;X1275&amp;" Stk); ",IF(CA1275=1,"Gebinde geschätzt ("&amp;T1275&amp;"); ",IF(BZ1275=1,"Lose – Tablare geschätzt; ","")))&amp;IF(H1275&gt;AV1275,"Überbestand "&amp;ROUND(H1275-AV1275,0)&amp;" Stk / CHF "&amp;ROUND((H1275-AV1275)*G1275,0)&amp;"; ","")&amp;IF(AND(CH1275=1,CI1275&lt;CJ1275),"MAX &lt; MB+LG; ","")&amp;IF(AND(CP1275&gt;0,CO1275*10&gt;CP1275),"zu hoch für Tablar; ","")&amp;IF(AND(BV1275=0,OR(CH1275=1,AA1275&lt;&gt;"",U1275&lt;&gt;"",V1275&lt;&gt;"",AB1275&lt;&gt;"")),"manuell übersteuert; ","")&amp;IF(AND(BZ1275=0,R1275=0),"Gebinde unbekannt / Stellmass fehlt; ","")&amp;IF(AND(BZ1275=0,N(V1275)&lt;=0,N(Q1275)&lt;=0),"Menge pro Gebinde fehlt (Ist = 1 Gebinde); ","")&amp;BU1275)</f>
        <v>negativer Bestand (Export -6); </v>
      </c>
      <c r="BN1275" s="48"/>
      <c r="BO1275" s="48"/>
      <c r="BP1275" s="55"/>
      <c r="BQ1275" s="50" t="n">
        <v>-6</v>
      </c>
      <c r="BR1275" s="50" t="n">
        <v>8</v>
      </c>
      <c r="BS1275" s="49" t="n">
        <v>-967.26</v>
      </c>
      <c r="BT1275" s="50" t="n">
        <v>6</v>
      </c>
      <c r="BU1275" s="48"/>
      <c r="BV1275" s="53" t="n">
        <v>0</v>
      </c>
      <c r="BW1275" s="53" t="n">
        <v>1275</v>
      </c>
      <c r="BX1275" s="48" t="str">
        <f aca="false">IF(U1275&lt;&gt;"",UPPER(TRIM(U1275)),IF(CA1275=1,UPPER(VLOOKUP(T1275,Parameter!$I$27:$K$29,2,0)),IF(P1275="","LOSE",P1275)))</f>
        <v>S61</v>
      </c>
      <c r="BY1275" s="50" t="n">
        <f aca="false">IF(BX1275="LOSE",1,IF(N(V1275)&gt;0,V1275,IF(CA1275=1,MAX(1,N(VLOOKUP(T1275,Parameter!$I$27:$K$29,3,0)),H1275,N(N1275)),IF(N(Q1275)&gt;0,Q1275,MAX(1,H1275)))))</f>
        <v>7</v>
      </c>
      <c r="BZ1275" s="53" t="n">
        <f aca="false">IF(BX1275="LOSE",1,0)</f>
        <v>0</v>
      </c>
      <c r="CA1275" s="53" t="n">
        <f aca="false">IF(AND(U1275="",OR(P1275="",P1275="LOSE"),T1275&lt;&gt;"",N(S1275)&lt;=0,ISNUMBER(MATCH(T1275,Parameter!$I$27:$I$29,0))),1,0)</f>
        <v>0</v>
      </c>
      <c r="CB1275" s="53" t="n">
        <f aca="false">IF(CQ1275&gt;0,INDEX(Parameter!$H$5:$H$7,W1275)/INDEX(Parameter!$E$5:$E$7,W1275),IF(AND(BZ1275=0,N(IFERROR(VLOOKUP(BX1275,'Gebinde-Kategorie'!$A$5:$N$45,14,0),0))&gt;0),VLOOKUP(BX1275,'Gebinde-Kategorie'!$A$5:$N$45,14,0)*10+Parameter!$M$23,Parameter!$M$24))</f>
        <v>145</v>
      </c>
      <c r="CC1275" s="48" t="str">
        <f aca="false">IF(AND(Parameter!$B$19="Ja",E1275&lt;&gt;"",ISNUMBER(MATCH(E1275,Parameter!$I$35:$I$52,0))),VLOOKUP(E1275,Parameter!$I$35:$J$52,2,0),IFERROR(VLOOKUP(D1275,Parameter!$A$35:$C$64,2,0),"Nein"))</f>
        <v>2+3</v>
      </c>
      <c r="CD1275" s="52" t="n">
        <f aca="false">IF(BZ1275=0,0,IF(N(S1275)&gt;0,S1275,IFERROR(VLOOKUP(D1275,Parameter!$A$35:$C$64,3,0)+0,0)))</f>
        <v>0</v>
      </c>
      <c r="CE1275" s="48" t="n">
        <f aca="false">IF(AA1275&lt;&gt;"",AA1275,Z1275)</f>
        <v>2</v>
      </c>
      <c r="CF1275" s="48" t="str">
        <f aca="false">IF(OR(CE1275=1,CE1275=2,CE1275=3),IF(Parameter!$E$27="Ja","LIFT",IF(CE1275=1,"L1","L23")),IF(CE1275="Aussen","Aussen","-"))</f>
        <v>LIFT</v>
      </c>
      <c r="CG1275" s="59" t="n">
        <f aca="false">IF(N(AB1275)&gt;0,AB1275,0)</f>
        <v>0</v>
      </c>
      <c r="CH1275" s="53" t="n">
        <f aca="false">IF(ISNUMBER(AE1275),1,0)</f>
        <v>0</v>
      </c>
      <c r="CI1275" s="50" t="n">
        <f aca="false">N(AE1275)</f>
        <v>0</v>
      </c>
      <c r="CJ1275" s="50" t="n">
        <f aca="false">N(M1275)+N(N1275)</f>
        <v>5</v>
      </c>
      <c r="CK1275" s="50" t="n">
        <f aca="false">N(M1275)</f>
        <v>0</v>
      </c>
      <c r="CL1275" s="50" t="n">
        <f aca="false">N(N1275)</f>
        <v>5</v>
      </c>
      <c r="CM1275" s="50" t="n">
        <f aca="false">ROUNDUP(H1275/BY1275,0)</f>
        <v>1</v>
      </c>
      <c r="CN1275" s="50" t="n">
        <f aca="false">ROUNDUP(CI1275/BY1275,0)</f>
        <v>0</v>
      </c>
      <c r="CO1275" s="53" t="n">
        <f aca="false">IF(BZ1275=1,0,IFERROR(VLOOKUP(BX1275,'Gebinde-Kategorie'!$A$5:$N$45,5,0)+0,0))</f>
        <v>11</v>
      </c>
      <c r="CP1275" s="53" t="n">
        <f aca="false">IFERROR(IF(OR(CE1275=1,CE1275=2,CE1275=3),N(INDEX(Parameter!$I$5:$I$7,CE1275)),0),0)</f>
        <v>0</v>
      </c>
      <c r="CQ1275" s="52" t="n">
        <f aca="false">IF(AND(Parameter!$B$21="Ja",ISNUMBER(W1275),N(X1275)&gt;0),IFERROR(N(INDEX(Parameter!$L$5:$L$7,W1275))*INDEX(Parameter!$E$5:$E$7,W1275)*X1275/SUMIFS($X$7:$X$1843,$W$7:$W$1843,W1275),0),0)</f>
        <v>0</v>
      </c>
    </row>
    <row r="1276" customFormat="false" ht="15" hidden="false" customHeight="false" outlineLevel="0" collapsed="false">
      <c r="A1276" s="48" t="s">
        <v>2289</v>
      </c>
      <c r="B1276" s="48" t="s">
        <v>2290</v>
      </c>
      <c r="C1276" s="48" t="s">
        <v>173</v>
      </c>
      <c r="D1276" s="48" t="s">
        <v>193</v>
      </c>
      <c r="E1276" s="48"/>
      <c r="F1276" s="48" t="s">
        <v>227</v>
      </c>
      <c r="G1276" s="49" t="n">
        <v>329.39</v>
      </c>
      <c r="H1276" s="50" t="n">
        <f aca="false">MAX(0,IF(AND(Parameter!$B$21="Ja",ISNUMBER(Y1276)),Y1276,IF(Parameter!$B$20="Jahresanfang 2025 + Export",BR1276+BQ1276,BQ1276)))</f>
        <v>9</v>
      </c>
      <c r="I1276" s="50" t="n">
        <f aca="false">H1276*G1276</f>
        <v>2964.51</v>
      </c>
      <c r="J1276" s="50" t="n">
        <f aca="false">BT1276*Parameter!$B$18</f>
        <v>2</v>
      </c>
      <c r="K1276" s="51" t="n">
        <v>11</v>
      </c>
      <c r="L1276" s="52" t="n">
        <v>0.181818181818182</v>
      </c>
      <c r="M1276" s="50" t="n">
        <v>0</v>
      </c>
      <c r="N1276" s="50" t="n">
        <v>1</v>
      </c>
      <c r="O1276" s="53" t="n">
        <v>28</v>
      </c>
      <c r="P1276" s="48" t="s">
        <v>430</v>
      </c>
      <c r="Q1276" s="50" t="n">
        <v>10</v>
      </c>
      <c r="R1276" s="53" t="n">
        <f aca="false">IF(BZ1276=1,0,IFERROR(VLOOKUP(BX1276,'Gebinde-Kategorie'!$A$5:$N$45,13,0)+0,0))</f>
        <v>104</v>
      </c>
      <c r="S1276" s="54"/>
      <c r="T1276" s="55"/>
      <c r="U1276" s="55"/>
      <c r="V1276" s="55"/>
      <c r="W1276" s="48"/>
      <c r="X1276" s="50"/>
      <c r="Y1276" s="50"/>
      <c r="Z1276" s="48" t="n">
        <f aca="false">IF(A1276="","",IF(AND(Parameter!$B$21="Ja",ISNUMBER(W1276)),W1276,IF(CC1276="2+3",IF(ISNUMBER(SEARCH("grosser Artikel",BU1276)),2,IFERROR(VLOOKUP(BX1276,Parameter!$F$35:$G$64,2,0),2)),IF(OR(CC1276="Nein",CC1276=""),"-",CC1276))))</f>
        <v>3</v>
      </c>
      <c r="AA1276" s="55"/>
      <c r="AB1276" s="56"/>
      <c r="AC1276" s="50" t="n">
        <f aca="false">AV1276</f>
        <v>2</v>
      </c>
      <c r="AD1276" s="50" t="n">
        <f aca="false">MAX(AV1276,H1276)</f>
        <v>9</v>
      </c>
      <c r="AE1276" s="57"/>
      <c r="AF1276" s="50" t="n">
        <f aca="false">IF(LEFT(Cockpit!$C$5,1)="A",H1276,IF(Parameter!$E$30="MAX-Bestand",IF(CH1276=1,CI1276,IF(LEFT(Cockpit!$C$5,1)="B",AL1276,MAX(AL1276,H1276))),ROUNDUP(AJ1276,0)))</f>
        <v>9</v>
      </c>
      <c r="AG1276" s="50" t="n">
        <f aca="false">IF(BZ1276=1,0,ROUNDUP(AF1276/BY1276,0))</f>
        <v>1</v>
      </c>
      <c r="AH1276" s="52" t="n">
        <f aca="false">IF(CQ1276&gt;0,CQ1276*MAX(1,AF1276/X1276),IF(BZ1276=1,IF(AF1276&lt;=0,0,CD1276*MAX(1,IF(H1276&gt;0,AF1276/H1276,1))),IF(R1276&gt;0,AG1276/R1276,0))/MAX(0.1,N(Parameter!$M$21)))</f>
        <v>0.00961538461538462</v>
      </c>
      <c r="AI1276" s="50" t="n">
        <f aca="false">AH1276*CB1276</f>
        <v>1.49038461538462</v>
      </c>
      <c r="AJ1276" s="51" t="n">
        <f aca="false">IF(LEFT(Cockpit!$C$5,1)="A",H1276,IF(CH1276=1,(CK1276+CI1276)/2,IF(LEFT(Cockpit!$C$5,1)="B",(CK1276+AL1276)/2,MAX((CK1276+AL1276)/2,H1276))))</f>
        <v>9</v>
      </c>
      <c r="AK1276" s="50" t="n">
        <f aca="false">AJ1276*G1276</f>
        <v>2964.51</v>
      </c>
      <c r="AL1276" s="50" t="n">
        <f aca="false">ROUNDUP(CK1276+MAX(CL1276,2*(J1276/IF(CG1276&gt;0,CG1276,MAX(0.1,N(Cockpit!$C$6)))-CK1276)),0)</f>
        <v>2</v>
      </c>
      <c r="AM1276" s="51" t="n">
        <f aca="false">IF(AI1276&gt;0,J1276/AI1276,-1)</f>
        <v>1.34193548387097</v>
      </c>
      <c r="AN1276" s="51" t="n">
        <f aca="false">IF(AND(OR(CF1276="L1",CF1276="L23",CF1276="LIFT"),AI1276&gt;0),SUMIFS($AI$7:$AI$1843,$CF$7:$CF$1843,CF1276,$AM$7:$AM$1843,"&gt;"&amp;AM1276)+SUMIFS($AI$7:$AI$1843,$CF$7:$CF$1843,CF1276,$AM$7:$AM$1843,AM1276,$BW$7:$BW$1843,"&lt;="&amp;BW1276),"")</f>
        <v>6362.44597069597</v>
      </c>
      <c r="AO1276" s="58" t="n">
        <f aca="false">IF(AN1276="",0,MAX(0,MIN(1,(IF(CF1276="L1",Parameter!$H$5,IF(CF1276="L23",Parameter!$H$6+Parameter!$H$7,Parameter!$H$5+Parameter!$H$6+Parameter!$H$7))-(AN1276-AI1276))/AI1276)))</f>
        <v>1</v>
      </c>
      <c r="AP1276" s="50" t="n">
        <f aca="false">IF(LEFT(Cockpit!$I$5,1)="A",H1276,IF(Parameter!$E$30="MAX-Bestand",IF(CH1276=1,CI1276,IF(LEFT(Cockpit!$I$5,1)="B",AV1276,MAX(AV1276,H1276))),ROUNDUP(AT1276,0)))</f>
        <v>9</v>
      </c>
      <c r="AQ1276" s="50" t="n">
        <f aca="false">IF(BZ1276=1,0,ROUNDUP(AP1276/BY1276,0))</f>
        <v>1</v>
      </c>
      <c r="AR1276" s="52" t="n">
        <f aca="false">IF(CQ1276&gt;0,CQ1276*MAX(1,AP1276/X1276),IF(BZ1276=1,IF(AP1276&lt;=0,0,CD1276*MAX(1,IF(H1276&gt;0,AP1276/H1276,1))),IF(R1276&gt;0,AQ1276/R1276,0))/MAX(0.1,N(Parameter!$M$21)))</f>
        <v>0.00961538461538462</v>
      </c>
      <c r="AS1276" s="50" t="n">
        <f aca="false">AR1276*CB1276</f>
        <v>1.49038461538462</v>
      </c>
      <c r="AT1276" s="51" t="n">
        <f aca="false">IF(LEFT(Cockpit!$I$5,1)="A",H1276,IF(CH1276=1,(CK1276+CI1276)/2,IF(LEFT(Cockpit!$I$5,1)="B",(CK1276+AV1276)/2,MAX((CK1276+AV1276)/2,H1276))))</f>
        <v>9</v>
      </c>
      <c r="AU1276" s="50" t="n">
        <f aca="false">AT1276*G1276</f>
        <v>2964.51</v>
      </c>
      <c r="AV1276" s="50" t="n">
        <f aca="false">ROUNDUP(CK1276+MAX(CL1276,2*(J1276/IF(CG1276&gt;0,CG1276,MAX(0.1,N(Cockpit!$I$6)))-CK1276)),0)</f>
        <v>2</v>
      </c>
      <c r="AW1276" s="51" t="n">
        <f aca="false">IF(AS1276&gt;0,J1276/AS1276,-1)</f>
        <v>1.34193548387097</v>
      </c>
      <c r="AX1276" s="51" t="n">
        <f aca="false">IF(AND(OR(CF1276="L1",CF1276="L23",CF1276="LIFT"),AS1276&gt;0),SUMIFS($AS$7:$AS$1843,$CF$7:$CF$1843,CF1276,$AW$7:$AW$1843,"&gt;"&amp;AW1276)+SUMIFS($AS$7:$AS$1843,$CF$7:$CF$1843,CF1276,$AW$7:$AW$1843,AW1276,$BW$7:$BW$1843,"&lt;="&amp;BW1276),"")</f>
        <v>7889.61034798535</v>
      </c>
      <c r="AY1276" s="58" t="n">
        <f aca="false">IF(AX1276="",0,MAX(0,MIN(1,(IF(CF1276="L1",Parameter!$H$5,IF(CF1276="L23",Parameter!$H$6+Parameter!$H$7,Parameter!$H$5+Parameter!$H$6+Parameter!$H$7))-(AX1276-AS1276))/AS1276)))</f>
        <v>1</v>
      </c>
      <c r="AZ1276" s="50" t="n">
        <f aca="false">IF(LEFT(Cockpit!$O$5,1)="A",H1276,IF(Parameter!$E$30="MAX-Bestand",IF(CH1276=1,CI1276,IF(LEFT(Cockpit!$O$5,1)="B",BF1276,MAX(BF1276,H1276))),ROUNDUP(BD1276,0)))</f>
        <v>1</v>
      </c>
      <c r="BA1276" s="50" t="n">
        <f aca="false">IF(BZ1276=1,0,ROUNDUP(AZ1276/BY1276,0))</f>
        <v>1</v>
      </c>
      <c r="BB1276" s="52" t="n">
        <f aca="false">IF(CQ1276&gt;0,CQ1276*MAX(1,AZ1276/X1276),IF(BZ1276=1,IF(AZ1276&lt;=0,0,CD1276*MAX(1,IF(H1276&gt;0,AZ1276/H1276,1))),IF(R1276&gt;0,BA1276/R1276,0))/MAX(0.1,N(Parameter!$M$21)))</f>
        <v>0.00961538461538462</v>
      </c>
      <c r="BC1276" s="50" t="n">
        <f aca="false">BB1276*CB1276</f>
        <v>1.49038461538462</v>
      </c>
      <c r="BD1276" s="51" t="n">
        <f aca="false">IF(LEFT(Cockpit!$O$5,1)="A",H1276,IF(CH1276=1,(CK1276+CI1276)/2,IF(LEFT(Cockpit!$O$5,1)="B",(CK1276+BF1276)/2,MAX((CK1276+BF1276)/2,H1276))))</f>
        <v>0.5</v>
      </c>
      <c r="BE1276" s="50" t="n">
        <f aca="false">BD1276*G1276</f>
        <v>164.695</v>
      </c>
      <c r="BF1276" s="50" t="n">
        <f aca="false">ROUNDUP(CK1276+MAX(CL1276,2*(J1276/IF(CG1276&gt;0,CG1276,MAX(0.1,N(Cockpit!$O$6)))-CK1276)),0)</f>
        <v>1</v>
      </c>
      <c r="BG1276" s="51" t="n">
        <f aca="false">IF(BC1276&gt;0,J1276/BC1276,-1)</f>
        <v>1.34193548387097</v>
      </c>
      <c r="BH1276" s="51" t="n">
        <f aca="false">IF(AND(OR(CF1276="L1",CF1276="L23",CF1276="LIFT"),BC1276&gt;0),SUMIFS($BC$7:$BC$1843,$CF$7:$CF$1843,CF1276,$BG$7:$BG$1843,"&gt;"&amp;BG1276)+SUMIFS($BC$7:$BC$1843,$CF$7:$CF$1843,CF1276,$BG$7:$BG$1843,BG1276,$BW$7:$BW$1843,"&lt;="&amp;BW1276),"")</f>
        <v>6826.82600732601</v>
      </c>
      <c r="BI1276" s="58" t="n">
        <f aca="false">IF(BH1276="",0,MAX(0,MIN(1,(IF(CF1276="L1",Parameter!$H$5,IF(CF1276="L23",Parameter!$H$6+Parameter!$H$7,Parameter!$H$5+Parameter!$H$6+Parameter!$H$7))-(BH1276-BC1276))/BC1276)))</f>
        <v>1</v>
      </c>
      <c r="BJ1276" s="48" t="str">
        <f aca="false">IF(AI1276&lt;=0,"",IF(CF1276="Aussen","Aussenlager",IF(CF1276="-","Nicht im Lift",IF(AO1276&gt;=1,"Lift",IF(AO1276&lt;=0,"Aussenlager","teilweise")))))</f>
        <v>Lift</v>
      </c>
      <c r="BK1276" s="48" t="str">
        <f aca="false">IF(AS1276&lt;=0,"",IF(CF1276="Aussen","Aussenlager",IF(CF1276="-","Nicht im Lift",IF(AY1276&gt;=1,"Lift",IF(AY1276&lt;=0,"Aussenlager","teilweise")))))</f>
        <v>Lift</v>
      </c>
      <c r="BL1276" s="48" t="str">
        <f aca="false">IF(BC1276&lt;=0,"",IF(CF1276="Aussen","Aussenlager",IF(CF1276="-","Nicht im Lift",IF(BI1276&gt;=1,"Lift",IF(BI1276&lt;=0,"Aussenlager","teilweise")))))</f>
        <v>Lift</v>
      </c>
      <c r="BM1276" s="48" t="str">
        <f aca="false">IF(A1276="","",IF(BV1276=1,"Neu; ","")&amp;IF(AND(BV1276=0,BQ1276&lt;0),"negativer Bestand (Export "&amp;BQ1276&amp;"); ","")&amp;IF(J1276&lt;=0,"Kein Verbrauch; ","")&amp;IF(CQ1276&gt;0,"Lift "&amp;W1276&amp;" lt. Liftbericht (Fach "&amp;X1276&amp;" Stk); ",IF(CA1276=1,"Gebinde geschätzt ("&amp;T1276&amp;"); ",IF(BZ1276=1,"Lose – Tablare geschätzt; ","")))&amp;IF(H1276&gt;AV1276,"Überbestand "&amp;ROUND(H1276-AV1276,0)&amp;" Stk / CHF "&amp;ROUND((H1276-AV1276)*G1276,0)&amp;"; ","")&amp;IF(AND(CH1276=1,CI1276&lt;CJ1276),"MAX &lt; MB+LG; ","")&amp;IF(AND(CP1276&gt;0,CO1276*10&gt;CP1276),"zu hoch für Tablar; ","")&amp;IF(AND(BV1276=0,OR(CH1276=1,AA1276&lt;&gt;"",U1276&lt;&gt;"",V1276&lt;&gt;"",AB1276&lt;&gt;"")),"manuell übersteuert; ","")&amp;IF(AND(BZ1276=0,R1276=0),"Gebinde unbekannt / Stellmass fehlt; ","")&amp;IF(AND(BZ1276=0,N(V1276)&lt;=0,N(Q1276)&lt;=0),"Menge pro Gebinde fehlt (Ist = 1 Gebinde); ","")&amp;BU1276)</f>
        <v>negativer Bestand (Export -3); Überbestand 7 Stk / CHF 2306; Neuer Art.</v>
      </c>
      <c r="BN1276" s="48"/>
      <c r="BO1276" s="48"/>
      <c r="BP1276" s="55"/>
      <c r="BQ1276" s="50" t="n">
        <v>-3</v>
      </c>
      <c r="BR1276" s="50" t="n">
        <v>12</v>
      </c>
      <c r="BS1276" s="49" t="n">
        <v>-988.17</v>
      </c>
      <c r="BT1276" s="50" t="n">
        <v>2</v>
      </c>
      <c r="BU1276" s="48" t="s">
        <v>521</v>
      </c>
      <c r="BV1276" s="53" t="n">
        <v>0</v>
      </c>
      <c r="BW1276" s="53" t="n">
        <v>1276</v>
      </c>
      <c r="BX1276" s="48" t="str">
        <f aca="false">IF(U1276&lt;&gt;"",UPPER(TRIM(U1276)),IF(CA1276=1,UPPER(VLOOKUP(T1276,Parameter!$I$27:$K$29,2,0)),IF(P1276="","LOSE",P1276)))</f>
        <v>S32</v>
      </c>
      <c r="BY1276" s="50" t="n">
        <f aca="false">IF(BX1276="LOSE",1,IF(N(V1276)&gt;0,V1276,IF(CA1276=1,MAX(1,N(VLOOKUP(T1276,Parameter!$I$27:$K$29,3,0)),H1276,N(N1276)),IF(N(Q1276)&gt;0,Q1276,MAX(1,H1276)))))</f>
        <v>10</v>
      </c>
      <c r="BZ1276" s="53" t="n">
        <f aca="false">IF(BX1276="LOSE",1,0)</f>
        <v>0</v>
      </c>
      <c r="CA1276" s="53" t="n">
        <f aca="false">IF(AND(U1276="",OR(P1276="",P1276="LOSE"),T1276&lt;&gt;"",N(S1276)&lt;=0,ISNUMBER(MATCH(T1276,Parameter!$I$27:$I$29,0))),1,0)</f>
        <v>0</v>
      </c>
      <c r="CB1276" s="53" t="n">
        <f aca="false">IF(CQ1276&gt;0,INDEX(Parameter!$H$5:$H$7,W1276)/INDEX(Parameter!$E$5:$E$7,W1276),IF(AND(BZ1276=0,N(IFERROR(VLOOKUP(BX1276,'Gebinde-Kategorie'!$A$5:$N$45,14,0),0))&gt;0),VLOOKUP(BX1276,'Gebinde-Kategorie'!$A$5:$N$45,14,0)*10+Parameter!$M$23,Parameter!$M$24))</f>
        <v>155</v>
      </c>
      <c r="CC1276" s="48" t="str">
        <f aca="false">IF(AND(Parameter!$B$19="Ja",E1276&lt;&gt;"",ISNUMBER(MATCH(E1276,Parameter!$I$35:$I$52,0))),VLOOKUP(E1276,Parameter!$I$35:$J$52,2,0),IFERROR(VLOOKUP(D1276,Parameter!$A$35:$C$64,2,0),"Nein"))</f>
        <v>2+3</v>
      </c>
      <c r="CD1276" s="52" t="n">
        <f aca="false">IF(BZ1276=0,0,IF(N(S1276)&gt;0,S1276,IFERROR(VLOOKUP(D1276,Parameter!$A$35:$C$64,3,0)+0,0)))</f>
        <v>0</v>
      </c>
      <c r="CE1276" s="48" t="n">
        <f aca="false">IF(AA1276&lt;&gt;"",AA1276,Z1276)</f>
        <v>3</v>
      </c>
      <c r="CF1276" s="48" t="str">
        <f aca="false">IF(OR(CE1276=1,CE1276=2,CE1276=3),IF(Parameter!$E$27="Ja","LIFT",IF(CE1276=1,"L1","L23")),IF(CE1276="Aussen","Aussen","-"))</f>
        <v>LIFT</v>
      </c>
      <c r="CG1276" s="59" t="n">
        <f aca="false">IF(N(AB1276)&gt;0,AB1276,0)</f>
        <v>0</v>
      </c>
      <c r="CH1276" s="53" t="n">
        <f aca="false">IF(ISNUMBER(AE1276),1,0)</f>
        <v>0</v>
      </c>
      <c r="CI1276" s="50" t="n">
        <f aca="false">N(AE1276)</f>
        <v>0</v>
      </c>
      <c r="CJ1276" s="50" t="n">
        <f aca="false">N(M1276)+N(N1276)</f>
        <v>1</v>
      </c>
      <c r="CK1276" s="50" t="n">
        <f aca="false">N(M1276)</f>
        <v>0</v>
      </c>
      <c r="CL1276" s="50" t="n">
        <f aca="false">N(N1276)</f>
        <v>1</v>
      </c>
      <c r="CM1276" s="50" t="n">
        <f aca="false">ROUNDUP(H1276/BY1276,0)</f>
        <v>1</v>
      </c>
      <c r="CN1276" s="50" t="n">
        <f aca="false">ROUNDUP(CI1276/BY1276,0)</f>
        <v>0</v>
      </c>
      <c r="CO1276" s="53" t="n">
        <f aca="false">IF(BZ1276=1,0,IFERROR(VLOOKUP(BX1276,'Gebinde-Kategorie'!$A$5:$N$45,5,0)+0,0))</f>
        <v>8</v>
      </c>
      <c r="CP1276" s="53" t="n">
        <f aca="false">IFERROR(IF(OR(CE1276=1,CE1276=2,CE1276=3),N(INDEX(Parameter!$I$5:$I$7,CE1276)),0),0)</f>
        <v>0</v>
      </c>
      <c r="CQ1276" s="52" t="n">
        <f aca="false">IF(AND(Parameter!$B$21="Ja",ISNUMBER(W1276),N(X1276)&gt;0),IFERROR(N(INDEX(Parameter!$L$5:$L$7,W1276))*INDEX(Parameter!$E$5:$E$7,W1276)*X1276/SUMIFS($X$7:$X$1843,$W$7:$W$1843,W1276),0),0)</f>
        <v>0</v>
      </c>
    </row>
    <row r="1277" customFormat="false" ht="15" hidden="false" customHeight="false" outlineLevel="0" collapsed="false">
      <c r="A1277" s="48" t="s">
        <v>2291</v>
      </c>
      <c r="B1277" s="48" t="s">
        <v>2292</v>
      </c>
      <c r="C1277" s="48" t="s">
        <v>173</v>
      </c>
      <c r="D1277" s="48" t="s">
        <v>182</v>
      </c>
      <c r="E1277" s="48"/>
      <c r="F1277" s="48" t="s">
        <v>227</v>
      </c>
      <c r="G1277" s="49" t="n">
        <v>498</v>
      </c>
      <c r="H1277" s="50" t="n">
        <f aca="false">MAX(0,IF(AND(Parameter!$B$21="Ja",ISNUMBER(Y1277)),Y1277,IF(Parameter!$B$20="Jahresanfang 2025 + Export",BR1277+BQ1277,BQ1277)))</f>
        <v>0</v>
      </c>
      <c r="I1277" s="50" t="n">
        <f aca="false">H1277*G1277</f>
        <v>0</v>
      </c>
      <c r="J1277" s="50" t="n">
        <f aca="false">BT1277*Parameter!$B$18</f>
        <v>2</v>
      </c>
      <c r="K1277" s="51" t="n">
        <v>1</v>
      </c>
      <c r="L1277" s="52" t="n">
        <v>2</v>
      </c>
      <c r="M1277" s="50" t="n">
        <v>0</v>
      </c>
      <c r="N1277" s="50" t="n">
        <v>1</v>
      </c>
      <c r="O1277" s="53" t="n">
        <v>42</v>
      </c>
      <c r="P1277" s="48" t="s">
        <v>177</v>
      </c>
      <c r="Q1277" s="50"/>
      <c r="R1277" s="53" t="n">
        <f aca="false">IF(BZ1277=1,0,IFERROR(VLOOKUP(BX1277,'Gebinde-Kategorie'!$A$5:$N$45,13,0)+0,0))</f>
        <v>12</v>
      </c>
      <c r="S1277" s="54"/>
      <c r="T1277" s="55" t="s">
        <v>188</v>
      </c>
      <c r="U1277" s="55"/>
      <c r="V1277" s="55"/>
      <c r="W1277" s="48"/>
      <c r="X1277" s="50"/>
      <c r="Y1277" s="50"/>
      <c r="Z1277" s="48" t="n">
        <f aca="false">IF(A1277="","",IF(AND(Parameter!$B$21="Ja",ISNUMBER(W1277)),W1277,IF(CC1277="2+3",IF(ISNUMBER(SEARCH("grosser Artikel",BU1277)),2,IFERROR(VLOOKUP(BX1277,Parameter!$F$35:$G$64,2,0),2)),IF(OR(CC1277="Nein",CC1277=""),"-",CC1277))))</f>
        <v>2</v>
      </c>
      <c r="AA1277" s="55"/>
      <c r="AB1277" s="56"/>
      <c r="AC1277" s="50" t="n">
        <f aca="false">AV1277</f>
        <v>2</v>
      </c>
      <c r="AD1277" s="50" t="n">
        <f aca="false">MAX(AV1277,H1277)</f>
        <v>2</v>
      </c>
      <c r="AE1277" s="57"/>
      <c r="AF1277" s="50" t="n">
        <f aca="false">IF(LEFT(Cockpit!$C$5,1)="A",H1277,IF(Parameter!$E$30="MAX-Bestand",IF(CH1277=1,CI1277,IF(LEFT(Cockpit!$C$5,1)="B",AL1277,MAX(AL1277,H1277))),ROUNDUP(AJ1277,0)))</f>
        <v>0</v>
      </c>
      <c r="AG1277" s="50" t="n">
        <f aca="false">IF(BZ1277=1,0,ROUNDUP(AF1277/BY1277,0))</f>
        <v>0</v>
      </c>
      <c r="AH1277" s="52" t="n">
        <f aca="false">IF(CQ1277&gt;0,CQ1277*MAX(1,AF1277/X1277),IF(BZ1277=1,IF(AF1277&lt;=0,0,CD1277*MAX(1,IF(H1277&gt;0,AF1277/H1277,1))),IF(R1277&gt;0,AG1277/R1277,0))/MAX(0.1,N(Parameter!$M$21)))</f>
        <v>0</v>
      </c>
      <c r="AI1277" s="50" t="n">
        <f aca="false">AH1277*CB1277</f>
        <v>0</v>
      </c>
      <c r="AJ1277" s="51" t="n">
        <f aca="false">IF(LEFT(Cockpit!$C$5,1)="A",H1277,IF(CH1277=1,(CK1277+CI1277)/2,IF(LEFT(Cockpit!$C$5,1)="B",(CK1277+AL1277)/2,MAX((CK1277+AL1277)/2,H1277))))</f>
        <v>0</v>
      </c>
      <c r="AK1277" s="50" t="n">
        <f aca="false">AJ1277*G1277</f>
        <v>0</v>
      </c>
      <c r="AL1277" s="50" t="n">
        <f aca="false">ROUNDUP(CK1277+MAX(CL1277,2*(J1277/IF(CG1277&gt;0,CG1277,MAX(0.1,N(Cockpit!$C$6)))-CK1277)),0)</f>
        <v>2</v>
      </c>
      <c r="AM1277" s="51" t="n">
        <f aca="false">IF(AI1277&gt;0,J1277/AI1277,-1)</f>
        <v>-1</v>
      </c>
      <c r="AN1277" s="51" t="str">
        <f aca="false">IF(AND(OR(CF1277="L1",CF1277="L23",CF1277="LIFT"),AI1277&gt;0),SUMIFS($AI$7:$AI$1843,$CF$7:$CF$1843,CF1277,$AM$7:$AM$1843,"&gt;"&amp;AM1277)+SUMIFS($AI$7:$AI$1843,$CF$7:$CF$1843,CF1277,$AM$7:$AM$1843,AM1277,$BW$7:$BW$1843,"&lt;="&amp;BW1277),"")</f>
        <v/>
      </c>
      <c r="AO1277" s="58" t="n">
        <f aca="false">IF(AN1277="",0,MAX(0,MIN(1,(IF(CF1277="L1",Parameter!$H$5,IF(CF1277="L23",Parameter!$H$6+Parameter!$H$7,Parameter!$H$5+Parameter!$H$6+Parameter!$H$7))-(AN1277-AI1277))/AI1277)))</f>
        <v>0</v>
      </c>
      <c r="AP1277" s="50" t="n">
        <f aca="false">IF(LEFT(Cockpit!$I$5,1)="A",H1277,IF(Parameter!$E$30="MAX-Bestand",IF(CH1277=1,CI1277,IF(LEFT(Cockpit!$I$5,1)="B",AV1277,MAX(AV1277,H1277))),ROUNDUP(AT1277,0)))</f>
        <v>1</v>
      </c>
      <c r="AQ1277" s="50" t="n">
        <f aca="false">IF(BZ1277=1,0,ROUNDUP(AP1277/BY1277,0))</f>
        <v>1</v>
      </c>
      <c r="AR1277" s="52" t="n">
        <f aca="false">IF(CQ1277&gt;0,CQ1277*MAX(1,AP1277/X1277),IF(BZ1277=1,IF(AP1277&lt;=0,0,CD1277*MAX(1,IF(H1277&gt;0,AP1277/H1277,1))),IF(R1277&gt;0,AQ1277/R1277,0))/MAX(0.1,N(Parameter!$M$21)))</f>
        <v>0.0833333333333333</v>
      </c>
      <c r="AS1277" s="50" t="n">
        <f aca="false">AR1277*CB1277</f>
        <v>12.0833333333333</v>
      </c>
      <c r="AT1277" s="51" t="n">
        <f aca="false">IF(LEFT(Cockpit!$I$5,1)="A",H1277,IF(CH1277=1,(CK1277+CI1277)/2,IF(LEFT(Cockpit!$I$5,1)="B",(CK1277+AV1277)/2,MAX((CK1277+AV1277)/2,H1277))))</f>
        <v>1</v>
      </c>
      <c r="AU1277" s="50" t="n">
        <f aca="false">AT1277*G1277</f>
        <v>498</v>
      </c>
      <c r="AV1277" s="50" t="n">
        <f aca="false">ROUNDUP(CK1277+MAX(CL1277,2*(J1277/IF(CG1277&gt;0,CG1277,MAX(0.1,N(Cockpit!$I$6)))-CK1277)),0)</f>
        <v>2</v>
      </c>
      <c r="AW1277" s="51" t="n">
        <f aca="false">IF(AS1277&gt;0,J1277/AS1277,-1)</f>
        <v>0.16551724137931</v>
      </c>
      <c r="AX1277" s="51" t="n">
        <f aca="false">IF(AND(OR(CF1277="L1",CF1277="L23",CF1277="LIFT"),AS1277&gt;0),SUMIFS($AS$7:$AS$1843,$CF$7:$CF$1843,CF1277,$AW$7:$AW$1843,"&gt;"&amp;AW1277)+SUMIFS($AS$7:$AS$1843,$CF$7:$CF$1843,CF1277,$AW$7:$AW$1843,AW1277,$BW$7:$BW$1843,"&lt;="&amp;BW1277),"")</f>
        <v>15794.5041208791</v>
      </c>
      <c r="AY1277" s="58" t="n">
        <f aca="false">IF(AX1277="",0,MAX(0,MIN(1,(IF(CF1277="L1",Parameter!$H$5,IF(CF1277="L23",Parameter!$H$6+Parameter!$H$7,Parameter!$H$5+Parameter!$H$6+Parameter!$H$7))-(AX1277-AS1277))/AS1277)))</f>
        <v>1</v>
      </c>
      <c r="AZ1277" s="50" t="n">
        <f aca="false">IF(LEFT(Cockpit!$O$5,1)="A",H1277,IF(Parameter!$E$30="MAX-Bestand",IF(CH1277=1,CI1277,IF(LEFT(Cockpit!$O$5,1)="B",BF1277,MAX(BF1277,H1277))),ROUNDUP(BD1277,0)))</f>
        <v>1</v>
      </c>
      <c r="BA1277" s="50" t="n">
        <f aca="false">IF(BZ1277=1,0,ROUNDUP(AZ1277/BY1277,0))</f>
        <v>1</v>
      </c>
      <c r="BB1277" s="52" t="n">
        <f aca="false">IF(CQ1277&gt;0,CQ1277*MAX(1,AZ1277/X1277),IF(BZ1277=1,IF(AZ1277&lt;=0,0,CD1277*MAX(1,IF(H1277&gt;0,AZ1277/H1277,1))),IF(R1277&gt;0,BA1277/R1277,0))/MAX(0.1,N(Parameter!$M$21)))</f>
        <v>0.0833333333333333</v>
      </c>
      <c r="BC1277" s="50" t="n">
        <f aca="false">BB1277*CB1277</f>
        <v>12.0833333333333</v>
      </c>
      <c r="BD1277" s="51" t="n">
        <f aca="false">IF(LEFT(Cockpit!$O$5,1)="A",H1277,IF(CH1277=1,(CK1277+CI1277)/2,IF(LEFT(Cockpit!$O$5,1)="B",(CK1277+BF1277)/2,MAX((CK1277+BF1277)/2,H1277))))</f>
        <v>0.5</v>
      </c>
      <c r="BE1277" s="50" t="n">
        <f aca="false">BD1277*G1277</f>
        <v>249</v>
      </c>
      <c r="BF1277" s="50" t="n">
        <f aca="false">ROUNDUP(CK1277+MAX(CL1277,2*(J1277/IF(CG1277&gt;0,CG1277,MAX(0.1,N(Cockpit!$O$6)))-CK1277)),0)</f>
        <v>1</v>
      </c>
      <c r="BG1277" s="51" t="n">
        <f aca="false">IF(BC1277&gt;0,J1277/BC1277,-1)</f>
        <v>0.16551724137931</v>
      </c>
      <c r="BH1277" s="51" t="n">
        <f aca="false">IF(AND(OR(CF1277="L1",CF1277="L23",CF1277="LIFT"),BC1277&gt;0),SUMIFS($BC$7:$BC$1843,$CF$7:$CF$1843,CF1277,$BG$7:$BG$1843,"&gt;"&amp;BG1277)+SUMIFS($BC$7:$BC$1843,$CF$7:$CF$1843,CF1277,$BG$7:$BG$1843,BG1277,$BW$7:$BW$1843,"&lt;="&amp;BW1277),"")</f>
        <v>13620.9706157778</v>
      </c>
      <c r="BI1277" s="58" t="n">
        <f aca="false">IF(BH1277="",0,MAX(0,MIN(1,(IF(CF1277="L1",Parameter!$H$5,IF(CF1277="L23",Parameter!$H$6+Parameter!$H$7,Parameter!$H$5+Parameter!$H$6+Parameter!$H$7))-(BH1277-BC1277))/BC1277)))</f>
        <v>1</v>
      </c>
      <c r="BJ1277" s="48" t="str">
        <f aca="false">IF(AI1277&lt;=0,"",IF(CF1277="Aussen","Aussenlager",IF(CF1277="-","Nicht im Lift",IF(AO1277&gt;=1,"Lift",IF(AO1277&lt;=0,"Aussenlager","teilweise")))))</f>
        <v/>
      </c>
      <c r="BK1277" s="48" t="str">
        <f aca="false">IF(AS1277&lt;=0,"",IF(CF1277="Aussen","Aussenlager",IF(CF1277="-","Nicht im Lift",IF(AY1277&gt;=1,"Lift",IF(AY1277&lt;=0,"Aussenlager","teilweise")))))</f>
        <v>Lift</v>
      </c>
      <c r="BL1277" s="48" t="str">
        <f aca="false">IF(BC1277&lt;=0,"",IF(CF1277="Aussen","Aussenlager",IF(CF1277="-","Nicht im Lift",IF(BI1277&gt;=1,"Lift",IF(BI1277&lt;=0,"Aussenlager","teilweise")))))</f>
        <v>Lift</v>
      </c>
      <c r="BM1277" s="48" t="str">
        <f aca="false">IF(A1277="","",IF(BV1277=1,"Neu; ","")&amp;IF(AND(BV1277=0,BQ1277&lt;0),"negativer Bestand (Export "&amp;BQ1277&amp;"); ","")&amp;IF(J1277&lt;=0,"Kein Verbrauch; ","")&amp;IF(CQ1277&gt;0,"Lift "&amp;W1277&amp;" lt. Liftbericht (Fach "&amp;X1277&amp;" Stk); ",IF(CA1277=1,"Gebinde geschätzt ("&amp;T1277&amp;"); ",IF(BZ1277=1,"Lose – Tablare geschätzt; ","")))&amp;IF(H1277&gt;AV1277,"Überbestand "&amp;ROUND(H1277-AV1277,0)&amp;" Stk / CHF "&amp;ROUND((H1277-AV1277)*G1277,0)&amp;"; ","")&amp;IF(AND(CH1277=1,CI1277&lt;CJ1277),"MAX &lt; MB+LG; ","")&amp;IF(AND(CP1277&gt;0,CO1277*10&gt;CP1277),"zu hoch für Tablar; ","")&amp;IF(AND(BV1277=0,OR(CH1277=1,AA1277&lt;&gt;"",U1277&lt;&gt;"",V1277&lt;&gt;"",AB1277&lt;&gt;"")),"manuell übersteuert; ","")&amp;IF(AND(BZ1277=0,R1277=0),"Gebinde unbekannt / Stellmass fehlt; ","")&amp;IF(AND(BZ1277=0,N(V1277)&lt;=0,N(Q1277)&lt;=0),"Menge pro Gebinde fehlt (Ist = 1 Gebinde); ","")&amp;BU1277)</f>
        <v>negativer Bestand (Export -2); Gebinde geschätzt (Mittel); Menge pro Gebinde fehlt (Ist = 1 Gebinde); </v>
      </c>
      <c r="BN1277" s="48"/>
      <c r="BO1277" s="48"/>
      <c r="BP1277" s="55"/>
      <c r="BQ1277" s="50" t="n">
        <v>-2</v>
      </c>
      <c r="BR1277" s="50" t="n">
        <v>2</v>
      </c>
      <c r="BS1277" s="49" t="n">
        <v>-996</v>
      </c>
      <c r="BT1277" s="50" t="n">
        <v>2</v>
      </c>
      <c r="BU1277" s="48"/>
      <c r="BV1277" s="53" t="n">
        <v>0</v>
      </c>
      <c r="BW1277" s="53" t="n">
        <v>1277</v>
      </c>
      <c r="BX1277" s="48" t="str">
        <f aca="false">IF(U1277&lt;&gt;"",UPPER(TRIM(U1277)),IF(CA1277=1,UPPER(VLOOKUP(T1277,Parameter!$I$27:$K$29,2,0)),IF(P1277="","LOSE",P1277)))</f>
        <v>S61</v>
      </c>
      <c r="BY1277" s="50" t="n">
        <f aca="false">IF(BX1277="LOSE",1,IF(N(V1277)&gt;0,V1277,IF(CA1277=1,MAX(1,N(VLOOKUP(T1277,Parameter!$I$27:$K$29,3,0)),H1277,N(N1277)),IF(N(Q1277)&gt;0,Q1277,MAX(1,H1277)))))</f>
        <v>4</v>
      </c>
      <c r="BZ1277" s="53" t="n">
        <f aca="false">IF(BX1277="LOSE",1,0)</f>
        <v>0</v>
      </c>
      <c r="CA1277" s="53" t="n">
        <f aca="false">IF(AND(U1277="",OR(P1277="",P1277="LOSE"),T1277&lt;&gt;"",N(S1277)&lt;=0,ISNUMBER(MATCH(T1277,Parameter!$I$27:$I$29,0))),1,0)</f>
        <v>1</v>
      </c>
      <c r="CB1277" s="53" t="n">
        <f aca="false">IF(CQ1277&gt;0,INDEX(Parameter!$H$5:$H$7,W1277)/INDEX(Parameter!$E$5:$E$7,W1277),IF(AND(BZ1277=0,N(IFERROR(VLOOKUP(BX1277,'Gebinde-Kategorie'!$A$5:$N$45,14,0),0))&gt;0),VLOOKUP(BX1277,'Gebinde-Kategorie'!$A$5:$N$45,14,0)*10+Parameter!$M$23,Parameter!$M$24))</f>
        <v>145</v>
      </c>
      <c r="CC1277" s="48" t="str">
        <f aca="false">IF(AND(Parameter!$B$19="Ja",E1277&lt;&gt;"",ISNUMBER(MATCH(E1277,Parameter!$I$35:$I$52,0))),VLOOKUP(E1277,Parameter!$I$35:$J$52,2,0),IFERROR(VLOOKUP(D1277,Parameter!$A$35:$C$64,2,0),"Nein"))</f>
        <v>2+3</v>
      </c>
      <c r="CD1277" s="52" t="n">
        <f aca="false">IF(BZ1277=0,0,IF(N(S1277)&gt;0,S1277,IFERROR(VLOOKUP(D1277,Parameter!$A$35:$C$64,3,0)+0,0)))</f>
        <v>0</v>
      </c>
      <c r="CE1277" s="48" t="n">
        <f aca="false">IF(AA1277&lt;&gt;"",AA1277,Z1277)</f>
        <v>2</v>
      </c>
      <c r="CF1277" s="48" t="str">
        <f aca="false">IF(OR(CE1277=1,CE1277=2,CE1277=3),IF(Parameter!$E$27="Ja","LIFT",IF(CE1277=1,"L1","L23")),IF(CE1277="Aussen","Aussen","-"))</f>
        <v>LIFT</v>
      </c>
      <c r="CG1277" s="59" t="n">
        <f aca="false">IF(N(AB1277)&gt;0,AB1277,0)</f>
        <v>0</v>
      </c>
      <c r="CH1277" s="53" t="n">
        <f aca="false">IF(ISNUMBER(AE1277),1,0)</f>
        <v>0</v>
      </c>
      <c r="CI1277" s="50" t="n">
        <f aca="false">N(AE1277)</f>
        <v>0</v>
      </c>
      <c r="CJ1277" s="50" t="n">
        <f aca="false">N(M1277)+N(N1277)</f>
        <v>1</v>
      </c>
      <c r="CK1277" s="50" t="n">
        <f aca="false">N(M1277)</f>
        <v>0</v>
      </c>
      <c r="CL1277" s="50" t="n">
        <f aca="false">N(N1277)</f>
        <v>1</v>
      </c>
      <c r="CM1277" s="50" t="n">
        <f aca="false">ROUNDUP(H1277/BY1277,0)</f>
        <v>0</v>
      </c>
      <c r="CN1277" s="50" t="n">
        <f aca="false">ROUNDUP(CI1277/BY1277,0)</f>
        <v>0</v>
      </c>
      <c r="CO1277" s="53" t="n">
        <f aca="false">IF(BZ1277=1,0,IFERROR(VLOOKUP(BX1277,'Gebinde-Kategorie'!$A$5:$N$45,5,0)+0,0))</f>
        <v>11</v>
      </c>
      <c r="CP1277" s="53" t="n">
        <f aca="false">IFERROR(IF(OR(CE1277=1,CE1277=2,CE1277=3),N(INDEX(Parameter!$I$5:$I$7,CE1277)),0),0)</f>
        <v>0</v>
      </c>
      <c r="CQ1277" s="52" t="n">
        <f aca="false">IF(AND(Parameter!$B$21="Ja",ISNUMBER(W1277),N(X1277)&gt;0),IFERROR(N(INDEX(Parameter!$L$5:$L$7,W1277))*INDEX(Parameter!$E$5:$E$7,W1277)*X1277/SUMIFS($X$7:$X$1843,$W$7:$W$1843,W1277),0),0)</f>
        <v>0</v>
      </c>
    </row>
    <row r="1278" customFormat="false" ht="15" hidden="false" customHeight="false" outlineLevel="0" collapsed="false">
      <c r="A1278" s="48" t="s">
        <v>2293</v>
      </c>
      <c r="B1278" s="48" t="s">
        <v>1968</v>
      </c>
      <c r="C1278" s="48" t="s">
        <v>173</v>
      </c>
      <c r="D1278" s="48" t="s">
        <v>182</v>
      </c>
      <c r="E1278" s="48" t="s">
        <v>194</v>
      </c>
      <c r="F1278" s="48" t="s">
        <v>227</v>
      </c>
      <c r="G1278" s="49" t="n">
        <v>168</v>
      </c>
      <c r="H1278" s="50" t="n">
        <f aca="false">MAX(0,IF(AND(Parameter!$B$21="Ja",ISNUMBER(Y1278)),Y1278,IF(Parameter!$B$20="Jahresanfang 2025 + Export",BR1278+BQ1278,BQ1278)))</f>
        <v>18</v>
      </c>
      <c r="I1278" s="50" t="n">
        <f aca="false">H1278*G1278</f>
        <v>3024</v>
      </c>
      <c r="J1278" s="50" t="n">
        <f aca="false">BT1278*Parameter!$B$18</f>
        <v>2</v>
      </c>
      <c r="K1278" s="51" t="n">
        <v>22.5</v>
      </c>
      <c r="L1278" s="52" t="n">
        <v>0.0888888888888889</v>
      </c>
      <c r="M1278" s="50" t="n">
        <v>0</v>
      </c>
      <c r="N1278" s="50" t="n">
        <v>1</v>
      </c>
      <c r="O1278" s="53" t="n">
        <v>84</v>
      </c>
      <c r="P1278" s="48" t="s">
        <v>183</v>
      </c>
      <c r="Q1278" s="50" t="n">
        <v>12</v>
      </c>
      <c r="R1278" s="53" t="n">
        <f aca="false">IF(BZ1278=1,0,IFERROR(VLOOKUP(BX1278,'Gebinde-Kategorie'!$A$5:$N$45,13,0)+0,0))</f>
        <v>6</v>
      </c>
      <c r="S1278" s="54"/>
      <c r="T1278" s="55"/>
      <c r="U1278" s="55"/>
      <c r="V1278" s="55"/>
      <c r="W1278" s="48"/>
      <c r="X1278" s="50"/>
      <c r="Y1278" s="50"/>
      <c r="Z1278" s="48" t="n">
        <f aca="false">IF(A1278="","",IF(AND(Parameter!$B$21="Ja",ISNUMBER(W1278)),W1278,IF(CC1278="2+3",IF(ISNUMBER(SEARCH("grosser Artikel",BU1278)),2,IFERROR(VLOOKUP(BX1278,Parameter!$F$35:$G$64,2,0),2)),IF(OR(CC1278="Nein",CC1278=""),"-",CC1278))))</f>
        <v>2</v>
      </c>
      <c r="AA1278" s="55"/>
      <c r="AB1278" s="56"/>
      <c r="AC1278" s="50" t="n">
        <f aca="false">AV1278</f>
        <v>2</v>
      </c>
      <c r="AD1278" s="50" t="n">
        <f aca="false">MAX(AV1278,H1278)</f>
        <v>18</v>
      </c>
      <c r="AE1278" s="57"/>
      <c r="AF1278" s="50" t="n">
        <f aca="false">IF(LEFT(Cockpit!$C$5,1)="A",H1278,IF(Parameter!$E$30="MAX-Bestand",IF(CH1278=1,CI1278,IF(LEFT(Cockpit!$C$5,1)="B",AL1278,MAX(AL1278,H1278))),ROUNDUP(AJ1278,0)))</f>
        <v>18</v>
      </c>
      <c r="AG1278" s="50" t="n">
        <f aca="false">IF(BZ1278=1,0,ROUNDUP(AF1278/BY1278,0))</f>
        <v>2</v>
      </c>
      <c r="AH1278" s="52" t="n">
        <f aca="false">IF(CQ1278&gt;0,CQ1278*MAX(1,AF1278/X1278),IF(BZ1278=1,IF(AF1278&lt;=0,0,CD1278*MAX(1,IF(H1278&gt;0,AF1278/H1278,1))),IF(R1278&gt;0,AG1278/R1278,0))/MAX(0.1,N(Parameter!$M$21)))</f>
        <v>0.333333333333333</v>
      </c>
      <c r="AI1278" s="50" t="n">
        <f aca="false">AH1278*CB1278</f>
        <v>78.3333333333333</v>
      </c>
      <c r="AJ1278" s="51" t="n">
        <f aca="false">IF(LEFT(Cockpit!$C$5,1)="A",H1278,IF(CH1278=1,(CK1278+CI1278)/2,IF(LEFT(Cockpit!$C$5,1)="B",(CK1278+AL1278)/2,MAX((CK1278+AL1278)/2,H1278))))</f>
        <v>18</v>
      </c>
      <c r="AK1278" s="50" t="n">
        <f aca="false">AJ1278*G1278</f>
        <v>3024</v>
      </c>
      <c r="AL1278" s="50" t="n">
        <f aca="false">ROUNDUP(CK1278+MAX(CL1278,2*(J1278/IF(CG1278&gt;0,CG1278,MAX(0.1,N(Cockpit!$C$6)))-CK1278)),0)</f>
        <v>2</v>
      </c>
      <c r="AM1278" s="51" t="n">
        <f aca="false">IF(AI1278&gt;0,J1278/AI1278,-1)</f>
        <v>0.025531914893617</v>
      </c>
      <c r="AN1278" s="51" t="n">
        <f aca="false">IF(AND(OR(CF1278="L1",CF1278="L23",CF1278="LIFT"),AI1278&gt;0),SUMIFS($AI$7:$AI$1843,$CF$7:$CF$1843,CF1278,$AM$7:$AM$1843,"&gt;"&amp;AM1278)+SUMIFS($AI$7:$AI$1843,$CF$7:$CF$1843,CF1278,$AM$7:$AM$1843,AM1278,$BW$7:$BW$1843,"&lt;="&amp;BW1278),"")</f>
        <v>21925.4437382298</v>
      </c>
      <c r="AO1278" s="58" t="n">
        <f aca="false">IF(AN1278="",0,MAX(0,MIN(1,(IF(CF1278="L1",Parameter!$H$5,IF(CF1278="L23",Parameter!$H$6+Parameter!$H$7,Parameter!$H$5+Parameter!$H$6+Parameter!$H$7))-(AN1278-AI1278))/AI1278)))</f>
        <v>1</v>
      </c>
      <c r="AP1278" s="50" t="n">
        <f aca="false">IF(LEFT(Cockpit!$I$5,1)="A",H1278,IF(Parameter!$E$30="MAX-Bestand",IF(CH1278=1,CI1278,IF(LEFT(Cockpit!$I$5,1)="B",AV1278,MAX(AV1278,H1278))),ROUNDUP(AT1278,0)))</f>
        <v>18</v>
      </c>
      <c r="AQ1278" s="50" t="n">
        <f aca="false">IF(BZ1278=1,0,ROUNDUP(AP1278/BY1278,0))</f>
        <v>2</v>
      </c>
      <c r="AR1278" s="52" t="n">
        <f aca="false">IF(CQ1278&gt;0,CQ1278*MAX(1,AP1278/X1278),IF(BZ1278=1,IF(AP1278&lt;=0,0,CD1278*MAX(1,IF(H1278&gt;0,AP1278/H1278,1))),IF(R1278&gt;0,AQ1278/R1278,0))/MAX(0.1,N(Parameter!$M$21)))</f>
        <v>0.333333333333333</v>
      </c>
      <c r="AS1278" s="50" t="n">
        <f aca="false">AR1278*CB1278</f>
        <v>78.3333333333333</v>
      </c>
      <c r="AT1278" s="51" t="n">
        <f aca="false">IF(LEFT(Cockpit!$I$5,1)="A",H1278,IF(CH1278=1,(CK1278+CI1278)/2,IF(LEFT(Cockpit!$I$5,1)="B",(CK1278+AV1278)/2,MAX((CK1278+AV1278)/2,H1278))))</f>
        <v>18</v>
      </c>
      <c r="AU1278" s="50" t="n">
        <f aca="false">AT1278*G1278</f>
        <v>3024</v>
      </c>
      <c r="AV1278" s="50" t="n">
        <f aca="false">ROUNDUP(CK1278+MAX(CL1278,2*(J1278/IF(CG1278&gt;0,CG1278,MAX(0.1,N(Cockpit!$I$6)))-CK1278)),0)</f>
        <v>2</v>
      </c>
      <c r="AW1278" s="51" t="n">
        <f aca="false">IF(AS1278&gt;0,J1278/AS1278,-1)</f>
        <v>0.025531914893617</v>
      </c>
      <c r="AX1278" s="51" t="n">
        <f aca="false">IF(AND(OR(CF1278="L1",CF1278="L23",CF1278="LIFT"),AS1278&gt;0),SUMIFS($AS$7:$AS$1843,$CF$7:$CF$1843,CF1278,$AW$7:$AW$1843,"&gt;"&amp;AW1278)+SUMIFS($AS$7:$AS$1843,$CF$7:$CF$1843,CF1278,$AW$7:$AW$1843,AW1278,$BW$7:$BW$1843,"&lt;="&amp;BW1278),"")</f>
        <v>27043.5923796072</v>
      </c>
      <c r="AY1278" s="58" t="n">
        <f aca="false">IF(AX1278="",0,MAX(0,MIN(1,(IF(CF1278="L1",Parameter!$H$5,IF(CF1278="L23",Parameter!$H$6+Parameter!$H$7,Parameter!$H$5+Parameter!$H$6+Parameter!$H$7))-(AX1278-AS1278))/AS1278)))</f>
        <v>1</v>
      </c>
      <c r="AZ1278" s="50" t="n">
        <f aca="false">IF(LEFT(Cockpit!$O$5,1)="A",H1278,IF(Parameter!$E$30="MAX-Bestand",IF(CH1278=1,CI1278,IF(LEFT(Cockpit!$O$5,1)="B",BF1278,MAX(BF1278,H1278))),ROUNDUP(BD1278,0)))</f>
        <v>1</v>
      </c>
      <c r="BA1278" s="50" t="n">
        <f aca="false">IF(BZ1278=1,0,ROUNDUP(AZ1278/BY1278,0))</f>
        <v>1</v>
      </c>
      <c r="BB1278" s="52" t="n">
        <f aca="false">IF(CQ1278&gt;0,CQ1278*MAX(1,AZ1278/X1278),IF(BZ1278=1,IF(AZ1278&lt;=0,0,CD1278*MAX(1,IF(H1278&gt;0,AZ1278/H1278,1))),IF(R1278&gt;0,BA1278/R1278,0))/MAX(0.1,N(Parameter!$M$21)))</f>
        <v>0.166666666666667</v>
      </c>
      <c r="BC1278" s="50" t="n">
        <f aca="false">BB1278*CB1278</f>
        <v>39.1666666666667</v>
      </c>
      <c r="BD1278" s="51" t="n">
        <f aca="false">IF(LEFT(Cockpit!$O$5,1)="A",H1278,IF(CH1278=1,(CK1278+CI1278)/2,IF(LEFT(Cockpit!$O$5,1)="B",(CK1278+BF1278)/2,MAX((CK1278+BF1278)/2,H1278))))</f>
        <v>0.5</v>
      </c>
      <c r="BE1278" s="50" t="n">
        <f aca="false">BD1278*G1278</f>
        <v>84</v>
      </c>
      <c r="BF1278" s="50" t="n">
        <f aca="false">ROUNDUP(CK1278+MAX(CL1278,2*(J1278/IF(CG1278&gt;0,CG1278,MAX(0.1,N(Cockpit!$O$6)))-CK1278)),0)</f>
        <v>1</v>
      </c>
      <c r="BG1278" s="51" t="n">
        <f aca="false">IF(BC1278&gt;0,J1278/BC1278,-1)</f>
        <v>0.0510638297872341</v>
      </c>
      <c r="BH1278" s="51" t="n">
        <f aca="false">IF(AND(OR(CF1278="L1",CF1278="L23",CF1278="LIFT"),BC1278&gt;0),SUMIFS($BC$7:$BC$1843,$CF$7:$CF$1843,CF1278,$BG$7:$BG$1843,"&gt;"&amp;BG1278)+SUMIFS($BC$7:$BC$1843,$CF$7:$CF$1843,CF1278,$BG$7:$BG$1843,BG1278,$BW$7:$BW$1843,"&lt;="&amp;BW1278),"")</f>
        <v>20267.5429394052</v>
      </c>
      <c r="BI1278" s="58" t="n">
        <f aca="false">IF(BH1278="",0,MAX(0,MIN(1,(IF(CF1278="L1",Parameter!$H$5,IF(CF1278="L23",Parameter!$H$6+Parameter!$H$7,Parameter!$H$5+Parameter!$H$6+Parameter!$H$7))-(BH1278-BC1278))/BC1278)))</f>
        <v>1</v>
      </c>
      <c r="BJ1278" s="48" t="str">
        <f aca="false">IF(AI1278&lt;=0,"",IF(CF1278="Aussen","Aussenlager",IF(CF1278="-","Nicht im Lift",IF(AO1278&gt;=1,"Lift",IF(AO1278&lt;=0,"Aussenlager","teilweise")))))</f>
        <v>Lift</v>
      </c>
      <c r="BK1278" s="48" t="str">
        <f aca="false">IF(AS1278&lt;=0,"",IF(CF1278="Aussen","Aussenlager",IF(CF1278="-","Nicht im Lift",IF(AY1278&gt;=1,"Lift",IF(AY1278&lt;=0,"Aussenlager","teilweise")))))</f>
        <v>Lift</v>
      </c>
      <c r="BL1278" s="48" t="str">
        <f aca="false">IF(BC1278&lt;=0,"",IF(CF1278="Aussen","Aussenlager",IF(CF1278="-","Nicht im Lift",IF(BI1278&gt;=1,"Lift",IF(BI1278&lt;=0,"Aussenlager","teilweise")))))</f>
        <v>Lift</v>
      </c>
      <c r="BM1278" s="48" t="str">
        <f aca="false">IF(A1278="","",IF(BV1278=1,"Neu; ","")&amp;IF(AND(BV1278=0,BQ1278&lt;0),"negativer Bestand (Export "&amp;BQ1278&amp;"); ","")&amp;IF(J1278&lt;=0,"Kein Verbrauch; ","")&amp;IF(CQ1278&gt;0,"Lift "&amp;W1278&amp;" lt. Liftbericht (Fach "&amp;X1278&amp;" Stk); ",IF(CA1278=1,"Gebinde geschätzt ("&amp;T1278&amp;"); ",IF(BZ1278=1,"Lose – Tablare geschätzt; ","")))&amp;IF(H1278&gt;AV1278,"Überbestand "&amp;ROUND(H1278-AV1278,0)&amp;" Stk / CHF "&amp;ROUND((H1278-AV1278)*G1278,0)&amp;"; ","")&amp;IF(AND(CH1278=1,CI1278&lt;CJ1278),"MAX &lt; MB+LG; ","")&amp;IF(AND(CP1278&gt;0,CO1278*10&gt;CP1278),"zu hoch für Tablar; ","")&amp;IF(AND(BV1278=0,OR(CH1278=1,AA1278&lt;&gt;"",U1278&lt;&gt;"",V1278&lt;&gt;"",AB1278&lt;&gt;"")),"manuell übersteuert; ","")&amp;IF(AND(BZ1278=0,R1278=0),"Gebinde unbekannt / Stellmass fehlt; ","")&amp;IF(AND(BZ1278=0,N(V1278)&lt;=0,N(Q1278)&lt;=0),"Menge pro Gebinde fehlt (Ist = 1 Gebinde); ","")&amp;BU1278)</f>
        <v>negativer Bestand (Export -6); Überbestand 16 Stk / CHF 2688; Überbestand; grosser Artikel &amp; nicht im KTL</v>
      </c>
      <c r="BN1278" s="48"/>
      <c r="BO1278" s="48"/>
      <c r="BP1278" s="55"/>
      <c r="BQ1278" s="50" t="n">
        <v>-6</v>
      </c>
      <c r="BR1278" s="50" t="n">
        <v>24</v>
      </c>
      <c r="BS1278" s="49" t="n">
        <v>-1008</v>
      </c>
      <c r="BT1278" s="50" t="n">
        <v>2</v>
      </c>
      <c r="BU1278" s="48" t="s">
        <v>368</v>
      </c>
      <c r="BV1278" s="53" t="n">
        <v>0</v>
      </c>
      <c r="BW1278" s="53" t="n">
        <v>1278</v>
      </c>
      <c r="BX1278" s="48" t="str">
        <f aca="false">IF(U1278&lt;&gt;"",UPPER(TRIM(U1278)),IF(CA1278=1,UPPER(VLOOKUP(T1278,Parameter!$I$27:$K$29,2,0)),IF(P1278="","LOSE",P1278)))</f>
        <v>S71</v>
      </c>
      <c r="BY1278" s="50" t="n">
        <f aca="false">IF(BX1278="LOSE",1,IF(N(V1278)&gt;0,V1278,IF(CA1278=1,MAX(1,N(VLOOKUP(T1278,Parameter!$I$27:$K$29,3,0)),H1278,N(N1278)),IF(N(Q1278)&gt;0,Q1278,MAX(1,H1278)))))</f>
        <v>12</v>
      </c>
      <c r="BZ1278" s="53" t="n">
        <f aca="false">IF(BX1278="LOSE",1,0)</f>
        <v>0</v>
      </c>
      <c r="CA1278" s="53" t="n">
        <f aca="false">IF(AND(U1278="",OR(P1278="",P1278="LOSE"),T1278&lt;&gt;"",N(S1278)&lt;=0,ISNUMBER(MATCH(T1278,Parameter!$I$27:$I$29,0))),1,0)</f>
        <v>0</v>
      </c>
      <c r="CB1278" s="53" t="n">
        <f aca="false">IF(CQ1278&gt;0,INDEX(Parameter!$H$5:$H$7,W1278)/INDEX(Parameter!$E$5:$E$7,W1278),IF(AND(BZ1278=0,N(IFERROR(VLOOKUP(BX1278,'Gebinde-Kategorie'!$A$5:$N$45,14,0),0))&gt;0),VLOOKUP(BX1278,'Gebinde-Kategorie'!$A$5:$N$45,14,0)*10+Parameter!$M$23,Parameter!$M$24))</f>
        <v>235</v>
      </c>
      <c r="CC1278" s="48" t="str">
        <f aca="false">IF(AND(Parameter!$B$19="Ja",E1278&lt;&gt;"",ISNUMBER(MATCH(E1278,Parameter!$I$35:$I$52,0))),VLOOKUP(E1278,Parameter!$I$35:$J$52,2,0),IFERROR(VLOOKUP(D1278,Parameter!$A$35:$C$64,2,0),"Nein"))</f>
        <v>2+3</v>
      </c>
      <c r="CD1278" s="52" t="n">
        <f aca="false">IF(BZ1278=0,0,IF(N(S1278)&gt;0,S1278,IFERROR(VLOOKUP(D1278,Parameter!$A$35:$C$64,3,0)+0,0)))</f>
        <v>0</v>
      </c>
      <c r="CE1278" s="48" t="n">
        <f aca="false">IF(AA1278&lt;&gt;"",AA1278,Z1278)</f>
        <v>2</v>
      </c>
      <c r="CF1278" s="48" t="str">
        <f aca="false">IF(OR(CE1278=1,CE1278=2,CE1278=3),IF(Parameter!$E$27="Ja","LIFT",IF(CE1278=1,"L1","L23")),IF(CE1278="Aussen","Aussen","-"))</f>
        <v>LIFT</v>
      </c>
      <c r="CG1278" s="59" t="n">
        <f aca="false">IF(N(AB1278)&gt;0,AB1278,0)</f>
        <v>0</v>
      </c>
      <c r="CH1278" s="53" t="n">
        <f aca="false">IF(ISNUMBER(AE1278),1,0)</f>
        <v>0</v>
      </c>
      <c r="CI1278" s="50" t="n">
        <f aca="false">N(AE1278)</f>
        <v>0</v>
      </c>
      <c r="CJ1278" s="50" t="n">
        <f aca="false">N(M1278)+N(N1278)</f>
        <v>1</v>
      </c>
      <c r="CK1278" s="50" t="n">
        <f aca="false">N(M1278)</f>
        <v>0</v>
      </c>
      <c r="CL1278" s="50" t="n">
        <f aca="false">N(N1278)</f>
        <v>1</v>
      </c>
      <c r="CM1278" s="50" t="n">
        <f aca="false">ROUNDUP(H1278/BY1278,0)</f>
        <v>2</v>
      </c>
      <c r="CN1278" s="50" t="n">
        <f aca="false">ROUNDUP(CI1278/BY1278,0)</f>
        <v>0</v>
      </c>
      <c r="CO1278" s="53" t="n">
        <f aca="false">IF(BZ1278=1,0,IFERROR(VLOOKUP(BX1278,'Gebinde-Kategorie'!$A$5:$N$45,5,0)+0,0))</f>
        <v>20</v>
      </c>
      <c r="CP1278" s="53" t="n">
        <f aca="false">IFERROR(IF(OR(CE1278=1,CE1278=2,CE1278=3),N(INDEX(Parameter!$I$5:$I$7,CE1278)),0),0)</f>
        <v>0</v>
      </c>
      <c r="CQ1278" s="52" t="n">
        <f aca="false">IF(AND(Parameter!$B$21="Ja",ISNUMBER(W1278),N(X1278)&gt;0),IFERROR(N(INDEX(Parameter!$L$5:$L$7,W1278))*INDEX(Parameter!$E$5:$E$7,W1278)*X1278/SUMIFS($X$7:$X$1843,$W$7:$W$1843,W1278),0),0)</f>
        <v>0</v>
      </c>
    </row>
    <row r="1279" customFormat="false" ht="15" hidden="false" customHeight="false" outlineLevel="0" collapsed="false">
      <c r="A1279" s="48" t="s">
        <v>2294</v>
      </c>
      <c r="B1279" s="48" t="s">
        <v>752</v>
      </c>
      <c r="C1279" s="48" t="s">
        <v>173</v>
      </c>
      <c r="D1279" s="48" t="s">
        <v>193</v>
      </c>
      <c r="E1279" s="48" t="s">
        <v>194</v>
      </c>
      <c r="F1279" s="48" t="s">
        <v>227</v>
      </c>
      <c r="G1279" s="49" t="n">
        <v>29.07</v>
      </c>
      <c r="H1279" s="50" t="n">
        <f aca="false">MAX(0,IF(AND(Parameter!$B$21="Ja",ISNUMBER(Y1279)),Y1279,IF(Parameter!$B$20="Jahresanfang 2025 + Export",BR1279+BQ1279,BQ1279)))</f>
        <v>33</v>
      </c>
      <c r="I1279" s="50" t="n">
        <f aca="false">H1279*G1279</f>
        <v>959.31</v>
      </c>
      <c r="J1279" s="50" t="n">
        <f aca="false">BT1279*Parameter!$B$18</f>
        <v>72</v>
      </c>
      <c r="K1279" s="51" t="n">
        <v>66.5</v>
      </c>
      <c r="L1279" s="52" t="n">
        <v>1.08270676691729</v>
      </c>
      <c r="M1279" s="50" t="n">
        <v>5</v>
      </c>
      <c r="N1279" s="50" t="n">
        <v>70</v>
      </c>
      <c r="O1279" s="53" t="n">
        <v>28</v>
      </c>
      <c r="P1279" s="48" t="s">
        <v>311</v>
      </c>
      <c r="Q1279" s="50" t="n">
        <v>12</v>
      </c>
      <c r="R1279" s="53" t="n">
        <f aca="false">IF(BZ1279=1,0,IFERROR(VLOOKUP(BX1279,'Gebinde-Kategorie'!$A$5:$N$45,13,0)+0,0))</f>
        <v>26</v>
      </c>
      <c r="S1279" s="54"/>
      <c r="T1279" s="55"/>
      <c r="U1279" s="55"/>
      <c r="V1279" s="55"/>
      <c r="W1279" s="48"/>
      <c r="X1279" s="50"/>
      <c r="Y1279" s="50"/>
      <c r="Z1279" s="48" t="n">
        <f aca="false">IF(A1279="","",IF(AND(Parameter!$B$21="Ja",ISNUMBER(W1279)),W1279,IF(CC1279="2+3",IF(ISNUMBER(SEARCH("grosser Artikel",BU1279)),2,IFERROR(VLOOKUP(BX1279,Parameter!$F$35:$G$64,2,0),2)),IF(OR(CC1279="Nein",CC1279=""),"-",CC1279))))</f>
        <v>3</v>
      </c>
      <c r="AA1279" s="55"/>
      <c r="AB1279" s="56"/>
      <c r="AC1279" s="50" t="n">
        <f aca="false">AV1279</f>
        <v>75</v>
      </c>
      <c r="AD1279" s="50" t="n">
        <f aca="false">MAX(AV1279,H1279)</f>
        <v>75</v>
      </c>
      <c r="AE1279" s="57"/>
      <c r="AF1279" s="50" t="n">
        <f aca="false">IF(LEFT(Cockpit!$C$5,1)="A",H1279,IF(Parameter!$E$30="MAX-Bestand",IF(CH1279=1,CI1279,IF(LEFT(Cockpit!$C$5,1)="B",AL1279,MAX(AL1279,H1279))),ROUNDUP(AJ1279,0)))</f>
        <v>33</v>
      </c>
      <c r="AG1279" s="50" t="n">
        <f aca="false">IF(BZ1279=1,0,ROUNDUP(AF1279/BY1279,0))</f>
        <v>3</v>
      </c>
      <c r="AH1279" s="52" t="n">
        <f aca="false">IF(CQ1279&gt;0,CQ1279*MAX(1,AF1279/X1279),IF(BZ1279=1,IF(AF1279&lt;=0,0,CD1279*MAX(1,IF(H1279&gt;0,AF1279/H1279,1))),IF(R1279&gt;0,AG1279/R1279,0))/MAX(0.1,N(Parameter!$M$21)))</f>
        <v>0.115384615384615</v>
      </c>
      <c r="AI1279" s="50" t="n">
        <f aca="false">AH1279*CB1279</f>
        <v>17.8846153846154</v>
      </c>
      <c r="AJ1279" s="51" t="n">
        <f aca="false">IF(LEFT(Cockpit!$C$5,1)="A",H1279,IF(CH1279=1,(CK1279+CI1279)/2,IF(LEFT(Cockpit!$C$5,1)="B",(CK1279+AL1279)/2,MAX((CK1279+AL1279)/2,H1279))))</f>
        <v>33</v>
      </c>
      <c r="AK1279" s="50" t="n">
        <f aca="false">AJ1279*G1279</f>
        <v>959.31</v>
      </c>
      <c r="AL1279" s="50" t="n">
        <f aca="false">ROUNDUP(CK1279+MAX(CL1279,2*(J1279/IF(CG1279&gt;0,CG1279,MAX(0.1,N(Cockpit!$C$6)))-CK1279)),0)</f>
        <v>75</v>
      </c>
      <c r="AM1279" s="51" t="n">
        <f aca="false">IF(AI1279&gt;0,J1279/AI1279,-1)</f>
        <v>4.0258064516129</v>
      </c>
      <c r="AN1279" s="51" t="n">
        <f aca="false">IF(AND(OR(CF1279="L1",CF1279="L23",CF1279="LIFT"),AI1279&gt;0),SUMIFS($AI$7:$AI$1843,$CF$7:$CF$1843,CF1279,$AM$7:$AM$1843,"&gt;"&amp;AM1279)+SUMIFS($AI$7:$AI$1843,$CF$7:$CF$1843,CF1279,$AM$7:$AM$1843,AM1279,$BW$7:$BW$1843,"&lt;="&amp;BW1279),"")</f>
        <v>4389.98717948718</v>
      </c>
      <c r="AO1279" s="58" t="n">
        <f aca="false">IF(AN1279="",0,MAX(0,MIN(1,(IF(CF1279="L1",Parameter!$H$5,IF(CF1279="L23",Parameter!$H$6+Parameter!$H$7,Parameter!$H$5+Parameter!$H$6+Parameter!$H$7))-(AN1279-AI1279))/AI1279)))</f>
        <v>1</v>
      </c>
      <c r="AP1279" s="50" t="n">
        <f aca="false">IF(LEFT(Cockpit!$I$5,1)="A",H1279,IF(Parameter!$E$30="MAX-Bestand",IF(CH1279=1,CI1279,IF(LEFT(Cockpit!$I$5,1)="B",AV1279,MAX(AV1279,H1279))),ROUNDUP(AT1279,0)))</f>
        <v>40</v>
      </c>
      <c r="AQ1279" s="50" t="n">
        <f aca="false">IF(BZ1279=1,0,ROUNDUP(AP1279/BY1279,0))</f>
        <v>4</v>
      </c>
      <c r="AR1279" s="52" t="n">
        <f aca="false">IF(CQ1279&gt;0,CQ1279*MAX(1,AP1279/X1279),IF(BZ1279=1,IF(AP1279&lt;=0,0,CD1279*MAX(1,IF(H1279&gt;0,AP1279/H1279,1))),IF(R1279&gt;0,AQ1279/R1279,0))/MAX(0.1,N(Parameter!$M$21)))</f>
        <v>0.153846153846154</v>
      </c>
      <c r="AS1279" s="50" t="n">
        <f aca="false">AR1279*CB1279</f>
        <v>23.8461538461538</v>
      </c>
      <c r="AT1279" s="51" t="n">
        <f aca="false">IF(LEFT(Cockpit!$I$5,1)="A",H1279,IF(CH1279=1,(CK1279+CI1279)/2,IF(LEFT(Cockpit!$I$5,1)="B",(CK1279+AV1279)/2,MAX((CK1279+AV1279)/2,H1279))))</f>
        <v>40</v>
      </c>
      <c r="AU1279" s="50" t="n">
        <f aca="false">AT1279*G1279</f>
        <v>1162.8</v>
      </c>
      <c r="AV1279" s="50" t="n">
        <f aca="false">ROUNDUP(CK1279+MAX(CL1279,2*(J1279/IF(CG1279&gt;0,CG1279,MAX(0.1,N(Cockpit!$I$6)))-CK1279)),0)</f>
        <v>75</v>
      </c>
      <c r="AW1279" s="51" t="n">
        <f aca="false">IF(AS1279&gt;0,J1279/AS1279,-1)</f>
        <v>3.01935483870968</v>
      </c>
      <c r="AX1279" s="51" t="n">
        <f aca="false">IF(AND(OR(CF1279="L1",CF1279="L23",CF1279="LIFT"),AS1279&gt;0),SUMIFS($AS$7:$AS$1843,$CF$7:$CF$1843,CF1279,$AW$7:$AW$1843,"&gt;"&amp;AW1279)+SUMIFS($AS$7:$AS$1843,$CF$7:$CF$1843,CF1279,$AW$7:$AW$1843,AW1279,$BW$7:$BW$1843,"&lt;="&amp;BW1279),"")</f>
        <v>5943.31913919414</v>
      </c>
      <c r="AY1279" s="58" t="n">
        <f aca="false">IF(AX1279="",0,MAX(0,MIN(1,(IF(CF1279="L1",Parameter!$H$5,IF(CF1279="L23",Parameter!$H$6+Parameter!$H$7,Parameter!$H$5+Parameter!$H$6+Parameter!$H$7))-(AX1279-AS1279))/AS1279)))</f>
        <v>1</v>
      </c>
      <c r="AZ1279" s="50" t="n">
        <f aca="false">IF(LEFT(Cockpit!$O$5,1)="A",H1279,IF(Parameter!$E$30="MAX-Bestand",IF(CH1279=1,CI1279,IF(LEFT(Cockpit!$O$5,1)="B",BF1279,MAX(BF1279,H1279))),ROUNDUP(BD1279,0)))</f>
        <v>40</v>
      </c>
      <c r="BA1279" s="50" t="n">
        <f aca="false">IF(BZ1279=1,0,ROUNDUP(AZ1279/BY1279,0))</f>
        <v>4</v>
      </c>
      <c r="BB1279" s="52" t="n">
        <f aca="false">IF(CQ1279&gt;0,CQ1279*MAX(1,AZ1279/X1279),IF(BZ1279=1,IF(AZ1279&lt;=0,0,CD1279*MAX(1,IF(H1279&gt;0,AZ1279/H1279,1))),IF(R1279&gt;0,BA1279/R1279,0))/MAX(0.1,N(Parameter!$M$21)))</f>
        <v>0.153846153846154</v>
      </c>
      <c r="BC1279" s="50" t="n">
        <f aca="false">BB1279*CB1279</f>
        <v>23.8461538461538</v>
      </c>
      <c r="BD1279" s="51" t="n">
        <f aca="false">IF(LEFT(Cockpit!$O$5,1)="A",H1279,IF(CH1279=1,(CK1279+CI1279)/2,IF(LEFT(Cockpit!$O$5,1)="B",(CK1279+BF1279)/2,MAX((CK1279+BF1279)/2,H1279))))</f>
        <v>40</v>
      </c>
      <c r="BE1279" s="50" t="n">
        <f aca="false">BD1279*G1279</f>
        <v>1162.8</v>
      </c>
      <c r="BF1279" s="50" t="n">
        <f aca="false">ROUNDUP(CK1279+MAX(CL1279,2*(J1279/IF(CG1279&gt;0,CG1279,MAX(0.1,N(Cockpit!$O$6)))-CK1279)),0)</f>
        <v>75</v>
      </c>
      <c r="BG1279" s="51" t="n">
        <f aca="false">IF(BC1279&gt;0,J1279/BC1279,-1)</f>
        <v>3.01935483870968</v>
      </c>
      <c r="BH1279" s="51" t="n">
        <f aca="false">IF(AND(OR(CF1279="L1",CF1279="L23",CF1279="LIFT"),BC1279&gt;0),SUMIFS($BC$7:$BC$1843,$CF$7:$CF$1843,CF1279,$BG$7:$BG$1843,"&gt;"&amp;BG1279)+SUMIFS($BC$7:$BC$1843,$CF$7:$CF$1843,CF1279,$BG$7:$BG$1843,BG1279,$BW$7:$BW$1843,"&lt;="&amp;BW1279),"")</f>
        <v>4806.06913919414</v>
      </c>
      <c r="BI1279" s="58" t="n">
        <f aca="false">IF(BH1279="",0,MAX(0,MIN(1,(IF(CF1279="L1",Parameter!$H$5,IF(CF1279="L23",Parameter!$H$6+Parameter!$H$7,Parameter!$H$5+Parameter!$H$6+Parameter!$H$7))-(BH1279-BC1279))/BC1279)))</f>
        <v>1</v>
      </c>
      <c r="BJ1279" s="48" t="str">
        <f aca="false">IF(AI1279&lt;=0,"",IF(CF1279="Aussen","Aussenlager",IF(CF1279="-","Nicht im Lift",IF(AO1279&gt;=1,"Lift",IF(AO1279&lt;=0,"Aussenlager","teilweise")))))</f>
        <v>Lift</v>
      </c>
      <c r="BK1279" s="48" t="str">
        <f aca="false">IF(AS1279&lt;=0,"",IF(CF1279="Aussen","Aussenlager",IF(CF1279="-","Nicht im Lift",IF(AY1279&gt;=1,"Lift",IF(AY1279&lt;=0,"Aussenlager","teilweise")))))</f>
        <v>Lift</v>
      </c>
      <c r="BL1279" s="48" t="str">
        <f aca="false">IF(BC1279&lt;=0,"",IF(CF1279="Aussen","Aussenlager",IF(CF1279="-","Nicht im Lift",IF(BI1279&gt;=1,"Lift",IF(BI1279&lt;=0,"Aussenlager","teilweise")))))</f>
        <v>Lift</v>
      </c>
      <c r="BM1279" s="48" t="str">
        <f aca="false">IF(A1279="","",IF(BV1279=1,"Neu; ","")&amp;IF(AND(BV1279=0,BQ1279&lt;0),"negativer Bestand (Export "&amp;BQ1279&amp;"); ","")&amp;IF(J1279&lt;=0,"Kein Verbrauch; ","")&amp;IF(CQ1279&gt;0,"Lift "&amp;W1279&amp;" lt. Liftbericht (Fach "&amp;X1279&amp;" Stk); ",IF(CA1279=1,"Gebinde geschätzt ("&amp;T1279&amp;"); ",IF(BZ1279=1,"Lose – Tablare geschätzt; ","")))&amp;IF(H1279&gt;AV1279,"Überbestand "&amp;ROUND(H1279-AV1279,0)&amp;" Stk / CHF "&amp;ROUND((H1279-AV1279)*G1279,0)&amp;"; ","")&amp;IF(AND(CH1279=1,CI1279&lt;CJ1279),"MAX &lt; MB+LG; ","")&amp;IF(AND(CP1279&gt;0,CO1279*10&gt;CP1279),"zu hoch für Tablar; ","")&amp;IF(AND(BV1279=0,OR(CH1279=1,AA1279&lt;&gt;"",U1279&lt;&gt;"",V1279&lt;&gt;"",AB1279&lt;&gt;"")),"manuell übersteuert; ","")&amp;IF(AND(BZ1279=0,R1279=0),"Gebinde unbekannt / Stellmass fehlt; ","")&amp;IF(AND(BZ1279=0,N(V1279)&lt;=0,N(Q1279)&lt;=0),"Menge pro Gebinde fehlt (Ist = 1 Gebinde); ","")&amp;BU1279)</f>
        <v>negativer Bestand (Export -34); </v>
      </c>
      <c r="BN1279" s="48"/>
      <c r="BO1279" s="48"/>
      <c r="BP1279" s="55"/>
      <c r="BQ1279" s="50" t="n">
        <v>-34</v>
      </c>
      <c r="BR1279" s="50" t="n">
        <v>67</v>
      </c>
      <c r="BS1279" s="49" t="n">
        <v>-1008.48</v>
      </c>
      <c r="BT1279" s="50" t="n">
        <v>72</v>
      </c>
      <c r="BU1279" s="48"/>
      <c r="BV1279" s="53" t="n">
        <v>0</v>
      </c>
      <c r="BW1279" s="53" t="n">
        <v>1279</v>
      </c>
      <c r="BX1279" s="48" t="str">
        <f aca="false">IF(U1279&lt;&gt;"",UPPER(TRIM(U1279)),IF(CA1279=1,UPPER(VLOOKUP(T1279,Parameter!$I$27:$K$29,2,0)),IF(P1279="","LOSE",P1279)))</f>
        <v>S51</v>
      </c>
      <c r="BY1279" s="50" t="n">
        <f aca="false">IF(BX1279="LOSE",1,IF(N(V1279)&gt;0,V1279,IF(CA1279=1,MAX(1,N(VLOOKUP(T1279,Parameter!$I$27:$K$29,3,0)),H1279,N(N1279)),IF(N(Q1279)&gt;0,Q1279,MAX(1,H1279)))))</f>
        <v>12</v>
      </c>
      <c r="BZ1279" s="53" t="n">
        <f aca="false">IF(BX1279="LOSE",1,0)</f>
        <v>0</v>
      </c>
      <c r="CA1279" s="53" t="n">
        <f aca="false">IF(AND(U1279="",OR(P1279="",P1279="LOSE"),T1279&lt;&gt;"",N(S1279)&lt;=0,ISNUMBER(MATCH(T1279,Parameter!$I$27:$I$29,0))),1,0)</f>
        <v>0</v>
      </c>
      <c r="CB1279" s="53" t="n">
        <f aca="false">IF(CQ1279&gt;0,INDEX(Parameter!$H$5:$H$7,W1279)/INDEX(Parameter!$E$5:$E$7,W1279),IF(AND(BZ1279=0,N(IFERROR(VLOOKUP(BX1279,'Gebinde-Kategorie'!$A$5:$N$45,14,0),0))&gt;0),VLOOKUP(BX1279,'Gebinde-Kategorie'!$A$5:$N$45,14,0)*10+Parameter!$M$23,Parameter!$M$24))</f>
        <v>155</v>
      </c>
      <c r="CC1279" s="48" t="str">
        <f aca="false">IF(AND(Parameter!$B$19="Ja",E1279&lt;&gt;"",ISNUMBER(MATCH(E1279,Parameter!$I$35:$I$52,0))),VLOOKUP(E1279,Parameter!$I$35:$J$52,2,0),IFERROR(VLOOKUP(D1279,Parameter!$A$35:$C$64,2,0),"Nein"))</f>
        <v>2+3</v>
      </c>
      <c r="CD1279" s="52" t="n">
        <f aca="false">IF(BZ1279=0,0,IF(N(S1279)&gt;0,S1279,IFERROR(VLOOKUP(D1279,Parameter!$A$35:$C$64,3,0)+0,0)))</f>
        <v>0</v>
      </c>
      <c r="CE1279" s="48" t="n">
        <f aca="false">IF(AA1279&lt;&gt;"",AA1279,Z1279)</f>
        <v>3</v>
      </c>
      <c r="CF1279" s="48" t="str">
        <f aca="false">IF(OR(CE1279=1,CE1279=2,CE1279=3),IF(Parameter!$E$27="Ja","LIFT",IF(CE1279=1,"L1","L23")),IF(CE1279="Aussen","Aussen","-"))</f>
        <v>LIFT</v>
      </c>
      <c r="CG1279" s="59" t="n">
        <f aca="false">IF(N(AB1279)&gt;0,AB1279,0)</f>
        <v>0</v>
      </c>
      <c r="CH1279" s="53" t="n">
        <f aca="false">IF(ISNUMBER(AE1279),1,0)</f>
        <v>0</v>
      </c>
      <c r="CI1279" s="50" t="n">
        <f aca="false">N(AE1279)</f>
        <v>0</v>
      </c>
      <c r="CJ1279" s="50" t="n">
        <f aca="false">N(M1279)+N(N1279)</f>
        <v>75</v>
      </c>
      <c r="CK1279" s="50" t="n">
        <f aca="false">N(M1279)</f>
        <v>5</v>
      </c>
      <c r="CL1279" s="50" t="n">
        <f aca="false">N(N1279)</f>
        <v>70</v>
      </c>
      <c r="CM1279" s="50" t="n">
        <f aca="false">ROUNDUP(H1279/BY1279,0)</f>
        <v>3</v>
      </c>
      <c r="CN1279" s="50" t="n">
        <f aca="false">ROUNDUP(CI1279/BY1279,0)</f>
        <v>0</v>
      </c>
      <c r="CO1279" s="53" t="n">
        <f aca="false">IF(BZ1279=1,0,IFERROR(VLOOKUP(BX1279,'Gebinde-Kategorie'!$A$5:$N$45,5,0)+0,0))</f>
        <v>11</v>
      </c>
      <c r="CP1279" s="53" t="n">
        <f aca="false">IFERROR(IF(OR(CE1279=1,CE1279=2,CE1279=3),N(INDEX(Parameter!$I$5:$I$7,CE1279)),0),0)</f>
        <v>0</v>
      </c>
      <c r="CQ1279" s="52" t="n">
        <f aca="false">IF(AND(Parameter!$B$21="Ja",ISNUMBER(W1279),N(X1279)&gt;0),IFERROR(N(INDEX(Parameter!$L$5:$L$7,W1279))*INDEX(Parameter!$E$5:$E$7,W1279)*X1279/SUMIFS($X$7:$X$1843,$W$7:$W$1843,W1279),0),0)</f>
        <v>0</v>
      </c>
    </row>
    <row r="1280" customFormat="false" ht="15" hidden="false" customHeight="false" outlineLevel="0" collapsed="false">
      <c r="A1280" s="48" t="s">
        <v>2295</v>
      </c>
      <c r="B1280" s="48" t="s">
        <v>607</v>
      </c>
      <c r="C1280" s="48" t="s">
        <v>173</v>
      </c>
      <c r="D1280" s="48" t="s">
        <v>193</v>
      </c>
      <c r="E1280" s="48" t="s">
        <v>194</v>
      </c>
      <c r="F1280" s="48" t="s">
        <v>227</v>
      </c>
      <c r="G1280" s="49" t="n">
        <v>36.23</v>
      </c>
      <c r="H1280" s="50" t="n">
        <f aca="false">MAX(0,IF(AND(Parameter!$B$21="Ja",ISNUMBER(Y1280)),Y1280,IF(Parameter!$B$20="Jahresanfang 2025 + Export",BR1280+BQ1280,BQ1280)))</f>
        <v>9</v>
      </c>
      <c r="I1280" s="50" t="n">
        <f aca="false">H1280*G1280</f>
        <v>326.07</v>
      </c>
      <c r="J1280" s="50" t="n">
        <f aca="false">BT1280*Parameter!$B$18</f>
        <v>37</v>
      </c>
      <c r="K1280" s="51" t="n">
        <v>40.5</v>
      </c>
      <c r="L1280" s="52" t="n">
        <v>0.91358024691358</v>
      </c>
      <c r="M1280" s="50" t="n">
        <v>1</v>
      </c>
      <c r="N1280" s="50" t="n">
        <v>35</v>
      </c>
      <c r="O1280" s="53" t="n">
        <v>14</v>
      </c>
      <c r="P1280" s="48" t="s">
        <v>485</v>
      </c>
      <c r="Q1280" s="50" t="n">
        <v>64</v>
      </c>
      <c r="R1280" s="53" t="n">
        <f aca="false">IF(BZ1280=1,0,IFERROR(VLOOKUP(BX1280,'Gebinde-Kategorie'!$A$5:$N$45,13,0)+0,0))</f>
        <v>52</v>
      </c>
      <c r="S1280" s="54"/>
      <c r="T1280" s="55"/>
      <c r="U1280" s="55"/>
      <c r="V1280" s="55"/>
      <c r="W1280" s="48"/>
      <c r="X1280" s="50"/>
      <c r="Y1280" s="50"/>
      <c r="Z1280" s="48" t="n">
        <f aca="false">IF(A1280="","",IF(AND(Parameter!$B$21="Ja",ISNUMBER(W1280)),W1280,IF(CC1280="2+3",IF(ISNUMBER(SEARCH("grosser Artikel",BU1280)),2,IFERROR(VLOOKUP(BX1280,Parameter!$F$35:$G$64,2,0),2)),IF(OR(CC1280="Nein",CC1280=""),"-",CC1280))))</f>
        <v>3</v>
      </c>
      <c r="AA1280" s="55"/>
      <c r="AB1280" s="56"/>
      <c r="AC1280" s="50" t="n">
        <f aca="false">AV1280</f>
        <v>36</v>
      </c>
      <c r="AD1280" s="50" t="n">
        <f aca="false">MAX(AV1280,H1280)</f>
        <v>36</v>
      </c>
      <c r="AE1280" s="57"/>
      <c r="AF1280" s="50" t="n">
        <f aca="false">IF(LEFT(Cockpit!$C$5,1)="A",H1280,IF(Parameter!$E$30="MAX-Bestand",IF(CH1280=1,CI1280,IF(LEFT(Cockpit!$C$5,1)="B",AL1280,MAX(AL1280,H1280))),ROUNDUP(AJ1280,0)))</f>
        <v>9</v>
      </c>
      <c r="AG1280" s="50" t="n">
        <f aca="false">IF(BZ1280=1,0,ROUNDUP(AF1280/BY1280,0))</f>
        <v>1</v>
      </c>
      <c r="AH1280" s="52" t="n">
        <f aca="false">IF(CQ1280&gt;0,CQ1280*MAX(1,AF1280/X1280),IF(BZ1280=1,IF(AF1280&lt;=0,0,CD1280*MAX(1,IF(H1280&gt;0,AF1280/H1280,1))),IF(R1280&gt;0,AG1280/R1280,0))/MAX(0.1,N(Parameter!$M$21)))</f>
        <v>0.0192307692307692</v>
      </c>
      <c r="AI1280" s="50" t="n">
        <f aca="false">AH1280*CB1280</f>
        <v>2.98076923076923</v>
      </c>
      <c r="AJ1280" s="51" t="n">
        <f aca="false">IF(LEFT(Cockpit!$C$5,1)="A",H1280,IF(CH1280=1,(CK1280+CI1280)/2,IF(LEFT(Cockpit!$C$5,1)="B",(CK1280+AL1280)/2,MAX((CK1280+AL1280)/2,H1280))))</f>
        <v>9</v>
      </c>
      <c r="AK1280" s="50" t="n">
        <f aca="false">AJ1280*G1280</f>
        <v>326.07</v>
      </c>
      <c r="AL1280" s="50" t="n">
        <f aca="false">ROUNDUP(CK1280+MAX(CL1280,2*(J1280/IF(CG1280&gt;0,CG1280,MAX(0.1,N(Cockpit!$C$6)))-CK1280)),0)</f>
        <v>36</v>
      </c>
      <c r="AM1280" s="51" t="n">
        <f aca="false">IF(AI1280&gt;0,J1280/AI1280,-1)</f>
        <v>12.4129032258065</v>
      </c>
      <c r="AN1280" s="51" t="n">
        <f aca="false">IF(AND(OR(CF1280="L1",CF1280="L23",CF1280="LIFT"),AI1280&gt;0),SUMIFS($AI$7:$AI$1843,$CF$7:$CF$1843,CF1280,$AM$7:$AM$1843,"&gt;"&amp;AM1280)+SUMIFS($AI$7:$AI$1843,$CF$7:$CF$1843,CF1280,$AM$7:$AM$1843,AM1280,$BW$7:$BW$1843,"&lt;="&amp;BW1280),"")</f>
        <v>2501.45787545788</v>
      </c>
      <c r="AO1280" s="58" t="n">
        <f aca="false">IF(AN1280="",0,MAX(0,MIN(1,(IF(CF1280="L1",Parameter!$H$5,IF(CF1280="L23",Parameter!$H$6+Parameter!$H$7,Parameter!$H$5+Parameter!$H$6+Parameter!$H$7))-(AN1280-AI1280))/AI1280)))</f>
        <v>1</v>
      </c>
      <c r="AP1280" s="50" t="n">
        <f aca="false">IF(LEFT(Cockpit!$I$5,1)="A",H1280,IF(Parameter!$E$30="MAX-Bestand",IF(CH1280=1,CI1280,IF(LEFT(Cockpit!$I$5,1)="B",AV1280,MAX(AV1280,H1280))),ROUNDUP(AT1280,0)))</f>
        <v>19</v>
      </c>
      <c r="AQ1280" s="50" t="n">
        <f aca="false">IF(BZ1280=1,0,ROUNDUP(AP1280/BY1280,0))</f>
        <v>1</v>
      </c>
      <c r="AR1280" s="52" t="n">
        <f aca="false">IF(CQ1280&gt;0,CQ1280*MAX(1,AP1280/X1280),IF(BZ1280=1,IF(AP1280&lt;=0,0,CD1280*MAX(1,IF(H1280&gt;0,AP1280/H1280,1))),IF(R1280&gt;0,AQ1280/R1280,0))/MAX(0.1,N(Parameter!$M$21)))</f>
        <v>0.0192307692307692</v>
      </c>
      <c r="AS1280" s="50" t="n">
        <f aca="false">AR1280*CB1280</f>
        <v>2.98076923076923</v>
      </c>
      <c r="AT1280" s="51" t="n">
        <f aca="false">IF(LEFT(Cockpit!$I$5,1)="A",H1280,IF(CH1280=1,(CK1280+CI1280)/2,IF(LEFT(Cockpit!$I$5,1)="B",(CK1280+AV1280)/2,MAX((CK1280+AV1280)/2,H1280))))</f>
        <v>18.5</v>
      </c>
      <c r="AU1280" s="50" t="n">
        <f aca="false">AT1280*G1280</f>
        <v>670.255</v>
      </c>
      <c r="AV1280" s="50" t="n">
        <f aca="false">ROUNDUP(CK1280+MAX(CL1280,2*(J1280/IF(CG1280&gt;0,CG1280,MAX(0.1,N(Cockpit!$I$6)))-CK1280)),0)</f>
        <v>36</v>
      </c>
      <c r="AW1280" s="51" t="n">
        <f aca="false">IF(AS1280&gt;0,J1280/AS1280,-1)</f>
        <v>12.4129032258065</v>
      </c>
      <c r="AX1280" s="51" t="n">
        <f aca="false">IF(AND(OR(CF1280="L1",CF1280="L23",CF1280="LIFT"),AS1280&gt;0),SUMIFS($AS$7:$AS$1843,$CF$7:$CF$1843,CF1280,$AW$7:$AW$1843,"&gt;"&amp;AW1280)+SUMIFS($AS$7:$AS$1843,$CF$7:$CF$1843,CF1280,$AW$7:$AW$1843,AW1280,$BW$7:$BW$1843,"&lt;="&amp;BW1280),"")</f>
        <v>3090.836996337</v>
      </c>
      <c r="AY1280" s="58" t="n">
        <f aca="false">IF(AX1280="",0,MAX(0,MIN(1,(IF(CF1280="L1",Parameter!$H$5,IF(CF1280="L23",Parameter!$H$6+Parameter!$H$7,Parameter!$H$5+Parameter!$H$6+Parameter!$H$7))-(AX1280-AS1280))/AS1280)))</f>
        <v>1</v>
      </c>
      <c r="AZ1280" s="50" t="n">
        <f aca="false">IF(LEFT(Cockpit!$O$5,1)="A",H1280,IF(Parameter!$E$30="MAX-Bestand",IF(CH1280=1,CI1280,IF(LEFT(Cockpit!$O$5,1)="B",BF1280,MAX(BF1280,H1280))),ROUNDUP(BD1280,0)))</f>
        <v>19</v>
      </c>
      <c r="BA1280" s="50" t="n">
        <f aca="false">IF(BZ1280=1,0,ROUNDUP(AZ1280/BY1280,0))</f>
        <v>1</v>
      </c>
      <c r="BB1280" s="52" t="n">
        <f aca="false">IF(CQ1280&gt;0,CQ1280*MAX(1,AZ1280/X1280),IF(BZ1280=1,IF(AZ1280&lt;=0,0,CD1280*MAX(1,IF(H1280&gt;0,AZ1280/H1280,1))),IF(R1280&gt;0,BA1280/R1280,0))/MAX(0.1,N(Parameter!$M$21)))</f>
        <v>0.0192307692307692</v>
      </c>
      <c r="BC1280" s="50" t="n">
        <f aca="false">BB1280*CB1280</f>
        <v>2.98076923076923</v>
      </c>
      <c r="BD1280" s="51" t="n">
        <f aca="false">IF(LEFT(Cockpit!$O$5,1)="A",H1280,IF(CH1280=1,(CK1280+CI1280)/2,IF(LEFT(Cockpit!$O$5,1)="B",(CK1280+BF1280)/2,MAX((CK1280+BF1280)/2,H1280))))</f>
        <v>18.5</v>
      </c>
      <c r="BE1280" s="50" t="n">
        <f aca="false">BD1280*G1280</f>
        <v>670.255</v>
      </c>
      <c r="BF1280" s="50" t="n">
        <f aca="false">ROUNDUP(CK1280+MAX(CL1280,2*(J1280/IF(CG1280&gt;0,CG1280,MAX(0.1,N(Cockpit!$O$6)))-CK1280)),0)</f>
        <v>36</v>
      </c>
      <c r="BG1280" s="51" t="n">
        <f aca="false">IF(BC1280&gt;0,J1280/BC1280,-1)</f>
        <v>12.4129032258065</v>
      </c>
      <c r="BH1280" s="51" t="n">
        <f aca="false">IF(AND(OR(CF1280="L1",CF1280="L23",CF1280="LIFT"),BC1280&gt;0),SUMIFS($BC$7:$BC$1843,$CF$7:$CF$1843,CF1280,$BG$7:$BG$1843,"&gt;"&amp;BG1280)+SUMIFS($BC$7:$BC$1843,$CF$7:$CF$1843,CF1280,$BG$7:$BG$1843,BG1280,$BW$7:$BW$1843,"&lt;="&amp;BW1280),"")</f>
        <v>2565.77106227106</v>
      </c>
      <c r="BI1280" s="58" t="n">
        <f aca="false">IF(BH1280="",0,MAX(0,MIN(1,(IF(CF1280="L1",Parameter!$H$5,IF(CF1280="L23",Parameter!$H$6+Parameter!$H$7,Parameter!$H$5+Parameter!$H$6+Parameter!$H$7))-(BH1280-BC1280))/BC1280)))</f>
        <v>1</v>
      </c>
      <c r="BJ1280" s="48" t="str">
        <f aca="false">IF(AI1280&lt;=0,"",IF(CF1280="Aussen","Aussenlager",IF(CF1280="-","Nicht im Lift",IF(AO1280&gt;=1,"Lift",IF(AO1280&lt;=0,"Aussenlager","teilweise")))))</f>
        <v>Lift</v>
      </c>
      <c r="BK1280" s="48" t="str">
        <f aca="false">IF(AS1280&lt;=0,"",IF(CF1280="Aussen","Aussenlager",IF(CF1280="-","Nicht im Lift",IF(AY1280&gt;=1,"Lift",IF(AY1280&lt;=0,"Aussenlager","teilweise")))))</f>
        <v>Lift</v>
      </c>
      <c r="BL1280" s="48" t="str">
        <f aca="false">IF(BC1280&lt;=0,"",IF(CF1280="Aussen","Aussenlager",IF(CF1280="-","Nicht im Lift",IF(BI1280&gt;=1,"Lift",IF(BI1280&lt;=0,"Aussenlager","teilweise")))))</f>
        <v>Lift</v>
      </c>
      <c r="BM1280" s="48" t="str">
        <f aca="false">IF(A1280="","",IF(BV1280=1,"Neu; ","")&amp;IF(AND(BV1280=0,BQ1280&lt;0),"negativer Bestand (Export "&amp;BQ1280&amp;"); ","")&amp;IF(J1280&lt;=0,"Kein Verbrauch; ","")&amp;IF(CQ1280&gt;0,"Lift "&amp;W1280&amp;" lt. Liftbericht (Fach "&amp;X1280&amp;" Stk); ",IF(CA1280=1,"Gebinde geschätzt ("&amp;T1280&amp;"); ",IF(BZ1280=1,"Lose – Tablare geschätzt; ","")))&amp;IF(H1280&gt;AV1280,"Überbestand "&amp;ROUND(H1280-AV1280,0)&amp;" Stk / CHF "&amp;ROUND((H1280-AV1280)*G1280,0)&amp;"; ","")&amp;IF(AND(CH1280=1,CI1280&lt;CJ1280),"MAX &lt; MB+LG; ","")&amp;IF(AND(CP1280&gt;0,CO1280*10&gt;CP1280),"zu hoch für Tablar; ","")&amp;IF(AND(BV1280=0,OR(CH1280=1,AA1280&lt;&gt;"",U1280&lt;&gt;"",V1280&lt;&gt;"",AB1280&lt;&gt;"")),"manuell übersteuert; ","")&amp;IF(AND(BZ1280=0,R1280=0),"Gebinde unbekannt / Stellmass fehlt; ","")&amp;IF(AND(BZ1280=0,N(V1280)&lt;=0,N(Q1280)&lt;=0),"Menge pro Gebinde fehlt (Ist = 1 Gebinde); ","")&amp;BU1280)</f>
        <v>negativer Bestand (Export -30); </v>
      </c>
      <c r="BN1280" s="48"/>
      <c r="BO1280" s="48"/>
      <c r="BP1280" s="55"/>
      <c r="BQ1280" s="50" t="n">
        <v>-30</v>
      </c>
      <c r="BR1280" s="50" t="n">
        <v>39</v>
      </c>
      <c r="BS1280" s="49" t="n">
        <v>-1026.84</v>
      </c>
      <c r="BT1280" s="50" t="n">
        <v>37</v>
      </c>
      <c r="BU1280" s="48"/>
      <c r="BV1280" s="53" t="n">
        <v>0</v>
      </c>
      <c r="BW1280" s="53" t="n">
        <v>1280</v>
      </c>
      <c r="BX1280" s="48" t="str">
        <f aca="false">IF(U1280&lt;&gt;"",UPPER(TRIM(U1280)),IF(CA1280=1,UPPER(VLOOKUP(T1280,Parameter!$I$27:$K$29,2,0)),IF(P1280="","LOSE",P1280)))</f>
        <v>S33</v>
      </c>
      <c r="BY1280" s="50" t="n">
        <f aca="false">IF(BX1280="LOSE",1,IF(N(V1280)&gt;0,V1280,IF(CA1280=1,MAX(1,N(VLOOKUP(T1280,Parameter!$I$27:$K$29,3,0)),H1280,N(N1280)),IF(N(Q1280)&gt;0,Q1280,MAX(1,H1280)))))</f>
        <v>64</v>
      </c>
      <c r="BZ1280" s="53" t="n">
        <f aca="false">IF(BX1280="LOSE",1,0)</f>
        <v>0</v>
      </c>
      <c r="CA1280" s="53" t="n">
        <f aca="false">IF(AND(U1280="",OR(P1280="",P1280="LOSE"),T1280&lt;&gt;"",N(S1280)&lt;=0,ISNUMBER(MATCH(T1280,Parameter!$I$27:$I$29,0))),1,0)</f>
        <v>0</v>
      </c>
      <c r="CB1280" s="53" t="n">
        <f aca="false">IF(CQ1280&gt;0,INDEX(Parameter!$H$5:$H$7,W1280)/INDEX(Parameter!$E$5:$E$7,W1280),IF(AND(BZ1280=0,N(IFERROR(VLOOKUP(BX1280,'Gebinde-Kategorie'!$A$5:$N$45,14,0),0))&gt;0),VLOOKUP(BX1280,'Gebinde-Kategorie'!$A$5:$N$45,14,0)*10+Parameter!$M$23,Parameter!$M$24))</f>
        <v>155</v>
      </c>
      <c r="CC1280" s="48" t="str">
        <f aca="false">IF(AND(Parameter!$B$19="Ja",E1280&lt;&gt;"",ISNUMBER(MATCH(E1280,Parameter!$I$35:$I$52,0))),VLOOKUP(E1280,Parameter!$I$35:$J$52,2,0),IFERROR(VLOOKUP(D1280,Parameter!$A$35:$C$64,2,0),"Nein"))</f>
        <v>2+3</v>
      </c>
      <c r="CD1280" s="52" t="n">
        <f aca="false">IF(BZ1280=0,0,IF(N(S1280)&gt;0,S1280,IFERROR(VLOOKUP(D1280,Parameter!$A$35:$C$64,3,0)+0,0)))</f>
        <v>0</v>
      </c>
      <c r="CE1280" s="48" t="n">
        <f aca="false">IF(AA1280&lt;&gt;"",AA1280,Z1280)</f>
        <v>3</v>
      </c>
      <c r="CF1280" s="48" t="str">
        <f aca="false">IF(OR(CE1280=1,CE1280=2,CE1280=3),IF(Parameter!$E$27="Ja","LIFT",IF(CE1280=1,"L1","L23")),IF(CE1280="Aussen","Aussen","-"))</f>
        <v>LIFT</v>
      </c>
      <c r="CG1280" s="59" t="n">
        <f aca="false">IF(N(AB1280)&gt;0,AB1280,0)</f>
        <v>0</v>
      </c>
      <c r="CH1280" s="53" t="n">
        <f aca="false">IF(ISNUMBER(AE1280),1,0)</f>
        <v>0</v>
      </c>
      <c r="CI1280" s="50" t="n">
        <f aca="false">N(AE1280)</f>
        <v>0</v>
      </c>
      <c r="CJ1280" s="50" t="n">
        <f aca="false">N(M1280)+N(N1280)</f>
        <v>36</v>
      </c>
      <c r="CK1280" s="50" t="n">
        <f aca="false">N(M1280)</f>
        <v>1</v>
      </c>
      <c r="CL1280" s="50" t="n">
        <f aca="false">N(N1280)</f>
        <v>35</v>
      </c>
      <c r="CM1280" s="50" t="n">
        <f aca="false">ROUNDUP(H1280/BY1280,0)</f>
        <v>1</v>
      </c>
      <c r="CN1280" s="50" t="n">
        <f aca="false">ROUNDUP(CI1280/BY1280,0)</f>
        <v>0</v>
      </c>
      <c r="CO1280" s="53" t="n">
        <f aca="false">IF(BZ1280=1,0,IFERROR(VLOOKUP(BX1280,'Gebinde-Kategorie'!$A$5:$N$45,5,0)+0,0))</f>
        <v>8</v>
      </c>
      <c r="CP1280" s="53" t="n">
        <f aca="false">IFERROR(IF(OR(CE1280=1,CE1280=2,CE1280=3),N(INDEX(Parameter!$I$5:$I$7,CE1280)),0),0)</f>
        <v>0</v>
      </c>
      <c r="CQ1280" s="52" t="n">
        <f aca="false">IF(AND(Parameter!$B$21="Ja",ISNUMBER(W1280),N(X1280)&gt;0),IFERROR(N(INDEX(Parameter!$L$5:$L$7,W1280))*INDEX(Parameter!$E$5:$E$7,W1280)*X1280/SUMIFS($X$7:$X$1843,$W$7:$W$1843,W1280),0),0)</f>
        <v>0</v>
      </c>
    </row>
    <row r="1281" customFormat="false" ht="15" hidden="false" customHeight="false" outlineLevel="0" collapsed="false">
      <c r="A1281" s="48" t="s">
        <v>2296</v>
      </c>
      <c r="B1281" s="48" t="s">
        <v>2014</v>
      </c>
      <c r="C1281" s="48" t="s">
        <v>173</v>
      </c>
      <c r="D1281" s="48" t="s">
        <v>193</v>
      </c>
      <c r="E1281" s="48"/>
      <c r="F1281" s="48" t="s">
        <v>227</v>
      </c>
      <c r="G1281" s="49" t="n">
        <v>148.35</v>
      </c>
      <c r="H1281" s="50" t="n">
        <f aca="false">MAX(0,IF(AND(Parameter!$B$21="Ja",ISNUMBER(Y1281)),Y1281,IF(Parameter!$B$20="Jahresanfang 2025 + Export",BR1281+BQ1281,BQ1281)))</f>
        <v>169</v>
      </c>
      <c r="I1281" s="50" t="n">
        <f aca="false">H1281*G1281</f>
        <v>25071.15</v>
      </c>
      <c r="J1281" s="50" t="n">
        <f aca="false">BT1281*Parameter!$B$18</f>
        <v>4</v>
      </c>
      <c r="K1281" s="51" t="n">
        <v>174</v>
      </c>
      <c r="L1281" s="52" t="n">
        <v>0.0229885057471264</v>
      </c>
      <c r="M1281" s="50" t="n">
        <v>0</v>
      </c>
      <c r="N1281" s="50" t="n">
        <v>5</v>
      </c>
      <c r="O1281" s="53" t="n">
        <v>63</v>
      </c>
      <c r="P1281" s="48" t="s">
        <v>302</v>
      </c>
      <c r="Q1281" s="50" t="n">
        <v>180</v>
      </c>
      <c r="R1281" s="53" t="n">
        <f aca="false">IF(BZ1281=1,0,IFERROR(VLOOKUP(BX1281,'Gebinde-Kategorie'!$A$5:$N$45,13,0)+0,0))</f>
        <v>12</v>
      </c>
      <c r="S1281" s="54"/>
      <c r="T1281" s="55"/>
      <c r="U1281" s="55"/>
      <c r="V1281" s="55"/>
      <c r="W1281" s="48"/>
      <c r="X1281" s="50"/>
      <c r="Y1281" s="50"/>
      <c r="Z1281" s="48" t="n">
        <f aca="false">IF(A1281="","",IF(AND(Parameter!$B$21="Ja",ISNUMBER(W1281)),W1281,IF(CC1281="2+3",IF(ISNUMBER(SEARCH("grosser Artikel",BU1281)),2,IFERROR(VLOOKUP(BX1281,Parameter!$F$35:$G$64,2,0),2)),IF(OR(CC1281="Nein",CC1281=""),"-",CC1281))))</f>
        <v>2</v>
      </c>
      <c r="AA1281" s="55"/>
      <c r="AB1281" s="56"/>
      <c r="AC1281" s="50" t="n">
        <f aca="false">AV1281</f>
        <v>5</v>
      </c>
      <c r="AD1281" s="50" t="n">
        <f aca="false">MAX(AV1281,H1281)</f>
        <v>169</v>
      </c>
      <c r="AE1281" s="57"/>
      <c r="AF1281" s="50" t="n">
        <f aca="false">IF(LEFT(Cockpit!$C$5,1)="A",H1281,IF(Parameter!$E$30="MAX-Bestand",IF(CH1281=1,CI1281,IF(LEFT(Cockpit!$C$5,1)="B",AL1281,MAX(AL1281,H1281))),ROUNDUP(AJ1281,0)))</f>
        <v>169</v>
      </c>
      <c r="AG1281" s="50" t="n">
        <f aca="false">IF(BZ1281=1,0,ROUNDUP(AF1281/BY1281,0))</f>
        <v>1</v>
      </c>
      <c r="AH1281" s="52" t="n">
        <f aca="false">IF(CQ1281&gt;0,CQ1281*MAX(1,AF1281/X1281),IF(BZ1281=1,IF(AF1281&lt;=0,0,CD1281*MAX(1,IF(H1281&gt;0,AF1281/H1281,1))),IF(R1281&gt;0,AG1281/R1281,0))/MAX(0.1,N(Parameter!$M$21)))</f>
        <v>0.0833333333333333</v>
      </c>
      <c r="AI1281" s="50" t="n">
        <f aca="false">AH1281*CB1281</f>
        <v>20.4166666666667</v>
      </c>
      <c r="AJ1281" s="51" t="n">
        <f aca="false">IF(LEFT(Cockpit!$C$5,1)="A",H1281,IF(CH1281=1,(CK1281+CI1281)/2,IF(LEFT(Cockpit!$C$5,1)="B",(CK1281+AL1281)/2,MAX((CK1281+AL1281)/2,H1281))))</f>
        <v>169</v>
      </c>
      <c r="AK1281" s="50" t="n">
        <f aca="false">AJ1281*G1281</f>
        <v>25071.15</v>
      </c>
      <c r="AL1281" s="50" t="n">
        <f aca="false">ROUNDUP(CK1281+MAX(CL1281,2*(J1281/IF(CG1281&gt;0,CG1281,MAX(0.1,N(Cockpit!$C$6)))-CK1281)),0)</f>
        <v>5</v>
      </c>
      <c r="AM1281" s="51" t="n">
        <f aca="false">IF(AI1281&gt;0,J1281/AI1281,-1)</f>
        <v>0.195918367346939</v>
      </c>
      <c r="AN1281" s="51" t="n">
        <f aca="false">IF(AND(OR(CF1281="L1",CF1281="L23",CF1281="LIFT"),AI1281&gt;0),SUMIFS($AI$7:$AI$1843,$CF$7:$CF$1843,CF1281,$AM$7:$AM$1843,"&gt;"&amp;AM1281)+SUMIFS($AI$7:$AI$1843,$CF$7:$CF$1843,CF1281,$AM$7:$AM$1843,AM1281,$BW$7:$BW$1843,"&lt;="&amp;BW1281),"")</f>
        <v>12601.8170541793</v>
      </c>
      <c r="AO1281" s="58" t="n">
        <f aca="false">IF(AN1281="",0,MAX(0,MIN(1,(IF(CF1281="L1",Parameter!$H$5,IF(CF1281="L23",Parameter!$H$6+Parameter!$H$7,Parameter!$H$5+Parameter!$H$6+Parameter!$H$7))-(AN1281-AI1281))/AI1281)))</f>
        <v>1</v>
      </c>
      <c r="AP1281" s="50" t="n">
        <f aca="false">IF(LEFT(Cockpit!$I$5,1)="A",H1281,IF(Parameter!$E$30="MAX-Bestand",IF(CH1281=1,CI1281,IF(LEFT(Cockpit!$I$5,1)="B",AV1281,MAX(AV1281,H1281))),ROUNDUP(AT1281,0)))</f>
        <v>169</v>
      </c>
      <c r="AQ1281" s="50" t="n">
        <f aca="false">IF(BZ1281=1,0,ROUNDUP(AP1281/BY1281,0))</f>
        <v>1</v>
      </c>
      <c r="AR1281" s="52" t="n">
        <f aca="false">IF(CQ1281&gt;0,CQ1281*MAX(1,AP1281/X1281),IF(BZ1281=1,IF(AP1281&lt;=0,0,CD1281*MAX(1,IF(H1281&gt;0,AP1281/H1281,1))),IF(R1281&gt;0,AQ1281/R1281,0))/MAX(0.1,N(Parameter!$M$21)))</f>
        <v>0.0833333333333333</v>
      </c>
      <c r="AS1281" s="50" t="n">
        <f aca="false">AR1281*CB1281</f>
        <v>20.4166666666667</v>
      </c>
      <c r="AT1281" s="51" t="n">
        <f aca="false">IF(LEFT(Cockpit!$I$5,1)="A",H1281,IF(CH1281=1,(CK1281+CI1281)/2,IF(LEFT(Cockpit!$I$5,1)="B",(CK1281+AV1281)/2,MAX((CK1281+AV1281)/2,H1281))))</f>
        <v>169</v>
      </c>
      <c r="AU1281" s="50" t="n">
        <f aca="false">AT1281*G1281</f>
        <v>25071.15</v>
      </c>
      <c r="AV1281" s="50" t="n">
        <f aca="false">ROUNDUP(CK1281+MAX(CL1281,2*(J1281/IF(CG1281&gt;0,CG1281,MAX(0.1,N(Cockpit!$I$6)))-CK1281)),0)</f>
        <v>5</v>
      </c>
      <c r="AW1281" s="51" t="n">
        <f aca="false">IF(AS1281&gt;0,J1281/AS1281,-1)</f>
        <v>0.195918367346939</v>
      </c>
      <c r="AX1281" s="51" t="n">
        <f aca="false">IF(AND(OR(CF1281="L1",CF1281="L23",CF1281="LIFT"),AS1281&gt;0),SUMIFS($AS$7:$AS$1843,$CF$7:$CF$1843,CF1281,$AW$7:$AW$1843,"&gt;"&amp;AW1281)+SUMIFS($AS$7:$AS$1843,$CF$7:$CF$1843,CF1281,$AW$7:$AW$1843,AW1281,$BW$7:$BW$1843,"&lt;="&amp;BW1281),"")</f>
        <v>15431.0746336996</v>
      </c>
      <c r="AY1281" s="58" t="n">
        <f aca="false">IF(AX1281="",0,MAX(0,MIN(1,(IF(CF1281="L1",Parameter!$H$5,IF(CF1281="L23",Parameter!$H$6+Parameter!$H$7,Parameter!$H$5+Parameter!$H$6+Parameter!$H$7))-(AX1281-AS1281))/AS1281)))</f>
        <v>1</v>
      </c>
      <c r="AZ1281" s="50" t="n">
        <f aca="false">IF(LEFT(Cockpit!$O$5,1)="A",H1281,IF(Parameter!$E$30="MAX-Bestand",IF(CH1281=1,CI1281,IF(LEFT(Cockpit!$O$5,1)="B",BF1281,MAX(BF1281,H1281))),ROUNDUP(BD1281,0)))</f>
        <v>3</v>
      </c>
      <c r="BA1281" s="50" t="n">
        <f aca="false">IF(BZ1281=1,0,ROUNDUP(AZ1281/BY1281,0))</f>
        <v>1</v>
      </c>
      <c r="BB1281" s="52" t="n">
        <f aca="false">IF(CQ1281&gt;0,CQ1281*MAX(1,AZ1281/X1281),IF(BZ1281=1,IF(AZ1281&lt;=0,0,CD1281*MAX(1,IF(H1281&gt;0,AZ1281/H1281,1))),IF(R1281&gt;0,BA1281/R1281,0))/MAX(0.1,N(Parameter!$M$21)))</f>
        <v>0.0833333333333333</v>
      </c>
      <c r="BC1281" s="50" t="n">
        <f aca="false">BB1281*CB1281</f>
        <v>20.4166666666667</v>
      </c>
      <c r="BD1281" s="51" t="n">
        <f aca="false">IF(LEFT(Cockpit!$O$5,1)="A",H1281,IF(CH1281=1,(CK1281+CI1281)/2,IF(LEFT(Cockpit!$O$5,1)="B",(CK1281+BF1281)/2,MAX((CK1281+BF1281)/2,H1281))))</f>
        <v>2.5</v>
      </c>
      <c r="BE1281" s="50" t="n">
        <f aca="false">BD1281*G1281</f>
        <v>370.875</v>
      </c>
      <c r="BF1281" s="50" t="n">
        <f aca="false">ROUNDUP(CK1281+MAX(CL1281,2*(J1281/IF(CG1281&gt;0,CG1281,MAX(0.1,N(Cockpit!$O$6)))-CK1281)),0)</f>
        <v>5</v>
      </c>
      <c r="BG1281" s="51" t="n">
        <f aca="false">IF(BC1281&gt;0,J1281/BC1281,-1)</f>
        <v>0.195918367346939</v>
      </c>
      <c r="BH1281" s="51" t="n">
        <f aca="false">IF(AND(OR(CF1281="L1",CF1281="L23",CF1281="LIFT"),BC1281&gt;0),SUMIFS($BC$7:$BC$1843,$CF$7:$CF$1843,CF1281,$BG$7:$BG$1843,"&gt;"&amp;BG1281)+SUMIFS($BC$7:$BC$1843,$CF$7:$CF$1843,CF1281,$BG$7:$BG$1843,BG1281,$BW$7:$BW$1843,"&lt;="&amp;BW1281),"")</f>
        <v>13227.4129234701</v>
      </c>
      <c r="BI1281" s="58" t="n">
        <f aca="false">IF(BH1281="",0,MAX(0,MIN(1,(IF(CF1281="L1",Parameter!$H$5,IF(CF1281="L23",Parameter!$H$6+Parameter!$H$7,Parameter!$H$5+Parameter!$H$6+Parameter!$H$7))-(BH1281-BC1281))/BC1281)))</f>
        <v>1</v>
      </c>
      <c r="BJ1281" s="48" t="str">
        <f aca="false">IF(AI1281&lt;=0,"",IF(CF1281="Aussen","Aussenlager",IF(CF1281="-","Nicht im Lift",IF(AO1281&gt;=1,"Lift",IF(AO1281&lt;=0,"Aussenlager","teilweise")))))</f>
        <v>Lift</v>
      </c>
      <c r="BK1281" s="48" t="str">
        <f aca="false">IF(AS1281&lt;=0,"",IF(CF1281="Aussen","Aussenlager",IF(CF1281="-","Nicht im Lift",IF(AY1281&gt;=1,"Lift",IF(AY1281&lt;=0,"Aussenlager","teilweise")))))</f>
        <v>Lift</v>
      </c>
      <c r="BL1281" s="48" t="str">
        <f aca="false">IF(BC1281&lt;=0,"",IF(CF1281="Aussen","Aussenlager",IF(CF1281="-","Nicht im Lift",IF(BI1281&gt;=1,"Lift",IF(BI1281&lt;=0,"Aussenlager","teilweise")))))</f>
        <v>Lift</v>
      </c>
      <c r="BM1281" s="48" t="str">
        <f aca="false">IF(A1281="","",IF(BV1281=1,"Neu; ","")&amp;IF(AND(BV1281=0,BQ1281&lt;0),"negativer Bestand (Export "&amp;BQ1281&amp;"); ","")&amp;IF(J1281&lt;=0,"Kein Verbrauch; ","")&amp;IF(CQ1281&gt;0,"Lift "&amp;W1281&amp;" lt. Liftbericht (Fach "&amp;X1281&amp;" Stk); ",IF(CA1281=1,"Gebinde geschätzt ("&amp;T1281&amp;"); ",IF(BZ1281=1,"Lose – Tablare geschätzt; ","")))&amp;IF(H1281&gt;AV1281,"Überbestand "&amp;ROUND(H1281-AV1281,0)&amp;" Stk / CHF "&amp;ROUND((H1281-AV1281)*G1281,0)&amp;"; ","")&amp;IF(AND(CH1281=1,CI1281&lt;CJ1281),"MAX &lt; MB+LG; ","")&amp;IF(AND(CP1281&gt;0,CO1281*10&gt;CP1281),"zu hoch für Tablar; ","")&amp;IF(AND(BV1281=0,OR(CH1281=1,AA1281&lt;&gt;"",U1281&lt;&gt;"",V1281&lt;&gt;"",AB1281&lt;&gt;"")),"manuell übersteuert; ","")&amp;IF(AND(BZ1281=0,R1281=0),"Gebinde unbekannt / Stellmass fehlt; ","")&amp;IF(AND(BZ1281=0,N(V1281)&lt;=0,N(Q1281)&lt;=0),"Menge pro Gebinde fehlt (Ist = 1 Gebinde); ","")&amp;BU1281)</f>
        <v>negativer Bestand (Export -7); Überbestand 164 Stk / CHF 24329; i.o</v>
      </c>
      <c r="BN1281" s="48"/>
      <c r="BO1281" s="48"/>
      <c r="BP1281" s="55"/>
      <c r="BQ1281" s="50" t="n">
        <v>-7</v>
      </c>
      <c r="BR1281" s="50" t="n">
        <v>176</v>
      </c>
      <c r="BS1281" s="49" t="n">
        <v>-1038.45</v>
      </c>
      <c r="BT1281" s="50" t="n">
        <v>4</v>
      </c>
      <c r="BU1281" s="48" t="s">
        <v>545</v>
      </c>
      <c r="BV1281" s="53" t="n">
        <v>0</v>
      </c>
      <c r="BW1281" s="53" t="n">
        <v>1281</v>
      </c>
      <c r="BX1281" s="48" t="str">
        <f aca="false">IF(U1281&lt;&gt;"",UPPER(TRIM(U1281)),IF(CA1281=1,UPPER(VLOOKUP(T1281,Parameter!$I$27:$K$29,2,0)),IF(P1281="","LOSE",P1281)))</f>
        <v>S62</v>
      </c>
      <c r="BY1281" s="50" t="n">
        <f aca="false">IF(BX1281="LOSE",1,IF(N(V1281)&gt;0,V1281,IF(CA1281=1,MAX(1,N(VLOOKUP(T1281,Parameter!$I$27:$K$29,3,0)),H1281,N(N1281)),IF(N(Q1281)&gt;0,Q1281,MAX(1,H1281)))))</f>
        <v>180</v>
      </c>
      <c r="BZ1281" s="53" t="n">
        <f aca="false">IF(BX1281="LOSE",1,0)</f>
        <v>0</v>
      </c>
      <c r="CA1281" s="53" t="n">
        <f aca="false">IF(AND(U1281="",OR(P1281="",P1281="LOSE"),T1281&lt;&gt;"",N(S1281)&lt;=0,ISNUMBER(MATCH(T1281,Parameter!$I$27:$I$29,0))),1,0)</f>
        <v>0</v>
      </c>
      <c r="CB1281" s="53" t="n">
        <f aca="false">IF(CQ1281&gt;0,INDEX(Parameter!$H$5:$H$7,W1281)/INDEX(Parameter!$E$5:$E$7,W1281),IF(AND(BZ1281=0,N(IFERROR(VLOOKUP(BX1281,'Gebinde-Kategorie'!$A$5:$N$45,14,0),0))&gt;0),VLOOKUP(BX1281,'Gebinde-Kategorie'!$A$5:$N$45,14,0)*10+Parameter!$M$23,Parameter!$M$24))</f>
        <v>245</v>
      </c>
      <c r="CC1281" s="48" t="str">
        <f aca="false">IF(AND(Parameter!$B$19="Ja",E1281&lt;&gt;"",ISNUMBER(MATCH(E1281,Parameter!$I$35:$I$52,0))),VLOOKUP(E1281,Parameter!$I$35:$J$52,2,0),IFERROR(VLOOKUP(D1281,Parameter!$A$35:$C$64,2,0),"Nein"))</f>
        <v>2+3</v>
      </c>
      <c r="CD1281" s="52" t="n">
        <f aca="false">IF(BZ1281=0,0,IF(N(S1281)&gt;0,S1281,IFERROR(VLOOKUP(D1281,Parameter!$A$35:$C$64,3,0)+0,0)))</f>
        <v>0</v>
      </c>
      <c r="CE1281" s="48" t="n">
        <f aca="false">IF(AA1281&lt;&gt;"",AA1281,Z1281)</f>
        <v>2</v>
      </c>
      <c r="CF1281" s="48" t="str">
        <f aca="false">IF(OR(CE1281=1,CE1281=2,CE1281=3),IF(Parameter!$E$27="Ja","LIFT",IF(CE1281=1,"L1","L23")),IF(CE1281="Aussen","Aussen","-"))</f>
        <v>LIFT</v>
      </c>
      <c r="CG1281" s="59" t="n">
        <f aca="false">IF(N(AB1281)&gt;0,AB1281,0)</f>
        <v>0</v>
      </c>
      <c r="CH1281" s="53" t="n">
        <f aca="false">IF(ISNUMBER(AE1281),1,0)</f>
        <v>0</v>
      </c>
      <c r="CI1281" s="50" t="n">
        <f aca="false">N(AE1281)</f>
        <v>0</v>
      </c>
      <c r="CJ1281" s="50" t="n">
        <f aca="false">N(M1281)+N(N1281)</f>
        <v>5</v>
      </c>
      <c r="CK1281" s="50" t="n">
        <f aca="false">N(M1281)</f>
        <v>0</v>
      </c>
      <c r="CL1281" s="50" t="n">
        <f aca="false">N(N1281)</f>
        <v>5</v>
      </c>
      <c r="CM1281" s="50" t="n">
        <f aca="false">ROUNDUP(H1281/BY1281,0)</f>
        <v>1</v>
      </c>
      <c r="CN1281" s="50" t="n">
        <f aca="false">ROUNDUP(CI1281/BY1281,0)</f>
        <v>0</v>
      </c>
      <c r="CO1281" s="53" t="n">
        <f aca="false">IF(BZ1281=1,0,IFERROR(VLOOKUP(BX1281,'Gebinde-Kategorie'!$A$5:$N$45,5,0)+0,0))</f>
        <v>21</v>
      </c>
      <c r="CP1281" s="53" t="n">
        <f aca="false">IFERROR(IF(OR(CE1281=1,CE1281=2,CE1281=3),N(INDEX(Parameter!$I$5:$I$7,CE1281)),0),0)</f>
        <v>0</v>
      </c>
      <c r="CQ1281" s="52" t="n">
        <f aca="false">IF(AND(Parameter!$B$21="Ja",ISNUMBER(W1281),N(X1281)&gt;0),IFERROR(N(INDEX(Parameter!$L$5:$L$7,W1281))*INDEX(Parameter!$E$5:$E$7,W1281)*X1281/SUMIFS($X$7:$X$1843,$W$7:$W$1843,W1281),0),0)</f>
        <v>0</v>
      </c>
    </row>
    <row r="1282" customFormat="false" ht="15" hidden="false" customHeight="false" outlineLevel="0" collapsed="false">
      <c r="A1282" s="48" t="s">
        <v>2297</v>
      </c>
      <c r="B1282" s="48" t="s">
        <v>2298</v>
      </c>
      <c r="C1282" s="48" t="s">
        <v>465</v>
      </c>
      <c r="D1282" s="48" t="s">
        <v>182</v>
      </c>
      <c r="E1282" s="48"/>
      <c r="F1282" s="48" t="s">
        <v>227</v>
      </c>
      <c r="G1282" s="49" t="n">
        <v>52</v>
      </c>
      <c r="H1282" s="50" t="n">
        <f aca="false">MAX(0,IF(AND(Parameter!$B$21="Ja",ISNUMBER(Y1282)),Y1282,IF(Parameter!$B$20="Jahresanfang 2025 + Export",BR1282+BQ1282,BQ1282)))</f>
        <v>0</v>
      </c>
      <c r="I1282" s="50" t="n">
        <f aca="false">H1282*G1282</f>
        <v>0</v>
      </c>
      <c r="J1282" s="50" t="n">
        <f aca="false">BT1282*Parameter!$B$18</f>
        <v>0</v>
      </c>
      <c r="K1282" s="51" t="n">
        <v>10</v>
      </c>
      <c r="L1282" s="52" t="n">
        <v>0</v>
      </c>
      <c r="M1282" s="50" t="n">
        <v>0</v>
      </c>
      <c r="N1282" s="50" t="n">
        <v>1</v>
      </c>
      <c r="O1282" s="53" t="n">
        <v>56</v>
      </c>
      <c r="P1282" s="48" t="s">
        <v>177</v>
      </c>
      <c r="Q1282" s="50"/>
      <c r="R1282" s="53" t="n">
        <f aca="false">IF(BZ1282=1,0,IFERROR(VLOOKUP(BX1282,'Gebinde-Kategorie'!$A$5:$N$45,13,0)+0,0))</f>
        <v>12</v>
      </c>
      <c r="S1282" s="54"/>
      <c r="T1282" s="55" t="s">
        <v>188</v>
      </c>
      <c r="U1282" s="55"/>
      <c r="V1282" s="55"/>
      <c r="W1282" s="48"/>
      <c r="X1282" s="50"/>
      <c r="Y1282" s="50"/>
      <c r="Z1282" s="48" t="n">
        <f aca="false">IF(A1282="","",IF(AND(Parameter!$B$21="Ja",ISNUMBER(W1282)),W1282,IF(CC1282="2+3",IF(ISNUMBER(SEARCH("grosser Artikel",BU1282)),2,IFERROR(VLOOKUP(BX1282,Parameter!$F$35:$G$64,2,0),2)),IF(OR(CC1282="Nein",CC1282=""),"-",CC1282))))</f>
        <v>2</v>
      </c>
      <c r="AA1282" s="55"/>
      <c r="AB1282" s="56"/>
      <c r="AC1282" s="50" t="n">
        <f aca="false">AV1282</f>
        <v>1</v>
      </c>
      <c r="AD1282" s="50" t="n">
        <f aca="false">MAX(AV1282,H1282)</f>
        <v>1</v>
      </c>
      <c r="AE1282" s="57"/>
      <c r="AF1282" s="50" t="n">
        <f aca="false">IF(LEFT(Cockpit!$C$5,1)="A",H1282,IF(Parameter!$E$30="MAX-Bestand",IF(CH1282=1,CI1282,IF(LEFT(Cockpit!$C$5,1)="B",AL1282,MAX(AL1282,H1282))),ROUNDUP(AJ1282,0)))</f>
        <v>0</v>
      </c>
      <c r="AG1282" s="50" t="n">
        <f aca="false">IF(BZ1282=1,0,ROUNDUP(AF1282/BY1282,0))</f>
        <v>0</v>
      </c>
      <c r="AH1282" s="52" t="n">
        <f aca="false">IF(CQ1282&gt;0,CQ1282*MAX(1,AF1282/X1282),IF(BZ1282=1,IF(AF1282&lt;=0,0,CD1282*MAX(1,IF(H1282&gt;0,AF1282/H1282,1))),IF(R1282&gt;0,AG1282/R1282,0))/MAX(0.1,N(Parameter!$M$21)))</f>
        <v>0</v>
      </c>
      <c r="AI1282" s="50" t="n">
        <f aca="false">AH1282*CB1282</f>
        <v>0</v>
      </c>
      <c r="AJ1282" s="51" t="n">
        <f aca="false">IF(LEFT(Cockpit!$C$5,1)="A",H1282,IF(CH1282=1,(CK1282+CI1282)/2,IF(LEFT(Cockpit!$C$5,1)="B",(CK1282+AL1282)/2,MAX((CK1282+AL1282)/2,H1282))))</f>
        <v>0</v>
      </c>
      <c r="AK1282" s="50" t="n">
        <f aca="false">AJ1282*G1282</f>
        <v>0</v>
      </c>
      <c r="AL1282" s="50" t="n">
        <f aca="false">ROUNDUP(CK1282+MAX(CL1282,2*(J1282/IF(CG1282&gt;0,CG1282,MAX(0.1,N(Cockpit!$C$6)))-CK1282)),0)</f>
        <v>1</v>
      </c>
      <c r="AM1282" s="51" t="n">
        <f aca="false">IF(AI1282&gt;0,J1282/AI1282,-1)</f>
        <v>-1</v>
      </c>
      <c r="AN1282" s="51" t="str">
        <f aca="false">IF(AND(OR(CF1282="L1",CF1282="L23",CF1282="LIFT"),AI1282&gt;0),SUMIFS($AI$7:$AI$1843,$CF$7:$CF$1843,CF1282,$AM$7:$AM$1843,"&gt;"&amp;AM1282)+SUMIFS($AI$7:$AI$1843,$CF$7:$CF$1843,CF1282,$AM$7:$AM$1843,AM1282,$BW$7:$BW$1843,"&lt;="&amp;BW1282),"")</f>
        <v/>
      </c>
      <c r="AO1282" s="58" t="n">
        <f aca="false">IF(AN1282="",0,MAX(0,MIN(1,(IF(CF1282="L1",Parameter!$H$5,IF(CF1282="L23",Parameter!$H$6+Parameter!$H$7,Parameter!$H$5+Parameter!$H$6+Parameter!$H$7))-(AN1282-AI1282))/AI1282)))</f>
        <v>0</v>
      </c>
      <c r="AP1282" s="50" t="n">
        <f aca="false">IF(LEFT(Cockpit!$I$5,1)="A",H1282,IF(Parameter!$E$30="MAX-Bestand",IF(CH1282=1,CI1282,IF(LEFT(Cockpit!$I$5,1)="B",AV1282,MAX(AV1282,H1282))),ROUNDUP(AT1282,0)))</f>
        <v>1</v>
      </c>
      <c r="AQ1282" s="50" t="n">
        <f aca="false">IF(BZ1282=1,0,ROUNDUP(AP1282/BY1282,0))</f>
        <v>1</v>
      </c>
      <c r="AR1282" s="52" t="n">
        <f aca="false">IF(CQ1282&gt;0,CQ1282*MAX(1,AP1282/X1282),IF(BZ1282=1,IF(AP1282&lt;=0,0,CD1282*MAX(1,IF(H1282&gt;0,AP1282/H1282,1))),IF(R1282&gt;0,AQ1282/R1282,0))/MAX(0.1,N(Parameter!$M$21)))</f>
        <v>0.0833333333333333</v>
      </c>
      <c r="AS1282" s="50" t="n">
        <f aca="false">AR1282*CB1282</f>
        <v>12.0833333333333</v>
      </c>
      <c r="AT1282" s="51" t="n">
        <f aca="false">IF(LEFT(Cockpit!$I$5,1)="A",H1282,IF(CH1282=1,(CK1282+CI1282)/2,IF(LEFT(Cockpit!$I$5,1)="B",(CK1282+AV1282)/2,MAX((CK1282+AV1282)/2,H1282))))</f>
        <v>0.5</v>
      </c>
      <c r="AU1282" s="50" t="n">
        <f aca="false">AT1282*G1282</f>
        <v>26</v>
      </c>
      <c r="AV1282" s="50" t="n">
        <f aca="false">ROUNDUP(CK1282+MAX(CL1282,2*(J1282/IF(CG1282&gt;0,CG1282,MAX(0.1,N(Cockpit!$I$6)))-CK1282)),0)</f>
        <v>1</v>
      </c>
      <c r="AW1282" s="51" t="n">
        <f aca="false">IF(AS1282&gt;0,J1282/AS1282,-1)</f>
        <v>0</v>
      </c>
      <c r="AX1282" s="51" t="n">
        <f aca="false">IF(AND(OR(CF1282="L1",CF1282="L23",CF1282="LIFT"),AS1282&gt;0),SUMIFS($AS$7:$AS$1843,$CF$7:$CF$1843,CF1282,$AW$7:$AW$1843,"&gt;"&amp;AW1282)+SUMIFS($AS$7:$AS$1843,$CF$7:$CF$1843,CF1282,$AW$7:$AW$1843,AW1282,$BW$7:$BW$1843,"&lt;="&amp;BW1282),"")</f>
        <v>35507.494047619</v>
      </c>
      <c r="AY1282" s="58" t="n">
        <f aca="false">IF(AX1282="",0,MAX(0,MIN(1,(IF(CF1282="L1",Parameter!$H$5,IF(CF1282="L23",Parameter!$H$6+Parameter!$H$7,Parameter!$H$5+Parameter!$H$6+Parameter!$H$7))-(AX1282-AS1282))/AS1282)))</f>
        <v>1</v>
      </c>
      <c r="AZ1282" s="50" t="n">
        <f aca="false">IF(LEFT(Cockpit!$O$5,1)="A",H1282,IF(Parameter!$E$30="MAX-Bestand",IF(CH1282=1,CI1282,IF(LEFT(Cockpit!$O$5,1)="B",BF1282,MAX(BF1282,H1282))),ROUNDUP(BD1282,0)))</f>
        <v>1</v>
      </c>
      <c r="BA1282" s="50" t="n">
        <f aca="false">IF(BZ1282=1,0,ROUNDUP(AZ1282/BY1282,0))</f>
        <v>1</v>
      </c>
      <c r="BB1282" s="52" t="n">
        <f aca="false">IF(CQ1282&gt;0,CQ1282*MAX(1,AZ1282/X1282),IF(BZ1282=1,IF(AZ1282&lt;=0,0,CD1282*MAX(1,IF(H1282&gt;0,AZ1282/H1282,1))),IF(R1282&gt;0,BA1282/R1282,0))/MAX(0.1,N(Parameter!$M$21)))</f>
        <v>0.0833333333333333</v>
      </c>
      <c r="BC1282" s="50" t="n">
        <f aca="false">BB1282*CB1282</f>
        <v>12.0833333333333</v>
      </c>
      <c r="BD1282" s="51" t="n">
        <f aca="false">IF(LEFT(Cockpit!$O$5,1)="A",H1282,IF(CH1282=1,(CK1282+CI1282)/2,IF(LEFT(Cockpit!$O$5,1)="B",(CK1282+BF1282)/2,MAX((CK1282+BF1282)/2,H1282))))</f>
        <v>0.5</v>
      </c>
      <c r="BE1282" s="50" t="n">
        <f aca="false">BD1282*G1282</f>
        <v>26</v>
      </c>
      <c r="BF1282" s="50" t="n">
        <f aca="false">ROUNDUP(CK1282+MAX(CL1282,2*(J1282/IF(CG1282&gt;0,CG1282,MAX(0.1,N(Cockpit!$O$6)))-CK1282)),0)</f>
        <v>1</v>
      </c>
      <c r="BG1282" s="51" t="n">
        <f aca="false">IF(BC1282&gt;0,J1282/BC1282,-1)</f>
        <v>0</v>
      </c>
      <c r="BH1282" s="51" t="n">
        <f aca="false">IF(AND(OR(CF1282="L1",CF1282="L23",CF1282="LIFT"),BC1282&gt;0),SUMIFS($BC$7:$BC$1843,$CF$7:$CF$1843,CF1282,$BG$7:$BG$1843,"&gt;"&amp;BG1282)+SUMIFS($BC$7:$BC$1843,$CF$7:$CF$1843,CF1282,$BG$7:$BG$1843,BG1282,$BW$7:$BW$1843,"&lt;="&amp;BW1282),"")</f>
        <v>29492.8007077668</v>
      </c>
      <c r="BI1282" s="58" t="n">
        <f aca="false">IF(BH1282="",0,MAX(0,MIN(1,(IF(CF1282="L1",Parameter!$H$5,IF(CF1282="L23",Parameter!$H$6+Parameter!$H$7,Parameter!$H$5+Parameter!$H$6+Parameter!$H$7))-(BH1282-BC1282))/BC1282)))</f>
        <v>1</v>
      </c>
      <c r="BJ1282" s="48" t="str">
        <f aca="false">IF(AI1282&lt;=0,"",IF(CF1282="Aussen","Aussenlager",IF(CF1282="-","Nicht im Lift",IF(AO1282&gt;=1,"Lift",IF(AO1282&lt;=0,"Aussenlager","teilweise")))))</f>
        <v/>
      </c>
      <c r="BK1282" s="48" t="str">
        <f aca="false">IF(AS1282&lt;=0,"",IF(CF1282="Aussen","Aussenlager",IF(CF1282="-","Nicht im Lift",IF(AY1282&gt;=1,"Lift",IF(AY1282&lt;=0,"Aussenlager","teilweise")))))</f>
        <v>Lift</v>
      </c>
      <c r="BL1282" s="48" t="str">
        <f aca="false">IF(BC1282&lt;=0,"",IF(CF1282="Aussen","Aussenlager",IF(CF1282="-","Nicht im Lift",IF(BI1282&gt;=1,"Lift",IF(BI1282&lt;=0,"Aussenlager","teilweise")))))</f>
        <v>Lift</v>
      </c>
      <c r="BM1282" s="48" t="str">
        <f aca="false">IF(A1282="","",IF(BV1282=1,"Neu; ","")&amp;IF(AND(BV1282=0,BQ1282&lt;0),"negativer Bestand (Export "&amp;BQ1282&amp;"); ","")&amp;IF(J1282&lt;=0,"Kein Verbrauch; ","")&amp;IF(CQ1282&gt;0,"Lift "&amp;W1282&amp;" lt. Liftbericht (Fach "&amp;X1282&amp;" Stk); ",IF(CA1282=1,"Gebinde geschätzt ("&amp;T1282&amp;"); ",IF(BZ1282=1,"Lose – Tablare geschätzt; ","")))&amp;IF(H1282&gt;AV1282,"Überbestand "&amp;ROUND(H1282-AV1282,0)&amp;" Stk / CHF "&amp;ROUND((H1282-AV1282)*G1282,0)&amp;"; ","")&amp;IF(AND(CH1282=1,CI1282&lt;CJ1282),"MAX &lt; MB+LG; ","")&amp;IF(AND(CP1282&gt;0,CO1282*10&gt;CP1282),"zu hoch für Tablar; ","")&amp;IF(AND(BV1282=0,OR(CH1282=1,AA1282&lt;&gt;"",U1282&lt;&gt;"",V1282&lt;&gt;"",AB1282&lt;&gt;"")),"manuell übersteuert; ","")&amp;IF(AND(BZ1282=0,R1282=0),"Gebinde unbekannt / Stellmass fehlt; ","")&amp;IF(AND(BZ1282=0,N(V1282)&lt;=0,N(Q1282)&lt;=0),"Menge pro Gebinde fehlt (Ist = 1 Gebinde); ","")&amp;BU1282)</f>
        <v>negativer Bestand (Export -20); Kein Verbrauch; Gebinde geschätzt (Mittel); Menge pro Gebinde fehlt (Ist = 1 Gebinde); </v>
      </c>
      <c r="BN1282" s="48"/>
      <c r="BO1282" s="48"/>
      <c r="BP1282" s="55"/>
      <c r="BQ1282" s="50" t="n">
        <v>-20</v>
      </c>
      <c r="BR1282" s="50" t="n">
        <v>20</v>
      </c>
      <c r="BS1282" s="49" t="n">
        <v>-1040</v>
      </c>
      <c r="BT1282" s="50" t="n">
        <v>0</v>
      </c>
      <c r="BU1282" s="48"/>
      <c r="BV1282" s="53" t="n">
        <v>0</v>
      </c>
      <c r="BW1282" s="53" t="n">
        <v>1282</v>
      </c>
      <c r="BX1282" s="48" t="str">
        <f aca="false">IF(U1282&lt;&gt;"",UPPER(TRIM(U1282)),IF(CA1282=1,UPPER(VLOOKUP(T1282,Parameter!$I$27:$K$29,2,0)),IF(P1282="","LOSE",P1282)))</f>
        <v>S61</v>
      </c>
      <c r="BY1282" s="50" t="n">
        <f aca="false">IF(BX1282="LOSE",1,IF(N(V1282)&gt;0,V1282,IF(CA1282=1,MAX(1,N(VLOOKUP(T1282,Parameter!$I$27:$K$29,3,0)),H1282,N(N1282)),IF(N(Q1282)&gt;0,Q1282,MAX(1,H1282)))))</f>
        <v>4</v>
      </c>
      <c r="BZ1282" s="53" t="n">
        <f aca="false">IF(BX1282="LOSE",1,0)</f>
        <v>0</v>
      </c>
      <c r="CA1282" s="53" t="n">
        <f aca="false">IF(AND(U1282="",OR(P1282="",P1282="LOSE"),T1282&lt;&gt;"",N(S1282)&lt;=0,ISNUMBER(MATCH(T1282,Parameter!$I$27:$I$29,0))),1,0)</f>
        <v>1</v>
      </c>
      <c r="CB1282" s="53" t="n">
        <f aca="false">IF(CQ1282&gt;0,INDEX(Parameter!$H$5:$H$7,W1282)/INDEX(Parameter!$E$5:$E$7,W1282),IF(AND(BZ1282=0,N(IFERROR(VLOOKUP(BX1282,'Gebinde-Kategorie'!$A$5:$N$45,14,0),0))&gt;0),VLOOKUP(BX1282,'Gebinde-Kategorie'!$A$5:$N$45,14,0)*10+Parameter!$M$23,Parameter!$M$24))</f>
        <v>145</v>
      </c>
      <c r="CC1282" s="48" t="str">
        <f aca="false">IF(AND(Parameter!$B$19="Ja",E1282&lt;&gt;"",ISNUMBER(MATCH(E1282,Parameter!$I$35:$I$52,0))),VLOOKUP(E1282,Parameter!$I$35:$J$52,2,0),IFERROR(VLOOKUP(D1282,Parameter!$A$35:$C$64,2,0),"Nein"))</f>
        <v>2+3</v>
      </c>
      <c r="CD1282" s="52" t="n">
        <f aca="false">IF(BZ1282=0,0,IF(N(S1282)&gt;0,S1282,IFERROR(VLOOKUP(D1282,Parameter!$A$35:$C$64,3,0)+0,0)))</f>
        <v>0</v>
      </c>
      <c r="CE1282" s="48" t="n">
        <f aca="false">IF(AA1282&lt;&gt;"",AA1282,Z1282)</f>
        <v>2</v>
      </c>
      <c r="CF1282" s="48" t="str">
        <f aca="false">IF(OR(CE1282=1,CE1282=2,CE1282=3),IF(Parameter!$E$27="Ja","LIFT",IF(CE1282=1,"L1","L23")),IF(CE1282="Aussen","Aussen","-"))</f>
        <v>LIFT</v>
      </c>
      <c r="CG1282" s="59" t="n">
        <f aca="false">IF(N(AB1282)&gt;0,AB1282,0)</f>
        <v>0</v>
      </c>
      <c r="CH1282" s="53" t="n">
        <f aca="false">IF(ISNUMBER(AE1282),1,0)</f>
        <v>0</v>
      </c>
      <c r="CI1282" s="50" t="n">
        <f aca="false">N(AE1282)</f>
        <v>0</v>
      </c>
      <c r="CJ1282" s="50" t="n">
        <f aca="false">N(M1282)+N(N1282)</f>
        <v>1</v>
      </c>
      <c r="CK1282" s="50" t="n">
        <f aca="false">N(M1282)</f>
        <v>0</v>
      </c>
      <c r="CL1282" s="50" t="n">
        <f aca="false">N(N1282)</f>
        <v>1</v>
      </c>
      <c r="CM1282" s="50" t="n">
        <f aca="false">ROUNDUP(H1282/BY1282,0)</f>
        <v>0</v>
      </c>
      <c r="CN1282" s="50" t="n">
        <f aca="false">ROUNDUP(CI1282/BY1282,0)</f>
        <v>0</v>
      </c>
      <c r="CO1282" s="53" t="n">
        <f aca="false">IF(BZ1282=1,0,IFERROR(VLOOKUP(BX1282,'Gebinde-Kategorie'!$A$5:$N$45,5,0)+0,0))</f>
        <v>11</v>
      </c>
      <c r="CP1282" s="53" t="n">
        <f aca="false">IFERROR(IF(OR(CE1282=1,CE1282=2,CE1282=3),N(INDEX(Parameter!$I$5:$I$7,CE1282)),0),0)</f>
        <v>0</v>
      </c>
      <c r="CQ1282" s="52" t="n">
        <f aca="false">IF(AND(Parameter!$B$21="Ja",ISNUMBER(W1282),N(X1282)&gt;0),IFERROR(N(INDEX(Parameter!$L$5:$L$7,W1282))*INDEX(Parameter!$E$5:$E$7,W1282)*X1282/SUMIFS($X$7:$X$1843,$W$7:$W$1843,W1282),0),0)</f>
        <v>0</v>
      </c>
    </row>
    <row r="1283" customFormat="false" ht="15" hidden="false" customHeight="false" outlineLevel="0" collapsed="false">
      <c r="A1283" s="48" t="s">
        <v>2299</v>
      </c>
      <c r="B1283" s="48" t="s">
        <v>2159</v>
      </c>
      <c r="C1283" s="48" t="s">
        <v>465</v>
      </c>
      <c r="D1283" s="48" t="s">
        <v>182</v>
      </c>
      <c r="E1283" s="48" t="s">
        <v>182</v>
      </c>
      <c r="F1283" s="48" t="s">
        <v>227</v>
      </c>
      <c r="G1283" s="49" t="n">
        <v>522</v>
      </c>
      <c r="H1283" s="50" t="n">
        <f aca="false">MAX(0,IF(AND(Parameter!$B$21="Ja",ISNUMBER(Y1283)),Y1283,IF(Parameter!$B$20="Jahresanfang 2025 + Export",BR1283+BQ1283,BQ1283)))</f>
        <v>0</v>
      </c>
      <c r="I1283" s="50" t="n">
        <f aca="false">H1283*G1283</f>
        <v>0</v>
      </c>
      <c r="J1283" s="50" t="n">
        <f aca="false">BT1283*Parameter!$B$18</f>
        <v>0</v>
      </c>
      <c r="K1283" s="51" t="n">
        <v>2</v>
      </c>
      <c r="L1283" s="52" t="n">
        <v>0</v>
      </c>
      <c r="M1283" s="50" t="n">
        <v>0</v>
      </c>
      <c r="N1283" s="50" t="n">
        <v>1</v>
      </c>
      <c r="O1283" s="53" t="n">
        <v>35</v>
      </c>
      <c r="P1283" s="48" t="s">
        <v>177</v>
      </c>
      <c r="Q1283" s="50"/>
      <c r="R1283" s="53" t="n">
        <f aca="false">IF(BZ1283=1,0,IFERROR(VLOOKUP(BX1283,'Gebinde-Kategorie'!$A$5:$N$45,13,0)+0,0))</f>
        <v>12</v>
      </c>
      <c r="S1283" s="54"/>
      <c r="T1283" s="55" t="s">
        <v>188</v>
      </c>
      <c r="U1283" s="55"/>
      <c r="V1283" s="55"/>
      <c r="W1283" s="48"/>
      <c r="X1283" s="50"/>
      <c r="Y1283" s="50"/>
      <c r="Z1283" s="48" t="str">
        <f aca="false">IF(A1283="","",IF(AND(Parameter!$B$21="Ja",ISNUMBER(W1283)),W1283,IF(CC1283="2+3",IF(ISNUMBER(SEARCH("grosser Artikel",BU1283)),2,IFERROR(VLOOKUP(BX1283,Parameter!$F$35:$G$64,2,0),2)),IF(OR(CC1283="Nein",CC1283=""),"-",CC1283))))</f>
        <v>-</v>
      </c>
      <c r="AA1283" s="55"/>
      <c r="AB1283" s="56"/>
      <c r="AC1283" s="50" t="n">
        <f aca="false">AV1283</f>
        <v>1</v>
      </c>
      <c r="AD1283" s="50" t="n">
        <f aca="false">MAX(AV1283,H1283)</f>
        <v>1</v>
      </c>
      <c r="AE1283" s="57"/>
      <c r="AF1283" s="50" t="n">
        <f aca="false">IF(LEFT(Cockpit!$C$5,1)="A",H1283,IF(Parameter!$E$30="MAX-Bestand",IF(CH1283=1,CI1283,IF(LEFT(Cockpit!$C$5,1)="B",AL1283,MAX(AL1283,H1283))),ROUNDUP(AJ1283,0)))</f>
        <v>0</v>
      </c>
      <c r="AG1283" s="50" t="n">
        <f aca="false">IF(BZ1283=1,0,ROUNDUP(AF1283/BY1283,0))</f>
        <v>0</v>
      </c>
      <c r="AH1283" s="52" t="n">
        <f aca="false">IF(CQ1283&gt;0,CQ1283*MAX(1,AF1283/X1283),IF(BZ1283=1,IF(AF1283&lt;=0,0,CD1283*MAX(1,IF(H1283&gt;0,AF1283/H1283,1))),IF(R1283&gt;0,AG1283/R1283,0))/MAX(0.1,N(Parameter!$M$21)))</f>
        <v>0</v>
      </c>
      <c r="AI1283" s="50" t="n">
        <f aca="false">AH1283*CB1283</f>
        <v>0</v>
      </c>
      <c r="AJ1283" s="51" t="n">
        <f aca="false">IF(LEFT(Cockpit!$C$5,1)="A",H1283,IF(CH1283=1,(CK1283+CI1283)/2,IF(LEFT(Cockpit!$C$5,1)="B",(CK1283+AL1283)/2,MAX((CK1283+AL1283)/2,H1283))))</f>
        <v>0</v>
      </c>
      <c r="AK1283" s="50" t="n">
        <f aca="false">AJ1283*G1283</f>
        <v>0</v>
      </c>
      <c r="AL1283" s="50" t="n">
        <f aca="false">ROUNDUP(CK1283+MAX(CL1283,2*(J1283/IF(CG1283&gt;0,CG1283,MAX(0.1,N(Cockpit!$C$6)))-CK1283)),0)</f>
        <v>1</v>
      </c>
      <c r="AM1283" s="51" t="n">
        <f aca="false">IF(AI1283&gt;0,J1283/AI1283,-1)</f>
        <v>-1</v>
      </c>
      <c r="AN1283" s="51" t="str">
        <f aca="false">IF(AND(OR(CF1283="L1",CF1283="L23",CF1283="LIFT"),AI1283&gt;0),SUMIFS($AI$7:$AI$1843,$CF$7:$CF$1843,CF1283,$AM$7:$AM$1843,"&gt;"&amp;AM1283)+SUMIFS($AI$7:$AI$1843,$CF$7:$CF$1843,CF1283,$AM$7:$AM$1843,AM1283,$BW$7:$BW$1843,"&lt;="&amp;BW1283),"")</f>
        <v/>
      </c>
      <c r="AO1283" s="58" t="n">
        <f aca="false">IF(AN1283="",0,MAX(0,MIN(1,(IF(CF1283="L1",Parameter!$H$5,IF(CF1283="L23",Parameter!$H$6+Parameter!$H$7,Parameter!$H$5+Parameter!$H$6+Parameter!$H$7))-(AN1283-AI1283))/AI1283)))</f>
        <v>0</v>
      </c>
      <c r="AP1283" s="50" t="n">
        <f aca="false">IF(LEFT(Cockpit!$I$5,1)="A",H1283,IF(Parameter!$E$30="MAX-Bestand",IF(CH1283=1,CI1283,IF(LEFT(Cockpit!$I$5,1)="B",AV1283,MAX(AV1283,H1283))),ROUNDUP(AT1283,0)))</f>
        <v>1</v>
      </c>
      <c r="AQ1283" s="50" t="n">
        <f aca="false">IF(BZ1283=1,0,ROUNDUP(AP1283/BY1283,0))</f>
        <v>1</v>
      </c>
      <c r="AR1283" s="52" t="n">
        <f aca="false">IF(CQ1283&gt;0,CQ1283*MAX(1,AP1283/X1283),IF(BZ1283=1,IF(AP1283&lt;=0,0,CD1283*MAX(1,IF(H1283&gt;0,AP1283/H1283,1))),IF(R1283&gt;0,AQ1283/R1283,0))/MAX(0.1,N(Parameter!$M$21)))</f>
        <v>0.0833333333333333</v>
      </c>
      <c r="AS1283" s="50" t="n">
        <f aca="false">AR1283*CB1283</f>
        <v>12.0833333333333</v>
      </c>
      <c r="AT1283" s="51" t="n">
        <f aca="false">IF(LEFT(Cockpit!$I$5,1)="A",H1283,IF(CH1283=1,(CK1283+CI1283)/2,IF(LEFT(Cockpit!$I$5,1)="B",(CK1283+AV1283)/2,MAX((CK1283+AV1283)/2,H1283))))</f>
        <v>0.5</v>
      </c>
      <c r="AU1283" s="50" t="n">
        <f aca="false">AT1283*G1283</f>
        <v>261</v>
      </c>
      <c r="AV1283" s="50" t="n">
        <f aca="false">ROUNDUP(CK1283+MAX(CL1283,2*(J1283/IF(CG1283&gt;0,CG1283,MAX(0.1,N(Cockpit!$I$6)))-CK1283)),0)</f>
        <v>1</v>
      </c>
      <c r="AW1283" s="51" t="n">
        <f aca="false">IF(AS1283&gt;0,J1283/AS1283,-1)</f>
        <v>0</v>
      </c>
      <c r="AX1283" s="51" t="str">
        <f aca="false">IF(AND(OR(CF1283="L1",CF1283="L23",CF1283="LIFT"),AS1283&gt;0),SUMIFS($AS$7:$AS$1843,$CF$7:$CF$1843,CF1283,$AW$7:$AW$1843,"&gt;"&amp;AW1283)+SUMIFS($AS$7:$AS$1843,$CF$7:$CF$1843,CF1283,$AW$7:$AW$1843,AW1283,$BW$7:$BW$1843,"&lt;="&amp;BW1283),"")</f>
        <v/>
      </c>
      <c r="AY1283" s="58" t="n">
        <f aca="false">IF(AX1283="",0,MAX(0,MIN(1,(IF(CF1283="L1",Parameter!$H$5,IF(CF1283="L23",Parameter!$H$6+Parameter!$H$7,Parameter!$H$5+Parameter!$H$6+Parameter!$H$7))-(AX1283-AS1283))/AS1283)))</f>
        <v>0</v>
      </c>
      <c r="AZ1283" s="50" t="n">
        <f aca="false">IF(LEFT(Cockpit!$O$5,1)="A",H1283,IF(Parameter!$E$30="MAX-Bestand",IF(CH1283=1,CI1283,IF(LEFT(Cockpit!$O$5,1)="B",BF1283,MAX(BF1283,H1283))),ROUNDUP(BD1283,0)))</f>
        <v>1</v>
      </c>
      <c r="BA1283" s="50" t="n">
        <f aca="false">IF(BZ1283=1,0,ROUNDUP(AZ1283/BY1283,0))</f>
        <v>1</v>
      </c>
      <c r="BB1283" s="52" t="n">
        <f aca="false">IF(CQ1283&gt;0,CQ1283*MAX(1,AZ1283/X1283),IF(BZ1283=1,IF(AZ1283&lt;=0,0,CD1283*MAX(1,IF(H1283&gt;0,AZ1283/H1283,1))),IF(R1283&gt;0,BA1283/R1283,0))/MAX(0.1,N(Parameter!$M$21)))</f>
        <v>0.0833333333333333</v>
      </c>
      <c r="BC1283" s="50" t="n">
        <f aca="false">BB1283*CB1283</f>
        <v>12.0833333333333</v>
      </c>
      <c r="BD1283" s="51" t="n">
        <f aca="false">IF(LEFT(Cockpit!$O$5,1)="A",H1283,IF(CH1283=1,(CK1283+CI1283)/2,IF(LEFT(Cockpit!$O$5,1)="B",(CK1283+BF1283)/2,MAX((CK1283+BF1283)/2,H1283))))</f>
        <v>0.5</v>
      </c>
      <c r="BE1283" s="50" t="n">
        <f aca="false">BD1283*G1283</f>
        <v>261</v>
      </c>
      <c r="BF1283" s="50" t="n">
        <f aca="false">ROUNDUP(CK1283+MAX(CL1283,2*(J1283/IF(CG1283&gt;0,CG1283,MAX(0.1,N(Cockpit!$O$6)))-CK1283)),0)</f>
        <v>1</v>
      </c>
      <c r="BG1283" s="51" t="n">
        <f aca="false">IF(BC1283&gt;0,J1283/BC1283,-1)</f>
        <v>0</v>
      </c>
      <c r="BH1283" s="51" t="str">
        <f aca="false">IF(AND(OR(CF1283="L1",CF1283="L23",CF1283="LIFT"),BC1283&gt;0),SUMIFS($BC$7:$BC$1843,$CF$7:$CF$1843,CF1283,$BG$7:$BG$1843,"&gt;"&amp;BG1283)+SUMIFS($BC$7:$BC$1843,$CF$7:$CF$1843,CF1283,$BG$7:$BG$1843,BG1283,$BW$7:$BW$1843,"&lt;="&amp;BW1283),"")</f>
        <v/>
      </c>
      <c r="BI1283" s="58" t="n">
        <f aca="false">IF(BH1283="",0,MAX(0,MIN(1,(IF(CF1283="L1",Parameter!$H$5,IF(CF1283="L23",Parameter!$H$6+Parameter!$H$7,Parameter!$H$5+Parameter!$H$6+Parameter!$H$7))-(BH1283-BC1283))/BC1283)))</f>
        <v>0</v>
      </c>
      <c r="BJ1283" s="48" t="str">
        <f aca="false">IF(AI1283&lt;=0,"",IF(CF1283="Aussen","Aussenlager",IF(CF1283="-","Nicht im Lift",IF(AO1283&gt;=1,"Lift",IF(AO1283&lt;=0,"Aussenlager","teilweise")))))</f>
        <v/>
      </c>
      <c r="BK1283" s="48" t="str">
        <f aca="false">IF(AS1283&lt;=0,"",IF(CF1283="Aussen","Aussenlager",IF(CF1283="-","Nicht im Lift",IF(AY1283&gt;=1,"Lift",IF(AY1283&lt;=0,"Aussenlager","teilweise")))))</f>
        <v>Nicht im Lift</v>
      </c>
      <c r="BL1283" s="48" t="str">
        <f aca="false">IF(BC1283&lt;=0,"",IF(CF1283="Aussen","Aussenlager",IF(CF1283="-","Nicht im Lift",IF(BI1283&gt;=1,"Lift",IF(BI1283&lt;=0,"Aussenlager","teilweise")))))</f>
        <v>Nicht im Lift</v>
      </c>
      <c r="BM1283" s="48" t="str">
        <f aca="false">IF(A1283="","",IF(BV1283=1,"Neu; ","")&amp;IF(AND(BV1283=0,BQ1283&lt;0),"negativer Bestand (Export "&amp;BQ1283&amp;"); ","")&amp;IF(J1283&lt;=0,"Kein Verbrauch; ","")&amp;IF(CQ1283&gt;0,"Lift "&amp;W1283&amp;" lt. Liftbericht (Fach "&amp;X1283&amp;" Stk); ",IF(CA1283=1,"Gebinde geschätzt ("&amp;T1283&amp;"); ",IF(BZ1283=1,"Lose – Tablare geschätzt; ","")))&amp;IF(H1283&gt;AV1283,"Überbestand "&amp;ROUND(H1283-AV1283,0)&amp;" Stk / CHF "&amp;ROUND((H1283-AV1283)*G1283,0)&amp;"; ","")&amp;IF(AND(CH1283=1,CI1283&lt;CJ1283),"MAX &lt; MB+LG; ","")&amp;IF(AND(CP1283&gt;0,CO1283*10&gt;CP1283),"zu hoch für Tablar; ","")&amp;IF(AND(BV1283=0,OR(CH1283=1,AA1283&lt;&gt;"",U1283&lt;&gt;"",V1283&lt;&gt;"",AB1283&lt;&gt;"")),"manuell übersteuert; ","")&amp;IF(AND(BZ1283=0,R1283=0),"Gebinde unbekannt / Stellmass fehlt; ","")&amp;IF(AND(BZ1283=0,N(V1283)&lt;=0,N(Q1283)&lt;=0),"Menge pro Gebinde fehlt (Ist = 1 Gebinde); ","")&amp;BU1283)</f>
        <v>negativer Bestand (Export -2); Kein Verbrauch; Gebinde geschätzt (Mittel); Menge pro Gebinde fehlt (Ist = 1 Gebinde); </v>
      </c>
      <c r="BN1283" s="48"/>
      <c r="BO1283" s="48"/>
      <c r="BP1283" s="55"/>
      <c r="BQ1283" s="50" t="n">
        <v>-2</v>
      </c>
      <c r="BR1283" s="50" t="n">
        <v>2</v>
      </c>
      <c r="BS1283" s="49" t="n">
        <v>-1044</v>
      </c>
      <c r="BT1283" s="50" t="n">
        <v>0</v>
      </c>
      <c r="BU1283" s="48"/>
      <c r="BV1283" s="53" t="n">
        <v>0</v>
      </c>
      <c r="BW1283" s="53" t="n">
        <v>1283</v>
      </c>
      <c r="BX1283" s="48" t="str">
        <f aca="false">IF(U1283&lt;&gt;"",UPPER(TRIM(U1283)),IF(CA1283=1,UPPER(VLOOKUP(T1283,Parameter!$I$27:$K$29,2,0)),IF(P1283="","LOSE",P1283)))</f>
        <v>S61</v>
      </c>
      <c r="BY1283" s="50" t="n">
        <f aca="false">IF(BX1283="LOSE",1,IF(N(V1283)&gt;0,V1283,IF(CA1283=1,MAX(1,N(VLOOKUP(T1283,Parameter!$I$27:$K$29,3,0)),H1283,N(N1283)),IF(N(Q1283)&gt;0,Q1283,MAX(1,H1283)))))</f>
        <v>4</v>
      </c>
      <c r="BZ1283" s="53" t="n">
        <f aca="false">IF(BX1283="LOSE",1,0)</f>
        <v>0</v>
      </c>
      <c r="CA1283" s="53" t="n">
        <f aca="false">IF(AND(U1283="",OR(P1283="",P1283="LOSE"),T1283&lt;&gt;"",N(S1283)&lt;=0,ISNUMBER(MATCH(T1283,Parameter!$I$27:$I$29,0))),1,0)</f>
        <v>1</v>
      </c>
      <c r="CB1283" s="53" t="n">
        <f aca="false">IF(CQ1283&gt;0,INDEX(Parameter!$H$5:$H$7,W1283)/INDEX(Parameter!$E$5:$E$7,W1283),IF(AND(BZ1283=0,N(IFERROR(VLOOKUP(BX1283,'Gebinde-Kategorie'!$A$5:$N$45,14,0),0))&gt;0),VLOOKUP(BX1283,'Gebinde-Kategorie'!$A$5:$N$45,14,0)*10+Parameter!$M$23,Parameter!$M$24))</f>
        <v>145</v>
      </c>
      <c r="CC1283" s="48" t="str">
        <f aca="false">IF(AND(Parameter!$B$19="Ja",E1283&lt;&gt;"",ISNUMBER(MATCH(E1283,Parameter!$I$35:$I$52,0))),VLOOKUP(E1283,Parameter!$I$35:$J$52,2,0),IFERROR(VLOOKUP(D1283,Parameter!$A$35:$C$64,2,0),"Nein"))</f>
        <v>Nein</v>
      </c>
      <c r="CD1283" s="52" t="n">
        <f aca="false">IF(BZ1283=0,0,IF(N(S1283)&gt;0,S1283,IFERROR(VLOOKUP(D1283,Parameter!$A$35:$C$64,3,0)+0,0)))</f>
        <v>0</v>
      </c>
      <c r="CE1283" s="48" t="str">
        <f aca="false">IF(AA1283&lt;&gt;"",AA1283,Z1283)</f>
        <v>-</v>
      </c>
      <c r="CF1283" s="48" t="str">
        <f aca="false">IF(OR(CE1283=1,CE1283=2,CE1283=3),IF(Parameter!$E$27="Ja","LIFT",IF(CE1283=1,"L1","L23")),IF(CE1283="Aussen","Aussen","-"))</f>
        <v>-</v>
      </c>
      <c r="CG1283" s="59" t="n">
        <f aca="false">IF(N(AB1283)&gt;0,AB1283,0)</f>
        <v>0</v>
      </c>
      <c r="CH1283" s="53" t="n">
        <f aca="false">IF(ISNUMBER(AE1283),1,0)</f>
        <v>0</v>
      </c>
      <c r="CI1283" s="50" t="n">
        <f aca="false">N(AE1283)</f>
        <v>0</v>
      </c>
      <c r="CJ1283" s="50" t="n">
        <f aca="false">N(M1283)+N(N1283)</f>
        <v>1</v>
      </c>
      <c r="CK1283" s="50" t="n">
        <f aca="false">N(M1283)</f>
        <v>0</v>
      </c>
      <c r="CL1283" s="50" t="n">
        <f aca="false">N(N1283)</f>
        <v>1</v>
      </c>
      <c r="CM1283" s="50" t="n">
        <f aca="false">ROUNDUP(H1283/BY1283,0)</f>
        <v>0</v>
      </c>
      <c r="CN1283" s="50" t="n">
        <f aca="false">ROUNDUP(CI1283/BY1283,0)</f>
        <v>0</v>
      </c>
      <c r="CO1283" s="53" t="n">
        <f aca="false">IF(BZ1283=1,0,IFERROR(VLOOKUP(BX1283,'Gebinde-Kategorie'!$A$5:$N$45,5,0)+0,0))</f>
        <v>11</v>
      </c>
      <c r="CP1283" s="53" t="n">
        <f aca="false">IFERROR(IF(OR(CE1283=1,CE1283=2,CE1283=3),N(INDEX(Parameter!$I$5:$I$7,CE1283)),0),0)</f>
        <v>0</v>
      </c>
      <c r="CQ1283" s="52" t="n">
        <f aca="false">IF(AND(Parameter!$B$21="Ja",ISNUMBER(W1283),N(X1283)&gt;0),IFERROR(N(INDEX(Parameter!$L$5:$L$7,W1283))*INDEX(Parameter!$E$5:$E$7,W1283)*X1283/SUMIFS($X$7:$X$1843,$W$7:$W$1843,W1283),0),0)</f>
        <v>0</v>
      </c>
    </row>
    <row r="1284" customFormat="false" ht="15" hidden="false" customHeight="false" outlineLevel="0" collapsed="false">
      <c r="A1284" s="48" t="s">
        <v>2300</v>
      </c>
      <c r="B1284" s="48" t="s">
        <v>215</v>
      </c>
      <c r="C1284" s="48" t="s">
        <v>465</v>
      </c>
      <c r="D1284" s="48" t="s">
        <v>362</v>
      </c>
      <c r="E1284" s="48"/>
      <c r="F1284" s="48" t="s">
        <v>227</v>
      </c>
      <c r="G1284" s="49" t="n">
        <v>548</v>
      </c>
      <c r="H1284" s="50" t="n">
        <f aca="false">MAX(0,IF(AND(Parameter!$B$21="Ja",ISNUMBER(Y1284)),Y1284,IF(Parameter!$B$20="Jahresanfang 2025 + Export",BR1284+BQ1284,BQ1284)))</f>
        <v>0</v>
      </c>
      <c r="I1284" s="50" t="n">
        <f aca="false">H1284*G1284</f>
        <v>0</v>
      </c>
      <c r="J1284" s="50" t="n">
        <f aca="false">BT1284*Parameter!$B$18</f>
        <v>0</v>
      </c>
      <c r="K1284" s="51" t="n">
        <v>1</v>
      </c>
      <c r="L1284" s="52" t="n">
        <v>0</v>
      </c>
      <c r="M1284" s="50" t="n">
        <v>0</v>
      </c>
      <c r="N1284" s="50" t="n">
        <v>1</v>
      </c>
      <c r="O1284" s="53" t="n">
        <v>0</v>
      </c>
      <c r="P1284" s="48" t="s">
        <v>177</v>
      </c>
      <c r="Q1284" s="50"/>
      <c r="R1284" s="53" t="n">
        <f aca="false">IF(BZ1284=1,0,IFERROR(VLOOKUP(BX1284,'Gebinde-Kategorie'!$A$5:$N$45,13,0)+0,0))</f>
        <v>0</v>
      </c>
      <c r="S1284" s="54"/>
      <c r="T1284" s="55"/>
      <c r="U1284" s="55"/>
      <c r="V1284" s="55"/>
      <c r="W1284" s="48"/>
      <c r="X1284" s="50"/>
      <c r="Y1284" s="50"/>
      <c r="Z1284" s="48" t="str">
        <f aca="false">IF(A1284="","",IF(AND(Parameter!$B$21="Ja",ISNUMBER(W1284)),W1284,IF(CC1284="2+3",IF(ISNUMBER(SEARCH("grosser Artikel",BU1284)),2,IFERROR(VLOOKUP(BX1284,Parameter!$F$35:$G$64,2,0),2)),IF(OR(CC1284="Nein",CC1284=""),"-",CC1284))))</f>
        <v>-</v>
      </c>
      <c r="AA1284" s="55"/>
      <c r="AB1284" s="56"/>
      <c r="AC1284" s="50" t="n">
        <f aca="false">AV1284</f>
        <v>1</v>
      </c>
      <c r="AD1284" s="50" t="n">
        <f aca="false">MAX(AV1284,H1284)</f>
        <v>1</v>
      </c>
      <c r="AE1284" s="57"/>
      <c r="AF1284" s="50" t="n">
        <f aca="false">IF(LEFT(Cockpit!$C$5,1)="A",H1284,IF(Parameter!$E$30="MAX-Bestand",IF(CH1284=1,CI1284,IF(LEFT(Cockpit!$C$5,1)="B",AL1284,MAX(AL1284,H1284))),ROUNDUP(AJ1284,0)))</f>
        <v>0</v>
      </c>
      <c r="AG1284" s="50" t="n">
        <f aca="false">IF(BZ1284=1,0,ROUNDUP(AF1284/BY1284,0))</f>
        <v>0</v>
      </c>
      <c r="AH1284" s="52" t="n">
        <f aca="false">IF(CQ1284&gt;0,CQ1284*MAX(1,AF1284/X1284),IF(BZ1284=1,IF(AF1284&lt;=0,0,CD1284*MAX(1,IF(H1284&gt;0,AF1284/H1284,1))),IF(R1284&gt;0,AG1284/R1284,0))/MAX(0.1,N(Parameter!$M$21)))</f>
        <v>0</v>
      </c>
      <c r="AI1284" s="50" t="n">
        <f aca="false">AH1284*CB1284</f>
        <v>0</v>
      </c>
      <c r="AJ1284" s="51" t="n">
        <f aca="false">IF(LEFT(Cockpit!$C$5,1)="A",H1284,IF(CH1284=1,(CK1284+CI1284)/2,IF(LEFT(Cockpit!$C$5,1)="B",(CK1284+AL1284)/2,MAX((CK1284+AL1284)/2,H1284))))</f>
        <v>0</v>
      </c>
      <c r="AK1284" s="50" t="n">
        <f aca="false">AJ1284*G1284</f>
        <v>0</v>
      </c>
      <c r="AL1284" s="50" t="n">
        <f aca="false">ROUNDUP(CK1284+MAX(CL1284,2*(J1284/IF(CG1284&gt;0,CG1284,MAX(0.1,N(Cockpit!$C$6)))-CK1284)),0)</f>
        <v>1</v>
      </c>
      <c r="AM1284" s="51" t="n">
        <f aca="false">IF(AI1284&gt;0,J1284/AI1284,-1)</f>
        <v>-1</v>
      </c>
      <c r="AN1284" s="51" t="str">
        <f aca="false">IF(AND(OR(CF1284="L1",CF1284="L23",CF1284="LIFT"),AI1284&gt;0),SUMIFS($AI$7:$AI$1843,$CF$7:$CF$1843,CF1284,$AM$7:$AM$1843,"&gt;"&amp;AM1284)+SUMIFS($AI$7:$AI$1843,$CF$7:$CF$1843,CF1284,$AM$7:$AM$1843,AM1284,$BW$7:$BW$1843,"&lt;="&amp;BW1284),"")</f>
        <v/>
      </c>
      <c r="AO1284" s="58" t="n">
        <f aca="false">IF(AN1284="",0,MAX(0,MIN(1,(IF(CF1284="L1",Parameter!$H$5,IF(CF1284="L23",Parameter!$H$6+Parameter!$H$7,Parameter!$H$5+Parameter!$H$6+Parameter!$H$7))-(AN1284-AI1284))/AI1284)))</f>
        <v>0</v>
      </c>
      <c r="AP1284" s="50" t="n">
        <f aca="false">IF(LEFT(Cockpit!$I$5,1)="A",H1284,IF(Parameter!$E$30="MAX-Bestand",IF(CH1284=1,CI1284,IF(LEFT(Cockpit!$I$5,1)="B",AV1284,MAX(AV1284,H1284))),ROUNDUP(AT1284,0)))</f>
        <v>1</v>
      </c>
      <c r="AQ1284" s="50" t="n">
        <f aca="false">IF(BZ1284=1,0,ROUNDUP(AP1284/BY1284,0))</f>
        <v>0</v>
      </c>
      <c r="AR1284" s="52" t="n">
        <f aca="false">IF(CQ1284&gt;0,CQ1284*MAX(1,AP1284/X1284),IF(BZ1284=1,IF(AP1284&lt;=0,0,CD1284*MAX(1,IF(H1284&gt;0,AP1284/H1284,1))),IF(R1284&gt;0,AQ1284/R1284,0))/MAX(0.1,N(Parameter!$M$21)))</f>
        <v>0.15</v>
      </c>
      <c r="AS1284" s="50" t="n">
        <f aca="false">AR1284*CB1284</f>
        <v>35.25</v>
      </c>
      <c r="AT1284" s="51" t="n">
        <f aca="false">IF(LEFT(Cockpit!$I$5,1)="A",H1284,IF(CH1284=1,(CK1284+CI1284)/2,IF(LEFT(Cockpit!$I$5,1)="B",(CK1284+AV1284)/2,MAX((CK1284+AV1284)/2,H1284))))</f>
        <v>0.5</v>
      </c>
      <c r="AU1284" s="50" t="n">
        <f aca="false">AT1284*G1284</f>
        <v>274</v>
      </c>
      <c r="AV1284" s="50" t="n">
        <f aca="false">ROUNDUP(CK1284+MAX(CL1284,2*(J1284/IF(CG1284&gt;0,CG1284,MAX(0.1,N(Cockpit!$I$6)))-CK1284)),0)</f>
        <v>1</v>
      </c>
      <c r="AW1284" s="51" t="n">
        <f aca="false">IF(AS1284&gt;0,J1284/AS1284,-1)</f>
        <v>0</v>
      </c>
      <c r="AX1284" s="51" t="str">
        <f aca="false">IF(AND(OR(CF1284="L1",CF1284="L23",CF1284="LIFT"),AS1284&gt;0),SUMIFS($AS$7:$AS$1843,$CF$7:$CF$1843,CF1284,$AW$7:$AW$1843,"&gt;"&amp;AW1284)+SUMIFS($AS$7:$AS$1843,$CF$7:$CF$1843,CF1284,$AW$7:$AW$1843,AW1284,$BW$7:$BW$1843,"&lt;="&amp;BW1284),"")</f>
        <v/>
      </c>
      <c r="AY1284" s="58" t="n">
        <f aca="false">IF(AX1284="",0,MAX(0,MIN(1,(IF(CF1284="L1",Parameter!$H$5,IF(CF1284="L23",Parameter!$H$6+Parameter!$H$7,Parameter!$H$5+Parameter!$H$6+Parameter!$H$7))-(AX1284-AS1284))/AS1284)))</f>
        <v>0</v>
      </c>
      <c r="AZ1284" s="50" t="n">
        <f aca="false">IF(LEFT(Cockpit!$O$5,1)="A",H1284,IF(Parameter!$E$30="MAX-Bestand",IF(CH1284=1,CI1284,IF(LEFT(Cockpit!$O$5,1)="B",BF1284,MAX(BF1284,H1284))),ROUNDUP(BD1284,0)))</f>
        <v>1</v>
      </c>
      <c r="BA1284" s="50" t="n">
        <f aca="false">IF(BZ1284=1,0,ROUNDUP(AZ1284/BY1284,0))</f>
        <v>0</v>
      </c>
      <c r="BB1284" s="52" t="n">
        <f aca="false">IF(CQ1284&gt;0,CQ1284*MAX(1,AZ1284/X1284),IF(BZ1284=1,IF(AZ1284&lt;=0,0,CD1284*MAX(1,IF(H1284&gt;0,AZ1284/H1284,1))),IF(R1284&gt;0,BA1284/R1284,0))/MAX(0.1,N(Parameter!$M$21)))</f>
        <v>0.15</v>
      </c>
      <c r="BC1284" s="50" t="n">
        <f aca="false">BB1284*CB1284</f>
        <v>35.25</v>
      </c>
      <c r="BD1284" s="51" t="n">
        <f aca="false">IF(LEFT(Cockpit!$O$5,1)="A",H1284,IF(CH1284=1,(CK1284+CI1284)/2,IF(LEFT(Cockpit!$O$5,1)="B",(CK1284+BF1284)/2,MAX((CK1284+BF1284)/2,H1284))))</f>
        <v>0.5</v>
      </c>
      <c r="BE1284" s="50" t="n">
        <f aca="false">BD1284*G1284</f>
        <v>274</v>
      </c>
      <c r="BF1284" s="50" t="n">
        <f aca="false">ROUNDUP(CK1284+MAX(CL1284,2*(J1284/IF(CG1284&gt;0,CG1284,MAX(0.1,N(Cockpit!$O$6)))-CK1284)),0)</f>
        <v>1</v>
      </c>
      <c r="BG1284" s="51" t="n">
        <f aca="false">IF(BC1284&gt;0,J1284/BC1284,-1)</f>
        <v>0</v>
      </c>
      <c r="BH1284" s="51" t="str">
        <f aca="false">IF(AND(OR(CF1284="L1",CF1284="L23",CF1284="LIFT"),BC1284&gt;0),SUMIFS($BC$7:$BC$1843,$CF$7:$CF$1843,CF1284,$BG$7:$BG$1843,"&gt;"&amp;BG1284)+SUMIFS($BC$7:$BC$1843,$CF$7:$CF$1843,CF1284,$BG$7:$BG$1843,BG1284,$BW$7:$BW$1843,"&lt;="&amp;BW1284),"")</f>
        <v/>
      </c>
      <c r="BI1284" s="58" t="n">
        <f aca="false">IF(BH1284="",0,MAX(0,MIN(1,(IF(CF1284="L1",Parameter!$H$5,IF(CF1284="L23",Parameter!$H$6+Parameter!$H$7,Parameter!$H$5+Parameter!$H$6+Parameter!$H$7))-(BH1284-BC1284))/BC1284)))</f>
        <v>0</v>
      </c>
      <c r="BJ1284" s="48" t="str">
        <f aca="false">IF(AI1284&lt;=0,"",IF(CF1284="Aussen","Aussenlager",IF(CF1284="-","Nicht im Lift",IF(AO1284&gt;=1,"Lift",IF(AO1284&lt;=0,"Aussenlager","teilweise")))))</f>
        <v/>
      </c>
      <c r="BK1284" s="48" t="str">
        <f aca="false">IF(AS1284&lt;=0,"",IF(CF1284="Aussen","Aussenlager",IF(CF1284="-","Nicht im Lift",IF(AY1284&gt;=1,"Lift",IF(AY1284&lt;=0,"Aussenlager","teilweise")))))</f>
        <v>Nicht im Lift</v>
      </c>
      <c r="BL1284" s="48" t="str">
        <f aca="false">IF(BC1284&lt;=0,"",IF(CF1284="Aussen","Aussenlager",IF(CF1284="-","Nicht im Lift",IF(BI1284&gt;=1,"Lift",IF(BI1284&lt;=0,"Aussenlager","teilweise")))))</f>
        <v>Nicht im Lift</v>
      </c>
      <c r="BM1284" s="48" t="str">
        <f aca="false">IF(A1284="","",IF(BV1284=1,"Neu; ","")&amp;IF(AND(BV1284=0,BQ1284&lt;0),"negativer Bestand (Export "&amp;BQ1284&amp;"); ","")&amp;IF(J1284&lt;=0,"Kein Verbrauch; ","")&amp;IF(CQ1284&gt;0,"Lift "&amp;W1284&amp;" lt. Liftbericht (Fach "&amp;X1284&amp;" Stk); ",IF(CA1284=1,"Gebinde geschätzt ("&amp;T1284&amp;"); ",IF(BZ1284=1,"Lose – Tablare geschätzt; ","")))&amp;IF(H1284&gt;AV1284,"Überbestand "&amp;ROUND(H1284-AV1284,0)&amp;" Stk / CHF "&amp;ROUND((H1284-AV1284)*G1284,0)&amp;"; ","")&amp;IF(AND(CH1284=1,CI1284&lt;CJ1284),"MAX &lt; MB+LG; ","")&amp;IF(AND(CP1284&gt;0,CO1284*10&gt;CP1284),"zu hoch für Tablar; ","")&amp;IF(AND(BV1284=0,OR(CH1284=1,AA1284&lt;&gt;"",U1284&lt;&gt;"",V1284&lt;&gt;"",AB1284&lt;&gt;"")),"manuell übersteuert; ","")&amp;IF(AND(BZ1284=0,R1284=0),"Gebinde unbekannt / Stellmass fehlt; ","")&amp;IF(AND(BZ1284=0,N(V1284)&lt;=0,N(Q1284)&lt;=0),"Menge pro Gebinde fehlt (Ist = 1 Gebinde); ","")&amp;BU1284)</f>
        <v>negativer Bestand (Export -2); Kein Verbrauch; Lose – Tablare geschätzt; </v>
      </c>
      <c r="BN1284" s="48"/>
      <c r="BO1284" s="48"/>
      <c r="BP1284" s="55"/>
      <c r="BQ1284" s="50" t="n">
        <v>-2</v>
      </c>
      <c r="BR1284" s="50" t="n">
        <v>2</v>
      </c>
      <c r="BS1284" s="49" t="n">
        <v>-1096</v>
      </c>
      <c r="BT1284" s="50" t="n">
        <v>0</v>
      </c>
      <c r="BU1284" s="48"/>
      <c r="BV1284" s="53" t="n">
        <v>0</v>
      </c>
      <c r="BW1284" s="53" t="n">
        <v>1284</v>
      </c>
      <c r="BX1284" s="48" t="str">
        <f aca="false">IF(U1284&lt;&gt;"",UPPER(TRIM(U1284)),IF(CA1284=1,UPPER(VLOOKUP(T1284,Parameter!$I$27:$K$29,2,0)),IF(P1284="","LOSE",P1284)))</f>
        <v>LOSE</v>
      </c>
      <c r="BY1284" s="50" t="n">
        <f aca="false">IF(BX1284="LOSE",1,IF(N(V1284)&gt;0,V1284,IF(CA1284=1,MAX(1,N(VLOOKUP(T1284,Parameter!$I$27:$K$29,3,0)),H1284,N(N1284)),IF(N(Q1284)&gt;0,Q1284,MAX(1,H1284)))))</f>
        <v>1</v>
      </c>
      <c r="BZ1284" s="53" t="n">
        <f aca="false">IF(BX1284="LOSE",1,0)</f>
        <v>1</v>
      </c>
      <c r="CA1284" s="53" t="n">
        <f aca="false">IF(AND(U1284="",OR(P1284="",P1284="LOSE"),T1284&lt;&gt;"",N(S1284)&lt;=0,ISNUMBER(MATCH(T1284,Parameter!$I$27:$I$29,0))),1,0)</f>
        <v>0</v>
      </c>
      <c r="CB1284" s="53" t="n">
        <f aca="false">IF(CQ1284&gt;0,INDEX(Parameter!$H$5:$H$7,W1284)/INDEX(Parameter!$E$5:$E$7,W1284),IF(AND(BZ1284=0,N(IFERROR(VLOOKUP(BX1284,'Gebinde-Kategorie'!$A$5:$N$45,14,0),0))&gt;0),VLOOKUP(BX1284,'Gebinde-Kategorie'!$A$5:$N$45,14,0)*10+Parameter!$M$23,Parameter!$M$24))</f>
        <v>235</v>
      </c>
      <c r="CC1284" s="48" t="str">
        <f aca="false">IF(AND(Parameter!$B$19="Ja",E1284&lt;&gt;"",ISNUMBER(MATCH(E1284,Parameter!$I$35:$I$52,0))),VLOOKUP(E1284,Parameter!$I$35:$J$52,2,0),IFERROR(VLOOKUP(D1284,Parameter!$A$35:$C$64,2,0),"Nein"))</f>
        <v>Nein</v>
      </c>
      <c r="CD1284" s="52" t="n">
        <f aca="false">IF(BZ1284=0,0,IF(N(S1284)&gt;0,S1284,IFERROR(VLOOKUP(D1284,Parameter!$A$35:$C$64,3,0)+0,0)))</f>
        <v>0.15</v>
      </c>
      <c r="CE1284" s="48" t="str">
        <f aca="false">IF(AA1284&lt;&gt;"",AA1284,Z1284)</f>
        <v>-</v>
      </c>
      <c r="CF1284" s="48" t="str">
        <f aca="false">IF(OR(CE1284=1,CE1284=2,CE1284=3),IF(Parameter!$E$27="Ja","LIFT",IF(CE1284=1,"L1","L23")),IF(CE1284="Aussen","Aussen","-"))</f>
        <v>-</v>
      </c>
      <c r="CG1284" s="59" t="n">
        <f aca="false">IF(N(AB1284)&gt;0,AB1284,0)</f>
        <v>0</v>
      </c>
      <c r="CH1284" s="53" t="n">
        <f aca="false">IF(ISNUMBER(AE1284),1,0)</f>
        <v>0</v>
      </c>
      <c r="CI1284" s="50" t="n">
        <f aca="false">N(AE1284)</f>
        <v>0</v>
      </c>
      <c r="CJ1284" s="50" t="n">
        <f aca="false">N(M1284)+N(N1284)</f>
        <v>1</v>
      </c>
      <c r="CK1284" s="50" t="n">
        <f aca="false">N(M1284)</f>
        <v>0</v>
      </c>
      <c r="CL1284" s="50" t="n">
        <f aca="false">N(N1284)</f>
        <v>1</v>
      </c>
      <c r="CM1284" s="50" t="n">
        <f aca="false">ROUNDUP(H1284/BY1284,0)</f>
        <v>0</v>
      </c>
      <c r="CN1284" s="50" t="n">
        <f aca="false">ROUNDUP(CI1284/BY1284,0)</f>
        <v>0</v>
      </c>
      <c r="CO1284" s="53" t="n">
        <f aca="false">IF(BZ1284=1,0,IFERROR(VLOOKUP(BX1284,'Gebinde-Kategorie'!$A$5:$N$45,5,0)+0,0))</f>
        <v>0</v>
      </c>
      <c r="CP1284" s="53" t="n">
        <f aca="false">IFERROR(IF(OR(CE1284=1,CE1284=2,CE1284=3),N(INDEX(Parameter!$I$5:$I$7,CE1284)),0),0)</f>
        <v>0</v>
      </c>
      <c r="CQ1284" s="52" t="n">
        <f aca="false">IF(AND(Parameter!$B$21="Ja",ISNUMBER(W1284),N(X1284)&gt;0),IFERROR(N(INDEX(Parameter!$L$5:$L$7,W1284))*INDEX(Parameter!$E$5:$E$7,W1284)*X1284/SUMIFS($X$7:$X$1843,$W$7:$W$1843,W1284),0),0)</f>
        <v>0</v>
      </c>
    </row>
    <row r="1285" customFormat="false" ht="15" hidden="false" customHeight="false" outlineLevel="0" collapsed="false">
      <c r="A1285" s="48" t="s">
        <v>2301</v>
      </c>
      <c r="B1285" s="48" t="s">
        <v>2302</v>
      </c>
      <c r="C1285" s="48" t="s">
        <v>173</v>
      </c>
      <c r="D1285" s="48" t="s">
        <v>193</v>
      </c>
      <c r="E1285" s="48" t="s">
        <v>194</v>
      </c>
      <c r="F1285" s="48" t="s">
        <v>227</v>
      </c>
      <c r="G1285" s="49" t="n">
        <v>114.41</v>
      </c>
      <c r="H1285" s="50" t="n">
        <f aca="false">MAX(0,IF(AND(Parameter!$B$21="Ja",ISNUMBER(Y1285)),Y1285,IF(Parameter!$B$20="Jahresanfang 2025 + Export",BR1285+BQ1285,BQ1285)))</f>
        <v>2</v>
      </c>
      <c r="I1285" s="50" t="n">
        <f aca="false">H1285*G1285</f>
        <v>228.82</v>
      </c>
      <c r="J1285" s="50" t="n">
        <f aca="false">BT1285*Parameter!$B$18</f>
        <v>5</v>
      </c>
      <c r="K1285" s="51" t="n">
        <v>11.5</v>
      </c>
      <c r="L1285" s="52" t="n">
        <v>0.434782608695652</v>
      </c>
      <c r="M1285" s="50" t="n">
        <v>0</v>
      </c>
      <c r="N1285" s="50" t="n">
        <v>5</v>
      </c>
      <c r="O1285" s="53" t="n">
        <v>56</v>
      </c>
      <c r="P1285" s="48" t="s">
        <v>430</v>
      </c>
      <c r="Q1285" s="50" t="n">
        <v>8</v>
      </c>
      <c r="R1285" s="53" t="n">
        <f aca="false">IF(BZ1285=1,0,IFERROR(VLOOKUP(BX1285,'Gebinde-Kategorie'!$A$5:$N$45,13,0)+0,0))</f>
        <v>104</v>
      </c>
      <c r="S1285" s="54"/>
      <c r="T1285" s="55"/>
      <c r="U1285" s="55"/>
      <c r="V1285" s="55"/>
      <c r="W1285" s="48"/>
      <c r="X1285" s="50"/>
      <c r="Y1285" s="50"/>
      <c r="Z1285" s="48" t="n">
        <f aca="false">IF(A1285="","",IF(AND(Parameter!$B$21="Ja",ISNUMBER(W1285)),W1285,IF(CC1285="2+3",IF(ISNUMBER(SEARCH("grosser Artikel",BU1285)),2,IFERROR(VLOOKUP(BX1285,Parameter!$F$35:$G$64,2,0),2)),IF(OR(CC1285="Nein",CC1285=""),"-",CC1285))))</f>
        <v>3</v>
      </c>
      <c r="AA1285" s="55"/>
      <c r="AB1285" s="56"/>
      <c r="AC1285" s="50" t="n">
        <f aca="false">AV1285</f>
        <v>5</v>
      </c>
      <c r="AD1285" s="50" t="n">
        <f aca="false">MAX(AV1285,H1285)</f>
        <v>5</v>
      </c>
      <c r="AE1285" s="57"/>
      <c r="AF1285" s="50" t="n">
        <f aca="false">IF(LEFT(Cockpit!$C$5,1)="A",H1285,IF(Parameter!$E$30="MAX-Bestand",IF(CH1285=1,CI1285,IF(LEFT(Cockpit!$C$5,1)="B",AL1285,MAX(AL1285,H1285))),ROUNDUP(AJ1285,0)))</f>
        <v>2</v>
      </c>
      <c r="AG1285" s="50" t="n">
        <f aca="false">IF(BZ1285=1,0,ROUNDUP(AF1285/BY1285,0))</f>
        <v>1</v>
      </c>
      <c r="AH1285" s="52" t="n">
        <f aca="false">IF(CQ1285&gt;0,CQ1285*MAX(1,AF1285/X1285),IF(BZ1285=1,IF(AF1285&lt;=0,0,CD1285*MAX(1,IF(H1285&gt;0,AF1285/H1285,1))),IF(R1285&gt;0,AG1285/R1285,0))/MAX(0.1,N(Parameter!$M$21)))</f>
        <v>0.00961538461538462</v>
      </c>
      <c r="AI1285" s="50" t="n">
        <f aca="false">AH1285*CB1285</f>
        <v>1.49038461538462</v>
      </c>
      <c r="AJ1285" s="51" t="n">
        <f aca="false">IF(LEFT(Cockpit!$C$5,1)="A",H1285,IF(CH1285=1,(CK1285+CI1285)/2,IF(LEFT(Cockpit!$C$5,1)="B",(CK1285+AL1285)/2,MAX((CK1285+AL1285)/2,H1285))))</f>
        <v>2</v>
      </c>
      <c r="AK1285" s="50" t="n">
        <f aca="false">AJ1285*G1285</f>
        <v>228.82</v>
      </c>
      <c r="AL1285" s="50" t="n">
        <f aca="false">ROUNDUP(CK1285+MAX(CL1285,2*(J1285/IF(CG1285&gt;0,CG1285,MAX(0.1,N(Cockpit!$C$6)))-CK1285)),0)</f>
        <v>5</v>
      </c>
      <c r="AM1285" s="51" t="n">
        <f aca="false">IF(AI1285&gt;0,J1285/AI1285,-1)</f>
        <v>3.35483870967742</v>
      </c>
      <c r="AN1285" s="51" t="n">
        <f aca="false">IF(AND(OR(CF1285="L1",CF1285="L23",CF1285="LIFT"),AI1285&gt;0),SUMIFS($AI$7:$AI$1843,$CF$7:$CF$1843,CF1285,$AM$7:$AM$1843,"&gt;"&amp;AM1285)+SUMIFS($AI$7:$AI$1843,$CF$7:$CF$1843,CF1285,$AM$7:$AM$1843,AM1285,$BW$7:$BW$1843,"&lt;="&amp;BW1285),"")</f>
        <v>4957.0782967033</v>
      </c>
      <c r="AO1285" s="58" t="n">
        <f aca="false">IF(AN1285="",0,MAX(0,MIN(1,(IF(CF1285="L1",Parameter!$H$5,IF(CF1285="L23",Parameter!$H$6+Parameter!$H$7,Parameter!$H$5+Parameter!$H$6+Parameter!$H$7))-(AN1285-AI1285))/AI1285)))</f>
        <v>1</v>
      </c>
      <c r="AP1285" s="50" t="n">
        <f aca="false">IF(LEFT(Cockpit!$I$5,1)="A",H1285,IF(Parameter!$E$30="MAX-Bestand",IF(CH1285=1,CI1285,IF(LEFT(Cockpit!$I$5,1)="B",AV1285,MAX(AV1285,H1285))),ROUNDUP(AT1285,0)))</f>
        <v>3</v>
      </c>
      <c r="AQ1285" s="50" t="n">
        <f aca="false">IF(BZ1285=1,0,ROUNDUP(AP1285/BY1285,0))</f>
        <v>1</v>
      </c>
      <c r="AR1285" s="52" t="n">
        <f aca="false">IF(CQ1285&gt;0,CQ1285*MAX(1,AP1285/X1285),IF(BZ1285=1,IF(AP1285&lt;=0,0,CD1285*MAX(1,IF(H1285&gt;0,AP1285/H1285,1))),IF(R1285&gt;0,AQ1285/R1285,0))/MAX(0.1,N(Parameter!$M$21)))</f>
        <v>0.00961538461538462</v>
      </c>
      <c r="AS1285" s="50" t="n">
        <f aca="false">AR1285*CB1285</f>
        <v>1.49038461538462</v>
      </c>
      <c r="AT1285" s="51" t="n">
        <f aca="false">IF(LEFT(Cockpit!$I$5,1)="A",H1285,IF(CH1285=1,(CK1285+CI1285)/2,IF(LEFT(Cockpit!$I$5,1)="B",(CK1285+AV1285)/2,MAX((CK1285+AV1285)/2,H1285))))</f>
        <v>2.5</v>
      </c>
      <c r="AU1285" s="50" t="n">
        <f aca="false">AT1285*G1285</f>
        <v>286.025</v>
      </c>
      <c r="AV1285" s="50" t="n">
        <f aca="false">ROUNDUP(CK1285+MAX(CL1285,2*(J1285/IF(CG1285&gt;0,CG1285,MAX(0.1,N(Cockpit!$I$6)))-CK1285)),0)</f>
        <v>5</v>
      </c>
      <c r="AW1285" s="51" t="n">
        <f aca="false">IF(AS1285&gt;0,J1285/AS1285,-1)</f>
        <v>3.35483870967742</v>
      </c>
      <c r="AX1285" s="51" t="n">
        <f aca="false">IF(AND(OR(CF1285="L1",CF1285="L23",CF1285="LIFT"),AS1285&gt;0),SUMIFS($AS$7:$AS$1843,$CF$7:$CF$1843,CF1285,$AW$7:$AW$1843,"&gt;"&amp;AW1285)+SUMIFS($AS$7:$AS$1843,$CF$7:$CF$1843,CF1285,$AW$7:$AW$1843,AW1285,$BW$7:$BW$1843,"&lt;="&amp;BW1285),"")</f>
        <v>5620.91529304029</v>
      </c>
      <c r="AY1285" s="58" t="n">
        <f aca="false">IF(AX1285="",0,MAX(0,MIN(1,(IF(CF1285="L1",Parameter!$H$5,IF(CF1285="L23",Parameter!$H$6+Parameter!$H$7,Parameter!$H$5+Parameter!$H$6+Parameter!$H$7))-(AX1285-AS1285))/AS1285)))</f>
        <v>1</v>
      </c>
      <c r="AZ1285" s="50" t="n">
        <f aca="false">IF(LEFT(Cockpit!$O$5,1)="A",H1285,IF(Parameter!$E$30="MAX-Bestand",IF(CH1285=1,CI1285,IF(LEFT(Cockpit!$O$5,1)="B",BF1285,MAX(BF1285,H1285))),ROUNDUP(BD1285,0)))</f>
        <v>3</v>
      </c>
      <c r="BA1285" s="50" t="n">
        <f aca="false">IF(BZ1285=1,0,ROUNDUP(AZ1285/BY1285,0))</f>
        <v>1</v>
      </c>
      <c r="BB1285" s="52" t="n">
        <f aca="false">IF(CQ1285&gt;0,CQ1285*MAX(1,AZ1285/X1285),IF(BZ1285=1,IF(AZ1285&lt;=0,0,CD1285*MAX(1,IF(H1285&gt;0,AZ1285/H1285,1))),IF(R1285&gt;0,BA1285/R1285,0))/MAX(0.1,N(Parameter!$M$21)))</f>
        <v>0.00961538461538462</v>
      </c>
      <c r="BC1285" s="50" t="n">
        <f aca="false">BB1285*CB1285</f>
        <v>1.49038461538462</v>
      </c>
      <c r="BD1285" s="51" t="n">
        <f aca="false">IF(LEFT(Cockpit!$O$5,1)="A",H1285,IF(CH1285=1,(CK1285+CI1285)/2,IF(LEFT(Cockpit!$O$5,1)="B",(CK1285+BF1285)/2,MAX((CK1285+BF1285)/2,H1285))))</f>
        <v>2.5</v>
      </c>
      <c r="BE1285" s="50" t="n">
        <f aca="false">BD1285*G1285</f>
        <v>286.025</v>
      </c>
      <c r="BF1285" s="50" t="n">
        <f aca="false">ROUNDUP(CK1285+MAX(CL1285,2*(J1285/IF(CG1285&gt;0,CG1285,MAX(0.1,N(Cockpit!$O$6)))-CK1285)),0)</f>
        <v>5</v>
      </c>
      <c r="BG1285" s="51" t="n">
        <f aca="false">IF(BC1285&gt;0,J1285/BC1285,-1)</f>
        <v>3.35483870967742</v>
      </c>
      <c r="BH1285" s="51" t="n">
        <f aca="false">IF(AND(OR(CF1285="L1",CF1285="L23",CF1285="LIFT"),BC1285&gt;0),SUMIFS($BC$7:$BC$1843,$CF$7:$CF$1843,CF1285,$BG$7:$BG$1843,"&gt;"&amp;BG1285)+SUMIFS($BC$7:$BC$1843,$CF$7:$CF$1843,CF1285,$BG$7:$BG$1843,BG1285,$BW$7:$BW$1843,"&lt;="&amp;BW1285),"")</f>
        <v>4601.13324175824</v>
      </c>
      <c r="BI1285" s="58" t="n">
        <f aca="false">IF(BH1285="",0,MAX(0,MIN(1,(IF(CF1285="L1",Parameter!$H$5,IF(CF1285="L23",Parameter!$H$6+Parameter!$H$7,Parameter!$H$5+Parameter!$H$6+Parameter!$H$7))-(BH1285-BC1285))/BC1285)))</f>
        <v>1</v>
      </c>
      <c r="BJ1285" s="48" t="str">
        <f aca="false">IF(AI1285&lt;=0,"",IF(CF1285="Aussen","Aussenlager",IF(CF1285="-","Nicht im Lift",IF(AO1285&gt;=1,"Lift",IF(AO1285&lt;=0,"Aussenlager","teilweise")))))</f>
        <v>Lift</v>
      </c>
      <c r="BK1285" s="48" t="str">
        <f aca="false">IF(AS1285&lt;=0,"",IF(CF1285="Aussen","Aussenlager",IF(CF1285="-","Nicht im Lift",IF(AY1285&gt;=1,"Lift",IF(AY1285&lt;=0,"Aussenlager","teilweise")))))</f>
        <v>Lift</v>
      </c>
      <c r="BL1285" s="48" t="str">
        <f aca="false">IF(BC1285&lt;=0,"",IF(CF1285="Aussen","Aussenlager",IF(CF1285="-","Nicht im Lift",IF(BI1285&gt;=1,"Lift",IF(BI1285&lt;=0,"Aussenlager","teilweise")))))</f>
        <v>Lift</v>
      </c>
      <c r="BM1285" s="48" t="str">
        <f aca="false">IF(A1285="","",IF(BV1285=1,"Neu; ","")&amp;IF(AND(BV1285=0,BQ1285&lt;0),"negativer Bestand (Export "&amp;BQ1285&amp;"); ","")&amp;IF(J1285&lt;=0,"Kein Verbrauch; ","")&amp;IF(CQ1285&gt;0,"Lift "&amp;W1285&amp;" lt. Liftbericht (Fach "&amp;X1285&amp;" Stk); ",IF(CA1285=1,"Gebinde geschätzt ("&amp;T1285&amp;"); ",IF(BZ1285=1,"Lose – Tablare geschätzt; ","")))&amp;IF(H1285&gt;AV1285,"Überbestand "&amp;ROUND(H1285-AV1285,0)&amp;" Stk / CHF "&amp;ROUND((H1285-AV1285)*G1285,0)&amp;"; ","")&amp;IF(AND(CH1285=1,CI1285&lt;CJ1285),"MAX &lt; MB+LG; ","")&amp;IF(AND(CP1285&gt;0,CO1285*10&gt;CP1285),"zu hoch für Tablar; ","")&amp;IF(AND(BV1285=0,OR(CH1285=1,AA1285&lt;&gt;"",U1285&lt;&gt;"",V1285&lt;&gt;"",AB1285&lt;&gt;"")),"manuell übersteuert; ","")&amp;IF(AND(BZ1285=0,R1285=0),"Gebinde unbekannt / Stellmass fehlt; ","")&amp;IF(AND(BZ1285=0,N(V1285)&lt;=0,N(Q1285)&lt;=0),"Menge pro Gebinde fehlt (Ist = 1 Gebinde); ","")&amp;BU1285)</f>
        <v>negativer Bestand (Export -10); nicht im KTL vorhanden</v>
      </c>
      <c r="BN1285" s="48"/>
      <c r="BO1285" s="48"/>
      <c r="BP1285" s="55"/>
      <c r="BQ1285" s="50" t="n">
        <v>-10</v>
      </c>
      <c r="BR1285" s="50" t="n">
        <v>12</v>
      </c>
      <c r="BS1285" s="49" t="n">
        <v>-1113.96</v>
      </c>
      <c r="BT1285" s="50" t="n">
        <v>5</v>
      </c>
      <c r="BU1285" s="48" t="s">
        <v>239</v>
      </c>
      <c r="BV1285" s="53" t="n">
        <v>0</v>
      </c>
      <c r="BW1285" s="53" t="n">
        <v>1285</v>
      </c>
      <c r="BX1285" s="48" t="str">
        <f aca="false">IF(U1285&lt;&gt;"",UPPER(TRIM(U1285)),IF(CA1285=1,UPPER(VLOOKUP(T1285,Parameter!$I$27:$K$29,2,0)),IF(P1285="","LOSE",P1285)))</f>
        <v>S32</v>
      </c>
      <c r="BY1285" s="50" t="n">
        <f aca="false">IF(BX1285="LOSE",1,IF(N(V1285)&gt;0,V1285,IF(CA1285=1,MAX(1,N(VLOOKUP(T1285,Parameter!$I$27:$K$29,3,0)),H1285,N(N1285)),IF(N(Q1285)&gt;0,Q1285,MAX(1,H1285)))))</f>
        <v>8</v>
      </c>
      <c r="BZ1285" s="53" t="n">
        <f aca="false">IF(BX1285="LOSE",1,0)</f>
        <v>0</v>
      </c>
      <c r="CA1285" s="53" t="n">
        <f aca="false">IF(AND(U1285="",OR(P1285="",P1285="LOSE"),T1285&lt;&gt;"",N(S1285)&lt;=0,ISNUMBER(MATCH(T1285,Parameter!$I$27:$I$29,0))),1,0)</f>
        <v>0</v>
      </c>
      <c r="CB1285" s="53" t="n">
        <f aca="false">IF(CQ1285&gt;0,INDEX(Parameter!$H$5:$H$7,W1285)/INDEX(Parameter!$E$5:$E$7,W1285),IF(AND(BZ1285=0,N(IFERROR(VLOOKUP(BX1285,'Gebinde-Kategorie'!$A$5:$N$45,14,0),0))&gt;0),VLOOKUP(BX1285,'Gebinde-Kategorie'!$A$5:$N$45,14,0)*10+Parameter!$M$23,Parameter!$M$24))</f>
        <v>155</v>
      </c>
      <c r="CC1285" s="48" t="str">
        <f aca="false">IF(AND(Parameter!$B$19="Ja",E1285&lt;&gt;"",ISNUMBER(MATCH(E1285,Parameter!$I$35:$I$52,0))),VLOOKUP(E1285,Parameter!$I$35:$J$52,2,0),IFERROR(VLOOKUP(D1285,Parameter!$A$35:$C$64,2,0),"Nein"))</f>
        <v>2+3</v>
      </c>
      <c r="CD1285" s="52" t="n">
        <f aca="false">IF(BZ1285=0,0,IF(N(S1285)&gt;0,S1285,IFERROR(VLOOKUP(D1285,Parameter!$A$35:$C$64,3,0)+0,0)))</f>
        <v>0</v>
      </c>
      <c r="CE1285" s="48" t="n">
        <f aca="false">IF(AA1285&lt;&gt;"",AA1285,Z1285)</f>
        <v>3</v>
      </c>
      <c r="CF1285" s="48" t="str">
        <f aca="false">IF(OR(CE1285=1,CE1285=2,CE1285=3),IF(Parameter!$E$27="Ja","LIFT",IF(CE1285=1,"L1","L23")),IF(CE1285="Aussen","Aussen","-"))</f>
        <v>LIFT</v>
      </c>
      <c r="CG1285" s="59" t="n">
        <f aca="false">IF(N(AB1285)&gt;0,AB1285,0)</f>
        <v>0</v>
      </c>
      <c r="CH1285" s="53" t="n">
        <f aca="false">IF(ISNUMBER(AE1285),1,0)</f>
        <v>0</v>
      </c>
      <c r="CI1285" s="50" t="n">
        <f aca="false">N(AE1285)</f>
        <v>0</v>
      </c>
      <c r="CJ1285" s="50" t="n">
        <f aca="false">N(M1285)+N(N1285)</f>
        <v>5</v>
      </c>
      <c r="CK1285" s="50" t="n">
        <f aca="false">N(M1285)</f>
        <v>0</v>
      </c>
      <c r="CL1285" s="50" t="n">
        <f aca="false">N(N1285)</f>
        <v>5</v>
      </c>
      <c r="CM1285" s="50" t="n">
        <f aca="false">ROUNDUP(H1285/BY1285,0)</f>
        <v>1</v>
      </c>
      <c r="CN1285" s="50" t="n">
        <f aca="false">ROUNDUP(CI1285/BY1285,0)</f>
        <v>0</v>
      </c>
      <c r="CO1285" s="53" t="n">
        <f aca="false">IF(BZ1285=1,0,IFERROR(VLOOKUP(BX1285,'Gebinde-Kategorie'!$A$5:$N$45,5,0)+0,0))</f>
        <v>8</v>
      </c>
      <c r="CP1285" s="53" t="n">
        <f aca="false">IFERROR(IF(OR(CE1285=1,CE1285=2,CE1285=3),N(INDEX(Parameter!$I$5:$I$7,CE1285)),0),0)</f>
        <v>0</v>
      </c>
      <c r="CQ1285" s="52" t="n">
        <f aca="false">IF(AND(Parameter!$B$21="Ja",ISNUMBER(W1285),N(X1285)&gt;0),IFERROR(N(INDEX(Parameter!$L$5:$L$7,W1285))*INDEX(Parameter!$E$5:$E$7,W1285)*X1285/SUMIFS($X$7:$X$1843,$W$7:$W$1843,W1285),0),0)</f>
        <v>0</v>
      </c>
    </row>
    <row r="1286" customFormat="false" ht="15" hidden="false" customHeight="false" outlineLevel="0" collapsed="false">
      <c r="A1286" s="48" t="s">
        <v>2303</v>
      </c>
      <c r="B1286" s="48" t="s">
        <v>2228</v>
      </c>
      <c r="C1286" s="48" t="s">
        <v>173</v>
      </c>
      <c r="D1286" s="48" t="s">
        <v>182</v>
      </c>
      <c r="E1286" s="48"/>
      <c r="F1286" s="48" t="s">
        <v>227</v>
      </c>
      <c r="G1286" s="49" t="n">
        <v>279.59</v>
      </c>
      <c r="H1286" s="50" t="n">
        <f aca="false">MAX(0,IF(AND(Parameter!$B$21="Ja",ISNUMBER(Y1286)),Y1286,IF(Parameter!$B$20="Jahresanfang 2025 + Export",BR1286+BQ1286,BQ1286)))</f>
        <v>108</v>
      </c>
      <c r="I1286" s="50" t="n">
        <f aca="false">H1286*G1286</f>
        <v>30195.72</v>
      </c>
      <c r="J1286" s="50" t="n">
        <f aca="false">BT1286*Parameter!$B$18</f>
        <v>2</v>
      </c>
      <c r="K1286" s="51" t="n">
        <v>111</v>
      </c>
      <c r="L1286" s="52" t="n">
        <v>0.018018018018018</v>
      </c>
      <c r="M1286" s="50" t="n">
        <v>0</v>
      </c>
      <c r="N1286" s="50" t="n">
        <v>1</v>
      </c>
      <c r="O1286" s="53" t="n">
        <v>28</v>
      </c>
      <c r="P1286" s="48" t="s">
        <v>177</v>
      </c>
      <c r="Q1286" s="50"/>
      <c r="R1286" s="53" t="n">
        <f aca="false">IF(BZ1286=1,0,IFERROR(VLOOKUP(BX1286,'Gebinde-Kategorie'!$A$5:$N$45,13,0)+0,0))</f>
        <v>12</v>
      </c>
      <c r="S1286" s="54"/>
      <c r="T1286" s="55" t="s">
        <v>188</v>
      </c>
      <c r="U1286" s="55"/>
      <c r="V1286" s="55"/>
      <c r="W1286" s="48"/>
      <c r="X1286" s="50"/>
      <c r="Y1286" s="50"/>
      <c r="Z1286" s="48" t="n">
        <f aca="false">IF(A1286="","",IF(AND(Parameter!$B$21="Ja",ISNUMBER(W1286)),W1286,IF(CC1286="2+3",IF(ISNUMBER(SEARCH("grosser Artikel",BU1286)),2,IFERROR(VLOOKUP(BX1286,Parameter!$F$35:$G$64,2,0),2)),IF(OR(CC1286="Nein",CC1286=""),"-",CC1286))))</f>
        <v>2</v>
      </c>
      <c r="AA1286" s="55"/>
      <c r="AB1286" s="56"/>
      <c r="AC1286" s="50" t="n">
        <f aca="false">AV1286</f>
        <v>2</v>
      </c>
      <c r="AD1286" s="50" t="n">
        <f aca="false">MAX(AV1286,H1286)</f>
        <v>108</v>
      </c>
      <c r="AE1286" s="57"/>
      <c r="AF1286" s="50" t="n">
        <f aca="false">IF(LEFT(Cockpit!$C$5,1)="A",H1286,IF(Parameter!$E$30="MAX-Bestand",IF(CH1286=1,CI1286,IF(LEFT(Cockpit!$C$5,1)="B",AL1286,MAX(AL1286,H1286))),ROUNDUP(AJ1286,0)))</f>
        <v>108</v>
      </c>
      <c r="AG1286" s="50" t="n">
        <f aca="false">IF(BZ1286=1,0,ROUNDUP(AF1286/BY1286,0))</f>
        <v>1</v>
      </c>
      <c r="AH1286" s="52" t="n">
        <f aca="false">IF(CQ1286&gt;0,CQ1286*MAX(1,AF1286/X1286),IF(BZ1286=1,IF(AF1286&lt;=0,0,CD1286*MAX(1,IF(H1286&gt;0,AF1286/H1286,1))),IF(R1286&gt;0,AG1286/R1286,0))/MAX(0.1,N(Parameter!$M$21)))</f>
        <v>0.0833333333333333</v>
      </c>
      <c r="AI1286" s="50" t="n">
        <f aca="false">AH1286*CB1286</f>
        <v>12.0833333333333</v>
      </c>
      <c r="AJ1286" s="51" t="n">
        <f aca="false">IF(LEFT(Cockpit!$C$5,1)="A",H1286,IF(CH1286=1,(CK1286+CI1286)/2,IF(LEFT(Cockpit!$C$5,1)="B",(CK1286+AL1286)/2,MAX((CK1286+AL1286)/2,H1286))))</f>
        <v>108</v>
      </c>
      <c r="AK1286" s="50" t="n">
        <f aca="false">AJ1286*G1286</f>
        <v>30195.72</v>
      </c>
      <c r="AL1286" s="50" t="n">
        <f aca="false">ROUNDUP(CK1286+MAX(CL1286,2*(J1286/IF(CG1286&gt;0,CG1286,MAX(0.1,N(Cockpit!$C$6)))-CK1286)),0)</f>
        <v>2</v>
      </c>
      <c r="AM1286" s="51" t="n">
        <f aca="false">IF(AI1286&gt;0,J1286/AI1286,-1)</f>
        <v>0.16551724137931</v>
      </c>
      <c r="AN1286" s="51" t="n">
        <f aca="false">IF(AND(OR(CF1286="L1",CF1286="L23",CF1286="LIFT"),AI1286&gt;0),SUMIFS($AI$7:$AI$1843,$CF$7:$CF$1843,CF1286,$AM$7:$AM$1843,"&gt;"&amp;AM1286)+SUMIFS($AI$7:$AI$1843,$CF$7:$CF$1843,CF1286,$AM$7:$AM$1843,AM1286,$BW$7:$BW$1843,"&lt;="&amp;BW1286),"")</f>
        <v>12853.7401311024</v>
      </c>
      <c r="AO1286" s="58" t="n">
        <f aca="false">IF(AN1286="",0,MAX(0,MIN(1,(IF(CF1286="L1",Parameter!$H$5,IF(CF1286="L23",Parameter!$H$6+Parameter!$H$7,Parameter!$H$5+Parameter!$H$6+Parameter!$H$7))-(AN1286-AI1286))/AI1286)))</f>
        <v>1</v>
      </c>
      <c r="AP1286" s="50" t="n">
        <f aca="false">IF(LEFT(Cockpit!$I$5,1)="A",H1286,IF(Parameter!$E$30="MAX-Bestand",IF(CH1286=1,CI1286,IF(LEFT(Cockpit!$I$5,1)="B",AV1286,MAX(AV1286,H1286))),ROUNDUP(AT1286,0)))</f>
        <v>108</v>
      </c>
      <c r="AQ1286" s="50" t="n">
        <f aca="false">IF(BZ1286=1,0,ROUNDUP(AP1286/BY1286,0))</f>
        <v>1</v>
      </c>
      <c r="AR1286" s="52" t="n">
        <f aca="false">IF(CQ1286&gt;0,CQ1286*MAX(1,AP1286/X1286),IF(BZ1286=1,IF(AP1286&lt;=0,0,CD1286*MAX(1,IF(H1286&gt;0,AP1286/H1286,1))),IF(R1286&gt;0,AQ1286/R1286,0))/MAX(0.1,N(Parameter!$M$21)))</f>
        <v>0.0833333333333333</v>
      </c>
      <c r="AS1286" s="50" t="n">
        <f aca="false">AR1286*CB1286</f>
        <v>12.0833333333333</v>
      </c>
      <c r="AT1286" s="51" t="n">
        <f aca="false">IF(LEFT(Cockpit!$I$5,1)="A",H1286,IF(CH1286=1,(CK1286+CI1286)/2,IF(LEFT(Cockpit!$I$5,1)="B",(CK1286+AV1286)/2,MAX((CK1286+AV1286)/2,H1286))))</f>
        <v>108</v>
      </c>
      <c r="AU1286" s="50" t="n">
        <f aca="false">AT1286*G1286</f>
        <v>30195.72</v>
      </c>
      <c r="AV1286" s="50" t="n">
        <f aca="false">ROUNDUP(CK1286+MAX(CL1286,2*(J1286/IF(CG1286&gt;0,CG1286,MAX(0.1,N(Cockpit!$I$6)))-CK1286)),0)</f>
        <v>2</v>
      </c>
      <c r="AW1286" s="51" t="n">
        <f aca="false">IF(AS1286&gt;0,J1286/AS1286,-1)</f>
        <v>0.16551724137931</v>
      </c>
      <c r="AX1286" s="51" t="n">
        <f aca="false">IF(AND(OR(CF1286="L1",CF1286="L23",CF1286="LIFT"),AS1286&gt;0),SUMIFS($AS$7:$AS$1843,$CF$7:$CF$1843,CF1286,$AW$7:$AW$1843,"&gt;"&amp;AW1286)+SUMIFS($AS$7:$AS$1843,$CF$7:$CF$1843,CF1286,$AW$7:$AW$1843,AW1286,$BW$7:$BW$1843,"&lt;="&amp;BW1286),"")</f>
        <v>15806.5874542125</v>
      </c>
      <c r="AY1286" s="58" t="n">
        <f aca="false">IF(AX1286="",0,MAX(0,MIN(1,(IF(CF1286="L1",Parameter!$H$5,IF(CF1286="L23",Parameter!$H$6+Parameter!$H$7,Parameter!$H$5+Parameter!$H$6+Parameter!$H$7))-(AX1286-AS1286))/AS1286)))</f>
        <v>1</v>
      </c>
      <c r="AZ1286" s="50" t="n">
        <f aca="false">IF(LEFT(Cockpit!$O$5,1)="A",H1286,IF(Parameter!$E$30="MAX-Bestand",IF(CH1286=1,CI1286,IF(LEFT(Cockpit!$O$5,1)="B",BF1286,MAX(BF1286,H1286))),ROUNDUP(BD1286,0)))</f>
        <v>1</v>
      </c>
      <c r="BA1286" s="50" t="n">
        <f aca="false">IF(BZ1286=1,0,ROUNDUP(AZ1286/BY1286,0))</f>
        <v>1</v>
      </c>
      <c r="BB1286" s="52" t="n">
        <f aca="false">IF(CQ1286&gt;0,CQ1286*MAX(1,AZ1286/X1286),IF(BZ1286=1,IF(AZ1286&lt;=0,0,CD1286*MAX(1,IF(H1286&gt;0,AZ1286/H1286,1))),IF(R1286&gt;0,BA1286/R1286,0))/MAX(0.1,N(Parameter!$M$21)))</f>
        <v>0.0833333333333333</v>
      </c>
      <c r="BC1286" s="50" t="n">
        <f aca="false">BB1286*CB1286</f>
        <v>12.0833333333333</v>
      </c>
      <c r="BD1286" s="51" t="n">
        <f aca="false">IF(LEFT(Cockpit!$O$5,1)="A",H1286,IF(CH1286=1,(CK1286+CI1286)/2,IF(LEFT(Cockpit!$O$5,1)="B",(CK1286+BF1286)/2,MAX((CK1286+BF1286)/2,H1286))))</f>
        <v>0.5</v>
      </c>
      <c r="BE1286" s="50" t="n">
        <f aca="false">BD1286*G1286</f>
        <v>139.795</v>
      </c>
      <c r="BF1286" s="50" t="n">
        <f aca="false">ROUNDUP(CK1286+MAX(CL1286,2*(J1286/IF(CG1286&gt;0,CG1286,MAX(0.1,N(Cockpit!$O$6)))-CK1286)),0)</f>
        <v>1</v>
      </c>
      <c r="BG1286" s="51" t="n">
        <f aca="false">IF(BC1286&gt;0,J1286/BC1286,-1)</f>
        <v>0.16551724137931</v>
      </c>
      <c r="BH1286" s="51" t="n">
        <f aca="false">IF(AND(OR(CF1286="L1",CF1286="L23",CF1286="LIFT"),BC1286&gt;0),SUMIFS($BC$7:$BC$1843,$CF$7:$CF$1843,CF1286,$BG$7:$BG$1843,"&gt;"&amp;BG1286)+SUMIFS($BC$7:$BC$1843,$CF$7:$CF$1843,CF1286,$BG$7:$BG$1843,BG1286,$BW$7:$BW$1843,"&lt;="&amp;BW1286),"")</f>
        <v>13633.0539491112</v>
      </c>
      <c r="BI1286" s="58" t="n">
        <f aca="false">IF(BH1286="",0,MAX(0,MIN(1,(IF(CF1286="L1",Parameter!$H$5,IF(CF1286="L23",Parameter!$H$6+Parameter!$H$7,Parameter!$H$5+Parameter!$H$6+Parameter!$H$7))-(BH1286-BC1286))/BC1286)))</f>
        <v>1</v>
      </c>
      <c r="BJ1286" s="48" t="str">
        <f aca="false">IF(AI1286&lt;=0,"",IF(CF1286="Aussen","Aussenlager",IF(CF1286="-","Nicht im Lift",IF(AO1286&gt;=1,"Lift",IF(AO1286&lt;=0,"Aussenlager","teilweise")))))</f>
        <v>Lift</v>
      </c>
      <c r="BK1286" s="48" t="str">
        <f aca="false">IF(AS1286&lt;=0,"",IF(CF1286="Aussen","Aussenlager",IF(CF1286="-","Nicht im Lift",IF(AY1286&gt;=1,"Lift",IF(AY1286&lt;=0,"Aussenlager","teilweise")))))</f>
        <v>Lift</v>
      </c>
      <c r="BL1286" s="48" t="str">
        <f aca="false">IF(BC1286&lt;=0,"",IF(CF1286="Aussen","Aussenlager",IF(CF1286="-","Nicht im Lift",IF(BI1286&gt;=1,"Lift",IF(BI1286&lt;=0,"Aussenlager","teilweise")))))</f>
        <v>Lift</v>
      </c>
      <c r="BM1286" s="48" t="str">
        <f aca="false">IF(A1286="","",IF(BV1286=1,"Neu; ","")&amp;IF(AND(BV1286=0,BQ1286&lt;0),"negativer Bestand (Export "&amp;BQ1286&amp;"); ","")&amp;IF(J1286&lt;=0,"Kein Verbrauch; ","")&amp;IF(CQ1286&gt;0,"Lift "&amp;W1286&amp;" lt. Liftbericht (Fach "&amp;X1286&amp;" Stk); ",IF(CA1286=1,"Gebinde geschätzt ("&amp;T1286&amp;"); ",IF(BZ1286=1,"Lose – Tablare geschätzt; ","")))&amp;IF(H1286&gt;AV1286,"Überbestand "&amp;ROUND(H1286-AV1286,0)&amp;" Stk / CHF "&amp;ROUND((H1286-AV1286)*G1286,0)&amp;"; ","")&amp;IF(AND(CH1286=1,CI1286&lt;CJ1286),"MAX &lt; MB+LG; ","")&amp;IF(AND(CP1286&gt;0,CO1286*10&gt;CP1286),"zu hoch für Tablar; ","")&amp;IF(AND(BV1286=0,OR(CH1286=1,AA1286&lt;&gt;"",U1286&lt;&gt;"",V1286&lt;&gt;"",AB1286&lt;&gt;"")),"manuell übersteuert; ","")&amp;IF(AND(BZ1286=0,R1286=0),"Gebinde unbekannt / Stellmass fehlt; ","")&amp;IF(AND(BZ1286=0,N(V1286)&lt;=0,N(Q1286)&lt;=0),"Menge pro Gebinde fehlt (Ist = 1 Gebinde); ","")&amp;BU1286)</f>
        <v>negativer Bestand (Export -4); Gebinde geschätzt (Mittel); Überbestand 106 Stk / CHF 29637; Menge pro Gebinde fehlt (Ist = 1 Gebinde); </v>
      </c>
      <c r="BN1286" s="48"/>
      <c r="BO1286" s="48"/>
      <c r="BP1286" s="55"/>
      <c r="BQ1286" s="50" t="n">
        <v>-4</v>
      </c>
      <c r="BR1286" s="50" t="n">
        <v>112</v>
      </c>
      <c r="BS1286" s="49" t="n">
        <v>-1118.36</v>
      </c>
      <c r="BT1286" s="50" t="n">
        <v>2</v>
      </c>
      <c r="BU1286" s="48"/>
      <c r="BV1286" s="53" t="n">
        <v>0</v>
      </c>
      <c r="BW1286" s="53" t="n">
        <v>1286</v>
      </c>
      <c r="BX1286" s="48" t="str">
        <f aca="false">IF(U1286&lt;&gt;"",UPPER(TRIM(U1286)),IF(CA1286=1,UPPER(VLOOKUP(T1286,Parameter!$I$27:$K$29,2,0)),IF(P1286="","LOSE",P1286)))</f>
        <v>S61</v>
      </c>
      <c r="BY1286" s="50" t="n">
        <f aca="false">IF(BX1286="LOSE",1,IF(N(V1286)&gt;0,V1286,IF(CA1286=1,MAX(1,N(VLOOKUP(T1286,Parameter!$I$27:$K$29,3,0)),H1286,N(N1286)),IF(N(Q1286)&gt;0,Q1286,MAX(1,H1286)))))</f>
        <v>108</v>
      </c>
      <c r="BZ1286" s="53" t="n">
        <f aca="false">IF(BX1286="LOSE",1,0)</f>
        <v>0</v>
      </c>
      <c r="CA1286" s="53" t="n">
        <f aca="false">IF(AND(U1286="",OR(P1286="",P1286="LOSE"),T1286&lt;&gt;"",N(S1286)&lt;=0,ISNUMBER(MATCH(T1286,Parameter!$I$27:$I$29,0))),1,0)</f>
        <v>1</v>
      </c>
      <c r="CB1286" s="53" t="n">
        <f aca="false">IF(CQ1286&gt;0,INDEX(Parameter!$H$5:$H$7,W1286)/INDEX(Parameter!$E$5:$E$7,W1286),IF(AND(BZ1286=0,N(IFERROR(VLOOKUP(BX1286,'Gebinde-Kategorie'!$A$5:$N$45,14,0),0))&gt;0),VLOOKUP(BX1286,'Gebinde-Kategorie'!$A$5:$N$45,14,0)*10+Parameter!$M$23,Parameter!$M$24))</f>
        <v>145</v>
      </c>
      <c r="CC1286" s="48" t="str">
        <f aca="false">IF(AND(Parameter!$B$19="Ja",E1286&lt;&gt;"",ISNUMBER(MATCH(E1286,Parameter!$I$35:$I$52,0))),VLOOKUP(E1286,Parameter!$I$35:$J$52,2,0),IFERROR(VLOOKUP(D1286,Parameter!$A$35:$C$64,2,0),"Nein"))</f>
        <v>2+3</v>
      </c>
      <c r="CD1286" s="52" t="n">
        <f aca="false">IF(BZ1286=0,0,IF(N(S1286)&gt;0,S1286,IFERROR(VLOOKUP(D1286,Parameter!$A$35:$C$64,3,0)+0,0)))</f>
        <v>0</v>
      </c>
      <c r="CE1286" s="48" t="n">
        <f aca="false">IF(AA1286&lt;&gt;"",AA1286,Z1286)</f>
        <v>2</v>
      </c>
      <c r="CF1286" s="48" t="str">
        <f aca="false">IF(OR(CE1286=1,CE1286=2,CE1286=3),IF(Parameter!$E$27="Ja","LIFT",IF(CE1286=1,"L1","L23")),IF(CE1286="Aussen","Aussen","-"))</f>
        <v>LIFT</v>
      </c>
      <c r="CG1286" s="59" t="n">
        <f aca="false">IF(N(AB1286)&gt;0,AB1286,0)</f>
        <v>0</v>
      </c>
      <c r="CH1286" s="53" t="n">
        <f aca="false">IF(ISNUMBER(AE1286),1,0)</f>
        <v>0</v>
      </c>
      <c r="CI1286" s="50" t="n">
        <f aca="false">N(AE1286)</f>
        <v>0</v>
      </c>
      <c r="CJ1286" s="50" t="n">
        <f aca="false">N(M1286)+N(N1286)</f>
        <v>1</v>
      </c>
      <c r="CK1286" s="50" t="n">
        <f aca="false">N(M1286)</f>
        <v>0</v>
      </c>
      <c r="CL1286" s="50" t="n">
        <f aca="false">N(N1286)</f>
        <v>1</v>
      </c>
      <c r="CM1286" s="50" t="n">
        <f aca="false">ROUNDUP(H1286/BY1286,0)</f>
        <v>1</v>
      </c>
      <c r="CN1286" s="50" t="n">
        <f aca="false">ROUNDUP(CI1286/BY1286,0)</f>
        <v>0</v>
      </c>
      <c r="CO1286" s="53" t="n">
        <f aca="false">IF(BZ1286=1,0,IFERROR(VLOOKUP(BX1286,'Gebinde-Kategorie'!$A$5:$N$45,5,0)+0,0))</f>
        <v>11</v>
      </c>
      <c r="CP1286" s="53" t="n">
        <f aca="false">IFERROR(IF(OR(CE1286=1,CE1286=2,CE1286=3),N(INDEX(Parameter!$I$5:$I$7,CE1286)),0),0)</f>
        <v>0</v>
      </c>
      <c r="CQ1286" s="52" t="n">
        <f aca="false">IF(AND(Parameter!$B$21="Ja",ISNUMBER(W1286),N(X1286)&gt;0),IFERROR(N(INDEX(Parameter!$L$5:$L$7,W1286))*INDEX(Parameter!$E$5:$E$7,W1286)*X1286/SUMIFS($X$7:$X$1843,$W$7:$W$1843,W1286),0),0)</f>
        <v>0</v>
      </c>
    </row>
    <row r="1287" customFormat="false" ht="15" hidden="false" customHeight="false" outlineLevel="0" collapsed="false">
      <c r="A1287" s="48" t="s">
        <v>2304</v>
      </c>
      <c r="B1287" s="48" t="s">
        <v>2305</v>
      </c>
      <c r="C1287" s="48" t="s">
        <v>173</v>
      </c>
      <c r="D1287" s="48" t="s">
        <v>193</v>
      </c>
      <c r="E1287" s="48" t="s">
        <v>194</v>
      </c>
      <c r="F1287" s="48" t="s">
        <v>227</v>
      </c>
      <c r="G1287" s="49" t="n">
        <v>112.45</v>
      </c>
      <c r="H1287" s="50" t="n">
        <f aca="false">MAX(0,IF(AND(Parameter!$B$21="Ja",ISNUMBER(Y1287)),Y1287,IF(Parameter!$B$20="Jahresanfang 2025 + Export",BR1287+BQ1287,BQ1287)))</f>
        <v>4</v>
      </c>
      <c r="I1287" s="50" t="n">
        <f aca="false">H1287*G1287</f>
        <v>449.8</v>
      </c>
      <c r="J1287" s="50" t="n">
        <f aca="false">BT1287*Parameter!$B$18</f>
        <v>2</v>
      </c>
      <c r="K1287" s="51" t="n">
        <v>13</v>
      </c>
      <c r="L1287" s="52" t="n">
        <v>0.153846153846154</v>
      </c>
      <c r="M1287" s="50" t="n">
        <v>0</v>
      </c>
      <c r="N1287" s="50" t="n">
        <v>1</v>
      </c>
      <c r="O1287" s="53" t="n">
        <v>56</v>
      </c>
      <c r="P1287" s="48" t="s">
        <v>430</v>
      </c>
      <c r="Q1287" s="50" t="n">
        <v>6</v>
      </c>
      <c r="R1287" s="53" t="n">
        <f aca="false">IF(BZ1287=1,0,IFERROR(VLOOKUP(BX1287,'Gebinde-Kategorie'!$A$5:$N$45,13,0)+0,0))</f>
        <v>104</v>
      </c>
      <c r="S1287" s="54"/>
      <c r="T1287" s="55"/>
      <c r="U1287" s="55"/>
      <c r="V1287" s="55"/>
      <c r="W1287" s="48"/>
      <c r="X1287" s="50"/>
      <c r="Y1287" s="50"/>
      <c r="Z1287" s="48" t="n">
        <f aca="false">IF(A1287="","",IF(AND(Parameter!$B$21="Ja",ISNUMBER(W1287)),W1287,IF(CC1287="2+3",IF(ISNUMBER(SEARCH("grosser Artikel",BU1287)),2,IFERROR(VLOOKUP(BX1287,Parameter!$F$35:$G$64,2,0),2)),IF(OR(CC1287="Nein",CC1287=""),"-",CC1287))))</f>
        <v>3</v>
      </c>
      <c r="AA1287" s="55"/>
      <c r="AB1287" s="56"/>
      <c r="AC1287" s="50" t="n">
        <f aca="false">AV1287</f>
        <v>2</v>
      </c>
      <c r="AD1287" s="50" t="n">
        <f aca="false">MAX(AV1287,H1287)</f>
        <v>4</v>
      </c>
      <c r="AE1287" s="57"/>
      <c r="AF1287" s="50" t="n">
        <f aca="false">IF(LEFT(Cockpit!$C$5,1)="A",H1287,IF(Parameter!$E$30="MAX-Bestand",IF(CH1287=1,CI1287,IF(LEFT(Cockpit!$C$5,1)="B",AL1287,MAX(AL1287,H1287))),ROUNDUP(AJ1287,0)))</f>
        <v>4</v>
      </c>
      <c r="AG1287" s="50" t="n">
        <f aca="false">IF(BZ1287=1,0,ROUNDUP(AF1287/BY1287,0))</f>
        <v>1</v>
      </c>
      <c r="AH1287" s="52" t="n">
        <f aca="false">IF(CQ1287&gt;0,CQ1287*MAX(1,AF1287/X1287),IF(BZ1287=1,IF(AF1287&lt;=0,0,CD1287*MAX(1,IF(H1287&gt;0,AF1287/H1287,1))),IF(R1287&gt;0,AG1287/R1287,0))/MAX(0.1,N(Parameter!$M$21)))</f>
        <v>0.00961538461538462</v>
      </c>
      <c r="AI1287" s="50" t="n">
        <f aca="false">AH1287*CB1287</f>
        <v>1.49038461538462</v>
      </c>
      <c r="AJ1287" s="51" t="n">
        <f aca="false">IF(LEFT(Cockpit!$C$5,1)="A",H1287,IF(CH1287=1,(CK1287+CI1287)/2,IF(LEFT(Cockpit!$C$5,1)="B",(CK1287+AL1287)/2,MAX((CK1287+AL1287)/2,H1287))))</f>
        <v>4</v>
      </c>
      <c r="AK1287" s="50" t="n">
        <f aca="false">AJ1287*G1287</f>
        <v>449.8</v>
      </c>
      <c r="AL1287" s="50" t="n">
        <f aca="false">ROUNDUP(CK1287+MAX(CL1287,2*(J1287/IF(CG1287&gt;0,CG1287,MAX(0.1,N(Cockpit!$C$6)))-CK1287)),0)</f>
        <v>2</v>
      </c>
      <c r="AM1287" s="51" t="n">
        <f aca="false">IF(AI1287&gt;0,J1287/AI1287,-1)</f>
        <v>1.34193548387097</v>
      </c>
      <c r="AN1287" s="51" t="n">
        <f aca="false">IF(AND(OR(CF1287="L1",CF1287="L23",CF1287="LIFT"),AI1287&gt;0),SUMIFS($AI$7:$AI$1843,$CF$7:$CF$1843,CF1287,$AM$7:$AM$1843,"&gt;"&amp;AM1287)+SUMIFS($AI$7:$AI$1843,$CF$7:$CF$1843,CF1287,$AM$7:$AM$1843,AM1287,$BW$7:$BW$1843,"&lt;="&amp;BW1287),"")</f>
        <v>6363.93635531136</v>
      </c>
      <c r="AO1287" s="58" t="n">
        <f aca="false">IF(AN1287="",0,MAX(0,MIN(1,(IF(CF1287="L1",Parameter!$H$5,IF(CF1287="L23",Parameter!$H$6+Parameter!$H$7,Parameter!$H$5+Parameter!$H$6+Parameter!$H$7))-(AN1287-AI1287))/AI1287)))</f>
        <v>1</v>
      </c>
      <c r="AP1287" s="50" t="n">
        <f aca="false">IF(LEFT(Cockpit!$I$5,1)="A",H1287,IF(Parameter!$E$30="MAX-Bestand",IF(CH1287=1,CI1287,IF(LEFT(Cockpit!$I$5,1)="B",AV1287,MAX(AV1287,H1287))),ROUNDUP(AT1287,0)))</f>
        <v>4</v>
      </c>
      <c r="AQ1287" s="50" t="n">
        <f aca="false">IF(BZ1287=1,0,ROUNDUP(AP1287/BY1287,0))</f>
        <v>1</v>
      </c>
      <c r="AR1287" s="52" t="n">
        <f aca="false">IF(CQ1287&gt;0,CQ1287*MAX(1,AP1287/X1287),IF(BZ1287=1,IF(AP1287&lt;=0,0,CD1287*MAX(1,IF(H1287&gt;0,AP1287/H1287,1))),IF(R1287&gt;0,AQ1287/R1287,0))/MAX(0.1,N(Parameter!$M$21)))</f>
        <v>0.00961538461538462</v>
      </c>
      <c r="AS1287" s="50" t="n">
        <f aca="false">AR1287*CB1287</f>
        <v>1.49038461538462</v>
      </c>
      <c r="AT1287" s="51" t="n">
        <f aca="false">IF(LEFT(Cockpit!$I$5,1)="A",H1287,IF(CH1287=1,(CK1287+CI1287)/2,IF(LEFT(Cockpit!$I$5,1)="B",(CK1287+AV1287)/2,MAX((CK1287+AV1287)/2,H1287))))</f>
        <v>4</v>
      </c>
      <c r="AU1287" s="50" t="n">
        <f aca="false">AT1287*G1287</f>
        <v>449.8</v>
      </c>
      <c r="AV1287" s="50" t="n">
        <f aca="false">ROUNDUP(CK1287+MAX(CL1287,2*(J1287/IF(CG1287&gt;0,CG1287,MAX(0.1,N(Cockpit!$I$6)))-CK1287)),0)</f>
        <v>2</v>
      </c>
      <c r="AW1287" s="51" t="n">
        <f aca="false">IF(AS1287&gt;0,J1287/AS1287,-1)</f>
        <v>1.34193548387097</v>
      </c>
      <c r="AX1287" s="51" t="n">
        <f aca="false">IF(AND(OR(CF1287="L1",CF1287="L23",CF1287="LIFT"),AS1287&gt;0),SUMIFS($AS$7:$AS$1843,$CF$7:$CF$1843,CF1287,$AW$7:$AW$1843,"&gt;"&amp;AW1287)+SUMIFS($AS$7:$AS$1843,$CF$7:$CF$1843,CF1287,$AW$7:$AW$1843,AW1287,$BW$7:$BW$1843,"&lt;="&amp;BW1287),"")</f>
        <v>7891.10073260073</v>
      </c>
      <c r="AY1287" s="58" t="n">
        <f aca="false">IF(AX1287="",0,MAX(0,MIN(1,(IF(CF1287="L1",Parameter!$H$5,IF(CF1287="L23",Parameter!$H$6+Parameter!$H$7,Parameter!$H$5+Parameter!$H$6+Parameter!$H$7))-(AX1287-AS1287))/AS1287)))</f>
        <v>1</v>
      </c>
      <c r="AZ1287" s="50" t="n">
        <f aca="false">IF(LEFT(Cockpit!$O$5,1)="A",H1287,IF(Parameter!$E$30="MAX-Bestand",IF(CH1287=1,CI1287,IF(LEFT(Cockpit!$O$5,1)="B",BF1287,MAX(BF1287,H1287))),ROUNDUP(BD1287,0)))</f>
        <v>1</v>
      </c>
      <c r="BA1287" s="50" t="n">
        <f aca="false">IF(BZ1287=1,0,ROUNDUP(AZ1287/BY1287,0))</f>
        <v>1</v>
      </c>
      <c r="BB1287" s="52" t="n">
        <f aca="false">IF(CQ1287&gt;0,CQ1287*MAX(1,AZ1287/X1287),IF(BZ1287=1,IF(AZ1287&lt;=0,0,CD1287*MAX(1,IF(H1287&gt;0,AZ1287/H1287,1))),IF(R1287&gt;0,BA1287/R1287,0))/MAX(0.1,N(Parameter!$M$21)))</f>
        <v>0.00961538461538462</v>
      </c>
      <c r="BC1287" s="50" t="n">
        <f aca="false">BB1287*CB1287</f>
        <v>1.49038461538462</v>
      </c>
      <c r="BD1287" s="51" t="n">
        <f aca="false">IF(LEFT(Cockpit!$O$5,1)="A",H1287,IF(CH1287=1,(CK1287+CI1287)/2,IF(LEFT(Cockpit!$O$5,1)="B",(CK1287+BF1287)/2,MAX((CK1287+BF1287)/2,H1287))))</f>
        <v>0.5</v>
      </c>
      <c r="BE1287" s="50" t="n">
        <f aca="false">BD1287*G1287</f>
        <v>56.225</v>
      </c>
      <c r="BF1287" s="50" t="n">
        <f aca="false">ROUNDUP(CK1287+MAX(CL1287,2*(J1287/IF(CG1287&gt;0,CG1287,MAX(0.1,N(Cockpit!$O$6)))-CK1287)),0)</f>
        <v>1</v>
      </c>
      <c r="BG1287" s="51" t="n">
        <f aca="false">IF(BC1287&gt;0,J1287/BC1287,-1)</f>
        <v>1.34193548387097</v>
      </c>
      <c r="BH1287" s="51" t="n">
        <f aca="false">IF(AND(OR(CF1287="L1",CF1287="L23",CF1287="LIFT"),BC1287&gt;0),SUMIFS($BC$7:$BC$1843,$CF$7:$CF$1843,CF1287,$BG$7:$BG$1843,"&gt;"&amp;BG1287)+SUMIFS($BC$7:$BC$1843,$CF$7:$CF$1843,CF1287,$BG$7:$BG$1843,BG1287,$BW$7:$BW$1843,"&lt;="&amp;BW1287),"")</f>
        <v>6828.31639194139</v>
      </c>
      <c r="BI1287" s="58" t="n">
        <f aca="false">IF(BH1287="",0,MAX(0,MIN(1,(IF(CF1287="L1",Parameter!$H$5,IF(CF1287="L23",Parameter!$H$6+Parameter!$H$7,Parameter!$H$5+Parameter!$H$6+Parameter!$H$7))-(BH1287-BC1287))/BC1287)))</f>
        <v>1</v>
      </c>
      <c r="BJ1287" s="48" t="str">
        <f aca="false">IF(AI1287&lt;=0,"",IF(CF1287="Aussen","Aussenlager",IF(CF1287="-","Nicht im Lift",IF(AO1287&gt;=1,"Lift",IF(AO1287&lt;=0,"Aussenlager","teilweise")))))</f>
        <v>Lift</v>
      </c>
      <c r="BK1287" s="48" t="str">
        <f aca="false">IF(AS1287&lt;=0,"",IF(CF1287="Aussen","Aussenlager",IF(CF1287="-","Nicht im Lift",IF(AY1287&gt;=1,"Lift",IF(AY1287&lt;=0,"Aussenlager","teilweise")))))</f>
        <v>Lift</v>
      </c>
      <c r="BL1287" s="48" t="str">
        <f aca="false">IF(BC1287&lt;=0,"",IF(CF1287="Aussen","Aussenlager",IF(CF1287="-","Nicht im Lift",IF(BI1287&gt;=1,"Lift",IF(BI1287&lt;=0,"Aussenlager","teilweise")))))</f>
        <v>Lift</v>
      </c>
      <c r="BM1287" s="48" t="str">
        <f aca="false">IF(A1287="","",IF(BV1287=1,"Neu; ","")&amp;IF(AND(BV1287=0,BQ1287&lt;0),"negativer Bestand (Export "&amp;BQ1287&amp;"); ","")&amp;IF(J1287&lt;=0,"Kein Verbrauch; ","")&amp;IF(CQ1287&gt;0,"Lift "&amp;W1287&amp;" lt. Liftbericht (Fach "&amp;X1287&amp;" Stk); ",IF(CA1287=1,"Gebinde geschätzt ("&amp;T1287&amp;"); ",IF(BZ1287=1,"Lose – Tablare geschätzt; ","")))&amp;IF(H1287&gt;AV1287,"Überbestand "&amp;ROUND(H1287-AV1287,0)&amp;" Stk / CHF "&amp;ROUND((H1287-AV1287)*G1287,0)&amp;"; ","")&amp;IF(AND(CH1287=1,CI1287&lt;CJ1287),"MAX &lt; MB+LG; ","")&amp;IF(AND(CP1287&gt;0,CO1287*10&gt;CP1287),"zu hoch für Tablar; ","")&amp;IF(AND(BV1287=0,OR(CH1287=1,AA1287&lt;&gt;"",U1287&lt;&gt;"",V1287&lt;&gt;"",AB1287&lt;&gt;"")),"manuell übersteuert; ","")&amp;IF(AND(BZ1287=0,R1287=0),"Gebinde unbekannt / Stellmass fehlt; ","")&amp;IF(AND(BZ1287=0,N(V1287)&lt;=0,N(Q1287)&lt;=0),"Menge pro Gebinde fehlt (Ist = 1 Gebinde); ","")&amp;BU1287)</f>
        <v>negativer Bestand (Export -10); Überbestand 2 Stk / CHF 225; nicht im KTL vorhanden</v>
      </c>
      <c r="BN1287" s="48"/>
      <c r="BO1287" s="48"/>
      <c r="BP1287" s="55"/>
      <c r="BQ1287" s="50" t="n">
        <v>-10</v>
      </c>
      <c r="BR1287" s="50" t="n">
        <v>14</v>
      </c>
      <c r="BS1287" s="49" t="n">
        <v>-1124.5</v>
      </c>
      <c r="BT1287" s="50" t="n">
        <v>2</v>
      </c>
      <c r="BU1287" s="48" t="s">
        <v>239</v>
      </c>
      <c r="BV1287" s="53" t="n">
        <v>0</v>
      </c>
      <c r="BW1287" s="53" t="n">
        <v>1287</v>
      </c>
      <c r="BX1287" s="48" t="str">
        <f aca="false">IF(U1287&lt;&gt;"",UPPER(TRIM(U1287)),IF(CA1287=1,UPPER(VLOOKUP(T1287,Parameter!$I$27:$K$29,2,0)),IF(P1287="","LOSE",P1287)))</f>
        <v>S32</v>
      </c>
      <c r="BY1287" s="50" t="n">
        <f aca="false">IF(BX1287="LOSE",1,IF(N(V1287)&gt;0,V1287,IF(CA1287=1,MAX(1,N(VLOOKUP(T1287,Parameter!$I$27:$K$29,3,0)),H1287,N(N1287)),IF(N(Q1287)&gt;0,Q1287,MAX(1,H1287)))))</f>
        <v>6</v>
      </c>
      <c r="BZ1287" s="53" t="n">
        <f aca="false">IF(BX1287="LOSE",1,0)</f>
        <v>0</v>
      </c>
      <c r="CA1287" s="53" t="n">
        <f aca="false">IF(AND(U1287="",OR(P1287="",P1287="LOSE"),T1287&lt;&gt;"",N(S1287)&lt;=0,ISNUMBER(MATCH(T1287,Parameter!$I$27:$I$29,0))),1,0)</f>
        <v>0</v>
      </c>
      <c r="CB1287" s="53" t="n">
        <f aca="false">IF(CQ1287&gt;0,INDEX(Parameter!$H$5:$H$7,W1287)/INDEX(Parameter!$E$5:$E$7,W1287),IF(AND(BZ1287=0,N(IFERROR(VLOOKUP(BX1287,'Gebinde-Kategorie'!$A$5:$N$45,14,0),0))&gt;0),VLOOKUP(BX1287,'Gebinde-Kategorie'!$A$5:$N$45,14,0)*10+Parameter!$M$23,Parameter!$M$24))</f>
        <v>155</v>
      </c>
      <c r="CC1287" s="48" t="str">
        <f aca="false">IF(AND(Parameter!$B$19="Ja",E1287&lt;&gt;"",ISNUMBER(MATCH(E1287,Parameter!$I$35:$I$52,0))),VLOOKUP(E1287,Parameter!$I$35:$J$52,2,0),IFERROR(VLOOKUP(D1287,Parameter!$A$35:$C$64,2,0),"Nein"))</f>
        <v>2+3</v>
      </c>
      <c r="CD1287" s="52" t="n">
        <f aca="false">IF(BZ1287=0,0,IF(N(S1287)&gt;0,S1287,IFERROR(VLOOKUP(D1287,Parameter!$A$35:$C$64,3,0)+0,0)))</f>
        <v>0</v>
      </c>
      <c r="CE1287" s="48" t="n">
        <f aca="false">IF(AA1287&lt;&gt;"",AA1287,Z1287)</f>
        <v>3</v>
      </c>
      <c r="CF1287" s="48" t="str">
        <f aca="false">IF(OR(CE1287=1,CE1287=2,CE1287=3),IF(Parameter!$E$27="Ja","LIFT",IF(CE1287=1,"L1","L23")),IF(CE1287="Aussen","Aussen","-"))</f>
        <v>LIFT</v>
      </c>
      <c r="CG1287" s="59" t="n">
        <f aca="false">IF(N(AB1287)&gt;0,AB1287,0)</f>
        <v>0</v>
      </c>
      <c r="CH1287" s="53" t="n">
        <f aca="false">IF(ISNUMBER(AE1287),1,0)</f>
        <v>0</v>
      </c>
      <c r="CI1287" s="50" t="n">
        <f aca="false">N(AE1287)</f>
        <v>0</v>
      </c>
      <c r="CJ1287" s="50" t="n">
        <f aca="false">N(M1287)+N(N1287)</f>
        <v>1</v>
      </c>
      <c r="CK1287" s="50" t="n">
        <f aca="false">N(M1287)</f>
        <v>0</v>
      </c>
      <c r="CL1287" s="50" t="n">
        <f aca="false">N(N1287)</f>
        <v>1</v>
      </c>
      <c r="CM1287" s="50" t="n">
        <f aca="false">ROUNDUP(H1287/BY1287,0)</f>
        <v>1</v>
      </c>
      <c r="CN1287" s="50" t="n">
        <f aca="false">ROUNDUP(CI1287/BY1287,0)</f>
        <v>0</v>
      </c>
      <c r="CO1287" s="53" t="n">
        <f aca="false">IF(BZ1287=1,0,IFERROR(VLOOKUP(BX1287,'Gebinde-Kategorie'!$A$5:$N$45,5,0)+0,0))</f>
        <v>8</v>
      </c>
      <c r="CP1287" s="53" t="n">
        <f aca="false">IFERROR(IF(OR(CE1287=1,CE1287=2,CE1287=3),N(INDEX(Parameter!$I$5:$I$7,CE1287)),0),0)</f>
        <v>0</v>
      </c>
      <c r="CQ1287" s="52" t="n">
        <f aca="false">IF(AND(Parameter!$B$21="Ja",ISNUMBER(W1287),N(X1287)&gt;0),IFERROR(N(INDEX(Parameter!$L$5:$L$7,W1287))*INDEX(Parameter!$E$5:$E$7,W1287)*X1287/SUMIFS($X$7:$X$1843,$W$7:$W$1843,W1287),0),0)</f>
        <v>0</v>
      </c>
    </row>
    <row r="1288" customFormat="false" ht="15" hidden="false" customHeight="false" outlineLevel="0" collapsed="false">
      <c r="A1288" s="48" t="s">
        <v>2306</v>
      </c>
      <c r="B1288" s="48" t="s">
        <v>1838</v>
      </c>
      <c r="C1288" s="48" t="s">
        <v>173</v>
      </c>
      <c r="D1288" s="48" t="s">
        <v>193</v>
      </c>
      <c r="E1288" s="48" t="s">
        <v>194</v>
      </c>
      <c r="F1288" s="48" t="s">
        <v>227</v>
      </c>
      <c r="G1288" s="49" t="n">
        <v>30.9</v>
      </c>
      <c r="H1288" s="50" t="n">
        <f aca="false">MAX(0,IF(AND(Parameter!$B$21="Ja",ISNUMBER(Y1288)),Y1288,IF(Parameter!$B$20="Jahresanfang 2025 + Export",BR1288+BQ1288,BQ1288)))</f>
        <v>111</v>
      </c>
      <c r="I1288" s="50" t="n">
        <f aca="false">H1288*G1288</f>
        <v>3429.9</v>
      </c>
      <c r="J1288" s="50" t="n">
        <f aca="false">BT1288*Parameter!$B$18</f>
        <v>42</v>
      </c>
      <c r="K1288" s="51" t="n">
        <v>132.5</v>
      </c>
      <c r="L1288" s="52" t="n">
        <v>0.316981132075472</v>
      </c>
      <c r="M1288" s="50" t="n">
        <v>8</v>
      </c>
      <c r="N1288" s="50" t="n">
        <v>40</v>
      </c>
      <c r="O1288" s="53" t="n">
        <v>70</v>
      </c>
      <c r="P1288" s="48" t="s">
        <v>311</v>
      </c>
      <c r="Q1288" s="50" t="n">
        <v>113</v>
      </c>
      <c r="R1288" s="53" t="n">
        <f aca="false">IF(BZ1288=1,0,IFERROR(VLOOKUP(BX1288,'Gebinde-Kategorie'!$A$5:$N$45,13,0)+0,0))</f>
        <v>26</v>
      </c>
      <c r="S1288" s="54"/>
      <c r="T1288" s="55"/>
      <c r="U1288" s="55"/>
      <c r="V1288" s="55"/>
      <c r="W1288" s="48"/>
      <c r="X1288" s="50"/>
      <c r="Y1288" s="50"/>
      <c r="Z1288" s="48" t="n">
        <f aca="false">IF(A1288="","",IF(AND(Parameter!$B$21="Ja",ISNUMBER(W1288)),W1288,IF(CC1288="2+3",IF(ISNUMBER(SEARCH("grosser Artikel",BU1288)),2,IFERROR(VLOOKUP(BX1288,Parameter!$F$35:$G$64,2,0),2)),IF(OR(CC1288="Nein",CC1288=""),"-",CC1288))))</f>
        <v>3</v>
      </c>
      <c r="AA1288" s="55"/>
      <c r="AB1288" s="56"/>
      <c r="AC1288" s="50" t="n">
        <f aca="false">AV1288</f>
        <v>48</v>
      </c>
      <c r="AD1288" s="50" t="n">
        <f aca="false">MAX(AV1288,H1288)</f>
        <v>111</v>
      </c>
      <c r="AE1288" s="57"/>
      <c r="AF1288" s="50" t="n">
        <f aca="false">IF(LEFT(Cockpit!$C$5,1)="A",H1288,IF(Parameter!$E$30="MAX-Bestand",IF(CH1288=1,CI1288,IF(LEFT(Cockpit!$C$5,1)="B",AL1288,MAX(AL1288,H1288))),ROUNDUP(AJ1288,0)))</f>
        <v>111</v>
      </c>
      <c r="AG1288" s="50" t="n">
        <f aca="false">IF(BZ1288=1,0,ROUNDUP(AF1288/BY1288,0))</f>
        <v>1</v>
      </c>
      <c r="AH1288" s="52" t="n">
        <f aca="false">IF(CQ1288&gt;0,CQ1288*MAX(1,AF1288/X1288),IF(BZ1288=1,IF(AF1288&lt;=0,0,CD1288*MAX(1,IF(H1288&gt;0,AF1288/H1288,1))),IF(R1288&gt;0,AG1288/R1288,0))/MAX(0.1,N(Parameter!$M$21)))</f>
        <v>0.0384615384615385</v>
      </c>
      <c r="AI1288" s="50" t="n">
        <f aca="false">AH1288*CB1288</f>
        <v>5.96153846153846</v>
      </c>
      <c r="AJ1288" s="51" t="n">
        <f aca="false">IF(LEFT(Cockpit!$C$5,1)="A",H1288,IF(CH1288=1,(CK1288+CI1288)/2,IF(LEFT(Cockpit!$C$5,1)="B",(CK1288+AL1288)/2,MAX((CK1288+AL1288)/2,H1288))))</f>
        <v>111</v>
      </c>
      <c r="AK1288" s="50" t="n">
        <f aca="false">AJ1288*G1288</f>
        <v>3429.9</v>
      </c>
      <c r="AL1288" s="50" t="n">
        <f aca="false">ROUNDUP(CK1288+MAX(CL1288,2*(J1288/IF(CG1288&gt;0,CG1288,MAX(0.1,N(Cockpit!$C$6)))-CK1288)),0)</f>
        <v>48</v>
      </c>
      <c r="AM1288" s="51" t="n">
        <f aca="false">IF(AI1288&gt;0,J1288/AI1288,-1)</f>
        <v>7.04516129032258</v>
      </c>
      <c r="AN1288" s="51" t="n">
        <f aca="false">IF(AND(OR(CF1288="L1",CF1288="L23",CF1288="LIFT"),AI1288&gt;0),SUMIFS($AI$7:$AI$1843,$CF$7:$CF$1843,CF1288,$AM$7:$AM$1843,"&gt;"&amp;AM1288)+SUMIFS($AI$7:$AI$1843,$CF$7:$CF$1843,CF1288,$AM$7:$AM$1843,AM1288,$BW$7:$BW$1843,"&lt;="&amp;BW1288),"")</f>
        <v>3190.13690476191</v>
      </c>
      <c r="AO1288" s="58" t="n">
        <f aca="false">IF(AN1288="",0,MAX(0,MIN(1,(IF(CF1288="L1",Parameter!$H$5,IF(CF1288="L23",Parameter!$H$6+Parameter!$H$7,Parameter!$H$5+Parameter!$H$6+Parameter!$H$7))-(AN1288-AI1288))/AI1288)))</f>
        <v>1</v>
      </c>
      <c r="AP1288" s="50" t="n">
        <f aca="false">IF(LEFT(Cockpit!$I$5,1)="A",H1288,IF(Parameter!$E$30="MAX-Bestand",IF(CH1288=1,CI1288,IF(LEFT(Cockpit!$I$5,1)="B",AV1288,MAX(AV1288,H1288))),ROUNDUP(AT1288,0)))</f>
        <v>111</v>
      </c>
      <c r="AQ1288" s="50" t="n">
        <f aca="false">IF(BZ1288=1,0,ROUNDUP(AP1288/BY1288,0))</f>
        <v>1</v>
      </c>
      <c r="AR1288" s="52" t="n">
        <f aca="false">IF(CQ1288&gt;0,CQ1288*MAX(1,AP1288/X1288),IF(BZ1288=1,IF(AP1288&lt;=0,0,CD1288*MAX(1,IF(H1288&gt;0,AP1288/H1288,1))),IF(R1288&gt;0,AQ1288/R1288,0))/MAX(0.1,N(Parameter!$M$21)))</f>
        <v>0.0384615384615385</v>
      </c>
      <c r="AS1288" s="50" t="n">
        <f aca="false">AR1288*CB1288</f>
        <v>5.96153846153846</v>
      </c>
      <c r="AT1288" s="51" t="n">
        <f aca="false">IF(LEFT(Cockpit!$I$5,1)="A",H1288,IF(CH1288=1,(CK1288+CI1288)/2,IF(LEFT(Cockpit!$I$5,1)="B",(CK1288+AV1288)/2,MAX((CK1288+AV1288)/2,H1288))))</f>
        <v>111</v>
      </c>
      <c r="AU1288" s="50" t="n">
        <f aca="false">AT1288*G1288</f>
        <v>3429.9</v>
      </c>
      <c r="AV1288" s="50" t="n">
        <f aca="false">ROUNDUP(CK1288+MAX(CL1288,2*(J1288/IF(CG1288&gt;0,CG1288,MAX(0.1,N(Cockpit!$I$6)))-CK1288)),0)</f>
        <v>48</v>
      </c>
      <c r="AW1288" s="51" t="n">
        <f aca="false">IF(AS1288&gt;0,J1288/AS1288,-1)</f>
        <v>7.04516129032258</v>
      </c>
      <c r="AX1288" s="51" t="n">
        <f aca="false">IF(AND(OR(CF1288="L1",CF1288="L23",CF1288="LIFT"),AS1288&gt;0),SUMIFS($AS$7:$AS$1843,$CF$7:$CF$1843,CF1288,$AW$7:$AW$1843,"&gt;"&amp;AW1288)+SUMIFS($AS$7:$AS$1843,$CF$7:$CF$1843,CF1288,$AW$7:$AW$1843,AW1288,$BW$7:$BW$1843,"&lt;="&amp;BW1288),"")</f>
        <v>3850.44826007326</v>
      </c>
      <c r="AY1288" s="58" t="n">
        <f aca="false">IF(AX1288="",0,MAX(0,MIN(1,(IF(CF1288="L1",Parameter!$H$5,IF(CF1288="L23",Parameter!$H$6+Parameter!$H$7,Parameter!$H$5+Parameter!$H$6+Parameter!$H$7))-(AX1288-AS1288))/AS1288)))</f>
        <v>1</v>
      </c>
      <c r="AZ1288" s="50" t="n">
        <f aca="false">IF(LEFT(Cockpit!$O$5,1)="A",H1288,IF(Parameter!$E$30="MAX-Bestand",IF(CH1288=1,CI1288,IF(LEFT(Cockpit!$O$5,1)="B",BF1288,MAX(BF1288,H1288))),ROUNDUP(BD1288,0)))</f>
        <v>28</v>
      </c>
      <c r="BA1288" s="50" t="n">
        <f aca="false">IF(BZ1288=1,0,ROUNDUP(AZ1288/BY1288,0))</f>
        <v>1</v>
      </c>
      <c r="BB1288" s="52" t="n">
        <f aca="false">IF(CQ1288&gt;0,CQ1288*MAX(1,AZ1288/X1288),IF(BZ1288=1,IF(AZ1288&lt;=0,0,CD1288*MAX(1,IF(H1288&gt;0,AZ1288/H1288,1))),IF(R1288&gt;0,BA1288/R1288,0))/MAX(0.1,N(Parameter!$M$21)))</f>
        <v>0.0384615384615385</v>
      </c>
      <c r="BC1288" s="50" t="n">
        <f aca="false">BB1288*CB1288</f>
        <v>5.96153846153846</v>
      </c>
      <c r="BD1288" s="51" t="n">
        <f aca="false">IF(LEFT(Cockpit!$O$5,1)="A",H1288,IF(CH1288=1,(CK1288+CI1288)/2,IF(LEFT(Cockpit!$O$5,1)="B",(CK1288+BF1288)/2,MAX((CK1288+BF1288)/2,H1288))))</f>
        <v>28</v>
      </c>
      <c r="BE1288" s="50" t="n">
        <f aca="false">BD1288*G1288</f>
        <v>865.2</v>
      </c>
      <c r="BF1288" s="50" t="n">
        <f aca="false">ROUNDUP(CK1288+MAX(CL1288,2*(J1288/IF(CG1288&gt;0,CG1288,MAX(0.1,N(Cockpit!$O$6)))-CK1288)),0)</f>
        <v>48</v>
      </c>
      <c r="BG1288" s="51" t="n">
        <f aca="false">IF(BC1288&gt;0,J1288/BC1288,-1)</f>
        <v>7.04516129032258</v>
      </c>
      <c r="BH1288" s="51" t="n">
        <f aca="false">IF(AND(OR(CF1288="L1",CF1288="L23",CF1288="LIFT"),BC1288&gt;0),SUMIFS($BC$7:$BC$1843,$CF$7:$CF$1843,CF1288,$BG$7:$BG$1843,"&gt;"&amp;BG1288)+SUMIFS($BC$7:$BC$1843,$CF$7:$CF$1843,CF1288,$BG$7:$BG$1843,BG1288,$BW$7:$BW$1843,"&lt;="&amp;BW1288),"")</f>
        <v>3280.86767399267</v>
      </c>
      <c r="BI1288" s="58" t="n">
        <f aca="false">IF(BH1288="",0,MAX(0,MIN(1,(IF(CF1288="L1",Parameter!$H$5,IF(CF1288="L23",Parameter!$H$6+Parameter!$H$7,Parameter!$H$5+Parameter!$H$6+Parameter!$H$7))-(BH1288-BC1288))/BC1288)))</f>
        <v>1</v>
      </c>
      <c r="BJ1288" s="48" t="str">
        <f aca="false">IF(AI1288&lt;=0,"",IF(CF1288="Aussen","Aussenlager",IF(CF1288="-","Nicht im Lift",IF(AO1288&gt;=1,"Lift",IF(AO1288&lt;=0,"Aussenlager","teilweise")))))</f>
        <v>Lift</v>
      </c>
      <c r="BK1288" s="48" t="str">
        <f aca="false">IF(AS1288&lt;=0,"",IF(CF1288="Aussen","Aussenlager",IF(CF1288="-","Nicht im Lift",IF(AY1288&gt;=1,"Lift",IF(AY1288&lt;=0,"Aussenlager","teilweise")))))</f>
        <v>Lift</v>
      </c>
      <c r="BL1288" s="48" t="str">
        <f aca="false">IF(BC1288&lt;=0,"",IF(CF1288="Aussen","Aussenlager",IF(CF1288="-","Nicht im Lift",IF(BI1288&gt;=1,"Lift",IF(BI1288&lt;=0,"Aussenlager","teilweise")))))</f>
        <v>Lift</v>
      </c>
      <c r="BM1288" s="48" t="str">
        <f aca="false">IF(A1288="","",IF(BV1288=1,"Neu; ","")&amp;IF(AND(BV1288=0,BQ1288&lt;0),"negativer Bestand (Export "&amp;BQ1288&amp;"); ","")&amp;IF(J1288&lt;=0,"Kein Verbrauch; ","")&amp;IF(CQ1288&gt;0,"Lift "&amp;W1288&amp;" lt. Liftbericht (Fach "&amp;X1288&amp;" Stk); ",IF(CA1288=1,"Gebinde geschätzt ("&amp;T1288&amp;"); ",IF(BZ1288=1,"Lose – Tablare geschätzt; ","")))&amp;IF(H1288&gt;AV1288,"Überbestand "&amp;ROUND(H1288-AV1288,0)&amp;" Stk / CHF "&amp;ROUND((H1288-AV1288)*G1288,0)&amp;"; ","")&amp;IF(AND(CH1288=1,CI1288&lt;CJ1288),"MAX &lt; MB+LG; ","")&amp;IF(AND(CP1288&gt;0,CO1288*10&gt;CP1288),"zu hoch für Tablar; ","")&amp;IF(AND(BV1288=0,OR(CH1288=1,AA1288&lt;&gt;"",U1288&lt;&gt;"",V1288&lt;&gt;"",AB1288&lt;&gt;"")),"manuell übersteuert; ","")&amp;IF(AND(BZ1288=0,R1288=0),"Gebinde unbekannt / Stellmass fehlt; ","")&amp;IF(AND(BZ1288=0,N(V1288)&lt;=0,N(Q1288)&lt;=0),"Menge pro Gebinde fehlt (Ist = 1 Gebinde); ","")&amp;BU1288)</f>
        <v>negativer Bestand (Export -43); Überbestand 63 Stk / CHF 1947; </v>
      </c>
      <c r="BN1288" s="48"/>
      <c r="BO1288" s="48"/>
      <c r="BP1288" s="55"/>
      <c r="BQ1288" s="50" t="n">
        <v>-43</v>
      </c>
      <c r="BR1288" s="50" t="n">
        <v>154</v>
      </c>
      <c r="BS1288" s="49" t="n">
        <v>-1126.96</v>
      </c>
      <c r="BT1288" s="50" t="n">
        <v>42</v>
      </c>
      <c r="BU1288" s="48"/>
      <c r="BV1288" s="53" t="n">
        <v>0</v>
      </c>
      <c r="BW1288" s="53" t="n">
        <v>1288</v>
      </c>
      <c r="BX1288" s="48" t="str">
        <f aca="false">IF(U1288&lt;&gt;"",UPPER(TRIM(U1288)),IF(CA1288=1,UPPER(VLOOKUP(T1288,Parameter!$I$27:$K$29,2,0)),IF(P1288="","LOSE",P1288)))</f>
        <v>S51</v>
      </c>
      <c r="BY1288" s="50" t="n">
        <f aca="false">IF(BX1288="LOSE",1,IF(N(V1288)&gt;0,V1288,IF(CA1288=1,MAX(1,N(VLOOKUP(T1288,Parameter!$I$27:$K$29,3,0)),H1288,N(N1288)),IF(N(Q1288)&gt;0,Q1288,MAX(1,H1288)))))</f>
        <v>113</v>
      </c>
      <c r="BZ1288" s="53" t="n">
        <f aca="false">IF(BX1288="LOSE",1,0)</f>
        <v>0</v>
      </c>
      <c r="CA1288" s="53" t="n">
        <f aca="false">IF(AND(U1288="",OR(P1288="",P1288="LOSE"),T1288&lt;&gt;"",N(S1288)&lt;=0,ISNUMBER(MATCH(T1288,Parameter!$I$27:$I$29,0))),1,0)</f>
        <v>0</v>
      </c>
      <c r="CB1288" s="53" t="n">
        <f aca="false">IF(CQ1288&gt;0,INDEX(Parameter!$H$5:$H$7,W1288)/INDEX(Parameter!$E$5:$E$7,W1288),IF(AND(BZ1288=0,N(IFERROR(VLOOKUP(BX1288,'Gebinde-Kategorie'!$A$5:$N$45,14,0),0))&gt;0),VLOOKUP(BX1288,'Gebinde-Kategorie'!$A$5:$N$45,14,0)*10+Parameter!$M$23,Parameter!$M$24))</f>
        <v>155</v>
      </c>
      <c r="CC1288" s="48" t="str">
        <f aca="false">IF(AND(Parameter!$B$19="Ja",E1288&lt;&gt;"",ISNUMBER(MATCH(E1288,Parameter!$I$35:$I$52,0))),VLOOKUP(E1288,Parameter!$I$35:$J$52,2,0),IFERROR(VLOOKUP(D1288,Parameter!$A$35:$C$64,2,0),"Nein"))</f>
        <v>2+3</v>
      </c>
      <c r="CD1288" s="52" t="n">
        <f aca="false">IF(BZ1288=0,0,IF(N(S1288)&gt;0,S1288,IFERROR(VLOOKUP(D1288,Parameter!$A$35:$C$64,3,0)+0,0)))</f>
        <v>0</v>
      </c>
      <c r="CE1288" s="48" t="n">
        <f aca="false">IF(AA1288&lt;&gt;"",AA1288,Z1288)</f>
        <v>3</v>
      </c>
      <c r="CF1288" s="48" t="str">
        <f aca="false">IF(OR(CE1288=1,CE1288=2,CE1288=3),IF(Parameter!$E$27="Ja","LIFT",IF(CE1288=1,"L1","L23")),IF(CE1288="Aussen","Aussen","-"))</f>
        <v>LIFT</v>
      </c>
      <c r="CG1288" s="59" t="n">
        <f aca="false">IF(N(AB1288)&gt;0,AB1288,0)</f>
        <v>0</v>
      </c>
      <c r="CH1288" s="53" t="n">
        <f aca="false">IF(ISNUMBER(AE1288),1,0)</f>
        <v>0</v>
      </c>
      <c r="CI1288" s="50" t="n">
        <f aca="false">N(AE1288)</f>
        <v>0</v>
      </c>
      <c r="CJ1288" s="50" t="n">
        <f aca="false">N(M1288)+N(N1288)</f>
        <v>48</v>
      </c>
      <c r="CK1288" s="50" t="n">
        <f aca="false">N(M1288)</f>
        <v>8</v>
      </c>
      <c r="CL1288" s="50" t="n">
        <f aca="false">N(N1288)</f>
        <v>40</v>
      </c>
      <c r="CM1288" s="50" t="n">
        <f aca="false">ROUNDUP(H1288/BY1288,0)</f>
        <v>1</v>
      </c>
      <c r="CN1288" s="50" t="n">
        <f aca="false">ROUNDUP(CI1288/BY1288,0)</f>
        <v>0</v>
      </c>
      <c r="CO1288" s="53" t="n">
        <f aca="false">IF(BZ1288=1,0,IFERROR(VLOOKUP(BX1288,'Gebinde-Kategorie'!$A$5:$N$45,5,0)+0,0))</f>
        <v>11</v>
      </c>
      <c r="CP1288" s="53" t="n">
        <f aca="false">IFERROR(IF(OR(CE1288=1,CE1288=2,CE1288=3),N(INDEX(Parameter!$I$5:$I$7,CE1288)),0),0)</f>
        <v>0</v>
      </c>
      <c r="CQ1288" s="52" t="n">
        <f aca="false">IF(AND(Parameter!$B$21="Ja",ISNUMBER(W1288),N(X1288)&gt;0),IFERROR(N(INDEX(Parameter!$L$5:$L$7,W1288))*INDEX(Parameter!$E$5:$E$7,W1288)*X1288/SUMIFS($X$7:$X$1843,$W$7:$W$1843,W1288),0),0)</f>
        <v>0</v>
      </c>
    </row>
    <row r="1289" customFormat="false" ht="15" hidden="false" customHeight="false" outlineLevel="0" collapsed="false">
      <c r="A1289" s="48" t="s">
        <v>2307</v>
      </c>
      <c r="B1289" s="48" t="s">
        <v>414</v>
      </c>
      <c r="C1289" s="48" t="s">
        <v>173</v>
      </c>
      <c r="D1289" s="48" t="s">
        <v>193</v>
      </c>
      <c r="E1289" s="48" t="s">
        <v>194</v>
      </c>
      <c r="F1289" s="48" t="s">
        <v>227</v>
      </c>
      <c r="G1289" s="49" t="n">
        <v>0.14</v>
      </c>
      <c r="H1289" s="50" t="n">
        <f aca="false">MAX(0,IF(AND(Parameter!$B$21="Ja",ISNUMBER(Y1289)),Y1289,IF(Parameter!$B$20="Jahresanfang 2025 + Export",BR1289+BQ1289,BQ1289)))</f>
        <v>673</v>
      </c>
      <c r="I1289" s="50" t="n">
        <f aca="false">H1289*G1289</f>
        <v>94.22</v>
      </c>
      <c r="J1289" s="50" t="n">
        <f aca="false">BT1289*Parameter!$B$18</f>
        <v>2173</v>
      </c>
      <c r="K1289" s="51" t="n">
        <v>1861.5</v>
      </c>
      <c r="L1289" s="52" t="n">
        <v>1.16733816814397</v>
      </c>
      <c r="M1289" s="50" t="n">
        <v>127</v>
      </c>
      <c r="N1289" s="50" t="n">
        <v>1000</v>
      </c>
      <c r="O1289" s="53" t="n">
        <v>21</v>
      </c>
      <c r="P1289" s="48" t="s">
        <v>311</v>
      </c>
      <c r="Q1289" s="50" t="n">
        <v>1238</v>
      </c>
      <c r="R1289" s="53" t="n">
        <f aca="false">IF(BZ1289=1,0,IFERROR(VLOOKUP(BX1289,'Gebinde-Kategorie'!$A$5:$N$45,13,0)+0,0))</f>
        <v>26</v>
      </c>
      <c r="S1289" s="54"/>
      <c r="T1289" s="55"/>
      <c r="U1289" s="55"/>
      <c r="V1289" s="55"/>
      <c r="W1289" s="48"/>
      <c r="X1289" s="50"/>
      <c r="Y1289" s="50"/>
      <c r="Z1289" s="48" t="n">
        <f aca="false">IF(A1289="","",IF(AND(Parameter!$B$21="Ja",ISNUMBER(W1289)),W1289,IF(CC1289="2+3",IF(ISNUMBER(SEARCH("grosser Artikel",BU1289)),2,IFERROR(VLOOKUP(BX1289,Parameter!$F$35:$G$64,2,0),2)),IF(OR(CC1289="Nein",CC1289=""),"-",CC1289))))</f>
        <v>3</v>
      </c>
      <c r="AA1289" s="55"/>
      <c r="AB1289" s="56"/>
      <c r="AC1289" s="50" t="n">
        <f aca="false">AV1289</f>
        <v>1322</v>
      </c>
      <c r="AD1289" s="50" t="n">
        <f aca="false">MAX(AV1289,H1289)</f>
        <v>1322</v>
      </c>
      <c r="AE1289" s="57"/>
      <c r="AF1289" s="50" t="n">
        <f aca="false">IF(LEFT(Cockpit!$C$5,1)="A",H1289,IF(Parameter!$E$30="MAX-Bestand",IF(CH1289=1,CI1289,IF(LEFT(Cockpit!$C$5,1)="B",AL1289,MAX(AL1289,H1289))),ROUNDUP(AJ1289,0)))</f>
        <v>673</v>
      </c>
      <c r="AG1289" s="50" t="n">
        <f aca="false">IF(BZ1289=1,0,ROUNDUP(AF1289/BY1289,0))</f>
        <v>1</v>
      </c>
      <c r="AH1289" s="52" t="n">
        <f aca="false">IF(CQ1289&gt;0,CQ1289*MAX(1,AF1289/X1289),IF(BZ1289=1,IF(AF1289&lt;=0,0,CD1289*MAX(1,IF(H1289&gt;0,AF1289/H1289,1))),IF(R1289&gt;0,AG1289/R1289,0))/MAX(0.1,N(Parameter!$M$21)))</f>
        <v>0.0384615384615385</v>
      </c>
      <c r="AI1289" s="50" t="n">
        <f aca="false">AH1289*CB1289</f>
        <v>5.96153846153846</v>
      </c>
      <c r="AJ1289" s="51" t="n">
        <f aca="false">IF(LEFT(Cockpit!$C$5,1)="A",H1289,IF(CH1289=1,(CK1289+CI1289)/2,IF(LEFT(Cockpit!$C$5,1)="B",(CK1289+AL1289)/2,MAX((CK1289+AL1289)/2,H1289))))</f>
        <v>673</v>
      </c>
      <c r="AK1289" s="50" t="n">
        <f aca="false">AJ1289*G1289</f>
        <v>94.22</v>
      </c>
      <c r="AL1289" s="50" t="n">
        <f aca="false">ROUNDUP(CK1289+MAX(CL1289,2*(J1289/IF(CG1289&gt;0,CG1289,MAX(0.1,N(Cockpit!$C$6)))-CK1289)),0)</f>
        <v>1322</v>
      </c>
      <c r="AM1289" s="51" t="n">
        <f aca="false">IF(AI1289&gt;0,J1289/AI1289,-1)</f>
        <v>364.503225806452</v>
      </c>
      <c r="AN1289" s="51" t="n">
        <f aca="false">IF(AND(OR(CF1289="L1",CF1289="L23",CF1289="LIFT"),AI1289&gt;0),SUMIFS($AI$7:$AI$1843,$CF$7:$CF$1843,CF1289,$AM$7:$AM$1843,"&gt;"&amp;AM1289)+SUMIFS($AI$7:$AI$1843,$CF$7:$CF$1843,CF1289,$AM$7:$AM$1843,AM1289,$BW$7:$BW$1843,"&lt;="&amp;BW1289),"")</f>
        <v>217.872252747253</v>
      </c>
      <c r="AO1289" s="58" t="n">
        <f aca="false">IF(AN1289="",0,MAX(0,MIN(1,(IF(CF1289="L1",Parameter!$H$5,IF(CF1289="L23",Parameter!$H$6+Parameter!$H$7,Parameter!$H$5+Parameter!$H$6+Parameter!$H$7))-(AN1289-AI1289))/AI1289)))</f>
        <v>1</v>
      </c>
      <c r="AP1289" s="50" t="n">
        <f aca="false">IF(LEFT(Cockpit!$I$5,1)="A",H1289,IF(Parameter!$E$30="MAX-Bestand",IF(CH1289=1,CI1289,IF(LEFT(Cockpit!$I$5,1)="B",AV1289,MAX(AV1289,H1289))),ROUNDUP(AT1289,0)))</f>
        <v>725</v>
      </c>
      <c r="AQ1289" s="50" t="n">
        <f aca="false">IF(BZ1289=1,0,ROUNDUP(AP1289/BY1289,0))</f>
        <v>1</v>
      </c>
      <c r="AR1289" s="52" t="n">
        <f aca="false">IF(CQ1289&gt;0,CQ1289*MAX(1,AP1289/X1289),IF(BZ1289=1,IF(AP1289&lt;=0,0,CD1289*MAX(1,IF(H1289&gt;0,AP1289/H1289,1))),IF(R1289&gt;0,AQ1289/R1289,0))/MAX(0.1,N(Parameter!$M$21)))</f>
        <v>0.0384615384615385</v>
      </c>
      <c r="AS1289" s="50" t="n">
        <f aca="false">AR1289*CB1289</f>
        <v>5.96153846153846</v>
      </c>
      <c r="AT1289" s="51" t="n">
        <f aca="false">IF(LEFT(Cockpit!$I$5,1)="A",H1289,IF(CH1289=1,(CK1289+CI1289)/2,IF(LEFT(Cockpit!$I$5,1)="B",(CK1289+AV1289)/2,MAX((CK1289+AV1289)/2,H1289))))</f>
        <v>724.5</v>
      </c>
      <c r="AU1289" s="50" t="n">
        <f aca="false">AT1289*G1289</f>
        <v>101.43</v>
      </c>
      <c r="AV1289" s="50" t="n">
        <f aca="false">ROUNDUP(CK1289+MAX(CL1289,2*(J1289/IF(CG1289&gt;0,CG1289,MAX(0.1,N(Cockpit!$I$6)))-CK1289)),0)</f>
        <v>1322</v>
      </c>
      <c r="AW1289" s="51" t="n">
        <f aca="false">IF(AS1289&gt;0,J1289/AS1289,-1)</f>
        <v>364.503225806452</v>
      </c>
      <c r="AX1289" s="51" t="n">
        <f aca="false">IF(AND(OR(CF1289="L1",CF1289="L23",CF1289="LIFT"),AS1289&gt;0),SUMIFS($AS$7:$AS$1843,$CF$7:$CF$1843,CF1289,$AW$7:$AW$1843,"&gt;"&amp;AW1289)+SUMIFS($AS$7:$AS$1843,$CF$7:$CF$1843,CF1289,$AW$7:$AW$1843,AW1289,$BW$7:$BW$1843,"&lt;="&amp;BW1289),"")</f>
        <v>152.08836996337</v>
      </c>
      <c r="AY1289" s="58" t="n">
        <f aca="false">IF(AX1289="",0,MAX(0,MIN(1,(IF(CF1289="L1",Parameter!$H$5,IF(CF1289="L23",Parameter!$H$6+Parameter!$H$7,Parameter!$H$5+Parameter!$H$6+Parameter!$H$7))-(AX1289-AS1289))/AS1289)))</f>
        <v>1</v>
      </c>
      <c r="AZ1289" s="50" t="n">
        <f aca="false">IF(LEFT(Cockpit!$O$5,1)="A",H1289,IF(Parameter!$E$30="MAX-Bestand",IF(CH1289=1,CI1289,IF(LEFT(Cockpit!$O$5,1)="B",BF1289,MAX(BF1289,H1289))),ROUNDUP(BD1289,0)))</f>
        <v>627</v>
      </c>
      <c r="BA1289" s="50" t="n">
        <f aca="false">IF(BZ1289=1,0,ROUNDUP(AZ1289/BY1289,0))</f>
        <v>1</v>
      </c>
      <c r="BB1289" s="52" t="n">
        <f aca="false">IF(CQ1289&gt;0,CQ1289*MAX(1,AZ1289/X1289),IF(BZ1289=1,IF(AZ1289&lt;=0,0,CD1289*MAX(1,IF(H1289&gt;0,AZ1289/H1289,1))),IF(R1289&gt;0,BA1289/R1289,0))/MAX(0.1,N(Parameter!$M$21)))</f>
        <v>0.0384615384615385</v>
      </c>
      <c r="BC1289" s="50" t="n">
        <f aca="false">BB1289*CB1289</f>
        <v>5.96153846153846</v>
      </c>
      <c r="BD1289" s="51" t="n">
        <f aca="false">IF(LEFT(Cockpit!$O$5,1)="A",H1289,IF(CH1289=1,(CK1289+CI1289)/2,IF(LEFT(Cockpit!$O$5,1)="B",(CK1289+BF1289)/2,MAX((CK1289+BF1289)/2,H1289))))</f>
        <v>627</v>
      </c>
      <c r="BE1289" s="50" t="n">
        <f aca="false">BD1289*G1289</f>
        <v>87.78</v>
      </c>
      <c r="BF1289" s="50" t="n">
        <f aca="false">ROUNDUP(CK1289+MAX(CL1289,2*(J1289/IF(CG1289&gt;0,CG1289,MAX(0.1,N(Cockpit!$O$6)))-CK1289)),0)</f>
        <v>1127</v>
      </c>
      <c r="BG1289" s="51" t="n">
        <f aca="false">IF(BC1289&gt;0,J1289/BC1289,-1)</f>
        <v>364.503225806452</v>
      </c>
      <c r="BH1289" s="51" t="n">
        <f aca="false">IF(AND(OR(CF1289="L1",CF1289="L23",CF1289="LIFT"),BC1289&gt;0),SUMIFS($BC$7:$BC$1843,$CF$7:$CF$1843,CF1289,$BG$7:$BG$1843,"&gt;"&amp;BG1289)+SUMIFS($BC$7:$BC$1843,$CF$7:$CF$1843,CF1289,$BG$7:$BG$1843,BG1289,$BW$7:$BW$1843,"&lt;="&amp;BW1289),"")</f>
        <v>227.282051282051</v>
      </c>
      <c r="BI1289" s="58" t="n">
        <f aca="false">IF(BH1289="",0,MAX(0,MIN(1,(IF(CF1289="L1",Parameter!$H$5,IF(CF1289="L23",Parameter!$H$6+Parameter!$H$7,Parameter!$H$5+Parameter!$H$6+Parameter!$H$7))-(BH1289-BC1289))/BC1289)))</f>
        <v>1</v>
      </c>
      <c r="BJ1289" s="48" t="str">
        <f aca="false">IF(AI1289&lt;=0,"",IF(CF1289="Aussen","Aussenlager",IF(CF1289="-","Nicht im Lift",IF(AO1289&gt;=1,"Lift",IF(AO1289&lt;=0,"Aussenlager","teilweise")))))</f>
        <v>Lift</v>
      </c>
      <c r="BK1289" s="48" t="str">
        <f aca="false">IF(AS1289&lt;=0,"",IF(CF1289="Aussen","Aussenlager",IF(CF1289="-","Nicht im Lift",IF(AY1289&gt;=1,"Lift",IF(AY1289&lt;=0,"Aussenlager","teilweise")))))</f>
        <v>Lift</v>
      </c>
      <c r="BL1289" s="48" t="str">
        <f aca="false">IF(BC1289&lt;=0,"",IF(CF1289="Aussen","Aussenlager",IF(CF1289="-","Nicht im Lift",IF(BI1289&gt;=1,"Lift",IF(BI1289&lt;=0,"Aussenlager","teilweise")))))</f>
        <v>Lift</v>
      </c>
      <c r="BM1289" s="48" t="str">
        <f aca="false">IF(A1289="","",IF(BV1289=1,"Neu; ","")&amp;IF(AND(BV1289=0,BQ1289&lt;0),"negativer Bestand (Export "&amp;BQ1289&amp;"); ","")&amp;IF(J1289&lt;=0,"Kein Verbrauch; ","")&amp;IF(CQ1289&gt;0,"Lift "&amp;W1289&amp;" lt. Liftbericht (Fach "&amp;X1289&amp;" Stk); ",IF(CA1289=1,"Gebinde geschätzt ("&amp;T1289&amp;"); ",IF(BZ1289=1,"Lose – Tablare geschätzt; ","")))&amp;IF(H1289&gt;AV1289,"Überbestand "&amp;ROUND(H1289-AV1289,0)&amp;" Stk / CHF "&amp;ROUND((H1289-AV1289)*G1289,0)&amp;"; ","")&amp;IF(AND(CH1289=1,CI1289&lt;CJ1289),"MAX &lt; MB+LG; ","")&amp;IF(AND(CP1289&gt;0,CO1289*10&gt;CP1289),"zu hoch für Tablar; ","")&amp;IF(AND(BV1289=0,OR(CH1289=1,AA1289&lt;&gt;"",U1289&lt;&gt;"",V1289&lt;&gt;"",AB1289&lt;&gt;"")),"manuell übersteuert; ","")&amp;IF(AND(BZ1289=0,R1289=0),"Gebinde unbekannt / Stellmass fehlt; ","")&amp;IF(AND(BZ1289=0,N(V1289)&lt;=0,N(Q1289)&lt;=0),"Menge pro Gebinde fehlt (Ist = 1 Gebinde); ","")&amp;BU1289)</f>
        <v>negativer Bestand (Export -2641); </v>
      </c>
      <c r="BN1289" s="48"/>
      <c r="BO1289" s="48"/>
      <c r="BP1289" s="55"/>
      <c r="BQ1289" s="50" t="n">
        <v>-2641</v>
      </c>
      <c r="BR1289" s="50" t="n">
        <v>3314</v>
      </c>
      <c r="BS1289" s="49" t="n">
        <v>-1130.58</v>
      </c>
      <c r="BT1289" s="50" t="n">
        <v>2173</v>
      </c>
      <c r="BU1289" s="48"/>
      <c r="BV1289" s="53" t="n">
        <v>0</v>
      </c>
      <c r="BW1289" s="53" t="n">
        <v>1289</v>
      </c>
      <c r="BX1289" s="48" t="str">
        <f aca="false">IF(U1289&lt;&gt;"",UPPER(TRIM(U1289)),IF(CA1289=1,UPPER(VLOOKUP(T1289,Parameter!$I$27:$K$29,2,0)),IF(P1289="","LOSE",P1289)))</f>
        <v>S51</v>
      </c>
      <c r="BY1289" s="50" t="n">
        <f aca="false">IF(BX1289="LOSE",1,IF(N(V1289)&gt;0,V1289,IF(CA1289=1,MAX(1,N(VLOOKUP(T1289,Parameter!$I$27:$K$29,3,0)),H1289,N(N1289)),IF(N(Q1289)&gt;0,Q1289,MAX(1,H1289)))))</f>
        <v>1238</v>
      </c>
      <c r="BZ1289" s="53" t="n">
        <f aca="false">IF(BX1289="LOSE",1,0)</f>
        <v>0</v>
      </c>
      <c r="CA1289" s="53" t="n">
        <f aca="false">IF(AND(U1289="",OR(P1289="",P1289="LOSE"),T1289&lt;&gt;"",N(S1289)&lt;=0,ISNUMBER(MATCH(T1289,Parameter!$I$27:$I$29,0))),1,0)</f>
        <v>0</v>
      </c>
      <c r="CB1289" s="53" t="n">
        <f aca="false">IF(CQ1289&gt;0,INDEX(Parameter!$H$5:$H$7,W1289)/INDEX(Parameter!$E$5:$E$7,W1289),IF(AND(BZ1289=0,N(IFERROR(VLOOKUP(BX1289,'Gebinde-Kategorie'!$A$5:$N$45,14,0),0))&gt;0),VLOOKUP(BX1289,'Gebinde-Kategorie'!$A$5:$N$45,14,0)*10+Parameter!$M$23,Parameter!$M$24))</f>
        <v>155</v>
      </c>
      <c r="CC1289" s="48" t="str">
        <f aca="false">IF(AND(Parameter!$B$19="Ja",E1289&lt;&gt;"",ISNUMBER(MATCH(E1289,Parameter!$I$35:$I$52,0))),VLOOKUP(E1289,Parameter!$I$35:$J$52,2,0),IFERROR(VLOOKUP(D1289,Parameter!$A$35:$C$64,2,0),"Nein"))</f>
        <v>2+3</v>
      </c>
      <c r="CD1289" s="52" t="n">
        <f aca="false">IF(BZ1289=0,0,IF(N(S1289)&gt;0,S1289,IFERROR(VLOOKUP(D1289,Parameter!$A$35:$C$64,3,0)+0,0)))</f>
        <v>0</v>
      </c>
      <c r="CE1289" s="48" t="n">
        <f aca="false">IF(AA1289&lt;&gt;"",AA1289,Z1289)</f>
        <v>3</v>
      </c>
      <c r="CF1289" s="48" t="str">
        <f aca="false">IF(OR(CE1289=1,CE1289=2,CE1289=3),IF(Parameter!$E$27="Ja","LIFT",IF(CE1289=1,"L1","L23")),IF(CE1289="Aussen","Aussen","-"))</f>
        <v>LIFT</v>
      </c>
      <c r="CG1289" s="59" t="n">
        <f aca="false">IF(N(AB1289)&gt;0,AB1289,0)</f>
        <v>0</v>
      </c>
      <c r="CH1289" s="53" t="n">
        <f aca="false">IF(ISNUMBER(AE1289),1,0)</f>
        <v>0</v>
      </c>
      <c r="CI1289" s="50" t="n">
        <f aca="false">N(AE1289)</f>
        <v>0</v>
      </c>
      <c r="CJ1289" s="50" t="n">
        <f aca="false">N(M1289)+N(N1289)</f>
        <v>1127</v>
      </c>
      <c r="CK1289" s="50" t="n">
        <f aca="false">N(M1289)</f>
        <v>127</v>
      </c>
      <c r="CL1289" s="50" t="n">
        <f aca="false">N(N1289)</f>
        <v>1000</v>
      </c>
      <c r="CM1289" s="50" t="n">
        <f aca="false">ROUNDUP(H1289/BY1289,0)</f>
        <v>1</v>
      </c>
      <c r="CN1289" s="50" t="n">
        <f aca="false">ROUNDUP(CI1289/BY1289,0)</f>
        <v>0</v>
      </c>
      <c r="CO1289" s="53" t="n">
        <f aca="false">IF(BZ1289=1,0,IFERROR(VLOOKUP(BX1289,'Gebinde-Kategorie'!$A$5:$N$45,5,0)+0,0))</f>
        <v>11</v>
      </c>
      <c r="CP1289" s="53" t="n">
        <f aca="false">IFERROR(IF(OR(CE1289=1,CE1289=2,CE1289=3),N(INDEX(Parameter!$I$5:$I$7,CE1289)),0),0)</f>
        <v>0</v>
      </c>
      <c r="CQ1289" s="52" t="n">
        <f aca="false">IF(AND(Parameter!$B$21="Ja",ISNUMBER(W1289),N(X1289)&gt;0),IFERROR(N(INDEX(Parameter!$L$5:$L$7,W1289))*INDEX(Parameter!$E$5:$E$7,W1289)*X1289/SUMIFS($X$7:$X$1843,$W$7:$W$1843,W1289),0),0)</f>
        <v>0</v>
      </c>
    </row>
    <row r="1290" customFormat="false" ht="15" hidden="false" customHeight="false" outlineLevel="0" collapsed="false">
      <c r="A1290" s="48" t="s">
        <v>2308</v>
      </c>
      <c r="B1290" s="48" t="s">
        <v>215</v>
      </c>
      <c r="C1290" s="48" t="s">
        <v>465</v>
      </c>
      <c r="D1290" s="48" t="s">
        <v>362</v>
      </c>
      <c r="E1290" s="48"/>
      <c r="F1290" s="48" t="s">
        <v>227</v>
      </c>
      <c r="G1290" s="49" t="n">
        <v>1133.33</v>
      </c>
      <c r="H1290" s="50" t="n">
        <f aca="false">MAX(0,IF(AND(Parameter!$B$21="Ja",ISNUMBER(Y1290)),Y1290,IF(Parameter!$B$20="Jahresanfang 2025 + Export",BR1290+BQ1290,BQ1290)))</f>
        <v>0</v>
      </c>
      <c r="I1290" s="50" t="n">
        <f aca="false">H1290*G1290</f>
        <v>0</v>
      </c>
      <c r="J1290" s="50" t="n">
        <f aca="false">BT1290*Parameter!$B$18</f>
        <v>0</v>
      </c>
      <c r="K1290" s="51" t="n">
        <v>0.5</v>
      </c>
      <c r="L1290" s="52" t="n">
        <v>0</v>
      </c>
      <c r="M1290" s="50" t="n">
        <v>0</v>
      </c>
      <c r="N1290" s="50" t="n">
        <v>0</v>
      </c>
      <c r="O1290" s="53" t="n">
        <v>70</v>
      </c>
      <c r="P1290" s="48" t="s">
        <v>177</v>
      </c>
      <c r="Q1290" s="50"/>
      <c r="R1290" s="53" t="n">
        <f aca="false">IF(BZ1290=1,0,IFERROR(VLOOKUP(BX1290,'Gebinde-Kategorie'!$A$5:$N$45,13,0)+0,0))</f>
        <v>0</v>
      </c>
      <c r="S1290" s="54"/>
      <c r="T1290" s="55"/>
      <c r="U1290" s="55"/>
      <c r="V1290" s="55"/>
      <c r="W1290" s="48"/>
      <c r="X1290" s="50"/>
      <c r="Y1290" s="50"/>
      <c r="Z1290" s="48" t="str">
        <f aca="false">IF(A1290="","",IF(AND(Parameter!$B$21="Ja",ISNUMBER(W1290)),W1290,IF(CC1290="2+3",IF(ISNUMBER(SEARCH("grosser Artikel",BU1290)),2,IFERROR(VLOOKUP(BX1290,Parameter!$F$35:$G$64,2,0),2)),IF(OR(CC1290="Nein",CC1290=""),"-",CC1290))))</f>
        <v>-</v>
      </c>
      <c r="AA1290" s="55"/>
      <c r="AB1290" s="56"/>
      <c r="AC1290" s="50" t="n">
        <f aca="false">AV1290</f>
        <v>0</v>
      </c>
      <c r="AD1290" s="50" t="n">
        <f aca="false">MAX(AV1290,H1290)</f>
        <v>0</v>
      </c>
      <c r="AE1290" s="57"/>
      <c r="AF1290" s="50" t="n">
        <f aca="false">IF(LEFT(Cockpit!$C$5,1)="A",H1290,IF(Parameter!$E$30="MAX-Bestand",IF(CH1290=1,CI1290,IF(LEFT(Cockpit!$C$5,1)="B",AL1290,MAX(AL1290,H1290))),ROUNDUP(AJ1290,0)))</f>
        <v>0</v>
      </c>
      <c r="AG1290" s="50" t="n">
        <f aca="false">IF(BZ1290=1,0,ROUNDUP(AF1290/BY1290,0))</f>
        <v>0</v>
      </c>
      <c r="AH1290" s="52" t="n">
        <f aca="false">IF(CQ1290&gt;0,CQ1290*MAX(1,AF1290/X1290),IF(BZ1290=1,IF(AF1290&lt;=0,0,CD1290*MAX(1,IF(H1290&gt;0,AF1290/H1290,1))),IF(R1290&gt;0,AG1290/R1290,0))/MAX(0.1,N(Parameter!$M$21)))</f>
        <v>0</v>
      </c>
      <c r="AI1290" s="50" t="n">
        <f aca="false">AH1290*CB1290</f>
        <v>0</v>
      </c>
      <c r="AJ1290" s="51" t="n">
        <f aca="false">IF(LEFT(Cockpit!$C$5,1)="A",H1290,IF(CH1290=1,(CK1290+CI1290)/2,IF(LEFT(Cockpit!$C$5,1)="B",(CK1290+AL1290)/2,MAX((CK1290+AL1290)/2,H1290))))</f>
        <v>0</v>
      </c>
      <c r="AK1290" s="50" t="n">
        <f aca="false">AJ1290*G1290</f>
        <v>0</v>
      </c>
      <c r="AL1290" s="50" t="n">
        <f aca="false">ROUNDUP(CK1290+MAX(CL1290,2*(J1290/IF(CG1290&gt;0,CG1290,MAX(0.1,N(Cockpit!$C$6)))-CK1290)),0)</f>
        <v>0</v>
      </c>
      <c r="AM1290" s="51" t="n">
        <f aca="false">IF(AI1290&gt;0,J1290/AI1290,-1)</f>
        <v>-1</v>
      </c>
      <c r="AN1290" s="51" t="str">
        <f aca="false">IF(AND(OR(CF1290="L1",CF1290="L23",CF1290="LIFT"),AI1290&gt;0),SUMIFS($AI$7:$AI$1843,$CF$7:$CF$1843,CF1290,$AM$7:$AM$1843,"&gt;"&amp;AM1290)+SUMIFS($AI$7:$AI$1843,$CF$7:$CF$1843,CF1290,$AM$7:$AM$1843,AM1290,$BW$7:$BW$1843,"&lt;="&amp;BW1290),"")</f>
        <v/>
      </c>
      <c r="AO1290" s="58" t="n">
        <f aca="false">IF(AN1290="",0,MAX(0,MIN(1,(IF(CF1290="L1",Parameter!$H$5,IF(CF1290="L23",Parameter!$H$6+Parameter!$H$7,Parameter!$H$5+Parameter!$H$6+Parameter!$H$7))-(AN1290-AI1290))/AI1290)))</f>
        <v>0</v>
      </c>
      <c r="AP1290" s="50" t="n">
        <f aca="false">IF(LEFT(Cockpit!$I$5,1)="A",H1290,IF(Parameter!$E$30="MAX-Bestand",IF(CH1290=1,CI1290,IF(LEFT(Cockpit!$I$5,1)="B",AV1290,MAX(AV1290,H1290))),ROUNDUP(AT1290,0)))</f>
        <v>0</v>
      </c>
      <c r="AQ1290" s="50" t="n">
        <f aca="false">IF(BZ1290=1,0,ROUNDUP(AP1290/BY1290,0))</f>
        <v>0</v>
      </c>
      <c r="AR1290" s="52" t="n">
        <f aca="false">IF(CQ1290&gt;0,CQ1290*MAX(1,AP1290/X1290),IF(BZ1290=1,IF(AP1290&lt;=0,0,CD1290*MAX(1,IF(H1290&gt;0,AP1290/H1290,1))),IF(R1290&gt;0,AQ1290/R1290,0))/MAX(0.1,N(Parameter!$M$21)))</f>
        <v>0</v>
      </c>
      <c r="AS1290" s="50" t="n">
        <f aca="false">AR1290*CB1290</f>
        <v>0</v>
      </c>
      <c r="AT1290" s="51" t="n">
        <f aca="false">IF(LEFT(Cockpit!$I$5,1)="A",H1290,IF(CH1290=1,(CK1290+CI1290)/2,IF(LEFT(Cockpit!$I$5,1)="B",(CK1290+AV1290)/2,MAX((CK1290+AV1290)/2,H1290))))</f>
        <v>0</v>
      </c>
      <c r="AU1290" s="50" t="n">
        <f aca="false">AT1290*G1290</f>
        <v>0</v>
      </c>
      <c r="AV1290" s="50" t="n">
        <f aca="false">ROUNDUP(CK1290+MAX(CL1290,2*(J1290/IF(CG1290&gt;0,CG1290,MAX(0.1,N(Cockpit!$I$6)))-CK1290)),0)</f>
        <v>0</v>
      </c>
      <c r="AW1290" s="51" t="n">
        <f aca="false">IF(AS1290&gt;0,J1290/AS1290,-1)</f>
        <v>-1</v>
      </c>
      <c r="AX1290" s="51" t="str">
        <f aca="false">IF(AND(OR(CF1290="L1",CF1290="L23",CF1290="LIFT"),AS1290&gt;0),SUMIFS($AS$7:$AS$1843,$CF$7:$CF$1843,CF1290,$AW$7:$AW$1843,"&gt;"&amp;AW1290)+SUMIFS($AS$7:$AS$1843,$CF$7:$CF$1843,CF1290,$AW$7:$AW$1843,AW1290,$BW$7:$BW$1843,"&lt;="&amp;BW1290),"")</f>
        <v/>
      </c>
      <c r="AY1290" s="58" t="n">
        <f aca="false">IF(AX1290="",0,MAX(0,MIN(1,(IF(CF1290="L1",Parameter!$H$5,IF(CF1290="L23",Parameter!$H$6+Parameter!$H$7,Parameter!$H$5+Parameter!$H$6+Parameter!$H$7))-(AX1290-AS1290))/AS1290)))</f>
        <v>0</v>
      </c>
      <c r="AZ1290" s="50" t="n">
        <f aca="false">IF(LEFT(Cockpit!$O$5,1)="A",H1290,IF(Parameter!$E$30="MAX-Bestand",IF(CH1290=1,CI1290,IF(LEFT(Cockpit!$O$5,1)="B",BF1290,MAX(BF1290,H1290))),ROUNDUP(BD1290,0)))</f>
        <v>0</v>
      </c>
      <c r="BA1290" s="50" t="n">
        <f aca="false">IF(BZ1290=1,0,ROUNDUP(AZ1290/BY1290,0))</f>
        <v>0</v>
      </c>
      <c r="BB1290" s="52" t="n">
        <f aca="false">IF(CQ1290&gt;0,CQ1290*MAX(1,AZ1290/X1290),IF(BZ1290=1,IF(AZ1290&lt;=0,0,CD1290*MAX(1,IF(H1290&gt;0,AZ1290/H1290,1))),IF(R1290&gt;0,BA1290/R1290,0))/MAX(0.1,N(Parameter!$M$21)))</f>
        <v>0</v>
      </c>
      <c r="BC1290" s="50" t="n">
        <f aca="false">BB1290*CB1290</f>
        <v>0</v>
      </c>
      <c r="BD1290" s="51" t="n">
        <f aca="false">IF(LEFT(Cockpit!$O$5,1)="A",H1290,IF(CH1290=1,(CK1290+CI1290)/2,IF(LEFT(Cockpit!$O$5,1)="B",(CK1290+BF1290)/2,MAX((CK1290+BF1290)/2,H1290))))</f>
        <v>0</v>
      </c>
      <c r="BE1290" s="50" t="n">
        <f aca="false">BD1290*G1290</f>
        <v>0</v>
      </c>
      <c r="BF1290" s="50" t="n">
        <f aca="false">ROUNDUP(CK1290+MAX(CL1290,2*(J1290/IF(CG1290&gt;0,CG1290,MAX(0.1,N(Cockpit!$O$6)))-CK1290)),0)</f>
        <v>0</v>
      </c>
      <c r="BG1290" s="51" t="n">
        <f aca="false">IF(BC1290&gt;0,J1290/BC1290,-1)</f>
        <v>-1</v>
      </c>
      <c r="BH1290" s="51" t="str">
        <f aca="false">IF(AND(OR(CF1290="L1",CF1290="L23",CF1290="LIFT"),BC1290&gt;0),SUMIFS($BC$7:$BC$1843,$CF$7:$CF$1843,CF1290,$BG$7:$BG$1843,"&gt;"&amp;BG1290)+SUMIFS($BC$7:$BC$1843,$CF$7:$CF$1843,CF1290,$BG$7:$BG$1843,BG1290,$BW$7:$BW$1843,"&lt;="&amp;BW1290),"")</f>
        <v/>
      </c>
      <c r="BI1290" s="58" t="n">
        <f aca="false">IF(BH1290="",0,MAX(0,MIN(1,(IF(CF1290="L1",Parameter!$H$5,IF(CF1290="L23",Parameter!$H$6+Parameter!$H$7,Parameter!$H$5+Parameter!$H$6+Parameter!$H$7))-(BH1290-BC1290))/BC1290)))</f>
        <v>0</v>
      </c>
      <c r="BJ1290" s="48" t="str">
        <f aca="false">IF(AI1290&lt;=0,"",IF(CF1290="Aussen","Aussenlager",IF(CF1290="-","Nicht im Lift",IF(AO1290&gt;=1,"Lift",IF(AO1290&lt;=0,"Aussenlager","teilweise")))))</f>
        <v/>
      </c>
      <c r="BK1290" s="48" t="str">
        <f aca="false">IF(AS1290&lt;=0,"",IF(CF1290="Aussen","Aussenlager",IF(CF1290="-","Nicht im Lift",IF(AY1290&gt;=1,"Lift",IF(AY1290&lt;=0,"Aussenlager","teilweise")))))</f>
        <v/>
      </c>
      <c r="BL1290" s="48" t="str">
        <f aca="false">IF(BC1290&lt;=0,"",IF(CF1290="Aussen","Aussenlager",IF(CF1290="-","Nicht im Lift",IF(BI1290&gt;=1,"Lift",IF(BI1290&lt;=0,"Aussenlager","teilweise")))))</f>
        <v/>
      </c>
      <c r="BM1290" s="48" t="str">
        <f aca="false">IF(A1290="","",IF(BV1290=1,"Neu; ","")&amp;IF(AND(BV1290=0,BQ1290&lt;0),"negativer Bestand (Export "&amp;BQ1290&amp;"); ","")&amp;IF(J1290&lt;=0,"Kein Verbrauch; ","")&amp;IF(CQ1290&gt;0,"Lift "&amp;W1290&amp;" lt. Liftbericht (Fach "&amp;X1290&amp;" Stk); ",IF(CA1290=1,"Gebinde geschätzt ("&amp;T1290&amp;"); ",IF(BZ1290=1,"Lose – Tablare geschätzt; ","")))&amp;IF(H1290&gt;AV1290,"Überbestand "&amp;ROUND(H1290-AV1290,0)&amp;" Stk / CHF "&amp;ROUND((H1290-AV1290)*G1290,0)&amp;"; ","")&amp;IF(AND(CH1290=1,CI1290&lt;CJ1290),"MAX &lt; MB+LG; ","")&amp;IF(AND(CP1290&gt;0,CO1290*10&gt;CP1290),"zu hoch für Tablar; ","")&amp;IF(AND(BV1290=0,OR(CH1290=1,AA1290&lt;&gt;"",U1290&lt;&gt;"",V1290&lt;&gt;"",AB1290&lt;&gt;"")),"manuell übersteuert; ","")&amp;IF(AND(BZ1290=0,R1290=0),"Gebinde unbekannt / Stellmass fehlt; ","")&amp;IF(AND(BZ1290=0,N(V1290)&lt;=0,N(Q1290)&lt;=0),"Menge pro Gebinde fehlt (Ist = 1 Gebinde); ","")&amp;BU1290)</f>
        <v>negativer Bestand (Export -1); Kein Verbrauch; Lose – Tablare geschätzt; </v>
      </c>
      <c r="BN1290" s="48"/>
      <c r="BO1290" s="48"/>
      <c r="BP1290" s="55"/>
      <c r="BQ1290" s="50" t="n">
        <v>-1</v>
      </c>
      <c r="BR1290" s="50" t="n">
        <v>1</v>
      </c>
      <c r="BS1290" s="49" t="n">
        <v>-1133.33</v>
      </c>
      <c r="BT1290" s="50" t="n">
        <v>0</v>
      </c>
      <c r="BU1290" s="48"/>
      <c r="BV1290" s="53" t="n">
        <v>0</v>
      </c>
      <c r="BW1290" s="53" t="n">
        <v>1290</v>
      </c>
      <c r="BX1290" s="48" t="str">
        <f aca="false">IF(U1290&lt;&gt;"",UPPER(TRIM(U1290)),IF(CA1290=1,UPPER(VLOOKUP(T1290,Parameter!$I$27:$K$29,2,0)),IF(P1290="","LOSE",P1290)))</f>
        <v>LOSE</v>
      </c>
      <c r="BY1290" s="50" t="n">
        <f aca="false">IF(BX1290="LOSE",1,IF(N(V1290)&gt;0,V1290,IF(CA1290=1,MAX(1,N(VLOOKUP(T1290,Parameter!$I$27:$K$29,3,0)),H1290,N(N1290)),IF(N(Q1290)&gt;0,Q1290,MAX(1,H1290)))))</f>
        <v>1</v>
      </c>
      <c r="BZ1290" s="53" t="n">
        <f aca="false">IF(BX1290="LOSE",1,0)</f>
        <v>1</v>
      </c>
      <c r="CA1290" s="53" t="n">
        <f aca="false">IF(AND(U1290="",OR(P1290="",P1290="LOSE"),T1290&lt;&gt;"",N(S1290)&lt;=0,ISNUMBER(MATCH(T1290,Parameter!$I$27:$I$29,0))),1,0)</f>
        <v>0</v>
      </c>
      <c r="CB1290" s="53" t="n">
        <f aca="false">IF(CQ1290&gt;0,INDEX(Parameter!$H$5:$H$7,W1290)/INDEX(Parameter!$E$5:$E$7,W1290),IF(AND(BZ1290=0,N(IFERROR(VLOOKUP(BX1290,'Gebinde-Kategorie'!$A$5:$N$45,14,0),0))&gt;0),VLOOKUP(BX1290,'Gebinde-Kategorie'!$A$5:$N$45,14,0)*10+Parameter!$M$23,Parameter!$M$24))</f>
        <v>235</v>
      </c>
      <c r="CC1290" s="48" t="str">
        <f aca="false">IF(AND(Parameter!$B$19="Ja",E1290&lt;&gt;"",ISNUMBER(MATCH(E1290,Parameter!$I$35:$I$52,0))),VLOOKUP(E1290,Parameter!$I$35:$J$52,2,0),IFERROR(VLOOKUP(D1290,Parameter!$A$35:$C$64,2,0),"Nein"))</f>
        <v>Nein</v>
      </c>
      <c r="CD1290" s="52" t="n">
        <f aca="false">IF(BZ1290=0,0,IF(N(S1290)&gt;0,S1290,IFERROR(VLOOKUP(D1290,Parameter!$A$35:$C$64,3,0)+0,0)))</f>
        <v>0.15</v>
      </c>
      <c r="CE1290" s="48" t="str">
        <f aca="false">IF(AA1290&lt;&gt;"",AA1290,Z1290)</f>
        <v>-</v>
      </c>
      <c r="CF1290" s="48" t="str">
        <f aca="false">IF(OR(CE1290=1,CE1290=2,CE1290=3),IF(Parameter!$E$27="Ja","LIFT",IF(CE1290=1,"L1","L23")),IF(CE1290="Aussen","Aussen","-"))</f>
        <v>-</v>
      </c>
      <c r="CG1290" s="59" t="n">
        <f aca="false">IF(N(AB1290)&gt;0,AB1290,0)</f>
        <v>0</v>
      </c>
      <c r="CH1290" s="53" t="n">
        <f aca="false">IF(ISNUMBER(AE1290),1,0)</f>
        <v>0</v>
      </c>
      <c r="CI1290" s="50" t="n">
        <f aca="false">N(AE1290)</f>
        <v>0</v>
      </c>
      <c r="CJ1290" s="50" t="n">
        <f aca="false">N(M1290)+N(N1290)</f>
        <v>0</v>
      </c>
      <c r="CK1290" s="50" t="n">
        <f aca="false">N(M1290)</f>
        <v>0</v>
      </c>
      <c r="CL1290" s="50" t="n">
        <f aca="false">N(N1290)</f>
        <v>0</v>
      </c>
      <c r="CM1290" s="50" t="n">
        <f aca="false">ROUNDUP(H1290/BY1290,0)</f>
        <v>0</v>
      </c>
      <c r="CN1290" s="50" t="n">
        <f aca="false">ROUNDUP(CI1290/BY1290,0)</f>
        <v>0</v>
      </c>
      <c r="CO1290" s="53" t="n">
        <f aca="false">IF(BZ1290=1,0,IFERROR(VLOOKUP(BX1290,'Gebinde-Kategorie'!$A$5:$N$45,5,0)+0,0))</f>
        <v>0</v>
      </c>
      <c r="CP1290" s="53" t="n">
        <f aca="false">IFERROR(IF(OR(CE1290=1,CE1290=2,CE1290=3),N(INDEX(Parameter!$I$5:$I$7,CE1290)),0),0)</f>
        <v>0</v>
      </c>
      <c r="CQ1290" s="52" t="n">
        <f aca="false">IF(AND(Parameter!$B$21="Ja",ISNUMBER(W1290),N(X1290)&gt;0),IFERROR(N(INDEX(Parameter!$L$5:$L$7,W1290))*INDEX(Parameter!$E$5:$E$7,W1290)*X1290/SUMIFS($X$7:$X$1843,$W$7:$W$1843,W1290),0),0)</f>
        <v>0</v>
      </c>
    </row>
    <row r="1291" customFormat="false" ht="15" hidden="false" customHeight="false" outlineLevel="0" collapsed="false">
      <c r="A1291" s="48" t="s">
        <v>2309</v>
      </c>
      <c r="B1291" s="48" t="s">
        <v>279</v>
      </c>
      <c r="C1291" s="48" t="s">
        <v>173</v>
      </c>
      <c r="D1291" s="48" t="s">
        <v>182</v>
      </c>
      <c r="E1291" s="48"/>
      <c r="F1291" s="48" t="s">
        <v>227</v>
      </c>
      <c r="G1291" s="49" t="n">
        <v>1160</v>
      </c>
      <c r="H1291" s="50" t="n">
        <f aca="false">MAX(0,IF(AND(Parameter!$B$21="Ja",ISNUMBER(Y1291)),Y1291,IF(Parameter!$B$20="Jahresanfang 2025 + Export",BR1291+BQ1291,BQ1291)))</f>
        <v>0</v>
      </c>
      <c r="I1291" s="50" t="n">
        <f aca="false">H1291*G1291</f>
        <v>0</v>
      </c>
      <c r="J1291" s="50" t="n">
        <f aca="false">BT1291*Parameter!$B$18</f>
        <v>0</v>
      </c>
      <c r="K1291" s="51" t="n">
        <v>1</v>
      </c>
      <c r="L1291" s="52" t="n">
        <v>0</v>
      </c>
      <c r="M1291" s="50" t="n">
        <v>0</v>
      </c>
      <c r="N1291" s="50" t="n">
        <v>1</v>
      </c>
      <c r="O1291" s="53" t="n">
        <v>35</v>
      </c>
      <c r="P1291" s="48" t="s">
        <v>177</v>
      </c>
      <c r="Q1291" s="50"/>
      <c r="R1291" s="53" t="n">
        <f aca="false">IF(BZ1291=1,0,IFERROR(VLOOKUP(BX1291,'Gebinde-Kategorie'!$A$5:$N$45,13,0)+0,0))</f>
        <v>4</v>
      </c>
      <c r="S1291" s="54"/>
      <c r="T1291" s="55" t="s">
        <v>198</v>
      </c>
      <c r="U1291" s="55"/>
      <c r="V1291" s="55"/>
      <c r="W1291" s="48"/>
      <c r="X1291" s="50"/>
      <c r="Y1291" s="50"/>
      <c r="Z1291" s="48" t="n">
        <f aca="false">IF(A1291="","",IF(AND(Parameter!$B$21="Ja",ISNUMBER(W1291)),W1291,IF(CC1291="2+3",IF(ISNUMBER(SEARCH("grosser Artikel",BU1291)),2,IFERROR(VLOOKUP(BX1291,Parameter!$F$35:$G$64,2,0),2)),IF(OR(CC1291="Nein",CC1291=""),"-",CC1291))))</f>
        <v>2</v>
      </c>
      <c r="AA1291" s="55"/>
      <c r="AB1291" s="56"/>
      <c r="AC1291" s="50" t="n">
        <f aca="false">AV1291</f>
        <v>1</v>
      </c>
      <c r="AD1291" s="50" t="n">
        <f aca="false">MAX(AV1291,H1291)</f>
        <v>1</v>
      </c>
      <c r="AE1291" s="57"/>
      <c r="AF1291" s="50" t="n">
        <f aca="false">IF(LEFT(Cockpit!$C$5,1)="A",H1291,IF(Parameter!$E$30="MAX-Bestand",IF(CH1291=1,CI1291,IF(LEFT(Cockpit!$C$5,1)="B",AL1291,MAX(AL1291,H1291))),ROUNDUP(AJ1291,0)))</f>
        <v>0</v>
      </c>
      <c r="AG1291" s="50" t="n">
        <f aca="false">IF(BZ1291=1,0,ROUNDUP(AF1291/BY1291,0))</f>
        <v>0</v>
      </c>
      <c r="AH1291" s="52" t="n">
        <f aca="false">IF(CQ1291&gt;0,CQ1291*MAX(1,AF1291/X1291),IF(BZ1291=1,IF(AF1291&lt;=0,0,CD1291*MAX(1,IF(H1291&gt;0,AF1291/H1291,1))),IF(R1291&gt;0,AG1291/R1291,0))/MAX(0.1,N(Parameter!$M$21)))</f>
        <v>0</v>
      </c>
      <c r="AI1291" s="50" t="n">
        <f aca="false">AH1291*CB1291</f>
        <v>0</v>
      </c>
      <c r="AJ1291" s="51" t="n">
        <f aca="false">IF(LEFT(Cockpit!$C$5,1)="A",H1291,IF(CH1291=1,(CK1291+CI1291)/2,IF(LEFT(Cockpit!$C$5,1)="B",(CK1291+AL1291)/2,MAX((CK1291+AL1291)/2,H1291))))</f>
        <v>0</v>
      </c>
      <c r="AK1291" s="50" t="n">
        <f aca="false">AJ1291*G1291</f>
        <v>0</v>
      </c>
      <c r="AL1291" s="50" t="n">
        <f aca="false">ROUNDUP(CK1291+MAX(CL1291,2*(J1291/IF(CG1291&gt;0,CG1291,MAX(0.1,N(Cockpit!$C$6)))-CK1291)),0)</f>
        <v>1</v>
      </c>
      <c r="AM1291" s="51" t="n">
        <f aca="false">IF(AI1291&gt;0,J1291/AI1291,-1)</f>
        <v>-1</v>
      </c>
      <c r="AN1291" s="51" t="str">
        <f aca="false">IF(AND(OR(CF1291="L1",CF1291="L23",CF1291="LIFT"),AI1291&gt;0),SUMIFS($AI$7:$AI$1843,$CF$7:$CF$1843,CF1291,$AM$7:$AM$1843,"&gt;"&amp;AM1291)+SUMIFS($AI$7:$AI$1843,$CF$7:$CF$1843,CF1291,$AM$7:$AM$1843,AM1291,$BW$7:$BW$1843,"&lt;="&amp;BW1291),"")</f>
        <v/>
      </c>
      <c r="AO1291" s="58" t="n">
        <f aca="false">IF(AN1291="",0,MAX(0,MIN(1,(IF(CF1291="L1",Parameter!$H$5,IF(CF1291="L23",Parameter!$H$6+Parameter!$H$7,Parameter!$H$5+Parameter!$H$6+Parameter!$H$7))-(AN1291-AI1291))/AI1291)))</f>
        <v>0</v>
      </c>
      <c r="AP1291" s="50" t="n">
        <f aca="false">IF(LEFT(Cockpit!$I$5,1)="A",H1291,IF(Parameter!$E$30="MAX-Bestand",IF(CH1291=1,CI1291,IF(LEFT(Cockpit!$I$5,1)="B",AV1291,MAX(AV1291,H1291))),ROUNDUP(AT1291,0)))</f>
        <v>1</v>
      </c>
      <c r="AQ1291" s="50" t="n">
        <f aca="false">IF(BZ1291=1,0,ROUNDUP(AP1291/BY1291,0))</f>
        <v>1</v>
      </c>
      <c r="AR1291" s="52" t="n">
        <f aca="false">IF(CQ1291&gt;0,CQ1291*MAX(1,AP1291/X1291),IF(BZ1291=1,IF(AP1291&lt;=0,0,CD1291*MAX(1,IF(H1291&gt;0,AP1291/H1291,1))),IF(R1291&gt;0,AQ1291/R1291,0))/MAX(0.1,N(Parameter!$M$21)))</f>
        <v>0.25</v>
      </c>
      <c r="AS1291" s="50" t="n">
        <f aca="false">AR1291*CB1291</f>
        <v>58.75</v>
      </c>
      <c r="AT1291" s="51" t="n">
        <f aca="false">IF(LEFT(Cockpit!$I$5,1)="A",H1291,IF(CH1291=1,(CK1291+CI1291)/2,IF(LEFT(Cockpit!$I$5,1)="B",(CK1291+AV1291)/2,MAX((CK1291+AV1291)/2,H1291))))</f>
        <v>0.5</v>
      </c>
      <c r="AU1291" s="50" t="n">
        <f aca="false">AT1291*G1291</f>
        <v>580</v>
      </c>
      <c r="AV1291" s="50" t="n">
        <f aca="false">ROUNDUP(CK1291+MAX(CL1291,2*(J1291/IF(CG1291&gt;0,CG1291,MAX(0.1,N(Cockpit!$I$6)))-CK1291)),0)</f>
        <v>1</v>
      </c>
      <c r="AW1291" s="51" t="n">
        <f aca="false">IF(AS1291&gt;0,J1291/AS1291,-1)</f>
        <v>0</v>
      </c>
      <c r="AX1291" s="51" t="n">
        <f aca="false">IF(AND(OR(CF1291="L1",CF1291="L23",CF1291="LIFT"),AS1291&gt;0),SUMIFS($AS$7:$AS$1843,$CF$7:$CF$1843,CF1291,$AW$7:$AW$1843,"&gt;"&amp;AW1291)+SUMIFS($AS$7:$AS$1843,$CF$7:$CF$1843,CF1291,$AW$7:$AW$1843,AW1291,$BW$7:$BW$1843,"&lt;="&amp;BW1291),"")</f>
        <v>35566.244047619</v>
      </c>
      <c r="AY1291" s="58" t="n">
        <f aca="false">IF(AX1291="",0,MAX(0,MIN(1,(IF(CF1291="L1",Parameter!$H$5,IF(CF1291="L23",Parameter!$H$6+Parameter!$H$7,Parameter!$H$5+Parameter!$H$6+Parameter!$H$7))-(AX1291-AS1291))/AS1291)))</f>
        <v>1</v>
      </c>
      <c r="AZ1291" s="50" t="n">
        <f aca="false">IF(LEFT(Cockpit!$O$5,1)="A",H1291,IF(Parameter!$E$30="MAX-Bestand",IF(CH1291=1,CI1291,IF(LEFT(Cockpit!$O$5,1)="B",BF1291,MAX(BF1291,H1291))),ROUNDUP(BD1291,0)))</f>
        <v>1</v>
      </c>
      <c r="BA1291" s="50" t="n">
        <f aca="false">IF(BZ1291=1,0,ROUNDUP(AZ1291/BY1291,0))</f>
        <v>1</v>
      </c>
      <c r="BB1291" s="52" t="n">
        <f aca="false">IF(CQ1291&gt;0,CQ1291*MAX(1,AZ1291/X1291),IF(BZ1291=1,IF(AZ1291&lt;=0,0,CD1291*MAX(1,IF(H1291&gt;0,AZ1291/H1291,1))),IF(R1291&gt;0,BA1291/R1291,0))/MAX(0.1,N(Parameter!$M$21)))</f>
        <v>0.25</v>
      </c>
      <c r="BC1291" s="50" t="n">
        <f aca="false">BB1291*CB1291</f>
        <v>58.75</v>
      </c>
      <c r="BD1291" s="51" t="n">
        <f aca="false">IF(LEFT(Cockpit!$O$5,1)="A",H1291,IF(CH1291=1,(CK1291+CI1291)/2,IF(LEFT(Cockpit!$O$5,1)="B",(CK1291+BF1291)/2,MAX((CK1291+BF1291)/2,H1291))))</f>
        <v>0.5</v>
      </c>
      <c r="BE1291" s="50" t="n">
        <f aca="false">BD1291*G1291</f>
        <v>580</v>
      </c>
      <c r="BF1291" s="50" t="n">
        <f aca="false">ROUNDUP(CK1291+MAX(CL1291,2*(J1291/IF(CG1291&gt;0,CG1291,MAX(0.1,N(Cockpit!$O$6)))-CK1291)),0)</f>
        <v>1</v>
      </c>
      <c r="BG1291" s="51" t="n">
        <f aca="false">IF(BC1291&gt;0,J1291/BC1291,-1)</f>
        <v>0</v>
      </c>
      <c r="BH1291" s="51" t="n">
        <f aca="false">IF(AND(OR(CF1291="L1",CF1291="L23",CF1291="LIFT"),BC1291&gt;0),SUMIFS($BC$7:$BC$1843,$CF$7:$CF$1843,CF1291,$BG$7:$BG$1843,"&gt;"&amp;BG1291)+SUMIFS($BC$7:$BC$1843,$CF$7:$CF$1843,CF1291,$BG$7:$BG$1843,BG1291,$BW$7:$BW$1843,"&lt;="&amp;BW1291),"")</f>
        <v>29551.5507077668</v>
      </c>
      <c r="BI1291" s="58" t="n">
        <f aca="false">IF(BH1291="",0,MAX(0,MIN(1,(IF(CF1291="L1",Parameter!$H$5,IF(CF1291="L23",Parameter!$H$6+Parameter!$H$7,Parameter!$H$5+Parameter!$H$6+Parameter!$H$7))-(BH1291-BC1291))/BC1291)))</f>
        <v>1</v>
      </c>
      <c r="BJ1291" s="48" t="str">
        <f aca="false">IF(AI1291&lt;=0,"",IF(CF1291="Aussen","Aussenlager",IF(CF1291="-","Nicht im Lift",IF(AO1291&gt;=1,"Lift",IF(AO1291&lt;=0,"Aussenlager","teilweise")))))</f>
        <v/>
      </c>
      <c r="BK1291" s="48" t="str">
        <f aca="false">IF(AS1291&lt;=0,"",IF(CF1291="Aussen","Aussenlager",IF(CF1291="-","Nicht im Lift",IF(AY1291&gt;=1,"Lift",IF(AY1291&lt;=0,"Aussenlager","teilweise")))))</f>
        <v>Lift</v>
      </c>
      <c r="BL1291" s="48" t="str">
        <f aca="false">IF(BC1291&lt;=0,"",IF(CF1291="Aussen","Aussenlager",IF(CF1291="-","Nicht im Lift",IF(BI1291&gt;=1,"Lift",IF(BI1291&lt;=0,"Aussenlager","teilweise")))))</f>
        <v>Lift</v>
      </c>
      <c r="BM1291" s="48" t="str">
        <f aca="false">IF(A1291="","",IF(BV1291=1,"Neu; ","")&amp;IF(AND(BV1291=0,BQ1291&lt;0),"negativer Bestand (Export "&amp;BQ1291&amp;"); ","")&amp;IF(J1291&lt;=0,"Kein Verbrauch; ","")&amp;IF(CQ1291&gt;0,"Lift "&amp;W1291&amp;" lt. Liftbericht (Fach "&amp;X1291&amp;" Stk); ",IF(CA1291=1,"Gebinde geschätzt ("&amp;T1291&amp;"); ",IF(BZ1291=1,"Lose – Tablare geschätzt; ","")))&amp;IF(H1291&gt;AV1291,"Überbestand "&amp;ROUND(H1291-AV1291,0)&amp;" Stk / CHF "&amp;ROUND((H1291-AV1291)*G1291,0)&amp;"; ","")&amp;IF(AND(CH1291=1,CI1291&lt;CJ1291),"MAX &lt; MB+LG; ","")&amp;IF(AND(CP1291&gt;0,CO1291*10&gt;CP1291),"zu hoch für Tablar; ","")&amp;IF(AND(BV1291=0,OR(CH1291=1,AA1291&lt;&gt;"",U1291&lt;&gt;"",V1291&lt;&gt;"",AB1291&lt;&gt;"")),"manuell übersteuert; ","")&amp;IF(AND(BZ1291=0,R1291=0),"Gebinde unbekannt / Stellmass fehlt; ","")&amp;IF(AND(BZ1291=0,N(V1291)&lt;=0,N(Q1291)&lt;=0),"Menge pro Gebinde fehlt (Ist = 1 Gebinde); ","")&amp;BU1291)</f>
        <v>negativer Bestand (Export -1); Kein Verbrauch; Gebinde geschätzt (Gross); Menge pro Gebinde fehlt (Ist = 1 Gebinde); </v>
      </c>
      <c r="BN1291" s="48"/>
      <c r="BO1291" s="48"/>
      <c r="BP1291" s="55"/>
      <c r="BQ1291" s="50" t="n">
        <v>-1</v>
      </c>
      <c r="BR1291" s="50" t="n">
        <v>1</v>
      </c>
      <c r="BS1291" s="49" t="n">
        <v>-1160</v>
      </c>
      <c r="BT1291" s="50" t="n">
        <v>0</v>
      </c>
      <c r="BU1291" s="48"/>
      <c r="BV1291" s="53" t="n">
        <v>0</v>
      </c>
      <c r="BW1291" s="53" t="n">
        <v>1291</v>
      </c>
      <c r="BX1291" s="48" t="str">
        <f aca="false">IF(U1291&lt;&gt;"",UPPER(TRIM(U1291)),IF(CA1291=1,UPPER(VLOOKUP(T1291,Parameter!$I$27:$K$29,2,0)),IF(P1291="","LOSE",P1291)))</f>
        <v>S81</v>
      </c>
      <c r="BY1291" s="50" t="n">
        <f aca="false">IF(BX1291="LOSE",1,IF(N(V1291)&gt;0,V1291,IF(CA1291=1,MAX(1,N(VLOOKUP(T1291,Parameter!$I$27:$K$29,3,0)),H1291,N(N1291)),IF(N(Q1291)&gt;0,Q1291,MAX(1,H1291)))))</f>
        <v>2</v>
      </c>
      <c r="BZ1291" s="53" t="n">
        <f aca="false">IF(BX1291="LOSE",1,0)</f>
        <v>0</v>
      </c>
      <c r="CA1291" s="53" t="n">
        <f aca="false">IF(AND(U1291="",OR(P1291="",P1291="LOSE"),T1291&lt;&gt;"",N(S1291)&lt;=0,ISNUMBER(MATCH(T1291,Parameter!$I$27:$I$29,0))),1,0)</f>
        <v>1</v>
      </c>
      <c r="CB1291" s="53" t="n">
        <f aca="false">IF(CQ1291&gt;0,INDEX(Parameter!$H$5:$H$7,W1291)/INDEX(Parameter!$E$5:$E$7,W1291),IF(AND(BZ1291=0,N(IFERROR(VLOOKUP(BX1291,'Gebinde-Kategorie'!$A$5:$N$45,14,0),0))&gt;0),VLOOKUP(BX1291,'Gebinde-Kategorie'!$A$5:$N$45,14,0)*10+Parameter!$M$23,Parameter!$M$24))</f>
        <v>235</v>
      </c>
      <c r="CC1291" s="48" t="str">
        <f aca="false">IF(AND(Parameter!$B$19="Ja",E1291&lt;&gt;"",ISNUMBER(MATCH(E1291,Parameter!$I$35:$I$52,0))),VLOOKUP(E1291,Parameter!$I$35:$J$52,2,0),IFERROR(VLOOKUP(D1291,Parameter!$A$35:$C$64,2,0),"Nein"))</f>
        <v>2+3</v>
      </c>
      <c r="CD1291" s="52" t="n">
        <f aca="false">IF(BZ1291=0,0,IF(N(S1291)&gt;0,S1291,IFERROR(VLOOKUP(D1291,Parameter!$A$35:$C$64,3,0)+0,0)))</f>
        <v>0</v>
      </c>
      <c r="CE1291" s="48" t="n">
        <f aca="false">IF(AA1291&lt;&gt;"",AA1291,Z1291)</f>
        <v>2</v>
      </c>
      <c r="CF1291" s="48" t="str">
        <f aca="false">IF(OR(CE1291=1,CE1291=2,CE1291=3),IF(Parameter!$E$27="Ja","LIFT",IF(CE1291=1,"L1","L23")),IF(CE1291="Aussen","Aussen","-"))</f>
        <v>LIFT</v>
      </c>
      <c r="CG1291" s="59" t="n">
        <f aca="false">IF(N(AB1291)&gt;0,AB1291,0)</f>
        <v>0</v>
      </c>
      <c r="CH1291" s="53" t="n">
        <f aca="false">IF(ISNUMBER(AE1291),1,0)</f>
        <v>0</v>
      </c>
      <c r="CI1291" s="50" t="n">
        <f aca="false">N(AE1291)</f>
        <v>0</v>
      </c>
      <c r="CJ1291" s="50" t="n">
        <f aca="false">N(M1291)+N(N1291)</f>
        <v>1</v>
      </c>
      <c r="CK1291" s="50" t="n">
        <f aca="false">N(M1291)</f>
        <v>0</v>
      </c>
      <c r="CL1291" s="50" t="n">
        <f aca="false">N(N1291)</f>
        <v>1</v>
      </c>
      <c r="CM1291" s="50" t="n">
        <f aca="false">ROUNDUP(H1291/BY1291,0)</f>
        <v>0</v>
      </c>
      <c r="CN1291" s="50" t="n">
        <f aca="false">ROUNDUP(CI1291/BY1291,0)</f>
        <v>0</v>
      </c>
      <c r="CO1291" s="53" t="n">
        <f aca="false">IF(BZ1291=1,0,IFERROR(VLOOKUP(BX1291,'Gebinde-Kategorie'!$A$5:$N$45,5,0)+0,0))</f>
        <v>20</v>
      </c>
      <c r="CP1291" s="53" t="n">
        <f aca="false">IFERROR(IF(OR(CE1291=1,CE1291=2,CE1291=3),N(INDEX(Parameter!$I$5:$I$7,CE1291)),0),0)</f>
        <v>0</v>
      </c>
      <c r="CQ1291" s="52" t="n">
        <f aca="false">IF(AND(Parameter!$B$21="Ja",ISNUMBER(W1291),N(X1291)&gt;0),IFERROR(N(INDEX(Parameter!$L$5:$L$7,W1291))*INDEX(Parameter!$E$5:$E$7,W1291)*X1291/SUMIFS($X$7:$X$1843,$W$7:$W$1843,W1291),0),0)</f>
        <v>0</v>
      </c>
    </row>
    <row r="1292" customFormat="false" ht="15" hidden="false" customHeight="false" outlineLevel="0" collapsed="false">
      <c r="A1292" s="48" t="s">
        <v>2310</v>
      </c>
      <c r="B1292" s="48" t="s">
        <v>609</v>
      </c>
      <c r="C1292" s="48" t="s">
        <v>173</v>
      </c>
      <c r="D1292" s="48" t="s">
        <v>193</v>
      </c>
      <c r="E1292" s="48" t="s">
        <v>194</v>
      </c>
      <c r="F1292" s="48" t="s">
        <v>227</v>
      </c>
      <c r="G1292" s="49" t="n">
        <v>16.14</v>
      </c>
      <c r="H1292" s="50" t="n">
        <f aca="false">MAX(0,IF(AND(Parameter!$B$21="Ja",ISNUMBER(Y1292)),Y1292,IF(Parameter!$B$20="Jahresanfang 2025 + Export",BR1292+BQ1292,BQ1292)))</f>
        <v>10</v>
      </c>
      <c r="I1292" s="50" t="n">
        <f aca="false">H1292*G1292</f>
        <v>161.4</v>
      </c>
      <c r="J1292" s="50" t="n">
        <f aca="false">BT1292*Parameter!$B$18</f>
        <v>53</v>
      </c>
      <c r="K1292" s="51" t="n">
        <v>61.5</v>
      </c>
      <c r="L1292" s="52" t="n">
        <v>0.861788617886179</v>
      </c>
      <c r="M1292" s="50" t="n">
        <v>3</v>
      </c>
      <c r="N1292" s="50" t="n">
        <v>55</v>
      </c>
      <c r="O1292" s="53" t="n">
        <v>21</v>
      </c>
      <c r="P1292" s="48" t="s">
        <v>311</v>
      </c>
      <c r="Q1292" s="50" t="n">
        <v>58</v>
      </c>
      <c r="R1292" s="53" t="n">
        <f aca="false">IF(BZ1292=1,0,IFERROR(VLOOKUP(BX1292,'Gebinde-Kategorie'!$A$5:$N$45,13,0)+0,0))</f>
        <v>26</v>
      </c>
      <c r="S1292" s="54"/>
      <c r="T1292" s="55"/>
      <c r="U1292" s="55"/>
      <c r="V1292" s="55"/>
      <c r="W1292" s="48"/>
      <c r="X1292" s="50"/>
      <c r="Y1292" s="50"/>
      <c r="Z1292" s="48" t="n">
        <f aca="false">IF(A1292="","",IF(AND(Parameter!$B$21="Ja",ISNUMBER(W1292)),W1292,IF(CC1292="2+3",IF(ISNUMBER(SEARCH("grosser Artikel",BU1292)),2,IFERROR(VLOOKUP(BX1292,Parameter!$F$35:$G$64,2,0),2)),IF(OR(CC1292="Nein",CC1292=""),"-",CC1292))))</f>
        <v>3</v>
      </c>
      <c r="AA1292" s="55"/>
      <c r="AB1292" s="56"/>
      <c r="AC1292" s="50" t="n">
        <f aca="false">AV1292</f>
        <v>58</v>
      </c>
      <c r="AD1292" s="50" t="n">
        <f aca="false">MAX(AV1292,H1292)</f>
        <v>58</v>
      </c>
      <c r="AE1292" s="57"/>
      <c r="AF1292" s="50" t="n">
        <f aca="false">IF(LEFT(Cockpit!$C$5,1)="A",H1292,IF(Parameter!$E$30="MAX-Bestand",IF(CH1292=1,CI1292,IF(LEFT(Cockpit!$C$5,1)="B",AL1292,MAX(AL1292,H1292))),ROUNDUP(AJ1292,0)))</f>
        <v>10</v>
      </c>
      <c r="AG1292" s="50" t="n">
        <f aca="false">IF(BZ1292=1,0,ROUNDUP(AF1292/BY1292,0))</f>
        <v>1</v>
      </c>
      <c r="AH1292" s="52" t="n">
        <f aca="false">IF(CQ1292&gt;0,CQ1292*MAX(1,AF1292/X1292),IF(BZ1292=1,IF(AF1292&lt;=0,0,CD1292*MAX(1,IF(H1292&gt;0,AF1292/H1292,1))),IF(R1292&gt;0,AG1292/R1292,0))/MAX(0.1,N(Parameter!$M$21)))</f>
        <v>0.0384615384615385</v>
      </c>
      <c r="AI1292" s="50" t="n">
        <f aca="false">AH1292*CB1292</f>
        <v>5.96153846153846</v>
      </c>
      <c r="AJ1292" s="51" t="n">
        <f aca="false">IF(LEFT(Cockpit!$C$5,1)="A",H1292,IF(CH1292=1,(CK1292+CI1292)/2,IF(LEFT(Cockpit!$C$5,1)="B",(CK1292+AL1292)/2,MAX((CK1292+AL1292)/2,H1292))))</f>
        <v>10</v>
      </c>
      <c r="AK1292" s="50" t="n">
        <f aca="false">AJ1292*G1292</f>
        <v>161.4</v>
      </c>
      <c r="AL1292" s="50" t="n">
        <f aca="false">ROUNDUP(CK1292+MAX(CL1292,2*(J1292/IF(CG1292&gt;0,CG1292,MAX(0.1,N(Cockpit!$C$6)))-CK1292)),0)</f>
        <v>58</v>
      </c>
      <c r="AM1292" s="51" t="n">
        <f aca="false">IF(AI1292&gt;0,J1292/AI1292,-1)</f>
        <v>8.89032258064516</v>
      </c>
      <c r="AN1292" s="51" t="n">
        <f aca="false">IF(AND(OR(CF1292="L1",CF1292="L23",CF1292="LIFT"),AI1292&gt;0),SUMIFS($AI$7:$AI$1843,$CF$7:$CF$1843,CF1292,$AM$7:$AM$1843,"&gt;"&amp;AM1292)+SUMIFS($AI$7:$AI$1843,$CF$7:$CF$1843,CF1292,$AM$7:$AM$1843,AM1292,$BW$7:$BW$1843,"&lt;="&amp;BW1292),"")</f>
        <v>2930.06456043956</v>
      </c>
      <c r="AO1292" s="58" t="n">
        <f aca="false">IF(AN1292="",0,MAX(0,MIN(1,(IF(CF1292="L1",Parameter!$H$5,IF(CF1292="L23",Parameter!$H$6+Parameter!$H$7,Parameter!$H$5+Parameter!$H$6+Parameter!$H$7))-(AN1292-AI1292))/AI1292)))</f>
        <v>1</v>
      </c>
      <c r="AP1292" s="50" t="n">
        <f aca="false">IF(LEFT(Cockpit!$I$5,1)="A",H1292,IF(Parameter!$E$30="MAX-Bestand",IF(CH1292=1,CI1292,IF(LEFT(Cockpit!$I$5,1)="B",AV1292,MAX(AV1292,H1292))),ROUNDUP(AT1292,0)))</f>
        <v>31</v>
      </c>
      <c r="AQ1292" s="50" t="n">
        <f aca="false">IF(BZ1292=1,0,ROUNDUP(AP1292/BY1292,0))</f>
        <v>1</v>
      </c>
      <c r="AR1292" s="52" t="n">
        <f aca="false">IF(CQ1292&gt;0,CQ1292*MAX(1,AP1292/X1292),IF(BZ1292=1,IF(AP1292&lt;=0,0,CD1292*MAX(1,IF(H1292&gt;0,AP1292/H1292,1))),IF(R1292&gt;0,AQ1292/R1292,0))/MAX(0.1,N(Parameter!$M$21)))</f>
        <v>0.0384615384615385</v>
      </c>
      <c r="AS1292" s="50" t="n">
        <f aca="false">AR1292*CB1292</f>
        <v>5.96153846153846</v>
      </c>
      <c r="AT1292" s="51" t="n">
        <f aca="false">IF(LEFT(Cockpit!$I$5,1)="A",H1292,IF(CH1292=1,(CK1292+CI1292)/2,IF(LEFT(Cockpit!$I$5,1)="B",(CK1292+AV1292)/2,MAX((CK1292+AV1292)/2,H1292))))</f>
        <v>30.5</v>
      </c>
      <c r="AU1292" s="50" t="n">
        <f aca="false">AT1292*G1292</f>
        <v>492.27</v>
      </c>
      <c r="AV1292" s="50" t="n">
        <f aca="false">ROUNDUP(CK1292+MAX(CL1292,2*(J1292/IF(CG1292&gt;0,CG1292,MAX(0.1,N(Cockpit!$I$6)))-CK1292)),0)</f>
        <v>58</v>
      </c>
      <c r="AW1292" s="51" t="n">
        <f aca="false">IF(AS1292&gt;0,J1292/AS1292,-1)</f>
        <v>8.89032258064516</v>
      </c>
      <c r="AX1292" s="51" t="n">
        <f aca="false">IF(AND(OR(CF1292="L1",CF1292="L23",CF1292="LIFT"),AS1292&gt;0),SUMIFS($AS$7:$AS$1843,$CF$7:$CF$1843,CF1292,$AW$7:$AW$1843,"&gt;"&amp;AW1292)+SUMIFS($AS$7:$AS$1843,$CF$7:$CF$1843,CF1292,$AW$7:$AW$1843,AW1292,$BW$7:$BW$1843,"&lt;="&amp;BW1292),"")</f>
        <v>3545.05265567766</v>
      </c>
      <c r="AY1292" s="58" t="n">
        <f aca="false">IF(AX1292="",0,MAX(0,MIN(1,(IF(CF1292="L1",Parameter!$H$5,IF(CF1292="L23",Parameter!$H$6+Parameter!$H$7,Parameter!$H$5+Parameter!$H$6+Parameter!$H$7))-(AX1292-AS1292))/AS1292)))</f>
        <v>1</v>
      </c>
      <c r="AZ1292" s="50" t="n">
        <f aca="false">IF(LEFT(Cockpit!$O$5,1)="A",H1292,IF(Parameter!$E$30="MAX-Bestand",IF(CH1292=1,CI1292,IF(LEFT(Cockpit!$O$5,1)="B",BF1292,MAX(BF1292,H1292))),ROUNDUP(BD1292,0)))</f>
        <v>31</v>
      </c>
      <c r="BA1292" s="50" t="n">
        <f aca="false">IF(BZ1292=1,0,ROUNDUP(AZ1292/BY1292,0))</f>
        <v>1</v>
      </c>
      <c r="BB1292" s="52" t="n">
        <f aca="false">IF(CQ1292&gt;0,CQ1292*MAX(1,AZ1292/X1292),IF(BZ1292=1,IF(AZ1292&lt;=0,0,CD1292*MAX(1,IF(H1292&gt;0,AZ1292/H1292,1))),IF(R1292&gt;0,BA1292/R1292,0))/MAX(0.1,N(Parameter!$M$21)))</f>
        <v>0.0384615384615385</v>
      </c>
      <c r="BC1292" s="50" t="n">
        <f aca="false">BB1292*CB1292</f>
        <v>5.96153846153846</v>
      </c>
      <c r="BD1292" s="51" t="n">
        <f aca="false">IF(LEFT(Cockpit!$O$5,1)="A",H1292,IF(CH1292=1,(CK1292+CI1292)/2,IF(LEFT(Cockpit!$O$5,1)="B",(CK1292+BF1292)/2,MAX((CK1292+BF1292)/2,H1292))))</f>
        <v>30.5</v>
      </c>
      <c r="BE1292" s="50" t="n">
        <f aca="false">BD1292*G1292</f>
        <v>492.27</v>
      </c>
      <c r="BF1292" s="50" t="n">
        <f aca="false">ROUNDUP(CK1292+MAX(CL1292,2*(J1292/IF(CG1292&gt;0,CG1292,MAX(0.1,N(Cockpit!$O$6)))-CK1292)),0)</f>
        <v>58</v>
      </c>
      <c r="BG1292" s="51" t="n">
        <f aca="false">IF(BC1292&gt;0,J1292/BC1292,-1)</f>
        <v>8.89032258064516</v>
      </c>
      <c r="BH1292" s="51" t="n">
        <f aca="false">IF(AND(OR(CF1292="L1",CF1292="L23",CF1292="LIFT"),BC1292&gt;0),SUMIFS($BC$7:$BC$1843,$CF$7:$CF$1843,CF1292,$BG$7:$BG$1843,"&gt;"&amp;BG1292)+SUMIFS($BC$7:$BC$1843,$CF$7:$CF$1843,CF1292,$BG$7:$BG$1843,BG1292,$BW$7:$BW$1843,"&lt;="&amp;BW1292),"")</f>
        <v>2886.21657509158</v>
      </c>
      <c r="BI1292" s="58" t="n">
        <f aca="false">IF(BH1292="",0,MAX(0,MIN(1,(IF(CF1292="L1",Parameter!$H$5,IF(CF1292="L23",Parameter!$H$6+Parameter!$H$7,Parameter!$H$5+Parameter!$H$6+Parameter!$H$7))-(BH1292-BC1292))/BC1292)))</f>
        <v>1</v>
      </c>
      <c r="BJ1292" s="48" t="str">
        <f aca="false">IF(AI1292&lt;=0,"",IF(CF1292="Aussen","Aussenlager",IF(CF1292="-","Nicht im Lift",IF(AO1292&gt;=1,"Lift",IF(AO1292&lt;=0,"Aussenlager","teilweise")))))</f>
        <v>Lift</v>
      </c>
      <c r="BK1292" s="48" t="str">
        <f aca="false">IF(AS1292&lt;=0,"",IF(CF1292="Aussen","Aussenlager",IF(CF1292="-","Nicht im Lift",IF(AY1292&gt;=1,"Lift",IF(AY1292&lt;=0,"Aussenlager","teilweise")))))</f>
        <v>Lift</v>
      </c>
      <c r="BL1292" s="48" t="str">
        <f aca="false">IF(BC1292&lt;=0,"",IF(CF1292="Aussen","Aussenlager",IF(CF1292="-","Nicht im Lift",IF(BI1292&gt;=1,"Lift",IF(BI1292&lt;=0,"Aussenlager","teilweise")))))</f>
        <v>Lift</v>
      </c>
      <c r="BM1292" s="48" t="str">
        <f aca="false">IF(A1292="","",IF(BV1292=1,"Neu; ","")&amp;IF(AND(BV1292=0,BQ1292&lt;0),"negativer Bestand (Export "&amp;BQ1292&amp;"); ","")&amp;IF(J1292&lt;=0,"Kein Verbrauch; ","")&amp;IF(CQ1292&gt;0,"Lift "&amp;W1292&amp;" lt. Liftbericht (Fach "&amp;X1292&amp;" Stk); ",IF(CA1292=1,"Gebinde geschätzt ("&amp;T1292&amp;"); ",IF(BZ1292=1,"Lose – Tablare geschätzt; ","")))&amp;IF(H1292&gt;AV1292,"Überbestand "&amp;ROUND(H1292-AV1292,0)&amp;" Stk / CHF "&amp;ROUND((H1292-AV1292)*G1292,0)&amp;"; ","")&amp;IF(AND(CH1292=1,CI1292&lt;CJ1292),"MAX &lt; MB+LG; ","")&amp;IF(AND(CP1292&gt;0,CO1292*10&gt;CP1292),"zu hoch für Tablar; ","")&amp;IF(AND(BV1292=0,OR(CH1292=1,AA1292&lt;&gt;"",U1292&lt;&gt;"",V1292&lt;&gt;"",AB1292&lt;&gt;"")),"manuell übersteuert; ","")&amp;IF(AND(BZ1292=0,R1292=0),"Gebinde unbekannt / Stellmass fehlt; ","")&amp;IF(AND(BZ1292=0,N(V1292)&lt;=0,N(Q1292)&lt;=0),"Menge pro Gebinde fehlt (Ist = 1 Gebinde); ","")&amp;BU1292)</f>
        <v>negativer Bestand (Export -66); </v>
      </c>
      <c r="BN1292" s="48"/>
      <c r="BO1292" s="48"/>
      <c r="BP1292" s="55"/>
      <c r="BQ1292" s="50" t="n">
        <v>-66</v>
      </c>
      <c r="BR1292" s="50" t="n">
        <v>76</v>
      </c>
      <c r="BS1292" s="49" t="n">
        <v>-1160.7</v>
      </c>
      <c r="BT1292" s="50" t="n">
        <v>53</v>
      </c>
      <c r="BU1292" s="48"/>
      <c r="BV1292" s="53" t="n">
        <v>0</v>
      </c>
      <c r="BW1292" s="53" t="n">
        <v>1292</v>
      </c>
      <c r="BX1292" s="48" t="str">
        <f aca="false">IF(U1292&lt;&gt;"",UPPER(TRIM(U1292)),IF(CA1292=1,UPPER(VLOOKUP(T1292,Parameter!$I$27:$K$29,2,0)),IF(P1292="","LOSE",P1292)))</f>
        <v>S51</v>
      </c>
      <c r="BY1292" s="50" t="n">
        <f aca="false">IF(BX1292="LOSE",1,IF(N(V1292)&gt;0,V1292,IF(CA1292=1,MAX(1,N(VLOOKUP(T1292,Parameter!$I$27:$K$29,3,0)),H1292,N(N1292)),IF(N(Q1292)&gt;0,Q1292,MAX(1,H1292)))))</f>
        <v>58</v>
      </c>
      <c r="BZ1292" s="53" t="n">
        <f aca="false">IF(BX1292="LOSE",1,0)</f>
        <v>0</v>
      </c>
      <c r="CA1292" s="53" t="n">
        <f aca="false">IF(AND(U1292="",OR(P1292="",P1292="LOSE"),T1292&lt;&gt;"",N(S1292)&lt;=0,ISNUMBER(MATCH(T1292,Parameter!$I$27:$I$29,0))),1,0)</f>
        <v>0</v>
      </c>
      <c r="CB1292" s="53" t="n">
        <f aca="false">IF(CQ1292&gt;0,INDEX(Parameter!$H$5:$H$7,W1292)/INDEX(Parameter!$E$5:$E$7,W1292),IF(AND(BZ1292=0,N(IFERROR(VLOOKUP(BX1292,'Gebinde-Kategorie'!$A$5:$N$45,14,0),0))&gt;0),VLOOKUP(BX1292,'Gebinde-Kategorie'!$A$5:$N$45,14,0)*10+Parameter!$M$23,Parameter!$M$24))</f>
        <v>155</v>
      </c>
      <c r="CC1292" s="48" t="str">
        <f aca="false">IF(AND(Parameter!$B$19="Ja",E1292&lt;&gt;"",ISNUMBER(MATCH(E1292,Parameter!$I$35:$I$52,0))),VLOOKUP(E1292,Parameter!$I$35:$J$52,2,0),IFERROR(VLOOKUP(D1292,Parameter!$A$35:$C$64,2,0),"Nein"))</f>
        <v>2+3</v>
      </c>
      <c r="CD1292" s="52" t="n">
        <f aca="false">IF(BZ1292=0,0,IF(N(S1292)&gt;0,S1292,IFERROR(VLOOKUP(D1292,Parameter!$A$35:$C$64,3,0)+0,0)))</f>
        <v>0</v>
      </c>
      <c r="CE1292" s="48" t="n">
        <f aca="false">IF(AA1292&lt;&gt;"",AA1292,Z1292)</f>
        <v>3</v>
      </c>
      <c r="CF1292" s="48" t="str">
        <f aca="false">IF(OR(CE1292=1,CE1292=2,CE1292=3),IF(Parameter!$E$27="Ja","LIFT",IF(CE1292=1,"L1","L23")),IF(CE1292="Aussen","Aussen","-"))</f>
        <v>LIFT</v>
      </c>
      <c r="CG1292" s="59" t="n">
        <f aca="false">IF(N(AB1292)&gt;0,AB1292,0)</f>
        <v>0</v>
      </c>
      <c r="CH1292" s="53" t="n">
        <f aca="false">IF(ISNUMBER(AE1292),1,0)</f>
        <v>0</v>
      </c>
      <c r="CI1292" s="50" t="n">
        <f aca="false">N(AE1292)</f>
        <v>0</v>
      </c>
      <c r="CJ1292" s="50" t="n">
        <f aca="false">N(M1292)+N(N1292)</f>
        <v>58</v>
      </c>
      <c r="CK1292" s="50" t="n">
        <f aca="false">N(M1292)</f>
        <v>3</v>
      </c>
      <c r="CL1292" s="50" t="n">
        <f aca="false">N(N1292)</f>
        <v>55</v>
      </c>
      <c r="CM1292" s="50" t="n">
        <f aca="false">ROUNDUP(H1292/BY1292,0)</f>
        <v>1</v>
      </c>
      <c r="CN1292" s="50" t="n">
        <f aca="false">ROUNDUP(CI1292/BY1292,0)</f>
        <v>0</v>
      </c>
      <c r="CO1292" s="53" t="n">
        <f aca="false">IF(BZ1292=1,0,IFERROR(VLOOKUP(BX1292,'Gebinde-Kategorie'!$A$5:$N$45,5,0)+0,0))</f>
        <v>11</v>
      </c>
      <c r="CP1292" s="53" t="n">
        <f aca="false">IFERROR(IF(OR(CE1292=1,CE1292=2,CE1292=3),N(INDEX(Parameter!$I$5:$I$7,CE1292)),0),0)</f>
        <v>0</v>
      </c>
      <c r="CQ1292" s="52" t="n">
        <f aca="false">IF(AND(Parameter!$B$21="Ja",ISNUMBER(W1292),N(X1292)&gt;0),IFERROR(N(INDEX(Parameter!$L$5:$L$7,W1292))*INDEX(Parameter!$E$5:$E$7,W1292)*X1292/SUMIFS($X$7:$X$1843,$W$7:$W$1843,W1292),0),0)</f>
        <v>0</v>
      </c>
    </row>
    <row r="1293" customFormat="false" ht="15" hidden="false" customHeight="false" outlineLevel="0" collapsed="false">
      <c r="A1293" s="48" t="s">
        <v>2311</v>
      </c>
      <c r="B1293" s="48" t="s">
        <v>1007</v>
      </c>
      <c r="C1293" s="48" t="s">
        <v>173</v>
      </c>
      <c r="D1293" s="48" t="s">
        <v>193</v>
      </c>
      <c r="E1293" s="48" t="s">
        <v>194</v>
      </c>
      <c r="F1293" s="48" t="s">
        <v>227</v>
      </c>
      <c r="G1293" s="49" t="n">
        <v>116.83</v>
      </c>
      <c r="H1293" s="50" t="n">
        <f aca="false">MAX(0,IF(AND(Parameter!$B$21="Ja",ISNUMBER(Y1293)),Y1293,IF(Parameter!$B$20="Jahresanfang 2025 + Export",BR1293+BQ1293,BQ1293)))</f>
        <v>28.7910000000001</v>
      </c>
      <c r="I1293" s="50" t="n">
        <f aca="false">H1293*G1293</f>
        <v>3363.65253000001</v>
      </c>
      <c r="J1293" s="50" t="n">
        <f aca="false">BT1293*Parameter!$B$18</f>
        <v>148.173</v>
      </c>
      <c r="K1293" s="51" t="n">
        <v>35.0785</v>
      </c>
      <c r="L1293" s="52" t="n">
        <v>4.22404036660633</v>
      </c>
      <c r="M1293" s="50" t="n">
        <v>15</v>
      </c>
      <c r="N1293" s="50" t="n">
        <v>45</v>
      </c>
      <c r="O1293" s="53" t="n">
        <v>42</v>
      </c>
      <c r="P1293" s="48" t="s">
        <v>302</v>
      </c>
      <c r="Q1293" s="50" t="n">
        <v>17.887</v>
      </c>
      <c r="R1293" s="53" t="n">
        <f aca="false">IF(BZ1293=1,0,IFERROR(VLOOKUP(BX1293,'Gebinde-Kategorie'!$A$5:$N$45,13,0)+0,0))</f>
        <v>12</v>
      </c>
      <c r="S1293" s="54"/>
      <c r="T1293" s="55"/>
      <c r="U1293" s="55"/>
      <c r="V1293" s="55"/>
      <c r="W1293" s="48"/>
      <c r="X1293" s="50"/>
      <c r="Y1293" s="50"/>
      <c r="Z1293" s="48" t="n">
        <f aca="false">IF(A1293="","",IF(AND(Parameter!$B$21="Ja",ISNUMBER(W1293)),W1293,IF(CC1293="2+3",IF(ISNUMBER(SEARCH("grosser Artikel",BU1293)),2,IFERROR(VLOOKUP(BX1293,Parameter!$F$35:$G$64,2,0),2)),IF(OR(CC1293="Nein",CC1293=""),"-",CC1293))))</f>
        <v>2</v>
      </c>
      <c r="AA1293" s="55"/>
      <c r="AB1293" s="56"/>
      <c r="AC1293" s="50" t="n">
        <f aca="false">AV1293</f>
        <v>84</v>
      </c>
      <c r="AD1293" s="50" t="n">
        <f aca="false">MAX(AV1293,H1293)</f>
        <v>84</v>
      </c>
      <c r="AE1293" s="57"/>
      <c r="AF1293" s="50" t="n">
        <f aca="false">IF(LEFT(Cockpit!$C$5,1)="A",H1293,IF(Parameter!$E$30="MAX-Bestand",IF(CH1293=1,CI1293,IF(LEFT(Cockpit!$C$5,1)="B",AL1293,MAX(AL1293,H1293))),ROUNDUP(AJ1293,0)))</f>
        <v>28.7910000000001</v>
      </c>
      <c r="AG1293" s="50" t="n">
        <f aca="false">IF(BZ1293=1,0,ROUNDUP(AF1293/BY1293,0))</f>
        <v>2</v>
      </c>
      <c r="AH1293" s="52" t="n">
        <f aca="false">IF(CQ1293&gt;0,CQ1293*MAX(1,AF1293/X1293),IF(BZ1293=1,IF(AF1293&lt;=0,0,CD1293*MAX(1,IF(H1293&gt;0,AF1293/H1293,1))),IF(R1293&gt;0,AG1293/R1293,0))/MAX(0.1,N(Parameter!$M$21)))</f>
        <v>0.166666666666667</v>
      </c>
      <c r="AI1293" s="50" t="n">
        <f aca="false">AH1293*CB1293</f>
        <v>40.8333333333333</v>
      </c>
      <c r="AJ1293" s="51" t="n">
        <f aca="false">IF(LEFT(Cockpit!$C$5,1)="A",H1293,IF(CH1293=1,(CK1293+CI1293)/2,IF(LEFT(Cockpit!$C$5,1)="B",(CK1293+AL1293)/2,MAX((CK1293+AL1293)/2,H1293))))</f>
        <v>28.7910000000001</v>
      </c>
      <c r="AK1293" s="50" t="n">
        <f aca="false">AJ1293*G1293</f>
        <v>3363.65253000001</v>
      </c>
      <c r="AL1293" s="50" t="n">
        <f aca="false">ROUNDUP(CK1293+MAX(CL1293,2*(J1293/IF(CG1293&gt;0,CG1293,MAX(0.1,N(Cockpit!$C$6)))-CK1293)),0)</f>
        <v>84</v>
      </c>
      <c r="AM1293" s="51" t="n">
        <f aca="false">IF(AI1293&gt;0,J1293/AI1293,-1)</f>
        <v>3.62872653061225</v>
      </c>
      <c r="AN1293" s="51" t="n">
        <f aca="false">IF(AND(OR(CF1293="L1",CF1293="L23",CF1293="LIFT"),AI1293&gt;0),SUMIFS($AI$7:$AI$1843,$CF$7:$CF$1843,CF1293,$AM$7:$AM$1843,"&gt;"&amp;AM1293)+SUMIFS($AI$7:$AI$1843,$CF$7:$CF$1843,CF1293,$AM$7:$AM$1843,AM1293,$BW$7:$BW$1843,"&lt;="&amp;BW1293),"")</f>
        <v>4819.57051282051</v>
      </c>
      <c r="AO1293" s="58" t="n">
        <f aca="false">IF(AN1293="",0,MAX(0,MIN(1,(IF(CF1293="L1",Parameter!$H$5,IF(CF1293="L23",Parameter!$H$6+Parameter!$H$7,Parameter!$H$5+Parameter!$H$6+Parameter!$H$7))-(AN1293-AI1293))/AI1293)))</f>
        <v>1</v>
      </c>
      <c r="AP1293" s="50" t="n">
        <f aca="false">IF(LEFT(Cockpit!$I$5,1)="A",H1293,IF(Parameter!$E$30="MAX-Bestand",IF(CH1293=1,CI1293,IF(LEFT(Cockpit!$I$5,1)="B",AV1293,MAX(AV1293,H1293))),ROUNDUP(AT1293,0)))</f>
        <v>50</v>
      </c>
      <c r="AQ1293" s="50" t="n">
        <f aca="false">IF(BZ1293=1,0,ROUNDUP(AP1293/BY1293,0))</f>
        <v>3</v>
      </c>
      <c r="AR1293" s="52" t="n">
        <f aca="false">IF(CQ1293&gt;0,CQ1293*MAX(1,AP1293/X1293),IF(BZ1293=1,IF(AP1293&lt;=0,0,CD1293*MAX(1,IF(H1293&gt;0,AP1293/H1293,1))),IF(R1293&gt;0,AQ1293/R1293,0))/MAX(0.1,N(Parameter!$M$21)))</f>
        <v>0.25</v>
      </c>
      <c r="AS1293" s="50" t="n">
        <f aca="false">AR1293*CB1293</f>
        <v>61.25</v>
      </c>
      <c r="AT1293" s="51" t="n">
        <f aca="false">IF(LEFT(Cockpit!$I$5,1)="A",H1293,IF(CH1293=1,(CK1293+CI1293)/2,IF(LEFT(Cockpit!$I$5,1)="B",(CK1293+AV1293)/2,MAX((CK1293+AV1293)/2,H1293))))</f>
        <v>49.5</v>
      </c>
      <c r="AU1293" s="50" t="n">
        <f aca="false">AT1293*G1293</f>
        <v>5783.085</v>
      </c>
      <c r="AV1293" s="50" t="n">
        <f aca="false">ROUNDUP(CK1293+MAX(CL1293,2*(J1293/IF(CG1293&gt;0,CG1293,MAX(0.1,N(Cockpit!$I$6)))-CK1293)),0)</f>
        <v>84</v>
      </c>
      <c r="AW1293" s="51" t="n">
        <f aca="false">IF(AS1293&gt;0,J1293/AS1293,-1)</f>
        <v>2.41915102040816</v>
      </c>
      <c r="AX1293" s="51" t="n">
        <f aca="false">IF(AND(OR(CF1293="L1",CF1293="L23",CF1293="LIFT"),AS1293&gt;0),SUMIFS($AS$7:$AS$1843,$CF$7:$CF$1843,CF1293,$AW$7:$AW$1843,"&gt;"&amp;AW1293)+SUMIFS($AS$7:$AS$1843,$CF$7:$CF$1843,CF1293,$AW$7:$AW$1843,AW1293,$BW$7:$BW$1843,"&lt;="&amp;BW1293),"")</f>
        <v>6403.65705128205</v>
      </c>
      <c r="AY1293" s="58" t="n">
        <f aca="false">IF(AX1293="",0,MAX(0,MIN(1,(IF(CF1293="L1",Parameter!$H$5,IF(CF1293="L23",Parameter!$H$6+Parameter!$H$7,Parameter!$H$5+Parameter!$H$6+Parameter!$H$7))-(AX1293-AS1293))/AS1293)))</f>
        <v>1</v>
      </c>
      <c r="AZ1293" s="50" t="n">
        <f aca="false">IF(LEFT(Cockpit!$O$5,1)="A",H1293,IF(Parameter!$E$30="MAX-Bestand",IF(CH1293=1,CI1293,IF(LEFT(Cockpit!$O$5,1)="B",BF1293,MAX(BF1293,H1293))),ROUNDUP(BD1293,0)))</f>
        <v>38</v>
      </c>
      <c r="BA1293" s="50" t="n">
        <f aca="false">IF(BZ1293=1,0,ROUNDUP(AZ1293/BY1293,0))</f>
        <v>3</v>
      </c>
      <c r="BB1293" s="52" t="n">
        <f aca="false">IF(CQ1293&gt;0,CQ1293*MAX(1,AZ1293/X1293),IF(BZ1293=1,IF(AZ1293&lt;=0,0,CD1293*MAX(1,IF(H1293&gt;0,AZ1293/H1293,1))),IF(R1293&gt;0,BA1293/R1293,0))/MAX(0.1,N(Parameter!$M$21)))</f>
        <v>0.25</v>
      </c>
      <c r="BC1293" s="50" t="n">
        <f aca="false">BB1293*CB1293</f>
        <v>61.25</v>
      </c>
      <c r="BD1293" s="51" t="n">
        <f aca="false">IF(LEFT(Cockpit!$O$5,1)="A",H1293,IF(CH1293=1,(CK1293+CI1293)/2,IF(LEFT(Cockpit!$O$5,1)="B",(CK1293+BF1293)/2,MAX((CK1293+BF1293)/2,H1293))))</f>
        <v>37.5</v>
      </c>
      <c r="BE1293" s="50" t="n">
        <f aca="false">BD1293*G1293</f>
        <v>4381.125</v>
      </c>
      <c r="BF1293" s="50" t="n">
        <f aca="false">ROUNDUP(CK1293+MAX(CL1293,2*(J1293/IF(CG1293&gt;0,CG1293,MAX(0.1,N(Cockpit!$O$6)))-CK1293)),0)</f>
        <v>60</v>
      </c>
      <c r="BG1293" s="51" t="n">
        <f aca="false">IF(BC1293&gt;0,J1293/BC1293,-1)</f>
        <v>2.41915102040816</v>
      </c>
      <c r="BH1293" s="51" t="n">
        <f aca="false">IF(AND(OR(CF1293="L1",CF1293="L23",CF1293="LIFT"),BC1293&gt;0),SUMIFS($BC$7:$BC$1843,$CF$7:$CF$1843,CF1293,$BG$7:$BG$1843,"&gt;"&amp;BG1293)+SUMIFS($BC$7:$BC$1843,$CF$7:$CF$1843,CF1293,$BG$7:$BG$1843,BG1293,$BW$7:$BW$1843,"&lt;="&amp;BW1293),"")</f>
        <v>5560.84615384615</v>
      </c>
      <c r="BI1293" s="58" t="n">
        <f aca="false">IF(BH1293="",0,MAX(0,MIN(1,(IF(CF1293="L1",Parameter!$H$5,IF(CF1293="L23",Parameter!$H$6+Parameter!$H$7,Parameter!$H$5+Parameter!$H$6+Parameter!$H$7))-(BH1293-BC1293))/BC1293)))</f>
        <v>1</v>
      </c>
      <c r="BJ1293" s="48" t="str">
        <f aca="false">IF(AI1293&lt;=0,"",IF(CF1293="Aussen","Aussenlager",IF(CF1293="-","Nicht im Lift",IF(AO1293&gt;=1,"Lift",IF(AO1293&lt;=0,"Aussenlager","teilweise")))))</f>
        <v>Lift</v>
      </c>
      <c r="BK1293" s="48" t="str">
        <f aca="false">IF(AS1293&lt;=0,"",IF(CF1293="Aussen","Aussenlager",IF(CF1293="-","Nicht im Lift",IF(AY1293&gt;=1,"Lift",IF(AY1293&lt;=0,"Aussenlager","teilweise")))))</f>
        <v>Lift</v>
      </c>
      <c r="BL1293" s="48" t="str">
        <f aca="false">IF(BC1293&lt;=0,"",IF(CF1293="Aussen","Aussenlager",IF(CF1293="-","Nicht im Lift",IF(BI1293&gt;=1,"Lift",IF(BI1293&lt;=0,"Aussenlager","teilweise")))))</f>
        <v>Lift</v>
      </c>
      <c r="BM1293" s="48" t="str">
        <f aca="false">IF(A1293="","",IF(BV1293=1,"Neu; ","")&amp;IF(AND(BV1293=0,BQ1293&lt;0),"negativer Bestand (Export "&amp;BQ1293&amp;"); ","")&amp;IF(J1293&lt;=0,"Kein Verbrauch; ","")&amp;IF(CQ1293&gt;0,"Lift "&amp;W1293&amp;" lt. Liftbericht (Fach "&amp;X1293&amp;" Stk); ",IF(CA1293=1,"Gebinde geschätzt ("&amp;T1293&amp;"); ",IF(BZ1293=1,"Lose – Tablare geschätzt; ","")))&amp;IF(H1293&gt;AV1293,"Überbestand "&amp;ROUND(H1293-AV1293,0)&amp;" Stk / CHF "&amp;ROUND((H1293-AV1293)*G1293,0)&amp;"; ","")&amp;IF(AND(CH1293=1,CI1293&lt;CJ1293),"MAX &lt; MB+LG; ","")&amp;IF(AND(CP1293&gt;0,CO1293*10&gt;CP1293),"zu hoch für Tablar; ","")&amp;IF(AND(BV1293=0,OR(CH1293=1,AA1293&lt;&gt;"",U1293&lt;&gt;"",V1293&lt;&gt;"",AB1293&lt;&gt;"")),"manuell übersteuert; ","")&amp;IF(AND(BZ1293=0,R1293=0),"Gebinde unbekannt / Stellmass fehlt; ","")&amp;IF(AND(BZ1293=0,N(V1293)&lt;=0,N(Q1293)&lt;=0),"Menge pro Gebinde fehlt (Ist = 1 Gebinde); ","")&amp;BU1293)</f>
        <v>negativer Bestand (Export -10.0179999999999); </v>
      </c>
      <c r="BN1293" s="48"/>
      <c r="BO1293" s="48"/>
      <c r="BP1293" s="55"/>
      <c r="BQ1293" s="50" t="n">
        <v>-10.0179999999999</v>
      </c>
      <c r="BR1293" s="50" t="n">
        <v>38.809</v>
      </c>
      <c r="BS1293" s="49" t="n">
        <v>-1172.3</v>
      </c>
      <c r="BT1293" s="50" t="n">
        <v>148.173</v>
      </c>
      <c r="BU1293" s="48"/>
      <c r="BV1293" s="53" t="n">
        <v>0</v>
      </c>
      <c r="BW1293" s="53" t="n">
        <v>1293</v>
      </c>
      <c r="BX1293" s="48" t="str">
        <f aca="false">IF(U1293&lt;&gt;"",UPPER(TRIM(U1293)),IF(CA1293=1,UPPER(VLOOKUP(T1293,Parameter!$I$27:$K$29,2,0)),IF(P1293="","LOSE",P1293)))</f>
        <v>S62</v>
      </c>
      <c r="BY1293" s="50" t="n">
        <f aca="false">IF(BX1293="LOSE",1,IF(N(V1293)&gt;0,V1293,IF(CA1293=1,MAX(1,N(VLOOKUP(T1293,Parameter!$I$27:$K$29,3,0)),H1293,N(N1293)),IF(N(Q1293)&gt;0,Q1293,MAX(1,H1293)))))</f>
        <v>17.887</v>
      </c>
      <c r="BZ1293" s="53" t="n">
        <f aca="false">IF(BX1293="LOSE",1,0)</f>
        <v>0</v>
      </c>
      <c r="CA1293" s="53" t="n">
        <f aca="false">IF(AND(U1293="",OR(P1293="",P1293="LOSE"),T1293&lt;&gt;"",N(S1293)&lt;=0,ISNUMBER(MATCH(T1293,Parameter!$I$27:$I$29,0))),1,0)</f>
        <v>0</v>
      </c>
      <c r="CB1293" s="53" t="n">
        <f aca="false">IF(CQ1293&gt;0,INDEX(Parameter!$H$5:$H$7,W1293)/INDEX(Parameter!$E$5:$E$7,W1293),IF(AND(BZ1293=0,N(IFERROR(VLOOKUP(BX1293,'Gebinde-Kategorie'!$A$5:$N$45,14,0),0))&gt;0),VLOOKUP(BX1293,'Gebinde-Kategorie'!$A$5:$N$45,14,0)*10+Parameter!$M$23,Parameter!$M$24))</f>
        <v>245</v>
      </c>
      <c r="CC1293" s="48" t="str">
        <f aca="false">IF(AND(Parameter!$B$19="Ja",E1293&lt;&gt;"",ISNUMBER(MATCH(E1293,Parameter!$I$35:$I$52,0))),VLOOKUP(E1293,Parameter!$I$35:$J$52,2,0),IFERROR(VLOOKUP(D1293,Parameter!$A$35:$C$64,2,0),"Nein"))</f>
        <v>2+3</v>
      </c>
      <c r="CD1293" s="52" t="n">
        <f aca="false">IF(BZ1293=0,0,IF(N(S1293)&gt;0,S1293,IFERROR(VLOOKUP(D1293,Parameter!$A$35:$C$64,3,0)+0,0)))</f>
        <v>0</v>
      </c>
      <c r="CE1293" s="48" t="n">
        <f aca="false">IF(AA1293&lt;&gt;"",AA1293,Z1293)</f>
        <v>2</v>
      </c>
      <c r="CF1293" s="48" t="str">
        <f aca="false">IF(OR(CE1293=1,CE1293=2,CE1293=3),IF(Parameter!$E$27="Ja","LIFT",IF(CE1293=1,"L1","L23")),IF(CE1293="Aussen","Aussen","-"))</f>
        <v>LIFT</v>
      </c>
      <c r="CG1293" s="59" t="n">
        <f aca="false">IF(N(AB1293)&gt;0,AB1293,0)</f>
        <v>0</v>
      </c>
      <c r="CH1293" s="53" t="n">
        <f aca="false">IF(ISNUMBER(AE1293),1,0)</f>
        <v>0</v>
      </c>
      <c r="CI1293" s="50" t="n">
        <f aca="false">N(AE1293)</f>
        <v>0</v>
      </c>
      <c r="CJ1293" s="50" t="n">
        <f aca="false">N(M1293)+N(N1293)</f>
        <v>60</v>
      </c>
      <c r="CK1293" s="50" t="n">
        <f aca="false">N(M1293)</f>
        <v>15</v>
      </c>
      <c r="CL1293" s="50" t="n">
        <f aca="false">N(N1293)</f>
        <v>45</v>
      </c>
      <c r="CM1293" s="50" t="n">
        <f aca="false">ROUNDUP(H1293/BY1293,0)</f>
        <v>2</v>
      </c>
      <c r="CN1293" s="50" t="n">
        <f aca="false">ROUNDUP(CI1293/BY1293,0)</f>
        <v>0</v>
      </c>
      <c r="CO1293" s="53" t="n">
        <f aca="false">IF(BZ1293=1,0,IFERROR(VLOOKUP(BX1293,'Gebinde-Kategorie'!$A$5:$N$45,5,0)+0,0))</f>
        <v>21</v>
      </c>
      <c r="CP1293" s="53" t="n">
        <f aca="false">IFERROR(IF(OR(CE1293=1,CE1293=2,CE1293=3),N(INDEX(Parameter!$I$5:$I$7,CE1293)),0),0)</f>
        <v>0</v>
      </c>
      <c r="CQ1293" s="52" t="n">
        <f aca="false">IF(AND(Parameter!$B$21="Ja",ISNUMBER(W1293),N(X1293)&gt;0),IFERROR(N(INDEX(Parameter!$L$5:$L$7,W1293))*INDEX(Parameter!$E$5:$E$7,W1293)*X1293/SUMIFS($X$7:$X$1843,$W$7:$W$1843,W1293),0),0)</f>
        <v>0</v>
      </c>
    </row>
    <row r="1294" customFormat="false" ht="15" hidden="false" customHeight="false" outlineLevel="0" collapsed="false">
      <c r="A1294" s="48" t="s">
        <v>2312</v>
      </c>
      <c r="B1294" s="48" t="s">
        <v>352</v>
      </c>
      <c r="C1294" s="48" t="s">
        <v>173</v>
      </c>
      <c r="D1294" s="48" t="s">
        <v>182</v>
      </c>
      <c r="E1294" s="48" t="s">
        <v>175</v>
      </c>
      <c r="F1294" s="48" t="s">
        <v>227</v>
      </c>
      <c r="G1294" s="49" t="n">
        <v>186.4</v>
      </c>
      <c r="H1294" s="50" t="n">
        <f aca="false">MAX(0,IF(AND(Parameter!$B$21="Ja",ISNUMBER(Y1294)),Y1294,IF(Parameter!$B$20="Jahresanfang 2025 + Export",BR1294+BQ1294,BQ1294)))</f>
        <v>10</v>
      </c>
      <c r="I1294" s="50" t="n">
        <f aca="false">H1294*G1294</f>
        <v>1864</v>
      </c>
      <c r="J1294" s="50" t="n">
        <f aca="false">BT1294*Parameter!$B$18</f>
        <v>25</v>
      </c>
      <c r="K1294" s="51" t="n">
        <v>13</v>
      </c>
      <c r="L1294" s="52" t="n">
        <v>1.92307692307692</v>
      </c>
      <c r="M1294" s="50" t="n">
        <v>1</v>
      </c>
      <c r="N1294" s="50" t="n">
        <v>10</v>
      </c>
      <c r="O1294" s="53" t="n">
        <v>21</v>
      </c>
      <c r="P1294" s="48" t="s">
        <v>183</v>
      </c>
      <c r="Q1294" s="50" t="n">
        <v>15</v>
      </c>
      <c r="R1294" s="53" t="n">
        <f aca="false">IF(BZ1294=1,0,IFERROR(VLOOKUP(BX1294,'Gebinde-Kategorie'!$A$5:$N$45,13,0)+0,0))</f>
        <v>6</v>
      </c>
      <c r="S1294" s="54"/>
      <c r="T1294" s="55"/>
      <c r="U1294" s="55"/>
      <c r="V1294" s="55"/>
      <c r="W1294" s="48"/>
      <c r="X1294" s="50"/>
      <c r="Y1294" s="50"/>
      <c r="Z1294" s="48" t="n">
        <f aca="false">IF(A1294="","",IF(AND(Parameter!$B$21="Ja",ISNUMBER(W1294)),W1294,IF(CC1294="2+3",IF(ISNUMBER(SEARCH("grosser Artikel",BU1294)),2,IFERROR(VLOOKUP(BX1294,Parameter!$F$35:$G$64,2,0),2)),IF(OR(CC1294="Nein",CC1294=""),"-",CC1294))))</f>
        <v>1</v>
      </c>
      <c r="AA1294" s="55"/>
      <c r="AB1294" s="56"/>
      <c r="AC1294" s="50" t="n">
        <f aca="false">AV1294</f>
        <v>16</v>
      </c>
      <c r="AD1294" s="50" t="n">
        <f aca="false">MAX(AV1294,H1294)</f>
        <v>16</v>
      </c>
      <c r="AE1294" s="57"/>
      <c r="AF1294" s="50" t="n">
        <f aca="false">IF(LEFT(Cockpit!$C$5,1)="A",H1294,IF(Parameter!$E$30="MAX-Bestand",IF(CH1294=1,CI1294,IF(LEFT(Cockpit!$C$5,1)="B",AL1294,MAX(AL1294,H1294))),ROUNDUP(AJ1294,0)))</f>
        <v>10</v>
      </c>
      <c r="AG1294" s="50" t="n">
        <f aca="false">IF(BZ1294=1,0,ROUNDUP(AF1294/BY1294,0))</f>
        <v>1</v>
      </c>
      <c r="AH1294" s="52" t="n">
        <f aca="false">IF(CQ1294&gt;0,CQ1294*MAX(1,AF1294/X1294),IF(BZ1294=1,IF(AF1294&lt;=0,0,CD1294*MAX(1,IF(H1294&gt;0,AF1294/H1294,1))),IF(R1294&gt;0,AG1294/R1294,0))/MAX(0.1,N(Parameter!$M$21)))</f>
        <v>0.166666666666667</v>
      </c>
      <c r="AI1294" s="50" t="n">
        <f aca="false">AH1294*CB1294</f>
        <v>39.1666666666667</v>
      </c>
      <c r="AJ1294" s="51" t="n">
        <f aca="false">IF(LEFT(Cockpit!$C$5,1)="A",H1294,IF(CH1294=1,(CK1294+CI1294)/2,IF(LEFT(Cockpit!$C$5,1)="B",(CK1294+AL1294)/2,MAX((CK1294+AL1294)/2,H1294))))</f>
        <v>10</v>
      </c>
      <c r="AK1294" s="50" t="n">
        <f aca="false">AJ1294*G1294</f>
        <v>1864</v>
      </c>
      <c r="AL1294" s="50" t="n">
        <f aca="false">ROUNDUP(CK1294+MAX(CL1294,2*(J1294/IF(CG1294&gt;0,CG1294,MAX(0.1,N(Cockpit!$C$6)))-CK1294)),0)</f>
        <v>16</v>
      </c>
      <c r="AM1294" s="51" t="n">
        <f aca="false">IF(AI1294&gt;0,J1294/AI1294,-1)</f>
        <v>0.638297872340426</v>
      </c>
      <c r="AN1294" s="51" t="n">
        <f aca="false">IF(AND(OR(CF1294="L1",CF1294="L23",CF1294="LIFT"),AI1294&gt;0),SUMIFS($AI$7:$AI$1843,$CF$7:$CF$1843,CF1294,$AM$7:$AM$1843,"&gt;"&amp;AM1294)+SUMIFS($AI$7:$AI$1843,$CF$7:$CF$1843,CF1294,$AM$7:$AM$1843,AM1294,$BW$7:$BW$1843,"&lt;="&amp;BW1294),"")</f>
        <v>8772.53846153846</v>
      </c>
      <c r="AO1294" s="58" t="n">
        <f aca="false">IF(AN1294="",0,MAX(0,MIN(1,(IF(CF1294="L1",Parameter!$H$5,IF(CF1294="L23",Parameter!$H$6+Parameter!$H$7,Parameter!$H$5+Parameter!$H$6+Parameter!$H$7))-(AN1294-AI1294))/AI1294)))</f>
        <v>1</v>
      </c>
      <c r="AP1294" s="50" t="n">
        <f aca="false">IF(LEFT(Cockpit!$I$5,1)="A",H1294,IF(Parameter!$E$30="MAX-Bestand",IF(CH1294=1,CI1294,IF(LEFT(Cockpit!$I$5,1)="B",AV1294,MAX(AV1294,H1294))),ROUNDUP(AT1294,0)))</f>
        <v>10</v>
      </c>
      <c r="AQ1294" s="50" t="n">
        <f aca="false">IF(BZ1294=1,0,ROUNDUP(AP1294/BY1294,0))</f>
        <v>1</v>
      </c>
      <c r="AR1294" s="52" t="n">
        <f aca="false">IF(CQ1294&gt;0,CQ1294*MAX(1,AP1294/X1294),IF(BZ1294=1,IF(AP1294&lt;=0,0,CD1294*MAX(1,IF(H1294&gt;0,AP1294/H1294,1))),IF(R1294&gt;0,AQ1294/R1294,0))/MAX(0.1,N(Parameter!$M$21)))</f>
        <v>0.166666666666667</v>
      </c>
      <c r="AS1294" s="50" t="n">
        <f aca="false">AR1294*CB1294</f>
        <v>39.1666666666667</v>
      </c>
      <c r="AT1294" s="51" t="n">
        <f aca="false">IF(LEFT(Cockpit!$I$5,1)="A",H1294,IF(CH1294=1,(CK1294+CI1294)/2,IF(LEFT(Cockpit!$I$5,1)="B",(CK1294+AV1294)/2,MAX((CK1294+AV1294)/2,H1294))))</f>
        <v>10</v>
      </c>
      <c r="AU1294" s="50" t="n">
        <f aca="false">AT1294*G1294</f>
        <v>1864</v>
      </c>
      <c r="AV1294" s="50" t="n">
        <f aca="false">ROUNDUP(CK1294+MAX(CL1294,2*(J1294/IF(CG1294&gt;0,CG1294,MAX(0.1,N(Cockpit!$I$6)))-CK1294)),0)</f>
        <v>16</v>
      </c>
      <c r="AW1294" s="51" t="n">
        <f aca="false">IF(AS1294&gt;0,J1294/AS1294,-1)</f>
        <v>0.638297872340426</v>
      </c>
      <c r="AX1294" s="51" t="n">
        <f aca="false">IF(AND(OR(CF1294="L1",CF1294="L23",CF1294="LIFT"),AS1294&gt;0),SUMIFS($AS$7:$AS$1843,$CF$7:$CF$1843,CF1294,$AW$7:$AW$1843,"&gt;"&amp;AW1294)+SUMIFS($AS$7:$AS$1843,$CF$7:$CF$1843,CF1294,$AW$7:$AW$1843,AW1294,$BW$7:$BW$1843,"&lt;="&amp;BW1294),"")</f>
        <v>11072.6675824176</v>
      </c>
      <c r="AY1294" s="58" t="n">
        <f aca="false">IF(AX1294="",0,MAX(0,MIN(1,(IF(CF1294="L1",Parameter!$H$5,IF(CF1294="L23",Parameter!$H$6+Parameter!$H$7,Parameter!$H$5+Parameter!$H$6+Parameter!$H$7))-(AX1294-AS1294))/AS1294)))</f>
        <v>1</v>
      </c>
      <c r="AZ1294" s="50" t="n">
        <f aca="false">IF(LEFT(Cockpit!$O$5,1)="A",H1294,IF(Parameter!$E$30="MAX-Bestand",IF(CH1294=1,CI1294,IF(LEFT(Cockpit!$O$5,1)="B",BF1294,MAX(BF1294,H1294))),ROUNDUP(BD1294,0)))</f>
        <v>7</v>
      </c>
      <c r="BA1294" s="50" t="n">
        <f aca="false">IF(BZ1294=1,0,ROUNDUP(AZ1294/BY1294,0))</f>
        <v>1</v>
      </c>
      <c r="BB1294" s="52" t="n">
        <f aca="false">IF(CQ1294&gt;0,CQ1294*MAX(1,AZ1294/X1294),IF(BZ1294=1,IF(AZ1294&lt;=0,0,CD1294*MAX(1,IF(H1294&gt;0,AZ1294/H1294,1))),IF(R1294&gt;0,BA1294/R1294,0))/MAX(0.1,N(Parameter!$M$21)))</f>
        <v>0.166666666666667</v>
      </c>
      <c r="BC1294" s="50" t="n">
        <f aca="false">BB1294*CB1294</f>
        <v>39.1666666666667</v>
      </c>
      <c r="BD1294" s="51" t="n">
        <f aca="false">IF(LEFT(Cockpit!$O$5,1)="A",H1294,IF(CH1294=1,(CK1294+CI1294)/2,IF(LEFT(Cockpit!$O$5,1)="B",(CK1294+BF1294)/2,MAX((CK1294+BF1294)/2,H1294))))</f>
        <v>6.5</v>
      </c>
      <c r="BE1294" s="50" t="n">
        <f aca="false">BD1294*G1294</f>
        <v>1211.6</v>
      </c>
      <c r="BF1294" s="50" t="n">
        <f aca="false">ROUNDUP(CK1294+MAX(CL1294,2*(J1294/IF(CG1294&gt;0,CG1294,MAX(0.1,N(Cockpit!$O$6)))-CK1294)),0)</f>
        <v>12</v>
      </c>
      <c r="BG1294" s="51" t="n">
        <f aca="false">IF(BC1294&gt;0,J1294/BC1294,-1)</f>
        <v>0.638297872340426</v>
      </c>
      <c r="BH1294" s="51" t="n">
        <f aca="false">IF(AND(OR(CF1294="L1",CF1294="L23",CF1294="LIFT"),BC1294&gt;0),SUMIFS($BC$7:$BC$1843,$CF$7:$CF$1843,CF1294,$BG$7:$BG$1843,"&gt;"&amp;BG1294)+SUMIFS($BC$7:$BC$1843,$CF$7:$CF$1843,CF1294,$BG$7:$BG$1843,BG1294,$BW$7:$BW$1843,"&lt;="&amp;BW1294),"")</f>
        <v>9685.28250915751</v>
      </c>
      <c r="BI1294" s="58" t="n">
        <f aca="false">IF(BH1294="",0,MAX(0,MIN(1,(IF(CF1294="L1",Parameter!$H$5,IF(CF1294="L23",Parameter!$H$6+Parameter!$H$7,Parameter!$H$5+Parameter!$H$6+Parameter!$H$7))-(BH1294-BC1294))/BC1294)))</f>
        <v>1</v>
      </c>
      <c r="BJ1294" s="48" t="str">
        <f aca="false">IF(AI1294&lt;=0,"",IF(CF1294="Aussen","Aussenlager",IF(CF1294="-","Nicht im Lift",IF(AO1294&gt;=1,"Lift",IF(AO1294&lt;=0,"Aussenlager","teilweise")))))</f>
        <v>Lift</v>
      </c>
      <c r="BK1294" s="48" t="str">
        <f aca="false">IF(AS1294&lt;=0,"",IF(CF1294="Aussen","Aussenlager",IF(CF1294="-","Nicht im Lift",IF(AY1294&gt;=1,"Lift",IF(AY1294&lt;=0,"Aussenlager","teilweise")))))</f>
        <v>Lift</v>
      </c>
      <c r="BL1294" s="48" t="str">
        <f aca="false">IF(BC1294&lt;=0,"",IF(CF1294="Aussen","Aussenlager",IF(CF1294="-","Nicht im Lift",IF(BI1294&gt;=1,"Lift",IF(BI1294&lt;=0,"Aussenlager","teilweise")))))</f>
        <v>Lift</v>
      </c>
      <c r="BM1294" s="48" t="str">
        <f aca="false">IF(A1294="","",IF(BV1294=1,"Neu; ","")&amp;IF(AND(BV1294=0,BQ1294&lt;0),"negativer Bestand (Export "&amp;BQ1294&amp;"); ","")&amp;IF(J1294&lt;=0,"Kein Verbrauch; ","")&amp;IF(CQ1294&gt;0,"Lift "&amp;W1294&amp;" lt. Liftbericht (Fach "&amp;X1294&amp;" Stk); ",IF(CA1294=1,"Gebinde geschätzt ("&amp;T1294&amp;"); ",IF(BZ1294=1,"Lose – Tablare geschätzt; ","")))&amp;IF(H1294&gt;AV1294,"Überbestand "&amp;ROUND(H1294-AV1294,0)&amp;" Stk / CHF "&amp;ROUND((H1294-AV1294)*G1294,0)&amp;"; ","")&amp;IF(AND(CH1294=1,CI1294&lt;CJ1294),"MAX &lt; MB+LG; ","")&amp;IF(AND(CP1294&gt;0,CO1294*10&gt;CP1294),"zu hoch für Tablar; ","")&amp;IF(AND(BV1294=0,OR(CH1294=1,AA1294&lt;&gt;"",U1294&lt;&gt;"",V1294&lt;&gt;"",AB1294&lt;&gt;"")),"manuell übersteuert; ","")&amp;IF(AND(BZ1294=0,R1294=0),"Gebinde unbekannt / Stellmass fehlt; ","")&amp;IF(AND(BZ1294=0,N(V1294)&lt;=0,N(Q1294)&lt;=0),"Menge pro Gebinde fehlt (Ist = 1 Gebinde); ","")&amp;BU1294)</f>
        <v>negativer Bestand (Export -5); </v>
      </c>
      <c r="BN1294" s="48"/>
      <c r="BO1294" s="48"/>
      <c r="BP1294" s="55"/>
      <c r="BQ1294" s="50" t="n">
        <v>-5</v>
      </c>
      <c r="BR1294" s="50" t="n">
        <v>15</v>
      </c>
      <c r="BS1294" s="49" t="n">
        <v>-1177.7</v>
      </c>
      <c r="BT1294" s="50" t="n">
        <v>25</v>
      </c>
      <c r="BU1294" s="48"/>
      <c r="BV1294" s="53" t="n">
        <v>0</v>
      </c>
      <c r="BW1294" s="53" t="n">
        <v>1294</v>
      </c>
      <c r="BX1294" s="48" t="str">
        <f aca="false">IF(U1294&lt;&gt;"",UPPER(TRIM(U1294)),IF(CA1294=1,UPPER(VLOOKUP(T1294,Parameter!$I$27:$K$29,2,0)),IF(P1294="","LOSE",P1294)))</f>
        <v>S71</v>
      </c>
      <c r="BY1294" s="50" t="n">
        <f aca="false">IF(BX1294="LOSE",1,IF(N(V1294)&gt;0,V1294,IF(CA1294=1,MAX(1,N(VLOOKUP(T1294,Parameter!$I$27:$K$29,3,0)),H1294,N(N1294)),IF(N(Q1294)&gt;0,Q1294,MAX(1,H1294)))))</f>
        <v>15</v>
      </c>
      <c r="BZ1294" s="53" t="n">
        <f aca="false">IF(BX1294="LOSE",1,0)</f>
        <v>0</v>
      </c>
      <c r="CA1294" s="53" t="n">
        <f aca="false">IF(AND(U1294="",OR(P1294="",P1294="LOSE"),T1294&lt;&gt;"",N(S1294)&lt;=0,ISNUMBER(MATCH(T1294,Parameter!$I$27:$I$29,0))),1,0)</f>
        <v>0</v>
      </c>
      <c r="CB1294" s="53" t="n">
        <f aca="false">IF(CQ1294&gt;0,INDEX(Parameter!$H$5:$H$7,W1294)/INDEX(Parameter!$E$5:$E$7,W1294),IF(AND(BZ1294=0,N(IFERROR(VLOOKUP(BX1294,'Gebinde-Kategorie'!$A$5:$N$45,14,0),0))&gt;0),VLOOKUP(BX1294,'Gebinde-Kategorie'!$A$5:$N$45,14,0)*10+Parameter!$M$23,Parameter!$M$24))</f>
        <v>235</v>
      </c>
      <c r="CC1294" s="48" t="n">
        <f aca="false">IF(AND(Parameter!$B$19="Ja",E1294&lt;&gt;"",ISNUMBER(MATCH(E1294,Parameter!$I$35:$I$52,0))),VLOOKUP(E1294,Parameter!$I$35:$J$52,2,0),IFERROR(VLOOKUP(D1294,Parameter!$A$35:$C$64,2,0),"Nein"))</f>
        <v>1</v>
      </c>
      <c r="CD1294" s="52" t="n">
        <f aca="false">IF(BZ1294=0,0,IF(N(S1294)&gt;0,S1294,IFERROR(VLOOKUP(D1294,Parameter!$A$35:$C$64,3,0)+0,0)))</f>
        <v>0</v>
      </c>
      <c r="CE1294" s="48" t="n">
        <f aca="false">IF(AA1294&lt;&gt;"",AA1294,Z1294)</f>
        <v>1</v>
      </c>
      <c r="CF1294" s="48" t="str">
        <f aca="false">IF(OR(CE1294=1,CE1294=2,CE1294=3),IF(Parameter!$E$27="Ja","LIFT",IF(CE1294=1,"L1","L23")),IF(CE1294="Aussen","Aussen","-"))</f>
        <v>LIFT</v>
      </c>
      <c r="CG1294" s="59" t="n">
        <f aca="false">IF(N(AB1294)&gt;0,AB1294,0)</f>
        <v>0</v>
      </c>
      <c r="CH1294" s="53" t="n">
        <f aca="false">IF(ISNUMBER(AE1294),1,0)</f>
        <v>0</v>
      </c>
      <c r="CI1294" s="50" t="n">
        <f aca="false">N(AE1294)</f>
        <v>0</v>
      </c>
      <c r="CJ1294" s="50" t="n">
        <f aca="false">N(M1294)+N(N1294)</f>
        <v>11</v>
      </c>
      <c r="CK1294" s="50" t="n">
        <f aca="false">N(M1294)</f>
        <v>1</v>
      </c>
      <c r="CL1294" s="50" t="n">
        <f aca="false">N(N1294)</f>
        <v>10</v>
      </c>
      <c r="CM1294" s="50" t="n">
        <f aca="false">ROUNDUP(H1294/BY1294,0)</f>
        <v>1</v>
      </c>
      <c r="CN1294" s="50" t="n">
        <f aca="false">ROUNDUP(CI1294/BY1294,0)</f>
        <v>0</v>
      </c>
      <c r="CO1294" s="53" t="n">
        <f aca="false">IF(BZ1294=1,0,IFERROR(VLOOKUP(BX1294,'Gebinde-Kategorie'!$A$5:$N$45,5,0)+0,0))</f>
        <v>20</v>
      </c>
      <c r="CP1294" s="53" t="n">
        <f aca="false">IFERROR(IF(OR(CE1294=1,CE1294=2,CE1294=3),N(INDEX(Parameter!$I$5:$I$7,CE1294)),0),0)</f>
        <v>0</v>
      </c>
      <c r="CQ1294" s="52" t="n">
        <f aca="false">IF(AND(Parameter!$B$21="Ja",ISNUMBER(W1294),N(X1294)&gt;0),IFERROR(N(INDEX(Parameter!$L$5:$L$7,W1294))*INDEX(Parameter!$E$5:$E$7,W1294)*X1294/SUMIFS($X$7:$X$1843,$W$7:$W$1843,W1294),0),0)</f>
        <v>0</v>
      </c>
    </row>
    <row r="1295" customFormat="false" ht="15" hidden="false" customHeight="false" outlineLevel="0" collapsed="false">
      <c r="A1295" s="48" t="s">
        <v>2313</v>
      </c>
      <c r="B1295" s="48" t="s">
        <v>1048</v>
      </c>
      <c r="C1295" s="48" t="s">
        <v>173</v>
      </c>
      <c r="D1295" s="48" t="s">
        <v>193</v>
      </c>
      <c r="E1295" s="48"/>
      <c r="F1295" s="48" t="s">
        <v>227</v>
      </c>
      <c r="G1295" s="49" t="n">
        <v>48.23</v>
      </c>
      <c r="H1295" s="50" t="n">
        <f aca="false">MAX(0,IF(AND(Parameter!$B$21="Ja",ISNUMBER(Y1295)),Y1295,IF(Parameter!$B$20="Jahresanfang 2025 + Export",BR1295+BQ1295,BQ1295)))</f>
        <v>72</v>
      </c>
      <c r="I1295" s="50" t="n">
        <f aca="false">H1295*G1295</f>
        <v>3472.56</v>
      </c>
      <c r="J1295" s="50" t="n">
        <f aca="false">BT1295*Parameter!$B$18</f>
        <v>308</v>
      </c>
      <c r="K1295" s="51" t="n">
        <v>83.5</v>
      </c>
      <c r="L1295" s="52" t="n">
        <v>3.68862275449102</v>
      </c>
      <c r="M1295" s="50" t="n">
        <v>17</v>
      </c>
      <c r="N1295" s="50" t="n">
        <v>100</v>
      </c>
      <c r="O1295" s="53" t="n">
        <v>21</v>
      </c>
      <c r="P1295" s="48" t="s">
        <v>302</v>
      </c>
      <c r="Q1295" s="50" t="n">
        <v>180</v>
      </c>
      <c r="R1295" s="53" t="n">
        <f aca="false">IF(BZ1295=1,0,IFERROR(VLOOKUP(BX1295,'Gebinde-Kategorie'!$A$5:$N$45,13,0)+0,0))</f>
        <v>12</v>
      </c>
      <c r="S1295" s="54"/>
      <c r="T1295" s="55"/>
      <c r="U1295" s="55"/>
      <c r="V1295" s="55"/>
      <c r="W1295" s="48"/>
      <c r="X1295" s="50"/>
      <c r="Y1295" s="50"/>
      <c r="Z1295" s="48" t="n">
        <f aca="false">IF(A1295="","",IF(AND(Parameter!$B$21="Ja",ISNUMBER(W1295)),W1295,IF(CC1295="2+3",IF(ISNUMBER(SEARCH("grosser Artikel",BU1295)),2,IFERROR(VLOOKUP(BX1295,Parameter!$F$35:$G$64,2,0),2)),IF(OR(CC1295="Nein",CC1295=""),"-",CC1295))))</f>
        <v>2</v>
      </c>
      <c r="AA1295" s="55"/>
      <c r="AB1295" s="56"/>
      <c r="AC1295" s="50" t="n">
        <f aca="false">AV1295</f>
        <v>189</v>
      </c>
      <c r="AD1295" s="50" t="n">
        <f aca="false">MAX(AV1295,H1295)</f>
        <v>189</v>
      </c>
      <c r="AE1295" s="57"/>
      <c r="AF1295" s="50" t="n">
        <f aca="false">IF(LEFT(Cockpit!$C$5,1)="A",H1295,IF(Parameter!$E$30="MAX-Bestand",IF(CH1295=1,CI1295,IF(LEFT(Cockpit!$C$5,1)="B",AL1295,MAX(AL1295,H1295))),ROUNDUP(AJ1295,0)))</f>
        <v>72</v>
      </c>
      <c r="AG1295" s="50" t="n">
        <f aca="false">IF(BZ1295=1,0,ROUNDUP(AF1295/BY1295,0))</f>
        <v>1</v>
      </c>
      <c r="AH1295" s="52" t="n">
        <f aca="false">IF(CQ1295&gt;0,CQ1295*MAX(1,AF1295/X1295),IF(BZ1295=1,IF(AF1295&lt;=0,0,CD1295*MAX(1,IF(H1295&gt;0,AF1295/H1295,1))),IF(R1295&gt;0,AG1295/R1295,0))/MAX(0.1,N(Parameter!$M$21)))</f>
        <v>0.0833333333333333</v>
      </c>
      <c r="AI1295" s="50" t="n">
        <f aca="false">AH1295*CB1295</f>
        <v>20.4166666666667</v>
      </c>
      <c r="AJ1295" s="51" t="n">
        <f aca="false">IF(LEFT(Cockpit!$C$5,1)="A",H1295,IF(CH1295=1,(CK1295+CI1295)/2,IF(LEFT(Cockpit!$C$5,1)="B",(CK1295+AL1295)/2,MAX((CK1295+AL1295)/2,H1295))))</f>
        <v>72</v>
      </c>
      <c r="AK1295" s="50" t="n">
        <f aca="false">AJ1295*G1295</f>
        <v>3472.56</v>
      </c>
      <c r="AL1295" s="50" t="n">
        <f aca="false">ROUNDUP(CK1295+MAX(CL1295,2*(J1295/IF(CG1295&gt;0,CG1295,MAX(0.1,N(Cockpit!$C$6)))-CK1295)),0)</f>
        <v>189</v>
      </c>
      <c r="AM1295" s="51" t="n">
        <f aca="false">IF(AI1295&gt;0,J1295/AI1295,-1)</f>
        <v>15.0857142857143</v>
      </c>
      <c r="AN1295" s="51" t="n">
        <f aca="false">IF(AND(OR(CF1295="L1",CF1295="L23",CF1295="LIFT"),AI1295&gt;0),SUMIFS($AI$7:$AI$1843,$CF$7:$CF$1843,CF1295,$AM$7:$AM$1843,"&gt;"&amp;AM1295)+SUMIFS($AI$7:$AI$1843,$CF$7:$CF$1843,CF1295,$AM$7:$AM$1843,AM1295,$BW$7:$BW$1843,"&lt;="&amp;BW1295),"")</f>
        <v>2093.55769230769</v>
      </c>
      <c r="AO1295" s="58" t="n">
        <f aca="false">IF(AN1295="",0,MAX(0,MIN(1,(IF(CF1295="L1",Parameter!$H$5,IF(CF1295="L23",Parameter!$H$6+Parameter!$H$7,Parameter!$H$5+Parameter!$H$6+Parameter!$H$7))-(AN1295-AI1295))/AI1295)))</f>
        <v>1</v>
      </c>
      <c r="AP1295" s="50" t="n">
        <f aca="false">IF(LEFT(Cockpit!$I$5,1)="A",H1295,IF(Parameter!$E$30="MAX-Bestand",IF(CH1295=1,CI1295,IF(LEFT(Cockpit!$I$5,1)="B",AV1295,MAX(AV1295,H1295))),ROUNDUP(AT1295,0)))</f>
        <v>103</v>
      </c>
      <c r="AQ1295" s="50" t="n">
        <f aca="false">IF(BZ1295=1,0,ROUNDUP(AP1295/BY1295,0))</f>
        <v>1</v>
      </c>
      <c r="AR1295" s="52" t="n">
        <f aca="false">IF(CQ1295&gt;0,CQ1295*MAX(1,AP1295/X1295),IF(BZ1295=1,IF(AP1295&lt;=0,0,CD1295*MAX(1,IF(H1295&gt;0,AP1295/H1295,1))),IF(R1295&gt;0,AQ1295/R1295,0))/MAX(0.1,N(Parameter!$M$21)))</f>
        <v>0.0833333333333333</v>
      </c>
      <c r="AS1295" s="50" t="n">
        <f aca="false">AR1295*CB1295</f>
        <v>20.4166666666667</v>
      </c>
      <c r="AT1295" s="51" t="n">
        <f aca="false">IF(LEFT(Cockpit!$I$5,1)="A",H1295,IF(CH1295=1,(CK1295+CI1295)/2,IF(LEFT(Cockpit!$I$5,1)="B",(CK1295+AV1295)/2,MAX((CK1295+AV1295)/2,H1295))))</f>
        <v>103</v>
      </c>
      <c r="AU1295" s="50" t="n">
        <f aca="false">AT1295*G1295</f>
        <v>4967.69</v>
      </c>
      <c r="AV1295" s="50" t="n">
        <f aca="false">ROUNDUP(CK1295+MAX(CL1295,2*(J1295/IF(CG1295&gt;0,CG1295,MAX(0.1,N(Cockpit!$I$6)))-CK1295)),0)</f>
        <v>189</v>
      </c>
      <c r="AW1295" s="51" t="n">
        <f aca="false">IF(AS1295&gt;0,J1295/AS1295,-1)</f>
        <v>15.0857142857143</v>
      </c>
      <c r="AX1295" s="51" t="n">
        <f aca="false">IF(AND(OR(CF1295="L1",CF1295="L23",CF1295="LIFT"),AS1295&gt;0),SUMIFS($AS$7:$AS$1843,$CF$7:$CF$1843,CF1295,$AW$7:$AW$1843,"&gt;"&amp;AW1295)+SUMIFS($AS$7:$AS$1843,$CF$7:$CF$1843,CF1295,$AW$7:$AW$1843,AW1295,$BW$7:$BW$1843,"&lt;="&amp;BW1295),"")</f>
        <v>2741.49450549451</v>
      </c>
      <c r="AY1295" s="58" t="n">
        <f aca="false">IF(AX1295="",0,MAX(0,MIN(1,(IF(CF1295="L1",Parameter!$H$5,IF(CF1295="L23",Parameter!$H$6+Parameter!$H$7,Parameter!$H$5+Parameter!$H$6+Parameter!$H$7))-(AX1295-AS1295))/AS1295)))</f>
        <v>1</v>
      </c>
      <c r="AZ1295" s="50" t="n">
        <f aca="false">IF(LEFT(Cockpit!$O$5,1)="A",H1295,IF(Parameter!$E$30="MAX-Bestand",IF(CH1295=1,CI1295,IF(LEFT(Cockpit!$O$5,1)="B",BF1295,MAX(BF1295,H1295))),ROUNDUP(BD1295,0)))</f>
        <v>77</v>
      </c>
      <c r="BA1295" s="50" t="n">
        <f aca="false">IF(BZ1295=1,0,ROUNDUP(AZ1295/BY1295,0))</f>
        <v>1</v>
      </c>
      <c r="BB1295" s="52" t="n">
        <f aca="false">IF(CQ1295&gt;0,CQ1295*MAX(1,AZ1295/X1295),IF(BZ1295=1,IF(AZ1295&lt;=0,0,CD1295*MAX(1,IF(H1295&gt;0,AZ1295/H1295,1))),IF(R1295&gt;0,BA1295/R1295,0))/MAX(0.1,N(Parameter!$M$21)))</f>
        <v>0.0833333333333333</v>
      </c>
      <c r="BC1295" s="50" t="n">
        <f aca="false">BB1295*CB1295</f>
        <v>20.4166666666667</v>
      </c>
      <c r="BD1295" s="51" t="n">
        <f aca="false">IF(LEFT(Cockpit!$O$5,1)="A",H1295,IF(CH1295=1,(CK1295+CI1295)/2,IF(LEFT(Cockpit!$O$5,1)="B",(CK1295+BF1295)/2,MAX((CK1295+BF1295)/2,H1295))))</f>
        <v>77</v>
      </c>
      <c r="BE1295" s="50" t="n">
        <f aca="false">BD1295*G1295</f>
        <v>3713.71</v>
      </c>
      <c r="BF1295" s="50" t="n">
        <f aca="false">ROUNDUP(CK1295+MAX(CL1295,2*(J1295/IF(CG1295&gt;0,CG1295,MAX(0.1,N(Cockpit!$O$6)))-CK1295)),0)</f>
        <v>137</v>
      </c>
      <c r="BG1295" s="51" t="n">
        <f aca="false">IF(BC1295&gt;0,J1295/BC1295,-1)</f>
        <v>15.0857142857143</v>
      </c>
      <c r="BH1295" s="51" t="n">
        <f aca="false">IF(AND(OR(CF1295="L1",CF1295="L23",CF1295="LIFT"),BC1295&gt;0),SUMIFS($BC$7:$BC$1843,$CF$7:$CF$1843,CF1295,$BG$7:$BG$1843,"&gt;"&amp;BG1295)+SUMIFS($BC$7:$BC$1843,$CF$7:$CF$1843,CF1295,$BG$7:$BG$1843,BG1295,$BW$7:$BW$1843,"&lt;="&amp;BW1295),"")</f>
        <v>2424.53159340659</v>
      </c>
      <c r="BI1295" s="58" t="n">
        <f aca="false">IF(BH1295="",0,MAX(0,MIN(1,(IF(CF1295="L1",Parameter!$H$5,IF(CF1295="L23",Parameter!$H$6+Parameter!$H$7,Parameter!$H$5+Parameter!$H$6+Parameter!$H$7))-(BH1295-BC1295))/BC1295)))</f>
        <v>1</v>
      </c>
      <c r="BJ1295" s="48" t="str">
        <f aca="false">IF(AI1295&lt;=0,"",IF(CF1295="Aussen","Aussenlager",IF(CF1295="-","Nicht im Lift",IF(AO1295&gt;=1,"Lift",IF(AO1295&lt;=0,"Aussenlager","teilweise")))))</f>
        <v>Lift</v>
      </c>
      <c r="BK1295" s="48" t="str">
        <f aca="false">IF(AS1295&lt;=0,"",IF(CF1295="Aussen","Aussenlager",IF(CF1295="-","Nicht im Lift",IF(AY1295&gt;=1,"Lift",IF(AY1295&lt;=0,"Aussenlager","teilweise")))))</f>
        <v>Lift</v>
      </c>
      <c r="BL1295" s="48" t="str">
        <f aca="false">IF(BC1295&lt;=0,"",IF(CF1295="Aussen","Aussenlager",IF(CF1295="-","Nicht im Lift",IF(BI1295&gt;=1,"Lift",IF(BI1295&lt;=0,"Aussenlager","teilweise")))))</f>
        <v>Lift</v>
      </c>
      <c r="BM1295" s="48" t="str">
        <f aca="false">IF(A1295="","",IF(BV1295=1,"Neu; ","")&amp;IF(AND(BV1295=0,BQ1295&lt;0),"negativer Bestand (Export "&amp;BQ1295&amp;"); ","")&amp;IF(J1295&lt;=0,"Kein Verbrauch; ","")&amp;IF(CQ1295&gt;0,"Lift "&amp;W1295&amp;" lt. Liftbericht (Fach "&amp;X1295&amp;" Stk); ",IF(CA1295=1,"Gebinde geschätzt ("&amp;T1295&amp;"); ",IF(BZ1295=1,"Lose – Tablare geschätzt; ","")))&amp;IF(H1295&gt;AV1295,"Überbestand "&amp;ROUND(H1295-AV1295,0)&amp;" Stk / CHF "&amp;ROUND((H1295-AV1295)*G1295,0)&amp;"; ","")&amp;IF(AND(CH1295=1,CI1295&lt;CJ1295),"MAX &lt; MB+LG; ","")&amp;IF(AND(CP1295&gt;0,CO1295*10&gt;CP1295),"zu hoch für Tablar; ","")&amp;IF(AND(BV1295=0,OR(CH1295=1,AA1295&lt;&gt;"",U1295&lt;&gt;"",V1295&lt;&gt;"",AB1295&lt;&gt;"")),"manuell übersteuert; ","")&amp;IF(AND(BZ1295=0,R1295=0),"Gebinde unbekannt / Stellmass fehlt; ","")&amp;IF(AND(BZ1295=0,N(V1295)&lt;=0,N(Q1295)&lt;=0),"Menge pro Gebinde fehlt (Ist = 1 Gebinde); ","")&amp;BU1295)</f>
        <v>negativer Bestand (Export -23); </v>
      </c>
      <c r="BN1295" s="48"/>
      <c r="BO1295" s="48"/>
      <c r="BP1295" s="55"/>
      <c r="BQ1295" s="50" t="n">
        <v>-23</v>
      </c>
      <c r="BR1295" s="50" t="n">
        <v>95</v>
      </c>
      <c r="BS1295" s="49" t="n">
        <v>-1179.59</v>
      </c>
      <c r="BT1295" s="50" t="n">
        <v>308</v>
      </c>
      <c r="BU1295" s="48"/>
      <c r="BV1295" s="53" t="n">
        <v>0</v>
      </c>
      <c r="BW1295" s="53" t="n">
        <v>1295</v>
      </c>
      <c r="BX1295" s="48" t="str">
        <f aca="false">IF(U1295&lt;&gt;"",UPPER(TRIM(U1295)),IF(CA1295=1,UPPER(VLOOKUP(T1295,Parameter!$I$27:$K$29,2,0)),IF(P1295="","LOSE",P1295)))</f>
        <v>S62</v>
      </c>
      <c r="BY1295" s="50" t="n">
        <f aca="false">IF(BX1295="LOSE",1,IF(N(V1295)&gt;0,V1295,IF(CA1295=1,MAX(1,N(VLOOKUP(T1295,Parameter!$I$27:$K$29,3,0)),H1295,N(N1295)),IF(N(Q1295)&gt;0,Q1295,MAX(1,H1295)))))</f>
        <v>180</v>
      </c>
      <c r="BZ1295" s="53" t="n">
        <f aca="false">IF(BX1295="LOSE",1,0)</f>
        <v>0</v>
      </c>
      <c r="CA1295" s="53" t="n">
        <f aca="false">IF(AND(U1295="",OR(P1295="",P1295="LOSE"),T1295&lt;&gt;"",N(S1295)&lt;=0,ISNUMBER(MATCH(T1295,Parameter!$I$27:$I$29,0))),1,0)</f>
        <v>0</v>
      </c>
      <c r="CB1295" s="53" t="n">
        <f aca="false">IF(CQ1295&gt;0,INDEX(Parameter!$H$5:$H$7,W1295)/INDEX(Parameter!$E$5:$E$7,W1295),IF(AND(BZ1295=0,N(IFERROR(VLOOKUP(BX1295,'Gebinde-Kategorie'!$A$5:$N$45,14,0),0))&gt;0),VLOOKUP(BX1295,'Gebinde-Kategorie'!$A$5:$N$45,14,0)*10+Parameter!$M$23,Parameter!$M$24))</f>
        <v>245</v>
      </c>
      <c r="CC1295" s="48" t="str">
        <f aca="false">IF(AND(Parameter!$B$19="Ja",E1295&lt;&gt;"",ISNUMBER(MATCH(E1295,Parameter!$I$35:$I$52,0))),VLOOKUP(E1295,Parameter!$I$35:$J$52,2,0),IFERROR(VLOOKUP(D1295,Parameter!$A$35:$C$64,2,0),"Nein"))</f>
        <v>2+3</v>
      </c>
      <c r="CD1295" s="52" t="n">
        <f aca="false">IF(BZ1295=0,0,IF(N(S1295)&gt;0,S1295,IFERROR(VLOOKUP(D1295,Parameter!$A$35:$C$64,3,0)+0,0)))</f>
        <v>0</v>
      </c>
      <c r="CE1295" s="48" t="n">
        <f aca="false">IF(AA1295&lt;&gt;"",AA1295,Z1295)</f>
        <v>2</v>
      </c>
      <c r="CF1295" s="48" t="str">
        <f aca="false">IF(OR(CE1295=1,CE1295=2,CE1295=3),IF(Parameter!$E$27="Ja","LIFT",IF(CE1295=1,"L1","L23")),IF(CE1295="Aussen","Aussen","-"))</f>
        <v>LIFT</v>
      </c>
      <c r="CG1295" s="59" t="n">
        <f aca="false">IF(N(AB1295)&gt;0,AB1295,0)</f>
        <v>0</v>
      </c>
      <c r="CH1295" s="53" t="n">
        <f aca="false">IF(ISNUMBER(AE1295),1,0)</f>
        <v>0</v>
      </c>
      <c r="CI1295" s="50" t="n">
        <f aca="false">N(AE1295)</f>
        <v>0</v>
      </c>
      <c r="CJ1295" s="50" t="n">
        <f aca="false">N(M1295)+N(N1295)</f>
        <v>117</v>
      </c>
      <c r="CK1295" s="50" t="n">
        <f aca="false">N(M1295)</f>
        <v>17</v>
      </c>
      <c r="CL1295" s="50" t="n">
        <f aca="false">N(N1295)</f>
        <v>100</v>
      </c>
      <c r="CM1295" s="50" t="n">
        <f aca="false">ROUNDUP(H1295/BY1295,0)</f>
        <v>1</v>
      </c>
      <c r="CN1295" s="50" t="n">
        <f aca="false">ROUNDUP(CI1295/BY1295,0)</f>
        <v>0</v>
      </c>
      <c r="CO1295" s="53" t="n">
        <f aca="false">IF(BZ1295=1,0,IFERROR(VLOOKUP(BX1295,'Gebinde-Kategorie'!$A$5:$N$45,5,0)+0,0))</f>
        <v>21</v>
      </c>
      <c r="CP1295" s="53" t="n">
        <f aca="false">IFERROR(IF(OR(CE1295=1,CE1295=2,CE1295=3),N(INDEX(Parameter!$I$5:$I$7,CE1295)),0),0)</f>
        <v>0</v>
      </c>
      <c r="CQ1295" s="52" t="n">
        <f aca="false">IF(AND(Parameter!$B$21="Ja",ISNUMBER(W1295),N(X1295)&gt;0),IFERROR(N(INDEX(Parameter!$L$5:$L$7,W1295))*INDEX(Parameter!$E$5:$E$7,W1295)*X1295/SUMIFS($X$7:$X$1843,$W$7:$W$1843,W1295),0),0)</f>
        <v>0</v>
      </c>
    </row>
    <row r="1296" customFormat="false" ht="15" hidden="false" customHeight="false" outlineLevel="0" collapsed="false">
      <c r="A1296" s="48" t="s">
        <v>2314</v>
      </c>
      <c r="B1296" s="48" t="s">
        <v>823</v>
      </c>
      <c r="C1296" s="48" t="s">
        <v>173</v>
      </c>
      <c r="D1296" s="48" t="s">
        <v>193</v>
      </c>
      <c r="E1296" s="48" t="s">
        <v>194</v>
      </c>
      <c r="F1296" s="48" t="s">
        <v>227</v>
      </c>
      <c r="G1296" s="49" t="n">
        <v>107.44</v>
      </c>
      <c r="H1296" s="50" t="n">
        <f aca="false">MAX(0,IF(AND(Parameter!$B$21="Ja",ISNUMBER(Y1296)),Y1296,IF(Parameter!$B$20="Jahresanfang 2025 + Export",BR1296+BQ1296,BQ1296)))</f>
        <v>79</v>
      </c>
      <c r="I1296" s="50" t="n">
        <f aca="false">H1296*G1296</f>
        <v>8487.76</v>
      </c>
      <c r="J1296" s="50" t="n">
        <f aca="false">BT1296*Parameter!$B$18</f>
        <v>9</v>
      </c>
      <c r="K1296" s="51" t="n">
        <v>85</v>
      </c>
      <c r="L1296" s="52" t="n">
        <v>0.105882352941177</v>
      </c>
      <c r="M1296" s="50" t="n">
        <v>3</v>
      </c>
      <c r="N1296" s="50" t="n">
        <v>10</v>
      </c>
      <c r="O1296" s="53" t="n">
        <v>126</v>
      </c>
      <c r="P1296" s="48" t="s">
        <v>430</v>
      </c>
      <c r="Q1296" s="50" t="n">
        <v>32</v>
      </c>
      <c r="R1296" s="53" t="n">
        <f aca="false">IF(BZ1296=1,0,IFERROR(VLOOKUP(BX1296,'Gebinde-Kategorie'!$A$5:$N$45,13,0)+0,0))</f>
        <v>104</v>
      </c>
      <c r="S1296" s="54"/>
      <c r="T1296" s="55"/>
      <c r="U1296" s="55"/>
      <c r="V1296" s="55"/>
      <c r="W1296" s="48"/>
      <c r="X1296" s="50"/>
      <c r="Y1296" s="50"/>
      <c r="Z1296" s="48" t="n">
        <f aca="false">IF(A1296="","",IF(AND(Parameter!$B$21="Ja",ISNUMBER(W1296)),W1296,IF(CC1296="2+3",IF(ISNUMBER(SEARCH("grosser Artikel",BU1296)),2,IFERROR(VLOOKUP(BX1296,Parameter!$F$35:$G$64,2,0),2)),IF(OR(CC1296="Nein",CC1296=""),"-",CC1296))))</f>
        <v>3</v>
      </c>
      <c r="AA1296" s="55"/>
      <c r="AB1296" s="56"/>
      <c r="AC1296" s="50" t="n">
        <f aca="false">AV1296</f>
        <v>13</v>
      </c>
      <c r="AD1296" s="50" t="n">
        <f aca="false">MAX(AV1296,H1296)</f>
        <v>79</v>
      </c>
      <c r="AE1296" s="57"/>
      <c r="AF1296" s="50" t="n">
        <f aca="false">IF(LEFT(Cockpit!$C$5,1)="A",H1296,IF(Parameter!$E$30="MAX-Bestand",IF(CH1296=1,CI1296,IF(LEFT(Cockpit!$C$5,1)="B",AL1296,MAX(AL1296,H1296))),ROUNDUP(AJ1296,0)))</f>
        <v>79</v>
      </c>
      <c r="AG1296" s="50" t="n">
        <f aca="false">IF(BZ1296=1,0,ROUNDUP(AF1296/BY1296,0))</f>
        <v>3</v>
      </c>
      <c r="AH1296" s="52" t="n">
        <f aca="false">IF(CQ1296&gt;0,CQ1296*MAX(1,AF1296/X1296),IF(BZ1296=1,IF(AF1296&lt;=0,0,CD1296*MAX(1,IF(H1296&gt;0,AF1296/H1296,1))),IF(R1296&gt;0,AG1296/R1296,0))/MAX(0.1,N(Parameter!$M$21)))</f>
        <v>0.0288461538461538</v>
      </c>
      <c r="AI1296" s="50" t="n">
        <f aca="false">AH1296*CB1296</f>
        <v>4.47115384615385</v>
      </c>
      <c r="AJ1296" s="51" t="n">
        <f aca="false">IF(LEFT(Cockpit!$C$5,1)="A",H1296,IF(CH1296=1,(CK1296+CI1296)/2,IF(LEFT(Cockpit!$C$5,1)="B",(CK1296+AL1296)/2,MAX((CK1296+AL1296)/2,H1296))))</f>
        <v>79</v>
      </c>
      <c r="AK1296" s="50" t="n">
        <f aca="false">AJ1296*G1296</f>
        <v>8487.76</v>
      </c>
      <c r="AL1296" s="50" t="n">
        <f aca="false">ROUNDUP(CK1296+MAX(CL1296,2*(J1296/IF(CG1296&gt;0,CG1296,MAX(0.1,N(Cockpit!$C$6)))-CK1296)),0)</f>
        <v>13</v>
      </c>
      <c r="AM1296" s="51" t="n">
        <f aca="false">IF(AI1296&gt;0,J1296/AI1296,-1)</f>
        <v>2.01290322580645</v>
      </c>
      <c r="AN1296" s="51" t="n">
        <f aca="false">IF(AND(OR(CF1296="L1",CF1296="L23",CF1296="LIFT"),AI1296&gt;0),SUMIFS($AI$7:$AI$1843,$CF$7:$CF$1843,CF1296,$AM$7:$AM$1843,"&gt;"&amp;AM1296)+SUMIFS($AI$7:$AI$1843,$CF$7:$CF$1843,CF1296,$AM$7:$AM$1843,AM1296,$BW$7:$BW$1843,"&lt;="&amp;BW1296),"")</f>
        <v>5828.10943223443</v>
      </c>
      <c r="AO1296" s="58" t="n">
        <f aca="false">IF(AN1296="",0,MAX(0,MIN(1,(IF(CF1296="L1",Parameter!$H$5,IF(CF1296="L23",Parameter!$H$6+Parameter!$H$7,Parameter!$H$5+Parameter!$H$6+Parameter!$H$7))-(AN1296-AI1296))/AI1296)))</f>
        <v>1</v>
      </c>
      <c r="AP1296" s="50" t="n">
        <f aca="false">IF(LEFT(Cockpit!$I$5,1)="A",H1296,IF(Parameter!$E$30="MAX-Bestand",IF(CH1296=1,CI1296,IF(LEFT(Cockpit!$I$5,1)="B",AV1296,MAX(AV1296,H1296))),ROUNDUP(AT1296,0)))</f>
        <v>79</v>
      </c>
      <c r="AQ1296" s="50" t="n">
        <f aca="false">IF(BZ1296=1,0,ROUNDUP(AP1296/BY1296,0))</f>
        <v>3</v>
      </c>
      <c r="AR1296" s="52" t="n">
        <f aca="false">IF(CQ1296&gt;0,CQ1296*MAX(1,AP1296/X1296),IF(BZ1296=1,IF(AP1296&lt;=0,0,CD1296*MAX(1,IF(H1296&gt;0,AP1296/H1296,1))),IF(R1296&gt;0,AQ1296/R1296,0))/MAX(0.1,N(Parameter!$M$21)))</f>
        <v>0.0288461538461538</v>
      </c>
      <c r="AS1296" s="50" t="n">
        <f aca="false">AR1296*CB1296</f>
        <v>4.47115384615385</v>
      </c>
      <c r="AT1296" s="51" t="n">
        <f aca="false">IF(LEFT(Cockpit!$I$5,1)="A",H1296,IF(CH1296=1,(CK1296+CI1296)/2,IF(LEFT(Cockpit!$I$5,1)="B",(CK1296+AV1296)/2,MAX((CK1296+AV1296)/2,H1296))))</f>
        <v>79</v>
      </c>
      <c r="AU1296" s="50" t="n">
        <f aca="false">AT1296*G1296</f>
        <v>8487.76</v>
      </c>
      <c r="AV1296" s="50" t="n">
        <f aca="false">ROUNDUP(CK1296+MAX(CL1296,2*(J1296/IF(CG1296&gt;0,CG1296,MAX(0.1,N(Cockpit!$I$6)))-CK1296)),0)</f>
        <v>13</v>
      </c>
      <c r="AW1296" s="51" t="n">
        <f aca="false">IF(AS1296&gt;0,J1296/AS1296,-1)</f>
        <v>2.01290322580645</v>
      </c>
      <c r="AX1296" s="51" t="n">
        <f aca="false">IF(AND(OR(CF1296="L1",CF1296="L23",CF1296="LIFT"),AS1296&gt;0),SUMIFS($AS$7:$AS$1843,$CF$7:$CF$1843,CF1296,$AW$7:$AW$1843,"&gt;"&amp;AW1296)+SUMIFS($AS$7:$AS$1843,$CF$7:$CF$1843,CF1296,$AW$7:$AW$1843,AW1296,$BW$7:$BW$1843,"&lt;="&amp;BW1296),"")</f>
        <v>7196.04899267399</v>
      </c>
      <c r="AY1296" s="58" t="n">
        <f aca="false">IF(AX1296="",0,MAX(0,MIN(1,(IF(CF1296="L1",Parameter!$H$5,IF(CF1296="L23",Parameter!$H$6+Parameter!$H$7,Parameter!$H$5+Parameter!$H$6+Parameter!$H$7))-(AX1296-AS1296))/AS1296)))</f>
        <v>1</v>
      </c>
      <c r="AZ1296" s="50" t="n">
        <f aca="false">IF(LEFT(Cockpit!$O$5,1)="A",H1296,IF(Parameter!$E$30="MAX-Bestand",IF(CH1296=1,CI1296,IF(LEFT(Cockpit!$O$5,1)="B",BF1296,MAX(BF1296,H1296))),ROUNDUP(BD1296,0)))</f>
        <v>8</v>
      </c>
      <c r="BA1296" s="50" t="n">
        <f aca="false">IF(BZ1296=1,0,ROUNDUP(AZ1296/BY1296,0))</f>
        <v>1</v>
      </c>
      <c r="BB1296" s="52" t="n">
        <f aca="false">IF(CQ1296&gt;0,CQ1296*MAX(1,AZ1296/X1296),IF(BZ1296=1,IF(AZ1296&lt;=0,0,CD1296*MAX(1,IF(H1296&gt;0,AZ1296/H1296,1))),IF(R1296&gt;0,BA1296/R1296,0))/MAX(0.1,N(Parameter!$M$21)))</f>
        <v>0.00961538461538462</v>
      </c>
      <c r="BC1296" s="50" t="n">
        <f aca="false">BB1296*CB1296</f>
        <v>1.49038461538462</v>
      </c>
      <c r="BD1296" s="51" t="n">
        <f aca="false">IF(LEFT(Cockpit!$O$5,1)="A",H1296,IF(CH1296=1,(CK1296+CI1296)/2,IF(LEFT(Cockpit!$O$5,1)="B",(CK1296+BF1296)/2,MAX((CK1296+BF1296)/2,H1296))))</f>
        <v>8</v>
      </c>
      <c r="BE1296" s="50" t="n">
        <f aca="false">BD1296*G1296</f>
        <v>859.52</v>
      </c>
      <c r="BF1296" s="50" t="n">
        <f aca="false">ROUNDUP(CK1296+MAX(CL1296,2*(J1296/IF(CG1296&gt;0,CG1296,MAX(0.1,N(Cockpit!$O$6)))-CK1296)),0)</f>
        <v>13</v>
      </c>
      <c r="BG1296" s="51" t="n">
        <f aca="false">IF(BC1296&gt;0,J1296/BC1296,-1)</f>
        <v>6.03870967741935</v>
      </c>
      <c r="BH1296" s="51" t="n">
        <f aca="false">IF(AND(OR(CF1296="L1",CF1296="L23",CF1296="LIFT"),BC1296&gt;0),SUMIFS($BC$7:$BC$1843,$CF$7:$CF$1843,CF1296,$BG$7:$BG$1843,"&gt;"&amp;BG1296)+SUMIFS($BC$7:$BC$1843,$CF$7:$CF$1843,CF1296,$BG$7:$BG$1843,BG1296,$BW$7:$BW$1843,"&lt;="&amp;BW1296),"")</f>
        <v>3503.22481684982</v>
      </c>
      <c r="BI1296" s="58" t="n">
        <f aca="false">IF(BH1296="",0,MAX(0,MIN(1,(IF(CF1296="L1",Parameter!$H$5,IF(CF1296="L23",Parameter!$H$6+Parameter!$H$7,Parameter!$H$5+Parameter!$H$6+Parameter!$H$7))-(BH1296-BC1296))/BC1296)))</f>
        <v>1</v>
      </c>
      <c r="BJ1296" s="48" t="str">
        <f aca="false">IF(AI1296&lt;=0,"",IF(CF1296="Aussen","Aussenlager",IF(CF1296="-","Nicht im Lift",IF(AO1296&gt;=1,"Lift",IF(AO1296&lt;=0,"Aussenlager","teilweise")))))</f>
        <v>Lift</v>
      </c>
      <c r="BK1296" s="48" t="str">
        <f aca="false">IF(AS1296&lt;=0,"",IF(CF1296="Aussen","Aussenlager",IF(CF1296="-","Nicht im Lift",IF(AY1296&gt;=1,"Lift",IF(AY1296&lt;=0,"Aussenlager","teilweise")))))</f>
        <v>Lift</v>
      </c>
      <c r="BL1296" s="48" t="str">
        <f aca="false">IF(BC1296&lt;=0,"",IF(CF1296="Aussen","Aussenlager",IF(CF1296="-","Nicht im Lift",IF(BI1296&gt;=1,"Lift",IF(BI1296&lt;=0,"Aussenlager","teilweise")))))</f>
        <v>Lift</v>
      </c>
      <c r="BM1296" s="48" t="str">
        <f aca="false">IF(A1296="","",IF(BV1296=1,"Neu; ","")&amp;IF(AND(BV1296=0,BQ1296&lt;0),"negativer Bestand (Export "&amp;BQ1296&amp;"); ","")&amp;IF(J1296&lt;=0,"Kein Verbrauch; ","")&amp;IF(CQ1296&gt;0,"Lift "&amp;W1296&amp;" lt. Liftbericht (Fach "&amp;X1296&amp;" Stk); ",IF(CA1296=1,"Gebinde geschätzt ("&amp;T1296&amp;"); ",IF(BZ1296=1,"Lose – Tablare geschätzt; ","")))&amp;IF(H1296&gt;AV1296,"Überbestand "&amp;ROUND(H1296-AV1296,0)&amp;" Stk / CHF "&amp;ROUND((H1296-AV1296)*G1296,0)&amp;"; ","")&amp;IF(AND(CH1296=1,CI1296&lt;CJ1296),"MAX &lt; MB+LG; ","")&amp;IF(AND(CP1296&gt;0,CO1296*10&gt;CP1296),"zu hoch für Tablar; ","")&amp;IF(AND(BV1296=0,OR(CH1296=1,AA1296&lt;&gt;"",U1296&lt;&gt;"",V1296&lt;&gt;"",AB1296&lt;&gt;"")),"manuell übersteuert; ","")&amp;IF(AND(BZ1296=0,R1296=0),"Gebinde unbekannt / Stellmass fehlt; ","")&amp;IF(AND(BZ1296=0,N(V1296)&lt;=0,N(Q1296)&lt;=0),"Menge pro Gebinde fehlt (Ist = 1 Gebinde); ","")&amp;BU1296)</f>
        <v>negativer Bestand (Export -11); Überbestand 66 Stk / CHF 7091; </v>
      </c>
      <c r="BN1296" s="48"/>
      <c r="BO1296" s="48"/>
      <c r="BP1296" s="55"/>
      <c r="BQ1296" s="50" t="n">
        <v>-11</v>
      </c>
      <c r="BR1296" s="50" t="n">
        <v>90</v>
      </c>
      <c r="BS1296" s="49" t="n">
        <v>-1181.84</v>
      </c>
      <c r="BT1296" s="50" t="n">
        <v>9</v>
      </c>
      <c r="BU1296" s="48"/>
      <c r="BV1296" s="53" t="n">
        <v>0</v>
      </c>
      <c r="BW1296" s="53" t="n">
        <v>1296</v>
      </c>
      <c r="BX1296" s="48" t="str">
        <f aca="false">IF(U1296&lt;&gt;"",UPPER(TRIM(U1296)),IF(CA1296=1,UPPER(VLOOKUP(T1296,Parameter!$I$27:$K$29,2,0)),IF(P1296="","LOSE",P1296)))</f>
        <v>S32</v>
      </c>
      <c r="BY1296" s="50" t="n">
        <f aca="false">IF(BX1296="LOSE",1,IF(N(V1296)&gt;0,V1296,IF(CA1296=1,MAX(1,N(VLOOKUP(T1296,Parameter!$I$27:$K$29,3,0)),H1296,N(N1296)),IF(N(Q1296)&gt;0,Q1296,MAX(1,H1296)))))</f>
        <v>32</v>
      </c>
      <c r="BZ1296" s="53" t="n">
        <f aca="false">IF(BX1296="LOSE",1,0)</f>
        <v>0</v>
      </c>
      <c r="CA1296" s="53" t="n">
        <f aca="false">IF(AND(U1296="",OR(P1296="",P1296="LOSE"),T1296&lt;&gt;"",N(S1296)&lt;=0,ISNUMBER(MATCH(T1296,Parameter!$I$27:$I$29,0))),1,0)</f>
        <v>0</v>
      </c>
      <c r="CB1296" s="53" t="n">
        <f aca="false">IF(CQ1296&gt;0,INDEX(Parameter!$H$5:$H$7,W1296)/INDEX(Parameter!$E$5:$E$7,W1296),IF(AND(BZ1296=0,N(IFERROR(VLOOKUP(BX1296,'Gebinde-Kategorie'!$A$5:$N$45,14,0),0))&gt;0),VLOOKUP(BX1296,'Gebinde-Kategorie'!$A$5:$N$45,14,0)*10+Parameter!$M$23,Parameter!$M$24))</f>
        <v>155</v>
      </c>
      <c r="CC1296" s="48" t="str">
        <f aca="false">IF(AND(Parameter!$B$19="Ja",E1296&lt;&gt;"",ISNUMBER(MATCH(E1296,Parameter!$I$35:$I$52,0))),VLOOKUP(E1296,Parameter!$I$35:$J$52,2,0),IFERROR(VLOOKUP(D1296,Parameter!$A$35:$C$64,2,0),"Nein"))</f>
        <v>2+3</v>
      </c>
      <c r="CD1296" s="52" t="n">
        <f aca="false">IF(BZ1296=0,0,IF(N(S1296)&gt;0,S1296,IFERROR(VLOOKUP(D1296,Parameter!$A$35:$C$64,3,0)+0,0)))</f>
        <v>0</v>
      </c>
      <c r="CE1296" s="48" t="n">
        <f aca="false">IF(AA1296&lt;&gt;"",AA1296,Z1296)</f>
        <v>3</v>
      </c>
      <c r="CF1296" s="48" t="str">
        <f aca="false">IF(OR(CE1296=1,CE1296=2,CE1296=3),IF(Parameter!$E$27="Ja","LIFT",IF(CE1296=1,"L1","L23")),IF(CE1296="Aussen","Aussen","-"))</f>
        <v>LIFT</v>
      </c>
      <c r="CG1296" s="59" t="n">
        <f aca="false">IF(N(AB1296)&gt;0,AB1296,0)</f>
        <v>0</v>
      </c>
      <c r="CH1296" s="53" t="n">
        <f aca="false">IF(ISNUMBER(AE1296),1,0)</f>
        <v>0</v>
      </c>
      <c r="CI1296" s="50" t="n">
        <f aca="false">N(AE1296)</f>
        <v>0</v>
      </c>
      <c r="CJ1296" s="50" t="n">
        <f aca="false">N(M1296)+N(N1296)</f>
        <v>13</v>
      </c>
      <c r="CK1296" s="50" t="n">
        <f aca="false">N(M1296)</f>
        <v>3</v>
      </c>
      <c r="CL1296" s="50" t="n">
        <f aca="false">N(N1296)</f>
        <v>10</v>
      </c>
      <c r="CM1296" s="50" t="n">
        <f aca="false">ROUNDUP(H1296/BY1296,0)</f>
        <v>3</v>
      </c>
      <c r="CN1296" s="50" t="n">
        <f aca="false">ROUNDUP(CI1296/BY1296,0)</f>
        <v>0</v>
      </c>
      <c r="CO1296" s="53" t="n">
        <f aca="false">IF(BZ1296=1,0,IFERROR(VLOOKUP(BX1296,'Gebinde-Kategorie'!$A$5:$N$45,5,0)+0,0))</f>
        <v>8</v>
      </c>
      <c r="CP1296" s="53" t="n">
        <f aca="false">IFERROR(IF(OR(CE1296=1,CE1296=2,CE1296=3),N(INDEX(Parameter!$I$5:$I$7,CE1296)),0),0)</f>
        <v>0</v>
      </c>
      <c r="CQ1296" s="52" t="n">
        <f aca="false">IF(AND(Parameter!$B$21="Ja",ISNUMBER(W1296),N(X1296)&gt;0),IFERROR(N(INDEX(Parameter!$L$5:$L$7,W1296))*INDEX(Parameter!$E$5:$E$7,W1296)*X1296/SUMIFS($X$7:$X$1843,$W$7:$W$1843,W1296),0),0)</f>
        <v>0</v>
      </c>
    </row>
    <row r="1297" customFormat="false" ht="15" hidden="false" customHeight="false" outlineLevel="0" collapsed="false">
      <c r="A1297" s="48" t="s">
        <v>2315</v>
      </c>
      <c r="B1297" s="48" t="s">
        <v>2316</v>
      </c>
      <c r="C1297" s="48" t="s">
        <v>465</v>
      </c>
      <c r="D1297" s="48" t="s">
        <v>182</v>
      </c>
      <c r="E1297" s="48"/>
      <c r="F1297" s="48" t="s">
        <v>227</v>
      </c>
      <c r="G1297" s="49" t="n">
        <v>49.41</v>
      </c>
      <c r="H1297" s="50" t="n">
        <f aca="false">MAX(0,IF(AND(Parameter!$B$21="Ja",ISNUMBER(Y1297)),Y1297,IF(Parameter!$B$20="Jahresanfang 2025 + Export",BR1297+BQ1297,BQ1297)))</f>
        <v>0</v>
      </c>
      <c r="I1297" s="50" t="n">
        <f aca="false">H1297*G1297</f>
        <v>0</v>
      </c>
      <c r="J1297" s="50" t="n">
        <f aca="false">BT1297*Parameter!$B$18</f>
        <v>0</v>
      </c>
      <c r="K1297" s="51" t="n">
        <v>12</v>
      </c>
      <c r="L1297" s="52" t="n">
        <v>0</v>
      </c>
      <c r="M1297" s="50" t="n">
        <v>0</v>
      </c>
      <c r="N1297" s="50" t="n">
        <v>1</v>
      </c>
      <c r="O1297" s="53" t="n">
        <v>56</v>
      </c>
      <c r="P1297" s="48" t="s">
        <v>177</v>
      </c>
      <c r="Q1297" s="50"/>
      <c r="R1297" s="53" t="n">
        <f aca="false">IF(BZ1297=1,0,IFERROR(VLOOKUP(BX1297,'Gebinde-Kategorie'!$A$5:$N$45,13,0)+0,0))</f>
        <v>4</v>
      </c>
      <c r="S1297" s="54"/>
      <c r="T1297" s="55" t="s">
        <v>198</v>
      </c>
      <c r="U1297" s="55"/>
      <c r="V1297" s="55"/>
      <c r="W1297" s="48"/>
      <c r="X1297" s="50"/>
      <c r="Y1297" s="50"/>
      <c r="Z1297" s="48" t="n">
        <f aca="false">IF(A1297="","",IF(AND(Parameter!$B$21="Ja",ISNUMBER(W1297)),W1297,IF(CC1297="2+3",IF(ISNUMBER(SEARCH("grosser Artikel",BU1297)),2,IFERROR(VLOOKUP(BX1297,Parameter!$F$35:$G$64,2,0),2)),IF(OR(CC1297="Nein",CC1297=""),"-",CC1297))))</f>
        <v>2</v>
      </c>
      <c r="AA1297" s="55"/>
      <c r="AB1297" s="56"/>
      <c r="AC1297" s="50" t="n">
        <f aca="false">AV1297</f>
        <v>1</v>
      </c>
      <c r="AD1297" s="50" t="n">
        <f aca="false">MAX(AV1297,H1297)</f>
        <v>1</v>
      </c>
      <c r="AE1297" s="57"/>
      <c r="AF1297" s="50" t="n">
        <f aca="false">IF(LEFT(Cockpit!$C$5,1)="A",H1297,IF(Parameter!$E$30="MAX-Bestand",IF(CH1297=1,CI1297,IF(LEFT(Cockpit!$C$5,1)="B",AL1297,MAX(AL1297,H1297))),ROUNDUP(AJ1297,0)))</f>
        <v>0</v>
      </c>
      <c r="AG1297" s="50" t="n">
        <f aca="false">IF(BZ1297=1,0,ROUNDUP(AF1297/BY1297,0))</f>
        <v>0</v>
      </c>
      <c r="AH1297" s="52" t="n">
        <f aca="false">IF(CQ1297&gt;0,CQ1297*MAX(1,AF1297/X1297),IF(BZ1297=1,IF(AF1297&lt;=0,0,CD1297*MAX(1,IF(H1297&gt;0,AF1297/H1297,1))),IF(R1297&gt;0,AG1297/R1297,0))/MAX(0.1,N(Parameter!$M$21)))</f>
        <v>0</v>
      </c>
      <c r="AI1297" s="50" t="n">
        <f aca="false">AH1297*CB1297</f>
        <v>0</v>
      </c>
      <c r="AJ1297" s="51" t="n">
        <f aca="false">IF(LEFT(Cockpit!$C$5,1)="A",H1297,IF(CH1297=1,(CK1297+CI1297)/2,IF(LEFT(Cockpit!$C$5,1)="B",(CK1297+AL1297)/2,MAX((CK1297+AL1297)/2,H1297))))</f>
        <v>0</v>
      </c>
      <c r="AK1297" s="50" t="n">
        <f aca="false">AJ1297*G1297</f>
        <v>0</v>
      </c>
      <c r="AL1297" s="50" t="n">
        <f aca="false">ROUNDUP(CK1297+MAX(CL1297,2*(J1297/IF(CG1297&gt;0,CG1297,MAX(0.1,N(Cockpit!$C$6)))-CK1297)),0)</f>
        <v>1</v>
      </c>
      <c r="AM1297" s="51" t="n">
        <f aca="false">IF(AI1297&gt;0,J1297/AI1297,-1)</f>
        <v>-1</v>
      </c>
      <c r="AN1297" s="51" t="str">
        <f aca="false">IF(AND(OR(CF1297="L1",CF1297="L23",CF1297="LIFT"),AI1297&gt;0),SUMIFS($AI$7:$AI$1843,$CF$7:$CF$1843,CF1297,$AM$7:$AM$1843,"&gt;"&amp;AM1297)+SUMIFS($AI$7:$AI$1843,$CF$7:$CF$1843,CF1297,$AM$7:$AM$1843,AM1297,$BW$7:$BW$1843,"&lt;="&amp;BW1297),"")</f>
        <v/>
      </c>
      <c r="AO1297" s="58" t="n">
        <f aca="false">IF(AN1297="",0,MAX(0,MIN(1,(IF(CF1297="L1",Parameter!$H$5,IF(CF1297="L23",Parameter!$H$6+Parameter!$H$7,Parameter!$H$5+Parameter!$H$6+Parameter!$H$7))-(AN1297-AI1297))/AI1297)))</f>
        <v>0</v>
      </c>
      <c r="AP1297" s="50" t="n">
        <f aca="false">IF(LEFT(Cockpit!$I$5,1)="A",H1297,IF(Parameter!$E$30="MAX-Bestand",IF(CH1297=1,CI1297,IF(LEFT(Cockpit!$I$5,1)="B",AV1297,MAX(AV1297,H1297))),ROUNDUP(AT1297,0)))</f>
        <v>1</v>
      </c>
      <c r="AQ1297" s="50" t="n">
        <f aca="false">IF(BZ1297=1,0,ROUNDUP(AP1297/BY1297,0))</f>
        <v>1</v>
      </c>
      <c r="AR1297" s="52" t="n">
        <f aca="false">IF(CQ1297&gt;0,CQ1297*MAX(1,AP1297/X1297),IF(BZ1297=1,IF(AP1297&lt;=0,0,CD1297*MAX(1,IF(H1297&gt;0,AP1297/H1297,1))),IF(R1297&gt;0,AQ1297/R1297,0))/MAX(0.1,N(Parameter!$M$21)))</f>
        <v>0.25</v>
      </c>
      <c r="AS1297" s="50" t="n">
        <f aca="false">AR1297*CB1297</f>
        <v>58.75</v>
      </c>
      <c r="AT1297" s="51" t="n">
        <f aca="false">IF(LEFT(Cockpit!$I$5,1)="A",H1297,IF(CH1297=1,(CK1297+CI1297)/2,IF(LEFT(Cockpit!$I$5,1)="B",(CK1297+AV1297)/2,MAX((CK1297+AV1297)/2,H1297))))</f>
        <v>0.5</v>
      </c>
      <c r="AU1297" s="50" t="n">
        <f aca="false">AT1297*G1297</f>
        <v>24.705</v>
      </c>
      <c r="AV1297" s="50" t="n">
        <f aca="false">ROUNDUP(CK1297+MAX(CL1297,2*(J1297/IF(CG1297&gt;0,CG1297,MAX(0.1,N(Cockpit!$I$6)))-CK1297)),0)</f>
        <v>1</v>
      </c>
      <c r="AW1297" s="51" t="n">
        <f aca="false">IF(AS1297&gt;0,J1297/AS1297,-1)</f>
        <v>0</v>
      </c>
      <c r="AX1297" s="51" t="n">
        <f aca="false">IF(AND(OR(CF1297="L1",CF1297="L23",CF1297="LIFT"),AS1297&gt;0),SUMIFS($AS$7:$AS$1843,$CF$7:$CF$1843,CF1297,$AW$7:$AW$1843,"&gt;"&amp;AW1297)+SUMIFS($AS$7:$AS$1843,$CF$7:$CF$1843,CF1297,$AW$7:$AW$1843,AW1297,$BW$7:$BW$1843,"&lt;="&amp;BW1297),"")</f>
        <v>35624.994047619</v>
      </c>
      <c r="AY1297" s="58" t="n">
        <f aca="false">IF(AX1297="",0,MAX(0,MIN(1,(IF(CF1297="L1",Parameter!$H$5,IF(CF1297="L23",Parameter!$H$6+Parameter!$H$7,Parameter!$H$5+Parameter!$H$6+Parameter!$H$7))-(AX1297-AS1297))/AS1297)))</f>
        <v>1</v>
      </c>
      <c r="AZ1297" s="50" t="n">
        <f aca="false">IF(LEFT(Cockpit!$O$5,1)="A",H1297,IF(Parameter!$E$30="MAX-Bestand",IF(CH1297=1,CI1297,IF(LEFT(Cockpit!$O$5,1)="B",BF1297,MAX(BF1297,H1297))),ROUNDUP(BD1297,0)))</f>
        <v>1</v>
      </c>
      <c r="BA1297" s="50" t="n">
        <f aca="false">IF(BZ1297=1,0,ROUNDUP(AZ1297/BY1297,0))</f>
        <v>1</v>
      </c>
      <c r="BB1297" s="52" t="n">
        <f aca="false">IF(CQ1297&gt;0,CQ1297*MAX(1,AZ1297/X1297),IF(BZ1297=1,IF(AZ1297&lt;=0,0,CD1297*MAX(1,IF(H1297&gt;0,AZ1297/H1297,1))),IF(R1297&gt;0,BA1297/R1297,0))/MAX(0.1,N(Parameter!$M$21)))</f>
        <v>0.25</v>
      </c>
      <c r="BC1297" s="50" t="n">
        <f aca="false">BB1297*CB1297</f>
        <v>58.75</v>
      </c>
      <c r="BD1297" s="51" t="n">
        <f aca="false">IF(LEFT(Cockpit!$O$5,1)="A",H1297,IF(CH1297=1,(CK1297+CI1297)/2,IF(LEFT(Cockpit!$O$5,1)="B",(CK1297+BF1297)/2,MAX((CK1297+BF1297)/2,H1297))))</f>
        <v>0.5</v>
      </c>
      <c r="BE1297" s="50" t="n">
        <f aca="false">BD1297*G1297</f>
        <v>24.705</v>
      </c>
      <c r="BF1297" s="50" t="n">
        <f aca="false">ROUNDUP(CK1297+MAX(CL1297,2*(J1297/IF(CG1297&gt;0,CG1297,MAX(0.1,N(Cockpit!$O$6)))-CK1297)),0)</f>
        <v>1</v>
      </c>
      <c r="BG1297" s="51" t="n">
        <f aca="false">IF(BC1297&gt;0,J1297/BC1297,-1)</f>
        <v>0</v>
      </c>
      <c r="BH1297" s="51" t="n">
        <f aca="false">IF(AND(OR(CF1297="L1",CF1297="L23",CF1297="LIFT"),BC1297&gt;0),SUMIFS($BC$7:$BC$1843,$CF$7:$CF$1843,CF1297,$BG$7:$BG$1843,"&gt;"&amp;BG1297)+SUMIFS($BC$7:$BC$1843,$CF$7:$CF$1843,CF1297,$BG$7:$BG$1843,BG1297,$BW$7:$BW$1843,"&lt;="&amp;BW1297),"")</f>
        <v>29610.3007077668</v>
      </c>
      <c r="BI1297" s="58" t="n">
        <f aca="false">IF(BH1297="",0,MAX(0,MIN(1,(IF(CF1297="L1",Parameter!$H$5,IF(CF1297="L23",Parameter!$H$6+Parameter!$H$7,Parameter!$H$5+Parameter!$H$6+Parameter!$H$7))-(BH1297-BC1297))/BC1297)))</f>
        <v>1</v>
      </c>
      <c r="BJ1297" s="48" t="str">
        <f aca="false">IF(AI1297&lt;=0,"",IF(CF1297="Aussen","Aussenlager",IF(CF1297="-","Nicht im Lift",IF(AO1297&gt;=1,"Lift",IF(AO1297&lt;=0,"Aussenlager","teilweise")))))</f>
        <v/>
      </c>
      <c r="BK1297" s="48" t="str">
        <f aca="false">IF(AS1297&lt;=0,"",IF(CF1297="Aussen","Aussenlager",IF(CF1297="-","Nicht im Lift",IF(AY1297&gt;=1,"Lift",IF(AY1297&lt;=0,"Aussenlager","teilweise")))))</f>
        <v>Lift</v>
      </c>
      <c r="BL1297" s="48" t="str">
        <f aca="false">IF(BC1297&lt;=0,"",IF(CF1297="Aussen","Aussenlager",IF(CF1297="-","Nicht im Lift",IF(BI1297&gt;=1,"Lift",IF(BI1297&lt;=0,"Aussenlager","teilweise")))))</f>
        <v>Lift</v>
      </c>
      <c r="BM1297" s="48" t="str">
        <f aca="false">IF(A1297="","",IF(BV1297=1,"Neu; ","")&amp;IF(AND(BV1297=0,BQ1297&lt;0),"negativer Bestand (Export "&amp;BQ1297&amp;"); ","")&amp;IF(J1297&lt;=0,"Kein Verbrauch; ","")&amp;IF(CQ1297&gt;0,"Lift "&amp;W1297&amp;" lt. Liftbericht (Fach "&amp;X1297&amp;" Stk); ",IF(CA1297=1,"Gebinde geschätzt ("&amp;T1297&amp;"); ",IF(BZ1297=1,"Lose – Tablare geschätzt; ","")))&amp;IF(H1297&gt;AV1297,"Überbestand "&amp;ROUND(H1297-AV1297,0)&amp;" Stk / CHF "&amp;ROUND((H1297-AV1297)*G1297,0)&amp;"; ","")&amp;IF(AND(CH1297=1,CI1297&lt;CJ1297),"MAX &lt; MB+LG; ","")&amp;IF(AND(CP1297&gt;0,CO1297*10&gt;CP1297),"zu hoch für Tablar; ","")&amp;IF(AND(BV1297=0,OR(CH1297=1,AA1297&lt;&gt;"",U1297&lt;&gt;"",V1297&lt;&gt;"",AB1297&lt;&gt;"")),"manuell übersteuert; ","")&amp;IF(AND(BZ1297=0,R1297=0),"Gebinde unbekannt / Stellmass fehlt; ","")&amp;IF(AND(BZ1297=0,N(V1297)&lt;=0,N(Q1297)&lt;=0),"Menge pro Gebinde fehlt (Ist = 1 Gebinde); ","")&amp;BU1297)</f>
        <v>negativer Bestand (Export -24); Kein Verbrauch; Gebinde geschätzt (Gross); Menge pro Gebinde fehlt (Ist = 1 Gebinde); Neuer Art.</v>
      </c>
      <c r="BN1297" s="48"/>
      <c r="BO1297" s="48"/>
      <c r="BP1297" s="55"/>
      <c r="BQ1297" s="50" t="n">
        <v>-24</v>
      </c>
      <c r="BR1297" s="50" t="n">
        <v>24</v>
      </c>
      <c r="BS1297" s="49" t="n">
        <v>-1185.84</v>
      </c>
      <c r="BT1297" s="50" t="n">
        <v>0</v>
      </c>
      <c r="BU1297" s="48" t="s">
        <v>521</v>
      </c>
      <c r="BV1297" s="53" t="n">
        <v>0</v>
      </c>
      <c r="BW1297" s="53" t="n">
        <v>1297</v>
      </c>
      <c r="BX1297" s="48" t="str">
        <f aca="false">IF(U1297&lt;&gt;"",UPPER(TRIM(U1297)),IF(CA1297=1,UPPER(VLOOKUP(T1297,Parameter!$I$27:$K$29,2,0)),IF(P1297="","LOSE",P1297)))</f>
        <v>S81</v>
      </c>
      <c r="BY1297" s="50" t="n">
        <f aca="false">IF(BX1297="LOSE",1,IF(N(V1297)&gt;0,V1297,IF(CA1297=1,MAX(1,N(VLOOKUP(T1297,Parameter!$I$27:$K$29,3,0)),H1297,N(N1297)),IF(N(Q1297)&gt;0,Q1297,MAX(1,H1297)))))</f>
        <v>2</v>
      </c>
      <c r="BZ1297" s="53" t="n">
        <f aca="false">IF(BX1297="LOSE",1,0)</f>
        <v>0</v>
      </c>
      <c r="CA1297" s="53" t="n">
        <f aca="false">IF(AND(U1297="",OR(P1297="",P1297="LOSE"),T1297&lt;&gt;"",N(S1297)&lt;=0,ISNUMBER(MATCH(T1297,Parameter!$I$27:$I$29,0))),1,0)</f>
        <v>1</v>
      </c>
      <c r="CB1297" s="53" t="n">
        <f aca="false">IF(CQ1297&gt;0,INDEX(Parameter!$H$5:$H$7,W1297)/INDEX(Parameter!$E$5:$E$7,W1297),IF(AND(BZ1297=0,N(IFERROR(VLOOKUP(BX1297,'Gebinde-Kategorie'!$A$5:$N$45,14,0),0))&gt;0),VLOOKUP(BX1297,'Gebinde-Kategorie'!$A$5:$N$45,14,0)*10+Parameter!$M$23,Parameter!$M$24))</f>
        <v>235</v>
      </c>
      <c r="CC1297" s="48" t="str">
        <f aca="false">IF(AND(Parameter!$B$19="Ja",E1297&lt;&gt;"",ISNUMBER(MATCH(E1297,Parameter!$I$35:$I$52,0))),VLOOKUP(E1297,Parameter!$I$35:$J$52,2,0),IFERROR(VLOOKUP(D1297,Parameter!$A$35:$C$64,2,0),"Nein"))</f>
        <v>2+3</v>
      </c>
      <c r="CD1297" s="52" t="n">
        <f aca="false">IF(BZ1297=0,0,IF(N(S1297)&gt;0,S1297,IFERROR(VLOOKUP(D1297,Parameter!$A$35:$C$64,3,0)+0,0)))</f>
        <v>0</v>
      </c>
      <c r="CE1297" s="48" t="n">
        <f aca="false">IF(AA1297&lt;&gt;"",AA1297,Z1297)</f>
        <v>2</v>
      </c>
      <c r="CF1297" s="48" t="str">
        <f aca="false">IF(OR(CE1297=1,CE1297=2,CE1297=3),IF(Parameter!$E$27="Ja","LIFT",IF(CE1297=1,"L1","L23")),IF(CE1297="Aussen","Aussen","-"))</f>
        <v>LIFT</v>
      </c>
      <c r="CG1297" s="59" t="n">
        <f aca="false">IF(N(AB1297)&gt;0,AB1297,0)</f>
        <v>0</v>
      </c>
      <c r="CH1297" s="53" t="n">
        <f aca="false">IF(ISNUMBER(AE1297),1,0)</f>
        <v>0</v>
      </c>
      <c r="CI1297" s="50" t="n">
        <f aca="false">N(AE1297)</f>
        <v>0</v>
      </c>
      <c r="CJ1297" s="50" t="n">
        <f aca="false">N(M1297)+N(N1297)</f>
        <v>1</v>
      </c>
      <c r="CK1297" s="50" t="n">
        <f aca="false">N(M1297)</f>
        <v>0</v>
      </c>
      <c r="CL1297" s="50" t="n">
        <f aca="false">N(N1297)</f>
        <v>1</v>
      </c>
      <c r="CM1297" s="50" t="n">
        <f aca="false">ROUNDUP(H1297/BY1297,0)</f>
        <v>0</v>
      </c>
      <c r="CN1297" s="50" t="n">
        <f aca="false">ROUNDUP(CI1297/BY1297,0)</f>
        <v>0</v>
      </c>
      <c r="CO1297" s="53" t="n">
        <f aca="false">IF(BZ1297=1,0,IFERROR(VLOOKUP(BX1297,'Gebinde-Kategorie'!$A$5:$N$45,5,0)+0,0))</f>
        <v>20</v>
      </c>
      <c r="CP1297" s="53" t="n">
        <f aca="false">IFERROR(IF(OR(CE1297=1,CE1297=2,CE1297=3),N(INDEX(Parameter!$I$5:$I$7,CE1297)),0),0)</f>
        <v>0</v>
      </c>
      <c r="CQ1297" s="52" t="n">
        <f aca="false">IF(AND(Parameter!$B$21="Ja",ISNUMBER(W1297),N(X1297)&gt;0),IFERROR(N(INDEX(Parameter!$L$5:$L$7,W1297))*INDEX(Parameter!$E$5:$E$7,W1297)*X1297/SUMIFS($X$7:$X$1843,$W$7:$W$1843,W1297),0),0)</f>
        <v>0</v>
      </c>
    </row>
    <row r="1298" customFormat="false" ht="15" hidden="false" customHeight="false" outlineLevel="0" collapsed="false">
      <c r="A1298" s="48" t="s">
        <v>2317</v>
      </c>
      <c r="B1298" s="48" t="s">
        <v>2318</v>
      </c>
      <c r="C1298" s="48" t="s">
        <v>465</v>
      </c>
      <c r="D1298" s="48" t="s">
        <v>182</v>
      </c>
      <c r="E1298" s="48"/>
      <c r="F1298" s="48" t="s">
        <v>227</v>
      </c>
      <c r="G1298" s="49" t="n">
        <v>59.5</v>
      </c>
      <c r="H1298" s="50" t="n">
        <f aca="false">MAX(0,IF(AND(Parameter!$B$21="Ja",ISNUMBER(Y1298)),Y1298,IF(Parameter!$B$20="Jahresanfang 2025 + Export",BR1298+BQ1298,BQ1298)))</f>
        <v>0</v>
      </c>
      <c r="I1298" s="50" t="n">
        <f aca="false">H1298*G1298</f>
        <v>0</v>
      </c>
      <c r="J1298" s="50" t="n">
        <f aca="false">BT1298*Parameter!$B$18</f>
        <v>0</v>
      </c>
      <c r="K1298" s="51" t="n">
        <v>10</v>
      </c>
      <c r="L1298" s="52" t="n">
        <v>0</v>
      </c>
      <c r="M1298" s="50" t="n">
        <v>0</v>
      </c>
      <c r="N1298" s="50" t="n">
        <v>1</v>
      </c>
      <c r="O1298" s="53" t="n">
        <v>56</v>
      </c>
      <c r="P1298" s="48" t="s">
        <v>177</v>
      </c>
      <c r="Q1298" s="50"/>
      <c r="R1298" s="53" t="n">
        <f aca="false">IF(BZ1298=1,0,IFERROR(VLOOKUP(BX1298,'Gebinde-Kategorie'!$A$5:$N$45,13,0)+0,0))</f>
        <v>12</v>
      </c>
      <c r="S1298" s="54"/>
      <c r="T1298" s="55" t="s">
        <v>188</v>
      </c>
      <c r="U1298" s="55"/>
      <c r="V1298" s="55"/>
      <c r="W1298" s="48"/>
      <c r="X1298" s="50"/>
      <c r="Y1298" s="50"/>
      <c r="Z1298" s="48" t="n">
        <f aca="false">IF(A1298="","",IF(AND(Parameter!$B$21="Ja",ISNUMBER(W1298)),W1298,IF(CC1298="2+3",IF(ISNUMBER(SEARCH("grosser Artikel",BU1298)),2,IFERROR(VLOOKUP(BX1298,Parameter!$F$35:$G$64,2,0),2)),IF(OR(CC1298="Nein",CC1298=""),"-",CC1298))))</f>
        <v>2</v>
      </c>
      <c r="AA1298" s="55"/>
      <c r="AB1298" s="56"/>
      <c r="AC1298" s="50" t="n">
        <f aca="false">AV1298</f>
        <v>1</v>
      </c>
      <c r="AD1298" s="50" t="n">
        <f aca="false">MAX(AV1298,H1298)</f>
        <v>1</v>
      </c>
      <c r="AE1298" s="57"/>
      <c r="AF1298" s="50" t="n">
        <f aca="false">IF(LEFT(Cockpit!$C$5,1)="A",H1298,IF(Parameter!$E$30="MAX-Bestand",IF(CH1298=1,CI1298,IF(LEFT(Cockpit!$C$5,1)="B",AL1298,MAX(AL1298,H1298))),ROUNDUP(AJ1298,0)))</f>
        <v>0</v>
      </c>
      <c r="AG1298" s="50" t="n">
        <f aca="false">IF(BZ1298=1,0,ROUNDUP(AF1298/BY1298,0))</f>
        <v>0</v>
      </c>
      <c r="AH1298" s="52" t="n">
        <f aca="false">IF(CQ1298&gt;0,CQ1298*MAX(1,AF1298/X1298),IF(BZ1298=1,IF(AF1298&lt;=0,0,CD1298*MAX(1,IF(H1298&gt;0,AF1298/H1298,1))),IF(R1298&gt;0,AG1298/R1298,0))/MAX(0.1,N(Parameter!$M$21)))</f>
        <v>0</v>
      </c>
      <c r="AI1298" s="50" t="n">
        <f aca="false">AH1298*CB1298</f>
        <v>0</v>
      </c>
      <c r="AJ1298" s="51" t="n">
        <f aca="false">IF(LEFT(Cockpit!$C$5,1)="A",H1298,IF(CH1298=1,(CK1298+CI1298)/2,IF(LEFT(Cockpit!$C$5,1)="B",(CK1298+AL1298)/2,MAX((CK1298+AL1298)/2,H1298))))</f>
        <v>0</v>
      </c>
      <c r="AK1298" s="50" t="n">
        <f aca="false">AJ1298*G1298</f>
        <v>0</v>
      </c>
      <c r="AL1298" s="50" t="n">
        <f aca="false">ROUNDUP(CK1298+MAX(CL1298,2*(J1298/IF(CG1298&gt;0,CG1298,MAX(0.1,N(Cockpit!$C$6)))-CK1298)),0)</f>
        <v>1</v>
      </c>
      <c r="AM1298" s="51" t="n">
        <f aca="false">IF(AI1298&gt;0,J1298/AI1298,-1)</f>
        <v>-1</v>
      </c>
      <c r="AN1298" s="51" t="str">
        <f aca="false">IF(AND(OR(CF1298="L1",CF1298="L23",CF1298="LIFT"),AI1298&gt;0),SUMIFS($AI$7:$AI$1843,$CF$7:$CF$1843,CF1298,$AM$7:$AM$1843,"&gt;"&amp;AM1298)+SUMIFS($AI$7:$AI$1843,$CF$7:$CF$1843,CF1298,$AM$7:$AM$1843,AM1298,$BW$7:$BW$1843,"&lt;="&amp;BW1298),"")</f>
        <v/>
      </c>
      <c r="AO1298" s="58" t="n">
        <f aca="false">IF(AN1298="",0,MAX(0,MIN(1,(IF(CF1298="L1",Parameter!$H$5,IF(CF1298="L23",Parameter!$H$6+Parameter!$H$7,Parameter!$H$5+Parameter!$H$6+Parameter!$H$7))-(AN1298-AI1298))/AI1298)))</f>
        <v>0</v>
      </c>
      <c r="AP1298" s="50" t="n">
        <f aca="false">IF(LEFT(Cockpit!$I$5,1)="A",H1298,IF(Parameter!$E$30="MAX-Bestand",IF(CH1298=1,CI1298,IF(LEFT(Cockpit!$I$5,1)="B",AV1298,MAX(AV1298,H1298))),ROUNDUP(AT1298,0)))</f>
        <v>1</v>
      </c>
      <c r="AQ1298" s="50" t="n">
        <f aca="false">IF(BZ1298=1,0,ROUNDUP(AP1298/BY1298,0))</f>
        <v>1</v>
      </c>
      <c r="AR1298" s="52" t="n">
        <f aca="false">IF(CQ1298&gt;0,CQ1298*MAX(1,AP1298/X1298),IF(BZ1298=1,IF(AP1298&lt;=0,0,CD1298*MAX(1,IF(H1298&gt;0,AP1298/H1298,1))),IF(R1298&gt;0,AQ1298/R1298,0))/MAX(0.1,N(Parameter!$M$21)))</f>
        <v>0.0833333333333333</v>
      </c>
      <c r="AS1298" s="50" t="n">
        <f aca="false">AR1298*CB1298</f>
        <v>12.0833333333333</v>
      </c>
      <c r="AT1298" s="51" t="n">
        <f aca="false">IF(LEFT(Cockpit!$I$5,1)="A",H1298,IF(CH1298=1,(CK1298+CI1298)/2,IF(LEFT(Cockpit!$I$5,1)="B",(CK1298+AV1298)/2,MAX((CK1298+AV1298)/2,H1298))))</f>
        <v>0.5</v>
      </c>
      <c r="AU1298" s="50" t="n">
        <f aca="false">AT1298*G1298</f>
        <v>29.75</v>
      </c>
      <c r="AV1298" s="50" t="n">
        <f aca="false">ROUNDUP(CK1298+MAX(CL1298,2*(J1298/IF(CG1298&gt;0,CG1298,MAX(0.1,N(Cockpit!$I$6)))-CK1298)),0)</f>
        <v>1</v>
      </c>
      <c r="AW1298" s="51" t="n">
        <f aca="false">IF(AS1298&gt;0,J1298/AS1298,-1)</f>
        <v>0</v>
      </c>
      <c r="AX1298" s="51" t="n">
        <f aca="false">IF(AND(OR(CF1298="L1",CF1298="L23",CF1298="LIFT"),AS1298&gt;0),SUMIFS($AS$7:$AS$1843,$CF$7:$CF$1843,CF1298,$AW$7:$AW$1843,"&gt;"&amp;AW1298)+SUMIFS($AS$7:$AS$1843,$CF$7:$CF$1843,CF1298,$AW$7:$AW$1843,AW1298,$BW$7:$BW$1843,"&lt;="&amp;BW1298),"")</f>
        <v>35637.0773809524</v>
      </c>
      <c r="AY1298" s="58" t="n">
        <f aca="false">IF(AX1298="",0,MAX(0,MIN(1,(IF(CF1298="L1",Parameter!$H$5,IF(CF1298="L23",Parameter!$H$6+Parameter!$H$7,Parameter!$H$5+Parameter!$H$6+Parameter!$H$7))-(AX1298-AS1298))/AS1298)))</f>
        <v>1</v>
      </c>
      <c r="AZ1298" s="50" t="n">
        <f aca="false">IF(LEFT(Cockpit!$O$5,1)="A",H1298,IF(Parameter!$E$30="MAX-Bestand",IF(CH1298=1,CI1298,IF(LEFT(Cockpit!$O$5,1)="B",BF1298,MAX(BF1298,H1298))),ROUNDUP(BD1298,0)))</f>
        <v>1</v>
      </c>
      <c r="BA1298" s="50" t="n">
        <f aca="false">IF(BZ1298=1,0,ROUNDUP(AZ1298/BY1298,0))</f>
        <v>1</v>
      </c>
      <c r="BB1298" s="52" t="n">
        <f aca="false">IF(CQ1298&gt;0,CQ1298*MAX(1,AZ1298/X1298),IF(BZ1298=1,IF(AZ1298&lt;=0,0,CD1298*MAX(1,IF(H1298&gt;0,AZ1298/H1298,1))),IF(R1298&gt;0,BA1298/R1298,0))/MAX(0.1,N(Parameter!$M$21)))</f>
        <v>0.0833333333333333</v>
      </c>
      <c r="BC1298" s="50" t="n">
        <f aca="false">BB1298*CB1298</f>
        <v>12.0833333333333</v>
      </c>
      <c r="BD1298" s="51" t="n">
        <f aca="false">IF(LEFT(Cockpit!$O$5,1)="A",H1298,IF(CH1298=1,(CK1298+CI1298)/2,IF(LEFT(Cockpit!$O$5,1)="B",(CK1298+BF1298)/2,MAX((CK1298+BF1298)/2,H1298))))</f>
        <v>0.5</v>
      </c>
      <c r="BE1298" s="50" t="n">
        <f aca="false">BD1298*G1298</f>
        <v>29.75</v>
      </c>
      <c r="BF1298" s="50" t="n">
        <f aca="false">ROUNDUP(CK1298+MAX(CL1298,2*(J1298/IF(CG1298&gt;0,CG1298,MAX(0.1,N(Cockpit!$O$6)))-CK1298)),0)</f>
        <v>1</v>
      </c>
      <c r="BG1298" s="51" t="n">
        <f aca="false">IF(BC1298&gt;0,J1298/BC1298,-1)</f>
        <v>0</v>
      </c>
      <c r="BH1298" s="51" t="n">
        <f aca="false">IF(AND(OR(CF1298="L1",CF1298="L23",CF1298="LIFT"),BC1298&gt;0),SUMIFS($BC$7:$BC$1843,$CF$7:$CF$1843,CF1298,$BG$7:$BG$1843,"&gt;"&amp;BG1298)+SUMIFS($BC$7:$BC$1843,$CF$7:$CF$1843,CF1298,$BG$7:$BG$1843,BG1298,$BW$7:$BW$1843,"&lt;="&amp;BW1298),"")</f>
        <v>29622.3840411001</v>
      </c>
      <c r="BI1298" s="58" t="n">
        <f aca="false">IF(BH1298="",0,MAX(0,MIN(1,(IF(CF1298="L1",Parameter!$H$5,IF(CF1298="L23",Parameter!$H$6+Parameter!$H$7,Parameter!$H$5+Parameter!$H$6+Parameter!$H$7))-(BH1298-BC1298))/BC1298)))</f>
        <v>1</v>
      </c>
      <c r="BJ1298" s="48" t="str">
        <f aca="false">IF(AI1298&lt;=0,"",IF(CF1298="Aussen","Aussenlager",IF(CF1298="-","Nicht im Lift",IF(AO1298&gt;=1,"Lift",IF(AO1298&lt;=0,"Aussenlager","teilweise")))))</f>
        <v/>
      </c>
      <c r="BK1298" s="48" t="str">
        <f aca="false">IF(AS1298&lt;=0,"",IF(CF1298="Aussen","Aussenlager",IF(CF1298="-","Nicht im Lift",IF(AY1298&gt;=1,"Lift",IF(AY1298&lt;=0,"Aussenlager","teilweise")))))</f>
        <v>Lift</v>
      </c>
      <c r="BL1298" s="48" t="str">
        <f aca="false">IF(BC1298&lt;=0,"",IF(CF1298="Aussen","Aussenlager",IF(CF1298="-","Nicht im Lift",IF(BI1298&gt;=1,"Lift",IF(BI1298&lt;=0,"Aussenlager","teilweise")))))</f>
        <v>Lift</v>
      </c>
      <c r="BM1298" s="48" t="str">
        <f aca="false">IF(A1298="","",IF(BV1298=1,"Neu; ","")&amp;IF(AND(BV1298=0,BQ1298&lt;0),"negativer Bestand (Export "&amp;BQ1298&amp;"); ","")&amp;IF(J1298&lt;=0,"Kein Verbrauch; ","")&amp;IF(CQ1298&gt;0,"Lift "&amp;W1298&amp;" lt. Liftbericht (Fach "&amp;X1298&amp;" Stk); ",IF(CA1298=1,"Gebinde geschätzt ("&amp;T1298&amp;"); ",IF(BZ1298=1,"Lose – Tablare geschätzt; ","")))&amp;IF(H1298&gt;AV1298,"Überbestand "&amp;ROUND(H1298-AV1298,0)&amp;" Stk / CHF "&amp;ROUND((H1298-AV1298)*G1298,0)&amp;"; ","")&amp;IF(AND(CH1298=1,CI1298&lt;CJ1298),"MAX &lt; MB+LG; ","")&amp;IF(AND(CP1298&gt;0,CO1298*10&gt;CP1298),"zu hoch für Tablar; ","")&amp;IF(AND(BV1298=0,OR(CH1298=1,AA1298&lt;&gt;"",U1298&lt;&gt;"",V1298&lt;&gt;"",AB1298&lt;&gt;"")),"manuell übersteuert; ","")&amp;IF(AND(BZ1298=0,R1298=0),"Gebinde unbekannt / Stellmass fehlt; ","")&amp;IF(AND(BZ1298=0,N(V1298)&lt;=0,N(Q1298)&lt;=0),"Menge pro Gebinde fehlt (Ist = 1 Gebinde); ","")&amp;BU1298)</f>
        <v>negativer Bestand (Export -20); Kein Verbrauch; Gebinde geschätzt (Mittel); Menge pro Gebinde fehlt (Ist = 1 Gebinde); </v>
      </c>
      <c r="BN1298" s="48"/>
      <c r="BO1298" s="48"/>
      <c r="BP1298" s="55"/>
      <c r="BQ1298" s="50" t="n">
        <v>-20</v>
      </c>
      <c r="BR1298" s="50" t="n">
        <v>20</v>
      </c>
      <c r="BS1298" s="49" t="n">
        <v>-1190</v>
      </c>
      <c r="BT1298" s="50" t="n">
        <v>0</v>
      </c>
      <c r="BU1298" s="48"/>
      <c r="BV1298" s="53" t="n">
        <v>0</v>
      </c>
      <c r="BW1298" s="53" t="n">
        <v>1298</v>
      </c>
      <c r="BX1298" s="48" t="str">
        <f aca="false">IF(U1298&lt;&gt;"",UPPER(TRIM(U1298)),IF(CA1298=1,UPPER(VLOOKUP(T1298,Parameter!$I$27:$K$29,2,0)),IF(P1298="","LOSE",P1298)))</f>
        <v>S61</v>
      </c>
      <c r="BY1298" s="50" t="n">
        <f aca="false">IF(BX1298="LOSE",1,IF(N(V1298)&gt;0,V1298,IF(CA1298=1,MAX(1,N(VLOOKUP(T1298,Parameter!$I$27:$K$29,3,0)),H1298,N(N1298)),IF(N(Q1298)&gt;0,Q1298,MAX(1,H1298)))))</f>
        <v>4</v>
      </c>
      <c r="BZ1298" s="53" t="n">
        <f aca="false">IF(BX1298="LOSE",1,0)</f>
        <v>0</v>
      </c>
      <c r="CA1298" s="53" t="n">
        <f aca="false">IF(AND(U1298="",OR(P1298="",P1298="LOSE"),T1298&lt;&gt;"",N(S1298)&lt;=0,ISNUMBER(MATCH(T1298,Parameter!$I$27:$I$29,0))),1,0)</f>
        <v>1</v>
      </c>
      <c r="CB1298" s="53" t="n">
        <f aca="false">IF(CQ1298&gt;0,INDEX(Parameter!$H$5:$H$7,W1298)/INDEX(Parameter!$E$5:$E$7,W1298),IF(AND(BZ1298=0,N(IFERROR(VLOOKUP(BX1298,'Gebinde-Kategorie'!$A$5:$N$45,14,0),0))&gt;0),VLOOKUP(BX1298,'Gebinde-Kategorie'!$A$5:$N$45,14,0)*10+Parameter!$M$23,Parameter!$M$24))</f>
        <v>145</v>
      </c>
      <c r="CC1298" s="48" t="str">
        <f aca="false">IF(AND(Parameter!$B$19="Ja",E1298&lt;&gt;"",ISNUMBER(MATCH(E1298,Parameter!$I$35:$I$52,0))),VLOOKUP(E1298,Parameter!$I$35:$J$52,2,0),IFERROR(VLOOKUP(D1298,Parameter!$A$35:$C$64,2,0),"Nein"))</f>
        <v>2+3</v>
      </c>
      <c r="CD1298" s="52" t="n">
        <f aca="false">IF(BZ1298=0,0,IF(N(S1298)&gt;0,S1298,IFERROR(VLOOKUP(D1298,Parameter!$A$35:$C$64,3,0)+0,0)))</f>
        <v>0</v>
      </c>
      <c r="CE1298" s="48" t="n">
        <f aca="false">IF(AA1298&lt;&gt;"",AA1298,Z1298)</f>
        <v>2</v>
      </c>
      <c r="CF1298" s="48" t="str">
        <f aca="false">IF(OR(CE1298=1,CE1298=2,CE1298=3),IF(Parameter!$E$27="Ja","LIFT",IF(CE1298=1,"L1","L23")),IF(CE1298="Aussen","Aussen","-"))</f>
        <v>LIFT</v>
      </c>
      <c r="CG1298" s="59" t="n">
        <f aca="false">IF(N(AB1298)&gt;0,AB1298,0)</f>
        <v>0</v>
      </c>
      <c r="CH1298" s="53" t="n">
        <f aca="false">IF(ISNUMBER(AE1298),1,0)</f>
        <v>0</v>
      </c>
      <c r="CI1298" s="50" t="n">
        <f aca="false">N(AE1298)</f>
        <v>0</v>
      </c>
      <c r="CJ1298" s="50" t="n">
        <f aca="false">N(M1298)+N(N1298)</f>
        <v>1</v>
      </c>
      <c r="CK1298" s="50" t="n">
        <f aca="false">N(M1298)</f>
        <v>0</v>
      </c>
      <c r="CL1298" s="50" t="n">
        <f aca="false">N(N1298)</f>
        <v>1</v>
      </c>
      <c r="CM1298" s="50" t="n">
        <f aca="false">ROUNDUP(H1298/BY1298,0)</f>
        <v>0</v>
      </c>
      <c r="CN1298" s="50" t="n">
        <f aca="false">ROUNDUP(CI1298/BY1298,0)</f>
        <v>0</v>
      </c>
      <c r="CO1298" s="53" t="n">
        <f aca="false">IF(BZ1298=1,0,IFERROR(VLOOKUP(BX1298,'Gebinde-Kategorie'!$A$5:$N$45,5,0)+0,0))</f>
        <v>11</v>
      </c>
      <c r="CP1298" s="53" t="n">
        <f aca="false">IFERROR(IF(OR(CE1298=1,CE1298=2,CE1298=3),N(INDEX(Parameter!$I$5:$I$7,CE1298)),0),0)</f>
        <v>0</v>
      </c>
      <c r="CQ1298" s="52" t="n">
        <f aca="false">IF(AND(Parameter!$B$21="Ja",ISNUMBER(W1298),N(X1298)&gt;0),IFERROR(N(INDEX(Parameter!$L$5:$L$7,W1298))*INDEX(Parameter!$E$5:$E$7,W1298)*X1298/SUMIFS($X$7:$X$1843,$W$7:$W$1843,W1298),0),0)</f>
        <v>0</v>
      </c>
    </row>
    <row r="1299" customFormat="false" ht="15" hidden="false" customHeight="false" outlineLevel="0" collapsed="false">
      <c r="A1299" s="48" t="s">
        <v>2319</v>
      </c>
      <c r="B1299" s="48" t="s">
        <v>414</v>
      </c>
      <c r="C1299" s="48" t="s">
        <v>173</v>
      </c>
      <c r="D1299" s="48" t="s">
        <v>182</v>
      </c>
      <c r="E1299" s="48" t="s">
        <v>194</v>
      </c>
      <c r="F1299" s="48" t="s">
        <v>227</v>
      </c>
      <c r="G1299" s="49" t="n">
        <v>1.59</v>
      </c>
      <c r="H1299" s="50" t="n">
        <f aca="false">MAX(0,IF(AND(Parameter!$B$21="Ja",ISNUMBER(Y1299)),Y1299,IF(Parameter!$B$20="Jahresanfang 2025 + Export",BR1299+BQ1299,BQ1299)))</f>
        <v>1109</v>
      </c>
      <c r="I1299" s="50" t="n">
        <f aca="false">H1299*G1299</f>
        <v>1763.31</v>
      </c>
      <c r="J1299" s="50" t="n">
        <f aca="false">BT1299*Parameter!$B$18</f>
        <v>5534</v>
      </c>
      <c r="K1299" s="51" t="n">
        <v>1501.5</v>
      </c>
      <c r="L1299" s="52" t="n">
        <v>3.68564768564769</v>
      </c>
      <c r="M1299" s="50" t="n">
        <v>322</v>
      </c>
      <c r="N1299" s="50" t="n">
        <v>600</v>
      </c>
      <c r="O1299" s="53" t="n">
        <v>21</v>
      </c>
      <c r="P1299" s="48" t="s">
        <v>235</v>
      </c>
      <c r="Q1299" s="50" t="n">
        <v>300</v>
      </c>
      <c r="R1299" s="53" t="n">
        <f aca="false">IF(BZ1299=1,0,IFERROR(VLOOKUP(BX1299,'Gebinde-Kategorie'!$A$5:$N$45,13,0)+0,0))</f>
        <v>12</v>
      </c>
      <c r="S1299" s="54"/>
      <c r="T1299" s="55"/>
      <c r="U1299" s="55"/>
      <c r="V1299" s="55"/>
      <c r="W1299" s="48"/>
      <c r="X1299" s="50"/>
      <c r="Y1299" s="50"/>
      <c r="Z1299" s="48" t="n">
        <f aca="false">IF(A1299="","",IF(AND(Parameter!$B$21="Ja",ISNUMBER(W1299)),W1299,IF(CC1299="2+3",IF(ISNUMBER(SEARCH("grosser Artikel",BU1299)),2,IFERROR(VLOOKUP(BX1299,Parameter!$F$35:$G$64,2,0),2)),IF(OR(CC1299="Nein",CC1299=""),"-",CC1299))))</f>
        <v>2</v>
      </c>
      <c r="AA1299" s="55"/>
      <c r="AB1299" s="56"/>
      <c r="AC1299" s="50" t="n">
        <f aca="false">AV1299</f>
        <v>3368</v>
      </c>
      <c r="AD1299" s="50" t="n">
        <f aca="false">MAX(AV1299,H1299)</f>
        <v>3368</v>
      </c>
      <c r="AE1299" s="57"/>
      <c r="AF1299" s="50" t="n">
        <f aca="false">IF(LEFT(Cockpit!$C$5,1)="A",H1299,IF(Parameter!$E$30="MAX-Bestand",IF(CH1299=1,CI1299,IF(LEFT(Cockpit!$C$5,1)="B",AL1299,MAX(AL1299,H1299))),ROUNDUP(AJ1299,0)))</f>
        <v>1109</v>
      </c>
      <c r="AG1299" s="50" t="n">
        <f aca="false">IF(BZ1299=1,0,ROUNDUP(AF1299/BY1299,0))</f>
        <v>4</v>
      </c>
      <c r="AH1299" s="52" t="n">
        <f aca="false">IF(CQ1299&gt;0,CQ1299*MAX(1,AF1299/X1299),IF(BZ1299=1,IF(AF1299&lt;=0,0,CD1299*MAX(1,IF(H1299&gt;0,AF1299/H1299,1))),IF(R1299&gt;0,AG1299/R1299,0))/MAX(0.1,N(Parameter!$M$21)))</f>
        <v>0.333333333333333</v>
      </c>
      <c r="AI1299" s="50" t="n">
        <f aca="false">AH1299*CB1299</f>
        <v>115</v>
      </c>
      <c r="AJ1299" s="51" t="n">
        <f aca="false">IF(LEFT(Cockpit!$C$5,1)="A",H1299,IF(CH1299=1,(CK1299+CI1299)/2,IF(LEFT(Cockpit!$C$5,1)="B",(CK1299+AL1299)/2,MAX((CK1299+AL1299)/2,H1299))))</f>
        <v>1109</v>
      </c>
      <c r="AK1299" s="50" t="n">
        <f aca="false">AJ1299*G1299</f>
        <v>1763.31</v>
      </c>
      <c r="AL1299" s="50" t="n">
        <f aca="false">ROUNDUP(CK1299+MAX(CL1299,2*(J1299/IF(CG1299&gt;0,CG1299,MAX(0.1,N(Cockpit!$C$6)))-CK1299)),0)</f>
        <v>3368</v>
      </c>
      <c r="AM1299" s="51" t="n">
        <f aca="false">IF(AI1299&gt;0,J1299/AI1299,-1)</f>
        <v>48.1217391304348</v>
      </c>
      <c r="AN1299" s="51" t="n">
        <f aca="false">IF(AND(OR(CF1299="L1",CF1299="L23",CF1299="LIFT"),AI1299&gt;0),SUMIFS($AI$7:$AI$1843,$CF$7:$CF$1843,CF1299,$AM$7:$AM$1843,"&gt;"&amp;AM1299)+SUMIFS($AI$7:$AI$1843,$CF$7:$CF$1843,CF1299,$AM$7:$AM$1843,AM1299,$BW$7:$BW$1843,"&lt;="&amp;BW1299),"")</f>
        <v>1142.98214285714</v>
      </c>
      <c r="AO1299" s="58" t="n">
        <f aca="false">IF(AN1299="",0,MAX(0,MIN(1,(IF(CF1299="L1",Parameter!$H$5,IF(CF1299="L23",Parameter!$H$6+Parameter!$H$7,Parameter!$H$5+Parameter!$H$6+Parameter!$H$7))-(AN1299-AI1299))/AI1299)))</f>
        <v>1</v>
      </c>
      <c r="AP1299" s="50" t="n">
        <f aca="false">IF(LEFT(Cockpit!$I$5,1)="A",H1299,IF(Parameter!$E$30="MAX-Bestand",IF(CH1299=1,CI1299,IF(LEFT(Cockpit!$I$5,1)="B",AV1299,MAX(AV1299,H1299))),ROUNDUP(AT1299,0)))</f>
        <v>1845</v>
      </c>
      <c r="AQ1299" s="50" t="n">
        <f aca="false">IF(BZ1299=1,0,ROUNDUP(AP1299/BY1299,0))</f>
        <v>7</v>
      </c>
      <c r="AR1299" s="52" t="n">
        <f aca="false">IF(CQ1299&gt;0,CQ1299*MAX(1,AP1299/X1299),IF(BZ1299=1,IF(AP1299&lt;=0,0,CD1299*MAX(1,IF(H1299&gt;0,AP1299/H1299,1))),IF(R1299&gt;0,AQ1299/R1299,0))/MAX(0.1,N(Parameter!$M$21)))</f>
        <v>0.583333333333333</v>
      </c>
      <c r="AS1299" s="50" t="n">
        <f aca="false">AR1299*CB1299</f>
        <v>201.25</v>
      </c>
      <c r="AT1299" s="51" t="n">
        <f aca="false">IF(LEFT(Cockpit!$I$5,1)="A",H1299,IF(CH1299=1,(CK1299+CI1299)/2,IF(LEFT(Cockpit!$I$5,1)="B",(CK1299+AV1299)/2,MAX((CK1299+AV1299)/2,H1299))))</f>
        <v>1845</v>
      </c>
      <c r="AU1299" s="50" t="n">
        <f aca="false">AT1299*G1299</f>
        <v>2933.55</v>
      </c>
      <c r="AV1299" s="50" t="n">
        <f aca="false">ROUNDUP(CK1299+MAX(CL1299,2*(J1299/IF(CG1299&gt;0,CG1299,MAX(0.1,N(Cockpit!$I$6)))-CK1299)),0)</f>
        <v>3368</v>
      </c>
      <c r="AW1299" s="51" t="n">
        <f aca="false">IF(AS1299&gt;0,J1299/AS1299,-1)</f>
        <v>27.4981366459627</v>
      </c>
      <c r="AX1299" s="51" t="n">
        <f aca="false">IF(AND(OR(CF1299="L1",CF1299="L23",CF1299="LIFT"),AS1299&gt;0),SUMIFS($AS$7:$AS$1843,$CF$7:$CF$1843,CF1299,$AW$7:$AW$1843,"&gt;"&amp;AW1299)+SUMIFS($AS$7:$AS$1843,$CF$7:$CF$1843,CF1299,$AW$7:$AW$1843,AW1299,$BW$7:$BW$1843,"&lt;="&amp;BW1299),"")</f>
        <v>2121.41804029304</v>
      </c>
      <c r="AY1299" s="58" t="n">
        <f aca="false">IF(AX1299="",0,MAX(0,MIN(1,(IF(CF1299="L1",Parameter!$H$5,IF(CF1299="L23",Parameter!$H$6+Parameter!$H$7,Parameter!$H$5+Parameter!$H$6+Parameter!$H$7))-(AX1299-AS1299))/AS1299)))</f>
        <v>1</v>
      </c>
      <c r="AZ1299" s="50" t="n">
        <f aca="false">IF(LEFT(Cockpit!$O$5,1)="A",H1299,IF(Parameter!$E$30="MAX-Bestand",IF(CH1299=1,CI1299,IF(LEFT(Cockpit!$O$5,1)="B",BF1299,MAX(BF1299,H1299))),ROUNDUP(BD1299,0)))</f>
        <v>1384</v>
      </c>
      <c r="BA1299" s="50" t="n">
        <f aca="false">IF(BZ1299=1,0,ROUNDUP(AZ1299/BY1299,0))</f>
        <v>5</v>
      </c>
      <c r="BB1299" s="52" t="n">
        <f aca="false">IF(CQ1299&gt;0,CQ1299*MAX(1,AZ1299/X1299),IF(BZ1299=1,IF(AZ1299&lt;=0,0,CD1299*MAX(1,IF(H1299&gt;0,AZ1299/H1299,1))),IF(R1299&gt;0,BA1299/R1299,0))/MAX(0.1,N(Parameter!$M$21)))</f>
        <v>0.416666666666667</v>
      </c>
      <c r="BC1299" s="50" t="n">
        <f aca="false">BB1299*CB1299</f>
        <v>143.75</v>
      </c>
      <c r="BD1299" s="51" t="n">
        <f aca="false">IF(LEFT(Cockpit!$O$5,1)="A",H1299,IF(CH1299=1,(CK1299+CI1299)/2,IF(LEFT(Cockpit!$O$5,1)="B",(CK1299+BF1299)/2,MAX((CK1299+BF1299)/2,H1299))))</f>
        <v>1383.5</v>
      </c>
      <c r="BE1299" s="50" t="n">
        <f aca="false">BD1299*G1299</f>
        <v>2199.765</v>
      </c>
      <c r="BF1299" s="50" t="n">
        <f aca="false">ROUNDUP(CK1299+MAX(CL1299,2*(J1299/IF(CG1299&gt;0,CG1299,MAX(0.1,N(Cockpit!$O$6)))-CK1299)),0)</f>
        <v>2445</v>
      </c>
      <c r="BG1299" s="51" t="n">
        <f aca="false">IF(BC1299&gt;0,J1299/BC1299,-1)</f>
        <v>38.4973913043478</v>
      </c>
      <c r="BH1299" s="51" t="n">
        <f aca="false">IF(AND(OR(CF1299="L1",CF1299="L23",CF1299="LIFT"),BC1299&gt;0),SUMIFS($BC$7:$BC$1843,$CF$7:$CF$1843,CF1299,$BG$7:$BG$1843,"&gt;"&amp;BG1299)+SUMIFS($BC$7:$BC$1843,$CF$7:$CF$1843,CF1299,$BG$7:$BG$1843,BG1299,$BW$7:$BW$1843,"&lt;="&amp;BW1299),"")</f>
        <v>1473.10073260073</v>
      </c>
      <c r="BI1299" s="58" t="n">
        <f aca="false">IF(BH1299="",0,MAX(0,MIN(1,(IF(CF1299="L1",Parameter!$H$5,IF(CF1299="L23",Parameter!$H$6+Parameter!$H$7,Parameter!$H$5+Parameter!$H$6+Parameter!$H$7))-(BH1299-BC1299))/BC1299)))</f>
        <v>1</v>
      </c>
      <c r="BJ1299" s="48" t="str">
        <f aca="false">IF(AI1299&lt;=0,"",IF(CF1299="Aussen","Aussenlager",IF(CF1299="-","Nicht im Lift",IF(AO1299&gt;=1,"Lift",IF(AO1299&lt;=0,"Aussenlager","teilweise")))))</f>
        <v>Lift</v>
      </c>
      <c r="BK1299" s="48" t="str">
        <f aca="false">IF(AS1299&lt;=0,"",IF(CF1299="Aussen","Aussenlager",IF(CF1299="-","Nicht im Lift",IF(AY1299&gt;=1,"Lift",IF(AY1299&lt;=0,"Aussenlager","teilweise")))))</f>
        <v>Lift</v>
      </c>
      <c r="BL1299" s="48" t="str">
        <f aca="false">IF(BC1299&lt;=0,"",IF(CF1299="Aussen","Aussenlager",IF(CF1299="-","Nicht im Lift",IF(BI1299&gt;=1,"Lift",IF(BI1299&lt;=0,"Aussenlager","teilweise")))))</f>
        <v>Lift</v>
      </c>
      <c r="BM1299" s="48" t="str">
        <f aca="false">IF(A1299="","",IF(BV1299=1,"Neu; ","")&amp;IF(AND(BV1299=0,BQ1299&lt;0),"negativer Bestand (Export "&amp;BQ1299&amp;"); ","")&amp;IF(J1299&lt;=0,"Kein Verbrauch; ","")&amp;IF(CQ1299&gt;0,"Lift "&amp;W1299&amp;" lt. Liftbericht (Fach "&amp;X1299&amp;" Stk); ",IF(CA1299=1,"Gebinde geschätzt ("&amp;T1299&amp;"); ",IF(BZ1299=1,"Lose – Tablare geschätzt; ","")))&amp;IF(H1299&gt;AV1299,"Überbestand "&amp;ROUND(H1299-AV1299,0)&amp;" Stk / CHF "&amp;ROUND((H1299-AV1299)*G1299,0)&amp;"; ","")&amp;IF(AND(CH1299=1,CI1299&lt;CJ1299),"MAX &lt; MB+LG; ","")&amp;IF(AND(CP1299&gt;0,CO1299*10&gt;CP1299),"zu hoch für Tablar; ","")&amp;IF(AND(BV1299=0,OR(CH1299=1,AA1299&lt;&gt;"",U1299&lt;&gt;"",V1299&lt;&gt;"",AB1299&lt;&gt;"")),"manuell übersteuert; ","")&amp;IF(AND(BZ1299=0,R1299=0),"Gebinde unbekannt / Stellmass fehlt; ","")&amp;IF(AND(BZ1299=0,N(V1299)&lt;=0,N(Q1299)&lt;=0),"Menge pro Gebinde fehlt (Ist = 1 Gebinde); ","")&amp;BU1299)</f>
        <v>negativer Bestand (Export -641); grosse  Artikelmenge</v>
      </c>
      <c r="BN1299" s="48"/>
      <c r="BO1299" s="48"/>
      <c r="BP1299" s="55"/>
      <c r="BQ1299" s="50" t="n">
        <v>-641</v>
      </c>
      <c r="BR1299" s="50" t="n">
        <v>1750</v>
      </c>
      <c r="BS1299" s="49" t="n">
        <v>-1191.49</v>
      </c>
      <c r="BT1299" s="50" t="n">
        <v>5534</v>
      </c>
      <c r="BU1299" s="48" t="s">
        <v>1616</v>
      </c>
      <c r="BV1299" s="53" t="n">
        <v>0</v>
      </c>
      <c r="BW1299" s="53" t="n">
        <v>1299</v>
      </c>
      <c r="BX1299" s="48" t="str">
        <f aca="false">IF(U1299&lt;&gt;"",UPPER(TRIM(U1299)),IF(CA1299=1,UPPER(VLOOKUP(T1299,Parameter!$I$27:$K$29,2,0)),IF(P1299="","LOSE",P1299)))</f>
        <v>S63</v>
      </c>
      <c r="BY1299" s="50" t="n">
        <f aca="false">IF(BX1299="LOSE",1,IF(N(V1299)&gt;0,V1299,IF(CA1299=1,MAX(1,N(VLOOKUP(T1299,Parameter!$I$27:$K$29,3,0)),H1299,N(N1299)),IF(N(Q1299)&gt;0,Q1299,MAX(1,H1299)))))</f>
        <v>300</v>
      </c>
      <c r="BZ1299" s="53" t="n">
        <f aca="false">IF(BX1299="LOSE",1,0)</f>
        <v>0</v>
      </c>
      <c r="CA1299" s="53" t="n">
        <f aca="false">IF(AND(U1299="",OR(P1299="",P1299="LOSE"),T1299&lt;&gt;"",N(S1299)&lt;=0,ISNUMBER(MATCH(T1299,Parameter!$I$27:$I$29,0))),1,0)</f>
        <v>0</v>
      </c>
      <c r="CB1299" s="53" t="n">
        <f aca="false">IF(CQ1299&gt;0,INDEX(Parameter!$H$5:$H$7,W1299)/INDEX(Parameter!$E$5:$E$7,W1299),IF(AND(BZ1299=0,N(IFERROR(VLOOKUP(BX1299,'Gebinde-Kategorie'!$A$5:$N$45,14,0),0))&gt;0),VLOOKUP(BX1299,'Gebinde-Kategorie'!$A$5:$N$45,14,0)*10+Parameter!$M$23,Parameter!$M$24))</f>
        <v>345</v>
      </c>
      <c r="CC1299" s="48" t="str">
        <f aca="false">IF(AND(Parameter!$B$19="Ja",E1299&lt;&gt;"",ISNUMBER(MATCH(E1299,Parameter!$I$35:$I$52,0))),VLOOKUP(E1299,Parameter!$I$35:$J$52,2,0),IFERROR(VLOOKUP(D1299,Parameter!$A$35:$C$64,2,0),"Nein"))</f>
        <v>2+3</v>
      </c>
      <c r="CD1299" s="52" t="n">
        <f aca="false">IF(BZ1299=0,0,IF(N(S1299)&gt;0,S1299,IFERROR(VLOOKUP(D1299,Parameter!$A$35:$C$64,3,0)+0,0)))</f>
        <v>0</v>
      </c>
      <c r="CE1299" s="48" t="n">
        <f aca="false">IF(AA1299&lt;&gt;"",AA1299,Z1299)</f>
        <v>2</v>
      </c>
      <c r="CF1299" s="48" t="str">
        <f aca="false">IF(OR(CE1299=1,CE1299=2,CE1299=3),IF(Parameter!$E$27="Ja","LIFT",IF(CE1299=1,"L1","L23")),IF(CE1299="Aussen","Aussen","-"))</f>
        <v>LIFT</v>
      </c>
      <c r="CG1299" s="59" t="n">
        <f aca="false">IF(N(AB1299)&gt;0,AB1299,0)</f>
        <v>0</v>
      </c>
      <c r="CH1299" s="53" t="n">
        <f aca="false">IF(ISNUMBER(AE1299),1,0)</f>
        <v>0</v>
      </c>
      <c r="CI1299" s="50" t="n">
        <f aca="false">N(AE1299)</f>
        <v>0</v>
      </c>
      <c r="CJ1299" s="50" t="n">
        <f aca="false">N(M1299)+N(N1299)</f>
        <v>922</v>
      </c>
      <c r="CK1299" s="50" t="n">
        <f aca="false">N(M1299)</f>
        <v>322</v>
      </c>
      <c r="CL1299" s="50" t="n">
        <f aca="false">N(N1299)</f>
        <v>600</v>
      </c>
      <c r="CM1299" s="50" t="n">
        <f aca="false">ROUNDUP(H1299/BY1299,0)</f>
        <v>4</v>
      </c>
      <c r="CN1299" s="50" t="n">
        <f aca="false">ROUNDUP(CI1299/BY1299,0)</f>
        <v>0</v>
      </c>
      <c r="CO1299" s="53" t="n">
        <f aca="false">IF(BZ1299=1,0,IFERROR(VLOOKUP(BX1299,'Gebinde-Kategorie'!$A$5:$N$45,5,0)+0,0))</f>
        <v>31</v>
      </c>
      <c r="CP1299" s="53" t="n">
        <f aca="false">IFERROR(IF(OR(CE1299=1,CE1299=2,CE1299=3),N(INDEX(Parameter!$I$5:$I$7,CE1299)),0),0)</f>
        <v>0</v>
      </c>
      <c r="CQ1299" s="52" t="n">
        <f aca="false">IF(AND(Parameter!$B$21="Ja",ISNUMBER(W1299),N(X1299)&gt;0),IFERROR(N(INDEX(Parameter!$L$5:$L$7,W1299))*INDEX(Parameter!$E$5:$E$7,W1299)*X1299/SUMIFS($X$7:$X$1843,$W$7:$W$1843,W1299),0),0)</f>
        <v>0</v>
      </c>
    </row>
    <row r="1300" customFormat="false" ht="15" hidden="false" customHeight="false" outlineLevel="0" collapsed="false">
      <c r="A1300" s="48" t="s">
        <v>2320</v>
      </c>
      <c r="B1300" s="48" t="s">
        <v>2321</v>
      </c>
      <c r="C1300" s="48" t="s">
        <v>173</v>
      </c>
      <c r="D1300" s="48" t="s">
        <v>182</v>
      </c>
      <c r="E1300" s="48" t="s">
        <v>379</v>
      </c>
      <c r="F1300" s="48" t="s">
        <v>227</v>
      </c>
      <c r="G1300" s="49" t="n">
        <v>659.54</v>
      </c>
      <c r="H1300" s="50" t="n">
        <f aca="false">MAX(0,IF(AND(Parameter!$B$21="Ja",ISNUMBER(Y1300)),Y1300,IF(Parameter!$B$20="Jahresanfang 2025 + Export",BR1300+BQ1300,BQ1300)))</f>
        <v>0</v>
      </c>
      <c r="I1300" s="50" t="n">
        <f aca="false">H1300*G1300</f>
        <v>0</v>
      </c>
      <c r="J1300" s="50" t="n">
        <f aca="false">BT1300*Parameter!$B$18</f>
        <v>8</v>
      </c>
      <c r="K1300" s="51" t="n">
        <v>1</v>
      </c>
      <c r="L1300" s="52" t="n">
        <v>8</v>
      </c>
      <c r="M1300" s="50" t="n">
        <v>0</v>
      </c>
      <c r="N1300" s="50" t="n">
        <v>2</v>
      </c>
      <c r="O1300" s="53" t="n">
        <v>14</v>
      </c>
      <c r="P1300" s="48" t="s">
        <v>177</v>
      </c>
      <c r="Q1300" s="50"/>
      <c r="R1300" s="53" t="n">
        <f aca="false">IF(BZ1300=1,0,IFERROR(VLOOKUP(BX1300,'Gebinde-Kategorie'!$A$5:$N$45,13,0)+0,0))</f>
        <v>4</v>
      </c>
      <c r="S1300" s="54"/>
      <c r="T1300" s="55" t="s">
        <v>198</v>
      </c>
      <c r="U1300" s="55"/>
      <c r="V1300" s="55"/>
      <c r="W1300" s="48"/>
      <c r="X1300" s="50"/>
      <c r="Y1300" s="50"/>
      <c r="Z1300" s="48" t="str">
        <f aca="false">IF(A1300="","",IF(AND(Parameter!$B$21="Ja",ISNUMBER(W1300)),W1300,IF(CC1300="2+3",IF(ISNUMBER(SEARCH("grosser Artikel",BU1300)),2,IFERROR(VLOOKUP(BX1300,Parameter!$F$35:$G$64,2,0),2)),IF(OR(CC1300="Nein",CC1300=""),"-",CC1300))))</f>
        <v>-</v>
      </c>
      <c r="AA1300" s="55"/>
      <c r="AB1300" s="56"/>
      <c r="AC1300" s="50" t="n">
        <f aca="false">AV1300</f>
        <v>6</v>
      </c>
      <c r="AD1300" s="50" t="n">
        <f aca="false">MAX(AV1300,H1300)</f>
        <v>6</v>
      </c>
      <c r="AE1300" s="57"/>
      <c r="AF1300" s="50" t="n">
        <f aca="false">IF(LEFT(Cockpit!$C$5,1)="A",H1300,IF(Parameter!$E$30="MAX-Bestand",IF(CH1300=1,CI1300,IF(LEFT(Cockpit!$C$5,1)="B",AL1300,MAX(AL1300,H1300))),ROUNDUP(AJ1300,0)))</f>
        <v>0</v>
      </c>
      <c r="AG1300" s="50" t="n">
        <f aca="false">IF(BZ1300=1,0,ROUNDUP(AF1300/BY1300,0))</f>
        <v>0</v>
      </c>
      <c r="AH1300" s="52" t="n">
        <f aca="false">IF(CQ1300&gt;0,CQ1300*MAX(1,AF1300/X1300),IF(BZ1300=1,IF(AF1300&lt;=0,0,CD1300*MAX(1,IF(H1300&gt;0,AF1300/H1300,1))),IF(R1300&gt;0,AG1300/R1300,0))/MAX(0.1,N(Parameter!$M$21)))</f>
        <v>0</v>
      </c>
      <c r="AI1300" s="50" t="n">
        <f aca="false">AH1300*CB1300</f>
        <v>0</v>
      </c>
      <c r="AJ1300" s="51" t="n">
        <f aca="false">IF(LEFT(Cockpit!$C$5,1)="A",H1300,IF(CH1300=1,(CK1300+CI1300)/2,IF(LEFT(Cockpit!$C$5,1)="B",(CK1300+AL1300)/2,MAX((CK1300+AL1300)/2,H1300))))</f>
        <v>0</v>
      </c>
      <c r="AK1300" s="50" t="n">
        <f aca="false">AJ1300*G1300</f>
        <v>0</v>
      </c>
      <c r="AL1300" s="50" t="n">
        <f aca="false">ROUNDUP(CK1300+MAX(CL1300,2*(J1300/IF(CG1300&gt;0,CG1300,MAX(0.1,N(Cockpit!$C$6)))-CK1300)),0)</f>
        <v>6</v>
      </c>
      <c r="AM1300" s="51" t="n">
        <f aca="false">IF(AI1300&gt;0,J1300/AI1300,-1)</f>
        <v>-1</v>
      </c>
      <c r="AN1300" s="51" t="str">
        <f aca="false">IF(AND(OR(CF1300="L1",CF1300="L23",CF1300="LIFT"),AI1300&gt;0),SUMIFS($AI$7:$AI$1843,$CF$7:$CF$1843,CF1300,$AM$7:$AM$1843,"&gt;"&amp;AM1300)+SUMIFS($AI$7:$AI$1843,$CF$7:$CF$1843,CF1300,$AM$7:$AM$1843,AM1300,$BW$7:$BW$1843,"&lt;="&amp;BW1300),"")</f>
        <v/>
      </c>
      <c r="AO1300" s="58" t="n">
        <f aca="false">IF(AN1300="",0,MAX(0,MIN(1,(IF(CF1300="L1",Parameter!$H$5,IF(CF1300="L23",Parameter!$H$6+Parameter!$H$7,Parameter!$H$5+Parameter!$H$6+Parameter!$H$7))-(AN1300-AI1300))/AI1300)))</f>
        <v>0</v>
      </c>
      <c r="AP1300" s="50" t="n">
        <f aca="false">IF(LEFT(Cockpit!$I$5,1)="A",H1300,IF(Parameter!$E$30="MAX-Bestand",IF(CH1300=1,CI1300,IF(LEFT(Cockpit!$I$5,1)="B",AV1300,MAX(AV1300,H1300))),ROUNDUP(AT1300,0)))</f>
        <v>3</v>
      </c>
      <c r="AQ1300" s="50" t="n">
        <f aca="false">IF(BZ1300=1,0,ROUNDUP(AP1300/BY1300,0))</f>
        <v>2</v>
      </c>
      <c r="AR1300" s="52" t="n">
        <f aca="false">IF(CQ1300&gt;0,CQ1300*MAX(1,AP1300/X1300),IF(BZ1300=1,IF(AP1300&lt;=0,0,CD1300*MAX(1,IF(H1300&gt;0,AP1300/H1300,1))),IF(R1300&gt;0,AQ1300/R1300,0))/MAX(0.1,N(Parameter!$M$21)))</f>
        <v>0.5</v>
      </c>
      <c r="AS1300" s="50" t="n">
        <f aca="false">AR1300*CB1300</f>
        <v>117.5</v>
      </c>
      <c r="AT1300" s="51" t="n">
        <f aca="false">IF(LEFT(Cockpit!$I$5,1)="A",H1300,IF(CH1300=1,(CK1300+CI1300)/2,IF(LEFT(Cockpit!$I$5,1)="B",(CK1300+AV1300)/2,MAX((CK1300+AV1300)/2,H1300))))</f>
        <v>3</v>
      </c>
      <c r="AU1300" s="50" t="n">
        <f aca="false">AT1300*G1300</f>
        <v>1978.62</v>
      </c>
      <c r="AV1300" s="50" t="n">
        <f aca="false">ROUNDUP(CK1300+MAX(CL1300,2*(J1300/IF(CG1300&gt;0,CG1300,MAX(0.1,N(Cockpit!$I$6)))-CK1300)),0)</f>
        <v>6</v>
      </c>
      <c r="AW1300" s="51" t="n">
        <f aca="false">IF(AS1300&gt;0,J1300/AS1300,-1)</f>
        <v>0.0680851063829787</v>
      </c>
      <c r="AX1300" s="51" t="str">
        <f aca="false">IF(AND(OR(CF1300="L1",CF1300="L23",CF1300="LIFT"),AS1300&gt;0),SUMIFS($AS$7:$AS$1843,$CF$7:$CF$1843,CF1300,$AW$7:$AW$1843,"&gt;"&amp;AW1300)+SUMIFS($AS$7:$AS$1843,$CF$7:$CF$1843,CF1300,$AW$7:$AW$1843,AW1300,$BW$7:$BW$1843,"&lt;="&amp;BW1300),"")</f>
        <v/>
      </c>
      <c r="AY1300" s="58" t="n">
        <f aca="false">IF(AX1300="",0,MAX(0,MIN(1,(IF(CF1300="L1",Parameter!$H$5,IF(CF1300="L23",Parameter!$H$6+Parameter!$H$7,Parameter!$H$5+Parameter!$H$6+Parameter!$H$7))-(AX1300-AS1300))/AS1300)))</f>
        <v>0</v>
      </c>
      <c r="AZ1300" s="50" t="n">
        <f aca="false">IF(LEFT(Cockpit!$O$5,1)="A",H1300,IF(Parameter!$E$30="MAX-Bestand",IF(CH1300=1,CI1300,IF(LEFT(Cockpit!$O$5,1)="B",BF1300,MAX(BF1300,H1300))),ROUNDUP(BD1300,0)))</f>
        <v>2</v>
      </c>
      <c r="BA1300" s="50" t="n">
        <f aca="false">IF(BZ1300=1,0,ROUNDUP(AZ1300/BY1300,0))</f>
        <v>1</v>
      </c>
      <c r="BB1300" s="52" t="n">
        <f aca="false">IF(CQ1300&gt;0,CQ1300*MAX(1,AZ1300/X1300),IF(BZ1300=1,IF(AZ1300&lt;=0,0,CD1300*MAX(1,IF(H1300&gt;0,AZ1300/H1300,1))),IF(R1300&gt;0,BA1300/R1300,0))/MAX(0.1,N(Parameter!$M$21)))</f>
        <v>0.25</v>
      </c>
      <c r="BC1300" s="50" t="n">
        <f aca="false">BB1300*CB1300</f>
        <v>58.75</v>
      </c>
      <c r="BD1300" s="51" t="n">
        <f aca="false">IF(LEFT(Cockpit!$O$5,1)="A",H1300,IF(CH1300=1,(CK1300+CI1300)/2,IF(LEFT(Cockpit!$O$5,1)="B",(CK1300+BF1300)/2,MAX((CK1300+BF1300)/2,H1300))))</f>
        <v>2</v>
      </c>
      <c r="BE1300" s="50" t="n">
        <f aca="false">BD1300*G1300</f>
        <v>1319.08</v>
      </c>
      <c r="BF1300" s="50" t="n">
        <f aca="false">ROUNDUP(CK1300+MAX(CL1300,2*(J1300/IF(CG1300&gt;0,CG1300,MAX(0.1,N(Cockpit!$O$6)))-CK1300)),0)</f>
        <v>4</v>
      </c>
      <c r="BG1300" s="51" t="n">
        <f aca="false">IF(BC1300&gt;0,J1300/BC1300,-1)</f>
        <v>0.136170212765957</v>
      </c>
      <c r="BH1300" s="51" t="str">
        <f aca="false">IF(AND(OR(CF1300="L1",CF1300="L23",CF1300="LIFT"),BC1300&gt;0),SUMIFS($BC$7:$BC$1843,$CF$7:$CF$1843,CF1300,$BG$7:$BG$1843,"&gt;"&amp;BG1300)+SUMIFS($BC$7:$BC$1843,$CF$7:$CF$1843,CF1300,$BG$7:$BG$1843,BG1300,$BW$7:$BW$1843,"&lt;="&amp;BW1300),"")</f>
        <v/>
      </c>
      <c r="BI1300" s="58" t="n">
        <f aca="false">IF(BH1300="",0,MAX(0,MIN(1,(IF(CF1300="L1",Parameter!$H$5,IF(CF1300="L23",Parameter!$H$6+Parameter!$H$7,Parameter!$H$5+Parameter!$H$6+Parameter!$H$7))-(BH1300-BC1300))/BC1300)))</f>
        <v>0</v>
      </c>
      <c r="BJ1300" s="48" t="str">
        <f aca="false">IF(AI1300&lt;=0,"",IF(CF1300="Aussen","Aussenlager",IF(CF1300="-","Nicht im Lift",IF(AO1300&gt;=1,"Lift",IF(AO1300&lt;=0,"Aussenlager","teilweise")))))</f>
        <v/>
      </c>
      <c r="BK1300" s="48" t="str">
        <f aca="false">IF(AS1300&lt;=0,"",IF(CF1300="Aussen","Aussenlager",IF(CF1300="-","Nicht im Lift",IF(AY1300&gt;=1,"Lift",IF(AY1300&lt;=0,"Aussenlager","teilweise")))))</f>
        <v>Nicht im Lift</v>
      </c>
      <c r="BL1300" s="48" t="str">
        <f aca="false">IF(BC1300&lt;=0,"",IF(CF1300="Aussen","Aussenlager",IF(CF1300="-","Nicht im Lift",IF(BI1300&gt;=1,"Lift",IF(BI1300&lt;=0,"Aussenlager","teilweise")))))</f>
        <v>Nicht im Lift</v>
      </c>
      <c r="BM1300" s="48" t="str">
        <f aca="false">IF(A1300="","",IF(BV1300=1,"Neu; ","")&amp;IF(AND(BV1300=0,BQ1300&lt;0),"negativer Bestand (Export "&amp;BQ1300&amp;"); ","")&amp;IF(J1300&lt;=0,"Kein Verbrauch; ","")&amp;IF(CQ1300&gt;0,"Lift "&amp;W1300&amp;" lt. Liftbericht (Fach "&amp;X1300&amp;" Stk); ",IF(CA1300=1,"Gebinde geschätzt ("&amp;T1300&amp;"); ",IF(BZ1300=1,"Lose – Tablare geschätzt; ","")))&amp;IF(H1300&gt;AV1300,"Überbestand "&amp;ROUND(H1300-AV1300,0)&amp;" Stk / CHF "&amp;ROUND((H1300-AV1300)*G1300,0)&amp;"; ","")&amp;IF(AND(CH1300=1,CI1300&lt;CJ1300),"MAX &lt; MB+LG; ","")&amp;IF(AND(CP1300&gt;0,CO1300*10&gt;CP1300),"zu hoch für Tablar; ","")&amp;IF(AND(BV1300=0,OR(CH1300=1,AA1300&lt;&gt;"",U1300&lt;&gt;"",V1300&lt;&gt;"",AB1300&lt;&gt;"")),"manuell übersteuert; ","")&amp;IF(AND(BZ1300=0,R1300=0),"Gebinde unbekannt / Stellmass fehlt; ","")&amp;IF(AND(BZ1300=0,N(V1300)&lt;=0,N(Q1300)&lt;=0),"Menge pro Gebinde fehlt (Ist = 1 Gebinde); ","")&amp;BU1300)</f>
        <v>negativer Bestand (Export -2); Gebinde geschätzt (Gross); Menge pro Gebinde fehlt (Ist = 1 Gebinde); </v>
      </c>
      <c r="BN1300" s="48"/>
      <c r="BO1300" s="48"/>
      <c r="BP1300" s="55"/>
      <c r="BQ1300" s="50" t="n">
        <v>-2</v>
      </c>
      <c r="BR1300" s="50" t="n">
        <v>2</v>
      </c>
      <c r="BS1300" s="49" t="n">
        <v>-1191.98</v>
      </c>
      <c r="BT1300" s="50" t="n">
        <v>8</v>
      </c>
      <c r="BU1300" s="48"/>
      <c r="BV1300" s="53" t="n">
        <v>0</v>
      </c>
      <c r="BW1300" s="53" t="n">
        <v>1300</v>
      </c>
      <c r="BX1300" s="48" t="str">
        <f aca="false">IF(U1300&lt;&gt;"",UPPER(TRIM(U1300)),IF(CA1300=1,UPPER(VLOOKUP(T1300,Parameter!$I$27:$K$29,2,0)),IF(P1300="","LOSE",P1300)))</f>
        <v>S81</v>
      </c>
      <c r="BY1300" s="50" t="n">
        <f aca="false">IF(BX1300="LOSE",1,IF(N(V1300)&gt;0,V1300,IF(CA1300=1,MAX(1,N(VLOOKUP(T1300,Parameter!$I$27:$K$29,3,0)),H1300,N(N1300)),IF(N(Q1300)&gt;0,Q1300,MAX(1,H1300)))))</f>
        <v>2</v>
      </c>
      <c r="BZ1300" s="53" t="n">
        <f aca="false">IF(BX1300="LOSE",1,0)</f>
        <v>0</v>
      </c>
      <c r="CA1300" s="53" t="n">
        <f aca="false">IF(AND(U1300="",OR(P1300="",P1300="LOSE"),T1300&lt;&gt;"",N(S1300)&lt;=0,ISNUMBER(MATCH(T1300,Parameter!$I$27:$I$29,0))),1,0)</f>
        <v>1</v>
      </c>
      <c r="CB1300" s="53" t="n">
        <f aca="false">IF(CQ1300&gt;0,INDEX(Parameter!$H$5:$H$7,W1300)/INDEX(Parameter!$E$5:$E$7,W1300),IF(AND(BZ1300=0,N(IFERROR(VLOOKUP(BX1300,'Gebinde-Kategorie'!$A$5:$N$45,14,0),0))&gt;0),VLOOKUP(BX1300,'Gebinde-Kategorie'!$A$5:$N$45,14,0)*10+Parameter!$M$23,Parameter!$M$24))</f>
        <v>235</v>
      </c>
      <c r="CC1300" s="48" t="str">
        <f aca="false">IF(AND(Parameter!$B$19="Ja",E1300&lt;&gt;"",ISNUMBER(MATCH(E1300,Parameter!$I$35:$I$52,0))),VLOOKUP(E1300,Parameter!$I$35:$J$52,2,0),IFERROR(VLOOKUP(D1300,Parameter!$A$35:$C$64,2,0),"Nein"))</f>
        <v>Nein</v>
      </c>
      <c r="CD1300" s="52" t="n">
        <f aca="false">IF(BZ1300=0,0,IF(N(S1300)&gt;0,S1300,IFERROR(VLOOKUP(D1300,Parameter!$A$35:$C$64,3,0)+0,0)))</f>
        <v>0</v>
      </c>
      <c r="CE1300" s="48" t="str">
        <f aca="false">IF(AA1300&lt;&gt;"",AA1300,Z1300)</f>
        <v>-</v>
      </c>
      <c r="CF1300" s="48" t="str">
        <f aca="false">IF(OR(CE1300=1,CE1300=2,CE1300=3),IF(Parameter!$E$27="Ja","LIFT",IF(CE1300=1,"L1","L23")),IF(CE1300="Aussen","Aussen","-"))</f>
        <v>-</v>
      </c>
      <c r="CG1300" s="59" t="n">
        <f aca="false">IF(N(AB1300)&gt;0,AB1300,0)</f>
        <v>0</v>
      </c>
      <c r="CH1300" s="53" t="n">
        <f aca="false">IF(ISNUMBER(AE1300),1,0)</f>
        <v>0</v>
      </c>
      <c r="CI1300" s="50" t="n">
        <f aca="false">N(AE1300)</f>
        <v>0</v>
      </c>
      <c r="CJ1300" s="50" t="n">
        <f aca="false">N(M1300)+N(N1300)</f>
        <v>2</v>
      </c>
      <c r="CK1300" s="50" t="n">
        <f aca="false">N(M1300)</f>
        <v>0</v>
      </c>
      <c r="CL1300" s="50" t="n">
        <f aca="false">N(N1300)</f>
        <v>2</v>
      </c>
      <c r="CM1300" s="50" t="n">
        <f aca="false">ROUNDUP(H1300/BY1300,0)</f>
        <v>0</v>
      </c>
      <c r="CN1300" s="50" t="n">
        <f aca="false">ROUNDUP(CI1300/BY1300,0)</f>
        <v>0</v>
      </c>
      <c r="CO1300" s="53" t="n">
        <f aca="false">IF(BZ1300=1,0,IFERROR(VLOOKUP(BX1300,'Gebinde-Kategorie'!$A$5:$N$45,5,0)+0,0))</f>
        <v>20</v>
      </c>
      <c r="CP1300" s="53" t="n">
        <f aca="false">IFERROR(IF(OR(CE1300=1,CE1300=2,CE1300=3),N(INDEX(Parameter!$I$5:$I$7,CE1300)),0),0)</f>
        <v>0</v>
      </c>
      <c r="CQ1300" s="52" t="n">
        <f aca="false">IF(AND(Parameter!$B$21="Ja",ISNUMBER(W1300),N(X1300)&gt;0),IFERROR(N(INDEX(Parameter!$L$5:$L$7,W1300))*INDEX(Parameter!$E$5:$E$7,W1300)*X1300/SUMIFS($X$7:$X$1843,$W$7:$W$1843,W1300),0),0)</f>
        <v>0</v>
      </c>
    </row>
    <row r="1301" customFormat="false" ht="15" hidden="false" customHeight="false" outlineLevel="0" collapsed="false">
      <c r="A1301" s="48" t="s">
        <v>2322</v>
      </c>
      <c r="B1301" s="48" t="s">
        <v>544</v>
      </c>
      <c r="C1301" s="48" t="s">
        <v>173</v>
      </c>
      <c r="D1301" s="48" t="s">
        <v>193</v>
      </c>
      <c r="E1301" s="48"/>
      <c r="F1301" s="48" t="s">
        <v>227</v>
      </c>
      <c r="G1301" s="49" t="n">
        <v>28.42</v>
      </c>
      <c r="H1301" s="50" t="n">
        <f aca="false">MAX(0,IF(AND(Parameter!$B$21="Ja",ISNUMBER(Y1301)),Y1301,IF(Parameter!$B$20="Jahresanfang 2025 + Export",BR1301+BQ1301,BQ1301)))</f>
        <v>18</v>
      </c>
      <c r="I1301" s="50" t="n">
        <f aca="false">H1301*G1301</f>
        <v>511.56</v>
      </c>
      <c r="J1301" s="50" t="n">
        <f aca="false">BT1301*Parameter!$B$18</f>
        <v>11</v>
      </c>
      <c r="K1301" s="51" t="n">
        <v>41</v>
      </c>
      <c r="L1301" s="52" t="n">
        <v>0.268292682926829</v>
      </c>
      <c r="M1301" s="50" t="n">
        <v>1</v>
      </c>
      <c r="N1301" s="50" t="n">
        <v>15</v>
      </c>
      <c r="O1301" s="53" t="n">
        <v>28</v>
      </c>
      <c r="P1301" s="48" t="s">
        <v>311</v>
      </c>
      <c r="Q1301" s="50" t="n">
        <v>50</v>
      </c>
      <c r="R1301" s="53" t="n">
        <f aca="false">IF(BZ1301=1,0,IFERROR(VLOOKUP(BX1301,'Gebinde-Kategorie'!$A$5:$N$45,13,0)+0,0))</f>
        <v>26</v>
      </c>
      <c r="S1301" s="54"/>
      <c r="T1301" s="55"/>
      <c r="U1301" s="55"/>
      <c r="V1301" s="55"/>
      <c r="W1301" s="48"/>
      <c r="X1301" s="50"/>
      <c r="Y1301" s="50"/>
      <c r="Z1301" s="48" t="n">
        <f aca="false">IF(A1301="","",IF(AND(Parameter!$B$21="Ja",ISNUMBER(W1301)),W1301,IF(CC1301="2+3",IF(ISNUMBER(SEARCH("grosser Artikel",BU1301)),2,IFERROR(VLOOKUP(BX1301,Parameter!$F$35:$G$64,2,0),2)),IF(OR(CC1301="Nein",CC1301=""),"-",CC1301))))</f>
        <v>3</v>
      </c>
      <c r="AA1301" s="55"/>
      <c r="AB1301" s="56"/>
      <c r="AC1301" s="50" t="n">
        <f aca="false">AV1301</f>
        <v>16</v>
      </c>
      <c r="AD1301" s="50" t="n">
        <f aca="false">MAX(AV1301,H1301)</f>
        <v>18</v>
      </c>
      <c r="AE1301" s="57"/>
      <c r="AF1301" s="50" t="n">
        <f aca="false">IF(LEFT(Cockpit!$C$5,1)="A",H1301,IF(Parameter!$E$30="MAX-Bestand",IF(CH1301=1,CI1301,IF(LEFT(Cockpit!$C$5,1)="B",AL1301,MAX(AL1301,H1301))),ROUNDUP(AJ1301,0)))</f>
        <v>18</v>
      </c>
      <c r="AG1301" s="50" t="n">
        <f aca="false">IF(BZ1301=1,0,ROUNDUP(AF1301/BY1301,0))</f>
        <v>1</v>
      </c>
      <c r="AH1301" s="52" t="n">
        <f aca="false">IF(CQ1301&gt;0,CQ1301*MAX(1,AF1301/X1301),IF(BZ1301=1,IF(AF1301&lt;=0,0,CD1301*MAX(1,IF(H1301&gt;0,AF1301/H1301,1))),IF(R1301&gt;0,AG1301/R1301,0))/MAX(0.1,N(Parameter!$M$21)))</f>
        <v>0.0384615384615385</v>
      </c>
      <c r="AI1301" s="50" t="n">
        <f aca="false">AH1301*CB1301</f>
        <v>5.96153846153846</v>
      </c>
      <c r="AJ1301" s="51" t="n">
        <f aca="false">IF(LEFT(Cockpit!$C$5,1)="A",H1301,IF(CH1301=1,(CK1301+CI1301)/2,IF(LEFT(Cockpit!$C$5,1)="B",(CK1301+AL1301)/2,MAX((CK1301+AL1301)/2,H1301))))</f>
        <v>18</v>
      </c>
      <c r="AK1301" s="50" t="n">
        <f aca="false">AJ1301*G1301</f>
        <v>511.56</v>
      </c>
      <c r="AL1301" s="50" t="n">
        <f aca="false">ROUNDUP(CK1301+MAX(CL1301,2*(J1301/IF(CG1301&gt;0,CG1301,MAX(0.1,N(Cockpit!$C$6)))-CK1301)),0)</f>
        <v>16</v>
      </c>
      <c r="AM1301" s="51" t="n">
        <f aca="false">IF(AI1301&gt;0,J1301/AI1301,-1)</f>
        <v>1.84516129032258</v>
      </c>
      <c r="AN1301" s="51" t="n">
        <f aca="false">IF(AND(OR(CF1301="L1",CF1301="L23",CF1301="LIFT"),AI1301&gt;0),SUMIFS($AI$7:$AI$1843,$CF$7:$CF$1843,CF1301,$AM$7:$AM$1843,"&gt;"&amp;AM1301)+SUMIFS($AI$7:$AI$1843,$CF$7:$CF$1843,CF1301,$AM$7:$AM$1843,AM1301,$BW$7:$BW$1843,"&lt;="&amp;BW1301),"")</f>
        <v>5959.80815018315</v>
      </c>
      <c r="AO1301" s="58" t="n">
        <f aca="false">IF(AN1301="",0,MAX(0,MIN(1,(IF(CF1301="L1",Parameter!$H$5,IF(CF1301="L23",Parameter!$H$6+Parameter!$H$7,Parameter!$H$5+Parameter!$H$6+Parameter!$H$7))-(AN1301-AI1301))/AI1301)))</f>
        <v>1</v>
      </c>
      <c r="AP1301" s="50" t="n">
        <f aca="false">IF(LEFT(Cockpit!$I$5,1)="A",H1301,IF(Parameter!$E$30="MAX-Bestand",IF(CH1301=1,CI1301,IF(LEFT(Cockpit!$I$5,1)="B",AV1301,MAX(AV1301,H1301))),ROUNDUP(AT1301,0)))</f>
        <v>18</v>
      </c>
      <c r="AQ1301" s="50" t="n">
        <f aca="false">IF(BZ1301=1,0,ROUNDUP(AP1301/BY1301,0))</f>
        <v>1</v>
      </c>
      <c r="AR1301" s="52" t="n">
        <f aca="false">IF(CQ1301&gt;0,CQ1301*MAX(1,AP1301/X1301),IF(BZ1301=1,IF(AP1301&lt;=0,0,CD1301*MAX(1,IF(H1301&gt;0,AP1301/H1301,1))),IF(R1301&gt;0,AQ1301/R1301,0))/MAX(0.1,N(Parameter!$M$21)))</f>
        <v>0.0384615384615385</v>
      </c>
      <c r="AS1301" s="50" t="n">
        <f aca="false">AR1301*CB1301</f>
        <v>5.96153846153846</v>
      </c>
      <c r="AT1301" s="51" t="n">
        <f aca="false">IF(LEFT(Cockpit!$I$5,1)="A",H1301,IF(CH1301=1,(CK1301+CI1301)/2,IF(LEFT(Cockpit!$I$5,1)="B",(CK1301+AV1301)/2,MAX((CK1301+AV1301)/2,H1301))))</f>
        <v>18</v>
      </c>
      <c r="AU1301" s="50" t="n">
        <f aca="false">AT1301*G1301</f>
        <v>511.56</v>
      </c>
      <c r="AV1301" s="50" t="n">
        <f aca="false">ROUNDUP(CK1301+MAX(CL1301,2*(J1301/IF(CG1301&gt;0,CG1301,MAX(0.1,N(Cockpit!$I$6)))-CK1301)),0)</f>
        <v>16</v>
      </c>
      <c r="AW1301" s="51" t="n">
        <f aca="false">IF(AS1301&gt;0,J1301/AS1301,-1)</f>
        <v>1.84516129032258</v>
      </c>
      <c r="AX1301" s="51" t="n">
        <f aca="false">IF(AND(OR(CF1301="L1",CF1301="L23",CF1301="LIFT"),AS1301&gt;0),SUMIFS($AS$7:$AS$1843,$CF$7:$CF$1843,CF1301,$AW$7:$AW$1843,"&gt;"&amp;AW1301)+SUMIFS($AS$7:$AS$1843,$CF$7:$CF$1843,CF1301,$AW$7:$AW$1843,AW1301,$BW$7:$BW$1843,"&lt;="&amp;BW1301),"")</f>
        <v>7397.33104395604</v>
      </c>
      <c r="AY1301" s="58" t="n">
        <f aca="false">IF(AX1301="",0,MAX(0,MIN(1,(IF(CF1301="L1",Parameter!$H$5,IF(CF1301="L23",Parameter!$H$6+Parameter!$H$7,Parameter!$H$5+Parameter!$H$6+Parameter!$H$7))-(AX1301-AS1301))/AS1301)))</f>
        <v>1</v>
      </c>
      <c r="AZ1301" s="50" t="n">
        <f aca="false">IF(LEFT(Cockpit!$O$5,1)="A",H1301,IF(Parameter!$E$30="MAX-Bestand",IF(CH1301=1,CI1301,IF(LEFT(Cockpit!$O$5,1)="B",BF1301,MAX(BF1301,H1301))),ROUNDUP(BD1301,0)))</f>
        <v>9</v>
      </c>
      <c r="BA1301" s="50" t="n">
        <f aca="false">IF(BZ1301=1,0,ROUNDUP(AZ1301/BY1301,0))</f>
        <v>1</v>
      </c>
      <c r="BB1301" s="52" t="n">
        <f aca="false">IF(CQ1301&gt;0,CQ1301*MAX(1,AZ1301/X1301),IF(BZ1301=1,IF(AZ1301&lt;=0,0,CD1301*MAX(1,IF(H1301&gt;0,AZ1301/H1301,1))),IF(R1301&gt;0,BA1301/R1301,0))/MAX(0.1,N(Parameter!$M$21)))</f>
        <v>0.0384615384615385</v>
      </c>
      <c r="BC1301" s="50" t="n">
        <f aca="false">BB1301*CB1301</f>
        <v>5.96153846153846</v>
      </c>
      <c r="BD1301" s="51" t="n">
        <f aca="false">IF(LEFT(Cockpit!$O$5,1)="A",H1301,IF(CH1301=1,(CK1301+CI1301)/2,IF(LEFT(Cockpit!$O$5,1)="B",(CK1301+BF1301)/2,MAX((CK1301+BF1301)/2,H1301))))</f>
        <v>8.5</v>
      </c>
      <c r="BE1301" s="50" t="n">
        <f aca="false">BD1301*G1301</f>
        <v>241.57</v>
      </c>
      <c r="BF1301" s="50" t="n">
        <f aca="false">ROUNDUP(CK1301+MAX(CL1301,2*(J1301/IF(CG1301&gt;0,CG1301,MAX(0.1,N(Cockpit!$O$6)))-CK1301)),0)</f>
        <v>16</v>
      </c>
      <c r="BG1301" s="51" t="n">
        <f aca="false">IF(BC1301&gt;0,J1301/BC1301,-1)</f>
        <v>1.84516129032258</v>
      </c>
      <c r="BH1301" s="51" t="n">
        <f aca="false">IF(AND(OR(CF1301="L1",CF1301="L23",CF1301="LIFT"),BC1301&gt;0),SUMIFS($BC$7:$BC$1843,$CF$7:$CF$1843,CF1301,$BG$7:$BG$1843,"&gt;"&amp;BG1301)+SUMIFS($BC$7:$BC$1843,$CF$7:$CF$1843,CF1301,$BG$7:$BG$1843,BG1301,$BW$7:$BW$1843,"&lt;="&amp;BW1301),"")</f>
        <v>6013.85897435897</v>
      </c>
      <c r="BI1301" s="58" t="n">
        <f aca="false">IF(BH1301="",0,MAX(0,MIN(1,(IF(CF1301="L1",Parameter!$H$5,IF(CF1301="L23",Parameter!$H$6+Parameter!$H$7,Parameter!$H$5+Parameter!$H$6+Parameter!$H$7))-(BH1301-BC1301))/BC1301)))</f>
        <v>1</v>
      </c>
      <c r="BJ1301" s="48" t="str">
        <f aca="false">IF(AI1301&lt;=0,"",IF(CF1301="Aussen","Aussenlager",IF(CF1301="-","Nicht im Lift",IF(AO1301&gt;=1,"Lift",IF(AO1301&lt;=0,"Aussenlager","teilweise")))))</f>
        <v>Lift</v>
      </c>
      <c r="BK1301" s="48" t="str">
        <f aca="false">IF(AS1301&lt;=0,"",IF(CF1301="Aussen","Aussenlager",IF(CF1301="-","Nicht im Lift",IF(AY1301&gt;=1,"Lift",IF(AY1301&lt;=0,"Aussenlager","teilweise")))))</f>
        <v>Lift</v>
      </c>
      <c r="BL1301" s="48" t="str">
        <f aca="false">IF(BC1301&lt;=0,"",IF(CF1301="Aussen","Aussenlager",IF(CF1301="-","Nicht im Lift",IF(BI1301&gt;=1,"Lift",IF(BI1301&lt;=0,"Aussenlager","teilweise")))))</f>
        <v>Lift</v>
      </c>
      <c r="BM1301" s="48" t="str">
        <f aca="false">IF(A1301="","",IF(BV1301=1,"Neu; ","")&amp;IF(AND(BV1301=0,BQ1301&lt;0),"negativer Bestand (Export "&amp;BQ1301&amp;"); ","")&amp;IF(J1301&lt;=0,"Kein Verbrauch; ","")&amp;IF(CQ1301&gt;0,"Lift "&amp;W1301&amp;" lt. Liftbericht (Fach "&amp;X1301&amp;" Stk); ",IF(CA1301=1,"Gebinde geschätzt ("&amp;T1301&amp;"); ",IF(BZ1301=1,"Lose – Tablare geschätzt; ","")))&amp;IF(H1301&gt;AV1301,"Überbestand "&amp;ROUND(H1301-AV1301,0)&amp;" Stk / CHF "&amp;ROUND((H1301-AV1301)*G1301,0)&amp;"; ","")&amp;IF(AND(CH1301=1,CI1301&lt;CJ1301),"MAX &lt; MB+LG; ","")&amp;IF(AND(CP1301&gt;0,CO1301*10&gt;CP1301),"zu hoch für Tablar; ","")&amp;IF(AND(BV1301=0,OR(CH1301=1,AA1301&lt;&gt;"",U1301&lt;&gt;"",V1301&lt;&gt;"",AB1301&lt;&gt;"")),"manuell übersteuert; ","")&amp;IF(AND(BZ1301=0,R1301=0),"Gebinde unbekannt / Stellmass fehlt; ","")&amp;IF(AND(BZ1301=0,N(V1301)&lt;=0,N(Q1301)&lt;=0),"Menge pro Gebinde fehlt (Ist = 1 Gebinde); ","")&amp;BU1301)</f>
        <v>negativer Bestand (Export -29); Überbestand 2 Stk / CHF 57; </v>
      </c>
      <c r="BN1301" s="48"/>
      <c r="BO1301" s="48"/>
      <c r="BP1301" s="55"/>
      <c r="BQ1301" s="50" t="n">
        <v>-29</v>
      </c>
      <c r="BR1301" s="50" t="n">
        <v>47</v>
      </c>
      <c r="BS1301" s="49" t="n">
        <v>-1194.54</v>
      </c>
      <c r="BT1301" s="50" t="n">
        <v>11</v>
      </c>
      <c r="BU1301" s="48"/>
      <c r="BV1301" s="53" t="n">
        <v>0</v>
      </c>
      <c r="BW1301" s="53" t="n">
        <v>1301</v>
      </c>
      <c r="BX1301" s="48" t="str">
        <f aca="false">IF(U1301&lt;&gt;"",UPPER(TRIM(U1301)),IF(CA1301=1,UPPER(VLOOKUP(T1301,Parameter!$I$27:$K$29,2,0)),IF(P1301="","LOSE",P1301)))</f>
        <v>S51</v>
      </c>
      <c r="BY1301" s="50" t="n">
        <f aca="false">IF(BX1301="LOSE",1,IF(N(V1301)&gt;0,V1301,IF(CA1301=1,MAX(1,N(VLOOKUP(T1301,Parameter!$I$27:$K$29,3,0)),H1301,N(N1301)),IF(N(Q1301)&gt;0,Q1301,MAX(1,H1301)))))</f>
        <v>50</v>
      </c>
      <c r="BZ1301" s="53" t="n">
        <f aca="false">IF(BX1301="LOSE",1,0)</f>
        <v>0</v>
      </c>
      <c r="CA1301" s="53" t="n">
        <f aca="false">IF(AND(U1301="",OR(P1301="",P1301="LOSE"),T1301&lt;&gt;"",N(S1301)&lt;=0,ISNUMBER(MATCH(T1301,Parameter!$I$27:$I$29,0))),1,0)</f>
        <v>0</v>
      </c>
      <c r="CB1301" s="53" t="n">
        <f aca="false">IF(CQ1301&gt;0,INDEX(Parameter!$H$5:$H$7,W1301)/INDEX(Parameter!$E$5:$E$7,W1301),IF(AND(BZ1301=0,N(IFERROR(VLOOKUP(BX1301,'Gebinde-Kategorie'!$A$5:$N$45,14,0),0))&gt;0),VLOOKUP(BX1301,'Gebinde-Kategorie'!$A$5:$N$45,14,0)*10+Parameter!$M$23,Parameter!$M$24))</f>
        <v>155</v>
      </c>
      <c r="CC1301" s="48" t="str">
        <f aca="false">IF(AND(Parameter!$B$19="Ja",E1301&lt;&gt;"",ISNUMBER(MATCH(E1301,Parameter!$I$35:$I$52,0))),VLOOKUP(E1301,Parameter!$I$35:$J$52,2,0),IFERROR(VLOOKUP(D1301,Parameter!$A$35:$C$64,2,0),"Nein"))</f>
        <v>2+3</v>
      </c>
      <c r="CD1301" s="52" t="n">
        <f aca="false">IF(BZ1301=0,0,IF(N(S1301)&gt;0,S1301,IFERROR(VLOOKUP(D1301,Parameter!$A$35:$C$64,3,0)+0,0)))</f>
        <v>0</v>
      </c>
      <c r="CE1301" s="48" t="n">
        <f aca="false">IF(AA1301&lt;&gt;"",AA1301,Z1301)</f>
        <v>3</v>
      </c>
      <c r="CF1301" s="48" t="str">
        <f aca="false">IF(OR(CE1301=1,CE1301=2,CE1301=3),IF(Parameter!$E$27="Ja","LIFT",IF(CE1301=1,"L1","L23")),IF(CE1301="Aussen","Aussen","-"))</f>
        <v>LIFT</v>
      </c>
      <c r="CG1301" s="59" t="n">
        <f aca="false">IF(N(AB1301)&gt;0,AB1301,0)</f>
        <v>0</v>
      </c>
      <c r="CH1301" s="53" t="n">
        <f aca="false">IF(ISNUMBER(AE1301),1,0)</f>
        <v>0</v>
      </c>
      <c r="CI1301" s="50" t="n">
        <f aca="false">N(AE1301)</f>
        <v>0</v>
      </c>
      <c r="CJ1301" s="50" t="n">
        <f aca="false">N(M1301)+N(N1301)</f>
        <v>16</v>
      </c>
      <c r="CK1301" s="50" t="n">
        <f aca="false">N(M1301)</f>
        <v>1</v>
      </c>
      <c r="CL1301" s="50" t="n">
        <f aca="false">N(N1301)</f>
        <v>15</v>
      </c>
      <c r="CM1301" s="50" t="n">
        <f aca="false">ROUNDUP(H1301/BY1301,0)</f>
        <v>1</v>
      </c>
      <c r="CN1301" s="50" t="n">
        <f aca="false">ROUNDUP(CI1301/BY1301,0)</f>
        <v>0</v>
      </c>
      <c r="CO1301" s="53" t="n">
        <f aca="false">IF(BZ1301=1,0,IFERROR(VLOOKUP(BX1301,'Gebinde-Kategorie'!$A$5:$N$45,5,0)+0,0))</f>
        <v>11</v>
      </c>
      <c r="CP1301" s="53" t="n">
        <f aca="false">IFERROR(IF(OR(CE1301=1,CE1301=2,CE1301=3),N(INDEX(Parameter!$I$5:$I$7,CE1301)),0),0)</f>
        <v>0</v>
      </c>
      <c r="CQ1301" s="52" t="n">
        <f aca="false">IF(AND(Parameter!$B$21="Ja",ISNUMBER(W1301),N(X1301)&gt;0),IFERROR(N(INDEX(Parameter!$L$5:$L$7,W1301))*INDEX(Parameter!$E$5:$E$7,W1301)*X1301/SUMIFS($X$7:$X$1843,$W$7:$W$1843,W1301),0),0)</f>
        <v>0</v>
      </c>
    </row>
    <row r="1302" customFormat="false" ht="15" hidden="false" customHeight="false" outlineLevel="0" collapsed="false">
      <c r="A1302" s="48" t="s">
        <v>2323</v>
      </c>
      <c r="B1302" s="48" t="s">
        <v>414</v>
      </c>
      <c r="C1302" s="48" t="s">
        <v>173</v>
      </c>
      <c r="D1302" s="48" t="s">
        <v>182</v>
      </c>
      <c r="E1302" s="48" t="s">
        <v>194</v>
      </c>
      <c r="F1302" s="48" t="s">
        <v>227</v>
      </c>
      <c r="G1302" s="49" t="n">
        <v>0.19</v>
      </c>
      <c r="H1302" s="50" t="n">
        <f aca="false">MAX(0,IF(AND(Parameter!$B$21="Ja",ISNUMBER(Y1302)),Y1302,IF(Parameter!$B$20="Jahresanfang 2025 + Export",BR1302+BQ1302,BQ1302)))</f>
        <v>1061</v>
      </c>
      <c r="I1302" s="50" t="n">
        <f aca="false">H1302*G1302</f>
        <v>201.59</v>
      </c>
      <c r="J1302" s="50" t="n">
        <f aca="false">BT1302*Parameter!$B$18</f>
        <v>3712</v>
      </c>
      <c r="K1302" s="51" t="n">
        <v>5621.5</v>
      </c>
      <c r="L1302" s="52" t="n">
        <v>0.660321978119719</v>
      </c>
      <c r="M1302" s="50" t="n">
        <v>216</v>
      </c>
      <c r="N1302" s="50" t="n">
        <v>2000</v>
      </c>
      <c r="O1302" s="53" t="n">
        <v>21</v>
      </c>
      <c r="P1302" s="48" t="s">
        <v>235</v>
      </c>
      <c r="Q1302" s="50" t="n">
        <v>2200</v>
      </c>
      <c r="R1302" s="53" t="n">
        <f aca="false">IF(BZ1302=1,0,IFERROR(VLOOKUP(BX1302,'Gebinde-Kategorie'!$A$5:$N$45,13,0)+0,0))</f>
        <v>12</v>
      </c>
      <c r="S1302" s="54"/>
      <c r="T1302" s="55"/>
      <c r="U1302" s="55"/>
      <c r="V1302" s="55"/>
      <c r="W1302" s="48"/>
      <c r="X1302" s="50"/>
      <c r="Y1302" s="50"/>
      <c r="Z1302" s="48" t="n">
        <f aca="false">IF(A1302="","",IF(AND(Parameter!$B$21="Ja",ISNUMBER(W1302)),W1302,IF(CC1302="2+3",IF(ISNUMBER(SEARCH("grosser Artikel",BU1302)),2,IFERROR(VLOOKUP(BX1302,Parameter!$F$35:$G$64,2,0),2)),IF(OR(CC1302="Nein",CC1302=""),"-",CC1302))))</f>
        <v>2</v>
      </c>
      <c r="AA1302" s="55"/>
      <c r="AB1302" s="56"/>
      <c r="AC1302" s="50" t="n">
        <f aca="false">AV1302</f>
        <v>2259</v>
      </c>
      <c r="AD1302" s="50" t="n">
        <f aca="false">MAX(AV1302,H1302)</f>
        <v>2259</v>
      </c>
      <c r="AE1302" s="57"/>
      <c r="AF1302" s="50" t="n">
        <f aca="false">IF(LEFT(Cockpit!$C$5,1)="A",H1302,IF(Parameter!$E$30="MAX-Bestand",IF(CH1302=1,CI1302,IF(LEFT(Cockpit!$C$5,1)="B",AL1302,MAX(AL1302,H1302))),ROUNDUP(AJ1302,0)))</f>
        <v>1061</v>
      </c>
      <c r="AG1302" s="50" t="n">
        <f aca="false">IF(BZ1302=1,0,ROUNDUP(AF1302/BY1302,0))</f>
        <v>1</v>
      </c>
      <c r="AH1302" s="52" t="n">
        <f aca="false">IF(CQ1302&gt;0,CQ1302*MAX(1,AF1302/X1302),IF(BZ1302=1,IF(AF1302&lt;=0,0,CD1302*MAX(1,IF(H1302&gt;0,AF1302/H1302,1))),IF(R1302&gt;0,AG1302/R1302,0))/MAX(0.1,N(Parameter!$M$21)))</f>
        <v>0.0833333333333333</v>
      </c>
      <c r="AI1302" s="50" t="n">
        <f aca="false">AH1302*CB1302</f>
        <v>28.75</v>
      </c>
      <c r="AJ1302" s="51" t="n">
        <f aca="false">IF(LEFT(Cockpit!$C$5,1)="A",H1302,IF(CH1302=1,(CK1302+CI1302)/2,IF(LEFT(Cockpit!$C$5,1)="B",(CK1302+AL1302)/2,MAX((CK1302+AL1302)/2,H1302))))</f>
        <v>1061</v>
      </c>
      <c r="AK1302" s="50" t="n">
        <f aca="false">AJ1302*G1302</f>
        <v>201.59</v>
      </c>
      <c r="AL1302" s="50" t="n">
        <f aca="false">ROUNDUP(CK1302+MAX(CL1302,2*(J1302/IF(CG1302&gt;0,CG1302,MAX(0.1,N(Cockpit!$C$6)))-CK1302)),0)</f>
        <v>2259</v>
      </c>
      <c r="AM1302" s="51" t="n">
        <f aca="false">IF(AI1302&gt;0,J1302/AI1302,-1)</f>
        <v>129.113043478261</v>
      </c>
      <c r="AN1302" s="51" t="n">
        <f aca="false">IF(AND(OR(CF1302="L1",CF1302="L23",CF1302="LIFT"),AI1302&gt;0),SUMIFS($AI$7:$AI$1843,$CF$7:$CF$1843,CF1302,$AM$7:$AM$1843,"&gt;"&amp;AM1302)+SUMIFS($AI$7:$AI$1843,$CF$7:$CF$1843,CF1302,$AM$7:$AM$1843,AM1302,$BW$7:$BW$1843,"&lt;="&amp;BW1302),"")</f>
        <v>638.029304029304</v>
      </c>
      <c r="AO1302" s="58" t="n">
        <f aca="false">IF(AN1302="",0,MAX(0,MIN(1,(IF(CF1302="L1",Parameter!$H$5,IF(CF1302="L23",Parameter!$H$6+Parameter!$H$7,Parameter!$H$5+Parameter!$H$6+Parameter!$H$7))-(AN1302-AI1302))/AI1302)))</f>
        <v>1</v>
      </c>
      <c r="AP1302" s="50" t="n">
        <f aca="false">IF(LEFT(Cockpit!$I$5,1)="A",H1302,IF(Parameter!$E$30="MAX-Bestand",IF(CH1302=1,CI1302,IF(LEFT(Cockpit!$I$5,1)="B",AV1302,MAX(AV1302,H1302))),ROUNDUP(AT1302,0)))</f>
        <v>1238</v>
      </c>
      <c r="AQ1302" s="50" t="n">
        <f aca="false">IF(BZ1302=1,0,ROUNDUP(AP1302/BY1302,0))</f>
        <v>1</v>
      </c>
      <c r="AR1302" s="52" t="n">
        <f aca="false">IF(CQ1302&gt;0,CQ1302*MAX(1,AP1302/X1302),IF(BZ1302=1,IF(AP1302&lt;=0,0,CD1302*MAX(1,IF(H1302&gt;0,AP1302/H1302,1))),IF(R1302&gt;0,AQ1302/R1302,0))/MAX(0.1,N(Parameter!$M$21)))</f>
        <v>0.0833333333333333</v>
      </c>
      <c r="AS1302" s="50" t="n">
        <f aca="false">AR1302*CB1302</f>
        <v>28.75</v>
      </c>
      <c r="AT1302" s="51" t="n">
        <f aca="false">IF(LEFT(Cockpit!$I$5,1)="A",H1302,IF(CH1302=1,(CK1302+CI1302)/2,IF(LEFT(Cockpit!$I$5,1)="B",(CK1302+AV1302)/2,MAX((CK1302+AV1302)/2,H1302))))</f>
        <v>1237.5</v>
      </c>
      <c r="AU1302" s="50" t="n">
        <f aca="false">AT1302*G1302</f>
        <v>235.125</v>
      </c>
      <c r="AV1302" s="50" t="n">
        <f aca="false">ROUNDUP(CK1302+MAX(CL1302,2*(J1302/IF(CG1302&gt;0,CG1302,MAX(0.1,N(Cockpit!$I$6)))-CK1302)),0)</f>
        <v>2259</v>
      </c>
      <c r="AW1302" s="51" t="n">
        <f aca="false">IF(AS1302&gt;0,J1302/AS1302,-1)</f>
        <v>129.113043478261</v>
      </c>
      <c r="AX1302" s="51" t="n">
        <f aca="false">IF(AND(OR(CF1302="L1",CF1302="L23",CF1302="LIFT"),AS1302&gt;0),SUMIFS($AS$7:$AS$1843,$CF$7:$CF$1843,CF1302,$AW$7:$AW$1843,"&gt;"&amp;AW1302)+SUMIFS($AS$7:$AS$1843,$CF$7:$CF$1843,CF1302,$AW$7:$AW$1843,AW1302,$BW$7:$BW$1843,"&lt;="&amp;BW1302),"")</f>
        <v>752.68543956044</v>
      </c>
      <c r="AY1302" s="58" t="n">
        <f aca="false">IF(AX1302="",0,MAX(0,MIN(1,(IF(CF1302="L1",Parameter!$H$5,IF(CF1302="L23",Parameter!$H$6+Parameter!$H$7,Parameter!$H$5+Parameter!$H$6+Parameter!$H$7))-(AX1302-AS1302))/AS1302)))</f>
        <v>1</v>
      </c>
      <c r="AZ1302" s="50" t="n">
        <f aca="false">IF(LEFT(Cockpit!$O$5,1)="A",H1302,IF(Parameter!$E$30="MAX-Bestand",IF(CH1302=1,CI1302,IF(LEFT(Cockpit!$O$5,1)="B",BF1302,MAX(BF1302,H1302))),ROUNDUP(BD1302,0)))</f>
        <v>1216</v>
      </c>
      <c r="BA1302" s="50" t="n">
        <f aca="false">IF(BZ1302=1,0,ROUNDUP(AZ1302/BY1302,0))</f>
        <v>1</v>
      </c>
      <c r="BB1302" s="52" t="n">
        <f aca="false">IF(CQ1302&gt;0,CQ1302*MAX(1,AZ1302/X1302),IF(BZ1302=1,IF(AZ1302&lt;=0,0,CD1302*MAX(1,IF(H1302&gt;0,AZ1302/H1302,1))),IF(R1302&gt;0,BA1302/R1302,0))/MAX(0.1,N(Parameter!$M$21)))</f>
        <v>0.0833333333333333</v>
      </c>
      <c r="BC1302" s="50" t="n">
        <f aca="false">BB1302*CB1302</f>
        <v>28.75</v>
      </c>
      <c r="BD1302" s="51" t="n">
        <f aca="false">IF(LEFT(Cockpit!$O$5,1)="A",H1302,IF(CH1302=1,(CK1302+CI1302)/2,IF(LEFT(Cockpit!$O$5,1)="B",(CK1302+BF1302)/2,MAX((CK1302+BF1302)/2,H1302))))</f>
        <v>1216</v>
      </c>
      <c r="BE1302" s="50" t="n">
        <f aca="false">BD1302*G1302</f>
        <v>231.04</v>
      </c>
      <c r="BF1302" s="50" t="n">
        <f aca="false">ROUNDUP(CK1302+MAX(CL1302,2*(J1302/IF(CG1302&gt;0,CG1302,MAX(0.1,N(Cockpit!$O$6)))-CK1302)),0)</f>
        <v>2216</v>
      </c>
      <c r="BG1302" s="51" t="n">
        <f aca="false">IF(BC1302&gt;0,J1302/BC1302,-1)</f>
        <v>129.113043478261</v>
      </c>
      <c r="BH1302" s="51" t="n">
        <f aca="false">IF(AND(OR(CF1302="L1",CF1302="L23",CF1302="LIFT"),BC1302&gt;0),SUMIFS($BC$7:$BC$1843,$CF$7:$CF$1843,CF1302,$BG$7:$BG$1843,"&gt;"&amp;BG1302)+SUMIFS($BC$7:$BC$1843,$CF$7:$CF$1843,CF1302,$BG$7:$BG$1843,BG1302,$BW$7:$BW$1843,"&lt;="&amp;BW1302),"")</f>
        <v>766.652472527473</v>
      </c>
      <c r="BI1302" s="58" t="n">
        <f aca="false">IF(BH1302="",0,MAX(0,MIN(1,(IF(CF1302="L1",Parameter!$H$5,IF(CF1302="L23",Parameter!$H$6+Parameter!$H$7,Parameter!$H$5+Parameter!$H$6+Parameter!$H$7))-(BH1302-BC1302))/BC1302)))</f>
        <v>1</v>
      </c>
      <c r="BJ1302" s="48" t="str">
        <f aca="false">IF(AI1302&lt;=0,"",IF(CF1302="Aussen","Aussenlager",IF(CF1302="-","Nicht im Lift",IF(AO1302&gt;=1,"Lift",IF(AO1302&lt;=0,"Aussenlager","teilweise")))))</f>
        <v>Lift</v>
      </c>
      <c r="BK1302" s="48" t="str">
        <f aca="false">IF(AS1302&lt;=0,"",IF(CF1302="Aussen","Aussenlager",IF(CF1302="-","Nicht im Lift",IF(AY1302&gt;=1,"Lift",IF(AY1302&lt;=0,"Aussenlager","teilweise")))))</f>
        <v>Lift</v>
      </c>
      <c r="BL1302" s="48" t="str">
        <f aca="false">IF(BC1302&lt;=0,"",IF(CF1302="Aussen","Aussenlager",IF(CF1302="-","Nicht im Lift",IF(BI1302&gt;=1,"Lift",IF(BI1302&lt;=0,"Aussenlager","teilweise")))))</f>
        <v>Lift</v>
      </c>
      <c r="BM1302" s="48" t="str">
        <f aca="false">IF(A1302="","",IF(BV1302=1,"Neu; ","")&amp;IF(AND(BV1302=0,BQ1302&lt;0),"negativer Bestand (Export "&amp;BQ1302&amp;"); ","")&amp;IF(J1302&lt;=0,"Kein Verbrauch; ","")&amp;IF(CQ1302&gt;0,"Lift "&amp;W1302&amp;" lt. Liftbericht (Fach "&amp;X1302&amp;" Stk); ",IF(CA1302=1,"Gebinde geschätzt ("&amp;T1302&amp;"); ",IF(BZ1302=1,"Lose – Tablare geschätzt; ","")))&amp;IF(H1302&gt;AV1302,"Überbestand "&amp;ROUND(H1302-AV1302,0)&amp;" Stk / CHF "&amp;ROUND((H1302-AV1302)*G1302,0)&amp;"; ","")&amp;IF(AND(CH1302=1,CI1302&lt;CJ1302),"MAX &lt; MB+LG; ","")&amp;IF(AND(CP1302&gt;0,CO1302*10&gt;CP1302),"zu hoch für Tablar; ","")&amp;IF(AND(BV1302=0,OR(CH1302=1,AA1302&lt;&gt;"",U1302&lt;&gt;"",V1302&lt;&gt;"",AB1302&lt;&gt;"")),"manuell übersteuert; ","")&amp;IF(AND(BZ1302=0,R1302=0),"Gebinde unbekannt / Stellmass fehlt; ","")&amp;IF(AND(BZ1302=0,N(V1302)&lt;=0,N(Q1302)&lt;=0),"Menge pro Gebinde fehlt (Ist = 1 Gebinde); ","")&amp;BU1302)</f>
        <v>negativer Bestand (Export -6299); grosse  Artikelmenge</v>
      </c>
      <c r="BN1302" s="48"/>
      <c r="BO1302" s="48"/>
      <c r="BP1302" s="55"/>
      <c r="BQ1302" s="50" t="n">
        <v>-6299</v>
      </c>
      <c r="BR1302" s="50" t="n">
        <v>7360</v>
      </c>
      <c r="BS1302" s="49" t="n">
        <v>-1196.81</v>
      </c>
      <c r="BT1302" s="50" t="n">
        <v>3712</v>
      </c>
      <c r="BU1302" s="48" t="s">
        <v>1616</v>
      </c>
      <c r="BV1302" s="53" t="n">
        <v>0</v>
      </c>
      <c r="BW1302" s="53" t="n">
        <v>1302</v>
      </c>
      <c r="BX1302" s="48" t="str">
        <f aca="false">IF(U1302&lt;&gt;"",UPPER(TRIM(U1302)),IF(CA1302=1,UPPER(VLOOKUP(T1302,Parameter!$I$27:$K$29,2,0)),IF(P1302="","LOSE",P1302)))</f>
        <v>S63</v>
      </c>
      <c r="BY1302" s="50" t="n">
        <f aca="false">IF(BX1302="LOSE",1,IF(N(V1302)&gt;0,V1302,IF(CA1302=1,MAX(1,N(VLOOKUP(T1302,Parameter!$I$27:$K$29,3,0)),H1302,N(N1302)),IF(N(Q1302)&gt;0,Q1302,MAX(1,H1302)))))</f>
        <v>2200</v>
      </c>
      <c r="BZ1302" s="53" t="n">
        <f aca="false">IF(BX1302="LOSE",1,0)</f>
        <v>0</v>
      </c>
      <c r="CA1302" s="53" t="n">
        <f aca="false">IF(AND(U1302="",OR(P1302="",P1302="LOSE"),T1302&lt;&gt;"",N(S1302)&lt;=0,ISNUMBER(MATCH(T1302,Parameter!$I$27:$I$29,0))),1,0)</f>
        <v>0</v>
      </c>
      <c r="CB1302" s="53" t="n">
        <f aca="false">IF(CQ1302&gt;0,INDEX(Parameter!$H$5:$H$7,W1302)/INDEX(Parameter!$E$5:$E$7,W1302),IF(AND(BZ1302=0,N(IFERROR(VLOOKUP(BX1302,'Gebinde-Kategorie'!$A$5:$N$45,14,0),0))&gt;0),VLOOKUP(BX1302,'Gebinde-Kategorie'!$A$5:$N$45,14,0)*10+Parameter!$M$23,Parameter!$M$24))</f>
        <v>345</v>
      </c>
      <c r="CC1302" s="48" t="str">
        <f aca="false">IF(AND(Parameter!$B$19="Ja",E1302&lt;&gt;"",ISNUMBER(MATCH(E1302,Parameter!$I$35:$I$52,0))),VLOOKUP(E1302,Parameter!$I$35:$J$52,2,0),IFERROR(VLOOKUP(D1302,Parameter!$A$35:$C$64,2,0),"Nein"))</f>
        <v>2+3</v>
      </c>
      <c r="CD1302" s="52" t="n">
        <f aca="false">IF(BZ1302=0,0,IF(N(S1302)&gt;0,S1302,IFERROR(VLOOKUP(D1302,Parameter!$A$35:$C$64,3,0)+0,0)))</f>
        <v>0</v>
      </c>
      <c r="CE1302" s="48" t="n">
        <f aca="false">IF(AA1302&lt;&gt;"",AA1302,Z1302)</f>
        <v>2</v>
      </c>
      <c r="CF1302" s="48" t="str">
        <f aca="false">IF(OR(CE1302=1,CE1302=2,CE1302=3),IF(Parameter!$E$27="Ja","LIFT",IF(CE1302=1,"L1","L23")),IF(CE1302="Aussen","Aussen","-"))</f>
        <v>LIFT</v>
      </c>
      <c r="CG1302" s="59" t="n">
        <f aca="false">IF(N(AB1302)&gt;0,AB1302,0)</f>
        <v>0</v>
      </c>
      <c r="CH1302" s="53" t="n">
        <f aca="false">IF(ISNUMBER(AE1302),1,0)</f>
        <v>0</v>
      </c>
      <c r="CI1302" s="50" t="n">
        <f aca="false">N(AE1302)</f>
        <v>0</v>
      </c>
      <c r="CJ1302" s="50" t="n">
        <f aca="false">N(M1302)+N(N1302)</f>
        <v>2216</v>
      </c>
      <c r="CK1302" s="50" t="n">
        <f aca="false">N(M1302)</f>
        <v>216</v>
      </c>
      <c r="CL1302" s="50" t="n">
        <f aca="false">N(N1302)</f>
        <v>2000</v>
      </c>
      <c r="CM1302" s="50" t="n">
        <f aca="false">ROUNDUP(H1302/BY1302,0)</f>
        <v>1</v>
      </c>
      <c r="CN1302" s="50" t="n">
        <f aca="false">ROUNDUP(CI1302/BY1302,0)</f>
        <v>0</v>
      </c>
      <c r="CO1302" s="53" t="n">
        <f aca="false">IF(BZ1302=1,0,IFERROR(VLOOKUP(BX1302,'Gebinde-Kategorie'!$A$5:$N$45,5,0)+0,0))</f>
        <v>31</v>
      </c>
      <c r="CP1302" s="53" t="n">
        <f aca="false">IFERROR(IF(OR(CE1302=1,CE1302=2,CE1302=3),N(INDEX(Parameter!$I$5:$I$7,CE1302)),0),0)</f>
        <v>0</v>
      </c>
      <c r="CQ1302" s="52" t="n">
        <f aca="false">IF(AND(Parameter!$B$21="Ja",ISNUMBER(W1302),N(X1302)&gt;0),IFERROR(N(INDEX(Parameter!$L$5:$L$7,W1302))*INDEX(Parameter!$E$5:$E$7,W1302)*X1302/SUMIFS($X$7:$X$1843,$W$7:$W$1843,W1302),0),0)</f>
        <v>0</v>
      </c>
    </row>
    <row r="1303" customFormat="false" ht="15" hidden="false" customHeight="false" outlineLevel="0" collapsed="false">
      <c r="A1303" s="48" t="s">
        <v>2324</v>
      </c>
      <c r="B1303" s="48" t="s">
        <v>2325</v>
      </c>
      <c r="C1303" s="48" t="s">
        <v>173</v>
      </c>
      <c r="D1303" s="48" t="s">
        <v>193</v>
      </c>
      <c r="E1303" s="48" t="s">
        <v>194</v>
      </c>
      <c r="F1303" s="48" t="s">
        <v>227</v>
      </c>
      <c r="G1303" s="49" t="n">
        <v>983.67</v>
      </c>
      <c r="H1303" s="50" t="n">
        <f aca="false">MAX(0,IF(AND(Parameter!$B$21="Ja",ISNUMBER(Y1303)),Y1303,IF(Parameter!$B$20="Jahresanfang 2025 + Export",BR1303+BQ1303,BQ1303)))</f>
        <v>13</v>
      </c>
      <c r="I1303" s="50" t="n">
        <f aca="false">H1303*G1303</f>
        <v>12787.71</v>
      </c>
      <c r="J1303" s="50" t="n">
        <f aca="false">BT1303*Parameter!$B$18</f>
        <v>12</v>
      </c>
      <c r="K1303" s="51" t="n">
        <v>14</v>
      </c>
      <c r="L1303" s="52" t="n">
        <v>0.857142857142857</v>
      </c>
      <c r="M1303" s="50" t="n">
        <v>1</v>
      </c>
      <c r="N1303" s="50" t="n">
        <v>5</v>
      </c>
      <c r="O1303" s="53" t="n">
        <v>28</v>
      </c>
      <c r="P1303" s="48" t="s">
        <v>302</v>
      </c>
      <c r="Q1303" s="50" t="n">
        <v>35</v>
      </c>
      <c r="R1303" s="53" t="n">
        <f aca="false">IF(BZ1303=1,0,IFERROR(VLOOKUP(BX1303,'Gebinde-Kategorie'!$A$5:$N$45,13,0)+0,0))</f>
        <v>12</v>
      </c>
      <c r="S1303" s="54"/>
      <c r="T1303" s="55"/>
      <c r="U1303" s="55"/>
      <c r="V1303" s="55"/>
      <c r="W1303" s="48"/>
      <c r="X1303" s="50"/>
      <c r="Y1303" s="50"/>
      <c r="Z1303" s="48" t="n">
        <f aca="false">IF(A1303="","",IF(AND(Parameter!$B$21="Ja",ISNUMBER(W1303)),W1303,IF(CC1303="2+3",IF(ISNUMBER(SEARCH("grosser Artikel",BU1303)),2,IFERROR(VLOOKUP(BX1303,Parameter!$F$35:$G$64,2,0),2)),IF(OR(CC1303="Nein",CC1303=""),"-",CC1303))))</f>
        <v>2</v>
      </c>
      <c r="AA1303" s="55"/>
      <c r="AB1303" s="56"/>
      <c r="AC1303" s="50" t="n">
        <f aca="false">AV1303</f>
        <v>7</v>
      </c>
      <c r="AD1303" s="50" t="n">
        <f aca="false">MAX(AV1303,H1303)</f>
        <v>13</v>
      </c>
      <c r="AE1303" s="57"/>
      <c r="AF1303" s="50" t="n">
        <f aca="false">IF(LEFT(Cockpit!$C$5,1)="A",H1303,IF(Parameter!$E$30="MAX-Bestand",IF(CH1303=1,CI1303,IF(LEFT(Cockpit!$C$5,1)="B",AL1303,MAX(AL1303,H1303))),ROUNDUP(AJ1303,0)))</f>
        <v>13</v>
      </c>
      <c r="AG1303" s="50" t="n">
        <f aca="false">IF(BZ1303=1,0,ROUNDUP(AF1303/BY1303,0))</f>
        <v>1</v>
      </c>
      <c r="AH1303" s="52" t="n">
        <f aca="false">IF(CQ1303&gt;0,CQ1303*MAX(1,AF1303/X1303),IF(BZ1303=1,IF(AF1303&lt;=0,0,CD1303*MAX(1,IF(H1303&gt;0,AF1303/H1303,1))),IF(R1303&gt;0,AG1303/R1303,0))/MAX(0.1,N(Parameter!$M$21)))</f>
        <v>0.0833333333333333</v>
      </c>
      <c r="AI1303" s="50" t="n">
        <f aca="false">AH1303*CB1303</f>
        <v>20.4166666666667</v>
      </c>
      <c r="AJ1303" s="51" t="n">
        <f aca="false">IF(LEFT(Cockpit!$C$5,1)="A",H1303,IF(CH1303=1,(CK1303+CI1303)/2,IF(LEFT(Cockpit!$C$5,1)="B",(CK1303+AL1303)/2,MAX((CK1303+AL1303)/2,H1303))))</f>
        <v>13</v>
      </c>
      <c r="AK1303" s="50" t="n">
        <f aca="false">AJ1303*G1303</f>
        <v>12787.71</v>
      </c>
      <c r="AL1303" s="50" t="n">
        <f aca="false">ROUNDUP(CK1303+MAX(CL1303,2*(J1303/IF(CG1303&gt;0,CG1303,MAX(0.1,N(Cockpit!$C$6)))-CK1303)),0)</f>
        <v>7</v>
      </c>
      <c r="AM1303" s="51" t="n">
        <f aca="false">IF(AI1303&gt;0,J1303/AI1303,-1)</f>
        <v>0.587755102040816</v>
      </c>
      <c r="AN1303" s="51" t="n">
        <f aca="false">IF(AND(OR(CF1303="L1",CF1303="L23",CF1303="LIFT"),AI1303&gt;0),SUMIFS($AI$7:$AI$1843,$CF$7:$CF$1843,CF1303,$AM$7:$AM$1843,"&gt;"&amp;AM1303)+SUMIFS($AI$7:$AI$1843,$CF$7:$CF$1843,CF1303,$AM$7:$AM$1843,AM1303,$BW$7:$BW$1843,"&lt;="&amp;BW1303),"")</f>
        <v>9279.53614370563</v>
      </c>
      <c r="AO1303" s="58" t="n">
        <f aca="false">IF(AN1303="",0,MAX(0,MIN(1,(IF(CF1303="L1",Parameter!$H$5,IF(CF1303="L23",Parameter!$H$6+Parameter!$H$7,Parameter!$H$5+Parameter!$H$6+Parameter!$H$7))-(AN1303-AI1303))/AI1303)))</f>
        <v>1</v>
      </c>
      <c r="AP1303" s="50" t="n">
        <f aca="false">IF(LEFT(Cockpit!$I$5,1)="A",H1303,IF(Parameter!$E$30="MAX-Bestand",IF(CH1303=1,CI1303,IF(LEFT(Cockpit!$I$5,1)="B",AV1303,MAX(AV1303,H1303))),ROUNDUP(AT1303,0)))</f>
        <v>13</v>
      </c>
      <c r="AQ1303" s="50" t="n">
        <f aca="false">IF(BZ1303=1,0,ROUNDUP(AP1303/BY1303,0))</f>
        <v>1</v>
      </c>
      <c r="AR1303" s="52" t="n">
        <f aca="false">IF(CQ1303&gt;0,CQ1303*MAX(1,AP1303/X1303),IF(BZ1303=1,IF(AP1303&lt;=0,0,CD1303*MAX(1,IF(H1303&gt;0,AP1303/H1303,1))),IF(R1303&gt;0,AQ1303/R1303,0))/MAX(0.1,N(Parameter!$M$21)))</f>
        <v>0.0833333333333333</v>
      </c>
      <c r="AS1303" s="50" t="n">
        <f aca="false">AR1303*CB1303</f>
        <v>20.4166666666667</v>
      </c>
      <c r="AT1303" s="51" t="n">
        <f aca="false">IF(LEFT(Cockpit!$I$5,1)="A",H1303,IF(CH1303=1,(CK1303+CI1303)/2,IF(LEFT(Cockpit!$I$5,1)="B",(CK1303+AV1303)/2,MAX((CK1303+AV1303)/2,H1303))))</f>
        <v>13</v>
      </c>
      <c r="AU1303" s="50" t="n">
        <f aca="false">AT1303*G1303</f>
        <v>12787.71</v>
      </c>
      <c r="AV1303" s="50" t="n">
        <f aca="false">ROUNDUP(CK1303+MAX(CL1303,2*(J1303/IF(CG1303&gt;0,CG1303,MAX(0.1,N(Cockpit!$I$6)))-CK1303)),0)</f>
        <v>7</v>
      </c>
      <c r="AW1303" s="51" t="n">
        <f aca="false">IF(AS1303&gt;0,J1303/AS1303,-1)</f>
        <v>0.587755102040816</v>
      </c>
      <c r="AX1303" s="51" t="n">
        <f aca="false">IF(AND(OR(CF1303="L1",CF1303="L23",CF1303="LIFT"),AS1303&gt;0),SUMIFS($AS$7:$AS$1843,$CF$7:$CF$1843,CF1303,$AW$7:$AW$1843,"&gt;"&amp;AW1303)+SUMIFS($AS$7:$AS$1843,$CF$7:$CF$1843,CF1303,$AW$7:$AW$1843,AW1303,$BW$7:$BW$1843,"&lt;="&amp;BW1303),"")</f>
        <v>11286.4496336996</v>
      </c>
      <c r="AY1303" s="58" t="n">
        <f aca="false">IF(AX1303="",0,MAX(0,MIN(1,(IF(CF1303="L1",Parameter!$H$5,IF(CF1303="L23",Parameter!$H$6+Parameter!$H$7,Parameter!$H$5+Parameter!$H$6+Parameter!$H$7))-(AX1303-AS1303))/AS1303)))</f>
        <v>1</v>
      </c>
      <c r="AZ1303" s="50" t="n">
        <f aca="false">IF(LEFT(Cockpit!$O$5,1)="A",H1303,IF(Parameter!$E$30="MAX-Bestand",IF(CH1303=1,CI1303,IF(LEFT(Cockpit!$O$5,1)="B",BF1303,MAX(BF1303,H1303))),ROUNDUP(BD1303,0)))</f>
        <v>4</v>
      </c>
      <c r="BA1303" s="50" t="n">
        <f aca="false">IF(BZ1303=1,0,ROUNDUP(AZ1303/BY1303,0))</f>
        <v>1</v>
      </c>
      <c r="BB1303" s="52" t="n">
        <f aca="false">IF(CQ1303&gt;0,CQ1303*MAX(1,AZ1303/X1303),IF(BZ1303=1,IF(AZ1303&lt;=0,0,CD1303*MAX(1,IF(H1303&gt;0,AZ1303/H1303,1))),IF(R1303&gt;0,BA1303/R1303,0))/MAX(0.1,N(Parameter!$M$21)))</f>
        <v>0.0833333333333333</v>
      </c>
      <c r="BC1303" s="50" t="n">
        <f aca="false">BB1303*CB1303</f>
        <v>20.4166666666667</v>
      </c>
      <c r="BD1303" s="51" t="n">
        <f aca="false">IF(LEFT(Cockpit!$O$5,1)="A",H1303,IF(CH1303=1,(CK1303+CI1303)/2,IF(LEFT(Cockpit!$O$5,1)="B",(CK1303+BF1303)/2,MAX((CK1303+BF1303)/2,H1303))))</f>
        <v>3.5</v>
      </c>
      <c r="BE1303" s="50" t="n">
        <f aca="false">BD1303*G1303</f>
        <v>3442.845</v>
      </c>
      <c r="BF1303" s="50" t="n">
        <f aca="false">ROUNDUP(CK1303+MAX(CL1303,2*(J1303/IF(CG1303&gt;0,CG1303,MAX(0.1,N(Cockpit!$O$6)))-CK1303)),0)</f>
        <v>6</v>
      </c>
      <c r="BG1303" s="51" t="n">
        <f aca="false">IF(BC1303&gt;0,J1303/BC1303,-1)</f>
        <v>0.587755102040816</v>
      </c>
      <c r="BH1303" s="51" t="n">
        <f aca="false">IF(AND(OR(CF1303="L1",CF1303="L23",CF1303="LIFT"),BC1303&gt;0),SUMIFS($BC$7:$BC$1843,$CF$7:$CF$1843,CF1303,$BG$7:$BG$1843,"&gt;"&amp;BG1303)+SUMIFS($BC$7:$BC$1843,$CF$7:$CF$1843,CF1303,$BG$7:$BG$1843,BG1303,$BW$7:$BW$1843,"&lt;="&amp;BW1303),"")</f>
        <v>9999.28891941392</v>
      </c>
      <c r="BI1303" s="58" t="n">
        <f aca="false">IF(BH1303="",0,MAX(0,MIN(1,(IF(CF1303="L1",Parameter!$H$5,IF(CF1303="L23",Parameter!$H$6+Parameter!$H$7,Parameter!$H$5+Parameter!$H$6+Parameter!$H$7))-(BH1303-BC1303))/BC1303)))</f>
        <v>1</v>
      </c>
      <c r="BJ1303" s="48" t="str">
        <f aca="false">IF(AI1303&lt;=0,"",IF(CF1303="Aussen","Aussenlager",IF(CF1303="-","Nicht im Lift",IF(AO1303&gt;=1,"Lift",IF(AO1303&lt;=0,"Aussenlager","teilweise")))))</f>
        <v>Lift</v>
      </c>
      <c r="BK1303" s="48" t="str">
        <f aca="false">IF(AS1303&lt;=0,"",IF(CF1303="Aussen","Aussenlager",IF(CF1303="-","Nicht im Lift",IF(AY1303&gt;=1,"Lift",IF(AY1303&lt;=0,"Aussenlager","teilweise")))))</f>
        <v>Lift</v>
      </c>
      <c r="BL1303" s="48" t="str">
        <f aca="false">IF(BC1303&lt;=0,"",IF(CF1303="Aussen","Aussenlager",IF(CF1303="-","Nicht im Lift",IF(BI1303&gt;=1,"Lift",IF(BI1303&lt;=0,"Aussenlager","teilweise")))))</f>
        <v>Lift</v>
      </c>
      <c r="BM1303" s="48" t="str">
        <f aca="false">IF(A1303="","",IF(BV1303=1,"Neu; ","")&amp;IF(AND(BV1303=0,BQ1303&lt;0),"negativer Bestand (Export "&amp;BQ1303&amp;"); ","")&amp;IF(J1303&lt;=0,"Kein Verbrauch; ","")&amp;IF(CQ1303&gt;0,"Lift "&amp;W1303&amp;" lt. Liftbericht (Fach "&amp;X1303&amp;" Stk); ",IF(CA1303=1,"Gebinde geschätzt ("&amp;T1303&amp;"); ",IF(BZ1303=1,"Lose – Tablare geschätzt; ","")))&amp;IF(H1303&gt;AV1303,"Überbestand "&amp;ROUND(H1303-AV1303,0)&amp;" Stk / CHF "&amp;ROUND((H1303-AV1303)*G1303,0)&amp;"; ","")&amp;IF(AND(CH1303=1,CI1303&lt;CJ1303),"MAX &lt; MB+LG; ","")&amp;IF(AND(CP1303&gt;0,CO1303*10&gt;CP1303),"zu hoch für Tablar; ","")&amp;IF(AND(BV1303=0,OR(CH1303=1,AA1303&lt;&gt;"",U1303&lt;&gt;"",V1303&lt;&gt;"",AB1303&lt;&gt;"")),"manuell übersteuert; ","")&amp;IF(AND(BZ1303=0,R1303=0),"Gebinde unbekannt / Stellmass fehlt; ","")&amp;IF(AND(BZ1303=0,N(V1303)&lt;=0,N(Q1303)&lt;=0),"Menge pro Gebinde fehlt (Ist = 1 Gebinde); ","")&amp;BU1303)</f>
        <v>negativer Bestand (Export -4); Überbestand 6 Stk / CHF 5902; </v>
      </c>
      <c r="BN1303" s="48"/>
      <c r="BO1303" s="48"/>
      <c r="BP1303" s="55"/>
      <c r="BQ1303" s="50" t="n">
        <v>-4</v>
      </c>
      <c r="BR1303" s="50" t="n">
        <v>17</v>
      </c>
      <c r="BS1303" s="49" t="n">
        <v>-1203.92</v>
      </c>
      <c r="BT1303" s="50" t="n">
        <v>12</v>
      </c>
      <c r="BU1303" s="48"/>
      <c r="BV1303" s="53" t="n">
        <v>0</v>
      </c>
      <c r="BW1303" s="53" t="n">
        <v>1303</v>
      </c>
      <c r="BX1303" s="48" t="str">
        <f aca="false">IF(U1303&lt;&gt;"",UPPER(TRIM(U1303)),IF(CA1303=1,UPPER(VLOOKUP(T1303,Parameter!$I$27:$K$29,2,0)),IF(P1303="","LOSE",P1303)))</f>
        <v>S62</v>
      </c>
      <c r="BY1303" s="50" t="n">
        <f aca="false">IF(BX1303="LOSE",1,IF(N(V1303)&gt;0,V1303,IF(CA1303=1,MAX(1,N(VLOOKUP(T1303,Parameter!$I$27:$K$29,3,0)),H1303,N(N1303)),IF(N(Q1303)&gt;0,Q1303,MAX(1,H1303)))))</f>
        <v>35</v>
      </c>
      <c r="BZ1303" s="53" t="n">
        <f aca="false">IF(BX1303="LOSE",1,0)</f>
        <v>0</v>
      </c>
      <c r="CA1303" s="53" t="n">
        <f aca="false">IF(AND(U1303="",OR(P1303="",P1303="LOSE"),T1303&lt;&gt;"",N(S1303)&lt;=0,ISNUMBER(MATCH(T1303,Parameter!$I$27:$I$29,0))),1,0)</f>
        <v>0</v>
      </c>
      <c r="CB1303" s="53" t="n">
        <f aca="false">IF(CQ1303&gt;0,INDEX(Parameter!$H$5:$H$7,W1303)/INDEX(Parameter!$E$5:$E$7,W1303),IF(AND(BZ1303=0,N(IFERROR(VLOOKUP(BX1303,'Gebinde-Kategorie'!$A$5:$N$45,14,0),0))&gt;0),VLOOKUP(BX1303,'Gebinde-Kategorie'!$A$5:$N$45,14,0)*10+Parameter!$M$23,Parameter!$M$24))</f>
        <v>245</v>
      </c>
      <c r="CC1303" s="48" t="str">
        <f aca="false">IF(AND(Parameter!$B$19="Ja",E1303&lt;&gt;"",ISNUMBER(MATCH(E1303,Parameter!$I$35:$I$52,0))),VLOOKUP(E1303,Parameter!$I$35:$J$52,2,0),IFERROR(VLOOKUP(D1303,Parameter!$A$35:$C$64,2,0),"Nein"))</f>
        <v>2+3</v>
      </c>
      <c r="CD1303" s="52" t="n">
        <f aca="false">IF(BZ1303=0,0,IF(N(S1303)&gt;0,S1303,IFERROR(VLOOKUP(D1303,Parameter!$A$35:$C$64,3,0)+0,0)))</f>
        <v>0</v>
      </c>
      <c r="CE1303" s="48" t="n">
        <f aca="false">IF(AA1303&lt;&gt;"",AA1303,Z1303)</f>
        <v>2</v>
      </c>
      <c r="CF1303" s="48" t="str">
        <f aca="false">IF(OR(CE1303=1,CE1303=2,CE1303=3),IF(Parameter!$E$27="Ja","LIFT",IF(CE1303=1,"L1","L23")),IF(CE1303="Aussen","Aussen","-"))</f>
        <v>LIFT</v>
      </c>
      <c r="CG1303" s="59" t="n">
        <f aca="false">IF(N(AB1303)&gt;0,AB1303,0)</f>
        <v>0</v>
      </c>
      <c r="CH1303" s="53" t="n">
        <f aca="false">IF(ISNUMBER(AE1303),1,0)</f>
        <v>0</v>
      </c>
      <c r="CI1303" s="50" t="n">
        <f aca="false">N(AE1303)</f>
        <v>0</v>
      </c>
      <c r="CJ1303" s="50" t="n">
        <f aca="false">N(M1303)+N(N1303)</f>
        <v>6</v>
      </c>
      <c r="CK1303" s="50" t="n">
        <f aca="false">N(M1303)</f>
        <v>1</v>
      </c>
      <c r="CL1303" s="50" t="n">
        <f aca="false">N(N1303)</f>
        <v>5</v>
      </c>
      <c r="CM1303" s="50" t="n">
        <f aca="false">ROUNDUP(H1303/BY1303,0)</f>
        <v>1</v>
      </c>
      <c r="CN1303" s="50" t="n">
        <f aca="false">ROUNDUP(CI1303/BY1303,0)</f>
        <v>0</v>
      </c>
      <c r="CO1303" s="53" t="n">
        <f aca="false">IF(BZ1303=1,0,IFERROR(VLOOKUP(BX1303,'Gebinde-Kategorie'!$A$5:$N$45,5,0)+0,0))</f>
        <v>21</v>
      </c>
      <c r="CP1303" s="53" t="n">
        <f aca="false">IFERROR(IF(OR(CE1303=1,CE1303=2,CE1303=3),N(INDEX(Parameter!$I$5:$I$7,CE1303)),0),0)</f>
        <v>0</v>
      </c>
      <c r="CQ1303" s="52" t="n">
        <f aca="false">IF(AND(Parameter!$B$21="Ja",ISNUMBER(W1303),N(X1303)&gt;0),IFERROR(N(INDEX(Parameter!$L$5:$L$7,W1303))*INDEX(Parameter!$E$5:$E$7,W1303)*X1303/SUMIFS($X$7:$X$1843,$W$7:$W$1843,W1303),0),0)</f>
        <v>0</v>
      </c>
    </row>
    <row r="1304" customFormat="false" ht="15" hidden="false" customHeight="false" outlineLevel="0" collapsed="false">
      <c r="A1304" s="48" t="s">
        <v>2326</v>
      </c>
      <c r="B1304" s="48" t="s">
        <v>2327</v>
      </c>
      <c r="C1304" s="48" t="s">
        <v>173</v>
      </c>
      <c r="D1304" s="48" t="s">
        <v>193</v>
      </c>
      <c r="E1304" s="48" t="s">
        <v>194</v>
      </c>
      <c r="F1304" s="48" t="s">
        <v>227</v>
      </c>
      <c r="G1304" s="49" t="n">
        <v>64.57</v>
      </c>
      <c r="H1304" s="50" t="n">
        <f aca="false">MAX(0,IF(AND(Parameter!$B$21="Ja",ISNUMBER(Y1304)),Y1304,IF(Parameter!$B$20="Jahresanfang 2025 + Export",BR1304+BQ1304,BQ1304)))</f>
        <v>26</v>
      </c>
      <c r="I1304" s="50" t="n">
        <f aca="false">H1304*G1304</f>
        <v>1678.82</v>
      </c>
      <c r="J1304" s="50" t="n">
        <f aca="false">BT1304*Parameter!$B$18</f>
        <v>71</v>
      </c>
      <c r="K1304" s="51" t="n">
        <v>29.5</v>
      </c>
      <c r="L1304" s="52" t="n">
        <v>2.40677966101695</v>
      </c>
      <c r="M1304" s="50" t="n">
        <v>4</v>
      </c>
      <c r="N1304" s="50" t="n">
        <v>20</v>
      </c>
      <c r="O1304" s="53" t="n">
        <v>21</v>
      </c>
      <c r="P1304" s="48" t="s">
        <v>311</v>
      </c>
      <c r="Q1304" s="50" t="n">
        <v>64</v>
      </c>
      <c r="R1304" s="53" t="n">
        <f aca="false">IF(BZ1304=1,0,IFERROR(VLOOKUP(BX1304,'Gebinde-Kategorie'!$A$5:$N$45,13,0)+0,0))</f>
        <v>26</v>
      </c>
      <c r="S1304" s="54"/>
      <c r="T1304" s="55"/>
      <c r="U1304" s="55"/>
      <c r="V1304" s="55"/>
      <c r="W1304" s="48"/>
      <c r="X1304" s="50"/>
      <c r="Y1304" s="50"/>
      <c r="Z1304" s="48" t="n">
        <f aca="false">IF(A1304="","",IF(AND(Parameter!$B$21="Ja",ISNUMBER(W1304)),W1304,IF(CC1304="2+3",IF(ISNUMBER(SEARCH("grosser Artikel",BU1304)),2,IFERROR(VLOOKUP(BX1304,Parameter!$F$35:$G$64,2,0),2)),IF(OR(CC1304="Nein",CC1304=""),"-",CC1304))))</f>
        <v>3</v>
      </c>
      <c r="AA1304" s="55"/>
      <c r="AB1304" s="56"/>
      <c r="AC1304" s="50" t="n">
        <f aca="false">AV1304</f>
        <v>44</v>
      </c>
      <c r="AD1304" s="50" t="n">
        <f aca="false">MAX(AV1304,H1304)</f>
        <v>44</v>
      </c>
      <c r="AE1304" s="57"/>
      <c r="AF1304" s="50" t="n">
        <f aca="false">IF(LEFT(Cockpit!$C$5,1)="A",H1304,IF(Parameter!$E$30="MAX-Bestand",IF(CH1304=1,CI1304,IF(LEFT(Cockpit!$C$5,1)="B",AL1304,MAX(AL1304,H1304))),ROUNDUP(AJ1304,0)))</f>
        <v>26</v>
      </c>
      <c r="AG1304" s="50" t="n">
        <f aca="false">IF(BZ1304=1,0,ROUNDUP(AF1304/BY1304,0))</f>
        <v>1</v>
      </c>
      <c r="AH1304" s="52" t="n">
        <f aca="false">IF(CQ1304&gt;0,CQ1304*MAX(1,AF1304/X1304),IF(BZ1304=1,IF(AF1304&lt;=0,0,CD1304*MAX(1,IF(H1304&gt;0,AF1304/H1304,1))),IF(R1304&gt;0,AG1304/R1304,0))/MAX(0.1,N(Parameter!$M$21)))</f>
        <v>0.0384615384615385</v>
      </c>
      <c r="AI1304" s="50" t="n">
        <f aca="false">AH1304*CB1304</f>
        <v>5.96153846153846</v>
      </c>
      <c r="AJ1304" s="51" t="n">
        <f aca="false">IF(LEFT(Cockpit!$C$5,1)="A",H1304,IF(CH1304=1,(CK1304+CI1304)/2,IF(LEFT(Cockpit!$C$5,1)="B",(CK1304+AL1304)/2,MAX((CK1304+AL1304)/2,H1304))))</f>
        <v>26</v>
      </c>
      <c r="AK1304" s="50" t="n">
        <f aca="false">AJ1304*G1304</f>
        <v>1678.82</v>
      </c>
      <c r="AL1304" s="50" t="n">
        <f aca="false">ROUNDUP(CK1304+MAX(CL1304,2*(J1304/IF(CG1304&gt;0,CG1304,MAX(0.1,N(Cockpit!$C$6)))-CK1304)),0)</f>
        <v>44</v>
      </c>
      <c r="AM1304" s="51" t="n">
        <f aca="false">IF(AI1304&gt;0,J1304/AI1304,-1)</f>
        <v>11.9096774193548</v>
      </c>
      <c r="AN1304" s="51" t="n">
        <f aca="false">IF(AND(OR(CF1304="L1",CF1304="L23",CF1304="LIFT"),AI1304&gt;0),SUMIFS($AI$7:$AI$1843,$CF$7:$CF$1843,CF1304,$AM$7:$AM$1843,"&gt;"&amp;AM1304)+SUMIFS($AI$7:$AI$1843,$CF$7:$CF$1843,CF1304,$AM$7:$AM$1843,AM1304,$BW$7:$BW$1843,"&lt;="&amp;BW1304),"")</f>
        <v>2531.42582417582</v>
      </c>
      <c r="AO1304" s="58" t="n">
        <f aca="false">IF(AN1304="",0,MAX(0,MIN(1,(IF(CF1304="L1",Parameter!$H$5,IF(CF1304="L23",Parameter!$H$6+Parameter!$H$7,Parameter!$H$5+Parameter!$H$6+Parameter!$H$7))-(AN1304-AI1304))/AI1304)))</f>
        <v>1</v>
      </c>
      <c r="AP1304" s="50" t="n">
        <f aca="false">IF(LEFT(Cockpit!$I$5,1)="A",H1304,IF(Parameter!$E$30="MAX-Bestand",IF(CH1304=1,CI1304,IF(LEFT(Cockpit!$I$5,1)="B",AV1304,MAX(AV1304,H1304))),ROUNDUP(AT1304,0)))</f>
        <v>26</v>
      </c>
      <c r="AQ1304" s="50" t="n">
        <f aca="false">IF(BZ1304=1,0,ROUNDUP(AP1304/BY1304,0))</f>
        <v>1</v>
      </c>
      <c r="AR1304" s="52" t="n">
        <f aca="false">IF(CQ1304&gt;0,CQ1304*MAX(1,AP1304/X1304),IF(BZ1304=1,IF(AP1304&lt;=0,0,CD1304*MAX(1,IF(H1304&gt;0,AP1304/H1304,1))),IF(R1304&gt;0,AQ1304/R1304,0))/MAX(0.1,N(Parameter!$M$21)))</f>
        <v>0.0384615384615385</v>
      </c>
      <c r="AS1304" s="50" t="n">
        <f aca="false">AR1304*CB1304</f>
        <v>5.96153846153846</v>
      </c>
      <c r="AT1304" s="51" t="n">
        <f aca="false">IF(LEFT(Cockpit!$I$5,1)="A",H1304,IF(CH1304=1,(CK1304+CI1304)/2,IF(LEFT(Cockpit!$I$5,1)="B",(CK1304+AV1304)/2,MAX((CK1304+AV1304)/2,H1304))))</f>
        <v>26</v>
      </c>
      <c r="AU1304" s="50" t="n">
        <f aca="false">AT1304*G1304</f>
        <v>1678.82</v>
      </c>
      <c r="AV1304" s="50" t="n">
        <f aca="false">ROUNDUP(CK1304+MAX(CL1304,2*(J1304/IF(CG1304&gt;0,CG1304,MAX(0.1,N(Cockpit!$I$6)))-CK1304)),0)</f>
        <v>44</v>
      </c>
      <c r="AW1304" s="51" t="n">
        <f aca="false">IF(AS1304&gt;0,J1304/AS1304,-1)</f>
        <v>11.9096774193548</v>
      </c>
      <c r="AX1304" s="51" t="n">
        <f aca="false">IF(AND(OR(CF1304="L1",CF1304="L23",CF1304="LIFT"),AS1304&gt;0),SUMIFS($AS$7:$AS$1843,$CF$7:$CF$1843,CF1304,$AW$7:$AW$1843,"&gt;"&amp;AW1304)+SUMIFS($AS$7:$AS$1843,$CF$7:$CF$1843,CF1304,$AW$7:$AW$1843,AW1304,$BW$7:$BW$1843,"&lt;="&amp;BW1304),"")</f>
        <v>3108.72161172161</v>
      </c>
      <c r="AY1304" s="58" t="n">
        <f aca="false">IF(AX1304="",0,MAX(0,MIN(1,(IF(CF1304="L1",Parameter!$H$5,IF(CF1304="L23",Parameter!$H$6+Parameter!$H$7,Parameter!$H$5+Parameter!$H$6+Parameter!$H$7))-(AX1304-AS1304))/AS1304)))</f>
        <v>1</v>
      </c>
      <c r="AZ1304" s="50" t="n">
        <f aca="false">IF(LEFT(Cockpit!$O$5,1)="A",H1304,IF(Parameter!$E$30="MAX-Bestand",IF(CH1304=1,CI1304,IF(LEFT(Cockpit!$O$5,1)="B",BF1304,MAX(BF1304,H1304))),ROUNDUP(BD1304,0)))</f>
        <v>18</v>
      </c>
      <c r="BA1304" s="50" t="n">
        <f aca="false">IF(BZ1304=1,0,ROUNDUP(AZ1304/BY1304,0))</f>
        <v>1</v>
      </c>
      <c r="BB1304" s="52" t="n">
        <f aca="false">IF(CQ1304&gt;0,CQ1304*MAX(1,AZ1304/X1304),IF(BZ1304=1,IF(AZ1304&lt;=0,0,CD1304*MAX(1,IF(H1304&gt;0,AZ1304/H1304,1))),IF(R1304&gt;0,BA1304/R1304,0))/MAX(0.1,N(Parameter!$M$21)))</f>
        <v>0.0384615384615385</v>
      </c>
      <c r="BC1304" s="50" t="n">
        <f aca="false">BB1304*CB1304</f>
        <v>5.96153846153846</v>
      </c>
      <c r="BD1304" s="51" t="n">
        <f aca="false">IF(LEFT(Cockpit!$O$5,1)="A",H1304,IF(CH1304=1,(CK1304+CI1304)/2,IF(LEFT(Cockpit!$O$5,1)="B",(CK1304+BF1304)/2,MAX((CK1304+BF1304)/2,H1304))))</f>
        <v>18</v>
      </c>
      <c r="BE1304" s="50" t="n">
        <f aca="false">BD1304*G1304</f>
        <v>1162.26</v>
      </c>
      <c r="BF1304" s="50" t="n">
        <f aca="false">ROUNDUP(CK1304+MAX(CL1304,2*(J1304/IF(CG1304&gt;0,CG1304,MAX(0.1,N(Cockpit!$O$6)))-CK1304)),0)</f>
        <v>32</v>
      </c>
      <c r="BG1304" s="51" t="n">
        <f aca="false">IF(BC1304&gt;0,J1304/BC1304,-1)</f>
        <v>11.9096774193548</v>
      </c>
      <c r="BH1304" s="51" t="n">
        <f aca="false">IF(AND(OR(CF1304="L1",CF1304="L23",CF1304="LIFT"),BC1304&gt;0),SUMIFS($BC$7:$BC$1843,$CF$7:$CF$1843,CF1304,$BG$7:$BG$1843,"&gt;"&amp;BG1304)+SUMIFS($BC$7:$BC$1843,$CF$7:$CF$1843,CF1304,$BG$7:$BG$1843,BG1304,$BW$7:$BW$1843,"&lt;="&amp;BW1304),"")</f>
        <v>2577.69413919414</v>
      </c>
      <c r="BI1304" s="58" t="n">
        <f aca="false">IF(BH1304="",0,MAX(0,MIN(1,(IF(CF1304="L1",Parameter!$H$5,IF(CF1304="L23",Parameter!$H$6+Parameter!$H$7,Parameter!$H$5+Parameter!$H$6+Parameter!$H$7))-(BH1304-BC1304))/BC1304)))</f>
        <v>1</v>
      </c>
      <c r="BJ1304" s="48" t="str">
        <f aca="false">IF(AI1304&lt;=0,"",IF(CF1304="Aussen","Aussenlager",IF(CF1304="-","Nicht im Lift",IF(AO1304&gt;=1,"Lift",IF(AO1304&lt;=0,"Aussenlager","teilweise")))))</f>
        <v>Lift</v>
      </c>
      <c r="BK1304" s="48" t="str">
        <f aca="false">IF(AS1304&lt;=0,"",IF(CF1304="Aussen","Aussenlager",IF(CF1304="-","Nicht im Lift",IF(AY1304&gt;=1,"Lift",IF(AY1304&lt;=0,"Aussenlager","teilweise")))))</f>
        <v>Lift</v>
      </c>
      <c r="BL1304" s="48" t="str">
        <f aca="false">IF(BC1304&lt;=0,"",IF(CF1304="Aussen","Aussenlager",IF(CF1304="-","Nicht im Lift",IF(BI1304&gt;=1,"Lift",IF(BI1304&lt;=0,"Aussenlager","teilweise")))))</f>
        <v>Lift</v>
      </c>
      <c r="BM1304" s="48" t="str">
        <f aca="false">IF(A1304="","",IF(BV1304=1,"Neu; ","")&amp;IF(AND(BV1304=0,BQ1304&lt;0),"negativer Bestand (Export "&amp;BQ1304&amp;"); ","")&amp;IF(J1304&lt;=0,"Kein Verbrauch; ","")&amp;IF(CQ1304&gt;0,"Lift "&amp;W1304&amp;" lt. Liftbericht (Fach "&amp;X1304&amp;" Stk); ",IF(CA1304=1,"Gebinde geschätzt ("&amp;T1304&amp;"); ",IF(BZ1304=1,"Lose – Tablare geschätzt; ","")))&amp;IF(H1304&gt;AV1304,"Überbestand "&amp;ROUND(H1304-AV1304,0)&amp;" Stk / CHF "&amp;ROUND((H1304-AV1304)*G1304,0)&amp;"; ","")&amp;IF(AND(CH1304=1,CI1304&lt;CJ1304),"MAX &lt; MB+LG; ","")&amp;IF(AND(CP1304&gt;0,CO1304*10&gt;CP1304),"zu hoch für Tablar; ","")&amp;IF(AND(BV1304=0,OR(CH1304=1,AA1304&lt;&gt;"",U1304&lt;&gt;"",V1304&lt;&gt;"",AB1304&lt;&gt;"")),"manuell übersteuert; ","")&amp;IF(AND(BZ1304=0,R1304=0),"Gebinde unbekannt / Stellmass fehlt; ","")&amp;IF(AND(BZ1304=0,N(V1304)&lt;=0,N(Q1304)&lt;=0),"Menge pro Gebinde fehlt (Ist = 1 Gebinde); ","")&amp;BU1304)</f>
        <v>negativer Bestand (Export -9); </v>
      </c>
      <c r="BN1304" s="48"/>
      <c r="BO1304" s="48"/>
      <c r="BP1304" s="55"/>
      <c r="BQ1304" s="50" t="n">
        <v>-9</v>
      </c>
      <c r="BR1304" s="50" t="n">
        <v>35</v>
      </c>
      <c r="BS1304" s="49" t="n">
        <v>-1206.58</v>
      </c>
      <c r="BT1304" s="50" t="n">
        <v>71</v>
      </c>
      <c r="BU1304" s="48"/>
      <c r="BV1304" s="53" t="n">
        <v>0</v>
      </c>
      <c r="BW1304" s="53" t="n">
        <v>1304</v>
      </c>
      <c r="BX1304" s="48" t="str">
        <f aca="false">IF(U1304&lt;&gt;"",UPPER(TRIM(U1304)),IF(CA1304=1,UPPER(VLOOKUP(T1304,Parameter!$I$27:$K$29,2,0)),IF(P1304="","LOSE",P1304)))</f>
        <v>S51</v>
      </c>
      <c r="BY1304" s="50" t="n">
        <f aca="false">IF(BX1304="LOSE",1,IF(N(V1304)&gt;0,V1304,IF(CA1304=1,MAX(1,N(VLOOKUP(T1304,Parameter!$I$27:$K$29,3,0)),H1304,N(N1304)),IF(N(Q1304)&gt;0,Q1304,MAX(1,H1304)))))</f>
        <v>64</v>
      </c>
      <c r="BZ1304" s="53" t="n">
        <f aca="false">IF(BX1304="LOSE",1,0)</f>
        <v>0</v>
      </c>
      <c r="CA1304" s="53" t="n">
        <f aca="false">IF(AND(U1304="",OR(P1304="",P1304="LOSE"),T1304&lt;&gt;"",N(S1304)&lt;=0,ISNUMBER(MATCH(T1304,Parameter!$I$27:$I$29,0))),1,0)</f>
        <v>0</v>
      </c>
      <c r="CB1304" s="53" t="n">
        <f aca="false">IF(CQ1304&gt;0,INDEX(Parameter!$H$5:$H$7,W1304)/INDEX(Parameter!$E$5:$E$7,W1304),IF(AND(BZ1304=0,N(IFERROR(VLOOKUP(BX1304,'Gebinde-Kategorie'!$A$5:$N$45,14,0),0))&gt;0),VLOOKUP(BX1304,'Gebinde-Kategorie'!$A$5:$N$45,14,0)*10+Parameter!$M$23,Parameter!$M$24))</f>
        <v>155</v>
      </c>
      <c r="CC1304" s="48" t="str">
        <f aca="false">IF(AND(Parameter!$B$19="Ja",E1304&lt;&gt;"",ISNUMBER(MATCH(E1304,Parameter!$I$35:$I$52,0))),VLOOKUP(E1304,Parameter!$I$35:$J$52,2,0),IFERROR(VLOOKUP(D1304,Parameter!$A$35:$C$64,2,0),"Nein"))</f>
        <v>2+3</v>
      </c>
      <c r="CD1304" s="52" t="n">
        <f aca="false">IF(BZ1304=0,0,IF(N(S1304)&gt;0,S1304,IFERROR(VLOOKUP(D1304,Parameter!$A$35:$C$64,3,0)+0,0)))</f>
        <v>0</v>
      </c>
      <c r="CE1304" s="48" t="n">
        <f aca="false">IF(AA1304&lt;&gt;"",AA1304,Z1304)</f>
        <v>3</v>
      </c>
      <c r="CF1304" s="48" t="str">
        <f aca="false">IF(OR(CE1304=1,CE1304=2,CE1304=3),IF(Parameter!$E$27="Ja","LIFT",IF(CE1304=1,"L1","L23")),IF(CE1304="Aussen","Aussen","-"))</f>
        <v>LIFT</v>
      </c>
      <c r="CG1304" s="59" t="n">
        <f aca="false">IF(N(AB1304)&gt;0,AB1304,0)</f>
        <v>0</v>
      </c>
      <c r="CH1304" s="53" t="n">
        <f aca="false">IF(ISNUMBER(AE1304),1,0)</f>
        <v>0</v>
      </c>
      <c r="CI1304" s="50" t="n">
        <f aca="false">N(AE1304)</f>
        <v>0</v>
      </c>
      <c r="CJ1304" s="50" t="n">
        <f aca="false">N(M1304)+N(N1304)</f>
        <v>24</v>
      </c>
      <c r="CK1304" s="50" t="n">
        <f aca="false">N(M1304)</f>
        <v>4</v>
      </c>
      <c r="CL1304" s="50" t="n">
        <f aca="false">N(N1304)</f>
        <v>20</v>
      </c>
      <c r="CM1304" s="50" t="n">
        <f aca="false">ROUNDUP(H1304/BY1304,0)</f>
        <v>1</v>
      </c>
      <c r="CN1304" s="50" t="n">
        <f aca="false">ROUNDUP(CI1304/BY1304,0)</f>
        <v>0</v>
      </c>
      <c r="CO1304" s="53" t="n">
        <f aca="false">IF(BZ1304=1,0,IFERROR(VLOOKUP(BX1304,'Gebinde-Kategorie'!$A$5:$N$45,5,0)+0,0))</f>
        <v>11</v>
      </c>
      <c r="CP1304" s="53" t="n">
        <f aca="false">IFERROR(IF(OR(CE1304=1,CE1304=2,CE1304=3),N(INDEX(Parameter!$I$5:$I$7,CE1304)),0),0)</f>
        <v>0</v>
      </c>
      <c r="CQ1304" s="52" t="n">
        <f aca="false">IF(AND(Parameter!$B$21="Ja",ISNUMBER(W1304),N(X1304)&gt;0),IFERROR(N(INDEX(Parameter!$L$5:$L$7,W1304))*INDEX(Parameter!$E$5:$E$7,W1304)*X1304/SUMIFS($X$7:$X$1843,$W$7:$W$1843,W1304),0),0)</f>
        <v>0</v>
      </c>
    </row>
    <row r="1305" customFormat="false" ht="15" hidden="false" customHeight="false" outlineLevel="0" collapsed="false">
      <c r="A1305" s="48" t="s">
        <v>2328</v>
      </c>
      <c r="B1305" s="48" t="s">
        <v>1160</v>
      </c>
      <c r="C1305" s="48" t="s">
        <v>173</v>
      </c>
      <c r="D1305" s="48" t="s">
        <v>193</v>
      </c>
      <c r="E1305" s="48" t="s">
        <v>194</v>
      </c>
      <c r="F1305" s="48" t="s">
        <v>227</v>
      </c>
      <c r="G1305" s="49" t="n">
        <v>108.99</v>
      </c>
      <c r="H1305" s="50" t="n">
        <f aca="false">MAX(0,IF(AND(Parameter!$B$21="Ja",ISNUMBER(Y1305)),Y1305,IF(Parameter!$B$20="Jahresanfang 2025 + Export",BR1305+BQ1305,BQ1305)))</f>
        <v>20</v>
      </c>
      <c r="I1305" s="50" t="n">
        <f aca="false">H1305*G1305</f>
        <v>2179.8</v>
      </c>
      <c r="J1305" s="50" t="n">
        <f aca="false">BT1305*Parameter!$B$18</f>
        <v>68</v>
      </c>
      <c r="K1305" s="51" t="n">
        <v>22</v>
      </c>
      <c r="L1305" s="52" t="n">
        <v>3.09090909090909</v>
      </c>
      <c r="M1305" s="50" t="n">
        <v>4</v>
      </c>
      <c r="N1305" s="50" t="n">
        <v>35</v>
      </c>
      <c r="O1305" s="53" t="n">
        <v>21</v>
      </c>
      <c r="P1305" s="48" t="s">
        <v>311</v>
      </c>
      <c r="Q1305" s="50" t="n">
        <v>56</v>
      </c>
      <c r="R1305" s="53" t="n">
        <f aca="false">IF(BZ1305=1,0,IFERROR(VLOOKUP(BX1305,'Gebinde-Kategorie'!$A$5:$N$45,13,0)+0,0))</f>
        <v>26</v>
      </c>
      <c r="S1305" s="54"/>
      <c r="T1305" s="55"/>
      <c r="U1305" s="55"/>
      <c r="V1305" s="55"/>
      <c r="W1305" s="48"/>
      <c r="X1305" s="50"/>
      <c r="Y1305" s="50"/>
      <c r="Z1305" s="48" t="n">
        <f aca="false">IF(A1305="","",IF(AND(Parameter!$B$21="Ja",ISNUMBER(W1305)),W1305,IF(CC1305="2+3",IF(ISNUMBER(SEARCH("grosser Artikel",BU1305)),2,IFERROR(VLOOKUP(BX1305,Parameter!$F$35:$G$64,2,0),2)),IF(OR(CC1305="Nein",CC1305=""),"-",CC1305))))</f>
        <v>3</v>
      </c>
      <c r="AA1305" s="55"/>
      <c r="AB1305" s="56"/>
      <c r="AC1305" s="50" t="n">
        <f aca="false">AV1305</f>
        <v>42</v>
      </c>
      <c r="AD1305" s="50" t="n">
        <f aca="false">MAX(AV1305,H1305)</f>
        <v>42</v>
      </c>
      <c r="AE1305" s="57"/>
      <c r="AF1305" s="50" t="n">
        <f aca="false">IF(LEFT(Cockpit!$C$5,1)="A",H1305,IF(Parameter!$E$30="MAX-Bestand",IF(CH1305=1,CI1305,IF(LEFT(Cockpit!$C$5,1)="B",AL1305,MAX(AL1305,H1305))),ROUNDUP(AJ1305,0)))</f>
        <v>20</v>
      </c>
      <c r="AG1305" s="50" t="n">
        <f aca="false">IF(BZ1305=1,0,ROUNDUP(AF1305/BY1305,0))</f>
        <v>1</v>
      </c>
      <c r="AH1305" s="52" t="n">
        <f aca="false">IF(CQ1305&gt;0,CQ1305*MAX(1,AF1305/X1305),IF(BZ1305=1,IF(AF1305&lt;=0,0,CD1305*MAX(1,IF(H1305&gt;0,AF1305/H1305,1))),IF(R1305&gt;0,AG1305/R1305,0))/MAX(0.1,N(Parameter!$M$21)))</f>
        <v>0.0384615384615385</v>
      </c>
      <c r="AI1305" s="50" t="n">
        <f aca="false">AH1305*CB1305</f>
        <v>5.96153846153846</v>
      </c>
      <c r="AJ1305" s="51" t="n">
        <f aca="false">IF(LEFT(Cockpit!$C$5,1)="A",H1305,IF(CH1305=1,(CK1305+CI1305)/2,IF(LEFT(Cockpit!$C$5,1)="B",(CK1305+AL1305)/2,MAX((CK1305+AL1305)/2,H1305))))</f>
        <v>20</v>
      </c>
      <c r="AK1305" s="50" t="n">
        <f aca="false">AJ1305*G1305</f>
        <v>2179.8</v>
      </c>
      <c r="AL1305" s="50" t="n">
        <f aca="false">ROUNDUP(CK1305+MAX(CL1305,2*(J1305/IF(CG1305&gt;0,CG1305,MAX(0.1,N(Cockpit!$C$6)))-CK1305)),0)</f>
        <v>42</v>
      </c>
      <c r="AM1305" s="51" t="n">
        <f aca="false">IF(AI1305&gt;0,J1305/AI1305,-1)</f>
        <v>11.4064516129032</v>
      </c>
      <c r="AN1305" s="51" t="n">
        <f aca="false">IF(AND(OR(CF1305="L1",CF1305="L23",CF1305="LIFT"),AI1305&gt;0),SUMIFS($AI$7:$AI$1843,$CF$7:$CF$1843,CF1305,$AM$7:$AM$1843,"&gt;"&amp;AM1305)+SUMIFS($AI$7:$AI$1843,$CF$7:$CF$1843,CF1305,$AM$7:$AM$1843,AM1305,$BW$7:$BW$1843,"&lt;="&amp;BW1305),"")</f>
        <v>2553.39835164835</v>
      </c>
      <c r="AO1305" s="58" t="n">
        <f aca="false">IF(AN1305="",0,MAX(0,MIN(1,(IF(CF1305="L1",Parameter!$H$5,IF(CF1305="L23",Parameter!$H$6+Parameter!$H$7,Parameter!$H$5+Parameter!$H$6+Parameter!$H$7))-(AN1305-AI1305))/AI1305)))</f>
        <v>1</v>
      </c>
      <c r="AP1305" s="50" t="n">
        <f aca="false">IF(LEFT(Cockpit!$I$5,1)="A",H1305,IF(Parameter!$E$30="MAX-Bestand",IF(CH1305=1,CI1305,IF(LEFT(Cockpit!$I$5,1)="B",AV1305,MAX(AV1305,H1305))),ROUNDUP(AT1305,0)))</f>
        <v>23</v>
      </c>
      <c r="AQ1305" s="50" t="n">
        <f aca="false">IF(BZ1305=1,0,ROUNDUP(AP1305/BY1305,0))</f>
        <v>1</v>
      </c>
      <c r="AR1305" s="52" t="n">
        <f aca="false">IF(CQ1305&gt;0,CQ1305*MAX(1,AP1305/X1305),IF(BZ1305=1,IF(AP1305&lt;=0,0,CD1305*MAX(1,IF(H1305&gt;0,AP1305/H1305,1))),IF(R1305&gt;0,AQ1305/R1305,0))/MAX(0.1,N(Parameter!$M$21)))</f>
        <v>0.0384615384615385</v>
      </c>
      <c r="AS1305" s="50" t="n">
        <f aca="false">AR1305*CB1305</f>
        <v>5.96153846153846</v>
      </c>
      <c r="AT1305" s="51" t="n">
        <f aca="false">IF(LEFT(Cockpit!$I$5,1)="A",H1305,IF(CH1305=1,(CK1305+CI1305)/2,IF(LEFT(Cockpit!$I$5,1)="B",(CK1305+AV1305)/2,MAX((CK1305+AV1305)/2,H1305))))</f>
        <v>23</v>
      </c>
      <c r="AU1305" s="50" t="n">
        <f aca="false">AT1305*G1305</f>
        <v>2506.77</v>
      </c>
      <c r="AV1305" s="50" t="n">
        <f aca="false">ROUNDUP(CK1305+MAX(CL1305,2*(J1305/IF(CG1305&gt;0,CG1305,MAX(0.1,N(Cockpit!$I$6)))-CK1305)),0)</f>
        <v>42</v>
      </c>
      <c r="AW1305" s="51" t="n">
        <f aca="false">IF(AS1305&gt;0,J1305/AS1305,-1)</f>
        <v>11.4064516129032</v>
      </c>
      <c r="AX1305" s="51" t="n">
        <f aca="false">IF(AND(OR(CF1305="L1",CF1305="L23",CF1305="LIFT"),AS1305&gt;0),SUMIFS($AS$7:$AS$1843,$CF$7:$CF$1843,CF1305,$AW$7:$AW$1843,"&gt;"&amp;AW1305)+SUMIFS($AS$7:$AS$1843,$CF$7:$CF$1843,CF1305,$AW$7:$AW$1843,AW1305,$BW$7:$BW$1843,"&lt;="&amp;BW1305),"")</f>
        <v>3149.54029304029</v>
      </c>
      <c r="AY1305" s="58" t="n">
        <f aca="false">IF(AX1305="",0,MAX(0,MIN(1,(IF(CF1305="L1",Parameter!$H$5,IF(CF1305="L23",Parameter!$H$6+Parameter!$H$7,Parameter!$H$5+Parameter!$H$6+Parameter!$H$7))-(AX1305-AS1305))/AS1305)))</f>
        <v>1</v>
      </c>
      <c r="AZ1305" s="50" t="n">
        <f aca="false">IF(LEFT(Cockpit!$O$5,1)="A",H1305,IF(Parameter!$E$30="MAX-Bestand",IF(CH1305=1,CI1305,IF(LEFT(Cockpit!$O$5,1)="B",BF1305,MAX(BF1305,H1305))),ROUNDUP(BD1305,0)))</f>
        <v>22</v>
      </c>
      <c r="BA1305" s="50" t="n">
        <f aca="false">IF(BZ1305=1,0,ROUNDUP(AZ1305/BY1305,0))</f>
        <v>1</v>
      </c>
      <c r="BB1305" s="52" t="n">
        <f aca="false">IF(CQ1305&gt;0,CQ1305*MAX(1,AZ1305/X1305),IF(BZ1305=1,IF(AZ1305&lt;=0,0,CD1305*MAX(1,IF(H1305&gt;0,AZ1305/H1305,1))),IF(R1305&gt;0,BA1305/R1305,0))/MAX(0.1,N(Parameter!$M$21)))</f>
        <v>0.0384615384615385</v>
      </c>
      <c r="BC1305" s="50" t="n">
        <f aca="false">BB1305*CB1305</f>
        <v>5.96153846153846</v>
      </c>
      <c r="BD1305" s="51" t="n">
        <f aca="false">IF(LEFT(Cockpit!$O$5,1)="A",H1305,IF(CH1305=1,(CK1305+CI1305)/2,IF(LEFT(Cockpit!$O$5,1)="B",(CK1305+BF1305)/2,MAX((CK1305+BF1305)/2,H1305))))</f>
        <v>21.5</v>
      </c>
      <c r="BE1305" s="50" t="n">
        <f aca="false">BD1305*G1305</f>
        <v>2343.285</v>
      </c>
      <c r="BF1305" s="50" t="n">
        <f aca="false">ROUNDUP(CK1305+MAX(CL1305,2*(J1305/IF(CG1305&gt;0,CG1305,MAX(0.1,N(Cockpit!$O$6)))-CK1305)),0)</f>
        <v>39</v>
      </c>
      <c r="BG1305" s="51" t="n">
        <f aca="false">IF(BC1305&gt;0,J1305/BC1305,-1)</f>
        <v>11.4064516129032</v>
      </c>
      <c r="BH1305" s="51" t="n">
        <f aca="false">IF(AND(OR(CF1305="L1",CF1305="L23",CF1305="LIFT"),BC1305&gt;0),SUMIFS($BC$7:$BC$1843,$CF$7:$CF$1843,CF1305,$BG$7:$BG$1843,"&gt;"&amp;BG1305)+SUMIFS($BC$7:$BC$1843,$CF$7:$CF$1843,CF1305,$BG$7:$BG$1843,BG1305,$BW$7:$BW$1843,"&lt;="&amp;BW1305),"")</f>
        <v>2634.64926739927</v>
      </c>
      <c r="BI1305" s="58" t="n">
        <f aca="false">IF(BH1305="",0,MAX(0,MIN(1,(IF(CF1305="L1",Parameter!$H$5,IF(CF1305="L23",Parameter!$H$6+Parameter!$H$7,Parameter!$H$5+Parameter!$H$6+Parameter!$H$7))-(BH1305-BC1305))/BC1305)))</f>
        <v>1</v>
      </c>
      <c r="BJ1305" s="48" t="str">
        <f aca="false">IF(AI1305&lt;=0,"",IF(CF1305="Aussen","Aussenlager",IF(CF1305="-","Nicht im Lift",IF(AO1305&gt;=1,"Lift",IF(AO1305&lt;=0,"Aussenlager","teilweise")))))</f>
        <v>Lift</v>
      </c>
      <c r="BK1305" s="48" t="str">
        <f aca="false">IF(AS1305&lt;=0,"",IF(CF1305="Aussen","Aussenlager",IF(CF1305="-","Nicht im Lift",IF(AY1305&gt;=1,"Lift",IF(AY1305&lt;=0,"Aussenlager","teilweise")))))</f>
        <v>Lift</v>
      </c>
      <c r="BL1305" s="48" t="str">
        <f aca="false">IF(BC1305&lt;=0,"",IF(CF1305="Aussen","Aussenlager",IF(CF1305="-","Nicht im Lift",IF(BI1305&gt;=1,"Lift",IF(BI1305&lt;=0,"Aussenlager","teilweise")))))</f>
        <v>Lift</v>
      </c>
      <c r="BM1305" s="48" t="str">
        <f aca="false">IF(A1305="","",IF(BV1305=1,"Neu; ","")&amp;IF(AND(BV1305=0,BQ1305&lt;0),"negativer Bestand (Export "&amp;BQ1305&amp;"); ","")&amp;IF(J1305&lt;=0,"Kein Verbrauch; ","")&amp;IF(CQ1305&gt;0,"Lift "&amp;W1305&amp;" lt. Liftbericht (Fach "&amp;X1305&amp;" Stk); ",IF(CA1305=1,"Gebinde geschätzt ("&amp;T1305&amp;"); ",IF(BZ1305=1,"Lose – Tablare geschätzt; ","")))&amp;IF(H1305&gt;AV1305,"Überbestand "&amp;ROUND(H1305-AV1305,0)&amp;" Stk / CHF "&amp;ROUND((H1305-AV1305)*G1305,0)&amp;"; ","")&amp;IF(AND(CH1305=1,CI1305&lt;CJ1305),"MAX &lt; MB+LG; ","")&amp;IF(AND(CP1305&gt;0,CO1305*10&gt;CP1305),"zu hoch für Tablar; ","")&amp;IF(AND(BV1305=0,OR(CH1305=1,AA1305&lt;&gt;"",U1305&lt;&gt;"",V1305&lt;&gt;"",AB1305&lt;&gt;"")),"manuell übersteuert; ","")&amp;IF(AND(BZ1305=0,R1305=0),"Gebinde unbekannt / Stellmass fehlt; ","")&amp;IF(AND(BZ1305=0,N(V1305)&lt;=0,N(Q1305)&lt;=0),"Menge pro Gebinde fehlt (Ist = 1 Gebinde); ","")&amp;BU1305)</f>
        <v>negativer Bestand (Export -6); </v>
      </c>
      <c r="BN1305" s="48"/>
      <c r="BO1305" s="48"/>
      <c r="BP1305" s="55"/>
      <c r="BQ1305" s="50" t="n">
        <v>-6</v>
      </c>
      <c r="BR1305" s="50" t="n">
        <v>26</v>
      </c>
      <c r="BS1305" s="49" t="n">
        <v>-1221</v>
      </c>
      <c r="BT1305" s="50" t="n">
        <v>68</v>
      </c>
      <c r="BU1305" s="48"/>
      <c r="BV1305" s="53" t="n">
        <v>0</v>
      </c>
      <c r="BW1305" s="53" t="n">
        <v>1305</v>
      </c>
      <c r="BX1305" s="48" t="str">
        <f aca="false">IF(U1305&lt;&gt;"",UPPER(TRIM(U1305)),IF(CA1305=1,UPPER(VLOOKUP(T1305,Parameter!$I$27:$K$29,2,0)),IF(P1305="","LOSE",P1305)))</f>
        <v>S51</v>
      </c>
      <c r="BY1305" s="50" t="n">
        <f aca="false">IF(BX1305="LOSE",1,IF(N(V1305)&gt;0,V1305,IF(CA1305=1,MAX(1,N(VLOOKUP(T1305,Parameter!$I$27:$K$29,3,0)),H1305,N(N1305)),IF(N(Q1305)&gt;0,Q1305,MAX(1,H1305)))))</f>
        <v>56</v>
      </c>
      <c r="BZ1305" s="53" t="n">
        <f aca="false">IF(BX1305="LOSE",1,0)</f>
        <v>0</v>
      </c>
      <c r="CA1305" s="53" t="n">
        <f aca="false">IF(AND(U1305="",OR(P1305="",P1305="LOSE"),T1305&lt;&gt;"",N(S1305)&lt;=0,ISNUMBER(MATCH(T1305,Parameter!$I$27:$I$29,0))),1,0)</f>
        <v>0</v>
      </c>
      <c r="CB1305" s="53" t="n">
        <f aca="false">IF(CQ1305&gt;0,INDEX(Parameter!$H$5:$H$7,W1305)/INDEX(Parameter!$E$5:$E$7,W1305),IF(AND(BZ1305=0,N(IFERROR(VLOOKUP(BX1305,'Gebinde-Kategorie'!$A$5:$N$45,14,0),0))&gt;0),VLOOKUP(BX1305,'Gebinde-Kategorie'!$A$5:$N$45,14,0)*10+Parameter!$M$23,Parameter!$M$24))</f>
        <v>155</v>
      </c>
      <c r="CC1305" s="48" t="str">
        <f aca="false">IF(AND(Parameter!$B$19="Ja",E1305&lt;&gt;"",ISNUMBER(MATCH(E1305,Parameter!$I$35:$I$52,0))),VLOOKUP(E1305,Parameter!$I$35:$J$52,2,0),IFERROR(VLOOKUP(D1305,Parameter!$A$35:$C$64,2,0),"Nein"))</f>
        <v>2+3</v>
      </c>
      <c r="CD1305" s="52" t="n">
        <f aca="false">IF(BZ1305=0,0,IF(N(S1305)&gt;0,S1305,IFERROR(VLOOKUP(D1305,Parameter!$A$35:$C$64,3,0)+0,0)))</f>
        <v>0</v>
      </c>
      <c r="CE1305" s="48" t="n">
        <f aca="false">IF(AA1305&lt;&gt;"",AA1305,Z1305)</f>
        <v>3</v>
      </c>
      <c r="CF1305" s="48" t="str">
        <f aca="false">IF(OR(CE1305=1,CE1305=2,CE1305=3),IF(Parameter!$E$27="Ja","LIFT",IF(CE1305=1,"L1","L23")),IF(CE1305="Aussen","Aussen","-"))</f>
        <v>LIFT</v>
      </c>
      <c r="CG1305" s="59" t="n">
        <f aca="false">IF(N(AB1305)&gt;0,AB1305,0)</f>
        <v>0</v>
      </c>
      <c r="CH1305" s="53" t="n">
        <f aca="false">IF(ISNUMBER(AE1305),1,0)</f>
        <v>0</v>
      </c>
      <c r="CI1305" s="50" t="n">
        <f aca="false">N(AE1305)</f>
        <v>0</v>
      </c>
      <c r="CJ1305" s="50" t="n">
        <f aca="false">N(M1305)+N(N1305)</f>
        <v>39</v>
      </c>
      <c r="CK1305" s="50" t="n">
        <f aca="false">N(M1305)</f>
        <v>4</v>
      </c>
      <c r="CL1305" s="50" t="n">
        <f aca="false">N(N1305)</f>
        <v>35</v>
      </c>
      <c r="CM1305" s="50" t="n">
        <f aca="false">ROUNDUP(H1305/BY1305,0)</f>
        <v>1</v>
      </c>
      <c r="CN1305" s="50" t="n">
        <f aca="false">ROUNDUP(CI1305/BY1305,0)</f>
        <v>0</v>
      </c>
      <c r="CO1305" s="53" t="n">
        <f aca="false">IF(BZ1305=1,0,IFERROR(VLOOKUP(BX1305,'Gebinde-Kategorie'!$A$5:$N$45,5,0)+0,0))</f>
        <v>11</v>
      </c>
      <c r="CP1305" s="53" t="n">
        <f aca="false">IFERROR(IF(OR(CE1305=1,CE1305=2,CE1305=3),N(INDEX(Parameter!$I$5:$I$7,CE1305)),0),0)</f>
        <v>0</v>
      </c>
      <c r="CQ1305" s="52" t="n">
        <f aca="false">IF(AND(Parameter!$B$21="Ja",ISNUMBER(W1305),N(X1305)&gt;0),IFERROR(N(INDEX(Parameter!$L$5:$L$7,W1305))*INDEX(Parameter!$E$5:$E$7,W1305)*X1305/SUMIFS($X$7:$X$1843,$W$7:$W$1843,W1305),0),0)</f>
        <v>0</v>
      </c>
    </row>
    <row r="1306" customFormat="false" ht="15" hidden="false" customHeight="false" outlineLevel="0" collapsed="false">
      <c r="A1306" s="48" t="s">
        <v>2329</v>
      </c>
      <c r="B1306" s="48" t="s">
        <v>414</v>
      </c>
      <c r="C1306" s="48" t="s">
        <v>173</v>
      </c>
      <c r="D1306" s="48" t="s">
        <v>182</v>
      </c>
      <c r="E1306" s="48" t="s">
        <v>194</v>
      </c>
      <c r="F1306" s="48" t="s">
        <v>227</v>
      </c>
      <c r="G1306" s="49" t="n">
        <v>0.6</v>
      </c>
      <c r="H1306" s="50" t="n">
        <f aca="false">MAX(0,IF(AND(Parameter!$B$21="Ja",ISNUMBER(Y1306)),Y1306,IF(Parameter!$B$20="Jahresanfang 2025 + Export",BR1306+BQ1306,BQ1306)))</f>
        <v>1207</v>
      </c>
      <c r="I1306" s="50" t="n">
        <f aca="false">H1306*G1306</f>
        <v>724.2</v>
      </c>
      <c r="J1306" s="50" t="n">
        <f aca="false">BT1306*Parameter!$B$18</f>
        <v>2375</v>
      </c>
      <c r="K1306" s="51" t="n">
        <v>2079</v>
      </c>
      <c r="L1306" s="52" t="n">
        <v>1.14237614237614</v>
      </c>
      <c r="M1306" s="50" t="n">
        <v>600</v>
      </c>
      <c r="N1306" s="50" t="n">
        <v>500</v>
      </c>
      <c r="O1306" s="53" t="n">
        <v>91</v>
      </c>
      <c r="P1306" s="48" t="s">
        <v>183</v>
      </c>
      <c r="Q1306" s="50" t="n">
        <v>750</v>
      </c>
      <c r="R1306" s="53" t="n">
        <f aca="false">IF(BZ1306=1,0,IFERROR(VLOOKUP(BX1306,'Gebinde-Kategorie'!$A$5:$N$45,13,0)+0,0))</f>
        <v>6</v>
      </c>
      <c r="S1306" s="54"/>
      <c r="T1306" s="55"/>
      <c r="U1306" s="55"/>
      <c r="V1306" s="55"/>
      <c r="W1306" s="48"/>
      <c r="X1306" s="50"/>
      <c r="Y1306" s="50"/>
      <c r="Z1306" s="48" t="n">
        <f aca="false">IF(A1306="","",IF(AND(Parameter!$B$21="Ja",ISNUMBER(W1306)),W1306,IF(CC1306="2+3",IF(ISNUMBER(SEARCH("grosser Artikel",BU1306)),2,IFERROR(VLOOKUP(BX1306,Parameter!$F$35:$G$64,2,0),2)),IF(OR(CC1306="Nein",CC1306=""),"-",CC1306))))</f>
        <v>2</v>
      </c>
      <c r="AA1306" s="55"/>
      <c r="AB1306" s="56"/>
      <c r="AC1306" s="50" t="n">
        <f aca="false">AV1306</f>
        <v>1100</v>
      </c>
      <c r="AD1306" s="50" t="n">
        <f aca="false">MAX(AV1306,H1306)</f>
        <v>1207</v>
      </c>
      <c r="AE1306" s="57"/>
      <c r="AF1306" s="50" t="n">
        <f aca="false">IF(LEFT(Cockpit!$C$5,1)="A",H1306,IF(Parameter!$E$30="MAX-Bestand",IF(CH1306=1,CI1306,IF(LEFT(Cockpit!$C$5,1)="B",AL1306,MAX(AL1306,H1306))),ROUNDUP(AJ1306,0)))</f>
        <v>1207</v>
      </c>
      <c r="AG1306" s="50" t="n">
        <f aca="false">IF(BZ1306=1,0,ROUNDUP(AF1306/BY1306,0))</f>
        <v>2</v>
      </c>
      <c r="AH1306" s="52" t="n">
        <f aca="false">IF(CQ1306&gt;0,CQ1306*MAX(1,AF1306/X1306),IF(BZ1306=1,IF(AF1306&lt;=0,0,CD1306*MAX(1,IF(H1306&gt;0,AF1306/H1306,1))),IF(R1306&gt;0,AG1306/R1306,0))/MAX(0.1,N(Parameter!$M$21)))</f>
        <v>0.333333333333333</v>
      </c>
      <c r="AI1306" s="50" t="n">
        <f aca="false">AH1306*CB1306</f>
        <v>78.3333333333333</v>
      </c>
      <c r="AJ1306" s="51" t="n">
        <f aca="false">IF(LEFT(Cockpit!$C$5,1)="A",H1306,IF(CH1306=1,(CK1306+CI1306)/2,IF(LEFT(Cockpit!$C$5,1)="B",(CK1306+AL1306)/2,MAX((CK1306+AL1306)/2,H1306))))</f>
        <v>1207</v>
      </c>
      <c r="AK1306" s="50" t="n">
        <f aca="false">AJ1306*G1306</f>
        <v>724.2</v>
      </c>
      <c r="AL1306" s="50" t="n">
        <f aca="false">ROUNDUP(CK1306+MAX(CL1306,2*(J1306/IF(CG1306&gt;0,CG1306,MAX(0.1,N(Cockpit!$C$6)))-CK1306)),0)</f>
        <v>1100</v>
      </c>
      <c r="AM1306" s="51" t="n">
        <f aca="false">IF(AI1306&gt;0,J1306/AI1306,-1)</f>
        <v>30.3191489361702</v>
      </c>
      <c r="AN1306" s="51" t="n">
        <f aca="false">IF(AND(OR(CF1306="L1",CF1306="L23",CF1306="LIFT"),AI1306&gt;0),SUMIFS($AI$7:$AI$1843,$CF$7:$CF$1843,CF1306,$AM$7:$AM$1843,"&gt;"&amp;AM1306)+SUMIFS($AI$7:$AI$1843,$CF$7:$CF$1843,CF1306,$AM$7:$AM$1843,AM1306,$BW$7:$BW$1843,"&lt;="&amp;BW1306),"")</f>
        <v>1481.68498168498</v>
      </c>
      <c r="AO1306" s="58" t="n">
        <f aca="false">IF(AN1306="",0,MAX(0,MIN(1,(IF(CF1306="L1",Parameter!$H$5,IF(CF1306="L23",Parameter!$H$6+Parameter!$H$7,Parameter!$H$5+Parameter!$H$6+Parameter!$H$7))-(AN1306-AI1306))/AI1306)))</f>
        <v>1</v>
      </c>
      <c r="AP1306" s="50" t="n">
        <f aca="false">IF(LEFT(Cockpit!$I$5,1)="A",H1306,IF(Parameter!$E$30="MAX-Bestand",IF(CH1306=1,CI1306,IF(LEFT(Cockpit!$I$5,1)="B",AV1306,MAX(AV1306,H1306))),ROUNDUP(AT1306,0)))</f>
        <v>1207</v>
      </c>
      <c r="AQ1306" s="50" t="n">
        <f aca="false">IF(BZ1306=1,0,ROUNDUP(AP1306/BY1306,0))</f>
        <v>2</v>
      </c>
      <c r="AR1306" s="52" t="n">
        <f aca="false">IF(CQ1306&gt;0,CQ1306*MAX(1,AP1306/X1306),IF(BZ1306=1,IF(AP1306&lt;=0,0,CD1306*MAX(1,IF(H1306&gt;0,AP1306/H1306,1))),IF(R1306&gt;0,AQ1306/R1306,0))/MAX(0.1,N(Parameter!$M$21)))</f>
        <v>0.333333333333333</v>
      </c>
      <c r="AS1306" s="50" t="n">
        <f aca="false">AR1306*CB1306</f>
        <v>78.3333333333333</v>
      </c>
      <c r="AT1306" s="51" t="n">
        <f aca="false">IF(LEFT(Cockpit!$I$5,1)="A",H1306,IF(CH1306=1,(CK1306+CI1306)/2,IF(LEFT(Cockpit!$I$5,1)="B",(CK1306+AV1306)/2,MAX((CK1306+AV1306)/2,H1306))))</f>
        <v>1207</v>
      </c>
      <c r="AU1306" s="50" t="n">
        <f aca="false">AT1306*G1306</f>
        <v>724.2</v>
      </c>
      <c r="AV1306" s="50" t="n">
        <f aca="false">ROUNDUP(CK1306+MAX(CL1306,2*(J1306/IF(CG1306&gt;0,CG1306,MAX(0.1,N(Cockpit!$I$6)))-CK1306)),0)</f>
        <v>1100</v>
      </c>
      <c r="AW1306" s="51" t="n">
        <f aca="false">IF(AS1306&gt;0,J1306/AS1306,-1)</f>
        <v>30.3191489361702</v>
      </c>
      <c r="AX1306" s="51" t="n">
        <f aca="false">IF(AND(OR(CF1306="L1",CF1306="L23",CF1306="LIFT"),AS1306&gt;0),SUMIFS($AS$7:$AS$1843,$CF$7:$CF$1843,CF1306,$AW$7:$AW$1843,"&gt;"&amp;AW1306)+SUMIFS($AS$7:$AS$1843,$CF$7:$CF$1843,CF1306,$AW$7:$AW$1843,AW1306,$BW$7:$BW$1843,"&lt;="&amp;BW1306),"")</f>
        <v>1900.31227106227</v>
      </c>
      <c r="AY1306" s="58" t="n">
        <f aca="false">IF(AX1306="",0,MAX(0,MIN(1,(IF(CF1306="L1",Parameter!$H$5,IF(CF1306="L23",Parameter!$H$6+Parameter!$H$7,Parameter!$H$5+Parameter!$H$6+Parameter!$H$7))-(AX1306-AS1306))/AS1306)))</f>
        <v>1</v>
      </c>
      <c r="AZ1306" s="50" t="n">
        <f aca="false">IF(LEFT(Cockpit!$O$5,1)="A",H1306,IF(Parameter!$E$30="MAX-Bestand",IF(CH1306=1,CI1306,IF(LEFT(Cockpit!$O$5,1)="B",BF1306,MAX(BF1306,H1306))),ROUNDUP(BD1306,0)))</f>
        <v>850</v>
      </c>
      <c r="BA1306" s="50" t="n">
        <f aca="false">IF(BZ1306=1,0,ROUNDUP(AZ1306/BY1306,0))</f>
        <v>2</v>
      </c>
      <c r="BB1306" s="52" t="n">
        <f aca="false">IF(CQ1306&gt;0,CQ1306*MAX(1,AZ1306/X1306),IF(BZ1306=1,IF(AZ1306&lt;=0,0,CD1306*MAX(1,IF(H1306&gt;0,AZ1306/H1306,1))),IF(R1306&gt;0,BA1306/R1306,0))/MAX(0.1,N(Parameter!$M$21)))</f>
        <v>0.333333333333333</v>
      </c>
      <c r="BC1306" s="50" t="n">
        <f aca="false">BB1306*CB1306</f>
        <v>78.3333333333333</v>
      </c>
      <c r="BD1306" s="51" t="n">
        <f aca="false">IF(LEFT(Cockpit!$O$5,1)="A",H1306,IF(CH1306=1,(CK1306+CI1306)/2,IF(LEFT(Cockpit!$O$5,1)="B",(CK1306+BF1306)/2,MAX((CK1306+BF1306)/2,H1306))))</f>
        <v>850</v>
      </c>
      <c r="BE1306" s="50" t="n">
        <f aca="false">BD1306*G1306</f>
        <v>510</v>
      </c>
      <c r="BF1306" s="50" t="n">
        <f aca="false">ROUNDUP(CK1306+MAX(CL1306,2*(J1306/IF(CG1306&gt;0,CG1306,MAX(0.1,N(Cockpit!$O$6)))-CK1306)),0)</f>
        <v>1100</v>
      </c>
      <c r="BG1306" s="51" t="n">
        <f aca="false">IF(BC1306&gt;0,J1306/BC1306,-1)</f>
        <v>30.3191489361702</v>
      </c>
      <c r="BH1306" s="51" t="n">
        <f aca="false">IF(AND(OR(CF1306="L1",CF1306="L23",CF1306="LIFT"),BC1306&gt;0),SUMIFS($BC$7:$BC$1843,$CF$7:$CF$1843,CF1306,$BG$7:$BG$1843,"&gt;"&amp;BG1306)+SUMIFS($BC$7:$BC$1843,$CF$7:$CF$1843,CF1306,$BG$7:$BG$1843,BG1306,$BW$7:$BW$1843,"&lt;="&amp;BW1306),"")</f>
        <v>1843.73534798535</v>
      </c>
      <c r="BI1306" s="58" t="n">
        <f aca="false">IF(BH1306="",0,MAX(0,MIN(1,(IF(CF1306="L1",Parameter!$H$5,IF(CF1306="L23",Parameter!$H$6+Parameter!$H$7,Parameter!$H$5+Parameter!$H$6+Parameter!$H$7))-(BH1306-BC1306))/BC1306)))</f>
        <v>1</v>
      </c>
      <c r="BJ1306" s="48" t="str">
        <f aca="false">IF(AI1306&lt;=0,"",IF(CF1306="Aussen","Aussenlager",IF(CF1306="-","Nicht im Lift",IF(AO1306&gt;=1,"Lift",IF(AO1306&lt;=0,"Aussenlager","teilweise")))))</f>
        <v>Lift</v>
      </c>
      <c r="BK1306" s="48" t="str">
        <f aca="false">IF(AS1306&lt;=0,"",IF(CF1306="Aussen","Aussenlager",IF(CF1306="-","Nicht im Lift",IF(AY1306&gt;=1,"Lift",IF(AY1306&lt;=0,"Aussenlager","teilweise")))))</f>
        <v>Lift</v>
      </c>
      <c r="BL1306" s="48" t="str">
        <f aca="false">IF(BC1306&lt;=0,"",IF(CF1306="Aussen","Aussenlager",IF(CF1306="-","Nicht im Lift",IF(BI1306&gt;=1,"Lift",IF(BI1306&lt;=0,"Aussenlager","teilweise")))))</f>
        <v>Lift</v>
      </c>
      <c r="BM1306" s="48" t="str">
        <f aca="false">IF(A1306="","",IF(BV1306=1,"Neu; ","")&amp;IF(AND(BV1306=0,BQ1306&lt;0),"negativer Bestand (Export "&amp;BQ1306&amp;"); ","")&amp;IF(J1306&lt;=0,"Kein Verbrauch; ","")&amp;IF(CQ1306&gt;0,"Lift "&amp;W1306&amp;" lt. Liftbericht (Fach "&amp;X1306&amp;" Stk); ",IF(CA1306=1,"Gebinde geschätzt ("&amp;T1306&amp;"); ",IF(BZ1306=1,"Lose – Tablare geschätzt; ","")))&amp;IF(H1306&gt;AV1306,"Überbestand "&amp;ROUND(H1306-AV1306,0)&amp;" Stk / CHF "&amp;ROUND((H1306-AV1306)*G1306,0)&amp;"; ","")&amp;IF(AND(CH1306=1,CI1306&lt;CJ1306),"MAX &lt; MB+LG; ","")&amp;IF(AND(CP1306&gt;0,CO1306*10&gt;CP1306),"zu hoch für Tablar; ","")&amp;IF(AND(BV1306=0,OR(CH1306=1,AA1306&lt;&gt;"",U1306&lt;&gt;"",V1306&lt;&gt;"",AB1306&lt;&gt;"")),"manuell übersteuert; ","")&amp;IF(AND(BZ1306=0,R1306=0),"Gebinde unbekannt / Stellmass fehlt; ","")&amp;IF(AND(BZ1306=0,N(V1306)&lt;=0,N(Q1306)&lt;=0),"Menge pro Gebinde fehlt (Ist = 1 Gebinde); ","")&amp;BU1306)</f>
        <v>negativer Bestand (Export -1973); Überbestand 107 Stk / CHF 64; grosse  Artikelmenge</v>
      </c>
      <c r="BN1306" s="48"/>
      <c r="BO1306" s="48"/>
      <c r="BP1306" s="55"/>
      <c r="BQ1306" s="50" t="n">
        <v>-1973</v>
      </c>
      <c r="BR1306" s="50" t="n">
        <v>3180</v>
      </c>
      <c r="BS1306" s="49" t="n">
        <v>-1221.58</v>
      </c>
      <c r="BT1306" s="50" t="n">
        <v>2375</v>
      </c>
      <c r="BU1306" s="48" t="s">
        <v>1616</v>
      </c>
      <c r="BV1306" s="53" t="n">
        <v>0</v>
      </c>
      <c r="BW1306" s="53" t="n">
        <v>1306</v>
      </c>
      <c r="BX1306" s="48" t="str">
        <f aca="false">IF(U1306&lt;&gt;"",UPPER(TRIM(U1306)),IF(CA1306=1,UPPER(VLOOKUP(T1306,Parameter!$I$27:$K$29,2,0)),IF(P1306="","LOSE",P1306)))</f>
        <v>S71</v>
      </c>
      <c r="BY1306" s="50" t="n">
        <f aca="false">IF(BX1306="LOSE",1,IF(N(V1306)&gt;0,V1306,IF(CA1306=1,MAX(1,N(VLOOKUP(T1306,Parameter!$I$27:$K$29,3,0)),H1306,N(N1306)),IF(N(Q1306)&gt;0,Q1306,MAX(1,H1306)))))</f>
        <v>750</v>
      </c>
      <c r="BZ1306" s="53" t="n">
        <f aca="false">IF(BX1306="LOSE",1,0)</f>
        <v>0</v>
      </c>
      <c r="CA1306" s="53" t="n">
        <f aca="false">IF(AND(U1306="",OR(P1306="",P1306="LOSE"),T1306&lt;&gt;"",N(S1306)&lt;=0,ISNUMBER(MATCH(T1306,Parameter!$I$27:$I$29,0))),1,0)</f>
        <v>0</v>
      </c>
      <c r="CB1306" s="53" t="n">
        <f aca="false">IF(CQ1306&gt;0,INDEX(Parameter!$H$5:$H$7,W1306)/INDEX(Parameter!$E$5:$E$7,W1306),IF(AND(BZ1306=0,N(IFERROR(VLOOKUP(BX1306,'Gebinde-Kategorie'!$A$5:$N$45,14,0),0))&gt;0),VLOOKUP(BX1306,'Gebinde-Kategorie'!$A$5:$N$45,14,0)*10+Parameter!$M$23,Parameter!$M$24))</f>
        <v>235</v>
      </c>
      <c r="CC1306" s="48" t="str">
        <f aca="false">IF(AND(Parameter!$B$19="Ja",E1306&lt;&gt;"",ISNUMBER(MATCH(E1306,Parameter!$I$35:$I$52,0))),VLOOKUP(E1306,Parameter!$I$35:$J$52,2,0),IFERROR(VLOOKUP(D1306,Parameter!$A$35:$C$64,2,0),"Nein"))</f>
        <v>2+3</v>
      </c>
      <c r="CD1306" s="52" t="n">
        <f aca="false">IF(BZ1306=0,0,IF(N(S1306)&gt;0,S1306,IFERROR(VLOOKUP(D1306,Parameter!$A$35:$C$64,3,0)+0,0)))</f>
        <v>0</v>
      </c>
      <c r="CE1306" s="48" t="n">
        <f aca="false">IF(AA1306&lt;&gt;"",AA1306,Z1306)</f>
        <v>2</v>
      </c>
      <c r="CF1306" s="48" t="str">
        <f aca="false">IF(OR(CE1306=1,CE1306=2,CE1306=3),IF(Parameter!$E$27="Ja","LIFT",IF(CE1306=1,"L1","L23")),IF(CE1306="Aussen","Aussen","-"))</f>
        <v>LIFT</v>
      </c>
      <c r="CG1306" s="59" t="n">
        <f aca="false">IF(N(AB1306)&gt;0,AB1306,0)</f>
        <v>0</v>
      </c>
      <c r="CH1306" s="53" t="n">
        <f aca="false">IF(ISNUMBER(AE1306),1,0)</f>
        <v>0</v>
      </c>
      <c r="CI1306" s="50" t="n">
        <f aca="false">N(AE1306)</f>
        <v>0</v>
      </c>
      <c r="CJ1306" s="50" t="n">
        <f aca="false">N(M1306)+N(N1306)</f>
        <v>1100</v>
      </c>
      <c r="CK1306" s="50" t="n">
        <f aca="false">N(M1306)</f>
        <v>600</v>
      </c>
      <c r="CL1306" s="50" t="n">
        <f aca="false">N(N1306)</f>
        <v>500</v>
      </c>
      <c r="CM1306" s="50" t="n">
        <f aca="false">ROUNDUP(H1306/BY1306,0)</f>
        <v>2</v>
      </c>
      <c r="CN1306" s="50" t="n">
        <f aca="false">ROUNDUP(CI1306/BY1306,0)</f>
        <v>0</v>
      </c>
      <c r="CO1306" s="53" t="n">
        <f aca="false">IF(BZ1306=1,0,IFERROR(VLOOKUP(BX1306,'Gebinde-Kategorie'!$A$5:$N$45,5,0)+0,0))</f>
        <v>20</v>
      </c>
      <c r="CP1306" s="53" t="n">
        <f aca="false">IFERROR(IF(OR(CE1306=1,CE1306=2,CE1306=3),N(INDEX(Parameter!$I$5:$I$7,CE1306)),0),0)</f>
        <v>0</v>
      </c>
      <c r="CQ1306" s="52" t="n">
        <f aca="false">IF(AND(Parameter!$B$21="Ja",ISNUMBER(W1306),N(X1306)&gt;0),IFERROR(N(INDEX(Parameter!$L$5:$L$7,W1306))*INDEX(Parameter!$E$5:$E$7,W1306)*X1306/SUMIFS($X$7:$X$1843,$W$7:$W$1843,W1306),0),0)</f>
        <v>0</v>
      </c>
    </row>
    <row r="1307" customFormat="false" ht="15" hidden="false" customHeight="false" outlineLevel="0" collapsed="false">
      <c r="A1307" s="48" t="s">
        <v>2330</v>
      </c>
      <c r="B1307" s="48" t="s">
        <v>2189</v>
      </c>
      <c r="C1307" s="48" t="s">
        <v>465</v>
      </c>
      <c r="D1307" s="48" t="s">
        <v>182</v>
      </c>
      <c r="E1307" s="48" t="s">
        <v>474</v>
      </c>
      <c r="F1307" s="48" t="s">
        <v>227</v>
      </c>
      <c r="G1307" s="49" t="n">
        <v>50.01</v>
      </c>
      <c r="H1307" s="50" t="n">
        <f aca="false">MAX(0,IF(AND(Parameter!$B$21="Ja",ISNUMBER(Y1307)),Y1307,IF(Parameter!$B$20="Jahresanfang 2025 + Export",BR1307+BQ1307,BQ1307)))</f>
        <v>0</v>
      </c>
      <c r="I1307" s="50" t="n">
        <f aca="false">H1307*G1307</f>
        <v>0</v>
      </c>
      <c r="J1307" s="50" t="n">
        <f aca="false">BT1307*Parameter!$B$18</f>
        <v>33</v>
      </c>
      <c r="K1307" s="51" t="n">
        <v>20.5</v>
      </c>
      <c r="L1307" s="52" t="n">
        <v>1.60975609756098</v>
      </c>
      <c r="M1307" s="50" t="n">
        <v>1</v>
      </c>
      <c r="N1307" s="50" t="n">
        <v>20</v>
      </c>
      <c r="O1307" s="53" t="n">
        <v>21</v>
      </c>
      <c r="P1307" s="48" t="s">
        <v>177</v>
      </c>
      <c r="Q1307" s="50"/>
      <c r="R1307" s="53" t="n">
        <f aca="false">IF(BZ1307=1,0,IFERROR(VLOOKUP(BX1307,'Gebinde-Kategorie'!$A$5:$N$45,13,0)+0,0))</f>
        <v>4</v>
      </c>
      <c r="S1307" s="54"/>
      <c r="T1307" s="55" t="s">
        <v>198</v>
      </c>
      <c r="U1307" s="55"/>
      <c r="V1307" s="55"/>
      <c r="W1307" s="48"/>
      <c r="X1307" s="50"/>
      <c r="Y1307" s="50"/>
      <c r="Z1307" s="48" t="str">
        <f aca="false">IF(A1307="","",IF(AND(Parameter!$B$21="Ja",ISNUMBER(W1307)),W1307,IF(CC1307="2+3",IF(ISNUMBER(SEARCH("grosser Artikel",BU1307)),2,IFERROR(VLOOKUP(BX1307,Parameter!$F$35:$G$64,2,0),2)),IF(OR(CC1307="Nein",CC1307=""),"-",CC1307))))</f>
        <v>-</v>
      </c>
      <c r="AA1307" s="55"/>
      <c r="AB1307" s="56"/>
      <c r="AC1307" s="50" t="n">
        <f aca="false">AV1307</f>
        <v>21</v>
      </c>
      <c r="AD1307" s="50" t="n">
        <f aca="false">MAX(AV1307,H1307)</f>
        <v>21</v>
      </c>
      <c r="AE1307" s="57"/>
      <c r="AF1307" s="50" t="n">
        <f aca="false">IF(LEFT(Cockpit!$C$5,1)="A",H1307,IF(Parameter!$E$30="MAX-Bestand",IF(CH1307=1,CI1307,IF(LEFT(Cockpit!$C$5,1)="B",AL1307,MAX(AL1307,H1307))),ROUNDUP(AJ1307,0)))</f>
        <v>0</v>
      </c>
      <c r="AG1307" s="50" t="n">
        <f aca="false">IF(BZ1307=1,0,ROUNDUP(AF1307/BY1307,0))</f>
        <v>0</v>
      </c>
      <c r="AH1307" s="52" t="n">
        <f aca="false">IF(CQ1307&gt;0,CQ1307*MAX(1,AF1307/X1307),IF(BZ1307=1,IF(AF1307&lt;=0,0,CD1307*MAX(1,IF(H1307&gt;0,AF1307/H1307,1))),IF(R1307&gt;0,AG1307/R1307,0))/MAX(0.1,N(Parameter!$M$21)))</f>
        <v>0</v>
      </c>
      <c r="AI1307" s="50" t="n">
        <f aca="false">AH1307*CB1307</f>
        <v>0</v>
      </c>
      <c r="AJ1307" s="51" t="n">
        <f aca="false">IF(LEFT(Cockpit!$C$5,1)="A",H1307,IF(CH1307=1,(CK1307+CI1307)/2,IF(LEFT(Cockpit!$C$5,1)="B",(CK1307+AL1307)/2,MAX((CK1307+AL1307)/2,H1307))))</f>
        <v>0</v>
      </c>
      <c r="AK1307" s="50" t="n">
        <f aca="false">AJ1307*G1307</f>
        <v>0</v>
      </c>
      <c r="AL1307" s="50" t="n">
        <f aca="false">ROUNDUP(CK1307+MAX(CL1307,2*(J1307/IF(CG1307&gt;0,CG1307,MAX(0.1,N(Cockpit!$C$6)))-CK1307)),0)</f>
        <v>21</v>
      </c>
      <c r="AM1307" s="51" t="n">
        <f aca="false">IF(AI1307&gt;0,J1307/AI1307,-1)</f>
        <v>-1</v>
      </c>
      <c r="AN1307" s="51" t="str">
        <f aca="false">IF(AND(OR(CF1307="L1",CF1307="L23",CF1307="LIFT"),AI1307&gt;0),SUMIFS($AI$7:$AI$1843,$CF$7:$CF$1843,CF1307,$AM$7:$AM$1843,"&gt;"&amp;AM1307)+SUMIFS($AI$7:$AI$1843,$CF$7:$CF$1843,CF1307,$AM$7:$AM$1843,AM1307,$BW$7:$BW$1843,"&lt;="&amp;BW1307),"")</f>
        <v/>
      </c>
      <c r="AO1307" s="58" t="n">
        <f aca="false">IF(AN1307="",0,MAX(0,MIN(1,(IF(CF1307="L1",Parameter!$H$5,IF(CF1307="L23",Parameter!$H$6+Parameter!$H$7,Parameter!$H$5+Parameter!$H$6+Parameter!$H$7))-(AN1307-AI1307))/AI1307)))</f>
        <v>0</v>
      </c>
      <c r="AP1307" s="50" t="n">
        <f aca="false">IF(LEFT(Cockpit!$I$5,1)="A",H1307,IF(Parameter!$E$30="MAX-Bestand",IF(CH1307=1,CI1307,IF(LEFT(Cockpit!$I$5,1)="B",AV1307,MAX(AV1307,H1307))),ROUNDUP(AT1307,0)))</f>
        <v>11</v>
      </c>
      <c r="AQ1307" s="50" t="n">
        <f aca="false">IF(BZ1307=1,0,ROUNDUP(AP1307/BY1307,0))</f>
        <v>1</v>
      </c>
      <c r="AR1307" s="52" t="n">
        <f aca="false">IF(CQ1307&gt;0,CQ1307*MAX(1,AP1307/X1307),IF(BZ1307=1,IF(AP1307&lt;=0,0,CD1307*MAX(1,IF(H1307&gt;0,AP1307/H1307,1))),IF(R1307&gt;0,AQ1307/R1307,0))/MAX(0.1,N(Parameter!$M$21)))</f>
        <v>0.25</v>
      </c>
      <c r="AS1307" s="50" t="n">
        <f aca="false">AR1307*CB1307</f>
        <v>58.75</v>
      </c>
      <c r="AT1307" s="51" t="n">
        <f aca="false">IF(LEFT(Cockpit!$I$5,1)="A",H1307,IF(CH1307=1,(CK1307+CI1307)/2,IF(LEFT(Cockpit!$I$5,1)="B",(CK1307+AV1307)/2,MAX((CK1307+AV1307)/2,H1307))))</f>
        <v>11</v>
      </c>
      <c r="AU1307" s="50" t="n">
        <f aca="false">AT1307*G1307</f>
        <v>550.11</v>
      </c>
      <c r="AV1307" s="50" t="n">
        <f aca="false">ROUNDUP(CK1307+MAX(CL1307,2*(J1307/IF(CG1307&gt;0,CG1307,MAX(0.1,N(Cockpit!$I$6)))-CK1307)),0)</f>
        <v>21</v>
      </c>
      <c r="AW1307" s="51" t="n">
        <f aca="false">IF(AS1307&gt;0,J1307/AS1307,-1)</f>
        <v>0.561702127659575</v>
      </c>
      <c r="AX1307" s="51" t="str">
        <f aca="false">IF(AND(OR(CF1307="L1",CF1307="L23",CF1307="LIFT"),AS1307&gt;0),SUMIFS($AS$7:$AS$1843,$CF$7:$CF$1843,CF1307,$AW$7:$AW$1843,"&gt;"&amp;AW1307)+SUMIFS($AS$7:$AS$1843,$CF$7:$CF$1843,CF1307,$AW$7:$AW$1843,AW1307,$BW$7:$BW$1843,"&lt;="&amp;BW1307),"")</f>
        <v/>
      </c>
      <c r="AY1307" s="58" t="n">
        <f aca="false">IF(AX1307="",0,MAX(0,MIN(1,(IF(CF1307="L1",Parameter!$H$5,IF(CF1307="L23",Parameter!$H$6+Parameter!$H$7,Parameter!$H$5+Parameter!$H$6+Parameter!$H$7))-(AX1307-AS1307))/AS1307)))</f>
        <v>0</v>
      </c>
      <c r="AZ1307" s="50" t="n">
        <f aca="false">IF(LEFT(Cockpit!$O$5,1)="A",H1307,IF(Parameter!$E$30="MAX-Bestand",IF(CH1307=1,CI1307,IF(LEFT(Cockpit!$O$5,1)="B",BF1307,MAX(BF1307,H1307))),ROUNDUP(BD1307,0)))</f>
        <v>11</v>
      </c>
      <c r="BA1307" s="50" t="n">
        <f aca="false">IF(BZ1307=1,0,ROUNDUP(AZ1307/BY1307,0))</f>
        <v>1</v>
      </c>
      <c r="BB1307" s="52" t="n">
        <f aca="false">IF(CQ1307&gt;0,CQ1307*MAX(1,AZ1307/X1307),IF(BZ1307=1,IF(AZ1307&lt;=0,0,CD1307*MAX(1,IF(H1307&gt;0,AZ1307/H1307,1))),IF(R1307&gt;0,BA1307/R1307,0))/MAX(0.1,N(Parameter!$M$21)))</f>
        <v>0.25</v>
      </c>
      <c r="BC1307" s="50" t="n">
        <f aca="false">BB1307*CB1307</f>
        <v>58.75</v>
      </c>
      <c r="BD1307" s="51" t="n">
        <f aca="false">IF(LEFT(Cockpit!$O$5,1)="A",H1307,IF(CH1307=1,(CK1307+CI1307)/2,IF(LEFT(Cockpit!$O$5,1)="B",(CK1307+BF1307)/2,MAX((CK1307+BF1307)/2,H1307))))</f>
        <v>11</v>
      </c>
      <c r="BE1307" s="50" t="n">
        <f aca="false">BD1307*G1307</f>
        <v>550.11</v>
      </c>
      <c r="BF1307" s="50" t="n">
        <f aca="false">ROUNDUP(CK1307+MAX(CL1307,2*(J1307/IF(CG1307&gt;0,CG1307,MAX(0.1,N(Cockpit!$O$6)))-CK1307)),0)</f>
        <v>21</v>
      </c>
      <c r="BG1307" s="51" t="n">
        <f aca="false">IF(BC1307&gt;0,J1307/BC1307,-1)</f>
        <v>0.561702127659575</v>
      </c>
      <c r="BH1307" s="51" t="str">
        <f aca="false">IF(AND(OR(CF1307="L1",CF1307="L23",CF1307="LIFT"),BC1307&gt;0),SUMIFS($BC$7:$BC$1843,$CF$7:$CF$1843,CF1307,$BG$7:$BG$1843,"&gt;"&amp;BG1307)+SUMIFS($BC$7:$BC$1843,$CF$7:$CF$1843,CF1307,$BG$7:$BG$1843,BG1307,$BW$7:$BW$1843,"&lt;="&amp;BW1307),"")</f>
        <v/>
      </c>
      <c r="BI1307" s="58" t="n">
        <f aca="false">IF(BH1307="",0,MAX(0,MIN(1,(IF(CF1307="L1",Parameter!$H$5,IF(CF1307="L23",Parameter!$H$6+Parameter!$H$7,Parameter!$H$5+Parameter!$H$6+Parameter!$H$7))-(BH1307-BC1307))/BC1307)))</f>
        <v>0</v>
      </c>
      <c r="BJ1307" s="48" t="str">
        <f aca="false">IF(AI1307&lt;=0,"",IF(CF1307="Aussen","Aussenlager",IF(CF1307="-","Nicht im Lift",IF(AO1307&gt;=1,"Lift",IF(AO1307&lt;=0,"Aussenlager","teilweise")))))</f>
        <v/>
      </c>
      <c r="BK1307" s="48" t="str">
        <f aca="false">IF(AS1307&lt;=0,"",IF(CF1307="Aussen","Aussenlager",IF(CF1307="-","Nicht im Lift",IF(AY1307&gt;=1,"Lift",IF(AY1307&lt;=0,"Aussenlager","teilweise")))))</f>
        <v>Nicht im Lift</v>
      </c>
      <c r="BL1307" s="48" t="str">
        <f aca="false">IF(BC1307&lt;=0,"",IF(CF1307="Aussen","Aussenlager",IF(CF1307="-","Nicht im Lift",IF(BI1307&gt;=1,"Lift",IF(BI1307&lt;=0,"Aussenlager","teilweise")))))</f>
        <v>Nicht im Lift</v>
      </c>
      <c r="BM1307" s="48" t="str">
        <f aca="false">IF(A1307="","",IF(BV1307=1,"Neu; ","")&amp;IF(AND(BV1307=0,BQ1307&lt;0),"negativer Bestand (Export "&amp;BQ1307&amp;"); ","")&amp;IF(J1307&lt;=0,"Kein Verbrauch; ","")&amp;IF(CQ1307&gt;0,"Lift "&amp;W1307&amp;" lt. Liftbericht (Fach "&amp;X1307&amp;" Stk); ",IF(CA1307=1,"Gebinde geschätzt ("&amp;T1307&amp;"); ",IF(BZ1307=1,"Lose – Tablare geschätzt; ","")))&amp;IF(H1307&gt;AV1307,"Überbestand "&amp;ROUND(H1307-AV1307,0)&amp;" Stk / CHF "&amp;ROUND((H1307-AV1307)*G1307,0)&amp;"; ","")&amp;IF(AND(CH1307=1,CI1307&lt;CJ1307),"MAX &lt; MB+LG; ","")&amp;IF(AND(CP1307&gt;0,CO1307*10&gt;CP1307),"zu hoch für Tablar; ","")&amp;IF(AND(BV1307=0,OR(CH1307=1,AA1307&lt;&gt;"",U1307&lt;&gt;"",V1307&lt;&gt;"",AB1307&lt;&gt;"")),"manuell übersteuert; ","")&amp;IF(AND(BZ1307=0,R1307=0),"Gebinde unbekannt / Stellmass fehlt; ","")&amp;IF(AND(BZ1307=0,N(V1307)&lt;=0,N(Q1307)&lt;=0),"Menge pro Gebinde fehlt (Ist = 1 Gebinde); ","")&amp;BU1307)</f>
        <v>negativer Bestand (Export -25); Gebinde geschätzt (Gross); Menge pro Gebinde fehlt (Ist = 1 Gebinde); </v>
      </c>
      <c r="BN1307" s="48"/>
      <c r="BO1307" s="48"/>
      <c r="BP1307" s="55"/>
      <c r="BQ1307" s="50" t="n">
        <v>-25</v>
      </c>
      <c r="BR1307" s="50" t="n">
        <v>25</v>
      </c>
      <c r="BS1307" s="49" t="n">
        <v>-1239.5</v>
      </c>
      <c r="BT1307" s="50" t="n">
        <v>33</v>
      </c>
      <c r="BU1307" s="48"/>
      <c r="BV1307" s="53" t="n">
        <v>0</v>
      </c>
      <c r="BW1307" s="53" t="n">
        <v>1307</v>
      </c>
      <c r="BX1307" s="48" t="str">
        <f aca="false">IF(U1307&lt;&gt;"",UPPER(TRIM(U1307)),IF(CA1307=1,UPPER(VLOOKUP(T1307,Parameter!$I$27:$K$29,2,0)),IF(P1307="","LOSE",P1307)))</f>
        <v>S81</v>
      </c>
      <c r="BY1307" s="50" t="n">
        <f aca="false">IF(BX1307="LOSE",1,IF(N(V1307)&gt;0,V1307,IF(CA1307=1,MAX(1,N(VLOOKUP(T1307,Parameter!$I$27:$K$29,3,0)),H1307,N(N1307)),IF(N(Q1307)&gt;0,Q1307,MAX(1,H1307)))))</f>
        <v>20</v>
      </c>
      <c r="BZ1307" s="53" t="n">
        <f aca="false">IF(BX1307="LOSE",1,0)</f>
        <v>0</v>
      </c>
      <c r="CA1307" s="53" t="n">
        <f aca="false">IF(AND(U1307="",OR(P1307="",P1307="LOSE"),T1307&lt;&gt;"",N(S1307)&lt;=0,ISNUMBER(MATCH(T1307,Parameter!$I$27:$I$29,0))),1,0)</f>
        <v>1</v>
      </c>
      <c r="CB1307" s="53" t="n">
        <f aca="false">IF(CQ1307&gt;0,INDEX(Parameter!$H$5:$H$7,W1307)/INDEX(Parameter!$E$5:$E$7,W1307),IF(AND(BZ1307=0,N(IFERROR(VLOOKUP(BX1307,'Gebinde-Kategorie'!$A$5:$N$45,14,0),0))&gt;0),VLOOKUP(BX1307,'Gebinde-Kategorie'!$A$5:$N$45,14,0)*10+Parameter!$M$23,Parameter!$M$24))</f>
        <v>235</v>
      </c>
      <c r="CC1307" s="48" t="str">
        <f aca="false">IF(AND(Parameter!$B$19="Ja",E1307&lt;&gt;"",ISNUMBER(MATCH(E1307,Parameter!$I$35:$I$52,0))),VLOOKUP(E1307,Parameter!$I$35:$J$52,2,0),IFERROR(VLOOKUP(D1307,Parameter!$A$35:$C$64,2,0),"Nein"))</f>
        <v>Nein</v>
      </c>
      <c r="CD1307" s="52" t="n">
        <f aca="false">IF(BZ1307=0,0,IF(N(S1307)&gt;0,S1307,IFERROR(VLOOKUP(D1307,Parameter!$A$35:$C$64,3,0)+0,0)))</f>
        <v>0</v>
      </c>
      <c r="CE1307" s="48" t="str">
        <f aca="false">IF(AA1307&lt;&gt;"",AA1307,Z1307)</f>
        <v>-</v>
      </c>
      <c r="CF1307" s="48" t="str">
        <f aca="false">IF(OR(CE1307=1,CE1307=2,CE1307=3),IF(Parameter!$E$27="Ja","LIFT",IF(CE1307=1,"L1","L23")),IF(CE1307="Aussen","Aussen","-"))</f>
        <v>-</v>
      </c>
      <c r="CG1307" s="59" t="n">
        <f aca="false">IF(N(AB1307)&gt;0,AB1307,0)</f>
        <v>0</v>
      </c>
      <c r="CH1307" s="53" t="n">
        <f aca="false">IF(ISNUMBER(AE1307),1,0)</f>
        <v>0</v>
      </c>
      <c r="CI1307" s="50" t="n">
        <f aca="false">N(AE1307)</f>
        <v>0</v>
      </c>
      <c r="CJ1307" s="50" t="n">
        <f aca="false">N(M1307)+N(N1307)</f>
        <v>21</v>
      </c>
      <c r="CK1307" s="50" t="n">
        <f aca="false">N(M1307)</f>
        <v>1</v>
      </c>
      <c r="CL1307" s="50" t="n">
        <f aca="false">N(N1307)</f>
        <v>20</v>
      </c>
      <c r="CM1307" s="50" t="n">
        <f aca="false">ROUNDUP(H1307/BY1307,0)</f>
        <v>0</v>
      </c>
      <c r="CN1307" s="50" t="n">
        <f aca="false">ROUNDUP(CI1307/BY1307,0)</f>
        <v>0</v>
      </c>
      <c r="CO1307" s="53" t="n">
        <f aca="false">IF(BZ1307=1,0,IFERROR(VLOOKUP(BX1307,'Gebinde-Kategorie'!$A$5:$N$45,5,0)+0,0))</f>
        <v>20</v>
      </c>
      <c r="CP1307" s="53" t="n">
        <f aca="false">IFERROR(IF(OR(CE1307=1,CE1307=2,CE1307=3),N(INDEX(Parameter!$I$5:$I$7,CE1307)),0),0)</f>
        <v>0</v>
      </c>
      <c r="CQ1307" s="52" t="n">
        <f aca="false">IF(AND(Parameter!$B$21="Ja",ISNUMBER(W1307),N(X1307)&gt;0),IFERROR(N(INDEX(Parameter!$L$5:$L$7,W1307))*INDEX(Parameter!$E$5:$E$7,W1307)*X1307/SUMIFS($X$7:$X$1843,$W$7:$W$1843,W1307),0),0)</f>
        <v>0</v>
      </c>
    </row>
    <row r="1308" customFormat="false" ht="15" hidden="false" customHeight="false" outlineLevel="0" collapsed="false">
      <c r="A1308" s="48" t="s">
        <v>2331</v>
      </c>
      <c r="B1308" s="48" t="s">
        <v>2332</v>
      </c>
      <c r="C1308" s="48" t="s">
        <v>173</v>
      </c>
      <c r="D1308" s="48" t="s">
        <v>193</v>
      </c>
      <c r="E1308" s="48" t="s">
        <v>194</v>
      </c>
      <c r="F1308" s="48" t="s">
        <v>227</v>
      </c>
      <c r="G1308" s="49" t="n">
        <v>28.8</v>
      </c>
      <c r="H1308" s="50" t="n">
        <f aca="false">MAX(0,IF(AND(Parameter!$B$21="Ja",ISNUMBER(Y1308)),Y1308,IF(Parameter!$B$20="Jahresanfang 2025 + Export",BR1308+BQ1308,BQ1308)))</f>
        <v>79</v>
      </c>
      <c r="I1308" s="50" t="n">
        <f aca="false">H1308*G1308</f>
        <v>2275.2</v>
      </c>
      <c r="J1308" s="50" t="n">
        <f aca="false">BT1308*Parameter!$B$18</f>
        <v>180</v>
      </c>
      <c r="K1308" s="51" t="n">
        <v>93</v>
      </c>
      <c r="L1308" s="52" t="n">
        <v>1.93548387096774</v>
      </c>
      <c r="M1308" s="50" t="n">
        <v>4</v>
      </c>
      <c r="N1308" s="50" t="n">
        <v>130</v>
      </c>
      <c r="O1308" s="53" t="n">
        <v>7</v>
      </c>
      <c r="P1308" s="48" t="s">
        <v>242</v>
      </c>
      <c r="Q1308" s="50" t="n">
        <v>87</v>
      </c>
      <c r="R1308" s="53" t="n">
        <f aca="false">IF(BZ1308=1,0,IFERROR(VLOOKUP(BX1308,'Gebinde-Kategorie'!$A$5:$N$45,13,0)+0,0))</f>
        <v>26</v>
      </c>
      <c r="S1308" s="54"/>
      <c r="T1308" s="55"/>
      <c r="U1308" s="55"/>
      <c r="V1308" s="55"/>
      <c r="W1308" s="48"/>
      <c r="X1308" s="50"/>
      <c r="Y1308" s="50"/>
      <c r="Z1308" s="48" t="n">
        <f aca="false">IF(A1308="","",IF(AND(Parameter!$B$21="Ja",ISNUMBER(W1308)),W1308,IF(CC1308="2+3",IF(ISNUMBER(SEARCH("grosser Artikel",BU1308)),2,IFERROR(VLOOKUP(BX1308,Parameter!$F$35:$G$64,2,0),2)),IF(OR(CC1308="Nein",CC1308=""),"-",CC1308))))</f>
        <v>3</v>
      </c>
      <c r="AA1308" s="55"/>
      <c r="AB1308" s="56"/>
      <c r="AC1308" s="50" t="n">
        <f aca="false">AV1308</f>
        <v>134</v>
      </c>
      <c r="AD1308" s="50" t="n">
        <f aca="false">MAX(AV1308,H1308)</f>
        <v>134</v>
      </c>
      <c r="AE1308" s="57"/>
      <c r="AF1308" s="50" t="n">
        <f aca="false">IF(LEFT(Cockpit!$C$5,1)="A",H1308,IF(Parameter!$E$30="MAX-Bestand",IF(CH1308=1,CI1308,IF(LEFT(Cockpit!$C$5,1)="B",AL1308,MAX(AL1308,H1308))),ROUNDUP(AJ1308,0)))</f>
        <v>79</v>
      </c>
      <c r="AG1308" s="50" t="n">
        <f aca="false">IF(BZ1308=1,0,ROUNDUP(AF1308/BY1308,0))</f>
        <v>1</v>
      </c>
      <c r="AH1308" s="52" t="n">
        <f aca="false">IF(CQ1308&gt;0,CQ1308*MAX(1,AF1308/X1308),IF(BZ1308=1,IF(AF1308&lt;=0,0,CD1308*MAX(1,IF(H1308&gt;0,AF1308/H1308,1))),IF(R1308&gt;0,AG1308/R1308,0))/MAX(0.1,N(Parameter!$M$21)))</f>
        <v>0.0384615384615385</v>
      </c>
      <c r="AI1308" s="50" t="n">
        <f aca="false">AH1308*CB1308</f>
        <v>9.42307692307692</v>
      </c>
      <c r="AJ1308" s="51" t="n">
        <f aca="false">IF(LEFT(Cockpit!$C$5,1)="A",H1308,IF(CH1308=1,(CK1308+CI1308)/2,IF(LEFT(Cockpit!$C$5,1)="B",(CK1308+AL1308)/2,MAX((CK1308+AL1308)/2,H1308))))</f>
        <v>79</v>
      </c>
      <c r="AK1308" s="50" t="n">
        <f aca="false">AJ1308*G1308</f>
        <v>2275.2</v>
      </c>
      <c r="AL1308" s="50" t="n">
        <f aca="false">ROUNDUP(CK1308+MAX(CL1308,2*(J1308/IF(CG1308&gt;0,CG1308,MAX(0.1,N(Cockpit!$C$6)))-CK1308)),0)</f>
        <v>134</v>
      </c>
      <c r="AM1308" s="51" t="n">
        <f aca="false">IF(AI1308&gt;0,J1308/AI1308,-1)</f>
        <v>19.1020408163265</v>
      </c>
      <c r="AN1308" s="51" t="n">
        <f aca="false">IF(AND(OR(CF1308="L1",CF1308="L23",CF1308="LIFT"),AI1308&gt;0),SUMIFS($AI$7:$AI$1843,$CF$7:$CF$1843,CF1308,$AM$7:$AM$1843,"&gt;"&amp;AM1308)+SUMIFS($AI$7:$AI$1843,$CF$7:$CF$1843,CF1308,$AM$7:$AM$1843,AM1308,$BW$7:$BW$1843,"&lt;="&amp;BW1308),"")</f>
        <v>1746.39743589744</v>
      </c>
      <c r="AO1308" s="58" t="n">
        <f aca="false">IF(AN1308="",0,MAX(0,MIN(1,(IF(CF1308="L1",Parameter!$H$5,IF(CF1308="L23",Parameter!$H$6+Parameter!$H$7,Parameter!$H$5+Parameter!$H$6+Parameter!$H$7))-(AN1308-AI1308))/AI1308)))</f>
        <v>1</v>
      </c>
      <c r="AP1308" s="50" t="n">
        <f aca="false">IF(LEFT(Cockpit!$I$5,1)="A",H1308,IF(Parameter!$E$30="MAX-Bestand",IF(CH1308=1,CI1308,IF(LEFT(Cockpit!$I$5,1)="B",AV1308,MAX(AV1308,H1308))),ROUNDUP(AT1308,0)))</f>
        <v>79</v>
      </c>
      <c r="AQ1308" s="50" t="n">
        <f aca="false">IF(BZ1308=1,0,ROUNDUP(AP1308/BY1308,0))</f>
        <v>1</v>
      </c>
      <c r="AR1308" s="52" t="n">
        <f aca="false">IF(CQ1308&gt;0,CQ1308*MAX(1,AP1308/X1308),IF(BZ1308=1,IF(AP1308&lt;=0,0,CD1308*MAX(1,IF(H1308&gt;0,AP1308/H1308,1))),IF(R1308&gt;0,AQ1308/R1308,0))/MAX(0.1,N(Parameter!$M$21)))</f>
        <v>0.0384615384615385</v>
      </c>
      <c r="AS1308" s="50" t="n">
        <f aca="false">AR1308*CB1308</f>
        <v>9.42307692307692</v>
      </c>
      <c r="AT1308" s="51" t="n">
        <f aca="false">IF(LEFT(Cockpit!$I$5,1)="A",H1308,IF(CH1308=1,(CK1308+CI1308)/2,IF(LEFT(Cockpit!$I$5,1)="B",(CK1308+AV1308)/2,MAX((CK1308+AV1308)/2,H1308))))</f>
        <v>79</v>
      </c>
      <c r="AU1308" s="50" t="n">
        <f aca="false">AT1308*G1308</f>
        <v>2275.2</v>
      </c>
      <c r="AV1308" s="50" t="n">
        <f aca="false">ROUNDUP(CK1308+MAX(CL1308,2*(J1308/IF(CG1308&gt;0,CG1308,MAX(0.1,N(Cockpit!$I$6)))-CK1308)),0)</f>
        <v>134</v>
      </c>
      <c r="AW1308" s="51" t="n">
        <f aca="false">IF(AS1308&gt;0,J1308/AS1308,-1)</f>
        <v>19.1020408163265</v>
      </c>
      <c r="AX1308" s="51" t="n">
        <f aca="false">IF(AND(OR(CF1308="L1",CF1308="L23",CF1308="LIFT"),AS1308&gt;0),SUMIFS($AS$7:$AS$1843,$CF$7:$CF$1843,CF1308,$AW$7:$AW$1843,"&gt;"&amp;AW1308)+SUMIFS($AS$7:$AS$1843,$CF$7:$CF$1843,CF1308,$AW$7:$AW$1843,AW1308,$BW$7:$BW$1843,"&lt;="&amp;BW1308),"")</f>
        <v>2383.51831501832</v>
      </c>
      <c r="AY1308" s="58" t="n">
        <f aca="false">IF(AX1308="",0,MAX(0,MIN(1,(IF(CF1308="L1",Parameter!$H$5,IF(CF1308="L23",Parameter!$H$6+Parameter!$H$7,Parameter!$H$5+Parameter!$H$6+Parameter!$H$7))-(AX1308-AS1308))/AS1308)))</f>
        <v>1</v>
      </c>
      <c r="AZ1308" s="50" t="n">
        <f aca="false">IF(LEFT(Cockpit!$O$5,1)="A",H1308,IF(Parameter!$E$30="MAX-Bestand",IF(CH1308=1,CI1308,IF(LEFT(Cockpit!$O$5,1)="B",BF1308,MAX(BF1308,H1308))),ROUNDUP(BD1308,0)))</f>
        <v>69</v>
      </c>
      <c r="BA1308" s="50" t="n">
        <f aca="false">IF(BZ1308=1,0,ROUNDUP(AZ1308/BY1308,0))</f>
        <v>1</v>
      </c>
      <c r="BB1308" s="52" t="n">
        <f aca="false">IF(CQ1308&gt;0,CQ1308*MAX(1,AZ1308/X1308),IF(BZ1308=1,IF(AZ1308&lt;=0,0,CD1308*MAX(1,IF(H1308&gt;0,AZ1308/H1308,1))),IF(R1308&gt;0,BA1308/R1308,0))/MAX(0.1,N(Parameter!$M$21)))</f>
        <v>0.0384615384615385</v>
      </c>
      <c r="BC1308" s="50" t="n">
        <f aca="false">BB1308*CB1308</f>
        <v>9.42307692307692</v>
      </c>
      <c r="BD1308" s="51" t="n">
        <f aca="false">IF(LEFT(Cockpit!$O$5,1)="A",H1308,IF(CH1308=1,(CK1308+CI1308)/2,IF(LEFT(Cockpit!$O$5,1)="B",(CK1308+BF1308)/2,MAX((CK1308+BF1308)/2,H1308))))</f>
        <v>69</v>
      </c>
      <c r="BE1308" s="50" t="n">
        <f aca="false">BD1308*G1308</f>
        <v>1987.2</v>
      </c>
      <c r="BF1308" s="50" t="n">
        <f aca="false">ROUNDUP(CK1308+MAX(CL1308,2*(J1308/IF(CG1308&gt;0,CG1308,MAX(0.1,N(Cockpit!$O$6)))-CK1308)),0)</f>
        <v>134</v>
      </c>
      <c r="BG1308" s="51" t="n">
        <f aca="false">IF(BC1308&gt;0,J1308/BC1308,-1)</f>
        <v>19.1020408163265</v>
      </c>
      <c r="BH1308" s="51" t="n">
        <f aca="false">IF(AND(OR(CF1308="L1",CF1308="L23",CF1308="LIFT"),BC1308&gt;0),SUMIFS($BC$7:$BC$1843,$CF$7:$CF$1843,CF1308,$BG$7:$BG$1843,"&gt;"&amp;BG1308)+SUMIFS($BC$7:$BC$1843,$CF$7:$CF$1843,CF1308,$BG$7:$BG$1843,BG1308,$BW$7:$BW$1843,"&lt;="&amp;BW1308),"")</f>
        <v>2272.43543956044</v>
      </c>
      <c r="BI1308" s="58" t="n">
        <f aca="false">IF(BH1308="",0,MAX(0,MIN(1,(IF(CF1308="L1",Parameter!$H$5,IF(CF1308="L23",Parameter!$H$6+Parameter!$H$7,Parameter!$H$5+Parameter!$H$6+Parameter!$H$7))-(BH1308-BC1308))/BC1308)))</f>
        <v>1</v>
      </c>
      <c r="BJ1308" s="48" t="str">
        <f aca="false">IF(AI1308&lt;=0,"",IF(CF1308="Aussen","Aussenlager",IF(CF1308="-","Nicht im Lift",IF(AO1308&gt;=1,"Lift",IF(AO1308&lt;=0,"Aussenlager","teilweise")))))</f>
        <v>Lift</v>
      </c>
      <c r="BK1308" s="48" t="str">
        <f aca="false">IF(AS1308&lt;=0,"",IF(CF1308="Aussen","Aussenlager",IF(CF1308="-","Nicht im Lift",IF(AY1308&gt;=1,"Lift",IF(AY1308&lt;=0,"Aussenlager","teilweise")))))</f>
        <v>Lift</v>
      </c>
      <c r="BL1308" s="48" t="str">
        <f aca="false">IF(BC1308&lt;=0,"",IF(CF1308="Aussen","Aussenlager",IF(CF1308="-","Nicht im Lift",IF(BI1308&gt;=1,"Lift",IF(BI1308&lt;=0,"Aussenlager","teilweise")))))</f>
        <v>Lift</v>
      </c>
      <c r="BM1308" s="48" t="str">
        <f aca="false">IF(A1308="","",IF(BV1308=1,"Neu; ","")&amp;IF(AND(BV1308=0,BQ1308&lt;0),"negativer Bestand (Export "&amp;BQ1308&amp;"); ","")&amp;IF(J1308&lt;=0,"Kein Verbrauch; ","")&amp;IF(CQ1308&gt;0,"Lift "&amp;W1308&amp;" lt. Liftbericht (Fach "&amp;X1308&amp;" Stk); ",IF(CA1308=1,"Gebinde geschätzt ("&amp;T1308&amp;"); ",IF(BZ1308=1,"Lose – Tablare geschätzt; ","")))&amp;IF(H1308&gt;AV1308,"Überbestand "&amp;ROUND(H1308-AV1308,0)&amp;" Stk / CHF "&amp;ROUND((H1308-AV1308)*G1308,0)&amp;"; ","")&amp;IF(AND(CH1308=1,CI1308&lt;CJ1308),"MAX &lt; MB+LG; ","")&amp;IF(AND(CP1308&gt;0,CO1308*10&gt;CP1308),"zu hoch für Tablar; ","")&amp;IF(AND(BV1308=0,OR(CH1308=1,AA1308&lt;&gt;"",U1308&lt;&gt;"",V1308&lt;&gt;"",AB1308&lt;&gt;"")),"manuell übersteuert; ","")&amp;IF(AND(BZ1308=0,R1308=0),"Gebinde unbekannt / Stellmass fehlt; ","")&amp;IF(AND(BZ1308=0,N(V1308)&lt;=0,N(Q1308)&lt;=0),"Menge pro Gebinde fehlt (Ist = 1 Gebinde); ","")&amp;BU1308)</f>
        <v>negativer Bestand (Export -44); </v>
      </c>
      <c r="BN1308" s="48"/>
      <c r="BO1308" s="48"/>
      <c r="BP1308" s="55"/>
      <c r="BQ1308" s="50" t="n">
        <v>-44</v>
      </c>
      <c r="BR1308" s="50" t="n">
        <v>123</v>
      </c>
      <c r="BS1308" s="49" t="n">
        <v>-1264.74</v>
      </c>
      <c r="BT1308" s="50" t="n">
        <v>180</v>
      </c>
      <c r="BU1308" s="48"/>
      <c r="BV1308" s="53" t="n">
        <v>0</v>
      </c>
      <c r="BW1308" s="53" t="n">
        <v>1308</v>
      </c>
      <c r="BX1308" s="48" t="str">
        <f aca="false">IF(U1308&lt;&gt;"",UPPER(TRIM(U1308)),IF(CA1308=1,UPPER(VLOOKUP(T1308,Parameter!$I$27:$K$29,2,0)),IF(P1308="","LOSE",P1308)))</f>
        <v>S52</v>
      </c>
      <c r="BY1308" s="50" t="n">
        <f aca="false">IF(BX1308="LOSE",1,IF(N(V1308)&gt;0,V1308,IF(CA1308=1,MAX(1,N(VLOOKUP(T1308,Parameter!$I$27:$K$29,3,0)),H1308,N(N1308)),IF(N(Q1308)&gt;0,Q1308,MAX(1,H1308)))))</f>
        <v>87</v>
      </c>
      <c r="BZ1308" s="53" t="n">
        <f aca="false">IF(BX1308="LOSE",1,0)</f>
        <v>0</v>
      </c>
      <c r="CA1308" s="53" t="n">
        <f aca="false">IF(AND(U1308="",OR(P1308="",P1308="LOSE"),T1308&lt;&gt;"",N(S1308)&lt;=0,ISNUMBER(MATCH(T1308,Parameter!$I$27:$I$29,0))),1,0)</f>
        <v>0</v>
      </c>
      <c r="CB1308" s="53" t="n">
        <f aca="false">IF(CQ1308&gt;0,INDEX(Parameter!$H$5:$H$7,W1308)/INDEX(Parameter!$E$5:$E$7,W1308),IF(AND(BZ1308=0,N(IFERROR(VLOOKUP(BX1308,'Gebinde-Kategorie'!$A$5:$N$45,14,0),0))&gt;0),VLOOKUP(BX1308,'Gebinde-Kategorie'!$A$5:$N$45,14,0)*10+Parameter!$M$23,Parameter!$M$24))</f>
        <v>245</v>
      </c>
      <c r="CC1308" s="48" t="str">
        <f aca="false">IF(AND(Parameter!$B$19="Ja",E1308&lt;&gt;"",ISNUMBER(MATCH(E1308,Parameter!$I$35:$I$52,0))),VLOOKUP(E1308,Parameter!$I$35:$J$52,2,0),IFERROR(VLOOKUP(D1308,Parameter!$A$35:$C$64,2,0),"Nein"))</f>
        <v>2+3</v>
      </c>
      <c r="CD1308" s="52" t="n">
        <f aca="false">IF(BZ1308=0,0,IF(N(S1308)&gt;0,S1308,IFERROR(VLOOKUP(D1308,Parameter!$A$35:$C$64,3,0)+0,0)))</f>
        <v>0</v>
      </c>
      <c r="CE1308" s="48" t="n">
        <f aca="false">IF(AA1308&lt;&gt;"",AA1308,Z1308)</f>
        <v>3</v>
      </c>
      <c r="CF1308" s="48" t="str">
        <f aca="false">IF(OR(CE1308=1,CE1308=2,CE1308=3),IF(Parameter!$E$27="Ja","LIFT",IF(CE1308=1,"L1","L23")),IF(CE1308="Aussen","Aussen","-"))</f>
        <v>LIFT</v>
      </c>
      <c r="CG1308" s="59" t="n">
        <f aca="false">IF(N(AB1308)&gt;0,AB1308,0)</f>
        <v>0</v>
      </c>
      <c r="CH1308" s="53" t="n">
        <f aca="false">IF(ISNUMBER(AE1308),1,0)</f>
        <v>0</v>
      </c>
      <c r="CI1308" s="50" t="n">
        <f aca="false">N(AE1308)</f>
        <v>0</v>
      </c>
      <c r="CJ1308" s="50" t="n">
        <f aca="false">N(M1308)+N(N1308)</f>
        <v>134</v>
      </c>
      <c r="CK1308" s="50" t="n">
        <f aca="false">N(M1308)</f>
        <v>4</v>
      </c>
      <c r="CL1308" s="50" t="n">
        <f aca="false">N(N1308)</f>
        <v>130</v>
      </c>
      <c r="CM1308" s="50" t="n">
        <f aca="false">ROUNDUP(H1308/BY1308,0)</f>
        <v>1</v>
      </c>
      <c r="CN1308" s="50" t="n">
        <f aca="false">ROUNDUP(CI1308/BY1308,0)</f>
        <v>0</v>
      </c>
      <c r="CO1308" s="53" t="n">
        <f aca="false">IF(BZ1308=1,0,IFERROR(VLOOKUP(BX1308,'Gebinde-Kategorie'!$A$5:$N$45,5,0)+0,0))</f>
        <v>21</v>
      </c>
      <c r="CP1308" s="53" t="n">
        <f aca="false">IFERROR(IF(OR(CE1308=1,CE1308=2,CE1308=3),N(INDEX(Parameter!$I$5:$I$7,CE1308)),0),0)</f>
        <v>0</v>
      </c>
      <c r="CQ1308" s="52" t="n">
        <f aca="false">IF(AND(Parameter!$B$21="Ja",ISNUMBER(W1308),N(X1308)&gt;0),IFERROR(N(INDEX(Parameter!$L$5:$L$7,W1308))*INDEX(Parameter!$E$5:$E$7,W1308)*X1308/SUMIFS($X$7:$X$1843,$W$7:$W$1843,W1308),0),0)</f>
        <v>0</v>
      </c>
    </row>
    <row r="1309" customFormat="false" ht="15" hidden="false" customHeight="false" outlineLevel="0" collapsed="false">
      <c r="A1309" s="48" t="s">
        <v>2333</v>
      </c>
      <c r="B1309" s="48" t="s">
        <v>434</v>
      </c>
      <c r="C1309" s="48" t="s">
        <v>173</v>
      </c>
      <c r="D1309" s="48" t="s">
        <v>193</v>
      </c>
      <c r="E1309" s="48" t="s">
        <v>194</v>
      </c>
      <c r="F1309" s="48" t="s">
        <v>227</v>
      </c>
      <c r="G1309" s="49" t="n">
        <v>24.31</v>
      </c>
      <c r="H1309" s="50" t="n">
        <f aca="false">MAX(0,IF(AND(Parameter!$B$21="Ja",ISNUMBER(Y1309)),Y1309,IF(Parameter!$B$20="Jahresanfang 2025 + Export",BR1309+BQ1309,BQ1309)))</f>
        <v>37</v>
      </c>
      <c r="I1309" s="50" t="n">
        <f aca="false">H1309*G1309</f>
        <v>899.47</v>
      </c>
      <c r="J1309" s="50" t="n">
        <f aca="false">BT1309*Parameter!$B$18</f>
        <v>77</v>
      </c>
      <c r="K1309" s="51" t="n">
        <v>57.5</v>
      </c>
      <c r="L1309" s="52" t="n">
        <v>1.33913043478261</v>
      </c>
      <c r="M1309" s="50" t="n">
        <v>2</v>
      </c>
      <c r="N1309" s="50" t="n">
        <v>75</v>
      </c>
      <c r="O1309" s="53" t="n">
        <v>14</v>
      </c>
      <c r="P1309" s="48" t="s">
        <v>311</v>
      </c>
      <c r="Q1309" s="50" t="n">
        <v>164</v>
      </c>
      <c r="R1309" s="53" t="n">
        <f aca="false">IF(BZ1309=1,0,IFERROR(VLOOKUP(BX1309,'Gebinde-Kategorie'!$A$5:$N$45,13,0)+0,0))</f>
        <v>26</v>
      </c>
      <c r="S1309" s="54"/>
      <c r="T1309" s="55"/>
      <c r="U1309" s="55"/>
      <c r="V1309" s="55"/>
      <c r="W1309" s="48"/>
      <c r="X1309" s="50"/>
      <c r="Y1309" s="50"/>
      <c r="Z1309" s="48" t="n">
        <f aca="false">IF(A1309="","",IF(AND(Parameter!$B$21="Ja",ISNUMBER(W1309)),W1309,IF(CC1309="2+3",IF(ISNUMBER(SEARCH("grosser Artikel",BU1309)),2,IFERROR(VLOOKUP(BX1309,Parameter!$F$35:$G$64,2,0),2)),IF(OR(CC1309="Nein",CC1309=""),"-",CC1309))))</f>
        <v>3</v>
      </c>
      <c r="AA1309" s="55"/>
      <c r="AB1309" s="56"/>
      <c r="AC1309" s="50" t="n">
        <f aca="false">AV1309</f>
        <v>77</v>
      </c>
      <c r="AD1309" s="50" t="n">
        <f aca="false">MAX(AV1309,H1309)</f>
        <v>77</v>
      </c>
      <c r="AE1309" s="57"/>
      <c r="AF1309" s="50" t="n">
        <f aca="false">IF(LEFT(Cockpit!$C$5,1)="A",H1309,IF(Parameter!$E$30="MAX-Bestand",IF(CH1309=1,CI1309,IF(LEFT(Cockpit!$C$5,1)="B",AL1309,MAX(AL1309,H1309))),ROUNDUP(AJ1309,0)))</f>
        <v>37</v>
      </c>
      <c r="AG1309" s="50" t="n">
        <f aca="false">IF(BZ1309=1,0,ROUNDUP(AF1309/BY1309,0))</f>
        <v>1</v>
      </c>
      <c r="AH1309" s="52" t="n">
        <f aca="false">IF(CQ1309&gt;0,CQ1309*MAX(1,AF1309/X1309),IF(BZ1309=1,IF(AF1309&lt;=0,0,CD1309*MAX(1,IF(H1309&gt;0,AF1309/H1309,1))),IF(R1309&gt;0,AG1309/R1309,0))/MAX(0.1,N(Parameter!$M$21)))</f>
        <v>0.0384615384615385</v>
      </c>
      <c r="AI1309" s="50" t="n">
        <f aca="false">AH1309*CB1309</f>
        <v>5.96153846153846</v>
      </c>
      <c r="AJ1309" s="51" t="n">
        <f aca="false">IF(LEFT(Cockpit!$C$5,1)="A",H1309,IF(CH1309=1,(CK1309+CI1309)/2,IF(LEFT(Cockpit!$C$5,1)="B",(CK1309+AL1309)/2,MAX((CK1309+AL1309)/2,H1309))))</f>
        <v>37</v>
      </c>
      <c r="AK1309" s="50" t="n">
        <f aca="false">AJ1309*G1309</f>
        <v>899.47</v>
      </c>
      <c r="AL1309" s="50" t="n">
        <f aca="false">ROUNDUP(CK1309+MAX(CL1309,2*(J1309/IF(CG1309&gt;0,CG1309,MAX(0.1,N(Cockpit!$C$6)))-CK1309)),0)</f>
        <v>77</v>
      </c>
      <c r="AM1309" s="51" t="n">
        <f aca="false">IF(AI1309&gt;0,J1309/AI1309,-1)</f>
        <v>12.9161290322581</v>
      </c>
      <c r="AN1309" s="51" t="n">
        <f aca="false">IF(AND(OR(CF1309="L1",CF1309="L23",CF1309="LIFT"),AI1309&gt;0),SUMIFS($AI$7:$AI$1843,$CF$7:$CF$1843,CF1309,$AM$7:$AM$1843,"&gt;"&amp;AM1309)+SUMIFS($AI$7:$AI$1843,$CF$7:$CF$1843,CF1309,$AM$7:$AM$1843,AM1309,$BW$7:$BW$1843,"&lt;="&amp;BW1309),"")</f>
        <v>2381.58608058608</v>
      </c>
      <c r="AO1309" s="58" t="n">
        <f aca="false">IF(AN1309="",0,MAX(0,MIN(1,(IF(CF1309="L1",Parameter!$H$5,IF(CF1309="L23",Parameter!$H$6+Parameter!$H$7,Parameter!$H$5+Parameter!$H$6+Parameter!$H$7))-(AN1309-AI1309))/AI1309)))</f>
        <v>1</v>
      </c>
      <c r="AP1309" s="50" t="n">
        <f aca="false">IF(LEFT(Cockpit!$I$5,1)="A",H1309,IF(Parameter!$E$30="MAX-Bestand",IF(CH1309=1,CI1309,IF(LEFT(Cockpit!$I$5,1)="B",AV1309,MAX(AV1309,H1309))),ROUNDUP(AT1309,0)))</f>
        <v>40</v>
      </c>
      <c r="AQ1309" s="50" t="n">
        <f aca="false">IF(BZ1309=1,0,ROUNDUP(AP1309/BY1309,0))</f>
        <v>1</v>
      </c>
      <c r="AR1309" s="52" t="n">
        <f aca="false">IF(CQ1309&gt;0,CQ1309*MAX(1,AP1309/X1309),IF(BZ1309=1,IF(AP1309&lt;=0,0,CD1309*MAX(1,IF(H1309&gt;0,AP1309/H1309,1))),IF(R1309&gt;0,AQ1309/R1309,0))/MAX(0.1,N(Parameter!$M$21)))</f>
        <v>0.0384615384615385</v>
      </c>
      <c r="AS1309" s="50" t="n">
        <f aca="false">AR1309*CB1309</f>
        <v>5.96153846153846</v>
      </c>
      <c r="AT1309" s="51" t="n">
        <f aca="false">IF(LEFT(Cockpit!$I$5,1)="A",H1309,IF(CH1309=1,(CK1309+CI1309)/2,IF(LEFT(Cockpit!$I$5,1)="B",(CK1309+AV1309)/2,MAX((CK1309+AV1309)/2,H1309))))</f>
        <v>39.5</v>
      </c>
      <c r="AU1309" s="50" t="n">
        <f aca="false">AT1309*G1309</f>
        <v>960.245</v>
      </c>
      <c r="AV1309" s="50" t="n">
        <f aca="false">ROUNDUP(CK1309+MAX(CL1309,2*(J1309/IF(CG1309&gt;0,CG1309,MAX(0.1,N(Cockpit!$I$6)))-CK1309)),0)</f>
        <v>77</v>
      </c>
      <c r="AW1309" s="51" t="n">
        <f aca="false">IF(AS1309&gt;0,J1309/AS1309,-1)</f>
        <v>12.9161290322581</v>
      </c>
      <c r="AX1309" s="51" t="n">
        <f aca="false">IF(AND(OR(CF1309="L1",CF1309="L23",CF1309="LIFT"),AS1309&gt;0),SUMIFS($AS$7:$AS$1843,$CF$7:$CF$1843,CF1309,$AW$7:$AW$1843,"&gt;"&amp;AW1309)+SUMIFS($AS$7:$AS$1843,$CF$7:$CF$1843,CF1309,$AW$7:$AW$1843,AW1309,$BW$7:$BW$1843,"&lt;="&amp;BW1309),"")</f>
        <v>2970.9652014652</v>
      </c>
      <c r="AY1309" s="58" t="n">
        <f aca="false">IF(AX1309="",0,MAX(0,MIN(1,(IF(CF1309="L1",Parameter!$H$5,IF(CF1309="L23",Parameter!$H$6+Parameter!$H$7,Parameter!$H$5+Parameter!$H$6+Parameter!$H$7))-(AX1309-AS1309))/AS1309)))</f>
        <v>1</v>
      </c>
      <c r="AZ1309" s="50" t="n">
        <f aca="false">IF(LEFT(Cockpit!$O$5,1)="A",H1309,IF(Parameter!$E$30="MAX-Bestand",IF(CH1309=1,CI1309,IF(LEFT(Cockpit!$O$5,1)="B",BF1309,MAX(BF1309,H1309))),ROUNDUP(BD1309,0)))</f>
        <v>40</v>
      </c>
      <c r="BA1309" s="50" t="n">
        <f aca="false">IF(BZ1309=1,0,ROUNDUP(AZ1309/BY1309,0))</f>
        <v>1</v>
      </c>
      <c r="BB1309" s="52" t="n">
        <f aca="false">IF(CQ1309&gt;0,CQ1309*MAX(1,AZ1309/X1309),IF(BZ1309=1,IF(AZ1309&lt;=0,0,CD1309*MAX(1,IF(H1309&gt;0,AZ1309/H1309,1))),IF(R1309&gt;0,BA1309/R1309,0))/MAX(0.1,N(Parameter!$M$21)))</f>
        <v>0.0384615384615385</v>
      </c>
      <c r="BC1309" s="50" t="n">
        <f aca="false">BB1309*CB1309</f>
        <v>5.96153846153846</v>
      </c>
      <c r="BD1309" s="51" t="n">
        <f aca="false">IF(LEFT(Cockpit!$O$5,1)="A",H1309,IF(CH1309=1,(CK1309+CI1309)/2,IF(LEFT(Cockpit!$O$5,1)="B",(CK1309+BF1309)/2,MAX((CK1309+BF1309)/2,H1309))))</f>
        <v>39.5</v>
      </c>
      <c r="BE1309" s="50" t="n">
        <f aca="false">BD1309*G1309</f>
        <v>960.245</v>
      </c>
      <c r="BF1309" s="50" t="n">
        <f aca="false">ROUNDUP(CK1309+MAX(CL1309,2*(J1309/IF(CG1309&gt;0,CG1309,MAX(0.1,N(Cockpit!$O$6)))-CK1309)),0)</f>
        <v>77</v>
      </c>
      <c r="BG1309" s="51" t="n">
        <f aca="false">IF(BC1309&gt;0,J1309/BC1309,-1)</f>
        <v>12.9161290322581</v>
      </c>
      <c r="BH1309" s="51" t="n">
        <f aca="false">IF(AND(OR(CF1309="L1",CF1309="L23",CF1309="LIFT"),BC1309&gt;0),SUMIFS($BC$7:$BC$1843,$CF$7:$CF$1843,CF1309,$BG$7:$BG$1843,"&gt;"&amp;BG1309)+SUMIFS($BC$7:$BC$1843,$CF$7:$CF$1843,CF1309,$BG$7:$BG$1843,BG1309,$BW$7:$BW$1843,"&lt;="&amp;BW1309),"")</f>
        <v>2511.7967032967</v>
      </c>
      <c r="BI1309" s="58" t="n">
        <f aca="false">IF(BH1309="",0,MAX(0,MIN(1,(IF(CF1309="L1",Parameter!$H$5,IF(CF1309="L23",Parameter!$H$6+Parameter!$H$7,Parameter!$H$5+Parameter!$H$6+Parameter!$H$7))-(BH1309-BC1309))/BC1309)))</f>
        <v>1</v>
      </c>
      <c r="BJ1309" s="48" t="str">
        <f aca="false">IF(AI1309&lt;=0,"",IF(CF1309="Aussen","Aussenlager",IF(CF1309="-","Nicht im Lift",IF(AO1309&gt;=1,"Lift",IF(AO1309&lt;=0,"Aussenlager","teilweise")))))</f>
        <v>Lift</v>
      </c>
      <c r="BK1309" s="48" t="str">
        <f aca="false">IF(AS1309&lt;=0,"",IF(CF1309="Aussen","Aussenlager",IF(CF1309="-","Nicht im Lift",IF(AY1309&gt;=1,"Lift",IF(AY1309&lt;=0,"Aussenlager","teilweise")))))</f>
        <v>Lift</v>
      </c>
      <c r="BL1309" s="48" t="str">
        <f aca="false">IF(BC1309&lt;=0,"",IF(CF1309="Aussen","Aussenlager",IF(CF1309="-","Nicht im Lift",IF(BI1309&gt;=1,"Lift",IF(BI1309&lt;=0,"Aussenlager","teilweise")))))</f>
        <v>Lift</v>
      </c>
      <c r="BM1309" s="48" t="str">
        <f aca="false">IF(A1309="","",IF(BV1309=1,"Neu; ","")&amp;IF(AND(BV1309=0,BQ1309&lt;0),"negativer Bestand (Export "&amp;BQ1309&amp;"); ","")&amp;IF(J1309&lt;=0,"Kein Verbrauch; ","")&amp;IF(CQ1309&gt;0,"Lift "&amp;W1309&amp;" lt. Liftbericht (Fach "&amp;X1309&amp;" Stk); ",IF(CA1309=1,"Gebinde geschätzt ("&amp;T1309&amp;"); ",IF(BZ1309=1,"Lose – Tablare geschätzt; ","")))&amp;IF(H1309&gt;AV1309,"Überbestand "&amp;ROUND(H1309-AV1309,0)&amp;" Stk / CHF "&amp;ROUND((H1309-AV1309)*G1309,0)&amp;"; ","")&amp;IF(AND(CH1309=1,CI1309&lt;CJ1309),"MAX &lt; MB+LG; ","")&amp;IF(AND(CP1309&gt;0,CO1309*10&gt;CP1309),"zu hoch für Tablar; ","")&amp;IF(AND(BV1309=0,OR(CH1309=1,AA1309&lt;&gt;"",U1309&lt;&gt;"",V1309&lt;&gt;"",AB1309&lt;&gt;"")),"manuell übersteuert; ","")&amp;IF(AND(BZ1309=0,R1309=0),"Gebinde unbekannt / Stellmass fehlt; ","")&amp;IF(AND(BZ1309=0,N(V1309)&lt;=0,N(Q1309)&lt;=0),"Menge pro Gebinde fehlt (Ist = 1 Gebinde); ","")&amp;BU1309)</f>
        <v>negativer Bestand (Export -34); </v>
      </c>
      <c r="BN1309" s="48"/>
      <c r="BO1309" s="48"/>
      <c r="BP1309" s="55"/>
      <c r="BQ1309" s="50" t="n">
        <v>-34</v>
      </c>
      <c r="BR1309" s="50" t="n">
        <v>71</v>
      </c>
      <c r="BS1309" s="49" t="n">
        <v>-1282.14</v>
      </c>
      <c r="BT1309" s="50" t="n">
        <v>77</v>
      </c>
      <c r="BU1309" s="48"/>
      <c r="BV1309" s="53" t="n">
        <v>0</v>
      </c>
      <c r="BW1309" s="53" t="n">
        <v>1309</v>
      </c>
      <c r="BX1309" s="48" t="str">
        <f aca="false">IF(U1309&lt;&gt;"",UPPER(TRIM(U1309)),IF(CA1309=1,UPPER(VLOOKUP(T1309,Parameter!$I$27:$K$29,2,0)),IF(P1309="","LOSE",P1309)))</f>
        <v>S51</v>
      </c>
      <c r="BY1309" s="50" t="n">
        <f aca="false">IF(BX1309="LOSE",1,IF(N(V1309)&gt;0,V1309,IF(CA1309=1,MAX(1,N(VLOOKUP(T1309,Parameter!$I$27:$K$29,3,0)),H1309,N(N1309)),IF(N(Q1309)&gt;0,Q1309,MAX(1,H1309)))))</f>
        <v>164</v>
      </c>
      <c r="BZ1309" s="53" t="n">
        <f aca="false">IF(BX1309="LOSE",1,0)</f>
        <v>0</v>
      </c>
      <c r="CA1309" s="53" t="n">
        <f aca="false">IF(AND(U1309="",OR(P1309="",P1309="LOSE"),T1309&lt;&gt;"",N(S1309)&lt;=0,ISNUMBER(MATCH(T1309,Parameter!$I$27:$I$29,0))),1,0)</f>
        <v>0</v>
      </c>
      <c r="CB1309" s="53" t="n">
        <f aca="false">IF(CQ1309&gt;0,INDEX(Parameter!$H$5:$H$7,W1309)/INDEX(Parameter!$E$5:$E$7,W1309),IF(AND(BZ1309=0,N(IFERROR(VLOOKUP(BX1309,'Gebinde-Kategorie'!$A$5:$N$45,14,0),0))&gt;0),VLOOKUP(BX1309,'Gebinde-Kategorie'!$A$5:$N$45,14,0)*10+Parameter!$M$23,Parameter!$M$24))</f>
        <v>155</v>
      </c>
      <c r="CC1309" s="48" t="str">
        <f aca="false">IF(AND(Parameter!$B$19="Ja",E1309&lt;&gt;"",ISNUMBER(MATCH(E1309,Parameter!$I$35:$I$52,0))),VLOOKUP(E1309,Parameter!$I$35:$J$52,2,0),IFERROR(VLOOKUP(D1309,Parameter!$A$35:$C$64,2,0),"Nein"))</f>
        <v>2+3</v>
      </c>
      <c r="CD1309" s="52" t="n">
        <f aca="false">IF(BZ1309=0,0,IF(N(S1309)&gt;0,S1309,IFERROR(VLOOKUP(D1309,Parameter!$A$35:$C$64,3,0)+0,0)))</f>
        <v>0</v>
      </c>
      <c r="CE1309" s="48" t="n">
        <f aca="false">IF(AA1309&lt;&gt;"",AA1309,Z1309)</f>
        <v>3</v>
      </c>
      <c r="CF1309" s="48" t="str">
        <f aca="false">IF(OR(CE1309=1,CE1309=2,CE1309=3),IF(Parameter!$E$27="Ja","LIFT",IF(CE1309=1,"L1","L23")),IF(CE1309="Aussen","Aussen","-"))</f>
        <v>LIFT</v>
      </c>
      <c r="CG1309" s="59" t="n">
        <f aca="false">IF(N(AB1309)&gt;0,AB1309,0)</f>
        <v>0</v>
      </c>
      <c r="CH1309" s="53" t="n">
        <f aca="false">IF(ISNUMBER(AE1309),1,0)</f>
        <v>0</v>
      </c>
      <c r="CI1309" s="50" t="n">
        <f aca="false">N(AE1309)</f>
        <v>0</v>
      </c>
      <c r="CJ1309" s="50" t="n">
        <f aca="false">N(M1309)+N(N1309)</f>
        <v>77</v>
      </c>
      <c r="CK1309" s="50" t="n">
        <f aca="false">N(M1309)</f>
        <v>2</v>
      </c>
      <c r="CL1309" s="50" t="n">
        <f aca="false">N(N1309)</f>
        <v>75</v>
      </c>
      <c r="CM1309" s="50" t="n">
        <f aca="false">ROUNDUP(H1309/BY1309,0)</f>
        <v>1</v>
      </c>
      <c r="CN1309" s="50" t="n">
        <f aca="false">ROUNDUP(CI1309/BY1309,0)</f>
        <v>0</v>
      </c>
      <c r="CO1309" s="53" t="n">
        <f aca="false">IF(BZ1309=1,0,IFERROR(VLOOKUP(BX1309,'Gebinde-Kategorie'!$A$5:$N$45,5,0)+0,0))</f>
        <v>11</v>
      </c>
      <c r="CP1309" s="53" t="n">
        <f aca="false">IFERROR(IF(OR(CE1309=1,CE1309=2,CE1309=3),N(INDEX(Parameter!$I$5:$I$7,CE1309)),0),0)</f>
        <v>0</v>
      </c>
      <c r="CQ1309" s="52" t="n">
        <f aca="false">IF(AND(Parameter!$B$21="Ja",ISNUMBER(W1309),N(X1309)&gt;0),IFERROR(N(INDEX(Parameter!$L$5:$L$7,W1309))*INDEX(Parameter!$E$5:$E$7,W1309)*X1309/SUMIFS($X$7:$X$1843,$W$7:$W$1843,W1309),0),0)</f>
        <v>0</v>
      </c>
    </row>
    <row r="1310" customFormat="false" ht="15" hidden="false" customHeight="false" outlineLevel="0" collapsed="false">
      <c r="A1310" s="48" t="s">
        <v>2334</v>
      </c>
      <c r="B1310" s="48" t="s">
        <v>434</v>
      </c>
      <c r="C1310" s="48" t="s">
        <v>173</v>
      </c>
      <c r="D1310" s="48" t="s">
        <v>193</v>
      </c>
      <c r="E1310" s="48" t="s">
        <v>194</v>
      </c>
      <c r="F1310" s="48" t="s">
        <v>227</v>
      </c>
      <c r="G1310" s="49" t="n">
        <v>47.59</v>
      </c>
      <c r="H1310" s="50" t="n">
        <f aca="false">MAX(0,IF(AND(Parameter!$B$21="Ja",ISNUMBER(Y1310)),Y1310,IF(Parameter!$B$20="Jahresanfang 2025 + Export",BR1310+BQ1310,BQ1310)))</f>
        <v>137</v>
      </c>
      <c r="I1310" s="50" t="n">
        <f aca="false">H1310*G1310</f>
        <v>6519.83</v>
      </c>
      <c r="J1310" s="50" t="n">
        <f aca="false">BT1310*Parameter!$B$18</f>
        <v>0</v>
      </c>
      <c r="K1310" s="51" t="n">
        <v>147.5</v>
      </c>
      <c r="L1310" s="52" t="n">
        <v>0</v>
      </c>
      <c r="M1310" s="50" t="n">
        <v>0</v>
      </c>
      <c r="N1310" s="50" t="n">
        <v>1</v>
      </c>
      <c r="O1310" s="53" t="n">
        <v>28</v>
      </c>
      <c r="P1310" s="48" t="s">
        <v>242</v>
      </c>
      <c r="Q1310" s="50" t="n">
        <v>246</v>
      </c>
      <c r="R1310" s="53" t="n">
        <f aca="false">IF(BZ1310=1,0,IFERROR(VLOOKUP(BX1310,'Gebinde-Kategorie'!$A$5:$N$45,13,0)+0,0))</f>
        <v>26</v>
      </c>
      <c r="S1310" s="54"/>
      <c r="T1310" s="55"/>
      <c r="U1310" s="55"/>
      <c r="V1310" s="55"/>
      <c r="W1310" s="48"/>
      <c r="X1310" s="50"/>
      <c r="Y1310" s="50"/>
      <c r="Z1310" s="48" t="n">
        <f aca="false">IF(A1310="","",IF(AND(Parameter!$B$21="Ja",ISNUMBER(W1310)),W1310,IF(CC1310="2+3",IF(ISNUMBER(SEARCH("grosser Artikel",BU1310)),2,IFERROR(VLOOKUP(BX1310,Parameter!$F$35:$G$64,2,0),2)),IF(OR(CC1310="Nein",CC1310=""),"-",CC1310))))</f>
        <v>3</v>
      </c>
      <c r="AA1310" s="55"/>
      <c r="AB1310" s="56"/>
      <c r="AC1310" s="50" t="n">
        <f aca="false">AV1310</f>
        <v>1</v>
      </c>
      <c r="AD1310" s="50" t="n">
        <f aca="false">MAX(AV1310,H1310)</f>
        <v>137</v>
      </c>
      <c r="AE1310" s="57"/>
      <c r="AF1310" s="50" t="n">
        <f aca="false">IF(LEFT(Cockpit!$C$5,1)="A",H1310,IF(Parameter!$E$30="MAX-Bestand",IF(CH1310=1,CI1310,IF(LEFT(Cockpit!$C$5,1)="B",AL1310,MAX(AL1310,H1310))),ROUNDUP(AJ1310,0)))</f>
        <v>137</v>
      </c>
      <c r="AG1310" s="50" t="n">
        <f aca="false">IF(BZ1310=1,0,ROUNDUP(AF1310/BY1310,0))</f>
        <v>1</v>
      </c>
      <c r="AH1310" s="52" t="n">
        <f aca="false">IF(CQ1310&gt;0,CQ1310*MAX(1,AF1310/X1310),IF(BZ1310=1,IF(AF1310&lt;=0,0,CD1310*MAX(1,IF(H1310&gt;0,AF1310/H1310,1))),IF(R1310&gt;0,AG1310/R1310,0))/MAX(0.1,N(Parameter!$M$21)))</f>
        <v>0.0384615384615385</v>
      </c>
      <c r="AI1310" s="50" t="n">
        <f aca="false">AH1310*CB1310</f>
        <v>9.42307692307692</v>
      </c>
      <c r="AJ1310" s="51" t="n">
        <f aca="false">IF(LEFT(Cockpit!$C$5,1)="A",H1310,IF(CH1310=1,(CK1310+CI1310)/2,IF(LEFT(Cockpit!$C$5,1)="B",(CK1310+AL1310)/2,MAX((CK1310+AL1310)/2,H1310))))</f>
        <v>137</v>
      </c>
      <c r="AK1310" s="50" t="n">
        <f aca="false">AJ1310*G1310</f>
        <v>6519.83</v>
      </c>
      <c r="AL1310" s="50" t="n">
        <f aca="false">ROUNDUP(CK1310+MAX(CL1310,2*(J1310/IF(CG1310&gt;0,CG1310,MAX(0.1,N(Cockpit!$C$6)))-CK1310)),0)</f>
        <v>1</v>
      </c>
      <c r="AM1310" s="51" t="n">
        <f aca="false">IF(AI1310&gt;0,J1310/AI1310,-1)</f>
        <v>0</v>
      </c>
      <c r="AN1310" s="51" t="n">
        <f aca="false">IF(AND(OR(CF1310="L1",CF1310="L23",CF1310="LIFT"),AI1310&gt;0),SUMIFS($AI$7:$AI$1843,$CF$7:$CF$1843,CF1310,$AM$7:$AM$1843,"&gt;"&amp;AM1310)+SUMIFS($AI$7:$AI$1843,$CF$7:$CF$1843,CF1310,$AM$7:$AM$1843,AM1310,$BW$7:$BW$1843,"&lt;="&amp;BW1310),"")</f>
        <v>29451.916834813</v>
      </c>
      <c r="AO1310" s="58" t="n">
        <f aca="false">IF(AN1310="",0,MAX(0,MIN(1,(IF(CF1310="L1",Parameter!$H$5,IF(CF1310="L23",Parameter!$H$6+Parameter!$H$7,Parameter!$H$5+Parameter!$H$6+Parameter!$H$7))-(AN1310-AI1310))/AI1310)))</f>
        <v>1</v>
      </c>
      <c r="AP1310" s="50" t="n">
        <f aca="false">IF(LEFT(Cockpit!$I$5,1)="A",H1310,IF(Parameter!$E$30="MAX-Bestand",IF(CH1310=1,CI1310,IF(LEFT(Cockpit!$I$5,1)="B",AV1310,MAX(AV1310,H1310))),ROUNDUP(AT1310,0)))</f>
        <v>137</v>
      </c>
      <c r="AQ1310" s="50" t="n">
        <f aca="false">IF(BZ1310=1,0,ROUNDUP(AP1310/BY1310,0))</f>
        <v>1</v>
      </c>
      <c r="AR1310" s="52" t="n">
        <f aca="false">IF(CQ1310&gt;0,CQ1310*MAX(1,AP1310/X1310),IF(BZ1310=1,IF(AP1310&lt;=0,0,CD1310*MAX(1,IF(H1310&gt;0,AP1310/H1310,1))),IF(R1310&gt;0,AQ1310/R1310,0))/MAX(0.1,N(Parameter!$M$21)))</f>
        <v>0.0384615384615385</v>
      </c>
      <c r="AS1310" s="50" t="n">
        <f aca="false">AR1310*CB1310</f>
        <v>9.42307692307692</v>
      </c>
      <c r="AT1310" s="51" t="n">
        <f aca="false">IF(LEFT(Cockpit!$I$5,1)="A",H1310,IF(CH1310=1,(CK1310+CI1310)/2,IF(LEFT(Cockpit!$I$5,1)="B",(CK1310+AV1310)/2,MAX((CK1310+AV1310)/2,H1310))))</f>
        <v>137</v>
      </c>
      <c r="AU1310" s="50" t="n">
        <f aca="false">AT1310*G1310</f>
        <v>6519.83</v>
      </c>
      <c r="AV1310" s="50" t="n">
        <f aca="false">ROUNDUP(CK1310+MAX(CL1310,2*(J1310/IF(CG1310&gt;0,CG1310,MAX(0.1,N(Cockpit!$I$6)))-CK1310)),0)</f>
        <v>1</v>
      </c>
      <c r="AW1310" s="51" t="n">
        <f aca="false">IF(AS1310&gt;0,J1310/AS1310,-1)</f>
        <v>0</v>
      </c>
      <c r="AX1310" s="51" t="n">
        <f aca="false">IF(AND(OR(CF1310="L1",CF1310="L23",CF1310="LIFT"),AS1310&gt;0),SUMIFS($AS$7:$AS$1843,$CF$7:$CF$1843,CF1310,$AW$7:$AW$1843,"&gt;"&amp;AW1310)+SUMIFS($AS$7:$AS$1843,$CF$7:$CF$1843,CF1310,$AW$7:$AW$1843,AW1310,$BW$7:$BW$1843,"&lt;="&amp;BW1310),"")</f>
        <v>35646.5004578755</v>
      </c>
      <c r="AY1310" s="58" t="n">
        <f aca="false">IF(AX1310="",0,MAX(0,MIN(1,(IF(CF1310="L1",Parameter!$H$5,IF(CF1310="L23",Parameter!$H$6+Parameter!$H$7,Parameter!$H$5+Parameter!$H$6+Parameter!$H$7))-(AX1310-AS1310))/AS1310)))</f>
        <v>1</v>
      </c>
      <c r="AZ1310" s="50" t="n">
        <f aca="false">IF(LEFT(Cockpit!$O$5,1)="A",H1310,IF(Parameter!$E$30="MAX-Bestand",IF(CH1310=1,CI1310,IF(LEFT(Cockpit!$O$5,1)="B",BF1310,MAX(BF1310,H1310))),ROUNDUP(BD1310,0)))</f>
        <v>1</v>
      </c>
      <c r="BA1310" s="50" t="n">
        <f aca="false">IF(BZ1310=1,0,ROUNDUP(AZ1310/BY1310,0))</f>
        <v>1</v>
      </c>
      <c r="BB1310" s="52" t="n">
        <f aca="false">IF(CQ1310&gt;0,CQ1310*MAX(1,AZ1310/X1310),IF(BZ1310=1,IF(AZ1310&lt;=0,0,CD1310*MAX(1,IF(H1310&gt;0,AZ1310/H1310,1))),IF(R1310&gt;0,BA1310/R1310,0))/MAX(0.1,N(Parameter!$M$21)))</f>
        <v>0.0384615384615385</v>
      </c>
      <c r="BC1310" s="50" t="n">
        <f aca="false">BB1310*CB1310</f>
        <v>9.42307692307692</v>
      </c>
      <c r="BD1310" s="51" t="n">
        <f aca="false">IF(LEFT(Cockpit!$O$5,1)="A",H1310,IF(CH1310=1,(CK1310+CI1310)/2,IF(LEFT(Cockpit!$O$5,1)="B",(CK1310+BF1310)/2,MAX((CK1310+BF1310)/2,H1310))))</f>
        <v>0.5</v>
      </c>
      <c r="BE1310" s="50" t="n">
        <f aca="false">BD1310*G1310</f>
        <v>23.795</v>
      </c>
      <c r="BF1310" s="50" t="n">
        <f aca="false">ROUNDUP(CK1310+MAX(CL1310,2*(J1310/IF(CG1310&gt;0,CG1310,MAX(0.1,N(Cockpit!$O$6)))-CK1310)),0)</f>
        <v>1</v>
      </c>
      <c r="BG1310" s="51" t="n">
        <f aca="false">IF(BC1310&gt;0,J1310/BC1310,-1)</f>
        <v>0</v>
      </c>
      <c r="BH1310" s="51" t="n">
        <f aca="false">IF(AND(OR(CF1310="L1",CF1310="L23",CF1310="LIFT"),BC1310&gt;0),SUMIFS($BC$7:$BC$1843,$CF$7:$CF$1843,CF1310,$BG$7:$BG$1843,"&gt;"&amp;BG1310)+SUMIFS($BC$7:$BC$1843,$CF$7:$CF$1843,CF1310,$BG$7:$BG$1843,BG1310,$BW$7:$BW$1843,"&lt;="&amp;BW1310),"")</f>
        <v>29631.8071180232</v>
      </c>
      <c r="BI1310" s="58" t="n">
        <f aca="false">IF(BH1310="",0,MAX(0,MIN(1,(IF(CF1310="L1",Parameter!$H$5,IF(CF1310="L23",Parameter!$H$6+Parameter!$H$7,Parameter!$H$5+Parameter!$H$6+Parameter!$H$7))-(BH1310-BC1310))/BC1310)))</f>
        <v>1</v>
      </c>
      <c r="BJ1310" s="48" t="str">
        <f aca="false">IF(AI1310&lt;=0,"",IF(CF1310="Aussen","Aussenlager",IF(CF1310="-","Nicht im Lift",IF(AO1310&gt;=1,"Lift",IF(AO1310&lt;=0,"Aussenlager","teilweise")))))</f>
        <v>Lift</v>
      </c>
      <c r="BK1310" s="48" t="str">
        <f aca="false">IF(AS1310&lt;=0,"",IF(CF1310="Aussen","Aussenlager",IF(CF1310="-","Nicht im Lift",IF(AY1310&gt;=1,"Lift",IF(AY1310&lt;=0,"Aussenlager","teilweise")))))</f>
        <v>Lift</v>
      </c>
      <c r="BL1310" s="48" t="str">
        <f aca="false">IF(BC1310&lt;=0,"",IF(CF1310="Aussen","Aussenlager",IF(CF1310="-","Nicht im Lift",IF(BI1310&gt;=1,"Lift",IF(BI1310&lt;=0,"Aussenlager","teilweise")))))</f>
        <v>Lift</v>
      </c>
      <c r="BM1310" s="48" t="str">
        <f aca="false">IF(A1310="","",IF(BV1310=1,"Neu; ","")&amp;IF(AND(BV1310=0,BQ1310&lt;0),"negativer Bestand (Export "&amp;BQ1310&amp;"); ","")&amp;IF(J1310&lt;=0,"Kein Verbrauch; ","")&amp;IF(CQ1310&gt;0,"Lift "&amp;W1310&amp;" lt. Liftbericht (Fach "&amp;X1310&amp;" Stk); ",IF(CA1310=1,"Gebinde geschätzt ("&amp;T1310&amp;"); ",IF(BZ1310=1,"Lose – Tablare geschätzt; ","")))&amp;IF(H1310&gt;AV1310,"Überbestand "&amp;ROUND(H1310-AV1310,0)&amp;" Stk / CHF "&amp;ROUND((H1310-AV1310)*G1310,0)&amp;"; ","")&amp;IF(AND(CH1310=1,CI1310&lt;CJ1310),"MAX &lt; MB+LG; ","")&amp;IF(AND(CP1310&gt;0,CO1310*10&gt;CP1310),"zu hoch für Tablar; ","")&amp;IF(AND(BV1310=0,OR(CH1310=1,AA1310&lt;&gt;"",U1310&lt;&gt;"",V1310&lt;&gt;"",AB1310&lt;&gt;"")),"manuell übersteuert; ","")&amp;IF(AND(BZ1310=0,R1310=0),"Gebinde unbekannt / Stellmass fehlt; ","")&amp;IF(AND(BZ1310=0,N(V1310)&lt;=0,N(Q1310)&lt;=0),"Menge pro Gebinde fehlt (Ist = 1 Gebinde); ","")&amp;BU1310)</f>
        <v>negativer Bestand (Export -27); Kein Verbrauch; Überbestand 136 Stk / CHF 6472; </v>
      </c>
      <c r="BN1310" s="48"/>
      <c r="BO1310" s="48"/>
      <c r="BP1310" s="55"/>
      <c r="BQ1310" s="50" t="n">
        <v>-27</v>
      </c>
      <c r="BR1310" s="50" t="n">
        <v>164</v>
      </c>
      <c r="BS1310" s="49" t="n">
        <v>-1284.93</v>
      </c>
      <c r="BT1310" s="50" t="n">
        <v>0</v>
      </c>
      <c r="BU1310" s="48"/>
      <c r="BV1310" s="53" t="n">
        <v>0</v>
      </c>
      <c r="BW1310" s="53" t="n">
        <v>1310</v>
      </c>
      <c r="BX1310" s="48" t="str">
        <f aca="false">IF(U1310&lt;&gt;"",UPPER(TRIM(U1310)),IF(CA1310=1,UPPER(VLOOKUP(T1310,Parameter!$I$27:$K$29,2,0)),IF(P1310="","LOSE",P1310)))</f>
        <v>S52</v>
      </c>
      <c r="BY1310" s="50" t="n">
        <f aca="false">IF(BX1310="LOSE",1,IF(N(V1310)&gt;0,V1310,IF(CA1310=1,MAX(1,N(VLOOKUP(T1310,Parameter!$I$27:$K$29,3,0)),H1310,N(N1310)),IF(N(Q1310)&gt;0,Q1310,MAX(1,H1310)))))</f>
        <v>246</v>
      </c>
      <c r="BZ1310" s="53" t="n">
        <f aca="false">IF(BX1310="LOSE",1,0)</f>
        <v>0</v>
      </c>
      <c r="CA1310" s="53" t="n">
        <f aca="false">IF(AND(U1310="",OR(P1310="",P1310="LOSE"),T1310&lt;&gt;"",N(S1310)&lt;=0,ISNUMBER(MATCH(T1310,Parameter!$I$27:$I$29,0))),1,0)</f>
        <v>0</v>
      </c>
      <c r="CB1310" s="53" t="n">
        <f aca="false">IF(CQ1310&gt;0,INDEX(Parameter!$H$5:$H$7,W1310)/INDEX(Parameter!$E$5:$E$7,W1310),IF(AND(BZ1310=0,N(IFERROR(VLOOKUP(BX1310,'Gebinde-Kategorie'!$A$5:$N$45,14,0),0))&gt;0),VLOOKUP(BX1310,'Gebinde-Kategorie'!$A$5:$N$45,14,0)*10+Parameter!$M$23,Parameter!$M$24))</f>
        <v>245</v>
      </c>
      <c r="CC1310" s="48" t="str">
        <f aca="false">IF(AND(Parameter!$B$19="Ja",E1310&lt;&gt;"",ISNUMBER(MATCH(E1310,Parameter!$I$35:$I$52,0))),VLOOKUP(E1310,Parameter!$I$35:$J$52,2,0),IFERROR(VLOOKUP(D1310,Parameter!$A$35:$C$64,2,0),"Nein"))</f>
        <v>2+3</v>
      </c>
      <c r="CD1310" s="52" t="n">
        <f aca="false">IF(BZ1310=0,0,IF(N(S1310)&gt;0,S1310,IFERROR(VLOOKUP(D1310,Parameter!$A$35:$C$64,3,0)+0,0)))</f>
        <v>0</v>
      </c>
      <c r="CE1310" s="48" t="n">
        <f aca="false">IF(AA1310&lt;&gt;"",AA1310,Z1310)</f>
        <v>3</v>
      </c>
      <c r="CF1310" s="48" t="str">
        <f aca="false">IF(OR(CE1310=1,CE1310=2,CE1310=3),IF(Parameter!$E$27="Ja","LIFT",IF(CE1310=1,"L1","L23")),IF(CE1310="Aussen","Aussen","-"))</f>
        <v>LIFT</v>
      </c>
      <c r="CG1310" s="59" t="n">
        <f aca="false">IF(N(AB1310)&gt;0,AB1310,0)</f>
        <v>0</v>
      </c>
      <c r="CH1310" s="53" t="n">
        <f aca="false">IF(ISNUMBER(AE1310),1,0)</f>
        <v>0</v>
      </c>
      <c r="CI1310" s="50" t="n">
        <f aca="false">N(AE1310)</f>
        <v>0</v>
      </c>
      <c r="CJ1310" s="50" t="n">
        <f aca="false">N(M1310)+N(N1310)</f>
        <v>1</v>
      </c>
      <c r="CK1310" s="50" t="n">
        <f aca="false">N(M1310)</f>
        <v>0</v>
      </c>
      <c r="CL1310" s="50" t="n">
        <f aca="false">N(N1310)</f>
        <v>1</v>
      </c>
      <c r="CM1310" s="50" t="n">
        <f aca="false">ROUNDUP(H1310/BY1310,0)</f>
        <v>1</v>
      </c>
      <c r="CN1310" s="50" t="n">
        <f aca="false">ROUNDUP(CI1310/BY1310,0)</f>
        <v>0</v>
      </c>
      <c r="CO1310" s="53" t="n">
        <f aca="false">IF(BZ1310=1,0,IFERROR(VLOOKUP(BX1310,'Gebinde-Kategorie'!$A$5:$N$45,5,0)+0,0))</f>
        <v>21</v>
      </c>
      <c r="CP1310" s="53" t="n">
        <f aca="false">IFERROR(IF(OR(CE1310=1,CE1310=2,CE1310=3),N(INDEX(Parameter!$I$5:$I$7,CE1310)),0),0)</f>
        <v>0</v>
      </c>
      <c r="CQ1310" s="52" t="n">
        <f aca="false">IF(AND(Parameter!$B$21="Ja",ISNUMBER(W1310),N(X1310)&gt;0),IFERROR(N(INDEX(Parameter!$L$5:$L$7,W1310))*INDEX(Parameter!$E$5:$E$7,W1310)*X1310/SUMIFS($X$7:$X$1843,$W$7:$W$1843,W1310),0),0)</f>
        <v>0</v>
      </c>
    </row>
    <row r="1311" customFormat="false" ht="15" hidden="false" customHeight="false" outlineLevel="0" collapsed="false">
      <c r="A1311" s="48" t="s">
        <v>2335</v>
      </c>
      <c r="B1311" s="48" t="s">
        <v>2336</v>
      </c>
      <c r="C1311" s="48" t="s">
        <v>465</v>
      </c>
      <c r="D1311" s="48" t="s">
        <v>182</v>
      </c>
      <c r="E1311" s="48"/>
      <c r="F1311" s="48" t="s">
        <v>227</v>
      </c>
      <c r="G1311" s="49" t="n">
        <v>65</v>
      </c>
      <c r="H1311" s="50" t="n">
        <f aca="false">MAX(0,IF(AND(Parameter!$B$21="Ja",ISNUMBER(Y1311)),Y1311,IF(Parameter!$B$20="Jahresanfang 2025 + Export",BR1311+BQ1311,BQ1311)))</f>
        <v>0</v>
      </c>
      <c r="I1311" s="50" t="n">
        <f aca="false">H1311*G1311</f>
        <v>0</v>
      </c>
      <c r="J1311" s="50" t="n">
        <f aca="false">BT1311*Parameter!$B$18</f>
        <v>0</v>
      </c>
      <c r="K1311" s="51" t="n">
        <v>10</v>
      </c>
      <c r="L1311" s="52" t="n">
        <v>0</v>
      </c>
      <c r="M1311" s="50" t="n">
        <v>0</v>
      </c>
      <c r="N1311" s="50" t="n">
        <v>1</v>
      </c>
      <c r="O1311" s="53" t="n">
        <v>56</v>
      </c>
      <c r="P1311" s="48" t="s">
        <v>177</v>
      </c>
      <c r="Q1311" s="50"/>
      <c r="R1311" s="53" t="n">
        <f aca="false">IF(BZ1311=1,0,IFERROR(VLOOKUP(BX1311,'Gebinde-Kategorie'!$A$5:$N$45,13,0)+0,0))</f>
        <v>12</v>
      </c>
      <c r="S1311" s="54"/>
      <c r="T1311" s="55" t="s">
        <v>188</v>
      </c>
      <c r="U1311" s="55"/>
      <c r="V1311" s="55"/>
      <c r="W1311" s="48"/>
      <c r="X1311" s="50"/>
      <c r="Y1311" s="50"/>
      <c r="Z1311" s="48" t="n">
        <f aca="false">IF(A1311="","",IF(AND(Parameter!$B$21="Ja",ISNUMBER(W1311)),W1311,IF(CC1311="2+3",IF(ISNUMBER(SEARCH("grosser Artikel",BU1311)),2,IFERROR(VLOOKUP(BX1311,Parameter!$F$35:$G$64,2,0),2)),IF(OR(CC1311="Nein",CC1311=""),"-",CC1311))))</f>
        <v>2</v>
      </c>
      <c r="AA1311" s="55"/>
      <c r="AB1311" s="56"/>
      <c r="AC1311" s="50" t="n">
        <f aca="false">AV1311</f>
        <v>1</v>
      </c>
      <c r="AD1311" s="50" t="n">
        <f aca="false">MAX(AV1311,H1311)</f>
        <v>1</v>
      </c>
      <c r="AE1311" s="57"/>
      <c r="AF1311" s="50" t="n">
        <f aca="false">IF(LEFT(Cockpit!$C$5,1)="A",H1311,IF(Parameter!$E$30="MAX-Bestand",IF(CH1311=1,CI1311,IF(LEFT(Cockpit!$C$5,1)="B",AL1311,MAX(AL1311,H1311))),ROUNDUP(AJ1311,0)))</f>
        <v>0</v>
      </c>
      <c r="AG1311" s="50" t="n">
        <f aca="false">IF(BZ1311=1,0,ROUNDUP(AF1311/BY1311,0))</f>
        <v>0</v>
      </c>
      <c r="AH1311" s="52" t="n">
        <f aca="false">IF(CQ1311&gt;0,CQ1311*MAX(1,AF1311/X1311),IF(BZ1311=1,IF(AF1311&lt;=0,0,CD1311*MAX(1,IF(H1311&gt;0,AF1311/H1311,1))),IF(R1311&gt;0,AG1311/R1311,0))/MAX(0.1,N(Parameter!$M$21)))</f>
        <v>0</v>
      </c>
      <c r="AI1311" s="50" t="n">
        <f aca="false">AH1311*CB1311</f>
        <v>0</v>
      </c>
      <c r="AJ1311" s="51" t="n">
        <f aca="false">IF(LEFT(Cockpit!$C$5,1)="A",H1311,IF(CH1311=1,(CK1311+CI1311)/2,IF(LEFT(Cockpit!$C$5,1)="B",(CK1311+AL1311)/2,MAX((CK1311+AL1311)/2,H1311))))</f>
        <v>0</v>
      </c>
      <c r="AK1311" s="50" t="n">
        <f aca="false">AJ1311*G1311</f>
        <v>0</v>
      </c>
      <c r="AL1311" s="50" t="n">
        <f aca="false">ROUNDUP(CK1311+MAX(CL1311,2*(J1311/IF(CG1311&gt;0,CG1311,MAX(0.1,N(Cockpit!$C$6)))-CK1311)),0)</f>
        <v>1</v>
      </c>
      <c r="AM1311" s="51" t="n">
        <f aca="false">IF(AI1311&gt;0,J1311/AI1311,-1)</f>
        <v>-1</v>
      </c>
      <c r="AN1311" s="51" t="str">
        <f aca="false">IF(AND(OR(CF1311="L1",CF1311="L23",CF1311="LIFT"),AI1311&gt;0),SUMIFS($AI$7:$AI$1843,$CF$7:$CF$1843,CF1311,$AM$7:$AM$1843,"&gt;"&amp;AM1311)+SUMIFS($AI$7:$AI$1843,$CF$7:$CF$1843,CF1311,$AM$7:$AM$1843,AM1311,$BW$7:$BW$1843,"&lt;="&amp;BW1311),"")</f>
        <v/>
      </c>
      <c r="AO1311" s="58" t="n">
        <f aca="false">IF(AN1311="",0,MAX(0,MIN(1,(IF(CF1311="L1",Parameter!$H$5,IF(CF1311="L23",Parameter!$H$6+Parameter!$H$7,Parameter!$H$5+Parameter!$H$6+Parameter!$H$7))-(AN1311-AI1311))/AI1311)))</f>
        <v>0</v>
      </c>
      <c r="AP1311" s="50" t="n">
        <f aca="false">IF(LEFT(Cockpit!$I$5,1)="A",H1311,IF(Parameter!$E$30="MAX-Bestand",IF(CH1311=1,CI1311,IF(LEFT(Cockpit!$I$5,1)="B",AV1311,MAX(AV1311,H1311))),ROUNDUP(AT1311,0)))</f>
        <v>1</v>
      </c>
      <c r="AQ1311" s="50" t="n">
        <f aca="false">IF(BZ1311=1,0,ROUNDUP(AP1311/BY1311,0))</f>
        <v>1</v>
      </c>
      <c r="AR1311" s="52" t="n">
        <f aca="false">IF(CQ1311&gt;0,CQ1311*MAX(1,AP1311/X1311),IF(BZ1311=1,IF(AP1311&lt;=0,0,CD1311*MAX(1,IF(H1311&gt;0,AP1311/H1311,1))),IF(R1311&gt;0,AQ1311/R1311,0))/MAX(0.1,N(Parameter!$M$21)))</f>
        <v>0.0833333333333333</v>
      </c>
      <c r="AS1311" s="50" t="n">
        <f aca="false">AR1311*CB1311</f>
        <v>12.0833333333333</v>
      </c>
      <c r="AT1311" s="51" t="n">
        <f aca="false">IF(LEFT(Cockpit!$I$5,1)="A",H1311,IF(CH1311=1,(CK1311+CI1311)/2,IF(LEFT(Cockpit!$I$5,1)="B",(CK1311+AV1311)/2,MAX((CK1311+AV1311)/2,H1311))))</f>
        <v>0.5</v>
      </c>
      <c r="AU1311" s="50" t="n">
        <f aca="false">AT1311*G1311</f>
        <v>32.5</v>
      </c>
      <c r="AV1311" s="50" t="n">
        <f aca="false">ROUNDUP(CK1311+MAX(CL1311,2*(J1311/IF(CG1311&gt;0,CG1311,MAX(0.1,N(Cockpit!$I$6)))-CK1311)),0)</f>
        <v>1</v>
      </c>
      <c r="AW1311" s="51" t="n">
        <f aca="false">IF(AS1311&gt;0,J1311/AS1311,-1)</f>
        <v>0</v>
      </c>
      <c r="AX1311" s="51" t="n">
        <f aca="false">IF(AND(OR(CF1311="L1",CF1311="L23",CF1311="LIFT"),AS1311&gt;0),SUMIFS($AS$7:$AS$1843,$CF$7:$CF$1843,CF1311,$AW$7:$AW$1843,"&gt;"&amp;AW1311)+SUMIFS($AS$7:$AS$1843,$CF$7:$CF$1843,CF1311,$AW$7:$AW$1843,AW1311,$BW$7:$BW$1843,"&lt;="&amp;BW1311),"")</f>
        <v>35658.5837912088</v>
      </c>
      <c r="AY1311" s="58" t="n">
        <f aca="false">IF(AX1311="",0,MAX(0,MIN(1,(IF(CF1311="L1",Parameter!$H$5,IF(CF1311="L23",Parameter!$H$6+Parameter!$H$7,Parameter!$H$5+Parameter!$H$6+Parameter!$H$7))-(AX1311-AS1311))/AS1311)))</f>
        <v>1</v>
      </c>
      <c r="AZ1311" s="50" t="n">
        <f aca="false">IF(LEFT(Cockpit!$O$5,1)="A",H1311,IF(Parameter!$E$30="MAX-Bestand",IF(CH1311=1,CI1311,IF(LEFT(Cockpit!$O$5,1)="B",BF1311,MAX(BF1311,H1311))),ROUNDUP(BD1311,0)))</f>
        <v>1</v>
      </c>
      <c r="BA1311" s="50" t="n">
        <f aca="false">IF(BZ1311=1,0,ROUNDUP(AZ1311/BY1311,0))</f>
        <v>1</v>
      </c>
      <c r="BB1311" s="52" t="n">
        <f aca="false">IF(CQ1311&gt;0,CQ1311*MAX(1,AZ1311/X1311),IF(BZ1311=1,IF(AZ1311&lt;=0,0,CD1311*MAX(1,IF(H1311&gt;0,AZ1311/H1311,1))),IF(R1311&gt;0,BA1311/R1311,0))/MAX(0.1,N(Parameter!$M$21)))</f>
        <v>0.0833333333333333</v>
      </c>
      <c r="BC1311" s="50" t="n">
        <f aca="false">BB1311*CB1311</f>
        <v>12.0833333333333</v>
      </c>
      <c r="BD1311" s="51" t="n">
        <f aca="false">IF(LEFT(Cockpit!$O$5,1)="A",H1311,IF(CH1311=1,(CK1311+CI1311)/2,IF(LEFT(Cockpit!$O$5,1)="B",(CK1311+BF1311)/2,MAX((CK1311+BF1311)/2,H1311))))</f>
        <v>0.5</v>
      </c>
      <c r="BE1311" s="50" t="n">
        <f aca="false">BD1311*G1311</f>
        <v>32.5</v>
      </c>
      <c r="BF1311" s="50" t="n">
        <f aca="false">ROUNDUP(CK1311+MAX(CL1311,2*(J1311/IF(CG1311&gt;0,CG1311,MAX(0.1,N(Cockpit!$O$6)))-CK1311)),0)</f>
        <v>1</v>
      </c>
      <c r="BG1311" s="51" t="n">
        <f aca="false">IF(BC1311&gt;0,J1311/BC1311,-1)</f>
        <v>0</v>
      </c>
      <c r="BH1311" s="51" t="n">
        <f aca="false">IF(AND(OR(CF1311="L1",CF1311="L23",CF1311="LIFT"),BC1311&gt;0),SUMIFS($BC$7:$BC$1843,$CF$7:$CF$1843,CF1311,$BG$7:$BG$1843,"&gt;"&amp;BG1311)+SUMIFS($BC$7:$BC$1843,$CF$7:$CF$1843,CF1311,$BG$7:$BG$1843,BG1311,$BW$7:$BW$1843,"&lt;="&amp;BW1311),"")</f>
        <v>29643.8904513566</v>
      </c>
      <c r="BI1311" s="58" t="n">
        <f aca="false">IF(BH1311="",0,MAX(0,MIN(1,(IF(CF1311="L1",Parameter!$H$5,IF(CF1311="L23",Parameter!$H$6+Parameter!$H$7,Parameter!$H$5+Parameter!$H$6+Parameter!$H$7))-(BH1311-BC1311))/BC1311)))</f>
        <v>1</v>
      </c>
      <c r="BJ1311" s="48" t="str">
        <f aca="false">IF(AI1311&lt;=0,"",IF(CF1311="Aussen","Aussenlager",IF(CF1311="-","Nicht im Lift",IF(AO1311&gt;=1,"Lift",IF(AO1311&lt;=0,"Aussenlager","teilweise")))))</f>
        <v/>
      </c>
      <c r="BK1311" s="48" t="str">
        <f aca="false">IF(AS1311&lt;=0,"",IF(CF1311="Aussen","Aussenlager",IF(CF1311="-","Nicht im Lift",IF(AY1311&gt;=1,"Lift",IF(AY1311&lt;=0,"Aussenlager","teilweise")))))</f>
        <v>Lift</v>
      </c>
      <c r="BL1311" s="48" t="str">
        <f aca="false">IF(BC1311&lt;=0,"",IF(CF1311="Aussen","Aussenlager",IF(CF1311="-","Nicht im Lift",IF(BI1311&gt;=1,"Lift",IF(BI1311&lt;=0,"Aussenlager","teilweise")))))</f>
        <v>Lift</v>
      </c>
      <c r="BM1311" s="48" t="str">
        <f aca="false">IF(A1311="","",IF(BV1311=1,"Neu; ","")&amp;IF(AND(BV1311=0,BQ1311&lt;0),"negativer Bestand (Export "&amp;BQ1311&amp;"); ","")&amp;IF(J1311&lt;=0,"Kein Verbrauch; ","")&amp;IF(CQ1311&gt;0,"Lift "&amp;W1311&amp;" lt. Liftbericht (Fach "&amp;X1311&amp;" Stk); ",IF(CA1311=1,"Gebinde geschätzt ("&amp;T1311&amp;"); ",IF(BZ1311=1,"Lose – Tablare geschätzt; ","")))&amp;IF(H1311&gt;AV1311,"Überbestand "&amp;ROUND(H1311-AV1311,0)&amp;" Stk / CHF "&amp;ROUND((H1311-AV1311)*G1311,0)&amp;"; ","")&amp;IF(AND(CH1311=1,CI1311&lt;CJ1311),"MAX &lt; MB+LG; ","")&amp;IF(AND(CP1311&gt;0,CO1311*10&gt;CP1311),"zu hoch für Tablar; ","")&amp;IF(AND(BV1311=0,OR(CH1311=1,AA1311&lt;&gt;"",U1311&lt;&gt;"",V1311&lt;&gt;"",AB1311&lt;&gt;"")),"manuell übersteuert; ","")&amp;IF(AND(BZ1311=0,R1311=0),"Gebinde unbekannt / Stellmass fehlt; ","")&amp;IF(AND(BZ1311=0,N(V1311)&lt;=0,N(Q1311)&lt;=0),"Menge pro Gebinde fehlt (Ist = 1 Gebinde); ","")&amp;BU1311)</f>
        <v>negativer Bestand (Export -20); Kein Verbrauch; Gebinde geschätzt (Mittel); Menge pro Gebinde fehlt (Ist = 1 Gebinde); </v>
      </c>
      <c r="BN1311" s="48"/>
      <c r="BO1311" s="48"/>
      <c r="BP1311" s="55"/>
      <c r="BQ1311" s="50" t="n">
        <v>-20</v>
      </c>
      <c r="BR1311" s="50" t="n">
        <v>20</v>
      </c>
      <c r="BS1311" s="49" t="n">
        <v>-1300</v>
      </c>
      <c r="BT1311" s="50" t="n">
        <v>0</v>
      </c>
      <c r="BU1311" s="48"/>
      <c r="BV1311" s="53" t="n">
        <v>0</v>
      </c>
      <c r="BW1311" s="53" t="n">
        <v>1311</v>
      </c>
      <c r="BX1311" s="48" t="str">
        <f aca="false">IF(U1311&lt;&gt;"",UPPER(TRIM(U1311)),IF(CA1311=1,UPPER(VLOOKUP(T1311,Parameter!$I$27:$K$29,2,0)),IF(P1311="","LOSE",P1311)))</f>
        <v>S61</v>
      </c>
      <c r="BY1311" s="50" t="n">
        <f aca="false">IF(BX1311="LOSE",1,IF(N(V1311)&gt;0,V1311,IF(CA1311=1,MAX(1,N(VLOOKUP(T1311,Parameter!$I$27:$K$29,3,0)),H1311,N(N1311)),IF(N(Q1311)&gt;0,Q1311,MAX(1,H1311)))))</f>
        <v>4</v>
      </c>
      <c r="BZ1311" s="53" t="n">
        <f aca="false">IF(BX1311="LOSE",1,0)</f>
        <v>0</v>
      </c>
      <c r="CA1311" s="53" t="n">
        <f aca="false">IF(AND(U1311="",OR(P1311="",P1311="LOSE"),T1311&lt;&gt;"",N(S1311)&lt;=0,ISNUMBER(MATCH(T1311,Parameter!$I$27:$I$29,0))),1,0)</f>
        <v>1</v>
      </c>
      <c r="CB1311" s="53" t="n">
        <f aca="false">IF(CQ1311&gt;0,INDEX(Parameter!$H$5:$H$7,W1311)/INDEX(Parameter!$E$5:$E$7,W1311),IF(AND(BZ1311=0,N(IFERROR(VLOOKUP(BX1311,'Gebinde-Kategorie'!$A$5:$N$45,14,0),0))&gt;0),VLOOKUP(BX1311,'Gebinde-Kategorie'!$A$5:$N$45,14,0)*10+Parameter!$M$23,Parameter!$M$24))</f>
        <v>145</v>
      </c>
      <c r="CC1311" s="48" t="str">
        <f aca="false">IF(AND(Parameter!$B$19="Ja",E1311&lt;&gt;"",ISNUMBER(MATCH(E1311,Parameter!$I$35:$I$52,0))),VLOOKUP(E1311,Parameter!$I$35:$J$52,2,0),IFERROR(VLOOKUP(D1311,Parameter!$A$35:$C$64,2,0),"Nein"))</f>
        <v>2+3</v>
      </c>
      <c r="CD1311" s="52" t="n">
        <f aca="false">IF(BZ1311=0,0,IF(N(S1311)&gt;0,S1311,IFERROR(VLOOKUP(D1311,Parameter!$A$35:$C$64,3,0)+0,0)))</f>
        <v>0</v>
      </c>
      <c r="CE1311" s="48" t="n">
        <f aca="false">IF(AA1311&lt;&gt;"",AA1311,Z1311)</f>
        <v>2</v>
      </c>
      <c r="CF1311" s="48" t="str">
        <f aca="false">IF(OR(CE1311=1,CE1311=2,CE1311=3),IF(Parameter!$E$27="Ja","LIFT",IF(CE1311=1,"L1","L23")),IF(CE1311="Aussen","Aussen","-"))</f>
        <v>LIFT</v>
      </c>
      <c r="CG1311" s="59" t="n">
        <f aca="false">IF(N(AB1311)&gt;0,AB1311,0)</f>
        <v>0</v>
      </c>
      <c r="CH1311" s="53" t="n">
        <f aca="false">IF(ISNUMBER(AE1311),1,0)</f>
        <v>0</v>
      </c>
      <c r="CI1311" s="50" t="n">
        <f aca="false">N(AE1311)</f>
        <v>0</v>
      </c>
      <c r="CJ1311" s="50" t="n">
        <f aca="false">N(M1311)+N(N1311)</f>
        <v>1</v>
      </c>
      <c r="CK1311" s="50" t="n">
        <f aca="false">N(M1311)</f>
        <v>0</v>
      </c>
      <c r="CL1311" s="50" t="n">
        <f aca="false">N(N1311)</f>
        <v>1</v>
      </c>
      <c r="CM1311" s="50" t="n">
        <f aca="false">ROUNDUP(H1311/BY1311,0)</f>
        <v>0</v>
      </c>
      <c r="CN1311" s="50" t="n">
        <f aca="false">ROUNDUP(CI1311/BY1311,0)</f>
        <v>0</v>
      </c>
      <c r="CO1311" s="53" t="n">
        <f aca="false">IF(BZ1311=1,0,IFERROR(VLOOKUP(BX1311,'Gebinde-Kategorie'!$A$5:$N$45,5,0)+0,0))</f>
        <v>11</v>
      </c>
      <c r="CP1311" s="53" t="n">
        <f aca="false">IFERROR(IF(OR(CE1311=1,CE1311=2,CE1311=3),N(INDEX(Parameter!$I$5:$I$7,CE1311)),0),0)</f>
        <v>0</v>
      </c>
      <c r="CQ1311" s="52" t="n">
        <f aca="false">IF(AND(Parameter!$B$21="Ja",ISNUMBER(W1311),N(X1311)&gt;0),IFERROR(N(INDEX(Parameter!$L$5:$L$7,W1311))*INDEX(Parameter!$E$5:$E$7,W1311)*X1311/SUMIFS($X$7:$X$1843,$W$7:$W$1843,W1311),0),0)</f>
        <v>0</v>
      </c>
    </row>
    <row r="1312" customFormat="false" ht="15" hidden="false" customHeight="false" outlineLevel="0" collapsed="false">
      <c r="A1312" s="48" t="s">
        <v>2337</v>
      </c>
      <c r="B1312" s="48" t="s">
        <v>2338</v>
      </c>
      <c r="C1312" s="48" t="s">
        <v>465</v>
      </c>
      <c r="D1312" s="48" t="s">
        <v>182</v>
      </c>
      <c r="E1312" s="48"/>
      <c r="F1312" s="48" t="s">
        <v>227</v>
      </c>
      <c r="G1312" s="49" t="n">
        <v>65</v>
      </c>
      <c r="H1312" s="50" t="n">
        <f aca="false">MAX(0,IF(AND(Parameter!$B$21="Ja",ISNUMBER(Y1312)),Y1312,IF(Parameter!$B$20="Jahresanfang 2025 + Export",BR1312+BQ1312,BQ1312)))</f>
        <v>0</v>
      </c>
      <c r="I1312" s="50" t="n">
        <f aca="false">H1312*G1312</f>
        <v>0</v>
      </c>
      <c r="J1312" s="50" t="n">
        <f aca="false">BT1312*Parameter!$B$18</f>
        <v>0</v>
      </c>
      <c r="K1312" s="51" t="n">
        <v>10</v>
      </c>
      <c r="L1312" s="52" t="n">
        <v>0</v>
      </c>
      <c r="M1312" s="50" t="n">
        <v>0</v>
      </c>
      <c r="N1312" s="50" t="n">
        <v>1</v>
      </c>
      <c r="O1312" s="53" t="n">
        <v>56</v>
      </c>
      <c r="P1312" s="48" t="s">
        <v>177</v>
      </c>
      <c r="Q1312" s="50"/>
      <c r="R1312" s="53" t="n">
        <f aca="false">IF(BZ1312=1,0,IFERROR(VLOOKUP(BX1312,'Gebinde-Kategorie'!$A$5:$N$45,13,0)+0,0))</f>
        <v>12</v>
      </c>
      <c r="S1312" s="54"/>
      <c r="T1312" s="55" t="s">
        <v>188</v>
      </c>
      <c r="U1312" s="55"/>
      <c r="V1312" s="55"/>
      <c r="W1312" s="48"/>
      <c r="X1312" s="50"/>
      <c r="Y1312" s="50"/>
      <c r="Z1312" s="48" t="n">
        <f aca="false">IF(A1312="","",IF(AND(Parameter!$B$21="Ja",ISNUMBER(W1312)),W1312,IF(CC1312="2+3",IF(ISNUMBER(SEARCH("grosser Artikel",BU1312)),2,IFERROR(VLOOKUP(BX1312,Parameter!$F$35:$G$64,2,0),2)),IF(OR(CC1312="Nein",CC1312=""),"-",CC1312))))</f>
        <v>2</v>
      </c>
      <c r="AA1312" s="55"/>
      <c r="AB1312" s="56"/>
      <c r="AC1312" s="50" t="n">
        <f aca="false">AV1312</f>
        <v>1</v>
      </c>
      <c r="AD1312" s="50" t="n">
        <f aca="false">MAX(AV1312,H1312)</f>
        <v>1</v>
      </c>
      <c r="AE1312" s="57"/>
      <c r="AF1312" s="50" t="n">
        <f aca="false">IF(LEFT(Cockpit!$C$5,1)="A",H1312,IF(Parameter!$E$30="MAX-Bestand",IF(CH1312=1,CI1312,IF(LEFT(Cockpit!$C$5,1)="B",AL1312,MAX(AL1312,H1312))),ROUNDUP(AJ1312,0)))</f>
        <v>0</v>
      </c>
      <c r="AG1312" s="50" t="n">
        <f aca="false">IF(BZ1312=1,0,ROUNDUP(AF1312/BY1312,0))</f>
        <v>0</v>
      </c>
      <c r="AH1312" s="52" t="n">
        <f aca="false">IF(CQ1312&gt;0,CQ1312*MAX(1,AF1312/X1312),IF(BZ1312=1,IF(AF1312&lt;=0,0,CD1312*MAX(1,IF(H1312&gt;0,AF1312/H1312,1))),IF(R1312&gt;0,AG1312/R1312,0))/MAX(0.1,N(Parameter!$M$21)))</f>
        <v>0</v>
      </c>
      <c r="AI1312" s="50" t="n">
        <f aca="false">AH1312*CB1312</f>
        <v>0</v>
      </c>
      <c r="AJ1312" s="51" t="n">
        <f aca="false">IF(LEFT(Cockpit!$C$5,1)="A",H1312,IF(CH1312=1,(CK1312+CI1312)/2,IF(LEFT(Cockpit!$C$5,1)="B",(CK1312+AL1312)/2,MAX((CK1312+AL1312)/2,H1312))))</f>
        <v>0</v>
      </c>
      <c r="AK1312" s="50" t="n">
        <f aca="false">AJ1312*G1312</f>
        <v>0</v>
      </c>
      <c r="AL1312" s="50" t="n">
        <f aca="false">ROUNDUP(CK1312+MAX(CL1312,2*(J1312/IF(CG1312&gt;0,CG1312,MAX(0.1,N(Cockpit!$C$6)))-CK1312)),0)</f>
        <v>1</v>
      </c>
      <c r="AM1312" s="51" t="n">
        <f aca="false">IF(AI1312&gt;0,J1312/AI1312,-1)</f>
        <v>-1</v>
      </c>
      <c r="AN1312" s="51" t="str">
        <f aca="false">IF(AND(OR(CF1312="L1",CF1312="L23",CF1312="LIFT"),AI1312&gt;0),SUMIFS($AI$7:$AI$1843,$CF$7:$CF$1843,CF1312,$AM$7:$AM$1843,"&gt;"&amp;AM1312)+SUMIFS($AI$7:$AI$1843,$CF$7:$CF$1843,CF1312,$AM$7:$AM$1843,AM1312,$BW$7:$BW$1843,"&lt;="&amp;BW1312),"")</f>
        <v/>
      </c>
      <c r="AO1312" s="58" t="n">
        <f aca="false">IF(AN1312="",0,MAX(0,MIN(1,(IF(CF1312="L1",Parameter!$H$5,IF(CF1312="L23",Parameter!$H$6+Parameter!$H$7,Parameter!$H$5+Parameter!$H$6+Parameter!$H$7))-(AN1312-AI1312))/AI1312)))</f>
        <v>0</v>
      </c>
      <c r="AP1312" s="50" t="n">
        <f aca="false">IF(LEFT(Cockpit!$I$5,1)="A",H1312,IF(Parameter!$E$30="MAX-Bestand",IF(CH1312=1,CI1312,IF(LEFT(Cockpit!$I$5,1)="B",AV1312,MAX(AV1312,H1312))),ROUNDUP(AT1312,0)))</f>
        <v>1</v>
      </c>
      <c r="AQ1312" s="50" t="n">
        <f aca="false">IF(BZ1312=1,0,ROUNDUP(AP1312/BY1312,0))</f>
        <v>1</v>
      </c>
      <c r="AR1312" s="52" t="n">
        <f aca="false">IF(CQ1312&gt;0,CQ1312*MAX(1,AP1312/X1312),IF(BZ1312=1,IF(AP1312&lt;=0,0,CD1312*MAX(1,IF(H1312&gt;0,AP1312/H1312,1))),IF(R1312&gt;0,AQ1312/R1312,0))/MAX(0.1,N(Parameter!$M$21)))</f>
        <v>0.0833333333333333</v>
      </c>
      <c r="AS1312" s="50" t="n">
        <f aca="false">AR1312*CB1312</f>
        <v>12.0833333333333</v>
      </c>
      <c r="AT1312" s="51" t="n">
        <f aca="false">IF(LEFT(Cockpit!$I$5,1)="A",H1312,IF(CH1312=1,(CK1312+CI1312)/2,IF(LEFT(Cockpit!$I$5,1)="B",(CK1312+AV1312)/2,MAX((CK1312+AV1312)/2,H1312))))</f>
        <v>0.5</v>
      </c>
      <c r="AU1312" s="50" t="n">
        <f aca="false">AT1312*G1312</f>
        <v>32.5</v>
      </c>
      <c r="AV1312" s="50" t="n">
        <f aca="false">ROUNDUP(CK1312+MAX(CL1312,2*(J1312/IF(CG1312&gt;0,CG1312,MAX(0.1,N(Cockpit!$I$6)))-CK1312)),0)</f>
        <v>1</v>
      </c>
      <c r="AW1312" s="51" t="n">
        <f aca="false">IF(AS1312&gt;0,J1312/AS1312,-1)</f>
        <v>0</v>
      </c>
      <c r="AX1312" s="51" t="n">
        <f aca="false">IF(AND(OR(CF1312="L1",CF1312="L23",CF1312="LIFT"),AS1312&gt;0),SUMIFS($AS$7:$AS$1843,$CF$7:$CF$1843,CF1312,$AW$7:$AW$1843,"&gt;"&amp;AW1312)+SUMIFS($AS$7:$AS$1843,$CF$7:$CF$1843,CF1312,$AW$7:$AW$1843,AW1312,$BW$7:$BW$1843,"&lt;="&amp;BW1312),"")</f>
        <v>35670.6671245421</v>
      </c>
      <c r="AY1312" s="58" t="n">
        <f aca="false">IF(AX1312="",0,MAX(0,MIN(1,(IF(CF1312="L1",Parameter!$H$5,IF(CF1312="L23",Parameter!$H$6+Parameter!$H$7,Parameter!$H$5+Parameter!$H$6+Parameter!$H$7))-(AX1312-AS1312))/AS1312)))</f>
        <v>1</v>
      </c>
      <c r="AZ1312" s="50" t="n">
        <f aca="false">IF(LEFT(Cockpit!$O$5,1)="A",H1312,IF(Parameter!$E$30="MAX-Bestand",IF(CH1312=1,CI1312,IF(LEFT(Cockpit!$O$5,1)="B",BF1312,MAX(BF1312,H1312))),ROUNDUP(BD1312,0)))</f>
        <v>1</v>
      </c>
      <c r="BA1312" s="50" t="n">
        <f aca="false">IF(BZ1312=1,0,ROUNDUP(AZ1312/BY1312,0))</f>
        <v>1</v>
      </c>
      <c r="BB1312" s="52" t="n">
        <f aca="false">IF(CQ1312&gt;0,CQ1312*MAX(1,AZ1312/X1312),IF(BZ1312=1,IF(AZ1312&lt;=0,0,CD1312*MAX(1,IF(H1312&gt;0,AZ1312/H1312,1))),IF(R1312&gt;0,BA1312/R1312,0))/MAX(0.1,N(Parameter!$M$21)))</f>
        <v>0.0833333333333333</v>
      </c>
      <c r="BC1312" s="50" t="n">
        <f aca="false">BB1312*CB1312</f>
        <v>12.0833333333333</v>
      </c>
      <c r="BD1312" s="51" t="n">
        <f aca="false">IF(LEFT(Cockpit!$O$5,1)="A",H1312,IF(CH1312=1,(CK1312+CI1312)/2,IF(LEFT(Cockpit!$O$5,1)="B",(CK1312+BF1312)/2,MAX((CK1312+BF1312)/2,H1312))))</f>
        <v>0.5</v>
      </c>
      <c r="BE1312" s="50" t="n">
        <f aca="false">BD1312*G1312</f>
        <v>32.5</v>
      </c>
      <c r="BF1312" s="50" t="n">
        <f aca="false">ROUNDUP(CK1312+MAX(CL1312,2*(J1312/IF(CG1312&gt;0,CG1312,MAX(0.1,N(Cockpit!$O$6)))-CK1312)),0)</f>
        <v>1</v>
      </c>
      <c r="BG1312" s="51" t="n">
        <f aca="false">IF(BC1312&gt;0,J1312/BC1312,-1)</f>
        <v>0</v>
      </c>
      <c r="BH1312" s="51" t="n">
        <f aca="false">IF(AND(OR(CF1312="L1",CF1312="L23",CF1312="LIFT"),BC1312&gt;0),SUMIFS($BC$7:$BC$1843,$CF$7:$CF$1843,CF1312,$BG$7:$BG$1843,"&gt;"&amp;BG1312)+SUMIFS($BC$7:$BC$1843,$CF$7:$CF$1843,CF1312,$BG$7:$BG$1843,BG1312,$BW$7:$BW$1843,"&lt;="&amp;BW1312),"")</f>
        <v>29655.9737846899</v>
      </c>
      <c r="BI1312" s="58" t="n">
        <f aca="false">IF(BH1312="",0,MAX(0,MIN(1,(IF(CF1312="L1",Parameter!$H$5,IF(CF1312="L23",Parameter!$H$6+Parameter!$H$7,Parameter!$H$5+Parameter!$H$6+Parameter!$H$7))-(BH1312-BC1312))/BC1312)))</f>
        <v>1</v>
      </c>
      <c r="BJ1312" s="48" t="str">
        <f aca="false">IF(AI1312&lt;=0,"",IF(CF1312="Aussen","Aussenlager",IF(CF1312="-","Nicht im Lift",IF(AO1312&gt;=1,"Lift",IF(AO1312&lt;=0,"Aussenlager","teilweise")))))</f>
        <v/>
      </c>
      <c r="BK1312" s="48" t="str">
        <f aca="false">IF(AS1312&lt;=0,"",IF(CF1312="Aussen","Aussenlager",IF(CF1312="-","Nicht im Lift",IF(AY1312&gt;=1,"Lift",IF(AY1312&lt;=0,"Aussenlager","teilweise")))))</f>
        <v>Lift</v>
      </c>
      <c r="BL1312" s="48" t="str">
        <f aca="false">IF(BC1312&lt;=0,"",IF(CF1312="Aussen","Aussenlager",IF(CF1312="-","Nicht im Lift",IF(BI1312&gt;=1,"Lift",IF(BI1312&lt;=0,"Aussenlager","teilweise")))))</f>
        <v>Lift</v>
      </c>
      <c r="BM1312" s="48" t="str">
        <f aca="false">IF(A1312="","",IF(BV1312=1,"Neu; ","")&amp;IF(AND(BV1312=0,BQ1312&lt;0),"negativer Bestand (Export "&amp;BQ1312&amp;"); ","")&amp;IF(J1312&lt;=0,"Kein Verbrauch; ","")&amp;IF(CQ1312&gt;0,"Lift "&amp;W1312&amp;" lt. Liftbericht (Fach "&amp;X1312&amp;" Stk); ",IF(CA1312=1,"Gebinde geschätzt ("&amp;T1312&amp;"); ",IF(BZ1312=1,"Lose – Tablare geschätzt; ","")))&amp;IF(H1312&gt;AV1312,"Überbestand "&amp;ROUND(H1312-AV1312,0)&amp;" Stk / CHF "&amp;ROUND((H1312-AV1312)*G1312,0)&amp;"; ","")&amp;IF(AND(CH1312=1,CI1312&lt;CJ1312),"MAX &lt; MB+LG; ","")&amp;IF(AND(CP1312&gt;0,CO1312*10&gt;CP1312),"zu hoch für Tablar; ","")&amp;IF(AND(BV1312=0,OR(CH1312=1,AA1312&lt;&gt;"",U1312&lt;&gt;"",V1312&lt;&gt;"",AB1312&lt;&gt;"")),"manuell übersteuert; ","")&amp;IF(AND(BZ1312=0,R1312=0),"Gebinde unbekannt / Stellmass fehlt; ","")&amp;IF(AND(BZ1312=0,N(V1312)&lt;=0,N(Q1312)&lt;=0),"Menge pro Gebinde fehlt (Ist = 1 Gebinde); ","")&amp;BU1312)</f>
        <v>negativer Bestand (Export -20); Kein Verbrauch; Gebinde geschätzt (Mittel); Menge pro Gebinde fehlt (Ist = 1 Gebinde); </v>
      </c>
      <c r="BN1312" s="48"/>
      <c r="BO1312" s="48"/>
      <c r="BP1312" s="55"/>
      <c r="BQ1312" s="50" t="n">
        <v>-20</v>
      </c>
      <c r="BR1312" s="50" t="n">
        <v>20</v>
      </c>
      <c r="BS1312" s="49" t="n">
        <v>-1300</v>
      </c>
      <c r="BT1312" s="50" t="n">
        <v>0</v>
      </c>
      <c r="BU1312" s="48"/>
      <c r="BV1312" s="53" t="n">
        <v>0</v>
      </c>
      <c r="BW1312" s="53" t="n">
        <v>1312</v>
      </c>
      <c r="BX1312" s="48" t="str">
        <f aca="false">IF(U1312&lt;&gt;"",UPPER(TRIM(U1312)),IF(CA1312=1,UPPER(VLOOKUP(T1312,Parameter!$I$27:$K$29,2,0)),IF(P1312="","LOSE",P1312)))</f>
        <v>S61</v>
      </c>
      <c r="BY1312" s="50" t="n">
        <f aca="false">IF(BX1312="LOSE",1,IF(N(V1312)&gt;0,V1312,IF(CA1312=1,MAX(1,N(VLOOKUP(T1312,Parameter!$I$27:$K$29,3,0)),H1312,N(N1312)),IF(N(Q1312)&gt;0,Q1312,MAX(1,H1312)))))</f>
        <v>4</v>
      </c>
      <c r="BZ1312" s="53" t="n">
        <f aca="false">IF(BX1312="LOSE",1,0)</f>
        <v>0</v>
      </c>
      <c r="CA1312" s="53" t="n">
        <f aca="false">IF(AND(U1312="",OR(P1312="",P1312="LOSE"),T1312&lt;&gt;"",N(S1312)&lt;=0,ISNUMBER(MATCH(T1312,Parameter!$I$27:$I$29,0))),1,0)</f>
        <v>1</v>
      </c>
      <c r="CB1312" s="53" t="n">
        <f aca="false">IF(CQ1312&gt;0,INDEX(Parameter!$H$5:$H$7,W1312)/INDEX(Parameter!$E$5:$E$7,W1312),IF(AND(BZ1312=0,N(IFERROR(VLOOKUP(BX1312,'Gebinde-Kategorie'!$A$5:$N$45,14,0),0))&gt;0),VLOOKUP(BX1312,'Gebinde-Kategorie'!$A$5:$N$45,14,0)*10+Parameter!$M$23,Parameter!$M$24))</f>
        <v>145</v>
      </c>
      <c r="CC1312" s="48" t="str">
        <f aca="false">IF(AND(Parameter!$B$19="Ja",E1312&lt;&gt;"",ISNUMBER(MATCH(E1312,Parameter!$I$35:$I$52,0))),VLOOKUP(E1312,Parameter!$I$35:$J$52,2,0),IFERROR(VLOOKUP(D1312,Parameter!$A$35:$C$64,2,0),"Nein"))</f>
        <v>2+3</v>
      </c>
      <c r="CD1312" s="52" t="n">
        <f aca="false">IF(BZ1312=0,0,IF(N(S1312)&gt;0,S1312,IFERROR(VLOOKUP(D1312,Parameter!$A$35:$C$64,3,0)+0,0)))</f>
        <v>0</v>
      </c>
      <c r="CE1312" s="48" t="n">
        <f aca="false">IF(AA1312&lt;&gt;"",AA1312,Z1312)</f>
        <v>2</v>
      </c>
      <c r="CF1312" s="48" t="str">
        <f aca="false">IF(OR(CE1312=1,CE1312=2,CE1312=3),IF(Parameter!$E$27="Ja","LIFT",IF(CE1312=1,"L1","L23")),IF(CE1312="Aussen","Aussen","-"))</f>
        <v>LIFT</v>
      </c>
      <c r="CG1312" s="59" t="n">
        <f aca="false">IF(N(AB1312)&gt;0,AB1312,0)</f>
        <v>0</v>
      </c>
      <c r="CH1312" s="53" t="n">
        <f aca="false">IF(ISNUMBER(AE1312),1,0)</f>
        <v>0</v>
      </c>
      <c r="CI1312" s="50" t="n">
        <f aca="false">N(AE1312)</f>
        <v>0</v>
      </c>
      <c r="CJ1312" s="50" t="n">
        <f aca="false">N(M1312)+N(N1312)</f>
        <v>1</v>
      </c>
      <c r="CK1312" s="50" t="n">
        <f aca="false">N(M1312)</f>
        <v>0</v>
      </c>
      <c r="CL1312" s="50" t="n">
        <f aca="false">N(N1312)</f>
        <v>1</v>
      </c>
      <c r="CM1312" s="50" t="n">
        <f aca="false">ROUNDUP(H1312/BY1312,0)</f>
        <v>0</v>
      </c>
      <c r="CN1312" s="50" t="n">
        <f aca="false">ROUNDUP(CI1312/BY1312,0)</f>
        <v>0</v>
      </c>
      <c r="CO1312" s="53" t="n">
        <f aca="false">IF(BZ1312=1,0,IFERROR(VLOOKUP(BX1312,'Gebinde-Kategorie'!$A$5:$N$45,5,0)+0,0))</f>
        <v>11</v>
      </c>
      <c r="CP1312" s="53" t="n">
        <f aca="false">IFERROR(IF(OR(CE1312=1,CE1312=2,CE1312=3),N(INDEX(Parameter!$I$5:$I$7,CE1312)),0),0)</f>
        <v>0</v>
      </c>
      <c r="CQ1312" s="52" t="n">
        <f aca="false">IF(AND(Parameter!$B$21="Ja",ISNUMBER(W1312),N(X1312)&gt;0),IFERROR(N(INDEX(Parameter!$L$5:$L$7,W1312))*INDEX(Parameter!$E$5:$E$7,W1312)*X1312/SUMIFS($X$7:$X$1843,$W$7:$W$1843,W1312),0),0)</f>
        <v>0</v>
      </c>
    </row>
    <row r="1313" customFormat="false" ht="15" hidden="false" customHeight="false" outlineLevel="0" collapsed="false">
      <c r="A1313" s="48" t="s">
        <v>2339</v>
      </c>
      <c r="B1313" s="48" t="s">
        <v>2340</v>
      </c>
      <c r="C1313" s="48" t="s">
        <v>173</v>
      </c>
      <c r="D1313" s="48" t="s">
        <v>362</v>
      </c>
      <c r="E1313" s="48"/>
      <c r="F1313" s="48" t="s">
        <v>227</v>
      </c>
      <c r="G1313" s="49" t="n">
        <v>1309.41</v>
      </c>
      <c r="H1313" s="50" t="n">
        <f aca="false">MAX(0,IF(AND(Parameter!$B$21="Ja",ISNUMBER(Y1313)),Y1313,IF(Parameter!$B$20="Jahresanfang 2025 + Export",BR1313+BQ1313,BQ1313)))</f>
        <v>0</v>
      </c>
      <c r="I1313" s="50" t="n">
        <f aca="false">H1313*G1313</f>
        <v>0</v>
      </c>
      <c r="J1313" s="50" t="n">
        <f aca="false">BT1313*Parameter!$B$18</f>
        <v>0</v>
      </c>
      <c r="K1313" s="51" t="n">
        <v>0.5</v>
      </c>
      <c r="L1313" s="52" t="n">
        <v>0</v>
      </c>
      <c r="M1313" s="50" t="n">
        <v>0</v>
      </c>
      <c r="N1313" s="50" t="n">
        <v>1</v>
      </c>
      <c r="O1313" s="53" t="n">
        <v>77</v>
      </c>
      <c r="P1313" s="48" t="s">
        <v>177</v>
      </c>
      <c r="Q1313" s="50"/>
      <c r="R1313" s="53" t="n">
        <f aca="false">IF(BZ1313=1,0,IFERROR(VLOOKUP(BX1313,'Gebinde-Kategorie'!$A$5:$N$45,13,0)+0,0))</f>
        <v>0</v>
      </c>
      <c r="S1313" s="54"/>
      <c r="T1313" s="55"/>
      <c r="U1313" s="55"/>
      <c r="V1313" s="55"/>
      <c r="W1313" s="48"/>
      <c r="X1313" s="50"/>
      <c r="Y1313" s="50"/>
      <c r="Z1313" s="48" t="str">
        <f aca="false">IF(A1313="","",IF(AND(Parameter!$B$21="Ja",ISNUMBER(W1313)),W1313,IF(CC1313="2+3",IF(ISNUMBER(SEARCH("grosser Artikel",BU1313)),2,IFERROR(VLOOKUP(BX1313,Parameter!$F$35:$G$64,2,0),2)),IF(OR(CC1313="Nein",CC1313=""),"-",CC1313))))</f>
        <v>-</v>
      </c>
      <c r="AA1313" s="55"/>
      <c r="AB1313" s="56"/>
      <c r="AC1313" s="50" t="n">
        <f aca="false">AV1313</f>
        <v>1</v>
      </c>
      <c r="AD1313" s="50" t="n">
        <f aca="false">MAX(AV1313,H1313)</f>
        <v>1</v>
      </c>
      <c r="AE1313" s="57"/>
      <c r="AF1313" s="50" t="n">
        <f aca="false">IF(LEFT(Cockpit!$C$5,1)="A",H1313,IF(Parameter!$E$30="MAX-Bestand",IF(CH1313=1,CI1313,IF(LEFT(Cockpit!$C$5,1)="B",AL1313,MAX(AL1313,H1313))),ROUNDUP(AJ1313,0)))</f>
        <v>0</v>
      </c>
      <c r="AG1313" s="50" t="n">
        <f aca="false">IF(BZ1313=1,0,ROUNDUP(AF1313/BY1313,0))</f>
        <v>0</v>
      </c>
      <c r="AH1313" s="52" t="n">
        <f aca="false">IF(CQ1313&gt;0,CQ1313*MAX(1,AF1313/X1313),IF(BZ1313=1,IF(AF1313&lt;=0,0,CD1313*MAX(1,IF(H1313&gt;0,AF1313/H1313,1))),IF(R1313&gt;0,AG1313/R1313,0))/MAX(0.1,N(Parameter!$M$21)))</f>
        <v>0</v>
      </c>
      <c r="AI1313" s="50" t="n">
        <f aca="false">AH1313*CB1313</f>
        <v>0</v>
      </c>
      <c r="AJ1313" s="51" t="n">
        <f aca="false">IF(LEFT(Cockpit!$C$5,1)="A",H1313,IF(CH1313=1,(CK1313+CI1313)/2,IF(LEFT(Cockpit!$C$5,1)="B",(CK1313+AL1313)/2,MAX((CK1313+AL1313)/2,H1313))))</f>
        <v>0</v>
      </c>
      <c r="AK1313" s="50" t="n">
        <f aca="false">AJ1313*G1313</f>
        <v>0</v>
      </c>
      <c r="AL1313" s="50" t="n">
        <f aca="false">ROUNDUP(CK1313+MAX(CL1313,2*(J1313/IF(CG1313&gt;0,CG1313,MAX(0.1,N(Cockpit!$C$6)))-CK1313)),0)</f>
        <v>1</v>
      </c>
      <c r="AM1313" s="51" t="n">
        <f aca="false">IF(AI1313&gt;0,J1313/AI1313,-1)</f>
        <v>-1</v>
      </c>
      <c r="AN1313" s="51" t="str">
        <f aca="false">IF(AND(OR(CF1313="L1",CF1313="L23",CF1313="LIFT"),AI1313&gt;0),SUMIFS($AI$7:$AI$1843,$CF$7:$CF$1843,CF1313,$AM$7:$AM$1843,"&gt;"&amp;AM1313)+SUMIFS($AI$7:$AI$1843,$CF$7:$CF$1843,CF1313,$AM$7:$AM$1843,AM1313,$BW$7:$BW$1843,"&lt;="&amp;BW1313),"")</f>
        <v/>
      </c>
      <c r="AO1313" s="58" t="n">
        <f aca="false">IF(AN1313="",0,MAX(0,MIN(1,(IF(CF1313="L1",Parameter!$H$5,IF(CF1313="L23",Parameter!$H$6+Parameter!$H$7,Parameter!$H$5+Parameter!$H$6+Parameter!$H$7))-(AN1313-AI1313))/AI1313)))</f>
        <v>0</v>
      </c>
      <c r="AP1313" s="50" t="n">
        <f aca="false">IF(LEFT(Cockpit!$I$5,1)="A",H1313,IF(Parameter!$E$30="MAX-Bestand",IF(CH1313=1,CI1313,IF(LEFT(Cockpit!$I$5,1)="B",AV1313,MAX(AV1313,H1313))),ROUNDUP(AT1313,0)))</f>
        <v>1</v>
      </c>
      <c r="AQ1313" s="50" t="n">
        <f aca="false">IF(BZ1313=1,0,ROUNDUP(AP1313/BY1313,0))</f>
        <v>0</v>
      </c>
      <c r="AR1313" s="52" t="n">
        <f aca="false">IF(CQ1313&gt;0,CQ1313*MAX(1,AP1313/X1313),IF(BZ1313=1,IF(AP1313&lt;=0,0,CD1313*MAX(1,IF(H1313&gt;0,AP1313/H1313,1))),IF(R1313&gt;0,AQ1313/R1313,0))/MAX(0.1,N(Parameter!$M$21)))</f>
        <v>0.15</v>
      </c>
      <c r="AS1313" s="50" t="n">
        <f aca="false">AR1313*CB1313</f>
        <v>35.25</v>
      </c>
      <c r="AT1313" s="51" t="n">
        <f aca="false">IF(LEFT(Cockpit!$I$5,1)="A",H1313,IF(CH1313=1,(CK1313+CI1313)/2,IF(LEFT(Cockpit!$I$5,1)="B",(CK1313+AV1313)/2,MAX((CK1313+AV1313)/2,H1313))))</f>
        <v>0.5</v>
      </c>
      <c r="AU1313" s="50" t="n">
        <f aca="false">AT1313*G1313</f>
        <v>654.705</v>
      </c>
      <c r="AV1313" s="50" t="n">
        <f aca="false">ROUNDUP(CK1313+MAX(CL1313,2*(J1313/IF(CG1313&gt;0,CG1313,MAX(0.1,N(Cockpit!$I$6)))-CK1313)),0)</f>
        <v>1</v>
      </c>
      <c r="AW1313" s="51" t="n">
        <f aca="false">IF(AS1313&gt;0,J1313/AS1313,-1)</f>
        <v>0</v>
      </c>
      <c r="AX1313" s="51" t="str">
        <f aca="false">IF(AND(OR(CF1313="L1",CF1313="L23",CF1313="LIFT"),AS1313&gt;0),SUMIFS($AS$7:$AS$1843,$CF$7:$CF$1843,CF1313,$AW$7:$AW$1843,"&gt;"&amp;AW1313)+SUMIFS($AS$7:$AS$1843,$CF$7:$CF$1843,CF1313,$AW$7:$AW$1843,AW1313,$BW$7:$BW$1843,"&lt;="&amp;BW1313),"")</f>
        <v/>
      </c>
      <c r="AY1313" s="58" t="n">
        <f aca="false">IF(AX1313="",0,MAX(0,MIN(1,(IF(CF1313="L1",Parameter!$H$5,IF(CF1313="L23",Parameter!$H$6+Parameter!$H$7,Parameter!$H$5+Parameter!$H$6+Parameter!$H$7))-(AX1313-AS1313))/AS1313)))</f>
        <v>0</v>
      </c>
      <c r="AZ1313" s="50" t="n">
        <f aca="false">IF(LEFT(Cockpit!$O$5,1)="A",H1313,IF(Parameter!$E$30="MAX-Bestand",IF(CH1313=1,CI1313,IF(LEFT(Cockpit!$O$5,1)="B",BF1313,MAX(BF1313,H1313))),ROUNDUP(BD1313,0)))</f>
        <v>1</v>
      </c>
      <c r="BA1313" s="50" t="n">
        <f aca="false">IF(BZ1313=1,0,ROUNDUP(AZ1313/BY1313,0))</f>
        <v>0</v>
      </c>
      <c r="BB1313" s="52" t="n">
        <f aca="false">IF(CQ1313&gt;0,CQ1313*MAX(1,AZ1313/X1313),IF(BZ1313=1,IF(AZ1313&lt;=0,0,CD1313*MAX(1,IF(H1313&gt;0,AZ1313/H1313,1))),IF(R1313&gt;0,BA1313/R1313,0))/MAX(0.1,N(Parameter!$M$21)))</f>
        <v>0.15</v>
      </c>
      <c r="BC1313" s="50" t="n">
        <f aca="false">BB1313*CB1313</f>
        <v>35.25</v>
      </c>
      <c r="BD1313" s="51" t="n">
        <f aca="false">IF(LEFT(Cockpit!$O$5,1)="A",H1313,IF(CH1313=1,(CK1313+CI1313)/2,IF(LEFT(Cockpit!$O$5,1)="B",(CK1313+BF1313)/2,MAX((CK1313+BF1313)/2,H1313))))</f>
        <v>0.5</v>
      </c>
      <c r="BE1313" s="50" t="n">
        <f aca="false">BD1313*G1313</f>
        <v>654.705</v>
      </c>
      <c r="BF1313" s="50" t="n">
        <f aca="false">ROUNDUP(CK1313+MAX(CL1313,2*(J1313/IF(CG1313&gt;0,CG1313,MAX(0.1,N(Cockpit!$O$6)))-CK1313)),0)</f>
        <v>1</v>
      </c>
      <c r="BG1313" s="51" t="n">
        <f aca="false">IF(BC1313&gt;0,J1313/BC1313,-1)</f>
        <v>0</v>
      </c>
      <c r="BH1313" s="51" t="str">
        <f aca="false">IF(AND(OR(CF1313="L1",CF1313="L23",CF1313="LIFT"),BC1313&gt;0),SUMIFS($BC$7:$BC$1843,$CF$7:$CF$1843,CF1313,$BG$7:$BG$1843,"&gt;"&amp;BG1313)+SUMIFS($BC$7:$BC$1843,$CF$7:$CF$1843,CF1313,$BG$7:$BG$1843,BG1313,$BW$7:$BW$1843,"&lt;="&amp;BW1313),"")</f>
        <v/>
      </c>
      <c r="BI1313" s="58" t="n">
        <f aca="false">IF(BH1313="",0,MAX(0,MIN(1,(IF(CF1313="L1",Parameter!$H$5,IF(CF1313="L23",Parameter!$H$6+Parameter!$H$7,Parameter!$H$5+Parameter!$H$6+Parameter!$H$7))-(BH1313-BC1313))/BC1313)))</f>
        <v>0</v>
      </c>
      <c r="BJ1313" s="48" t="str">
        <f aca="false">IF(AI1313&lt;=0,"",IF(CF1313="Aussen","Aussenlager",IF(CF1313="-","Nicht im Lift",IF(AO1313&gt;=1,"Lift",IF(AO1313&lt;=0,"Aussenlager","teilweise")))))</f>
        <v/>
      </c>
      <c r="BK1313" s="48" t="str">
        <f aca="false">IF(AS1313&lt;=0,"",IF(CF1313="Aussen","Aussenlager",IF(CF1313="-","Nicht im Lift",IF(AY1313&gt;=1,"Lift",IF(AY1313&lt;=0,"Aussenlager","teilweise")))))</f>
        <v>Nicht im Lift</v>
      </c>
      <c r="BL1313" s="48" t="str">
        <f aca="false">IF(BC1313&lt;=0,"",IF(CF1313="Aussen","Aussenlager",IF(CF1313="-","Nicht im Lift",IF(BI1313&gt;=1,"Lift",IF(BI1313&lt;=0,"Aussenlager","teilweise")))))</f>
        <v>Nicht im Lift</v>
      </c>
      <c r="BM1313" s="48" t="str">
        <f aca="false">IF(A1313="","",IF(BV1313=1,"Neu; ","")&amp;IF(AND(BV1313=0,BQ1313&lt;0),"negativer Bestand (Export "&amp;BQ1313&amp;"); ","")&amp;IF(J1313&lt;=0,"Kein Verbrauch; ","")&amp;IF(CQ1313&gt;0,"Lift "&amp;W1313&amp;" lt. Liftbericht (Fach "&amp;X1313&amp;" Stk); ",IF(CA1313=1,"Gebinde geschätzt ("&amp;T1313&amp;"); ",IF(BZ1313=1,"Lose – Tablare geschätzt; ","")))&amp;IF(H1313&gt;AV1313,"Überbestand "&amp;ROUND(H1313-AV1313,0)&amp;" Stk / CHF "&amp;ROUND((H1313-AV1313)*G1313,0)&amp;"; ","")&amp;IF(AND(CH1313=1,CI1313&lt;CJ1313),"MAX &lt; MB+LG; ","")&amp;IF(AND(CP1313&gt;0,CO1313*10&gt;CP1313),"zu hoch für Tablar; ","")&amp;IF(AND(BV1313=0,OR(CH1313=1,AA1313&lt;&gt;"",U1313&lt;&gt;"",V1313&lt;&gt;"",AB1313&lt;&gt;"")),"manuell übersteuert; ","")&amp;IF(AND(BZ1313=0,R1313=0),"Gebinde unbekannt / Stellmass fehlt; ","")&amp;IF(AND(BZ1313=0,N(V1313)&lt;=0,N(Q1313)&lt;=0),"Menge pro Gebinde fehlt (Ist = 1 Gebinde); ","")&amp;BU1313)</f>
        <v>negativer Bestand (Export -1); Kein Verbrauch; Lose – Tablare geschätzt; </v>
      </c>
      <c r="BN1313" s="48"/>
      <c r="BO1313" s="48"/>
      <c r="BP1313" s="55"/>
      <c r="BQ1313" s="50" t="n">
        <v>-1</v>
      </c>
      <c r="BR1313" s="50" t="n">
        <v>1</v>
      </c>
      <c r="BS1313" s="49" t="n">
        <v>-1309.41</v>
      </c>
      <c r="BT1313" s="50" t="n">
        <v>0</v>
      </c>
      <c r="BU1313" s="48"/>
      <c r="BV1313" s="53" t="n">
        <v>0</v>
      </c>
      <c r="BW1313" s="53" t="n">
        <v>1313</v>
      </c>
      <c r="BX1313" s="48" t="str">
        <f aca="false">IF(U1313&lt;&gt;"",UPPER(TRIM(U1313)),IF(CA1313=1,UPPER(VLOOKUP(T1313,Parameter!$I$27:$K$29,2,0)),IF(P1313="","LOSE",P1313)))</f>
        <v>LOSE</v>
      </c>
      <c r="BY1313" s="50" t="n">
        <f aca="false">IF(BX1313="LOSE",1,IF(N(V1313)&gt;0,V1313,IF(CA1313=1,MAX(1,N(VLOOKUP(T1313,Parameter!$I$27:$K$29,3,0)),H1313,N(N1313)),IF(N(Q1313)&gt;0,Q1313,MAX(1,H1313)))))</f>
        <v>1</v>
      </c>
      <c r="BZ1313" s="53" t="n">
        <f aca="false">IF(BX1313="LOSE",1,0)</f>
        <v>1</v>
      </c>
      <c r="CA1313" s="53" t="n">
        <f aca="false">IF(AND(U1313="",OR(P1313="",P1313="LOSE"),T1313&lt;&gt;"",N(S1313)&lt;=0,ISNUMBER(MATCH(T1313,Parameter!$I$27:$I$29,0))),1,0)</f>
        <v>0</v>
      </c>
      <c r="CB1313" s="53" t="n">
        <f aca="false">IF(CQ1313&gt;0,INDEX(Parameter!$H$5:$H$7,W1313)/INDEX(Parameter!$E$5:$E$7,W1313),IF(AND(BZ1313=0,N(IFERROR(VLOOKUP(BX1313,'Gebinde-Kategorie'!$A$5:$N$45,14,0),0))&gt;0),VLOOKUP(BX1313,'Gebinde-Kategorie'!$A$5:$N$45,14,0)*10+Parameter!$M$23,Parameter!$M$24))</f>
        <v>235</v>
      </c>
      <c r="CC1313" s="48" t="str">
        <f aca="false">IF(AND(Parameter!$B$19="Ja",E1313&lt;&gt;"",ISNUMBER(MATCH(E1313,Parameter!$I$35:$I$52,0))),VLOOKUP(E1313,Parameter!$I$35:$J$52,2,0),IFERROR(VLOOKUP(D1313,Parameter!$A$35:$C$64,2,0),"Nein"))</f>
        <v>Nein</v>
      </c>
      <c r="CD1313" s="52" t="n">
        <f aca="false">IF(BZ1313=0,0,IF(N(S1313)&gt;0,S1313,IFERROR(VLOOKUP(D1313,Parameter!$A$35:$C$64,3,0)+0,0)))</f>
        <v>0.15</v>
      </c>
      <c r="CE1313" s="48" t="str">
        <f aca="false">IF(AA1313&lt;&gt;"",AA1313,Z1313)</f>
        <v>-</v>
      </c>
      <c r="CF1313" s="48" t="str">
        <f aca="false">IF(OR(CE1313=1,CE1313=2,CE1313=3),IF(Parameter!$E$27="Ja","LIFT",IF(CE1313=1,"L1","L23")),IF(CE1313="Aussen","Aussen","-"))</f>
        <v>-</v>
      </c>
      <c r="CG1313" s="59" t="n">
        <f aca="false">IF(N(AB1313)&gt;0,AB1313,0)</f>
        <v>0</v>
      </c>
      <c r="CH1313" s="53" t="n">
        <f aca="false">IF(ISNUMBER(AE1313),1,0)</f>
        <v>0</v>
      </c>
      <c r="CI1313" s="50" t="n">
        <f aca="false">N(AE1313)</f>
        <v>0</v>
      </c>
      <c r="CJ1313" s="50" t="n">
        <f aca="false">N(M1313)+N(N1313)</f>
        <v>1</v>
      </c>
      <c r="CK1313" s="50" t="n">
        <f aca="false">N(M1313)</f>
        <v>0</v>
      </c>
      <c r="CL1313" s="50" t="n">
        <f aca="false">N(N1313)</f>
        <v>1</v>
      </c>
      <c r="CM1313" s="50" t="n">
        <f aca="false">ROUNDUP(H1313/BY1313,0)</f>
        <v>0</v>
      </c>
      <c r="CN1313" s="50" t="n">
        <f aca="false">ROUNDUP(CI1313/BY1313,0)</f>
        <v>0</v>
      </c>
      <c r="CO1313" s="53" t="n">
        <f aca="false">IF(BZ1313=1,0,IFERROR(VLOOKUP(BX1313,'Gebinde-Kategorie'!$A$5:$N$45,5,0)+0,0))</f>
        <v>0</v>
      </c>
      <c r="CP1313" s="53" t="n">
        <f aca="false">IFERROR(IF(OR(CE1313=1,CE1313=2,CE1313=3),N(INDEX(Parameter!$I$5:$I$7,CE1313)),0),0)</f>
        <v>0</v>
      </c>
      <c r="CQ1313" s="52" t="n">
        <f aca="false">IF(AND(Parameter!$B$21="Ja",ISNUMBER(W1313),N(X1313)&gt;0),IFERROR(N(INDEX(Parameter!$L$5:$L$7,W1313))*INDEX(Parameter!$E$5:$E$7,W1313)*X1313/SUMIFS($X$7:$X$1843,$W$7:$W$1843,W1313),0),0)</f>
        <v>0</v>
      </c>
    </row>
    <row r="1314" customFormat="false" ht="15" hidden="false" customHeight="false" outlineLevel="0" collapsed="false">
      <c r="A1314" s="48" t="s">
        <v>2341</v>
      </c>
      <c r="B1314" s="48" t="s">
        <v>2342</v>
      </c>
      <c r="C1314" s="48" t="s">
        <v>173</v>
      </c>
      <c r="D1314" s="48" t="s">
        <v>193</v>
      </c>
      <c r="E1314" s="48"/>
      <c r="F1314" s="48" t="s">
        <v>227</v>
      </c>
      <c r="G1314" s="49" t="n">
        <v>1.9</v>
      </c>
      <c r="H1314" s="50" t="n">
        <f aca="false">MAX(0,IF(AND(Parameter!$B$21="Ja",ISNUMBER(Y1314)),Y1314,IF(Parameter!$B$20="Jahresanfang 2025 + Export",BR1314+BQ1314,BQ1314)))</f>
        <v>244</v>
      </c>
      <c r="I1314" s="50" t="n">
        <f aca="false">H1314*G1314</f>
        <v>463.6</v>
      </c>
      <c r="J1314" s="50" t="n">
        <f aca="false">BT1314*Parameter!$B$18</f>
        <v>320</v>
      </c>
      <c r="K1314" s="51" t="n">
        <v>708</v>
      </c>
      <c r="L1314" s="52" t="n">
        <v>0.451977401129944</v>
      </c>
      <c r="M1314" s="50" t="n">
        <v>49</v>
      </c>
      <c r="N1314" s="50" t="n">
        <v>320</v>
      </c>
      <c r="O1314" s="53" t="n">
        <v>56</v>
      </c>
      <c r="P1314" s="48" t="s">
        <v>337</v>
      </c>
      <c r="Q1314" s="50" t="n">
        <v>360</v>
      </c>
      <c r="R1314" s="53" t="n">
        <f aca="false">IF(BZ1314=1,0,IFERROR(VLOOKUP(BX1314,'Gebinde-Kategorie'!$A$5:$N$45,13,0)+0,0))</f>
        <v>52</v>
      </c>
      <c r="S1314" s="54"/>
      <c r="T1314" s="55"/>
      <c r="U1314" s="55"/>
      <c r="V1314" s="55"/>
      <c r="W1314" s="48"/>
      <c r="X1314" s="50"/>
      <c r="Y1314" s="50"/>
      <c r="Z1314" s="48" t="n">
        <f aca="false">IF(A1314="","",IF(AND(Parameter!$B$21="Ja",ISNUMBER(W1314)),W1314,IF(CC1314="2+3",IF(ISNUMBER(SEARCH("grosser Artikel",BU1314)),2,IFERROR(VLOOKUP(BX1314,Parameter!$F$35:$G$64,2,0),2)),IF(OR(CC1314="Nein",CC1314=""),"-",CC1314))))</f>
        <v>3</v>
      </c>
      <c r="AA1314" s="55"/>
      <c r="AB1314" s="56"/>
      <c r="AC1314" s="50" t="n">
        <f aca="false">AV1314</f>
        <v>369</v>
      </c>
      <c r="AD1314" s="50" t="n">
        <f aca="false">MAX(AV1314,H1314)</f>
        <v>369</v>
      </c>
      <c r="AE1314" s="57"/>
      <c r="AF1314" s="50" t="n">
        <f aca="false">IF(LEFT(Cockpit!$C$5,1)="A",H1314,IF(Parameter!$E$30="MAX-Bestand",IF(CH1314=1,CI1314,IF(LEFT(Cockpit!$C$5,1)="B",AL1314,MAX(AL1314,H1314))),ROUNDUP(AJ1314,0)))</f>
        <v>244</v>
      </c>
      <c r="AG1314" s="50" t="n">
        <f aca="false">IF(BZ1314=1,0,ROUNDUP(AF1314/BY1314,0))</f>
        <v>1</v>
      </c>
      <c r="AH1314" s="52" t="n">
        <f aca="false">IF(CQ1314&gt;0,CQ1314*MAX(1,AF1314/X1314),IF(BZ1314=1,IF(AF1314&lt;=0,0,CD1314*MAX(1,IF(H1314&gt;0,AF1314/H1314,1))),IF(R1314&gt;0,AG1314/R1314,0))/MAX(0.1,N(Parameter!$M$21)))</f>
        <v>0.0192307692307692</v>
      </c>
      <c r="AI1314" s="50" t="n">
        <f aca="false">AH1314*CB1314</f>
        <v>2.98076923076923</v>
      </c>
      <c r="AJ1314" s="51" t="n">
        <f aca="false">IF(LEFT(Cockpit!$C$5,1)="A",H1314,IF(CH1314=1,(CK1314+CI1314)/2,IF(LEFT(Cockpit!$C$5,1)="B",(CK1314+AL1314)/2,MAX((CK1314+AL1314)/2,H1314))))</f>
        <v>244</v>
      </c>
      <c r="AK1314" s="50" t="n">
        <f aca="false">AJ1314*G1314</f>
        <v>463.6</v>
      </c>
      <c r="AL1314" s="50" t="n">
        <f aca="false">ROUNDUP(CK1314+MAX(CL1314,2*(J1314/IF(CG1314&gt;0,CG1314,MAX(0.1,N(Cockpit!$C$6)))-CK1314)),0)</f>
        <v>369</v>
      </c>
      <c r="AM1314" s="51" t="n">
        <f aca="false">IF(AI1314&gt;0,J1314/AI1314,-1)</f>
        <v>107.354838709677</v>
      </c>
      <c r="AN1314" s="51" t="n">
        <f aca="false">IF(AND(OR(CF1314="L1",CF1314="L23",CF1314="LIFT"),AI1314&gt;0),SUMIFS($AI$7:$AI$1843,$CF$7:$CF$1843,CF1314,$AM$7:$AM$1843,"&gt;"&amp;AM1314)+SUMIFS($AI$7:$AI$1843,$CF$7:$CF$1843,CF1314,$AM$7:$AM$1843,AM1314,$BW$7:$BW$1843,"&lt;="&amp;BW1314),"")</f>
        <v>758.863553113553</v>
      </c>
      <c r="AO1314" s="58" t="n">
        <f aca="false">IF(AN1314="",0,MAX(0,MIN(1,(IF(CF1314="L1",Parameter!$H$5,IF(CF1314="L23",Parameter!$H$6+Parameter!$H$7,Parameter!$H$5+Parameter!$H$6+Parameter!$H$7))-(AN1314-AI1314))/AI1314)))</f>
        <v>1</v>
      </c>
      <c r="AP1314" s="50" t="n">
        <f aca="false">IF(LEFT(Cockpit!$I$5,1)="A",H1314,IF(Parameter!$E$30="MAX-Bestand",IF(CH1314=1,CI1314,IF(LEFT(Cockpit!$I$5,1)="B",AV1314,MAX(AV1314,H1314))),ROUNDUP(AT1314,0)))</f>
        <v>244</v>
      </c>
      <c r="AQ1314" s="50" t="n">
        <f aca="false">IF(BZ1314=1,0,ROUNDUP(AP1314/BY1314,0))</f>
        <v>1</v>
      </c>
      <c r="AR1314" s="52" t="n">
        <f aca="false">IF(CQ1314&gt;0,CQ1314*MAX(1,AP1314/X1314),IF(BZ1314=1,IF(AP1314&lt;=0,0,CD1314*MAX(1,IF(H1314&gt;0,AP1314/H1314,1))),IF(R1314&gt;0,AQ1314/R1314,0))/MAX(0.1,N(Parameter!$M$21)))</f>
        <v>0.0192307692307692</v>
      </c>
      <c r="AS1314" s="50" t="n">
        <f aca="false">AR1314*CB1314</f>
        <v>2.98076923076923</v>
      </c>
      <c r="AT1314" s="51" t="n">
        <f aca="false">IF(LEFT(Cockpit!$I$5,1)="A",H1314,IF(CH1314=1,(CK1314+CI1314)/2,IF(LEFT(Cockpit!$I$5,1)="B",(CK1314+AV1314)/2,MAX((CK1314+AV1314)/2,H1314))))</f>
        <v>244</v>
      </c>
      <c r="AU1314" s="50" t="n">
        <f aca="false">AT1314*G1314</f>
        <v>463.6</v>
      </c>
      <c r="AV1314" s="50" t="n">
        <f aca="false">ROUNDUP(CK1314+MAX(CL1314,2*(J1314/IF(CG1314&gt;0,CG1314,MAX(0.1,N(Cockpit!$I$6)))-CK1314)),0)</f>
        <v>369</v>
      </c>
      <c r="AW1314" s="51" t="n">
        <f aca="false">IF(AS1314&gt;0,J1314/AS1314,-1)</f>
        <v>107.354838709677</v>
      </c>
      <c r="AX1314" s="51" t="n">
        <f aca="false">IF(AND(OR(CF1314="L1",CF1314="L23",CF1314="LIFT"),AS1314&gt;0),SUMIFS($AS$7:$AS$1843,$CF$7:$CF$1843,CF1314,$AW$7:$AW$1843,"&gt;"&amp;AW1314)+SUMIFS($AS$7:$AS$1843,$CF$7:$CF$1843,CF1314,$AW$7:$AW$1843,AW1314,$BW$7:$BW$1843,"&lt;="&amp;BW1314),"")</f>
        <v>833.586538461539</v>
      </c>
      <c r="AY1314" s="58" t="n">
        <f aca="false">IF(AX1314="",0,MAX(0,MIN(1,(IF(CF1314="L1",Parameter!$H$5,IF(CF1314="L23",Parameter!$H$6+Parameter!$H$7,Parameter!$H$5+Parameter!$H$6+Parameter!$H$7))-(AX1314-AS1314))/AS1314)))</f>
        <v>1</v>
      </c>
      <c r="AZ1314" s="50" t="n">
        <f aca="false">IF(LEFT(Cockpit!$O$5,1)="A",H1314,IF(Parameter!$E$30="MAX-Bestand",IF(CH1314=1,CI1314,IF(LEFT(Cockpit!$O$5,1)="B",BF1314,MAX(BF1314,H1314))),ROUNDUP(BD1314,0)))</f>
        <v>209</v>
      </c>
      <c r="BA1314" s="50" t="n">
        <f aca="false">IF(BZ1314=1,0,ROUNDUP(AZ1314/BY1314,0))</f>
        <v>1</v>
      </c>
      <c r="BB1314" s="52" t="n">
        <f aca="false">IF(CQ1314&gt;0,CQ1314*MAX(1,AZ1314/X1314),IF(BZ1314=1,IF(AZ1314&lt;=0,0,CD1314*MAX(1,IF(H1314&gt;0,AZ1314/H1314,1))),IF(R1314&gt;0,BA1314/R1314,0))/MAX(0.1,N(Parameter!$M$21)))</f>
        <v>0.0192307692307692</v>
      </c>
      <c r="BC1314" s="50" t="n">
        <f aca="false">BB1314*CB1314</f>
        <v>2.98076923076923</v>
      </c>
      <c r="BD1314" s="51" t="n">
        <f aca="false">IF(LEFT(Cockpit!$O$5,1)="A",H1314,IF(CH1314=1,(CK1314+CI1314)/2,IF(LEFT(Cockpit!$O$5,1)="B",(CK1314+BF1314)/2,MAX((CK1314+BF1314)/2,H1314))))</f>
        <v>209</v>
      </c>
      <c r="BE1314" s="50" t="n">
        <f aca="false">BD1314*G1314</f>
        <v>397.1</v>
      </c>
      <c r="BF1314" s="50" t="n">
        <f aca="false">ROUNDUP(CK1314+MAX(CL1314,2*(J1314/IF(CG1314&gt;0,CG1314,MAX(0.1,N(Cockpit!$O$6)))-CK1314)),0)</f>
        <v>369</v>
      </c>
      <c r="BG1314" s="51" t="n">
        <f aca="false">IF(BC1314&gt;0,J1314/BC1314,-1)</f>
        <v>107.354838709677</v>
      </c>
      <c r="BH1314" s="51" t="n">
        <f aca="false">IF(AND(OR(CF1314="L1",CF1314="L23",CF1314="LIFT"),BC1314&gt;0),SUMIFS($BC$7:$BC$1843,$CF$7:$CF$1843,CF1314,$BG$7:$BG$1843,"&gt;"&amp;BG1314)+SUMIFS($BC$7:$BC$1843,$CF$7:$CF$1843,CF1314,$BG$7:$BG$1843,BG1314,$BW$7:$BW$1843,"&lt;="&amp;BW1314),"")</f>
        <v>886.93315018315</v>
      </c>
      <c r="BI1314" s="58" t="n">
        <f aca="false">IF(BH1314="",0,MAX(0,MIN(1,(IF(CF1314="L1",Parameter!$H$5,IF(CF1314="L23",Parameter!$H$6+Parameter!$H$7,Parameter!$H$5+Parameter!$H$6+Parameter!$H$7))-(BH1314-BC1314))/BC1314)))</f>
        <v>1</v>
      </c>
      <c r="BJ1314" s="48" t="str">
        <f aca="false">IF(AI1314&lt;=0,"",IF(CF1314="Aussen","Aussenlager",IF(CF1314="-","Nicht im Lift",IF(AO1314&gt;=1,"Lift",IF(AO1314&lt;=0,"Aussenlager","teilweise")))))</f>
        <v>Lift</v>
      </c>
      <c r="BK1314" s="48" t="str">
        <f aca="false">IF(AS1314&lt;=0,"",IF(CF1314="Aussen","Aussenlager",IF(CF1314="-","Nicht im Lift",IF(AY1314&gt;=1,"Lift",IF(AY1314&lt;=0,"Aussenlager","teilweise")))))</f>
        <v>Lift</v>
      </c>
      <c r="BL1314" s="48" t="str">
        <f aca="false">IF(BC1314&lt;=0,"",IF(CF1314="Aussen","Aussenlager",IF(CF1314="-","Nicht im Lift",IF(BI1314&gt;=1,"Lift",IF(BI1314&lt;=0,"Aussenlager","teilweise")))))</f>
        <v>Lift</v>
      </c>
      <c r="BM1314" s="48" t="str">
        <f aca="false">IF(A1314="","",IF(BV1314=1,"Neu; ","")&amp;IF(AND(BV1314=0,BQ1314&lt;0),"negativer Bestand (Export "&amp;BQ1314&amp;"); ","")&amp;IF(J1314&lt;=0,"Kein Verbrauch; ","")&amp;IF(CQ1314&gt;0,"Lift "&amp;W1314&amp;" lt. Liftbericht (Fach "&amp;X1314&amp;" Stk); ",IF(CA1314=1,"Gebinde geschätzt ("&amp;T1314&amp;"); ",IF(BZ1314=1,"Lose – Tablare geschätzt; ","")))&amp;IF(H1314&gt;AV1314,"Überbestand "&amp;ROUND(H1314-AV1314,0)&amp;" Stk / CHF "&amp;ROUND((H1314-AV1314)*G1314,0)&amp;"; ","")&amp;IF(AND(CH1314=1,CI1314&lt;CJ1314),"MAX &lt; MB+LG; ","")&amp;IF(AND(CP1314&gt;0,CO1314*10&gt;CP1314),"zu hoch für Tablar; ","")&amp;IF(AND(BV1314=0,OR(CH1314=1,AA1314&lt;&gt;"",U1314&lt;&gt;"",V1314&lt;&gt;"",AB1314&lt;&gt;"")),"manuell übersteuert; ","")&amp;IF(AND(BZ1314=0,R1314=0),"Gebinde unbekannt / Stellmass fehlt; ","")&amp;IF(AND(BZ1314=0,N(V1314)&lt;=0,N(Q1314)&lt;=0),"Menge pro Gebinde fehlt (Ist = 1 Gebinde); ","")&amp;BU1314)</f>
        <v>negativer Bestand (Export -695); </v>
      </c>
      <c r="BN1314" s="48"/>
      <c r="BO1314" s="48"/>
      <c r="BP1314" s="55"/>
      <c r="BQ1314" s="50" t="n">
        <v>-695</v>
      </c>
      <c r="BR1314" s="50" t="n">
        <v>939</v>
      </c>
      <c r="BS1314" s="49" t="n">
        <v>-1320.5</v>
      </c>
      <c r="BT1314" s="50" t="n">
        <v>320</v>
      </c>
      <c r="BU1314" s="48"/>
      <c r="BV1314" s="53" t="n">
        <v>0</v>
      </c>
      <c r="BW1314" s="53" t="n">
        <v>1314</v>
      </c>
      <c r="BX1314" s="48" t="str">
        <f aca="false">IF(U1314&lt;&gt;"",UPPER(TRIM(U1314)),IF(CA1314=1,UPPER(VLOOKUP(T1314,Parameter!$I$27:$K$29,2,0)),IF(P1314="","LOSE",P1314)))</f>
        <v>S41</v>
      </c>
      <c r="BY1314" s="50" t="n">
        <f aca="false">IF(BX1314="LOSE",1,IF(N(V1314)&gt;0,V1314,IF(CA1314=1,MAX(1,N(VLOOKUP(T1314,Parameter!$I$27:$K$29,3,0)),H1314,N(N1314)),IF(N(Q1314)&gt;0,Q1314,MAX(1,H1314)))))</f>
        <v>360</v>
      </c>
      <c r="BZ1314" s="53" t="n">
        <f aca="false">IF(BX1314="LOSE",1,0)</f>
        <v>0</v>
      </c>
      <c r="CA1314" s="53" t="n">
        <f aca="false">IF(AND(U1314="",OR(P1314="",P1314="LOSE"),T1314&lt;&gt;"",N(S1314)&lt;=0,ISNUMBER(MATCH(T1314,Parameter!$I$27:$I$29,0))),1,0)</f>
        <v>0</v>
      </c>
      <c r="CB1314" s="53" t="n">
        <f aca="false">IF(CQ1314&gt;0,INDEX(Parameter!$H$5:$H$7,W1314)/INDEX(Parameter!$E$5:$E$7,W1314),IF(AND(BZ1314=0,N(IFERROR(VLOOKUP(BX1314,'Gebinde-Kategorie'!$A$5:$N$45,14,0),0))&gt;0),VLOOKUP(BX1314,'Gebinde-Kategorie'!$A$5:$N$45,14,0)*10+Parameter!$M$23,Parameter!$M$24))</f>
        <v>155</v>
      </c>
      <c r="CC1314" s="48" t="str">
        <f aca="false">IF(AND(Parameter!$B$19="Ja",E1314&lt;&gt;"",ISNUMBER(MATCH(E1314,Parameter!$I$35:$I$52,0))),VLOOKUP(E1314,Parameter!$I$35:$J$52,2,0),IFERROR(VLOOKUP(D1314,Parameter!$A$35:$C$64,2,0),"Nein"))</f>
        <v>2+3</v>
      </c>
      <c r="CD1314" s="52" t="n">
        <f aca="false">IF(BZ1314=0,0,IF(N(S1314)&gt;0,S1314,IFERROR(VLOOKUP(D1314,Parameter!$A$35:$C$64,3,0)+0,0)))</f>
        <v>0</v>
      </c>
      <c r="CE1314" s="48" t="n">
        <f aca="false">IF(AA1314&lt;&gt;"",AA1314,Z1314)</f>
        <v>3</v>
      </c>
      <c r="CF1314" s="48" t="str">
        <f aca="false">IF(OR(CE1314=1,CE1314=2,CE1314=3),IF(Parameter!$E$27="Ja","LIFT",IF(CE1314=1,"L1","L23")),IF(CE1314="Aussen","Aussen","-"))</f>
        <v>LIFT</v>
      </c>
      <c r="CG1314" s="59" t="n">
        <f aca="false">IF(N(AB1314)&gt;0,AB1314,0)</f>
        <v>0</v>
      </c>
      <c r="CH1314" s="53" t="n">
        <f aca="false">IF(ISNUMBER(AE1314),1,0)</f>
        <v>0</v>
      </c>
      <c r="CI1314" s="50" t="n">
        <f aca="false">N(AE1314)</f>
        <v>0</v>
      </c>
      <c r="CJ1314" s="50" t="n">
        <f aca="false">N(M1314)+N(N1314)</f>
        <v>369</v>
      </c>
      <c r="CK1314" s="50" t="n">
        <f aca="false">N(M1314)</f>
        <v>49</v>
      </c>
      <c r="CL1314" s="50" t="n">
        <f aca="false">N(N1314)</f>
        <v>320</v>
      </c>
      <c r="CM1314" s="50" t="n">
        <f aca="false">ROUNDUP(H1314/BY1314,0)</f>
        <v>1</v>
      </c>
      <c r="CN1314" s="50" t="n">
        <f aca="false">ROUNDUP(CI1314/BY1314,0)</f>
        <v>0</v>
      </c>
      <c r="CO1314" s="53" t="n">
        <f aca="false">IF(BZ1314=1,0,IFERROR(VLOOKUP(BX1314,'Gebinde-Kategorie'!$A$5:$N$45,5,0)+0,0))</f>
        <v>11</v>
      </c>
      <c r="CP1314" s="53" t="n">
        <f aca="false">IFERROR(IF(OR(CE1314=1,CE1314=2,CE1314=3),N(INDEX(Parameter!$I$5:$I$7,CE1314)),0),0)</f>
        <v>0</v>
      </c>
      <c r="CQ1314" s="52" t="n">
        <f aca="false">IF(AND(Parameter!$B$21="Ja",ISNUMBER(W1314),N(X1314)&gt;0),IFERROR(N(INDEX(Parameter!$L$5:$L$7,W1314))*INDEX(Parameter!$E$5:$E$7,W1314)*X1314/SUMIFS($X$7:$X$1843,$W$7:$W$1843,W1314),0),0)</f>
        <v>0</v>
      </c>
    </row>
    <row r="1315" customFormat="false" ht="15" hidden="false" customHeight="false" outlineLevel="0" collapsed="false">
      <c r="A1315" s="48" t="s">
        <v>2343</v>
      </c>
      <c r="B1315" s="48" t="s">
        <v>2344</v>
      </c>
      <c r="C1315" s="48" t="s">
        <v>173</v>
      </c>
      <c r="D1315" s="48" t="s">
        <v>193</v>
      </c>
      <c r="E1315" s="48" t="s">
        <v>194</v>
      </c>
      <c r="F1315" s="48" t="s">
        <v>227</v>
      </c>
      <c r="G1315" s="49" t="n">
        <v>148.68</v>
      </c>
      <c r="H1315" s="50" t="n">
        <f aca="false">MAX(0,IF(AND(Parameter!$B$21="Ja",ISNUMBER(Y1315)),Y1315,IF(Parameter!$B$20="Jahresanfang 2025 + Export",BR1315+BQ1315,BQ1315)))</f>
        <v>12</v>
      </c>
      <c r="I1315" s="50" t="n">
        <f aca="false">H1315*G1315</f>
        <v>1784.16</v>
      </c>
      <c r="J1315" s="50" t="n">
        <f aca="false">BT1315*Parameter!$B$18</f>
        <v>33</v>
      </c>
      <c r="K1315" s="51" t="n">
        <v>20</v>
      </c>
      <c r="L1315" s="52" t="n">
        <v>1.65</v>
      </c>
      <c r="M1315" s="50" t="n">
        <v>2</v>
      </c>
      <c r="N1315" s="50" t="n">
        <v>25</v>
      </c>
      <c r="O1315" s="53" t="n">
        <v>30</v>
      </c>
      <c r="P1315" s="48" t="s">
        <v>485</v>
      </c>
      <c r="Q1315" s="50" t="n">
        <v>37</v>
      </c>
      <c r="R1315" s="53" t="n">
        <f aca="false">IF(BZ1315=1,0,IFERROR(VLOOKUP(BX1315,'Gebinde-Kategorie'!$A$5:$N$45,13,0)+0,0))</f>
        <v>52</v>
      </c>
      <c r="S1315" s="54"/>
      <c r="T1315" s="55"/>
      <c r="U1315" s="55"/>
      <c r="V1315" s="55"/>
      <c r="W1315" s="48"/>
      <c r="X1315" s="50"/>
      <c r="Y1315" s="50"/>
      <c r="Z1315" s="48" t="n">
        <f aca="false">IF(A1315="","",IF(AND(Parameter!$B$21="Ja",ISNUMBER(W1315)),W1315,IF(CC1315="2+3",IF(ISNUMBER(SEARCH("grosser Artikel",BU1315)),2,IFERROR(VLOOKUP(BX1315,Parameter!$F$35:$G$64,2,0),2)),IF(OR(CC1315="Nein",CC1315=""),"-",CC1315))))</f>
        <v>3</v>
      </c>
      <c r="AA1315" s="55"/>
      <c r="AB1315" s="56"/>
      <c r="AC1315" s="50" t="n">
        <f aca="false">AV1315</f>
        <v>27</v>
      </c>
      <c r="AD1315" s="50" t="n">
        <f aca="false">MAX(AV1315,H1315)</f>
        <v>27</v>
      </c>
      <c r="AE1315" s="57"/>
      <c r="AF1315" s="50" t="n">
        <f aca="false">IF(LEFT(Cockpit!$C$5,1)="A",H1315,IF(Parameter!$E$30="MAX-Bestand",IF(CH1315=1,CI1315,IF(LEFT(Cockpit!$C$5,1)="B",AL1315,MAX(AL1315,H1315))),ROUNDUP(AJ1315,0)))</f>
        <v>12</v>
      </c>
      <c r="AG1315" s="50" t="n">
        <f aca="false">IF(BZ1315=1,0,ROUNDUP(AF1315/BY1315,0))</f>
        <v>1</v>
      </c>
      <c r="AH1315" s="52" t="n">
        <f aca="false">IF(CQ1315&gt;0,CQ1315*MAX(1,AF1315/X1315),IF(BZ1315=1,IF(AF1315&lt;=0,0,CD1315*MAX(1,IF(H1315&gt;0,AF1315/H1315,1))),IF(R1315&gt;0,AG1315/R1315,0))/MAX(0.1,N(Parameter!$M$21)))</f>
        <v>0.0192307692307692</v>
      </c>
      <c r="AI1315" s="50" t="n">
        <f aca="false">AH1315*CB1315</f>
        <v>2.98076923076923</v>
      </c>
      <c r="AJ1315" s="51" t="n">
        <f aca="false">IF(LEFT(Cockpit!$C$5,1)="A",H1315,IF(CH1315=1,(CK1315+CI1315)/2,IF(LEFT(Cockpit!$C$5,1)="B",(CK1315+AL1315)/2,MAX((CK1315+AL1315)/2,H1315))))</f>
        <v>12</v>
      </c>
      <c r="AK1315" s="50" t="n">
        <f aca="false">AJ1315*G1315</f>
        <v>1784.16</v>
      </c>
      <c r="AL1315" s="50" t="n">
        <f aca="false">ROUNDUP(CK1315+MAX(CL1315,2*(J1315/IF(CG1315&gt;0,CG1315,MAX(0.1,N(Cockpit!$C$6)))-CK1315)),0)</f>
        <v>27</v>
      </c>
      <c r="AM1315" s="51" t="n">
        <f aca="false">IF(AI1315&gt;0,J1315/AI1315,-1)</f>
        <v>11.0709677419355</v>
      </c>
      <c r="AN1315" s="51" t="n">
        <f aca="false">IF(AND(OR(CF1315="L1",CF1315="L23",CF1315="LIFT"),AI1315&gt;0),SUMIFS($AI$7:$AI$1843,$CF$7:$CF$1843,CF1315,$AM$7:$AM$1843,"&gt;"&amp;AM1315)+SUMIFS($AI$7:$AI$1843,$CF$7:$CF$1843,CF1315,$AM$7:$AM$1843,AM1315,$BW$7:$BW$1843,"&lt;="&amp;BW1315),"")</f>
        <v>2576.79578754579</v>
      </c>
      <c r="AO1315" s="58" t="n">
        <f aca="false">IF(AN1315="",0,MAX(0,MIN(1,(IF(CF1315="L1",Parameter!$H$5,IF(CF1315="L23",Parameter!$H$6+Parameter!$H$7,Parameter!$H$5+Parameter!$H$6+Parameter!$H$7))-(AN1315-AI1315))/AI1315)))</f>
        <v>1</v>
      </c>
      <c r="AP1315" s="50" t="n">
        <f aca="false">IF(LEFT(Cockpit!$I$5,1)="A",H1315,IF(Parameter!$E$30="MAX-Bestand",IF(CH1315=1,CI1315,IF(LEFT(Cockpit!$I$5,1)="B",AV1315,MAX(AV1315,H1315))),ROUNDUP(AT1315,0)))</f>
        <v>15</v>
      </c>
      <c r="AQ1315" s="50" t="n">
        <f aca="false">IF(BZ1315=1,0,ROUNDUP(AP1315/BY1315,0))</f>
        <v>1</v>
      </c>
      <c r="AR1315" s="52" t="n">
        <f aca="false">IF(CQ1315&gt;0,CQ1315*MAX(1,AP1315/X1315),IF(BZ1315=1,IF(AP1315&lt;=0,0,CD1315*MAX(1,IF(H1315&gt;0,AP1315/H1315,1))),IF(R1315&gt;0,AQ1315/R1315,0))/MAX(0.1,N(Parameter!$M$21)))</f>
        <v>0.0192307692307692</v>
      </c>
      <c r="AS1315" s="50" t="n">
        <f aca="false">AR1315*CB1315</f>
        <v>2.98076923076923</v>
      </c>
      <c r="AT1315" s="51" t="n">
        <f aca="false">IF(LEFT(Cockpit!$I$5,1)="A",H1315,IF(CH1315=1,(CK1315+CI1315)/2,IF(LEFT(Cockpit!$I$5,1)="B",(CK1315+AV1315)/2,MAX((CK1315+AV1315)/2,H1315))))</f>
        <v>14.5</v>
      </c>
      <c r="AU1315" s="50" t="n">
        <f aca="false">AT1315*G1315</f>
        <v>2155.86</v>
      </c>
      <c r="AV1315" s="50" t="n">
        <f aca="false">ROUNDUP(CK1315+MAX(CL1315,2*(J1315/IF(CG1315&gt;0,CG1315,MAX(0.1,N(Cockpit!$I$6)))-CK1315)),0)</f>
        <v>27</v>
      </c>
      <c r="AW1315" s="51" t="n">
        <f aca="false">IF(AS1315&gt;0,J1315/AS1315,-1)</f>
        <v>11.0709677419355</v>
      </c>
      <c r="AX1315" s="51" t="n">
        <f aca="false">IF(AND(OR(CF1315="L1",CF1315="L23",CF1315="LIFT"),AS1315&gt;0),SUMIFS($AS$7:$AS$1843,$CF$7:$CF$1843,CF1315,$AW$7:$AW$1843,"&gt;"&amp;AW1315)+SUMIFS($AS$7:$AS$1843,$CF$7:$CF$1843,CF1315,$AW$7:$AW$1843,AW1315,$BW$7:$BW$1843,"&lt;="&amp;BW1315),"")</f>
        <v>3172.93772893773</v>
      </c>
      <c r="AY1315" s="58" t="n">
        <f aca="false">IF(AX1315="",0,MAX(0,MIN(1,(IF(CF1315="L1",Parameter!$H$5,IF(CF1315="L23",Parameter!$H$6+Parameter!$H$7,Parameter!$H$5+Parameter!$H$6+Parameter!$H$7))-(AX1315-AS1315))/AS1315)))</f>
        <v>1</v>
      </c>
      <c r="AZ1315" s="50" t="n">
        <f aca="false">IF(LEFT(Cockpit!$O$5,1)="A",H1315,IF(Parameter!$E$30="MAX-Bestand",IF(CH1315=1,CI1315,IF(LEFT(Cockpit!$O$5,1)="B",BF1315,MAX(BF1315,H1315))),ROUNDUP(BD1315,0)))</f>
        <v>15</v>
      </c>
      <c r="BA1315" s="50" t="n">
        <f aca="false">IF(BZ1315=1,0,ROUNDUP(AZ1315/BY1315,0))</f>
        <v>1</v>
      </c>
      <c r="BB1315" s="52" t="n">
        <f aca="false">IF(CQ1315&gt;0,CQ1315*MAX(1,AZ1315/X1315),IF(BZ1315=1,IF(AZ1315&lt;=0,0,CD1315*MAX(1,IF(H1315&gt;0,AZ1315/H1315,1))),IF(R1315&gt;0,BA1315/R1315,0))/MAX(0.1,N(Parameter!$M$21)))</f>
        <v>0.0192307692307692</v>
      </c>
      <c r="BC1315" s="50" t="n">
        <f aca="false">BB1315*CB1315</f>
        <v>2.98076923076923</v>
      </c>
      <c r="BD1315" s="51" t="n">
        <f aca="false">IF(LEFT(Cockpit!$O$5,1)="A",H1315,IF(CH1315=1,(CK1315+CI1315)/2,IF(LEFT(Cockpit!$O$5,1)="B",(CK1315+BF1315)/2,MAX((CK1315+BF1315)/2,H1315))))</f>
        <v>14.5</v>
      </c>
      <c r="BE1315" s="50" t="n">
        <f aca="false">BD1315*G1315</f>
        <v>2155.86</v>
      </c>
      <c r="BF1315" s="50" t="n">
        <f aca="false">ROUNDUP(CK1315+MAX(CL1315,2*(J1315/IF(CG1315&gt;0,CG1315,MAX(0.1,N(Cockpit!$O$6)))-CK1315)),0)</f>
        <v>27</v>
      </c>
      <c r="BG1315" s="51" t="n">
        <f aca="false">IF(BC1315&gt;0,J1315/BC1315,-1)</f>
        <v>11.0709677419355</v>
      </c>
      <c r="BH1315" s="51" t="n">
        <f aca="false">IF(AND(OR(CF1315="L1",CF1315="L23",CF1315="LIFT"),BC1315&gt;0),SUMIFS($BC$7:$BC$1843,$CF$7:$CF$1843,CF1315,$BG$7:$BG$1843,"&gt;"&amp;BG1315)+SUMIFS($BC$7:$BC$1843,$CF$7:$CF$1843,CF1315,$BG$7:$BG$1843,BG1315,$BW$7:$BW$1843,"&lt;="&amp;BW1315),"")</f>
        <v>2664.00824175824</v>
      </c>
      <c r="BI1315" s="58" t="n">
        <f aca="false">IF(BH1315="",0,MAX(0,MIN(1,(IF(CF1315="L1",Parameter!$H$5,IF(CF1315="L23",Parameter!$H$6+Parameter!$H$7,Parameter!$H$5+Parameter!$H$6+Parameter!$H$7))-(BH1315-BC1315))/BC1315)))</f>
        <v>1</v>
      </c>
      <c r="BJ1315" s="48" t="str">
        <f aca="false">IF(AI1315&lt;=0,"",IF(CF1315="Aussen","Aussenlager",IF(CF1315="-","Nicht im Lift",IF(AO1315&gt;=1,"Lift",IF(AO1315&lt;=0,"Aussenlager","teilweise")))))</f>
        <v>Lift</v>
      </c>
      <c r="BK1315" s="48" t="str">
        <f aca="false">IF(AS1315&lt;=0,"",IF(CF1315="Aussen","Aussenlager",IF(CF1315="-","Nicht im Lift",IF(AY1315&gt;=1,"Lift",IF(AY1315&lt;=0,"Aussenlager","teilweise")))))</f>
        <v>Lift</v>
      </c>
      <c r="BL1315" s="48" t="str">
        <f aca="false">IF(BC1315&lt;=0,"",IF(CF1315="Aussen","Aussenlager",IF(CF1315="-","Nicht im Lift",IF(BI1315&gt;=1,"Lift",IF(BI1315&lt;=0,"Aussenlager","teilweise")))))</f>
        <v>Lift</v>
      </c>
      <c r="BM1315" s="48" t="str">
        <f aca="false">IF(A1315="","",IF(BV1315=1,"Neu; ","")&amp;IF(AND(BV1315=0,BQ1315&lt;0),"negativer Bestand (Export "&amp;BQ1315&amp;"); ","")&amp;IF(J1315&lt;=0,"Kein Verbrauch; ","")&amp;IF(CQ1315&gt;0,"Lift "&amp;W1315&amp;" lt. Liftbericht (Fach "&amp;X1315&amp;" Stk); ",IF(CA1315=1,"Gebinde geschätzt ("&amp;T1315&amp;"); ",IF(BZ1315=1,"Lose – Tablare geschätzt; ","")))&amp;IF(H1315&gt;AV1315,"Überbestand "&amp;ROUND(H1315-AV1315,0)&amp;" Stk / CHF "&amp;ROUND((H1315-AV1315)*G1315,0)&amp;"; ","")&amp;IF(AND(CH1315=1,CI1315&lt;CJ1315),"MAX &lt; MB+LG; ","")&amp;IF(AND(CP1315&gt;0,CO1315*10&gt;CP1315),"zu hoch für Tablar; ","")&amp;IF(AND(BV1315=0,OR(CH1315=1,AA1315&lt;&gt;"",U1315&lt;&gt;"",V1315&lt;&gt;"",AB1315&lt;&gt;"")),"manuell übersteuert; ","")&amp;IF(AND(BZ1315=0,R1315=0),"Gebinde unbekannt / Stellmass fehlt; ","")&amp;IF(AND(BZ1315=0,N(V1315)&lt;=0,N(Q1315)&lt;=0),"Menge pro Gebinde fehlt (Ist = 1 Gebinde); ","")&amp;BU1315)</f>
        <v>negativer Bestand (Export -9); </v>
      </c>
      <c r="BN1315" s="48"/>
      <c r="BO1315" s="48"/>
      <c r="BP1315" s="55"/>
      <c r="BQ1315" s="50" t="n">
        <v>-9</v>
      </c>
      <c r="BR1315" s="50" t="n">
        <v>21</v>
      </c>
      <c r="BS1315" s="49" t="n">
        <v>-1335.06</v>
      </c>
      <c r="BT1315" s="50" t="n">
        <v>33</v>
      </c>
      <c r="BU1315" s="48"/>
      <c r="BV1315" s="53" t="n">
        <v>0</v>
      </c>
      <c r="BW1315" s="53" t="n">
        <v>1315</v>
      </c>
      <c r="BX1315" s="48" t="str">
        <f aca="false">IF(U1315&lt;&gt;"",UPPER(TRIM(U1315)),IF(CA1315=1,UPPER(VLOOKUP(T1315,Parameter!$I$27:$K$29,2,0)),IF(P1315="","LOSE",P1315)))</f>
        <v>S33</v>
      </c>
      <c r="BY1315" s="50" t="n">
        <f aca="false">IF(BX1315="LOSE",1,IF(N(V1315)&gt;0,V1315,IF(CA1315=1,MAX(1,N(VLOOKUP(T1315,Parameter!$I$27:$K$29,3,0)),H1315,N(N1315)),IF(N(Q1315)&gt;0,Q1315,MAX(1,H1315)))))</f>
        <v>37</v>
      </c>
      <c r="BZ1315" s="53" t="n">
        <f aca="false">IF(BX1315="LOSE",1,0)</f>
        <v>0</v>
      </c>
      <c r="CA1315" s="53" t="n">
        <f aca="false">IF(AND(U1315="",OR(P1315="",P1315="LOSE"),T1315&lt;&gt;"",N(S1315)&lt;=0,ISNUMBER(MATCH(T1315,Parameter!$I$27:$I$29,0))),1,0)</f>
        <v>0</v>
      </c>
      <c r="CB1315" s="53" t="n">
        <f aca="false">IF(CQ1315&gt;0,INDEX(Parameter!$H$5:$H$7,W1315)/INDEX(Parameter!$E$5:$E$7,W1315),IF(AND(BZ1315=0,N(IFERROR(VLOOKUP(BX1315,'Gebinde-Kategorie'!$A$5:$N$45,14,0),0))&gt;0),VLOOKUP(BX1315,'Gebinde-Kategorie'!$A$5:$N$45,14,0)*10+Parameter!$M$23,Parameter!$M$24))</f>
        <v>155</v>
      </c>
      <c r="CC1315" s="48" t="str">
        <f aca="false">IF(AND(Parameter!$B$19="Ja",E1315&lt;&gt;"",ISNUMBER(MATCH(E1315,Parameter!$I$35:$I$52,0))),VLOOKUP(E1315,Parameter!$I$35:$J$52,2,0),IFERROR(VLOOKUP(D1315,Parameter!$A$35:$C$64,2,0),"Nein"))</f>
        <v>2+3</v>
      </c>
      <c r="CD1315" s="52" t="n">
        <f aca="false">IF(BZ1315=0,0,IF(N(S1315)&gt;0,S1315,IFERROR(VLOOKUP(D1315,Parameter!$A$35:$C$64,3,0)+0,0)))</f>
        <v>0</v>
      </c>
      <c r="CE1315" s="48" t="n">
        <f aca="false">IF(AA1315&lt;&gt;"",AA1315,Z1315)</f>
        <v>3</v>
      </c>
      <c r="CF1315" s="48" t="str">
        <f aca="false">IF(OR(CE1315=1,CE1315=2,CE1315=3),IF(Parameter!$E$27="Ja","LIFT",IF(CE1315=1,"L1","L23")),IF(CE1315="Aussen","Aussen","-"))</f>
        <v>LIFT</v>
      </c>
      <c r="CG1315" s="59" t="n">
        <f aca="false">IF(N(AB1315)&gt;0,AB1315,0)</f>
        <v>0</v>
      </c>
      <c r="CH1315" s="53" t="n">
        <f aca="false">IF(ISNUMBER(AE1315),1,0)</f>
        <v>0</v>
      </c>
      <c r="CI1315" s="50" t="n">
        <f aca="false">N(AE1315)</f>
        <v>0</v>
      </c>
      <c r="CJ1315" s="50" t="n">
        <f aca="false">N(M1315)+N(N1315)</f>
        <v>27</v>
      </c>
      <c r="CK1315" s="50" t="n">
        <f aca="false">N(M1315)</f>
        <v>2</v>
      </c>
      <c r="CL1315" s="50" t="n">
        <f aca="false">N(N1315)</f>
        <v>25</v>
      </c>
      <c r="CM1315" s="50" t="n">
        <f aca="false">ROUNDUP(H1315/BY1315,0)</f>
        <v>1</v>
      </c>
      <c r="CN1315" s="50" t="n">
        <f aca="false">ROUNDUP(CI1315/BY1315,0)</f>
        <v>0</v>
      </c>
      <c r="CO1315" s="53" t="n">
        <f aca="false">IF(BZ1315=1,0,IFERROR(VLOOKUP(BX1315,'Gebinde-Kategorie'!$A$5:$N$45,5,0)+0,0))</f>
        <v>8</v>
      </c>
      <c r="CP1315" s="53" t="n">
        <f aca="false">IFERROR(IF(OR(CE1315=1,CE1315=2,CE1315=3),N(INDEX(Parameter!$I$5:$I$7,CE1315)),0),0)</f>
        <v>0</v>
      </c>
      <c r="CQ1315" s="52" t="n">
        <f aca="false">IF(AND(Parameter!$B$21="Ja",ISNUMBER(W1315),N(X1315)&gt;0),IFERROR(N(INDEX(Parameter!$L$5:$L$7,W1315))*INDEX(Parameter!$E$5:$E$7,W1315)*X1315/SUMIFS($X$7:$X$1843,$W$7:$W$1843,W1315),0),0)</f>
        <v>0</v>
      </c>
    </row>
    <row r="1316" customFormat="false" ht="15" hidden="false" customHeight="false" outlineLevel="0" collapsed="false">
      <c r="A1316" s="48" t="s">
        <v>2345</v>
      </c>
      <c r="B1316" s="48" t="s">
        <v>2346</v>
      </c>
      <c r="C1316" s="48" t="s">
        <v>173</v>
      </c>
      <c r="D1316" s="48" t="s">
        <v>193</v>
      </c>
      <c r="E1316" s="48" t="s">
        <v>194</v>
      </c>
      <c r="F1316" s="48" t="s">
        <v>227</v>
      </c>
      <c r="G1316" s="49" t="n">
        <v>31.25</v>
      </c>
      <c r="H1316" s="50" t="n">
        <f aca="false">MAX(0,IF(AND(Parameter!$B$21="Ja",ISNUMBER(Y1316)),Y1316,IF(Parameter!$B$20="Jahresanfang 2025 + Export",BR1316+BQ1316,BQ1316)))</f>
        <v>25</v>
      </c>
      <c r="I1316" s="50" t="n">
        <f aca="false">H1316*G1316</f>
        <v>781.25</v>
      </c>
      <c r="J1316" s="50" t="n">
        <f aca="false">BT1316*Parameter!$B$18</f>
        <v>29</v>
      </c>
      <c r="K1316" s="51" t="n">
        <v>17</v>
      </c>
      <c r="L1316" s="52" t="n">
        <v>1.70588235294118</v>
      </c>
      <c r="M1316" s="50" t="n">
        <v>1</v>
      </c>
      <c r="N1316" s="50" t="n">
        <v>30</v>
      </c>
      <c r="O1316" s="53" t="n">
        <v>14</v>
      </c>
      <c r="P1316" s="48" t="s">
        <v>235</v>
      </c>
      <c r="Q1316" s="50" t="n">
        <v>39</v>
      </c>
      <c r="R1316" s="53" t="n">
        <f aca="false">IF(BZ1316=1,0,IFERROR(VLOOKUP(BX1316,'Gebinde-Kategorie'!$A$5:$N$45,13,0)+0,0))</f>
        <v>12</v>
      </c>
      <c r="S1316" s="54"/>
      <c r="T1316" s="55"/>
      <c r="U1316" s="55"/>
      <c r="V1316" s="55"/>
      <c r="W1316" s="48"/>
      <c r="X1316" s="50"/>
      <c r="Y1316" s="50"/>
      <c r="Z1316" s="48" t="n">
        <f aca="false">IF(A1316="","",IF(AND(Parameter!$B$21="Ja",ISNUMBER(W1316)),W1316,IF(CC1316="2+3",IF(ISNUMBER(SEARCH("grosser Artikel",BU1316)),2,IFERROR(VLOOKUP(BX1316,Parameter!$F$35:$G$64,2,0),2)),IF(OR(CC1316="Nein",CC1316=""),"-",CC1316))))</f>
        <v>2</v>
      </c>
      <c r="AA1316" s="55"/>
      <c r="AB1316" s="56"/>
      <c r="AC1316" s="50" t="n">
        <f aca="false">AV1316</f>
        <v>31</v>
      </c>
      <c r="AD1316" s="50" t="n">
        <f aca="false">MAX(AV1316,H1316)</f>
        <v>31</v>
      </c>
      <c r="AE1316" s="57"/>
      <c r="AF1316" s="50" t="n">
        <f aca="false">IF(LEFT(Cockpit!$C$5,1)="A",H1316,IF(Parameter!$E$30="MAX-Bestand",IF(CH1316=1,CI1316,IF(LEFT(Cockpit!$C$5,1)="B",AL1316,MAX(AL1316,H1316))),ROUNDUP(AJ1316,0)))</f>
        <v>25</v>
      </c>
      <c r="AG1316" s="50" t="n">
        <f aca="false">IF(BZ1316=1,0,ROUNDUP(AF1316/BY1316,0))</f>
        <v>1</v>
      </c>
      <c r="AH1316" s="52" t="n">
        <f aca="false">IF(CQ1316&gt;0,CQ1316*MAX(1,AF1316/X1316),IF(BZ1316=1,IF(AF1316&lt;=0,0,CD1316*MAX(1,IF(H1316&gt;0,AF1316/H1316,1))),IF(R1316&gt;0,AG1316/R1316,0))/MAX(0.1,N(Parameter!$M$21)))</f>
        <v>0.0833333333333333</v>
      </c>
      <c r="AI1316" s="50" t="n">
        <f aca="false">AH1316*CB1316</f>
        <v>28.75</v>
      </c>
      <c r="AJ1316" s="51" t="n">
        <f aca="false">IF(LEFT(Cockpit!$C$5,1)="A",H1316,IF(CH1316=1,(CK1316+CI1316)/2,IF(LEFT(Cockpit!$C$5,1)="B",(CK1316+AL1316)/2,MAX((CK1316+AL1316)/2,H1316))))</f>
        <v>25</v>
      </c>
      <c r="AK1316" s="50" t="n">
        <f aca="false">AJ1316*G1316</f>
        <v>781.25</v>
      </c>
      <c r="AL1316" s="50" t="n">
        <f aca="false">ROUNDUP(CK1316+MAX(CL1316,2*(J1316/IF(CG1316&gt;0,CG1316,MAX(0.1,N(Cockpit!$C$6)))-CK1316)),0)</f>
        <v>31</v>
      </c>
      <c r="AM1316" s="51" t="n">
        <f aca="false">IF(AI1316&gt;0,J1316/AI1316,-1)</f>
        <v>1.00869565217391</v>
      </c>
      <c r="AN1316" s="51" t="n">
        <f aca="false">IF(AND(OR(CF1316="L1",CF1316="L23",CF1316="LIFT"),AI1316&gt;0),SUMIFS($AI$7:$AI$1843,$CF$7:$CF$1843,CF1316,$AM$7:$AM$1843,"&gt;"&amp;AM1316)+SUMIFS($AI$7:$AI$1843,$CF$7:$CF$1843,CF1316,$AM$7:$AM$1843,AM1316,$BW$7:$BW$1843,"&lt;="&amp;BW1316),"")</f>
        <v>7017.6543040293</v>
      </c>
      <c r="AO1316" s="58" t="n">
        <f aca="false">IF(AN1316="",0,MAX(0,MIN(1,(IF(CF1316="L1",Parameter!$H$5,IF(CF1316="L23",Parameter!$H$6+Parameter!$H$7,Parameter!$H$5+Parameter!$H$6+Parameter!$H$7))-(AN1316-AI1316))/AI1316)))</f>
        <v>1</v>
      </c>
      <c r="AP1316" s="50" t="n">
        <f aca="false">IF(LEFT(Cockpit!$I$5,1)="A",H1316,IF(Parameter!$E$30="MAX-Bestand",IF(CH1316=1,CI1316,IF(LEFT(Cockpit!$I$5,1)="B",AV1316,MAX(AV1316,H1316))),ROUNDUP(AT1316,0)))</f>
        <v>25</v>
      </c>
      <c r="AQ1316" s="50" t="n">
        <f aca="false">IF(BZ1316=1,0,ROUNDUP(AP1316/BY1316,0))</f>
        <v>1</v>
      </c>
      <c r="AR1316" s="52" t="n">
        <f aca="false">IF(CQ1316&gt;0,CQ1316*MAX(1,AP1316/X1316),IF(BZ1316=1,IF(AP1316&lt;=0,0,CD1316*MAX(1,IF(H1316&gt;0,AP1316/H1316,1))),IF(R1316&gt;0,AQ1316/R1316,0))/MAX(0.1,N(Parameter!$M$21)))</f>
        <v>0.0833333333333333</v>
      </c>
      <c r="AS1316" s="50" t="n">
        <f aca="false">AR1316*CB1316</f>
        <v>28.75</v>
      </c>
      <c r="AT1316" s="51" t="n">
        <f aca="false">IF(LEFT(Cockpit!$I$5,1)="A",H1316,IF(CH1316=1,(CK1316+CI1316)/2,IF(LEFT(Cockpit!$I$5,1)="B",(CK1316+AV1316)/2,MAX((CK1316+AV1316)/2,H1316))))</f>
        <v>25</v>
      </c>
      <c r="AU1316" s="50" t="n">
        <f aca="false">AT1316*G1316</f>
        <v>781.25</v>
      </c>
      <c r="AV1316" s="50" t="n">
        <f aca="false">ROUNDUP(CK1316+MAX(CL1316,2*(J1316/IF(CG1316&gt;0,CG1316,MAX(0.1,N(Cockpit!$I$6)))-CK1316)),0)</f>
        <v>31</v>
      </c>
      <c r="AW1316" s="51" t="n">
        <f aca="false">IF(AS1316&gt;0,J1316/AS1316,-1)</f>
        <v>1.00869565217391</v>
      </c>
      <c r="AX1316" s="51" t="n">
        <f aca="false">IF(AND(OR(CF1316="L1",CF1316="L23",CF1316="LIFT"),AS1316&gt;0),SUMIFS($AS$7:$AS$1843,$CF$7:$CF$1843,CF1316,$AW$7:$AW$1843,"&gt;"&amp;AW1316)+SUMIFS($AS$7:$AS$1843,$CF$7:$CF$1843,CF1316,$AW$7:$AW$1843,AW1316,$BW$7:$BW$1843,"&lt;="&amp;BW1316),"")</f>
        <v>8392.31868131868</v>
      </c>
      <c r="AY1316" s="58" t="n">
        <f aca="false">IF(AX1316="",0,MAX(0,MIN(1,(IF(CF1316="L1",Parameter!$H$5,IF(CF1316="L23",Parameter!$H$6+Parameter!$H$7,Parameter!$H$5+Parameter!$H$6+Parameter!$H$7))-(AX1316-AS1316))/AS1316)))</f>
        <v>1</v>
      </c>
      <c r="AZ1316" s="50" t="n">
        <f aca="false">IF(LEFT(Cockpit!$O$5,1)="A",H1316,IF(Parameter!$E$30="MAX-Bestand",IF(CH1316=1,CI1316,IF(LEFT(Cockpit!$O$5,1)="B",BF1316,MAX(BF1316,H1316))),ROUNDUP(BD1316,0)))</f>
        <v>16</v>
      </c>
      <c r="BA1316" s="50" t="n">
        <f aca="false">IF(BZ1316=1,0,ROUNDUP(AZ1316/BY1316,0))</f>
        <v>1</v>
      </c>
      <c r="BB1316" s="52" t="n">
        <f aca="false">IF(CQ1316&gt;0,CQ1316*MAX(1,AZ1316/X1316),IF(BZ1316=1,IF(AZ1316&lt;=0,0,CD1316*MAX(1,IF(H1316&gt;0,AZ1316/H1316,1))),IF(R1316&gt;0,BA1316/R1316,0))/MAX(0.1,N(Parameter!$M$21)))</f>
        <v>0.0833333333333333</v>
      </c>
      <c r="BC1316" s="50" t="n">
        <f aca="false">BB1316*CB1316</f>
        <v>28.75</v>
      </c>
      <c r="BD1316" s="51" t="n">
        <f aca="false">IF(LEFT(Cockpit!$O$5,1)="A",H1316,IF(CH1316=1,(CK1316+CI1316)/2,IF(LEFT(Cockpit!$O$5,1)="B",(CK1316+BF1316)/2,MAX((CK1316+BF1316)/2,H1316))))</f>
        <v>16</v>
      </c>
      <c r="BE1316" s="50" t="n">
        <f aca="false">BD1316*G1316</f>
        <v>500</v>
      </c>
      <c r="BF1316" s="50" t="n">
        <f aca="false">ROUNDUP(CK1316+MAX(CL1316,2*(J1316/IF(CG1316&gt;0,CG1316,MAX(0.1,N(Cockpit!$O$6)))-CK1316)),0)</f>
        <v>31</v>
      </c>
      <c r="BG1316" s="51" t="n">
        <f aca="false">IF(BC1316&gt;0,J1316/BC1316,-1)</f>
        <v>1.00869565217391</v>
      </c>
      <c r="BH1316" s="51" t="n">
        <f aca="false">IF(AND(OR(CF1316="L1",CF1316="L23",CF1316="LIFT"),BC1316&gt;0),SUMIFS($BC$7:$BC$1843,$CF$7:$CF$1843,CF1316,$BG$7:$BG$1843,"&gt;"&amp;BG1316)+SUMIFS($BC$7:$BC$1843,$CF$7:$CF$1843,CF1316,$BG$7:$BG$1843,BG1316,$BW$7:$BW$1843,"&lt;="&amp;BW1316),"")</f>
        <v>7636.39331501832</v>
      </c>
      <c r="BI1316" s="58" t="n">
        <f aca="false">IF(BH1316="",0,MAX(0,MIN(1,(IF(CF1316="L1",Parameter!$H$5,IF(CF1316="L23",Parameter!$H$6+Parameter!$H$7,Parameter!$H$5+Parameter!$H$6+Parameter!$H$7))-(BH1316-BC1316))/BC1316)))</f>
        <v>1</v>
      </c>
      <c r="BJ1316" s="48" t="str">
        <f aca="false">IF(AI1316&lt;=0,"",IF(CF1316="Aussen","Aussenlager",IF(CF1316="-","Nicht im Lift",IF(AO1316&gt;=1,"Lift",IF(AO1316&lt;=0,"Aussenlager","teilweise")))))</f>
        <v>Lift</v>
      </c>
      <c r="BK1316" s="48" t="str">
        <f aca="false">IF(AS1316&lt;=0,"",IF(CF1316="Aussen","Aussenlager",IF(CF1316="-","Nicht im Lift",IF(AY1316&gt;=1,"Lift",IF(AY1316&lt;=0,"Aussenlager","teilweise")))))</f>
        <v>Lift</v>
      </c>
      <c r="BL1316" s="48" t="str">
        <f aca="false">IF(BC1316&lt;=0,"",IF(CF1316="Aussen","Aussenlager",IF(CF1316="-","Nicht im Lift",IF(BI1316&gt;=1,"Lift",IF(BI1316&lt;=0,"Aussenlager","teilweise")))))</f>
        <v>Lift</v>
      </c>
      <c r="BM1316" s="48" t="str">
        <f aca="false">IF(A1316="","",IF(BV1316=1,"Neu; ","")&amp;IF(AND(BV1316=0,BQ1316&lt;0),"negativer Bestand (Export "&amp;BQ1316&amp;"); ","")&amp;IF(J1316&lt;=0,"Kein Verbrauch; ","")&amp;IF(CQ1316&gt;0,"Lift "&amp;W1316&amp;" lt. Liftbericht (Fach "&amp;X1316&amp;" Stk); ",IF(CA1316=1,"Gebinde geschätzt ("&amp;T1316&amp;"); ",IF(BZ1316=1,"Lose – Tablare geschätzt; ","")))&amp;IF(H1316&gt;AV1316,"Überbestand "&amp;ROUND(H1316-AV1316,0)&amp;" Stk / CHF "&amp;ROUND((H1316-AV1316)*G1316,0)&amp;"; ","")&amp;IF(AND(CH1316=1,CI1316&lt;CJ1316),"MAX &lt; MB+LG; ","")&amp;IF(AND(CP1316&gt;0,CO1316*10&gt;CP1316),"zu hoch für Tablar; ","")&amp;IF(AND(BV1316=0,OR(CH1316=1,AA1316&lt;&gt;"",U1316&lt;&gt;"",V1316&lt;&gt;"",AB1316&lt;&gt;"")),"manuell übersteuert; ","")&amp;IF(AND(BZ1316=0,R1316=0),"Gebinde unbekannt / Stellmass fehlt; ","")&amp;IF(AND(BZ1316=0,N(V1316)&lt;=0,N(Q1316)&lt;=0),"Menge pro Gebinde fehlt (Ist = 1 Gebinde); ","")&amp;BU1316)</f>
        <v/>
      </c>
      <c r="BN1316" s="48"/>
      <c r="BO1316" s="48"/>
      <c r="BP1316" s="55"/>
      <c r="BQ1316" s="50" t="n">
        <v>6</v>
      </c>
      <c r="BR1316" s="50" t="n">
        <v>19</v>
      </c>
      <c r="BS1316" s="49" t="n">
        <v>-1346.56</v>
      </c>
      <c r="BT1316" s="50" t="n">
        <v>29</v>
      </c>
      <c r="BU1316" s="48"/>
      <c r="BV1316" s="53" t="n">
        <v>0</v>
      </c>
      <c r="BW1316" s="53" t="n">
        <v>1316</v>
      </c>
      <c r="BX1316" s="48" t="str">
        <f aca="false">IF(U1316&lt;&gt;"",UPPER(TRIM(U1316)),IF(CA1316=1,UPPER(VLOOKUP(T1316,Parameter!$I$27:$K$29,2,0)),IF(P1316="","LOSE",P1316)))</f>
        <v>S63</v>
      </c>
      <c r="BY1316" s="50" t="n">
        <f aca="false">IF(BX1316="LOSE",1,IF(N(V1316)&gt;0,V1316,IF(CA1316=1,MAX(1,N(VLOOKUP(T1316,Parameter!$I$27:$K$29,3,0)),H1316,N(N1316)),IF(N(Q1316)&gt;0,Q1316,MAX(1,H1316)))))</f>
        <v>39</v>
      </c>
      <c r="BZ1316" s="53" t="n">
        <f aca="false">IF(BX1316="LOSE",1,0)</f>
        <v>0</v>
      </c>
      <c r="CA1316" s="53" t="n">
        <f aca="false">IF(AND(U1316="",OR(P1316="",P1316="LOSE"),T1316&lt;&gt;"",N(S1316)&lt;=0,ISNUMBER(MATCH(T1316,Parameter!$I$27:$I$29,0))),1,0)</f>
        <v>0</v>
      </c>
      <c r="CB1316" s="53" t="n">
        <f aca="false">IF(CQ1316&gt;0,INDEX(Parameter!$H$5:$H$7,W1316)/INDEX(Parameter!$E$5:$E$7,W1316),IF(AND(BZ1316=0,N(IFERROR(VLOOKUP(BX1316,'Gebinde-Kategorie'!$A$5:$N$45,14,0),0))&gt;0),VLOOKUP(BX1316,'Gebinde-Kategorie'!$A$5:$N$45,14,0)*10+Parameter!$M$23,Parameter!$M$24))</f>
        <v>345</v>
      </c>
      <c r="CC1316" s="48" t="str">
        <f aca="false">IF(AND(Parameter!$B$19="Ja",E1316&lt;&gt;"",ISNUMBER(MATCH(E1316,Parameter!$I$35:$I$52,0))),VLOOKUP(E1316,Parameter!$I$35:$J$52,2,0),IFERROR(VLOOKUP(D1316,Parameter!$A$35:$C$64,2,0),"Nein"))</f>
        <v>2+3</v>
      </c>
      <c r="CD1316" s="52" t="n">
        <f aca="false">IF(BZ1316=0,0,IF(N(S1316)&gt;0,S1316,IFERROR(VLOOKUP(D1316,Parameter!$A$35:$C$64,3,0)+0,0)))</f>
        <v>0</v>
      </c>
      <c r="CE1316" s="48" t="n">
        <f aca="false">IF(AA1316&lt;&gt;"",AA1316,Z1316)</f>
        <v>2</v>
      </c>
      <c r="CF1316" s="48" t="str">
        <f aca="false">IF(OR(CE1316=1,CE1316=2,CE1316=3),IF(Parameter!$E$27="Ja","LIFT",IF(CE1316=1,"L1","L23")),IF(CE1316="Aussen","Aussen","-"))</f>
        <v>LIFT</v>
      </c>
      <c r="CG1316" s="59" t="n">
        <f aca="false">IF(N(AB1316)&gt;0,AB1316,0)</f>
        <v>0</v>
      </c>
      <c r="CH1316" s="53" t="n">
        <f aca="false">IF(ISNUMBER(AE1316),1,0)</f>
        <v>0</v>
      </c>
      <c r="CI1316" s="50" t="n">
        <f aca="false">N(AE1316)</f>
        <v>0</v>
      </c>
      <c r="CJ1316" s="50" t="n">
        <f aca="false">N(M1316)+N(N1316)</f>
        <v>31</v>
      </c>
      <c r="CK1316" s="50" t="n">
        <f aca="false">N(M1316)</f>
        <v>1</v>
      </c>
      <c r="CL1316" s="50" t="n">
        <f aca="false">N(N1316)</f>
        <v>30</v>
      </c>
      <c r="CM1316" s="50" t="n">
        <f aca="false">ROUNDUP(H1316/BY1316,0)</f>
        <v>1</v>
      </c>
      <c r="CN1316" s="50" t="n">
        <f aca="false">ROUNDUP(CI1316/BY1316,0)</f>
        <v>0</v>
      </c>
      <c r="CO1316" s="53" t="n">
        <f aca="false">IF(BZ1316=1,0,IFERROR(VLOOKUP(BX1316,'Gebinde-Kategorie'!$A$5:$N$45,5,0)+0,0))</f>
        <v>31</v>
      </c>
      <c r="CP1316" s="53" t="n">
        <f aca="false">IFERROR(IF(OR(CE1316=1,CE1316=2,CE1316=3),N(INDEX(Parameter!$I$5:$I$7,CE1316)),0),0)</f>
        <v>0</v>
      </c>
      <c r="CQ1316" s="52" t="n">
        <f aca="false">IF(AND(Parameter!$B$21="Ja",ISNUMBER(W1316),N(X1316)&gt;0),IFERROR(N(INDEX(Parameter!$L$5:$L$7,W1316))*INDEX(Parameter!$E$5:$E$7,W1316)*X1316/SUMIFS($X$7:$X$1843,$W$7:$W$1843,W1316),0),0)</f>
        <v>0</v>
      </c>
    </row>
    <row r="1317" customFormat="false" ht="15" hidden="false" customHeight="false" outlineLevel="0" collapsed="false">
      <c r="A1317" s="48" t="s">
        <v>2347</v>
      </c>
      <c r="B1317" s="48" t="s">
        <v>262</v>
      </c>
      <c r="C1317" s="48" t="s">
        <v>176</v>
      </c>
      <c r="D1317" s="48" t="s">
        <v>182</v>
      </c>
      <c r="E1317" s="48"/>
      <c r="F1317" s="48" t="s">
        <v>227</v>
      </c>
      <c r="G1317" s="49" t="n">
        <v>1415.42</v>
      </c>
      <c r="H1317" s="50" t="n">
        <f aca="false">MAX(0,IF(AND(Parameter!$B$21="Ja",ISNUMBER(Y1317)),Y1317,IF(Parameter!$B$20="Jahresanfang 2025 + Export",BR1317+BQ1317,BQ1317)))</f>
        <v>1</v>
      </c>
      <c r="I1317" s="50" t="n">
        <f aca="false">H1317*G1317</f>
        <v>1415.42</v>
      </c>
      <c r="J1317" s="50" t="n">
        <f aca="false">BT1317*Parameter!$B$18</f>
        <v>12</v>
      </c>
      <c r="K1317" s="51" t="n">
        <v>1.5</v>
      </c>
      <c r="L1317" s="52" t="n">
        <v>8</v>
      </c>
      <c r="M1317" s="50" t="n">
        <v>0</v>
      </c>
      <c r="N1317" s="50" t="n">
        <v>5</v>
      </c>
      <c r="O1317" s="53" t="n">
        <v>70</v>
      </c>
      <c r="P1317" s="48" t="s">
        <v>177</v>
      </c>
      <c r="Q1317" s="50"/>
      <c r="R1317" s="53" t="n">
        <f aca="false">IF(BZ1317=1,0,IFERROR(VLOOKUP(BX1317,'Gebinde-Kategorie'!$A$5:$N$45,13,0)+0,0))</f>
        <v>0</v>
      </c>
      <c r="S1317" s="54"/>
      <c r="T1317" s="55"/>
      <c r="U1317" s="55"/>
      <c r="V1317" s="55"/>
      <c r="W1317" s="48" t="n">
        <v>1</v>
      </c>
      <c r="X1317" s="50" t="n">
        <v>1</v>
      </c>
      <c r="Y1317" s="50" t="n">
        <v>1</v>
      </c>
      <c r="Z1317" s="48" t="n">
        <f aca="false">IF(A1317="","",IF(AND(Parameter!$B$21="Ja",ISNUMBER(W1317)),W1317,IF(CC1317="2+3",IF(ISNUMBER(SEARCH("grosser Artikel",BU1317)),2,IFERROR(VLOOKUP(BX1317,Parameter!$F$35:$G$64,2,0),2)),IF(OR(CC1317="Nein",CC1317=""),"-",CC1317))))</f>
        <v>1</v>
      </c>
      <c r="AA1317" s="55"/>
      <c r="AB1317" s="56"/>
      <c r="AC1317" s="50" t="n">
        <f aca="false">AV1317</f>
        <v>8</v>
      </c>
      <c r="AD1317" s="50" t="n">
        <f aca="false">MAX(AV1317,H1317)</f>
        <v>8</v>
      </c>
      <c r="AE1317" s="57"/>
      <c r="AF1317" s="50" t="n">
        <f aca="false">IF(LEFT(Cockpit!$C$5,1)="A",H1317,IF(Parameter!$E$30="MAX-Bestand",IF(CH1317=1,CI1317,IF(LEFT(Cockpit!$C$5,1)="B",AL1317,MAX(AL1317,H1317))),ROUNDUP(AJ1317,0)))</f>
        <v>1</v>
      </c>
      <c r="AG1317" s="50" t="n">
        <f aca="false">IF(BZ1317=1,0,ROUNDUP(AF1317/BY1317,0))</f>
        <v>0</v>
      </c>
      <c r="AH1317" s="52" t="n">
        <f aca="false">IF(CQ1317&gt;0,CQ1317*MAX(1,AF1317/X1317),IF(BZ1317=1,IF(AF1317&lt;=0,0,CD1317*MAX(1,IF(H1317&gt;0,AF1317/H1317,1))),IF(R1317&gt;0,AG1317/R1317,0))/MAX(0.1,N(Parameter!$M$21)))</f>
        <v>0.0800376647834275</v>
      </c>
      <c r="AI1317" s="50" t="n">
        <f aca="false">AH1317*CB1317</f>
        <v>19.0489642184557</v>
      </c>
      <c r="AJ1317" s="51" t="n">
        <f aca="false">IF(LEFT(Cockpit!$C$5,1)="A",H1317,IF(CH1317=1,(CK1317+CI1317)/2,IF(LEFT(Cockpit!$C$5,1)="B",(CK1317+AL1317)/2,MAX((CK1317+AL1317)/2,H1317))))</f>
        <v>1</v>
      </c>
      <c r="AK1317" s="50" t="n">
        <f aca="false">AJ1317*G1317</f>
        <v>1415.42</v>
      </c>
      <c r="AL1317" s="50" t="n">
        <f aca="false">ROUNDUP(CK1317+MAX(CL1317,2*(J1317/IF(CG1317&gt;0,CG1317,MAX(0.1,N(Cockpit!$C$6)))-CK1317)),0)</f>
        <v>8</v>
      </c>
      <c r="AM1317" s="51" t="n">
        <f aca="false">IF(AI1317&gt;0,J1317/AI1317,-1)</f>
        <v>0.629955511616411</v>
      </c>
      <c r="AN1317" s="51" t="n">
        <f aca="false">IF(AND(OR(CF1317="L1",CF1317="L23",CF1317="LIFT"),AI1317&gt;0),SUMIFS($AI$7:$AI$1843,$CF$7:$CF$1843,CF1317,$AM$7:$AM$1843,"&gt;"&amp;AM1317)+SUMIFS($AI$7:$AI$1843,$CF$7:$CF$1843,CF1317,$AM$7:$AM$1843,AM1317,$BW$7:$BW$1843,"&lt;="&amp;BW1317),"")</f>
        <v>8877.86947703897</v>
      </c>
      <c r="AO1317" s="58" t="n">
        <f aca="false">IF(AN1317="",0,MAX(0,MIN(1,(IF(CF1317="L1",Parameter!$H$5,IF(CF1317="L23",Parameter!$H$6+Parameter!$H$7,Parameter!$H$5+Parameter!$H$6+Parameter!$H$7))-(AN1317-AI1317))/AI1317)))</f>
        <v>1</v>
      </c>
      <c r="AP1317" s="50" t="n">
        <f aca="false">IF(LEFT(Cockpit!$I$5,1)="A",H1317,IF(Parameter!$E$30="MAX-Bestand",IF(CH1317=1,CI1317,IF(LEFT(Cockpit!$I$5,1)="B",AV1317,MAX(AV1317,H1317))),ROUNDUP(AT1317,0)))</f>
        <v>4</v>
      </c>
      <c r="AQ1317" s="50" t="n">
        <f aca="false">IF(BZ1317=1,0,ROUNDUP(AP1317/BY1317,0))</f>
        <v>0</v>
      </c>
      <c r="AR1317" s="52" t="n">
        <f aca="false">IF(CQ1317&gt;0,CQ1317*MAX(1,AP1317/X1317),IF(BZ1317=1,IF(AP1317&lt;=0,0,CD1317*MAX(1,IF(H1317&gt;0,AP1317/H1317,1))),IF(R1317&gt;0,AQ1317/R1317,0))/MAX(0.1,N(Parameter!$M$21)))</f>
        <v>0.32015065913371</v>
      </c>
      <c r="AS1317" s="50" t="n">
        <f aca="false">AR1317*CB1317</f>
        <v>76.195856873823</v>
      </c>
      <c r="AT1317" s="51" t="n">
        <f aca="false">IF(LEFT(Cockpit!$I$5,1)="A",H1317,IF(CH1317=1,(CK1317+CI1317)/2,IF(LEFT(Cockpit!$I$5,1)="B",(CK1317+AV1317)/2,MAX((CK1317+AV1317)/2,H1317))))</f>
        <v>4</v>
      </c>
      <c r="AU1317" s="50" t="n">
        <f aca="false">AT1317*G1317</f>
        <v>5661.68</v>
      </c>
      <c r="AV1317" s="50" t="n">
        <f aca="false">ROUNDUP(CK1317+MAX(CL1317,2*(J1317/IF(CG1317&gt;0,CG1317,MAX(0.1,N(Cockpit!$I$6)))-CK1317)),0)</f>
        <v>8</v>
      </c>
      <c r="AW1317" s="51" t="n">
        <f aca="false">IF(AS1317&gt;0,J1317/AS1317,-1)</f>
        <v>0.157488877904103</v>
      </c>
      <c r="AX1317" s="51" t="n">
        <f aca="false">IF(AND(OR(CF1317="L1",CF1317="L23",CF1317="LIFT"),AS1317&gt;0),SUMIFS($AS$7:$AS$1843,$CF$7:$CF$1843,CF1317,$AW$7:$AW$1843,"&gt;"&amp;AW1317)+SUMIFS($AS$7:$AS$1843,$CF$7:$CF$1843,CF1317,$AW$7:$AW$1843,AW1317,$BW$7:$BW$1843,"&lt;="&amp;BW1317),"")</f>
        <v>16051.5333110863</v>
      </c>
      <c r="AY1317" s="58" t="n">
        <f aca="false">IF(AX1317="",0,MAX(0,MIN(1,(IF(CF1317="L1",Parameter!$H$5,IF(CF1317="L23",Parameter!$H$6+Parameter!$H$7,Parameter!$H$5+Parameter!$H$6+Parameter!$H$7))-(AX1317-AS1317))/AS1317)))</f>
        <v>1</v>
      </c>
      <c r="AZ1317" s="50" t="n">
        <f aca="false">IF(LEFT(Cockpit!$O$5,1)="A",H1317,IF(Parameter!$E$30="MAX-Bestand",IF(CH1317=1,CI1317,IF(LEFT(Cockpit!$O$5,1)="B",BF1317,MAX(BF1317,H1317))),ROUNDUP(BD1317,0)))</f>
        <v>3</v>
      </c>
      <c r="BA1317" s="50" t="n">
        <f aca="false">IF(BZ1317=1,0,ROUNDUP(AZ1317/BY1317,0))</f>
        <v>0</v>
      </c>
      <c r="BB1317" s="52" t="n">
        <f aca="false">IF(CQ1317&gt;0,CQ1317*MAX(1,AZ1317/X1317),IF(BZ1317=1,IF(AZ1317&lt;=0,0,CD1317*MAX(1,IF(H1317&gt;0,AZ1317/H1317,1))),IF(R1317&gt;0,BA1317/R1317,0))/MAX(0.1,N(Parameter!$M$21)))</f>
        <v>0.240112994350283</v>
      </c>
      <c r="BC1317" s="50" t="n">
        <f aca="false">BB1317*CB1317</f>
        <v>57.1468926553672</v>
      </c>
      <c r="BD1317" s="51" t="n">
        <f aca="false">IF(LEFT(Cockpit!$O$5,1)="A",H1317,IF(CH1317=1,(CK1317+CI1317)/2,IF(LEFT(Cockpit!$O$5,1)="B",(CK1317+BF1317)/2,MAX((CK1317+BF1317)/2,H1317))))</f>
        <v>3</v>
      </c>
      <c r="BE1317" s="50" t="n">
        <f aca="false">BD1317*G1317</f>
        <v>4246.26</v>
      </c>
      <c r="BF1317" s="50" t="n">
        <f aca="false">ROUNDUP(CK1317+MAX(CL1317,2*(J1317/IF(CG1317&gt;0,CG1317,MAX(0.1,N(Cockpit!$O$6)))-CK1317)),0)</f>
        <v>6</v>
      </c>
      <c r="BG1317" s="51" t="n">
        <f aca="false">IF(BC1317&gt;0,J1317/BC1317,-1)</f>
        <v>0.209985170538804</v>
      </c>
      <c r="BH1317" s="51" t="n">
        <f aca="false">IF(AND(OR(CF1317="L1",CF1317="L23",CF1317="LIFT"),BC1317&gt;0),SUMIFS($BC$7:$BC$1843,$CF$7:$CF$1843,CF1317,$BG$7:$BG$1843,"&gt;"&amp;BG1317)+SUMIFS($BC$7:$BC$1843,$CF$7:$CF$1843,CF1317,$BG$7:$BG$1843,BG1317,$BW$7:$BW$1843,"&lt;="&amp;BW1317),"")</f>
        <v>12439.9294018129</v>
      </c>
      <c r="BI1317" s="58" t="n">
        <f aca="false">IF(BH1317="",0,MAX(0,MIN(1,(IF(CF1317="L1",Parameter!$H$5,IF(CF1317="L23",Parameter!$H$6+Parameter!$H$7,Parameter!$H$5+Parameter!$H$6+Parameter!$H$7))-(BH1317-BC1317))/BC1317)))</f>
        <v>1</v>
      </c>
      <c r="BJ1317" s="48" t="str">
        <f aca="false">IF(AI1317&lt;=0,"",IF(CF1317="Aussen","Aussenlager",IF(CF1317="-","Nicht im Lift",IF(AO1317&gt;=1,"Lift",IF(AO1317&lt;=0,"Aussenlager","teilweise")))))</f>
        <v>Lift</v>
      </c>
      <c r="BK1317" s="48" t="str">
        <f aca="false">IF(AS1317&lt;=0,"",IF(CF1317="Aussen","Aussenlager",IF(CF1317="-","Nicht im Lift",IF(AY1317&gt;=1,"Lift",IF(AY1317&lt;=0,"Aussenlager","teilweise")))))</f>
        <v>Lift</v>
      </c>
      <c r="BL1317" s="48" t="str">
        <f aca="false">IF(BC1317&lt;=0,"",IF(CF1317="Aussen","Aussenlager",IF(CF1317="-","Nicht im Lift",IF(BI1317&gt;=1,"Lift",IF(BI1317&lt;=0,"Aussenlager","teilweise")))))</f>
        <v>Lift</v>
      </c>
      <c r="BM1317" s="48" t="str">
        <f aca="false">IF(A1317="","",IF(BV1317=1,"Neu; ","")&amp;IF(AND(BV1317=0,BQ1317&lt;0),"negativer Bestand (Export "&amp;BQ1317&amp;"); ","")&amp;IF(J1317&lt;=0,"Kein Verbrauch; ","")&amp;IF(CQ1317&gt;0,"Lift "&amp;W1317&amp;" lt. Liftbericht (Fach "&amp;X1317&amp;" Stk); ",IF(CA1317=1,"Gebinde geschätzt ("&amp;T1317&amp;"); ",IF(BZ1317=1,"Lose – Tablare geschätzt; ","")))&amp;IF(H1317&gt;AV1317,"Überbestand "&amp;ROUND(H1317-AV1317,0)&amp;" Stk / CHF "&amp;ROUND((H1317-AV1317)*G1317,0)&amp;"; ","")&amp;IF(AND(CH1317=1,CI1317&lt;CJ1317),"MAX &lt; MB+LG; ","")&amp;IF(AND(CP1317&gt;0,CO1317*10&gt;CP1317),"zu hoch für Tablar; ","")&amp;IF(AND(BV1317=0,OR(CH1317=1,AA1317&lt;&gt;"",U1317&lt;&gt;"",V1317&lt;&gt;"",AB1317&lt;&gt;"")),"manuell übersteuert; ","")&amp;IF(AND(BZ1317=0,R1317=0),"Gebinde unbekannt / Stellmass fehlt; ","")&amp;IF(AND(BZ1317=0,N(V1317)&lt;=0,N(Q1317)&lt;=0),"Menge pro Gebinde fehlt (Ist = 1 Gebinde); ","")&amp;BU1317)</f>
        <v>negativer Bestand (Export -1); Lift 1 lt. Liftbericht (Fach 1 Stk); Twin</v>
      </c>
      <c r="BN1317" s="48"/>
      <c r="BO1317" s="48"/>
      <c r="BP1317" s="55"/>
      <c r="BQ1317" s="50" t="n">
        <v>-1</v>
      </c>
      <c r="BR1317" s="50" t="n">
        <v>2</v>
      </c>
      <c r="BS1317" s="49" t="n">
        <v>-1350.54</v>
      </c>
      <c r="BT1317" s="50" t="n">
        <v>12</v>
      </c>
      <c r="BU1317" s="48" t="s">
        <v>223</v>
      </c>
      <c r="BV1317" s="53" t="n">
        <v>0</v>
      </c>
      <c r="BW1317" s="53" t="n">
        <v>1317</v>
      </c>
      <c r="BX1317" s="48" t="str">
        <f aca="false">IF(U1317&lt;&gt;"",UPPER(TRIM(U1317)),IF(CA1317=1,UPPER(VLOOKUP(T1317,Parameter!$I$27:$K$29,2,0)),IF(P1317="","LOSE",P1317)))</f>
        <v>LOSE</v>
      </c>
      <c r="BY1317" s="50" t="n">
        <f aca="false">IF(BX1317="LOSE",1,IF(N(V1317)&gt;0,V1317,IF(CA1317=1,MAX(1,N(VLOOKUP(T1317,Parameter!$I$27:$K$29,3,0)),H1317,N(N1317)),IF(N(Q1317)&gt;0,Q1317,MAX(1,H1317)))))</f>
        <v>1</v>
      </c>
      <c r="BZ1317" s="53" t="n">
        <f aca="false">IF(BX1317="LOSE",1,0)</f>
        <v>1</v>
      </c>
      <c r="CA1317" s="53" t="n">
        <f aca="false">IF(AND(U1317="",OR(P1317="",P1317="LOSE"),T1317&lt;&gt;"",N(S1317)&lt;=0,ISNUMBER(MATCH(T1317,Parameter!$I$27:$I$29,0))),1,0)</f>
        <v>0</v>
      </c>
      <c r="CB1317" s="53" t="n">
        <f aca="false">IF(CQ1317&gt;0,INDEX(Parameter!$H$5:$H$7,W1317)/INDEX(Parameter!$E$5:$E$7,W1317),IF(AND(BZ1317=0,N(IFERROR(VLOOKUP(BX1317,'Gebinde-Kategorie'!$A$5:$N$45,14,0),0))&gt;0),VLOOKUP(BX1317,'Gebinde-Kategorie'!$A$5:$N$45,14,0)*10+Parameter!$M$23,Parameter!$M$24))</f>
        <v>238</v>
      </c>
      <c r="CC1317" s="48" t="str">
        <f aca="false">IF(AND(Parameter!$B$19="Ja",E1317&lt;&gt;"",ISNUMBER(MATCH(E1317,Parameter!$I$35:$I$52,0))),VLOOKUP(E1317,Parameter!$I$35:$J$52,2,0),IFERROR(VLOOKUP(D1317,Parameter!$A$35:$C$64,2,0),"Nein"))</f>
        <v>2+3</v>
      </c>
      <c r="CD1317" s="52" t="n">
        <f aca="false">IF(BZ1317=0,0,IF(N(S1317)&gt;0,S1317,IFERROR(VLOOKUP(D1317,Parameter!$A$35:$C$64,3,0)+0,0)))</f>
        <v>0.15</v>
      </c>
      <c r="CE1317" s="48" t="n">
        <f aca="false">IF(AA1317&lt;&gt;"",AA1317,Z1317)</f>
        <v>1</v>
      </c>
      <c r="CF1317" s="48" t="str">
        <f aca="false">IF(OR(CE1317=1,CE1317=2,CE1317=3),IF(Parameter!$E$27="Ja","LIFT",IF(CE1317=1,"L1","L23")),IF(CE1317="Aussen","Aussen","-"))</f>
        <v>LIFT</v>
      </c>
      <c r="CG1317" s="59" t="n">
        <f aca="false">IF(N(AB1317)&gt;0,AB1317,0)</f>
        <v>0</v>
      </c>
      <c r="CH1317" s="53" t="n">
        <f aca="false">IF(ISNUMBER(AE1317),1,0)</f>
        <v>0</v>
      </c>
      <c r="CI1317" s="50" t="n">
        <f aca="false">N(AE1317)</f>
        <v>0</v>
      </c>
      <c r="CJ1317" s="50" t="n">
        <f aca="false">N(M1317)+N(N1317)</f>
        <v>5</v>
      </c>
      <c r="CK1317" s="50" t="n">
        <f aca="false">N(M1317)</f>
        <v>0</v>
      </c>
      <c r="CL1317" s="50" t="n">
        <f aca="false">N(N1317)</f>
        <v>5</v>
      </c>
      <c r="CM1317" s="50" t="n">
        <f aca="false">ROUNDUP(H1317/BY1317,0)</f>
        <v>1</v>
      </c>
      <c r="CN1317" s="50" t="n">
        <f aca="false">ROUNDUP(CI1317/BY1317,0)</f>
        <v>0</v>
      </c>
      <c r="CO1317" s="53" t="n">
        <f aca="false">IF(BZ1317=1,0,IFERROR(VLOOKUP(BX1317,'Gebinde-Kategorie'!$A$5:$N$45,5,0)+0,0))</f>
        <v>0</v>
      </c>
      <c r="CP1317" s="53" t="n">
        <f aca="false">IFERROR(IF(OR(CE1317=1,CE1317=2,CE1317=3),N(INDEX(Parameter!$I$5:$I$7,CE1317)),0),0)</f>
        <v>0</v>
      </c>
      <c r="CQ1317" s="52" t="n">
        <f aca="false">IF(AND(Parameter!$B$21="Ja",ISNUMBER(W1317),N(X1317)&gt;0),IFERROR(N(INDEX(Parameter!$L$5:$L$7,W1317))*INDEX(Parameter!$E$5:$E$7,W1317)*X1317/SUMIFS($X$7:$X$1843,$W$7:$W$1843,W1317),0),0)</f>
        <v>0.0800376647834275</v>
      </c>
    </row>
    <row r="1318" customFormat="false" ht="15" hidden="false" customHeight="false" outlineLevel="0" collapsed="false">
      <c r="A1318" s="48" t="s">
        <v>2348</v>
      </c>
      <c r="B1318" s="48" t="s">
        <v>2349</v>
      </c>
      <c r="C1318" s="48" t="s">
        <v>173</v>
      </c>
      <c r="D1318" s="48" t="s">
        <v>182</v>
      </c>
      <c r="E1318" s="48" t="s">
        <v>175</v>
      </c>
      <c r="F1318" s="48" t="s">
        <v>227</v>
      </c>
      <c r="G1318" s="49" t="n">
        <v>724.26</v>
      </c>
      <c r="H1318" s="50" t="n">
        <f aca="false">MAX(0,IF(AND(Parameter!$B$21="Ja",ISNUMBER(Y1318)),Y1318,IF(Parameter!$B$20="Jahresanfang 2025 + Export",BR1318+BQ1318,BQ1318)))</f>
        <v>9</v>
      </c>
      <c r="I1318" s="50" t="n">
        <f aca="false">H1318*G1318</f>
        <v>6518.34</v>
      </c>
      <c r="J1318" s="50" t="n">
        <f aca="false">BT1318*Parameter!$B$18</f>
        <v>24</v>
      </c>
      <c r="K1318" s="51" t="n">
        <v>11.5</v>
      </c>
      <c r="L1318" s="52" t="n">
        <v>2.08695652173913</v>
      </c>
      <c r="M1318" s="50" t="n">
        <v>5</v>
      </c>
      <c r="N1318" s="50" t="n">
        <v>10</v>
      </c>
      <c r="O1318" s="53" t="n">
        <v>70</v>
      </c>
      <c r="P1318" s="48" t="s">
        <v>183</v>
      </c>
      <c r="Q1318" s="50" t="n">
        <v>9</v>
      </c>
      <c r="R1318" s="53" t="n">
        <f aca="false">IF(BZ1318=1,0,IFERROR(VLOOKUP(BX1318,'Gebinde-Kategorie'!$A$5:$N$45,13,0)+0,0))</f>
        <v>6</v>
      </c>
      <c r="S1318" s="54"/>
      <c r="T1318" s="55"/>
      <c r="U1318" s="55"/>
      <c r="V1318" s="55"/>
      <c r="W1318" s="48"/>
      <c r="X1318" s="50"/>
      <c r="Y1318" s="50"/>
      <c r="Z1318" s="48" t="n">
        <f aca="false">IF(A1318="","",IF(AND(Parameter!$B$21="Ja",ISNUMBER(W1318)),W1318,IF(CC1318="2+3",IF(ISNUMBER(SEARCH("grosser Artikel",BU1318)),2,IFERROR(VLOOKUP(BX1318,Parameter!$F$35:$G$64,2,0),2)),IF(OR(CC1318="Nein",CC1318=""),"-",CC1318))))</f>
        <v>1</v>
      </c>
      <c r="AA1318" s="55"/>
      <c r="AB1318" s="56"/>
      <c r="AC1318" s="50" t="n">
        <f aca="false">AV1318</f>
        <v>15</v>
      </c>
      <c r="AD1318" s="50" t="n">
        <f aca="false">MAX(AV1318,H1318)</f>
        <v>15</v>
      </c>
      <c r="AE1318" s="57"/>
      <c r="AF1318" s="50" t="n">
        <f aca="false">IF(LEFT(Cockpit!$C$5,1)="A",H1318,IF(Parameter!$E$30="MAX-Bestand",IF(CH1318=1,CI1318,IF(LEFT(Cockpit!$C$5,1)="B",AL1318,MAX(AL1318,H1318))),ROUNDUP(AJ1318,0)))</f>
        <v>9</v>
      </c>
      <c r="AG1318" s="50" t="n">
        <f aca="false">IF(BZ1318=1,0,ROUNDUP(AF1318/BY1318,0))</f>
        <v>1</v>
      </c>
      <c r="AH1318" s="52" t="n">
        <f aca="false">IF(CQ1318&gt;0,CQ1318*MAX(1,AF1318/X1318),IF(BZ1318=1,IF(AF1318&lt;=0,0,CD1318*MAX(1,IF(H1318&gt;0,AF1318/H1318,1))),IF(R1318&gt;0,AG1318/R1318,0))/MAX(0.1,N(Parameter!$M$21)))</f>
        <v>0.166666666666667</v>
      </c>
      <c r="AI1318" s="50" t="n">
        <f aca="false">AH1318*CB1318</f>
        <v>39.1666666666667</v>
      </c>
      <c r="AJ1318" s="51" t="n">
        <f aca="false">IF(LEFT(Cockpit!$C$5,1)="A",H1318,IF(CH1318=1,(CK1318+CI1318)/2,IF(LEFT(Cockpit!$C$5,1)="B",(CK1318+AL1318)/2,MAX((CK1318+AL1318)/2,H1318))))</f>
        <v>9</v>
      </c>
      <c r="AK1318" s="50" t="n">
        <f aca="false">AJ1318*G1318</f>
        <v>6518.34</v>
      </c>
      <c r="AL1318" s="50" t="n">
        <f aca="false">ROUNDUP(CK1318+MAX(CL1318,2*(J1318/IF(CG1318&gt;0,CG1318,MAX(0.1,N(Cockpit!$C$6)))-CK1318)),0)</f>
        <v>15</v>
      </c>
      <c r="AM1318" s="51" t="n">
        <f aca="false">IF(AI1318&gt;0,J1318/AI1318,-1)</f>
        <v>0.612765957446809</v>
      </c>
      <c r="AN1318" s="51" t="n">
        <f aca="false">IF(AND(OR(CF1318="L1",CF1318="L23",CF1318="LIFT"),AI1318&gt;0),SUMIFS($AI$7:$AI$1843,$CF$7:$CF$1843,CF1318,$AM$7:$AM$1843,"&gt;"&amp;AM1318)+SUMIFS($AI$7:$AI$1843,$CF$7:$CF$1843,CF1318,$AM$7:$AM$1843,AM1318,$BW$7:$BW$1843,"&lt;="&amp;BW1318),"")</f>
        <v>9230.36947703897</v>
      </c>
      <c r="AO1318" s="58" t="n">
        <f aca="false">IF(AN1318="",0,MAX(0,MIN(1,(IF(CF1318="L1",Parameter!$H$5,IF(CF1318="L23",Parameter!$H$6+Parameter!$H$7,Parameter!$H$5+Parameter!$H$6+Parameter!$H$7))-(AN1318-AI1318))/AI1318)))</f>
        <v>1</v>
      </c>
      <c r="AP1318" s="50" t="n">
        <f aca="false">IF(LEFT(Cockpit!$I$5,1)="A",H1318,IF(Parameter!$E$30="MAX-Bestand",IF(CH1318=1,CI1318,IF(LEFT(Cockpit!$I$5,1)="B",AV1318,MAX(AV1318,H1318))),ROUNDUP(AT1318,0)))</f>
        <v>10</v>
      </c>
      <c r="AQ1318" s="50" t="n">
        <f aca="false">IF(BZ1318=1,0,ROUNDUP(AP1318/BY1318,0))</f>
        <v>2</v>
      </c>
      <c r="AR1318" s="52" t="n">
        <f aca="false">IF(CQ1318&gt;0,CQ1318*MAX(1,AP1318/X1318),IF(BZ1318=1,IF(AP1318&lt;=0,0,CD1318*MAX(1,IF(H1318&gt;0,AP1318/H1318,1))),IF(R1318&gt;0,AQ1318/R1318,0))/MAX(0.1,N(Parameter!$M$21)))</f>
        <v>0.333333333333333</v>
      </c>
      <c r="AS1318" s="50" t="n">
        <f aca="false">AR1318*CB1318</f>
        <v>78.3333333333333</v>
      </c>
      <c r="AT1318" s="51" t="n">
        <f aca="false">IF(LEFT(Cockpit!$I$5,1)="A",H1318,IF(CH1318=1,(CK1318+CI1318)/2,IF(LEFT(Cockpit!$I$5,1)="B",(CK1318+AV1318)/2,MAX((CK1318+AV1318)/2,H1318))))</f>
        <v>10</v>
      </c>
      <c r="AU1318" s="50" t="n">
        <f aca="false">AT1318*G1318</f>
        <v>7242.6</v>
      </c>
      <c r="AV1318" s="50" t="n">
        <f aca="false">ROUNDUP(CK1318+MAX(CL1318,2*(J1318/IF(CG1318&gt;0,CG1318,MAX(0.1,N(Cockpit!$I$6)))-CK1318)),0)</f>
        <v>15</v>
      </c>
      <c r="AW1318" s="51" t="n">
        <f aca="false">IF(AS1318&gt;0,J1318/AS1318,-1)</f>
        <v>0.306382978723404</v>
      </c>
      <c r="AX1318" s="51" t="n">
        <f aca="false">IF(AND(OR(CF1318="L1",CF1318="L23",CF1318="LIFT"),AS1318&gt;0),SUMIFS($AS$7:$AS$1843,$CF$7:$CF$1843,CF1318,$AW$7:$AW$1843,"&gt;"&amp;AW1318)+SUMIFS($AS$7:$AS$1843,$CF$7:$CF$1843,CF1318,$AW$7:$AW$1843,AW1318,$BW$7:$BW$1843,"&lt;="&amp;BW1318),"")</f>
        <v>14090.5096153846</v>
      </c>
      <c r="AY1318" s="58" t="n">
        <f aca="false">IF(AX1318="",0,MAX(0,MIN(1,(IF(CF1318="L1",Parameter!$H$5,IF(CF1318="L23",Parameter!$H$6+Parameter!$H$7,Parameter!$H$5+Parameter!$H$6+Parameter!$H$7))-(AX1318-AS1318))/AS1318)))</f>
        <v>1</v>
      </c>
      <c r="AZ1318" s="50" t="n">
        <f aca="false">IF(LEFT(Cockpit!$O$5,1)="A",H1318,IF(Parameter!$E$30="MAX-Bestand",IF(CH1318=1,CI1318,IF(LEFT(Cockpit!$O$5,1)="B",BF1318,MAX(BF1318,H1318))),ROUNDUP(BD1318,0)))</f>
        <v>10</v>
      </c>
      <c r="BA1318" s="50" t="n">
        <f aca="false">IF(BZ1318=1,0,ROUNDUP(AZ1318/BY1318,0))</f>
        <v>2</v>
      </c>
      <c r="BB1318" s="52" t="n">
        <f aca="false">IF(CQ1318&gt;0,CQ1318*MAX(1,AZ1318/X1318),IF(BZ1318=1,IF(AZ1318&lt;=0,0,CD1318*MAX(1,IF(H1318&gt;0,AZ1318/H1318,1))),IF(R1318&gt;0,BA1318/R1318,0))/MAX(0.1,N(Parameter!$M$21)))</f>
        <v>0.333333333333333</v>
      </c>
      <c r="BC1318" s="50" t="n">
        <f aca="false">BB1318*CB1318</f>
        <v>78.3333333333333</v>
      </c>
      <c r="BD1318" s="51" t="n">
        <f aca="false">IF(LEFT(Cockpit!$O$5,1)="A",H1318,IF(CH1318=1,(CK1318+CI1318)/2,IF(LEFT(Cockpit!$O$5,1)="B",(CK1318+BF1318)/2,MAX((CK1318+BF1318)/2,H1318))))</f>
        <v>10</v>
      </c>
      <c r="BE1318" s="50" t="n">
        <f aca="false">BD1318*G1318</f>
        <v>7242.6</v>
      </c>
      <c r="BF1318" s="50" t="n">
        <f aca="false">ROUNDUP(CK1318+MAX(CL1318,2*(J1318/IF(CG1318&gt;0,CG1318,MAX(0.1,N(Cockpit!$O$6)))-CK1318)),0)</f>
        <v>15</v>
      </c>
      <c r="BG1318" s="51" t="n">
        <f aca="false">IF(BC1318&gt;0,J1318/BC1318,-1)</f>
        <v>0.306382978723404</v>
      </c>
      <c r="BH1318" s="51" t="n">
        <f aca="false">IF(AND(OR(CF1318="L1",CF1318="L23",CF1318="LIFT"),BC1318&gt;0),SUMIFS($BC$7:$BC$1843,$CF$7:$CF$1843,CF1318,$BG$7:$BG$1843,"&gt;"&amp;BG1318)+SUMIFS($BC$7:$BC$1843,$CF$7:$CF$1843,CF1318,$BG$7:$BG$1843,BG1318,$BW$7:$BW$1843,"&lt;="&amp;BW1318),"")</f>
        <v>11872.5581501832</v>
      </c>
      <c r="BI1318" s="58" t="n">
        <f aca="false">IF(BH1318="",0,MAX(0,MIN(1,(IF(CF1318="L1",Parameter!$H$5,IF(CF1318="L23",Parameter!$H$6+Parameter!$H$7,Parameter!$H$5+Parameter!$H$6+Parameter!$H$7))-(BH1318-BC1318))/BC1318)))</f>
        <v>1</v>
      </c>
      <c r="BJ1318" s="48" t="str">
        <f aca="false">IF(AI1318&lt;=0,"",IF(CF1318="Aussen","Aussenlager",IF(CF1318="-","Nicht im Lift",IF(AO1318&gt;=1,"Lift",IF(AO1318&lt;=0,"Aussenlager","teilweise")))))</f>
        <v>Lift</v>
      </c>
      <c r="BK1318" s="48" t="str">
        <f aca="false">IF(AS1318&lt;=0,"",IF(CF1318="Aussen","Aussenlager",IF(CF1318="-","Nicht im Lift",IF(AY1318&gt;=1,"Lift",IF(AY1318&lt;=0,"Aussenlager","teilweise")))))</f>
        <v>Lift</v>
      </c>
      <c r="BL1318" s="48" t="str">
        <f aca="false">IF(BC1318&lt;=0,"",IF(CF1318="Aussen","Aussenlager",IF(CF1318="-","Nicht im Lift",IF(BI1318&gt;=1,"Lift",IF(BI1318&lt;=0,"Aussenlager","teilweise")))))</f>
        <v>Lift</v>
      </c>
      <c r="BM1318" s="48" t="str">
        <f aca="false">IF(A1318="","",IF(BV1318=1,"Neu; ","")&amp;IF(AND(BV1318=0,BQ1318&lt;0),"negativer Bestand (Export "&amp;BQ1318&amp;"); ","")&amp;IF(J1318&lt;=0,"Kein Verbrauch; ","")&amp;IF(CQ1318&gt;0,"Lift "&amp;W1318&amp;" lt. Liftbericht (Fach "&amp;X1318&amp;" Stk); ",IF(CA1318=1,"Gebinde geschätzt ("&amp;T1318&amp;"); ",IF(BZ1318=1,"Lose – Tablare geschätzt; ","")))&amp;IF(H1318&gt;AV1318,"Überbestand "&amp;ROUND(H1318-AV1318,0)&amp;" Stk / CHF "&amp;ROUND((H1318-AV1318)*G1318,0)&amp;"; ","")&amp;IF(AND(CH1318=1,CI1318&lt;CJ1318),"MAX &lt; MB+LG; ","")&amp;IF(AND(CP1318&gt;0,CO1318*10&gt;CP1318),"zu hoch für Tablar; ","")&amp;IF(AND(BV1318=0,OR(CH1318=1,AA1318&lt;&gt;"",U1318&lt;&gt;"",V1318&lt;&gt;"",AB1318&lt;&gt;"")),"manuell übersteuert; ","")&amp;IF(AND(BZ1318=0,R1318=0),"Gebinde unbekannt / Stellmass fehlt; ","")&amp;IF(AND(BZ1318=0,N(V1318)&lt;=0,N(Q1318)&lt;=0),"Menge pro Gebinde fehlt (Ist = 1 Gebinde); ","")&amp;BU1318)</f>
        <v>negativer Bestand (Export -7); </v>
      </c>
      <c r="BN1318" s="48"/>
      <c r="BO1318" s="48"/>
      <c r="BP1318" s="55"/>
      <c r="BQ1318" s="50" t="n">
        <v>-7</v>
      </c>
      <c r="BR1318" s="50" t="n">
        <v>16</v>
      </c>
      <c r="BS1318" s="49" t="n">
        <v>-1388.67000000001</v>
      </c>
      <c r="BT1318" s="50" t="n">
        <v>24</v>
      </c>
      <c r="BU1318" s="48"/>
      <c r="BV1318" s="53" t="n">
        <v>0</v>
      </c>
      <c r="BW1318" s="53" t="n">
        <v>1318</v>
      </c>
      <c r="BX1318" s="48" t="str">
        <f aca="false">IF(U1318&lt;&gt;"",UPPER(TRIM(U1318)),IF(CA1318=1,UPPER(VLOOKUP(T1318,Parameter!$I$27:$K$29,2,0)),IF(P1318="","LOSE",P1318)))</f>
        <v>S71</v>
      </c>
      <c r="BY1318" s="50" t="n">
        <f aca="false">IF(BX1318="LOSE",1,IF(N(V1318)&gt;0,V1318,IF(CA1318=1,MAX(1,N(VLOOKUP(T1318,Parameter!$I$27:$K$29,3,0)),H1318,N(N1318)),IF(N(Q1318)&gt;0,Q1318,MAX(1,H1318)))))</f>
        <v>9</v>
      </c>
      <c r="BZ1318" s="53" t="n">
        <f aca="false">IF(BX1318="LOSE",1,0)</f>
        <v>0</v>
      </c>
      <c r="CA1318" s="53" t="n">
        <f aca="false">IF(AND(U1318="",OR(P1318="",P1318="LOSE"),T1318&lt;&gt;"",N(S1318)&lt;=0,ISNUMBER(MATCH(T1318,Parameter!$I$27:$I$29,0))),1,0)</f>
        <v>0</v>
      </c>
      <c r="CB1318" s="53" t="n">
        <f aca="false">IF(CQ1318&gt;0,INDEX(Parameter!$H$5:$H$7,W1318)/INDEX(Parameter!$E$5:$E$7,W1318),IF(AND(BZ1318=0,N(IFERROR(VLOOKUP(BX1318,'Gebinde-Kategorie'!$A$5:$N$45,14,0),0))&gt;0),VLOOKUP(BX1318,'Gebinde-Kategorie'!$A$5:$N$45,14,0)*10+Parameter!$M$23,Parameter!$M$24))</f>
        <v>235</v>
      </c>
      <c r="CC1318" s="48" t="n">
        <f aca="false">IF(AND(Parameter!$B$19="Ja",E1318&lt;&gt;"",ISNUMBER(MATCH(E1318,Parameter!$I$35:$I$52,0))),VLOOKUP(E1318,Parameter!$I$35:$J$52,2,0),IFERROR(VLOOKUP(D1318,Parameter!$A$35:$C$64,2,0),"Nein"))</f>
        <v>1</v>
      </c>
      <c r="CD1318" s="52" t="n">
        <f aca="false">IF(BZ1318=0,0,IF(N(S1318)&gt;0,S1318,IFERROR(VLOOKUP(D1318,Parameter!$A$35:$C$64,3,0)+0,0)))</f>
        <v>0</v>
      </c>
      <c r="CE1318" s="48" t="n">
        <f aca="false">IF(AA1318&lt;&gt;"",AA1318,Z1318)</f>
        <v>1</v>
      </c>
      <c r="CF1318" s="48" t="str">
        <f aca="false">IF(OR(CE1318=1,CE1318=2,CE1318=3),IF(Parameter!$E$27="Ja","LIFT",IF(CE1318=1,"L1","L23")),IF(CE1318="Aussen","Aussen","-"))</f>
        <v>LIFT</v>
      </c>
      <c r="CG1318" s="59" t="n">
        <f aca="false">IF(N(AB1318)&gt;0,AB1318,0)</f>
        <v>0</v>
      </c>
      <c r="CH1318" s="53" t="n">
        <f aca="false">IF(ISNUMBER(AE1318),1,0)</f>
        <v>0</v>
      </c>
      <c r="CI1318" s="50" t="n">
        <f aca="false">N(AE1318)</f>
        <v>0</v>
      </c>
      <c r="CJ1318" s="50" t="n">
        <f aca="false">N(M1318)+N(N1318)</f>
        <v>15</v>
      </c>
      <c r="CK1318" s="50" t="n">
        <f aca="false">N(M1318)</f>
        <v>5</v>
      </c>
      <c r="CL1318" s="50" t="n">
        <f aca="false">N(N1318)</f>
        <v>10</v>
      </c>
      <c r="CM1318" s="50" t="n">
        <f aca="false">ROUNDUP(H1318/BY1318,0)</f>
        <v>1</v>
      </c>
      <c r="CN1318" s="50" t="n">
        <f aca="false">ROUNDUP(CI1318/BY1318,0)</f>
        <v>0</v>
      </c>
      <c r="CO1318" s="53" t="n">
        <f aca="false">IF(BZ1318=1,0,IFERROR(VLOOKUP(BX1318,'Gebinde-Kategorie'!$A$5:$N$45,5,0)+0,0))</f>
        <v>20</v>
      </c>
      <c r="CP1318" s="53" t="n">
        <f aca="false">IFERROR(IF(OR(CE1318=1,CE1318=2,CE1318=3),N(INDEX(Parameter!$I$5:$I$7,CE1318)),0),0)</f>
        <v>0</v>
      </c>
      <c r="CQ1318" s="52" t="n">
        <f aca="false">IF(AND(Parameter!$B$21="Ja",ISNUMBER(W1318),N(X1318)&gt;0),IFERROR(N(INDEX(Parameter!$L$5:$L$7,W1318))*INDEX(Parameter!$E$5:$E$7,W1318)*X1318/SUMIFS($X$7:$X$1843,$W$7:$W$1843,W1318),0),0)</f>
        <v>0</v>
      </c>
    </row>
    <row r="1319" customFormat="false" ht="15" hidden="false" customHeight="false" outlineLevel="0" collapsed="false">
      <c r="A1319" s="48" t="s">
        <v>2350</v>
      </c>
      <c r="B1319" s="48" t="s">
        <v>2351</v>
      </c>
      <c r="C1319" s="48" t="s">
        <v>173</v>
      </c>
      <c r="D1319" s="48" t="s">
        <v>182</v>
      </c>
      <c r="E1319" s="48" t="s">
        <v>474</v>
      </c>
      <c r="F1319" s="48" t="s">
        <v>227</v>
      </c>
      <c r="G1319" s="49" t="n">
        <v>701.08</v>
      </c>
      <c r="H1319" s="50" t="n">
        <f aca="false">MAX(0,IF(AND(Parameter!$B$21="Ja",ISNUMBER(Y1319)),Y1319,IF(Parameter!$B$20="Jahresanfang 2025 + Export",BR1319+BQ1319,BQ1319)))</f>
        <v>0</v>
      </c>
      <c r="I1319" s="50" t="n">
        <f aca="false">H1319*G1319</f>
        <v>0</v>
      </c>
      <c r="J1319" s="50" t="n">
        <f aca="false">BT1319*Parameter!$B$18</f>
        <v>2</v>
      </c>
      <c r="K1319" s="51" t="n">
        <v>3</v>
      </c>
      <c r="L1319" s="52" t="n">
        <v>0.666666666666667</v>
      </c>
      <c r="M1319" s="50" t="n">
        <v>0</v>
      </c>
      <c r="N1319" s="50" t="n">
        <v>1</v>
      </c>
      <c r="O1319" s="53" t="n">
        <v>14</v>
      </c>
      <c r="P1319" s="48" t="s">
        <v>177</v>
      </c>
      <c r="Q1319" s="50"/>
      <c r="R1319" s="53" t="n">
        <f aca="false">IF(BZ1319=1,0,IFERROR(VLOOKUP(BX1319,'Gebinde-Kategorie'!$A$5:$N$45,13,0)+0,0))</f>
        <v>4</v>
      </c>
      <c r="S1319" s="54"/>
      <c r="T1319" s="55" t="s">
        <v>198</v>
      </c>
      <c r="U1319" s="55"/>
      <c r="V1319" s="55"/>
      <c r="W1319" s="48"/>
      <c r="X1319" s="50"/>
      <c r="Y1319" s="50"/>
      <c r="Z1319" s="48" t="str">
        <f aca="false">IF(A1319="","",IF(AND(Parameter!$B$21="Ja",ISNUMBER(W1319)),W1319,IF(CC1319="2+3",IF(ISNUMBER(SEARCH("grosser Artikel",BU1319)),2,IFERROR(VLOOKUP(BX1319,Parameter!$F$35:$G$64,2,0),2)),IF(OR(CC1319="Nein",CC1319=""),"-",CC1319))))</f>
        <v>-</v>
      </c>
      <c r="AA1319" s="55"/>
      <c r="AB1319" s="56"/>
      <c r="AC1319" s="50" t="n">
        <f aca="false">AV1319</f>
        <v>2</v>
      </c>
      <c r="AD1319" s="50" t="n">
        <f aca="false">MAX(AV1319,H1319)</f>
        <v>2</v>
      </c>
      <c r="AE1319" s="57"/>
      <c r="AF1319" s="50" t="n">
        <f aca="false">IF(LEFT(Cockpit!$C$5,1)="A",H1319,IF(Parameter!$E$30="MAX-Bestand",IF(CH1319=1,CI1319,IF(LEFT(Cockpit!$C$5,1)="B",AL1319,MAX(AL1319,H1319))),ROUNDUP(AJ1319,0)))</f>
        <v>0</v>
      </c>
      <c r="AG1319" s="50" t="n">
        <f aca="false">IF(BZ1319=1,0,ROUNDUP(AF1319/BY1319,0))</f>
        <v>0</v>
      </c>
      <c r="AH1319" s="52" t="n">
        <f aca="false">IF(CQ1319&gt;0,CQ1319*MAX(1,AF1319/X1319),IF(BZ1319=1,IF(AF1319&lt;=0,0,CD1319*MAX(1,IF(H1319&gt;0,AF1319/H1319,1))),IF(R1319&gt;0,AG1319/R1319,0))/MAX(0.1,N(Parameter!$M$21)))</f>
        <v>0</v>
      </c>
      <c r="AI1319" s="50" t="n">
        <f aca="false">AH1319*CB1319</f>
        <v>0</v>
      </c>
      <c r="AJ1319" s="51" t="n">
        <f aca="false">IF(LEFT(Cockpit!$C$5,1)="A",H1319,IF(CH1319=1,(CK1319+CI1319)/2,IF(LEFT(Cockpit!$C$5,1)="B",(CK1319+AL1319)/2,MAX((CK1319+AL1319)/2,H1319))))</f>
        <v>0</v>
      </c>
      <c r="AK1319" s="50" t="n">
        <f aca="false">AJ1319*G1319</f>
        <v>0</v>
      </c>
      <c r="AL1319" s="50" t="n">
        <f aca="false">ROUNDUP(CK1319+MAX(CL1319,2*(J1319/IF(CG1319&gt;0,CG1319,MAX(0.1,N(Cockpit!$C$6)))-CK1319)),0)</f>
        <v>2</v>
      </c>
      <c r="AM1319" s="51" t="n">
        <f aca="false">IF(AI1319&gt;0,J1319/AI1319,-1)</f>
        <v>-1</v>
      </c>
      <c r="AN1319" s="51" t="str">
        <f aca="false">IF(AND(OR(CF1319="L1",CF1319="L23",CF1319="LIFT"),AI1319&gt;0),SUMIFS($AI$7:$AI$1843,$CF$7:$CF$1843,CF1319,$AM$7:$AM$1843,"&gt;"&amp;AM1319)+SUMIFS($AI$7:$AI$1843,$CF$7:$CF$1843,CF1319,$AM$7:$AM$1843,AM1319,$BW$7:$BW$1843,"&lt;="&amp;BW1319),"")</f>
        <v/>
      </c>
      <c r="AO1319" s="58" t="n">
        <f aca="false">IF(AN1319="",0,MAX(0,MIN(1,(IF(CF1319="L1",Parameter!$H$5,IF(CF1319="L23",Parameter!$H$6+Parameter!$H$7,Parameter!$H$5+Parameter!$H$6+Parameter!$H$7))-(AN1319-AI1319))/AI1319)))</f>
        <v>0</v>
      </c>
      <c r="AP1319" s="50" t="n">
        <f aca="false">IF(LEFT(Cockpit!$I$5,1)="A",H1319,IF(Parameter!$E$30="MAX-Bestand",IF(CH1319=1,CI1319,IF(LEFT(Cockpit!$I$5,1)="B",AV1319,MAX(AV1319,H1319))),ROUNDUP(AT1319,0)))</f>
        <v>1</v>
      </c>
      <c r="AQ1319" s="50" t="n">
        <f aca="false">IF(BZ1319=1,0,ROUNDUP(AP1319/BY1319,0))</f>
        <v>1</v>
      </c>
      <c r="AR1319" s="52" t="n">
        <f aca="false">IF(CQ1319&gt;0,CQ1319*MAX(1,AP1319/X1319),IF(BZ1319=1,IF(AP1319&lt;=0,0,CD1319*MAX(1,IF(H1319&gt;0,AP1319/H1319,1))),IF(R1319&gt;0,AQ1319/R1319,0))/MAX(0.1,N(Parameter!$M$21)))</f>
        <v>0.25</v>
      </c>
      <c r="AS1319" s="50" t="n">
        <f aca="false">AR1319*CB1319</f>
        <v>58.75</v>
      </c>
      <c r="AT1319" s="51" t="n">
        <f aca="false">IF(LEFT(Cockpit!$I$5,1)="A",H1319,IF(CH1319=1,(CK1319+CI1319)/2,IF(LEFT(Cockpit!$I$5,1)="B",(CK1319+AV1319)/2,MAX((CK1319+AV1319)/2,H1319))))</f>
        <v>1</v>
      </c>
      <c r="AU1319" s="50" t="n">
        <f aca="false">AT1319*G1319</f>
        <v>701.08</v>
      </c>
      <c r="AV1319" s="50" t="n">
        <f aca="false">ROUNDUP(CK1319+MAX(CL1319,2*(J1319/IF(CG1319&gt;0,CG1319,MAX(0.1,N(Cockpit!$I$6)))-CK1319)),0)</f>
        <v>2</v>
      </c>
      <c r="AW1319" s="51" t="n">
        <f aca="false">IF(AS1319&gt;0,J1319/AS1319,-1)</f>
        <v>0.0340425531914894</v>
      </c>
      <c r="AX1319" s="51" t="str">
        <f aca="false">IF(AND(OR(CF1319="L1",CF1319="L23",CF1319="LIFT"),AS1319&gt;0),SUMIFS($AS$7:$AS$1843,$CF$7:$CF$1843,CF1319,$AW$7:$AW$1843,"&gt;"&amp;AW1319)+SUMIFS($AS$7:$AS$1843,$CF$7:$CF$1843,CF1319,$AW$7:$AW$1843,AW1319,$BW$7:$BW$1843,"&lt;="&amp;BW1319),"")</f>
        <v/>
      </c>
      <c r="AY1319" s="58" t="n">
        <f aca="false">IF(AX1319="",0,MAX(0,MIN(1,(IF(CF1319="L1",Parameter!$H$5,IF(CF1319="L23",Parameter!$H$6+Parameter!$H$7,Parameter!$H$5+Parameter!$H$6+Parameter!$H$7))-(AX1319-AS1319))/AS1319)))</f>
        <v>0</v>
      </c>
      <c r="AZ1319" s="50" t="n">
        <f aca="false">IF(LEFT(Cockpit!$O$5,1)="A",H1319,IF(Parameter!$E$30="MAX-Bestand",IF(CH1319=1,CI1319,IF(LEFT(Cockpit!$O$5,1)="B",BF1319,MAX(BF1319,H1319))),ROUNDUP(BD1319,0)))</f>
        <v>1</v>
      </c>
      <c r="BA1319" s="50" t="n">
        <f aca="false">IF(BZ1319=1,0,ROUNDUP(AZ1319/BY1319,0))</f>
        <v>1</v>
      </c>
      <c r="BB1319" s="52" t="n">
        <f aca="false">IF(CQ1319&gt;0,CQ1319*MAX(1,AZ1319/X1319),IF(BZ1319=1,IF(AZ1319&lt;=0,0,CD1319*MAX(1,IF(H1319&gt;0,AZ1319/H1319,1))),IF(R1319&gt;0,BA1319/R1319,0))/MAX(0.1,N(Parameter!$M$21)))</f>
        <v>0.25</v>
      </c>
      <c r="BC1319" s="50" t="n">
        <f aca="false">BB1319*CB1319</f>
        <v>58.75</v>
      </c>
      <c r="BD1319" s="51" t="n">
        <f aca="false">IF(LEFT(Cockpit!$O$5,1)="A",H1319,IF(CH1319=1,(CK1319+CI1319)/2,IF(LEFT(Cockpit!$O$5,1)="B",(CK1319+BF1319)/2,MAX((CK1319+BF1319)/2,H1319))))</f>
        <v>0.5</v>
      </c>
      <c r="BE1319" s="50" t="n">
        <f aca="false">BD1319*G1319</f>
        <v>350.54</v>
      </c>
      <c r="BF1319" s="50" t="n">
        <f aca="false">ROUNDUP(CK1319+MAX(CL1319,2*(J1319/IF(CG1319&gt;0,CG1319,MAX(0.1,N(Cockpit!$O$6)))-CK1319)),0)</f>
        <v>1</v>
      </c>
      <c r="BG1319" s="51" t="n">
        <f aca="false">IF(BC1319&gt;0,J1319/BC1319,-1)</f>
        <v>0.0340425531914894</v>
      </c>
      <c r="BH1319" s="51" t="str">
        <f aca="false">IF(AND(OR(CF1319="L1",CF1319="L23",CF1319="LIFT"),BC1319&gt;0),SUMIFS($BC$7:$BC$1843,$CF$7:$CF$1843,CF1319,$BG$7:$BG$1843,"&gt;"&amp;BG1319)+SUMIFS($BC$7:$BC$1843,$CF$7:$CF$1843,CF1319,$BG$7:$BG$1843,BG1319,$BW$7:$BW$1843,"&lt;="&amp;BW1319),"")</f>
        <v/>
      </c>
      <c r="BI1319" s="58" t="n">
        <f aca="false">IF(BH1319="",0,MAX(0,MIN(1,(IF(CF1319="L1",Parameter!$H$5,IF(CF1319="L23",Parameter!$H$6+Parameter!$H$7,Parameter!$H$5+Parameter!$H$6+Parameter!$H$7))-(BH1319-BC1319))/BC1319)))</f>
        <v>0</v>
      </c>
      <c r="BJ1319" s="48" t="str">
        <f aca="false">IF(AI1319&lt;=0,"",IF(CF1319="Aussen","Aussenlager",IF(CF1319="-","Nicht im Lift",IF(AO1319&gt;=1,"Lift",IF(AO1319&lt;=0,"Aussenlager","teilweise")))))</f>
        <v/>
      </c>
      <c r="BK1319" s="48" t="str">
        <f aca="false">IF(AS1319&lt;=0,"",IF(CF1319="Aussen","Aussenlager",IF(CF1319="-","Nicht im Lift",IF(AY1319&gt;=1,"Lift",IF(AY1319&lt;=0,"Aussenlager","teilweise")))))</f>
        <v>Nicht im Lift</v>
      </c>
      <c r="BL1319" s="48" t="str">
        <f aca="false">IF(BC1319&lt;=0,"",IF(CF1319="Aussen","Aussenlager",IF(CF1319="-","Nicht im Lift",IF(BI1319&gt;=1,"Lift",IF(BI1319&lt;=0,"Aussenlager","teilweise")))))</f>
        <v>Nicht im Lift</v>
      </c>
      <c r="BM1319" s="48" t="str">
        <f aca="false">IF(A1319="","",IF(BV1319=1,"Neu; ","")&amp;IF(AND(BV1319=0,BQ1319&lt;0),"negativer Bestand (Export "&amp;BQ1319&amp;"); ","")&amp;IF(J1319&lt;=0,"Kein Verbrauch; ","")&amp;IF(CQ1319&gt;0,"Lift "&amp;W1319&amp;" lt. Liftbericht (Fach "&amp;X1319&amp;" Stk); ",IF(CA1319=1,"Gebinde geschätzt ("&amp;T1319&amp;"); ",IF(BZ1319=1,"Lose – Tablare geschätzt; ","")))&amp;IF(H1319&gt;AV1319,"Überbestand "&amp;ROUND(H1319-AV1319,0)&amp;" Stk / CHF "&amp;ROUND((H1319-AV1319)*G1319,0)&amp;"; ","")&amp;IF(AND(CH1319=1,CI1319&lt;CJ1319),"MAX &lt; MB+LG; ","")&amp;IF(AND(CP1319&gt;0,CO1319*10&gt;CP1319),"zu hoch für Tablar; ","")&amp;IF(AND(BV1319=0,OR(CH1319=1,AA1319&lt;&gt;"",U1319&lt;&gt;"",V1319&lt;&gt;"",AB1319&lt;&gt;"")),"manuell übersteuert; ","")&amp;IF(AND(BZ1319=0,R1319=0),"Gebinde unbekannt / Stellmass fehlt; ","")&amp;IF(AND(BZ1319=0,N(V1319)&lt;=0,N(Q1319)&lt;=0),"Menge pro Gebinde fehlt (Ist = 1 Gebinde); ","")&amp;BU1319)</f>
        <v>negativer Bestand (Export -2); Gebinde geschätzt (Gross); Menge pro Gebinde fehlt (Ist = 1 Gebinde); </v>
      </c>
      <c r="BN1319" s="48"/>
      <c r="BO1319" s="48"/>
      <c r="BP1319" s="55"/>
      <c r="BQ1319" s="50" t="n">
        <v>-2</v>
      </c>
      <c r="BR1319" s="50" t="n">
        <v>2</v>
      </c>
      <c r="BS1319" s="49" t="n">
        <v>-1402.16</v>
      </c>
      <c r="BT1319" s="50" t="n">
        <v>2</v>
      </c>
      <c r="BU1319" s="48"/>
      <c r="BV1319" s="53" t="n">
        <v>0</v>
      </c>
      <c r="BW1319" s="53" t="n">
        <v>1319</v>
      </c>
      <c r="BX1319" s="48" t="str">
        <f aca="false">IF(U1319&lt;&gt;"",UPPER(TRIM(U1319)),IF(CA1319=1,UPPER(VLOOKUP(T1319,Parameter!$I$27:$K$29,2,0)),IF(P1319="","LOSE",P1319)))</f>
        <v>S81</v>
      </c>
      <c r="BY1319" s="50" t="n">
        <f aca="false">IF(BX1319="LOSE",1,IF(N(V1319)&gt;0,V1319,IF(CA1319=1,MAX(1,N(VLOOKUP(T1319,Parameter!$I$27:$K$29,3,0)),H1319,N(N1319)),IF(N(Q1319)&gt;0,Q1319,MAX(1,H1319)))))</f>
        <v>2</v>
      </c>
      <c r="BZ1319" s="53" t="n">
        <f aca="false">IF(BX1319="LOSE",1,0)</f>
        <v>0</v>
      </c>
      <c r="CA1319" s="53" t="n">
        <f aca="false">IF(AND(U1319="",OR(P1319="",P1319="LOSE"),T1319&lt;&gt;"",N(S1319)&lt;=0,ISNUMBER(MATCH(T1319,Parameter!$I$27:$I$29,0))),1,0)</f>
        <v>1</v>
      </c>
      <c r="CB1319" s="53" t="n">
        <f aca="false">IF(CQ1319&gt;0,INDEX(Parameter!$H$5:$H$7,W1319)/INDEX(Parameter!$E$5:$E$7,W1319),IF(AND(BZ1319=0,N(IFERROR(VLOOKUP(BX1319,'Gebinde-Kategorie'!$A$5:$N$45,14,0),0))&gt;0),VLOOKUP(BX1319,'Gebinde-Kategorie'!$A$5:$N$45,14,0)*10+Parameter!$M$23,Parameter!$M$24))</f>
        <v>235</v>
      </c>
      <c r="CC1319" s="48" t="str">
        <f aca="false">IF(AND(Parameter!$B$19="Ja",E1319&lt;&gt;"",ISNUMBER(MATCH(E1319,Parameter!$I$35:$I$52,0))),VLOOKUP(E1319,Parameter!$I$35:$J$52,2,0),IFERROR(VLOOKUP(D1319,Parameter!$A$35:$C$64,2,0),"Nein"))</f>
        <v>Nein</v>
      </c>
      <c r="CD1319" s="52" t="n">
        <f aca="false">IF(BZ1319=0,0,IF(N(S1319)&gt;0,S1319,IFERROR(VLOOKUP(D1319,Parameter!$A$35:$C$64,3,0)+0,0)))</f>
        <v>0</v>
      </c>
      <c r="CE1319" s="48" t="str">
        <f aca="false">IF(AA1319&lt;&gt;"",AA1319,Z1319)</f>
        <v>-</v>
      </c>
      <c r="CF1319" s="48" t="str">
        <f aca="false">IF(OR(CE1319=1,CE1319=2,CE1319=3),IF(Parameter!$E$27="Ja","LIFT",IF(CE1319=1,"L1","L23")),IF(CE1319="Aussen","Aussen","-"))</f>
        <v>-</v>
      </c>
      <c r="CG1319" s="59" t="n">
        <f aca="false">IF(N(AB1319)&gt;0,AB1319,0)</f>
        <v>0</v>
      </c>
      <c r="CH1319" s="53" t="n">
        <f aca="false">IF(ISNUMBER(AE1319),1,0)</f>
        <v>0</v>
      </c>
      <c r="CI1319" s="50" t="n">
        <f aca="false">N(AE1319)</f>
        <v>0</v>
      </c>
      <c r="CJ1319" s="50" t="n">
        <f aca="false">N(M1319)+N(N1319)</f>
        <v>1</v>
      </c>
      <c r="CK1319" s="50" t="n">
        <f aca="false">N(M1319)</f>
        <v>0</v>
      </c>
      <c r="CL1319" s="50" t="n">
        <f aca="false">N(N1319)</f>
        <v>1</v>
      </c>
      <c r="CM1319" s="50" t="n">
        <f aca="false">ROUNDUP(H1319/BY1319,0)</f>
        <v>0</v>
      </c>
      <c r="CN1319" s="50" t="n">
        <f aca="false">ROUNDUP(CI1319/BY1319,0)</f>
        <v>0</v>
      </c>
      <c r="CO1319" s="53" t="n">
        <f aca="false">IF(BZ1319=1,0,IFERROR(VLOOKUP(BX1319,'Gebinde-Kategorie'!$A$5:$N$45,5,0)+0,0))</f>
        <v>20</v>
      </c>
      <c r="CP1319" s="53" t="n">
        <f aca="false">IFERROR(IF(OR(CE1319=1,CE1319=2,CE1319=3),N(INDEX(Parameter!$I$5:$I$7,CE1319)),0),0)</f>
        <v>0</v>
      </c>
      <c r="CQ1319" s="52" t="n">
        <f aca="false">IF(AND(Parameter!$B$21="Ja",ISNUMBER(W1319),N(X1319)&gt;0),IFERROR(N(INDEX(Parameter!$L$5:$L$7,W1319))*INDEX(Parameter!$E$5:$E$7,W1319)*X1319/SUMIFS($X$7:$X$1843,$W$7:$W$1843,W1319),0),0)</f>
        <v>0</v>
      </c>
    </row>
    <row r="1320" customFormat="false" ht="15" hidden="false" customHeight="false" outlineLevel="0" collapsed="false">
      <c r="A1320" s="48" t="s">
        <v>2352</v>
      </c>
      <c r="B1320" s="48" t="s">
        <v>2353</v>
      </c>
      <c r="C1320" s="48" t="s">
        <v>173</v>
      </c>
      <c r="D1320" s="48" t="s">
        <v>193</v>
      </c>
      <c r="E1320" s="48" t="s">
        <v>194</v>
      </c>
      <c r="F1320" s="48" t="s">
        <v>227</v>
      </c>
      <c r="G1320" s="49" t="n">
        <v>564.84</v>
      </c>
      <c r="H1320" s="50" t="n">
        <f aca="false">MAX(0,IF(AND(Parameter!$B$21="Ja",ISNUMBER(Y1320)),Y1320,IF(Parameter!$B$20="Jahresanfang 2025 + Export",BR1320+BQ1320,BQ1320)))</f>
        <v>1</v>
      </c>
      <c r="I1320" s="50" t="n">
        <f aca="false">H1320*G1320</f>
        <v>564.84</v>
      </c>
      <c r="J1320" s="50" t="n">
        <f aca="false">BT1320*Parameter!$B$18</f>
        <v>15</v>
      </c>
      <c r="K1320" s="51" t="n">
        <v>3.5</v>
      </c>
      <c r="L1320" s="52" t="n">
        <v>4.28571428571429</v>
      </c>
      <c r="M1320" s="50" t="n">
        <v>0</v>
      </c>
      <c r="N1320" s="50" t="n">
        <v>10</v>
      </c>
      <c r="O1320" s="53" t="n">
        <v>21</v>
      </c>
      <c r="P1320" s="48" t="s">
        <v>235</v>
      </c>
      <c r="Q1320" s="50" t="n">
        <v>8</v>
      </c>
      <c r="R1320" s="53" t="n">
        <f aca="false">IF(BZ1320=1,0,IFERROR(VLOOKUP(BX1320,'Gebinde-Kategorie'!$A$5:$N$45,13,0)+0,0))</f>
        <v>12</v>
      </c>
      <c r="S1320" s="54"/>
      <c r="T1320" s="55"/>
      <c r="U1320" s="55"/>
      <c r="V1320" s="55"/>
      <c r="W1320" s="48"/>
      <c r="X1320" s="50"/>
      <c r="Y1320" s="50"/>
      <c r="Z1320" s="48" t="n">
        <f aca="false">IF(A1320="","",IF(AND(Parameter!$B$21="Ja",ISNUMBER(W1320)),W1320,IF(CC1320="2+3",IF(ISNUMBER(SEARCH("grosser Artikel",BU1320)),2,IFERROR(VLOOKUP(BX1320,Parameter!$F$35:$G$64,2,0),2)),IF(OR(CC1320="Nein",CC1320=""),"-",CC1320))))</f>
        <v>2</v>
      </c>
      <c r="AA1320" s="55"/>
      <c r="AB1320" s="56"/>
      <c r="AC1320" s="50" t="n">
        <f aca="false">AV1320</f>
        <v>10</v>
      </c>
      <c r="AD1320" s="50" t="n">
        <f aca="false">MAX(AV1320,H1320)</f>
        <v>10</v>
      </c>
      <c r="AE1320" s="57"/>
      <c r="AF1320" s="50" t="n">
        <f aca="false">IF(LEFT(Cockpit!$C$5,1)="A",H1320,IF(Parameter!$E$30="MAX-Bestand",IF(CH1320=1,CI1320,IF(LEFT(Cockpit!$C$5,1)="B",AL1320,MAX(AL1320,H1320))),ROUNDUP(AJ1320,0)))</f>
        <v>1</v>
      </c>
      <c r="AG1320" s="50" t="n">
        <f aca="false">IF(BZ1320=1,0,ROUNDUP(AF1320/BY1320,0))</f>
        <v>1</v>
      </c>
      <c r="AH1320" s="52" t="n">
        <f aca="false">IF(CQ1320&gt;0,CQ1320*MAX(1,AF1320/X1320),IF(BZ1320=1,IF(AF1320&lt;=0,0,CD1320*MAX(1,IF(H1320&gt;0,AF1320/H1320,1))),IF(R1320&gt;0,AG1320/R1320,0))/MAX(0.1,N(Parameter!$M$21)))</f>
        <v>0.0833333333333333</v>
      </c>
      <c r="AI1320" s="50" t="n">
        <f aca="false">AH1320*CB1320</f>
        <v>28.75</v>
      </c>
      <c r="AJ1320" s="51" t="n">
        <f aca="false">IF(LEFT(Cockpit!$C$5,1)="A",H1320,IF(CH1320=1,(CK1320+CI1320)/2,IF(LEFT(Cockpit!$C$5,1)="B",(CK1320+AL1320)/2,MAX((CK1320+AL1320)/2,H1320))))</f>
        <v>1</v>
      </c>
      <c r="AK1320" s="50" t="n">
        <f aca="false">AJ1320*G1320</f>
        <v>564.84</v>
      </c>
      <c r="AL1320" s="50" t="n">
        <f aca="false">ROUNDUP(CK1320+MAX(CL1320,2*(J1320/IF(CG1320&gt;0,CG1320,MAX(0.1,N(Cockpit!$C$6)))-CK1320)),0)</f>
        <v>10</v>
      </c>
      <c r="AM1320" s="51" t="n">
        <f aca="false">IF(AI1320&gt;0,J1320/AI1320,-1)</f>
        <v>0.521739130434783</v>
      </c>
      <c r="AN1320" s="51" t="n">
        <f aca="false">IF(AND(OR(CF1320="L1",CF1320="L23",CF1320="LIFT"),AI1320&gt;0),SUMIFS($AI$7:$AI$1843,$CF$7:$CF$1843,CF1320,$AM$7:$AM$1843,"&gt;"&amp;AM1320)+SUMIFS($AI$7:$AI$1843,$CF$7:$CF$1843,CF1320,$AM$7:$AM$1843,AM1320,$BW$7:$BW$1843,"&lt;="&amp;BW1320),"")</f>
        <v>9528.95922062871</v>
      </c>
      <c r="AO1320" s="58" t="n">
        <f aca="false">IF(AN1320="",0,MAX(0,MIN(1,(IF(CF1320="L1",Parameter!$H$5,IF(CF1320="L23",Parameter!$H$6+Parameter!$H$7,Parameter!$H$5+Parameter!$H$6+Parameter!$H$7))-(AN1320-AI1320))/AI1320)))</f>
        <v>1</v>
      </c>
      <c r="AP1320" s="50" t="n">
        <f aca="false">IF(LEFT(Cockpit!$I$5,1)="A",H1320,IF(Parameter!$E$30="MAX-Bestand",IF(CH1320=1,CI1320,IF(LEFT(Cockpit!$I$5,1)="B",AV1320,MAX(AV1320,H1320))),ROUNDUP(AT1320,0)))</f>
        <v>5</v>
      </c>
      <c r="AQ1320" s="50" t="n">
        <f aca="false">IF(BZ1320=1,0,ROUNDUP(AP1320/BY1320,0))</f>
        <v>1</v>
      </c>
      <c r="AR1320" s="52" t="n">
        <f aca="false">IF(CQ1320&gt;0,CQ1320*MAX(1,AP1320/X1320),IF(BZ1320=1,IF(AP1320&lt;=0,0,CD1320*MAX(1,IF(H1320&gt;0,AP1320/H1320,1))),IF(R1320&gt;0,AQ1320/R1320,0))/MAX(0.1,N(Parameter!$M$21)))</f>
        <v>0.0833333333333333</v>
      </c>
      <c r="AS1320" s="50" t="n">
        <f aca="false">AR1320*CB1320</f>
        <v>28.75</v>
      </c>
      <c r="AT1320" s="51" t="n">
        <f aca="false">IF(LEFT(Cockpit!$I$5,1)="A",H1320,IF(CH1320=1,(CK1320+CI1320)/2,IF(LEFT(Cockpit!$I$5,1)="B",(CK1320+AV1320)/2,MAX((CK1320+AV1320)/2,H1320))))</f>
        <v>5</v>
      </c>
      <c r="AU1320" s="50" t="n">
        <f aca="false">AT1320*G1320</f>
        <v>2824.2</v>
      </c>
      <c r="AV1320" s="50" t="n">
        <f aca="false">ROUNDUP(CK1320+MAX(CL1320,2*(J1320/IF(CG1320&gt;0,CG1320,MAX(0.1,N(Cockpit!$I$6)))-CK1320)),0)</f>
        <v>10</v>
      </c>
      <c r="AW1320" s="51" t="n">
        <f aca="false">IF(AS1320&gt;0,J1320/AS1320,-1)</f>
        <v>0.521739130434783</v>
      </c>
      <c r="AX1320" s="51" t="n">
        <f aca="false">IF(AND(OR(CF1320="L1",CF1320="L23",CF1320="LIFT"),AS1320&gt;0),SUMIFS($AS$7:$AS$1843,$CF$7:$CF$1843,CF1320,$AW$7:$AW$1843,"&gt;"&amp;AW1320)+SUMIFS($AS$7:$AS$1843,$CF$7:$CF$1843,CF1320,$AW$7:$AW$1843,AW1320,$BW$7:$BW$1843,"&lt;="&amp;BW1320),"")</f>
        <v>11930.8727106227</v>
      </c>
      <c r="AY1320" s="58" t="n">
        <f aca="false">IF(AX1320="",0,MAX(0,MIN(1,(IF(CF1320="L1",Parameter!$H$5,IF(CF1320="L23",Parameter!$H$6+Parameter!$H$7,Parameter!$H$5+Parameter!$H$6+Parameter!$H$7))-(AX1320-AS1320))/AS1320)))</f>
        <v>1</v>
      </c>
      <c r="AZ1320" s="50" t="n">
        <f aca="false">IF(LEFT(Cockpit!$O$5,1)="A",H1320,IF(Parameter!$E$30="MAX-Bestand",IF(CH1320=1,CI1320,IF(LEFT(Cockpit!$O$5,1)="B",BF1320,MAX(BF1320,H1320))),ROUNDUP(BD1320,0)))</f>
        <v>5</v>
      </c>
      <c r="BA1320" s="50" t="n">
        <f aca="false">IF(BZ1320=1,0,ROUNDUP(AZ1320/BY1320,0))</f>
        <v>1</v>
      </c>
      <c r="BB1320" s="52" t="n">
        <f aca="false">IF(CQ1320&gt;0,CQ1320*MAX(1,AZ1320/X1320),IF(BZ1320=1,IF(AZ1320&lt;=0,0,CD1320*MAX(1,IF(H1320&gt;0,AZ1320/H1320,1))),IF(R1320&gt;0,BA1320/R1320,0))/MAX(0.1,N(Parameter!$M$21)))</f>
        <v>0.0833333333333333</v>
      </c>
      <c r="BC1320" s="50" t="n">
        <f aca="false">BB1320*CB1320</f>
        <v>28.75</v>
      </c>
      <c r="BD1320" s="51" t="n">
        <f aca="false">IF(LEFT(Cockpit!$O$5,1)="A",H1320,IF(CH1320=1,(CK1320+CI1320)/2,IF(LEFT(Cockpit!$O$5,1)="B",(CK1320+BF1320)/2,MAX((CK1320+BF1320)/2,H1320))))</f>
        <v>5</v>
      </c>
      <c r="BE1320" s="50" t="n">
        <f aca="false">BD1320*G1320</f>
        <v>2824.2</v>
      </c>
      <c r="BF1320" s="50" t="n">
        <f aca="false">ROUNDUP(CK1320+MAX(CL1320,2*(J1320/IF(CG1320&gt;0,CG1320,MAX(0.1,N(Cockpit!$O$6)))-CK1320)),0)</f>
        <v>10</v>
      </c>
      <c r="BG1320" s="51" t="n">
        <f aca="false">IF(BC1320&gt;0,J1320/BC1320,-1)</f>
        <v>0.521739130434783</v>
      </c>
      <c r="BH1320" s="51" t="n">
        <f aca="false">IF(AND(OR(CF1320="L1",CF1320="L23",CF1320="LIFT"),BC1320&gt;0),SUMIFS($BC$7:$BC$1843,$CF$7:$CF$1843,CF1320,$BG$7:$BG$1843,"&gt;"&amp;BG1320)+SUMIFS($BC$7:$BC$1843,$CF$7:$CF$1843,CF1320,$BG$7:$BG$1843,BG1320,$BW$7:$BW$1843,"&lt;="&amp;BW1320),"")</f>
        <v>10294.2889194139</v>
      </c>
      <c r="BI1320" s="58" t="n">
        <f aca="false">IF(BH1320="",0,MAX(0,MIN(1,(IF(CF1320="L1",Parameter!$H$5,IF(CF1320="L23",Parameter!$H$6+Parameter!$H$7,Parameter!$H$5+Parameter!$H$6+Parameter!$H$7))-(BH1320-BC1320))/BC1320)))</f>
        <v>1</v>
      </c>
      <c r="BJ1320" s="48" t="str">
        <f aca="false">IF(AI1320&lt;=0,"",IF(CF1320="Aussen","Aussenlager",IF(CF1320="-","Nicht im Lift",IF(AO1320&gt;=1,"Lift",IF(AO1320&lt;=0,"Aussenlager","teilweise")))))</f>
        <v>Lift</v>
      </c>
      <c r="BK1320" s="48" t="str">
        <f aca="false">IF(AS1320&lt;=0,"",IF(CF1320="Aussen","Aussenlager",IF(CF1320="-","Nicht im Lift",IF(AY1320&gt;=1,"Lift",IF(AY1320&lt;=0,"Aussenlager","teilweise")))))</f>
        <v>Lift</v>
      </c>
      <c r="BL1320" s="48" t="str">
        <f aca="false">IF(BC1320&lt;=0,"",IF(CF1320="Aussen","Aussenlager",IF(CF1320="-","Nicht im Lift",IF(BI1320&gt;=1,"Lift",IF(BI1320&lt;=0,"Aussenlager","teilweise")))))</f>
        <v>Lift</v>
      </c>
      <c r="BM1320" s="48" t="str">
        <f aca="false">IF(A1320="","",IF(BV1320=1,"Neu; ","")&amp;IF(AND(BV1320=0,BQ1320&lt;0),"negativer Bestand (Export "&amp;BQ1320&amp;"); ","")&amp;IF(J1320&lt;=0,"Kein Verbrauch; ","")&amp;IF(CQ1320&gt;0,"Lift "&amp;W1320&amp;" lt. Liftbericht (Fach "&amp;X1320&amp;" Stk); ",IF(CA1320=1,"Gebinde geschätzt ("&amp;T1320&amp;"); ",IF(BZ1320=1,"Lose – Tablare geschätzt; ","")))&amp;IF(H1320&gt;AV1320,"Überbestand "&amp;ROUND(H1320-AV1320,0)&amp;" Stk / CHF "&amp;ROUND((H1320-AV1320)*G1320,0)&amp;"; ","")&amp;IF(AND(CH1320=1,CI1320&lt;CJ1320),"MAX &lt; MB+LG; ","")&amp;IF(AND(CP1320&gt;0,CO1320*10&gt;CP1320),"zu hoch für Tablar; ","")&amp;IF(AND(BV1320=0,OR(CH1320=1,AA1320&lt;&gt;"",U1320&lt;&gt;"",V1320&lt;&gt;"",AB1320&lt;&gt;"")),"manuell übersteuert; ","")&amp;IF(AND(BZ1320=0,R1320=0),"Gebinde unbekannt / Stellmass fehlt; ","")&amp;IF(AND(BZ1320=0,N(V1320)&lt;=0,N(Q1320)&lt;=0),"Menge pro Gebinde fehlt (Ist = 1 Gebinde); ","")&amp;BU1320)</f>
        <v>negativer Bestand (Export -3); </v>
      </c>
      <c r="BN1320" s="48"/>
      <c r="BO1320" s="48"/>
      <c r="BP1320" s="55"/>
      <c r="BQ1320" s="50" t="n">
        <v>-3</v>
      </c>
      <c r="BR1320" s="50" t="n">
        <v>4</v>
      </c>
      <c r="BS1320" s="49" t="n">
        <v>-1424.6</v>
      </c>
      <c r="BT1320" s="50" t="n">
        <v>15</v>
      </c>
      <c r="BU1320" s="48"/>
      <c r="BV1320" s="53" t="n">
        <v>0</v>
      </c>
      <c r="BW1320" s="53" t="n">
        <v>1320</v>
      </c>
      <c r="BX1320" s="48" t="str">
        <f aca="false">IF(U1320&lt;&gt;"",UPPER(TRIM(U1320)),IF(CA1320=1,UPPER(VLOOKUP(T1320,Parameter!$I$27:$K$29,2,0)),IF(P1320="","LOSE",P1320)))</f>
        <v>S63</v>
      </c>
      <c r="BY1320" s="50" t="n">
        <f aca="false">IF(BX1320="LOSE",1,IF(N(V1320)&gt;0,V1320,IF(CA1320=1,MAX(1,N(VLOOKUP(T1320,Parameter!$I$27:$K$29,3,0)),H1320,N(N1320)),IF(N(Q1320)&gt;0,Q1320,MAX(1,H1320)))))</f>
        <v>8</v>
      </c>
      <c r="BZ1320" s="53" t="n">
        <f aca="false">IF(BX1320="LOSE",1,0)</f>
        <v>0</v>
      </c>
      <c r="CA1320" s="53" t="n">
        <f aca="false">IF(AND(U1320="",OR(P1320="",P1320="LOSE"),T1320&lt;&gt;"",N(S1320)&lt;=0,ISNUMBER(MATCH(T1320,Parameter!$I$27:$I$29,0))),1,0)</f>
        <v>0</v>
      </c>
      <c r="CB1320" s="53" t="n">
        <f aca="false">IF(CQ1320&gt;0,INDEX(Parameter!$H$5:$H$7,W1320)/INDEX(Parameter!$E$5:$E$7,W1320),IF(AND(BZ1320=0,N(IFERROR(VLOOKUP(BX1320,'Gebinde-Kategorie'!$A$5:$N$45,14,0),0))&gt;0),VLOOKUP(BX1320,'Gebinde-Kategorie'!$A$5:$N$45,14,0)*10+Parameter!$M$23,Parameter!$M$24))</f>
        <v>345</v>
      </c>
      <c r="CC1320" s="48" t="str">
        <f aca="false">IF(AND(Parameter!$B$19="Ja",E1320&lt;&gt;"",ISNUMBER(MATCH(E1320,Parameter!$I$35:$I$52,0))),VLOOKUP(E1320,Parameter!$I$35:$J$52,2,0),IFERROR(VLOOKUP(D1320,Parameter!$A$35:$C$64,2,0),"Nein"))</f>
        <v>2+3</v>
      </c>
      <c r="CD1320" s="52" t="n">
        <f aca="false">IF(BZ1320=0,0,IF(N(S1320)&gt;0,S1320,IFERROR(VLOOKUP(D1320,Parameter!$A$35:$C$64,3,0)+0,0)))</f>
        <v>0</v>
      </c>
      <c r="CE1320" s="48" t="n">
        <f aca="false">IF(AA1320&lt;&gt;"",AA1320,Z1320)</f>
        <v>2</v>
      </c>
      <c r="CF1320" s="48" t="str">
        <f aca="false">IF(OR(CE1320=1,CE1320=2,CE1320=3),IF(Parameter!$E$27="Ja","LIFT",IF(CE1320=1,"L1","L23")),IF(CE1320="Aussen","Aussen","-"))</f>
        <v>LIFT</v>
      </c>
      <c r="CG1320" s="59" t="n">
        <f aca="false">IF(N(AB1320)&gt;0,AB1320,0)</f>
        <v>0</v>
      </c>
      <c r="CH1320" s="53" t="n">
        <f aca="false">IF(ISNUMBER(AE1320),1,0)</f>
        <v>0</v>
      </c>
      <c r="CI1320" s="50" t="n">
        <f aca="false">N(AE1320)</f>
        <v>0</v>
      </c>
      <c r="CJ1320" s="50" t="n">
        <f aca="false">N(M1320)+N(N1320)</f>
        <v>10</v>
      </c>
      <c r="CK1320" s="50" t="n">
        <f aca="false">N(M1320)</f>
        <v>0</v>
      </c>
      <c r="CL1320" s="50" t="n">
        <f aca="false">N(N1320)</f>
        <v>10</v>
      </c>
      <c r="CM1320" s="50" t="n">
        <f aca="false">ROUNDUP(H1320/BY1320,0)</f>
        <v>1</v>
      </c>
      <c r="CN1320" s="50" t="n">
        <f aca="false">ROUNDUP(CI1320/BY1320,0)</f>
        <v>0</v>
      </c>
      <c r="CO1320" s="53" t="n">
        <f aca="false">IF(BZ1320=1,0,IFERROR(VLOOKUP(BX1320,'Gebinde-Kategorie'!$A$5:$N$45,5,0)+0,0))</f>
        <v>31</v>
      </c>
      <c r="CP1320" s="53" t="n">
        <f aca="false">IFERROR(IF(OR(CE1320=1,CE1320=2,CE1320=3),N(INDEX(Parameter!$I$5:$I$7,CE1320)),0),0)</f>
        <v>0</v>
      </c>
      <c r="CQ1320" s="52" t="n">
        <f aca="false">IF(AND(Parameter!$B$21="Ja",ISNUMBER(W1320),N(X1320)&gt;0),IFERROR(N(INDEX(Parameter!$L$5:$L$7,W1320))*INDEX(Parameter!$E$5:$E$7,W1320)*X1320/SUMIFS($X$7:$X$1843,$W$7:$W$1843,W1320),0),0)</f>
        <v>0</v>
      </c>
    </row>
    <row r="1321" customFormat="false" ht="15" hidden="false" customHeight="false" outlineLevel="0" collapsed="false">
      <c r="A1321" s="48" t="s">
        <v>2354</v>
      </c>
      <c r="B1321" s="48" t="s">
        <v>589</v>
      </c>
      <c r="C1321" s="48" t="s">
        <v>173</v>
      </c>
      <c r="D1321" s="48" t="s">
        <v>182</v>
      </c>
      <c r="E1321" s="48" t="s">
        <v>175</v>
      </c>
      <c r="F1321" s="48" t="s">
        <v>227</v>
      </c>
      <c r="G1321" s="49" t="n">
        <v>189.21</v>
      </c>
      <c r="H1321" s="50" t="n">
        <f aca="false">MAX(0,IF(AND(Parameter!$B$21="Ja",ISNUMBER(Y1321)),Y1321,IF(Parameter!$B$20="Jahresanfang 2025 + Export",BR1321+BQ1321,BQ1321)))</f>
        <v>8</v>
      </c>
      <c r="I1321" s="50" t="n">
        <f aca="false">H1321*G1321</f>
        <v>1513.68</v>
      </c>
      <c r="J1321" s="50" t="n">
        <f aca="false">BT1321*Parameter!$B$18</f>
        <v>25</v>
      </c>
      <c r="K1321" s="51" t="n">
        <v>12</v>
      </c>
      <c r="L1321" s="52" t="n">
        <v>2.08333333333333</v>
      </c>
      <c r="M1321" s="50" t="n">
        <v>2</v>
      </c>
      <c r="N1321" s="50" t="n">
        <v>10</v>
      </c>
      <c r="O1321" s="53" t="n">
        <v>21</v>
      </c>
      <c r="P1321" s="48" t="s">
        <v>183</v>
      </c>
      <c r="Q1321" s="50" t="n">
        <v>13</v>
      </c>
      <c r="R1321" s="53" t="n">
        <f aca="false">IF(BZ1321=1,0,IFERROR(VLOOKUP(BX1321,'Gebinde-Kategorie'!$A$5:$N$45,13,0)+0,0))</f>
        <v>6</v>
      </c>
      <c r="S1321" s="54"/>
      <c r="T1321" s="55"/>
      <c r="U1321" s="55"/>
      <c r="V1321" s="55"/>
      <c r="W1321" s="48"/>
      <c r="X1321" s="50"/>
      <c r="Y1321" s="50"/>
      <c r="Z1321" s="48" t="n">
        <f aca="false">IF(A1321="","",IF(AND(Parameter!$B$21="Ja",ISNUMBER(W1321)),W1321,IF(CC1321="2+3",IF(ISNUMBER(SEARCH("grosser Artikel",BU1321)),2,IFERROR(VLOOKUP(BX1321,Parameter!$F$35:$G$64,2,0),2)),IF(OR(CC1321="Nein",CC1321=""),"-",CC1321))))</f>
        <v>1</v>
      </c>
      <c r="AA1321" s="55"/>
      <c r="AB1321" s="56"/>
      <c r="AC1321" s="50" t="n">
        <f aca="false">AV1321</f>
        <v>15</v>
      </c>
      <c r="AD1321" s="50" t="n">
        <f aca="false">MAX(AV1321,H1321)</f>
        <v>15</v>
      </c>
      <c r="AE1321" s="57"/>
      <c r="AF1321" s="50" t="n">
        <f aca="false">IF(LEFT(Cockpit!$C$5,1)="A",H1321,IF(Parameter!$E$30="MAX-Bestand",IF(CH1321=1,CI1321,IF(LEFT(Cockpit!$C$5,1)="B",AL1321,MAX(AL1321,H1321))),ROUNDUP(AJ1321,0)))</f>
        <v>8</v>
      </c>
      <c r="AG1321" s="50" t="n">
        <f aca="false">IF(BZ1321=1,0,ROUNDUP(AF1321/BY1321,0))</f>
        <v>1</v>
      </c>
      <c r="AH1321" s="52" t="n">
        <f aca="false">IF(CQ1321&gt;0,CQ1321*MAX(1,AF1321/X1321),IF(BZ1321=1,IF(AF1321&lt;=0,0,CD1321*MAX(1,IF(H1321&gt;0,AF1321/H1321,1))),IF(R1321&gt;0,AG1321/R1321,0))/MAX(0.1,N(Parameter!$M$21)))</f>
        <v>0.166666666666667</v>
      </c>
      <c r="AI1321" s="50" t="n">
        <f aca="false">AH1321*CB1321</f>
        <v>39.1666666666667</v>
      </c>
      <c r="AJ1321" s="51" t="n">
        <f aca="false">IF(LEFT(Cockpit!$C$5,1)="A",H1321,IF(CH1321=1,(CK1321+CI1321)/2,IF(LEFT(Cockpit!$C$5,1)="B",(CK1321+AL1321)/2,MAX((CK1321+AL1321)/2,H1321))))</f>
        <v>8</v>
      </c>
      <c r="AK1321" s="50" t="n">
        <f aca="false">AJ1321*G1321</f>
        <v>1513.68</v>
      </c>
      <c r="AL1321" s="50" t="n">
        <f aca="false">ROUNDUP(CK1321+MAX(CL1321,2*(J1321/IF(CG1321&gt;0,CG1321,MAX(0.1,N(Cockpit!$C$6)))-CK1321)),0)</f>
        <v>15</v>
      </c>
      <c r="AM1321" s="51" t="n">
        <f aca="false">IF(AI1321&gt;0,J1321/AI1321,-1)</f>
        <v>0.638297872340426</v>
      </c>
      <c r="AN1321" s="51" t="n">
        <f aca="false">IF(AND(OR(CF1321="L1",CF1321="L23",CF1321="LIFT"),AI1321&gt;0),SUMIFS($AI$7:$AI$1843,$CF$7:$CF$1843,CF1321,$AM$7:$AM$1843,"&gt;"&amp;AM1321)+SUMIFS($AI$7:$AI$1843,$CF$7:$CF$1843,CF1321,$AM$7:$AM$1843,AM1321,$BW$7:$BW$1843,"&lt;="&amp;BW1321),"")</f>
        <v>8811.70512820513</v>
      </c>
      <c r="AO1321" s="58" t="n">
        <f aca="false">IF(AN1321="",0,MAX(0,MIN(1,(IF(CF1321="L1",Parameter!$H$5,IF(CF1321="L23",Parameter!$H$6+Parameter!$H$7,Parameter!$H$5+Parameter!$H$6+Parameter!$H$7))-(AN1321-AI1321))/AI1321)))</f>
        <v>1</v>
      </c>
      <c r="AP1321" s="50" t="n">
        <f aca="false">IF(LEFT(Cockpit!$I$5,1)="A",H1321,IF(Parameter!$E$30="MAX-Bestand",IF(CH1321=1,CI1321,IF(LEFT(Cockpit!$I$5,1)="B",AV1321,MAX(AV1321,H1321))),ROUNDUP(AT1321,0)))</f>
        <v>9</v>
      </c>
      <c r="AQ1321" s="50" t="n">
        <f aca="false">IF(BZ1321=1,0,ROUNDUP(AP1321/BY1321,0))</f>
        <v>1</v>
      </c>
      <c r="AR1321" s="52" t="n">
        <f aca="false">IF(CQ1321&gt;0,CQ1321*MAX(1,AP1321/X1321),IF(BZ1321=1,IF(AP1321&lt;=0,0,CD1321*MAX(1,IF(H1321&gt;0,AP1321/H1321,1))),IF(R1321&gt;0,AQ1321/R1321,0))/MAX(0.1,N(Parameter!$M$21)))</f>
        <v>0.166666666666667</v>
      </c>
      <c r="AS1321" s="50" t="n">
        <f aca="false">AR1321*CB1321</f>
        <v>39.1666666666667</v>
      </c>
      <c r="AT1321" s="51" t="n">
        <f aca="false">IF(LEFT(Cockpit!$I$5,1)="A",H1321,IF(CH1321=1,(CK1321+CI1321)/2,IF(LEFT(Cockpit!$I$5,1)="B",(CK1321+AV1321)/2,MAX((CK1321+AV1321)/2,H1321))))</f>
        <v>8.5</v>
      </c>
      <c r="AU1321" s="50" t="n">
        <f aca="false">AT1321*G1321</f>
        <v>1608.285</v>
      </c>
      <c r="AV1321" s="50" t="n">
        <f aca="false">ROUNDUP(CK1321+MAX(CL1321,2*(J1321/IF(CG1321&gt;0,CG1321,MAX(0.1,N(Cockpit!$I$6)))-CK1321)),0)</f>
        <v>15</v>
      </c>
      <c r="AW1321" s="51" t="n">
        <f aca="false">IF(AS1321&gt;0,J1321/AS1321,-1)</f>
        <v>0.638297872340426</v>
      </c>
      <c r="AX1321" s="51" t="n">
        <f aca="false">IF(AND(OR(CF1321="L1",CF1321="L23",CF1321="LIFT"),AS1321&gt;0),SUMIFS($AS$7:$AS$1843,$CF$7:$CF$1843,CF1321,$AW$7:$AW$1843,"&gt;"&amp;AW1321)+SUMIFS($AS$7:$AS$1843,$CF$7:$CF$1843,CF1321,$AW$7:$AW$1843,AW1321,$BW$7:$BW$1843,"&lt;="&amp;BW1321),"")</f>
        <v>11111.8342490843</v>
      </c>
      <c r="AY1321" s="58" t="n">
        <f aca="false">IF(AX1321="",0,MAX(0,MIN(1,(IF(CF1321="L1",Parameter!$H$5,IF(CF1321="L23",Parameter!$H$6+Parameter!$H$7,Parameter!$H$5+Parameter!$H$6+Parameter!$H$7))-(AX1321-AS1321))/AS1321)))</f>
        <v>1</v>
      </c>
      <c r="AZ1321" s="50" t="n">
        <f aca="false">IF(LEFT(Cockpit!$O$5,1)="A",H1321,IF(Parameter!$E$30="MAX-Bestand",IF(CH1321=1,CI1321,IF(LEFT(Cockpit!$O$5,1)="B",BF1321,MAX(BF1321,H1321))),ROUNDUP(BD1321,0)))</f>
        <v>7</v>
      </c>
      <c r="BA1321" s="50" t="n">
        <f aca="false">IF(BZ1321=1,0,ROUNDUP(AZ1321/BY1321,0))</f>
        <v>1</v>
      </c>
      <c r="BB1321" s="52" t="n">
        <f aca="false">IF(CQ1321&gt;0,CQ1321*MAX(1,AZ1321/X1321),IF(BZ1321=1,IF(AZ1321&lt;=0,0,CD1321*MAX(1,IF(H1321&gt;0,AZ1321/H1321,1))),IF(R1321&gt;0,BA1321/R1321,0))/MAX(0.1,N(Parameter!$M$21)))</f>
        <v>0.166666666666667</v>
      </c>
      <c r="BC1321" s="50" t="n">
        <f aca="false">BB1321*CB1321</f>
        <v>39.1666666666667</v>
      </c>
      <c r="BD1321" s="51" t="n">
        <f aca="false">IF(LEFT(Cockpit!$O$5,1)="A",H1321,IF(CH1321=1,(CK1321+CI1321)/2,IF(LEFT(Cockpit!$O$5,1)="B",(CK1321+BF1321)/2,MAX((CK1321+BF1321)/2,H1321))))</f>
        <v>7</v>
      </c>
      <c r="BE1321" s="50" t="n">
        <f aca="false">BD1321*G1321</f>
        <v>1324.47</v>
      </c>
      <c r="BF1321" s="50" t="n">
        <f aca="false">ROUNDUP(CK1321+MAX(CL1321,2*(J1321/IF(CG1321&gt;0,CG1321,MAX(0.1,N(Cockpit!$O$6)))-CK1321)),0)</f>
        <v>12</v>
      </c>
      <c r="BG1321" s="51" t="n">
        <f aca="false">IF(BC1321&gt;0,J1321/BC1321,-1)</f>
        <v>0.638297872340426</v>
      </c>
      <c r="BH1321" s="51" t="n">
        <f aca="false">IF(AND(OR(CF1321="L1",CF1321="L23",CF1321="LIFT"),BC1321&gt;0),SUMIFS($BC$7:$BC$1843,$CF$7:$CF$1843,CF1321,$BG$7:$BG$1843,"&gt;"&amp;BG1321)+SUMIFS($BC$7:$BC$1843,$CF$7:$CF$1843,CF1321,$BG$7:$BG$1843,BG1321,$BW$7:$BW$1843,"&lt;="&amp;BW1321),"")</f>
        <v>9724.44917582418</v>
      </c>
      <c r="BI1321" s="58" t="n">
        <f aca="false">IF(BH1321="",0,MAX(0,MIN(1,(IF(CF1321="L1",Parameter!$H$5,IF(CF1321="L23",Parameter!$H$6+Parameter!$H$7,Parameter!$H$5+Parameter!$H$6+Parameter!$H$7))-(BH1321-BC1321))/BC1321)))</f>
        <v>1</v>
      </c>
      <c r="BJ1321" s="48" t="str">
        <f aca="false">IF(AI1321&lt;=0,"",IF(CF1321="Aussen","Aussenlager",IF(CF1321="-","Nicht im Lift",IF(AO1321&gt;=1,"Lift",IF(AO1321&lt;=0,"Aussenlager","teilweise")))))</f>
        <v>Lift</v>
      </c>
      <c r="BK1321" s="48" t="str">
        <f aca="false">IF(AS1321&lt;=0,"",IF(CF1321="Aussen","Aussenlager",IF(CF1321="-","Nicht im Lift",IF(AY1321&gt;=1,"Lift",IF(AY1321&lt;=0,"Aussenlager","teilweise")))))</f>
        <v>Lift</v>
      </c>
      <c r="BL1321" s="48" t="str">
        <f aca="false">IF(BC1321&lt;=0,"",IF(CF1321="Aussen","Aussenlager",IF(CF1321="-","Nicht im Lift",IF(BI1321&gt;=1,"Lift",IF(BI1321&lt;=0,"Aussenlager","teilweise")))))</f>
        <v>Lift</v>
      </c>
      <c r="BM1321" s="48" t="str">
        <f aca="false">IF(A1321="","",IF(BV1321=1,"Neu; ","")&amp;IF(AND(BV1321=0,BQ1321&lt;0),"negativer Bestand (Export "&amp;BQ1321&amp;"); ","")&amp;IF(J1321&lt;=0,"Kein Verbrauch; ","")&amp;IF(CQ1321&gt;0,"Lift "&amp;W1321&amp;" lt. Liftbericht (Fach "&amp;X1321&amp;" Stk); ",IF(CA1321=1,"Gebinde geschätzt ("&amp;T1321&amp;"); ",IF(BZ1321=1,"Lose – Tablare geschätzt; ","")))&amp;IF(H1321&gt;AV1321,"Überbestand "&amp;ROUND(H1321-AV1321,0)&amp;" Stk / CHF "&amp;ROUND((H1321-AV1321)*G1321,0)&amp;"; ","")&amp;IF(AND(CH1321=1,CI1321&lt;CJ1321),"MAX &lt; MB+LG; ","")&amp;IF(AND(CP1321&gt;0,CO1321*10&gt;CP1321),"zu hoch für Tablar; ","")&amp;IF(AND(BV1321=0,OR(CH1321=1,AA1321&lt;&gt;"",U1321&lt;&gt;"",V1321&lt;&gt;"",AB1321&lt;&gt;"")),"manuell übersteuert; ","")&amp;IF(AND(BZ1321=0,R1321=0),"Gebinde unbekannt / Stellmass fehlt; ","")&amp;IF(AND(BZ1321=0,N(V1321)&lt;=0,N(Q1321)&lt;=0),"Menge pro Gebinde fehlt (Ist = 1 Gebinde); ","")&amp;BU1321)</f>
        <v>negativer Bestand (Export -6); </v>
      </c>
      <c r="BN1321" s="48"/>
      <c r="BO1321" s="48"/>
      <c r="BP1321" s="55"/>
      <c r="BQ1321" s="50" t="n">
        <v>-6</v>
      </c>
      <c r="BR1321" s="50" t="n">
        <v>14</v>
      </c>
      <c r="BS1321" s="49" t="n">
        <v>-1429.68</v>
      </c>
      <c r="BT1321" s="50" t="n">
        <v>25</v>
      </c>
      <c r="BU1321" s="48"/>
      <c r="BV1321" s="53" t="n">
        <v>0</v>
      </c>
      <c r="BW1321" s="53" t="n">
        <v>1321</v>
      </c>
      <c r="BX1321" s="48" t="str">
        <f aca="false">IF(U1321&lt;&gt;"",UPPER(TRIM(U1321)),IF(CA1321=1,UPPER(VLOOKUP(T1321,Parameter!$I$27:$K$29,2,0)),IF(P1321="","LOSE",P1321)))</f>
        <v>S71</v>
      </c>
      <c r="BY1321" s="50" t="n">
        <f aca="false">IF(BX1321="LOSE",1,IF(N(V1321)&gt;0,V1321,IF(CA1321=1,MAX(1,N(VLOOKUP(T1321,Parameter!$I$27:$K$29,3,0)),H1321,N(N1321)),IF(N(Q1321)&gt;0,Q1321,MAX(1,H1321)))))</f>
        <v>13</v>
      </c>
      <c r="BZ1321" s="53" t="n">
        <f aca="false">IF(BX1321="LOSE",1,0)</f>
        <v>0</v>
      </c>
      <c r="CA1321" s="53" t="n">
        <f aca="false">IF(AND(U1321="",OR(P1321="",P1321="LOSE"),T1321&lt;&gt;"",N(S1321)&lt;=0,ISNUMBER(MATCH(T1321,Parameter!$I$27:$I$29,0))),1,0)</f>
        <v>0</v>
      </c>
      <c r="CB1321" s="53" t="n">
        <f aca="false">IF(CQ1321&gt;0,INDEX(Parameter!$H$5:$H$7,W1321)/INDEX(Parameter!$E$5:$E$7,W1321),IF(AND(BZ1321=0,N(IFERROR(VLOOKUP(BX1321,'Gebinde-Kategorie'!$A$5:$N$45,14,0),0))&gt;0),VLOOKUP(BX1321,'Gebinde-Kategorie'!$A$5:$N$45,14,0)*10+Parameter!$M$23,Parameter!$M$24))</f>
        <v>235</v>
      </c>
      <c r="CC1321" s="48" t="n">
        <f aca="false">IF(AND(Parameter!$B$19="Ja",E1321&lt;&gt;"",ISNUMBER(MATCH(E1321,Parameter!$I$35:$I$52,0))),VLOOKUP(E1321,Parameter!$I$35:$J$52,2,0),IFERROR(VLOOKUP(D1321,Parameter!$A$35:$C$64,2,0),"Nein"))</f>
        <v>1</v>
      </c>
      <c r="CD1321" s="52" t="n">
        <f aca="false">IF(BZ1321=0,0,IF(N(S1321)&gt;0,S1321,IFERROR(VLOOKUP(D1321,Parameter!$A$35:$C$64,3,0)+0,0)))</f>
        <v>0</v>
      </c>
      <c r="CE1321" s="48" t="n">
        <f aca="false">IF(AA1321&lt;&gt;"",AA1321,Z1321)</f>
        <v>1</v>
      </c>
      <c r="CF1321" s="48" t="str">
        <f aca="false">IF(OR(CE1321=1,CE1321=2,CE1321=3),IF(Parameter!$E$27="Ja","LIFT",IF(CE1321=1,"L1","L23")),IF(CE1321="Aussen","Aussen","-"))</f>
        <v>LIFT</v>
      </c>
      <c r="CG1321" s="59" t="n">
        <f aca="false">IF(N(AB1321)&gt;0,AB1321,0)</f>
        <v>0</v>
      </c>
      <c r="CH1321" s="53" t="n">
        <f aca="false">IF(ISNUMBER(AE1321),1,0)</f>
        <v>0</v>
      </c>
      <c r="CI1321" s="50" t="n">
        <f aca="false">N(AE1321)</f>
        <v>0</v>
      </c>
      <c r="CJ1321" s="50" t="n">
        <f aca="false">N(M1321)+N(N1321)</f>
        <v>12</v>
      </c>
      <c r="CK1321" s="50" t="n">
        <f aca="false">N(M1321)</f>
        <v>2</v>
      </c>
      <c r="CL1321" s="50" t="n">
        <f aca="false">N(N1321)</f>
        <v>10</v>
      </c>
      <c r="CM1321" s="50" t="n">
        <f aca="false">ROUNDUP(H1321/BY1321,0)</f>
        <v>1</v>
      </c>
      <c r="CN1321" s="50" t="n">
        <f aca="false">ROUNDUP(CI1321/BY1321,0)</f>
        <v>0</v>
      </c>
      <c r="CO1321" s="53" t="n">
        <f aca="false">IF(BZ1321=1,0,IFERROR(VLOOKUP(BX1321,'Gebinde-Kategorie'!$A$5:$N$45,5,0)+0,0))</f>
        <v>20</v>
      </c>
      <c r="CP1321" s="53" t="n">
        <f aca="false">IFERROR(IF(OR(CE1321=1,CE1321=2,CE1321=3),N(INDEX(Parameter!$I$5:$I$7,CE1321)),0),0)</f>
        <v>0</v>
      </c>
      <c r="CQ1321" s="52" t="n">
        <f aca="false">IF(AND(Parameter!$B$21="Ja",ISNUMBER(W1321),N(X1321)&gt;0),IFERROR(N(INDEX(Parameter!$L$5:$L$7,W1321))*INDEX(Parameter!$E$5:$E$7,W1321)*X1321/SUMIFS($X$7:$X$1843,$W$7:$W$1843,W1321),0),0)</f>
        <v>0</v>
      </c>
    </row>
    <row r="1322" customFormat="false" ht="15" hidden="false" customHeight="false" outlineLevel="0" collapsed="false">
      <c r="A1322" s="48" t="s">
        <v>2355</v>
      </c>
      <c r="B1322" s="48" t="s">
        <v>2356</v>
      </c>
      <c r="C1322" s="48" t="s">
        <v>173</v>
      </c>
      <c r="D1322" s="48" t="s">
        <v>193</v>
      </c>
      <c r="E1322" s="48"/>
      <c r="F1322" s="48" t="s">
        <v>227</v>
      </c>
      <c r="G1322" s="49" t="n">
        <v>1433.79</v>
      </c>
      <c r="H1322" s="50" t="n">
        <f aca="false">MAX(0,IF(AND(Parameter!$B$21="Ja",ISNUMBER(Y1322)),Y1322,IF(Parameter!$B$20="Jahresanfang 2025 + Export",BR1322+BQ1322,BQ1322)))</f>
        <v>6</v>
      </c>
      <c r="I1322" s="50" t="n">
        <f aca="false">H1322*G1322</f>
        <v>8602.74</v>
      </c>
      <c r="J1322" s="50" t="n">
        <f aca="false">BT1322*Parameter!$B$18</f>
        <v>0</v>
      </c>
      <c r="K1322" s="51" t="n">
        <v>7</v>
      </c>
      <c r="L1322" s="52" t="n">
        <v>0</v>
      </c>
      <c r="M1322" s="50" t="n">
        <v>1</v>
      </c>
      <c r="N1322" s="50" t="n">
        <v>1</v>
      </c>
      <c r="O1322" s="53" t="n">
        <v>14</v>
      </c>
      <c r="P1322" s="48" t="s">
        <v>235</v>
      </c>
      <c r="Q1322" s="50" t="n">
        <v>6</v>
      </c>
      <c r="R1322" s="53" t="n">
        <f aca="false">IF(BZ1322=1,0,IFERROR(VLOOKUP(BX1322,'Gebinde-Kategorie'!$A$5:$N$45,13,0)+0,0))</f>
        <v>12</v>
      </c>
      <c r="S1322" s="54"/>
      <c r="T1322" s="55"/>
      <c r="U1322" s="55"/>
      <c r="V1322" s="55"/>
      <c r="W1322" s="48"/>
      <c r="X1322" s="50"/>
      <c r="Y1322" s="50"/>
      <c r="Z1322" s="48" t="n">
        <f aca="false">IF(A1322="","",IF(AND(Parameter!$B$21="Ja",ISNUMBER(W1322)),W1322,IF(CC1322="2+3",IF(ISNUMBER(SEARCH("grosser Artikel",BU1322)),2,IFERROR(VLOOKUP(BX1322,Parameter!$F$35:$G$64,2,0),2)),IF(OR(CC1322="Nein",CC1322=""),"-",CC1322))))</f>
        <v>2</v>
      </c>
      <c r="AA1322" s="55"/>
      <c r="AB1322" s="56"/>
      <c r="AC1322" s="50" t="n">
        <f aca="false">AV1322</f>
        <v>2</v>
      </c>
      <c r="AD1322" s="50" t="n">
        <f aca="false">MAX(AV1322,H1322)</f>
        <v>6</v>
      </c>
      <c r="AE1322" s="57"/>
      <c r="AF1322" s="50" t="n">
        <f aca="false">IF(LEFT(Cockpit!$C$5,1)="A",H1322,IF(Parameter!$E$30="MAX-Bestand",IF(CH1322=1,CI1322,IF(LEFT(Cockpit!$C$5,1)="B",AL1322,MAX(AL1322,H1322))),ROUNDUP(AJ1322,0)))</f>
        <v>6</v>
      </c>
      <c r="AG1322" s="50" t="n">
        <f aca="false">IF(BZ1322=1,0,ROUNDUP(AF1322/BY1322,0))</f>
        <v>1</v>
      </c>
      <c r="AH1322" s="52" t="n">
        <f aca="false">IF(CQ1322&gt;0,CQ1322*MAX(1,AF1322/X1322),IF(BZ1322=1,IF(AF1322&lt;=0,0,CD1322*MAX(1,IF(H1322&gt;0,AF1322/H1322,1))),IF(R1322&gt;0,AG1322/R1322,0))/MAX(0.1,N(Parameter!$M$21)))</f>
        <v>0.0833333333333333</v>
      </c>
      <c r="AI1322" s="50" t="n">
        <f aca="false">AH1322*CB1322</f>
        <v>28.75</v>
      </c>
      <c r="AJ1322" s="51" t="n">
        <f aca="false">IF(LEFT(Cockpit!$C$5,1)="A",H1322,IF(CH1322=1,(CK1322+CI1322)/2,IF(LEFT(Cockpit!$C$5,1)="B",(CK1322+AL1322)/2,MAX((CK1322+AL1322)/2,H1322))))</f>
        <v>6</v>
      </c>
      <c r="AK1322" s="50" t="n">
        <f aca="false">AJ1322*G1322</f>
        <v>8602.74</v>
      </c>
      <c r="AL1322" s="50" t="n">
        <f aca="false">ROUNDUP(CK1322+MAX(CL1322,2*(J1322/IF(CG1322&gt;0,CG1322,MAX(0.1,N(Cockpit!$C$6)))-CK1322)),0)</f>
        <v>2</v>
      </c>
      <c r="AM1322" s="51" t="n">
        <f aca="false">IF(AI1322&gt;0,J1322/AI1322,-1)</f>
        <v>0</v>
      </c>
      <c r="AN1322" s="51" t="n">
        <f aca="false">IF(AND(OR(CF1322="L1",CF1322="L23",CF1322="LIFT"),AI1322&gt;0),SUMIFS($AI$7:$AI$1843,$CF$7:$CF$1843,CF1322,$AM$7:$AM$1843,"&gt;"&amp;AM1322)+SUMIFS($AI$7:$AI$1843,$CF$7:$CF$1843,CF1322,$AM$7:$AM$1843,AM1322,$BW$7:$BW$1843,"&lt;="&amp;BW1322),"")</f>
        <v>29480.666834813</v>
      </c>
      <c r="AO1322" s="58" t="n">
        <f aca="false">IF(AN1322="",0,MAX(0,MIN(1,(IF(CF1322="L1",Parameter!$H$5,IF(CF1322="L23",Parameter!$H$6+Parameter!$H$7,Parameter!$H$5+Parameter!$H$6+Parameter!$H$7))-(AN1322-AI1322))/AI1322)))</f>
        <v>1</v>
      </c>
      <c r="AP1322" s="50" t="n">
        <f aca="false">IF(LEFT(Cockpit!$I$5,1)="A",H1322,IF(Parameter!$E$30="MAX-Bestand",IF(CH1322=1,CI1322,IF(LEFT(Cockpit!$I$5,1)="B",AV1322,MAX(AV1322,H1322))),ROUNDUP(AT1322,0)))</f>
        <v>6</v>
      </c>
      <c r="AQ1322" s="50" t="n">
        <f aca="false">IF(BZ1322=1,0,ROUNDUP(AP1322/BY1322,0))</f>
        <v>1</v>
      </c>
      <c r="AR1322" s="52" t="n">
        <f aca="false">IF(CQ1322&gt;0,CQ1322*MAX(1,AP1322/X1322),IF(BZ1322=1,IF(AP1322&lt;=0,0,CD1322*MAX(1,IF(H1322&gt;0,AP1322/H1322,1))),IF(R1322&gt;0,AQ1322/R1322,0))/MAX(0.1,N(Parameter!$M$21)))</f>
        <v>0.0833333333333333</v>
      </c>
      <c r="AS1322" s="50" t="n">
        <f aca="false">AR1322*CB1322</f>
        <v>28.75</v>
      </c>
      <c r="AT1322" s="51" t="n">
        <f aca="false">IF(LEFT(Cockpit!$I$5,1)="A",H1322,IF(CH1322=1,(CK1322+CI1322)/2,IF(LEFT(Cockpit!$I$5,1)="B",(CK1322+AV1322)/2,MAX((CK1322+AV1322)/2,H1322))))</f>
        <v>6</v>
      </c>
      <c r="AU1322" s="50" t="n">
        <f aca="false">AT1322*G1322</f>
        <v>8602.74</v>
      </c>
      <c r="AV1322" s="50" t="n">
        <f aca="false">ROUNDUP(CK1322+MAX(CL1322,2*(J1322/IF(CG1322&gt;0,CG1322,MAX(0.1,N(Cockpit!$I$6)))-CK1322)),0)</f>
        <v>2</v>
      </c>
      <c r="AW1322" s="51" t="n">
        <f aca="false">IF(AS1322&gt;0,J1322/AS1322,-1)</f>
        <v>0</v>
      </c>
      <c r="AX1322" s="51" t="n">
        <f aca="false">IF(AND(OR(CF1322="L1",CF1322="L23",CF1322="LIFT"),AS1322&gt;0),SUMIFS($AS$7:$AS$1843,$CF$7:$CF$1843,CF1322,$AW$7:$AW$1843,"&gt;"&amp;AW1322)+SUMIFS($AS$7:$AS$1843,$CF$7:$CF$1843,CF1322,$AW$7:$AW$1843,AW1322,$BW$7:$BW$1843,"&lt;="&amp;BW1322),"")</f>
        <v>35699.4171245421</v>
      </c>
      <c r="AY1322" s="58" t="n">
        <f aca="false">IF(AX1322="",0,MAX(0,MIN(1,(IF(CF1322="L1",Parameter!$H$5,IF(CF1322="L23",Parameter!$H$6+Parameter!$H$7,Parameter!$H$5+Parameter!$H$6+Parameter!$H$7))-(AX1322-AS1322))/AS1322)))</f>
        <v>1</v>
      </c>
      <c r="AZ1322" s="50" t="n">
        <f aca="false">IF(LEFT(Cockpit!$O$5,1)="A",H1322,IF(Parameter!$E$30="MAX-Bestand",IF(CH1322=1,CI1322,IF(LEFT(Cockpit!$O$5,1)="B",BF1322,MAX(BF1322,H1322))),ROUNDUP(BD1322,0)))</f>
        <v>2</v>
      </c>
      <c r="BA1322" s="50" t="n">
        <f aca="false">IF(BZ1322=1,0,ROUNDUP(AZ1322/BY1322,0))</f>
        <v>1</v>
      </c>
      <c r="BB1322" s="52" t="n">
        <f aca="false">IF(CQ1322&gt;0,CQ1322*MAX(1,AZ1322/X1322),IF(BZ1322=1,IF(AZ1322&lt;=0,0,CD1322*MAX(1,IF(H1322&gt;0,AZ1322/H1322,1))),IF(R1322&gt;0,BA1322/R1322,0))/MAX(0.1,N(Parameter!$M$21)))</f>
        <v>0.0833333333333333</v>
      </c>
      <c r="BC1322" s="50" t="n">
        <f aca="false">BB1322*CB1322</f>
        <v>28.75</v>
      </c>
      <c r="BD1322" s="51" t="n">
        <f aca="false">IF(LEFT(Cockpit!$O$5,1)="A",H1322,IF(CH1322=1,(CK1322+CI1322)/2,IF(LEFT(Cockpit!$O$5,1)="B",(CK1322+BF1322)/2,MAX((CK1322+BF1322)/2,H1322))))</f>
        <v>1.5</v>
      </c>
      <c r="BE1322" s="50" t="n">
        <f aca="false">BD1322*G1322</f>
        <v>2150.685</v>
      </c>
      <c r="BF1322" s="50" t="n">
        <f aca="false">ROUNDUP(CK1322+MAX(CL1322,2*(J1322/IF(CG1322&gt;0,CG1322,MAX(0.1,N(Cockpit!$O$6)))-CK1322)),0)</f>
        <v>2</v>
      </c>
      <c r="BG1322" s="51" t="n">
        <f aca="false">IF(BC1322&gt;0,J1322/BC1322,-1)</f>
        <v>0</v>
      </c>
      <c r="BH1322" s="51" t="n">
        <f aca="false">IF(AND(OR(CF1322="L1",CF1322="L23",CF1322="LIFT"),BC1322&gt;0),SUMIFS($BC$7:$BC$1843,$CF$7:$CF$1843,CF1322,$BG$7:$BG$1843,"&gt;"&amp;BG1322)+SUMIFS($BC$7:$BC$1843,$CF$7:$CF$1843,CF1322,$BG$7:$BG$1843,BG1322,$BW$7:$BW$1843,"&lt;="&amp;BW1322),"")</f>
        <v>29684.7237846899</v>
      </c>
      <c r="BI1322" s="58" t="n">
        <f aca="false">IF(BH1322="",0,MAX(0,MIN(1,(IF(CF1322="L1",Parameter!$H$5,IF(CF1322="L23",Parameter!$H$6+Parameter!$H$7,Parameter!$H$5+Parameter!$H$6+Parameter!$H$7))-(BH1322-BC1322))/BC1322)))</f>
        <v>1</v>
      </c>
      <c r="BJ1322" s="48" t="str">
        <f aca="false">IF(AI1322&lt;=0,"",IF(CF1322="Aussen","Aussenlager",IF(CF1322="-","Nicht im Lift",IF(AO1322&gt;=1,"Lift",IF(AO1322&lt;=0,"Aussenlager","teilweise")))))</f>
        <v>Lift</v>
      </c>
      <c r="BK1322" s="48" t="str">
        <f aca="false">IF(AS1322&lt;=0,"",IF(CF1322="Aussen","Aussenlager",IF(CF1322="-","Nicht im Lift",IF(AY1322&gt;=1,"Lift",IF(AY1322&lt;=0,"Aussenlager","teilweise")))))</f>
        <v>Lift</v>
      </c>
      <c r="BL1322" s="48" t="str">
        <f aca="false">IF(BC1322&lt;=0,"",IF(CF1322="Aussen","Aussenlager",IF(CF1322="-","Nicht im Lift",IF(BI1322&gt;=1,"Lift",IF(BI1322&lt;=0,"Aussenlager","teilweise")))))</f>
        <v>Lift</v>
      </c>
      <c r="BM1322" s="48" t="str">
        <f aca="false">IF(A1322="","",IF(BV1322=1,"Neu; ","")&amp;IF(AND(BV1322=0,BQ1322&lt;0),"negativer Bestand (Export "&amp;BQ1322&amp;"); ","")&amp;IF(J1322&lt;=0,"Kein Verbrauch; ","")&amp;IF(CQ1322&gt;0,"Lift "&amp;W1322&amp;" lt. Liftbericht (Fach "&amp;X1322&amp;" Stk); ",IF(CA1322=1,"Gebinde geschätzt ("&amp;T1322&amp;"); ",IF(BZ1322=1,"Lose – Tablare geschätzt; ","")))&amp;IF(H1322&gt;AV1322,"Überbestand "&amp;ROUND(H1322-AV1322,0)&amp;" Stk / CHF "&amp;ROUND((H1322-AV1322)*G1322,0)&amp;"; ","")&amp;IF(AND(CH1322=1,CI1322&lt;CJ1322),"MAX &lt; MB+LG; ","")&amp;IF(AND(CP1322&gt;0,CO1322*10&gt;CP1322),"zu hoch für Tablar; ","")&amp;IF(AND(BV1322=0,OR(CH1322=1,AA1322&lt;&gt;"",U1322&lt;&gt;"",V1322&lt;&gt;"",AB1322&lt;&gt;"")),"manuell übersteuert; ","")&amp;IF(AND(BZ1322=0,R1322=0),"Gebinde unbekannt / Stellmass fehlt; ","")&amp;IF(AND(BZ1322=0,N(V1322)&lt;=0,N(Q1322)&lt;=0),"Menge pro Gebinde fehlt (Ist = 1 Gebinde); ","")&amp;BU1322)</f>
        <v>negativer Bestand (Export -1); Kein Verbrauch; Überbestand 4 Stk / CHF 5735; </v>
      </c>
      <c r="BN1322" s="48"/>
      <c r="BO1322" s="48"/>
      <c r="BP1322" s="55"/>
      <c r="BQ1322" s="50" t="n">
        <v>-1</v>
      </c>
      <c r="BR1322" s="50" t="n">
        <v>7</v>
      </c>
      <c r="BS1322" s="49" t="n">
        <v>-1433.79</v>
      </c>
      <c r="BT1322" s="50" t="n">
        <v>0</v>
      </c>
      <c r="BU1322" s="48"/>
      <c r="BV1322" s="53" t="n">
        <v>0</v>
      </c>
      <c r="BW1322" s="53" t="n">
        <v>1322</v>
      </c>
      <c r="BX1322" s="48" t="str">
        <f aca="false">IF(U1322&lt;&gt;"",UPPER(TRIM(U1322)),IF(CA1322=1,UPPER(VLOOKUP(T1322,Parameter!$I$27:$K$29,2,0)),IF(P1322="","LOSE",P1322)))</f>
        <v>S63</v>
      </c>
      <c r="BY1322" s="50" t="n">
        <f aca="false">IF(BX1322="LOSE",1,IF(N(V1322)&gt;0,V1322,IF(CA1322=1,MAX(1,N(VLOOKUP(T1322,Parameter!$I$27:$K$29,3,0)),H1322,N(N1322)),IF(N(Q1322)&gt;0,Q1322,MAX(1,H1322)))))</f>
        <v>6</v>
      </c>
      <c r="BZ1322" s="53" t="n">
        <f aca="false">IF(BX1322="LOSE",1,0)</f>
        <v>0</v>
      </c>
      <c r="CA1322" s="53" t="n">
        <f aca="false">IF(AND(U1322="",OR(P1322="",P1322="LOSE"),T1322&lt;&gt;"",N(S1322)&lt;=0,ISNUMBER(MATCH(T1322,Parameter!$I$27:$I$29,0))),1,0)</f>
        <v>0</v>
      </c>
      <c r="CB1322" s="53" t="n">
        <f aca="false">IF(CQ1322&gt;0,INDEX(Parameter!$H$5:$H$7,W1322)/INDEX(Parameter!$E$5:$E$7,W1322),IF(AND(BZ1322=0,N(IFERROR(VLOOKUP(BX1322,'Gebinde-Kategorie'!$A$5:$N$45,14,0),0))&gt;0),VLOOKUP(BX1322,'Gebinde-Kategorie'!$A$5:$N$45,14,0)*10+Parameter!$M$23,Parameter!$M$24))</f>
        <v>345</v>
      </c>
      <c r="CC1322" s="48" t="str">
        <f aca="false">IF(AND(Parameter!$B$19="Ja",E1322&lt;&gt;"",ISNUMBER(MATCH(E1322,Parameter!$I$35:$I$52,0))),VLOOKUP(E1322,Parameter!$I$35:$J$52,2,0),IFERROR(VLOOKUP(D1322,Parameter!$A$35:$C$64,2,0),"Nein"))</f>
        <v>2+3</v>
      </c>
      <c r="CD1322" s="52" t="n">
        <f aca="false">IF(BZ1322=0,0,IF(N(S1322)&gt;0,S1322,IFERROR(VLOOKUP(D1322,Parameter!$A$35:$C$64,3,0)+0,0)))</f>
        <v>0</v>
      </c>
      <c r="CE1322" s="48" t="n">
        <f aca="false">IF(AA1322&lt;&gt;"",AA1322,Z1322)</f>
        <v>2</v>
      </c>
      <c r="CF1322" s="48" t="str">
        <f aca="false">IF(OR(CE1322=1,CE1322=2,CE1322=3),IF(Parameter!$E$27="Ja","LIFT",IF(CE1322=1,"L1","L23")),IF(CE1322="Aussen","Aussen","-"))</f>
        <v>LIFT</v>
      </c>
      <c r="CG1322" s="59" t="n">
        <f aca="false">IF(N(AB1322)&gt;0,AB1322,0)</f>
        <v>0</v>
      </c>
      <c r="CH1322" s="53" t="n">
        <f aca="false">IF(ISNUMBER(AE1322),1,0)</f>
        <v>0</v>
      </c>
      <c r="CI1322" s="50" t="n">
        <f aca="false">N(AE1322)</f>
        <v>0</v>
      </c>
      <c r="CJ1322" s="50" t="n">
        <f aca="false">N(M1322)+N(N1322)</f>
        <v>2</v>
      </c>
      <c r="CK1322" s="50" t="n">
        <f aca="false">N(M1322)</f>
        <v>1</v>
      </c>
      <c r="CL1322" s="50" t="n">
        <f aca="false">N(N1322)</f>
        <v>1</v>
      </c>
      <c r="CM1322" s="50" t="n">
        <f aca="false">ROUNDUP(H1322/BY1322,0)</f>
        <v>1</v>
      </c>
      <c r="CN1322" s="50" t="n">
        <f aca="false">ROUNDUP(CI1322/BY1322,0)</f>
        <v>0</v>
      </c>
      <c r="CO1322" s="53" t="n">
        <f aca="false">IF(BZ1322=1,0,IFERROR(VLOOKUP(BX1322,'Gebinde-Kategorie'!$A$5:$N$45,5,0)+0,0))</f>
        <v>31</v>
      </c>
      <c r="CP1322" s="53" t="n">
        <f aca="false">IFERROR(IF(OR(CE1322=1,CE1322=2,CE1322=3),N(INDEX(Parameter!$I$5:$I$7,CE1322)),0),0)</f>
        <v>0</v>
      </c>
      <c r="CQ1322" s="52" t="n">
        <f aca="false">IF(AND(Parameter!$B$21="Ja",ISNUMBER(W1322),N(X1322)&gt;0),IFERROR(N(INDEX(Parameter!$L$5:$L$7,W1322))*INDEX(Parameter!$E$5:$E$7,W1322)*X1322/SUMIFS($X$7:$X$1843,$W$7:$W$1843,W1322),0),0)</f>
        <v>0</v>
      </c>
    </row>
    <row r="1323" customFormat="false" ht="15" hidden="false" customHeight="false" outlineLevel="0" collapsed="false">
      <c r="A1323" s="48" t="s">
        <v>2357</v>
      </c>
      <c r="B1323" s="48" t="s">
        <v>2358</v>
      </c>
      <c r="C1323" s="48" t="s">
        <v>173</v>
      </c>
      <c r="D1323" s="48" t="s">
        <v>193</v>
      </c>
      <c r="E1323" s="48" t="s">
        <v>194</v>
      </c>
      <c r="F1323" s="48" t="s">
        <v>227</v>
      </c>
      <c r="G1323" s="49" t="n">
        <v>516.55</v>
      </c>
      <c r="H1323" s="50" t="n">
        <f aca="false">MAX(0,IF(AND(Parameter!$B$21="Ja",ISNUMBER(Y1323)),Y1323,IF(Parameter!$B$20="Jahresanfang 2025 + Export",BR1323+BQ1323,BQ1323)))</f>
        <v>7</v>
      </c>
      <c r="I1323" s="50" t="n">
        <f aca="false">H1323*G1323</f>
        <v>3615.85</v>
      </c>
      <c r="J1323" s="50" t="n">
        <f aca="false">BT1323*Parameter!$B$18</f>
        <v>18</v>
      </c>
      <c r="K1323" s="51" t="n">
        <v>12.5</v>
      </c>
      <c r="L1323" s="52" t="n">
        <v>1.44</v>
      </c>
      <c r="M1323" s="50" t="n">
        <v>1</v>
      </c>
      <c r="N1323" s="50" t="n">
        <v>10</v>
      </c>
      <c r="O1323" s="53" t="n">
        <v>21</v>
      </c>
      <c r="P1323" s="48" t="s">
        <v>302</v>
      </c>
      <c r="Q1323" s="50" t="n">
        <v>38</v>
      </c>
      <c r="R1323" s="53" t="n">
        <f aca="false">IF(BZ1323=1,0,IFERROR(VLOOKUP(BX1323,'Gebinde-Kategorie'!$A$5:$N$45,13,0)+0,0))</f>
        <v>12</v>
      </c>
      <c r="S1323" s="54"/>
      <c r="T1323" s="55"/>
      <c r="U1323" s="55"/>
      <c r="V1323" s="55"/>
      <c r="W1323" s="48"/>
      <c r="X1323" s="50"/>
      <c r="Y1323" s="50"/>
      <c r="Z1323" s="48" t="n">
        <f aca="false">IF(A1323="","",IF(AND(Parameter!$B$21="Ja",ISNUMBER(W1323)),W1323,IF(CC1323="2+3",IF(ISNUMBER(SEARCH("grosser Artikel",BU1323)),2,IFERROR(VLOOKUP(BX1323,Parameter!$F$35:$G$64,2,0),2)),IF(OR(CC1323="Nein",CC1323=""),"-",CC1323))))</f>
        <v>2</v>
      </c>
      <c r="AA1323" s="55"/>
      <c r="AB1323" s="56"/>
      <c r="AC1323" s="50" t="n">
        <f aca="false">AV1323</f>
        <v>11</v>
      </c>
      <c r="AD1323" s="50" t="n">
        <f aca="false">MAX(AV1323,H1323)</f>
        <v>11</v>
      </c>
      <c r="AE1323" s="57"/>
      <c r="AF1323" s="50" t="n">
        <f aca="false">IF(LEFT(Cockpit!$C$5,1)="A",H1323,IF(Parameter!$E$30="MAX-Bestand",IF(CH1323=1,CI1323,IF(LEFT(Cockpit!$C$5,1)="B",AL1323,MAX(AL1323,H1323))),ROUNDUP(AJ1323,0)))</f>
        <v>7</v>
      </c>
      <c r="AG1323" s="50" t="n">
        <f aca="false">IF(BZ1323=1,0,ROUNDUP(AF1323/BY1323,0))</f>
        <v>1</v>
      </c>
      <c r="AH1323" s="52" t="n">
        <f aca="false">IF(CQ1323&gt;0,CQ1323*MAX(1,AF1323/X1323),IF(BZ1323=1,IF(AF1323&lt;=0,0,CD1323*MAX(1,IF(H1323&gt;0,AF1323/H1323,1))),IF(R1323&gt;0,AG1323/R1323,0))/MAX(0.1,N(Parameter!$M$21)))</f>
        <v>0.0833333333333333</v>
      </c>
      <c r="AI1323" s="50" t="n">
        <f aca="false">AH1323*CB1323</f>
        <v>20.4166666666667</v>
      </c>
      <c r="AJ1323" s="51" t="n">
        <f aca="false">IF(LEFT(Cockpit!$C$5,1)="A",H1323,IF(CH1323=1,(CK1323+CI1323)/2,IF(LEFT(Cockpit!$C$5,1)="B",(CK1323+AL1323)/2,MAX((CK1323+AL1323)/2,H1323))))</f>
        <v>7</v>
      </c>
      <c r="AK1323" s="50" t="n">
        <f aca="false">AJ1323*G1323</f>
        <v>3615.85</v>
      </c>
      <c r="AL1323" s="50" t="n">
        <f aca="false">ROUNDUP(CK1323+MAX(CL1323,2*(J1323/IF(CG1323&gt;0,CG1323,MAX(0.1,N(Cockpit!$C$6)))-CK1323)),0)</f>
        <v>11</v>
      </c>
      <c r="AM1323" s="51" t="n">
        <f aca="false">IF(AI1323&gt;0,J1323/AI1323,-1)</f>
        <v>0.881632653061225</v>
      </c>
      <c r="AN1323" s="51" t="n">
        <f aca="false">IF(AND(OR(CF1323="L1",CF1323="L23",CF1323="LIFT"),AI1323&gt;0),SUMIFS($AI$7:$AI$1843,$CF$7:$CF$1843,CF1323,$AM$7:$AM$1843,"&gt;"&amp;AM1323)+SUMIFS($AI$7:$AI$1843,$CF$7:$CF$1843,CF1323,$AM$7:$AM$1843,AM1323,$BW$7:$BW$1843,"&lt;="&amp;BW1323),"")</f>
        <v>7651.52884615385</v>
      </c>
      <c r="AO1323" s="58" t="n">
        <f aca="false">IF(AN1323="",0,MAX(0,MIN(1,(IF(CF1323="L1",Parameter!$H$5,IF(CF1323="L23",Parameter!$H$6+Parameter!$H$7,Parameter!$H$5+Parameter!$H$6+Parameter!$H$7))-(AN1323-AI1323))/AI1323)))</f>
        <v>1</v>
      </c>
      <c r="AP1323" s="50" t="n">
        <f aca="false">IF(LEFT(Cockpit!$I$5,1)="A",H1323,IF(Parameter!$E$30="MAX-Bestand",IF(CH1323=1,CI1323,IF(LEFT(Cockpit!$I$5,1)="B",AV1323,MAX(AV1323,H1323))),ROUNDUP(AT1323,0)))</f>
        <v>7</v>
      </c>
      <c r="AQ1323" s="50" t="n">
        <f aca="false">IF(BZ1323=1,0,ROUNDUP(AP1323/BY1323,0))</f>
        <v>1</v>
      </c>
      <c r="AR1323" s="52" t="n">
        <f aca="false">IF(CQ1323&gt;0,CQ1323*MAX(1,AP1323/X1323),IF(BZ1323=1,IF(AP1323&lt;=0,0,CD1323*MAX(1,IF(H1323&gt;0,AP1323/H1323,1))),IF(R1323&gt;0,AQ1323/R1323,0))/MAX(0.1,N(Parameter!$M$21)))</f>
        <v>0.0833333333333333</v>
      </c>
      <c r="AS1323" s="50" t="n">
        <f aca="false">AR1323*CB1323</f>
        <v>20.4166666666667</v>
      </c>
      <c r="AT1323" s="51" t="n">
        <f aca="false">IF(LEFT(Cockpit!$I$5,1)="A",H1323,IF(CH1323=1,(CK1323+CI1323)/2,IF(LEFT(Cockpit!$I$5,1)="B",(CK1323+AV1323)/2,MAX((CK1323+AV1323)/2,H1323))))</f>
        <v>7</v>
      </c>
      <c r="AU1323" s="50" t="n">
        <f aca="false">AT1323*G1323</f>
        <v>3615.85</v>
      </c>
      <c r="AV1323" s="50" t="n">
        <f aca="false">ROUNDUP(CK1323+MAX(CL1323,2*(J1323/IF(CG1323&gt;0,CG1323,MAX(0.1,N(Cockpit!$I$6)))-CK1323)),0)</f>
        <v>11</v>
      </c>
      <c r="AW1323" s="51" t="n">
        <f aca="false">IF(AS1323&gt;0,J1323/AS1323,-1)</f>
        <v>0.881632653061225</v>
      </c>
      <c r="AX1323" s="51" t="n">
        <f aca="false">IF(AND(OR(CF1323="L1",CF1323="L23",CF1323="LIFT"),AS1323&gt;0),SUMIFS($AS$7:$AS$1843,$CF$7:$CF$1843,CF1323,$AW$7:$AW$1843,"&gt;"&amp;AW1323)+SUMIFS($AS$7:$AS$1843,$CF$7:$CF$1843,CF1323,$AW$7:$AW$1843,AW1323,$BW$7:$BW$1843,"&lt;="&amp;BW1323),"")</f>
        <v>9225.96886446886</v>
      </c>
      <c r="AY1323" s="58" t="n">
        <f aca="false">IF(AX1323="",0,MAX(0,MIN(1,(IF(CF1323="L1",Parameter!$H$5,IF(CF1323="L23",Parameter!$H$6+Parameter!$H$7,Parameter!$H$5+Parameter!$H$6+Parameter!$H$7))-(AX1323-AS1323))/AS1323)))</f>
        <v>1</v>
      </c>
      <c r="AZ1323" s="50" t="n">
        <f aca="false">IF(LEFT(Cockpit!$O$5,1)="A",H1323,IF(Parameter!$E$30="MAX-Bestand",IF(CH1323=1,CI1323,IF(LEFT(Cockpit!$O$5,1)="B",BF1323,MAX(BF1323,H1323))),ROUNDUP(BD1323,0)))</f>
        <v>6</v>
      </c>
      <c r="BA1323" s="50" t="n">
        <f aca="false">IF(BZ1323=1,0,ROUNDUP(AZ1323/BY1323,0))</f>
        <v>1</v>
      </c>
      <c r="BB1323" s="52" t="n">
        <f aca="false">IF(CQ1323&gt;0,CQ1323*MAX(1,AZ1323/X1323),IF(BZ1323=1,IF(AZ1323&lt;=0,0,CD1323*MAX(1,IF(H1323&gt;0,AZ1323/H1323,1))),IF(R1323&gt;0,BA1323/R1323,0))/MAX(0.1,N(Parameter!$M$21)))</f>
        <v>0.0833333333333333</v>
      </c>
      <c r="BC1323" s="50" t="n">
        <f aca="false">BB1323*CB1323</f>
        <v>20.4166666666667</v>
      </c>
      <c r="BD1323" s="51" t="n">
        <f aca="false">IF(LEFT(Cockpit!$O$5,1)="A",H1323,IF(CH1323=1,(CK1323+CI1323)/2,IF(LEFT(Cockpit!$O$5,1)="B",(CK1323+BF1323)/2,MAX((CK1323+BF1323)/2,H1323))))</f>
        <v>6</v>
      </c>
      <c r="BE1323" s="50" t="n">
        <f aca="false">BD1323*G1323</f>
        <v>3099.3</v>
      </c>
      <c r="BF1323" s="50" t="n">
        <f aca="false">ROUNDUP(CK1323+MAX(CL1323,2*(J1323/IF(CG1323&gt;0,CG1323,MAX(0.1,N(Cockpit!$O$6)))-CK1323)),0)</f>
        <v>11</v>
      </c>
      <c r="BG1323" s="51" t="n">
        <f aca="false">IF(BC1323&gt;0,J1323/BC1323,-1)</f>
        <v>0.881632653061225</v>
      </c>
      <c r="BH1323" s="51" t="n">
        <f aca="false">IF(AND(OR(CF1323="L1",CF1323="L23",CF1323="LIFT"),BC1323&gt;0),SUMIFS($BC$7:$BC$1843,$CF$7:$CF$1843,CF1323,$BG$7:$BG$1843,"&gt;"&amp;BG1323)+SUMIFS($BC$7:$BC$1843,$CF$7:$CF$1843,CF1323,$BG$7:$BG$1843,BG1323,$BW$7:$BW$1843,"&lt;="&amp;BW1323),"")</f>
        <v>8269.35302197802</v>
      </c>
      <c r="BI1323" s="58" t="n">
        <f aca="false">IF(BH1323="",0,MAX(0,MIN(1,(IF(CF1323="L1",Parameter!$H$5,IF(CF1323="L23",Parameter!$H$6+Parameter!$H$7,Parameter!$H$5+Parameter!$H$6+Parameter!$H$7))-(BH1323-BC1323))/BC1323)))</f>
        <v>1</v>
      </c>
      <c r="BJ1323" s="48" t="str">
        <f aca="false">IF(AI1323&lt;=0,"",IF(CF1323="Aussen","Aussenlager",IF(CF1323="-","Nicht im Lift",IF(AO1323&gt;=1,"Lift",IF(AO1323&lt;=0,"Aussenlager","teilweise")))))</f>
        <v>Lift</v>
      </c>
      <c r="BK1323" s="48" t="str">
        <f aca="false">IF(AS1323&lt;=0,"",IF(CF1323="Aussen","Aussenlager",IF(CF1323="-","Nicht im Lift",IF(AY1323&gt;=1,"Lift",IF(AY1323&lt;=0,"Aussenlager","teilweise")))))</f>
        <v>Lift</v>
      </c>
      <c r="BL1323" s="48" t="str">
        <f aca="false">IF(BC1323&lt;=0,"",IF(CF1323="Aussen","Aussenlager",IF(CF1323="-","Nicht im Lift",IF(BI1323&gt;=1,"Lift",IF(BI1323&lt;=0,"Aussenlager","teilweise")))))</f>
        <v>Lift</v>
      </c>
      <c r="BM1323" s="48" t="str">
        <f aca="false">IF(A1323="","",IF(BV1323=1,"Neu; ","")&amp;IF(AND(BV1323=0,BQ1323&lt;0),"negativer Bestand (Export "&amp;BQ1323&amp;"); ","")&amp;IF(J1323&lt;=0,"Kein Verbrauch; ","")&amp;IF(CQ1323&gt;0,"Lift "&amp;W1323&amp;" lt. Liftbericht (Fach "&amp;X1323&amp;" Stk); ",IF(CA1323=1,"Gebinde geschätzt ("&amp;T1323&amp;"); ",IF(BZ1323=1,"Lose – Tablare geschätzt; ","")))&amp;IF(H1323&gt;AV1323,"Überbestand "&amp;ROUND(H1323-AV1323,0)&amp;" Stk / CHF "&amp;ROUND((H1323-AV1323)*G1323,0)&amp;"; ","")&amp;IF(AND(CH1323=1,CI1323&lt;CJ1323),"MAX &lt; MB+LG; ","")&amp;IF(AND(CP1323&gt;0,CO1323*10&gt;CP1323),"zu hoch für Tablar; ","")&amp;IF(AND(BV1323=0,OR(CH1323=1,AA1323&lt;&gt;"",U1323&lt;&gt;"",V1323&lt;&gt;"",AB1323&lt;&gt;"")),"manuell übersteuert; ","")&amp;IF(AND(BZ1323=0,R1323=0),"Gebinde unbekannt / Stellmass fehlt; ","")&amp;IF(AND(BZ1323=0,N(V1323)&lt;=0,N(Q1323)&lt;=0),"Menge pro Gebinde fehlt (Ist = 1 Gebinde); ","")&amp;BU1323)</f>
        <v>negativer Bestand (Export -3); </v>
      </c>
      <c r="BN1323" s="48"/>
      <c r="BO1323" s="48"/>
      <c r="BP1323" s="55"/>
      <c r="BQ1323" s="50" t="n">
        <v>-3</v>
      </c>
      <c r="BR1323" s="50" t="n">
        <v>10</v>
      </c>
      <c r="BS1323" s="49" t="n">
        <v>-1450.15</v>
      </c>
      <c r="BT1323" s="50" t="n">
        <v>18</v>
      </c>
      <c r="BU1323" s="48"/>
      <c r="BV1323" s="53" t="n">
        <v>0</v>
      </c>
      <c r="BW1323" s="53" t="n">
        <v>1323</v>
      </c>
      <c r="BX1323" s="48" t="str">
        <f aca="false">IF(U1323&lt;&gt;"",UPPER(TRIM(U1323)),IF(CA1323=1,UPPER(VLOOKUP(T1323,Parameter!$I$27:$K$29,2,0)),IF(P1323="","LOSE",P1323)))</f>
        <v>S62</v>
      </c>
      <c r="BY1323" s="50" t="n">
        <f aca="false">IF(BX1323="LOSE",1,IF(N(V1323)&gt;0,V1323,IF(CA1323=1,MAX(1,N(VLOOKUP(T1323,Parameter!$I$27:$K$29,3,0)),H1323,N(N1323)),IF(N(Q1323)&gt;0,Q1323,MAX(1,H1323)))))</f>
        <v>38</v>
      </c>
      <c r="BZ1323" s="53" t="n">
        <f aca="false">IF(BX1323="LOSE",1,0)</f>
        <v>0</v>
      </c>
      <c r="CA1323" s="53" t="n">
        <f aca="false">IF(AND(U1323="",OR(P1323="",P1323="LOSE"),T1323&lt;&gt;"",N(S1323)&lt;=0,ISNUMBER(MATCH(T1323,Parameter!$I$27:$I$29,0))),1,0)</f>
        <v>0</v>
      </c>
      <c r="CB1323" s="53" t="n">
        <f aca="false">IF(CQ1323&gt;0,INDEX(Parameter!$H$5:$H$7,W1323)/INDEX(Parameter!$E$5:$E$7,W1323),IF(AND(BZ1323=0,N(IFERROR(VLOOKUP(BX1323,'Gebinde-Kategorie'!$A$5:$N$45,14,0),0))&gt;0),VLOOKUP(BX1323,'Gebinde-Kategorie'!$A$5:$N$45,14,0)*10+Parameter!$M$23,Parameter!$M$24))</f>
        <v>245</v>
      </c>
      <c r="CC1323" s="48" t="str">
        <f aca="false">IF(AND(Parameter!$B$19="Ja",E1323&lt;&gt;"",ISNUMBER(MATCH(E1323,Parameter!$I$35:$I$52,0))),VLOOKUP(E1323,Parameter!$I$35:$J$52,2,0),IFERROR(VLOOKUP(D1323,Parameter!$A$35:$C$64,2,0),"Nein"))</f>
        <v>2+3</v>
      </c>
      <c r="CD1323" s="52" t="n">
        <f aca="false">IF(BZ1323=0,0,IF(N(S1323)&gt;0,S1323,IFERROR(VLOOKUP(D1323,Parameter!$A$35:$C$64,3,0)+0,0)))</f>
        <v>0</v>
      </c>
      <c r="CE1323" s="48" t="n">
        <f aca="false">IF(AA1323&lt;&gt;"",AA1323,Z1323)</f>
        <v>2</v>
      </c>
      <c r="CF1323" s="48" t="str">
        <f aca="false">IF(OR(CE1323=1,CE1323=2,CE1323=3),IF(Parameter!$E$27="Ja","LIFT",IF(CE1323=1,"L1","L23")),IF(CE1323="Aussen","Aussen","-"))</f>
        <v>LIFT</v>
      </c>
      <c r="CG1323" s="59" t="n">
        <f aca="false">IF(N(AB1323)&gt;0,AB1323,0)</f>
        <v>0</v>
      </c>
      <c r="CH1323" s="53" t="n">
        <f aca="false">IF(ISNUMBER(AE1323),1,0)</f>
        <v>0</v>
      </c>
      <c r="CI1323" s="50" t="n">
        <f aca="false">N(AE1323)</f>
        <v>0</v>
      </c>
      <c r="CJ1323" s="50" t="n">
        <f aca="false">N(M1323)+N(N1323)</f>
        <v>11</v>
      </c>
      <c r="CK1323" s="50" t="n">
        <f aca="false">N(M1323)</f>
        <v>1</v>
      </c>
      <c r="CL1323" s="50" t="n">
        <f aca="false">N(N1323)</f>
        <v>10</v>
      </c>
      <c r="CM1323" s="50" t="n">
        <f aca="false">ROUNDUP(H1323/BY1323,0)</f>
        <v>1</v>
      </c>
      <c r="CN1323" s="50" t="n">
        <f aca="false">ROUNDUP(CI1323/BY1323,0)</f>
        <v>0</v>
      </c>
      <c r="CO1323" s="53" t="n">
        <f aca="false">IF(BZ1323=1,0,IFERROR(VLOOKUP(BX1323,'Gebinde-Kategorie'!$A$5:$N$45,5,0)+0,0))</f>
        <v>21</v>
      </c>
      <c r="CP1323" s="53" t="n">
        <f aca="false">IFERROR(IF(OR(CE1323=1,CE1323=2,CE1323=3),N(INDEX(Parameter!$I$5:$I$7,CE1323)),0),0)</f>
        <v>0</v>
      </c>
      <c r="CQ1323" s="52" t="n">
        <f aca="false">IF(AND(Parameter!$B$21="Ja",ISNUMBER(W1323),N(X1323)&gt;0),IFERROR(N(INDEX(Parameter!$L$5:$L$7,W1323))*INDEX(Parameter!$E$5:$E$7,W1323)*X1323/SUMIFS($X$7:$X$1843,$W$7:$W$1843,W1323),0),0)</f>
        <v>0</v>
      </c>
    </row>
    <row r="1324" customFormat="false" ht="15" hidden="false" customHeight="false" outlineLevel="0" collapsed="false">
      <c r="A1324" s="48" t="s">
        <v>2359</v>
      </c>
      <c r="B1324" s="48" t="s">
        <v>607</v>
      </c>
      <c r="C1324" s="48" t="s">
        <v>173</v>
      </c>
      <c r="D1324" s="48" t="s">
        <v>193</v>
      </c>
      <c r="E1324" s="48" t="s">
        <v>194</v>
      </c>
      <c r="F1324" s="48" t="s">
        <v>227</v>
      </c>
      <c r="G1324" s="49" t="n">
        <v>29.61</v>
      </c>
      <c r="H1324" s="50" t="n">
        <f aca="false">MAX(0,IF(AND(Parameter!$B$21="Ja",ISNUMBER(Y1324)),Y1324,IF(Parameter!$B$20="Jahresanfang 2025 + Export",BR1324+BQ1324,BQ1324)))</f>
        <v>28</v>
      </c>
      <c r="I1324" s="50" t="n">
        <f aca="false">H1324*G1324</f>
        <v>829.08</v>
      </c>
      <c r="J1324" s="50" t="n">
        <f aca="false">BT1324*Parameter!$B$18</f>
        <v>75</v>
      </c>
      <c r="K1324" s="51" t="n">
        <v>83.5</v>
      </c>
      <c r="L1324" s="52" t="n">
        <v>0.898203592814371</v>
      </c>
      <c r="M1324" s="50" t="n">
        <v>2</v>
      </c>
      <c r="N1324" s="50" t="n">
        <v>75</v>
      </c>
      <c r="O1324" s="53" t="n">
        <v>14</v>
      </c>
      <c r="P1324" s="48" t="s">
        <v>311</v>
      </c>
      <c r="Q1324" s="50" t="n">
        <v>109</v>
      </c>
      <c r="R1324" s="53" t="n">
        <f aca="false">IF(BZ1324=1,0,IFERROR(VLOOKUP(BX1324,'Gebinde-Kategorie'!$A$5:$N$45,13,0)+0,0))</f>
        <v>26</v>
      </c>
      <c r="S1324" s="54"/>
      <c r="T1324" s="55"/>
      <c r="U1324" s="55"/>
      <c r="V1324" s="55"/>
      <c r="W1324" s="48"/>
      <c r="X1324" s="50"/>
      <c r="Y1324" s="50"/>
      <c r="Z1324" s="48" t="n">
        <f aca="false">IF(A1324="","",IF(AND(Parameter!$B$21="Ja",ISNUMBER(W1324)),W1324,IF(CC1324="2+3",IF(ISNUMBER(SEARCH("grosser Artikel",BU1324)),2,IFERROR(VLOOKUP(BX1324,Parameter!$F$35:$G$64,2,0),2)),IF(OR(CC1324="Nein",CC1324=""),"-",CC1324))))</f>
        <v>3</v>
      </c>
      <c r="AA1324" s="55"/>
      <c r="AB1324" s="56"/>
      <c r="AC1324" s="50" t="n">
        <f aca="false">AV1324</f>
        <v>77</v>
      </c>
      <c r="AD1324" s="50" t="n">
        <f aca="false">MAX(AV1324,H1324)</f>
        <v>77</v>
      </c>
      <c r="AE1324" s="57"/>
      <c r="AF1324" s="50" t="n">
        <f aca="false">IF(LEFT(Cockpit!$C$5,1)="A",H1324,IF(Parameter!$E$30="MAX-Bestand",IF(CH1324=1,CI1324,IF(LEFT(Cockpit!$C$5,1)="B",AL1324,MAX(AL1324,H1324))),ROUNDUP(AJ1324,0)))</f>
        <v>28</v>
      </c>
      <c r="AG1324" s="50" t="n">
        <f aca="false">IF(BZ1324=1,0,ROUNDUP(AF1324/BY1324,0))</f>
        <v>1</v>
      </c>
      <c r="AH1324" s="52" t="n">
        <f aca="false">IF(CQ1324&gt;0,CQ1324*MAX(1,AF1324/X1324),IF(BZ1324=1,IF(AF1324&lt;=0,0,CD1324*MAX(1,IF(H1324&gt;0,AF1324/H1324,1))),IF(R1324&gt;0,AG1324/R1324,0))/MAX(0.1,N(Parameter!$M$21)))</f>
        <v>0.0384615384615385</v>
      </c>
      <c r="AI1324" s="50" t="n">
        <f aca="false">AH1324*CB1324</f>
        <v>5.96153846153846</v>
      </c>
      <c r="AJ1324" s="51" t="n">
        <f aca="false">IF(LEFT(Cockpit!$C$5,1)="A",H1324,IF(CH1324=1,(CK1324+CI1324)/2,IF(LEFT(Cockpit!$C$5,1)="B",(CK1324+AL1324)/2,MAX((CK1324+AL1324)/2,H1324))))</f>
        <v>28</v>
      </c>
      <c r="AK1324" s="50" t="n">
        <f aca="false">AJ1324*G1324</f>
        <v>829.08</v>
      </c>
      <c r="AL1324" s="50" t="n">
        <f aca="false">ROUNDUP(CK1324+MAX(CL1324,2*(J1324/IF(CG1324&gt;0,CG1324,MAX(0.1,N(Cockpit!$C$6)))-CK1324)),0)</f>
        <v>77</v>
      </c>
      <c r="AM1324" s="51" t="n">
        <f aca="false">IF(AI1324&gt;0,J1324/AI1324,-1)</f>
        <v>12.5806451612903</v>
      </c>
      <c r="AN1324" s="51" t="n">
        <f aca="false">IF(AND(OR(CF1324="L1",CF1324="L23",CF1324="LIFT"),AI1324&gt;0),SUMIFS($AI$7:$AI$1843,$CF$7:$CF$1843,CF1324,$AM$7:$AM$1843,"&gt;"&amp;AM1324)+SUMIFS($AI$7:$AI$1843,$CF$7:$CF$1843,CF1324,$AM$7:$AM$1843,AM1324,$BW$7:$BW$1843,"&lt;="&amp;BW1324),"")</f>
        <v>2426.29761904762</v>
      </c>
      <c r="AO1324" s="58" t="n">
        <f aca="false">IF(AN1324="",0,MAX(0,MIN(1,(IF(CF1324="L1",Parameter!$H$5,IF(CF1324="L23",Parameter!$H$6+Parameter!$H$7,Parameter!$H$5+Parameter!$H$6+Parameter!$H$7))-(AN1324-AI1324))/AI1324)))</f>
        <v>1</v>
      </c>
      <c r="AP1324" s="50" t="n">
        <f aca="false">IF(LEFT(Cockpit!$I$5,1)="A",H1324,IF(Parameter!$E$30="MAX-Bestand",IF(CH1324=1,CI1324,IF(LEFT(Cockpit!$I$5,1)="B",AV1324,MAX(AV1324,H1324))),ROUNDUP(AT1324,0)))</f>
        <v>40</v>
      </c>
      <c r="AQ1324" s="50" t="n">
        <f aca="false">IF(BZ1324=1,0,ROUNDUP(AP1324/BY1324,0))</f>
        <v>1</v>
      </c>
      <c r="AR1324" s="52" t="n">
        <f aca="false">IF(CQ1324&gt;0,CQ1324*MAX(1,AP1324/X1324),IF(BZ1324=1,IF(AP1324&lt;=0,0,CD1324*MAX(1,IF(H1324&gt;0,AP1324/H1324,1))),IF(R1324&gt;0,AQ1324/R1324,0))/MAX(0.1,N(Parameter!$M$21)))</f>
        <v>0.0384615384615385</v>
      </c>
      <c r="AS1324" s="50" t="n">
        <f aca="false">AR1324*CB1324</f>
        <v>5.96153846153846</v>
      </c>
      <c r="AT1324" s="51" t="n">
        <f aca="false">IF(LEFT(Cockpit!$I$5,1)="A",H1324,IF(CH1324=1,(CK1324+CI1324)/2,IF(LEFT(Cockpit!$I$5,1)="B",(CK1324+AV1324)/2,MAX((CK1324+AV1324)/2,H1324))))</f>
        <v>39.5</v>
      </c>
      <c r="AU1324" s="50" t="n">
        <f aca="false">AT1324*G1324</f>
        <v>1169.595</v>
      </c>
      <c r="AV1324" s="50" t="n">
        <f aca="false">ROUNDUP(CK1324+MAX(CL1324,2*(J1324/IF(CG1324&gt;0,CG1324,MAX(0.1,N(Cockpit!$I$6)))-CK1324)),0)</f>
        <v>77</v>
      </c>
      <c r="AW1324" s="51" t="n">
        <f aca="false">IF(AS1324&gt;0,J1324/AS1324,-1)</f>
        <v>12.5806451612903</v>
      </c>
      <c r="AX1324" s="51" t="n">
        <f aca="false">IF(AND(OR(CF1324="L1",CF1324="L23",CF1324="LIFT"),AS1324&gt;0),SUMIFS($AS$7:$AS$1843,$CF$7:$CF$1843,CF1324,$AW$7:$AW$1843,"&gt;"&amp;AW1324)+SUMIFS($AS$7:$AS$1843,$CF$7:$CF$1843,CF1324,$AW$7:$AW$1843,AW1324,$BW$7:$BW$1843,"&lt;="&amp;BW1324),"")</f>
        <v>3015.67673992674</v>
      </c>
      <c r="AY1324" s="58" t="n">
        <f aca="false">IF(AX1324="",0,MAX(0,MIN(1,(IF(CF1324="L1",Parameter!$H$5,IF(CF1324="L23",Parameter!$H$6+Parameter!$H$7,Parameter!$H$5+Parameter!$H$6+Parameter!$H$7))-(AX1324-AS1324))/AS1324)))</f>
        <v>1</v>
      </c>
      <c r="AZ1324" s="50" t="n">
        <f aca="false">IF(LEFT(Cockpit!$O$5,1)="A",H1324,IF(Parameter!$E$30="MAX-Bestand",IF(CH1324=1,CI1324,IF(LEFT(Cockpit!$O$5,1)="B",BF1324,MAX(BF1324,H1324))),ROUNDUP(BD1324,0)))</f>
        <v>40</v>
      </c>
      <c r="BA1324" s="50" t="n">
        <f aca="false">IF(BZ1324=1,0,ROUNDUP(AZ1324/BY1324,0))</f>
        <v>1</v>
      </c>
      <c r="BB1324" s="52" t="n">
        <f aca="false">IF(CQ1324&gt;0,CQ1324*MAX(1,AZ1324/X1324),IF(BZ1324=1,IF(AZ1324&lt;=0,0,CD1324*MAX(1,IF(H1324&gt;0,AZ1324/H1324,1))),IF(R1324&gt;0,BA1324/R1324,0))/MAX(0.1,N(Parameter!$M$21)))</f>
        <v>0.0384615384615385</v>
      </c>
      <c r="BC1324" s="50" t="n">
        <f aca="false">BB1324*CB1324</f>
        <v>5.96153846153846</v>
      </c>
      <c r="BD1324" s="51" t="n">
        <f aca="false">IF(LEFT(Cockpit!$O$5,1)="A",H1324,IF(CH1324=1,(CK1324+CI1324)/2,IF(LEFT(Cockpit!$O$5,1)="B",(CK1324+BF1324)/2,MAX((CK1324+BF1324)/2,H1324))))</f>
        <v>39.5</v>
      </c>
      <c r="BE1324" s="50" t="n">
        <f aca="false">BD1324*G1324</f>
        <v>1169.595</v>
      </c>
      <c r="BF1324" s="50" t="n">
        <f aca="false">ROUNDUP(CK1324+MAX(CL1324,2*(J1324/IF(CG1324&gt;0,CG1324,MAX(0.1,N(Cockpit!$O$6)))-CK1324)),0)</f>
        <v>77</v>
      </c>
      <c r="BG1324" s="51" t="n">
        <f aca="false">IF(BC1324&gt;0,J1324/BC1324,-1)</f>
        <v>12.5806451612903</v>
      </c>
      <c r="BH1324" s="51" t="n">
        <f aca="false">IF(AND(OR(CF1324="L1",CF1324="L23",CF1324="LIFT"),BC1324&gt;0),SUMIFS($BC$7:$BC$1843,$CF$7:$CF$1843,CF1324,$BG$7:$BG$1843,"&gt;"&amp;BG1324)+SUMIFS($BC$7:$BC$1843,$CF$7:$CF$1843,CF1324,$BG$7:$BG$1843,BG1324,$BW$7:$BW$1843,"&lt;="&amp;BW1324),"")</f>
        <v>2532.66208791209</v>
      </c>
      <c r="BI1324" s="58" t="n">
        <f aca="false">IF(BH1324="",0,MAX(0,MIN(1,(IF(CF1324="L1",Parameter!$H$5,IF(CF1324="L23",Parameter!$H$6+Parameter!$H$7,Parameter!$H$5+Parameter!$H$6+Parameter!$H$7))-(BH1324-BC1324))/BC1324)))</f>
        <v>1</v>
      </c>
      <c r="BJ1324" s="48" t="str">
        <f aca="false">IF(AI1324&lt;=0,"",IF(CF1324="Aussen","Aussenlager",IF(CF1324="-","Nicht im Lift",IF(AO1324&gt;=1,"Lift",IF(AO1324&lt;=0,"Aussenlager","teilweise")))))</f>
        <v>Lift</v>
      </c>
      <c r="BK1324" s="48" t="str">
        <f aca="false">IF(AS1324&lt;=0,"",IF(CF1324="Aussen","Aussenlager",IF(CF1324="-","Nicht im Lift",IF(AY1324&gt;=1,"Lift",IF(AY1324&lt;=0,"Aussenlager","teilweise")))))</f>
        <v>Lift</v>
      </c>
      <c r="BL1324" s="48" t="str">
        <f aca="false">IF(BC1324&lt;=0,"",IF(CF1324="Aussen","Aussenlager",IF(CF1324="-","Nicht im Lift",IF(BI1324&gt;=1,"Lift",IF(BI1324&lt;=0,"Aussenlager","teilweise")))))</f>
        <v>Lift</v>
      </c>
      <c r="BM1324" s="48" t="str">
        <f aca="false">IF(A1324="","",IF(BV1324=1,"Neu; ","")&amp;IF(AND(BV1324=0,BQ1324&lt;0),"negativer Bestand (Export "&amp;BQ1324&amp;"); ","")&amp;IF(J1324&lt;=0,"Kein Verbrauch; ","")&amp;IF(CQ1324&gt;0,"Lift "&amp;W1324&amp;" lt. Liftbericht (Fach "&amp;X1324&amp;" Stk); ",IF(CA1324=1,"Gebinde geschätzt ("&amp;T1324&amp;"); ",IF(BZ1324=1,"Lose – Tablare geschätzt; ","")))&amp;IF(H1324&gt;AV1324,"Überbestand "&amp;ROUND(H1324-AV1324,0)&amp;" Stk / CHF "&amp;ROUND((H1324-AV1324)*G1324,0)&amp;"; ","")&amp;IF(AND(CH1324=1,CI1324&lt;CJ1324),"MAX &lt; MB+LG; ","")&amp;IF(AND(CP1324&gt;0,CO1324*10&gt;CP1324),"zu hoch für Tablar; ","")&amp;IF(AND(BV1324=0,OR(CH1324=1,AA1324&lt;&gt;"",U1324&lt;&gt;"",V1324&lt;&gt;"",AB1324&lt;&gt;"")),"manuell übersteuert; ","")&amp;IF(AND(BZ1324=0,R1324=0),"Gebinde unbekannt / Stellmass fehlt; ","")&amp;IF(AND(BZ1324=0,N(V1324)&lt;=0,N(Q1324)&lt;=0),"Menge pro Gebinde fehlt (Ist = 1 Gebinde); ","")&amp;BU1324)</f>
        <v>negativer Bestand (Export -53); </v>
      </c>
      <c r="BN1324" s="48"/>
      <c r="BO1324" s="48"/>
      <c r="BP1324" s="55"/>
      <c r="BQ1324" s="50" t="n">
        <v>-53</v>
      </c>
      <c r="BR1324" s="50" t="n">
        <v>81</v>
      </c>
      <c r="BS1324" s="49" t="n">
        <v>-1451.88</v>
      </c>
      <c r="BT1324" s="50" t="n">
        <v>75</v>
      </c>
      <c r="BU1324" s="48"/>
      <c r="BV1324" s="53" t="n">
        <v>0</v>
      </c>
      <c r="BW1324" s="53" t="n">
        <v>1324</v>
      </c>
      <c r="BX1324" s="48" t="str">
        <f aca="false">IF(U1324&lt;&gt;"",UPPER(TRIM(U1324)),IF(CA1324=1,UPPER(VLOOKUP(T1324,Parameter!$I$27:$K$29,2,0)),IF(P1324="","LOSE",P1324)))</f>
        <v>S51</v>
      </c>
      <c r="BY1324" s="50" t="n">
        <f aca="false">IF(BX1324="LOSE",1,IF(N(V1324)&gt;0,V1324,IF(CA1324=1,MAX(1,N(VLOOKUP(T1324,Parameter!$I$27:$K$29,3,0)),H1324,N(N1324)),IF(N(Q1324)&gt;0,Q1324,MAX(1,H1324)))))</f>
        <v>109</v>
      </c>
      <c r="BZ1324" s="53" t="n">
        <f aca="false">IF(BX1324="LOSE",1,0)</f>
        <v>0</v>
      </c>
      <c r="CA1324" s="53" t="n">
        <f aca="false">IF(AND(U1324="",OR(P1324="",P1324="LOSE"),T1324&lt;&gt;"",N(S1324)&lt;=0,ISNUMBER(MATCH(T1324,Parameter!$I$27:$I$29,0))),1,0)</f>
        <v>0</v>
      </c>
      <c r="CB1324" s="53" t="n">
        <f aca="false">IF(CQ1324&gt;0,INDEX(Parameter!$H$5:$H$7,W1324)/INDEX(Parameter!$E$5:$E$7,W1324),IF(AND(BZ1324=0,N(IFERROR(VLOOKUP(BX1324,'Gebinde-Kategorie'!$A$5:$N$45,14,0),0))&gt;0),VLOOKUP(BX1324,'Gebinde-Kategorie'!$A$5:$N$45,14,0)*10+Parameter!$M$23,Parameter!$M$24))</f>
        <v>155</v>
      </c>
      <c r="CC1324" s="48" t="str">
        <f aca="false">IF(AND(Parameter!$B$19="Ja",E1324&lt;&gt;"",ISNUMBER(MATCH(E1324,Parameter!$I$35:$I$52,0))),VLOOKUP(E1324,Parameter!$I$35:$J$52,2,0),IFERROR(VLOOKUP(D1324,Parameter!$A$35:$C$64,2,0),"Nein"))</f>
        <v>2+3</v>
      </c>
      <c r="CD1324" s="52" t="n">
        <f aca="false">IF(BZ1324=0,0,IF(N(S1324)&gt;0,S1324,IFERROR(VLOOKUP(D1324,Parameter!$A$35:$C$64,3,0)+0,0)))</f>
        <v>0</v>
      </c>
      <c r="CE1324" s="48" t="n">
        <f aca="false">IF(AA1324&lt;&gt;"",AA1324,Z1324)</f>
        <v>3</v>
      </c>
      <c r="CF1324" s="48" t="str">
        <f aca="false">IF(OR(CE1324=1,CE1324=2,CE1324=3),IF(Parameter!$E$27="Ja","LIFT",IF(CE1324=1,"L1","L23")),IF(CE1324="Aussen","Aussen","-"))</f>
        <v>LIFT</v>
      </c>
      <c r="CG1324" s="59" t="n">
        <f aca="false">IF(N(AB1324)&gt;0,AB1324,0)</f>
        <v>0</v>
      </c>
      <c r="CH1324" s="53" t="n">
        <f aca="false">IF(ISNUMBER(AE1324),1,0)</f>
        <v>0</v>
      </c>
      <c r="CI1324" s="50" t="n">
        <f aca="false">N(AE1324)</f>
        <v>0</v>
      </c>
      <c r="CJ1324" s="50" t="n">
        <f aca="false">N(M1324)+N(N1324)</f>
        <v>77</v>
      </c>
      <c r="CK1324" s="50" t="n">
        <f aca="false">N(M1324)</f>
        <v>2</v>
      </c>
      <c r="CL1324" s="50" t="n">
        <f aca="false">N(N1324)</f>
        <v>75</v>
      </c>
      <c r="CM1324" s="50" t="n">
        <f aca="false">ROUNDUP(H1324/BY1324,0)</f>
        <v>1</v>
      </c>
      <c r="CN1324" s="50" t="n">
        <f aca="false">ROUNDUP(CI1324/BY1324,0)</f>
        <v>0</v>
      </c>
      <c r="CO1324" s="53" t="n">
        <f aca="false">IF(BZ1324=1,0,IFERROR(VLOOKUP(BX1324,'Gebinde-Kategorie'!$A$5:$N$45,5,0)+0,0))</f>
        <v>11</v>
      </c>
      <c r="CP1324" s="53" t="n">
        <f aca="false">IFERROR(IF(OR(CE1324=1,CE1324=2,CE1324=3),N(INDEX(Parameter!$I$5:$I$7,CE1324)),0),0)</f>
        <v>0</v>
      </c>
      <c r="CQ1324" s="52" t="n">
        <f aca="false">IF(AND(Parameter!$B$21="Ja",ISNUMBER(W1324),N(X1324)&gt;0),IFERROR(N(INDEX(Parameter!$L$5:$L$7,W1324))*INDEX(Parameter!$E$5:$E$7,W1324)*X1324/SUMIFS($X$7:$X$1843,$W$7:$W$1843,W1324),0),0)</f>
        <v>0</v>
      </c>
    </row>
    <row r="1325" customFormat="false" ht="15" hidden="false" customHeight="false" outlineLevel="0" collapsed="false">
      <c r="A1325" s="48" t="s">
        <v>2360</v>
      </c>
      <c r="B1325" s="48" t="s">
        <v>2361</v>
      </c>
      <c r="C1325" s="48" t="s">
        <v>173</v>
      </c>
      <c r="D1325" s="48" t="s">
        <v>193</v>
      </c>
      <c r="E1325" s="48" t="s">
        <v>194</v>
      </c>
      <c r="F1325" s="48" t="s">
        <v>227</v>
      </c>
      <c r="G1325" s="49" t="n">
        <v>8.87</v>
      </c>
      <c r="H1325" s="50" t="n">
        <f aca="false">MAX(0,IF(AND(Parameter!$B$21="Ja",ISNUMBER(Y1325)),Y1325,IF(Parameter!$B$20="Jahresanfang 2025 + Export",BR1325+BQ1325,BQ1325)))</f>
        <v>377</v>
      </c>
      <c r="I1325" s="50" t="n">
        <f aca="false">H1325*G1325</f>
        <v>3343.99</v>
      </c>
      <c r="J1325" s="50" t="n">
        <f aca="false">BT1325*Parameter!$B$18</f>
        <v>1312</v>
      </c>
      <c r="K1325" s="51" t="n">
        <v>657.5</v>
      </c>
      <c r="L1325" s="52" t="n">
        <v>1.99543726235741</v>
      </c>
      <c r="M1325" s="50" t="n">
        <v>206</v>
      </c>
      <c r="N1325" s="50" t="n">
        <v>600</v>
      </c>
      <c r="O1325" s="53" t="n">
        <v>56</v>
      </c>
      <c r="P1325" s="48" t="s">
        <v>311</v>
      </c>
      <c r="Q1325" s="50" t="n">
        <v>881</v>
      </c>
      <c r="R1325" s="53" t="n">
        <f aca="false">IF(BZ1325=1,0,IFERROR(VLOOKUP(BX1325,'Gebinde-Kategorie'!$A$5:$N$45,13,0)+0,0))</f>
        <v>26</v>
      </c>
      <c r="S1325" s="54"/>
      <c r="T1325" s="55"/>
      <c r="U1325" s="55"/>
      <c r="V1325" s="55"/>
      <c r="W1325" s="48"/>
      <c r="X1325" s="50"/>
      <c r="Y1325" s="50"/>
      <c r="Z1325" s="48" t="n">
        <f aca="false">IF(A1325="","",IF(AND(Parameter!$B$21="Ja",ISNUMBER(W1325)),W1325,IF(CC1325="2+3",IF(ISNUMBER(SEARCH("grosser Artikel",BU1325)),2,IFERROR(VLOOKUP(BX1325,Parameter!$F$35:$G$64,2,0),2)),IF(OR(CC1325="Nein",CC1325=""),"-",CC1325))))</f>
        <v>3</v>
      </c>
      <c r="AA1325" s="55"/>
      <c r="AB1325" s="56"/>
      <c r="AC1325" s="50" t="n">
        <f aca="false">AV1325</f>
        <v>806</v>
      </c>
      <c r="AD1325" s="50" t="n">
        <f aca="false">MAX(AV1325,H1325)</f>
        <v>806</v>
      </c>
      <c r="AE1325" s="57"/>
      <c r="AF1325" s="50" t="n">
        <f aca="false">IF(LEFT(Cockpit!$C$5,1)="A",H1325,IF(Parameter!$E$30="MAX-Bestand",IF(CH1325=1,CI1325,IF(LEFT(Cockpit!$C$5,1)="B",AL1325,MAX(AL1325,H1325))),ROUNDUP(AJ1325,0)))</f>
        <v>377</v>
      </c>
      <c r="AG1325" s="50" t="n">
        <f aca="false">IF(BZ1325=1,0,ROUNDUP(AF1325/BY1325,0))</f>
        <v>1</v>
      </c>
      <c r="AH1325" s="52" t="n">
        <f aca="false">IF(CQ1325&gt;0,CQ1325*MAX(1,AF1325/X1325),IF(BZ1325=1,IF(AF1325&lt;=0,0,CD1325*MAX(1,IF(H1325&gt;0,AF1325/H1325,1))),IF(R1325&gt;0,AG1325/R1325,0))/MAX(0.1,N(Parameter!$M$21)))</f>
        <v>0.0384615384615385</v>
      </c>
      <c r="AI1325" s="50" t="n">
        <f aca="false">AH1325*CB1325</f>
        <v>5.96153846153846</v>
      </c>
      <c r="AJ1325" s="51" t="n">
        <f aca="false">IF(LEFT(Cockpit!$C$5,1)="A",H1325,IF(CH1325=1,(CK1325+CI1325)/2,IF(LEFT(Cockpit!$C$5,1)="B",(CK1325+AL1325)/2,MAX((CK1325+AL1325)/2,H1325))))</f>
        <v>377</v>
      </c>
      <c r="AK1325" s="50" t="n">
        <f aca="false">AJ1325*G1325</f>
        <v>3343.99</v>
      </c>
      <c r="AL1325" s="50" t="n">
        <f aca="false">ROUNDUP(CK1325+MAX(CL1325,2*(J1325/IF(CG1325&gt;0,CG1325,MAX(0.1,N(Cockpit!$C$6)))-CK1325)),0)</f>
        <v>806</v>
      </c>
      <c r="AM1325" s="51" t="n">
        <f aca="false">IF(AI1325&gt;0,J1325/AI1325,-1)</f>
        <v>220.077419354839</v>
      </c>
      <c r="AN1325" s="51" t="n">
        <f aca="false">IF(AND(OR(CF1325="L1",CF1325="L23",CF1325="LIFT"),AI1325&gt;0),SUMIFS($AI$7:$AI$1843,$CF$7:$CF$1843,CF1325,$AM$7:$AM$1843,"&gt;"&amp;AM1325)+SUMIFS($AI$7:$AI$1843,$CF$7:$CF$1843,CF1325,$AM$7:$AM$1843,AM1325,$BW$7:$BW$1843,"&lt;="&amp;BW1325),"")</f>
        <v>314.666666666667</v>
      </c>
      <c r="AO1325" s="58" t="n">
        <f aca="false">IF(AN1325="",0,MAX(0,MIN(1,(IF(CF1325="L1",Parameter!$H$5,IF(CF1325="L23",Parameter!$H$6+Parameter!$H$7,Parameter!$H$5+Parameter!$H$6+Parameter!$H$7))-(AN1325-AI1325))/AI1325)))</f>
        <v>1</v>
      </c>
      <c r="AP1325" s="50" t="n">
        <f aca="false">IF(LEFT(Cockpit!$I$5,1)="A",H1325,IF(Parameter!$E$30="MAX-Bestand",IF(CH1325=1,CI1325,IF(LEFT(Cockpit!$I$5,1)="B",AV1325,MAX(AV1325,H1325))),ROUNDUP(AT1325,0)))</f>
        <v>506</v>
      </c>
      <c r="AQ1325" s="50" t="n">
        <f aca="false">IF(BZ1325=1,0,ROUNDUP(AP1325/BY1325,0))</f>
        <v>1</v>
      </c>
      <c r="AR1325" s="52" t="n">
        <f aca="false">IF(CQ1325&gt;0,CQ1325*MAX(1,AP1325/X1325),IF(BZ1325=1,IF(AP1325&lt;=0,0,CD1325*MAX(1,IF(H1325&gt;0,AP1325/H1325,1))),IF(R1325&gt;0,AQ1325/R1325,0))/MAX(0.1,N(Parameter!$M$21)))</f>
        <v>0.0384615384615385</v>
      </c>
      <c r="AS1325" s="50" t="n">
        <f aca="false">AR1325*CB1325</f>
        <v>5.96153846153846</v>
      </c>
      <c r="AT1325" s="51" t="n">
        <f aca="false">IF(LEFT(Cockpit!$I$5,1)="A",H1325,IF(CH1325=1,(CK1325+CI1325)/2,IF(LEFT(Cockpit!$I$5,1)="B",(CK1325+AV1325)/2,MAX((CK1325+AV1325)/2,H1325))))</f>
        <v>506</v>
      </c>
      <c r="AU1325" s="50" t="n">
        <f aca="false">AT1325*G1325</f>
        <v>4488.22</v>
      </c>
      <c r="AV1325" s="50" t="n">
        <f aca="false">ROUNDUP(CK1325+MAX(CL1325,2*(J1325/IF(CG1325&gt;0,CG1325,MAX(0.1,N(Cockpit!$I$6)))-CK1325)),0)</f>
        <v>806</v>
      </c>
      <c r="AW1325" s="51" t="n">
        <f aca="false">IF(AS1325&gt;0,J1325/AS1325,-1)</f>
        <v>220.077419354839</v>
      </c>
      <c r="AX1325" s="51" t="n">
        <f aca="false">IF(AND(OR(CF1325="L1",CF1325="L23",CF1325="LIFT"),AS1325&gt;0),SUMIFS($AS$7:$AS$1843,$CF$7:$CF$1843,CF1325,$AW$7:$AW$1843,"&gt;"&amp;AW1325)+SUMIFS($AS$7:$AS$1843,$CF$7:$CF$1843,CF1325,$AW$7:$AW$1843,AW1325,$BW$7:$BW$1843,"&lt;="&amp;BW1325),"")</f>
        <v>345.5086996337</v>
      </c>
      <c r="AY1325" s="58" t="n">
        <f aca="false">IF(AX1325="",0,MAX(0,MIN(1,(IF(CF1325="L1",Parameter!$H$5,IF(CF1325="L23",Parameter!$H$6+Parameter!$H$7,Parameter!$H$5+Parameter!$H$6+Parameter!$H$7))-(AX1325-AS1325))/AS1325)))</f>
        <v>1</v>
      </c>
      <c r="AZ1325" s="50" t="n">
        <f aca="false">IF(LEFT(Cockpit!$O$5,1)="A",H1325,IF(Parameter!$E$30="MAX-Bestand",IF(CH1325=1,CI1325,IF(LEFT(Cockpit!$O$5,1)="B",BF1325,MAX(BF1325,H1325))),ROUNDUP(BD1325,0)))</f>
        <v>506</v>
      </c>
      <c r="BA1325" s="50" t="n">
        <f aca="false">IF(BZ1325=1,0,ROUNDUP(AZ1325/BY1325,0))</f>
        <v>1</v>
      </c>
      <c r="BB1325" s="52" t="n">
        <f aca="false">IF(CQ1325&gt;0,CQ1325*MAX(1,AZ1325/X1325),IF(BZ1325=1,IF(AZ1325&lt;=0,0,CD1325*MAX(1,IF(H1325&gt;0,AZ1325/H1325,1))),IF(R1325&gt;0,BA1325/R1325,0))/MAX(0.1,N(Parameter!$M$21)))</f>
        <v>0.0384615384615385</v>
      </c>
      <c r="BC1325" s="50" t="n">
        <f aca="false">BB1325*CB1325</f>
        <v>5.96153846153846</v>
      </c>
      <c r="BD1325" s="51" t="n">
        <f aca="false">IF(LEFT(Cockpit!$O$5,1)="A",H1325,IF(CH1325=1,(CK1325+CI1325)/2,IF(LEFT(Cockpit!$O$5,1)="B",(CK1325+BF1325)/2,MAX((CK1325+BF1325)/2,H1325))))</f>
        <v>506</v>
      </c>
      <c r="BE1325" s="50" t="n">
        <f aca="false">BD1325*G1325</f>
        <v>4488.22</v>
      </c>
      <c r="BF1325" s="50" t="n">
        <f aca="false">ROUNDUP(CK1325+MAX(CL1325,2*(J1325/IF(CG1325&gt;0,CG1325,MAX(0.1,N(Cockpit!$O$6)))-CK1325)),0)</f>
        <v>806</v>
      </c>
      <c r="BG1325" s="51" t="n">
        <f aca="false">IF(BC1325&gt;0,J1325/BC1325,-1)</f>
        <v>220.077419354839</v>
      </c>
      <c r="BH1325" s="51" t="n">
        <f aca="false">IF(AND(OR(CF1325="L1",CF1325="L23",CF1325="LIFT"),BC1325&gt;0),SUMIFS($BC$7:$BC$1843,$CF$7:$CF$1843,CF1325,$BG$7:$BG$1843,"&gt;"&amp;BG1325)+SUMIFS($BC$7:$BC$1843,$CF$7:$CF$1843,CF1325,$BG$7:$BG$1843,BG1325,$BW$7:$BW$1843,"&lt;="&amp;BW1325),"")</f>
        <v>403.075549450549</v>
      </c>
      <c r="BI1325" s="58" t="n">
        <f aca="false">IF(BH1325="",0,MAX(0,MIN(1,(IF(CF1325="L1",Parameter!$H$5,IF(CF1325="L23",Parameter!$H$6+Parameter!$H$7,Parameter!$H$5+Parameter!$H$6+Parameter!$H$7))-(BH1325-BC1325))/BC1325)))</f>
        <v>1</v>
      </c>
      <c r="BJ1325" s="48" t="str">
        <f aca="false">IF(AI1325&lt;=0,"",IF(CF1325="Aussen","Aussenlager",IF(CF1325="-","Nicht im Lift",IF(AO1325&gt;=1,"Lift",IF(AO1325&lt;=0,"Aussenlager","teilweise")))))</f>
        <v>Lift</v>
      </c>
      <c r="BK1325" s="48" t="str">
        <f aca="false">IF(AS1325&lt;=0,"",IF(CF1325="Aussen","Aussenlager",IF(CF1325="-","Nicht im Lift",IF(AY1325&gt;=1,"Lift",IF(AY1325&lt;=0,"Aussenlager","teilweise")))))</f>
        <v>Lift</v>
      </c>
      <c r="BL1325" s="48" t="str">
        <f aca="false">IF(BC1325&lt;=0,"",IF(CF1325="Aussen","Aussenlager",IF(CF1325="-","Nicht im Lift",IF(BI1325&gt;=1,"Lift",IF(BI1325&lt;=0,"Aussenlager","teilweise")))))</f>
        <v>Lift</v>
      </c>
      <c r="BM1325" s="48" t="str">
        <f aca="false">IF(A1325="","",IF(BV1325=1,"Neu; ","")&amp;IF(AND(BV1325=0,BQ1325&lt;0),"negativer Bestand (Export "&amp;BQ1325&amp;"); ","")&amp;IF(J1325&lt;=0,"Kein Verbrauch; ","")&amp;IF(CQ1325&gt;0,"Lift "&amp;W1325&amp;" lt. Liftbericht (Fach "&amp;X1325&amp;" Stk); ",IF(CA1325=1,"Gebinde geschätzt ("&amp;T1325&amp;"); ",IF(BZ1325=1,"Lose – Tablare geschätzt; ","")))&amp;IF(H1325&gt;AV1325,"Überbestand "&amp;ROUND(H1325-AV1325,0)&amp;" Stk / CHF "&amp;ROUND((H1325-AV1325)*G1325,0)&amp;"; ","")&amp;IF(AND(CH1325=1,CI1325&lt;CJ1325),"MAX &lt; MB+LG; ","")&amp;IF(AND(CP1325&gt;0,CO1325*10&gt;CP1325),"zu hoch für Tablar; ","")&amp;IF(AND(BV1325=0,OR(CH1325=1,AA1325&lt;&gt;"",U1325&lt;&gt;"",V1325&lt;&gt;"",AB1325&lt;&gt;"")),"manuell übersteuert; ","")&amp;IF(AND(BZ1325=0,R1325=0),"Gebinde unbekannt / Stellmass fehlt; ","")&amp;IF(AND(BZ1325=0,N(V1325)&lt;=0,N(Q1325)&lt;=0),"Menge pro Gebinde fehlt (Ist = 1 Gebinde); ","")&amp;BU1325)</f>
        <v>negativer Bestand (Export -179); </v>
      </c>
      <c r="BN1325" s="48"/>
      <c r="BO1325" s="48"/>
      <c r="BP1325" s="55"/>
      <c r="BQ1325" s="50" t="n">
        <v>-179</v>
      </c>
      <c r="BR1325" s="50" t="n">
        <v>556</v>
      </c>
      <c r="BS1325" s="49" t="n">
        <v>-1484.94000000002</v>
      </c>
      <c r="BT1325" s="50" t="n">
        <v>1312</v>
      </c>
      <c r="BU1325" s="48"/>
      <c r="BV1325" s="53" t="n">
        <v>0</v>
      </c>
      <c r="BW1325" s="53" t="n">
        <v>1325</v>
      </c>
      <c r="BX1325" s="48" t="str">
        <f aca="false">IF(U1325&lt;&gt;"",UPPER(TRIM(U1325)),IF(CA1325=1,UPPER(VLOOKUP(T1325,Parameter!$I$27:$K$29,2,0)),IF(P1325="","LOSE",P1325)))</f>
        <v>S51</v>
      </c>
      <c r="BY1325" s="50" t="n">
        <f aca="false">IF(BX1325="LOSE",1,IF(N(V1325)&gt;0,V1325,IF(CA1325=1,MAX(1,N(VLOOKUP(T1325,Parameter!$I$27:$K$29,3,0)),H1325,N(N1325)),IF(N(Q1325)&gt;0,Q1325,MAX(1,H1325)))))</f>
        <v>881</v>
      </c>
      <c r="BZ1325" s="53" t="n">
        <f aca="false">IF(BX1325="LOSE",1,0)</f>
        <v>0</v>
      </c>
      <c r="CA1325" s="53" t="n">
        <f aca="false">IF(AND(U1325="",OR(P1325="",P1325="LOSE"),T1325&lt;&gt;"",N(S1325)&lt;=0,ISNUMBER(MATCH(T1325,Parameter!$I$27:$I$29,0))),1,0)</f>
        <v>0</v>
      </c>
      <c r="CB1325" s="53" t="n">
        <f aca="false">IF(CQ1325&gt;0,INDEX(Parameter!$H$5:$H$7,W1325)/INDEX(Parameter!$E$5:$E$7,W1325),IF(AND(BZ1325=0,N(IFERROR(VLOOKUP(BX1325,'Gebinde-Kategorie'!$A$5:$N$45,14,0),0))&gt;0),VLOOKUP(BX1325,'Gebinde-Kategorie'!$A$5:$N$45,14,0)*10+Parameter!$M$23,Parameter!$M$24))</f>
        <v>155</v>
      </c>
      <c r="CC1325" s="48" t="str">
        <f aca="false">IF(AND(Parameter!$B$19="Ja",E1325&lt;&gt;"",ISNUMBER(MATCH(E1325,Parameter!$I$35:$I$52,0))),VLOOKUP(E1325,Parameter!$I$35:$J$52,2,0),IFERROR(VLOOKUP(D1325,Parameter!$A$35:$C$64,2,0),"Nein"))</f>
        <v>2+3</v>
      </c>
      <c r="CD1325" s="52" t="n">
        <f aca="false">IF(BZ1325=0,0,IF(N(S1325)&gt;0,S1325,IFERROR(VLOOKUP(D1325,Parameter!$A$35:$C$64,3,0)+0,0)))</f>
        <v>0</v>
      </c>
      <c r="CE1325" s="48" t="n">
        <f aca="false">IF(AA1325&lt;&gt;"",AA1325,Z1325)</f>
        <v>3</v>
      </c>
      <c r="CF1325" s="48" t="str">
        <f aca="false">IF(OR(CE1325=1,CE1325=2,CE1325=3),IF(Parameter!$E$27="Ja","LIFT",IF(CE1325=1,"L1","L23")),IF(CE1325="Aussen","Aussen","-"))</f>
        <v>LIFT</v>
      </c>
      <c r="CG1325" s="59" t="n">
        <f aca="false">IF(N(AB1325)&gt;0,AB1325,0)</f>
        <v>0</v>
      </c>
      <c r="CH1325" s="53" t="n">
        <f aca="false">IF(ISNUMBER(AE1325),1,0)</f>
        <v>0</v>
      </c>
      <c r="CI1325" s="50" t="n">
        <f aca="false">N(AE1325)</f>
        <v>0</v>
      </c>
      <c r="CJ1325" s="50" t="n">
        <f aca="false">N(M1325)+N(N1325)</f>
        <v>806</v>
      </c>
      <c r="CK1325" s="50" t="n">
        <f aca="false">N(M1325)</f>
        <v>206</v>
      </c>
      <c r="CL1325" s="50" t="n">
        <f aca="false">N(N1325)</f>
        <v>600</v>
      </c>
      <c r="CM1325" s="50" t="n">
        <f aca="false">ROUNDUP(H1325/BY1325,0)</f>
        <v>1</v>
      </c>
      <c r="CN1325" s="50" t="n">
        <f aca="false">ROUNDUP(CI1325/BY1325,0)</f>
        <v>0</v>
      </c>
      <c r="CO1325" s="53" t="n">
        <f aca="false">IF(BZ1325=1,0,IFERROR(VLOOKUP(BX1325,'Gebinde-Kategorie'!$A$5:$N$45,5,0)+0,0))</f>
        <v>11</v>
      </c>
      <c r="CP1325" s="53" t="n">
        <f aca="false">IFERROR(IF(OR(CE1325=1,CE1325=2,CE1325=3),N(INDEX(Parameter!$I$5:$I$7,CE1325)),0),0)</f>
        <v>0</v>
      </c>
      <c r="CQ1325" s="52" t="n">
        <f aca="false">IF(AND(Parameter!$B$21="Ja",ISNUMBER(W1325),N(X1325)&gt;0),IFERROR(N(INDEX(Parameter!$L$5:$L$7,W1325))*INDEX(Parameter!$E$5:$E$7,W1325)*X1325/SUMIFS($X$7:$X$1843,$W$7:$W$1843,W1325),0),0)</f>
        <v>0</v>
      </c>
    </row>
    <row r="1326" customFormat="false" ht="15" hidden="false" customHeight="false" outlineLevel="0" collapsed="false">
      <c r="A1326" s="48" t="s">
        <v>2362</v>
      </c>
      <c r="B1326" s="48" t="s">
        <v>2363</v>
      </c>
      <c r="C1326" s="48" t="s">
        <v>173</v>
      </c>
      <c r="D1326" s="48" t="s">
        <v>193</v>
      </c>
      <c r="E1326" s="48"/>
      <c r="F1326" s="48" t="s">
        <v>227</v>
      </c>
      <c r="G1326" s="49" t="n">
        <v>55.4</v>
      </c>
      <c r="H1326" s="50" t="n">
        <f aca="false">MAX(0,IF(AND(Parameter!$B$21="Ja",ISNUMBER(Y1326)),Y1326,IF(Parameter!$B$20="Jahresanfang 2025 + Export",BR1326+BQ1326,BQ1326)))</f>
        <v>71</v>
      </c>
      <c r="I1326" s="50" t="n">
        <f aca="false">H1326*G1326</f>
        <v>3933.4</v>
      </c>
      <c r="J1326" s="50" t="n">
        <f aca="false">BT1326*Parameter!$B$18</f>
        <v>12</v>
      </c>
      <c r="K1326" s="51" t="n">
        <v>92</v>
      </c>
      <c r="L1326" s="52" t="n">
        <v>0.130434782608696</v>
      </c>
      <c r="M1326" s="50" t="n">
        <v>1</v>
      </c>
      <c r="N1326" s="50" t="n">
        <v>10</v>
      </c>
      <c r="O1326" s="53" t="n">
        <v>42</v>
      </c>
      <c r="P1326" s="48" t="s">
        <v>177</v>
      </c>
      <c r="Q1326" s="50"/>
      <c r="R1326" s="53" t="n">
        <f aca="false">IF(BZ1326=1,0,IFERROR(VLOOKUP(BX1326,'Gebinde-Kategorie'!$A$5:$N$45,13,0)+0,0))</f>
        <v>12</v>
      </c>
      <c r="S1326" s="54"/>
      <c r="T1326" s="55" t="s">
        <v>188</v>
      </c>
      <c r="U1326" s="55"/>
      <c r="V1326" s="55"/>
      <c r="W1326" s="48"/>
      <c r="X1326" s="50"/>
      <c r="Y1326" s="50"/>
      <c r="Z1326" s="48" t="n">
        <f aca="false">IF(A1326="","",IF(AND(Parameter!$B$21="Ja",ISNUMBER(W1326)),W1326,IF(CC1326="2+3",IF(ISNUMBER(SEARCH("grosser Artikel",BU1326)),2,IFERROR(VLOOKUP(BX1326,Parameter!$F$35:$G$64,2,0),2)),IF(OR(CC1326="Nein",CC1326=""),"-",CC1326))))</f>
        <v>2</v>
      </c>
      <c r="AA1326" s="55"/>
      <c r="AB1326" s="56"/>
      <c r="AC1326" s="50" t="n">
        <f aca="false">AV1326</f>
        <v>11</v>
      </c>
      <c r="AD1326" s="50" t="n">
        <f aca="false">MAX(AV1326,H1326)</f>
        <v>71</v>
      </c>
      <c r="AE1326" s="57"/>
      <c r="AF1326" s="50" t="n">
        <f aca="false">IF(LEFT(Cockpit!$C$5,1)="A",H1326,IF(Parameter!$E$30="MAX-Bestand",IF(CH1326=1,CI1326,IF(LEFT(Cockpit!$C$5,1)="B",AL1326,MAX(AL1326,H1326))),ROUNDUP(AJ1326,0)))</f>
        <v>71</v>
      </c>
      <c r="AG1326" s="50" t="n">
        <f aca="false">IF(BZ1326=1,0,ROUNDUP(AF1326/BY1326,0))</f>
        <v>1</v>
      </c>
      <c r="AH1326" s="52" t="n">
        <f aca="false">IF(CQ1326&gt;0,CQ1326*MAX(1,AF1326/X1326),IF(BZ1326=1,IF(AF1326&lt;=0,0,CD1326*MAX(1,IF(H1326&gt;0,AF1326/H1326,1))),IF(R1326&gt;0,AG1326/R1326,0))/MAX(0.1,N(Parameter!$M$21)))</f>
        <v>0.0833333333333333</v>
      </c>
      <c r="AI1326" s="50" t="n">
        <f aca="false">AH1326*CB1326</f>
        <v>12.0833333333333</v>
      </c>
      <c r="AJ1326" s="51" t="n">
        <f aca="false">IF(LEFT(Cockpit!$C$5,1)="A",H1326,IF(CH1326=1,(CK1326+CI1326)/2,IF(LEFT(Cockpit!$C$5,1)="B",(CK1326+AL1326)/2,MAX((CK1326+AL1326)/2,H1326))))</f>
        <v>71</v>
      </c>
      <c r="AK1326" s="50" t="n">
        <f aca="false">AJ1326*G1326</f>
        <v>3933.4</v>
      </c>
      <c r="AL1326" s="50" t="n">
        <f aca="false">ROUNDUP(CK1326+MAX(CL1326,2*(J1326/IF(CG1326&gt;0,CG1326,MAX(0.1,N(Cockpit!$C$6)))-CK1326)),0)</f>
        <v>11</v>
      </c>
      <c r="AM1326" s="51" t="n">
        <f aca="false">IF(AI1326&gt;0,J1326/AI1326,-1)</f>
        <v>0.993103448275862</v>
      </c>
      <c r="AN1326" s="51" t="n">
        <f aca="false">IF(AND(OR(CF1326="L1",CF1326="L23",CF1326="LIFT"),AI1326&gt;0),SUMIFS($AI$7:$AI$1843,$CF$7:$CF$1843,CF1326,$AM$7:$AM$1843,"&gt;"&amp;AM1326)+SUMIFS($AI$7:$AI$1843,$CF$7:$CF$1843,CF1326,$AM$7:$AM$1843,AM1326,$BW$7:$BW$1843,"&lt;="&amp;BW1326),"")</f>
        <v>7086.69276556777</v>
      </c>
      <c r="AO1326" s="58" t="n">
        <f aca="false">IF(AN1326="",0,MAX(0,MIN(1,(IF(CF1326="L1",Parameter!$H$5,IF(CF1326="L23",Parameter!$H$6+Parameter!$H$7,Parameter!$H$5+Parameter!$H$6+Parameter!$H$7))-(AN1326-AI1326))/AI1326)))</f>
        <v>1</v>
      </c>
      <c r="AP1326" s="50" t="n">
        <f aca="false">IF(LEFT(Cockpit!$I$5,1)="A",H1326,IF(Parameter!$E$30="MAX-Bestand",IF(CH1326=1,CI1326,IF(LEFT(Cockpit!$I$5,1)="B",AV1326,MAX(AV1326,H1326))),ROUNDUP(AT1326,0)))</f>
        <v>71</v>
      </c>
      <c r="AQ1326" s="50" t="n">
        <f aca="false">IF(BZ1326=1,0,ROUNDUP(AP1326/BY1326,0))</f>
        <v>1</v>
      </c>
      <c r="AR1326" s="52" t="n">
        <f aca="false">IF(CQ1326&gt;0,CQ1326*MAX(1,AP1326/X1326),IF(BZ1326=1,IF(AP1326&lt;=0,0,CD1326*MAX(1,IF(H1326&gt;0,AP1326/H1326,1))),IF(R1326&gt;0,AQ1326/R1326,0))/MAX(0.1,N(Parameter!$M$21)))</f>
        <v>0.0833333333333333</v>
      </c>
      <c r="AS1326" s="50" t="n">
        <f aca="false">AR1326*CB1326</f>
        <v>12.0833333333333</v>
      </c>
      <c r="AT1326" s="51" t="n">
        <f aca="false">IF(LEFT(Cockpit!$I$5,1)="A",H1326,IF(CH1326=1,(CK1326+CI1326)/2,IF(LEFT(Cockpit!$I$5,1)="B",(CK1326+AV1326)/2,MAX((CK1326+AV1326)/2,H1326))))</f>
        <v>71</v>
      </c>
      <c r="AU1326" s="50" t="n">
        <f aca="false">AT1326*G1326</f>
        <v>3933.4</v>
      </c>
      <c r="AV1326" s="50" t="n">
        <f aca="false">ROUNDUP(CK1326+MAX(CL1326,2*(J1326/IF(CG1326&gt;0,CG1326,MAX(0.1,N(Cockpit!$I$6)))-CK1326)),0)</f>
        <v>11</v>
      </c>
      <c r="AW1326" s="51" t="n">
        <f aca="false">IF(AS1326&gt;0,J1326/AS1326,-1)</f>
        <v>0.993103448275862</v>
      </c>
      <c r="AX1326" s="51" t="n">
        <f aca="false">IF(AND(OR(CF1326="L1",CF1326="L23",CF1326="LIFT"),AS1326&gt;0),SUMIFS($AS$7:$AS$1843,$CF$7:$CF$1843,CF1326,$AW$7:$AW$1843,"&gt;"&amp;AW1326)+SUMIFS($AS$7:$AS$1843,$CF$7:$CF$1843,CF1326,$AW$7:$AW$1843,AW1326,$BW$7:$BW$1843,"&lt;="&amp;BW1326),"")</f>
        <v>8458.37637362637</v>
      </c>
      <c r="AY1326" s="58" t="n">
        <f aca="false">IF(AX1326="",0,MAX(0,MIN(1,(IF(CF1326="L1",Parameter!$H$5,IF(CF1326="L23",Parameter!$H$6+Parameter!$H$7,Parameter!$H$5+Parameter!$H$6+Parameter!$H$7))-(AX1326-AS1326))/AS1326)))</f>
        <v>1</v>
      </c>
      <c r="AZ1326" s="50" t="n">
        <f aca="false">IF(LEFT(Cockpit!$O$5,1)="A",H1326,IF(Parameter!$E$30="MAX-Bestand",IF(CH1326=1,CI1326,IF(LEFT(Cockpit!$O$5,1)="B",BF1326,MAX(BF1326,H1326))),ROUNDUP(BD1326,0)))</f>
        <v>6</v>
      </c>
      <c r="BA1326" s="50" t="n">
        <f aca="false">IF(BZ1326=1,0,ROUNDUP(AZ1326/BY1326,0))</f>
        <v>1</v>
      </c>
      <c r="BB1326" s="52" t="n">
        <f aca="false">IF(CQ1326&gt;0,CQ1326*MAX(1,AZ1326/X1326),IF(BZ1326=1,IF(AZ1326&lt;=0,0,CD1326*MAX(1,IF(H1326&gt;0,AZ1326/H1326,1))),IF(R1326&gt;0,BA1326/R1326,0))/MAX(0.1,N(Parameter!$M$21)))</f>
        <v>0.0833333333333333</v>
      </c>
      <c r="BC1326" s="50" t="n">
        <f aca="false">BB1326*CB1326</f>
        <v>12.0833333333333</v>
      </c>
      <c r="BD1326" s="51" t="n">
        <f aca="false">IF(LEFT(Cockpit!$O$5,1)="A",H1326,IF(CH1326=1,(CK1326+CI1326)/2,IF(LEFT(Cockpit!$O$5,1)="B",(CK1326+BF1326)/2,MAX((CK1326+BF1326)/2,H1326))))</f>
        <v>6</v>
      </c>
      <c r="BE1326" s="50" t="n">
        <f aca="false">BD1326*G1326</f>
        <v>332.4</v>
      </c>
      <c r="BF1326" s="50" t="n">
        <f aca="false">ROUNDUP(CK1326+MAX(CL1326,2*(J1326/IF(CG1326&gt;0,CG1326,MAX(0.1,N(Cockpit!$O$6)))-CK1326)),0)</f>
        <v>11</v>
      </c>
      <c r="BG1326" s="51" t="n">
        <f aca="false">IF(BC1326&gt;0,J1326/BC1326,-1)</f>
        <v>0.993103448275862</v>
      </c>
      <c r="BH1326" s="51" t="n">
        <f aca="false">IF(AND(OR(CF1326="L1",CF1326="L23",CF1326="LIFT"),BC1326&gt;0),SUMIFS($BC$7:$BC$1843,$CF$7:$CF$1843,CF1326,$BG$7:$BG$1843,"&gt;"&amp;BG1326)+SUMIFS($BC$7:$BC$1843,$CF$7:$CF$1843,CF1326,$BG$7:$BG$1843,BG1326,$BW$7:$BW$1843,"&lt;="&amp;BW1326),"")</f>
        <v>7696.48946886447</v>
      </c>
      <c r="BI1326" s="58" t="n">
        <f aca="false">IF(BH1326="",0,MAX(0,MIN(1,(IF(CF1326="L1",Parameter!$H$5,IF(CF1326="L23",Parameter!$H$6+Parameter!$H$7,Parameter!$H$5+Parameter!$H$6+Parameter!$H$7))-(BH1326-BC1326))/BC1326)))</f>
        <v>1</v>
      </c>
      <c r="BJ1326" s="48" t="str">
        <f aca="false">IF(AI1326&lt;=0,"",IF(CF1326="Aussen","Aussenlager",IF(CF1326="-","Nicht im Lift",IF(AO1326&gt;=1,"Lift",IF(AO1326&lt;=0,"Aussenlager","teilweise")))))</f>
        <v>Lift</v>
      </c>
      <c r="BK1326" s="48" t="str">
        <f aca="false">IF(AS1326&lt;=0,"",IF(CF1326="Aussen","Aussenlager",IF(CF1326="-","Nicht im Lift",IF(AY1326&gt;=1,"Lift",IF(AY1326&lt;=0,"Aussenlager","teilweise")))))</f>
        <v>Lift</v>
      </c>
      <c r="BL1326" s="48" t="str">
        <f aca="false">IF(BC1326&lt;=0,"",IF(CF1326="Aussen","Aussenlager",IF(CF1326="-","Nicht im Lift",IF(BI1326&gt;=1,"Lift",IF(BI1326&lt;=0,"Aussenlager","teilweise")))))</f>
        <v>Lift</v>
      </c>
      <c r="BM1326" s="48" t="str">
        <f aca="false">IF(A1326="","",IF(BV1326=1,"Neu; ","")&amp;IF(AND(BV1326=0,BQ1326&lt;0),"negativer Bestand (Export "&amp;BQ1326&amp;"); ","")&amp;IF(J1326&lt;=0,"Kein Verbrauch; ","")&amp;IF(CQ1326&gt;0,"Lift "&amp;W1326&amp;" lt. Liftbericht (Fach "&amp;X1326&amp;" Stk); ",IF(CA1326=1,"Gebinde geschätzt ("&amp;T1326&amp;"); ",IF(BZ1326=1,"Lose – Tablare geschätzt; ","")))&amp;IF(H1326&gt;AV1326,"Überbestand "&amp;ROUND(H1326-AV1326,0)&amp;" Stk / CHF "&amp;ROUND((H1326-AV1326)*G1326,0)&amp;"; ","")&amp;IF(AND(CH1326=1,CI1326&lt;CJ1326),"MAX &lt; MB+LG; ","")&amp;IF(AND(CP1326&gt;0,CO1326*10&gt;CP1326),"zu hoch für Tablar; ","")&amp;IF(AND(BV1326=0,OR(CH1326=1,AA1326&lt;&gt;"",U1326&lt;&gt;"",V1326&lt;&gt;"",AB1326&lt;&gt;"")),"manuell übersteuert; ","")&amp;IF(AND(BZ1326=0,R1326=0),"Gebinde unbekannt / Stellmass fehlt; ","")&amp;IF(AND(BZ1326=0,N(V1326)&lt;=0,N(Q1326)&lt;=0),"Menge pro Gebinde fehlt (Ist = 1 Gebinde); ","")&amp;BU1326)</f>
        <v>negativer Bestand (Export -27); Gebinde geschätzt (Mittel); Überbestand 60 Stk / CHF 3324; Menge pro Gebinde fehlt (Ist = 1 Gebinde); </v>
      </c>
      <c r="BN1326" s="48"/>
      <c r="BO1326" s="48"/>
      <c r="BP1326" s="55"/>
      <c r="BQ1326" s="50" t="n">
        <v>-27</v>
      </c>
      <c r="BR1326" s="50" t="n">
        <v>98</v>
      </c>
      <c r="BS1326" s="49" t="n">
        <v>-1495.8</v>
      </c>
      <c r="BT1326" s="50" t="n">
        <v>12</v>
      </c>
      <c r="BU1326" s="48"/>
      <c r="BV1326" s="53" t="n">
        <v>0</v>
      </c>
      <c r="BW1326" s="53" t="n">
        <v>1326</v>
      </c>
      <c r="BX1326" s="48" t="str">
        <f aca="false">IF(U1326&lt;&gt;"",UPPER(TRIM(U1326)),IF(CA1326=1,UPPER(VLOOKUP(T1326,Parameter!$I$27:$K$29,2,0)),IF(P1326="","LOSE",P1326)))</f>
        <v>S61</v>
      </c>
      <c r="BY1326" s="50" t="n">
        <f aca="false">IF(BX1326="LOSE",1,IF(N(V1326)&gt;0,V1326,IF(CA1326=1,MAX(1,N(VLOOKUP(T1326,Parameter!$I$27:$K$29,3,0)),H1326,N(N1326)),IF(N(Q1326)&gt;0,Q1326,MAX(1,H1326)))))</f>
        <v>71</v>
      </c>
      <c r="BZ1326" s="53" t="n">
        <f aca="false">IF(BX1326="LOSE",1,0)</f>
        <v>0</v>
      </c>
      <c r="CA1326" s="53" t="n">
        <f aca="false">IF(AND(U1326="",OR(P1326="",P1326="LOSE"),T1326&lt;&gt;"",N(S1326)&lt;=0,ISNUMBER(MATCH(T1326,Parameter!$I$27:$I$29,0))),1,0)</f>
        <v>1</v>
      </c>
      <c r="CB1326" s="53" t="n">
        <f aca="false">IF(CQ1326&gt;0,INDEX(Parameter!$H$5:$H$7,W1326)/INDEX(Parameter!$E$5:$E$7,W1326),IF(AND(BZ1326=0,N(IFERROR(VLOOKUP(BX1326,'Gebinde-Kategorie'!$A$5:$N$45,14,0),0))&gt;0),VLOOKUP(BX1326,'Gebinde-Kategorie'!$A$5:$N$45,14,0)*10+Parameter!$M$23,Parameter!$M$24))</f>
        <v>145</v>
      </c>
      <c r="CC1326" s="48" t="str">
        <f aca="false">IF(AND(Parameter!$B$19="Ja",E1326&lt;&gt;"",ISNUMBER(MATCH(E1326,Parameter!$I$35:$I$52,0))),VLOOKUP(E1326,Parameter!$I$35:$J$52,2,0),IFERROR(VLOOKUP(D1326,Parameter!$A$35:$C$64,2,0),"Nein"))</f>
        <v>2+3</v>
      </c>
      <c r="CD1326" s="52" t="n">
        <f aca="false">IF(BZ1326=0,0,IF(N(S1326)&gt;0,S1326,IFERROR(VLOOKUP(D1326,Parameter!$A$35:$C$64,3,0)+0,0)))</f>
        <v>0</v>
      </c>
      <c r="CE1326" s="48" t="n">
        <f aca="false">IF(AA1326&lt;&gt;"",AA1326,Z1326)</f>
        <v>2</v>
      </c>
      <c r="CF1326" s="48" t="str">
        <f aca="false">IF(OR(CE1326=1,CE1326=2,CE1326=3),IF(Parameter!$E$27="Ja","LIFT",IF(CE1326=1,"L1","L23")),IF(CE1326="Aussen","Aussen","-"))</f>
        <v>LIFT</v>
      </c>
      <c r="CG1326" s="59" t="n">
        <f aca="false">IF(N(AB1326)&gt;0,AB1326,0)</f>
        <v>0</v>
      </c>
      <c r="CH1326" s="53" t="n">
        <f aca="false">IF(ISNUMBER(AE1326),1,0)</f>
        <v>0</v>
      </c>
      <c r="CI1326" s="50" t="n">
        <f aca="false">N(AE1326)</f>
        <v>0</v>
      </c>
      <c r="CJ1326" s="50" t="n">
        <f aca="false">N(M1326)+N(N1326)</f>
        <v>11</v>
      </c>
      <c r="CK1326" s="50" t="n">
        <f aca="false">N(M1326)</f>
        <v>1</v>
      </c>
      <c r="CL1326" s="50" t="n">
        <f aca="false">N(N1326)</f>
        <v>10</v>
      </c>
      <c r="CM1326" s="50" t="n">
        <f aca="false">ROUNDUP(H1326/BY1326,0)</f>
        <v>1</v>
      </c>
      <c r="CN1326" s="50" t="n">
        <f aca="false">ROUNDUP(CI1326/BY1326,0)</f>
        <v>0</v>
      </c>
      <c r="CO1326" s="53" t="n">
        <f aca="false">IF(BZ1326=1,0,IFERROR(VLOOKUP(BX1326,'Gebinde-Kategorie'!$A$5:$N$45,5,0)+0,0))</f>
        <v>11</v>
      </c>
      <c r="CP1326" s="53" t="n">
        <f aca="false">IFERROR(IF(OR(CE1326=1,CE1326=2,CE1326=3),N(INDEX(Parameter!$I$5:$I$7,CE1326)),0),0)</f>
        <v>0</v>
      </c>
      <c r="CQ1326" s="52" t="n">
        <f aca="false">IF(AND(Parameter!$B$21="Ja",ISNUMBER(W1326),N(X1326)&gt;0),IFERROR(N(INDEX(Parameter!$L$5:$L$7,W1326))*INDEX(Parameter!$E$5:$E$7,W1326)*X1326/SUMIFS($X$7:$X$1843,$W$7:$W$1843,W1326),0),0)</f>
        <v>0</v>
      </c>
    </row>
    <row r="1327" customFormat="false" ht="15" hidden="false" customHeight="false" outlineLevel="0" collapsed="false">
      <c r="A1327" s="48" t="s">
        <v>2364</v>
      </c>
      <c r="B1327" s="48" t="s">
        <v>2365</v>
      </c>
      <c r="C1327" s="48" t="s">
        <v>173</v>
      </c>
      <c r="D1327" s="48" t="s">
        <v>182</v>
      </c>
      <c r="E1327" s="48" t="s">
        <v>194</v>
      </c>
      <c r="F1327" s="48" t="s">
        <v>227</v>
      </c>
      <c r="G1327" s="49" t="n">
        <v>107.09</v>
      </c>
      <c r="H1327" s="50" t="n">
        <f aca="false">MAX(0,IF(AND(Parameter!$B$21="Ja",ISNUMBER(Y1327)),Y1327,IF(Parameter!$B$20="Jahresanfang 2025 + Export",BR1327+BQ1327,BQ1327)))</f>
        <v>40</v>
      </c>
      <c r="I1327" s="50" t="n">
        <f aca="false">H1327*G1327</f>
        <v>4283.6</v>
      </c>
      <c r="J1327" s="50" t="n">
        <f aca="false">BT1327*Parameter!$B$18</f>
        <v>95</v>
      </c>
      <c r="K1327" s="51" t="n">
        <v>45</v>
      </c>
      <c r="L1327" s="52" t="n">
        <v>2.11111111111111</v>
      </c>
      <c r="M1327" s="50" t="n">
        <v>5</v>
      </c>
      <c r="N1327" s="50" t="n">
        <v>40</v>
      </c>
      <c r="O1327" s="53" t="n">
        <v>21</v>
      </c>
      <c r="P1327" s="48" t="s">
        <v>183</v>
      </c>
      <c r="Q1327" s="50" t="n">
        <v>60</v>
      </c>
      <c r="R1327" s="53" t="n">
        <f aca="false">IF(BZ1327=1,0,IFERROR(VLOOKUP(BX1327,'Gebinde-Kategorie'!$A$5:$N$45,13,0)+0,0))</f>
        <v>6</v>
      </c>
      <c r="S1327" s="54"/>
      <c r="T1327" s="55"/>
      <c r="U1327" s="55"/>
      <c r="V1327" s="55"/>
      <c r="W1327" s="48"/>
      <c r="X1327" s="50"/>
      <c r="Y1327" s="50"/>
      <c r="Z1327" s="48" t="n">
        <f aca="false">IF(A1327="","",IF(AND(Parameter!$B$21="Ja",ISNUMBER(W1327)),W1327,IF(CC1327="2+3",IF(ISNUMBER(SEARCH("grosser Artikel",BU1327)),2,IFERROR(VLOOKUP(BX1327,Parameter!$F$35:$G$64,2,0),2)),IF(OR(CC1327="Nein",CC1327=""),"-",CC1327))))</f>
        <v>2</v>
      </c>
      <c r="AA1327" s="55"/>
      <c r="AB1327" s="56"/>
      <c r="AC1327" s="50" t="n">
        <f aca="false">AV1327</f>
        <v>59</v>
      </c>
      <c r="AD1327" s="50" t="n">
        <f aca="false">MAX(AV1327,H1327)</f>
        <v>59</v>
      </c>
      <c r="AE1327" s="57"/>
      <c r="AF1327" s="50" t="n">
        <f aca="false">IF(LEFT(Cockpit!$C$5,1)="A",H1327,IF(Parameter!$E$30="MAX-Bestand",IF(CH1327=1,CI1327,IF(LEFT(Cockpit!$C$5,1)="B",AL1327,MAX(AL1327,H1327))),ROUNDUP(AJ1327,0)))</f>
        <v>40</v>
      </c>
      <c r="AG1327" s="50" t="n">
        <f aca="false">IF(BZ1327=1,0,ROUNDUP(AF1327/BY1327,0))</f>
        <v>1</v>
      </c>
      <c r="AH1327" s="52" t="n">
        <f aca="false">IF(CQ1327&gt;0,CQ1327*MAX(1,AF1327/X1327),IF(BZ1327=1,IF(AF1327&lt;=0,0,CD1327*MAX(1,IF(H1327&gt;0,AF1327/H1327,1))),IF(R1327&gt;0,AG1327/R1327,0))/MAX(0.1,N(Parameter!$M$21)))</f>
        <v>0.166666666666667</v>
      </c>
      <c r="AI1327" s="50" t="n">
        <f aca="false">AH1327*CB1327</f>
        <v>39.1666666666667</v>
      </c>
      <c r="AJ1327" s="51" t="n">
        <f aca="false">IF(LEFT(Cockpit!$C$5,1)="A",H1327,IF(CH1327=1,(CK1327+CI1327)/2,IF(LEFT(Cockpit!$C$5,1)="B",(CK1327+AL1327)/2,MAX((CK1327+AL1327)/2,H1327))))</f>
        <v>40</v>
      </c>
      <c r="AK1327" s="50" t="n">
        <f aca="false">AJ1327*G1327</f>
        <v>4283.6</v>
      </c>
      <c r="AL1327" s="50" t="n">
        <f aca="false">ROUNDUP(CK1327+MAX(CL1327,2*(J1327/IF(CG1327&gt;0,CG1327,MAX(0.1,N(Cockpit!$C$6)))-CK1327)),0)</f>
        <v>59</v>
      </c>
      <c r="AM1327" s="51" t="n">
        <f aca="false">IF(AI1327&gt;0,J1327/AI1327,-1)</f>
        <v>2.42553191489362</v>
      </c>
      <c r="AN1327" s="51" t="n">
        <f aca="false">IF(AND(OR(CF1327="L1",CF1327="L23",CF1327="LIFT"),AI1327&gt;0),SUMIFS($AI$7:$AI$1843,$CF$7:$CF$1843,CF1327,$AM$7:$AM$1843,"&gt;"&amp;AM1327)+SUMIFS($AI$7:$AI$1843,$CF$7:$CF$1843,CF1327,$AM$7:$AM$1843,AM1327,$BW$7:$BW$1843,"&lt;="&amp;BW1327),"")</f>
        <v>5569.17902930403</v>
      </c>
      <c r="AO1327" s="58" t="n">
        <f aca="false">IF(AN1327="",0,MAX(0,MIN(1,(IF(CF1327="L1",Parameter!$H$5,IF(CF1327="L23",Parameter!$H$6+Parameter!$H$7,Parameter!$H$5+Parameter!$H$6+Parameter!$H$7))-(AN1327-AI1327))/AI1327)))</f>
        <v>1</v>
      </c>
      <c r="AP1327" s="50" t="n">
        <f aca="false">IF(LEFT(Cockpit!$I$5,1)="A",H1327,IF(Parameter!$E$30="MAX-Bestand",IF(CH1327=1,CI1327,IF(LEFT(Cockpit!$I$5,1)="B",AV1327,MAX(AV1327,H1327))),ROUNDUP(AT1327,0)))</f>
        <v>40</v>
      </c>
      <c r="AQ1327" s="50" t="n">
        <f aca="false">IF(BZ1327=1,0,ROUNDUP(AP1327/BY1327,0))</f>
        <v>1</v>
      </c>
      <c r="AR1327" s="52" t="n">
        <f aca="false">IF(CQ1327&gt;0,CQ1327*MAX(1,AP1327/X1327),IF(BZ1327=1,IF(AP1327&lt;=0,0,CD1327*MAX(1,IF(H1327&gt;0,AP1327/H1327,1))),IF(R1327&gt;0,AQ1327/R1327,0))/MAX(0.1,N(Parameter!$M$21)))</f>
        <v>0.166666666666667</v>
      </c>
      <c r="AS1327" s="50" t="n">
        <f aca="false">AR1327*CB1327</f>
        <v>39.1666666666667</v>
      </c>
      <c r="AT1327" s="51" t="n">
        <f aca="false">IF(LEFT(Cockpit!$I$5,1)="A",H1327,IF(CH1327=1,(CK1327+CI1327)/2,IF(LEFT(Cockpit!$I$5,1)="B",(CK1327+AV1327)/2,MAX((CK1327+AV1327)/2,H1327))))</f>
        <v>40</v>
      </c>
      <c r="AU1327" s="50" t="n">
        <f aca="false">AT1327*G1327</f>
        <v>4283.6</v>
      </c>
      <c r="AV1327" s="50" t="n">
        <f aca="false">ROUNDUP(CK1327+MAX(CL1327,2*(J1327/IF(CG1327&gt;0,CG1327,MAX(0.1,N(Cockpit!$I$6)))-CK1327)),0)</f>
        <v>59</v>
      </c>
      <c r="AW1327" s="51" t="n">
        <f aca="false">IF(AS1327&gt;0,J1327/AS1327,-1)</f>
        <v>2.42553191489362</v>
      </c>
      <c r="AX1327" s="51" t="n">
        <f aca="false">IF(AND(OR(CF1327="L1",CF1327="L23",CF1327="LIFT"),AS1327&gt;0),SUMIFS($AS$7:$AS$1843,$CF$7:$CF$1843,CF1327,$AW$7:$AW$1843,"&gt;"&amp;AW1327)+SUMIFS($AS$7:$AS$1843,$CF$7:$CF$1843,CF1327,$AW$7:$AW$1843,AW1327,$BW$7:$BW$1843,"&lt;="&amp;BW1327),"")</f>
        <v>6342.40705128205</v>
      </c>
      <c r="AY1327" s="58" t="n">
        <f aca="false">IF(AX1327="",0,MAX(0,MIN(1,(IF(CF1327="L1",Parameter!$H$5,IF(CF1327="L23",Parameter!$H$6+Parameter!$H$7,Parameter!$H$5+Parameter!$H$6+Parameter!$H$7))-(AX1327-AS1327))/AS1327)))</f>
        <v>1</v>
      </c>
      <c r="AZ1327" s="50" t="n">
        <f aca="false">IF(LEFT(Cockpit!$O$5,1)="A",H1327,IF(Parameter!$E$30="MAX-Bestand",IF(CH1327=1,CI1327,IF(LEFT(Cockpit!$O$5,1)="B",BF1327,MAX(BF1327,H1327))),ROUNDUP(BD1327,0)))</f>
        <v>25</v>
      </c>
      <c r="BA1327" s="50" t="n">
        <f aca="false">IF(BZ1327=1,0,ROUNDUP(AZ1327/BY1327,0))</f>
        <v>1</v>
      </c>
      <c r="BB1327" s="52" t="n">
        <f aca="false">IF(CQ1327&gt;0,CQ1327*MAX(1,AZ1327/X1327),IF(BZ1327=1,IF(AZ1327&lt;=0,0,CD1327*MAX(1,IF(H1327&gt;0,AZ1327/H1327,1))),IF(R1327&gt;0,BA1327/R1327,0))/MAX(0.1,N(Parameter!$M$21)))</f>
        <v>0.166666666666667</v>
      </c>
      <c r="BC1327" s="50" t="n">
        <f aca="false">BB1327*CB1327</f>
        <v>39.1666666666667</v>
      </c>
      <c r="BD1327" s="51" t="n">
        <f aca="false">IF(LEFT(Cockpit!$O$5,1)="A",H1327,IF(CH1327=1,(CK1327+CI1327)/2,IF(LEFT(Cockpit!$O$5,1)="B",(CK1327+BF1327)/2,MAX((CK1327+BF1327)/2,H1327))))</f>
        <v>25</v>
      </c>
      <c r="BE1327" s="50" t="n">
        <f aca="false">BD1327*G1327</f>
        <v>2677.25</v>
      </c>
      <c r="BF1327" s="50" t="n">
        <f aca="false">ROUNDUP(CK1327+MAX(CL1327,2*(J1327/IF(CG1327&gt;0,CG1327,MAX(0.1,N(Cockpit!$O$6)))-CK1327)),0)</f>
        <v>45</v>
      </c>
      <c r="BG1327" s="51" t="n">
        <f aca="false">IF(BC1327&gt;0,J1327/BC1327,-1)</f>
        <v>2.42553191489362</v>
      </c>
      <c r="BH1327" s="51" t="n">
        <f aca="false">IF(AND(OR(CF1327="L1",CF1327="L23",CF1327="LIFT"),BC1327&gt;0),SUMIFS($BC$7:$BC$1843,$CF$7:$CF$1843,CF1327,$BG$7:$BG$1843,"&gt;"&amp;BG1327)+SUMIFS($BC$7:$BC$1843,$CF$7:$CF$1843,CF1327,$BG$7:$BG$1843,BG1327,$BW$7:$BW$1843,"&lt;="&amp;BW1327),"")</f>
        <v>5499.59615384615</v>
      </c>
      <c r="BI1327" s="58" t="n">
        <f aca="false">IF(BH1327="",0,MAX(0,MIN(1,(IF(CF1327="L1",Parameter!$H$5,IF(CF1327="L23",Parameter!$H$6+Parameter!$H$7,Parameter!$H$5+Parameter!$H$6+Parameter!$H$7))-(BH1327-BC1327))/BC1327)))</f>
        <v>1</v>
      </c>
      <c r="BJ1327" s="48" t="str">
        <f aca="false">IF(AI1327&lt;=0,"",IF(CF1327="Aussen","Aussenlager",IF(CF1327="-","Nicht im Lift",IF(AO1327&gt;=1,"Lift",IF(AO1327&lt;=0,"Aussenlager","teilweise")))))</f>
        <v>Lift</v>
      </c>
      <c r="BK1327" s="48" t="str">
        <f aca="false">IF(AS1327&lt;=0,"",IF(CF1327="Aussen","Aussenlager",IF(CF1327="-","Nicht im Lift",IF(AY1327&gt;=1,"Lift",IF(AY1327&lt;=0,"Aussenlager","teilweise")))))</f>
        <v>Lift</v>
      </c>
      <c r="BL1327" s="48" t="str">
        <f aca="false">IF(BC1327&lt;=0,"",IF(CF1327="Aussen","Aussenlager",IF(CF1327="-","Nicht im Lift",IF(BI1327&gt;=1,"Lift",IF(BI1327&lt;=0,"Aussenlager","teilweise")))))</f>
        <v>Lift</v>
      </c>
      <c r="BM1327" s="48" t="str">
        <f aca="false">IF(A1327="","",IF(BV1327=1,"Neu; ","")&amp;IF(AND(BV1327=0,BQ1327&lt;0),"negativer Bestand (Export "&amp;BQ1327&amp;"); ","")&amp;IF(J1327&lt;=0,"Kein Verbrauch; ","")&amp;IF(CQ1327&gt;0,"Lift "&amp;W1327&amp;" lt. Liftbericht (Fach "&amp;X1327&amp;" Stk); ",IF(CA1327=1,"Gebinde geschätzt ("&amp;T1327&amp;"); ",IF(BZ1327=1,"Lose – Tablare geschätzt; ","")))&amp;IF(H1327&gt;AV1327,"Überbestand "&amp;ROUND(H1327-AV1327,0)&amp;" Stk / CHF "&amp;ROUND((H1327-AV1327)*G1327,0)&amp;"; ","")&amp;IF(AND(CH1327=1,CI1327&lt;CJ1327),"MAX &lt; MB+LG; ","")&amp;IF(AND(CP1327&gt;0,CO1327*10&gt;CP1327),"zu hoch für Tablar; ","")&amp;IF(AND(BV1327=0,OR(CH1327=1,AA1327&lt;&gt;"",U1327&lt;&gt;"",V1327&lt;&gt;"",AB1327&lt;&gt;"")),"manuell übersteuert; ","")&amp;IF(AND(BZ1327=0,R1327=0),"Gebinde unbekannt / Stellmass fehlt; ","")&amp;IF(AND(BZ1327=0,N(V1327)&lt;=0,N(Q1327)&lt;=0),"Menge pro Gebinde fehlt (Ist = 1 Gebinde); ","")&amp;BU1327)</f>
        <v>negativer Bestand (Export -12); grosser Artikel &amp; nicht im KTL</v>
      </c>
      <c r="BN1327" s="48"/>
      <c r="BO1327" s="48"/>
      <c r="BP1327" s="55"/>
      <c r="BQ1327" s="50" t="n">
        <v>-12</v>
      </c>
      <c r="BR1327" s="50" t="n">
        <v>52</v>
      </c>
      <c r="BS1327" s="49" t="n">
        <v>-1519.08</v>
      </c>
      <c r="BT1327" s="50" t="n">
        <v>95</v>
      </c>
      <c r="BU1327" s="48" t="s">
        <v>270</v>
      </c>
      <c r="BV1327" s="53" t="n">
        <v>0</v>
      </c>
      <c r="BW1327" s="53" t="n">
        <v>1327</v>
      </c>
      <c r="BX1327" s="48" t="str">
        <f aca="false">IF(U1327&lt;&gt;"",UPPER(TRIM(U1327)),IF(CA1327=1,UPPER(VLOOKUP(T1327,Parameter!$I$27:$K$29,2,0)),IF(P1327="","LOSE",P1327)))</f>
        <v>S71</v>
      </c>
      <c r="BY1327" s="50" t="n">
        <f aca="false">IF(BX1327="LOSE",1,IF(N(V1327)&gt;0,V1327,IF(CA1327=1,MAX(1,N(VLOOKUP(T1327,Parameter!$I$27:$K$29,3,0)),H1327,N(N1327)),IF(N(Q1327)&gt;0,Q1327,MAX(1,H1327)))))</f>
        <v>60</v>
      </c>
      <c r="BZ1327" s="53" t="n">
        <f aca="false">IF(BX1327="LOSE",1,0)</f>
        <v>0</v>
      </c>
      <c r="CA1327" s="53" t="n">
        <f aca="false">IF(AND(U1327="",OR(P1327="",P1327="LOSE"),T1327&lt;&gt;"",N(S1327)&lt;=0,ISNUMBER(MATCH(T1327,Parameter!$I$27:$I$29,0))),1,0)</f>
        <v>0</v>
      </c>
      <c r="CB1327" s="53" t="n">
        <f aca="false">IF(CQ1327&gt;0,INDEX(Parameter!$H$5:$H$7,W1327)/INDEX(Parameter!$E$5:$E$7,W1327),IF(AND(BZ1327=0,N(IFERROR(VLOOKUP(BX1327,'Gebinde-Kategorie'!$A$5:$N$45,14,0),0))&gt;0),VLOOKUP(BX1327,'Gebinde-Kategorie'!$A$5:$N$45,14,0)*10+Parameter!$M$23,Parameter!$M$24))</f>
        <v>235</v>
      </c>
      <c r="CC1327" s="48" t="str">
        <f aca="false">IF(AND(Parameter!$B$19="Ja",E1327&lt;&gt;"",ISNUMBER(MATCH(E1327,Parameter!$I$35:$I$52,0))),VLOOKUP(E1327,Parameter!$I$35:$J$52,2,0),IFERROR(VLOOKUP(D1327,Parameter!$A$35:$C$64,2,0),"Nein"))</f>
        <v>2+3</v>
      </c>
      <c r="CD1327" s="52" t="n">
        <f aca="false">IF(BZ1327=0,0,IF(N(S1327)&gt;0,S1327,IFERROR(VLOOKUP(D1327,Parameter!$A$35:$C$64,3,0)+0,0)))</f>
        <v>0</v>
      </c>
      <c r="CE1327" s="48" t="n">
        <f aca="false">IF(AA1327&lt;&gt;"",AA1327,Z1327)</f>
        <v>2</v>
      </c>
      <c r="CF1327" s="48" t="str">
        <f aca="false">IF(OR(CE1327=1,CE1327=2,CE1327=3),IF(Parameter!$E$27="Ja","LIFT",IF(CE1327=1,"L1","L23")),IF(CE1327="Aussen","Aussen","-"))</f>
        <v>LIFT</v>
      </c>
      <c r="CG1327" s="59" t="n">
        <f aca="false">IF(N(AB1327)&gt;0,AB1327,0)</f>
        <v>0</v>
      </c>
      <c r="CH1327" s="53" t="n">
        <f aca="false">IF(ISNUMBER(AE1327),1,0)</f>
        <v>0</v>
      </c>
      <c r="CI1327" s="50" t="n">
        <f aca="false">N(AE1327)</f>
        <v>0</v>
      </c>
      <c r="CJ1327" s="50" t="n">
        <f aca="false">N(M1327)+N(N1327)</f>
        <v>45</v>
      </c>
      <c r="CK1327" s="50" t="n">
        <f aca="false">N(M1327)</f>
        <v>5</v>
      </c>
      <c r="CL1327" s="50" t="n">
        <f aca="false">N(N1327)</f>
        <v>40</v>
      </c>
      <c r="CM1327" s="50" t="n">
        <f aca="false">ROUNDUP(H1327/BY1327,0)</f>
        <v>1</v>
      </c>
      <c r="CN1327" s="50" t="n">
        <f aca="false">ROUNDUP(CI1327/BY1327,0)</f>
        <v>0</v>
      </c>
      <c r="CO1327" s="53" t="n">
        <f aca="false">IF(BZ1327=1,0,IFERROR(VLOOKUP(BX1327,'Gebinde-Kategorie'!$A$5:$N$45,5,0)+0,0))</f>
        <v>20</v>
      </c>
      <c r="CP1327" s="53" t="n">
        <f aca="false">IFERROR(IF(OR(CE1327=1,CE1327=2,CE1327=3),N(INDEX(Parameter!$I$5:$I$7,CE1327)),0),0)</f>
        <v>0</v>
      </c>
      <c r="CQ1327" s="52" t="n">
        <f aca="false">IF(AND(Parameter!$B$21="Ja",ISNUMBER(W1327),N(X1327)&gt;0),IFERROR(N(INDEX(Parameter!$L$5:$L$7,W1327))*INDEX(Parameter!$E$5:$E$7,W1327)*X1327/SUMIFS($X$7:$X$1843,$W$7:$W$1843,W1327),0),0)</f>
        <v>0</v>
      </c>
    </row>
    <row r="1328" customFormat="false" ht="15" hidden="false" customHeight="false" outlineLevel="0" collapsed="false">
      <c r="A1328" s="48" t="s">
        <v>2366</v>
      </c>
      <c r="B1328" s="48" t="s">
        <v>2367</v>
      </c>
      <c r="C1328" s="48" t="s">
        <v>173</v>
      </c>
      <c r="D1328" s="48" t="s">
        <v>362</v>
      </c>
      <c r="E1328" s="48"/>
      <c r="F1328" s="48" t="s">
        <v>227</v>
      </c>
      <c r="G1328" s="49" t="n">
        <v>1537.04</v>
      </c>
      <c r="H1328" s="50" t="n">
        <f aca="false">MAX(0,IF(AND(Parameter!$B$21="Ja",ISNUMBER(Y1328)),Y1328,IF(Parameter!$B$20="Jahresanfang 2025 + Export",BR1328+BQ1328,BQ1328)))</f>
        <v>0</v>
      </c>
      <c r="I1328" s="50" t="n">
        <f aca="false">H1328*G1328</f>
        <v>0</v>
      </c>
      <c r="J1328" s="50" t="n">
        <f aca="false">BT1328*Parameter!$B$18</f>
        <v>0</v>
      </c>
      <c r="K1328" s="51" t="n">
        <v>0.5</v>
      </c>
      <c r="L1328" s="52" t="n">
        <v>0</v>
      </c>
      <c r="M1328" s="50" t="n">
        <v>0</v>
      </c>
      <c r="N1328" s="50" t="n">
        <v>1</v>
      </c>
      <c r="O1328" s="53" t="n">
        <v>90</v>
      </c>
      <c r="P1328" s="48" t="s">
        <v>177</v>
      </c>
      <c r="Q1328" s="50"/>
      <c r="R1328" s="53" t="n">
        <f aca="false">IF(BZ1328=1,0,IFERROR(VLOOKUP(BX1328,'Gebinde-Kategorie'!$A$5:$N$45,13,0)+0,0))</f>
        <v>0</v>
      </c>
      <c r="S1328" s="54"/>
      <c r="T1328" s="55"/>
      <c r="U1328" s="55"/>
      <c r="V1328" s="55"/>
      <c r="W1328" s="48"/>
      <c r="X1328" s="50"/>
      <c r="Y1328" s="50"/>
      <c r="Z1328" s="48" t="str">
        <f aca="false">IF(A1328="","",IF(AND(Parameter!$B$21="Ja",ISNUMBER(W1328)),W1328,IF(CC1328="2+3",IF(ISNUMBER(SEARCH("grosser Artikel",BU1328)),2,IFERROR(VLOOKUP(BX1328,Parameter!$F$35:$G$64,2,0),2)),IF(OR(CC1328="Nein",CC1328=""),"-",CC1328))))</f>
        <v>-</v>
      </c>
      <c r="AA1328" s="55"/>
      <c r="AB1328" s="56"/>
      <c r="AC1328" s="50" t="n">
        <f aca="false">AV1328</f>
        <v>1</v>
      </c>
      <c r="AD1328" s="50" t="n">
        <f aca="false">MAX(AV1328,H1328)</f>
        <v>1</v>
      </c>
      <c r="AE1328" s="57"/>
      <c r="AF1328" s="50" t="n">
        <f aca="false">IF(LEFT(Cockpit!$C$5,1)="A",H1328,IF(Parameter!$E$30="MAX-Bestand",IF(CH1328=1,CI1328,IF(LEFT(Cockpit!$C$5,1)="B",AL1328,MAX(AL1328,H1328))),ROUNDUP(AJ1328,0)))</f>
        <v>0</v>
      </c>
      <c r="AG1328" s="50" t="n">
        <f aca="false">IF(BZ1328=1,0,ROUNDUP(AF1328/BY1328,0))</f>
        <v>0</v>
      </c>
      <c r="AH1328" s="52" t="n">
        <f aca="false">IF(CQ1328&gt;0,CQ1328*MAX(1,AF1328/X1328),IF(BZ1328=1,IF(AF1328&lt;=0,0,CD1328*MAX(1,IF(H1328&gt;0,AF1328/H1328,1))),IF(R1328&gt;0,AG1328/R1328,0))/MAX(0.1,N(Parameter!$M$21)))</f>
        <v>0</v>
      </c>
      <c r="AI1328" s="50" t="n">
        <f aca="false">AH1328*CB1328</f>
        <v>0</v>
      </c>
      <c r="AJ1328" s="51" t="n">
        <f aca="false">IF(LEFT(Cockpit!$C$5,1)="A",H1328,IF(CH1328=1,(CK1328+CI1328)/2,IF(LEFT(Cockpit!$C$5,1)="B",(CK1328+AL1328)/2,MAX((CK1328+AL1328)/2,H1328))))</f>
        <v>0</v>
      </c>
      <c r="AK1328" s="50" t="n">
        <f aca="false">AJ1328*G1328</f>
        <v>0</v>
      </c>
      <c r="AL1328" s="50" t="n">
        <f aca="false">ROUNDUP(CK1328+MAX(CL1328,2*(J1328/IF(CG1328&gt;0,CG1328,MAX(0.1,N(Cockpit!$C$6)))-CK1328)),0)</f>
        <v>1</v>
      </c>
      <c r="AM1328" s="51" t="n">
        <f aca="false">IF(AI1328&gt;0,J1328/AI1328,-1)</f>
        <v>-1</v>
      </c>
      <c r="AN1328" s="51" t="str">
        <f aca="false">IF(AND(OR(CF1328="L1",CF1328="L23",CF1328="LIFT"),AI1328&gt;0),SUMIFS($AI$7:$AI$1843,$CF$7:$CF$1843,CF1328,$AM$7:$AM$1843,"&gt;"&amp;AM1328)+SUMIFS($AI$7:$AI$1843,$CF$7:$CF$1843,CF1328,$AM$7:$AM$1843,AM1328,$BW$7:$BW$1843,"&lt;="&amp;BW1328),"")</f>
        <v/>
      </c>
      <c r="AO1328" s="58" t="n">
        <f aca="false">IF(AN1328="",0,MAX(0,MIN(1,(IF(CF1328="L1",Parameter!$H$5,IF(CF1328="L23",Parameter!$H$6+Parameter!$H$7,Parameter!$H$5+Parameter!$H$6+Parameter!$H$7))-(AN1328-AI1328))/AI1328)))</f>
        <v>0</v>
      </c>
      <c r="AP1328" s="50" t="n">
        <f aca="false">IF(LEFT(Cockpit!$I$5,1)="A",H1328,IF(Parameter!$E$30="MAX-Bestand",IF(CH1328=1,CI1328,IF(LEFT(Cockpit!$I$5,1)="B",AV1328,MAX(AV1328,H1328))),ROUNDUP(AT1328,0)))</f>
        <v>1</v>
      </c>
      <c r="AQ1328" s="50" t="n">
        <f aca="false">IF(BZ1328=1,0,ROUNDUP(AP1328/BY1328,0))</f>
        <v>0</v>
      </c>
      <c r="AR1328" s="52" t="n">
        <f aca="false">IF(CQ1328&gt;0,CQ1328*MAX(1,AP1328/X1328),IF(BZ1328=1,IF(AP1328&lt;=0,0,CD1328*MAX(1,IF(H1328&gt;0,AP1328/H1328,1))),IF(R1328&gt;0,AQ1328/R1328,0))/MAX(0.1,N(Parameter!$M$21)))</f>
        <v>0.15</v>
      </c>
      <c r="AS1328" s="50" t="n">
        <f aca="false">AR1328*CB1328</f>
        <v>35.25</v>
      </c>
      <c r="AT1328" s="51" t="n">
        <f aca="false">IF(LEFT(Cockpit!$I$5,1)="A",H1328,IF(CH1328=1,(CK1328+CI1328)/2,IF(LEFT(Cockpit!$I$5,1)="B",(CK1328+AV1328)/2,MAX((CK1328+AV1328)/2,H1328))))</f>
        <v>0.5</v>
      </c>
      <c r="AU1328" s="50" t="n">
        <f aca="false">AT1328*G1328</f>
        <v>768.52</v>
      </c>
      <c r="AV1328" s="50" t="n">
        <f aca="false">ROUNDUP(CK1328+MAX(CL1328,2*(J1328/IF(CG1328&gt;0,CG1328,MAX(0.1,N(Cockpit!$I$6)))-CK1328)),0)</f>
        <v>1</v>
      </c>
      <c r="AW1328" s="51" t="n">
        <f aca="false">IF(AS1328&gt;0,J1328/AS1328,-1)</f>
        <v>0</v>
      </c>
      <c r="AX1328" s="51" t="str">
        <f aca="false">IF(AND(OR(CF1328="L1",CF1328="L23",CF1328="LIFT"),AS1328&gt;0),SUMIFS($AS$7:$AS$1843,$CF$7:$CF$1843,CF1328,$AW$7:$AW$1843,"&gt;"&amp;AW1328)+SUMIFS($AS$7:$AS$1843,$CF$7:$CF$1843,CF1328,$AW$7:$AW$1843,AW1328,$BW$7:$BW$1843,"&lt;="&amp;BW1328),"")</f>
        <v/>
      </c>
      <c r="AY1328" s="58" t="n">
        <f aca="false">IF(AX1328="",0,MAX(0,MIN(1,(IF(CF1328="L1",Parameter!$H$5,IF(CF1328="L23",Parameter!$H$6+Parameter!$H$7,Parameter!$H$5+Parameter!$H$6+Parameter!$H$7))-(AX1328-AS1328))/AS1328)))</f>
        <v>0</v>
      </c>
      <c r="AZ1328" s="50" t="n">
        <f aca="false">IF(LEFT(Cockpit!$O$5,1)="A",H1328,IF(Parameter!$E$30="MAX-Bestand",IF(CH1328=1,CI1328,IF(LEFT(Cockpit!$O$5,1)="B",BF1328,MAX(BF1328,H1328))),ROUNDUP(BD1328,0)))</f>
        <v>1</v>
      </c>
      <c r="BA1328" s="50" t="n">
        <f aca="false">IF(BZ1328=1,0,ROUNDUP(AZ1328/BY1328,0))</f>
        <v>0</v>
      </c>
      <c r="BB1328" s="52" t="n">
        <f aca="false">IF(CQ1328&gt;0,CQ1328*MAX(1,AZ1328/X1328),IF(BZ1328=1,IF(AZ1328&lt;=0,0,CD1328*MAX(1,IF(H1328&gt;0,AZ1328/H1328,1))),IF(R1328&gt;0,BA1328/R1328,0))/MAX(0.1,N(Parameter!$M$21)))</f>
        <v>0.15</v>
      </c>
      <c r="BC1328" s="50" t="n">
        <f aca="false">BB1328*CB1328</f>
        <v>35.25</v>
      </c>
      <c r="BD1328" s="51" t="n">
        <f aca="false">IF(LEFT(Cockpit!$O$5,1)="A",H1328,IF(CH1328=1,(CK1328+CI1328)/2,IF(LEFT(Cockpit!$O$5,1)="B",(CK1328+BF1328)/2,MAX((CK1328+BF1328)/2,H1328))))</f>
        <v>0.5</v>
      </c>
      <c r="BE1328" s="50" t="n">
        <f aca="false">BD1328*G1328</f>
        <v>768.52</v>
      </c>
      <c r="BF1328" s="50" t="n">
        <f aca="false">ROUNDUP(CK1328+MAX(CL1328,2*(J1328/IF(CG1328&gt;0,CG1328,MAX(0.1,N(Cockpit!$O$6)))-CK1328)),0)</f>
        <v>1</v>
      </c>
      <c r="BG1328" s="51" t="n">
        <f aca="false">IF(BC1328&gt;0,J1328/BC1328,-1)</f>
        <v>0</v>
      </c>
      <c r="BH1328" s="51" t="str">
        <f aca="false">IF(AND(OR(CF1328="L1",CF1328="L23",CF1328="LIFT"),BC1328&gt;0),SUMIFS($BC$7:$BC$1843,$CF$7:$CF$1843,CF1328,$BG$7:$BG$1843,"&gt;"&amp;BG1328)+SUMIFS($BC$7:$BC$1843,$CF$7:$CF$1843,CF1328,$BG$7:$BG$1843,BG1328,$BW$7:$BW$1843,"&lt;="&amp;BW1328),"")</f>
        <v/>
      </c>
      <c r="BI1328" s="58" t="n">
        <f aca="false">IF(BH1328="",0,MAX(0,MIN(1,(IF(CF1328="L1",Parameter!$H$5,IF(CF1328="L23",Parameter!$H$6+Parameter!$H$7,Parameter!$H$5+Parameter!$H$6+Parameter!$H$7))-(BH1328-BC1328))/BC1328)))</f>
        <v>0</v>
      </c>
      <c r="BJ1328" s="48" t="str">
        <f aca="false">IF(AI1328&lt;=0,"",IF(CF1328="Aussen","Aussenlager",IF(CF1328="-","Nicht im Lift",IF(AO1328&gt;=1,"Lift",IF(AO1328&lt;=0,"Aussenlager","teilweise")))))</f>
        <v/>
      </c>
      <c r="BK1328" s="48" t="str">
        <f aca="false">IF(AS1328&lt;=0,"",IF(CF1328="Aussen","Aussenlager",IF(CF1328="-","Nicht im Lift",IF(AY1328&gt;=1,"Lift",IF(AY1328&lt;=0,"Aussenlager","teilweise")))))</f>
        <v>Nicht im Lift</v>
      </c>
      <c r="BL1328" s="48" t="str">
        <f aca="false">IF(BC1328&lt;=0,"",IF(CF1328="Aussen","Aussenlager",IF(CF1328="-","Nicht im Lift",IF(BI1328&gt;=1,"Lift",IF(BI1328&lt;=0,"Aussenlager","teilweise")))))</f>
        <v>Nicht im Lift</v>
      </c>
      <c r="BM1328" s="48" t="str">
        <f aca="false">IF(A1328="","",IF(BV1328=1,"Neu; ","")&amp;IF(AND(BV1328=0,BQ1328&lt;0),"negativer Bestand (Export "&amp;BQ1328&amp;"); ","")&amp;IF(J1328&lt;=0,"Kein Verbrauch; ","")&amp;IF(CQ1328&gt;0,"Lift "&amp;W1328&amp;" lt. Liftbericht (Fach "&amp;X1328&amp;" Stk); ",IF(CA1328=1,"Gebinde geschätzt ("&amp;T1328&amp;"); ",IF(BZ1328=1,"Lose – Tablare geschätzt; ","")))&amp;IF(H1328&gt;AV1328,"Überbestand "&amp;ROUND(H1328-AV1328,0)&amp;" Stk / CHF "&amp;ROUND((H1328-AV1328)*G1328,0)&amp;"; ","")&amp;IF(AND(CH1328=1,CI1328&lt;CJ1328),"MAX &lt; MB+LG; ","")&amp;IF(AND(CP1328&gt;0,CO1328*10&gt;CP1328),"zu hoch für Tablar; ","")&amp;IF(AND(BV1328=0,OR(CH1328=1,AA1328&lt;&gt;"",U1328&lt;&gt;"",V1328&lt;&gt;"",AB1328&lt;&gt;"")),"manuell übersteuert; ","")&amp;IF(AND(BZ1328=0,R1328=0),"Gebinde unbekannt / Stellmass fehlt; ","")&amp;IF(AND(BZ1328=0,N(V1328)&lt;=0,N(Q1328)&lt;=0),"Menge pro Gebinde fehlt (Ist = 1 Gebinde); ","")&amp;BU1328)</f>
        <v>negativer Bestand (Export -1); Kein Verbrauch; Lose – Tablare geschätzt; </v>
      </c>
      <c r="BN1328" s="48"/>
      <c r="BO1328" s="48"/>
      <c r="BP1328" s="55"/>
      <c r="BQ1328" s="50" t="n">
        <v>-1</v>
      </c>
      <c r="BR1328" s="50" t="n">
        <v>1</v>
      </c>
      <c r="BS1328" s="49" t="n">
        <v>-1537.04</v>
      </c>
      <c r="BT1328" s="50" t="n">
        <v>0</v>
      </c>
      <c r="BU1328" s="48"/>
      <c r="BV1328" s="53" t="n">
        <v>0</v>
      </c>
      <c r="BW1328" s="53" t="n">
        <v>1328</v>
      </c>
      <c r="BX1328" s="48" t="str">
        <f aca="false">IF(U1328&lt;&gt;"",UPPER(TRIM(U1328)),IF(CA1328=1,UPPER(VLOOKUP(T1328,Parameter!$I$27:$K$29,2,0)),IF(P1328="","LOSE",P1328)))</f>
        <v>LOSE</v>
      </c>
      <c r="BY1328" s="50" t="n">
        <f aca="false">IF(BX1328="LOSE",1,IF(N(V1328)&gt;0,V1328,IF(CA1328=1,MAX(1,N(VLOOKUP(T1328,Parameter!$I$27:$K$29,3,0)),H1328,N(N1328)),IF(N(Q1328)&gt;0,Q1328,MAX(1,H1328)))))</f>
        <v>1</v>
      </c>
      <c r="BZ1328" s="53" t="n">
        <f aca="false">IF(BX1328="LOSE",1,0)</f>
        <v>1</v>
      </c>
      <c r="CA1328" s="53" t="n">
        <f aca="false">IF(AND(U1328="",OR(P1328="",P1328="LOSE"),T1328&lt;&gt;"",N(S1328)&lt;=0,ISNUMBER(MATCH(T1328,Parameter!$I$27:$I$29,0))),1,0)</f>
        <v>0</v>
      </c>
      <c r="CB1328" s="53" t="n">
        <f aca="false">IF(CQ1328&gt;0,INDEX(Parameter!$H$5:$H$7,W1328)/INDEX(Parameter!$E$5:$E$7,W1328),IF(AND(BZ1328=0,N(IFERROR(VLOOKUP(BX1328,'Gebinde-Kategorie'!$A$5:$N$45,14,0),0))&gt;0),VLOOKUP(BX1328,'Gebinde-Kategorie'!$A$5:$N$45,14,0)*10+Parameter!$M$23,Parameter!$M$24))</f>
        <v>235</v>
      </c>
      <c r="CC1328" s="48" t="str">
        <f aca="false">IF(AND(Parameter!$B$19="Ja",E1328&lt;&gt;"",ISNUMBER(MATCH(E1328,Parameter!$I$35:$I$52,0))),VLOOKUP(E1328,Parameter!$I$35:$J$52,2,0),IFERROR(VLOOKUP(D1328,Parameter!$A$35:$C$64,2,0),"Nein"))</f>
        <v>Nein</v>
      </c>
      <c r="CD1328" s="52" t="n">
        <f aca="false">IF(BZ1328=0,0,IF(N(S1328)&gt;0,S1328,IFERROR(VLOOKUP(D1328,Parameter!$A$35:$C$64,3,0)+0,0)))</f>
        <v>0.15</v>
      </c>
      <c r="CE1328" s="48" t="str">
        <f aca="false">IF(AA1328&lt;&gt;"",AA1328,Z1328)</f>
        <v>-</v>
      </c>
      <c r="CF1328" s="48" t="str">
        <f aca="false">IF(OR(CE1328=1,CE1328=2,CE1328=3),IF(Parameter!$E$27="Ja","LIFT",IF(CE1328=1,"L1","L23")),IF(CE1328="Aussen","Aussen","-"))</f>
        <v>-</v>
      </c>
      <c r="CG1328" s="59" t="n">
        <f aca="false">IF(N(AB1328)&gt;0,AB1328,0)</f>
        <v>0</v>
      </c>
      <c r="CH1328" s="53" t="n">
        <f aca="false">IF(ISNUMBER(AE1328),1,0)</f>
        <v>0</v>
      </c>
      <c r="CI1328" s="50" t="n">
        <f aca="false">N(AE1328)</f>
        <v>0</v>
      </c>
      <c r="CJ1328" s="50" t="n">
        <f aca="false">N(M1328)+N(N1328)</f>
        <v>1</v>
      </c>
      <c r="CK1328" s="50" t="n">
        <f aca="false">N(M1328)</f>
        <v>0</v>
      </c>
      <c r="CL1328" s="50" t="n">
        <f aca="false">N(N1328)</f>
        <v>1</v>
      </c>
      <c r="CM1328" s="50" t="n">
        <f aca="false">ROUNDUP(H1328/BY1328,0)</f>
        <v>0</v>
      </c>
      <c r="CN1328" s="50" t="n">
        <f aca="false">ROUNDUP(CI1328/BY1328,0)</f>
        <v>0</v>
      </c>
      <c r="CO1328" s="53" t="n">
        <f aca="false">IF(BZ1328=1,0,IFERROR(VLOOKUP(BX1328,'Gebinde-Kategorie'!$A$5:$N$45,5,0)+0,0))</f>
        <v>0</v>
      </c>
      <c r="CP1328" s="53" t="n">
        <f aca="false">IFERROR(IF(OR(CE1328=1,CE1328=2,CE1328=3),N(INDEX(Parameter!$I$5:$I$7,CE1328)),0),0)</f>
        <v>0</v>
      </c>
      <c r="CQ1328" s="52" t="n">
        <f aca="false">IF(AND(Parameter!$B$21="Ja",ISNUMBER(W1328),N(X1328)&gt;0),IFERROR(N(INDEX(Parameter!$L$5:$L$7,W1328))*INDEX(Parameter!$E$5:$E$7,W1328)*X1328/SUMIFS($X$7:$X$1843,$W$7:$W$1843,W1328),0),0)</f>
        <v>0</v>
      </c>
    </row>
    <row r="1329" customFormat="false" ht="15" hidden="false" customHeight="false" outlineLevel="0" collapsed="false">
      <c r="A1329" s="48" t="s">
        <v>2368</v>
      </c>
      <c r="B1329" s="48" t="s">
        <v>414</v>
      </c>
      <c r="C1329" s="48" t="s">
        <v>173</v>
      </c>
      <c r="D1329" s="48" t="s">
        <v>182</v>
      </c>
      <c r="E1329" s="48" t="s">
        <v>194</v>
      </c>
      <c r="F1329" s="48" t="s">
        <v>227</v>
      </c>
      <c r="G1329" s="49" t="n">
        <v>0.24</v>
      </c>
      <c r="H1329" s="50" t="n">
        <f aca="false">MAX(0,IF(AND(Parameter!$B$21="Ja",ISNUMBER(Y1329)),Y1329,IF(Parameter!$B$20="Jahresanfang 2025 + Export",BR1329+BQ1329,BQ1329)))</f>
        <v>2423</v>
      </c>
      <c r="I1329" s="50" t="n">
        <f aca="false">H1329*G1329</f>
        <v>581.52</v>
      </c>
      <c r="J1329" s="50" t="n">
        <f aca="false">BT1329*Parameter!$B$18</f>
        <v>17893</v>
      </c>
      <c r="K1329" s="51" t="n">
        <v>6601.5</v>
      </c>
      <c r="L1329" s="52" t="n">
        <v>2.71044459592517</v>
      </c>
      <c r="M1329" s="50" t="n">
        <v>1043</v>
      </c>
      <c r="N1329" s="50" t="n">
        <v>2000</v>
      </c>
      <c r="O1329" s="53" t="n">
        <v>21</v>
      </c>
      <c r="P1329" s="48" t="s">
        <v>183</v>
      </c>
      <c r="Q1329" s="50" t="n">
        <v>3500</v>
      </c>
      <c r="R1329" s="53" t="n">
        <f aca="false">IF(BZ1329=1,0,IFERROR(VLOOKUP(BX1329,'Gebinde-Kategorie'!$A$5:$N$45,13,0)+0,0))</f>
        <v>6</v>
      </c>
      <c r="S1329" s="54"/>
      <c r="T1329" s="55"/>
      <c r="U1329" s="55"/>
      <c r="V1329" s="55"/>
      <c r="W1329" s="48"/>
      <c r="X1329" s="50"/>
      <c r="Y1329" s="50"/>
      <c r="Z1329" s="48" t="n">
        <f aca="false">IF(A1329="","",IF(AND(Parameter!$B$21="Ja",ISNUMBER(W1329)),W1329,IF(CC1329="2+3",IF(ISNUMBER(SEARCH("grosser Artikel",BU1329)),2,IFERROR(VLOOKUP(BX1329,Parameter!$F$35:$G$64,2,0),2)),IF(OR(CC1329="Nein",CC1329=""),"-",CC1329))))</f>
        <v>2</v>
      </c>
      <c r="AA1329" s="55"/>
      <c r="AB1329" s="56"/>
      <c r="AC1329" s="50" t="n">
        <f aca="false">AV1329</f>
        <v>10886</v>
      </c>
      <c r="AD1329" s="50" t="n">
        <f aca="false">MAX(AV1329,H1329)</f>
        <v>10886</v>
      </c>
      <c r="AE1329" s="57"/>
      <c r="AF1329" s="50" t="n">
        <f aca="false">IF(LEFT(Cockpit!$C$5,1)="A",H1329,IF(Parameter!$E$30="MAX-Bestand",IF(CH1329=1,CI1329,IF(LEFT(Cockpit!$C$5,1)="B",AL1329,MAX(AL1329,H1329))),ROUNDUP(AJ1329,0)))</f>
        <v>2423</v>
      </c>
      <c r="AG1329" s="50" t="n">
        <f aca="false">IF(BZ1329=1,0,ROUNDUP(AF1329/BY1329,0))</f>
        <v>1</v>
      </c>
      <c r="AH1329" s="52" t="n">
        <f aca="false">IF(CQ1329&gt;0,CQ1329*MAX(1,AF1329/X1329),IF(BZ1329=1,IF(AF1329&lt;=0,0,CD1329*MAX(1,IF(H1329&gt;0,AF1329/H1329,1))),IF(R1329&gt;0,AG1329/R1329,0))/MAX(0.1,N(Parameter!$M$21)))</f>
        <v>0.166666666666667</v>
      </c>
      <c r="AI1329" s="50" t="n">
        <f aca="false">AH1329*CB1329</f>
        <v>39.1666666666667</v>
      </c>
      <c r="AJ1329" s="51" t="n">
        <f aca="false">IF(LEFT(Cockpit!$C$5,1)="A",H1329,IF(CH1329=1,(CK1329+CI1329)/2,IF(LEFT(Cockpit!$C$5,1)="B",(CK1329+AL1329)/2,MAX((CK1329+AL1329)/2,H1329))))</f>
        <v>2423</v>
      </c>
      <c r="AK1329" s="50" t="n">
        <f aca="false">AJ1329*G1329</f>
        <v>581.52</v>
      </c>
      <c r="AL1329" s="50" t="n">
        <f aca="false">ROUNDUP(CK1329+MAX(CL1329,2*(J1329/IF(CG1329&gt;0,CG1329,MAX(0.1,N(Cockpit!$C$6)))-CK1329)),0)</f>
        <v>10886</v>
      </c>
      <c r="AM1329" s="51" t="n">
        <f aca="false">IF(AI1329&gt;0,J1329/AI1329,-1)</f>
        <v>456.842553191489</v>
      </c>
      <c r="AN1329" s="51" t="n">
        <f aca="false">IF(AND(OR(CF1329="L1",CF1329="L23",CF1329="LIFT"),AI1329&gt;0),SUMIFS($AI$7:$AI$1843,$CF$7:$CF$1843,CF1329,$AM$7:$AM$1843,"&gt;"&amp;AM1329)+SUMIFS($AI$7:$AI$1843,$CF$7:$CF$1843,CF1329,$AM$7:$AM$1843,AM1329,$BW$7:$BW$1843,"&lt;="&amp;BW1329),"")</f>
        <v>129.801282051282</v>
      </c>
      <c r="AO1329" s="58" t="n">
        <f aca="false">IF(AN1329="",0,MAX(0,MIN(1,(IF(CF1329="L1",Parameter!$H$5,IF(CF1329="L23",Parameter!$H$6+Parameter!$H$7,Parameter!$H$5+Parameter!$H$6+Parameter!$H$7))-(AN1329-AI1329))/AI1329)))</f>
        <v>1</v>
      </c>
      <c r="AP1329" s="50" t="n">
        <f aca="false">IF(LEFT(Cockpit!$I$5,1)="A",H1329,IF(Parameter!$E$30="MAX-Bestand",IF(CH1329=1,CI1329,IF(LEFT(Cockpit!$I$5,1)="B",AV1329,MAX(AV1329,H1329))),ROUNDUP(AT1329,0)))</f>
        <v>5965</v>
      </c>
      <c r="AQ1329" s="50" t="n">
        <f aca="false">IF(BZ1329=1,0,ROUNDUP(AP1329/BY1329,0))</f>
        <v>2</v>
      </c>
      <c r="AR1329" s="52" t="n">
        <f aca="false">IF(CQ1329&gt;0,CQ1329*MAX(1,AP1329/X1329),IF(BZ1329=1,IF(AP1329&lt;=0,0,CD1329*MAX(1,IF(H1329&gt;0,AP1329/H1329,1))),IF(R1329&gt;0,AQ1329/R1329,0))/MAX(0.1,N(Parameter!$M$21)))</f>
        <v>0.333333333333333</v>
      </c>
      <c r="AS1329" s="50" t="n">
        <f aca="false">AR1329*CB1329</f>
        <v>78.3333333333333</v>
      </c>
      <c r="AT1329" s="51" t="n">
        <f aca="false">IF(LEFT(Cockpit!$I$5,1)="A",H1329,IF(CH1329=1,(CK1329+CI1329)/2,IF(LEFT(Cockpit!$I$5,1)="B",(CK1329+AV1329)/2,MAX((CK1329+AV1329)/2,H1329))))</f>
        <v>5964.5</v>
      </c>
      <c r="AU1329" s="50" t="n">
        <f aca="false">AT1329*G1329</f>
        <v>1431.48</v>
      </c>
      <c r="AV1329" s="50" t="n">
        <f aca="false">ROUNDUP(CK1329+MAX(CL1329,2*(J1329/IF(CG1329&gt;0,CG1329,MAX(0.1,N(Cockpit!$I$6)))-CK1329)),0)</f>
        <v>10886</v>
      </c>
      <c r="AW1329" s="51" t="n">
        <f aca="false">IF(AS1329&gt;0,J1329/AS1329,-1)</f>
        <v>228.421276595745</v>
      </c>
      <c r="AX1329" s="51" t="n">
        <f aca="false">IF(AND(OR(CF1329="L1",CF1329="L23",CF1329="LIFT"),AS1329&gt;0),SUMIFS($AS$7:$AS$1843,$CF$7:$CF$1843,CF1329,$AW$7:$AW$1843,"&gt;"&amp;AW1329)+SUMIFS($AS$7:$AS$1843,$CF$7:$CF$1843,CF1329,$AW$7:$AW$1843,AW1329,$BW$7:$BW$1843,"&lt;="&amp;BW1329),"")</f>
        <v>337.332875457875</v>
      </c>
      <c r="AY1329" s="58" t="n">
        <f aca="false">IF(AX1329="",0,MAX(0,MIN(1,(IF(CF1329="L1",Parameter!$H$5,IF(CF1329="L23",Parameter!$H$6+Parameter!$H$7,Parameter!$H$5+Parameter!$H$6+Parameter!$H$7))-(AX1329-AS1329))/AS1329)))</f>
        <v>1</v>
      </c>
      <c r="AZ1329" s="50" t="n">
        <f aca="false">IF(LEFT(Cockpit!$O$5,1)="A",H1329,IF(Parameter!$E$30="MAX-Bestand",IF(CH1329=1,CI1329,IF(LEFT(Cockpit!$O$5,1)="B",BF1329,MAX(BF1329,H1329))),ROUNDUP(BD1329,0)))</f>
        <v>4474</v>
      </c>
      <c r="BA1329" s="50" t="n">
        <f aca="false">IF(BZ1329=1,0,ROUNDUP(AZ1329/BY1329,0))</f>
        <v>2</v>
      </c>
      <c r="BB1329" s="52" t="n">
        <f aca="false">IF(CQ1329&gt;0,CQ1329*MAX(1,AZ1329/X1329),IF(BZ1329=1,IF(AZ1329&lt;=0,0,CD1329*MAX(1,IF(H1329&gt;0,AZ1329/H1329,1))),IF(R1329&gt;0,BA1329/R1329,0))/MAX(0.1,N(Parameter!$M$21)))</f>
        <v>0.333333333333333</v>
      </c>
      <c r="BC1329" s="50" t="n">
        <f aca="false">BB1329*CB1329</f>
        <v>78.3333333333333</v>
      </c>
      <c r="BD1329" s="51" t="n">
        <f aca="false">IF(LEFT(Cockpit!$O$5,1)="A",H1329,IF(CH1329=1,(CK1329+CI1329)/2,IF(LEFT(Cockpit!$O$5,1)="B",(CK1329+BF1329)/2,MAX((CK1329+BF1329)/2,H1329))))</f>
        <v>4473.5</v>
      </c>
      <c r="BE1329" s="50" t="n">
        <f aca="false">BD1329*G1329</f>
        <v>1073.64</v>
      </c>
      <c r="BF1329" s="50" t="n">
        <f aca="false">ROUNDUP(CK1329+MAX(CL1329,2*(J1329/IF(CG1329&gt;0,CG1329,MAX(0.1,N(Cockpit!$O$6)))-CK1329)),0)</f>
        <v>7904</v>
      </c>
      <c r="BG1329" s="51" t="n">
        <f aca="false">IF(BC1329&gt;0,J1329/BC1329,-1)</f>
        <v>228.421276595745</v>
      </c>
      <c r="BH1329" s="51" t="n">
        <f aca="false">IF(AND(OR(CF1329="L1",CF1329="L23",CF1329="LIFT"),BC1329&gt;0),SUMIFS($BC$7:$BC$1843,$CF$7:$CF$1843,CF1329,$BG$7:$BG$1843,"&gt;"&amp;BG1329)+SUMIFS($BC$7:$BC$1843,$CF$7:$CF$1843,CF1329,$BG$7:$BG$1843,BG1329,$BW$7:$BW$1843,"&lt;="&amp;BW1329),"")</f>
        <v>394.133241758242</v>
      </c>
      <c r="BI1329" s="58" t="n">
        <f aca="false">IF(BH1329="",0,MAX(0,MIN(1,(IF(CF1329="L1",Parameter!$H$5,IF(CF1329="L23",Parameter!$H$6+Parameter!$H$7,Parameter!$H$5+Parameter!$H$6+Parameter!$H$7))-(BH1329-BC1329))/BC1329)))</f>
        <v>1</v>
      </c>
      <c r="BJ1329" s="48" t="str">
        <f aca="false">IF(AI1329&lt;=0,"",IF(CF1329="Aussen","Aussenlager",IF(CF1329="-","Nicht im Lift",IF(AO1329&gt;=1,"Lift",IF(AO1329&lt;=0,"Aussenlager","teilweise")))))</f>
        <v>Lift</v>
      </c>
      <c r="BK1329" s="48" t="str">
        <f aca="false">IF(AS1329&lt;=0,"",IF(CF1329="Aussen","Aussenlager",IF(CF1329="-","Nicht im Lift",IF(AY1329&gt;=1,"Lift",IF(AY1329&lt;=0,"Aussenlager","teilweise")))))</f>
        <v>Lift</v>
      </c>
      <c r="BL1329" s="48" t="str">
        <f aca="false">IF(BC1329&lt;=0,"",IF(CF1329="Aussen","Aussenlager",IF(CF1329="-","Nicht im Lift",IF(BI1329&gt;=1,"Lift",IF(BI1329&lt;=0,"Aussenlager","teilweise")))))</f>
        <v>Lift</v>
      </c>
      <c r="BM1329" s="48" t="str">
        <f aca="false">IF(A1329="","",IF(BV1329=1,"Neu; ","")&amp;IF(AND(BV1329=0,BQ1329&lt;0),"negativer Bestand (Export "&amp;BQ1329&amp;"); ","")&amp;IF(J1329&lt;=0,"Kein Verbrauch; ","")&amp;IF(CQ1329&gt;0,"Lift "&amp;W1329&amp;" lt. Liftbericht (Fach "&amp;X1329&amp;" Stk); ",IF(CA1329=1,"Gebinde geschätzt ("&amp;T1329&amp;"); ",IF(BZ1329=1,"Lose – Tablare geschätzt; ","")))&amp;IF(H1329&gt;AV1329,"Überbestand "&amp;ROUND(H1329-AV1329,0)&amp;" Stk / CHF "&amp;ROUND((H1329-AV1329)*G1329,0)&amp;"; ","")&amp;IF(AND(CH1329=1,CI1329&lt;CJ1329),"MAX &lt; MB+LG; ","")&amp;IF(AND(CP1329&gt;0,CO1329*10&gt;CP1329),"zu hoch für Tablar; ","")&amp;IF(AND(BV1329=0,OR(CH1329=1,AA1329&lt;&gt;"",U1329&lt;&gt;"",V1329&lt;&gt;"",AB1329&lt;&gt;"")),"manuell übersteuert; ","")&amp;IF(AND(BZ1329=0,R1329=0),"Gebinde unbekannt / Stellmass fehlt; ","")&amp;IF(AND(BZ1329=0,N(V1329)&lt;=0,N(Q1329)&lt;=0),"Menge pro Gebinde fehlt (Ist = 1 Gebinde); ","")&amp;BU1329)</f>
        <v>negativer Bestand (Export -6796); grosse  Artikelmenge</v>
      </c>
      <c r="BN1329" s="48"/>
      <c r="BO1329" s="48"/>
      <c r="BP1329" s="55"/>
      <c r="BQ1329" s="50" t="n">
        <v>-6796</v>
      </c>
      <c r="BR1329" s="50" t="n">
        <v>9219</v>
      </c>
      <c r="BS1329" s="49" t="n">
        <v>-1539.39</v>
      </c>
      <c r="BT1329" s="50" t="n">
        <v>17893</v>
      </c>
      <c r="BU1329" s="48" t="s">
        <v>1616</v>
      </c>
      <c r="BV1329" s="53" t="n">
        <v>0</v>
      </c>
      <c r="BW1329" s="53" t="n">
        <v>1329</v>
      </c>
      <c r="BX1329" s="48" t="str">
        <f aca="false">IF(U1329&lt;&gt;"",UPPER(TRIM(U1329)),IF(CA1329=1,UPPER(VLOOKUP(T1329,Parameter!$I$27:$K$29,2,0)),IF(P1329="","LOSE",P1329)))</f>
        <v>S71</v>
      </c>
      <c r="BY1329" s="50" t="n">
        <f aca="false">IF(BX1329="LOSE",1,IF(N(V1329)&gt;0,V1329,IF(CA1329=1,MAX(1,N(VLOOKUP(T1329,Parameter!$I$27:$K$29,3,0)),H1329,N(N1329)),IF(N(Q1329)&gt;0,Q1329,MAX(1,H1329)))))</f>
        <v>3500</v>
      </c>
      <c r="BZ1329" s="53" t="n">
        <f aca="false">IF(BX1329="LOSE",1,0)</f>
        <v>0</v>
      </c>
      <c r="CA1329" s="53" t="n">
        <f aca="false">IF(AND(U1329="",OR(P1329="",P1329="LOSE"),T1329&lt;&gt;"",N(S1329)&lt;=0,ISNUMBER(MATCH(T1329,Parameter!$I$27:$I$29,0))),1,0)</f>
        <v>0</v>
      </c>
      <c r="CB1329" s="53" t="n">
        <f aca="false">IF(CQ1329&gt;0,INDEX(Parameter!$H$5:$H$7,W1329)/INDEX(Parameter!$E$5:$E$7,W1329),IF(AND(BZ1329=0,N(IFERROR(VLOOKUP(BX1329,'Gebinde-Kategorie'!$A$5:$N$45,14,0),0))&gt;0),VLOOKUP(BX1329,'Gebinde-Kategorie'!$A$5:$N$45,14,0)*10+Parameter!$M$23,Parameter!$M$24))</f>
        <v>235</v>
      </c>
      <c r="CC1329" s="48" t="str">
        <f aca="false">IF(AND(Parameter!$B$19="Ja",E1329&lt;&gt;"",ISNUMBER(MATCH(E1329,Parameter!$I$35:$I$52,0))),VLOOKUP(E1329,Parameter!$I$35:$J$52,2,0),IFERROR(VLOOKUP(D1329,Parameter!$A$35:$C$64,2,0),"Nein"))</f>
        <v>2+3</v>
      </c>
      <c r="CD1329" s="52" t="n">
        <f aca="false">IF(BZ1329=0,0,IF(N(S1329)&gt;0,S1329,IFERROR(VLOOKUP(D1329,Parameter!$A$35:$C$64,3,0)+0,0)))</f>
        <v>0</v>
      </c>
      <c r="CE1329" s="48" t="n">
        <f aca="false">IF(AA1329&lt;&gt;"",AA1329,Z1329)</f>
        <v>2</v>
      </c>
      <c r="CF1329" s="48" t="str">
        <f aca="false">IF(OR(CE1329=1,CE1329=2,CE1329=3),IF(Parameter!$E$27="Ja","LIFT",IF(CE1329=1,"L1","L23")),IF(CE1329="Aussen","Aussen","-"))</f>
        <v>LIFT</v>
      </c>
      <c r="CG1329" s="59" t="n">
        <f aca="false">IF(N(AB1329)&gt;0,AB1329,0)</f>
        <v>0</v>
      </c>
      <c r="CH1329" s="53" t="n">
        <f aca="false">IF(ISNUMBER(AE1329),1,0)</f>
        <v>0</v>
      </c>
      <c r="CI1329" s="50" t="n">
        <f aca="false">N(AE1329)</f>
        <v>0</v>
      </c>
      <c r="CJ1329" s="50" t="n">
        <f aca="false">N(M1329)+N(N1329)</f>
        <v>3043</v>
      </c>
      <c r="CK1329" s="50" t="n">
        <f aca="false">N(M1329)</f>
        <v>1043</v>
      </c>
      <c r="CL1329" s="50" t="n">
        <f aca="false">N(N1329)</f>
        <v>2000</v>
      </c>
      <c r="CM1329" s="50" t="n">
        <f aca="false">ROUNDUP(H1329/BY1329,0)</f>
        <v>1</v>
      </c>
      <c r="CN1329" s="50" t="n">
        <f aca="false">ROUNDUP(CI1329/BY1329,0)</f>
        <v>0</v>
      </c>
      <c r="CO1329" s="53" t="n">
        <f aca="false">IF(BZ1329=1,0,IFERROR(VLOOKUP(BX1329,'Gebinde-Kategorie'!$A$5:$N$45,5,0)+0,0))</f>
        <v>20</v>
      </c>
      <c r="CP1329" s="53" t="n">
        <f aca="false">IFERROR(IF(OR(CE1329=1,CE1329=2,CE1329=3),N(INDEX(Parameter!$I$5:$I$7,CE1329)),0),0)</f>
        <v>0</v>
      </c>
      <c r="CQ1329" s="52" t="n">
        <f aca="false">IF(AND(Parameter!$B$21="Ja",ISNUMBER(W1329),N(X1329)&gt;0),IFERROR(N(INDEX(Parameter!$L$5:$L$7,W1329))*INDEX(Parameter!$E$5:$E$7,W1329)*X1329/SUMIFS($X$7:$X$1843,$W$7:$W$1843,W1329),0),0)</f>
        <v>0</v>
      </c>
    </row>
    <row r="1330" customFormat="false" ht="15" hidden="false" customHeight="false" outlineLevel="0" collapsed="false">
      <c r="A1330" s="48" t="s">
        <v>2369</v>
      </c>
      <c r="B1330" s="48" t="s">
        <v>414</v>
      </c>
      <c r="C1330" s="48" t="s">
        <v>173</v>
      </c>
      <c r="D1330" s="48" t="s">
        <v>182</v>
      </c>
      <c r="E1330" s="48"/>
      <c r="F1330" s="48" t="s">
        <v>227</v>
      </c>
      <c r="G1330" s="49" t="n">
        <v>0.42</v>
      </c>
      <c r="H1330" s="50" t="n">
        <f aca="false">MAX(0,IF(AND(Parameter!$B$21="Ja",ISNUMBER(Y1330)),Y1330,IF(Parameter!$B$20="Jahresanfang 2025 + Export",BR1330+BQ1330,BQ1330)))</f>
        <v>0</v>
      </c>
      <c r="I1330" s="50" t="n">
        <f aca="false">H1330*G1330</f>
        <v>0</v>
      </c>
      <c r="J1330" s="50" t="n">
        <f aca="false">BT1330*Parameter!$B$18</f>
        <v>18000</v>
      </c>
      <c r="K1330" s="51" t="n">
        <v>3000</v>
      </c>
      <c r="L1330" s="52" t="n">
        <v>6</v>
      </c>
      <c r="M1330" s="50" t="n">
        <v>0</v>
      </c>
      <c r="N1330" s="50" t="n">
        <v>200</v>
      </c>
      <c r="O1330" s="53" t="n">
        <v>21</v>
      </c>
      <c r="P1330" s="48" t="s">
        <v>177</v>
      </c>
      <c r="Q1330" s="50"/>
      <c r="R1330" s="53" t="n">
        <f aca="false">IF(BZ1330=1,0,IFERROR(VLOOKUP(BX1330,'Gebinde-Kategorie'!$A$5:$N$45,13,0)+0,0))</f>
        <v>26</v>
      </c>
      <c r="S1330" s="54"/>
      <c r="T1330" s="55" t="s">
        <v>284</v>
      </c>
      <c r="U1330" s="55"/>
      <c r="V1330" s="55"/>
      <c r="W1330" s="48"/>
      <c r="X1330" s="50"/>
      <c r="Y1330" s="50"/>
      <c r="Z1330" s="48" t="n">
        <f aca="false">IF(A1330="","",IF(AND(Parameter!$B$21="Ja",ISNUMBER(W1330)),W1330,IF(CC1330="2+3",IF(ISNUMBER(SEARCH("grosser Artikel",BU1330)),2,IFERROR(VLOOKUP(BX1330,Parameter!$F$35:$G$64,2,0),2)),IF(OR(CC1330="Nein",CC1330=""),"-",CC1330))))</f>
        <v>3</v>
      </c>
      <c r="AA1330" s="55"/>
      <c r="AB1330" s="56"/>
      <c r="AC1330" s="50" t="n">
        <f aca="false">AV1330</f>
        <v>12000</v>
      </c>
      <c r="AD1330" s="50" t="n">
        <f aca="false">MAX(AV1330,H1330)</f>
        <v>12000</v>
      </c>
      <c r="AE1330" s="57"/>
      <c r="AF1330" s="50" t="n">
        <f aca="false">IF(LEFT(Cockpit!$C$5,1)="A",H1330,IF(Parameter!$E$30="MAX-Bestand",IF(CH1330=1,CI1330,IF(LEFT(Cockpit!$C$5,1)="B",AL1330,MAX(AL1330,H1330))),ROUNDUP(AJ1330,0)))</f>
        <v>0</v>
      </c>
      <c r="AG1330" s="50" t="n">
        <f aca="false">IF(BZ1330=1,0,ROUNDUP(AF1330/BY1330,0))</f>
        <v>0</v>
      </c>
      <c r="AH1330" s="52" t="n">
        <f aca="false">IF(CQ1330&gt;0,CQ1330*MAX(1,AF1330/X1330),IF(BZ1330=1,IF(AF1330&lt;=0,0,CD1330*MAX(1,IF(H1330&gt;0,AF1330/H1330,1))),IF(R1330&gt;0,AG1330/R1330,0))/MAX(0.1,N(Parameter!$M$21)))</f>
        <v>0</v>
      </c>
      <c r="AI1330" s="50" t="n">
        <f aca="false">AH1330*CB1330</f>
        <v>0</v>
      </c>
      <c r="AJ1330" s="51" t="n">
        <f aca="false">IF(LEFT(Cockpit!$C$5,1)="A",H1330,IF(CH1330=1,(CK1330+CI1330)/2,IF(LEFT(Cockpit!$C$5,1)="B",(CK1330+AL1330)/2,MAX((CK1330+AL1330)/2,H1330))))</f>
        <v>0</v>
      </c>
      <c r="AK1330" s="50" t="n">
        <f aca="false">AJ1330*G1330</f>
        <v>0</v>
      </c>
      <c r="AL1330" s="50" t="n">
        <f aca="false">ROUNDUP(CK1330+MAX(CL1330,2*(J1330/IF(CG1330&gt;0,CG1330,MAX(0.1,N(Cockpit!$C$6)))-CK1330)),0)</f>
        <v>12000</v>
      </c>
      <c r="AM1330" s="51" t="n">
        <f aca="false">IF(AI1330&gt;0,J1330/AI1330,-1)</f>
        <v>-1</v>
      </c>
      <c r="AN1330" s="51" t="str">
        <f aca="false">IF(AND(OR(CF1330="L1",CF1330="L23",CF1330="LIFT"),AI1330&gt;0),SUMIFS($AI$7:$AI$1843,$CF$7:$CF$1843,CF1330,$AM$7:$AM$1843,"&gt;"&amp;AM1330)+SUMIFS($AI$7:$AI$1843,$CF$7:$CF$1843,CF1330,$AM$7:$AM$1843,AM1330,$BW$7:$BW$1843,"&lt;="&amp;BW1330),"")</f>
        <v/>
      </c>
      <c r="AO1330" s="58" t="n">
        <f aca="false">IF(AN1330="",0,MAX(0,MIN(1,(IF(CF1330="L1",Parameter!$H$5,IF(CF1330="L23",Parameter!$H$6+Parameter!$H$7,Parameter!$H$5+Parameter!$H$6+Parameter!$H$7))-(AN1330-AI1330))/AI1330)))</f>
        <v>0</v>
      </c>
      <c r="AP1330" s="50" t="n">
        <f aca="false">IF(LEFT(Cockpit!$I$5,1)="A",H1330,IF(Parameter!$E$30="MAX-Bestand",IF(CH1330=1,CI1330,IF(LEFT(Cockpit!$I$5,1)="B",AV1330,MAX(AV1330,H1330))),ROUNDUP(AT1330,0)))</f>
        <v>6000</v>
      </c>
      <c r="AQ1330" s="50" t="n">
        <f aca="false">IF(BZ1330=1,0,ROUNDUP(AP1330/BY1330,0))</f>
        <v>30</v>
      </c>
      <c r="AR1330" s="52" t="n">
        <f aca="false">IF(CQ1330&gt;0,CQ1330*MAX(1,AP1330/X1330),IF(BZ1330=1,IF(AP1330&lt;=0,0,CD1330*MAX(1,IF(H1330&gt;0,AP1330/H1330,1))),IF(R1330&gt;0,AQ1330/R1330,0))/MAX(0.1,N(Parameter!$M$21)))</f>
        <v>1.15384615384615</v>
      </c>
      <c r="AS1330" s="50" t="n">
        <f aca="false">AR1330*CB1330</f>
        <v>178.846153846154</v>
      </c>
      <c r="AT1330" s="51" t="n">
        <f aca="false">IF(LEFT(Cockpit!$I$5,1)="A",H1330,IF(CH1330=1,(CK1330+CI1330)/2,IF(LEFT(Cockpit!$I$5,1)="B",(CK1330+AV1330)/2,MAX((CK1330+AV1330)/2,H1330))))</f>
        <v>6000</v>
      </c>
      <c r="AU1330" s="50" t="n">
        <f aca="false">AT1330*G1330</f>
        <v>2520</v>
      </c>
      <c r="AV1330" s="50" t="n">
        <f aca="false">ROUNDUP(CK1330+MAX(CL1330,2*(J1330/IF(CG1330&gt;0,CG1330,MAX(0.1,N(Cockpit!$I$6)))-CK1330)),0)</f>
        <v>12000</v>
      </c>
      <c r="AW1330" s="51" t="n">
        <f aca="false">IF(AS1330&gt;0,J1330/AS1330,-1)</f>
        <v>100.645161290323</v>
      </c>
      <c r="AX1330" s="51" t="n">
        <f aca="false">IF(AND(OR(CF1330="L1",CF1330="L23",CF1330="LIFT"),AS1330&gt;0),SUMIFS($AS$7:$AS$1843,$CF$7:$CF$1843,CF1330,$AW$7:$AW$1843,"&gt;"&amp;AW1330)+SUMIFS($AS$7:$AS$1843,$CF$7:$CF$1843,CF1330,$AW$7:$AW$1843,AW1330,$BW$7:$BW$1843,"&lt;="&amp;BW1330),"")</f>
        <v>1018.01098901099</v>
      </c>
      <c r="AY1330" s="58" t="n">
        <f aca="false">IF(AX1330="",0,MAX(0,MIN(1,(IF(CF1330="L1",Parameter!$H$5,IF(CF1330="L23",Parameter!$H$6+Parameter!$H$7,Parameter!$H$5+Parameter!$H$6+Parameter!$H$7))-(AX1330-AS1330))/AS1330)))</f>
        <v>1</v>
      </c>
      <c r="AZ1330" s="50" t="n">
        <f aca="false">IF(LEFT(Cockpit!$O$5,1)="A",H1330,IF(Parameter!$E$30="MAX-Bestand",IF(CH1330=1,CI1330,IF(LEFT(Cockpit!$O$5,1)="B",BF1330,MAX(BF1330,H1330))),ROUNDUP(BD1330,0)))</f>
        <v>4500</v>
      </c>
      <c r="BA1330" s="50" t="n">
        <f aca="false">IF(BZ1330=1,0,ROUNDUP(AZ1330/BY1330,0))</f>
        <v>23</v>
      </c>
      <c r="BB1330" s="52" t="n">
        <f aca="false">IF(CQ1330&gt;0,CQ1330*MAX(1,AZ1330/X1330),IF(BZ1330=1,IF(AZ1330&lt;=0,0,CD1330*MAX(1,IF(H1330&gt;0,AZ1330/H1330,1))),IF(R1330&gt;0,BA1330/R1330,0))/MAX(0.1,N(Parameter!$M$21)))</f>
        <v>0.884615384615385</v>
      </c>
      <c r="BC1330" s="50" t="n">
        <f aca="false">BB1330*CB1330</f>
        <v>137.115384615385</v>
      </c>
      <c r="BD1330" s="51" t="n">
        <f aca="false">IF(LEFT(Cockpit!$O$5,1)="A",H1330,IF(CH1330=1,(CK1330+CI1330)/2,IF(LEFT(Cockpit!$O$5,1)="B",(CK1330+BF1330)/2,MAX((CK1330+BF1330)/2,H1330))))</f>
        <v>4500</v>
      </c>
      <c r="BE1330" s="50" t="n">
        <f aca="false">BD1330*G1330</f>
        <v>1890</v>
      </c>
      <c r="BF1330" s="50" t="n">
        <f aca="false">ROUNDUP(CK1330+MAX(CL1330,2*(J1330/IF(CG1330&gt;0,CG1330,MAX(0.1,N(Cockpit!$O$6)))-CK1330)),0)</f>
        <v>9000</v>
      </c>
      <c r="BG1330" s="51" t="n">
        <f aca="false">IF(BC1330&gt;0,J1330/BC1330,-1)</f>
        <v>131.276297335203</v>
      </c>
      <c r="BH1330" s="51" t="n">
        <f aca="false">IF(AND(OR(CF1330="L1",CF1330="L23",CF1330="LIFT"),BC1330&gt;0),SUMIFS($BC$7:$BC$1843,$CF$7:$CF$1843,CF1330,$BG$7:$BG$1843,"&gt;"&amp;BG1330)+SUMIFS($BC$7:$BC$1843,$CF$7:$CF$1843,CF1330,$BG$7:$BG$1843,BG1330,$BW$7:$BW$1843,"&lt;="&amp;BW1330),"")</f>
        <v>737.902472527473</v>
      </c>
      <c r="BI1330" s="58" t="n">
        <f aca="false">IF(BH1330="",0,MAX(0,MIN(1,(IF(CF1330="L1",Parameter!$H$5,IF(CF1330="L23",Parameter!$H$6+Parameter!$H$7,Parameter!$H$5+Parameter!$H$6+Parameter!$H$7))-(BH1330-BC1330))/BC1330)))</f>
        <v>1</v>
      </c>
      <c r="BJ1330" s="48" t="str">
        <f aca="false">IF(AI1330&lt;=0,"",IF(CF1330="Aussen","Aussenlager",IF(CF1330="-","Nicht im Lift",IF(AO1330&gt;=1,"Lift",IF(AO1330&lt;=0,"Aussenlager","teilweise")))))</f>
        <v/>
      </c>
      <c r="BK1330" s="48" t="str">
        <f aca="false">IF(AS1330&lt;=0,"",IF(CF1330="Aussen","Aussenlager",IF(CF1330="-","Nicht im Lift",IF(AY1330&gt;=1,"Lift",IF(AY1330&lt;=0,"Aussenlager","teilweise")))))</f>
        <v>Lift</v>
      </c>
      <c r="BL1330" s="48" t="str">
        <f aca="false">IF(BC1330&lt;=0,"",IF(CF1330="Aussen","Aussenlager",IF(CF1330="-","Nicht im Lift",IF(BI1330&gt;=1,"Lift",IF(BI1330&lt;=0,"Aussenlager","teilweise")))))</f>
        <v>Lift</v>
      </c>
      <c r="BM1330" s="48" t="str">
        <f aca="false">IF(A1330="","",IF(BV1330=1,"Neu; ","")&amp;IF(AND(BV1330=0,BQ1330&lt;0),"negativer Bestand (Export "&amp;BQ1330&amp;"); ","")&amp;IF(J1330&lt;=0,"Kein Verbrauch; ","")&amp;IF(CQ1330&gt;0,"Lift "&amp;W1330&amp;" lt. Liftbericht (Fach "&amp;X1330&amp;" Stk); ",IF(CA1330=1,"Gebinde geschätzt ("&amp;T1330&amp;"); ",IF(BZ1330=1,"Lose – Tablare geschätzt; ","")))&amp;IF(H1330&gt;AV1330,"Überbestand "&amp;ROUND(H1330-AV1330,0)&amp;" Stk / CHF "&amp;ROUND((H1330-AV1330)*G1330,0)&amp;"; ","")&amp;IF(AND(CH1330=1,CI1330&lt;CJ1330),"MAX &lt; MB+LG; ","")&amp;IF(AND(CP1330&gt;0,CO1330*10&gt;CP1330),"zu hoch für Tablar; ","")&amp;IF(AND(BV1330=0,OR(CH1330=1,AA1330&lt;&gt;"",U1330&lt;&gt;"",V1330&lt;&gt;"",AB1330&lt;&gt;"")),"manuell übersteuert; ","")&amp;IF(AND(BZ1330=0,R1330=0),"Gebinde unbekannt / Stellmass fehlt; ","")&amp;IF(AND(BZ1330=0,N(V1330)&lt;=0,N(Q1330)&lt;=0),"Menge pro Gebinde fehlt (Ist = 1 Gebinde); ","")&amp;BU1330)</f>
        <v>negativer Bestand (Export -4000); Gebinde geschätzt (Klein); Menge pro Gebinde fehlt (Ist = 1 Gebinde); </v>
      </c>
      <c r="BN1330" s="48"/>
      <c r="BO1330" s="48"/>
      <c r="BP1330" s="55"/>
      <c r="BQ1330" s="50" t="n">
        <v>-4000</v>
      </c>
      <c r="BR1330" s="50" t="n">
        <v>4000</v>
      </c>
      <c r="BS1330" s="49" t="n">
        <v>-1560</v>
      </c>
      <c r="BT1330" s="50" t="n">
        <v>18000</v>
      </c>
      <c r="BU1330" s="48"/>
      <c r="BV1330" s="53" t="n">
        <v>0</v>
      </c>
      <c r="BW1330" s="53" t="n">
        <v>1330</v>
      </c>
      <c r="BX1330" s="48" t="str">
        <f aca="false">IF(U1330&lt;&gt;"",UPPER(TRIM(U1330)),IF(CA1330=1,UPPER(VLOOKUP(T1330,Parameter!$I$27:$K$29,2,0)),IF(P1330="","LOSE",P1330)))</f>
        <v>S51</v>
      </c>
      <c r="BY1330" s="50" t="n">
        <f aca="false">IF(BX1330="LOSE",1,IF(N(V1330)&gt;0,V1330,IF(CA1330=1,MAX(1,N(VLOOKUP(T1330,Parameter!$I$27:$K$29,3,0)),H1330,N(N1330)),IF(N(Q1330)&gt;0,Q1330,MAX(1,H1330)))))</f>
        <v>200</v>
      </c>
      <c r="BZ1330" s="53" t="n">
        <f aca="false">IF(BX1330="LOSE",1,0)</f>
        <v>0</v>
      </c>
      <c r="CA1330" s="53" t="n">
        <f aca="false">IF(AND(U1330="",OR(P1330="",P1330="LOSE"),T1330&lt;&gt;"",N(S1330)&lt;=0,ISNUMBER(MATCH(T1330,Parameter!$I$27:$I$29,0))),1,0)</f>
        <v>1</v>
      </c>
      <c r="CB1330" s="53" t="n">
        <f aca="false">IF(CQ1330&gt;0,INDEX(Parameter!$H$5:$H$7,W1330)/INDEX(Parameter!$E$5:$E$7,W1330),IF(AND(BZ1330=0,N(IFERROR(VLOOKUP(BX1330,'Gebinde-Kategorie'!$A$5:$N$45,14,0),0))&gt;0),VLOOKUP(BX1330,'Gebinde-Kategorie'!$A$5:$N$45,14,0)*10+Parameter!$M$23,Parameter!$M$24))</f>
        <v>155</v>
      </c>
      <c r="CC1330" s="48" t="str">
        <f aca="false">IF(AND(Parameter!$B$19="Ja",E1330&lt;&gt;"",ISNUMBER(MATCH(E1330,Parameter!$I$35:$I$52,0))),VLOOKUP(E1330,Parameter!$I$35:$J$52,2,0),IFERROR(VLOOKUP(D1330,Parameter!$A$35:$C$64,2,0),"Nein"))</f>
        <v>2+3</v>
      </c>
      <c r="CD1330" s="52" t="n">
        <f aca="false">IF(BZ1330=0,0,IF(N(S1330)&gt;0,S1330,IFERROR(VLOOKUP(D1330,Parameter!$A$35:$C$64,3,0)+0,0)))</f>
        <v>0</v>
      </c>
      <c r="CE1330" s="48" t="n">
        <f aca="false">IF(AA1330&lt;&gt;"",AA1330,Z1330)</f>
        <v>3</v>
      </c>
      <c r="CF1330" s="48" t="str">
        <f aca="false">IF(OR(CE1330=1,CE1330=2,CE1330=3),IF(Parameter!$E$27="Ja","LIFT",IF(CE1330=1,"L1","L23")),IF(CE1330="Aussen","Aussen","-"))</f>
        <v>LIFT</v>
      </c>
      <c r="CG1330" s="59" t="n">
        <f aca="false">IF(N(AB1330)&gt;0,AB1330,0)</f>
        <v>0</v>
      </c>
      <c r="CH1330" s="53" t="n">
        <f aca="false">IF(ISNUMBER(AE1330),1,0)</f>
        <v>0</v>
      </c>
      <c r="CI1330" s="50" t="n">
        <f aca="false">N(AE1330)</f>
        <v>0</v>
      </c>
      <c r="CJ1330" s="50" t="n">
        <f aca="false">N(M1330)+N(N1330)</f>
        <v>200</v>
      </c>
      <c r="CK1330" s="50" t="n">
        <f aca="false">N(M1330)</f>
        <v>0</v>
      </c>
      <c r="CL1330" s="50" t="n">
        <f aca="false">N(N1330)</f>
        <v>200</v>
      </c>
      <c r="CM1330" s="50" t="n">
        <f aca="false">ROUNDUP(H1330/BY1330,0)</f>
        <v>0</v>
      </c>
      <c r="CN1330" s="50" t="n">
        <f aca="false">ROUNDUP(CI1330/BY1330,0)</f>
        <v>0</v>
      </c>
      <c r="CO1330" s="53" t="n">
        <f aca="false">IF(BZ1330=1,0,IFERROR(VLOOKUP(BX1330,'Gebinde-Kategorie'!$A$5:$N$45,5,0)+0,0))</f>
        <v>11</v>
      </c>
      <c r="CP1330" s="53" t="n">
        <f aca="false">IFERROR(IF(OR(CE1330=1,CE1330=2,CE1330=3),N(INDEX(Parameter!$I$5:$I$7,CE1330)),0),0)</f>
        <v>0</v>
      </c>
      <c r="CQ1330" s="52" t="n">
        <f aca="false">IF(AND(Parameter!$B$21="Ja",ISNUMBER(W1330),N(X1330)&gt;0),IFERROR(N(INDEX(Parameter!$L$5:$L$7,W1330))*INDEX(Parameter!$E$5:$E$7,W1330)*X1330/SUMIFS($X$7:$X$1843,$W$7:$W$1843,W1330),0),0)</f>
        <v>0</v>
      </c>
    </row>
    <row r="1331" customFormat="false" ht="15" hidden="false" customHeight="false" outlineLevel="0" collapsed="false">
      <c r="A1331" s="48" t="s">
        <v>2370</v>
      </c>
      <c r="B1331" s="48" t="s">
        <v>2371</v>
      </c>
      <c r="C1331" s="48" t="s">
        <v>173</v>
      </c>
      <c r="D1331" s="48" t="s">
        <v>193</v>
      </c>
      <c r="E1331" s="48"/>
      <c r="F1331" s="48" t="s">
        <v>227</v>
      </c>
      <c r="G1331" s="49" t="n">
        <v>29.51</v>
      </c>
      <c r="H1331" s="50" t="n">
        <f aca="false">MAX(0,IF(AND(Parameter!$B$21="Ja",ISNUMBER(Y1331)),Y1331,IF(Parameter!$B$20="Jahresanfang 2025 + Export",BR1331+BQ1331,BQ1331)))</f>
        <v>4</v>
      </c>
      <c r="I1331" s="50" t="n">
        <f aca="false">H1331*G1331</f>
        <v>118.04</v>
      </c>
      <c r="J1331" s="50" t="n">
        <f aca="false">BT1331*Parameter!$B$18</f>
        <v>3</v>
      </c>
      <c r="K1331" s="51" t="n">
        <v>56</v>
      </c>
      <c r="L1331" s="52" t="n">
        <v>0.0535714285714286</v>
      </c>
      <c r="M1331" s="50" t="n">
        <v>0</v>
      </c>
      <c r="N1331" s="50" t="n">
        <v>5</v>
      </c>
      <c r="O1331" s="53" t="n">
        <v>28</v>
      </c>
      <c r="P1331" s="48" t="s">
        <v>311</v>
      </c>
      <c r="Q1331" s="50" t="n">
        <v>25</v>
      </c>
      <c r="R1331" s="53" t="n">
        <f aca="false">IF(BZ1331=1,0,IFERROR(VLOOKUP(BX1331,'Gebinde-Kategorie'!$A$5:$N$45,13,0)+0,0))</f>
        <v>26</v>
      </c>
      <c r="S1331" s="54"/>
      <c r="T1331" s="55"/>
      <c r="U1331" s="55"/>
      <c r="V1331" s="55"/>
      <c r="W1331" s="48"/>
      <c r="X1331" s="50"/>
      <c r="Y1331" s="50"/>
      <c r="Z1331" s="48" t="n">
        <f aca="false">IF(A1331="","",IF(AND(Parameter!$B$21="Ja",ISNUMBER(W1331)),W1331,IF(CC1331="2+3",IF(ISNUMBER(SEARCH("grosser Artikel",BU1331)),2,IFERROR(VLOOKUP(BX1331,Parameter!$F$35:$G$64,2,0),2)),IF(OR(CC1331="Nein",CC1331=""),"-",CC1331))))</f>
        <v>3</v>
      </c>
      <c r="AA1331" s="55"/>
      <c r="AB1331" s="56"/>
      <c r="AC1331" s="50" t="n">
        <f aca="false">AV1331</f>
        <v>5</v>
      </c>
      <c r="AD1331" s="50" t="n">
        <f aca="false">MAX(AV1331,H1331)</f>
        <v>5</v>
      </c>
      <c r="AE1331" s="57"/>
      <c r="AF1331" s="50" t="n">
        <f aca="false">IF(LEFT(Cockpit!$C$5,1)="A",H1331,IF(Parameter!$E$30="MAX-Bestand",IF(CH1331=1,CI1331,IF(LEFT(Cockpit!$C$5,1)="B",AL1331,MAX(AL1331,H1331))),ROUNDUP(AJ1331,0)))</f>
        <v>4</v>
      </c>
      <c r="AG1331" s="50" t="n">
        <f aca="false">IF(BZ1331=1,0,ROUNDUP(AF1331/BY1331,0))</f>
        <v>1</v>
      </c>
      <c r="AH1331" s="52" t="n">
        <f aca="false">IF(CQ1331&gt;0,CQ1331*MAX(1,AF1331/X1331),IF(BZ1331=1,IF(AF1331&lt;=0,0,CD1331*MAX(1,IF(H1331&gt;0,AF1331/H1331,1))),IF(R1331&gt;0,AG1331/R1331,0))/MAX(0.1,N(Parameter!$M$21)))</f>
        <v>0.0384615384615385</v>
      </c>
      <c r="AI1331" s="50" t="n">
        <f aca="false">AH1331*CB1331</f>
        <v>5.96153846153846</v>
      </c>
      <c r="AJ1331" s="51" t="n">
        <f aca="false">IF(LEFT(Cockpit!$C$5,1)="A",H1331,IF(CH1331=1,(CK1331+CI1331)/2,IF(LEFT(Cockpit!$C$5,1)="B",(CK1331+AL1331)/2,MAX((CK1331+AL1331)/2,H1331))))</f>
        <v>4</v>
      </c>
      <c r="AK1331" s="50" t="n">
        <f aca="false">AJ1331*G1331</f>
        <v>118.04</v>
      </c>
      <c r="AL1331" s="50" t="n">
        <f aca="false">ROUNDUP(CK1331+MAX(CL1331,2*(J1331/IF(CG1331&gt;0,CG1331,MAX(0.1,N(Cockpit!$C$6)))-CK1331)),0)</f>
        <v>5</v>
      </c>
      <c r="AM1331" s="51" t="n">
        <f aca="false">IF(AI1331&gt;0,J1331/AI1331,-1)</f>
        <v>0.503225806451613</v>
      </c>
      <c r="AN1331" s="51" t="n">
        <f aca="false">IF(AND(OR(CF1331="L1",CF1331="L23",CF1331="LIFT"),AI1331&gt;0),SUMIFS($AI$7:$AI$1843,$CF$7:$CF$1843,CF1331,$AM$7:$AM$1843,"&gt;"&amp;AM1331)+SUMIFS($AI$7:$AI$1843,$CF$7:$CF$1843,CF1331,$AM$7:$AM$1843,AM1331,$BW$7:$BW$1843,"&lt;="&amp;BW1331),"")</f>
        <v>9580.04896421846</v>
      </c>
      <c r="AO1331" s="58" t="n">
        <f aca="false">IF(AN1331="",0,MAX(0,MIN(1,(IF(CF1331="L1",Parameter!$H$5,IF(CF1331="L23",Parameter!$H$6+Parameter!$H$7,Parameter!$H$5+Parameter!$H$6+Parameter!$H$7))-(AN1331-AI1331))/AI1331)))</f>
        <v>1</v>
      </c>
      <c r="AP1331" s="50" t="n">
        <f aca="false">IF(LEFT(Cockpit!$I$5,1)="A",H1331,IF(Parameter!$E$30="MAX-Bestand",IF(CH1331=1,CI1331,IF(LEFT(Cockpit!$I$5,1)="B",AV1331,MAX(AV1331,H1331))),ROUNDUP(AT1331,0)))</f>
        <v>4</v>
      </c>
      <c r="AQ1331" s="50" t="n">
        <f aca="false">IF(BZ1331=1,0,ROUNDUP(AP1331/BY1331,0))</f>
        <v>1</v>
      </c>
      <c r="AR1331" s="52" t="n">
        <f aca="false">IF(CQ1331&gt;0,CQ1331*MAX(1,AP1331/X1331),IF(BZ1331=1,IF(AP1331&lt;=0,0,CD1331*MAX(1,IF(H1331&gt;0,AP1331/H1331,1))),IF(R1331&gt;0,AQ1331/R1331,0))/MAX(0.1,N(Parameter!$M$21)))</f>
        <v>0.0384615384615385</v>
      </c>
      <c r="AS1331" s="50" t="n">
        <f aca="false">AR1331*CB1331</f>
        <v>5.96153846153846</v>
      </c>
      <c r="AT1331" s="51" t="n">
        <f aca="false">IF(LEFT(Cockpit!$I$5,1)="A",H1331,IF(CH1331=1,(CK1331+CI1331)/2,IF(LEFT(Cockpit!$I$5,1)="B",(CK1331+AV1331)/2,MAX((CK1331+AV1331)/2,H1331))))</f>
        <v>4</v>
      </c>
      <c r="AU1331" s="50" t="n">
        <f aca="false">AT1331*G1331</f>
        <v>118.04</v>
      </c>
      <c r="AV1331" s="50" t="n">
        <f aca="false">ROUNDUP(CK1331+MAX(CL1331,2*(J1331/IF(CG1331&gt;0,CG1331,MAX(0.1,N(Cockpit!$I$6)))-CK1331)),0)</f>
        <v>5</v>
      </c>
      <c r="AW1331" s="51" t="n">
        <f aca="false">IF(AS1331&gt;0,J1331/AS1331,-1)</f>
        <v>0.503225806451613</v>
      </c>
      <c r="AX1331" s="51" t="n">
        <f aca="false">IF(AND(OR(CF1331="L1",CF1331="L23",CF1331="LIFT"),AS1331&gt;0),SUMIFS($AS$7:$AS$1843,$CF$7:$CF$1843,CF1331,$AW$7:$AW$1843,"&gt;"&amp;AW1331)+SUMIFS($AS$7:$AS$1843,$CF$7:$CF$1843,CF1331,$AW$7:$AW$1843,AW1331,$BW$7:$BW$1843,"&lt;="&amp;BW1331),"")</f>
        <v>11993.8855311355</v>
      </c>
      <c r="AY1331" s="58" t="n">
        <f aca="false">IF(AX1331="",0,MAX(0,MIN(1,(IF(CF1331="L1",Parameter!$H$5,IF(CF1331="L23",Parameter!$H$6+Parameter!$H$7,Parameter!$H$5+Parameter!$H$6+Parameter!$H$7))-(AX1331-AS1331))/AS1331)))</f>
        <v>1</v>
      </c>
      <c r="AZ1331" s="50" t="n">
        <f aca="false">IF(LEFT(Cockpit!$O$5,1)="A",H1331,IF(Parameter!$E$30="MAX-Bestand",IF(CH1331=1,CI1331,IF(LEFT(Cockpit!$O$5,1)="B",BF1331,MAX(BF1331,H1331))),ROUNDUP(BD1331,0)))</f>
        <v>3</v>
      </c>
      <c r="BA1331" s="50" t="n">
        <f aca="false">IF(BZ1331=1,0,ROUNDUP(AZ1331/BY1331,0))</f>
        <v>1</v>
      </c>
      <c r="BB1331" s="52" t="n">
        <f aca="false">IF(CQ1331&gt;0,CQ1331*MAX(1,AZ1331/X1331),IF(BZ1331=1,IF(AZ1331&lt;=0,0,CD1331*MAX(1,IF(H1331&gt;0,AZ1331/H1331,1))),IF(R1331&gt;0,BA1331/R1331,0))/MAX(0.1,N(Parameter!$M$21)))</f>
        <v>0.0384615384615385</v>
      </c>
      <c r="BC1331" s="50" t="n">
        <f aca="false">BB1331*CB1331</f>
        <v>5.96153846153846</v>
      </c>
      <c r="BD1331" s="51" t="n">
        <f aca="false">IF(LEFT(Cockpit!$O$5,1)="A",H1331,IF(CH1331=1,(CK1331+CI1331)/2,IF(LEFT(Cockpit!$O$5,1)="B",(CK1331+BF1331)/2,MAX((CK1331+BF1331)/2,H1331))))</f>
        <v>2.5</v>
      </c>
      <c r="BE1331" s="50" t="n">
        <f aca="false">BD1331*G1331</f>
        <v>73.775</v>
      </c>
      <c r="BF1331" s="50" t="n">
        <f aca="false">ROUNDUP(CK1331+MAX(CL1331,2*(J1331/IF(CG1331&gt;0,CG1331,MAX(0.1,N(Cockpit!$O$6)))-CK1331)),0)</f>
        <v>5</v>
      </c>
      <c r="BG1331" s="51" t="n">
        <f aca="false">IF(BC1331&gt;0,J1331/BC1331,-1)</f>
        <v>0.503225806451613</v>
      </c>
      <c r="BH1331" s="51" t="n">
        <f aca="false">IF(AND(OR(CF1331="L1",CF1331="L23",CF1331="LIFT"),BC1331&gt;0),SUMIFS($BC$7:$BC$1843,$CF$7:$CF$1843,CF1331,$BG$7:$BG$1843,"&gt;"&amp;BG1331)+SUMIFS($BC$7:$BC$1843,$CF$7:$CF$1843,CF1331,$BG$7:$BG$1843,BG1331,$BW$7:$BW$1843,"&lt;="&amp;BW1331),"")</f>
        <v>10357.3017399267</v>
      </c>
      <c r="BI1331" s="58" t="n">
        <f aca="false">IF(BH1331="",0,MAX(0,MIN(1,(IF(CF1331="L1",Parameter!$H$5,IF(CF1331="L23",Parameter!$H$6+Parameter!$H$7,Parameter!$H$5+Parameter!$H$6+Parameter!$H$7))-(BH1331-BC1331))/BC1331)))</f>
        <v>1</v>
      </c>
      <c r="BJ1331" s="48" t="str">
        <f aca="false">IF(AI1331&lt;=0,"",IF(CF1331="Aussen","Aussenlager",IF(CF1331="-","Nicht im Lift",IF(AO1331&gt;=1,"Lift",IF(AO1331&lt;=0,"Aussenlager","teilweise")))))</f>
        <v>Lift</v>
      </c>
      <c r="BK1331" s="48" t="str">
        <f aca="false">IF(AS1331&lt;=0,"",IF(CF1331="Aussen","Aussenlager",IF(CF1331="-","Nicht im Lift",IF(AY1331&gt;=1,"Lift",IF(AY1331&lt;=0,"Aussenlager","teilweise")))))</f>
        <v>Lift</v>
      </c>
      <c r="BL1331" s="48" t="str">
        <f aca="false">IF(BC1331&lt;=0,"",IF(CF1331="Aussen","Aussenlager",IF(CF1331="-","Nicht im Lift",IF(BI1331&gt;=1,"Lift",IF(BI1331&lt;=0,"Aussenlager","teilweise")))))</f>
        <v>Lift</v>
      </c>
      <c r="BM1331" s="48" t="str">
        <f aca="false">IF(A1331="","",IF(BV1331=1,"Neu; ","")&amp;IF(AND(BV1331=0,BQ1331&lt;0),"negativer Bestand (Export "&amp;BQ1331&amp;"); ","")&amp;IF(J1331&lt;=0,"Kein Verbrauch; ","")&amp;IF(CQ1331&gt;0,"Lift "&amp;W1331&amp;" lt. Liftbericht (Fach "&amp;X1331&amp;" Stk); ",IF(CA1331=1,"Gebinde geschätzt ("&amp;T1331&amp;"); ",IF(BZ1331=1,"Lose – Tablare geschätzt; ","")))&amp;IF(H1331&gt;AV1331,"Überbestand "&amp;ROUND(H1331-AV1331,0)&amp;" Stk / CHF "&amp;ROUND((H1331-AV1331)*G1331,0)&amp;"; ","")&amp;IF(AND(CH1331=1,CI1331&lt;CJ1331),"MAX &lt; MB+LG; ","")&amp;IF(AND(CP1331&gt;0,CO1331*10&gt;CP1331),"zu hoch für Tablar; ","")&amp;IF(AND(BV1331=0,OR(CH1331=1,AA1331&lt;&gt;"",U1331&lt;&gt;"",V1331&lt;&gt;"",AB1331&lt;&gt;"")),"manuell übersteuert; ","")&amp;IF(AND(BZ1331=0,R1331=0),"Gebinde unbekannt / Stellmass fehlt; ","")&amp;IF(AND(BZ1331=0,N(V1331)&lt;=0,N(Q1331)&lt;=0),"Menge pro Gebinde fehlt (Ist = 1 Gebinde); ","")&amp;BU1331)</f>
        <v>negativer Bestand (Export -54); i.o</v>
      </c>
      <c r="BN1331" s="48"/>
      <c r="BO1331" s="48"/>
      <c r="BP1331" s="55"/>
      <c r="BQ1331" s="50" t="n">
        <v>-54</v>
      </c>
      <c r="BR1331" s="50" t="n">
        <v>58</v>
      </c>
      <c r="BS1331" s="49" t="n">
        <v>-1593.54</v>
      </c>
      <c r="BT1331" s="50" t="n">
        <v>3</v>
      </c>
      <c r="BU1331" s="48" t="s">
        <v>545</v>
      </c>
      <c r="BV1331" s="53" t="n">
        <v>0</v>
      </c>
      <c r="BW1331" s="53" t="n">
        <v>1331</v>
      </c>
      <c r="BX1331" s="48" t="str">
        <f aca="false">IF(U1331&lt;&gt;"",UPPER(TRIM(U1331)),IF(CA1331=1,UPPER(VLOOKUP(T1331,Parameter!$I$27:$K$29,2,0)),IF(P1331="","LOSE",P1331)))</f>
        <v>S51</v>
      </c>
      <c r="BY1331" s="50" t="n">
        <f aca="false">IF(BX1331="LOSE",1,IF(N(V1331)&gt;0,V1331,IF(CA1331=1,MAX(1,N(VLOOKUP(T1331,Parameter!$I$27:$K$29,3,0)),H1331,N(N1331)),IF(N(Q1331)&gt;0,Q1331,MAX(1,H1331)))))</f>
        <v>25</v>
      </c>
      <c r="BZ1331" s="53" t="n">
        <f aca="false">IF(BX1331="LOSE",1,0)</f>
        <v>0</v>
      </c>
      <c r="CA1331" s="53" t="n">
        <f aca="false">IF(AND(U1331="",OR(P1331="",P1331="LOSE"),T1331&lt;&gt;"",N(S1331)&lt;=0,ISNUMBER(MATCH(T1331,Parameter!$I$27:$I$29,0))),1,0)</f>
        <v>0</v>
      </c>
      <c r="CB1331" s="53" t="n">
        <f aca="false">IF(CQ1331&gt;0,INDEX(Parameter!$H$5:$H$7,W1331)/INDEX(Parameter!$E$5:$E$7,W1331),IF(AND(BZ1331=0,N(IFERROR(VLOOKUP(BX1331,'Gebinde-Kategorie'!$A$5:$N$45,14,0),0))&gt;0),VLOOKUP(BX1331,'Gebinde-Kategorie'!$A$5:$N$45,14,0)*10+Parameter!$M$23,Parameter!$M$24))</f>
        <v>155</v>
      </c>
      <c r="CC1331" s="48" t="str">
        <f aca="false">IF(AND(Parameter!$B$19="Ja",E1331&lt;&gt;"",ISNUMBER(MATCH(E1331,Parameter!$I$35:$I$52,0))),VLOOKUP(E1331,Parameter!$I$35:$J$52,2,0),IFERROR(VLOOKUP(D1331,Parameter!$A$35:$C$64,2,0),"Nein"))</f>
        <v>2+3</v>
      </c>
      <c r="CD1331" s="52" t="n">
        <f aca="false">IF(BZ1331=0,0,IF(N(S1331)&gt;0,S1331,IFERROR(VLOOKUP(D1331,Parameter!$A$35:$C$64,3,0)+0,0)))</f>
        <v>0</v>
      </c>
      <c r="CE1331" s="48" t="n">
        <f aca="false">IF(AA1331&lt;&gt;"",AA1331,Z1331)</f>
        <v>3</v>
      </c>
      <c r="CF1331" s="48" t="str">
        <f aca="false">IF(OR(CE1331=1,CE1331=2,CE1331=3),IF(Parameter!$E$27="Ja","LIFT",IF(CE1331=1,"L1","L23")),IF(CE1331="Aussen","Aussen","-"))</f>
        <v>LIFT</v>
      </c>
      <c r="CG1331" s="59" t="n">
        <f aca="false">IF(N(AB1331)&gt;0,AB1331,0)</f>
        <v>0</v>
      </c>
      <c r="CH1331" s="53" t="n">
        <f aca="false">IF(ISNUMBER(AE1331),1,0)</f>
        <v>0</v>
      </c>
      <c r="CI1331" s="50" t="n">
        <f aca="false">N(AE1331)</f>
        <v>0</v>
      </c>
      <c r="CJ1331" s="50" t="n">
        <f aca="false">N(M1331)+N(N1331)</f>
        <v>5</v>
      </c>
      <c r="CK1331" s="50" t="n">
        <f aca="false">N(M1331)</f>
        <v>0</v>
      </c>
      <c r="CL1331" s="50" t="n">
        <f aca="false">N(N1331)</f>
        <v>5</v>
      </c>
      <c r="CM1331" s="50" t="n">
        <f aca="false">ROUNDUP(H1331/BY1331,0)</f>
        <v>1</v>
      </c>
      <c r="CN1331" s="50" t="n">
        <f aca="false">ROUNDUP(CI1331/BY1331,0)</f>
        <v>0</v>
      </c>
      <c r="CO1331" s="53" t="n">
        <f aca="false">IF(BZ1331=1,0,IFERROR(VLOOKUP(BX1331,'Gebinde-Kategorie'!$A$5:$N$45,5,0)+0,0))</f>
        <v>11</v>
      </c>
      <c r="CP1331" s="53" t="n">
        <f aca="false">IFERROR(IF(OR(CE1331=1,CE1331=2,CE1331=3),N(INDEX(Parameter!$I$5:$I$7,CE1331)),0),0)</f>
        <v>0</v>
      </c>
      <c r="CQ1331" s="52" t="n">
        <f aca="false">IF(AND(Parameter!$B$21="Ja",ISNUMBER(W1331),N(X1331)&gt;0),IFERROR(N(INDEX(Parameter!$L$5:$L$7,W1331))*INDEX(Parameter!$E$5:$E$7,W1331)*X1331/SUMIFS($X$7:$X$1843,$W$7:$W$1843,W1331),0),0)</f>
        <v>0</v>
      </c>
    </row>
    <row r="1332" customFormat="false" ht="15" hidden="false" customHeight="false" outlineLevel="0" collapsed="false">
      <c r="A1332" s="48" t="s">
        <v>2372</v>
      </c>
      <c r="B1332" s="48" t="s">
        <v>414</v>
      </c>
      <c r="C1332" s="48" t="s">
        <v>173</v>
      </c>
      <c r="D1332" s="48" t="s">
        <v>182</v>
      </c>
      <c r="E1332" s="48" t="s">
        <v>194</v>
      </c>
      <c r="F1332" s="48" t="s">
        <v>227</v>
      </c>
      <c r="G1332" s="49" t="n">
        <v>0.57</v>
      </c>
      <c r="H1332" s="50" t="n">
        <f aca="false">MAX(0,IF(AND(Parameter!$B$21="Ja",ISNUMBER(Y1332)),Y1332,IF(Parameter!$B$20="Jahresanfang 2025 + Export",BR1332+BQ1332,BQ1332)))</f>
        <v>467</v>
      </c>
      <c r="I1332" s="50" t="n">
        <f aca="false">H1332*G1332</f>
        <v>266.19</v>
      </c>
      <c r="J1332" s="50" t="n">
        <f aca="false">BT1332*Parameter!$B$18</f>
        <v>4436</v>
      </c>
      <c r="K1332" s="51" t="n">
        <v>2976</v>
      </c>
      <c r="L1332" s="52" t="n">
        <v>1.49059139784946</v>
      </c>
      <c r="M1332" s="50" t="n">
        <v>258</v>
      </c>
      <c r="N1332" s="50" t="n">
        <v>1000</v>
      </c>
      <c r="O1332" s="53" t="n">
        <v>21</v>
      </c>
      <c r="P1332" s="48" t="s">
        <v>183</v>
      </c>
      <c r="Q1332" s="50" t="n">
        <v>1109</v>
      </c>
      <c r="R1332" s="53" t="n">
        <f aca="false">IF(BZ1332=1,0,IFERROR(VLOOKUP(BX1332,'Gebinde-Kategorie'!$A$5:$N$45,13,0)+0,0))</f>
        <v>6</v>
      </c>
      <c r="S1332" s="54"/>
      <c r="T1332" s="55"/>
      <c r="U1332" s="55"/>
      <c r="V1332" s="55"/>
      <c r="W1332" s="48"/>
      <c r="X1332" s="50"/>
      <c r="Y1332" s="50"/>
      <c r="Z1332" s="48" t="n">
        <f aca="false">IF(A1332="","",IF(AND(Parameter!$B$21="Ja",ISNUMBER(W1332)),W1332,IF(CC1332="2+3",IF(ISNUMBER(SEARCH("grosser Artikel",BU1332)),2,IFERROR(VLOOKUP(BX1332,Parameter!$F$35:$G$64,2,0),2)),IF(OR(CC1332="Nein",CC1332=""),"-",CC1332))))</f>
        <v>2</v>
      </c>
      <c r="AA1332" s="55"/>
      <c r="AB1332" s="56"/>
      <c r="AC1332" s="50" t="n">
        <f aca="false">AV1332</f>
        <v>2700</v>
      </c>
      <c r="AD1332" s="50" t="n">
        <f aca="false">MAX(AV1332,H1332)</f>
        <v>2700</v>
      </c>
      <c r="AE1332" s="57"/>
      <c r="AF1332" s="50" t="n">
        <f aca="false">IF(LEFT(Cockpit!$C$5,1)="A",H1332,IF(Parameter!$E$30="MAX-Bestand",IF(CH1332=1,CI1332,IF(LEFT(Cockpit!$C$5,1)="B",AL1332,MAX(AL1332,H1332))),ROUNDUP(AJ1332,0)))</f>
        <v>467</v>
      </c>
      <c r="AG1332" s="50" t="n">
        <f aca="false">IF(BZ1332=1,0,ROUNDUP(AF1332/BY1332,0))</f>
        <v>1</v>
      </c>
      <c r="AH1332" s="52" t="n">
        <f aca="false">IF(CQ1332&gt;0,CQ1332*MAX(1,AF1332/X1332),IF(BZ1332=1,IF(AF1332&lt;=0,0,CD1332*MAX(1,IF(H1332&gt;0,AF1332/H1332,1))),IF(R1332&gt;0,AG1332/R1332,0))/MAX(0.1,N(Parameter!$M$21)))</f>
        <v>0.166666666666667</v>
      </c>
      <c r="AI1332" s="50" t="n">
        <f aca="false">AH1332*CB1332</f>
        <v>39.1666666666667</v>
      </c>
      <c r="AJ1332" s="51" t="n">
        <f aca="false">IF(LEFT(Cockpit!$C$5,1)="A",H1332,IF(CH1332=1,(CK1332+CI1332)/2,IF(LEFT(Cockpit!$C$5,1)="B",(CK1332+AL1332)/2,MAX((CK1332+AL1332)/2,H1332))))</f>
        <v>467</v>
      </c>
      <c r="AK1332" s="50" t="n">
        <f aca="false">AJ1332*G1332</f>
        <v>266.19</v>
      </c>
      <c r="AL1332" s="50" t="n">
        <f aca="false">ROUNDUP(CK1332+MAX(CL1332,2*(J1332/IF(CG1332&gt;0,CG1332,MAX(0.1,N(Cockpit!$C$6)))-CK1332)),0)</f>
        <v>2700</v>
      </c>
      <c r="AM1332" s="51" t="n">
        <f aca="false">IF(AI1332&gt;0,J1332/AI1332,-1)</f>
        <v>113.259574468085</v>
      </c>
      <c r="AN1332" s="51" t="n">
        <f aca="false">IF(AND(OR(CF1332="L1",CF1332="L23",CF1332="LIFT"),AI1332&gt;0),SUMIFS($AI$7:$AI$1843,$CF$7:$CF$1843,CF1332,$AM$7:$AM$1843,"&gt;"&amp;AM1332)+SUMIFS($AI$7:$AI$1843,$CF$7:$CF$1843,CF1332,$AM$7:$AM$1843,AM1332,$BW$7:$BW$1843,"&lt;="&amp;BW1332),"")</f>
        <v>733.782509157509</v>
      </c>
      <c r="AO1332" s="58" t="n">
        <f aca="false">IF(AN1332="",0,MAX(0,MIN(1,(IF(CF1332="L1",Parameter!$H$5,IF(CF1332="L23",Parameter!$H$6+Parameter!$H$7,Parameter!$H$5+Parameter!$H$6+Parameter!$H$7))-(AN1332-AI1332))/AI1332)))</f>
        <v>1</v>
      </c>
      <c r="AP1332" s="50" t="n">
        <f aca="false">IF(LEFT(Cockpit!$I$5,1)="A",H1332,IF(Parameter!$E$30="MAX-Bestand",IF(CH1332=1,CI1332,IF(LEFT(Cockpit!$I$5,1)="B",AV1332,MAX(AV1332,H1332))),ROUNDUP(AT1332,0)))</f>
        <v>1479</v>
      </c>
      <c r="AQ1332" s="50" t="n">
        <f aca="false">IF(BZ1332=1,0,ROUNDUP(AP1332/BY1332,0))</f>
        <v>2</v>
      </c>
      <c r="AR1332" s="52" t="n">
        <f aca="false">IF(CQ1332&gt;0,CQ1332*MAX(1,AP1332/X1332),IF(BZ1332=1,IF(AP1332&lt;=0,0,CD1332*MAX(1,IF(H1332&gt;0,AP1332/H1332,1))),IF(R1332&gt;0,AQ1332/R1332,0))/MAX(0.1,N(Parameter!$M$21)))</f>
        <v>0.333333333333333</v>
      </c>
      <c r="AS1332" s="50" t="n">
        <f aca="false">AR1332*CB1332</f>
        <v>78.3333333333333</v>
      </c>
      <c r="AT1332" s="51" t="n">
        <f aca="false">IF(LEFT(Cockpit!$I$5,1)="A",H1332,IF(CH1332=1,(CK1332+CI1332)/2,IF(LEFT(Cockpit!$I$5,1)="B",(CK1332+AV1332)/2,MAX((CK1332+AV1332)/2,H1332))))</f>
        <v>1479</v>
      </c>
      <c r="AU1332" s="50" t="n">
        <f aca="false">AT1332*G1332</f>
        <v>843.03</v>
      </c>
      <c r="AV1332" s="50" t="n">
        <f aca="false">ROUNDUP(CK1332+MAX(CL1332,2*(J1332/IF(CG1332&gt;0,CG1332,MAX(0.1,N(Cockpit!$I$6)))-CK1332)),0)</f>
        <v>2700</v>
      </c>
      <c r="AW1332" s="51" t="n">
        <f aca="false">IF(AS1332&gt;0,J1332/AS1332,-1)</f>
        <v>56.6297872340426</v>
      </c>
      <c r="AX1332" s="51" t="n">
        <f aca="false">IF(AND(OR(CF1332="L1",CF1332="L23",CF1332="LIFT"),AS1332&gt;0),SUMIFS($AS$7:$AS$1843,$CF$7:$CF$1843,CF1332,$AW$7:$AW$1843,"&gt;"&amp;AW1332)+SUMIFS($AS$7:$AS$1843,$CF$7:$CF$1843,CF1332,$AW$7:$AW$1843,AW1332,$BW$7:$BW$1843,"&lt;="&amp;BW1332),"")</f>
        <v>1276.1945970696</v>
      </c>
      <c r="AY1332" s="58" t="n">
        <f aca="false">IF(AX1332="",0,MAX(0,MIN(1,(IF(CF1332="L1",Parameter!$H$5,IF(CF1332="L23",Parameter!$H$6+Parameter!$H$7,Parameter!$H$5+Parameter!$H$6+Parameter!$H$7))-(AX1332-AS1332))/AS1332)))</f>
        <v>1</v>
      </c>
      <c r="AZ1332" s="50" t="n">
        <f aca="false">IF(LEFT(Cockpit!$O$5,1)="A",H1332,IF(Parameter!$E$30="MAX-Bestand",IF(CH1332=1,CI1332,IF(LEFT(Cockpit!$O$5,1)="B",BF1332,MAX(BF1332,H1332))),ROUNDUP(BD1332,0)))</f>
        <v>1109</v>
      </c>
      <c r="BA1332" s="50" t="n">
        <f aca="false">IF(BZ1332=1,0,ROUNDUP(AZ1332/BY1332,0))</f>
        <v>1</v>
      </c>
      <c r="BB1332" s="52" t="n">
        <f aca="false">IF(CQ1332&gt;0,CQ1332*MAX(1,AZ1332/X1332),IF(BZ1332=1,IF(AZ1332&lt;=0,0,CD1332*MAX(1,IF(H1332&gt;0,AZ1332/H1332,1))),IF(R1332&gt;0,BA1332/R1332,0))/MAX(0.1,N(Parameter!$M$21)))</f>
        <v>0.166666666666667</v>
      </c>
      <c r="BC1332" s="50" t="n">
        <f aca="false">BB1332*CB1332</f>
        <v>39.1666666666667</v>
      </c>
      <c r="BD1332" s="51" t="n">
        <f aca="false">IF(LEFT(Cockpit!$O$5,1)="A",H1332,IF(CH1332=1,(CK1332+CI1332)/2,IF(LEFT(Cockpit!$O$5,1)="B",(CK1332+BF1332)/2,MAX((CK1332+BF1332)/2,H1332))))</f>
        <v>1109</v>
      </c>
      <c r="BE1332" s="50" t="n">
        <f aca="false">BD1332*G1332</f>
        <v>632.13</v>
      </c>
      <c r="BF1332" s="50" t="n">
        <f aca="false">ROUNDUP(CK1332+MAX(CL1332,2*(J1332/IF(CG1332&gt;0,CG1332,MAX(0.1,N(Cockpit!$O$6)))-CK1332)),0)</f>
        <v>1960</v>
      </c>
      <c r="BG1332" s="51" t="n">
        <f aca="false">IF(BC1332&gt;0,J1332/BC1332,-1)</f>
        <v>113.259574468085</v>
      </c>
      <c r="BH1332" s="51" t="n">
        <f aca="false">IF(AND(OR(CF1332="L1",CF1332="L23",CF1332="LIFT"),BC1332&gt;0),SUMIFS($BC$7:$BC$1843,$CF$7:$CF$1843,CF1332,$BG$7:$BG$1843,"&gt;"&amp;BG1332)+SUMIFS($BC$7:$BC$1843,$CF$7:$CF$1843,CF1332,$BG$7:$BG$1843,BG1332,$BW$7:$BW$1843,"&lt;="&amp;BW1332),"")</f>
        <v>864.619963369963</v>
      </c>
      <c r="BI1332" s="58" t="n">
        <f aca="false">IF(BH1332="",0,MAX(0,MIN(1,(IF(CF1332="L1",Parameter!$H$5,IF(CF1332="L23",Parameter!$H$6+Parameter!$H$7,Parameter!$H$5+Parameter!$H$6+Parameter!$H$7))-(BH1332-BC1332))/BC1332)))</f>
        <v>1</v>
      </c>
      <c r="BJ1332" s="48" t="str">
        <f aca="false">IF(AI1332&lt;=0,"",IF(CF1332="Aussen","Aussenlager",IF(CF1332="-","Nicht im Lift",IF(AO1332&gt;=1,"Lift",IF(AO1332&lt;=0,"Aussenlager","teilweise")))))</f>
        <v>Lift</v>
      </c>
      <c r="BK1332" s="48" t="str">
        <f aca="false">IF(AS1332&lt;=0,"",IF(CF1332="Aussen","Aussenlager",IF(CF1332="-","Nicht im Lift",IF(AY1332&gt;=1,"Lift",IF(AY1332&lt;=0,"Aussenlager","teilweise")))))</f>
        <v>Lift</v>
      </c>
      <c r="BL1332" s="48" t="str">
        <f aca="false">IF(BC1332&lt;=0,"",IF(CF1332="Aussen","Aussenlager",IF(CF1332="-","Nicht im Lift",IF(BI1332&gt;=1,"Lift",IF(BI1332&lt;=0,"Aussenlager","teilweise")))))</f>
        <v>Lift</v>
      </c>
      <c r="BM1332" s="48" t="str">
        <f aca="false">IF(A1332="","",IF(BV1332=1,"Neu; ","")&amp;IF(AND(BV1332=0,BQ1332&lt;0),"negativer Bestand (Export "&amp;BQ1332&amp;"); ","")&amp;IF(J1332&lt;=0,"Kein Verbrauch; ","")&amp;IF(CQ1332&gt;0,"Lift "&amp;W1332&amp;" lt. Liftbericht (Fach "&amp;X1332&amp;" Stk); ",IF(CA1332=1,"Gebinde geschätzt ("&amp;T1332&amp;"); ",IF(BZ1332=1,"Lose – Tablare geschätzt; ","")))&amp;IF(H1332&gt;AV1332,"Überbestand "&amp;ROUND(H1332-AV1332,0)&amp;" Stk / CHF "&amp;ROUND((H1332-AV1332)*G1332,0)&amp;"; ","")&amp;IF(AND(CH1332=1,CI1332&lt;CJ1332),"MAX &lt; MB+LG; ","")&amp;IF(AND(CP1332&gt;0,CO1332*10&gt;CP1332),"zu hoch für Tablar; ","")&amp;IF(AND(BV1332=0,OR(CH1332=1,AA1332&lt;&gt;"",U1332&lt;&gt;"",V1332&lt;&gt;"",AB1332&lt;&gt;"")),"manuell übersteuert; ","")&amp;IF(AND(BZ1332=0,R1332=0),"Gebinde unbekannt / Stellmass fehlt; ","")&amp;IF(AND(BZ1332=0,N(V1332)&lt;=0,N(Q1332)&lt;=0),"Menge pro Gebinde fehlt (Ist = 1 Gebinde); ","")&amp;BU1332)</f>
        <v>negativer Bestand (Export -2649); grosse  Artikelmenge</v>
      </c>
      <c r="BN1332" s="48"/>
      <c r="BO1332" s="48"/>
      <c r="BP1332" s="55"/>
      <c r="BQ1332" s="50" t="n">
        <v>-2649</v>
      </c>
      <c r="BR1332" s="50" t="n">
        <v>3116</v>
      </c>
      <c r="BS1332" s="49" t="n">
        <v>-1602.66</v>
      </c>
      <c r="BT1332" s="50" t="n">
        <v>4436</v>
      </c>
      <c r="BU1332" s="48" t="s">
        <v>1616</v>
      </c>
      <c r="BV1332" s="53" t="n">
        <v>0</v>
      </c>
      <c r="BW1332" s="53" t="n">
        <v>1332</v>
      </c>
      <c r="BX1332" s="48" t="str">
        <f aca="false">IF(U1332&lt;&gt;"",UPPER(TRIM(U1332)),IF(CA1332=1,UPPER(VLOOKUP(T1332,Parameter!$I$27:$K$29,2,0)),IF(P1332="","LOSE",P1332)))</f>
        <v>S71</v>
      </c>
      <c r="BY1332" s="50" t="n">
        <f aca="false">IF(BX1332="LOSE",1,IF(N(V1332)&gt;0,V1332,IF(CA1332=1,MAX(1,N(VLOOKUP(T1332,Parameter!$I$27:$K$29,3,0)),H1332,N(N1332)),IF(N(Q1332)&gt;0,Q1332,MAX(1,H1332)))))</f>
        <v>1109</v>
      </c>
      <c r="BZ1332" s="53" t="n">
        <f aca="false">IF(BX1332="LOSE",1,0)</f>
        <v>0</v>
      </c>
      <c r="CA1332" s="53" t="n">
        <f aca="false">IF(AND(U1332="",OR(P1332="",P1332="LOSE"),T1332&lt;&gt;"",N(S1332)&lt;=0,ISNUMBER(MATCH(T1332,Parameter!$I$27:$I$29,0))),1,0)</f>
        <v>0</v>
      </c>
      <c r="CB1332" s="53" t="n">
        <f aca="false">IF(CQ1332&gt;0,INDEX(Parameter!$H$5:$H$7,W1332)/INDEX(Parameter!$E$5:$E$7,W1332),IF(AND(BZ1332=0,N(IFERROR(VLOOKUP(BX1332,'Gebinde-Kategorie'!$A$5:$N$45,14,0),0))&gt;0),VLOOKUP(BX1332,'Gebinde-Kategorie'!$A$5:$N$45,14,0)*10+Parameter!$M$23,Parameter!$M$24))</f>
        <v>235</v>
      </c>
      <c r="CC1332" s="48" t="str">
        <f aca="false">IF(AND(Parameter!$B$19="Ja",E1332&lt;&gt;"",ISNUMBER(MATCH(E1332,Parameter!$I$35:$I$52,0))),VLOOKUP(E1332,Parameter!$I$35:$J$52,2,0),IFERROR(VLOOKUP(D1332,Parameter!$A$35:$C$64,2,0),"Nein"))</f>
        <v>2+3</v>
      </c>
      <c r="CD1332" s="52" t="n">
        <f aca="false">IF(BZ1332=0,0,IF(N(S1332)&gt;0,S1332,IFERROR(VLOOKUP(D1332,Parameter!$A$35:$C$64,3,0)+0,0)))</f>
        <v>0</v>
      </c>
      <c r="CE1332" s="48" t="n">
        <f aca="false">IF(AA1332&lt;&gt;"",AA1332,Z1332)</f>
        <v>2</v>
      </c>
      <c r="CF1332" s="48" t="str">
        <f aca="false">IF(OR(CE1332=1,CE1332=2,CE1332=3),IF(Parameter!$E$27="Ja","LIFT",IF(CE1332=1,"L1","L23")),IF(CE1332="Aussen","Aussen","-"))</f>
        <v>LIFT</v>
      </c>
      <c r="CG1332" s="59" t="n">
        <f aca="false">IF(N(AB1332)&gt;0,AB1332,0)</f>
        <v>0</v>
      </c>
      <c r="CH1332" s="53" t="n">
        <f aca="false">IF(ISNUMBER(AE1332),1,0)</f>
        <v>0</v>
      </c>
      <c r="CI1332" s="50" t="n">
        <f aca="false">N(AE1332)</f>
        <v>0</v>
      </c>
      <c r="CJ1332" s="50" t="n">
        <f aca="false">N(M1332)+N(N1332)</f>
        <v>1258</v>
      </c>
      <c r="CK1332" s="50" t="n">
        <f aca="false">N(M1332)</f>
        <v>258</v>
      </c>
      <c r="CL1332" s="50" t="n">
        <f aca="false">N(N1332)</f>
        <v>1000</v>
      </c>
      <c r="CM1332" s="50" t="n">
        <f aca="false">ROUNDUP(H1332/BY1332,0)</f>
        <v>1</v>
      </c>
      <c r="CN1332" s="50" t="n">
        <f aca="false">ROUNDUP(CI1332/BY1332,0)</f>
        <v>0</v>
      </c>
      <c r="CO1332" s="53" t="n">
        <f aca="false">IF(BZ1332=1,0,IFERROR(VLOOKUP(BX1332,'Gebinde-Kategorie'!$A$5:$N$45,5,0)+0,0))</f>
        <v>20</v>
      </c>
      <c r="CP1332" s="53" t="n">
        <f aca="false">IFERROR(IF(OR(CE1332=1,CE1332=2,CE1332=3),N(INDEX(Parameter!$I$5:$I$7,CE1332)),0),0)</f>
        <v>0</v>
      </c>
      <c r="CQ1332" s="52" t="n">
        <f aca="false">IF(AND(Parameter!$B$21="Ja",ISNUMBER(W1332),N(X1332)&gt;0),IFERROR(N(INDEX(Parameter!$L$5:$L$7,W1332))*INDEX(Parameter!$E$5:$E$7,W1332)*X1332/SUMIFS($X$7:$X$1843,$W$7:$W$1843,W1332),0),0)</f>
        <v>0</v>
      </c>
    </row>
    <row r="1333" customFormat="false" ht="15" hidden="false" customHeight="false" outlineLevel="0" collapsed="false">
      <c r="A1333" s="48" t="s">
        <v>2373</v>
      </c>
      <c r="B1333" s="48" t="s">
        <v>1018</v>
      </c>
      <c r="C1333" s="48" t="s">
        <v>173</v>
      </c>
      <c r="D1333" s="48" t="s">
        <v>193</v>
      </c>
      <c r="E1333" s="48" t="s">
        <v>194</v>
      </c>
      <c r="F1333" s="48" t="s">
        <v>227</v>
      </c>
      <c r="G1333" s="49" t="n">
        <v>4.38</v>
      </c>
      <c r="H1333" s="50" t="n">
        <f aca="false">MAX(0,IF(AND(Parameter!$B$21="Ja",ISNUMBER(Y1333)),Y1333,IF(Parameter!$B$20="Jahresanfang 2025 + Export",BR1333+BQ1333,BQ1333)))</f>
        <v>281</v>
      </c>
      <c r="I1333" s="50" t="n">
        <f aca="false">H1333*G1333</f>
        <v>1230.78</v>
      </c>
      <c r="J1333" s="50" t="n">
        <f aca="false">BT1333*Parameter!$B$18</f>
        <v>415</v>
      </c>
      <c r="K1333" s="51" t="n">
        <v>465.5</v>
      </c>
      <c r="L1333" s="52" t="n">
        <v>0.891514500537057</v>
      </c>
      <c r="M1333" s="50" t="n">
        <v>32</v>
      </c>
      <c r="N1333" s="50" t="n">
        <v>415</v>
      </c>
      <c r="O1333" s="53" t="n">
        <v>28</v>
      </c>
      <c r="P1333" s="48" t="s">
        <v>485</v>
      </c>
      <c r="Q1333" s="50" t="n">
        <v>139</v>
      </c>
      <c r="R1333" s="53" t="n">
        <f aca="false">IF(BZ1333=1,0,IFERROR(VLOOKUP(BX1333,'Gebinde-Kategorie'!$A$5:$N$45,13,0)+0,0))</f>
        <v>52</v>
      </c>
      <c r="S1333" s="54"/>
      <c r="T1333" s="55"/>
      <c r="U1333" s="55"/>
      <c r="V1333" s="55"/>
      <c r="W1333" s="48"/>
      <c r="X1333" s="50"/>
      <c r="Y1333" s="50"/>
      <c r="Z1333" s="48" t="n">
        <f aca="false">IF(A1333="","",IF(AND(Parameter!$B$21="Ja",ISNUMBER(W1333)),W1333,IF(CC1333="2+3",IF(ISNUMBER(SEARCH("grosser Artikel",BU1333)),2,IFERROR(VLOOKUP(BX1333,Parameter!$F$35:$G$64,2,0),2)),IF(OR(CC1333="Nein",CC1333=""),"-",CC1333))))</f>
        <v>3</v>
      </c>
      <c r="AA1333" s="55"/>
      <c r="AB1333" s="56"/>
      <c r="AC1333" s="50" t="n">
        <f aca="false">AV1333</f>
        <v>447</v>
      </c>
      <c r="AD1333" s="50" t="n">
        <f aca="false">MAX(AV1333,H1333)</f>
        <v>447</v>
      </c>
      <c r="AE1333" s="57"/>
      <c r="AF1333" s="50" t="n">
        <f aca="false">IF(LEFT(Cockpit!$C$5,1)="A",H1333,IF(Parameter!$E$30="MAX-Bestand",IF(CH1333=1,CI1333,IF(LEFT(Cockpit!$C$5,1)="B",AL1333,MAX(AL1333,H1333))),ROUNDUP(AJ1333,0)))</f>
        <v>281</v>
      </c>
      <c r="AG1333" s="50" t="n">
        <f aca="false">IF(BZ1333=1,0,ROUNDUP(AF1333/BY1333,0))</f>
        <v>3</v>
      </c>
      <c r="AH1333" s="52" t="n">
        <f aca="false">IF(CQ1333&gt;0,CQ1333*MAX(1,AF1333/X1333),IF(BZ1333=1,IF(AF1333&lt;=0,0,CD1333*MAX(1,IF(H1333&gt;0,AF1333/H1333,1))),IF(R1333&gt;0,AG1333/R1333,0))/MAX(0.1,N(Parameter!$M$21)))</f>
        <v>0.0576923076923077</v>
      </c>
      <c r="AI1333" s="50" t="n">
        <f aca="false">AH1333*CB1333</f>
        <v>8.94230769230769</v>
      </c>
      <c r="AJ1333" s="51" t="n">
        <f aca="false">IF(LEFT(Cockpit!$C$5,1)="A",H1333,IF(CH1333=1,(CK1333+CI1333)/2,IF(LEFT(Cockpit!$C$5,1)="B",(CK1333+AL1333)/2,MAX((CK1333+AL1333)/2,H1333))))</f>
        <v>281</v>
      </c>
      <c r="AK1333" s="50" t="n">
        <f aca="false">AJ1333*G1333</f>
        <v>1230.78</v>
      </c>
      <c r="AL1333" s="50" t="n">
        <f aca="false">ROUNDUP(CK1333+MAX(CL1333,2*(J1333/IF(CG1333&gt;0,CG1333,MAX(0.1,N(Cockpit!$C$6)))-CK1333)),0)</f>
        <v>447</v>
      </c>
      <c r="AM1333" s="51" t="n">
        <f aca="false">IF(AI1333&gt;0,J1333/AI1333,-1)</f>
        <v>46.4086021505376</v>
      </c>
      <c r="AN1333" s="51" t="n">
        <f aca="false">IF(AND(OR(CF1333="L1",CF1333="L23",CF1333="LIFT"),AI1333&gt;0),SUMIFS($AI$7:$AI$1843,$CF$7:$CF$1843,CF1333,$AM$7:$AM$1843,"&gt;"&amp;AM1333)+SUMIFS($AI$7:$AI$1843,$CF$7:$CF$1843,CF1333,$AM$7:$AM$1843,AM1333,$BW$7:$BW$1843,"&lt;="&amp;BW1333),"")</f>
        <v>1157.88598901099</v>
      </c>
      <c r="AO1333" s="58" t="n">
        <f aca="false">IF(AN1333="",0,MAX(0,MIN(1,(IF(CF1333="L1",Parameter!$H$5,IF(CF1333="L23",Parameter!$H$6+Parameter!$H$7,Parameter!$H$5+Parameter!$H$6+Parameter!$H$7))-(AN1333-AI1333))/AI1333)))</f>
        <v>1</v>
      </c>
      <c r="AP1333" s="50" t="n">
        <f aca="false">IF(LEFT(Cockpit!$I$5,1)="A",H1333,IF(Parameter!$E$30="MAX-Bestand",IF(CH1333=1,CI1333,IF(LEFT(Cockpit!$I$5,1)="B",AV1333,MAX(AV1333,H1333))),ROUNDUP(AT1333,0)))</f>
        <v>281</v>
      </c>
      <c r="AQ1333" s="50" t="n">
        <f aca="false">IF(BZ1333=1,0,ROUNDUP(AP1333/BY1333,0))</f>
        <v>3</v>
      </c>
      <c r="AR1333" s="52" t="n">
        <f aca="false">IF(CQ1333&gt;0,CQ1333*MAX(1,AP1333/X1333),IF(BZ1333=1,IF(AP1333&lt;=0,0,CD1333*MAX(1,IF(H1333&gt;0,AP1333/H1333,1))),IF(R1333&gt;0,AQ1333/R1333,0))/MAX(0.1,N(Parameter!$M$21)))</f>
        <v>0.0576923076923077</v>
      </c>
      <c r="AS1333" s="50" t="n">
        <f aca="false">AR1333*CB1333</f>
        <v>8.94230769230769</v>
      </c>
      <c r="AT1333" s="51" t="n">
        <f aca="false">IF(LEFT(Cockpit!$I$5,1)="A",H1333,IF(CH1333=1,(CK1333+CI1333)/2,IF(LEFT(Cockpit!$I$5,1)="B",(CK1333+AV1333)/2,MAX((CK1333+AV1333)/2,H1333))))</f>
        <v>281</v>
      </c>
      <c r="AU1333" s="50" t="n">
        <f aca="false">AT1333*G1333</f>
        <v>1230.78</v>
      </c>
      <c r="AV1333" s="50" t="n">
        <f aca="false">ROUNDUP(CK1333+MAX(CL1333,2*(J1333/IF(CG1333&gt;0,CG1333,MAX(0.1,N(Cockpit!$I$6)))-CK1333)),0)</f>
        <v>447</v>
      </c>
      <c r="AW1333" s="51" t="n">
        <f aca="false">IF(AS1333&gt;0,J1333/AS1333,-1)</f>
        <v>46.4086021505376</v>
      </c>
      <c r="AX1333" s="51" t="n">
        <f aca="false">IF(AND(OR(CF1333="L1",CF1333="L23",CF1333="LIFT"),AS1333&gt;0),SUMIFS($AS$7:$AS$1843,$CF$7:$CF$1843,CF1333,$AW$7:$AW$1843,"&gt;"&amp;AW1333)+SUMIFS($AS$7:$AS$1843,$CF$7:$CF$1843,CF1333,$AW$7:$AW$1843,AW1333,$BW$7:$BW$1843,"&lt;="&amp;BW1333),"")</f>
        <v>1442.6076007326</v>
      </c>
      <c r="AY1333" s="58" t="n">
        <f aca="false">IF(AX1333="",0,MAX(0,MIN(1,(IF(CF1333="L1",Parameter!$H$5,IF(CF1333="L23",Parameter!$H$6+Parameter!$H$7,Parameter!$H$5+Parameter!$H$6+Parameter!$H$7))-(AX1333-AS1333))/AS1333)))</f>
        <v>1</v>
      </c>
      <c r="AZ1333" s="50" t="n">
        <f aca="false">IF(LEFT(Cockpit!$O$5,1)="A",H1333,IF(Parameter!$E$30="MAX-Bestand",IF(CH1333=1,CI1333,IF(LEFT(Cockpit!$O$5,1)="B",BF1333,MAX(BF1333,H1333))),ROUNDUP(BD1333,0)))</f>
        <v>240</v>
      </c>
      <c r="BA1333" s="50" t="n">
        <f aca="false">IF(BZ1333=1,0,ROUNDUP(AZ1333/BY1333,0))</f>
        <v>2</v>
      </c>
      <c r="BB1333" s="52" t="n">
        <f aca="false">IF(CQ1333&gt;0,CQ1333*MAX(1,AZ1333/X1333),IF(BZ1333=1,IF(AZ1333&lt;=0,0,CD1333*MAX(1,IF(H1333&gt;0,AZ1333/H1333,1))),IF(R1333&gt;0,BA1333/R1333,0))/MAX(0.1,N(Parameter!$M$21)))</f>
        <v>0.0384615384615385</v>
      </c>
      <c r="BC1333" s="50" t="n">
        <f aca="false">BB1333*CB1333</f>
        <v>5.96153846153846</v>
      </c>
      <c r="BD1333" s="51" t="n">
        <f aca="false">IF(LEFT(Cockpit!$O$5,1)="A",H1333,IF(CH1333=1,(CK1333+CI1333)/2,IF(LEFT(Cockpit!$O$5,1)="B",(CK1333+BF1333)/2,MAX((CK1333+BF1333)/2,H1333))))</f>
        <v>239.5</v>
      </c>
      <c r="BE1333" s="50" t="n">
        <f aca="false">BD1333*G1333</f>
        <v>1049.01</v>
      </c>
      <c r="BF1333" s="50" t="n">
        <f aca="false">ROUNDUP(CK1333+MAX(CL1333,2*(J1333/IF(CG1333&gt;0,CG1333,MAX(0.1,N(Cockpit!$O$6)))-CK1333)),0)</f>
        <v>447</v>
      </c>
      <c r="BG1333" s="51" t="n">
        <f aca="false">IF(BC1333&gt;0,J1333/BC1333,-1)</f>
        <v>69.6129032258065</v>
      </c>
      <c r="BH1333" s="51" t="n">
        <f aca="false">IF(AND(OR(CF1333="L1",CF1333="L23",CF1333="LIFT"),BC1333&gt;0),SUMIFS($BC$7:$BC$1843,$CF$7:$CF$1843,CF1333,$BG$7:$BG$1843,"&gt;"&amp;BG1333)+SUMIFS($BC$7:$BC$1843,$CF$7:$CF$1843,CF1333,$BG$7:$BG$1843,BG1333,$BW$7:$BW$1843,"&lt;="&amp;BW1333),"")</f>
        <v>1030.40888278388</v>
      </c>
      <c r="BI1333" s="58" t="n">
        <f aca="false">IF(BH1333="",0,MAX(0,MIN(1,(IF(CF1333="L1",Parameter!$H$5,IF(CF1333="L23",Parameter!$H$6+Parameter!$H$7,Parameter!$H$5+Parameter!$H$6+Parameter!$H$7))-(BH1333-BC1333))/BC1333)))</f>
        <v>1</v>
      </c>
      <c r="BJ1333" s="48" t="str">
        <f aca="false">IF(AI1333&lt;=0,"",IF(CF1333="Aussen","Aussenlager",IF(CF1333="-","Nicht im Lift",IF(AO1333&gt;=1,"Lift",IF(AO1333&lt;=0,"Aussenlager","teilweise")))))</f>
        <v>Lift</v>
      </c>
      <c r="BK1333" s="48" t="str">
        <f aca="false">IF(AS1333&lt;=0,"",IF(CF1333="Aussen","Aussenlager",IF(CF1333="-","Nicht im Lift",IF(AY1333&gt;=1,"Lift",IF(AY1333&lt;=0,"Aussenlager","teilweise")))))</f>
        <v>Lift</v>
      </c>
      <c r="BL1333" s="48" t="str">
        <f aca="false">IF(BC1333&lt;=0,"",IF(CF1333="Aussen","Aussenlager",IF(CF1333="-","Nicht im Lift",IF(BI1333&gt;=1,"Lift",IF(BI1333&lt;=0,"Aussenlager","teilweise")))))</f>
        <v>Lift</v>
      </c>
      <c r="BM1333" s="48" t="str">
        <f aca="false">IF(A1333="","",IF(BV1333=1,"Neu; ","")&amp;IF(AND(BV1333=0,BQ1333&lt;0),"negativer Bestand (Export "&amp;BQ1333&amp;"); ","")&amp;IF(J1333&lt;=0,"Kein Verbrauch; ","")&amp;IF(CQ1333&gt;0,"Lift "&amp;W1333&amp;" lt. Liftbericht (Fach "&amp;X1333&amp;" Stk); ",IF(CA1333=1,"Gebinde geschätzt ("&amp;T1333&amp;"); ",IF(BZ1333=1,"Lose – Tablare geschätzt; ","")))&amp;IF(H1333&gt;AV1333,"Überbestand "&amp;ROUND(H1333-AV1333,0)&amp;" Stk / CHF "&amp;ROUND((H1333-AV1333)*G1333,0)&amp;"; ","")&amp;IF(AND(CH1333=1,CI1333&lt;CJ1333),"MAX &lt; MB+LG; ","")&amp;IF(AND(CP1333&gt;0,CO1333*10&gt;CP1333),"zu hoch für Tablar; ","")&amp;IF(AND(BV1333=0,OR(CH1333=1,AA1333&lt;&gt;"",U1333&lt;&gt;"",V1333&lt;&gt;"",AB1333&lt;&gt;"")),"manuell übersteuert; ","")&amp;IF(AND(BZ1333=0,R1333=0),"Gebinde unbekannt / Stellmass fehlt; ","")&amp;IF(AND(BZ1333=0,N(V1333)&lt;=0,N(Q1333)&lt;=0),"Menge pro Gebinde fehlt (Ist = 1 Gebinde); ","")&amp;BU1333)</f>
        <v>negativer Bestand (Export -367); B&amp;R</v>
      </c>
      <c r="BN1333" s="48"/>
      <c r="BO1333" s="48"/>
      <c r="BP1333" s="55"/>
      <c r="BQ1333" s="50" t="n">
        <v>-367</v>
      </c>
      <c r="BR1333" s="50" t="n">
        <v>648</v>
      </c>
      <c r="BS1333" s="49" t="n">
        <v>-1607.46</v>
      </c>
      <c r="BT1333" s="50" t="n">
        <v>415</v>
      </c>
      <c r="BU1333" s="48" t="s">
        <v>2226</v>
      </c>
      <c r="BV1333" s="53" t="n">
        <v>0</v>
      </c>
      <c r="BW1333" s="53" t="n">
        <v>1333</v>
      </c>
      <c r="BX1333" s="48" t="str">
        <f aca="false">IF(U1333&lt;&gt;"",UPPER(TRIM(U1333)),IF(CA1333=1,UPPER(VLOOKUP(T1333,Parameter!$I$27:$K$29,2,0)),IF(P1333="","LOSE",P1333)))</f>
        <v>S33</v>
      </c>
      <c r="BY1333" s="50" t="n">
        <f aca="false">IF(BX1333="LOSE",1,IF(N(V1333)&gt;0,V1333,IF(CA1333=1,MAX(1,N(VLOOKUP(T1333,Parameter!$I$27:$K$29,3,0)),H1333,N(N1333)),IF(N(Q1333)&gt;0,Q1333,MAX(1,H1333)))))</f>
        <v>139</v>
      </c>
      <c r="BZ1333" s="53" t="n">
        <f aca="false">IF(BX1333="LOSE",1,0)</f>
        <v>0</v>
      </c>
      <c r="CA1333" s="53" t="n">
        <f aca="false">IF(AND(U1333="",OR(P1333="",P1333="LOSE"),T1333&lt;&gt;"",N(S1333)&lt;=0,ISNUMBER(MATCH(T1333,Parameter!$I$27:$I$29,0))),1,0)</f>
        <v>0</v>
      </c>
      <c r="CB1333" s="53" t="n">
        <f aca="false">IF(CQ1333&gt;0,INDEX(Parameter!$H$5:$H$7,W1333)/INDEX(Parameter!$E$5:$E$7,W1333),IF(AND(BZ1333=0,N(IFERROR(VLOOKUP(BX1333,'Gebinde-Kategorie'!$A$5:$N$45,14,0),0))&gt;0),VLOOKUP(BX1333,'Gebinde-Kategorie'!$A$5:$N$45,14,0)*10+Parameter!$M$23,Parameter!$M$24))</f>
        <v>155</v>
      </c>
      <c r="CC1333" s="48" t="str">
        <f aca="false">IF(AND(Parameter!$B$19="Ja",E1333&lt;&gt;"",ISNUMBER(MATCH(E1333,Parameter!$I$35:$I$52,0))),VLOOKUP(E1333,Parameter!$I$35:$J$52,2,0),IFERROR(VLOOKUP(D1333,Parameter!$A$35:$C$64,2,0),"Nein"))</f>
        <v>2+3</v>
      </c>
      <c r="CD1333" s="52" t="n">
        <f aca="false">IF(BZ1333=0,0,IF(N(S1333)&gt;0,S1333,IFERROR(VLOOKUP(D1333,Parameter!$A$35:$C$64,3,0)+0,0)))</f>
        <v>0</v>
      </c>
      <c r="CE1333" s="48" t="n">
        <f aca="false">IF(AA1333&lt;&gt;"",AA1333,Z1333)</f>
        <v>3</v>
      </c>
      <c r="CF1333" s="48" t="str">
        <f aca="false">IF(OR(CE1333=1,CE1333=2,CE1333=3),IF(Parameter!$E$27="Ja","LIFT",IF(CE1333=1,"L1","L23")),IF(CE1333="Aussen","Aussen","-"))</f>
        <v>LIFT</v>
      </c>
      <c r="CG1333" s="59" t="n">
        <f aca="false">IF(N(AB1333)&gt;0,AB1333,0)</f>
        <v>0</v>
      </c>
      <c r="CH1333" s="53" t="n">
        <f aca="false">IF(ISNUMBER(AE1333),1,0)</f>
        <v>0</v>
      </c>
      <c r="CI1333" s="50" t="n">
        <f aca="false">N(AE1333)</f>
        <v>0</v>
      </c>
      <c r="CJ1333" s="50" t="n">
        <f aca="false">N(M1333)+N(N1333)</f>
        <v>447</v>
      </c>
      <c r="CK1333" s="50" t="n">
        <f aca="false">N(M1333)</f>
        <v>32</v>
      </c>
      <c r="CL1333" s="50" t="n">
        <f aca="false">N(N1333)</f>
        <v>415</v>
      </c>
      <c r="CM1333" s="50" t="n">
        <f aca="false">ROUNDUP(H1333/BY1333,0)</f>
        <v>3</v>
      </c>
      <c r="CN1333" s="50" t="n">
        <f aca="false">ROUNDUP(CI1333/BY1333,0)</f>
        <v>0</v>
      </c>
      <c r="CO1333" s="53" t="n">
        <f aca="false">IF(BZ1333=1,0,IFERROR(VLOOKUP(BX1333,'Gebinde-Kategorie'!$A$5:$N$45,5,0)+0,0))</f>
        <v>8</v>
      </c>
      <c r="CP1333" s="53" t="n">
        <f aca="false">IFERROR(IF(OR(CE1333=1,CE1333=2,CE1333=3),N(INDEX(Parameter!$I$5:$I$7,CE1333)),0),0)</f>
        <v>0</v>
      </c>
      <c r="CQ1333" s="52" t="n">
        <f aca="false">IF(AND(Parameter!$B$21="Ja",ISNUMBER(W1333),N(X1333)&gt;0),IFERROR(N(INDEX(Parameter!$L$5:$L$7,W1333))*INDEX(Parameter!$E$5:$E$7,W1333)*X1333/SUMIFS($X$7:$X$1843,$W$7:$W$1843,W1333),0),0)</f>
        <v>0</v>
      </c>
    </row>
    <row r="1334" customFormat="false" ht="15" hidden="false" customHeight="false" outlineLevel="0" collapsed="false">
      <c r="A1334" s="48" t="s">
        <v>2374</v>
      </c>
      <c r="B1334" s="48" t="s">
        <v>416</v>
      </c>
      <c r="C1334" s="48" t="s">
        <v>173</v>
      </c>
      <c r="D1334" s="48" t="s">
        <v>193</v>
      </c>
      <c r="E1334" s="48" t="s">
        <v>194</v>
      </c>
      <c r="F1334" s="48" t="s">
        <v>227</v>
      </c>
      <c r="G1334" s="49" t="n">
        <v>0.73</v>
      </c>
      <c r="H1334" s="50" t="n">
        <f aca="false">MAX(0,IF(AND(Parameter!$B$21="Ja",ISNUMBER(Y1334)),Y1334,IF(Parameter!$B$20="Jahresanfang 2025 + Export",BR1334+BQ1334,BQ1334)))</f>
        <v>4470</v>
      </c>
      <c r="I1334" s="50" t="n">
        <f aca="false">H1334*G1334</f>
        <v>3263.1</v>
      </c>
      <c r="J1334" s="50" t="n">
        <f aca="false">BT1334*Parameter!$B$18</f>
        <v>7948</v>
      </c>
      <c r="K1334" s="51" t="n">
        <v>5515</v>
      </c>
      <c r="L1334" s="52" t="n">
        <v>1.44116047144152</v>
      </c>
      <c r="M1334" s="50" t="n">
        <v>1786</v>
      </c>
      <c r="N1334" s="50" t="n">
        <v>2000</v>
      </c>
      <c r="O1334" s="53" t="n">
        <v>80</v>
      </c>
      <c r="P1334" s="48" t="s">
        <v>302</v>
      </c>
      <c r="Q1334" s="50" t="n">
        <v>9495</v>
      </c>
      <c r="R1334" s="53" t="n">
        <f aca="false">IF(BZ1334=1,0,IFERROR(VLOOKUP(BX1334,'Gebinde-Kategorie'!$A$5:$N$45,13,0)+0,0))</f>
        <v>12</v>
      </c>
      <c r="S1334" s="54"/>
      <c r="T1334" s="55"/>
      <c r="U1334" s="55"/>
      <c r="V1334" s="55"/>
      <c r="W1334" s="48"/>
      <c r="X1334" s="50"/>
      <c r="Y1334" s="50"/>
      <c r="Z1334" s="48" t="n">
        <f aca="false">IF(A1334="","",IF(AND(Parameter!$B$21="Ja",ISNUMBER(W1334)),W1334,IF(CC1334="2+3",IF(ISNUMBER(SEARCH("grosser Artikel",BU1334)),2,IFERROR(VLOOKUP(BX1334,Parameter!$F$35:$G$64,2,0),2)),IF(OR(CC1334="Nein",CC1334=""),"-",CC1334))))</f>
        <v>2</v>
      </c>
      <c r="AA1334" s="55"/>
      <c r="AB1334" s="56"/>
      <c r="AC1334" s="50" t="n">
        <f aca="false">AV1334</f>
        <v>3786</v>
      </c>
      <c r="AD1334" s="50" t="n">
        <f aca="false">MAX(AV1334,H1334)</f>
        <v>4470</v>
      </c>
      <c r="AE1334" s="57"/>
      <c r="AF1334" s="50" t="n">
        <f aca="false">IF(LEFT(Cockpit!$C$5,1)="A",H1334,IF(Parameter!$E$30="MAX-Bestand",IF(CH1334=1,CI1334,IF(LEFT(Cockpit!$C$5,1)="B",AL1334,MAX(AL1334,H1334))),ROUNDUP(AJ1334,0)))</f>
        <v>4470</v>
      </c>
      <c r="AG1334" s="50" t="n">
        <f aca="false">IF(BZ1334=1,0,ROUNDUP(AF1334/BY1334,0))</f>
        <v>1</v>
      </c>
      <c r="AH1334" s="52" t="n">
        <f aca="false">IF(CQ1334&gt;0,CQ1334*MAX(1,AF1334/X1334),IF(BZ1334=1,IF(AF1334&lt;=0,0,CD1334*MAX(1,IF(H1334&gt;0,AF1334/H1334,1))),IF(R1334&gt;0,AG1334/R1334,0))/MAX(0.1,N(Parameter!$M$21)))</f>
        <v>0.0833333333333333</v>
      </c>
      <c r="AI1334" s="50" t="n">
        <f aca="false">AH1334*CB1334</f>
        <v>20.4166666666667</v>
      </c>
      <c r="AJ1334" s="51" t="n">
        <f aca="false">IF(LEFT(Cockpit!$C$5,1)="A",H1334,IF(CH1334=1,(CK1334+CI1334)/2,IF(LEFT(Cockpit!$C$5,1)="B",(CK1334+AL1334)/2,MAX((CK1334+AL1334)/2,H1334))))</f>
        <v>4470</v>
      </c>
      <c r="AK1334" s="50" t="n">
        <f aca="false">AJ1334*G1334</f>
        <v>3263.1</v>
      </c>
      <c r="AL1334" s="50" t="n">
        <f aca="false">ROUNDUP(CK1334+MAX(CL1334,2*(J1334/IF(CG1334&gt;0,CG1334,MAX(0.1,N(Cockpit!$C$6)))-CK1334)),0)</f>
        <v>3786</v>
      </c>
      <c r="AM1334" s="51" t="n">
        <f aca="false">IF(AI1334&gt;0,J1334/AI1334,-1)</f>
        <v>389.289795918367</v>
      </c>
      <c r="AN1334" s="51" t="n">
        <f aca="false">IF(AND(OR(CF1334="L1",CF1334="L23",CF1334="LIFT"),AI1334&gt;0),SUMIFS($AI$7:$AI$1843,$CF$7:$CF$1843,CF1334,$AM$7:$AM$1843,"&gt;"&amp;AM1334)+SUMIFS($AI$7:$AI$1843,$CF$7:$CF$1843,CF1334,$AM$7:$AM$1843,AM1334,$BW$7:$BW$1843,"&lt;="&amp;BW1334),"")</f>
        <v>199.987637362637</v>
      </c>
      <c r="AO1334" s="58" t="n">
        <f aca="false">IF(AN1334="",0,MAX(0,MIN(1,(IF(CF1334="L1",Parameter!$H$5,IF(CF1334="L23",Parameter!$H$6+Parameter!$H$7,Parameter!$H$5+Parameter!$H$6+Parameter!$H$7))-(AN1334-AI1334))/AI1334)))</f>
        <v>1</v>
      </c>
      <c r="AP1334" s="50" t="n">
        <f aca="false">IF(LEFT(Cockpit!$I$5,1)="A",H1334,IF(Parameter!$E$30="MAX-Bestand",IF(CH1334=1,CI1334,IF(LEFT(Cockpit!$I$5,1)="B",AV1334,MAX(AV1334,H1334))),ROUNDUP(AT1334,0)))</f>
        <v>4470</v>
      </c>
      <c r="AQ1334" s="50" t="n">
        <f aca="false">IF(BZ1334=1,0,ROUNDUP(AP1334/BY1334,0))</f>
        <v>1</v>
      </c>
      <c r="AR1334" s="52" t="n">
        <f aca="false">IF(CQ1334&gt;0,CQ1334*MAX(1,AP1334/X1334),IF(BZ1334=1,IF(AP1334&lt;=0,0,CD1334*MAX(1,IF(H1334&gt;0,AP1334/H1334,1))),IF(R1334&gt;0,AQ1334/R1334,0))/MAX(0.1,N(Parameter!$M$21)))</f>
        <v>0.0833333333333333</v>
      </c>
      <c r="AS1334" s="50" t="n">
        <f aca="false">AR1334*CB1334</f>
        <v>20.4166666666667</v>
      </c>
      <c r="AT1334" s="51" t="n">
        <f aca="false">IF(LEFT(Cockpit!$I$5,1)="A",H1334,IF(CH1334=1,(CK1334+CI1334)/2,IF(LEFT(Cockpit!$I$5,1)="B",(CK1334+AV1334)/2,MAX((CK1334+AV1334)/2,H1334))))</f>
        <v>4470</v>
      </c>
      <c r="AU1334" s="50" t="n">
        <f aca="false">AT1334*G1334</f>
        <v>3263.1</v>
      </c>
      <c r="AV1334" s="50" t="n">
        <f aca="false">ROUNDUP(CK1334+MAX(CL1334,2*(J1334/IF(CG1334&gt;0,CG1334,MAX(0.1,N(Cockpit!$I$6)))-CK1334)),0)</f>
        <v>3786</v>
      </c>
      <c r="AW1334" s="51" t="n">
        <f aca="false">IF(AS1334&gt;0,J1334/AS1334,-1)</f>
        <v>389.289795918367</v>
      </c>
      <c r="AX1334" s="51" t="n">
        <f aca="false">IF(AND(OR(CF1334="L1",CF1334="L23",CF1334="LIFT"),AS1334&gt;0),SUMIFS($AS$7:$AS$1843,$CF$7:$CF$1843,CF1334,$AW$7:$AW$1843,"&gt;"&amp;AW1334)+SUMIFS($AS$7:$AS$1843,$CF$7:$CF$1843,CF1334,$AW$7:$AW$1843,AW1334,$BW$7:$BW$1843,"&lt;="&amp;BW1334),"")</f>
        <v>134.203754578755</v>
      </c>
      <c r="AY1334" s="58" t="n">
        <f aca="false">IF(AX1334="",0,MAX(0,MIN(1,(IF(CF1334="L1",Parameter!$H$5,IF(CF1334="L23",Parameter!$H$6+Parameter!$H$7,Parameter!$H$5+Parameter!$H$6+Parameter!$H$7))-(AX1334-AS1334))/AS1334)))</f>
        <v>1</v>
      </c>
      <c r="AZ1334" s="50" t="n">
        <f aca="false">IF(LEFT(Cockpit!$O$5,1)="A",H1334,IF(Parameter!$E$30="MAX-Bestand",IF(CH1334=1,CI1334,IF(LEFT(Cockpit!$O$5,1)="B",BF1334,MAX(BF1334,H1334))),ROUNDUP(BD1334,0)))</f>
        <v>2786</v>
      </c>
      <c r="BA1334" s="50" t="n">
        <f aca="false">IF(BZ1334=1,0,ROUNDUP(AZ1334/BY1334,0))</f>
        <v>1</v>
      </c>
      <c r="BB1334" s="52" t="n">
        <f aca="false">IF(CQ1334&gt;0,CQ1334*MAX(1,AZ1334/X1334),IF(BZ1334=1,IF(AZ1334&lt;=0,0,CD1334*MAX(1,IF(H1334&gt;0,AZ1334/H1334,1))),IF(R1334&gt;0,BA1334/R1334,0))/MAX(0.1,N(Parameter!$M$21)))</f>
        <v>0.0833333333333333</v>
      </c>
      <c r="BC1334" s="50" t="n">
        <f aca="false">BB1334*CB1334</f>
        <v>20.4166666666667</v>
      </c>
      <c r="BD1334" s="51" t="n">
        <f aca="false">IF(LEFT(Cockpit!$O$5,1)="A",H1334,IF(CH1334=1,(CK1334+CI1334)/2,IF(LEFT(Cockpit!$O$5,1)="B",(CK1334+BF1334)/2,MAX((CK1334+BF1334)/2,H1334))))</f>
        <v>2786</v>
      </c>
      <c r="BE1334" s="50" t="n">
        <f aca="false">BD1334*G1334</f>
        <v>2033.78</v>
      </c>
      <c r="BF1334" s="50" t="n">
        <f aca="false">ROUNDUP(CK1334+MAX(CL1334,2*(J1334/IF(CG1334&gt;0,CG1334,MAX(0.1,N(Cockpit!$O$6)))-CK1334)),0)</f>
        <v>3786</v>
      </c>
      <c r="BG1334" s="51" t="n">
        <f aca="false">IF(BC1334&gt;0,J1334/BC1334,-1)</f>
        <v>389.289795918367</v>
      </c>
      <c r="BH1334" s="51" t="n">
        <f aca="false">IF(AND(OR(CF1334="L1",CF1334="L23",CF1334="LIFT"),BC1334&gt;0),SUMIFS($BC$7:$BC$1843,$CF$7:$CF$1843,CF1334,$BG$7:$BG$1843,"&gt;"&amp;BG1334)+SUMIFS($BC$7:$BC$1843,$CF$7:$CF$1843,CF1334,$BG$7:$BG$1843,BG1334,$BW$7:$BW$1843,"&lt;="&amp;BW1334),"")</f>
        <v>203.435897435897</v>
      </c>
      <c r="BI1334" s="58" t="n">
        <f aca="false">IF(BH1334="",0,MAX(0,MIN(1,(IF(CF1334="L1",Parameter!$H$5,IF(CF1334="L23",Parameter!$H$6+Parameter!$H$7,Parameter!$H$5+Parameter!$H$6+Parameter!$H$7))-(BH1334-BC1334))/BC1334)))</f>
        <v>1</v>
      </c>
      <c r="BJ1334" s="48" t="str">
        <f aca="false">IF(AI1334&lt;=0,"",IF(CF1334="Aussen","Aussenlager",IF(CF1334="-","Nicht im Lift",IF(AO1334&gt;=1,"Lift",IF(AO1334&lt;=0,"Aussenlager","teilweise")))))</f>
        <v>Lift</v>
      </c>
      <c r="BK1334" s="48" t="str">
        <f aca="false">IF(AS1334&lt;=0,"",IF(CF1334="Aussen","Aussenlager",IF(CF1334="-","Nicht im Lift",IF(AY1334&gt;=1,"Lift",IF(AY1334&lt;=0,"Aussenlager","teilweise")))))</f>
        <v>Lift</v>
      </c>
      <c r="BL1334" s="48" t="str">
        <f aca="false">IF(BC1334&lt;=0,"",IF(CF1334="Aussen","Aussenlager",IF(CF1334="-","Nicht im Lift",IF(BI1334&gt;=1,"Lift",IF(BI1334&lt;=0,"Aussenlager","teilweise")))))</f>
        <v>Lift</v>
      </c>
      <c r="BM1334" s="48" t="str">
        <f aca="false">IF(A1334="","",IF(BV1334=1,"Neu; ","")&amp;IF(AND(BV1334=0,BQ1334&lt;0),"negativer Bestand (Export "&amp;BQ1334&amp;"); ","")&amp;IF(J1334&lt;=0,"Kein Verbrauch; ","")&amp;IF(CQ1334&gt;0,"Lift "&amp;W1334&amp;" lt. Liftbericht (Fach "&amp;X1334&amp;" Stk); ",IF(CA1334=1,"Gebinde geschätzt ("&amp;T1334&amp;"); ",IF(BZ1334=1,"Lose – Tablare geschätzt; ","")))&amp;IF(H1334&gt;AV1334,"Überbestand "&amp;ROUND(H1334-AV1334,0)&amp;" Stk / CHF "&amp;ROUND((H1334-AV1334)*G1334,0)&amp;"; ","")&amp;IF(AND(CH1334=1,CI1334&lt;CJ1334),"MAX &lt; MB+LG; ","")&amp;IF(AND(CP1334&gt;0,CO1334*10&gt;CP1334),"zu hoch für Tablar; ","")&amp;IF(AND(BV1334=0,OR(CH1334=1,AA1334&lt;&gt;"",U1334&lt;&gt;"",V1334&lt;&gt;"",AB1334&lt;&gt;"")),"manuell übersteuert; ","")&amp;IF(AND(BZ1334=0,R1334=0),"Gebinde unbekannt / Stellmass fehlt; ","")&amp;IF(AND(BZ1334=0,N(V1334)&lt;=0,N(Q1334)&lt;=0),"Menge pro Gebinde fehlt (Ist = 1 Gebinde); ","")&amp;BU1334)</f>
        <v>negativer Bestand (Export -3141); Überbestand 684 Stk / CHF 499; </v>
      </c>
      <c r="BN1334" s="48"/>
      <c r="BO1334" s="48"/>
      <c r="BP1334" s="55"/>
      <c r="BQ1334" s="50" t="n">
        <v>-3141</v>
      </c>
      <c r="BR1334" s="50" t="n">
        <v>7611</v>
      </c>
      <c r="BS1334" s="49" t="n">
        <v>-1613.34</v>
      </c>
      <c r="BT1334" s="50" t="n">
        <v>7948</v>
      </c>
      <c r="BU1334" s="48"/>
      <c r="BV1334" s="53" t="n">
        <v>0</v>
      </c>
      <c r="BW1334" s="53" t="n">
        <v>1334</v>
      </c>
      <c r="BX1334" s="48" t="str">
        <f aca="false">IF(U1334&lt;&gt;"",UPPER(TRIM(U1334)),IF(CA1334=1,UPPER(VLOOKUP(T1334,Parameter!$I$27:$K$29,2,0)),IF(P1334="","LOSE",P1334)))</f>
        <v>S62</v>
      </c>
      <c r="BY1334" s="50" t="n">
        <f aca="false">IF(BX1334="LOSE",1,IF(N(V1334)&gt;0,V1334,IF(CA1334=1,MAX(1,N(VLOOKUP(T1334,Parameter!$I$27:$K$29,3,0)),H1334,N(N1334)),IF(N(Q1334)&gt;0,Q1334,MAX(1,H1334)))))</f>
        <v>9495</v>
      </c>
      <c r="BZ1334" s="53" t="n">
        <f aca="false">IF(BX1334="LOSE",1,0)</f>
        <v>0</v>
      </c>
      <c r="CA1334" s="53" t="n">
        <f aca="false">IF(AND(U1334="",OR(P1334="",P1334="LOSE"),T1334&lt;&gt;"",N(S1334)&lt;=0,ISNUMBER(MATCH(T1334,Parameter!$I$27:$I$29,0))),1,0)</f>
        <v>0</v>
      </c>
      <c r="CB1334" s="53" t="n">
        <f aca="false">IF(CQ1334&gt;0,INDEX(Parameter!$H$5:$H$7,W1334)/INDEX(Parameter!$E$5:$E$7,W1334),IF(AND(BZ1334=0,N(IFERROR(VLOOKUP(BX1334,'Gebinde-Kategorie'!$A$5:$N$45,14,0),0))&gt;0),VLOOKUP(BX1334,'Gebinde-Kategorie'!$A$5:$N$45,14,0)*10+Parameter!$M$23,Parameter!$M$24))</f>
        <v>245</v>
      </c>
      <c r="CC1334" s="48" t="str">
        <f aca="false">IF(AND(Parameter!$B$19="Ja",E1334&lt;&gt;"",ISNUMBER(MATCH(E1334,Parameter!$I$35:$I$52,0))),VLOOKUP(E1334,Parameter!$I$35:$J$52,2,0),IFERROR(VLOOKUP(D1334,Parameter!$A$35:$C$64,2,0),"Nein"))</f>
        <v>2+3</v>
      </c>
      <c r="CD1334" s="52" t="n">
        <f aca="false">IF(BZ1334=0,0,IF(N(S1334)&gt;0,S1334,IFERROR(VLOOKUP(D1334,Parameter!$A$35:$C$64,3,0)+0,0)))</f>
        <v>0</v>
      </c>
      <c r="CE1334" s="48" t="n">
        <f aca="false">IF(AA1334&lt;&gt;"",AA1334,Z1334)</f>
        <v>2</v>
      </c>
      <c r="CF1334" s="48" t="str">
        <f aca="false">IF(OR(CE1334=1,CE1334=2,CE1334=3),IF(Parameter!$E$27="Ja","LIFT",IF(CE1334=1,"L1","L23")),IF(CE1334="Aussen","Aussen","-"))</f>
        <v>LIFT</v>
      </c>
      <c r="CG1334" s="59" t="n">
        <f aca="false">IF(N(AB1334)&gt;0,AB1334,0)</f>
        <v>0</v>
      </c>
      <c r="CH1334" s="53" t="n">
        <f aca="false">IF(ISNUMBER(AE1334),1,0)</f>
        <v>0</v>
      </c>
      <c r="CI1334" s="50" t="n">
        <f aca="false">N(AE1334)</f>
        <v>0</v>
      </c>
      <c r="CJ1334" s="50" t="n">
        <f aca="false">N(M1334)+N(N1334)</f>
        <v>3786</v>
      </c>
      <c r="CK1334" s="50" t="n">
        <f aca="false">N(M1334)</f>
        <v>1786</v>
      </c>
      <c r="CL1334" s="50" t="n">
        <f aca="false">N(N1334)</f>
        <v>2000</v>
      </c>
      <c r="CM1334" s="50" t="n">
        <f aca="false">ROUNDUP(H1334/BY1334,0)</f>
        <v>1</v>
      </c>
      <c r="CN1334" s="50" t="n">
        <f aca="false">ROUNDUP(CI1334/BY1334,0)</f>
        <v>0</v>
      </c>
      <c r="CO1334" s="53" t="n">
        <f aca="false">IF(BZ1334=1,0,IFERROR(VLOOKUP(BX1334,'Gebinde-Kategorie'!$A$5:$N$45,5,0)+0,0))</f>
        <v>21</v>
      </c>
      <c r="CP1334" s="53" t="n">
        <f aca="false">IFERROR(IF(OR(CE1334=1,CE1334=2,CE1334=3),N(INDEX(Parameter!$I$5:$I$7,CE1334)),0),0)</f>
        <v>0</v>
      </c>
      <c r="CQ1334" s="52" t="n">
        <f aca="false">IF(AND(Parameter!$B$21="Ja",ISNUMBER(W1334),N(X1334)&gt;0),IFERROR(N(INDEX(Parameter!$L$5:$L$7,W1334))*INDEX(Parameter!$E$5:$E$7,W1334)*X1334/SUMIFS($X$7:$X$1843,$W$7:$W$1843,W1334),0),0)</f>
        <v>0</v>
      </c>
    </row>
    <row r="1335" customFormat="false" ht="15" hidden="false" customHeight="false" outlineLevel="0" collapsed="false">
      <c r="A1335" s="48" t="s">
        <v>2375</v>
      </c>
      <c r="B1335" s="48" t="s">
        <v>575</v>
      </c>
      <c r="C1335" s="48" t="s">
        <v>173</v>
      </c>
      <c r="D1335" s="48" t="s">
        <v>193</v>
      </c>
      <c r="E1335" s="48" t="s">
        <v>194</v>
      </c>
      <c r="F1335" s="48" t="s">
        <v>227</v>
      </c>
      <c r="G1335" s="49" t="n">
        <v>46.69</v>
      </c>
      <c r="H1335" s="50" t="n">
        <f aca="false">MAX(0,IF(AND(Parameter!$B$21="Ja",ISNUMBER(Y1335)),Y1335,IF(Parameter!$B$20="Jahresanfang 2025 + Export",BR1335+BQ1335,BQ1335)))</f>
        <v>59</v>
      </c>
      <c r="I1335" s="50" t="n">
        <f aca="false">H1335*G1335</f>
        <v>2754.71</v>
      </c>
      <c r="J1335" s="50" t="n">
        <f aca="false">BT1335*Parameter!$B$18</f>
        <v>27</v>
      </c>
      <c r="K1335" s="51" t="n">
        <v>80.5</v>
      </c>
      <c r="L1335" s="52" t="n">
        <v>0.335403726708075</v>
      </c>
      <c r="M1335" s="50" t="n">
        <v>1</v>
      </c>
      <c r="N1335" s="50" t="n">
        <v>25</v>
      </c>
      <c r="O1335" s="53" t="n">
        <v>14</v>
      </c>
      <c r="P1335" s="48" t="s">
        <v>235</v>
      </c>
      <c r="Q1335" s="50" t="n">
        <v>58</v>
      </c>
      <c r="R1335" s="53" t="n">
        <f aca="false">IF(BZ1335=1,0,IFERROR(VLOOKUP(BX1335,'Gebinde-Kategorie'!$A$5:$N$45,13,0)+0,0))</f>
        <v>12</v>
      </c>
      <c r="S1335" s="54"/>
      <c r="T1335" s="55"/>
      <c r="U1335" s="55"/>
      <c r="V1335" s="55"/>
      <c r="W1335" s="48"/>
      <c r="X1335" s="50"/>
      <c r="Y1335" s="50"/>
      <c r="Z1335" s="48" t="n">
        <f aca="false">IF(A1335="","",IF(AND(Parameter!$B$21="Ja",ISNUMBER(W1335)),W1335,IF(CC1335="2+3",IF(ISNUMBER(SEARCH("grosser Artikel",BU1335)),2,IFERROR(VLOOKUP(BX1335,Parameter!$F$35:$G$64,2,0),2)),IF(OR(CC1335="Nein",CC1335=""),"-",CC1335))))</f>
        <v>2</v>
      </c>
      <c r="AA1335" s="55"/>
      <c r="AB1335" s="56"/>
      <c r="AC1335" s="50" t="n">
        <f aca="false">AV1335</f>
        <v>26</v>
      </c>
      <c r="AD1335" s="50" t="n">
        <f aca="false">MAX(AV1335,H1335)</f>
        <v>59</v>
      </c>
      <c r="AE1335" s="57"/>
      <c r="AF1335" s="50" t="n">
        <f aca="false">IF(LEFT(Cockpit!$C$5,1)="A",H1335,IF(Parameter!$E$30="MAX-Bestand",IF(CH1335=1,CI1335,IF(LEFT(Cockpit!$C$5,1)="B",AL1335,MAX(AL1335,H1335))),ROUNDUP(AJ1335,0)))</f>
        <v>59</v>
      </c>
      <c r="AG1335" s="50" t="n">
        <f aca="false">IF(BZ1335=1,0,ROUNDUP(AF1335/BY1335,0))</f>
        <v>2</v>
      </c>
      <c r="AH1335" s="52" t="n">
        <f aca="false">IF(CQ1335&gt;0,CQ1335*MAX(1,AF1335/X1335),IF(BZ1335=1,IF(AF1335&lt;=0,0,CD1335*MAX(1,IF(H1335&gt;0,AF1335/H1335,1))),IF(R1335&gt;0,AG1335/R1335,0))/MAX(0.1,N(Parameter!$M$21)))</f>
        <v>0.166666666666667</v>
      </c>
      <c r="AI1335" s="50" t="n">
        <f aca="false">AH1335*CB1335</f>
        <v>57.5</v>
      </c>
      <c r="AJ1335" s="51" t="n">
        <f aca="false">IF(LEFT(Cockpit!$C$5,1)="A",H1335,IF(CH1335=1,(CK1335+CI1335)/2,IF(LEFT(Cockpit!$C$5,1)="B",(CK1335+AL1335)/2,MAX((CK1335+AL1335)/2,H1335))))</f>
        <v>59</v>
      </c>
      <c r="AK1335" s="50" t="n">
        <f aca="false">AJ1335*G1335</f>
        <v>2754.71</v>
      </c>
      <c r="AL1335" s="50" t="n">
        <f aca="false">ROUNDUP(CK1335+MAX(CL1335,2*(J1335/IF(CG1335&gt;0,CG1335,MAX(0.1,N(Cockpit!$C$6)))-CK1335)),0)</f>
        <v>26</v>
      </c>
      <c r="AM1335" s="51" t="n">
        <f aca="false">IF(AI1335&gt;0,J1335/AI1335,-1)</f>
        <v>0.469565217391304</v>
      </c>
      <c r="AN1335" s="51" t="n">
        <f aca="false">IF(AND(OR(CF1335="L1",CF1335="L23",CF1335="LIFT"),AI1335&gt;0),SUMIFS($AI$7:$AI$1843,$CF$7:$CF$1843,CF1335,$AM$7:$AM$1843,"&gt;"&amp;AM1335)+SUMIFS($AI$7:$AI$1843,$CF$7:$CF$1843,CF1335,$AM$7:$AM$1843,AM1335,$BW$7:$BW$1843,"&lt;="&amp;BW1335),"")</f>
        <v>9700.17716934666</v>
      </c>
      <c r="AO1335" s="58" t="n">
        <f aca="false">IF(AN1335="",0,MAX(0,MIN(1,(IF(CF1335="L1",Parameter!$H$5,IF(CF1335="L23",Parameter!$H$6+Parameter!$H$7,Parameter!$H$5+Parameter!$H$6+Parameter!$H$7))-(AN1335-AI1335))/AI1335)))</f>
        <v>1</v>
      </c>
      <c r="AP1335" s="50" t="n">
        <f aca="false">IF(LEFT(Cockpit!$I$5,1)="A",H1335,IF(Parameter!$E$30="MAX-Bestand",IF(CH1335=1,CI1335,IF(LEFT(Cockpit!$I$5,1)="B",AV1335,MAX(AV1335,H1335))),ROUNDUP(AT1335,0)))</f>
        <v>59</v>
      </c>
      <c r="AQ1335" s="50" t="n">
        <f aca="false">IF(BZ1335=1,0,ROUNDUP(AP1335/BY1335,0))</f>
        <v>2</v>
      </c>
      <c r="AR1335" s="52" t="n">
        <f aca="false">IF(CQ1335&gt;0,CQ1335*MAX(1,AP1335/X1335),IF(BZ1335=1,IF(AP1335&lt;=0,0,CD1335*MAX(1,IF(H1335&gt;0,AP1335/H1335,1))),IF(R1335&gt;0,AQ1335/R1335,0))/MAX(0.1,N(Parameter!$M$21)))</f>
        <v>0.166666666666667</v>
      </c>
      <c r="AS1335" s="50" t="n">
        <f aca="false">AR1335*CB1335</f>
        <v>57.5</v>
      </c>
      <c r="AT1335" s="51" t="n">
        <f aca="false">IF(LEFT(Cockpit!$I$5,1)="A",H1335,IF(CH1335=1,(CK1335+CI1335)/2,IF(LEFT(Cockpit!$I$5,1)="B",(CK1335+AV1335)/2,MAX((CK1335+AV1335)/2,H1335))))</f>
        <v>59</v>
      </c>
      <c r="AU1335" s="50" t="n">
        <f aca="false">AT1335*G1335</f>
        <v>2754.71</v>
      </c>
      <c r="AV1335" s="50" t="n">
        <f aca="false">ROUNDUP(CK1335+MAX(CL1335,2*(J1335/IF(CG1335&gt;0,CG1335,MAX(0.1,N(Cockpit!$I$6)))-CK1335)),0)</f>
        <v>26</v>
      </c>
      <c r="AW1335" s="51" t="n">
        <f aca="false">IF(AS1335&gt;0,J1335/AS1335,-1)</f>
        <v>0.469565217391304</v>
      </c>
      <c r="AX1335" s="51" t="n">
        <f aca="false">IF(AND(OR(CF1335="L1",CF1335="L23",CF1335="LIFT"),AS1335&gt;0),SUMIFS($AS$7:$AS$1843,$CF$7:$CF$1843,CF1335,$AW$7:$AW$1843,"&gt;"&amp;AW1335)+SUMIFS($AS$7:$AS$1843,$CF$7:$CF$1843,CF1335,$AW$7:$AW$1843,AW1335,$BW$7:$BW$1843,"&lt;="&amp;BW1335),"")</f>
        <v>12114.0137362637</v>
      </c>
      <c r="AY1335" s="58" t="n">
        <f aca="false">IF(AX1335="",0,MAX(0,MIN(1,(IF(CF1335="L1",Parameter!$H$5,IF(CF1335="L23",Parameter!$H$6+Parameter!$H$7,Parameter!$H$5+Parameter!$H$6+Parameter!$H$7))-(AX1335-AS1335))/AS1335)))</f>
        <v>1</v>
      </c>
      <c r="AZ1335" s="50" t="n">
        <f aca="false">IF(LEFT(Cockpit!$O$5,1)="A",H1335,IF(Parameter!$E$30="MAX-Bestand",IF(CH1335=1,CI1335,IF(LEFT(Cockpit!$O$5,1)="B",BF1335,MAX(BF1335,H1335))),ROUNDUP(BD1335,0)))</f>
        <v>14</v>
      </c>
      <c r="BA1335" s="50" t="n">
        <f aca="false">IF(BZ1335=1,0,ROUNDUP(AZ1335/BY1335,0))</f>
        <v>1</v>
      </c>
      <c r="BB1335" s="52" t="n">
        <f aca="false">IF(CQ1335&gt;0,CQ1335*MAX(1,AZ1335/X1335),IF(BZ1335=1,IF(AZ1335&lt;=0,0,CD1335*MAX(1,IF(H1335&gt;0,AZ1335/H1335,1))),IF(R1335&gt;0,BA1335/R1335,0))/MAX(0.1,N(Parameter!$M$21)))</f>
        <v>0.0833333333333333</v>
      </c>
      <c r="BC1335" s="50" t="n">
        <f aca="false">BB1335*CB1335</f>
        <v>28.75</v>
      </c>
      <c r="BD1335" s="51" t="n">
        <f aca="false">IF(LEFT(Cockpit!$O$5,1)="A",H1335,IF(CH1335=1,(CK1335+CI1335)/2,IF(LEFT(Cockpit!$O$5,1)="B",(CK1335+BF1335)/2,MAX((CK1335+BF1335)/2,H1335))))</f>
        <v>13.5</v>
      </c>
      <c r="BE1335" s="50" t="n">
        <f aca="false">BD1335*G1335</f>
        <v>630.315</v>
      </c>
      <c r="BF1335" s="50" t="n">
        <f aca="false">ROUNDUP(CK1335+MAX(CL1335,2*(J1335/IF(CG1335&gt;0,CG1335,MAX(0.1,N(Cockpit!$O$6)))-CK1335)),0)</f>
        <v>26</v>
      </c>
      <c r="BG1335" s="51" t="n">
        <f aca="false">IF(BC1335&gt;0,J1335/BC1335,-1)</f>
        <v>0.939130434782609</v>
      </c>
      <c r="BH1335" s="51" t="n">
        <f aca="false">IF(AND(OR(CF1335="L1",CF1335="L23",CF1335="LIFT"),BC1335&gt;0),SUMIFS($BC$7:$BC$1843,$CF$7:$CF$1843,CF1335,$BG$7:$BG$1843,"&gt;"&amp;BG1335)+SUMIFS($BC$7:$BC$1843,$CF$7:$CF$1843,CF1335,$BG$7:$BG$1843,BG1335,$BW$7:$BW$1843,"&lt;="&amp;BW1335),"")</f>
        <v>8107.99587912088</v>
      </c>
      <c r="BI1335" s="58" t="n">
        <f aca="false">IF(BH1335="",0,MAX(0,MIN(1,(IF(CF1335="L1",Parameter!$H$5,IF(CF1335="L23",Parameter!$H$6+Parameter!$H$7,Parameter!$H$5+Parameter!$H$6+Parameter!$H$7))-(BH1335-BC1335))/BC1335)))</f>
        <v>1</v>
      </c>
      <c r="BJ1335" s="48" t="str">
        <f aca="false">IF(AI1335&lt;=0,"",IF(CF1335="Aussen","Aussenlager",IF(CF1335="-","Nicht im Lift",IF(AO1335&gt;=1,"Lift",IF(AO1335&lt;=0,"Aussenlager","teilweise")))))</f>
        <v>Lift</v>
      </c>
      <c r="BK1335" s="48" t="str">
        <f aca="false">IF(AS1335&lt;=0,"",IF(CF1335="Aussen","Aussenlager",IF(CF1335="-","Nicht im Lift",IF(AY1335&gt;=1,"Lift",IF(AY1335&lt;=0,"Aussenlager","teilweise")))))</f>
        <v>Lift</v>
      </c>
      <c r="BL1335" s="48" t="str">
        <f aca="false">IF(BC1335&lt;=0,"",IF(CF1335="Aussen","Aussenlager",IF(CF1335="-","Nicht im Lift",IF(BI1335&gt;=1,"Lift",IF(BI1335&lt;=0,"Aussenlager","teilweise")))))</f>
        <v>Lift</v>
      </c>
      <c r="BM1335" s="48" t="str">
        <f aca="false">IF(A1335="","",IF(BV1335=1,"Neu; ","")&amp;IF(AND(BV1335=0,BQ1335&lt;0),"negativer Bestand (Export "&amp;BQ1335&amp;"); ","")&amp;IF(J1335&lt;=0,"Kein Verbrauch; ","")&amp;IF(CQ1335&gt;0,"Lift "&amp;W1335&amp;" lt. Liftbericht (Fach "&amp;X1335&amp;" Stk); ",IF(CA1335=1,"Gebinde geschätzt ("&amp;T1335&amp;"); ",IF(BZ1335=1,"Lose – Tablare geschätzt; ","")))&amp;IF(H1335&gt;AV1335,"Überbestand "&amp;ROUND(H1335-AV1335,0)&amp;" Stk / CHF "&amp;ROUND((H1335-AV1335)*G1335,0)&amp;"; ","")&amp;IF(AND(CH1335=1,CI1335&lt;CJ1335),"MAX &lt; MB+LG; ","")&amp;IF(AND(CP1335&gt;0,CO1335*10&gt;CP1335),"zu hoch für Tablar; ","")&amp;IF(AND(BV1335=0,OR(CH1335=1,AA1335&lt;&gt;"",U1335&lt;&gt;"",V1335&lt;&gt;"",AB1335&lt;&gt;"")),"manuell übersteuert; ","")&amp;IF(AND(BZ1335=0,R1335=0),"Gebinde unbekannt / Stellmass fehlt; ","")&amp;IF(AND(BZ1335=0,N(V1335)&lt;=0,N(Q1335)&lt;=0),"Menge pro Gebinde fehlt (Ist = 1 Gebinde); ","")&amp;BU1335)</f>
        <v>negativer Bestand (Export -35); Überbestand 33 Stk / CHF 1541; </v>
      </c>
      <c r="BN1335" s="48"/>
      <c r="BO1335" s="48"/>
      <c r="BP1335" s="55"/>
      <c r="BQ1335" s="50" t="n">
        <v>-35</v>
      </c>
      <c r="BR1335" s="50" t="n">
        <v>94</v>
      </c>
      <c r="BS1335" s="49" t="n">
        <v>-1634.15</v>
      </c>
      <c r="BT1335" s="50" t="n">
        <v>27</v>
      </c>
      <c r="BU1335" s="48"/>
      <c r="BV1335" s="53" t="n">
        <v>0</v>
      </c>
      <c r="BW1335" s="53" t="n">
        <v>1335</v>
      </c>
      <c r="BX1335" s="48" t="str">
        <f aca="false">IF(U1335&lt;&gt;"",UPPER(TRIM(U1335)),IF(CA1335=1,UPPER(VLOOKUP(T1335,Parameter!$I$27:$K$29,2,0)),IF(P1335="","LOSE",P1335)))</f>
        <v>S63</v>
      </c>
      <c r="BY1335" s="50" t="n">
        <f aca="false">IF(BX1335="LOSE",1,IF(N(V1335)&gt;0,V1335,IF(CA1335=1,MAX(1,N(VLOOKUP(T1335,Parameter!$I$27:$K$29,3,0)),H1335,N(N1335)),IF(N(Q1335)&gt;0,Q1335,MAX(1,H1335)))))</f>
        <v>58</v>
      </c>
      <c r="BZ1335" s="53" t="n">
        <f aca="false">IF(BX1335="LOSE",1,0)</f>
        <v>0</v>
      </c>
      <c r="CA1335" s="53" t="n">
        <f aca="false">IF(AND(U1335="",OR(P1335="",P1335="LOSE"),T1335&lt;&gt;"",N(S1335)&lt;=0,ISNUMBER(MATCH(T1335,Parameter!$I$27:$I$29,0))),1,0)</f>
        <v>0</v>
      </c>
      <c r="CB1335" s="53" t="n">
        <f aca="false">IF(CQ1335&gt;0,INDEX(Parameter!$H$5:$H$7,W1335)/INDEX(Parameter!$E$5:$E$7,W1335),IF(AND(BZ1335=0,N(IFERROR(VLOOKUP(BX1335,'Gebinde-Kategorie'!$A$5:$N$45,14,0),0))&gt;0),VLOOKUP(BX1335,'Gebinde-Kategorie'!$A$5:$N$45,14,0)*10+Parameter!$M$23,Parameter!$M$24))</f>
        <v>345</v>
      </c>
      <c r="CC1335" s="48" t="str">
        <f aca="false">IF(AND(Parameter!$B$19="Ja",E1335&lt;&gt;"",ISNUMBER(MATCH(E1335,Parameter!$I$35:$I$52,0))),VLOOKUP(E1335,Parameter!$I$35:$J$52,2,0),IFERROR(VLOOKUP(D1335,Parameter!$A$35:$C$64,2,0),"Nein"))</f>
        <v>2+3</v>
      </c>
      <c r="CD1335" s="52" t="n">
        <f aca="false">IF(BZ1335=0,0,IF(N(S1335)&gt;0,S1335,IFERROR(VLOOKUP(D1335,Parameter!$A$35:$C$64,3,0)+0,0)))</f>
        <v>0</v>
      </c>
      <c r="CE1335" s="48" t="n">
        <f aca="false">IF(AA1335&lt;&gt;"",AA1335,Z1335)</f>
        <v>2</v>
      </c>
      <c r="CF1335" s="48" t="str">
        <f aca="false">IF(OR(CE1335=1,CE1335=2,CE1335=3),IF(Parameter!$E$27="Ja","LIFT",IF(CE1335=1,"L1","L23")),IF(CE1335="Aussen","Aussen","-"))</f>
        <v>LIFT</v>
      </c>
      <c r="CG1335" s="59" t="n">
        <f aca="false">IF(N(AB1335)&gt;0,AB1335,0)</f>
        <v>0</v>
      </c>
      <c r="CH1335" s="53" t="n">
        <f aca="false">IF(ISNUMBER(AE1335),1,0)</f>
        <v>0</v>
      </c>
      <c r="CI1335" s="50" t="n">
        <f aca="false">N(AE1335)</f>
        <v>0</v>
      </c>
      <c r="CJ1335" s="50" t="n">
        <f aca="false">N(M1335)+N(N1335)</f>
        <v>26</v>
      </c>
      <c r="CK1335" s="50" t="n">
        <f aca="false">N(M1335)</f>
        <v>1</v>
      </c>
      <c r="CL1335" s="50" t="n">
        <f aca="false">N(N1335)</f>
        <v>25</v>
      </c>
      <c r="CM1335" s="50" t="n">
        <f aca="false">ROUNDUP(H1335/BY1335,0)</f>
        <v>2</v>
      </c>
      <c r="CN1335" s="50" t="n">
        <f aca="false">ROUNDUP(CI1335/BY1335,0)</f>
        <v>0</v>
      </c>
      <c r="CO1335" s="53" t="n">
        <f aca="false">IF(BZ1335=1,0,IFERROR(VLOOKUP(BX1335,'Gebinde-Kategorie'!$A$5:$N$45,5,0)+0,0))</f>
        <v>31</v>
      </c>
      <c r="CP1335" s="53" t="n">
        <f aca="false">IFERROR(IF(OR(CE1335=1,CE1335=2,CE1335=3),N(INDEX(Parameter!$I$5:$I$7,CE1335)),0),0)</f>
        <v>0</v>
      </c>
      <c r="CQ1335" s="52" t="n">
        <f aca="false">IF(AND(Parameter!$B$21="Ja",ISNUMBER(W1335),N(X1335)&gt;0),IFERROR(N(INDEX(Parameter!$L$5:$L$7,W1335))*INDEX(Parameter!$E$5:$E$7,W1335)*X1335/SUMIFS($X$7:$X$1843,$W$7:$W$1843,W1335),0),0)</f>
        <v>0</v>
      </c>
    </row>
    <row r="1336" customFormat="false" ht="15" hidden="false" customHeight="false" outlineLevel="0" collapsed="false">
      <c r="A1336" s="48" t="s">
        <v>2376</v>
      </c>
      <c r="B1336" s="48" t="s">
        <v>489</v>
      </c>
      <c r="C1336" s="48" t="s">
        <v>465</v>
      </c>
      <c r="D1336" s="48" t="s">
        <v>182</v>
      </c>
      <c r="E1336" s="48" t="s">
        <v>194</v>
      </c>
      <c r="F1336" s="48" t="s">
        <v>227</v>
      </c>
      <c r="G1336" s="49" t="n">
        <v>103.25</v>
      </c>
      <c r="H1336" s="50" t="n">
        <f aca="false">MAX(0,IF(AND(Parameter!$B$21="Ja",ISNUMBER(Y1336)),Y1336,IF(Parameter!$B$20="Jahresanfang 2025 + Export",BR1336+BQ1336,BQ1336)))</f>
        <v>0</v>
      </c>
      <c r="I1336" s="50" t="n">
        <f aca="false">H1336*G1336</f>
        <v>0</v>
      </c>
      <c r="J1336" s="50" t="n">
        <f aca="false">BT1336*Parameter!$B$18</f>
        <v>0</v>
      </c>
      <c r="K1336" s="51" t="n">
        <v>16</v>
      </c>
      <c r="L1336" s="52" t="n">
        <v>0</v>
      </c>
      <c r="M1336" s="50" t="n">
        <v>0</v>
      </c>
      <c r="N1336" s="50" t="n">
        <v>1</v>
      </c>
      <c r="O1336" s="53" t="n">
        <v>56</v>
      </c>
      <c r="P1336" s="48" t="s">
        <v>177</v>
      </c>
      <c r="Q1336" s="50"/>
      <c r="R1336" s="53" t="n">
        <f aca="false">IF(BZ1336=1,0,IFERROR(VLOOKUP(BX1336,'Gebinde-Kategorie'!$A$5:$N$45,13,0)+0,0))</f>
        <v>12</v>
      </c>
      <c r="S1336" s="54"/>
      <c r="T1336" s="55" t="s">
        <v>188</v>
      </c>
      <c r="U1336" s="55"/>
      <c r="V1336" s="55"/>
      <c r="W1336" s="48"/>
      <c r="X1336" s="50"/>
      <c r="Y1336" s="50"/>
      <c r="Z1336" s="48" t="n">
        <f aca="false">IF(A1336="","",IF(AND(Parameter!$B$21="Ja",ISNUMBER(W1336)),W1336,IF(CC1336="2+3",IF(ISNUMBER(SEARCH("grosser Artikel",BU1336)),2,IFERROR(VLOOKUP(BX1336,Parameter!$F$35:$G$64,2,0),2)),IF(OR(CC1336="Nein",CC1336=""),"-",CC1336))))</f>
        <v>2</v>
      </c>
      <c r="AA1336" s="55"/>
      <c r="AB1336" s="56"/>
      <c r="AC1336" s="50" t="n">
        <f aca="false">AV1336</f>
        <v>1</v>
      </c>
      <c r="AD1336" s="50" t="n">
        <f aca="false">MAX(AV1336,H1336)</f>
        <v>1</v>
      </c>
      <c r="AE1336" s="57"/>
      <c r="AF1336" s="50" t="n">
        <f aca="false">IF(LEFT(Cockpit!$C$5,1)="A",H1336,IF(Parameter!$E$30="MAX-Bestand",IF(CH1336=1,CI1336,IF(LEFT(Cockpit!$C$5,1)="B",AL1336,MAX(AL1336,H1336))),ROUNDUP(AJ1336,0)))</f>
        <v>0</v>
      </c>
      <c r="AG1336" s="50" t="n">
        <f aca="false">IF(BZ1336=1,0,ROUNDUP(AF1336/BY1336,0))</f>
        <v>0</v>
      </c>
      <c r="AH1336" s="52" t="n">
        <f aca="false">IF(CQ1336&gt;0,CQ1336*MAX(1,AF1336/X1336),IF(BZ1336=1,IF(AF1336&lt;=0,0,CD1336*MAX(1,IF(H1336&gt;0,AF1336/H1336,1))),IF(R1336&gt;0,AG1336/R1336,0))/MAX(0.1,N(Parameter!$M$21)))</f>
        <v>0</v>
      </c>
      <c r="AI1336" s="50" t="n">
        <f aca="false">AH1336*CB1336</f>
        <v>0</v>
      </c>
      <c r="AJ1336" s="51" t="n">
        <f aca="false">IF(LEFT(Cockpit!$C$5,1)="A",H1336,IF(CH1336=1,(CK1336+CI1336)/2,IF(LEFT(Cockpit!$C$5,1)="B",(CK1336+AL1336)/2,MAX((CK1336+AL1336)/2,H1336))))</f>
        <v>0</v>
      </c>
      <c r="AK1336" s="50" t="n">
        <f aca="false">AJ1336*G1336</f>
        <v>0</v>
      </c>
      <c r="AL1336" s="50" t="n">
        <f aca="false">ROUNDUP(CK1336+MAX(CL1336,2*(J1336/IF(CG1336&gt;0,CG1336,MAX(0.1,N(Cockpit!$C$6)))-CK1336)),0)</f>
        <v>1</v>
      </c>
      <c r="AM1336" s="51" t="n">
        <f aca="false">IF(AI1336&gt;0,J1336/AI1336,-1)</f>
        <v>-1</v>
      </c>
      <c r="AN1336" s="51" t="str">
        <f aca="false">IF(AND(OR(CF1336="L1",CF1336="L23",CF1336="LIFT"),AI1336&gt;0),SUMIFS($AI$7:$AI$1843,$CF$7:$CF$1843,CF1336,$AM$7:$AM$1843,"&gt;"&amp;AM1336)+SUMIFS($AI$7:$AI$1843,$CF$7:$CF$1843,CF1336,$AM$7:$AM$1843,AM1336,$BW$7:$BW$1843,"&lt;="&amp;BW1336),"")</f>
        <v/>
      </c>
      <c r="AO1336" s="58" t="n">
        <f aca="false">IF(AN1336="",0,MAX(0,MIN(1,(IF(CF1336="L1",Parameter!$H$5,IF(CF1336="L23",Parameter!$H$6+Parameter!$H$7,Parameter!$H$5+Parameter!$H$6+Parameter!$H$7))-(AN1336-AI1336))/AI1336)))</f>
        <v>0</v>
      </c>
      <c r="AP1336" s="50" t="n">
        <f aca="false">IF(LEFT(Cockpit!$I$5,1)="A",H1336,IF(Parameter!$E$30="MAX-Bestand",IF(CH1336=1,CI1336,IF(LEFT(Cockpit!$I$5,1)="B",AV1336,MAX(AV1336,H1336))),ROUNDUP(AT1336,0)))</f>
        <v>1</v>
      </c>
      <c r="AQ1336" s="50" t="n">
        <f aca="false">IF(BZ1336=1,0,ROUNDUP(AP1336/BY1336,0))</f>
        <v>1</v>
      </c>
      <c r="AR1336" s="52" t="n">
        <f aca="false">IF(CQ1336&gt;0,CQ1336*MAX(1,AP1336/X1336),IF(BZ1336=1,IF(AP1336&lt;=0,0,CD1336*MAX(1,IF(H1336&gt;0,AP1336/H1336,1))),IF(R1336&gt;0,AQ1336/R1336,0))/MAX(0.1,N(Parameter!$M$21)))</f>
        <v>0.0833333333333333</v>
      </c>
      <c r="AS1336" s="50" t="n">
        <f aca="false">AR1336*CB1336</f>
        <v>12.0833333333333</v>
      </c>
      <c r="AT1336" s="51" t="n">
        <f aca="false">IF(LEFT(Cockpit!$I$5,1)="A",H1336,IF(CH1336=1,(CK1336+CI1336)/2,IF(LEFT(Cockpit!$I$5,1)="B",(CK1336+AV1336)/2,MAX((CK1336+AV1336)/2,H1336))))</f>
        <v>0.5</v>
      </c>
      <c r="AU1336" s="50" t="n">
        <f aca="false">AT1336*G1336</f>
        <v>51.625</v>
      </c>
      <c r="AV1336" s="50" t="n">
        <f aca="false">ROUNDUP(CK1336+MAX(CL1336,2*(J1336/IF(CG1336&gt;0,CG1336,MAX(0.1,N(Cockpit!$I$6)))-CK1336)),0)</f>
        <v>1</v>
      </c>
      <c r="AW1336" s="51" t="n">
        <f aca="false">IF(AS1336&gt;0,J1336/AS1336,-1)</f>
        <v>0</v>
      </c>
      <c r="AX1336" s="51" t="n">
        <f aca="false">IF(AND(OR(CF1336="L1",CF1336="L23",CF1336="LIFT"),AS1336&gt;0),SUMIFS($AS$7:$AS$1843,$CF$7:$CF$1843,CF1336,$AW$7:$AW$1843,"&gt;"&amp;AW1336)+SUMIFS($AS$7:$AS$1843,$CF$7:$CF$1843,CF1336,$AW$7:$AW$1843,AW1336,$BW$7:$BW$1843,"&lt;="&amp;BW1336),"")</f>
        <v>35711.5004578755</v>
      </c>
      <c r="AY1336" s="58" t="n">
        <f aca="false">IF(AX1336="",0,MAX(0,MIN(1,(IF(CF1336="L1",Parameter!$H$5,IF(CF1336="L23",Parameter!$H$6+Parameter!$H$7,Parameter!$H$5+Parameter!$H$6+Parameter!$H$7))-(AX1336-AS1336))/AS1336)))</f>
        <v>0.0482379689276748</v>
      </c>
      <c r="AZ1336" s="50" t="n">
        <f aca="false">IF(LEFT(Cockpit!$O$5,1)="A",H1336,IF(Parameter!$E$30="MAX-Bestand",IF(CH1336=1,CI1336,IF(LEFT(Cockpit!$O$5,1)="B",BF1336,MAX(BF1336,H1336))),ROUNDUP(BD1336,0)))</f>
        <v>1</v>
      </c>
      <c r="BA1336" s="50" t="n">
        <f aca="false">IF(BZ1336=1,0,ROUNDUP(AZ1336/BY1336,0))</f>
        <v>1</v>
      </c>
      <c r="BB1336" s="52" t="n">
        <f aca="false">IF(CQ1336&gt;0,CQ1336*MAX(1,AZ1336/X1336),IF(BZ1336=1,IF(AZ1336&lt;=0,0,CD1336*MAX(1,IF(H1336&gt;0,AZ1336/H1336,1))),IF(R1336&gt;0,BA1336/R1336,0))/MAX(0.1,N(Parameter!$M$21)))</f>
        <v>0.0833333333333333</v>
      </c>
      <c r="BC1336" s="50" t="n">
        <f aca="false">BB1336*CB1336</f>
        <v>12.0833333333333</v>
      </c>
      <c r="BD1336" s="51" t="n">
        <f aca="false">IF(LEFT(Cockpit!$O$5,1)="A",H1336,IF(CH1336=1,(CK1336+CI1336)/2,IF(LEFT(Cockpit!$O$5,1)="B",(CK1336+BF1336)/2,MAX((CK1336+BF1336)/2,H1336))))</f>
        <v>0.5</v>
      </c>
      <c r="BE1336" s="50" t="n">
        <f aca="false">BD1336*G1336</f>
        <v>51.625</v>
      </c>
      <c r="BF1336" s="50" t="n">
        <f aca="false">ROUNDUP(CK1336+MAX(CL1336,2*(J1336/IF(CG1336&gt;0,CG1336,MAX(0.1,N(Cockpit!$O$6)))-CK1336)),0)</f>
        <v>1</v>
      </c>
      <c r="BG1336" s="51" t="n">
        <f aca="false">IF(BC1336&gt;0,J1336/BC1336,-1)</f>
        <v>0</v>
      </c>
      <c r="BH1336" s="51" t="n">
        <f aca="false">IF(AND(OR(CF1336="L1",CF1336="L23",CF1336="LIFT"),BC1336&gt;0),SUMIFS($BC$7:$BC$1843,$CF$7:$CF$1843,CF1336,$BG$7:$BG$1843,"&gt;"&amp;BG1336)+SUMIFS($BC$7:$BC$1843,$CF$7:$CF$1843,CF1336,$BG$7:$BG$1843,BG1336,$BW$7:$BW$1843,"&lt;="&amp;BW1336),"")</f>
        <v>29696.8071180232</v>
      </c>
      <c r="BI1336" s="58" t="n">
        <f aca="false">IF(BH1336="",0,MAX(0,MIN(1,(IF(CF1336="L1",Parameter!$H$5,IF(CF1336="L23",Parameter!$H$6+Parameter!$H$7,Parameter!$H$5+Parameter!$H$6+Parameter!$H$7))-(BH1336-BC1336))/BC1336)))</f>
        <v>1</v>
      </c>
      <c r="BJ1336" s="48" t="str">
        <f aca="false">IF(AI1336&lt;=0,"",IF(CF1336="Aussen","Aussenlager",IF(CF1336="-","Nicht im Lift",IF(AO1336&gt;=1,"Lift",IF(AO1336&lt;=0,"Aussenlager","teilweise")))))</f>
        <v/>
      </c>
      <c r="BK1336" s="48" t="str">
        <f aca="false">IF(AS1336&lt;=0,"",IF(CF1336="Aussen","Aussenlager",IF(CF1336="-","Nicht im Lift",IF(AY1336&gt;=1,"Lift",IF(AY1336&lt;=0,"Aussenlager","teilweise")))))</f>
        <v>teilweise</v>
      </c>
      <c r="BL1336" s="48" t="str">
        <f aca="false">IF(BC1336&lt;=0,"",IF(CF1336="Aussen","Aussenlager",IF(CF1336="-","Nicht im Lift",IF(BI1336&gt;=1,"Lift",IF(BI1336&lt;=0,"Aussenlager","teilweise")))))</f>
        <v>Lift</v>
      </c>
      <c r="BM1336" s="48" t="str">
        <f aca="false">IF(A1336="","",IF(BV1336=1,"Neu; ","")&amp;IF(AND(BV1336=0,BQ1336&lt;0),"negativer Bestand (Export "&amp;BQ1336&amp;"); ","")&amp;IF(J1336&lt;=0,"Kein Verbrauch; ","")&amp;IF(CQ1336&gt;0,"Lift "&amp;W1336&amp;" lt. Liftbericht (Fach "&amp;X1336&amp;" Stk); ",IF(CA1336=1,"Gebinde geschätzt ("&amp;T1336&amp;"); ",IF(BZ1336=1,"Lose – Tablare geschätzt; ","")))&amp;IF(H1336&gt;AV1336,"Überbestand "&amp;ROUND(H1336-AV1336,0)&amp;" Stk / CHF "&amp;ROUND((H1336-AV1336)*G1336,0)&amp;"; ","")&amp;IF(AND(CH1336=1,CI1336&lt;CJ1336),"MAX &lt; MB+LG; ","")&amp;IF(AND(CP1336&gt;0,CO1336*10&gt;CP1336),"zu hoch für Tablar; ","")&amp;IF(AND(BV1336=0,OR(CH1336=1,AA1336&lt;&gt;"",U1336&lt;&gt;"",V1336&lt;&gt;"",AB1336&lt;&gt;"")),"manuell übersteuert; ","")&amp;IF(AND(BZ1336=0,R1336=0),"Gebinde unbekannt / Stellmass fehlt; ","")&amp;IF(AND(BZ1336=0,N(V1336)&lt;=0,N(Q1336)&lt;=0),"Menge pro Gebinde fehlt (Ist = 1 Gebinde); ","")&amp;BU1336)</f>
        <v>negativer Bestand (Export -16); Kein Verbrauch; Gebinde geschätzt (Mittel); Menge pro Gebinde fehlt (Ist = 1 Gebinde); grosser Artikel &amp; nicht im KTL</v>
      </c>
      <c r="BN1336" s="48"/>
      <c r="BO1336" s="48"/>
      <c r="BP1336" s="55"/>
      <c r="BQ1336" s="50" t="n">
        <v>-16</v>
      </c>
      <c r="BR1336" s="50" t="n">
        <v>16</v>
      </c>
      <c r="BS1336" s="49" t="n">
        <v>-1652</v>
      </c>
      <c r="BT1336" s="50" t="n">
        <v>0</v>
      </c>
      <c r="BU1336" s="48" t="s">
        <v>270</v>
      </c>
      <c r="BV1336" s="53" t="n">
        <v>0</v>
      </c>
      <c r="BW1336" s="53" t="n">
        <v>1336</v>
      </c>
      <c r="BX1336" s="48" t="str">
        <f aca="false">IF(U1336&lt;&gt;"",UPPER(TRIM(U1336)),IF(CA1336=1,UPPER(VLOOKUP(T1336,Parameter!$I$27:$K$29,2,0)),IF(P1336="","LOSE",P1336)))</f>
        <v>S61</v>
      </c>
      <c r="BY1336" s="50" t="n">
        <f aca="false">IF(BX1336="LOSE",1,IF(N(V1336)&gt;0,V1336,IF(CA1336=1,MAX(1,N(VLOOKUP(T1336,Parameter!$I$27:$K$29,3,0)),H1336,N(N1336)),IF(N(Q1336)&gt;0,Q1336,MAX(1,H1336)))))</f>
        <v>4</v>
      </c>
      <c r="BZ1336" s="53" t="n">
        <f aca="false">IF(BX1336="LOSE",1,0)</f>
        <v>0</v>
      </c>
      <c r="CA1336" s="53" t="n">
        <f aca="false">IF(AND(U1336="",OR(P1336="",P1336="LOSE"),T1336&lt;&gt;"",N(S1336)&lt;=0,ISNUMBER(MATCH(T1336,Parameter!$I$27:$I$29,0))),1,0)</f>
        <v>1</v>
      </c>
      <c r="CB1336" s="53" t="n">
        <f aca="false">IF(CQ1336&gt;0,INDEX(Parameter!$H$5:$H$7,W1336)/INDEX(Parameter!$E$5:$E$7,W1336),IF(AND(BZ1336=0,N(IFERROR(VLOOKUP(BX1336,'Gebinde-Kategorie'!$A$5:$N$45,14,0),0))&gt;0),VLOOKUP(BX1336,'Gebinde-Kategorie'!$A$5:$N$45,14,0)*10+Parameter!$M$23,Parameter!$M$24))</f>
        <v>145</v>
      </c>
      <c r="CC1336" s="48" t="str">
        <f aca="false">IF(AND(Parameter!$B$19="Ja",E1336&lt;&gt;"",ISNUMBER(MATCH(E1336,Parameter!$I$35:$I$52,0))),VLOOKUP(E1336,Parameter!$I$35:$J$52,2,0),IFERROR(VLOOKUP(D1336,Parameter!$A$35:$C$64,2,0),"Nein"))</f>
        <v>2+3</v>
      </c>
      <c r="CD1336" s="52" t="n">
        <f aca="false">IF(BZ1336=0,0,IF(N(S1336)&gt;0,S1336,IFERROR(VLOOKUP(D1336,Parameter!$A$35:$C$64,3,0)+0,0)))</f>
        <v>0</v>
      </c>
      <c r="CE1336" s="48" t="n">
        <f aca="false">IF(AA1336&lt;&gt;"",AA1336,Z1336)</f>
        <v>2</v>
      </c>
      <c r="CF1336" s="48" t="str">
        <f aca="false">IF(OR(CE1336=1,CE1336=2,CE1336=3),IF(Parameter!$E$27="Ja","LIFT",IF(CE1336=1,"L1","L23")),IF(CE1336="Aussen","Aussen","-"))</f>
        <v>LIFT</v>
      </c>
      <c r="CG1336" s="59" t="n">
        <f aca="false">IF(N(AB1336)&gt;0,AB1336,0)</f>
        <v>0</v>
      </c>
      <c r="CH1336" s="53" t="n">
        <f aca="false">IF(ISNUMBER(AE1336),1,0)</f>
        <v>0</v>
      </c>
      <c r="CI1336" s="50" t="n">
        <f aca="false">N(AE1336)</f>
        <v>0</v>
      </c>
      <c r="CJ1336" s="50" t="n">
        <f aca="false">N(M1336)+N(N1336)</f>
        <v>1</v>
      </c>
      <c r="CK1336" s="50" t="n">
        <f aca="false">N(M1336)</f>
        <v>0</v>
      </c>
      <c r="CL1336" s="50" t="n">
        <f aca="false">N(N1336)</f>
        <v>1</v>
      </c>
      <c r="CM1336" s="50" t="n">
        <f aca="false">ROUNDUP(H1336/BY1336,0)</f>
        <v>0</v>
      </c>
      <c r="CN1336" s="50" t="n">
        <f aca="false">ROUNDUP(CI1336/BY1336,0)</f>
        <v>0</v>
      </c>
      <c r="CO1336" s="53" t="n">
        <f aca="false">IF(BZ1336=1,0,IFERROR(VLOOKUP(BX1336,'Gebinde-Kategorie'!$A$5:$N$45,5,0)+0,0))</f>
        <v>11</v>
      </c>
      <c r="CP1336" s="53" t="n">
        <f aca="false">IFERROR(IF(OR(CE1336=1,CE1336=2,CE1336=3),N(INDEX(Parameter!$I$5:$I$7,CE1336)),0),0)</f>
        <v>0</v>
      </c>
      <c r="CQ1336" s="52" t="n">
        <f aca="false">IF(AND(Parameter!$B$21="Ja",ISNUMBER(W1336),N(X1336)&gt;0),IFERROR(N(INDEX(Parameter!$L$5:$L$7,W1336))*INDEX(Parameter!$E$5:$E$7,W1336)*X1336/SUMIFS($X$7:$X$1843,$W$7:$W$1843,W1336),0),0)</f>
        <v>0</v>
      </c>
    </row>
    <row r="1337" customFormat="false" ht="15" hidden="false" customHeight="false" outlineLevel="0" collapsed="false">
      <c r="A1337" s="48" t="s">
        <v>2377</v>
      </c>
      <c r="B1337" s="48" t="s">
        <v>607</v>
      </c>
      <c r="C1337" s="48" t="s">
        <v>173</v>
      </c>
      <c r="D1337" s="48" t="s">
        <v>193</v>
      </c>
      <c r="E1337" s="48" t="s">
        <v>194</v>
      </c>
      <c r="F1337" s="48" t="s">
        <v>227</v>
      </c>
      <c r="G1337" s="49" t="n">
        <v>15.91</v>
      </c>
      <c r="H1337" s="50" t="n">
        <f aca="false">MAX(0,IF(AND(Parameter!$B$21="Ja",ISNUMBER(Y1337)),Y1337,IF(Parameter!$B$20="Jahresanfang 2025 + Export",BR1337+BQ1337,BQ1337)))</f>
        <v>31</v>
      </c>
      <c r="I1337" s="50" t="n">
        <f aca="false">H1337*G1337</f>
        <v>493.21</v>
      </c>
      <c r="J1337" s="50" t="n">
        <f aca="false">BT1337*Parameter!$B$18</f>
        <v>69</v>
      </c>
      <c r="K1337" s="51" t="n">
        <v>101.5</v>
      </c>
      <c r="L1337" s="52" t="n">
        <v>0.679802955665025</v>
      </c>
      <c r="M1337" s="50" t="n">
        <v>2</v>
      </c>
      <c r="N1337" s="50" t="n">
        <v>70</v>
      </c>
      <c r="O1337" s="53" t="n">
        <v>14</v>
      </c>
      <c r="P1337" s="48" t="s">
        <v>485</v>
      </c>
      <c r="Q1337" s="50" t="n">
        <v>86</v>
      </c>
      <c r="R1337" s="53" t="n">
        <f aca="false">IF(BZ1337=1,0,IFERROR(VLOOKUP(BX1337,'Gebinde-Kategorie'!$A$5:$N$45,13,0)+0,0))</f>
        <v>52</v>
      </c>
      <c r="S1337" s="54"/>
      <c r="T1337" s="55"/>
      <c r="U1337" s="55"/>
      <c r="V1337" s="55"/>
      <c r="W1337" s="48"/>
      <c r="X1337" s="50"/>
      <c r="Y1337" s="50"/>
      <c r="Z1337" s="48" t="n">
        <f aca="false">IF(A1337="","",IF(AND(Parameter!$B$21="Ja",ISNUMBER(W1337)),W1337,IF(CC1337="2+3",IF(ISNUMBER(SEARCH("grosser Artikel",BU1337)),2,IFERROR(VLOOKUP(BX1337,Parameter!$F$35:$G$64,2,0),2)),IF(OR(CC1337="Nein",CC1337=""),"-",CC1337))))</f>
        <v>3</v>
      </c>
      <c r="AA1337" s="55"/>
      <c r="AB1337" s="56"/>
      <c r="AC1337" s="50" t="n">
        <f aca="false">AV1337</f>
        <v>72</v>
      </c>
      <c r="AD1337" s="50" t="n">
        <f aca="false">MAX(AV1337,H1337)</f>
        <v>72</v>
      </c>
      <c r="AE1337" s="57"/>
      <c r="AF1337" s="50" t="n">
        <f aca="false">IF(LEFT(Cockpit!$C$5,1)="A",H1337,IF(Parameter!$E$30="MAX-Bestand",IF(CH1337=1,CI1337,IF(LEFT(Cockpit!$C$5,1)="B",AL1337,MAX(AL1337,H1337))),ROUNDUP(AJ1337,0)))</f>
        <v>31</v>
      </c>
      <c r="AG1337" s="50" t="n">
        <f aca="false">IF(BZ1337=1,0,ROUNDUP(AF1337/BY1337,0))</f>
        <v>1</v>
      </c>
      <c r="AH1337" s="52" t="n">
        <f aca="false">IF(CQ1337&gt;0,CQ1337*MAX(1,AF1337/X1337),IF(BZ1337=1,IF(AF1337&lt;=0,0,CD1337*MAX(1,IF(H1337&gt;0,AF1337/H1337,1))),IF(R1337&gt;0,AG1337/R1337,0))/MAX(0.1,N(Parameter!$M$21)))</f>
        <v>0.0192307692307692</v>
      </c>
      <c r="AI1337" s="50" t="n">
        <f aca="false">AH1337*CB1337</f>
        <v>2.98076923076923</v>
      </c>
      <c r="AJ1337" s="51" t="n">
        <f aca="false">IF(LEFT(Cockpit!$C$5,1)="A",H1337,IF(CH1337=1,(CK1337+CI1337)/2,IF(LEFT(Cockpit!$C$5,1)="B",(CK1337+AL1337)/2,MAX((CK1337+AL1337)/2,H1337))))</f>
        <v>31</v>
      </c>
      <c r="AK1337" s="50" t="n">
        <f aca="false">AJ1337*G1337</f>
        <v>493.21</v>
      </c>
      <c r="AL1337" s="50" t="n">
        <f aca="false">ROUNDUP(CK1337+MAX(CL1337,2*(J1337/IF(CG1337&gt;0,CG1337,MAX(0.1,N(Cockpit!$C$6)))-CK1337)),0)</f>
        <v>72</v>
      </c>
      <c r="AM1337" s="51" t="n">
        <f aca="false">IF(AI1337&gt;0,J1337/AI1337,-1)</f>
        <v>23.1483870967742</v>
      </c>
      <c r="AN1337" s="51" t="n">
        <f aca="false">IF(AND(OR(CF1337="L1",CF1337="L23",CF1337="LIFT"),AI1337&gt;0),SUMIFS($AI$7:$AI$1843,$CF$7:$CF$1843,CF1337,$AM$7:$AM$1843,"&gt;"&amp;AM1337)+SUMIFS($AI$7:$AI$1843,$CF$7:$CF$1843,CF1337,$AM$7:$AM$1843,AM1337,$BW$7:$BW$1843,"&lt;="&amp;BW1337),"")</f>
        <v>1579.98443223443</v>
      </c>
      <c r="AO1337" s="58" t="n">
        <f aca="false">IF(AN1337="",0,MAX(0,MIN(1,(IF(CF1337="L1",Parameter!$H$5,IF(CF1337="L23",Parameter!$H$6+Parameter!$H$7,Parameter!$H$5+Parameter!$H$6+Parameter!$H$7))-(AN1337-AI1337))/AI1337)))</f>
        <v>1</v>
      </c>
      <c r="AP1337" s="50" t="n">
        <f aca="false">IF(LEFT(Cockpit!$I$5,1)="A",H1337,IF(Parameter!$E$30="MAX-Bestand",IF(CH1337=1,CI1337,IF(LEFT(Cockpit!$I$5,1)="B",AV1337,MAX(AV1337,H1337))),ROUNDUP(AT1337,0)))</f>
        <v>37</v>
      </c>
      <c r="AQ1337" s="50" t="n">
        <f aca="false">IF(BZ1337=1,0,ROUNDUP(AP1337/BY1337,0))</f>
        <v>1</v>
      </c>
      <c r="AR1337" s="52" t="n">
        <f aca="false">IF(CQ1337&gt;0,CQ1337*MAX(1,AP1337/X1337),IF(BZ1337=1,IF(AP1337&lt;=0,0,CD1337*MAX(1,IF(H1337&gt;0,AP1337/H1337,1))),IF(R1337&gt;0,AQ1337/R1337,0))/MAX(0.1,N(Parameter!$M$21)))</f>
        <v>0.0192307692307692</v>
      </c>
      <c r="AS1337" s="50" t="n">
        <f aca="false">AR1337*CB1337</f>
        <v>2.98076923076923</v>
      </c>
      <c r="AT1337" s="51" t="n">
        <f aca="false">IF(LEFT(Cockpit!$I$5,1)="A",H1337,IF(CH1337=1,(CK1337+CI1337)/2,IF(LEFT(Cockpit!$I$5,1)="B",(CK1337+AV1337)/2,MAX((CK1337+AV1337)/2,H1337))))</f>
        <v>37</v>
      </c>
      <c r="AU1337" s="50" t="n">
        <f aca="false">AT1337*G1337</f>
        <v>588.67</v>
      </c>
      <c r="AV1337" s="50" t="n">
        <f aca="false">ROUNDUP(CK1337+MAX(CL1337,2*(J1337/IF(CG1337&gt;0,CG1337,MAX(0.1,N(Cockpit!$I$6)))-CK1337)),0)</f>
        <v>72</v>
      </c>
      <c r="AW1337" s="51" t="n">
        <f aca="false">IF(AS1337&gt;0,J1337/AS1337,-1)</f>
        <v>23.1483870967742</v>
      </c>
      <c r="AX1337" s="51" t="n">
        <f aca="false">IF(AND(OR(CF1337="L1",CF1337="L23",CF1337="LIFT"),AS1337&gt;0),SUMIFS($AS$7:$AS$1843,$CF$7:$CF$1843,CF1337,$AW$7:$AW$1843,"&gt;"&amp;AW1337)+SUMIFS($AS$7:$AS$1843,$CF$7:$CF$1843,CF1337,$AW$7:$AW$1843,AW1337,$BW$7:$BW$1843,"&lt;="&amp;BW1337),"")</f>
        <v>2208.80402930403</v>
      </c>
      <c r="AY1337" s="58" t="n">
        <f aca="false">IF(AX1337="",0,MAX(0,MIN(1,(IF(CF1337="L1",Parameter!$H$5,IF(CF1337="L23",Parameter!$H$6+Parameter!$H$7,Parameter!$H$5+Parameter!$H$6+Parameter!$H$7))-(AX1337-AS1337))/AS1337)))</f>
        <v>1</v>
      </c>
      <c r="AZ1337" s="50" t="n">
        <f aca="false">IF(LEFT(Cockpit!$O$5,1)="A",H1337,IF(Parameter!$E$30="MAX-Bestand",IF(CH1337=1,CI1337,IF(LEFT(Cockpit!$O$5,1)="B",BF1337,MAX(BF1337,H1337))),ROUNDUP(BD1337,0)))</f>
        <v>37</v>
      </c>
      <c r="BA1337" s="50" t="n">
        <f aca="false">IF(BZ1337=1,0,ROUNDUP(AZ1337/BY1337,0))</f>
        <v>1</v>
      </c>
      <c r="BB1337" s="52" t="n">
        <f aca="false">IF(CQ1337&gt;0,CQ1337*MAX(1,AZ1337/X1337),IF(BZ1337=1,IF(AZ1337&lt;=0,0,CD1337*MAX(1,IF(H1337&gt;0,AZ1337/H1337,1))),IF(R1337&gt;0,BA1337/R1337,0))/MAX(0.1,N(Parameter!$M$21)))</f>
        <v>0.0192307692307692</v>
      </c>
      <c r="BC1337" s="50" t="n">
        <f aca="false">BB1337*CB1337</f>
        <v>2.98076923076923</v>
      </c>
      <c r="BD1337" s="51" t="n">
        <f aca="false">IF(LEFT(Cockpit!$O$5,1)="A",H1337,IF(CH1337=1,(CK1337+CI1337)/2,IF(LEFT(Cockpit!$O$5,1)="B",(CK1337+BF1337)/2,MAX((CK1337+BF1337)/2,H1337))))</f>
        <v>37</v>
      </c>
      <c r="BE1337" s="50" t="n">
        <f aca="false">BD1337*G1337</f>
        <v>588.67</v>
      </c>
      <c r="BF1337" s="50" t="n">
        <f aca="false">ROUNDUP(CK1337+MAX(CL1337,2*(J1337/IF(CG1337&gt;0,CG1337,MAX(0.1,N(Cockpit!$O$6)))-CK1337)),0)</f>
        <v>72</v>
      </c>
      <c r="BG1337" s="51" t="n">
        <f aca="false">IF(BC1337&gt;0,J1337/BC1337,-1)</f>
        <v>23.1483870967742</v>
      </c>
      <c r="BH1337" s="51" t="n">
        <f aca="false">IF(AND(OR(CF1337="L1",CF1337="L23",CF1337="LIFT"),BC1337&gt;0),SUMIFS($BC$7:$BC$1843,$CF$7:$CF$1843,CF1337,$BG$7:$BG$1843,"&gt;"&amp;BG1337)+SUMIFS($BC$7:$BC$1843,$CF$7:$CF$1843,CF1337,$BG$7:$BG$1843,BG1337,$BW$7:$BW$1843,"&lt;="&amp;BW1337),"")</f>
        <v>2142.60027472527</v>
      </c>
      <c r="BI1337" s="58" t="n">
        <f aca="false">IF(BH1337="",0,MAX(0,MIN(1,(IF(CF1337="L1",Parameter!$H$5,IF(CF1337="L23",Parameter!$H$6+Parameter!$H$7,Parameter!$H$5+Parameter!$H$6+Parameter!$H$7))-(BH1337-BC1337))/BC1337)))</f>
        <v>1</v>
      </c>
      <c r="BJ1337" s="48" t="str">
        <f aca="false">IF(AI1337&lt;=0,"",IF(CF1337="Aussen","Aussenlager",IF(CF1337="-","Nicht im Lift",IF(AO1337&gt;=1,"Lift",IF(AO1337&lt;=0,"Aussenlager","teilweise")))))</f>
        <v>Lift</v>
      </c>
      <c r="BK1337" s="48" t="str">
        <f aca="false">IF(AS1337&lt;=0,"",IF(CF1337="Aussen","Aussenlager",IF(CF1337="-","Nicht im Lift",IF(AY1337&gt;=1,"Lift",IF(AY1337&lt;=0,"Aussenlager","teilweise")))))</f>
        <v>Lift</v>
      </c>
      <c r="BL1337" s="48" t="str">
        <f aca="false">IF(BC1337&lt;=0,"",IF(CF1337="Aussen","Aussenlager",IF(CF1337="-","Nicht im Lift",IF(BI1337&gt;=1,"Lift",IF(BI1337&lt;=0,"Aussenlager","teilweise")))))</f>
        <v>Lift</v>
      </c>
      <c r="BM1337" s="48" t="str">
        <f aca="false">IF(A1337="","",IF(BV1337=1,"Neu; ","")&amp;IF(AND(BV1337=0,BQ1337&lt;0),"negativer Bestand (Export "&amp;BQ1337&amp;"); ","")&amp;IF(J1337&lt;=0,"Kein Verbrauch; ","")&amp;IF(CQ1337&gt;0,"Lift "&amp;W1337&amp;" lt. Liftbericht (Fach "&amp;X1337&amp;" Stk); ",IF(CA1337=1,"Gebinde geschätzt ("&amp;T1337&amp;"); ",IF(BZ1337=1,"Lose – Tablare geschätzt; ","")))&amp;IF(H1337&gt;AV1337,"Überbestand "&amp;ROUND(H1337-AV1337,0)&amp;" Stk / CHF "&amp;ROUND((H1337-AV1337)*G1337,0)&amp;"; ","")&amp;IF(AND(CH1337=1,CI1337&lt;CJ1337),"MAX &lt; MB+LG; ","")&amp;IF(AND(CP1337&gt;0,CO1337*10&gt;CP1337),"zu hoch für Tablar; ","")&amp;IF(AND(BV1337=0,OR(CH1337=1,AA1337&lt;&gt;"",U1337&lt;&gt;"",V1337&lt;&gt;"",AB1337&lt;&gt;"")),"manuell übersteuert; ","")&amp;IF(AND(BZ1337=0,R1337=0),"Gebinde unbekannt / Stellmass fehlt; ","")&amp;IF(AND(BZ1337=0,N(V1337)&lt;=0,N(Q1337)&lt;=0),"Menge pro Gebinde fehlt (Ist = 1 Gebinde); ","")&amp;BU1337)</f>
        <v>negativer Bestand (Export -104); </v>
      </c>
      <c r="BN1337" s="48"/>
      <c r="BO1337" s="48"/>
      <c r="BP1337" s="55"/>
      <c r="BQ1337" s="50" t="n">
        <v>-104</v>
      </c>
      <c r="BR1337" s="50" t="n">
        <v>135</v>
      </c>
      <c r="BS1337" s="49" t="n">
        <v>-1654.64</v>
      </c>
      <c r="BT1337" s="50" t="n">
        <v>69</v>
      </c>
      <c r="BU1337" s="48"/>
      <c r="BV1337" s="53" t="n">
        <v>0</v>
      </c>
      <c r="BW1337" s="53" t="n">
        <v>1337</v>
      </c>
      <c r="BX1337" s="48" t="str">
        <f aca="false">IF(U1337&lt;&gt;"",UPPER(TRIM(U1337)),IF(CA1337=1,UPPER(VLOOKUP(T1337,Parameter!$I$27:$K$29,2,0)),IF(P1337="","LOSE",P1337)))</f>
        <v>S33</v>
      </c>
      <c r="BY1337" s="50" t="n">
        <f aca="false">IF(BX1337="LOSE",1,IF(N(V1337)&gt;0,V1337,IF(CA1337=1,MAX(1,N(VLOOKUP(T1337,Parameter!$I$27:$K$29,3,0)),H1337,N(N1337)),IF(N(Q1337)&gt;0,Q1337,MAX(1,H1337)))))</f>
        <v>86</v>
      </c>
      <c r="BZ1337" s="53" t="n">
        <f aca="false">IF(BX1337="LOSE",1,0)</f>
        <v>0</v>
      </c>
      <c r="CA1337" s="53" t="n">
        <f aca="false">IF(AND(U1337="",OR(P1337="",P1337="LOSE"),T1337&lt;&gt;"",N(S1337)&lt;=0,ISNUMBER(MATCH(T1337,Parameter!$I$27:$I$29,0))),1,0)</f>
        <v>0</v>
      </c>
      <c r="CB1337" s="53" t="n">
        <f aca="false">IF(CQ1337&gt;0,INDEX(Parameter!$H$5:$H$7,W1337)/INDEX(Parameter!$E$5:$E$7,W1337),IF(AND(BZ1337=0,N(IFERROR(VLOOKUP(BX1337,'Gebinde-Kategorie'!$A$5:$N$45,14,0),0))&gt;0),VLOOKUP(BX1337,'Gebinde-Kategorie'!$A$5:$N$45,14,0)*10+Parameter!$M$23,Parameter!$M$24))</f>
        <v>155</v>
      </c>
      <c r="CC1337" s="48" t="str">
        <f aca="false">IF(AND(Parameter!$B$19="Ja",E1337&lt;&gt;"",ISNUMBER(MATCH(E1337,Parameter!$I$35:$I$52,0))),VLOOKUP(E1337,Parameter!$I$35:$J$52,2,0),IFERROR(VLOOKUP(D1337,Parameter!$A$35:$C$64,2,0),"Nein"))</f>
        <v>2+3</v>
      </c>
      <c r="CD1337" s="52" t="n">
        <f aca="false">IF(BZ1337=0,0,IF(N(S1337)&gt;0,S1337,IFERROR(VLOOKUP(D1337,Parameter!$A$35:$C$64,3,0)+0,0)))</f>
        <v>0</v>
      </c>
      <c r="CE1337" s="48" t="n">
        <f aca="false">IF(AA1337&lt;&gt;"",AA1337,Z1337)</f>
        <v>3</v>
      </c>
      <c r="CF1337" s="48" t="str">
        <f aca="false">IF(OR(CE1337=1,CE1337=2,CE1337=3),IF(Parameter!$E$27="Ja","LIFT",IF(CE1337=1,"L1","L23")),IF(CE1337="Aussen","Aussen","-"))</f>
        <v>LIFT</v>
      </c>
      <c r="CG1337" s="59" t="n">
        <f aca="false">IF(N(AB1337)&gt;0,AB1337,0)</f>
        <v>0</v>
      </c>
      <c r="CH1337" s="53" t="n">
        <f aca="false">IF(ISNUMBER(AE1337),1,0)</f>
        <v>0</v>
      </c>
      <c r="CI1337" s="50" t="n">
        <f aca="false">N(AE1337)</f>
        <v>0</v>
      </c>
      <c r="CJ1337" s="50" t="n">
        <f aca="false">N(M1337)+N(N1337)</f>
        <v>72</v>
      </c>
      <c r="CK1337" s="50" t="n">
        <f aca="false">N(M1337)</f>
        <v>2</v>
      </c>
      <c r="CL1337" s="50" t="n">
        <f aca="false">N(N1337)</f>
        <v>70</v>
      </c>
      <c r="CM1337" s="50" t="n">
        <f aca="false">ROUNDUP(H1337/BY1337,0)</f>
        <v>1</v>
      </c>
      <c r="CN1337" s="50" t="n">
        <f aca="false">ROUNDUP(CI1337/BY1337,0)</f>
        <v>0</v>
      </c>
      <c r="CO1337" s="53" t="n">
        <f aca="false">IF(BZ1337=1,0,IFERROR(VLOOKUP(BX1337,'Gebinde-Kategorie'!$A$5:$N$45,5,0)+0,0))</f>
        <v>8</v>
      </c>
      <c r="CP1337" s="53" t="n">
        <f aca="false">IFERROR(IF(OR(CE1337=1,CE1337=2,CE1337=3),N(INDEX(Parameter!$I$5:$I$7,CE1337)),0),0)</f>
        <v>0</v>
      </c>
      <c r="CQ1337" s="52" t="n">
        <f aca="false">IF(AND(Parameter!$B$21="Ja",ISNUMBER(W1337),N(X1337)&gt;0),IFERROR(N(INDEX(Parameter!$L$5:$L$7,W1337))*INDEX(Parameter!$E$5:$E$7,W1337)*X1337/SUMIFS($X$7:$X$1843,$W$7:$W$1843,W1337),0),0)</f>
        <v>0</v>
      </c>
    </row>
    <row r="1338" customFormat="false" ht="15" hidden="false" customHeight="false" outlineLevel="0" collapsed="false">
      <c r="A1338" s="48" t="s">
        <v>2378</v>
      </c>
      <c r="B1338" s="48" t="s">
        <v>1374</v>
      </c>
      <c r="C1338" s="48" t="s">
        <v>173</v>
      </c>
      <c r="D1338" s="48" t="s">
        <v>193</v>
      </c>
      <c r="E1338" s="48"/>
      <c r="F1338" s="48" t="s">
        <v>227</v>
      </c>
      <c r="G1338" s="49" t="n">
        <v>84.96</v>
      </c>
      <c r="H1338" s="50" t="n">
        <f aca="false">MAX(0,IF(AND(Parameter!$B$21="Ja",ISNUMBER(Y1338)),Y1338,IF(Parameter!$B$20="Jahresanfang 2025 + Export",BR1338+BQ1338,BQ1338)))</f>
        <v>48</v>
      </c>
      <c r="I1338" s="50" t="n">
        <f aca="false">H1338*G1338</f>
        <v>4078.08</v>
      </c>
      <c r="J1338" s="50" t="n">
        <f aca="false">BT1338*Parameter!$B$18</f>
        <v>192</v>
      </c>
      <c r="K1338" s="51" t="n">
        <v>38</v>
      </c>
      <c r="L1338" s="52" t="n">
        <v>5.05263157894737</v>
      </c>
      <c r="M1338" s="50" t="n">
        <v>10</v>
      </c>
      <c r="N1338" s="50" t="n">
        <v>60</v>
      </c>
      <c r="O1338" s="53" t="n">
        <v>14</v>
      </c>
      <c r="P1338" s="48" t="s">
        <v>302</v>
      </c>
      <c r="Q1338" s="50" t="n">
        <v>100</v>
      </c>
      <c r="R1338" s="53" t="n">
        <f aca="false">IF(BZ1338=1,0,IFERROR(VLOOKUP(BX1338,'Gebinde-Kategorie'!$A$5:$N$45,13,0)+0,0))</f>
        <v>12</v>
      </c>
      <c r="S1338" s="54"/>
      <c r="T1338" s="55"/>
      <c r="U1338" s="55"/>
      <c r="V1338" s="55"/>
      <c r="W1338" s="48"/>
      <c r="X1338" s="50"/>
      <c r="Y1338" s="50"/>
      <c r="Z1338" s="48" t="n">
        <f aca="false">IF(A1338="","",IF(AND(Parameter!$B$21="Ja",ISNUMBER(W1338)),W1338,IF(CC1338="2+3",IF(ISNUMBER(SEARCH("grosser Artikel",BU1338)),2,IFERROR(VLOOKUP(BX1338,Parameter!$F$35:$G$64,2,0),2)),IF(OR(CC1338="Nein",CC1338=""),"-",CC1338))))</f>
        <v>2</v>
      </c>
      <c r="AA1338" s="55"/>
      <c r="AB1338" s="56"/>
      <c r="AC1338" s="50" t="n">
        <f aca="false">AV1338</f>
        <v>118</v>
      </c>
      <c r="AD1338" s="50" t="n">
        <f aca="false">MAX(AV1338,H1338)</f>
        <v>118</v>
      </c>
      <c r="AE1338" s="57"/>
      <c r="AF1338" s="50" t="n">
        <f aca="false">IF(LEFT(Cockpit!$C$5,1)="A",H1338,IF(Parameter!$E$30="MAX-Bestand",IF(CH1338=1,CI1338,IF(LEFT(Cockpit!$C$5,1)="B",AL1338,MAX(AL1338,H1338))),ROUNDUP(AJ1338,0)))</f>
        <v>48</v>
      </c>
      <c r="AG1338" s="50" t="n">
        <f aca="false">IF(BZ1338=1,0,ROUNDUP(AF1338/BY1338,0))</f>
        <v>1</v>
      </c>
      <c r="AH1338" s="52" t="n">
        <f aca="false">IF(CQ1338&gt;0,CQ1338*MAX(1,AF1338/X1338),IF(BZ1338=1,IF(AF1338&lt;=0,0,CD1338*MAX(1,IF(H1338&gt;0,AF1338/H1338,1))),IF(R1338&gt;0,AG1338/R1338,0))/MAX(0.1,N(Parameter!$M$21)))</f>
        <v>0.0833333333333333</v>
      </c>
      <c r="AI1338" s="50" t="n">
        <f aca="false">AH1338*CB1338</f>
        <v>20.4166666666667</v>
      </c>
      <c r="AJ1338" s="51" t="n">
        <f aca="false">IF(LEFT(Cockpit!$C$5,1)="A",H1338,IF(CH1338=1,(CK1338+CI1338)/2,IF(LEFT(Cockpit!$C$5,1)="B",(CK1338+AL1338)/2,MAX((CK1338+AL1338)/2,H1338))))</f>
        <v>48</v>
      </c>
      <c r="AK1338" s="50" t="n">
        <f aca="false">AJ1338*G1338</f>
        <v>4078.08</v>
      </c>
      <c r="AL1338" s="50" t="n">
        <f aca="false">ROUNDUP(CK1338+MAX(CL1338,2*(J1338/IF(CG1338&gt;0,CG1338,MAX(0.1,N(Cockpit!$C$6)))-CK1338)),0)</f>
        <v>118</v>
      </c>
      <c r="AM1338" s="51" t="n">
        <f aca="false">IF(AI1338&gt;0,J1338/AI1338,-1)</f>
        <v>9.40408163265306</v>
      </c>
      <c r="AN1338" s="51" t="n">
        <f aca="false">IF(AND(OR(CF1338="L1",CF1338="L23",CF1338="LIFT"),AI1338&gt;0),SUMIFS($AI$7:$AI$1843,$CF$7:$CF$1843,CF1338,$AM$7:$AM$1843,"&gt;"&amp;AM1338)+SUMIFS($AI$7:$AI$1843,$CF$7:$CF$1843,CF1338,$AM$7:$AM$1843,AM1338,$BW$7:$BW$1843,"&lt;="&amp;BW1338),"")</f>
        <v>2917.63049450549</v>
      </c>
      <c r="AO1338" s="58" t="n">
        <f aca="false">IF(AN1338="",0,MAX(0,MIN(1,(IF(CF1338="L1",Parameter!$H$5,IF(CF1338="L23",Parameter!$H$6+Parameter!$H$7,Parameter!$H$5+Parameter!$H$6+Parameter!$H$7))-(AN1338-AI1338))/AI1338)))</f>
        <v>1</v>
      </c>
      <c r="AP1338" s="50" t="n">
        <f aca="false">IF(LEFT(Cockpit!$I$5,1)="A",H1338,IF(Parameter!$E$30="MAX-Bestand",IF(CH1338=1,CI1338,IF(LEFT(Cockpit!$I$5,1)="B",AV1338,MAX(AV1338,H1338))),ROUNDUP(AT1338,0)))</f>
        <v>64</v>
      </c>
      <c r="AQ1338" s="50" t="n">
        <f aca="false">IF(BZ1338=1,0,ROUNDUP(AP1338/BY1338,0))</f>
        <v>1</v>
      </c>
      <c r="AR1338" s="52" t="n">
        <f aca="false">IF(CQ1338&gt;0,CQ1338*MAX(1,AP1338/X1338),IF(BZ1338=1,IF(AP1338&lt;=0,0,CD1338*MAX(1,IF(H1338&gt;0,AP1338/H1338,1))),IF(R1338&gt;0,AQ1338/R1338,0))/MAX(0.1,N(Parameter!$M$21)))</f>
        <v>0.0833333333333333</v>
      </c>
      <c r="AS1338" s="50" t="n">
        <f aca="false">AR1338*CB1338</f>
        <v>20.4166666666667</v>
      </c>
      <c r="AT1338" s="51" t="n">
        <f aca="false">IF(LEFT(Cockpit!$I$5,1)="A",H1338,IF(CH1338=1,(CK1338+CI1338)/2,IF(LEFT(Cockpit!$I$5,1)="B",(CK1338+AV1338)/2,MAX((CK1338+AV1338)/2,H1338))))</f>
        <v>64</v>
      </c>
      <c r="AU1338" s="50" t="n">
        <f aca="false">AT1338*G1338</f>
        <v>5437.44</v>
      </c>
      <c r="AV1338" s="50" t="n">
        <f aca="false">ROUNDUP(CK1338+MAX(CL1338,2*(J1338/IF(CG1338&gt;0,CG1338,MAX(0.1,N(Cockpit!$I$6)))-CK1338)),0)</f>
        <v>118</v>
      </c>
      <c r="AW1338" s="51" t="n">
        <f aca="false">IF(AS1338&gt;0,J1338/AS1338,-1)</f>
        <v>9.40408163265306</v>
      </c>
      <c r="AX1338" s="51" t="n">
        <f aca="false">IF(AND(OR(CF1338="L1",CF1338="L23",CF1338="LIFT"),AS1338&gt;0),SUMIFS($AS$7:$AS$1843,$CF$7:$CF$1843,CF1338,$AW$7:$AW$1843,"&gt;"&amp;AW1338)+SUMIFS($AS$7:$AS$1843,$CF$7:$CF$1843,CF1338,$AW$7:$AW$1843,AW1338,$BW$7:$BW$1843,"&lt;="&amp;BW1338),"")</f>
        <v>3532.61858974359</v>
      </c>
      <c r="AY1338" s="58" t="n">
        <f aca="false">IF(AX1338="",0,MAX(0,MIN(1,(IF(CF1338="L1",Parameter!$H$5,IF(CF1338="L23",Parameter!$H$6+Parameter!$H$7,Parameter!$H$5+Parameter!$H$6+Parameter!$H$7))-(AX1338-AS1338))/AS1338)))</f>
        <v>1</v>
      </c>
      <c r="AZ1338" s="50" t="n">
        <f aca="false">IF(LEFT(Cockpit!$O$5,1)="A",H1338,IF(Parameter!$E$30="MAX-Bestand",IF(CH1338=1,CI1338,IF(LEFT(Cockpit!$O$5,1)="B",BF1338,MAX(BF1338,H1338))),ROUNDUP(BD1338,0)))</f>
        <v>48</v>
      </c>
      <c r="BA1338" s="50" t="n">
        <f aca="false">IF(BZ1338=1,0,ROUNDUP(AZ1338/BY1338,0))</f>
        <v>1</v>
      </c>
      <c r="BB1338" s="52" t="n">
        <f aca="false">IF(CQ1338&gt;0,CQ1338*MAX(1,AZ1338/X1338),IF(BZ1338=1,IF(AZ1338&lt;=0,0,CD1338*MAX(1,IF(H1338&gt;0,AZ1338/H1338,1))),IF(R1338&gt;0,BA1338/R1338,0))/MAX(0.1,N(Parameter!$M$21)))</f>
        <v>0.0833333333333333</v>
      </c>
      <c r="BC1338" s="50" t="n">
        <f aca="false">BB1338*CB1338</f>
        <v>20.4166666666667</v>
      </c>
      <c r="BD1338" s="51" t="n">
        <f aca="false">IF(LEFT(Cockpit!$O$5,1)="A",H1338,IF(CH1338=1,(CK1338+CI1338)/2,IF(LEFT(Cockpit!$O$5,1)="B",(CK1338+BF1338)/2,MAX((CK1338+BF1338)/2,H1338))))</f>
        <v>48</v>
      </c>
      <c r="BE1338" s="50" t="n">
        <f aca="false">BD1338*G1338</f>
        <v>4078.08</v>
      </c>
      <c r="BF1338" s="50" t="n">
        <f aca="false">ROUNDUP(CK1338+MAX(CL1338,2*(J1338/IF(CG1338&gt;0,CG1338,MAX(0.1,N(Cockpit!$O$6)))-CK1338)),0)</f>
        <v>86</v>
      </c>
      <c r="BG1338" s="51" t="n">
        <f aca="false">IF(BC1338&gt;0,J1338/BC1338,-1)</f>
        <v>9.40408163265306</v>
      </c>
      <c r="BH1338" s="51" t="n">
        <f aca="false">IF(AND(OR(CF1338="L1",CF1338="L23",CF1338="LIFT"),BC1338&gt;0),SUMIFS($BC$7:$BC$1843,$CF$7:$CF$1843,CF1338,$BG$7:$BG$1843,"&gt;"&amp;BG1338)+SUMIFS($BC$7:$BC$1843,$CF$7:$CF$1843,CF1338,$BG$7:$BG$1843,BG1338,$BW$7:$BW$1843,"&lt;="&amp;BW1338),"")</f>
        <v>2747.53525641026</v>
      </c>
      <c r="BI1338" s="58" t="n">
        <f aca="false">IF(BH1338="",0,MAX(0,MIN(1,(IF(CF1338="L1",Parameter!$H$5,IF(CF1338="L23",Parameter!$H$6+Parameter!$H$7,Parameter!$H$5+Parameter!$H$6+Parameter!$H$7))-(BH1338-BC1338))/BC1338)))</f>
        <v>1</v>
      </c>
      <c r="BJ1338" s="48" t="str">
        <f aca="false">IF(AI1338&lt;=0,"",IF(CF1338="Aussen","Aussenlager",IF(CF1338="-","Nicht im Lift",IF(AO1338&gt;=1,"Lift",IF(AO1338&lt;=0,"Aussenlager","teilweise")))))</f>
        <v>Lift</v>
      </c>
      <c r="BK1338" s="48" t="str">
        <f aca="false">IF(AS1338&lt;=0,"",IF(CF1338="Aussen","Aussenlager",IF(CF1338="-","Nicht im Lift",IF(AY1338&gt;=1,"Lift",IF(AY1338&lt;=0,"Aussenlager","teilweise")))))</f>
        <v>Lift</v>
      </c>
      <c r="BL1338" s="48" t="str">
        <f aca="false">IF(BC1338&lt;=0,"",IF(CF1338="Aussen","Aussenlager",IF(CF1338="-","Nicht im Lift",IF(BI1338&gt;=1,"Lift",IF(BI1338&lt;=0,"Aussenlager","teilweise")))))</f>
        <v>Lift</v>
      </c>
      <c r="BM1338" s="48" t="str">
        <f aca="false">IF(A1338="","",IF(BV1338=1,"Neu; ","")&amp;IF(AND(BV1338=0,BQ1338&lt;0),"negativer Bestand (Export "&amp;BQ1338&amp;"); ","")&amp;IF(J1338&lt;=0,"Kein Verbrauch; ","")&amp;IF(CQ1338&gt;0,"Lift "&amp;W1338&amp;" lt. Liftbericht (Fach "&amp;X1338&amp;" Stk); ",IF(CA1338=1,"Gebinde geschätzt ("&amp;T1338&amp;"); ",IF(BZ1338=1,"Lose – Tablare geschätzt; ","")))&amp;IF(H1338&gt;AV1338,"Überbestand "&amp;ROUND(H1338-AV1338,0)&amp;" Stk / CHF "&amp;ROUND((H1338-AV1338)*G1338,0)&amp;"; ","")&amp;IF(AND(CH1338=1,CI1338&lt;CJ1338),"MAX &lt; MB+LG; ","")&amp;IF(AND(CP1338&gt;0,CO1338*10&gt;CP1338),"zu hoch für Tablar; ","")&amp;IF(AND(BV1338=0,OR(CH1338=1,AA1338&lt;&gt;"",U1338&lt;&gt;"",V1338&lt;&gt;"",AB1338&lt;&gt;"")),"manuell übersteuert; ","")&amp;IF(AND(BZ1338=0,R1338=0),"Gebinde unbekannt / Stellmass fehlt; ","")&amp;IF(AND(BZ1338=0,N(V1338)&lt;=0,N(Q1338)&lt;=0),"Menge pro Gebinde fehlt (Ist = 1 Gebinde); ","")&amp;BU1338)</f>
        <v/>
      </c>
      <c r="BN1338" s="48"/>
      <c r="BO1338" s="48"/>
      <c r="BP1338" s="55"/>
      <c r="BQ1338" s="50" t="n">
        <v>10</v>
      </c>
      <c r="BR1338" s="50" t="n">
        <v>38</v>
      </c>
      <c r="BS1338" s="49" t="n">
        <v>-1696.37000000001</v>
      </c>
      <c r="BT1338" s="50" t="n">
        <v>192</v>
      </c>
      <c r="BU1338" s="48"/>
      <c r="BV1338" s="53" t="n">
        <v>0</v>
      </c>
      <c r="BW1338" s="53" t="n">
        <v>1338</v>
      </c>
      <c r="BX1338" s="48" t="str">
        <f aca="false">IF(U1338&lt;&gt;"",UPPER(TRIM(U1338)),IF(CA1338=1,UPPER(VLOOKUP(T1338,Parameter!$I$27:$K$29,2,0)),IF(P1338="","LOSE",P1338)))</f>
        <v>S62</v>
      </c>
      <c r="BY1338" s="50" t="n">
        <f aca="false">IF(BX1338="LOSE",1,IF(N(V1338)&gt;0,V1338,IF(CA1338=1,MAX(1,N(VLOOKUP(T1338,Parameter!$I$27:$K$29,3,0)),H1338,N(N1338)),IF(N(Q1338)&gt;0,Q1338,MAX(1,H1338)))))</f>
        <v>100</v>
      </c>
      <c r="BZ1338" s="53" t="n">
        <f aca="false">IF(BX1338="LOSE",1,0)</f>
        <v>0</v>
      </c>
      <c r="CA1338" s="53" t="n">
        <f aca="false">IF(AND(U1338="",OR(P1338="",P1338="LOSE"),T1338&lt;&gt;"",N(S1338)&lt;=0,ISNUMBER(MATCH(T1338,Parameter!$I$27:$I$29,0))),1,0)</f>
        <v>0</v>
      </c>
      <c r="CB1338" s="53" t="n">
        <f aca="false">IF(CQ1338&gt;0,INDEX(Parameter!$H$5:$H$7,W1338)/INDEX(Parameter!$E$5:$E$7,W1338),IF(AND(BZ1338=0,N(IFERROR(VLOOKUP(BX1338,'Gebinde-Kategorie'!$A$5:$N$45,14,0),0))&gt;0),VLOOKUP(BX1338,'Gebinde-Kategorie'!$A$5:$N$45,14,0)*10+Parameter!$M$23,Parameter!$M$24))</f>
        <v>245</v>
      </c>
      <c r="CC1338" s="48" t="str">
        <f aca="false">IF(AND(Parameter!$B$19="Ja",E1338&lt;&gt;"",ISNUMBER(MATCH(E1338,Parameter!$I$35:$I$52,0))),VLOOKUP(E1338,Parameter!$I$35:$J$52,2,0),IFERROR(VLOOKUP(D1338,Parameter!$A$35:$C$64,2,0),"Nein"))</f>
        <v>2+3</v>
      </c>
      <c r="CD1338" s="52" t="n">
        <f aca="false">IF(BZ1338=0,0,IF(N(S1338)&gt;0,S1338,IFERROR(VLOOKUP(D1338,Parameter!$A$35:$C$64,3,0)+0,0)))</f>
        <v>0</v>
      </c>
      <c r="CE1338" s="48" t="n">
        <f aca="false">IF(AA1338&lt;&gt;"",AA1338,Z1338)</f>
        <v>2</v>
      </c>
      <c r="CF1338" s="48" t="str">
        <f aca="false">IF(OR(CE1338=1,CE1338=2,CE1338=3),IF(Parameter!$E$27="Ja","LIFT",IF(CE1338=1,"L1","L23")),IF(CE1338="Aussen","Aussen","-"))</f>
        <v>LIFT</v>
      </c>
      <c r="CG1338" s="59" t="n">
        <f aca="false">IF(N(AB1338)&gt;0,AB1338,0)</f>
        <v>0</v>
      </c>
      <c r="CH1338" s="53" t="n">
        <f aca="false">IF(ISNUMBER(AE1338),1,0)</f>
        <v>0</v>
      </c>
      <c r="CI1338" s="50" t="n">
        <f aca="false">N(AE1338)</f>
        <v>0</v>
      </c>
      <c r="CJ1338" s="50" t="n">
        <f aca="false">N(M1338)+N(N1338)</f>
        <v>70</v>
      </c>
      <c r="CK1338" s="50" t="n">
        <f aca="false">N(M1338)</f>
        <v>10</v>
      </c>
      <c r="CL1338" s="50" t="n">
        <f aca="false">N(N1338)</f>
        <v>60</v>
      </c>
      <c r="CM1338" s="50" t="n">
        <f aca="false">ROUNDUP(H1338/BY1338,0)</f>
        <v>1</v>
      </c>
      <c r="CN1338" s="50" t="n">
        <f aca="false">ROUNDUP(CI1338/BY1338,0)</f>
        <v>0</v>
      </c>
      <c r="CO1338" s="53" t="n">
        <f aca="false">IF(BZ1338=1,0,IFERROR(VLOOKUP(BX1338,'Gebinde-Kategorie'!$A$5:$N$45,5,0)+0,0))</f>
        <v>21</v>
      </c>
      <c r="CP1338" s="53" t="n">
        <f aca="false">IFERROR(IF(OR(CE1338=1,CE1338=2,CE1338=3),N(INDEX(Parameter!$I$5:$I$7,CE1338)),0),0)</f>
        <v>0</v>
      </c>
      <c r="CQ1338" s="52" t="n">
        <f aca="false">IF(AND(Parameter!$B$21="Ja",ISNUMBER(W1338),N(X1338)&gt;0),IFERROR(N(INDEX(Parameter!$L$5:$L$7,W1338))*INDEX(Parameter!$E$5:$E$7,W1338)*X1338/SUMIFS($X$7:$X$1843,$W$7:$W$1843,W1338),0),0)</f>
        <v>0</v>
      </c>
    </row>
    <row r="1339" customFormat="false" ht="15" hidden="false" customHeight="false" outlineLevel="0" collapsed="false">
      <c r="A1339" s="48" t="s">
        <v>2379</v>
      </c>
      <c r="B1339" s="48" t="s">
        <v>823</v>
      </c>
      <c r="C1339" s="48" t="s">
        <v>173</v>
      </c>
      <c r="D1339" s="48" t="s">
        <v>193</v>
      </c>
      <c r="E1339" s="48" t="s">
        <v>194</v>
      </c>
      <c r="F1339" s="48" t="s">
        <v>227</v>
      </c>
      <c r="G1339" s="49" t="n">
        <v>90.07</v>
      </c>
      <c r="H1339" s="50" t="n">
        <f aca="false">MAX(0,IF(AND(Parameter!$B$21="Ja",ISNUMBER(Y1339)),Y1339,IF(Parameter!$B$20="Jahresanfang 2025 + Export",BR1339+BQ1339,BQ1339)))</f>
        <v>9</v>
      </c>
      <c r="I1339" s="50" t="n">
        <f aca="false">H1339*G1339</f>
        <v>810.63</v>
      </c>
      <c r="J1339" s="50" t="n">
        <f aca="false">BT1339*Parameter!$B$18</f>
        <v>20</v>
      </c>
      <c r="K1339" s="51" t="n">
        <v>24</v>
      </c>
      <c r="L1339" s="52" t="n">
        <v>0.833333333333333</v>
      </c>
      <c r="M1339" s="50" t="n">
        <v>7</v>
      </c>
      <c r="N1339" s="50" t="n">
        <v>50</v>
      </c>
      <c r="O1339" s="53" t="n">
        <v>126</v>
      </c>
      <c r="P1339" s="48" t="s">
        <v>337</v>
      </c>
      <c r="Q1339" s="50" t="n">
        <v>52</v>
      </c>
      <c r="R1339" s="53" t="n">
        <f aca="false">IF(BZ1339=1,0,IFERROR(VLOOKUP(BX1339,'Gebinde-Kategorie'!$A$5:$N$45,13,0)+0,0))</f>
        <v>52</v>
      </c>
      <c r="S1339" s="54"/>
      <c r="T1339" s="55"/>
      <c r="U1339" s="55"/>
      <c r="V1339" s="55"/>
      <c r="W1339" s="48"/>
      <c r="X1339" s="50"/>
      <c r="Y1339" s="50"/>
      <c r="Z1339" s="48" t="n">
        <f aca="false">IF(A1339="","",IF(AND(Parameter!$B$21="Ja",ISNUMBER(W1339)),W1339,IF(CC1339="2+3",IF(ISNUMBER(SEARCH("grosser Artikel",BU1339)),2,IFERROR(VLOOKUP(BX1339,Parameter!$F$35:$G$64,2,0),2)),IF(OR(CC1339="Nein",CC1339=""),"-",CC1339))))</f>
        <v>3</v>
      </c>
      <c r="AA1339" s="55"/>
      <c r="AB1339" s="56"/>
      <c r="AC1339" s="50" t="n">
        <f aca="false">AV1339</f>
        <v>57</v>
      </c>
      <c r="AD1339" s="50" t="n">
        <f aca="false">MAX(AV1339,H1339)</f>
        <v>57</v>
      </c>
      <c r="AE1339" s="57"/>
      <c r="AF1339" s="50" t="n">
        <f aca="false">IF(LEFT(Cockpit!$C$5,1)="A",H1339,IF(Parameter!$E$30="MAX-Bestand",IF(CH1339=1,CI1339,IF(LEFT(Cockpit!$C$5,1)="B",AL1339,MAX(AL1339,H1339))),ROUNDUP(AJ1339,0)))</f>
        <v>9</v>
      </c>
      <c r="AG1339" s="50" t="n">
        <f aca="false">IF(BZ1339=1,0,ROUNDUP(AF1339/BY1339,0))</f>
        <v>1</v>
      </c>
      <c r="AH1339" s="52" t="n">
        <f aca="false">IF(CQ1339&gt;0,CQ1339*MAX(1,AF1339/X1339),IF(BZ1339=1,IF(AF1339&lt;=0,0,CD1339*MAX(1,IF(H1339&gt;0,AF1339/H1339,1))),IF(R1339&gt;0,AG1339/R1339,0))/MAX(0.1,N(Parameter!$M$21)))</f>
        <v>0.0192307692307692</v>
      </c>
      <c r="AI1339" s="50" t="n">
        <f aca="false">AH1339*CB1339</f>
        <v>2.98076923076923</v>
      </c>
      <c r="AJ1339" s="51" t="n">
        <f aca="false">IF(LEFT(Cockpit!$C$5,1)="A",H1339,IF(CH1339=1,(CK1339+CI1339)/2,IF(LEFT(Cockpit!$C$5,1)="B",(CK1339+AL1339)/2,MAX((CK1339+AL1339)/2,H1339))))</f>
        <v>9</v>
      </c>
      <c r="AK1339" s="50" t="n">
        <f aca="false">AJ1339*G1339</f>
        <v>810.63</v>
      </c>
      <c r="AL1339" s="50" t="n">
        <f aca="false">ROUNDUP(CK1339+MAX(CL1339,2*(J1339/IF(CG1339&gt;0,CG1339,MAX(0.1,N(Cockpit!$C$6)))-CK1339)),0)</f>
        <v>57</v>
      </c>
      <c r="AM1339" s="51" t="n">
        <f aca="false">IF(AI1339&gt;0,J1339/AI1339,-1)</f>
        <v>6.70967741935484</v>
      </c>
      <c r="AN1339" s="51" t="n">
        <f aca="false">IF(AND(OR(CF1339="L1",CF1339="L23",CF1339="LIFT"),AI1339&gt;0),SUMIFS($AI$7:$AI$1843,$CF$7:$CF$1843,CF1339,$AM$7:$AM$1843,"&gt;"&amp;AM1339)+SUMIFS($AI$7:$AI$1843,$CF$7:$CF$1843,CF1339,$AM$7:$AM$1843,AM1339,$BW$7:$BW$1843,"&lt;="&amp;BW1339),"")</f>
        <v>3400.10485347985</v>
      </c>
      <c r="AO1339" s="58" t="n">
        <f aca="false">IF(AN1339="",0,MAX(0,MIN(1,(IF(CF1339="L1",Parameter!$H$5,IF(CF1339="L23",Parameter!$H$6+Parameter!$H$7,Parameter!$H$5+Parameter!$H$6+Parameter!$H$7))-(AN1339-AI1339))/AI1339)))</f>
        <v>1</v>
      </c>
      <c r="AP1339" s="50" t="n">
        <f aca="false">IF(LEFT(Cockpit!$I$5,1)="A",H1339,IF(Parameter!$E$30="MAX-Bestand",IF(CH1339=1,CI1339,IF(LEFT(Cockpit!$I$5,1)="B",AV1339,MAX(AV1339,H1339))),ROUNDUP(AT1339,0)))</f>
        <v>32</v>
      </c>
      <c r="AQ1339" s="50" t="n">
        <f aca="false">IF(BZ1339=1,0,ROUNDUP(AP1339/BY1339,0))</f>
        <v>1</v>
      </c>
      <c r="AR1339" s="52" t="n">
        <f aca="false">IF(CQ1339&gt;0,CQ1339*MAX(1,AP1339/X1339),IF(BZ1339=1,IF(AP1339&lt;=0,0,CD1339*MAX(1,IF(H1339&gt;0,AP1339/H1339,1))),IF(R1339&gt;0,AQ1339/R1339,0))/MAX(0.1,N(Parameter!$M$21)))</f>
        <v>0.0192307692307692</v>
      </c>
      <c r="AS1339" s="50" t="n">
        <f aca="false">AR1339*CB1339</f>
        <v>2.98076923076923</v>
      </c>
      <c r="AT1339" s="51" t="n">
        <f aca="false">IF(LEFT(Cockpit!$I$5,1)="A",H1339,IF(CH1339=1,(CK1339+CI1339)/2,IF(LEFT(Cockpit!$I$5,1)="B",(CK1339+AV1339)/2,MAX((CK1339+AV1339)/2,H1339))))</f>
        <v>32</v>
      </c>
      <c r="AU1339" s="50" t="n">
        <f aca="false">AT1339*G1339</f>
        <v>2882.24</v>
      </c>
      <c r="AV1339" s="50" t="n">
        <f aca="false">ROUNDUP(CK1339+MAX(CL1339,2*(J1339/IF(CG1339&gt;0,CG1339,MAX(0.1,N(Cockpit!$I$6)))-CK1339)),0)</f>
        <v>57</v>
      </c>
      <c r="AW1339" s="51" t="n">
        <f aca="false">IF(AS1339&gt;0,J1339/AS1339,-1)</f>
        <v>6.70967741935484</v>
      </c>
      <c r="AX1339" s="51" t="n">
        <f aca="false">IF(AND(OR(CF1339="L1",CF1339="L23",CF1339="LIFT"),AS1339&gt;0),SUMIFS($AS$7:$AS$1843,$CF$7:$CF$1843,CF1339,$AW$7:$AW$1843,"&gt;"&amp;AW1339)+SUMIFS($AS$7:$AS$1843,$CF$7:$CF$1843,CF1339,$AW$7:$AW$1843,AW1339,$BW$7:$BW$1843,"&lt;="&amp;BW1339),"")</f>
        <v>4117.91620879121</v>
      </c>
      <c r="AY1339" s="58" t="n">
        <f aca="false">IF(AX1339="",0,MAX(0,MIN(1,(IF(CF1339="L1",Parameter!$H$5,IF(CF1339="L23",Parameter!$H$6+Parameter!$H$7,Parameter!$H$5+Parameter!$H$6+Parameter!$H$7))-(AX1339-AS1339))/AS1339)))</f>
        <v>1</v>
      </c>
      <c r="AZ1339" s="50" t="n">
        <f aca="false">IF(LEFT(Cockpit!$O$5,1)="A",H1339,IF(Parameter!$E$30="MAX-Bestand",IF(CH1339=1,CI1339,IF(LEFT(Cockpit!$O$5,1)="B",BF1339,MAX(BF1339,H1339))),ROUNDUP(BD1339,0)))</f>
        <v>32</v>
      </c>
      <c r="BA1339" s="50" t="n">
        <f aca="false">IF(BZ1339=1,0,ROUNDUP(AZ1339/BY1339,0))</f>
        <v>1</v>
      </c>
      <c r="BB1339" s="52" t="n">
        <f aca="false">IF(CQ1339&gt;0,CQ1339*MAX(1,AZ1339/X1339),IF(BZ1339=1,IF(AZ1339&lt;=0,0,CD1339*MAX(1,IF(H1339&gt;0,AZ1339/H1339,1))),IF(R1339&gt;0,BA1339/R1339,0))/MAX(0.1,N(Parameter!$M$21)))</f>
        <v>0.0192307692307692</v>
      </c>
      <c r="BC1339" s="50" t="n">
        <f aca="false">BB1339*CB1339</f>
        <v>2.98076923076923</v>
      </c>
      <c r="BD1339" s="51" t="n">
        <f aca="false">IF(LEFT(Cockpit!$O$5,1)="A",H1339,IF(CH1339=1,(CK1339+CI1339)/2,IF(LEFT(Cockpit!$O$5,1)="B",(CK1339+BF1339)/2,MAX((CK1339+BF1339)/2,H1339))))</f>
        <v>32</v>
      </c>
      <c r="BE1339" s="50" t="n">
        <f aca="false">BD1339*G1339</f>
        <v>2882.24</v>
      </c>
      <c r="BF1339" s="50" t="n">
        <f aca="false">ROUNDUP(CK1339+MAX(CL1339,2*(J1339/IF(CG1339&gt;0,CG1339,MAX(0.1,N(Cockpit!$O$6)))-CK1339)),0)</f>
        <v>57</v>
      </c>
      <c r="BG1339" s="51" t="n">
        <f aca="false">IF(BC1339&gt;0,J1339/BC1339,-1)</f>
        <v>6.70967741935484</v>
      </c>
      <c r="BH1339" s="51" t="n">
        <f aca="false">IF(AND(OR(CF1339="L1",CF1339="L23",CF1339="LIFT"),BC1339&gt;0),SUMIFS($BC$7:$BC$1843,$CF$7:$CF$1843,CF1339,$BG$7:$BG$1843,"&gt;"&amp;BG1339)+SUMIFS($BC$7:$BC$1843,$CF$7:$CF$1843,CF1339,$BG$7:$BG$1843,BG1339,$BW$7:$BW$1843,"&lt;="&amp;BW1339),"")</f>
        <v>3387.98305860806</v>
      </c>
      <c r="BI1339" s="58" t="n">
        <f aca="false">IF(BH1339="",0,MAX(0,MIN(1,(IF(CF1339="L1",Parameter!$H$5,IF(CF1339="L23",Parameter!$H$6+Parameter!$H$7,Parameter!$H$5+Parameter!$H$6+Parameter!$H$7))-(BH1339-BC1339))/BC1339)))</f>
        <v>1</v>
      </c>
      <c r="BJ1339" s="48" t="str">
        <f aca="false">IF(AI1339&lt;=0,"",IF(CF1339="Aussen","Aussenlager",IF(CF1339="-","Nicht im Lift",IF(AO1339&gt;=1,"Lift",IF(AO1339&lt;=0,"Aussenlager","teilweise")))))</f>
        <v>Lift</v>
      </c>
      <c r="BK1339" s="48" t="str">
        <f aca="false">IF(AS1339&lt;=0,"",IF(CF1339="Aussen","Aussenlager",IF(CF1339="-","Nicht im Lift",IF(AY1339&gt;=1,"Lift",IF(AY1339&lt;=0,"Aussenlager","teilweise")))))</f>
        <v>Lift</v>
      </c>
      <c r="BL1339" s="48" t="str">
        <f aca="false">IF(BC1339&lt;=0,"",IF(CF1339="Aussen","Aussenlager",IF(CF1339="-","Nicht im Lift",IF(BI1339&gt;=1,"Lift",IF(BI1339&lt;=0,"Aussenlager","teilweise")))))</f>
        <v>Lift</v>
      </c>
      <c r="BM1339" s="48" t="str">
        <f aca="false">IF(A1339="","",IF(BV1339=1,"Neu; ","")&amp;IF(AND(BV1339=0,BQ1339&lt;0),"negativer Bestand (Export "&amp;BQ1339&amp;"); ","")&amp;IF(J1339&lt;=0,"Kein Verbrauch; ","")&amp;IF(CQ1339&gt;0,"Lift "&amp;W1339&amp;" lt. Liftbericht (Fach "&amp;X1339&amp;" Stk); ",IF(CA1339=1,"Gebinde geschätzt ("&amp;T1339&amp;"); ",IF(BZ1339=1,"Lose – Tablare geschätzt; ","")))&amp;IF(H1339&gt;AV1339,"Überbestand "&amp;ROUND(H1339-AV1339,0)&amp;" Stk / CHF "&amp;ROUND((H1339-AV1339)*G1339,0)&amp;"; ","")&amp;IF(AND(CH1339=1,CI1339&lt;CJ1339),"MAX &lt; MB+LG; ","")&amp;IF(AND(CP1339&gt;0,CO1339*10&gt;CP1339),"zu hoch für Tablar; ","")&amp;IF(AND(BV1339=0,OR(CH1339=1,AA1339&lt;&gt;"",U1339&lt;&gt;"",V1339&lt;&gt;"",AB1339&lt;&gt;"")),"manuell übersteuert; ","")&amp;IF(AND(BZ1339=0,R1339=0),"Gebinde unbekannt / Stellmass fehlt; ","")&amp;IF(AND(BZ1339=0,N(V1339)&lt;=0,N(Q1339)&lt;=0),"Menge pro Gebinde fehlt (Ist = 1 Gebinde); ","")&amp;BU1339)</f>
        <v>negativer Bestand (Export -15); </v>
      </c>
      <c r="BN1339" s="48"/>
      <c r="BO1339" s="48"/>
      <c r="BP1339" s="55"/>
      <c r="BQ1339" s="50" t="n">
        <v>-15</v>
      </c>
      <c r="BR1339" s="50" t="n">
        <v>24</v>
      </c>
      <c r="BS1339" s="49" t="n">
        <v>-1726.41</v>
      </c>
      <c r="BT1339" s="50" t="n">
        <v>20</v>
      </c>
      <c r="BU1339" s="48"/>
      <c r="BV1339" s="53" t="n">
        <v>0</v>
      </c>
      <c r="BW1339" s="53" t="n">
        <v>1339</v>
      </c>
      <c r="BX1339" s="48" t="str">
        <f aca="false">IF(U1339&lt;&gt;"",UPPER(TRIM(U1339)),IF(CA1339=1,UPPER(VLOOKUP(T1339,Parameter!$I$27:$K$29,2,0)),IF(P1339="","LOSE",P1339)))</f>
        <v>S41</v>
      </c>
      <c r="BY1339" s="50" t="n">
        <f aca="false">IF(BX1339="LOSE",1,IF(N(V1339)&gt;0,V1339,IF(CA1339=1,MAX(1,N(VLOOKUP(T1339,Parameter!$I$27:$K$29,3,0)),H1339,N(N1339)),IF(N(Q1339)&gt;0,Q1339,MAX(1,H1339)))))</f>
        <v>52</v>
      </c>
      <c r="BZ1339" s="53" t="n">
        <f aca="false">IF(BX1339="LOSE",1,0)</f>
        <v>0</v>
      </c>
      <c r="CA1339" s="53" t="n">
        <f aca="false">IF(AND(U1339="",OR(P1339="",P1339="LOSE"),T1339&lt;&gt;"",N(S1339)&lt;=0,ISNUMBER(MATCH(T1339,Parameter!$I$27:$I$29,0))),1,0)</f>
        <v>0</v>
      </c>
      <c r="CB1339" s="53" t="n">
        <f aca="false">IF(CQ1339&gt;0,INDEX(Parameter!$H$5:$H$7,W1339)/INDEX(Parameter!$E$5:$E$7,W1339),IF(AND(BZ1339=0,N(IFERROR(VLOOKUP(BX1339,'Gebinde-Kategorie'!$A$5:$N$45,14,0),0))&gt;0),VLOOKUP(BX1339,'Gebinde-Kategorie'!$A$5:$N$45,14,0)*10+Parameter!$M$23,Parameter!$M$24))</f>
        <v>155</v>
      </c>
      <c r="CC1339" s="48" t="str">
        <f aca="false">IF(AND(Parameter!$B$19="Ja",E1339&lt;&gt;"",ISNUMBER(MATCH(E1339,Parameter!$I$35:$I$52,0))),VLOOKUP(E1339,Parameter!$I$35:$J$52,2,0),IFERROR(VLOOKUP(D1339,Parameter!$A$35:$C$64,2,0),"Nein"))</f>
        <v>2+3</v>
      </c>
      <c r="CD1339" s="52" t="n">
        <f aca="false">IF(BZ1339=0,0,IF(N(S1339)&gt;0,S1339,IFERROR(VLOOKUP(D1339,Parameter!$A$35:$C$64,3,0)+0,0)))</f>
        <v>0</v>
      </c>
      <c r="CE1339" s="48" t="n">
        <f aca="false">IF(AA1339&lt;&gt;"",AA1339,Z1339)</f>
        <v>3</v>
      </c>
      <c r="CF1339" s="48" t="str">
        <f aca="false">IF(OR(CE1339=1,CE1339=2,CE1339=3),IF(Parameter!$E$27="Ja","LIFT",IF(CE1339=1,"L1","L23")),IF(CE1339="Aussen","Aussen","-"))</f>
        <v>LIFT</v>
      </c>
      <c r="CG1339" s="59" t="n">
        <f aca="false">IF(N(AB1339)&gt;0,AB1339,0)</f>
        <v>0</v>
      </c>
      <c r="CH1339" s="53" t="n">
        <f aca="false">IF(ISNUMBER(AE1339),1,0)</f>
        <v>0</v>
      </c>
      <c r="CI1339" s="50" t="n">
        <f aca="false">N(AE1339)</f>
        <v>0</v>
      </c>
      <c r="CJ1339" s="50" t="n">
        <f aca="false">N(M1339)+N(N1339)</f>
        <v>57</v>
      </c>
      <c r="CK1339" s="50" t="n">
        <f aca="false">N(M1339)</f>
        <v>7</v>
      </c>
      <c r="CL1339" s="50" t="n">
        <f aca="false">N(N1339)</f>
        <v>50</v>
      </c>
      <c r="CM1339" s="50" t="n">
        <f aca="false">ROUNDUP(H1339/BY1339,0)</f>
        <v>1</v>
      </c>
      <c r="CN1339" s="50" t="n">
        <f aca="false">ROUNDUP(CI1339/BY1339,0)</f>
        <v>0</v>
      </c>
      <c r="CO1339" s="53" t="n">
        <f aca="false">IF(BZ1339=1,0,IFERROR(VLOOKUP(BX1339,'Gebinde-Kategorie'!$A$5:$N$45,5,0)+0,0))</f>
        <v>11</v>
      </c>
      <c r="CP1339" s="53" t="n">
        <f aca="false">IFERROR(IF(OR(CE1339=1,CE1339=2,CE1339=3),N(INDEX(Parameter!$I$5:$I$7,CE1339)),0),0)</f>
        <v>0</v>
      </c>
      <c r="CQ1339" s="52" t="n">
        <f aca="false">IF(AND(Parameter!$B$21="Ja",ISNUMBER(W1339),N(X1339)&gt;0),IFERROR(N(INDEX(Parameter!$L$5:$L$7,W1339))*INDEX(Parameter!$E$5:$E$7,W1339)*X1339/SUMIFS($X$7:$X$1843,$W$7:$W$1843,W1339),0),0)</f>
        <v>0</v>
      </c>
    </row>
    <row r="1340" customFormat="false" ht="15" hidden="false" customHeight="false" outlineLevel="0" collapsed="false">
      <c r="A1340" s="48" t="s">
        <v>2380</v>
      </c>
      <c r="B1340" s="48" t="s">
        <v>2381</v>
      </c>
      <c r="C1340" s="48" t="s">
        <v>173</v>
      </c>
      <c r="D1340" s="48" t="s">
        <v>174</v>
      </c>
      <c r="E1340" s="48" t="s">
        <v>194</v>
      </c>
      <c r="F1340" s="48" t="s">
        <v>227</v>
      </c>
      <c r="G1340" s="49" t="n">
        <v>2313.78</v>
      </c>
      <c r="H1340" s="50" t="n">
        <f aca="false">MAX(0,IF(AND(Parameter!$B$21="Ja",ISNUMBER(Y1340)),Y1340,IF(Parameter!$B$20="Jahresanfang 2025 + Export",BR1340+BQ1340,BQ1340)))</f>
        <v>7</v>
      </c>
      <c r="I1340" s="50" t="n">
        <f aca="false">H1340*G1340</f>
        <v>16196.46</v>
      </c>
      <c r="J1340" s="50" t="n">
        <f aca="false">BT1340*Parameter!$B$18</f>
        <v>29</v>
      </c>
      <c r="K1340" s="51" t="n">
        <v>28</v>
      </c>
      <c r="L1340" s="52" t="n">
        <v>1.03571428571429</v>
      </c>
      <c r="M1340" s="50" t="n">
        <v>3</v>
      </c>
      <c r="N1340" s="50" t="n">
        <v>10</v>
      </c>
      <c r="O1340" s="53" t="n">
        <v>21</v>
      </c>
      <c r="P1340" s="48" t="s">
        <v>177</v>
      </c>
      <c r="Q1340" s="50"/>
      <c r="R1340" s="53" t="n">
        <f aca="false">IF(BZ1340=1,0,IFERROR(VLOOKUP(BX1340,'Gebinde-Kategorie'!$A$5:$N$45,13,0)+0,0))</f>
        <v>0</v>
      </c>
      <c r="S1340" s="54"/>
      <c r="T1340" s="55"/>
      <c r="U1340" s="55"/>
      <c r="V1340" s="55"/>
      <c r="W1340" s="48" t="n">
        <v>1</v>
      </c>
      <c r="X1340" s="50" t="n">
        <v>15</v>
      </c>
      <c r="Y1340" s="50" t="n">
        <v>7</v>
      </c>
      <c r="Z1340" s="48" t="n">
        <f aca="false">IF(A1340="","",IF(AND(Parameter!$B$21="Ja",ISNUMBER(W1340)),W1340,IF(CC1340="2+3",IF(ISNUMBER(SEARCH("grosser Artikel",BU1340)),2,IFERROR(VLOOKUP(BX1340,Parameter!$F$35:$G$64,2,0),2)),IF(OR(CC1340="Nein",CC1340=""),"-",CC1340))))</f>
        <v>1</v>
      </c>
      <c r="AA1340" s="55"/>
      <c r="AB1340" s="56"/>
      <c r="AC1340" s="50" t="n">
        <f aca="false">AV1340</f>
        <v>17</v>
      </c>
      <c r="AD1340" s="50" t="n">
        <f aca="false">MAX(AV1340,H1340)</f>
        <v>17</v>
      </c>
      <c r="AE1340" s="57"/>
      <c r="AF1340" s="50" t="n">
        <f aca="false">IF(LEFT(Cockpit!$C$5,1)="A",H1340,IF(Parameter!$E$30="MAX-Bestand",IF(CH1340=1,CI1340,IF(LEFT(Cockpit!$C$5,1)="B",AL1340,MAX(AL1340,H1340))),ROUNDUP(AJ1340,0)))</f>
        <v>7</v>
      </c>
      <c r="AG1340" s="50" t="n">
        <f aca="false">IF(BZ1340=1,0,ROUNDUP(AF1340/BY1340,0))</f>
        <v>0</v>
      </c>
      <c r="AH1340" s="52" t="n">
        <f aca="false">IF(CQ1340&gt;0,CQ1340*MAX(1,AF1340/X1340),IF(BZ1340=1,IF(AF1340&lt;=0,0,CD1340*MAX(1,IF(H1340&gt;0,AF1340/H1340,1))),IF(R1340&gt;0,AG1340/R1340,0))/MAX(0.1,N(Parameter!$M$21)))</f>
        <v>1.20056497175141</v>
      </c>
      <c r="AI1340" s="50" t="n">
        <f aca="false">AH1340*CB1340</f>
        <v>285.734463276836</v>
      </c>
      <c r="AJ1340" s="51" t="n">
        <f aca="false">IF(LEFT(Cockpit!$C$5,1)="A",H1340,IF(CH1340=1,(CK1340+CI1340)/2,IF(LEFT(Cockpit!$C$5,1)="B",(CK1340+AL1340)/2,MAX((CK1340+AL1340)/2,H1340))))</f>
        <v>7</v>
      </c>
      <c r="AK1340" s="50" t="n">
        <f aca="false">AJ1340*G1340</f>
        <v>16196.46</v>
      </c>
      <c r="AL1340" s="50" t="n">
        <f aca="false">ROUNDUP(CK1340+MAX(CL1340,2*(J1340/IF(CG1340&gt;0,CG1340,MAX(0.1,N(Cockpit!$C$6)))-CK1340)),0)</f>
        <v>17</v>
      </c>
      <c r="AM1340" s="51" t="n">
        <f aca="false">IF(AI1340&gt;0,J1340/AI1340,-1)</f>
        <v>0.101492832427088</v>
      </c>
      <c r="AN1340" s="51" t="n">
        <f aca="false">IF(AND(OR(CF1340="L1",CF1340="L23",CF1340="LIFT"),AI1340&gt;0),SUMIFS($AI$7:$AI$1843,$CF$7:$CF$1843,CF1340,$AM$7:$AM$1843,"&gt;"&amp;AM1340)+SUMIFS($AI$7:$AI$1843,$CF$7:$CF$1843,CF1340,$AM$7:$AM$1843,AM1340,$BW$7:$BW$1843,"&lt;="&amp;BW1340),"")</f>
        <v>16444.9866905693</v>
      </c>
      <c r="AO1340" s="58" t="n">
        <f aca="false">IF(AN1340="",0,MAX(0,MIN(1,(IF(CF1340="L1",Parameter!$H$5,IF(CF1340="L23",Parameter!$H$6+Parameter!$H$7,Parameter!$H$5+Parameter!$H$6+Parameter!$H$7))-(AN1340-AI1340))/AI1340)))</f>
        <v>1</v>
      </c>
      <c r="AP1340" s="50" t="n">
        <f aca="false">IF(LEFT(Cockpit!$I$5,1)="A",H1340,IF(Parameter!$E$30="MAX-Bestand",IF(CH1340=1,CI1340,IF(LEFT(Cockpit!$I$5,1)="B",AV1340,MAX(AV1340,H1340))),ROUNDUP(AT1340,0)))</f>
        <v>10</v>
      </c>
      <c r="AQ1340" s="50" t="n">
        <f aca="false">IF(BZ1340=1,0,ROUNDUP(AP1340/BY1340,0))</f>
        <v>0</v>
      </c>
      <c r="AR1340" s="52" t="n">
        <f aca="false">IF(CQ1340&gt;0,CQ1340*MAX(1,AP1340/X1340),IF(BZ1340=1,IF(AP1340&lt;=0,0,CD1340*MAX(1,IF(H1340&gt;0,AP1340/H1340,1))),IF(R1340&gt;0,AQ1340/R1340,0))/MAX(0.1,N(Parameter!$M$21)))</f>
        <v>1.20056497175141</v>
      </c>
      <c r="AS1340" s="50" t="n">
        <f aca="false">AR1340*CB1340</f>
        <v>285.734463276836</v>
      </c>
      <c r="AT1340" s="51" t="n">
        <f aca="false">IF(LEFT(Cockpit!$I$5,1)="A",H1340,IF(CH1340=1,(CK1340+CI1340)/2,IF(LEFT(Cockpit!$I$5,1)="B",(CK1340+AV1340)/2,MAX((CK1340+AV1340)/2,H1340))))</f>
        <v>10</v>
      </c>
      <c r="AU1340" s="50" t="n">
        <f aca="false">AT1340*G1340</f>
        <v>23137.8</v>
      </c>
      <c r="AV1340" s="50" t="n">
        <f aca="false">ROUNDUP(CK1340+MAX(CL1340,2*(J1340/IF(CG1340&gt;0,CG1340,MAX(0.1,N(Cockpit!$I$6)))-CK1340)),0)</f>
        <v>17</v>
      </c>
      <c r="AW1340" s="51" t="n">
        <f aca="false">IF(AS1340&gt;0,J1340/AS1340,-1)</f>
        <v>0.101492832427088</v>
      </c>
      <c r="AX1340" s="51" t="n">
        <f aca="false">IF(AND(OR(CF1340="L1",CF1340="L23",CF1340="LIFT"),AS1340&gt;0),SUMIFS($AS$7:$AS$1843,$CF$7:$CF$1843,CF1340,$AW$7:$AW$1843,"&gt;"&amp;AW1340)+SUMIFS($AS$7:$AS$1843,$CF$7:$CF$1843,CF1340,$AW$7:$AW$1843,AW1340,$BW$7:$BW$1843,"&lt;="&amp;BW1340),"")</f>
        <v>21174.3853319468</v>
      </c>
      <c r="AY1340" s="58" t="n">
        <f aca="false">IF(AX1340="",0,MAX(0,MIN(1,(IF(CF1340="L1",Parameter!$H$5,IF(CF1340="L23",Parameter!$H$6+Parameter!$H$7,Parameter!$H$5+Parameter!$H$6+Parameter!$H$7))-(AX1340-AS1340))/AS1340)))</f>
        <v>1</v>
      </c>
      <c r="AZ1340" s="50" t="n">
        <f aca="false">IF(LEFT(Cockpit!$O$5,1)="A",H1340,IF(Parameter!$E$30="MAX-Bestand",IF(CH1340=1,CI1340,IF(LEFT(Cockpit!$O$5,1)="B",BF1340,MAX(BF1340,H1340))),ROUNDUP(BD1340,0)))</f>
        <v>8</v>
      </c>
      <c r="BA1340" s="50" t="n">
        <f aca="false">IF(BZ1340=1,0,ROUNDUP(AZ1340/BY1340,0))</f>
        <v>0</v>
      </c>
      <c r="BB1340" s="52" t="n">
        <f aca="false">IF(CQ1340&gt;0,CQ1340*MAX(1,AZ1340/X1340),IF(BZ1340=1,IF(AZ1340&lt;=0,0,CD1340*MAX(1,IF(H1340&gt;0,AZ1340/H1340,1))),IF(R1340&gt;0,BA1340/R1340,0))/MAX(0.1,N(Parameter!$M$21)))</f>
        <v>1.20056497175141</v>
      </c>
      <c r="BC1340" s="50" t="n">
        <f aca="false">BB1340*CB1340</f>
        <v>285.734463276836</v>
      </c>
      <c r="BD1340" s="51" t="n">
        <f aca="false">IF(LEFT(Cockpit!$O$5,1)="A",H1340,IF(CH1340=1,(CK1340+CI1340)/2,IF(LEFT(Cockpit!$O$5,1)="B",(CK1340+BF1340)/2,MAX((CK1340+BF1340)/2,H1340))))</f>
        <v>8</v>
      </c>
      <c r="BE1340" s="50" t="n">
        <f aca="false">BD1340*G1340</f>
        <v>18510.24</v>
      </c>
      <c r="BF1340" s="50" t="n">
        <f aca="false">ROUNDUP(CK1340+MAX(CL1340,2*(J1340/IF(CG1340&gt;0,CG1340,MAX(0.1,N(Cockpit!$O$6)))-CK1340)),0)</f>
        <v>13</v>
      </c>
      <c r="BG1340" s="51" t="n">
        <f aca="false">IF(BC1340&gt;0,J1340/BC1340,-1)</f>
        <v>0.101492832427088</v>
      </c>
      <c r="BH1340" s="51" t="n">
        <f aca="false">IF(AND(OR(CF1340="L1",CF1340="L23",CF1340="LIFT"),BC1340&gt;0),SUMIFS($BC$7:$BC$1843,$CF$7:$CF$1843,CF1340,$BG$7:$BG$1843,"&gt;"&amp;BG1340)+SUMIFS($BC$7:$BC$1843,$CF$7:$CF$1843,CF1340,$BG$7:$BG$1843,BG1340,$BW$7:$BW$1843,"&lt;="&amp;BW1340),"")</f>
        <v>18020.6146111422</v>
      </c>
      <c r="BI1340" s="58" t="n">
        <f aca="false">IF(BH1340="",0,MAX(0,MIN(1,(IF(CF1340="L1",Parameter!$H$5,IF(CF1340="L23",Parameter!$H$6+Parameter!$H$7,Parameter!$H$5+Parameter!$H$6+Parameter!$H$7))-(BH1340-BC1340))/BC1340)))</f>
        <v>1</v>
      </c>
      <c r="BJ1340" s="48" t="str">
        <f aca="false">IF(AI1340&lt;=0,"",IF(CF1340="Aussen","Aussenlager",IF(CF1340="-","Nicht im Lift",IF(AO1340&gt;=1,"Lift",IF(AO1340&lt;=0,"Aussenlager","teilweise")))))</f>
        <v>Lift</v>
      </c>
      <c r="BK1340" s="48" t="str">
        <f aca="false">IF(AS1340&lt;=0,"",IF(CF1340="Aussen","Aussenlager",IF(CF1340="-","Nicht im Lift",IF(AY1340&gt;=1,"Lift",IF(AY1340&lt;=0,"Aussenlager","teilweise")))))</f>
        <v>Lift</v>
      </c>
      <c r="BL1340" s="48" t="str">
        <f aca="false">IF(BC1340&lt;=0,"",IF(CF1340="Aussen","Aussenlager",IF(CF1340="-","Nicht im Lift",IF(BI1340&gt;=1,"Lift",IF(BI1340&lt;=0,"Aussenlager","teilweise")))))</f>
        <v>Lift</v>
      </c>
      <c r="BM1340" s="48" t="str">
        <f aca="false">IF(A1340="","",IF(BV1340=1,"Neu; ","")&amp;IF(AND(BV1340=0,BQ1340&lt;0),"negativer Bestand (Export "&amp;BQ1340&amp;"); ","")&amp;IF(J1340&lt;=0,"Kein Verbrauch; ","")&amp;IF(CQ1340&gt;0,"Lift "&amp;W1340&amp;" lt. Liftbericht (Fach "&amp;X1340&amp;" Stk); ",IF(CA1340=1,"Gebinde geschätzt ("&amp;T1340&amp;"); ",IF(BZ1340=1,"Lose – Tablare geschätzt; ","")))&amp;IF(H1340&gt;AV1340,"Überbestand "&amp;ROUND(H1340-AV1340,0)&amp;" Stk / CHF "&amp;ROUND((H1340-AV1340)*G1340,0)&amp;"; ","")&amp;IF(AND(CH1340=1,CI1340&lt;CJ1340),"MAX &lt; MB+LG; ","")&amp;IF(AND(CP1340&gt;0,CO1340*10&gt;CP1340),"zu hoch für Tablar; ","")&amp;IF(AND(BV1340=0,OR(CH1340=1,AA1340&lt;&gt;"",U1340&lt;&gt;"",V1340&lt;&gt;"",AB1340&lt;&gt;"")),"manuell übersteuert; ","")&amp;IF(AND(BZ1340=0,R1340=0),"Gebinde unbekannt / Stellmass fehlt; ","")&amp;IF(AND(BZ1340=0,N(V1340)&lt;=0,N(Q1340)&lt;=0),"Menge pro Gebinde fehlt (Ist = 1 Gebinde); ","")&amp;BU1340)</f>
        <v>Lift 1 lt. Liftbericht (Fach 15 Stk); grosser Artikel &amp; nicht im KTL</v>
      </c>
      <c r="BN1340" s="48"/>
      <c r="BO1340" s="48"/>
      <c r="BP1340" s="55"/>
      <c r="BQ1340" s="50" t="n">
        <v>0</v>
      </c>
      <c r="BR1340" s="50" t="n">
        <v>31</v>
      </c>
      <c r="BS1340" s="49" t="n">
        <v>-1735.11000000002</v>
      </c>
      <c r="BT1340" s="50" t="n">
        <v>29</v>
      </c>
      <c r="BU1340" s="48" t="s">
        <v>270</v>
      </c>
      <c r="BV1340" s="53" t="n">
        <v>0</v>
      </c>
      <c r="BW1340" s="53" t="n">
        <v>1340</v>
      </c>
      <c r="BX1340" s="48" t="str">
        <f aca="false">IF(U1340&lt;&gt;"",UPPER(TRIM(U1340)),IF(CA1340=1,UPPER(VLOOKUP(T1340,Parameter!$I$27:$K$29,2,0)),IF(P1340="","LOSE",P1340)))</f>
        <v>LOSE</v>
      </c>
      <c r="BY1340" s="50" t="n">
        <f aca="false">IF(BX1340="LOSE",1,IF(N(V1340)&gt;0,V1340,IF(CA1340=1,MAX(1,N(VLOOKUP(T1340,Parameter!$I$27:$K$29,3,0)),H1340,N(N1340)),IF(N(Q1340)&gt;0,Q1340,MAX(1,H1340)))))</f>
        <v>1</v>
      </c>
      <c r="BZ1340" s="53" t="n">
        <f aca="false">IF(BX1340="LOSE",1,0)</f>
        <v>1</v>
      </c>
      <c r="CA1340" s="53" t="n">
        <f aca="false">IF(AND(U1340="",OR(P1340="",P1340="LOSE"),T1340&lt;&gt;"",N(S1340)&lt;=0,ISNUMBER(MATCH(T1340,Parameter!$I$27:$I$29,0))),1,0)</f>
        <v>0</v>
      </c>
      <c r="CB1340" s="53" t="n">
        <f aca="false">IF(CQ1340&gt;0,INDEX(Parameter!$H$5:$H$7,W1340)/INDEX(Parameter!$E$5:$E$7,W1340),IF(AND(BZ1340=0,N(IFERROR(VLOOKUP(BX1340,'Gebinde-Kategorie'!$A$5:$N$45,14,0),0))&gt;0),VLOOKUP(BX1340,'Gebinde-Kategorie'!$A$5:$N$45,14,0)*10+Parameter!$M$23,Parameter!$M$24))</f>
        <v>238</v>
      </c>
      <c r="CC1340" s="48" t="str">
        <f aca="false">IF(AND(Parameter!$B$19="Ja",E1340&lt;&gt;"",ISNUMBER(MATCH(E1340,Parameter!$I$35:$I$52,0))),VLOOKUP(E1340,Parameter!$I$35:$J$52,2,0),IFERROR(VLOOKUP(D1340,Parameter!$A$35:$C$64,2,0),"Nein"))</f>
        <v>2+3</v>
      </c>
      <c r="CD1340" s="52" t="n">
        <f aca="false">IF(BZ1340=0,0,IF(N(S1340)&gt;0,S1340,IFERROR(VLOOKUP(D1340,Parameter!$A$35:$C$64,3,0)+0,0)))</f>
        <v>1</v>
      </c>
      <c r="CE1340" s="48" t="n">
        <f aca="false">IF(AA1340&lt;&gt;"",AA1340,Z1340)</f>
        <v>1</v>
      </c>
      <c r="CF1340" s="48" t="str">
        <f aca="false">IF(OR(CE1340=1,CE1340=2,CE1340=3),IF(Parameter!$E$27="Ja","LIFT",IF(CE1340=1,"L1","L23")),IF(CE1340="Aussen","Aussen","-"))</f>
        <v>LIFT</v>
      </c>
      <c r="CG1340" s="59" t="n">
        <f aca="false">IF(N(AB1340)&gt;0,AB1340,0)</f>
        <v>0</v>
      </c>
      <c r="CH1340" s="53" t="n">
        <f aca="false">IF(ISNUMBER(AE1340),1,0)</f>
        <v>0</v>
      </c>
      <c r="CI1340" s="50" t="n">
        <f aca="false">N(AE1340)</f>
        <v>0</v>
      </c>
      <c r="CJ1340" s="50" t="n">
        <f aca="false">N(M1340)+N(N1340)</f>
        <v>13</v>
      </c>
      <c r="CK1340" s="50" t="n">
        <f aca="false">N(M1340)</f>
        <v>3</v>
      </c>
      <c r="CL1340" s="50" t="n">
        <f aca="false">N(N1340)</f>
        <v>10</v>
      </c>
      <c r="CM1340" s="50" t="n">
        <f aca="false">ROUNDUP(H1340/BY1340,0)</f>
        <v>7</v>
      </c>
      <c r="CN1340" s="50" t="n">
        <f aca="false">ROUNDUP(CI1340/BY1340,0)</f>
        <v>0</v>
      </c>
      <c r="CO1340" s="53" t="n">
        <f aca="false">IF(BZ1340=1,0,IFERROR(VLOOKUP(BX1340,'Gebinde-Kategorie'!$A$5:$N$45,5,0)+0,0))</f>
        <v>0</v>
      </c>
      <c r="CP1340" s="53" t="n">
        <f aca="false">IFERROR(IF(OR(CE1340=1,CE1340=2,CE1340=3),N(INDEX(Parameter!$I$5:$I$7,CE1340)),0),0)</f>
        <v>0</v>
      </c>
      <c r="CQ1340" s="52" t="n">
        <f aca="false">IF(AND(Parameter!$B$21="Ja",ISNUMBER(W1340),N(X1340)&gt;0),IFERROR(N(INDEX(Parameter!$L$5:$L$7,W1340))*INDEX(Parameter!$E$5:$E$7,W1340)*X1340/SUMIFS($X$7:$X$1843,$W$7:$W$1843,W1340),0),0)</f>
        <v>1.20056497175141</v>
      </c>
    </row>
    <row r="1341" customFormat="false" ht="15" hidden="false" customHeight="false" outlineLevel="0" collapsed="false">
      <c r="A1341" s="48" t="s">
        <v>2382</v>
      </c>
      <c r="B1341" s="48" t="s">
        <v>498</v>
      </c>
      <c r="C1341" s="48" t="s">
        <v>173</v>
      </c>
      <c r="D1341" s="48" t="s">
        <v>193</v>
      </c>
      <c r="E1341" s="48" t="s">
        <v>194</v>
      </c>
      <c r="F1341" s="48" t="s">
        <v>227</v>
      </c>
      <c r="G1341" s="49" t="n">
        <v>12.6</v>
      </c>
      <c r="H1341" s="50" t="n">
        <f aca="false">MAX(0,IF(AND(Parameter!$B$21="Ja",ISNUMBER(Y1341)),Y1341,IF(Parameter!$B$20="Jahresanfang 2025 + Export",BR1341+BQ1341,BQ1341)))</f>
        <v>35</v>
      </c>
      <c r="I1341" s="50" t="n">
        <f aca="false">H1341*G1341</f>
        <v>441</v>
      </c>
      <c r="J1341" s="50" t="n">
        <f aca="false">BT1341*Parameter!$B$18</f>
        <v>501</v>
      </c>
      <c r="K1341" s="51" t="n">
        <v>182</v>
      </c>
      <c r="L1341" s="52" t="n">
        <v>2.75274725274725</v>
      </c>
      <c r="M1341" s="50" t="n">
        <v>10</v>
      </c>
      <c r="N1341" s="50" t="n">
        <v>200</v>
      </c>
      <c r="O1341" s="53" t="n">
        <v>7</v>
      </c>
      <c r="P1341" s="48" t="s">
        <v>242</v>
      </c>
      <c r="Q1341" s="50" t="n">
        <v>179</v>
      </c>
      <c r="R1341" s="53" t="n">
        <f aca="false">IF(BZ1341=1,0,IFERROR(VLOOKUP(BX1341,'Gebinde-Kategorie'!$A$5:$N$45,13,0)+0,0))</f>
        <v>26</v>
      </c>
      <c r="S1341" s="54"/>
      <c r="T1341" s="55"/>
      <c r="U1341" s="55"/>
      <c r="V1341" s="55"/>
      <c r="W1341" s="48"/>
      <c r="X1341" s="50"/>
      <c r="Y1341" s="50"/>
      <c r="Z1341" s="48" t="n">
        <f aca="false">IF(A1341="","",IF(AND(Parameter!$B$21="Ja",ISNUMBER(W1341)),W1341,IF(CC1341="2+3",IF(ISNUMBER(SEARCH("grosser Artikel",BU1341)),2,IFERROR(VLOOKUP(BX1341,Parameter!$F$35:$G$64,2,0),2)),IF(OR(CC1341="Nein",CC1341=""),"-",CC1341))))</f>
        <v>3</v>
      </c>
      <c r="AA1341" s="55"/>
      <c r="AB1341" s="56"/>
      <c r="AC1341" s="50" t="n">
        <f aca="false">AV1341</f>
        <v>324</v>
      </c>
      <c r="AD1341" s="50" t="n">
        <f aca="false">MAX(AV1341,H1341)</f>
        <v>324</v>
      </c>
      <c r="AE1341" s="57"/>
      <c r="AF1341" s="50" t="n">
        <f aca="false">IF(LEFT(Cockpit!$C$5,1)="A",H1341,IF(Parameter!$E$30="MAX-Bestand",IF(CH1341=1,CI1341,IF(LEFT(Cockpit!$C$5,1)="B",AL1341,MAX(AL1341,H1341))),ROUNDUP(AJ1341,0)))</f>
        <v>35</v>
      </c>
      <c r="AG1341" s="50" t="n">
        <f aca="false">IF(BZ1341=1,0,ROUNDUP(AF1341/BY1341,0))</f>
        <v>1</v>
      </c>
      <c r="AH1341" s="52" t="n">
        <f aca="false">IF(CQ1341&gt;0,CQ1341*MAX(1,AF1341/X1341),IF(BZ1341=1,IF(AF1341&lt;=0,0,CD1341*MAX(1,IF(H1341&gt;0,AF1341/H1341,1))),IF(R1341&gt;0,AG1341/R1341,0))/MAX(0.1,N(Parameter!$M$21)))</f>
        <v>0.0384615384615385</v>
      </c>
      <c r="AI1341" s="50" t="n">
        <f aca="false">AH1341*CB1341</f>
        <v>9.42307692307692</v>
      </c>
      <c r="AJ1341" s="51" t="n">
        <f aca="false">IF(LEFT(Cockpit!$C$5,1)="A",H1341,IF(CH1341=1,(CK1341+CI1341)/2,IF(LEFT(Cockpit!$C$5,1)="B",(CK1341+AL1341)/2,MAX((CK1341+AL1341)/2,H1341))))</f>
        <v>35</v>
      </c>
      <c r="AK1341" s="50" t="n">
        <f aca="false">AJ1341*G1341</f>
        <v>441</v>
      </c>
      <c r="AL1341" s="50" t="n">
        <f aca="false">ROUNDUP(CK1341+MAX(CL1341,2*(J1341/IF(CG1341&gt;0,CG1341,MAX(0.1,N(Cockpit!$C$6)))-CK1341)),0)</f>
        <v>324</v>
      </c>
      <c r="AM1341" s="51" t="n">
        <f aca="false">IF(AI1341&gt;0,J1341/AI1341,-1)</f>
        <v>53.1673469387755</v>
      </c>
      <c r="AN1341" s="51" t="n">
        <f aca="false">IF(AND(OR(CF1341="L1",CF1341="L23",CF1341="LIFT"),AI1341&gt;0),SUMIFS($AI$7:$AI$1843,$CF$7:$CF$1843,CF1341,$AM$7:$AM$1843,"&gt;"&amp;AM1341)+SUMIFS($AI$7:$AI$1843,$CF$7:$CF$1843,CF1341,$AM$7:$AM$1843,AM1341,$BW$7:$BW$1843,"&lt;="&amp;BW1341),"")</f>
        <v>1011.97115384615</v>
      </c>
      <c r="AO1341" s="58" t="n">
        <f aca="false">IF(AN1341="",0,MAX(0,MIN(1,(IF(CF1341="L1",Parameter!$H$5,IF(CF1341="L23",Parameter!$H$6+Parameter!$H$7,Parameter!$H$5+Parameter!$H$6+Parameter!$H$7))-(AN1341-AI1341))/AI1341)))</f>
        <v>1</v>
      </c>
      <c r="AP1341" s="50" t="n">
        <f aca="false">IF(LEFT(Cockpit!$I$5,1)="A",H1341,IF(Parameter!$E$30="MAX-Bestand",IF(CH1341=1,CI1341,IF(LEFT(Cockpit!$I$5,1)="B",AV1341,MAX(AV1341,H1341))),ROUNDUP(AT1341,0)))</f>
        <v>167</v>
      </c>
      <c r="AQ1341" s="50" t="n">
        <f aca="false">IF(BZ1341=1,0,ROUNDUP(AP1341/BY1341,0))</f>
        <v>1</v>
      </c>
      <c r="AR1341" s="52" t="n">
        <f aca="false">IF(CQ1341&gt;0,CQ1341*MAX(1,AP1341/X1341),IF(BZ1341=1,IF(AP1341&lt;=0,0,CD1341*MAX(1,IF(H1341&gt;0,AP1341/H1341,1))),IF(R1341&gt;0,AQ1341/R1341,0))/MAX(0.1,N(Parameter!$M$21)))</f>
        <v>0.0384615384615385</v>
      </c>
      <c r="AS1341" s="50" t="n">
        <f aca="false">AR1341*CB1341</f>
        <v>9.42307692307692</v>
      </c>
      <c r="AT1341" s="51" t="n">
        <f aca="false">IF(LEFT(Cockpit!$I$5,1)="A",H1341,IF(CH1341=1,(CK1341+CI1341)/2,IF(LEFT(Cockpit!$I$5,1)="B",(CK1341+AV1341)/2,MAX((CK1341+AV1341)/2,H1341))))</f>
        <v>167</v>
      </c>
      <c r="AU1341" s="50" t="n">
        <f aca="false">AT1341*G1341</f>
        <v>2104.2</v>
      </c>
      <c r="AV1341" s="50" t="n">
        <f aca="false">ROUNDUP(CK1341+MAX(CL1341,2*(J1341/IF(CG1341&gt;0,CG1341,MAX(0.1,N(Cockpit!$I$6)))-CK1341)),0)</f>
        <v>324</v>
      </c>
      <c r="AW1341" s="51" t="n">
        <f aca="false">IF(AS1341&gt;0,J1341/AS1341,-1)</f>
        <v>53.1673469387755</v>
      </c>
      <c r="AX1341" s="51" t="n">
        <f aca="false">IF(AND(OR(CF1341="L1",CF1341="L23",CF1341="LIFT"),AS1341&gt;0),SUMIFS($AS$7:$AS$1843,$CF$7:$CF$1843,CF1341,$AW$7:$AW$1843,"&gt;"&amp;AW1341)+SUMIFS($AS$7:$AS$1843,$CF$7:$CF$1843,CF1341,$AW$7:$AW$1843,AW1341,$BW$7:$BW$1843,"&lt;="&amp;BW1341),"")</f>
        <v>1295.66712454212</v>
      </c>
      <c r="AY1341" s="58" t="n">
        <f aca="false">IF(AX1341="",0,MAX(0,MIN(1,(IF(CF1341="L1",Parameter!$H$5,IF(CF1341="L23",Parameter!$H$6+Parameter!$H$7,Parameter!$H$5+Parameter!$H$6+Parameter!$H$7))-(AX1341-AS1341))/AS1341)))</f>
        <v>1</v>
      </c>
      <c r="AZ1341" s="50" t="n">
        <f aca="false">IF(LEFT(Cockpit!$O$5,1)="A",H1341,IF(Parameter!$E$30="MAX-Bestand",IF(CH1341=1,CI1341,IF(LEFT(Cockpit!$O$5,1)="B",BF1341,MAX(BF1341,H1341))),ROUNDUP(BD1341,0)))</f>
        <v>126</v>
      </c>
      <c r="BA1341" s="50" t="n">
        <f aca="false">IF(BZ1341=1,0,ROUNDUP(AZ1341/BY1341,0))</f>
        <v>1</v>
      </c>
      <c r="BB1341" s="52" t="n">
        <f aca="false">IF(CQ1341&gt;0,CQ1341*MAX(1,AZ1341/X1341),IF(BZ1341=1,IF(AZ1341&lt;=0,0,CD1341*MAX(1,IF(H1341&gt;0,AZ1341/H1341,1))),IF(R1341&gt;0,BA1341/R1341,0))/MAX(0.1,N(Parameter!$M$21)))</f>
        <v>0.0384615384615385</v>
      </c>
      <c r="BC1341" s="50" t="n">
        <f aca="false">BB1341*CB1341</f>
        <v>9.42307692307692</v>
      </c>
      <c r="BD1341" s="51" t="n">
        <f aca="false">IF(LEFT(Cockpit!$O$5,1)="A",H1341,IF(CH1341=1,(CK1341+CI1341)/2,IF(LEFT(Cockpit!$O$5,1)="B",(CK1341+BF1341)/2,MAX((CK1341+BF1341)/2,H1341))))</f>
        <v>125.5</v>
      </c>
      <c r="BE1341" s="50" t="n">
        <f aca="false">BD1341*G1341</f>
        <v>1581.3</v>
      </c>
      <c r="BF1341" s="50" t="n">
        <f aca="false">ROUNDUP(CK1341+MAX(CL1341,2*(J1341/IF(CG1341&gt;0,CG1341,MAX(0.1,N(Cockpit!$O$6)))-CK1341)),0)</f>
        <v>241</v>
      </c>
      <c r="BG1341" s="51" t="n">
        <f aca="false">IF(BC1341&gt;0,J1341/BC1341,-1)</f>
        <v>53.1673469387755</v>
      </c>
      <c r="BH1341" s="51" t="n">
        <f aca="false">IF(AND(OR(CF1341="L1",CF1341="L23",CF1341="LIFT"),BC1341&gt;0),SUMIFS($BC$7:$BC$1843,$CF$7:$CF$1843,CF1341,$BG$7:$BG$1843,"&gt;"&amp;BG1341)+SUMIFS($BC$7:$BC$1843,$CF$7:$CF$1843,CF1341,$BG$7:$BG$1843,BG1341,$BW$7:$BW$1843,"&lt;="&amp;BW1341),"")</f>
        <v>1189.12362637363</v>
      </c>
      <c r="BI1341" s="58" t="n">
        <f aca="false">IF(BH1341="",0,MAX(0,MIN(1,(IF(CF1341="L1",Parameter!$H$5,IF(CF1341="L23",Parameter!$H$6+Parameter!$H$7,Parameter!$H$5+Parameter!$H$6+Parameter!$H$7))-(BH1341-BC1341))/BC1341)))</f>
        <v>1</v>
      </c>
      <c r="BJ1341" s="48" t="str">
        <f aca="false">IF(AI1341&lt;=0,"",IF(CF1341="Aussen","Aussenlager",IF(CF1341="-","Nicht im Lift",IF(AO1341&gt;=1,"Lift",IF(AO1341&lt;=0,"Aussenlager","teilweise")))))</f>
        <v>Lift</v>
      </c>
      <c r="BK1341" s="48" t="str">
        <f aca="false">IF(AS1341&lt;=0,"",IF(CF1341="Aussen","Aussenlager",IF(CF1341="-","Nicht im Lift",IF(AY1341&gt;=1,"Lift",IF(AY1341&lt;=0,"Aussenlager","teilweise")))))</f>
        <v>Lift</v>
      </c>
      <c r="BL1341" s="48" t="str">
        <f aca="false">IF(BC1341&lt;=0,"",IF(CF1341="Aussen","Aussenlager",IF(CF1341="-","Nicht im Lift",IF(BI1341&gt;=1,"Lift",IF(BI1341&lt;=0,"Aussenlager","teilweise")))))</f>
        <v>Lift</v>
      </c>
      <c r="BM1341" s="48" t="str">
        <f aca="false">IF(A1341="","",IF(BV1341=1,"Neu; ","")&amp;IF(AND(BV1341=0,BQ1341&lt;0),"negativer Bestand (Export "&amp;BQ1341&amp;"); ","")&amp;IF(J1341&lt;=0,"Kein Verbrauch; ","")&amp;IF(CQ1341&gt;0,"Lift "&amp;W1341&amp;" lt. Liftbericht (Fach "&amp;X1341&amp;" Stk); ",IF(CA1341=1,"Gebinde geschätzt ("&amp;T1341&amp;"); ",IF(BZ1341=1,"Lose – Tablare geschätzt; ","")))&amp;IF(H1341&gt;AV1341,"Überbestand "&amp;ROUND(H1341-AV1341,0)&amp;" Stk / CHF "&amp;ROUND((H1341-AV1341)*G1341,0)&amp;"; ","")&amp;IF(AND(CH1341=1,CI1341&lt;CJ1341),"MAX &lt; MB+LG; ","")&amp;IF(AND(CP1341&gt;0,CO1341*10&gt;CP1341),"zu hoch für Tablar; ","")&amp;IF(AND(BV1341=0,OR(CH1341=1,AA1341&lt;&gt;"",U1341&lt;&gt;"",V1341&lt;&gt;"",AB1341&lt;&gt;"")),"manuell übersteuert; ","")&amp;IF(AND(BZ1341=0,R1341=0),"Gebinde unbekannt / Stellmass fehlt; ","")&amp;IF(AND(BZ1341=0,N(V1341)&lt;=0,N(Q1341)&lt;=0),"Menge pro Gebinde fehlt (Ist = 1 Gebinde); ","")&amp;BU1341)</f>
        <v>negativer Bestand (Export -136); </v>
      </c>
      <c r="BN1341" s="48"/>
      <c r="BO1341" s="48"/>
      <c r="BP1341" s="55"/>
      <c r="BQ1341" s="50" t="n">
        <v>-136</v>
      </c>
      <c r="BR1341" s="50" t="n">
        <v>171</v>
      </c>
      <c r="BS1341" s="49" t="n">
        <v>-1772.05</v>
      </c>
      <c r="BT1341" s="50" t="n">
        <v>501</v>
      </c>
      <c r="BU1341" s="48"/>
      <c r="BV1341" s="53" t="n">
        <v>0</v>
      </c>
      <c r="BW1341" s="53" t="n">
        <v>1341</v>
      </c>
      <c r="BX1341" s="48" t="str">
        <f aca="false">IF(U1341&lt;&gt;"",UPPER(TRIM(U1341)),IF(CA1341=1,UPPER(VLOOKUP(T1341,Parameter!$I$27:$K$29,2,0)),IF(P1341="","LOSE",P1341)))</f>
        <v>S52</v>
      </c>
      <c r="BY1341" s="50" t="n">
        <f aca="false">IF(BX1341="LOSE",1,IF(N(V1341)&gt;0,V1341,IF(CA1341=1,MAX(1,N(VLOOKUP(T1341,Parameter!$I$27:$K$29,3,0)),H1341,N(N1341)),IF(N(Q1341)&gt;0,Q1341,MAX(1,H1341)))))</f>
        <v>179</v>
      </c>
      <c r="BZ1341" s="53" t="n">
        <f aca="false">IF(BX1341="LOSE",1,0)</f>
        <v>0</v>
      </c>
      <c r="CA1341" s="53" t="n">
        <f aca="false">IF(AND(U1341="",OR(P1341="",P1341="LOSE"),T1341&lt;&gt;"",N(S1341)&lt;=0,ISNUMBER(MATCH(T1341,Parameter!$I$27:$I$29,0))),1,0)</f>
        <v>0</v>
      </c>
      <c r="CB1341" s="53" t="n">
        <f aca="false">IF(CQ1341&gt;0,INDEX(Parameter!$H$5:$H$7,W1341)/INDEX(Parameter!$E$5:$E$7,W1341),IF(AND(BZ1341=0,N(IFERROR(VLOOKUP(BX1341,'Gebinde-Kategorie'!$A$5:$N$45,14,0),0))&gt;0),VLOOKUP(BX1341,'Gebinde-Kategorie'!$A$5:$N$45,14,0)*10+Parameter!$M$23,Parameter!$M$24))</f>
        <v>245</v>
      </c>
      <c r="CC1341" s="48" t="str">
        <f aca="false">IF(AND(Parameter!$B$19="Ja",E1341&lt;&gt;"",ISNUMBER(MATCH(E1341,Parameter!$I$35:$I$52,0))),VLOOKUP(E1341,Parameter!$I$35:$J$52,2,0),IFERROR(VLOOKUP(D1341,Parameter!$A$35:$C$64,2,0),"Nein"))</f>
        <v>2+3</v>
      </c>
      <c r="CD1341" s="52" t="n">
        <f aca="false">IF(BZ1341=0,0,IF(N(S1341)&gt;0,S1341,IFERROR(VLOOKUP(D1341,Parameter!$A$35:$C$64,3,0)+0,0)))</f>
        <v>0</v>
      </c>
      <c r="CE1341" s="48" t="n">
        <f aca="false">IF(AA1341&lt;&gt;"",AA1341,Z1341)</f>
        <v>3</v>
      </c>
      <c r="CF1341" s="48" t="str">
        <f aca="false">IF(OR(CE1341=1,CE1341=2,CE1341=3),IF(Parameter!$E$27="Ja","LIFT",IF(CE1341=1,"L1","L23")),IF(CE1341="Aussen","Aussen","-"))</f>
        <v>LIFT</v>
      </c>
      <c r="CG1341" s="59" t="n">
        <f aca="false">IF(N(AB1341)&gt;0,AB1341,0)</f>
        <v>0</v>
      </c>
      <c r="CH1341" s="53" t="n">
        <f aca="false">IF(ISNUMBER(AE1341),1,0)</f>
        <v>0</v>
      </c>
      <c r="CI1341" s="50" t="n">
        <f aca="false">N(AE1341)</f>
        <v>0</v>
      </c>
      <c r="CJ1341" s="50" t="n">
        <f aca="false">N(M1341)+N(N1341)</f>
        <v>210</v>
      </c>
      <c r="CK1341" s="50" t="n">
        <f aca="false">N(M1341)</f>
        <v>10</v>
      </c>
      <c r="CL1341" s="50" t="n">
        <f aca="false">N(N1341)</f>
        <v>200</v>
      </c>
      <c r="CM1341" s="50" t="n">
        <f aca="false">ROUNDUP(H1341/BY1341,0)</f>
        <v>1</v>
      </c>
      <c r="CN1341" s="50" t="n">
        <f aca="false">ROUNDUP(CI1341/BY1341,0)</f>
        <v>0</v>
      </c>
      <c r="CO1341" s="53" t="n">
        <f aca="false">IF(BZ1341=1,0,IFERROR(VLOOKUP(BX1341,'Gebinde-Kategorie'!$A$5:$N$45,5,0)+0,0))</f>
        <v>21</v>
      </c>
      <c r="CP1341" s="53" t="n">
        <f aca="false">IFERROR(IF(OR(CE1341=1,CE1341=2,CE1341=3),N(INDEX(Parameter!$I$5:$I$7,CE1341)),0),0)</f>
        <v>0</v>
      </c>
      <c r="CQ1341" s="52" t="n">
        <f aca="false">IF(AND(Parameter!$B$21="Ja",ISNUMBER(W1341),N(X1341)&gt;0),IFERROR(N(INDEX(Parameter!$L$5:$L$7,W1341))*INDEX(Parameter!$E$5:$E$7,W1341)*X1341/SUMIFS($X$7:$X$1843,$W$7:$W$1843,W1341),0),0)</f>
        <v>0</v>
      </c>
    </row>
    <row r="1342" customFormat="false" ht="15" hidden="false" customHeight="false" outlineLevel="0" collapsed="false">
      <c r="A1342" s="48" t="s">
        <v>2383</v>
      </c>
      <c r="B1342" s="48" t="s">
        <v>2384</v>
      </c>
      <c r="C1342" s="48" t="s">
        <v>173</v>
      </c>
      <c r="D1342" s="48" t="s">
        <v>193</v>
      </c>
      <c r="E1342" s="48"/>
      <c r="F1342" s="48" t="s">
        <v>227</v>
      </c>
      <c r="G1342" s="49" t="n">
        <v>27.71</v>
      </c>
      <c r="H1342" s="50" t="n">
        <f aca="false">MAX(0,IF(AND(Parameter!$B$21="Ja",ISNUMBER(Y1342)),Y1342,IF(Parameter!$B$20="Jahresanfang 2025 + Export",BR1342+BQ1342,BQ1342)))</f>
        <v>11</v>
      </c>
      <c r="I1342" s="50" t="n">
        <f aca="false">H1342*G1342</f>
        <v>304.81</v>
      </c>
      <c r="J1342" s="50" t="n">
        <f aca="false">BT1342*Parameter!$B$18</f>
        <v>1</v>
      </c>
      <c r="K1342" s="51" t="n">
        <v>63.5</v>
      </c>
      <c r="L1342" s="52" t="n">
        <v>0.015748031496063</v>
      </c>
      <c r="M1342" s="50" t="n">
        <v>0</v>
      </c>
      <c r="N1342" s="50" t="n">
        <v>1</v>
      </c>
      <c r="O1342" s="53" t="n">
        <v>49</v>
      </c>
      <c r="P1342" s="48" t="s">
        <v>311</v>
      </c>
      <c r="Q1342" s="50" t="n">
        <v>35</v>
      </c>
      <c r="R1342" s="53" t="n">
        <f aca="false">IF(BZ1342=1,0,IFERROR(VLOOKUP(BX1342,'Gebinde-Kategorie'!$A$5:$N$45,13,0)+0,0))</f>
        <v>26</v>
      </c>
      <c r="S1342" s="54"/>
      <c r="T1342" s="55"/>
      <c r="U1342" s="55"/>
      <c r="V1342" s="55"/>
      <c r="W1342" s="48"/>
      <c r="X1342" s="50"/>
      <c r="Y1342" s="50"/>
      <c r="Z1342" s="48" t="n">
        <f aca="false">IF(A1342="","",IF(AND(Parameter!$B$21="Ja",ISNUMBER(W1342)),W1342,IF(CC1342="2+3",IF(ISNUMBER(SEARCH("grosser Artikel",BU1342)),2,IFERROR(VLOOKUP(BX1342,Parameter!$F$35:$G$64,2,0),2)),IF(OR(CC1342="Nein",CC1342=""),"-",CC1342))))</f>
        <v>3</v>
      </c>
      <c r="AA1342" s="55"/>
      <c r="AB1342" s="56"/>
      <c r="AC1342" s="50" t="n">
        <f aca="false">AV1342</f>
        <v>1</v>
      </c>
      <c r="AD1342" s="50" t="n">
        <f aca="false">MAX(AV1342,H1342)</f>
        <v>11</v>
      </c>
      <c r="AE1342" s="57"/>
      <c r="AF1342" s="50" t="n">
        <f aca="false">IF(LEFT(Cockpit!$C$5,1)="A",H1342,IF(Parameter!$E$30="MAX-Bestand",IF(CH1342=1,CI1342,IF(LEFT(Cockpit!$C$5,1)="B",AL1342,MAX(AL1342,H1342))),ROUNDUP(AJ1342,0)))</f>
        <v>11</v>
      </c>
      <c r="AG1342" s="50" t="n">
        <f aca="false">IF(BZ1342=1,0,ROUNDUP(AF1342/BY1342,0))</f>
        <v>1</v>
      </c>
      <c r="AH1342" s="52" t="n">
        <f aca="false">IF(CQ1342&gt;0,CQ1342*MAX(1,AF1342/X1342),IF(BZ1342=1,IF(AF1342&lt;=0,0,CD1342*MAX(1,IF(H1342&gt;0,AF1342/H1342,1))),IF(R1342&gt;0,AG1342/R1342,0))/MAX(0.1,N(Parameter!$M$21)))</f>
        <v>0.0384615384615385</v>
      </c>
      <c r="AI1342" s="50" t="n">
        <f aca="false">AH1342*CB1342</f>
        <v>5.96153846153846</v>
      </c>
      <c r="AJ1342" s="51" t="n">
        <f aca="false">IF(LEFT(Cockpit!$C$5,1)="A",H1342,IF(CH1342=1,(CK1342+CI1342)/2,IF(LEFT(Cockpit!$C$5,1)="B",(CK1342+AL1342)/2,MAX((CK1342+AL1342)/2,H1342))))</f>
        <v>11</v>
      </c>
      <c r="AK1342" s="50" t="n">
        <f aca="false">AJ1342*G1342</f>
        <v>304.81</v>
      </c>
      <c r="AL1342" s="50" t="n">
        <f aca="false">ROUNDUP(CK1342+MAX(CL1342,2*(J1342/IF(CG1342&gt;0,CG1342,MAX(0.1,N(Cockpit!$C$6)))-CK1342)),0)</f>
        <v>1</v>
      </c>
      <c r="AM1342" s="51" t="n">
        <f aca="false">IF(AI1342&gt;0,J1342/AI1342,-1)</f>
        <v>0.167741935483871</v>
      </c>
      <c r="AN1342" s="51" t="n">
        <f aca="false">IF(AND(OR(CF1342="L1",CF1342="L23",CF1342="LIFT"),AI1342&gt;0),SUMIFS($AI$7:$AI$1843,$CF$7:$CF$1843,CF1342,$AM$7:$AM$1843,"&gt;"&amp;AM1342)+SUMIFS($AI$7:$AI$1843,$CF$7:$CF$1843,CF1342,$AM$7:$AM$1843,AM1342,$BW$7:$BW$1843,"&lt;="&amp;BW1342),"")</f>
        <v>12763.1952593075</v>
      </c>
      <c r="AO1342" s="58" t="n">
        <f aca="false">IF(AN1342="",0,MAX(0,MIN(1,(IF(CF1342="L1",Parameter!$H$5,IF(CF1342="L23",Parameter!$H$6+Parameter!$H$7,Parameter!$H$5+Parameter!$H$6+Parameter!$H$7))-(AN1342-AI1342))/AI1342)))</f>
        <v>1</v>
      </c>
      <c r="AP1342" s="50" t="n">
        <f aca="false">IF(LEFT(Cockpit!$I$5,1)="A",H1342,IF(Parameter!$E$30="MAX-Bestand",IF(CH1342=1,CI1342,IF(LEFT(Cockpit!$I$5,1)="B",AV1342,MAX(AV1342,H1342))),ROUNDUP(AT1342,0)))</f>
        <v>11</v>
      </c>
      <c r="AQ1342" s="50" t="n">
        <f aca="false">IF(BZ1342=1,0,ROUNDUP(AP1342/BY1342,0))</f>
        <v>1</v>
      </c>
      <c r="AR1342" s="52" t="n">
        <f aca="false">IF(CQ1342&gt;0,CQ1342*MAX(1,AP1342/X1342),IF(BZ1342=1,IF(AP1342&lt;=0,0,CD1342*MAX(1,IF(H1342&gt;0,AP1342/H1342,1))),IF(R1342&gt;0,AQ1342/R1342,0))/MAX(0.1,N(Parameter!$M$21)))</f>
        <v>0.0384615384615385</v>
      </c>
      <c r="AS1342" s="50" t="n">
        <f aca="false">AR1342*CB1342</f>
        <v>5.96153846153846</v>
      </c>
      <c r="AT1342" s="51" t="n">
        <f aca="false">IF(LEFT(Cockpit!$I$5,1)="A",H1342,IF(CH1342=1,(CK1342+CI1342)/2,IF(LEFT(Cockpit!$I$5,1)="B",(CK1342+AV1342)/2,MAX((CK1342+AV1342)/2,H1342))))</f>
        <v>11</v>
      </c>
      <c r="AU1342" s="50" t="n">
        <f aca="false">AT1342*G1342</f>
        <v>304.81</v>
      </c>
      <c r="AV1342" s="50" t="n">
        <f aca="false">ROUNDUP(CK1342+MAX(CL1342,2*(J1342/IF(CG1342&gt;0,CG1342,MAX(0.1,N(Cockpit!$I$6)))-CK1342)),0)</f>
        <v>1</v>
      </c>
      <c r="AW1342" s="51" t="n">
        <f aca="false">IF(AS1342&gt;0,J1342/AS1342,-1)</f>
        <v>0.167741935483871</v>
      </c>
      <c r="AX1342" s="51" t="n">
        <f aca="false">IF(AND(OR(CF1342="L1",CF1342="L23",CF1342="LIFT"),AS1342&gt;0),SUMIFS($AS$7:$AS$1843,$CF$7:$CF$1843,CF1342,$AW$7:$AW$1843,"&gt;"&amp;AW1342)+SUMIFS($AS$7:$AS$1843,$CF$7:$CF$1843,CF1342,$AW$7:$AW$1843,AW1342,$BW$7:$BW$1843,"&lt;="&amp;BW1342),"")</f>
        <v>15691.8759157509</v>
      </c>
      <c r="AY1342" s="58" t="n">
        <f aca="false">IF(AX1342="",0,MAX(0,MIN(1,(IF(CF1342="L1",Parameter!$H$5,IF(CF1342="L23",Parameter!$H$6+Parameter!$H$7,Parameter!$H$5+Parameter!$H$6+Parameter!$H$7))-(AX1342-AS1342))/AS1342)))</f>
        <v>1</v>
      </c>
      <c r="AZ1342" s="50" t="n">
        <f aca="false">IF(LEFT(Cockpit!$O$5,1)="A",H1342,IF(Parameter!$E$30="MAX-Bestand",IF(CH1342=1,CI1342,IF(LEFT(Cockpit!$O$5,1)="B",BF1342,MAX(BF1342,H1342))),ROUNDUP(BD1342,0)))</f>
        <v>1</v>
      </c>
      <c r="BA1342" s="50" t="n">
        <f aca="false">IF(BZ1342=1,0,ROUNDUP(AZ1342/BY1342,0))</f>
        <v>1</v>
      </c>
      <c r="BB1342" s="52" t="n">
        <f aca="false">IF(CQ1342&gt;0,CQ1342*MAX(1,AZ1342/X1342),IF(BZ1342=1,IF(AZ1342&lt;=0,0,CD1342*MAX(1,IF(H1342&gt;0,AZ1342/H1342,1))),IF(R1342&gt;0,BA1342/R1342,0))/MAX(0.1,N(Parameter!$M$21)))</f>
        <v>0.0384615384615385</v>
      </c>
      <c r="BC1342" s="50" t="n">
        <f aca="false">BB1342*CB1342</f>
        <v>5.96153846153846</v>
      </c>
      <c r="BD1342" s="51" t="n">
        <f aca="false">IF(LEFT(Cockpit!$O$5,1)="A",H1342,IF(CH1342=1,(CK1342+CI1342)/2,IF(LEFT(Cockpit!$O$5,1)="B",(CK1342+BF1342)/2,MAX((CK1342+BF1342)/2,H1342))))</f>
        <v>0.5</v>
      </c>
      <c r="BE1342" s="50" t="n">
        <f aca="false">BD1342*G1342</f>
        <v>13.855</v>
      </c>
      <c r="BF1342" s="50" t="n">
        <f aca="false">ROUNDUP(CK1342+MAX(CL1342,2*(J1342/IF(CG1342&gt;0,CG1342,MAX(0.1,N(Cockpit!$O$6)))-CK1342)),0)</f>
        <v>1</v>
      </c>
      <c r="BG1342" s="51" t="n">
        <f aca="false">IF(BC1342&gt;0,J1342/BC1342,-1)</f>
        <v>0.167741935483871</v>
      </c>
      <c r="BH1342" s="51" t="n">
        <f aca="false">IF(AND(OR(CF1342="L1",CF1342="L23",CF1342="LIFT"),BC1342&gt;0),SUMIFS($BC$7:$BC$1843,$CF$7:$CF$1843,CF1342,$BG$7:$BG$1843,"&gt;"&amp;BG1342)+SUMIFS($BC$7:$BC$1843,$CF$7:$CF$1843,CF1342,$BG$7:$BG$1843,BG1342,$BW$7:$BW$1843,"&lt;="&amp;BW1342),"")</f>
        <v>13494.1757439829</v>
      </c>
      <c r="BI1342" s="58" t="n">
        <f aca="false">IF(BH1342="",0,MAX(0,MIN(1,(IF(CF1342="L1",Parameter!$H$5,IF(CF1342="L23",Parameter!$H$6+Parameter!$H$7,Parameter!$H$5+Parameter!$H$6+Parameter!$H$7))-(BH1342-BC1342))/BC1342)))</f>
        <v>1</v>
      </c>
      <c r="BJ1342" s="48" t="str">
        <f aca="false">IF(AI1342&lt;=0,"",IF(CF1342="Aussen","Aussenlager",IF(CF1342="-","Nicht im Lift",IF(AO1342&gt;=1,"Lift",IF(AO1342&lt;=0,"Aussenlager","teilweise")))))</f>
        <v>Lift</v>
      </c>
      <c r="BK1342" s="48" t="str">
        <f aca="false">IF(AS1342&lt;=0,"",IF(CF1342="Aussen","Aussenlager",IF(CF1342="-","Nicht im Lift",IF(AY1342&gt;=1,"Lift",IF(AY1342&lt;=0,"Aussenlager","teilweise")))))</f>
        <v>Lift</v>
      </c>
      <c r="BL1342" s="48" t="str">
        <f aca="false">IF(BC1342&lt;=0,"",IF(CF1342="Aussen","Aussenlager",IF(CF1342="-","Nicht im Lift",IF(BI1342&gt;=1,"Lift",IF(BI1342&lt;=0,"Aussenlager","teilweise")))))</f>
        <v>Lift</v>
      </c>
      <c r="BM1342" s="48" t="str">
        <f aca="false">IF(A1342="","",IF(BV1342=1,"Neu; ","")&amp;IF(AND(BV1342=0,BQ1342&lt;0),"negativer Bestand (Export "&amp;BQ1342&amp;"); ","")&amp;IF(J1342&lt;=0,"Kein Verbrauch; ","")&amp;IF(CQ1342&gt;0,"Lift "&amp;W1342&amp;" lt. Liftbericht (Fach "&amp;X1342&amp;" Stk); ",IF(CA1342=1,"Gebinde geschätzt ("&amp;T1342&amp;"); ",IF(BZ1342=1,"Lose – Tablare geschätzt; ","")))&amp;IF(H1342&gt;AV1342,"Überbestand "&amp;ROUND(H1342-AV1342,0)&amp;" Stk / CHF "&amp;ROUND((H1342-AV1342)*G1342,0)&amp;"; ","")&amp;IF(AND(CH1342=1,CI1342&lt;CJ1342),"MAX &lt; MB+LG; ","")&amp;IF(AND(CP1342&gt;0,CO1342*10&gt;CP1342),"zu hoch für Tablar; ","")&amp;IF(AND(BV1342=0,OR(CH1342=1,AA1342&lt;&gt;"",U1342&lt;&gt;"",V1342&lt;&gt;"",AB1342&lt;&gt;"")),"manuell übersteuert; ","")&amp;IF(AND(BZ1342=0,R1342=0),"Gebinde unbekannt / Stellmass fehlt; ","")&amp;IF(AND(BZ1342=0,N(V1342)&lt;=0,N(Q1342)&lt;=0),"Menge pro Gebinde fehlt (Ist = 1 Gebinde); ","")&amp;BU1342)</f>
        <v>negativer Bestand (Export -65); Überbestand 10 Stk / CHF 277; </v>
      </c>
      <c r="BN1342" s="48"/>
      <c r="BO1342" s="48"/>
      <c r="BP1342" s="55"/>
      <c r="BQ1342" s="50" t="n">
        <v>-65</v>
      </c>
      <c r="BR1342" s="50" t="n">
        <v>76</v>
      </c>
      <c r="BS1342" s="49" t="n">
        <v>-1801.15</v>
      </c>
      <c r="BT1342" s="50" t="n">
        <v>1</v>
      </c>
      <c r="BU1342" s="48"/>
      <c r="BV1342" s="53" t="n">
        <v>0</v>
      </c>
      <c r="BW1342" s="53" t="n">
        <v>1342</v>
      </c>
      <c r="BX1342" s="48" t="str">
        <f aca="false">IF(U1342&lt;&gt;"",UPPER(TRIM(U1342)),IF(CA1342=1,UPPER(VLOOKUP(T1342,Parameter!$I$27:$K$29,2,0)),IF(P1342="","LOSE",P1342)))</f>
        <v>S51</v>
      </c>
      <c r="BY1342" s="50" t="n">
        <f aca="false">IF(BX1342="LOSE",1,IF(N(V1342)&gt;0,V1342,IF(CA1342=1,MAX(1,N(VLOOKUP(T1342,Parameter!$I$27:$K$29,3,0)),H1342,N(N1342)),IF(N(Q1342)&gt;0,Q1342,MAX(1,H1342)))))</f>
        <v>35</v>
      </c>
      <c r="BZ1342" s="53" t="n">
        <f aca="false">IF(BX1342="LOSE",1,0)</f>
        <v>0</v>
      </c>
      <c r="CA1342" s="53" t="n">
        <f aca="false">IF(AND(U1342="",OR(P1342="",P1342="LOSE"),T1342&lt;&gt;"",N(S1342)&lt;=0,ISNUMBER(MATCH(T1342,Parameter!$I$27:$I$29,0))),1,0)</f>
        <v>0</v>
      </c>
      <c r="CB1342" s="53" t="n">
        <f aca="false">IF(CQ1342&gt;0,INDEX(Parameter!$H$5:$H$7,W1342)/INDEX(Parameter!$E$5:$E$7,W1342),IF(AND(BZ1342=0,N(IFERROR(VLOOKUP(BX1342,'Gebinde-Kategorie'!$A$5:$N$45,14,0),0))&gt;0),VLOOKUP(BX1342,'Gebinde-Kategorie'!$A$5:$N$45,14,0)*10+Parameter!$M$23,Parameter!$M$24))</f>
        <v>155</v>
      </c>
      <c r="CC1342" s="48" t="str">
        <f aca="false">IF(AND(Parameter!$B$19="Ja",E1342&lt;&gt;"",ISNUMBER(MATCH(E1342,Parameter!$I$35:$I$52,0))),VLOOKUP(E1342,Parameter!$I$35:$J$52,2,0),IFERROR(VLOOKUP(D1342,Parameter!$A$35:$C$64,2,0),"Nein"))</f>
        <v>2+3</v>
      </c>
      <c r="CD1342" s="52" t="n">
        <f aca="false">IF(BZ1342=0,0,IF(N(S1342)&gt;0,S1342,IFERROR(VLOOKUP(D1342,Parameter!$A$35:$C$64,3,0)+0,0)))</f>
        <v>0</v>
      </c>
      <c r="CE1342" s="48" t="n">
        <f aca="false">IF(AA1342&lt;&gt;"",AA1342,Z1342)</f>
        <v>3</v>
      </c>
      <c r="CF1342" s="48" t="str">
        <f aca="false">IF(OR(CE1342=1,CE1342=2,CE1342=3),IF(Parameter!$E$27="Ja","LIFT",IF(CE1342=1,"L1","L23")),IF(CE1342="Aussen","Aussen","-"))</f>
        <v>LIFT</v>
      </c>
      <c r="CG1342" s="59" t="n">
        <f aca="false">IF(N(AB1342)&gt;0,AB1342,0)</f>
        <v>0</v>
      </c>
      <c r="CH1342" s="53" t="n">
        <f aca="false">IF(ISNUMBER(AE1342),1,0)</f>
        <v>0</v>
      </c>
      <c r="CI1342" s="50" t="n">
        <f aca="false">N(AE1342)</f>
        <v>0</v>
      </c>
      <c r="CJ1342" s="50" t="n">
        <f aca="false">N(M1342)+N(N1342)</f>
        <v>1</v>
      </c>
      <c r="CK1342" s="50" t="n">
        <f aca="false">N(M1342)</f>
        <v>0</v>
      </c>
      <c r="CL1342" s="50" t="n">
        <f aca="false">N(N1342)</f>
        <v>1</v>
      </c>
      <c r="CM1342" s="50" t="n">
        <f aca="false">ROUNDUP(H1342/BY1342,0)</f>
        <v>1</v>
      </c>
      <c r="CN1342" s="50" t="n">
        <f aca="false">ROUNDUP(CI1342/BY1342,0)</f>
        <v>0</v>
      </c>
      <c r="CO1342" s="53" t="n">
        <f aca="false">IF(BZ1342=1,0,IFERROR(VLOOKUP(BX1342,'Gebinde-Kategorie'!$A$5:$N$45,5,0)+0,0))</f>
        <v>11</v>
      </c>
      <c r="CP1342" s="53" t="n">
        <f aca="false">IFERROR(IF(OR(CE1342=1,CE1342=2,CE1342=3),N(INDEX(Parameter!$I$5:$I$7,CE1342)),0),0)</f>
        <v>0</v>
      </c>
      <c r="CQ1342" s="52" t="n">
        <f aca="false">IF(AND(Parameter!$B$21="Ja",ISNUMBER(W1342),N(X1342)&gt;0),IFERROR(N(INDEX(Parameter!$L$5:$L$7,W1342))*INDEX(Parameter!$E$5:$E$7,W1342)*X1342/SUMIFS($X$7:$X$1843,$W$7:$W$1843,W1342),0),0)</f>
        <v>0</v>
      </c>
    </row>
    <row r="1343" customFormat="false" ht="15" hidden="false" customHeight="false" outlineLevel="0" collapsed="false">
      <c r="A1343" s="48" t="s">
        <v>2385</v>
      </c>
      <c r="B1343" s="48" t="s">
        <v>1120</v>
      </c>
      <c r="C1343" s="48" t="s">
        <v>173</v>
      </c>
      <c r="D1343" s="48" t="s">
        <v>182</v>
      </c>
      <c r="E1343" s="48" t="s">
        <v>194</v>
      </c>
      <c r="F1343" s="48" t="s">
        <v>227</v>
      </c>
      <c r="G1343" s="49" t="n">
        <v>278.37</v>
      </c>
      <c r="H1343" s="50" t="n">
        <f aca="false">MAX(0,IF(AND(Parameter!$B$21="Ja",ISNUMBER(Y1343)),Y1343,IF(Parameter!$B$20="Jahresanfang 2025 + Export",BR1343+BQ1343,BQ1343)))</f>
        <v>4</v>
      </c>
      <c r="I1343" s="50" t="n">
        <f aca="false">H1343*G1343</f>
        <v>1113.48</v>
      </c>
      <c r="J1343" s="50" t="n">
        <f aca="false">BT1343*Parameter!$B$18</f>
        <v>44</v>
      </c>
      <c r="K1343" s="51" t="n">
        <v>9</v>
      </c>
      <c r="L1343" s="52" t="n">
        <v>4.88888888888889</v>
      </c>
      <c r="M1343" s="50" t="n">
        <v>2</v>
      </c>
      <c r="N1343" s="50" t="n">
        <v>10</v>
      </c>
      <c r="O1343" s="53" t="n">
        <v>21</v>
      </c>
      <c r="P1343" s="48" t="s">
        <v>183</v>
      </c>
      <c r="Q1343" s="50" t="n">
        <v>12</v>
      </c>
      <c r="R1343" s="53" t="n">
        <f aca="false">IF(BZ1343=1,0,IFERROR(VLOOKUP(BX1343,'Gebinde-Kategorie'!$A$5:$N$45,13,0)+0,0))</f>
        <v>6</v>
      </c>
      <c r="S1343" s="54"/>
      <c r="T1343" s="55"/>
      <c r="U1343" s="55"/>
      <c r="V1343" s="55"/>
      <c r="W1343" s="48"/>
      <c r="X1343" s="50"/>
      <c r="Y1343" s="50"/>
      <c r="Z1343" s="48" t="n">
        <f aca="false">IF(A1343="","",IF(AND(Parameter!$B$21="Ja",ISNUMBER(W1343)),W1343,IF(CC1343="2+3",IF(ISNUMBER(SEARCH("grosser Artikel",BU1343)),2,IFERROR(VLOOKUP(BX1343,Parameter!$F$35:$G$64,2,0),2)),IF(OR(CC1343="Nein",CC1343=""),"-",CC1343))))</f>
        <v>2</v>
      </c>
      <c r="AA1343" s="55"/>
      <c r="AB1343" s="56"/>
      <c r="AC1343" s="50" t="n">
        <f aca="false">AV1343</f>
        <v>28</v>
      </c>
      <c r="AD1343" s="50" t="n">
        <f aca="false">MAX(AV1343,H1343)</f>
        <v>28</v>
      </c>
      <c r="AE1343" s="57"/>
      <c r="AF1343" s="50" t="n">
        <f aca="false">IF(LEFT(Cockpit!$C$5,1)="A",H1343,IF(Parameter!$E$30="MAX-Bestand",IF(CH1343=1,CI1343,IF(LEFT(Cockpit!$C$5,1)="B",AL1343,MAX(AL1343,H1343))),ROUNDUP(AJ1343,0)))</f>
        <v>4</v>
      </c>
      <c r="AG1343" s="50" t="n">
        <f aca="false">IF(BZ1343=1,0,ROUNDUP(AF1343/BY1343,0))</f>
        <v>1</v>
      </c>
      <c r="AH1343" s="52" t="n">
        <f aca="false">IF(CQ1343&gt;0,CQ1343*MAX(1,AF1343/X1343),IF(BZ1343=1,IF(AF1343&lt;=0,0,CD1343*MAX(1,IF(H1343&gt;0,AF1343/H1343,1))),IF(R1343&gt;0,AG1343/R1343,0))/MAX(0.1,N(Parameter!$M$21)))</f>
        <v>0.166666666666667</v>
      </c>
      <c r="AI1343" s="50" t="n">
        <f aca="false">AH1343*CB1343</f>
        <v>39.1666666666667</v>
      </c>
      <c r="AJ1343" s="51" t="n">
        <f aca="false">IF(LEFT(Cockpit!$C$5,1)="A",H1343,IF(CH1343=1,(CK1343+CI1343)/2,IF(LEFT(Cockpit!$C$5,1)="B",(CK1343+AL1343)/2,MAX((CK1343+AL1343)/2,H1343))))</f>
        <v>4</v>
      </c>
      <c r="AK1343" s="50" t="n">
        <f aca="false">AJ1343*G1343</f>
        <v>1113.48</v>
      </c>
      <c r="AL1343" s="50" t="n">
        <f aca="false">ROUNDUP(CK1343+MAX(CL1343,2*(J1343/IF(CG1343&gt;0,CG1343,MAX(0.1,N(Cockpit!$C$6)))-CK1343)),0)</f>
        <v>28</v>
      </c>
      <c r="AM1343" s="51" t="n">
        <f aca="false">IF(AI1343&gt;0,J1343/AI1343,-1)</f>
        <v>1.12340425531915</v>
      </c>
      <c r="AN1343" s="51" t="n">
        <f aca="false">IF(AND(OR(CF1343="L1",CF1343="L23",CF1343="LIFT"),AI1343&gt;0),SUMIFS($AI$7:$AI$1843,$CF$7:$CF$1843,CF1343,$AM$7:$AM$1843,"&gt;"&amp;AM1343)+SUMIFS($AI$7:$AI$1843,$CF$7:$CF$1843,CF1343,$AM$7:$AM$1843,AM1343,$BW$7:$BW$1843,"&lt;="&amp;BW1343),"")</f>
        <v>6754.76968864469</v>
      </c>
      <c r="AO1343" s="58" t="n">
        <f aca="false">IF(AN1343="",0,MAX(0,MIN(1,(IF(CF1343="L1",Parameter!$H$5,IF(CF1343="L23",Parameter!$H$6+Parameter!$H$7,Parameter!$H$5+Parameter!$H$6+Parameter!$H$7))-(AN1343-AI1343))/AI1343)))</f>
        <v>1</v>
      </c>
      <c r="AP1343" s="50" t="n">
        <f aca="false">IF(LEFT(Cockpit!$I$5,1)="A",H1343,IF(Parameter!$E$30="MAX-Bestand",IF(CH1343=1,CI1343,IF(LEFT(Cockpit!$I$5,1)="B",AV1343,MAX(AV1343,H1343))),ROUNDUP(AT1343,0)))</f>
        <v>15</v>
      </c>
      <c r="AQ1343" s="50" t="n">
        <f aca="false">IF(BZ1343=1,0,ROUNDUP(AP1343/BY1343,0))</f>
        <v>2</v>
      </c>
      <c r="AR1343" s="52" t="n">
        <f aca="false">IF(CQ1343&gt;0,CQ1343*MAX(1,AP1343/X1343),IF(BZ1343=1,IF(AP1343&lt;=0,0,CD1343*MAX(1,IF(H1343&gt;0,AP1343/H1343,1))),IF(R1343&gt;0,AQ1343/R1343,0))/MAX(0.1,N(Parameter!$M$21)))</f>
        <v>0.333333333333333</v>
      </c>
      <c r="AS1343" s="50" t="n">
        <f aca="false">AR1343*CB1343</f>
        <v>78.3333333333333</v>
      </c>
      <c r="AT1343" s="51" t="n">
        <f aca="false">IF(LEFT(Cockpit!$I$5,1)="A",H1343,IF(CH1343=1,(CK1343+CI1343)/2,IF(LEFT(Cockpit!$I$5,1)="B",(CK1343+AV1343)/2,MAX((CK1343+AV1343)/2,H1343))))</f>
        <v>15</v>
      </c>
      <c r="AU1343" s="50" t="n">
        <f aca="false">AT1343*G1343</f>
        <v>4175.55</v>
      </c>
      <c r="AV1343" s="50" t="n">
        <f aca="false">ROUNDUP(CK1343+MAX(CL1343,2*(J1343/IF(CG1343&gt;0,CG1343,MAX(0.1,N(Cockpit!$I$6)))-CK1343)),0)</f>
        <v>28</v>
      </c>
      <c r="AW1343" s="51" t="n">
        <f aca="false">IF(AS1343&gt;0,J1343/AS1343,-1)</f>
        <v>0.561702127659575</v>
      </c>
      <c r="AX1343" s="51" t="n">
        <f aca="false">IF(AND(OR(CF1343="L1",CF1343="L23",CF1343="LIFT"),AS1343&gt;0),SUMIFS($AS$7:$AS$1843,$CF$7:$CF$1843,CF1343,$AW$7:$AW$1843,"&gt;"&amp;AW1343)+SUMIFS($AS$7:$AS$1843,$CF$7:$CF$1843,CF1343,$AW$7:$AW$1843,AW1343,$BW$7:$BW$1843,"&lt;="&amp;BW1343),"")</f>
        <v>11545.456043956</v>
      </c>
      <c r="AY1343" s="58" t="n">
        <f aca="false">IF(AX1343="",0,MAX(0,MIN(1,(IF(CF1343="L1",Parameter!$H$5,IF(CF1343="L23",Parameter!$H$6+Parameter!$H$7,Parameter!$H$5+Parameter!$H$6+Parameter!$H$7))-(AX1343-AS1343))/AS1343)))</f>
        <v>1</v>
      </c>
      <c r="AZ1343" s="50" t="n">
        <f aca="false">IF(LEFT(Cockpit!$O$5,1)="A",H1343,IF(Parameter!$E$30="MAX-Bestand",IF(CH1343=1,CI1343,IF(LEFT(Cockpit!$O$5,1)="B",BF1343,MAX(BF1343,H1343))),ROUNDUP(BD1343,0)))</f>
        <v>11</v>
      </c>
      <c r="BA1343" s="50" t="n">
        <f aca="false">IF(BZ1343=1,0,ROUNDUP(AZ1343/BY1343,0))</f>
        <v>1</v>
      </c>
      <c r="BB1343" s="52" t="n">
        <f aca="false">IF(CQ1343&gt;0,CQ1343*MAX(1,AZ1343/X1343),IF(BZ1343=1,IF(AZ1343&lt;=0,0,CD1343*MAX(1,IF(H1343&gt;0,AZ1343/H1343,1))),IF(R1343&gt;0,BA1343/R1343,0))/MAX(0.1,N(Parameter!$M$21)))</f>
        <v>0.166666666666667</v>
      </c>
      <c r="BC1343" s="50" t="n">
        <f aca="false">BB1343*CB1343</f>
        <v>39.1666666666667</v>
      </c>
      <c r="BD1343" s="51" t="n">
        <f aca="false">IF(LEFT(Cockpit!$O$5,1)="A",H1343,IF(CH1343=1,(CK1343+CI1343)/2,IF(LEFT(Cockpit!$O$5,1)="B",(CK1343+BF1343)/2,MAX((CK1343+BF1343)/2,H1343))))</f>
        <v>11</v>
      </c>
      <c r="BE1343" s="50" t="n">
        <f aca="false">BD1343*G1343</f>
        <v>3062.07</v>
      </c>
      <c r="BF1343" s="50" t="n">
        <f aca="false">ROUNDUP(CK1343+MAX(CL1343,2*(J1343/IF(CG1343&gt;0,CG1343,MAX(0.1,N(Cockpit!$O$6)))-CK1343)),0)</f>
        <v>20</v>
      </c>
      <c r="BG1343" s="51" t="n">
        <f aca="false">IF(BC1343&gt;0,J1343/BC1343,-1)</f>
        <v>1.12340425531915</v>
      </c>
      <c r="BH1343" s="51" t="n">
        <f aca="false">IF(AND(OR(CF1343="L1",CF1343="L23",CF1343="LIFT"),BC1343&gt;0),SUMIFS($BC$7:$BC$1843,$CF$7:$CF$1843,CF1343,$BG$7:$BG$1843,"&gt;"&amp;BG1343)+SUMIFS($BC$7:$BC$1843,$CF$7:$CF$1843,CF1343,$BG$7:$BG$1843,BG1343,$BW$7:$BW$1843,"&lt;="&amp;BW1343),"")</f>
        <v>7263.63690476191</v>
      </c>
      <c r="BI1343" s="58" t="n">
        <f aca="false">IF(BH1343="",0,MAX(0,MIN(1,(IF(CF1343="L1",Parameter!$H$5,IF(CF1343="L23",Parameter!$H$6+Parameter!$H$7,Parameter!$H$5+Parameter!$H$6+Parameter!$H$7))-(BH1343-BC1343))/BC1343)))</f>
        <v>1</v>
      </c>
      <c r="BJ1343" s="48" t="str">
        <f aca="false">IF(AI1343&lt;=0,"",IF(CF1343="Aussen","Aussenlager",IF(CF1343="-","Nicht im Lift",IF(AO1343&gt;=1,"Lift",IF(AO1343&lt;=0,"Aussenlager","teilweise")))))</f>
        <v>Lift</v>
      </c>
      <c r="BK1343" s="48" t="str">
        <f aca="false">IF(AS1343&lt;=0,"",IF(CF1343="Aussen","Aussenlager",IF(CF1343="-","Nicht im Lift",IF(AY1343&gt;=1,"Lift",IF(AY1343&lt;=0,"Aussenlager","teilweise")))))</f>
        <v>Lift</v>
      </c>
      <c r="BL1343" s="48" t="str">
        <f aca="false">IF(BC1343&lt;=0,"",IF(CF1343="Aussen","Aussenlager",IF(CF1343="-","Nicht im Lift",IF(BI1343&gt;=1,"Lift",IF(BI1343&lt;=0,"Aussenlager","teilweise")))))</f>
        <v>Lift</v>
      </c>
      <c r="BM1343" s="48" t="str">
        <f aca="false">IF(A1343="","",IF(BV1343=1,"Neu; ","")&amp;IF(AND(BV1343=0,BQ1343&lt;0),"negativer Bestand (Export "&amp;BQ1343&amp;"); ","")&amp;IF(J1343&lt;=0,"Kein Verbrauch; ","")&amp;IF(CQ1343&gt;0,"Lift "&amp;W1343&amp;" lt. Liftbericht (Fach "&amp;X1343&amp;" Stk); ",IF(CA1343=1,"Gebinde geschätzt ("&amp;T1343&amp;"); ",IF(BZ1343=1,"Lose – Tablare geschätzt; ","")))&amp;IF(H1343&gt;AV1343,"Überbestand "&amp;ROUND(H1343-AV1343,0)&amp;" Stk / CHF "&amp;ROUND((H1343-AV1343)*G1343,0)&amp;"; ","")&amp;IF(AND(CH1343=1,CI1343&lt;CJ1343),"MAX &lt; MB+LG; ","")&amp;IF(AND(CP1343&gt;0,CO1343*10&gt;CP1343),"zu hoch für Tablar; ","")&amp;IF(AND(BV1343=0,OR(CH1343=1,AA1343&lt;&gt;"",U1343&lt;&gt;"",V1343&lt;&gt;"",AB1343&lt;&gt;"")),"manuell übersteuert; ","")&amp;IF(AND(BZ1343=0,R1343=0),"Gebinde unbekannt / Stellmass fehlt; ","")&amp;IF(AND(BZ1343=0,N(V1343)&lt;=0,N(Q1343)&lt;=0),"Menge pro Gebinde fehlt (Ist = 1 Gebinde); ","")&amp;BU1343)</f>
        <v>negativer Bestand (Export -4); grosser Artikel &amp; nicht im KTL</v>
      </c>
      <c r="BN1343" s="48"/>
      <c r="BO1343" s="48"/>
      <c r="BP1343" s="55"/>
      <c r="BQ1343" s="50" t="n">
        <v>-4</v>
      </c>
      <c r="BR1343" s="50" t="n">
        <v>8</v>
      </c>
      <c r="BS1343" s="49" t="n">
        <v>-1807.16</v>
      </c>
      <c r="BT1343" s="50" t="n">
        <v>44</v>
      </c>
      <c r="BU1343" s="48" t="s">
        <v>270</v>
      </c>
      <c r="BV1343" s="53" t="n">
        <v>0</v>
      </c>
      <c r="BW1343" s="53" t="n">
        <v>1343</v>
      </c>
      <c r="BX1343" s="48" t="str">
        <f aca="false">IF(U1343&lt;&gt;"",UPPER(TRIM(U1343)),IF(CA1343=1,UPPER(VLOOKUP(T1343,Parameter!$I$27:$K$29,2,0)),IF(P1343="","LOSE",P1343)))</f>
        <v>S71</v>
      </c>
      <c r="BY1343" s="50" t="n">
        <f aca="false">IF(BX1343="LOSE",1,IF(N(V1343)&gt;0,V1343,IF(CA1343=1,MAX(1,N(VLOOKUP(T1343,Parameter!$I$27:$K$29,3,0)),H1343,N(N1343)),IF(N(Q1343)&gt;0,Q1343,MAX(1,H1343)))))</f>
        <v>12</v>
      </c>
      <c r="BZ1343" s="53" t="n">
        <f aca="false">IF(BX1343="LOSE",1,0)</f>
        <v>0</v>
      </c>
      <c r="CA1343" s="53" t="n">
        <f aca="false">IF(AND(U1343="",OR(P1343="",P1343="LOSE"),T1343&lt;&gt;"",N(S1343)&lt;=0,ISNUMBER(MATCH(T1343,Parameter!$I$27:$I$29,0))),1,0)</f>
        <v>0</v>
      </c>
      <c r="CB1343" s="53" t="n">
        <f aca="false">IF(CQ1343&gt;0,INDEX(Parameter!$H$5:$H$7,W1343)/INDEX(Parameter!$E$5:$E$7,W1343),IF(AND(BZ1343=0,N(IFERROR(VLOOKUP(BX1343,'Gebinde-Kategorie'!$A$5:$N$45,14,0),0))&gt;0),VLOOKUP(BX1343,'Gebinde-Kategorie'!$A$5:$N$45,14,0)*10+Parameter!$M$23,Parameter!$M$24))</f>
        <v>235</v>
      </c>
      <c r="CC1343" s="48" t="str">
        <f aca="false">IF(AND(Parameter!$B$19="Ja",E1343&lt;&gt;"",ISNUMBER(MATCH(E1343,Parameter!$I$35:$I$52,0))),VLOOKUP(E1343,Parameter!$I$35:$J$52,2,0),IFERROR(VLOOKUP(D1343,Parameter!$A$35:$C$64,2,0),"Nein"))</f>
        <v>2+3</v>
      </c>
      <c r="CD1343" s="52" t="n">
        <f aca="false">IF(BZ1343=0,0,IF(N(S1343)&gt;0,S1343,IFERROR(VLOOKUP(D1343,Parameter!$A$35:$C$64,3,0)+0,0)))</f>
        <v>0</v>
      </c>
      <c r="CE1343" s="48" t="n">
        <f aca="false">IF(AA1343&lt;&gt;"",AA1343,Z1343)</f>
        <v>2</v>
      </c>
      <c r="CF1343" s="48" t="str">
        <f aca="false">IF(OR(CE1343=1,CE1343=2,CE1343=3),IF(Parameter!$E$27="Ja","LIFT",IF(CE1343=1,"L1","L23")),IF(CE1343="Aussen","Aussen","-"))</f>
        <v>LIFT</v>
      </c>
      <c r="CG1343" s="59" t="n">
        <f aca="false">IF(N(AB1343)&gt;0,AB1343,0)</f>
        <v>0</v>
      </c>
      <c r="CH1343" s="53" t="n">
        <f aca="false">IF(ISNUMBER(AE1343),1,0)</f>
        <v>0</v>
      </c>
      <c r="CI1343" s="50" t="n">
        <f aca="false">N(AE1343)</f>
        <v>0</v>
      </c>
      <c r="CJ1343" s="50" t="n">
        <f aca="false">N(M1343)+N(N1343)</f>
        <v>12</v>
      </c>
      <c r="CK1343" s="50" t="n">
        <f aca="false">N(M1343)</f>
        <v>2</v>
      </c>
      <c r="CL1343" s="50" t="n">
        <f aca="false">N(N1343)</f>
        <v>10</v>
      </c>
      <c r="CM1343" s="50" t="n">
        <f aca="false">ROUNDUP(H1343/BY1343,0)</f>
        <v>1</v>
      </c>
      <c r="CN1343" s="50" t="n">
        <f aca="false">ROUNDUP(CI1343/BY1343,0)</f>
        <v>0</v>
      </c>
      <c r="CO1343" s="53" t="n">
        <f aca="false">IF(BZ1343=1,0,IFERROR(VLOOKUP(BX1343,'Gebinde-Kategorie'!$A$5:$N$45,5,0)+0,0))</f>
        <v>20</v>
      </c>
      <c r="CP1343" s="53" t="n">
        <f aca="false">IFERROR(IF(OR(CE1343=1,CE1343=2,CE1343=3),N(INDEX(Parameter!$I$5:$I$7,CE1343)),0),0)</f>
        <v>0</v>
      </c>
      <c r="CQ1343" s="52" t="n">
        <f aca="false">IF(AND(Parameter!$B$21="Ja",ISNUMBER(W1343),N(X1343)&gt;0),IFERROR(N(INDEX(Parameter!$L$5:$L$7,W1343))*INDEX(Parameter!$E$5:$E$7,W1343)*X1343/SUMIFS($X$7:$X$1843,$W$7:$W$1843,W1343),0),0)</f>
        <v>0</v>
      </c>
    </row>
    <row r="1344" customFormat="false" ht="15" hidden="false" customHeight="false" outlineLevel="0" collapsed="false">
      <c r="A1344" s="48" t="s">
        <v>2386</v>
      </c>
      <c r="B1344" s="48" t="s">
        <v>2146</v>
      </c>
      <c r="C1344" s="48" t="s">
        <v>173</v>
      </c>
      <c r="D1344" s="48" t="s">
        <v>182</v>
      </c>
      <c r="E1344" s="48" t="s">
        <v>194</v>
      </c>
      <c r="F1344" s="48" t="s">
        <v>227</v>
      </c>
      <c r="G1344" s="49" t="n">
        <v>38.6</v>
      </c>
      <c r="H1344" s="50" t="n">
        <f aca="false">MAX(0,IF(AND(Parameter!$B$21="Ja",ISNUMBER(Y1344)),Y1344,IF(Parameter!$B$20="Jahresanfang 2025 + Export",BR1344+BQ1344,BQ1344)))</f>
        <v>47</v>
      </c>
      <c r="I1344" s="50" t="n">
        <f aca="false">H1344*G1344</f>
        <v>1814.2</v>
      </c>
      <c r="J1344" s="50" t="n">
        <f aca="false">BT1344*Parameter!$B$18</f>
        <v>158</v>
      </c>
      <c r="K1344" s="51" t="n">
        <v>79</v>
      </c>
      <c r="L1344" s="52" t="n">
        <v>2</v>
      </c>
      <c r="M1344" s="50" t="n">
        <v>20</v>
      </c>
      <c r="N1344" s="50" t="n">
        <v>100</v>
      </c>
      <c r="O1344" s="53" t="n">
        <v>42</v>
      </c>
      <c r="P1344" s="48" t="s">
        <v>302</v>
      </c>
      <c r="Q1344" s="50" t="n">
        <v>23</v>
      </c>
      <c r="R1344" s="53" t="n">
        <f aca="false">IF(BZ1344=1,0,IFERROR(VLOOKUP(BX1344,'Gebinde-Kategorie'!$A$5:$N$45,13,0)+0,0))</f>
        <v>12</v>
      </c>
      <c r="S1344" s="54"/>
      <c r="T1344" s="55"/>
      <c r="U1344" s="55"/>
      <c r="V1344" s="55"/>
      <c r="W1344" s="48"/>
      <c r="X1344" s="50"/>
      <c r="Y1344" s="50"/>
      <c r="Z1344" s="48" t="n">
        <f aca="false">IF(A1344="","",IF(AND(Parameter!$B$21="Ja",ISNUMBER(W1344)),W1344,IF(CC1344="2+3",IF(ISNUMBER(SEARCH("grosser Artikel",BU1344)),2,IFERROR(VLOOKUP(BX1344,Parameter!$F$35:$G$64,2,0),2)),IF(OR(CC1344="Nein",CC1344=""),"-",CC1344))))</f>
        <v>2</v>
      </c>
      <c r="AA1344" s="55"/>
      <c r="AB1344" s="56"/>
      <c r="AC1344" s="50" t="n">
        <f aca="false">AV1344</f>
        <v>120</v>
      </c>
      <c r="AD1344" s="50" t="n">
        <f aca="false">MAX(AV1344,H1344)</f>
        <v>120</v>
      </c>
      <c r="AE1344" s="57"/>
      <c r="AF1344" s="50" t="n">
        <f aca="false">IF(LEFT(Cockpit!$C$5,1)="A",H1344,IF(Parameter!$E$30="MAX-Bestand",IF(CH1344=1,CI1344,IF(LEFT(Cockpit!$C$5,1)="B",AL1344,MAX(AL1344,H1344))),ROUNDUP(AJ1344,0)))</f>
        <v>47</v>
      </c>
      <c r="AG1344" s="50" t="n">
        <f aca="false">IF(BZ1344=1,0,ROUNDUP(AF1344/BY1344,0))</f>
        <v>3</v>
      </c>
      <c r="AH1344" s="52" t="n">
        <f aca="false">IF(CQ1344&gt;0,CQ1344*MAX(1,AF1344/X1344),IF(BZ1344=1,IF(AF1344&lt;=0,0,CD1344*MAX(1,IF(H1344&gt;0,AF1344/H1344,1))),IF(R1344&gt;0,AG1344/R1344,0))/MAX(0.1,N(Parameter!$M$21)))</f>
        <v>0.25</v>
      </c>
      <c r="AI1344" s="50" t="n">
        <f aca="false">AH1344*CB1344</f>
        <v>61.25</v>
      </c>
      <c r="AJ1344" s="51" t="n">
        <f aca="false">IF(LEFT(Cockpit!$C$5,1)="A",H1344,IF(CH1344=1,(CK1344+CI1344)/2,IF(LEFT(Cockpit!$C$5,1)="B",(CK1344+AL1344)/2,MAX((CK1344+AL1344)/2,H1344))))</f>
        <v>47</v>
      </c>
      <c r="AK1344" s="50" t="n">
        <f aca="false">AJ1344*G1344</f>
        <v>1814.2</v>
      </c>
      <c r="AL1344" s="50" t="n">
        <f aca="false">ROUNDUP(CK1344+MAX(CL1344,2*(J1344/IF(CG1344&gt;0,CG1344,MAX(0.1,N(Cockpit!$C$6)))-CK1344)),0)</f>
        <v>120</v>
      </c>
      <c r="AM1344" s="51" t="n">
        <f aca="false">IF(AI1344&gt;0,J1344/AI1344,-1)</f>
        <v>2.57959183673469</v>
      </c>
      <c r="AN1344" s="51" t="n">
        <f aca="false">IF(AND(OR(CF1344="L1",CF1344="L23",CF1344="LIFT"),AI1344&gt;0),SUMIFS($AI$7:$AI$1843,$CF$7:$CF$1843,CF1344,$AM$7:$AM$1843,"&gt;"&amp;AM1344)+SUMIFS($AI$7:$AI$1843,$CF$7:$CF$1843,CF1344,$AM$7:$AM$1843,AM1344,$BW$7:$BW$1843,"&lt;="&amp;BW1344),"")</f>
        <v>5419.46749084249</v>
      </c>
      <c r="AO1344" s="58" t="n">
        <f aca="false">IF(AN1344="",0,MAX(0,MIN(1,(IF(CF1344="L1",Parameter!$H$5,IF(CF1344="L23",Parameter!$H$6+Parameter!$H$7,Parameter!$H$5+Parameter!$H$6+Parameter!$H$7))-(AN1344-AI1344))/AI1344)))</f>
        <v>1</v>
      </c>
      <c r="AP1344" s="50" t="n">
        <f aca="false">IF(LEFT(Cockpit!$I$5,1)="A",H1344,IF(Parameter!$E$30="MAX-Bestand",IF(CH1344=1,CI1344,IF(LEFT(Cockpit!$I$5,1)="B",AV1344,MAX(AV1344,H1344))),ROUNDUP(AT1344,0)))</f>
        <v>70</v>
      </c>
      <c r="AQ1344" s="50" t="n">
        <f aca="false">IF(BZ1344=1,0,ROUNDUP(AP1344/BY1344,0))</f>
        <v>4</v>
      </c>
      <c r="AR1344" s="52" t="n">
        <f aca="false">IF(CQ1344&gt;0,CQ1344*MAX(1,AP1344/X1344),IF(BZ1344=1,IF(AP1344&lt;=0,0,CD1344*MAX(1,IF(H1344&gt;0,AP1344/H1344,1))),IF(R1344&gt;0,AQ1344/R1344,0))/MAX(0.1,N(Parameter!$M$21)))</f>
        <v>0.333333333333333</v>
      </c>
      <c r="AS1344" s="50" t="n">
        <f aca="false">AR1344*CB1344</f>
        <v>81.6666666666667</v>
      </c>
      <c r="AT1344" s="51" t="n">
        <f aca="false">IF(LEFT(Cockpit!$I$5,1)="A",H1344,IF(CH1344=1,(CK1344+CI1344)/2,IF(LEFT(Cockpit!$I$5,1)="B",(CK1344+AV1344)/2,MAX((CK1344+AV1344)/2,H1344))))</f>
        <v>70</v>
      </c>
      <c r="AU1344" s="50" t="n">
        <f aca="false">AT1344*G1344</f>
        <v>2702</v>
      </c>
      <c r="AV1344" s="50" t="n">
        <f aca="false">ROUNDUP(CK1344+MAX(CL1344,2*(J1344/IF(CG1344&gt;0,CG1344,MAX(0.1,N(Cockpit!$I$6)))-CK1344)),0)</f>
        <v>120</v>
      </c>
      <c r="AW1344" s="51" t="n">
        <f aca="false">IF(AS1344&gt;0,J1344/AS1344,-1)</f>
        <v>1.93469387755102</v>
      </c>
      <c r="AX1344" s="51" t="n">
        <f aca="false">IF(AND(OR(CF1344="L1",CF1344="L23",CF1344="LIFT"),AS1344&gt;0),SUMIFS($AS$7:$AS$1843,$CF$7:$CF$1843,CF1344,$AW$7:$AW$1843,"&gt;"&amp;AW1344)+SUMIFS($AS$7:$AS$1843,$CF$7:$CF$1843,CF1344,$AW$7:$AW$1843,AW1344,$BW$7:$BW$1843,"&lt;="&amp;BW1344),"")</f>
        <v>7301.1130952381</v>
      </c>
      <c r="AY1344" s="58" t="n">
        <f aca="false">IF(AX1344="",0,MAX(0,MIN(1,(IF(CF1344="L1",Parameter!$H$5,IF(CF1344="L23",Parameter!$H$6+Parameter!$H$7,Parameter!$H$5+Parameter!$H$6+Parameter!$H$7))-(AX1344-AS1344))/AS1344)))</f>
        <v>1</v>
      </c>
      <c r="AZ1344" s="50" t="n">
        <f aca="false">IF(LEFT(Cockpit!$O$5,1)="A",H1344,IF(Parameter!$E$30="MAX-Bestand",IF(CH1344=1,CI1344,IF(LEFT(Cockpit!$O$5,1)="B",BF1344,MAX(BF1344,H1344))),ROUNDUP(BD1344,0)))</f>
        <v>70</v>
      </c>
      <c r="BA1344" s="50" t="n">
        <f aca="false">IF(BZ1344=1,0,ROUNDUP(AZ1344/BY1344,0))</f>
        <v>4</v>
      </c>
      <c r="BB1344" s="52" t="n">
        <f aca="false">IF(CQ1344&gt;0,CQ1344*MAX(1,AZ1344/X1344),IF(BZ1344=1,IF(AZ1344&lt;=0,0,CD1344*MAX(1,IF(H1344&gt;0,AZ1344/H1344,1))),IF(R1344&gt;0,BA1344/R1344,0))/MAX(0.1,N(Parameter!$M$21)))</f>
        <v>0.333333333333333</v>
      </c>
      <c r="BC1344" s="50" t="n">
        <f aca="false">BB1344*CB1344</f>
        <v>81.6666666666667</v>
      </c>
      <c r="BD1344" s="51" t="n">
        <f aca="false">IF(LEFT(Cockpit!$O$5,1)="A",H1344,IF(CH1344=1,(CK1344+CI1344)/2,IF(LEFT(Cockpit!$O$5,1)="B",(CK1344+BF1344)/2,MAX((CK1344+BF1344)/2,H1344))))</f>
        <v>70</v>
      </c>
      <c r="BE1344" s="50" t="n">
        <f aca="false">BD1344*G1344</f>
        <v>2702</v>
      </c>
      <c r="BF1344" s="50" t="n">
        <f aca="false">ROUNDUP(CK1344+MAX(CL1344,2*(J1344/IF(CG1344&gt;0,CG1344,MAX(0.1,N(Cockpit!$O$6)))-CK1344)),0)</f>
        <v>120</v>
      </c>
      <c r="BG1344" s="51" t="n">
        <f aca="false">IF(BC1344&gt;0,J1344/BC1344,-1)</f>
        <v>1.93469387755102</v>
      </c>
      <c r="BH1344" s="51" t="n">
        <f aca="false">IF(AND(OR(CF1344="L1",CF1344="L23",CF1344="LIFT"),BC1344&gt;0),SUMIFS($BC$7:$BC$1843,$CF$7:$CF$1843,CF1344,$BG$7:$BG$1843,"&gt;"&amp;BG1344)+SUMIFS($BC$7:$BC$1843,$CF$7:$CF$1843,CF1344,$BG$7:$BG$1843,BG1344,$BW$7:$BW$1843,"&lt;="&amp;BW1344),"")</f>
        <v>5998.47435897436</v>
      </c>
      <c r="BI1344" s="58" t="n">
        <f aca="false">IF(BH1344="",0,MAX(0,MIN(1,(IF(CF1344="L1",Parameter!$H$5,IF(CF1344="L23",Parameter!$H$6+Parameter!$H$7,Parameter!$H$5+Parameter!$H$6+Parameter!$H$7))-(BH1344-BC1344))/BC1344)))</f>
        <v>1</v>
      </c>
      <c r="BJ1344" s="48" t="str">
        <f aca="false">IF(AI1344&lt;=0,"",IF(CF1344="Aussen","Aussenlager",IF(CF1344="-","Nicht im Lift",IF(AO1344&gt;=1,"Lift",IF(AO1344&lt;=0,"Aussenlager","teilweise")))))</f>
        <v>Lift</v>
      </c>
      <c r="BK1344" s="48" t="str">
        <f aca="false">IF(AS1344&lt;=0,"",IF(CF1344="Aussen","Aussenlager",IF(CF1344="-","Nicht im Lift",IF(AY1344&gt;=1,"Lift",IF(AY1344&lt;=0,"Aussenlager","teilweise")))))</f>
        <v>Lift</v>
      </c>
      <c r="BL1344" s="48" t="str">
        <f aca="false">IF(BC1344&lt;=0,"",IF(CF1344="Aussen","Aussenlager",IF(CF1344="-","Nicht im Lift",IF(BI1344&gt;=1,"Lift",IF(BI1344&lt;=0,"Aussenlager","teilweise")))))</f>
        <v>Lift</v>
      </c>
      <c r="BM1344" s="48" t="str">
        <f aca="false">IF(A1344="","",IF(BV1344=1,"Neu; ","")&amp;IF(AND(BV1344=0,BQ1344&lt;0),"negativer Bestand (Export "&amp;BQ1344&amp;"); ","")&amp;IF(J1344&lt;=0,"Kein Verbrauch; ","")&amp;IF(CQ1344&gt;0,"Lift "&amp;W1344&amp;" lt. Liftbericht (Fach "&amp;X1344&amp;" Stk); ",IF(CA1344=1,"Gebinde geschätzt ("&amp;T1344&amp;"); ",IF(BZ1344=1,"Lose – Tablare geschätzt; ","")))&amp;IF(H1344&gt;AV1344,"Überbestand "&amp;ROUND(H1344-AV1344,0)&amp;" Stk / CHF "&amp;ROUND((H1344-AV1344)*G1344,0)&amp;"; ","")&amp;IF(AND(CH1344=1,CI1344&lt;CJ1344),"MAX &lt; MB+LG; ","")&amp;IF(AND(CP1344&gt;0,CO1344*10&gt;CP1344),"zu hoch für Tablar; ","")&amp;IF(AND(BV1344=0,OR(CH1344=1,AA1344&lt;&gt;"",U1344&lt;&gt;"",V1344&lt;&gt;"",AB1344&lt;&gt;"")),"manuell übersteuert; ","")&amp;IF(AND(BZ1344=0,R1344=0),"Gebinde unbekannt / Stellmass fehlt; ","")&amp;IF(AND(BZ1344=0,N(V1344)&lt;=0,N(Q1344)&lt;=0),"Menge pro Gebinde fehlt (Ist = 1 Gebinde); ","")&amp;BU1344)</f>
        <v>negativer Bestand (Export -36); </v>
      </c>
      <c r="BN1344" s="48"/>
      <c r="BO1344" s="48"/>
      <c r="BP1344" s="55"/>
      <c r="BQ1344" s="50" t="n">
        <v>-36</v>
      </c>
      <c r="BR1344" s="50" t="n">
        <v>83</v>
      </c>
      <c r="BS1344" s="49" t="n">
        <v>-1818.71</v>
      </c>
      <c r="BT1344" s="50" t="n">
        <v>158</v>
      </c>
      <c r="BU1344" s="48"/>
      <c r="BV1344" s="53" t="n">
        <v>0</v>
      </c>
      <c r="BW1344" s="53" t="n">
        <v>1344</v>
      </c>
      <c r="BX1344" s="48" t="str">
        <f aca="false">IF(U1344&lt;&gt;"",UPPER(TRIM(U1344)),IF(CA1344=1,UPPER(VLOOKUP(T1344,Parameter!$I$27:$K$29,2,0)),IF(P1344="","LOSE",P1344)))</f>
        <v>S62</v>
      </c>
      <c r="BY1344" s="50" t="n">
        <f aca="false">IF(BX1344="LOSE",1,IF(N(V1344)&gt;0,V1344,IF(CA1344=1,MAX(1,N(VLOOKUP(T1344,Parameter!$I$27:$K$29,3,0)),H1344,N(N1344)),IF(N(Q1344)&gt;0,Q1344,MAX(1,H1344)))))</f>
        <v>23</v>
      </c>
      <c r="BZ1344" s="53" t="n">
        <f aca="false">IF(BX1344="LOSE",1,0)</f>
        <v>0</v>
      </c>
      <c r="CA1344" s="53" t="n">
        <f aca="false">IF(AND(U1344="",OR(P1344="",P1344="LOSE"),T1344&lt;&gt;"",N(S1344)&lt;=0,ISNUMBER(MATCH(T1344,Parameter!$I$27:$I$29,0))),1,0)</f>
        <v>0</v>
      </c>
      <c r="CB1344" s="53" t="n">
        <f aca="false">IF(CQ1344&gt;0,INDEX(Parameter!$H$5:$H$7,W1344)/INDEX(Parameter!$E$5:$E$7,W1344),IF(AND(BZ1344=0,N(IFERROR(VLOOKUP(BX1344,'Gebinde-Kategorie'!$A$5:$N$45,14,0),0))&gt;0),VLOOKUP(BX1344,'Gebinde-Kategorie'!$A$5:$N$45,14,0)*10+Parameter!$M$23,Parameter!$M$24))</f>
        <v>245</v>
      </c>
      <c r="CC1344" s="48" t="str">
        <f aca="false">IF(AND(Parameter!$B$19="Ja",E1344&lt;&gt;"",ISNUMBER(MATCH(E1344,Parameter!$I$35:$I$52,0))),VLOOKUP(E1344,Parameter!$I$35:$J$52,2,0),IFERROR(VLOOKUP(D1344,Parameter!$A$35:$C$64,2,0),"Nein"))</f>
        <v>2+3</v>
      </c>
      <c r="CD1344" s="52" t="n">
        <f aca="false">IF(BZ1344=0,0,IF(N(S1344)&gt;0,S1344,IFERROR(VLOOKUP(D1344,Parameter!$A$35:$C$64,3,0)+0,0)))</f>
        <v>0</v>
      </c>
      <c r="CE1344" s="48" t="n">
        <f aca="false">IF(AA1344&lt;&gt;"",AA1344,Z1344)</f>
        <v>2</v>
      </c>
      <c r="CF1344" s="48" t="str">
        <f aca="false">IF(OR(CE1344=1,CE1344=2,CE1344=3),IF(Parameter!$E$27="Ja","LIFT",IF(CE1344=1,"L1","L23")),IF(CE1344="Aussen","Aussen","-"))</f>
        <v>LIFT</v>
      </c>
      <c r="CG1344" s="59" t="n">
        <f aca="false">IF(N(AB1344)&gt;0,AB1344,0)</f>
        <v>0</v>
      </c>
      <c r="CH1344" s="53" t="n">
        <f aca="false">IF(ISNUMBER(AE1344),1,0)</f>
        <v>0</v>
      </c>
      <c r="CI1344" s="50" t="n">
        <f aca="false">N(AE1344)</f>
        <v>0</v>
      </c>
      <c r="CJ1344" s="50" t="n">
        <f aca="false">N(M1344)+N(N1344)</f>
        <v>120</v>
      </c>
      <c r="CK1344" s="50" t="n">
        <f aca="false">N(M1344)</f>
        <v>20</v>
      </c>
      <c r="CL1344" s="50" t="n">
        <f aca="false">N(N1344)</f>
        <v>100</v>
      </c>
      <c r="CM1344" s="50" t="n">
        <f aca="false">ROUNDUP(H1344/BY1344,0)</f>
        <v>3</v>
      </c>
      <c r="CN1344" s="50" t="n">
        <f aca="false">ROUNDUP(CI1344/BY1344,0)</f>
        <v>0</v>
      </c>
      <c r="CO1344" s="53" t="n">
        <f aca="false">IF(BZ1344=1,0,IFERROR(VLOOKUP(BX1344,'Gebinde-Kategorie'!$A$5:$N$45,5,0)+0,0))</f>
        <v>21</v>
      </c>
      <c r="CP1344" s="53" t="n">
        <f aca="false">IFERROR(IF(OR(CE1344=1,CE1344=2,CE1344=3),N(INDEX(Parameter!$I$5:$I$7,CE1344)),0),0)</f>
        <v>0</v>
      </c>
      <c r="CQ1344" s="52" t="n">
        <f aca="false">IF(AND(Parameter!$B$21="Ja",ISNUMBER(W1344),N(X1344)&gt;0),IFERROR(N(INDEX(Parameter!$L$5:$L$7,W1344))*INDEX(Parameter!$E$5:$E$7,W1344)*X1344/SUMIFS($X$7:$X$1843,$W$7:$W$1843,W1344),0),0)</f>
        <v>0</v>
      </c>
    </row>
    <row r="1345" customFormat="false" ht="15" hidden="false" customHeight="false" outlineLevel="0" collapsed="false">
      <c r="A1345" s="48" t="s">
        <v>2387</v>
      </c>
      <c r="B1345" s="48" t="s">
        <v>1911</v>
      </c>
      <c r="C1345" s="48" t="s">
        <v>176</v>
      </c>
      <c r="D1345" s="48" t="s">
        <v>193</v>
      </c>
      <c r="E1345" s="48" t="s">
        <v>194</v>
      </c>
      <c r="F1345" s="48" t="s">
        <v>227</v>
      </c>
      <c r="G1345" s="49" t="n">
        <v>21.45</v>
      </c>
      <c r="H1345" s="50" t="n">
        <f aca="false">MAX(0,IF(AND(Parameter!$B$21="Ja",ISNUMBER(Y1345)),Y1345,IF(Parameter!$B$20="Jahresanfang 2025 + Export",BR1345+BQ1345,BQ1345)))</f>
        <v>42</v>
      </c>
      <c r="I1345" s="50" t="n">
        <f aca="false">H1345*G1345</f>
        <v>900.9</v>
      </c>
      <c r="J1345" s="50" t="n">
        <f aca="false">BT1345*Parameter!$B$18</f>
        <v>384</v>
      </c>
      <c r="K1345" s="51" t="n">
        <v>122.5</v>
      </c>
      <c r="L1345" s="52" t="n">
        <v>3.13469387755102</v>
      </c>
      <c r="M1345" s="50" t="n">
        <v>0</v>
      </c>
      <c r="N1345" s="50" t="n">
        <v>210</v>
      </c>
      <c r="O1345" s="53" t="n">
        <v>21</v>
      </c>
      <c r="P1345" s="48" t="s">
        <v>311</v>
      </c>
      <c r="Q1345" s="50" t="n">
        <v>57</v>
      </c>
      <c r="R1345" s="53" t="n">
        <f aca="false">IF(BZ1345=1,0,IFERROR(VLOOKUP(BX1345,'Gebinde-Kategorie'!$A$5:$N$45,13,0)+0,0))</f>
        <v>26</v>
      </c>
      <c r="S1345" s="54"/>
      <c r="T1345" s="55"/>
      <c r="U1345" s="55"/>
      <c r="V1345" s="55"/>
      <c r="W1345" s="48"/>
      <c r="X1345" s="50"/>
      <c r="Y1345" s="50"/>
      <c r="Z1345" s="48" t="n">
        <f aca="false">IF(A1345="","",IF(AND(Parameter!$B$21="Ja",ISNUMBER(W1345)),W1345,IF(CC1345="2+3",IF(ISNUMBER(SEARCH("grosser Artikel",BU1345)),2,IFERROR(VLOOKUP(BX1345,Parameter!$F$35:$G$64,2,0),2)),IF(OR(CC1345="Nein",CC1345=""),"-",CC1345))))</f>
        <v>3</v>
      </c>
      <c r="AA1345" s="55"/>
      <c r="AB1345" s="56"/>
      <c r="AC1345" s="50" t="n">
        <f aca="false">AV1345</f>
        <v>256</v>
      </c>
      <c r="AD1345" s="50" t="n">
        <f aca="false">MAX(AV1345,H1345)</f>
        <v>256</v>
      </c>
      <c r="AE1345" s="57"/>
      <c r="AF1345" s="50" t="n">
        <f aca="false">IF(LEFT(Cockpit!$C$5,1)="A",H1345,IF(Parameter!$E$30="MAX-Bestand",IF(CH1345=1,CI1345,IF(LEFT(Cockpit!$C$5,1)="B",AL1345,MAX(AL1345,H1345))),ROUNDUP(AJ1345,0)))</f>
        <v>42</v>
      </c>
      <c r="AG1345" s="50" t="n">
        <f aca="false">IF(BZ1345=1,0,ROUNDUP(AF1345/BY1345,0))</f>
        <v>1</v>
      </c>
      <c r="AH1345" s="52" t="n">
        <f aca="false">IF(CQ1345&gt;0,CQ1345*MAX(1,AF1345/X1345),IF(BZ1345=1,IF(AF1345&lt;=0,0,CD1345*MAX(1,IF(H1345&gt;0,AF1345/H1345,1))),IF(R1345&gt;0,AG1345/R1345,0))/MAX(0.1,N(Parameter!$M$21)))</f>
        <v>0.0384615384615385</v>
      </c>
      <c r="AI1345" s="50" t="n">
        <f aca="false">AH1345*CB1345</f>
        <v>5.96153846153846</v>
      </c>
      <c r="AJ1345" s="51" t="n">
        <f aca="false">IF(LEFT(Cockpit!$C$5,1)="A",H1345,IF(CH1345=1,(CK1345+CI1345)/2,IF(LEFT(Cockpit!$C$5,1)="B",(CK1345+AL1345)/2,MAX((CK1345+AL1345)/2,H1345))))</f>
        <v>42</v>
      </c>
      <c r="AK1345" s="50" t="n">
        <f aca="false">AJ1345*G1345</f>
        <v>900.9</v>
      </c>
      <c r="AL1345" s="50" t="n">
        <f aca="false">ROUNDUP(CK1345+MAX(CL1345,2*(J1345/IF(CG1345&gt;0,CG1345,MAX(0.1,N(Cockpit!$C$6)))-CK1345)),0)</f>
        <v>256</v>
      </c>
      <c r="AM1345" s="51" t="n">
        <f aca="false">IF(AI1345&gt;0,J1345/AI1345,-1)</f>
        <v>64.4129032258065</v>
      </c>
      <c r="AN1345" s="51" t="n">
        <f aca="false">IF(AND(OR(CF1345="L1",CF1345="L23",CF1345="LIFT"),AI1345&gt;0),SUMIFS($AI$7:$AI$1843,$CF$7:$CF$1843,CF1345,$AM$7:$AM$1843,"&gt;"&amp;AM1345)+SUMIFS($AI$7:$AI$1843,$CF$7:$CF$1843,CF1345,$AM$7:$AM$1843,AM1345,$BW$7:$BW$1843,"&lt;="&amp;BW1345),"")</f>
        <v>946.199175824176</v>
      </c>
      <c r="AO1345" s="58" t="n">
        <f aca="false">IF(AN1345="",0,MAX(0,MIN(1,(IF(CF1345="L1",Parameter!$H$5,IF(CF1345="L23",Parameter!$H$6+Parameter!$H$7,Parameter!$H$5+Parameter!$H$6+Parameter!$H$7))-(AN1345-AI1345))/AI1345)))</f>
        <v>1</v>
      </c>
      <c r="AP1345" s="50" t="n">
        <f aca="false">IF(LEFT(Cockpit!$I$5,1)="A",H1345,IF(Parameter!$E$30="MAX-Bestand",IF(CH1345=1,CI1345,IF(LEFT(Cockpit!$I$5,1)="B",AV1345,MAX(AV1345,H1345))),ROUNDUP(AT1345,0)))</f>
        <v>128</v>
      </c>
      <c r="AQ1345" s="50" t="n">
        <f aca="false">IF(BZ1345=1,0,ROUNDUP(AP1345/BY1345,0))</f>
        <v>3</v>
      </c>
      <c r="AR1345" s="52" t="n">
        <f aca="false">IF(CQ1345&gt;0,CQ1345*MAX(1,AP1345/X1345),IF(BZ1345=1,IF(AP1345&lt;=0,0,CD1345*MAX(1,IF(H1345&gt;0,AP1345/H1345,1))),IF(R1345&gt;0,AQ1345/R1345,0))/MAX(0.1,N(Parameter!$M$21)))</f>
        <v>0.115384615384615</v>
      </c>
      <c r="AS1345" s="50" t="n">
        <f aca="false">AR1345*CB1345</f>
        <v>17.8846153846154</v>
      </c>
      <c r="AT1345" s="51" t="n">
        <f aca="false">IF(LEFT(Cockpit!$I$5,1)="A",H1345,IF(CH1345=1,(CK1345+CI1345)/2,IF(LEFT(Cockpit!$I$5,1)="B",(CK1345+AV1345)/2,MAX((CK1345+AV1345)/2,H1345))))</f>
        <v>128</v>
      </c>
      <c r="AU1345" s="50" t="n">
        <f aca="false">AT1345*G1345</f>
        <v>2745.6</v>
      </c>
      <c r="AV1345" s="50" t="n">
        <f aca="false">ROUNDUP(CK1345+MAX(CL1345,2*(J1345/IF(CG1345&gt;0,CG1345,MAX(0.1,N(Cockpit!$I$6)))-CK1345)),0)</f>
        <v>256</v>
      </c>
      <c r="AW1345" s="51" t="n">
        <f aca="false">IF(AS1345&gt;0,J1345/AS1345,-1)</f>
        <v>21.4709677419355</v>
      </c>
      <c r="AX1345" s="51" t="n">
        <f aca="false">IF(AND(OR(CF1345="L1",CF1345="L23",CF1345="LIFT"),AS1345&gt;0),SUMIFS($AS$7:$AS$1843,$CF$7:$CF$1843,CF1345,$AW$7:$AW$1843,"&gt;"&amp;AW1345)+SUMIFS($AS$7:$AS$1843,$CF$7:$CF$1843,CF1345,$AW$7:$AW$1843,AW1345,$BW$7:$BW$1843,"&lt;="&amp;BW1345),"")</f>
        <v>2244.57326007326</v>
      </c>
      <c r="AY1345" s="58" t="n">
        <f aca="false">IF(AX1345="",0,MAX(0,MIN(1,(IF(CF1345="L1",Parameter!$H$5,IF(CF1345="L23",Parameter!$H$6+Parameter!$H$7,Parameter!$H$5+Parameter!$H$6+Parameter!$H$7))-(AX1345-AS1345))/AS1345)))</f>
        <v>1</v>
      </c>
      <c r="AZ1345" s="50" t="n">
        <f aca="false">IF(LEFT(Cockpit!$O$5,1)="A",H1345,IF(Parameter!$E$30="MAX-Bestand",IF(CH1345=1,CI1345,IF(LEFT(Cockpit!$O$5,1)="B",BF1345,MAX(BF1345,H1345))),ROUNDUP(BD1345,0)))</f>
        <v>105</v>
      </c>
      <c r="BA1345" s="50" t="n">
        <f aca="false">IF(BZ1345=1,0,ROUNDUP(AZ1345/BY1345,0))</f>
        <v>2</v>
      </c>
      <c r="BB1345" s="52" t="n">
        <f aca="false">IF(CQ1345&gt;0,CQ1345*MAX(1,AZ1345/X1345),IF(BZ1345=1,IF(AZ1345&lt;=0,0,CD1345*MAX(1,IF(H1345&gt;0,AZ1345/H1345,1))),IF(R1345&gt;0,BA1345/R1345,0))/MAX(0.1,N(Parameter!$M$21)))</f>
        <v>0.0769230769230769</v>
      </c>
      <c r="BC1345" s="50" t="n">
        <f aca="false">BB1345*CB1345</f>
        <v>11.9230769230769</v>
      </c>
      <c r="BD1345" s="51" t="n">
        <f aca="false">IF(LEFT(Cockpit!$O$5,1)="A",H1345,IF(CH1345=1,(CK1345+CI1345)/2,IF(LEFT(Cockpit!$O$5,1)="B",(CK1345+BF1345)/2,MAX((CK1345+BF1345)/2,H1345))))</f>
        <v>105</v>
      </c>
      <c r="BE1345" s="50" t="n">
        <f aca="false">BD1345*G1345</f>
        <v>2252.25</v>
      </c>
      <c r="BF1345" s="50" t="n">
        <f aca="false">ROUNDUP(CK1345+MAX(CL1345,2*(J1345/IF(CG1345&gt;0,CG1345,MAX(0.1,N(Cockpit!$O$6)))-CK1345)),0)</f>
        <v>210</v>
      </c>
      <c r="BG1345" s="51" t="n">
        <f aca="false">IF(BC1345&gt;0,J1345/BC1345,-1)</f>
        <v>32.2064516129032</v>
      </c>
      <c r="BH1345" s="51" t="n">
        <f aca="false">IF(AND(OR(CF1345="L1",CF1345="L23",CF1345="LIFT"),BC1345&gt;0),SUMIFS($BC$7:$BC$1843,$CF$7:$CF$1843,CF1345,$BG$7:$BG$1843,"&gt;"&amp;BG1345)+SUMIFS($BC$7:$BC$1843,$CF$7:$CF$1843,CF1345,$BG$7:$BG$1843,BG1345,$BW$7:$BW$1843,"&lt;="&amp;BW1345),"")</f>
        <v>1697.82921245421</v>
      </c>
      <c r="BI1345" s="58" t="n">
        <f aca="false">IF(BH1345="",0,MAX(0,MIN(1,(IF(CF1345="L1",Parameter!$H$5,IF(CF1345="L23",Parameter!$H$6+Parameter!$H$7,Parameter!$H$5+Parameter!$H$6+Parameter!$H$7))-(BH1345-BC1345))/BC1345)))</f>
        <v>1</v>
      </c>
      <c r="BJ1345" s="48" t="str">
        <f aca="false">IF(AI1345&lt;=0,"",IF(CF1345="Aussen","Aussenlager",IF(CF1345="-","Nicht im Lift",IF(AO1345&gt;=1,"Lift",IF(AO1345&lt;=0,"Aussenlager","teilweise")))))</f>
        <v>Lift</v>
      </c>
      <c r="BK1345" s="48" t="str">
        <f aca="false">IF(AS1345&lt;=0,"",IF(CF1345="Aussen","Aussenlager",IF(CF1345="-","Nicht im Lift",IF(AY1345&gt;=1,"Lift",IF(AY1345&lt;=0,"Aussenlager","teilweise")))))</f>
        <v>Lift</v>
      </c>
      <c r="BL1345" s="48" t="str">
        <f aca="false">IF(BC1345&lt;=0,"",IF(CF1345="Aussen","Aussenlager",IF(CF1345="-","Nicht im Lift",IF(BI1345&gt;=1,"Lift",IF(BI1345&lt;=0,"Aussenlager","teilweise")))))</f>
        <v>Lift</v>
      </c>
      <c r="BM1345" s="48" t="str">
        <f aca="false">IF(A1345="","",IF(BV1345=1,"Neu; ","")&amp;IF(AND(BV1345=0,BQ1345&lt;0),"negativer Bestand (Export "&amp;BQ1345&amp;"); ","")&amp;IF(J1345&lt;=0,"Kein Verbrauch; ","")&amp;IF(CQ1345&gt;0,"Lift "&amp;W1345&amp;" lt. Liftbericht (Fach "&amp;X1345&amp;" Stk); ",IF(CA1345=1,"Gebinde geschätzt ("&amp;T1345&amp;"); ",IF(BZ1345=1,"Lose – Tablare geschätzt; ","")))&amp;IF(H1345&gt;AV1345,"Überbestand "&amp;ROUND(H1345-AV1345,0)&amp;" Stk / CHF "&amp;ROUND((H1345-AV1345)*G1345,0)&amp;"; ","")&amp;IF(AND(CH1345=1,CI1345&lt;CJ1345),"MAX &lt; MB+LG; ","")&amp;IF(AND(CP1345&gt;0,CO1345*10&gt;CP1345),"zu hoch für Tablar; ","")&amp;IF(AND(BV1345=0,OR(CH1345=1,AA1345&lt;&gt;"",U1345&lt;&gt;"",V1345&lt;&gt;"",AB1345&lt;&gt;"")),"manuell übersteuert; ","")&amp;IF(AND(BZ1345=0,R1345=0),"Gebinde unbekannt / Stellmass fehlt; ","")&amp;IF(AND(BZ1345=0,N(V1345)&lt;=0,N(Q1345)&lt;=0),"Menge pro Gebinde fehlt (Ist = 1 Gebinde); ","")&amp;BU1345)</f>
        <v>negativer Bestand (Export -165); </v>
      </c>
      <c r="BN1345" s="48"/>
      <c r="BO1345" s="48"/>
      <c r="BP1345" s="55"/>
      <c r="BQ1345" s="50" t="n">
        <v>-165</v>
      </c>
      <c r="BR1345" s="50" t="n">
        <v>207</v>
      </c>
      <c r="BS1345" s="49" t="n">
        <v>-1852.2</v>
      </c>
      <c r="BT1345" s="50" t="n">
        <v>384</v>
      </c>
      <c r="BU1345" s="48"/>
      <c r="BV1345" s="53" t="n">
        <v>0</v>
      </c>
      <c r="BW1345" s="53" t="n">
        <v>1345</v>
      </c>
      <c r="BX1345" s="48" t="str">
        <f aca="false">IF(U1345&lt;&gt;"",UPPER(TRIM(U1345)),IF(CA1345=1,UPPER(VLOOKUP(T1345,Parameter!$I$27:$K$29,2,0)),IF(P1345="","LOSE",P1345)))</f>
        <v>S51</v>
      </c>
      <c r="BY1345" s="50" t="n">
        <f aca="false">IF(BX1345="LOSE",1,IF(N(V1345)&gt;0,V1345,IF(CA1345=1,MAX(1,N(VLOOKUP(T1345,Parameter!$I$27:$K$29,3,0)),H1345,N(N1345)),IF(N(Q1345)&gt;0,Q1345,MAX(1,H1345)))))</f>
        <v>57</v>
      </c>
      <c r="BZ1345" s="53" t="n">
        <f aca="false">IF(BX1345="LOSE",1,0)</f>
        <v>0</v>
      </c>
      <c r="CA1345" s="53" t="n">
        <f aca="false">IF(AND(U1345="",OR(P1345="",P1345="LOSE"),T1345&lt;&gt;"",N(S1345)&lt;=0,ISNUMBER(MATCH(T1345,Parameter!$I$27:$I$29,0))),1,0)</f>
        <v>0</v>
      </c>
      <c r="CB1345" s="53" t="n">
        <f aca="false">IF(CQ1345&gt;0,INDEX(Parameter!$H$5:$H$7,W1345)/INDEX(Parameter!$E$5:$E$7,W1345),IF(AND(BZ1345=0,N(IFERROR(VLOOKUP(BX1345,'Gebinde-Kategorie'!$A$5:$N$45,14,0),0))&gt;0),VLOOKUP(BX1345,'Gebinde-Kategorie'!$A$5:$N$45,14,0)*10+Parameter!$M$23,Parameter!$M$24))</f>
        <v>155</v>
      </c>
      <c r="CC1345" s="48" t="str">
        <f aca="false">IF(AND(Parameter!$B$19="Ja",E1345&lt;&gt;"",ISNUMBER(MATCH(E1345,Parameter!$I$35:$I$52,0))),VLOOKUP(E1345,Parameter!$I$35:$J$52,2,0),IFERROR(VLOOKUP(D1345,Parameter!$A$35:$C$64,2,0),"Nein"))</f>
        <v>2+3</v>
      </c>
      <c r="CD1345" s="52" t="n">
        <f aca="false">IF(BZ1345=0,0,IF(N(S1345)&gt;0,S1345,IFERROR(VLOOKUP(D1345,Parameter!$A$35:$C$64,3,0)+0,0)))</f>
        <v>0</v>
      </c>
      <c r="CE1345" s="48" t="n">
        <f aca="false">IF(AA1345&lt;&gt;"",AA1345,Z1345)</f>
        <v>3</v>
      </c>
      <c r="CF1345" s="48" t="str">
        <f aca="false">IF(OR(CE1345=1,CE1345=2,CE1345=3),IF(Parameter!$E$27="Ja","LIFT",IF(CE1345=1,"L1","L23")),IF(CE1345="Aussen","Aussen","-"))</f>
        <v>LIFT</v>
      </c>
      <c r="CG1345" s="59" t="n">
        <f aca="false">IF(N(AB1345)&gt;0,AB1345,0)</f>
        <v>0</v>
      </c>
      <c r="CH1345" s="53" t="n">
        <f aca="false">IF(ISNUMBER(AE1345),1,0)</f>
        <v>0</v>
      </c>
      <c r="CI1345" s="50" t="n">
        <f aca="false">N(AE1345)</f>
        <v>0</v>
      </c>
      <c r="CJ1345" s="50" t="n">
        <f aca="false">N(M1345)+N(N1345)</f>
        <v>210</v>
      </c>
      <c r="CK1345" s="50" t="n">
        <f aca="false">N(M1345)</f>
        <v>0</v>
      </c>
      <c r="CL1345" s="50" t="n">
        <f aca="false">N(N1345)</f>
        <v>210</v>
      </c>
      <c r="CM1345" s="50" t="n">
        <f aca="false">ROUNDUP(H1345/BY1345,0)</f>
        <v>1</v>
      </c>
      <c r="CN1345" s="50" t="n">
        <f aca="false">ROUNDUP(CI1345/BY1345,0)</f>
        <v>0</v>
      </c>
      <c r="CO1345" s="53" t="n">
        <f aca="false">IF(BZ1345=1,0,IFERROR(VLOOKUP(BX1345,'Gebinde-Kategorie'!$A$5:$N$45,5,0)+0,0))</f>
        <v>11</v>
      </c>
      <c r="CP1345" s="53" t="n">
        <f aca="false">IFERROR(IF(OR(CE1345=1,CE1345=2,CE1345=3),N(INDEX(Parameter!$I$5:$I$7,CE1345)),0),0)</f>
        <v>0</v>
      </c>
      <c r="CQ1345" s="52" t="n">
        <f aca="false">IF(AND(Parameter!$B$21="Ja",ISNUMBER(W1345),N(X1345)&gt;0),IFERROR(N(INDEX(Parameter!$L$5:$L$7,W1345))*INDEX(Parameter!$E$5:$E$7,W1345)*X1345/SUMIFS($X$7:$X$1843,$W$7:$W$1843,W1345),0),0)</f>
        <v>0</v>
      </c>
    </row>
    <row r="1346" customFormat="false" ht="15" hidden="false" customHeight="false" outlineLevel="0" collapsed="false">
      <c r="A1346" s="48" t="s">
        <v>2388</v>
      </c>
      <c r="B1346" s="48" t="s">
        <v>471</v>
      </c>
      <c r="C1346" s="48" t="s">
        <v>173</v>
      </c>
      <c r="D1346" s="48" t="s">
        <v>182</v>
      </c>
      <c r="E1346" s="48" t="s">
        <v>194</v>
      </c>
      <c r="F1346" s="48" t="s">
        <v>227</v>
      </c>
      <c r="G1346" s="49" t="n">
        <v>238.48</v>
      </c>
      <c r="H1346" s="50" t="n">
        <f aca="false">MAX(0,IF(AND(Parameter!$B$21="Ja",ISNUMBER(Y1346)),Y1346,IF(Parameter!$B$20="Jahresanfang 2025 + Export",BR1346+BQ1346,BQ1346)))</f>
        <v>11</v>
      </c>
      <c r="I1346" s="50" t="n">
        <f aca="false">H1346*G1346</f>
        <v>2623.28</v>
      </c>
      <c r="J1346" s="50" t="n">
        <f aca="false">BT1346*Parameter!$B$18</f>
        <v>39</v>
      </c>
      <c r="K1346" s="51" t="n">
        <v>14.5</v>
      </c>
      <c r="L1346" s="52" t="n">
        <v>2.68965517241379</v>
      </c>
      <c r="M1346" s="50" t="n">
        <v>3</v>
      </c>
      <c r="N1346" s="50" t="n">
        <v>10</v>
      </c>
      <c r="O1346" s="53" t="n">
        <v>28</v>
      </c>
      <c r="P1346" s="48" t="s">
        <v>177</v>
      </c>
      <c r="Q1346" s="50"/>
      <c r="R1346" s="53" t="n">
        <f aca="false">IF(BZ1346=1,0,IFERROR(VLOOKUP(BX1346,'Gebinde-Kategorie'!$A$5:$N$45,13,0)+0,0))</f>
        <v>0</v>
      </c>
      <c r="S1346" s="54"/>
      <c r="T1346" s="55"/>
      <c r="U1346" s="55"/>
      <c r="V1346" s="55"/>
      <c r="W1346" s="48" t="n">
        <v>1</v>
      </c>
      <c r="X1346" s="50" t="n">
        <v>18</v>
      </c>
      <c r="Y1346" s="50" t="n">
        <v>11</v>
      </c>
      <c r="Z1346" s="48" t="n">
        <f aca="false">IF(A1346="","",IF(AND(Parameter!$B$21="Ja",ISNUMBER(W1346)),W1346,IF(CC1346="2+3",IF(ISNUMBER(SEARCH("grosser Artikel",BU1346)),2,IFERROR(VLOOKUP(BX1346,Parameter!$F$35:$G$64,2,0),2)),IF(OR(CC1346="Nein",CC1346=""),"-",CC1346))))</f>
        <v>1</v>
      </c>
      <c r="AA1346" s="55"/>
      <c r="AB1346" s="56"/>
      <c r="AC1346" s="50" t="n">
        <f aca="false">AV1346</f>
        <v>23</v>
      </c>
      <c r="AD1346" s="50" t="n">
        <f aca="false">MAX(AV1346,H1346)</f>
        <v>23</v>
      </c>
      <c r="AE1346" s="57"/>
      <c r="AF1346" s="50" t="n">
        <f aca="false">IF(LEFT(Cockpit!$C$5,1)="A",H1346,IF(Parameter!$E$30="MAX-Bestand",IF(CH1346=1,CI1346,IF(LEFT(Cockpit!$C$5,1)="B",AL1346,MAX(AL1346,H1346))),ROUNDUP(AJ1346,0)))</f>
        <v>11</v>
      </c>
      <c r="AG1346" s="50" t="n">
        <f aca="false">IF(BZ1346=1,0,ROUNDUP(AF1346/BY1346,0))</f>
        <v>0</v>
      </c>
      <c r="AH1346" s="52" t="n">
        <f aca="false">IF(CQ1346&gt;0,CQ1346*MAX(1,AF1346/X1346),IF(BZ1346=1,IF(AF1346&lt;=0,0,CD1346*MAX(1,IF(H1346&gt;0,AF1346/H1346,1))),IF(R1346&gt;0,AG1346/R1346,0))/MAX(0.1,N(Parameter!$M$21)))</f>
        <v>1.44067796610169</v>
      </c>
      <c r="AI1346" s="50" t="n">
        <f aca="false">AH1346*CB1346</f>
        <v>342.881355932203</v>
      </c>
      <c r="AJ1346" s="51" t="n">
        <f aca="false">IF(LEFT(Cockpit!$C$5,1)="A",H1346,IF(CH1346=1,(CK1346+CI1346)/2,IF(LEFT(Cockpit!$C$5,1)="B",(CK1346+AL1346)/2,MAX((CK1346+AL1346)/2,H1346))))</f>
        <v>11</v>
      </c>
      <c r="AK1346" s="50" t="n">
        <f aca="false">AJ1346*G1346</f>
        <v>2623.28</v>
      </c>
      <c r="AL1346" s="50" t="n">
        <f aca="false">ROUNDUP(CK1346+MAX(CL1346,2*(J1346/IF(CG1346&gt;0,CG1346,MAX(0.1,N(Cockpit!$C$6)))-CK1346)),0)</f>
        <v>23</v>
      </c>
      <c r="AM1346" s="51" t="n">
        <f aca="false">IF(AI1346&gt;0,J1346/AI1346,-1)</f>
        <v>0.113741967375185</v>
      </c>
      <c r="AN1346" s="51" t="n">
        <f aca="false">IF(AND(OR(CF1346="L1",CF1346="L23",CF1346="LIFT"),AI1346&gt;0),SUMIFS($AI$7:$AI$1843,$CF$7:$CF$1843,CF1346,$AM$7:$AM$1843,"&gt;"&amp;AM1346)+SUMIFS($AI$7:$AI$1843,$CF$7:$CF$1843,CF1346,$AM$7:$AM$1843,AM1346,$BW$7:$BW$1843,"&lt;="&amp;BW1346),"")</f>
        <v>14765.5545596118</v>
      </c>
      <c r="AO1346" s="58" t="n">
        <f aca="false">IF(AN1346="",0,MAX(0,MIN(1,(IF(CF1346="L1",Parameter!$H$5,IF(CF1346="L23",Parameter!$H$6+Parameter!$H$7,Parameter!$H$5+Parameter!$H$6+Parameter!$H$7))-(AN1346-AI1346))/AI1346)))</f>
        <v>1</v>
      </c>
      <c r="AP1346" s="50" t="n">
        <f aca="false">IF(LEFT(Cockpit!$I$5,1)="A",H1346,IF(Parameter!$E$30="MAX-Bestand",IF(CH1346=1,CI1346,IF(LEFT(Cockpit!$I$5,1)="B",AV1346,MAX(AV1346,H1346))),ROUNDUP(AT1346,0)))</f>
        <v>13</v>
      </c>
      <c r="AQ1346" s="50" t="n">
        <f aca="false">IF(BZ1346=1,0,ROUNDUP(AP1346/BY1346,0))</f>
        <v>0</v>
      </c>
      <c r="AR1346" s="52" t="n">
        <f aca="false">IF(CQ1346&gt;0,CQ1346*MAX(1,AP1346/X1346),IF(BZ1346=1,IF(AP1346&lt;=0,0,CD1346*MAX(1,IF(H1346&gt;0,AP1346/H1346,1))),IF(R1346&gt;0,AQ1346/R1346,0))/MAX(0.1,N(Parameter!$M$21)))</f>
        <v>1.44067796610169</v>
      </c>
      <c r="AS1346" s="50" t="n">
        <f aca="false">AR1346*CB1346</f>
        <v>342.881355932203</v>
      </c>
      <c r="AT1346" s="51" t="n">
        <f aca="false">IF(LEFT(Cockpit!$I$5,1)="A",H1346,IF(CH1346=1,(CK1346+CI1346)/2,IF(LEFT(Cockpit!$I$5,1)="B",(CK1346+AV1346)/2,MAX((CK1346+AV1346)/2,H1346))))</f>
        <v>13</v>
      </c>
      <c r="AU1346" s="50" t="n">
        <f aca="false">AT1346*G1346</f>
        <v>3100.24</v>
      </c>
      <c r="AV1346" s="50" t="n">
        <f aca="false">ROUNDUP(CK1346+MAX(CL1346,2*(J1346/IF(CG1346&gt;0,CG1346,MAX(0.1,N(Cockpit!$I$6)))-CK1346)),0)</f>
        <v>23</v>
      </c>
      <c r="AW1346" s="51" t="n">
        <f aca="false">IF(AS1346&gt;0,J1346/AS1346,-1)</f>
        <v>0.113741967375185</v>
      </c>
      <c r="AX1346" s="51" t="n">
        <f aca="false">IF(AND(OR(CF1346="L1",CF1346="L23",CF1346="LIFT"),AS1346&gt;0),SUMIFS($AS$7:$AS$1843,$CF$7:$CF$1843,CF1346,$AW$7:$AW$1843,"&gt;"&amp;AW1346)+SUMIFS($AS$7:$AS$1843,$CF$7:$CF$1843,CF1346,$AW$7:$AW$1843,AW1346,$BW$7:$BW$1843,"&lt;="&amp;BW1346),"")</f>
        <v>18789.9532009892</v>
      </c>
      <c r="AY1346" s="58" t="n">
        <f aca="false">IF(AX1346="",0,MAX(0,MIN(1,(IF(CF1346="L1",Parameter!$H$5,IF(CF1346="L23",Parameter!$H$6+Parameter!$H$7,Parameter!$H$5+Parameter!$H$6+Parameter!$H$7))-(AX1346-AS1346))/AS1346)))</f>
        <v>1</v>
      </c>
      <c r="AZ1346" s="50" t="n">
        <f aca="false">IF(LEFT(Cockpit!$O$5,1)="A",H1346,IF(Parameter!$E$30="MAX-Bestand",IF(CH1346=1,CI1346,IF(LEFT(Cockpit!$O$5,1)="B",BF1346,MAX(BF1346,H1346))),ROUNDUP(BD1346,0)))</f>
        <v>10</v>
      </c>
      <c r="BA1346" s="50" t="n">
        <f aca="false">IF(BZ1346=1,0,ROUNDUP(AZ1346/BY1346,0))</f>
        <v>0</v>
      </c>
      <c r="BB1346" s="52" t="n">
        <f aca="false">IF(CQ1346&gt;0,CQ1346*MAX(1,AZ1346/X1346),IF(BZ1346=1,IF(AZ1346&lt;=0,0,CD1346*MAX(1,IF(H1346&gt;0,AZ1346/H1346,1))),IF(R1346&gt;0,BA1346/R1346,0))/MAX(0.1,N(Parameter!$M$21)))</f>
        <v>1.44067796610169</v>
      </c>
      <c r="BC1346" s="50" t="n">
        <f aca="false">BB1346*CB1346</f>
        <v>342.881355932203</v>
      </c>
      <c r="BD1346" s="51" t="n">
        <f aca="false">IF(LEFT(Cockpit!$O$5,1)="A",H1346,IF(CH1346=1,(CK1346+CI1346)/2,IF(LEFT(Cockpit!$O$5,1)="B",(CK1346+BF1346)/2,MAX((CK1346+BF1346)/2,H1346))))</f>
        <v>10</v>
      </c>
      <c r="BE1346" s="50" t="n">
        <f aca="false">BD1346*G1346</f>
        <v>2384.8</v>
      </c>
      <c r="BF1346" s="50" t="n">
        <f aca="false">ROUNDUP(CK1346+MAX(CL1346,2*(J1346/IF(CG1346&gt;0,CG1346,MAX(0.1,N(Cockpit!$O$6)))-CK1346)),0)</f>
        <v>17</v>
      </c>
      <c r="BG1346" s="51" t="n">
        <f aca="false">IF(BC1346&gt;0,J1346/BC1346,-1)</f>
        <v>0.113741967375185</v>
      </c>
      <c r="BH1346" s="51" t="n">
        <f aca="false">IF(AND(OR(CF1346="L1",CF1346="L23",CF1346="LIFT"),BC1346&gt;0),SUMIFS($BC$7:$BC$1843,$CF$7:$CF$1843,CF1346,$BG$7:$BG$1843,"&gt;"&amp;BG1346)+SUMIFS($BC$7:$BC$1843,$CF$7:$CF$1843,CF1346,$BG$7:$BG$1843,BG1346,$BW$7:$BW$1843,"&lt;="&amp;BW1346),"")</f>
        <v>16390.7658135179</v>
      </c>
      <c r="BI1346" s="58" t="n">
        <f aca="false">IF(BH1346="",0,MAX(0,MIN(1,(IF(CF1346="L1",Parameter!$H$5,IF(CF1346="L23",Parameter!$H$6+Parameter!$H$7,Parameter!$H$5+Parameter!$H$6+Parameter!$H$7))-(BH1346-BC1346))/BC1346)))</f>
        <v>1</v>
      </c>
      <c r="BJ1346" s="48" t="str">
        <f aca="false">IF(AI1346&lt;=0,"",IF(CF1346="Aussen","Aussenlager",IF(CF1346="-","Nicht im Lift",IF(AO1346&gt;=1,"Lift",IF(AO1346&lt;=0,"Aussenlager","teilweise")))))</f>
        <v>Lift</v>
      </c>
      <c r="BK1346" s="48" t="str">
        <f aca="false">IF(AS1346&lt;=0,"",IF(CF1346="Aussen","Aussenlager",IF(CF1346="-","Nicht im Lift",IF(AY1346&gt;=1,"Lift",IF(AY1346&lt;=0,"Aussenlager","teilweise")))))</f>
        <v>Lift</v>
      </c>
      <c r="BL1346" s="48" t="str">
        <f aca="false">IF(BC1346&lt;=0,"",IF(CF1346="Aussen","Aussenlager",IF(CF1346="-","Nicht im Lift",IF(BI1346&gt;=1,"Lift",IF(BI1346&lt;=0,"Aussenlager","teilweise")))))</f>
        <v>Lift</v>
      </c>
      <c r="BM1346" s="48" t="str">
        <f aca="false">IF(A1346="","",IF(BV1346=1,"Neu; ","")&amp;IF(AND(BV1346=0,BQ1346&lt;0),"negativer Bestand (Export "&amp;BQ1346&amp;"); ","")&amp;IF(J1346&lt;=0,"Kein Verbrauch; ","")&amp;IF(CQ1346&gt;0,"Lift "&amp;W1346&amp;" lt. Liftbericht (Fach "&amp;X1346&amp;" Stk); ",IF(CA1346=1,"Gebinde geschätzt ("&amp;T1346&amp;"); ",IF(BZ1346=1,"Lose – Tablare geschätzt; ","")))&amp;IF(H1346&gt;AV1346,"Überbestand "&amp;ROUND(H1346-AV1346,0)&amp;" Stk / CHF "&amp;ROUND((H1346-AV1346)*G1346,0)&amp;"; ","")&amp;IF(AND(CH1346=1,CI1346&lt;CJ1346),"MAX &lt; MB+LG; ","")&amp;IF(AND(CP1346&gt;0,CO1346*10&gt;CP1346),"zu hoch für Tablar; ","")&amp;IF(AND(BV1346=0,OR(CH1346=1,AA1346&lt;&gt;"",U1346&lt;&gt;"",V1346&lt;&gt;"",AB1346&lt;&gt;"")),"manuell übersteuert; ","")&amp;IF(AND(BZ1346=0,R1346=0),"Gebinde unbekannt / Stellmass fehlt; ","")&amp;IF(AND(BZ1346=0,N(V1346)&lt;=0,N(Q1346)&lt;=0),"Menge pro Gebinde fehlt (Ist = 1 Gebinde); ","")&amp;BU1346)</f>
        <v>negativer Bestand (Export -8); Lift 1 lt. Liftbericht (Fach 18 Stk); grosser Artikel &amp; nicht im KTL</v>
      </c>
      <c r="BN1346" s="48"/>
      <c r="BO1346" s="48"/>
      <c r="BP1346" s="55"/>
      <c r="BQ1346" s="50" t="n">
        <v>-8</v>
      </c>
      <c r="BR1346" s="50" t="n">
        <v>19</v>
      </c>
      <c r="BS1346" s="49" t="n">
        <v>-1918.86</v>
      </c>
      <c r="BT1346" s="50" t="n">
        <v>39</v>
      </c>
      <c r="BU1346" s="48" t="s">
        <v>270</v>
      </c>
      <c r="BV1346" s="53" t="n">
        <v>0</v>
      </c>
      <c r="BW1346" s="53" t="n">
        <v>1346</v>
      </c>
      <c r="BX1346" s="48" t="str">
        <f aca="false">IF(U1346&lt;&gt;"",UPPER(TRIM(U1346)),IF(CA1346=1,UPPER(VLOOKUP(T1346,Parameter!$I$27:$K$29,2,0)),IF(P1346="","LOSE",P1346)))</f>
        <v>LOSE</v>
      </c>
      <c r="BY1346" s="50" t="n">
        <f aca="false">IF(BX1346="LOSE",1,IF(N(V1346)&gt;0,V1346,IF(CA1346=1,MAX(1,N(VLOOKUP(T1346,Parameter!$I$27:$K$29,3,0)),H1346,N(N1346)),IF(N(Q1346)&gt;0,Q1346,MAX(1,H1346)))))</f>
        <v>1</v>
      </c>
      <c r="BZ1346" s="53" t="n">
        <f aca="false">IF(BX1346="LOSE",1,0)</f>
        <v>1</v>
      </c>
      <c r="CA1346" s="53" t="n">
        <f aca="false">IF(AND(U1346="",OR(P1346="",P1346="LOSE"),T1346&lt;&gt;"",N(S1346)&lt;=0,ISNUMBER(MATCH(T1346,Parameter!$I$27:$I$29,0))),1,0)</f>
        <v>0</v>
      </c>
      <c r="CB1346" s="53" t="n">
        <f aca="false">IF(CQ1346&gt;0,INDEX(Parameter!$H$5:$H$7,W1346)/INDEX(Parameter!$E$5:$E$7,W1346),IF(AND(BZ1346=0,N(IFERROR(VLOOKUP(BX1346,'Gebinde-Kategorie'!$A$5:$N$45,14,0),0))&gt;0),VLOOKUP(BX1346,'Gebinde-Kategorie'!$A$5:$N$45,14,0)*10+Parameter!$M$23,Parameter!$M$24))</f>
        <v>238</v>
      </c>
      <c r="CC1346" s="48" t="str">
        <f aca="false">IF(AND(Parameter!$B$19="Ja",E1346&lt;&gt;"",ISNUMBER(MATCH(E1346,Parameter!$I$35:$I$52,0))),VLOOKUP(E1346,Parameter!$I$35:$J$52,2,0),IFERROR(VLOOKUP(D1346,Parameter!$A$35:$C$64,2,0),"Nein"))</f>
        <v>2+3</v>
      </c>
      <c r="CD1346" s="52" t="n">
        <f aca="false">IF(BZ1346=0,0,IF(N(S1346)&gt;0,S1346,IFERROR(VLOOKUP(D1346,Parameter!$A$35:$C$64,3,0)+0,0)))</f>
        <v>0.15</v>
      </c>
      <c r="CE1346" s="48" t="n">
        <f aca="false">IF(AA1346&lt;&gt;"",AA1346,Z1346)</f>
        <v>1</v>
      </c>
      <c r="CF1346" s="48" t="str">
        <f aca="false">IF(OR(CE1346=1,CE1346=2,CE1346=3),IF(Parameter!$E$27="Ja","LIFT",IF(CE1346=1,"L1","L23")),IF(CE1346="Aussen","Aussen","-"))</f>
        <v>LIFT</v>
      </c>
      <c r="CG1346" s="59" t="n">
        <f aca="false">IF(N(AB1346)&gt;0,AB1346,0)</f>
        <v>0</v>
      </c>
      <c r="CH1346" s="53" t="n">
        <f aca="false">IF(ISNUMBER(AE1346),1,0)</f>
        <v>0</v>
      </c>
      <c r="CI1346" s="50" t="n">
        <f aca="false">N(AE1346)</f>
        <v>0</v>
      </c>
      <c r="CJ1346" s="50" t="n">
        <f aca="false">N(M1346)+N(N1346)</f>
        <v>13</v>
      </c>
      <c r="CK1346" s="50" t="n">
        <f aca="false">N(M1346)</f>
        <v>3</v>
      </c>
      <c r="CL1346" s="50" t="n">
        <f aca="false">N(N1346)</f>
        <v>10</v>
      </c>
      <c r="CM1346" s="50" t="n">
        <f aca="false">ROUNDUP(H1346/BY1346,0)</f>
        <v>11</v>
      </c>
      <c r="CN1346" s="50" t="n">
        <f aca="false">ROUNDUP(CI1346/BY1346,0)</f>
        <v>0</v>
      </c>
      <c r="CO1346" s="53" t="n">
        <f aca="false">IF(BZ1346=1,0,IFERROR(VLOOKUP(BX1346,'Gebinde-Kategorie'!$A$5:$N$45,5,0)+0,0))</f>
        <v>0</v>
      </c>
      <c r="CP1346" s="53" t="n">
        <f aca="false">IFERROR(IF(OR(CE1346=1,CE1346=2,CE1346=3),N(INDEX(Parameter!$I$5:$I$7,CE1346)),0),0)</f>
        <v>0</v>
      </c>
      <c r="CQ1346" s="52" t="n">
        <f aca="false">IF(AND(Parameter!$B$21="Ja",ISNUMBER(W1346),N(X1346)&gt;0),IFERROR(N(INDEX(Parameter!$L$5:$L$7,W1346))*INDEX(Parameter!$E$5:$E$7,W1346)*X1346/SUMIFS($X$7:$X$1843,$W$7:$W$1843,W1346),0),0)</f>
        <v>1.44067796610169</v>
      </c>
    </row>
    <row r="1347" customFormat="false" ht="15" hidden="false" customHeight="false" outlineLevel="0" collapsed="false">
      <c r="A1347" s="48" t="s">
        <v>2389</v>
      </c>
      <c r="B1347" s="48" t="s">
        <v>535</v>
      </c>
      <c r="C1347" s="48" t="s">
        <v>465</v>
      </c>
      <c r="D1347" s="48" t="s">
        <v>182</v>
      </c>
      <c r="E1347" s="48" t="s">
        <v>194</v>
      </c>
      <c r="F1347" s="48" t="s">
        <v>227</v>
      </c>
      <c r="G1347" s="49" t="n">
        <v>115.06</v>
      </c>
      <c r="H1347" s="50" t="n">
        <f aca="false">MAX(0,IF(AND(Parameter!$B$21="Ja",ISNUMBER(Y1347)),Y1347,IF(Parameter!$B$20="Jahresanfang 2025 + Export",BR1347+BQ1347,BQ1347)))</f>
        <v>0</v>
      </c>
      <c r="I1347" s="50" t="n">
        <f aca="false">H1347*G1347</f>
        <v>0</v>
      </c>
      <c r="J1347" s="50" t="n">
        <f aca="false">BT1347*Parameter!$B$18</f>
        <v>0</v>
      </c>
      <c r="K1347" s="51" t="n">
        <v>16.5</v>
      </c>
      <c r="L1347" s="52" t="n">
        <v>0</v>
      </c>
      <c r="M1347" s="50" t="n">
        <v>0</v>
      </c>
      <c r="N1347" s="50" t="n">
        <v>1</v>
      </c>
      <c r="O1347" s="53" t="n">
        <v>56</v>
      </c>
      <c r="P1347" s="48" t="s">
        <v>177</v>
      </c>
      <c r="Q1347" s="50"/>
      <c r="R1347" s="53" t="n">
        <f aca="false">IF(BZ1347=1,0,IFERROR(VLOOKUP(BX1347,'Gebinde-Kategorie'!$A$5:$N$45,13,0)+0,0))</f>
        <v>12</v>
      </c>
      <c r="S1347" s="54"/>
      <c r="T1347" s="55" t="s">
        <v>188</v>
      </c>
      <c r="U1347" s="55"/>
      <c r="V1347" s="55"/>
      <c r="W1347" s="48"/>
      <c r="X1347" s="50"/>
      <c r="Y1347" s="50"/>
      <c r="Z1347" s="48" t="n">
        <f aca="false">IF(A1347="","",IF(AND(Parameter!$B$21="Ja",ISNUMBER(W1347)),W1347,IF(CC1347="2+3",IF(ISNUMBER(SEARCH("grosser Artikel",BU1347)),2,IFERROR(VLOOKUP(BX1347,Parameter!$F$35:$G$64,2,0),2)),IF(OR(CC1347="Nein",CC1347=""),"-",CC1347))))</f>
        <v>2</v>
      </c>
      <c r="AA1347" s="55"/>
      <c r="AB1347" s="56"/>
      <c r="AC1347" s="50" t="n">
        <f aca="false">AV1347</f>
        <v>1</v>
      </c>
      <c r="AD1347" s="50" t="n">
        <f aca="false">MAX(AV1347,H1347)</f>
        <v>1</v>
      </c>
      <c r="AE1347" s="57"/>
      <c r="AF1347" s="50" t="n">
        <f aca="false">IF(LEFT(Cockpit!$C$5,1)="A",H1347,IF(Parameter!$E$30="MAX-Bestand",IF(CH1347=1,CI1347,IF(LEFT(Cockpit!$C$5,1)="B",AL1347,MAX(AL1347,H1347))),ROUNDUP(AJ1347,0)))</f>
        <v>0</v>
      </c>
      <c r="AG1347" s="50" t="n">
        <f aca="false">IF(BZ1347=1,0,ROUNDUP(AF1347/BY1347,0))</f>
        <v>0</v>
      </c>
      <c r="AH1347" s="52" t="n">
        <f aca="false">IF(CQ1347&gt;0,CQ1347*MAX(1,AF1347/X1347),IF(BZ1347=1,IF(AF1347&lt;=0,0,CD1347*MAX(1,IF(H1347&gt;0,AF1347/H1347,1))),IF(R1347&gt;0,AG1347/R1347,0))/MAX(0.1,N(Parameter!$M$21)))</f>
        <v>0</v>
      </c>
      <c r="AI1347" s="50" t="n">
        <f aca="false">AH1347*CB1347</f>
        <v>0</v>
      </c>
      <c r="AJ1347" s="51" t="n">
        <f aca="false">IF(LEFT(Cockpit!$C$5,1)="A",H1347,IF(CH1347=1,(CK1347+CI1347)/2,IF(LEFT(Cockpit!$C$5,1)="B",(CK1347+AL1347)/2,MAX((CK1347+AL1347)/2,H1347))))</f>
        <v>0</v>
      </c>
      <c r="AK1347" s="50" t="n">
        <f aca="false">AJ1347*G1347</f>
        <v>0</v>
      </c>
      <c r="AL1347" s="50" t="n">
        <f aca="false">ROUNDUP(CK1347+MAX(CL1347,2*(J1347/IF(CG1347&gt;0,CG1347,MAX(0.1,N(Cockpit!$C$6)))-CK1347)),0)</f>
        <v>1</v>
      </c>
      <c r="AM1347" s="51" t="n">
        <f aca="false">IF(AI1347&gt;0,J1347/AI1347,-1)</f>
        <v>-1</v>
      </c>
      <c r="AN1347" s="51" t="str">
        <f aca="false">IF(AND(OR(CF1347="L1",CF1347="L23",CF1347="LIFT"),AI1347&gt;0),SUMIFS($AI$7:$AI$1843,$CF$7:$CF$1843,CF1347,$AM$7:$AM$1843,"&gt;"&amp;AM1347)+SUMIFS($AI$7:$AI$1843,$CF$7:$CF$1843,CF1347,$AM$7:$AM$1843,AM1347,$BW$7:$BW$1843,"&lt;="&amp;BW1347),"")</f>
        <v/>
      </c>
      <c r="AO1347" s="58" t="n">
        <f aca="false">IF(AN1347="",0,MAX(0,MIN(1,(IF(CF1347="L1",Parameter!$H$5,IF(CF1347="L23",Parameter!$H$6+Parameter!$H$7,Parameter!$H$5+Parameter!$H$6+Parameter!$H$7))-(AN1347-AI1347))/AI1347)))</f>
        <v>0</v>
      </c>
      <c r="AP1347" s="50" t="n">
        <f aca="false">IF(LEFT(Cockpit!$I$5,1)="A",H1347,IF(Parameter!$E$30="MAX-Bestand",IF(CH1347=1,CI1347,IF(LEFT(Cockpit!$I$5,1)="B",AV1347,MAX(AV1347,H1347))),ROUNDUP(AT1347,0)))</f>
        <v>1</v>
      </c>
      <c r="AQ1347" s="50" t="n">
        <f aca="false">IF(BZ1347=1,0,ROUNDUP(AP1347/BY1347,0))</f>
        <v>1</v>
      </c>
      <c r="AR1347" s="52" t="n">
        <f aca="false">IF(CQ1347&gt;0,CQ1347*MAX(1,AP1347/X1347),IF(BZ1347=1,IF(AP1347&lt;=0,0,CD1347*MAX(1,IF(H1347&gt;0,AP1347/H1347,1))),IF(R1347&gt;0,AQ1347/R1347,0))/MAX(0.1,N(Parameter!$M$21)))</f>
        <v>0.0833333333333333</v>
      </c>
      <c r="AS1347" s="50" t="n">
        <f aca="false">AR1347*CB1347</f>
        <v>12.0833333333333</v>
      </c>
      <c r="AT1347" s="51" t="n">
        <f aca="false">IF(LEFT(Cockpit!$I$5,1)="A",H1347,IF(CH1347=1,(CK1347+CI1347)/2,IF(LEFT(Cockpit!$I$5,1)="B",(CK1347+AV1347)/2,MAX((CK1347+AV1347)/2,H1347))))</f>
        <v>0.5</v>
      </c>
      <c r="AU1347" s="50" t="n">
        <f aca="false">AT1347*G1347</f>
        <v>57.53</v>
      </c>
      <c r="AV1347" s="50" t="n">
        <f aca="false">ROUNDUP(CK1347+MAX(CL1347,2*(J1347/IF(CG1347&gt;0,CG1347,MAX(0.1,N(Cockpit!$I$6)))-CK1347)),0)</f>
        <v>1</v>
      </c>
      <c r="AW1347" s="51" t="n">
        <f aca="false">IF(AS1347&gt;0,J1347/AS1347,-1)</f>
        <v>0</v>
      </c>
      <c r="AX1347" s="51" t="n">
        <f aca="false">IF(AND(OR(CF1347="L1",CF1347="L23",CF1347="LIFT"),AS1347&gt;0),SUMIFS($AS$7:$AS$1843,$CF$7:$CF$1843,CF1347,$AW$7:$AW$1843,"&gt;"&amp;AW1347)+SUMIFS($AS$7:$AS$1843,$CF$7:$CF$1843,CF1347,$AW$7:$AW$1843,AW1347,$BW$7:$BW$1843,"&lt;="&amp;BW1347),"")</f>
        <v>35723.5837912088</v>
      </c>
      <c r="AY1347" s="58" t="n">
        <f aca="false">IF(AX1347="",0,MAX(0,MIN(1,(IF(CF1347="L1",Parameter!$H$5,IF(CF1347="L23",Parameter!$H$6+Parameter!$H$7,Parameter!$H$5+Parameter!$H$6+Parameter!$H$7))-(AX1347-AS1347))/AS1347)))</f>
        <v>0</v>
      </c>
      <c r="AZ1347" s="50" t="n">
        <f aca="false">IF(LEFT(Cockpit!$O$5,1)="A",H1347,IF(Parameter!$E$30="MAX-Bestand",IF(CH1347=1,CI1347,IF(LEFT(Cockpit!$O$5,1)="B",BF1347,MAX(BF1347,H1347))),ROUNDUP(BD1347,0)))</f>
        <v>1</v>
      </c>
      <c r="BA1347" s="50" t="n">
        <f aca="false">IF(BZ1347=1,0,ROUNDUP(AZ1347/BY1347,0))</f>
        <v>1</v>
      </c>
      <c r="BB1347" s="52" t="n">
        <f aca="false">IF(CQ1347&gt;0,CQ1347*MAX(1,AZ1347/X1347),IF(BZ1347=1,IF(AZ1347&lt;=0,0,CD1347*MAX(1,IF(H1347&gt;0,AZ1347/H1347,1))),IF(R1347&gt;0,BA1347/R1347,0))/MAX(0.1,N(Parameter!$M$21)))</f>
        <v>0.0833333333333333</v>
      </c>
      <c r="BC1347" s="50" t="n">
        <f aca="false">BB1347*CB1347</f>
        <v>12.0833333333333</v>
      </c>
      <c r="BD1347" s="51" t="n">
        <f aca="false">IF(LEFT(Cockpit!$O$5,1)="A",H1347,IF(CH1347=1,(CK1347+CI1347)/2,IF(LEFT(Cockpit!$O$5,1)="B",(CK1347+BF1347)/2,MAX((CK1347+BF1347)/2,H1347))))</f>
        <v>0.5</v>
      </c>
      <c r="BE1347" s="50" t="n">
        <f aca="false">BD1347*G1347</f>
        <v>57.53</v>
      </c>
      <c r="BF1347" s="50" t="n">
        <f aca="false">ROUNDUP(CK1347+MAX(CL1347,2*(J1347/IF(CG1347&gt;0,CG1347,MAX(0.1,N(Cockpit!$O$6)))-CK1347)),0)</f>
        <v>1</v>
      </c>
      <c r="BG1347" s="51" t="n">
        <f aca="false">IF(BC1347&gt;0,J1347/BC1347,-1)</f>
        <v>0</v>
      </c>
      <c r="BH1347" s="51" t="n">
        <f aca="false">IF(AND(OR(CF1347="L1",CF1347="L23",CF1347="LIFT"),BC1347&gt;0),SUMIFS($BC$7:$BC$1843,$CF$7:$CF$1843,CF1347,$BG$7:$BG$1843,"&gt;"&amp;BG1347)+SUMIFS($BC$7:$BC$1843,$CF$7:$CF$1843,CF1347,$BG$7:$BG$1843,BG1347,$BW$7:$BW$1843,"&lt;="&amp;BW1347),"")</f>
        <v>29708.8904513566</v>
      </c>
      <c r="BI1347" s="58" t="n">
        <f aca="false">IF(BH1347="",0,MAX(0,MIN(1,(IF(CF1347="L1",Parameter!$H$5,IF(CF1347="L23",Parameter!$H$6+Parameter!$H$7,Parameter!$H$5+Parameter!$H$6+Parameter!$H$7))-(BH1347-BC1347))/BC1347)))</f>
        <v>1</v>
      </c>
      <c r="BJ1347" s="48" t="str">
        <f aca="false">IF(AI1347&lt;=0,"",IF(CF1347="Aussen","Aussenlager",IF(CF1347="-","Nicht im Lift",IF(AO1347&gt;=1,"Lift",IF(AO1347&lt;=0,"Aussenlager","teilweise")))))</f>
        <v/>
      </c>
      <c r="BK1347" s="48" t="str">
        <f aca="false">IF(AS1347&lt;=0,"",IF(CF1347="Aussen","Aussenlager",IF(CF1347="-","Nicht im Lift",IF(AY1347&gt;=1,"Lift",IF(AY1347&lt;=0,"Aussenlager","teilweise")))))</f>
        <v>Aussenlager</v>
      </c>
      <c r="BL1347" s="48" t="str">
        <f aca="false">IF(BC1347&lt;=0,"",IF(CF1347="Aussen","Aussenlager",IF(CF1347="-","Nicht im Lift",IF(BI1347&gt;=1,"Lift",IF(BI1347&lt;=0,"Aussenlager","teilweise")))))</f>
        <v>Lift</v>
      </c>
      <c r="BM1347" s="48" t="str">
        <f aca="false">IF(A1347="","",IF(BV1347=1,"Neu; ","")&amp;IF(AND(BV1347=0,BQ1347&lt;0),"negativer Bestand (Export "&amp;BQ1347&amp;"); ","")&amp;IF(J1347&lt;=0,"Kein Verbrauch; ","")&amp;IF(CQ1347&gt;0,"Lift "&amp;W1347&amp;" lt. Liftbericht (Fach "&amp;X1347&amp;" Stk); ",IF(CA1347=1,"Gebinde geschätzt ("&amp;T1347&amp;"); ",IF(BZ1347=1,"Lose – Tablare geschätzt; ","")))&amp;IF(H1347&gt;AV1347,"Überbestand "&amp;ROUND(H1347-AV1347,0)&amp;" Stk / CHF "&amp;ROUND((H1347-AV1347)*G1347,0)&amp;"; ","")&amp;IF(AND(CH1347=1,CI1347&lt;CJ1347),"MAX &lt; MB+LG; ","")&amp;IF(AND(CP1347&gt;0,CO1347*10&gt;CP1347),"zu hoch für Tablar; ","")&amp;IF(AND(BV1347=0,OR(CH1347=1,AA1347&lt;&gt;"",U1347&lt;&gt;"",V1347&lt;&gt;"",AB1347&lt;&gt;"")),"manuell übersteuert; ","")&amp;IF(AND(BZ1347=0,R1347=0),"Gebinde unbekannt / Stellmass fehlt; ","")&amp;IF(AND(BZ1347=0,N(V1347)&lt;=0,N(Q1347)&lt;=0),"Menge pro Gebinde fehlt (Ist = 1 Gebinde); ","")&amp;BU1347)</f>
        <v>negativer Bestand (Export -17); Kein Verbrauch; Gebinde geschätzt (Mittel); Menge pro Gebinde fehlt (Ist = 1 Gebinde); grosser Artikel &amp; nicht im KTL</v>
      </c>
      <c r="BN1347" s="48"/>
      <c r="BO1347" s="48"/>
      <c r="BP1347" s="55"/>
      <c r="BQ1347" s="50" t="n">
        <v>-17</v>
      </c>
      <c r="BR1347" s="50" t="n">
        <v>17</v>
      </c>
      <c r="BS1347" s="49" t="n">
        <v>-1956.02</v>
      </c>
      <c r="BT1347" s="50" t="n">
        <v>0</v>
      </c>
      <c r="BU1347" s="48" t="s">
        <v>270</v>
      </c>
      <c r="BV1347" s="53" t="n">
        <v>0</v>
      </c>
      <c r="BW1347" s="53" t="n">
        <v>1347</v>
      </c>
      <c r="BX1347" s="48" t="str">
        <f aca="false">IF(U1347&lt;&gt;"",UPPER(TRIM(U1347)),IF(CA1347=1,UPPER(VLOOKUP(T1347,Parameter!$I$27:$K$29,2,0)),IF(P1347="","LOSE",P1347)))</f>
        <v>S61</v>
      </c>
      <c r="BY1347" s="50" t="n">
        <f aca="false">IF(BX1347="LOSE",1,IF(N(V1347)&gt;0,V1347,IF(CA1347=1,MAX(1,N(VLOOKUP(T1347,Parameter!$I$27:$K$29,3,0)),H1347,N(N1347)),IF(N(Q1347)&gt;0,Q1347,MAX(1,H1347)))))</f>
        <v>4</v>
      </c>
      <c r="BZ1347" s="53" t="n">
        <f aca="false">IF(BX1347="LOSE",1,0)</f>
        <v>0</v>
      </c>
      <c r="CA1347" s="53" t="n">
        <f aca="false">IF(AND(U1347="",OR(P1347="",P1347="LOSE"),T1347&lt;&gt;"",N(S1347)&lt;=0,ISNUMBER(MATCH(T1347,Parameter!$I$27:$I$29,0))),1,0)</f>
        <v>1</v>
      </c>
      <c r="CB1347" s="53" t="n">
        <f aca="false">IF(CQ1347&gt;0,INDEX(Parameter!$H$5:$H$7,W1347)/INDEX(Parameter!$E$5:$E$7,W1347),IF(AND(BZ1347=0,N(IFERROR(VLOOKUP(BX1347,'Gebinde-Kategorie'!$A$5:$N$45,14,0),0))&gt;0),VLOOKUP(BX1347,'Gebinde-Kategorie'!$A$5:$N$45,14,0)*10+Parameter!$M$23,Parameter!$M$24))</f>
        <v>145</v>
      </c>
      <c r="CC1347" s="48" t="str">
        <f aca="false">IF(AND(Parameter!$B$19="Ja",E1347&lt;&gt;"",ISNUMBER(MATCH(E1347,Parameter!$I$35:$I$52,0))),VLOOKUP(E1347,Parameter!$I$35:$J$52,2,0),IFERROR(VLOOKUP(D1347,Parameter!$A$35:$C$64,2,0),"Nein"))</f>
        <v>2+3</v>
      </c>
      <c r="CD1347" s="52" t="n">
        <f aca="false">IF(BZ1347=0,0,IF(N(S1347)&gt;0,S1347,IFERROR(VLOOKUP(D1347,Parameter!$A$35:$C$64,3,0)+0,0)))</f>
        <v>0</v>
      </c>
      <c r="CE1347" s="48" t="n">
        <f aca="false">IF(AA1347&lt;&gt;"",AA1347,Z1347)</f>
        <v>2</v>
      </c>
      <c r="CF1347" s="48" t="str">
        <f aca="false">IF(OR(CE1347=1,CE1347=2,CE1347=3),IF(Parameter!$E$27="Ja","LIFT",IF(CE1347=1,"L1","L23")),IF(CE1347="Aussen","Aussen","-"))</f>
        <v>LIFT</v>
      </c>
      <c r="CG1347" s="59" t="n">
        <f aca="false">IF(N(AB1347)&gt;0,AB1347,0)</f>
        <v>0</v>
      </c>
      <c r="CH1347" s="53" t="n">
        <f aca="false">IF(ISNUMBER(AE1347),1,0)</f>
        <v>0</v>
      </c>
      <c r="CI1347" s="50" t="n">
        <f aca="false">N(AE1347)</f>
        <v>0</v>
      </c>
      <c r="CJ1347" s="50" t="n">
        <f aca="false">N(M1347)+N(N1347)</f>
        <v>1</v>
      </c>
      <c r="CK1347" s="50" t="n">
        <f aca="false">N(M1347)</f>
        <v>0</v>
      </c>
      <c r="CL1347" s="50" t="n">
        <f aca="false">N(N1347)</f>
        <v>1</v>
      </c>
      <c r="CM1347" s="50" t="n">
        <f aca="false">ROUNDUP(H1347/BY1347,0)</f>
        <v>0</v>
      </c>
      <c r="CN1347" s="50" t="n">
        <f aca="false">ROUNDUP(CI1347/BY1347,0)</f>
        <v>0</v>
      </c>
      <c r="CO1347" s="53" t="n">
        <f aca="false">IF(BZ1347=1,0,IFERROR(VLOOKUP(BX1347,'Gebinde-Kategorie'!$A$5:$N$45,5,0)+0,0))</f>
        <v>11</v>
      </c>
      <c r="CP1347" s="53" t="n">
        <f aca="false">IFERROR(IF(OR(CE1347=1,CE1347=2,CE1347=3),N(INDEX(Parameter!$I$5:$I$7,CE1347)),0),0)</f>
        <v>0</v>
      </c>
      <c r="CQ1347" s="52" t="n">
        <f aca="false">IF(AND(Parameter!$B$21="Ja",ISNUMBER(W1347),N(X1347)&gt;0),IFERROR(N(INDEX(Parameter!$L$5:$L$7,W1347))*INDEX(Parameter!$E$5:$E$7,W1347)*X1347/SUMIFS($X$7:$X$1843,$W$7:$W$1843,W1347),0),0)</f>
        <v>0</v>
      </c>
    </row>
    <row r="1348" customFormat="false" ht="15" hidden="false" customHeight="false" outlineLevel="0" collapsed="false">
      <c r="A1348" s="48" t="s">
        <v>2390</v>
      </c>
      <c r="B1348" s="48" t="s">
        <v>2283</v>
      </c>
      <c r="C1348" s="48" t="s">
        <v>173</v>
      </c>
      <c r="D1348" s="48" t="s">
        <v>182</v>
      </c>
      <c r="E1348" s="48"/>
      <c r="F1348" s="48" t="s">
        <v>227</v>
      </c>
      <c r="G1348" s="49" t="n">
        <v>393.01</v>
      </c>
      <c r="H1348" s="50" t="n">
        <f aca="false">MAX(0,IF(AND(Parameter!$B$21="Ja",ISNUMBER(Y1348)),Y1348,IF(Parameter!$B$20="Jahresanfang 2025 + Export",BR1348+BQ1348,BQ1348)))</f>
        <v>4</v>
      </c>
      <c r="I1348" s="50" t="n">
        <f aca="false">H1348*G1348</f>
        <v>1572.04</v>
      </c>
      <c r="J1348" s="50" t="n">
        <f aca="false">BT1348*Parameter!$B$18</f>
        <v>1</v>
      </c>
      <c r="K1348" s="51" t="n">
        <v>6.5</v>
      </c>
      <c r="L1348" s="52" t="n">
        <v>0.153846153846154</v>
      </c>
      <c r="M1348" s="50" t="n">
        <v>0</v>
      </c>
      <c r="N1348" s="50" t="n">
        <v>1</v>
      </c>
      <c r="O1348" s="53" t="n">
        <v>35</v>
      </c>
      <c r="P1348" s="48" t="s">
        <v>183</v>
      </c>
      <c r="Q1348" s="50" t="n">
        <v>10</v>
      </c>
      <c r="R1348" s="53" t="n">
        <f aca="false">IF(BZ1348=1,0,IFERROR(VLOOKUP(BX1348,'Gebinde-Kategorie'!$A$5:$N$45,13,0)+0,0))</f>
        <v>6</v>
      </c>
      <c r="S1348" s="54"/>
      <c r="T1348" s="55"/>
      <c r="U1348" s="55"/>
      <c r="V1348" s="55"/>
      <c r="W1348" s="48"/>
      <c r="X1348" s="50"/>
      <c r="Y1348" s="50"/>
      <c r="Z1348" s="48" t="n">
        <f aca="false">IF(A1348="","",IF(AND(Parameter!$B$21="Ja",ISNUMBER(W1348)),W1348,IF(CC1348="2+3",IF(ISNUMBER(SEARCH("grosser Artikel",BU1348)),2,IFERROR(VLOOKUP(BX1348,Parameter!$F$35:$G$64,2,0),2)),IF(OR(CC1348="Nein",CC1348=""),"-",CC1348))))</f>
        <v>2</v>
      </c>
      <c r="AA1348" s="55"/>
      <c r="AB1348" s="56"/>
      <c r="AC1348" s="50" t="n">
        <f aca="false">AV1348</f>
        <v>1</v>
      </c>
      <c r="AD1348" s="50" t="n">
        <f aca="false">MAX(AV1348,H1348)</f>
        <v>4</v>
      </c>
      <c r="AE1348" s="57"/>
      <c r="AF1348" s="50" t="n">
        <f aca="false">IF(LEFT(Cockpit!$C$5,1)="A",H1348,IF(Parameter!$E$30="MAX-Bestand",IF(CH1348=1,CI1348,IF(LEFT(Cockpit!$C$5,1)="B",AL1348,MAX(AL1348,H1348))),ROUNDUP(AJ1348,0)))</f>
        <v>4</v>
      </c>
      <c r="AG1348" s="50" t="n">
        <f aca="false">IF(BZ1348=1,0,ROUNDUP(AF1348/BY1348,0))</f>
        <v>1</v>
      </c>
      <c r="AH1348" s="52" t="n">
        <f aca="false">IF(CQ1348&gt;0,CQ1348*MAX(1,AF1348/X1348),IF(BZ1348=1,IF(AF1348&lt;=0,0,CD1348*MAX(1,IF(H1348&gt;0,AF1348/H1348,1))),IF(R1348&gt;0,AG1348/R1348,0))/MAX(0.1,N(Parameter!$M$21)))</f>
        <v>0.166666666666667</v>
      </c>
      <c r="AI1348" s="50" t="n">
        <f aca="false">AH1348*CB1348</f>
        <v>39.1666666666667</v>
      </c>
      <c r="AJ1348" s="51" t="n">
        <f aca="false">IF(LEFT(Cockpit!$C$5,1)="A",H1348,IF(CH1348=1,(CK1348+CI1348)/2,IF(LEFT(Cockpit!$C$5,1)="B",(CK1348+AL1348)/2,MAX((CK1348+AL1348)/2,H1348))))</f>
        <v>4</v>
      </c>
      <c r="AK1348" s="50" t="n">
        <f aca="false">AJ1348*G1348</f>
        <v>1572.04</v>
      </c>
      <c r="AL1348" s="50" t="n">
        <f aca="false">ROUNDUP(CK1348+MAX(CL1348,2*(J1348/IF(CG1348&gt;0,CG1348,MAX(0.1,N(Cockpit!$C$6)))-CK1348)),0)</f>
        <v>1</v>
      </c>
      <c r="AM1348" s="51" t="n">
        <f aca="false">IF(AI1348&gt;0,J1348/AI1348,-1)</f>
        <v>0.025531914893617</v>
      </c>
      <c r="AN1348" s="51" t="n">
        <f aca="false">IF(AND(OR(CF1348="L1",CF1348="L23",CF1348="LIFT"),AI1348&gt;0),SUMIFS($AI$7:$AI$1843,$CF$7:$CF$1843,CF1348,$AM$7:$AM$1843,"&gt;"&amp;AM1348)+SUMIFS($AI$7:$AI$1843,$CF$7:$CF$1843,CF1348,$AM$7:$AM$1843,AM1348,$BW$7:$BW$1843,"&lt;="&amp;BW1348),"")</f>
        <v>21964.6104048964</v>
      </c>
      <c r="AO1348" s="58" t="n">
        <f aca="false">IF(AN1348="",0,MAX(0,MIN(1,(IF(CF1348="L1",Parameter!$H$5,IF(CF1348="L23",Parameter!$H$6+Parameter!$H$7,Parameter!$H$5+Parameter!$H$6+Parameter!$H$7))-(AN1348-AI1348))/AI1348)))</f>
        <v>1</v>
      </c>
      <c r="AP1348" s="50" t="n">
        <f aca="false">IF(LEFT(Cockpit!$I$5,1)="A",H1348,IF(Parameter!$E$30="MAX-Bestand",IF(CH1348=1,CI1348,IF(LEFT(Cockpit!$I$5,1)="B",AV1348,MAX(AV1348,H1348))),ROUNDUP(AT1348,0)))</f>
        <v>4</v>
      </c>
      <c r="AQ1348" s="50" t="n">
        <f aca="false">IF(BZ1348=1,0,ROUNDUP(AP1348/BY1348,0))</f>
        <v>1</v>
      </c>
      <c r="AR1348" s="52" t="n">
        <f aca="false">IF(CQ1348&gt;0,CQ1348*MAX(1,AP1348/X1348),IF(BZ1348=1,IF(AP1348&lt;=0,0,CD1348*MAX(1,IF(H1348&gt;0,AP1348/H1348,1))),IF(R1348&gt;0,AQ1348/R1348,0))/MAX(0.1,N(Parameter!$M$21)))</f>
        <v>0.166666666666667</v>
      </c>
      <c r="AS1348" s="50" t="n">
        <f aca="false">AR1348*CB1348</f>
        <v>39.1666666666667</v>
      </c>
      <c r="AT1348" s="51" t="n">
        <f aca="false">IF(LEFT(Cockpit!$I$5,1)="A",H1348,IF(CH1348=1,(CK1348+CI1348)/2,IF(LEFT(Cockpit!$I$5,1)="B",(CK1348+AV1348)/2,MAX((CK1348+AV1348)/2,H1348))))</f>
        <v>4</v>
      </c>
      <c r="AU1348" s="50" t="n">
        <f aca="false">AT1348*G1348</f>
        <v>1572.04</v>
      </c>
      <c r="AV1348" s="50" t="n">
        <f aca="false">ROUNDUP(CK1348+MAX(CL1348,2*(J1348/IF(CG1348&gt;0,CG1348,MAX(0.1,N(Cockpit!$I$6)))-CK1348)),0)</f>
        <v>1</v>
      </c>
      <c r="AW1348" s="51" t="n">
        <f aca="false">IF(AS1348&gt;0,J1348/AS1348,-1)</f>
        <v>0.025531914893617</v>
      </c>
      <c r="AX1348" s="51" t="n">
        <f aca="false">IF(AND(OR(CF1348="L1",CF1348="L23",CF1348="LIFT"),AS1348&gt;0),SUMIFS($AS$7:$AS$1843,$CF$7:$CF$1843,CF1348,$AW$7:$AW$1843,"&gt;"&amp;AW1348)+SUMIFS($AS$7:$AS$1843,$CF$7:$CF$1843,CF1348,$AW$7:$AW$1843,AW1348,$BW$7:$BW$1843,"&lt;="&amp;BW1348),"")</f>
        <v>27082.7590462739</v>
      </c>
      <c r="AY1348" s="58" t="n">
        <f aca="false">IF(AX1348="",0,MAX(0,MIN(1,(IF(CF1348="L1",Parameter!$H$5,IF(CF1348="L23",Parameter!$H$6+Parameter!$H$7,Parameter!$H$5+Parameter!$H$6+Parameter!$H$7))-(AX1348-AS1348))/AS1348)))</f>
        <v>1</v>
      </c>
      <c r="AZ1348" s="50" t="n">
        <f aca="false">IF(LEFT(Cockpit!$O$5,1)="A",H1348,IF(Parameter!$E$30="MAX-Bestand",IF(CH1348=1,CI1348,IF(LEFT(Cockpit!$O$5,1)="B",BF1348,MAX(BF1348,H1348))),ROUNDUP(BD1348,0)))</f>
        <v>1</v>
      </c>
      <c r="BA1348" s="50" t="n">
        <f aca="false">IF(BZ1348=1,0,ROUNDUP(AZ1348/BY1348,0))</f>
        <v>1</v>
      </c>
      <c r="BB1348" s="52" t="n">
        <f aca="false">IF(CQ1348&gt;0,CQ1348*MAX(1,AZ1348/X1348),IF(BZ1348=1,IF(AZ1348&lt;=0,0,CD1348*MAX(1,IF(H1348&gt;0,AZ1348/H1348,1))),IF(R1348&gt;0,BA1348/R1348,0))/MAX(0.1,N(Parameter!$M$21)))</f>
        <v>0.166666666666667</v>
      </c>
      <c r="BC1348" s="50" t="n">
        <f aca="false">BB1348*CB1348</f>
        <v>39.1666666666667</v>
      </c>
      <c r="BD1348" s="51" t="n">
        <f aca="false">IF(LEFT(Cockpit!$O$5,1)="A",H1348,IF(CH1348=1,(CK1348+CI1348)/2,IF(LEFT(Cockpit!$O$5,1)="B",(CK1348+BF1348)/2,MAX((CK1348+BF1348)/2,H1348))))</f>
        <v>0.5</v>
      </c>
      <c r="BE1348" s="50" t="n">
        <f aca="false">BD1348*G1348</f>
        <v>196.505</v>
      </c>
      <c r="BF1348" s="50" t="n">
        <f aca="false">ROUNDUP(CK1348+MAX(CL1348,2*(J1348/IF(CG1348&gt;0,CG1348,MAX(0.1,N(Cockpit!$O$6)))-CK1348)),0)</f>
        <v>1</v>
      </c>
      <c r="BG1348" s="51" t="n">
        <f aca="false">IF(BC1348&gt;0,J1348/BC1348,-1)</f>
        <v>0.025531914893617</v>
      </c>
      <c r="BH1348" s="51" t="n">
        <f aca="false">IF(AND(OR(CF1348="L1",CF1348="L23",CF1348="LIFT"),BC1348&gt;0),SUMIFS($BC$7:$BC$1843,$CF$7:$CF$1843,CF1348,$BG$7:$BG$1843,"&gt;"&amp;BG1348)+SUMIFS($BC$7:$BC$1843,$CF$7:$CF$1843,CF1348,$BG$7:$BG$1843,BG1348,$BW$7:$BW$1843,"&lt;="&amp;BW1348),"")</f>
        <v>22707.0331972641</v>
      </c>
      <c r="BI1348" s="58" t="n">
        <f aca="false">IF(BH1348="",0,MAX(0,MIN(1,(IF(CF1348="L1",Parameter!$H$5,IF(CF1348="L23",Parameter!$H$6+Parameter!$H$7,Parameter!$H$5+Parameter!$H$6+Parameter!$H$7))-(BH1348-BC1348))/BC1348)))</f>
        <v>1</v>
      </c>
      <c r="BJ1348" s="48" t="str">
        <f aca="false">IF(AI1348&lt;=0,"",IF(CF1348="Aussen","Aussenlager",IF(CF1348="-","Nicht im Lift",IF(AO1348&gt;=1,"Lift",IF(AO1348&lt;=0,"Aussenlager","teilweise")))))</f>
        <v>Lift</v>
      </c>
      <c r="BK1348" s="48" t="str">
        <f aca="false">IF(AS1348&lt;=0,"",IF(CF1348="Aussen","Aussenlager",IF(CF1348="-","Nicht im Lift",IF(AY1348&gt;=1,"Lift",IF(AY1348&lt;=0,"Aussenlager","teilweise")))))</f>
        <v>Lift</v>
      </c>
      <c r="BL1348" s="48" t="str">
        <f aca="false">IF(BC1348&lt;=0,"",IF(CF1348="Aussen","Aussenlager",IF(CF1348="-","Nicht im Lift",IF(BI1348&gt;=1,"Lift",IF(BI1348&lt;=0,"Aussenlager","teilweise")))))</f>
        <v>Lift</v>
      </c>
      <c r="BM1348" s="48" t="str">
        <f aca="false">IF(A1348="","",IF(BV1348=1,"Neu; ","")&amp;IF(AND(BV1348=0,BQ1348&lt;0),"negativer Bestand (Export "&amp;BQ1348&amp;"); ","")&amp;IF(J1348&lt;=0,"Kein Verbrauch; ","")&amp;IF(CQ1348&gt;0,"Lift "&amp;W1348&amp;" lt. Liftbericht (Fach "&amp;X1348&amp;" Stk); ",IF(CA1348=1,"Gebinde geschätzt ("&amp;T1348&amp;"); ",IF(BZ1348=1,"Lose – Tablare geschätzt; ","")))&amp;IF(H1348&gt;AV1348,"Überbestand "&amp;ROUND(H1348-AV1348,0)&amp;" Stk / CHF "&amp;ROUND((H1348-AV1348)*G1348,0)&amp;"; ","")&amp;IF(AND(CH1348=1,CI1348&lt;CJ1348),"MAX &lt; MB+LG; ","")&amp;IF(AND(CP1348&gt;0,CO1348*10&gt;CP1348),"zu hoch für Tablar; ","")&amp;IF(AND(BV1348=0,OR(CH1348=1,AA1348&lt;&gt;"",U1348&lt;&gt;"",V1348&lt;&gt;"",AB1348&lt;&gt;"")),"manuell übersteuert; ","")&amp;IF(AND(BZ1348=0,R1348=0),"Gebinde unbekannt / Stellmass fehlt; ","")&amp;IF(AND(BZ1348=0,N(V1348)&lt;=0,N(Q1348)&lt;=0),"Menge pro Gebinde fehlt (Ist = 1 Gebinde); ","")&amp;BU1348)</f>
        <v>negativer Bestand (Export -5); Überbestand 3 Stk / CHF 1179; </v>
      </c>
      <c r="BN1348" s="48"/>
      <c r="BO1348" s="48"/>
      <c r="BP1348" s="55"/>
      <c r="BQ1348" s="50" t="n">
        <v>-5</v>
      </c>
      <c r="BR1348" s="50" t="n">
        <v>9</v>
      </c>
      <c r="BS1348" s="49" t="n">
        <v>-1965.05</v>
      </c>
      <c r="BT1348" s="50" t="n">
        <v>1</v>
      </c>
      <c r="BU1348" s="48"/>
      <c r="BV1348" s="53" t="n">
        <v>0</v>
      </c>
      <c r="BW1348" s="53" t="n">
        <v>1348</v>
      </c>
      <c r="BX1348" s="48" t="str">
        <f aca="false">IF(U1348&lt;&gt;"",UPPER(TRIM(U1348)),IF(CA1348=1,UPPER(VLOOKUP(T1348,Parameter!$I$27:$K$29,2,0)),IF(P1348="","LOSE",P1348)))</f>
        <v>S71</v>
      </c>
      <c r="BY1348" s="50" t="n">
        <f aca="false">IF(BX1348="LOSE",1,IF(N(V1348)&gt;0,V1348,IF(CA1348=1,MAX(1,N(VLOOKUP(T1348,Parameter!$I$27:$K$29,3,0)),H1348,N(N1348)),IF(N(Q1348)&gt;0,Q1348,MAX(1,H1348)))))</f>
        <v>10</v>
      </c>
      <c r="BZ1348" s="53" t="n">
        <f aca="false">IF(BX1348="LOSE",1,0)</f>
        <v>0</v>
      </c>
      <c r="CA1348" s="53" t="n">
        <f aca="false">IF(AND(U1348="",OR(P1348="",P1348="LOSE"),T1348&lt;&gt;"",N(S1348)&lt;=0,ISNUMBER(MATCH(T1348,Parameter!$I$27:$I$29,0))),1,0)</f>
        <v>0</v>
      </c>
      <c r="CB1348" s="53" t="n">
        <f aca="false">IF(CQ1348&gt;0,INDEX(Parameter!$H$5:$H$7,W1348)/INDEX(Parameter!$E$5:$E$7,W1348),IF(AND(BZ1348=0,N(IFERROR(VLOOKUP(BX1348,'Gebinde-Kategorie'!$A$5:$N$45,14,0),0))&gt;0),VLOOKUP(BX1348,'Gebinde-Kategorie'!$A$5:$N$45,14,0)*10+Parameter!$M$23,Parameter!$M$24))</f>
        <v>235</v>
      </c>
      <c r="CC1348" s="48" t="str">
        <f aca="false">IF(AND(Parameter!$B$19="Ja",E1348&lt;&gt;"",ISNUMBER(MATCH(E1348,Parameter!$I$35:$I$52,0))),VLOOKUP(E1348,Parameter!$I$35:$J$52,2,0),IFERROR(VLOOKUP(D1348,Parameter!$A$35:$C$64,2,0),"Nein"))</f>
        <v>2+3</v>
      </c>
      <c r="CD1348" s="52" t="n">
        <f aca="false">IF(BZ1348=0,0,IF(N(S1348)&gt;0,S1348,IFERROR(VLOOKUP(D1348,Parameter!$A$35:$C$64,3,0)+0,0)))</f>
        <v>0</v>
      </c>
      <c r="CE1348" s="48" t="n">
        <f aca="false">IF(AA1348&lt;&gt;"",AA1348,Z1348)</f>
        <v>2</v>
      </c>
      <c r="CF1348" s="48" t="str">
        <f aca="false">IF(OR(CE1348=1,CE1348=2,CE1348=3),IF(Parameter!$E$27="Ja","LIFT",IF(CE1348=1,"L1","L23")),IF(CE1348="Aussen","Aussen","-"))</f>
        <v>LIFT</v>
      </c>
      <c r="CG1348" s="59" t="n">
        <f aca="false">IF(N(AB1348)&gt;0,AB1348,0)</f>
        <v>0</v>
      </c>
      <c r="CH1348" s="53" t="n">
        <f aca="false">IF(ISNUMBER(AE1348),1,0)</f>
        <v>0</v>
      </c>
      <c r="CI1348" s="50" t="n">
        <f aca="false">N(AE1348)</f>
        <v>0</v>
      </c>
      <c r="CJ1348" s="50" t="n">
        <f aca="false">N(M1348)+N(N1348)</f>
        <v>1</v>
      </c>
      <c r="CK1348" s="50" t="n">
        <f aca="false">N(M1348)</f>
        <v>0</v>
      </c>
      <c r="CL1348" s="50" t="n">
        <f aca="false">N(N1348)</f>
        <v>1</v>
      </c>
      <c r="CM1348" s="50" t="n">
        <f aca="false">ROUNDUP(H1348/BY1348,0)</f>
        <v>1</v>
      </c>
      <c r="CN1348" s="50" t="n">
        <f aca="false">ROUNDUP(CI1348/BY1348,0)</f>
        <v>0</v>
      </c>
      <c r="CO1348" s="53" t="n">
        <f aca="false">IF(BZ1348=1,0,IFERROR(VLOOKUP(BX1348,'Gebinde-Kategorie'!$A$5:$N$45,5,0)+0,0))</f>
        <v>20</v>
      </c>
      <c r="CP1348" s="53" t="n">
        <f aca="false">IFERROR(IF(OR(CE1348=1,CE1348=2,CE1348=3),N(INDEX(Parameter!$I$5:$I$7,CE1348)),0),0)</f>
        <v>0</v>
      </c>
      <c r="CQ1348" s="52" t="n">
        <f aca="false">IF(AND(Parameter!$B$21="Ja",ISNUMBER(W1348),N(X1348)&gt;0),IFERROR(N(INDEX(Parameter!$L$5:$L$7,W1348))*INDEX(Parameter!$E$5:$E$7,W1348)*X1348/SUMIFS($X$7:$X$1843,$W$7:$W$1843,W1348),0),0)</f>
        <v>0</v>
      </c>
    </row>
    <row r="1349" customFormat="false" ht="15" hidden="false" customHeight="false" outlineLevel="0" collapsed="false">
      <c r="A1349" s="48" t="s">
        <v>2391</v>
      </c>
      <c r="B1349" s="48" t="s">
        <v>1422</v>
      </c>
      <c r="C1349" s="48" t="s">
        <v>173</v>
      </c>
      <c r="D1349" s="48" t="s">
        <v>362</v>
      </c>
      <c r="E1349" s="48"/>
      <c r="F1349" s="48" t="s">
        <v>227</v>
      </c>
      <c r="G1349" s="49" t="n">
        <v>1997.24</v>
      </c>
      <c r="H1349" s="50" t="n">
        <f aca="false">MAX(0,IF(AND(Parameter!$B$21="Ja",ISNUMBER(Y1349)),Y1349,IF(Parameter!$B$20="Jahresanfang 2025 + Export",BR1349+BQ1349,BQ1349)))</f>
        <v>0</v>
      </c>
      <c r="I1349" s="50" t="n">
        <f aca="false">H1349*G1349</f>
        <v>0</v>
      </c>
      <c r="J1349" s="50" t="n">
        <f aca="false">BT1349*Parameter!$B$18</f>
        <v>1</v>
      </c>
      <c r="K1349" s="51" t="n">
        <v>0.5</v>
      </c>
      <c r="L1349" s="52" t="n">
        <v>2</v>
      </c>
      <c r="M1349" s="50" t="n">
        <v>0</v>
      </c>
      <c r="N1349" s="50" t="n">
        <v>1</v>
      </c>
      <c r="O1349" s="53" t="n">
        <v>0</v>
      </c>
      <c r="P1349" s="48" t="s">
        <v>177</v>
      </c>
      <c r="Q1349" s="50"/>
      <c r="R1349" s="53" t="n">
        <f aca="false">IF(BZ1349=1,0,IFERROR(VLOOKUP(BX1349,'Gebinde-Kategorie'!$A$5:$N$45,13,0)+0,0))</f>
        <v>0</v>
      </c>
      <c r="S1349" s="54"/>
      <c r="T1349" s="55"/>
      <c r="U1349" s="55"/>
      <c r="V1349" s="55"/>
      <c r="W1349" s="48"/>
      <c r="X1349" s="50"/>
      <c r="Y1349" s="50"/>
      <c r="Z1349" s="48" t="str">
        <f aca="false">IF(A1349="","",IF(AND(Parameter!$B$21="Ja",ISNUMBER(W1349)),W1349,IF(CC1349="2+3",IF(ISNUMBER(SEARCH("grosser Artikel",BU1349)),2,IFERROR(VLOOKUP(BX1349,Parameter!$F$35:$G$64,2,0),2)),IF(OR(CC1349="Nein",CC1349=""),"-",CC1349))))</f>
        <v>-</v>
      </c>
      <c r="AA1349" s="55"/>
      <c r="AB1349" s="56"/>
      <c r="AC1349" s="50" t="n">
        <f aca="false">AV1349</f>
        <v>1</v>
      </c>
      <c r="AD1349" s="50" t="n">
        <f aca="false">MAX(AV1349,H1349)</f>
        <v>1</v>
      </c>
      <c r="AE1349" s="57"/>
      <c r="AF1349" s="50" t="n">
        <f aca="false">IF(LEFT(Cockpit!$C$5,1)="A",H1349,IF(Parameter!$E$30="MAX-Bestand",IF(CH1349=1,CI1349,IF(LEFT(Cockpit!$C$5,1)="B",AL1349,MAX(AL1349,H1349))),ROUNDUP(AJ1349,0)))</f>
        <v>0</v>
      </c>
      <c r="AG1349" s="50" t="n">
        <f aca="false">IF(BZ1349=1,0,ROUNDUP(AF1349/BY1349,0))</f>
        <v>0</v>
      </c>
      <c r="AH1349" s="52" t="n">
        <f aca="false">IF(CQ1349&gt;0,CQ1349*MAX(1,AF1349/X1349),IF(BZ1349=1,IF(AF1349&lt;=0,0,CD1349*MAX(1,IF(H1349&gt;0,AF1349/H1349,1))),IF(R1349&gt;0,AG1349/R1349,0))/MAX(0.1,N(Parameter!$M$21)))</f>
        <v>0</v>
      </c>
      <c r="AI1349" s="50" t="n">
        <f aca="false">AH1349*CB1349</f>
        <v>0</v>
      </c>
      <c r="AJ1349" s="51" t="n">
        <f aca="false">IF(LEFT(Cockpit!$C$5,1)="A",H1349,IF(CH1349=1,(CK1349+CI1349)/2,IF(LEFT(Cockpit!$C$5,1)="B",(CK1349+AL1349)/2,MAX((CK1349+AL1349)/2,H1349))))</f>
        <v>0</v>
      </c>
      <c r="AK1349" s="50" t="n">
        <f aca="false">AJ1349*G1349</f>
        <v>0</v>
      </c>
      <c r="AL1349" s="50" t="n">
        <f aca="false">ROUNDUP(CK1349+MAX(CL1349,2*(J1349/IF(CG1349&gt;0,CG1349,MAX(0.1,N(Cockpit!$C$6)))-CK1349)),0)</f>
        <v>1</v>
      </c>
      <c r="AM1349" s="51" t="n">
        <f aca="false">IF(AI1349&gt;0,J1349/AI1349,-1)</f>
        <v>-1</v>
      </c>
      <c r="AN1349" s="51" t="str">
        <f aca="false">IF(AND(OR(CF1349="L1",CF1349="L23",CF1349="LIFT"),AI1349&gt;0),SUMIFS($AI$7:$AI$1843,$CF$7:$CF$1843,CF1349,$AM$7:$AM$1843,"&gt;"&amp;AM1349)+SUMIFS($AI$7:$AI$1843,$CF$7:$CF$1843,CF1349,$AM$7:$AM$1843,AM1349,$BW$7:$BW$1843,"&lt;="&amp;BW1349),"")</f>
        <v/>
      </c>
      <c r="AO1349" s="58" t="n">
        <f aca="false">IF(AN1349="",0,MAX(0,MIN(1,(IF(CF1349="L1",Parameter!$H$5,IF(CF1349="L23",Parameter!$H$6+Parameter!$H$7,Parameter!$H$5+Parameter!$H$6+Parameter!$H$7))-(AN1349-AI1349))/AI1349)))</f>
        <v>0</v>
      </c>
      <c r="AP1349" s="50" t="n">
        <f aca="false">IF(LEFT(Cockpit!$I$5,1)="A",H1349,IF(Parameter!$E$30="MAX-Bestand",IF(CH1349=1,CI1349,IF(LEFT(Cockpit!$I$5,1)="B",AV1349,MAX(AV1349,H1349))),ROUNDUP(AT1349,0)))</f>
        <v>1</v>
      </c>
      <c r="AQ1349" s="50" t="n">
        <f aca="false">IF(BZ1349=1,0,ROUNDUP(AP1349/BY1349,0))</f>
        <v>0</v>
      </c>
      <c r="AR1349" s="52" t="n">
        <f aca="false">IF(CQ1349&gt;0,CQ1349*MAX(1,AP1349/X1349),IF(BZ1349=1,IF(AP1349&lt;=0,0,CD1349*MAX(1,IF(H1349&gt;0,AP1349/H1349,1))),IF(R1349&gt;0,AQ1349/R1349,0))/MAX(0.1,N(Parameter!$M$21)))</f>
        <v>0.15</v>
      </c>
      <c r="AS1349" s="50" t="n">
        <f aca="false">AR1349*CB1349</f>
        <v>35.25</v>
      </c>
      <c r="AT1349" s="51" t="n">
        <f aca="false">IF(LEFT(Cockpit!$I$5,1)="A",H1349,IF(CH1349=1,(CK1349+CI1349)/2,IF(LEFT(Cockpit!$I$5,1)="B",(CK1349+AV1349)/2,MAX((CK1349+AV1349)/2,H1349))))</f>
        <v>0.5</v>
      </c>
      <c r="AU1349" s="50" t="n">
        <f aca="false">AT1349*G1349</f>
        <v>998.62</v>
      </c>
      <c r="AV1349" s="50" t="n">
        <f aca="false">ROUNDUP(CK1349+MAX(CL1349,2*(J1349/IF(CG1349&gt;0,CG1349,MAX(0.1,N(Cockpit!$I$6)))-CK1349)),0)</f>
        <v>1</v>
      </c>
      <c r="AW1349" s="51" t="n">
        <f aca="false">IF(AS1349&gt;0,J1349/AS1349,-1)</f>
        <v>0.0283687943262411</v>
      </c>
      <c r="AX1349" s="51" t="str">
        <f aca="false">IF(AND(OR(CF1349="L1",CF1349="L23",CF1349="LIFT"),AS1349&gt;0),SUMIFS($AS$7:$AS$1843,$CF$7:$CF$1843,CF1349,$AW$7:$AW$1843,"&gt;"&amp;AW1349)+SUMIFS($AS$7:$AS$1843,$CF$7:$CF$1843,CF1349,$AW$7:$AW$1843,AW1349,$BW$7:$BW$1843,"&lt;="&amp;BW1349),"")</f>
        <v/>
      </c>
      <c r="AY1349" s="58" t="n">
        <f aca="false">IF(AX1349="",0,MAX(0,MIN(1,(IF(CF1349="L1",Parameter!$H$5,IF(CF1349="L23",Parameter!$H$6+Parameter!$H$7,Parameter!$H$5+Parameter!$H$6+Parameter!$H$7))-(AX1349-AS1349))/AS1349)))</f>
        <v>0</v>
      </c>
      <c r="AZ1349" s="50" t="n">
        <f aca="false">IF(LEFT(Cockpit!$O$5,1)="A",H1349,IF(Parameter!$E$30="MAX-Bestand",IF(CH1349=1,CI1349,IF(LEFT(Cockpit!$O$5,1)="B",BF1349,MAX(BF1349,H1349))),ROUNDUP(BD1349,0)))</f>
        <v>1</v>
      </c>
      <c r="BA1349" s="50" t="n">
        <f aca="false">IF(BZ1349=1,0,ROUNDUP(AZ1349/BY1349,0))</f>
        <v>0</v>
      </c>
      <c r="BB1349" s="52" t="n">
        <f aca="false">IF(CQ1349&gt;0,CQ1349*MAX(1,AZ1349/X1349),IF(BZ1349=1,IF(AZ1349&lt;=0,0,CD1349*MAX(1,IF(H1349&gt;0,AZ1349/H1349,1))),IF(R1349&gt;0,BA1349/R1349,0))/MAX(0.1,N(Parameter!$M$21)))</f>
        <v>0.15</v>
      </c>
      <c r="BC1349" s="50" t="n">
        <f aca="false">BB1349*CB1349</f>
        <v>35.25</v>
      </c>
      <c r="BD1349" s="51" t="n">
        <f aca="false">IF(LEFT(Cockpit!$O$5,1)="A",H1349,IF(CH1349=1,(CK1349+CI1349)/2,IF(LEFT(Cockpit!$O$5,1)="B",(CK1349+BF1349)/2,MAX((CK1349+BF1349)/2,H1349))))</f>
        <v>0.5</v>
      </c>
      <c r="BE1349" s="50" t="n">
        <f aca="false">BD1349*G1349</f>
        <v>998.62</v>
      </c>
      <c r="BF1349" s="50" t="n">
        <f aca="false">ROUNDUP(CK1349+MAX(CL1349,2*(J1349/IF(CG1349&gt;0,CG1349,MAX(0.1,N(Cockpit!$O$6)))-CK1349)),0)</f>
        <v>1</v>
      </c>
      <c r="BG1349" s="51" t="n">
        <f aca="false">IF(BC1349&gt;0,J1349/BC1349,-1)</f>
        <v>0.0283687943262411</v>
      </c>
      <c r="BH1349" s="51" t="str">
        <f aca="false">IF(AND(OR(CF1349="L1",CF1349="L23",CF1349="LIFT"),BC1349&gt;0),SUMIFS($BC$7:$BC$1843,$CF$7:$CF$1843,CF1349,$BG$7:$BG$1843,"&gt;"&amp;BG1349)+SUMIFS($BC$7:$BC$1843,$CF$7:$CF$1843,CF1349,$BG$7:$BG$1843,BG1349,$BW$7:$BW$1843,"&lt;="&amp;BW1349),"")</f>
        <v/>
      </c>
      <c r="BI1349" s="58" t="n">
        <f aca="false">IF(BH1349="",0,MAX(0,MIN(1,(IF(CF1349="L1",Parameter!$H$5,IF(CF1349="L23",Parameter!$H$6+Parameter!$H$7,Parameter!$H$5+Parameter!$H$6+Parameter!$H$7))-(BH1349-BC1349))/BC1349)))</f>
        <v>0</v>
      </c>
      <c r="BJ1349" s="48" t="str">
        <f aca="false">IF(AI1349&lt;=0,"",IF(CF1349="Aussen","Aussenlager",IF(CF1349="-","Nicht im Lift",IF(AO1349&gt;=1,"Lift",IF(AO1349&lt;=0,"Aussenlager","teilweise")))))</f>
        <v/>
      </c>
      <c r="BK1349" s="48" t="str">
        <f aca="false">IF(AS1349&lt;=0,"",IF(CF1349="Aussen","Aussenlager",IF(CF1349="-","Nicht im Lift",IF(AY1349&gt;=1,"Lift",IF(AY1349&lt;=0,"Aussenlager","teilweise")))))</f>
        <v>Nicht im Lift</v>
      </c>
      <c r="BL1349" s="48" t="str">
        <f aca="false">IF(BC1349&lt;=0,"",IF(CF1349="Aussen","Aussenlager",IF(CF1349="-","Nicht im Lift",IF(BI1349&gt;=1,"Lift",IF(BI1349&lt;=0,"Aussenlager","teilweise")))))</f>
        <v>Nicht im Lift</v>
      </c>
      <c r="BM1349" s="48" t="str">
        <f aca="false">IF(A1349="","",IF(BV1349=1,"Neu; ","")&amp;IF(AND(BV1349=0,BQ1349&lt;0),"negativer Bestand (Export "&amp;BQ1349&amp;"); ","")&amp;IF(J1349&lt;=0,"Kein Verbrauch; ","")&amp;IF(CQ1349&gt;0,"Lift "&amp;W1349&amp;" lt. Liftbericht (Fach "&amp;X1349&amp;" Stk); ",IF(CA1349=1,"Gebinde geschätzt ("&amp;T1349&amp;"); ",IF(BZ1349=1,"Lose – Tablare geschätzt; ","")))&amp;IF(H1349&gt;AV1349,"Überbestand "&amp;ROUND(H1349-AV1349,0)&amp;" Stk / CHF "&amp;ROUND((H1349-AV1349)*G1349,0)&amp;"; ","")&amp;IF(AND(CH1349=1,CI1349&lt;CJ1349),"MAX &lt; MB+LG; ","")&amp;IF(AND(CP1349&gt;0,CO1349*10&gt;CP1349),"zu hoch für Tablar; ","")&amp;IF(AND(BV1349=0,OR(CH1349=1,AA1349&lt;&gt;"",U1349&lt;&gt;"",V1349&lt;&gt;"",AB1349&lt;&gt;"")),"manuell übersteuert; ","")&amp;IF(AND(BZ1349=0,R1349=0),"Gebinde unbekannt / Stellmass fehlt; ","")&amp;IF(AND(BZ1349=0,N(V1349)&lt;=0,N(Q1349)&lt;=0),"Menge pro Gebinde fehlt (Ist = 1 Gebinde); ","")&amp;BU1349)</f>
        <v>negativer Bestand (Export -1); Lose – Tablare geschätzt; </v>
      </c>
      <c r="BN1349" s="48"/>
      <c r="BO1349" s="48"/>
      <c r="BP1349" s="55"/>
      <c r="BQ1349" s="50" t="n">
        <v>-1</v>
      </c>
      <c r="BR1349" s="50" t="n">
        <v>1</v>
      </c>
      <c r="BS1349" s="49" t="n">
        <v>-1997.24</v>
      </c>
      <c r="BT1349" s="50" t="n">
        <v>1</v>
      </c>
      <c r="BU1349" s="48"/>
      <c r="BV1349" s="53" t="n">
        <v>0</v>
      </c>
      <c r="BW1349" s="53" t="n">
        <v>1349</v>
      </c>
      <c r="BX1349" s="48" t="str">
        <f aca="false">IF(U1349&lt;&gt;"",UPPER(TRIM(U1349)),IF(CA1349=1,UPPER(VLOOKUP(T1349,Parameter!$I$27:$K$29,2,0)),IF(P1349="","LOSE",P1349)))</f>
        <v>LOSE</v>
      </c>
      <c r="BY1349" s="50" t="n">
        <f aca="false">IF(BX1349="LOSE",1,IF(N(V1349)&gt;0,V1349,IF(CA1349=1,MAX(1,N(VLOOKUP(T1349,Parameter!$I$27:$K$29,3,0)),H1349,N(N1349)),IF(N(Q1349)&gt;0,Q1349,MAX(1,H1349)))))</f>
        <v>1</v>
      </c>
      <c r="BZ1349" s="53" t="n">
        <f aca="false">IF(BX1349="LOSE",1,0)</f>
        <v>1</v>
      </c>
      <c r="CA1349" s="53" t="n">
        <f aca="false">IF(AND(U1349="",OR(P1349="",P1349="LOSE"),T1349&lt;&gt;"",N(S1349)&lt;=0,ISNUMBER(MATCH(T1349,Parameter!$I$27:$I$29,0))),1,0)</f>
        <v>0</v>
      </c>
      <c r="CB1349" s="53" t="n">
        <f aca="false">IF(CQ1349&gt;0,INDEX(Parameter!$H$5:$H$7,W1349)/INDEX(Parameter!$E$5:$E$7,W1349),IF(AND(BZ1349=0,N(IFERROR(VLOOKUP(BX1349,'Gebinde-Kategorie'!$A$5:$N$45,14,0),0))&gt;0),VLOOKUP(BX1349,'Gebinde-Kategorie'!$A$5:$N$45,14,0)*10+Parameter!$M$23,Parameter!$M$24))</f>
        <v>235</v>
      </c>
      <c r="CC1349" s="48" t="str">
        <f aca="false">IF(AND(Parameter!$B$19="Ja",E1349&lt;&gt;"",ISNUMBER(MATCH(E1349,Parameter!$I$35:$I$52,0))),VLOOKUP(E1349,Parameter!$I$35:$J$52,2,0),IFERROR(VLOOKUP(D1349,Parameter!$A$35:$C$64,2,0),"Nein"))</f>
        <v>Nein</v>
      </c>
      <c r="CD1349" s="52" t="n">
        <f aca="false">IF(BZ1349=0,0,IF(N(S1349)&gt;0,S1349,IFERROR(VLOOKUP(D1349,Parameter!$A$35:$C$64,3,0)+0,0)))</f>
        <v>0.15</v>
      </c>
      <c r="CE1349" s="48" t="str">
        <f aca="false">IF(AA1349&lt;&gt;"",AA1349,Z1349)</f>
        <v>-</v>
      </c>
      <c r="CF1349" s="48" t="str">
        <f aca="false">IF(OR(CE1349=1,CE1349=2,CE1349=3),IF(Parameter!$E$27="Ja","LIFT",IF(CE1349=1,"L1","L23")),IF(CE1349="Aussen","Aussen","-"))</f>
        <v>-</v>
      </c>
      <c r="CG1349" s="59" t="n">
        <f aca="false">IF(N(AB1349)&gt;0,AB1349,0)</f>
        <v>0</v>
      </c>
      <c r="CH1349" s="53" t="n">
        <f aca="false">IF(ISNUMBER(AE1349),1,0)</f>
        <v>0</v>
      </c>
      <c r="CI1349" s="50" t="n">
        <f aca="false">N(AE1349)</f>
        <v>0</v>
      </c>
      <c r="CJ1349" s="50" t="n">
        <f aca="false">N(M1349)+N(N1349)</f>
        <v>1</v>
      </c>
      <c r="CK1349" s="50" t="n">
        <f aca="false">N(M1349)</f>
        <v>0</v>
      </c>
      <c r="CL1349" s="50" t="n">
        <f aca="false">N(N1349)</f>
        <v>1</v>
      </c>
      <c r="CM1349" s="50" t="n">
        <f aca="false">ROUNDUP(H1349/BY1349,0)</f>
        <v>0</v>
      </c>
      <c r="CN1349" s="50" t="n">
        <f aca="false">ROUNDUP(CI1349/BY1349,0)</f>
        <v>0</v>
      </c>
      <c r="CO1349" s="53" t="n">
        <f aca="false">IF(BZ1349=1,0,IFERROR(VLOOKUP(BX1349,'Gebinde-Kategorie'!$A$5:$N$45,5,0)+0,0))</f>
        <v>0</v>
      </c>
      <c r="CP1349" s="53" t="n">
        <f aca="false">IFERROR(IF(OR(CE1349=1,CE1349=2,CE1349=3),N(INDEX(Parameter!$I$5:$I$7,CE1349)),0),0)</f>
        <v>0</v>
      </c>
      <c r="CQ1349" s="52" t="n">
        <f aca="false">IF(AND(Parameter!$B$21="Ja",ISNUMBER(W1349),N(X1349)&gt;0),IFERROR(N(INDEX(Parameter!$L$5:$L$7,W1349))*INDEX(Parameter!$E$5:$E$7,W1349)*X1349/SUMIFS($X$7:$X$1843,$W$7:$W$1843,W1349),0),0)</f>
        <v>0</v>
      </c>
    </row>
    <row r="1350" customFormat="false" ht="15" hidden="false" customHeight="false" outlineLevel="0" collapsed="false">
      <c r="A1350" s="48" t="s">
        <v>2392</v>
      </c>
      <c r="B1350" s="48" t="s">
        <v>2393</v>
      </c>
      <c r="C1350" s="48" t="s">
        <v>465</v>
      </c>
      <c r="D1350" s="48" t="s">
        <v>174</v>
      </c>
      <c r="E1350" s="48"/>
      <c r="F1350" s="48" t="s">
        <v>227</v>
      </c>
      <c r="G1350" s="49" t="n">
        <v>1004.29</v>
      </c>
      <c r="H1350" s="50" t="n">
        <f aca="false">MAX(0,IF(AND(Parameter!$B$21="Ja",ISNUMBER(Y1350)),Y1350,IF(Parameter!$B$20="Jahresanfang 2025 + Export",BR1350+BQ1350,BQ1350)))</f>
        <v>0</v>
      </c>
      <c r="I1350" s="50" t="n">
        <f aca="false">H1350*G1350</f>
        <v>0</v>
      </c>
      <c r="J1350" s="50" t="n">
        <f aca="false">BT1350*Parameter!$B$18</f>
        <v>1</v>
      </c>
      <c r="K1350" s="51" t="n">
        <v>1.5</v>
      </c>
      <c r="L1350" s="52" t="n">
        <v>0.666666666666667</v>
      </c>
      <c r="M1350" s="50" t="n">
        <v>0</v>
      </c>
      <c r="N1350" s="50" t="n">
        <v>1</v>
      </c>
      <c r="O1350" s="53" t="n">
        <v>35</v>
      </c>
      <c r="P1350" s="48" t="s">
        <v>177</v>
      </c>
      <c r="Q1350" s="50"/>
      <c r="R1350" s="53" t="n">
        <f aca="false">IF(BZ1350=1,0,IFERROR(VLOOKUP(BX1350,'Gebinde-Kategorie'!$A$5:$N$45,13,0)+0,0))</f>
        <v>0</v>
      </c>
      <c r="S1350" s="54"/>
      <c r="T1350" s="55"/>
      <c r="U1350" s="55"/>
      <c r="V1350" s="55"/>
      <c r="W1350" s="48" t="n">
        <v>1</v>
      </c>
      <c r="X1350" s="50" t="n">
        <v>1</v>
      </c>
      <c r="Y1350" s="50" t="n">
        <v>0</v>
      </c>
      <c r="Z1350" s="48" t="n">
        <f aca="false">IF(A1350="","",IF(AND(Parameter!$B$21="Ja",ISNUMBER(W1350)),W1350,IF(CC1350="2+3",IF(ISNUMBER(SEARCH("grosser Artikel",BU1350)),2,IFERROR(VLOOKUP(BX1350,Parameter!$F$35:$G$64,2,0),2)),IF(OR(CC1350="Nein",CC1350=""),"-",CC1350))))</f>
        <v>1</v>
      </c>
      <c r="AA1350" s="55"/>
      <c r="AB1350" s="56"/>
      <c r="AC1350" s="50" t="n">
        <f aca="false">AV1350</f>
        <v>1</v>
      </c>
      <c r="AD1350" s="50" t="n">
        <f aca="false">MAX(AV1350,H1350)</f>
        <v>1</v>
      </c>
      <c r="AE1350" s="57"/>
      <c r="AF1350" s="50" t="n">
        <f aca="false">IF(LEFT(Cockpit!$C$5,1)="A",H1350,IF(Parameter!$E$30="MAX-Bestand",IF(CH1350=1,CI1350,IF(LEFT(Cockpit!$C$5,1)="B",AL1350,MAX(AL1350,H1350))),ROUNDUP(AJ1350,0)))</f>
        <v>0</v>
      </c>
      <c r="AG1350" s="50" t="n">
        <f aca="false">IF(BZ1350=1,0,ROUNDUP(AF1350/BY1350,0))</f>
        <v>0</v>
      </c>
      <c r="AH1350" s="52" t="n">
        <f aca="false">IF(CQ1350&gt;0,CQ1350*MAX(1,AF1350/X1350),IF(BZ1350=1,IF(AF1350&lt;=0,0,CD1350*MAX(1,IF(H1350&gt;0,AF1350/H1350,1))),IF(R1350&gt;0,AG1350/R1350,0))/MAX(0.1,N(Parameter!$M$21)))</f>
        <v>0.0800376647834275</v>
      </c>
      <c r="AI1350" s="50" t="n">
        <f aca="false">AH1350*CB1350</f>
        <v>19.0489642184557</v>
      </c>
      <c r="AJ1350" s="51" t="n">
        <f aca="false">IF(LEFT(Cockpit!$C$5,1)="A",H1350,IF(CH1350=1,(CK1350+CI1350)/2,IF(LEFT(Cockpit!$C$5,1)="B",(CK1350+AL1350)/2,MAX((CK1350+AL1350)/2,H1350))))</f>
        <v>0</v>
      </c>
      <c r="AK1350" s="50" t="n">
        <f aca="false">AJ1350*G1350</f>
        <v>0</v>
      </c>
      <c r="AL1350" s="50" t="n">
        <f aca="false">ROUNDUP(CK1350+MAX(CL1350,2*(J1350/IF(CG1350&gt;0,CG1350,MAX(0.1,N(Cockpit!$C$6)))-CK1350)),0)</f>
        <v>1</v>
      </c>
      <c r="AM1350" s="51" t="n">
        <f aca="false">IF(AI1350&gt;0,J1350/AI1350,-1)</f>
        <v>0.0524962926347009</v>
      </c>
      <c r="AN1350" s="51" t="n">
        <f aca="false">IF(AND(OR(CF1350="L1",CF1350="L23",CF1350="LIFT"),AI1350&gt;0),SUMIFS($AI$7:$AI$1843,$CF$7:$CF$1843,CF1350,$AM$7:$AM$1843,"&gt;"&amp;AM1350)+SUMIFS($AI$7:$AI$1843,$CF$7:$CF$1843,CF1350,$AM$7:$AM$1843,AM1350,$BW$7:$BW$1843,"&lt;="&amp;BW1350),"")</f>
        <v>19084.0624547298</v>
      </c>
      <c r="AO1350" s="58" t="n">
        <f aca="false">IF(AN1350="",0,MAX(0,MIN(1,(IF(CF1350="L1",Parameter!$H$5,IF(CF1350="L23",Parameter!$H$6+Parameter!$H$7,Parameter!$H$5+Parameter!$H$6+Parameter!$H$7))-(AN1350-AI1350))/AI1350)))</f>
        <v>1</v>
      </c>
      <c r="AP1350" s="50" t="n">
        <f aca="false">IF(LEFT(Cockpit!$I$5,1)="A",H1350,IF(Parameter!$E$30="MAX-Bestand",IF(CH1350=1,CI1350,IF(LEFT(Cockpit!$I$5,1)="B",AV1350,MAX(AV1350,H1350))),ROUNDUP(AT1350,0)))</f>
        <v>1</v>
      </c>
      <c r="AQ1350" s="50" t="n">
        <f aca="false">IF(BZ1350=1,0,ROUNDUP(AP1350/BY1350,0))</f>
        <v>0</v>
      </c>
      <c r="AR1350" s="52" t="n">
        <f aca="false">IF(CQ1350&gt;0,CQ1350*MAX(1,AP1350/X1350),IF(BZ1350=1,IF(AP1350&lt;=0,0,CD1350*MAX(1,IF(H1350&gt;0,AP1350/H1350,1))),IF(R1350&gt;0,AQ1350/R1350,0))/MAX(0.1,N(Parameter!$M$21)))</f>
        <v>0.0800376647834275</v>
      </c>
      <c r="AS1350" s="50" t="n">
        <f aca="false">AR1350*CB1350</f>
        <v>19.0489642184557</v>
      </c>
      <c r="AT1350" s="51" t="n">
        <f aca="false">IF(LEFT(Cockpit!$I$5,1)="A",H1350,IF(CH1350=1,(CK1350+CI1350)/2,IF(LEFT(Cockpit!$I$5,1)="B",(CK1350+AV1350)/2,MAX((CK1350+AV1350)/2,H1350))))</f>
        <v>0.5</v>
      </c>
      <c r="AU1350" s="50" t="n">
        <f aca="false">AT1350*G1350</f>
        <v>502.145</v>
      </c>
      <c r="AV1350" s="50" t="n">
        <f aca="false">ROUNDUP(CK1350+MAX(CL1350,2*(J1350/IF(CG1350&gt;0,CG1350,MAX(0.1,N(Cockpit!$I$6)))-CK1350)),0)</f>
        <v>1</v>
      </c>
      <c r="AW1350" s="51" t="n">
        <f aca="false">IF(AS1350&gt;0,J1350/AS1350,-1)</f>
        <v>0.0524962926347009</v>
      </c>
      <c r="AX1350" s="51" t="n">
        <f aca="false">IF(AND(OR(CF1350="L1",CF1350="L23",CF1350="LIFT"),AS1350&gt;0),SUMIFS($AS$7:$AS$1843,$CF$7:$CF$1843,CF1350,$AW$7:$AW$1843,"&gt;"&amp;AW1350)+SUMIFS($AS$7:$AS$1843,$CF$7:$CF$1843,CF1350,$AW$7:$AW$1843,AW1350,$BW$7:$BW$1843,"&lt;="&amp;BW1350),"")</f>
        <v>24202.2110961073</v>
      </c>
      <c r="AY1350" s="58" t="n">
        <f aca="false">IF(AX1350="",0,MAX(0,MIN(1,(IF(CF1350="L1",Parameter!$H$5,IF(CF1350="L23",Parameter!$H$6+Parameter!$H$7,Parameter!$H$5+Parameter!$H$6+Parameter!$H$7))-(AX1350-AS1350))/AS1350)))</f>
        <v>1</v>
      </c>
      <c r="AZ1350" s="50" t="n">
        <f aca="false">IF(LEFT(Cockpit!$O$5,1)="A",H1350,IF(Parameter!$E$30="MAX-Bestand",IF(CH1350=1,CI1350,IF(LEFT(Cockpit!$O$5,1)="B",BF1350,MAX(BF1350,H1350))),ROUNDUP(BD1350,0)))</f>
        <v>1</v>
      </c>
      <c r="BA1350" s="50" t="n">
        <f aca="false">IF(BZ1350=1,0,ROUNDUP(AZ1350/BY1350,0))</f>
        <v>0</v>
      </c>
      <c r="BB1350" s="52" t="n">
        <f aca="false">IF(CQ1350&gt;0,CQ1350*MAX(1,AZ1350/X1350),IF(BZ1350=1,IF(AZ1350&lt;=0,0,CD1350*MAX(1,IF(H1350&gt;0,AZ1350/H1350,1))),IF(R1350&gt;0,BA1350/R1350,0))/MAX(0.1,N(Parameter!$M$21)))</f>
        <v>0.0800376647834275</v>
      </c>
      <c r="BC1350" s="50" t="n">
        <f aca="false">BB1350*CB1350</f>
        <v>19.0489642184557</v>
      </c>
      <c r="BD1350" s="51" t="n">
        <f aca="false">IF(LEFT(Cockpit!$O$5,1)="A",H1350,IF(CH1350=1,(CK1350+CI1350)/2,IF(LEFT(Cockpit!$O$5,1)="B",(CK1350+BF1350)/2,MAX((CK1350+BF1350)/2,H1350))))</f>
        <v>0.5</v>
      </c>
      <c r="BE1350" s="50" t="n">
        <f aca="false">BD1350*G1350</f>
        <v>502.145</v>
      </c>
      <c r="BF1350" s="50" t="n">
        <f aca="false">ROUNDUP(CK1350+MAX(CL1350,2*(J1350/IF(CG1350&gt;0,CG1350,MAX(0.1,N(Cockpit!$O$6)))-CK1350)),0)</f>
        <v>1</v>
      </c>
      <c r="BG1350" s="51" t="n">
        <f aca="false">IF(BC1350&gt;0,J1350/BC1350,-1)</f>
        <v>0.0524962926347009</v>
      </c>
      <c r="BH1350" s="51" t="n">
        <f aca="false">IF(AND(OR(CF1350="L1",CF1350="L23",CF1350="LIFT"),BC1350&gt;0),SUMIFS($BC$7:$BC$1843,$CF$7:$CF$1843,CF1350,$BG$7:$BG$1843,"&gt;"&amp;BG1350)+SUMIFS($BC$7:$BC$1843,$CF$7:$CF$1843,CF1350,$BG$7:$BG$1843,BG1350,$BW$7:$BW$1843,"&lt;="&amp;BW1350),"")</f>
        <v>20110.8762727386</v>
      </c>
      <c r="BI1350" s="58" t="n">
        <f aca="false">IF(BH1350="",0,MAX(0,MIN(1,(IF(CF1350="L1",Parameter!$H$5,IF(CF1350="L23",Parameter!$H$6+Parameter!$H$7,Parameter!$H$5+Parameter!$H$6+Parameter!$H$7))-(BH1350-BC1350))/BC1350)))</f>
        <v>1</v>
      </c>
      <c r="BJ1350" s="48" t="str">
        <f aca="false">IF(AI1350&lt;=0,"",IF(CF1350="Aussen","Aussenlager",IF(CF1350="-","Nicht im Lift",IF(AO1350&gt;=1,"Lift",IF(AO1350&lt;=0,"Aussenlager","teilweise")))))</f>
        <v>Lift</v>
      </c>
      <c r="BK1350" s="48" t="str">
        <f aca="false">IF(AS1350&lt;=0,"",IF(CF1350="Aussen","Aussenlager",IF(CF1350="-","Nicht im Lift",IF(AY1350&gt;=1,"Lift",IF(AY1350&lt;=0,"Aussenlager","teilweise")))))</f>
        <v>Lift</v>
      </c>
      <c r="BL1350" s="48" t="str">
        <f aca="false">IF(BC1350&lt;=0,"",IF(CF1350="Aussen","Aussenlager",IF(CF1350="-","Nicht im Lift",IF(BI1350&gt;=1,"Lift",IF(BI1350&lt;=0,"Aussenlager","teilweise")))))</f>
        <v>Lift</v>
      </c>
      <c r="BM1350" s="48" t="str">
        <f aca="false">IF(A1350="","",IF(BV1350=1,"Neu; ","")&amp;IF(AND(BV1350=0,BQ1350&lt;0),"negativer Bestand (Export "&amp;BQ1350&amp;"); ","")&amp;IF(J1350&lt;=0,"Kein Verbrauch; ","")&amp;IF(CQ1350&gt;0,"Lift "&amp;W1350&amp;" lt. Liftbericht (Fach "&amp;X1350&amp;" Stk); ",IF(CA1350=1,"Gebinde geschätzt ("&amp;T1350&amp;"); ",IF(BZ1350=1,"Lose – Tablare geschätzt; ","")))&amp;IF(H1350&gt;AV1350,"Überbestand "&amp;ROUND(H1350-AV1350,0)&amp;" Stk / CHF "&amp;ROUND((H1350-AV1350)*G1350,0)&amp;"; ","")&amp;IF(AND(CH1350=1,CI1350&lt;CJ1350),"MAX &lt; MB+LG; ","")&amp;IF(AND(CP1350&gt;0,CO1350*10&gt;CP1350),"zu hoch für Tablar; ","")&amp;IF(AND(BV1350=0,OR(CH1350=1,AA1350&lt;&gt;"",U1350&lt;&gt;"",V1350&lt;&gt;"",AB1350&lt;&gt;"")),"manuell übersteuert; ","")&amp;IF(AND(BZ1350=0,R1350=0),"Gebinde unbekannt / Stellmass fehlt; ","")&amp;IF(AND(BZ1350=0,N(V1350)&lt;=0,N(Q1350)&lt;=0),"Menge pro Gebinde fehlt (Ist = 1 Gebinde); ","")&amp;BU1350)</f>
        <v>negativer Bestand (Export -2); Lift 1 lt. Liftbericht (Fach 1 Stk); Neuer Art.</v>
      </c>
      <c r="BN1350" s="48"/>
      <c r="BO1350" s="48"/>
      <c r="BP1350" s="55"/>
      <c r="BQ1350" s="50" t="n">
        <v>-2</v>
      </c>
      <c r="BR1350" s="50" t="n">
        <v>2</v>
      </c>
      <c r="BS1350" s="49" t="n">
        <v>-2008.58</v>
      </c>
      <c r="BT1350" s="50" t="n">
        <v>1</v>
      </c>
      <c r="BU1350" s="48" t="s">
        <v>521</v>
      </c>
      <c r="BV1350" s="53" t="n">
        <v>0</v>
      </c>
      <c r="BW1350" s="53" t="n">
        <v>1350</v>
      </c>
      <c r="BX1350" s="48" t="str">
        <f aca="false">IF(U1350&lt;&gt;"",UPPER(TRIM(U1350)),IF(CA1350=1,UPPER(VLOOKUP(T1350,Parameter!$I$27:$K$29,2,0)),IF(P1350="","LOSE",P1350)))</f>
        <v>LOSE</v>
      </c>
      <c r="BY1350" s="50" t="n">
        <f aca="false">IF(BX1350="LOSE",1,IF(N(V1350)&gt;0,V1350,IF(CA1350=1,MAX(1,N(VLOOKUP(T1350,Parameter!$I$27:$K$29,3,0)),H1350,N(N1350)),IF(N(Q1350)&gt;0,Q1350,MAX(1,H1350)))))</f>
        <v>1</v>
      </c>
      <c r="BZ1350" s="53" t="n">
        <f aca="false">IF(BX1350="LOSE",1,0)</f>
        <v>1</v>
      </c>
      <c r="CA1350" s="53" t="n">
        <f aca="false">IF(AND(U1350="",OR(P1350="",P1350="LOSE"),T1350&lt;&gt;"",N(S1350)&lt;=0,ISNUMBER(MATCH(T1350,Parameter!$I$27:$I$29,0))),1,0)</f>
        <v>0</v>
      </c>
      <c r="CB1350" s="53" t="n">
        <f aca="false">IF(CQ1350&gt;0,INDEX(Parameter!$H$5:$H$7,W1350)/INDEX(Parameter!$E$5:$E$7,W1350),IF(AND(BZ1350=0,N(IFERROR(VLOOKUP(BX1350,'Gebinde-Kategorie'!$A$5:$N$45,14,0),0))&gt;0),VLOOKUP(BX1350,'Gebinde-Kategorie'!$A$5:$N$45,14,0)*10+Parameter!$M$23,Parameter!$M$24))</f>
        <v>238</v>
      </c>
      <c r="CC1350" s="48" t="n">
        <f aca="false">IF(AND(Parameter!$B$19="Ja",E1350&lt;&gt;"",ISNUMBER(MATCH(E1350,Parameter!$I$35:$I$52,0))),VLOOKUP(E1350,Parameter!$I$35:$J$52,2,0),IFERROR(VLOOKUP(D1350,Parameter!$A$35:$C$64,2,0),"Nein"))</f>
        <v>1</v>
      </c>
      <c r="CD1350" s="52" t="n">
        <f aca="false">IF(BZ1350=0,0,IF(N(S1350)&gt;0,S1350,IFERROR(VLOOKUP(D1350,Parameter!$A$35:$C$64,3,0)+0,0)))</f>
        <v>1</v>
      </c>
      <c r="CE1350" s="48" t="n">
        <f aca="false">IF(AA1350&lt;&gt;"",AA1350,Z1350)</f>
        <v>1</v>
      </c>
      <c r="CF1350" s="48" t="str">
        <f aca="false">IF(OR(CE1350=1,CE1350=2,CE1350=3),IF(Parameter!$E$27="Ja","LIFT",IF(CE1350=1,"L1","L23")),IF(CE1350="Aussen","Aussen","-"))</f>
        <v>LIFT</v>
      </c>
      <c r="CG1350" s="59" t="n">
        <f aca="false">IF(N(AB1350)&gt;0,AB1350,0)</f>
        <v>0</v>
      </c>
      <c r="CH1350" s="53" t="n">
        <f aca="false">IF(ISNUMBER(AE1350),1,0)</f>
        <v>0</v>
      </c>
      <c r="CI1350" s="50" t="n">
        <f aca="false">N(AE1350)</f>
        <v>0</v>
      </c>
      <c r="CJ1350" s="50" t="n">
        <f aca="false">N(M1350)+N(N1350)</f>
        <v>1</v>
      </c>
      <c r="CK1350" s="50" t="n">
        <f aca="false">N(M1350)</f>
        <v>0</v>
      </c>
      <c r="CL1350" s="50" t="n">
        <f aca="false">N(N1350)</f>
        <v>1</v>
      </c>
      <c r="CM1350" s="50" t="n">
        <f aca="false">ROUNDUP(H1350/BY1350,0)</f>
        <v>0</v>
      </c>
      <c r="CN1350" s="50" t="n">
        <f aca="false">ROUNDUP(CI1350/BY1350,0)</f>
        <v>0</v>
      </c>
      <c r="CO1350" s="53" t="n">
        <f aca="false">IF(BZ1350=1,0,IFERROR(VLOOKUP(BX1350,'Gebinde-Kategorie'!$A$5:$N$45,5,0)+0,0))</f>
        <v>0</v>
      </c>
      <c r="CP1350" s="53" t="n">
        <f aca="false">IFERROR(IF(OR(CE1350=1,CE1350=2,CE1350=3),N(INDEX(Parameter!$I$5:$I$7,CE1350)),0),0)</f>
        <v>0</v>
      </c>
      <c r="CQ1350" s="52" t="n">
        <f aca="false">IF(AND(Parameter!$B$21="Ja",ISNUMBER(W1350),N(X1350)&gt;0),IFERROR(N(INDEX(Parameter!$L$5:$L$7,W1350))*INDEX(Parameter!$E$5:$E$7,W1350)*X1350/SUMIFS($X$7:$X$1843,$W$7:$W$1843,W1350),0),0)</f>
        <v>0.0800376647834275</v>
      </c>
    </row>
    <row r="1351" customFormat="false" ht="15" hidden="false" customHeight="false" outlineLevel="0" collapsed="false">
      <c r="A1351" s="48" t="s">
        <v>2394</v>
      </c>
      <c r="B1351" s="48" t="s">
        <v>2393</v>
      </c>
      <c r="C1351" s="48" t="s">
        <v>173</v>
      </c>
      <c r="D1351" s="48" t="s">
        <v>174</v>
      </c>
      <c r="E1351" s="48" t="s">
        <v>175</v>
      </c>
      <c r="F1351" s="48" t="s">
        <v>227</v>
      </c>
      <c r="G1351" s="49" t="n">
        <v>2008.66</v>
      </c>
      <c r="H1351" s="50" t="n">
        <f aca="false">MAX(0,IF(AND(Parameter!$B$21="Ja",ISNUMBER(Y1351)),Y1351,IF(Parameter!$B$20="Jahresanfang 2025 + Export",BR1351+BQ1351,BQ1351)))</f>
        <v>9</v>
      </c>
      <c r="I1351" s="50" t="n">
        <f aca="false">H1351*G1351</f>
        <v>18077.94</v>
      </c>
      <c r="J1351" s="50" t="n">
        <f aca="false">BT1351*Parameter!$B$18</f>
        <v>0</v>
      </c>
      <c r="K1351" s="51" t="n">
        <v>10</v>
      </c>
      <c r="L1351" s="52" t="n">
        <v>0</v>
      </c>
      <c r="M1351" s="50" t="n">
        <v>0</v>
      </c>
      <c r="N1351" s="50" t="n">
        <v>5</v>
      </c>
      <c r="O1351" s="53" t="n">
        <v>86</v>
      </c>
      <c r="P1351" s="48" t="s">
        <v>177</v>
      </c>
      <c r="Q1351" s="50"/>
      <c r="R1351" s="53" t="n">
        <f aca="false">IF(BZ1351=1,0,IFERROR(VLOOKUP(BX1351,'Gebinde-Kategorie'!$A$5:$N$45,13,0)+0,0))</f>
        <v>0</v>
      </c>
      <c r="S1351" s="54"/>
      <c r="T1351" s="55"/>
      <c r="U1351" s="55"/>
      <c r="V1351" s="55"/>
      <c r="W1351" s="48" t="n">
        <v>1</v>
      </c>
      <c r="X1351" s="50" t="n">
        <v>10</v>
      </c>
      <c r="Y1351" s="50" t="n">
        <v>9</v>
      </c>
      <c r="Z1351" s="48" t="n">
        <f aca="false">IF(A1351="","",IF(AND(Parameter!$B$21="Ja",ISNUMBER(W1351)),W1351,IF(CC1351="2+3",IF(ISNUMBER(SEARCH("grosser Artikel",BU1351)),2,IFERROR(VLOOKUP(BX1351,Parameter!$F$35:$G$64,2,0),2)),IF(OR(CC1351="Nein",CC1351=""),"-",CC1351))))</f>
        <v>1</v>
      </c>
      <c r="AA1351" s="55"/>
      <c r="AB1351" s="56"/>
      <c r="AC1351" s="50" t="n">
        <f aca="false">AV1351</f>
        <v>5</v>
      </c>
      <c r="AD1351" s="50" t="n">
        <f aca="false">MAX(AV1351,H1351)</f>
        <v>9</v>
      </c>
      <c r="AE1351" s="57"/>
      <c r="AF1351" s="50" t="n">
        <f aca="false">IF(LEFT(Cockpit!$C$5,1)="A",H1351,IF(Parameter!$E$30="MAX-Bestand",IF(CH1351=1,CI1351,IF(LEFT(Cockpit!$C$5,1)="B",AL1351,MAX(AL1351,H1351))),ROUNDUP(AJ1351,0)))</f>
        <v>9</v>
      </c>
      <c r="AG1351" s="50" t="n">
        <f aca="false">IF(BZ1351=1,0,ROUNDUP(AF1351/BY1351,0))</f>
        <v>0</v>
      </c>
      <c r="AH1351" s="52" t="n">
        <f aca="false">IF(CQ1351&gt;0,CQ1351*MAX(1,AF1351/X1351),IF(BZ1351=1,IF(AF1351&lt;=0,0,CD1351*MAX(1,IF(H1351&gt;0,AF1351/H1351,1))),IF(R1351&gt;0,AG1351/R1351,0))/MAX(0.1,N(Parameter!$M$21)))</f>
        <v>0.800376647834275</v>
      </c>
      <c r="AI1351" s="50" t="n">
        <f aca="false">AH1351*CB1351</f>
        <v>190.489642184557</v>
      </c>
      <c r="AJ1351" s="51" t="n">
        <f aca="false">IF(LEFT(Cockpit!$C$5,1)="A",H1351,IF(CH1351=1,(CK1351+CI1351)/2,IF(LEFT(Cockpit!$C$5,1)="B",(CK1351+AL1351)/2,MAX((CK1351+AL1351)/2,H1351))))</f>
        <v>9</v>
      </c>
      <c r="AK1351" s="50" t="n">
        <f aca="false">AJ1351*G1351</f>
        <v>18077.94</v>
      </c>
      <c r="AL1351" s="50" t="n">
        <f aca="false">ROUNDUP(CK1351+MAX(CL1351,2*(J1351/IF(CG1351&gt;0,CG1351,MAX(0.1,N(Cockpit!$C$6)))-CK1351)),0)</f>
        <v>5</v>
      </c>
      <c r="AM1351" s="51" t="n">
        <f aca="false">IF(AI1351&gt;0,J1351/AI1351,-1)</f>
        <v>0</v>
      </c>
      <c r="AN1351" s="51" t="n">
        <f aca="false">IF(AND(OR(CF1351="L1",CF1351="L23",CF1351="LIFT"),AI1351&gt;0),SUMIFS($AI$7:$AI$1843,$CF$7:$CF$1843,CF1351,$AM$7:$AM$1843,"&gt;"&amp;AM1351)+SUMIFS($AI$7:$AI$1843,$CF$7:$CF$1843,CF1351,$AM$7:$AM$1843,AM1351,$BW$7:$BW$1843,"&lt;="&amp;BW1351),"")</f>
        <v>29671.1564769976</v>
      </c>
      <c r="AO1351" s="58" t="n">
        <f aca="false">IF(AN1351="",0,MAX(0,MIN(1,(IF(CF1351="L1",Parameter!$H$5,IF(CF1351="L23",Parameter!$H$6+Parameter!$H$7,Parameter!$H$5+Parameter!$H$6+Parameter!$H$7))-(AN1351-AI1351))/AI1351)))</f>
        <v>1</v>
      </c>
      <c r="AP1351" s="50" t="n">
        <f aca="false">IF(LEFT(Cockpit!$I$5,1)="A",H1351,IF(Parameter!$E$30="MAX-Bestand",IF(CH1351=1,CI1351,IF(LEFT(Cockpit!$I$5,1)="B",AV1351,MAX(AV1351,H1351))),ROUNDUP(AT1351,0)))</f>
        <v>9</v>
      </c>
      <c r="AQ1351" s="50" t="n">
        <f aca="false">IF(BZ1351=1,0,ROUNDUP(AP1351/BY1351,0))</f>
        <v>0</v>
      </c>
      <c r="AR1351" s="52" t="n">
        <f aca="false">IF(CQ1351&gt;0,CQ1351*MAX(1,AP1351/X1351),IF(BZ1351=1,IF(AP1351&lt;=0,0,CD1351*MAX(1,IF(H1351&gt;0,AP1351/H1351,1))),IF(R1351&gt;0,AQ1351/R1351,0))/MAX(0.1,N(Parameter!$M$21)))</f>
        <v>0.800376647834275</v>
      </c>
      <c r="AS1351" s="50" t="n">
        <f aca="false">AR1351*CB1351</f>
        <v>190.489642184557</v>
      </c>
      <c r="AT1351" s="51" t="n">
        <f aca="false">IF(LEFT(Cockpit!$I$5,1)="A",H1351,IF(CH1351=1,(CK1351+CI1351)/2,IF(LEFT(Cockpit!$I$5,1)="B",(CK1351+AV1351)/2,MAX((CK1351+AV1351)/2,H1351))))</f>
        <v>9</v>
      </c>
      <c r="AU1351" s="50" t="n">
        <f aca="false">AT1351*G1351</f>
        <v>18077.94</v>
      </c>
      <c r="AV1351" s="50" t="n">
        <f aca="false">ROUNDUP(CK1351+MAX(CL1351,2*(J1351/IF(CG1351&gt;0,CG1351,MAX(0.1,N(Cockpit!$I$6)))-CK1351)),0)</f>
        <v>5</v>
      </c>
      <c r="AW1351" s="51" t="n">
        <f aca="false">IF(AS1351&gt;0,J1351/AS1351,-1)</f>
        <v>0</v>
      </c>
      <c r="AX1351" s="51" t="n">
        <f aca="false">IF(AND(OR(CF1351="L1",CF1351="L23",CF1351="LIFT"),AS1351&gt;0),SUMIFS($AS$7:$AS$1843,$CF$7:$CF$1843,CF1351,$AW$7:$AW$1843,"&gt;"&amp;AW1351)+SUMIFS($AS$7:$AS$1843,$CF$7:$CF$1843,CF1351,$AW$7:$AW$1843,AW1351,$BW$7:$BW$1843,"&lt;="&amp;BW1351),"")</f>
        <v>35914.0734333934</v>
      </c>
      <c r="AY1351" s="58" t="n">
        <f aca="false">IF(AX1351="",0,MAX(0,MIN(1,(IF(CF1351="L1",Parameter!$H$5,IF(CF1351="L23",Parameter!$H$6+Parameter!$H$7,Parameter!$H$5+Parameter!$H$6+Parameter!$H$7))-(AX1351-AS1351))/AS1351)))</f>
        <v>0</v>
      </c>
      <c r="AZ1351" s="50" t="n">
        <f aca="false">IF(LEFT(Cockpit!$O$5,1)="A",H1351,IF(Parameter!$E$30="MAX-Bestand",IF(CH1351=1,CI1351,IF(LEFT(Cockpit!$O$5,1)="B",BF1351,MAX(BF1351,H1351))),ROUNDUP(BD1351,0)))</f>
        <v>3</v>
      </c>
      <c r="BA1351" s="50" t="n">
        <f aca="false">IF(BZ1351=1,0,ROUNDUP(AZ1351/BY1351,0))</f>
        <v>0</v>
      </c>
      <c r="BB1351" s="52" t="n">
        <f aca="false">IF(CQ1351&gt;0,CQ1351*MAX(1,AZ1351/X1351),IF(BZ1351=1,IF(AZ1351&lt;=0,0,CD1351*MAX(1,IF(H1351&gt;0,AZ1351/H1351,1))),IF(R1351&gt;0,BA1351/R1351,0))/MAX(0.1,N(Parameter!$M$21)))</f>
        <v>0.800376647834275</v>
      </c>
      <c r="BC1351" s="50" t="n">
        <f aca="false">BB1351*CB1351</f>
        <v>190.489642184557</v>
      </c>
      <c r="BD1351" s="51" t="n">
        <f aca="false">IF(LEFT(Cockpit!$O$5,1)="A",H1351,IF(CH1351=1,(CK1351+CI1351)/2,IF(LEFT(Cockpit!$O$5,1)="B",(CK1351+BF1351)/2,MAX((CK1351+BF1351)/2,H1351))))</f>
        <v>2.5</v>
      </c>
      <c r="BE1351" s="50" t="n">
        <f aca="false">BD1351*G1351</f>
        <v>5021.65</v>
      </c>
      <c r="BF1351" s="50" t="n">
        <f aca="false">ROUNDUP(CK1351+MAX(CL1351,2*(J1351/IF(CG1351&gt;0,CG1351,MAX(0.1,N(Cockpit!$O$6)))-CK1351)),0)</f>
        <v>5</v>
      </c>
      <c r="BG1351" s="51" t="n">
        <f aca="false">IF(BC1351&gt;0,J1351/BC1351,-1)</f>
        <v>0</v>
      </c>
      <c r="BH1351" s="51" t="n">
        <f aca="false">IF(AND(OR(CF1351="L1",CF1351="L23",CF1351="LIFT"),BC1351&gt;0),SUMIFS($BC$7:$BC$1843,$CF$7:$CF$1843,CF1351,$BG$7:$BG$1843,"&gt;"&amp;BG1351)+SUMIFS($BC$7:$BC$1843,$CF$7:$CF$1843,CF1351,$BG$7:$BG$1843,BG1351,$BW$7:$BW$1843,"&lt;="&amp;BW1351),"")</f>
        <v>29899.3800935411</v>
      </c>
      <c r="BI1351" s="58" t="n">
        <f aca="false">IF(BH1351="",0,MAX(0,MIN(1,(IF(CF1351="L1",Parameter!$H$5,IF(CF1351="L23",Parameter!$H$6+Parameter!$H$7,Parameter!$H$5+Parameter!$H$6+Parameter!$H$7))-(BH1351-BC1351))/BC1351)))</f>
        <v>1</v>
      </c>
      <c r="BJ1351" s="48" t="str">
        <f aca="false">IF(AI1351&lt;=0,"",IF(CF1351="Aussen","Aussenlager",IF(CF1351="-","Nicht im Lift",IF(AO1351&gt;=1,"Lift",IF(AO1351&lt;=0,"Aussenlager","teilweise")))))</f>
        <v>Lift</v>
      </c>
      <c r="BK1351" s="48" t="str">
        <f aca="false">IF(AS1351&lt;=0,"",IF(CF1351="Aussen","Aussenlager",IF(CF1351="-","Nicht im Lift",IF(AY1351&gt;=1,"Lift",IF(AY1351&lt;=0,"Aussenlager","teilweise")))))</f>
        <v>Aussenlager</v>
      </c>
      <c r="BL1351" s="48" t="str">
        <f aca="false">IF(BC1351&lt;=0,"",IF(CF1351="Aussen","Aussenlager",IF(CF1351="-","Nicht im Lift",IF(BI1351&gt;=1,"Lift",IF(BI1351&lt;=0,"Aussenlager","teilweise")))))</f>
        <v>Lift</v>
      </c>
      <c r="BM1351" s="48" t="str">
        <f aca="false">IF(A1351="","",IF(BV1351=1,"Neu; ","")&amp;IF(AND(BV1351=0,BQ1351&lt;0),"negativer Bestand (Export "&amp;BQ1351&amp;"); ","")&amp;IF(J1351&lt;=0,"Kein Verbrauch; ","")&amp;IF(CQ1351&gt;0,"Lift "&amp;W1351&amp;" lt. Liftbericht (Fach "&amp;X1351&amp;" Stk); ",IF(CA1351=1,"Gebinde geschätzt ("&amp;T1351&amp;"); ",IF(BZ1351=1,"Lose – Tablare geschätzt; ","")))&amp;IF(H1351&gt;AV1351,"Überbestand "&amp;ROUND(H1351-AV1351,0)&amp;" Stk / CHF "&amp;ROUND((H1351-AV1351)*G1351,0)&amp;"; ","")&amp;IF(AND(CH1351=1,CI1351&lt;CJ1351),"MAX &lt; MB+LG; ","")&amp;IF(AND(CP1351&gt;0,CO1351*10&gt;CP1351),"zu hoch für Tablar; ","")&amp;IF(AND(BV1351=0,OR(CH1351=1,AA1351&lt;&gt;"",U1351&lt;&gt;"",V1351&lt;&gt;"",AB1351&lt;&gt;"")),"manuell übersteuert; ","")&amp;IF(AND(BZ1351=0,R1351=0),"Gebinde unbekannt / Stellmass fehlt; ","")&amp;IF(AND(BZ1351=0,N(V1351)&lt;=0,N(Q1351)&lt;=0),"Menge pro Gebinde fehlt (Ist = 1 Gebinde); ","")&amp;BU1351)</f>
        <v>negativer Bestand (Export -1); Kein Verbrauch; Lift 1 lt. Liftbericht (Fach 10 Stk); Überbestand 4 Stk / CHF 8035; </v>
      </c>
      <c r="BN1351" s="48"/>
      <c r="BO1351" s="48"/>
      <c r="BP1351" s="55"/>
      <c r="BQ1351" s="50" t="n">
        <v>-1</v>
      </c>
      <c r="BR1351" s="50" t="n">
        <v>10</v>
      </c>
      <c r="BS1351" s="49" t="n">
        <v>-2008.66</v>
      </c>
      <c r="BT1351" s="50" t="n">
        <v>0</v>
      </c>
      <c r="BU1351" s="48"/>
      <c r="BV1351" s="53" t="n">
        <v>0</v>
      </c>
      <c r="BW1351" s="53" t="n">
        <v>1351</v>
      </c>
      <c r="BX1351" s="48" t="str">
        <f aca="false">IF(U1351&lt;&gt;"",UPPER(TRIM(U1351)),IF(CA1351=1,UPPER(VLOOKUP(T1351,Parameter!$I$27:$K$29,2,0)),IF(P1351="","LOSE",P1351)))</f>
        <v>LOSE</v>
      </c>
      <c r="BY1351" s="50" t="n">
        <f aca="false">IF(BX1351="LOSE",1,IF(N(V1351)&gt;0,V1351,IF(CA1351=1,MAX(1,N(VLOOKUP(T1351,Parameter!$I$27:$K$29,3,0)),H1351,N(N1351)),IF(N(Q1351)&gt;0,Q1351,MAX(1,H1351)))))</f>
        <v>1</v>
      </c>
      <c r="BZ1351" s="53" t="n">
        <f aca="false">IF(BX1351="LOSE",1,0)</f>
        <v>1</v>
      </c>
      <c r="CA1351" s="53" t="n">
        <f aca="false">IF(AND(U1351="",OR(P1351="",P1351="LOSE"),T1351&lt;&gt;"",N(S1351)&lt;=0,ISNUMBER(MATCH(T1351,Parameter!$I$27:$I$29,0))),1,0)</f>
        <v>0</v>
      </c>
      <c r="CB1351" s="53" t="n">
        <f aca="false">IF(CQ1351&gt;0,INDEX(Parameter!$H$5:$H$7,W1351)/INDEX(Parameter!$E$5:$E$7,W1351),IF(AND(BZ1351=0,N(IFERROR(VLOOKUP(BX1351,'Gebinde-Kategorie'!$A$5:$N$45,14,0),0))&gt;0),VLOOKUP(BX1351,'Gebinde-Kategorie'!$A$5:$N$45,14,0)*10+Parameter!$M$23,Parameter!$M$24))</f>
        <v>238</v>
      </c>
      <c r="CC1351" s="48" t="n">
        <f aca="false">IF(AND(Parameter!$B$19="Ja",E1351&lt;&gt;"",ISNUMBER(MATCH(E1351,Parameter!$I$35:$I$52,0))),VLOOKUP(E1351,Parameter!$I$35:$J$52,2,0),IFERROR(VLOOKUP(D1351,Parameter!$A$35:$C$64,2,0),"Nein"))</f>
        <v>1</v>
      </c>
      <c r="CD1351" s="52" t="n">
        <f aca="false">IF(BZ1351=0,0,IF(N(S1351)&gt;0,S1351,IFERROR(VLOOKUP(D1351,Parameter!$A$35:$C$64,3,0)+0,0)))</f>
        <v>1</v>
      </c>
      <c r="CE1351" s="48" t="n">
        <f aca="false">IF(AA1351&lt;&gt;"",AA1351,Z1351)</f>
        <v>1</v>
      </c>
      <c r="CF1351" s="48" t="str">
        <f aca="false">IF(OR(CE1351=1,CE1351=2,CE1351=3),IF(Parameter!$E$27="Ja","LIFT",IF(CE1351=1,"L1","L23")),IF(CE1351="Aussen","Aussen","-"))</f>
        <v>LIFT</v>
      </c>
      <c r="CG1351" s="59" t="n">
        <f aca="false">IF(N(AB1351)&gt;0,AB1351,0)</f>
        <v>0</v>
      </c>
      <c r="CH1351" s="53" t="n">
        <f aca="false">IF(ISNUMBER(AE1351),1,0)</f>
        <v>0</v>
      </c>
      <c r="CI1351" s="50" t="n">
        <f aca="false">N(AE1351)</f>
        <v>0</v>
      </c>
      <c r="CJ1351" s="50" t="n">
        <f aca="false">N(M1351)+N(N1351)</f>
        <v>5</v>
      </c>
      <c r="CK1351" s="50" t="n">
        <f aca="false">N(M1351)</f>
        <v>0</v>
      </c>
      <c r="CL1351" s="50" t="n">
        <f aca="false">N(N1351)</f>
        <v>5</v>
      </c>
      <c r="CM1351" s="50" t="n">
        <f aca="false">ROUNDUP(H1351/BY1351,0)</f>
        <v>9</v>
      </c>
      <c r="CN1351" s="50" t="n">
        <f aca="false">ROUNDUP(CI1351/BY1351,0)</f>
        <v>0</v>
      </c>
      <c r="CO1351" s="53" t="n">
        <f aca="false">IF(BZ1351=1,0,IFERROR(VLOOKUP(BX1351,'Gebinde-Kategorie'!$A$5:$N$45,5,0)+0,0))</f>
        <v>0</v>
      </c>
      <c r="CP1351" s="53" t="n">
        <f aca="false">IFERROR(IF(OR(CE1351=1,CE1351=2,CE1351=3),N(INDEX(Parameter!$I$5:$I$7,CE1351)),0),0)</f>
        <v>0</v>
      </c>
      <c r="CQ1351" s="52" t="n">
        <f aca="false">IF(AND(Parameter!$B$21="Ja",ISNUMBER(W1351),N(X1351)&gt;0),IFERROR(N(INDEX(Parameter!$L$5:$L$7,W1351))*INDEX(Parameter!$E$5:$E$7,W1351)*X1351/SUMIFS($X$7:$X$1843,$W$7:$W$1843,W1351),0),0)</f>
        <v>0.800376647834275</v>
      </c>
    </row>
    <row r="1352" customFormat="false" ht="15" hidden="false" customHeight="false" outlineLevel="0" collapsed="false">
      <c r="A1352" s="48" t="s">
        <v>2395</v>
      </c>
      <c r="B1352" s="48" t="s">
        <v>685</v>
      </c>
      <c r="C1352" s="48" t="s">
        <v>173</v>
      </c>
      <c r="D1352" s="48" t="s">
        <v>193</v>
      </c>
      <c r="E1352" s="48"/>
      <c r="F1352" s="48" t="s">
        <v>227</v>
      </c>
      <c r="G1352" s="49" t="n">
        <v>14.73</v>
      </c>
      <c r="H1352" s="50" t="n">
        <f aca="false">MAX(0,IF(AND(Parameter!$B$21="Ja",ISNUMBER(Y1352)),Y1352,IF(Parameter!$B$20="Jahresanfang 2025 + Export",BR1352+BQ1352,BQ1352)))</f>
        <v>61</v>
      </c>
      <c r="I1352" s="50" t="n">
        <f aca="false">H1352*G1352</f>
        <v>898.53</v>
      </c>
      <c r="J1352" s="50" t="n">
        <f aca="false">BT1352*Parameter!$B$18</f>
        <v>188</v>
      </c>
      <c r="K1352" s="51" t="n">
        <v>126</v>
      </c>
      <c r="L1352" s="52" t="n">
        <v>1.49206349206349</v>
      </c>
      <c r="M1352" s="50" t="n">
        <v>35</v>
      </c>
      <c r="N1352" s="50" t="n">
        <v>190</v>
      </c>
      <c r="O1352" s="53" t="n">
        <v>63</v>
      </c>
      <c r="P1352" s="48" t="s">
        <v>235</v>
      </c>
      <c r="Q1352" s="50" t="n">
        <v>100</v>
      </c>
      <c r="R1352" s="53" t="n">
        <f aca="false">IF(BZ1352=1,0,IFERROR(VLOOKUP(BX1352,'Gebinde-Kategorie'!$A$5:$N$45,13,0)+0,0))</f>
        <v>12</v>
      </c>
      <c r="S1352" s="54"/>
      <c r="T1352" s="55"/>
      <c r="U1352" s="55"/>
      <c r="V1352" s="55"/>
      <c r="W1352" s="48"/>
      <c r="X1352" s="50"/>
      <c r="Y1352" s="50"/>
      <c r="Z1352" s="48" t="n">
        <f aca="false">IF(A1352="","",IF(AND(Parameter!$B$21="Ja",ISNUMBER(W1352)),W1352,IF(CC1352="2+3",IF(ISNUMBER(SEARCH("grosser Artikel",BU1352)),2,IFERROR(VLOOKUP(BX1352,Parameter!$F$35:$G$64,2,0),2)),IF(OR(CC1352="Nein",CC1352=""),"-",CC1352))))</f>
        <v>2</v>
      </c>
      <c r="AA1352" s="55"/>
      <c r="AB1352" s="56"/>
      <c r="AC1352" s="50" t="n">
        <f aca="false">AV1352</f>
        <v>225</v>
      </c>
      <c r="AD1352" s="50" t="n">
        <f aca="false">MAX(AV1352,H1352)</f>
        <v>225</v>
      </c>
      <c r="AE1352" s="57"/>
      <c r="AF1352" s="50" t="n">
        <f aca="false">IF(LEFT(Cockpit!$C$5,1)="A",H1352,IF(Parameter!$E$30="MAX-Bestand",IF(CH1352=1,CI1352,IF(LEFT(Cockpit!$C$5,1)="B",AL1352,MAX(AL1352,H1352))),ROUNDUP(AJ1352,0)))</f>
        <v>61</v>
      </c>
      <c r="AG1352" s="50" t="n">
        <f aca="false">IF(BZ1352=1,0,ROUNDUP(AF1352/BY1352,0))</f>
        <v>1</v>
      </c>
      <c r="AH1352" s="52" t="n">
        <f aca="false">IF(CQ1352&gt;0,CQ1352*MAX(1,AF1352/X1352),IF(BZ1352=1,IF(AF1352&lt;=0,0,CD1352*MAX(1,IF(H1352&gt;0,AF1352/H1352,1))),IF(R1352&gt;0,AG1352/R1352,0))/MAX(0.1,N(Parameter!$M$21)))</f>
        <v>0.0833333333333333</v>
      </c>
      <c r="AI1352" s="50" t="n">
        <f aca="false">AH1352*CB1352</f>
        <v>28.75</v>
      </c>
      <c r="AJ1352" s="51" t="n">
        <f aca="false">IF(LEFT(Cockpit!$C$5,1)="A",H1352,IF(CH1352=1,(CK1352+CI1352)/2,IF(LEFT(Cockpit!$C$5,1)="B",(CK1352+AL1352)/2,MAX((CK1352+AL1352)/2,H1352))))</f>
        <v>61</v>
      </c>
      <c r="AK1352" s="50" t="n">
        <f aca="false">AJ1352*G1352</f>
        <v>898.53</v>
      </c>
      <c r="AL1352" s="50" t="n">
        <f aca="false">ROUNDUP(CK1352+MAX(CL1352,2*(J1352/IF(CG1352&gt;0,CG1352,MAX(0.1,N(Cockpit!$C$6)))-CK1352)),0)</f>
        <v>225</v>
      </c>
      <c r="AM1352" s="51" t="n">
        <f aca="false">IF(AI1352&gt;0,J1352/AI1352,-1)</f>
        <v>6.53913043478261</v>
      </c>
      <c r="AN1352" s="51" t="n">
        <f aca="false">IF(AND(OR(CF1352="L1",CF1352="L23",CF1352="LIFT"),AI1352&gt;0),SUMIFS($AI$7:$AI$1843,$CF$7:$CF$1843,CF1352,$AM$7:$AM$1843,"&gt;"&amp;AM1352)+SUMIFS($AI$7:$AI$1843,$CF$7:$CF$1843,CF1352,$AM$7:$AM$1843,AM1352,$BW$7:$BW$1843,"&lt;="&amp;BW1352),"")</f>
        <v>3428.85485347985</v>
      </c>
      <c r="AO1352" s="58" t="n">
        <f aca="false">IF(AN1352="",0,MAX(0,MIN(1,(IF(CF1352="L1",Parameter!$H$5,IF(CF1352="L23",Parameter!$H$6+Parameter!$H$7,Parameter!$H$5+Parameter!$H$6+Parameter!$H$7))-(AN1352-AI1352))/AI1352)))</f>
        <v>1</v>
      </c>
      <c r="AP1352" s="50" t="n">
        <f aca="false">IF(LEFT(Cockpit!$I$5,1)="A",H1352,IF(Parameter!$E$30="MAX-Bestand",IF(CH1352=1,CI1352,IF(LEFT(Cockpit!$I$5,1)="B",AV1352,MAX(AV1352,H1352))),ROUNDUP(AT1352,0)))</f>
        <v>130</v>
      </c>
      <c r="AQ1352" s="50" t="n">
        <f aca="false">IF(BZ1352=1,0,ROUNDUP(AP1352/BY1352,0))</f>
        <v>2</v>
      </c>
      <c r="AR1352" s="52" t="n">
        <f aca="false">IF(CQ1352&gt;0,CQ1352*MAX(1,AP1352/X1352),IF(BZ1352=1,IF(AP1352&lt;=0,0,CD1352*MAX(1,IF(H1352&gt;0,AP1352/H1352,1))),IF(R1352&gt;0,AQ1352/R1352,0))/MAX(0.1,N(Parameter!$M$21)))</f>
        <v>0.166666666666667</v>
      </c>
      <c r="AS1352" s="50" t="n">
        <f aca="false">AR1352*CB1352</f>
        <v>57.5</v>
      </c>
      <c r="AT1352" s="51" t="n">
        <f aca="false">IF(LEFT(Cockpit!$I$5,1)="A",H1352,IF(CH1352=1,(CK1352+CI1352)/2,IF(LEFT(Cockpit!$I$5,1)="B",(CK1352+AV1352)/2,MAX((CK1352+AV1352)/2,H1352))))</f>
        <v>130</v>
      </c>
      <c r="AU1352" s="50" t="n">
        <f aca="false">AT1352*G1352</f>
        <v>1914.9</v>
      </c>
      <c r="AV1352" s="50" t="n">
        <f aca="false">ROUNDUP(CK1352+MAX(CL1352,2*(J1352/IF(CG1352&gt;0,CG1352,MAX(0.1,N(Cockpit!$I$6)))-CK1352)),0)</f>
        <v>225</v>
      </c>
      <c r="AW1352" s="51" t="n">
        <f aca="false">IF(AS1352&gt;0,J1352/AS1352,-1)</f>
        <v>3.2695652173913</v>
      </c>
      <c r="AX1352" s="51" t="n">
        <f aca="false">IF(AND(OR(CF1352="L1",CF1352="L23",CF1352="LIFT"),AS1352&gt;0),SUMIFS($AS$7:$AS$1843,$CF$7:$CF$1843,CF1352,$AW$7:$AW$1843,"&gt;"&amp;AW1352)+SUMIFS($AS$7:$AS$1843,$CF$7:$CF$1843,CF1352,$AW$7:$AW$1843,AW1352,$BW$7:$BW$1843,"&lt;="&amp;BW1352),"")</f>
        <v>5678.41529304029</v>
      </c>
      <c r="AY1352" s="58" t="n">
        <f aca="false">IF(AX1352="",0,MAX(0,MIN(1,(IF(CF1352="L1",Parameter!$H$5,IF(CF1352="L23",Parameter!$H$6+Parameter!$H$7,Parameter!$H$5+Parameter!$H$6+Parameter!$H$7))-(AX1352-AS1352))/AS1352)))</f>
        <v>1</v>
      </c>
      <c r="AZ1352" s="50" t="n">
        <f aca="false">IF(LEFT(Cockpit!$O$5,1)="A",H1352,IF(Parameter!$E$30="MAX-Bestand",IF(CH1352=1,CI1352,IF(LEFT(Cockpit!$O$5,1)="B",BF1352,MAX(BF1352,H1352))),ROUNDUP(BD1352,0)))</f>
        <v>130</v>
      </c>
      <c r="BA1352" s="50" t="n">
        <f aca="false">IF(BZ1352=1,0,ROUNDUP(AZ1352/BY1352,0))</f>
        <v>2</v>
      </c>
      <c r="BB1352" s="52" t="n">
        <f aca="false">IF(CQ1352&gt;0,CQ1352*MAX(1,AZ1352/X1352),IF(BZ1352=1,IF(AZ1352&lt;=0,0,CD1352*MAX(1,IF(H1352&gt;0,AZ1352/H1352,1))),IF(R1352&gt;0,BA1352/R1352,0))/MAX(0.1,N(Parameter!$M$21)))</f>
        <v>0.166666666666667</v>
      </c>
      <c r="BC1352" s="50" t="n">
        <f aca="false">BB1352*CB1352</f>
        <v>57.5</v>
      </c>
      <c r="BD1352" s="51" t="n">
        <f aca="false">IF(LEFT(Cockpit!$O$5,1)="A",H1352,IF(CH1352=1,(CK1352+CI1352)/2,IF(LEFT(Cockpit!$O$5,1)="B",(CK1352+BF1352)/2,MAX((CK1352+BF1352)/2,H1352))))</f>
        <v>130</v>
      </c>
      <c r="BE1352" s="50" t="n">
        <f aca="false">BD1352*G1352</f>
        <v>1914.9</v>
      </c>
      <c r="BF1352" s="50" t="n">
        <f aca="false">ROUNDUP(CK1352+MAX(CL1352,2*(J1352/IF(CG1352&gt;0,CG1352,MAX(0.1,N(Cockpit!$O$6)))-CK1352)),0)</f>
        <v>225</v>
      </c>
      <c r="BG1352" s="51" t="n">
        <f aca="false">IF(BC1352&gt;0,J1352/BC1352,-1)</f>
        <v>3.2695652173913</v>
      </c>
      <c r="BH1352" s="51" t="n">
        <f aca="false">IF(AND(OR(CF1352="L1",CF1352="L23",CF1352="LIFT"),BC1352&gt;0),SUMIFS($BC$7:$BC$1843,$CF$7:$CF$1843,CF1352,$BG$7:$BG$1843,"&gt;"&amp;BG1352)+SUMIFS($BC$7:$BC$1843,$CF$7:$CF$1843,CF1352,$BG$7:$BG$1843,BG1352,$BW$7:$BW$1843,"&lt;="&amp;BW1352),"")</f>
        <v>4679.04990842491</v>
      </c>
      <c r="BI1352" s="58" t="n">
        <f aca="false">IF(BH1352="",0,MAX(0,MIN(1,(IF(CF1352="L1",Parameter!$H$5,IF(CF1352="L23",Parameter!$H$6+Parameter!$H$7,Parameter!$H$5+Parameter!$H$6+Parameter!$H$7))-(BH1352-BC1352))/BC1352)))</f>
        <v>1</v>
      </c>
      <c r="BJ1352" s="48" t="str">
        <f aca="false">IF(AI1352&lt;=0,"",IF(CF1352="Aussen","Aussenlager",IF(CF1352="-","Nicht im Lift",IF(AO1352&gt;=1,"Lift",IF(AO1352&lt;=0,"Aussenlager","teilweise")))))</f>
        <v>Lift</v>
      </c>
      <c r="BK1352" s="48" t="str">
        <f aca="false">IF(AS1352&lt;=0,"",IF(CF1352="Aussen","Aussenlager",IF(CF1352="-","Nicht im Lift",IF(AY1352&gt;=1,"Lift",IF(AY1352&lt;=0,"Aussenlager","teilweise")))))</f>
        <v>Lift</v>
      </c>
      <c r="BL1352" s="48" t="str">
        <f aca="false">IF(BC1352&lt;=0,"",IF(CF1352="Aussen","Aussenlager",IF(CF1352="-","Nicht im Lift",IF(BI1352&gt;=1,"Lift",IF(BI1352&lt;=0,"Aussenlager","teilweise")))))</f>
        <v>Lift</v>
      </c>
      <c r="BM1352" s="48" t="str">
        <f aca="false">IF(A1352="","",IF(BV1352=1,"Neu; ","")&amp;IF(AND(BV1352=0,BQ1352&lt;0),"negativer Bestand (Export "&amp;BQ1352&amp;"); ","")&amp;IF(J1352&lt;=0,"Kein Verbrauch; ","")&amp;IF(CQ1352&gt;0,"Lift "&amp;W1352&amp;" lt. Liftbericht (Fach "&amp;X1352&amp;" Stk); ",IF(CA1352=1,"Gebinde geschätzt ("&amp;T1352&amp;"); ",IF(BZ1352=1,"Lose – Tablare geschätzt; ","")))&amp;IF(H1352&gt;AV1352,"Überbestand "&amp;ROUND(H1352-AV1352,0)&amp;" Stk / CHF "&amp;ROUND((H1352-AV1352)*G1352,0)&amp;"; ","")&amp;IF(AND(CH1352=1,CI1352&lt;CJ1352),"MAX &lt; MB+LG; ","")&amp;IF(AND(CP1352&gt;0,CO1352*10&gt;CP1352),"zu hoch für Tablar; ","")&amp;IF(AND(BV1352=0,OR(CH1352=1,AA1352&lt;&gt;"",U1352&lt;&gt;"",V1352&lt;&gt;"",AB1352&lt;&gt;"")),"manuell übersteuert; ","")&amp;IF(AND(BZ1352=0,R1352=0),"Gebinde unbekannt / Stellmass fehlt; ","")&amp;IF(AND(BZ1352=0,N(V1352)&lt;=0,N(Q1352)&lt;=0),"Menge pro Gebinde fehlt (Ist = 1 Gebinde); ","")&amp;BU1352)</f>
        <v>negativer Bestand (Export -139); </v>
      </c>
      <c r="BN1352" s="48"/>
      <c r="BO1352" s="48"/>
      <c r="BP1352" s="55"/>
      <c r="BQ1352" s="50" t="n">
        <v>-139</v>
      </c>
      <c r="BR1352" s="50" t="n">
        <v>200</v>
      </c>
      <c r="BS1352" s="49" t="n">
        <v>-2015.47</v>
      </c>
      <c r="BT1352" s="50" t="n">
        <v>188</v>
      </c>
      <c r="BU1352" s="48"/>
      <c r="BV1352" s="53" t="n">
        <v>0</v>
      </c>
      <c r="BW1352" s="53" t="n">
        <v>1352</v>
      </c>
      <c r="BX1352" s="48" t="str">
        <f aca="false">IF(U1352&lt;&gt;"",UPPER(TRIM(U1352)),IF(CA1352=1,UPPER(VLOOKUP(T1352,Parameter!$I$27:$K$29,2,0)),IF(P1352="","LOSE",P1352)))</f>
        <v>S63</v>
      </c>
      <c r="BY1352" s="50" t="n">
        <f aca="false">IF(BX1352="LOSE",1,IF(N(V1352)&gt;0,V1352,IF(CA1352=1,MAX(1,N(VLOOKUP(T1352,Parameter!$I$27:$K$29,3,0)),H1352,N(N1352)),IF(N(Q1352)&gt;0,Q1352,MAX(1,H1352)))))</f>
        <v>100</v>
      </c>
      <c r="BZ1352" s="53" t="n">
        <f aca="false">IF(BX1352="LOSE",1,0)</f>
        <v>0</v>
      </c>
      <c r="CA1352" s="53" t="n">
        <f aca="false">IF(AND(U1352="",OR(P1352="",P1352="LOSE"),T1352&lt;&gt;"",N(S1352)&lt;=0,ISNUMBER(MATCH(T1352,Parameter!$I$27:$I$29,0))),1,0)</f>
        <v>0</v>
      </c>
      <c r="CB1352" s="53" t="n">
        <f aca="false">IF(CQ1352&gt;0,INDEX(Parameter!$H$5:$H$7,W1352)/INDEX(Parameter!$E$5:$E$7,W1352),IF(AND(BZ1352=0,N(IFERROR(VLOOKUP(BX1352,'Gebinde-Kategorie'!$A$5:$N$45,14,0),0))&gt;0),VLOOKUP(BX1352,'Gebinde-Kategorie'!$A$5:$N$45,14,0)*10+Parameter!$M$23,Parameter!$M$24))</f>
        <v>345</v>
      </c>
      <c r="CC1352" s="48" t="str">
        <f aca="false">IF(AND(Parameter!$B$19="Ja",E1352&lt;&gt;"",ISNUMBER(MATCH(E1352,Parameter!$I$35:$I$52,0))),VLOOKUP(E1352,Parameter!$I$35:$J$52,2,0),IFERROR(VLOOKUP(D1352,Parameter!$A$35:$C$64,2,0),"Nein"))</f>
        <v>2+3</v>
      </c>
      <c r="CD1352" s="52" t="n">
        <f aca="false">IF(BZ1352=0,0,IF(N(S1352)&gt;0,S1352,IFERROR(VLOOKUP(D1352,Parameter!$A$35:$C$64,3,0)+0,0)))</f>
        <v>0</v>
      </c>
      <c r="CE1352" s="48" t="n">
        <f aca="false">IF(AA1352&lt;&gt;"",AA1352,Z1352)</f>
        <v>2</v>
      </c>
      <c r="CF1352" s="48" t="str">
        <f aca="false">IF(OR(CE1352=1,CE1352=2,CE1352=3),IF(Parameter!$E$27="Ja","LIFT",IF(CE1352=1,"L1","L23")),IF(CE1352="Aussen","Aussen","-"))</f>
        <v>LIFT</v>
      </c>
      <c r="CG1352" s="59" t="n">
        <f aca="false">IF(N(AB1352)&gt;0,AB1352,0)</f>
        <v>0</v>
      </c>
      <c r="CH1352" s="53" t="n">
        <f aca="false">IF(ISNUMBER(AE1352),1,0)</f>
        <v>0</v>
      </c>
      <c r="CI1352" s="50" t="n">
        <f aca="false">N(AE1352)</f>
        <v>0</v>
      </c>
      <c r="CJ1352" s="50" t="n">
        <f aca="false">N(M1352)+N(N1352)</f>
        <v>225</v>
      </c>
      <c r="CK1352" s="50" t="n">
        <f aca="false">N(M1352)</f>
        <v>35</v>
      </c>
      <c r="CL1352" s="50" t="n">
        <f aca="false">N(N1352)</f>
        <v>190</v>
      </c>
      <c r="CM1352" s="50" t="n">
        <f aca="false">ROUNDUP(H1352/BY1352,0)</f>
        <v>1</v>
      </c>
      <c r="CN1352" s="50" t="n">
        <f aca="false">ROUNDUP(CI1352/BY1352,0)</f>
        <v>0</v>
      </c>
      <c r="CO1352" s="53" t="n">
        <f aca="false">IF(BZ1352=1,0,IFERROR(VLOOKUP(BX1352,'Gebinde-Kategorie'!$A$5:$N$45,5,0)+0,0))</f>
        <v>31</v>
      </c>
      <c r="CP1352" s="53" t="n">
        <f aca="false">IFERROR(IF(OR(CE1352=1,CE1352=2,CE1352=3),N(INDEX(Parameter!$I$5:$I$7,CE1352)),0),0)</f>
        <v>0</v>
      </c>
      <c r="CQ1352" s="52" t="n">
        <f aca="false">IF(AND(Parameter!$B$21="Ja",ISNUMBER(W1352),N(X1352)&gt;0),IFERROR(N(INDEX(Parameter!$L$5:$L$7,W1352))*INDEX(Parameter!$E$5:$E$7,W1352)*X1352/SUMIFS($X$7:$X$1843,$W$7:$W$1843,W1352),0),0)</f>
        <v>0</v>
      </c>
    </row>
    <row r="1353" customFormat="false" ht="15" hidden="false" customHeight="false" outlineLevel="0" collapsed="false">
      <c r="A1353" s="48" t="s">
        <v>2396</v>
      </c>
      <c r="B1353" s="48" t="s">
        <v>726</v>
      </c>
      <c r="C1353" s="48" t="s">
        <v>173</v>
      </c>
      <c r="D1353" s="48" t="s">
        <v>182</v>
      </c>
      <c r="E1353" s="48" t="s">
        <v>175</v>
      </c>
      <c r="F1353" s="48" t="s">
        <v>227</v>
      </c>
      <c r="G1353" s="49" t="n">
        <v>107.1</v>
      </c>
      <c r="H1353" s="50" t="n">
        <f aca="false">MAX(0,IF(AND(Parameter!$B$21="Ja",ISNUMBER(Y1353)),Y1353,IF(Parameter!$B$20="Jahresanfang 2025 + Export",BR1353+BQ1353,BQ1353)))</f>
        <v>42</v>
      </c>
      <c r="I1353" s="50" t="n">
        <f aca="false">H1353*G1353</f>
        <v>4498.2</v>
      </c>
      <c r="J1353" s="50" t="n">
        <f aca="false">BT1353*Parameter!$B$18</f>
        <v>14</v>
      </c>
      <c r="K1353" s="51" t="n">
        <v>54</v>
      </c>
      <c r="L1353" s="52" t="n">
        <v>0.259259259259259</v>
      </c>
      <c r="M1353" s="50" t="n">
        <v>0</v>
      </c>
      <c r="N1353" s="50" t="n">
        <v>15</v>
      </c>
      <c r="O1353" s="53" t="n">
        <v>21</v>
      </c>
      <c r="P1353" s="48" t="s">
        <v>195</v>
      </c>
      <c r="Q1353" s="50" t="n">
        <v>56</v>
      </c>
      <c r="R1353" s="53" t="n">
        <f aca="false">IF(BZ1353=1,0,IFERROR(VLOOKUP(BX1353,'Gebinde-Kategorie'!$A$5:$N$45,13,0)+0,0))</f>
        <v>12</v>
      </c>
      <c r="S1353" s="54"/>
      <c r="T1353" s="55"/>
      <c r="U1353" s="55"/>
      <c r="V1353" s="55"/>
      <c r="W1353" s="48"/>
      <c r="X1353" s="50"/>
      <c r="Y1353" s="50"/>
      <c r="Z1353" s="48" t="n">
        <f aca="false">IF(A1353="","",IF(AND(Parameter!$B$21="Ja",ISNUMBER(W1353)),W1353,IF(CC1353="2+3",IF(ISNUMBER(SEARCH("grosser Artikel",BU1353)),2,IFERROR(VLOOKUP(BX1353,Parameter!$F$35:$G$64,2,0),2)),IF(OR(CC1353="Nein",CC1353=""),"-",CC1353))))</f>
        <v>1</v>
      </c>
      <c r="AA1353" s="55"/>
      <c r="AB1353" s="56"/>
      <c r="AC1353" s="50" t="n">
        <f aca="false">AV1353</f>
        <v>15</v>
      </c>
      <c r="AD1353" s="50" t="n">
        <f aca="false">MAX(AV1353,H1353)</f>
        <v>42</v>
      </c>
      <c r="AE1353" s="57"/>
      <c r="AF1353" s="50" t="n">
        <f aca="false">IF(LEFT(Cockpit!$C$5,1)="A",H1353,IF(Parameter!$E$30="MAX-Bestand",IF(CH1353=1,CI1353,IF(LEFT(Cockpit!$C$5,1)="B",AL1353,MAX(AL1353,H1353))),ROUNDUP(AJ1353,0)))</f>
        <v>42</v>
      </c>
      <c r="AG1353" s="50" t="n">
        <f aca="false">IF(BZ1353=1,0,ROUNDUP(AF1353/BY1353,0))</f>
        <v>1</v>
      </c>
      <c r="AH1353" s="52" t="n">
        <f aca="false">IF(CQ1353&gt;0,CQ1353*MAX(1,AF1353/X1353),IF(BZ1353=1,IF(AF1353&lt;=0,0,CD1353*MAX(1,IF(H1353&gt;0,AF1353/H1353,1))),IF(R1353&gt;0,AG1353/R1353,0))/MAX(0.1,N(Parameter!$M$21)))</f>
        <v>0.0833333333333333</v>
      </c>
      <c r="AI1353" s="50" t="n">
        <f aca="false">AH1353*CB1353</f>
        <v>12.0833333333333</v>
      </c>
      <c r="AJ1353" s="51" t="n">
        <f aca="false">IF(LEFT(Cockpit!$C$5,1)="A",H1353,IF(CH1353=1,(CK1353+CI1353)/2,IF(LEFT(Cockpit!$C$5,1)="B",(CK1353+AL1353)/2,MAX((CK1353+AL1353)/2,H1353))))</f>
        <v>42</v>
      </c>
      <c r="AK1353" s="50" t="n">
        <f aca="false">AJ1353*G1353</f>
        <v>4498.2</v>
      </c>
      <c r="AL1353" s="50" t="n">
        <f aca="false">ROUNDUP(CK1353+MAX(CL1353,2*(J1353/IF(CG1353&gt;0,CG1353,MAX(0.1,N(Cockpit!$C$6)))-CK1353)),0)</f>
        <v>15</v>
      </c>
      <c r="AM1353" s="51" t="n">
        <f aca="false">IF(AI1353&gt;0,J1353/AI1353,-1)</f>
        <v>1.15862068965517</v>
      </c>
      <c r="AN1353" s="51" t="n">
        <f aca="false">IF(AND(OR(CF1353="L1",CF1353="L23",CF1353="LIFT"),AI1353&gt;0),SUMIFS($AI$7:$AI$1843,$CF$7:$CF$1843,CF1353,$AM$7:$AM$1843,"&gt;"&amp;AM1353)+SUMIFS($AI$7:$AI$1843,$CF$7:$CF$1843,CF1353,$AM$7:$AM$1843,AM1353,$BW$7:$BW$1843,"&lt;="&amp;BW1353),"")</f>
        <v>6715.60302197802</v>
      </c>
      <c r="AO1353" s="58" t="n">
        <f aca="false">IF(AN1353="",0,MAX(0,MIN(1,(IF(CF1353="L1",Parameter!$H$5,IF(CF1353="L23",Parameter!$H$6+Parameter!$H$7,Parameter!$H$5+Parameter!$H$6+Parameter!$H$7))-(AN1353-AI1353))/AI1353)))</f>
        <v>1</v>
      </c>
      <c r="AP1353" s="50" t="n">
        <f aca="false">IF(LEFT(Cockpit!$I$5,1)="A",H1353,IF(Parameter!$E$30="MAX-Bestand",IF(CH1353=1,CI1353,IF(LEFT(Cockpit!$I$5,1)="B",AV1353,MAX(AV1353,H1353))),ROUNDUP(AT1353,0)))</f>
        <v>42</v>
      </c>
      <c r="AQ1353" s="50" t="n">
        <f aca="false">IF(BZ1353=1,0,ROUNDUP(AP1353/BY1353,0))</f>
        <v>1</v>
      </c>
      <c r="AR1353" s="52" t="n">
        <f aca="false">IF(CQ1353&gt;0,CQ1353*MAX(1,AP1353/X1353),IF(BZ1353=1,IF(AP1353&lt;=0,0,CD1353*MAX(1,IF(H1353&gt;0,AP1353/H1353,1))),IF(R1353&gt;0,AQ1353/R1353,0))/MAX(0.1,N(Parameter!$M$21)))</f>
        <v>0.0833333333333333</v>
      </c>
      <c r="AS1353" s="50" t="n">
        <f aca="false">AR1353*CB1353</f>
        <v>12.0833333333333</v>
      </c>
      <c r="AT1353" s="51" t="n">
        <f aca="false">IF(LEFT(Cockpit!$I$5,1)="A",H1353,IF(CH1353=1,(CK1353+CI1353)/2,IF(LEFT(Cockpit!$I$5,1)="B",(CK1353+AV1353)/2,MAX((CK1353+AV1353)/2,H1353))))</f>
        <v>42</v>
      </c>
      <c r="AU1353" s="50" t="n">
        <f aca="false">AT1353*G1353</f>
        <v>4498.2</v>
      </c>
      <c r="AV1353" s="50" t="n">
        <f aca="false">ROUNDUP(CK1353+MAX(CL1353,2*(J1353/IF(CG1353&gt;0,CG1353,MAX(0.1,N(Cockpit!$I$6)))-CK1353)),0)</f>
        <v>15</v>
      </c>
      <c r="AW1353" s="51" t="n">
        <f aca="false">IF(AS1353&gt;0,J1353/AS1353,-1)</f>
        <v>1.15862068965517</v>
      </c>
      <c r="AX1353" s="51" t="n">
        <f aca="false">IF(AND(OR(CF1353="L1",CF1353="L23",CF1353="LIFT"),AS1353&gt;0),SUMIFS($AS$7:$AS$1843,$CF$7:$CF$1843,CF1353,$AW$7:$AW$1843,"&gt;"&amp;AW1353)+SUMIFS($AS$7:$AS$1843,$CF$7:$CF$1843,CF1353,$AW$7:$AW$1843,AW1353,$BW$7:$BW$1843,"&lt;="&amp;BW1353),"")</f>
        <v>8173.18406593407</v>
      </c>
      <c r="AY1353" s="58" t="n">
        <f aca="false">IF(AX1353="",0,MAX(0,MIN(1,(IF(CF1353="L1",Parameter!$H$5,IF(CF1353="L23",Parameter!$H$6+Parameter!$H$7,Parameter!$H$5+Parameter!$H$6+Parameter!$H$7))-(AX1353-AS1353))/AS1353)))</f>
        <v>1</v>
      </c>
      <c r="AZ1353" s="50" t="n">
        <f aca="false">IF(LEFT(Cockpit!$O$5,1)="A",H1353,IF(Parameter!$E$30="MAX-Bestand",IF(CH1353=1,CI1353,IF(LEFT(Cockpit!$O$5,1)="B",BF1353,MAX(BF1353,H1353))),ROUNDUP(BD1353,0)))</f>
        <v>8</v>
      </c>
      <c r="BA1353" s="50" t="n">
        <f aca="false">IF(BZ1353=1,0,ROUNDUP(AZ1353/BY1353,0))</f>
        <v>1</v>
      </c>
      <c r="BB1353" s="52" t="n">
        <f aca="false">IF(CQ1353&gt;0,CQ1353*MAX(1,AZ1353/X1353),IF(BZ1353=1,IF(AZ1353&lt;=0,0,CD1353*MAX(1,IF(H1353&gt;0,AZ1353/H1353,1))),IF(R1353&gt;0,BA1353/R1353,0))/MAX(0.1,N(Parameter!$M$21)))</f>
        <v>0.0833333333333333</v>
      </c>
      <c r="BC1353" s="50" t="n">
        <f aca="false">BB1353*CB1353</f>
        <v>12.0833333333333</v>
      </c>
      <c r="BD1353" s="51" t="n">
        <f aca="false">IF(LEFT(Cockpit!$O$5,1)="A",H1353,IF(CH1353=1,(CK1353+CI1353)/2,IF(LEFT(Cockpit!$O$5,1)="B",(CK1353+BF1353)/2,MAX((CK1353+BF1353)/2,H1353))))</f>
        <v>7.5</v>
      </c>
      <c r="BE1353" s="50" t="n">
        <f aca="false">BD1353*G1353</f>
        <v>803.25</v>
      </c>
      <c r="BF1353" s="50" t="n">
        <f aca="false">ROUNDUP(CK1353+MAX(CL1353,2*(J1353/IF(CG1353&gt;0,CG1353,MAX(0.1,N(Cockpit!$O$6)))-CK1353)),0)</f>
        <v>15</v>
      </c>
      <c r="BG1353" s="51" t="n">
        <f aca="false">IF(BC1353&gt;0,J1353/BC1353,-1)</f>
        <v>1.15862068965517</v>
      </c>
      <c r="BH1353" s="51" t="n">
        <f aca="false">IF(AND(OR(CF1353="L1",CF1353="L23",CF1353="LIFT"),BC1353&gt;0),SUMIFS($BC$7:$BC$1843,$CF$7:$CF$1843,CF1353,$BG$7:$BG$1843,"&gt;"&amp;BG1353)+SUMIFS($BC$7:$BC$1843,$CF$7:$CF$1843,CF1353,$BG$7:$BG$1843,BG1353,$BW$7:$BW$1843,"&lt;="&amp;BW1353),"")</f>
        <v>7224.47023809524</v>
      </c>
      <c r="BI1353" s="58" t="n">
        <f aca="false">IF(BH1353="",0,MAX(0,MIN(1,(IF(CF1353="L1",Parameter!$H$5,IF(CF1353="L23",Parameter!$H$6+Parameter!$H$7,Parameter!$H$5+Parameter!$H$6+Parameter!$H$7))-(BH1353-BC1353))/BC1353)))</f>
        <v>1</v>
      </c>
      <c r="BJ1353" s="48" t="str">
        <f aca="false">IF(AI1353&lt;=0,"",IF(CF1353="Aussen","Aussenlager",IF(CF1353="-","Nicht im Lift",IF(AO1353&gt;=1,"Lift",IF(AO1353&lt;=0,"Aussenlager","teilweise")))))</f>
        <v>Lift</v>
      </c>
      <c r="BK1353" s="48" t="str">
        <f aca="false">IF(AS1353&lt;=0,"",IF(CF1353="Aussen","Aussenlager",IF(CF1353="-","Nicht im Lift",IF(AY1353&gt;=1,"Lift",IF(AY1353&lt;=0,"Aussenlager","teilweise")))))</f>
        <v>Lift</v>
      </c>
      <c r="BL1353" s="48" t="str">
        <f aca="false">IF(BC1353&lt;=0,"",IF(CF1353="Aussen","Aussenlager",IF(CF1353="-","Nicht im Lift",IF(BI1353&gt;=1,"Lift",IF(BI1353&lt;=0,"Aussenlager","teilweise")))))</f>
        <v>Lift</v>
      </c>
      <c r="BM1353" s="48" t="str">
        <f aca="false">IF(A1353="","",IF(BV1353=1,"Neu; ","")&amp;IF(AND(BV1353=0,BQ1353&lt;0),"negativer Bestand (Export "&amp;BQ1353&amp;"); ","")&amp;IF(J1353&lt;=0,"Kein Verbrauch; ","")&amp;IF(CQ1353&gt;0,"Lift "&amp;W1353&amp;" lt. Liftbericht (Fach "&amp;X1353&amp;" Stk); ",IF(CA1353=1,"Gebinde geschätzt ("&amp;T1353&amp;"); ",IF(BZ1353=1,"Lose – Tablare geschätzt; ","")))&amp;IF(H1353&gt;AV1353,"Überbestand "&amp;ROUND(H1353-AV1353,0)&amp;" Stk / CHF "&amp;ROUND((H1353-AV1353)*G1353,0)&amp;"; ","")&amp;IF(AND(CH1353=1,CI1353&lt;CJ1353),"MAX &lt; MB+LG; ","")&amp;IF(AND(CP1353&gt;0,CO1353*10&gt;CP1353),"zu hoch für Tablar; ","")&amp;IF(AND(BV1353=0,OR(CH1353=1,AA1353&lt;&gt;"",U1353&lt;&gt;"",V1353&lt;&gt;"",AB1353&lt;&gt;"")),"manuell übersteuert; ","")&amp;IF(AND(BZ1353=0,R1353=0),"Gebinde unbekannt / Stellmass fehlt; ","")&amp;IF(AND(BZ1353=0,N(V1353)&lt;=0,N(Q1353)&lt;=0),"Menge pro Gebinde fehlt (Ist = 1 Gebinde); ","")&amp;BU1353)</f>
        <v>negativer Bestand (Export -19); Überbestand 27 Stk / CHF 2892; Neu</v>
      </c>
      <c r="BN1353" s="48"/>
      <c r="BO1353" s="48"/>
      <c r="BP1353" s="55"/>
      <c r="BQ1353" s="50" t="n">
        <v>-19</v>
      </c>
      <c r="BR1353" s="50" t="n">
        <v>61</v>
      </c>
      <c r="BS1353" s="49" t="n">
        <v>-2034.9</v>
      </c>
      <c r="BT1353" s="50" t="n">
        <v>14</v>
      </c>
      <c r="BU1353" s="48" t="s">
        <v>635</v>
      </c>
      <c r="BV1353" s="53" t="n">
        <v>0</v>
      </c>
      <c r="BW1353" s="53" t="n">
        <v>1353</v>
      </c>
      <c r="BX1353" s="48" t="str">
        <f aca="false">IF(U1353&lt;&gt;"",UPPER(TRIM(U1353)),IF(CA1353=1,UPPER(VLOOKUP(T1353,Parameter!$I$27:$K$29,2,0)),IF(P1353="","LOSE",P1353)))</f>
        <v>S61</v>
      </c>
      <c r="BY1353" s="50" t="n">
        <f aca="false">IF(BX1353="LOSE",1,IF(N(V1353)&gt;0,V1353,IF(CA1353=1,MAX(1,N(VLOOKUP(T1353,Parameter!$I$27:$K$29,3,0)),H1353,N(N1353)),IF(N(Q1353)&gt;0,Q1353,MAX(1,H1353)))))</f>
        <v>56</v>
      </c>
      <c r="BZ1353" s="53" t="n">
        <f aca="false">IF(BX1353="LOSE",1,0)</f>
        <v>0</v>
      </c>
      <c r="CA1353" s="53" t="n">
        <f aca="false">IF(AND(U1353="",OR(P1353="",P1353="LOSE"),T1353&lt;&gt;"",N(S1353)&lt;=0,ISNUMBER(MATCH(T1353,Parameter!$I$27:$I$29,0))),1,0)</f>
        <v>0</v>
      </c>
      <c r="CB1353" s="53" t="n">
        <f aca="false">IF(CQ1353&gt;0,INDEX(Parameter!$H$5:$H$7,W1353)/INDEX(Parameter!$E$5:$E$7,W1353),IF(AND(BZ1353=0,N(IFERROR(VLOOKUP(BX1353,'Gebinde-Kategorie'!$A$5:$N$45,14,0),0))&gt;0),VLOOKUP(BX1353,'Gebinde-Kategorie'!$A$5:$N$45,14,0)*10+Parameter!$M$23,Parameter!$M$24))</f>
        <v>145</v>
      </c>
      <c r="CC1353" s="48" t="n">
        <f aca="false">IF(AND(Parameter!$B$19="Ja",E1353&lt;&gt;"",ISNUMBER(MATCH(E1353,Parameter!$I$35:$I$52,0))),VLOOKUP(E1353,Parameter!$I$35:$J$52,2,0),IFERROR(VLOOKUP(D1353,Parameter!$A$35:$C$64,2,0),"Nein"))</f>
        <v>1</v>
      </c>
      <c r="CD1353" s="52" t="n">
        <f aca="false">IF(BZ1353=0,0,IF(N(S1353)&gt;0,S1353,IFERROR(VLOOKUP(D1353,Parameter!$A$35:$C$64,3,0)+0,0)))</f>
        <v>0</v>
      </c>
      <c r="CE1353" s="48" t="n">
        <f aca="false">IF(AA1353&lt;&gt;"",AA1353,Z1353)</f>
        <v>1</v>
      </c>
      <c r="CF1353" s="48" t="str">
        <f aca="false">IF(OR(CE1353=1,CE1353=2,CE1353=3),IF(Parameter!$E$27="Ja","LIFT",IF(CE1353=1,"L1","L23")),IF(CE1353="Aussen","Aussen","-"))</f>
        <v>LIFT</v>
      </c>
      <c r="CG1353" s="59" t="n">
        <f aca="false">IF(N(AB1353)&gt;0,AB1353,0)</f>
        <v>0</v>
      </c>
      <c r="CH1353" s="53" t="n">
        <f aca="false">IF(ISNUMBER(AE1353),1,0)</f>
        <v>0</v>
      </c>
      <c r="CI1353" s="50" t="n">
        <f aca="false">N(AE1353)</f>
        <v>0</v>
      </c>
      <c r="CJ1353" s="50" t="n">
        <f aca="false">N(M1353)+N(N1353)</f>
        <v>15</v>
      </c>
      <c r="CK1353" s="50" t="n">
        <f aca="false">N(M1353)</f>
        <v>0</v>
      </c>
      <c r="CL1353" s="50" t="n">
        <f aca="false">N(N1353)</f>
        <v>15</v>
      </c>
      <c r="CM1353" s="50" t="n">
        <f aca="false">ROUNDUP(H1353/BY1353,0)</f>
        <v>1</v>
      </c>
      <c r="CN1353" s="50" t="n">
        <f aca="false">ROUNDUP(CI1353/BY1353,0)</f>
        <v>0</v>
      </c>
      <c r="CO1353" s="53" t="n">
        <f aca="false">IF(BZ1353=1,0,IFERROR(VLOOKUP(BX1353,'Gebinde-Kategorie'!$A$5:$N$45,5,0)+0,0))</f>
        <v>11</v>
      </c>
      <c r="CP1353" s="53" t="n">
        <f aca="false">IFERROR(IF(OR(CE1353=1,CE1353=2,CE1353=3),N(INDEX(Parameter!$I$5:$I$7,CE1353)),0),0)</f>
        <v>0</v>
      </c>
      <c r="CQ1353" s="52" t="n">
        <f aca="false">IF(AND(Parameter!$B$21="Ja",ISNUMBER(W1353),N(X1353)&gt;0),IFERROR(N(INDEX(Parameter!$L$5:$L$7,W1353))*INDEX(Parameter!$E$5:$E$7,W1353)*X1353/SUMIFS($X$7:$X$1843,$W$7:$W$1843,W1353),0),0)</f>
        <v>0</v>
      </c>
    </row>
    <row r="1354" customFormat="false" ht="15" hidden="false" customHeight="false" outlineLevel="0" collapsed="false">
      <c r="A1354" s="48" t="s">
        <v>2397</v>
      </c>
      <c r="B1354" s="48" t="s">
        <v>2398</v>
      </c>
      <c r="C1354" s="48" t="s">
        <v>173</v>
      </c>
      <c r="D1354" s="48" t="s">
        <v>182</v>
      </c>
      <c r="E1354" s="48" t="s">
        <v>194</v>
      </c>
      <c r="F1354" s="48" t="s">
        <v>227</v>
      </c>
      <c r="G1354" s="49" t="n">
        <v>104.19</v>
      </c>
      <c r="H1354" s="50" t="n">
        <f aca="false">MAX(0,IF(AND(Parameter!$B$21="Ja",ISNUMBER(Y1354)),Y1354,IF(Parameter!$B$20="Jahresanfang 2025 + Export",BR1354+BQ1354,BQ1354)))</f>
        <v>147</v>
      </c>
      <c r="I1354" s="50" t="n">
        <f aca="false">H1354*G1354</f>
        <v>15315.93</v>
      </c>
      <c r="J1354" s="50" t="n">
        <f aca="false">BT1354*Parameter!$B$18</f>
        <v>458</v>
      </c>
      <c r="K1354" s="51" t="n">
        <v>140.5</v>
      </c>
      <c r="L1354" s="52" t="n">
        <v>3.25978647686833</v>
      </c>
      <c r="M1354" s="50" t="n">
        <v>26</v>
      </c>
      <c r="N1354" s="50" t="n">
        <v>110</v>
      </c>
      <c r="O1354" s="53" t="n">
        <v>21</v>
      </c>
      <c r="P1354" s="48" t="s">
        <v>183</v>
      </c>
      <c r="Q1354" s="50" t="n">
        <v>56</v>
      </c>
      <c r="R1354" s="53" t="n">
        <f aca="false">IF(BZ1354=1,0,IFERROR(VLOOKUP(BX1354,'Gebinde-Kategorie'!$A$5:$N$45,13,0)+0,0))</f>
        <v>6</v>
      </c>
      <c r="S1354" s="54"/>
      <c r="T1354" s="55"/>
      <c r="U1354" s="55"/>
      <c r="V1354" s="55"/>
      <c r="W1354" s="48"/>
      <c r="X1354" s="50"/>
      <c r="Y1354" s="50"/>
      <c r="Z1354" s="48" t="n">
        <f aca="false">IF(A1354="","",IF(AND(Parameter!$B$21="Ja",ISNUMBER(W1354)),W1354,IF(CC1354="2+3",IF(ISNUMBER(SEARCH("grosser Artikel",BU1354)),2,IFERROR(VLOOKUP(BX1354,Parameter!$F$35:$G$64,2,0),2)),IF(OR(CC1354="Nein",CC1354=""),"-",CC1354))))</f>
        <v>2</v>
      </c>
      <c r="AA1354" s="55"/>
      <c r="AB1354" s="56"/>
      <c r="AC1354" s="50" t="n">
        <f aca="false">AV1354</f>
        <v>280</v>
      </c>
      <c r="AD1354" s="50" t="n">
        <f aca="false">MAX(AV1354,H1354)</f>
        <v>280</v>
      </c>
      <c r="AE1354" s="57"/>
      <c r="AF1354" s="50" t="n">
        <f aca="false">IF(LEFT(Cockpit!$C$5,1)="A",H1354,IF(Parameter!$E$30="MAX-Bestand",IF(CH1354=1,CI1354,IF(LEFT(Cockpit!$C$5,1)="B",AL1354,MAX(AL1354,H1354))),ROUNDUP(AJ1354,0)))</f>
        <v>147</v>
      </c>
      <c r="AG1354" s="50" t="n">
        <f aca="false">IF(BZ1354=1,0,ROUNDUP(AF1354/BY1354,0))</f>
        <v>3</v>
      </c>
      <c r="AH1354" s="52" t="n">
        <f aca="false">IF(CQ1354&gt;0,CQ1354*MAX(1,AF1354/X1354),IF(BZ1354=1,IF(AF1354&lt;=0,0,CD1354*MAX(1,IF(H1354&gt;0,AF1354/H1354,1))),IF(R1354&gt;0,AG1354/R1354,0))/MAX(0.1,N(Parameter!$M$21)))</f>
        <v>0.5</v>
      </c>
      <c r="AI1354" s="50" t="n">
        <f aca="false">AH1354*CB1354</f>
        <v>117.5</v>
      </c>
      <c r="AJ1354" s="51" t="n">
        <f aca="false">IF(LEFT(Cockpit!$C$5,1)="A",H1354,IF(CH1354=1,(CK1354+CI1354)/2,IF(LEFT(Cockpit!$C$5,1)="B",(CK1354+AL1354)/2,MAX((CK1354+AL1354)/2,H1354))))</f>
        <v>147</v>
      </c>
      <c r="AK1354" s="50" t="n">
        <f aca="false">AJ1354*G1354</f>
        <v>15315.93</v>
      </c>
      <c r="AL1354" s="50" t="n">
        <f aca="false">ROUNDUP(CK1354+MAX(CL1354,2*(J1354/IF(CG1354&gt;0,CG1354,MAX(0.1,N(Cockpit!$C$6)))-CK1354)),0)</f>
        <v>280</v>
      </c>
      <c r="AM1354" s="51" t="n">
        <f aca="false">IF(AI1354&gt;0,J1354/AI1354,-1)</f>
        <v>3.89787234042553</v>
      </c>
      <c r="AN1354" s="51" t="n">
        <f aca="false">IF(AND(OR(CF1354="L1",CF1354="L23",CF1354="LIFT"),AI1354&gt;0),SUMIFS($AI$7:$AI$1843,$CF$7:$CF$1843,CF1354,$AM$7:$AM$1843,"&gt;"&amp;AM1354)+SUMIFS($AI$7:$AI$1843,$CF$7:$CF$1843,CF1354,$AM$7:$AM$1843,AM1354,$BW$7:$BW$1843,"&lt;="&amp;BW1354),"")</f>
        <v>4561.55769230769</v>
      </c>
      <c r="AO1354" s="58" t="n">
        <f aca="false">IF(AN1354="",0,MAX(0,MIN(1,(IF(CF1354="L1",Parameter!$H$5,IF(CF1354="L23",Parameter!$H$6+Parameter!$H$7,Parameter!$H$5+Parameter!$H$6+Parameter!$H$7))-(AN1354-AI1354))/AI1354)))</f>
        <v>1</v>
      </c>
      <c r="AP1354" s="50" t="n">
        <f aca="false">IF(LEFT(Cockpit!$I$5,1)="A",H1354,IF(Parameter!$E$30="MAX-Bestand",IF(CH1354=1,CI1354,IF(LEFT(Cockpit!$I$5,1)="B",AV1354,MAX(AV1354,H1354))),ROUNDUP(AT1354,0)))</f>
        <v>153</v>
      </c>
      <c r="AQ1354" s="50" t="n">
        <f aca="false">IF(BZ1354=1,0,ROUNDUP(AP1354/BY1354,0))</f>
        <v>3</v>
      </c>
      <c r="AR1354" s="52" t="n">
        <f aca="false">IF(CQ1354&gt;0,CQ1354*MAX(1,AP1354/X1354),IF(BZ1354=1,IF(AP1354&lt;=0,0,CD1354*MAX(1,IF(H1354&gt;0,AP1354/H1354,1))),IF(R1354&gt;0,AQ1354/R1354,0))/MAX(0.1,N(Parameter!$M$21)))</f>
        <v>0.5</v>
      </c>
      <c r="AS1354" s="50" t="n">
        <f aca="false">AR1354*CB1354</f>
        <v>117.5</v>
      </c>
      <c r="AT1354" s="51" t="n">
        <f aca="false">IF(LEFT(Cockpit!$I$5,1)="A",H1354,IF(CH1354=1,(CK1354+CI1354)/2,IF(LEFT(Cockpit!$I$5,1)="B",(CK1354+AV1354)/2,MAX((CK1354+AV1354)/2,H1354))))</f>
        <v>153</v>
      </c>
      <c r="AU1354" s="50" t="n">
        <f aca="false">AT1354*G1354</f>
        <v>15941.07</v>
      </c>
      <c r="AV1354" s="50" t="n">
        <f aca="false">ROUNDUP(CK1354+MAX(CL1354,2*(J1354/IF(CG1354&gt;0,CG1354,MAX(0.1,N(Cockpit!$I$6)))-CK1354)),0)</f>
        <v>280</v>
      </c>
      <c r="AW1354" s="51" t="n">
        <f aca="false">IF(AS1354&gt;0,J1354/AS1354,-1)</f>
        <v>3.89787234042553</v>
      </c>
      <c r="AX1354" s="51" t="n">
        <f aca="false">IF(AND(OR(CF1354="L1",CF1354="L23",CF1354="LIFT"),AS1354&gt;0),SUMIFS($AS$7:$AS$1843,$CF$7:$CF$1843,CF1354,$AW$7:$AW$1843,"&gt;"&amp;AW1354)+SUMIFS($AS$7:$AS$1843,$CF$7:$CF$1843,CF1354,$AW$7:$AW$1843,AW1354,$BW$7:$BW$1843,"&lt;="&amp;BW1354),"")</f>
        <v>5162.09340659341</v>
      </c>
      <c r="AY1354" s="58" t="n">
        <f aca="false">IF(AX1354="",0,MAX(0,MIN(1,(IF(CF1354="L1",Parameter!$H$5,IF(CF1354="L23",Parameter!$H$6+Parameter!$H$7,Parameter!$H$5+Parameter!$H$6+Parameter!$H$7))-(AX1354-AS1354))/AS1354)))</f>
        <v>1</v>
      </c>
      <c r="AZ1354" s="50" t="n">
        <f aca="false">IF(LEFT(Cockpit!$O$5,1)="A",H1354,IF(Parameter!$E$30="MAX-Bestand",IF(CH1354=1,CI1354,IF(LEFT(Cockpit!$O$5,1)="B",BF1354,MAX(BF1354,H1354))),ROUNDUP(BD1354,0)))</f>
        <v>115</v>
      </c>
      <c r="BA1354" s="50" t="n">
        <f aca="false">IF(BZ1354=1,0,ROUNDUP(AZ1354/BY1354,0))</f>
        <v>3</v>
      </c>
      <c r="BB1354" s="52" t="n">
        <f aca="false">IF(CQ1354&gt;0,CQ1354*MAX(1,AZ1354/X1354),IF(BZ1354=1,IF(AZ1354&lt;=0,0,CD1354*MAX(1,IF(H1354&gt;0,AZ1354/H1354,1))),IF(R1354&gt;0,BA1354/R1354,0))/MAX(0.1,N(Parameter!$M$21)))</f>
        <v>0.5</v>
      </c>
      <c r="BC1354" s="50" t="n">
        <f aca="false">BB1354*CB1354</f>
        <v>117.5</v>
      </c>
      <c r="BD1354" s="51" t="n">
        <f aca="false">IF(LEFT(Cockpit!$O$5,1)="A",H1354,IF(CH1354=1,(CK1354+CI1354)/2,IF(LEFT(Cockpit!$O$5,1)="B",(CK1354+BF1354)/2,MAX((CK1354+BF1354)/2,H1354))))</f>
        <v>114.5</v>
      </c>
      <c r="BE1354" s="50" t="n">
        <f aca="false">BD1354*G1354</f>
        <v>11929.755</v>
      </c>
      <c r="BF1354" s="50" t="n">
        <f aca="false">ROUNDUP(CK1354+MAX(CL1354,2*(J1354/IF(CG1354&gt;0,CG1354,MAX(0.1,N(Cockpit!$O$6)))-CK1354)),0)</f>
        <v>203</v>
      </c>
      <c r="BG1354" s="51" t="n">
        <f aca="false">IF(BC1354&gt;0,J1354/BC1354,-1)</f>
        <v>3.89787234042553</v>
      </c>
      <c r="BH1354" s="51" t="n">
        <f aca="false">IF(AND(OR(CF1354="L1",CF1354="L23",CF1354="LIFT"),BC1354&gt;0),SUMIFS($BC$7:$BC$1843,$CF$7:$CF$1843,CF1354,$BG$7:$BG$1843,"&gt;"&amp;BG1354)+SUMIFS($BC$7:$BC$1843,$CF$7:$CF$1843,CF1354,$BG$7:$BG$1843,BG1354,$BW$7:$BW$1843,"&lt;="&amp;BW1354),"")</f>
        <v>4264.76007326007</v>
      </c>
      <c r="BI1354" s="58" t="n">
        <f aca="false">IF(BH1354="",0,MAX(0,MIN(1,(IF(CF1354="L1",Parameter!$H$5,IF(CF1354="L23",Parameter!$H$6+Parameter!$H$7,Parameter!$H$5+Parameter!$H$6+Parameter!$H$7))-(BH1354-BC1354))/BC1354)))</f>
        <v>1</v>
      </c>
      <c r="BJ1354" s="48" t="str">
        <f aca="false">IF(AI1354&lt;=0,"",IF(CF1354="Aussen","Aussenlager",IF(CF1354="-","Nicht im Lift",IF(AO1354&gt;=1,"Lift",IF(AO1354&lt;=0,"Aussenlager","teilweise")))))</f>
        <v>Lift</v>
      </c>
      <c r="BK1354" s="48" t="str">
        <f aca="false">IF(AS1354&lt;=0,"",IF(CF1354="Aussen","Aussenlager",IF(CF1354="-","Nicht im Lift",IF(AY1354&gt;=1,"Lift",IF(AY1354&lt;=0,"Aussenlager","teilweise")))))</f>
        <v>Lift</v>
      </c>
      <c r="BL1354" s="48" t="str">
        <f aca="false">IF(BC1354&lt;=0,"",IF(CF1354="Aussen","Aussenlager",IF(CF1354="-","Nicht im Lift",IF(BI1354&gt;=1,"Lift",IF(BI1354&lt;=0,"Aussenlager","teilweise")))))</f>
        <v>Lift</v>
      </c>
      <c r="BM1354" s="48" t="str">
        <f aca="false">IF(A1354="","",IF(BV1354=1,"Neu; ","")&amp;IF(AND(BV1354=0,BQ1354&lt;0),"negativer Bestand (Export "&amp;BQ1354&amp;"); ","")&amp;IF(J1354&lt;=0,"Kein Verbrauch; ","")&amp;IF(CQ1354&gt;0,"Lift "&amp;W1354&amp;" lt. Liftbericht (Fach "&amp;X1354&amp;" Stk); ",IF(CA1354=1,"Gebinde geschätzt ("&amp;T1354&amp;"); ",IF(BZ1354=1,"Lose – Tablare geschätzt; ","")))&amp;IF(H1354&gt;AV1354,"Überbestand "&amp;ROUND(H1354-AV1354,0)&amp;" Stk / CHF "&amp;ROUND((H1354-AV1354)*G1354,0)&amp;"; ","")&amp;IF(AND(CH1354=1,CI1354&lt;CJ1354),"MAX &lt; MB+LG; ","")&amp;IF(AND(CP1354&gt;0,CO1354*10&gt;CP1354),"zu hoch für Tablar; ","")&amp;IF(AND(BV1354=0,OR(CH1354=1,AA1354&lt;&gt;"",U1354&lt;&gt;"",V1354&lt;&gt;"",AB1354&lt;&gt;"")),"manuell übersteuert; ","")&amp;IF(AND(BZ1354=0,R1354=0),"Gebinde unbekannt / Stellmass fehlt; ","")&amp;IF(AND(BZ1354=0,N(V1354)&lt;=0,N(Q1354)&lt;=0),"Menge pro Gebinde fehlt (Ist = 1 Gebinde); ","")&amp;BU1354)</f>
        <v>negativer Bestand (Export -4); grosser Artikel &amp; nicht im KTL</v>
      </c>
      <c r="BN1354" s="48"/>
      <c r="BO1354" s="48"/>
      <c r="BP1354" s="55"/>
      <c r="BQ1354" s="50" t="n">
        <v>-4</v>
      </c>
      <c r="BR1354" s="50" t="n">
        <v>151</v>
      </c>
      <c r="BS1354" s="49" t="n">
        <v>-2108.76</v>
      </c>
      <c r="BT1354" s="50" t="n">
        <v>458</v>
      </c>
      <c r="BU1354" s="48" t="s">
        <v>270</v>
      </c>
      <c r="BV1354" s="53" t="n">
        <v>0</v>
      </c>
      <c r="BW1354" s="53" t="n">
        <v>1354</v>
      </c>
      <c r="BX1354" s="48" t="str">
        <f aca="false">IF(U1354&lt;&gt;"",UPPER(TRIM(U1354)),IF(CA1354=1,UPPER(VLOOKUP(T1354,Parameter!$I$27:$K$29,2,0)),IF(P1354="","LOSE",P1354)))</f>
        <v>S71</v>
      </c>
      <c r="BY1354" s="50" t="n">
        <f aca="false">IF(BX1354="LOSE",1,IF(N(V1354)&gt;0,V1354,IF(CA1354=1,MAX(1,N(VLOOKUP(T1354,Parameter!$I$27:$K$29,3,0)),H1354,N(N1354)),IF(N(Q1354)&gt;0,Q1354,MAX(1,H1354)))))</f>
        <v>56</v>
      </c>
      <c r="BZ1354" s="53" t="n">
        <f aca="false">IF(BX1354="LOSE",1,0)</f>
        <v>0</v>
      </c>
      <c r="CA1354" s="53" t="n">
        <f aca="false">IF(AND(U1354="",OR(P1354="",P1354="LOSE"),T1354&lt;&gt;"",N(S1354)&lt;=0,ISNUMBER(MATCH(T1354,Parameter!$I$27:$I$29,0))),1,0)</f>
        <v>0</v>
      </c>
      <c r="CB1354" s="53" t="n">
        <f aca="false">IF(CQ1354&gt;0,INDEX(Parameter!$H$5:$H$7,W1354)/INDEX(Parameter!$E$5:$E$7,W1354),IF(AND(BZ1354=0,N(IFERROR(VLOOKUP(BX1354,'Gebinde-Kategorie'!$A$5:$N$45,14,0),0))&gt;0),VLOOKUP(BX1354,'Gebinde-Kategorie'!$A$5:$N$45,14,0)*10+Parameter!$M$23,Parameter!$M$24))</f>
        <v>235</v>
      </c>
      <c r="CC1354" s="48" t="str">
        <f aca="false">IF(AND(Parameter!$B$19="Ja",E1354&lt;&gt;"",ISNUMBER(MATCH(E1354,Parameter!$I$35:$I$52,0))),VLOOKUP(E1354,Parameter!$I$35:$J$52,2,0),IFERROR(VLOOKUP(D1354,Parameter!$A$35:$C$64,2,0),"Nein"))</f>
        <v>2+3</v>
      </c>
      <c r="CD1354" s="52" t="n">
        <f aca="false">IF(BZ1354=0,0,IF(N(S1354)&gt;0,S1354,IFERROR(VLOOKUP(D1354,Parameter!$A$35:$C$64,3,0)+0,0)))</f>
        <v>0</v>
      </c>
      <c r="CE1354" s="48" t="n">
        <f aca="false">IF(AA1354&lt;&gt;"",AA1354,Z1354)</f>
        <v>2</v>
      </c>
      <c r="CF1354" s="48" t="str">
        <f aca="false">IF(OR(CE1354=1,CE1354=2,CE1354=3),IF(Parameter!$E$27="Ja","LIFT",IF(CE1354=1,"L1","L23")),IF(CE1354="Aussen","Aussen","-"))</f>
        <v>LIFT</v>
      </c>
      <c r="CG1354" s="59" t="n">
        <f aca="false">IF(N(AB1354)&gt;0,AB1354,0)</f>
        <v>0</v>
      </c>
      <c r="CH1354" s="53" t="n">
        <f aca="false">IF(ISNUMBER(AE1354),1,0)</f>
        <v>0</v>
      </c>
      <c r="CI1354" s="50" t="n">
        <f aca="false">N(AE1354)</f>
        <v>0</v>
      </c>
      <c r="CJ1354" s="50" t="n">
        <f aca="false">N(M1354)+N(N1354)</f>
        <v>136</v>
      </c>
      <c r="CK1354" s="50" t="n">
        <f aca="false">N(M1354)</f>
        <v>26</v>
      </c>
      <c r="CL1354" s="50" t="n">
        <f aca="false">N(N1354)</f>
        <v>110</v>
      </c>
      <c r="CM1354" s="50" t="n">
        <f aca="false">ROUNDUP(H1354/BY1354,0)</f>
        <v>3</v>
      </c>
      <c r="CN1354" s="50" t="n">
        <f aca="false">ROUNDUP(CI1354/BY1354,0)</f>
        <v>0</v>
      </c>
      <c r="CO1354" s="53" t="n">
        <f aca="false">IF(BZ1354=1,0,IFERROR(VLOOKUP(BX1354,'Gebinde-Kategorie'!$A$5:$N$45,5,0)+0,0))</f>
        <v>20</v>
      </c>
      <c r="CP1354" s="53" t="n">
        <f aca="false">IFERROR(IF(OR(CE1354=1,CE1354=2,CE1354=3),N(INDEX(Parameter!$I$5:$I$7,CE1354)),0),0)</f>
        <v>0</v>
      </c>
      <c r="CQ1354" s="52" t="n">
        <f aca="false">IF(AND(Parameter!$B$21="Ja",ISNUMBER(W1354),N(X1354)&gt;0),IFERROR(N(INDEX(Parameter!$L$5:$L$7,W1354))*INDEX(Parameter!$E$5:$E$7,W1354)*X1354/SUMIFS($X$7:$X$1843,$W$7:$W$1843,W1354),0),0)</f>
        <v>0</v>
      </c>
    </row>
    <row r="1355" customFormat="false" ht="15" hidden="false" customHeight="false" outlineLevel="0" collapsed="false">
      <c r="A1355" s="48" t="s">
        <v>2399</v>
      </c>
      <c r="B1355" s="48" t="s">
        <v>585</v>
      </c>
      <c r="C1355" s="48" t="s">
        <v>173</v>
      </c>
      <c r="D1355" s="48" t="s">
        <v>193</v>
      </c>
      <c r="E1355" s="48" t="s">
        <v>194</v>
      </c>
      <c r="F1355" s="48" t="s">
        <v>227</v>
      </c>
      <c r="G1355" s="49" t="n">
        <v>440.01</v>
      </c>
      <c r="H1355" s="50" t="n">
        <f aca="false">MAX(0,IF(AND(Parameter!$B$21="Ja",ISNUMBER(Y1355)),Y1355,IF(Parameter!$B$20="Jahresanfang 2025 + Export",BR1355+BQ1355,BQ1355)))</f>
        <v>10</v>
      </c>
      <c r="I1355" s="50" t="n">
        <f aca="false">H1355*G1355</f>
        <v>4400.1</v>
      </c>
      <c r="J1355" s="50" t="n">
        <f aca="false">BT1355*Parameter!$B$18</f>
        <v>9</v>
      </c>
      <c r="K1355" s="51" t="n">
        <v>12.5</v>
      </c>
      <c r="L1355" s="52" t="n">
        <v>0.72</v>
      </c>
      <c r="M1355" s="50" t="n">
        <v>1</v>
      </c>
      <c r="N1355" s="50" t="n">
        <v>5</v>
      </c>
      <c r="O1355" s="53" t="n">
        <v>28</v>
      </c>
      <c r="P1355" s="48" t="s">
        <v>302</v>
      </c>
      <c r="Q1355" s="50" t="n">
        <v>4</v>
      </c>
      <c r="R1355" s="53" t="n">
        <f aca="false">IF(BZ1355=1,0,IFERROR(VLOOKUP(BX1355,'Gebinde-Kategorie'!$A$5:$N$45,13,0)+0,0))</f>
        <v>12</v>
      </c>
      <c r="S1355" s="54"/>
      <c r="T1355" s="55"/>
      <c r="U1355" s="55"/>
      <c r="V1355" s="55"/>
      <c r="W1355" s="48"/>
      <c r="X1355" s="50"/>
      <c r="Y1355" s="50"/>
      <c r="Z1355" s="48" t="n">
        <f aca="false">IF(A1355="","",IF(AND(Parameter!$B$21="Ja",ISNUMBER(W1355)),W1355,IF(CC1355="2+3",IF(ISNUMBER(SEARCH("grosser Artikel",BU1355)),2,IFERROR(VLOOKUP(BX1355,Parameter!$F$35:$G$64,2,0),2)),IF(OR(CC1355="Nein",CC1355=""),"-",CC1355))))</f>
        <v>2</v>
      </c>
      <c r="AA1355" s="55"/>
      <c r="AB1355" s="56"/>
      <c r="AC1355" s="50" t="n">
        <f aca="false">AV1355</f>
        <v>6</v>
      </c>
      <c r="AD1355" s="50" t="n">
        <f aca="false">MAX(AV1355,H1355)</f>
        <v>10</v>
      </c>
      <c r="AE1355" s="57"/>
      <c r="AF1355" s="50" t="n">
        <f aca="false">IF(LEFT(Cockpit!$C$5,1)="A",H1355,IF(Parameter!$E$30="MAX-Bestand",IF(CH1355=1,CI1355,IF(LEFT(Cockpit!$C$5,1)="B",AL1355,MAX(AL1355,H1355))),ROUNDUP(AJ1355,0)))</f>
        <v>10</v>
      </c>
      <c r="AG1355" s="50" t="n">
        <f aca="false">IF(BZ1355=1,0,ROUNDUP(AF1355/BY1355,0))</f>
        <v>3</v>
      </c>
      <c r="AH1355" s="52" t="n">
        <f aca="false">IF(CQ1355&gt;0,CQ1355*MAX(1,AF1355/X1355),IF(BZ1355=1,IF(AF1355&lt;=0,0,CD1355*MAX(1,IF(H1355&gt;0,AF1355/H1355,1))),IF(R1355&gt;0,AG1355/R1355,0))/MAX(0.1,N(Parameter!$M$21)))</f>
        <v>0.25</v>
      </c>
      <c r="AI1355" s="50" t="n">
        <f aca="false">AH1355*CB1355</f>
        <v>61.25</v>
      </c>
      <c r="AJ1355" s="51" t="n">
        <f aca="false">IF(LEFT(Cockpit!$C$5,1)="A",H1355,IF(CH1355=1,(CK1355+CI1355)/2,IF(LEFT(Cockpit!$C$5,1)="B",(CK1355+AL1355)/2,MAX((CK1355+AL1355)/2,H1355))))</f>
        <v>10</v>
      </c>
      <c r="AK1355" s="50" t="n">
        <f aca="false">AJ1355*G1355</f>
        <v>4400.1</v>
      </c>
      <c r="AL1355" s="50" t="n">
        <f aca="false">ROUNDUP(CK1355+MAX(CL1355,2*(J1355/IF(CG1355&gt;0,CG1355,MAX(0.1,N(Cockpit!$C$6)))-CK1355)),0)</f>
        <v>6</v>
      </c>
      <c r="AM1355" s="51" t="n">
        <f aca="false">IF(AI1355&gt;0,J1355/AI1355,-1)</f>
        <v>0.146938775510204</v>
      </c>
      <c r="AN1355" s="51" t="n">
        <f aca="false">IF(AND(OR(CF1355="L1",CF1355="L23",CF1355="LIFT"),AI1355&gt;0),SUMIFS($AI$7:$AI$1843,$CF$7:$CF$1843,CF1355,$AM$7:$AM$1843,"&gt;"&amp;AM1355)+SUMIFS($AI$7:$AI$1843,$CF$7:$CF$1843,CF1355,$AM$7:$AM$1843,AM1355,$BW$7:$BW$1843,"&lt;="&amp;BW1355),"")</f>
        <v>13124.5734644358</v>
      </c>
      <c r="AO1355" s="58" t="n">
        <f aca="false">IF(AN1355="",0,MAX(0,MIN(1,(IF(CF1355="L1",Parameter!$H$5,IF(CF1355="L23",Parameter!$H$6+Parameter!$H$7,Parameter!$H$5+Parameter!$H$6+Parameter!$H$7))-(AN1355-AI1355))/AI1355)))</f>
        <v>1</v>
      </c>
      <c r="AP1355" s="50" t="n">
        <f aca="false">IF(LEFT(Cockpit!$I$5,1)="A",H1355,IF(Parameter!$E$30="MAX-Bestand",IF(CH1355=1,CI1355,IF(LEFT(Cockpit!$I$5,1)="B",AV1355,MAX(AV1355,H1355))),ROUNDUP(AT1355,0)))</f>
        <v>10</v>
      </c>
      <c r="AQ1355" s="50" t="n">
        <f aca="false">IF(BZ1355=1,0,ROUNDUP(AP1355/BY1355,0))</f>
        <v>3</v>
      </c>
      <c r="AR1355" s="52" t="n">
        <f aca="false">IF(CQ1355&gt;0,CQ1355*MAX(1,AP1355/X1355),IF(BZ1355=1,IF(AP1355&lt;=0,0,CD1355*MAX(1,IF(H1355&gt;0,AP1355/H1355,1))),IF(R1355&gt;0,AQ1355/R1355,0))/MAX(0.1,N(Parameter!$M$21)))</f>
        <v>0.25</v>
      </c>
      <c r="AS1355" s="50" t="n">
        <f aca="false">AR1355*CB1355</f>
        <v>61.25</v>
      </c>
      <c r="AT1355" s="51" t="n">
        <f aca="false">IF(LEFT(Cockpit!$I$5,1)="A",H1355,IF(CH1355=1,(CK1355+CI1355)/2,IF(LEFT(Cockpit!$I$5,1)="B",(CK1355+AV1355)/2,MAX((CK1355+AV1355)/2,H1355))))</f>
        <v>10</v>
      </c>
      <c r="AU1355" s="50" t="n">
        <f aca="false">AT1355*G1355</f>
        <v>4400.1</v>
      </c>
      <c r="AV1355" s="50" t="n">
        <f aca="false">ROUNDUP(CK1355+MAX(CL1355,2*(J1355/IF(CG1355&gt;0,CG1355,MAX(0.1,N(Cockpit!$I$6)))-CK1355)),0)</f>
        <v>6</v>
      </c>
      <c r="AW1355" s="51" t="n">
        <f aca="false">IF(AS1355&gt;0,J1355/AS1355,-1)</f>
        <v>0.146938775510204</v>
      </c>
      <c r="AX1355" s="51" t="n">
        <f aca="false">IF(AND(OR(CF1355="L1",CF1355="L23",CF1355="LIFT"),AS1355&gt;0),SUMIFS($AS$7:$AS$1843,$CF$7:$CF$1843,CF1355,$AW$7:$AW$1843,"&gt;"&amp;AW1355)+SUMIFS($AS$7:$AS$1843,$CF$7:$CF$1843,CF1355,$AW$7:$AW$1843,AW1355,$BW$7:$BW$1843,"&lt;="&amp;BW1355),"")</f>
        <v>17148.9721058132</v>
      </c>
      <c r="AY1355" s="58" t="n">
        <f aca="false">IF(AX1355="",0,MAX(0,MIN(1,(IF(CF1355="L1",Parameter!$H$5,IF(CF1355="L23",Parameter!$H$6+Parameter!$H$7,Parameter!$H$5+Parameter!$H$6+Parameter!$H$7))-(AX1355-AS1355))/AS1355)))</f>
        <v>1</v>
      </c>
      <c r="AZ1355" s="50" t="n">
        <f aca="false">IF(LEFT(Cockpit!$O$5,1)="A",H1355,IF(Parameter!$E$30="MAX-Bestand",IF(CH1355=1,CI1355,IF(LEFT(Cockpit!$O$5,1)="B",BF1355,MAX(BF1355,H1355))),ROUNDUP(BD1355,0)))</f>
        <v>4</v>
      </c>
      <c r="BA1355" s="50" t="n">
        <f aca="false">IF(BZ1355=1,0,ROUNDUP(AZ1355/BY1355,0))</f>
        <v>1</v>
      </c>
      <c r="BB1355" s="52" t="n">
        <f aca="false">IF(CQ1355&gt;0,CQ1355*MAX(1,AZ1355/X1355),IF(BZ1355=1,IF(AZ1355&lt;=0,0,CD1355*MAX(1,IF(H1355&gt;0,AZ1355/H1355,1))),IF(R1355&gt;0,BA1355/R1355,0))/MAX(0.1,N(Parameter!$M$21)))</f>
        <v>0.0833333333333333</v>
      </c>
      <c r="BC1355" s="50" t="n">
        <f aca="false">BB1355*CB1355</f>
        <v>20.4166666666667</v>
      </c>
      <c r="BD1355" s="51" t="n">
        <f aca="false">IF(LEFT(Cockpit!$O$5,1)="A",H1355,IF(CH1355=1,(CK1355+CI1355)/2,IF(LEFT(Cockpit!$O$5,1)="B",(CK1355+BF1355)/2,MAX((CK1355+BF1355)/2,H1355))))</f>
        <v>3.5</v>
      </c>
      <c r="BE1355" s="50" t="n">
        <f aca="false">BD1355*G1355</f>
        <v>1540.035</v>
      </c>
      <c r="BF1355" s="50" t="n">
        <f aca="false">ROUNDUP(CK1355+MAX(CL1355,2*(J1355/IF(CG1355&gt;0,CG1355,MAX(0.1,N(Cockpit!$O$6)))-CK1355)),0)</f>
        <v>6</v>
      </c>
      <c r="BG1355" s="51" t="n">
        <f aca="false">IF(BC1355&gt;0,J1355/BC1355,-1)</f>
        <v>0.440816326530612</v>
      </c>
      <c r="BH1355" s="51" t="n">
        <f aca="false">IF(AND(OR(CF1355="L1",CF1355="L23",CF1355="LIFT"),BC1355&gt;0),SUMIFS($BC$7:$BC$1843,$CF$7:$CF$1843,CF1355,$BG$7:$BG$1843,"&gt;"&amp;BG1355)+SUMIFS($BC$7:$BC$1843,$CF$7:$CF$1843,CF1355,$BG$7:$BG$1843,BG1355,$BW$7:$BW$1843,"&lt;="&amp;BW1355),"")</f>
        <v>10597.0132783883</v>
      </c>
      <c r="BI1355" s="58" t="n">
        <f aca="false">IF(BH1355="",0,MAX(0,MIN(1,(IF(CF1355="L1",Parameter!$H$5,IF(CF1355="L23",Parameter!$H$6+Parameter!$H$7,Parameter!$H$5+Parameter!$H$6+Parameter!$H$7))-(BH1355-BC1355))/BC1355)))</f>
        <v>1</v>
      </c>
      <c r="BJ1355" s="48" t="str">
        <f aca="false">IF(AI1355&lt;=0,"",IF(CF1355="Aussen","Aussenlager",IF(CF1355="-","Nicht im Lift",IF(AO1355&gt;=1,"Lift",IF(AO1355&lt;=0,"Aussenlager","teilweise")))))</f>
        <v>Lift</v>
      </c>
      <c r="BK1355" s="48" t="str">
        <f aca="false">IF(AS1355&lt;=0,"",IF(CF1355="Aussen","Aussenlager",IF(CF1355="-","Nicht im Lift",IF(AY1355&gt;=1,"Lift",IF(AY1355&lt;=0,"Aussenlager","teilweise")))))</f>
        <v>Lift</v>
      </c>
      <c r="BL1355" s="48" t="str">
        <f aca="false">IF(BC1355&lt;=0,"",IF(CF1355="Aussen","Aussenlager",IF(CF1355="-","Nicht im Lift",IF(BI1355&gt;=1,"Lift",IF(BI1355&lt;=0,"Aussenlager","teilweise")))))</f>
        <v>Lift</v>
      </c>
      <c r="BM1355" s="48" t="str">
        <f aca="false">IF(A1355="","",IF(BV1355=1,"Neu; ","")&amp;IF(AND(BV1355=0,BQ1355&lt;0),"negativer Bestand (Export "&amp;BQ1355&amp;"); ","")&amp;IF(J1355&lt;=0,"Kein Verbrauch; ","")&amp;IF(CQ1355&gt;0,"Lift "&amp;W1355&amp;" lt. Liftbericht (Fach "&amp;X1355&amp;" Stk); ",IF(CA1355=1,"Gebinde geschätzt ("&amp;T1355&amp;"); ",IF(BZ1355=1,"Lose – Tablare geschätzt; ","")))&amp;IF(H1355&gt;AV1355,"Überbestand "&amp;ROUND(H1355-AV1355,0)&amp;" Stk / CHF "&amp;ROUND((H1355-AV1355)*G1355,0)&amp;"; ","")&amp;IF(AND(CH1355=1,CI1355&lt;CJ1355),"MAX &lt; MB+LG; ","")&amp;IF(AND(CP1355&gt;0,CO1355*10&gt;CP1355),"zu hoch für Tablar; ","")&amp;IF(AND(BV1355=0,OR(CH1355=1,AA1355&lt;&gt;"",U1355&lt;&gt;"",V1355&lt;&gt;"",AB1355&lt;&gt;"")),"manuell übersteuert; ","")&amp;IF(AND(BZ1355=0,R1355=0),"Gebinde unbekannt / Stellmass fehlt; ","")&amp;IF(AND(BZ1355=0,N(V1355)&lt;=0,N(Q1355)&lt;=0),"Menge pro Gebinde fehlt (Ist = 1 Gebinde); ","")&amp;BU1355)</f>
        <v>negativer Bestand (Export -5); Überbestand 4 Stk / CHF 1760; </v>
      </c>
      <c r="BN1355" s="48"/>
      <c r="BO1355" s="48"/>
      <c r="BP1355" s="55"/>
      <c r="BQ1355" s="50" t="n">
        <v>-5</v>
      </c>
      <c r="BR1355" s="50" t="n">
        <v>15</v>
      </c>
      <c r="BS1355" s="49" t="n">
        <v>-2167.05</v>
      </c>
      <c r="BT1355" s="50" t="n">
        <v>9</v>
      </c>
      <c r="BU1355" s="48"/>
      <c r="BV1355" s="53" t="n">
        <v>0</v>
      </c>
      <c r="BW1355" s="53" t="n">
        <v>1355</v>
      </c>
      <c r="BX1355" s="48" t="str">
        <f aca="false">IF(U1355&lt;&gt;"",UPPER(TRIM(U1355)),IF(CA1355=1,UPPER(VLOOKUP(T1355,Parameter!$I$27:$K$29,2,0)),IF(P1355="","LOSE",P1355)))</f>
        <v>S62</v>
      </c>
      <c r="BY1355" s="50" t="n">
        <f aca="false">IF(BX1355="LOSE",1,IF(N(V1355)&gt;0,V1355,IF(CA1355=1,MAX(1,N(VLOOKUP(T1355,Parameter!$I$27:$K$29,3,0)),H1355,N(N1355)),IF(N(Q1355)&gt;0,Q1355,MAX(1,H1355)))))</f>
        <v>4</v>
      </c>
      <c r="BZ1355" s="53" t="n">
        <f aca="false">IF(BX1355="LOSE",1,0)</f>
        <v>0</v>
      </c>
      <c r="CA1355" s="53" t="n">
        <f aca="false">IF(AND(U1355="",OR(P1355="",P1355="LOSE"),T1355&lt;&gt;"",N(S1355)&lt;=0,ISNUMBER(MATCH(T1355,Parameter!$I$27:$I$29,0))),1,0)</f>
        <v>0</v>
      </c>
      <c r="CB1355" s="53" t="n">
        <f aca="false">IF(CQ1355&gt;0,INDEX(Parameter!$H$5:$H$7,W1355)/INDEX(Parameter!$E$5:$E$7,W1355),IF(AND(BZ1355=0,N(IFERROR(VLOOKUP(BX1355,'Gebinde-Kategorie'!$A$5:$N$45,14,0),0))&gt;0),VLOOKUP(BX1355,'Gebinde-Kategorie'!$A$5:$N$45,14,0)*10+Parameter!$M$23,Parameter!$M$24))</f>
        <v>245</v>
      </c>
      <c r="CC1355" s="48" t="str">
        <f aca="false">IF(AND(Parameter!$B$19="Ja",E1355&lt;&gt;"",ISNUMBER(MATCH(E1355,Parameter!$I$35:$I$52,0))),VLOOKUP(E1355,Parameter!$I$35:$J$52,2,0),IFERROR(VLOOKUP(D1355,Parameter!$A$35:$C$64,2,0),"Nein"))</f>
        <v>2+3</v>
      </c>
      <c r="CD1355" s="52" t="n">
        <f aca="false">IF(BZ1355=0,0,IF(N(S1355)&gt;0,S1355,IFERROR(VLOOKUP(D1355,Parameter!$A$35:$C$64,3,0)+0,0)))</f>
        <v>0</v>
      </c>
      <c r="CE1355" s="48" t="n">
        <f aca="false">IF(AA1355&lt;&gt;"",AA1355,Z1355)</f>
        <v>2</v>
      </c>
      <c r="CF1355" s="48" t="str">
        <f aca="false">IF(OR(CE1355=1,CE1355=2,CE1355=3),IF(Parameter!$E$27="Ja","LIFT",IF(CE1355=1,"L1","L23")),IF(CE1355="Aussen","Aussen","-"))</f>
        <v>LIFT</v>
      </c>
      <c r="CG1355" s="59" t="n">
        <f aca="false">IF(N(AB1355)&gt;0,AB1355,0)</f>
        <v>0</v>
      </c>
      <c r="CH1355" s="53" t="n">
        <f aca="false">IF(ISNUMBER(AE1355),1,0)</f>
        <v>0</v>
      </c>
      <c r="CI1355" s="50" t="n">
        <f aca="false">N(AE1355)</f>
        <v>0</v>
      </c>
      <c r="CJ1355" s="50" t="n">
        <f aca="false">N(M1355)+N(N1355)</f>
        <v>6</v>
      </c>
      <c r="CK1355" s="50" t="n">
        <f aca="false">N(M1355)</f>
        <v>1</v>
      </c>
      <c r="CL1355" s="50" t="n">
        <f aca="false">N(N1355)</f>
        <v>5</v>
      </c>
      <c r="CM1355" s="50" t="n">
        <f aca="false">ROUNDUP(H1355/BY1355,0)</f>
        <v>3</v>
      </c>
      <c r="CN1355" s="50" t="n">
        <f aca="false">ROUNDUP(CI1355/BY1355,0)</f>
        <v>0</v>
      </c>
      <c r="CO1355" s="53" t="n">
        <f aca="false">IF(BZ1355=1,0,IFERROR(VLOOKUP(BX1355,'Gebinde-Kategorie'!$A$5:$N$45,5,0)+0,0))</f>
        <v>21</v>
      </c>
      <c r="CP1355" s="53" t="n">
        <f aca="false">IFERROR(IF(OR(CE1355=1,CE1355=2,CE1355=3),N(INDEX(Parameter!$I$5:$I$7,CE1355)),0),0)</f>
        <v>0</v>
      </c>
      <c r="CQ1355" s="52" t="n">
        <f aca="false">IF(AND(Parameter!$B$21="Ja",ISNUMBER(W1355),N(X1355)&gt;0),IFERROR(N(INDEX(Parameter!$L$5:$L$7,W1355))*INDEX(Parameter!$E$5:$E$7,W1355)*X1355/SUMIFS($X$7:$X$1843,$W$7:$W$1843,W1355),0),0)</f>
        <v>0</v>
      </c>
    </row>
    <row r="1356" customFormat="false" ht="15" hidden="false" customHeight="false" outlineLevel="0" collapsed="false">
      <c r="A1356" s="48" t="s">
        <v>2400</v>
      </c>
      <c r="B1356" s="48" t="s">
        <v>2401</v>
      </c>
      <c r="C1356" s="48" t="s">
        <v>173</v>
      </c>
      <c r="D1356" s="48" t="s">
        <v>182</v>
      </c>
      <c r="E1356" s="48" t="s">
        <v>182</v>
      </c>
      <c r="F1356" s="48" t="s">
        <v>227</v>
      </c>
      <c r="G1356" s="49" t="n">
        <v>2251.23</v>
      </c>
      <c r="H1356" s="50" t="n">
        <f aca="false">MAX(0,IF(AND(Parameter!$B$21="Ja",ISNUMBER(Y1356)),Y1356,IF(Parameter!$B$20="Jahresanfang 2025 + Export",BR1356+BQ1356,BQ1356)))</f>
        <v>1</v>
      </c>
      <c r="I1356" s="50" t="n">
        <f aca="false">H1356*G1356</f>
        <v>2251.23</v>
      </c>
      <c r="J1356" s="50" t="n">
        <f aca="false">BT1356*Parameter!$B$18</f>
        <v>2</v>
      </c>
      <c r="K1356" s="51" t="n">
        <v>2.5</v>
      </c>
      <c r="L1356" s="52" t="n">
        <v>0.8</v>
      </c>
      <c r="M1356" s="50" t="n">
        <v>1</v>
      </c>
      <c r="N1356" s="50" t="n">
        <v>1</v>
      </c>
      <c r="O1356" s="53" t="n">
        <v>56</v>
      </c>
      <c r="P1356" s="48" t="s">
        <v>177</v>
      </c>
      <c r="Q1356" s="50"/>
      <c r="R1356" s="53" t="n">
        <f aca="false">IF(BZ1356=1,0,IFERROR(VLOOKUP(BX1356,'Gebinde-Kategorie'!$A$5:$N$45,13,0)+0,0))</f>
        <v>0</v>
      </c>
      <c r="S1356" s="54"/>
      <c r="T1356" s="55"/>
      <c r="U1356" s="55"/>
      <c r="V1356" s="55"/>
      <c r="W1356" s="48" t="n">
        <v>1</v>
      </c>
      <c r="X1356" s="50" t="n">
        <v>3</v>
      </c>
      <c r="Y1356" s="50" t="n">
        <v>1</v>
      </c>
      <c r="Z1356" s="48" t="n">
        <f aca="false">IF(A1356="","",IF(AND(Parameter!$B$21="Ja",ISNUMBER(W1356)),W1356,IF(CC1356="2+3",IF(ISNUMBER(SEARCH("grosser Artikel",BU1356)),2,IFERROR(VLOOKUP(BX1356,Parameter!$F$35:$G$64,2,0),2)),IF(OR(CC1356="Nein",CC1356=""),"-",CC1356))))</f>
        <v>1</v>
      </c>
      <c r="AA1356" s="55"/>
      <c r="AB1356" s="56"/>
      <c r="AC1356" s="50" t="n">
        <f aca="false">AV1356</f>
        <v>2</v>
      </c>
      <c r="AD1356" s="50" t="n">
        <f aca="false">MAX(AV1356,H1356)</f>
        <v>2</v>
      </c>
      <c r="AE1356" s="57"/>
      <c r="AF1356" s="50" t="n">
        <f aca="false">IF(LEFT(Cockpit!$C$5,1)="A",H1356,IF(Parameter!$E$30="MAX-Bestand",IF(CH1356=1,CI1356,IF(LEFT(Cockpit!$C$5,1)="B",AL1356,MAX(AL1356,H1356))),ROUNDUP(AJ1356,0)))</f>
        <v>1</v>
      </c>
      <c r="AG1356" s="50" t="n">
        <f aca="false">IF(BZ1356=1,0,ROUNDUP(AF1356/BY1356,0))</f>
        <v>0</v>
      </c>
      <c r="AH1356" s="52" t="n">
        <f aca="false">IF(CQ1356&gt;0,CQ1356*MAX(1,AF1356/X1356),IF(BZ1356=1,IF(AF1356&lt;=0,0,CD1356*MAX(1,IF(H1356&gt;0,AF1356/H1356,1))),IF(R1356&gt;0,AG1356/R1356,0))/MAX(0.1,N(Parameter!$M$21)))</f>
        <v>0.240112994350283</v>
      </c>
      <c r="AI1356" s="50" t="n">
        <f aca="false">AH1356*CB1356</f>
        <v>57.1468926553672</v>
      </c>
      <c r="AJ1356" s="51" t="n">
        <f aca="false">IF(LEFT(Cockpit!$C$5,1)="A",H1356,IF(CH1356=1,(CK1356+CI1356)/2,IF(LEFT(Cockpit!$C$5,1)="B",(CK1356+AL1356)/2,MAX((CK1356+AL1356)/2,H1356))))</f>
        <v>1</v>
      </c>
      <c r="AK1356" s="50" t="n">
        <f aca="false">AJ1356*G1356</f>
        <v>2251.23</v>
      </c>
      <c r="AL1356" s="50" t="n">
        <f aca="false">ROUNDUP(CK1356+MAX(CL1356,2*(J1356/IF(CG1356&gt;0,CG1356,MAX(0.1,N(Cockpit!$C$6)))-CK1356)),0)</f>
        <v>2</v>
      </c>
      <c r="AM1356" s="51" t="n">
        <f aca="false">IF(AI1356&gt;0,J1356/AI1356,-1)</f>
        <v>0.034997528423134</v>
      </c>
      <c r="AN1356" s="51" t="n">
        <f aca="false">IF(AND(OR(CF1356="L1",CF1356="L23",CF1356="LIFT"),AI1356&gt;0),SUMIFS($AI$7:$AI$1843,$CF$7:$CF$1843,CF1356,$AM$7:$AM$1843,"&gt;"&amp;AM1356)+SUMIFS($AI$7:$AI$1843,$CF$7:$CF$1843,CF1356,$AM$7:$AM$1843,AM1356,$BW$7:$BW$1843,"&lt;="&amp;BW1356),"")</f>
        <v>19923.6209800087</v>
      </c>
      <c r="AO1356" s="58" t="n">
        <f aca="false">IF(AN1356="",0,MAX(0,MIN(1,(IF(CF1356="L1",Parameter!$H$5,IF(CF1356="L23",Parameter!$H$6+Parameter!$H$7,Parameter!$H$5+Parameter!$H$6+Parameter!$H$7))-(AN1356-AI1356))/AI1356)))</f>
        <v>1</v>
      </c>
      <c r="AP1356" s="50" t="n">
        <f aca="false">IF(LEFT(Cockpit!$I$5,1)="A",H1356,IF(Parameter!$E$30="MAX-Bestand",IF(CH1356=1,CI1356,IF(LEFT(Cockpit!$I$5,1)="B",AV1356,MAX(AV1356,H1356))),ROUNDUP(AT1356,0)))</f>
        <v>2</v>
      </c>
      <c r="AQ1356" s="50" t="n">
        <f aca="false">IF(BZ1356=1,0,ROUNDUP(AP1356/BY1356,0))</f>
        <v>0</v>
      </c>
      <c r="AR1356" s="52" t="n">
        <f aca="false">IF(CQ1356&gt;0,CQ1356*MAX(1,AP1356/X1356),IF(BZ1356=1,IF(AP1356&lt;=0,0,CD1356*MAX(1,IF(H1356&gt;0,AP1356/H1356,1))),IF(R1356&gt;0,AQ1356/R1356,0))/MAX(0.1,N(Parameter!$M$21)))</f>
        <v>0.240112994350283</v>
      </c>
      <c r="AS1356" s="50" t="n">
        <f aca="false">AR1356*CB1356</f>
        <v>57.1468926553672</v>
      </c>
      <c r="AT1356" s="51" t="n">
        <f aca="false">IF(LEFT(Cockpit!$I$5,1)="A",H1356,IF(CH1356=1,(CK1356+CI1356)/2,IF(LEFT(Cockpit!$I$5,1)="B",(CK1356+AV1356)/2,MAX((CK1356+AV1356)/2,H1356))))</f>
        <v>1.5</v>
      </c>
      <c r="AU1356" s="50" t="n">
        <f aca="false">AT1356*G1356</f>
        <v>3376.845</v>
      </c>
      <c r="AV1356" s="50" t="n">
        <f aca="false">ROUNDUP(CK1356+MAX(CL1356,2*(J1356/IF(CG1356&gt;0,CG1356,MAX(0.1,N(Cockpit!$I$6)))-CK1356)),0)</f>
        <v>2</v>
      </c>
      <c r="AW1356" s="51" t="n">
        <f aca="false">IF(AS1356&gt;0,J1356/AS1356,-1)</f>
        <v>0.034997528423134</v>
      </c>
      <c r="AX1356" s="51" t="n">
        <f aca="false">IF(AND(OR(CF1356="L1",CF1356="L23",CF1356="LIFT"),AS1356&gt;0),SUMIFS($AS$7:$AS$1843,$CF$7:$CF$1843,CF1356,$AW$7:$AW$1843,"&gt;"&amp;AW1356)+SUMIFS($AS$7:$AS$1843,$CF$7:$CF$1843,CF1356,$AW$7:$AW$1843,AW1356,$BW$7:$BW$1843,"&lt;="&amp;BW1356),"")</f>
        <v>24983.0196213861</v>
      </c>
      <c r="AY1356" s="58" t="n">
        <f aca="false">IF(AX1356="",0,MAX(0,MIN(1,(IF(CF1356="L1",Parameter!$H$5,IF(CF1356="L23",Parameter!$H$6+Parameter!$H$7,Parameter!$H$5+Parameter!$H$6+Parameter!$H$7))-(AX1356-AS1356))/AS1356)))</f>
        <v>1</v>
      </c>
      <c r="AZ1356" s="50" t="n">
        <f aca="false">IF(LEFT(Cockpit!$O$5,1)="A",H1356,IF(Parameter!$E$30="MAX-Bestand",IF(CH1356=1,CI1356,IF(LEFT(Cockpit!$O$5,1)="B",BF1356,MAX(BF1356,H1356))),ROUNDUP(BD1356,0)))</f>
        <v>2</v>
      </c>
      <c r="BA1356" s="50" t="n">
        <f aca="false">IF(BZ1356=1,0,ROUNDUP(AZ1356/BY1356,0))</f>
        <v>0</v>
      </c>
      <c r="BB1356" s="52" t="n">
        <f aca="false">IF(CQ1356&gt;0,CQ1356*MAX(1,AZ1356/X1356),IF(BZ1356=1,IF(AZ1356&lt;=0,0,CD1356*MAX(1,IF(H1356&gt;0,AZ1356/H1356,1))),IF(R1356&gt;0,BA1356/R1356,0))/MAX(0.1,N(Parameter!$M$21)))</f>
        <v>0.240112994350283</v>
      </c>
      <c r="BC1356" s="50" t="n">
        <f aca="false">BB1356*CB1356</f>
        <v>57.1468926553672</v>
      </c>
      <c r="BD1356" s="51" t="n">
        <f aca="false">IF(LEFT(Cockpit!$O$5,1)="A",H1356,IF(CH1356=1,(CK1356+CI1356)/2,IF(LEFT(Cockpit!$O$5,1)="B",(CK1356+BF1356)/2,MAX((CK1356+BF1356)/2,H1356))))</f>
        <v>1.5</v>
      </c>
      <c r="BE1356" s="50" t="n">
        <f aca="false">BD1356*G1356</f>
        <v>3376.845</v>
      </c>
      <c r="BF1356" s="50" t="n">
        <f aca="false">ROUNDUP(CK1356+MAX(CL1356,2*(J1356/IF(CG1356&gt;0,CG1356,MAX(0.1,N(Cockpit!$O$6)))-CK1356)),0)</f>
        <v>2</v>
      </c>
      <c r="BG1356" s="51" t="n">
        <f aca="false">IF(BC1356&gt;0,J1356/BC1356,-1)</f>
        <v>0.034997528423134</v>
      </c>
      <c r="BH1356" s="51" t="n">
        <f aca="false">IF(AND(OR(CF1356="L1",CF1356="L23",CF1356="LIFT"),BC1356&gt;0),SUMIFS($BC$7:$BC$1843,$CF$7:$CF$1843,CF1356,$BG$7:$BG$1843,"&gt;"&amp;BG1356)+SUMIFS($BC$7:$BC$1843,$CF$7:$CF$1843,CF1356,$BG$7:$BG$1843,BG1356,$BW$7:$BW$1843,"&lt;="&amp;BW1356),"")</f>
        <v>20832.9347980174</v>
      </c>
      <c r="BI1356" s="58" t="n">
        <f aca="false">IF(BH1356="",0,MAX(0,MIN(1,(IF(CF1356="L1",Parameter!$H$5,IF(CF1356="L23",Parameter!$H$6+Parameter!$H$7,Parameter!$H$5+Parameter!$H$6+Parameter!$H$7))-(BH1356-BC1356))/BC1356)))</f>
        <v>1</v>
      </c>
      <c r="BJ1356" s="48" t="str">
        <f aca="false">IF(AI1356&lt;=0,"",IF(CF1356="Aussen","Aussenlager",IF(CF1356="-","Nicht im Lift",IF(AO1356&gt;=1,"Lift",IF(AO1356&lt;=0,"Aussenlager","teilweise")))))</f>
        <v>Lift</v>
      </c>
      <c r="BK1356" s="48" t="str">
        <f aca="false">IF(AS1356&lt;=0,"",IF(CF1356="Aussen","Aussenlager",IF(CF1356="-","Nicht im Lift",IF(AY1356&gt;=1,"Lift",IF(AY1356&lt;=0,"Aussenlager","teilweise")))))</f>
        <v>Lift</v>
      </c>
      <c r="BL1356" s="48" t="str">
        <f aca="false">IF(BC1356&lt;=0,"",IF(CF1356="Aussen","Aussenlager",IF(CF1356="-","Nicht im Lift",IF(BI1356&gt;=1,"Lift",IF(BI1356&lt;=0,"Aussenlager","teilweise")))))</f>
        <v>Lift</v>
      </c>
      <c r="BM1356" s="48" t="str">
        <f aca="false">IF(A1356="","",IF(BV1356=1,"Neu; ","")&amp;IF(AND(BV1356=0,BQ1356&lt;0),"negativer Bestand (Export "&amp;BQ1356&amp;"); ","")&amp;IF(J1356&lt;=0,"Kein Verbrauch; ","")&amp;IF(CQ1356&gt;0,"Lift "&amp;W1356&amp;" lt. Liftbericht (Fach "&amp;X1356&amp;" Stk); ",IF(CA1356=1,"Gebinde geschätzt ("&amp;T1356&amp;"); ",IF(BZ1356=1,"Lose – Tablare geschätzt; ","")))&amp;IF(H1356&gt;AV1356,"Überbestand "&amp;ROUND(H1356-AV1356,0)&amp;" Stk / CHF "&amp;ROUND((H1356-AV1356)*G1356,0)&amp;"; ","")&amp;IF(AND(CH1356=1,CI1356&lt;CJ1356),"MAX &lt; MB+LG; ","")&amp;IF(AND(CP1356&gt;0,CO1356*10&gt;CP1356),"zu hoch für Tablar; ","")&amp;IF(AND(BV1356=0,OR(CH1356=1,AA1356&lt;&gt;"",U1356&lt;&gt;"",V1356&lt;&gt;"",AB1356&lt;&gt;"")),"manuell übersteuert; ","")&amp;IF(AND(BZ1356=0,R1356=0),"Gebinde unbekannt / Stellmass fehlt; ","")&amp;IF(AND(BZ1356=0,N(V1356)&lt;=0,N(Q1356)&lt;=0),"Menge pro Gebinde fehlt (Ist = 1 Gebinde); ","")&amp;BU1356)</f>
        <v>negativer Bestand (Export -1); Lift 1 lt. Liftbericht (Fach 3 Stk); </v>
      </c>
      <c r="BN1356" s="48"/>
      <c r="BO1356" s="48"/>
      <c r="BP1356" s="55"/>
      <c r="BQ1356" s="50" t="n">
        <v>-1</v>
      </c>
      <c r="BR1356" s="50" t="n">
        <v>2</v>
      </c>
      <c r="BS1356" s="49" t="n">
        <v>-2169.73</v>
      </c>
      <c r="BT1356" s="50" t="n">
        <v>2</v>
      </c>
      <c r="BU1356" s="48"/>
      <c r="BV1356" s="53" t="n">
        <v>0</v>
      </c>
      <c r="BW1356" s="53" t="n">
        <v>1356</v>
      </c>
      <c r="BX1356" s="48" t="str">
        <f aca="false">IF(U1356&lt;&gt;"",UPPER(TRIM(U1356)),IF(CA1356=1,UPPER(VLOOKUP(T1356,Parameter!$I$27:$K$29,2,0)),IF(P1356="","LOSE",P1356)))</f>
        <v>LOSE</v>
      </c>
      <c r="BY1356" s="50" t="n">
        <f aca="false">IF(BX1356="LOSE",1,IF(N(V1356)&gt;0,V1356,IF(CA1356=1,MAX(1,N(VLOOKUP(T1356,Parameter!$I$27:$K$29,3,0)),H1356,N(N1356)),IF(N(Q1356)&gt;0,Q1356,MAX(1,H1356)))))</f>
        <v>1</v>
      </c>
      <c r="BZ1356" s="53" t="n">
        <f aca="false">IF(BX1356="LOSE",1,0)</f>
        <v>1</v>
      </c>
      <c r="CA1356" s="53" t="n">
        <f aca="false">IF(AND(U1356="",OR(P1356="",P1356="LOSE"),T1356&lt;&gt;"",N(S1356)&lt;=0,ISNUMBER(MATCH(T1356,Parameter!$I$27:$I$29,0))),1,0)</f>
        <v>0</v>
      </c>
      <c r="CB1356" s="53" t="n">
        <f aca="false">IF(CQ1356&gt;0,INDEX(Parameter!$H$5:$H$7,W1356)/INDEX(Parameter!$E$5:$E$7,W1356),IF(AND(BZ1356=0,N(IFERROR(VLOOKUP(BX1356,'Gebinde-Kategorie'!$A$5:$N$45,14,0),0))&gt;0),VLOOKUP(BX1356,'Gebinde-Kategorie'!$A$5:$N$45,14,0)*10+Parameter!$M$23,Parameter!$M$24))</f>
        <v>238</v>
      </c>
      <c r="CC1356" s="48" t="str">
        <f aca="false">IF(AND(Parameter!$B$19="Ja",E1356&lt;&gt;"",ISNUMBER(MATCH(E1356,Parameter!$I$35:$I$52,0))),VLOOKUP(E1356,Parameter!$I$35:$J$52,2,0),IFERROR(VLOOKUP(D1356,Parameter!$A$35:$C$64,2,0),"Nein"))</f>
        <v>Nein</v>
      </c>
      <c r="CD1356" s="52" t="n">
        <f aca="false">IF(BZ1356=0,0,IF(N(S1356)&gt;0,S1356,IFERROR(VLOOKUP(D1356,Parameter!$A$35:$C$64,3,0)+0,0)))</f>
        <v>0.15</v>
      </c>
      <c r="CE1356" s="48" t="n">
        <f aca="false">IF(AA1356&lt;&gt;"",AA1356,Z1356)</f>
        <v>1</v>
      </c>
      <c r="CF1356" s="48" t="str">
        <f aca="false">IF(OR(CE1356=1,CE1356=2,CE1356=3),IF(Parameter!$E$27="Ja","LIFT",IF(CE1356=1,"L1","L23")),IF(CE1356="Aussen","Aussen","-"))</f>
        <v>LIFT</v>
      </c>
      <c r="CG1356" s="59" t="n">
        <f aca="false">IF(N(AB1356)&gt;0,AB1356,0)</f>
        <v>0</v>
      </c>
      <c r="CH1356" s="53" t="n">
        <f aca="false">IF(ISNUMBER(AE1356),1,0)</f>
        <v>0</v>
      </c>
      <c r="CI1356" s="50" t="n">
        <f aca="false">N(AE1356)</f>
        <v>0</v>
      </c>
      <c r="CJ1356" s="50" t="n">
        <f aca="false">N(M1356)+N(N1356)</f>
        <v>2</v>
      </c>
      <c r="CK1356" s="50" t="n">
        <f aca="false">N(M1356)</f>
        <v>1</v>
      </c>
      <c r="CL1356" s="50" t="n">
        <f aca="false">N(N1356)</f>
        <v>1</v>
      </c>
      <c r="CM1356" s="50" t="n">
        <f aca="false">ROUNDUP(H1356/BY1356,0)</f>
        <v>1</v>
      </c>
      <c r="CN1356" s="50" t="n">
        <f aca="false">ROUNDUP(CI1356/BY1356,0)</f>
        <v>0</v>
      </c>
      <c r="CO1356" s="53" t="n">
        <f aca="false">IF(BZ1356=1,0,IFERROR(VLOOKUP(BX1356,'Gebinde-Kategorie'!$A$5:$N$45,5,0)+0,0))</f>
        <v>0</v>
      </c>
      <c r="CP1356" s="53" t="n">
        <f aca="false">IFERROR(IF(OR(CE1356=1,CE1356=2,CE1356=3),N(INDEX(Parameter!$I$5:$I$7,CE1356)),0),0)</f>
        <v>0</v>
      </c>
      <c r="CQ1356" s="52" t="n">
        <f aca="false">IF(AND(Parameter!$B$21="Ja",ISNUMBER(W1356),N(X1356)&gt;0),IFERROR(N(INDEX(Parameter!$L$5:$L$7,W1356))*INDEX(Parameter!$E$5:$E$7,W1356)*X1356/SUMIFS($X$7:$X$1843,$W$7:$W$1843,W1356),0),0)</f>
        <v>0.240112994350283</v>
      </c>
    </row>
    <row r="1357" customFormat="false" ht="15" hidden="false" customHeight="false" outlineLevel="0" collapsed="false">
      <c r="A1357" s="48" t="s">
        <v>2402</v>
      </c>
      <c r="B1357" s="48" t="s">
        <v>2403</v>
      </c>
      <c r="C1357" s="48" t="s">
        <v>173</v>
      </c>
      <c r="D1357" s="48" t="s">
        <v>193</v>
      </c>
      <c r="E1357" s="48" t="s">
        <v>194</v>
      </c>
      <c r="F1357" s="48" t="s">
        <v>227</v>
      </c>
      <c r="G1357" s="49" t="n">
        <v>369.31</v>
      </c>
      <c r="H1357" s="50" t="n">
        <f aca="false">MAX(0,IF(AND(Parameter!$B$21="Ja",ISNUMBER(Y1357)),Y1357,IF(Parameter!$B$20="Jahresanfang 2025 + Export",BR1357+BQ1357,BQ1357)))</f>
        <v>1</v>
      </c>
      <c r="I1357" s="50" t="n">
        <f aca="false">H1357*G1357</f>
        <v>369.31</v>
      </c>
      <c r="J1357" s="50" t="n">
        <f aca="false">BT1357*Parameter!$B$18</f>
        <v>3</v>
      </c>
      <c r="K1357" s="51" t="n">
        <v>5.5</v>
      </c>
      <c r="L1357" s="52" t="n">
        <v>0.545454545454545</v>
      </c>
      <c r="M1357" s="50" t="n">
        <v>0</v>
      </c>
      <c r="N1357" s="50" t="n">
        <v>5</v>
      </c>
      <c r="O1357" s="53" t="n">
        <v>21</v>
      </c>
      <c r="P1357" s="48" t="s">
        <v>311</v>
      </c>
      <c r="Q1357" s="50" t="n">
        <v>4</v>
      </c>
      <c r="R1357" s="53" t="n">
        <f aca="false">IF(BZ1357=1,0,IFERROR(VLOOKUP(BX1357,'Gebinde-Kategorie'!$A$5:$N$45,13,0)+0,0))</f>
        <v>26</v>
      </c>
      <c r="S1357" s="54"/>
      <c r="T1357" s="55"/>
      <c r="U1357" s="55"/>
      <c r="V1357" s="55"/>
      <c r="W1357" s="48"/>
      <c r="X1357" s="50"/>
      <c r="Y1357" s="50"/>
      <c r="Z1357" s="48" t="n">
        <f aca="false">IF(A1357="","",IF(AND(Parameter!$B$21="Ja",ISNUMBER(W1357)),W1357,IF(CC1357="2+3",IF(ISNUMBER(SEARCH("grosser Artikel",BU1357)),2,IFERROR(VLOOKUP(BX1357,Parameter!$F$35:$G$64,2,0),2)),IF(OR(CC1357="Nein",CC1357=""),"-",CC1357))))</f>
        <v>3</v>
      </c>
      <c r="AA1357" s="55"/>
      <c r="AB1357" s="56"/>
      <c r="AC1357" s="50" t="n">
        <f aca="false">AV1357</f>
        <v>5</v>
      </c>
      <c r="AD1357" s="50" t="n">
        <f aca="false">MAX(AV1357,H1357)</f>
        <v>5</v>
      </c>
      <c r="AE1357" s="57"/>
      <c r="AF1357" s="50" t="n">
        <f aca="false">IF(LEFT(Cockpit!$C$5,1)="A",H1357,IF(Parameter!$E$30="MAX-Bestand",IF(CH1357=1,CI1357,IF(LEFT(Cockpit!$C$5,1)="B",AL1357,MAX(AL1357,H1357))),ROUNDUP(AJ1357,0)))</f>
        <v>1</v>
      </c>
      <c r="AG1357" s="50" t="n">
        <f aca="false">IF(BZ1357=1,0,ROUNDUP(AF1357/BY1357,0))</f>
        <v>1</v>
      </c>
      <c r="AH1357" s="52" t="n">
        <f aca="false">IF(CQ1357&gt;0,CQ1357*MAX(1,AF1357/X1357),IF(BZ1357=1,IF(AF1357&lt;=0,0,CD1357*MAX(1,IF(H1357&gt;0,AF1357/H1357,1))),IF(R1357&gt;0,AG1357/R1357,0))/MAX(0.1,N(Parameter!$M$21)))</f>
        <v>0.0384615384615385</v>
      </c>
      <c r="AI1357" s="50" t="n">
        <f aca="false">AH1357*CB1357</f>
        <v>5.96153846153846</v>
      </c>
      <c r="AJ1357" s="51" t="n">
        <f aca="false">IF(LEFT(Cockpit!$C$5,1)="A",H1357,IF(CH1357=1,(CK1357+CI1357)/2,IF(LEFT(Cockpit!$C$5,1)="B",(CK1357+AL1357)/2,MAX((CK1357+AL1357)/2,H1357))))</f>
        <v>1</v>
      </c>
      <c r="AK1357" s="50" t="n">
        <f aca="false">AJ1357*G1357</f>
        <v>369.31</v>
      </c>
      <c r="AL1357" s="50" t="n">
        <f aca="false">ROUNDUP(CK1357+MAX(CL1357,2*(J1357/IF(CG1357&gt;0,CG1357,MAX(0.1,N(Cockpit!$C$6)))-CK1357)),0)</f>
        <v>5</v>
      </c>
      <c r="AM1357" s="51" t="n">
        <f aca="false">IF(AI1357&gt;0,J1357/AI1357,-1)</f>
        <v>0.503225806451613</v>
      </c>
      <c r="AN1357" s="51" t="n">
        <f aca="false">IF(AND(OR(CF1357="L1",CF1357="L23",CF1357="LIFT"),AI1357&gt;0),SUMIFS($AI$7:$AI$1843,$CF$7:$CF$1843,CF1357,$AM$7:$AM$1843,"&gt;"&amp;AM1357)+SUMIFS($AI$7:$AI$1843,$CF$7:$CF$1843,CF1357,$AM$7:$AM$1843,AM1357,$BW$7:$BW$1843,"&lt;="&amp;BW1357),"")</f>
        <v>9586.01050267999</v>
      </c>
      <c r="AO1357" s="58" t="n">
        <f aca="false">IF(AN1357="",0,MAX(0,MIN(1,(IF(CF1357="L1",Parameter!$H$5,IF(CF1357="L23",Parameter!$H$6+Parameter!$H$7,Parameter!$H$5+Parameter!$H$6+Parameter!$H$7))-(AN1357-AI1357))/AI1357)))</f>
        <v>1</v>
      </c>
      <c r="AP1357" s="50" t="n">
        <f aca="false">IF(LEFT(Cockpit!$I$5,1)="A",H1357,IF(Parameter!$E$30="MAX-Bestand",IF(CH1357=1,CI1357,IF(LEFT(Cockpit!$I$5,1)="B",AV1357,MAX(AV1357,H1357))),ROUNDUP(AT1357,0)))</f>
        <v>3</v>
      </c>
      <c r="AQ1357" s="50" t="n">
        <f aca="false">IF(BZ1357=1,0,ROUNDUP(AP1357/BY1357,0))</f>
        <v>1</v>
      </c>
      <c r="AR1357" s="52" t="n">
        <f aca="false">IF(CQ1357&gt;0,CQ1357*MAX(1,AP1357/X1357),IF(BZ1357=1,IF(AP1357&lt;=0,0,CD1357*MAX(1,IF(H1357&gt;0,AP1357/H1357,1))),IF(R1357&gt;0,AQ1357/R1357,0))/MAX(0.1,N(Parameter!$M$21)))</f>
        <v>0.0384615384615385</v>
      </c>
      <c r="AS1357" s="50" t="n">
        <f aca="false">AR1357*CB1357</f>
        <v>5.96153846153846</v>
      </c>
      <c r="AT1357" s="51" t="n">
        <f aca="false">IF(LEFT(Cockpit!$I$5,1)="A",H1357,IF(CH1357=1,(CK1357+CI1357)/2,IF(LEFT(Cockpit!$I$5,1)="B",(CK1357+AV1357)/2,MAX((CK1357+AV1357)/2,H1357))))</f>
        <v>2.5</v>
      </c>
      <c r="AU1357" s="50" t="n">
        <f aca="false">AT1357*G1357</f>
        <v>923.275</v>
      </c>
      <c r="AV1357" s="50" t="n">
        <f aca="false">ROUNDUP(CK1357+MAX(CL1357,2*(J1357/IF(CG1357&gt;0,CG1357,MAX(0.1,N(Cockpit!$I$6)))-CK1357)),0)</f>
        <v>5</v>
      </c>
      <c r="AW1357" s="51" t="n">
        <f aca="false">IF(AS1357&gt;0,J1357/AS1357,-1)</f>
        <v>0.503225806451613</v>
      </c>
      <c r="AX1357" s="51" t="n">
        <f aca="false">IF(AND(OR(CF1357="L1",CF1357="L23",CF1357="LIFT"),AS1357&gt;0),SUMIFS($AS$7:$AS$1843,$CF$7:$CF$1843,CF1357,$AW$7:$AW$1843,"&gt;"&amp;AW1357)+SUMIFS($AS$7:$AS$1843,$CF$7:$CF$1843,CF1357,$AW$7:$AW$1843,AW1357,$BW$7:$BW$1843,"&lt;="&amp;BW1357),"")</f>
        <v>11999.8470695971</v>
      </c>
      <c r="AY1357" s="58" t="n">
        <f aca="false">IF(AX1357="",0,MAX(0,MIN(1,(IF(CF1357="L1",Parameter!$H$5,IF(CF1357="L23",Parameter!$H$6+Parameter!$H$7,Parameter!$H$5+Parameter!$H$6+Parameter!$H$7))-(AX1357-AS1357))/AS1357)))</f>
        <v>1</v>
      </c>
      <c r="AZ1357" s="50" t="n">
        <f aca="false">IF(LEFT(Cockpit!$O$5,1)="A",H1357,IF(Parameter!$E$30="MAX-Bestand",IF(CH1357=1,CI1357,IF(LEFT(Cockpit!$O$5,1)="B",BF1357,MAX(BF1357,H1357))),ROUNDUP(BD1357,0)))</f>
        <v>3</v>
      </c>
      <c r="BA1357" s="50" t="n">
        <f aca="false">IF(BZ1357=1,0,ROUNDUP(AZ1357/BY1357,0))</f>
        <v>1</v>
      </c>
      <c r="BB1357" s="52" t="n">
        <f aca="false">IF(CQ1357&gt;0,CQ1357*MAX(1,AZ1357/X1357),IF(BZ1357=1,IF(AZ1357&lt;=0,0,CD1357*MAX(1,IF(H1357&gt;0,AZ1357/H1357,1))),IF(R1357&gt;0,BA1357/R1357,0))/MAX(0.1,N(Parameter!$M$21)))</f>
        <v>0.0384615384615385</v>
      </c>
      <c r="BC1357" s="50" t="n">
        <f aca="false">BB1357*CB1357</f>
        <v>5.96153846153846</v>
      </c>
      <c r="BD1357" s="51" t="n">
        <f aca="false">IF(LEFT(Cockpit!$O$5,1)="A",H1357,IF(CH1357=1,(CK1357+CI1357)/2,IF(LEFT(Cockpit!$O$5,1)="B",(CK1357+BF1357)/2,MAX((CK1357+BF1357)/2,H1357))))</f>
        <v>2.5</v>
      </c>
      <c r="BE1357" s="50" t="n">
        <f aca="false">BD1357*G1357</f>
        <v>923.275</v>
      </c>
      <c r="BF1357" s="50" t="n">
        <f aca="false">ROUNDUP(CK1357+MAX(CL1357,2*(J1357/IF(CG1357&gt;0,CG1357,MAX(0.1,N(Cockpit!$O$6)))-CK1357)),0)</f>
        <v>5</v>
      </c>
      <c r="BG1357" s="51" t="n">
        <f aca="false">IF(BC1357&gt;0,J1357/BC1357,-1)</f>
        <v>0.503225806451613</v>
      </c>
      <c r="BH1357" s="51" t="n">
        <f aca="false">IF(AND(OR(CF1357="L1",CF1357="L23",CF1357="LIFT"),BC1357&gt;0),SUMIFS($BC$7:$BC$1843,$CF$7:$CF$1843,CF1357,$BG$7:$BG$1843,"&gt;"&amp;BG1357)+SUMIFS($BC$7:$BC$1843,$CF$7:$CF$1843,CF1357,$BG$7:$BG$1843,BG1357,$BW$7:$BW$1843,"&lt;="&amp;BW1357),"")</f>
        <v>10363.2632783883</v>
      </c>
      <c r="BI1357" s="58" t="n">
        <f aca="false">IF(BH1357="",0,MAX(0,MIN(1,(IF(CF1357="L1",Parameter!$H$5,IF(CF1357="L23",Parameter!$H$6+Parameter!$H$7,Parameter!$H$5+Parameter!$H$6+Parameter!$H$7))-(BH1357-BC1357))/BC1357)))</f>
        <v>1</v>
      </c>
      <c r="BJ1357" s="48" t="str">
        <f aca="false">IF(AI1357&lt;=0,"",IF(CF1357="Aussen","Aussenlager",IF(CF1357="-","Nicht im Lift",IF(AO1357&gt;=1,"Lift",IF(AO1357&lt;=0,"Aussenlager","teilweise")))))</f>
        <v>Lift</v>
      </c>
      <c r="BK1357" s="48" t="str">
        <f aca="false">IF(AS1357&lt;=0,"",IF(CF1357="Aussen","Aussenlager",IF(CF1357="-","Nicht im Lift",IF(AY1357&gt;=1,"Lift",IF(AY1357&lt;=0,"Aussenlager","teilweise")))))</f>
        <v>Lift</v>
      </c>
      <c r="BL1357" s="48" t="str">
        <f aca="false">IF(BC1357&lt;=0,"",IF(CF1357="Aussen","Aussenlager",IF(CF1357="-","Nicht im Lift",IF(BI1357&gt;=1,"Lift",IF(BI1357&lt;=0,"Aussenlager","teilweise")))))</f>
        <v>Lift</v>
      </c>
      <c r="BM1357" s="48" t="str">
        <f aca="false">IF(A1357="","",IF(BV1357=1,"Neu; ","")&amp;IF(AND(BV1357=0,BQ1357&lt;0),"negativer Bestand (Export "&amp;BQ1357&amp;"); ","")&amp;IF(J1357&lt;=0,"Kein Verbrauch; ","")&amp;IF(CQ1357&gt;0,"Lift "&amp;W1357&amp;" lt. Liftbericht (Fach "&amp;X1357&amp;" Stk); ",IF(CA1357=1,"Gebinde geschätzt ("&amp;T1357&amp;"); ",IF(BZ1357=1,"Lose – Tablare geschätzt; ","")))&amp;IF(H1357&gt;AV1357,"Überbestand "&amp;ROUND(H1357-AV1357,0)&amp;" Stk / CHF "&amp;ROUND((H1357-AV1357)*G1357,0)&amp;"; ","")&amp;IF(AND(CH1357=1,CI1357&lt;CJ1357),"MAX &lt; MB+LG; ","")&amp;IF(AND(CP1357&gt;0,CO1357*10&gt;CP1357),"zu hoch für Tablar; ","")&amp;IF(AND(BV1357=0,OR(CH1357=1,AA1357&lt;&gt;"",U1357&lt;&gt;"",V1357&lt;&gt;"",AB1357&lt;&gt;"")),"manuell übersteuert; ","")&amp;IF(AND(BZ1357=0,R1357=0),"Gebinde unbekannt / Stellmass fehlt; ","")&amp;IF(AND(BZ1357=0,N(V1357)&lt;=0,N(Q1357)&lt;=0),"Menge pro Gebinde fehlt (Ist = 1 Gebinde); ","")&amp;BU1357)</f>
        <v>negativer Bestand (Export -6); Neu</v>
      </c>
      <c r="BN1357" s="48"/>
      <c r="BO1357" s="48"/>
      <c r="BP1357" s="55"/>
      <c r="BQ1357" s="50" t="n">
        <v>-6</v>
      </c>
      <c r="BR1357" s="50" t="n">
        <v>7</v>
      </c>
      <c r="BS1357" s="49" t="n">
        <v>-2215.86</v>
      </c>
      <c r="BT1357" s="50" t="n">
        <v>3</v>
      </c>
      <c r="BU1357" s="48" t="s">
        <v>635</v>
      </c>
      <c r="BV1357" s="53" t="n">
        <v>0</v>
      </c>
      <c r="BW1357" s="53" t="n">
        <v>1357</v>
      </c>
      <c r="BX1357" s="48" t="str">
        <f aca="false">IF(U1357&lt;&gt;"",UPPER(TRIM(U1357)),IF(CA1357=1,UPPER(VLOOKUP(T1357,Parameter!$I$27:$K$29,2,0)),IF(P1357="","LOSE",P1357)))</f>
        <v>S51</v>
      </c>
      <c r="BY1357" s="50" t="n">
        <f aca="false">IF(BX1357="LOSE",1,IF(N(V1357)&gt;0,V1357,IF(CA1357=1,MAX(1,N(VLOOKUP(T1357,Parameter!$I$27:$K$29,3,0)),H1357,N(N1357)),IF(N(Q1357)&gt;0,Q1357,MAX(1,H1357)))))</f>
        <v>4</v>
      </c>
      <c r="BZ1357" s="53" t="n">
        <f aca="false">IF(BX1357="LOSE",1,0)</f>
        <v>0</v>
      </c>
      <c r="CA1357" s="53" t="n">
        <f aca="false">IF(AND(U1357="",OR(P1357="",P1357="LOSE"),T1357&lt;&gt;"",N(S1357)&lt;=0,ISNUMBER(MATCH(T1357,Parameter!$I$27:$I$29,0))),1,0)</f>
        <v>0</v>
      </c>
      <c r="CB1357" s="53" t="n">
        <f aca="false">IF(CQ1357&gt;0,INDEX(Parameter!$H$5:$H$7,W1357)/INDEX(Parameter!$E$5:$E$7,W1357),IF(AND(BZ1357=0,N(IFERROR(VLOOKUP(BX1357,'Gebinde-Kategorie'!$A$5:$N$45,14,0),0))&gt;0),VLOOKUP(BX1357,'Gebinde-Kategorie'!$A$5:$N$45,14,0)*10+Parameter!$M$23,Parameter!$M$24))</f>
        <v>155</v>
      </c>
      <c r="CC1357" s="48" t="str">
        <f aca="false">IF(AND(Parameter!$B$19="Ja",E1357&lt;&gt;"",ISNUMBER(MATCH(E1357,Parameter!$I$35:$I$52,0))),VLOOKUP(E1357,Parameter!$I$35:$J$52,2,0),IFERROR(VLOOKUP(D1357,Parameter!$A$35:$C$64,2,0),"Nein"))</f>
        <v>2+3</v>
      </c>
      <c r="CD1357" s="52" t="n">
        <f aca="false">IF(BZ1357=0,0,IF(N(S1357)&gt;0,S1357,IFERROR(VLOOKUP(D1357,Parameter!$A$35:$C$64,3,0)+0,0)))</f>
        <v>0</v>
      </c>
      <c r="CE1357" s="48" t="n">
        <f aca="false">IF(AA1357&lt;&gt;"",AA1357,Z1357)</f>
        <v>3</v>
      </c>
      <c r="CF1357" s="48" t="str">
        <f aca="false">IF(OR(CE1357=1,CE1357=2,CE1357=3),IF(Parameter!$E$27="Ja","LIFT",IF(CE1357=1,"L1","L23")),IF(CE1357="Aussen","Aussen","-"))</f>
        <v>LIFT</v>
      </c>
      <c r="CG1357" s="59" t="n">
        <f aca="false">IF(N(AB1357)&gt;0,AB1357,0)</f>
        <v>0</v>
      </c>
      <c r="CH1357" s="53" t="n">
        <f aca="false">IF(ISNUMBER(AE1357),1,0)</f>
        <v>0</v>
      </c>
      <c r="CI1357" s="50" t="n">
        <f aca="false">N(AE1357)</f>
        <v>0</v>
      </c>
      <c r="CJ1357" s="50" t="n">
        <f aca="false">N(M1357)+N(N1357)</f>
        <v>5</v>
      </c>
      <c r="CK1357" s="50" t="n">
        <f aca="false">N(M1357)</f>
        <v>0</v>
      </c>
      <c r="CL1357" s="50" t="n">
        <f aca="false">N(N1357)</f>
        <v>5</v>
      </c>
      <c r="CM1357" s="50" t="n">
        <f aca="false">ROUNDUP(H1357/BY1357,0)</f>
        <v>1</v>
      </c>
      <c r="CN1357" s="50" t="n">
        <f aca="false">ROUNDUP(CI1357/BY1357,0)</f>
        <v>0</v>
      </c>
      <c r="CO1357" s="53" t="n">
        <f aca="false">IF(BZ1357=1,0,IFERROR(VLOOKUP(BX1357,'Gebinde-Kategorie'!$A$5:$N$45,5,0)+0,0))</f>
        <v>11</v>
      </c>
      <c r="CP1357" s="53" t="n">
        <f aca="false">IFERROR(IF(OR(CE1357=1,CE1357=2,CE1357=3),N(INDEX(Parameter!$I$5:$I$7,CE1357)),0),0)</f>
        <v>0</v>
      </c>
      <c r="CQ1357" s="52" t="n">
        <f aca="false">IF(AND(Parameter!$B$21="Ja",ISNUMBER(W1357),N(X1357)&gt;0),IFERROR(N(INDEX(Parameter!$L$5:$L$7,W1357))*INDEX(Parameter!$E$5:$E$7,W1357)*X1357/SUMIFS($X$7:$X$1843,$W$7:$W$1843,W1357),0),0)</f>
        <v>0</v>
      </c>
    </row>
    <row r="1358" customFormat="false" ht="15" hidden="false" customHeight="false" outlineLevel="0" collapsed="false">
      <c r="A1358" s="48" t="s">
        <v>2404</v>
      </c>
      <c r="B1358" s="48" t="s">
        <v>299</v>
      </c>
      <c r="C1358" s="48" t="s">
        <v>173</v>
      </c>
      <c r="D1358" s="48" t="s">
        <v>182</v>
      </c>
      <c r="E1358" s="48"/>
      <c r="F1358" s="48" t="s">
        <v>227</v>
      </c>
      <c r="G1358" s="49" t="n">
        <v>221.79</v>
      </c>
      <c r="H1358" s="50" t="n">
        <f aca="false">MAX(0,IF(AND(Parameter!$B$21="Ja",ISNUMBER(Y1358)),Y1358,IF(Parameter!$B$20="Jahresanfang 2025 + Export",BR1358+BQ1358,BQ1358)))</f>
        <v>20</v>
      </c>
      <c r="I1358" s="50" t="n">
        <f aca="false">H1358*G1358</f>
        <v>4435.8</v>
      </c>
      <c r="J1358" s="50" t="n">
        <f aca="false">BT1358*Parameter!$B$18</f>
        <v>5</v>
      </c>
      <c r="K1358" s="51" t="n">
        <v>26.5</v>
      </c>
      <c r="L1358" s="52" t="n">
        <v>0.188679245283019</v>
      </c>
      <c r="M1358" s="50" t="n">
        <v>0</v>
      </c>
      <c r="N1358" s="50" t="n">
        <v>5</v>
      </c>
      <c r="O1358" s="53" t="n">
        <v>56</v>
      </c>
      <c r="P1358" s="48" t="s">
        <v>183</v>
      </c>
      <c r="Q1358" s="50" t="n">
        <v>20</v>
      </c>
      <c r="R1358" s="53" t="n">
        <f aca="false">IF(BZ1358=1,0,IFERROR(VLOOKUP(BX1358,'Gebinde-Kategorie'!$A$5:$N$45,13,0)+0,0))</f>
        <v>6</v>
      </c>
      <c r="S1358" s="54"/>
      <c r="T1358" s="55"/>
      <c r="U1358" s="55"/>
      <c r="V1358" s="55"/>
      <c r="W1358" s="48"/>
      <c r="X1358" s="50"/>
      <c r="Y1358" s="50"/>
      <c r="Z1358" s="48" t="n">
        <f aca="false">IF(A1358="","",IF(AND(Parameter!$B$21="Ja",ISNUMBER(W1358)),W1358,IF(CC1358="2+3",IF(ISNUMBER(SEARCH("grosser Artikel",BU1358)),2,IFERROR(VLOOKUP(BX1358,Parameter!$F$35:$G$64,2,0),2)),IF(OR(CC1358="Nein",CC1358=""),"-",CC1358))))</f>
        <v>2</v>
      </c>
      <c r="AA1358" s="55"/>
      <c r="AB1358" s="56"/>
      <c r="AC1358" s="50" t="n">
        <f aca="false">AV1358</f>
        <v>5</v>
      </c>
      <c r="AD1358" s="50" t="n">
        <f aca="false">MAX(AV1358,H1358)</f>
        <v>20</v>
      </c>
      <c r="AE1358" s="57"/>
      <c r="AF1358" s="50" t="n">
        <f aca="false">IF(LEFT(Cockpit!$C$5,1)="A",H1358,IF(Parameter!$E$30="MAX-Bestand",IF(CH1358=1,CI1358,IF(LEFT(Cockpit!$C$5,1)="B",AL1358,MAX(AL1358,H1358))),ROUNDUP(AJ1358,0)))</f>
        <v>20</v>
      </c>
      <c r="AG1358" s="50" t="n">
        <f aca="false">IF(BZ1358=1,0,ROUNDUP(AF1358/BY1358,0))</f>
        <v>1</v>
      </c>
      <c r="AH1358" s="52" t="n">
        <f aca="false">IF(CQ1358&gt;0,CQ1358*MAX(1,AF1358/X1358),IF(BZ1358=1,IF(AF1358&lt;=0,0,CD1358*MAX(1,IF(H1358&gt;0,AF1358/H1358,1))),IF(R1358&gt;0,AG1358/R1358,0))/MAX(0.1,N(Parameter!$M$21)))</f>
        <v>0.166666666666667</v>
      </c>
      <c r="AI1358" s="50" t="n">
        <f aca="false">AH1358*CB1358</f>
        <v>39.1666666666667</v>
      </c>
      <c r="AJ1358" s="51" t="n">
        <f aca="false">IF(LEFT(Cockpit!$C$5,1)="A",H1358,IF(CH1358=1,(CK1358+CI1358)/2,IF(LEFT(Cockpit!$C$5,1)="B",(CK1358+AL1358)/2,MAX((CK1358+AL1358)/2,H1358))))</f>
        <v>20</v>
      </c>
      <c r="AK1358" s="50" t="n">
        <f aca="false">AJ1358*G1358</f>
        <v>4435.8</v>
      </c>
      <c r="AL1358" s="50" t="n">
        <f aca="false">ROUNDUP(CK1358+MAX(CL1358,2*(J1358/IF(CG1358&gt;0,CG1358,MAX(0.1,N(Cockpit!$C$6)))-CK1358)),0)</f>
        <v>5</v>
      </c>
      <c r="AM1358" s="51" t="n">
        <f aca="false">IF(AI1358&gt;0,J1358/AI1358,-1)</f>
        <v>0.127659574468085</v>
      </c>
      <c r="AN1358" s="51" t="n">
        <f aca="false">IF(AND(OR(CF1358="L1",CF1358="L23",CF1358="LIFT"),AI1358&gt;0),SUMIFS($AI$7:$AI$1843,$CF$7:$CF$1843,CF1358,$AM$7:$AM$1843,"&gt;"&amp;AM1358)+SUMIFS($AI$7:$AI$1843,$CF$7:$CF$1843,CF1358,$AM$7:$AM$1843,AM1358,$BW$7:$BW$1843,"&lt;="&amp;BW1358),"")</f>
        <v>13901.6303599884</v>
      </c>
      <c r="AO1358" s="58" t="n">
        <f aca="false">IF(AN1358="",0,MAX(0,MIN(1,(IF(CF1358="L1",Parameter!$H$5,IF(CF1358="L23",Parameter!$H$6+Parameter!$H$7,Parameter!$H$5+Parameter!$H$6+Parameter!$H$7))-(AN1358-AI1358))/AI1358)))</f>
        <v>1</v>
      </c>
      <c r="AP1358" s="50" t="n">
        <f aca="false">IF(LEFT(Cockpit!$I$5,1)="A",H1358,IF(Parameter!$E$30="MAX-Bestand",IF(CH1358=1,CI1358,IF(LEFT(Cockpit!$I$5,1)="B",AV1358,MAX(AV1358,H1358))),ROUNDUP(AT1358,0)))</f>
        <v>20</v>
      </c>
      <c r="AQ1358" s="50" t="n">
        <f aca="false">IF(BZ1358=1,0,ROUNDUP(AP1358/BY1358,0))</f>
        <v>1</v>
      </c>
      <c r="AR1358" s="52" t="n">
        <f aca="false">IF(CQ1358&gt;0,CQ1358*MAX(1,AP1358/X1358),IF(BZ1358=1,IF(AP1358&lt;=0,0,CD1358*MAX(1,IF(H1358&gt;0,AP1358/H1358,1))),IF(R1358&gt;0,AQ1358/R1358,0))/MAX(0.1,N(Parameter!$M$21)))</f>
        <v>0.166666666666667</v>
      </c>
      <c r="AS1358" s="50" t="n">
        <f aca="false">AR1358*CB1358</f>
        <v>39.1666666666667</v>
      </c>
      <c r="AT1358" s="51" t="n">
        <f aca="false">IF(LEFT(Cockpit!$I$5,1)="A",H1358,IF(CH1358=1,(CK1358+CI1358)/2,IF(LEFT(Cockpit!$I$5,1)="B",(CK1358+AV1358)/2,MAX((CK1358+AV1358)/2,H1358))))</f>
        <v>20</v>
      </c>
      <c r="AU1358" s="50" t="n">
        <f aca="false">AT1358*G1358</f>
        <v>4435.8</v>
      </c>
      <c r="AV1358" s="50" t="n">
        <f aca="false">ROUNDUP(CK1358+MAX(CL1358,2*(J1358/IF(CG1358&gt;0,CG1358,MAX(0.1,N(Cockpit!$I$6)))-CK1358)),0)</f>
        <v>5</v>
      </c>
      <c r="AW1358" s="51" t="n">
        <f aca="false">IF(AS1358&gt;0,J1358/AS1358,-1)</f>
        <v>0.127659574468085</v>
      </c>
      <c r="AX1358" s="51" t="n">
        <f aca="false">IF(AND(OR(CF1358="L1",CF1358="L23",CF1358="LIFT"),AS1358&gt;0),SUMIFS($AS$7:$AS$1843,$CF$7:$CF$1843,CF1358,$AW$7:$AW$1843,"&gt;"&amp;AW1358)+SUMIFS($AS$7:$AS$1843,$CF$7:$CF$1843,CF1358,$AW$7:$AW$1843,AW1358,$BW$7:$BW$1843,"&lt;="&amp;BW1358),"")</f>
        <v>17926.0290013659</v>
      </c>
      <c r="AY1358" s="58" t="n">
        <f aca="false">IF(AX1358="",0,MAX(0,MIN(1,(IF(CF1358="L1",Parameter!$H$5,IF(CF1358="L23",Parameter!$H$6+Parameter!$H$7,Parameter!$H$5+Parameter!$H$6+Parameter!$H$7))-(AX1358-AS1358))/AS1358)))</f>
        <v>1</v>
      </c>
      <c r="AZ1358" s="50" t="n">
        <f aca="false">IF(LEFT(Cockpit!$O$5,1)="A",H1358,IF(Parameter!$E$30="MAX-Bestand",IF(CH1358=1,CI1358,IF(LEFT(Cockpit!$O$5,1)="B",BF1358,MAX(BF1358,H1358))),ROUNDUP(BD1358,0)))</f>
        <v>3</v>
      </c>
      <c r="BA1358" s="50" t="n">
        <f aca="false">IF(BZ1358=1,0,ROUNDUP(AZ1358/BY1358,0))</f>
        <v>1</v>
      </c>
      <c r="BB1358" s="52" t="n">
        <f aca="false">IF(CQ1358&gt;0,CQ1358*MAX(1,AZ1358/X1358),IF(BZ1358=1,IF(AZ1358&lt;=0,0,CD1358*MAX(1,IF(H1358&gt;0,AZ1358/H1358,1))),IF(R1358&gt;0,BA1358/R1358,0))/MAX(0.1,N(Parameter!$M$21)))</f>
        <v>0.166666666666667</v>
      </c>
      <c r="BC1358" s="50" t="n">
        <f aca="false">BB1358*CB1358</f>
        <v>39.1666666666667</v>
      </c>
      <c r="BD1358" s="51" t="n">
        <f aca="false">IF(LEFT(Cockpit!$O$5,1)="A",H1358,IF(CH1358=1,(CK1358+CI1358)/2,IF(LEFT(Cockpit!$O$5,1)="B",(CK1358+BF1358)/2,MAX((CK1358+BF1358)/2,H1358))))</f>
        <v>2.5</v>
      </c>
      <c r="BE1358" s="50" t="n">
        <f aca="false">BD1358*G1358</f>
        <v>554.475</v>
      </c>
      <c r="BF1358" s="50" t="n">
        <f aca="false">ROUNDUP(CK1358+MAX(CL1358,2*(J1358/IF(CG1358&gt;0,CG1358,MAX(0.1,N(Cockpit!$O$6)))-CK1358)),0)</f>
        <v>5</v>
      </c>
      <c r="BG1358" s="51" t="n">
        <f aca="false">IF(BC1358&gt;0,J1358/BC1358,-1)</f>
        <v>0.127659574468085</v>
      </c>
      <c r="BH1358" s="51" t="n">
        <f aca="false">IF(AND(OR(CF1358="L1",CF1358="L23",CF1358="LIFT"),BC1358&gt;0),SUMIFS($BC$7:$BC$1843,$CF$7:$CF$1843,CF1358,$BG$7:$BG$1843,"&gt;"&amp;BG1358)+SUMIFS($BC$7:$BC$1843,$CF$7:$CF$1843,CF1358,$BG$7:$BG$1843,BG1358,$BW$7:$BW$1843,"&lt;="&amp;BW1358),"")</f>
        <v>15316.0082805612</v>
      </c>
      <c r="BI1358" s="58" t="n">
        <f aca="false">IF(BH1358="",0,MAX(0,MIN(1,(IF(CF1358="L1",Parameter!$H$5,IF(CF1358="L23",Parameter!$H$6+Parameter!$H$7,Parameter!$H$5+Parameter!$H$6+Parameter!$H$7))-(BH1358-BC1358))/BC1358)))</f>
        <v>1</v>
      </c>
      <c r="BJ1358" s="48" t="str">
        <f aca="false">IF(AI1358&lt;=0,"",IF(CF1358="Aussen","Aussenlager",IF(CF1358="-","Nicht im Lift",IF(AO1358&gt;=1,"Lift",IF(AO1358&lt;=0,"Aussenlager","teilweise")))))</f>
        <v>Lift</v>
      </c>
      <c r="BK1358" s="48" t="str">
        <f aca="false">IF(AS1358&lt;=0,"",IF(CF1358="Aussen","Aussenlager",IF(CF1358="-","Nicht im Lift",IF(AY1358&gt;=1,"Lift",IF(AY1358&lt;=0,"Aussenlager","teilweise")))))</f>
        <v>Lift</v>
      </c>
      <c r="BL1358" s="48" t="str">
        <f aca="false">IF(BC1358&lt;=0,"",IF(CF1358="Aussen","Aussenlager",IF(CF1358="-","Nicht im Lift",IF(BI1358&gt;=1,"Lift",IF(BI1358&lt;=0,"Aussenlager","teilweise")))))</f>
        <v>Lift</v>
      </c>
      <c r="BM1358" s="48" t="str">
        <f aca="false">IF(A1358="","",IF(BV1358=1,"Neu; ","")&amp;IF(AND(BV1358=0,BQ1358&lt;0),"negativer Bestand (Export "&amp;BQ1358&amp;"); ","")&amp;IF(J1358&lt;=0,"Kein Verbrauch; ","")&amp;IF(CQ1358&gt;0,"Lift "&amp;W1358&amp;" lt. Liftbericht (Fach "&amp;X1358&amp;" Stk); ",IF(CA1358=1,"Gebinde geschätzt ("&amp;T1358&amp;"); ",IF(BZ1358=1,"Lose – Tablare geschätzt; ","")))&amp;IF(H1358&gt;AV1358,"Überbestand "&amp;ROUND(H1358-AV1358,0)&amp;" Stk / CHF "&amp;ROUND((H1358-AV1358)*G1358,0)&amp;"; ","")&amp;IF(AND(CH1358=1,CI1358&lt;CJ1358),"MAX &lt; MB+LG; ","")&amp;IF(AND(CP1358&gt;0,CO1358*10&gt;CP1358),"zu hoch für Tablar; ","")&amp;IF(AND(BV1358=0,OR(CH1358=1,AA1358&lt;&gt;"",U1358&lt;&gt;"",V1358&lt;&gt;"",AB1358&lt;&gt;"")),"manuell übersteuert; ","")&amp;IF(AND(BZ1358=0,R1358=0),"Gebinde unbekannt / Stellmass fehlt; ","")&amp;IF(AND(BZ1358=0,N(V1358)&lt;=0,N(Q1358)&lt;=0),"Menge pro Gebinde fehlt (Ist = 1 Gebinde); ","")&amp;BU1358)</f>
        <v>negativer Bestand (Export -10); Überbestand 15 Stk / CHF 3327; </v>
      </c>
      <c r="BN1358" s="48"/>
      <c r="BO1358" s="48"/>
      <c r="BP1358" s="55"/>
      <c r="BQ1358" s="50" t="n">
        <v>-10</v>
      </c>
      <c r="BR1358" s="50" t="n">
        <v>30</v>
      </c>
      <c r="BS1358" s="49" t="n">
        <v>-2217.9</v>
      </c>
      <c r="BT1358" s="50" t="n">
        <v>5</v>
      </c>
      <c r="BU1358" s="48"/>
      <c r="BV1358" s="53" t="n">
        <v>0</v>
      </c>
      <c r="BW1358" s="53" t="n">
        <v>1358</v>
      </c>
      <c r="BX1358" s="48" t="str">
        <f aca="false">IF(U1358&lt;&gt;"",UPPER(TRIM(U1358)),IF(CA1358=1,UPPER(VLOOKUP(T1358,Parameter!$I$27:$K$29,2,0)),IF(P1358="","LOSE",P1358)))</f>
        <v>S71</v>
      </c>
      <c r="BY1358" s="50" t="n">
        <f aca="false">IF(BX1358="LOSE",1,IF(N(V1358)&gt;0,V1358,IF(CA1358=1,MAX(1,N(VLOOKUP(T1358,Parameter!$I$27:$K$29,3,0)),H1358,N(N1358)),IF(N(Q1358)&gt;0,Q1358,MAX(1,H1358)))))</f>
        <v>20</v>
      </c>
      <c r="BZ1358" s="53" t="n">
        <f aca="false">IF(BX1358="LOSE",1,0)</f>
        <v>0</v>
      </c>
      <c r="CA1358" s="53" t="n">
        <f aca="false">IF(AND(U1358="",OR(P1358="",P1358="LOSE"),T1358&lt;&gt;"",N(S1358)&lt;=0,ISNUMBER(MATCH(T1358,Parameter!$I$27:$I$29,0))),1,0)</f>
        <v>0</v>
      </c>
      <c r="CB1358" s="53" t="n">
        <f aca="false">IF(CQ1358&gt;0,INDEX(Parameter!$H$5:$H$7,W1358)/INDEX(Parameter!$E$5:$E$7,W1358),IF(AND(BZ1358=0,N(IFERROR(VLOOKUP(BX1358,'Gebinde-Kategorie'!$A$5:$N$45,14,0),0))&gt;0),VLOOKUP(BX1358,'Gebinde-Kategorie'!$A$5:$N$45,14,0)*10+Parameter!$M$23,Parameter!$M$24))</f>
        <v>235</v>
      </c>
      <c r="CC1358" s="48" t="str">
        <f aca="false">IF(AND(Parameter!$B$19="Ja",E1358&lt;&gt;"",ISNUMBER(MATCH(E1358,Parameter!$I$35:$I$52,0))),VLOOKUP(E1358,Parameter!$I$35:$J$52,2,0),IFERROR(VLOOKUP(D1358,Parameter!$A$35:$C$64,2,0),"Nein"))</f>
        <v>2+3</v>
      </c>
      <c r="CD1358" s="52" t="n">
        <f aca="false">IF(BZ1358=0,0,IF(N(S1358)&gt;0,S1358,IFERROR(VLOOKUP(D1358,Parameter!$A$35:$C$64,3,0)+0,0)))</f>
        <v>0</v>
      </c>
      <c r="CE1358" s="48" t="n">
        <f aca="false">IF(AA1358&lt;&gt;"",AA1358,Z1358)</f>
        <v>2</v>
      </c>
      <c r="CF1358" s="48" t="str">
        <f aca="false">IF(OR(CE1358=1,CE1358=2,CE1358=3),IF(Parameter!$E$27="Ja","LIFT",IF(CE1358=1,"L1","L23")),IF(CE1358="Aussen","Aussen","-"))</f>
        <v>LIFT</v>
      </c>
      <c r="CG1358" s="59" t="n">
        <f aca="false">IF(N(AB1358)&gt;0,AB1358,0)</f>
        <v>0</v>
      </c>
      <c r="CH1358" s="53" t="n">
        <f aca="false">IF(ISNUMBER(AE1358),1,0)</f>
        <v>0</v>
      </c>
      <c r="CI1358" s="50" t="n">
        <f aca="false">N(AE1358)</f>
        <v>0</v>
      </c>
      <c r="CJ1358" s="50" t="n">
        <f aca="false">N(M1358)+N(N1358)</f>
        <v>5</v>
      </c>
      <c r="CK1358" s="50" t="n">
        <f aca="false">N(M1358)</f>
        <v>0</v>
      </c>
      <c r="CL1358" s="50" t="n">
        <f aca="false">N(N1358)</f>
        <v>5</v>
      </c>
      <c r="CM1358" s="50" t="n">
        <f aca="false">ROUNDUP(H1358/BY1358,0)</f>
        <v>1</v>
      </c>
      <c r="CN1358" s="50" t="n">
        <f aca="false">ROUNDUP(CI1358/BY1358,0)</f>
        <v>0</v>
      </c>
      <c r="CO1358" s="53" t="n">
        <f aca="false">IF(BZ1358=1,0,IFERROR(VLOOKUP(BX1358,'Gebinde-Kategorie'!$A$5:$N$45,5,0)+0,0))</f>
        <v>20</v>
      </c>
      <c r="CP1358" s="53" t="n">
        <f aca="false">IFERROR(IF(OR(CE1358=1,CE1358=2,CE1358=3),N(INDEX(Parameter!$I$5:$I$7,CE1358)),0),0)</f>
        <v>0</v>
      </c>
      <c r="CQ1358" s="52" t="n">
        <f aca="false">IF(AND(Parameter!$B$21="Ja",ISNUMBER(W1358),N(X1358)&gt;0),IFERROR(N(INDEX(Parameter!$L$5:$L$7,W1358))*INDEX(Parameter!$E$5:$E$7,W1358)*X1358/SUMIFS($X$7:$X$1843,$W$7:$W$1843,W1358),0),0)</f>
        <v>0</v>
      </c>
    </row>
    <row r="1359" customFormat="false" ht="15" hidden="false" customHeight="false" outlineLevel="0" collapsed="false">
      <c r="A1359" s="48" t="s">
        <v>2405</v>
      </c>
      <c r="B1359" s="48" t="s">
        <v>607</v>
      </c>
      <c r="C1359" s="48" t="s">
        <v>173</v>
      </c>
      <c r="D1359" s="48" t="s">
        <v>193</v>
      </c>
      <c r="E1359" s="48" t="s">
        <v>194</v>
      </c>
      <c r="F1359" s="48" t="s">
        <v>227</v>
      </c>
      <c r="G1359" s="49" t="n">
        <v>49.99</v>
      </c>
      <c r="H1359" s="50" t="n">
        <f aca="false">MAX(0,IF(AND(Parameter!$B$21="Ja",ISNUMBER(Y1359)),Y1359,IF(Parameter!$B$20="Jahresanfang 2025 + Export",BR1359+BQ1359,BQ1359)))</f>
        <v>63</v>
      </c>
      <c r="I1359" s="50" t="n">
        <f aca="false">H1359*G1359</f>
        <v>3149.37</v>
      </c>
      <c r="J1359" s="50" t="n">
        <f aca="false">BT1359*Parameter!$B$18</f>
        <v>30</v>
      </c>
      <c r="K1359" s="51" t="n">
        <v>92.5</v>
      </c>
      <c r="L1359" s="52" t="n">
        <v>0.324324324324324</v>
      </c>
      <c r="M1359" s="50" t="n">
        <v>2</v>
      </c>
      <c r="N1359" s="50" t="n">
        <v>30</v>
      </c>
      <c r="O1359" s="53" t="n">
        <v>28</v>
      </c>
      <c r="P1359" s="48" t="s">
        <v>311</v>
      </c>
      <c r="Q1359" s="50" t="n">
        <v>161</v>
      </c>
      <c r="R1359" s="53" t="n">
        <f aca="false">IF(BZ1359=1,0,IFERROR(VLOOKUP(BX1359,'Gebinde-Kategorie'!$A$5:$N$45,13,0)+0,0))</f>
        <v>26</v>
      </c>
      <c r="S1359" s="54"/>
      <c r="T1359" s="55"/>
      <c r="U1359" s="55"/>
      <c r="V1359" s="55"/>
      <c r="W1359" s="48"/>
      <c r="X1359" s="50"/>
      <c r="Y1359" s="50"/>
      <c r="Z1359" s="48" t="n">
        <f aca="false">IF(A1359="","",IF(AND(Parameter!$B$21="Ja",ISNUMBER(W1359)),W1359,IF(CC1359="2+3",IF(ISNUMBER(SEARCH("grosser Artikel",BU1359)),2,IFERROR(VLOOKUP(BX1359,Parameter!$F$35:$G$64,2,0),2)),IF(OR(CC1359="Nein",CC1359=""),"-",CC1359))))</f>
        <v>3</v>
      </c>
      <c r="AA1359" s="55"/>
      <c r="AB1359" s="56"/>
      <c r="AC1359" s="50" t="n">
        <f aca="false">AV1359</f>
        <v>32</v>
      </c>
      <c r="AD1359" s="50" t="n">
        <f aca="false">MAX(AV1359,H1359)</f>
        <v>63</v>
      </c>
      <c r="AE1359" s="57"/>
      <c r="AF1359" s="50" t="n">
        <f aca="false">IF(LEFT(Cockpit!$C$5,1)="A",H1359,IF(Parameter!$E$30="MAX-Bestand",IF(CH1359=1,CI1359,IF(LEFT(Cockpit!$C$5,1)="B",AL1359,MAX(AL1359,H1359))),ROUNDUP(AJ1359,0)))</f>
        <v>63</v>
      </c>
      <c r="AG1359" s="50" t="n">
        <f aca="false">IF(BZ1359=1,0,ROUNDUP(AF1359/BY1359,0))</f>
        <v>1</v>
      </c>
      <c r="AH1359" s="52" t="n">
        <f aca="false">IF(CQ1359&gt;0,CQ1359*MAX(1,AF1359/X1359),IF(BZ1359=1,IF(AF1359&lt;=0,0,CD1359*MAX(1,IF(H1359&gt;0,AF1359/H1359,1))),IF(R1359&gt;0,AG1359/R1359,0))/MAX(0.1,N(Parameter!$M$21)))</f>
        <v>0.0384615384615385</v>
      </c>
      <c r="AI1359" s="50" t="n">
        <f aca="false">AH1359*CB1359</f>
        <v>5.96153846153846</v>
      </c>
      <c r="AJ1359" s="51" t="n">
        <f aca="false">IF(LEFT(Cockpit!$C$5,1)="A",H1359,IF(CH1359=1,(CK1359+CI1359)/2,IF(LEFT(Cockpit!$C$5,1)="B",(CK1359+AL1359)/2,MAX((CK1359+AL1359)/2,H1359))))</f>
        <v>63</v>
      </c>
      <c r="AK1359" s="50" t="n">
        <f aca="false">AJ1359*G1359</f>
        <v>3149.37</v>
      </c>
      <c r="AL1359" s="50" t="n">
        <f aca="false">ROUNDUP(CK1359+MAX(CL1359,2*(J1359/IF(CG1359&gt;0,CG1359,MAX(0.1,N(Cockpit!$C$6)))-CK1359)),0)</f>
        <v>32</v>
      </c>
      <c r="AM1359" s="51" t="n">
        <f aca="false">IF(AI1359&gt;0,J1359/AI1359,-1)</f>
        <v>5.03225806451613</v>
      </c>
      <c r="AN1359" s="51" t="n">
        <f aca="false">IF(AND(OR(CF1359="L1",CF1359="L23",CF1359="LIFT"),AI1359&gt;0),SUMIFS($AI$7:$AI$1843,$CF$7:$CF$1843,CF1359,$AM$7:$AM$1843,"&gt;"&amp;AM1359)+SUMIFS($AI$7:$AI$1843,$CF$7:$CF$1843,CF1359,$AM$7:$AM$1843,AM1359,$BW$7:$BW$1843,"&lt;="&amp;BW1359),"")</f>
        <v>3894.08562271062</v>
      </c>
      <c r="AO1359" s="58" t="n">
        <f aca="false">IF(AN1359="",0,MAX(0,MIN(1,(IF(CF1359="L1",Parameter!$H$5,IF(CF1359="L23",Parameter!$H$6+Parameter!$H$7,Parameter!$H$5+Parameter!$H$6+Parameter!$H$7))-(AN1359-AI1359))/AI1359)))</f>
        <v>1</v>
      </c>
      <c r="AP1359" s="50" t="n">
        <f aca="false">IF(LEFT(Cockpit!$I$5,1)="A",H1359,IF(Parameter!$E$30="MAX-Bestand",IF(CH1359=1,CI1359,IF(LEFT(Cockpit!$I$5,1)="B",AV1359,MAX(AV1359,H1359))),ROUNDUP(AT1359,0)))</f>
        <v>63</v>
      </c>
      <c r="AQ1359" s="50" t="n">
        <f aca="false">IF(BZ1359=1,0,ROUNDUP(AP1359/BY1359,0))</f>
        <v>1</v>
      </c>
      <c r="AR1359" s="52" t="n">
        <f aca="false">IF(CQ1359&gt;0,CQ1359*MAX(1,AP1359/X1359),IF(BZ1359=1,IF(AP1359&lt;=0,0,CD1359*MAX(1,IF(H1359&gt;0,AP1359/H1359,1))),IF(R1359&gt;0,AQ1359/R1359,0))/MAX(0.1,N(Parameter!$M$21)))</f>
        <v>0.0384615384615385</v>
      </c>
      <c r="AS1359" s="50" t="n">
        <f aca="false">AR1359*CB1359</f>
        <v>5.96153846153846</v>
      </c>
      <c r="AT1359" s="51" t="n">
        <f aca="false">IF(LEFT(Cockpit!$I$5,1)="A",H1359,IF(CH1359=1,(CK1359+CI1359)/2,IF(LEFT(Cockpit!$I$5,1)="B",(CK1359+AV1359)/2,MAX((CK1359+AV1359)/2,H1359))))</f>
        <v>63</v>
      </c>
      <c r="AU1359" s="50" t="n">
        <f aca="false">AT1359*G1359</f>
        <v>3149.37</v>
      </c>
      <c r="AV1359" s="50" t="n">
        <f aca="false">ROUNDUP(CK1359+MAX(CL1359,2*(J1359/IF(CG1359&gt;0,CG1359,MAX(0.1,N(Cockpit!$I$6)))-CK1359)),0)</f>
        <v>32</v>
      </c>
      <c r="AW1359" s="51" t="n">
        <f aca="false">IF(AS1359&gt;0,J1359/AS1359,-1)</f>
        <v>5.03225806451613</v>
      </c>
      <c r="AX1359" s="51" t="n">
        <f aca="false">IF(AND(OR(CF1359="L1",CF1359="L23",CF1359="LIFT"),AS1359&gt;0),SUMIFS($AS$7:$AS$1843,$CF$7:$CF$1843,CF1359,$AW$7:$AW$1843,"&gt;"&amp;AW1359)+SUMIFS($AS$7:$AS$1843,$CF$7:$CF$1843,CF1359,$AW$7:$AW$1843,AW1359,$BW$7:$BW$1843,"&lt;="&amp;BW1359),"")</f>
        <v>4490.32646520147</v>
      </c>
      <c r="AY1359" s="58" t="n">
        <f aca="false">IF(AX1359="",0,MAX(0,MIN(1,(IF(CF1359="L1",Parameter!$H$5,IF(CF1359="L23",Parameter!$H$6+Parameter!$H$7,Parameter!$H$5+Parameter!$H$6+Parameter!$H$7))-(AX1359-AS1359))/AS1359)))</f>
        <v>1</v>
      </c>
      <c r="AZ1359" s="50" t="n">
        <f aca="false">IF(LEFT(Cockpit!$O$5,1)="A",H1359,IF(Parameter!$E$30="MAX-Bestand",IF(CH1359=1,CI1359,IF(LEFT(Cockpit!$O$5,1)="B",BF1359,MAX(BF1359,H1359))),ROUNDUP(BD1359,0)))</f>
        <v>17</v>
      </c>
      <c r="BA1359" s="50" t="n">
        <f aca="false">IF(BZ1359=1,0,ROUNDUP(AZ1359/BY1359,0))</f>
        <v>1</v>
      </c>
      <c r="BB1359" s="52" t="n">
        <f aca="false">IF(CQ1359&gt;0,CQ1359*MAX(1,AZ1359/X1359),IF(BZ1359=1,IF(AZ1359&lt;=0,0,CD1359*MAX(1,IF(H1359&gt;0,AZ1359/H1359,1))),IF(R1359&gt;0,BA1359/R1359,0))/MAX(0.1,N(Parameter!$M$21)))</f>
        <v>0.0384615384615385</v>
      </c>
      <c r="BC1359" s="50" t="n">
        <f aca="false">BB1359*CB1359</f>
        <v>5.96153846153846</v>
      </c>
      <c r="BD1359" s="51" t="n">
        <f aca="false">IF(LEFT(Cockpit!$O$5,1)="A",H1359,IF(CH1359=1,(CK1359+CI1359)/2,IF(LEFT(Cockpit!$O$5,1)="B",(CK1359+BF1359)/2,MAX((CK1359+BF1359)/2,H1359))))</f>
        <v>17</v>
      </c>
      <c r="BE1359" s="50" t="n">
        <f aca="false">BD1359*G1359</f>
        <v>849.83</v>
      </c>
      <c r="BF1359" s="50" t="n">
        <f aca="false">ROUNDUP(CK1359+MAX(CL1359,2*(J1359/IF(CG1359&gt;0,CG1359,MAX(0.1,N(Cockpit!$O$6)))-CK1359)),0)</f>
        <v>32</v>
      </c>
      <c r="BG1359" s="51" t="n">
        <f aca="false">IF(BC1359&gt;0,J1359/BC1359,-1)</f>
        <v>5.03225806451613</v>
      </c>
      <c r="BH1359" s="51" t="n">
        <f aca="false">IF(AND(OR(CF1359="L1",CF1359="L23",CF1359="LIFT"),BC1359&gt;0),SUMIFS($BC$7:$BC$1843,$CF$7:$CF$1843,CF1359,$BG$7:$BG$1843,"&gt;"&amp;BG1359)+SUMIFS($BC$7:$BC$1843,$CF$7:$CF$1843,CF1359,$BG$7:$BG$1843,BG1359,$BW$7:$BW$1843,"&lt;="&amp;BW1359),"")</f>
        <v>3712.33882783883</v>
      </c>
      <c r="BI1359" s="58" t="n">
        <f aca="false">IF(BH1359="",0,MAX(0,MIN(1,(IF(CF1359="L1",Parameter!$H$5,IF(CF1359="L23",Parameter!$H$6+Parameter!$H$7,Parameter!$H$5+Parameter!$H$6+Parameter!$H$7))-(BH1359-BC1359))/BC1359)))</f>
        <v>1</v>
      </c>
      <c r="BJ1359" s="48" t="str">
        <f aca="false">IF(AI1359&lt;=0,"",IF(CF1359="Aussen","Aussenlager",IF(CF1359="-","Nicht im Lift",IF(AO1359&gt;=1,"Lift",IF(AO1359&lt;=0,"Aussenlager","teilweise")))))</f>
        <v>Lift</v>
      </c>
      <c r="BK1359" s="48" t="str">
        <f aca="false">IF(AS1359&lt;=0,"",IF(CF1359="Aussen","Aussenlager",IF(CF1359="-","Nicht im Lift",IF(AY1359&gt;=1,"Lift",IF(AY1359&lt;=0,"Aussenlager","teilweise")))))</f>
        <v>Lift</v>
      </c>
      <c r="BL1359" s="48" t="str">
        <f aca="false">IF(BC1359&lt;=0,"",IF(CF1359="Aussen","Aussenlager",IF(CF1359="-","Nicht im Lift",IF(BI1359&gt;=1,"Lift",IF(BI1359&lt;=0,"Aussenlager","teilweise")))))</f>
        <v>Lift</v>
      </c>
      <c r="BM1359" s="48" t="str">
        <f aca="false">IF(A1359="","",IF(BV1359=1,"Neu; ","")&amp;IF(AND(BV1359=0,BQ1359&lt;0),"negativer Bestand (Export "&amp;BQ1359&amp;"); ","")&amp;IF(J1359&lt;=0,"Kein Verbrauch; ","")&amp;IF(CQ1359&gt;0,"Lift "&amp;W1359&amp;" lt. Liftbericht (Fach "&amp;X1359&amp;" Stk); ",IF(CA1359=1,"Gebinde geschätzt ("&amp;T1359&amp;"); ",IF(BZ1359=1,"Lose – Tablare geschätzt; ","")))&amp;IF(H1359&gt;AV1359,"Überbestand "&amp;ROUND(H1359-AV1359,0)&amp;" Stk / CHF "&amp;ROUND((H1359-AV1359)*G1359,0)&amp;"; ","")&amp;IF(AND(CH1359=1,CI1359&lt;CJ1359),"MAX &lt; MB+LG; ","")&amp;IF(AND(CP1359&gt;0,CO1359*10&gt;CP1359),"zu hoch für Tablar; ","")&amp;IF(AND(BV1359=0,OR(CH1359=1,AA1359&lt;&gt;"",U1359&lt;&gt;"",V1359&lt;&gt;"",AB1359&lt;&gt;"")),"manuell übersteuert; ","")&amp;IF(AND(BZ1359=0,R1359=0),"Gebinde unbekannt / Stellmass fehlt; ","")&amp;IF(AND(BZ1359=0,N(V1359)&lt;=0,N(Q1359)&lt;=0),"Menge pro Gebinde fehlt (Ist = 1 Gebinde); ","")&amp;BU1359)</f>
        <v>negativer Bestand (Export -45); Überbestand 31 Stk / CHF 1550; </v>
      </c>
      <c r="BN1359" s="48"/>
      <c r="BO1359" s="48"/>
      <c r="BP1359" s="55"/>
      <c r="BQ1359" s="50" t="n">
        <v>-45</v>
      </c>
      <c r="BR1359" s="50" t="n">
        <v>108</v>
      </c>
      <c r="BS1359" s="49" t="n">
        <v>-2249.55</v>
      </c>
      <c r="BT1359" s="50" t="n">
        <v>30</v>
      </c>
      <c r="BU1359" s="48"/>
      <c r="BV1359" s="53" t="n">
        <v>0</v>
      </c>
      <c r="BW1359" s="53" t="n">
        <v>1359</v>
      </c>
      <c r="BX1359" s="48" t="str">
        <f aca="false">IF(U1359&lt;&gt;"",UPPER(TRIM(U1359)),IF(CA1359=1,UPPER(VLOOKUP(T1359,Parameter!$I$27:$K$29,2,0)),IF(P1359="","LOSE",P1359)))</f>
        <v>S51</v>
      </c>
      <c r="BY1359" s="50" t="n">
        <f aca="false">IF(BX1359="LOSE",1,IF(N(V1359)&gt;0,V1359,IF(CA1359=1,MAX(1,N(VLOOKUP(T1359,Parameter!$I$27:$K$29,3,0)),H1359,N(N1359)),IF(N(Q1359)&gt;0,Q1359,MAX(1,H1359)))))</f>
        <v>161</v>
      </c>
      <c r="BZ1359" s="53" t="n">
        <f aca="false">IF(BX1359="LOSE",1,0)</f>
        <v>0</v>
      </c>
      <c r="CA1359" s="53" t="n">
        <f aca="false">IF(AND(U1359="",OR(P1359="",P1359="LOSE"),T1359&lt;&gt;"",N(S1359)&lt;=0,ISNUMBER(MATCH(T1359,Parameter!$I$27:$I$29,0))),1,0)</f>
        <v>0</v>
      </c>
      <c r="CB1359" s="53" t="n">
        <f aca="false">IF(CQ1359&gt;0,INDEX(Parameter!$H$5:$H$7,W1359)/INDEX(Parameter!$E$5:$E$7,W1359),IF(AND(BZ1359=0,N(IFERROR(VLOOKUP(BX1359,'Gebinde-Kategorie'!$A$5:$N$45,14,0),0))&gt;0),VLOOKUP(BX1359,'Gebinde-Kategorie'!$A$5:$N$45,14,0)*10+Parameter!$M$23,Parameter!$M$24))</f>
        <v>155</v>
      </c>
      <c r="CC1359" s="48" t="str">
        <f aca="false">IF(AND(Parameter!$B$19="Ja",E1359&lt;&gt;"",ISNUMBER(MATCH(E1359,Parameter!$I$35:$I$52,0))),VLOOKUP(E1359,Parameter!$I$35:$J$52,2,0),IFERROR(VLOOKUP(D1359,Parameter!$A$35:$C$64,2,0),"Nein"))</f>
        <v>2+3</v>
      </c>
      <c r="CD1359" s="52" t="n">
        <f aca="false">IF(BZ1359=0,0,IF(N(S1359)&gt;0,S1359,IFERROR(VLOOKUP(D1359,Parameter!$A$35:$C$64,3,0)+0,0)))</f>
        <v>0</v>
      </c>
      <c r="CE1359" s="48" t="n">
        <f aca="false">IF(AA1359&lt;&gt;"",AA1359,Z1359)</f>
        <v>3</v>
      </c>
      <c r="CF1359" s="48" t="str">
        <f aca="false">IF(OR(CE1359=1,CE1359=2,CE1359=3),IF(Parameter!$E$27="Ja","LIFT",IF(CE1359=1,"L1","L23")),IF(CE1359="Aussen","Aussen","-"))</f>
        <v>LIFT</v>
      </c>
      <c r="CG1359" s="59" t="n">
        <f aca="false">IF(N(AB1359)&gt;0,AB1359,0)</f>
        <v>0</v>
      </c>
      <c r="CH1359" s="53" t="n">
        <f aca="false">IF(ISNUMBER(AE1359),1,0)</f>
        <v>0</v>
      </c>
      <c r="CI1359" s="50" t="n">
        <f aca="false">N(AE1359)</f>
        <v>0</v>
      </c>
      <c r="CJ1359" s="50" t="n">
        <f aca="false">N(M1359)+N(N1359)</f>
        <v>32</v>
      </c>
      <c r="CK1359" s="50" t="n">
        <f aca="false">N(M1359)</f>
        <v>2</v>
      </c>
      <c r="CL1359" s="50" t="n">
        <f aca="false">N(N1359)</f>
        <v>30</v>
      </c>
      <c r="CM1359" s="50" t="n">
        <f aca="false">ROUNDUP(H1359/BY1359,0)</f>
        <v>1</v>
      </c>
      <c r="CN1359" s="50" t="n">
        <f aca="false">ROUNDUP(CI1359/BY1359,0)</f>
        <v>0</v>
      </c>
      <c r="CO1359" s="53" t="n">
        <f aca="false">IF(BZ1359=1,0,IFERROR(VLOOKUP(BX1359,'Gebinde-Kategorie'!$A$5:$N$45,5,0)+0,0))</f>
        <v>11</v>
      </c>
      <c r="CP1359" s="53" t="n">
        <f aca="false">IFERROR(IF(OR(CE1359=1,CE1359=2,CE1359=3),N(INDEX(Parameter!$I$5:$I$7,CE1359)),0),0)</f>
        <v>0</v>
      </c>
      <c r="CQ1359" s="52" t="n">
        <f aca="false">IF(AND(Parameter!$B$21="Ja",ISNUMBER(W1359),N(X1359)&gt;0),IFERROR(N(INDEX(Parameter!$L$5:$L$7,W1359))*INDEX(Parameter!$E$5:$E$7,W1359)*X1359/SUMIFS($X$7:$X$1843,$W$7:$W$1843,W1359),0),0)</f>
        <v>0</v>
      </c>
    </row>
    <row r="1360" customFormat="false" ht="15" hidden="false" customHeight="false" outlineLevel="0" collapsed="false">
      <c r="A1360" s="48" t="s">
        <v>2406</v>
      </c>
      <c r="B1360" s="48" t="s">
        <v>215</v>
      </c>
      <c r="C1360" s="48" t="s">
        <v>176</v>
      </c>
      <c r="D1360" s="48" t="s">
        <v>182</v>
      </c>
      <c r="E1360" s="48" t="s">
        <v>175</v>
      </c>
      <c r="F1360" s="48" t="s">
        <v>227</v>
      </c>
      <c r="G1360" s="49" t="n">
        <v>2326.66</v>
      </c>
      <c r="H1360" s="50" t="n">
        <f aca="false">MAX(0,IF(AND(Parameter!$B$21="Ja",ISNUMBER(Y1360)),Y1360,IF(Parameter!$B$20="Jahresanfang 2025 + Export",BR1360+BQ1360,BQ1360)))</f>
        <v>1</v>
      </c>
      <c r="I1360" s="50" t="n">
        <f aca="false">H1360*G1360</f>
        <v>2326.66</v>
      </c>
      <c r="J1360" s="50" t="n">
        <f aca="false">BT1360*Parameter!$B$18</f>
        <v>0</v>
      </c>
      <c r="K1360" s="51" t="n">
        <v>10</v>
      </c>
      <c r="L1360" s="52" t="n">
        <v>0</v>
      </c>
      <c r="M1360" s="50" t="n">
        <v>0</v>
      </c>
      <c r="N1360" s="50" t="n">
        <v>1</v>
      </c>
      <c r="O1360" s="53" t="n">
        <v>49</v>
      </c>
      <c r="P1360" s="48" t="s">
        <v>177</v>
      </c>
      <c r="Q1360" s="50"/>
      <c r="R1360" s="53" t="n">
        <f aca="false">IF(BZ1360=1,0,IFERROR(VLOOKUP(BX1360,'Gebinde-Kategorie'!$A$5:$N$45,13,0)+0,0))</f>
        <v>0</v>
      </c>
      <c r="S1360" s="54"/>
      <c r="T1360" s="55"/>
      <c r="U1360" s="55"/>
      <c r="V1360" s="55"/>
      <c r="W1360" s="48" t="n">
        <v>1</v>
      </c>
      <c r="X1360" s="50" t="n">
        <v>1</v>
      </c>
      <c r="Y1360" s="50" t="n">
        <v>1</v>
      </c>
      <c r="Z1360" s="48" t="n">
        <f aca="false">IF(A1360="","",IF(AND(Parameter!$B$21="Ja",ISNUMBER(W1360)),W1360,IF(CC1360="2+3",IF(ISNUMBER(SEARCH("grosser Artikel",BU1360)),2,IFERROR(VLOOKUP(BX1360,Parameter!$F$35:$G$64,2,0),2)),IF(OR(CC1360="Nein",CC1360=""),"-",CC1360))))</f>
        <v>1</v>
      </c>
      <c r="AA1360" s="55"/>
      <c r="AB1360" s="56"/>
      <c r="AC1360" s="50" t="n">
        <f aca="false">AV1360</f>
        <v>1</v>
      </c>
      <c r="AD1360" s="50" t="n">
        <f aca="false">MAX(AV1360,H1360)</f>
        <v>1</v>
      </c>
      <c r="AE1360" s="57"/>
      <c r="AF1360" s="50" t="n">
        <f aca="false">IF(LEFT(Cockpit!$C$5,1)="A",H1360,IF(Parameter!$E$30="MAX-Bestand",IF(CH1360=1,CI1360,IF(LEFT(Cockpit!$C$5,1)="B",AL1360,MAX(AL1360,H1360))),ROUNDUP(AJ1360,0)))</f>
        <v>1</v>
      </c>
      <c r="AG1360" s="50" t="n">
        <f aca="false">IF(BZ1360=1,0,ROUNDUP(AF1360/BY1360,0))</f>
        <v>0</v>
      </c>
      <c r="AH1360" s="52" t="n">
        <f aca="false">IF(CQ1360&gt;0,CQ1360*MAX(1,AF1360/X1360),IF(BZ1360=1,IF(AF1360&lt;=0,0,CD1360*MAX(1,IF(H1360&gt;0,AF1360/H1360,1))),IF(R1360&gt;0,AG1360/R1360,0))/MAX(0.1,N(Parameter!$M$21)))</f>
        <v>0.0800376647834275</v>
      </c>
      <c r="AI1360" s="50" t="n">
        <f aca="false">AH1360*CB1360</f>
        <v>19.0489642184557</v>
      </c>
      <c r="AJ1360" s="51" t="n">
        <f aca="false">IF(LEFT(Cockpit!$C$5,1)="A",H1360,IF(CH1360=1,(CK1360+CI1360)/2,IF(LEFT(Cockpit!$C$5,1)="B",(CK1360+AL1360)/2,MAX((CK1360+AL1360)/2,H1360))))</f>
        <v>1</v>
      </c>
      <c r="AK1360" s="50" t="n">
        <f aca="false">AJ1360*G1360</f>
        <v>2326.66</v>
      </c>
      <c r="AL1360" s="50" t="n">
        <f aca="false">ROUNDUP(CK1360+MAX(CL1360,2*(J1360/IF(CG1360&gt;0,CG1360,MAX(0.1,N(Cockpit!$C$6)))-CK1360)),0)</f>
        <v>1</v>
      </c>
      <c r="AM1360" s="51" t="n">
        <f aca="false">IF(AI1360&gt;0,J1360/AI1360,-1)</f>
        <v>0</v>
      </c>
      <c r="AN1360" s="51" t="n">
        <f aca="false">IF(AND(OR(CF1360="L1",CF1360="L23",CF1360="LIFT"),AI1360&gt;0),SUMIFS($AI$7:$AI$1843,$CF$7:$CF$1843,CF1360,$AM$7:$AM$1843,"&gt;"&amp;AM1360)+SUMIFS($AI$7:$AI$1843,$CF$7:$CF$1843,CF1360,$AM$7:$AM$1843,AM1360,$BW$7:$BW$1843,"&lt;="&amp;BW1360),"")</f>
        <v>29690.205441216</v>
      </c>
      <c r="AO1360" s="58" t="n">
        <f aca="false">IF(AN1360="",0,MAX(0,MIN(1,(IF(CF1360="L1",Parameter!$H$5,IF(CF1360="L23",Parameter!$H$6+Parameter!$H$7,Parameter!$H$5+Parameter!$H$6+Parameter!$H$7))-(AN1360-AI1360))/AI1360)))</f>
        <v>1</v>
      </c>
      <c r="AP1360" s="50" t="n">
        <f aca="false">IF(LEFT(Cockpit!$I$5,1)="A",H1360,IF(Parameter!$E$30="MAX-Bestand",IF(CH1360=1,CI1360,IF(LEFT(Cockpit!$I$5,1)="B",AV1360,MAX(AV1360,H1360))),ROUNDUP(AT1360,0)))</f>
        <v>1</v>
      </c>
      <c r="AQ1360" s="50" t="n">
        <f aca="false">IF(BZ1360=1,0,ROUNDUP(AP1360/BY1360,0))</f>
        <v>0</v>
      </c>
      <c r="AR1360" s="52" t="n">
        <f aca="false">IF(CQ1360&gt;0,CQ1360*MAX(1,AP1360/X1360),IF(BZ1360=1,IF(AP1360&lt;=0,0,CD1360*MAX(1,IF(H1360&gt;0,AP1360/H1360,1))),IF(R1360&gt;0,AQ1360/R1360,0))/MAX(0.1,N(Parameter!$M$21)))</f>
        <v>0.0800376647834275</v>
      </c>
      <c r="AS1360" s="50" t="n">
        <f aca="false">AR1360*CB1360</f>
        <v>19.0489642184557</v>
      </c>
      <c r="AT1360" s="51" t="n">
        <f aca="false">IF(LEFT(Cockpit!$I$5,1)="A",H1360,IF(CH1360=1,(CK1360+CI1360)/2,IF(LEFT(Cockpit!$I$5,1)="B",(CK1360+AV1360)/2,MAX((CK1360+AV1360)/2,H1360))))</f>
        <v>1</v>
      </c>
      <c r="AU1360" s="50" t="n">
        <f aca="false">AT1360*G1360</f>
        <v>2326.66</v>
      </c>
      <c r="AV1360" s="50" t="n">
        <f aca="false">ROUNDUP(CK1360+MAX(CL1360,2*(J1360/IF(CG1360&gt;0,CG1360,MAX(0.1,N(Cockpit!$I$6)))-CK1360)),0)</f>
        <v>1</v>
      </c>
      <c r="AW1360" s="51" t="n">
        <f aca="false">IF(AS1360&gt;0,J1360/AS1360,-1)</f>
        <v>0</v>
      </c>
      <c r="AX1360" s="51" t="n">
        <f aca="false">IF(AND(OR(CF1360="L1",CF1360="L23",CF1360="LIFT"),AS1360&gt;0),SUMIFS($AS$7:$AS$1843,$CF$7:$CF$1843,CF1360,$AW$7:$AW$1843,"&gt;"&amp;AW1360)+SUMIFS($AS$7:$AS$1843,$CF$7:$CF$1843,CF1360,$AW$7:$AW$1843,AW1360,$BW$7:$BW$1843,"&lt;="&amp;BW1360),"")</f>
        <v>35933.1223976118</v>
      </c>
      <c r="AY1360" s="58" t="n">
        <f aca="false">IF(AX1360="",0,MAX(0,MIN(1,(IF(CF1360="L1",Parameter!$H$5,IF(CF1360="L23",Parameter!$H$6+Parameter!$H$7,Parameter!$H$5+Parameter!$H$6+Parameter!$H$7))-(AX1360-AS1360))/AS1360)))</f>
        <v>0</v>
      </c>
      <c r="AZ1360" s="50" t="n">
        <f aca="false">IF(LEFT(Cockpit!$O$5,1)="A",H1360,IF(Parameter!$E$30="MAX-Bestand",IF(CH1360=1,CI1360,IF(LEFT(Cockpit!$O$5,1)="B",BF1360,MAX(BF1360,H1360))),ROUNDUP(BD1360,0)))</f>
        <v>1</v>
      </c>
      <c r="BA1360" s="50" t="n">
        <f aca="false">IF(BZ1360=1,0,ROUNDUP(AZ1360/BY1360,0))</f>
        <v>0</v>
      </c>
      <c r="BB1360" s="52" t="n">
        <f aca="false">IF(CQ1360&gt;0,CQ1360*MAX(1,AZ1360/X1360),IF(BZ1360=1,IF(AZ1360&lt;=0,0,CD1360*MAX(1,IF(H1360&gt;0,AZ1360/H1360,1))),IF(R1360&gt;0,BA1360/R1360,0))/MAX(0.1,N(Parameter!$M$21)))</f>
        <v>0.0800376647834275</v>
      </c>
      <c r="BC1360" s="50" t="n">
        <f aca="false">BB1360*CB1360</f>
        <v>19.0489642184557</v>
      </c>
      <c r="BD1360" s="51" t="n">
        <f aca="false">IF(LEFT(Cockpit!$O$5,1)="A",H1360,IF(CH1360=1,(CK1360+CI1360)/2,IF(LEFT(Cockpit!$O$5,1)="B",(CK1360+BF1360)/2,MAX((CK1360+BF1360)/2,H1360))))</f>
        <v>0.5</v>
      </c>
      <c r="BE1360" s="50" t="n">
        <f aca="false">BD1360*G1360</f>
        <v>1163.33</v>
      </c>
      <c r="BF1360" s="50" t="n">
        <f aca="false">ROUNDUP(CK1360+MAX(CL1360,2*(J1360/IF(CG1360&gt;0,CG1360,MAX(0.1,N(Cockpit!$O$6)))-CK1360)),0)</f>
        <v>1</v>
      </c>
      <c r="BG1360" s="51" t="n">
        <f aca="false">IF(BC1360&gt;0,J1360/BC1360,-1)</f>
        <v>0</v>
      </c>
      <c r="BH1360" s="51" t="n">
        <f aca="false">IF(AND(OR(CF1360="L1",CF1360="L23",CF1360="LIFT"),BC1360&gt;0),SUMIFS($BC$7:$BC$1843,$CF$7:$CF$1843,CF1360,$BG$7:$BG$1843,"&gt;"&amp;BG1360)+SUMIFS($BC$7:$BC$1843,$CF$7:$CF$1843,CF1360,$BG$7:$BG$1843,BG1360,$BW$7:$BW$1843,"&lt;="&amp;BW1360),"")</f>
        <v>29918.4290577596</v>
      </c>
      <c r="BI1360" s="58" t="n">
        <f aca="false">IF(BH1360="",0,MAX(0,MIN(1,(IF(CF1360="L1",Parameter!$H$5,IF(CF1360="L23",Parameter!$H$6+Parameter!$H$7,Parameter!$H$5+Parameter!$H$6+Parameter!$H$7))-(BH1360-BC1360))/BC1360)))</f>
        <v>1</v>
      </c>
      <c r="BJ1360" s="48" t="str">
        <f aca="false">IF(AI1360&lt;=0,"",IF(CF1360="Aussen","Aussenlager",IF(CF1360="-","Nicht im Lift",IF(AO1360&gt;=1,"Lift",IF(AO1360&lt;=0,"Aussenlager","teilweise")))))</f>
        <v>Lift</v>
      </c>
      <c r="BK1360" s="48" t="str">
        <f aca="false">IF(AS1360&lt;=0,"",IF(CF1360="Aussen","Aussenlager",IF(CF1360="-","Nicht im Lift",IF(AY1360&gt;=1,"Lift",IF(AY1360&lt;=0,"Aussenlager","teilweise")))))</f>
        <v>Aussenlager</v>
      </c>
      <c r="BL1360" s="48" t="str">
        <f aca="false">IF(BC1360&lt;=0,"",IF(CF1360="Aussen","Aussenlager",IF(CF1360="-","Nicht im Lift",IF(BI1360&gt;=1,"Lift",IF(BI1360&lt;=0,"Aussenlager","teilweise")))))</f>
        <v>Lift</v>
      </c>
      <c r="BM1360" s="48" t="str">
        <f aca="false">IF(A1360="","",IF(BV1360=1,"Neu; ","")&amp;IF(AND(BV1360=0,BQ1360&lt;0),"negativer Bestand (Export "&amp;BQ1360&amp;"); ","")&amp;IF(J1360&lt;=0,"Kein Verbrauch; ","")&amp;IF(CQ1360&gt;0,"Lift "&amp;W1360&amp;" lt. Liftbericht (Fach "&amp;X1360&amp;" Stk); ",IF(CA1360=1,"Gebinde geschätzt ("&amp;T1360&amp;"); ",IF(BZ1360=1,"Lose – Tablare geschätzt; ","")))&amp;IF(H1360&gt;AV1360,"Überbestand "&amp;ROUND(H1360-AV1360,0)&amp;" Stk / CHF "&amp;ROUND((H1360-AV1360)*G1360,0)&amp;"; ","")&amp;IF(AND(CH1360=1,CI1360&lt;CJ1360),"MAX &lt; MB+LG; ","")&amp;IF(AND(CP1360&gt;0,CO1360*10&gt;CP1360),"zu hoch für Tablar; ","")&amp;IF(AND(BV1360=0,OR(CH1360=1,AA1360&lt;&gt;"",U1360&lt;&gt;"",V1360&lt;&gt;"",AB1360&lt;&gt;"")),"manuell übersteuert; ","")&amp;IF(AND(BZ1360=0,R1360=0),"Gebinde unbekannt / Stellmass fehlt; ","")&amp;IF(AND(BZ1360=0,N(V1360)&lt;=0,N(Q1360)&lt;=0),"Menge pro Gebinde fehlt (Ist = 1 Gebinde); ","")&amp;BU1360)</f>
        <v>negativer Bestand (Export -1); Kein Verbrauch; Lift 1 lt. Liftbericht (Fach 1 Stk); Standartdüse</v>
      </c>
      <c r="BN1360" s="48"/>
      <c r="BO1360" s="48"/>
      <c r="BP1360" s="55"/>
      <c r="BQ1360" s="50" t="n">
        <v>-1</v>
      </c>
      <c r="BR1360" s="50" t="n">
        <v>10</v>
      </c>
      <c r="BS1360" s="49" t="n">
        <v>-2326.66</v>
      </c>
      <c r="BT1360" s="50" t="n">
        <v>0</v>
      </c>
      <c r="BU1360" s="48" t="s">
        <v>2407</v>
      </c>
      <c r="BV1360" s="53" t="n">
        <v>0</v>
      </c>
      <c r="BW1360" s="53" t="n">
        <v>1360</v>
      </c>
      <c r="BX1360" s="48" t="str">
        <f aca="false">IF(U1360&lt;&gt;"",UPPER(TRIM(U1360)),IF(CA1360=1,UPPER(VLOOKUP(T1360,Parameter!$I$27:$K$29,2,0)),IF(P1360="","LOSE",P1360)))</f>
        <v>LOSE</v>
      </c>
      <c r="BY1360" s="50" t="n">
        <f aca="false">IF(BX1360="LOSE",1,IF(N(V1360)&gt;0,V1360,IF(CA1360=1,MAX(1,N(VLOOKUP(T1360,Parameter!$I$27:$K$29,3,0)),H1360,N(N1360)),IF(N(Q1360)&gt;0,Q1360,MAX(1,H1360)))))</f>
        <v>1</v>
      </c>
      <c r="BZ1360" s="53" t="n">
        <f aca="false">IF(BX1360="LOSE",1,0)</f>
        <v>1</v>
      </c>
      <c r="CA1360" s="53" t="n">
        <f aca="false">IF(AND(U1360="",OR(P1360="",P1360="LOSE"),T1360&lt;&gt;"",N(S1360)&lt;=0,ISNUMBER(MATCH(T1360,Parameter!$I$27:$I$29,0))),1,0)</f>
        <v>0</v>
      </c>
      <c r="CB1360" s="53" t="n">
        <f aca="false">IF(CQ1360&gt;0,INDEX(Parameter!$H$5:$H$7,W1360)/INDEX(Parameter!$E$5:$E$7,W1360),IF(AND(BZ1360=0,N(IFERROR(VLOOKUP(BX1360,'Gebinde-Kategorie'!$A$5:$N$45,14,0),0))&gt;0),VLOOKUP(BX1360,'Gebinde-Kategorie'!$A$5:$N$45,14,0)*10+Parameter!$M$23,Parameter!$M$24))</f>
        <v>238</v>
      </c>
      <c r="CC1360" s="48" t="n">
        <f aca="false">IF(AND(Parameter!$B$19="Ja",E1360&lt;&gt;"",ISNUMBER(MATCH(E1360,Parameter!$I$35:$I$52,0))),VLOOKUP(E1360,Parameter!$I$35:$J$52,2,0),IFERROR(VLOOKUP(D1360,Parameter!$A$35:$C$64,2,0),"Nein"))</f>
        <v>1</v>
      </c>
      <c r="CD1360" s="52" t="n">
        <f aca="false">IF(BZ1360=0,0,IF(N(S1360)&gt;0,S1360,IFERROR(VLOOKUP(D1360,Parameter!$A$35:$C$64,3,0)+0,0)))</f>
        <v>0.15</v>
      </c>
      <c r="CE1360" s="48" t="n">
        <f aca="false">IF(AA1360&lt;&gt;"",AA1360,Z1360)</f>
        <v>1</v>
      </c>
      <c r="CF1360" s="48" t="str">
        <f aca="false">IF(OR(CE1360=1,CE1360=2,CE1360=3),IF(Parameter!$E$27="Ja","LIFT",IF(CE1360=1,"L1","L23")),IF(CE1360="Aussen","Aussen","-"))</f>
        <v>LIFT</v>
      </c>
      <c r="CG1360" s="59" t="n">
        <f aca="false">IF(N(AB1360)&gt;0,AB1360,0)</f>
        <v>0</v>
      </c>
      <c r="CH1360" s="53" t="n">
        <f aca="false">IF(ISNUMBER(AE1360),1,0)</f>
        <v>0</v>
      </c>
      <c r="CI1360" s="50" t="n">
        <f aca="false">N(AE1360)</f>
        <v>0</v>
      </c>
      <c r="CJ1360" s="50" t="n">
        <f aca="false">N(M1360)+N(N1360)</f>
        <v>1</v>
      </c>
      <c r="CK1360" s="50" t="n">
        <f aca="false">N(M1360)</f>
        <v>0</v>
      </c>
      <c r="CL1360" s="50" t="n">
        <f aca="false">N(N1360)</f>
        <v>1</v>
      </c>
      <c r="CM1360" s="50" t="n">
        <f aca="false">ROUNDUP(H1360/BY1360,0)</f>
        <v>1</v>
      </c>
      <c r="CN1360" s="50" t="n">
        <f aca="false">ROUNDUP(CI1360/BY1360,0)</f>
        <v>0</v>
      </c>
      <c r="CO1360" s="53" t="n">
        <f aca="false">IF(BZ1360=1,0,IFERROR(VLOOKUP(BX1360,'Gebinde-Kategorie'!$A$5:$N$45,5,0)+0,0))</f>
        <v>0</v>
      </c>
      <c r="CP1360" s="53" t="n">
        <f aca="false">IFERROR(IF(OR(CE1360=1,CE1360=2,CE1360=3),N(INDEX(Parameter!$I$5:$I$7,CE1360)),0),0)</f>
        <v>0</v>
      </c>
      <c r="CQ1360" s="52" t="n">
        <f aca="false">IF(AND(Parameter!$B$21="Ja",ISNUMBER(W1360),N(X1360)&gt;0),IFERROR(N(INDEX(Parameter!$L$5:$L$7,W1360))*INDEX(Parameter!$E$5:$E$7,W1360)*X1360/SUMIFS($X$7:$X$1843,$W$7:$W$1843,W1360),0),0)</f>
        <v>0.0800376647834275</v>
      </c>
    </row>
    <row r="1361" customFormat="false" ht="15" hidden="false" customHeight="false" outlineLevel="0" collapsed="false">
      <c r="A1361" s="48" t="s">
        <v>2408</v>
      </c>
      <c r="B1361" s="48" t="s">
        <v>607</v>
      </c>
      <c r="C1361" s="48" t="s">
        <v>173</v>
      </c>
      <c r="D1361" s="48" t="s">
        <v>193</v>
      </c>
      <c r="E1361" s="48" t="s">
        <v>194</v>
      </c>
      <c r="F1361" s="48" t="s">
        <v>227</v>
      </c>
      <c r="G1361" s="49" t="n">
        <v>18.95</v>
      </c>
      <c r="H1361" s="50" t="n">
        <f aca="false">MAX(0,IF(AND(Parameter!$B$21="Ja",ISNUMBER(Y1361)),Y1361,IF(Parameter!$B$20="Jahresanfang 2025 + Export",BR1361+BQ1361,BQ1361)))</f>
        <v>50</v>
      </c>
      <c r="I1361" s="50" t="n">
        <f aca="false">H1361*G1361</f>
        <v>947.5</v>
      </c>
      <c r="J1361" s="50" t="n">
        <f aca="false">BT1361*Parameter!$B$18</f>
        <v>82</v>
      </c>
      <c r="K1361" s="51" t="n">
        <v>133</v>
      </c>
      <c r="L1361" s="52" t="n">
        <v>0.616541353383459</v>
      </c>
      <c r="M1361" s="50" t="n">
        <v>3</v>
      </c>
      <c r="N1361" s="50" t="n">
        <v>90</v>
      </c>
      <c r="O1361" s="53" t="n">
        <v>14</v>
      </c>
      <c r="P1361" s="48" t="s">
        <v>311</v>
      </c>
      <c r="Q1361" s="50" t="n">
        <v>123</v>
      </c>
      <c r="R1361" s="53" t="n">
        <f aca="false">IF(BZ1361=1,0,IFERROR(VLOOKUP(BX1361,'Gebinde-Kategorie'!$A$5:$N$45,13,0)+0,0))</f>
        <v>26</v>
      </c>
      <c r="S1361" s="54"/>
      <c r="T1361" s="55"/>
      <c r="U1361" s="55"/>
      <c r="V1361" s="55"/>
      <c r="W1361" s="48"/>
      <c r="X1361" s="50"/>
      <c r="Y1361" s="50"/>
      <c r="Z1361" s="48" t="n">
        <f aca="false">IF(A1361="","",IF(AND(Parameter!$B$21="Ja",ISNUMBER(W1361)),W1361,IF(CC1361="2+3",IF(ISNUMBER(SEARCH("grosser Artikel",BU1361)),2,IFERROR(VLOOKUP(BX1361,Parameter!$F$35:$G$64,2,0),2)),IF(OR(CC1361="Nein",CC1361=""),"-",CC1361))))</f>
        <v>3</v>
      </c>
      <c r="AA1361" s="55"/>
      <c r="AB1361" s="56"/>
      <c r="AC1361" s="50" t="n">
        <f aca="false">AV1361</f>
        <v>93</v>
      </c>
      <c r="AD1361" s="50" t="n">
        <f aca="false">MAX(AV1361,H1361)</f>
        <v>93</v>
      </c>
      <c r="AE1361" s="57"/>
      <c r="AF1361" s="50" t="n">
        <f aca="false">IF(LEFT(Cockpit!$C$5,1)="A",H1361,IF(Parameter!$E$30="MAX-Bestand",IF(CH1361=1,CI1361,IF(LEFT(Cockpit!$C$5,1)="B",AL1361,MAX(AL1361,H1361))),ROUNDUP(AJ1361,0)))</f>
        <v>50</v>
      </c>
      <c r="AG1361" s="50" t="n">
        <f aca="false">IF(BZ1361=1,0,ROUNDUP(AF1361/BY1361,0))</f>
        <v>1</v>
      </c>
      <c r="AH1361" s="52" t="n">
        <f aca="false">IF(CQ1361&gt;0,CQ1361*MAX(1,AF1361/X1361),IF(BZ1361=1,IF(AF1361&lt;=0,0,CD1361*MAX(1,IF(H1361&gt;0,AF1361/H1361,1))),IF(R1361&gt;0,AG1361/R1361,0))/MAX(0.1,N(Parameter!$M$21)))</f>
        <v>0.0384615384615385</v>
      </c>
      <c r="AI1361" s="50" t="n">
        <f aca="false">AH1361*CB1361</f>
        <v>5.96153846153846</v>
      </c>
      <c r="AJ1361" s="51" t="n">
        <f aca="false">IF(LEFT(Cockpit!$C$5,1)="A",H1361,IF(CH1361=1,(CK1361+CI1361)/2,IF(LEFT(Cockpit!$C$5,1)="B",(CK1361+AL1361)/2,MAX((CK1361+AL1361)/2,H1361))))</f>
        <v>50</v>
      </c>
      <c r="AK1361" s="50" t="n">
        <f aca="false">AJ1361*G1361</f>
        <v>947.5</v>
      </c>
      <c r="AL1361" s="50" t="n">
        <f aca="false">ROUNDUP(CK1361+MAX(CL1361,2*(J1361/IF(CG1361&gt;0,CG1361,MAX(0.1,N(Cockpit!$C$6)))-CK1361)),0)</f>
        <v>93</v>
      </c>
      <c r="AM1361" s="51" t="n">
        <f aca="false">IF(AI1361&gt;0,J1361/AI1361,-1)</f>
        <v>13.7548387096774</v>
      </c>
      <c r="AN1361" s="51" t="n">
        <f aca="false">IF(AND(OR(CF1361="L1",CF1361="L23",CF1361="LIFT"),AI1361&gt;0),SUMIFS($AI$7:$AI$1843,$CF$7:$CF$1843,CF1361,$AM$7:$AM$1843,"&gt;"&amp;AM1361)+SUMIFS($AI$7:$AI$1843,$CF$7:$CF$1843,CF1361,$AM$7:$AM$1843,AM1361,$BW$7:$BW$1843,"&lt;="&amp;BW1361),"")</f>
        <v>2231.61263736264</v>
      </c>
      <c r="AO1361" s="58" t="n">
        <f aca="false">IF(AN1361="",0,MAX(0,MIN(1,(IF(CF1361="L1",Parameter!$H$5,IF(CF1361="L23",Parameter!$H$6+Parameter!$H$7,Parameter!$H$5+Parameter!$H$6+Parameter!$H$7))-(AN1361-AI1361))/AI1361)))</f>
        <v>1</v>
      </c>
      <c r="AP1361" s="50" t="n">
        <f aca="false">IF(LEFT(Cockpit!$I$5,1)="A",H1361,IF(Parameter!$E$30="MAX-Bestand",IF(CH1361=1,CI1361,IF(LEFT(Cockpit!$I$5,1)="B",AV1361,MAX(AV1361,H1361))),ROUNDUP(AT1361,0)))</f>
        <v>50</v>
      </c>
      <c r="AQ1361" s="50" t="n">
        <f aca="false">IF(BZ1361=1,0,ROUNDUP(AP1361/BY1361,0))</f>
        <v>1</v>
      </c>
      <c r="AR1361" s="52" t="n">
        <f aca="false">IF(CQ1361&gt;0,CQ1361*MAX(1,AP1361/X1361),IF(BZ1361=1,IF(AP1361&lt;=0,0,CD1361*MAX(1,IF(H1361&gt;0,AP1361/H1361,1))),IF(R1361&gt;0,AQ1361/R1361,0))/MAX(0.1,N(Parameter!$M$21)))</f>
        <v>0.0384615384615385</v>
      </c>
      <c r="AS1361" s="50" t="n">
        <f aca="false">AR1361*CB1361</f>
        <v>5.96153846153846</v>
      </c>
      <c r="AT1361" s="51" t="n">
        <f aca="false">IF(LEFT(Cockpit!$I$5,1)="A",H1361,IF(CH1361=1,(CK1361+CI1361)/2,IF(LEFT(Cockpit!$I$5,1)="B",(CK1361+AV1361)/2,MAX((CK1361+AV1361)/2,H1361))))</f>
        <v>50</v>
      </c>
      <c r="AU1361" s="50" t="n">
        <f aca="false">AT1361*G1361</f>
        <v>947.5</v>
      </c>
      <c r="AV1361" s="50" t="n">
        <f aca="false">ROUNDUP(CK1361+MAX(CL1361,2*(J1361/IF(CG1361&gt;0,CG1361,MAX(0.1,N(Cockpit!$I$6)))-CK1361)),0)</f>
        <v>93</v>
      </c>
      <c r="AW1361" s="51" t="n">
        <f aca="false">IF(AS1361&gt;0,J1361/AS1361,-1)</f>
        <v>13.7548387096774</v>
      </c>
      <c r="AX1361" s="51" t="n">
        <f aca="false">IF(AND(OR(CF1361="L1",CF1361="L23",CF1361="LIFT"),AS1361&gt;0),SUMIFS($AS$7:$AS$1843,$CF$7:$CF$1843,CF1361,$AW$7:$AW$1843,"&gt;"&amp;AW1361)+SUMIFS($AS$7:$AS$1843,$CF$7:$CF$1843,CF1361,$AW$7:$AW$1843,AW1361,$BW$7:$BW$1843,"&lt;="&amp;BW1361),"")</f>
        <v>2850.79945054945</v>
      </c>
      <c r="AY1361" s="58" t="n">
        <f aca="false">IF(AX1361="",0,MAX(0,MIN(1,(IF(CF1361="L1",Parameter!$H$5,IF(CF1361="L23",Parameter!$H$6+Parameter!$H$7,Parameter!$H$5+Parameter!$H$6+Parameter!$H$7))-(AX1361-AS1361))/AS1361)))</f>
        <v>1</v>
      </c>
      <c r="AZ1361" s="50" t="n">
        <f aca="false">IF(LEFT(Cockpit!$O$5,1)="A",H1361,IF(Parameter!$E$30="MAX-Bestand",IF(CH1361=1,CI1361,IF(LEFT(Cockpit!$O$5,1)="B",BF1361,MAX(BF1361,H1361))),ROUNDUP(BD1361,0)))</f>
        <v>48</v>
      </c>
      <c r="BA1361" s="50" t="n">
        <f aca="false">IF(BZ1361=1,0,ROUNDUP(AZ1361/BY1361,0))</f>
        <v>1</v>
      </c>
      <c r="BB1361" s="52" t="n">
        <f aca="false">IF(CQ1361&gt;0,CQ1361*MAX(1,AZ1361/X1361),IF(BZ1361=1,IF(AZ1361&lt;=0,0,CD1361*MAX(1,IF(H1361&gt;0,AZ1361/H1361,1))),IF(R1361&gt;0,BA1361/R1361,0))/MAX(0.1,N(Parameter!$M$21)))</f>
        <v>0.0384615384615385</v>
      </c>
      <c r="BC1361" s="50" t="n">
        <f aca="false">BB1361*CB1361</f>
        <v>5.96153846153846</v>
      </c>
      <c r="BD1361" s="51" t="n">
        <f aca="false">IF(LEFT(Cockpit!$O$5,1)="A",H1361,IF(CH1361=1,(CK1361+CI1361)/2,IF(LEFT(Cockpit!$O$5,1)="B",(CK1361+BF1361)/2,MAX((CK1361+BF1361)/2,H1361))))</f>
        <v>48</v>
      </c>
      <c r="BE1361" s="50" t="n">
        <f aca="false">BD1361*G1361</f>
        <v>909.6</v>
      </c>
      <c r="BF1361" s="50" t="n">
        <f aca="false">ROUNDUP(CK1361+MAX(CL1361,2*(J1361/IF(CG1361&gt;0,CG1361,MAX(0.1,N(Cockpit!$O$6)))-CK1361)),0)</f>
        <v>93</v>
      </c>
      <c r="BG1361" s="51" t="n">
        <f aca="false">IF(BC1361&gt;0,J1361/BC1361,-1)</f>
        <v>13.7548387096774</v>
      </c>
      <c r="BH1361" s="51" t="n">
        <f aca="false">IF(AND(OR(CF1361="L1",CF1361="L23",CF1361="LIFT"),BC1361&gt;0),SUMIFS($BC$7:$BC$1843,$CF$7:$CF$1843,CF1361,$BG$7:$BG$1843,"&gt;"&amp;BG1361)+SUMIFS($BC$7:$BC$1843,$CF$7:$CF$1843,CF1361,$BG$7:$BG$1843,BG1361,$BW$7:$BW$1843,"&lt;="&amp;BW1361),"")</f>
        <v>2500.64010989011</v>
      </c>
      <c r="BI1361" s="58" t="n">
        <f aca="false">IF(BH1361="",0,MAX(0,MIN(1,(IF(CF1361="L1",Parameter!$H$5,IF(CF1361="L23",Parameter!$H$6+Parameter!$H$7,Parameter!$H$5+Parameter!$H$6+Parameter!$H$7))-(BH1361-BC1361))/BC1361)))</f>
        <v>1</v>
      </c>
      <c r="BJ1361" s="48" t="str">
        <f aca="false">IF(AI1361&lt;=0,"",IF(CF1361="Aussen","Aussenlager",IF(CF1361="-","Nicht im Lift",IF(AO1361&gt;=1,"Lift",IF(AO1361&lt;=0,"Aussenlager","teilweise")))))</f>
        <v>Lift</v>
      </c>
      <c r="BK1361" s="48" t="str">
        <f aca="false">IF(AS1361&lt;=0,"",IF(CF1361="Aussen","Aussenlager",IF(CF1361="-","Nicht im Lift",IF(AY1361&gt;=1,"Lift",IF(AY1361&lt;=0,"Aussenlager","teilweise")))))</f>
        <v>Lift</v>
      </c>
      <c r="BL1361" s="48" t="str">
        <f aca="false">IF(BC1361&lt;=0,"",IF(CF1361="Aussen","Aussenlager",IF(CF1361="-","Nicht im Lift",IF(BI1361&gt;=1,"Lift",IF(BI1361&lt;=0,"Aussenlager","teilweise")))))</f>
        <v>Lift</v>
      </c>
      <c r="BM1361" s="48" t="str">
        <f aca="false">IF(A1361="","",IF(BV1361=1,"Neu; ","")&amp;IF(AND(BV1361=0,BQ1361&lt;0),"negativer Bestand (Export "&amp;BQ1361&amp;"); ","")&amp;IF(J1361&lt;=0,"Kein Verbrauch; ","")&amp;IF(CQ1361&gt;0,"Lift "&amp;W1361&amp;" lt. Liftbericht (Fach "&amp;X1361&amp;" Stk); ",IF(CA1361=1,"Gebinde geschätzt ("&amp;T1361&amp;"); ",IF(BZ1361=1,"Lose – Tablare geschätzt; ","")))&amp;IF(H1361&gt;AV1361,"Überbestand "&amp;ROUND(H1361-AV1361,0)&amp;" Stk / CHF "&amp;ROUND((H1361-AV1361)*G1361,0)&amp;"; ","")&amp;IF(AND(CH1361=1,CI1361&lt;CJ1361),"MAX &lt; MB+LG; ","")&amp;IF(AND(CP1361&gt;0,CO1361*10&gt;CP1361),"zu hoch für Tablar; ","")&amp;IF(AND(BV1361=0,OR(CH1361=1,AA1361&lt;&gt;"",U1361&lt;&gt;"",V1361&lt;&gt;"",AB1361&lt;&gt;"")),"manuell übersteuert; ","")&amp;IF(AND(BZ1361=0,R1361=0),"Gebinde unbekannt / Stellmass fehlt; ","")&amp;IF(AND(BZ1361=0,N(V1361)&lt;=0,N(Q1361)&lt;=0),"Menge pro Gebinde fehlt (Ist = 1 Gebinde); ","")&amp;BU1361)</f>
        <v>negativer Bestand (Export -124); </v>
      </c>
      <c r="BN1361" s="48"/>
      <c r="BO1361" s="48"/>
      <c r="BP1361" s="55"/>
      <c r="BQ1361" s="50" t="n">
        <v>-124</v>
      </c>
      <c r="BR1361" s="50" t="n">
        <v>174</v>
      </c>
      <c r="BS1361" s="49" t="n">
        <v>-2349.8</v>
      </c>
      <c r="BT1361" s="50" t="n">
        <v>82</v>
      </c>
      <c r="BU1361" s="48"/>
      <c r="BV1361" s="53" t="n">
        <v>0</v>
      </c>
      <c r="BW1361" s="53" t="n">
        <v>1361</v>
      </c>
      <c r="BX1361" s="48" t="str">
        <f aca="false">IF(U1361&lt;&gt;"",UPPER(TRIM(U1361)),IF(CA1361=1,UPPER(VLOOKUP(T1361,Parameter!$I$27:$K$29,2,0)),IF(P1361="","LOSE",P1361)))</f>
        <v>S51</v>
      </c>
      <c r="BY1361" s="50" t="n">
        <f aca="false">IF(BX1361="LOSE",1,IF(N(V1361)&gt;0,V1361,IF(CA1361=1,MAX(1,N(VLOOKUP(T1361,Parameter!$I$27:$K$29,3,0)),H1361,N(N1361)),IF(N(Q1361)&gt;0,Q1361,MAX(1,H1361)))))</f>
        <v>123</v>
      </c>
      <c r="BZ1361" s="53" t="n">
        <f aca="false">IF(BX1361="LOSE",1,0)</f>
        <v>0</v>
      </c>
      <c r="CA1361" s="53" t="n">
        <f aca="false">IF(AND(U1361="",OR(P1361="",P1361="LOSE"),T1361&lt;&gt;"",N(S1361)&lt;=0,ISNUMBER(MATCH(T1361,Parameter!$I$27:$I$29,0))),1,0)</f>
        <v>0</v>
      </c>
      <c r="CB1361" s="53" t="n">
        <f aca="false">IF(CQ1361&gt;0,INDEX(Parameter!$H$5:$H$7,W1361)/INDEX(Parameter!$E$5:$E$7,W1361),IF(AND(BZ1361=0,N(IFERROR(VLOOKUP(BX1361,'Gebinde-Kategorie'!$A$5:$N$45,14,0),0))&gt;0),VLOOKUP(BX1361,'Gebinde-Kategorie'!$A$5:$N$45,14,0)*10+Parameter!$M$23,Parameter!$M$24))</f>
        <v>155</v>
      </c>
      <c r="CC1361" s="48" t="str">
        <f aca="false">IF(AND(Parameter!$B$19="Ja",E1361&lt;&gt;"",ISNUMBER(MATCH(E1361,Parameter!$I$35:$I$52,0))),VLOOKUP(E1361,Parameter!$I$35:$J$52,2,0),IFERROR(VLOOKUP(D1361,Parameter!$A$35:$C$64,2,0),"Nein"))</f>
        <v>2+3</v>
      </c>
      <c r="CD1361" s="52" t="n">
        <f aca="false">IF(BZ1361=0,0,IF(N(S1361)&gt;0,S1361,IFERROR(VLOOKUP(D1361,Parameter!$A$35:$C$64,3,0)+0,0)))</f>
        <v>0</v>
      </c>
      <c r="CE1361" s="48" t="n">
        <f aca="false">IF(AA1361&lt;&gt;"",AA1361,Z1361)</f>
        <v>3</v>
      </c>
      <c r="CF1361" s="48" t="str">
        <f aca="false">IF(OR(CE1361=1,CE1361=2,CE1361=3),IF(Parameter!$E$27="Ja","LIFT",IF(CE1361=1,"L1","L23")),IF(CE1361="Aussen","Aussen","-"))</f>
        <v>LIFT</v>
      </c>
      <c r="CG1361" s="59" t="n">
        <f aca="false">IF(N(AB1361)&gt;0,AB1361,0)</f>
        <v>0</v>
      </c>
      <c r="CH1361" s="53" t="n">
        <f aca="false">IF(ISNUMBER(AE1361),1,0)</f>
        <v>0</v>
      </c>
      <c r="CI1361" s="50" t="n">
        <f aca="false">N(AE1361)</f>
        <v>0</v>
      </c>
      <c r="CJ1361" s="50" t="n">
        <f aca="false">N(M1361)+N(N1361)</f>
        <v>93</v>
      </c>
      <c r="CK1361" s="50" t="n">
        <f aca="false">N(M1361)</f>
        <v>3</v>
      </c>
      <c r="CL1361" s="50" t="n">
        <f aca="false">N(N1361)</f>
        <v>90</v>
      </c>
      <c r="CM1361" s="50" t="n">
        <f aca="false">ROUNDUP(H1361/BY1361,0)</f>
        <v>1</v>
      </c>
      <c r="CN1361" s="50" t="n">
        <f aca="false">ROUNDUP(CI1361/BY1361,0)</f>
        <v>0</v>
      </c>
      <c r="CO1361" s="53" t="n">
        <f aca="false">IF(BZ1361=1,0,IFERROR(VLOOKUP(BX1361,'Gebinde-Kategorie'!$A$5:$N$45,5,0)+0,0))</f>
        <v>11</v>
      </c>
      <c r="CP1361" s="53" t="n">
        <f aca="false">IFERROR(IF(OR(CE1361=1,CE1361=2,CE1361=3),N(INDEX(Parameter!$I$5:$I$7,CE1361)),0),0)</f>
        <v>0</v>
      </c>
      <c r="CQ1361" s="52" t="n">
        <f aca="false">IF(AND(Parameter!$B$21="Ja",ISNUMBER(W1361),N(X1361)&gt;0),IFERROR(N(INDEX(Parameter!$L$5:$L$7,W1361))*INDEX(Parameter!$E$5:$E$7,W1361)*X1361/SUMIFS($X$7:$X$1843,$W$7:$W$1843,W1361),0),0)</f>
        <v>0</v>
      </c>
    </row>
    <row r="1362" customFormat="false" ht="15" hidden="false" customHeight="false" outlineLevel="0" collapsed="false">
      <c r="A1362" s="48" t="s">
        <v>2409</v>
      </c>
      <c r="B1362" s="48" t="s">
        <v>589</v>
      </c>
      <c r="C1362" s="48" t="s">
        <v>173</v>
      </c>
      <c r="D1362" s="48" t="s">
        <v>182</v>
      </c>
      <c r="E1362" s="48" t="s">
        <v>175</v>
      </c>
      <c r="F1362" s="48" t="s">
        <v>227</v>
      </c>
      <c r="G1362" s="49" t="n">
        <v>133.49</v>
      </c>
      <c r="H1362" s="50" t="n">
        <f aca="false">MAX(0,IF(AND(Parameter!$B$21="Ja",ISNUMBER(Y1362)),Y1362,IF(Parameter!$B$20="Jahresanfang 2025 + Export",BR1362+BQ1362,BQ1362)))</f>
        <v>18</v>
      </c>
      <c r="I1362" s="50" t="n">
        <f aca="false">H1362*G1362</f>
        <v>2402.82</v>
      </c>
      <c r="J1362" s="50" t="n">
        <f aca="false">BT1362*Parameter!$B$18</f>
        <v>69</v>
      </c>
      <c r="K1362" s="51" t="n">
        <v>26</v>
      </c>
      <c r="L1362" s="52" t="n">
        <v>2.65384615384615</v>
      </c>
      <c r="M1362" s="50" t="n">
        <v>4</v>
      </c>
      <c r="N1362" s="50" t="n">
        <v>35</v>
      </c>
      <c r="O1362" s="53" t="n">
        <v>21</v>
      </c>
      <c r="P1362" s="48" t="s">
        <v>183</v>
      </c>
      <c r="Q1362" s="50" t="n">
        <v>35</v>
      </c>
      <c r="R1362" s="53" t="n">
        <f aca="false">IF(BZ1362=1,0,IFERROR(VLOOKUP(BX1362,'Gebinde-Kategorie'!$A$5:$N$45,13,0)+0,0))</f>
        <v>6</v>
      </c>
      <c r="S1362" s="54"/>
      <c r="T1362" s="55"/>
      <c r="U1362" s="55"/>
      <c r="V1362" s="55"/>
      <c r="W1362" s="48"/>
      <c r="X1362" s="50"/>
      <c r="Y1362" s="50"/>
      <c r="Z1362" s="48" t="n">
        <f aca="false">IF(A1362="","",IF(AND(Parameter!$B$21="Ja",ISNUMBER(W1362)),W1362,IF(CC1362="2+3",IF(ISNUMBER(SEARCH("grosser Artikel",BU1362)),2,IFERROR(VLOOKUP(BX1362,Parameter!$F$35:$G$64,2,0),2)),IF(OR(CC1362="Nein",CC1362=""),"-",CC1362))))</f>
        <v>1</v>
      </c>
      <c r="AA1362" s="55"/>
      <c r="AB1362" s="56"/>
      <c r="AC1362" s="50" t="n">
        <f aca="false">AV1362</f>
        <v>42</v>
      </c>
      <c r="AD1362" s="50" t="n">
        <f aca="false">MAX(AV1362,H1362)</f>
        <v>42</v>
      </c>
      <c r="AE1362" s="57"/>
      <c r="AF1362" s="50" t="n">
        <f aca="false">IF(LEFT(Cockpit!$C$5,1)="A",H1362,IF(Parameter!$E$30="MAX-Bestand",IF(CH1362=1,CI1362,IF(LEFT(Cockpit!$C$5,1)="B",AL1362,MAX(AL1362,H1362))),ROUNDUP(AJ1362,0)))</f>
        <v>18</v>
      </c>
      <c r="AG1362" s="50" t="n">
        <f aca="false">IF(BZ1362=1,0,ROUNDUP(AF1362/BY1362,0))</f>
        <v>1</v>
      </c>
      <c r="AH1362" s="52" t="n">
        <f aca="false">IF(CQ1362&gt;0,CQ1362*MAX(1,AF1362/X1362),IF(BZ1362=1,IF(AF1362&lt;=0,0,CD1362*MAX(1,IF(H1362&gt;0,AF1362/H1362,1))),IF(R1362&gt;0,AG1362/R1362,0))/MAX(0.1,N(Parameter!$M$21)))</f>
        <v>0.166666666666667</v>
      </c>
      <c r="AI1362" s="50" t="n">
        <f aca="false">AH1362*CB1362</f>
        <v>39.1666666666667</v>
      </c>
      <c r="AJ1362" s="51" t="n">
        <f aca="false">IF(LEFT(Cockpit!$C$5,1)="A",H1362,IF(CH1362=1,(CK1362+CI1362)/2,IF(LEFT(Cockpit!$C$5,1)="B",(CK1362+AL1362)/2,MAX((CK1362+AL1362)/2,H1362))))</f>
        <v>18</v>
      </c>
      <c r="AK1362" s="50" t="n">
        <f aca="false">AJ1362*G1362</f>
        <v>2402.82</v>
      </c>
      <c r="AL1362" s="50" t="n">
        <f aca="false">ROUNDUP(CK1362+MAX(CL1362,2*(J1362/IF(CG1362&gt;0,CG1362,MAX(0.1,N(Cockpit!$C$6)))-CK1362)),0)</f>
        <v>42</v>
      </c>
      <c r="AM1362" s="51" t="n">
        <f aca="false">IF(AI1362&gt;0,J1362/AI1362,-1)</f>
        <v>1.76170212765957</v>
      </c>
      <c r="AN1362" s="51" t="n">
        <f aca="false">IF(AND(OR(CF1362="L1",CF1362="L23",CF1362="LIFT"),AI1362&gt;0),SUMIFS($AI$7:$AI$1843,$CF$7:$CF$1843,CF1362,$AM$7:$AM$1843,"&gt;"&amp;AM1362)+SUMIFS($AI$7:$AI$1843,$CF$7:$CF$1843,CF1362,$AM$7:$AM$1843,AM1362,$BW$7:$BW$1843,"&lt;="&amp;BW1362),"")</f>
        <v>6006.72481684982</v>
      </c>
      <c r="AO1362" s="58" t="n">
        <f aca="false">IF(AN1362="",0,MAX(0,MIN(1,(IF(CF1362="L1",Parameter!$H$5,IF(CF1362="L23",Parameter!$H$6+Parameter!$H$7,Parameter!$H$5+Parameter!$H$6+Parameter!$H$7))-(AN1362-AI1362))/AI1362)))</f>
        <v>1</v>
      </c>
      <c r="AP1362" s="50" t="n">
        <f aca="false">IF(LEFT(Cockpit!$I$5,1)="A",H1362,IF(Parameter!$E$30="MAX-Bestand",IF(CH1362=1,CI1362,IF(LEFT(Cockpit!$I$5,1)="B",AV1362,MAX(AV1362,H1362))),ROUNDUP(AT1362,0)))</f>
        <v>23</v>
      </c>
      <c r="AQ1362" s="50" t="n">
        <f aca="false">IF(BZ1362=1,0,ROUNDUP(AP1362/BY1362,0))</f>
        <v>1</v>
      </c>
      <c r="AR1362" s="52" t="n">
        <f aca="false">IF(CQ1362&gt;0,CQ1362*MAX(1,AP1362/X1362),IF(BZ1362=1,IF(AP1362&lt;=0,0,CD1362*MAX(1,IF(H1362&gt;0,AP1362/H1362,1))),IF(R1362&gt;0,AQ1362/R1362,0))/MAX(0.1,N(Parameter!$M$21)))</f>
        <v>0.166666666666667</v>
      </c>
      <c r="AS1362" s="50" t="n">
        <f aca="false">AR1362*CB1362</f>
        <v>39.1666666666667</v>
      </c>
      <c r="AT1362" s="51" t="n">
        <f aca="false">IF(LEFT(Cockpit!$I$5,1)="A",H1362,IF(CH1362=1,(CK1362+CI1362)/2,IF(LEFT(Cockpit!$I$5,1)="B",(CK1362+AV1362)/2,MAX((CK1362+AV1362)/2,H1362))))</f>
        <v>23</v>
      </c>
      <c r="AU1362" s="50" t="n">
        <f aca="false">AT1362*G1362</f>
        <v>3070.27</v>
      </c>
      <c r="AV1362" s="50" t="n">
        <f aca="false">ROUNDUP(CK1362+MAX(CL1362,2*(J1362/IF(CG1362&gt;0,CG1362,MAX(0.1,N(Cockpit!$I$6)))-CK1362)),0)</f>
        <v>42</v>
      </c>
      <c r="AW1362" s="51" t="n">
        <f aca="false">IF(AS1362&gt;0,J1362/AS1362,-1)</f>
        <v>1.76170212765957</v>
      </c>
      <c r="AX1362" s="51" t="n">
        <f aca="false">IF(AND(OR(CF1362="L1",CF1362="L23",CF1362="LIFT"),AS1362&gt;0),SUMIFS($AS$7:$AS$1843,$CF$7:$CF$1843,CF1362,$AW$7:$AW$1843,"&gt;"&amp;AW1362)+SUMIFS($AS$7:$AS$1843,$CF$7:$CF$1843,CF1362,$AW$7:$AW$1843,AW1362,$BW$7:$BW$1843,"&lt;="&amp;BW1362),"")</f>
        <v>7445.90842490843</v>
      </c>
      <c r="AY1362" s="58" t="n">
        <f aca="false">IF(AX1362="",0,MAX(0,MIN(1,(IF(CF1362="L1",Parameter!$H$5,IF(CF1362="L23",Parameter!$H$6+Parameter!$H$7,Parameter!$H$5+Parameter!$H$6+Parameter!$H$7))-(AX1362-AS1362))/AS1362)))</f>
        <v>1</v>
      </c>
      <c r="AZ1362" s="50" t="n">
        <f aca="false">IF(LEFT(Cockpit!$O$5,1)="A",H1362,IF(Parameter!$E$30="MAX-Bestand",IF(CH1362=1,CI1362,IF(LEFT(Cockpit!$O$5,1)="B",BF1362,MAX(BF1362,H1362))),ROUNDUP(BD1362,0)))</f>
        <v>22</v>
      </c>
      <c r="BA1362" s="50" t="n">
        <f aca="false">IF(BZ1362=1,0,ROUNDUP(AZ1362/BY1362,0))</f>
        <v>1</v>
      </c>
      <c r="BB1362" s="52" t="n">
        <f aca="false">IF(CQ1362&gt;0,CQ1362*MAX(1,AZ1362/X1362),IF(BZ1362=1,IF(AZ1362&lt;=0,0,CD1362*MAX(1,IF(H1362&gt;0,AZ1362/H1362,1))),IF(R1362&gt;0,BA1362/R1362,0))/MAX(0.1,N(Parameter!$M$21)))</f>
        <v>0.166666666666667</v>
      </c>
      <c r="BC1362" s="50" t="n">
        <f aca="false">BB1362*CB1362</f>
        <v>39.1666666666667</v>
      </c>
      <c r="BD1362" s="51" t="n">
        <f aca="false">IF(LEFT(Cockpit!$O$5,1)="A",H1362,IF(CH1362=1,(CK1362+CI1362)/2,IF(LEFT(Cockpit!$O$5,1)="B",(CK1362+BF1362)/2,MAX((CK1362+BF1362)/2,H1362))))</f>
        <v>21.5</v>
      </c>
      <c r="BE1362" s="50" t="n">
        <f aca="false">BD1362*G1362</f>
        <v>2870.035</v>
      </c>
      <c r="BF1362" s="50" t="n">
        <f aca="false">ROUNDUP(CK1362+MAX(CL1362,2*(J1362/IF(CG1362&gt;0,CG1362,MAX(0.1,N(Cockpit!$O$6)))-CK1362)),0)</f>
        <v>39</v>
      </c>
      <c r="BG1362" s="51" t="n">
        <f aca="false">IF(BC1362&gt;0,J1362/BC1362,-1)</f>
        <v>1.76170212765957</v>
      </c>
      <c r="BH1362" s="51" t="n">
        <f aca="false">IF(AND(OR(CF1362="L1",CF1362="L23",CF1362="LIFT"),BC1362&gt;0),SUMIFS($BC$7:$BC$1843,$CF$7:$CF$1843,CF1362,$BG$7:$BG$1843,"&gt;"&amp;BG1362)+SUMIFS($BC$7:$BC$1843,$CF$7:$CF$1843,CF1362,$BG$7:$BG$1843,BG1362,$BW$7:$BW$1843,"&lt;="&amp;BW1362),"")</f>
        <v>6133.82921245421</v>
      </c>
      <c r="BI1362" s="58" t="n">
        <f aca="false">IF(BH1362="",0,MAX(0,MIN(1,(IF(CF1362="L1",Parameter!$H$5,IF(CF1362="L23",Parameter!$H$6+Parameter!$H$7,Parameter!$H$5+Parameter!$H$6+Parameter!$H$7))-(BH1362-BC1362))/BC1362)))</f>
        <v>1</v>
      </c>
      <c r="BJ1362" s="48" t="str">
        <f aca="false">IF(AI1362&lt;=0,"",IF(CF1362="Aussen","Aussenlager",IF(CF1362="-","Nicht im Lift",IF(AO1362&gt;=1,"Lift",IF(AO1362&lt;=0,"Aussenlager","teilweise")))))</f>
        <v>Lift</v>
      </c>
      <c r="BK1362" s="48" t="str">
        <f aca="false">IF(AS1362&lt;=0,"",IF(CF1362="Aussen","Aussenlager",IF(CF1362="-","Nicht im Lift",IF(AY1362&gt;=1,"Lift",IF(AY1362&lt;=0,"Aussenlager","teilweise")))))</f>
        <v>Lift</v>
      </c>
      <c r="BL1362" s="48" t="str">
        <f aca="false">IF(BC1362&lt;=0,"",IF(CF1362="Aussen","Aussenlager",IF(CF1362="-","Nicht im Lift",IF(BI1362&gt;=1,"Lift",IF(BI1362&lt;=0,"Aussenlager","teilweise")))))</f>
        <v>Lift</v>
      </c>
      <c r="BM1362" s="48" t="str">
        <f aca="false">IF(A1362="","",IF(BV1362=1,"Neu; ","")&amp;IF(AND(BV1362=0,BQ1362&lt;0),"negativer Bestand (Export "&amp;BQ1362&amp;"); ","")&amp;IF(J1362&lt;=0,"Kein Verbrauch; ","")&amp;IF(CQ1362&gt;0,"Lift "&amp;W1362&amp;" lt. Liftbericht (Fach "&amp;X1362&amp;" Stk); ",IF(CA1362=1,"Gebinde geschätzt ("&amp;T1362&amp;"); ",IF(BZ1362=1,"Lose – Tablare geschätzt; ","")))&amp;IF(H1362&gt;AV1362,"Überbestand "&amp;ROUND(H1362-AV1362,0)&amp;" Stk / CHF "&amp;ROUND((H1362-AV1362)*G1362,0)&amp;"; ","")&amp;IF(AND(CH1362=1,CI1362&lt;CJ1362),"MAX &lt; MB+LG; ","")&amp;IF(AND(CP1362&gt;0,CO1362*10&gt;CP1362),"zu hoch für Tablar; ","")&amp;IF(AND(BV1362=0,OR(CH1362=1,AA1362&lt;&gt;"",U1362&lt;&gt;"",V1362&lt;&gt;"",AB1362&lt;&gt;"")),"manuell übersteuert; ","")&amp;IF(AND(BZ1362=0,R1362=0),"Gebinde unbekannt / Stellmass fehlt; ","")&amp;IF(AND(BZ1362=0,N(V1362)&lt;=0,N(Q1362)&lt;=0),"Menge pro Gebinde fehlt (Ist = 1 Gebinde); ","")&amp;BU1362)</f>
        <v>negativer Bestand (Export -18); 01C</v>
      </c>
      <c r="BN1362" s="48"/>
      <c r="BO1362" s="48"/>
      <c r="BP1362" s="55"/>
      <c r="BQ1362" s="50" t="n">
        <v>-18</v>
      </c>
      <c r="BR1362" s="50" t="n">
        <v>36</v>
      </c>
      <c r="BS1362" s="49" t="n">
        <v>-2395.98</v>
      </c>
      <c r="BT1362" s="50" t="n">
        <v>69</v>
      </c>
      <c r="BU1362" s="48" t="s">
        <v>2410</v>
      </c>
      <c r="BV1362" s="53" t="n">
        <v>0</v>
      </c>
      <c r="BW1362" s="53" t="n">
        <v>1362</v>
      </c>
      <c r="BX1362" s="48" t="str">
        <f aca="false">IF(U1362&lt;&gt;"",UPPER(TRIM(U1362)),IF(CA1362=1,UPPER(VLOOKUP(T1362,Parameter!$I$27:$K$29,2,0)),IF(P1362="","LOSE",P1362)))</f>
        <v>S71</v>
      </c>
      <c r="BY1362" s="50" t="n">
        <f aca="false">IF(BX1362="LOSE",1,IF(N(V1362)&gt;0,V1362,IF(CA1362=1,MAX(1,N(VLOOKUP(T1362,Parameter!$I$27:$K$29,3,0)),H1362,N(N1362)),IF(N(Q1362)&gt;0,Q1362,MAX(1,H1362)))))</f>
        <v>35</v>
      </c>
      <c r="BZ1362" s="53" t="n">
        <f aca="false">IF(BX1362="LOSE",1,0)</f>
        <v>0</v>
      </c>
      <c r="CA1362" s="53" t="n">
        <f aca="false">IF(AND(U1362="",OR(P1362="",P1362="LOSE"),T1362&lt;&gt;"",N(S1362)&lt;=0,ISNUMBER(MATCH(T1362,Parameter!$I$27:$I$29,0))),1,0)</f>
        <v>0</v>
      </c>
      <c r="CB1362" s="53" t="n">
        <f aca="false">IF(CQ1362&gt;0,INDEX(Parameter!$H$5:$H$7,W1362)/INDEX(Parameter!$E$5:$E$7,W1362),IF(AND(BZ1362=0,N(IFERROR(VLOOKUP(BX1362,'Gebinde-Kategorie'!$A$5:$N$45,14,0),0))&gt;0),VLOOKUP(BX1362,'Gebinde-Kategorie'!$A$5:$N$45,14,0)*10+Parameter!$M$23,Parameter!$M$24))</f>
        <v>235</v>
      </c>
      <c r="CC1362" s="48" t="n">
        <f aca="false">IF(AND(Parameter!$B$19="Ja",E1362&lt;&gt;"",ISNUMBER(MATCH(E1362,Parameter!$I$35:$I$52,0))),VLOOKUP(E1362,Parameter!$I$35:$J$52,2,0),IFERROR(VLOOKUP(D1362,Parameter!$A$35:$C$64,2,0),"Nein"))</f>
        <v>1</v>
      </c>
      <c r="CD1362" s="52" t="n">
        <f aca="false">IF(BZ1362=0,0,IF(N(S1362)&gt;0,S1362,IFERROR(VLOOKUP(D1362,Parameter!$A$35:$C$64,3,0)+0,0)))</f>
        <v>0</v>
      </c>
      <c r="CE1362" s="48" t="n">
        <f aca="false">IF(AA1362&lt;&gt;"",AA1362,Z1362)</f>
        <v>1</v>
      </c>
      <c r="CF1362" s="48" t="str">
        <f aca="false">IF(OR(CE1362=1,CE1362=2,CE1362=3),IF(Parameter!$E$27="Ja","LIFT",IF(CE1362=1,"L1","L23")),IF(CE1362="Aussen","Aussen","-"))</f>
        <v>LIFT</v>
      </c>
      <c r="CG1362" s="59" t="n">
        <f aca="false">IF(N(AB1362)&gt;0,AB1362,0)</f>
        <v>0</v>
      </c>
      <c r="CH1362" s="53" t="n">
        <f aca="false">IF(ISNUMBER(AE1362),1,0)</f>
        <v>0</v>
      </c>
      <c r="CI1362" s="50" t="n">
        <f aca="false">N(AE1362)</f>
        <v>0</v>
      </c>
      <c r="CJ1362" s="50" t="n">
        <f aca="false">N(M1362)+N(N1362)</f>
        <v>39</v>
      </c>
      <c r="CK1362" s="50" t="n">
        <f aca="false">N(M1362)</f>
        <v>4</v>
      </c>
      <c r="CL1362" s="50" t="n">
        <f aca="false">N(N1362)</f>
        <v>35</v>
      </c>
      <c r="CM1362" s="50" t="n">
        <f aca="false">ROUNDUP(H1362/BY1362,0)</f>
        <v>1</v>
      </c>
      <c r="CN1362" s="50" t="n">
        <f aca="false">ROUNDUP(CI1362/BY1362,0)</f>
        <v>0</v>
      </c>
      <c r="CO1362" s="53" t="n">
        <f aca="false">IF(BZ1362=1,0,IFERROR(VLOOKUP(BX1362,'Gebinde-Kategorie'!$A$5:$N$45,5,0)+0,0))</f>
        <v>20</v>
      </c>
      <c r="CP1362" s="53" t="n">
        <f aca="false">IFERROR(IF(OR(CE1362=1,CE1362=2,CE1362=3),N(INDEX(Parameter!$I$5:$I$7,CE1362)),0),0)</f>
        <v>0</v>
      </c>
      <c r="CQ1362" s="52" t="n">
        <f aca="false">IF(AND(Parameter!$B$21="Ja",ISNUMBER(W1362),N(X1362)&gt;0),IFERROR(N(INDEX(Parameter!$L$5:$L$7,W1362))*INDEX(Parameter!$E$5:$E$7,W1362)*X1362/SUMIFS($X$7:$X$1843,$W$7:$W$1843,W1362),0),0)</f>
        <v>0</v>
      </c>
    </row>
    <row r="1363" customFormat="false" ht="15" hidden="false" customHeight="false" outlineLevel="0" collapsed="false">
      <c r="A1363" s="48" t="s">
        <v>2411</v>
      </c>
      <c r="B1363" s="48" t="s">
        <v>2412</v>
      </c>
      <c r="C1363" s="48" t="s">
        <v>173</v>
      </c>
      <c r="D1363" s="48" t="s">
        <v>182</v>
      </c>
      <c r="E1363" s="48" t="s">
        <v>194</v>
      </c>
      <c r="F1363" s="48" t="s">
        <v>227</v>
      </c>
      <c r="G1363" s="49" t="n">
        <v>280.07</v>
      </c>
      <c r="H1363" s="50" t="n">
        <f aca="false">MAX(0,IF(AND(Parameter!$B$21="Ja",ISNUMBER(Y1363)),Y1363,IF(Parameter!$B$20="Jahresanfang 2025 + Export",BR1363+BQ1363,BQ1363)))</f>
        <v>3</v>
      </c>
      <c r="I1363" s="50" t="n">
        <f aca="false">H1363*G1363</f>
        <v>840.21</v>
      </c>
      <c r="J1363" s="50" t="n">
        <f aca="false">BT1363*Parameter!$B$18</f>
        <v>46</v>
      </c>
      <c r="K1363" s="51" t="n">
        <v>9</v>
      </c>
      <c r="L1363" s="52" t="n">
        <v>5.11111111111111</v>
      </c>
      <c r="M1363" s="50" t="n">
        <v>2</v>
      </c>
      <c r="N1363" s="50" t="n">
        <v>10</v>
      </c>
      <c r="O1363" s="53" t="n">
        <v>21</v>
      </c>
      <c r="P1363" s="48" t="s">
        <v>183</v>
      </c>
      <c r="Q1363" s="50" t="n">
        <v>12</v>
      </c>
      <c r="R1363" s="53" t="n">
        <f aca="false">IF(BZ1363=1,0,IFERROR(VLOOKUP(BX1363,'Gebinde-Kategorie'!$A$5:$N$45,13,0)+0,0))</f>
        <v>6</v>
      </c>
      <c r="S1363" s="54"/>
      <c r="T1363" s="55"/>
      <c r="U1363" s="55"/>
      <c r="V1363" s="55"/>
      <c r="W1363" s="48"/>
      <c r="X1363" s="50"/>
      <c r="Y1363" s="50"/>
      <c r="Z1363" s="48" t="n">
        <f aca="false">IF(A1363="","",IF(AND(Parameter!$B$21="Ja",ISNUMBER(W1363)),W1363,IF(CC1363="2+3",IF(ISNUMBER(SEARCH("grosser Artikel",BU1363)),2,IFERROR(VLOOKUP(BX1363,Parameter!$F$35:$G$64,2,0),2)),IF(OR(CC1363="Nein",CC1363=""),"-",CC1363))))</f>
        <v>2</v>
      </c>
      <c r="AA1363" s="55"/>
      <c r="AB1363" s="56"/>
      <c r="AC1363" s="50" t="n">
        <f aca="false">AV1363</f>
        <v>29</v>
      </c>
      <c r="AD1363" s="50" t="n">
        <f aca="false">MAX(AV1363,H1363)</f>
        <v>29</v>
      </c>
      <c r="AE1363" s="57"/>
      <c r="AF1363" s="50" t="n">
        <f aca="false">IF(LEFT(Cockpit!$C$5,1)="A",H1363,IF(Parameter!$E$30="MAX-Bestand",IF(CH1363=1,CI1363,IF(LEFT(Cockpit!$C$5,1)="B",AL1363,MAX(AL1363,H1363))),ROUNDUP(AJ1363,0)))</f>
        <v>3</v>
      </c>
      <c r="AG1363" s="50" t="n">
        <f aca="false">IF(BZ1363=1,0,ROUNDUP(AF1363/BY1363,0))</f>
        <v>1</v>
      </c>
      <c r="AH1363" s="52" t="n">
        <f aca="false">IF(CQ1363&gt;0,CQ1363*MAX(1,AF1363/X1363),IF(BZ1363=1,IF(AF1363&lt;=0,0,CD1363*MAX(1,IF(H1363&gt;0,AF1363/H1363,1))),IF(R1363&gt;0,AG1363/R1363,0))/MAX(0.1,N(Parameter!$M$21)))</f>
        <v>0.166666666666667</v>
      </c>
      <c r="AI1363" s="50" t="n">
        <f aca="false">AH1363*CB1363</f>
        <v>39.1666666666667</v>
      </c>
      <c r="AJ1363" s="51" t="n">
        <f aca="false">IF(LEFT(Cockpit!$C$5,1)="A",H1363,IF(CH1363=1,(CK1363+CI1363)/2,IF(LEFT(Cockpit!$C$5,1)="B",(CK1363+AL1363)/2,MAX((CK1363+AL1363)/2,H1363))))</f>
        <v>3</v>
      </c>
      <c r="AK1363" s="50" t="n">
        <f aca="false">AJ1363*G1363</f>
        <v>840.21</v>
      </c>
      <c r="AL1363" s="50" t="n">
        <f aca="false">ROUNDUP(CK1363+MAX(CL1363,2*(J1363/IF(CG1363&gt;0,CG1363,MAX(0.1,N(Cockpit!$C$6)))-CK1363)),0)</f>
        <v>29</v>
      </c>
      <c r="AM1363" s="51" t="n">
        <f aca="false">IF(AI1363&gt;0,J1363/AI1363,-1)</f>
        <v>1.17446808510638</v>
      </c>
      <c r="AN1363" s="51" t="n">
        <f aca="false">IF(AND(OR(CF1363="L1",CF1363="L23",CF1363="LIFT"),AI1363&gt;0),SUMIFS($AI$7:$AI$1843,$CF$7:$CF$1843,CF1363,$AM$7:$AM$1843,"&gt;"&amp;AM1363)+SUMIFS($AI$7:$AI$1843,$CF$7:$CF$1843,CF1363,$AM$7:$AM$1843,AM1363,$BW$7:$BW$1843,"&lt;="&amp;BW1363),"")</f>
        <v>6685.63507326007</v>
      </c>
      <c r="AO1363" s="58" t="n">
        <f aca="false">IF(AN1363="",0,MAX(0,MIN(1,(IF(CF1363="L1",Parameter!$H$5,IF(CF1363="L23",Parameter!$H$6+Parameter!$H$7,Parameter!$H$5+Parameter!$H$6+Parameter!$H$7))-(AN1363-AI1363))/AI1363)))</f>
        <v>1</v>
      </c>
      <c r="AP1363" s="50" t="n">
        <f aca="false">IF(LEFT(Cockpit!$I$5,1)="A",H1363,IF(Parameter!$E$30="MAX-Bestand",IF(CH1363=1,CI1363,IF(LEFT(Cockpit!$I$5,1)="B",AV1363,MAX(AV1363,H1363))),ROUNDUP(AT1363,0)))</f>
        <v>16</v>
      </c>
      <c r="AQ1363" s="50" t="n">
        <f aca="false">IF(BZ1363=1,0,ROUNDUP(AP1363/BY1363,0))</f>
        <v>2</v>
      </c>
      <c r="AR1363" s="52" t="n">
        <f aca="false">IF(CQ1363&gt;0,CQ1363*MAX(1,AP1363/X1363),IF(BZ1363=1,IF(AP1363&lt;=0,0,CD1363*MAX(1,IF(H1363&gt;0,AP1363/H1363,1))),IF(R1363&gt;0,AQ1363/R1363,0))/MAX(0.1,N(Parameter!$M$21)))</f>
        <v>0.333333333333333</v>
      </c>
      <c r="AS1363" s="50" t="n">
        <f aca="false">AR1363*CB1363</f>
        <v>78.3333333333333</v>
      </c>
      <c r="AT1363" s="51" t="n">
        <f aca="false">IF(LEFT(Cockpit!$I$5,1)="A",H1363,IF(CH1363=1,(CK1363+CI1363)/2,IF(LEFT(Cockpit!$I$5,1)="B",(CK1363+AV1363)/2,MAX((CK1363+AV1363)/2,H1363))))</f>
        <v>15.5</v>
      </c>
      <c r="AU1363" s="50" t="n">
        <f aca="false">AT1363*G1363</f>
        <v>4341.085</v>
      </c>
      <c r="AV1363" s="50" t="n">
        <f aca="false">ROUNDUP(CK1363+MAX(CL1363,2*(J1363/IF(CG1363&gt;0,CG1363,MAX(0.1,N(Cockpit!$I$6)))-CK1363)),0)</f>
        <v>29</v>
      </c>
      <c r="AW1363" s="51" t="n">
        <f aca="false">IF(AS1363&gt;0,J1363/AS1363,-1)</f>
        <v>0.587234042553192</v>
      </c>
      <c r="AX1363" s="51" t="n">
        <f aca="false">IF(AND(OR(CF1363="L1",CF1363="L23",CF1363="LIFT"),AS1363&gt;0),SUMIFS($AS$7:$AS$1843,$CF$7:$CF$1843,CF1363,$AW$7:$AW$1843,"&gt;"&amp;AW1363)+SUMIFS($AS$7:$AS$1843,$CF$7:$CF$1843,CF1363,$AW$7:$AW$1843,AW1363,$BW$7:$BW$1843,"&lt;="&amp;BW1363),"")</f>
        <v>11443.1163003663</v>
      </c>
      <c r="AY1363" s="58" t="n">
        <f aca="false">IF(AX1363="",0,MAX(0,MIN(1,(IF(CF1363="L1",Parameter!$H$5,IF(CF1363="L23",Parameter!$H$6+Parameter!$H$7,Parameter!$H$5+Parameter!$H$6+Parameter!$H$7))-(AX1363-AS1363))/AS1363)))</f>
        <v>1</v>
      </c>
      <c r="AZ1363" s="50" t="n">
        <f aca="false">IF(LEFT(Cockpit!$O$5,1)="A",H1363,IF(Parameter!$E$30="MAX-Bestand",IF(CH1363=1,CI1363,IF(LEFT(Cockpit!$O$5,1)="B",BF1363,MAX(BF1363,H1363))),ROUNDUP(BD1363,0)))</f>
        <v>12</v>
      </c>
      <c r="BA1363" s="50" t="n">
        <f aca="false">IF(BZ1363=1,0,ROUNDUP(AZ1363/BY1363,0))</f>
        <v>1</v>
      </c>
      <c r="BB1363" s="52" t="n">
        <f aca="false">IF(CQ1363&gt;0,CQ1363*MAX(1,AZ1363/X1363),IF(BZ1363=1,IF(AZ1363&lt;=0,0,CD1363*MAX(1,IF(H1363&gt;0,AZ1363/H1363,1))),IF(R1363&gt;0,BA1363/R1363,0))/MAX(0.1,N(Parameter!$M$21)))</f>
        <v>0.166666666666667</v>
      </c>
      <c r="BC1363" s="50" t="n">
        <f aca="false">BB1363*CB1363</f>
        <v>39.1666666666667</v>
      </c>
      <c r="BD1363" s="51" t="n">
        <f aca="false">IF(LEFT(Cockpit!$O$5,1)="A",H1363,IF(CH1363=1,(CK1363+CI1363)/2,IF(LEFT(Cockpit!$O$5,1)="B",(CK1363+BF1363)/2,MAX((CK1363+BF1363)/2,H1363))))</f>
        <v>11.5</v>
      </c>
      <c r="BE1363" s="50" t="n">
        <f aca="false">BD1363*G1363</f>
        <v>3220.805</v>
      </c>
      <c r="BF1363" s="50" t="n">
        <f aca="false">ROUNDUP(CK1363+MAX(CL1363,2*(J1363/IF(CG1363&gt;0,CG1363,MAX(0.1,N(Cockpit!$O$6)))-CK1363)),0)</f>
        <v>21</v>
      </c>
      <c r="BG1363" s="51" t="n">
        <f aca="false">IF(BC1363&gt;0,J1363/BC1363,-1)</f>
        <v>1.17446808510638</v>
      </c>
      <c r="BH1363" s="51" t="n">
        <f aca="false">IF(AND(OR(CF1363="L1",CF1363="L23",CF1363="LIFT"),BC1363&gt;0),SUMIFS($BC$7:$BC$1843,$CF$7:$CF$1843,CF1363,$BG$7:$BG$1843,"&gt;"&amp;BG1363)+SUMIFS($BC$7:$BC$1843,$CF$7:$CF$1843,CF1363,$BG$7:$BG$1843,BG1363,$BW$7:$BW$1843,"&lt;="&amp;BW1363),"")</f>
        <v>7182.41895604396</v>
      </c>
      <c r="BI1363" s="58" t="n">
        <f aca="false">IF(BH1363="",0,MAX(0,MIN(1,(IF(CF1363="L1",Parameter!$H$5,IF(CF1363="L23",Parameter!$H$6+Parameter!$H$7,Parameter!$H$5+Parameter!$H$6+Parameter!$H$7))-(BH1363-BC1363))/BC1363)))</f>
        <v>1</v>
      </c>
      <c r="BJ1363" s="48" t="str">
        <f aca="false">IF(AI1363&lt;=0,"",IF(CF1363="Aussen","Aussenlager",IF(CF1363="-","Nicht im Lift",IF(AO1363&gt;=1,"Lift",IF(AO1363&lt;=0,"Aussenlager","teilweise")))))</f>
        <v>Lift</v>
      </c>
      <c r="BK1363" s="48" t="str">
        <f aca="false">IF(AS1363&lt;=0,"",IF(CF1363="Aussen","Aussenlager",IF(CF1363="-","Nicht im Lift",IF(AY1363&gt;=1,"Lift",IF(AY1363&lt;=0,"Aussenlager","teilweise")))))</f>
        <v>Lift</v>
      </c>
      <c r="BL1363" s="48" t="str">
        <f aca="false">IF(BC1363&lt;=0,"",IF(CF1363="Aussen","Aussenlager",IF(CF1363="-","Nicht im Lift",IF(BI1363&gt;=1,"Lift",IF(BI1363&lt;=0,"Aussenlager","teilweise")))))</f>
        <v>Lift</v>
      </c>
      <c r="BM1363" s="48" t="str">
        <f aca="false">IF(A1363="","",IF(BV1363=1,"Neu; ","")&amp;IF(AND(BV1363=0,BQ1363&lt;0),"negativer Bestand (Export "&amp;BQ1363&amp;"); ","")&amp;IF(J1363&lt;=0,"Kein Verbrauch; ","")&amp;IF(CQ1363&gt;0,"Lift "&amp;W1363&amp;" lt. Liftbericht (Fach "&amp;X1363&amp;" Stk); ",IF(CA1363=1,"Gebinde geschätzt ("&amp;T1363&amp;"); ",IF(BZ1363=1,"Lose – Tablare geschätzt; ","")))&amp;IF(H1363&gt;AV1363,"Überbestand "&amp;ROUND(H1363-AV1363,0)&amp;" Stk / CHF "&amp;ROUND((H1363-AV1363)*G1363,0)&amp;"; ","")&amp;IF(AND(CH1363=1,CI1363&lt;CJ1363),"MAX &lt; MB+LG; ","")&amp;IF(AND(CP1363&gt;0,CO1363*10&gt;CP1363),"zu hoch für Tablar; ","")&amp;IF(AND(BV1363=0,OR(CH1363=1,AA1363&lt;&gt;"",U1363&lt;&gt;"",V1363&lt;&gt;"",AB1363&lt;&gt;"")),"manuell übersteuert; ","")&amp;IF(AND(BZ1363=0,R1363=0),"Gebinde unbekannt / Stellmass fehlt; ","")&amp;IF(AND(BZ1363=0,N(V1363)&lt;=0,N(Q1363)&lt;=0),"Menge pro Gebinde fehlt (Ist = 1 Gebinde); ","")&amp;BU1363)</f>
        <v>negativer Bestand (Export -6); grosser Artikel &amp; nicht im KTL</v>
      </c>
      <c r="BN1363" s="48"/>
      <c r="BO1363" s="48"/>
      <c r="BP1363" s="55"/>
      <c r="BQ1363" s="50" t="n">
        <v>-6</v>
      </c>
      <c r="BR1363" s="50" t="n">
        <v>9</v>
      </c>
      <c r="BS1363" s="49" t="n">
        <v>-2447.76</v>
      </c>
      <c r="BT1363" s="50" t="n">
        <v>46</v>
      </c>
      <c r="BU1363" s="48" t="s">
        <v>270</v>
      </c>
      <c r="BV1363" s="53" t="n">
        <v>0</v>
      </c>
      <c r="BW1363" s="53" t="n">
        <v>1363</v>
      </c>
      <c r="BX1363" s="48" t="str">
        <f aca="false">IF(U1363&lt;&gt;"",UPPER(TRIM(U1363)),IF(CA1363=1,UPPER(VLOOKUP(T1363,Parameter!$I$27:$K$29,2,0)),IF(P1363="","LOSE",P1363)))</f>
        <v>S71</v>
      </c>
      <c r="BY1363" s="50" t="n">
        <f aca="false">IF(BX1363="LOSE",1,IF(N(V1363)&gt;0,V1363,IF(CA1363=1,MAX(1,N(VLOOKUP(T1363,Parameter!$I$27:$K$29,3,0)),H1363,N(N1363)),IF(N(Q1363)&gt;0,Q1363,MAX(1,H1363)))))</f>
        <v>12</v>
      </c>
      <c r="BZ1363" s="53" t="n">
        <f aca="false">IF(BX1363="LOSE",1,0)</f>
        <v>0</v>
      </c>
      <c r="CA1363" s="53" t="n">
        <f aca="false">IF(AND(U1363="",OR(P1363="",P1363="LOSE"),T1363&lt;&gt;"",N(S1363)&lt;=0,ISNUMBER(MATCH(T1363,Parameter!$I$27:$I$29,0))),1,0)</f>
        <v>0</v>
      </c>
      <c r="CB1363" s="53" t="n">
        <f aca="false">IF(CQ1363&gt;0,INDEX(Parameter!$H$5:$H$7,W1363)/INDEX(Parameter!$E$5:$E$7,W1363),IF(AND(BZ1363=0,N(IFERROR(VLOOKUP(BX1363,'Gebinde-Kategorie'!$A$5:$N$45,14,0),0))&gt;0),VLOOKUP(BX1363,'Gebinde-Kategorie'!$A$5:$N$45,14,0)*10+Parameter!$M$23,Parameter!$M$24))</f>
        <v>235</v>
      </c>
      <c r="CC1363" s="48" t="str">
        <f aca="false">IF(AND(Parameter!$B$19="Ja",E1363&lt;&gt;"",ISNUMBER(MATCH(E1363,Parameter!$I$35:$I$52,0))),VLOOKUP(E1363,Parameter!$I$35:$J$52,2,0),IFERROR(VLOOKUP(D1363,Parameter!$A$35:$C$64,2,0),"Nein"))</f>
        <v>2+3</v>
      </c>
      <c r="CD1363" s="52" t="n">
        <f aca="false">IF(BZ1363=0,0,IF(N(S1363)&gt;0,S1363,IFERROR(VLOOKUP(D1363,Parameter!$A$35:$C$64,3,0)+0,0)))</f>
        <v>0</v>
      </c>
      <c r="CE1363" s="48" t="n">
        <f aca="false">IF(AA1363&lt;&gt;"",AA1363,Z1363)</f>
        <v>2</v>
      </c>
      <c r="CF1363" s="48" t="str">
        <f aca="false">IF(OR(CE1363=1,CE1363=2,CE1363=3),IF(Parameter!$E$27="Ja","LIFT",IF(CE1363=1,"L1","L23")),IF(CE1363="Aussen","Aussen","-"))</f>
        <v>LIFT</v>
      </c>
      <c r="CG1363" s="59" t="n">
        <f aca="false">IF(N(AB1363)&gt;0,AB1363,0)</f>
        <v>0</v>
      </c>
      <c r="CH1363" s="53" t="n">
        <f aca="false">IF(ISNUMBER(AE1363),1,0)</f>
        <v>0</v>
      </c>
      <c r="CI1363" s="50" t="n">
        <f aca="false">N(AE1363)</f>
        <v>0</v>
      </c>
      <c r="CJ1363" s="50" t="n">
        <f aca="false">N(M1363)+N(N1363)</f>
        <v>12</v>
      </c>
      <c r="CK1363" s="50" t="n">
        <f aca="false">N(M1363)</f>
        <v>2</v>
      </c>
      <c r="CL1363" s="50" t="n">
        <f aca="false">N(N1363)</f>
        <v>10</v>
      </c>
      <c r="CM1363" s="50" t="n">
        <f aca="false">ROUNDUP(H1363/BY1363,0)</f>
        <v>1</v>
      </c>
      <c r="CN1363" s="50" t="n">
        <f aca="false">ROUNDUP(CI1363/BY1363,0)</f>
        <v>0</v>
      </c>
      <c r="CO1363" s="53" t="n">
        <f aca="false">IF(BZ1363=1,0,IFERROR(VLOOKUP(BX1363,'Gebinde-Kategorie'!$A$5:$N$45,5,0)+0,0))</f>
        <v>20</v>
      </c>
      <c r="CP1363" s="53" t="n">
        <f aca="false">IFERROR(IF(OR(CE1363=1,CE1363=2,CE1363=3),N(INDEX(Parameter!$I$5:$I$7,CE1363)),0),0)</f>
        <v>0</v>
      </c>
      <c r="CQ1363" s="52" t="n">
        <f aca="false">IF(AND(Parameter!$B$21="Ja",ISNUMBER(W1363),N(X1363)&gt;0),IFERROR(N(INDEX(Parameter!$L$5:$L$7,W1363))*INDEX(Parameter!$E$5:$E$7,W1363)*X1363/SUMIFS($X$7:$X$1843,$W$7:$W$1843,W1363),0),0)</f>
        <v>0</v>
      </c>
    </row>
    <row r="1364" customFormat="false" ht="15" hidden="false" customHeight="false" outlineLevel="0" collapsed="false">
      <c r="A1364" s="48" t="s">
        <v>2413</v>
      </c>
      <c r="B1364" s="48" t="s">
        <v>544</v>
      </c>
      <c r="C1364" s="48" t="s">
        <v>173</v>
      </c>
      <c r="D1364" s="48" t="s">
        <v>193</v>
      </c>
      <c r="E1364" s="48" t="s">
        <v>194</v>
      </c>
      <c r="F1364" s="48" t="s">
        <v>227</v>
      </c>
      <c r="G1364" s="49" t="n">
        <v>7.42</v>
      </c>
      <c r="H1364" s="50" t="n">
        <f aca="false">MAX(0,IF(AND(Parameter!$B$21="Ja",ISNUMBER(Y1364)),Y1364,IF(Parameter!$B$20="Jahresanfang 2025 + Export",BR1364+BQ1364,BQ1364)))</f>
        <v>122</v>
      </c>
      <c r="I1364" s="50" t="n">
        <f aca="false">H1364*G1364</f>
        <v>905.24</v>
      </c>
      <c r="J1364" s="50" t="n">
        <f aca="false">BT1364*Parameter!$B$18</f>
        <v>390</v>
      </c>
      <c r="K1364" s="51" t="n">
        <v>280.5</v>
      </c>
      <c r="L1364" s="52" t="n">
        <v>1.3903743315508</v>
      </c>
      <c r="M1364" s="50" t="n">
        <v>35</v>
      </c>
      <c r="N1364" s="50" t="n">
        <v>390</v>
      </c>
      <c r="O1364" s="53" t="n">
        <v>28</v>
      </c>
      <c r="P1364" s="48" t="s">
        <v>311</v>
      </c>
      <c r="Q1364" s="50" t="n">
        <v>30</v>
      </c>
      <c r="R1364" s="53" t="n">
        <f aca="false">IF(BZ1364=1,0,IFERROR(VLOOKUP(BX1364,'Gebinde-Kategorie'!$A$5:$N$45,13,0)+0,0))</f>
        <v>26</v>
      </c>
      <c r="S1364" s="54"/>
      <c r="T1364" s="55"/>
      <c r="U1364" s="55"/>
      <c r="V1364" s="55"/>
      <c r="W1364" s="48"/>
      <c r="X1364" s="50"/>
      <c r="Y1364" s="50"/>
      <c r="Z1364" s="48" t="n">
        <f aca="false">IF(A1364="","",IF(AND(Parameter!$B$21="Ja",ISNUMBER(W1364)),W1364,IF(CC1364="2+3",IF(ISNUMBER(SEARCH("grosser Artikel",BU1364)),2,IFERROR(VLOOKUP(BX1364,Parameter!$F$35:$G$64,2,0),2)),IF(OR(CC1364="Nein",CC1364=""),"-",CC1364))))</f>
        <v>3</v>
      </c>
      <c r="AA1364" s="55"/>
      <c r="AB1364" s="56"/>
      <c r="AC1364" s="50" t="n">
        <f aca="false">AV1364</f>
        <v>425</v>
      </c>
      <c r="AD1364" s="50" t="n">
        <f aca="false">MAX(AV1364,H1364)</f>
        <v>425</v>
      </c>
      <c r="AE1364" s="57"/>
      <c r="AF1364" s="50" t="n">
        <f aca="false">IF(LEFT(Cockpit!$C$5,1)="A",H1364,IF(Parameter!$E$30="MAX-Bestand",IF(CH1364=1,CI1364,IF(LEFT(Cockpit!$C$5,1)="B",AL1364,MAX(AL1364,H1364))),ROUNDUP(AJ1364,0)))</f>
        <v>122</v>
      </c>
      <c r="AG1364" s="50" t="n">
        <f aca="false">IF(BZ1364=1,0,ROUNDUP(AF1364/BY1364,0))</f>
        <v>5</v>
      </c>
      <c r="AH1364" s="52" t="n">
        <f aca="false">IF(CQ1364&gt;0,CQ1364*MAX(1,AF1364/X1364),IF(BZ1364=1,IF(AF1364&lt;=0,0,CD1364*MAX(1,IF(H1364&gt;0,AF1364/H1364,1))),IF(R1364&gt;0,AG1364/R1364,0))/MAX(0.1,N(Parameter!$M$21)))</f>
        <v>0.192307692307692</v>
      </c>
      <c r="AI1364" s="50" t="n">
        <f aca="false">AH1364*CB1364</f>
        <v>29.8076923076923</v>
      </c>
      <c r="AJ1364" s="51" t="n">
        <f aca="false">IF(LEFT(Cockpit!$C$5,1)="A",H1364,IF(CH1364=1,(CK1364+CI1364)/2,IF(LEFT(Cockpit!$C$5,1)="B",(CK1364+AL1364)/2,MAX((CK1364+AL1364)/2,H1364))))</f>
        <v>122</v>
      </c>
      <c r="AK1364" s="50" t="n">
        <f aca="false">AJ1364*G1364</f>
        <v>905.24</v>
      </c>
      <c r="AL1364" s="50" t="n">
        <f aca="false">ROUNDUP(CK1364+MAX(CL1364,2*(J1364/IF(CG1364&gt;0,CG1364,MAX(0.1,N(Cockpit!$C$6)))-CK1364)),0)</f>
        <v>425</v>
      </c>
      <c r="AM1364" s="51" t="n">
        <f aca="false">IF(AI1364&gt;0,J1364/AI1364,-1)</f>
        <v>13.0838709677419</v>
      </c>
      <c r="AN1364" s="51" t="n">
        <f aca="false">IF(AND(OR(CF1364="L1",CF1364="L23",CF1364="LIFT"),AI1364&gt;0),SUMIFS($AI$7:$AI$1843,$CF$7:$CF$1843,CF1364,$AM$7:$AM$1843,"&gt;"&amp;AM1364)+SUMIFS($AI$7:$AI$1843,$CF$7:$CF$1843,CF1364,$AM$7:$AM$1843,AM1364,$BW$7:$BW$1843,"&lt;="&amp;BW1364),"")</f>
        <v>2375.62454212454</v>
      </c>
      <c r="AO1364" s="58" t="n">
        <f aca="false">IF(AN1364="",0,MAX(0,MIN(1,(IF(CF1364="L1",Parameter!$H$5,IF(CF1364="L23",Parameter!$H$6+Parameter!$H$7,Parameter!$H$5+Parameter!$H$6+Parameter!$H$7))-(AN1364-AI1364))/AI1364)))</f>
        <v>1</v>
      </c>
      <c r="AP1364" s="50" t="n">
        <f aca="false">IF(LEFT(Cockpit!$I$5,1)="A",H1364,IF(Parameter!$E$30="MAX-Bestand",IF(CH1364=1,CI1364,IF(LEFT(Cockpit!$I$5,1)="B",AV1364,MAX(AV1364,H1364))),ROUNDUP(AT1364,0)))</f>
        <v>230</v>
      </c>
      <c r="AQ1364" s="50" t="n">
        <f aca="false">IF(BZ1364=1,0,ROUNDUP(AP1364/BY1364,0))</f>
        <v>8</v>
      </c>
      <c r="AR1364" s="52" t="n">
        <f aca="false">IF(CQ1364&gt;0,CQ1364*MAX(1,AP1364/X1364),IF(BZ1364=1,IF(AP1364&lt;=0,0,CD1364*MAX(1,IF(H1364&gt;0,AP1364/H1364,1))),IF(R1364&gt;0,AQ1364/R1364,0))/MAX(0.1,N(Parameter!$M$21)))</f>
        <v>0.307692307692308</v>
      </c>
      <c r="AS1364" s="50" t="n">
        <f aca="false">AR1364*CB1364</f>
        <v>47.6923076923077</v>
      </c>
      <c r="AT1364" s="51" t="n">
        <f aca="false">IF(LEFT(Cockpit!$I$5,1)="A",H1364,IF(CH1364=1,(CK1364+CI1364)/2,IF(LEFT(Cockpit!$I$5,1)="B",(CK1364+AV1364)/2,MAX((CK1364+AV1364)/2,H1364))))</f>
        <v>230</v>
      </c>
      <c r="AU1364" s="50" t="n">
        <f aca="false">AT1364*G1364</f>
        <v>1706.6</v>
      </c>
      <c r="AV1364" s="50" t="n">
        <f aca="false">ROUNDUP(CK1364+MAX(CL1364,2*(J1364/IF(CG1364&gt;0,CG1364,MAX(0.1,N(Cockpit!$I$6)))-CK1364)),0)</f>
        <v>425</v>
      </c>
      <c r="AW1364" s="51" t="n">
        <f aca="false">IF(AS1364&gt;0,J1364/AS1364,-1)</f>
        <v>8.17741935483871</v>
      </c>
      <c r="AX1364" s="51" t="n">
        <f aca="false">IF(AND(OR(CF1364="L1",CF1364="L23",CF1364="LIFT"),AS1364&gt;0),SUMIFS($AS$7:$AS$1843,$CF$7:$CF$1843,CF1364,$AW$7:$AW$1843,"&gt;"&amp;AW1364)+SUMIFS($AS$7:$AS$1843,$CF$7:$CF$1843,CF1364,$AW$7:$AW$1843,AW1364,$BW$7:$BW$1843,"&lt;="&amp;BW1364),"")</f>
        <v>3632.21886446886</v>
      </c>
      <c r="AY1364" s="58" t="n">
        <f aca="false">IF(AX1364="",0,MAX(0,MIN(1,(IF(CF1364="L1",Parameter!$H$5,IF(CF1364="L23",Parameter!$H$6+Parameter!$H$7,Parameter!$H$5+Parameter!$H$6+Parameter!$H$7))-(AX1364-AS1364))/AS1364)))</f>
        <v>1</v>
      </c>
      <c r="AZ1364" s="50" t="n">
        <f aca="false">IF(LEFT(Cockpit!$O$5,1)="A",H1364,IF(Parameter!$E$30="MAX-Bestand",IF(CH1364=1,CI1364,IF(LEFT(Cockpit!$O$5,1)="B",BF1364,MAX(BF1364,H1364))),ROUNDUP(BD1364,0)))</f>
        <v>230</v>
      </c>
      <c r="BA1364" s="50" t="n">
        <f aca="false">IF(BZ1364=1,0,ROUNDUP(AZ1364/BY1364,0))</f>
        <v>8</v>
      </c>
      <c r="BB1364" s="52" t="n">
        <f aca="false">IF(CQ1364&gt;0,CQ1364*MAX(1,AZ1364/X1364),IF(BZ1364=1,IF(AZ1364&lt;=0,0,CD1364*MAX(1,IF(H1364&gt;0,AZ1364/H1364,1))),IF(R1364&gt;0,BA1364/R1364,0))/MAX(0.1,N(Parameter!$M$21)))</f>
        <v>0.307692307692308</v>
      </c>
      <c r="BC1364" s="50" t="n">
        <f aca="false">BB1364*CB1364</f>
        <v>47.6923076923077</v>
      </c>
      <c r="BD1364" s="51" t="n">
        <f aca="false">IF(LEFT(Cockpit!$O$5,1)="A",H1364,IF(CH1364=1,(CK1364+CI1364)/2,IF(LEFT(Cockpit!$O$5,1)="B",(CK1364+BF1364)/2,MAX((CK1364+BF1364)/2,H1364))))</f>
        <v>230</v>
      </c>
      <c r="BE1364" s="50" t="n">
        <f aca="false">BD1364*G1364</f>
        <v>1706.6</v>
      </c>
      <c r="BF1364" s="50" t="n">
        <f aca="false">ROUNDUP(CK1364+MAX(CL1364,2*(J1364/IF(CG1364&gt;0,CG1364,MAX(0.1,N(Cockpit!$O$6)))-CK1364)),0)</f>
        <v>425</v>
      </c>
      <c r="BG1364" s="51" t="n">
        <f aca="false">IF(BC1364&gt;0,J1364/BC1364,-1)</f>
        <v>8.17741935483871</v>
      </c>
      <c r="BH1364" s="51" t="n">
        <f aca="false">IF(AND(OR(CF1364="L1",CF1364="L23",CF1364="LIFT"),BC1364&gt;0),SUMIFS($BC$7:$BC$1843,$CF$7:$CF$1843,CF1364,$BG$7:$BG$1843,"&gt;"&amp;BG1364)+SUMIFS($BC$7:$BC$1843,$CF$7:$CF$1843,CF1364,$BG$7:$BG$1843,BG1364,$BW$7:$BW$1843,"&lt;="&amp;BW1364),"")</f>
        <v>3008.33195970696</v>
      </c>
      <c r="BI1364" s="58" t="n">
        <f aca="false">IF(BH1364="",0,MAX(0,MIN(1,(IF(CF1364="L1",Parameter!$H$5,IF(CF1364="L23",Parameter!$H$6+Parameter!$H$7,Parameter!$H$5+Parameter!$H$6+Parameter!$H$7))-(BH1364-BC1364))/BC1364)))</f>
        <v>1</v>
      </c>
      <c r="BJ1364" s="48" t="str">
        <f aca="false">IF(AI1364&lt;=0,"",IF(CF1364="Aussen","Aussenlager",IF(CF1364="-","Nicht im Lift",IF(AO1364&gt;=1,"Lift",IF(AO1364&lt;=0,"Aussenlager","teilweise")))))</f>
        <v>Lift</v>
      </c>
      <c r="BK1364" s="48" t="str">
        <f aca="false">IF(AS1364&lt;=0,"",IF(CF1364="Aussen","Aussenlager",IF(CF1364="-","Nicht im Lift",IF(AY1364&gt;=1,"Lift",IF(AY1364&lt;=0,"Aussenlager","teilweise")))))</f>
        <v>Lift</v>
      </c>
      <c r="BL1364" s="48" t="str">
        <f aca="false">IF(BC1364&lt;=0,"",IF(CF1364="Aussen","Aussenlager",IF(CF1364="-","Nicht im Lift",IF(BI1364&gt;=1,"Lift",IF(BI1364&lt;=0,"Aussenlager","teilweise")))))</f>
        <v>Lift</v>
      </c>
      <c r="BM1364" s="48" t="str">
        <f aca="false">IF(A1364="","",IF(BV1364=1,"Neu; ","")&amp;IF(AND(BV1364=0,BQ1364&lt;0),"negativer Bestand (Export "&amp;BQ1364&amp;"); ","")&amp;IF(J1364&lt;=0,"Kein Verbrauch; ","")&amp;IF(CQ1364&gt;0,"Lift "&amp;W1364&amp;" lt. Liftbericht (Fach "&amp;X1364&amp;" Stk); ",IF(CA1364=1,"Gebinde geschätzt ("&amp;T1364&amp;"); ",IF(BZ1364=1,"Lose – Tablare geschätzt; ","")))&amp;IF(H1364&gt;AV1364,"Überbestand "&amp;ROUND(H1364-AV1364,0)&amp;" Stk / CHF "&amp;ROUND((H1364-AV1364)*G1364,0)&amp;"; ","")&amp;IF(AND(CH1364=1,CI1364&lt;CJ1364),"MAX &lt; MB+LG; ","")&amp;IF(AND(CP1364&gt;0,CO1364*10&gt;CP1364),"zu hoch für Tablar; ","")&amp;IF(AND(BV1364=0,OR(CH1364=1,AA1364&lt;&gt;"",U1364&lt;&gt;"",V1364&lt;&gt;"",AB1364&lt;&gt;"")),"manuell übersteuert; ","")&amp;IF(AND(BZ1364=0,R1364=0),"Gebinde unbekannt / Stellmass fehlt; ","")&amp;IF(AND(BZ1364=0,N(V1364)&lt;=0,N(Q1364)&lt;=0),"Menge pro Gebinde fehlt (Ist = 1 Gebinde); ","")&amp;BU1364)</f>
        <v>negativer Bestand (Export -334); B&amp;R</v>
      </c>
      <c r="BN1364" s="48"/>
      <c r="BO1364" s="48"/>
      <c r="BP1364" s="55"/>
      <c r="BQ1364" s="50" t="n">
        <v>-334</v>
      </c>
      <c r="BR1364" s="50" t="n">
        <v>456</v>
      </c>
      <c r="BS1364" s="49" t="n">
        <v>-2464.6</v>
      </c>
      <c r="BT1364" s="50" t="n">
        <v>390</v>
      </c>
      <c r="BU1364" s="48" t="s">
        <v>2226</v>
      </c>
      <c r="BV1364" s="53" t="n">
        <v>0</v>
      </c>
      <c r="BW1364" s="53" t="n">
        <v>1364</v>
      </c>
      <c r="BX1364" s="48" t="str">
        <f aca="false">IF(U1364&lt;&gt;"",UPPER(TRIM(U1364)),IF(CA1364=1,UPPER(VLOOKUP(T1364,Parameter!$I$27:$K$29,2,0)),IF(P1364="","LOSE",P1364)))</f>
        <v>S51</v>
      </c>
      <c r="BY1364" s="50" t="n">
        <f aca="false">IF(BX1364="LOSE",1,IF(N(V1364)&gt;0,V1364,IF(CA1364=1,MAX(1,N(VLOOKUP(T1364,Parameter!$I$27:$K$29,3,0)),H1364,N(N1364)),IF(N(Q1364)&gt;0,Q1364,MAX(1,H1364)))))</f>
        <v>30</v>
      </c>
      <c r="BZ1364" s="53" t="n">
        <f aca="false">IF(BX1364="LOSE",1,0)</f>
        <v>0</v>
      </c>
      <c r="CA1364" s="53" t="n">
        <f aca="false">IF(AND(U1364="",OR(P1364="",P1364="LOSE"),T1364&lt;&gt;"",N(S1364)&lt;=0,ISNUMBER(MATCH(T1364,Parameter!$I$27:$I$29,0))),1,0)</f>
        <v>0</v>
      </c>
      <c r="CB1364" s="53" t="n">
        <f aca="false">IF(CQ1364&gt;0,INDEX(Parameter!$H$5:$H$7,W1364)/INDEX(Parameter!$E$5:$E$7,W1364),IF(AND(BZ1364=0,N(IFERROR(VLOOKUP(BX1364,'Gebinde-Kategorie'!$A$5:$N$45,14,0),0))&gt;0),VLOOKUP(BX1364,'Gebinde-Kategorie'!$A$5:$N$45,14,0)*10+Parameter!$M$23,Parameter!$M$24))</f>
        <v>155</v>
      </c>
      <c r="CC1364" s="48" t="str">
        <f aca="false">IF(AND(Parameter!$B$19="Ja",E1364&lt;&gt;"",ISNUMBER(MATCH(E1364,Parameter!$I$35:$I$52,0))),VLOOKUP(E1364,Parameter!$I$35:$J$52,2,0),IFERROR(VLOOKUP(D1364,Parameter!$A$35:$C$64,2,0),"Nein"))</f>
        <v>2+3</v>
      </c>
      <c r="CD1364" s="52" t="n">
        <f aca="false">IF(BZ1364=0,0,IF(N(S1364)&gt;0,S1364,IFERROR(VLOOKUP(D1364,Parameter!$A$35:$C$64,3,0)+0,0)))</f>
        <v>0</v>
      </c>
      <c r="CE1364" s="48" t="n">
        <f aca="false">IF(AA1364&lt;&gt;"",AA1364,Z1364)</f>
        <v>3</v>
      </c>
      <c r="CF1364" s="48" t="str">
        <f aca="false">IF(OR(CE1364=1,CE1364=2,CE1364=3),IF(Parameter!$E$27="Ja","LIFT",IF(CE1364=1,"L1","L23")),IF(CE1364="Aussen","Aussen","-"))</f>
        <v>LIFT</v>
      </c>
      <c r="CG1364" s="59" t="n">
        <f aca="false">IF(N(AB1364)&gt;0,AB1364,0)</f>
        <v>0</v>
      </c>
      <c r="CH1364" s="53" t="n">
        <f aca="false">IF(ISNUMBER(AE1364),1,0)</f>
        <v>0</v>
      </c>
      <c r="CI1364" s="50" t="n">
        <f aca="false">N(AE1364)</f>
        <v>0</v>
      </c>
      <c r="CJ1364" s="50" t="n">
        <f aca="false">N(M1364)+N(N1364)</f>
        <v>425</v>
      </c>
      <c r="CK1364" s="50" t="n">
        <f aca="false">N(M1364)</f>
        <v>35</v>
      </c>
      <c r="CL1364" s="50" t="n">
        <f aca="false">N(N1364)</f>
        <v>390</v>
      </c>
      <c r="CM1364" s="50" t="n">
        <f aca="false">ROUNDUP(H1364/BY1364,0)</f>
        <v>5</v>
      </c>
      <c r="CN1364" s="50" t="n">
        <f aca="false">ROUNDUP(CI1364/BY1364,0)</f>
        <v>0</v>
      </c>
      <c r="CO1364" s="53" t="n">
        <f aca="false">IF(BZ1364=1,0,IFERROR(VLOOKUP(BX1364,'Gebinde-Kategorie'!$A$5:$N$45,5,0)+0,0))</f>
        <v>11</v>
      </c>
      <c r="CP1364" s="53" t="n">
        <f aca="false">IFERROR(IF(OR(CE1364=1,CE1364=2,CE1364=3),N(INDEX(Parameter!$I$5:$I$7,CE1364)),0),0)</f>
        <v>0</v>
      </c>
      <c r="CQ1364" s="52" t="n">
        <f aca="false">IF(AND(Parameter!$B$21="Ja",ISNUMBER(W1364),N(X1364)&gt;0),IFERROR(N(INDEX(Parameter!$L$5:$L$7,W1364))*INDEX(Parameter!$E$5:$E$7,W1364)*X1364/SUMIFS($X$7:$X$1843,$W$7:$W$1843,W1364),0),0)</f>
        <v>0</v>
      </c>
    </row>
    <row r="1365" customFormat="false" ht="15" hidden="false" customHeight="false" outlineLevel="0" collapsed="false">
      <c r="A1365" s="48" t="s">
        <v>2414</v>
      </c>
      <c r="B1365" s="48" t="s">
        <v>2415</v>
      </c>
      <c r="C1365" s="48" t="s">
        <v>173</v>
      </c>
      <c r="D1365" s="48" t="s">
        <v>193</v>
      </c>
      <c r="E1365" s="48"/>
      <c r="F1365" s="48" t="s">
        <v>227</v>
      </c>
      <c r="G1365" s="49" t="n">
        <v>82.23</v>
      </c>
      <c r="H1365" s="50" t="n">
        <f aca="false">MAX(0,IF(AND(Parameter!$B$21="Ja",ISNUMBER(Y1365)),Y1365,IF(Parameter!$B$20="Jahresanfang 2025 + Export",BR1365+BQ1365,BQ1365)))</f>
        <v>4</v>
      </c>
      <c r="I1365" s="50" t="n">
        <f aca="false">H1365*G1365</f>
        <v>328.92</v>
      </c>
      <c r="J1365" s="50" t="n">
        <f aca="false">BT1365*Parameter!$B$18</f>
        <v>3</v>
      </c>
      <c r="K1365" s="51" t="n">
        <v>31.5</v>
      </c>
      <c r="L1365" s="52" t="n">
        <v>0.0952380952380952</v>
      </c>
      <c r="M1365" s="50" t="n">
        <v>0</v>
      </c>
      <c r="N1365" s="50" t="n">
        <v>5</v>
      </c>
      <c r="O1365" s="53" t="n">
        <v>28</v>
      </c>
      <c r="P1365" s="48" t="s">
        <v>485</v>
      </c>
      <c r="Q1365" s="50" t="n">
        <v>10</v>
      </c>
      <c r="R1365" s="53" t="n">
        <f aca="false">IF(BZ1365=1,0,IFERROR(VLOOKUP(BX1365,'Gebinde-Kategorie'!$A$5:$N$45,13,0)+0,0))</f>
        <v>52</v>
      </c>
      <c r="S1365" s="54"/>
      <c r="T1365" s="55"/>
      <c r="U1365" s="55"/>
      <c r="V1365" s="55"/>
      <c r="W1365" s="48"/>
      <c r="X1365" s="50"/>
      <c r="Y1365" s="50"/>
      <c r="Z1365" s="48" t="n">
        <f aca="false">IF(A1365="","",IF(AND(Parameter!$B$21="Ja",ISNUMBER(W1365)),W1365,IF(CC1365="2+3",IF(ISNUMBER(SEARCH("grosser Artikel",BU1365)),2,IFERROR(VLOOKUP(BX1365,Parameter!$F$35:$G$64,2,0),2)),IF(OR(CC1365="Nein",CC1365=""),"-",CC1365))))</f>
        <v>3</v>
      </c>
      <c r="AA1365" s="55"/>
      <c r="AB1365" s="56"/>
      <c r="AC1365" s="50" t="n">
        <f aca="false">AV1365</f>
        <v>5</v>
      </c>
      <c r="AD1365" s="50" t="n">
        <f aca="false">MAX(AV1365,H1365)</f>
        <v>5</v>
      </c>
      <c r="AE1365" s="57"/>
      <c r="AF1365" s="50" t="n">
        <f aca="false">IF(LEFT(Cockpit!$C$5,1)="A",H1365,IF(Parameter!$E$30="MAX-Bestand",IF(CH1365=1,CI1365,IF(LEFT(Cockpit!$C$5,1)="B",AL1365,MAX(AL1365,H1365))),ROUNDUP(AJ1365,0)))</f>
        <v>4</v>
      </c>
      <c r="AG1365" s="50" t="n">
        <f aca="false">IF(BZ1365=1,0,ROUNDUP(AF1365/BY1365,0))</f>
        <v>1</v>
      </c>
      <c r="AH1365" s="52" t="n">
        <f aca="false">IF(CQ1365&gt;0,CQ1365*MAX(1,AF1365/X1365),IF(BZ1365=1,IF(AF1365&lt;=0,0,CD1365*MAX(1,IF(H1365&gt;0,AF1365/H1365,1))),IF(R1365&gt;0,AG1365/R1365,0))/MAX(0.1,N(Parameter!$M$21)))</f>
        <v>0.0192307692307692</v>
      </c>
      <c r="AI1365" s="50" t="n">
        <f aca="false">AH1365*CB1365</f>
        <v>2.98076923076923</v>
      </c>
      <c r="AJ1365" s="51" t="n">
        <f aca="false">IF(LEFT(Cockpit!$C$5,1)="A",H1365,IF(CH1365=1,(CK1365+CI1365)/2,IF(LEFT(Cockpit!$C$5,1)="B",(CK1365+AL1365)/2,MAX((CK1365+AL1365)/2,H1365))))</f>
        <v>4</v>
      </c>
      <c r="AK1365" s="50" t="n">
        <f aca="false">AJ1365*G1365</f>
        <v>328.92</v>
      </c>
      <c r="AL1365" s="50" t="n">
        <f aca="false">ROUNDUP(CK1365+MAX(CL1365,2*(J1365/IF(CG1365&gt;0,CG1365,MAX(0.1,N(Cockpit!$C$6)))-CK1365)),0)</f>
        <v>5</v>
      </c>
      <c r="AM1365" s="51" t="n">
        <f aca="false">IF(AI1365&gt;0,J1365/AI1365,-1)</f>
        <v>1.00645161290323</v>
      </c>
      <c r="AN1365" s="51" t="n">
        <f aca="false">IF(AND(OR(CF1365="L1",CF1365="L23",CF1365="LIFT"),AI1365&gt;0),SUMIFS($AI$7:$AI$1843,$CF$7:$CF$1843,CF1365,$AM$7:$AM$1843,"&gt;"&amp;AM1365)+SUMIFS($AI$7:$AI$1843,$CF$7:$CF$1843,CF1365,$AM$7:$AM$1843,AM1365,$BW$7:$BW$1843,"&lt;="&amp;BW1365),"")</f>
        <v>7050.44276556777</v>
      </c>
      <c r="AO1365" s="58" t="n">
        <f aca="false">IF(AN1365="",0,MAX(0,MIN(1,(IF(CF1365="L1",Parameter!$H$5,IF(CF1365="L23",Parameter!$H$6+Parameter!$H$7,Parameter!$H$5+Parameter!$H$6+Parameter!$H$7))-(AN1365-AI1365))/AI1365)))</f>
        <v>1</v>
      </c>
      <c r="AP1365" s="50" t="n">
        <f aca="false">IF(LEFT(Cockpit!$I$5,1)="A",H1365,IF(Parameter!$E$30="MAX-Bestand",IF(CH1365=1,CI1365,IF(LEFT(Cockpit!$I$5,1)="B",AV1365,MAX(AV1365,H1365))),ROUNDUP(AT1365,0)))</f>
        <v>4</v>
      </c>
      <c r="AQ1365" s="50" t="n">
        <f aca="false">IF(BZ1365=1,0,ROUNDUP(AP1365/BY1365,0))</f>
        <v>1</v>
      </c>
      <c r="AR1365" s="52" t="n">
        <f aca="false">IF(CQ1365&gt;0,CQ1365*MAX(1,AP1365/X1365),IF(BZ1365=1,IF(AP1365&lt;=0,0,CD1365*MAX(1,IF(H1365&gt;0,AP1365/H1365,1))),IF(R1365&gt;0,AQ1365/R1365,0))/MAX(0.1,N(Parameter!$M$21)))</f>
        <v>0.0192307692307692</v>
      </c>
      <c r="AS1365" s="50" t="n">
        <f aca="false">AR1365*CB1365</f>
        <v>2.98076923076923</v>
      </c>
      <c r="AT1365" s="51" t="n">
        <f aca="false">IF(LEFT(Cockpit!$I$5,1)="A",H1365,IF(CH1365=1,(CK1365+CI1365)/2,IF(LEFT(Cockpit!$I$5,1)="B",(CK1365+AV1365)/2,MAX((CK1365+AV1365)/2,H1365))))</f>
        <v>4</v>
      </c>
      <c r="AU1365" s="50" t="n">
        <f aca="false">AT1365*G1365</f>
        <v>328.92</v>
      </c>
      <c r="AV1365" s="50" t="n">
        <f aca="false">ROUNDUP(CK1365+MAX(CL1365,2*(J1365/IF(CG1365&gt;0,CG1365,MAX(0.1,N(Cockpit!$I$6)))-CK1365)),0)</f>
        <v>5</v>
      </c>
      <c r="AW1365" s="51" t="n">
        <f aca="false">IF(AS1365&gt;0,J1365/AS1365,-1)</f>
        <v>1.00645161290323</v>
      </c>
      <c r="AX1365" s="51" t="n">
        <f aca="false">IF(AND(OR(CF1365="L1",CF1365="L23",CF1365="LIFT"),AS1365&gt;0),SUMIFS($AS$7:$AS$1843,$CF$7:$CF$1843,CF1365,$AW$7:$AW$1843,"&gt;"&amp;AW1365)+SUMIFS($AS$7:$AS$1843,$CF$7:$CF$1843,CF1365,$AW$7:$AW$1843,AW1365,$BW$7:$BW$1843,"&lt;="&amp;BW1365),"")</f>
        <v>8422.12637362637</v>
      </c>
      <c r="AY1365" s="58" t="n">
        <f aca="false">IF(AX1365="",0,MAX(0,MIN(1,(IF(CF1365="L1",Parameter!$H$5,IF(CF1365="L23",Parameter!$H$6+Parameter!$H$7,Parameter!$H$5+Parameter!$H$6+Parameter!$H$7))-(AX1365-AS1365))/AS1365)))</f>
        <v>1</v>
      </c>
      <c r="AZ1365" s="50" t="n">
        <f aca="false">IF(LEFT(Cockpit!$O$5,1)="A",H1365,IF(Parameter!$E$30="MAX-Bestand",IF(CH1365=1,CI1365,IF(LEFT(Cockpit!$O$5,1)="B",BF1365,MAX(BF1365,H1365))),ROUNDUP(BD1365,0)))</f>
        <v>3</v>
      </c>
      <c r="BA1365" s="50" t="n">
        <f aca="false">IF(BZ1365=1,0,ROUNDUP(AZ1365/BY1365,0))</f>
        <v>1</v>
      </c>
      <c r="BB1365" s="52" t="n">
        <f aca="false">IF(CQ1365&gt;0,CQ1365*MAX(1,AZ1365/X1365),IF(BZ1365=1,IF(AZ1365&lt;=0,0,CD1365*MAX(1,IF(H1365&gt;0,AZ1365/H1365,1))),IF(R1365&gt;0,BA1365/R1365,0))/MAX(0.1,N(Parameter!$M$21)))</f>
        <v>0.0192307692307692</v>
      </c>
      <c r="BC1365" s="50" t="n">
        <f aca="false">BB1365*CB1365</f>
        <v>2.98076923076923</v>
      </c>
      <c r="BD1365" s="51" t="n">
        <f aca="false">IF(LEFT(Cockpit!$O$5,1)="A",H1365,IF(CH1365=1,(CK1365+CI1365)/2,IF(LEFT(Cockpit!$O$5,1)="B",(CK1365+BF1365)/2,MAX((CK1365+BF1365)/2,H1365))))</f>
        <v>2.5</v>
      </c>
      <c r="BE1365" s="50" t="n">
        <f aca="false">BD1365*G1365</f>
        <v>205.575</v>
      </c>
      <c r="BF1365" s="50" t="n">
        <f aca="false">ROUNDUP(CK1365+MAX(CL1365,2*(J1365/IF(CG1365&gt;0,CG1365,MAX(0.1,N(Cockpit!$O$6)))-CK1365)),0)</f>
        <v>5</v>
      </c>
      <c r="BG1365" s="51" t="n">
        <f aca="false">IF(BC1365&gt;0,J1365/BC1365,-1)</f>
        <v>1.00645161290323</v>
      </c>
      <c r="BH1365" s="51" t="n">
        <f aca="false">IF(AND(OR(CF1365="L1",CF1365="L23",CF1365="LIFT"),BC1365&gt;0),SUMIFS($BC$7:$BC$1843,$CF$7:$CF$1843,CF1365,$BG$7:$BG$1843,"&gt;"&amp;BG1365)+SUMIFS($BC$7:$BC$1843,$CF$7:$CF$1843,CF1365,$BG$7:$BG$1843,BG1365,$BW$7:$BW$1843,"&lt;="&amp;BW1365),"")</f>
        <v>7660.23946886447</v>
      </c>
      <c r="BI1365" s="58" t="n">
        <f aca="false">IF(BH1365="",0,MAX(0,MIN(1,(IF(CF1365="L1",Parameter!$H$5,IF(CF1365="L23",Parameter!$H$6+Parameter!$H$7,Parameter!$H$5+Parameter!$H$6+Parameter!$H$7))-(BH1365-BC1365))/BC1365)))</f>
        <v>1</v>
      </c>
      <c r="BJ1365" s="48" t="str">
        <f aca="false">IF(AI1365&lt;=0,"",IF(CF1365="Aussen","Aussenlager",IF(CF1365="-","Nicht im Lift",IF(AO1365&gt;=1,"Lift",IF(AO1365&lt;=0,"Aussenlager","teilweise")))))</f>
        <v>Lift</v>
      </c>
      <c r="BK1365" s="48" t="str">
        <f aca="false">IF(AS1365&lt;=0,"",IF(CF1365="Aussen","Aussenlager",IF(CF1365="-","Nicht im Lift",IF(AY1365&gt;=1,"Lift",IF(AY1365&lt;=0,"Aussenlager","teilweise")))))</f>
        <v>Lift</v>
      </c>
      <c r="BL1365" s="48" t="str">
        <f aca="false">IF(BC1365&lt;=0,"",IF(CF1365="Aussen","Aussenlager",IF(CF1365="-","Nicht im Lift",IF(BI1365&gt;=1,"Lift",IF(BI1365&lt;=0,"Aussenlager","teilweise")))))</f>
        <v>Lift</v>
      </c>
      <c r="BM1365" s="48" t="str">
        <f aca="false">IF(A1365="","",IF(BV1365=1,"Neu; ","")&amp;IF(AND(BV1365=0,BQ1365&lt;0),"negativer Bestand (Export "&amp;BQ1365&amp;"); ","")&amp;IF(J1365&lt;=0,"Kein Verbrauch; ","")&amp;IF(CQ1365&gt;0,"Lift "&amp;W1365&amp;" lt. Liftbericht (Fach "&amp;X1365&amp;" Stk); ",IF(CA1365=1,"Gebinde geschätzt ("&amp;T1365&amp;"); ",IF(BZ1365=1,"Lose – Tablare geschätzt; ","")))&amp;IF(H1365&gt;AV1365,"Überbestand "&amp;ROUND(H1365-AV1365,0)&amp;" Stk / CHF "&amp;ROUND((H1365-AV1365)*G1365,0)&amp;"; ","")&amp;IF(AND(CH1365=1,CI1365&lt;CJ1365),"MAX &lt; MB+LG; ","")&amp;IF(AND(CP1365&gt;0,CO1365*10&gt;CP1365),"zu hoch für Tablar; ","")&amp;IF(AND(BV1365=0,OR(CH1365=1,AA1365&lt;&gt;"",U1365&lt;&gt;"",V1365&lt;&gt;"",AB1365&lt;&gt;"")),"manuell übersteuert; ","")&amp;IF(AND(BZ1365=0,R1365=0),"Gebinde unbekannt / Stellmass fehlt; ","")&amp;IF(AND(BZ1365=0,N(V1365)&lt;=0,N(Q1365)&lt;=0),"Menge pro Gebinde fehlt (Ist = 1 Gebinde); ","")&amp;BU1365)</f>
        <v>negativer Bestand (Export -30); </v>
      </c>
      <c r="BN1365" s="48"/>
      <c r="BO1365" s="48"/>
      <c r="BP1365" s="55"/>
      <c r="BQ1365" s="50" t="n">
        <v>-30</v>
      </c>
      <c r="BR1365" s="50" t="n">
        <v>34</v>
      </c>
      <c r="BS1365" s="49" t="n">
        <v>-2466.9</v>
      </c>
      <c r="BT1365" s="50" t="n">
        <v>3</v>
      </c>
      <c r="BU1365" s="48"/>
      <c r="BV1365" s="53" t="n">
        <v>0</v>
      </c>
      <c r="BW1365" s="53" t="n">
        <v>1365</v>
      </c>
      <c r="BX1365" s="48" t="str">
        <f aca="false">IF(U1365&lt;&gt;"",UPPER(TRIM(U1365)),IF(CA1365=1,UPPER(VLOOKUP(T1365,Parameter!$I$27:$K$29,2,0)),IF(P1365="","LOSE",P1365)))</f>
        <v>S33</v>
      </c>
      <c r="BY1365" s="50" t="n">
        <f aca="false">IF(BX1365="LOSE",1,IF(N(V1365)&gt;0,V1365,IF(CA1365=1,MAX(1,N(VLOOKUP(T1365,Parameter!$I$27:$K$29,3,0)),H1365,N(N1365)),IF(N(Q1365)&gt;0,Q1365,MAX(1,H1365)))))</f>
        <v>10</v>
      </c>
      <c r="BZ1365" s="53" t="n">
        <f aca="false">IF(BX1365="LOSE",1,0)</f>
        <v>0</v>
      </c>
      <c r="CA1365" s="53" t="n">
        <f aca="false">IF(AND(U1365="",OR(P1365="",P1365="LOSE"),T1365&lt;&gt;"",N(S1365)&lt;=0,ISNUMBER(MATCH(T1365,Parameter!$I$27:$I$29,0))),1,0)</f>
        <v>0</v>
      </c>
      <c r="CB1365" s="53" t="n">
        <f aca="false">IF(CQ1365&gt;0,INDEX(Parameter!$H$5:$H$7,W1365)/INDEX(Parameter!$E$5:$E$7,W1365),IF(AND(BZ1365=0,N(IFERROR(VLOOKUP(BX1365,'Gebinde-Kategorie'!$A$5:$N$45,14,0),0))&gt;0),VLOOKUP(BX1365,'Gebinde-Kategorie'!$A$5:$N$45,14,0)*10+Parameter!$M$23,Parameter!$M$24))</f>
        <v>155</v>
      </c>
      <c r="CC1365" s="48" t="str">
        <f aca="false">IF(AND(Parameter!$B$19="Ja",E1365&lt;&gt;"",ISNUMBER(MATCH(E1365,Parameter!$I$35:$I$52,0))),VLOOKUP(E1365,Parameter!$I$35:$J$52,2,0),IFERROR(VLOOKUP(D1365,Parameter!$A$35:$C$64,2,0),"Nein"))</f>
        <v>2+3</v>
      </c>
      <c r="CD1365" s="52" t="n">
        <f aca="false">IF(BZ1365=0,0,IF(N(S1365)&gt;0,S1365,IFERROR(VLOOKUP(D1365,Parameter!$A$35:$C$64,3,0)+0,0)))</f>
        <v>0</v>
      </c>
      <c r="CE1365" s="48" t="n">
        <f aca="false">IF(AA1365&lt;&gt;"",AA1365,Z1365)</f>
        <v>3</v>
      </c>
      <c r="CF1365" s="48" t="str">
        <f aca="false">IF(OR(CE1365=1,CE1365=2,CE1365=3),IF(Parameter!$E$27="Ja","LIFT",IF(CE1365=1,"L1","L23")),IF(CE1365="Aussen","Aussen","-"))</f>
        <v>LIFT</v>
      </c>
      <c r="CG1365" s="59" t="n">
        <f aca="false">IF(N(AB1365)&gt;0,AB1365,0)</f>
        <v>0</v>
      </c>
      <c r="CH1365" s="53" t="n">
        <f aca="false">IF(ISNUMBER(AE1365),1,0)</f>
        <v>0</v>
      </c>
      <c r="CI1365" s="50" t="n">
        <f aca="false">N(AE1365)</f>
        <v>0</v>
      </c>
      <c r="CJ1365" s="50" t="n">
        <f aca="false">N(M1365)+N(N1365)</f>
        <v>5</v>
      </c>
      <c r="CK1365" s="50" t="n">
        <f aca="false">N(M1365)</f>
        <v>0</v>
      </c>
      <c r="CL1365" s="50" t="n">
        <f aca="false">N(N1365)</f>
        <v>5</v>
      </c>
      <c r="CM1365" s="50" t="n">
        <f aca="false">ROUNDUP(H1365/BY1365,0)</f>
        <v>1</v>
      </c>
      <c r="CN1365" s="50" t="n">
        <f aca="false">ROUNDUP(CI1365/BY1365,0)</f>
        <v>0</v>
      </c>
      <c r="CO1365" s="53" t="n">
        <f aca="false">IF(BZ1365=1,0,IFERROR(VLOOKUP(BX1365,'Gebinde-Kategorie'!$A$5:$N$45,5,0)+0,0))</f>
        <v>8</v>
      </c>
      <c r="CP1365" s="53" t="n">
        <f aca="false">IFERROR(IF(OR(CE1365=1,CE1365=2,CE1365=3),N(INDEX(Parameter!$I$5:$I$7,CE1365)),0),0)</f>
        <v>0</v>
      </c>
      <c r="CQ1365" s="52" t="n">
        <f aca="false">IF(AND(Parameter!$B$21="Ja",ISNUMBER(W1365),N(X1365)&gt;0),IFERROR(N(INDEX(Parameter!$L$5:$L$7,W1365))*INDEX(Parameter!$E$5:$E$7,W1365)*X1365/SUMIFS($X$7:$X$1843,$W$7:$W$1843,W1365),0),0)</f>
        <v>0</v>
      </c>
    </row>
    <row r="1366" customFormat="false" ht="15" hidden="false" customHeight="false" outlineLevel="0" collapsed="false">
      <c r="A1366" s="48" t="s">
        <v>2416</v>
      </c>
      <c r="B1366" s="48" t="s">
        <v>712</v>
      </c>
      <c r="C1366" s="48" t="s">
        <v>173</v>
      </c>
      <c r="D1366" s="48" t="s">
        <v>182</v>
      </c>
      <c r="E1366" s="48" t="s">
        <v>175</v>
      </c>
      <c r="F1366" s="48" t="s">
        <v>227</v>
      </c>
      <c r="G1366" s="49" t="n">
        <v>362.99</v>
      </c>
      <c r="H1366" s="50" t="n">
        <f aca="false">MAX(0,IF(AND(Parameter!$B$21="Ja",ISNUMBER(Y1366)),Y1366,IF(Parameter!$B$20="Jahresanfang 2025 + Export",BR1366+BQ1366,BQ1366)))</f>
        <v>17</v>
      </c>
      <c r="I1366" s="50" t="n">
        <f aca="false">H1366*G1366</f>
        <v>6170.83</v>
      </c>
      <c r="J1366" s="50" t="n">
        <f aca="false">BT1366*Parameter!$B$18</f>
        <v>39</v>
      </c>
      <c r="K1366" s="51" t="n">
        <v>25.5</v>
      </c>
      <c r="L1366" s="52" t="n">
        <v>1.52941176470588</v>
      </c>
      <c r="M1366" s="50" t="n">
        <v>5</v>
      </c>
      <c r="N1366" s="50" t="n">
        <v>15</v>
      </c>
      <c r="O1366" s="53" t="n">
        <v>35</v>
      </c>
      <c r="P1366" s="48" t="s">
        <v>268</v>
      </c>
      <c r="Q1366" s="50" t="n">
        <v>10</v>
      </c>
      <c r="R1366" s="53" t="n">
        <f aca="false">IF(BZ1366=1,0,IFERROR(VLOOKUP(BX1366,'Gebinde-Kategorie'!$A$5:$N$45,13,0)+0,0))</f>
        <v>6</v>
      </c>
      <c r="S1366" s="54"/>
      <c r="T1366" s="55"/>
      <c r="U1366" s="55"/>
      <c r="V1366" s="55"/>
      <c r="W1366" s="48"/>
      <c r="X1366" s="50"/>
      <c r="Y1366" s="50"/>
      <c r="Z1366" s="48" t="n">
        <f aca="false">IF(A1366="","",IF(AND(Parameter!$B$21="Ja",ISNUMBER(W1366)),W1366,IF(CC1366="2+3",IF(ISNUMBER(SEARCH("grosser Artikel",BU1366)),2,IFERROR(VLOOKUP(BX1366,Parameter!$F$35:$G$64,2,0),2)),IF(OR(CC1366="Nein",CC1366=""),"-",CC1366))))</f>
        <v>1</v>
      </c>
      <c r="AA1366" s="55"/>
      <c r="AB1366" s="56"/>
      <c r="AC1366" s="50" t="n">
        <f aca="false">AV1366</f>
        <v>21</v>
      </c>
      <c r="AD1366" s="50" t="n">
        <f aca="false">MAX(AV1366,H1366)</f>
        <v>21</v>
      </c>
      <c r="AE1366" s="57"/>
      <c r="AF1366" s="50" t="n">
        <f aca="false">IF(LEFT(Cockpit!$C$5,1)="A",H1366,IF(Parameter!$E$30="MAX-Bestand",IF(CH1366=1,CI1366,IF(LEFT(Cockpit!$C$5,1)="B",AL1366,MAX(AL1366,H1366))),ROUNDUP(AJ1366,0)))</f>
        <v>17</v>
      </c>
      <c r="AG1366" s="50" t="n">
        <f aca="false">IF(BZ1366=1,0,ROUNDUP(AF1366/BY1366,0))</f>
        <v>2</v>
      </c>
      <c r="AH1366" s="52" t="n">
        <f aca="false">IF(CQ1366&gt;0,CQ1366*MAX(1,AF1366/X1366),IF(BZ1366=1,IF(AF1366&lt;=0,0,CD1366*MAX(1,IF(H1366&gt;0,AF1366/H1366,1))),IF(R1366&gt;0,AG1366/R1366,0))/MAX(0.1,N(Parameter!$M$21)))</f>
        <v>0.333333333333333</v>
      </c>
      <c r="AI1366" s="50" t="n">
        <f aca="false">AH1366*CB1366</f>
        <v>145</v>
      </c>
      <c r="AJ1366" s="51" t="n">
        <f aca="false">IF(LEFT(Cockpit!$C$5,1)="A",H1366,IF(CH1366=1,(CK1366+CI1366)/2,IF(LEFT(Cockpit!$C$5,1)="B",(CK1366+AL1366)/2,MAX((CK1366+AL1366)/2,H1366))))</f>
        <v>17</v>
      </c>
      <c r="AK1366" s="50" t="n">
        <f aca="false">AJ1366*G1366</f>
        <v>6170.83</v>
      </c>
      <c r="AL1366" s="50" t="n">
        <f aca="false">ROUNDUP(CK1366+MAX(CL1366,2*(J1366/IF(CG1366&gt;0,CG1366,MAX(0.1,N(Cockpit!$C$6)))-CK1366)),0)</f>
        <v>21</v>
      </c>
      <c r="AM1366" s="51" t="n">
        <f aca="false">IF(AI1366&gt;0,J1366/AI1366,-1)</f>
        <v>0.268965517241379</v>
      </c>
      <c r="AN1366" s="51" t="n">
        <f aca="false">IF(AND(OR(CF1366="L1",CF1366="L23",CF1366="LIFT"),AI1366&gt;0),SUMIFS($AI$7:$AI$1843,$CF$7:$CF$1843,CF1366,$AM$7:$AM$1843,"&gt;"&amp;AM1366)+SUMIFS($AI$7:$AI$1843,$CF$7:$CF$1843,CF1366,$AM$7:$AM$1843,AM1366,$BW$7:$BW$1843,"&lt;="&amp;BW1366),"")</f>
        <v>11852.7702629292</v>
      </c>
      <c r="AO1366" s="58" t="n">
        <f aca="false">IF(AN1366="",0,MAX(0,MIN(1,(IF(CF1366="L1",Parameter!$H$5,IF(CF1366="L23",Parameter!$H$6+Parameter!$H$7,Parameter!$H$5+Parameter!$H$6+Parameter!$H$7))-(AN1366-AI1366))/AI1366)))</f>
        <v>1</v>
      </c>
      <c r="AP1366" s="50" t="n">
        <f aca="false">IF(LEFT(Cockpit!$I$5,1)="A",H1366,IF(Parameter!$E$30="MAX-Bestand",IF(CH1366=1,CI1366,IF(LEFT(Cockpit!$I$5,1)="B",AV1366,MAX(AV1366,H1366))),ROUNDUP(AT1366,0)))</f>
        <v>17</v>
      </c>
      <c r="AQ1366" s="50" t="n">
        <f aca="false">IF(BZ1366=1,0,ROUNDUP(AP1366/BY1366,0))</f>
        <v>2</v>
      </c>
      <c r="AR1366" s="52" t="n">
        <f aca="false">IF(CQ1366&gt;0,CQ1366*MAX(1,AP1366/X1366),IF(BZ1366=1,IF(AP1366&lt;=0,0,CD1366*MAX(1,IF(H1366&gt;0,AP1366/H1366,1))),IF(R1366&gt;0,AQ1366/R1366,0))/MAX(0.1,N(Parameter!$M$21)))</f>
        <v>0.333333333333333</v>
      </c>
      <c r="AS1366" s="50" t="n">
        <f aca="false">AR1366*CB1366</f>
        <v>145</v>
      </c>
      <c r="AT1366" s="51" t="n">
        <f aca="false">IF(LEFT(Cockpit!$I$5,1)="A",H1366,IF(CH1366=1,(CK1366+CI1366)/2,IF(LEFT(Cockpit!$I$5,1)="B",(CK1366+AV1366)/2,MAX((CK1366+AV1366)/2,H1366))))</f>
        <v>17</v>
      </c>
      <c r="AU1366" s="50" t="n">
        <f aca="false">AT1366*G1366</f>
        <v>6170.83</v>
      </c>
      <c r="AV1366" s="50" t="n">
        <f aca="false">ROUNDUP(CK1366+MAX(CL1366,2*(J1366/IF(CG1366&gt;0,CG1366,MAX(0.1,N(Cockpit!$I$6)))-CK1366)),0)</f>
        <v>21</v>
      </c>
      <c r="AW1366" s="51" t="n">
        <f aca="false">IF(AS1366&gt;0,J1366/AS1366,-1)</f>
        <v>0.268965517241379</v>
      </c>
      <c r="AX1366" s="51" t="n">
        <f aca="false">IF(AND(OR(CF1366="L1",CF1366="L23",CF1366="LIFT"),AS1366&gt;0),SUMIFS($AS$7:$AS$1843,$CF$7:$CF$1843,CF1366,$AW$7:$AW$1843,"&gt;"&amp;AW1366)+SUMIFS($AS$7:$AS$1843,$CF$7:$CF$1843,CF1366,$AW$7:$AW$1843,AW1366,$BW$7:$BW$1843,"&lt;="&amp;BW1366),"")</f>
        <v>14929.6643772894</v>
      </c>
      <c r="AY1366" s="58" t="n">
        <f aca="false">IF(AX1366="",0,MAX(0,MIN(1,(IF(CF1366="L1",Parameter!$H$5,IF(CF1366="L23",Parameter!$H$6+Parameter!$H$7,Parameter!$H$5+Parameter!$H$6+Parameter!$H$7))-(AX1366-AS1366))/AS1366)))</f>
        <v>1</v>
      </c>
      <c r="AZ1366" s="50" t="n">
        <f aca="false">IF(LEFT(Cockpit!$O$5,1)="A",H1366,IF(Parameter!$E$30="MAX-Bestand",IF(CH1366=1,CI1366,IF(LEFT(Cockpit!$O$5,1)="B",BF1366,MAX(BF1366,H1366))),ROUNDUP(BD1366,0)))</f>
        <v>13</v>
      </c>
      <c r="BA1366" s="50" t="n">
        <f aca="false">IF(BZ1366=1,0,ROUNDUP(AZ1366/BY1366,0))</f>
        <v>2</v>
      </c>
      <c r="BB1366" s="52" t="n">
        <f aca="false">IF(CQ1366&gt;0,CQ1366*MAX(1,AZ1366/X1366),IF(BZ1366=1,IF(AZ1366&lt;=0,0,CD1366*MAX(1,IF(H1366&gt;0,AZ1366/H1366,1))),IF(R1366&gt;0,BA1366/R1366,0))/MAX(0.1,N(Parameter!$M$21)))</f>
        <v>0.333333333333333</v>
      </c>
      <c r="BC1366" s="50" t="n">
        <f aca="false">BB1366*CB1366</f>
        <v>145</v>
      </c>
      <c r="BD1366" s="51" t="n">
        <f aca="false">IF(LEFT(Cockpit!$O$5,1)="A",H1366,IF(CH1366=1,(CK1366+CI1366)/2,IF(LEFT(Cockpit!$O$5,1)="B",(CK1366+BF1366)/2,MAX((CK1366+BF1366)/2,H1366))))</f>
        <v>12.5</v>
      </c>
      <c r="BE1366" s="50" t="n">
        <f aca="false">BD1366*G1366</f>
        <v>4537.375</v>
      </c>
      <c r="BF1366" s="50" t="n">
        <f aca="false">ROUNDUP(CK1366+MAX(CL1366,2*(J1366/IF(CG1366&gt;0,CG1366,MAX(0.1,N(Cockpit!$O$6)))-CK1366)),0)</f>
        <v>20</v>
      </c>
      <c r="BG1366" s="51" t="n">
        <f aca="false">IF(BC1366&gt;0,J1366/BC1366,-1)</f>
        <v>0.268965517241379</v>
      </c>
      <c r="BH1366" s="51" t="n">
        <f aca="false">IF(AND(OR(CF1366="L1",CF1366="L23",CF1366="LIFT"),BC1366&gt;0),SUMIFS($BC$7:$BC$1843,$CF$7:$CF$1843,CF1366,$BG$7:$BG$1843,"&gt;"&amp;BG1366)+SUMIFS($BC$7:$BC$1843,$CF$7:$CF$1843,CF1366,$BG$7:$BG$1843,BG1366,$BW$7:$BW$1843,"&lt;="&amp;BW1366),"")</f>
        <v>12105.0581501832</v>
      </c>
      <c r="BI1366" s="58" t="n">
        <f aca="false">IF(BH1366="",0,MAX(0,MIN(1,(IF(CF1366="L1",Parameter!$H$5,IF(CF1366="L23",Parameter!$H$6+Parameter!$H$7,Parameter!$H$5+Parameter!$H$6+Parameter!$H$7))-(BH1366-BC1366))/BC1366)))</f>
        <v>1</v>
      </c>
      <c r="BJ1366" s="48" t="str">
        <f aca="false">IF(AI1366&lt;=0,"",IF(CF1366="Aussen","Aussenlager",IF(CF1366="-","Nicht im Lift",IF(AO1366&gt;=1,"Lift",IF(AO1366&lt;=0,"Aussenlager","teilweise")))))</f>
        <v>Lift</v>
      </c>
      <c r="BK1366" s="48" t="str">
        <f aca="false">IF(AS1366&lt;=0,"",IF(CF1366="Aussen","Aussenlager",IF(CF1366="-","Nicht im Lift",IF(AY1366&gt;=1,"Lift",IF(AY1366&lt;=0,"Aussenlager","teilweise")))))</f>
        <v>Lift</v>
      </c>
      <c r="BL1366" s="48" t="str">
        <f aca="false">IF(BC1366&lt;=0,"",IF(CF1366="Aussen","Aussenlager",IF(CF1366="-","Nicht im Lift",IF(BI1366&gt;=1,"Lift",IF(BI1366&lt;=0,"Aussenlager","teilweise")))))</f>
        <v>Lift</v>
      </c>
      <c r="BM1366" s="48" t="str">
        <f aca="false">IF(A1366="","",IF(BV1366=1,"Neu; ","")&amp;IF(AND(BV1366=0,BQ1366&lt;0),"negativer Bestand (Export "&amp;BQ1366&amp;"); ","")&amp;IF(J1366&lt;=0,"Kein Verbrauch; ","")&amp;IF(CQ1366&gt;0,"Lift "&amp;W1366&amp;" lt. Liftbericht (Fach "&amp;X1366&amp;" Stk); ",IF(CA1366=1,"Gebinde geschätzt ("&amp;T1366&amp;"); ",IF(BZ1366=1,"Lose – Tablare geschätzt; ","")))&amp;IF(H1366&gt;AV1366,"Überbestand "&amp;ROUND(H1366-AV1366,0)&amp;" Stk / CHF "&amp;ROUND((H1366-AV1366)*G1366,0)&amp;"; ","")&amp;IF(AND(CH1366=1,CI1366&lt;CJ1366),"MAX &lt; MB+LG; ","")&amp;IF(AND(CP1366&gt;0,CO1366*10&gt;CP1366),"zu hoch für Tablar; ","")&amp;IF(AND(BV1366=0,OR(CH1366=1,AA1366&lt;&gt;"",U1366&lt;&gt;"",V1366&lt;&gt;"",AB1366&lt;&gt;"")),"manuell übersteuert; ","")&amp;IF(AND(BZ1366=0,R1366=0),"Gebinde unbekannt / Stellmass fehlt; ","")&amp;IF(AND(BZ1366=0,N(V1366)&lt;=0,N(Q1366)&lt;=0),"Menge pro Gebinde fehlt (Ist = 1 Gebinde); ","")&amp;BU1366)</f>
        <v>negativer Bestand (Export -7); </v>
      </c>
      <c r="BN1366" s="48"/>
      <c r="BO1366" s="48"/>
      <c r="BP1366" s="55"/>
      <c r="BQ1366" s="50" t="n">
        <v>-7</v>
      </c>
      <c r="BR1366" s="50" t="n">
        <v>24</v>
      </c>
      <c r="BS1366" s="49" t="n">
        <v>-2540.21000000001</v>
      </c>
      <c r="BT1366" s="50" t="n">
        <v>39</v>
      </c>
      <c r="BU1366" s="48"/>
      <c r="BV1366" s="53" t="n">
        <v>0</v>
      </c>
      <c r="BW1366" s="53" t="n">
        <v>1366</v>
      </c>
      <c r="BX1366" s="48" t="str">
        <f aca="false">IF(U1366&lt;&gt;"",UPPER(TRIM(U1366)),IF(CA1366=1,UPPER(VLOOKUP(T1366,Parameter!$I$27:$K$29,2,0)),IF(P1366="","LOSE",P1366)))</f>
        <v>S72</v>
      </c>
      <c r="BY1366" s="50" t="n">
        <f aca="false">IF(BX1366="LOSE",1,IF(N(V1366)&gt;0,V1366,IF(CA1366=1,MAX(1,N(VLOOKUP(T1366,Parameter!$I$27:$K$29,3,0)),H1366,N(N1366)),IF(N(Q1366)&gt;0,Q1366,MAX(1,H1366)))))</f>
        <v>10</v>
      </c>
      <c r="BZ1366" s="53" t="n">
        <f aca="false">IF(BX1366="LOSE",1,0)</f>
        <v>0</v>
      </c>
      <c r="CA1366" s="53" t="n">
        <f aca="false">IF(AND(U1366="",OR(P1366="",P1366="LOSE"),T1366&lt;&gt;"",N(S1366)&lt;=0,ISNUMBER(MATCH(T1366,Parameter!$I$27:$I$29,0))),1,0)</f>
        <v>0</v>
      </c>
      <c r="CB1366" s="53" t="n">
        <f aca="false">IF(CQ1366&gt;0,INDEX(Parameter!$H$5:$H$7,W1366)/INDEX(Parameter!$E$5:$E$7,W1366),IF(AND(BZ1366=0,N(IFERROR(VLOOKUP(BX1366,'Gebinde-Kategorie'!$A$5:$N$45,14,0),0))&gt;0),VLOOKUP(BX1366,'Gebinde-Kategorie'!$A$5:$N$45,14,0)*10+Parameter!$M$23,Parameter!$M$24))</f>
        <v>435</v>
      </c>
      <c r="CC1366" s="48" t="n">
        <f aca="false">IF(AND(Parameter!$B$19="Ja",E1366&lt;&gt;"",ISNUMBER(MATCH(E1366,Parameter!$I$35:$I$52,0))),VLOOKUP(E1366,Parameter!$I$35:$J$52,2,0),IFERROR(VLOOKUP(D1366,Parameter!$A$35:$C$64,2,0),"Nein"))</f>
        <v>1</v>
      </c>
      <c r="CD1366" s="52" t="n">
        <f aca="false">IF(BZ1366=0,0,IF(N(S1366)&gt;0,S1366,IFERROR(VLOOKUP(D1366,Parameter!$A$35:$C$64,3,0)+0,0)))</f>
        <v>0</v>
      </c>
      <c r="CE1366" s="48" t="n">
        <f aca="false">IF(AA1366&lt;&gt;"",AA1366,Z1366)</f>
        <v>1</v>
      </c>
      <c r="CF1366" s="48" t="str">
        <f aca="false">IF(OR(CE1366=1,CE1366=2,CE1366=3),IF(Parameter!$E$27="Ja","LIFT",IF(CE1366=1,"L1","L23")),IF(CE1366="Aussen","Aussen","-"))</f>
        <v>LIFT</v>
      </c>
      <c r="CG1366" s="59" t="n">
        <f aca="false">IF(N(AB1366)&gt;0,AB1366,0)</f>
        <v>0</v>
      </c>
      <c r="CH1366" s="53" t="n">
        <f aca="false">IF(ISNUMBER(AE1366),1,0)</f>
        <v>0</v>
      </c>
      <c r="CI1366" s="50" t="n">
        <f aca="false">N(AE1366)</f>
        <v>0</v>
      </c>
      <c r="CJ1366" s="50" t="n">
        <f aca="false">N(M1366)+N(N1366)</f>
        <v>20</v>
      </c>
      <c r="CK1366" s="50" t="n">
        <f aca="false">N(M1366)</f>
        <v>5</v>
      </c>
      <c r="CL1366" s="50" t="n">
        <f aca="false">N(N1366)</f>
        <v>15</v>
      </c>
      <c r="CM1366" s="50" t="n">
        <f aca="false">ROUNDUP(H1366/BY1366,0)</f>
        <v>2</v>
      </c>
      <c r="CN1366" s="50" t="n">
        <f aca="false">ROUNDUP(CI1366/BY1366,0)</f>
        <v>0</v>
      </c>
      <c r="CO1366" s="53" t="n">
        <f aca="false">IF(BZ1366=1,0,IFERROR(VLOOKUP(BX1366,'Gebinde-Kategorie'!$A$5:$N$45,5,0)+0,0))</f>
        <v>40</v>
      </c>
      <c r="CP1366" s="53" t="n">
        <f aca="false">IFERROR(IF(OR(CE1366=1,CE1366=2,CE1366=3),N(INDEX(Parameter!$I$5:$I$7,CE1366)),0),0)</f>
        <v>0</v>
      </c>
      <c r="CQ1366" s="52" t="n">
        <f aca="false">IF(AND(Parameter!$B$21="Ja",ISNUMBER(W1366),N(X1366)&gt;0),IFERROR(N(INDEX(Parameter!$L$5:$L$7,W1366))*INDEX(Parameter!$E$5:$E$7,W1366)*X1366/SUMIFS($X$7:$X$1843,$W$7:$W$1843,W1366),0),0)</f>
        <v>0</v>
      </c>
    </row>
    <row r="1367" customFormat="false" ht="15" hidden="false" customHeight="false" outlineLevel="0" collapsed="false">
      <c r="A1367" s="48" t="s">
        <v>2417</v>
      </c>
      <c r="B1367" s="48" t="s">
        <v>2418</v>
      </c>
      <c r="C1367" s="48" t="s">
        <v>173</v>
      </c>
      <c r="D1367" s="48" t="s">
        <v>193</v>
      </c>
      <c r="E1367" s="48" t="s">
        <v>194</v>
      </c>
      <c r="F1367" s="48" t="s">
        <v>227</v>
      </c>
      <c r="G1367" s="49" t="n">
        <v>24.67</v>
      </c>
      <c r="H1367" s="50" t="n">
        <f aca="false">MAX(0,IF(AND(Parameter!$B$21="Ja",ISNUMBER(Y1367)),Y1367,IF(Parameter!$B$20="Jahresanfang 2025 + Export",BR1367+BQ1367,BQ1367)))</f>
        <v>32</v>
      </c>
      <c r="I1367" s="50" t="n">
        <f aca="false">H1367*G1367</f>
        <v>789.44</v>
      </c>
      <c r="J1367" s="50" t="n">
        <f aca="false">BT1367*Parameter!$B$18</f>
        <v>22</v>
      </c>
      <c r="K1367" s="51" t="n">
        <v>121</v>
      </c>
      <c r="L1367" s="52" t="n">
        <v>0.181818181818182</v>
      </c>
      <c r="M1367" s="50" t="n">
        <v>1</v>
      </c>
      <c r="N1367" s="50" t="n">
        <v>20</v>
      </c>
      <c r="O1367" s="53" t="n">
        <v>28</v>
      </c>
      <c r="P1367" s="48" t="s">
        <v>311</v>
      </c>
      <c r="Q1367" s="50" t="n">
        <v>60</v>
      </c>
      <c r="R1367" s="53" t="n">
        <f aca="false">IF(BZ1367=1,0,IFERROR(VLOOKUP(BX1367,'Gebinde-Kategorie'!$A$5:$N$45,13,0)+0,0))</f>
        <v>26</v>
      </c>
      <c r="S1367" s="54"/>
      <c r="T1367" s="55"/>
      <c r="U1367" s="55"/>
      <c r="V1367" s="55"/>
      <c r="W1367" s="48"/>
      <c r="X1367" s="50"/>
      <c r="Y1367" s="50"/>
      <c r="Z1367" s="48" t="n">
        <f aca="false">IF(A1367="","",IF(AND(Parameter!$B$21="Ja",ISNUMBER(W1367)),W1367,IF(CC1367="2+3",IF(ISNUMBER(SEARCH("grosser Artikel",BU1367)),2,IFERROR(VLOOKUP(BX1367,Parameter!$F$35:$G$64,2,0),2)),IF(OR(CC1367="Nein",CC1367=""),"-",CC1367))))</f>
        <v>3</v>
      </c>
      <c r="AA1367" s="55"/>
      <c r="AB1367" s="56"/>
      <c r="AC1367" s="50" t="n">
        <f aca="false">AV1367</f>
        <v>21</v>
      </c>
      <c r="AD1367" s="50" t="n">
        <f aca="false">MAX(AV1367,H1367)</f>
        <v>32</v>
      </c>
      <c r="AE1367" s="57"/>
      <c r="AF1367" s="50" t="n">
        <f aca="false">IF(LEFT(Cockpit!$C$5,1)="A",H1367,IF(Parameter!$E$30="MAX-Bestand",IF(CH1367=1,CI1367,IF(LEFT(Cockpit!$C$5,1)="B",AL1367,MAX(AL1367,H1367))),ROUNDUP(AJ1367,0)))</f>
        <v>32</v>
      </c>
      <c r="AG1367" s="50" t="n">
        <f aca="false">IF(BZ1367=1,0,ROUNDUP(AF1367/BY1367,0))</f>
        <v>1</v>
      </c>
      <c r="AH1367" s="52" t="n">
        <f aca="false">IF(CQ1367&gt;0,CQ1367*MAX(1,AF1367/X1367),IF(BZ1367=1,IF(AF1367&lt;=0,0,CD1367*MAX(1,IF(H1367&gt;0,AF1367/H1367,1))),IF(R1367&gt;0,AG1367/R1367,0))/MAX(0.1,N(Parameter!$M$21)))</f>
        <v>0.0384615384615385</v>
      </c>
      <c r="AI1367" s="50" t="n">
        <f aca="false">AH1367*CB1367</f>
        <v>5.96153846153846</v>
      </c>
      <c r="AJ1367" s="51" t="n">
        <f aca="false">IF(LEFT(Cockpit!$C$5,1)="A",H1367,IF(CH1367=1,(CK1367+CI1367)/2,IF(LEFT(Cockpit!$C$5,1)="B",(CK1367+AL1367)/2,MAX((CK1367+AL1367)/2,H1367))))</f>
        <v>32</v>
      </c>
      <c r="AK1367" s="50" t="n">
        <f aca="false">AJ1367*G1367</f>
        <v>789.44</v>
      </c>
      <c r="AL1367" s="50" t="n">
        <f aca="false">ROUNDUP(CK1367+MAX(CL1367,2*(J1367/IF(CG1367&gt;0,CG1367,MAX(0.1,N(Cockpit!$C$6)))-CK1367)),0)</f>
        <v>21</v>
      </c>
      <c r="AM1367" s="51" t="n">
        <f aca="false">IF(AI1367&gt;0,J1367/AI1367,-1)</f>
        <v>3.69032258064516</v>
      </c>
      <c r="AN1367" s="51" t="n">
        <f aca="false">IF(AND(OR(CF1367="L1",CF1367="L23",CF1367="LIFT"),AI1367&gt;0),SUMIFS($AI$7:$AI$1843,$CF$7:$CF$1843,CF1367,$AM$7:$AM$1843,"&gt;"&amp;AM1367)+SUMIFS($AI$7:$AI$1843,$CF$7:$CF$1843,CF1367,$AM$7:$AM$1843,AM1367,$BW$7:$BW$1843,"&lt;="&amp;BW1367),"")</f>
        <v>4778.73717948718</v>
      </c>
      <c r="AO1367" s="58" t="n">
        <f aca="false">IF(AN1367="",0,MAX(0,MIN(1,(IF(CF1367="L1",Parameter!$H$5,IF(CF1367="L23",Parameter!$H$6+Parameter!$H$7,Parameter!$H$5+Parameter!$H$6+Parameter!$H$7))-(AN1367-AI1367))/AI1367)))</f>
        <v>1</v>
      </c>
      <c r="AP1367" s="50" t="n">
        <f aca="false">IF(LEFT(Cockpit!$I$5,1)="A",H1367,IF(Parameter!$E$30="MAX-Bestand",IF(CH1367=1,CI1367,IF(LEFT(Cockpit!$I$5,1)="B",AV1367,MAX(AV1367,H1367))),ROUNDUP(AT1367,0)))</f>
        <v>32</v>
      </c>
      <c r="AQ1367" s="50" t="n">
        <f aca="false">IF(BZ1367=1,0,ROUNDUP(AP1367/BY1367,0))</f>
        <v>1</v>
      </c>
      <c r="AR1367" s="52" t="n">
        <f aca="false">IF(CQ1367&gt;0,CQ1367*MAX(1,AP1367/X1367),IF(BZ1367=1,IF(AP1367&lt;=0,0,CD1367*MAX(1,IF(H1367&gt;0,AP1367/H1367,1))),IF(R1367&gt;0,AQ1367/R1367,0))/MAX(0.1,N(Parameter!$M$21)))</f>
        <v>0.0384615384615385</v>
      </c>
      <c r="AS1367" s="50" t="n">
        <f aca="false">AR1367*CB1367</f>
        <v>5.96153846153846</v>
      </c>
      <c r="AT1367" s="51" t="n">
        <f aca="false">IF(LEFT(Cockpit!$I$5,1)="A",H1367,IF(CH1367=1,(CK1367+CI1367)/2,IF(LEFT(Cockpit!$I$5,1)="B",(CK1367+AV1367)/2,MAX((CK1367+AV1367)/2,H1367))))</f>
        <v>32</v>
      </c>
      <c r="AU1367" s="50" t="n">
        <f aca="false">AT1367*G1367</f>
        <v>789.44</v>
      </c>
      <c r="AV1367" s="50" t="n">
        <f aca="false">ROUNDUP(CK1367+MAX(CL1367,2*(J1367/IF(CG1367&gt;0,CG1367,MAX(0.1,N(Cockpit!$I$6)))-CK1367)),0)</f>
        <v>21</v>
      </c>
      <c r="AW1367" s="51" t="n">
        <f aca="false">IF(AS1367&gt;0,J1367/AS1367,-1)</f>
        <v>3.69032258064516</v>
      </c>
      <c r="AX1367" s="51" t="n">
        <f aca="false">IF(AND(OR(CF1367="L1",CF1367="L23",CF1367="LIFT"),AS1367&gt;0),SUMIFS($AS$7:$AS$1843,$CF$7:$CF$1843,CF1367,$AW$7:$AW$1843,"&gt;"&amp;AW1367)+SUMIFS($AS$7:$AS$1843,$CF$7:$CF$1843,CF1367,$AW$7:$AW$1843,AW1367,$BW$7:$BW$1843,"&lt;="&amp;BW1367),"")</f>
        <v>5397.15750915751</v>
      </c>
      <c r="AY1367" s="58" t="n">
        <f aca="false">IF(AX1367="",0,MAX(0,MIN(1,(IF(CF1367="L1",Parameter!$H$5,IF(CF1367="L23",Parameter!$H$6+Parameter!$H$7,Parameter!$H$5+Parameter!$H$6+Parameter!$H$7))-(AX1367-AS1367))/AS1367)))</f>
        <v>1</v>
      </c>
      <c r="AZ1367" s="50" t="n">
        <f aca="false">IF(LEFT(Cockpit!$O$5,1)="A",H1367,IF(Parameter!$E$30="MAX-Bestand",IF(CH1367=1,CI1367,IF(LEFT(Cockpit!$O$5,1)="B",BF1367,MAX(BF1367,H1367))),ROUNDUP(BD1367,0)))</f>
        <v>11</v>
      </c>
      <c r="BA1367" s="50" t="n">
        <f aca="false">IF(BZ1367=1,0,ROUNDUP(AZ1367/BY1367,0))</f>
        <v>1</v>
      </c>
      <c r="BB1367" s="52" t="n">
        <f aca="false">IF(CQ1367&gt;0,CQ1367*MAX(1,AZ1367/X1367),IF(BZ1367=1,IF(AZ1367&lt;=0,0,CD1367*MAX(1,IF(H1367&gt;0,AZ1367/H1367,1))),IF(R1367&gt;0,BA1367/R1367,0))/MAX(0.1,N(Parameter!$M$21)))</f>
        <v>0.0384615384615385</v>
      </c>
      <c r="BC1367" s="50" t="n">
        <f aca="false">BB1367*CB1367</f>
        <v>5.96153846153846</v>
      </c>
      <c r="BD1367" s="51" t="n">
        <f aca="false">IF(LEFT(Cockpit!$O$5,1)="A",H1367,IF(CH1367=1,(CK1367+CI1367)/2,IF(LEFT(Cockpit!$O$5,1)="B",(CK1367+BF1367)/2,MAX((CK1367+BF1367)/2,H1367))))</f>
        <v>11</v>
      </c>
      <c r="BE1367" s="50" t="n">
        <f aca="false">BD1367*G1367</f>
        <v>271.37</v>
      </c>
      <c r="BF1367" s="50" t="n">
        <f aca="false">ROUNDUP(CK1367+MAX(CL1367,2*(J1367/IF(CG1367&gt;0,CG1367,MAX(0.1,N(Cockpit!$O$6)))-CK1367)),0)</f>
        <v>21</v>
      </c>
      <c r="BG1367" s="51" t="n">
        <f aca="false">IF(BC1367&gt;0,J1367/BC1367,-1)</f>
        <v>3.69032258064516</v>
      </c>
      <c r="BH1367" s="51" t="n">
        <f aca="false">IF(AND(OR(CF1367="L1",CF1367="L23",CF1367="LIFT"),BC1367&gt;0),SUMIFS($BC$7:$BC$1843,$CF$7:$CF$1843,CF1367,$BG$7:$BG$1843,"&gt;"&amp;BG1367)+SUMIFS($BC$7:$BC$1843,$CF$7:$CF$1843,CF1367,$BG$7:$BG$1843,BG1367,$BW$7:$BW$1843,"&lt;="&amp;BW1367),"")</f>
        <v>4415.5293040293</v>
      </c>
      <c r="BI1367" s="58" t="n">
        <f aca="false">IF(BH1367="",0,MAX(0,MIN(1,(IF(CF1367="L1",Parameter!$H$5,IF(CF1367="L23",Parameter!$H$6+Parameter!$H$7,Parameter!$H$5+Parameter!$H$6+Parameter!$H$7))-(BH1367-BC1367))/BC1367)))</f>
        <v>1</v>
      </c>
      <c r="BJ1367" s="48" t="str">
        <f aca="false">IF(AI1367&lt;=0,"",IF(CF1367="Aussen","Aussenlager",IF(CF1367="-","Nicht im Lift",IF(AO1367&gt;=1,"Lift",IF(AO1367&lt;=0,"Aussenlager","teilweise")))))</f>
        <v>Lift</v>
      </c>
      <c r="BK1367" s="48" t="str">
        <f aca="false">IF(AS1367&lt;=0,"",IF(CF1367="Aussen","Aussenlager",IF(CF1367="-","Nicht im Lift",IF(AY1367&gt;=1,"Lift",IF(AY1367&lt;=0,"Aussenlager","teilweise")))))</f>
        <v>Lift</v>
      </c>
      <c r="BL1367" s="48" t="str">
        <f aca="false">IF(BC1367&lt;=0,"",IF(CF1367="Aussen","Aussenlager",IF(CF1367="-","Nicht im Lift",IF(BI1367&gt;=1,"Lift",IF(BI1367&lt;=0,"Aussenlager","teilweise")))))</f>
        <v>Lift</v>
      </c>
      <c r="BM1367" s="48" t="str">
        <f aca="false">IF(A1367="","",IF(BV1367=1,"Neu; ","")&amp;IF(AND(BV1367=0,BQ1367&lt;0),"negativer Bestand (Export "&amp;BQ1367&amp;"); ","")&amp;IF(J1367&lt;=0,"Kein Verbrauch; ","")&amp;IF(CQ1367&gt;0,"Lift "&amp;W1367&amp;" lt. Liftbericht (Fach "&amp;X1367&amp;" Stk); ",IF(CA1367=1,"Gebinde geschätzt ("&amp;T1367&amp;"); ",IF(BZ1367=1,"Lose – Tablare geschätzt; ","")))&amp;IF(H1367&gt;AV1367,"Überbestand "&amp;ROUND(H1367-AV1367,0)&amp;" Stk / CHF "&amp;ROUND((H1367-AV1367)*G1367,0)&amp;"; ","")&amp;IF(AND(CH1367=1,CI1367&lt;CJ1367),"MAX &lt; MB+LG; ","")&amp;IF(AND(CP1367&gt;0,CO1367*10&gt;CP1367),"zu hoch für Tablar; ","")&amp;IF(AND(BV1367=0,OR(CH1367=1,AA1367&lt;&gt;"",U1367&lt;&gt;"",V1367&lt;&gt;"",AB1367&lt;&gt;"")),"manuell übersteuert; ","")&amp;IF(AND(BZ1367=0,R1367=0),"Gebinde unbekannt / Stellmass fehlt; ","")&amp;IF(AND(BZ1367=0,N(V1367)&lt;=0,N(Q1367)&lt;=0),"Menge pro Gebinde fehlt (Ist = 1 Gebinde); ","")&amp;BU1367)</f>
        <v>negativer Bestand (Export -103); Überbestand 11 Stk / CHF 271; B&amp;R</v>
      </c>
      <c r="BN1367" s="48"/>
      <c r="BO1367" s="48"/>
      <c r="BP1367" s="55"/>
      <c r="BQ1367" s="50" t="n">
        <v>-103</v>
      </c>
      <c r="BR1367" s="50" t="n">
        <v>135</v>
      </c>
      <c r="BS1367" s="49" t="n">
        <v>-2541.01</v>
      </c>
      <c r="BT1367" s="50" t="n">
        <v>22</v>
      </c>
      <c r="BU1367" s="48" t="s">
        <v>2226</v>
      </c>
      <c r="BV1367" s="53" t="n">
        <v>0</v>
      </c>
      <c r="BW1367" s="53" t="n">
        <v>1367</v>
      </c>
      <c r="BX1367" s="48" t="str">
        <f aca="false">IF(U1367&lt;&gt;"",UPPER(TRIM(U1367)),IF(CA1367=1,UPPER(VLOOKUP(T1367,Parameter!$I$27:$K$29,2,0)),IF(P1367="","LOSE",P1367)))</f>
        <v>S51</v>
      </c>
      <c r="BY1367" s="50" t="n">
        <f aca="false">IF(BX1367="LOSE",1,IF(N(V1367)&gt;0,V1367,IF(CA1367=1,MAX(1,N(VLOOKUP(T1367,Parameter!$I$27:$K$29,3,0)),H1367,N(N1367)),IF(N(Q1367)&gt;0,Q1367,MAX(1,H1367)))))</f>
        <v>60</v>
      </c>
      <c r="BZ1367" s="53" t="n">
        <f aca="false">IF(BX1367="LOSE",1,0)</f>
        <v>0</v>
      </c>
      <c r="CA1367" s="53" t="n">
        <f aca="false">IF(AND(U1367="",OR(P1367="",P1367="LOSE"),T1367&lt;&gt;"",N(S1367)&lt;=0,ISNUMBER(MATCH(T1367,Parameter!$I$27:$I$29,0))),1,0)</f>
        <v>0</v>
      </c>
      <c r="CB1367" s="53" t="n">
        <f aca="false">IF(CQ1367&gt;0,INDEX(Parameter!$H$5:$H$7,W1367)/INDEX(Parameter!$E$5:$E$7,W1367),IF(AND(BZ1367=0,N(IFERROR(VLOOKUP(BX1367,'Gebinde-Kategorie'!$A$5:$N$45,14,0),0))&gt;0),VLOOKUP(BX1367,'Gebinde-Kategorie'!$A$5:$N$45,14,0)*10+Parameter!$M$23,Parameter!$M$24))</f>
        <v>155</v>
      </c>
      <c r="CC1367" s="48" t="str">
        <f aca="false">IF(AND(Parameter!$B$19="Ja",E1367&lt;&gt;"",ISNUMBER(MATCH(E1367,Parameter!$I$35:$I$52,0))),VLOOKUP(E1367,Parameter!$I$35:$J$52,2,0),IFERROR(VLOOKUP(D1367,Parameter!$A$35:$C$64,2,0),"Nein"))</f>
        <v>2+3</v>
      </c>
      <c r="CD1367" s="52" t="n">
        <f aca="false">IF(BZ1367=0,0,IF(N(S1367)&gt;0,S1367,IFERROR(VLOOKUP(D1367,Parameter!$A$35:$C$64,3,0)+0,0)))</f>
        <v>0</v>
      </c>
      <c r="CE1367" s="48" t="n">
        <f aca="false">IF(AA1367&lt;&gt;"",AA1367,Z1367)</f>
        <v>3</v>
      </c>
      <c r="CF1367" s="48" t="str">
        <f aca="false">IF(OR(CE1367=1,CE1367=2,CE1367=3),IF(Parameter!$E$27="Ja","LIFT",IF(CE1367=1,"L1","L23")),IF(CE1367="Aussen","Aussen","-"))</f>
        <v>LIFT</v>
      </c>
      <c r="CG1367" s="59" t="n">
        <f aca="false">IF(N(AB1367)&gt;0,AB1367,0)</f>
        <v>0</v>
      </c>
      <c r="CH1367" s="53" t="n">
        <f aca="false">IF(ISNUMBER(AE1367),1,0)</f>
        <v>0</v>
      </c>
      <c r="CI1367" s="50" t="n">
        <f aca="false">N(AE1367)</f>
        <v>0</v>
      </c>
      <c r="CJ1367" s="50" t="n">
        <f aca="false">N(M1367)+N(N1367)</f>
        <v>21</v>
      </c>
      <c r="CK1367" s="50" t="n">
        <f aca="false">N(M1367)</f>
        <v>1</v>
      </c>
      <c r="CL1367" s="50" t="n">
        <f aca="false">N(N1367)</f>
        <v>20</v>
      </c>
      <c r="CM1367" s="50" t="n">
        <f aca="false">ROUNDUP(H1367/BY1367,0)</f>
        <v>1</v>
      </c>
      <c r="CN1367" s="50" t="n">
        <f aca="false">ROUNDUP(CI1367/BY1367,0)</f>
        <v>0</v>
      </c>
      <c r="CO1367" s="53" t="n">
        <f aca="false">IF(BZ1367=1,0,IFERROR(VLOOKUP(BX1367,'Gebinde-Kategorie'!$A$5:$N$45,5,0)+0,0))</f>
        <v>11</v>
      </c>
      <c r="CP1367" s="53" t="n">
        <f aca="false">IFERROR(IF(OR(CE1367=1,CE1367=2,CE1367=3),N(INDEX(Parameter!$I$5:$I$7,CE1367)),0),0)</f>
        <v>0</v>
      </c>
      <c r="CQ1367" s="52" t="n">
        <f aca="false">IF(AND(Parameter!$B$21="Ja",ISNUMBER(W1367),N(X1367)&gt;0),IFERROR(N(INDEX(Parameter!$L$5:$L$7,W1367))*INDEX(Parameter!$E$5:$E$7,W1367)*X1367/SUMIFS($X$7:$X$1843,$W$7:$W$1843,W1367),0),0)</f>
        <v>0</v>
      </c>
    </row>
    <row r="1368" customFormat="false" ht="15" hidden="false" customHeight="false" outlineLevel="0" collapsed="false">
      <c r="A1368" s="48" t="s">
        <v>2419</v>
      </c>
      <c r="B1368" s="48" t="s">
        <v>2181</v>
      </c>
      <c r="C1368" s="48" t="s">
        <v>173</v>
      </c>
      <c r="D1368" s="48" t="s">
        <v>193</v>
      </c>
      <c r="E1368" s="48"/>
      <c r="F1368" s="48" t="s">
        <v>227</v>
      </c>
      <c r="G1368" s="49" t="n">
        <v>1272.53</v>
      </c>
      <c r="H1368" s="50" t="n">
        <f aca="false">MAX(0,IF(AND(Parameter!$B$21="Ja",ISNUMBER(Y1368)),Y1368,IF(Parameter!$B$20="Jahresanfang 2025 + Export",BR1368+BQ1368,BQ1368)))</f>
        <v>2</v>
      </c>
      <c r="I1368" s="50" t="n">
        <f aca="false">H1368*G1368</f>
        <v>2545.06</v>
      </c>
      <c r="J1368" s="50" t="n">
        <f aca="false">BT1368*Parameter!$B$18</f>
        <v>1</v>
      </c>
      <c r="K1368" s="51" t="n">
        <v>3.5</v>
      </c>
      <c r="L1368" s="52" t="n">
        <v>0.285714285714286</v>
      </c>
      <c r="M1368" s="50" t="n">
        <v>0</v>
      </c>
      <c r="N1368" s="50" t="n">
        <v>1</v>
      </c>
      <c r="O1368" s="53" t="n">
        <v>70</v>
      </c>
      <c r="P1368" s="48" t="s">
        <v>311</v>
      </c>
      <c r="Q1368" s="50" t="n">
        <v>3</v>
      </c>
      <c r="R1368" s="53" t="n">
        <f aca="false">IF(BZ1368=1,0,IFERROR(VLOOKUP(BX1368,'Gebinde-Kategorie'!$A$5:$N$45,13,0)+0,0))</f>
        <v>26</v>
      </c>
      <c r="S1368" s="54"/>
      <c r="T1368" s="55"/>
      <c r="U1368" s="55"/>
      <c r="V1368" s="55"/>
      <c r="W1368" s="48"/>
      <c r="X1368" s="50"/>
      <c r="Y1368" s="50"/>
      <c r="Z1368" s="48" t="n">
        <f aca="false">IF(A1368="","",IF(AND(Parameter!$B$21="Ja",ISNUMBER(W1368)),W1368,IF(CC1368="2+3",IF(ISNUMBER(SEARCH("grosser Artikel",BU1368)),2,IFERROR(VLOOKUP(BX1368,Parameter!$F$35:$G$64,2,0),2)),IF(OR(CC1368="Nein",CC1368=""),"-",CC1368))))</f>
        <v>3</v>
      </c>
      <c r="AA1368" s="55"/>
      <c r="AB1368" s="56"/>
      <c r="AC1368" s="50" t="n">
        <f aca="false">AV1368</f>
        <v>1</v>
      </c>
      <c r="AD1368" s="50" t="n">
        <f aca="false">MAX(AV1368,H1368)</f>
        <v>2</v>
      </c>
      <c r="AE1368" s="57"/>
      <c r="AF1368" s="50" t="n">
        <f aca="false">IF(LEFT(Cockpit!$C$5,1)="A",H1368,IF(Parameter!$E$30="MAX-Bestand",IF(CH1368=1,CI1368,IF(LEFT(Cockpit!$C$5,1)="B",AL1368,MAX(AL1368,H1368))),ROUNDUP(AJ1368,0)))</f>
        <v>2</v>
      </c>
      <c r="AG1368" s="50" t="n">
        <f aca="false">IF(BZ1368=1,0,ROUNDUP(AF1368/BY1368,0))</f>
        <v>1</v>
      </c>
      <c r="AH1368" s="52" t="n">
        <f aca="false">IF(CQ1368&gt;0,CQ1368*MAX(1,AF1368/X1368),IF(BZ1368=1,IF(AF1368&lt;=0,0,CD1368*MAX(1,IF(H1368&gt;0,AF1368/H1368,1))),IF(R1368&gt;0,AG1368/R1368,0))/MAX(0.1,N(Parameter!$M$21)))</f>
        <v>0.0384615384615385</v>
      </c>
      <c r="AI1368" s="50" t="n">
        <f aca="false">AH1368*CB1368</f>
        <v>5.96153846153846</v>
      </c>
      <c r="AJ1368" s="51" t="n">
        <f aca="false">IF(LEFT(Cockpit!$C$5,1)="A",H1368,IF(CH1368=1,(CK1368+CI1368)/2,IF(LEFT(Cockpit!$C$5,1)="B",(CK1368+AL1368)/2,MAX((CK1368+AL1368)/2,H1368))))</f>
        <v>2</v>
      </c>
      <c r="AK1368" s="50" t="n">
        <f aca="false">AJ1368*G1368</f>
        <v>2545.06</v>
      </c>
      <c r="AL1368" s="50" t="n">
        <f aca="false">ROUNDUP(CK1368+MAX(CL1368,2*(J1368/IF(CG1368&gt;0,CG1368,MAX(0.1,N(Cockpit!$C$6)))-CK1368)),0)</f>
        <v>1</v>
      </c>
      <c r="AM1368" s="51" t="n">
        <f aca="false">IF(AI1368&gt;0,J1368/AI1368,-1)</f>
        <v>0.167741935483871</v>
      </c>
      <c r="AN1368" s="51" t="n">
        <f aca="false">IF(AND(OR(CF1368="L1",CF1368="L23",CF1368="LIFT"),AI1368&gt;0),SUMIFS($AI$7:$AI$1843,$CF$7:$CF$1843,CF1368,$AM$7:$AM$1843,"&gt;"&amp;AM1368)+SUMIFS($AI$7:$AI$1843,$CF$7:$CF$1843,CF1368,$AM$7:$AM$1843,AM1368,$BW$7:$BW$1843,"&lt;="&amp;BW1368),"")</f>
        <v>12769.1567977691</v>
      </c>
      <c r="AO1368" s="58" t="n">
        <f aca="false">IF(AN1368="",0,MAX(0,MIN(1,(IF(CF1368="L1",Parameter!$H$5,IF(CF1368="L23",Parameter!$H$6+Parameter!$H$7,Parameter!$H$5+Parameter!$H$6+Parameter!$H$7))-(AN1368-AI1368))/AI1368)))</f>
        <v>1</v>
      </c>
      <c r="AP1368" s="50" t="n">
        <f aca="false">IF(LEFT(Cockpit!$I$5,1)="A",H1368,IF(Parameter!$E$30="MAX-Bestand",IF(CH1368=1,CI1368,IF(LEFT(Cockpit!$I$5,1)="B",AV1368,MAX(AV1368,H1368))),ROUNDUP(AT1368,0)))</f>
        <v>2</v>
      </c>
      <c r="AQ1368" s="50" t="n">
        <f aca="false">IF(BZ1368=1,0,ROUNDUP(AP1368/BY1368,0))</f>
        <v>1</v>
      </c>
      <c r="AR1368" s="52" t="n">
        <f aca="false">IF(CQ1368&gt;0,CQ1368*MAX(1,AP1368/X1368),IF(BZ1368=1,IF(AP1368&lt;=0,0,CD1368*MAX(1,IF(H1368&gt;0,AP1368/H1368,1))),IF(R1368&gt;0,AQ1368/R1368,0))/MAX(0.1,N(Parameter!$M$21)))</f>
        <v>0.0384615384615385</v>
      </c>
      <c r="AS1368" s="50" t="n">
        <f aca="false">AR1368*CB1368</f>
        <v>5.96153846153846</v>
      </c>
      <c r="AT1368" s="51" t="n">
        <f aca="false">IF(LEFT(Cockpit!$I$5,1)="A",H1368,IF(CH1368=1,(CK1368+CI1368)/2,IF(LEFT(Cockpit!$I$5,1)="B",(CK1368+AV1368)/2,MAX((CK1368+AV1368)/2,H1368))))</f>
        <v>2</v>
      </c>
      <c r="AU1368" s="50" t="n">
        <f aca="false">AT1368*G1368</f>
        <v>2545.06</v>
      </c>
      <c r="AV1368" s="50" t="n">
        <f aca="false">ROUNDUP(CK1368+MAX(CL1368,2*(J1368/IF(CG1368&gt;0,CG1368,MAX(0.1,N(Cockpit!$I$6)))-CK1368)),0)</f>
        <v>1</v>
      </c>
      <c r="AW1368" s="51" t="n">
        <f aca="false">IF(AS1368&gt;0,J1368/AS1368,-1)</f>
        <v>0.167741935483871</v>
      </c>
      <c r="AX1368" s="51" t="n">
        <f aca="false">IF(AND(OR(CF1368="L1",CF1368="L23",CF1368="LIFT"),AS1368&gt;0),SUMIFS($AS$7:$AS$1843,$CF$7:$CF$1843,CF1368,$AW$7:$AW$1843,"&gt;"&amp;AW1368)+SUMIFS($AS$7:$AS$1843,$CF$7:$CF$1843,CF1368,$AW$7:$AW$1843,AW1368,$BW$7:$BW$1843,"&lt;="&amp;BW1368),"")</f>
        <v>15697.8374542125</v>
      </c>
      <c r="AY1368" s="58" t="n">
        <f aca="false">IF(AX1368="",0,MAX(0,MIN(1,(IF(CF1368="L1",Parameter!$H$5,IF(CF1368="L23",Parameter!$H$6+Parameter!$H$7,Parameter!$H$5+Parameter!$H$6+Parameter!$H$7))-(AX1368-AS1368))/AS1368)))</f>
        <v>1</v>
      </c>
      <c r="AZ1368" s="50" t="n">
        <f aca="false">IF(LEFT(Cockpit!$O$5,1)="A",H1368,IF(Parameter!$E$30="MAX-Bestand",IF(CH1368=1,CI1368,IF(LEFT(Cockpit!$O$5,1)="B",BF1368,MAX(BF1368,H1368))),ROUNDUP(BD1368,0)))</f>
        <v>1</v>
      </c>
      <c r="BA1368" s="50" t="n">
        <f aca="false">IF(BZ1368=1,0,ROUNDUP(AZ1368/BY1368,0))</f>
        <v>1</v>
      </c>
      <c r="BB1368" s="52" t="n">
        <f aca="false">IF(CQ1368&gt;0,CQ1368*MAX(1,AZ1368/X1368),IF(BZ1368=1,IF(AZ1368&lt;=0,0,CD1368*MAX(1,IF(H1368&gt;0,AZ1368/H1368,1))),IF(R1368&gt;0,BA1368/R1368,0))/MAX(0.1,N(Parameter!$M$21)))</f>
        <v>0.0384615384615385</v>
      </c>
      <c r="BC1368" s="50" t="n">
        <f aca="false">BB1368*CB1368</f>
        <v>5.96153846153846</v>
      </c>
      <c r="BD1368" s="51" t="n">
        <f aca="false">IF(LEFT(Cockpit!$O$5,1)="A",H1368,IF(CH1368=1,(CK1368+CI1368)/2,IF(LEFT(Cockpit!$O$5,1)="B",(CK1368+BF1368)/2,MAX((CK1368+BF1368)/2,H1368))))</f>
        <v>0.5</v>
      </c>
      <c r="BE1368" s="50" t="n">
        <f aca="false">BD1368*G1368</f>
        <v>636.265</v>
      </c>
      <c r="BF1368" s="50" t="n">
        <f aca="false">ROUNDUP(CK1368+MAX(CL1368,2*(J1368/IF(CG1368&gt;0,CG1368,MAX(0.1,N(Cockpit!$O$6)))-CK1368)),0)</f>
        <v>1</v>
      </c>
      <c r="BG1368" s="51" t="n">
        <f aca="false">IF(BC1368&gt;0,J1368/BC1368,-1)</f>
        <v>0.167741935483871</v>
      </c>
      <c r="BH1368" s="51" t="n">
        <f aca="false">IF(AND(OR(CF1368="L1",CF1368="L23",CF1368="LIFT"),BC1368&gt;0),SUMIFS($BC$7:$BC$1843,$CF$7:$CF$1843,CF1368,$BG$7:$BG$1843,"&gt;"&amp;BG1368)+SUMIFS($BC$7:$BC$1843,$CF$7:$CF$1843,CF1368,$BG$7:$BG$1843,BG1368,$BW$7:$BW$1843,"&lt;="&amp;BW1368),"")</f>
        <v>13500.1372824445</v>
      </c>
      <c r="BI1368" s="58" t="n">
        <f aca="false">IF(BH1368="",0,MAX(0,MIN(1,(IF(CF1368="L1",Parameter!$H$5,IF(CF1368="L23",Parameter!$H$6+Parameter!$H$7,Parameter!$H$5+Parameter!$H$6+Parameter!$H$7))-(BH1368-BC1368))/BC1368)))</f>
        <v>1</v>
      </c>
      <c r="BJ1368" s="48" t="str">
        <f aca="false">IF(AI1368&lt;=0,"",IF(CF1368="Aussen","Aussenlager",IF(CF1368="-","Nicht im Lift",IF(AO1368&gt;=1,"Lift",IF(AO1368&lt;=0,"Aussenlager","teilweise")))))</f>
        <v>Lift</v>
      </c>
      <c r="BK1368" s="48" t="str">
        <f aca="false">IF(AS1368&lt;=0,"",IF(CF1368="Aussen","Aussenlager",IF(CF1368="-","Nicht im Lift",IF(AY1368&gt;=1,"Lift",IF(AY1368&lt;=0,"Aussenlager","teilweise")))))</f>
        <v>Lift</v>
      </c>
      <c r="BL1368" s="48" t="str">
        <f aca="false">IF(BC1368&lt;=0,"",IF(CF1368="Aussen","Aussenlager",IF(CF1368="-","Nicht im Lift",IF(BI1368&gt;=1,"Lift",IF(BI1368&lt;=0,"Aussenlager","teilweise")))))</f>
        <v>Lift</v>
      </c>
      <c r="BM1368" s="48" t="str">
        <f aca="false">IF(A1368="","",IF(BV1368=1,"Neu; ","")&amp;IF(AND(BV1368=0,BQ1368&lt;0),"negativer Bestand (Export "&amp;BQ1368&amp;"); ","")&amp;IF(J1368&lt;=0,"Kein Verbrauch; ","")&amp;IF(CQ1368&gt;0,"Lift "&amp;W1368&amp;" lt. Liftbericht (Fach "&amp;X1368&amp;" Stk); ",IF(CA1368=1,"Gebinde geschätzt ("&amp;T1368&amp;"); ",IF(BZ1368=1,"Lose – Tablare geschätzt; ","")))&amp;IF(H1368&gt;AV1368,"Überbestand "&amp;ROUND(H1368-AV1368,0)&amp;" Stk / CHF "&amp;ROUND((H1368-AV1368)*G1368,0)&amp;"; ","")&amp;IF(AND(CH1368=1,CI1368&lt;CJ1368),"MAX &lt; MB+LG; ","")&amp;IF(AND(CP1368&gt;0,CO1368*10&gt;CP1368),"zu hoch für Tablar; ","")&amp;IF(AND(BV1368=0,OR(CH1368=1,AA1368&lt;&gt;"",U1368&lt;&gt;"",V1368&lt;&gt;"",AB1368&lt;&gt;"")),"manuell übersteuert; ","")&amp;IF(AND(BZ1368=0,R1368=0),"Gebinde unbekannt / Stellmass fehlt; ","")&amp;IF(AND(BZ1368=0,N(V1368)&lt;=0,N(Q1368)&lt;=0),"Menge pro Gebinde fehlt (Ist = 1 Gebinde); ","")&amp;BU1368)</f>
        <v>negativer Bestand (Export -2); Überbestand 1 Stk / CHF 1273; </v>
      </c>
      <c r="BN1368" s="48"/>
      <c r="BO1368" s="48"/>
      <c r="BP1368" s="55"/>
      <c r="BQ1368" s="50" t="n">
        <v>-2</v>
      </c>
      <c r="BR1368" s="50" t="n">
        <v>4</v>
      </c>
      <c r="BS1368" s="49" t="n">
        <v>-2545.06</v>
      </c>
      <c r="BT1368" s="50" t="n">
        <v>1</v>
      </c>
      <c r="BU1368" s="48"/>
      <c r="BV1368" s="53" t="n">
        <v>0</v>
      </c>
      <c r="BW1368" s="53" t="n">
        <v>1368</v>
      </c>
      <c r="BX1368" s="48" t="str">
        <f aca="false">IF(U1368&lt;&gt;"",UPPER(TRIM(U1368)),IF(CA1368=1,UPPER(VLOOKUP(T1368,Parameter!$I$27:$K$29,2,0)),IF(P1368="","LOSE",P1368)))</f>
        <v>S51</v>
      </c>
      <c r="BY1368" s="50" t="n">
        <f aca="false">IF(BX1368="LOSE",1,IF(N(V1368)&gt;0,V1368,IF(CA1368=1,MAX(1,N(VLOOKUP(T1368,Parameter!$I$27:$K$29,3,0)),H1368,N(N1368)),IF(N(Q1368)&gt;0,Q1368,MAX(1,H1368)))))</f>
        <v>3</v>
      </c>
      <c r="BZ1368" s="53" t="n">
        <f aca="false">IF(BX1368="LOSE",1,0)</f>
        <v>0</v>
      </c>
      <c r="CA1368" s="53" t="n">
        <f aca="false">IF(AND(U1368="",OR(P1368="",P1368="LOSE"),T1368&lt;&gt;"",N(S1368)&lt;=0,ISNUMBER(MATCH(T1368,Parameter!$I$27:$I$29,0))),1,0)</f>
        <v>0</v>
      </c>
      <c r="CB1368" s="53" t="n">
        <f aca="false">IF(CQ1368&gt;0,INDEX(Parameter!$H$5:$H$7,W1368)/INDEX(Parameter!$E$5:$E$7,W1368),IF(AND(BZ1368=0,N(IFERROR(VLOOKUP(BX1368,'Gebinde-Kategorie'!$A$5:$N$45,14,0),0))&gt;0),VLOOKUP(BX1368,'Gebinde-Kategorie'!$A$5:$N$45,14,0)*10+Parameter!$M$23,Parameter!$M$24))</f>
        <v>155</v>
      </c>
      <c r="CC1368" s="48" t="str">
        <f aca="false">IF(AND(Parameter!$B$19="Ja",E1368&lt;&gt;"",ISNUMBER(MATCH(E1368,Parameter!$I$35:$I$52,0))),VLOOKUP(E1368,Parameter!$I$35:$J$52,2,0),IFERROR(VLOOKUP(D1368,Parameter!$A$35:$C$64,2,0),"Nein"))</f>
        <v>2+3</v>
      </c>
      <c r="CD1368" s="52" t="n">
        <f aca="false">IF(BZ1368=0,0,IF(N(S1368)&gt;0,S1368,IFERROR(VLOOKUP(D1368,Parameter!$A$35:$C$64,3,0)+0,0)))</f>
        <v>0</v>
      </c>
      <c r="CE1368" s="48" t="n">
        <f aca="false">IF(AA1368&lt;&gt;"",AA1368,Z1368)</f>
        <v>3</v>
      </c>
      <c r="CF1368" s="48" t="str">
        <f aca="false">IF(OR(CE1368=1,CE1368=2,CE1368=3),IF(Parameter!$E$27="Ja","LIFT",IF(CE1368=1,"L1","L23")),IF(CE1368="Aussen","Aussen","-"))</f>
        <v>LIFT</v>
      </c>
      <c r="CG1368" s="59" t="n">
        <f aca="false">IF(N(AB1368)&gt;0,AB1368,0)</f>
        <v>0</v>
      </c>
      <c r="CH1368" s="53" t="n">
        <f aca="false">IF(ISNUMBER(AE1368),1,0)</f>
        <v>0</v>
      </c>
      <c r="CI1368" s="50" t="n">
        <f aca="false">N(AE1368)</f>
        <v>0</v>
      </c>
      <c r="CJ1368" s="50" t="n">
        <f aca="false">N(M1368)+N(N1368)</f>
        <v>1</v>
      </c>
      <c r="CK1368" s="50" t="n">
        <f aca="false">N(M1368)</f>
        <v>0</v>
      </c>
      <c r="CL1368" s="50" t="n">
        <f aca="false">N(N1368)</f>
        <v>1</v>
      </c>
      <c r="CM1368" s="50" t="n">
        <f aca="false">ROUNDUP(H1368/BY1368,0)</f>
        <v>1</v>
      </c>
      <c r="CN1368" s="50" t="n">
        <f aca="false">ROUNDUP(CI1368/BY1368,0)</f>
        <v>0</v>
      </c>
      <c r="CO1368" s="53" t="n">
        <f aca="false">IF(BZ1368=1,0,IFERROR(VLOOKUP(BX1368,'Gebinde-Kategorie'!$A$5:$N$45,5,0)+0,0))</f>
        <v>11</v>
      </c>
      <c r="CP1368" s="53" t="n">
        <f aca="false">IFERROR(IF(OR(CE1368=1,CE1368=2,CE1368=3),N(INDEX(Parameter!$I$5:$I$7,CE1368)),0),0)</f>
        <v>0</v>
      </c>
      <c r="CQ1368" s="52" t="n">
        <f aca="false">IF(AND(Parameter!$B$21="Ja",ISNUMBER(W1368),N(X1368)&gt;0),IFERROR(N(INDEX(Parameter!$L$5:$L$7,W1368))*INDEX(Parameter!$E$5:$E$7,W1368)*X1368/SUMIFS($X$7:$X$1843,$W$7:$W$1843,W1368),0),0)</f>
        <v>0</v>
      </c>
    </row>
    <row r="1369" customFormat="false" ht="15" hidden="false" customHeight="false" outlineLevel="0" collapsed="false">
      <c r="A1369" s="48" t="s">
        <v>2420</v>
      </c>
      <c r="B1369" s="48" t="s">
        <v>2367</v>
      </c>
      <c r="C1369" s="48" t="s">
        <v>465</v>
      </c>
      <c r="D1369" s="48" t="s">
        <v>362</v>
      </c>
      <c r="E1369" s="48" t="s">
        <v>2257</v>
      </c>
      <c r="F1369" s="48" t="s">
        <v>227</v>
      </c>
      <c r="G1369" s="49" t="n">
        <v>1275.67</v>
      </c>
      <c r="H1369" s="50" t="n">
        <f aca="false">MAX(0,IF(AND(Parameter!$B$21="Ja",ISNUMBER(Y1369)),Y1369,IF(Parameter!$B$20="Jahresanfang 2025 + Export",BR1369+BQ1369,BQ1369)))</f>
        <v>0</v>
      </c>
      <c r="I1369" s="50" t="n">
        <f aca="false">H1369*G1369</f>
        <v>0</v>
      </c>
      <c r="J1369" s="50" t="n">
        <f aca="false">BT1369*Parameter!$B$18</f>
        <v>0</v>
      </c>
      <c r="K1369" s="51" t="n">
        <v>1</v>
      </c>
      <c r="L1369" s="52" t="n">
        <v>0</v>
      </c>
      <c r="M1369" s="50" t="n">
        <v>0</v>
      </c>
      <c r="N1369" s="50" t="n">
        <v>1</v>
      </c>
      <c r="O1369" s="53" t="n">
        <v>0</v>
      </c>
      <c r="P1369" s="48" t="s">
        <v>177</v>
      </c>
      <c r="Q1369" s="50"/>
      <c r="R1369" s="53" t="n">
        <f aca="false">IF(BZ1369=1,0,IFERROR(VLOOKUP(BX1369,'Gebinde-Kategorie'!$A$5:$N$45,13,0)+0,0))</f>
        <v>0</v>
      </c>
      <c r="S1369" s="54"/>
      <c r="T1369" s="55"/>
      <c r="U1369" s="55"/>
      <c r="V1369" s="55"/>
      <c r="W1369" s="48"/>
      <c r="X1369" s="50"/>
      <c r="Y1369" s="50"/>
      <c r="Z1369" s="48" t="str">
        <f aca="false">IF(A1369="","",IF(AND(Parameter!$B$21="Ja",ISNUMBER(W1369)),W1369,IF(CC1369="2+3",IF(ISNUMBER(SEARCH("grosser Artikel",BU1369)),2,IFERROR(VLOOKUP(BX1369,Parameter!$F$35:$G$64,2,0),2)),IF(OR(CC1369="Nein",CC1369=""),"-",CC1369))))</f>
        <v>-</v>
      </c>
      <c r="AA1369" s="55"/>
      <c r="AB1369" s="56"/>
      <c r="AC1369" s="50" t="n">
        <f aca="false">AV1369</f>
        <v>1</v>
      </c>
      <c r="AD1369" s="50" t="n">
        <f aca="false">MAX(AV1369,H1369)</f>
        <v>1</v>
      </c>
      <c r="AE1369" s="57"/>
      <c r="AF1369" s="50" t="n">
        <f aca="false">IF(LEFT(Cockpit!$C$5,1)="A",H1369,IF(Parameter!$E$30="MAX-Bestand",IF(CH1369=1,CI1369,IF(LEFT(Cockpit!$C$5,1)="B",AL1369,MAX(AL1369,H1369))),ROUNDUP(AJ1369,0)))</f>
        <v>0</v>
      </c>
      <c r="AG1369" s="50" t="n">
        <f aca="false">IF(BZ1369=1,0,ROUNDUP(AF1369/BY1369,0))</f>
        <v>0</v>
      </c>
      <c r="AH1369" s="52" t="n">
        <f aca="false">IF(CQ1369&gt;0,CQ1369*MAX(1,AF1369/X1369),IF(BZ1369=1,IF(AF1369&lt;=0,0,CD1369*MAX(1,IF(H1369&gt;0,AF1369/H1369,1))),IF(R1369&gt;0,AG1369/R1369,0))/MAX(0.1,N(Parameter!$M$21)))</f>
        <v>0</v>
      </c>
      <c r="AI1369" s="50" t="n">
        <f aca="false">AH1369*CB1369</f>
        <v>0</v>
      </c>
      <c r="AJ1369" s="51" t="n">
        <f aca="false">IF(LEFT(Cockpit!$C$5,1)="A",H1369,IF(CH1369=1,(CK1369+CI1369)/2,IF(LEFT(Cockpit!$C$5,1)="B",(CK1369+AL1369)/2,MAX((CK1369+AL1369)/2,H1369))))</f>
        <v>0</v>
      </c>
      <c r="AK1369" s="50" t="n">
        <f aca="false">AJ1369*G1369</f>
        <v>0</v>
      </c>
      <c r="AL1369" s="50" t="n">
        <f aca="false">ROUNDUP(CK1369+MAX(CL1369,2*(J1369/IF(CG1369&gt;0,CG1369,MAX(0.1,N(Cockpit!$C$6)))-CK1369)),0)</f>
        <v>1</v>
      </c>
      <c r="AM1369" s="51" t="n">
        <f aca="false">IF(AI1369&gt;0,J1369/AI1369,-1)</f>
        <v>-1</v>
      </c>
      <c r="AN1369" s="51" t="str">
        <f aca="false">IF(AND(OR(CF1369="L1",CF1369="L23",CF1369="LIFT"),AI1369&gt;0),SUMIFS($AI$7:$AI$1843,$CF$7:$CF$1843,CF1369,$AM$7:$AM$1843,"&gt;"&amp;AM1369)+SUMIFS($AI$7:$AI$1843,$CF$7:$CF$1843,CF1369,$AM$7:$AM$1843,AM1369,$BW$7:$BW$1843,"&lt;="&amp;BW1369),"")</f>
        <v/>
      </c>
      <c r="AO1369" s="58" t="n">
        <f aca="false">IF(AN1369="",0,MAX(0,MIN(1,(IF(CF1369="L1",Parameter!$H$5,IF(CF1369="L23",Parameter!$H$6+Parameter!$H$7,Parameter!$H$5+Parameter!$H$6+Parameter!$H$7))-(AN1369-AI1369))/AI1369)))</f>
        <v>0</v>
      </c>
      <c r="AP1369" s="50" t="n">
        <f aca="false">IF(LEFT(Cockpit!$I$5,1)="A",H1369,IF(Parameter!$E$30="MAX-Bestand",IF(CH1369=1,CI1369,IF(LEFT(Cockpit!$I$5,1)="B",AV1369,MAX(AV1369,H1369))),ROUNDUP(AT1369,0)))</f>
        <v>1</v>
      </c>
      <c r="AQ1369" s="50" t="n">
        <f aca="false">IF(BZ1369=1,0,ROUNDUP(AP1369/BY1369,0))</f>
        <v>0</v>
      </c>
      <c r="AR1369" s="52" t="n">
        <f aca="false">IF(CQ1369&gt;0,CQ1369*MAX(1,AP1369/X1369),IF(BZ1369=1,IF(AP1369&lt;=0,0,CD1369*MAX(1,IF(H1369&gt;0,AP1369/H1369,1))),IF(R1369&gt;0,AQ1369/R1369,0))/MAX(0.1,N(Parameter!$M$21)))</f>
        <v>0.15</v>
      </c>
      <c r="AS1369" s="50" t="n">
        <f aca="false">AR1369*CB1369</f>
        <v>35.25</v>
      </c>
      <c r="AT1369" s="51" t="n">
        <f aca="false">IF(LEFT(Cockpit!$I$5,1)="A",H1369,IF(CH1369=1,(CK1369+CI1369)/2,IF(LEFT(Cockpit!$I$5,1)="B",(CK1369+AV1369)/2,MAX((CK1369+AV1369)/2,H1369))))</f>
        <v>0.5</v>
      </c>
      <c r="AU1369" s="50" t="n">
        <f aca="false">AT1369*G1369</f>
        <v>637.835</v>
      </c>
      <c r="AV1369" s="50" t="n">
        <f aca="false">ROUNDUP(CK1369+MAX(CL1369,2*(J1369/IF(CG1369&gt;0,CG1369,MAX(0.1,N(Cockpit!$I$6)))-CK1369)),0)</f>
        <v>1</v>
      </c>
      <c r="AW1369" s="51" t="n">
        <f aca="false">IF(AS1369&gt;0,J1369/AS1369,-1)</f>
        <v>0</v>
      </c>
      <c r="AX1369" s="51" t="str">
        <f aca="false">IF(AND(OR(CF1369="L1",CF1369="L23",CF1369="LIFT"),AS1369&gt;0),SUMIFS($AS$7:$AS$1843,$CF$7:$CF$1843,CF1369,$AW$7:$AW$1843,"&gt;"&amp;AW1369)+SUMIFS($AS$7:$AS$1843,$CF$7:$CF$1843,CF1369,$AW$7:$AW$1843,AW1369,$BW$7:$BW$1843,"&lt;="&amp;BW1369),"")</f>
        <v/>
      </c>
      <c r="AY1369" s="58" t="n">
        <f aca="false">IF(AX1369="",0,MAX(0,MIN(1,(IF(CF1369="L1",Parameter!$H$5,IF(CF1369="L23",Parameter!$H$6+Parameter!$H$7,Parameter!$H$5+Parameter!$H$6+Parameter!$H$7))-(AX1369-AS1369))/AS1369)))</f>
        <v>0</v>
      </c>
      <c r="AZ1369" s="50" t="n">
        <f aca="false">IF(LEFT(Cockpit!$O$5,1)="A",H1369,IF(Parameter!$E$30="MAX-Bestand",IF(CH1369=1,CI1369,IF(LEFT(Cockpit!$O$5,1)="B",BF1369,MAX(BF1369,H1369))),ROUNDUP(BD1369,0)))</f>
        <v>1</v>
      </c>
      <c r="BA1369" s="50" t="n">
        <f aca="false">IF(BZ1369=1,0,ROUNDUP(AZ1369/BY1369,0))</f>
        <v>0</v>
      </c>
      <c r="BB1369" s="52" t="n">
        <f aca="false">IF(CQ1369&gt;0,CQ1369*MAX(1,AZ1369/X1369),IF(BZ1369=1,IF(AZ1369&lt;=0,0,CD1369*MAX(1,IF(H1369&gt;0,AZ1369/H1369,1))),IF(R1369&gt;0,BA1369/R1369,0))/MAX(0.1,N(Parameter!$M$21)))</f>
        <v>0.15</v>
      </c>
      <c r="BC1369" s="50" t="n">
        <f aca="false">BB1369*CB1369</f>
        <v>35.25</v>
      </c>
      <c r="BD1369" s="51" t="n">
        <f aca="false">IF(LEFT(Cockpit!$O$5,1)="A",H1369,IF(CH1369=1,(CK1369+CI1369)/2,IF(LEFT(Cockpit!$O$5,1)="B",(CK1369+BF1369)/2,MAX((CK1369+BF1369)/2,H1369))))</f>
        <v>0.5</v>
      </c>
      <c r="BE1369" s="50" t="n">
        <f aca="false">BD1369*G1369</f>
        <v>637.835</v>
      </c>
      <c r="BF1369" s="50" t="n">
        <f aca="false">ROUNDUP(CK1369+MAX(CL1369,2*(J1369/IF(CG1369&gt;0,CG1369,MAX(0.1,N(Cockpit!$O$6)))-CK1369)),0)</f>
        <v>1</v>
      </c>
      <c r="BG1369" s="51" t="n">
        <f aca="false">IF(BC1369&gt;0,J1369/BC1369,-1)</f>
        <v>0</v>
      </c>
      <c r="BH1369" s="51" t="str">
        <f aca="false">IF(AND(OR(CF1369="L1",CF1369="L23",CF1369="LIFT"),BC1369&gt;0),SUMIFS($BC$7:$BC$1843,$CF$7:$CF$1843,CF1369,$BG$7:$BG$1843,"&gt;"&amp;BG1369)+SUMIFS($BC$7:$BC$1843,$CF$7:$CF$1843,CF1369,$BG$7:$BG$1843,BG1369,$BW$7:$BW$1843,"&lt;="&amp;BW1369),"")</f>
        <v/>
      </c>
      <c r="BI1369" s="58" t="n">
        <f aca="false">IF(BH1369="",0,MAX(0,MIN(1,(IF(CF1369="L1",Parameter!$H$5,IF(CF1369="L23",Parameter!$H$6+Parameter!$H$7,Parameter!$H$5+Parameter!$H$6+Parameter!$H$7))-(BH1369-BC1369))/BC1369)))</f>
        <v>0</v>
      </c>
      <c r="BJ1369" s="48" t="str">
        <f aca="false">IF(AI1369&lt;=0,"",IF(CF1369="Aussen","Aussenlager",IF(CF1369="-","Nicht im Lift",IF(AO1369&gt;=1,"Lift",IF(AO1369&lt;=0,"Aussenlager","teilweise")))))</f>
        <v/>
      </c>
      <c r="BK1369" s="48" t="str">
        <f aca="false">IF(AS1369&lt;=0,"",IF(CF1369="Aussen","Aussenlager",IF(CF1369="-","Nicht im Lift",IF(AY1369&gt;=1,"Lift",IF(AY1369&lt;=0,"Aussenlager","teilweise")))))</f>
        <v>Nicht im Lift</v>
      </c>
      <c r="BL1369" s="48" t="str">
        <f aca="false">IF(BC1369&lt;=0,"",IF(CF1369="Aussen","Aussenlager",IF(CF1369="-","Nicht im Lift",IF(BI1369&gt;=1,"Lift",IF(BI1369&lt;=0,"Aussenlager","teilweise")))))</f>
        <v>Nicht im Lift</v>
      </c>
      <c r="BM1369" s="48" t="str">
        <f aca="false">IF(A1369="","",IF(BV1369=1,"Neu; ","")&amp;IF(AND(BV1369=0,BQ1369&lt;0),"negativer Bestand (Export "&amp;BQ1369&amp;"); ","")&amp;IF(J1369&lt;=0,"Kein Verbrauch; ","")&amp;IF(CQ1369&gt;0,"Lift "&amp;W1369&amp;" lt. Liftbericht (Fach "&amp;X1369&amp;" Stk); ",IF(CA1369=1,"Gebinde geschätzt ("&amp;T1369&amp;"); ",IF(BZ1369=1,"Lose – Tablare geschätzt; ","")))&amp;IF(H1369&gt;AV1369,"Überbestand "&amp;ROUND(H1369-AV1369,0)&amp;" Stk / CHF "&amp;ROUND((H1369-AV1369)*G1369,0)&amp;"; ","")&amp;IF(AND(CH1369=1,CI1369&lt;CJ1369),"MAX &lt; MB+LG; ","")&amp;IF(AND(CP1369&gt;0,CO1369*10&gt;CP1369),"zu hoch für Tablar; ","")&amp;IF(AND(BV1369=0,OR(CH1369=1,AA1369&lt;&gt;"",U1369&lt;&gt;"",V1369&lt;&gt;"",AB1369&lt;&gt;"")),"manuell übersteuert; ","")&amp;IF(AND(BZ1369=0,R1369=0),"Gebinde unbekannt / Stellmass fehlt; ","")&amp;IF(AND(BZ1369=0,N(V1369)&lt;=0,N(Q1369)&lt;=0),"Menge pro Gebinde fehlt (Ist = 1 Gebinde); ","")&amp;BU1369)</f>
        <v>negativer Bestand (Export -2); Kein Verbrauch; Lose – Tablare geschätzt; </v>
      </c>
      <c r="BN1369" s="48"/>
      <c r="BO1369" s="48"/>
      <c r="BP1369" s="55"/>
      <c r="BQ1369" s="50" t="n">
        <v>-2</v>
      </c>
      <c r="BR1369" s="50" t="n">
        <v>2</v>
      </c>
      <c r="BS1369" s="49" t="n">
        <v>-2551.34</v>
      </c>
      <c r="BT1369" s="50" t="n">
        <v>0</v>
      </c>
      <c r="BU1369" s="48"/>
      <c r="BV1369" s="53" t="n">
        <v>0</v>
      </c>
      <c r="BW1369" s="53" t="n">
        <v>1369</v>
      </c>
      <c r="BX1369" s="48" t="str">
        <f aca="false">IF(U1369&lt;&gt;"",UPPER(TRIM(U1369)),IF(CA1369=1,UPPER(VLOOKUP(T1369,Parameter!$I$27:$K$29,2,0)),IF(P1369="","LOSE",P1369)))</f>
        <v>LOSE</v>
      </c>
      <c r="BY1369" s="50" t="n">
        <f aca="false">IF(BX1369="LOSE",1,IF(N(V1369)&gt;0,V1369,IF(CA1369=1,MAX(1,N(VLOOKUP(T1369,Parameter!$I$27:$K$29,3,0)),H1369,N(N1369)),IF(N(Q1369)&gt;0,Q1369,MAX(1,H1369)))))</f>
        <v>1</v>
      </c>
      <c r="BZ1369" s="53" t="n">
        <f aca="false">IF(BX1369="LOSE",1,0)</f>
        <v>1</v>
      </c>
      <c r="CA1369" s="53" t="n">
        <f aca="false">IF(AND(U1369="",OR(P1369="",P1369="LOSE"),T1369&lt;&gt;"",N(S1369)&lt;=0,ISNUMBER(MATCH(T1369,Parameter!$I$27:$I$29,0))),1,0)</f>
        <v>0</v>
      </c>
      <c r="CB1369" s="53" t="n">
        <f aca="false">IF(CQ1369&gt;0,INDEX(Parameter!$H$5:$H$7,W1369)/INDEX(Parameter!$E$5:$E$7,W1369),IF(AND(BZ1369=0,N(IFERROR(VLOOKUP(BX1369,'Gebinde-Kategorie'!$A$5:$N$45,14,0),0))&gt;0),VLOOKUP(BX1369,'Gebinde-Kategorie'!$A$5:$N$45,14,0)*10+Parameter!$M$23,Parameter!$M$24))</f>
        <v>235</v>
      </c>
      <c r="CC1369" s="48" t="str">
        <f aca="false">IF(AND(Parameter!$B$19="Ja",E1369&lt;&gt;"",ISNUMBER(MATCH(E1369,Parameter!$I$35:$I$52,0))),VLOOKUP(E1369,Parameter!$I$35:$J$52,2,0),IFERROR(VLOOKUP(D1369,Parameter!$A$35:$C$64,2,0),"Nein"))</f>
        <v>Nein</v>
      </c>
      <c r="CD1369" s="52" t="n">
        <f aca="false">IF(BZ1369=0,0,IF(N(S1369)&gt;0,S1369,IFERROR(VLOOKUP(D1369,Parameter!$A$35:$C$64,3,0)+0,0)))</f>
        <v>0.15</v>
      </c>
      <c r="CE1369" s="48" t="str">
        <f aca="false">IF(AA1369&lt;&gt;"",AA1369,Z1369)</f>
        <v>-</v>
      </c>
      <c r="CF1369" s="48" t="str">
        <f aca="false">IF(OR(CE1369=1,CE1369=2,CE1369=3),IF(Parameter!$E$27="Ja","LIFT",IF(CE1369=1,"L1","L23")),IF(CE1369="Aussen","Aussen","-"))</f>
        <v>-</v>
      </c>
      <c r="CG1369" s="59" t="n">
        <f aca="false">IF(N(AB1369)&gt;0,AB1369,0)</f>
        <v>0</v>
      </c>
      <c r="CH1369" s="53" t="n">
        <f aca="false">IF(ISNUMBER(AE1369),1,0)</f>
        <v>0</v>
      </c>
      <c r="CI1369" s="50" t="n">
        <f aca="false">N(AE1369)</f>
        <v>0</v>
      </c>
      <c r="CJ1369" s="50" t="n">
        <f aca="false">N(M1369)+N(N1369)</f>
        <v>1</v>
      </c>
      <c r="CK1369" s="50" t="n">
        <f aca="false">N(M1369)</f>
        <v>0</v>
      </c>
      <c r="CL1369" s="50" t="n">
        <f aca="false">N(N1369)</f>
        <v>1</v>
      </c>
      <c r="CM1369" s="50" t="n">
        <f aca="false">ROUNDUP(H1369/BY1369,0)</f>
        <v>0</v>
      </c>
      <c r="CN1369" s="50" t="n">
        <f aca="false">ROUNDUP(CI1369/BY1369,0)</f>
        <v>0</v>
      </c>
      <c r="CO1369" s="53" t="n">
        <f aca="false">IF(BZ1369=1,0,IFERROR(VLOOKUP(BX1369,'Gebinde-Kategorie'!$A$5:$N$45,5,0)+0,0))</f>
        <v>0</v>
      </c>
      <c r="CP1369" s="53" t="n">
        <f aca="false">IFERROR(IF(OR(CE1369=1,CE1369=2,CE1369=3),N(INDEX(Parameter!$I$5:$I$7,CE1369)),0),0)</f>
        <v>0</v>
      </c>
      <c r="CQ1369" s="52" t="n">
        <f aca="false">IF(AND(Parameter!$B$21="Ja",ISNUMBER(W1369),N(X1369)&gt;0),IFERROR(N(INDEX(Parameter!$L$5:$L$7,W1369))*INDEX(Parameter!$E$5:$E$7,W1369)*X1369/SUMIFS($X$7:$X$1843,$W$7:$W$1843,W1369),0),0)</f>
        <v>0</v>
      </c>
    </row>
    <row r="1370" customFormat="false" ht="15" hidden="false" customHeight="false" outlineLevel="0" collapsed="false">
      <c r="A1370" s="48" t="s">
        <v>2421</v>
      </c>
      <c r="B1370" s="48" t="s">
        <v>2422</v>
      </c>
      <c r="C1370" s="48" t="s">
        <v>465</v>
      </c>
      <c r="D1370" s="48" t="s">
        <v>182</v>
      </c>
      <c r="E1370" s="48" t="s">
        <v>1488</v>
      </c>
      <c r="F1370" s="48" t="s">
        <v>227</v>
      </c>
      <c r="G1370" s="49" t="n">
        <v>99.31</v>
      </c>
      <c r="H1370" s="50" t="n">
        <f aca="false">MAX(0,IF(AND(Parameter!$B$21="Ja",ISNUMBER(Y1370)),Y1370,IF(Parameter!$B$20="Jahresanfang 2025 + Export",BR1370+BQ1370,BQ1370)))</f>
        <v>0</v>
      </c>
      <c r="I1370" s="50" t="n">
        <f aca="false">H1370*G1370</f>
        <v>0</v>
      </c>
      <c r="J1370" s="50" t="n">
        <f aca="false">BT1370*Parameter!$B$18</f>
        <v>0</v>
      </c>
      <c r="K1370" s="51" t="n">
        <v>21</v>
      </c>
      <c r="L1370" s="52" t="n">
        <v>0</v>
      </c>
      <c r="M1370" s="50" t="n">
        <v>0</v>
      </c>
      <c r="N1370" s="50" t="n">
        <v>1</v>
      </c>
      <c r="O1370" s="53" t="n">
        <v>56</v>
      </c>
      <c r="P1370" s="48" t="s">
        <v>177</v>
      </c>
      <c r="Q1370" s="50"/>
      <c r="R1370" s="53" t="n">
        <f aca="false">IF(BZ1370=1,0,IFERROR(VLOOKUP(BX1370,'Gebinde-Kategorie'!$A$5:$N$45,13,0)+0,0))</f>
        <v>4</v>
      </c>
      <c r="S1370" s="54"/>
      <c r="T1370" s="55" t="s">
        <v>198</v>
      </c>
      <c r="U1370" s="55"/>
      <c r="V1370" s="55"/>
      <c r="W1370" s="48"/>
      <c r="X1370" s="50"/>
      <c r="Y1370" s="50"/>
      <c r="Z1370" s="48" t="str">
        <f aca="false">IF(A1370="","",IF(AND(Parameter!$B$21="Ja",ISNUMBER(W1370)),W1370,IF(CC1370="2+3",IF(ISNUMBER(SEARCH("grosser Artikel",BU1370)),2,IFERROR(VLOOKUP(BX1370,Parameter!$F$35:$G$64,2,0),2)),IF(OR(CC1370="Nein",CC1370=""),"-",CC1370))))</f>
        <v>-</v>
      </c>
      <c r="AA1370" s="55"/>
      <c r="AB1370" s="56"/>
      <c r="AC1370" s="50" t="n">
        <f aca="false">AV1370</f>
        <v>1</v>
      </c>
      <c r="AD1370" s="50" t="n">
        <f aca="false">MAX(AV1370,H1370)</f>
        <v>1</v>
      </c>
      <c r="AE1370" s="57"/>
      <c r="AF1370" s="50" t="n">
        <f aca="false">IF(LEFT(Cockpit!$C$5,1)="A",H1370,IF(Parameter!$E$30="MAX-Bestand",IF(CH1370=1,CI1370,IF(LEFT(Cockpit!$C$5,1)="B",AL1370,MAX(AL1370,H1370))),ROUNDUP(AJ1370,0)))</f>
        <v>0</v>
      </c>
      <c r="AG1370" s="50" t="n">
        <f aca="false">IF(BZ1370=1,0,ROUNDUP(AF1370/BY1370,0))</f>
        <v>0</v>
      </c>
      <c r="AH1370" s="52" t="n">
        <f aca="false">IF(CQ1370&gt;0,CQ1370*MAX(1,AF1370/X1370),IF(BZ1370=1,IF(AF1370&lt;=0,0,CD1370*MAX(1,IF(H1370&gt;0,AF1370/H1370,1))),IF(R1370&gt;0,AG1370/R1370,0))/MAX(0.1,N(Parameter!$M$21)))</f>
        <v>0</v>
      </c>
      <c r="AI1370" s="50" t="n">
        <f aca="false">AH1370*CB1370</f>
        <v>0</v>
      </c>
      <c r="AJ1370" s="51" t="n">
        <f aca="false">IF(LEFT(Cockpit!$C$5,1)="A",H1370,IF(CH1370=1,(CK1370+CI1370)/2,IF(LEFT(Cockpit!$C$5,1)="B",(CK1370+AL1370)/2,MAX((CK1370+AL1370)/2,H1370))))</f>
        <v>0</v>
      </c>
      <c r="AK1370" s="50" t="n">
        <f aca="false">AJ1370*G1370</f>
        <v>0</v>
      </c>
      <c r="AL1370" s="50" t="n">
        <f aca="false">ROUNDUP(CK1370+MAX(CL1370,2*(J1370/IF(CG1370&gt;0,CG1370,MAX(0.1,N(Cockpit!$C$6)))-CK1370)),0)</f>
        <v>1</v>
      </c>
      <c r="AM1370" s="51" t="n">
        <f aca="false">IF(AI1370&gt;0,J1370/AI1370,-1)</f>
        <v>-1</v>
      </c>
      <c r="AN1370" s="51" t="str">
        <f aca="false">IF(AND(OR(CF1370="L1",CF1370="L23",CF1370="LIFT"),AI1370&gt;0),SUMIFS($AI$7:$AI$1843,$CF$7:$CF$1843,CF1370,$AM$7:$AM$1843,"&gt;"&amp;AM1370)+SUMIFS($AI$7:$AI$1843,$CF$7:$CF$1843,CF1370,$AM$7:$AM$1843,AM1370,$BW$7:$BW$1843,"&lt;="&amp;BW1370),"")</f>
        <v/>
      </c>
      <c r="AO1370" s="58" t="n">
        <f aca="false">IF(AN1370="",0,MAX(0,MIN(1,(IF(CF1370="L1",Parameter!$H$5,IF(CF1370="L23",Parameter!$H$6+Parameter!$H$7,Parameter!$H$5+Parameter!$H$6+Parameter!$H$7))-(AN1370-AI1370))/AI1370)))</f>
        <v>0</v>
      </c>
      <c r="AP1370" s="50" t="n">
        <f aca="false">IF(LEFT(Cockpit!$I$5,1)="A",H1370,IF(Parameter!$E$30="MAX-Bestand",IF(CH1370=1,CI1370,IF(LEFT(Cockpit!$I$5,1)="B",AV1370,MAX(AV1370,H1370))),ROUNDUP(AT1370,0)))</f>
        <v>1</v>
      </c>
      <c r="AQ1370" s="50" t="n">
        <f aca="false">IF(BZ1370=1,0,ROUNDUP(AP1370/BY1370,0))</f>
        <v>1</v>
      </c>
      <c r="AR1370" s="52" t="n">
        <f aca="false">IF(CQ1370&gt;0,CQ1370*MAX(1,AP1370/X1370),IF(BZ1370=1,IF(AP1370&lt;=0,0,CD1370*MAX(1,IF(H1370&gt;0,AP1370/H1370,1))),IF(R1370&gt;0,AQ1370/R1370,0))/MAX(0.1,N(Parameter!$M$21)))</f>
        <v>0.25</v>
      </c>
      <c r="AS1370" s="50" t="n">
        <f aca="false">AR1370*CB1370</f>
        <v>58.75</v>
      </c>
      <c r="AT1370" s="51" t="n">
        <f aca="false">IF(LEFT(Cockpit!$I$5,1)="A",H1370,IF(CH1370=1,(CK1370+CI1370)/2,IF(LEFT(Cockpit!$I$5,1)="B",(CK1370+AV1370)/2,MAX((CK1370+AV1370)/2,H1370))))</f>
        <v>0.5</v>
      </c>
      <c r="AU1370" s="50" t="n">
        <f aca="false">AT1370*G1370</f>
        <v>49.655</v>
      </c>
      <c r="AV1370" s="50" t="n">
        <f aca="false">ROUNDUP(CK1370+MAX(CL1370,2*(J1370/IF(CG1370&gt;0,CG1370,MAX(0.1,N(Cockpit!$I$6)))-CK1370)),0)</f>
        <v>1</v>
      </c>
      <c r="AW1370" s="51" t="n">
        <f aca="false">IF(AS1370&gt;0,J1370/AS1370,-1)</f>
        <v>0</v>
      </c>
      <c r="AX1370" s="51" t="str">
        <f aca="false">IF(AND(OR(CF1370="L1",CF1370="L23",CF1370="LIFT"),AS1370&gt;0),SUMIFS($AS$7:$AS$1843,$CF$7:$CF$1843,CF1370,$AW$7:$AW$1843,"&gt;"&amp;AW1370)+SUMIFS($AS$7:$AS$1843,$CF$7:$CF$1843,CF1370,$AW$7:$AW$1843,AW1370,$BW$7:$BW$1843,"&lt;="&amp;BW1370),"")</f>
        <v/>
      </c>
      <c r="AY1370" s="58" t="n">
        <f aca="false">IF(AX1370="",0,MAX(0,MIN(1,(IF(CF1370="L1",Parameter!$H$5,IF(CF1370="L23",Parameter!$H$6+Parameter!$H$7,Parameter!$H$5+Parameter!$H$6+Parameter!$H$7))-(AX1370-AS1370))/AS1370)))</f>
        <v>0</v>
      </c>
      <c r="AZ1370" s="50" t="n">
        <f aca="false">IF(LEFT(Cockpit!$O$5,1)="A",H1370,IF(Parameter!$E$30="MAX-Bestand",IF(CH1370=1,CI1370,IF(LEFT(Cockpit!$O$5,1)="B",BF1370,MAX(BF1370,H1370))),ROUNDUP(BD1370,0)))</f>
        <v>1</v>
      </c>
      <c r="BA1370" s="50" t="n">
        <f aca="false">IF(BZ1370=1,0,ROUNDUP(AZ1370/BY1370,0))</f>
        <v>1</v>
      </c>
      <c r="BB1370" s="52" t="n">
        <f aca="false">IF(CQ1370&gt;0,CQ1370*MAX(1,AZ1370/X1370),IF(BZ1370=1,IF(AZ1370&lt;=0,0,CD1370*MAX(1,IF(H1370&gt;0,AZ1370/H1370,1))),IF(R1370&gt;0,BA1370/R1370,0))/MAX(0.1,N(Parameter!$M$21)))</f>
        <v>0.25</v>
      </c>
      <c r="BC1370" s="50" t="n">
        <f aca="false">BB1370*CB1370</f>
        <v>58.75</v>
      </c>
      <c r="BD1370" s="51" t="n">
        <f aca="false">IF(LEFT(Cockpit!$O$5,1)="A",H1370,IF(CH1370=1,(CK1370+CI1370)/2,IF(LEFT(Cockpit!$O$5,1)="B",(CK1370+BF1370)/2,MAX((CK1370+BF1370)/2,H1370))))</f>
        <v>0.5</v>
      </c>
      <c r="BE1370" s="50" t="n">
        <f aca="false">BD1370*G1370</f>
        <v>49.655</v>
      </c>
      <c r="BF1370" s="50" t="n">
        <f aca="false">ROUNDUP(CK1370+MAX(CL1370,2*(J1370/IF(CG1370&gt;0,CG1370,MAX(0.1,N(Cockpit!$O$6)))-CK1370)),0)</f>
        <v>1</v>
      </c>
      <c r="BG1370" s="51" t="n">
        <f aca="false">IF(BC1370&gt;0,J1370/BC1370,-1)</f>
        <v>0</v>
      </c>
      <c r="BH1370" s="51" t="str">
        <f aca="false">IF(AND(OR(CF1370="L1",CF1370="L23",CF1370="LIFT"),BC1370&gt;0),SUMIFS($BC$7:$BC$1843,$CF$7:$CF$1843,CF1370,$BG$7:$BG$1843,"&gt;"&amp;BG1370)+SUMIFS($BC$7:$BC$1843,$CF$7:$CF$1843,CF1370,$BG$7:$BG$1843,BG1370,$BW$7:$BW$1843,"&lt;="&amp;BW1370),"")</f>
        <v/>
      </c>
      <c r="BI1370" s="58" t="n">
        <f aca="false">IF(BH1370="",0,MAX(0,MIN(1,(IF(CF1370="L1",Parameter!$H$5,IF(CF1370="L23",Parameter!$H$6+Parameter!$H$7,Parameter!$H$5+Parameter!$H$6+Parameter!$H$7))-(BH1370-BC1370))/BC1370)))</f>
        <v>0</v>
      </c>
      <c r="BJ1370" s="48" t="str">
        <f aca="false">IF(AI1370&lt;=0,"",IF(CF1370="Aussen","Aussenlager",IF(CF1370="-","Nicht im Lift",IF(AO1370&gt;=1,"Lift",IF(AO1370&lt;=0,"Aussenlager","teilweise")))))</f>
        <v/>
      </c>
      <c r="BK1370" s="48" t="str">
        <f aca="false">IF(AS1370&lt;=0,"",IF(CF1370="Aussen","Aussenlager",IF(CF1370="-","Nicht im Lift",IF(AY1370&gt;=1,"Lift",IF(AY1370&lt;=0,"Aussenlager","teilweise")))))</f>
        <v>Nicht im Lift</v>
      </c>
      <c r="BL1370" s="48" t="str">
        <f aca="false">IF(BC1370&lt;=0,"",IF(CF1370="Aussen","Aussenlager",IF(CF1370="-","Nicht im Lift",IF(BI1370&gt;=1,"Lift",IF(BI1370&lt;=0,"Aussenlager","teilweise")))))</f>
        <v>Nicht im Lift</v>
      </c>
      <c r="BM1370" s="48" t="str">
        <f aca="false">IF(A1370="","",IF(BV1370=1,"Neu; ","")&amp;IF(AND(BV1370=0,BQ1370&lt;0),"negativer Bestand (Export "&amp;BQ1370&amp;"); ","")&amp;IF(J1370&lt;=0,"Kein Verbrauch; ","")&amp;IF(CQ1370&gt;0,"Lift "&amp;W1370&amp;" lt. Liftbericht (Fach "&amp;X1370&amp;" Stk); ",IF(CA1370=1,"Gebinde geschätzt ("&amp;T1370&amp;"); ",IF(BZ1370=1,"Lose – Tablare geschätzt; ","")))&amp;IF(H1370&gt;AV1370,"Überbestand "&amp;ROUND(H1370-AV1370,0)&amp;" Stk / CHF "&amp;ROUND((H1370-AV1370)*G1370,0)&amp;"; ","")&amp;IF(AND(CH1370=1,CI1370&lt;CJ1370),"MAX &lt; MB+LG; ","")&amp;IF(AND(CP1370&gt;0,CO1370*10&gt;CP1370),"zu hoch für Tablar; ","")&amp;IF(AND(BV1370=0,OR(CH1370=1,AA1370&lt;&gt;"",U1370&lt;&gt;"",V1370&lt;&gt;"",AB1370&lt;&gt;"")),"manuell übersteuert; ","")&amp;IF(AND(BZ1370=0,R1370=0),"Gebinde unbekannt / Stellmass fehlt; ","")&amp;IF(AND(BZ1370=0,N(V1370)&lt;=0,N(Q1370)&lt;=0),"Menge pro Gebinde fehlt (Ist = 1 Gebinde); ","")&amp;BU1370)</f>
        <v>negativer Bestand (Export -26); Kein Verbrauch; Gebinde geschätzt (Gross); Menge pro Gebinde fehlt (Ist = 1 Gebinde); </v>
      </c>
      <c r="BN1370" s="48"/>
      <c r="BO1370" s="48"/>
      <c r="BP1370" s="55"/>
      <c r="BQ1370" s="50" t="n">
        <v>-26</v>
      </c>
      <c r="BR1370" s="50" t="n">
        <v>26</v>
      </c>
      <c r="BS1370" s="49" t="n">
        <v>-2582.06</v>
      </c>
      <c r="BT1370" s="50" t="n">
        <v>0</v>
      </c>
      <c r="BU1370" s="48"/>
      <c r="BV1370" s="53" t="n">
        <v>0</v>
      </c>
      <c r="BW1370" s="53" t="n">
        <v>1370</v>
      </c>
      <c r="BX1370" s="48" t="str">
        <f aca="false">IF(U1370&lt;&gt;"",UPPER(TRIM(U1370)),IF(CA1370=1,UPPER(VLOOKUP(T1370,Parameter!$I$27:$K$29,2,0)),IF(P1370="","LOSE",P1370)))</f>
        <v>S81</v>
      </c>
      <c r="BY1370" s="50" t="n">
        <f aca="false">IF(BX1370="LOSE",1,IF(N(V1370)&gt;0,V1370,IF(CA1370=1,MAX(1,N(VLOOKUP(T1370,Parameter!$I$27:$K$29,3,0)),H1370,N(N1370)),IF(N(Q1370)&gt;0,Q1370,MAX(1,H1370)))))</f>
        <v>2</v>
      </c>
      <c r="BZ1370" s="53" t="n">
        <f aca="false">IF(BX1370="LOSE",1,0)</f>
        <v>0</v>
      </c>
      <c r="CA1370" s="53" t="n">
        <f aca="false">IF(AND(U1370="",OR(P1370="",P1370="LOSE"),T1370&lt;&gt;"",N(S1370)&lt;=0,ISNUMBER(MATCH(T1370,Parameter!$I$27:$I$29,0))),1,0)</f>
        <v>1</v>
      </c>
      <c r="CB1370" s="53" t="n">
        <f aca="false">IF(CQ1370&gt;0,INDEX(Parameter!$H$5:$H$7,W1370)/INDEX(Parameter!$E$5:$E$7,W1370),IF(AND(BZ1370=0,N(IFERROR(VLOOKUP(BX1370,'Gebinde-Kategorie'!$A$5:$N$45,14,0),0))&gt;0),VLOOKUP(BX1370,'Gebinde-Kategorie'!$A$5:$N$45,14,0)*10+Parameter!$M$23,Parameter!$M$24))</f>
        <v>235</v>
      </c>
      <c r="CC1370" s="48" t="str">
        <f aca="false">IF(AND(Parameter!$B$19="Ja",E1370&lt;&gt;"",ISNUMBER(MATCH(E1370,Parameter!$I$35:$I$52,0))),VLOOKUP(E1370,Parameter!$I$35:$J$52,2,0),IFERROR(VLOOKUP(D1370,Parameter!$A$35:$C$64,2,0),"Nein"))</f>
        <v>Nein</v>
      </c>
      <c r="CD1370" s="52" t="n">
        <f aca="false">IF(BZ1370=0,0,IF(N(S1370)&gt;0,S1370,IFERROR(VLOOKUP(D1370,Parameter!$A$35:$C$64,3,0)+0,0)))</f>
        <v>0</v>
      </c>
      <c r="CE1370" s="48" t="str">
        <f aca="false">IF(AA1370&lt;&gt;"",AA1370,Z1370)</f>
        <v>-</v>
      </c>
      <c r="CF1370" s="48" t="str">
        <f aca="false">IF(OR(CE1370=1,CE1370=2,CE1370=3),IF(Parameter!$E$27="Ja","LIFT",IF(CE1370=1,"L1","L23")),IF(CE1370="Aussen","Aussen","-"))</f>
        <v>-</v>
      </c>
      <c r="CG1370" s="59" t="n">
        <f aca="false">IF(N(AB1370)&gt;0,AB1370,0)</f>
        <v>0</v>
      </c>
      <c r="CH1370" s="53" t="n">
        <f aca="false">IF(ISNUMBER(AE1370),1,0)</f>
        <v>0</v>
      </c>
      <c r="CI1370" s="50" t="n">
        <f aca="false">N(AE1370)</f>
        <v>0</v>
      </c>
      <c r="CJ1370" s="50" t="n">
        <f aca="false">N(M1370)+N(N1370)</f>
        <v>1</v>
      </c>
      <c r="CK1370" s="50" t="n">
        <f aca="false">N(M1370)</f>
        <v>0</v>
      </c>
      <c r="CL1370" s="50" t="n">
        <f aca="false">N(N1370)</f>
        <v>1</v>
      </c>
      <c r="CM1370" s="50" t="n">
        <f aca="false">ROUNDUP(H1370/BY1370,0)</f>
        <v>0</v>
      </c>
      <c r="CN1370" s="50" t="n">
        <f aca="false">ROUNDUP(CI1370/BY1370,0)</f>
        <v>0</v>
      </c>
      <c r="CO1370" s="53" t="n">
        <f aca="false">IF(BZ1370=1,0,IFERROR(VLOOKUP(BX1370,'Gebinde-Kategorie'!$A$5:$N$45,5,0)+0,0))</f>
        <v>20</v>
      </c>
      <c r="CP1370" s="53" t="n">
        <f aca="false">IFERROR(IF(OR(CE1370=1,CE1370=2,CE1370=3),N(INDEX(Parameter!$I$5:$I$7,CE1370)),0),0)</f>
        <v>0</v>
      </c>
      <c r="CQ1370" s="52" t="n">
        <f aca="false">IF(AND(Parameter!$B$21="Ja",ISNUMBER(W1370),N(X1370)&gt;0),IFERROR(N(INDEX(Parameter!$L$5:$L$7,W1370))*INDEX(Parameter!$E$5:$E$7,W1370)*X1370/SUMIFS($X$7:$X$1843,$W$7:$W$1843,W1370),0),0)</f>
        <v>0</v>
      </c>
    </row>
    <row r="1371" customFormat="false" ht="15" hidden="false" customHeight="false" outlineLevel="0" collapsed="false">
      <c r="A1371" s="48" t="s">
        <v>2423</v>
      </c>
      <c r="B1371" s="48" t="s">
        <v>2424</v>
      </c>
      <c r="C1371" s="48" t="s">
        <v>173</v>
      </c>
      <c r="D1371" s="48" t="s">
        <v>193</v>
      </c>
      <c r="E1371" s="48" t="s">
        <v>194</v>
      </c>
      <c r="F1371" s="48" t="s">
        <v>227</v>
      </c>
      <c r="G1371" s="49" t="n">
        <v>525.8</v>
      </c>
      <c r="H1371" s="50" t="n">
        <f aca="false">MAX(0,IF(AND(Parameter!$B$21="Ja",ISNUMBER(Y1371)),Y1371,IF(Parameter!$B$20="Jahresanfang 2025 + Export",BR1371+BQ1371,BQ1371)))</f>
        <v>2</v>
      </c>
      <c r="I1371" s="50" t="n">
        <f aca="false">H1371*G1371</f>
        <v>1051.6</v>
      </c>
      <c r="J1371" s="50" t="n">
        <f aca="false">BT1371*Parameter!$B$18</f>
        <v>22</v>
      </c>
      <c r="K1371" s="51" t="n">
        <v>8</v>
      </c>
      <c r="L1371" s="52" t="n">
        <v>2.75</v>
      </c>
      <c r="M1371" s="50" t="n">
        <v>1</v>
      </c>
      <c r="N1371" s="50" t="n">
        <v>10</v>
      </c>
      <c r="O1371" s="53" t="n">
        <v>21</v>
      </c>
      <c r="P1371" s="48" t="s">
        <v>235</v>
      </c>
      <c r="Q1371" s="50" t="n">
        <v>8</v>
      </c>
      <c r="R1371" s="53" t="n">
        <f aca="false">IF(BZ1371=1,0,IFERROR(VLOOKUP(BX1371,'Gebinde-Kategorie'!$A$5:$N$45,13,0)+0,0))</f>
        <v>12</v>
      </c>
      <c r="S1371" s="54"/>
      <c r="T1371" s="55"/>
      <c r="U1371" s="55"/>
      <c r="V1371" s="55"/>
      <c r="W1371" s="48"/>
      <c r="X1371" s="50"/>
      <c r="Y1371" s="50"/>
      <c r="Z1371" s="48" t="n">
        <f aca="false">IF(A1371="","",IF(AND(Parameter!$B$21="Ja",ISNUMBER(W1371)),W1371,IF(CC1371="2+3",IF(ISNUMBER(SEARCH("grosser Artikel",BU1371)),2,IFERROR(VLOOKUP(BX1371,Parameter!$F$35:$G$64,2,0),2)),IF(OR(CC1371="Nein",CC1371=""),"-",CC1371))))</f>
        <v>2</v>
      </c>
      <c r="AA1371" s="55"/>
      <c r="AB1371" s="56"/>
      <c r="AC1371" s="50" t="n">
        <f aca="false">AV1371</f>
        <v>14</v>
      </c>
      <c r="AD1371" s="50" t="n">
        <f aca="false">MAX(AV1371,H1371)</f>
        <v>14</v>
      </c>
      <c r="AE1371" s="57"/>
      <c r="AF1371" s="50" t="n">
        <f aca="false">IF(LEFT(Cockpit!$C$5,1)="A",H1371,IF(Parameter!$E$30="MAX-Bestand",IF(CH1371=1,CI1371,IF(LEFT(Cockpit!$C$5,1)="B",AL1371,MAX(AL1371,H1371))),ROUNDUP(AJ1371,0)))</f>
        <v>2</v>
      </c>
      <c r="AG1371" s="50" t="n">
        <f aca="false">IF(BZ1371=1,0,ROUNDUP(AF1371/BY1371,0))</f>
        <v>1</v>
      </c>
      <c r="AH1371" s="52" t="n">
        <f aca="false">IF(CQ1371&gt;0,CQ1371*MAX(1,AF1371/X1371),IF(BZ1371=1,IF(AF1371&lt;=0,0,CD1371*MAX(1,IF(H1371&gt;0,AF1371/H1371,1))),IF(R1371&gt;0,AG1371/R1371,0))/MAX(0.1,N(Parameter!$M$21)))</f>
        <v>0.0833333333333333</v>
      </c>
      <c r="AI1371" s="50" t="n">
        <f aca="false">AH1371*CB1371</f>
        <v>28.75</v>
      </c>
      <c r="AJ1371" s="51" t="n">
        <f aca="false">IF(LEFT(Cockpit!$C$5,1)="A",H1371,IF(CH1371=1,(CK1371+CI1371)/2,IF(LEFT(Cockpit!$C$5,1)="B",(CK1371+AL1371)/2,MAX((CK1371+AL1371)/2,H1371))))</f>
        <v>2</v>
      </c>
      <c r="AK1371" s="50" t="n">
        <f aca="false">AJ1371*G1371</f>
        <v>1051.6</v>
      </c>
      <c r="AL1371" s="50" t="n">
        <f aca="false">ROUNDUP(CK1371+MAX(CL1371,2*(J1371/IF(CG1371&gt;0,CG1371,MAX(0.1,N(Cockpit!$C$6)))-CK1371)),0)</f>
        <v>14</v>
      </c>
      <c r="AM1371" s="51" t="n">
        <f aca="false">IF(AI1371&gt;0,J1371/AI1371,-1)</f>
        <v>0.765217391304348</v>
      </c>
      <c r="AN1371" s="51" t="n">
        <f aca="false">IF(AND(OR(CF1371="L1",CF1371="L23",CF1371="LIFT"),AI1371&gt;0),SUMIFS($AI$7:$AI$1843,$CF$7:$CF$1843,CF1371,$AM$7:$AM$1843,"&gt;"&amp;AM1371)+SUMIFS($AI$7:$AI$1843,$CF$7:$CF$1843,CF1371,$AM$7:$AM$1843,AM1371,$BW$7:$BW$1843,"&lt;="&amp;BW1371),"")</f>
        <v>8358.06730769231</v>
      </c>
      <c r="AO1371" s="58" t="n">
        <f aca="false">IF(AN1371="",0,MAX(0,MIN(1,(IF(CF1371="L1",Parameter!$H$5,IF(CF1371="L23",Parameter!$H$6+Parameter!$H$7,Parameter!$H$5+Parameter!$H$6+Parameter!$H$7))-(AN1371-AI1371))/AI1371)))</f>
        <v>1</v>
      </c>
      <c r="AP1371" s="50" t="n">
        <f aca="false">IF(LEFT(Cockpit!$I$5,1)="A",H1371,IF(Parameter!$E$30="MAX-Bestand",IF(CH1371=1,CI1371,IF(LEFT(Cockpit!$I$5,1)="B",AV1371,MAX(AV1371,H1371))),ROUNDUP(AT1371,0)))</f>
        <v>8</v>
      </c>
      <c r="AQ1371" s="50" t="n">
        <f aca="false">IF(BZ1371=1,0,ROUNDUP(AP1371/BY1371,0))</f>
        <v>1</v>
      </c>
      <c r="AR1371" s="52" t="n">
        <f aca="false">IF(CQ1371&gt;0,CQ1371*MAX(1,AP1371/X1371),IF(BZ1371=1,IF(AP1371&lt;=0,0,CD1371*MAX(1,IF(H1371&gt;0,AP1371/H1371,1))),IF(R1371&gt;0,AQ1371/R1371,0))/MAX(0.1,N(Parameter!$M$21)))</f>
        <v>0.0833333333333333</v>
      </c>
      <c r="AS1371" s="50" t="n">
        <f aca="false">AR1371*CB1371</f>
        <v>28.75</v>
      </c>
      <c r="AT1371" s="51" t="n">
        <f aca="false">IF(LEFT(Cockpit!$I$5,1)="A",H1371,IF(CH1371=1,(CK1371+CI1371)/2,IF(LEFT(Cockpit!$I$5,1)="B",(CK1371+AV1371)/2,MAX((CK1371+AV1371)/2,H1371))))</f>
        <v>7.5</v>
      </c>
      <c r="AU1371" s="50" t="n">
        <f aca="false">AT1371*G1371</f>
        <v>3943.5</v>
      </c>
      <c r="AV1371" s="50" t="n">
        <f aca="false">ROUNDUP(CK1371+MAX(CL1371,2*(J1371/IF(CG1371&gt;0,CG1371,MAX(0.1,N(Cockpit!$I$6)))-CK1371)),0)</f>
        <v>14</v>
      </c>
      <c r="AW1371" s="51" t="n">
        <f aca="false">IF(AS1371&gt;0,J1371/AS1371,-1)</f>
        <v>0.765217391304348</v>
      </c>
      <c r="AX1371" s="51" t="n">
        <f aca="false">IF(AND(OR(CF1371="L1",CF1371="L23",CF1371="LIFT"),AS1371&gt;0),SUMIFS($AS$7:$AS$1843,$CF$7:$CF$1843,CF1371,$AW$7:$AW$1843,"&gt;"&amp;AW1371)+SUMIFS($AS$7:$AS$1843,$CF$7:$CF$1843,CF1371,$AW$7:$AW$1843,AW1371,$BW$7:$BW$1843,"&lt;="&amp;BW1371),"")</f>
        <v>10617.6355311355</v>
      </c>
      <c r="AY1371" s="58" t="n">
        <f aca="false">IF(AX1371="",0,MAX(0,MIN(1,(IF(CF1371="L1",Parameter!$H$5,IF(CF1371="L23",Parameter!$H$6+Parameter!$H$7,Parameter!$H$5+Parameter!$H$6+Parameter!$H$7))-(AX1371-AS1371))/AS1371)))</f>
        <v>1</v>
      </c>
      <c r="AZ1371" s="50" t="n">
        <f aca="false">IF(LEFT(Cockpit!$O$5,1)="A",H1371,IF(Parameter!$E$30="MAX-Bestand",IF(CH1371=1,CI1371,IF(LEFT(Cockpit!$O$5,1)="B",BF1371,MAX(BF1371,H1371))),ROUNDUP(BD1371,0)))</f>
        <v>6</v>
      </c>
      <c r="BA1371" s="50" t="n">
        <f aca="false">IF(BZ1371=1,0,ROUNDUP(AZ1371/BY1371,0))</f>
        <v>1</v>
      </c>
      <c r="BB1371" s="52" t="n">
        <f aca="false">IF(CQ1371&gt;0,CQ1371*MAX(1,AZ1371/X1371),IF(BZ1371=1,IF(AZ1371&lt;=0,0,CD1371*MAX(1,IF(H1371&gt;0,AZ1371/H1371,1))),IF(R1371&gt;0,BA1371/R1371,0))/MAX(0.1,N(Parameter!$M$21)))</f>
        <v>0.0833333333333333</v>
      </c>
      <c r="BC1371" s="50" t="n">
        <f aca="false">BB1371*CB1371</f>
        <v>28.75</v>
      </c>
      <c r="BD1371" s="51" t="n">
        <f aca="false">IF(LEFT(Cockpit!$O$5,1)="A",H1371,IF(CH1371=1,(CK1371+CI1371)/2,IF(LEFT(Cockpit!$O$5,1)="B",(CK1371+BF1371)/2,MAX((CK1371+BF1371)/2,H1371))))</f>
        <v>6</v>
      </c>
      <c r="BE1371" s="50" t="n">
        <f aca="false">BD1371*G1371</f>
        <v>3154.8</v>
      </c>
      <c r="BF1371" s="50" t="n">
        <f aca="false">ROUNDUP(CK1371+MAX(CL1371,2*(J1371/IF(CG1371&gt;0,CG1371,MAX(0.1,N(Cockpit!$O$6)))-CK1371)),0)</f>
        <v>11</v>
      </c>
      <c r="BG1371" s="51" t="n">
        <f aca="false">IF(BC1371&gt;0,J1371/BC1371,-1)</f>
        <v>0.765217391304348</v>
      </c>
      <c r="BH1371" s="51" t="n">
        <f aca="false">IF(AND(OR(CF1371="L1",CF1371="L23",CF1371="LIFT"),BC1371&gt;0),SUMIFS($BC$7:$BC$1843,$CF$7:$CF$1843,CF1371,$BG$7:$BG$1843,"&gt;"&amp;BG1371)+SUMIFS($BC$7:$BC$1843,$CF$7:$CF$1843,CF1371,$BG$7:$BG$1843,BG1371,$BW$7:$BW$1843,"&lt;="&amp;BW1371),"")</f>
        <v>9068.93635531135</v>
      </c>
      <c r="BI1371" s="58" t="n">
        <f aca="false">IF(BH1371="",0,MAX(0,MIN(1,(IF(CF1371="L1",Parameter!$H$5,IF(CF1371="L23",Parameter!$H$6+Parameter!$H$7,Parameter!$H$5+Parameter!$H$6+Parameter!$H$7))-(BH1371-BC1371))/BC1371)))</f>
        <v>1</v>
      </c>
      <c r="BJ1371" s="48" t="str">
        <f aca="false">IF(AI1371&lt;=0,"",IF(CF1371="Aussen","Aussenlager",IF(CF1371="-","Nicht im Lift",IF(AO1371&gt;=1,"Lift",IF(AO1371&lt;=0,"Aussenlager","teilweise")))))</f>
        <v>Lift</v>
      </c>
      <c r="BK1371" s="48" t="str">
        <f aca="false">IF(AS1371&lt;=0,"",IF(CF1371="Aussen","Aussenlager",IF(CF1371="-","Nicht im Lift",IF(AY1371&gt;=1,"Lift",IF(AY1371&lt;=0,"Aussenlager","teilweise")))))</f>
        <v>Lift</v>
      </c>
      <c r="BL1371" s="48" t="str">
        <f aca="false">IF(BC1371&lt;=0,"",IF(CF1371="Aussen","Aussenlager",IF(CF1371="-","Nicht im Lift",IF(BI1371&gt;=1,"Lift",IF(BI1371&lt;=0,"Aussenlager","teilweise")))))</f>
        <v>Lift</v>
      </c>
      <c r="BM1371" s="48" t="str">
        <f aca="false">IF(A1371="","",IF(BV1371=1,"Neu; ","")&amp;IF(AND(BV1371=0,BQ1371&lt;0),"negativer Bestand (Export "&amp;BQ1371&amp;"); ","")&amp;IF(J1371&lt;=0,"Kein Verbrauch; ","")&amp;IF(CQ1371&gt;0,"Lift "&amp;W1371&amp;" lt. Liftbericht (Fach "&amp;X1371&amp;" Stk); ",IF(CA1371=1,"Gebinde geschätzt ("&amp;T1371&amp;"); ",IF(BZ1371=1,"Lose – Tablare geschätzt; ","")))&amp;IF(H1371&gt;AV1371,"Überbestand "&amp;ROUND(H1371-AV1371,0)&amp;" Stk / CHF "&amp;ROUND((H1371-AV1371)*G1371,0)&amp;"; ","")&amp;IF(AND(CH1371=1,CI1371&lt;CJ1371),"MAX &lt; MB+LG; ","")&amp;IF(AND(CP1371&gt;0,CO1371*10&gt;CP1371),"zu hoch für Tablar; ","")&amp;IF(AND(BV1371=0,OR(CH1371=1,AA1371&lt;&gt;"",U1371&lt;&gt;"",V1371&lt;&gt;"",AB1371&lt;&gt;"")),"manuell übersteuert; ","")&amp;IF(AND(BZ1371=0,R1371=0),"Gebinde unbekannt / Stellmass fehlt; ","")&amp;IF(AND(BZ1371=0,N(V1371)&lt;=0,N(Q1371)&lt;=0),"Menge pro Gebinde fehlt (Ist = 1 Gebinde); ","")&amp;BU1371)</f>
        <v>negativer Bestand (Export -6); </v>
      </c>
      <c r="BN1371" s="48"/>
      <c r="BO1371" s="48"/>
      <c r="BP1371" s="55"/>
      <c r="BQ1371" s="50" t="n">
        <v>-6</v>
      </c>
      <c r="BR1371" s="50" t="n">
        <v>8</v>
      </c>
      <c r="BS1371" s="49" t="n">
        <v>-2622.8</v>
      </c>
      <c r="BT1371" s="50" t="n">
        <v>22</v>
      </c>
      <c r="BU1371" s="48"/>
      <c r="BV1371" s="53" t="n">
        <v>0</v>
      </c>
      <c r="BW1371" s="53" t="n">
        <v>1371</v>
      </c>
      <c r="BX1371" s="48" t="str">
        <f aca="false">IF(U1371&lt;&gt;"",UPPER(TRIM(U1371)),IF(CA1371=1,UPPER(VLOOKUP(T1371,Parameter!$I$27:$K$29,2,0)),IF(P1371="","LOSE",P1371)))</f>
        <v>S63</v>
      </c>
      <c r="BY1371" s="50" t="n">
        <f aca="false">IF(BX1371="LOSE",1,IF(N(V1371)&gt;0,V1371,IF(CA1371=1,MAX(1,N(VLOOKUP(T1371,Parameter!$I$27:$K$29,3,0)),H1371,N(N1371)),IF(N(Q1371)&gt;0,Q1371,MAX(1,H1371)))))</f>
        <v>8</v>
      </c>
      <c r="BZ1371" s="53" t="n">
        <f aca="false">IF(BX1371="LOSE",1,0)</f>
        <v>0</v>
      </c>
      <c r="CA1371" s="53" t="n">
        <f aca="false">IF(AND(U1371="",OR(P1371="",P1371="LOSE"),T1371&lt;&gt;"",N(S1371)&lt;=0,ISNUMBER(MATCH(T1371,Parameter!$I$27:$I$29,0))),1,0)</f>
        <v>0</v>
      </c>
      <c r="CB1371" s="53" t="n">
        <f aca="false">IF(CQ1371&gt;0,INDEX(Parameter!$H$5:$H$7,W1371)/INDEX(Parameter!$E$5:$E$7,W1371),IF(AND(BZ1371=0,N(IFERROR(VLOOKUP(BX1371,'Gebinde-Kategorie'!$A$5:$N$45,14,0),0))&gt;0),VLOOKUP(BX1371,'Gebinde-Kategorie'!$A$5:$N$45,14,0)*10+Parameter!$M$23,Parameter!$M$24))</f>
        <v>345</v>
      </c>
      <c r="CC1371" s="48" t="str">
        <f aca="false">IF(AND(Parameter!$B$19="Ja",E1371&lt;&gt;"",ISNUMBER(MATCH(E1371,Parameter!$I$35:$I$52,0))),VLOOKUP(E1371,Parameter!$I$35:$J$52,2,0),IFERROR(VLOOKUP(D1371,Parameter!$A$35:$C$64,2,0),"Nein"))</f>
        <v>2+3</v>
      </c>
      <c r="CD1371" s="52" t="n">
        <f aca="false">IF(BZ1371=0,0,IF(N(S1371)&gt;0,S1371,IFERROR(VLOOKUP(D1371,Parameter!$A$35:$C$64,3,0)+0,0)))</f>
        <v>0</v>
      </c>
      <c r="CE1371" s="48" t="n">
        <f aca="false">IF(AA1371&lt;&gt;"",AA1371,Z1371)</f>
        <v>2</v>
      </c>
      <c r="CF1371" s="48" t="str">
        <f aca="false">IF(OR(CE1371=1,CE1371=2,CE1371=3),IF(Parameter!$E$27="Ja","LIFT",IF(CE1371=1,"L1","L23")),IF(CE1371="Aussen","Aussen","-"))</f>
        <v>LIFT</v>
      </c>
      <c r="CG1371" s="59" t="n">
        <f aca="false">IF(N(AB1371)&gt;0,AB1371,0)</f>
        <v>0</v>
      </c>
      <c r="CH1371" s="53" t="n">
        <f aca="false">IF(ISNUMBER(AE1371),1,0)</f>
        <v>0</v>
      </c>
      <c r="CI1371" s="50" t="n">
        <f aca="false">N(AE1371)</f>
        <v>0</v>
      </c>
      <c r="CJ1371" s="50" t="n">
        <f aca="false">N(M1371)+N(N1371)</f>
        <v>11</v>
      </c>
      <c r="CK1371" s="50" t="n">
        <f aca="false">N(M1371)</f>
        <v>1</v>
      </c>
      <c r="CL1371" s="50" t="n">
        <f aca="false">N(N1371)</f>
        <v>10</v>
      </c>
      <c r="CM1371" s="50" t="n">
        <f aca="false">ROUNDUP(H1371/BY1371,0)</f>
        <v>1</v>
      </c>
      <c r="CN1371" s="50" t="n">
        <f aca="false">ROUNDUP(CI1371/BY1371,0)</f>
        <v>0</v>
      </c>
      <c r="CO1371" s="53" t="n">
        <f aca="false">IF(BZ1371=1,0,IFERROR(VLOOKUP(BX1371,'Gebinde-Kategorie'!$A$5:$N$45,5,0)+0,0))</f>
        <v>31</v>
      </c>
      <c r="CP1371" s="53" t="n">
        <f aca="false">IFERROR(IF(OR(CE1371=1,CE1371=2,CE1371=3),N(INDEX(Parameter!$I$5:$I$7,CE1371)),0),0)</f>
        <v>0</v>
      </c>
      <c r="CQ1371" s="52" t="n">
        <f aca="false">IF(AND(Parameter!$B$21="Ja",ISNUMBER(W1371),N(X1371)&gt;0),IFERROR(N(INDEX(Parameter!$L$5:$L$7,W1371))*INDEX(Parameter!$E$5:$E$7,W1371)*X1371/SUMIFS($X$7:$X$1843,$W$7:$W$1843,W1371),0),0)</f>
        <v>0</v>
      </c>
    </row>
    <row r="1372" customFormat="false" ht="15" hidden="false" customHeight="false" outlineLevel="0" collapsed="false">
      <c r="A1372" s="48" t="s">
        <v>2425</v>
      </c>
      <c r="B1372" s="48" t="s">
        <v>2426</v>
      </c>
      <c r="C1372" s="48" t="s">
        <v>173</v>
      </c>
      <c r="D1372" s="48" t="s">
        <v>182</v>
      </c>
      <c r="E1372" s="48" t="s">
        <v>2427</v>
      </c>
      <c r="F1372" s="48" t="s">
        <v>227</v>
      </c>
      <c r="G1372" s="49" t="n">
        <v>3599.65</v>
      </c>
      <c r="H1372" s="50" t="n">
        <f aca="false">MAX(0,IF(AND(Parameter!$B$21="Ja",ISNUMBER(Y1372)),Y1372,IF(Parameter!$B$20="Jahresanfang 2025 + Export",BR1372+BQ1372,BQ1372)))</f>
        <v>6</v>
      </c>
      <c r="I1372" s="50" t="n">
        <f aca="false">H1372*G1372</f>
        <v>21597.9</v>
      </c>
      <c r="J1372" s="50" t="n">
        <f aca="false">BT1372*Parameter!$B$18</f>
        <v>13</v>
      </c>
      <c r="K1372" s="51" t="n">
        <v>8</v>
      </c>
      <c r="L1372" s="52" t="n">
        <v>1.625</v>
      </c>
      <c r="M1372" s="50" t="n">
        <v>0</v>
      </c>
      <c r="N1372" s="50" t="n">
        <v>1</v>
      </c>
      <c r="O1372" s="53" t="n">
        <v>60</v>
      </c>
      <c r="P1372" s="48" t="s">
        <v>177</v>
      </c>
      <c r="Q1372" s="50"/>
      <c r="R1372" s="53" t="n">
        <f aca="false">IF(BZ1372=1,0,IFERROR(VLOOKUP(BX1372,'Gebinde-Kategorie'!$A$5:$N$45,13,0)+0,0))</f>
        <v>12</v>
      </c>
      <c r="S1372" s="54"/>
      <c r="T1372" s="55" t="s">
        <v>188</v>
      </c>
      <c r="U1372" s="55"/>
      <c r="V1372" s="55"/>
      <c r="W1372" s="48"/>
      <c r="X1372" s="50"/>
      <c r="Y1372" s="50"/>
      <c r="Z1372" s="48" t="str">
        <f aca="false">IF(A1372="","",IF(AND(Parameter!$B$21="Ja",ISNUMBER(W1372)),W1372,IF(CC1372="2+3",IF(ISNUMBER(SEARCH("grosser Artikel",BU1372)),2,IFERROR(VLOOKUP(BX1372,Parameter!$F$35:$G$64,2,0),2)),IF(OR(CC1372="Nein",CC1372=""),"-",CC1372))))</f>
        <v>-</v>
      </c>
      <c r="AA1372" s="55"/>
      <c r="AB1372" s="56"/>
      <c r="AC1372" s="50" t="n">
        <f aca="false">AV1372</f>
        <v>9</v>
      </c>
      <c r="AD1372" s="50" t="n">
        <f aca="false">MAX(AV1372,H1372)</f>
        <v>9</v>
      </c>
      <c r="AE1372" s="57"/>
      <c r="AF1372" s="50" t="n">
        <f aca="false">IF(LEFT(Cockpit!$C$5,1)="A",H1372,IF(Parameter!$E$30="MAX-Bestand",IF(CH1372=1,CI1372,IF(LEFT(Cockpit!$C$5,1)="B",AL1372,MAX(AL1372,H1372))),ROUNDUP(AJ1372,0)))</f>
        <v>6</v>
      </c>
      <c r="AG1372" s="50" t="n">
        <f aca="false">IF(BZ1372=1,0,ROUNDUP(AF1372/BY1372,0))</f>
        <v>1</v>
      </c>
      <c r="AH1372" s="52" t="n">
        <f aca="false">IF(CQ1372&gt;0,CQ1372*MAX(1,AF1372/X1372),IF(BZ1372=1,IF(AF1372&lt;=0,0,CD1372*MAX(1,IF(H1372&gt;0,AF1372/H1372,1))),IF(R1372&gt;0,AG1372/R1372,0))/MAX(0.1,N(Parameter!$M$21)))</f>
        <v>0.0833333333333333</v>
      </c>
      <c r="AI1372" s="50" t="n">
        <f aca="false">AH1372*CB1372</f>
        <v>12.0833333333333</v>
      </c>
      <c r="AJ1372" s="51" t="n">
        <f aca="false">IF(LEFT(Cockpit!$C$5,1)="A",H1372,IF(CH1372=1,(CK1372+CI1372)/2,IF(LEFT(Cockpit!$C$5,1)="B",(CK1372+AL1372)/2,MAX((CK1372+AL1372)/2,H1372))))</f>
        <v>6</v>
      </c>
      <c r="AK1372" s="50" t="n">
        <f aca="false">AJ1372*G1372</f>
        <v>21597.9</v>
      </c>
      <c r="AL1372" s="50" t="n">
        <f aca="false">ROUNDUP(CK1372+MAX(CL1372,2*(J1372/IF(CG1372&gt;0,CG1372,MAX(0.1,N(Cockpit!$C$6)))-CK1372)),0)</f>
        <v>9</v>
      </c>
      <c r="AM1372" s="51" t="n">
        <f aca="false">IF(AI1372&gt;0,J1372/AI1372,-1)</f>
        <v>1.07586206896552</v>
      </c>
      <c r="AN1372" s="51" t="str">
        <f aca="false">IF(AND(OR(CF1372="L1",CF1372="L23",CF1372="LIFT"),AI1372&gt;0),SUMIFS($AI$7:$AI$1843,$CF$7:$CF$1843,CF1372,$AM$7:$AM$1843,"&gt;"&amp;AM1372)+SUMIFS($AI$7:$AI$1843,$CF$7:$CF$1843,CF1372,$AM$7:$AM$1843,AM1372,$BW$7:$BW$1843,"&lt;="&amp;BW1372),"")</f>
        <v/>
      </c>
      <c r="AO1372" s="58" t="n">
        <f aca="false">IF(AN1372="",0,MAX(0,MIN(1,(IF(CF1372="L1",Parameter!$H$5,IF(CF1372="L23",Parameter!$H$6+Parameter!$H$7,Parameter!$H$5+Parameter!$H$6+Parameter!$H$7))-(AN1372-AI1372))/AI1372)))</f>
        <v>0</v>
      </c>
      <c r="AP1372" s="50" t="n">
        <f aca="false">IF(LEFT(Cockpit!$I$5,1)="A",H1372,IF(Parameter!$E$30="MAX-Bestand",IF(CH1372=1,CI1372,IF(LEFT(Cockpit!$I$5,1)="B",AV1372,MAX(AV1372,H1372))),ROUNDUP(AT1372,0)))</f>
        <v>6</v>
      </c>
      <c r="AQ1372" s="50" t="n">
        <f aca="false">IF(BZ1372=1,0,ROUNDUP(AP1372/BY1372,0))</f>
        <v>1</v>
      </c>
      <c r="AR1372" s="52" t="n">
        <f aca="false">IF(CQ1372&gt;0,CQ1372*MAX(1,AP1372/X1372),IF(BZ1372=1,IF(AP1372&lt;=0,0,CD1372*MAX(1,IF(H1372&gt;0,AP1372/H1372,1))),IF(R1372&gt;0,AQ1372/R1372,0))/MAX(0.1,N(Parameter!$M$21)))</f>
        <v>0.0833333333333333</v>
      </c>
      <c r="AS1372" s="50" t="n">
        <f aca="false">AR1372*CB1372</f>
        <v>12.0833333333333</v>
      </c>
      <c r="AT1372" s="51" t="n">
        <f aca="false">IF(LEFT(Cockpit!$I$5,1)="A",H1372,IF(CH1372=1,(CK1372+CI1372)/2,IF(LEFT(Cockpit!$I$5,1)="B",(CK1372+AV1372)/2,MAX((CK1372+AV1372)/2,H1372))))</f>
        <v>6</v>
      </c>
      <c r="AU1372" s="50" t="n">
        <f aca="false">AT1372*G1372</f>
        <v>21597.9</v>
      </c>
      <c r="AV1372" s="50" t="n">
        <f aca="false">ROUNDUP(CK1372+MAX(CL1372,2*(J1372/IF(CG1372&gt;0,CG1372,MAX(0.1,N(Cockpit!$I$6)))-CK1372)),0)</f>
        <v>9</v>
      </c>
      <c r="AW1372" s="51" t="n">
        <f aca="false">IF(AS1372&gt;0,J1372/AS1372,-1)</f>
        <v>1.07586206896552</v>
      </c>
      <c r="AX1372" s="51" t="str">
        <f aca="false">IF(AND(OR(CF1372="L1",CF1372="L23",CF1372="LIFT"),AS1372&gt;0),SUMIFS($AS$7:$AS$1843,$CF$7:$CF$1843,CF1372,$AW$7:$AW$1843,"&gt;"&amp;AW1372)+SUMIFS($AS$7:$AS$1843,$CF$7:$CF$1843,CF1372,$AW$7:$AW$1843,AW1372,$BW$7:$BW$1843,"&lt;="&amp;BW1372),"")</f>
        <v/>
      </c>
      <c r="AY1372" s="58" t="n">
        <f aca="false">IF(AX1372="",0,MAX(0,MIN(1,(IF(CF1372="L1",Parameter!$H$5,IF(CF1372="L23",Parameter!$H$6+Parameter!$H$7,Parameter!$H$5+Parameter!$H$6+Parameter!$H$7))-(AX1372-AS1372))/AS1372)))</f>
        <v>0</v>
      </c>
      <c r="AZ1372" s="50" t="n">
        <f aca="false">IF(LEFT(Cockpit!$O$5,1)="A",H1372,IF(Parameter!$E$30="MAX-Bestand",IF(CH1372=1,CI1372,IF(LEFT(Cockpit!$O$5,1)="B",BF1372,MAX(BF1372,H1372))),ROUNDUP(BD1372,0)))</f>
        <v>4</v>
      </c>
      <c r="BA1372" s="50" t="n">
        <f aca="false">IF(BZ1372=1,0,ROUNDUP(AZ1372/BY1372,0))</f>
        <v>1</v>
      </c>
      <c r="BB1372" s="52" t="n">
        <f aca="false">IF(CQ1372&gt;0,CQ1372*MAX(1,AZ1372/X1372),IF(BZ1372=1,IF(AZ1372&lt;=0,0,CD1372*MAX(1,IF(H1372&gt;0,AZ1372/H1372,1))),IF(R1372&gt;0,BA1372/R1372,0))/MAX(0.1,N(Parameter!$M$21)))</f>
        <v>0.0833333333333333</v>
      </c>
      <c r="BC1372" s="50" t="n">
        <f aca="false">BB1372*CB1372</f>
        <v>12.0833333333333</v>
      </c>
      <c r="BD1372" s="51" t="n">
        <f aca="false">IF(LEFT(Cockpit!$O$5,1)="A",H1372,IF(CH1372=1,(CK1372+CI1372)/2,IF(LEFT(Cockpit!$O$5,1)="B",(CK1372+BF1372)/2,MAX((CK1372+BF1372)/2,H1372))))</f>
        <v>3.5</v>
      </c>
      <c r="BE1372" s="50" t="n">
        <f aca="false">BD1372*G1372</f>
        <v>12598.775</v>
      </c>
      <c r="BF1372" s="50" t="n">
        <f aca="false">ROUNDUP(CK1372+MAX(CL1372,2*(J1372/IF(CG1372&gt;0,CG1372,MAX(0.1,N(Cockpit!$O$6)))-CK1372)),0)</f>
        <v>7</v>
      </c>
      <c r="BG1372" s="51" t="n">
        <f aca="false">IF(BC1372&gt;0,J1372/BC1372,-1)</f>
        <v>1.07586206896552</v>
      </c>
      <c r="BH1372" s="51" t="str">
        <f aca="false">IF(AND(OR(CF1372="L1",CF1372="L23",CF1372="LIFT"),BC1372&gt;0),SUMIFS($BC$7:$BC$1843,$CF$7:$CF$1843,CF1372,$BG$7:$BG$1843,"&gt;"&amp;BG1372)+SUMIFS($BC$7:$BC$1843,$CF$7:$CF$1843,CF1372,$BG$7:$BG$1843,BG1372,$BW$7:$BW$1843,"&lt;="&amp;BW1372),"")</f>
        <v/>
      </c>
      <c r="BI1372" s="58" t="n">
        <f aca="false">IF(BH1372="",0,MAX(0,MIN(1,(IF(CF1372="L1",Parameter!$H$5,IF(CF1372="L23",Parameter!$H$6+Parameter!$H$7,Parameter!$H$5+Parameter!$H$6+Parameter!$H$7))-(BH1372-BC1372))/BC1372)))</f>
        <v>0</v>
      </c>
      <c r="BJ1372" s="48" t="str">
        <f aca="false">IF(AI1372&lt;=0,"",IF(CF1372="Aussen","Aussenlager",IF(CF1372="-","Nicht im Lift",IF(AO1372&gt;=1,"Lift",IF(AO1372&lt;=0,"Aussenlager","teilweise")))))</f>
        <v>Nicht im Lift</v>
      </c>
      <c r="BK1372" s="48" t="str">
        <f aca="false">IF(AS1372&lt;=0,"",IF(CF1372="Aussen","Aussenlager",IF(CF1372="-","Nicht im Lift",IF(AY1372&gt;=1,"Lift",IF(AY1372&lt;=0,"Aussenlager","teilweise")))))</f>
        <v>Nicht im Lift</v>
      </c>
      <c r="BL1372" s="48" t="str">
        <f aca="false">IF(BC1372&lt;=0,"",IF(CF1372="Aussen","Aussenlager",IF(CF1372="-","Nicht im Lift",IF(BI1372&gt;=1,"Lift",IF(BI1372&lt;=0,"Aussenlager","teilweise")))))</f>
        <v>Nicht im Lift</v>
      </c>
      <c r="BM1372" s="48" t="str">
        <f aca="false">IF(A1372="","",IF(BV1372=1,"Neu; ","")&amp;IF(AND(BV1372=0,BQ1372&lt;0),"negativer Bestand (Export "&amp;BQ1372&amp;"); ","")&amp;IF(J1372&lt;=0,"Kein Verbrauch; ","")&amp;IF(CQ1372&gt;0,"Lift "&amp;W1372&amp;" lt. Liftbericht (Fach "&amp;X1372&amp;" Stk); ",IF(CA1372=1,"Gebinde geschätzt ("&amp;T1372&amp;"); ",IF(BZ1372=1,"Lose – Tablare geschätzt; ","")))&amp;IF(H1372&gt;AV1372,"Überbestand "&amp;ROUND(H1372-AV1372,0)&amp;" Stk / CHF "&amp;ROUND((H1372-AV1372)*G1372,0)&amp;"; ","")&amp;IF(AND(CH1372=1,CI1372&lt;CJ1372),"MAX &lt; MB+LG; ","")&amp;IF(AND(CP1372&gt;0,CO1372*10&gt;CP1372),"zu hoch für Tablar; ","")&amp;IF(AND(BV1372=0,OR(CH1372=1,AA1372&lt;&gt;"",U1372&lt;&gt;"",V1372&lt;&gt;"",AB1372&lt;&gt;"")),"manuell übersteuert; ","")&amp;IF(AND(BZ1372=0,R1372=0),"Gebinde unbekannt / Stellmass fehlt; ","")&amp;IF(AND(BZ1372=0,N(V1372)&lt;=0,N(Q1372)&lt;=0),"Menge pro Gebinde fehlt (Ist = 1 Gebinde); ","")&amp;BU1372)</f>
        <v>negativer Bestand (Export -2); Gebinde geschätzt (Mittel); Menge pro Gebinde fehlt (Ist = 1 Gebinde); </v>
      </c>
      <c r="BN1372" s="48"/>
      <c r="BO1372" s="48"/>
      <c r="BP1372" s="55"/>
      <c r="BQ1372" s="50" t="n">
        <v>-2</v>
      </c>
      <c r="BR1372" s="50" t="n">
        <v>8</v>
      </c>
      <c r="BS1372" s="49" t="n">
        <v>-2698.84000000002</v>
      </c>
      <c r="BT1372" s="50" t="n">
        <v>13</v>
      </c>
      <c r="BU1372" s="48"/>
      <c r="BV1372" s="53" t="n">
        <v>0</v>
      </c>
      <c r="BW1372" s="53" t="n">
        <v>1372</v>
      </c>
      <c r="BX1372" s="48" t="str">
        <f aca="false">IF(U1372&lt;&gt;"",UPPER(TRIM(U1372)),IF(CA1372=1,UPPER(VLOOKUP(T1372,Parameter!$I$27:$K$29,2,0)),IF(P1372="","LOSE",P1372)))</f>
        <v>S61</v>
      </c>
      <c r="BY1372" s="50" t="n">
        <f aca="false">IF(BX1372="LOSE",1,IF(N(V1372)&gt;0,V1372,IF(CA1372=1,MAX(1,N(VLOOKUP(T1372,Parameter!$I$27:$K$29,3,0)),H1372,N(N1372)),IF(N(Q1372)&gt;0,Q1372,MAX(1,H1372)))))</f>
        <v>6</v>
      </c>
      <c r="BZ1372" s="53" t="n">
        <f aca="false">IF(BX1372="LOSE",1,0)</f>
        <v>0</v>
      </c>
      <c r="CA1372" s="53" t="n">
        <f aca="false">IF(AND(U1372="",OR(P1372="",P1372="LOSE"),T1372&lt;&gt;"",N(S1372)&lt;=0,ISNUMBER(MATCH(T1372,Parameter!$I$27:$I$29,0))),1,0)</f>
        <v>1</v>
      </c>
      <c r="CB1372" s="53" t="n">
        <f aca="false">IF(CQ1372&gt;0,INDEX(Parameter!$H$5:$H$7,W1372)/INDEX(Parameter!$E$5:$E$7,W1372),IF(AND(BZ1372=0,N(IFERROR(VLOOKUP(BX1372,'Gebinde-Kategorie'!$A$5:$N$45,14,0),0))&gt;0),VLOOKUP(BX1372,'Gebinde-Kategorie'!$A$5:$N$45,14,0)*10+Parameter!$M$23,Parameter!$M$24))</f>
        <v>145</v>
      </c>
      <c r="CC1372" s="48" t="str">
        <f aca="false">IF(AND(Parameter!$B$19="Ja",E1372&lt;&gt;"",ISNUMBER(MATCH(E1372,Parameter!$I$35:$I$52,0))),VLOOKUP(E1372,Parameter!$I$35:$J$52,2,0),IFERROR(VLOOKUP(D1372,Parameter!$A$35:$C$64,2,0),"Nein"))</f>
        <v>Nein</v>
      </c>
      <c r="CD1372" s="52" t="n">
        <f aca="false">IF(BZ1372=0,0,IF(N(S1372)&gt;0,S1372,IFERROR(VLOOKUP(D1372,Parameter!$A$35:$C$64,3,0)+0,0)))</f>
        <v>0</v>
      </c>
      <c r="CE1372" s="48" t="str">
        <f aca="false">IF(AA1372&lt;&gt;"",AA1372,Z1372)</f>
        <v>-</v>
      </c>
      <c r="CF1372" s="48" t="str">
        <f aca="false">IF(OR(CE1372=1,CE1372=2,CE1372=3),IF(Parameter!$E$27="Ja","LIFT",IF(CE1372=1,"L1","L23")),IF(CE1372="Aussen","Aussen","-"))</f>
        <v>-</v>
      </c>
      <c r="CG1372" s="59" t="n">
        <f aca="false">IF(N(AB1372)&gt;0,AB1372,0)</f>
        <v>0</v>
      </c>
      <c r="CH1372" s="53" t="n">
        <f aca="false">IF(ISNUMBER(AE1372),1,0)</f>
        <v>0</v>
      </c>
      <c r="CI1372" s="50" t="n">
        <f aca="false">N(AE1372)</f>
        <v>0</v>
      </c>
      <c r="CJ1372" s="50" t="n">
        <f aca="false">N(M1372)+N(N1372)</f>
        <v>1</v>
      </c>
      <c r="CK1372" s="50" t="n">
        <f aca="false">N(M1372)</f>
        <v>0</v>
      </c>
      <c r="CL1372" s="50" t="n">
        <f aca="false">N(N1372)</f>
        <v>1</v>
      </c>
      <c r="CM1372" s="50" t="n">
        <f aca="false">ROUNDUP(H1372/BY1372,0)</f>
        <v>1</v>
      </c>
      <c r="CN1372" s="50" t="n">
        <f aca="false">ROUNDUP(CI1372/BY1372,0)</f>
        <v>0</v>
      </c>
      <c r="CO1372" s="53" t="n">
        <f aca="false">IF(BZ1372=1,0,IFERROR(VLOOKUP(BX1372,'Gebinde-Kategorie'!$A$5:$N$45,5,0)+0,0))</f>
        <v>11</v>
      </c>
      <c r="CP1372" s="53" t="n">
        <f aca="false">IFERROR(IF(OR(CE1372=1,CE1372=2,CE1372=3),N(INDEX(Parameter!$I$5:$I$7,CE1372)),0),0)</f>
        <v>0</v>
      </c>
      <c r="CQ1372" s="52" t="n">
        <f aca="false">IF(AND(Parameter!$B$21="Ja",ISNUMBER(W1372),N(X1372)&gt;0),IFERROR(N(INDEX(Parameter!$L$5:$L$7,W1372))*INDEX(Parameter!$E$5:$E$7,W1372)*X1372/SUMIFS($X$7:$X$1843,$W$7:$W$1843,W1372),0),0)</f>
        <v>0</v>
      </c>
    </row>
    <row r="1373" customFormat="false" ht="15" hidden="false" customHeight="false" outlineLevel="0" collapsed="false">
      <c r="A1373" s="48" t="s">
        <v>2428</v>
      </c>
      <c r="B1373" s="48" t="s">
        <v>2429</v>
      </c>
      <c r="C1373" s="48" t="s">
        <v>173</v>
      </c>
      <c r="D1373" s="48" t="s">
        <v>193</v>
      </c>
      <c r="E1373" s="48" t="s">
        <v>194</v>
      </c>
      <c r="F1373" s="48" t="s">
        <v>227</v>
      </c>
      <c r="G1373" s="49" t="n">
        <v>208.24</v>
      </c>
      <c r="H1373" s="50" t="n">
        <f aca="false">MAX(0,IF(AND(Parameter!$B$21="Ja",ISNUMBER(Y1373)),Y1373,IF(Parameter!$B$20="Jahresanfang 2025 + Export",BR1373+BQ1373,BQ1373)))</f>
        <v>1</v>
      </c>
      <c r="I1373" s="50" t="n">
        <f aca="false">H1373*G1373</f>
        <v>208.24</v>
      </c>
      <c r="J1373" s="50" t="n">
        <f aca="false">BT1373*Parameter!$B$18</f>
        <v>6</v>
      </c>
      <c r="K1373" s="51" t="n">
        <v>10</v>
      </c>
      <c r="L1373" s="52" t="n">
        <v>0.6</v>
      </c>
      <c r="M1373" s="50" t="n">
        <v>0</v>
      </c>
      <c r="N1373" s="50" t="n">
        <v>5</v>
      </c>
      <c r="O1373" s="53" t="n">
        <v>21</v>
      </c>
      <c r="P1373" s="48" t="s">
        <v>485</v>
      </c>
      <c r="Q1373" s="50" t="n">
        <v>17</v>
      </c>
      <c r="R1373" s="53" t="n">
        <f aca="false">IF(BZ1373=1,0,IFERROR(VLOOKUP(BX1373,'Gebinde-Kategorie'!$A$5:$N$45,13,0)+0,0))</f>
        <v>52</v>
      </c>
      <c r="S1373" s="54"/>
      <c r="T1373" s="55"/>
      <c r="U1373" s="55"/>
      <c r="V1373" s="55"/>
      <c r="W1373" s="48"/>
      <c r="X1373" s="50"/>
      <c r="Y1373" s="50"/>
      <c r="Z1373" s="48" t="n">
        <f aca="false">IF(A1373="","",IF(AND(Parameter!$B$21="Ja",ISNUMBER(W1373)),W1373,IF(CC1373="2+3",IF(ISNUMBER(SEARCH("grosser Artikel",BU1373)),2,IFERROR(VLOOKUP(BX1373,Parameter!$F$35:$G$64,2,0),2)),IF(OR(CC1373="Nein",CC1373=""),"-",CC1373))))</f>
        <v>3</v>
      </c>
      <c r="AA1373" s="55"/>
      <c r="AB1373" s="56"/>
      <c r="AC1373" s="50" t="n">
        <f aca="false">AV1373</f>
        <v>5</v>
      </c>
      <c r="AD1373" s="50" t="n">
        <f aca="false">MAX(AV1373,H1373)</f>
        <v>5</v>
      </c>
      <c r="AE1373" s="57"/>
      <c r="AF1373" s="50" t="n">
        <f aca="false">IF(LEFT(Cockpit!$C$5,1)="A",H1373,IF(Parameter!$E$30="MAX-Bestand",IF(CH1373=1,CI1373,IF(LEFT(Cockpit!$C$5,1)="B",AL1373,MAX(AL1373,H1373))),ROUNDUP(AJ1373,0)))</f>
        <v>1</v>
      </c>
      <c r="AG1373" s="50" t="n">
        <f aca="false">IF(BZ1373=1,0,ROUNDUP(AF1373/BY1373,0))</f>
        <v>1</v>
      </c>
      <c r="AH1373" s="52" t="n">
        <f aca="false">IF(CQ1373&gt;0,CQ1373*MAX(1,AF1373/X1373),IF(BZ1373=1,IF(AF1373&lt;=0,0,CD1373*MAX(1,IF(H1373&gt;0,AF1373/H1373,1))),IF(R1373&gt;0,AG1373/R1373,0))/MAX(0.1,N(Parameter!$M$21)))</f>
        <v>0.0192307692307692</v>
      </c>
      <c r="AI1373" s="50" t="n">
        <f aca="false">AH1373*CB1373</f>
        <v>2.98076923076923</v>
      </c>
      <c r="AJ1373" s="51" t="n">
        <f aca="false">IF(LEFT(Cockpit!$C$5,1)="A",H1373,IF(CH1373=1,(CK1373+CI1373)/2,IF(LEFT(Cockpit!$C$5,1)="B",(CK1373+AL1373)/2,MAX((CK1373+AL1373)/2,H1373))))</f>
        <v>1</v>
      </c>
      <c r="AK1373" s="50" t="n">
        <f aca="false">AJ1373*G1373</f>
        <v>208.24</v>
      </c>
      <c r="AL1373" s="50" t="n">
        <f aca="false">ROUNDUP(CK1373+MAX(CL1373,2*(J1373/IF(CG1373&gt;0,CG1373,MAX(0.1,N(Cockpit!$C$6)))-CK1373)),0)</f>
        <v>5</v>
      </c>
      <c r="AM1373" s="51" t="n">
        <f aca="false">IF(AI1373&gt;0,J1373/AI1373,-1)</f>
        <v>2.01290322580645</v>
      </c>
      <c r="AN1373" s="51" t="n">
        <f aca="false">IF(AND(OR(CF1373="L1",CF1373="L23",CF1373="LIFT"),AI1373&gt;0),SUMIFS($AI$7:$AI$1843,$CF$7:$CF$1843,CF1373,$AM$7:$AM$1843,"&gt;"&amp;AM1373)+SUMIFS($AI$7:$AI$1843,$CF$7:$CF$1843,CF1373,$AM$7:$AM$1843,AM1373,$BW$7:$BW$1843,"&lt;="&amp;BW1373),"")</f>
        <v>5831.0902014652</v>
      </c>
      <c r="AO1373" s="58" t="n">
        <f aca="false">IF(AN1373="",0,MAX(0,MIN(1,(IF(CF1373="L1",Parameter!$H$5,IF(CF1373="L23",Parameter!$H$6+Parameter!$H$7,Parameter!$H$5+Parameter!$H$6+Parameter!$H$7))-(AN1373-AI1373))/AI1373)))</f>
        <v>1</v>
      </c>
      <c r="AP1373" s="50" t="n">
        <f aca="false">IF(LEFT(Cockpit!$I$5,1)="A",H1373,IF(Parameter!$E$30="MAX-Bestand",IF(CH1373=1,CI1373,IF(LEFT(Cockpit!$I$5,1)="B",AV1373,MAX(AV1373,H1373))),ROUNDUP(AT1373,0)))</f>
        <v>3</v>
      </c>
      <c r="AQ1373" s="50" t="n">
        <f aca="false">IF(BZ1373=1,0,ROUNDUP(AP1373/BY1373,0))</f>
        <v>1</v>
      </c>
      <c r="AR1373" s="52" t="n">
        <f aca="false">IF(CQ1373&gt;0,CQ1373*MAX(1,AP1373/X1373),IF(BZ1373=1,IF(AP1373&lt;=0,0,CD1373*MAX(1,IF(H1373&gt;0,AP1373/H1373,1))),IF(R1373&gt;0,AQ1373/R1373,0))/MAX(0.1,N(Parameter!$M$21)))</f>
        <v>0.0192307692307692</v>
      </c>
      <c r="AS1373" s="50" t="n">
        <f aca="false">AR1373*CB1373</f>
        <v>2.98076923076923</v>
      </c>
      <c r="AT1373" s="51" t="n">
        <f aca="false">IF(LEFT(Cockpit!$I$5,1)="A",H1373,IF(CH1373=1,(CK1373+CI1373)/2,IF(LEFT(Cockpit!$I$5,1)="B",(CK1373+AV1373)/2,MAX((CK1373+AV1373)/2,H1373))))</f>
        <v>2.5</v>
      </c>
      <c r="AU1373" s="50" t="n">
        <f aca="false">AT1373*G1373</f>
        <v>520.6</v>
      </c>
      <c r="AV1373" s="50" t="n">
        <f aca="false">ROUNDUP(CK1373+MAX(CL1373,2*(J1373/IF(CG1373&gt;0,CG1373,MAX(0.1,N(Cockpit!$I$6)))-CK1373)),0)</f>
        <v>5</v>
      </c>
      <c r="AW1373" s="51" t="n">
        <f aca="false">IF(AS1373&gt;0,J1373/AS1373,-1)</f>
        <v>2.01290322580645</v>
      </c>
      <c r="AX1373" s="51" t="n">
        <f aca="false">IF(AND(OR(CF1373="L1",CF1373="L23",CF1373="LIFT"),AS1373&gt;0),SUMIFS($AS$7:$AS$1843,$CF$7:$CF$1843,CF1373,$AW$7:$AW$1843,"&gt;"&amp;AW1373)+SUMIFS($AS$7:$AS$1843,$CF$7:$CF$1843,CF1373,$AW$7:$AW$1843,AW1373,$BW$7:$BW$1843,"&lt;="&amp;BW1373),"")</f>
        <v>7199.02976190476</v>
      </c>
      <c r="AY1373" s="58" t="n">
        <f aca="false">IF(AX1373="",0,MAX(0,MIN(1,(IF(CF1373="L1",Parameter!$H$5,IF(CF1373="L23",Parameter!$H$6+Parameter!$H$7,Parameter!$H$5+Parameter!$H$6+Parameter!$H$7))-(AX1373-AS1373))/AS1373)))</f>
        <v>1</v>
      </c>
      <c r="AZ1373" s="50" t="n">
        <f aca="false">IF(LEFT(Cockpit!$O$5,1)="A",H1373,IF(Parameter!$E$30="MAX-Bestand",IF(CH1373=1,CI1373,IF(LEFT(Cockpit!$O$5,1)="B",BF1373,MAX(BF1373,H1373))),ROUNDUP(BD1373,0)))</f>
        <v>3</v>
      </c>
      <c r="BA1373" s="50" t="n">
        <f aca="false">IF(BZ1373=1,0,ROUNDUP(AZ1373/BY1373,0))</f>
        <v>1</v>
      </c>
      <c r="BB1373" s="52" t="n">
        <f aca="false">IF(CQ1373&gt;0,CQ1373*MAX(1,AZ1373/X1373),IF(BZ1373=1,IF(AZ1373&lt;=0,0,CD1373*MAX(1,IF(H1373&gt;0,AZ1373/H1373,1))),IF(R1373&gt;0,BA1373/R1373,0))/MAX(0.1,N(Parameter!$M$21)))</f>
        <v>0.0192307692307692</v>
      </c>
      <c r="BC1373" s="50" t="n">
        <f aca="false">BB1373*CB1373</f>
        <v>2.98076923076923</v>
      </c>
      <c r="BD1373" s="51" t="n">
        <f aca="false">IF(LEFT(Cockpit!$O$5,1)="A",H1373,IF(CH1373=1,(CK1373+CI1373)/2,IF(LEFT(Cockpit!$O$5,1)="B",(CK1373+BF1373)/2,MAX((CK1373+BF1373)/2,H1373))))</f>
        <v>2.5</v>
      </c>
      <c r="BE1373" s="50" t="n">
        <f aca="false">BD1373*G1373</f>
        <v>520.6</v>
      </c>
      <c r="BF1373" s="50" t="n">
        <f aca="false">ROUNDUP(CK1373+MAX(CL1373,2*(J1373/IF(CG1373&gt;0,CG1373,MAX(0.1,N(Cockpit!$O$6)))-CK1373)),0)</f>
        <v>5</v>
      </c>
      <c r="BG1373" s="51" t="n">
        <f aca="false">IF(BC1373&gt;0,J1373/BC1373,-1)</f>
        <v>2.01290322580645</v>
      </c>
      <c r="BH1373" s="51" t="n">
        <f aca="false">IF(AND(OR(CF1373="L1",CF1373="L23",CF1373="LIFT"),BC1373&gt;0),SUMIFS($BC$7:$BC$1843,$CF$7:$CF$1843,CF1373,$BG$7:$BG$1843,"&gt;"&amp;BG1373)+SUMIFS($BC$7:$BC$1843,$CF$7:$CF$1843,CF1373,$BG$7:$BG$1843,BG1373,$BW$7:$BW$1843,"&lt;="&amp;BW1373),"")</f>
        <v>5896.39102564103</v>
      </c>
      <c r="BI1373" s="58" t="n">
        <f aca="false">IF(BH1373="",0,MAX(0,MIN(1,(IF(CF1373="L1",Parameter!$H$5,IF(CF1373="L23",Parameter!$H$6+Parameter!$H$7,Parameter!$H$5+Parameter!$H$6+Parameter!$H$7))-(BH1373-BC1373))/BC1373)))</f>
        <v>1</v>
      </c>
      <c r="BJ1373" s="48" t="str">
        <f aca="false">IF(AI1373&lt;=0,"",IF(CF1373="Aussen","Aussenlager",IF(CF1373="-","Nicht im Lift",IF(AO1373&gt;=1,"Lift",IF(AO1373&lt;=0,"Aussenlager","teilweise")))))</f>
        <v>Lift</v>
      </c>
      <c r="BK1373" s="48" t="str">
        <f aca="false">IF(AS1373&lt;=0,"",IF(CF1373="Aussen","Aussenlager",IF(CF1373="-","Nicht im Lift",IF(AY1373&gt;=1,"Lift",IF(AY1373&lt;=0,"Aussenlager","teilweise")))))</f>
        <v>Lift</v>
      </c>
      <c r="BL1373" s="48" t="str">
        <f aca="false">IF(BC1373&lt;=0,"",IF(CF1373="Aussen","Aussenlager",IF(CF1373="-","Nicht im Lift",IF(BI1373&gt;=1,"Lift",IF(BI1373&lt;=0,"Aussenlager","teilweise")))))</f>
        <v>Lift</v>
      </c>
      <c r="BM1373" s="48" t="str">
        <f aca="false">IF(A1373="","",IF(BV1373=1,"Neu; ","")&amp;IF(AND(BV1373=0,BQ1373&lt;0),"negativer Bestand (Export "&amp;BQ1373&amp;"); ","")&amp;IF(J1373&lt;=0,"Kein Verbrauch; ","")&amp;IF(CQ1373&gt;0,"Lift "&amp;W1373&amp;" lt. Liftbericht (Fach "&amp;X1373&amp;" Stk); ",IF(CA1373=1,"Gebinde geschätzt ("&amp;T1373&amp;"); ",IF(BZ1373=1,"Lose – Tablare geschätzt; ","")))&amp;IF(H1373&gt;AV1373,"Überbestand "&amp;ROUND(H1373-AV1373,0)&amp;" Stk / CHF "&amp;ROUND((H1373-AV1373)*G1373,0)&amp;"; ","")&amp;IF(AND(CH1373=1,CI1373&lt;CJ1373),"MAX &lt; MB+LG; ","")&amp;IF(AND(CP1373&gt;0,CO1373*10&gt;CP1373),"zu hoch für Tablar; ","")&amp;IF(AND(BV1373=0,OR(CH1373=1,AA1373&lt;&gt;"",U1373&lt;&gt;"",V1373&lt;&gt;"",AB1373&lt;&gt;"")),"manuell übersteuert; ","")&amp;IF(AND(BZ1373=0,R1373=0),"Gebinde unbekannt / Stellmass fehlt; ","")&amp;IF(AND(BZ1373=0,N(V1373)&lt;=0,N(Q1373)&lt;=0),"Menge pro Gebinde fehlt (Ist = 1 Gebinde); ","")&amp;BU1373)</f>
        <v>negativer Bestand (Export -13); </v>
      </c>
      <c r="BN1373" s="48"/>
      <c r="BO1373" s="48"/>
      <c r="BP1373" s="55"/>
      <c r="BQ1373" s="50" t="n">
        <v>-13</v>
      </c>
      <c r="BR1373" s="50" t="n">
        <v>14</v>
      </c>
      <c r="BS1373" s="49" t="n">
        <v>-2707.12</v>
      </c>
      <c r="BT1373" s="50" t="n">
        <v>6</v>
      </c>
      <c r="BU1373" s="48"/>
      <c r="BV1373" s="53" t="n">
        <v>0</v>
      </c>
      <c r="BW1373" s="53" t="n">
        <v>1373</v>
      </c>
      <c r="BX1373" s="48" t="str">
        <f aca="false">IF(U1373&lt;&gt;"",UPPER(TRIM(U1373)),IF(CA1373=1,UPPER(VLOOKUP(T1373,Parameter!$I$27:$K$29,2,0)),IF(P1373="","LOSE",P1373)))</f>
        <v>S33</v>
      </c>
      <c r="BY1373" s="50" t="n">
        <f aca="false">IF(BX1373="LOSE",1,IF(N(V1373)&gt;0,V1373,IF(CA1373=1,MAX(1,N(VLOOKUP(T1373,Parameter!$I$27:$K$29,3,0)),H1373,N(N1373)),IF(N(Q1373)&gt;0,Q1373,MAX(1,H1373)))))</f>
        <v>17</v>
      </c>
      <c r="BZ1373" s="53" t="n">
        <f aca="false">IF(BX1373="LOSE",1,0)</f>
        <v>0</v>
      </c>
      <c r="CA1373" s="53" t="n">
        <f aca="false">IF(AND(U1373="",OR(P1373="",P1373="LOSE"),T1373&lt;&gt;"",N(S1373)&lt;=0,ISNUMBER(MATCH(T1373,Parameter!$I$27:$I$29,0))),1,0)</f>
        <v>0</v>
      </c>
      <c r="CB1373" s="53" t="n">
        <f aca="false">IF(CQ1373&gt;0,INDEX(Parameter!$H$5:$H$7,W1373)/INDEX(Parameter!$E$5:$E$7,W1373),IF(AND(BZ1373=0,N(IFERROR(VLOOKUP(BX1373,'Gebinde-Kategorie'!$A$5:$N$45,14,0),0))&gt;0),VLOOKUP(BX1373,'Gebinde-Kategorie'!$A$5:$N$45,14,0)*10+Parameter!$M$23,Parameter!$M$24))</f>
        <v>155</v>
      </c>
      <c r="CC1373" s="48" t="str">
        <f aca="false">IF(AND(Parameter!$B$19="Ja",E1373&lt;&gt;"",ISNUMBER(MATCH(E1373,Parameter!$I$35:$I$52,0))),VLOOKUP(E1373,Parameter!$I$35:$J$52,2,0),IFERROR(VLOOKUP(D1373,Parameter!$A$35:$C$64,2,0),"Nein"))</f>
        <v>2+3</v>
      </c>
      <c r="CD1373" s="52" t="n">
        <f aca="false">IF(BZ1373=0,0,IF(N(S1373)&gt;0,S1373,IFERROR(VLOOKUP(D1373,Parameter!$A$35:$C$64,3,0)+0,0)))</f>
        <v>0</v>
      </c>
      <c r="CE1373" s="48" t="n">
        <f aca="false">IF(AA1373&lt;&gt;"",AA1373,Z1373)</f>
        <v>3</v>
      </c>
      <c r="CF1373" s="48" t="str">
        <f aca="false">IF(OR(CE1373=1,CE1373=2,CE1373=3),IF(Parameter!$E$27="Ja","LIFT",IF(CE1373=1,"L1","L23")),IF(CE1373="Aussen","Aussen","-"))</f>
        <v>LIFT</v>
      </c>
      <c r="CG1373" s="59" t="n">
        <f aca="false">IF(N(AB1373)&gt;0,AB1373,0)</f>
        <v>0</v>
      </c>
      <c r="CH1373" s="53" t="n">
        <f aca="false">IF(ISNUMBER(AE1373),1,0)</f>
        <v>0</v>
      </c>
      <c r="CI1373" s="50" t="n">
        <f aca="false">N(AE1373)</f>
        <v>0</v>
      </c>
      <c r="CJ1373" s="50" t="n">
        <f aca="false">N(M1373)+N(N1373)</f>
        <v>5</v>
      </c>
      <c r="CK1373" s="50" t="n">
        <f aca="false">N(M1373)</f>
        <v>0</v>
      </c>
      <c r="CL1373" s="50" t="n">
        <f aca="false">N(N1373)</f>
        <v>5</v>
      </c>
      <c r="CM1373" s="50" t="n">
        <f aca="false">ROUNDUP(H1373/BY1373,0)</f>
        <v>1</v>
      </c>
      <c r="CN1373" s="50" t="n">
        <f aca="false">ROUNDUP(CI1373/BY1373,0)</f>
        <v>0</v>
      </c>
      <c r="CO1373" s="53" t="n">
        <f aca="false">IF(BZ1373=1,0,IFERROR(VLOOKUP(BX1373,'Gebinde-Kategorie'!$A$5:$N$45,5,0)+0,0))</f>
        <v>8</v>
      </c>
      <c r="CP1373" s="53" t="n">
        <f aca="false">IFERROR(IF(OR(CE1373=1,CE1373=2,CE1373=3),N(INDEX(Parameter!$I$5:$I$7,CE1373)),0),0)</f>
        <v>0</v>
      </c>
      <c r="CQ1373" s="52" t="n">
        <f aca="false">IF(AND(Parameter!$B$21="Ja",ISNUMBER(W1373),N(X1373)&gt;0),IFERROR(N(INDEX(Parameter!$L$5:$L$7,W1373))*INDEX(Parameter!$E$5:$E$7,W1373)*X1373/SUMIFS($X$7:$X$1843,$W$7:$W$1843,W1373),0),0)</f>
        <v>0</v>
      </c>
    </row>
    <row r="1374" customFormat="false" ht="15" hidden="false" customHeight="false" outlineLevel="0" collapsed="false">
      <c r="A1374" s="48" t="s">
        <v>2430</v>
      </c>
      <c r="B1374" s="48" t="s">
        <v>2431</v>
      </c>
      <c r="C1374" s="48" t="s">
        <v>173</v>
      </c>
      <c r="D1374" s="48" t="s">
        <v>182</v>
      </c>
      <c r="E1374" s="48" t="s">
        <v>175</v>
      </c>
      <c r="F1374" s="48" t="s">
        <v>227</v>
      </c>
      <c r="G1374" s="49" t="n">
        <v>1780.49</v>
      </c>
      <c r="H1374" s="50" t="n">
        <f aca="false">MAX(0,IF(AND(Parameter!$B$21="Ja",ISNUMBER(Y1374)),Y1374,IF(Parameter!$B$20="Jahresanfang 2025 + Export",BR1374+BQ1374,BQ1374)))</f>
        <v>10</v>
      </c>
      <c r="I1374" s="50" t="n">
        <f aca="false">H1374*G1374</f>
        <v>17804.9</v>
      </c>
      <c r="J1374" s="50" t="n">
        <f aca="false">BT1374*Parameter!$B$18</f>
        <v>87</v>
      </c>
      <c r="K1374" s="51" t="n">
        <v>11</v>
      </c>
      <c r="L1374" s="52" t="n">
        <v>7.90909090909091</v>
      </c>
      <c r="M1374" s="50" t="n">
        <v>5</v>
      </c>
      <c r="N1374" s="50" t="n">
        <v>15</v>
      </c>
      <c r="O1374" s="53" t="n">
        <v>21</v>
      </c>
      <c r="P1374" s="48" t="s">
        <v>183</v>
      </c>
      <c r="Q1374" s="50" t="n">
        <v>8</v>
      </c>
      <c r="R1374" s="53" t="n">
        <f aca="false">IF(BZ1374=1,0,IFERROR(VLOOKUP(BX1374,'Gebinde-Kategorie'!$A$5:$N$45,13,0)+0,0))</f>
        <v>6</v>
      </c>
      <c r="S1374" s="54"/>
      <c r="T1374" s="55"/>
      <c r="U1374" s="55"/>
      <c r="V1374" s="55"/>
      <c r="W1374" s="48"/>
      <c r="X1374" s="50"/>
      <c r="Y1374" s="50"/>
      <c r="Z1374" s="48" t="n">
        <f aca="false">IF(A1374="","",IF(AND(Parameter!$B$21="Ja",ISNUMBER(W1374)),W1374,IF(CC1374="2+3",IF(ISNUMBER(SEARCH("grosser Artikel",BU1374)),2,IFERROR(VLOOKUP(BX1374,Parameter!$F$35:$G$64,2,0),2)),IF(OR(CC1374="Nein",CC1374=""),"-",CC1374))))</f>
        <v>1</v>
      </c>
      <c r="AA1374" s="55"/>
      <c r="AB1374" s="56"/>
      <c r="AC1374" s="50" t="n">
        <f aca="false">AV1374</f>
        <v>53</v>
      </c>
      <c r="AD1374" s="50" t="n">
        <f aca="false">MAX(AV1374,H1374)</f>
        <v>53</v>
      </c>
      <c r="AE1374" s="57"/>
      <c r="AF1374" s="50" t="n">
        <f aca="false">IF(LEFT(Cockpit!$C$5,1)="A",H1374,IF(Parameter!$E$30="MAX-Bestand",IF(CH1374=1,CI1374,IF(LEFT(Cockpit!$C$5,1)="B",AL1374,MAX(AL1374,H1374))),ROUNDUP(AJ1374,0)))</f>
        <v>10</v>
      </c>
      <c r="AG1374" s="50" t="n">
        <f aca="false">IF(BZ1374=1,0,ROUNDUP(AF1374/BY1374,0))</f>
        <v>2</v>
      </c>
      <c r="AH1374" s="52" t="n">
        <f aca="false">IF(CQ1374&gt;0,CQ1374*MAX(1,AF1374/X1374),IF(BZ1374=1,IF(AF1374&lt;=0,0,CD1374*MAX(1,IF(H1374&gt;0,AF1374/H1374,1))),IF(R1374&gt;0,AG1374/R1374,0))/MAX(0.1,N(Parameter!$M$21)))</f>
        <v>0.333333333333333</v>
      </c>
      <c r="AI1374" s="50" t="n">
        <f aca="false">AH1374*CB1374</f>
        <v>78.3333333333333</v>
      </c>
      <c r="AJ1374" s="51" t="n">
        <f aca="false">IF(LEFT(Cockpit!$C$5,1)="A",H1374,IF(CH1374=1,(CK1374+CI1374)/2,IF(LEFT(Cockpit!$C$5,1)="B",(CK1374+AL1374)/2,MAX((CK1374+AL1374)/2,H1374))))</f>
        <v>10</v>
      </c>
      <c r="AK1374" s="50" t="n">
        <f aca="false">AJ1374*G1374</f>
        <v>17804.9</v>
      </c>
      <c r="AL1374" s="50" t="n">
        <f aca="false">ROUNDUP(CK1374+MAX(CL1374,2*(J1374/IF(CG1374&gt;0,CG1374,MAX(0.1,N(Cockpit!$C$6)))-CK1374)),0)</f>
        <v>53</v>
      </c>
      <c r="AM1374" s="51" t="n">
        <f aca="false">IF(AI1374&gt;0,J1374/AI1374,-1)</f>
        <v>1.11063829787234</v>
      </c>
      <c r="AN1374" s="51" t="n">
        <f aca="false">IF(AND(OR(CF1374="L1",CF1374="L23",CF1374="LIFT"),AI1374&gt;0),SUMIFS($AI$7:$AI$1843,$CF$7:$CF$1843,CF1374,$AM$7:$AM$1843,"&gt;"&amp;AM1374)+SUMIFS($AI$7:$AI$1843,$CF$7:$CF$1843,CF1374,$AM$7:$AM$1843,AM1374,$BW$7:$BW$1843,"&lt;="&amp;BW1374),"")</f>
        <v>6842.04532967033</v>
      </c>
      <c r="AO1374" s="58" t="n">
        <f aca="false">IF(AN1374="",0,MAX(0,MIN(1,(IF(CF1374="L1",Parameter!$H$5,IF(CF1374="L23",Parameter!$H$6+Parameter!$H$7,Parameter!$H$5+Parameter!$H$6+Parameter!$H$7))-(AN1374-AI1374))/AI1374)))</f>
        <v>1</v>
      </c>
      <c r="AP1374" s="50" t="n">
        <f aca="false">IF(LEFT(Cockpit!$I$5,1)="A",H1374,IF(Parameter!$E$30="MAX-Bestand",IF(CH1374=1,CI1374,IF(LEFT(Cockpit!$I$5,1)="B",AV1374,MAX(AV1374,H1374))),ROUNDUP(AT1374,0)))</f>
        <v>29</v>
      </c>
      <c r="AQ1374" s="50" t="n">
        <f aca="false">IF(BZ1374=1,0,ROUNDUP(AP1374/BY1374,0))</f>
        <v>4</v>
      </c>
      <c r="AR1374" s="52" t="n">
        <f aca="false">IF(CQ1374&gt;0,CQ1374*MAX(1,AP1374/X1374),IF(BZ1374=1,IF(AP1374&lt;=0,0,CD1374*MAX(1,IF(H1374&gt;0,AP1374/H1374,1))),IF(R1374&gt;0,AQ1374/R1374,0))/MAX(0.1,N(Parameter!$M$21)))</f>
        <v>0.666666666666667</v>
      </c>
      <c r="AS1374" s="50" t="n">
        <f aca="false">AR1374*CB1374</f>
        <v>156.666666666667</v>
      </c>
      <c r="AT1374" s="51" t="n">
        <f aca="false">IF(LEFT(Cockpit!$I$5,1)="A",H1374,IF(CH1374=1,(CK1374+CI1374)/2,IF(LEFT(Cockpit!$I$5,1)="B",(CK1374+AV1374)/2,MAX((CK1374+AV1374)/2,H1374))))</f>
        <v>29</v>
      </c>
      <c r="AU1374" s="50" t="n">
        <f aca="false">AT1374*G1374</f>
        <v>51634.21</v>
      </c>
      <c r="AV1374" s="50" t="n">
        <f aca="false">ROUNDUP(CK1374+MAX(CL1374,2*(J1374/IF(CG1374&gt;0,CG1374,MAX(0.1,N(Cockpit!$I$6)))-CK1374)),0)</f>
        <v>53</v>
      </c>
      <c r="AW1374" s="51" t="n">
        <f aca="false">IF(AS1374&gt;0,J1374/AS1374,-1)</f>
        <v>0.55531914893617</v>
      </c>
      <c r="AX1374" s="51" t="n">
        <f aca="false">IF(AND(OR(CF1374="L1",CF1374="L23",CF1374="LIFT"),AS1374&gt;0),SUMIFS($AS$7:$AS$1843,$CF$7:$CF$1843,CF1374,$AW$7:$AW$1843,"&gt;"&amp;AW1374)+SUMIFS($AS$7:$AS$1843,$CF$7:$CF$1843,CF1374,$AW$7:$AW$1843,AW1374,$BW$7:$BW$1843,"&lt;="&amp;BW1374),"")</f>
        <v>11702.1227106227</v>
      </c>
      <c r="AY1374" s="58" t="n">
        <f aca="false">IF(AX1374="",0,MAX(0,MIN(1,(IF(CF1374="L1",Parameter!$H$5,IF(CF1374="L23",Parameter!$H$6+Parameter!$H$7,Parameter!$H$5+Parameter!$H$6+Parameter!$H$7))-(AX1374-AS1374))/AS1374)))</f>
        <v>1</v>
      </c>
      <c r="AZ1374" s="50" t="n">
        <f aca="false">IF(LEFT(Cockpit!$O$5,1)="A",H1374,IF(Parameter!$E$30="MAX-Bestand",IF(CH1374=1,CI1374,IF(LEFT(Cockpit!$O$5,1)="B",BF1374,MAX(BF1374,H1374))),ROUNDUP(BD1374,0)))</f>
        <v>22</v>
      </c>
      <c r="BA1374" s="50" t="n">
        <f aca="false">IF(BZ1374=1,0,ROUNDUP(AZ1374/BY1374,0))</f>
        <v>3</v>
      </c>
      <c r="BB1374" s="52" t="n">
        <f aca="false">IF(CQ1374&gt;0,CQ1374*MAX(1,AZ1374/X1374),IF(BZ1374=1,IF(AZ1374&lt;=0,0,CD1374*MAX(1,IF(H1374&gt;0,AZ1374/H1374,1))),IF(R1374&gt;0,BA1374/R1374,0))/MAX(0.1,N(Parameter!$M$21)))</f>
        <v>0.5</v>
      </c>
      <c r="BC1374" s="50" t="n">
        <f aca="false">BB1374*CB1374</f>
        <v>117.5</v>
      </c>
      <c r="BD1374" s="51" t="n">
        <f aca="false">IF(LEFT(Cockpit!$O$5,1)="A",H1374,IF(CH1374=1,(CK1374+CI1374)/2,IF(LEFT(Cockpit!$O$5,1)="B",(CK1374+BF1374)/2,MAX((CK1374+BF1374)/2,H1374))))</f>
        <v>22</v>
      </c>
      <c r="BE1374" s="50" t="n">
        <f aca="false">BD1374*G1374</f>
        <v>39170.78</v>
      </c>
      <c r="BF1374" s="50" t="n">
        <f aca="false">ROUNDUP(CK1374+MAX(CL1374,2*(J1374/IF(CG1374&gt;0,CG1374,MAX(0.1,N(Cockpit!$O$6)))-CK1374)),0)</f>
        <v>39</v>
      </c>
      <c r="BG1374" s="51" t="n">
        <f aca="false">IF(BC1374&gt;0,J1374/BC1374,-1)</f>
        <v>0.740425531914894</v>
      </c>
      <c r="BH1374" s="51" t="n">
        <f aca="false">IF(AND(OR(CF1374="L1",CF1374="L23",CF1374="LIFT"),BC1374&gt;0),SUMIFS($BC$7:$BC$1843,$CF$7:$CF$1843,CF1374,$BG$7:$BG$1843,"&gt;"&amp;BG1374)+SUMIFS($BC$7:$BC$1843,$CF$7:$CF$1843,CF1374,$BG$7:$BG$1843,BG1374,$BW$7:$BW$1843,"&lt;="&amp;BW1374),"")</f>
        <v>9238.87225274725</v>
      </c>
      <c r="BI1374" s="58" t="n">
        <f aca="false">IF(BH1374="",0,MAX(0,MIN(1,(IF(CF1374="L1",Parameter!$H$5,IF(CF1374="L23",Parameter!$H$6+Parameter!$H$7,Parameter!$H$5+Parameter!$H$6+Parameter!$H$7))-(BH1374-BC1374))/BC1374)))</f>
        <v>1</v>
      </c>
      <c r="BJ1374" s="48" t="str">
        <f aca="false">IF(AI1374&lt;=0,"",IF(CF1374="Aussen","Aussenlager",IF(CF1374="-","Nicht im Lift",IF(AO1374&gt;=1,"Lift",IF(AO1374&lt;=0,"Aussenlager","teilweise")))))</f>
        <v>Lift</v>
      </c>
      <c r="BK1374" s="48" t="str">
        <f aca="false">IF(AS1374&lt;=0,"",IF(CF1374="Aussen","Aussenlager",IF(CF1374="-","Nicht im Lift",IF(AY1374&gt;=1,"Lift",IF(AY1374&lt;=0,"Aussenlager","teilweise")))))</f>
        <v>Lift</v>
      </c>
      <c r="BL1374" s="48" t="str">
        <f aca="false">IF(BC1374&lt;=0,"",IF(CF1374="Aussen","Aussenlager",IF(CF1374="-","Nicht im Lift",IF(BI1374&gt;=1,"Lift",IF(BI1374&lt;=0,"Aussenlager","teilweise")))))</f>
        <v>Lift</v>
      </c>
      <c r="BM1374" s="48" t="str">
        <f aca="false">IF(A1374="","",IF(BV1374=1,"Neu; ","")&amp;IF(AND(BV1374=0,BQ1374&lt;0),"negativer Bestand (Export "&amp;BQ1374&amp;"); ","")&amp;IF(J1374&lt;=0,"Kein Verbrauch; ","")&amp;IF(CQ1374&gt;0,"Lift "&amp;W1374&amp;" lt. Liftbericht (Fach "&amp;X1374&amp;" Stk); ",IF(CA1374=1,"Gebinde geschätzt ("&amp;T1374&amp;"); ",IF(BZ1374=1,"Lose – Tablare geschätzt; ","")))&amp;IF(H1374&gt;AV1374,"Überbestand "&amp;ROUND(H1374-AV1374,0)&amp;" Stk / CHF "&amp;ROUND((H1374-AV1374)*G1374,0)&amp;"; ","")&amp;IF(AND(CH1374=1,CI1374&lt;CJ1374),"MAX &lt; MB+LG; ","")&amp;IF(AND(CP1374&gt;0,CO1374*10&gt;CP1374),"zu hoch für Tablar; ","")&amp;IF(AND(BV1374=0,OR(CH1374=1,AA1374&lt;&gt;"",U1374&lt;&gt;"",V1374&lt;&gt;"",AB1374&lt;&gt;"")),"manuell übersteuert; ","")&amp;IF(AND(BZ1374=0,R1374=0),"Gebinde unbekannt / Stellmass fehlt; ","")&amp;IF(AND(BZ1374=0,N(V1374)&lt;=0,N(Q1374)&lt;=0),"Menge pro Gebinde fehlt (Ist = 1 Gebinde); ","")&amp;BU1374)</f>
        <v/>
      </c>
      <c r="BN1374" s="48"/>
      <c r="BO1374" s="48"/>
      <c r="BP1374" s="55"/>
      <c r="BQ1374" s="50" t="n">
        <v>0</v>
      </c>
      <c r="BR1374" s="50" t="n">
        <v>10</v>
      </c>
      <c r="BS1374" s="49" t="n">
        <v>-2746.34999999998</v>
      </c>
      <c r="BT1374" s="50" t="n">
        <v>87</v>
      </c>
      <c r="BU1374" s="48"/>
      <c r="BV1374" s="53" t="n">
        <v>0</v>
      </c>
      <c r="BW1374" s="53" t="n">
        <v>1374</v>
      </c>
      <c r="BX1374" s="48" t="str">
        <f aca="false">IF(U1374&lt;&gt;"",UPPER(TRIM(U1374)),IF(CA1374=1,UPPER(VLOOKUP(T1374,Parameter!$I$27:$K$29,2,0)),IF(P1374="","LOSE",P1374)))</f>
        <v>S71</v>
      </c>
      <c r="BY1374" s="50" t="n">
        <f aca="false">IF(BX1374="LOSE",1,IF(N(V1374)&gt;0,V1374,IF(CA1374=1,MAX(1,N(VLOOKUP(T1374,Parameter!$I$27:$K$29,3,0)),H1374,N(N1374)),IF(N(Q1374)&gt;0,Q1374,MAX(1,H1374)))))</f>
        <v>8</v>
      </c>
      <c r="BZ1374" s="53" t="n">
        <f aca="false">IF(BX1374="LOSE",1,0)</f>
        <v>0</v>
      </c>
      <c r="CA1374" s="53" t="n">
        <f aca="false">IF(AND(U1374="",OR(P1374="",P1374="LOSE"),T1374&lt;&gt;"",N(S1374)&lt;=0,ISNUMBER(MATCH(T1374,Parameter!$I$27:$I$29,0))),1,0)</f>
        <v>0</v>
      </c>
      <c r="CB1374" s="53" t="n">
        <f aca="false">IF(CQ1374&gt;0,INDEX(Parameter!$H$5:$H$7,W1374)/INDEX(Parameter!$E$5:$E$7,W1374),IF(AND(BZ1374=0,N(IFERROR(VLOOKUP(BX1374,'Gebinde-Kategorie'!$A$5:$N$45,14,0),0))&gt;0),VLOOKUP(BX1374,'Gebinde-Kategorie'!$A$5:$N$45,14,0)*10+Parameter!$M$23,Parameter!$M$24))</f>
        <v>235</v>
      </c>
      <c r="CC1374" s="48" t="n">
        <f aca="false">IF(AND(Parameter!$B$19="Ja",E1374&lt;&gt;"",ISNUMBER(MATCH(E1374,Parameter!$I$35:$I$52,0))),VLOOKUP(E1374,Parameter!$I$35:$J$52,2,0),IFERROR(VLOOKUP(D1374,Parameter!$A$35:$C$64,2,0),"Nein"))</f>
        <v>1</v>
      </c>
      <c r="CD1374" s="52" t="n">
        <f aca="false">IF(BZ1374=0,0,IF(N(S1374)&gt;0,S1374,IFERROR(VLOOKUP(D1374,Parameter!$A$35:$C$64,3,0)+0,0)))</f>
        <v>0</v>
      </c>
      <c r="CE1374" s="48" t="n">
        <f aca="false">IF(AA1374&lt;&gt;"",AA1374,Z1374)</f>
        <v>1</v>
      </c>
      <c r="CF1374" s="48" t="str">
        <f aca="false">IF(OR(CE1374=1,CE1374=2,CE1374=3),IF(Parameter!$E$27="Ja","LIFT",IF(CE1374=1,"L1","L23")),IF(CE1374="Aussen","Aussen","-"))</f>
        <v>LIFT</v>
      </c>
      <c r="CG1374" s="59" t="n">
        <f aca="false">IF(N(AB1374)&gt;0,AB1374,0)</f>
        <v>0</v>
      </c>
      <c r="CH1374" s="53" t="n">
        <f aca="false">IF(ISNUMBER(AE1374),1,0)</f>
        <v>0</v>
      </c>
      <c r="CI1374" s="50" t="n">
        <f aca="false">N(AE1374)</f>
        <v>0</v>
      </c>
      <c r="CJ1374" s="50" t="n">
        <f aca="false">N(M1374)+N(N1374)</f>
        <v>20</v>
      </c>
      <c r="CK1374" s="50" t="n">
        <f aca="false">N(M1374)</f>
        <v>5</v>
      </c>
      <c r="CL1374" s="50" t="n">
        <f aca="false">N(N1374)</f>
        <v>15</v>
      </c>
      <c r="CM1374" s="50" t="n">
        <f aca="false">ROUNDUP(H1374/BY1374,0)</f>
        <v>2</v>
      </c>
      <c r="CN1374" s="50" t="n">
        <f aca="false">ROUNDUP(CI1374/BY1374,0)</f>
        <v>0</v>
      </c>
      <c r="CO1374" s="53" t="n">
        <f aca="false">IF(BZ1374=1,0,IFERROR(VLOOKUP(BX1374,'Gebinde-Kategorie'!$A$5:$N$45,5,0)+0,0))</f>
        <v>20</v>
      </c>
      <c r="CP1374" s="53" t="n">
        <f aca="false">IFERROR(IF(OR(CE1374=1,CE1374=2,CE1374=3),N(INDEX(Parameter!$I$5:$I$7,CE1374)),0),0)</f>
        <v>0</v>
      </c>
      <c r="CQ1374" s="52" t="n">
        <f aca="false">IF(AND(Parameter!$B$21="Ja",ISNUMBER(W1374),N(X1374)&gt;0),IFERROR(N(INDEX(Parameter!$L$5:$L$7,W1374))*INDEX(Parameter!$E$5:$E$7,W1374)*X1374/SUMIFS($X$7:$X$1843,$W$7:$W$1843,W1374),0),0)</f>
        <v>0</v>
      </c>
    </row>
    <row r="1375" customFormat="false" ht="15" hidden="false" customHeight="false" outlineLevel="0" collapsed="false">
      <c r="A1375" s="48" t="s">
        <v>2432</v>
      </c>
      <c r="B1375" s="48" t="s">
        <v>2433</v>
      </c>
      <c r="C1375" s="48" t="s">
        <v>173</v>
      </c>
      <c r="D1375" s="48" t="s">
        <v>174</v>
      </c>
      <c r="E1375" s="48"/>
      <c r="F1375" s="48" t="s">
        <v>227</v>
      </c>
      <c r="G1375" s="49" t="n">
        <v>1385.5</v>
      </c>
      <c r="H1375" s="50" t="n">
        <f aca="false">MAX(0,IF(AND(Parameter!$B$21="Ja",ISNUMBER(Y1375)),Y1375,IF(Parameter!$B$20="Jahresanfang 2025 + Export",BR1375+BQ1375,BQ1375)))</f>
        <v>1</v>
      </c>
      <c r="I1375" s="50" t="n">
        <f aca="false">H1375*G1375</f>
        <v>1385.5</v>
      </c>
      <c r="J1375" s="50" t="n">
        <f aca="false">BT1375*Parameter!$B$18</f>
        <v>1</v>
      </c>
      <c r="K1375" s="51" t="n">
        <v>2.5</v>
      </c>
      <c r="L1375" s="52" t="n">
        <v>0.4</v>
      </c>
      <c r="M1375" s="50" t="n">
        <v>0</v>
      </c>
      <c r="N1375" s="50" t="n">
        <v>1</v>
      </c>
      <c r="O1375" s="53" t="n">
        <v>14</v>
      </c>
      <c r="P1375" s="48" t="s">
        <v>177</v>
      </c>
      <c r="Q1375" s="50"/>
      <c r="R1375" s="53" t="n">
        <f aca="false">IF(BZ1375=1,0,IFERROR(VLOOKUP(BX1375,'Gebinde-Kategorie'!$A$5:$N$45,13,0)+0,0))</f>
        <v>0</v>
      </c>
      <c r="S1375" s="54"/>
      <c r="T1375" s="55"/>
      <c r="U1375" s="55"/>
      <c r="V1375" s="55"/>
      <c r="W1375" s="48" t="n">
        <v>1</v>
      </c>
      <c r="X1375" s="50" t="n">
        <v>2</v>
      </c>
      <c r="Y1375" s="50" t="n">
        <v>1</v>
      </c>
      <c r="Z1375" s="48" t="n">
        <f aca="false">IF(A1375="","",IF(AND(Parameter!$B$21="Ja",ISNUMBER(W1375)),W1375,IF(CC1375="2+3",IF(ISNUMBER(SEARCH("grosser Artikel",BU1375)),2,IFERROR(VLOOKUP(BX1375,Parameter!$F$35:$G$64,2,0),2)),IF(OR(CC1375="Nein",CC1375=""),"-",CC1375))))</f>
        <v>1</v>
      </c>
      <c r="AA1375" s="55"/>
      <c r="AB1375" s="56"/>
      <c r="AC1375" s="50" t="n">
        <f aca="false">AV1375</f>
        <v>1</v>
      </c>
      <c r="AD1375" s="50" t="n">
        <f aca="false">MAX(AV1375,H1375)</f>
        <v>1</v>
      </c>
      <c r="AE1375" s="57"/>
      <c r="AF1375" s="50" t="n">
        <f aca="false">IF(LEFT(Cockpit!$C$5,1)="A",H1375,IF(Parameter!$E$30="MAX-Bestand",IF(CH1375=1,CI1375,IF(LEFT(Cockpit!$C$5,1)="B",AL1375,MAX(AL1375,H1375))),ROUNDUP(AJ1375,0)))</f>
        <v>1</v>
      </c>
      <c r="AG1375" s="50" t="n">
        <f aca="false">IF(BZ1375=1,0,ROUNDUP(AF1375/BY1375,0))</f>
        <v>0</v>
      </c>
      <c r="AH1375" s="52" t="n">
        <f aca="false">IF(CQ1375&gt;0,CQ1375*MAX(1,AF1375/X1375),IF(BZ1375=1,IF(AF1375&lt;=0,0,CD1375*MAX(1,IF(H1375&gt;0,AF1375/H1375,1))),IF(R1375&gt;0,AG1375/R1375,0))/MAX(0.1,N(Parameter!$M$21)))</f>
        <v>0.160075329566855</v>
      </c>
      <c r="AI1375" s="50" t="n">
        <f aca="false">AH1375*CB1375</f>
        <v>38.0979284369115</v>
      </c>
      <c r="AJ1375" s="51" t="n">
        <f aca="false">IF(LEFT(Cockpit!$C$5,1)="A",H1375,IF(CH1375=1,(CK1375+CI1375)/2,IF(LEFT(Cockpit!$C$5,1)="B",(CK1375+AL1375)/2,MAX((CK1375+AL1375)/2,H1375))))</f>
        <v>1</v>
      </c>
      <c r="AK1375" s="50" t="n">
        <f aca="false">AJ1375*G1375</f>
        <v>1385.5</v>
      </c>
      <c r="AL1375" s="50" t="n">
        <f aca="false">ROUNDUP(CK1375+MAX(CL1375,2*(J1375/IF(CG1375&gt;0,CG1375,MAX(0.1,N(Cockpit!$C$6)))-CK1375)),0)</f>
        <v>1</v>
      </c>
      <c r="AM1375" s="51" t="n">
        <f aca="false">IF(AI1375&gt;0,J1375/AI1375,-1)</f>
        <v>0.0262481463173505</v>
      </c>
      <c r="AN1375" s="51" t="n">
        <f aca="false">IF(AND(OR(CF1375="L1",CF1375="L23",CF1375="LIFT"),AI1375&gt;0),SUMIFS($AI$7:$AI$1843,$CF$7:$CF$1843,CF1375,$AM$7:$AM$1843,"&gt;"&amp;AM1375)+SUMIFS($AI$7:$AI$1843,$CF$7:$CF$1843,CF1375,$AM$7:$AM$1843,AM1375,$BW$7:$BW$1843,"&lt;="&amp;BW1375),"")</f>
        <v>21729.6104048964</v>
      </c>
      <c r="AO1375" s="58" t="n">
        <f aca="false">IF(AN1375="",0,MAX(0,MIN(1,(IF(CF1375="L1",Parameter!$H$5,IF(CF1375="L23",Parameter!$H$6+Parameter!$H$7,Parameter!$H$5+Parameter!$H$6+Parameter!$H$7))-(AN1375-AI1375))/AI1375)))</f>
        <v>1</v>
      </c>
      <c r="AP1375" s="50" t="n">
        <f aca="false">IF(LEFT(Cockpit!$I$5,1)="A",H1375,IF(Parameter!$E$30="MAX-Bestand",IF(CH1375=1,CI1375,IF(LEFT(Cockpit!$I$5,1)="B",AV1375,MAX(AV1375,H1375))),ROUNDUP(AT1375,0)))</f>
        <v>1</v>
      </c>
      <c r="AQ1375" s="50" t="n">
        <f aca="false">IF(BZ1375=1,0,ROUNDUP(AP1375/BY1375,0))</f>
        <v>0</v>
      </c>
      <c r="AR1375" s="52" t="n">
        <f aca="false">IF(CQ1375&gt;0,CQ1375*MAX(1,AP1375/X1375),IF(BZ1375=1,IF(AP1375&lt;=0,0,CD1375*MAX(1,IF(H1375&gt;0,AP1375/H1375,1))),IF(R1375&gt;0,AQ1375/R1375,0))/MAX(0.1,N(Parameter!$M$21)))</f>
        <v>0.160075329566855</v>
      </c>
      <c r="AS1375" s="50" t="n">
        <f aca="false">AR1375*CB1375</f>
        <v>38.0979284369115</v>
      </c>
      <c r="AT1375" s="51" t="n">
        <f aca="false">IF(LEFT(Cockpit!$I$5,1)="A",H1375,IF(CH1375=1,(CK1375+CI1375)/2,IF(LEFT(Cockpit!$I$5,1)="B",(CK1375+AV1375)/2,MAX((CK1375+AV1375)/2,H1375))))</f>
        <v>1</v>
      </c>
      <c r="AU1375" s="50" t="n">
        <f aca="false">AT1375*G1375</f>
        <v>1385.5</v>
      </c>
      <c r="AV1375" s="50" t="n">
        <f aca="false">ROUNDUP(CK1375+MAX(CL1375,2*(J1375/IF(CG1375&gt;0,CG1375,MAX(0.1,N(Cockpit!$I$6)))-CK1375)),0)</f>
        <v>1</v>
      </c>
      <c r="AW1375" s="51" t="n">
        <f aca="false">IF(AS1375&gt;0,J1375/AS1375,-1)</f>
        <v>0.0262481463173505</v>
      </c>
      <c r="AX1375" s="51" t="n">
        <f aca="false">IF(AND(OR(CF1375="L1",CF1375="L23",CF1375="LIFT"),AS1375&gt;0),SUMIFS($AS$7:$AS$1843,$CF$7:$CF$1843,CF1375,$AW$7:$AW$1843,"&gt;"&amp;AW1375)+SUMIFS($AS$7:$AS$1843,$CF$7:$CF$1843,CF1375,$AW$7:$AW$1843,AW1375,$BW$7:$BW$1843,"&lt;="&amp;BW1375),"")</f>
        <v>26847.7590462739</v>
      </c>
      <c r="AY1375" s="58" t="n">
        <f aca="false">IF(AX1375="",0,MAX(0,MIN(1,(IF(CF1375="L1",Parameter!$H$5,IF(CF1375="L23",Parameter!$H$6+Parameter!$H$7,Parameter!$H$5+Parameter!$H$6+Parameter!$H$7))-(AX1375-AS1375))/AS1375)))</f>
        <v>1</v>
      </c>
      <c r="AZ1375" s="50" t="n">
        <f aca="false">IF(LEFT(Cockpit!$O$5,1)="A",H1375,IF(Parameter!$E$30="MAX-Bestand",IF(CH1375=1,CI1375,IF(LEFT(Cockpit!$O$5,1)="B",BF1375,MAX(BF1375,H1375))),ROUNDUP(BD1375,0)))</f>
        <v>1</v>
      </c>
      <c r="BA1375" s="50" t="n">
        <f aca="false">IF(BZ1375=1,0,ROUNDUP(AZ1375/BY1375,0))</f>
        <v>0</v>
      </c>
      <c r="BB1375" s="52" t="n">
        <f aca="false">IF(CQ1375&gt;0,CQ1375*MAX(1,AZ1375/X1375),IF(BZ1375=1,IF(AZ1375&lt;=0,0,CD1375*MAX(1,IF(H1375&gt;0,AZ1375/H1375,1))),IF(R1375&gt;0,BA1375/R1375,0))/MAX(0.1,N(Parameter!$M$21)))</f>
        <v>0.160075329566855</v>
      </c>
      <c r="BC1375" s="50" t="n">
        <f aca="false">BB1375*CB1375</f>
        <v>38.0979284369115</v>
      </c>
      <c r="BD1375" s="51" t="n">
        <f aca="false">IF(LEFT(Cockpit!$O$5,1)="A",H1375,IF(CH1375=1,(CK1375+CI1375)/2,IF(LEFT(Cockpit!$O$5,1)="B",(CK1375+BF1375)/2,MAX((CK1375+BF1375)/2,H1375))))</f>
        <v>0.5</v>
      </c>
      <c r="BE1375" s="50" t="n">
        <f aca="false">BD1375*G1375</f>
        <v>692.75</v>
      </c>
      <c r="BF1375" s="50" t="n">
        <f aca="false">ROUNDUP(CK1375+MAX(CL1375,2*(J1375/IF(CG1375&gt;0,CG1375,MAX(0.1,N(Cockpit!$O$6)))-CK1375)),0)</f>
        <v>1</v>
      </c>
      <c r="BG1375" s="51" t="n">
        <f aca="false">IF(BC1375&gt;0,J1375/BC1375,-1)</f>
        <v>0.0262481463173505</v>
      </c>
      <c r="BH1375" s="51" t="n">
        <f aca="false">IF(AND(OR(CF1375="L1",CF1375="L23",CF1375="LIFT"),BC1375&gt;0),SUMIFS($BC$7:$BC$1843,$CF$7:$CF$1843,CF1375,$BG$7:$BG$1843,"&gt;"&amp;BG1375)+SUMIFS($BC$7:$BC$1843,$CF$7:$CF$1843,CF1375,$BG$7:$BG$1843,BG1375,$BW$7:$BW$1843,"&lt;="&amp;BW1375),"")</f>
        <v>22511.1998639308</v>
      </c>
      <c r="BI1375" s="58" t="n">
        <f aca="false">IF(BH1375="",0,MAX(0,MIN(1,(IF(CF1375="L1",Parameter!$H$5,IF(CF1375="L23",Parameter!$H$6+Parameter!$H$7,Parameter!$H$5+Parameter!$H$6+Parameter!$H$7))-(BH1375-BC1375))/BC1375)))</f>
        <v>1</v>
      </c>
      <c r="BJ1375" s="48" t="str">
        <f aca="false">IF(AI1375&lt;=0,"",IF(CF1375="Aussen","Aussenlager",IF(CF1375="-","Nicht im Lift",IF(AO1375&gt;=1,"Lift",IF(AO1375&lt;=0,"Aussenlager","teilweise")))))</f>
        <v>Lift</v>
      </c>
      <c r="BK1375" s="48" t="str">
        <f aca="false">IF(AS1375&lt;=0,"",IF(CF1375="Aussen","Aussenlager",IF(CF1375="-","Nicht im Lift",IF(AY1375&gt;=1,"Lift",IF(AY1375&lt;=0,"Aussenlager","teilweise")))))</f>
        <v>Lift</v>
      </c>
      <c r="BL1375" s="48" t="str">
        <f aca="false">IF(BC1375&lt;=0,"",IF(CF1375="Aussen","Aussenlager",IF(CF1375="-","Nicht im Lift",IF(BI1375&gt;=1,"Lift",IF(BI1375&lt;=0,"Aussenlager","teilweise")))))</f>
        <v>Lift</v>
      </c>
      <c r="BM1375" s="48" t="str">
        <f aca="false">IF(A1375="","",IF(BV1375=1,"Neu; ","")&amp;IF(AND(BV1375=0,BQ1375&lt;0),"negativer Bestand (Export "&amp;BQ1375&amp;"); ","")&amp;IF(J1375&lt;=0,"Kein Verbrauch; ","")&amp;IF(CQ1375&gt;0,"Lift "&amp;W1375&amp;" lt. Liftbericht (Fach "&amp;X1375&amp;" Stk); ",IF(CA1375=1,"Gebinde geschätzt ("&amp;T1375&amp;"); ",IF(BZ1375=1,"Lose – Tablare geschätzt; ","")))&amp;IF(H1375&gt;AV1375,"Überbestand "&amp;ROUND(H1375-AV1375,0)&amp;" Stk / CHF "&amp;ROUND((H1375-AV1375)*G1375,0)&amp;"; ","")&amp;IF(AND(CH1375=1,CI1375&lt;CJ1375),"MAX &lt; MB+LG; ","")&amp;IF(AND(CP1375&gt;0,CO1375*10&gt;CP1375),"zu hoch für Tablar; ","")&amp;IF(AND(BV1375=0,OR(CH1375=1,AA1375&lt;&gt;"",U1375&lt;&gt;"",V1375&lt;&gt;"",AB1375&lt;&gt;"")),"manuell übersteuert; ","")&amp;IF(AND(BZ1375=0,R1375=0),"Gebinde unbekannt / Stellmass fehlt; ","")&amp;IF(AND(BZ1375=0,N(V1375)&lt;=0,N(Q1375)&lt;=0),"Menge pro Gebinde fehlt (Ist = 1 Gebinde); ","")&amp;BU1375)</f>
        <v>negativer Bestand (Export -2); Lift 1 lt. Liftbericht (Fach 2 Stk); </v>
      </c>
      <c r="BN1375" s="48"/>
      <c r="BO1375" s="48"/>
      <c r="BP1375" s="55"/>
      <c r="BQ1375" s="50" t="n">
        <v>-2</v>
      </c>
      <c r="BR1375" s="50" t="n">
        <v>3</v>
      </c>
      <c r="BS1375" s="49" t="n">
        <v>-2771</v>
      </c>
      <c r="BT1375" s="50" t="n">
        <v>1</v>
      </c>
      <c r="BU1375" s="48"/>
      <c r="BV1375" s="53" t="n">
        <v>0</v>
      </c>
      <c r="BW1375" s="53" t="n">
        <v>1375</v>
      </c>
      <c r="BX1375" s="48" t="str">
        <f aca="false">IF(U1375&lt;&gt;"",UPPER(TRIM(U1375)),IF(CA1375=1,UPPER(VLOOKUP(T1375,Parameter!$I$27:$K$29,2,0)),IF(P1375="","LOSE",P1375)))</f>
        <v>LOSE</v>
      </c>
      <c r="BY1375" s="50" t="n">
        <f aca="false">IF(BX1375="LOSE",1,IF(N(V1375)&gt;0,V1375,IF(CA1375=1,MAX(1,N(VLOOKUP(T1375,Parameter!$I$27:$K$29,3,0)),H1375,N(N1375)),IF(N(Q1375)&gt;0,Q1375,MAX(1,H1375)))))</f>
        <v>1</v>
      </c>
      <c r="BZ1375" s="53" t="n">
        <f aca="false">IF(BX1375="LOSE",1,0)</f>
        <v>1</v>
      </c>
      <c r="CA1375" s="53" t="n">
        <f aca="false">IF(AND(U1375="",OR(P1375="",P1375="LOSE"),T1375&lt;&gt;"",N(S1375)&lt;=0,ISNUMBER(MATCH(T1375,Parameter!$I$27:$I$29,0))),1,0)</f>
        <v>0</v>
      </c>
      <c r="CB1375" s="53" t="n">
        <f aca="false">IF(CQ1375&gt;0,INDEX(Parameter!$H$5:$H$7,W1375)/INDEX(Parameter!$E$5:$E$7,W1375),IF(AND(BZ1375=0,N(IFERROR(VLOOKUP(BX1375,'Gebinde-Kategorie'!$A$5:$N$45,14,0),0))&gt;0),VLOOKUP(BX1375,'Gebinde-Kategorie'!$A$5:$N$45,14,0)*10+Parameter!$M$23,Parameter!$M$24))</f>
        <v>238</v>
      </c>
      <c r="CC1375" s="48" t="n">
        <f aca="false">IF(AND(Parameter!$B$19="Ja",E1375&lt;&gt;"",ISNUMBER(MATCH(E1375,Parameter!$I$35:$I$52,0))),VLOOKUP(E1375,Parameter!$I$35:$J$52,2,0),IFERROR(VLOOKUP(D1375,Parameter!$A$35:$C$64,2,0),"Nein"))</f>
        <v>1</v>
      </c>
      <c r="CD1375" s="52" t="n">
        <f aca="false">IF(BZ1375=0,0,IF(N(S1375)&gt;0,S1375,IFERROR(VLOOKUP(D1375,Parameter!$A$35:$C$64,3,0)+0,0)))</f>
        <v>1</v>
      </c>
      <c r="CE1375" s="48" t="n">
        <f aca="false">IF(AA1375&lt;&gt;"",AA1375,Z1375)</f>
        <v>1</v>
      </c>
      <c r="CF1375" s="48" t="str">
        <f aca="false">IF(OR(CE1375=1,CE1375=2,CE1375=3),IF(Parameter!$E$27="Ja","LIFT",IF(CE1375=1,"L1","L23")),IF(CE1375="Aussen","Aussen","-"))</f>
        <v>LIFT</v>
      </c>
      <c r="CG1375" s="59" t="n">
        <f aca="false">IF(N(AB1375)&gt;0,AB1375,0)</f>
        <v>0</v>
      </c>
      <c r="CH1375" s="53" t="n">
        <f aca="false">IF(ISNUMBER(AE1375),1,0)</f>
        <v>0</v>
      </c>
      <c r="CI1375" s="50" t="n">
        <f aca="false">N(AE1375)</f>
        <v>0</v>
      </c>
      <c r="CJ1375" s="50" t="n">
        <f aca="false">N(M1375)+N(N1375)</f>
        <v>1</v>
      </c>
      <c r="CK1375" s="50" t="n">
        <f aca="false">N(M1375)</f>
        <v>0</v>
      </c>
      <c r="CL1375" s="50" t="n">
        <f aca="false">N(N1375)</f>
        <v>1</v>
      </c>
      <c r="CM1375" s="50" t="n">
        <f aca="false">ROUNDUP(H1375/BY1375,0)</f>
        <v>1</v>
      </c>
      <c r="CN1375" s="50" t="n">
        <f aca="false">ROUNDUP(CI1375/BY1375,0)</f>
        <v>0</v>
      </c>
      <c r="CO1375" s="53" t="n">
        <f aca="false">IF(BZ1375=1,0,IFERROR(VLOOKUP(BX1375,'Gebinde-Kategorie'!$A$5:$N$45,5,0)+0,0))</f>
        <v>0</v>
      </c>
      <c r="CP1375" s="53" t="n">
        <f aca="false">IFERROR(IF(OR(CE1375=1,CE1375=2,CE1375=3),N(INDEX(Parameter!$I$5:$I$7,CE1375)),0),0)</f>
        <v>0</v>
      </c>
      <c r="CQ1375" s="52" t="n">
        <f aca="false">IF(AND(Parameter!$B$21="Ja",ISNUMBER(W1375),N(X1375)&gt;0),IFERROR(N(INDEX(Parameter!$L$5:$L$7,W1375))*INDEX(Parameter!$E$5:$E$7,W1375)*X1375/SUMIFS($X$7:$X$1843,$W$7:$W$1843,W1375),0),0)</f>
        <v>0.160075329566855</v>
      </c>
    </row>
    <row r="1376" customFormat="false" ht="15" hidden="false" customHeight="false" outlineLevel="0" collapsed="false">
      <c r="A1376" s="48" t="s">
        <v>2434</v>
      </c>
      <c r="B1376" s="48" t="s">
        <v>2435</v>
      </c>
      <c r="C1376" s="48" t="s">
        <v>173</v>
      </c>
      <c r="D1376" s="48" t="s">
        <v>182</v>
      </c>
      <c r="E1376" s="48" t="s">
        <v>175</v>
      </c>
      <c r="F1376" s="48" t="s">
        <v>227</v>
      </c>
      <c r="G1376" s="49" t="n">
        <v>91.4</v>
      </c>
      <c r="H1376" s="50" t="n">
        <f aca="false">MAX(0,IF(AND(Parameter!$B$21="Ja",ISNUMBER(Y1376)),Y1376,IF(Parameter!$B$20="Jahresanfang 2025 + Export",BR1376+BQ1376,BQ1376)))</f>
        <v>21</v>
      </c>
      <c r="I1376" s="50" t="n">
        <f aca="false">H1376*G1376</f>
        <v>1919.4</v>
      </c>
      <c r="J1376" s="50" t="n">
        <f aca="false">BT1376*Parameter!$B$18</f>
        <v>145</v>
      </c>
      <c r="K1376" s="51" t="n">
        <v>42</v>
      </c>
      <c r="L1376" s="52" t="n">
        <v>3.45238095238095</v>
      </c>
      <c r="M1376" s="50" t="n">
        <v>8</v>
      </c>
      <c r="N1376" s="50" t="n">
        <v>50</v>
      </c>
      <c r="O1376" s="53" t="n">
        <v>21</v>
      </c>
      <c r="P1376" s="48" t="s">
        <v>183</v>
      </c>
      <c r="Q1376" s="50" t="n">
        <v>80</v>
      </c>
      <c r="R1376" s="53" t="n">
        <f aca="false">IF(BZ1376=1,0,IFERROR(VLOOKUP(BX1376,'Gebinde-Kategorie'!$A$5:$N$45,13,0)+0,0))</f>
        <v>6</v>
      </c>
      <c r="S1376" s="54"/>
      <c r="T1376" s="55"/>
      <c r="U1376" s="55"/>
      <c r="V1376" s="55"/>
      <c r="W1376" s="48"/>
      <c r="X1376" s="50"/>
      <c r="Y1376" s="50"/>
      <c r="Z1376" s="48" t="n">
        <f aca="false">IF(A1376="","",IF(AND(Parameter!$B$21="Ja",ISNUMBER(W1376)),W1376,IF(CC1376="2+3",IF(ISNUMBER(SEARCH("grosser Artikel",BU1376)),2,IFERROR(VLOOKUP(BX1376,Parameter!$F$35:$G$64,2,0),2)),IF(OR(CC1376="Nein",CC1376=""),"-",CC1376))))</f>
        <v>1</v>
      </c>
      <c r="AA1376" s="55"/>
      <c r="AB1376" s="56"/>
      <c r="AC1376" s="50" t="n">
        <f aca="false">AV1376</f>
        <v>89</v>
      </c>
      <c r="AD1376" s="50" t="n">
        <f aca="false">MAX(AV1376,H1376)</f>
        <v>89</v>
      </c>
      <c r="AE1376" s="57"/>
      <c r="AF1376" s="50" t="n">
        <f aca="false">IF(LEFT(Cockpit!$C$5,1)="A",H1376,IF(Parameter!$E$30="MAX-Bestand",IF(CH1376=1,CI1376,IF(LEFT(Cockpit!$C$5,1)="B",AL1376,MAX(AL1376,H1376))),ROUNDUP(AJ1376,0)))</f>
        <v>21</v>
      </c>
      <c r="AG1376" s="50" t="n">
        <f aca="false">IF(BZ1376=1,0,ROUNDUP(AF1376/BY1376,0))</f>
        <v>1</v>
      </c>
      <c r="AH1376" s="52" t="n">
        <f aca="false">IF(CQ1376&gt;0,CQ1376*MAX(1,AF1376/X1376),IF(BZ1376=1,IF(AF1376&lt;=0,0,CD1376*MAX(1,IF(H1376&gt;0,AF1376/H1376,1))),IF(R1376&gt;0,AG1376/R1376,0))/MAX(0.1,N(Parameter!$M$21)))</f>
        <v>0.166666666666667</v>
      </c>
      <c r="AI1376" s="50" t="n">
        <f aca="false">AH1376*CB1376</f>
        <v>39.1666666666667</v>
      </c>
      <c r="AJ1376" s="51" t="n">
        <f aca="false">IF(LEFT(Cockpit!$C$5,1)="A",H1376,IF(CH1376=1,(CK1376+CI1376)/2,IF(LEFT(Cockpit!$C$5,1)="B",(CK1376+AL1376)/2,MAX((CK1376+AL1376)/2,H1376))))</f>
        <v>21</v>
      </c>
      <c r="AK1376" s="50" t="n">
        <f aca="false">AJ1376*G1376</f>
        <v>1919.4</v>
      </c>
      <c r="AL1376" s="50" t="n">
        <f aca="false">ROUNDUP(CK1376+MAX(CL1376,2*(J1376/IF(CG1376&gt;0,CG1376,MAX(0.1,N(Cockpit!$C$6)))-CK1376)),0)</f>
        <v>89</v>
      </c>
      <c r="AM1376" s="51" t="n">
        <f aca="false">IF(AI1376&gt;0,J1376/AI1376,-1)</f>
        <v>3.70212765957447</v>
      </c>
      <c r="AN1376" s="51" t="n">
        <f aca="false">IF(AND(OR(CF1376="L1",CF1376="L23",CF1376="LIFT"),AI1376&gt;0),SUMIFS($AI$7:$AI$1843,$CF$7:$CF$1843,CF1376,$AM$7:$AM$1843,"&gt;"&amp;AM1376)+SUMIFS($AI$7:$AI$1843,$CF$7:$CF$1843,CF1376,$AM$7:$AM$1843,AM1376,$BW$7:$BW$1843,"&lt;="&amp;BW1376),"")</f>
        <v>4766.8141025641</v>
      </c>
      <c r="AO1376" s="58" t="n">
        <f aca="false">IF(AN1376="",0,MAX(0,MIN(1,(IF(CF1376="L1",Parameter!$H$5,IF(CF1376="L23",Parameter!$H$6+Parameter!$H$7,Parameter!$H$5+Parameter!$H$6+Parameter!$H$7))-(AN1376-AI1376))/AI1376)))</f>
        <v>1</v>
      </c>
      <c r="AP1376" s="50" t="n">
        <f aca="false">IF(LEFT(Cockpit!$I$5,1)="A",H1376,IF(Parameter!$E$30="MAX-Bestand",IF(CH1376=1,CI1376,IF(LEFT(Cockpit!$I$5,1)="B",AV1376,MAX(AV1376,H1376))),ROUNDUP(AT1376,0)))</f>
        <v>49</v>
      </c>
      <c r="AQ1376" s="50" t="n">
        <f aca="false">IF(BZ1376=1,0,ROUNDUP(AP1376/BY1376,0))</f>
        <v>1</v>
      </c>
      <c r="AR1376" s="52" t="n">
        <f aca="false">IF(CQ1376&gt;0,CQ1376*MAX(1,AP1376/X1376),IF(BZ1376=1,IF(AP1376&lt;=0,0,CD1376*MAX(1,IF(H1376&gt;0,AP1376/H1376,1))),IF(R1376&gt;0,AQ1376/R1376,0))/MAX(0.1,N(Parameter!$M$21)))</f>
        <v>0.166666666666667</v>
      </c>
      <c r="AS1376" s="50" t="n">
        <f aca="false">AR1376*CB1376</f>
        <v>39.1666666666667</v>
      </c>
      <c r="AT1376" s="51" t="n">
        <f aca="false">IF(LEFT(Cockpit!$I$5,1)="A",H1376,IF(CH1376=1,(CK1376+CI1376)/2,IF(LEFT(Cockpit!$I$5,1)="B",(CK1376+AV1376)/2,MAX((CK1376+AV1376)/2,H1376))))</f>
        <v>48.5</v>
      </c>
      <c r="AU1376" s="50" t="n">
        <f aca="false">AT1376*G1376</f>
        <v>4432.9</v>
      </c>
      <c r="AV1376" s="50" t="n">
        <f aca="false">ROUNDUP(CK1376+MAX(CL1376,2*(J1376/IF(CG1376&gt;0,CG1376,MAX(0.1,N(Cockpit!$I$6)))-CK1376)),0)</f>
        <v>89</v>
      </c>
      <c r="AW1376" s="51" t="n">
        <f aca="false">IF(AS1376&gt;0,J1376/AS1376,-1)</f>
        <v>3.70212765957447</v>
      </c>
      <c r="AX1376" s="51" t="n">
        <f aca="false">IF(AND(OR(CF1376="L1",CF1376="L23",CF1376="LIFT"),AS1376&gt;0),SUMIFS($AS$7:$AS$1843,$CF$7:$CF$1843,CF1376,$AW$7:$AW$1843,"&gt;"&amp;AW1376)+SUMIFS($AS$7:$AS$1843,$CF$7:$CF$1843,CF1376,$AW$7:$AW$1843,AW1376,$BW$7:$BW$1843,"&lt;="&amp;BW1376),"")</f>
        <v>5385.23443223443</v>
      </c>
      <c r="AY1376" s="58" t="n">
        <f aca="false">IF(AX1376="",0,MAX(0,MIN(1,(IF(CF1376="L1",Parameter!$H$5,IF(CF1376="L23",Parameter!$H$6+Parameter!$H$7,Parameter!$H$5+Parameter!$H$6+Parameter!$H$7))-(AX1376-AS1376))/AS1376)))</f>
        <v>1</v>
      </c>
      <c r="AZ1376" s="50" t="n">
        <f aca="false">IF(LEFT(Cockpit!$O$5,1)="A",H1376,IF(Parameter!$E$30="MAX-Bestand",IF(CH1376=1,CI1376,IF(LEFT(Cockpit!$O$5,1)="B",BF1376,MAX(BF1376,H1376))),ROUNDUP(BD1376,0)))</f>
        <v>37</v>
      </c>
      <c r="BA1376" s="50" t="n">
        <f aca="false">IF(BZ1376=1,0,ROUNDUP(AZ1376/BY1376,0))</f>
        <v>1</v>
      </c>
      <c r="BB1376" s="52" t="n">
        <f aca="false">IF(CQ1376&gt;0,CQ1376*MAX(1,AZ1376/X1376),IF(BZ1376=1,IF(AZ1376&lt;=0,0,CD1376*MAX(1,IF(H1376&gt;0,AZ1376/H1376,1))),IF(R1376&gt;0,BA1376/R1376,0))/MAX(0.1,N(Parameter!$M$21)))</f>
        <v>0.166666666666667</v>
      </c>
      <c r="BC1376" s="50" t="n">
        <f aca="false">BB1376*CB1376</f>
        <v>39.1666666666667</v>
      </c>
      <c r="BD1376" s="51" t="n">
        <f aca="false">IF(LEFT(Cockpit!$O$5,1)="A",H1376,IF(CH1376=1,(CK1376+CI1376)/2,IF(LEFT(Cockpit!$O$5,1)="B",(CK1376+BF1376)/2,MAX((CK1376+BF1376)/2,H1376))))</f>
        <v>36.5</v>
      </c>
      <c r="BE1376" s="50" t="n">
        <f aca="false">BD1376*G1376</f>
        <v>3336.1</v>
      </c>
      <c r="BF1376" s="50" t="n">
        <f aca="false">ROUNDUP(CK1376+MAX(CL1376,2*(J1376/IF(CG1376&gt;0,CG1376,MAX(0.1,N(Cockpit!$O$6)))-CK1376)),0)</f>
        <v>65</v>
      </c>
      <c r="BG1376" s="51" t="n">
        <f aca="false">IF(BC1376&gt;0,J1376/BC1376,-1)</f>
        <v>3.70212765957447</v>
      </c>
      <c r="BH1376" s="51" t="n">
        <f aca="false">IF(AND(OR(CF1376="L1",CF1376="L23",CF1376="LIFT"),BC1376&gt;0),SUMIFS($BC$7:$BC$1843,$CF$7:$CF$1843,CF1376,$BG$7:$BG$1843,"&gt;"&amp;BG1376)+SUMIFS($BC$7:$BC$1843,$CF$7:$CF$1843,CF1376,$BG$7:$BG$1843,BG1376,$BW$7:$BW$1843,"&lt;="&amp;BW1376),"")</f>
        <v>4403.60622710623</v>
      </c>
      <c r="BI1376" s="58" t="n">
        <f aca="false">IF(BH1376="",0,MAX(0,MIN(1,(IF(CF1376="L1",Parameter!$H$5,IF(CF1376="L23",Parameter!$H$6+Parameter!$H$7,Parameter!$H$5+Parameter!$H$6+Parameter!$H$7))-(BH1376-BC1376))/BC1376)))</f>
        <v>1</v>
      </c>
      <c r="BJ1376" s="48" t="str">
        <f aca="false">IF(AI1376&lt;=0,"",IF(CF1376="Aussen","Aussenlager",IF(CF1376="-","Nicht im Lift",IF(AO1376&gt;=1,"Lift",IF(AO1376&lt;=0,"Aussenlager","teilweise")))))</f>
        <v>Lift</v>
      </c>
      <c r="BK1376" s="48" t="str">
        <f aca="false">IF(AS1376&lt;=0,"",IF(CF1376="Aussen","Aussenlager",IF(CF1376="-","Nicht im Lift",IF(AY1376&gt;=1,"Lift",IF(AY1376&lt;=0,"Aussenlager","teilweise")))))</f>
        <v>Lift</v>
      </c>
      <c r="BL1376" s="48" t="str">
        <f aca="false">IF(BC1376&lt;=0,"",IF(CF1376="Aussen","Aussenlager",IF(CF1376="-","Nicht im Lift",IF(BI1376&gt;=1,"Lift",IF(BI1376&lt;=0,"Aussenlager","teilweise")))))</f>
        <v>Lift</v>
      </c>
      <c r="BM1376" s="48" t="str">
        <f aca="false">IF(A1376="","",IF(BV1376=1,"Neu; ","")&amp;IF(AND(BV1376=0,BQ1376&lt;0),"negativer Bestand (Export "&amp;BQ1376&amp;"); ","")&amp;IF(J1376&lt;=0,"Kein Verbrauch; ","")&amp;IF(CQ1376&gt;0,"Lift "&amp;W1376&amp;" lt. Liftbericht (Fach "&amp;X1376&amp;" Stk); ",IF(CA1376=1,"Gebinde geschätzt ("&amp;T1376&amp;"); ",IF(BZ1376=1,"Lose – Tablare geschätzt; ","")))&amp;IF(H1376&gt;AV1376,"Überbestand "&amp;ROUND(H1376-AV1376,0)&amp;" Stk / CHF "&amp;ROUND((H1376-AV1376)*G1376,0)&amp;"; ","")&amp;IF(AND(CH1376=1,CI1376&lt;CJ1376),"MAX &lt; MB+LG; ","")&amp;IF(AND(CP1376&gt;0,CO1376*10&gt;CP1376),"zu hoch für Tablar; ","")&amp;IF(AND(BV1376=0,OR(CH1376=1,AA1376&lt;&gt;"",U1376&lt;&gt;"",V1376&lt;&gt;"",AB1376&lt;&gt;"")),"manuell übersteuert; ","")&amp;IF(AND(BZ1376=0,R1376=0),"Gebinde unbekannt / Stellmass fehlt; ","")&amp;IF(AND(BZ1376=0,N(V1376)&lt;=0,N(Q1376)&lt;=0),"Menge pro Gebinde fehlt (Ist = 1 Gebinde); ","")&amp;BU1376)</f>
        <v>negativer Bestand (Export -19); </v>
      </c>
      <c r="BN1376" s="48"/>
      <c r="BO1376" s="48"/>
      <c r="BP1376" s="55"/>
      <c r="BQ1376" s="50" t="n">
        <v>-19</v>
      </c>
      <c r="BR1376" s="50" t="n">
        <v>40</v>
      </c>
      <c r="BS1376" s="49" t="n">
        <v>-2789.00000000001</v>
      </c>
      <c r="BT1376" s="50" t="n">
        <v>145</v>
      </c>
      <c r="BU1376" s="48"/>
      <c r="BV1376" s="53" t="n">
        <v>0</v>
      </c>
      <c r="BW1376" s="53" t="n">
        <v>1376</v>
      </c>
      <c r="BX1376" s="48" t="str">
        <f aca="false">IF(U1376&lt;&gt;"",UPPER(TRIM(U1376)),IF(CA1376=1,UPPER(VLOOKUP(T1376,Parameter!$I$27:$K$29,2,0)),IF(P1376="","LOSE",P1376)))</f>
        <v>S71</v>
      </c>
      <c r="BY1376" s="50" t="n">
        <f aca="false">IF(BX1376="LOSE",1,IF(N(V1376)&gt;0,V1376,IF(CA1376=1,MAX(1,N(VLOOKUP(T1376,Parameter!$I$27:$K$29,3,0)),H1376,N(N1376)),IF(N(Q1376)&gt;0,Q1376,MAX(1,H1376)))))</f>
        <v>80</v>
      </c>
      <c r="BZ1376" s="53" t="n">
        <f aca="false">IF(BX1376="LOSE",1,0)</f>
        <v>0</v>
      </c>
      <c r="CA1376" s="53" t="n">
        <f aca="false">IF(AND(U1376="",OR(P1376="",P1376="LOSE"),T1376&lt;&gt;"",N(S1376)&lt;=0,ISNUMBER(MATCH(T1376,Parameter!$I$27:$I$29,0))),1,0)</f>
        <v>0</v>
      </c>
      <c r="CB1376" s="53" t="n">
        <f aca="false">IF(CQ1376&gt;0,INDEX(Parameter!$H$5:$H$7,W1376)/INDEX(Parameter!$E$5:$E$7,W1376),IF(AND(BZ1376=0,N(IFERROR(VLOOKUP(BX1376,'Gebinde-Kategorie'!$A$5:$N$45,14,0),0))&gt;0),VLOOKUP(BX1376,'Gebinde-Kategorie'!$A$5:$N$45,14,0)*10+Parameter!$M$23,Parameter!$M$24))</f>
        <v>235</v>
      </c>
      <c r="CC1376" s="48" t="n">
        <f aca="false">IF(AND(Parameter!$B$19="Ja",E1376&lt;&gt;"",ISNUMBER(MATCH(E1376,Parameter!$I$35:$I$52,0))),VLOOKUP(E1376,Parameter!$I$35:$J$52,2,0),IFERROR(VLOOKUP(D1376,Parameter!$A$35:$C$64,2,0),"Nein"))</f>
        <v>1</v>
      </c>
      <c r="CD1376" s="52" t="n">
        <f aca="false">IF(BZ1376=0,0,IF(N(S1376)&gt;0,S1376,IFERROR(VLOOKUP(D1376,Parameter!$A$35:$C$64,3,0)+0,0)))</f>
        <v>0</v>
      </c>
      <c r="CE1376" s="48" t="n">
        <f aca="false">IF(AA1376&lt;&gt;"",AA1376,Z1376)</f>
        <v>1</v>
      </c>
      <c r="CF1376" s="48" t="str">
        <f aca="false">IF(OR(CE1376=1,CE1376=2,CE1376=3),IF(Parameter!$E$27="Ja","LIFT",IF(CE1376=1,"L1","L23")),IF(CE1376="Aussen","Aussen","-"))</f>
        <v>LIFT</v>
      </c>
      <c r="CG1376" s="59" t="n">
        <f aca="false">IF(N(AB1376)&gt;0,AB1376,0)</f>
        <v>0</v>
      </c>
      <c r="CH1376" s="53" t="n">
        <f aca="false">IF(ISNUMBER(AE1376),1,0)</f>
        <v>0</v>
      </c>
      <c r="CI1376" s="50" t="n">
        <f aca="false">N(AE1376)</f>
        <v>0</v>
      </c>
      <c r="CJ1376" s="50" t="n">
        <f aca="false">N(M1376)+N(N1376)</f>
        <v>58</v>
      </c>
      <c r="CK1376" s="50" t="n">
        <f aca="false">N(M1376)</f>
        <v>8</v>
      </c>
      <c r="CL1376" s="50" t="n">
        <f aca="false">N(N1376)</f>
        <v>50</v>
      </c>
      <c r="CM1376" s="50" t="n">
        <f aca="false">ROUNDUP(H1376/BY1376,0)</f>
        <v>1</v>
      </c>
      <c r="CN1376" s="50" t="n">
        <f aca="false">ROUNDUP(CI1376/BY1376,0)</f>
        <v>0</v>
      </c>
      <c r="CO1376" s="53" t="n">
        <f aca="false">IF(BZ1376=1,0,IFERROR(VLOOKUP(BX1376,'Gebinde-Kategorie'!$A$5:$N$45,5,0)+0,0))</f>
        <v>20</v>
      </c>
      <c r="CP1376" s="53" t="n">
        <f aca="false">IFERROR(IF(OR(CE1376=1,CE1376=2,CE1376=3),N(INDEX(Parameter!$I$5:$I$7,CE1376)),0),0)</f>
        <v>0</v>
      </c>
      <c r="CQ1376" s="52" t="n">
        <f aca="false">IF(AND(Parameter!$B$21="Ja",ISNUMBER(W1376),N(X1376)&gt;0),IFERROR(N(INDEX(Parameter!$L$5:$L$7,W1376))*INDEX(Parameter!$E$5:$E$7,W1376)*X1376/SUMIFS($X$7:$X$1843,$W$7:$W$1843,W1376),0),0)</f>
        <v>0</v>
      </c>
    </row>
    <row r="1377" customFormat="false" ht="15" hidden="false" customHeight="false" outlineLevel="0" collapsed="false">
      <c r="A1377" s="48" t="s">
        <v>2436</v>
      </c>
      <c r="B1377" s="48" t="s">
        <v>2367</v>
      </c>
      <c r="C1377" s="48" t="s">
        <v>173</v>
      </c>
      <c r="D1377" s="48" t="s">
        <v>362</v>
      </c>
      <c r="E1377" s="48"/>
      <c r="F1377" s="48" t="s">
        <v>227</v>
      </c>
      <c r="G1377" s="49" t="n">
        <v>1410.11</v>
      </c>
      <c r="H1377" s="50" t="n">
        <f aca="false">MAX(0,IF(AND(Parameter!$B$21="Ja",ISNUMBER(Y1377)),Y1377,IF(Parameter!$B$20="Jahresanfang 2025 + Export",BR1377+BQ1377,BQ1377)))</f>
        <v>0</v>
      </c>
      <c r="I1377" s="50" t="n">
        <f aca="false">H1377*G1377</f>
        <v>0</v>
      </c>
      <c r="J1377" s="50" t="n">
        <f aca="false">BT1377*Parameter!$B$18</f>
        <v>0</v>
      </c>
      <c r="K1377" s="51" t="n">
        <v>1</v>
      </c>
      <c r="L1377" s="52" t="n">
        <v>0</v>
      </c>
      <c r="M1377" s="50" t="n">
        <v>0</v>
      </c>
      <c r="N1377" s="50" t="n">
        <v>1</v>
      </c>
      <c r="O1377" s="53" t="n">
        <v>0</v>
      </c>
      <c r="P1377" s="48" t="s">
        <v>177</v>
      </c>
      <c r="Q1377" s="50"/>
      <c r="R1377" s="53" t="n">
        <f aca="false">IF(BZ1377=1,0,IFERROR(VLOOKUP(BX1377,'Gebinde-Kategorie'!$A$5:$N$45,13,0)+0,0))</f>
        <v>0</v>
      </c>
      <c r="S1377" s="54"/>
      <c r="T1377" s="55"/>
      <c r="U1377" s="55"/>
      <c r="V1377" s="55"/>
      <c r="W1377" s="48"/>
      <c r="X1377" s="50"/>
      <c r="Y1377" s="50"/>
      <c r="Z1377" s="48" t="str">
        <f aca="false">IF(A1377="","",IF(AND(Parameter!$B$21="Ja",ISNUMBER(W1377)),W1377,IF(CC1377="2+3",IF(ISNUMBER(SEARCH("grosser Artikel",BU1377)),2,IFERROR(VLOOKUP(BX1377,Parameter!$F$35:$G$64,2,0),2)),IF(OR(CC1377="Nein",CC1377=""),"-",CC1377))))</f>
        <v>-</v>
      </c>
      <c r="AA1377" s="55"/>
      <c r="AB1377" s="56"/>
      <c r="AC1377" s="50" t="n">
        <f aca="false">AV1377</f>
        <v>1</v>
      </c>
      <c r="AD1377" s="50" t="n">
        <f aca="false">MAX(AV1377,H1377)</f>
        <v>1</v>
      </c>
      <c r="AE1377" s="57"/>
      <c r="AF1377" s="50" t="n">
        <f aca="false">IF(LEFT(Cockpit!$C$5,1)="A",H1377,IF(Parameter!$E$30="MAX-Bestand",IF(CH1377=1,CI1377,IF(LEFT(Cockpit!$C$5,1)="B",AL1377,MAX(AL1377,H1377))),ROUNDUP(AJ1377,0)))</f>
        <v>0</v>
      </c>
      <c r="AG1377" s="50" t="n">
        <f aca="false">IF(BZ1377=1,0,ROUNDUP(AF1377/BY1377,0))</f>
        <v>0</v>
      </c>
      <c r="AH1377" s="52" t="n">
        <f aca="false">IF(CQ1377&gt;0,CQ1377*MAX(1,AF1377/X1377),IF(BZ1377=1,IF(AF1377&lt;=0,0,CD1377*MAX(1,IF(H1377&gt;0,AF1377/H1377,1))),IF(R1377&gt;0,AG1377/R1377,0))/MAX(0.1,N(Parameter!$M$21)))</f>
        <v>0</v>
      </c>
      <c r="AI1377" s="50" t="n">
        <f aca="false">AH1377*CB1377</f>
        <v>0</v>
      </c>
      <c r="AJ1377" s="51" t="n">
        <f aca="false">IF(LEFT(Cockpit!$C$5,1)="A",H1377,IF(CH1377=1,(CK1377+CI1377)/2,IF(LEFT(Cockpit!$C$5,1)="B",(CK1377+AL1377)/2,MAX((CK1377+AL1377)/2,H1377))))</f>
        <v>0</v>
      </c>
      <c r="AK1377" s="50" t="n">
        <f aca="false">AJ1377*G1377</f>
        <v>0</v>
      </c>
      <c r="AL1377" s="50" t="n">
        <f aca="false">ROUNDUP(CK1377+MAX(CL1377,2*(J1377/IF(CG1377&gt;0,CG1377,MAX(0.1,N(Cockpit!$C$6)))-CK1377)),0)</f>
        <v>1</v>
      </c>
      <c r="AM1377" s="51" t="n">
        <f aca="false">IF(AI1377&gt;0,J1377/AI1377,-1)</f>
        <v>-1</v>
      </c>
      <c r="AN1377" s="51" t="str">
        <f aca="false">IF(AND(OR(CF1377="L1",CF1377="L23",CF1377="LIFT"),AI1377&gt;0),SUMIFS($AI$7:$AI$1843,$CF$7:$CF$1843,CF1377,$AM$7:$AM$1843,"&gt;"&amp;AM1377)+SUMIFS($AI$7:$AI$1843,$CF$7:$CF$1843,CF1377,$AM$7:$AM$1843,AM1377,$BW$7:$BW$1843,"&lt;="&amp;BW1377),"")</f>
        <v/>
      </c>
      <c r="AO1377" s="58" t="n">
        <f aca="false">IF(AN1377="",0,MAX(0,MIN(1,(IF(CF1377="L1",Parameter!$H$5,IF(CF1377="L23",Parameter!$H$6+Parameter!$H$7,Parameter!$H$5+Parameter!$H$6+Parameter!$H$7))-(AN1377-AI1377))/AI1377)))</f>
        <v>0</v>
      </c>
      <c r="AP1377" s="50" t="n">
        <f aca="false">IF(LEFT(Cockpit!$I$5,1)="A",H1377,IF(Parameter!$E$30="MAX-Bestand",IF(CH1377=1,CI1377,IF(LEFT(Cockpit!$I$5,1)="B",AV1377,MAX(AV1377,H1377))),ROUNDUP(AT1377,0)))</f>
        <v>1</v>
      </c>
      <c r="AQ1377" s="50" t="n">
        <f aca="false">IF(BZ1377=1,0,ROUNDUP(AP1377/BY1377,0))</f>
        <v>0</v>
      </c>
      <c r="AR1377" s="52" t="n">
        <f aca="false">IF(CQ1377&gt;0,CQ1377*MAX(1,AP1377/X1377),IF(BZ1377=1,IF(AP1377&lt;=0,0,CD1377*MAX(1,IF(H1377&gt;0,AP1377/H1377,1))),IF(R1377&gt;0,AQ1377/R1377,0))/MAX(0.1,N(Parameter!$M$21)))</f>
        <v>0.15</v>
      </c>
      <c r="AS1377" s="50" t="n">
        <f aca="false">AR1377*CB1377</f>
        <v>35.25</v>
      </c>
      <c r="AT1377" s="51" t="n">
        <f aca="false">IF(LEFT(Cockpit!$I$5,1)="A",H1377,IF(CH1377=1,(CK1377+CI1377)/2,IF(LEFT(Cockpit!$I$5,1)="B",(CK1377+AV1377)/2,MAX((CK1377+AV1377)/2,H1377))))</f>
        <v>0.5</v>
      </c>
      <c r="AU1377" s="50" t="n">
        <f aca="false">AT1377*G1377</f>
        <v>705.055</v>
      </c>
      <c r="AV1377" s="50" t="n">
        <f aca="false">ROUNDUP(CK1377+MAX(CL1377,2*(J1377/IF(CG1377&gt;0,CG1377,MAX(0.1,N(Cockpit!$I$6)))-CK1377)),0)</f>
        <v>1</v>
      </c>
      <c r="AW1377" s="51" t="n">
        <f aca="false">IF(AS1377&gt;0,J1377/AS1377,-1)</f>
        <v>0</v>
      </c>
      <c r="AX1377" s="51" t="str">
        <f aca="false">IF(AND(OR(CF1377="L1",CF1377="L23",CF1377="LIFT"),AS1377&gt;0),SUMIFS($AS$7:$AS$1843,$CF$7:$CF$1843,CF1377,$AW$7:$AW$1843,"&gt;"&amp;AW1377)+SUMIFS($AS$7:$AS$1843,$CF$7:$CF$1843,CF1377,$AW$7:$AW$1843,AW1377,$BW$7:$BW$1843,"&lt;="&amp;BW1377),"")</f>
        <v/>
      </c>
      <c r="AY1377" s="58" t="n">
        <f aca="false">IF(AX1377="",0,MAX(0,MIN(1,(IF(CF1377="L1",Parameter!$H$5,IF(CF1377="L23",Parameter!$H$6+Parameter!$H$7,Parameter!$H$5+Parameter!$H$6+Parameter!$H$7))-(AX1377-AS1377))/AS1377)))</f>
        <v>0</v>
      </c>
      <c r="AZ1377" s="50" t="n">
        <f aca="false">IF(LEFT(Cockpit!$O$5,1)="A",H1377,IF(Parameter!$E$30="MAX-Bestand",IF(CH1377=1,CI1377,IF(LEFT(Cockpit!$O$5,1)="B",BF1377,MAX(BF1377,H1377))),ROUNDUP(BD1377,0)))</f>
        <v>1</v>
      </c>
      <c r="BA1377" s="50" t="n">
        <f aca="false">IF(BZ1377=1,0,ROUNDUP(AZ1377/BY1377,0))</f>
        <v>0</v>
      </c>
      <c r="BB1377" s="52" t="n">
        <f aca="false">IF(CQ1377&gt;0,CQ1377*MAX(1,AZ1377/X1377),IF(BZ1377=1,IF(AZ1377&lt;=0,0,CD1377*MAX(1,IF(H1377&gt;0,AZ1377/H1377,1))),IF(R1377&gt;0,BA1377/R1377,0))/MAX(0.1,N(Parameter!$M$21)))</f>
        <v>0.15</v>
      </c>
      <c r="BC1377" s="50" t="n">
        <f aca="false">BB1377*CB1377</f>
        <v>35.25</v>
      </c>
      <c r="BD1377" s="51" t="n">
        <f aca="false">IF(LEFT(Cockpit!$O$5,1)="A",H1377,IF(CH1377=1,(CK1377+CI1377)/2,IF(LEFT(Cockpit!$O$5,1)="B",(CK1377+BF1377)/2,MAX((CK1377+BF1377)/2,H1377))))</f>
        <v>0.5</v>
      </c>
      <c r="BE1377" s="50" t="n">
        <f aca="false">BD1377*G1377</f>
        <v>705.055</v>
      </c>
      <c r="BF1377" s="50" t="n">
        <f aca="false">ROUNDUP(CK1377+MAX(CL1377,2*(J1377/IF(CG1377&gt;0,CG1377,MAX(0.1,N(Cockpit!$O$6)))-CK1377)),0)</f>
        <v>1</v>
      </c>
      <c r="BG1377" s="51" t="n">
        <f aca="false">IF(BC1377&gt;0,J1377/BC1377,-1)</f>
        <v>0</v>
      </c>
      <c r="BH1377" s="51" t="str">
        <f aca="false">IF(AND(OR(CF1377="L1",CF1377="L23",CF1377="LIFT"),BC1377&gt;0),SUMIFS($BC$7:$BC$1843,$CF$7:$CF$1843,CF1377,$BG$7:$BG$1843,"&gt;"&amp;BG1377)+SUMIFS($BC$7:$BC$1843,$CF$7:$CF$1843,CF1377,$BG$7:$BG$1843,BG1377,$BW$7:$BW$1843,"&lt;="&amp;BW1377),"")</f>
        <v/>
      </c>
      <c r="BI1377" s="58" t="n">
        <f aca="false">IF(BH1377="",0,MAX(0,MIN(1,(IF(CF1377="L1",Parameter!$H$5,IF(CF1377="L23",Parameter!$H$6+Parameter!$H$7,Parameter!$H$5+Parameter!$H$6+Parameter!$H$7))-(BH1377-BC1377))/BC1377)))</f>
        <v>0</v>
      </c>
      <c r="BJ1377" s="48" t="str">
        <f aca="false">IF(AI1377&lt;=0,"",IF(CF1377="Aussen","Aussenlager",IF(CF1377="-","Nicht im Lift",IF(AO1377&gt;=1,"Lift",IF(AO1377&lt;=0,"Aussenlager","teilweise")))))</f>
        <v/>
      </c>
      <c r="BK1377" s="48" t="str">
        <f aca="false">IF(AS1377&lt;=0,"",IF(CF1377="Aussen","Aussenlager",IF(CF1377="-","Nicht im Lift",IF(AY1377&gt;=1,"Lift",IF(AY1377&lt;=0,"Aussenlager","teilweise")))))</f>
        <v>Nicht im Lift</v>
      </c>
      <c r="BL1377" s="48" t="str">
        <f aca="false">IF(BC1377&lt;=0,"",IF(CF1377="Aussen","Aussenlager",IF(CF1377="-","Nicht im Lift",IF(BI1377&gt;=1,"Lift",IF(BI1377&lt;=0,"Aussenlager","teilweise")))))</f>
        <v>Nicht im Lift</v>
      </c>
      <c r="BM1377" s="48" t="str">
        <f aca="false">IF(A1377="","",IF(BV1377=1,"Neu; ","")&amp;IF(AND(BV1377=0,BQ1377&lt;0),"negativer Bestand (Export "&amp;BQ1377&amp;"); ","")&amp;IF(J1377&lt;=0,"Kein Verbrauch; ","")&amp;IF(CQ1377&gt;0,"Lift "&amp;W1377&amp;" lt. Liftbericht (Fach "&amp;X1377&amp;" Stk); ",IF(CA1377=1,"Gebinde geschätzt ("&amp;T1377&amp;"); ",IF(BZ1377=1,"Lose – Tablare geschätzt; ","")))&amp;IF(H1377&gt;AV1377,"Überbestand "&amp;ROUND(H1377-AV1377,0)&amp;" Stk / CHF "&amp;ROUND((H1377-AV1377)*G1377,0)&amp;"; ","")&amp;IF(AND(CH1377=1,CI1377&lt;CJ1377),"MAX &lt; MB+LG; ","")&amp;IF(AND(CP1377&gt;0,CO1377*10&gt;CP1377),"zu hoch für Tablar; ","")&amp;IF(AND(BV1377=0,OR(CH1377=1,AA1377&lt;&gt;"",U1377&lt;&gt;"",V1377&lt;&gt;"",AB1377&lt;&gt;"")),"manuell übersteuert; ","")&amp;IF(AND(BZ1377=0,R1377=0),"Gebinde unbekannt / Stellmass fehlt; ","")&amp;IF(AND(BZ1377=0,N(V1377)&lt;=0,N(Q1377)&lt;=0),"Menge pro Gebinde fehlt (Ist = 1 Gebinde); ","")&amp;BU1377)</f>
        <v>negativer Bestand (Export -2); Kein Verbrauch; Lose – Tablare geschätzt; </v>
      </c>
      <c r="BN1377" s="48"/>
      <c r="BO1377" s="48"/>
      <c r="BP1377" s="55"/>
      <c r="BQ1377" s="50" t="n">
        <v>-2</v>
      </c>
      <c r="BR1377" s="50" t="n">
        <v>2</v>
      </c>
      <c r="BS1377" s="49" t="n">
        <v>-2820.22</v>
      </c>
      <c r="BT1377" s="50" t="n">
        <v>0</v>
      </c>
      <c r="BU1377" s="48"/>
      <c r="BV1377" s="53" t="n">
        <v>0</v>
      </c>
      <c r="BW1377" s="53" t="n">
        <v>1377</v>
      </c>
      <c r="BX1377" s="48" t="str">
        <f aca="false">IF(U1377&lt;&gt;"",UPPER(TRIM(U1377)),IF(CA1377=1,UPPER(VLOOKUP(T1377,Parameter!$I$27:$K$29,2,0)),IF(P1377="","LOSE",P1377)))</f>
        <v>LOSE</v>
      </c>
      <c r="BY1377" s="50" t="n">
        <f aca="false">IF(BX1377="LOSE",1,IF(N(V1377)&gt;0,V1377,IF(CA1377=1,MAX(1,N(VLOOKUP(T1377,Parameter!$I$27:$K$29,3,0)),H1377,N(N1377)),IF(N(Q1377)&gt;0,Q1377,MAX(1,H1377)))))</f>
        <v>1</v>
      </c>
      <c r="BZ1377" s="53" t="n">
        <f aca="false">IF(BX1377="LOSE",1,0)</f>
        <v>1</v>
      </c>
      <c r="CA1377" s="53" t="n">
        <f aca="false">IF(AND(U1377="",OR(P1377="",P1377="LOSE"),T1377&lt;&gt;"",N(S1377)&lt;=0,ISNUMBER(MATCH(T1377,Parameter!$I$27:$I$29,0))),1,0)</f>
        <v>0</v>
      </c>
      <c r="CB1377" s="53" t="n">
        <f aca="false">IF(CQ1377&gt;0,INDEX(Parameter!$H$5:$H$7,W1377)/INDEX(Parameter!$E$5:$E$7,W1377),IF(AND(BZ1377=0,N(IFERROR(VLOOKUP(BX1377,'Gebinde-Kategorie'!$A$5:$N$45,14,0),0))&gt;0),VLOOKUP(BX1377,'Gebinde-Kategorie'!$A$5:$N$45,14,0)*10+Parameter!$M$23,Parameter!$M$24))</f>
        <v>235</v>
      </c>
      <c r="CC1377" s="48" t="str">
        <f aca="false">IF(AND(Parameter!$B$19="Ja",E1377&lt;&gt;"",ISNUMBER(MATCH(E1377,Parameter!$I$35:$I$52,0))),VLOOKUP(E1377,Parameter!$I$35:$J$52,2,0),IFERROR(VLOOKUP(D1377,Parameter!$A$35:$C$64,2,0),"Nein"))</f>
        <v>Nein</v>
      </c>
      <c r="CD1377" s="52" t="n">
        <f aca="false">IF(BZ1377=0,0,IF(N(S1377)&gt;0,S1377,IFERROR(VLOOKUP(D1377,Parameter!$A$35:$C$64,3,0)+0,0)))</f>
        <v>0.15</v>
      </c>
      <c r="CE1377" s="48" t="str">
        <f aca="false">IF(AA1377&lt;&gt;"",AA1377,Z1377)</f>
        <v>-</v>
      </c>
      <c r="CF1377" s="48" t="str">
        <f aca="false">IF(OR(CE1377=1,CE1377=2,CE1377=3),IF(Parameter!$E$27="Ja","LIFT",IF(CE1377=1,"L1","L23")),IF(CE1377="Aussen","Aussen","-"))</f>
        <v>-</v>
      </c>
      <c r="CG1377" s="59" t="n">
        <f aca="false">IF(N(AB1377)&gt;0,AB1377,0)</f>
        <v>0</v>
      </c>
      <c r="CH1377" s="53" t="n">
        <f aca="false">IF(ISNUMBER(AE1377),1,0)</f>
        <v>0</v>
      </c>
      <c r="CI1377" s="50" t="n">
        <f aca="false">N(AE1377)</f>
        <v>0</v>
      </c>
      <c r="CJ1377" s="50" t="n">
        <f aca="false">N(M1377)+N(N1377)</f>
        <v>1</v>
      </c>
      <c r="CK1377" s="50" t="n">
        <f aca="false">N(M1377)</f>
        <v>0</v>
      </c>
      <c r="CL1377" s="50" t="n">
        <f aca="false">N(N1377)</f>
        <v>1</v>
      </c>
      <c r="CM1377" s="50" t="n">
        <f aca="false">ROUNDUP(H1377/BY1377,0)</f>
        <v>0</v>
      </c>
      <c r="CN1377" s="50" t="n">
        <f aca="false">ROUNDUP(CI1377/BY1377,0)</f>
        <v>0</v>
      </c>
      <c r="CO1377" s="53" t="n">
        <f aca="false">IF(BZ1377=1,0,IFERROR(VLOOKUP(BX1377,'Gebinde-Kategorie'!$A$5:$N$45,5,0)+0,0))</f>
        <v>0</v>
      </c>
      <c r="CP1377" s="53" t="n">
        <f aca="false">IFERROR(IF(OR(CE1377=1,CE1377=2,CE1377=3),N(INDEX(Parameter!$I$5:$I$7,CE1377)),0),0)</f>
        <v>0</v>
      </c>
      <c r="CQ1377" s="52" t="n">
        <f aca="false">IF(AND(Parameter!$B$21="Ja",ISNUMBER(W1377),N(X1377)&gt;0),IFERROR(N(INDEX(Parameter!$L$5:$L$7,W1377))*INDEX(Parameter!$E$5:$E$7,W1377)*X1377/SUMIFS($X$7:$X$1843,$W$7:$W$1843,W1377),0),0)</f>
        <v>0</v>
      </c>
    </row>
    <row r="1378" customFormat="false" ht="15" hidden="false" customHeight="false" outlineLevel="0" collapsed="false">
      <c r="A1378" s="48" t="s">
        <v>2437</v>
      </c>
      <c r="B1378" s="48" t="s">
        <v>367</v>
      </c>
      <c r="C1378" s="48" t="s">
        <v>173</v>
      </c>
      <c r="D1378" s="48" t="s">
        <v>182</v>
      </c>
      <c r="E1378" s="48" t="s">
        <v>194</v>
      </c>
      <c r="F1378" s="48" t="s">
        <v>227</v>
      </c>
      <c r="G1378" s="49" t="n">
        <v>119.51</v>
      </c>
      <c r="H1378" s="50" t="n">
        <f aca="false">MAX(0,IF(AND(Parameter!$B$21="Ja",ISNUMBER(Y1378)),Y1378,IF(Parameter!$B$20="Jahresanfang 2025 + Export",BR1378+BQ1378,BQ1378)))</f>
        <v>20</v>
      </c>
      <c r="I1378" s="50" t="n">
        <f aca="false">H1378*G1378</f>
        <v>2390.2</v>
      </c>
      <c r="J1378" s="50" t="n">
        <f aca="false">BT1378*Parameter!$B$18</f>
        <v>19</v>
      </c>
      <c r="K1378" s="51" t="n">
        <v>47.5</v>
      </c>
      <c r="L1378" s="52" t="n">
        <v>0.4</v>
      </c>
      <c r="M1378" s="50" t="n">
        <v>2</v>
      </c>
      <c r="N1378" s="50" t="n">
        <v>30</v>
      </c>
      <c r="O1378" s="53" t="n">
        <v>49</v>
      </c>
      <c r="P1378" s="48" t="s">
        <v>183</v>
      </c>
      <c r="Q1378" s="50" t="n">
        <v>14</v>
      </c>
      <c r="R1378" s="53" t="n">
        <f aca="false">IF(BZ1378=1,0,IFERROR(VLOOKUP(BX1378,'Gebinde-Kategorie'!$A$5:$N$45,13,0)+0,0))</f>
        <v>6</v>
      </c>
      <c r="S1378" s="54"/>
      <c r="T1378" s="55"/>
      <c r="U1378" s="55"/>
      <c r="V1378" s="55"/>
      <c r="W1378" s="48"/>
      <c r="X1378" s="50"/>
      <c r="Y1378" s="50"/>
      <c r="Z1378" s="48" t="n">
        <f aca="false">IF(A1378="","",IF(AND(Parameter!$B$21="Ja",ISNUMBER(W1378)),W1378,IF(CC1378="2+3",IF(ISNUMBER(SEARCH("grosser Artikel",BU1378)),2,IFERROR(VLOOKUP(BX1378,Parameter!$F$35:$G$64,2,0),2)),IF(OR(CC1378="Nein",CC1378=""),"-",CC1378))))</f>
        <v>2</v>
      </c>
      <c r="AA1378" s="55"/>
      <c r="AB1378" s="56"/>
      <c r="AC1378" s="50" t="n">
        <f aca="false">AV1378</f>
        <v>32</v>
      </c>
      <c r="AD1378" s="50" t="n">
        <f aca="false">MAX(AV1378,H1378)</f>
        <v>32</v>
      </c>
      <c r="AE1378" s="57"/>
      <c r="AF1378" s="50" t="n">
        <f aca="false">IF(LEFT(Cockpit!$C$5,1)="A",H1378,IF(Parameter!$E$30="MAX-Bestand",IF(CH1378=1,CI1378,IF(LEFT(Cockpit!$C$5,1)="B",AL1378,MAX(AL1378,H1378))),ROUNDUP(AJ1378,0)))</f>
        <v>20</v>
      </c>
      <c r="AG1378" s="50" t="n">
        <f aca="false">IF(BZ1378=1,0,ROUNDUP(AF1378/BY1378,0))</f>
        <v>2</v>
      </c>
      <c r="AH1378" s="52" t="n">
        <f aca="false">IF(CQ1378&gt;0,CQ1378*MAX(1,AF1378/X1378),IF(BZ1378=1,IF(AF1378&lt;=0,0,CD1378*MAX(1,IF(H1378&gt;0,AF1378/H1378,1))),IF(R1378&gt;0,AG1378/R1378,0))/MAX(0.1,N(Parameter!$M$21)))</f>
        <v>0.333333333333333</v>
      </c>
      <c r="AI1378" s="50" t="n">
        <f aca="false">AH1378*CB1378</f>
        <v>78.3333333333333</v>
      </c>
      <c r="AJ1378" s="51" t="n">
        <f aca="false">IF(LEFT(Cockpit!$C$5,1)="A",H1378,IF(CH1378=1,(CK1378+CI1378)/2,IF(LEFT(Cockpit!$C$5,1)="B",(CK1378+AL1378)/2,MAX((CK1378+AL1378)/2,H1378))))</f>
        <v>20</v>
      </c>
      <c r="AK1378" s="50" t="n">
        <f aca="false">AJ1378*G1378</f>
        <v>2390.2</v>
      </c>
      <c r="AL1378" s="50" t="n">
        <f aca="false">ROUNDUP(CK1378+MAX(CL1378,2*(J1378/IF(CG1378&gt;0,CG1378,MAX(0.1,N(Cockpit!$C$6)))-CK1378)),0)</f>
        <v>32</v>
      </c>
      <c r="AM1378" s="51" t="n">
        <f aca="false">IF(AI1378&gt;0,J1378/AI1378,-1)</f>
        <v>0.242553191489362</v>
      </c>
      <c r="AN1378" s="51" t="n">
        <f aca="false">IF(AND(OR(CF1378="L1",CF1378="L23",CF1378="LIFT"),AI1378&gt;0),SUMIFS($AI$7:$AI$1843,$CF$7:$CF$1843,CF1378,$AM$7:$AM$1843,"&gt;"&amp;AM1378)+SUMIFS($AI$7:$AI$1843,$CF$7:$CF$1843,CF1378,$AM$7:$AM$1843,AM1378,$BW$7:$BW$1843,"&lt;="&amp;BW1378),"")</f>
        <v>11991.5202629292</v>
      </c>
      <c r="AO1378" s="58" t="n">
        <f aca="false">IF(AN1378="",0,MAX(0,MIN(1,(IF(CF1378="L1",Parameter!$H$5,IF(CF1378="L23",Parameter!$H$6+Parameter!$H$7,Parameter!$H$5+Parameter!$H$6+Parameter!$H$7))-(AN1378-AI1378))/AI1378)))</f>
        <v>1</v>
      </c>
      <c r="AP1378" s="50" t="n">
        <f aca="false">IF(LEFT(Cockpit!$I$5,1)="A",H1378,IF(Parameter!$E$30="MAX-Bestand",IF(CH1378=1,CI1378,IF(LEFT(Cockpit!$I$5,1)="B",AV1378,MAX(AV1378,H1378))),ROUNDUP(AT1378,0)))</f>
        <v>20</v>
      </c>
      <c r="AQ1378" s="50" t="n">
        <f aca="false">IF(BZ1378=1,0,ROUNDUP(AP1378/BY1378,0))</f>
        <v>2</v>
      </c>
      <c r="AR1378" s="52" t="n">
        <f aca="false">IF(CQ1378&gt;0,CQ1378*MAX(1,AP1378/X1378),IF(BZ1378=1,IF(AP1378&lt;=0,0,CD1378*MAX(1,IF(H1378&gt;0,AP1378/H1378,1))),IF(R1378&gt;0,AQ1378/R1378,0))/MAX(0.1,N(Parameter!$M$21)))</f>
        <v>0.333333333333333</v>
      </c>
      <c r="AS1378" s="50" t="n">
        <f aca="false">AR1378*CB1378</f>
        <v>78.3333333333333</v>
      </c>
      <c r="AT1378" s="51" t="n">
        <f aca="false">IF(LEFT(Cockpit!$I$5,1)="A",H1378,IF(CH1378=1,(CK1378+CI1378)/2,IF(LEFT(Cockpit!$I$5,1)="B",(CK1378+AV1378)/2,MAX((CK1378+AV1378)/2,H1378))))</f>
        <v>20</v>
      </c>
      <c r="AU1378" s="50" t="n">
        <f aca="false">AT1378*G1378</f>
        <v>2390.2</v>
      </c>
      <c r="AV1378" s="50" t="n">
        <f aca="false">ROUNDUP(CK1378+MAX(CL1378,2*(J1378/IF(CG1378&gt;0,CG1378,MAX(0.1,N(Cockpit!$I$6)))-CK1378)),0)</f>
        <v>32</v>
      </c>
      <c r="AW1378" s="51" t="n">
        <f aca="false">IF(AS1378&gt;0,J1378/AS1378,-1)</f>
        <v>0.242553191489362</v>
      </c>
      <c r="AX1378" s="51" t="n">
        <f aca="false">IF(AND(OR(CF1378="L1",CF1378="L23",CF1378="LIFT"),AS1378&gt;0),SUMIFS($AS$7:$AS$1843,$CF$7:$CF$1843,CF1378,$AW$7:$AW$1843,"&gt;"&amp;AW1378)+SUMIFS($AS$7:$AS$1843,$CF$7:$CF$1843,CF1378,$AW$7:$AW$1843,AW1378,$BW$7:$BW$1843,"&lt;="&amp;BW1378),"")</f>
        <v>15068.4143772894</v>
      </c>
      <c r="AY1378" s="58" t="n">
        <f aca="false">IF(AX1378="",0,MAX(0,MIN(1,(IF(CF1378="L1",Parameter!$H$5,IF(CF1378="L23",Parameter!$H$6+Parameter!$H$7,Parameter!$H$5+Parameter!$H$6+Parameter!$H$7))-(AX1378-AS1378))/AS1378)))</f>
        <v>1</v>
      </c>
      <c r="AZ1378" s="50" t="n">
        <f aca="false">IF(LEFT(Cockpit!$O$5,1)="A",H1378,IF(Parameter!$E$30="MAX-Bestand",IF(CH1378=1,CI1378,IF(LEFT(Cockpit!$O$5,1)="B",BF1378,MAX(BF1378,H1378))),ROUNDUP(BD1378,0)))</f>
        <v>17</v>
      </c>
      <c r="BA1378" s="50" t="n">
        <f aca="false">IF(BZ1378=1,0,ROUNDUP(AZ1378/BY1378,0))</f>
        <v>2</v>
      </c>
      <c r="BB1378" s="52" t="n">
        <f aca="false">IF(CQ1378&gt;0,CQ1378*MAX(1,AZ1378/X1378),IF(BZ1378=1,IF(AZ1378&lt;=0,0,CD1378*MAX(1,IF(H1378&gt;0,AZ1378/H1378,1))),IF(R1378&gt;0,BA1378/R1378,0))/MAX(0.1,N(Parameter!$M$21)))</f>
        <v>0.333333333333333</v>
      </c>
      <c r="BC1378" s="50" t="n">
        <f aca="false">BB1378*CB1378</f>
        <v>78.3333333333333</v>
      </c>
      <c r="BD1378" s="51" t="n">
        <f aca="false">IF(LEFT(Cockpit!$O$5,1)="A",H1378,IF(CH1378=1,(CK1378+CI1378)/2,IF(LEFT(Cockpit!$O$5,1)="B",(CK1378+BF1378)/2,MAX((CK1378+BF1378)/2,H1378))))</f>
        <v>17</v>
      </c>
      <c r="BE1378" s="50" t="n">
        <f aca="false">BD1378*G1378</f>
        <v>2031.67</v>
      </c>
      <c r="BF1378" s="50" t="n">
        <f aca="false">ROUNDUP(CK1378+MAX(CL1378,2*(J1378/IF(CG1378&gt;0,CG1378,MAX(0.1,N(Cockpit!$O$6)))-CK1378)),0)</f>
        <v>32</v>
      </c>
      <c r="BG1378" s="51" t="n">
        <f aca="false">IF(BC1378&gt;0,J1378/BC1378,-1)</f>
        <v>0.242553191489362</v>
      </c>
      <c r="BH1378" s="51" t="n">
        <f aca="false">IF(AND(OR(CF1378="L1",CF1378="L23",CF1378="LIFT"),BC1378&gt;0),SUMIFS($BC$7:$BC$1843,$CF$7:$CF$1843,CF1378,$BG$7:$BG$1843,"&gt;"&amp;BG1378)+SUMIFS($BC$7:$BC$1843,$CF$7:$CF$1843,CF1378,$BG$7:$BG$1843,BG1378,$BW$7:$BW$1843,"&lt;="&amp;BW1378),"")</f>
        <v>12219.6414835165</v>
      </c>
      <c r="BI1378" s="58" t="n">
        <f aca="false">IF(BH1378="",0,MAX(0,MIN(1,(IF(CF1378="L1",Parameter!$H$5,IF(CF1378="L23",Parameter!$H$6+Parameter!$H$7,Parameter!$H$5+Parameter!$H$6+Parameter!$H$7))-(BH1378-BC1378))/BC1378)))</f>
        <v>1</v>
      </c>
      <c r="BJ1378" s="48" t="str">
        <f aca="false">IF(AI1378&lt;=0,"",IF(CF1378="Aussen","Aussenlager",IF(CF1378="-","Nicht im Lift",IF(AO1378&gt;=1,"Lift",IF(AO1378&lt;=0,"Aussenlager","teilweise")))))</f>
        <v>Lift</v>
      </c>
      <c r="BK1378" s="48" t="str">
        <f aca="false">IF(AS1378&lt;=0,"",IF(CF1378="Aussen","Aussenlager",IF(CF1378="-","Nicht im Lift",IF(AY1378&gt;=1,"Lift",IF(AY1378&lt;=0,"Aussenlager","teilweise")))))</f>
        <v>Lift</v>
      </c>
      <c r="BL1378" s="48" t="str">
        <f aca="false">IF(BC1378&lt;=0,"",IF(CF1378="Aussen","Aussenlager",IF(CF1378="-","Nicht im Lift",IF(BI1378&gt;=1,"Lift",IF(BI1378&lt;=0,"Aussenlager","teilweise")))))</f>
        <v>Lift</v>
      </c>
      <c r="BM1378" s="48" t="str">
        <f aca="false">IF(A1378="","",IF(BV1378=1,"Neu; ","")&amp;IF(AND(BV1378=0,BQ1378&lt;0),"negativer Bestand (Export "&amp;BQ1378&amp;"); ","")&amp;IF(J1378&lt;=0,"Kein Verbrauch; ","")&amp;IF(CQ1378&gt;0,"Lift "&amp;W1378&amp;" lt. Liftbericht (Fach "&amp;X1378&amp;" Stk); ",IF(CA1378=1,"Gebinde geschätzt ("&amp;T1378&amp;"); ",IF(BZ1378=1,"Lose – Tablare geschätzt; ","")))&amp;IF(H1378&gt;AV1378,"Überbestand "&amp;ROUND(H1378-AV1378,0)&amp;" Stk / CHF "&amp;ROUND((H1378-AV1378)*G1378,0)&amp;"; ","")&amp;IF(AND(CH1378=1,CI1378&lt;CJ1378),"MAX &lt; MB+LG; ","")&amp;IF(AND(CP1378&gt;0,CO1378*10&gt;CP1378),"zu hoch für Tablar; ","")&amp;IF(AND(BV1378=0,OR(CH1378=1,AA1378&lt;&gt;"",U1378&lt;&gt;"",V1378&lt;&gt;"",AB1378&lt;&gt;"")),"manuell übersteuert; ","")&amp;IF(AND(BZ1378=0,R1378=0),"Gebinde unbekannt / Stellmass fehlt; ","")&amp;IF(AND(BZ1378=0,N(V1378)&lt;=0,N(Q1378)&lt;=0),"Menge pro Gebinde fehlt (Ist = 1 Gebinde); ","")&amp;BU1378)</f>
        <v>negativer Bestand (Export -24); grosser Artikel &amp; nicht im KTL</v>
      </c>
      <c r="BN1378" s="48"/>
      <c r="BO1378" s="48"/>
      <c r="BP1378" s="55"/>
      <c r="BQ1378" s="50" t="n">
        <v>-24</v>
      </c>
      <c r="BR1378" s="50" t="n">
        <v>44</v>
      </c>
      <c r="BS1378" s="49" t="n">
        <v>-2826.44</v>
      </c>
      <c r="BT1378" s="50" t="n">
        <v>19</v>
      </c>
      <c r="BU1378" s="48" t="s">
        <v>270</v>
      </c>
      <c r="BV1378" s="53" t="n">
        <v>0</v>
      </c>
      <c r="BW1378" s="53" t="n">
        <v>1378</v>
      </c>
      <c r="BX1378" s="48" t="str">
        <f aca="false">IF(U1378&lt;&gt;"",UPPER(TRIM(U1378)),IF(CA1378=1,UPPER(VLOOKUP(T1378,Parameter!$I$27:$K$29,2,0)),IF(P1378="","LOSE",P1378)))</f>
        <v>S71</v>
      </c>
      <c r="BY1378" s="50" t="n">
        <f aca="false">IF(BX1378="LOSE",1,IF(N(V1378)&gt;0,V1378,IF(CA1378=1,MAX(1,N(VLOOKUP(T1378,Parameter!$I$27:$K$29,3,0)),H1378,N(N1378)),IF(N(Q1378)&gt;0,Q1378,MAX(1,H1378)))))</f>
        <v>14</v>
      </c>
      <c r="BZ1378" s="53" t="n">
        <f aca="false">IF(BX1378="LOSE",1,0)</f>
        <v>0</v>
      </c>
      <c r="CA1378" s="53" t="n">
        <f aca="false">IF(AND(U1378="",OR(P1378="",P1378="LOSE"),T1378&lt;&gt;"",N(S1378)&lt;=0,ISNUMBER(MATCH(T1378,Parameter!$I$27:$I$29,0))),1,0)</f>
        <v>0</v>
      </c>
      <c r="CB1378" s="53" t="n">
        <f aca="false">IF(CQ1378&gt;0,INDEX(Parameter!$H$5:$H$7,W1378)/INDEX(Parameter!$E$5:$E$7,W1378),IF(AND(BZ1378=0,N(IFERROR(VLOOKUP(BX1378,'Gebinde-Kategorie'!$A$5:$N$45,14,0),0))&gt;0),VLOOKUP(BX1378,'Gebinde-Kategorie'!$A$5:$N$45,14,0)*10+Parameter!$M$23,Parameter!$M$24))</f>
        <v>235</v>
      </c>
      <c r="CC1378" s="48" t="str">
        <f aca="false">IF(AND(Parameter!$B$19="Ja",E1378&lt;&gt;"",ISNUMBER(MATCH(E1378,Parameter!$I$35:$I$52,0))),VLOOKUP(E1378,Parameter!$I$35:$J$52,2,0),IFERROR(VLOOKUP(D1378,Parameter!$A$35:$C$64,2,0),"Nein"))</f>
        <v>2+3</v>
      </c>
      <c r="CD1378" s="52" t="n">
        <f aca="false">IF(BZ1378=0,0,IF(N(S1378)&gt;0,S1378,IFERROR(VLOOKUP(D1378,Parameter!$A$35:$C$64,3,0)+0,0)))</f>
        <v>0</v>
      </c>
      <c r="CE1378" s="48" t="n">
        <f aca="false">IF(AA1378&lt;&gt;"",AA1378,Z1378)</f>
        <v>2</v>
      </c>
      <c r="CF1378" s="48" t="str">
        <f aca="false">IF(OR(CE1378=1,CE1378=2,CE1378=3),IF(Parameter!$E$27="Ja","LIFT",IF(CE1378=1,"L1","L23")),IF(CE1378="Aussen","Aussen","-"))</f>
        <v>LIFT</v>
      </c>
      <c r="CG1378" s="59" t="n">
        <f aca="false">IF(N(AB1378)&gt;0,AB1378,0)</f>
        <v>0</v>
      </c>
      <c r="CH1378" s="53" t="n">
        <f aca="false">IF(ISNUMBER(AE1378),1,0)</f>
        <v>0</v>
      </c>
      <c r="CI1378" s="50" t="n">
        <f aca="false">N(AE1378)</f>
        <v>0</v>
      </c>
      <c r="CJ1378" s="50" t="n">
        <f aca="false">N(M1378)+N(N1378)</f>
        <v>32</v>
      </c>
      <c r="CK1378" s="50" t="n">
        <f aca="false">N(M1378)</f>
        <v>2</v>
      </c>
      <c r="CL1378" s="50" t="n">
        <f aca="false">N(N1378)</f>
        <v>30</v>
      </c>
      <c r="CM1378" s="50" t="n">
        <f aca="false">ROUNDUP(H1378/BY1378,0)</f>
        <v>2</v>
      </c>
      <c r="CN1378" s="50" t="n">
        <f aca="false">ROUNDUP(CI1378/BY1378,0)</f>
        <v>0</v>
      </c>
      <c r="CO1378" s="53" t="n">
        <f aca="false">IF(BZ1378=1,0,IFERROR(VLOOKUP(BX1378,'Gebinde-Kategorie'!$A$5:$N$45,5,0)+0,0))</f>
        <v>20</v>
      </c>
      <c r="CP1378" s="53" t="n">
        <f aca="false">IFERROR(IF(OR(CE1378=1,CE1378=2,CE1378=3),N(INDEX(Parameter!$I$5:$I$7,CE1378)),0),0)</f>
        <v>0</v>
      </c>
      <c r="CQ1378" s="52" t="n">
        <f aca="false">IF(AND(Parameter!$B$21="Ja",ISNUMBER(W1378),N(X1378)&gt;0),IFERROR(N(INDEX(Parameter!$L$5:$L$7,W1378))*INDEX(Parameter!$E$5:$E$7,W1378)*X1378/SUMIFS($X$7:$X$1843,$W$7:$W$1843,W1378),0),0)</f>
        <v>0</v>
      </c>
    </row>
    <row r="1379" customFormat="false" ht="15" hidden="false" customHeight="false" outlineLevel="0" collapsed="false">
      <c r="A1379" s="48" t="s">
        <v>2438</v>
      </c>
      <c r="B1379" s="48" t="s">
        <v>310</v>
      </c>
      <c r="C1379" s="48" t="s">
        <v>173</v>
      </c>
      <c r="D1379" s="48" t="s">
        <v>193</v>
      </c>
      <c r="E1379" s="48" t="s">
        <v>194</v>
      </c>
      <c r="F1379" s="48" t="s">
        <v>227</v>
      </c>
      <c r="G1379" s="49" t="n">
        <v>319</v>
      </c>
      <c r="H1379" s="50" t="n">
        <f aca="false">MAX(0,IF(AND(Parameter!$B$21="Ja",ISNUMBER(Y1379)),Y1379,IF(Parameter!$B$20="Jahresanfang 2025 + Export",BR1379+BQ1379,BQ1379)))</f>
        <v>7</v>
      </c>
      <c r="I1379" s="50" t="n">
        <f aca="false">H1379*G1379</f>
        <v>2233</v>
      </c>
      <c r="J1379" s="50" t="n">
        <f aca="false">BT1379*Parameter!$B$18</f>
        <v>14</v>
      </c>
      <c r="K1379" s="51" t="n">
        <v>12.5</v>
      </c>
      <c r="L1379" s="52" t="n">
        <v>1.12</v>
      </c>
      <c r="M1379" s="50" t="n">
        <v>1</v>
      </c>
      <c r="N1379" s="50" t="n">
        <v>10</v>
      </c>
      <c r="O1379" s="53" t="n">
        <v>31</v>
      </c>
      <c r="P1379" s="48" t="s">
        <v>242</v>
      </c>
      <c r="Q1379" s="50" t="n">
        <v>28</v>
      </c>
      <c r="R1379" s="53" t="n">
        <f aca="false">IF(BZ1379=1,0,IFERROR(VLOOKUP(BX1379,'Gebinde-Kategorie'!$A$5:$N$45,13,0)+0,0))</f>
        <v>26</v>
      </c>
      <c r="S1379" s="54"/>
      <c r="T1379" s="55"/>
      <c r="U1379" s="55"/>
      <c r="V1379" s="55"/>
      <c r="W1379" s="48"/>
      <c r="X1379" s="50"/>
      <c r="Y1379" s="50"/>
      <c r="Z1379" s="48" t="n">
        <f aca="false">IF(A1379="","",IF(AND(Parameter!$B$21="Ja",ISNUMBER(W1379)),W1379,IF(CC1379="2+3",IF(ISNUMBER(SEARCH("grosser Artikel",BU1379)),2,IFERROR(VLOOKUP(BX1379,Parameter!$F$35:$G$64,2,0),2)),IF(OR(CC1379="Nein",CC1379=""),"-",CC1379))))</f>
        <v>3</v>
      </c>
      <c r="AA1379" s="55"/>
      <c r="AB1379" s="56"/>
      <c r="AC1379" s="50" t="n">
        <f aca="false">AV1379</f>
        <v>11</v>
      </c>
      <c r="AD1379" s="50" t="n">
        <f aca="false">MAX(AV1379,H1379)</f>
        <v>11</v>
      </c>
      <c r="AE1379" s="57"/>
      <c r="AF1379" s="50" t="n">
        <f aca="false">IF(LEFT(Cockpit!$C$5,1)="A",H1379,IF(Parameter!$E$30="MAX-Bestand",IF(CH1379=1,CI1379,IF(LEFT(Cockpit!$C$5,1)="B",AL1379,MAX(AL1379,H1379))),ROUNDUP(AJ1379,0)))</f>
        <v>7</v>
      </c>
      <c r="AG1379" s="50" t="n">
        <f aca="false">IF(BZ1379=1,0,ROUNDUP(AF1379/BY1379,0))</f>
        <v>1</v>
      </c>
      <c r="AH1379" s="52" t="n">
        <f aca="false">IF(CQ1379&gt;0,CQ1379*MAX(1,AF1379/X1379),IF(BZ1379=1,IF(AF1379&lt;=0,0,CD1379*MAX(1,IF(H1379&gt;0,AF1379/H1379,1))),IF(R1379&gt;0,AG1379/R1379,0))/MAX(0.1,N(Parameter!$M$21)))</f>
        <v>0.0384615384615385</v>
      </c>
      <c r="AI1379" s="50" t="n">
        <f aca="false">AH1379*CB1379</f>
        <v>9.42307692307692</v>
      </c>
      <c r="AJ1379" s="51" t="n">
        <f aca="false">IF(LEFT(Cockpit!$C$5,1)="A",H1379,IF(CH1379=1,(CK1379+CI1379)/2,IF(LEFT(Cockpit!$C$5,1)="B",(CK1379+AL1379)/2,MAX((CK1379+AL1379)/2,H1379))))</f>
        <v>7</v>
      </c>
      <c r="AK1379" s="50" t="n">
        <f aca="false">AJ1379*G1379</f>
        <v>2233</v>
      </c>
      <c r="AL1379" s="50" t="n">
        <f aca="false">ROUNDUP(CK1379+MAX(CL1379,2*(J1379/IF(CG1379&gt;0,CG1379,MAX(0.1,N(Cockpit!$C$6)))-CK1379)),0)</f>
        <v>11</v>
      </c>
      <c r="AM1379" s="51" t="n">
        <f aca="false">IF(AI1379&gt;0,J1379/AI1379,-1)</f>
        <v>1.48571428571429</v>
      </c>
      <c r="AN1379" s="51" t="n">
        <f aca="false">IF(AND(OR(CF1379="L1",CF1379="L23",CF1379="LIFT"),AI1379&gt;0),SUMIFS($AI$7:$AI$1843,$CF$7:$CF$1843,CF1379,$AM$7:$AM$1843,"&gt;"&amp;AM1379)+SUMIFS($AI$7:$AI$1843,$CF$7:$CF$1843,CF1379,$AM$7:$AM$1843,AM1379,$BW$7:$BW$1843,"&lt;="&amp;BW1379),"")</f>
        <v>6250.12225274725</v>
      </c>
      <c r="AO1379" s="58" t="n">
        <f aca="false">IF(AN1379="",0,MAX(0,MIN(1,(IF(CF1379="L1",Parameter!$H$5,IF(CF1379="L23",Parameter!$H$6+Parameter!$H$7,Parameter!$H$5+Parameter!$H$6+Parameter!$H$7))-(AN1379-AI1379))/AI1379)))</f>
        <v>1</v>
      </c>
      <c r="AP1379" s="50" t="n">
        <f aca="false">IF(LEFT(Cockpit!$I$5,1)="A",H1379,IF(Parameter!$E$30="MAX-Bestand",IF(CH1379=1,CI1379,IF(LEFT(Cockpit!$I$5,1)="B",AV1379,MAX(AV1379,H1379))),ROUNDUP(AT1379,0)))</f>
        <v>7</v>
      </c>
      <c r="AQ1379" s="50" t="n">
        <f aca="false">IF(BZ1379=1,0,ROUNDUP(AP1379/BY1379,0))</f>
        <v>1</v>
      </c>
      <c r="AR1379" s="52" t="n">
        <f aca="false">IF(CQ1379&gt;0,CQ1379*MAX(1,AP1379/X1379),IF(BZ1379=1,IF(AP1379&lt;=0,0,CD1379*MAX(1,IF(H1379&gt;0,AP1379/H1379,1))),IF(R1379&gt;0,AQ1379/R1379,0))/MAX(0.1,N(Parameter!$M$21)))</f>
        <v>0.0384615384615385</v>
      </c>
      <c r="AS1379" s="50" t="n">
        <f aca="false">AR1379*CB1379</f>
        <v>9.42307692307692</v>
      </c>
      <c r="AT1379" s="51" t="n">
        <f aca="false">IF(LEFT(Cockpit!$I$5,1)="A",H1379,IF(CH1379=1,(CK1379+CI1379)/2,IF(LEFT(Cockpit!$I$5,1)="B",(CK1379+AV1379)/2,MAX((CK1379+AV1379)/2,H1379))))</f>
        <v>7</v>
      </c>
      <c r="AU1379" s="50" t="n">
        <f aca="false">AT1379*G1379</f>
        <v>2233</v>
      </c>
      <c r="AV1379" s="50" t="n">
        <f aca="false">ROUNDUP(CK1379+MAX(CL1379,2*(J1379/IF(CG1379&gt;0,CG1379,MAX(0.1,N(Cockpit!$I$6)))-CK1379)),0)</f>
        <v>11</v>
      </c>
      <c r="AW1379" s="51" t="n">
        <f aca="false">IF(AS1379&gt;0,J1379/AS1379,-1)</f>
        <v>1.48571428571429</v>
      </c>
      <c r="AX1379" s="51" t="n">
        <f aca="false">IF(AND(OR(CF1379="L1",CF1379="L23",CF1379="LIFT"),AS1379&gt;0),SUMIFS($AS$7:$AS$1843,$CF$7:$CF$1843,CF1379,$AW$7:$AW$1843,"&gt;"&amp;AW1379)+SUMIFS($AS$7:$AS$1843,$CF$7:$CF$1843,CF1379,$AW$7:$AW$1843,AW1379,$BW$7:$BW$1843,"&lt;="&amp;BW1379),"")</f>
        <v>7768.34432234432</v>
      </c>
      <c r="AY1379" s="58" t="n">
        <f aca="false">IF(AX1379="",0,MAX(0,MIN(1,(IF(CF1379="L1",Parameter!$H$5,IF(CF1379="L23",Parameter!$H$6+Parameter!$H$7,Parameter!$H$5+Parameter!$H$6+Parameter!$H$7))-(AX1379-AS1379))/AS1379)))</f>
        <v>1</v>
      </c>
      <c r="AZ1379" s="50" t="n">
        <f aca="false">IF(LEFT(Cockpit!$O$5,1)="A",H1379,IF(Parameter!$E$30="MAX-Bestand",IF(CH1379=1,CI1379,IF(LEFT(Cockpit!$O$5,1)="B",BF1379,MAX(BF1379,H1379))),ROUNDUP(BD1379,0)))</f>
        <v>6</v>
      </c>
      <c r="BA1379" s="50" t="n">
        <f aca="false">IF(BZ1379=1,0,ROUNDUP(AZ1379/BY1379,0))</f>
        <v>1</v>
      </c>
      <c r="BB1379" s="52" t="n">
        <f aca="false">IF(CQ1379&gt;0,CQ1379*MAX(1,AZ1379/X1379),IF(BZ1379=1,IF(AZ1379&lt;=0,0,CD1379*MAX(1,IF(H1379&gt;0,AZ1379/H1379,1))),IF(R1379&gt;0,BA1379/R1379,0))/MAX(0.1,N(Parameter!$M$21)))</f>
        <v>0.0384615384615385</v>
      </c>
      <c r="BC1379" s="50" t="n">
        <f aca="false">BB1379*CB1379</f>
        <v>9.42307692307692</v>
      </c>
      <c r="BD1379" s="51" t="n">
        <f aca="false">IF(LEFT(Cockpit!$O$5,1)="A",H1379,IF(CH1379=1,(CK1379+CI1379)/2,IF(LEFT(Cockpit!$O$5,1)="B",(CK1379+BF1379)/2,MAX((CK1379+BF1379)/2,H1379))))</f>
        <v>6</v>
      </c>
      <c r="BE1379" s="50" t="n">
        <f aca="false">BD1379*G1379</f>
        <v>1914</v>
      </c>
      <c r="BF1379" s="50" t="n">
        <f aca="false">ROUNDUP(CK1379+MAX(CL1379,2*(J1379/IF(CG1379&gt;0,CG1379,MAX(0.1,N(Cockpit!$O$6)))-CK1379)),0)</f>
        <v>11</v>
      </c>
      <c r="BG1379" s="51" t="n">
        <f aca="false">IF(BC1379&gt;0,J1379/BC1379,-1)</f>
        <v>1.48571428571429</v>
      </c>
      <c r="BH1379" s="51" t="n">
        <f aca="false">IF(AND(OR(CF1379="L1",CF1379="L23",CF1379="LIFT"),BC1379&gt;0),SUMIFS($BC$7:$BC$1843,$CF$7:$CF$1843,CF1379,$BG$7:$BG$1843,"&gt;"&amp;BG1379)+SUMIFS($BC$7:$BC$1843,$CF$7:$CF$1843,CF1379,$BG$7:$BG$1843,BG1379,$BW$7:$BW$1843,"&lt;="&amp;BW1379),"")</f>
        <v>6581.0086996337</v>
      </c>
      <c r="BI1379" s="58" t="n">
        <f aca="false">IF(BH1379="",0,MAX(0,MIN(1,(IF(CF1379="L1",Parameter!$H$5,IF(CF1379="L23",Parameter!$H$6+Parameter!$H$7,Parameter!$H$5+Parameter!$H$6+Parameter!$H$7))-(BH1379-BC1379))/BC1379)))</f>
        <v>1</v>
      </c>
      <c r="BJ1379" s="48" t="str">
        <f aca="false">IF(AI1379&lt;=0,"",IF(CF1379="Aussen","Aussenlager",IF(CF1379="-","Nicht im Lift",IF(AO1379&gt;=1,"Lift",IF(AO1379&lt;=0,"Aussenlager","teilweise")))))</f>
        <v>Lift</v>
      </c>
      <c r="BK1379" s="48" t="str">
        <f aca="false">IF(AS1379&lt;=0,"",IF(CF1379="Aussen","Aussenlager",IF(CF1379="-","Nicht im Lift",IF(AY1379&gt;=1,"Lift",IF(AY1379&lt;=0,"Aussenlager","teilweise")))))</f>
        <v>Lift</v>
      </c>
      <c r="BL1379" s="48" t="str">
        <f aca="false">IF(BC1379&lt;=0,"",IF(CF1379="Aussen","Aussenlager",IF(CF1379="-","Nicht im Lift",IF(BI1379&gt;=1,"Lift",IF(BI1379&lt;=0,"Aussenlager","teilweise")))))</f>
        <v>Lift</v>
      </c>
      <c r="BM1379" s="48" t="str">
        <f aca="false">IF(A1379="","",IF(BV1379=1,"Neu; ","")&amp;IF(AND(BV1379=0,BQ1379&lt;0),"negativer Bestand (Export "&amp;BQ1379&amp;"); ","")&amp;IF(J1379&lt;=0,"Kein Verbrauch; ","")&amp;IF(CQ1379&gt;0,"Lift "&amp;W1379&amp;" lt. Liftbericht (Fach "&amp;X1379&amp;" Stk); ",IF(CA1379=1,"Gebinde geschätzt ("&amp;T1379&amp;"); ",IF(BZ1379=1,"Lose – Tablare geschätzt; ","")))&amp;IF(H1379&gt;AV1379,"Überbestand "&amp;ROUND(H1379-AV1379,0)&amp;" Stk / CHF "&amp;ROUND((H1379-AV1379)*G1379,0)&amp;"; ","")&amp;IF(AND(CH1379=1,CI1379&lt;CJ1379),"MAX &lt; MB+LG; ","")&amp;IF(AND(CP1379&gt;0,CO1379*10&gt;CP1379),"zu hoch für Tablar; ","")&amp;IF(AND(BV1379=0,OR(CH1379=1,AA1379&lt;&gt;"",U1379&lt;&gt;"",V1379&lt;&gt;"",AB1379&lt;&gt;"")),"manuell übersteuert; ","")&amp;IF(AND(BZ1379=0,R1379=0),"Gebinde unbekannt / Stellmass fehlt; ","")&amp;IF(AND(BZ1379=0,N(V1379)&lt;=0,N(Q1379)&lt;=0),"Menge pro Gebinde fehlt (Ist = 1 Gebinde); ","")&amp;BU1379)</f>
        <v>negativer Bestand (Export -9); Überbestand</v>
      </c>
      <c r="BN1379" s="48"/>
      <c r="BO1379" s="48"/>
      <c r="BP1379" s="55"/>
      <c r="BQ1379" s="50" t="n">
        <v>-9</v>
      </c>
      <c r="BR1379" s="50" t="n">
        <v>16</v>
      </c>
      <c r="BS1379" s="49" t="n">
        <v>-2871</v>
      </c>
      <c r="BT1379" s="50" t="n">
        <v>14</v>
      </c>
      <c r="BU1379" s="48" t="s">
        <v>401</v>
      </c>
      <c r="BV1379" s="53" t="n">
        <v>0</v>
      </c>
      <c r="BW1379" s="53" t="n">
        <v>1379</v>
      </c>
      <c r="BX1379" s="48" t="str">
        <f aca="false">IF(U1379&lt;&gt;"",UPPER(TRIM(U1379)),IF(CA1379=1,UPPER(VLOOKUP(T1379,Parameter!$I$27:$K$29,2,0)),IF(P1379="","LOSE",P1379)))</f>
        <v>S52</v>
      </c>
      <c r="BY1379" s="50" t="n">
        <f aca="false">IF(BX1379="LOSE",1,IF(N(V1379)&gt;0,V1379,IF(CA1379=1,MAX(1,N(VLOOKUP(T1379,Parameter!$I$27:$K$29,3,0)),H1379,N(N1379)),IF(N(Q1379)&gt;0,Q1379,MAX(1,H1379)))))</f>
        <v>28</v>
      </c>
      <c r="BZ1379" s="53" t="n">
        <f aca="false">IF(BX1379="LOSE",1,0)</f>
        <v>0</v>
      </c>
      <c r="CA1379" s="53" t="n">
        <f aca="false">IF(AND(U1379="",OR(P1379="",P1379="LOSE"),T1379&lt;&gt;"",N(S1379)&lt;=0,ISNUMBER(MATCH(T1379,Parameter!$I$27:$I$29,0))),1,0)</f>
        <v>0</v>
      </c>
      <c r="CB1379" s="53" t="n">
        <f aca="false">IF(CQ1379&gt;0,INDEX(Parameter!$H$5:$H$7,W1379)/INDEX(Parameter!$E$5:$E$7,W1379),IF(AND(BZ1379=0,N(IFERROR(VLOOKUP(BX1379,'Gebinde-Kategorie'!$A$5:$N$45,14,0),0))&gt;0),VLOOKUP(BX1379,'Gebinde-Kategorie'!$A$5:$N$45,14,0)*10+Parameter!$M$23,Parameter!$M$24))</f>
        <v>245</v>
      </c>
      <c r="CC1379" s="48" t="str">
        <f aca="false">IF(AND(Parameter!$B$19="Ja",E1379&lt;&gt;"",ISNUMBER(MATCH(E1379,Parameter!$I$35:$I$52,0))),VLOOKUP(E1379,Parameter!$I$35:$J$52,2,0),IFERROR(VLOOKUP(D1379,Parameter!$A$35:$C$64,2,0),"Nein"))</f>
        <v>2+3</v>
      </c>
      <c r="CD1379" s="52" t="n">
        <f aca="false">IF(BZ1379=0,0,IF(N(S1379)&gt;0,S1379,IFERROR(VLOOKUP(D1379,Parameter!$A$35:$C$64,3,0)+0,0)))</f>
        <v>0</v>
      </c>
      <c r="CE1379" s="48" t="n">
        <f aca="false">IF(AA1379&lt;&gt;"",AA1379,Z1379)</f>
        <v>3</v>
      </c>
      <c r="CF1379" s="48" t="str">
        <f aca="false">IF(OR(CE1379=1,CE1379=2,CE1379=3),IF(Parameter!$E$27="Ja","LIFT",IF(CE1379=1,"L1","L23")),IF(CE1379="Aussen","Aussen","-"))</f>
        <v>LIFT</v>
      </c>
      <c r="CG1379" s="59" t="n">
        <f aca="false">IF(N(AB1379)&gt;0,AB1379,0)</f>
        <v>0</v>
      </c>
      <c r="CH1379" s="53" t="n">
        <f aca="false">IF(ISNUMBER(AE1379),1,0)</f>
        <v>0</v>
      </c>
      <c r="CI1379" s="50" t="n">
        <f aca="false">N(AE1379)</f>
        <v>0</v>
      </c>
      <c r="CJ1379" s="50" t="n">
        <f aca="false">N(M1379)+N(N1379)</f>
        <v>11</v>
      </c>
      <c r="CK1379" s="50" t="n">
        <f aca="false">N(M1379)</f>
        <v>1</v>
      </c>
      <c r="CL1379" s="50" t="n">
        <f aca="false">N(N1379)</f>
        <v>10</v>
      </c>
      <c r="CM1379" s="50" t="n">
        <f aca="false">ROUNDUP(H1379/BY1379,0)</f>
        <v>1</v>
      </c>
      <c r="CN1379" s="50" t="n">
        <f aca="false">ROUNDUP(CI1379/BY1379,0)</f>
        <v>0</v>
      </c>
      <c r="CO1379" s="53" t="n">
        <f aca="false">IF(BZ1379=1,0,IFERROR(VLOOKUP(BX1379,'Gebinde-Kategorie'!$A$5:$N$45,5,0)+0,0))</f>
        <v>21</v>
      </c>
      <c r="CP1379" s="53" t="n">
        <f aca="false">IFERROR(IF(OR(CE1379=1,CE1379=2,CE1379=3),N(INDEX(Parameter!$I$5:$I$7,CE1379)),0),0)</f>
        <v>0</v>
      </c>
      <c r="CQ1379" s="52" t="n">
        <f aca="false">IF(AND(Parameter!$B$21="Ja",ISNUMBER(W1379),N(X1379)&gt;0),IFERROR(N(INDEX(Parameter!$L$5:$L$7,W1379))*INDEX(Parameter!$E$5:$E$7,W1379)*X1379/SUMIFS($X$7:$X$1843,$W$7:$W$1843,W1379),0),0)</f>
        <v>0</v>
      </c>
    </row>
    <row r="1380" customFormat="false" ht="15" hidden="false" customHeight="false" outlineLevel="0" collapsed="false">
      <c r="A1380" s="48" t="s">
        <v>2439</v>
      </c>
      <c r="B1380" s="48" t="s">
        <v>2288</v>
      </c>
      <c r="C1380" s="48" t="s">
        <v>173</v>
      </c>
      <c r="D1380" s="48" t="s">
        <v>182</v>
      </c>
      <c r="E1380" s="48" t="s">
        <v>194</v>
      </c>
      <c r="F1380" s="48" t="s">
        <v>227</v>
      </c>
      <c r="G1380" s="49" t="n">
        <v>164.4</v>
      </c>
      <c r="H1380" s="50" t="n">
        <f aca="false">MAX(0,IF(AND(Parameter!$B$21="Ja",ISNUMBER(Y1380)),Y1380,IF(Parameter!$B$20="Jahresanfang 2025 + Export",BR1380+BQ1380,BQ1380)))</f>
        <v>13</v>
      </c>
      <c r="I1380" s="50" t="n">
        <f aca="false">H1380*G1380</f>
        <v>2137.2</v>
      </c>
      <c r="J1380" s="50" t="n">
        <f aca="false">BT1380*Parameter!$B$18</f>
        <v>31</v>
      </c>
      <c r="K1380" s="51" t="n">
        <v>29</v>
      </c>
      <c r="L1380" s="52" t="n">
        <v>1.06896551724138</v>
      </c>
      <c r="M1380" s="50" t="n">
        <v>5</v>
      </c>
      <c r="N1380" s="50" t="n">
        <v>20</v>
      </c>
      <c r="O1380" s="53" t="n">
        <v>49</v>
      </c>
      <c r="P1380" s="48" t="s">
        <v>235</v>
      </c>
      <c r="Q1380" s="50" t="n">
        <v>14</v>
      </c>
      <c r="R1380" s="53" t="n">
        <f aca="false">IF(BZ1380=1,0,IFERROR(VLOOKUP(BX1380,'Gebinde-Kategorie'!$A$5:$N$45,13,0)+0,0))</f>
        <v>12</v>
      </c>
      <c r="S1380" s="54"/>
      <c r="T1380" s="55"/>
      <c r="U1380" s="55"/>
      <c r="V1380" s="55"/>
      <c r="W1380" s="48"/>
      <c r="X1380" s="50"/>
      <c r="Y1380" s="50"/>
      <c r="Z1380" s="48" t="n">
        <f aca="false">IF(A1380="","",IF(AND(Parameter!$B$21="Ja",ISNUMBER(W1380)),W1380,IF(CC1380="2+3",IF(ISNUMBER(SEARCH("grosser Artikel",BU1380)),2,IFERROR(VLOOKUP(BX1380,Parameter!$F$35:$G$64,2,0),2)),IF(OR(CC1380="Nein",CC1380=""),"-",CC1380))))</f>
        <v>2</v>
      </c>
      <c r="AA1380" s="55"/>
      <c r="AB1380" s="56"/>
      <c r="AC1380" s="50" t="n">
        <f aca="false">AV1380</f>
        <v>25</v>
      </c>
      <c r="AD1380" s="50" t="n">
        <f aca="false">MAX(AV1380,H1380)</f>
        <v>25</v>
      </c>
      <c r="AE1380" s="57"/>
      <c r="AF1380" s="50" t="n">
        <f aca="false">IF(LEFT(Cockpit!$C$5,1)="A",H1380,IF(Parameter!$E$30="MAX-Bestand",IF(CH1380=1,CI1380,IF(LEFT(Cockpit!$C$5,1)="B",AL1380,MAX(AL1380,H1380))),ROUNDUP(AJ1380,0)))</f>
        <v>13</v>
      </c>
      <c r="AG1380" s="50" t="n">
        <f aca="false">IF(BZ1380=1,0,ROUNDUP(AF1380/BY1380,0))</f>
        <v>1</v>
      </c>
      <c r="AH1380" s="52" t="n">
        <f aca="false">IF(CQ1380&gt;0,CQ1380*MAX(1,AF1380/X1380),IF(BZ1380=1,IF(AF1380&lt;=0,0,CD1380*MAX(1,IF(H1380&gt;0,AF1380/H1380,1))),IF(R1380&gt;0,AG1380/R1380,0))/MAX(0.1,N(Parameter!$M$21)))</f>
        <v>0.0833333333333333</v>
      </c>
      <c r="AI1380" s="50" t="n">
        <f aca="false">AH1380*CB1380</f>
        <v>28.75</v>
      </c>
      <c r="AJ1380" s="51" t="n">
        <f aca="false">IF(LEFT(Cockpit!$C$5,1)="A",H1380,IF(CH1380=1,(CK1380+CI1380)/2,IF(LEFT(Cockpit!$C$5,1)="B",(CK1380+AL1380)/2,MAX((CK1380+AL1380)/2,H1380))))</f>
        <v>13</v>
      </c>
      <c r="AK1380" s="50" t="n">
        <f aca="false">AJ1380*G1380</f>
        <v>2137.2</v>
      </c>
      <c r="AL1380" s="50" t="n">
        <f aca="false">ROUNDUP(CK1380+MAX(CL1380,2*(J1380/IF(CG1380&gt;0,CG1380,MAX(0.1,N(Cockpit!$C$6)))-CK1380)),0)</f>
        <v>25</v>
      </c>
      <c r="AM1380" s="51" t="n">
        <f aca="false">IF(AI1380&gt;0,J1380/AI1380,-1)</f>
        <v>1.07826086956522</v>
      </c>
      <c r="AN1380" s="51" t="n">
        <f aca="false">IF(AND(OR(CF1380="L1",CF1380="L23",CF1380="LIFT"),AI1380&gt;0),SUMIFS($AI$7:$AI$1843,$CF$7:$CF$1843,CF1380,$AM$7:$AM$1843,"&gt;"&amp;AM1380)+SUMIFS($AI$7:$AI$1843,$CF$7:$CF$1843,CF1380,$AM$7:$AM$1843,AM1380,$BW$7:$BW$1843,"&lt;="&amp;BW1380),"")</f>
        <v>6882.71840659341</v>
      </c>
      <c r="AO1380" s="58" t="n">
        <f aca="false">IF(AN1380="",0,MAX(0,MIN(1,(IF(CF1380="L1",Parameter!$H$5,IF(CF1380="L23",Parameter!$H$6+Parameter!$H$7,Parameter!$H$5+Parameter!$H$6+Parameter!$H$7))-(AN1380-AI1380))/AI1380)))</f>
        <v>1</v>
      </c>
      <c r="AP1380" s="50" t="n">
        <f aca="false">IF(LEFT(Cockpit!$I$5,1)="A",H1380,IF(Parameter!$E$30="MAX-Bestand",IF(CH1380=1,CI1380,IF(LEFT(Cockpit!$I$5,1)="B",AV1380,MAX(AV1380,H1380))),ROUNDUP(AT1380,0)))</f>
        <v>15</v>
      </c>
      <c r="AQ1380" s="50" t="n">
        <f aca="false">IF(BZ1380=1,0,ROUNDUP(AP1380/BY1380,0))</f>
        <v>2</v>
      </c>
      <c r="AR1380" s="52" t="n">
        <f aca="false">IF(CQ1380&gt;0,CQ1380*MAX(1,AP1380/X1380),IF(BZ1380=1,IF(AP1380&lt;=0,0,CD1380*MAX(1,IF(H1380&gt;0,AP1380/H1380,1))),IF(R1380&gt;0,AQ1380/R1380,0))/MAX(0.1,N(Parameter!$M$21)))</f>
        <v>0.166666666666667</v>
      </c>
      <c r="AS1380" s="50" t="n">
        <f aca="false">AR1380*CB1380</f>
        <v>57.5</v>
      </c>
      <c r="AT1380" s="51" t="n">
        <f aca="false">IF(LEFT(Cockpit!$I$5,1)="A",H1380,IF(CH1380=1,(CK1380+CI1380)/2,IF(LEFT(Cockpit!$I$5,1)="B",(CK1380+AV1380)/2,MAX((CK1380+AV1380)/2,H1380))))</f>
        <v>15</v>
      </c>
      <c r="AU1380" s="50" t="n">
        <f aca="false">AT1380*G1380</f>
        <v>2466</v>
      </c>
      <c r="AV1380" s="50" t="n">
        <f aca="false">ROUNDUP(CK1380+MAX(CL1380,2*(J1380/IF(CG1380&gt;0,CG1380,MAX(0.1,N(Cockpit!$I$6)))-CK1380)),0)</f>
        <v>25</v>
      </c>
      <c r="AW1380" s="51" t="n">
        <f aca="false">IF(AS1380&gt;0,J1380/AS1380,-1)</f>
        <v>0.539130434782609</v>
      </c>
      <c r="AX1380" s="51" t="n">
        <f aca="false">IF(AND(OR(CF1380="L1",CF1380="L23",CF1380="LIFT"),AS1380&gt;0),SUMIFS($AS$7:$AS$1843,$CF$7:$CF$1843,CF1380,$AW$7:$AW$1843,"&gt;"&amp;AW1380)+SUMIFS($AS$7:$AS$1843,$CF$7:$CF$1843,CF1380,$AW$7:$AW$1843,AW1380,$BW$7:$BW$1843,"&lt;="&amp;BW1380),"")</f>
        <v>11818.3727106227</v>
      </c>
      <c r="AY1380" s="58" t="n">
        <f aca="false">IF(AX1380="",0,MAX(0,MIN(1,(IF(CF1380="L1",Parameter!$H$5,IF(CF1380="L23",Parameter!$H$6+Parameter!$H$7,Parameter!$H$5+Parameter!$H$6+Parameter!$H$7))-(AX1380-AS1380))/AS1380)))</f>
        <v>1</v>
      </c>
      <c r="AZ1380" s="50" t="n">
        <f aca="false">IF(LEFT(Cockpit!$O$5,1)="A",H1380,IF(Parameter!$E$30="MAX-Bestand",IF(CH1380=1,CI1380,IF(LEFT(Cockpit!$O$5,1)="B",BF1380,MAX(BF1380,H1380))),ROUNDUP(BD1380,0)))</f>
        <v>15</v>
      </c>
      <c r="BA1380" s="50" t="n">
        <f aca="false">IF(BZ1380=1,0,ROUNDUP(AZ1380/BY1380,0))</f>
        <v>2</v>
      </c>
      <c r="BB1380" s="52" t="n">
        <f aca="false">IF(CQ1380&gt;0,CQ1380*MAX(1,AZ1380/X1380),IF(BZ1380=1,IF(AZ1380&lt;=0,0,CD1380*MAX(1,IF(H1380&gt;0,AZ1380/H1380,1))),IF(R1380&gt;0,BA1380/R1380,0))/MAX(0.1,N(Parameter!$M$21)))</f>
        <v>0.166666666666667</v>
      </c>
      <c r="BC1380" s="50" t="n">
        <f aca="false">BB1380*CB1380</f>
        <v>57.5</v>
      </c>
      <c r="BD1380" s="51" t="n">
        <f aca="false">IF(LEFT(Cockpit!$O$5,1)="A",H1380,IF(CH1380=1,(CK1380+CI1380)/2,IF(LEFT(Cockpit!$O$5,1)="B",(CK1380+BF1380)/2,MAX((CK1380+BF1380)/2,H1380))))</f>
        <v>15</v>
      </c>
      <c r="BE1380" s="50" t="n">
        <f aca="false">BD1380*G1380</f>
        <v>2466</v>
      </c>
      <c r="BF1380" s="50" t="n">
        <f aca="false">ROUNDUP(CK1380+MAX(CL1380,2*(J1380/IF(CG1380&gt;0,CG1380,MAX(0.1,N(Cockpit!$O$6)))-CK1380)),0)</f>
        <v>25</v>
      </c>
      <c r="BG1380" s="51" t="n">
        <f aca="false">IF(BC1380&gt;0,J1380/BC1380,-1)</f>
        <v>0.539130434782609</v>
      </c>
      <c r="BH1380" s="51" t="n">
        <f aca="false">IF(AND(OR(CF1380="L1",CF1380="L23",CF1380="LIFT"),BC1380&gt;0),SUMIFS($BC$7:$BC$1843,$CF$7:$CF$1843,CF1380,$BG$7:$BG$1843,"&gt;"&amp;BG1380)+SUMIFS($BC$7:$BC$1843,$CF$7:$CF$1843,CF1380,$BG$7:$BG$1843,BG1380,$BW$7:$BW$1843,"&lt;="&amp;BW1380),"")</f>
        <v>10205.9555860806</v>
      </c>
      <c r="BI1380" s="58" t="n">
        <f aca="false">IF(BH1380="",0,MAX(0,MIN(1,(IF(CF1380="L1",Parameter!$H$5,IF(CF1380="L23",Parameter!$H$6+Parameter!$H$7,Parameter!$H$5+Parameter!$H$6+Parameter!$H$7))-(BH1380-BC1380))/BC1380)))</f>
        <v>1</v>
      </c>
      <c r="BJ1380" s="48" t="str">
        <f aca="false">IF(AI1380&lt;=0,"",IF(CF1380="Aussen","Aussenlager",IF(CF1380="-","Nicht im Lift",IF(AO1380&gt;=1,"Lift",IF(AO1380&lt;=0,"Aussenlager","teilweise")))))</f>
        <v>Lift</v>
      </c>
      <c r="BK1380" s="48" t="str">
        <f aca="false">IF(AS1380&lt;=0,"",IF(CF1380="Aussen","Aussenlager",IF(CF1380="-","Nicht im Lift",IF(AY1380&gt;=1,"Lift",IF(AY1380&lt;=0,"Aussenlager","teilweise")))))</f>
        <v>Lift</v>
      </c>
      <c r="BL1380" s="48" t="str">
        <f aca="false">IF(BC1380&lt;=0,"",IF(CF1380="Aussen","Aussenlager",IF(CF1380="-","Nicht im Lift",IF(BI1380&gt;=1,"Lift",IF(BI1380&lt;=0,"Aussenlager","teilweise")))))</f>
        <v>Lift</v>
      </c>
      <c r="BM1380" s="48" t="str">
        <f aca="false">IF(A1380="","",IF(BV1380=1,"Neu; ","")&amp;IF(AND(BV1380=0,BQ1380&lt;0),"negativer Bestand (Export "&amp;BQ1380&amp;"); ","")&amp;IF(J1380&lt;=0,"Kein Verbrauch; ","")&amp;IF(CQ1380&gt;0,"Lift "&amp;W1380&amp;" lt. Liftbericht (Fach "&amp;X1380&amp;" Stk); ",IF(CA1380=1,"Gebinde geschätzt ("&amp;T1380&amp;"); ",IF(BZ1380=1,"Lose – Tablare geschätzt; ","")))&amp;IF(H1380&gt;AV1380,"Überbestand "&amp;ROUND(H1380-AV1380,0)&amp;" Stk / CHF "&amp;ROUND((H1380-AV1380)*G1380,0)&amp;"; ","")&amp;IF(AND(CH1380=1,CI1380&lt;CJ1380),"MAX &lt; MB+LG; ","")&amp;IF(AND(CP1380&gt;0,CO1380*10&gt;CP1380),"zu hoch für Tablar; ","")&amp;IF(AND(BV1380=0,OR(CH1380=1,AA1380&lt;&gt;"",U1380&lt;&gt;"",V1380&lt;&gt;"",AB1380&lt;&gt;"")),"manuell übersteuert; ","")&amp;IF(AND(BZ1380=0,R1380=0),"Gebinde unbekannt / Stellmass fehlt; ","")&amp;IF(AND(BZ1380=0,N(V1380)&lt;=0,N(Q1380)&lt;=0),"Menge pro Gebinde fehlt (Ist = 1 Gebinde); ","")&amp;BU1380)</f>
        <v>negativer Bestand (Export -19); Neu</v>
      </c>
      <c r="BN1380" s="48"/>
      <c r="BO1380" s="48"/>
      <c r="BP1380" s="55"/>
      <c r="BQ1380" s="50" t="n">
        <v>-19</v>
      </c>
      <c r="BR1380" s="50" t="n">
        <v>32</v>
      </c>
      <c r="BS1380" s="49" t="n">
        <v>-2923.6</v>
      </c>
      <c r="BT1380" s="50" t="n">
        <v>31</v>
      </c>
      <c r="BU1380" s="48" t="s">
        <v>635</v>
      </c>
      <c r="BV1380" s="53" t="n">
        <v>0</v>
      </c>
      <c r="BW1380" s="53" t="n">
        <v>1380</v>
      </c>
      <c r="BX1380" s="48" t="str">
        <f aca="false">IF(U1380&lt;&gt;"",UPPER(TRIM(U1380)),IF(CA1380=1,UPPER(VLOOKUP(T1380,Parameter!$I$27:$K$29,2,0)),IF(P1380="","LOSE",P1380)))</f>
        <v>S63</v>
      </c>
      <c r="BY1380" s="50" t="n">
        <f aca="false">IF(BX1380="LOSE",1,IF(N(V1380)&gt;0,V1380,IF(CA1380=1,MAX(1,N(VLOOKUP(T1380,Parameter!$I$27:$K$29,3,0)),H1380,N(N1380)),IF(N(Q1380)&gt;0,Q1380,MAX(1,H1380)))))</f>
        <v>14</v>
      </c>
      <c r="BZ1380" s="53" t="n">
        <f aca="false">IF(BX1380="LOSE",1,0)</f>
        <v>0</v>
      </c>
      <c r="CA1380" s="53" t="n">
        <f aca="false">IF(AND(U1380="",OR(P1380="",P1380="LOSE"),T1380&lt;&gt;"",N(S1380)&lt;=0,ISNUMBER(MATCH(T1380,Parameter!$I$27:$I$29,0))),1,0)</f>
        <v>0</v>
      </c>
      <c r="CB1380" s="53" t="n">
        <f aca="false">IF(CQ1380&gt;0,INDEX(Parameter!$H$5:$H$7,W1380)/INDEX(Parameter!$E$5:$E$7,W1380),IF(AND(BZ1380=0,N(IFERROR(VLOOKUP(BX1380,'Gebinde-Kategorie'!$A$5:$N$45,14,0),0))&gt;0),VLOOKUP(BX1380,'Gebinde-Kategorie'!$A$5:$N$45,14,0)*10+Parameter!$M$23,Parameter!$M$24))</f>
        <v>345</v>
      </c>
      <c r="CC1380" s="48" t="str">
        <f aca="false">IF(AND(Parameter!$B$19="Ja",E1380&lt;&gt;"",ISNUMBER(MATCH(E1380,Parameter!$I$35:$I$52,0))),VLOOKUP(E1380,Parameter!$I$35:$J$52,2,0),IFERROR(VLOOKUP(D1380,Parameter!$A$35:$C$64,2,0),"Nein"))</f>
        <v>2+3</v>
      </c>
      <c r="CD1380" s="52" t="n">
        <f aca="false">IF(BZ1380=0,0,IF(N(S1380)&gt;0,S1380,IFERROR(VLOOKUP(D1380,Parameter!$A$35:$C$64,3,0)+0,0)))</f>
        <v>0</v>
      </c>
      <c r="CE1380" s="48" t="n">
        <f aca="false">IF(AA1380&lt;&gt;"",AA1380,Z1380)</f>
        <v>2</v>
      </c>
      <c r="CF1380" s="48" t="str">
        <f aca="false">IF(OR(CE1380=1,CE1380=2,CE1380=3),IF(Parameter!$E$27="Ja","LIFT",IF(CE1380=1,"L1","L23")),IF(CE1380="Aussen","Aussen","-"))</f>
        <v>LIFT</v>
      </c>
      <c r="CG1380" s="59" t="n">
        <f aca="false">IF(N(AB1380)&gt;0,AB1380,0)</f>
        <v>0</v>
      </c>
      <c r="CH1380" s="53" t="n">
        <f aca="false">IF(ISNUMBER(AE1380),1,0)</f>
        <v>0</v>
      </c>
      <c r="CI1380" s="50" t="n">
        <f aca="false">N(AE1380)</f>
        <v>0</v>
      </c>
      <c r="CJ1380" s="50" t="n">
        <f aca="false">N(M1380)+N(N1380)</f>
        <v>25</v>
      </c>
      <c r="CK1380" s="50" t="n">
        <f aca="false">N(M1380)</f>
        <v>5</v>
      </c>
      <c r="CL1380" s="50" t="n">
        <f aca="false">N(N1380)</f>
        <v>20</v>
      </c>
      <c r="CM1380" s="50" t="n">
        <f aca="false">ROUNDUP(H1380/BY1380,0)</f>
        <v>1</v>
      </c>
      <c r="CN1380" s="50" t="n">
        <f aca="false">ROUNDUP(CI1380/BY1380,0)</f>
        <v>0</v>
      </c>
      <c r="CO1380" s="53" t="n">
        <f aca="false">IF(BZ1380=1,0,IFERROR(VLOOKUP(BX1380,'Gebinde-Kategorie'!$A$5:$N$45,5,0)+0,0))</f>
        <v>31</v>
      </c>
      <c r="CP1380" s="53" t="n">
        <f aca="false">IFERROR(IF(OR(CE1380=1,CE1380=2,CE1380=3),N(INDEX(Parameter!$I$5:$I$7,CE1380)),0),0)</f>
        <v>0</v>
      </c>
      <c r="CQ1380" s="52" t="n">
        <f aca="false">IF(AND(Parameter!$B$21="Ja",ISNUMBER(W1380),N(X1380)&gt;0),IFERROR(N(INDEX(Parameter!$L$5:$L$7,W1380))*INDEX(Parameter!$E$5:$E$7,W1380)*X1380/SUMIFS($X$7:$X$1843,$W$7:$W$1843,W1380),0),0)</f>
        <v>0</v>
      </c>
    </row>
    <row r="1381" customFormat="false" ht="15" hidden="false" customHeight="false" outlineLevel="0" collapsed="false">
      <c r="A1381" s="48" t="s">
        <v>2440</v>
      </c>
      <c r="B1381" s="48" t="s">
        <v>1048</v>
      </c>
      <c r="C1381" s="48" t="s">
        <v>176</v>
      </c>
      <c r="D1381" s="48" t="s">
        <v>193</v>
      </c>
      <c r="E1381" s="48" t="s">
        <v>194</v>
      </c>
      <c r="F1381" s="48" t="s">
        <v>227</v>
      </c>
      <c r="G1381" s="49" t="n">
        <v>40.61</v>
      </c>
      <c r="H1381" s="50" t="n">
        <f aca="false">MAX(0,IF(AND(Parameter!$B$21="Ja",ISNUMBER(Y1381)),Y1381,IF(Parameter!$B$20="Jahresanfang 2025 + Export",BR1381+BQ1381,BQ1381)))</f>
        <v>20</v>
      </c>
      <c r="I1381" s="50" t="n">
        <f aca="false">H1381*G1381</f>
        <v>812.2</v>
      </c>
      <c r="J1381" s="50" t="n">
        <f aca="false">BT1381*Parameter!$B$18</f>
        <v>88</v>
      </c>
      <c r="K1381" s="51" t="n">
        <v>56</v>
      </c>
      <c r="L1381" s="52" t="n">
        <v>1.57142857142857</v>
      </c>
      <c r="M1381" s="50" t="n">
        <v>0</v>
      </c>
      <c r="N1381" s="50" t="n">
        <v>75</v>
      </c>
      <c r="O1381" s="53" t="n">
        <v>21</v>
      </c>
      <c r="P1381" s="48" t="s">
        <v>235</v>
      </c>
      <c r="Q1381" s="50" t="n">
        <v>130</v>
      </c>
      <c r="R1381" s="53" t="n">
        <f aca="false">IF(BZ1381=1,0,IFERROR(VLOOKUP(BX1381,'Gebinde-Kategorie'!$A$5:$N$45,13,0)+0,0))</f>
        <v>12</v>
      </c>
      <c r="S1381" s="54"/>
      <c r="T1381" s="55"/>
      <c r="U1381" s="55"/>
      <c r="V1381" s="55"/>
      <c r="W1381" s="48"/>
      <c r="X1381" s="50"/>
      <c r="Y1381" s="50"/>
      <c r="Z1381" s="48" t="n">
        <f aca="false">IF(A1381="","",IF(AND(Parameter!$B$21="Ja",ISNUMBER(W1381)),W1381,IF(CC1381="2+3",IF(ISNUMBER(SEARCH("grosser Artikel",BU1381)),2,IFERROR(VLOOKUP(BX1381,Parameter!$F$35:$G$64,2,0),2)),IF(OR(CC1381="Nein",CC1381=""),"-",CC1381))))</f>
        <v>2</v>
      </c>
      <c r="AA1381" s="55"/>
      <c r="AB1381" s="56"/>
      <c r="AC1381" s="50" t="n">
        <f aca="false">AV1381</f>
        <v>75</v>
      </c>
      <c r="AD1381" s="50" t="n">
        <f aca="false">MAX(AV1381,H1381)</f>
        <v>75</v>
      </c>
      <c r="AE1381" s="57"/>
      <c r="AF1381" s="50" t="n">
        <f aca="false">IF(LEFT(Cockpit!$C$5,1)="A",H1381,IF(Parameter!$E$30="MAX-Bestand",IF(CH1381=1,CI1381,IF(LEFT(Cockpit!$C$5,1)="B",AL1381,MAX(AL1381,H1381))),ROUNDUP(AJ1381,0)))</f>
        <v>20</v>
      </c>
      <c r="AG1381" s="50" t="n">
        <f aca="false">IF(BZ1381=1,0,ROUNDUP(AF1381/BY1381,0))</f>
        <v>1</v>
      </c>
      <c r="AH1381" s="52" t="n">
        <f aca="false">IF(CQ1381&gt;0,CQ1381*MAX(1,AF1381/X1381),IF(BZ1381=1,IF(AF1381&lt;=0,0,CD1381*MAX(1,IF(H1381&gt;0,AF1381/H1381,1))),IF(R1381&gt;0,AG1381/R1381,0))/MAX(0.1,N(Parameter!$M$21)))</f>
        <v>0.0833333333333333</v>
      </c>
      <c r="AI1381" s="50" t="n">
        <f aca="false">AH1381*CB1381</f>
        <v>28.75</v>
      </c>
      <c r="AJ1381" s="51" t="n">
        <f aca="false">IF(LEFT(Cockpit!$C$5,1)="A",H1381,IF(CH1381=1,(CK1381+CI1381)/2,IF(LEFT(Cockpit!$C$5,1)="B",(CK1381+AL1381)/2,MAX((CK1381+AL1381)/2,H1381))))</f>
        <v>20</v>
      </c>
      <c r="AK1381" s="50" t="n">
        <f aca="false">AJ1381*G1381</f>
        <v>812.2</v>
      </c>
      <c r="AL1381" s="50" t="n">
        <f aca="false">ROUNDUP(CK1381+MAX(CL1381,2*(J1381/IF(CG1381&gt;0,CG1381,MAX(0.1,N(Cockpit!$C$6)))-CK1381)),0)</f>
        <v>75</v>
      </c>
      <c r="AM1381" s="51" t="n">
        <f aca="false">IF(AI1381&gt;0,J1381/AI1381,-1)</f>
        <v>3.06086956521739</v>
      </c>
      <c r="AN1381" s="51" t="n">
        <f aca="false">IF(AND(OR(CF1381="L1",CF1381="L23",CF1381="LIFT"),AI1381&gt;0),SUMIFS($AI$7:$AI$1843,$CF$7:$CF$1843,CF1381,$AM$7:$AM$1843,"&gt;"&amp;AM1381)+SUMIFS($AI$7:$AI$1843,$CF$7:$CF$1843,CF1381,$AM$7:$AM$1843,AM1381,$BW$7:$BW$1843,"&lt;="&amp;BW1381),"")</f>
        <v>5069.83470695971</v>
      </c>
      <c r="AO1381" s="58" t="n">
        <f aca="false">IF(AN1381="",0,MAX(0,MIN(1,(IF(CF1381="L1",Parameter!$H$5,IF(CF1381="L23",Parameter!$H$6+Parameter!$H$7,Parameter!$H$5+Parameter!$H$6+Parameter!$H$7))-(AN1381-AI1381))/AI1381)))</f>
        <v>1</v>
      </c>
      <c r="AP1381" s="50" t="n">
        <f aca="false">IF(LEFT(Cockpit!$I$5,1)="A",H1381,IF(Parameter!$E$30="MAX-Bestand",IF(CH1381=1,CI1381,IF(LEFT(Cockpit!$I$5,1)="B",AV1381,MAX(AV1381,H1381))),ROUNDUP(AT1381,0)))</f>
        <v>38</v>
      </c>
      <c r="AQ1381" s="50" t="n">
        <f aca="false">IF(BZ1381=1,0,ROUNDUP(AP1381/BY1381,0))</f>
        <v>1</v>
      </c>
      <c r="AR1381" s="52" t="n">
        <f aca="false">IF(CQ1381&gt;0,CQ1381*MAX(1,AP1381/X1381),IF(BZ1381=1,IF(AP1381&lt;=0,0,CD1381*MAX(1,IF(H1381&gt;0,AP1381/H1381,1))),IF(R1381&gt;0,AQ1381/R1381,0))/MAX(0.1,N(Parameter!$M$21)))</f>
        <v>0.0833333333333333</v>
      </c>
      <c r="AS1381" s="50" t="n">
        <f aca="false">AR1381*CB1381</f>
        <v>28.75</v>
      </c>
      <c r="AT1381" s="51" t="n">
        <f aca="false">IF(LEFT(Cockpit!$I$5,1)="A",H1381,IF(CH1381=1,(CK1381+CI1381)/2,IF(LEFT(Cockpit!$I$5,1)="B",(CK1381+AV1381)/2,MAX((CK1381+AV1381)/2,H1381))))</f>
        <v>37.5</v>
      </c>
      <c r="AU1381" s="50" t="n">
        <f aca="false">AT1381*G1381</f>
        <v>1522.875</v>
      </c>
      <c r="AV1381" s="50" t="n">
        <f aca="false">ROUNDUP(CK1381+MAX(CL1381,2*(J1381/IF(CG1381&gt;0,CG1381,MAX(0.1,N(Cockpit!$I$6)))-CK1381)),0)</f>
        <v>75</v>
      </c>
      <c r="AW1381" s="51" t="n">
        <f aca="false">IF(AS1381&gt;0,J1381/AS1381,-1)</f>
        <v>3.06086956521739</v>
      </c>
      <c r="AX1381" s="51" t="n">
        <f aca="false">IF(AND(OR(CF1381="L1",CF1381="L23",CF1381="LIFT"),AS1381&gt;0),SUMIFS($AS$7:$AS$1843,$CF$7:$CF$1843,CF1381,$AW$7:$AW$1843,"&gt;"&amp;AW1381)+SUMIFS($AS$7:$AS$1843,$CF$7:$CF$1843,CF1381,$AW$7:$AW$1843,AW1381,$BW$7:$BW$1843,"&lt;="&amp;BW1381),"")</f>
        <v>5825.88324175824</v>
      </c>
      <c r="AY1381" s="58" t="n">
        <f aca="false">IF(AX1381="",0,MAX(0,MIN(1,(IF(CF1381="L1",Parameter!$H$5,IF(CF1381="L23",Parameter!$H$6+Parameter!$H$7,Parameter!$H$5+Parameter!$H$6+Parameter!$H$7))-(AX1381-AS1381))/AS1381)))</f>
        <v>1</v>
      </c>
      <c r="AZ1381" s="50" t="n">
        <f aca="false">IF(LEFT(Cockpit!$O$5,1)="A",H1381,IF(Parameter!$E$30="MAX-Bestand",IF(CH1381=1,CI1381,IF(LEFT(Cockpit!$O$5,1)="B",BF1381,MAX(BF1381,H1381))),ROUNDUP(BD1381,0)))</f>
        <v>38</v>
      </c>
      <c r="BA1381" s="50" t="n">
        <f aca="false">IF(BZ1381=1,0,ROUNDUP(AZ1381/BY1381,0))</f>
        <v>1</v>
      </c>
      <c r="BB1381" s="52" t="n">
        <f aca="false">IF(CQ1381&gt;0,CQ1381*MAX(1,AZ1381/X1381),IF(BZ1381=1,IF(AZ1381&lt;=0,0,CD1381*MAX(1,IF(H1381&gt;0,AZ1381/H1381,1))),IF(R1381&gt;0,BA1381/R1381,0))/MAX(0.1,N(Parameter!$M$21)))</f>
        <v>0.0833333333333333</v>
      </c>
      <c r="BC1381" s="50" t="n">
        <f aca="false">BB1381*CB1381</f>
        <v>28.75</v>
      </c>
      <c r="BD1381" s="51" t="n">
        <f aca="false">IF(LEFT(Cockpit!$O$5,1)="A",H1381,IF(CH1381=1,(CK1381+CI1381)/2,IF(LEFT(Cockpit!$O$5,1)="B",(CK1381+BF1381)/2,MAX((CK1381+BF1381)/2,H1381))))</f>
        <v>37.5</v>
      </c>
      <c r="BE1381" s="50" t="n">
        <f aca="false">BD1381*G1381</f>
        <v>1522.875</v>
      </c>
      <c r="BF1381" s="50" t="n">
        <f aca="false">ROUNDUP(CK1381+MAX(CL1381,2*(J1381/IF(CG1381&gt;0,CG1381,MAX(0.1,N(Cockpit!$O$6)))-CK1381)),0)</f>
        <v>75</v>
      </c>
      <c r="BG1381" s="51" t="n">
        <f aca="false">IF(BC1381&gt;0,J1381/BC1381,-1)</f>
        <v>3.06086956521739</v>
      </c>
      <c r="BH1381" s="51" t="n">
        <f aca="false">IF(AND(OR(CF1381="L1",CF1381="L23",CF1381="LIFT"),BC1381&gt;0),SUMIFS($BC$7:$BC$1843,$CF$7:$CF$1843,CF1381,$BG$7:$BG$1843,"&gt;"&amp;BG1381)+SUMIFS($BC$7:$BC$1843,$CF$7:$CF$1843,CF1381,$BG$7:$BG$1843,BG1381,$BW$7:$BW$1843,"&lt;="&amp;BW1381),"")</f>
        <v>4770.29990842491</v>
      </c>
      <c r="BI1381" s="58" t="n">
        <f aca="false">IF(BH1381="",0,MAX(0,MIN(1,(IF(CF1381="L1",Parameter!$H$5,IF(CF1381="L23",Parameter!$H$6+Parameter!$H$7,Parameter!$H$5+Parameter!$H$6+Parameter!$H$7))-(BH1381-BC1381))/BC1381)))</f>
        <v>1</v>
      </c>
      <c r="BJ1381" s="48" t="str">
        <f aca="false">IF(AI1381&lt;=0,"",IF(CF1381="Aussen","Aussenlager",IF(CF1381="-","Nicht im Lift",IF(AO1381&gt;=1,"Lift",IF(AO1381&lt;=0,"Aussenlager","teilweise")))))</f>
        <v>Lift</v>
      </c>
      <c r="BK1381" s="48" t="str">
        <f aca="false">IF(AS1381&lt;=0,"",IF(CF1381="Aussen","Aussenlager",IF(CF1381="-","Nicht im Lift",IF(AY1381&gt;=1,"Lift",IF(AY1381&lt;=0,"Aussenlager","teilweise")))))</f>
        <v>Lift</v>
      </c>
      <c r="BL1381" s="48" t="str">
        <f aca="false">IF(BC1381&lt;=0,"",IF(CF1381="Aussen","Aussenlager",IF(CF1381="-","Nicht im Lift",IF(BI1381&gt;=1,"Lift",IF(BI1381&lt;=0,"Aussenlager","teilweise")))))</f>
        <v>Lift</v>
      </c>
      <c r="BM1381" s="48" t="str">
        <f aca="false">IF(A1381="","",IF(BV1381=1,"Neu; ","")&amp;IF(AND(BV1381=0,BQ1381&lt;0),"negativer Bestand (Export "&amp;BQ1381&amp;"); ","")&amp;IF(J1381&lt;=0,"Kein Verbrauch; ","")&amp;IF(CQ1381&gt;0,"Lift "&amp;W1381&amp;" lt. Liftbericht (Fach "&amp;X1381&amp;" Stk); ",IF(CA1381=1,"Gebinde geschätzt ("&amp;T1381&amp;"); ",IF(BZ1381=1,"Lose – Tablare geschätzt; ","")))&amp;IF(H1381&gt;AV1381,"Überbestand "&amp;ROUND(H1381-AV1381,0)&amp;" Stk / CHF "&amp;ROUND((H1381-AV1381)*G1381,0)&amp;"; ","")&amp;IF(AND(CH1381=1,CI1381&lt;CJ1381),"MAX &lt; MB+LG; ","")&amp;IF(AND(CP1381&gt;0,CO1381*10&gt;CP1381),"zu hoch für Tablar; ","")&amp;IF(AND(BV1381=0,OR(CH1381=1,AA1381&lt;&gt;"",U1381&lt;&gt;"",V1381&lt;&gt;"",AB1381&lt;&gt;"")),"manuell übersteuert; ","")&amp;IF(AND(BZ1381=0,R1381=0),"Gebinde unbekannt / Stellmass fehlt; ","")&amp;IF(AND(BZ1381=0,N(V1381)&lt;=0,N(Q1381)&lt;=0),"Menge pro Gebinde fehlt (Ist = 1 Gebinde); ","")&amp;BU1381)</f>
        <v>negativer Bestand (Export -72); </v>
      </c>
      <c r="BN1381" s="48"/>
      <c r="BO1381" s="48"/>
      <c r="BP1381" s="55"/>
      <c r="BQ1381" s="50" t="n">
        <v>-72</v>
      </c>
      <c r="BR1381" s="50" t="n">
        <v>92</v>
      </c>
      <c r="BS1381" s="49" t="n">
        <v>-2923.92</v>
      </c>
      <c r="BT1381" s="50" t="n">
        <v>88</v>
      </c>
      <c r="BU1381" s="48"/>
      <c r="BV1381" s="53" t="n">
        <v>0</v>
      </c>
      <c r="BW1381" s="53" t="n">
        <v>1381</v>
      </c>
      <c r="BX1381" s="48" t="str">
        <f aca="false">IF(U1381&lt;&gt;"",UPPER(TRIM(U1381)),IF(CA1381=1,UPPER(VLOOKUP(T1381,Parameter!$I$27:$K$29,2,0)),IF(P1381="","LOSE",P1381)))</f>
        <v>S63</v>
      </c>
      <c r="BY1381" s="50" t="n">
        <f aca="false">IF(BX1381="LOSE",1,IF(N(V1381)&gt;0,V1381,IF(CA1381=1,MAX(1,N(VLOOKUP(T1381,Parameter!$I$27:$K$29,3,0)),H1381,N(N1381)),IF(N(Q1381)&gt;0,Q1381,MAX(1,H1381)))))</f>
        <v>130</v>
      </c>
      <c r="BZ1381" s="53" t="n">
        <f aca="false">IF(BX1381="LOSE",1,0)</f>
        <v>0</v>
      </c>
      <c r="CA1381" s="53" t="n">
        <f aca="false">IF(AND(U1381="",OR(P1381="",P1381="LOSE"),T1381&lt;&gt;"",N(S1381)&lt;=0,ISNUMBER(MATCH(T1381,Parameter!$I$27:$I$29,0))),1,0)</f>
        <v>0</v>
      </c>
      <c r="CB1381" s="53" t="n">
        <f aca="false">IF(CQ1381&gt;0,INDEX(Parameter!$H$5:$H$7,W1381)/INDEX(Parameter!$E$5:$E$7,W1381),IF(AND(BZ1381=0,N(IFERROR(VLOOKUP(BX1381,'Gebinde-Kategorie'!$A$5:$N$45,14,0),0))&gt;0),VLOOKUP(BX1381,'Gebinde-Kategorie'!$A$5:$N$45,14,0)*10+Parameter!$M$23,Parameter!$M$24))</f>
        <v>345</v>
      </c>
      <c r="CC1381" s="48" t="str">
        <f aca="false">IF(AND(Parameter!$B$19="Ja",E1381&lt;&gt;"",ISNUMBER(MATCH(E1381,Parameter!$I$35:$I$52,0))),VLOOKUP(E1381,Parameter!$I$35:$J$52,2,0),IFERROR(VLOOKUP(D1381,Parameter!$A$35:$C$64,2,0),"Nein"))</f>
        <v>2+3</v>
      </c>
      <c r="CD1381" s="52" t="n">
        <f aca="false">IF(BZ1381=0,0,IF(N(S1381)&gt;0,S1381,IFERROR(VLOOKUP(D1381,Parameter!$A$35:$C$64,3,0)+0,0)))</f>
        <v>0</v>
      </c>
      <c r="CE1381" s="48" t="n">
        <f aca="false">IF(AA1381&lt;&gt;"",AA1381,Z1381)</f>
        <v>2</v>
      </c>
      <c r="CF1381" s="48" t="str">
        <f aca="false">IF(OR(CE1381=1,CE1381=2,CE1381=3),IF(Parameter!$E$27="Ja","LIFT",IF(CE1381=1,"L1","L23")),IF(CE1381="Aussen","Aussen","-"))</f>
        <v>LIFT</v>
      </c>
      <c r="CG1381" s="59" t="n">
        <f aca="false">IF(N(AB1381)&gt;0,AB1381,0)</f>
        <v>0</v>
      </c>
      <c r="CH1381" s="53" t="n">
        <f aca="false">IF(ISNUMBER(AE1381),1,0)</f>
        <v>0</v>
      </c>
      <c r="CI1381" s="50" t="n">
        <f aca="false">N(AE1381)</f>
        <v>0</v>
      </c>
      <c r="CJ1381" s="50" t="n">
        <f aca="false">N(M1381)+N(N1381)</f>
        <v>75</v>
      </c>
      <c r="CK1381" s="50" t="n">
        <f aca="false">N(M1381)</f>
        <v>0</v>
      </c>
      <c r="CL1381" s="50" t="n">
        <f aca="false">N(N1381)</f>
        <v>75</v>
      </c>
      <c r="CM1381" s="50" t="n">
        <f aca="false">ROUNDUP(H1381/BY1381,0)</f>
        <v>1</v>
      </c>
      <c r="CN1381" s="50" t="n">
        <f aca="false">ROUNDUP(CI1381/BY1381,0)</f>
        <v>0</v>
      </c>
      <c r="CO1381" s="53" t="n">
        <f aca="false">IF(BZ1381=1,0,IFERROR(VLOOKUP(BX1381,'Gebinde-Kategorie'!$A$5:$N$45,5,0)+0,0))</f>
        <v>31</v>
      </c>
      <c r="CP1381" s="53" t="n">
        <f aca="false">IFERROR(IF(OR(CE1381=1,CE1381=2,CE1381=3),N(INDEX(Parameter!$I$5:$I$7,CE1381)),0),0)</f>
        <v>0</v>
      </c>
      <c r="CQ1381" s="52" t="n">
        <f aca="false">IF(AND(Parameter!$B$21="Ja",ISNUMBER(W1381),N(X1381)&gt;0),IFERROR(N(INDEX(Parameter!$L$5:$L$7,W1381))*INDEX(Parameter!$E$5:$E$7,W1381)*X1381/SUMIFS($X$7:$X$1843,$W$7:$W$1843,W1381),0),0)</f>
        <v>0</v>
      </c>
    </row>
    <row r="1382" customFormat="false" ht="15" hidden="false" customHeight="false" outlineLevel="0" collapsed="false">
      <c r="A1382" s="48" t="s">
        <v>2441</v>
      </c>
      <c r="B1382" s="48" t="s">
        <v>422</v>
      </c>
      <c r="C1382" s="48" t="s">
        <v>173</v>
      </c>
      <c r="D1382" s="48" t="s">
        <v>182</v>
      </c>
      <c r="E1382" s="48"/>
      <c r="F1382" s="48" t="s">
        <v>227</v>
      </c>
      <c r="G1382" s="49" t="n">
        <v>199.67</v>
      </c>
      <c r="H1382" s="50" t="n">
        <f aca="false">MAX(0,IF(AND(Parameter!$B$21="Ja",ISNUMBER(Y1382)),Y1382,IF(Parameter!$B$20="Jahresanfang 2025 + Export",BR1382+BQ1382,BQ1382)))</f>
        <v>0</v>
      </c>
      <c r="I1382" s="50" t="n">
        <f aca="false">H1382*G1382</f>
        <v>0</v>
      </c>
      <c r="J1382" s="50" t="n">
        <f aca="false">BT1382*Parameter!$B$18</f>
        <v>33</v>
      </c>
      <c r="K1382" s="51" t="n">
        <v>8</v>
      </c>
      <c r="L1382" s="52" t="n">
        <v>4.125</v>
      </c>
      <c r="M1382" s="50" t="n">
        <v>0</v>
      </c>
      <c r="N1382" s="50" t="n">
        <v>15</v>
      </c>
      <c r="O1382" s="53" t="n">
        <v>14</v>
      </c>
      <c r="P1382" s="48" t="s">
        <v>242</v>
      </c>
      <c r="Q1382" s="50" t="n">
        <v>6</v>
      </c>
      <c r="R1382" s="53" t="n">
        <f aca="false">IF(BZ1382=1,0,IFERROR(VLOOKUP(BX1382,'Gebinde-Kategorie'!$A$5:$N$45,13,0)+0,0))</f>
        <v>26</v>
      </c>
      <c r="S1382" s="54"/>
      <c r="T1382" s="55"/>
      <c r="U1382" s="55"/>
      <c r="V1382" s="55"/>
      <c r="W1382" s="48"/>
      <c r="X1382" s="50"/>
      <c r="Y1382" s="50"/>
      <c r="Z1382" s="48" t="n">
        <f aca="false">IF(A1382="","",IF(AND(Parameter!$B$21="Ja",ISNUMBER(W1382)),W1382,IF(CC1382="2+3",IF(ISNUMBER(SEARCH("grosser Artikel",BU1382)),2,IFERROR(VLOOKUP(BX1382,Parameter!$F$35:$G$64,2,0),2)),IF(OR(CC1382="Nein",CC1382=""),"-",CC1382))))</f>
        <v>3</v>
      </c>
      <c r="AA1382" s="55"/>
      <c r="AB1382" s="56"/>
      <c r="AC1382" s="50" t="n">
        <f aca="false">AV1382</f>
        <v>22</v>
      </c>
      <c r="AD1382" s="50" t="n">
        <f aca="false">MAX(AV1382,H1382)</f>
        <v>22</v>
      </c>
      <c r="AE1382" s="57"/>
      <c r="AF1382" s="50" t="n">
        <f aca="false">IF(LEFT(Cockpit!$C$5,1)="A",H1382,IF(Parameter!$E$30="MAX-Bestand",IF(CH1382=1,CI1382,IF(LEFT(Cockpit!$C$5,1)="B",AL1382,MAX(AL1382,H1382))),ROUNDUP(AJ1382,0)))</f>
        <v>0</v>
      </c>
      <c r="AG1382" s="50" t="n">
        <f aca="false">IF(BZ1382=1,0,ROUNDUP(AF1382/BY1382,0))</f>
        <v>0</v>
      </c>
      <c r="AH1382" s="52" t="n">
        <f aca="false">IF(CQ1382&gt;0,CQ1382*MAX(1,AF1382/X1382),IF(BZ1382=1,IF(AF1382&lt;=0,0,CD1382*MAX(1,IF(H1382&gt;0,AF1382/H1382,1))),IF(R1382&gt;0,AG1382/R1382,0))/MAX(0.1,N(Parameter!$M$21)))</f>
        <v>0</v>
      </c>
      <c r="AI1382" s="50" t="n">
        <f aca="false">AH1382*CB1382</f>
        <v>0</v>
      </c>
      <c r="AJ1382" s="51" t="n">
        <f aca="false">IF(LEFT(Cockpit!$C$5,1)="A",H1382,IF(CH1382=1,(CK1382+CI1382)/2,IF(LEFT(Cockpit!$C$5,1)="B",(CK1382+AL1382)/2,MAX((CK1382+AL1382)/2,H1382))))</f>
        <v>0</v>
      </c>
      <c r="AK1382" s="50" t="n">
        <f aca="false">AJ1382*G1382</f>
        <v>0</v>
      </c>
      <c r="AL1382" s="50" t="n">
        <f aca="false">ROUNDUP(CK1382+MAX(CL1382,2*(J1382/IF(CG1382&gt;0,CG1382,MAX(0.1,N(Cockpit!$C$6)))-CK1382)),0)</f>
        <v>22</v>
      </c>
      <c r="AM1382" s="51" t="n">
        <f aca="false">IF(AI1382&gt;0,J1382/AI1382,-1)</f>
        <v>-1</v>
      </c>
      <c r="AN1382" s="51" t="str">
        <f aca="false">IF(AND(OR(CF1382="L1",CF1382="L23",CF1382="LIFT"),AI1382&gt;0),SUMIFS($AI$7:$AI$1843,$CF$7:$CF$1843,CF1382,$AM$7:$AM$1843,"&gt;"&amp;AM1382)+SUMIFS($AI$7:$AI$1843,$CF$7:$CF$1843,CF1382,$AM$7:$AM$1843,AM1382,$BW$7:$BW$1843,"&lt;="&amp;BW1382),"")</f>
        <v/>
      </c>
      <c r="AO1382" s="58" t="n">
        <f aca="false">IF(AN1382="",0,MAX(0,MIN(1,(IF(CF1382="L1",Parameter!$H$5,IF(CF1382="L23",Parameter!$H$6+Parameter!$H$7,Parameter!$H$5+Parameter!$H$6+Parameter!$H$7))-(AN1382-AI1382))/AI1382)))</f>
        <v>0</v>
      </c>
      <c r="AP1382" s="50" t="n">
        <f aca="false">IF(LEFT(Cockpit!$I$5,1)="A",H1382,IF(Parameter!$E$30="MAX-Bestand",IF(CH1382=1,CI1382,IF(LEFT(Cockpit!$I$5,1)="B",AV1382,MAX(AV1382,H1382))),ROUNDUP(AT1382,0)))</f>
        <v>11</v>
      </c>
      <c r="AQ1382" s="50" t="n">
        <f aca="false">IF(BZ1382=1,0,ROUNDUP(AP1382/BY1382,0))</f>
        <v>2</v>
      </c>
      <c r="AR1382" s="52" t="n">
        <f aca="false">IF(CQ1382&gt;0,CQ1382*MAX(1,AP1382/X1382),IF(BZ1382=1,IF(AP1382&lt;=0,0,CD1382*MAX(1,IF(H1382&gt;0,AP1382/H1382,1))),IF(R1382&gt;0,AQ1382/R1382,0))/MAX(0.1,N(Parameter!$M$21)))</f>
        <v>0.0769230769230769</v>
      </c>
      <c r="AS1382" s="50" t="n">
        <f aca="false">AR1382*CB1382</f>
        <v>18.8461538461538</v>
      </c>
      <c r="AT1382" s="51" t="n">
        <f aca="false">IF(LEFT(Cockpit!$I$5,1)="A",H1382,IF(CH1382=1,(CK1382+CI1382)/2,IF(LEFT(Cockpit!$I$5,1)="B",(CK1382+AV1382)/2,MAX((CK1382+AV1382)/2,H1382))))</f>
        <v>11</v>
      </c>
      <c r="AU1382" s="50" t="n">
        <f aca="false">AT1382*G1382</f>
        <v>2196.37</v>
      </c>
      <c r="AV1382" s="50" t="n">
        <f aca="false">ROUNDUP(CK1382+MAX(CL1382,2*(J1382/IF(CG1382&gt;0,CG1382,MAX(0.1,N(Cockpit!$I$6)))-CK1382)),0)</f>
        <v>22</v>
      </c>
      <c r="AW1382" s="51" t="n">
        <f aca="false">IF(AS1382&gt;0,J1382/AS1382,-1)</f>
        <v>1.75102040816327</v>
      </c>
      <c r="AX1382" s="51" t="n">
        <f aca="false">IF(AND(OR(CF1382="L1",CF1382="L23",CF1382="LIFT"),AS1382&gt;0),SUMIFS($AS$7:$AS$1843,$CF$7:$CF$1843,CF1382,$AW$7:$AW$1843,"&gt;"&amp;AW1382)+SUMIFS($AS$7:$AS$1843,$CF$7:$CF$1843,CF1382,$AW$7:$AW$1843,AW1382,$BW$7:$BW$1843,"&lt;="&amp;BW1382),"")</f>
        <v>7464.75457875458</v>
      </c>
      <c r="AY1382" s="58" t="n">
        <f aca="false">IF(AX1382="",0,MAX(0,MIN(1,(IF(CF1382="L1",Parameter!$H$5,IF(CF1382="L23",Parameter!$H$6+Parameter!$H$7,Parameter!$H$5+Parameter!$H$6+Parameter!$H$7))-(AX1382-AS1382))/AS1382)))</f>
        <v>1</v>
      </c>
      <c r="AZ1382" s="50" t="n">
        <f aca="false">IF(LEFT(Cockpit!$O$5,1)="A",H1382,IF(Parameter!$E$30="MAX-Bestand",IF(CH1382=1,CI1382,IF(LEFT(Cockpit!$O$5,1)="B",BF1382,MAX(BF1382,H1382))),ROUNDUP(BD1382,0)))</f>
        <v>9</v>
      </c>
      <c r="BA1382" s="50" t="n">
        <f aca="false">IF(BZ1382=1,0,ROUNDUP(AZ1382/BY1382,0))</f>
        <v>2</v>
      </c>
      <c r="BB1382" s="52" t="n">
        <f aca="false">IF(CQ1382&gt;0,CQ1382*MAX(1,AZ1382/X1382),IF(BZ1382=1,IF(AZ1382&lt;=0,0,CD1382*MAX(1,IF(H1382&gt;0,AZ1382/H1382,1))),IF(R1382&gt;0,BA1382/R1382,0))/MAX(0.1,N(Parameter!$M$21)))</f>
        <v>0.0769230769230769</v>
      </c>
      <c r="BC1382" s="50" t="n">
        <f aca="false">BB1382*CB1382</f>
        <v>18.8461538461538</v>
      </c>
      <c r="BD1382" s="51" t="n">
        <f aca="false">IF(LEFT(Cockpit!$O$5,1)="A",H1382,IF(CH1382=1,(CK1382+CI1382)/2,IF(LEFT(Cockpit!$O$5,1)="B",(CK1382+BF1382)/2,MAX((CK1382+BF1382)/2,H1382))))</f>
        <v>8.5</v>
      </c>
      <c r="BE1382" s="50" t="n">
        <f aca="false">BD1382*G1382</f>
        <v>1697.195</v>
      </c>
      <c r="BF1382" s="50" t="n">
        <f aca="false">ROUNDUP(CK1382+MAX(CL1382,2*(J1382/IF(CG1382&gt;0,CG1382,MAX(0.1,N(Cockpit!$O$6)))-CK1382)),0)</f>
        <v>17</v>
      </c>
      <c r="BG1382" s="51" t="n">
        <f aca="false">IF(BC1382&gt;0,J1382/BC1382,-1)</f>
        <v>1.75102040816327</v>
      </c>
      <c r="BH1382" s="51" t="n">
        <f aca="false">IF(AND(OR(CF1382="L1",CF1382="L23",CF1382="LIFT"),BC1382&gt;0),SUMIFS($BC$7:$BC$1843,$CF$7:$CF$1843,CF1382,$BG$7:$BG$1843,"&gt;"&amp;BG1382)+SUMIFS($BC$7:$BC$1843,$CF$7:$CF$1843,CF1382,$BG$7:$BG$1843,BG1382,$BW$7:$BW$1843,"&lt;="&amp;BW1382),"")</f>
        <v>6270.17536630037</v>
      </c>
      <c r="BI1382" s="58" t="n">
        <f aca="false">IF(BH1382="",0,MAX(0,MIN(1,(IF(CF1382="L1",Parameter!$H$5,IF(CF1382="L23",Parameter!$H$6+Parameter!$H$7,Parameter!$H$5+Parameter!$H$6+Parameter!$H$7))-(BH1382-BC1382))/BC1382)))</f>
        <v>1</v>
      </c>
      <c r="BJ1382" s="48" t="str">
        <f aca="false">IF(AI1382&lt;=0,"",IF(CF1382="Aussen","Aussenlager",IF(CF1382="-","Nicht im Lift",IF(AO1382&gt;=1,"Lift",IF(AO1382&lt;=0,"Aussenlager","teilweise")))))</f>
        <v/>
      </c>
      <c r="BK1382" s="48" t="str">
        <f aca="false">IF(AS1382&lt;=0,"",IF(CF1382="Aussen","Aussenlager",IF(CF1382="-","Nicht im Lift",IF(AY1382&gt;=1,"Lift",IF(AY1382&lt;=0,"Aussenlager","teilweise")))))</f>
        <v>Lift</v>
      </c>
      <c r="BL1382" s="48" t="str">
        <f aca="false">IF(BC1382&lt;=0,"",IF(CF1382="Aussen","Aussenlager",IF(CF1382="-","Nicht im Lift",IF(BI1382&gt;=1,"Lift",IF(BI1382&lt;=0,"Aussenlager","teilweise")))))</f>
        <v>Lift</v>
      </c>
      <c r="BM1382" s="48" t="str">
        <f aca="false">IF(A1382="","",IF(BV1382=1,"Neu; ","")&amp;IF(AND(BV1382=0,BQ1382&lt;0),"negativer Bestand (Export "&amp;BQ1382&amp;"); ","")&amp;IF(J1382&lt;=0,"Kein Verbrauch; ","")&amp;IF(CQ1382&gt;0,"Lift "&amp;W1382&amp;" lt. Liftbericht (Fach "&amp;X1382&amp;" Stk); ",IF(CA1382=1,"Gebinde geschätzt ("&amp;T1382&amp;"); ",IF(BZ1382=1,"Lose – Tablare geschätzt; ","")))&amp;IF(H1382&gt;AV1382,"Überbestand "&amp;ROUND(H1382-AV1382,0)&amp;" Stk / CHF "&amp;ROUND((H1382-AV1382)*G1382,0)&amp;"; ","")&amp;IF(AND(CH1382=1,CI1382&lt;CJ1382),"MAX &lt; MB+LG; ","")&amp;IF(AND(CP1382&gt;0,CO1382*10&gt;CP1382),"zu hoch für Tablar; ","")&amp;IF(AND(BV1382=0,OR(CH1382=1,AA1382&lt;&gt;"",U1382&lt;&gt;"",V1382&lt;&gt;"",AB1382&lt;&gt;"")),"manuell übersteuert; ","")&amp;IF(AND(BZ1382=0,R1382=0),"Gebinde unbekannt / Stellmass fehlt; ","")&amp;IF(AND(BZ1382=0,N(V1382)&lt;=0,N(Q1382)&lt;=0),"Menge pro Gebinde fehlt (Ist = 1 Gebinde); ","")&amp;BU1382)</f>
        <v>negativer Bestand (Export -16); </v>
      </c>
      <c r="BN1382" s="48"/>
      <c r="BO1382" s="48"/>
      <c r="BP1382" s="55"/>
      <c r="BQ1382" s="50" t="n">
        <v>-16</v>
      </c>
      <c r="BR1382" s="50" t="n">
        <v>16</v>
      </c>
      <c r="BS1382" s="49" t="n">
        <v>-3000</v>
      </c>
      <c r="BT1382" s="50" t="n">
        <v>33</v>
      </c>
      <c r="BU1382" s="48"/>
      <c r="BV1382" s="53" t="n">
        <v>0</v>
      </c>
      <c r="BW1382" s="53" t="n">
        <v>1382</v>
      </c>
      <c r="BX1382" s="48" t="str">
        <f aca="false">IF(U1382&lt;&gt;"",UPPER(TRIM(U1382)),IF(CA1382=1,UPPER(VLOOKUP(T1382,Parameter!$I$27:$K$29,2,0)),IF(P1382="","LOSE",P1382)))</f>
        <v>S52</v>
      </c>
      <c r="BY1382" s="50" t="n">
        <f aca="false">IF(BX1382="LOSE",1,IF(N(V1382)&gt;0,V1382,IF(CA1382=1,MAX(1,N(VLOOKUP(T1382,Parameter!$I$27:$K$29,3,0)),H1382,N(N1382)),IF(N(Q1382)&gt;0,Q1382,MAX(1,H1382)))))</f>
        <v>6</v>
      </c>
      <c r="BZ1382" s="53" t="n">
        <f aca="false">IF(BX1382="LOSE",1,0)</f>
        <v>0</v>
      </c>
      <c r="CA1382" s="53" t="n">
        <f aca="false">IF(AND(U1382="",OR(P1382="",P1382="LOSE"),T1382&lt;&gt;"",N(S1382)&lt;=0,ISNUMBER(MATCH(T1382,Parameter!$I$27:$I$29,0))),1,0)</f>
        <v>0</v>
      </c>
      <c r="CB1382" s="53" t="n">
        <f aca="false">IF(CQ1382&gt;0,INDEX(Parameter!$H$5:$H$7,W1382)/INDEX(Parameter!$E$5:$E$7,W1382),IF(AND(BZ1382=0,N(IFERROR(VLOOKUP(BX1382,'Gebinde-Kategorie'!$A$5:$N$45,14,0),0))&gt;0),VLOOKUP(BX1382,'Gebinde-Kategorie'!$A$5:$N$45,14,0)*10+Parameter!$M$23,Parameter!$M$24))</f>
        <v>245</v>
      </c>
      <c r="CC1382" s="48" t="str">
        <f aca="false">IF(AND(Parameter!$B$19="Ja",E1382&lt;&gt;"",ISNUMBER(MATCH(E1382,Parameter!$I$35:$I$52,0))),VLOOKUP(E1382,Parameter!$I$35:$J$52,2,0),IFERROR(VLOOKUP(D1382,Parameter!$A$35:$C$64,2,0),"Nein"))</f>
        <v>2+3</v>
      </c>
      <c r="CD1382" s="52" t="n">
        <f aca="false">IF(BZ1382=0,0,IF(N(S1382)&gt;0,S1382,IFERROR(VLOOKUP(D1382,Parameter!$A$35:$C$64,3,0)+0,0)))</f>
        <v>0</v>
      </c>
      <c r="CE1382" s="48" t="n">
        <f aca="false">IF(AA1382&lt;&gt;"",AA1382,Z1382)</f>
        <v>3</v>
      </c>
      <c r="CF1382" s="48" t="str">
        <f aca="false">IF(OR(CE1382=1,CE1382=2,CE1382=3),IF(Parameter!$E$27="Ja","LIFT",IF(CE1382=1,"L1","L23")),IF(CE1382="Aussen","Aussen","-"))</f>
        <v>LIFT</v>
      </c>
      <c r="CG1382" s="59" t="n">
        <f aca="false">IF(N(AB1382)&gt;0,AB1382,0)</f>
        <v>0</v>
      </c>
      <c r="CH1382" s="53" t="n">
        <f aca="false">IF(ISNUMBER(AE1382),1,0)</f>
        <v>0</v>
      </c>
      <c r="CI1382" s="50" t="n">
        <f aca="false">N(AE1382)</f>
        <v>0</v>
      </c>
      <c r="CJ1382" s="50" t="n">
        <f aca="false">N(M1382)+N(N1382)</f>
        <v>15</v>
      </c>
      <c r="CK1382" s="50" t="n">
        <f aca="false">N(M1382)</f>
        <v>0</v>
      </c>
      <c r="CL1382" s="50" t="n">
        <f aca="false">N(N1382)</f>
        <v>15</v>
      </c>
      <c r="CM1382" s="50" t="n">
        <f aca="false">ROUNDUP(H1382/BY1382,0)</f>
        <v>0</v>
      </c>
      <c r="CN1382" s="50" t="n">
        <f aca="false">ROUNDUP(CI1382/BY1382,0)</f>
        <v>0</v>
      </c>
      <c r="CO1382" s="53" t="n">
        <f aca="false">IF(BZ1382=1,0,IFERROR(VLOOKUP(BX1382,'Gebinde-Kategorie'!$A$5:$N$45,5,0)+0,0))</f>
        <v>21</v>
      </c>
      <c r="CP1382" s="53" t="n">
        <f aca="false">IFERROR(IF(OR(CE1382=1,CE1382=2,CE1382=3),N(INDEX(Parameter!$I$5:$I$7,CE1382)),0),0)</f>
        <v>0</v>
      </c>
      <c r="CQ1382" s="52" t="n">
        <f aca="false">IF(AND(Parameter!$B$21="Ja",ISNUMBER(W1382),N(X1382)&gt;0),IFERROR(N(INDEX(Parameter!$L$5:$L$7,W1382))*INDEX(Parameter!$E$5:$E$7,W1382)*X1382/SUMIFS($X$7:$X$1843,$W$7:$W$1843,W1382),0),0)</f>
        <v>0</v>
      </c>
    </row>
    <row r="1383" customFormat="false" ht="15" hidden="false" customHeight="false" outlineLevel="0" collapsed="false">
      <c r="A1383" s="48" t="s">
        <v>2442</v>
      </c>
      <c r="B1383" s="48" t="s">
        <v>414</v>
      </c>
      <c r="C1383" s="48" t="s">
        <v>173</v>
      </c>
      <c r="D1383" s="48" t="s">
        <v>182</v>
      </c>
      <c r="E1383" s="48" t="s">
        <v>194</v>
      </c>
      <c r="F1383" s="48" t="s">
        <v>227</v>
      </c>
      <c r="G1383" s="49" t="n">
        <v>2.62</v>
      </c>
      <c r="H1383" s="50" t="n">
        <f aca="false">MAX(0,IF(AND(Parameter!$B$21="Ja",ISNUMBER(Y1383)),Y1383,IF(Parameter!$B$20="Jahresanfang 2025 + Export",BR1383+BQ1383,BQ1383)))</f>
        <v>1453</v>
      </c>
      <c r="I1383" s="50" t="n">
        <f aca="false">H1383*G1383</f>
        <v>3806.86</v>
      </c>
      <c r="J1383" s="50" t="n">
        <f aca="false">BT1383*Parameter!$B$18</f>
        <v>2095</v>
      </c>
      <c r="K1383" s="51" t="n">
        <v>1741</v>
      </c>
      <c r="L1383" s="52" t="n">
        <v>1.20333141872487</v>
      </c>
      <c r="M1383" s="50" t="n">
        <v>122</v>
      </c>
      <c r="N1383" s="50" t="n">
        <v>400</v>
      </c>
      <c r="O1383" s="53" t="n">
        <v>21</v>
      </c>
      <c r="P1383" s="48" t="s">
        <v>183</v>
      </c>
      <c r="Q1383" s="50" t="n">
        <v>576</v>
      </c>
      <c r="R1383" s="53" t="n">
        <f aca="false">IF(BZ1383=1,0,IFERROR(VLOOKUP(BX1383,'Gebinde-Kategorie'!$A$5:$N$45,13,0)+0,0))</f>
        <v>6</v>
      </c>
      <c r="S1383" s="54"/>
      <c r="T1383" s="55"/>
      <c r="U1383" s="55"/>
      <c r="V1383" s="55"/>
      <c r="W1383" s="48"/>
      <c r="X1383" s="50"/>
      <c r="Y1383" s="50"/>
      <c r="Z1383" s="48" t="n">
        <f aca="false">IF(A1383="","",IF(AND(Parameter!$B$21="Ja",ISNUMBER(W1383)),W1383,IF(CC1383="2+3",IF(ISNUMBER(SEARCH("grosser Artikel",BU1383)),2,IFERROR(VLOOKUP(BX1383,Parameter!$F$35:$G$64,2,0),2)),IF(OR(CC1383="Nein",CC1383=""),"-",CC1383))))</f>
        <v>2</v>
      </c>
      <c r="AA1383" s="55"/>
      <c r="AB1383" s="56"/>
      <c r="AC1383" s="50" t="n">
        <f aca="false">AV1383</f>
        <v>1275</v>
      </c>
      <c r="AD1383" s="50" t="n">
        <f aca="false">MAX(AV1383,H1383)</f>
        <v>1453</v>
      </c>
      <c r="AE1383" s="57"/>
      <c r="AF1383" s="50" t="n">
        <f aca="false">IF(LEFT(Cockpit!$C$5,1)="A",H1383,IF(Parameter!$E$30="MAX-Bestand",IF(CH1383=1,CI1383,IF(LEFT(Cockpit!$C$5,1)="B",AL1383,MAX(AL1383,H1383))),ROUNDUP(AJ1383,0)))</f>
        <v>1453</v>
      </c>
      <c r="AG1383" s="50" t="n">
        <f aca="false">IF(BZ1383=1,0,ROUNDUP(AF1383/BY1383,0))</f>
        <v>3</v>
      </c>
      <c r="AH1383" s="52" t="n">
        <f aca="false">IF(CQ1383&gt;0,CQ1383*MAX(1,AF1383/X1383),IF(BZ1383=1,IF(AF1383&lt;=0,0,CD1383*MAX(1,IF(H1383&gt;0,AF1383/H1383,1))),IF(R1383&gt;0,AG1383/R1383,0))/MAX(0.1,N(Parameter!$M$21)))</f>
        <v>0.5</v>
      </c>
      <c r="AI1383" s="50" t="n">
        <f aca="false">AH1383*CB1383</f>
        <v>117.5</v>
      </c>
      <c r="AJ1383" s="51" t="n">
        <f aca="false">IF(LEFT(Cockpit!$C$5,1)="A",H1383,IF(CH1383=1,(CK1383+CI1383)/2,IF(LEFT(Cockpit!$C$5,1)="B",(CK1383+AL1383)/2,MAX((CK1383+AL1383)/2,H1383))))</f>
        <v>1453</v>
      </c>
      <c r="AK1383" s="50" t="n">
        <f aca="false">AJ1383*G1383</f>
        <v>3806.86</v>
      </c>
      <c r="AL1383" s="50" t="n">
        <f aca="false">ROUNDUP(CK1383+MAX(CL1383,2*(J1383/IF(CG1383&gt;0,CG1383,MAX(0.1,N(Cockpit!$C$6)))-CK1383)),0)</f>
        <v>1275</v>
      </c>
      <c r="AM1383" s="51" t="n">
        <f aca="false">IF(AI1383&gt;0,J1383/AI1383,-1)</f>
        <v>17.8297872340426</v>
      </c>
      <c r="AN1383" s="51" t="n">
        <f aca="false">IF(AND(OR(CF1383="L1",CF1383="L23",CF1383="LIFT"),AI1383&gt;0),SUMIFS($AI$7:$AI$1843,$CF$7:$CF$1843,CF1383,$AM$7:$AM$1843,"&gt;"&amp;AM1383)+SUMIFS($AI$7:$AI$1843,$CF$7:$CF$1843,CF1383,$AM$7:$AM$1843,AM1383,$BW$7:$BW$1843,"&lt;="&amp;BW1383),"")</f>
        <v>1889.42902930403</v>
      </c>
      <c r="AO1383" s="58" t="n">
        <f aca="false">IF(AN1383="",0,MAX(0,MIN(1,(IF(CF1383="L1",Parameter!$H$5,IF(CF1383="L23",Parameter!$H$6+Parameter!$H$7,Parameter!$H$5+Parameter!$H$6+Parameter!$H$7))-(AN1383-AI1383))/AI1383)))</f>
        <v>1</v>
      </c>
      <c r="AP1383" s="50" t="n">
        <f aca="false">IF(LEFT(Cockpit!$I$5,1)="A",H1383,IF(Parameter!$E$30="MAX-Bestand",IF(CH1383=1,CI1383,IF(LEFT(Cockpit!$I$5,1)="B",AV1383,MAX(AV1383,H1383))),ROUNDUP(AT1383,0)))</f>
        <v>1453</v>
      </c>
      <c r="AQ1383" s="50" t="n">
        <f aca="false">IF(BZ1383=1,0,ROUNDUP(AP1383/BY1383,0))</f>
        <v>3</v>
      </c>
      <c r="AR1383" s="52" t="n">
        <f aca="false">IF(CQ1383&gt;0,CQ1383*MAX(1,AP1383/X1383),IF(BZ1383=1,IF(AP1383&lt;=0,0,CD1383*MAX(1,IF(H1383&gt;0,AP1383/H1383,1))),IF(R1383&gt;0,AQ1383/R1383,0))/MAX(0.1,N(Parameter!$M$21)))</f>
        <v>0.5</v>
      </c>
      <c r="AS1383" s="50" t="n">
        <f aca="false">AR1383*CB1383</f>
        <v>117.5</v>
      </c>
      <c r="AT1383" s="51" t="n">
        <f aca="false">IF(LEFT(Cockpit!$I$5,1)="A",H1383,IF(CH1383=1,(CK1383+CI1383)/2,IF(LEFT(Cockpit!$I$5,1)="B",(CK1383+AV1383)/2,MAX((CK1383+AV1383)/2,H1383))))</f>
        <v>1453</v>
      </c>
      <c r="AU1383" s="50" t="n">
        <f aca="false">AT1383*G1383</f>
        <v>3806.86</v>
      </c>
      <c r="AV1383" s="50" t="n">
        <f aca="false">ROUNDUP(CK1383+MAX(CL1383,2*(J1383/IF(CG1383&gt;0,CG1383,MAX(0.1,N(Cockpit!$I$6)))-CK1383)),0)</f>
        <v>1275</v>
      </c>
      <c r="AW1383" s="51" t="n">
        <f aca="false">IF(AS1383&gt;0,J1383/AS1383,-1)</f>
        <v>17.8297872340426</v>
      </c>
      <c r="AX1383" s="51" t="n">
        <f aca="false">IF(AND(OR(CF1383="L1",CF1383="L23",CF1383="LIFT"),AS1383&gt;0),SUMIFS($AS$7:$AS$1843,$CF$7:$CF$1843,CF1383,$AW$7:$AW$1843,"&gt;"&amp;AW1383)+SUMIFS($AS$7:$AS$1843,$CF$7:$CF$1843,CF1383,$AW$7:$AW$1843,AW1383,$BW$7:$BW$1843,"&lt;="&amp;BW1383),"")</f>
        <v>2526.54990842491</v>
      </c>
      <c r="AY1383" s="58" t="n">
        <f aca="false">IF(AX1383="",0,MAX(0,MIN(1,(IF(CF1383="L1",Parameter!$H$5,IF(CF1383="L23",Parameter!$H$6+Parameter!$H$7,Parameter!$H$5+Parameter!$H$6+Parameter!$H$7))-(AX1383-AS1383))/AS1383)))</f>
        <v>1</v>
      </c>
      <c r="AZ1383" s="50" t="n">
        <f aca="false">IF(LEFT(Cockpit!$O$5,1)="A",H1383,IF(Parameter!$E$30="MAX-Bestand",IF(CH1383=1,CI1383,IF(LEFT(Cockpit!$O$5,1)="B",BF1383,MAX(BF1383,H1383))),ROUNDUP(BD1383,0)))</f>
        <v>524</v>
      </c>
      <c r="BA1383" s="50" t="n">
        <f aca="false">IF(BZ1383=1,0,ROUNDUP(AZ1383/BY1383,0))</f>
        <v>1</v>
      </c>
      <c r="BB1383" s="52" t="n">
        <f aca="false">IF(CQ1383&gt;0,CQ1383*MAX(1,AZ1383/X1383),IF(BZ1383=1,IF(AZ1383&lt;=0,0,CD1383*MAX(1,IF(H1383&gt;0,AZ1383/H1383,1))),IF(R1383&gt;0,BA1383/R1383,0))/MAX(0.1,N(Parameter!$M$21)))</f>
        <v>0.166666666666667</v>
      </c>
      <c r="BC1383" s="50" t="n">
        <f aca="false">BB1383*CB1383</f>
        <v>39.1666666666667</v>
      </c>
      <c r="BD1383" s="51" t="n">
        <f aca="false">IF(LEFT(Cockpit!$O$5,1)="A",H1383,IF(CH1383=1,(CK1383+CI1383)/2,IF(LEFT(Cockpit!$O$5,1)="B",(CK1383+BF1383)/2,MAX((CK1383+BF1383)/2,H1383))))</f>
        <v>524</v>
      </c>
      <c r="BE1383" s="50" t="n">
        <f aca="false">BD1383*G1383</f>
        <v>1372.88</v>
      </c>
      <c r="BF1383" s="50" t="n">
        <f aca="false">ROUNDUP(CK1383+MAX(CL1383,2*(J1383/IF(CG1383&gt;0,CG1383,MAX(0.1,N(Cockpit!$O$6)))-CK1383)),0)</f>
        <v>926</v>
      </c>
      <c r="BG1383" s="51" t="n">
        <f aca="false">IF(BC1383&gt;0,J1383/BC1383,-1)</f>
        <v>53.4893617021277</v>
      </c>
      <c r="BH1383" s="51" t="n">
        <f aca="false">IF(AND(OR(CF1383="L1",CF1383="L23",CF1383="LIFT"),BC1383&gt;0),SUMIFS($BC$7:$BC$1843,$CF$7:$CF$1843,CF1383,$BG$7:$BG$1843,"&gt;"&amp;BG1383)+SUMIFS($BC$7:$BC$1843,$CF$7:$CF$1843,CF1383,$BG$7:$BG$1843,BG1383,$BW$7:$BW$1843,"&lt;="&amp;BW1383),"")</f>
        <v>1179.70054945055</v>
      </c>
      <c r="BI1383" s="58" t="n">
        <f aca="false">IF(BH1383="",0,MAX(0,MIN(1,(IF(CF1383="L1",Parameter!$H$5,IF(CF1383="L23",Parameter!$H$6+Parameter!$H$7,Parameter!$H$5+Parameter!$H$6+Parameter!$H$7))-(BH1383-BC1383))/BC1383)))</f>
        <v>1</v>
      </c>
      <c r="BJ1383" s="48" t="str">
        <f aca="false">IF(AI1383&lt;=0,"",IF(CF1383="Aussen","Aussenlager",IF(CF1383="-","Nicht im Lift",IF(AO1383&gt;=1,"Lift",IF(AO1383&lt;=0,"Aussenlager","teilweise")))))</f>
        <v>Lift</v>
      </c>
      <c r="BK1383" s="48" t="str">
        <f aca="false">IF(AS1383&lt;=0,"",IF(CF1383="Aussen","Aussenlager",IF(CF1383="-","Nicht im Lift",IF(AY1383&gt;=1,"Lift",IF(AY1383&lt;=0,"Aussenlager","teilweise")))))</f>
        <v>Lift</v>
      </c>
      <c r="BL1383" s="48" t="str">
        <f aca="false">IF(BC1383&lt;=0,"",IF(CF1383="Aussen","Aussenlager",IF(CF1383="-","Nicht im Lift",IF(BI1383&gt;=1,"Lift",IF(BI1383&lt;=0,"Aussenlager","teilweise")))))</f>
        <v>Lift</v>
      </c>
      <c r="BM1383" s="48" t="str">
        <f aca="false">IF(A1383="","",IF(BV1383=1,"Neu; ","")&amp;IF(AND(BV1383=0,BQ1383&lt;0),"negativer Bestand (Export "&amp;BQ1383&amp;"); ","")&amp;IF(J1383&lt;=0,"Kein Verbrauch; ","")&amp;IF(CQ1383&gt;0,"Lift "&amp;W1383&amp;" lt. Liftbericht (Fach "&amp;X1383&amp;" Stk); ",IF(CA1383=1,"Gebinde geschätzt ("&amp;T1383&amp;"); ",IF(BZ1383=1,"Lose – Tablare geschätzt; ","")))&amp;IF(H1383&gt;AV1383,"Überbestand "&amp;ROUND(H1383-AV1383,0)&amp;" Stk / CHF "&amp;ROUND((H1383-AV1383)*G1383,0)&amp;"; ","")&amp;IF(AND(CH1383=1,CI1383&lt;CJ1383),"MAX &lt; MB+LG; ","")&amp;IF(AND(CP1383&gt;0,CO1383*10&gt;CP1383),"zu hoch für Tablar; ","")&amp;IF(AND(BV1383=0,OR(CH1383=1,AA1383&lt;&gt;"",U1383&lt;&gt;"",V1383&lt;&gt;"",AB1383&lt;&gt;"")),"manuell übersteuert; ","")&amp;IF(AND(BZ1383=0,R1383=0),"Gebinde unbekannt / Stellmass fehlt; ","")&amp;IF(AND(BZ1383=0,N(V1383)&lt;=0,N(Q1383)&lt;=0),"Menge pro Gebinde fehlt (Ist = 1 Gebinde); ","")&amp;BU1383)</f>
        <v>negativer Bestand (Export -1145); Überbestand 178 Stk / CHF 466; grosse  Artikelmenge</v>
      </c>
      <c r="BN1383" s="48"/>
      <c r="BO1383" s="48"/>
      <c r="BP1383" s="55"/>
      <c r="BQ1383" s="50" t="n">
        <v>-1145</v>
      </c>
      <c r="BR1383" s="50" t="n">
        <v>2598</v>
      </c>
      <c r="BS1383" s="49" t="n">
        <v>-3025.76</v>
      </c>
      <c r="BT1383" s="50" t="n">
        <v>2095</v>
      </c>
      <c r="BU1383" s="48" t="s">
        <v>1616</v>
      </c>
      <c r="BV1383" s="53" t="n">
        <v>0</v>
      </c>
      <c r="BW1383" s="53" t="n">
        <v>1383</v>
      </c>
      <c r="BX1383" s="48" t="str">
        <f aca="false">IF(U1383&lt;&gt;"",UPPER(TRIM(U1383)),IF(CA1383=1,UPPER(VLOOKUP(T1383,Parameter!$I$27:$K$29,2,0)),IF(P1383="","LOSE",P1383)))</f>
        <v>S71</v>
      </c>
      <c r="BY1383" s="50" t="n">
        <f aca="false">IF(BX1383="LOSE",1,IF(N(V1383)&gt;0,V1383,IF(CA1383=1,MAX(1,N(VLOOKUP(T1383,Parameter!$I$27:$K$29,3,0)),H1383,N(N1383)),IF(N(Q1383)&gt;0,Q1383,MAX(1,H1383)))))</f>
        <v>576</v>
      </c>
      <c r="BZ1383" s="53" t="n">
        <f aca="false">IF(BX1383="LOSE",1,0)</f>
        <v>0</v>
      </c>
      <c r="CA1383" s="53" t="n">
        <f aca="false">IF(AND(U1383="",OR(P1383="",P1383="LOSE"),T1383&lt;&gt;"",N(S1383)&lt;=0,ISNUMBER(MATCH(T1383,Parameter!$I$27:$I$29,0))),1,0)</f>
        <v>0</v>
      </c>
      <c r="CB1383" s="53" t="n">
        <f aca="false">IF(CQ1383&gt;0,INDEX(Parameter!$H$5:$H$7,W1383)/INDEX(Parameter!$E$5:$E$7,W1383),IF(AND(BZ1383=0,N(IFERROR(VLOOKUP(BX1383,'Gebinde-Kategorie'!$A$5:$N$45,14,0),0))&gt;0),VLOOKUP(BX1383,'Gebinde-Kategorie'!$A$5:$N$45,14,0)*10+Parameter!$M$23,Parameter!$M$24))</f>
        <v>235</v>
      </c>
      <c r="CC1383" s="48" t="str">
        <f aca="false">IF(AND(Parameter!$B$19="Ja",E1383&lt;&gt;"",ISNUMBER(MATCH(E1383,Parameter!$I$35:$I$52,0))),VLOOKUP(E1383,Parameter!$I$35:$J$52,2,0),IFERROR(VLOOKUP(D1383,Parameter!$A$35:$C$64,2,0),"Nein"))</f>
        <v>2+3</v>
      </c>
      <c r="CD1383" s="52" t="n">
        <f aca="false">IF(BZ1383=0,0,IF(N(S1383)&gt;0,S1383,IFERROR(VLOOKUP(D1383,Parameter!$A$35:$C$64,3,0)+0,0)))</f>
        <v>0</v>
      </c>
      <c r="CE1383" s="48" t="n">
        <f aca="false">IF(AA1383&lt;&gt;"",AA1383,Z1383)</f>
        <v>2</v>
      </c>
      <c r="CF1383" s="48" t="str">
        <f aca="false">IF(OR(CE1383=1,CE1383=2,CE1383=3),IF(Parameter!$E$27="Ja","LIFT",IF(CE1383=1,"L1","L23")),IF(CE1383="Aussen","Aussen","-"))</f>
        <v>LIFT</v>
      </c>
      <c r="CG1383" s="59" t="n">
        <f aca="false">IF(N(AB1383)&gt;0,AB1383,0)</f>
        <v>0</v>
      </c>
      <c r="CH1383" s="53" t="n">
        <f aca="false">IF(ISNUMBER(AE1383),1,0)</f>
        <v>0</v>
      </c>
      <c r="CI1383" s="50" t="n">
        <f aca="false">N(AE1383)</f>
        <v>0</v>
      </c>
      <c r="CJ1383" s="50" t="n">
        <f aca="false">N(M1383)+N(N1383)</f>
        <v>522</v>
      </c>
      <c r="CK1383" s="50" t="n">
        <f aca="false">N(M1383)</f>
        <v>122</v>
      </c>
      <c r="CL1383" s="50" t="n">
        <f aca="false">N(N1383)</f>
        <v>400</v>
      </c>
      <c r="CM1383" s="50" t="n">
        <f aca="false">ROUNDUP(H1383/BY1383,0)</f>
        <v>3</v>
      </c>
      <c r="CN1383" s="50" t="n">
        <f aca="false">ROUNDUP(CI1383/BY1383,0)</f>
        <v>0</v>
      </c>
      <c r="CO1383" s="53" t="n">
        <f aca="false">IF(BZ1383=1,0,IFERROR(VLOOKUP(BX1383,'Gebinde-Kategorie'!$A$5:$N$45,5,0)+0,0))</f>
        <v>20</v>
      </c>
      <c r="CP1383" s="53" t="n">
        <f aca="false">IFERROR(IF(OR(CE1383=1,CE1383=2,CE1383=3),N(INDEX(Parameter!$I$5:$I$7,CE1383)),0),0)</f>
        <v>0</v>
      </c>
      <c r="CQ1383" s="52" t="n">
        <f aca="false">IF(AND(Parameter!$B$21="Ja",ISNUMBER(W1383),N(X1383)&gt;0),IFERROR(N(INDEX(Parameter!$L$5:$L$7,W1383))*INDEX(Parameter!$E$5:$E$7,W1383)*X1383/SUMIFS($X$7:$X$1843,$W$7:$W$1843,W1383),0),0)</f>
        <v>0</v>
      </c>
    </row>
    <row r="1384" customFormat="false" ht="15" hidden="false" customHeight="false" outlineLevel="0" collapsed="false">
      <c r="A1384" s="48" t="s">
        <v>2443</v>
      </c>
      <c r="B1384" s="48" t="s">
        <v>2444</v>
      </c>
      <c r="C1384" s="48" t="s">
        <v>173</v>
      </c>
      <c r="D1384" s="48" t="s">
        <v>193</v>
      </c>
      <c r="E1384" s="48" t="s">
        <v>194</v>
      </c>
      <c r="F1384" s="48" t="s">
        <v>227</v>
      </c>
      <c r="G1384" s="49" t="n">
        <v>112.86</v>
      </c>
      <c r="H1384" s="50" t="n">
        <f aca="false">MAX(0,IF(AND(Parameter!$B$21="Ja",ISNUMBER(Y1384)),Y1384,IF(Parameter!$B$20="Jahresanfang 2025 + Export",BR1384+BQ1384,BQ1384)))</f>
        <v>125</v>
      </c>
      <c r="I1384" s="50" t="n">
        <f aca="false">H1384*G1384</f>
        <v>14107.5</v>
      </c>
      <c r="J1384" s="50" t="n">
        <f aca="false">BT1384*Parameter!$B$18</f>
        <v>528</v>
      </c>
      <c r="K1384" s="51" t="n">
        <v>137</v>
      </c>
      <c r="L1384" s="52" t="n">
        <v>3.85401459854015</v>
      </c>
      <c r="M1384" s="50" t="n">
        <v>30</v>
      </c>
      <c r="N1384" s="50" t="n">
        <v>100</v>
      </c>
      <c r="O1384" s="53" t="n">
        <v>21</v>
      </c>
      <c r="P1384" s="48" t="s">
        <v>311</v>
      </c>
      <c r="Q1384" s="50" t="n">
        <v>761</v>
      </c>
      <c r="R1384" s="53" t="n">
        <f aca="false">IF(BZ1384=1,0,IFERROR(VLOOKUP(BX1384,'Gebinde-Kategorie'!$A$5:$N$45,13,0)+0,0))</f>
        <v>26</v>
      </c>
      <c r="S1384" s="54"/>
      <c r="T1384" s="55"/>
      <c r="U1384" s="55"/>
      <c r="V1384" s="55"/>
      <c r="W1384" s="48"/>
      <c r="X1384" s="50"/>
      <c r="Y1384" s="50"/>
      <c r="Z1384" s="48" t="n">
        <f aca="false">IF(A1384="","",IF(AND(Parameter!$B$21="Ja",ISNUMBER(W1384)),W1384,IF(CC1384="2+3",IF(ISNUMBER(SEARCH("grosser Artikel",BU1384)),2,IFERROR(VLOOKUP(BX1384,Parameter!$F$35:$G$64,2,0),2)),IF(OR(CC1384="Nein",CC1384=""),"-",CC1384))))</f>
        <v>3</v>
      </c>
      <c r="AA1384" s="55"/>
      <c r="AB1384" s="56"/>
      <c r="AC1384" s="50" t="n">
        <f aca="false">AV1384</f>
        <v>322</v>
      </c>
      <c r="AD1384" s="50" t="n">
        <f aca="false">MAX(AV1384,H1384)</f>
        <v>322</v>
      </c>
      <c r="AE1384" s="57"/>
      <c r="AF1384" s="50" t="n">
        <f aca="false">IF(LEFT(Cockpit!$C$5,1)="A",H1384,IF(Parameter!$E$30="MAX-Bestand",IF(CH1384=1,CI1384,IF(LEFT(Cockpit!$C$5,1)="B",AL1384,MAX(AL1384,H1384))),ROUNDUP(AJ1384,0)))</f>
        <v>125</v>
      </c>
      <c r="AG1384" s="50" t="n">
        <f aca="false">IF(BZ1384=1,0,ROUNDUP(AF1384/BY1384,0))</f>
        <v>1</v>
      </c>
      <c r="AH1384" s="52" t="n">
        <f aca="false">IF(CQ1384&gt;0,CQ1384*MAX(1,AF1384/X1384),IF(BZ1384=1,IF(AF1384&lt;=0,0,CD1384*MAX(1,IF(H1384&gt;0,AF1384/H1384,1))),IF(R1384&gt;0,AG1384/R1384,0))/MAX(0.1,N(Parameter!$M$21)))</f>
        <v>0.0384615384615385</v>
      </c>
      <c r="AI1384" s="50" t="n">
        <f aca="false">AH1384*CB1384</f>
        <v>5.96153846153846</v>
      </c>
      <c r="AJ1384" s="51" t="n">
        <f aca="false">IF(LEFT(Cockpit!$C$5,1)="A",H1384,IF(CH1384=1,(CK1384+CI1384)/2,IF(LEFT(Cockpit!$C$5,1)="B",(CK1384+AL1384)/2,MAX((CK1384+AL1384)/2,H1384))))</f>
        <v>125</v>
      </c>
      <c r="AK1384" s="50" t="n">
        <f aca="false">AJ1384*G1384</f>
        <v>14107.5</v>
      </c>
      <c r="AL1384" s="50" t="n">
        <f aca="false">ROUNDUP(CK1384+MAX(CL1384,2*(J1384/IF(CG1384&gt;0,CG1384,MAX(0.1,N(Cockpit!$C$6)))-CK1384)),0)</f>
        <v>322</v>
      </c>
      <c r="AM1384" s="51" t="n">
        <f aca="false">IF(AI1384&gt;0,J1384/AI1384,-1)</f>
        <v>88.5677419354839</v>
      </c>
      <c r="AN1384" s="51" t="n">
        <f aca="false">IF(AND(OR(CF1384="L1",CF1384="L23",CF1384="LIFT"),AI1384&gt;0),SUMIFS($AI$7:$AI$1843,$CF$7:$CF$1843,CF1384,$AM$7:$AM$1843,"&gt;"&amp;AM1384)+SUMIFS($AI$7:$AI$1843,$CF$7:$CF$1843,CF1384,$AM$7:$AM$1843,AM1384,$BW$7:$BW$1843,"&lt;="&amp;BW1384),"")</f>
        <v>827.93543956044</v>
      </c>
      <c r="AO1384" s="58" t="n">
        <f aca="false">IF(AN1384="",0,MAX(0,MIN(1,(IF(CF1384="L1",Parameter!$H$5,IF(CF1384="L23",Parameter!$H$6+Parameter!$H$7,Parameter!$H$5+Parameter!$H$6+Parameter!$H$7))-(AN1384-AI1384))/AI1384)))</f>
        <v>1</v>
      </c>
      <c r="AP1384" s="50" t="n">
        <f aca="false">IF(LEFT(Cockpit!$I$5,1)="A",H1384,IF(Parameter!$E$30="MAX-Bestand",IF(CH1384=1,CI1384,IF(LEFT(Cockpit!$I$5,1)="B",AV1384,MAX(AV1384,H1384))),ROUNDUP(AT1384,0)))</f>
        <v>176</v>
      </c>
      <c r="AQ1384" s="50" t="n">
        <f aca="false">IF(BZ1384=1,0,ROUNDUP(AP1384/BY1384,0))</f>
        <v>1</v>
      </c>
      <c r="AR1384" s="52" t="n">
        <f aca="false">IF(CQ1384&gt;0,CQ1384*MAX(1,AP1384/X1384),IF(BZ1384=1,IF(AP1384&lt;=0,0,CD1384*MAX(1,IF(H1384&gt;0,AP1384/H1384,1))),IF(R1384&gt;0,AQ1384/R1384,0))/MAX(0.1,N(Parameter!$M$21)))</f>
        <v>0.0384615384615385</v>
      </c>
      <c r="AS1384" s="50" t="n">
        <f aca="false">AR1384*CB1384</f>
        <v>5.96153846153846</v>
      </c>
      <c r="AT1384" s="51" t="n">
        <f aca="false">IF(LEFT(Cockpit!$I$5,1)="A",H1384,IF(CH1384=1,(CK1384+CI1384)/2,IF(LEFT(Cockpit!$I$5,1)="B",(CK1384+AV1384)/2,MAX((CK1384+AV1384)/2,H1384))))</f>
        <v>176</v>
      </c>
      <c r="AU1384" s="50" t="n">
        <f aca="false">AT1384*G1384</f>
        <v>19863.36</v>
      </c>
      <c r="AV1384" s="50" t="n">
        <f aca="false">ROUNDUP(CK1384+MAX(CL1384,2*(J1384/IF(CG1384&gt;0,CG1384,MAX(0.1,N(Cockpit!$I$6)))-CK1384)),0)</f>
        <v>322</v>
      </c>
      <c r="AW1384" s="51" t="n">
        <f aca="false">IF(AS1384&gt;0,J1384/AS1384,-1)</f>
        <v>88.5677419354839</v>
      </c>
      <c r="AX1384" s="51" t="n">
        <f aca="false">IF(AND(OR(CF1384="L1",CF1384="L23",CF1384="LIFT"),AS1384&gt;0),SUMIFS($AS$7:$AS$1843,$CF$7:$CF$1843,CF1384,$AW$7:$AW$1843,"&gt;"&amp;AW1384)+SUMIFS($AS$7:$AS$1843,$CF$7:$CF$1843,CF1384,$AW$7:$AW$1843,AW1384,$BW$7:$BW$1843,"&lt;="&amp;BW1384),"")</f>
        <v>1040.84752747253</v>
      </c>
      <c r="AY1384" s="58" t="n">
        <f aca="false">IF(AX1384="",0,MAX(0,MIN(1,(IF(CF1384="L1",Parameter!$H$5,IF(CF1384="L23",Parameter!$H$6+Parameter!$H$7,Parameter!$H$5+Parameter!$H$6+Parameter!$H$7))-(AX1384-AS1384))/AS1384)))</f>
        <v>1</v>
      </c>
      <c r="AZ1384" s="50" t="n">
        <f aca="false">IF(LEFT(Cockpit!$O$5,1)="A",H1384,IF(Parameter!$E$30="MAX-Bestand",IF(CH1384=1,CI1384,IF(LEFT(Cockpit!$O$5,1)="B",BF1384,MAX(BF1384,H1384))),ROUNDUP(BD1384,0)))</f>
        <v>132</v>
      </c>
      <c r="BA1384" s="50" t="n">
        <f aca="false">IF(BZ1384=1,0,ROUNDUP(AZ1384/BY1384,0))</f>
        <v>1</v>
      </c>
      <c r="BB1384" s="52" t="n">
        <f aca="false">IF(CQ1384&gt;0,CQ1384*MAX(1,AZ1384/X1384),IF(BZ1384=1,IF(AZ1384&lt;=0,0,CD1384*MAX(1,IF(H1384&gt;0,AZ1384/H1384,1))),IF(R1384&gt;0,BA1384/R1384,0))/MAX(0.1,N(Parameter!$M$21)))</f>
        <v>0.0384615384615385</v>
      </c>
      <c r="BC1384" s="50" t="n">
        <f aca="false">BB1384*CB1384</f>
        <v>5.96153846153846</v>
      </c>
      <c r="BD1384" s="51" t="n">
        <f aca="false">IF(LEFT(Cockpit!$O$5,1)="A",H1384,IF(CH1384=1,(CK1384+CI1384)/2,IF(LEFT(Cockpit!$O$5,1)="B",(CK1384+BF1384)/2,MAX((CK1384+BF1384)/2,H1384))))</f>
        <v>132</v>
      </c>
      <c r="BE1384" s="50" t="n">
        <f aca="false">BD1384*G1384</f>
        <v>14897.52</v>
      </c>
      <c r="BF1384" s="50" t="n">
        <f aca="false">ROUNDUP(CK1384+MAX(CL1384,2*(J1384/IF(CG1384&gt;0,CG1384,MAX(0.1,N(Cockpit!$O$6)))-CK1384)),0)</f>
        <v>234</v>
      </c>
      <c r="BG1384" s="51" t="n">
        <f aca="false">IF(BC1384&gt;0,J1384/BC1384,-1)</f>
        <v>88.5677419354839</v>
      </c>
      <c r="BH1384" s="51" t="n">
        <f aca="false">IF(AND(OR(CF1384="L1",CF1384="L23",CF1384="LIFT"),BC1384&gt;0),SUMIFS($BC$7:$BC$1843,$CF$7:$CF$1843,CF1384,$BG$7:$BG$1843,"&gt;"&amp;BG1384)+SUMIFS($BC$7:$BC$1843,$CF$7:$CF$1843,CF1384,$BG$7:$BG$1843,BG1384,$BW$7:$BW$1843,"&lt;="&amp;BW1384),"")</f>
        <v>976.487179487179</v>
      </c>
      <c r="BI1384" s="58" t="n">
        <f aca="false">IF(BH1384="",0,MAX(0,MIN(1,(IF(CF1384="L1",Parameter!$H$5,IF(CF1384="L23",Parameter!$H$6+Parameter!$H$7,Parameter!$H$5+Parameter!$H$6+Parameter!$H$7))-(BH1384-BC1384))/BC1384)))</f>
        <v>1</v>
      </c>
      <c r="BJ1384" s="48" t="str">
        <f aca="false">IF(AI1384&lt;=0,"",IF(CF1384="Aussen","Aussenlager",IF(CF1384="-","Nicht im Lift",IF(AO1384&gt;=1,"Lift",IF(AO1384&lt;=0,"Aussenlager","teilweise")))))</f>
        <v>Lift</v>
      </c>
      <c r="BK1384" s="48" t="str">
        <f aca="false">IF(AS1384&lt;=0,"",IF(CF1384="Aussen","Aussenlager",IF(CF1384="-","Nicht im Lift",IF(AY1384&gt;=1,"Lift",IF(AY1384&lt;=0,"Aussenlager","teilweise")))))</f>
        <v>Lift</v>
      </c>
      <c r="BL1384" s="48" t="str">
        <f aca="false">IF(BC1384&lt;=0,"",IF(CF1384="Aussen","Aussenlager",IF(CF1384="-","Nicht im Lift",IF(BI1384&gt;=1,"Lift",IF(BI1384&lt;=0,"Aussenlager","teilweise")))))</f>
        <v>Lift</v>
      </c>
      <c r="BM1384" s="48" t="str">
        <f aca="false">IF(A1384="","",IF(BV1384=1,"Neu; ","")&amp;IF(AND(BV1384=0,BQ1384&lt;0),"negativer Bestand (Export "&amp;BQ1384&amp;"); ","")&amp;IF(J1384&lt;=0,"Kein Verbrauch; ","")&amp;IF(CQ1384&gt;0,"Lift "&amp;W1384&amp;" lt. Liftbericht (Fach "&amp;X1384&amp;" Stk); ",IF(CA1384=1,"Gebinde geschätzt ("&amp;T1384&amp;"); ",IF(BZ1384=1,"Lose – Tablare geschätzt; ","")))&amp;IF(H1384&gt;AV1384,"Überbestand "&amp;ROUND(H1384-AV1384,0)&amp;" Stk / CHF "&amp;ROUND((H1384-AV1384)*G1384,0)&amp;"; ","")&amp;IF(AND(CH1384=1,CI1384&lt;CJ1384),"MAX &lt; MB+LG; ","")&amp;IF(AND(CP1384&gt;0,CO1384*10&gt;CP1384),"zu hoch für Tablar; ","")&amp;IF(AND(BV1384=0,OR(CH1384=1,AA1384&lt;&gt;"",U1384&lt;&gt;"",V1384&lt;&gt;"",AB1384&lt;&gt;"")),"manuell übersteuert; ","")&amp;IF(AND(BZ1384=0,R1384=0),"Gebinde unbekannt / Stellmass fehlt; ","")&amp;IF(AND(BZ1384=0,N(V1384)&lt;=0,N(Q1384)&lt;=0),"Menge pro Gebinde fehlt (Ist = 1 Gebinde); ","")&amp;BU1384)</f>
        <v>negativer Bestand (Export -28); </v>
      </c>
      <c r="BN1384" s="48"/>
      <c r="BO1384" s="48"/>
      <c r="BP1384" s="55"/>
      <c r="BQ1384" s="50" t="n">
        <v>-28</v>
      </c>
      <c r="BR1384" s="50" t="n">
        <v>153</v>
      </c>
      <c r="BS1384" s="49" t="n">
        <v>-3172.77000000002</v>
      </c>
      <c r="BT1384" s="50" t="n">
        <v>528</v>
      </c>
      <c r="BU1384" s="48"/>
      <c r="BV1384" s="53" t="n">
        <v>0</v>
      </c>
      <c r="BW1384" s="53" t="n">
        <v>1384</v>
      </c>
      <c r="BX1384" s="48" t="str">
        <f aca="false">IF(U1384&lt;&gt;"",UPPER(TRIM(U1384)),IF(CA1384=1,UPPER(VLOOKUP(T1384,Parameter!$I$27:$K$29,2,0)),IF(P1384="","LOSE",P1384)))</f>
        <v>S51</v>
      </c>
      <c r="BY1384" s="50" t="n">
        <f aca="false">IF(BX1384="LOSE",1,IF(N(V1384)&gt;0,V1384,IF(CA1384=1,MAX(1,N(VLOOKUP(T1384,Parameter!$I$27:$K$29,3,0)),H1384,N(N1384)),IF(N(Q1384)&gt;0,Q1384,MAX(1,H1384)))))</f>
        <v>761</v>
      </c>
      <c r="BZ1384" s="53" t="n">
        <f aca="false">IF(BX1384="LOSE",1,0)</f>
        <v>0</v>
      </c>
      <c r="CA1384" s="53" t="n">
        <f aca="false">IF(AND(U1384="",OR(P1384="",P1384="LOSE"),T1384&lt;&gt;"",N(S1384)&lt;=0,ISNUMBER(MATCH(T1384,Parameter!$I$27:$I$29,0))),1,0)</f>
        <v>0</v>
      </c>
      <c r="CB1384" s="53" t="n">
        <f aca="false">IF(CQ1384&gt;0,INDEX(Parameter!$H$5:$H$7,W1384)/INDEX(Parameter!$E$5:$E$7,W1384),IF(AND(BZ1384=0,N(IFERROR(VLOOKUP(BX1384,'Gebinde-Kategorie'!$A$5:$N$45,14,0),0))&gt;0),VLOOKUP(BX1384,'Gebinde-Kategorie'!$A$5:$N$45,14,0)*10+Parameter!$M$23,Parameter!$M$24))</f>
        <v>155</v>
      </c>
      <c r="CC1384" s="48" t="str">
        <f aca="false">IF(AND(Parameter!$B$19="Ja",E1384&lt;&gt;"",ISNUMBER(MATCH(E1384,Parameter!$I$35:$I$52,0))),VLOOKUP(E1384,Parameter!$I$35:$J$52,2,0),IFERROR(VLOOKUP(D1384,Parameter!$A$35:$C$64,2,0),"Nein"))</f>
        <v>2+3</v>
      </c>
      <c r="CD1384" s="52" t="n">
        <f aca="false">IF(BZ1384=0,0,IF(N(S1384)&gt;0,S1384,IFERROR(VLOOKUP(D1384,Parameter!$A$35:$C$64,3,0)+0,0)))</f>
        <v>0</v>
      </c>
      <c r="CE1384" s="48" t="n">
        <f aca="false">IF(AA1384&lt;&gt;"",AA1384,Z1384)</f>
        <v>3</v>
      </c>
      <c r="CF1384" s="48" t="str">
        <f aca="false">IF(OR(CE1384=1,CE1384=2,CE1384=3),IF(Parameter!$E$27="Ja","LIFT",IF(CE1384=1,"L1","L23")),IF(CE1384="Aussen","Aussen","-"))</f>
        <v>LIFT</v>
      </c>
      <c r="CG1384" s="59" t="n">
        <f aca="false">IF(N(AB1384)&gt;0,AB1384,0)</f>
        <v>0</v>
      </c>
      <c r="CH1384" s="53" t="n">
        <f aca="false">IF(ISNUMBER(AE1384),1,0)</f>
        <v>0</v>
      </c>
      <c r="CI1384" s="50" t="n">
        <f aca="false">N(AE1384)</f>
        <v>0</v>
      </c>
      <c r="CJ1384" s="50" t="n">
        <f aca="false">N(M1384)+N(N1384)</f>
        <v>130</v>
      </c>
      <c r="CK1384" s="50" t="n">
        <f aca="false">N(M1384)</f>
        <v>30</v>
      </c>
      <c r="CL1384" s="50" t="n">
        <f aca="false">N(N1384)</f>
        <v>100</v>
      </c>
      <c r="CM1384" s="50" t="n">
        <f aca="false">ROUNDUP(H1384/BY1384,0)</f>
        <v>1</v>
      </c>
      <c r="CN1384" s="50" t="n">
        <f aca="false">ROUNDUP(CI1384/BY1384,0)</f>
        <v>0</v>
      </c>
      <c r="CO1384" s="53" t="n">
        <f aca="false">IF(BZ1384=1,0,IFERROR(VLOOKUP(BX1384,'Gebinde-Kategorie'!$A$5:$N$45,5,0)+0,0))</f>
        <v>11</v>
      </c>
      <c r="CP1384" s="53" t="n">
        <f aca="false">IFERROR(IF(OR(CE1384=1,CE1384=2,CE1384=3),N(INDEX(Parameter!$I$5:$I$7,CE1384)),0),0)</f>
        <v>0</v>
      </c>
      <c r="CQ1384" s="52" t="n">
        <f aca="false">IF(AND(Parameter!$B$21="Ja",ISNUMBER(W1384),N(X1384)&gt;0),IFERROR(N(INDEX(Parameter!$L$5:$L$7,W1384))*INDEX(Parameter!$E$5:$E$7,W1384)*X1384/SUMIFS($X$7:$X$1843,$W$7:$W$1843,W1384),0),0)</f>
        <v>0</v>
      </c>
    </row>
    <row r="1385" customFormat="false" ht="15" hidden="false" customHeight="false" outlineLevel="0" collapsed="false">
      <c r="A1385" s="48" t="s">
        <v>2445</v>
      </c>
      <c r="B1385" s="48" t="s">
        <v>2446</v>
      </c>
      <c r="C1385" s="48" t="s">
        <v>173</v>
      </c>
      <c r="D1385" s="48" t="s">
        <v>193</v>
      </c>
      <c r="E1385" s="48" t="s">
        <v>194</v>
      </c>
      <c r="F1385" s="48" t="s">
        <v>227</v>
      </c>
      <c r="G1385" s="49" t="n">
        <v>1587.24</v>
      </c>
      <c r="H1385" s="50" t="n">
        <f aca="false">MAX(0,IF(AND(Parameter!$B$21="Ja",ISNUMBER(Y1385)),Y1385,IF(Parameter!$B$20="Jahresanfang 2025 + Export",BR1385+BQ1385,BQ1385)))</f>
        <v>3</v>
      </c>
      <c r="I1385" s="50" t="n">
        <f aca="false">H1385*G1385</f>
        <v>4761.72</v>
      </c>
      <c r="J1385" s="50" t="n">
        <f aca="false">BT1385*Parameter!$B$18</f>
        <v>1</v>
      </c>
      <c r="K1385" s="51" t="n">
        <v>4.5</v>
      </c>
      <c r="L1385" s="52" t="n">
        <v>0.222222222222222</v>
      </c>
      <c r="M1385" s="50" t="n">
        <v>0</v>
      </c>
      <c r="N1385" s="50" t="n">
        <v>1</v>
      </c>
      <c r="O1385" s="53" t="n">
        <v>28</v>
      </c>
      <c r="P1385" s="48" t="s">
        <v>235</v>
      </c>
      <c r="Q1385" s="50" t="n">
        <v>3</v>
      </c>
      <c r="R1385" s="53" t="n">
        <f aca="false">IF(BZ1385=1,0,IFERROR(VLOOKUP(BX1385,'Gebinde-Kategorie'!$A$5:$N$45,13,0)+0,0))</f>
        <v>12</v>
      </c>
      <c r="S1385" s="54"/>
      <c r="T1385" s="55"/>
      <c r="U1385" s="55"/>
      <c r="V1385" s="55"/>
      <c r="W1385" s="48"/>
      <c r="X1385" s="50"/>
      <c r="Y1385" s="50"/>
      <c r="Z1385" s="48" t="n">
        <f aca="false">IF(A1385="","",IF(AND(Parameter!$B$21="Ja",ISNUMBER(W1385)),W1385,IF(CC1385="2+3",IF(ISNUMBER(SEARCH("grosser Artikel",BU1385)),2,IFERROR(VLOOKUP(BX1385,Parameter!$F$35:$G$64,2,0),2)),IF(OR(CC1385="Nein",CC1385=""),"-",CC1385))))</f>
        <v>2</v>
      </c>
      <c r="AA1385" s="55"/>
      <c r="AB1385" s="56"/>
      <c r="AC1385" s="50" t="n">
        <f aca="false">AV1385</f>
        <v>1</v>
      </c>
      <c r="AD1385" s="50" t="n">
        <f aca="false">MAX(AV1385,H1385)</f>
        <v>3</v>
      </c>
      <c r="AE1385" s="57"/>
      <c r="AF1385" s="50" t="n">
        <f aca="false">IF(LEFT(Cockpit!$C$5,1)="A",H1385,IF(Parameter!$E$30="MAX-Bestand",IF(CH1385=1,CI1385,IF(LEFT(Cockpit!$C$5,1)="B",AL1385,MAX(AL1385,H1385))),ROUNDUP(AJ1385,0)))</f>
        <v>3</v>
      </c>
      <c r="AG1385" s="50" t="n">
        <f aca="false">IF(BZ1385=1,0,ROUNDUP(AF1385/BY1385,0))</f>
        <v>1</v>
      </c>
      <c r="AH1385" s="52" t="n">
        <f aca="false">IF(CQ1385&gt;0,CQ1385*MAX(1,AF1385/X1385),IF(BZ1385=1,IF(AF1385&lt;=0,0,CD1385*MAX(1,IF(H1385&gt;0,AF1385/H1385,1))),IF(R1385&gt;0,AG1385/R1385,0))/MAX(0.1,N(Parameter!$M$21)))</f>
        <v>0.0833333333333333</v>
      </c>
      <c r="AI1385" s="50" t="n">
        <f aca="false">AH1385*CB1385</f>
        <v>28.75</v>
      </c>
      <c r="AJ1385" s="51" t="n">
        <f aca="false">IF(LEFT(Cockpit!$C$5,1)="A",H1385,IF(CH1385=1,(CK1385+CI1385)/2,IF(LEFT(Cockpit!$C$5,1)="B",(CK1385+AL1385)/2,MAX((CK1385+AL1385)/2,H1385))))</f>
        <v>3</v>
      </c>
      <c r="AK1385" s="50" t="n">
        <f aca="false">AJ1385*G1385</f>
        <v>4761.72</v>
      </c>
      <c r="AL1385" s="50" t="n">
        <f aca="false">ROUNDUP(CK1385+MAX(CL1385,2*(J1385/IF(CG1385&gt;0,CG1385,MAX(0.1,N(Cockpit!$C$6)))-CK1385)),0)</f>
        <v>1</v>
      </c>
      <c r="AM1385" s="51" t="n">
        <f aca="false">IF(AI1385&gt;0,J1385/AI1385,-1)</f>
        <v>0.0347826086956522</v>
      </c>
      <c r="AN1385" s="51" t="n">
        <f aca="false">IF(AND(OR(CF1385="L1",CF1385="L23",CF1385="LIFT"),AI1385&gt;0),SUMIFS($AI$7:$AI$1843,$CF$7:$CF$1843,CF1385,$AM$7:$AM$1843,"&gt;"&amp;AM1385)+SUMIFS($AI$7:$AI$1843,$CF$7:$CF$1843,CF1385,$AM$7:$AM$1843,AM1385,$BW$7:$BW$1843,"&lt;="&amp;BW1385),"")</f>
        <v>19981.1209800087</v>
      </c>
      <c r="AO1385" s="58" t="n">
        <f aca="false">IF(AN1385="",0,MAX(0,MIN(1,(IF(CF1385="L1",Parameter!$H$5,IF(CF1385="L23",Parameter!$H$6+Parameter!$H$7,Parameter!$H$5+Parameter!$H$6+Parameter!$H$7))-(AN1385-AI1385))/AI1385)))</f>
        <v>1</v>
      </c>
      <c r="AP1385" s="50" t="n">
        <f aca="false">IF(LEFT(Cockpit!$I$5,1)="A",H1385,IF(Parameter!$E$30="MAX-Bestand",IF(CH1385=1,CI1385,IF(LEFT(Cockpit!$I$5,1)="B",AV1385,MAX(AV1385,H1385))),ROUNDUP(AT1385,0)))</f>
        <v>3</v>
      </c>
      <c r="AQ1385" s="50" t="n">
        <f aca="false">IF(BZ1385=1,0,ROUNDUP(AP1385/BY1385,0))</f>
        <v>1</v>
      </c>
      <c r="AR1385" s="52" t="n">
        <f aca="false">IF(CQ1385&gt;0,CQ1385*MAX(1,AP1385/X1385),IF(BZ1385=1,IF(AP1385&lt;=0,0,CD1385*MAX(1,IF(H1385&gt;0,AP1385/H1385,1))),IF(R1385&gt;0,AQ1385/R1385,0))/MAX(0.1,N(Parameter!$M$21)))</f>
        <v>0.0833333333333333</v>
      </c>
      <c r="AS1385" s="50" t="n">
        <f aca="false">AR1385*CB1385</f>
        <v>28.75</v>
      </c>
      <c r="AT1385" s="51" t="n">
        <f aca="false">IF(LEFT(Cockpit!$I$5,1)="A",H1385,IF(CH1385=1,(CK1385+CI1385)/2,IF(LEFT(Cockpit!$I$5,1)="B",(CK1385+AV1385)/2,MAX((CK1385+AV1385)/2,H1385))))</f>
        <v>3</v>
      </c>
      <c r="AU1385" s="50" t="n">
        <f aca="false">AT1385*G1385</f>
        <v>4761.72</v>
      </c>
      <c r="AV1385" s="50" t="n">
        <f aca="false">ROUNDUP(CK1385+MAX(CL1385,2*(J1385/IF(CG1385&gt;0,CG1385,MAX(0.1,N(Cockpit!$I$6)))-CK1385)),0)</f>
        <v>1</v>
      </c>
      <c r="AW1385" s="51" t="n">
        <f aca="false">IF(AS1385&gt;0,J1385/AS1385,-1)</f>
        <v>0.0347826086956522</v>
      </c>
      <c r="AX1385" s="51" t="n">
        <f aca="false">IF(AND(OR(CF1385="L1",CF1385="L23",CF1385="LIFT"),AS1385&gt;0),SUMIFS($AS$7:$AS$1843,$CF$7:$CF$1843,CF1385,$AW$7:$AW$1843,"&gt;"&amp;AW1385)+SUMIFS($AS$7:$AS$1843,$CF$7:$CF$1843,CF1385,$AW$7:$AW$1843,AW1385,$BW$7:$BW$1843,"&lt;="&amp;BW1385),"")</f>
        <v>25040.5196213861</v>
      </c>
      <c r="AY1385" s="58" t="n">
        <f aca="false">IF(AX1385="",0,MAX(0,MIN(1,(IF(CF1385="L1",Parameter!$H$5,IF(CF1385="L23",Parameter!$H$6+Parameter!$H$7,Parameter!$H$5+Parameter!$H$6+Parameter!$H$7))-(AX1385-AS1385))/AS1385)))</f>
        <v>1</v>
      </c>
      <c r="AZ1385" s="50" t="n">
        <f aca="false">IF(LEFT(Cockpit!$O$5,1)="A",H1385,IF(Parameter!$E$30="MAX-Bestand",IF(CH1385=1,CI1385,IF(LEFT(Cockpit!$O$5,1)="B",BF1385,MAX(BF1385,H1385))),ROUNDUP(BD1385,0)))</f>
        <v>1</v>
      </c>
      <c r="BA1385" s="50" t="n">
        <f aca="false">IF(BZ1385=1,0,ROUNDUP(AZ1385/BY1385,0))</f>
        <v>1</v>
      </c>
      <c r="BB1385" s="52" t="n">
        <f aca="false">IF(CQ1385&gt;0,CQ1385*MAX(1,AZ1385/X1385),IF(BZ1385=1,IF(AZ1385&lt;=0,0,CD1385*MAX(1,IF(H1385&gt;0,AZ1385/H1385,1))),IF(R1385&gt;0,BA1385/R1385,0))/MAX(0.1,N(Parameter!$M$21)))</f>
        <v>0.0833333333333333</v>
      </c>
      <c r="BC1385" s="50" t="n">
        <f aca="false">BB1385*CB1385</f>
        <v>28.75</v>
      </c>
      <c r="BD1385" s="51" t="n">
        <f aca="false">IF(LEFT(Cockpit!$O$5,1)="A",H1385,IF(CH1385=1,(CK1385+CI1385)/2,IF(LEFT(Cockpit!$O$5,1)="B",(CK1385+BF1385)/2,MAX((CK1385+BF1385)/2,H1385))))</f>
        <v>0.5</v>
      </c>
      <c r="BE1385" s="50" t="n">
        <f aca="false">BD1385*G1385</f>
        <v>793.62</v>
      </c>
      <c r="BF1385" s="50" t="n">
        <f aca="false">ROUNDUP(CK1385+MAX(CL1385,2*(J1385/IF(CG1385&gt;0,CG1385,MAX(0.1,N(Cockpit!$O$6)))-CK1385)),0)</f>
        <v>1</v>
      </c>
      <c r="BG1385" s="51" t="n">
        <f aca="false">IF(BC1385&gt;0,J1385/BC1385,-1)</f>
        <v>0.0347826086956522</v>
      </c>
      <c r="BH1385" s="51" t="n">
        <f aca="false">IF(AND(OR(CF1385="L1",CF1385="L23",CF1385="LIFT"),BC1385&gt;0),SUMIFS($BC$7:$BC$1843,$CF$7:$CF$1843,CF1385,$BG$7:$BG$1843,"&gt;"&amp;BG1385)+SUMIFS($BC$7:$BC$1843,$CF$7:$CF$1843,CF1385,$BG$7:$BG$1843,BG1385,$BW$7:$BW$1843,"&lt;="&amp;BW1385),"")</f>
        <v>20890.4347980174</v>
      </c>
      <c r="BI1385" s="58" t="n">
        <f aca="false">IF(BH1385="",0,MAX(0,MIN(1,(IF(CF1385="L1",Parameter!$H$5,IF(CF1385="L23",Parameter!$H$6+Parameter!$H$7,Parameter!$H$5+Parameter!$H$6+Parameter!$H$7))-(BH1385-BC1385))/BC1385)))</f>
        <v>1</v>
      </c>
      <c r="BJ1385" s="48" t="str">
        <f aca="false">IF(AI1385&lt;=0,"",IF(CF1385="Aussen","Aussenlager",IF(CF1385="-","Nicht im Lift",IF(AO1385&gt;=1,"Lift",IF(AO1385&lt;=0,"Aussenlager","teilweise")))))</f>
        <v>Lift</v>
      </c>
      <c r="BK1385" s="48" t="str">
        <f aca="false">IF(AS1385&lt;=0,"",IF(CF1385="Aussen","Aussenlager",IF(CF1385="-","Nicht im Lift",IF(AY1385&gt;=1,"Lift",IF(AY1385&lt;=0,"Aussenlager","teilweise")))))</f>
        <v>Lift</v>
      </c>
      <c r="BL1385" s="48" t="str">
        <f aca="false">IF(BC1385&lt;=0,"",IF(CF1385="Aussen","Aussenlager",IF(CF1385="-","Nicht im Lift",IF(BI1385&gt;=1,"Lift",IF(BI1385&lt;=0,"Aussenlager","teilweise")))))</f>
        <v>Lift</v>
      </c>
      <c r="BM1385" s="48" t="str">
        <f aca="false">IF(A1385="","",IF(BV1385=1,"Neu; ","")&amp;IF(AND(BV1385=0,BQ1385&lt;0),"negativer Bestand (Export "&amp;BQ1385&amp;"); ","")&amp;IF(J1385&lt;=0,"Kein Verbrauch; ","")&amp;IF(CQ1385&gt;0,"Lift "&amp;W1385&amp;" lt. Liftbericht (Fach "&amp;X1385&amp;" Stk); ",IF(CA1385=1,"Gebinde geschätzt ("&amp;T1385&amp;"); ",IF(BZ1385=1,"Lose – Tablare geschätzt; ","")))&amp;IF(H1385&gt;AV1385,"Überbestand "&amp;ROUND(H1385-AV1385,0)&amp;" Stk / CHF "&amp;ROUND((H1385-AV1385)*G1385,0)&amp;"; ","")&amp;IF(AND(CH1385=1,CI1385&lt;CJ1385),"MAX &lt; MB+LG; ","")&amp;IF(AND(CP1385&gt;0,CO1385*10&gt;CP1385),"zu hoch für Tablar; ","")&amp;IF(AND(BV1385=0,OR(CH1385=1,AA1385&lt;&gt;"",U1385&lt;&gt;"",V1385&lt;&gt;"",AB1385&lt;&gt;"")),"manuell übersteuert; ","")&amp;IF(AND(BZ1385=0,R1385=0),"Gebinde unbekannt / Stellmass fehlt; ","")&amp;IF(AND(BZ1385=0,N(V1385)&lt;=0,N(Q1385)&lt;=0),"Menge pro Gebinde fehlt (Ist = 1 Gebinde); ","")&amp;BU1385)</f>
        <v>negativer Bestand (Export -2); Überbestand 2 Stk / CHF 3174; </v>
      </c>
      <c r="BN1385" s="48"/>
      <c r="BO1385" s="48"/>
      <c r="BP1385" s="55"/>
      <c r="BQ1385" s="50" t="n">
        <v>-2</v>
      </c>
      <c r="BR1385" s="50" t="n">
        <v>5</v>
      </c>
      <c r="BS1385" s="49" t="n">
        <v>-3174.48</v>
      </c>
      <c r="BT1385" s="50" t="n">
        <v>1</v>
      </c>
      <c r="BU1385" s="48"/>
      <c r="BV1385" s="53" t="n">
        <v>0</v>
      </c>
      <c r="BW1385" s="53" t="n">
        <v>1385</v>
      </c>
      <c r="BX1385" s="48" t="str">
        <f aca="false">IF(U1385&lt;&gt;"",UPPER(TRIM(U1385)),IF(CA1385=1,UPPER(VLOOKUP(T1385,Parameter!$I$27:$K$29,2,0)),IF(P1385="","LOSE",P1385)))</f>
        <v>S63</v>
      </c>
      <c r="BY1385" s="50" t="n">
        <f aca="false">IF(BX1385="LOSE",1,IF(N(V1385)&gt;0,V1385,IF(CA1385=1,MAX(1,N(VLOOKUP(T1385,Parameter!$I$27:$K$29,3,0)),H1385,N(N1385)),IF(N(Q1385)&gt;0,Q1385,MAX(1,H1385)))))</f>
        <v>3</v>
      </c>
      <c r="BZ1385" s="53" t="n">
        <f aca="false">IF(BX1385="LOSE",1,0)</f>
        <v>0</v>
      </c>
      <c r="CA1385" s="53" t="n">
        <f aca="false">IF(AND(U1385="",OR(P1385="",P1385="LOSE"),T1385&lt;&gt;"",N(S1385)&lt;=0,ISNUMBER(MATCH(T1385,Parameter!$I$27:$I$29,0))),1,0)</f>
        <v>0</v>
      </c>
      <c r="CB1385" s="53" t="n">
        <f aca="false">IF(CQ1385&gt;0,INDEX(Parameter!$H$5:$H$7,W1385)/INDEX(Parameter!$E$5:$E$7,W1385),IF(AND(BZ1385=0,N(IFERROR(VLOOKUP(BX1385,'Gebinde-Kategorie'!$A$5:$N$45,14,0),0))&gt;0),VLOOKUP(BX1385,'Gebinde-Kategorie'!$A$5:$N$45,14,0)*10+Parameter!$M$23,Parameter!$M$24))</f>
        <v>345</v>
      </c>
      <c r="CC1385" s="48" t="str">
        <f aca="false">IF(AND(Parameter!$B$19="Ja",E1385&lt;&gt;"",ISNUMBER(MATCH(E1385,Parameter!$I$35:$I$52,0))),VLOOKUP(E1385,Parameter!$I$35:$J$52,2,0),IFERROR(VLOOKUP(D1385,Parameter!$A$35:$C$64,2,0),"Nein"))</f>
        <v>2+3</v>
      </c>
      <c r="CD1385" s="52" t="n">
        <f aca="false">IF(BZ1385=0,0,IF(N(S1385)&gt;0,S1385,IFERROR(VLOOKUP(D1385,Parameter!$A$35:$C$64,3,0)+0,0)))</f>
        <v>0</v>
      </c>
      <c r="CE1385" s="48" t="n">
        <f aca="false">IF(AA1385&lt;&gt;"",AA1385,Z1385)</f>
        <v>2</v>
      </c>
      <c r="CF1385" s="48" t="str">
        <f aca="false">IF(OR(CE1385=1,CE1385=2,CE1385=3),IF(Parameter!$E$27="Ja","LIFT",IF(CE1385=1,"L1","L23")),IF(CE1385="Aussen","Aussen","-"))</f>
        <v>LIFT</v>
      </c>
      <c r="CG1385" s="59" t="n">
        <f aca="false">IF(N(AB1385)&gt;0,AB1385,0)</f>
        <v>0</v>
      </c>
      <c r="CH1385" s="53" t="n">
        <f aca="false">IF(ISNUMBER(AE1385),1,0)</f>
        <v>0</v>
      </c>
      <c r="CI1385" s="50" t="n">
        <f aca="false">N(AE1385)</f>
        <v>0</v>
      </c>
      <c r="CJ1385" s="50" t="n">
        <f aca="false">N(M1385)+N(N1385)</f>
        <v>1</v>
      </c>
      <c r="CK1385" s="50" t="n">
        <f aca="false">N(M1385)</f>
        <v>0</v>
      </c>
      <c r="CL1385" s="50" t="n">
        <f aca="false">N(N1385)</f>
        <v>1</v>
      </c>
      <c r="CM1385" s="50" t="n">
        <f aca="false">ROUNDUP(H1385/BY1385,0)</f>
        <v>1</v>
      </c>
      <c r="CN1385" s="50" t="n">
        <f aca="false">ROUNDUP(CI1385/BY1385,0)</f>
        <v>0</v>
      </c>
      <c r="CO1385" s="53" t="n">
        <f aca="false">IF(BZ1385=1,0,IFERROR(VLOOKUP(BX1385,'Gebinde-Kategorie'!$A$5:$N$45,5,0)+0,0))</f>
        <v>31</v>
      </c>
      <c r="CP1385" s="53" t="n">
        <f aca="false">IFERROR(IF(OR(CE1385=1,CE1385=2,CE1385=3),N(INDEX(Parameter!$I$5:$I$7,CE1385)),0),0)</f>
        <v>0</v>
      </c>
      <c r="CQ1385" s="52" t="n">
        <f aca="false">IF(AND(Parameter!$B$21="Ja",ISNUMBER(W1385),N(X1385)&gt;0),IFERROR(N(INDEX(Parameter!$L$5:$L$7,W1385))*INDEX(Parameter!$E$5:$E$7,W1385)*X1385/SUMIFS($X$7:$X$1843,$W$7:$W$1843,W1385),0),0)</f>
        <v>0</v>
      </c>
    </row>
    <row r="1386" customFormat="false" ht="15" hidden="false" customHeight="false" outlineLevel="0" collapsed="false">
      <c r="A1386" s="48" t="s">
        <v>2447</v>
      </c>
      <c r="B1386" s="48" t="s">
        <v>2367</v>
      </c>
      <c r="C1386" s="48" t="s">
        <v>465</v>
      </c>
      <c r="D1386" s="48" t="s">
        <v>362</v>
      </c>
      <c r="E1386" s="48"/>
      <c r="F1386" s="48" t="s">
        <v>227</v>
      </c>
      <c r="G1386" s="49" t="n">
        <v>1598.96</v>
      </c>
      <c r="H1386" s="50" t="n">
        <f aca="false">MAX(0,IF(AND(Parameter!$B$21="Ja",ISNUMBER(Y1386)),Y1386,IF(Parameter!$B$20="Jahresanfang 2025 + Export",BR1386+BQ1386,BQ1386)))</f>
        <v>0</v>
      </c>
      <c r="I1386" s="50" t="n">
        <f aca="false">H1386*G1386</f>
        <v>0</v>
      </c>
      <c r="J1386" s="50" t="n">
        <f aca="false">BT1386*Parameter!$B$18</f>
        <v>0</v>
      </c>
      <c r="K1386" s="51" t="n">
        <v>1</v>
      </c>
      <c r="L1386" s="52" t="n">
        <v>0</v>
      </c>
      <c r="M1386" s="50" t="n">
        <v>0</v>
      </c>
      <c r="N1386" s="50" t="n">
        <v>1</v>
      </c>
      <c r="O1386" s="53" t="n">
        <v>0</v>
      </c>
      <c r="P1386" s="48" t="s">
        <v>177</v>
      </c>
      <c r="Q1386" s="50"/>
      <c r="R1386" s="53" t="n">
        <f aca="false">IF(BZ1386=1,0,IFERROR(VLOOKUP(BX1386,'Gebinde-Kategorie'!$A$5:$N$45,13,0)+0,0))</f>
        <v>0</v>
      </c>
      <c r="S1386" s="54"/>
      <c r="T1386" s="55"/>
      <c r="U1386" s="55"/>
      <c r="V1386" s="55"/>
      <c r="W1386" s="48"/>
      <c r="X1386" s="50"/>
      <c r="Y1386" s="50"/>
      <c r="Z1386" s="48" t="str">
        <f aca="false">IF(A1386="","",IF(AND(Parameter!$B$21="Ja",ISNUMBER(W1386)),W1386,IF(CC1386="2+3",IF(ISNUMBER(SEARCH("grosser Artikel",BU1386)),2,IFERROR(VLOOKUP(BX1386,Parameter!$F$35:$G$64,2,0),2)),IF(OR(CC1386="Nein",CC1386=""),"-",CC1386))))</f>
        <v>-</v>
      </c>
      <c r="AA1386" s="55"/>
      <c r="AB1386" s="56"/>
      <c r="AC1386" s="50" t="n">
        <f aca="false">AV1386</f>
        <v>1</v>
      </c>
      <c r="AD1386" s="50" t="n">
        <f aca="false">MAX(AV1386,H1386)</f>
        <v>1</v>
      </c>
      <c r="AE1386" s="57"/>
      <c r="AF1386" s="50" t="n">
        <f aca="false">IF(LEFT(Cockpit!$C$5,1)="A",H1386,IF(Parameter!$E$30="MAX-Bestand",IF(CH1386=1,CI1386,IF(LEFT(Cockpit!$C$5,1)="B",AL1386,MAX(AL1386,H1386))),ROUNDUP(AJ1386,0)))</f>
        <v>0</v>
      </c>
      <c r="AG1386" s="50" t="n">
        <f aca="false">IF(BZ1386=1,0,ROUNDUP(AF1386/BY1386,0))</f>
        <v>0</v>
      </c>
      <c r="AH1386" s="52" t="n">
        <f aca="false">IF(CQ1386&gt;0,CQ1386*MAX(1,AF1386/X1386),IF(BZ1386=1,IF(AF1386&lt;=0,0,CD1386*MAX(1,IF(H1386&gt;0,AF1386/H1386,1))),IF(R1386&gt;0,AG1386/R1386,0))/MAX(0.1,N(Parameter!$M$21)))</f>
        <v>0</v>
      </c>
      <c r="AI1386" s="50" t="n">
        <f aca="false">AH1386*CB1386</f>
        <v>0</v>
      </c>
      <c r="AJ1386" s="51" t="n">
        <f aca="false">IF(LEFT(Cockpit!$C$5,1)="A",H1386,IF(CH1386=1,(CK1386+CI1386)/2,IF(LEFT(Cockpit!$C$5,1)="B",(CK1386+AL1386)/2,MAX((CK1386+AL1386)/2,H1386))))</f>
        <v>0</v>
      </c>
      <c r="AK1386" s="50" t="n">
        <f aca="false">AJ1386*G1386</f>
        <v>0</v>
      </c>
      <c r="AL1386" s="50" t="n">
        <f aca="false">ROUNDUP(CK1386+MAX(CL1386,2*(J1386/IF(CG1386&gt;0,CG1386,MAX(0.1,N(Cockpit!$C$6)))-CK1386)),0)</f>
        <v>1</v>
      </c>
      <c r="AM1386" s="51" t="n">
        <f aca="false">IF(AI1386&gt;0,J1386/AI1386,-1)</f>
        <v>-1</v>
      </c>
      <c r="AN1386" s="51" t="str">
        <f aca="false">IF(AND(OR(CF1386="L1",CF1386="L23",CF1386="LIFT"),AI1386&gt;0),SUMIFS($AI$7:$AI$1843,$CF$7:$CF$1843,CF1386,$AM$7:$AM$1843,"&gt;"&amp;AM1386)+SUMIFS($AI$7:$AI$1843,$CF$7:$CF$1843,CF1386,$AM$7:$AM$1843,AM1386,$BW$7:$BW$1843,"&lt;="&amp;BW1386),"")</f>
        <v/>
      </c>
      <c r="AO1386" s="58" t="n">
        <f aca="false">IF(AN1386="",0,MAX(0,MIN(1,(IF(CF1386="L1",Parameter!$H$5,IF(CF1386="L23",Parameter!$H$6+Parameter!$H$7,Parameter!$H$5+Parameter!$H$6+Parameter!$H$7))-(AN1386-AI1386))/AI1386)))</f>
        <v>0</v>
      </c>
      <c r="AP1386" s="50" t="n">
        <f aca="false">IF(LEFT(Cockpit!$I$5,1)="A",H1386,IF(Parameter!$E$30="MAX-Bestand",IF(CH1386=1,CI1386,IF(LEFT(Cockpit!$I$5,1)="B",AV1386,MAX(AV1386,H1386))),ROUNDUP(AT1386,0)))</f>
        <v>1</v>
      </c>
      <c r="AQ1386" s="50" t="n">
        <f aca="false">IF(BZ1386=1,0,ROUNDUP(AP1386/BY1386,0))</f>
        <v>0</v>
      </c>
      <c r="AR1386" s="52" t="n">
        <f aca="false">IF(CQ1386&gt;0,CQ1386*MAX(1,AP1386/X1386),IF(BZ1386=1,IF(AP1386&lt;=0,0,CD1386*MAX(1,IF(H1386&gt;0,AP1386/H1386,1))),IF(R1386&gt;0,AQ1386/R1386,0))/MAX(0.1,N(Parameter!$M$21)))</f>
        <v>0.15</v>
      </c>
      <c r="AS1386" s="50" t="n">
        <f aca="false">AR1386*CB1386</f>
        <v>35.25</v>
      </c>
      <c r="AT1386" s="51" t="n">
        <f aca="false">IF(LEFT(Cockpit!$I$5,1)="A",H1386,IF(CH1386=1,(CK1386+CI1386)/2,IF(LEFT(Cockpit!$I$5,1)="B",(CK1386+AV1386)/2,MAX((CK1386+AV1386)/2,H1386))))</f>
        <v>0.5</v>
      </c>
      <c r="AU1386" s="50" t="n">
        <f aca="false">AT1386*G1386</f>
        <v>799.48</v>
      </c>
      <c r="AV1386" s="50" t="n">
        <f aca="false">ROUNDUP(CK1386+MAX(CL1386,2*(J1386/IF(CG1386&gt;0,CG1386,MAX(0.1,N(Cockpit!$I$6)))-CK1386)),0)</f>
        <v>1</v>
      </c>
      <c r="AW1386" s="51" t="n">
        <f aca="false">IF(AS1386&gt;0,J1386/AS1386,-1)</f>
        <v>0</v>
      </c>
      <c r="AX1386" s="51" t="str">
        <f aca="false">IF(AND(OR(CF1386="L1",CF1386="L23",CF1386="LIFT"),AS1386&gt;0),SUMIFS($AS$7:$AS$1843,$CF$7:$CF$1843,CF1386,$AW$7:$AW$1843,"&gt;"&amp;AW1386)+SUMIFS($AS$7:$AS$1843,$CF$7:$CF$1843,CF1386,$AW$7:$AW$1843,AW1386,$BW$7:$BW$1843,"&lt;="&amp;BW1386),"")</f>
        <v/>
      </c>
      <c r="AY1386" s="58" t="n">
        <f aca="false">IF(AX1386="",0,MAX(0,MIN(1,(IF(CF1386="L1",Parameter!$H$5,IF(CF1386="L23",Parameter!$H$6+Parameter!$H$7,Parameter!$H$5+Parameter!$H$6+Parameter!$H$7))-(AX1386-AS1386))/AS1386)))</f>
        <v>0</v>
      </c>
      <c r="AZ1386" s="50" t="n">
        <f aca="false">IF(LEFT(Cockpit!$O$5,1)="A",H1386,IF(Parameter!$E$30="MAX-Bestand",IF(CH1386=1,CI1386,IF(LEFT(Cockpit!$O$5,1)="B",BF1386,MAX(BF1386,H1386))),ROUNDUP(BD1386,0)))</f>
        <v>1</v>
      </c>
      <c r="BA1386" s="50" t="n">
        <f aca="false">IF(BZ1386=1,0,ROUNDUP(AZ1386/BY1386,0))</f>
        <v>0</v>
      </c>
      <c r="BB1386" s="52" t="n">
        <f aca="false">IF(CQ1386&gt;0,CQ1386*MAX(1,AZ1386/X1386),IF(BZ1386=1,IF(AZ1386&lt;=0,0,CD1386*MAX(1,IF(H1386&gt;0,AZ1386/H1386,1))),IF(R1386&gt;0,BA1386/R1386,0))/MAX(0.1,N(Parameter!$M$21)))</f>
        <v>0.15</v>
      </c>
      <c r="BC1386" s="50" t="n">
        <f aca="false">BB1386*CB1386</f>
        <v>35.25</v>
      </c>
      <c r="BD1386" s="51" t="n">
        <f aca="false">IF(LEFT(Cockpit!$O$5,1)="A",H1386,IF(CH1386=1,(CK1386+CI1386)/2,IF(LEFT(Cockpit!$O$5,1)="B",(CK1386+BF1386)/2,MAX((CK1386+BF1386)/2,H1386))))</f>
        <v>0.5</v>
      </c>
      <c r="BE1386" s="50" t="n">
        <f aca="false">BD1386*G1386</f>
        <v>799.48</v>
      </c>
      <c r="BF1386" s="50" t="n">
        <f aca="false">ROUNDUP(CK1386+MAX(CL1386,2*(J1386/IF(CG1386&gt;0,CG1386,MAX(0.1,N(Cockpit!$O$6)))-CK1386)),0)</f>
        <v>1</v>
      </c>
      <c r="BG1386" s="51" t="n">
        <f aca="false">IF(BC1386&gt;0,J1386/BC1386,-1)</f>
        <v>0</v>
      </c>
      <c r="BH1386" s="51" t="str">
        <f aca="false">IF(AND(OR(CF1386="L1",CF1386="L23",CF1386="LIFT"),BC1386&gt;0),SUMIFS($BC$7:$BC$1843,$CF$7:$CF$1843,CF1386,$BG$7:$BG$1843,"&gt;"&amp;BG1386)+SUMIFS($BC$7:$BC$1843,$CF$7:$CF$1843,CF1386,$BG$7:$BG$1843,BG1386,$BW$7:$BW$1843,"&lt;="&amp;BW1386),"")</f>
        <v/>
      </c>
      <c r="BI1386" s="58" t="n">
        <f aca="false">IF(BH1386="",0,MAX(0,MIN(1,(IF(CF1386="L1",Parameter!$H$5,IF(CF1386="L23",Parameter!$H$6+Parameter!$H$7,Parameter!$H$5+Parameter!$H$6+Parameter!$H$7))-(BH1386-BC1386))/BC1386)))</f>
        <v>0</v>
      </c>
      <c r="BJ1386" s="48" t="str">
        <f aca="false">IF(AI1386&lt;=0,"",IF(CF1386="Aussen","Aussenlager",IF(CF1386="-","Nicht im Lift",IF(AO1386&gt;=1,"Lift",IF(AO1386&lt;=0,"Aussenlager","teilweise")))))</f>
        <v/>
      </c>
      <c r="BK1386" s="48" t="str">
        <f aca="false">IF(AS1386&lt;=0,"",IF(CF1386="Aussen","Aussenlager",IF(CF1386="-","Nicht im Lift",IF(AY1386&gt;=1,"Lift",IF(AY1386&lt;=0,"Aussenlager","teilweise")))))</f>
        <v>Nicht im Lift</v>
      </c>
      <c r="BL1386" s="48" t="str">
        <f aca="false">IF(BC1386&lt;=0,"",IF(CF1386="Aussen","Aussenlager",IF(CF1386="-","Nicht im Lift",IF(BI1386&gt;=1,"Lift",IF(BI1386&lt;=0,"Aussenlager","teilweise")))))</f>
        <v>Nicht im Lift</v>
      </c>
      <c r="BM1386" s="48" t="str">
        <f aca="false">IF(A1386="","",IF(BV1386=1,"Neu; ","")&amp;IF(AND(BV1386=0,BQ1386&lt;0),"negativer Bestand (Export "&amp;BQ1386&amp;"); ","")&amp;IF(J1386&lt;=0,"Kein Verbrauch; ","")&amp;IF(CQ1386&gt;0,"Lift "&amp;W1386&amp;" lt. Liftbericht (Fach "&amp;X1386&amp;" Stk); ",IF(CA1386=1,"Gebinde geschätzt ("&amp;T1386&amp;"); ",IF(BZ1386=1,"Lose – Tablare geschätzt; ","")))&amp;IF(H1386&gt;AV1386,"Überbestand "&amp;ROUND(H1386-AV1386,0)&amp;" Stk / CHF "&amp;ROUND((H1386-AV1386)*G1386,0)&amp;"; ","")&amp;IF(AND(CH1386=1,CI1386&lt;CJ1386),"MAX &lt; MB+LG; ","")&amp;IF(AND(CP1386&gt;0,CO1386*10&gt;CP1386),"zu hoch für Tablar; ","")&amp;IF(AND(BV1386=0,OR(CH1386=1,AA1386&lt;&gt;"",U1386&lt;&gt;"",V1386&lt;&gt;"",AB1386&lt;&gt;"")),"manuell übersteuert; ","")&amp;IF(AND(BZ1386=0,R1386=0),"Gebinde unbekannt / Stellmass fehlt; ","")&amp;IF(AND(BZ1386=0,N(V1386)&lt;=0,N(Q1386)&lt;=0),"Menge pro Gebinde fehlt (Ist = 1 Gebinde); ","")&amp;BU1386)</f>
        <v>negativer Bestand (Export -2); Kein Verbrauch; Lose – Tablare geschätzt; </v>
      </c>
      <c r="BN1386" s="48"/>
      <c r="BO1386" s="48"/>
      <c r="BP1386" s="55"/>
      <c r="BQ1386" s="50" t="n">
        <v>-2</v>
      </c>
      <c r="BR1386" s="50" t="n">
        <v>2</v>
      </c>
      <c r="BS1386" s="49" t="n">
        <v>-3197.92</v>
      </c>
      <c r="BT1386" s="50" t="n">
        <v>0</v>
      </c>
      <c r="BU1386" s="48"/>
      <c r="BV1386" s="53" t="n">
        <v>0</v>
      </c>
      <c r="BW1386" s="53" t="n">
        <v>1386</v>
      </c>
      <c r="BX1386" s="48" t="str">
        <f aca="false">IF(U1386&lt;&gt;"",UPPER(TRIM(U1386)),IF(CA1386=1,UPPER(VLOOKUP(T1386,Parameter!$I$27:$K$29,2,0)),IF(P1386="","LOSE",P1386)))</f>
        <v>LOSE</v>
      </c>
      <c r="BY1386" s="50" t="n">
        <f aca="false">IF(BX1386="LOSE",1,IF(N(V1386)&gt;0,V1386,IF(CA1386=1,MAX(1,N(VLOOKUP(T1386,Parameter!$I$27:$K$29,3,0)),H1386,N(N1386)),IF(N(Q1386)&gt;0,Q1386,MAX(1,H1386)))))</f>
        <v>1</v>
      </c>
      <c r="BZ1386" s="53" t="n">
        <f aca="false">IF(BX1386="LOSE",1,0)</f>
        <v>1</v>
      </c>
      <c r="CA1386" s="53" t="n">
        <f aca="false">IF(AND(U1386="",OR(P1386="",P1386="LOSE"),T1386&lt;&gt;"",N(S1386)&lt;=0,ISNUMBER(MATCH(T1386,Parameter!$I$27:$I$29,0))),1,0)</f>
        <v>0</v>
      </c>
      <c r="CB1386" s="53" t="n">
        <f aca="false">IF(CQ1386&gt;0,INDEX(Parameter!$H$5:$H$7,W1386)/INDEX(Parameter!$E$5:$E$7,W1386),IF(AND(BZ1386=0,N(IFERROR(VLOOKUP(BX1386,'Gebinde-Kategorie'!$A$5:$N$45,14,0),0))&gt;0),VLOOKUP(BX1386,'Gebinde-Kategorie'!$A$5:$N$45,14,0)*10+Parameter!$M$23,Parameter!$M$24))</f>
        <v>235</v>
      </c>
      <c r="CC1386" s="48" t="str">
        <f aca="false">IF(AND(Parameter!$B$19="Ja",E1386&lt;&gt;"",ISNUMBER(MATCH(E1386,Parameter!$I$35:$I$52,0))),VLOOKUP(E1386,Parameter!$I$35:$J$52,2,0),IFERROR(VLOOKUP(D1386,Parameter!$A$35:$C$64,2,0),"Nein"))</f>
        <v>Nein</v>
      </c>
      <c r="CD1386" s="52" t="n">
        <f aca="false">IF(BZ1386=0,0,IF(N(S1386)&gt;0,S1386,IFERROR(VLOOKUP(D1386,Parameter!$A$35:$C$64,3,0)+0,0)))</f>
        <v>0.15</v>
      </c>
      <c r="CE1386" s="48" t="str">
        <f aca="false">IF(AA1386&lt;&gt;"",AA1386,Z1386)</f>
        <v>-</v>
      </c>
      <c r="CF1386" s="48" t="str">
        <f aca="false">IF(OR(CE1386=1,CE1386=2,CE1386=3),IF(Parameter!$E$27="Ja","LIFT",IF(CE1386=1,"L1","L23")),IF(CE1386="Aussen","Aussen","-"))</f>
        <v>-</v>
      </c>
      <c r="CG1386" s="59" t="n">
        <f aca="false">IF(N(AB1386)&gt;0,AB1386,0)</f>
        <v>0</v>
      </c>
      <c r="CH1386" s="53" t="n">
        <f aca="false">IF(ISNUMBER(AE1386),1,0)</f>
        <v>0</v>
      </c>
      <c r="CI1386" s="50" t="n">
        <f aca="false">N(AE1386)</f>
        <v>0</v>
      </c>
      <c r="CJ1386" s="50" t="n">
        <f aca="false">N(M1386)+N(N1386)</f>
        <v>1</v>
      </c>
      <c r="CK1386" s="50" t="n">
        <f aca="false">N(M1386)</f>
        <v>0</v>
      </c>
      <c r="CL1386" s="50" t="n">
        <f aca="false">N(N1386)</f>
        <v>1</v>
      </c>
      <c r="CM1386" s="50" t="n">
        <f aca="false">ROUNDUP(H1386/BY1386,0)</f>
        <v>0</v>
      </c>
      <c r="CN1386" s="50" t="n">
        <f aca="false">ROUNDUP(CI1386/BY1386,0)</f>
        <v>0</v>
      </c>
      <c r="CO1386" s="53" t="n">
        <f aca="false">IF(BZ1386=1,0,IFERROR(VLOOKUP(BX1386,'Gebinde-Kategorie'!$A$5:$N$45,5,0)+0,0))</f>
        <v>0</v>
      </c>
      <c r="CP1386" s="53" t="n">
        <f aca="false">IFERROR(IF(OR(CE1386=1,CE1386=2,CE1386=3),N(INDEX(Parameter!$I$5:$I$7,CE1386)),0),0)</f>
        <v>0</v>
      </c>
      <c r="CQ1386" s="52" t="n">
        <f aca="false">IF(AND(Parameter!$B$21="Ja",ISNUMBER(W1386),N(X1386)&gt;0),IFERROR(N(INDEX(Parameter!$L$5:$L$7,W1386))*INDEX(Parameter!$E$5:$E$7,W1386)*X1386/SUMIFS($X$7:$X$1843,$W$7:$W$1843,W1386),0),0)</f>
        <v>0</v>
      </c>
    </row>
    <row r="1387" customFormat="false" ht="15" hidden="false" customHeight="false" outlineLevel="0" collapsed="false">
      <c r="A1387" s="48" t="s">
        <v>2448</v>
      </c>
      <c r="B1387" s="48" t="s">
        <v>2449</v>
      </c>
      <c r="C1387" s="48" t="s">
        <v>173</v>
      </c>
      <c r="D1387" s="48" t="s">
        <v>182</v>
      </c>
      <c r="E1387" s="48" t="s">
        <v>182</v>
      </c>
      <c r="F1387" s="48" t="s">
        <v>227</v>
      </c>
      <c r="G1387" s="49" t="n">
        <v>570</v>
      </c>
      <c r="H1387" s="50" t="n">
        <f aca="false">MAX(0,IF(AND(Parameter!$B$21="Ja",ISNUMBER(Y1387)),Y1387,IF(Parameter!$B$20="Jahresanfang 2025 + Export",BR1387+BQ1387,BQ1387)))</f>
        <v>2</v>
      </c>
      <c r="I1387" s="50" t="n">
        <f aca="false">H1387*G1387</f>
        <v>1140</v>
      </c>
      <c r="J1387" s="50" t="n">
        <f aca="false">BT1387*Parameter!$B$18</f>
        <v>8</v>
      </c>
      <c r="K1387" s="51" t="n">
        <v>6.5</v>
      </c>
      <c r="L1387" s="52" t="n">
        <v>1.23076923076923</v>
      </c>
      <c r="M1387" s="50" t="n">
        <v>0</v>
      </c>
      <c r="N1387" s="50" t="n">
        <v>1</v>
      </c>
      <c r="O1387" s="53" t="n">
        <v>35</v>
      </c>
      <c r="P1387" s="48" t="s">
        <v>357</v>
      </c>
      <c r="Q1387" s="50" t="n">
        <v>4</v>
      </c>
      <c r="R1387" s="53" t="n">
        <f aca="false">IF(BZ1387=1,0,IFERROR(VLOOKUP(BX1387,'Gebinde-Kategorie'!$A$5:$N$45,13,0)+0,0))</f>
        <v>4</v>
      </c>
      <c r="S1387" s="54"/>
      <c r="T1387" s="55"/>
      <c r="U1387" s="55"/>
      <c r="V1387" s="55"/>
      <c r="W1387" s="48"/>
      <c r="X1387" s="50"/>
      <c r="Y1387" s="50"/>
      <c r="Z1387" s="48" t="str">
        <f aca="false">IF(A1387="","",IF(AND(Parameter!$B$21="Ja",ISNUMBER(W1387)),W1387,IF(CC1387="2+3",IF(ISNUMBER(SEARCH("grosser Artikel",BU1387)),2,IFERROR(VLOOKUP(BX1387,Parameter!$F$35:$G$64,2,0),2)),IF(OR(CC1387="Nein",CC1387=""),"-",CC1387))))</f>
        <v>-</v>
      </c>
      <c r="AA1387" s="55"/>
      <c r="AB1387" s="56"/>
      <c r="AC1387" s="50" t="n">
        <f aca="false">AV1387</f>
        <v>6</v>
      </c>
      <c r="AD1387" s="50" t="n">
        <f aca="false">MAX(AV1387,H1387)</f>
        <v>6</v>
      </c>
      <c r="AE1387" s="57"/>
      <c r="AF1387" s="50" t="n">
        <f aca="false">IF(LEFT(Cockpit!$C$5,1)="A",H1387,IF(Parameter!$E$30="MAX-Bestand",IF(CH1387=1,CI1387,IF(LEFT(Cockpit!$C$5,1)="B",AL1387,MAX(AL1387,H1387))),ROUNDUP(AJ1387,0)))</f>
        <v>2</v>
      </c>
      <c r="AG1387" s="50" t="n">
        <f aca="false">IF(BZ1387=1,0,ROUNDUP(AF1387/BY1387,0))</f>
        <v>1</v>
      </c>
      <c r="AH1387" s="52" t="n">
        <f aca="false">IF(CQ1387&gt;0,CQ1387*MAX(1,AF1387/X1387),IF(BZ1387=1,IF(AF1387&lt;=0,0,CD1387*MAX(1,IF(H1387&gt;0,AF1387/H1387,1))),IF(R1387&gt;0,AG1387/R1387,0))/MAX(0.1,N(Parameter!$M$21)))</f>
        <v>0.25</v>
      </c>
      <c r="AI1387" s="50" t="n">
        <f aca="false">AH1387*CB1387</f>
        <v>108.75</v>
      </c>
      <c r="AJ1387" s="51" t="n">
        <f aca="false">IF(LEFT(Cockpit!$C$5,1)="A",H1387,IF(CH1387=1,(CK1387+CI1387)/2,IF(LEFT(Cockpit!$C$5,1)="B",(CK1387+AL1387)/2,MAX((CK1387+AL1387)/2,H1387))))</f>
        <v>2</v>
      </c>
      <c r="AK1387" s="50" t="n">
        <f aca="false">AJ1387*G1387</f>
        <v>1140</v>
      </c>
      <c r="AL1387" s="50" t="n">
        <f aca="false">ROUNDUP(CK1387+MAX(CL1387,2*(J1387/IF(CG1387&gt;0,CG1387,MAX(0.1,N(Cockpit!$C$6)))-CK1387)),0)</f>
        <v>6</v>
      </c>
      <c r="AM1387" s="51" t="n">
        <f aca="false">IF(AI1387&gt;0,J1387/AI1387,-1)</f>
        <v>0.0735632183908046</v>
      </c>
      <c r="AN1387" s="51" t="str">
        <f aca="false">IF(AND(OR(CF1387="L1",CF1387="L23",CF1387="LIFT"),AI1387&gt;0),SUMIFS($AI$7:$AI$1843,$CF$7:$CF$1843,CF1387,$AM$7:$AM$1843,"&gt;"&amp;AM1387)+SUMIFS($AI$7:$AI$1843,$CF$7:$CF$1843,CF1387,$AM$7:$AM$1843,AM1387,$BW$7:$BW$1843,"&lt;="&amp;BW1387),"")</f>
        <v/>
      </c>
      <c r="AO1387" s="58" t="n">
        <f aca="false">IF(AN1387="",0,MAX(0,MIN(1,(IF(CF1387="L1",Parameter!$H$5,IF(CF1387="L23",Parameter!$H$6+Parameter!$H$7,Parameter!$H$5+Parameter!$H$6+Parameter!$H$7))-(AN1387-AI1387))/AI1387)))</f>
        <v>0</v>
      </c>
      <c r="AP1387" s="50" t="n">
        <f aca="false">IF(LEFT(Cockpit!$I$5,1)="A",H1387,IF(Parameter!$E$30="MAX-Bestand",IF(CH1387=1,CI1387,IF(LEFT(Cockpit!$I$5,1)="B",AV1387,MAX(AV1387,H1387))),ROUNDUP(AT1387,0)))</f>
        <v>3</v>
      </c>
      <c r="AQ1387" s="50" t="n">
        <f aca="false">IF(BZ1387=1,0,ROUNDUP(AP1387/BY1387,0))</f>
        <v>1</v>
      </c>
      <c r="AR1387" s="52" t="n">
        <f aca="false">IF(CQ1387&gt;0,CQ1387*MAX(1,AP1387/X1387),IF(BZ1387=1,IF(AP1387&lt;=0,0,CD1387*MAX(1,IF(H1387&gt;0,AP1387/H1387,1))),IF(R1387&gt;0,AQ1387/R1387,0))/MAX(0.1,N(Parameter!$M$21)))</f>
        <v>0.25</v>
      </c>
      <c r="AS1387" s="50" t="n">
        <f aca="false">AR1387*CB1387</f>
        <v>108.75</v>
      </c>
      <c r="AT1387" s="51" t="n">
        <f aca="false">IF(LEFT(Cockpit!$I$5,1)="A",H1387,IF(CH1387=1,(CK1387+CI1387)/2,IF(LEFT(Cockpit!$I$5,1)="B",(CK1387+AV1387)/2,MAX((CK1387+AV1387)/2,H1387))))</f>
        <v>3</v>
      </c>
      <c r="AU1387" s="50" t="n">
        <f aca="false">AT1387*G1387</f>
        <v>1710</v>
      </c>
      <c r="AV1387" s="50" t="n">
        <f aca="false">ROUNDUP(CK1387+MAX(CL1387,2*(J1387/IF(CG1387&gt;0,CG1387,MAX(0.1,N(Cockpit!$I$6)))-CK1387)),0)</f>
        <v>6</v>
      </c>
      <c r="AW1387" s="51" t="n">
        <f aca="false">IF(AS1387&gt;0,J1387/AS1387,-1)</f>
        <v>0.0735632183908046</v>
      </c>
      <c r="AX1387" s="51" t="str">
        <f aca="false">IF(AND(OR(CF1387="L1",CF1387="L23",CF1387="LIFT"),AS1387&gt;0),SUMIFS($AS$7:$AS$1843,$CF$7:$CF$1843,CF1387,$AW$7:$AW$1843,"&gt;"&amp;AW1387)+SUMIFS($AS$7:$AS$1843,$CF$7:$CF$1843,CF1387,$AW$7:$AW$1843,AW1387,$BW$7:$BW$1843,"&lt;="&amp;BW1387),"")</f>
        <v/>
      </c>
      <c r="AY1387" s="58" t="n">
        <f aca="false">IF(AX1387="",0,MAX(0,MIN(1,(IF(CF1387="L1",Parameter!$H$5,IF(CF1387="L23",Parameter!$H$6+Parameter!$H$7,Parameter!$H$5+Parameter!$H$6+Parameter!$H$7))-(AX1387-AS1387))/AS1387)))</f>
        <v>0</v>
      </c>
      <c r="AZ1387" s="50" t="n">
        <f aca="false">IF(LEFT(Cockpit!$O$5,1)="A",H1387,IF(Parameter!$E$30="MAX-Bestand",IF(CH1387=1,CI1387,IF(LEFT(Cockpit!$O$5,1)="B",BF1387,MAX(BF1387,H1387))),ROUNDUP(BD1387,0)))</f>
        <v>2</v>
      </c>
      <c r="BA1387" s="50" t="n">
        <f aca="false">IF(BZ1387=1,0,ROUNDUP(AZ1387/BY1387,0))</f>
        <v>1</v>
      </c>
      <c r="BB1387" s="52" t="n">
        <f aca="false">IF(CQ1387&gt;0,CQ1387*MAX(1,AZ1387/X1387),IF(BZ1387=1,IF(AZ1387&lt;=0,0,CD1387*MAX(1,IF(H1387&gt;0,AZ1387/H1387,1))),IF(R1387&gt;0,BA1387/R1387,0))/MAX(0.1,N(Parameter!$M$21)))</f>
        <v>0.25</v>
      </c>
      <c r="BC1387" s="50" t="n">
        <f aca="false">BB1387*CB1387</f>
        <v>108.75</v>
      </c>
      <c r="BD1387" s="51" t="n">
        <f aca="false">IF(LEFT(Cockpit!$O$5,1)="A",H1387,IF(CH1387=1,(CK1387+CI1387)/2,IF(LEFT(Cockpit!$O$5,1)="B",(CK1387+BF1387)/2,MAX((CK1387+BF1387)/2,H1387))))</f>
        <v>2</v>
      </c>
      <c r="BE1387" s="50" t="n">
        <f aca="false">BD1387*G1387</f>
        <v>1140</v>
      </c>
      <c r="BF1387" s="50" t="n">
        <f aca="false">ROUNDUP(CK1387+MAX(CL1387,2*(J1387/IF(CG1387&gt;0,CG1387,MAX(0.1,N(Cockpit!$O$6)))-CK1387)),0)</f>
        <v>4</v>
      </c>
      <c r="BG1387" s="51" t="n">
        <f aca="false">IF(BC1387&gt;0,J1387/BC1387,-1)</f>
        <v>0.0735632183908046</v>
      </c>
      <c r="BH1387" s="51" t="str">
        <f aca="false">IF(AND(OR(CF1387="L1",CF1387="L23",CF1387="LIFT"),BC1387&gt;0),SUMIFS($BC$7:$BC$1843,$CF$7:$CF$1843,CF1387,$BG$7:$BG$1843,"&gt;"&amp;BG1387)+SUMIFS($BC$7:$BC$1843,$CF$7:$CF$1843,CF1387,$BG$7:$BG$1843,BG1387,$BW$7:$BW$1843,"&lt;="&amp;BW1387),"")</f>
        <v/>
      </c>
      <c r="BI1387" s="58" t="n">
        <f aca="false">IF(BH1387="",0,MAX(0,MIN(1,(IF(CF1387="L1",Parameter!$H$5,IF(CF1387="L23",Parameter!$H$6+Parameter!$H$7,Parameter!$H$5+Parameter!$H$6+Parameter!$H$7))-(BH1387-BC1387))/BC1387)))</f>
        <v>0</v>
      </c>
      <c r="BJ1387" s="48" t="str">
        <f aca="false">IF(AI1387&lt;=0,"",IF(CF1387="Aussen","Aussenlager",IF(CF1387="-","Nicht im Lift",IF(AO1387&gt;=1,"Lift",IF(AO1387&lt;=0,"Aussenlager","teilweise")))))</f>
        <v>Nicht im Lift</v>
      </c>
      <c r="BK1387" s="48" t="str">
        <f aca="false">IF(AS1387&lt;=0,"",IF(CF1387="Aussen","Aussenlager",IF(CF1387="-","Nicht im Lift",IF(AY1387&gt;=1,"Lift",IF(AY1387&lt;=0,"Aussenlager","teilweise")))))</f>
        <v>Nicht im Lift</v>
      </c>
      <c r="BL1387" s="48" t="str">
        <f aca="false">IF(BC1387&lt;=0,"",IF(CF1387="Aussen","Aussenlager",IF(CF1387="-","Nicht im Lift",IF(BI1387&gt;=1,"Lift",IF(BI1387&lt;=0,"Aussenlager","teilweise")))))</f>
        <v>Nicht im Lift</v>
      </c>
      <c r="BM1387" s="48" t="str">
        <f aca="false">IF(A1387="","",IF(BV1387=1,"Neu; ","")&amp;IF(AND(BV1387=0,BQ1387&lt;0),"negativer Bestand (Export "&amp;BQ1387&amp;"); ","")&amp;IF(J1387&lt;=0,"Kein Verbrauch; ","")&amp;IF(CQ1387&gt;0,"Lift "&amp;W1387&amp;" lt. Liftbericht (Fach "&amp;X1387&amp;" Stk); ",IF(CA1387=1,"Gebinde geschätzt ("&amp;T1387&amp;"); ",IF(BZ1387=1,"Lose – Tablare geschätzt; ","")))&amp;IF(H1387&gt;AV1387,"Überbestand "&amp;ROUND(H1387-AV1387,0)&amp;" Stk / CHF "&amp;ROUND((H1387-AV1387)*G1387,0)&amp;"; ","")&amp;IF(AND(CH1387=1,CI1387&lt;CJ1387),"MAX &lt; MB+LG; ","")&amp;IF(AND(CP1387&gt;0,CO1387*10&gt;CP1387),"zu hoch für Tablar; ","")&amp;IF(AND(BV1387=0,OR(CH1387=1,AA1387&lt;&gt;"",U1387&lt;&gt;"",V1387&lt;&gt;"",AB1387&lt;&gt;"")),"manuell übersteuert; ","")&amp;IF(AND(BZ1387=0,R1387=0),"Gebinde unbekannt / Stellmass fehlt; ","")&amp;IF(AND(BZ1387=0,N(V1387)&lt;=0,N(Q1387)&lt;=0),"Menge pro Gebinde fehlt (Ist = 1 Gebinde); ","")&amp;BU1387)</f>
        <v>negativer Bestand (Export -9); Neu</v>
      </c>
      <c r="BN1387" s="48"/>
      <c r="BO1387" s="48"/>
      <c r="BP1387" s="55"/>
      <c r="BQ1387" s="50" t="n">
        <v>-9</v>
      </c>
      <c r="BR1387" s="50" t="n">
        <v>11</v>
      </c>
      <c r="BS1387" s="49" t="n">
        <v>-3208.63</v>
      </c>
      <c r="BT1387" s="50" t="n">
        <v>8</v>
      </c>
      <c r="BU1387" s="48" t="s">
        <v>635</v>
      </c>
      <c r="BV1387" s="53" t="n">
        <v>0</v>
      </c>
      <c r="BW1387" s="53" t="n">
        <v>1387</v>
      </c>
      <c r="BX1387" s="48" t="str">
        <f aca="false">IF(U1387&lt;&gt;"",UPPER(TRIM(U1387)),IF(CA1387=1,UPPER(VLOOKUP(T1387,Parameter!$I$27:$K$29,2,0)),IF(P1387="","LOSE",P1387)))</f>
        <v>S82</v>
      </c>
      <c r="BY1387" s="50" t="n">
        <f aca="false">IF(BX1387="LOSE",1,IF(N(V1387)&gt;0,V1387,IF(CA1387=1,MAX(1,N(VLOOKUP(T1387,Parameter!$I$27:$K$29,3,0)),H1387,N(N1387)),IF(N(Q1387)&gt;0,Q1387,MAX(1,H1387)))))</f>
        <v>4</v>
      </c>
      <c r="BZ1387" s="53" t="n">
        <f aca="false">IF(BX1387="LOSE",1,0)</f>
        <v>0</v>
      </c>
      <c r="CA1387" s="53" t="n">
        <f aca="false">IF(AND(U1387="",OR(P1387="",P1387="LOSE"),T1387&lt;&gt;"",N(S1387)&lt;=0,ISNUMBER(MATCH(T1387,Parameter!$I$27:$I$29,0))),1,0)</f>
        <v>0</v>
      </c>
      <c r="CB1387" s="53" t="n">
        <f aca="false">IF(CQ1387&gt;0,INDEX(Parameter!$H$5:$H$7,W1387)/INDEX(Parameter!$E$5:$E$7,W1387),IF(AND(BZ1387=0,N(IFERROR(VLOOKUP(BX1387,'Gebinde-Kategorie'!$A$5:$N$45,14,0),0))&gt;0),VLOOKUP(BX1387,'Gebinde-Kategorie'!$A$5:$N$45,14,0)*10+Parameter!$M$23,Parameter!$M$24))</f>
        <v>435</v>
      </c>
      <c r="CC1387" s="48" t="str">
        <f aca="false">IF(AND(Parameter!$B$19="Ja",E1387&lt;&gt;"",ISNUMBER(MATCH(E1387,Parameter!$I$35:$I$52,0))),VLOOKUP(E1387,Parameter!$I$35:$J$52,2,0),IFERROR(VLOOKUP(D1387,Parameter!$A$35:$C$64,2,0),"Nein"))</f>
        <v>Nein</v>
      </c>
      <c r="CD1387" s="52" t="n">
        <f aca="false">IF(BZ1387=0,0,IF(N(S1387)&gt;0,S1387,IFERROR(VLOOKUP(D1387,Parameter!$A$35:$C$64,3,0)+0,0)))</f>
        <v>0</v>
      </c>
      <c r="CE1387" s="48" t="str">
        <f aca="false">IF(AA1387&lt;&gt;"",AA1387,Z1387)</f>
        <v>-</v>
      </c>
      <c r="CF1387" s="48" t="str">
        <f aca="false">IF(OR(CE1387=1,CE1387=2,CE1387=3),IF(Parameter!$E$27="Ja","LIFT",IF(CE1387=1,"L1","L23")),IF(CE1387="Aussen","Aussen","-"))</f>
        <v>-</v>
      </c>
      <c r="CG1387" s="59" t="n">
        <f aca="false">IF(N(AB1387)&gt;0,AB1387,0)</f>
        <v>0</v>
      </c>
      <c r="CH1387" s="53" t="n">
        <f aca="false">IF(ISNUMBER(AE1387),1,0)</f>
        <v>0</v>
      </c>
      <c r="CI1387" s="50" t="n">
        <f aca="false">N(AE1387)</f>
        <v>0</v>
      </c>
      <c r="CJ1387" s="50" t="n">
        <f aca="false">N(M1387)+N(N1387)</f>
        <v>1</v>
      </c>
      <c r="CK1387" s="50" t="n">
        <f aca="false">N(M1387)</f>
        <v>0</v>
      </c>
      <c r="CL1387" s="50" t="n">
        <f aca="false">N(N1387)</f>
        <v>1</v>
      </c>
      <c r="CM1387" s="50" t="n">
        <f aca="false">ROUNDUP(H1387/BY1387,0)</f>
        <v>1</v>
      </c>
      <c r="CN1387" s="50" t="n">
        <f aca="false">ROUNDUP(CI1387/BY1387,0)</f>
        <v>0</v>
      </c>
      <c r="CO1387" s="53" t="n">
        <f aca="false">IF(BZ1387=1,0,IFERROR(VLOOKUP(BX1387,'Gebinde-Kategorie'!$A$5:$N$45,5,0)+0,0))</f>
        <v>40</v>
      </c>
      <c r="CP1387" s="53" t="n">
        <f aca="false">IFERROR(IF(OR(CE1387=1,CE1387=2,CE1387=3),N(INDEX(Parameter!$I$5:$I$7,CE1387)),0),0)</f>
        <v>0</v>
      </c>
      <c r="CQ1387" s="52" t="n">
        <f aca="false">IF(AND(Parameter!$B$21="Ja",ISNUMBER(W1387),N(X1387)&gt;0),IFERROR(N(INDEX(Parameter!$L$5:$L$7,W1387))*INDEX(Parameter!$E$5:$E$7,W1387)*X1387/SUMIFS($X$7:$X$1843,$W$7:$W$1843,W1387),0),0)</f>
        <v>0</v>
      </c>
    </row>
    <row r="1388" customFormat="false" ht="15" hidden="false" customHeight="false" outlineLevel="0" collapsed="false">
      <c r="A1388" s="48" t="s">
        <v>2450</v>
      </c>
      <c r="B1388" s="48" t="s">
        <v>2451</v>
      </c>
      <c r="C1388" s="48" t="s">
        <v>173</v>
      </c>
      <c r="D1388" s="48" t="s">
        <v>193</v>
      </c>
      <c r="E1388" s="48" t="s">
        <v>194</v>
      </c>
      <c r="F1388" s="48" t="s">
        <v>227</v>
      </c>
      <c r="G1388" s="49" t="n">
        <v>365.34</v>
      </c>
      <c r="H1388" s="50" t="n">
        <f aca="false">MAX(0,IF(AND(Parameter!$B$21="Ja",ISNUMBER(Y1388)),Y1388,IF(Parameter!$B$20="Jahresanfang 2025 + Export",BR1388+BQ1388,BQ1388)))</f>
        <v>15</v>
      </c>
      <c r="I1388" s="50" t="n">
        <f aca="false">H1388*G1388</f>
        <v>5480.1</v>
      </c>
      <c r="J1388" s="50" t="n">
        <f aca="false">BT1388*Parameter!$B$18</f>
        <v>20</v>
      </c>
      <c r="K1388" s="51" t="n">
        <v>20</v>
      </c>
      <c r="L1388" s="52" t="n">
        <v>1</v>
      </c>
      <c r="M1388" s="50" t="n">
        <v>1</v>
      </c>
      <c r="N1388" s="50" t="n">
        <v>10</v>
      </c>
      <c r="O1388" s="53" t="n">
        <v>21</v>
      </c>
      <c r="P1388" s="48" t="s">
        <v>242</v>
      </c>
      <c r="Q1388" s="50" t="n">
        <v>11</v>
      </c>
      <c r="R1388" s="53" t="n">
        <f aca="false">IF(BZ1388=1,0,IFERROR(VLOOKUP(BX1388,'Gebinde-Kategorie'!$A$5:$N$45,13,0)+0,0))</f>
        <v>26</v>
      </c>
      <c r="S1388" s="54"/>
      <c r="T1388" s="55"/>
      <c r="U1388" s="55"/>
      <c r="V1388" s="55"/>
      <c r="W1388" s="48"/>
      <c r="X1388" s="50"/>
      <c r="Y1388" s="50"/>
      <c r="Z1388" s="48" t="n">
        <f aca="false">IF(A1388="","",IF(AND(Parameter!$B$21="Ja",ISNUMBER(W1388)),W1388,IF(CC1388="2+3",IF(ISNUMBER(SEARCH("grosser Artikel",BU1388)),2,IFERROR(VLOOKUP(BX1388,Parameter!$F$35:$G$64,2,0),2)),IF(OR(CC1388="Nein",CC1388=""),"-",CC1388))))</f>
        <v>3</v>
      </c>
      <c r="AA1388" s="55"/>
      <c r="AB1388" s="56"/>
      <c r="AC1388" s="50" t="n">
        <f aca="false">AV1388</f>
        <v>13</v>
      </c>
      <c r="AD1388" s="50" t="n">
        <f aca="false">MAX(AV1388,H1388)</f>
        <v>15</v>
      </c>
      <c r="AE1388" s="57"/>
      <c r="AF1388" s="50" t="n">
        <f aca="false">IF(LEFT(Cockpit!$C$5,1)="A",H1388,IF(Parameter!$E$30="MAX-Bestand",IF(CH1388=1,CI1388,IF(LEFT(Cockpit!$C$5,1)="B",AL1388,MAX(AL1388,H1388))),ROUNDUP(AJ1388,0)))</f>
        <v>15</v>
      </c>
      <c r="AG1388" s="50" t="n">
        <f aca="false">IF(BZ1388=1,0,ROUNDUP(AF1388/BY1388,0))</f>
        <v>2</v>
      </c>
      <c r="AH1388" s="52" t="n">
        <f aca="false">IF(CQ1388&gt;0,CQ1388*MAX(1,AF1388/X1388),IF(BZ1388=1,IF(AF1388&lt;=0,0,CD1388*MAX(1,IF(H1388&gt;0,AF1388/H1388,1))),IF(R1388&gt;0,AG1388/R1388,0))/MAX(0.1,N(Parameter!$M$21)))</f>
        <v>0.0769230769230769</v>
      </c>
      <c r="AI1388" s="50" t="n">
        <f aca="false">AH1388*CB1388</f>
        <v>18.8461538461538</v>
      </c>
      <c r="AJ1388" s="51" t="n">
        <f aca="false">IF(LEFT(Cockpit!$C$5,1)="A",H1388,IF(CH1388=1,(CK1388+CI1388)/2,IF(LEFT(Cockpit!$C$5,1)="B",(CK1388+AL1388)/2,MAX((CK1388+AL1388)/2,H1388))))</f>
        <v>15</v>
      </c>
      <c r="AK1388" s="50" t="n">
        <f aca="false">AJ1388*G1388</f>
        <v>5480.1</v>
      </c>
      <c r="AL1388" s="50" t="n">
        <f aca="false">ROUNDUP(CK1388+MAX(CL1388,2*(J1388/IF(CG1388&gt;0,CG1388,MAX(0.1,N(Cockpit!$C$6)))-CK1388)),0)</f>
        <v>13</v>
      </c>
      <c r="AM1388" s="51" t="n">
        <f aca="false">IF(AI1388&gt;0,J1388/AI1388,-1)</f>
        <v>1.06122448979592</v>
      </c>
      <c r="AN1388" s="51" t="n">
        <f aca="false">IF(AND(OR(CF1388="L1",CF1388="L23",CF1388="LIFT"),AI1388&gt;0),SUMIFS($AI$7:$AI$1843,$CF$7:$CF$1843,CF1388,$AM$7:$AM$1843,"&gt;"&amp;AM1388)+SUMIFS($AI$7:$AI$1843,$CF$7:$CF$1843,CF1388,$AM$7:$AM$1843,AM1388,$BW$7:$BW$1843,"&lt;="&amp;BW1388),"")</f>
        <v>6931.4043040293</v>
      </c>
      <c r="AO1388" s="58" t="n">
        <f aca="false">IF(AN1388="",0,MAX(0,MIN(1,(IF(CF1388="L1",Parameter!$H$5,IF(CF1388="L23",Parameter!$H$6+Parameter!$H$7,Parameter!$H$5+Parameter!$H$6+Parameter!$H$7))-(AN1388-AI1388))/AI1388)))</f>
        <v>1</v>
      </c>
      <c r="AP1388" s="50" t="n">
        <f aca="false">IF(LEFT(Cockpit!$I$5,1)="A",H1388,IF(Parameter!$E$30="MAX-Bestand",IF(CH1388=1,CI1388,IF(LEFT(Cockpit!$I$5,1)="B",AV1388,MAX(AV1388,H1388))),ROUNDUP(AT1388,0)))</f>
        <v>15</v>
      </c>
      <c r="AQ1388" s="50" t="n">
        <f aca="false">IF(BZ1388=1,0,ROUNDUP(AP1388/BY1388,0))</f>
        <v>2</v>
      </c>
      <c r="AR1388" s="52" t="n">
        <f aca="false">IF(CQ1388&gt;0,CQ1388*MAX(1,AP1388/X1388),IF(BZ1388=1,IF(AP1388&lt;=0,0,CD1388*MAX(1,IF(H1388&gt;0,AP1388/H1388,1))),IF(R1388&gt;0,AQ1388/R1388,0))/MAX(0.1,N(Parameter!$M$21)))</f>
        <v>0.0769230769230769</v>
      </c>
      <c r="AS1388" s="50" t="n">
        <f aca="false">AR1388*CB1388</f>
        <v>18.8461538461538</v>
      </c>
      <c r="AT1388" s="51" t="n">
        <f aca="false">IF(LEFT(Cockpit!$I$5,1)="A",H1388,IF(CH1388=1,(CK1388+CI1388)/2,IF(LEFT(Cockpit!$I$5,1)="B",(CK1388+AV1388)/2,MAX((CK1388+AV1388)/2,H1388))))</f>
        <v>15</v>
      </c>
      <c r="AU1388" s="50" t="n">
        <f aca="false">AT1388*G1388</f>
        <v>5480.1</v>
      </c>
      <c r="AV1388" s="50" t="n">
        <f aca="false">ROUNDUP(CK1388+MAX(CL1388,2*(J1388/IF(CG1388&gt;0,CG1388,MAX(0.1,N(Cockpit!$I$6)))-CK1388)),0)</f>
        <v>13</v>
      </c>
      <c r="AW1388" s="51" t="n">
        <f aca="false">IF(AS1388&gt;0,J1388/AS1388,-1)</f>
        <v>1.06122448979592</v>
      </c>
      <c r="AX1388" s="51" t="n">
        <f aca="false">IF(AND(OR(CF1388="L1",CF1388="L23",CF1388="LIFT"),AS1388&gt;0),SUMIFS($AS$7:$AS$1843,$CF$7:$CF$1843,CF1388,$AW$7:$AW$1843,"&gt;"&amp;AW1388)+SUMIFS($AS$7:$AS$1843,$CF$7:$CF$1843,CF1388,$AW$7:$AW$1843,AW1388,$BW$7:$BW$1843,"&lt;="&amp;BW1388),"")</f>
        <v>8281.90201465201</v>
      </c>
      <c r="AY1388" s="58" t="n">
        <f aca="false">IF(AX1388="",0,MAX(0,MIN(1,(IF(CF1388="L1",Parameter!$H$5,IF(CF1388="L23",Parameter!$H$6+Parameter!$H$7,Parameter!$H$5+Parameter!$H$6+Parameter!$H$7))-(AX1388-AS1388))/AS1388)))</f>
        <v>1</v>
      </c>
      <c r="AZ1388" s="50" t="n">
        <f aca="false">IF(LEFT(Cockpit!$O$5,1)="A",H1388,IF(Parameter!$E$30="MAX-Bestand",IF(CH1388=1,CI1388,IF(LEFT(Cockpit!$O$5,1)="B",BF1388,MAX(BF1388,H1388))),ROUNDUP(BD1388,0)))</f>
        <v>6</v>
      </c>
      <c r="BA1388" s="50" t="n">
        <f aca="false">IF(BZ1388=1,0,ROUNDUP(AZ1388/BY1388,0))</f>
        <v>1</v>
      </c>
      <c r="BB1388" s="52" t="n">
        <f aca="false">IF(CQ1388&gt;0,CQ1388*MAX(1,AZ1388/X1388),IF(BZ1388=1,IF(AZ1388&lt;=0,0,CD1388*MAX(1,IF(H1388&gt;0,AZ1388/H1388,1))),IF(R1388&gt;0,BA1388/R1388,0))/MAX(0.1,N(Parameter!$M$21)))</f>
        <v>0.0384615384615385</v>
      </c>
      <c r="BC1388" s="50" t="n">
        <f aca="false">BB1388*CB1388</f>
        <v>9.42307692307692</v>
      </c>
      <c r="BD1388" s="51" t="n">
        <f aca="false">IF(LEFT(Cockpit!$O$5,1)="A",H1388,IF(CH1388=1,(CK1388+CI1388)/2,IF(LEFT(Cockpit!$O$5,1)="B",(CK1388+BF1388)/2,MAX((CK1388+BF1388)/2,H1388))))</f>
        <v>6</v>
      </c>
      <c r="BE1388" s="50" t="n">
        <f aca="false">BD1388*G1388</f>
        <v>2192.04</v>
      </c>
      <c r="BF1388" s="50" t="n">
        <f aca="false">ROUNDUP(CK1388+MAX(CL1388,2*(J1388/IF(CG1388&gt;0,CG1388,MAX(0.1,N(Cockpit!$O$6)))-CK1388)),0)</f>
        <v>11</v>
      </c>
      <c r="BG1388" s="51" t="n">
        <f aca="false">IF(BC1388&gt;0,J1388/BC1388,-1)</f>
        <v>2.12244897959184</v>
      </c>
      <c r="BH1388" s="51" t="n">
        <f aca="false">IF(AND(OR(CF1388="L1",CF1388="L23",CF1388="LIFT"),BC1388&gt;0),SUMIFS($BC$7:$BC$1843,$CF$7:$CF$1843,CF1388,$BG$7:$BG$1843,"&gt;"&amp;BG1388)+SUMIFS($BC$7:$BC$1843,$CF$7:$CF$1843,CF1388,$BG$7:$BG$1843,BG1388,$BW$7:$BW$1843,"&lt;="&amp;BW1388),"")</f>
        <v>5736.13461538462</v>
      </c>
      <c r="BI1388" s="58" t="n">
        <f aca="false">IF(BH1388="",0,MAX(0,MIN(1,(IF(CF1388="L1",Parameter!$H$5,IF(CF1388="L23",Parameter!$H$6+Parameter!$H$7,Parameter!$H$5+Parameter!$H$6+Parameter!$H$7))-(BH1388-BC1388))/BC1388)))</f>
        <v>1</v>
      </c>
      <c r="BJ1388" s="48" t="str">
        <f aca="false">IF(AI1388&lt;=0,"",IF(CF1388="Aussen","Aussenlager",IF(CF1388="-","Nicht im Lift",IF(AO1388&gt;=1,"Lift",IF(AO1388&lt;=0,"Aussenlager","teilweise")))))</f>
        <v>Lift</v>
      </c>
      <c r="BK1388" s="48" t="str">
        <f aca="false">IF(AS1388&lt;=0,"",IF(CF1388="Aussen","Aussenlager",IF(CF1388="-","Nicht im Lift",IF(AY1388&gt;=1,"Lift",IF(AY1388&lt;=0,"Aussenlager","teilweise")))))</f>
        <v>Lift</v>
      </c>
      <c r="BL1388" s="48" t="str">
        <f aca="false">IF(BC1388&lt;=0,"",IF(CF1388="Aussen","Aussenlager",IF(CF1388="-","Nicht im Lift",IF(BI1388&gt;=1,"Lift",IF(BI1388&lt;=0,"Aussenlager","teilweise")))))</f>
        <v>Lift</v>
      </c>
      <c r="BM1388" s="48" t="str">
        <f aca="false">IF(A1388="","",IF(BV1388=1,"Neu; ","")&amp;IF(AND(BV1388=0,BQ1388&lt;0),"negativer Bestand (Export "&amp;BQ1388&amp;"); ","")&amp;IF(J1388&lt;=0,"Kein Verbrauch; ","")&amp;IF(CQ1388&gt;0,"Lift "&amp;W1388&amp;" lt. Liftbericht (Fach "&amp;X1388&amp;" Stk); ",IF(CA1388=1,"Gebinde geschätzt ("&amp;T1388&amp;"); ",IF(BZ1388=1,"Lose – Tablare geschätzt; ","")))&amp;IF(H1388&gt;AV1388,"Überbestand "&amp;ROUND(H1388-AV1388,0)&amp;" Stk / CHF "&amp;ROUND((H1388-AV1388)*G1388,0)&amp;"; ","")&amp;IF(AND(CH1388=1,CI1388&lt;CJ1388),"MAX &lt; MB+LG; ","")&amp;IF(AND(CP1388&gt;0,CO1388*10&gt;CP1388),"zu hoch für Tablar; ","")&amp;IF(AND(BV1388=0,OR(CH1388=1,AA1388&lt;&gt;"",U1388&lt;&gt;"",V1388&lt;&gt;"",AB1388&lt;&gt;"")),"manuell übersteuert; ","")&amp;IF(AND(BZ1388=0,R1388=0),"Gebinde unbekannt / Stellmass fehlt; ","")&amp;IF(AND(BZ1388=0,N(V1388)&lt;=0,N(Q1388)&lt;=0),"Menge pro Gebinde fehlt (Ist = 1 Gebinde); ","")&amp;BU1388)</f>
        <v>negativer Bestand (Export -10); Überbestand 2 Stk / CHF 731; </v>
      </c>
      <c r="BN1388" s="48"/>
      <c r="BO1388" s="48"/>
      <c r="BP1388" s="55"/>
      <c r="BQ1388" s="50" t="n">
        <v>-10</v>
      </c>
      <c r="BR1388" s="50" t="n">
        <v>25</v>
      </c>
      <c r="BS1388" s="49" t="n">
        <v>-3373.26</v>
      </c>
      <c r="BT1388" s="50" t="n">
        <v>20</v>
      </c>
      <c r="BU1388" s="48"/>
      <c r="BV1388" s="53" t="n">
        <v>0</v>
      </c>
      <c r="BW1388" s="53" t="n">
        <v>1388</v>
      </c>
      <c r="BX1388" s="48" t="str">
        <f aca="false">IF(U1388&lt;&gt;"",UPPER(TRIM(U1388)),IF(CA1388=1,UPPER(VLOOKUP(T1388,Parameter!$I$27:$K$29,2,0)),IF(P1388="","LOSE",P1388)))</f>
        <v>S52</v>
      </c>
      <c r="BY1388" s="50" t="n">
        <f aca="false">IF(BX1388="LOSE",1,IF(N(V1388)&gt;0,V1388,IF(CA1388=1,MAX(1,N(VLOOKUP(T1388,Parameter!$I$27:$K$29,3,0)),H1388,N(N1388)),IF(N(Q1388)&gt;0,Q1388,MAX(1,H1388)))))</f>
        <v>11</v>
      </c>
      <c r="BZ1388" s="53" t="n">
        <f aca="false">IF(BX1388="LOSE",1,0)</f>
        <v>0</v>
      </c>
      <c r="CA1388" s="53" t="n">
        <f aca="false">IF(AND(U1388="",OR(P1388="",P1388="LOSE"),T1388&lt;&gt;"",N(S1388)&lt;=0,ISNUMBER(MATCH(T1388,Parameter!$I$27:$I$29,0))),1,0)</f>
        <v>0</v>
      </c>
      <c r="CB1388" s="53" t="n">
        <f aca="false">IF(CQ1388&gt;0,INDEX(Parameter!$H$5:$H$7,W1388)/INDEX(Parameter!$E$5:$E$7,W1388),IF(AND(BZ1388=0,N(IFERROR(VLOOKUP(BX1388,'Gebinde-Kategorie'!$A$5:$N$45,14,0),0))&gt;0),VLOOKUP(BX1388,'Gebinde-Kategorie'!$A$5:$N$45,14,0)*10+Parameter!$M$23,Parameter!$M$24))</f>
        <v>245</v>
      </c>
      <c r="CC1388" s="48" t="str">
        <f aca="false">IF(AND(Parameter!$B$19="Ja",E1388&lt;&gt;"",ISNUMBER(MATCH(E1388,Parameter!$I$35:$I$52,0))),VLOOKUP(E1388,Parameter!$I$35:$J$52,2,0),IFERROR(VLOOKUP(D1388,Parameter!$A$35:$C$64,2,0),"Nein"))</f>
        <v>2+3</v>
      </c>
      <c r="CD1388" s="52" t="n">
        <f aca="false">IF(BZ1388=0,0,IF(N(S1388)&gt;0,S1388,IFERROR(VLOOKUP(D1388,Parameter!$A$35:$C$64,3,0)+0,0)))</f>
        <v>0</v>
      </c>
      <c r="CE1388" s="48" t="n">
        <f aca="false">IF(AA1388&lt;&gt;"",AA1388,Z1388)</f>
        <v>3</v>
      </c>
      <c r="CF1388" s="48" t="str">
        <f aca="false">IF(OR(CE1388=1,CE1388=2,CE1388=3),IF(Parameter!$E$27="Ja","LIFT",IF(CE1388=1,"L1","L23")),IF(CE1388="Aussen","Aussen","-"))</f>
        <v>LIFT</v>
      </c>
      <c r="CG1388" s="59" t="n">
        <f aca="false">IF(N(AB1388)&gt;0,AB1388,0)</f>
        <v>0</v>
      </c>
      <c r="CH1388" s="53" t="n">
        <f aca="false">IF(ISNUMBER(AE1388),1,0)</f>
        <v>0</v>
      </c>
      <c r="CI1388" s="50" t="n">
        <f aca="false">N(AE1388)</f>
        <v>0</v>
      </c>
      <c r="CJ1388" s="50" t="n">
        <f aca="false">N(M1388)+N(N1388)</f>
        <v>11</v>
      </c>
      <c r="CK1388" s="50" t="n">
        <f aca="false">N(M1388)</f>
        <v>1</v>
      </c>
      <c r="CL1388" s="50" t="n">
        <f aca="false">N(N1388)</f>
        <v>10</v>
      </c>
      <c r="CM1388" s="50" t="n">
        <f aca="false">ROUNDUP(H1388/BY1388,0)</f>
        <v>2</v>
      </c>
      <c r="CN1388" s="50" t="n">
        <f aca="false">ROUNDUP(CI1388/BY1388,0)</f>
        <v>0</v>
      </c>
      <c r="CO1388" s="53" t="n">
        <f aca="false">IF(BZ1388=1,0,IFERROR(VLOOKUP(BX1388,'Gebinde-Kategorie'!$A$5:$N$45,5,0)+0,0))</f>
        <v>21</v>
      </c>
      <c r="CP1388" s="53" t="n">
        <f aca="false">IFERROR(IF(OR(CE1388=1,CE1388=2,CE1388=3),N(INDEX(Parameter!$I$5:$I$7,CE1388)),0),0)</f>
        <v>0</v>
      </c>
      <c r="CQ1388" s="52" t="n">
        <f aca="false">IF(AND(Parameter!$B$21="Ja",ISNUMBER(W1388),N(X1388)&gt;0),IFERROR(N(INDEX(Parameter!$L$5:$L$7,W1388))*INDEX(Parameter!$E$5:$E$7,W1388)*X1388/SUMIFS($X$7:$X$1843,$W$7:$W$1843,W1388),0),0)</f>
        <v>0</v>
      </c>
    </row>
    <row r="1389" customFormat="false" ht="15" hidden="false" customHeight="false" outlineLevel="0" collapsed="false">
      <c r="A1389" s="48" t="s">
        <v>2452</v>
      </c>
      <c r="B1389" s="48" t="s">
        <v>2412</v>
      </c>
      <c r="C1389" s="48" t="s">
        <v>173</v>
      </c>
      <c r="D1389" s="48" t="s">
        <v>182</v>
      </c>
      <c r="E1389" s="48" t="s">
        <v>194</v>
      </c>
      <c r="F1389" s="48" t="s">
        <v>227</v>
      </c>
      <c r="G1389" s="49" t="n">
        <v>202.04</v>
      </c>
      <c r="H1389" s="50" t="n">
        <f aca="false">MAX(0,IF(AND(Parameter!$B$21="Ja",ISNUMBER(Y1389)),Y1389,IF(Parameter!$B$20="Jahresanfang 2025 + Export",BR1389+BQ1389,BQ1389)))</f>
        <v>8</v>
      </c>
      <c r="I1389" s="50" t="n">
        <f aca="false">H1389*G1389</f>
        <v>1616.32</v>
      </c>
      <c r="J1389" s="50" t="n">
        <f aca="false">BT1389*Parameter!$B$18</f>
        <v>18</v>
      </c>
      <c r="K1389" s="51" t="n">
        <v>29.5</v>
      </c>
      <c r="L1389" s="52" t="n">
        <v>0.610169491525424</v>
      </c>
      <c r="M1389" s="50" t="n">
        <v>2</v>
      </c>
      <c r="N1389" s="50" t="n">
        <v>15</v>
      </c>
      <c r="O1389" s="53" t="n">
        <v>44</v>
      </c>
      <c r="P1389" s="48" t="s">
        <v>183</v>
      </c>
      <c r="Q1389" s="50" t="n">
        <v>15</v>
      </c>
      <c r="R1389" s="53" t="n">
        <f aca="false">IF(BZ1389=1,0,IFERROR(VLOOKUP(BX1389,'Gebinde-Kategorie'!$A$5:$N$45,13,0)+0,0))</f>
        <v>6</v>
      </c>
      <c r="S1389" s="54"/>
      <c r="T1389" s="55"/>
      <c r="U1389" s="55"/>
      <c r="V1389" s="55"/>
      <c r="W1389" s="48"/>
      <c r="X1389" s="50"/>
      <c r="Y1389" s="50"/>
      <c r="Z1389" s="48" t="n">
        <f aca="false">IF(A1389="","",IF(AND(Parameter!$B$21="Ja",ISNUMBER(W1389)),W1389,IF(CC1389="2+3",IF(ISNUMBER(SEARCH("grosser Artikel",BU1389)),2,IFERROR(VLOOKUP(BX1389,Parameter!$F$35:$G$64,2,0),2)),IF(OR(CC1389="Nein",CC1389=""),"-",CC1389))))</f>
        <v>2</v>
      </c>
      <c r="AA1389" s="55"/>
      <c r="AB1389" s="56"/>
      <c r="AC1389" s="50" t="n">
        <f aca="false">AV1389</f>
        <v>17</v>
      </c>
      <c r="AD1389" s="50" t="n">
        <f aca="false">MAX(AV1389,H1389)</f>
        <v>17</v>
      </c>
      <c r="AE1389" s="57"/>
      <c r="AF1389" s="50" t="n">
        <f aca="false">IF(LEFT(Cockpit!$C$5,1)="A",H1389,IF(Parameter!$E$30="MAX-Bestand",IF(CH1389=1,CI1389,IF(LEFT(Cockpit!$C$5,1)="B",AL1389,MAX(AL1389,H1389))),ROUNDUP(AJ1389,0)))</f>
        <v>8</v>
      </c>
      <c r="AG1389" s="50" t="n">
        <f aca="false">IF(BZ1389=1,0,ROUNDUP(AF1389/BY1389,0))</f>
        <v>1</v>
      </c>
      <c r="AH1389" s="52" t="n">
        <f aca="false">IF(CQ1389&gt;0,CQ1389*MAX(1,AF1389/X1389),IF(BZ1389=1,IF(AF1389&lt;=0,0,CD1389*MAX(1,IF(H1389&gt;0,AF1389/H1389,1))),IF(R1389&gt;0,AG1389/R1389,0))/MAX(0.1,N(Parameter!$M$21)))</f>
        <v>0.166666666666667</v>
      </c>
      <c r="AI1389" s="50" t="n">
        <f aca="false">AH1389*CB1389</f>
        <v>39.1666666666667</v>
      </c>
      <c r="AJ1389" s="51" t="n">
        <f aca="false">IF(LEFT(Cockpit!$C$5,1)="A",H1389,IF(CH1389=1,(CK1389+CI1389)/2,IF(LEFT(Cockpit!$C$5,1)="B",(CK1389+AL1389)/2,MAX((CK1389+AL1389)/2,H1389))))</f>
        <v>8</v>
      </c>
      <c r="AK1389" s="50" t="n">
        <f aca="false">AJ1389*G1389</f>
        <v>1616.32</v>
      </c>
      <c r="AL1389" s="50" t="n">
        <f aca="false">ROUNDUP(CK1389+MAX(CL1389,2*(J1389/IF(CG1389&gt;0,CG1389,MAX(0.1,N(Cockpit!$C$6)))-CK1389)),0)</f>
        <v>17</v>
      </c>
      <c r="AM1389" s="51" t="n">
        <f aca="false">IF(AI1389&gt;0,J1389/AI1389,-1)</f>
        <v>0.459574468085106</v>
      </c>
      <c r="AN1389" s="51" t="n">
        <f aca="false">IF(AND(OR(CF1389="L1",CF1389="L23",CF1389="LIFT"),AI1389&gt;0),SUMIFS($AI$7:$AI$1843,$CF$7:$CF$1843,CF1389,$AM$7:$AM$1843,"&gt;"&amp;AM1389)+SUMIFS($AI$7:$AI$1843,$CF$7:$CF$1843,CF1389,$AM$7:$AM$1843,AM1389,$BW$7:$BW$1843,"&lt;="&amp;BW1389),"")</f>
        <v>9856.84383601333</v>
      </c>
      <c r="AO1389" s="58" t="n">
        <f aca="false">IF(AN1389="",0,MAX(0,MIN(1,(IF(CF1389="L1",Parameter!$H$5,IF(CF1389="L23",Parameter!$H$6+Parameter!$H$7,Parameter!$H$5+Parameter!$H$6+Parameter!$H$7))-(AN1389-AI1389))/AI1389)))</f>
        <v>1</v>
      </c>
      <c r="AP1389" s="50" t="n">
        <f aca="false">IF(LEFT(Cockpit!$I$5,1)="A",H1389,IF(Parameter!$E$30="MAX-Bestand",IF(CH1389=1,CI1389,IF(LEFT(Cockpit!$I$5,1)="B",AV1389,MAX(AV1389,H1389))),ROUNDUP(AT1389,0)))</f>
        <v>10</v>
      </c>
      <c r="AQ1389" s="50" t="n">
        <f aca="false">IF(BZ1389=1,0,ROUNDUP(AP1389/BY1389,0))</f>
        <v>1</v>
      </c>
      <c r="AR1389" s="52" t="n">
        <f aca="false">IF(CQ1389&gt;0,CQ1389*MAX(1,AP1389/X1389),IF(BZ1389=1,IF(AP1389&lt;=0,0,CD1389*MAX(1,IF(H1389&gt;0,AP1389/H1389,1))),IF(R1389&gt;0,AQ1389/R1389,0))/MAX(0.1,N(Parameter!$M$21)))</f>
        <v>0.166666666666667</v>
      </c>
      <c r="AS1389" s="50" t="n">
        <f aca="false">AR1389*CB1389</f>
        <v>39.1666666666667</v>
      </c>
      <c r="AT1389" s="51" t="n">
        <f aca="false">IF(LEFT(Cockpit!$I$5,1)="A",H1389,IF(CH1389=1,(CK1389+CI1389)/2,IF(LEFT(Cockpit!$I$5,1)="B",(CK1389+AV1389)/2,MAX((CK1389+AV1389)/2,H1389))))</f>
        <v>9.5</v>
      </c>
      <c r="AU1389" s="50" t="n">
        <f aca="false">AT1389*G1389</f>
        <v>1919.38</v>
      </c>
      <c r="AV1389" s="50" t="n">
        <f aca="false">ROUNDUP(CK1389+MAX(CL1389,2*(J1389/IF(CG1389&gt;0,CG1389,MAX(0.1,N(Cockpit!$I$6)))-CK1389)),0)</f>
        <v>17</v>
      </c>
      <c r="AW1389" s="51" t="n">
        <f aca="false">IF(AS1389&gt;0,J1389/AS1389,-1)</f>
        <v>0.459574468085106</v>
      </c>
      <c r="AX1389" s="51" t="n">
        <f aca="false">IF(AND(OR(CF1389="L1",CF1389="L23",CF1389="LIFT"),AS1389&gt;0),SUMIFS($AS$7:$AS$1843,$CF$7:$CF$1843,CF1389,$AW$7:$AW$1843,"&gt;"&amp;AW1389)+SUMIFS($AS$7:$AS$1843,$CF$7:$CF$1843,CF1389,$AW$7:$AW$1843,AW1389,$BW$7:$BW$1843,"&lt;="&amp;BW1389),"")</f>
        <v>12270.6804029304</v>
      </c>
      <c r="AY1389" s="58" t="n">
        <f aca="false">IF(AX1389="",0,MAX(0,MIN(1,(IF(CF1389="L1",Parameter!$H$5,IF(CF1389="L23",Parameter!$H$6+Parameter!$H$7,Parameter!$H$5+Parameter!$H$6+Parameter!$H$7))-(AX1389-AS1389))/AS1389)))</f>
        <v>1</v>
      </c>
      <c r="AZ1389" s="50" t="n">
        <f aca="false">IF(LEFT(Cockpit!$O$5,1)="A",H1389,IF(Parameter!$E$30="MAX-Bestand",IF(CH1389=1,CI1389,IF(LEFT(Cockpit!$O$5,1)="B",BF1389,MAX(BF1389,H1389))),ROUNDUP(BD1389,0)))</f>
        <v>10</v>
      </c>
      <c r="BA1389" s="50" t="n">
        <f aca="false">IF(BZ1389=1,0,ROUNDUP(AZ1389/BY1389,0))</f>
        <v>1</v>
      </c>
      <c r="BB1389" s="52" t="n">
        <f aca="false">IF(CQ1389&gt;0,CQ1389*MAX(1,AZ1389/X1389),IF(BZ1389=1,IF(AZ1389&lt;=0,0,CD1389*MAX(1,IF(H1389&gt;0,AZ1389/H1389,1))),IF(R1389&gt;0,BA1389/R1389,0))/MAX(0.1,N(Parameter!$M$21)))</f>
        <v>0.166666666666667</v>
      </c>
      <c r="BC1389" s="50" t="n">
        <f aca="false">BB1389*CB1389</f>
        <v>39.1666666666667</v>
      </c>
      <c r="BD1389" s="51" t="n">
        <f aca="false">IF(LEFT(Cockpit!$O$5,1)="A",H1389,IF(CH1389=1,(CK1389+CI1389)/2,IF(LEFT(Cockpit!$O$5,1)="B",(CK1389+BF1389)/2,MAX((CK1389+BF1389)/2,H1389))))</f>
        <v>9.5</v>
      </c>
      <c r="BE1389" s="50" t="n">
        <f aca="false">BD1389*G1389</f>
        <v>1919.38</v>
      </c>
      <c r="BF1389" s="50" t="n">
        <f aca="false">ROUNDUP(CK1389+MAX(CL1389,2*(J1389/IF(CG1389&gt;0,CG1389,MAX(0.1,N(Cockpit!$O$6)))-CK1389)),0)</f>
        <v>17</v>
      </c>
      <c r="BG1389" s="51" t="n">
        <f aca="false">IF(BC1389&gt;0,J1389/BC1389,-1)</f>
        <v>0.459574468085106</v>
      </c>
      <c r="BH1389" s="51" t="n">
        <f aca="false">IF(AND(OR(CF1389="L1",CF1389="L23",CF1389="LIFT"),BC1389&gt;0),SUMIFS($BC$7:$BC$1843,$CF$7:$CF$1843,CF1389,$BG$7:$BG$1843,"&gt;"&amp;BG1389)+SUMIFS($BC$7:$BC$1843,$CF$7:$CF$1843,CF1389,$BG$7:$BG$1843,BG1389,$BW$7:$BW$1843,"&lt;="&amp;BW1389),"")</f>
        <v>10576.5966117216</v>
      </c>
      <c r="BI1389" s="58" t="n">
        <f aca="false">IF(BH1389="",0,MAX(0,MIN(1,(IF(CF1389="L1",Parameter!$H$5,IF(CF1389="L23",Parameter!$H$6+Parameter!$H$7,Parameter!$H$5+Parameter!$H$6+Parameter!$H$7))-(BH1389-BC1389))/BC1389)))</f>
        <v>1</v>
      </c>
      <c r="BJ1389" s="48" t="str">
        <f aca="false">IF(AI1389&lt;=0,"",IF(CF1389="Aussen","Aussenlager",IF(CF1389="-","Nicht im Lift",IF(AO1389&gt;=1,"Lift",IF(AO1389&lt;=0,"Aussenlager","teilweise")))))</f>
        <v>Lift</v>
      </c>
      <c r="BK1389" s="48" t="str">
        <f aca="false">IF(AS1389&lt;=0,"",IF(CF1389="Aussen","Aussenlager",IF(CF1389="-","Nicht im Lift",IF(AY1389&gt;=1,"Lift",IF(AY1389&lt;=0,"Aussenlager","teilweise")))))</f>
        <v>Lift</v>
      </c>
      <c r="BL1389" s="48" t="str">
        <f aca="false">IF(BC1389&lt;=0,"",IF(CF1389="Aussen","Aussenlager",IF(CF1389="-","Nicht im Lift",IF(BI1389&gt;=1,"Lift",IF(BI1389&lt;=0,"Aussenlager","teilweise")))))</f>
        <v>Lift</v>
      </c>
      <c r="BM1389" s="48" t="str">
        <f aca="false">IF(A1389="","",IF(BV1389=1,"Neu; ","")&amp;IF(AND(BV1389=0,BQ1389&lt;0),"negativer Bestand (Export "&amp;BQ1389&amp;"); ","")&amp;IF(J1389&lt;=0,"Kein Verbrauch; ","")&amp;IF(CQ1389&gt;0,"Lift "&amp;W1389&amp;" lt. Liftbericht (Fach "&amp;X1389&amp;" Stk); ",IF(CA1389=1,"Gebinde geschätzt ("&amp;T1389&amp;"); ",IF(BZ1389=1,"Lose – Tablare geschätzt; ","")))&amp;IF(H1389&gt;AV1389,"Überbestand "&amp;ROUND(H1389-AV1389,0)&amp;" Stk / CHF "&amp;ROUND((H1389-AV1389)*G1389,0)&amp;"; ","")&amp;IF(AND(CH1389=1,CI1389&lt;CJ1389),"MAX &lt; MB+LG; ","")&amp;IF(AND(CP1389&gt;0,CO1389*10&gt;CP1389),"zu hoch für Tablar; ","")&amp;IF(AND(BV1389=0,OR(CH1389=1,AA1389&lt;&gt;"",U1389&lt;&gt;"",V1389&lt;&gt;"",AB1389&lt;&gt;"")),"manuell übersteuert; ","")&amp;IF(AND(BZ1389=0,R1389=0),"Gebinde unbekannt / Stellmass fehlt; ","")&amp;IF(AND(BZ1389=0,N(V1389)&lt;=0,N(Q1389)&lt;=0),"Menge pro Gebinde fehlt (Ist = 1 Gebinde); ","")&amp;BU1389)</f>
        <v>negativer Bestand (Export -20); grosser Artikel &amp; nicht im KTL</v>
      </c>
      <c r="BN1389" s="48"/>
      <c r="BO1389" s="48"/>
      <c r="BP1389" s="55"/>
      <c r="BQ1389" s="50" t="n">
        <v>-20</v>
      </c>
      <c r="BR1389" s="50" t="n">
        <v>28</v>
      </c>
      <c r="BS1389" s="49" t="n">
        <v>-3384.2</v>
      </c>
      <c r="BT1389" s="50" t="n">
        <v>18</v>
      </c>
      <c r="BU1389" s="48" t="s">
        <v>270</v>
      </c>
      <c r="BV1389" s="53" t="n">
        <v>0</v>
      </c>
      <c r="BW1389" s="53" t="n">
        <v>1389</v>
      </c>
      <c r="BX1389" s="48" t="str">
        <f aca="false">IF(U1389&lt;&gt;"",UPPER(TRIM(U1389)),IF(CA1389=1,UPPER(VLOOKUP(T1389,Parameter!$I$27:$K$29,2,0)),IF(P1389="","LOSE",P1389)))</f>
        <v>S71</v>
      </c>
      <c r="BY1389" s="50" t="n">
        <f aca="false">IF(BX1389="LOSE",1,IF(N(V1389)&gt;0,V1389,IF(CA1389=1,MAX(1,N(VLOOKUP(T1389,Parameter!$I$27:$K$29,3,0)),H1389,N(N1389)),IF(N(Q1389)&gt;0,Q1389,MAX(1,H1389)))))</f>
        <v>15</v>
      </c>
      <c r="BZ1389" s="53" t="n">
        <f aca="false">IF(BX1389="LOSE",1,0)</f>
        <v>0</v>
      </c>
      <c r="CA1389" s="53" t="n">
        <f aca="false">IF(AND(U1389="",OR(P1389="",P1389="LOSE"),T1389&lt;&gt;"",N(S1389)&lt;=0,ISNUMBER(MATCH(T1389,Parameter!$I$27:$I$29,0))),1,0)</f>
        <v>0</v>
      </c>
      <c r="CB1389" s="53" t="n">
        <f aca="false">IF(CQ1389&gt;0,INDEX(Parameter!$H$5:$H$7,W1389)/INDEX(Parameter!$E$5:$E$7,W1389),IF(AND(BZ1389=0,N(IFERROR(VLOOKUP(BX1389,'Gebinde-Kategorie'!$A$5:$N$45,14,0),0))&gt;0),VLOOKUP(BX1389,'Gebinde-Kategorie'!$A$5:$N$45,14,0)*10+Parameter!$M$23,Parameter!$M$24))</f>
        <v>235</v>
      </c>
      <c r="CC1389" s="48" t="str">
        <f aca="false">IF(AND(Parameter!$B$19="Ja",E1389&lt;&gt;"",ISNUMBER(MATCH(E1389,Parameter!$I$35:$I$52,0))),VLOOKUP(E1389,Parameter!$I$35:$J$52,2,0),IFERROR(VLOOKUP(D1389,Parameter!$A$35:$C$64,2,0),"Nein"))</f>
        <v>2+3</v>
      </c>
      <c r="CD1389" s="52" t="n">
        <f aca="false">IF(BZ1389=0,0,IF(N(S1389)&gt;0,S1389,IFERROR(VLOOKUP(D1389,Parameter!$A$35:$C$64,3,0)+0,0)))</f>
        <v>0</v>
      </c>
      <c r="CE1389" s="48" t="n">
        <f aca="false">IF(AA1389&lt;&gt;"",AA1389,Z1389)</f>
        <v>2</v>
      </c>
      <c r="CF1389" s="48" t="str">
        <f aca="false">IF(OR(CE1389=1,CE1389=2,CE1389=3),IF(Parameter!$E$27="Ja","LIFT",IF(CE1389=1,"L1","L23")),IF(CE1389="Aussen","Aussen","-"))</f>
        <v>LIFT</v>
      </c>
      <c r="CG1389" s="59" t="n">
        <f aca="false">IF(N(AB1389)&gt;0,AB1389,0)</f>
        <v>0</v>
      </c>
      <c r="CH1389" s="53" t="n">
        <f aca="false">IF(ISNUMBER(AE1389),1,0)</f>
        <v>0</v>
      </c>
      <c r="CI1389" s="50" t="n">
        <f aca="false">N(AE1389)</f>
        <v>0</v>
      </c>
      <c r="CJ1389" s="50" t="n">
        <f aca="false">N(M1389)+N(N1389)</f>
        <v>17</v>
      </c>
      <c r="CK1389" s="50" t="n">
        <f aca="false">N(M1389)</f>
        <v>2</v>
      </c>
      <c r="CL1389" s="50" t="n">
        <f aca="false">N(N1389)</f>
        <v>15</v>
      </c>
      <c r="CM1389" s="50" t="n">
        <f aca="false">ROUNDUP(H1389/BY1389,0)</f>
        <v>1</v>
      </c>
      <c r="CN1389" s="50" t="n">
        <f aca="false">ROUNDUP(CI1389/BY1389,0)</f>
        <v>0</v>
      </c>
      <c r="CO1389" s="53" t="n">
        <f aca="false">IF(BZ1389=1,0,IFERROR(VLOOKUP(BX1389,'Gebinde-Kategorie'!$A$5:$N$45,5,0)+0,0))</f>
        <v>20</v>
      </c>
      <c r="CP1389" s="53" t="n">
        <f aca="false">IFERROR(IF(OR(CE1389=1,CE1389=2,CE1389=3),N(INDEX(Parameter!$I$5:$I$7,CE1389)),0),0)</f>
        <v>0</v>
      </c>
      <c r="CQ1389" s="52" t="n">
        <f aca="false">IF(AND(Parameter!$B$21="Ja",ISNUMBER(W1389),N(X1389)&gt;0),IFERROR(N(INDEX(Parameter!$L$5:$L$7,W1389))*INDEX(Parameter!$E$5:$E$7,W1389)*X1389/SUMIFS($X$7:$X$1843,$W$7:$W$1843,W1389),0),0)</f>
        <v>0</v>
      </c>
    </row>
    <row r="1390" customFormat="false" ht="15" hidden="false" customHeight="false" outlineLevel="0" collapsed="false">
      <c r="A1390" s="48" t="s">
        <v>2453</v>
      </c>
      <c r="B1390" s="48" t="s">
        <v>454</v>
      </c>
      <c r="C1390" s="48" t="s">
        <v>173</v>
      </c>
      <c r="D1390" s="48" t="s">
        <v>182</v>
      </c>
      <c r="E1390" s="48" t="s">
        <v>194</v>
      </c>
      <c r="F1390" s="48" t="s">
        <v>227</v>
      </c>
      <c r="G1390" s="49" t="n">
        <v>162.98</v>
      </c>
      <c r="H1390" s="50" t="n">
        <f aca="false">MAX(0,IF(AND(Parameter!$B$21="Ja",ISNUMBER(Y1390)),Y1390,IF(Parameter!$B$20="Jahresanfang 2025 + Export",BR1390+BQ1390,BQ1390)))</f>
        <v>7</v>
      </c>
      <c r="I1390" s="50" t="n">
        <f aca="false">H1390*G1390</f>
        <v>1140.86</v>
      </c>
      <c r="J1390" s="50" t="n">
        <f aca="false">BT1390*Parameter!$B$18</f>
        <v>32</v>
      </c>
      <c r="K1390" s="51" t="n">
        <v>28.5</v>
      </c>
      <c r="L1390" s="52" t="n">
        <v>1.12280701754386</v>
      </c>
      <c r="M1390" s="50" t="n">
        <v>4</v>
      </c>
      <c r="N1390" s="50" t="n">
        <v>20</v>
      </c>
      <c r="O1390" s="53" t="n">
        <v>40</v>
      </c>
      <c r="P1390" s="48" t="s">
        <v>232</v>
      </c>
      <c r="Q1390" s="50" t="n">
        <v>17</v>
      </c>
      <c r="R1390" s="53" t="n">
        <f aca="false">IF(BZ1390=1,0,IFERROR(VLOOKUP(BX1390,'Gebinde-Kategorie'!$A$5:$N$45,13,0)+0,0))</f>
        <v>4</v>
      </c>
      <c r="S1390" s="54"/>
      <c r="T1390" s="55"/>
      <c r="U1390" s="55"/>
      <c r="V1390" s="55"/>
      <c r="W1390" s="48"/>
      <c r="X1390" s="50"/>
      <c r="Y1390" s="50"/>
      <c r="Z1390" s="48" t="n">
        <f aca="false">IF(A1390="","",IF(AND(Parameter!$B$21="Ja",ISNUMBER(W1390)),W1390,IF(CC1390="2+3",IF(ISNUMBER(SEARCH("grosser Artikel",BU1390)),2,IFERROR(VLOOKUP(BX1390,Parameter!$F$35:$G$64,2,0),2)),IF(OR(CC1390="Nein",CC1390=""),"-",CC1390))))</f>
        <v>2</v>
      </c>
      <c r="AA1390" s="55"/>
      <c r="AB1390" s="56"/>
      <c r="AC1390" s="50" t="n">
        <f aca="false">AV1390</f>
        <v>24</v>
      </c>
      <c r="AD1390" s="50" t="n">
        <f aca="false">MAX(AV1390,H1390)</f>
        <v>24</v>
      </c>
      <c r="AE1390" s="57"/>
      <c r="AF1390" s="50" t="n">
        <f aca="false">IF(LEFT(Cockpit!$C$5,1)="A",H1390,IF(Parameter!$E$30="MAX-Bestand",IF(CH1390=1,CI1390,IF(LEFT(Cockpit!$C$5,1)="B",AL1390,MAX(AL1390,H1390))),ROUNDUP(AJ1390,0)))</f>
        <v>7</v>
      </c>
      <c r="AG1390" s="50" t="n">
        <f aca="false">IF(BZ1390=1,0,ROUNDUP(AF1390/BY1390,0))</f>
        <v>1</v>
      </c>
      <c r="AH1390" s="52" t="n">
        <f aca="false">IF(CQ1390&gt;0,CQ1390*MAX(1,AF1390/X1390),IF(BZ1390=1,IF(AF1390&lt;=0,0,CD1390*MAX(1,IF(H1390&gt;0,AF1390/H1390,1))),IF(R1390&gt;0,AG1390/R1390,0))/MAX(0.1,N(Parameter!$M$21)))</f>
        <v>0.25</v>
      </c>
      <c r="AI1390" s="50" t="n">
        <f aca="false">AH1390*CB1390</f>
        <v>58.75</v>
      </c>
      <c r="AJ1390" s="51" t="n">
        <f aca="false">IF(LEFT(Cockpit!$C$5,1)="A",H1390,IF(CH1390=1,(CK1390+CI1390)/2,IF(LEFT(Cockpit!$C$5,1)="B",(CK1390+AL1390)/2,MAX((CK1390+AL1390)/2,H1390))))</f>
        <v>7</v>
      </c>
      <c r="AK1390" s="50" t="n">
        <f aca="false">AJ1390*G1390</f>
        <v>1140.86</v>
      </c>
      <c r="AL1390" s="50" t="n">
        <f aca="false">ROUNDUP(CK1390+MAX(CL1390,2*(J1390/IF(CG1390&gt;0,CG1390,MAX(0.1,N(Cockpit!$C$6)))-CK1390)),0)</f>
        <v>24</v>
      </c>
      <c r="AM1390" s="51" t="n">
        <f aca="false">IF(AI1390&gt;0,J1390/AI1390,-1)</f>
        <v>0.54468085106383</v>
      </c>
      <c r="AN1390" s="51" t="n">
        <f aca="false">IF(AND(OR(CF1390="L1",CF1390="L23",CF1390="LIFT"),AI1390&gt;0),SUMIFS($AI$7:$AI$1843,$CF$7:$CF$1843,CF1390,$AM$7:$AM$1843,"&gt;"&amp;AM1390)+SUMIFS($AI$7:$AI$1843,$CF$7:$CF$1843,CF1390,$AM$7:$AM$1843,AM1390,$BW$7:$BW$1843,"&lt;="&amp;BW1390),"")</f>
        <v>9440.62588729538</v>
      </c>
      <c r="AO1390" s="58" t="n">
        <f aca="false">IF(AN1390="",0,MAX(0,MIN(1,(IF(CF1390="L1",Parameter!$H$5,IF(CF1390="L23",Parameter!$H$6+Parameter!$H$7,Parameter!$H$5+Parameter!$H$6+Parameter!$H$7))-(AN1390-AI1390))/AI1390)))</f>
        <v>1</v>
      </c>
      <c r="AP1390" s="50" t="n">
        <f aca="false">IF(LEFT(Cockpit!$I$5,1)="A",H1390,IF(Parameter!$E$30="MAX-Bestand",IF(CH1390=1,CI1390,IF(LEFT(Cockpit!$I$5,1)="B",AV1390,MAX(AV1390,H1390))),ROUNDUP(AT1390,0)))</f>
        <v>14</v>
      </c>
      <c r="AQ1390" s="50" t="n">
        <f aca="false">IF(BZ1390=1,0,ROUNDUP(AP1390/BY1390,0))</f>
        <v>1</v>
      </c>
      <c r="AR1390" s="52" t="n">
        <f aca="false">IF(CQ1390&gt;0,CQ1390*MAX(1,AP1390/X1390),IF(BZ1390=1,IF(AP1390&lt;=0,0,CD1390*MAX(1,IF(H1390&gt;0,AP1390/H1390,1))),IF(R1390&gt;0,AQ1390/R1390,0))/MAX(0.1,N(Parameter!$M$21)))</f>
        <v>0.25</v>
      </c>
      <c r="AS1390" s="50" t="n">
        <f aca="false">AR1390*CB1390</f>
        <v>58.75</v>
      </c>
      <c r="AT1390" s="51" t="n">
        <f aca="false">IF(LEFT(Cockpit!$I$5,1)="A",H1390,IF(CH1390=1,(CK1390+CI1390)/2,IF(LEFT(Cockpit!$I$5,1)="B",(CK1390+AV1390)/2,MAX((CK1390+AV1390)/2,H1390))))</f>
        <v>14</v>
      </c>
      <c r="AU1390" s="50" t="n">
        <f aca="false">AT1390*G1390</f>
        <v>2281.72</v>
      </c>
      <c r="AV1390" s="50" t="n">
        <f aca="false">ROUNDUP(CK1390+MAX(CL1390,2*(J1390/IF(CG1390&gt;0,CG1390,MAX(0.1,N(Cockpit!$I$6)))-CK1390)),0)</f>
        <v>24</v>
      </c>
      <c r="AW1390" s="51" t="n">
        <f aca="false">IF(AS1390&gt;0,J1390/AS1390,-1)</f>
        <v>0.54468085106383</v>
      </c>
      <c r="AX1390" s="51" t="n">
        <f aca="false">IF(AND(OR(CF1390="L1",CF1390="L23",CF1390="LIFT"),AS1390&gt;0),SUMIFS($AS$7:$AS$1843,$CF$7:$CF$1843,CF1390,$AW$7:$AW$1843,"&gt;"&amp;AW1390)+SUMIFS($AS$7:$AS$1843,$CF$7:$CF$1843,CF1390,$AW$7:$AW$1843,AW1390,$BW$7:$BW$1843,"&lt;="&amp;BW1390),"")</f>
        <v>11760.8727106227</v>
      </c>
      <c r="AY1390" s="58" t="n">
        <f aca="false">IF(AX1390="",0,MAX(0,MIN(1,(IF(CF1390="L1",Parameter!$H$5,IF(CF1390="L23",Parameter!$H$6+Parameter!$H$7,Parameter!$H$5+Parameter!$H$6+Parameter!$H$7))-(AX1390-AS1390))/AS1390)))</f>
        <v>1</v>
      </c>
      <c r="AZ1390" s="50" t="n">
        <f aca="false">IF(LEFT(Cockpit!$O$5,1)="A",H1390,IF(Parameter!$E$30="MAX-Bestand",IF(CH1390=1,CI1390,IF(LEFT(Cockpit!$O$5,1)="B",BF1390,MAX(BF1390,H1390))),ROUNDUP(BD1390,0)))</f>
        <v>14</v>
      </c>
      <c r="BA1390" s="50" t="n">
        <f aca="false">IF(BZ1390=1,0,ROUNDUP(AZ1390/BY1390,0))</f>
        <v>1</v>
      </c>
      <c r="BB1390" s="52" t="n">
        <f aca="false">IF(CQ1390&gt;0,CQ1390*MAX(1,AZ1390/X1390),IF(BZ1390=1,IF(AZ1390&lt;=0,0,CD1390*MAX(1,IF(H1390&gt;0,AZ1390/H1390,1))),IF(R1390&gt;0,BA1390/R1390,0))/MAX(0.1,N(Parameter!$M$21)))</f>
        <v>0.25</v>
      </c>
      <c r="BC1390" s="50" t="n">
        <f aca="false">BB1390*CB1390</f>
        <v>58.75</v>
      </c>
      <c r="BD1390" s="51" t="n">
        <f aca="false">IF(LEFT(Cockpit!$O$5,1)="A",H1390,IF(CH1390=1,(CK1390+CI1390)/2,IF(LEFT(Cockpit!$O$5,1)="B",(CK1390+BF1390)/2,MAX((CK1390+BF1390)/2,H1390))))</f>
        <v>14</v>
      </c>
      <c r="BE1390" s="50" t="n">
        <f aca="false">BD1390*G1390</f>
        <v>2281.72</v>
      </c>
      <c r="BF1390" s="50" t="n">
        <f aca="false">ROUNDUP(CK1390+MAX(CL1390,2*(J1390/IF(CG1390&gt;0,CG1390,MAX(0.1,N(Cockpit!$O$6)))-CK1390)),0)</f>
        <v>24</v>
      </c>
      <c r="BG1390" s="51" t="n">
        <f aca="false">IF(BC1390&gt;0,J1390/BC1390,-1)</f>
        <v>0.54468085106383</v>
      </c>
      <c r="BH1390" s="51" t="n">
        <f aca="false">IF(AND(OR(CF1390="L1",CF1390="L23",CF1390="LIFT"),BC1390&gt;0),SUMIFS($BC$7:$BC$1843,$CF$7:$CF$1843,CF1390,$BG$7:$BG$1843,"&gt;"&amp;BG1390)+SUMIFS($BC$7:$BC$1843,$CF$7:$CF$1843,CF1390,$BG$7:$BG$1843,BG1390,$BW$7:$BW$1843,"&lt;="&amp;BW1390),"")</f>
        <v>10148.4555860806</v>
      </c>
      <c r="BI1390" s="58" t="n">
        <f aca="false">IF(BH1390="",0,MAX(0,MIN(1,(IF(CF1390="L1",Parameter!$H$5,IF(CF1390="L23",Parameter!$H$6+Parameter!$H$7,Parameter!$H$5+Parameter!$H$6+Parameter!$H$7))-(BH1390-BC1390))/BC1390)))</f>
        <v>1</v>
      </c>
      <c r="BJ1390" s="48" t="str">
        <f aca="false">IF(AI1390&lt;=0,"",IF(CF1390="Aussen","Aussenlager",IF(CF1390="-","Nicht im Lift",IF(AO1390&gt;=1,"Lift",IF(AO1390&lt;=0,"Aussenlager","teilweise")))))</f>
        <v>Lift</v>
      </c>
      <c r="BK1390" s="48" t="str">
        <f aca="false">IF(AS1390&lt;=0,"",IF(CF1390="Aussen","Aussenlager",IF(CF1390="-","Nicht im Lift",IF(AY1390&gt;=1,"Lift",IF(AY1390&lt;=0,"Aussenlager","teilweise")))))</f>
        <v>Lift</v>
      </c>
      <c r="BL1390" s="48" t="str">
        <f aca="false">IF(BC1390&lt;=0,"",IF(CF1390="Aussen","Aussenlager",IF(CF1390="-","Nicht im Lift",IF(BI1390&gt;=1,"Lift",IF(BI1390&lt;=0,"Aussenlager","teilweise")))))</f>
        <v>Lift</v>
      </c>
      <c r="BM1390" s="48" t="str">
        <f aca="false">IF(A1390="","",IF(BV1390=1,"Neu; ","")&amp;IF(AND(BV1390=0,BQ1390&lt;0),"negativer Bestand (Export "&amp;BQ1390&amp;"); ","")&amp;IF(J1390&lt;=0,"Kein Verbrauch; ","")&amp;IF(CQ1390&gt;0,"Lift "&amp;W1390&amp;" lt. Liftbericht (Fach "&amp;X1390&amp;" Stk); ",IF(CA1390=1,"Gebinde geschätzt ("&amp;T1390&amp;"); ",IF(BZ1390=1,"Lose – Tablare geschätzt; ","")))&amp;IF(H1390&gt;AV1390,"Überbestand "&amp;ROUND(H1390-AV1390,0)&amp;" Stk / CHF "&amp;ROUND((H1390-AV1390)*G1390,0)&amp;"; ","")&amp;IF(AND(CH1390=1,CI1390&lt;CJ1390),"MAX &lt; MB+LG; ","")&amp;IF(AND(CP1390&gt;0,CO1390*10&gt;CP1390),"zu hoch für Tablar; ","")&amp;IF(AND(BV1390=0,OR(CH1390=1,AA1390&lt;&gt;"",U1390&lt;&gt;"",V1390&lt;&gt;"",AB1390&lt;&gt;"")),"manuell übersteuert; ","")&amp;IF(AND(BZ1390=0,R1390=0),"Gebinde unbekannt / Stellmass fehlt; ","")&amp;IF(AND(BZ1390=0,N(V1390)&lt;=0,N(Q1390)&lt;=0),"Menge pro Gebinde fehlt (Ist = 1 Gebinde); ","")&amp;BU1390)</f>
        <v>negativer Bestand (Export -22); grosser Artikel &amp; nicht im KTL</v>
      </c>
      <c r="BN1390" s="48"/>
      <c r="BO1390" s="48"/>
      <c r="BP1390" s="55"/>
      <c r="BQ1390" s="50" t="n">
        <v>-22</v>
      </c>
      <c r="BR1390" s="50" t="n">
        <v>29</v>
      </c>
      <c r="BS1390" s="49" t="n">
        <v>-3422.29</v>
      </c>
      <c r="BT1390" s="50" t="n">
        <v>32</v>
      </c>
      <c r="BU1390" s="48" t="s">
        <v>270</v>
      </c>
      <c r="BV1390" s="53" t="n">
        <v>0</v>
      </c>
      <c r="BW1390" s="53" t="n">
        <v>1390</v>
      </c>
      <c r="BX1390" s="48" t="str">
        <f aca="false">IF(U1390&lt;&gt;"",UPPER(TRIM(U1390)),IF(CA1390=1,UPPER(VLOOKUP(T1390,Parameter!$I$27:$K$29,2,0)),IF(P1390="","LOSE",P1390)))</f>
        <v>S81</v>
      </c>
      <c r="BY1390" s="50" t="n">
        <f aca="false">IF(BX1390="LOSE",1,IF(N(V1390)&gt;0,V1390,IF(CA1390=1,MAX(1,N(VLOOKUP(T1390,Parameter!$I$27:$K$29,3,0)),H1390,N(N1390)),IF(N(Q1390)&gt;0,Q1390,MAX(1,H1390)))))</f>
        <v>17</v>
      </c>
      <c r="BZ1390" s="53" t="n">
        <f aca="false">IF(BX1390="LOSE",1,0)</f>
        <v>0</v>
      </c>
      <c r="CA1390" s="53" t="n">
        <f aca="false">IF(AND(U1390="",OR(P1390="",P1390="LOSE"),T1390&lt;&gt;"",N(S1390)&lt;=0,ISNUMBER(MATCH(T1390,Parameter!$I$27:$I$29,0))),1,0)</f>
        <v>0</v>
      </c>
      <c r="CB1390" s="53" t="n">
        <f aca="false">IF(CQ1390&gt;0,INDEX(Parameter!$H$5:$H$7,W1390)/INDEX(Parameter!$E$5:$E$7,W1390),IF(AND(BZ1390=0,N(IFERROR(VLOOKUP(BX1390,'Gebinde-Kategorie'!$A$5:$N$45,14,0),0))&gt;0),VLOOKUP(BX1390,'Gebinde-Kategorie'!$A$5:$N$45,14,0)*10+Parameter!$M$23,Parameter!$M$24))</f>
        <v>235</v>
      </c>
      <c r="CC1390" s="48" t="str">
        <f aca="false">IF(AND(Parameter!$B$19="Ja",E1390&lt;&gt;"",ISNUMBER(MATCH(E1390,Parameter!$I$35:$I$52,0))),VLOOKUP(E1390,Parameter!$I$35:$J$52,2,0),IFERROR(VLOOKUP(D1390,Parameter!$A$35:$C$64,2,0),"Nein"))</f>
        <v>2+3</v>
      </c>
      <c r="CD1390" s="52" t="n">
        <f aca="false">IF(BZ1390=0,0,IF(N(S1390)&gt;0,S1390,IFERROR(VLOOKUP(D1390,Parameter!$A$35:$C$64,3,0)+0,0)))</f>
        <v>0</v>
      </c>
      <c r="CE1390" s="48" t="n">
        <f aca="false">IF(AA1390&lt;&gt;"",AA1390,Z1390)</f>
        <v>2</v>
      </c>
      <c r="CF1390" s="48" t="str">
        <f aca="false">IF(OR(CE1390=1,CE1390=2,CE1390=3),IF(Parameter!$E$27="Ja","LIFT",IF(CE1390=1,"L1","L23")),IF(CE1390="Aussen","Aussen","-"))</f>
        <v>LIFT</v>
      </c>
      <c r="CG1390" s="59" t="n">
        <f aca="false">IF(N(AB1390)&gt;0,AB1390,0)</f>
        <v>0</v>
      </c>
      <c r="CH1390" s="53" t="n">
        <f aca="false">IF(ISNUMBER(AE1390),1,0)</f>
        <v>0</v>
      </c>
      <c r="CI1390" s="50" t="n">
        <f aca="false">N(AE1390)</f>
        <v>0</v>
      </c>
      <c r="CJ1390" s="50" t="n">
        <f aca="false">N(M1390)+N(N1390)</f>
        <v>24</v>
      </c>
      <c r="CK1390" s="50" t="n">
        <f aca="false">N(M1390)</f>
        <v>4</v>
      </c>
      <c r="CL1390" s="50" t="n">
        <f aca="false">N(N1390)</f>
        <v>20</v>
      </c>
      <c r="CM1390" s="50" t="n">
        <f aca="false">ROUNDUP(H1390/BY1390,0)</f>
        <v>1</v>
      </c>
      <c r="CN1390" s="50" t="n">
        <f aca="false">ROUNDUP(CI1390/BY1390,0)</f>
        <v>0</v>
      </c>
      <c r="CO1390" s="53" t="n">
        <f aca="false">IF(BZ1390=1,0,IFERROR(VLOOKUP(BX1390,'Gebinde-Kategorie'!$A$5:$N$45,5,0)+0,0))</f>
        <v>20</v>
      </c>
      <c r="CP1390" s="53" t="n">
        <f aca="false">IFERROR(IF(OR(CE1390=1,CE1390=2,CE1390=3),N(INDEX(Parameter!$I$5:$I$7,CE1390)),0),0)</f>
        <v>0</v>
      </c>
      <c r="CQ1390" s="52" t="n">
        <f aca="false">IF(AND(Parameter!$B$21="Ja",ISNUMBER(W1390),N(X1390)&gt;0),IFERROR(N(INDEX(Parameter!$L$5:$L$7,W1390))*INDEX(Parameter!$E$5:$E$7,W1390)*X1390/SUMIFS($X$7:$X$1843,$W$7:$W$1843,W1390),0),0)</f>
        <v>0</v>
      </c>
    </row>
    <row r="1391" customFormat="false" ht="15" hidden="false" customHeight="false" outlineLevel="0" collapsed="false">
      <c r="A1391" s="48" t="s">
        <v>2454</v>
      </c>
      <c r="B1391" s="48" t="s">
        <v>2455</v>
      </c>
      <c r="C1391" s="48" t="s">
        <v>465</v>
      </c>
      <c r="D1391" s="48" t="s">
        <v>182</v>
      </c>
      <c r="E1391" s="48"/>
      <c r="F1391" s="48" t="s">
        <v>227</v>
      </c>
      <c r="G1391" s="49" t="n">
        <v>699.72</v>
      </c>
      <c r="H1391" s="50" t="n">
        <f aca="false">MAX(0,IF(AND(Parameter!$B$21="Ja",ISNUMBER(Y1391)),Y1391,IF(Parameter!$B$20="Jahresanfang 2025 + Export",BR1391+BQ1391,BQ1391)))</f>
        <v>0</v>
      </c>
      <c r="I1391" s="50" t="n">
        <f aca="false">H1391*G1391</f>
        <v>0</v>
      </c>
      <c r="J1391" s="50" t="n">
        <f aca="false">BT1391*Parameter!$B$18</f>
        <v>17</v>
      </c>
      <c r="K1391" s="51" t="n">
        <v>5</v>
      </c>
      <c r="L1391" s="52" t="n">
        <v>3.4</v>
      </c>
      <c r="M1391" s="50" t="n">
        <v>0</v>
      </c>
      <c r="N1391" s="50" t="n">
        <v>5</v>
      </c>
      <c r="O1391" s="53" t="n">
        <v>63</v>
      </c>
      <c r="P1391" s="48" t="s">
        <v>177</v>
      </c>
      <c r="Q1391" s="50"/>
      <c r="R1391" s="53" t="n">
        <f aca="false">IF(BZ1391=1,0,IFERROR(VLOOKUP(BX1391,'Gebinde-Kategorie'!$A$5:$N$45,13,0)+0,0))</f>
        <v>12</v>
      </c>
      <c r="S1391" s="54"/>
      <c r="T1391" s="55" t="s">
        <v>188</v>
      </c>
      <c r="U1391" s="55"/>
      <c r="V1391" s="55"/>
      <c r="W1391" s="48"/>
      <c r="X1391" s="50"/>
      <c r="Y1391" s="50"/>
      <c r="Z1391" s="48" t="n">
        <f aca="false">IF(A1391="","",IF(AND(Parameter!$B$21="Ja",ISNUMBER(W1391)),W1391,IF(CC1391="2+3",IF(ISNUMBER(SEARCH("grosser Artikel",BU1391)),2,IFERROR(VLOOKUP(BX1391,Parameter!$F$35:$G$64,2,0),2)),IF(OR(CC1391="Nein",CC1391=""),"-",CC1391))))</f>
        <v>2</v>
      </c>
      <c r="AA1391" s="55"/>
      <c r="AB1391" s="56"/>
      <c r="AC1391" s="50" t="n">
        <f aca="false">AV1391</f>
        <v>12</v>
      </c>
      <c r="AD1391" s="50" t="n">
        <f aca="false">MAX(AV1391,H1391)</f>
        <v>12</v>
      </c>
      <c r="AE1391" s="57"/>
      <c r="AF1391" s="50" t="n">
        <f aca="false">IF(LEFT(Cockpit!$C$5,1)="A",H1391,IF(Parameter!$E$30="MAX-Bestand",IF(CH1391=1,CI1391,IF(LEFT(Cockpit!$C$5,1)="B",AL1391,MAX(AL1391,H1391))),ROUNDUP(AJ1391,0)))</f>
        <v>0</v>
      </c>
      <c r="AG1391" s="50" t="n">
        <f aca="false">IF(BZ1391=1,0,ROUNDUP(AF1391/BY1391,0))</f>
        <v>0</v>
      </c>
      <c r="AH1391" s="52" t="n">
        <f aca="false">IF(CQ1391&gt;0,CQ1391*MAX(1,AF1391/X1391),IF(BZ1391=1,IF(AF1391&lt;=0,0,CD1391*MAX(1,IF(H1391&gt;0,AF1391/H1391,1))),IF(R1391&gt;0,AG1391/R1391,0))/MAX(0.1,N(Parameter!$M$21)))</f>
        <v>0</v>
      </c>
      <c r="AI1391" s="50" t="n">
        <f aca="false">AH1391*CB1391</f>
        <v>0</v>
      </c>
      <c r="AJ1391" s="51" t="n">
        <f aca="false">IF(LEFT(Cockpit!$C$5,1)="A",H1391,IF(CH1391=1,(CK1391+CI1391)/2,IF(LEFT(Cockpit!$C$5,1)="B",(CK1391+AL1391)/2,MAX((CK1391+AL1391)/2,H1391))))</f>
        <v>0</v>
      </c>
      <c r="AK1391" s="50" t="n">
        <f aca="false">AJ1391*G1391</f>
        <v>0</v>
      </c>
      <c r="AL1391" s="50" t="n">
        <f aca="false">ROUNDUP(CK1391+MAX(CL1391,2*(J1391/IF(CG1391&gt;0,CG1391,MAX(0.1,N(Cockpit!$C$6)))-CK1391)),0)</f>
        <v>12</v>
      </c>
      <c r="AM1391" s="51" t="n">
        <f aca="false">IF(AI1391&gt;0,J1391/AI1391,-1)</f>
        <v>-1</v>
      </c>
      <c r="AN1391" s="51" t="str">
        <f aca="false">IF(AND(OR(CF1391="L1",CF1391="L23",CF1391="LIFT"),AI1391&gt;0),SUMIFS($AI$7:$AI$1843,$CF$7:$CF$1843,CF1391,$AM$7:$AM$1843,"&gt;"&amp;AM1391)+SUMIFS($AI$7:$AI$1843,$CF$7:$CF$1843,CF1391,$AM$7:$AM$1843,AM1391,$BW$7:$BW$1843,"&lt;="&amp;BW1391),"")</f>
        <v/>
      </c>
      <c r="AO1391" s="58" t="n">
        <f aca="false">IF(AN1391="",0,MAX(0,MIN(1,(IF(CF1391="L1",Parameter!$H$5,IF(CF1391="L23",Parameter!$H$6+Parameter!$H$7,Parameter!$H$5+Parameter!$H$6+Parameter!$H$7))-(AN1391-AI1391))/AI1391)))</f>
        <v>0</v>
      </c>
      <c r="AP1391" s="50" t="n">
        <f aca="false">IF(LEFT(Cockpit!$I$5,1)="A",H1391,IF(Parameter!$E$30="MAX-Bestand",IF(CH1391=1,CI1391,IF(LEFT(Cockpit!$I$5,1)="B",AV1391,MAX(AV1391,H1391))),ROUNDUP(AT1391,0)))</f>
        <v>6</v>
      </c>
      <c r="AQ1391" s="50" t="n">
        <f aca="false">IF(BZ1391=1,0,ROUNDUP(AP1391/BY1391,0))</f>
        <v>2</v>
      </c>
      <c r="AR1391" s="52" t="n">
        <f aca="false">IF(CQ1391&gt;0,CQ1391*MAX(1,AP1391/X1391),IF(BZ1391=1,IF(AP1391&lt;=0,0,CD1391*MAX(1,IF(H1391&gt;0,AP1391/H1391,1))),IF(R1391&gt;0,AQ1391/R1391,0))/MAX(0.1,N(Parameter!$M$21)))</f>
        <v>0.166666666666667</v>
      </c>
      <c r="AS1391" s="50" t="n">
        <f aca="false">AR1391*CB1391</f>
        <v>24.1666666666667</v>
      </c>
      <c r="AT1391" s="51" t="n">
        <f aca="false">IF(LEFT(Cockpit!$I$5,1)="A",H1391,IF(CH1391=1,(CK1391+CI1391)/2,IF(LEFT(Cockpit!$I$5,1)="B",(CK1391+AV1391)/2,MAX((CK1391+AV1391)/2,H1391))))</f>
        <v>6</v>
      </c>
      <c r="AU1391" s="50" t="n">
        <f aca="false">AT1391*G1391</f>
        <v>4198.32</v>
      </c>
      <c r="AV1391" s="50" t="n">
        <f aca="false">ROUNDUP(CK1391+MAX(CL1391,2*(J1391/IF(CG1391&gt;0,CG1391,MAX(0.1,N(Cockpit!$I$6)))-CK1391)),0)</f>
        <v>12</v>
      </c>
      <c r="AW1391" s="51" t="n">
        <f aca="false">IF(AS1391&gt;0,J1391/AS1391,-1)</f>
        <v>0.703448275862069</v>
      </c>
      <c r="AX1391" s="51" t="n">
        <f aca="false">IF(AND(OR(CF1391="L1",CF1391="L23",CF1391="LIFT"),AS1391&gt;0),SUMIFS($AS$7:$AS$1843,$CF$7:$CF$1843,CF1391,$AW$7:$AW$1843,"&gt;"&amp;AW1391)+SUMIFS($AS$7:$AS$1843,$CF$7:$CF$1843,CF1391,$AW$7:$AW$1843,AW1391,$BW$7:$BW$1843,"&lt;="&amp;BW1391),"")</f>
        <v>10739.6547619048</v>
      </c>
      <c r="AY1391" s="58" t="n">
        <f aca="false">IF(AX1391="",0,MAX(0,MIN(1,(IF(CF1391="L1",Parameter!$H$5,IF(CF1391="L23",Parameter!$H$6+Parameter!$H$7,Parameter!$H$5+Parameter!$H$6+Parameter!$H$7))-(AX1391-AS1391))/AS1391)))</f>
        <v>1</v>
      </c>
      <c r="AZ1391" s="50" t="n">
        <f aca="false">IF(LEFT(Cockpit!$O$5,1)="A",H1391,IF(Parameter!$E$30="MAX-Bestand",IF(CH1391=1,CI1391,IF(LEFT(Cockpit!$O$5,1)="B",BF1391,MAX(BF1391,H1391))),ROUNDUP(BD1391,0)))</f>
        <v>5</v>
      </c>
      <c r="BA1391" s="50" t="n">
        <f aca="false">IF(BZ1391=1,0,ROUNDUP(AZ1391/BY1391,0))</f>
        <v>1</v>
      </c>
      <c r="BB1391" s="52" t="n">
        <f aca="false">IF(CQ1391&gt;0,CQ1391*MAX(1,AZ1391/X1391),IF(BZ1391=1,IF(AZ1391&lt;=0,0,CD1391*MAX(1,IF(H1391&gt;0,AZ1391/H1391,1))),IF(R1391&gt;0,BA1391/R1391,0))/MAX(0.1,N(Parameter!$M$21)))</f>
        <v>0.0833333333333333</v>
      </c>
      <c r="BC1391" s="50" t="n">
        <f aca="false">BB1391*CB1391</f>
        <v>12.0833333333333</v>
      </c>
      <c r="BD1391" s="51" t="n">
        <f aca="false">IF(LEFT(Cockpit!$O$5,1)="A",H1391,IF(CH1391=1,(CK1391+CI1391)/2,IF(LEFT(Cockpit!$O$5,1)="B",(CK1391+BF1391)/2,MAX((CK1391+BF1391)/2,H1391))))</f>
        <v>4.5</v>
      </c>
      <c r="BE1391" s="50" t="n">
        <f aca="false">BD1391*G1391</f>
        <v>3148.74</v>
      </c>
      <c r="BF1391" s="50" t="n">
        <f aca="false">ROUNDUP(CK1391+MAX(CL1391,2*(J1391/IF(CG1391&gt;0,CG1391,MAX(0.1,N(Cockpit!$O$6)))-CK1391)),0)</f>
        <v>9</v>
      </c>
      <c r="BG1391" s="51" t="n">
        <f aca="false">IF(BC1391&gt;0,J1391/BC1391,-1)</f>
        <v>1.40689655172414</v>
      </c>
      <c r="BH1391" s="51" t="n">
        <f aca="false">IF(AND(OR(CF1391="L1",CF1391="L23",CF1391="LIFT"),BC1391&gt;0),SUMIFS($BC$7:$BC$1843,$CF$7:$CF$1843,CF1391,$BG$7:$BG$1843,"&gt;"&amp;BG1391)+SUMIFS($BC$7:$BC$1843,$CF$7:$CF$1843,CF1391,$BG$7:$BG$1843,BG1391,$BW$7:$BW$1843,"&lt;="&amp;BW1391),"")</f>
        <v>6662.67536630037</v>
      </c>
      <c r="BI1391" s="58" t="n">
        <f aca="false">IF(BH1391="",0,MAX(0,MIN(1,(IF(CF1391="L1",Parameter!$H$5,IF(CF1391="L23",Parameter!$H$6+Parameter!$H$7,Parameter!$H$5+Parameter!$H$6+Parameter!$H$7))-(BH1391-BC1391))/BC1391)))</f>
        <v>1</v>
      </c>
      <c r="BJ1391" s="48" t="str">
        <f aca="false">IF(AI1391&lt;=0,"",IF(CF1391="Aussen","Aussenlager",IF(CF1391="-","Nicht im Lift",IF(AO1391&gt;=1,"Lift",IF(AO1391&lt;=0,"Aussenlager","teilweise")))))</f>
        <v/>
      </c>
      <c r="BK1391" s="48" t="str">
        <f aca="false">IF(AS1391&lt;=0,"",IF(CF1391="Aussen","Aussenlager",IF(CF1391="-","Nicht im Lift",IF(AY1391&gt;=1,"Lift",IF(AY1391&lt;=0,"Aussenlager","teilweise")))))</f>
        <v>Lift</v>
      </c>
      <c r="BL1391" s="48" t="str">
        <f aca="false">IF(BC1391&lt;=0,"",IF(CF1391="Aussen","Aussenlager",IF(CF1391="-","Nicht im Lift",IF(BI1391&gt;=1,"Lift",IF(BI1391&lt;=0,"Aussenlager","teilweise")))))</f>
        <v>Lift</v>
      </c>
      <c r="BM1391" s="48" t="str">
        <f aca="false">IF(A1391="","",IF(BV1391=1,"Neu; ","")&amp;IF(AND(BV1391=0,BQ1391&lt;0),"negativer Bestand (Export "&amp;BQ1391&amp;"); ","")&amp;IF(J1391&lt;=0,"Kein Verbrauch; ","")&amp;IF(CQ1391&gt;0,"Lift "&amp;W1391&amp;" lt. Liftbericht (Fach "&amp;X1391&amp;" Stk); ",IF(CA1391=1,"Gebinde geschätzt ("&amp;T1391&amp;"); ",IF(BZ1391=1,"Lose – Tablare geschätzt; ","")))&amp;IF(H1391&gt;AV1391,"Überbestand "&amp;ROUND(H1391-AV1391,0)&amp;" Stk / CHF "&amp;ROUND((H1391-AV1391)*G1391,0)&amp;"; ","")&amp;IF(AND(CH1391=1,CI1391&lt;CJ1391),"MAX &lt; MB+LG; ","")&amp;IF(AND(CP1391&gt;0,CO1391*10&gt;CP1391),"zu hoch für Tablar; ","")&amp;IF(AND(BV1391=0,OR(CH1391=1,AA1391&lt;&gt;"",U1391&lt;&gt;"",V1391&lt;&gt;"",AB1391&lt;&gt;"")),"manuell übersteuert; ","")&amp;IF(AND(BZ1391=0,R1391=0),"Gebinde unbekannt / Stellmass fehlt; ","")&amp;IF(AND(BZ1391=0,N(V1391)&lt;=0,N(Q1391)&lt;=0),"Menge pro Gebinde fehlt (Ist = 1 Gebinde); ","")&amp;BU1391)</f>
        <v>negativer Bestand (Export -5); Gebinde geschätzt (Mittel); Menge pro Gebinde fehlt (Ist = 1 Gebinde); </v>
      </c>
      <c r="BN1391" s="48"/>
      <c r="BO1391" s="48"/>
      <c r="BP1391" s="55"/>
      <c r="BQ1391" s="50" t="n">
        <v>-5</v>
      </c>
      <c r="BR1391" s="50" t="n">
        <v>5</v>
      </c>
      <c r="BS1391" s="49" t="n">
        <v>-3532</v>
      </c>
      <c r="BT1391" s="50" t="n">
        <v>17</v>
      </c>
      <c r="BU1391" s="48"/>
      <c r="BV1391" s="53" t="n">
        <v>0</v>
      </c>
      <c r="BW1391" s="53" t="n">
        <v>1391</v>
      </c>
      <c r="BX1391" s="48" t="str">
        <f aca="false">IF(U1391&lt;&gt;"",UPPER(TRIM(U1391)),IF(CA1391=1,UPPER(VLOOKUP(T1391,Parameter!$I$27:$K$29,2,0)),IF(P1391="","LOSE",P1391)))</f>
        <v>S61</v>
      </c>
      <c r="BY1391" s="50" t="n">
        <f aca="false">IF(BX1391="LOSE",1,IF(N(V1391)&gt;0,V1391,IF(CA1391=1,MAX(1,N(VLOOKUP(T1391,Parameter!$I$27:$K$29,3,0)),H1391,N(N1391)),IF(N(Q1391)&gt;0,Q1391,MAX(1,H1391)))))</f>
        <v>5</v>
      </c>
      <c r="BZ1391" s="53" t="n">
        <f aca="false">IF(BX1391="LOSE",1,0)</f>
        <v>0</v>
      </c>
      <c r="CA1391" s="53" t="n">
        <f aca="false">IF(AND(U1391="",OR(P1391="",P1391="LOSE"),T1391&lt;&gt;"",N(S1391)&lt;=0,ISNUMBER(MATCH(T1391,Parameter!$I$27:$I$29,0))),1,0)</f>
        <v>1</v>
      </c>
      <c r="CB1391" s="53" t="n">
        <f aca="false">IF(CQ1391&gt;0,INDEX(Parameter!$H$5:$H$7,W1391)/INDEX(Parameter!$E$5:$E$7,W1391),IF(AND(BZ1391=0,N(IFERROR(VLOOKUP(BX1391,'Gebinde-Kategorie'!$A$5:$N$45,14,0),0))&gt;0),VLOOKUP(BX1391,'Gebinde-Kategorie'!$A$5:$N$45,14,0)*10+Parameter!$M$23,Parameter!$M$24))</f>
        <v>145</v>
      </c>
      <c r="CC1391" s="48" t="str">
        <f aca="false">IF(AND(Parameter!$B$19="Ja",E1391&lt;&gt;"",ISNUMBER(MATCH(E1391,Parameter!$I$35:$I$52,0))),VLOOKUP(E1391,Parameter!$I$35:$J$52,2,0),IFERROR(VLOOKUP(D1391,Parameter!$A$35:$C$64,2,0),"Nein"))</f>
        <v>2+3</v>
      </c>
      <c r="CD1391" s="52" t="n">
        <f aca="false">IF(BZ1391=0,0,IF(N(S1391)&gt;0,S1391,IFERROR(VLOOKUP(D1391,Parameter!$A$35:$C$64,3,0)+0,0)))</f>
        <v>0</v>
      </c>
      <c r="CE1391" s="48" t="n">
        <f aca="false">IF(AA1391&lt;&gt;"",AA1391,Z1391)</f>
        <v>2</v>
      </c>
      <c r="CF1391" s="48" t="str">
        <f aca="false">IF(OR(CE1391=1,CE1391=2,CE1391=3),IF(Parameter!$E$27="Ja","LIFT",IF(CE1391=1,"L1","L23")),IF(CE1391="Aussen","Aussen","-"))</f>
        <v>LIFT</v>
      </c>
      <c r="CG1391" s="59" t="n">
        <f aca="false">IF(N(AB1391)&gt;0,AB1391,0)</f>
        <v>0</v>
      </c>
      <c r="CH1391" s="53" t="n">
        <f aca="false">IF(ISNUMBER(AE1391),1,0)</f>
        <v>0</v>
      </c>
      <c r="CI1391" s="50" t="n">
        <f aca="false">N(AE1391)</f>
        <v>0</v>
      </c>
      <c r="CJ1391" s="50" t="n">
        <f aca="false">N(M1391)+N(N1391)</f>
        <v>5</v>
      </c>
      <c r="CK1391" s="50" t="n">
        <f aca="false">N(M1391)</f>
        <v>0</v>
      </c>
      <c r="CL1391" s="50" t="n">
        <f aca="false">N(N1391)</f>
        <v>5</v>
      </c>
      <c r="CM1391" s="50" t="n">
        <f aca="false">ROUNDUP(H1391/BY1391,0)</f>
        <v>0</v>
      </c>
      <c r="CN1391" s="50" t="n">
        <f aca="false">ROUNDUP(CI1391/BY1391,0)</f>
        <v>0</v>
      </c>
      <c r="CO1391" s="53" t="n">
        <f aca="false">IF(BZ1391=1,0,IFERROR(VLOOKUP(BX1391,'Gebinde-Kategorie'!$A$5:$N$45,5,0)+0,0))</f>
        <v>11</v>
      </c>
      <c r="CP1391" s="53" t="n">
        <f aca="false">IFERROR(IF(OR(CE1391=1,CE1391=2,CE1391=3),N(INDEX(Parameter!$I$5:$I$7,CE1391)),0),0)</f>
        <v>0</v>
      </c>
      <c r="CQ1391" s="52" t="n">
        <f aca="false">IF(AND(Parameter!$B$21="Ja",ISNUMBER(W1391),N(X1391)&gt;0),IFERROR(N(INDEX(Parameter!$L$5:$L$7,W1391))*INDEX(Parameter!$E$5:$E$7,W1391)*X1391/SUMIFS($X$7:$X$1843,$W$7:$W$1843,W1391),0),0)</f>
        <v>0</v>
      </c>
    </row>
    <row r="1392" customFormat="false" ht="15" hidden="false" customHeight="false" outlineLevel="0" collapsed="false">
      <c r="A1392" s="48" t="s">
        <v>2456</v>
      </c>
      <c r="B1392" s="48" t="s">
        <v>2014</v>
      </c>
      <c r="C1392" s="48" t="s">
        <v>173</v>
      </c>
      <c r="D1392" s="48" t="s">
        <v>193</v>
      </c>
      <c r="E1392" s="48"/>
      <c r="F1392" s="48" t="s">
        <v>227</v>
      </c>
      <c r="G1392" s="49" t="n">
        <v>101.57</v>
      </c>
      <c r="H1392" s="50" t="n">
        <f aca="false">MAX(0,IF(AND(Parameter!$B$21="Ja",ISNUMBER(Y1392)),Y1392,IF(Parameter!$B$20="Jahresanfang 2025 + Export",BR1392+BQ1392,BQ1392)))</f>
        <v>16</v>
      </c>
      <c r="I1392" s="50" t="n">
        <f aca="false">H1392*G1392</f>
        <v>1625.12</v>
      </c>
      <c r="J1392" s="50" t="n">
        <f aca="false">BT1392*Parameter!$B$18</f>
        <v>2</v>
      </c>
      <c r="K1392" s="51" t="n">
        <v>54</v>
      </c>
      <c r="L1392" s="52" t="n">
        <v>0.037037037037037</v>
      </c>
      <c r="M1392" s="50" t="n">
        <v>0</v>
      </c>
      <c r="N1392" s="50" t="n">
        <v>1</v>
      </c>
      <c r="O1392" s="53" t="n">
        <v>63</v>
      </c>
      <c r="P1392" s="48" t="s">
        <v>242</v>
      </c>
      <c r="Q1392" s="50" t="n">
        <v>40</v>
      </c>
      <c r="R1392" s="53" t="n">
        <f aca="false">IF(BZ1392=1,0,IFERROR(VLOOKUP(BX1392,'Gebinde-Kategorie'!$A$5:$N$45,13,0)+0,0))</f>
        <v>26</v>
      </c>
      <c r="S1392" s="54"/>
      <c r="T1392" s="55"/>
      <c r="U1392" s="55"/>
      <c r="V1392" s="55"/>
      <c r="W1392" s="48"/>
      <c r="X1392" s="50"/>
      <c r="Y1392" s="50"/>
      <c r="Z1392" s="48" t="n">
        <f aca="false">IF(A1392="","",IF(AND(Parameter!$B$21="Ja",ISNUMBER(W1392)),W1392,IF(CC1392="2+3",IF(ISNUMBER(SEARCH("grosser Artikel",BU1392)),2,IFERROR(VLOOKUP(BX1392,Parameter!$F$35:$G$64,2,0),2)),IF(OR(CC1392="Nein",CC1392=""),"-",CC1392))))</f>
        <v>3</v>
      </c>
      <c r="AA1392" s="55"/>
      <c r="AB1392" s="56"/>
      <c r="AC1392" s="50" t="n">
        <f aca="false">AV1392</f>
        <v>2</v>
      </c>
      <c r="AD1392" s="50" t="n">
        <f aca="false">MAX(AV1392,H1392)</f>
        <v>16</v>
      </c>
      <c r="AE1392" s="57"/>
      <c r="AF1392" s="50" t="n">
        <f aca="false">IF(LEFT(Cockpit!$C$5,1)="A",H1392,IF(Parameter!$E$30="MAX-Bestand",IF(CH1392=1,CI1392,IF(LEFT(Cockpit!$C$5,1)="B",AL1392,MAX(AL1392,H1392))),ROUNDUP(AJ1392,0)))</f>
        <v>16</v>
      </c>
      <c r="AG1392" s="50" t="n">
        <f aca="false">IF(BZ1392=1,0,ROUNDUP(AF1392/BY1392,0))</f>
        <v>1</v>
      </c>
      <c r="AH1392" s="52" t="n">
        <f aca="false">IF(CQ1392&gt;0,CQ1392*MAX(1,AF1392/X1392),IF(BZ1392=1,IF(AF1392&lt;=0,0,CD1392*MAX(1,IF(H1392&gt;0,AF1392/H1392,1))),IF(R1392&gt;0,AG1392/R1392,0))/MAX(0.1,N(Parameter!$M$21)))</f>
        <v>0.0384615384615385</v>
      </c>
      <c r="AI1392" s="50" t="n">
        <f aca="false">AH1392*CB1392</f>
        <v>9.42307692307692</v>
      </c>
      <c r="AJ1392" s="51" t="n">
        <f aca="false">IF(LEFT(Cockpit!$C$5,1)="A",H1392,IF(CH1392=1,(CK1392+CI1392)/2,IF(LEFT(Cockpit!$C$5,1)="B",(CK1392+AL1392)/2,MAX((CK1392+AL1392)/2,H1392))))</f>
        <v>16</v>
      </c>
      <c r="AK1392" s="50" t="n">
        <f aca="false">AJ1392*G1392</f>
        <v>1625.12</v>
      </c>
      <c r="AL1392" s="50" t="n">
        <f aca="false">ROUNDUP(CK1392+MAX(CL1392,2*(J1392/IF(CG1392&gt;0,CG1392,MAX(0.1,N(Cockpit!$C$6)))-CK1392)),0)</f>
        <v>2</v>
      </c>
      <c r="AM1392" s="51" t="n">
        <f aca="false">IF(AI1392&gt;0,J1392/AI1392,-1)</f>
        <v>0.212244897959184</v>
      </c>
      <c r="AN1392" s="51" t="n">
        <f aca="false">IF(AND(OR(CF1392="L1",CF1392="L23",CF1392="LIFT"),AI1392&gt;0),SUMIFS($AI$7:$AI$1843,$CF$7:$CF$1843,CF1392,$AM$7:$AM$1843,"&gt;"&amp;AM1392)+SUMIFS($AI$7:$AI$1843,$CF$7:$CF$1843,CF1392,$AM$7:$AM$1843,AM1392,$BW$7:$BW$1843,"&lt;="&amp;BW1392),"")</f>
        <v>12401.8170541793</v>
      </c>
      <c r="AO1392" s="58" t="n">
        <f aca="false">IF(AN1392="",0,MAX(0,MIN(1,(IF(CF1392="L1",Parameter!$H$5,IF(CF1392="L23",Parameter!$H$6+Parameter!$H$7,Parameter!$H$5+Parameter!$H$6+Parameter!$H$7))-(AN1392-AI1392))/AI1392)))</f>
        <v>1</v>
      </c>
      <c r="AP1392" s="50" t="n">
        <f aca="false">IF(LEFT(Cockpit!$I$5,1)="A",H1392,IF(Parameter!$E$30="MAX-Bestand",IF(CH1392=1,CI1392,IF(LEFT(Cockpit!$I$5,1)="B",AV1392,MAX(AV1392,H1392))),ROUNDUP(AT1392,0)))</f>
        <v>16</v>
      </c>
      <c r="AQ1392" s="50" t="n">
        <f aca="false">IF(BZ1392=1,0,ROUNDUP(AP1392/BY1392,0))</f>
        <v>1</v>
      </c>
      <c r="AR1392" s="52" t="n">
        <f aca="false">IF(CQ1392&gt;0,CQ1392*MAX(1,AP1392/X1392),IF(BZ1392=1,IF(AP1392&lt;=0,0,CD1392*MAX(1,IF(H1392&gt;0,AP1392/H1392,1))),IF(R1392&gt;0,AQ1392/R1392,0))/MAX(0.1,N(Parameter!$M$21)))</f>
        <v>0.0384615384615385</v>
      </c>
      <c r="AS1392" s="50" t="n">
        <f aca="false">AR1392*CB1392</f>
        <v>9.42307692307692</v>
      </c>
      <c r="AT1392" s="51" t="n">
        <f aca="false">IF(LEFT(Cockpit!$I$5,1)="A",H1392,IF(CH1392=1,(CK1392+CI1392)/2,IF(LEFT(Cockpit!$I$5,1)="B",(CK1392+AV1392)/2,MAX((CK1392+AV1392)/2,H1392))))</f>
        <v>16</v>
      </c>
      <c r="AU1392" s="50" t="n">
        <f aca="false">AT1392*G1392</f>
        <v>1625.12</v>
      </c>
      <c r="AV1392" s="50" t="n">
        <f aca="false">ROUNDUP(CK1392+MAX(CL1392,2*(J1392/IF(CG1392&gt;0,CG1392,MAX(0.1,N(Cockpit!$I$6)))-CK1392)),0)</f>
        <v>2</v>
      </c>
      <c r="AW1392" s="51" t="n">
        <f aca="false">IF(AS1392&gt;0,J1392/AS1392,-1)</f>
        <v>0.212244897959184</v>
      </c>
      <c r="AX1392" s="51" t="n">
        <f aca="false">IF(AND(OR(CF1392="L1",CF1392="L23",CF1392="LIFT"),AS1392&gt;0),SUMIFS($AS$7:$AS$1843,$CF$7:$CF$1843,CF1392,$AW$7:$AW$1843,"&gt;"&amp;AW1392)+SUMIFS($AS$7:$AS$1843,$CF$7:$CF$1843,CF1392,$AW$7:$AW$1843,AW1392,$BW$7:$BW$1843,"&lt;="&amp;BW1392),"")</f>
        <v>15231.0746336996</v>
      </c>
      <c r="AY1392" s="58" t="n">
        <f aca="false">IF(AX1392="",0,MAX(0,MIN(1,(IF(CF1392="L1",Parameter!$H$5,IF(CF1392="L23",Parameter!$H$6+Parameter!$H$7,Parameter!$H$5+Parameter!$H$6+Parameter!$H$7))-(AX1392-AS1392))/AS1392)))</f>
        <v>1</v>
      </c>
      <c r="AZ1392" s="50" t="n">
        <f aca="false">IF(LEFT(Cockpit!$O$5,1)="A",H1392,IF(Parameter!$E$30="MAX-Bestand",IF(CH1392=1,CI1392,IF(LEFT(Cockpit!$O$5,1)="B",BF1392,MAX(BF1392,H1392))),ROUNDUP(BD1392,0)))</f>
        <v>1</v>
      </c>
      <c r="BA1392" s="50" t="n">
        <f aca="false">IF(BZ1392=1,0,ROUNDUP(AZ1392/BY1392,0))</f>
        <v>1</v>
      </c>
      <c r="BB1392" s="52" t="n">
        <f aca="false">IF(CQ1392&gt;0,CQ1392*MAX(1,AZ1392/X1392),IF(BZ1392=1,IF(AZ1392&lt;=0,0,CD1392*MAX(1,IF(H1392&gt;0,AZ1392/H1392,1))),IF(R1392&gt;0,BA1392/R1392,0))/MAX(0.1,N(Parameter!$M$21)))</f>
        <v>0.0384615384615385</v>
      </c>
      <c r="BC1392" s="50" t="n">
        <f aca="false">BB1392*CB1392</f>
        <v>9.42307692307692</v>
      </c>
      <c r="BD1392" s="51" t="n">
        <f aca="false">IF(LEFT(Cockpit!$O$5,1)="A",H1392,IF(CH1392=1,(CK1392+CI1392)/2,IF(LEFT(Cockpit!$O$5,1)="B",(CK1392+BF1392)/2,MAX((CK1392+BF1392)/2,H1392))))</f>
        <v>0.5</v>
      </c>
      <c r="BE1392" s="50" t="n">
        <f aca="false">BD1392*G1392</f>
        <v>50.785</v>
      </c>
      <c r="BF1392" s="50" t="n">
        <f aca="false">ROUNDUP(CK1392+MAX(CL1392,2*(J1392/IF(CG1392&gt;0,CG1392,MAX(0.1,N(Cockpit!$O$6)))-CK1392)),0)</f>
        <v>1</v>
      </c>
      <c r="BG1392" s="51" t="n">
        <f aca="false">IF(BC1392&gt;0,J1392/BC1392,-1)</f>
        <v>0.212244897959184</v>
      </c>
      <c r="BH1392" s="51" t="n">
        <f aca="false">IF(AND(OR(CF1392="L1",CF1392="L23",CF1392="LIFT"),BC1392&gt;0),SUMIFS($BC$7:$BC$1843,$CF$7:$CF$1843,CF1392,$BG$7:$BG$1843,"&gt;"&amp;BG1392)+SUMIFS($BC$7:$BC$1843,$CF$7:$CF$1843,CF1392,$BG$7:$BG$1843,BG1392,$BW$7:$BW$1843,"&lt;="&amp;BW1392),"")</f>
        <v>12382.7825091575</v>
      </c>
      <c r="BI1392" s="58" t="n">
        <f aca="false">IF(BH1392="",0,MAX(0,MIN(1,(IF(CF1392="L1",Parameter!$H$5,IF(CF1392="L23",Parameter!$H$6+Parameter!$H$7,Parameter!$H$5+Parameter!$H$6+Parameter!$H$7))-(BH1392-BC1392))/BC1392)))</f>
        <v>1</v>
      </c>
      <c r="BJ1392" s="48" t="str">
        <f aca="false">IF(AI1392&lt;=0,"",IF(CF1392="Aussen","Aussenlager",IF(CF1392="-","Nicht im Lift",IF(AO1392&gt;=1,"Lift",IF(AO1392&lt;=0,"Aussenlager","teilweise")))))</f>
        <v>Lift</v>
      </c>
      <c r="BK1392" s="48" t="str">
        <f aca="false">IF(AS1392&lt;=0,"",IF(CF1392="Aussen","Aussenlager",IF(CF1392="-","Nicht im Lift",IF(AY1392&gt;=1,"Lift",IF(AY1392&lt;=0,"Aussenlager","teilweise")))))</f>
        <v>Lift</v>
      </c>
      <c r="BL1392" s="48" t="str">
        <f aca="false">IF(BC1392&lt;=0,"",IF(CF1392="Aussen","Aussenlager",IF(CF1392="-","Nicht im Lift",IF(BI1392&gt;=1,"Lift",IF(BI1392&lt;=0,"Aussenlager","teilweise")))))</f>
        <v>Lift</v>
      </c>
      <c r="BM1392" s="48" t="str">
        <f aca="false">IF(A1392="","",IF(BV1392=1,"Neu; ","")&amp;IF(AND(BV1392=0,BQ1392&lt;0),"negativer Bestand (Export "&amp;BQ1392&amp;"); ","")&amp;IF(J1392&lt;=0,"Kein Verbrauch; ","")&amp;IF(CQ1392&gt;0,"Lift "&amp;W1392&amp;" lt. Liftbericht (Fach "&amp;X1392&amp;" Stk); ",IF(CA1392=1,"Gebinde geschätzt ("&amp;T1392&amp;"); ",IF(BZ1392=1,"Lose – Tablare geschätzt; ","")))&amp;IF(H1392&gt;AV1392,"Überbestand "&amp;ROUND(H1392-AV1392,0)&amp;" Stk / CHF "&amp;ROUND((H1392-AV1392)*G1392,0)&amp;"; ","")&amp;IF(AND(CH1392=1,CI1392&lt;CJ1392),"MAX &lt; MB+LG; ","")&amp;IF(AND(CP1392&gt;0,CO1392*10&gt;CP1392),"zu hoch für Tablar; ","")&amp;IF(AND(BV1392=0,OR(CH1392=1,AA1392&lt;&gt;"",U1392&lt;&gt;"",V1392&lt;&gt;"",AB1392&lt;&gt;"")),"manuell übersteuert; ","")&amp;IF(AND(BZ1392=0,R1392=0),"Gebinde unbekannt / Stellmass fehlt; ","")&amp;IF(AND(BZ1392=0,N(V1392)&lt;=0,N(Q1392)&lt;=0),"Menge pro Gebinde fehlt (Ist = 1 Gebinde); ","")&amp;BU1392)</f>
        <v>negativer Bestand (Export -35); Überbestand 14 Stk / CHF 1422; i.o</v>
      </c>
      <c r="BN1392" s="48"/>
      <c r="BO1392" s="48"/>
      <c r="BP1392" s="55"/>
      <c r="BQ1392" s="50" t="n">
        <v>-35</v>
      </c>
      <c r="BR1392" s="50" t="n">
        <v>51</v>
      </c>
      <c r="BS1392" s="49" t="n">
        <v>-3554.95</v>
      </c>
      <c r="BT1392" s="50" t="n">
        <v>2</v>
      </c>
      <c r="BU1392" s="48" t="s">
        <v>545</v>
      </c>
      <c r="BV1392" s="53" t="n">
        <v>0</v>
      </c>
      <c r="BW1392" s="53" t="n">
        <v>1392</v>
      </c>
      <c r="BX1392" s="48" t="str">
        <f aca="false">IF(U1392&lt;&gt;"",UPPER(TRIM(U1392)),IF(CA1392=1,UPPER(VLOOKUP(T1392,Parameter!$I$27:$K$29,2,0)),IF(P1392="","LOSE",P1392)))</f>
        <v>S52</v>
      </c>
      <c r="BY1392" s="50" t="n">
        <f aca="false">IF(BX1392="LOSE",1,IF(N(V1392)&gt;0,V1392,IF(CA1392=1,MAX(1,N(VLOOKUP(T1392,Parameter!$I$27:$K$29,3,0)),H1392,N(N1392)),IF(N(Q1392)&gt;0,Q1392,MAX(1,H1392)))))</f>
        <v>40</v>
      </c>
      <c r="BZ1392" s="53" t="n">
        <f aca="false">IF(BX1392="LOSE",1,0)</f>
        <v>0</v>
      </c>
      <c r="CA1392" s="53" t="n">
        <f aca="false">IF(AND(U1392="",OR(P1392="",P1392="LOSE"),T1392&lt;&gt;"",N(S1392)&lt;=0,ISNUMBER(MATCH(T1392,Parameter!$I$27:$I$29,0))),1,0)</f>
        <v>0</v>
      </c>
      <c r="CB1392" s="53" t="n">
        <f aca="false">IF(CQ1392&gt;0,INDEX(Parameter!$H$5:$H$7,W1392)/INDEX(Parameter!$E$5:$E$7,W1392),IF(AND(BZ1392=0,N(IFERROR(VLOOKUP(BX1392,'Gebinde-Kategorie'!$A$5:$N$45,14,0),0))&gt;0),VLOOKUP(BX1392,'Gebinde-Kategorie'!$A$5:$N$45,14,0)*10+Parameter!$M$23,Parameter!$M$24))</f>
        <v>245</v>
      </c>
      <c r="CC1392" s="48" t="str">
        <f aca="false">IF(AND(Parameter!$B$19="Ja",E1392&lt;&gt;"",ISNUMBER(MATCH(E1392,Parameter!$I$35:$I$52,0))),VLOOKUP(E1392,Parameter!$I$35:$J$52,2,0),IFERROR(VLOOKUP(D1392,Parameter!$A$35:$C$64,2,0),"Nein"))</f>
        <v>2+3</v>
      </c>
      <c r="CD1392" s="52" t="n">
        <f aca="false">IF(BZ1392=0,0,IF(N(S1392)&gt;0,S1392,IFERROR(VLOOKUP(D1392,Parameter!$A$35:$C$64,3,0)+0,0)))</f>
        <v>0</v>
      </c>
      <c r="CE1392" s="48" t="n">
        <f aca="false">IF(AA1392&lt;&gt;"",AA1392,Z1392)</f>
        <v>3</v>
      </c>
      <c r="CF1392" s="48" t="str">
        <f aca="false">IF(OR(CE1392=1,CE1392=2,CE1392=3),IF(Parameter!$E$27="Ja","LIFT",IF(CE1392=1,"L1","L23")),IF(CE1392="Aussen","Aussen","-"))</f>
        <v>LIFT</v>
      </c>
      <c r="CG1392" s="59" t="n">
        <f aca="false">IF(N(AB1392)&gt;0,AB1392,0)</f>
        <v>0</v>
      </c>
      <c r="CH1392" s="53" t="n">
        <f aca="false">IF(ISNUMBER(AE1392),1,0)</f>
        <v>0</v>
      </c>
      <c r="CI1392" s="50" t="n">
        <f aca="false">N(AE1392)</f>
        <v>0</v>
      </c>
      <c r="CJ1392" s="50" t="n">
        <f aca="false">N(M1392)+N(N1392)</f>
        <v>1</v>
      </c>
      <c r="CK1392" s="50" t="n">
        <f aca="false">N(M1392)</f>
        <v>0</v>
      </c>
      <c r="CL1392" s="50" t="n">
        <f aca="false">N(N1392)</f>
        <v>1</v>
      </c>
      <c r="CM1392" s="50" t="n">
        <f aca="false">ROUNDUP(H1392/BY1392,0)</f>
        <v>1</v>
      </c>
      <c r="CN1392" s="50" t="n">
        <f aca="false">ROUNDUP(CI1392/BY1392,0)</f>
        <v>0</v>
      </c>
      <c r="CO1392" s="53" t="n">
        <f aca="false">IF(BZ1392=1,0,IFERROR(VLOOKUP(BX1392,'Gebinde-Kategorie'!$A$5:$N$45,5,0)+0,0))</f>
        <v>21</v>
      </c>
      <c r="CP1392" s="53" t="n">
        <f aca="false">IFERROR(IF(OR(CE1392=1,CE1392=2,CE1392=3),N(INDEX(Parameter!$I$5:$I$7,CE1392)),0),0)</f>
        <v>0</v>
      </c>
      <c r="CQ1392" s="52" t="n">
        <f aca="false">IF(AND(Parameter!$B$21="Ja",ISNUMBER(W1392),N(X1392)&gt;0),IFERROR(N(INDEX(Parameter!$L$5:$L$7,W1392))*INDEX(Parameter!$E$5:$E$7,W1392)*X1392/SUMIFS($X$7:$X$1843,$W$7:$W$1843,W1392),0),0)</f>
        <v>0</v>
      </c>
    </row>
    <row r="1393" customFormat="false" ht="15" hidden="false" customHeight="false" outlineLevel="0" collapsed="false">
      <c r="A1393" s="48" t="s">
        <v>2457</v>
      </c>
      <c r="B1393" s="48" t="s">
        <v>2458</v>
      </c>
      <c r="C1393" s="48" t="s">
        <v>465</v>
      </c>
      <c r="D1393" s="48" t="s">
        <v>193</v>
      </c>
      <c r="E1393" s="48"/>
      <c r="F1393" s="48" t="s">
        <v>227</v>
      </c>
      <c r="G1393" s="49" t="n">
        <v>1.7</v>
      </c>
      <c r="H1393" s="50" t="n">
        <f aca="false">MAX(0,IF(AND(Parameter!$B$21="Ja",ISNUMBER(Y1393)),Y1393,IF(Parameter!$B$20="Jahresanfang 2025 + Export",BR1393+BQ1393,BQ1393)))</f>
        <v>2096</v>
      </c>
      <c r="I1393" s="50" t="n">
        <f aca="false">H1393*G1393</f>
        <v>3563.2</v>
      </c>
      <c r="J1393" s="50" t="n">
        <f aca="false">BT1393*Parameter!$B$18</f>
        <v>2096</v>
      </c>
      <c r="K1393" s="51" t="n">
        <v>2096</v>
      </c>
      <c r="L1393" s="52" t="n">
        <v>1</v>
      </c>
      <c r="M1393" s="50" t="n">
        <v>244</v>
      </c>
      <c r="N1393" s="50" t="n">
        <v>2095</v>
      </c>
      <c r="O1393" s="53" t="n">
        <v>42</v>
      </c>
      <c r="P1393" s="48" t="s">
        <v>177</v>
      </c>
      <c r="Q1393" s="50"/>
      <c r="R1393" s="53" t="n">
        <f aca="false">IF(BZ1393=1,0,IFERROR(VLOOKUP(BX1393,'Gebinde-Kategorie'!$A$5:$N$45,13,0)+0,0))</f>
        <v>26</v>
      </c>
      <c r="S1393" s="54"/>
      <c r="T1393" s="55" t="s">
        <v>284</v>
      </c>
      <c r="U1393" s="55"/>
      <c r="V1393" s="55"/>
      <c r="W1393" s="48"/>
      <c r="X1393" s="50"/>
      <c r="Y1393" s="50"/>
      <c r="Z1393" s="48" t="n">
        <f aca="false">IF(A1393="","",IF(AND(Parameter!$B$21="Ja",ISNUMBER(W1393)),W1393,IF(CC1393="2+3",IF(ISNUMBER(SEARCH("grosser Artikel",BU1393)),2,IFERROR(VLOOKUP(BX1393,Parameter!$F$35:$G$64,2,0),2)),IF(OR(CC1393="Nein",CC1393=""),"-",CC1393))))</f>
        <v>3</v>
      </c>
      <c r="AA1393" s="55"/>
      <c r="AB1393" s="56"/>
      <c r="AC1393" s="50" t="n">
        <f aca="false">AV1393</f>
        <v>2339</v>
      </c>
      <c r="AD1393" s="50" t="n">
        <f aca="false">MAX(AV1393,H1393)</f>
        <v>2339</v>
      </c>
      <c r="AE1393" s="57"/>
      <c r="AF1393" s="50" t="n">
        <f aca="false">IF(LEFT(Cockpit!$C$5,1)="A",H1393,IF(Parameter!$E$30="MAX-Bestand",IF(CH1393=1,CI1393,IF(LEFT(Cockpit!$C$5,1)="B",AL1393,MAX(AL1393,H1393))),ROUNDUP(AJ1393,0)))</f>
        <v>2096</v>
      </c>
      <c r="AG1393" s="50" t="n">
        <f aca="false">IF(BZ1393=1,0,ROUNDUP(AF1393/BY1393,0))</f>
        <v>1</v>
      </c>
      <c r="AH1393" s="52" t="n">
        <f aca="false">IF(CQ1393&gt;0,CQ1393*MAX(1,AF1393/X1393),IF(BZ1393=1,IF(AF1393&lt;=0,0,CD1393*MAX(1,IF(H1393&gt;0,AF1393/H1393,1))),IF(R1393&gt;0,AG1393/R1393,0))/MAX(0.1,N(Parameter!$M$21)))</f>
        <v>0.0384615384615385</v>
      </c>
      <c r="AI1393" s="50" t="n">
        <f aca="false">AH1393*CB1393</f>
        <v>5.96153846153846</v>
      </c>
      <c r="AJ1393" s="51" t="n">
        <f aca="false">IF(LEFT(Cockpit!$C$5,1)="A",H1393,IF(CH1393=1,(CK1393+CI1393)/2,IF(LEFT(Cockpit!$C$5,1)="B",(CK1393+AL1393)/2,MAX((CK1393+AL1393)/2,H1393))))</f>
        <v>2096</v>
      </c>
      <c r="AK1393" s="50" t="n">
        <f aca="false">AJ1393*G1393</f>
        <v>3563.2</v>
      </c>
      <c r="AL1393" s="50" t="n">
        <f aca="false">ROUNDUP(CK1393+MAX(CL1393,2*(J1393/IF(CG1393&gt;0,CG1393,MAX(0.1,N(Cockpit!$C$6)))-CK1393)),0)</f>
        <v>2339</v>
      </c>
      <c r="AM1393" s="51" t="n">
        <f aca="false">IF(AI1393&gt;0,J1393/AI1393,-1)</f>
        <v>351.587096774194</v>
      </c>
      <c r="AN1393" s="51" t="n">
        <f aca="false">IF(AND(OR(CF1393="L1",CF1393="L23",CF1393="LIFT"),AI1393&gt;0),SUMIFS($AI$7:$AI$1843,$CF$7:$CF$1843,CF1393,$AM$7:$AM$1843,"&gt;"&amp;AM1393)+SUMIFS($AI$7:$AI$1843,$CF$7:$CF$1843,CF1393,$AM$7:$AM$1843,AM1393,$BW$7:$BW$1843,"&lt;="&amp;BW1393),"")</f>
        <v>225.324175824176</v>
      </c>
      <c r="AO1393" s="58" t="n">
        <f aca="false">IF(AN1393="",0,MAX(0,MIN(1,(IF(CF1393="L1",Parameter!$H$5,IF(CF1393="L23",Parameter!$H$6+Parameter!$H$7,Parameter!$H$5+Parameter!$H$6+Parameter!$H$7))-(AN1393-AI1393))/AI1393)))</f>
        <v>1</v>
      </c>
      <c r="AP1393" s="50" t="n">
        <f aca="false">IF(LEFT(Cockpit!$I$5,1)="A",H1393,IF(Parameter!$E$30="MAX-Bestand",IF(CH1393=1,CI1393,IF(LEFT(Cockpit!$I$5,1)="B",AV1393,MAX(AV1393,H1393))),ROUNDUP(AT1393,0)))</f>
        <v>2096</v>
      </c>
      <c r="AQ1393" s="50" t="n">
        <f aca="false">IF(BZ1393=1,0,ROUNDUP(AP1393/BY1393,0))</f>
        <v>1</v>
      </c>
      <c r="AR1393" s="52" t="n">
        <f aca="false">IF(CQ1393&gt;0,CQ1393*MAX(1,AP1393/X1393),IF(BZ1393=1,IF(AP1393&lt;=0,0,CD1393*MAX(1,IF(H1393&gt;0,AP1393/H1393,1))),IF(R1393&gt;0,AQ1393/R1393,0))/MAX(0.1,N(Parameter!$M$21)))</f>
        <v>0.0384615384615385</v>
      </c>
      <c r="AS1393" s="50" t="n">
        <f aca="false">AR1393*CB1393</f>
        <v>5.96153846153846</v>
      </c>
      <c r="AT1393" s="51" t="n">
        <f aca="false">IF(LEFT(Cockpit!$I$5,1)="A",H1393,IF(CH1393=1,(CK1393+CI1393)/2,IF(LEFT(Cockpit!$I$5,1)="B",(CK1393+AV1393)/2,MAX((CK1393+AV1393)/2,H1393))))</f>
        <v>2096</v>
      </c>
      <c r="AU1393" s="50" t="n">
        <f aca="false">AT1393*G1393</f>
        <v>3563.2</v>
      </c>
      <c r="AV1393" s="50" t="n">
        <f aca="false">ROUNDUP(CK1393+MAX(CL1393,2*(J1393/IF(CG1393&gt;0,CG1393,MAX(0.1,N(Cockpit!$I$6)))-CK1393)),0)</f>
        <v>2339</v>
      </c>
      <c r="AW1393" s="51" t="n">
        <f aca="false">IF(AS1393&gt;0,J1393/AS1393,-1)</f>
        <v>351.587096774194</v>
      </c>
      <c r="AX1393" s="51" t="n">
        <f aca="false">IF(AND(OR(CF1393="L1",CF1393="L23",CF1393="LIFT"),AS1393&gt;0),SUMIFS($AS$7:$AS$1843,$CF$7:$CF$1843,CF1393,$AW$7:$AW$1843,"&gt;"&amp;AW1393)+SUMIFS($AS$7:$AS$1843,$CF$7:$CF$1843,CF1393,$AW$7:$AW$1843,AW1393,$BW$7:$BW$1843,"&lt;="&amp;BW1393),"")</f>
        <v>159.540293040293</v>
      </c>
      <c r="AY1393" s="58" t="n">
        <f aca="false">IF(AX1393="",0,MAX(0,MIN(1,(IF(CF1393="L1",Parameter!$H$5,IF(CF1393="L23",Parameter!$H$6+Parameter!$H$7,Parameter!$H$5+Parameter!$H$6+Parameter!$H$7))-(AX1393-AS1393))/AS1393)))</f>
        <v>1</v>
      </c>
      <c r="AZ1393" s="50" t="n">
        <f aca="false">IF(LEFT(Cockpit!$O$5,1)="A",H1393,IF(Parameter!$E$30="MAX-Bestand",IF(CH1393=1,CI1393,IF(LEFT(Cockpit!$O$5,1)="B",BF1393,MAX(BF1393,H1393))),ROUNDUP(BD1393,0)))</f>
        <v>1292</v>
      </c>
      <c r="BA1393" s="50" t="n">
        <f aca="false">IF(BZ1393=1,0,ROUNDUP(AZ1393/BY1393,0))</f>
        <v>1</v>
      </c>
      <c r="BB1393" s="52" t="n">
        <f aca="false">IF(CQ1393&gt;0,CQ1393*MAX(1,AZ1393/X1393),IF(BZ1393=1,IF(AZ1393&lt;=0,0,CD1393*MAX(1,IF(H1393&gt;0,AZ1393/H1393,1))),IF(R1393&gt;0,BA1393/R1393,0))/MAX(0.1,N(Parameter!$M$21)))</f>
        <v>0.0384615384615385</v>
      </c>
      <c r="BC1393" s="50" t="n">
        <f aca="false">BB1393*CB1393</f>
        <v>5.96153846153846</v>
      </c>
      <c r="BD1393" s="51" t="n">
        <f aca="false">IF(LEFT(Cockpit!$O$5,1)="A",H1393,IF(CH1393=1,(CK1393+CI1393)/2,IF(LEFT(Cockpit!$O$5,1)="B",(CK1393+BF1393)/2,MAX((CK1393+BF1393)/2,H1393))))</f>
        <v>1291.5</v>
      </c>
      <c r="BE1393" s="50" t="n">
        <f aca="false">BD1393*G1393</f>
        <v>2195.55</v>
      </c>
      <c r="BF1393" s="50" t="n">
        <f aca="false">ROUNDUP(CK1393+MAX(CL1393,2*(J1393/IF(CG1393&gt;0,CG1393,MAX(0.1,N(Cockpit!$O$6)))-CK1393)),0)</f>
        <v>2339</v>
      </c>
      <c r="BG1393" s="51" t="n">
        <f aca="false">IF(BC1393&gt;0,J1393/BC1393,-1)</f>
        <v>351.587096774194</v>
      </c>
      <c r="BH1393" s="51" t="n">
        <f aca="false">IF(AND(OR(CF1393="L1",CF1393="L23",CF1393="LIFT"),BC1393&gt;0),SUMIFS($BC$7:$BC$1843,$CF$7:$CF$1843,CF1393,$BG$7:$BG$1843,"&gt;"&amp;BG1393)+SUMIFS($BC$7:$BC$1843,$CF$7:$CF$1843,CF1393,$BG$7:$BG$1843,BG1393,$BW$7:$BW$1843,"&lt;="&amp;BW1393),"")</f>
        <v>234.733974358974</v>
      </c>
      <c r="BI1393" s="58" t="n">
        <f aca="false">IF(BH1393="",0,MAX(0,MIN(1,(IF(CF1393="L1",Parameter!$H$5,IF(CF1393="L23",Parameter!$H$6+Parameter!$H$7,Parameter!$H$5+Parameter!$H$6+Parameter!$H$7))-(BH1393-BC1393))/BC1393)))</f>
        <v>1</v>
      </c>
      <c r="BJ1393" s="48" t="str">
        <f aca="false">IF(AI1393&lt;=0,"",IF(CF1393="Aussen","Aussenlager",IF(CF1393="-","Nicht im Lift",IF(AO1393&gt;=1,"Lift",IF(AO1393&lt;=0,"Aussenlager","teilweise")))))</f>
        <v>Lift</v>
      </c>
      <c r="BK1393" s="48" t="str">
        <f aca="false">IF(AS1393&lt;=0,"",IF(CF1393="Aussen","Aussenlager",IF(CF1393="-","Nicht im Lift",IF(AY1393&gt;=1,"Lift",IF(AY1393&lt;=0,"Aussenlager","teilweise")))))</f>
        <v>Lift</v>
      </c>
      <c r="BL1393" s="48" t="str">
        <f aca="false">IF(BC1393&lt;=0,"",IF(CF1393="Aussen","Aussenlager",IF(CF1393="-","Nicht im Lift",IF(BI1393&gt;=1,"Lift",IF(BI1393&lt;=0,"Aussenlager","teilweise")))))</f>
        <v>Lift</v>
      </c>
      <c r="BM1393" s="48" t="str">
        <f aca="false">IF(A1393="","",IF(BV1393=1,"Neu; ","")&amp;IF(AND(BV1393=0,BQ1393&lt;0),"negativer Bestand (Export "&amp;BQ1393&amp;"); ","")&amp;IF(J1393&lt;=0,"Kein Verbrauch; ","")&amp;IF(CQ1393&gt;0,"Lift "&amp;W1393&amp;" lt. Liftbericht (Fach "&amp;X1393&amp;" Stk); ",IF(CA1393=1,"Gebinde geschätzt ("&amp;T1393&amp;"); ",IF(BZ1393=1,"Lose – Tablare geschätzt; ","")))&amp;IF(H1393&gt;AV1393,"Überbestand "&amp;ROUND(H1393-AV1393,0)&amp;" Stk / CHF "&amp;ROUND((H1393-AV1393)*G1393,0)&amp;"; ","")&amp;IF(AND(CH1393=1,CI1393&lt;CJ1393),"MAX &lt; MB+LG; ","")&amp;IF(AND(CP1393&gt;0,CO1393*10&gt;CP1393),"zu hoch für Tablar; ","")&amp;IF(AND(BV1393=0,OR(CH1393=1,AA1393&lt;&gt;"",U1393&lt;&gt;"",V1393&lt;&gt;"",AB1393&lt;&gt;"")),"manuell übersteuert; ","")&amp;IF(AND(BZ1393=0,R1393=0),"Gebinde unbekannt / Stellmass fehlt; ","")&amp;IF(AND(BZ1393=0,N(V1393)&lt;=0,N(Q1393)&lt;=0),"Menge pro Gebinde fehlt (Ist = 1 Gebinde); ","")&amp;BU1393)</f>
        <v>negativer Bestand (Export -2096); Gebinde geschätzt (Klein); Menge pro Gebinde fehlt (Ist = 1 Gebinde); </v>
      </c>
      <c r="BN1393" s="48"/>
      <c r="BO1393" s="48"/>
      <c r="BP1393" s="55"/>
      <c r="BQ1393" s="50" t="n">
        <v>-2096</v>
      </c>
      <c r="BR1393" s="50" t="n">
        <v>4192</v>
      </c>
      <c r="BS1393" s="49" t="n">
        <v>-3563.2</v>
      </c>
      <c r="BT1393" s="50" t="n">
        <v>2096</v>
      </c>
      <c r="BU1393" s="48"/>
      <c r="BV1393" s="53" t="n">
        <v>0</v>
      </c>
      <c r="BW1393" s="53" t="n">
        <v>1393</v>
      </c>
      <c r="BX1393" s="48" t="str">
        <f aca="false">IF(U1393&lt;&gt;"",UPPER(TRIM(U1393)),IF(CA1393=1,UPPER(VLOOKUP(T1393,Parameter!$I$27:$K$29,2,0)),IF(P1393="","LOSE",P1393)))</f>
        <v>S51</v>
      </c>
      <c r="BY1393" s="50" t="n">
        <f aca="false">IF(BX1393="LOSE",1,IF(N(V1393)&gt;0,V1393,IF(CA1393=1,MAX(1,N(VLOOKUP(T1393,Parameter!$I$27:$K$29,3,0)),H1393,N(N1393)),IF(N(Q1393)&gt;0,Q1393,MAX(1,H1393)))))</f>
        <v>2096</v>
      </c>
      <c r="BZ1393" s="53" t="n">
        <f aca="false">IF(BX1393="LOSE",1,0)</f>
        <v>0</v>
      </c>
      <c r="CA1393" s="53" t="n">
        <f aca="false">IF(AND(U1393="",OR(P1393="",P1393="LOSE"),T1393&lt;&gt;"",N(S1393)&lt;=0,ISNUMBER(MATCH(T1393,Parameter!$I$27:$I$29,0))),1,0)</f>
        <v>1</v>
      </c>
      <c r="CB1393" s="53" t="n">
        <f aca="false">IF(CQ1393&gt;0,INDEX(Parameter!$H$5:$H$7,W1393)/INDEX(Parameter!$E$5:$E$7,W1393),IF(AND(BZ1393=0,N(IFERROR(VLOOKUP(BX1393,'Gebinde-Kategorie'!$A$5:$N$45,14,0),0))&gt;0),VLOOKUP(BX1393,'Gebinde-Kategorie'!$A$5:$N$45,14,0)*10+Parameter!$M$23,Parameter!$M$24))</f>
        <v>155</v>
      </c>
      <c r="CC1393" s="48" t="str">
        <f aca="false">IF(AND(Parameter!$B$19="Ja",E1393&lt;&gt;"",ISNUMBER(MATCH(E1393,Parameter!$I$35:$I$52,0))),VLOOKUP(E1393,Parameter!$I$35:$J$52,2,0),IFERROR(VLOOKUP(D1393,Parameter!$A$35:$C$64,2,0),"Nein"))</f>
        <v>2+3</v>
      </c>
      <c r="CD1393" s="52" t="n">
        <f aca="false">IF(BZ1393=0,0,IF(N(S1393)&gt;0,S1393,IFERROR(VLOOKUP(D1393,Parameter!$A$35:$C$64,3,0)+0,0)))</f>
        <v>0</v>
      </c>
      <c r="CE1393" s="48" t="n">
        <f aca="false">IF(AA1393&lt;&gt;"",AA1393,Z1393)</f>
        <v>3</v>
      </c>
      <c r="CF1393" s="48" t="str">
        <f aca="false">IF(OR(CE1393=1,CE1393=2,CE1393=3),IF(Parameter!$E$27="Ja","LIFT",IF(CE1393=1,"L1","L23")),IF(CE1393="Aussen","Aussen","-"))</f>
        <v>LIFT</v>
      </c>
      <c r="CG1393" s="59" t="n">
        <f aca="false">IF(N(AB1393)&gt;0,AB1393,0)</f>
        <v>0</v>
      </c>
      <c r="CH1393" s="53" t="n">
        <f aca="false">IF(ISNUMBER(AE1393),1,0)</f>
        <v>0</v>
      </c>
      <c r="CI1393" s="50" t="n">
        <f aca="false">N(AE1393)</f>
        <v>0</v>
      </c>
      <c r="CJ1393" s="50" t="n">
        <f aca="false">N(M1393)+N(N1393)</f>
        <v>2339</v>
      </c>
      <c r="CK1393" s="50" t="n">
        <f aca="false">N(M1393)</f>
        <v>244</v>
      </c>
      <c r="CL1393" s="50" t="n">
        <f aca="false">N(N1393)</f>
        <v>2095</v>
      </c>
      <c r="CM1393" s="50" t="n">
        <f aca="false">ROUNDUP(H1393/BY1393,0)</f>
        <v>1</v>
      </c>
      <c r="CN1393" s="50" t="n">
        <f aca="false">ROUNDUP(CI1393/BY1393,0)</f>
        <v>0</v>
      </c>
      <c r="CO1393" s="53" t="n">
        <f aca="false">IF(BZ1393=1,0,IFERROR(VLOOKUP(BX1393,'Gebinde-Kategorie'!$A$5:$N$45,5,0)+0,0))</f>
        <v>11</v>
      </c>
      <c r="CP1393" s="53" t="n">
        <f aca="false">IFERROR(IF(OR(CE1393=1,CE1393=2,CE1393=3),N(INDEX(Parameter!$I$5:$I$7,CE1393)),0),0)</f>
        <v>0</v>
      </c>
      <c r="CQ1393" s="52" t="n">
        <f aca="false">IF(AND(Parameter!$B$21="Ja",ISNUMBER(W1393),N(X1393)&gt;0),IFERROR(N(INDEX(Parameter!$L$5:$L$7,W1393))*INDEX(Parameter!$E$5:$E$7,W1393)*X1393/SUMIFS($X$7:$X$1843,$W$7:$W$1843,W1393),0),0)</f>
        <v>0</v>
      </c>
    </row>
    <row r="1394" customFormat="false" ht="15" hidden="false" customHeight="false" outlineLevel="0" collapsed="false">
      <c r="A1394" s="48" t="s">
        <v>2459</v>
      </c>
      <c r="B1394" s="48" t="s">
        <v>2460</v>
      </c>
      <c r="C1394" s="48" t="s">
        <v>173</v>
      </c>
      <c r="D1394" s="48" t="s">
        <v>182</v>
      </c>
      <c r="E1394" s="48" t="s">
        <v>194</v>
      </c>
      <c r="F1394" s="48" t="s">
        <v>227</v>
      </c>
      <c r="G1394" s="49" t="n">
        <v>603.8</v>
      </c>
      <c r="H1394" s="50" t="n">
        <f aca="false">MAX(0,IF(AND(Parameter!$B$21="Ja",ISNUMBER(Y1394)),Y1394,IF(Parameter!$B$20="Jahresanfang 2025 + Export",BR1394+BQ1394,BQ1394)))</f>
        <v>3</v>
      </c>
      <c r="I1394" s="50" t="n">
        <f aca="false">H1394*G1394</f>
        <v>1811.4</v>
      </c>
      <c r="J1394" s="50" t="n">
        <f aca="false">BT1394*Parameter!$B$18</f>
        <v>9</v>
      </c>
      <c r="K1394" s="51" t="n">
        <v>8.5</v>
      </c>
      <c r="L1394" s="52" t="n">
        <v>1.05882352941177</v>
      </c>
      <c r="M1394" s="50" t="n">
        <v>1</v>
      </c>
      <c r="N1394" s="50" t="n">
        <v>5</v>
      </c>
      <c r="O1394" s="53" t="n">
        <v>28</v>
      </c>
      <c r="P1394" s="48" t="s">
        <v>183</v>
      </c>
      <c r="Q1394" s="50" t="n">
        <v>4</v>
      </c>
      <c r="R1394" s="53" t="n">
        <f aca="false">IF(BZ1394=1,0,IFERROR(VLOOKUP(BX1394,'Gebinde-Kategorie'!$A$5:$N$45,13,0)+0,0))</f>
        <v>6</v>
      </c>
      <c r="S1394" s="54"/>
      <c r="T1394" s="55"/>
      <c r="U1394" s="55"/>
      <c r="V1394" s="55"/>
      <c r="W1394" s="48"/>
      <c r="X1394" s="50"/>
      <c r="Y1394" s="50"/>
      <c r="Z1394" s="48" t="n">
        <f aca="false">IF(A1394="","",IF(AND(Parameter!$B$21="Ja",ISNUMBER(W1394)),W1394,IF(CC1394="2+3",IF(ISNUMBER(SEARCH("grosser Artikel",BU1394)),2,IFERROR(VLOOKUP(BX1394,Parameter!$F$35:$G$64,2,0),2)),IF(OR(CC1394="Nein",CC1394=""),"-",CC1394))))</f>
        <v>2</v>
      </c>
      <c r="AA1394" s="55"/>
      <c r="AB1394" s="56"/>
      <c r="AC1394" s="50" t="n">
        <f aca="false">AV1394</f>
        <v>6</v>
      </c>
      <c r="AD1394" s="50" t="n">
        <f aca="false">MAX(AV1394,H1394)</f>
        <v>6</v>
      </c>
      <c r="AE1394" s="57"/>
      <c r="AF1394" s="50" t="n">
        <f aca="false">IF(LEFT(Cockpit!$C$5,1)="A",H1394,IF(Parameter!$E$30="MAX-Bestand",IF(CH1394=1,CI1394,IF(LEFT(Cockpit!$C$5,1)="B",AL1394,MAX(AL1394,H1394))),ROUNDUP(AJ1394,0)))</f>
        <v>3</v>
      </c>
      <c r="AG1394" s="50" t="n">
        <f aca="false">IF(BZ1394=1,0,ROUNDUP(AF1394/BY1394,0))</f>
        <v>1</v>
      </c>
      <c r="AH1394" s="52" t="n">
        <f aca="false">IF(CQ1394&gt;0,CQ1394*MAX(1,AF1394/X1394),IF(BZ1394=1,IF(AF1394&lt;=0,0,CD1394*MAX(1,IF(H1394&gt;0,AF1394/H1394,1))),IF(R1394&gt;0,AG1394/R1394,0))/MAX(0.1,N(Parameter!$M$21)))</f>
        <v>0.166666666666667</v>
      </c>
      <c r="AI1394" s="50" t="n">
        <f aca="false">AH1394*CB1394</f>
        <v>39.1666666666667</v>
      </c>
      <c r="AJ1394" s="51" t="n">
        <f aca="false">IF(LEFT(Cockpit!$C$5,1)="A",H1394,IF(CH1394=1,(CK1394+CI1394)/2,IF(LEFT(Cockpit!$C$5,1)="B",(CK1394+AL1394)/2,MAX((CK1394+AL1394)/2,H1394))))</f>
        <v>3</v>
      </c>
      <c r="AK1394" s="50" t="n">
        <f aca="false">AJ1394*G1394</f>
        <v>1811.4</v>
      </c>
      <c r="AL1394" s="50" t="n">
        <f aca="false">ROUNDUP(CK1394+MAX(CL1394,2*(J1394/IF(CG1394&gt;0,CG1394,MAX(0.1,N(Cockpit!$C$6)))-CK1394)),0)</f>
        <v>6</v>
      </c>
      <c r="AM1394" s="51" t="n">
        <f aca="false">IF(AI1394&gt;0,J1394/AI1394,-1)</f>
        <v>0.229787234042553</v>
      </c>
      <c r="AN1394" s="51" t="n">
        <f aca="false">IF(AND(OR(CF1394="L1",CF1394="L23",CF1394="LIFT"),AI1394&gt;0),SUMIFS($AI$7:$AI$1843,$CF$7:$CF$1843,CF1394,$AM$7:$AM$1843,"&gt;"&amp;AM1394)+SUMIFS($AI$7:$AI$1843,$CF$7:$CF$1843,CF1394,$AM$7:$AM$1843,AM1394,$BW$7:$BW$1843,"&lt;="&amp;BW1394),"")</f>
        <v>12069.8535962625</v>
      </c>
      <c r="AO1394" s="58" t="n">
        <f aca="false">IF(AN1394="",0,MAX(0,MIN(1,(IF(CF1394="L1",Parameter!$H$5,IF(CF1394="L23",Parameter!$H$6+Parameter!$H$7,Parameter!$H$5+Parameter!$H$6+Parameter!$H$7))-(AN1394-AI1394))/AI1394)))</f>
        <v>1</v>
      </c>
      <c r="AP1394" s="50" t="n">
        <f aca="false">IF(LEFT(Cockpit!$I$5,1)="A",H1394,IF(Parameter!$E$30="MAX-Bestand",IF(CH1394=1,CI1394,IF(LEFT(Cockpit!$I$5,1)="B",AV1394,MAX(AV1394,H1394))),ROUNDUP(AT1394,0)))</f>
        <v>4</v>
      </c>
      <c r="AQ1394" s="50" t="n">
        <f aca="false">IF(BZ1394=1,0,ROUNDUP(AP1394/BY1394,0))</f>
        <v>1</v>
      </c>
      <c r="AR1394" s="52" t="n">
        <f aca="false">IF(CQ1394&gt;0,CQ1394*MAX(1,AP1394/X1394),IF(BZ1394=1,IF(AP1394&lt;=0,0,CD1394*MAX(1,IF(H1394&gt;0,AP1394/H1394,1))),IF(R1394&gt;0,AQ1394/R1394,0))/MAX(0.1,N(Parameter!$M$21)))</f>
        <v>0.166666666666667</v>
      </c>
      <c r="AS1394" s="50" t="n">
        <f aca="false">AR1394*CB1394</f>
        <v>39.1666666666667</v>
      </c>
      <c r="AT1394" s="51" t="n">
        <f aca="false">IF(LEFT(Cockpit!$I$5,1)="A",H1394,IF(CH1394=1,(CK1394+CI1394)/2,IF(LEFT(Cockpit!$I$5,1)="B",(CK1394+AV1394)/2,MAX((CK1394+AV1394)/2,H1394))))</f>
        <v>3.5</v>
      </c>
      <c r="AU1394" s="50" t="n">
        <f aca="false">AT1394*G1394</f>
        <v>2113.3</v>
      </c>
      <c r="AV1394" s="50" t="n">
        <f aca="false">ROUNDUP(CK1394+MAX(CL1394,2*(J1394/IF(CG1394&gt;0,CG1394,MAX(0.1,N(Cockpit!$I$6)))-CK1394)),0)</f>
        <v>6</v>
      </c>
      <c r="AW1394" s="51" t="n">
        <f aca="false">IF(AS1394&gt;0,J1394/AS1394,-1)</f>
        <v>0.229787234042553</v>
      </c>
      <c r="AX1394" s="51" t="n">
        <f aca="false">IF(AND(OR(CF1394="L1",CF1394="L23",CF1394="LIFT"),AS1394&gt;0),SUMIFS($AS$7:$AS$1843,$CF$7:$CF$1843,CF1394,$AW$7:$AW$1843,"&gt;"&amp;AW1394)+SUMIFS($AS$7:$AS$1843,$CF$7:$CF$1843,CF1394,$AW$7:$AW$1843,AW1394,$BW$7:$BW$1843,"&lt;="&amp;BW1394),"")</f>
        <v>15146.7477106227</v>
      </c>
      <c r="AY1394" s="58" t="n">
        <f aca="false">IF(AX1394="",0,MAX(0,MIN(1,(IF(CF1394="L1",Parameter!$H$5,IF(CF1394="L23",Parameter!$H$6+Parameter!$H$7,Parameter!$H$5+Parameter!$H$6+Parameter!$H$7))-(AX1394-AS1394))/AS1394)))</f>
        <v>1</v>
      </c>
      <c r="AZ1394" s="50" t="n">
        <f aca="false">IF(LEFT(Cockpit!$O$5,1)="A",H1394,IF(Parameter!$E$30="MAX-Bestand",IF(CH1394=1,CI1394,IF(LEFT(Cockpit!$O$5,1)="B",BF1394,MAX(BF1394,H1394))),ROUNDUP(BD1394,0)))</f>
        <v>4</v>
      </c>
      <c r="BA1394" s="50" t="n">
        <f aca="false">IF(BZ1394=1,0,ROUNDUP(AZ1394/BY1394,0))</f>
        <v>1</v>
      </c>
      <c r="BB1394" s="52" t="n">
        <f aca="false">IF(CQ1394&gt;0,CQ1394*MAX(1,AZ1394/X1394),IF(BZ1394=1,IF(AZ1394&lt;=0,0,CD1394*MAX(1,IF(H1394&gt;0,AZ1394/H1394,1))),IF(R1394&gt;0,BA1394/R1394,0))/MAX(0.1,N(Parameter!$M$21)))</f>
        <v>0.166666666666667</v>
      </c>
      <c r="BC1394" s="50" t="n">
        <f aca="false">BB1394*CB1394</f>
        <v>39.1666666666667</v>
      </c>
      <c r="BD1394" s="51" t="n">
        <f aca="false">IF(LEFT(Cockpit!$O$5,1)="A",H1394,IF(CH1394=1,(CK1394+CI1394)/2,IF(LEFT(Cockpit!$O$5,1)="B",(CK1394+BF1394)/2,MAX((CK1394+BF1394)/2,H1394))))</f>
        <v>3.5</v>
      </c>
      <c r="BE1394" s="50" t="n">
        <f aca="false">BD1394*G1394</f>
        <v>2113.3</v>
      </c>
      <c r="BF1394" s="50" t="n">
        <f aca="false">ROUNDUP(CK1394+MAX(CL1394,2*(J1394/IF(CG1394&gt;0,CG1394,MAX(0.1,N(Cockpit!$O$6)))-CK1394)),0)</f>
        <v>6</v>
      </c>
      <c r="BG1394" s="51" t="n">
        <f aca="false">IF(BC1394&gt;0,J1394/BC1394,-1)</f>
        <v>0.229787234042553</v>
      </c>
      <c r="BH1394" s="51" t="n">
        <f aca="false">IF(AND(OR(CF1394="L1",CF1394="L23",CF1394="LIFT"),BC1394&gt;0),SUMIFS($BC$7:$BC$1843,$CF$7:$CF$1843,CF1394,$BG$7:$BG$1843,"&gt;"&amp;BG1394)+SUMIFS($BC$7:$BC$1843,$CF$7:$CF$1843,CF1394,$BG$7:$BG$1843,BG1394,$BW$7:$BW$1843,"&lt;="&amp;BW1394),"")</f>
        <v>12297.9748168498</v>
      </c>
      <c r="BI1394" s="58" t="n">
        <f aca="false">IF(BH1394="",0,MAX(0,MIN(1,(IF(CF1394="L1",Parameter!$H$5,IF(CF1394="L23",Parameter!$H$6+Parameter!$H$7,Parameter!$H$5+Parameter!$H$6+Parameter!$H$7))-(BH1394-BC1394))/BC1394)))</f>
        <v>1</v>
      </c>
      <c r="BJ1394" s="48" t="str">
        <f aca="false">IF(AI1394&lt;=0,"",IF(CF1394="Aussen","Aussenlager",IF(CF1394="-","Nicht im Lift",IF(AO1394&gt;=1,"Lift",IF(AO1394&lt;=0,"Aussenlager","teilweise")))))</f>
        <v>Lift</v>
      </c>
      <c r="BK1394" s="48" t="str">
        <f aca="false">IF(AS1394&lt;=0,"",IF(CF1394="Aussen","Aussenlager",IF(CF1394="-","Nicht im Lift",IF(AY1394&gt;=1,"Lift",IF(AY1394&lt;=0,"Aussenlager","teilweise")))))</f>
        <v>Lift</v>
      </c>
      <c r="BL1394" s="48" t="str">
        <f aca="false">IF(BC1394&lt;=0,"",IF(CF1394="Aussen","Aussenlager",IF(CF1394="-","Nicht im Lift",IF(BI1394&gt;=1,"Lift",IF(BI1394&lt;=0,"Aussenlager","teilweise")))))</f>
        <v>Lift</v>
      </c>
      <c r="BM1394" s="48" t="str">
        <f aca="false">IF(A1394="","",IF(BV1394=1,"Neu; ","")&amp;IF(AND(BV1394=0,BQ1394&lt;0),"negativer Bestand (Export "&amp;BQ1394&amp;"); ","")&amp;IF(J1394&lt;=0,"Kein Verbrauch; ","")&amp;IF(CQ1394&gt;0,"Lift "&amp;W1394&amp;" lt. Liftbericht (Fach "&amp;X1394&amp;" Stk); ",IF(CA1394=1,"Gebinde geschätzt ("&amp;T1394&amp;"); ",IF(BZ1394=1,"Lose – Tablare geschätzt; ","")))&amp;IF(H1394&gt;AV1394,"Überbestand "&amp;ROUND(H1394-AV1394,0)&amp;" Stk / CHF "&amp;ROUND((H1394-AV1394)*G1394,0)&amp;"; ","")&amp;IF(AND(CH1394=1,CI1394&lt;CJ1394),"MAX &lt; MB+LG; ","")&amp;IF(AND(CP1394&gt;0,CO1394*10&gt;CP1394),"zu hoch für Tablar; ","")&amp;IF(AND(BV1394=0,OR(CH1394=1,AA1394&lt;&gt;"",U1394&lt;&gt;"",V1394&lt;&gt;"",AB1394&lt;&gt;"")),"manuell übersteuert; ","")&amp;IF(AND(BZ1394=0,R1394=0),"Gebinde unbekannt / Stellmass fehlt; ","")&amp;IF(AND(BZ1394=0,N(V1394)&lt;=0,N(Q1394)&lt;=0),"Menge pro Gebinde fehlt (Ist = 1 Gebinde); ","")&amp;BU1394)</f>
        <v>negativer Bestand (Export -6); nicht im KTL vorhanden</v>
      </c>
      <c r="BN1394" s="48"/>
      <c r="BO1394" s="48"/>
      <c r="BP1394" s="55"/>
      <c r="BQ1394" s="50" t="n">
        <v>-6</v>
      </c>
      <c r="BR1394" s="50" t="n">
        <v>9</v>
      </c>
      <c r="BS1394" s="49" t="n">
        <v>-3619.38</v>
      </c>
      <c r="BT1394" s="50" t="n">
        <v>9</v>
      </c>
      <c r="BU1394" s="48" t="s">
        <v>239</v>
      </c>
      <c r="BV1394" s="53" t="n">
        <v>0</v>
      </c>
      <c r="BW1394" s="53" t="n">
        <v>1394</v>
      </c>
      <c r="BX1394" s="48" t="str">
        <f aca="false">IF(U1394&lt;&gt;"",UPPER(TRIM(U1394)),IF(CA1394=1,UPPER(VLOOKUP(T1394,Parameter!$I$27:$K$29,2,0)),IF(P1394="","LOSE",P1394)))</f>
        <v>S71</v>
      </c>
      <c r="BY1394" s="50" t="n">
        <f aca="false">IF(BX1394="LOSE",1,IF(N(V1394)&gt;0,V1394,IF(CA1394=1,MAX(1,N(VLOOKUP(T1394,Parameter!$I$27:$K$29,3,0)),H1394,N(N1394)),IF(N(Q1394)&gt;0,Q1394,MAX(1,H1394)))))</f>
        <v>4</v>
      </c>
      <c r="BZ1394" s="53" t="n">
        <f aca="false">IF(BX1394="LOSE",1,0)</f>
        <v>0</v>
      </c>
      <c r="CA1394" s="53" t="n">
        <f aca="false">IF(AND(U1394="",OR(P1394="",P1394="LOSE"),T1394&lt;&gt;"",N(S1394)&lt;=0,ISNUMBER(MATCH(T1394,Parameter!$I$27:$I$29,0))),1,0)</f>
        <v>0</v>
      </c>
      <c r="CB1394" s="53" t="n">
        <f aca="false">IF(CQ1394&gt;0,INDEX(Parameter!$H$5:$H$7,W1394)/INDEX(Parameter!$E$5:$E$7,W1394),IF(AND(BZ1394=0,N(IFERROR(VLOOKUP(BX1394,'Gebinde-Kategorie'!$A$5:$N$45,14,0),0))&gt;0),VLOOKUP(BX1394,'Gebinde-Kategorie'!$A$5:$N$45,14,0)*10+Parameter!$M$23,Parameter!$M$24))</f>
        <v>235</v>
      </c>
      <c r="CC1394" s="48" t="str">
        <f aca="false">IF(AND(Parameter!$B$19="Ja",E1394&lt;&gt;"",ISNUMBER(MATCH(E1394,Parameter!$I$35:$I$52,0))),VLOOKUP(E1394,Parameter!$I$35:$J$52,2,0),IFERROR(VLOOKUP(D1394,Parameter!$A$35:$C$64,2,0),"Nein"))</f>
        <v>2+3</v>
      </c>
      <c r="CD1394" s="52" t="n">
        <f aca="false">IF(BZ1394=0,0,IF(N(S1394)&gt;0,S1394,IFERROR(VLOOKUP(D1394,Parameter!$A$35:$C$64,3,0)+0,0)))</f>
        <v>0</v>
      </c>
      <c r="CE1394" s="48" t="n">
        <f aca="false">IF(AA1394&lt;&gt;"",AA1394,Z1394)</f>
        <v>2</v>
      </c>
      <c r="CF1394" s="48" t="str">
        <f aca="false">IF(OR(CE1394=1,CE1394=2,CE1394=3),IF(Parameter!$E$27="Ja","LIFT",IF(CE1394=1,"L1","L23")),IF(CE1394="Aussen","Aussen","-"))</f>
        <v>LIFT</v>
      </c>
      <c r="CG1394" s="59" t="n">
        <f aca="false">IF(N(AB1394)&gt;0,AB1394,0)</f>
        <v>0</v>
      </c>
      <c r="CH1394" s="53" t="n">
        <f aca="false">IF(ISNUMBER(AE1394),1,0)</f>
        <v>0</v>
      </c>
      <c r="CI1394" s="50" t="n">
        <f aca="false">N(AE1394)</f>
        <v>0</v>
      </c>
      <c r="CJ1394" s="50" t="n">
        <f aca="false">N(M1394)+N(N1394)</f>
        <v>6</v>
      </c>
      <c r="CK1394" s="50" t="n">
        <f aca="false">N(M1394)</f>
        <v>1</v>
      </c>
      <c r="CL1394" s="50" t="n">
        <f aca="false">N(N1394)</f>
        <v>5</v>
      </c>
      <c r="CM1394" s="50" t="n">
        <f aca="false">ROUNDUP(H1394/BY1394,0)</f>
        <v>1</v>
      </c>
      <c r="CN1394" s="50" t="n">
        <f aca="false">ROUNDUP(CI1394/BY1394,0)</f>
        <v>0</v>
      </c>
      <c r="CO1394" s="53" t="n">
        <f aca="false">IF(BZ1394=1,0,IFERROR(VLOOKUP(BX1394,'Gebinde-Kategorie'!$A$5:$N$45,5,0)+0,0))</f>
        <v>20</v>
      </c>
      <c r="CP1394" s="53" t="n">
        <f aca="false">IFERROR(IF(OR(CE1394=1,CE1394=2,CE1394=3),N(INDEX(Parameter!$I$5:$I$7,CE1394)),0),0)</f>
        <v>0</v>
      </c>
      <c r="CQ1394" s="52" t="n">
        <f aca="false">IF(AND(Parameter!$B$21="Ja",ISNUMBER(W1394),N(X1394)&gt;0),IFERROR(N(INDEX(Parameter!$L$5:$L$7,W1394))*INDEX(Parameter!$E$5:$E$7,W1394)*X1394/SUMIFS($X$7:$X$1843,$W$7:$W$1843,W1394),0),0)</f>
        <v>0</v>
      </c>
    </row>
    <row r="1395" customFormat="false" ht="15" hidden="false" customHeight="false" outlineLevel="0" collapsed="false">
      <c r="A1395" s="48" t="s">
        <v>2461</v>
      </c>
      <c r="B1395" s="48" t="s">
        <v>2462</v>
      </c>
      <c r="C1395" s="48" t="s">
        <v>173</v>
      </c>
      <c r="D1395" s="48" t="s">
        <v>193</v>
      </c>
      <c r="E1395" s="48"/>
      <c r="F1395" s="48" t="s">
        <v>227</v>
      </c>
      <c r="G1395" s="49" t="n">
        <v>92.69</v>
      </c>
      <c r="H1395" s="50" t="n">
        <f aca="false">MAX(0,IF(AND(Parameter!$B$21="Ja",ISNUMBER(Y1395)),Y1395,IF(Parameter!$B$20="Jahresanfang 2025 + Export",BR1395+BQ1395,BQ1395)))</f>
        <v>35</v>
      </c>
      <c r="I1395" s="50" t="n">
        <f aca="false">H1395*G1395</f>
        <v>3244.15</v>
      </c>
      <c r="J1395" s="50" t="n">
        <f aca="false">BT1395*Parameter!$B$18</f>
        <v>2</v>
      </c>
      <c r="K1395" s="51" t="n">
        <v>76</v>
      </c>
      <c r="L1395" s="52" t="n">
        <v>0.0263157894736842</v>
      </c>
      <c r="M1395" s="50" t="n">
        <v>0</v>
      </c>
      <c r="N1395" s="50" t="n">
        <v>1</v>
      </c>
      <c r="O1395" s="53" t="n">
        <v>28</v>
      </c>
      <c r="P1395" s="48" t="s">
        <v>311</v>
      </c>
      <c r="Q1395" s="50" t="n">
        <v>60</v>
      </c>
      <c r="R1395" s="53" t="n">
        <f aca="false">IF(BZ1395=1,0,IFERROR(VLOOKUP(BX1395,'Gebinde-Kategorie'!$A$5:$N$45,13,0)+0,0))</f>
        <v>26</v>
      </c>
      <c r="S1395" s="54"/>
      <c r="T1395" s="55"/>
      <c r="U1395" s="55"/>
      <c r="V1395" s="55"/>
      <c r="W1395" s="48"/>
      <c r="X1395" s="50"/>
      <c r="Y1395" s="50"/>
      <c r="Z1395" s="48" t="n">
        <f aca="false">IF(A1395="","",IF(AND(Parameter!$B$21="Ja",ISNUMBER(W1395)),W1395,IF(CC1395="2+3",IF(ISNUMBER(SEARCH("grosser Artikel",BU1395)),2,IFERROR(VLOOKUP(BX1395,Parameter!$F$35:$G$64,2,0),2)),IF(OR(CC1395="Nein",CC1395=""),"-",CC1395))))</f>
        <v>3</v>
      </c>
      <c r="AA1395" s="55"/>
      <c r="AB1395" s="56"/>
      <c r="AC1395" s="50" t="n">
        <f aca="false">AV1395</f>
        <v>2</v>
      </c>
      <c r="AD1395" s="50" t="n">
        <f aca="false">MAX(AV1395,H1395)</f>
        <v>35</v>
      </c>
      <c r="AE1395" s="57"/>
      <c r="AF1395" s="50" t="n">
        <f aca="false">IF(LEFT(Cockpit!$C$5,1)="A",H1395,IF(Parameter!$E$30="MAX-Bestand",IF(CH1395=1,CI1395,IF(LEFT(Cockpit!$C$5,1)="B",AL1395,MAX(AL1395,H1395))),ROUNDUP(AJ1395,0)))</f>
        <v>35</v>
      </c>
      <c r="AG1395" s="50" t="n">
        <f aca="false">IF(BZ1395=1,0,ROUNDUP(AF1395/BY1395,0))</f>
        <v>1</v>
      </c>
      <c r="AH1395" s="52" t="n">
        <f aca="false">IF(CQ1395&gt;0,CQ1395*MAX(1,AF1395/X1395),IF(BZ1395=1,IF(AF1395&lt;=0,0,CD1395*MAX(1,IF(H1395&gt;0,AF1395/H1395,1))),IF(R1395&gt;0,AG1395/R1395,0))/MAX(0.1,N(Parameter!$M$21)))</f>
        <v>0.0384615384615385</v>
      </c>
      <c r="AI1395" s="50" t="n">
        <f aca="false">AH1395*CB1395</f>
        <v>5.96153846153846</v>
      </c>
      <c r="AJ1395" s="51" t="n">
        <f aca="false">IF(LEFT(Cockpit!$C$5,1)="A",H1395,IF(CH1395=1,(CK1395+CI1395)/2,IF(LEFT(Cockpit!$C$5,1)="B",(CK1395+AL1395)/2,MAX((CK1395+AL1395)/2,H1395))))</f>
        <v>35</v>
      </c>
      <c r="AK1395" s="50" t="n">
        <f aca="false">AJ1395*G1395</f>
        <v>3244.15</v>
      </c>
      <c r="AL1395" s="50" t="n">
        <f aca="false">ROUNDUP(CK1395+MAX(CL1395,2*(J1395/IF(CG1395&gt;0,CG1395,MAX(0.1,N(Cockpit!$C$6)))-CK1395)),0)</f>
        <v>2</v>
      </c>
      <c r="AM1395" s="51" t="n">
        <f aca="false">IF(AI1395&gt;0,J1395/AI1395,-1)</f>
        <v>0.335483870967742</v>
      </c>
      <c r="AN1395" s="51" t="n">
        <f aca="false">IF(AND(OR(CF1395="L1",CF1395="L23",CF1395="LIFT"),AI1395&gt;0),SUMIFS($AI$7:$AI$1843,$CF$7:$CF$1843,CF1395,$AM$7:$AM$1843,"&gt;"&amp;AM1395)+SUMIFS($AI$7:$AI$1843,$CF$7:$CF$1843,CF1395,$AM$7:$AM$1843,AM1395,$BW$7:$BW$1843,"&lt;="&amp;BW1395),"")</f>
        <v>11248.6155010244</v>
      </c>
      <c r="AO1395" s="58" t="n">
        <f aca="false">IF(AN1395="",0,MAX(0,MIN(1,(IF(CF1395="L1",Parameter!$H$5,IF(CF1395="L23",Parameter!$H$6+Parameter!$H$7,Parameter!$H$5+Parameter!$H$6+Parameter!$H$7))-(AN1395-AI1395))/AI1395)))</f>
        <v>1</v>
      </c>
      <c r="AP1395" s="50" t="n">
        <f aca="false">IF(LEFT(Cockpit!$I$5,1)="A",H1395,IF(Parameter!$E$30="MAX-Bestand",IF(CH1395=1,CI1395,IF(LEFT(Cockpit!$I$5,1)="B",AV1395,MAX(AV1395,H1395))),ROUNDUP(AT1395,0)))</f>
        <v>35</v>
      </c>
      <c r="AQ1395" s="50" t="n">
        <f aca="false">IF(BZ1395=1,0,ROUNDUP(AP1395/BY1395,0))</f>
        <v>1</v>
      </c>
      <c r="AR1395" s="52" t="n">
        <f aca="false">IF(CQ1395&gt;0,CQ1395*MAX(1,AP1395/X1395),IF(BZ1395=1,IF(AP1395&lt;=0,0,CD1395*MAX(1,IF(H1395&gt;0,AP1395/H1395,1))),IF(R1395&gt;0,AQ1395/R1395,0))/MAX(0.1,N(Parameter!$M$21)))</f>
        <v>0.0384615384615385</v>
      </c>
      <c r="AS1395" s="50" t="n">
        <f aca="false">AR1395*CB1395</f>
        <v>5.96153846153846</v>
      </c>
      <c r="AT1395" s="51" t="n">
        <f aca="false">IF(LEFT(Cockpit!$I$5,1)="A",H1395,IF(CH1395=1,(CK1395+CI1395)/2,IF(LEFT(Cockpit!$I$5,1)="B",(CK1395+AV1395)/2,MAX((CK1395+AV1395)/2,H1395))))</f>
        <v>35</v>
      </c>
      <c r="AU1395" s="50" t="n">
        <f aca="false">AT1395*G1395</f>
        <v>3244.15</v>
      </c>
      <c r="AV1395" s="50" t="n">
        <f aca="false">ROUNDUP(CK1395+MAX(CL1395,2*(J1395/IF(CG1395&gt;0,CG1395,MAX(0.1,N(Cockpit!$I$6)))-CK1395)),0)</f>
        <v>2</v>
      </c>
      <c r="AW1395" s="51" t="n">
        <f aca="false">IF(AS1395&gt;0,J1395/AS1395,-1)</f>
        <v>0.335483870967742</v>
      </c>
      <c r="AX1395" s="51" t="n">
        <f aca="false">IF(AND(OR(CF1395="L1",CF1395="L23",CF1395="LIFT"),AS1395&gt;0),SUMIFS($AS$7:$AS$1843,$CF$7:$CF$1843,CF1395,$AW$7:$AW$1843,"&gt;"&amp;AW1395)+SUMIFS($AS$7:$AS$1843,$CF$7:$CF$1843,CF1395,$AW$7:$AW$1843,AW1395,$BW$7:$BW$1843,"&lt;="&amp;BW1395),"")</f>
        <v>13782.7532051282</v>
      </c>
      <c r="AY1395" s="58" t="n">
        <f aca="false">IF(AX1395="",0,MAX(0,MIN(1,(IF(CF1395="L1",Parameter!$H$5,IF(CF1395="L23",Parameter!$H$6+Parameter!$H$7,Parameter!$H$5+Parameter!$H$6+Parameter!$H$7))-(AX1395-AS1395))/AS1395)))</f>
        <v>1</v>
      </c>
      <c r="AZ1395" s="50" t="n">
        <f aca="false">IF(LEFT(Cockpit!$O$5,1)="A",H1395,IF(Parameter!$E$30="MAX-Bestand",IF(CH1395=1,CI1395,IF(LEFT(Cockpit!$O$5,1)="B",BF1395,MAX(BF1395,H1395))),ROUNDUP(BD1395,0)))</f>
        <v>1</v>
      </c>
      <c r="BA1395" s="50" t="n">
        <f aca="false">IF(BZ1395=1,0,ROUNDUP(AZ1395/BY1395,0))</f>
        <v>1</v>
      </c>
      <c r="BB1395" s="52" t="n">
        <f aca="false">IF(CQ1395&gt;0,CQ1395*MAX(1,AZ1395/X1395),IF(BZ1395=1,IF(AZ1395&lt;=0,0,CD1395*MAX(1,IF(H1395&gt;0,AZ1395/H1395,1))),IF(R1395&gt;0,BA1395/R1395,0))/MAX(0.1,N(Parameter!$M$21)))</f>
        <v>0.0384615384615385</v>
      </c>
      <c r="BC1395" s="50" t="n">
        <f aca="false">BB1395*CB1395</f>
        <v>5.96153846153846</v>
      </c>
      <c r="BD1395" s="51" t="n">
        <f aca="false">IF(LEFT(Cockpit!$O$5,1)="A",H1395,IF(CH1395=1,(CK1395+CI1395)/2,IF(LEFT(Cockpit!$O$5,1)="B",(CK1395+BF1395)/2,MAX((CK1395+BF1395)/2,H1395))))</f>
        <v>0.5</v>
      </c>
      <c r="BE1395" s="50" t="n">
        <f aca="false">BD1395*G1395</f>
        <v>46.345</v>
      </c>
      <c r="BF1395" s="50" t="n">
        <f aca="false">ROUNDUP(CK1395+MAX(CL1395,2*(J1395/IF(CG1395&gt;0,CG1395,MAX(0.1,N(Cockpit!$O$6)))-CK1395)),0)</f>
        <v>1</v>
      </c>
      <c r="BG1395" s="51" t="n">
        <f aca="false">IF(BC1395&gt;0,J1395/BC1395,-1)</f>
        <v>0.335483870967742</v>
      </c>
      <c r="BH1395" s="51" t="n">
        <f aca="false">IF(AND(OR(CF1395="L1",CF1395="L23",CF1395="LIFT"),BC1395&gt;0),SUMIFS($BC$7:$BC$1843,$CF$7:$CF$1843,CF1395,$BG$7:$BG$1843,"&gt;"&amp;BG1395)+SUMIFS($BC$7:$BC$1843,$CF$7:$CF$1843,CF1395,$BG$7:$BG$1843,BG1395,$BW$7:$BW$1843,"&lt;="&amp;BW1395),"")</f>
        <v>11633.711996337</v>
      </c>
      <c r="BI1395" s="58" t="n">
        <f aca="false">IF(BH1395="",0,MAX(0,MIN(1,(IF(CF1395="L1",Parameter!$H$5,IF(CF1395="L23",Parameter!$H$6+Parameter!$H$7,Parameter!$H$5+Parameter!$H$6+Parameter!$H$7))-(BH1395-BC1395))/BC1395)))</f>
        <v>1</v>
      </c>
      <c r="BJ1395" s="48" t="str">
        <f aca="false">IF(AI1395&lt;=0,"",IF(CF1395="Aussen","Aussenlager",IF(CF1395="-","Nicht im Lift",IF(AO1395&gt;=1,"Lift",IF(AO1395&lt;=0,"Aussenlager","teilweise")))))</f>
        <v>Lift</v>
      </c>
      <c r="BK1395" s="48" t="str">
        <f aca="false">IF(AS1395&lt;=0,"",IF(CF1395="Aussen","Aussenlager",IF(CF1395="-","Nicht im Lift",IF(AY1395&gt;=1,"Lift",IF(AY1395&lt;=0,"Aussenlager","teilweise")))))</f>
        <v>Lift</v>
      </c>
      <c r="BL1395" s="48" t="str">
        <f aca="false">IF(BC1395&lt;=0,"",IF(CF1395="Aussen","Aussenlager",IF(CF1395="-","Nicht im Lift",IF(BI1395&gt;=1,"Lift",IF(BI1395&lt;=0,"Aussenlager","teilweise")))))</f>
        <v>Lift</v>
      </c>
      <c r="BM1395" s="48" t="str">
        <f aca="false">IF(A1395="","",IF(BV1395=1,"Neu; ","")&amp;IF(AND(BV1395=0,BQ1395&lt;0),"negativer Bestand (Export "&amp;BQ1395&amp;"); ","")&amp;IF(J1395&lt;=0,"Kein Verbrauch; ","")&amp;IF(CQ1395&gt;0,"Lift "&amp;W1395&amp;" lt. Liftbericht (Fach "&amp;X1395&amp;" Stk); ",IF(CA1395=1,"Gebinde geschätzt ("&amp;T1395&amp;"); ",IF(BZ1395=1,"Lose – Tablare geschätzt; ","")))&amp;IF(H1395&gt;AV1395,"Überbestand "&amp;ROUND(H1395-AV1395,0)&amp;" Stk / CHF "&amp;ROUND((H1395-AV1395)*G1395,0)&amp;"; ","")&amp;IF(AND(CH1395=1,CI1395&lt;CJ1395),"MAX &lt; MB+LG; ","")&amp;IF(AND(CP1395&gt;0,CO1395*10&gt;CP1395),"zu hoch für Tablar; ","")&amp;IF(AND(BV1395=0,OR(CH1395=1,AA1395&lt;&gt;"",U1395&lt;&gt;"",V1395&lt;&gt;"",AB1395&lt;&gt;"")),"manuell übersteuert; ","")&amp;IF(AND(BZ1395=0,R1395=0),"Gebinde unbekannt / Stellmass fehlt; ","")&amp;IF(AND(BZ1395=0,N(V1395)&lt;=0,N(Q1395)&lt;=0),"Menge pro Gebinde fehlt (Ist = 1 Gebinde); ","")&amp;BU1395)</f>
        <v>negativer Bestand (Export -41); Überbestand 33 Stk / CHF 3059; </v>
      </c>
      <c r="BN1395" s="48"/>
      <c r="BO1395" s="48"/>
      <c r="BP1395" s="55"/>
      <c r="BQ1395" s="50" t="n">
        <v>-41</v>
      </c>
      <c r="BR1395" s="50" t="n">
        <v>76</v>
      </c>
      <c r="BS1395" s="49" t="n">
        <v>-3800.29</v>
      </c>
      <c r="BT1395" s="50" t="n">
        <v>2</v>
      </c>
      <c r="BU1395" s="48"/>
      <c r="BV1395" s="53" t="n">
        <v>0</v>
      </c>
      <c r="BW1395" s="53" t="n">
        <v>1395</v>
      </c>
      <c r="BX1395" s="48" t="str">
        <f aca="false">IF(U1395&lt;&gt;"",UPPER(TRIM(U1395)),IF(CA1395=1,UPPER(VLOOKUP(T1395,Parameter!$I$27:$K$29,2,0)),IF(P1395="","LOSE",P1395)))</f>
        <v>S51</v>
      </c>
      <c r="BY1395" s="50" t="n">
        <f aca="false">IF(BX1395="LOSE",1,IF(N(V1395)&gt;0,V1395,IF(CA1395=1,MAX(1,N(VLOOKUP(T1395,Parameter!$I$27:$K$29,3,0)),H1395,N(N1395)),IF(N(Q1395)&gt;0,Q1395,MAX(1,H1395)))))</f>
        <v>60</v>
      </c>
      <c r="BZ1395" s="53" t="n">
        <f aca="false">IF(BX1395="LOSE",1,0)</f>
        <v>0</v>
      </c>
      <c r="CA1395" s="53" t="n">
        <f aca="false">IF(AND(U1395="",OR(P1395="",P1395="LOSE"),T1395&lt;&gt;"",N(S1395)&lt;=0,ISNUMBER(MATCH(T1395,Parameter!$I$27:$I$29,0))),1,0)</f>
        <v>0</v>
      </c>
      <c r="CB1395" s="53" t="n">
        <f aca="false">IF(CQ1395&gt;0,INDEX(Parameter!$H$5:$H$7,W1395)/INDEX(Parameter!$E$5:$E$7,W1395),IF(AND(BZ1395=0,N(IFERROR(VLOOKUP(BX1395,'Gebinde-Kategorie'!$A$5:$N$45,14,0),0))&gt;0),VLOOKUP(BX1395,'Gebinde-Kategorie'!$A$5:$N$45,14,0)*10+Parameter!$M$23,Parameter!$M$24))</f>
        <v>155</v>
      </c>
      <c r="CC1395" s="48" t="str">
        <f aca="false">IF(AND(Parameter!$B$19="Ja",E1395&lt;&gt;"",ISNUMBER(MATCH(E1395,Parameter!$I$35:$I$52,0))),VLOOKUP(E1395,Parameter!$I$35:$J$52,2,0),IFERROR(VLOOKUP(D1395,Parameter!$A$35:$C$64,2,0),"Nein"))</f>
        <v>2+3</v>
      </c>
      <c r="CD1395" s="52" t="n">
        <f aca="false">IF(BZ1395=0,0,IF(N(S1395)&gt;0,S1395,IFERROR(VLOOKUP(D1395,Parameter!$A$35:$C$64,3,0)+0,0)))</f>
        <v>0</v>
      </c>
      <c r="CE1395" s="48" t="n">
        <f aca="false">IF(AA1395&lt;&gt;"",AA1395,Z1395)</f>
        <v>3</v>
      </c>
      <c r="CF1395" s="48" t="str">
        <f aca="false">IF(OR(CE1395=1,CE1395=2,CE1395=3),IF(Parameter!$E$27="Ja","LIFT",IF(CE1395=1,"L1","L23")),IF(CE1395="Aussen","Aussen","-"))</f>
        <v>LIFT</v>
      </c>
      <c r="CG1395" s="59" t="n">
        <f aca="false">IF(N(AB1395)&gt;0,AB1395,0)</f>
        <v>0</v>
      </c>
      <c r="CH1395" s="53" t="n">
        <f aca="false">IF(ISNUMBER(AE1395),1,0)</f>
        <v>0</v>
      </c>
      <c r="CI1395" s="50" t="n">
        <f aca="false">N(AE1395)</f>
        <v>0</v>
      </c>
      <c r="CJ1395" s="50" t="n">
        <f aca="false">N(M1395)+N(N1395)</f>
        <v>1</v>
      </c>
      <c r="CK1395" s="50" t="n">
        <f aca="false">N(M1395)</f>
        <v>0</v>
      </c>
      <c r="CL1395" s="50" t="n">
        <f aca="false">N(N1395)</f>
        <v>1</v>
      </c>
      <c r="CM1395" s="50" t="n">
        <f aca="false">ROUNDUP(H1395/BY1395,0)</f>
        <v>1</v>
      </c>
      <c r="CN1395" s="50" t="n">
        <f aca="false">ROUNDUP(CI1395/BY1395,0)</f>
        <v>0</v>
      </c>
      <c r="CO1395" s="53" t="n">
        <f aca="false">IF(BZ1395=1,0,IFERROR(VLOOKUP(BX1395,'Gebinde-Kategorie'!$A$5:$N$45,5,0)+0,0))</f>
        <v>11</v>
      </c>
      <c r="CP1395" s="53" t="n">
        <f aca="false">IFERROR(IF(OR(CE1395=1,CE1395=2,CE1395=3),N(INDEX(Parameter!$I$5:$I$7,CE1395)),0),0)</f>
        <v>0</v>
      </c>
      <c r="CQ1395" s="52" t="n">
        <f aca="false">IF(AND(Parameter!$B$21="Ja",ISNUMBER(W1395),N(X1395)&gt;0),IFERROR(N(INDEX(Parameter!$L$5:$L$7,W1395))*INDEX(Parameter!$E$5:$E$7,W1395)*X1395/SUMIFS($X$7:$X$1843,$W$7:$W$1843,W1395),0),0)</f>
        <v>0</v>
      </c>
    </row>
    <row r="1396" customFormat="false" ht="15" hidden="false" customHeight="false" outlineLevel="0" collapsed="false">
      <c r="A1396" s="48" t="s">
        <v>2463</v>
      </c>
      <c r="B1396" s="48" t="s">
        <v>2464</v>
      </c>
      <c r="C1396" s="48" t="s">
        <v>173</v>
      </c>
      <c r="D1396" s="48" t="s">
        <v>182</v>
      </c>
      <c r="E1396" s="48"/>
      <c r="F1396" s="48" t="s">
        <v>227</v>
      </c>
      <c r="G1396" s="49" t="n">
        <v>785</v>
      </c>
      <c r="H1396" s="50" t="n">
        <f aca="false">MAX(0,IF(AND(Parameter!$B$21="Ja",ISNUMBER(Y1396)),Y1396,IF(Parameter!$B$20="Jahresanfang 2025 + Export",BR1396+BQ1396,BQ1396)))</f>
        <v>2</v>
      </c>
      <c r="I1396" s="50" t="n">
        <f aca="false">H1396*G1396</f>
        <v>1570</v>
      </c>
      <c r="J1396" s="50" t="n">
        <f aca="false">BT1396*Parameter!$B$18</f>
        <v>3</v>
      </c>
      <c r="K1396" s="51" t="n">
        <v>4.5</v>
      </c>
      <c r="L1396" s="52" t="n">
        <v>0.666666666666667</v>
      </c>
      <c r="M1396" s="50" t="n">
        <v>1</v>
      </c>
      <c r="N1396" s="50" t="n">
        <v>5</v>
      </c>
      <c r="O1396" s="53" t="n">
        <v>140</v>
      </c>
      <c r="P1396" s="48" t="s">
        <v>232</v>
      </c>
      <c r="Q1396" s="50" t="n">
        <v>2</v>
      </c>
      <c r="R1396" s="53" t="n">
        <f aca="false">IF(BZ1396=1,0,IFERROR(VLOOKUP(BX1396,'Gebinde-Kategorie'!$A$5:$N$45,13,0)+0,0))</f>
        <v>4</v>
      </c>
      <c r="S1396" s="54"/>
      <c r="T1396" s="55"/>
      <c r="U1396" s="55"/>
      <c r="V1396" s="55"/>
      <c r="W1396" s="48"/>
      <c r="X1396" s="50"/>
      <c r="Y1396" s="50"/>
      <c r="Z1396" s="48" t="n">
        <f aca="false">IF(A1396="","",IF(AND(Parameter!$B$21="Ja",ISNUMBER(W1396)),W1396,IF(CC1396="2+3",IF(ISNUMBER(SEARCH("grosser Artikel",BU1396)),2,IFERROR(VLOOKUP(BX1396,Parameter!$F$35:$G$64,2,0),2)),IF(OR(CC1396="Nein",CC1396=""),"-",CC1396))))</f>
        <v>2</v>
      </c>
      <c r="AA1396" s="55"/>
      <c r="AB1396" s="56"/>
      <c r="AC1396" s="50" t="n">
        <f aca="false">AV1396</f>
        <v>6</v>
      </c>
      <c r="AD1396" s="50" t="n">
        <f aca="false">MAX(AV1396,H1396)</f>
        <v>6</v>
      </c>
      <c r="AE1396" s="57"/>
      <c r="AF1396" s="50" t="n">
        <f aca="false">IF(LEFT(Cockpit!$C$5,1)="A",H1396,IF(Parameter!$E$30="MAX-Bestand",IF(CH1396=1,CI1396,IF(LEFT(Cockpit!$C$5,1)="B",AL1396,MAX(AL1396,H1396))),ROUNDUP(AJ1396,0)))</f>
        <v>2</v>
      </c>
      <c r="AG1396" s="50" t="n">
        <f aca="false">IF(BZ1396=1,0,ROUNDUP(AF1396/BY1396,0))</f>
        <v>1</v>
      </c>
      <c r="AH1396" s="52" t="n">
        <f aca="false">IF(CQ1396&gt;0,CQ1396*MAX(1,AF1396/X1396),IF(BZ1396=1,IF(AF1396&lt;=0,0,CD1396*MAX(1,IF(H1396&gt;0,AF1396/H1396,1))),IF(R1396&gt;0,AG1396/R1396,0))/MAX(0.1,N(Parameter!$M$21)))</f>
        <v>0.25</v>
      </c>
      <c r="AI1396" s="50" t="n">
        <f aca="false">AH1396*CB1396</f>
        <v>58.75</v>
      </c>
      <c r="AJ1396" s="51" t="n">
        <f aca="false">IF(LEFT(Cockpit!$C$5,1)="A",H1396,IF(CH1396=1,(CK1396+CI1396)/2,IF(LEFT(Cockpit!$C$5,1)="B",(CK1396+AL1396)/2,MAX((CK1396+AL1396)/2,H1396))))</f>
        <v>2</v>
      </c>
      <c r="AK1396" s="50" t="n">
        <f aca="false">AJ1396*G1396</f>
        <v>1570</v>
      </c>
      <c r="AL1396" s="50" t="n">
        <f aca="false">ROUNDUP(CK1396+MAX(CL1396,2*(J1396/IF(CG1396&gt;0,CG1396,MAX(0.1,N(Cockpit!$C$6)))-CK1396)),0)</f>
        <v>6</v>
      </c>
      <c r="AM1396" s="51" t="n">
        <f aca="false">IF(AI1396&gt;0,J1396/AI1396,-1)</f>
        <v>0.051063829787234</v>
      </c>
      <c r="AN1396" s="51" t="n">
        <f aca="false">IF(AND(OR(CF1396="L1",CF1396="L23",CF1396="LIFT"),AI1396&gt;0),SUMIFS($AI$7:$AI$1843,$CF$7:$CF$1843,CF1396,$AM$7:$AM$1843,"&gt;"&amp;AM1396)+SUMIFS($AI$7:$AI$1843,$CF$7:$CF$1843,CF1396,$AM$7:$AM$1843,AM1396,$BW$7:$BW$1843,"&lt;="&amp;BW1396),"")</f>
        <v>19278.6457880632</v>
      </c>
      <c r="AO1396" s="58" t="n">
        <f aca="false">IF(AN1396="",0,MAX(0,MIN(1,(IF(CF1396="L1",Parameter!$H$5,IF(CF1396="L23",Parameter!$H$6+Parameter!$H$7,Parameter!$H$5+Parameter!$H$6+Parameter!$H$7))-(AN1396-AI1396))/AI1396)))</f>
        <v>1</v>
      </c>
      <c r="AP1396" s="50" t="n">
        <f aca="false">IF(LEFT(Cockpit!$I$5,1)="A",H1396,IF(Parameter!$E$30="MAX-Bestand",IF(CH1396=1,CI1396,IF(LEFT(Cockpit!$I$5,1)="B",AV1396,MAX(AV1396,H1396))),ROUNDUP(AT1396,0)))</f>
        <v>4</v>
      </c>
      <c r="AQ1396" s="50" t="n">
        <f aca="false">IF(BZ1396=1,0,ROUNDUP(AP1396/BY1396,0))</f>
        <v>2</v>
      </c>
      <c r="AR1396" s="52" t="n">
        <f aca="false">IF(CQ1396&gt;0,CQ1396*MAX(1,AP1396/X1396),IF(BZ1396=1,IF(AP1396&lt;=0,0,CD1396*MAX(1,IF(H1396&gt;0,AP1396/H1396,1))),IF(R1396&gt;0,AQ1396/R1396,0))/MAX(0.1,N(Parameter!$M$21)))</f>
        <v>0.5</v>
      </c>
      <c r="AS1396" s="50" t="n">
        <f aca="false">AR1396*CB1396</f>
        <v>117.5</v>
      </c>
      <c r="AT1396" s="51" t="n">
        <f aca="false">IF(LEFT(Cockpit!$I$5,1)="A",H1396,IF(CH1396=1,(CK1396+CI1396)/2,IF(LEFT(Cockpit!$I$5,1)="B",(CK1396+AV1396)/2,MAX((CK1396+AV1396)/2,H1396))))</f>
        <v>3.5</v>
      </c>
      <c r="AU1396" s="50" t="n">
        <f aca="false">AT1396*G1396</f>
        <v>2747.5</v>
      </c>
      <c r="AV1396" s="50" t="n">
        <f aca="false">ROUNDUP(CK1396+MAX(CL1396,2*(J1396/IF(CG1396&gt;0,CG1396,MAX(0.1,N(Cockpit!$I$6)))-CK1396)),0)</f>
        <v>6</v>
      </c>
      <c r="AW1396" s="51" t="n">
        <f aca="false">IF(AS1396&gt;0,J1396/AS1396,-1)</f>
        <v>0.025531914893617</v>
      </c>
      <c r="AX1396" s="51" t="n">
        <f aca="false">IF(AND(OR(CF1396="L1",CF1396="L23",CF1396="LIFT"),AS1396&gt;0),SUMIFS($AS$7:$AS$1843,$CF$7:$CF$1843,CF1396,$AW$7:$AW$1843,"&gt;"&amp;AW1396)+SUMIFS($AS$7:$AS$1843,$CF$7:$CF$1843,CF1396,$AW$7:$AW$1843,AW1396,$BW$7:$BW$1843,"&lt;="&amp;BW1396),"")</f>
        <v>27200.2590462739</v>
      </c>
      <c r="AY1396" s="58" t="n">
        <f aca="false">IF(AX1396="",0,MAX(0,MIN(1,(IF(CF1396="L1",Parameter!$H$5,IF(CF1396="L23",Parameter!$H$6+Parameter!$H$7,Parameter!$H$5+Parameter!$H$6+Parameter!$H$7))-(AX1396-AS1396))/AS1396)))</f>
        <v>1</v>
      </c>
      <c r="AZ1396" s="50" t="n">
        <f aca="false">IF(LEFT(Cockpit!$O$5,1)="A",H1396,IF(Parameter!$E$30="MAX-Bestand",IF(CH1396=1,CI1396,IF(LEFT(Cockpit!$O$5,1)="B",BF1396,MAX(BF1396,H1396))),ROUNDUP(BD1396,0)))</f>
        <v>4</v>
      </c>
      <c r="BA1396" s="50" t="n">
        <f aca="false">IF(BZ1396=1,0,ROUNDUP(AZ1396/BY1396,0))</f>
        <v>2</v>
      </c>
      <c r="BB1396" s="52" t="n">
        <f aca="false">IF(CQ1396&gt;0,CQ1396*MAX(1,AZ1396/X1396),IF(BZ1396=1,IF(AZ1396&lt;=0,0,CD1396*MAX(1,IF(H1396&gt;0,AZ1396/H1396,1))),IF(R1396&gt;0,BA1396/R1396,0))/MAX(0.1,N(Parameter!$M$21)))</f>
        <v>0.5</v>
      </c>
      <c r="BC1396" s="50" t="n">
        <f aca="false">BB1396*CB1396</f>
        <v>117.5</v>
      </c>
      <c r="BD1396" s="51" t="n">
        <f aca="false">IF(LEFT(Cockpit!$O$5,1)="A",H1396,IF(CH1396=1,(CK1396+CI1396)/2,IF(LEFT(Cockpit!$O$5,1)="B",(CK1396+BF1396)/2,MAX((CK1396+BF1396)/2,H1396))))</f>
        <v>3.5</v>
      </c>
      <c r="BE1396" s="50" t="n">
        <f aca="false">BD1396*G1396</f>
        <v>2747.5</v>
      </c>
      <c r="BF1396" s="50" t="n">
        <f aca="false">ROUNDUP(CK1396+MAX(CL1396,2*(J1396/IF(CG1396&gt;0,CG1396,MAX(0.1,N(Cockpit!$O$6)))-CK1396)),0)</f>
        <v>6</v>
      </c>
      <c r="BG1396" s="51" t="n">
        <f aca="false">IF(BC1396&gt;0,J1396/BC1396,-1)</f>
        <v>0.025531914893617</v>
      </c>
      <c r="BH1396" s="51" t="n">
        <f aca="false">IF(AND(OR(CF1396="L1",CF1396="L23",CF1396="LIFT"),BC1396&gt;0),SUMIFS($BC$7:$BC$1843,$CF$7:$CF$1843,CF1396,$BG$7:$BG$1843,"&gt;"&amp;BG1396)+SUMIFS($BC$7:$BC$1843,$CF$7:$CF$1843,CF1396,$BG$7:$BG$1843,BG1396,$BW$7:$BW$1843,"&lt;="&amp;BW1396),"")</f>
        <v>22824.5331972641</v>
      </c>
      <c r="BI1396" s="58" t="n">
        <f aca="false">IF(BH1396="",0,MAX(0,MIN(1,(IF(CF1396="L1",Parameter!$H$5,IF(CF1396="L23",Parameter!$H$6+Parameter!$H$7,Parameter!$H$5+Parameter!$H$6+Parameter!$H$7))-(BH1396-BC1396))/BC1396)))</f>
        <v>1</v>
      </c>
      <c r="BJ1396" s="48" t="str">
        <f aca="false">IF(AI1396&lt;=0,"",IF(CF1396="Aussen","Aussenlager",IF(CF1396="-","Nicht im Lift",IF(AO1396&gt;=1,"Lift",IF(AO1396&lt;=0,"Aussenlager","teilweise")))))</f>
        <v>Lift</v>
      </c>
      <c r="BK1396" s="48" t="str">
        <f aca="false">IF(AS1396&lt;=0,"",IF(CF1396="Aussen","Aussenlager",IF(CF1396="-","Nicht im Lift",IF(AY1396&gt;=1,"Lift",IF(AY1396&lt;=0,"Aussenlager","teilweise")))))</f>
        <v>Lift</v>
      </c>
      <c r="BL1396" s="48" t="str">
        <f aca="false">IF(BC1396&lt;=0,"",IF(CF1396="Aussen","Aussenlager",IF(CF1396="-","Nicht im Lift",IF(BI1396&gt;=1,"Lift",IF(BI1396&lt;=0,"Aussenlager","teilweise")))))</f>
        <v>Lift</v>
      </c>
      <c r="BM1396" s="48" t="str">
        <f aca="false">IF(A1396="","",IF(BV1396=1,"Neu; ","")&amp;IF(AND(BV1396=0,BQ1396&lt;0),"negativer Bestand (Export "&amp;BQ1396&amp;"); ","")&amp;IF(J1396&lt;=0,"Kein Verbrauch; ","")&amp;IF(CQ1396&gt;0,"Lift "&amp;W1396&amp;" lt. Liftbericht (Fach "&amp;X1396&amp;" Stk); ",IF(CA1396=1,"Gebinde geschätzt ("&amp;T1396&amp;"); ",IF(BZ1396=1,"Lose – Tablare geschätzt; ","")))&amp;IF(H1396&gt;AV1396,"Überbestand "&amp;ROUND(H1396-AV1396,0)&amp;" Stk / CHF "&amp;ROUND((H1396-AV1396)*G1396,0)&amp;"; ","")&amp;IF(AND(CH1396=1,CI1396&lt;CJ1396),"MAX &lt; MB+LG; ","")&amp;IF(AND(CP1396&gt;0,CO1396*10&gt;CP1396),"zu hoch für Tablar; ","")&amp;IF(AND(BV1396=0,OR(CH1396=1,AA1396&lt;&gt;"",U1396&lt;&gt;"",V1396&lt;&gt;"",AB1396&lt;&gt;"")),"manuell übersteuert; ","")&amp;IF(AND(BZ1396=0,R1396=0),"Gebinde unbekannt / Stellmass fehlt; ","")&amp;IF(AND(BZ1396=0,N(V1396)&lt;=0,N(Q1396)&lt;=0),"Menge pro Gebinde fehlt (Ist = 1 Gebinde); ","")&amp;BU1396)</f>
        <v>negativer Bestand (Export -5); Neuer Art.</v>
      </c>
      <c r="BN1396" s="48"/>
      <c r="BO1396" s="48"/>
      <c r="BP1396" s="55"/>
      <c r="BQ1396" s="50" t="n">
        <v>-5</v>
      </c>
      <c r="BR1396" s="50" t="n">
        <v>7</v>
      </c>
      <c r="BS1396" s="49" t="n">
        <v>-3925</v>
      </c>
      <c r="BT1396" s="50" t="n">
        <v>3</v>
      </c>
      <c r="BU1396" s="48" t="s">
        <v>521</v>
      </c>
      <c r="BV1396" s="53" t="n">
        <v>0</v>
      </c>
      <c r="BW1396" s="53" t="n">
        <v>1396</v>
      </c>
      <c r="BX1396" s="48" t="str">
        <f aca="false">IF(U1396&lt;&gt;"",UPPER(TRIM(U1396)),IF(CA1396=1,UPPER(VLOOKUP(T1396,Parameter!$I$27:$K$29,2,0)),IF(P1396="","LOSE",P1396)))</f>
        <v>S81</v>
      </c>
      <c r="BY1396" s="50" t="n">
        <f aca="false">IF(BX1396="LOSE",1,IF(N(V1396)&gt;0,V1396,IF(CA1396=1,MAX(1,N(VLOOKUP(T1396,Parameter!$I$27:$K$29,3,0)),H1396,N(N1396)),IF(N(Q1396)&gt;0,Q1396,MAX(1,H1396)))))</f>
        <v>2</v>
      </c>
      <c r="BZ1396" s="53" t="n">
        <f aca="false">IF(BX1396="LOSE",1,0)</f>
        <v>0</v>
      </c>
      <c r="CA1396" s="53" t="n">
        <f aca="false">IF(AND(U1396="",OR(P1396="",P1396="LOSE"),T1396&lt;&gt;"",N(S1396)&lt;=0,ISNUMBER(MATCH(T1396,Parameter!$I$27:$I$29,0))),1,0)</f>
        <v>0</v>
      </c>
      <c r="CB1396" s="53" t="n">
        <f aca="false">IF(CQ1396&gt;0,INDEX(Parameter!$H$5:$H$7,W1396)/INDEX(Parameter!$E$5:$E$7,W1396),IF(AND(BZ1396=0,N(IFERROR(VLOOKUP(BX1396,'Gebinde-Kategorie'!$A$5:$N$45,14,0),0))&gt;0),VLOOKUP(BX1396,'Gebinde-Kategorie'!$A$5:$N$45,14,0)*10+Parameter!$M$23,Parameter!$M$24))</f>
        <v>235</v>
      </c>
      <c r="CC1396" s="48" t="str">
        <f aca="false">IF(AND(Parameter!$B$19="Ja",E1396&lt;&gt;"",ISNUMBER(MATCH(E1396,Parameter!$I$35:$I$52,0))),VLOOKUP(E1396,Parameter!$I$35:$J$52,2,0),IFERROR(VLOOKUP(D1396,Parameter!$A$35:$C$64,2,0),"Nein"))</f>
        <v>2+3</v>
      </c>
      <c r="CD1396" s="52" t="n">
        <f aca="false">IF(BZ1396=0,0,IF(N(S1396)&gt;0,S1396,IFERROR(VLOOKUP(D1396,Parameter!$A$35:$C$64,3,0)+0,0)))</f>
        <v>0</v>
      </c>
      <c r="CE1396" s="48" t="n">
        <f aca="false">IF(AA1396&lt;&gt;"",AA1396,Z1396)</f>
        <v>2</v>
      </c>
      <c r="CF1396" s="48" t="str">
        <f aca="false">IF(OR(CE1396=1,CE1396=2,CE1396=3),IF(Parameter!$E$27="Ja","LIFT",IF(CE1396=1,"L1","L23")),IF(CE1396="Aussen","Aussen","-"))</f>
        <v>LIFT</v>
      </c>
      <c r="CG1396" s="59" t="n">
        <f aca="false">IF(N(AB1396)&gt;0,AB1396,0)</f>
        <v>0</v>
      </c>
      <c r="CH1396" s="53" t="n">
        <f aca="false">IF(ISNUMBER(AE1396),1,0)</f>
        <v>0</v>
      </c>
      <c r="CI1396" s="50" t="n">
        <f aca="false">N(AE1396)</f>
        <v>0</v>
      </c>
      <c r="CJ1396" s="50" t="n">
        <f aca="false">N(M1396)+N(N1396)</f>
        <v>6</v>
      </c>
      <c r="CK1396" s="50" t="n">
        <f aca="false">N(M1396)</f>
        <v>1</v>
      </c>
      <c r="CL1396" s="50" t="n">
        <f aca="false">N(N1396)</f>
        <v>5</v>
      </c>
      <c r="CM1396" s="50" t="n">
        <f aca="false">ROUNDUP(H1396/BY1396,0)</f>
        <v>1</v>
      </c>
      <c r="CN1396" s="50" t="n">
        <f aca="false">ROUNDUP(CI1396/BY1396,0)</f>
        <v>0</v>
      </c>
      <c r="CO1396" s="53" t="n">
        <f aca="false">IF(BZ1396=1,0,IFERROR(VLOOKUP(BX1396,'Gebinde-Kategorie'!$A$5:$N$45,5,0)+0,0))</f>
        <v>20</v>
      </c>
      <c r="CP1396" s="53" t="n">
        <f aca="false">IFERROR(IF(OR(CE1396=1,CE1396=2,CE1396=3),N(INDEX(Parameter!$I$5:$I$7,CE1396)),0),0)</f>
        <v>0</v>
      </c>
      <c r="CQ1396" s="52" t="n">
        <f aca="false">IF(AND(Parameter!$B$21="Ja",ISNUMBER(W1396),N(X1396)&gt;0),IFERROR(N(INDEX(Parameter!$L$5:$L$7,W1396))*INDEX(Parameter!$E$5:$E$7,W1396)*X1396/SUMIFS($X$7:$X$1843,$W$7:$W$1843,W1396),0),0)</f>
        <v>0</v>
      </c>
    </row>
    <row r="1397" customFormat="false" ht="15" hidden="false" customHeight="false" outlineLevel="0" collapsed="false">
      <c r="A1397" s="48" t="s">
        <v>2465</v>
      </c>
      <c r="B1397" s="48" t="s">
        <v>262</v>
      </c>
      <c r="C1397" s="48" t="s">
        <v>176</v>
      </c>
      <c r="D1397" s="48" t="s">
        <v>174</v>
      </c>
      <c r="E1397" s="48" t="s">
        <v>175</v>
      </c>
      <c r="F1397" s="48" t="s">
        <v>227</v>
      </c>
      <c r="G1397" s="49" t="n">
        <v>1489.2</v>
      </c>
      <c r="H1397" s="50" t="n">
        <f aca="false">MAX(0,IF(AND(Parameter!$B$21="Ja",ISNUMBER(Y1397)),Y1397,IF(Parameter!$B$20="Jahresanfang 2025 + Export",BR1397+BQ1397,BQ1397)))</f>
        <v>0</v>
      </c>
      <c r="I1397" s="50" t="n">
        <f aca="false">H1397*G1397</f>
        <v>0</v>
      </c>
      <c r="J1397" s="50" t="n">
        <f aca="false">BT1397*Parameter!$B$18</f>
        <v>15</v>
      </c>
      <c r="K1397" s="51" t="n">
        <v>4.5</v>
      </c>
      <c r="L1397" s="52" t="n">
        <v>3.33333333333333</v>
      </c>
      <c r="M1397" s="50" t="n">
        <v>0</v>
      </c>
      <c r="N1397" s="50" t="n">
        <v>5</v>
      </c>
      <c r="O1397" s="53" t="n">
        <v>21</v>
      </c>
      <c r="P1397" s="48" t="s">
        <v>177</v>
      </c>
      <c r="Q1397" s="50"/>
      <c r="R1397" s="53" t="n">
        <f aca="false">IF(BZ1397=1,0,IFERROR(VLOOKUP(BX1397,'Gebinde-Kategorie'!$A$5:$N$45,13,0)+0,0))</f>
        <v>0</v>
      </c>
      <c r="S1397" s="54"/>
      <c r="T1397" s="55"/>
      <c r="U1397" s="55"/>
      <c r="V1397" s="55"/>
      <c r="W1397" s="48" t="n">
        <v>1</v>
      </c>
      <c r="X1397" s="50" t="n">
        <v>6</v>
      </c>
      <c r="Y1397" s="50" t="n">
        <v>0</v>
      </c>
      <c r="Z1397" s="48" t="n">
        <f aca="false">IF(A1397="","",IF(AND(Parameter!$B$21="Ja",ISNUMBER(W1397)),W1397,IF(CC1397="2+3",IF(ISNUMBER(SEARCH("grosser Artikel",BU1397)),2,IFERROR(VLOOKUP(BX1397,Parameter!$F$35:$G$64,2,0),2)),IF(OR(CC1397="Nein",CC1397=""),"-",CC1397))))</f>
        <v>1</v>
      </c>
      <c r="AA1397" s="55"/>
      <c r="AB1397" s="56"/>
      <c r="AC1397" s="50" t="n">
        <f aca="false">AV1397</f>
        <v>10</v>
      </c>
      <c r="AD1397" s="50" t="n">
        <f aca="false">MAX(AV1397,H1397)</f>
        <v>10</v>
      </c>
      <c r="AE1397" s="57"/>
      <c r="AF1397" s="50" t="n">
        <f aca="false">IF(LEFT(Cockpit!$C$5,1)="A",H1397,IF(Parameter!$E$30="MAX-Bestand",IF(CH1397=1,CI1397,IF(LEFT(Cockpit!$C$5,1)="B",AL1397,MAX(AL1397,H1397))),ROUNDUP(AJ1397,0)))</f>
        <v>0</v>
      </c>
      <c r="AG1397" s="50" t="n">
        <f aca="false">IF(BZ1397=1,0,ROUNDUP(AF1397/BY1397,0))</f>
        <v>0</v>
      </c>
      <c r="AH1397" s="52" t="n">
        <f aca="false">IF(CQ1397&gt;0,CQ1397*MAX(1,AF1397/X1397),IF(BZ1397=1,IF(AF1397&lt;=0,0,CD1397*MAX(1,IF(H1397&gt;0,AF1397/H1397,1))),IF(R1397&gt;0,AG1397/R1397,0))/MAX(0.1,N(Parameter!$M$21)))</f>
        <v>0.480225988700565</v>
      </c>
      <c r="AI1397" s="50" t="n">
        <f aca="false">AH1397*CB1397</f>
        <v>114.293785310734</v>
      </c>
      <c r="AJ1397" s="51" t="n">
        <f aca="false">IF(LEFT(Cockpit!$C$5,1)="A",H1397,IF(CH1397=1,(CK1397+CI1397)/2,IF(LEFT(Cockpit!$C$5,1)="B",(CK1397+AL1397)/2,MAX((CK1397+AL1397)/2,H1397))))</f>
        <v>0</v>
      </c>
      <c r="AK1397" s="50" t="n">
        <f aca="false">AJ1397*G1397</f>
        <v>0</v>
      </c>
      <c r="AL1397" s="50" t="n">
        <f aca="false">ROUNDUP(CK1397+MAX(CL1397,2*(J1397/IF(CG1397&gt;0,CG1397,MAX(0.1,N(Cockpit!$C$6)))-CK1397)),0)</f>
        <v>10</v>
      </c>
      <c r="AM1397" s="51" t="n">
        <f aca="false">IF(AI1397&gt;0,J1397/AI1397,-1)</f>
        <v>0.131240731586752</v>
      </c>
      <c r="AN1397" s="51" t="n">
        <f aca="false">IF(AND(OR(CF1397="L1",CF1397="L23",CF1397="LIFT"),AI1397&gt;0),SUMIFS($AI$7:$AI$1843,$CF$7:$CF$1843,CF1397,$AM$7:$AM$1843,"&gt;"&amp;AM1397)+SUMIFS($AI$7:$AI$1843,$CF$7:$CF$1843,CF1397,$AM$7:$AM$1843,AM1397,$BW$7:$BW$1843,"&lt;="&amp;BW1397),"")</f>
        <v>13862.4636933217</v>
      </c>
      <c r="AO1397" s="58" t="n">
        <f aca="false">IF(AN1397="",0,MAX(0,MIN(1,(IF(CF1397="L1",Parameter!$H$5,IF(CF1397="L23",Parameter!$H$6+Parameter!$H$7,Parameter!$H$5+Parameter!$H$6+Parameter!$H$7))-(AN1397-AI1397))/AI1397)))</f>
        <v>1</v>
      </c>
      <c r="AP1397" s="50" t="n">
        <f aca="false">IF(LEFT(Cockpit!$I$5,1)="A",H1397,IF(Parameter!$E$30="MAX-Bestand",IF(CH1397=1,CI1397,IF(LEFT(Cockpit!$I$5,1)="B",AV1397,MAX(AV1397,H1397))),ROUNDUP(AT1397,0)))</f>
        <v>5</v>
      </c>
      <c r="AQ1397" s="50" t="n">
        <f aca="false">IF(BZ1397=1,0,ROUNDUP(AP1397/BY1397,0))</f>
        <v>0</v>
      </c>
      <c r="AR1397" s="52" t="n">
        <f aca="false">IF(CQ1397&gt;0,CQ1397*MAX(1,AP1397/X1397),IF(BZ1397=1,IF(AP1397&lt;=0,0,CD1397*MAX(1,IF(H1397&gt;0,AP1397/H1397,1))),IF(R1397&gt;0,AQ1397/R1397,0))/MAX(0.1,N(Parameter!$M$21)))</f>
        <v>0.480225988700565</v>
      </c>
      <c r="AS1397" s="50" t="n">
        <f aca="false">AR1397*CB1397</f>
        <v>114.293785310734</v>
      </c>
      <c r="AT1397" s="51" t="n">
        <f aca="false">IF(LEFT(Cockpit!$I$5,1)="A",H1397,IF(CH1397=1,(CK1397+CI1397)/2,IF(LEFT(Cockpit!$I$5,1)="B",(CK1397+AV1397)/2,MAX((CK1397+AV1397)/2,H1397))))</f>
        <v>5</v>
      </c>
      <c r="AU1397" s="50" t="n">
        <f aca="false">AT1397*G1397</f>
        <v>7446</v>
      </c>
      <c r="AV1397" s="50" t="n">
        <f aca="false">ROUNDUP(CK1397+MAX(CL1397,2*(J1397/IF(CG1397&gt;0,CG1397,MAX(0.1,N(Cockpit!$I$6)))-CK1397)),0)</f>
        <v>10</v>
      </c>
      <c r="AW1397" s="51" t="n">
        <f aca="false">IF(AS1397&gt;0,J1397/AS1397,-1)</f>
        <v>0.131240731586752</v>
      </c>
      <c r="AX1397" s="51" t="n">
        <f aca="false">IF(AND(OR(CF1397="L1",CF1397="L23",CF1397="LIFT"),AS1397&gt;0),SUMIFS($AS$7:$AS$1843,$CF$7:$CF$1843,CF1397,$AW$7:$AW$1843,"&gt;"&amp;AW1397)+SUMIFS($AS$7:$AS$1843,$CF$7:$CF$1843,CF1397,$AW$7:$AW$1843,AW1397,$BW$7:$BW$1843,"&lt;="&amp;BW1397),"")</f>
        <v>17886.8623346992</v>
      </c>
      <c r="AY1397" s="58" t="n">
        <f aca="false">IF(AX1397="",0,MAX(0,MIN(1,(IF(CF1397="L1",Parameter!$H$5,IF(CF1397="L23",Parameter!$H$6+Parameter!$H$7,Parameter!$H$5+Parameter!$H$6+Parameter!$H$7))-(AX1397-AS1397))/AS1397)))</f>
        <v>1</v>
      </c>
      <c r="AZ1397" s="50" t="n">
        <f aca="false">IF(LEFT(Cockpit!$O$5,1)="A",H1397,IF(Parameter!$E$30="MAX-Bestand",IF(CH1397=1,CI1397,IF(LEFT(Cockpit!$O$5,1)="B",BF1397,MAX(BF1397,H1397))),ROUNDUP(BD1397,0)))</f>
        <v>4</v>
      </c>
      <c r="BA1397" s="50" t="n">
        <f aca="false">IF(BZ1397=1,0,ROUNDUP(AZ1397/BY1397,0))</f>
        <v>0</v>
      </c>
      <c r="BB1397" s="52" t="n">
        <f aca="false">IF(CQ1397&gt;0,CQ1397*MAX(1,AZ1397/X1397),IF(BZ1397=1,IF(AZ1397&lt;=0,0,CD1397*MAX(1,IF(H1397&gt;0,AZ1397/H1397,1))),IF(R1397&gt;0,BA1397/R1397,0))/MAX(0.1,N(Parameter!$M$21)))</f>
        <v>0.480225988700565</v>
      </c>
      <c r="BC1397" s="50" t="n">
        <f aca="false">BB1397*CB1397</f>
        <v>114.293785310734</v>
      </c>
      <c r="BD1397" s="51" t="n">
        <f aca="false">IF(LEFT(Cockpit!$O$5,1)="A",H1397,IF(CH1397=1,(CK1397+CI1397)/2,IF(LEFT(Cockpit!$O$5,1)="B",(CK1397+BF1397)/2,MAX((CK1397+BF1397)/2,H1397))))</f>
        <v>4</v>
      </c>
      <c r="BE1397" s="50" t="n">
        <f aca="false">BD1397*G1397</f>
        <v>5956.8</v>
      </c>
      <c r="BF1397" s="50" t="n">
        <f aca="false">ROUNDUP(CK1397+MAX(CL1397,2*(J1397/IF(CG1397&gt;0,CG1397,MAX(0.1,N(Cockpit!$O$6)))-CK1397)),0)</f>
        <v>8</v>
      </c>
      <c r="BG1397" s="51" t="n">
        <f aca="false">IF(BC1397&gt;0,J1397/BC1397,-1)</f>
        <v>0.131240731586752</v>
      </c>
      <c r="BH1397" s="51" t="n">
        <f aca="false">IF(AND(OR(CF1397="L1",CF1397="L23",CF1397="LIFT"),BC1397&gt;0),SUMIFS($BC$7:$BC$1843,$CF$7:$CF$1843,CF1397,$BG$7:$BG$1843,"&gt;"&amp;BG1397)+SUMIFS($BC$7:$BC$1843,$CF$7:$CF$1843,CF1397,$BG$7:$BG$1843,BG1397,$BW$7:$BW$1843,"&lt;="&amp;BW1397),"")</f>
        <v>15100.5916138946</v>
      </c>
      <c r="BI1397" s="58" t="n">
        <f aca="false">IF(BH1397="",0,MAX(0,MIN(1,(IF(CF1397="L1",Parameter!$H$5,IF(CF1397="L23",Parameter!$H$6+Parameter!$H$7,Parameter!$H$5+Parameter!$H$6+Parameter!$H$7))-(BH1397-BC1397))/BC1397)))</f>
        <v>1</v>
      </c>
      <c r="BJ1397" s="48" t="str">
        <f aca="false">IF(AI1397&lt;=0,"",IF(CF1397="Aussen","Aussenlager",IF(CF1397="-","Nicht im Lift",IF(AO1397&gt;=1,"Lift",IF(AO1397&lt;=0,"Aussenlager","teilweise")))))</f>
        <v>Lift</v>
      </c>
      <c r="BK1397" s="48" t="str">
        <f aca="false">IF(AS1397&lt;=0,"",IF(CF1397="Aussen","Aussenlager",IF(CF1397="-","Nicht im Lift",IF(AY1397&gt;=1,"Lift",IF(AY1397&lt;=0,"Aussenlager","teilweise")))))</f>
        <v>Lift</v>
      </c>
      <c r="BL1397" s="48" t="str">
        <f aca="false">IF(BC1397&lt;=0,"",IF(CF1397="Aussen","Aussenlager",IF(CF1397="-","Nicht im Lift",IF(BI1397&gt;=1,"Lift",IF(BI1397&lt;=0,"Aussenlager","teilweise")))))</f>
        <v>Lift</v>
      </c>
      <c r="BM1397" s="48" t="str">
        <f aca="false">IF(A1397="","",IF(BV1397=1,"Neu; ","")&amp;IF(AND(BV1397=0,BQ1397&lt;0),"negativer Bestand (Export "&amp;BQ1397&amp;"); ","")&amp;IF(J1397&lt;=0,"Kein Verbrauch; ","")&amp;IF(CQ1397&gt;0,"Lift "&amp;W1397&amp;" lt. Liftbericht (Fach "&amp;X1397&amp;" Stk); ",IF(CA1397=1,"Gebinde geschätzt ("&amp;T1397&amp;"); ",IF(BZ1397=1,"Lose – Tablare geschätzt; ","")))&amp;IF(H1397&gt;AV1397,"Überbestand "&amp;ROUND(H1397-AV1397,0)&amp;" Stk / CHF "&amp;ROUND((H1397-AV1397)*G1397,0)&amp;"; ","")&amp;IF(AND(CH1397=1,CI1397&lt;CJ1397),"MAX &lt; MB+LG; ","")&amp;IF(AND(CP1397&gt;0,CO1397*10&gt;CP1397),"zu hoch für Tablar; ","")&amp;IF(AND(BV1397=0,OR(CH1397=1,AA1397&lt;&gt;"",U1397&lt;&gt;"",V1397&lt;&gt;"",AB1397&lt;&gt;"")),"manuell übersteuert; ","")&amp;IF(AND(BZ1397=0,R1397=0),"Gebinde unbekannt / Stellmass fehlt; ","")&amp;IF(AND(BZ1397=0,N(V1397)&lt;=0,N(Q1397)&lt;=0),"Menge pro Gebinde fehlt (Ist = 1 Gebinde); ","")&amp;BU1397)</f>
        <v>negativer Bestand (Export -3); Lift 1 lt. Liftbericht (Fach 6 Stk); </v>
      </c>
      <c r="BN1397" s="48"/>
      <c r="BO1397" s="48"/>
      <c r="BP1397" s="55"/>
      <c r="BQ1397" s="50" t="n">
        <v>-3</v>
      </c>
      <c r="BR1397" s="50" t="n">
        <v>3</v>
      </c>
      <c r="BS1397" s="49" t="n">
        <v>-3942.66</v>
      </c>
      <c r="BT1397" s="50" t="n">
        <v>15</v>
      </c>
      <c r="BU1397" s="48"/>
      <c r="BV1397" s="53" t="n">
        <v>0</v>
      </c>
      <c r="BW1397" s="53" t="n">
        <v>1397</v>
      </c>
      <c r="BX1397" s="48" t="str">
        <f aca="false">IF(U1397&lt;&gt;"",UPPER(TRIM(U1397)),IF(CA1397=1,UPPER(VLOOKUP(T1397,Parameter!$I$27:$K$29,2,0)),IF(P1397="","LOSE",P1397)))</f>
        <v>LOSE</v>
      </c>
      <c r="BY1397" s="50" t="n">
        <f aca="false">IF(BX1397="LOSE",1,IF(N(V1397)&gt;0,V1397,IF(CA1397=1,MAX(1,N(VLOOKUP(T1397,Parameter!$I$27:$K$29,3,0)),H1397,N(N1397)),IF(N(Q1397)&gt;0,Q1397,MAX(1,H1397)))))</f>
        <v>1</v>
      </c>
      <c r="BZ1397" s="53" t="n">
        <f aca="false">IF(BX1397="LOSE",1,0)</f>
        <v>1</v>
      </c>
      <c r="CA1397" s="53" t="n">
        <f aca="false">IF(AND(U1397="",OR(P1397="",P1397="LOSE"),T1397&lt;&gt;"",N(S1397)&lt;=0,ISNUMBER(MATCH(T1397,Parameter!$I$27:$I$29,0))),1,0)</f>
        <v>0</v>
      </c>
      <c r="CB1397" s="53" t="n">
        <f aca="false">IF(CQ1397&gt;0,INDEX(Parameter!$H$5:$H$7,W1397)/INDEX(Parameter!$E$5:$E$7,W1397),IF(AND(BZ1397=0,N(IFERROR(VLOOKUP(BX1397,'Gebinde-Kategorie'!$A$5:$N$45,14,0),0))&gt;0),VLOOKUP(BX1397,'Gebinde-Kategorie'!$A$5:$N$45,14,0)*10+Parameter!$M$23,Parameter!$M$24))</f>
        <v>238</v>
      </c>
      <c r="CC1397" s="48" t="n">
        <f aca="false">IF(AND(Parameter!$B$19="Ja",E1397&lt;&gt;"",ISNUMBER(MATCH(E1397,Parameter!$I$35:$I$52,0))),VLOOKUP(E1397,Parameter!$I$35:$J$52,2,0),IFERROR(VLOOKUP(D1397,Parameter!$A$35:$C$64,2,0),"Nein"))</f>
        <v>1</v>
      </c>
      <c r="CD1397" s="52" t="n">
        <f aca="false">IF(BZ1397=0,0,IF(N(S1397)&gt;0,S1397,IFERROR(VLOOKUP(D1397,Parameter!$A$35:$C$64,3,0)+0,0)))</f>
        <v>1</v>
      </c>
      <c r="CE1397" s="48" t="n">
        <f aca="false">IF(AA1397&lt;&gt;"",AA1397,Z1397)</f>
        <v>1</v>
      </c>
      <c r="CF1397" s="48" t="str">
        <f aca="false">IF(OR(CE1397=1,CE1397=2,CE1397=3),IF(Parameter!$E$27="Ja","LIFT",IF(CE1397=1,"L1","L23")),IF(CE1397="Aussen","Aussen","-"))</f>
        <v>LIFT</v>
      </c>
      <c r="CG1397" s="59" t="n">
        <f aca="false">IF(N(AB1397)&gt;0,AB1397,0)</f>
        <v>0</v>
      </c>
      <c r="CH1397" s="53" t="n">
        <f aca="false">IF(ISNUMBER(AE1397),1,0)</f>
        <v>0</v>
      </c>
      <c r="CI1397" s="50" t="n">
        <f aca="false">N(AE1397)</f>
        <v>0</v>
      </c>
      <c r="CJ1397" s="50" t="n">
        <f aca="false">N(M1397)+N(N1397)</f>
        <v>5</v>
      </c>
      <c r="CK1397" s="50" t="n">
        <f aca="false">N(M1397)</f>
        <v>0</v>
      </c>
      <c r="CL1397" s="50" t="n">
        <f aca="false">N(N1397)</f>
        <v>5</v>
      </c>
      <c r="CM1397" s="50" t="n">
        <f aca="false">ROUNDUP(H1397/BY1397,0)</f>
        <v>0</v>
      </c>
      <c r="CN1397" s="50" t="n">
        <f aca="false">ROUNDUP(CI1397/BY1397,0)</f>
        <v>0</v>
      </c>
      <c r="CO1397" s="53" t="n">
        <f aca="false">IF(BZ1397=1,0,IFERROR(VLOOKUP(BX1397,'Gebinde-Kategorie'!$A$5:$N$45,5,0)+0,0))</f>
        <v>0</v>
      </c>
      <c r="CP1397" s="53" t="n">
        <f aca="false">IFERROR(IF(OR(CE1397=1,CE1397=2,CE1397=3),N(INDEX(Parameter!$I$5:$I$7,CE1397)),0),0)</f>
        <v>0</v>
      </c>
      <c r="CQ1397" s="52" t="n">
        <f aca="false">IF(AND(Parameter!$B$21="Ja",ISNUMBER(W1397),N(X1397)&gt;0),IFERROR(N(INDEX(Parameter!$L$5:$L$7,W1397))*INDEX(Parameter!$E$5:$E$7,W1397)*X1397/SUMIFS($X$7:$X$1843,$W$7:$W$1843,W1397),0),0)</f>
        <v>0.480225988700565</v>
      </c>
    </row>
    <row r="1398" customFormat="false" ht="15" hidden="false" customHeight="false" outlineLevel="0" collapsed="false">
      <c r="A1398" s="48" t="s">
        <v>2466</v>
      </c>
      <c r="B1398" s="48" t="s">
        <v>2467</v>
      </c>
      <c r="C1398" s="48" t="s">
        <v>173</v>
      </c>
      <c r="D1398" s="48" t="s">
        <v>182</v>
      </c>
      <c r="E1398" s="48" t="s">
        <v>175</v>
      </c>
      <c r="F1398" s="48" t="s">
        <v>227</v>
      </c>
      <c r="G1398" s="49" t="n">
        <v>1024.61</v>
      </c>
      <c r="H1398" s="50" t="n">
        <f aca="false">MAX(0,IF(AND(Parameter!$B$21="Ja",ISNUMBER(Y1398)),Y1398,IF(Parameter!$B$20="Jahresanfang 2025 + Export",BR1398+BQ1398,BQ1398)))</f>
        <v>17</v>
      </c>
      <c r="I1398" s="50" t="n">
        <f aca="false">H1398*G1398</f>
        <v>17418.37</v>
      </c>
      <c r="J1398" s="50" t="n">
        <f aca="false">BT1398*Parameter!$B$18</f>
        <v>160</v>
      </c>
      <c r="K1398" s="51" t="n">
        <v>23</v>
      </c>
      <c r="L1398" s="52" t="n">
        <v>6.95652173913044</v>
      </c>
      <c r="M1398" s="50" t="n">
        <v>9</v>
      </c>
      <c r="N1398" s="50" t="n">
        <v>16</v>
      </c>
      <c r="O1398" s="53" t="n">
        <v>21</v>
      </c>
      <c r="P1398" s="48" t="s">
        <v>183</v>
      </c>
      <c r="Q1398" s="50" t="n">
        <v>36</v>
      </c>
      <c r="R1398" s="53" t="n">
        <f aca="false">IF(BZ1398=1,0,IFERROR(VLOOKUP(BX1398,'Gebinde-Kategorie'!$A$5:$N$45,13,0)+0,0))</f>
        <v>6</v>
      </c>
      <c r="S1398" s="54"/>
      <c r="T1398" s="55"/>
      <c r="U1398" s="55"/>
      <c r="V1398" s="55"/>
      <c r="W1398" s="48"/>
      <c r="X1398" s="50"/>
      <c r="Y1398" s="50"/>
      <c r="Z1398" s="48" t="n">
        <f aca="false">IF(A1398="","",IF(AND(Parameter!$B$21="Ja",ISNUMBER(W1398)),W1398,IF(CC1398="2+3",IF(ISNUMBER(SEARCH("grosser Artikel",BU1398)),2,IFERROR(VLOOKUP(BX1398,Parameter!$F$35:$G$64,2,0),2)),IF(OR(CC1398="Nein",CC1398=""),"-",CC1398))))</f>
        <v>1</v>
      </c>
      <c r="AA1398" s="55"/>
      <c r="AB1398" s="56"/>
      <c r="AC1398" s="50" t="n">
        <f aca="false">AV1398</f>
        <v>98</v>
      </c>
      <c r="AD1398" s="50" t="n">
        <f aca="false">MAX(AV1398,H1398)</f>
        <v>98</v>
      </c>
      <c r="AE1398" s="57"/>
      <c r="AF1398" s="50" t="n">
        <f aca="false">IF(LEFT(Cockpit!$C$5,1)="A",H1398,IF(Parameter!$E$30="MAX-Bestand",IF(CH1398=1,CI1398,IF(LEFT(Cockpit!$C$5,1)="B",AL1398,MAX(AL1398,H1398))),ROUNDUP(AJ1398,0)))</f>
        <v>17</v>
      </c>
      <c r="AG1398" s="50" t="n">
        <f aca="false">IF(BZ1398=1,0,ROUNDUP(AF1398/BY1398,0))</f>
        <v>1</v>
      </c>
      <c r="AH1398" s="52" t="n">
        <f aca="false">IF(CQ1398&gt;0,CQ1398*MAX(1,AF1398/X1398),IF(BZ1398=1,IF(AF1398&lt;=0,0,CD1398*MAX(1,IF(H1398&gt;0,AF1398/H1398,1))),IF(R1398&gt;0,AG1398/R1398,0))/MAX(0.1,N(Parameter!$M$21)))</f>
        <v>0.166666666666667</v>
      </c>
      <c r="AI1398" s="50" t="n">
        <f aca="false">AH1398*CB1398</f>
        <v>39.1666666666667</v>
      </c>
      <c r="AJ1398" s="51" t="n">
        <f aca="false">IF(LEFT(Cockpit!$C$5,1)="A",H1398,IF(CH1398=1,(CK1398+CI1398)/2,IF(LEFT(Cockpit!$C$5,1)="B",(CK1398+AL1398)/2,MAX((CK1398+AL1398)/2,H1398))))</f>
        <v>17</v>
      </c>
      <c r="AK1398" s="50" t="n">
        <f aca="false">AJ1398*G1398</f>
        <v>17418.37</v>
      </c>
      <c r="AL1398" s="50" t="n">
        <f aca="false">ROUNDUP(CK1398+MAX(CL1398,2*(J1398/IF(CG1398&gt;0,CG1398,MAX(0.1,N(Cockpit!$C$6)))-CK1398)),0)</f>
        <v>98</v>
      </c>
      <c r="AM1398" s="51" t="n">
        <f aca="false">IF(AI1398&gt;0,J1398/AI1398,-1)</f>
        <v>4.08510638297872</v>
      </c>
      <c r="AN1398" s="51" t="n">
        <f aca="false">IF(AND(OR(CF1398="L1",CF1398="L23",CF1398="LIFT"),AI1398&gt;0),SUMIFS($AI$7:$AI$1843,$CF$7:$CF$1843,CF1398,$AM$7:$AM$1843,"&gt;"&amp;AM1398)+SUMIFS($AI$7:$AI$1843,$CF$7:$CF$1843,CF1398,$AM$7:$AM$1843,AM1398,$BW$7:$BW$1843,"&lt;="&amp;BW1398),"")</f>
        <v>4237.66346153846</v>
      </c>
      <c r="AO1398" s="58" t="n">
        <f aca="false">IF(AN1398="",0,MAX(0,MIN(1,(IF(CF1398="L1",Parameter!$H$5,IF(CF1398="L23",Parameter!$H$6+Parameter!$H$7,Parameter!$H$5+Parameter!$H$6+Parameter!$H$7))-(AN1398-AI1398))/AI1398)))</f>
        <v>1</v>
      </c>
      <c r="AP1398" s="50" t="n">
        <f aca="false">IF(LEFT(Cockpit!$I$5,1)="A",H1398,IF(Parameter!$E$30="MAX-Bestand",IF(CH1398=1,CI1398,IF(LEFT(Cockpit!$I$5,1)="B",AV1398,MAX(AV1398,H1398))),ROUNDUP(AT1398,0)))</f>
        <v>54</v>
      </c>
      <c r="AQ1398" s="50" t="n">
        <f aca="false">IF(BZ1398=1,0,ROUNDUP(AP1398/BY1398,0))</f>
        <v>2</v>
      </c>
      <c r="AR1398" s="52" t="n">
        <f aca="false">IF(CQ1398&gt;0,CQ1398*MAX(1,AP1398/X1398),IF(BZ1398=1,IF(AP1398&lt;=0,0,CD1398*MAX(1,IF(H1398&gt;0,AP1398/H1398,1))),IF(R1398&gt;0,AQ1398/R1398,0))/MAX(0.1,N(Parameter!$M$21)))</f>
        <v>0.333333333333333</v>
      </c>
      <c r="AS1398" s="50" t="n">
        <f aca="false">AR1398*CB1398</f>
        <v>78.3333333333333</v>
      </c>
      <c r="AT1398" s="51" t="n">
        <f aca="false">IF(LEFT(Cockpit!$I$5,1)="A",H1398,IF(CH1398=1,(CK1398+CI1398)/2,IF(LEFT(Cockpit!$I$5,1)="B",(CK1398+AV1398)/2,MAX((CK1398+AV1398)/2,H1398))))</f>
        <v>53.5</v>
      </c>
      <c r="AU1398" s="50" t="n">
        <f aca="false">AT1398*G1398</f>
        <v>54816.635</v>
      </c>
      <c r="AV1398" s="50" t="n">
        <f aca="false">ROUNDUP(CK1398+MAX(CL1398,2*(J1398/IF(CG1398&gt;0,CG1398,MAX(0.1,N(Cockpit!$I$6)))-CK1398)),0)</f>
        <v>98</v>
      </c>
      <c r="AW1398" s="51" t="n">
        <f aca="false">IF(AS1398&gt;0,J1398/AS1398,-1)</f>
        <v>2.04255319148936</v>
      </c>
      <c r="AX1398" s="51" t="n">
        <f aca="false">IF(AND(OR(CF1398="L1",CF1398="L23",CF1398="LIFT"),AS1398&gt;0),SUMIFS($AS$7:$AS$1843,$CF$7:$CF$1843,CF1398,$AW$7:$AW$1843,"&gt;"&amp;AW1398)+SUMIFS($AS$7:$AS$1843,$CF$7:$CF$1843,CF1398,$AW$7:$AW$1843,AW1398,$BW$7:$BW$1843,"&lt;="&amp;BW1398),"")</f>
        <v>7118.54899267399</v>
      </c>
      <c r="AY1398" s="58" t="n">
        <f aca="false">IF(AX1398="",0,MAX(0,MIN(1,(IF(CF1398="L1",Parameter!$H$5,IF(CF1398="L23",Parameter!$H$6+Parameter!$H$7,Parameter!$H$5+Parameter!$H$6+Parameter!$H$7))-(AX1398-AS1398))/AS1398)))</f>
        <v>1</v>
      </c>
      <c r="AZ1398" s="50" t="n">
        <f aca="false">IF(LEFT(Cockpit!$O$5,1)="A",H1398,IF(Parameter!$E$30="MAX-Bestand",IF(CH1398=1,CI1398,IF(LEFT(Cockpit!$O$5,1)="B",BF1398,MAX(BF1398,H1398))),ROUNDUP(BD1398,0)))</f>
        <v>40</v>
      </c>
      <c r="BA1398" s="50" t="n">
        <f aca="false">IF(BZ1398=1,0,ROUNDUP(AZ1398/BY1398,0))</f>
        <v>2</v>
      </c>
      <c r="BB1398" s="52" t="n">
        <f aca="false">IF(CQ1398&gt;0,CQ1398*MAX(1,AZ1398/X1398),IF(BZ1398=1,IF(AZ1398&lt;=0,0,CD1398*MAX(1,IF(H1398&gt;0,AZ1398/H1398,1))),IF(R1398&gt;0,BA1398/R1398,0))/MAX(0.1,N(Parameter!$M$21)))</f>
        <v>0.333333333333333</v>
      </c>
      <c r="BC1398" s="50" t="n">
        <f aca="false">BB1398*CB1398</f>
        <v>78.3333333333333</v>
      </c>
      <c r="BD1398" s="51" t="n">
        <f aca="false">IF(LEFT(Cockpit!$O$5,1)="A",H1398,IF(CH1398=1,(CK1398+CI1398)/2,IF(LEFT(Cockpit!$O$5,1)="B",(CK1398+BF1398)/2,MAX((CK1398+BF1398)/2,H1398))))</f>
        <v>40</v>
      </c>
      <c r="BE1398" s="50" t="n">
        <f aca="false">BD1398*G1398</f>
        <v>40984.4</v>
      </c>
      <c r="BF1398" s="50" t="n">
        <f aca="false">ROUNDUP(CK1398+MAX(CL1398,2*(J1398/IF(CG1398&gt;0,CG1398,MAX(0.1,N(Cockpit!$O$6)))-CK1398)),0)</f>
        <v>71</v>
      </c>
      <c r="BG1398" s="51" t="n">
        <f aca="false">IF(BC1398&gt;0,J1398/BC1398,-1)</f>
        <v>2.04255319148936</v>
      </c>
      <c r="BH1398" s="51" t="n">
        <f aca="false">IF(AND(OR(CF1398="L1",CF1398="L23",CF1398="LIFT"),BC1398&gt;0),SUMIFS($BC$7:$BC$1843,$CF$7:$CF$1843,CF1398,$BG$7:$BG$1843,"&gt;"&amp;BG1398)+SUMIFS($BC$7:$BC$1843,$CF$7:$CF$1843,CF1398,$BG$7:$BG$1843,BG1398,$BW$7:$BW$1843,"&lt;="&amp;BW1398),"")</f>
        <v>5842.73717948718</v>
      </c>
      <c r="BI1398" s="58" t="n">
        <f aca="false">IF(BH1398="",0,MAX(0,MIN(1,(IF(CF1398="L1",Parameter!$H$5,IF(CF1398="L23",Parameter!$H$6+Parameter!$H$7,Parameter!$H$5+Parameter!$H$6+Parameter!$H$7))-(BH1398-BC1398))/BC1398)))</f>
        <v>1</v>
      </c>
      <c r="BJ1398" s="48" t="str">
        <f aca="false">IF(AI1398&lt;=0,"",IF(CF1398="Aussen","Aussenlager",IF(CF1398="-","Nicht im Lift",IF(AO1398&gt;=1,"Lift",IF(AO1398&lt;=0,"Aussenlager","teilweise")))))</f>
        <v>Lift</v>
      </c>
      <c r="BK1398" s="48" t="str">
        <f aca="false">IF(AS1398&lt;=0,"",IF(CF1398="Aussen","Aussenlager",IF(CF1398="-","Nicht im Lift",IF(AY1398&gt;=1,"Lift",IF(AY1398&lt;=0,"Aussenlager","teilweise")))))</f>
        <v>Lift</v>
      </c>
      <c r="BL1398" s="48" t="str">
        <f aca="false">IF(BC1398&lt;=0,"",IF(CF1398="Aussen","Aussenlager",IF(CF1398="-","Nicht im Lift",IF(BI1398&gt;=1,"Lift",IF(BI1398&lt;=0,"Aussenlager","teilweise")))))</f>
        <v>Lift</v>
      </c>
      <c r="BM1398" s="48" t="str">
        <f aca="false">IF(A1398="","",IF(BV1398=1,"Neu; ","")&amp;IF(AND(BV1398=0,BQ1398&lt;0),"negativer Bestand (Export "&amp;BQ1398&amp;"); ","")&amp;IF(J1398&lt;=0,"Kein Verbrauch; ","")&amp;IF(CQ1398&gt;0,"Lift "&amp;W1398&amp;" lt. Liftbericht (Fach "&amp;X1398&amp;" Stk); ",IF(CA1398=1,"Gebinde geschätzt ("&amp;T1398&amp;"); ",IF(BZ1398=1,"Lose – Tablare geschätzt; ","")))&amp;IF(H1398&gt;AV1398,"Überbestand "&amp;ROUND(H1398-AV1398,0)&amp;" Stk / CHF "&amp;ROUND((H1398-AV1398)*G1398,0)&amp;"; ","")&amp;IF(AND(CH1398=1,CI1398&lt;CJ1398),"MAX &lt; MB+LG; ","")&amp;IF(AND(CP1398&gt;0,CO1398*10&gt;CP1398),"zu hoch für Tablar; ","")&amp;IF(AND(BV1398=0,OR(CH1398=1,AA1398&lt;&gt;"",U1398&lt;&gt;"",V1398&lt;&gt;"",AB1398&lt;&gt;"")),"manuell übersteuert; ","")&amp;IF(AND(BZ1398=0,R1398=0),"Gebinde unbekannt / Stellmass fehlt; ","")&amp;IF(AND(BZ1398=0,N(V1398)&lt;=0,N(Q1398)&lt;=0),"Menge pro Gebinde fehlt (Ist = 1 Gebinde); ","")&amp;BU1398)</f>
        <v>negativer Bestand (Export -6); </v>
      </c>
      <c r="BN1398" s="48"/>
      <c r="BO1398" s="48"/>
      <c r="BP1398" s="55"/>
      <c r="BQ1398" s="50" t="n">
        <v>-6</v>
      </c>
      <c r="BR1398" s="50" t="n">
        <v>23</v>
      </c>
      <c r="BS1398" s="49" t="n">
        <v>-4018.54999999997</v>
      </c>
      <c r="BT1398" s="50" t="n">
        <v>160</v>
      </c>
      <c r="BU1398" s="48"/>
      <c r="BV1398" s="53" t="n">
        <v>0</v>
      </c>
      <c r="BW1398" s="53" t="n">
        <v>1398</v>
      </c>
      <c r="BX1398" s="48" t="str">
        <f aca="false">IF(U1398&lt;&gt;"",UPPER(TRIM(U1398)),IF(CA1398=1,UPPER(VLOOKUP(T1398,Parameter!$I$27:$K$29,2,0)),IF(P1398="","LOSE",P1398)))</f>
        <v>S71</v>
      </c>
      <c r="BY1398" s="50" t="n">
        <f aca="false">IF(BX1398="LOSE",1,IF(N(V1398)&gt;0,V1398,IF(CA1398=1,MAX(1,N(VLOOKUP(T1398,Parameter!$I$27:$K$29,3,0)),H1398,N(N1398)),IF(N(Q1398)&gt;0,Q1398,MAX(1,H1398)))))</f>
        <v>36</v>
      </c>
      <c r="BZ1398" s="53" t="n">
        <f aca="false">IF(BX1398="LOSE",1,0)</f>
        <v>0</v>
      </c>
      <c r="CA1398" s="53" t="n">
        <f aca="false">IF(AND(U1398="",OR(P1398="",P1398="LOSE"),T1398&lt;&gt;"",N(S1398)&lt;=0,ISNUMBER(MATCH(T1398,Parameter!$I$27:$I$29,0))),1,0)</f>
        <v>0</v>
      </c>
      <c r="CB1398" s="53" t="n">
        <f aca="false">IF(CQ1398&gt;0,INDEX(Parameter!$H$5:$H$7,W1398)/INDEX(Parameter!$E$5:$E$7,W1398),IF(AND(BZ1398=0,N(IFERROR(VLOOKUP(BX1398,'Gebinde-Kategorie'!$A$5:$N$45,14,0),0))&gt;0),VLOOKUP(BX1398,'Gebinde-Kategorie'!$A$5:$N$45,14,0)*10+Parameter!$M$23,Parameter!$M$24))</f>
        <v>235</v>
      </c>
      <c r="CC1398" s="48" t="n">
        <f aca="false">IF(AND(Parameter!$B$19="Ja",E1398&lt;&gt;"",ISNUMBER(MATCH(E1398,Parameter!$I$35:$I$52,0))),VLOOKUP(E1398,Parameter!$I$35:$J$52,2,0),IFERROR(VLOOKUP(D1398,Parameter!$A$35:$C$64,2,0),"Nein"))</f>
        <v>1</v>
      </c>
      <c r="CD1398" s="52" t="n">
        <f aca="false">IF(BZ1398=0,0,IF(N(S1398)&gt;0,S1398,IFERROR(VLOOKUP(D1398,Parameter!$A$35:$C$64,3,0)+0,0)))</f>
        <v>0</v>
      </c>
      <c r="CE1398" s="48" t="n">
        <f aca="false">IF(AA1398&lt;&gt;"",AA1398,Z1398)</f>
        <v>1</v>
      </c>
      <c r="CF1398" s="48" t="str">
        <f aca="false">IF(OR(CE1398=1,CE1398=2,CE1398=3),IF(Parameter!$E$27="Ja","LIFT",IF(CE1398=1,"L1","L23")),IF(CE1398="Aussen","Aussen","-"))</f>
        <v>LIFT</v>
      </c>
      <c r="CG1398" s="59" t="n">
        <f aca="false">IF(N(AB1398)&gt;0,AB1398,0)</f>
        <v>0</v>
      </c>
      <c r="CH1398" s="53" t="n">
        <f aca="false">IF(ISNUMBER(AE1398),1,0)</f>
        <v>0</v>
      </c>
      <c r="CI1398" s="50" t="n">
        <f aca="false">N(AE1398)</f>
        <v>0</v>
      </c>
      <c r="CJ1398" s="50" t="n">
        <f aca="false">N(M1398)+N(N1398)</f>
        <v>25</v>
      </c>
      <c r="CK1398" s="50" t="n">
        <f aca="false">N(M1398)</f>
        <v>9</v>
      </c>
      <c r="CL1398" s="50" t="n">
        <f aca="false">N(N1398)</f>
        <v>16</v>
      </c>
      <c r="CM1398" s="50" t="n">
        <f aca="false">ROUNDUP(H1398/BY1398,0)</f>
        <v>1</v>
      </c>
      <c r="CN1398" s="50" t="n">
        <f aca="false">ROUNDUP(CI1398/BY1398,0)</f>
        <v>0</v>
      </c>
      <c r="CO1398" s="53" t="n">
        <f aca="false">IF(BZ1398=1,0,IFERROR(VLOOKUP(BX1398,'Gebinde-Kategorie'!$A$5:$N$45,5,0)+0,0))</f>
        <v>20</v>
      </c>
      <c r="CP1398" s="53" t="n">
        <f aca="false">IFERROR(IF(OR(CE1398=1,CE1398=2,CE1398=3),N(INDEX(Parameter!$I$5:$I$7,CE1398)),0),0)</f>
        <v>0</v>
      </c>
      <c r="CQ1398" s="52" t="n">
        <f aca="false">IF(AND(Parameter!$B$21="Ja",ISNUMBER(W1398),N(X1398)&gt;0),IFERROR(N(INDEX(Parameter!$L$5:$L$7,W1398))*INDEX(Parameter!$E$5:$E$7,W1398)*X1398/SUMIFS($X$7:$X$1843,$W$7:$W$1843,W1398),0),0)</f>
        <v>0</v>
      </c>
    </row>
    <row r="1399" customFormat="false" ht="15" hidden="false" customHeight="false" outlineLevel="0" collapsed="false">
      <c r="A1399" s="48" t="s">
        <v>2468</v>
      </c>
      <c r="B1399" s="48" t="s">
        <v>2469</v>
      </c>
      <c r="C1399" s="48" t="s">
        <v>173</v>
      </c>
      <c r="D1399" s="48" t="s">
        <v>182</v>
      </c>
      <c r="E1399" s="48"/>
      <c r="F1399" s="48" t="s">
        <v>227</v>
      </c>
      <c r="G1399" s="49" t="n">
        <v>2012.56</v>
      </c>
      <c r="H1399" s="50" t="n">
        <f aca="false">MAX(0,IF(AND(Parameter!$B$21="Ja",ISNUMBER(Y1399)),Y1399,IF(Parameter!$B$20="Jahresanfang 2025 + Export",BR1399+BQ1399,BQ1399)))</f>
        <v>14</v>
      </c>
      <c r="I1399" s="50" t="n">
        <f aca="false">H1399*G1399</f>
        <v>28175.84</v>
      </c>
      <c r="J1399" s="50" t="n">
        <f aca="false">BT1399*Parameter!$B$18</f>
        <v>1</v>
      </c>
      <c r="K1399" s="51" t="n">
        <v>15.5</v>
      </c>
      <c r="L1399" s="52" t="n">
        <v>0.0645161290322581</v>
      </c>
      <c r="M1399" s="50" t="n">
        <v>0</v>
      </c>
      <c r="N1399" s="50" t="n">
        <v>1</v>
      </c>
      <c r="O1399" s="53" t="n">
        <v>112</v>
      </c>
      <c r="P1399" s="48" t="s">
        <v>183</v>
      </c>
      <c r="Q1399" s="50" t="n">
        <v>14</v>
      </c>
      <c r="R1399" s="53" t="n">
        <f aca="false">IF(BZ1399=1,0,IFERROR(VLOOKUP(BX1399,'Gebinde-Kategorie'!$A$5:$N$45,13,0)+0,0))</f>
        <v>6</v>
      </c>
      <c r="S1399" s="54"/>
      <c r="T1399" s="55"/>
      <c r="U1399" s="55"/>
      <c r="V1399" s="55"/>
      <c r="W1399" s="48"/>
      <c r="X1399" s="50"/>
      <c r="Y1399" s="50"/>
      <c r="Z1399" s="48" t="n">
        <f aca="false">IF(A1399="","",IF(AND(Parameter!$B$21="Ja",ISNUMBER(W1399)),W1399,IF(CC1399="2+3",IF(ISNUMBER(SEARCH("grosser Artikel",BU1399)),2,IFERROR(VLOOKUP(BX1399,Parameter!$F$35:$G$64,2,0),2)),IF(OR(CC1399="Nein",CC1399=""),"-",CC1399))))</f>
        <v>2</v>
      </c>
      <c r="AA1399" s="55"/>
      <c r="AB1399" s="56"/>
      <c r="AC1399" s="50" t="n">
        <f aca="false">AV1399</f>
        <v>1</v>
      </c>
      <c r="AD1399" s="50" t="n">
        <f aca="false">MAX(AV1399,H1399)</f>
        <v>14</v>
      </c>
      <c r="AE1399" s="57"/>
      <c r="AF1399" s="50" t="n">
        <f aca="false">IF(LEFT(Cockpit!$C$5,1)="A",H1399,IF(Parameter!$E$30="MAX-Bestand",IF(CH1399=1,CI1399,IF(LEFT(Cockpit!$C$5,1)="B",AL1399,MAX(AL1399,H1399))),ROUNDUP(AJ1399,0)))</f>
        <v>14</v>
      </c>
      <c r="AG1399" s="50" t="n">
        <f aca="false">IF(BZ1399=1,0,ROUNDUP(AF1399/BY1399,0))</f>
        <v>1</v>
      </c>
      <c r="AH1399" s="52" t="n">
        <f aca="false">IF(CQ1399&gt;0,CQ1399*MAX(1,AF1399/X1399),IF(BZ1399=1,IF(AF1399&lt;=0,0,CD1399*MAX(1,IF(H1399&gt;0,AF1399/H1399,1))),IF(R1399&gt;0,AG1399/R1399,0))/MAX(0.1,N(Parameter!$M$21)))</f>
        <v>0.166666666666667</v>
      </c>
      <c r="AI1399" s="50" t="n">
        <f aca="false">AH1399*CB1399</f>
        <v>39.1666666666667</v>
      </c>
      <c r="AJ1399" s="51" t="n">
        <f aca="false">IF(LEFT(Cockpit!$C$5,1)="A",H1399,IF(CH1399=1,(CK1399+CI1399)/2,IF(LEFT(Cockpit!$C$5,1)="B",(CK1399+AL1399)/2,MAX((CK1399+AL1399)/2,H1399))))</f>
        <v>14</v>
      </c>
      <c r="AK1399" s="50" t="n">
        <f aca="false">AJ1399*G1399</f>
        <v>28175.84</v>
      </c>
      <c r="AL1399" s="50" t="n">
        <f aca="false">ROUNDUP(CK1399+MAX(CL1399,2*(J1399/IF(CG1399&gt;0,CG1399,MAX(0.1,N(Cockpit!$C$6)))-CK1399)),0)</f>
        <v>1</v>
      </c>
      <c r="AM1399" s="51" t="n">
        <f aca="false">IF(AI1399&gt;0,J1399/AI1399,-1)</f>
        <v>0.025531914893617</v>
      </c>
      <c r="AN1399" s="51" t="n">
        <f aca="false">IF(AND(OR(CF1399="L1",CF1399="L23",CF1399="LIFT"),AI1399&gt;0),SUMIFS($AI$7:$AI$1843,$CF$7:$CF$1843,CF1399,$AM$7:$AM$1843,"&gt;"&amp;AM1399)+SUMIFS($AI$7:$AI$1843,$CF$7:$CF$1843,CF1399,$AM$7:$AM$1843,AM1399,$BW$7:$BW$1843,"&lt;="&amp;BW1399),"")</f>
        <v>22003.7770715631</v>
      </c>
      <c r="AO1399" s="58" t="n">
        <f aca="false">IF(AN1399="",0,MAX(0,MIN(1,(IF(CF1399="L1",Parameter!$H$5,IF(CF1399="L23",Parameter!$H$6+Parameter!$H$7,Parameter!$H$5+Parameter!$H$6+Parameter!$H$7))-(AN1399-AI1399))/AI1399)))</f>
        <v>1</v>
      </c>
      <c r="AP1399" s="50" t="n">
        <f aca="false">IF(LEFT(Cockpit!$I$5,1)="A",H1399,IF(Parameter!$E$30="MAX-Bestand",IF(CH1399=1,CI1399,IF(LEFT(Cockpit!$I$5,1)="B",AV1399,MAX(AV1399,H1399))),ROUNDUP(AT1399,0)))</f>
        <v>14</v>
      </c>
      <c r="AQ1399" s="50" t="n">
        <f aca="false">IF(BZ1399=1,0,ROUNDUP(AP1399/BY1399,0))</f>
        <v>1</v>
      </c>
      <c r="AR1399" s="52" t="n">
        <f aca="false">IF(CQ1399&gt;0,CQ1399*MAX(1,AP1399/X1399),IF(BZ1399=1,IF(AP1399&lt;=0,0,CD1399*MAX(1,IF(H1399&gt;0,AP1399/H1399,1))),IF(R1399&gt;0,AQ1399/R1399,0))/MAX(0.1,N(Parameter!$M$21)))</f>
        <v>0.166666666666667</v>
      </c>
      <c r="AS1399" s="50" t="n">
        <f aca="false">AR1399*CB1399</f>
        <v>39.1666666666667</v>
      </c>
      <c r="AT1399" s="51" t="n">
        <f aca="false">IF(LEFT(Cockpit!$I$5,1)="A",H1399,IF(CH1399=1,(CK1399+CI1399)/2,IF(LEFT(Cockpit!$I$5,1)="B",(CK1399+AV1399)/2,MAX((CK1399+AV1399)/2,H1399))))</f>
        <v>14</v>
      </c>
      <c r="AU1399" s="50" t="n">
        <f aca="false">AT1399*G1399</f>
        <v>28175.84</v>
      </c>
      <c r="AV1399" s="50" t="n">
        <f aca="false">ROUNDUP(CK1399+MAX(CL1399,2*(J1399/IF(CG1399&gt;0,CG1399,MAX(0.1,N(Cockpit!$I$6)))-CK1399)),0)</f>
        <v>1</v>
      </c>
      <c r="AW1399" s="51" t="n">
        <f aca="false">IF(AS1399&gt;0,J1399/AS1399,-1)</f>
        <v>0.025531914893617</v>
      </c>
      <c r="AX1399" s="51" t="n">
        <f aca="false">IF(AND(OR(CF1399="L1",CF1399="L23",CF1399="LIFT"),AS1399&gt;0),SUMIFS($AS$7:$AS$1843,$CF$7:$CF$1843,CF1399,$AW$7:$AW$1843,"&gt;"&amp;AW1399)+SUMIFS($AS$7:$AS$1843,$CF$7:$CF$1843,CF1399,$AW$7:$AW$1843,AW1399,$BW$7:$BW$1843,"&lt;="&amp;BW1399),"")</f>
        <v>27239.4257129405</v>
      </c>
      <c r="AY1399" s="58" t="n">
        <f aca="false">IF(AX1399="",0,MAX(0,MIN(1,(IF(CF1399="L1",Parameter!$H$5,IF(CF1399="L23",Parameter!$H$6+Parameter!$H$7,Parameter!$H$5+Parameter!$H$6+Parameter!$H$7))-(AX1399-AS1399))/AS1399)))</f>
        <v>1</v>
      </c>
      <c r="AZ1399" s="50" t="n">
        <f aca="false">IF(LEFT(Cockpit!$O$5,1)="A",H1399,IF(Parameter!$E$30="MAX-Bestand",IF(CH1399=1,CI1399,IF(LEFT(Cockpit!$O$5,1)="B",BF1399,MAX(BF1399,H1399))),ROUNDUP(BD1399,0)))</f>
        <v>1</v>
      </c>
      <c r="BA1399" s="50" t="n">
        <f aca="false">IF(BZ1399=1,0,ROUNDUP(AZ1399/BY1399,0))</f>
        <v>1</v>
      </c>
      <c r="BB1399" s="52" t="n">
        <f aca="false">IF(CQ1399&gt;0,CQ1399*MAX(1,AZ1399/X1399),IF(BZ1399=1,IF(AZ1399&lt;=0,0,CD1399*MAX(1,IF(H1399&gt;0,AZ1399/H1399,1))),IF(R1399&gt;0,BA1399/R1399,0))/MAX(0.1,N(Parameter!$M$21)))</f>
        <v>0.166666666666667</v>
      </c>
      <c r="BC1399" s="50" t="n">
        <f aca="false">BB1399*CB1399</f>
        <v>39.1666666666667</v>
      </c>
      <c r="BD1399" s="51" t="n">
        <f aca="false">IF(LEFT(Cockpit!$O$5,1)="A",H1399,IF(CH1399=1,(CK1399+CI1399)/2,IF(LEFT(Cockpit!$O$5,1)="B",(CK1399+BF1399)/2,MAX((CK1399+BF1399)/2,H1399))))</f>
        <v>0.5</v>
      </c>
      <c r="BE1399" s="50" t="n">
        <f aca="false">BD1399*G1399</f>
        <v>1006.28</v>
      </c>
      <c r="BF1399" s="50" t="n">
        <f aca="false">ROUNDUP(CK1399+MAX(CL1399,2*(J1399/IF(CG1399&gt;0,CG1399,MAX(0.1,N(Cockpit!$O$6)))-CK1399)),0)</f>
        <v>1</v>
      </c>
      <c r="BG1399" s="51" t="n">
        <f aca="false">IF(BC1399&gt;0,J1399/BC1399,-1)</f>
        <v>0.025531914893617</v>
      </c>
      <c r="BH1399" s="51" t="n">
        <f aca="false">IF(AND(OR(CF1399="L1",CF1399="L23",CF1399="LIFT"),BC1399&gt;0),SUMIFS($BC$7:$BC$1843,$CF$7:$CF$1843,CF1399,$BG$7:$BG$1843,"&gt;"&amp;BG1399)+SUMIFS($BC$7:$BC$1843,$CF$7:$CF$1843,CF1399,$BG$7:$BG$1843,BG1399,$BW$7:$BW$1843,"&lt;="&amp;BW1399),"")</f>
        <v>22863.6998639308</v>
      </c>
      <c r="BI1399" s="58" t="n">
        <f aca="false">IF(BH1399="",0,MAX(0,MIN(1,(IF(CF1399="L1",Parameter!$H$5,IF(CF1399="L23",Parameter!$H$6+Parameter!$H$7,Parameter!$H$5+Parameter!$H$6+Parameter!$H$7))-(BH1399-BC1399))/BC1399)))</f>
        <v>1</v>
      </c>
      <c r="BJ1399" s="48" t="str">
        <f aca="false">IF(AI1399&lt;=0,"",IF(CF1399="Aussen","Aussenlager",IF(CF1399="-","Nicht im Lift",IF(AO1399&gt;=1,"Lift",IF(AO1399&lt;=0,"Aussenlager","teilweise")))))</f>
        <v>Lift</v>
      </c>
      <c r="BK1399" s="48" t="str">
        <f aca="false">IF(AS1399&lt;=0,"",IF(CF1399="Aussen","Aussenlager",IF(CF1399="-","Nicht im Lift",IF(AY1399&gt;=1,"Lift",IF(AY1399&lt;=0,"Aussenlager","teilweise")))))</f>
        <v>Lift</v>
      </c>
      <c r="BL1399" s="48" t="str">
        <f aca="false">IF(BC1399&lt;=0,"",IF(CF1399="Aussen","Aussenlager",IF(CF1399="-","Nicht im Lift",IF(BI1399&gt;=1,"Lift",IF(BI1399&lt;=0,"Aussenlager","teilweise")))))</f>
        <v>Lift</v>
      </c>
      <c r="BM1399" s="48" t="str">
        <f aca="false">IF(A1399="","",IF(BV1399=1,"Neu; ","")&amp;IF(AND(BV1399=0,BQ1399&lt;0),"negativer Bestand (Export "&amp;BQ1399&amp;"); ","")&amp;IF(J1399&lt;=0,"Kein Verbrauch; ","")&amp;IF(CQ1399&gt;0,"Lift "&amp;W1399&amp;" lt. Liftbericht (Fach "&amp;X1399&amp;" Stk); ",IF(CA1399=1,"Gebinde geschätzt ("&amp;T1399&amp;"); ",IF(BZ1399=1,"Lose – Tablare geschätzt; ","")))&amp;IF(H1399&gt;AV1399,"Überbestand "&amp;ROUND(H1399-AV1399,0)&amp;" Stk / CHF "&amp;ROUND((H1399-AV1399)*G1399,0)&amp;"; ","")&amp;IF(AND(CH1399=1,CI1399&lt;CJ1399),"MAX &lt; MB+LG; ","")&amp;IF(AND(CP1399&gt;0,CO1399*10&gt;CP1399),"zu hoch für Tablar; ","")&amp;IF(AND(BV1399=0,OR(CH1399=1,AA1399&lt;&gt;"",U1399&lt;&gt;"",V1399&lt;&gt;"",AB1399&lt;&gt;"")),"manuell übersteuert; ","")&amp;IF(AND(BZ1399=0,R1399=0),"Gebinde unbekannt / Stellmass fehlt; ","")&amp;IF(AND(BZ1399=0,N(V1399)&lt;=0,N(Q1399)&lt;=0),"Menge pro Gebinde fehlt (Ist = 1 Gebinde); ","")&amp;BU1399)</f>
        <v>negativer Bestand (Export -2); Überbestand 13 Stk / CHF 26163; </v>
      </c>
      <c r="BN1399" s="48"/>
      <c r="BO1399" s="48"/>
      <c r="BP1399" s="55"/>
      <c r="BQ1399" s="50" t="n">
        <v>-2</v>
      </c>
      <c r="BR1399" s="50" t="n">
        <v>16</v>
      </c>
      <c r="BS1399" s="49" t="n">
        <v>-4025.12</v>
      </c>
      <c r="BT1399" s="50" t="n">
        <v>1</v>
      </c>
      <c r="BU1399" s="48"/>
      <c r="BV1399" s="53" t="n">
        <v>0</v>
      </c>
      <c r="BW1399" s="53" t="n">
        <v>1399</v>
      </c>
      <c r="BX1399" s="48" t="str">
        <f aca="false">IF(U1399&lt;&gt;"",UPPER(TRIM(U1399)),IF(CA1399=1,UPPER(VLOOKUP(T1399,Parameter!$I$27:$K$29,2,0)),IF(P1399="","LOSE",P1399)))</f>
        <v>S71</v>
      </c>
      <c r="BY1399" s="50" t="n">
        <f aca="false">IF(BX1399="LOSE",1,IF(N(V1399)&gt;0,V1399,IF(CA1399=1,MAX(1,N(VLOOKUP(T1399,Parameter!$I$27:$K$29,3,0)),H1399,N(N1399)),IF(N(Q1399)&gt;0,Q1399,MAX(1,H1399)))))</f>
        <v>14</v>
      </c>
      <c r="BZ1399" s="53" t="n">
        <f aca="false">IF(BX1399="LOSE",1,0)</f>
        <v>0</v>
      </c>
      <c r="CA1399" s="53" t="n">
        <f aca="false">IF(AND(U1399="",OR(P1399="",P1399="LOSE"),T1399&lt;&gt;"",N(S1399)&lt;=0,ISNUMBER(MATCH(T1399,Parameter!$I$27:$I$29,0))),1,0)</f>
        <v>0</v>
      </c>
      <c r="CB1399" s="53" t="n">
        <f aca="false">IF(CQ1399&gt;0,INDEX(Parameter!$H$5:$H$7,W1399)/INDEX(Parameter!$E$5:$E$7,W1399),IF(AND(BZ1399=0,N(IFERROR(VLOOKUP(BX1399,'Gebinde-Kategorie'!$A$5:$N$45,14,0),0))&gt;0),VLOOKUP(BX1399,'Gebinde-Kategorie'!$A$5:$N$45,14,0)*10+Parameter!$M$23,Parameter!$M$24))</f>
        <v>235</v>
      </c>
      <c r="CC1399" s="48" t="str">
        <f aca="false">IF(AND(Parameter!$B$19="Ja",E1399&lt;&gt;"",ISNUMBER(MATCH(E1399,Parameter!$I$35:$I$52,0))),VLOOKUP(E1399,Parameter!$I$35:$J$52,2,0),IFERROR(VLOOKUP(D1399,Parameter!$A$35:$C$64,2,0),"Nein"))</f>
        <v>2+3</v>
      </c>
      <c r="CD1399" s="52" t="n">
        <f aca="false">IF(BZ1399=0,0,IF(N(S1399)&gt;0,S1399,IFERROR(VLOOKUP(D1399,Parameter!$A$35:$C$64,3,0)+0,0)))</f>
        <v>0</v>
      </c>
      <c r="CE1399" s="48" t="n">
        <f aca="false">IF(AA1399&lt;&gt;"",AA1399,Z1399)</f>
        <v>2</v>
      </c>
      <c r="CF1399" s="48" t="str">
        <f aca="false">IF(OR(CE1399=1,CE1399=2,CE1399=3),IF(Parameter!$E$27="Ja","LIFT",IF(CE1399=1,"L1","L23")),IF(CE1399="Aussen","Aussen","-"))</f>
        <v>LIFT</v>
      </c>
      <c r="CG1399" s="59" t="n">
        <f aca="false">IF(N(AB1399)&gt;0,AB1399,0)</f>
        <v>0</v>
      </c>
      <c r="CH1399" s="53" t="n">
        <f aca="false">IF(ISNUMBER(AE1399),1,0)</f>
        <v>0</v>
      </c>
      <c r="CI1399" s="50" t="n">
        <f aca="false">N(AE1399)</f>
        <v>0</v>
      </c>
      <c r="CJ1399" s="50" t="n">
        <f aca="false">N(M1399)+N(N1399)</f>
        <v>1</v>
      </c>
      <c r="CK1399" s="50" t="n">
        <f aca="false">N(M1399)</f>
        <v>0</v>
      </c>
      <c r="CL1399" s="50" t="n">
        <f aca="false">N(N1399)</f>
        <v>1</v>
      </c>
      <c r="CM1399" s="50" t="n">
        <f aca="false">ROUNDUP(H1399/BY1399,0)</f>
        <v>1</v>
      </c>
      <c r="CN1399" s="50" t="n">
        <f aca="false">ROUNDUP(CI1399/BY1399,0)</f>
        <v>0</v>
      </c>
      <c r="CO1399" s="53" t="n">
        <f aca="false">IF(BZ1399=1,0,IFERROR(VLOOKUP(BX1399,'Gebinde-Kategorie'!$A$5:$N$45,5,0)+0,0))</f>
        <v>20</v>
      </c>
      <c r="CP1399" s="53" t="n">
        <f aca="false">IFERROR(IF(OR(CE1399=1,CE1399=2,CE1399=3),N(INDEX(Parameter!$I$5:$I$7,CE1399)),0),0)</f>
        <v>0</v>
      </c>
      <c r="CQ1399" s="52" t="n">
        <f aca="false">IF(AND(Parameter!$B$21="Ja",ISNUMBER(W1399),N(X1399)&gt;0),IFERROR(N(INDEX(Parameter!$L$5:$L$7,W1399))*INDEX(Parameter!$E$5:$E$7,W1399)*X1399/SUMIFS($X$7:$X$1843,$W$7:$W$1843,W1399),0),0)</f>
        <v>0</v>
      </c>
    </row>
    <row r="1400" customFormat="false" ht="15" hidden="false" customHeight="false" outlineLevel="0" collapsed="false">
      <c r="A1400" s="48" t="s">
        <v>2470</v>
      </c>
      <c r="B1400" s="48" t="s">
        <v>440</v>
      </c>
      <c r="C1400" s="48" t="s">
        <v>173</v>
      </c>
      <c r="D1400" s="48" t="s">
        <v>193</v>
      </c>
      <c r="E1400" s="48" t="s">
        <v>194</v>
      </c>
      <c r="F1400" s="48" t="s">
        <v>227</v>
      </c>
      <c r="G1400" s="49" t="n">
        <v>374.8</v>
      </c>
      <c r="H1400" s="50" t="n">
        <f aca="false">MAX(0,IF(AND(Parameter!$B$21="Ja",ISNUMBER(Y1400)),Y1400,IF(Parameter!$B$20="Jahresanfang 2025 + Export",BR1400+BQ1400,BQ1400)))</f>
        <v>0</v>
      </c>
      <c r="I1400" s="50" t="n">
        <f aca="false">H1400*G1400</f>
        <v>0</v>
      </c>
      <c r="J1400" s="50" t="n">
        <f aca="false">BT1400*Parameter!$B$18</f>
        <v>0</v>
      </c>
      <c r="K1400" s="51" t="n">
        <v>11</v>
      </c>
      <c r="L1400" s="52" t="n">
        <v>0</v>
      </c>
      <c r="M1400" s="50" t="n">
        <v>0</v>
      </c>
      <c r="N1400" s="50" t="n">
        <v>1</v>
      </c>
      <c r="O1400" s="53" t="n">
        <v>56</v>
      </c>
      <c r="P1400" s="48" t="s">
        <v>242</v>
      </c>
      <c r="Q1400" s="50" t="n">
        <v>10</v>
      </c>
      <c r="R1400" s="53" t="n">
        <f aca="false">IF(BZ1400=1,0,IFERROR(VLOOKUP(BX1400,'Gebinde-Kategorie'!$A$5:$N$45,13,0)+0,0))</f>
        <v>26</v>
      </c>
      <c r="S1400" s="54"/>
      <c r="T1400" s="55"/>
      <c r="U1400" s="55"/>
      <c r="V1400" s="55"/>
      <c r="W1400" s="48"/>
      <c r="X1400" s="50"/>
      <c r="Y1400" s="50"/>
      <c r="Z1400" s="48" t="n">
        <f aca="false">IF(A1400="","",IF(AND(Parameter!$B$21="Ja",ISNUMBER(W1400)),W1400,IF(CC1400="2+3",IF(ISNUMBER(SEARCH("grosser Artikel",BU1400)),2,IFERROR(VLOOKUP(BX1400,Parameter!$F$35:$G$64,2,0),2)),IF(OR(CC1400="Nein",CC1400=""),"-",CC1400))))</f>
        <v>3</v>
      </c>
      <c r="AA1400" s="55"/>
      <c r="AB1400" s="56"/>
      <c r="AC1400" s="50" t="n">
        <f aca="false">AV1400</f>
        <v>1</v>
      </c>
      <c r="AD1400" s="50" t="n">
        <f aca="false">MAX(AV1400,H1400)</f>
        <v>1</v>
      </c>
      <c r="AE1400" s="57"/>
      <c r="AF1400" s="50" t="n">
        <f aca="false">IF(LEFT(Cockpit!$C$5,1)="A",H1400,IF(Parameter!$E$30="MAX-Bestand",IF(CH1400=1,CI1400,IF(LEFT(Cockpit!$C$5,1)="B",AL1400,MAX(AL1400,H1400))),ROUNDUP(AJ1400,0)))</f>
        <v>0</v>
      </c>
      <c r="AG1400" s="50" t="n">
        <f aca="false">IF(BZ1400=1,0,ROUNDUP(AF1400/BY1400,0))</f>
        <v>0</v>
      </c>
      <c r="AH1400" s="52" t="n">
        <f aca="false">IF(CQ1400&gt;0,CQ1400*MAX(1,AF1400/X1400),IF(BZ1400=1,IF(AF1400&lt;=0,0,CD1400*MAX(1,IF(H1400&gt;0,AF1400/H1400,1))),IF(R1400&gt;0,AG1400/R1400,0))/MAX(0.1,N(Parameter!$M$21)))</f>
        <v>0</v>
      </c>
      <c r="AI1400" s="50" t="n">
        <f aca="false">AH1400*CB1400</f>
        <v>0</v>
      </c>
      <c r="AJ1400" s="51" t="n">
        <f aca="false">IF(LEFT(Cockpit!$C$5,1)="A",H1400,IF(CH1400=1,(CK1400+CI1400)/2,IF(LEFT(Cockpit!$C$5,1)="B",(CK1400+AL1400)/2,MAX((CK1400+AL1400)/2,H1400))))</f>
        <v>0</v>
      </c>
      <c r="AK1400" s="50" t="n">
        <f aca="false">AJ1400*G1400</f>
        <v>0</v>
      </c>
      <c r="AL1400" s="50" t="n">
        <f aca="false">ROUNDUP(CK1400+MAX(CL1400,2*(J1400/IF(CG1400&gt;0,CG1400,MAX(0.1,N(Cockpit!$C$6)))-CK1400)),0)</f>
        <v>1</v>
      </c>
      <c r="AM1400" s="51" t="n">
        <f aca="false">IF(AI1400&gt;0,J1400/AI1400,-1)</f>
        <v>-1</v>
      </c>
      <c r="AN1400" s="51" t="str">
        <f aca="false">IF(AND(OR(CF1400="L1",CF1400="L23",CF1400="LIFT"),AI1400&gt;0),SUMIFS($AI$7:$AI$1843,$CF$7:$CF$1843,CF1400,$AM$7:$AM$1843,"&gt;"&amp;AM1400)+SUMIFS($AI$7:$AI$1843,$CF$7:$CF$1843,CF1400,$AM$7:$AM$1843,AM1400,$BW$7:$BW$1843,"&lt;="&amp;BW1400),"")</f>
        <v/>
      </c>
      <c r="AO1400" s="58" t="n">
        <f aca="false">IF(AN1400="",0,MAX(0,MIN(1,(IF(CF1400="L1",Parameter!$H$5,IF(CF1400="L23",Parameter!$H$6+Parameter!$H$7,Parameter!$H$5+Parameter!$H$6+Parameter!$H$7))-(AN1400-AI1400))/AI1400)))</f>
        <v>0</v>
      </c>
      <c r="AP1400" s="50" t="n">
        <f aca="false">IF(LEFT(Cockpit!$I$5,1)="A",H1400,IF(Parameter!$E$30="MAX-Bestand",IF(CH1400=1,CI1400,IF(LEFT(Cockpit!$I$5,1)="B",AV1400,MAX(AV1400,H1400))),ROUNDUP(AT1400,0)))</f>
        <v>1</v>
      </c>
      <c r="AQ1400" s="50" t="n">
        <f aca="false">IF(BZ1400=1,0,ROUNDUP(AP1400/BY1400,0))</f>
        <v>1</v>
      </c>
      <c r="AR1400" s="52" t="n">
        <f aca="false">IF(CQ1400&gt;0,CQ1400*MAX(1,AP1400/X1400),IF(BZ1400=1,IF(AP1400&lt;=0,0,CD1400*MAX(1,IF(H1400&gt;0,AP1400/H1400,1))),IF(R1400&gt;0,AQ1400/R1400,0))/MAX(0.1,N(Parameter!$M$21)))</f>
        <v>0.0384615384615385</v>
      </c>
      <c r="AS1400" s="50" t="n">
        <f aca="false">AR1400*CB1400</f>
        <v>9.42307692307692</v>
      </c>
      <c r="AT1400" s="51" t="n">
        <f aca="false">IF(LEFT(Cockpit!$I$5,1)="A",H1400,IF(CH1400=1,(CK1400+CI1400)/2,IF(LEFT(Cockpit!$I$5,1)="B",(CK1400+AV1400)/2,MAX((CK1400+AV1400)/2,H1400))))</f>
        <v>0.5</v>
      </c>
      <c r="AU1400" s="50" t="n">
        <f aca="false">AT1400*G1400</f>
        <v>187.4</v>
      </c>
      <c r="AV1400" s="50" t="n">
        <f aca="false">ROUNDUP(CK1400+MAX(CL1400,2*(J1400/IF(CG1400&gt;0,CG1400,MAX(0.1,N(Cockpit!$I$6)))-CK1400)),0)</f>
        <v>1</v>
      </c>
      <c r="AW1400" s="51" t="n">
        <f aca="false">IF(AS1400&gt;0,J1400/AS1400,-1)</f>
        <v>0</v>
      </c>
      <c r="AX1400" s="51" t="n">
        <f aca="false">IF(AND(OR(CF1400="L1",CF1400="L23",CF1400="LIFT"),AS1400&gt;0),SUMIFS($AS$7:$AS$1843,$CF$7:$CF$1843,CF1400,$AW$7:$AW$1843,"&gt;"&amp;AW1400)+SUMIFS($AS$7:$AS$1843,$CF$7:$CF$1843,CF1400,$AW$7:$AW$1843,AW1400,$BW$7:$BW$1843,"&lt;="&amp;BW1400),"")</f>
        <v>35942.5454745349</v>
      </c>
      <c r="AY1400" s="58" t="n">
        <f aca="false">IF(AX1400="",0,MAX(0,MIN(1,(IF(CF1400="L1",Parameter!$H$5,IF(CF1400="L23",Parameter!$H$6+Parameter!$H$7,Parameter!$H$5+Parameter!$H$6+Parameter!$H$7))-(AX1400-AS1400))/AS1400)))</f>
        <v>0</v>
      </c>
      <c r="AZ1400" s="50" t="n">
        <f aca="false">IF(LEFT(Cockpit!$O$5,1)="A",H1400,IF(Parameter!$E$30="MAX-Bestand",IF(CH1400=1,CI1400,IF(LEFT(Cockpit!$O$5,1)="B",BF1400,MAX(BF1400,H1400))),ROUNDUP(BD1400,0)))</f>
        <v>1</v>
      </c>
      <c r="BA1400" s="50" t="n">
        <f aca="false">IF(BZ1400=1,0,ROUNDUP(AZ1400/BY1400,0))</f>
        <v>1</v>
      </c>
      <c r="BB1400" s="52" t="n">
        <f aca="false">IF(CQ1400&gt;0,CQ1400*MAX(1,AZ1400/X1400),IF(BZ1400=1,IF(AZ1400&lt;=0,0,CD1400*MAX(1,IF(H1400&gt;0,AZ1400/H1400,1))),IF(R1400&gt;0,BA1400/R1400,0))/MAX(0.1,N(Parameter!$M$21)))</f>
        <v>0.0384615384615385</v>
      </c>
      <c r="BC1400" s="50" t="n">
        <f aca="false">BB1400*CB1400</f>
        <v>9.42307692307692</v>
      </c>
      <c r="BD1400" s="51" t="n">
        <f aca="false">IF(LEFT(Cockpit!$O$5,1)="A",H1400,IF(CH1400=1,(CK1400+CI1400)/2,IF(LEFT(Cockpit!$O$5,1)="B",(CK1400+BF1400)/2,MAX((CK1400+BF1400)/2,H1400))))</f>
        <v>0.5</v>
      </c>
      <c r="BE1400" s="50" t="n">
        <f aca="false">BD1400*G1400</f>
        <v>187.4</v>
      </c>
      <c r="BF1400" s="50" t="n">
        <f aca="false">ROUNDUP(CK1400+MAX(CL1400,2*(J1400/IF(CG1400&gt;0,CG1400,MAX(0.1,N(Cockpit!$O$6)))-CK1400)),0)</f>
        <v>1</v>
      </c>
      <c r="BG1400" s="51" t="n">
        <f aca="false">IF(BC1400&gt;0,J1400/BC1400,-1)</f>
        <v>0</v>
      </c>
      <c r="BH1400" s="51" t="n">
        <f aca="false">IF(AND(OR(CF1400="L1",CF1400="L23",CF1400="LIFT"),BC1400&gt;0),SUMIFS($BC$7:$BC$1843,$CF$7:$CF$1843,CF1400,$BG$7:$BG$1843,"&gt;"&amp;BG1400)+SUMIFS($BC$7:$BC$1843,$CF$7:$CF$1843,CF1400,$BG$7:$BG$1843,BG1400,$BW$7:$BW$1843,"&lt;="&amp;BW1400),"")</f>
        <v>29927.8521346826</v>
      </c>
      <c r="BI1400" s="58" t="n">
        <f aca="false">IF(BH1400="",0,MAX(0,MIN(1,(IF(CF1400="L1",Parameter!$H$5,IF(CF1400="L23",Parameter!$H$6+Parameter!$H$7,Parameter!$H$5+Parameter!$H$6+Parameter!$H$7))-(BH1400-BC1400))/BC1400)))</f>
        <v>1</v>
      </c>
      <c r="BJ1400" s="48" t="str">
        <f aca="false">IF(AI1400&lt;=0,"",IF(CF1400="Aussen","Aussenlager",IF(CF1400="-","Nicht im Lift",IF(AO1400&gt;=1,"Lift",IF(AO1400&lt;=0,"Aussenlager","teilweise")))))</f>
        <v/>
      </c>
      <c r="BK1400" s="48" t="str">
        <f aca="false">IF(AS1400&lt;=0,"",IF(CF1400="Aussen","Aussenlager",IF(CF1400="-","Nicht im Lift",IF(AY1400&gt;=1,"Lift",IF(AY1400&lt;=0,"Aussenlager","teilweise")))))</f>
        <v>Aussenlager</v>
      </c>
      <c r="BL1400" s="48" t="str">
        <f aca="false">IF(BC1400&lt;=0,"",IF(CF1400="Aussen","Aussenlager",IF(CF1400="-","Nicht im Lift",IF(BI1400&gt;=1,"Lift",IF(BI1400&lt;=0,"Aussenlager","teilweise")))))</f>
        <v>Lift</v>
      </c>
      <c r="BM1400" s="48" t="str">
        <f aca="false">IF(A1400="","",IF(BV1400=1,"Neu; ","")&amp;IF(AND(BV1400=0,BQ1400&lt;0),"negativer Bestand (Export "&amp;BQ1400&amp;"); ","")&amp;IF(J1400&lt;=0,"Kein Verbrauch; ","")&amp;IF(CQ1400&gt;0,"Lift "&amp;W1400&amp;" lt. Liftbericht (Fach "&amp;X1400&amp;" Stk); ",IF(CA1400=1,"Gebinde geschätzt ("&amp;T1400&amp;"); ",IF(BZ1400=1,"Lose – Tablare geschätzt; ","")))&amp;IF(H1400&gt;AV1400,"Überbestand "&amp;ROUND(H1400-AV1400,0)&amp;" Stk / CHF "&amp;ROUND((H1400-AV1400)*G1400,0)&amp;"; ","")&amp;IF(AND(CH1400=1,CI1400&lt;CJ1400),"MAX &lt; MB+LG; ","")&amp;IF(AND(CP1400&gt;0,CO1400*10&gt;CP1400),"zu hoch für Tablar; ","")&amp;IF(AND(BV1400=0,OR(CH1400=1,AA1400&lt;&gt;"",U1400&lt;&gt;"",V1400&lt;&gt;"",AB1400&lt;&gt;"")),"manuell übersteuert; ","")&amp;IF(AND(BZ1400=0,R1400=0),"Gebinde unbekannt / Stellmass fehlt; ","")&amp;IF(AND(BZ1400=0,N(V1400)&lt;=0,N(Q1400)&lt;=0),"Menge pro Gebinde fehlt (Ist = 1 Gebinde); ","")&amp;BU1400)</f>
        <v>negativer Bestand (Export -11); Kein Verbrauch; </v>
      </c>
      <c r="BN1400" s="48"/>
      <c r="BO1400" s="48"/>
      <c r="BP1400" s="55"/>
      <c r="BQ1400" s="50" t="n">
        <v>-11</v>
      </c>
      <c r="BR1400" s="50" t="n">
        <v>11</v>
      </c>
      <c r="BS1400" s="49" t="n">
        <v>-4122.8</v>
      </c>
      <c r="BT1400" s="50" t="n">
        <v>0</v>
      </c>
      <c r="BU1400" s="48"/>
      <c r="BV1400" s="53" t="n">
        <v>0</v>
      </c>
      <c r="BW1400" s="53" t="n">
        <v>1400</v>
      </c>
      <c r="BX1400" s="48" t="str">
        <f aca="false">IF(U1400&lt;&gt;"",UPPER(TRIM(U1400)),IF(CA1400=1,UPPER(VLOOKUP(T1400,Parameter!$I$27:$K$29,2,0)),IF(P1400="","LOSE",P1400)))</f>
        <v>S52</v>
      </c>
      <c r="BY1400" s="50" t="n">
        <f aca="false">IF(BX1400="LOSE",1,IF(N(V1400)&gt;0,V1400,IF(CA1400=1,MAX(1,N(VLOOKUP(T1400,Parameter!$I$27:$K$29,3,0)),H1400,N(N1400)),IF(N(Q1400)&gt;0,Q1400,MAX(1,H1400)))))</f>
        <v>10</v>
      </c>
      <c r="BZ1400" s="53" t="n">
        <f aca="false">IF(BX1400="LOSE",1,0)</f>
        <v>0</v>
      </c>
      <c r="CA1400" s="53" t="n">
        <f aca="false">IF(AND(U1400="",OR(P1400="",P1400="LOSE"),T1400&lt;&gt;"",N(S1400)&lt;=0,ISNUMBER(MATCH(T1400,Parameter!$I$27:$I$29,0))),1,0)</f>
        <v>0</v>
      </c>
      <c r="CB1400" s="53" t="n">
        <f aca="false">IF(CQ1400&gt;0,INDEX(Parameter!$H$5:$H$7,W1400)/INDEX(Parameter!$E$5:$E$7,W1400),IF(AND(BZ1400=0,N(IFERROR(VLOOKUP(BX1400,'Gebinde-Kategorie'!$A$5:$N$45,14,0),0))&gt;0),VLOOKUP(BX1400,'Gebinde-Kategorie'!$A$5:$N$45,14,0)*10+Parameter!$M$23,Parameter!$M$24))</f>
        <v>245</v>
      </c>
      <c r="CC1400" s="48" t="str">
        <f aca="false">IF(AND(Parameter!$B$19="Ja",E1400&lt;&gt;"",ISNUMBER(MATCH(E1400,Parameter!$I$35:$I$52,0))),VLOOKUP(E1400,Parameter!$I$35:$J$52,2,0),IFERROR(VLOOKUP(D1400,Parameter!$A$35:$C$64,2,0),"Nein"))</f>
        <v>2+3</v>
      </c>
      <c r="CD1400" s="52" t="n">
        <f aca="false">IF(BZ1400=0,0,IF(N(S1400)&gt;0,S1400,IFERROR(VLOOKUP(D1400,Parameter!$A$35:$C$64,3,0)+0,0)))</f>
        <v>0</v>
      </c>
      <c r="CE1400" s="48" t="n">
        <f aca="false">IF(AA1400&lt;&gt;"",AA1400,Z1400)</f>
        <v>3</v>
      </c>
      <c r="CF1400" s="48" t="str">
        <f aca="false">IF(OR(CE1400=1,CE1400=2,CE1400=3),IF(Parameter!$E$27="Ja","LIFT",IF(CE1400=1,"L1","L23")),IF(CE1400="Aussen","Aussen","-"))</f>
        <v>LIFT</v>
      </c>
      <c r="CG1400" s="59" t="n">
        <f aca="false">IF(N(AB1400)&gt;0,AB1400,0)</f>
        <v>0</v>
      </c>
      <c r="CH1400" s="53" t="n">
        <f aca="false">IF(ISNUMBER(AE1400),1,0)</f>
        <v>0</v>
      </c>
      <c r="CI1400" s="50" t="n">
        <f aca="false">N(AE1400)</f>
        <v>0</v>
      </c>
      <c r="CJ1400" s="50" t="n">
        <f aca="false">N(M1400)+N(N1400)</f>
        <v>1</v>
      </c>
      <c r="CK1400" s="50" t="n">
        <f aca="false">N(M1400)</f>
        <v>0</v>
      </c>
      <c r="CL1400" s="50" t="n">
        <f aca="false">N(N1400)</f>
        <v>1</v>
      </c>
      <c r="CM1400" s="50" t="n">
        <f aca="false">ROUNDUP(H1400/BY1400,0)</f>
        <v>0</v>
      </c>
      <c r="CN1400" s="50" t="n">
        <f aca="false">ROUNDUP(CI1400/BY1400,0)</f>
        <v>0</v>
      </c>
      <c r="CO1400" s="53" t="n">
        <f aca="false">IF(BZ1400=1,0,IFERROR(VLOOKUP(BX1400,'Gebinde-Kategorie'!$A$5:$N$45,5,0)+0,0))</f>
        <v>21</v>
      </c>
      <c r="CP1400" s="53" t="n">
        <f aca="false">IFERROR(IF(OR(CE1400=1,CE1400=2,CE1400=3),N(INDEX(Parameter!$I$5:$I$7,CE1400)),0),0)</f>
        <v>0</v>
      </c>
      <c r="CQ1400" s="52" t="n">
        <f aca="false">IF(AND(Parameter!$B$21="Ja",ISNUMBER(W1400),N(X1400)&gt;0),IFERROR(N(INDEX(Parameter!$L$5:$L$7,W1400))*INDEX(Parameter!$E$5:$E$7,W1400)*X1400/SUMIFS($X$7:$X$1843,$W$7:$W$1843,W1400),0),0)</f>
        <v>0</v>
      </c>
    </row>
    <row r="1401" customFormat="false" ht="15" hidden="false" customHeight="false" outlineLevel="0" collapsed="false">
      <c r="A1401" s="48" t="s">
        <v>2471</v>
      </c>
      <c r="B1401" s="48" t="s">
        <v>440</v>
      </c>
      <c r="C1401" s="48" t="s">
        <v>173</v>
      </c>
      <c r="D1401" s="48" t="s">
        <v>193</v>
      </c>
      <c r="E1401" s="48" t="s">
        <v>194</v>
      </c>
      <c r="F1401" s="48" t="s">
        <v>227</v>
      </c>
      <c r="G1401" s="49" t="n">
        <v>208.55</v>
      </c>
      <c r="H1401" s="50" t="n">
        <f aca="false">MAX(0,IF(AND(Parameter!$B$21="Ja",ISNUMBER(Y1401)),Y1401,IF(Parameter!$B$20="Jahresanfang 2025 + Export",BR1401+BQ1401,BQ1401)))</f>
        <v>47</v>
      </c>
      <c r="I1401" s="50" t="n">
        <f aca="false">H1401*G1401</f>
        <v>9801.85</v>
      </c>
      <c r="J1401" s="50" t="n">
        <f aca="false">BT1401*Parameter!$B$18</f>
        <v>164</v>
      </c>
      <c r="K1401" s="51" t="n">
        <v>49</v>
      </c>
      <c r="L1401" s="52" t="n">
        <v>3.3469387755102</v>
      </c>
      <c r="M1401" s="50" t="n">
        <v>10</v>
      </c>
      <c r="N1401" s="50" t="n">
        <v>40</v>
      </c>
      <c r="O1401" s="53" t="n">
        <v>21</v>
      </c>
      <c r="P1401" s="48" t="s">
        <v>235</v>
      </c>
      <c r="Q1401" s="50" t="n">
        <v>55</v>
      </c>
      <c r="R1401" s="53" t="n">
        <f aca="false">IF(BZ1401=1,0,IFERROR(VLOOKUP(BX1401,'Gebinde-Kategorie'!$A$5:$N$45,13,0)+0,0))</f>
        <v>12</v>
      </c>
      <c r="S1401" s="54"/>
      <c r="T1401" s="55"/>
      <c r="U1401" s="55"/>
      <c r="V1401" s="55"/>
      <c r="W1401" s="48"/>
      <c r="X1401" s="50"/>
      <c r="Y1401" s="50"/>
      <c r="Z1401" s="48" t="n">
        <f aca="false">IF(A1401="","",IF(AND(Parameter!$B$21="Ja",ISNUMBER(W1401)),W1401,IF(CC1401="2+3",IF(ISNUMBER(SEARCH("grosser Artikel",BU1401)),2,IFERROR(VLOOKUP(BX1401,Parameter!$F$35:$G$64,2,0),2)),IF(OR(CC1401="Nein",CC1401=""),"-",CC1401))))</f>
        <v>2</v>
      </c>
      <c r="AA1401" s="55"/>
      <c r="AB1401" s="56"/>
      <c r="AC1401" s="50" t="n">
        <f aca="false">AV1401</f>
        <v>100</v>
      </c>
      <c r="AD1401" s="50" t="n">
        <f aca="false">MAX(AV1401,H1401)</f>
        <v>100</v>
      </c>
      <c r="AE1401" s="57"/>
      <c r="AF1401" s="50" t="n">
        <f aca="false">IF(LEFT(Cockpit!$C$5,1)="A",H1401,IF(Parameter!$E$30="MAX-Bestand",IF(CH1401=1,CI1401,IF(LEFT(Cockpit!$C$5,1)="B",AL1401,MAX(AL1401,H1401))),ROUNDUP(AJ1401,0)))</f>
        <v>47</v>
      </c>
      <c r="AG1401" s="50" t="n">
        <f aca="false">IF(BZ1401=1,0,ROUNDUP(AF1401/BY1401,0))</f>
        <v>1</v>
      </c>
      <c r="AH1401" s="52" t="n">
        <f aca="false">IF(CQ1401&gt;0,CQ1401*MAX(1,AF1401/X1401),IF(BZ1401=1,IF(AF1401&lt;=0,0,CD1401*MAX(1,IF(H1401&gt;0,AF1401/H1401,1))),IF(R1401&gt;0,AG1401/R1401,0))/MAX(0.1,N(Parameter!$M$21)))</f>
        <v>0.0833333333333333</v>
      </c>
      <c r="AI1401" s="50" t="n">
        <f aca="false">AH1401*CB1401</f>
        <v>28.75</v>
      </c>
      <c r="AJ1401" s="51" t="n">
        <f aca="false">IF(LEFT(Cockpit!$C$5,1)="A",H1401,IF(CH1401=1,(CK1401+CI1401)/2,IF(LEFT(Cockpit!$C$5,1)="B",(CK1401+AL1401)/2,MAX((CK1401+AL1401)/2,H1401))))</f>
        <v>47</v>
      </c>
      <c r="AK1401" s="50" t="n">
        <f aca="false">AJ1401*G1401</f>
        <v>9801.85</v>
      </c>
      <c r="AL1401" s="50" t="n">
        <f aca="false">ROUNDUP(CK1401+MAX(CL1401,2*(J1401/IF(CG1401&gt;0,CG1401,MAX(0.1,N(Cockpit!$C$6)))-CK1401)),0)</f>
        <v>100</v>
      </c>
      <c r="AM1401" s="51" t="n">
        <f aca="false">IF(AI1401&gt;0,J1401/AI1401,-1)</f>
        <v>5.70434782608696</v>
      </c>
      <c r="AN1401" s="51" t="n">
        <f aca="false">IF(AND(OR(CF1401="L1",CF1401="L23",CF1401="LIFT"),AI1401&gt;0),SUMIFS($AI$7:$AI$1843,$CF$7:$CF$1843,CF1401,$AM$7:$AM$1843,"&gt;"&amp;AM1401)+SUMIFS($AI$7:$AI$1843,$CF$7:$CF$1843,CF1401,$AM$7:$AM$1843,AM1401,$BW$7:$BW$1843,"&lt;="&amp;BW1401),"")</f>
        <v>3593.39148351648</v>
      </c>
      <c r="AO1401" s="58" t="n">
        <f aca="false">IF(AN1401="",0,MAX(0,MIN(1,(IF(CF1401="L1",Parameter!$H$5,IF(CF1401="L23",Parameter!$H$6+Parameter!$H$7,Parameter!$H$5+Parameter!$H$6+Parameter!$H$7))-(AN1401-AI1401))/AI1401)))</f>
        <v>1</v>
      </c>
      <c r="AP1401" s="50" t="n">
        <f aca="false">IF(LEFT(Cockpit!$I$5,1)="A",H1401,IF(Parameter!$E$30="MAX-Bestand",IF(CH1401=1,CI1401,IF(LEFT(Cockpit!$I$5,1)="B",AV1401,MAX(AV1401,H1401))),ROUNDUP(AT1401,0)))</f>
        <v>55</v>
      </c>
      <c r="AQ1401" s="50" t="n">
        <f aca="false">IF(BZ1401=1,0,ROUNDUP(AP1401/BY1401,0))</f>
        <v>1</v>
      </c>
      <c r="AR1401" s="52" t="n">
        <f aca="false">IF(CQ1401&gt;0,CQ1401*MAX(1,AP1401/X1401),IF(BZ1401=1,IF(AP1401&lt;=0,0,CD1401*MAX(1,IF(H1401&gt;0,AP1401/H1401,1))),IF(R1401&gt;0,AQ1401/R1401,0))/MAX(0.1,N(Parameter!$M$21)))</f>
        <v>0.0833333333333333</v>
      </c>
      <c r="AS1401" s="50" t="n">
        <f aca="false">AR1401*CB1401</f>
        <v>28.75</v>
      </c>
      <c r="AT1401" s="51" t="n">
        <f aca="false">IF(LEFT(Cockpit!$I$5,1)="A",H1401,IF(CH1401=1,(CK1401+CI1401)/2,IF(LEFT(Cockpit!$I$5,1)="B",(CK1401+AV1401)/2,MAX((CK1401+AV1401)/2,H1401))))</f>
        <v>55</v>
      </c>
      <c r="AU1401" s="50" t="n">
        <f aca="false">AT1401*G1401</f>
        <v>11470.25</v>
      </c>
      <c r="AV1401" s="50" t="n">
        <f aca="false">ROUNDUP(CK1401+MAX(CL1401,2*(J1401/IF(CG1401&gt;0,CG1401,MAX(0.1,N(Cockpit!$I$6)))-CK1401)),0)</f>
        <v>100</v>
      </c>
      <c r="AW1401" s="51" t="n">
        <f aca="false">IF(AS1401&gt;0,J1401/AS1401,-1)</f>
        <v>5.70434782608696</v>
      </c>
      <c r="AX1401" s="51" t="n">
        <f aca="false">IF(AND(OR(CF1401="L1",CF1401="L23",CF1401="LIFT"),AS1401&gt;0),SUMIFS($AS$7:$AS$1843,$CF$7:$CF$1843,CF1401,$AW$7:$AW$1843,"&gt;"&amp;AW1401)+SUMIFS($AS$7:$AS$1843,$CF$7:$CF$1843,CF1401,$AW$7:$AW$1843,AW1401,$BW$7:$BW$1843,"&lt;="&amp;BW1401),"")</f>
        <v>4247.13232600733</v>
      </c>
      <c r="AY1401" s="58" t="n">
        <f aca="false">IF(AX1401="",0,MAX(0,MIN(1,(IF(CF1401="L1",Parameter!$H$5,IF(CF1401="L23",Parameter!$H$6+Parameter!$H$7,Parameter!$H$5+Parameter!$H$6+Parameter!$H$7))-(AX1401-AS1401))/AS1401)))</f>
        <v>1</v>
      </c>
      <c r="AZ1401" s="50" t="n">
        <f aca="false">IF(LEFT(Cockpit!$O$5,1)="A",H1401,IF(Parameter!$E$30="MAX-Bestand",IF(CH1401=1,CI1401,IF(LEFT(Cockpit!$O$5,1)="B",BF1401,MAX(BF1401,H1401))),ROUNDUP(BD1401,0)))</f>
        <v>41</v>
      </c>
      <c r="BA1401" s="50" t="n">
        <f aca="false">IF(BZ1401=1,0,ROUNDUP(AZ1401/BY1401,0))</f>
        <v>1</v>
      </c>
      <c r="BB1401" s="52" t="n">
        <f aca="false">IF(CQ1401&gt;0,CQ1401*MAX(1,AZ1401/X1401),IF(BZ1401=1,IF(AZ1401&lt;=0,0,CD1401*MAX(1,IF(H1401&gt;0,AZ1401/H1401,1))),IF(R1401&gt;0,BA1401/R1401,0))/MAX(0.1,N(Parameter!$M$21)))</f>
        <v>0.0833333333333333</v>
      </c>
      <c r="BC1401" s="50" t="n">
        <f aca="false">BB1401*CB1401</f>
        <v>28.75</v>
      </c>
      <c r="BD1401" s="51" t="n">
        <f aca="false">IF(LEFT(Cockpit!$O$5,1)="A",H1401,IF(CH1401=1,(CK1401+CI1401)/2,IF(LEFT(Cockpit!$O$5,1)="B",(CK1401+BF1401)/2,MAX((CK1401+BF1401)/2,H1401))))</f>
        <v>41</v>
      </c>
      <c r="BE1401" s="50" t="n">
        <f aca="false">BD1401*G1401</f>
        <v>8550.55</v>
      </c>
      <c r="BF1401" s="50" t="n">
        <f aca="false">ROUNDUP(CK1401+MAX(CL1401,2*(J1401/IF(CG1401&gt;0,CG1401,MAX(0.1,N(Cockpit!$O$6)))-CK1401)),0)</f>
        <v>72</v>
      </c>
      <c r="BG1401" s="51" t="n">
        <f aca="false">IF(BC1401&gt;0,J1401/BC1401,-1)</f>
        <v>5.70434782608696</v>
      </c>
      <c r="BH1401" s="51" t="n">
        <f aca="false">IF(AND(OR(CF1401="L1",CF1401="L23",CF1401="LIFT"),BC1401&gt;0),SUMIFS($BC$7:$BC$1843,$CF$7:$CF$1843,CF1401,$BG$7:$BG$1843,"&gt;"&amp;BG1401)+SUMIFS($BC$7:$BC$1843,$CF$7:$CF$1843,CF1401,$BG$7:$BG$1843,BG1401,$BW$7:$BW$1843,"&lt;="&amp;BW1401),"")</f>
        <v>3559.28250915751</v>
      </c>
      <c r="BI1401" s="58" t="n">
        <f aca="false">IF(BH1401="",0,MAX(0,MIN(1,(IF(CF1401="L1",Parameter!$H$5,IF(CF1401="L23",Parameter!$H$6+Parameter!$H$7,Parameter!$H$5+Parameter!$H$6+Parameter!$H$7))-(BH1401-BC1401))/BC1401)))</f>
        <v>1</v>
      </c>
      <c r="BJ1401" s="48" t="str">
        <f aca="false">IF(AI1401&lt;=0,"",IF(CF1401="Aussen","Aussenlager",IF(CF1401="-","Nicht im Lift",IF(AO1401&gt;=1,"Lift",IF(AO1401&lt;=0,"Aussenlager","teilweise")))))</f>
        <v>Lift</v>
      </c>
      <c r="BK1401" s="48" t="str">
        <f aca="false">IF(AS1401&lt;=0,"",IF(CF1401="Aussen","Aussenlager",IF(CF1401="-","Nicht im Lift",IF(AY1401&gt;=1,"Lift",IF(AY1401&lt;=0,"Aussenlager","teilweise")))))</f>
        <v>Lift</v>
      </c>
      <c r="BL1401" s="48" t="str">
        <f aca="false">IF(BC1401&lt;=0,"",IF(CF1401="Aussen","Aussenlager",IF(CF1401="-","Nicht im Lift",IF(BI1401&gt;=1,"Lift",IF(BI1401&lt;=0,"Aussenlager","teilweise")))))</f>
        <v>Lift</v>
      </c>
      <c r="BM1401" s="48" t="str">
        <f aca="false">IF(A1401="","",IF(BV1401=1,"Neu; ","")&amp;IF(AND(BV1401=0,BQ1401&lt;0),"negativer Bestand (Export "&amp;BQ1401&amp;"); ","")&amp;IF(J1401&lt;=0,"Kein Verbrauch; ","")&amp;IF(CQ1401&gt;0,"Lift "&amp;W1401&amp;" lt. Liftbericht (Fach "&amp;X1401&amp;" Stk); ",IF(CA1401=1,"Gebinde geschätzt ("&amp;T1401&amp;"); ",IF(BZ1401=1,"Lose – Tablare geschätzt; ","")))&amp;IF(H1401&gt;AV1401,"Überbestand "&amp;ROUND(H1401-AV1401,0)&amp;" Stk / CHF "&amp;ROUND((H1401-AV1401)*G1401,0)&amp;"; ","")&amp;IF(AND(CH1401=1,CI1401&lt;CJ1401),"MAX &lt; MB+LG; ","")&amp;IF(AND(CP1401&gt;0,CO1401*10&gt;CP1401),"zu hoch für Tablar; ","")&amp;IF(AND(BV1401=0,OR(CH1401=1,AA1401&lt;&gt;"",U1401&lt;&gt;"",V1401&lt;&gt;"",AB1401&lt;&gt;"")),"manuell übersteuert; ","")&amp;IF(AND(BZ1401=0,R1401=0),"Gebinde unbekannt / Stellmass fehlt; ","")&amp;IF(AND(BZ1401=0,N(V1401)&lt;=0,N(Q1401)&lt;=0),"Menge pro Gebinde fehlt (Ist = 1 Gebinde); ","")&amp;BU1401)</f>
        <v>negativer Bestand (Export -14); </v>
      </c>
      <c r="BN1401" s="48"/>
      <c r="BO1401" s="48"/>
      <c r="BP1401" s="55"/>
      <c r="BQ1401" s="50" t="n">
        <v>-14</v>
      </c>
      <c r="BR1401" s="50" t="n">
        <v>61</v>
      </c>
      <c r="BS1401" s="49" t="n">
        <v>-4139.70000000001</v>
      </c>
      <c r="BT1401" s="50" t="n">
        <v>164</v>
      </c>
      <c r="BU1401" s="48"/>
      <c r="BV1401" s="53" t="n">
        <v>0</v>
      </c>
      <c r="BW1401" s="53" t="n">
        <v>1401</v>
      </c>
      <c r="BX1401" s="48" t="str">
        <f aca="false">IF(U1401&lt;&gt;"",UPPER(TRIM(U1401)),IF(CA1401=1,UPPER(VLOOKUP(T1401,Parameter!$I$27:$K$29,2,0)),IF(P1401="","LOSE",P1401)))</f>
        <v>S63</v>
      </c>
      <c r="BY1401" s="50" t="n">
        <f aca="false">IF(BX1401="LOSE",1,IF(N(V1401)&gt;0,V1401,IF(CA1401=1,MAX(1,N(VLOOKUP(T1401,Parameter!$I$27:$K$29,3,0)),H1401,N(N1401)),IF(N(Q1401)&gt;0,Q1401,MAX(1,H1401)))))</f>
        <v>55</v>
      </c>
      <c r="BZ1401" s="53" t="n">
        <f aca="false">IF(BX1401="LOSE",1,0)</f>
        <v>0</v>
      </c>
      <c r="CA1401" s="53" t="n">
        <f aca="false">IF(AND(U1401="",OR(P1401="",P1401="LOSE"),T1401&lt;&gt;"",N(S1401)&lt;=0,ISNUMBER(MATCH(T1401,Parameter!$I$27:$I$29,0))),1,0)</f>
        <v>0</v>
      </c>
      <c r="CB1401" s="53" t="n">
        <f aca="false">IF(CQ1401&gt;0,INDEX(Parameter!$H$5:$H$7,W1401)/INDEX(Parameter!$E$5:$E$7,W1401),IF(AND(BZ1401=0,N(IFERROR(VLOOKUP(BX1401,'Gebinde-Kategorie'!$A$5:$N$45,14,0),0))&gt;0),VLOOKUP(BX1401,'Gebinde-Kategorie'!$A$5:$N$45,14,0)*10+Parameter!$M$23,Parameter!$M$24))</f>
        <v>345</v>
      </c>
      <c r="CC1401" s="48" t="str">
        <f aca="false">IF(AND(Parameter!$B$19="Ja",E1401&lt;&gt;"",ISNUMBER(MATCH(E1401,Parameter!$I$35:$I$52,0))),VLOOKUP(E1401,Parameter!$I$35:$J$52,2,0),IFERROR(VLOOKUP(D1401,Parameter!$A$35:$C$64,2,0),"Nein"))</f>
        <v>2+3</v>
      </c>
      <c r="CD1401" s="52" t="n">
        <f aca="false">IF(BZ1401=0,0,IF(N(S1401)&gt;0,S1401,IFERROR(VLOOKUP(D1401,Parameter!$A$35:$C$64,3,0)+0,0)))</f>
        <v>0</v>
      </c>
      <c r="CE1401" s="48" t="n">
        <f aca="false">IF(AA1401&lt;&gt;"",AA1401,Z1401)</f>
        <v>2</v>
      </c>
      <c r="CF1401" s="48" t="str">
        <f aca="false">IF(OR(CE1401=1,CE1401=2,CE1401=3),IF(Parameter!$E$27="Ja","LIFT",IF(CE1401=1,"L1","L23")),IF(CE1401="Aussen","Aussen","-"))</f>
        <v>LIFT</v>
      </c>
      <c r="CG1401" s="59" t="n">
        <f aca="false">IF(N(AB1401)&gt;0,AB1401,0)</f>
        <v>0</v>
      </c>
      <c r="CH1401" s="53" t="n">
        <f aca="false">IF(ISNUMBER(AE1401),1,0)</f>
        <v>0</v>
      </c>
      <c r="CI1401" s="50" t="n">
        <f aca="false">N(AE1401)</f>
        <v>0</v>
      </c>
      <c r="CJ1401" s="50" t="n">
        <f aca="false">N(M1401)+N(N1401)</f>
        <v>50</v>
      </c>
      <c r="CK1401" s="50" t="n">
        <f aca="false">N(M1401)</f>
        <v>10</v>
      </c>
      <c r="CL1401" s="50" t="n">
        <f aca="false">N(N1401)</f>
        <v>40</v>
      </c>
      <c r="CM1401" s="50" t="n">
        <f aca="false">ROUNDUP(H1401/BY1401,0)</f>
        <v>1</v>
      </c>
      <c r="CN1401" s="50" t="n">
        <f aca="false">ROUNDUP(CI1401/BY1401,0)</f>
        <v>0</v>
      </c>
      <c r="CO1401" s="53" t="n">
        <f aca="false">IF(BZ1401=1,0,IFERROR(VLOOKUP(BX1401,'Gebinde-Kategorie'!$A$5:$N$45,5,0)+0,0))</f>
        <v>31</v>
      </c>
      <c r="CP1401" s="53" t="n">
        <f aca="false">IFERROR(IF(OR(CE1401=1,CE1401=2,CE1401=3),N(INDEX(Parameter!$I$5:$I$7,CE1401)),0),0)</f>
        <v>0</v>
      </c>
      <c r="CQ1401" s="52" t="n">
        <f aca="false">IF(AND(Parameter!$B$21="Ja",ISNUMBER(W1401),N(X1401)&gt;0),IFERROR(N(INDEX(Parameter!$L$5:$L$7,W1401))*INDEX(Parameter!$E$5:$E$7,W1401)*X1401/SUMIFS($X$7:$X$1843,$W$7:$W$1843,W1401),0),0)</f>
        <v>0</v>
      </c>
    </row>
    <row r="1402" customFormat="false" ht="15" hidden="false" customHeight="false" outlineLevel="0" collapsed="false">
      <c r="A1402" s="48" t="s">
        <v>2472</v>
      </c>
      <c r="B1402" s="48" t="s">
        <v>2473</v>
      </c>
      <c r="C1402" s="48" t="s">
        <v>173</v>
      </c>
      <c r="D1402" s="48" t="s">
        <v>193</v>
      </c>
      <c r="E1402" s="48" t="s">
        <v>194</v>
      </c>
      <c r="F1402" s="48" t="s">
        <v>227</v>
      </c>
      <c r="G1402" s="49" t="n">
        <v>94.26</v>
      </c>
      <c r="H1402" s="50" t="n">
        <f aca="false">MAX(0,IF(AND(Parameter!$B$21="Ja",ISNUMBER(Y1402)),Y1402,IF(Parameter!$B$20="Jahresanfang 2025 + Export",BR1402+BQ1402,BQ1402)))</f>
        <v>11</v>
      </c>
      <c r="I1402" s="50" t="n">
        <f aca="false">H1402*G1402</f>
        <v>1036.86</v>
      </c>
      <c r="J1402" s="50" t="n">
        <f aca="false">BT1402*Parameter!$B$18</f>
        <v>2</v>
      </c>
      <c r="K1402" s="51" t="n">
        <v>53.5</v>
      </c>
      <c r="L1402" s="52" t="n">
        <v>0.0373831775700935</v>
      </c>
      <c r="M1402" s="50" t="n">
        <v>0</v>
      </c>
      <c r="N1402" s="50" t="n">
        <v>1</v>
      </c>
      <c r="O1402" s="53" t="n">
        <v>28</v>
      </c>
      <c r="P1402" s="48" t="s">
        <v>195</v>
      </c>
      <c r="Q1402" s="50" t="n">
        <v>35</v>
      </c>
      <c r="R1402" s="53" t="n">
        <f aca="false">IF(BZ1402=1,0,IFERROR(VLOOKUP(BX1402,'Gebinde-Kategorie'!$A$5:$N$45,13,0)+0,0))</f>
        <v>12</v>
      </c>
      <c r="S1402" s="54"/>
      <c r="T1402" s="55"/>
      <c r="U1402" s="55"/>
      <c r="V1402" s="55"/>
      <c r="W1402" s="48"/>
      <c r="X1402" s="50"/>
      <c r="Y1402" s="50"/>
      <c r="Z1402" s="48" t="n">
        <f aca="false">IF(A1402="","",IF(AND(Parameter!$B$21="Ja",ISNUMBER(W1402)),W1402,IF(CC1402="2+3",IF(ISNUMBER(SEARCH("grosser Artikel",BU1402)),2,IFERROR(VLOOKUP(BX1402,Parameter!$F$35:$G$64,2,0),2)),IF(OR(CC1402="Nein",CC1402=""),"-",CC1402))))</f>
        <v>2</v>
      </c>
      <c r="AA1402" s="55"/>
      <c r="AB1402" s="56"/>
      <c r="AC1402" s="50" t="n">
        <f aca="false">AV1402</f>
        <v>2</v>
      </c>
      <c r="AD1402" s="50" t="n">
        <f aca="false">MAX(AV1402,H1402)</f>
        <v>11</v>
      </c>
      <c r="AE1402" s="57"/>
      <c r="AF1402" s="50" t="n">
        <f aca="false">IF(LEFT(Cockpit!$C$5,1)="A",H1402,IF(Parameter!$E$30="MAX-Bestand",IF(CH1402=1,CI1402,IF(LEFT(Cockpit!$C$5,1)="B",AL1402,MAX(AL1402,H1402))),ROUNDUP(AJ1402,0)))</f>
        <v>11</v>
      </c>
      <c r="AG1402" s="50" t="n">
        <f aca="false">IF(BZ1402=1,0,ROUNDUP(AF1402/BY1402,0))</f>
        <v>1</v>
      </c>
      <c r="AH1402" s="52" t="n">
        <f aca="false">IF(CQ1402&gt;0,CQ1402*MAX(1,AF1402/X1402),IF(BZ1402=1,IF(AF1402&lt;=0,0,CD1402*MAX(1,IF(H1402&gt;0,AF1402/H1402,1))),IF(R1402&gt;0,AG1402/R1402,0))/MAX(0.1,N(Parameter!$M$21)))</f>
        <v>0.0833333333333333</v>
      </c>
      <c r="AI1402" s="50" t="n">
        <f aca="false">AH1402*CB1402</f>
        <v>12.0833333333333</v>
      </c>
      <c r="AJ1402" s="51" t="n">
        <f aca="false">IF(LEFT(Cockpit!$C$5,1)="A",H1402,IF(CH1402=1,(CK1402+CI1402)/2,IF(LEFT(Cockpit!$C$5,1)="B",(CK1402+AL1402)/2,MAX((CK1402+AL1402)/2,H1402))))</f>
        <v>11</v>
      </c>
      <c r="AK1402" s="50" t="n">
        <f aca="false">AJ1402*G1402</f>
        <v>1036.86</v>
      </c>
      <c r="AL1402" s="50" t="n">
        <f aca="false">ROUNDUP(CK1402+MAX(CL1402,2*(J1402/IF(CG1402&gt;0,CG1402,MAX(0.1,N(Cockpit!$C$6)))-CK1402)),0)</f>
        <v>2</v>
      </c>
      <c r="AM1402" s="51" t="n">
        <f aca="false">IF(AI1402&gt;0,J1402/AI1402,-1)</f>
        <v>0.16551724137931</v>
      </c>
      <c r="AN1402" s="51" t="n">
        <f aca="false">IF(AND(OR(CF1402="L1",CF1402="L23",CF1402="LIFT"),AI1402&gt;0),SUMIFS($AI$7:$AI$1843,$CF$7:$CF$1843,CF1402,$AM$7:$AM$1843,"&gt;"&amp;AM1402)+SUMIFS($AI$7:$AI$1843,$CF$7:$CF$1843,CF1402,$AM$7:$AM$1843,AM1402,$BW$7:$BW$1843,"&lt;="&amp;BW1402),"")</f>
        <v>12865.8234644358</v>
      </c>
      <c r="AO1402" s="58" t="n">
        <f aca="false">IF(AN1402="",0,MAX(0,MIN(1,(IF(CF1402="L1",Parameter!$H$5,IF(CF1402="L23",Parameter!$H$6+Parameter!$H$7,Parameter!$H$5+Parameter!$H$6+Parameter!$H$7))-(AN1402-AI1402))/AI1402)))</f>
        <v>1</v>
      </c>
      <c r="AP1402" s="50" t="n">
        <f aca="false">IF(LEFT(Cockpit!$I$5,1)="A",H1402,IF(Parameter!$E$30="MAX-Bestand",IF(CH1402=1,CI1402,IF(LEFT(Cockpit!$I$5,1)="B",AV1402,MAX(AV1402,H1402))),ROUNDUP(AT1402,0)))</f>
        <v>11</v>
      </c>
      <c r="AQ1402" s="50" t="n">
        <f aca="false">IF(BZ1402=1,0,ROUNDUP(AP1402/BY1402,0))</f>
        <v>1</v>
      </c>
      <c r="AR1402" s="52" t="n">
        <f aca="false">IF(CQ1402&gt;0,CQ1402*MAX(1,AP1402/X1402),IF(BZ1402=1,IF(AP1402&lt;=0,0,CD1402*MAX(1,IF(H1402&gt;0,AP1402/H1402,1))),IF(R1402&gt;0,AQ1402/R1402,0))/MAX(0.1,N(Parameter!$M$21)))</f>
        <v>0.0833333333333333</v>
      </c>
      <c r="AS1402" s="50" t="n">
        <f aca="false">AR1402*CB1402</f>
        <v>12.0833333333333</v>
      </c>
      <c r="AT1402" s="51" t="n">
        <f aca="false">IF(LEFT(Cockpit!$I$5,1)="A",H1402,IF(CH1402=1,(CK1402+CI1402)/2,IF(LEFT(Cockpit!$I$5,1)="B",(CK1402+AV1402)/2,MAX((CK1402+AV1402)/2,H1402))))</f>
        <v>11</v>
      </c>
      <c r="AU1402" s="50" t="n">
        <f aca="false">AT1402*G1402</f>
        <v>1036.86</v>
      </c>
      <c r="AV1402" s="50" t="n">
        <f aca="false">ROUNDUP(CK1402+MAX(CL1402,2*(J1402/IF(CG1402&gt;0,CG1402,MAX(0.1,N(Cockpit!$I$6)))-CK1402)),0)</f>
        <v>2</v>
      </c>
      <c r="AW1402" s="51" t="n">
        <f aca="false">IF(AS1402&gt;0,J1402/AS1402,-1)</f>
        <v>0.16551724137931</v>
      </c>
      <c r="AX1402" s="51" t="n">
        <f aca="false">IF(AND(OR(CF1402="L1",CF1402="L23",CF1402="LIFT"),AS1402&gt;0),SUMIFS($AS$7:$AS$1843,$CF$7:$CF$1843,CF1402,$AW$7:$AW$1843,"&gt;"&amp;AW1402)+SUMIFS($AS$7:$AS$1843,$CF$7:$CF$1843,CF1402,$AW$7:$AW$1843,AW1402,$BW$7:$BW$1843,"&lt;="&amp;BW1402),"")</f>
        <v>15818.6707875458</v>
      </c>
      <c r="AY1402" s="58" t="n">
        <f aca="false">IF(AX1402="",0,MAX(0,MIN(1,(IF(CF1402="L1",Parameter!$H$5,IF(CF1402="L23",Parameter!$H$6+Parameter!$H$7,Parameter!$H$5+Parameter!$H$6+Parameter!$H$7))-(AX1402-AS1402))/AS1402)))</f>
        <v>1</v>
      </c>
      <c r="AZ1402" s="50" t="n">
        <f aca="false">IF(LEFT(Cockpit!$O$5,1)="A",H1402,IF(Parameter!$E$30="MAX-Bestand",IF(CH1402=1,CI1402,IF(LEFT(Cockpit!$O$5,1)="B",BF1402,MAX(BF1402,H1402))),ROUNDUP(BD1402,0)))</f>
        <v>1</v>
      </c>
      <c r="BA1402" s="50" t="n">
        <f aca="false">IF(BZ1402=1,0,ROUNDUP(AZ1402/BY1402,0))</f>
        <v>1</v>
      </c>
      <c r="BB1402" s="52" t="n">
        <f aca="false">IF(CQ1402&gt;0,CQ1402*MAX(1,AZ1402/X1402),IF(BZ1402=1,IF(AZ1402&lt;=0,0,CD1402*MAX(1,IF(H1402&gt;0,AZ1402/H1402,1))),IF(R1402&gt;0,BA1402/R1402,0))/MAX(0.1,N(Parameter!$M$21)))</f>
        <v>0.0833333333333333</v>
      </c>
      <c r="BC1402" s="50" t="n">
        <f aca="false">BB1402*CB1402</f>
        <v>12.0833333333333</v>
      </c>
      <c r="BD1402" s="51" t="n">
        <f aca="false">IF(LEFT(Cockpit!$O$5,1)="A",H1402,IF(CH1402=1,(CK1402+CI1402)/2,IF(LEFT(Cockpit!$O$5,1)="B",(CK1402+BF1402)/2,MAX((CK1402+BF1402)/2,H1402))))</f>
        <v>0.5</v>
      </c>
      <c r="BE1402" s="50" t="n">
        <f aca="false">BD1402*G1402</f>
        <v>47.13</v>
      </c>
      <c r="BF1402" s="50" t="n">
        <f aca="false">ROUNDUP(CK1402+MAX(CL1402,2*(J1402/IF(CG1402&gt;0,CG1402,MAX(0.1,N(Cockpit!$O$6)))-CK1402)),0)</f>
        <v>1</v>
      </c>
      <c r="BG1402" s="51" t="n">
        <f aca="false">IF(BC1402&gt;0,J1402/BC1402,-1)</f>
        <v>0.16551724137931</v>
      </c>
      <c r="BH1402" s="51" t="n">
        <f aca="false">IF(AND(OR(CF1402="L1",CF1402="L23",CF1402="LIFT"),BC1402&gt;0),SUMIFS($BC$7:$BC$1843,$CF$7:$CF$1843,CF1402,$BG$7:$BG$1843,"&gt;"&amp;BG1402)+SUMIFS($BC$7:$BC$1843,$CF$7:$CF$1843,CF1402,$BG$7:$BG$1843,BG1402,$BW$7:$BW$1843,"&lt;="&amp;BW1402),"")</f>
        <v>13645.1372824445</v>
      </c>
      <c r="BI1402" s="58" t="n">
        <f aca="false">IF(BH1402="",0,MAX(0,MIN(1,(IF(CF1402="L1",Parameter!$H$5,IF(CF1402="L23",Parameter!$H$6+Parameter!$H$7,Parameter!$H$5+Parameter!$H$6+Parameter!$H$7))-(BH1402-BC1402))/BC1402)))</f>
        <v>1</v>
      </c>
      <c r="BJ1402" s="48" t="str">
        <f aca="false">IF(AI1402&lt;=0,"",IF(CF1402="Aussen","Aussenlager",IF(CF1402="-","Nicht im Lift",IF(AO1402&gt;=1,"Lift",IF(AO1402&lt;=0,"Aussenlager","teilweise")))))</f>
        <v>Lift</v>
      </c>
      <c r="BK1402" s="48" t="str">
        <f aca="false">IF(AS1402&lt;=0,"",IF(CF1402="Aussen","Aussenlager",IF(CF1402="-","Nicht im Lift",IF(AY1402&gt;=1,"Lift",IF(AY1402&lt;=0,"Aussenlager","teilweise")))))</f>
        <v>Lift</v>
      </c>
      <c r="BL1402" s="48" t="str">
        <f aca="false">IF(BC1402&lt;=0,"",IF(CF1402="Aussen","Aussenlager",IF(CF1402="-","Nicht im Lift",IF(BI1402&gt;=1,"Lift",IF(BI1402&lt;=0,"Aussenlager","teilweise")))))</f>
        <v>Lift</v>
      </c>
      <c r="BM1402" s="48" t="str">
        <f aca="false">IF(A1402="","",IF(BV1402=1,"Neu; ","")&amp;IF(AND(BV1402=0,BQ1402&lt;0),"negativer Bestand (Export "&amp;BQ1402&amp;"); ","")&amp;IF(J1402&lt;=0,"Kein Verbrauch; ","")&amp;IF(CQ1402&gt;0,"Lift "&amp;W1402&amp;" lt. Liftbericht (Fach "&amp;X1402&amp;" Stk); ",IF(CA1402=1,"Gebinde geschätzt ("&amp;T1402&amp;"); ",IF(BZ1402=1,"Lose – Tablare geschätzt; ","")))&amp;IF(H1402&gt;AV1402,"Überbestand "&amp;ROUND(H1402-AV1402,0)&amp;" Stk / CHF "&amp;ROUND((H1402-AV1402)*G1402,0)&amp;"; ","")&amp;IF(AND(CH1402=1,CI1402&lt;CJ1402),"MAX &lt; MB+LG; ","")&amp;IF(AND(CP1402&gt;0,CO1402*10&gt;CP1402),"zu hoch für Tablar; ","")&amp;IF(AND(BV1402=0,OR(CH1402=1,AA1402&lt;&gt;"",U1402&lt;&gt;"",V1402&lt;&gt;"",AB1402&lt;&gt;"")),"manuell übersteuert; ","")&amp;IF(AND(BZ1402=0,R1402=0),"Gebinde unbekannt / Stellmass fehlt; ","")&amp;IF(AND(BZ1402=0,N(V1402)&lt;=0,N(Q1402)&lt;=0),"Menge pro Gebinde fehlt (Ist = 1 Gebinde); ","")&amp;BU1402)</f>
        <v>negativer Bestand (Export -44); Überbestand 9 Stk / CHF 848; </v>
      </c>
      <c r="BN1402" s="48"/>
      <c r="BO1402" s="48"/>
      <c r="BP1402" s="55"/>
      <c r="BQ1402" s="50" t="n">
        <v>-44</v>
      </c>
      <c r="BR1402" s="50" t="n">
        <v>55</v>
      </c>
      <c r="BS1402" s="49" t="n">
        <v>-4147.44</v>
      </c>
      <c r="BT1402" s="50" t="n">
        <v>2</v>
      </c>
      <c r="BU1402" s="48"/>
      <c r="BV1402" s="53" t="n">
        <v>0</v>
      </c>
      <c r="BW1402" s="53" t="n">
        <v>1402</v>
      </c>
      <c r="BX1402" s="48" t="str">
        <f aca="false">IF(U1402&lt;&gt;"",UPPER(TRIM(U1402)),IF(CA1402=1,UPPER(VLOOKUP(T1402,Parameter!$I$27:$K$29,2,0)),IF(P1402="","LOSE",P1402)))</f>
        <v>S61</v>
      </c>
      <c r="BY1402" s="50" t="n">
        <f aca="false">IF(BX1402="LOSE",1,IF(N(V1402)&gt;0,V1402,IF(CA1402=1,MAX(1,N(VLOOKUP(T1402,Parameter!$I$27:$K$29,3,0)),H1402,N(N1402)),IF(N(Q1402)&gt;0,Q1402,MAX(1,H1402)))))</f>
        <v>35</v>
      </c>
      <c r="BZ1402" s="53" t="n">
        <f aca="false">IF(BX1402="LOSE",1,0)</f>
        <v>0</v>
      </c>
      <c r="CA1402" s="53" t="n">
        <f aca="false">IF(AND(U1402="",OR(P1402="",P1402="LOSE"),T1402&lt;&gt;"",N(S1402)&lt;=0,ISNUMBER(MATCH(T1402,Parameter!$I$27:$I$29,0))),1,0)</f>
        <v>0</v>
      </c>
      <c r="CB1402" s="53" t="n">
        <f aca="false">IF(CQ1402&gt;0,INDEX(Parameter!$H$5:$H$7,W1402)/INDEX(Parameter!$E$5:$E$7,W1402),IF(AND(BZ1402=0,N(IFERROR(VLOOKUP(BX1402,'Gebinde-Kategorie'!$A$5:$N$45,14,0),0))&gt;0),VLOOKUP(BX1402,'Gebinde-Kategorie'!$A$5:$N$45,14,0)*10+Parameter!$M$23,Parameter!$M$24))</f>
        <v>145</v>
      </c>
      <c r="CC1402" s="48" t="str">
        <f aca="false">IF(AND(Parameter!$B$19="Ja",E1402&lt;&gt;"",ISNUMBER(MATCH(E1402,Parameter!$I$35:$I$52,0))),VLOOKUP(E1402,Parameter!$I$35:$J$52,2,0),IFERROR(VLOOKUP(D1402,Parameter!$A$35:$C$64,2,0),"Nein"))</f>
        <v>2+3</v>
      </c>
      <c r="CD1402" s="52" t="n">
        <f aca="false">IF(BZ1402=0,0,IF(N(S1402)&gt;0,S1402,IFERROR(VLOOKUP(D1402,Parameter!$A$35:$C$64,3,0)+0,0)))</f>
        <v>0</v>
      </c>
      <c r="CE1402" s="48" t="n">
        <f aca="false">IF(AA1402&lt;&gt;"",AA1402,Z1402)</f>
        <v>2</v>
      </c>
      <c r="CF1402" s="48" t="str">
        <f aca="false">IF(OR(CE1402=1,CE1402=2,CE1402=3),IF(Parameter!$E$27="Ja","LIFT",IF(CE1402=1,"L1","L23")),IF(CE1402="Aussen","Aussen","-"))</f>
        <v>LIFT</v>
      </c>
      <c r="CG1402" s="59" t="n">
        <f aca="false">IF(N(AB1402)&gt;0,AB1402,0)</f>
        <v>0</v>
      </c>
      <c r="CH1402" s="53" t="n">
        <f aca="false">IF(ISNUMBER(AE1402),1,0)</f>
        <v>0</v>
      </c>
      <c r="CI1402" s="50" t="n">
        <f aca="false">N(AE1402)</f>
        <v>0</v>
      </c>
      <c r="CJ1402" s="50" t="n">
        <f aca="false">N(M1402)+N(N1402)</f>
        <v>1</v>
      </c>
      <c r="CK1402" s="50" t="n">
        <f aca="false">N(M1402)</f>
        <v>0</v>
      </c>
      <c r="CL1402" s="50" t="n">
        <f aca="false">N(N1402)</f>
        <v>1</v>
      </c>
      <c r="CM1402" s="50" t="n">
        <f aca="false">ROUNDUP(H1402/BY1402,0)</f>
        <v>1</v>
      </c>
      <c r="CN1402" s="50" t="n">
        <f aca="false">ROUNDUP(CI1402/BY1402,0)</f>
        <v>0</v>
      </c>
      <c r="CO1402" s="53" t="n">
        <f aca="false">IF(BZ1402=1,0,IFERROR(VLOOKUP(BX1402,'Gebinde-Kategorie'!$A$5:$N$45,5,0)+0,0))</f>
        <v>11</v>
      </c>
      <c r="CP1402" s="53" t="n">
        <f aca="false">IFERROR(IF(OR(CE1402=1,CE1402=2,CE1402=3),N(INDEX(Parameter!$I$5:$I$7,CE1402)),0),0)</f>
        <v>0</v>
      </c>
      <c r="CQ1402" s="52" t="n">
        <f aca="false">IF(AND(Parameter!$B$21="Ja",ISNUMBER(W1402),N(X1402)&gt;0),IFERROR(N(INDEX(Parameter!$L$5:$L$7,W1402))*INDEX(Parameter!$E$5:$E$7,W1402)*X1402/SUMIFS($X$7:$X$1843,$W$7:$W$1843,W1402),0),0)</f>
        <v>0</v>
      </c>
    </row>
    <row r="1403" customFormat="false" ht="15" hidden="false" customHeight="false" outlineLevel="0" collapsed="false">
      <c r="A1403" s="48" t="s">
        <v>2474</v>
      </c>
      <c r="B1403" s="48" t="s">
        <v>414</v>
      </c>
      <c r="C1403" s="48" t="s">
        <v>173</v>
      </c>
      <c r="D1403" s="48" t="s">
        <v>193</v>
      </c>
      <c r="E1403" s="48"/>
      <c r="F1403" s="48" t="s">
        <v>227</v>
      </c>
      <c r="G1403" s="49" t="n">
        <v>3.25</v>
      </c>
      <c r="H1403" s="50" t="n">
        <f aca="false">MAX(0,IF(AND(Parameter!$B$21="Ja",ISNUMBER(Y1403)),Y1403,IF(Parameter!$B$20="Jahresanfang 2025 + Export",BR1403+BQ1403,BQ1403)))</f>
        <v>151</v>
      </c>
      <c r="I1403" s="50" t="n">
        <f aca="false">H1403*G1403</f>
        <v>490.75</v>
      </c>
      <c r="J1403" s="50" t="n">
        <f aca="false">BT1403*Parameter!$B$18</f>
        <v>966</v>
      </c>
      <c r="K1403" s="51" t="n">
        <v>1023.5</v>
      </c>
      <c r="L1403" s="52" t="n">
        <v>0.943820224719101</v>
      </c>
      <c r="M1403" s="50" t="n">
        <v>60</v>
      </c>
      <c r="N1403" s="50" t="n">
        <v>1500</v>
      </c>
      <c r="O1403" s="53" t="n">
        <v>56</v>
      </c>
      <c r="P1403" s="48" t="s">
        <v>177</v>
      </c>
      <c r="Q1403" s="50"/>
      <c r="R1403" s="53" t="n">
        <f aca="false">IF(BZ1403=1,0,IFERROR(VLOOKUP(BX1403,'Gebinde-Kategorie'!$A$5:$N$45,13,0)+0,0))</f>
        <v>26</v>
      </c>
      <c r="S1403" s="54"/>
      <c r="T1403" s="55" t="s">
        <v>284</v>
      </c>
      <c r="U1403" s="55"/>
      <c r="V1403" s="55"/>
      <c r="W1403" s="48"/>
      <c r="X1403" s="50"/>
      <c r="Y1403" s="50"/>
      <c r="Z1403" s="48" t="n">
        <f aca="false">IF(A1403="","",IF(AND(Parameter!$B$21="Ja",ISNUMBER(W1403)),W1403,IF(CC1403="2+3",IF(ISNUMBER(SEARCH("grosser Artikel",BU1403)),2,IFERROR(VLOOKUP(BX1403,Parameter!$F$35:$G$64,2,0),2)),IF(OR(CC1403="Nein",CC1403=""),"-",CC1403))))</f>
        <v>3</v>
      </c>
      <c r="AA1403" s="55"/>
      <c r="AB1403" s="56"/>
      <c r="AC1403" s="50" t="n">
        <f aca="false">AV1403</f>
        <v>1560</v>
      </c>
      <c r="AD1403" s="50" t="n">
        <f aca="false">MAX(AV1403,H1403)</f>
        <v>1560</v>
      </c>
      <c r="AE1403" s="57"/>
      <c r="AF1403" s="50" t="n">
        <f aca="false">IF(LEFT(Cockpit!$C$5,1)="A",H1403,IF(Parameter!$E$30="MAX-Bestand",IF(CH1403=1,CI1403,IF(LEFT(Cockpit!$C$5,1)="B",AL1403,MAX(AL1403,H1403))),ROUNDUP(AJ1403,0)))</f>
        <v>151</v>
      </c>
      <c r="AG1403" s="50" t="n">
        <f aca="false">IF(BZ1403=1,0,ROUNDUP(AF1403/BY1403,0))</f>
        <v>1</v>
      </c>
      <c r="AH1403" s="52" t="n">
        <f aca="false">IF(CQ1403&gt;0,CQ1403*MAX(1,AF1403/X1403),IF(BZ1403=1,IF(AF1403&lt;=0,0,CD1403*MAX(1,IF(H1403&gt;0,AF1403/H1403,1))),IF(R1403&gt;0,AG1403/R1403,0))/MAX(0.1,N(Parameter!$M$21)))</f>
        <v>0.0384615384615385</v>
      </c>
      <c r="AI1403" s="50" t="n">
        <f aca="false">AH1403*CB1403</f>
        <v>5.96153846153846</v>
      </c>
      <c r="AJ1403" s="51" t="n">
        <f aca="false">IF(LEFT(Cockpit!$C$5,1)="A",H1403,IF(CH1403=1,(CK1403+CI1403)/2,IF(LEFT(Cockpit!$C$5,1)="B",(CK1403+AL1403)/2,MAX((CK1403+AL1403)/2,H1403))))</f>
        <v>151</v>
      </c>
      <c r="AK1403" s="50" t="n">
        <f aca="false">AJ1403*G1403</f>
        <v>490.75</v>
      </c>
      <c r="AL1403" s="50" t="n">
        <f aca="false">ROUNDUP(CK1403+MAX(CL1403,2*(J1403/IF(CG1403&gt;0,CG1403,MAX(0.1,N(Cockpit!$C$6)))-CK1403)),0)</f>
        <v>1560</v>
      </c>
      <c r="AM1403" s="51" t="n">
        <f aca="false">IF(AI1403&gt;0,J1403/AI1403,-1)</f>
        <v>162.038709677419</v>
      </c>
      <c r="AN1403" s="51" t="n">
        <f aca="false">IF(AND(OR(CF1403="L1",CF1403="L23",CF1403="LIFT"),AI1403&gt;0),SUMIFS($AI$7:$AI$1843,$CF$7:$CF$1843,CF1403,$AM$7:$AM$1843,"&gt;"&amp;AM1403)+SUMIFS($AI$7:$AI$1843,$CF$7:$CF$1843,CF1403,$AM$7:$AM$1843,AM1403,$BW$7:$BW$1843,"&lt;="&amp;BW1403),"")</f>
        <v>420.30815018315</v>
      </c>
      <c r="AO1403" s="58" t="n">
        <f aca="false">IF(AN1403="",0,MAX(0,MIN(1,(IF(CF1403="L1",Parameter!$H$5,IF(CF1403="L23",Parameter!$H$6+Parameter!$H$7,Parameter!$H$5+Parameter!$H$6+Parameter!$H$7))-(AN1403-AI1403))/AI1403)))</f>
        <v>1</v>
      </c>
      <c r="AP1403" s="50" t="n">
        <f aca="false">IF(LEFT(Cockpit!$I$5,1)="A",H1403,IF(Parameter!$E$30="MAX-Bestand",IF(CH1403=1,CI1403,IF(LEFT(Cockpit!$I$5,1)="B",AV1403,MAX(AV1403,H1403))),ROUNDUP(AT1403,0)))</f>
        <v>810</v>
      </c>
      <c r="AQ1403" s="50" t="n">
        <f aca="false">IF(BZ1403=1,0,ROUNDUP(AP1403/BY1403,0))</f>
        <v>1</v>
      </c>
      <c r="AR1403" s="52" t="n">
        <f aca="false">IF(CQ1403&gt;0,CQ1403*MAX(1,AP1403/X1403),IF(BZ1403=1,IF(AP1403&lt;=0,0,CD1403*MAX(1,IF(H1403&gt;0,AP1403/H1403,1))),IF(R1403&gt;0,AQ1403/R1403,0))/MAX(0.1,N(Parameter!$M$21)))</f>
        <v>0.0384615384615385</v>
      </c>
      <c r="AS1403" s="50" t="n">
        <f aca="false">AR1403*CB1403</f>
        <v>5.96153846153846</v>
      </c>
      <c r="AT1403" s="51" t="n">
        <f aca="false">IF(LEFT(Cockpit!$I$5,1)="A",H1403,IF(CH1403=1,(CK1403+CI1403)/2,IF(LEFT(Cockpit!$I$5,1)="B",(CK1403+AV1403)/2,MAX((CK1403+AV1403)/2,H1403))))</f>
        <v>810</v>
      </c>
      <c r="AU1403" s="50" t="n">
        <f aca="false">AT1403*G1403</f>
        <v>2632.5</v>
      </c>
      <c r="AV1403" s="50" t="n">
        <f aca="false">ROUNDUP(CK1403+MAX(CL1403,2*(J1403/IF(CG1403&gt;0,CG1403,MAX(0.1,N(Cockpit!$I$6)))-CK1403)),0)</f>
        <v>1560</v>
      </c>
      <c r="AW1403" s="51" t="n">
        <f aca="false">IF(AS1403&gt;0,J1403/AS1403,-1)</f>
        <v>162.038709677419</v>
      </c>
      <c r="AX1403" s="51" t="n">
        <f aca="false">IF(AND(OR(CF1403="L1",CF1403="L23",CF1403="LIFT"),AS1403&gt;0),SUMIFS($AS$7:$AS$1843,$CF$7:$CF$1843,CF1403,$AW$7:$AW$1843,"&gt;"&amp;AW1403)+SUMIFS($AS$7:$AS$1843,$CF$7:$CF$1843,CF1403,$AW$7:$AW$1843,AW1403,$BW$7:$BW$1843,"&lt;="&amp;BW1403),"")</f>
        <v>537.945054945055</v>
      </c>
      <c r="AY1403" s="58" t="n">
        <f aca="false">IF(AX1403="",0,MAX(0,MIN(1,(IF(CF1403="L1",Parameter!$H$5,IF(CF1403="L23",Parameter!$H$6+Parameter!$H$7,Parameter!$H$5+Parameter!$H$6+Parameter!$H$7))-(AX1403-AS1403))/AS1403)))</f>
        <v>1</v>
      </c>
      <c r="AZ1403" s="50" t="n">
        <f aca="false">IF(LEFT(Cockpit!$O$5,1)="A",H1403,IF(Parameter!$E$30="MAX-Bestand",IF(CH1403=1,CI1403,IF(LEFT(Cockpit!$O$5,1)="B",BF1403,MAX(BF1403,H1403))),ROUNDUP(BD1403,0)))</f>
        <v>810</v>
      </c>
      <c r="BA1403" s="50" t="n">
        <f aca="false">IF(BZ1403=1,0,ROUNDUP(AZ1403/BY1403,0))</f>
        <v>1</v>
      </c>
      <c r="BB1403" s="52" t="n">
        <f aca="false">IF(CQ1403&gt;0,CQ1403*MAX(1,AZ1403/X1403),IF(BZ1403=1,IF(AZ1403&lt;=0,0,CD1403*MAX(1,IF(H1403&gt;0,AZ1403/H1403,1))),IF(R1403&gt;0,BA1403/R1403,0))/MAX(0.1,N(Parameter!$M$21)))</f>
        <v>0.0384615384615385</v>
      </c>
      <c r="BC1403" s="50" t="n">
        <f aca="false">BB1403*CB1403</f>
        <v>5.96153846153846</v>
      </c>
      <c r="BD1403" s="51" t="n">
        <f aca="false">IF(LEFT(Cockpit!$O$5,1)="A",H1403,IF(CH1403=1,(CK1403+CI1403)/2,IF(LEFT(Cockpit!$O$5,1)="B",(CK1403+BF1403)/2,MAX((CK1403+BF1403)/2,H1403))))</f>
        <v>810</v>
      </c>
      <c r="BE1403" s="50" t="n">
        <f aca="false">BD1403*G1403</f>
        <v>2632.5</v>
      </c>
      <c r="BF1403" s="50" t="n">
        <f aca="false">ROUNDUP(CK1403+MAX(CL1403,2*(J1403/IF(CG1403&gt;0,CG1403,MAX(0.1,N(Cockpit!$O$6)))-CK1403)),0)</f>
        <v>1560</v>
      </c>
      <c r="BG1403" s="51" t="n">
        <f aca="false">IF(BC1403&gt;0,J1403/BC1403,-1)</f>
        <v>162.038709677419</v>
      </c>
      <c r="BH1403" s="51" t="n">
        <f aca="false">IF(AND(OR(CF1403="L1",CF1403="L23",CF1403="LIFT"),BC1403&gt;0),SUMIFS($BC$7:$BC$1843,$CF$7:$CF$1843,CF1403,$BG$7:$BG$1843,"&gt;"&amp;BG1403)+SUMIFS($BC$7:$BC$1843,$CF$7:$CF$1843,CF1403,$BG$7:$BG$1843,BG1403,$BW$7:$BW$1843,"&lt;="&amp;BW1403),"")</f>
        <v>534.339285714286</v>
      </c>
      <c r="BI1403" s="58" t="n">
        <f aca="false">IF(BH1403="",0,MAX(0,MIN(1,(IF(CF1403="L1",Parameter!$H$5,IF(CF1403="L23",Parameter!$H$6+Parameter!$H$7,Parameter!$H$5+Parameter!$H$6+Parameter!$H$7))-(BH1403-BC1403))/BC1403)))</f>
        <v>1</v>
      </c>
      <c r="BJ1403" s="48" t="str">
        <f aca="false">IF(AI1403&lt;=0,"",IF(CF1403="Aussen","Aussenlager",IF(CF1403="-","Nicht im Lift",IF(AO1403&gt;=1,"Lift",IF(AO1403&lt;=0,"Aussenlager","teilweise")))))</f>
        <v>Lift</v>
      </c>
      <c r="BK1403" s="48" t="str">
        <f aca="false">IF(AS1403&lt;=0,"",IF(CF1403="Aussen","Aussenlager",IF(CF1403="-","Nicht im Lift",IF(AY1403&gt;=1,"Lift",IF(AY1403&lt;=0,"Aussenlager","teilweise")))))</f>
        <v>Lift</v>
      </c>
      <c r="BL1403" s="48" t="str">
        <f aca="false">IF(BC1403&lt;=0,"",IF(CF1403="Aussen","Aussenlager",IF(CF1403="-","Nicht im Lift",IF(BI1403&gt;=1,"Lift",IF(BI1403&lt;=0,"Aussenlager","teilweise")))))</f>
        <v>Lift</v>
      </c>
      <c r="BM1403" s="48" t="str">
        <f aca="false">IF(A1403="","",IF(BV1403=1,"Neu; ","")&amp;IF(AND(BV1403=0,BQ1403&lt;0),"negativer Bestand (Export "&amp;BQ1403&amp;"); ","")&amp;IF(J1403&lt;=0,"Kein Verbrauch; ","")&amp;IF(CQ1403&gt;0,"Lift "&amp;W1403&amp;" lt. Liftbericht (Fach "&amp;X1403&amp;" Stk); ",IF(CA1403=1,"Gebinde geschätzt ("&amp;T1403&amp;"); ",IF(BZ1403=1,"Lose – Tablare geschätzt; ","")))&amp;IF(H1403&gt;AV1403,"Überbestand "&amp;ROUND(H1403-AV1403,0)&amp;" Stk / CHF "&amp;ROUND((H1403-AV1403)*G1403,0)&amp;"; ","")&amp;IF(AND(CH1403=1,CI1403&lt;CJ1403),"MAX &lt; MB+LG; ","")&amp;IF(AND(CP1403&gt;0,CO1403*10&gt;CP1403),"zu hoch für Tablar; ","")&amp;IF(AND(BV1403=0,OR(CH1403=1,AA1403&lt;&gt;"",U1403&lt;&gt;"",V1403&lt;&gt;"",AB1403&lt;&gt;"")),"manuell übersteuert; ","")&amp;IF(AND(BZ1403=0,R1403=0),"Gebinde unbekannt / Stellmass fehlt; ","")&amp;IF(AND(BZ1403=0,N(V1403)&lt;=0,N(Q1403)&lt;=0),"Menge pro Gebinde fehlt (Ist = 1 Gebinde); ","")&amp;BU1403)</f>
        <v>negativer Bestand (Export -1346); Gebinde geschätzt (Klein); Menge pro Gebinde fehlt (Ist = 1 Gebinde); </v>
      </c>
      <c r="BN1403" s="48"/>
      <c r="BO1403" s="48"/>
      <c r="BP1403" s="55"/>
      <c r="BQ1403" s="50" t="n">
        <v>-1346</v>
      </c>
      <c r="BR1403" s="50" t="n">
        <v>1497</v>
      </c>
      <c r="BS1403" s="49" t="n">
        <v>-4225.2</v>
      </c>
      <c r="BT1403" s="50" t="n">
        <v>966</v>
      </c>
      <c r="BU1403" s="48"/>
      <c r="BV1403" s="53" t="n">
        <v>0</v>
      </c>
      <c r="BW1403" s="53" t="n">
        <v>1403</v>
      </c>
      <c r="BX1403" s="48" t="str">
        <f aca="false">IF(U1403&lt;&gt;"",UPPER(TRIM(U1403)),IF(CA1403=1,UPPER(VLOOKUP(T1403,Parameter!$I$27:$K$29,2,0)),IF(P1403="","LOSE",P1403)))</f>
        <v>S51</v>
      </c>
      <c r="BY1403" s="50" t="n">
        <f aca="false">IF(BX1403="LOSE",1,IF(N(V1403)&gt;0,V1403,IF(CA1403=1,MAX(1,N(VLOOKUP(T1403,Parameter!$I$27:$K$29,3,0)),H1403,N(N1403)),IF(N(Q1403)&gt;0,Q1403,MAX(1,H1403)))))</f>
        <v>1500</v>
      </c>
      <c r="BZ1403" s="53" t="n">
        <f aca="false">IF(BX1403="LOSE",1,0)</f>
        <v>0</v>
      </c>
      <c r="CA1403" s="53" t="n">
        <f aca="false">IF(AND(U1403="",OR(P1403="",P1403="LOSE"),T1403&lt;&gt;"",N(S1403)&lt;=0,ISNUMBER(MATCH(T1403,Parameter!$I$27:$I$29,0))),1,0)</f>
        <v>1</v>
      </c>
      <c r="CB1403" s="53" t="n">
        <f aca="false">IF(CQ1403&gt;0,INDEX(Parameter!$H$5:$H$7,W1403)/INDEX(Parameter!$E$5:$E$7,W1403),IF(AND(BZ1403=0,N(IFERROR(VLOOKUP(BX1403,'Gebinde-Kategorie'!$A$5:$N$45,14,0),0))&gt;0),VLOOKUP(BX1403,'Gebinde-Kategorie'!$A$5:$N$45,14,0)*10+Parameter!$M$23,Parameter!$M$24))</f>
        <v>155</v>
      </c>
      <c r="CC1403" s="48" t="str">
        <f aca="false">IF(AND(Parameter!$B$19="Ja",E1403&lt;&gt;"",ISNUMBER(MATCH(E1403,Parameter!$I$35:$I$52,0))),VLOOKUP(E1403,Parameter!$I$35:$J$52,2,0),IFERROR(VLOOKUP(D1403,Parameter!$A$35:$C$64,2,0),"Nein"))</f>
        <v>2+3</v>
      </c>
      <c r="CD1403" s="52" t="n">
        <f aca="false">IF(BZ1403=0,0,IF(N(S1403)&gt;0,S1403,IFERROR(VLOOKUP(D1403,Parameter!$A$35:$C$64,3,0)+0,0)))</f>
        <v>0</v>
      </c>
      <c r="CE1403" s="48" t="n">
        <f aca="false">IF(AA1403&lt;&gt;"",AA1403,Z1403)</f>
        <v>3</v>
      </c>
      <c r="CF1403" s="48" t="str">
        <f aca="false">IF(OR(CE1403=1,CE1403=2,CE1403=3),IF(Parameter!$E$27="Ja","LIFT",IF(CE1403=1,"L1","L23")),IF(CE1403="Aussen","Aussen","-"))</f>
        <v>LIFT</v>
      </c>
      <c r="CG1403" s="59" t="n">
        <f aca="false">IF(N(AB1403)&gt;0,AB1403,0)</f>
        <v>0</v>
      </c>
      <c r="CH1403" s="53" t="n">
        <f aca="false">IF(ISNUMBER(AE1403),1,0)</f>
        <v>0</v>
      </c>
      <c r="CI1403" s="50" t="n">
        <f aca="false">N(AE1403)</f>
        <v>0</v>
      </c>
      <c r="CJ1403" s="50" t="n">
        <f aca="false">N(M1403)+N(N1403)</f>
        <v>1560</v>
      </c>
      <c r="CK1403" s="50" t="n">
        <f aca="false">N(M1403)</f>
        <v>60</v>
      </c>
      <c r="CL1403" s="50" t="n">
        <f aca="false">N(N1403)</f>
        <v>1500</v>
      </c>
      <c r="CM1403" s="50" t="n">
        <f aca="false">ROUNDUP(H1403/BY1403,0)</f>
        <v>1</v>
      </c>
      <c r="CN1403" s="50" t="n">
        <f aca="false">ROUNDUP(CI1403/BY1403,0)</f>
        <v>0</v>
      </c>
      <c r="CO1403" s="53" t="n">
        <f aca="false">IF(BZ1403=1,0,IFERROR(VLOOKUP(BX1403,'Gebinde-Kategorie'!$A$5:$N$45,5,0)+0,0))</f>
        <v>11</v>
      </c>
      <c r="CP1403" s="53" t="n">
        <f aca="false">IFERROR(IF(OR(CE1403=1,CE1403=2,CE1403=3),N(INDEX(Parameter!$I$5:$I$7,CE1403)),0),0)</f>
        <v>0</v>
      </c>
      <c r="CQ1403" s="52" t="n">
        <f aca="false">IF(AND(Parameter!$B$21="Ja",ISNUMBER(W1403),N(X1403)&gt;0),IFERROR(N(INDEX(Parameter!$L$5:$L$7,W1403))*INDEX(Parameter!$E$5:$E$7,W1403)*X1403/SUMIFS($X$7:$X$1843,$W$7:$W$1843,W1403),0),0)</f>
        <v>0</v>
      </c>
    </row>
    <row r="1404" customFormat="false" ht="15" hidden="false" customHeight="false" outlineLevel="0" collapsed="false">
      <c r="A1404" s="48" t="s">
        <v>2475</v>
      </c>
      <c r="B1404" s="48" t="s">
        <v>823</v>
      </c>
      <c r="C1404" s="48" t="s">
        <v>173</v>
      </c>
      <c r="D1404" s="48" t="s">
        <v>193</v>
      </c>
      <c r="E1404" s="48" t="s">
        <v>194</v>
      </c>
      <c r="F1404" s="48" t="s">
        <v>227</v>
      </c>
      <c r="G1404" s="49" t="n">
        <v>120.36</v>
      </c>
      <c r="H1404" s="50" t="n">
        <f aca="false">MAX(0,IF(AND(Parameter!$B$21="Ja",ISNUMBER(Y1404)),Y1404,IF(Parameter!$B$20="Jahresanfang 2025 + Export",BR1404+BQ1404,BQ1404)))</f>
        <v>102</v>
      </c>
      <c r="I1404" s="50" t="n">
        <f aca="false">H1404*G1404</f>
        <v>12276.72</v>
      </c>
      <c r="J1404" s="50" t="n">
        <f aca="false">BT1404*Parameter!$B$18</f>
        <v>21</v>
      </c>
      <c r="K1404" s="51" t="n">
        <v>127.5</v>
      </c>
      <c r="L1404" s="52" t="n">
        <v>0.164705882352941</v>
      </c>
      <c r="M1404" s="50" t="n">
        <v>7</v>
      </c>
      <c r="N1404" s="50" t="n">
        <v>20</v>
      </c>
      <c r="O1404" s="53" t="n">
        <v>126</v>
      </c>
      <c r="P1404" s="48" t="s">
        <v>337</v>
      </c>
      <c r="Q1404" s="50" t="n">
        <v>90</v>
      </c>
      <c r="R1404" s="53" t="n">
        <f aca="false">IF(BZ1404=1,0,IFERROR(VLOOKUP(BX1404,'Gebinde-Kategorie'!$A$5:$N$45,13,0)+0,0))</f>
        <v>52</v>
      </c>
      <c r="S1404" s="54"/>
      <c r="T1404" s="55"/>
      <c r="U1404" s="55"/>
      <c r="V1404" s="55"/>
      <c r="W1404" s="48"/>
      <c r="X1404" s="50"/>
      <c r="Y1404" s="50"/>
      <c r="Z1404" s="48" t="n">
        <f aca="false">IF(A1404="","",IF(AND(Parameter!$B$21="Ja",ISNUMBER(W1404)),W1404,IF(CC1404="2+3",IF(ISNUMBER(SEARCH("grosser Artikel",BU1404)),2,IFERROR(VLOOKUP(BX1404,Parameter!$F$35:$G$64,2,0),2)),IF(OR(CC1404="Nein",CC1404=""),"-",CC1404))))</f>
        <v>3</v>
      </c>
      <c r="AA1404" s="55"/>
      <c r="AB1404" s="56"/>
      <c r="AC1404" s="50" t="n">
        <f aca="false">AV1404</f>
        <v>27</v>
      </c>
      <c r="AD1404" s="50" t="n">
        <f aca="false">MAX(AV1404,H1404)</f>
        <v>102</v>
      </c>
      <c r="AE1404" s="57"/>
      <c r="AF1404" s="50" t="n">
        <f aca="false">IF(LEFT(Cockpit!$C$5,1)="A",H1404,IF(Parameter!$E$30="MAX-Bestand",IF(CH1404=1,CI1404,IF(LEFT(Cockpit!$C$5,1)="B",AL1404,MAX(AL1404,H1404))),ROUNDUP(AJ1404,0)))</f>
        <v>102</v>
      </c>
      <c r="AG1404" s="50" t="n">
        <f aca="false">IF(BZ1404=1,0,ROUNDUP(AF1404/BY1404,0))</f>
        <v>2</v>
      </c>
      <c r="AH1404" s="52" t="n">
        <f aca="false">IF(CQ1404&gt;0,CQ1404*MAX(1,AF1404/X1404),IF(BZ1404=1,IF(AF1404&lt;=0,0,CD1404*MAX(1,IF(H1404&gt;0,AF1404/H1404,1))),IF(R1404&gt;0,AG1404/R1404,0))/MAX(0.1,N(Parameter!$M$21)))</f>
        <v>0.0384615384615385</v>
      </c>
      <c r="AI1404" s="50" t="n">
        <f aca="false">AH1404*CB1404</f>
        <v>5.96153846153846</v>
      </c>
      <c r="AJ1404" s="51" t="n">
        <f aca="false">IF(LEFT(Cockpit!$C$5,1)="A",H1404,IF(CH1404=1,(CK1404+CI1404)/2,IF(LEFT(Cockpit!$C$5,1)="B",(CK1404+AL1404)/2,MAX((CK1404+AL1404)/2,H1404))))</f>
        <v>102</v>
      </c>
      <c r="AK1404" s="50" t="n">
        <f aca="false">AJ1404*G1404</f>
        <v>12276.72</v>
      </c>
      <c r="AL1404" s="50" t="n">
        <f aca="false">ROUNDUP(CK1404+MAX(CL1404,2*(J1404/IF(CG1404&gt;0,CG1404,MAX(0.1,N(Cockpit!$C$6)))-CK1404)),0)</f>
        <v>27</v>
      </c>
      <c r="AM1404" s="51" t="n">
        <f aca="false">IF(AI1404&gt;0,J1404/AI1404,-1)</f>
        <v>3.52258064516129</v>
      </c>
      <c r="AN1404" s="51" t="n">
        <f aca="false">IF(AND(OR(CF1404="L1",CF1404="L23",CF1404="LIFT"),AI1404&gt;0),SUMIFS($AI$7:$AI$1843,$CF$7:$CF$1843,CF1404,$AM$7:$AM$1843,"&gt;"&amp;AM1404)+SUMIFS($AI$7:$AI$1843,$CF$7:$CF$1843,CF1404,$AM$7:$AM$1843,AM1404,$BW$7:$BW$1843,"&lt;="&amp;BW1404),"")</f>
        <v>4900.44368131868</v>
      </c>
      <c r="AO1404" s="58" t="n">
        <f aca="false">IF(AN1404="",0,MAX(0,MIN(1,(IF(CF1404="L1",Parameter!$H$5,IF(CF1404="L23",Parameter!$H$6+Parameter!$H$7,Parameter!$H$5+Parameter!$H$6+Parameter!$H$7))-(AN1404-AI1404))/AI1404)))</f>
        <v>1</v>
      </c>
      <c r="AP1404" s="50" t="n">
        <f aca="false">IF(LEFT(Cockpit!$I$5,1)="A",H1404,IF(Parameter!$E$30="MAX-Bestand",IF(CH1404=1,CI1404,IF(LEFT(Cockpit!$I$5,1)="B",AV1404,MAX(AV1404,H1404))),ROUNDUP(AT1404,0)))</f>
        <v>102</v>
      </c>
      <c r="AQ1404" s="50" t="n">
        <f aca="false">IF(BZ1404=1,0,ROUNDUP(AP1404/BY1404,0))</f>
        <v>2</v>
      </c>
      <c r="AR1404" s="52" t="n">
        <f aca="false">IF(CQ1404&gt;0,CQ1404*MAX(1,AP1404/X1404),IF(BZ1404=1,IF(AP1404&lt;=0,0,CD1404*MAX(1,IF(H1404&gt;0,AP1404/H1404,1))),IF(R1404&gt;0,AQ1404/R1404,0))/MAX(0.1,N(Parameter!$M$21)))</f>
        <v>0.0384615384615385</v>
      </c>
      <c r="AS1404" s="50" t="n">
        <f aca="false">AR1404*CB1404</f>
        <v>5.96153846153846</v>
      </c>
      <c r="AT1404" s="51" t="n">
        <f aca="false">IF(LEFT(Cockpit!$I$5,1)="A",H1404,IF(CH1404=1,(CK1404+CI1404)/2,IF(LEFT(Cockpit!$I$5,1)="B",(CK1404+AV1404)/2,MAX((CK1404+AV1404)/2,H1404))))</f>
        <v>102</v>
      </c>
      <c r="AU1404" s="50" t="n">
        <f aca="false">AT1404*G1404</f>
        <v>12276.72</v>
      </c>
      <c r="AV1404" s="50" t="n">
        <f aca="false">ROUNDUP(CK1404+MAX(CL1404,2*(J1404/IF(CG1404&gt;0,CG1404,MAX(0.1,N(Cockpit!$I$6)))-CK1404)),0)</f>
        <v>27</v>
      </c>
      <c r="AW1404" s="51" t="n">
        <f aca="false">IF(AS1404&gt;0,J1404/AS1404,-1)</f>
        <v>3.52258064516129</v>
      </c>
      <c r="AX1404" s="51" t="n">
        <f aca="false">IF(AND(OR(CF1404="L1",CF1404="L23",CF1404="LIFT"),AS1404&gt;0),SUMIFS($AS$7:$AS$1843,$CF$7:$CF$1843,CF1404,$AW$7:$AW$1843,"&gt;"&amp;AW1404)+SUMIFS($AS$7:$AS$1843,$CF$7:$CF$1843,CF1404,$AW$7:$AW$1843,AW1404,$BW$7:$BW$1843,"&lt;="&amp;BW1404),"")</f>
        <v>5478.03067765568</v>
      </c>
      <c r="AY1404" s="58" t="n">
        <f aca="false">IF(AX1404="",0,MAX(0,MIN(1,(IF(CF1404="L1",Parameter!$H$5,IF(CF1404="L23",Parameter!$H$6+Parameter!$H$7,Parameter!$H$5+Parameter!$H$6+Parameter!$H$7))-(AX1404-AS1404))/AS1404)))</f>
        <v>1</v>
      </c>
      <c r="AZ1404" s="50" t="n">
        <f aca="false">IF(LEFT(Cockpit!$O$5,1)="A",H1404,IF(Parameter!$E$30="MAX-Bestand",IF(CH1404=1,CI1404,IF(LEFT(Cockpit!$O$5,1)="B",BF1404,MAX(BF1404,H1404))),ROUNDUP(BD1404,0)))</f>
        <v>17</v>
      </c>
      <c r="BA1404" s="50" t="n">
        <f aca="false">IF(BZ1404=1,0,ROUNDUP(AZ1404/BY1404,0))</f>
        <v>1</v>
      </c>
      <c r="BB1404" s="52" t="n">
        <f aca="false">IF(CQ1404&gt;0,CQ1404*MAX(1,AZ1404/X1404),IF(BZ1404=1,IF(AZ1404&lt;=0,0,CD1404*MAX(1,IF(H1404&gt;0,AZ1404/H1404,1))),IF(R1404&gt;0,BA1404/R1404,0))/MAX(0.1,N(Parameter!$M$21)))</f>
        <v>0.0192307692307692</v>
      </c>
      <c r="BC1404" s="50" t="n">
        <f aca="false">BB1404*CB1404</f>
        <v>2.98076923076923</v>
      </c>
      <c r="BD1404" s="51" t="n">
        <f aca="false">IF(LEFT(Cockpit!$O$5,1)="A",H1404,IF(CH1404=1,(CK1404+CI1404)/2,IF(LEFT(Cockpit!$O$5,1)="B",(CK1404+BF1404)/2,MAX((CK1404+BF1404)/2,H1404))))</f>
        <v>17</v>
      </c>
      <c r="BE1404" s="50" t="n">
        <f aca="false">BD1404*G1404</f>
        <v>2046.12</v>
      </c>
      <c r="BF1404" s="50" t="n">
        <f aca="false">ROUNDUP(CK1404+MAX(CL1404,2*(J1404/IF(CG1404&gt;0,CG1404,MAX(0.1,N(Cockpit!$O$6)))-CK1404)),0)</f>
        <v>27</v>
      </c>
      <c r="BG1404" s="51" t="n">
        <f aca="false">IF(BC1404&gt;0,J1404/BC1404,-1)</f>
        <v>7.04516129032258</v>
      </c>
      <c r="BH1404" s="51" t="n">
        <f aca="false">IF(AND(OR(CF1404="L1",CF1404="L23",CF1404="LIFT"),BC1404&gt;0),SUMIFS($BC$7:$BC$1843,$CF$7:$CF$1843,CF1404,$BG$7:$BG$1843,"&gt;"&amp;BG1404)+SUMIFS($BC$7:$BC$1843,$CF$7:$CF$1843,CF1404,$BG$7:$BG$1843,BG1404,$BW$7:$BW$1843,"&lt;="&amp;BW1404),"")</f>
        <v>3283.84844322344</v>
      </c>
      <c r="BI1404" s="58" t="n">
        <f aca="false">IF(BH1404="",0,MAX(0,MIN(1,(IF(CF1404="L1",Parameter!$H$5,IF(CF1404="L23",Parameter!$H$6+Parameter!$H$7,Parameter!$H$5+Parameter!$H$6+Parameter!$H$7))-(BH1404-BC1404))/BC1404)))</f>
        <v>1</v>
      </c>
      <c r="BJ1404" s="48" t="str">
        <f aca="false">IF(AI1404&lt;=0,"",IF(CF1404="Aussen","Aussenlager",IF(CF1404="-","Nicht im Lift",IF(AO1404&gt;=1,"Lift",IF(AO1404&lt;=0,"Aussenlager","teilweise")))))</f>
        <v>Lift</v>
      </c>
      <c r="BK1404" s="48" t="str">
        <f aca="false">IF(AS1404&lt;=0,"",IF(CF1404="Aussen","Aussenlager",IF(CF1404="-","Nicht im Lift",IF(AY1404&gt;=1,"Lift",IF(AY1404&lt;=0,"Aussenlager","teilweise")))))</f>
        <v>Lift</v>
      </c>
      <c r="BL1404" s="48" t="str">
        <f aca="false">IF(BC1404&lt;=0,"",IF(CF1404="Aussen","Aussenlager",IF(CF1404="-","Nicht im Lift",IF(BI1404&gt;=1,"Lift",IF(BI1404&lt;=0,"Aussenlager","teilweise")))))</f>
        <v>Lift</v>
      </c>
      <c r="BM1404" s="48" t="str">
        <f aca="false">IF(A1404="","",IF(BV1404=1,"Neu; ","")&amp;IF(AND(BV1404=0,BQ1404&lt;0),"negativer Bestand (Export "&amp;BQ1404&amp;"); ","")&amp;IF(J1404&lt;=0,"Kein Verbrauch; ","")&amp;IF(CQ1404&gt;0,"Lift "&amp;W1404&amp;" lt. Liftbericht (Fach "&amp;X1404&amp;" Stk); ",IF(CA1404=1,"Gebinde geschätzt ("&amp;T1404&amp;"); ",IF(BZ1404=1,"Lose – Tablare geschätzt; ","")))&amp;IF(H1404&gt;AV1404,"Überbestand "&amp;ROUND(H1404-AV1404,0)&amp;" Stk / CHF "&amp;ROUND((H1404-AV1404)*G1404,0)&amp;"; ","")&amp;IF(AND(CH1404=1,CI1404&lt;CJ1404),"MAX &lt; MB+LG; ","")&amp;IF(AND(CP1404&gt;0,CO1404*10&gt;CP1404),"zu hoch für Tablar; ","")&amp;IF(AND(BV1404=0,OR(CH1404=1,AA1404&lt;&gt;"",U1404&lt;&gt;"",V1404&lt;&gt;"",AB1404&lt;&gt;"")),"manuell übersteuert; ","")&amp;IF(AND(BZ1404=0,R1404=0),"Gebinde unbekannt / Stellmass fehlt; ","")&amp;IF(AND(BZ1404=0,N(V1404)&lt;=0,N(Q1404)&lt;=0),"Menge pro Gebinde fehlt (Ist = 1 Gebinde); ","")&amp;BU1404)</f>
        <v>negativer Bestand (Export -36); Überbestand 75 Stk / CHF 9027; </v>
      </c>
      <c r="BN1404" s="48"/>
      <c r="BO1404" s="48"/>
      <c r="BP1404" s="55"/>
      <c r="BQ1404" s="50" t="n">
        <v>-36</v>
      </c>
      <c r="BR1404" s="50" t="n">
        <v>138</v>
      </c>
      <c r="BS1404" s="49" t="n">
        <v>-4332.96</v>
      </c>
      <c r="BT1404" s="50" t="n">
        <v>21</v>
      </c>
      <c r="BU1404" s="48"/>
      <c r="BV1404" s="53" t="n">
        <v>0</v>
      </c>
      <c r="BW1404" s="53" t="n">
        <v>1404</v>
      </c>
      <c r="BX1404" s="48" t="str">
        <f aca="false">IF(U1404&lt;&gt;"",UPPER(TRIM(U1404)),IF(CA1404=1,UPPER(VLOOKUP(T1404,Parameter!$I$27:$K$29,2,0)),IF(P1404="","LOSE",P1404)))</f>
        <v>S41</v>
      </c>
      <c r="BY1404" s="50" t="n">
        <f aca="false">IF(BX1404="LOSE",1,IF(N(V1404)&gt;0,V1404,IF(CA1404=1,MAX(1,N(VLOOKUP(T1404,Parameter!$I$27:$K$29,3,0)),H1404,N(N1404)),IF(N(Q1404)&gt;0,Q1404,MAX(1,H1404)))))</f>
        <v>90</v>
      </c>
      <c r="BZ1404" s="53" t="n">
        <f aca="false">IF(BX1404="LOSE",1,0)</f>
        <v>0</v>
      </c>
      <c r="CA1404" s="53" t="n">
        <f aca="false">IF(AND(U1404="",OR(P1404="",P1404="LOSE"),T1404&lt;&gt;"",N(S1404)&lt;=0,ISNUMBER(MATCH(T1404,Parameter!$I$27:$I$29,0))),1,0)</f>
        <v>0</v>
      </c>
      <c r="CB1404" s="53" t="n">
        <f aca="false">IF(CQ1404&gt;0,INDEX(Parameter!$H$5:$H$7,W1404)/INDEX(Parameter!$E$5:$E$7,W1404),IF(AND(BZ1404=0,N(IFERROR(VLOOKUP(BX1404,'Gebinde-Kategorie'!$A$5:$N$45,14,0),0))&gt;0),VLOOKUP(BX1404,'Gebinde-Kategorie'!$A$5:$N$45,14,0)*10+Parameter!$M$23,Parameter!$M$24))</f>
        <v>155</v>
      </c>
      <c r="CC1404" s="48" t="str">
        <f aca="false">IF(AND(Parameter!$B$19="Ja",E1404&lt;&gt;"",ISNUMBER(MATCH(E1404,Parameter!$I$35:$I$52,0))),VLOOKUP(E1404,Parameter!$I$35:$J$52,2,0),IFERROR(VLOOKUP(D1404,Parameter!$A$35:$C$64,2,0),"Nein"))</f>
        <v>2+3</v>
      </c>
      <c r="CD1404" s="52" t="n">
        <f aca="false">IF(BZ1404=0,0,IF(N(S1404)&gt;0,S1404,IFERROR(VLOOKUP(D1404,Parameter!$A$35:$C$64,3,0)+0,0)))</f>
        <v>0</v>
      </c>
      <c r="CE1404" s="48" t="n">
        <f aca="false">IF(AA1404&lt;&gt;"",AA1404,Z1404)</f>
        <v>3</v>
      </c>
      <c r="CF1404" s="48" t="str">
        <f aca="false">IF(OR(CE1404=1,CE1404=2,CE1404=3),IF(Parameter!$E$27="Ja","LIFT",IF(CE1404=1,"L1","L23")),IF(CE1404="Aussen","Aussen","-"))</f>
        <v>LIFT</v>
      </c>
      <c r="CG1404" s="59" t="n">
        <f aca="false">IF(N(AB1404)&gt;0,AB1404,0)</f>
        <v>0</v>
      </c>
      <c r="CH1404" s="53" t="n">
        <f aca="false">IF(ISNUMBER(AE1404),1,0)</f>
        <v>0</v>
      </c>
      <c r="CI1404" s="50" t="n">
        <f aca="false">N(AE1404)</f>
        <v>0</v>
      </c>
      <c r="CJ1404" s="50" t="n">
        <f aca="false">N(M1404)+N(N1404)</f>
        <v>27</v>
      </c>
      <c r="CK1404" s="50" t="n">
        <f aca="false">N(M1404)</f>
        <v>7</v>
      </c>
      <c r="CL1404" s="50" t="n">
        <f aca="false">N(N1404)</f>
        <v>20</v>
      </c>
      <c r="CM1404" s="50" t="n">
        <f aca="false">ROUNDUP(H1404/BY1404,0)</f>
        <v>2</v>
      </c>
      <c r="CN1404" s="50" t="n">
        <f aca="false">ROUNDUP(CI1404/BY1404,0)</f>
        <v>0</v>
      </c>
      <c r="CO1404" s="53" t="n">
        <f aca="false">IF(BZ1404=1,0,IFERROR(VLOOKUP(BX1404,'Gebinde-Kategorie'!$A$5:$N$45,5,0)+0,0))</f>
        <v>11</v>
      </c>
      <c r="CP1404" s="53" t="n">
        <f aca="false">IFERROR(IF(OR(CE1404=1,CE1404=2,CE1404=3),N(INDEX(Parameter!$I$5:$I$7,CE1404)),0),0)</f>
        <v>0</v>
      </c>
      <c r="CQ1404" s="52" t="n">
        <f aca="false">IF(AND(Parameter!$B$21="Ja",ISNUMBER(W1404),N(X1404)&gt;0),IFERROR(N(INDEX(Parameter!$L$5:$L$7,W1404))*INDEX(Parameter!$E$5:$E$7,W1404)*X1404/SUMIFS($X$7:$X$1843,$W$7:$W$1843,W1404),0),0)</f>
        <v>0</v>
      </c>
    </row>
    <row r="1405" customFormat="false" ht="15" hidden="false" customHeight="false" outlineLevel="0" collapsed="false">
      <c r="A1405" s="48" t="s">
        <v>2476</v>
      </c>
      <c r="B1405" s="48" t="s">
        <v>2477</v>
      </c>
      <c r="C1405" s="48" t="s">
        <v>173</v>
      </c>
      <c r="D1405" s="48" t="s">
        <v>193</v>
      </c>
      <c r="E1405" s="48" t="s">
        <v>194</v>
      </c>
      <c r="F1405" s="48" t="s">
        <v>227</v>
      </c>
      <c r="G1405" s="49" t="n">
        <v>32.26</v>
      </c>
      <c r="H1405" s="50" t="n">
        <f aca="false">MAX(0,IF(AND(Parameter!$B$21="Ja",ISNUMBER(Y1405)),Y1405,IF(Parameter!$B$20="Jahresanfang 2025 + Export",BR1405+BQ1405,BQ1405)))</f>
        <v>109</v>
      </c>
      <c r="I1405" s="50" t="n">
        <f aca="false">H1405*G1405</f>
        <v>3516.34</v>
      </c>
      <c r="J1405" s="50" t="n">
        <f aca="false">BT1405*Parameter!$B$18</f>
        <v>893</v>
      </c>
      <c r="K1405" s="51" t="n">
        <v>193.5</v>
      </c>
      <c r="L1405" s="52" t="n">
        <v>4.61498708010336</v>
      </c>
      <c r="M1405" s="50" t="n">
        <v>52</v>
      </c>
      <c r="N1405" s="50" t="n">
        <v>300</v>
      </c>
      <c r="O1405" s="53" t="n">
        <v>21</v>
      </c>
      <c r="P1405" s="48" t="s">
        <v>242</v>
      </c>
      <c r="Q1405" s="50" t="n">
        <v>301</v>
      </c>
      <c r="R1405" s="53" t="n">
        <f aca="false">IF(BZ1405=1,0,IFERROR(VLOOKUP(BX1405,'Gebinde-Kategorie'!$A$5:$N$45,13,0)+0,0))</f>
        <v>26</v>
      </c>
      <c r="S1405" s="54"/>
      <c r="T1405" s="55"/>
      <c r="U1405" s="55"/>
      <c r="V1405" s="55"/>
      <c r="W1405" s="48"/>
      <c r="X1405" s="50"/>
      <c r="Y1405" s="50"/>
      <c r="Z1405" s="48" t="n">
        <f aca="false">IF(A1405="","",IF(AND(Parameter!$B$21="Ja",ISNUMBER(W1405)),W1405,IF(CC1405="2+3",IF(ISNUMBER(SEARCH("grosser Artikel",BU1405)),2,IFERROR(VLOOKUP(BX1405,Parameter!$F$35:$G$64,2,0),2)),IF(OR(CC1405="Nein",CC1405=""),"-",CC1405))))</f>
        <v>3</v>
      </c>
      <c r="AA1405" s="55"/>
      <c r="AB1405" s="56"/>
      <c r="AC1405" s="50" t="n">
        <f aca="false">AV1405</f>
        <v>544</v>
      </c>
      <c r="AD1405" s="50" t="n">
        <f aca="false">MAX(AV1405,H1405)</f>
        <v>544</v>
      </c>
      <c r="AE1405" s="57"/>
      <c r="AF1405" s="50" t="n">
        <f aca="false">IF(LEFT(Cockpit!$C$5,1)="A",H1405,IF(Parameter!$E$30="MAX-Bestand",IF(CH1405=1,CI1405,IF(LEFT(Cockpit!$C$5,1)="B",AL1405,MAX(AL1405,H1405))),ROUNDUP(AJ1405,0)))</f>
        <v>109</v>
      </c>
      <c r="AG1405" s="50" t="n">
        <f aca="false">IF(BZ1405=1,0,ROUNDUP(AF1405/BY1405,0))</f>
        <v>1</v>
      </c>
      <c r="AH1405" s="52" t="n">
        <f aca="false">IF(CQ1405&gt;0,CQ1405*MAX(1,AF1405/X1405),IF(BZ1405=1,IF(AF1405&lt;=0,0,CD1405*MAX(1,IF(H1405&gt;0,AF1405/H1405,1))),IF(R1405&gt;0,AG1405/R1405,0))/MAX(0.1,N(Parameter!$M$21)))</f>
        <v>0.0384615384615385</v>
      </c>
      <c r="AI1405" s="50" t="n">
        <f aca="false">AH1405*CB1405</f>
        <v>9.42307692307692</v>
      </c>
      <c r="AJ1405" s="51" t="n">
        <f aca="false">IF(LEFT(Cockpit!$C$5,1)="A",H1405,IF(CH1405=1,(CK1405+CI1405)/2,IF(LEFT(Cockpit!$C$5,1)="B",(CK1405+AL1405)/2,MAX((CK1405+AL1405)/2,H1405))))</f>
        <v>109</v>
      </c>
      <c r="AK1405" s="50" t="n">
        <f aca="false">AJ1405*G1405</f>
        <v>3516.34</v>
      </c>
      <c r="AL1405" s="50" t="n">
        <f aca="false">ROUNDUP(CK1405+MAX(CL1405,2*(J1405/IF(CG1405&gt;0,CG1405,MAX(0.1,N(Cockpit!$C$6)))-CK1405)),0)</f>
        <v>544</v>
      </c>
      <c r="AM1405" s="51" t="n">
        <f aca="false">IF(AI1405&gt;0,J1405/AI1405,-1)</f>
        <v>94.7673469387755</v>
      </c>
      <c r="AN1405" s="51" t="n">
        <f aca="false">IF(AND(OR(CF1405="L1",CF1405="L23",CF1405="LIFT"),AI1405&gt;0),SUMIFS($AI$7:$AI$1843,$CF$7:$CF$1843,CF1405,$AM$7:$AM$1843,"&gt;"&amp;AM1405)+SUMIFS($AI$7:$AI$1843,$CF$7:$CF$1843,CF1405,$AM$7:$AM$1843,AM1405,$BW$7:$BW$1843,"&lt;="&amp;BW1405),"")</f>
        <v>817.502747252747</v>
      </c>
      <c r="AO1405" s="58" t="n">
        <f aca="false">IF(AN1405="",0,MAX(0,MIN(1,(IF(CF1405="L1",Parameter!$H$5,IF(CF1405="L23",Parameter!$H$6+Parameter!$H$7,Parameter!$H$5+Parameter!$H$6+Parameter!$H$7))-(AN1405-AI1405))/AI1405)))</f>
        <v>1</v>
      </c>
      <c r="AP1405" s="50" t="n">
        <f aca="false">IF(LEFT(Cockpit!$I$5,1)="A",H1405,IF(Parameter!$E$30="MAX-Bestand",IF(CH1405=1,CI1405,IF(LEFT(Cockpit!$I$5,1)="B",AV1405,MAX(AV1405,H1405))),ROUNDUP(AT1405,0)))</f>
        <v>298</v>
      </c>
      <c r="AQ1405" s="50" t="n">
        <f aca="false">IF(BZ1405=1,0,ROUNDUP(AP1405/BY1405,0))</f>
        <v>1</v>
      </c>
      <c r="AR1405" s="52" t="n">
        <f aca="false">IF(CQ1405&gt;0,CQ1405*MAX(1,AP1405/X1405),IF(BZ1405=1,IF(AP1405&lt;=0,0,CD1405*MAX(1,IF(H1405&gt;0,AP1405/H1405,1))),IF(R1405&gt;0,AQ1405/R1405,0))/MAX(0.1,N(Parameter!$M$21)))</f>
        <v>0.0384615384615385</v>
      </c>
      <c r="AS1405" s="50" t="n">
        <f aca="false">AR1405*CB1405</f>
        <v>9.42307692307692</v>
      </c>
      <c r="AT1405" s="51" t="n">
        <f aca="false">IF(LEFT(Cockpit!$I$5,1)="A",H1405,IF(CH1405=1,(CK1405+CI1405)/2,IF(LEFT(Cockpit!$I$5,1)="B",(CK1405+AV1405)/2,MAX((CK1405+AV1405)/2,H1405))))</f>
        <v>298</v>
      </c>
      <c r="AU1405" s="50" t="n">
        <f aca="false">AT1405*G1405</f>
        <v>9613.48</v>
      </c>
      <c r="AV1405" s="50" t="n">
        <f aca="false">ROUNDUP(CK1405+MAX(CL1405,2*(J1405/IF(CG1405&gt;0,CG1405,MAX(0.1,N(Cockpit!$I$6)))-CK1405)),0)</f>
        <v>544</v>
      </c>
      <c r="AW1405" s="51" t="n">
        <f aca="false">IF(AS1405&gt;0,J1405/AS1405,-1)</f>
        <v>94.7673469387755</v>
      </c>
      <c r="AX1405" s="51" t="n">
        <f aca="false">IF(AND(OR(CF1405="L1",CF1405="L23",CF1405="LIFT"),AS1405&gt;0),SUMIFS($AS$7:$AS$1843,$CF$7:$CF$1843,CF1405,$AW$7:$AW$1843,"&gt;"&amp;AW1405)+SUMIFS($AS$7:$AS$1843,$CF$7:$CF$1843,CF1405,$AW$7:$AW$1843,AW1405,$BW$7:$BW$1843,"&lt;="&amp;BW1405),"")</f>
        <v>1031.90521978022</v>
      </c>
      <c r="AY1405" s="58" t="n">
        <f aca="false">IF(AX1405="",0,MAX(0,MIN(1,(IF(CF1405="L1",Parameter!$H$5,IF(CF1405="L23",Parameter!$H$6+Parameter!$H$7,Parameter!$H$5+Parameter!$H$6+Parameter!$H$7))-(AX1405-AS1405))/AS1405)))</f>
        <v>1</v>
      </c>
      <c r="AZ1405" s="50" t="n">
        <f aca="false">IF(LEFT(Cockpit!$O$5,1)="A",H1405,IF(Parameter!$E$30="MAX-Bestand",IF(CH1405=1,CI1405,IF(LEFT(Cockpit!$O$5,1)="B",BF1405,MAX(BF1405,H1405))),ROUNDUP(BD1405,0)))</f>
        <v>224</v>
      </c>
      <c r="BA1405" s="50" t="n">
        <f aca="false">IF(BZ1405=1,0,ROUNDUP(AZ1405/BY1405,0))</f>
        <v>1</v>
      </c>
      <c r="BB1405" s="52" t="n">
        <f aca="false">IF(CQ1405&gt;0,CQ1405*MAX(1,AZ1405/X1405),IF(BZ1405=1,IF(AZ1405&lt;=0,0,CD1405*MAX(1,IF(H1405&gt;0,AZ1405/H1405,1))),IF(R1405&gt;0,BA1405/R1405,0))/MAX(0.1,N(Parameter!$M$21)))</f>
        <v>0.0384615384615385</v>
      </c>
      <c r="BC1405" s="50" t="n">
        <f aca="false">BB1405*CB1405</f>
        <v>9.42307692307692</v>
      </c>
      <c r="BD1405" s="51" t="n">
        <f aca="false">IF(LEFT(Cockpit!$O$5,1)="A",H1405,IF(CH1405=1,(CK1405+CI1405)/2,IF(LEFT(Cockpit!$O$5,1)="B",(CK1405+BF1405)/2,MAX((CK1405+BF1405)/2,H1405))))</f>
        <v>223.5</v>
      </c>
      <c r="BE1405" s="50" t="n">
        <f aca="false">BD1405*G1405</f>
        <v>7210.11</v>
      </c>
      <c r="BF1405" s="50" t="n">
        <f aca="false">ROUNDUP(CK1405+MAX(CL1405,2*(J1405/IF(CG1405&gt;0,CG1405,MAX(0.1,N(Cockpit!$O$6)))-CK1405)),0)</f>
        <v>395</v>
      </c>
      <c r="BG1405" s="51" t="n">
        <f aca="false">IF(BC1405&gt;0,J1405/BC1405,-1)</f>
        <v>94.7673469387755</v>
      </c>
      <c r="BH1405" s="51" t="n">
        <f aca="false">IF(AND(OR(CF1405="L1",CF1405="L23",CF1405="LIFT"),BC1405&gt;0),SUMIFS($BC$7:$BC$1843,$CF$7:$CF$1843,CF1405,$BG$7:$BG$1843,"&gt;"&amp;BG1405)+SUMIFS($BC$7:$BC$1843,$CF$7:$CF$1843,CF1405,$BG$7:$BG$1843,BG1405,$BW$7:$BW$1843,"&lt;="&amp;BW1405),"")</f>
        <v>964.947344322344</v>
      </c>
      <c r="BI1405" s="58" t="n">
        <f aca="false">IF(BH1405="",0,MAX(0,MIN(1,(IF(CF1405="L1",Parameter!$H$5,IF(CF1405="L23",Parameter!$H$6+Parameter!$H$7,Parameter!$H$5+Parameter!$H$6+Parameter!$H$7))-(BH1405-BC1405))/BC1405)))</f>
        <v>1</v>
      </c>
      <c r="BJ1405" s="48" t="str">
        <f aca="false">IF(AI1405&lt;=0,"",IF(CF1405="Aussen","Aussenlager",IF(CF1405="-","Nicht im Lift",IF(AO1405&gt;=1,"Lift",IF(AO1405&lt;=0,"Aussenlager","teilweise")))))</f>
        <v>Lift</v>
      </c>
      <c r="BK1405" s="48" t="str">
        <f aca="false">IF(AS1405&lt;=0,"",IF(CF1405="Aussen","Aussenlager",IF(CF1405="-","Nicht im Lift",IF(AY1405&gt;=1,"Lift",IF(AY1405&lt;=0,"Aussenlager","teilweise")))))</f>
        <v>Lift</v>
      </c>
      <c r="BL1405" s="48" t="str">
        <f aca="false">IF(BC1405&lt;=0,"",IF(CF1405="Aussen","Aussenlager",IF(CF1405="-","Nicht im Lift",IF(BI1405&gt;=1,"Lift",IF(BI1405&lt;=0,"Aussenlager","teilweise")))))</f>
        <v>Lift</v>
      </c>
      <c r="BM1405" s="48" t="str">
        <f aca="false">IF(A1405="","",IF(BV1405=1,"Neu; ","")&amp;IF(AND(BV1405=0,BQ1405&lt;0),"negativer Bestand (Export "&amp;BQ1405&amp;"); ","")&amp;IF(J1405&lt;=0,"Kein Verbrauch; ","")&amp;IF(CQ1405&gt;0,"Lift "&amp;W1405&amp;" lt. Liftbericht (Fach "&amp;X1405&amp;" Stk); ",IF(CA1405=1,"Gebinde geschätzt ("&amp;T1405&amp;"); ",IF(BZ1405=1,"Lose – Tablare geschätzt; ","")))&amp;IF(H1405&gt;AV1405,"Überbestand "&amp;ROUND(H1405-AV1405,0)&amp;" Stk / CHF "&amp;ROUND((H1405-AV1405)*G1405,0)&amp;"; ","")&amp;IF(AND(CH1405=1,CI1405&lt;CJ1405),"MAX &lt; MB+LG; ","")&amp;IF(AND(CP1405&gt;0,CO1405*10&gt;CP1405),"zu hoch für Tablar; ","")&amp;IF(AND(BV1405=0,OR(CH1405=1,AA1405&lt;&gt;"",U1405&lt;&gt;"",V1405&lt;&gt;"",AB1405&lt;&gt;"")),"manuell übersteuert; ","")&amp;IF(AND(BZ1405=0,R1405=0),"Gebinde unbekannt / Stellmass fehlt; ","")&amp;IF(AND(BZ1405=0,N(V1405)&lt;=0,N(Q1405)&lt;=0),"Menge pro Gebinde fehlt (Ist = 1 Gebinde); ","")&amp;BU1405)</f>
        <v>negativer Bestand (Export -138); </v>
      </c>
      <c r="BN1405" s="48"/>
      <c r="BO1405" s="48"/>
      <c r="BP1405" s="55"/>
      <c r="BQ1405" s="50" t="n">
        <v>-138</v>
      </c>
      <c r="BR1405" s="50" t="n">
        <v>247</v>
      </c>
      <c r="BS1405" s="49" t="n">
        <v>-4334.27999999999</v>
      </c>
      <c r="BT1405" s="50" t="n">
        <v>893</v>
      </c>
      <c r="BU1405" s="48"/>
      <c r="BV1405" s="53" t="n">
        <v>0</v>
      </c>
      <c r="BW1405" s="53" t="n">
        <v>1405</v>
      </c>
      <c r="BX1405" s="48" t="str">
        <f aca="false">IF(U1405&lt;&gt;"",UPPER(TRIM(U1405)),IF(CA1405=1,UPPER(VLOOKUP(T1405,Parameter!$I$27:$K$29,2,0)),IF(P1405="","LOSE",P1405)))</f>
        <v>S52</v>
      </c>
      <c r="BY1405" s="50" t="n">
        <f aca="false">IF(BX1405="LOSE",1,IF(N(V1405)&gt;0,V1405,IF(CA1405=1,MAX(1,N(VLOOKUP(T1405,Parameter!$I$27:$K$29,3,0)),H1405,N(N1405)),IF(N(Q1405)&gt;0,Q1405,MAX(1,H1405)))))</f>
        <v>301</v>
      </c>
      <c r="BZ1405" s="53" t="n">
        <f aca="false">IF(BX1405="LOSE",1,0)</f>
        <v>0</v>
      </c>
      <c r="CA1405" s="53" t="n">
        <f aca="false">IF(AND(U1405="",OR(P1405="",P1405="LOSE"),T1405&lt;&gt;"",N(S1405)&lt;=0,ISNUMBER(MATCH(T1405,Parameter!$I$27:$I$29,0))),1,0)</f>
        <v>0</v>
      </c>
      <c r="CB1405" s="53" t="n">
        <f aca="false">IF(CQ1405&gt;0,INDEX(Parameter!$H$5:$H$7,W1405)/INDEX(Parameter!$E$5:$E$7,W1405),IF(AND(BZ1405=0,N(IFERROR(VLOOKUP(BX1405,'Gebinde-Kategorie'!$A$5:$N$45,14,0),0))&gt;0),VLOOKUP(BX1405,'Gebinde-Kategorie'!$A$5:$N$45,14,0)*10+Parameter!$M$23,Parameter!$M$24))</f>
        <v>245</v>
      </c>
      <c r="CC1405" s="48" t="str">
        <f aca="false">IF(AND(Parameter!$B$19="Ja",E1405&lt;&gt;"",ISNUMBER(MATCH(E1405,Parameter!$I$35:$I$52,0))),VLOOKUP(E1405,Parameter!$I$35:$J$52,2,0),IFERROR(VLOOKUP(D1405,Parameter!$A$35:$C$64,2,0),"Nein"))</f>
        <v>2+3</v>
      </c>
      <c r="CD1405" s="52" t="n">
        <f aca="false">IF(BZ1405=0,0,IF(N(S1405)&gt;0,S1405,IFERROR(VLOOKUP(D1405,Parameter!$A$35:$C$64,3,0)+0,0)))</f>
        <v>0</v>
      </c>
      <c r="CE1405" s="48" t="n">
        <f aca="false">IF(AA1405&lt;&gt;"",AA1405,Z1405)</f>
        <v>3</v>
      </c>
      <c r="CF1405" s="48" t="str">
        <f aca="false">IF(OR(CE1405=1,CE1405=2,CE1405=3),IF(Parameter!$E$27="Ja","LIFT",IF(CE1405=1,"L1","L23")),IF(CE1405="Aussen","Aussen","-"))</f>
        <v>LIFT</v>
      </c>
      <c r="CG1405" s="59" t="n">
        <f aca="false">IF(N(AB1405)&gt;0,AB1405,0)</f>
        <v>0</v>
      </c>
      <c r="CH1405" s="53" t="n">
        <f aca="false">IF(ISNUMBER(AE1405),1,0)</f>
        <v>0</v>
      </c>
      <c r="CI1405" s="50" t="n">
        <f aca="false">N(AE1405)</f>
        <v>0</v>
      </c>
      <c r="CJ1405" s="50" t="n">
        <f aca="false">N(M1405)+N(N1405)</f>
        <v>352</v>
      </c>
      <c r="CK1405" s="50" t="n">
        <f aca="false">N(M1405)</f>
        <v>52</v>
      </c>
      <c r="CL1405" s="50" t="n">
        <f aca="false">N(N1405)</f>
        <v>300</v>
      </c>
      <c r="CM1405" s="50" t="n">
        <f aca="false">ROUNDUP(H1405/BY1405,0)</f>
        <v>1</v>
      </c>
      <c r="CN1405" s="50" t="n">
        <f aca="false">ROUNDUP(CI1405/BY1405,0)</f>
        <v>0</v>
      </c>
      <c r="CO1405" s="53" t="n">
        <f aca="false">IF(BZ1405=1,0,IFERROR(VLOOKUP(BX1405,'Gebinde-Kategorie'!$A$5:$N$45,5,0)+0,0))</f>
        <v>21</v>
      </c>
      <c r="CP1405" s="53" t="n">
        <f aca="false">IFERROR(IF(OR(CE1405=1,CE1405=2,CE1405=3),N(INDEX(Parameter!$I$5:$I$7,CE1405)),0),0)</f>
        <v>0</v>
      </c>
      <c r="CQ1405" s="52" t="n">
        <f aca="false">IF(AND(Parameter!$B$21="Ja",ISNUMBER(W1405),N(X1405)&gt;0),IFERROR(N(INDEX(Parameter!$L$5:$L$7,W1405))*INDEX(Parameter!$E$5:$E$7,W1405)*X1405/SUMIFS($X$7:$X$1843,$W$7:$W$1843,W1405),0),0)</f>
        <v>0</v>
      </c>
    </row>
    <row r="1406" customFormat="false" ht="15" hidden="false" customHeight="false" outlineLevel="0" collapsed="false">
      <c r="A1406" s="48" t="s">
        <v>2478</v>
      </c>
      <c r="B1406" s="48" t="s">
        <v>2479</v>
      </c>
      <c r="C1406" s="48" t="s">
        <v>173</v>
      </c>
      <c r="D1406" s="48" t="s">
        <v>182</v>
      </c>
      <c r="E1406" s="48" t="s">
        <v>175</v>
      </c>
      <c r="F1406" s="48" t="s">
        <v>227</v>
      </c>
      <c r="G1406" s="49" t="n">
        <v>1473.76</v>
      </c>
      <c r="H1406" s="50" t="n">
        <f aca="false">MAX(0,IF(AND(Parameter!$B$21="Ja",ISNUMBER(Y1406)),Y1406,IF(Parameter!$B$20="Jahresanfang 2025 + Export",BR1406+BQ1406,BQ1406)))</f>
        <v>10</v>
      </c>
      <c r="I1406" s="50" t="n">
        <f aca="false">H1406*G1406</f>
        <v>14737.6</v>
      </c>
      <c r="J1406" s="50" t="n">
        <f aca="false">BT1406*Parameter!$B$18</f>
        <v>2</v>
      </c>
      <c r="K1406" s="51" t="n">
        <v>12</v>
      </c>
      <c r="L1406" s="52" t="n">
        <v>0.166666666666667</v>
      </c>
      <c r="M1406" s="50" t="n">
        <v>0</v>
      </c>
      <c r="N1406" s="50" t="n">
        <v>1</v>
      </c>
      <c r="O1406" s="53" t="n">
        <v>112</v>
      </c>
      <c r="P1406" s="48" t="s">
        <v>183</v>
      </c>
      <c r="Q1406" s="50" t="n">
        <v>10</v>
      </c>
      <c r="R1406" s="53" t="n">
        <f aca="false">IF(BZ1406=1,0,IFERROR(VLOOKUP(BX1406,'Gebinde-Kategorie'!$A$5:$N$45,13,0)+0,0))</f>
        <v>6</v>
      </c>
      <c r="S1406" s="54"/>
      <c r="T1406" s="55"/>
      <c r="U1406" s="55"/>
      <c r="V1406" s="55"/>
      <c r="W1406" s="48"/>
      <c r="X1406" s="50"/>
      <c r="Y1406" s="50"/>
      <c r="Z1406" s="48" t="n">
        <f aca="false">IF(A1406="","",IF(AND(Parameter!$B$21="Ja",ISNUMBER(W1406)),W1406,IF(CC1406="2+3",IF(ISNUMBER(SEARCH("grosser Artikel",BU1406)),2,IFERROR(VLOOKUP(BX1406,Parameter!$F$35:$G$64,2,0),2)),IF(OR(CC1406="Nein",CC1406=""),"-",CC1406))))</f>
        <v>1</v>
      </c>
      <c r="AA1406" s="55"/>
      <c r="AB1406" s="56"/>
      <c r="AC1406" s="50" t="n">
        <f aca="false">AV1406</f>
        <v>2</v>
      </c>
      <c r="AD1406" s="50" t="n">
        <f aca="false">MAX(AV1406,H1406)</f>
        <v>10</v>
      </c>
      <c r="AE1406" s="57"/>
      <c r="AF1406" s="50" t="n">
        <f aca="false">IF(LEFT(Cockpit!$C$5,1)="A",H1406,IF(Parameter!$E$30="MAX-Bestand",IF(CH1406=1,CI1406,IF(LEFT(Cockpit!$C$5,1)="B",AL1406,MAX(AL1406,H1406))),ROUNDUP(AJ1406,0)))</f>
        <v>10</v>
      </c>
      <c r="AG1406" s="50" t="n">
        <f aca="false">IF(BZ1406=1,0,ROUNDUP(AF1406/BY1406,0))</f>
        <v>1</v>
      </c>
      <c r="AH1406" s="52" t="n">
        <f aca="false">IF(CQ1406&gt;0,CQ1406*MAX(1,AF1406/X1406),IF(BZ1406=1,IF(AF1406&lt;=0,0,CD1406*MAX(1,IF(H1406&gt;0,AF1406/H1406,1))),IF(R1406&gt;0,AG1406/R1406,0))/MAX(0.1,N(Parameter!$M$21)))</f>
        <v>0.166666666666667</v>
      </c>
      <c r="AI1406" s="50" t="n">
        <f aca="false">AH1406*CB1406</f>
        <v>39.1666666666667</v>
      </c>
      <c r="AJ1406" s="51" t="n">
        <f aca="false">IF(LEFT(Cockpit!$C$5,1)="A",H1406,IF(CH1406=1,(CK1406+CI1406)/2,IF(LEFT(Cockpit!$C$5,1)="B",(CK1406+AL1406)/2,MAX((CK1406+AL1406)/2,H1406))))</f>
        <v>10</v>
      </c>
      <c r="AK1406" s="50" t="n">
        <f aca="false">AJ1406*G1406</f>
        <v>14737.6</v>
      </c>
      <c r="AL1406" s="50" t="n">
        <f aca="false">ROUNDUP(CK1406+MAX(CL1406,2*(J1406/IF(CG1406&gt;0,CG1406,MAX(0.1,N(Cockpit!$C$6)))-CK1406)),0)</f>
        <v>2</v>
      </c>
      <c r="AM1406" s="51" t="n">
        <f aca="false">IF(AI1406&gt;0,J1406/AI1406,-1)</f>
        <v>0.0510638297872341</v>
      </c>
      <c r="AN1406" s="51" t="n">
        <f aca="false">IF(AND(OR(CF1406="L1",CF1406="L23",CF1406="LIFT"),AI1406&gt;0),SUMIFS($AI$7:$AI$1843,$CF$7:$CF$1843,CF1406,$AM$7:$AM$1843,"&gt;"&amp;AM1406)+SUMIFS($AI$7:$AI$1843,$CF$7:$CF$1843,CF1406,$AM$7:$AM$1843,AM1406,$BW$7:$BW$1843,"&lt;="&amp;BW1406),"")</f>
        <v>19317.8124547298</v>
      </c>
      <c r="AO1406" s="58" t="n">
        <f aca="false">IF(AN1406="",0,MAX(0,MIN(1,(IF(CF1406="L1",Parameter!$H$5,IF(CF1406="L23",Parameter!$H$6+Parameter!$H$7,Parameter!$H$5+Parameter!$H$6+Parameter!$H$7))-(AN1406-AI1406))/AI1406)))</f>
        <v>1</v>
      </c>
      <c r="AP1406" s="50" t="n">
        <f aca="false">IF(LEFT(Cockpit!$I$5,1)="A",H1406,IF(Parameter!$E$30="MAX-Bestand",IF(CH1406=1,CI1406,IF(LEFT(Cockpit!$I$5,1)="B",AV1406,MAX(AV1406,H1406))),ROUNDUP(AT1406,0)))</f>
        <v>10</v>
      </c>
      <c r="AQ1406" s="50" t="n">
        <f aca="false">IF(BZ1406=1,0,ROUNDUP(AP1406/BY1406,0))</f>
        <v>1</v>
      </c>
      <c r="AR1406" s="52" t="n">
        <f aca="false">IF(CQ1406&gt;0,CQ1406*MAX(1,AP1406/X1406),IF(BZ1406=1,IF(AP1406&lt;=0,0,CD1406*MAX(1,IF(H1406&gt;0,AP1406/H1406,1))),IF(R1406&gt;0,AQ1406/R1406,0))/MAX(0.1,N(Parameter!$M$21)))</f>
        <v>0.166666666666667</v>
      </c>
      <c r="AS1406" s="50" t="n">
        <f aca="false">AR1406*CB1406</f>
        <v>39.1666666666667</v>
      </c>
      <c r="AT1406" s="51" t="n">
        <f aca="false">IF(LEFT(Cockpit!$I$5,1)="A",H1406,IF(CH1406=1,(CK1406+CI1406)/2,IF(LEFT(Cockpit!$I$5,1)="B",(CK1406+AV1406)/2,MAX((CK1406+AV1406)/2,H1406))))</f>
        <v>10</v>
      </c>
      <c r="AU1406" s="50" t="n">
        <f aca="false">AT1406*G1406</f>
        <v>14737.6</v>
      </c>
      <c r="AV1406" s="50" t="n">
        <f aca="false">ROUNDUP(CK1406+MAX(CL1406,2*(J1406/IF(CG1406&gt;0,CG1406,MAX(0.1,N(Cockpit!$I$6)))-CK1406)),0)</f>
        <v>2</v>
      </c>
      <c r="AW1406" s="51" t="n">
        <f aca="false">IF(AS1406&gt;0,J1406/AS1406,-1)</f>
        <v>0.0510638297872341</v>
      </c>
      <c r="AX1406" s="51" t="n">
        <f aca="false">IF(AND(OR(CF1406="L1",CF1406="L23",CF1406="LIFT"),AS1406&gt;0),SUMIFS($AS$7:$AS$1843,$CF$7:$CF$1843,CF1406,$AW$7:$AW$1843,"&gt;"&amp;AW1406)+SUMIFS($AS$7:$AS$1843,$CF$7:$CF$1843,CF1406,$AW$7:$AW$1843,AW1406,$BW$7:$BW$1843,"&lt;="&amp;BW1406),"")</f>
        <v>24377.2110961073</v>
      </c>
      <c r="AY1406" s="58" t="n">
        <f aca="false">IF(AX1406="",0,MAX(0,MIN(1,(IF(CF1406="L1",Parameter!$H$5,IF(CF1406="L23",Parameter!$H$6+Parameter!$H$7,Parameter!$H$5+Parameter!$H$6+Parameter!$H$7))-(AX1406-AS1406))/AS1406)))</f>
        <v>1</v>
      </c>
      <c r="AZ1406" s="50" t="n">
        <f aca="false">IF(LEFT(Cockpit!$O$5,1)="A",H1406,IF(Parameter!$E$30="MAX-Bestand",IF(CH1406=1,CI1406,IF(LEFT(Cockpit!$O$5,1)="B",BF1406,MAX(BF1406,H1406))),ROUNDUP(BD1406,0)))</f>
        <v>1</v>
      </c>
      <c r="BA1406" s="50" t="n">
        <f aca="false">IF(BZ1406=1,0,ROUNDUP(AZ1406/BY1406,0))</f>
        <v>1</v>
      </c>
      <c r="BB1406" s="52" t="n">
        <f aca="false">IF(CQ1406&gt;0,CQ1406*MAX(1,AZ1406/X1406),IF(BZ1406=1,IF(AZ1406&lt;=0,0,CD1406*MAX(1,IF(H1406&gt;0,AZ1406/H1406,1))),IF(R1406&gt;0,BA1406/R1406,0))/MAX(0.1,N(Parameter!$M$21)))</f>
        <v>0.166666666666667</v>
      </c>
      <c r="BC1406" s="50" t="n">
        <f aca="false">BB1406*CB1406</f>
        <v>39.1666666666667</v>
      </c>
      <c r="BD1406" s="51" t="n">
        <f aca="false">IF(LEFT(Cockpit!$O$5,1)="A",H1406,IF(CH1406=1,(CK1406+CI1406)/2,IF(LEFT(Cockpit!$O$5,1)="B",(CK1406+BF1406)/2,MAX((CK1406+BF1406)/2,H1406))))</f>
        <v>0.5</v>
      </c>
      <c r="BE1406" s="50" t="n">
        <f aca="false">BD1406*G1406</f>
        <v>736.88</v>
      </c>
      <c r="BF1406" s="50" t="n">
        <f aca="false">ROUNDUP(CK1406+MAX(CL1406,2*(J1406/IF(CG1406&gt;0,CG1406,MAX(0.1,N(Cockpit!$O$6)))-CK1406)),0)</f>
        <v>1</v>
      </c>
      <c r="BG1406" s="51" t="n">
        <f aca="false">IF(BC1406&gt;0,J1406/BC1406,-1)</f>
        <v>0.0510638297872341</v>
      </c>
      <c r="BH1406" s="51" t="n">
        <f aca="false">IF(AND(OR(CF1406="L1",CF1406="L23",CF1406="LIFT"),BC1406&gt;0),SUMIFS($BC$7:$BC$1843,$CF$7:$CF$1843,CF1406,$BG$7:$BG$1843,"&gt;"&amp;BG1406)+SUMIFS($BC$7:$BC$1843,$CF$7:$CF$1843,CF1406,$BG$7:$BG$1843,BG1406,$BW$7:$BW$1843,"&lt;="&amp;BW1406),"")</f>
        <v>20306.7096060719</v>
      </c>
      <c r="BI1406" s="58" t="n">
        <f aca="false">IF(BH1406="",0,MAX(0,MIN(1,(IF(CF1406="L1",Parameter!$H$5,IF(CF1406="L23",Parameter!$H$6+Parameter!$H$7,Parameter!$H$5+Parameter!$H$6+Parameter!$H$7))-(BH1406-BC1406))/BC1406)))</f>
        <v>1</v>
      </c>
      <c r="BJ1406" s="48" t="str">
        <f aca="false">IF(AI1406&lt;=0,"",IF(CF1406="Aussen","Aussenlager",IF(CF1406="-","Nicht im Lift",IF(AO1406&gt;=1,"Lift",IF(AO1406&lt;=0,"Aussenlager","teilweise")))))</f>
        <v>Lift</v>
      </c>
      <c r="BK1406" s="48" t="str">
        <f aca="false">IF(AS1406&lt;=0,"",IF(CF1406="Aussen","Aussenlager",IF(CF1406="-","Nicht im Lift",IF(AY1406&gt;=1,"Lift",IF(AY1406&lt;=0,"Aussenlager","teilweise")))))</f>
        <v>Lift</v>
      </c>
      <c r="BL1406" s="48" t="str">
        <f aca="false">IF(BC1406&lt;=0,"",IF(CF1406="Aussen","Aussenlager",IF(CF1406="-","Nicht im Lift",IF(BI1406&gt;=1,"Lift",IF(BI1406&lt;=0,"Aussenlager","teilweise")))))</f>
        <v>Lift</v>
      </c>
      <c r="BM1406" s="48" t="str">
        <f aca="false">IF(A1406="","",IF(BV1406=1,"Neu; ","")&amp;IF(AND(BV1406=0,BQ1406&lt;0),"negativer Bestand (Export "&amp;BQ1406&amp;"); ","")&amp;IF(J1406&lt;=0,"Kein Verbrauch; ","")&amp;IF(CQ1406&gt;0,"Lift "&amp;W1406&amp;" lt. Liftbericht (Fach "&amp;X1406&amp;" Stk); ",IF(CA1406=1,"Gebinde geschätzt ("&amp;T1406&amp;"); ",IF(BZ1406=1,"Lose – Tablare geschätzt; ","")))&amp;IF(H1406&gt;AV1406,"Überbestand "&amp;ROUND(H1406-AV1406,0)&amp;" Stk / CHF "&amp;ROUND((H1406-AV1406)*G1406,0)&amp;"; ","")&amp;IF(AND(CH1406=1,CI1406&lt;CJ1406),"MAX &lt; MB+LG; ","")&amp;IF(AND(CP1406&gt;0,CO1406*10&gt;CP1406),"zu hoch für Tablar; ","")&amp;IF(AND(BV1406=0,OR(CH1406=1,AA1406&lt;&gt;"",U1406&lt;&gt;"",V1406&lt;&gt;"",AB1406&lt;&gt;"")),"manuell übersteuert; ","")&amp;IF(AND(BZ1406=0,R1406=0),"Gebinde unbekannt / Stellmass fehlt; ","")&amp;IF(AND(BZ1406=0,N(V1406)&lt;=0,N(Q1406)&lt;=0),"Menge pro Gebinde fehlt (Ist = 1 Gebinde); ","")&amp;BU1406)</f>
        <v>negativer Bestand (Export -3); Überbestand 8 Stk / CHF 11790; Twin</v>
      </c>
      <c r="BN1406" s="48"/>
      <c r="BO1406" s="48"/>
      <c r="BP1406" s="55"/>
      <c r="BQ1406" s="50" t="n">
        <v>-3</v>
      </c>
      <c r="BR1406" s="50" t="n">
        <v>13</v>
      </c>
      <c r="BS1406" s="49" t="n">
        <v>-4421.28</v>
      </c>
      <c r="BT1406" s="50" t="n">
        <v>2</v>
      </c>
      <c r="BU1406" s="48" t="s">
        <v>223</v>
      </c>
      <c r="BV1406" s="53" t="n">
        <v>0</v>
      </c>
      <c r="BW1406" s="53" t="n">
        <v>1406</v>
      </c>
      <c r="BX1406" s="48" t="str">
        <f aca="false">IF(U1406&lt;&gt;"",UPPER(TRIM(U1406)),IF(CA1406=1,UPPER(VLOOKUP(T1406,Parameter!$I$27:$K$29,2,0)),IF(P1406="","LOSE",P1406)))</f>
        <v>S71</v>
      </c>
      <c r="BY1406" s="50" t="n">
        <f aca="false">IF(BX1406="LOSE",1,IF(N(V1406)&gt;0,V1406,IF(CA1406=1,MAX(1,N(VLOOKUP(T1406,Parameter!$I$27:$K$29,3,0)),H1406,N(N1406)),IF(N(Q1406)&gt;0,Q1406,MAX(1,H1406)))))</f>
        <v>10</v>
      </c>
      <c r="BZ1406" s="53" t="n">
        <f aca="false">IF(BX1406="LOSE",1,0)</f>
        <v>0</v>
      </c>
      <c r="CA1406" s="53" t="n">
        <f aca="false">IF(AND(U1406="",OR(P1406="",P1406="LOSE"),T1406&lt;&gt;"",N(S1406)&lt;=0,ISNUMBER(MATCH(T1406,Parameter!$I$27:$I$29,0))),1,0)</f>
        <v>0</v>
      </c>
      <c r="CB1406" s="53" t="n">
        <f aca="false">IF(CQ1406&gt;0,INDEX(Parameter!$H$5:$H$7,W1406)/INDEX(Parameter!$E$5:$E$7,W1406),IF(AND(BZ1406=0,N(IFERROR(VLOOKUP(BX1406,'Gebinde-Kategorie'!$A$5:$N$45,14,0),0))&gt;0),VLOOKUP(BX1406,'Gebinde-Kategorie'!$A$5:$N$45,14,0)*10+Parameter!$M$23,Parameter!$M$24))</f>
        <v>235</v>
      </c>
      <c r="CC1406" s="48" t="n">
        <f aca="false">IF(AND(Parameter!$B$19="Ja",E1406&lt;&gt;"",ISNUMBER(MATCH(E1406,Parameter!$I$35:$I$52,0))),VLOOKUP(E1406,Parameter!$I$35:$J$52,2,0),IFERROR(VLOOKUP(D1406,Parameter!$A$35:$C$64,2,0),"Nein"))</f>
        <v>1</v>
      </c>
      <c r="CD1406" s="52" t="n">
        <f aca="false">IF(BZ1406=0,0,IF(N(S1406)&gt;0,S1406,IFERROR(VLOOKUP(D1406,Parameter!$A$35:$C$64,3,0)+0,0)))</f>
        <v>0</v>
      </c>
      <c r="CE1406" s="48" t="n">
        <f aca="false">IF(AA1406&lt;&gt;"",AA1406,Z1406)</f>
        <v>1</v>
      </c>
      <c r="CF1406" s="48" t="str">
        <f aca="false">IF(OR(CE1406=1,CE1406=2,CE1406=3),IF(Parameter!$E$27="Ja","LIFT",IF(CE1406=1,"L1","L23")),IF(CE1406="Aussen","Aussen","-"))</f>
        <v>LIFT</v>
      </c>
      <c r="CG1406" s="59" t="n">
        <f aca="false">IF(N(AB1406)&gt;0,AB1406,0)</f>
        <v>0</v>
      </c>
      <c r="CH1406" s="53" t="n">
        <f aca="false">IF(ISNUMBER(AE1406),1,0)</f>
        <v>0</v>
      </c>
      <c r="CI1406" s="50" t="n">
        <f aca="false">N(AE1406)</f>
        <v>0</v>
      </c>
      <c r="CJ1406" s="50" t="n">
        <f aca="false">N(M1406)+N(N1406)</f>
        <v>1</v>
      </c>
      <c r="CK1406" s="50" t="n">
        <f aca="false">N(M1406)</f>
        <v>0</v>
      </c>
      <c r="CL1406" s="50" t="n">
        <f aca="false">N(N1406)</f>
        <v>1</v>
      </c>
      <c r="CM1406" s="50" t="n">
        <f aca="false">ROUNDUP(H1406/BY1406,0)</f>
        <v>1</v>
      </c>
      <c r="CN1406" s="50" t="n">
        <f aca="false">ROUNDUP(CI1406/BY1406,0)</f>
        <v>0</v>
      </c>
      <c r="CO1406" s="53" t="n">
        <f aca="false">IF(BZ1406=1,0,IFERROR(VLOOKUP(BX1406,'Gebinde-Kategorie'!$A$5:$N$45,5,0)+0,0))</f>
        <v>20</v>
      </c>
      <c r="CP1406" s="53" t="n">
        <f aca="false">IFERROR(IF(OR(CE1406=1,CE1406=2,CE1406=3),N(INDEX(Parameter!$I$5:$I$7,CE1406)),0),0)</f>
        <v>0</v>
      </c>
      <c r="CQ1406" s="52" t="n">
        <f aca="false">IF(AND(Parameter!$B$21="Ja",ISNUMBER(W1406),N(X1406)&gt;0),IFERROR(N(INDEX(Parameter!$L$5:$L$7,W1406))*INDEX(Parameter!$E$5:$E$7,W1406)*X1406/SUMIFS($X$7:$X$1843,$W$7:$W$1843,W1406),0),0)</f>
        <v>0</v>
      </c>
    </row>
    <row r="1407" customFormat="false" ht="15" hidden="false" customHeight="false" outlineLevel="0" collapsed="false">
      <c r="A1407" s="48" t="s">
        <v>2480</v>
      </c>
      <c r="B1407" s="48" t="s">
        <v>299</v>
      </c>
      <c r="C1407" s="48" t="s">
        <v>173</v>
      </c>
      <c r="D1407" s="48" t="s">
        <v>182</v>
      </c>
      <c r="E1407" s="48" t="s">
        <v>182</v>
      </c>
      <c r="F1407" s="48" t="s">
        <v>227</v>
      </c>
      <c r="G1407" s="49" t="n">
        <v>119.13</v>
      </c>
      <c r="H1407" s="50" t="n">
        <f aca="false">MAX(0,IF(AND(Parameter!$B$21="Ja",ISNUMBER(Y1407)),Y1407,IF(Parameter!$B$20="Jahresanfang 2025 + Export",BR1407+BQ1407,BQ1407)))</f>
        <v>28</v>
      </c>
      <c r="I1407" s="50" t="n">
        <f aca="false">H1407*G1407</f>
        <v>3335.64</v>
      </c>
      <c r="J1407" s="50" t="n">
        <f aca="false">BT1407*Parameter!$B$18</f>
        <v>20</v>
      </c>
      <c r="K1407" s="51" t="n">
        <v>63</v>
      </c>
      <c r="L1407" s="52" t="n">
        <v>0.317460317460317</v>
      </c>
      <c r="M1407" s="50" t="n">
        <v>3</v>
      </c>
      <c r="N1407" s="50" t="n">
        <v>20</v>
      </c>
      <c r="O1407" s="53" t="n">
        <v>56</v>
      </c>
      <c r="P1407" s="48" t="s">
        <v>232</v>
      </c>
      <c r="Q1407" s="50" t="n">
        <v>50</v>
      </c>
      <c r="R1407" s="53" t="n">
        <f aca="false">IF(BZ1407=1,0,IFERROR(VLOOKUP(BX1407,'Gebinde-Kategorie'!$A$5:$N$45,13,0)+0,0))</f>
        <v>4</v>
      </c>
      <c r="S1407" s="54"/>
      <c r="T1407" s="55"/>
      <c r="U1407" s="55"/>
      <c r="V1407" s="55"/>
      <c r="W1407" s="48"/>
      <c r="X1407" s="50"/>
      <c r="Y1407" s="50"/>
      <c r="Z1407" s="48" t="str">
        <f aca="false">IF(A1407="","",IF(AND(Parameter!$B$21="Ja",ISNUMBER(W1407)),W1407,IF(CC1407="2+3",IF(ISNUMBER(SEARCH("grosser Artikel",BU1407)),2,IFERROR(VLOOKUP(BX1407,Parameter!$F$35:$G$64,2,0),2)),IF(OR(CC1407="Nein",CC1407=""),"-",CC1407))))</f>
        <v>-</v>
      </c>
      <c r="AA1407" s="55"/>
      <c r="AB1407" s="56"/>
      <c r="AC1407" s="50" t="n">
        <f aca="false">AV1407</f>
        <v>23</v>
      </c>
      <c r="AD1407" s="50" t="n">
        <f aca="false">MAX(AV1407,H1407)</f>
        <v>28</v>
      </c>
      <c r="AE1407" s="57"/>
      <c r="AF1407" s="50" t="n">
        <f aca="false">IF(LEFT(Cockpit!$C$5,1)="A",H1407,IF(Parameter!$E$30="MAX-Bestand",IF(CH1407=1,CI1407,IF(LEFT(Cockpit!$C$5,1)="B",AL1407,MAX(AL1407,H1407))),ROUNDUP(AJ1407,0)))</f>
        <v>28</v>
      </c>
      <c r="AG1407" s="50" t="n">
        <f aca="false">IF(BZ1407=1,0,ROUNDUP(AF1407/BY1407,0))</f>
        <v>1</v>
      </c>
      <c r="AH1407" s="52" t="n">
        <f aca="false">IF(CQ1407&gt;0,CQ1407*MAX(1,AF1407/X1407),IF(BZ1407=1,IF(AF1407&lt;=0,0,CD1407*MAX(1,IF(H1407&gt;0,AF1407/H1407,1))),IF(R1407&gt;0,AG1407/R1407,0))/MAX(0.1,N(Parameter!$M$21)))</f>
        <v>0.25</v>
      </c>
      <c r="AI1407" s="50" t="n">
        <f aca="false">AH1407*CB1407</f>
        <v>58.75</v>
      </c>
      <c r="AJ1407" s="51" t="n">
        <f aca="false">IF(LEFT(Cockpit!$C$5,1)="A",H1407,IF(CH1407=1,(CK1407+CI1407)/2,IF(LEFT(Cockpit!$C$5,1)="B",(CK1407+AL1407)/2,MAX((CK1407+AL1407)/2,H1407))))</f>
        <v>28</v>
      </c>
      <c r="AK1407" s="50" t="n">
        <f aca="false">AJ1407*G1407</f>
        <v>3335.64</v>
      </c>
      <c r="AL1407" s="50" t="n">
        <f aca="false">ROUNDUP(CK1407+MAX(CL1407,2*(J1407/IF(CG1407&gt;0,CG1407,MAX(0.1,N(Cockpit!$C$6)))-CK1407)),0)</f>
        <v>23</v>
      </c>
      <c r="AM1407" s="51" t="n">
        <f aca="false">IF(AI1407&gt;0,J1407/AI1407,-1)</f>
        <v>0.340425531914894</v>
      </c>
      <c r="AN1407" s="51" t="str">
        <f aca="false">IF(AND(OR(CF1407="L1",CF1407="L23",CF1407="LIFT"),AI1407&gt;0),SUMIFS($AI$7:$AI$1843,$CF$7:$CF$1843,CF1407,$AM$7:$AM$1843,"&gt;"&amp;AM1407)+SUMIFS($AI$7:$AI$1843,$CF$7:$CF$1843,CF1407,$AM$7:$AM$1843,AM1407,$BW$7:$BW$1843,"&lt;="&amp;BW1407),"")</f>
        <v/>
      </c>
      <c r="AO1407" s="58" t="n">
        <f aca="false">IF(AN1407="",0,MAX(0,MIN(1,(IF(CF1407="L1",Parameter!$H$5,IF(CF1407="L23",Parameter!$H$6+Parameter!$H$7,Parameter!$H$5+Parameter!$H$6+Parameter!$H$7))-(AN1407-AI1407))/AI1407)))</f>
        <v>0</v>
      </c>
      <c r="AP1407" s="50" t="n">
        <f aca="false">IF(LEFT(Cockpit!$I$5,1)="A",H1407,IF(Parameter!$E$30="MAX-Bestand",IF(CH1407=1,CI1407,IF(LEFT(Cockpit!$I$5,1)="B",AV1407,MAX(AV1407,H1407))),ROUNDUP(AT1407,0)))</f>
        <v>28</v>
      </c>
      <c r="AQ1407" s="50" t="n">
        <f aca="false">IF(BZ1407=1,0,ROUNDUP(AP1407/BY1407,0))</f>
        <v>1</v>
      </c>
      <c r="AR1407" s="52" t="n">
        <f aca="false">IF(CQ1407&gt;0,CQ1407*MAX(1,AP1407/X1407),IF(BZ1407=1,IF(AP1407&lt;=0,0,CD1407*MAX(1,IF(H1407&gt;0,AP1407/H1407,1))),IF(R1407&gt;0,AQ1407/R1407,0))/MAX(0.1,N(Parameter!$M$21)))</f>
        <v>0.25</v>
      </c>
      <c r="AS1407" s="50" t="n">
        <f aca="false">AR1407*CB1407</f>
        <v>58.75</v>
      </c>
      <c r="AT1407" s="51" t="n">
        <f aca="false">IF(LEFT(Cockpit!$I$5,1)="A",H1407,IF(CH1407=1,(CK1407+CI1407)/2,IF(LEFT(Cockpit!$I$5,1)="B",(CK1407+AV1407)/2,MAX((CK1407+AV1407)/2,H1407))))</f>
        <v>28</v>
      </c>
      <c r="AU1407" s="50" t="n">
        <f aca="false">AT1407*G1407</f>
        <v>3335.64</v>
      </c>
      <c r="AV1407" s="50" t="n">
        <f aca="false">ROUNDUP(CK1407+MAX(CL1407,2*(J1407/IF(CG1407&gt;0,CG1407,MAX(0.1,N(Cockpit!$I$6)))-CK1407)),0)</f>
        <v>23</v>
      </c>
      <c r="AW1407" s="51" t="n">
        <f aca="false">IF(AS1407&gt;0,J1407/AS1407,-1)</f>
        <v>0.340425531914894</v>
      </c>
      <c r="AX1407" s="51" t="str">
        <f aca="false">IF(AND(OR(CF1407="L1",CF1407="L23",CF1407="LIFT"),AS1407&gt;0),SUMIFS($AS$7:$AS$1843,$CF$7:$CF$1843,CF1407,$AW$7:$AW$1843,"&gt;"&amp;AW1407)+SUMIFS($AS$7:$AS$1843,$CF$7:$CF$1843,CF1407,$AW$7:$AW$1843,AW1407,$BW$7:$BW$1843,"&lt;="&amp;BW1407),"")</f>
        <v/>
      </c>
      <c r="AY1407" s="58" t="n">
        <f aca="false">IF(AX1407="",0,MAX(0,MIN(1,(IF(CF1407="L1",Parameter!$H$5,IF(CF1407="L23",Parameter!$H$6+Parameter!$H$7,Parameter!$H$5+Parameter!$H$6+Parameter!$H$7))-(AX1407-AS1407))/AS1407)))</f>
        <v>0</v>
      </c>
      <c r="AZ1407" s="50" t="n">
        <f aca="false">IF(LEFT(Cockpit!$O$5,1)="A",H1407,IF(Parameter!$E$30="MAX-Bestand",IF(CH1407=1,CI1407,IF(LEFT(Cockpit!$O$5,1)="B",BF1407,MAX(BF1407,H1407))),ROUNDUP(BD1407,0)))</f>
        <v>13</v>
      </c>
      <c r="BA1407" s="50" t="n">
        <f aca="false">IF(BZ1407=1,0,ROUNDUP(AZ1407/BY1407,0))</f>
        <v>1</v>
      </c>
      <c r="BB1407" s="52" t="n">
        <f aca="false">IF(CQ1407&gt;0,CQ1407*MAX(1,AZ1407/X1407),IF(BZ1407=1,IF(AZ1407&lt;=0,0,CD1407*MAX(1,IF(H1407&gt;0,AZ1407/H1407,1))),IF(R1407&gt;0,BA1407/R1407,0))/MAX(0.1,N(Parameter!$M$21)))</f>
        <v>0.25</v>
      </c>
      <c r="BC1407" s="50" t="n">
        <f aca="false">BB1407*CB1407</f>
        <v>58.75</v>
      </c>
      <c r="BD1407" s="51" t="n">
        <f aca="false">IF(LEFT(Cockpit!$O$5,1)="A",H1407,IF(CH1407=1,(CK1407+CI1407)/2,IF(LEFT(Cockpit!$O$5,1)="B",(CK1407+BF1407)/2,MAX((CK1407+BF1407)/2,H1407))))</f>
        <v>13</v>
      </c>
      <c r="BE1407" s="50" t="n">
        <f aca="false">BD1407*G1407</f>
        <v>1548.69</v>
      </c>
      <c r="BF1407" s="50" t="n">
        <f aca="false">ROUNDUP(CK1407+MAX(CL1407,2*(J1407/IF(CG1407&gt;0,CG1407,MAX(0.1,N(Cockpit!$O$6)))-CK1407)),0)</f>
        <v>23</v>
      </c>
      <c r="BG1407" s="51" t="n">
        <f aca="false">IF(BC1407&gt;0,J1407/BC1407,-1)</f>
        <v>0.340425531914894</v>
      </c>
      <c r="BH1407" s="51" t="str">
        <f aca="false">IF(AND(OR(CF1407="L1",CF1407="L23",CF1407="LIFT"),BC1407&gt;0),SUMIFS($BC$7:$BC$1843,$CF$7:$CF$1843,CF1407,$BG$7:$BG$1843,"&gt;"&amp;BG1407)+SUMIFS($BC$7:$BC$1843,$CF$7:$CF$1843,CF1407,$BG$7:$BG$1843,BG1407,$BW$7:$BW$1843,"&lt;="&amp;BW1407),"")</f>
        <v/>
      </c>
      <c r="BI1407" s="58" t="n">
        <f aca="false">IF(BH1407="",0,MAX(0,MIN(1,(IF(CF1407="L1",Parameter!$H$5,IF(CF1407="L23",Parameter!$H$6+Parameter!$H$7,Parameter!$H$5+Parameter!$H$6+Parameter!$H$7))-(BH1407-BC1407))/BC1407)))</f>
        <v>0</v>
      </c>
      <c r="BJ1407" s="48" t="str">
        <f aca="false">IF(AI1407&lt;=0,"",IF(CF1407="Aussen","Aussenlager",IF(CF1407="-","Nicht im Lift",IF(AO1407&gt;=1,"Lift",IF(AO1407&lt;=0,"Aussenlager","teilweise")))))</f>
        <v>Nicht im Lift</v>
      </c>
      <c r="BK1407" s="48" t="str">
        <f aca="false">IF(AS1407&lt;=0,"",IF(CF1407="Aussen","Aussenlager",IF(CF1407="-","Nicht im Lift",IF(AY1407&gt;=1,"Lift",IF(AY1407&lt;=0,"Aussenlager","teilweise")))))</f>
        <v>Nicht im Lift</v>
      </c>
      <c r="BL1407" s="48" t="str">
        <f aca="false">IF(BC1407&lt;=0,"",IF(CF1407="Aussen","Aussenlager",IF(CF1407="-","Nicht im Lift",IF(BI1407&gt;=1,"Lift",IF(BI1407&lt;=0,"Aussenlager","teilweise")))))</f>
        <v>Nicht im Lift</v>
      </c>
      <c r="BM1407" s="48" t="str">
        <f aca="false">IF(A1407="","",IF(BV1407=1,"Neu; ","")&amp;IF(AND(BV1407=0,BQ1407&lt;0),"negativer Bestand (Export "&amp;BQ1407&amp;"); ","")&amp;IF(J1407&lt;=0,"Kein Verbrauch; ","")&amp;IF(CQ1407&gt;0,"Lift "&amp;W1407&amp;" lt. Liftbericht (Fach "&amp;X1407&amp;" Stk); ",IF(CA1407=1,"Gebinde geschätzt ("&amp;T1407&amp;"); ",IF(BZ1407=1,"Lose – Tablare geschätzt; ","")))&amp;IF(H1407&gt;AV1407,"Überbestand "&amp;ROUND(H1407-AV1407,0)&amp;" Stk / CHF "&amp;ROUND((H1407-AV1407)*G1407,0)&amp;"; ","")&amp;IF(AND(CH1407=1,CI1407&lt;CJ1407),"MAX &lt; MB+LG; ","")&amp;IF(AND(CP1407&gt;0,CO1407*10&gt;CP1407),"zu hoch für Tablar; ","")&amp;IF(AND(BV1407=0,OR(CH1407=1,AA1407&lt;&gt;"",U1407&lt;&gt;"",V1407&lt;&gt;"",AB1407&lt;&gt;"")),"manuell übersteuert; ","")&amp;IF(AND(BZ1407=0,R1407=0),"Gebinde unbekannt / Stellmass fehlt; ","")&amp;IF(AND(BZ1407=0,N(V1407)&lt;=0,N(Q1407)&lt;=0),"Menge pro Gebinde fehlt (Ist = 1 Gebinde); ","")&amp;BU1407)</f>
        <v>negativer Bestand (Export -40); Überbestand 5 Stk / CHF 596; Neu</v>
      </c>
      <c r="BN1407" s="48"/>
      <c r="BO1407" s="48"/>
      <c r="BP1407" s="55"/>
      <c r="BQ1407" s="50" t="n">
        <v>-40</v>
      </c>
      <c r="BR1407" s="50" t="n">
        <v>68</v>
      </c>
      <c r="BS1407" s="49" t="n">
        <v>-4765.2</v>
      </c>
      <c r="BT1407" s="50" t="n">
        <v>20</v>
      </c>
      <c r="BU1407" s="48" t="s">
        <v>635</v>
      </c>
      <c r="BV1407" s="53" t="n">
        <v>0</v>
      </c>
      <c r="BW1407" s="53" t="n">
        <v>1407</v>
      </c>
      <c r="BX1407" s="48" t="str">
        <f aca="false">IF(U1407&lt;&gt;"",UPPER(TRIM(U1407)),IF(CA1407=1,UPPER(VLOOKUP(T1407,Parameter!$I$27:$K$29,2,0)),IF(P1407="","LOSE",P1407)))</f>
        <v>S81</v>
      </c>
      <c r="BY1407" s="50" t="n">
        <f aca="false">IF(BX1407="LOSE",1,IF(N(V1407)&gt;0,V1407,IF(CA1407=1,MAX(1,N(VLOOKUP(T1407,Parameter!$I$27:$K$29,3,0)),H1407,N(N1407)),IF(N(Q1407)&gt;0,Q1407,MAX(1,H1407)))))</f>
        <v>50</v>
      </c>
      <c r="BZ1407" s="53" t="n">
        <f aca="false">IF(BX1407="LOSE",1,0)</f>
        <v>0</v>
      </c>
      <c r="CA1407" s="53" t="n">
        <f aca="false">IF(AND(U1407="",OR(P1407="",P1407="LOSE"),T1407&lt;&gt;"",N(S1407)&lt;=0,ISNUMBER(MATCH(T1407,Parameter!$I$27:$I$29,0))),1,0)</f>
        <v>0</v>
      </c>
      <c r="CB1407" s="53" t="n">
        <f aca="false">IF(CQ1407&gt;0,INDEX(Parameter!$H$5:$H$7,W1407)/INDEX(Parameter!$E$5:$E$7,W1407),IF(AND(BZ1407=0,N(IFERROR(VLOOKUP(BX1407,'Gebinde-Kategorie'!$A$5:$N$45,14,0),0))&gt;0),VLOOKUP(BX1407,'Gebinde-Kategorie'!$A$5:$N$45,14,0)*10+Parameter!$M$23,Parameter!$M$24))</f>
        <v>235</v>
      </c>
      <c r="CC1407" s="48" t="str">
        <f aca="false">IF(AND(Parameter!$B$19="Ja",E1407&lt;&gt;"",ISNUMBER(MATCH(E1407,Parameter!$I$35:$I$52,0))),VLOOKUP(E1407,Parameter!$I$35:$J$52,2,0),IFERROR(VLOOKUP(D1407,Parameter!$A$35:$C$64,2,0),"Nein"))</f>
        <v>Nein</v>
      </c>
      <c r="CD1407" s="52" t="n">
        <f aca="false">IF(BZ1407=0,0,IF(N(S1407)&gt;0,S1407,IFERROR(VLOOKUP(D1407,Parameter!$A$35:$C$64,3,0)+0,0)))</f>
        <v>0</v>
      </c>
      <c r="CE1407" s="48" t="str">
        <f aca="false">IF(AA1407&lt;&gt;"",AA1407,Z1407)</f>
        <v>-</v>
      </c>
      <c r="CF1407" s="48" t="str">
        <f aca="false">IF(OR(CE1407=1,CE1407=2,CE1407=3),IF(Parameter!$E$27="Ja","LIFT",IF(CE1407=1,"L1","L23")),IF(CE1407="Aussen","Aussen","-"))</f>
        <v>-</v>
      </c>
      <c r="CG1407" s="59" t="n">
        <f aca="false">IF(N(AB1407)&gt;0,AB1407,0)</f>
        <v>0</v>
      </c>
      <c r="CH1407" s="53" t="n">
        <f aca="false">IF(ISNUMBER(AE1407),1,0)</f>
        <v>0</v>
      </c>
      <c r="CI1407" s="50" t="n">
        <f aca="false">N(AE1407)</f>
        <v>0</v>
      </c>
      <c r="CJ1407" s="50" t="n">
        <f aca="false">N(M1407)+N(N1407)</f>
        <v>23</v>
      </c>
      <c r="CK1407" s="50" t="n">
        <f aca="false">N(M1407)</f>
        <v>3</v>
      </c>
      <c r="CL1407" s="50" t="n">
        <f aca="false">N(N1407)</f>
        <v>20</v>
      </c>
      <c r="CM1407" s="50" t="n">
        <f aca="false">ROUNDUP(H1407/BY1407,0)</f>
        <v>1</v>
      </c>
      <c r="CN1407" s="50" t="n">
        <f aca="false">ROUNDUP(CI1407/BY1407,0)</f>
        <v>0</v>
      </c>
      <c r="CO1407" s="53" t="n">
        <f aca="false">IF(BZ1407=1,0,IFERROR(VLOOKUP(BX1407,'Gebinde-Kategorie'!$A$5:$N$45,5,0)+0,0))</f>
        <v>20</v>
      </c>
      <c r="CP1407" s="53" t="n">
        <f aca="false">IFERROR(IF(OR(CE1407=1,CE1407=2,CE1407=3),N(INDEX(Parameter!$I$5:$I$7,CE1407)),0),0)</f>
        <v>0</v>
      </c>
      <c r="CQ1407" s="52" t="n">
        <f aca="false">IF(AND(Parameter!$B$21="Ja",ISNUMBER(W1407),N(X1407)&gt;0),IFERROR(N(INDEX(Parameter!$L$5:$L$7,W1407))*INDEX(Parameter!$E$5:$E$7,W1407)*X1407/SUMIFS($X$7:$X$1843,$W$7:$W$1843,W1407),0),0)</f>
        <v>0</v>
      </c>
    </row>
    <row r="1408" customFormat="false" ht="15" hidden="false" customHeight="false" outlineLevel="0" collapsed="false">
      <c r="A1408" s="48" t="s">
        <v>2481</v>
      </c>
      <c r="B1408" s="48" t="s">
        <v>2482</v>
      </c>
      <c r="C1408" s="48" t="s">
        <v>173</v>
      </c>
      <c r="D1408" s="48" t="s">
        <v>362</v>
      </c>
      <c r="E1408" s="48" t="s">
        <v>2257</v>
      </c>
      <c r="F1408" s="48" t="s">
        <v>227</v>
      </c>
      <c r="G1408" s="49" t="n">
        <v>2426.28</v>
      </c>
      <c r="H1408" s="50" t="n">
        <f aca="false">MAX(0,IF(AND(Parameter!$B$21="Ja",ISNUMBER(Y1408)),Y1408,IF(Parameter!$B$20="Jahresanfang 2025 + Export",BR1408+BQ1408,BQ1408)))</f>
        <v>0</v>
      </c>
      <c r="I1408" s="50" t="n">
        <f aca="false">H1408*G1408</f>
        <v>0</v>
      </c>
      <c r="J1408" s="50" t="n">
        <f aca="false">BT1408*Parameter!$B$18</f>
        <v>0</v>
      </c>
      <c r="K1408" s="51" t="n">
        <v>1</v>
      </c>
      <c r="L1408" s="52" t="n">
        <v>0</v>
      </c>
      <c r="M1408" s="50" t="n">
        <v>0</v>
      </c>
      <c r="N1408" s="50" t="n">
        <v>1</v>
      </c>
      <c r="O1408" s="53" t="n">
        <v>90</v>
      </c>
      <c r="P1408" s="48" t="s">
        <v>177</v>
      </c>
      <c r="Q1408" s="50"/>
      <c r="R1408" s="53" t="n">
        <f aca="false">IF(BZ1408=1,0,IFERROR(VLOOKUP(BX1408,'Gebinde-Kategorie'!$A$5:$N$45,13,0)+0,0))</f>
        <v>0</v>
      </c>
      <c r="S1408" s="54"/>
      <c r="T1408" s="55"/>
      <c r="U1408" s="55"/>
      <c r="V1408" s="55"/>
      <c r="W1408" s="48"/>
      <c r="X1408" s="50"/>
      <c r="Y1408" s="50"/>
      <c r="Z1408" s="48" t="str">
        <f aca="false">IF(A1408="","",IF(AND(Parameter!$B$21="Ja",ISNUMBER(W1408)),W1408,IF(CC1408="2+3",IF(ISNUMBER(SEARCH("grosser Artikel",BU1408)),2,IFERROR(VLOOKUP(BX1408,Parameter!$F$35:$G$64,2,0),2)),IF(OR(CC1408="Nein",CC1408=""),"-",CC1408))))</f>
        <v>-</v>
      </c>
      <c r="AA1408" s="55"/>
      <c r="AB1408" s="56"/>
      <c r="AC1408" s="50" t="n">
        <f aca="false">AV1408</f>
        <v>1</v>
      </c>
      <c r="AD1408" s="50" t="n">
        <f aca="false">MAX(AV1408,H1408)</f>
        <v>1</v>
      </c>
      <c r="AE1408" s="57"/>
      <c r="AF1408" s="50" t="n">
        <f aca="false">IF(LEFT(Cockpit!$C$5,1)="A",H1408,IF(Parameter!$E$30="MAX-Bestand",IF(CH1408=1,CI1408,IF(LEFT(Cockpit!$C$5,1)="B",AL1408,MAX(AL1408,H1408))),ROUNDUP(AJ1408,0)))</f>
        <v>0</v>
      </c>
      <c r="AG1408" s="50" t="n">
        <f aca="false">IF(BZ1408=1,0,ROUNDUP(AF1408/BY1408,0))</f>
        <v>0</v>
      </c>
      <c r="AH1408" s="52" t="n">
        <f aca="false">IF(CQ1408&gt;0,CQ1408*MAX(1,AF1408/X1408),IF(BZ1408=1,IF(AF1408&lt;=0,0,CD1408*MAX(1,IF(H1408&gt;0,AF1408/H1408,1))),IF(R1408&gt;0,AG1408/R1408,0))/MAX(0.1,N(Parameter!$M$21)))</f>
        <v>0</v>
      </c>
      <c r="AI1408" s="50" t="n">
        <f aca="false">AH1408*CB1408</f>
        <v>0</v>
      </c>
      <c r="AJ1408" s="51" t="n">
        <f aca="false">IF(LEFT(Cockpit!$C$5,1)="A",H1408,IF(CH1408=1,(CK1408+CI1408)/2,IF(LEFT(Cockpit!$C$5,1)="B",(CK1408+AL1408)/2,MAX((CK1408+AL1408)/2,H1408))))</f>
        <v>0</v>
      </c>
      <c r="AK1408" s="50" t="n">
        <f aca="false">AJ1408*G1408</f>
        <v>0</v>
      </c>
      <c r="AL1408" s="50" t="n">
        <f aca="false">ROUNDUP(CK1408+MAX(CL1408,2*(J1408/IF(CG1408&gt;0,CG1408,MAX(0.1,N(Cockpit!$C$6)))-CK1408)),0)</f>
        <v>1</v>
      </c>
      <c r="AM1408" s="51" t="n">
        <f aca="false">IF(AI1408&gt;0,J1408/AI1408,-1)</f>
        <v>-1</v>
      </c>
      <c r="AN1408" s="51" t="str">
        <f aca="false">IF(AND(OR(CF1408="L1",CF1408="L23",CF1408="LIFT"),AI1408&gt;0),SUMIFS($AI$7:$AI$1843,$CF$7:$CF$1843,CF1408,$AM$7:$AM$1843,"&gt;"&amp;AM1408)+SUMIFS($AI$7:$AI$1843,$CF$7:$CF$1843,CF1408,$AM$7:$AM$1843,AM1408,$BW$7:$BW$1843,"&lt;="&amp;BW1408),"")</f>
        <v/>
      </c>
      <c r="AO1408" s="58" t="n">
        <f aca="false">IF(AN1408="",0,MAX(0,MIN(1,(IF(CF1408="L1",Parameter!$H$5,IF(CF1408="L23",Parameter!$H$6+Parameter!$H$7,Parameter!$H$5+Parameter!$H$6+Parameter!$H$7))-(AN1408-AI1408))/AI1408)))</f>
        <v>0</v>
      </c>
      <c r="AP1408" s="50" t="n">
        <f aca="false">IF(LEFT(Cockpit!$I$5,1)="A",H1408,IF(Parameter!$E$30="MAX-Bestand",IF(CH1408=1,CI1408,IF(LEFT(Cockpit!$I$5,1)="B",AV1408,MAX(AV1408,H1408))),ROUNDUP(AT1408,0)))</f>
        <v>1</v>
      </c>
      <c r="AQ1408" s="50" t="n">
        <f aca="false">IF(BZ1408=1,0,ROUNDUP(AP1408/BY1408,0))</f>
        <v>0</v>
      </c>
      <c r="AR1408" s="52" t="n">
        <f aca="false">IF(CQ1408&gt;0,CQ1408*MAX(1,AP1408/X1408),IF(BZ1408=1,IF(AP1408&lt;=0,0,CD1408*MAX(1,IF(H1408&gt;0,AP1408/H1408,1))),IF(R1408&gt;0,AQ1408/R1408,0))/MAX(0.1,N(Parameter!$M$21)))</f>
        <v>0.15</v>
      </c>
      <c r="AS1408" s="50" t="n">
        <f aca="false">AR1408*CB1408</f>
        <v>35.25</v>
      </c>
      <c r="AT1408" s="51" t="n">
        <f aca="false">IF(LEFT(Cockpit!$I$5,1)="A",H1408,IF(CH1408=1,(CK1408+CI1408)/2,IF(LEFT(Cockpit!$I$5,1)="B",(CK1408+AV1408)/2,MAX((CK1408+AV1408)/2,H1408))))</f>
        <v>0.5</v>
      </c>
      <c r="AU1408" s="50" t="n">
        <f aca="false">AT1408*G1408</f>
        <v>1213.14</v>
      </c>
      <c r="AV1408" s="50" t="n">
        <f aca="false">ROUNDUP(CK1408+MAX(CL1408,2*(J1408/IF(CG1408&gt;0,CG1408,MAX(0.1,N(Cockpit!$I$6)))-CK1408)),0)</f>
        <v>1</v>
      </c>
      <c r="AW1408" s="51" t="n">
        <f aca="false">IF(AS1408&gt;0,J1408/AS1408,-1)</f>
        <v>0</v>
      </c>
      <c r="AX1408" s="51" t="str">
        <f aca="false">IF(AND(OR(CF1408="L1",CF1408="L23",CF1408="LIFT"),AS1408&gt;0),SUMIFS($AS$7:$AS$1843,$CF$7:$CF$1843,CF1408,$AW$7:$AW$1843,"&gt;"&amp;AW1408)+SUMIFS($AS$7:$AS$1843,$CF$7:$CF$1843,CF1408,$AW$7:$AW$1843,AW1408,$BW$7:$BW$1843,"&lt;="&amp;BW1408),"")</f>
        <v/>
      </c>
      <c r="AY1408" s="58" t="n">
        <f aca="false">IF(AX1408="",0,MAX(0,MIN(1,(IF(CF1408="L1",Parameter!$H$5,IF(CF1408="L23",Parameter!$H$6+Parameter!$H$7,Parameter!$H$5+Parameter!$H$6+Parameter!$H$7))-(AX1408-AS1408))/AS1408)))</f>
        <v>0</v>
      </c>
      <c r="AZ1408" s="50" t="n">
        <f aca="false">IF(LEFT(Cockpit!$O$5,1)="A",H1408,IF(Parameter!$E$30="MAX-Bestand",IF(CH1408=1,CI1408,IF(LEFT(Cockpit!$O$5,1)="B",BF1408,MAX(BF1408,H1408))),ROUNDUP(BD1408,0)))</f>
        <v>1</v>
      </c>
      <c r="BA1408" s="50" t="n">
        <f aca="false">IF(BZ1408=1,0,ROUNDUP(AZ1408/BY1408,0))</f>
        <v>0</v>
      </c>
      <c r="BB1408" s="52" t="n">
        <f aca="false">IF(CQ1408&gt;0,CQ1408*MAX(1,AZ1408/X1408),IF(BZ1408=1,IF(AZ1408&lt;=0,0,CD1408*MAX(1,IF(H1408&gt;0,AZ1408/H1408,1))),IF(R1408&gt;0,BA1408/R1408,0))/MAX(0.1,N(Parameter!$M$21)))</f>
        <v>0.15</v>
      </c>
      <c r="BC1408" s="50" t="n">
        <f aca="false">BB1408*CB1408</f>
        <v>35.25</v>
      </c>
      <c r="BD1408" s="51" t="n">
        <f aca="false">IF(LEFT(Cockpit!$O$5,1)="A",H1408,IF(CH1408=1,(CK1408+CI1408)/2,IF(LEFT(Cockpit!$O$5,1)="B",(CK1408+BF1408)/2,MAX((CK1408+BF1408)/2,H1408))))</f>
        <v>0.5</v>
      </c>
      <c r="BE1408" s="50" t="n">
        <f aca="false">BD1408*G1408</f>
        <v>1213.14</v>
      </c>
      <c r="BF1408" s="50" t="n">
        <f aca="false">ROUNDUP(CK1408+MAX(CL1408,2*(J1408/IF(CG1408&gt;0,CG1408,MAX(0.1,N(Cockpit!$O$6)))-CK1408)),0)</f>
        <v>1</v>
      </c>
      <c r="BG1408" s="51" t="n">
        <f aca="false">IF(BC1408&gt;0,J1408/BC1408,-1)</f>
        <v>0</v>
      </c>
      <c r="BH1408" s="51" t="str">
        <f aca="false">IF(AND(OR(CF1408="L1",CF1408="L23",CF1408="LIFT"),BC1408&gt;0),SUMIFS($BC$7:$BC$1843,$CF$7:$CF$1843,CF1408,$BG$7:$BG$1843,"&gt;"&amp;BG1408)+SUMIFS($BC$7:$BC$1843,$CF$7:$CF$1843,CF1408,$BG$7:$BG$1843,BG1408,$BW$7:$BW$1843,"&lt;="&amp;BW1408),"")</f>
        <v/>
      </c>
      <c r="BI1408" s="58" t="n">
        <f aca="false">IF(BH1408="",0,MAX(0,MIN(1,(IF(CF1408="L1",Parameter!$H$5,IF(CF1408="L23",Parameter!$H$6+Parameter!$H$7,Parameter!$H$5+Parameter!$H$6+Parameter!$H$7))-(BH1408-BC1408))/BC1408)))</f>
        <v>0</v>
      </c>
      <c r="BJ1408" s="48" t="str">
        <f aca="false">IF(AI1408&lt;=0,"",IF(CF1408="Aussen","Aussenlager",IF(CF1408="-","Nicht im Lift",IF(AO1408&gt;=1,"Lift",IF(AO1408&lt;=0,"Aussenlager","teilweise")))))</f>
        <v/>
      </c>
      <c r="BK1408" s="48" t="str">
        <f aca="false">IF(AS1408&lt;=0,"",IF(CF1408="Aussen","Aussenlager",IF(CF1408="-","Nicht im Lift",IF(AY1408&gt;=1,"Lift",IF(AY1408&lt;=0,"Aussenlager","teilweise")))))</f>
        <v>Nicht im Lift</v>
      </c>
      <c r="BL1408" s="48" t="str">
        <f aca="false">IF(BC1408&lt;=0,"",IF(CF1408="Aussen","Aussenlager",IF(CF1408="-","Nicht im Lift",IF(BI1408&gt;=1,"Lift",IF(BI1408&lt;=0,"Aussenlager","teilweise")))))</f>
        <v>Nicht im Lift</v>
      </c>
      <c r="BM1408" s="48" t="str">
        <f aca="false">IF(A1408="","",IF(BV1408=1,"Neu; ","")&amp;IF(AND(BV1408=0,BQ1408&lt;0),"negativer Bestand (Export "&amp;BQ1408&amp;"); ","")&amp;IF(J1408&lt;=0,"Kein Verbrauch; ","")&amp;IF(CQ1408&gt;0,"Lift "&amp;W1408&amp;" lt. Liftbericht (Fach "&amp;X1408&amp;" Stk); ",IF(CA1408=1,"Gebinde geschätzt ("&amp;T1408&amp;"); ",IF(BZ1408=1,"Lose – Tablare geschätzt; ","")))&amp;IF(H1408&gt;AV1408,"Überbestand "&amp;ROUND(H1408-AV1408,0)&amp;" Stk / CHF "&amp;ROUND((H1408-AV1408)*G1408,0)&amp;"; ","")&amp;IF(AND(CH1408=1,CI1408&lt;CJ1408),"MAX &lt; MB+LG; ","")&amp;IF(AND(CP1408&gt;0,CO1408*10&gt;CP1408),"zu hoch für Tablar; ","")&amp;IF(AND(BV1408=0,OR(CH1408=1,AA1408&lt;&gt;"",U1408&lt;&gt;"",V1408&lt;&gt;"",AB1408&lt;&gt;"")),"manuell übersteuert; ","")&amp;IF(AND(BZ1408=0,R1408=0),"Gebinde unbekannt / Stellmass fehlt; ","")&amp;IF(AND(BZ1408=0,N(V1408)&lt;=0,N(Q1408)&lt;=0),"Menge pro Gebinde fehlt (Ist = 1 Gebinde); ","")&amp;BU1408)</f>
        <v>negativer Bestand (Export -2); Kein Verbrauch; Lose – Tablare geschätzt; </v>
      </c>
      <c r="BN1408" s="48"/>
      <c r="BO1408" s="48"/>
      <c r="BP1408" s="55"/>
      <c r="BQ1408" s="50" t="n">
        <v>-2</v>
      </c>
      <c r="BR1408" s="50" t="n">
        <v>2</v>
      </c>
      <c r="BS1408" s="49" t="n">
        <v>-4852.56</v>
      </c>
      <c r="BT1408" s="50" t="n">
        <v>0</v>
      </c>
      <c r="BU1408" s="48"/>
      <c r="BV1408" s="53" t="n">
        <v>0</v>
      </c>
      <c r="BW1408" s="53" t="n">
        <v>1408</v>
      </c>
      <c r="BX1408" s="48" t="str">
        <f aca="false">IF(U1408&lt;&gt;"",UPPER(TRIM(U1408)),IF(CA1408=1,UPPER(VLOOKUP(T1408,Parameter!$I$27:$K$29,2,0)),IF(P1408="","LOSE",P1408)))</f>
        <v>LOSE</v>
      </c>
      <c r="BY1408" s="50" t="n">
        <f aca="false">IF(BX1408="LOSE",1,IF(N(V1408)&gt;0,V1408,IF(CA1408=1,MAX(1,N(VLOOKUP(T1408,Parameter!$I$27:$K$29,3,0)),H1408,N(N1408)),IF(N(Q1408)&gt;0,Q1408,MAX(1,H1408)))))</f>
        <v>1</v>
      </c>
      <c r="BZ1408" s="53" t="n">
        <f aca="false">IF(BX1408="LOSE",1,0)</f>
        <v>1</v>
      </c>
      <c r="CA1408" s="53" t="n">
        <f aca="false">IF(AND(U1408="",OR(P1408="",P1408="LOSE"),T1408&lt;&gt;"",N(S1408)&lt;=0,ISNUMBER(MATCH(T1408,Parameter!$I$27:$I$29,0))),1,0)</f>
        <v>0</v>
      </c>
      <c r="CB1408" s="53" t="n">
        <f aca="false">IF(CQ1408&gt;0,INDEX(Parameter!$H$5:$H$7,W1408)/INDEX(Parameter!$E$5:$E$7,W1408),IF(AND(BZ1408=0,N(IFERROR(VLOOKUP(BX1408,'Gebinde-Kategorie'!$A$5:$N$45,14,0),0))&gt;0),VLOOKUP(BX1408,'Gebinde-Kategorie'!$A$5:$N$45,14,0)*10+Parameter!$M$23,Parameter!$M$24))</f>
        <v>235</v>
      </c>
      <c r="CC1408" s="48" t="str">
        <f aca="false">IF(AND(Parameter!$B$19="Ja",E1408&lt;&gt;"",ISNUMBER(MATCH(E1408,Parameter!$I$35:$I$52,0))),VLOOKUP(E1408,Parameter!$I$35:$J$52,2,0),IFERROR(VLOOKUP(D1408,Parameter!$A$35:$C$64,2,0),"Nein"))</f>
        <v>Nein</v>
      </c>
      <c r="CD1408" s="52" t="n">
        <f aca="false">IF(BZ1408=0,0,IF(N(S1408)&gt;0,S1408,IFERROR(VLOOKUP(D1408,Parameter!$A$35:$C$64,3,0)+0,0)))</f>
        <v>0.15</v>
      </c>
      <c r="CE1408" s="48" t="str">
        <f aca="false">IF(AA1408&lt;&gt;"",AA1408,Z1408)</f>
        <v>-</v>
      </c>
      <c r="CF1408" s="48" t="str">
        <f aca="false">IF(OR(CE1408=1,CE1408=2,CE1408=3),IF(Parameter!$E$27="Ja","LIFT",IF(CE1408=1,"L1","L23")),IF(CE1408="Aussen","Aussen","-"))</f>
        <v>-</v>
      </c>
      <c r="CG1408" s="59" t="n">
        <f aca="false">IF(N(AB1408)&gt;0,AB1408,0)</f>
        <v>0</v>
      </c>
      <c r="CH1408" s="53" t="n">
        <f aca="false">IF(ISNUMBER(AE1408),1,0)</f>
        <v>0</v>
      </c>
      <c r="CI1408" s="50" t="n">
        <f aca="false">N(AE1408)</f>
        <v>0</v>
      </c>
      <c r="CJ1408" s="50" t="n">
        <f aca="false">N(M1408)+N(N1408)</f>
        <v>1</v>
      </c>
      <c r="CK1408" s="50" t="n">
        <f aca="false">N(M1408)</f>
        <v>0</v>
      </c>
      <c r="CL1408" s="50" t="n">
        <f aca="false">N(N1408)</f>
        <v>1</v>
      </c>
      <c r="CM1408" s="50" t="n">
        <f aca="false">ROUNDUP(H1408/BY1408,0)</f>
        <v>0</v>
      </c>
      <c r="CN1408" s="50" t="n">
        <f aca="false">ROUNDUP(CI1408/BY1408,0)</f>
        <v>0</v>
      </c>
      <c r="CO1408" s="53" t="n">
        <f aca="false">IF(BZ1408=1,0,IFERROR(VLOOKUP(BX1408,'Gebinde-Kategorie'!$A$5:$N$45,5,0)+0,0))</f>
        <v>0</v>
      </c>
      <c r="CP1408" s="53" t="n">
        <f aca="false">IFERROR(IF(OR(CE1408=1,CE1408=2,CE1408=3),N(INDEX(Parameter!$I$5:$I$7,CE1408)),0),0)</f>
        <v>0</v>
      </c>
      <c r="CQ1408" s="52" t="n">
        <f aca="false">IF(AND(Parameter!$B$21="Ja",ISNUMBER(W1408),N(X1408)&gt;0),IFERROR(N(INDEX(Parameter!$L$5:$L$7,W1408))*INDEX(Parameter!$E$5:$E$7,W1408)*X1408/SUMIFS($X$7:$X$1843,$W$7:$W$1843,W1408),0),0)</f>
        <v>0</v>
      </c>
    </row>
    <row r="1409" customFormat="false" ht="15" hidden="false" customHeight="false" outlineLevel="0" collapsed="false">
      <c r="A1409" s="48" t="s">
        <v>2483</v>
      </c>
      <c r="B1409" s="48" t="s">
        <v>348</v>
      </c>
      <c r="C1409" s="48" t="s">
        <v>465</v>
      </c>
      <c r="D1409" s="48" t="s">
        <v>182</v>
      </c>
      <c r="E1409" s="48" t="s">
        <v>175</v>
      </c>
      <c r="F1409" s="48" t="s">
        <v>227</v>
      </c>
      <c r="G1409" s="49" t="n">
        <v>377.8</v>
      </c>
      <c r="H1409" s="50" t="n">
        <f aca="false">MAX(0,IF(AND(Parameter!$B$21="Ja",ISNUMBER(Y1409)),Y1409,IF(Parameter!$B$20="Jahresanfang 2025 + Export",BR1409+BQ1409,BQ1409)))</f>
        <v>0</v>
      </c>
      <c r="I1409" s="50" t="n">
        <f aca="false">H1409*G1409</f>
        <v>0</v>
      </c>
      <c r="J1409" s="50" t="n">
        <f aca="false">BT1409*Parameter!$B$18</f>
        <v>13</v>
      </c>
      <c r="K1409" s="51" t="n">
        <v>6.5</v>
      </c>
      <c r="L1409" s="52" t="n">
        <v>2</v>
      </c>
      <c r="M1409" s="50" t="n">
        <v>1</v>
      </c>
      <c r="N1409" s="50" t="n">
        <v>15</v>
      </c>
      <c r="O1409" s="53" t="n">
        <v>35</v>
      </c>
      <c r="P1409" s="48" t="s">
        <v>177</v>
      </c>
      <c r="Q1409" s="50"/>
      <c r="R1409" s="53" t="n">
        <f aca="false">IF(BZ1409=1,0,IFERROR(VLOOKUP(BX1409,'Gebinde-Kategorie'!$A$5:$N$45,13,0)+0,0))</f>
        <v>26</v>
      </c>
      <c r="S1409" s="54"/>
      <c r="T1409" s="55" t="s">
        <v>284</v>
      </c>
      <c r="U1409" s="55"/>
      <c r="V1409" s="55"/>
      <c r="W1409" s="48"/>
      <c r="X1409" s="50"/>
      <c r="Y1409" s="50"/>
      <c r="Z1409" s="48" t="n">
        <f aca="false">IF(A1409="","",IF(AND(Parameter!$B$21="Ja",ISNUMBER(W1409)),W1409,IF(CC1409="2+3",IF(ISNUMBER(SEARCH("grosser Artikel",BU1409)),2,IFERROR(VLOOKUP(BX1409,Parameter!$F$35:$G$64,2,0),2)),IF(OR(CC1409="Nein",CC1409=""),"-",CC1409))))</f>
        <v>1</v>
      </c>
      <c r="AA1409" s="55"/>
      <c r="AB1409" s="56"/>
      <c r="AC1409" s="50" t="n">
        <f aca="false">AV1409</f>
        <v>16</v>
      </c>
      <c r="AD1409" s="50" t="n">
        <f aca="false">MAX(AV1409,H1409)</f>
        <v>16</v>
      </c>
      <c r="AE1409" s="57"/>
      <c r="AF1409" s="50" t="n">
        <f aca="false">IF(LEFT(Cockpit!$C$5,1)="A",H1409,IF(Parameter!$E$30="MAX-Bestand",IF(CH1409=1,CI1409,IF(LEFT(Cockpit!$C$5,1)="B",AL1409,MAX(AL1409,H1409))),ROUNDUP(AJ1409,0)))</f>
        <v>0</v>
      </c>
      <c r="AG1409" s="50" t="n">
        <f aca="false">IF(BZ1409=1,0,ROUNDUP(AF1409/BY1409,0))</f>
        <v>0</v>
      </c>
      <c r="AH1409" s="52" t="n">
        <f aca="false">IF(CQ1409&gt;0,CQ1409*MAX(1,AF1409/X1409),IF(BZ1409=1,IF(AF1409&lt;=0,0,CD1409*MAX(1,IF(H1409&gt;0,AF1409/H1409,1))),IF(R1409&gt;0,AG1409/R1409,0))/MAX(0.1,N(Parameter!$M$21)))</f>
        <v>0</v>
      </c>
      <c r="AI1409" s="50" t="n">
        <f aca="false">AH1409*CB1409</f>
        <v>0</v>
      </c>
      <c r="AJ1409" s="51" t="n">
        <f aca="false">IF(LEFT(Cockpit!$C$5,1)="A",H1409,IF(CH1409=1,(CK1409+CI1409)/2,IF(LEFT(Cockpit!$C$5,1)="B",(CK1409+AL1409)/2,MAX((CK1409+AL1409)/2,H1409))))</f>
        <v>0</v>
      </c>
      <c r="AK1409" s="50" t="n">
        <f aca="false">AJ1409*G1409</f>
        <v>0</v>
      </c>
      <c r="AL1409" s="50" t="n">
        <f aca="false">ROUNDUP(CK1409+MAX(CL1409,2*(J1409/IF(CG1409&gt;0,CG1409,MAX(0.1,N(Cockpit!$C$6)))-CK1409)),0)</f>
        <v>16</v>
      </c>
      <c r="AM1409" s="51" t="n">
        <f aca="false">IF(AI1409&gt;0,J1409/AI1409,-1)</f>
        <v>-1</v>
      </c>
      <c r="AN1409" s="51" t="str">
        <f aca="false">IF(AND(OR(CF1409="L1",CF1409="L23",CF1409="LIFT"),AI1409&gt;0),SUMIFS($AI$7:$AI$1843,$CF$7:$CF$1843,CF1409,$AM$7:$AM$1843,"&gt;"&amp;AM1409)+SUMIFS($AI$7:$AI$1843,$CF$7:$CF$1843,CF1409,$AM$7:$AM$1843,AM1409,$BW$7:$BW$1843,"&lt;="&amp;BW1409),"")</f>
        <v/>
      </c>
      <c r="AO1409" s="58" t="n">
        <f aca="false">IF(AN1409="",0,MAX(0,MIN(1,(IF(CF1409="L1",Parameter!$H$5,IF(CF1409="L23",Parameter!$H$6+Parameter!$H$7,Parameter!$H$5+Parameter!$H$6+Parameter!$H$7))-(AN1409-AI1409))/AI1409)))</f>
        <v>0</v>
      </c>
      <c r="AP1409" s="50" t="n">
        <f aca="false">IF(LEFT(Cockpit!$I$5,1)="A",H1409,IF(Parameter!$E$30="MAX-Bestand",IF(CH1409=1,CI1409,IF(LEFT(Cockpit!$I$5,1)="B",AV1409,MAX(AV1409,H1409))),ROUNDUP(AT1409,0)))</f>
        <v>9</v>
      </c>
      <c r="AQ1409" s="50" t="n">
        <f aca="false">IF(BZ1409=1,0,ROUNDUP(AP1409/BY1409,0))</f>
        <v>1</v>
      </c>
      <c r="AR1409" s="52" t="n">
        <f aca="false">IF(CQ1409&gt;0,CQ1409*MAX(1,AP1409/X1409),IF(BZ1409=1,IF(AP1409&lt;=0,0,CD1409*MAX(1,IF(H1409&gt;0,AP1409/H1409,1))),IF(R1409&gt;0,AQ1409/R1409,0))/MAX(0.1,N(Parameter!$M$21)))</f>
        <v>0.0384615384615385</v>
      </c>
      <c r="AS1409" s="50" t="n">
        <f aca="false">AR1409*CB1409</f>
        <v>5.96153846153846</v>
      </c>
      <c r="AT1409" s="51" t="n">
        <f aca="false">IF(LEFT(Cockpit!$I$5,1)="A",H1409,IF(CH1409=1,(CK1409+CI1409)/2,IF(LEFT(Cockpit!$I$5,1)="B",(CK1409+AV1409)/2,MAX((CK1409+AV1409)/2,H1409))))</f>
        <v>8.5</v>
      </c>
      <c r="AU1409" s="50" t="n">
        <f aca="false">AT1409*G1409</f>
        <v>3211.3</v>
      </c>
      <c r="AV1409" s="50" t="n">
        <f aca="false">ROUNDUP(CK1409+MAX(CL1409,2*(J1409/IF(CG1409&gt;0,CG1409,MAX(0.1,N(Cockpit!$I$6)))-CK1409)),0)</f>
        <v>16</v>
      </c>
      <c r="AW1409" s="51" t="n">
        <f aca="false">IF(AS1409&gt;0,J1409/AS1409,-1)</f>
        <v>2.18064516129032</v>
      </c>
      <c r="AX1409" s="51" t="n">
        <f aca="false">IF(AND(OR(CF1409="L1",CF1409="L23",CF1409="LIFT"),AS1409&gt;0),SUMIFS($AS$7:$AS$1843,$CF$7:$CF$1843,CF1409,$AW$7:$AW$1843,"&gt;"&amp;AW1409)+SUMIFS($AS$7:$AS$1843,$CF$7:$CF$1843,CF1409,$AW$7:$AW$1843,AW1409,$BW$7:$BW$1843,"&lt;="&amp;BW1409),"")</f>
        <v>6639.12591575092</v>
      </c>
      <c r="AY1409" s="58" t="n">
        <f aca="false">IF(AX1409="",0,MAX(0,MIN(1,(IF(CF1409="L1",Parameter!$H$5,IF(CF1409="L23",Parameter!$H$6+Parameter!$H$7,Parameter!$H$5+Parameter!$H$6+Parameter!$H$7))-(AX1409-AS1409))/AS1409)))</f>
        <v>1</v>
      </c>
      <c r="AZ1409" s="50" t="n">
        <f aca="false">IF(LEFT(Cockpit!$O$5,1)="A",H1409,IF(Parameter!$E$30="MAX-Bestand",IF(CH1409=1,CI1409,IF(LEFT(Cockpit!$O$5,1)="B",BF1409,MAX(BF1409,H1409))),ROUNDUP(BD1409,0)))</f>
        <v>9</v>
      </c>
      <c r="BA1409" s="50" t="n">
        <f aca="false">IF(BZ1409=1,0,ROUNDUP(AZ1409/BY1409,0))</f>
        <v>1</v>
      </c>
      <c r="BB1409" s="52" t="n">
        <f aca="false">IF(CQ1409&gt;0,CQ1409*MAX(1,AZ1409/X1409),IF(BZ1409=1,IF(AZ1409&lt;=0,0,CD1409*MAX(1,IF(H1409&gt;0,AZ1409/H1409,1))),IF(R1409&gt;0,BA1409/R1409,0))/MAX(0.1,N(Parameter!$M$21)))</f>
        <v>0.0384615384615385</v>
      </c>
      <c r="BC1409" s="50" t="n">
        <f aca="false">BB1409*CB1409</f>
        <v>5.96153846153846</v>
      </c>
      <c r="BD1409" s="51" t="n">
        <f aca="false">IF(LEFT(Cockpit!$O$5,1)="A",H1409,IF(CH1409=1,(CK1409+CI1409)/2,IF(LEFT(Cockpit!$O$5,1)="B",(CK1409+BF1409)/2,MAX((CK1409+BF1409)/2,H1409))))</f>
        <v>8.5</v>
      </c>
      <c r="BE1409" s="50" t="n">
        <f aca="false">BD1409*G1409</f>
        <v>3211.3</v>
      </c>
      <c r="BF1409" s="50" t="n">
        <f aca="false">ROUNDUP(CK1409+MAX(CL1409,2*(J1409/IF(CG1409&gt;0,CG1409,MAX(0.1,N(Cockpit!$O$6)))-CK1409)),0)</f>
        <v>16</v>
      </c>
      <c r="BG1409" s="51" t="n">
        <f aca="false">IF(BC1409&gt;0,J1409/BC1409,-1)</f>
        <v>2.18064516129032</v>
      </c>
      <c r="BH1409" s="51" t="n">
        <f aca="false">IF(AND(OR(CF1409="L1",CF1409="L23",CF1409="LIFT"),BC1409&gt;0),SUMIFS($BC$7:$BC$1843,$CF$7:$CF$1843,CF1409,$BG$7:$BG$1843,"&gt;"&amp;BG1409)+SUMIFS($BC$7:$BC$1843,$CF$7:$CF$1843,CF1409,$BG$7:$BG$1843,BG1409,$BW$7:$BW$1843,"&lt;="&amp;BW1409),"")</f>
        <v>5717.28846153846</v>
      </c>
      <c r="BI1409" s="58" t="n">
        <f aca="false">IF(BH1409="",0,MAX(0,MIN(1,(IF(CF1409="L1",Parameter!$H$5,IF(CF1409="L23",Parameter!$H$6+Parameter!$H$7,Parameter!$H$5+Parameter!$H$6+Parameter!$H$7))-(BH1409-BC1409))/BC1409)))</f>
        <v>1</v>
      </c>
      <c r="BJ1409" s="48" t="str">
        <f aca="false">IF(AI1409&lt;=0,"",IF(CF1409="Aussen","Aussenlager",IF(CF1409="-","Nicht im Lift",IF(AO1409&gt;=1,"Lift",IF(AO1409&lt;=0,"Aussenlager","teilweise")))))</f>
        <v/>
      </c>
      <c r="BK1409" s="48" t="str">
        <f aca="false">IF(AS1409&lt;=0,"",IF(CF1409="Aussen","Aussenlager",IF(CF1409="-","Nicht im Lift",IF(AY1409&gt;=1,"Lift",IF(AY1409&lt;=0,"Aussenlager","teilweise")))))</f>
        <v>Lift</v>
      </c>
      <c r="BL1409" s="48" t="str">
        <f aca="false">IF(BC1409&lt;=0,"",IF(CF1409="Aussen","Aussenlager",IF(CF1409="-","Nicht im Lift",IF(BI1409&gt;=1,"Lift",IF(BI1409&lt;=0,"Aussenlager","teilweise")))))</f>
        <v>Lift</v>
      </c>
      <c r="BM1409" s="48" t="str">
        <f aca="false">IF(A1409="","",IF(BV1409=1,"Neu; ","")&amp;IF(AND(BV1409=0,BQ1409&lt;0),"negativer Bestand (Export "&amp;BQ1409&amp;"); ","")&amp;IF(J1409&lt;=0,"Kein Verbrauch; ","")&amp;IF(CQ1409&gt;0,"Lift "&amp;W1409&amp;" lt. Liftbericht (Fach "&amp;X1409&amp;" Stk); ",IF(CA1409=1,"Gebinde geschätzt ("&amp;T1409&amp;"); ",IF(BZ1409=1,"Lose – Tablare geschätzt; ","")))&amp;IF(H1409&gt;AV1409,"Überbestand "&amp;ROUND(H1409-AV1409,0)&amp;" Stk / CHF "&amp;ROUND((H1409-AV1409)*G1409,0)&amp;"; ","")&amp;IF(AND(CH1409=1,CI1409&lt;CJ1409),"MAX &lt; MB+LG; ","")&amp;IF(AND(CP1409&gt;0,CO1409*10&gt;CP1409),"zu hoch für Tablar; ","")&amp;IF(AND(BV1409=0,OR(CH1409=1,AA1409&lt;&gt;"",U1409&lt;&gt;"",V1409&lt;&gt;"",AB1409&lt;&gt;"")),"manuell übersteuert; ","")&amp;IF(AND(BZ1409=0,R1409=0),"Gebinde unbekannt / Stellmass fehlt; ","")&amp;IF(AND(BZ1409=0,N(V1409)&lt;=0,N(Q1409)&lt;=0),"Menge pro Gebinde fehlt (Ist = 1 Gebinde); ","")&amp;BU1409)</f>
        <v>negativer Bestand (Export -13); Gebinde geschätzt (Klein); Menge pro Gebinde fehlt (Ist = 1 Gebinde); Neu</v>
      </c>
      <c r="BN1409" s="48"/>
      <c r="BO1409" s="48"/>
      <c r="BP1409" s="55"/>
      <c r="BQ1409" s="50" t="n">
        <v>-13</v>
      </c>
      <c r="BR1409" s="50" t="n">
        <v>13</v>
      </c>
      <c r="BS1409" s="49" t="n">
        <v>-4911.4</v>
      </c>
      <c r="BT1409" s="50" t="n">
        <v>13</v>
      </c>
      <c r="BU1409" s="48" t="s">
        <v>635</v>
      </c>
      <c r="BV1409" s="53" t="n">
        <v>0</v>
      </c>
      <c r="BW1409" s="53" t="n">
        <v>1409</v>
      </c>
      <c r="BX1409" s="48" t="str">
        <f aca="false">IF(U1409&lt;&gt;"",UPPER(TRIM(U1409)),IF(CA1409=1,UPPER(VLOOKUP(T1409,Parameter!$I$27:$K$29,2,0)),IF(P1409="","LOSE",P1409)))</f>
        <v>S51</v>
      </c>
      <c r="BY1409" s="50" t="n">
        <f aca="false">IF(BX1409="LOSE",1,IF(N(V1409)&gt;0,V1409,IF(CA1409=1,MAX(1,N(VLOOKUP(T1409,Parameter!$I$27:$K$29,3,0)),H1409,N(N1409)),IF(N(Q1409)&gt;0,Q1409,MAX(1,H1409)))))</f>
        <v>20</v>
      </c>
      <c r="BZ1409" s="53" t="n">
        <f aca="false">IF(BX1409="LOSE",1,0)</f>
        <v>0</v>
      </c>
      <c r="CA1409" s="53" t="n">
        <f aca="false">IF(AND(U1409="",OR(P1409="",P1409="LOSE"),T1409&lt;&gt;"",N(S1409)&lt;=0,ISNUMBER(MATCH(T1409,Parameter!$I$27:$I$29,0))),1,0)</f>
        <v>1</v>
      </c>
      <c r="CB1409" s="53" t="n">
        <f aca="false">IF(CQ1409&gt;0,INDEX(Parameter!$H$5:$H$7,W1409)/INDEX(Parameter!$E$5:$E$7,W1409),IF(AND(BZ1409=0,N(IFERROR(VLOOKUP(BX1409,'Gebinde-Kategorie'!$A$5:$N$45,14,0),0))&gt;0),VLOOKUP(BX1409,'Gebinde-Kategorie'!$A$5:$N$45,14,0)*10+Parameter!$M$23,Parameter!$M$24))</f>
        <v>155</v>
      </c>
      <c r="CC1409" s="48" t="n">
        <f aca="false">IF(AND(Parameter!$B$19="Ja",E1409&lt;&gt;"",ISNUMBER(MATCH(E1409,Parameter!$I$35:$I$52,0))),VLOOKUP(E1409,Parameter!$I$35:$J$52,2,0),IFERROR(VLOOKUP(D1409,Parameter!$A$35:$C$64,2,0),"Nein"))</f>
        <v>1</v>
      </c>
      <c r="CD1409" s="52" t="n">
        <f aca="false">IF(BZ1409=0,0,IF(N(S1409)&gt;0,S1409,IFERROR(VLOOKUP(D1409,Parameter!$A$35:$C$64,3,0)+0,0)))</f>
        <v>0</v>
      </c>
      <c r="CE1409" s="48" t="n">
        <f aca="false">IF(AA1409&lt;&gt;"",AA1409,Z1409)</f>
        <v>1</v>
      </c>
      <c r="CF1409" s="48" t="str">
        <f aca="false">IF(OR(CE1409=1,CE1409=2,CE1409=3),IF(Parameter!$E$27="Ja","LIFT",IF(CE1409=1,"L1","L23")),IF(CE1409="Aussen","Aussen","-"))</f>
        <v>LIFT</v>
      </c>
      <c r="CG1409" s="59" t="n">
        <f aca="false">IF(N(AB1409)&gt;0,AB1409,0)</f>
        <v>0</v>
      </c>
      <c r="CH1409" s="53" t="n">
        <f aca="false">IF(ISNUMBER(AE1409),1,0)</f>
        <v>0</v>
      </c>
      <c r="CI1409" s="50" t="n">
        <f aca="false">N(AE1409)</f>
        <v>0</v>
      </c>
      <c r="CJ1409" s="50" t="n">
        <f aca="false">N(M1409)+N(N1409)</f>
        <v>16</v>
      </c>
      <c r="CK1409" s="50" t="n">
        <f aca="false">N(M1409)</f>
        <v>1</v>
      </c>
      <c r="CL1409" s="50" t="n">
        <f aca="false">N(N1409)</f>
        <v>15</v>
      </c>
      <c r="CM1409" s="50" t="n">
        <f aca="false">ROUNDUP(H1409/BY1409,0)</f>
        <v>0</v>
      </c>
      <c r="CN1409" s="50" t="n">
        <f aca="false">ROUNDUP(CI1409/BY1409,0)</f>
        <v>0</v>
      </c>
      <c r="CO1409" s="53" t="n">
        <f aca="false">IF(BZ1409=1,0,IFERROR(VLOOKUP(BX1409,'Gebinde-Kategorie'!$A$5:$N$45,5,0)+0,0))</f>
        <v>11</v>
      </c>
      <c r="CP1409" s="53" t="n">
        <f aca="false">IFERROR(IF(OR(CE1409=1,CE1409=2,CE1409=3),N(INDEX(Parameter!$I$5:$I$7,CE1409)),0),0)</f>
        <v>0</v>
      </c>
      <c r="CQ1409" s="52" t="n">
        <f aca="false">IF(AND(Parameter!$B$21="Ja",ISNUMBER(W1409),N(X1409)&gt;0),IFERROR(N(INDEX(Parameter!$L$5:$L$7,W1409))*INDEX(Parameter!$E$5:$E$7,W1409)*X1409/SUMIFS($X$7:$X$1843,$W$7:$W$1843,W1409),0),0)</f>
        <v>0</v>
      </c>
    </row>
    <row r="1410" customFormat="false" ht="15" hidden="false" customHeight="false" outlineLevel="0" collapsed="false">
      <c r="A1410" s="48" t="s">
        <v>2484</v>
      </c>
      <c r="B1410" s="48" t="s">
        <v>2485</v>
      </c>
      <c r="C1410" s="48" t="s">
        <v>173</v>
      </c>
      <c r="D1410" s="48" t="s">
        <v>193</v>
      </c>
      <c r="E1410" s="48" t="s">
        <v>194</v>
      </c>
      <c r="F1410" s="48" t="s">
        <v>227</v>
      </c>
      <c r="G1410" s="49" t="n">
        <v>249</v>
      </c>
      <c r="H1410" s="50" t="n">
        <f aca="false">MAX(0,IF(AND(Parameter!$B$21="Ja",ISNUMBER(Y1410)),Y1410,IF(Parameter!$B$20="Jahresanfang 2025 + Export",BR1410+BQ1410,BQ1410)))</f>
        <v>21</v>
      </c>
      <c r="I1410" s="50" t="n">
        <f aca="false">H1410*G1410</f>
        <v>5229</v>
      </c>
      <c r="J1410" s="50" t="n">
        <f aca="false">BT1410*Parameter!$B$18</f>
        <v>225</v>
      </c>
      <c r="K1410" s="51" t="n">
        <v>53</v>
      </c>
      <c r="L1410" s="52" t="n">
        <v>4.24528301886793</v>
      </c>
      <c r="M1410" s="50" t="n">
        <v>13</v>
      </c>
      <c r="N1410" s="50" t="n">
        <v>25</v>
      </c>
      <c r="O1410" s="53" t="n">
        <v>21</v>
      </c>
      <c r="P1410" s="48" t="s">
        <v>242</v>
      </c>
      <c r="Q1410" s="50" t="n">
        <v>88</v>
      </c>
      <c r="R1410" s="53" t="n">
        <f aca="false">IF(BZ1410=1,0,IFERROR(VLOOKUP(BX1410,'Gebinde-Kategorie'!$A$5:$N$45,13,0)+0,0))</f>
        <v>26</v>
      </c>
      <c r="S1410" s="54"/>
      <c r="T1410" s="55"/>
      <c r="U1410" s="55"/>
      <c r="V1410" s="55"/>
      <c r="W1410" s="48"/>
      <c r="X1410" s="50"/>
      <c r="Y1410" s="50"/>
      <c r="Z1410" s="48" t="n">
        <f aca="false">IF(A1410="","",IF(AND(Parameter!$B$21="Ja",ISNUMBER(W1410)),W1410,IF(CC1410="2+3",IF(ISNUMBER(SEARCH("grosser Artikel",BU1410)),2,IFERROR(VLOOKUP(BX1410,Parameter!$F$35:$G$64,2,0),2)),IF(OR(CC1410="Nein",CC1410=""),"-",CC1410))))</f>
        <v>3</v>
      </c>
      <c r="AA1410" s="55"/>
      <c r="AB1410" s="56"/>
      <c r="AC1410" s="50" t="n">
        <f aca="false">AV1410</f>
        <v>137</v>
      </c>
      <c r="AD1410" s="50" t="n">
        <f aca="false">MAX(AV1410,H1410)</f>
        <v>137</v>
      </c>
      <c r="AE1410" s="57"/>
      <c r="AF1410" s="50" t="n">
        <f aca="false">IF(LEFT(Cockpit!$C$5,1)="A",H1410,IF(Parameter!$E$30="MAX-Bestand",IF(CH1410=1,CI1410,IF(LEFT(Cockpit!$C$5,1)="B",AL1410,MAX(AL1410,H1410))),ROUNDUP(AJ1410,0)))</f>
        <v>21</v>
      </c>
      <c r="AG1410" s="50" t="n">
        <f aca="false">IF(BZ1410=1,0,ROUNDUP(AF1410/BY1410,0))</f>
        <v>1</v>
      </c>
      <c r="AH1410" s="52" t="n">
        <f aca="false">IF(CQ1410&gt;0,CQ1410*MAX(1,AF1410/X1410),IF(BZ1410=1,IF(AF1410&lt;=0,0,CD1410*MAX(1,IF(H1410&gt;0,AF1410/H1410,1))),IF(R1410&gt;0,AG1410/R1410,0))/MAX(0.1,N(Parameter!$M$21)))</f>
        <v>0.0384615384615385</v>
      </c>
      <c r="AI1410" s="50" t="n">
        <f aca="false">AH1410*CB1410</f>
        <v>9.42307692307692</v>
      </c>
      <c r="AJ1410" s="51" t="n">
        <f aca="false">IF(LEFT(Cockpit!$C$5,1)="A",H1410,IF(CH1410=1,(CK1410+CI1410)/2,IF(LEFT(Cockpit!$C$5,1)="B",(CK1410+AL1410)/2,MAX((CK1410+AL1410)/2,H1410))))</f>
        <v>21</v>
      </c>
      <c r="AK1410" s="50" t="n">
        <f aca="false">AJ1410*G1410</f>
        <v>5229</v>
      </c>
      <c r="AL1410" s="50" t="n">
        <f aca="false">ROUNDUP(CK1410+MAX(CL1410,2*(J1410/IF(CG1410&gt;0,CG1410,MAX(0.1,N(Cockpit!$C$6)))-CK1410)),0)</f>
        <v>137</v>
      </c>
      <c r="AM1410" s="51" t="n">
        <f aca="false">IF(AI1410&gt;0,J1410/AI1410,-1)</f>
        <v>23.8775510204082</v>
      </c>
      <c r="AN1410" s="51" t="n">
        <f aca="false">IF(AND(OR(CF1410="L1",CF1410="L23",CF1410="LIFT"),AI1410&gt;0),SUMIFS($AI$7:$AI$1843,$CF$7:$CF$1843,CF1410,$AM$7:$AM$1843,"&gt;"&amp;AM1410)+SUMIFS($AI$7:$AI$1843,$CF$7:$CF$1843,CF1410,$AM$7:$AM$1843,AM1410,$BW$7:$BW$1843,"&lt;="&amp;BW1410),"")</f>
        <v>1559.50228937729</v>
      </c>
      <c r="AO1410" s="58" t="n">
        <f aca="false">IF(AN1410="",0,MAX(0,MIN(1,(IF(CF1410="L1",Parameter!$H$5,IF(CF1410="L23",Parameter!$H$6+Parameter!$H$7,Parameter!$H$5+Parameter!$H$6+Parameter!$H$7))-(AN1410-AI1410))/AI1410)))</f>
        <v>1</v>
      </c>
      <c r="AP1410" s="50" t="n">
        <f aca="false">IF(LEFT(Cockpit!$I$5,1)="A",H1410,IF(Parameter!$E$30="MAX-Bestand",IF(CH1410=1,CI1410,IF(LEFT(Cockpit!$I$5,1)="B",AV1410,MAX(AV1410,H1410))),ROUNDUP(AT1410,0)))</f>
        <v>75</v>
      </c>
      <c r="AQ1410" s="50" t="n">
        <f aca="false">IF(BZ1410=1,0,ROUNDUP(AP1410/BY1410,0))</f>
        <v>1</v>
      </c>
      <c r="AR1410" s="52" t="n">
        <f aca="false">IF(CQ1410&gt;0,CQ1410*MAX(1,AP1410/X1410),IF(BZ1410=1,IF(AP1410&lt;=0,0,CD1410*MAX(1,IF(H1410&gt;0,AP1410/H1410,1))),IF(R1410&gt;0,AQ1410/R1410,0))/MAX(0.1,N(Parameter!$M$21)))</f>
        <v>0.0384615384615385</v>
      </c>
      <c r="AS1410" s="50" t="n">
        <f aca="false">AR1410*CB1410</f>
        <v>9.42307692307692</v>
      </c>
      <c r="AT1410" s="51" t="n">
        <f aca="false">IF(LEFT(Cockpit!$I$5,1)="A",H1410,IF(CH1410=1,(CK1410+CI1410)/2,IF(LEFT(Cockpit!$I$5,1)="B",(CK1410+AV1410)/2,MAX((CK1410+AV1410)/2,H1410))))</f>
        <v>75</v>
      </c>
      <c r="AU1410" s="50" t="n">
        <f aca="false">AT1410*G1410</f>
        <v>18675</v>
      </c>
      <c r="AV1410" s="50" t="n">
        <f aca="false">ROUNDUP(CK1410+MAX(CL1410,2*(J1410/IF(CG1410&gt;0,CG1410,MAX(0.1,N(Cockpit!$I$6)))-CK1410)),0)</f>
        <v>137</v>
      </c>
      <c r="AW1410" s="51" t="n">
        <f aca="false">IF(AS1410&gt;0,J1410/AS1410,-1)</f>
        <v>23.8775510204082</v>
      </c>
      <c r="AX1410" s="51" t="n">
        <f aca="false">IF(AND(OR(CF1410="L1",CF1410="L23",CF1410="LIFT"),AS1410&gt;0),SUMIFS($AS$7:$AS$1843,$CF$7:$CF$1843,CF1410,$AW$7:$AW$1843,"&gt;"&amp;AW1410)+SUMIFS($AS$7:$AS$1843,$CF$7:$CF$1843,CF1410,$AW$7:$AW$1843,AW1410,$BW$7:$BW$1843,"&lt;="&amp;BW1410),"")</f>
        <v>2185.34111721612</v>
      </c>
      <c r="AY1410" s="58" t="n">
        <f aca="false">IF(AX1410="",0,MAX(0,MIN(1,(IF(CF1410="L1",Parameter!$H$5,IF(CF1410="L23",Parameter!$H$6+Parameter!$H$7,Parameter!$H$5+Parameter!$H$6+Parameter!$H$7))-(AX1410-AS1410))/AS1410)))</f>
        <v>1</v>
      </c>
      <c r="AZ1410" s="50" t="n">
        <f aca="false">IF(LEFT(Cockpit!$O$5,1)="A",H1410,IF(Parameter!$E$30="MAX-Bestand",IF(CH1410=1,CI1410,IF(LEFT(Cockpit!$O$5,1)="B",BF1410,MAX(BF1410,H1410))),ROUNDUP(BD1410,0)))</f>
        <v>57</v>
      </c>
      <c r="BA1410" s="50" t="n">
        <f aca="false">IF(BZ1410=1,0,ROUNDUP(AZ1410/BY1410,0))</f>
        <v>1</v>
      </c>
      <c r="BB1410" s="52" t="n">
        <f aca="false">IF(CQ1410&gt;0,CQ1410*MAX(1,AZ1410/X1410),IF(BZ1410=1,IF(AZ1410&lt;=0,0,CD1410*MAX(1,IF(H1410&gt;0,AZ1410/H1410,1))),IF(R1410&gt;0,BA1410/R1410,0))/MAX(0.1,N(Parameter!$M$21)))</f>
        <v>0.0384615384615385</v>
      </c>
      <c r="BC1410" s="50" t="n">
        <f aca="false">BB1410*CB1410</f>
        <v>9.42307692307692</v>
      </c>
      <c r="BD1410" s="51" t="n">
        <f aca="false">IF(LEFT(Cockpit!$O$5,1)="A",H1410,IF(CH1410=1,(CK1410+CI1410)/2,IF(LEFT(Cockpit!$O$5,1)="B",(CK1410+BF1410)/2,MAX((CK1410+BF1410)/2,H1410))))</f>
        <v>56.5</v>
      </c>
      <c r="BE1410" s="50" t="n">
        <f aca="false">BD1410*G1410</f>
        <v>14068.5</v>
      </c>
      <c r="BF1410" s="50" t="n">
        <f aca="false">ROUNDUP(CK1410+MAX(CL1410,2*(J1410/IF(CG1410&gt;0,CG1410,MAX(0.1,N(Cockpit!$O$6)))-CK1410)),0)</f>
        <v>100</v>
      </c>
      <c r="BG1410" s="51" t="n">
        <f aca="false">IF(BC1410&gt;0,J1410/BC1410,-1)</f>
        <v>23.8775510204082</v>
      </c>
      <c r="BH1410" s="51" t="n">
        <f aca="false">IF(AND(OR(CF1410="L1",CF1410="L23",CF1410="LIFT"),BC1410&gt;0),SUMIFS($BC$7:$BC$1843,$CF$7:$CF$1843,CF1410,$BG$7:$BG$1843,"&gt;"&amp;BG1410)+SUMIFS($BC$7:$BC$1843,$CF$7:$CF$1843,CF1410,$BG$7:$BG$1843,BG1410,$BW$7:$BW$1843,"&lt;="&amp;BW1410),"")</f>
        <v>2103.2967032967</v>
      </c>
      <c r="BI1410" s="58" t="n">
        <f aca="false">IF(BH1410="",0,MAX(0,MIN(1,(IF(CF1410="L1",Parameter!$H$5,IF(CF1410="L23",Parameter!$H$6+Parameter!$H$7,Parameter!$H$5+Parameter!$H$6+Parameter!$H$7))-(BH1410-BC1410))/BC1410)))</f>
        <v>1</v>
      </c>
      <c r="BJ1410" s="48" t="str">
        <f aca="false">IF(AI1410&lt;=0,"",IF(CF1410="Aussen","Aussenlager",IF(CF1410="-","Nicht im Lift",IF(AO1410&gt;=1,"Lift",IF(AO1410&lt;=0,"Aussenlager","teilweise")))))</f>
        <v>Lift</v>
      </c>
      <c r="BK1410" s="48" t="str">
        <f aca="false">IF(AS1410&lt;=0,"",IF(CF1410="Aussen","Aussenlager",IF(CF1410="-","Nicht im Lift",IF(AY1410&gt;=1,"Lift",IF(AY1410&lt;=0,"Aussenlager","teilweise")))))</f>
        <v>Lift</v>
      </c>
      <c r="BL1410" s="48" t="str">
        <f aca="false">IF(BC1410&lt;=0,"",IF(CF1410="Aussen","Aussenlager",IF(CF1410="-","Nicht im Lift",IF(BI1410&gt;=1,"Lift",IF(BI1410&lt;=0,"Aussenlager","teilweise")))))</f>
        <v>Lift</v>
      </c>
      <c r="BM1410" s="48" t="str">
        <f aca="false">IF(A1410="","",IF(BV1410=1,"Neu; ","")&amp;IF(AND(BV1410=0,BQ1410&lt;0),"negativer Bestand (Export "&amp;BQ1410&amp;"); ","")&amp;IF(J1410&lt;=0,"Kein Verbrauch; ","")&amp;IF(CQ1410&gt;0,"Lift "&amp;W1410&amp;" lt. Liftbericht (Fach "&amp;X1410&amp;" Stk); ",IF(CA1410=1,"Gebinde geschätzt ("&amp;T1410&amp;"); ",IF(BZ1410=1,"Lose – Tablare geschätzt; ","")))&amp;IF(H1410&gt;AV1410,"Überbestand "&amp;ROUND(H1410-AV1410,0)&amp;" Stk / CHF "&amp;ROUND((H1410-AV1410)*G1410,0)&amp;"; ","")&amp;IF(AND(CH1410=1,CI1410&lt;CJ1410),"MAX &lt; MB+LG; ","")&amp;IF(AND(CP1410&gt;0,CO1410*10&gt;CP1410),"zu hoch für Tablar; ","")&amp;IF(AND(BV1410=0,OR(CH1410=1,AA1410&lt;&gt;"",U1410&lt;&gt;"",V1410&lt;&gt;"",AB1410&lt;&gt;"")),"manuell übersteuert; ","")&amp;IF(AND(BZ1410=0,R1410=0),"Gebinde unbekannt / Stellmass fehlt; ","")&amp;IF(AND(BZ1410=0,N(V1410)&lt;=0,N(Q1410)&lt;=0),"Menge pro Gebinde fehlt (Ist = 1 Gebinde); ","")&amp;BU1410)</f>
        <v>negativer Bestand (Export -22); </v>
      </c>
      <c r="BN1410" s="48"/>
      <c r="BO1410" s="48"/>
      <c r="BP1410" s="55"/>
      <c r="BQ1410" s="50" t="n">
        <v>-22</v>
      </c>
      <c r="BR1410" s="50" t="n">
        <v>43</v>
      </c>
      <c r="BS1410" s="49" t="n">
        <v>-4958.52999999999</v>
      </c>
      <c r="BT1410" s="50" t="n">
        <v>225</v>
      </c>
      <c r="BU1410" s="48"/>
      <c r="BV1410" s="53" t="n">
        <v>0</v>
      </c>
      <c r="BW1410" s="53" t="n">
        <v>1410</v>
      </c>
      <c r="BX1410" s="48" t="str">
        <f aca="false">IF(U1410&lt;&gt;"",UPPER(TRIM(U1410)),IF(CA1410=1,UPPER(VLOOKUP(T1410,Parameter!$I$27:$K$29,2,0)),IF(P1410="","LOSE",P1410)))</f>
        <v>S52</v>
      </c>
      <c r="BY1410" s="50" t="n">
        <f aca="false">IF(BX1410="LOSE",1,IF(N(V1410)&gt;0,V1410,IF(CA1410=1,MAX(1,N(VLOOKUP(T1410,Parameter!$I$27:$K$29,3,0)),H1410,N(N1410)),IF(N(Q1410)&gt;0,Q1410,MAX(1,H1410)))))</f>
        <v>88</v>
      </c>
      <c r="BZ1410" s="53" t="n">
        <f aca="false">IF(BX1410="LOSE",1,0)</f>
        <v>0</v>
      </c>
      <c r="CA1410" s="53" t="n">
        <f aca="false">IF(AND(U1410="",OR(P1410="",P1410="LOSE"),T1410&lt;&gt;"",N(S1410)&lt;=0,ISNUMBER(MATCH(T1410,Parameter!$I$27:$I$29,0))),1,0)</f>
        <v>0</v>
      </c>
      <c r="CB1410" s="53" t="n">
        <f aca="false">IF(CQ1410&gt;0,INDEX(Parameter!$H$5:$H$7,W1410)/INDEX(Parameter!$E$5:$E$7,W1410),IF(AND(BZ1410=0,N(IFERROR(VLOOKUP(BX1410,'Gebinde-Kategorie'!$A$5:$N$45,14,0),0))&gt;0),VLOOKUP(BX1410,'Gebinde-Kategorie'!$A$5:$N$45,14,0)*10+Parameter!$M$23,Parameter!$M$24))</f>
        <v>245</v>
      </c>
      <c r="CC1410" s="48" t="str">
        <f aca="false">IF(AND(Parameter!$B$19="Ja",E1410&lt;&gt;"",ISNUMBER(MATCH(E1410,Parameter!$I$35:$I$52,0))),VLOOKUP(E1410,Parameter!$I$35:$J$52,2,0),IFERROR(VLOOKUP(D1410,Parameter!$A$35:$C$64,2,0),"Nein"))</f>
        <v>2+3</v>
      </c>
      <c r="CD1410" s="52" t="n">
        <f aca="false">IF(BZ1410=0,0,IF(N(S1410)&gt;0,S1410,IFERROR(VLOOKUP(D1410,Parameter!$A$35:$C$64,3,0)+0,0)))</f>
        <v>0</v>
      </c>
      <c r="CE1410" s="48" t="n">
        <f aca="false">IF(AA1410&lt;&gt;"",AA1410,Z1410)</f>
        <v>3</v>
      </c>
      <c r="CF1410" s="48" t="str">
        <f aca="false">IF(OR(CE1410=1,CE1410=2,CE1410=3),IF(Parameter!$E$27="Ja","LIFT",IF(CE1410=1,"L1","L23")),IF(CE1410="Aussen","Aussen","-"))</f>
        <v>LIFT</v>
      </c>
      <c r="CG1410" s="59" t="n">
        <f aca="false">IF(N(AB1410)&gt;0,AB1410,0)</f>
        <v>0</v>
      </c>
      <c r="CH1410" s="53" t="n">
        <f aca="false">IF(ISNUMBER(AE1410),1,0)</f>
        <v>0</v>
      </c>
      <c r="CI1410" s="50" t="n">
        <f aca="false">N(AE1410)</f>
        <v>0</v>
      </c>
      <c r="CJ1410" s="50" t="n">
        <f aca="false">N(M1410)+N(N1410)</f>
        <v>38</v>
      </c>
      <c r="CK1410" s="50" t="n">
        <f aca="false">N(M1410)</f>
        <v>13</v>
      </c>
      <c r="CL1410" s="50" t="n">
        <f aca="false">N(N1410)</f>
        <v>25</v>
      </c>
      <c r="CM1410" s="50" t="n">
        <f aca="false">ROUNDUP(H1410/BY1410,0)</f>
        <v>1</v>
      </c>
      <c r="CN1410" s="50" t="n">
        <f aca="false">ROUNDUP(CI1410/BY1410,0)</f>
        <v>0</v>
      </c>
      <c r="CO1410" s="53" t="n">
        <f aca="false">IF(BZ1410=1,0,IFERROR(VLOOKUP(BX1410,'Gebinde-Kategorie'!$A$5:$N$45,5,0)+0,0))</f>
        <v>21</v>
      </c>
      <c r="CP1410" s="53" t="n">
        <f aca="false">IFERROR(IF(OR(CE1410=1,CE1410=2,CE1410=3),N(INDEX(Parameter!$I$5:$I$7,CE1410)),0),0)</f>
        <v>0</v>
      </c>
      <c r="CQ1410" s="52" t="n">
        <f aca="false">IF(AND(Parameter!$B$21="Ja",ISNUMBER(W1410),N(X1410)&gt;0),IFERROR(N(INDEX(Parameter!$L$5:$L$7,W1410))*INDEX(Parameter!$E$5:$E$7,W1410)*X1410/SUMIFS($X$7:$X$1843,$W$7:$W$1843,W1410),0),0)</f>
        <v>0</v>
      </c>
    </row>
    <row r="1411" customFormat="false" ht="15" hidden="false" customHeight="false" outlineLevel="0" collapsed="false">
      <c r="A1411" s="48" t="s">
        <v>2486</v>
      </c>
      <c r="B1411" s="48" t="s">
        <v>2487</v>
      </c>
      <c r="C1411" s="48" t="s">
        <v>173</v>
      </c>
      <c r="D1411" s="48" t="s">
        <v>182</v>
      </c>
      <c r="E1411" s="48" t="s">
        <v>175</v>
      </c>
      <c r="F1411" s="48" t="s">
        <v>227</v>
      </c>
      <c r="G1411" s="49" t="n">
        <v>136.16</v>
      </c>
      <c r="H1411" s="50" t="n">
        <f aca="false">MAX(0,IF(AND(Parameter!$B$21="Ja",ISNUMBER(Y1411)),Y1411,IF(Parameter!$B$20="Jahresanfang 2025 + Export",BR1411+BQ1411,BQ1411)))</f>
        <v>27</v>
      </c>
      <c r="I1411" s="50" t="n">
        <f aca="false">H1411*G1411</f>
        <v>3676.32</v>
      </c>
      <c r="J1411" s="50" t="n">
        <f aca="false">BT1411*Parameter!$B$18</f>
        <v>88</v>
      </c>
      <c r="K1411" s="51" t="n">
        <v>41.5</v>
      </c>
      <c r="L1411" s="52" t="n">
        <v>2.12048192771084</v>
      </c>
      <c r="M1411" s="50" t="n">
        <v>20</v>
      </c>
      <c r="N1411" s="50" t="n">
        <v>30</v>
      </c>
      <c r="O1411" s="53" t="n">
        <v>70</v>
      </c>
      <c r="P1411" s="48" t="s">
        <v>183</v>
      </c>
      <c r="Q1411" s="50" t="n">
        <v>80</v>
      </c>
      <c r="R1411" s="53" t="n">
        <f aca="false">IF(BZ1411=1,0,IFERROR(VLOOKUP(BX1411,'Gebinde-Kategorie'!$A$5:$N$45,13,0)+0,0))</f>
        <v>6</v>
      </c>
      <c r="S1411" s="54"/>
      <c r="T1411" s="55"/>
      <c r="U1411" s="55"/>
      <c r="V1411" s="55"/>
      <c r="W1411" s="48"/>
      <c r="X1411" s="50"/>
      <c r="Y1411" s="50"/>
      <c r="Z1411" s="48" t="n">
        <f aca="false">IF(A1411="","",IF(AND(Parameter!$B$21="Ja",ISNUMBER(W1411)),W1411,IF(CC1411="2+3",IF(ISNUMBER(SEARCH("grosser Artikel",BU1411)),2,IFERROR(VLOOKUP(BX1411,Parameter!$F$35:$G$64,2,0),2)),IF(OR(CC1411="Nein",CC1411=""),"-",CC1411))))</f>
        <v>1</v>
      </c>
      <c r="AA1411" s="55"/>
      <c r="AB1411" s="56"/>
      <c r="AC1411" s="50" t="n">
        <f aca="false">AV1411</f>
        <v>50</v>
      </c>
      <c r="AD1411" s="50" t="n">
        <f aca="false">MAX(AV1411,H1411)</f>
        <v>50</v>
      </c>
      <c r="AE1411" s="57"/>
      <c r="AF1411" s="50" t="n">
        <f aca="false">IF(LEFT(Cockpit!$C$5,1)="A",H1411,IF(Parameter!$E$30="MAX-Bestand",IF(CH1411=1,CI1411,IF(LEFT(Cockpit!$C$5,1)="B",AL1411,MAX(AL1411,H1411))),ROUNDUP(AJ1411,0)))</f>
        <v>27</v>
      </c>
      <c r="AG1411" s="50" t="n">
        <f aca="false">IF(BZ1411=1,0,ROUNDUP(AF1411/BY1411,0))</f>
        <v>1</v>
      </c>
      <c r="AH1411" s="52" t="n">
        <f aca="false">IF(CQ1411&gt;0,CQ1411*MAX(1,AF1411/X1411),IF(BZ1411=1,IF(AF1411&lt;=0,0,CD1411*MAX(1,IF(H1411&gt;0,AF1411/H1411,1))),IF(R1411&gt;0,AG1411/R1411,0))/MAX(0.1,N(Parameter!$M$21)))</f>
        <v>0.166666666666667</v>
      </c>
      <c r="AI1411" s="50" t="n">
        <f aca="false">AH1411*CB1411</f>
        <v>39.1666666666667</v>
      </c>
      <c r="AJ1411" s="51" t="n">
        <f aca="false">IF(LEFT(Cockpit!$C$5,1)="A",H1411,IF(CH1411=1,(CK1411+CI1411)/2,IF(LEFT(Cockpit!$C$5,1)="B",(CK1411+AL1411)/2,MAX((CK1411+AL1411)/2,H1411))))</f>
        <v>27</v>
      </c>
      <c r="AK1411" s="50" t="n">
        <f aca="false">AJ1411*G1411</f>
        <v>3676.32</v>
      </c>
      <c r="AL1411" s="50" t="n">
        <f aca="false">ROUNDUP(CK1411+MAX(CL1411,2*(J1411/IF(CG1411&gt;0,CG1411,MAX(0.1,N(Cockpit!$C$6)))-CK1411)),0)</f>
        <v>50</v>
      </c>
      <c r="AM1411" s="51" t="n">
        <f aca="false">IF(AI1411&gt;0,J1411/AI1411,-1)</f>
        <v>2.2468085106383</v>
      </c>
      <c r="AN1411" s="51" t="n">
        <f aca="false">IF(AND(OR(CF1411="L1",CF1411="L23",CF1411="LIFT"),AI1411&gt;0),SUMIFS($AI$7:$AI$1843,$CF$7:$CF$1843,CF1411,$AM$7:$AM$1843,"&gt;"&amp;AM1411)+SUMIFS($AI$7:$AI$1843,$CF$7:$CF$1843,CF1411,$AM$7:$AM$1843,AM1411,$BW$7:$BW$1843,"&lt;="&amp;BW1411),"")</f>
        <v>5682.30815018315</v>
      </c>
      <c r="AO1411" s="58" t="n">
        <f aca="false">IF(AN1411="",0,MAX(0,MIN(1,(IF(CF1411="L1",Parameter!$H$5,IF(CF1411="L23",Parameter!$H$6+Parameter!$H$7,Parameter!$H$5+Parameter!$H$6+Parameter!$H$7))-(AN1411-AI1411))/AI1411)))</f>
        <v>1</v>
      </c>
      <c r="AP1411" s="50" t="n">
        <f aca="false">IF(LEFT(Cockpit!$I$5,1)="A",H1411,IF(Parameter!$E$30="MAX-Bestand",IF(CH1411=1,CI1411,IF(LEFT(Cockpit!$I$5,1)="B",AV1411,MAX(AV1411,H1411))),ROUNDUP(AT1411,0)))</f>
        <v>35</v>
      </c>
      <c r="AQ1411" s="50" t="n">
        <f aca="false">IF(BZ1411=1,0,ROUNDUP(AP1411/BY1411,0))</f>
        <v>1</v>
      </c>
      <c r="AR1411" s="52" t="n">
        <f aca="false">IF(CQ1411&gt;0,CQ1411*MAX(1,AP1411/X1411),IF(BZ1411=1,IF(AP1411&lt;=0,0,CD1411*MAX(1,IF(H1411&gt;0,AP1411/H1411,1))),IF(R1411&gt;0,AQ1411/R1411,0))/MAX(0.1,N(Parameter!$M$21)))</f>
        <v>0.166666666666667</v>
      </c>
      <c r="AS1411" s="50" t="n">
        <f aca="false">AR1411*CB1411</f>
        <v>39.1666666666667</v>
      </c>
      <c r="AT1411" s="51" t="n">
        <f aca="false">IF(LEFT(Cockpit!$I$5,1)="A",H1411,IF(CH1411=1,(CK1411+CI1411)/2,IF(LEFT(Cockpit!$I$5,1)="B",(CK1411+AV1411)/2,MAX((CK1411+AV1411)/2,H1411))))</f>
        <v>35</v>
      </c>
      <c r="AU1411" s="50" t="n">
        <f aca="false">AT1411*G1411</f>
        <v>4765.6</v>
      </c>
      <c r="AV1411" s="50" t="n">
        <f aca="false">ROUNDUP(CK1411+MAX(CL1411,2*(J1411/IF(CG1411&gt;0,CG1411,MAX(0.1,N(Cockpit!$I$6)))-CK1411)),0)</f>
        <v>50</v>
      </c>
      <c r="AW1411" s="51" t="n">
        <f aca="false">IF(AS1411&gt;0,J1411/AS1411,-1)</f>
        <v>2.2468085106383</v>
      </c>
      <c r="AX1411" s="51" t="n">
        <f aca="false">IF(AND(OR(CF1411="L1",CF1411="L23",CF1411="LIFT"),AS1411&gt;0),SUMIFS($AS$7:$AS$1843,$CF$7:$CF$1843,CF1411,$AW$7:$AW$1843,"&gt;"&amp;AW1411)+SUMIFS($AS$7:$AS$1843,$CF$7:$CF$1843,CF1411,$AW$7:$AW$1843,AW1411,$BW$7:$BW$1843,"&lt;="&amp;BW1411),"")</f>
        <v>6528.86950549451</v>
      </c>
      <c r="AY1411" s="58" t="n">
        <f aca="false">IF(AX1411="",0,MAX(0,MIN(1,(IF(CF1411="L1",Parameter!$H$5,IF(CF1411="L23",Parameter!$H$6+Parameter!$H$7,Parameter!$H$5+Parameter!$H$6+Parameter!$H$7))-(AX1411-AS1411))/AS1411)))</f>
        <v>1</v>
      </c>
      <c r="AZ1411" s="50" t="n">
        <f aca="false">IF(LEFT(Cockpit!$O$5,1)="A",H1411,IF(Parameter!$E$30="MAX-Bestand",IF(CH1411=1,CI1411,IF(LEFT(Cockpit!$O$5,1)="B",BF1411,MAX(BF1411,H1411))),ROUNDUP(BD1411,0)))</f>
        <v>35</v>
      </c>
      <c r="BA1411" s="50" t="n">
        <f aca="false">IF(BZ1411=1,0,ROUNDUP(AZ1411/BY1411,0))</f>
        <v>1</v>
      </c>
      <c r="BB1411" s="52" t="n">
        <f aca="false">IF(CQ1411&gt;0,CQ1411*MAX(1,AZ1411/X1411),IF(BZ1411=1,IF(AZ1411&lt;=0,0,CD1411*MAX(1,IF(H1411&gt;0,AZ1411/H1411,1))),IF(R1411&gt;0,BA1411/R1411,0))/MAX(0.1,N(Parameter!$M$21)))</f>
        <v>0.166666666666667</v>
      </c>
      <c r="BC1411" s="50" t="n">
        <f aca="false">BB1411*CB1411</f>
        <v>39.1666666666667</v>
      </c>
      <c r="BD1411" s="51" t="n">
        <f aca="false">IF(LEFT(Cockpit!$O$5,1)="A",H1411,IF(CH1411=1,(CK1411+CI1411)/2,IF(LEFT(Cockpit!$O$5,1)="B",(CK1411+BF1411)/2,MAX((CK1411+BF1411)/2,H1411))))</f>
        <v>35</v>
      </c>
      <c r="BE1411" s="50" t="n">
        <f aca="false">BD1411*G1411</f>
        <v>4765.6</v>
      </c>
      <c r="BF1411" s="50" t="n">
        <f aca="false">ROUNDUP(CK1411+MAX(CL1411,2*(J1411/IF(CG1411&gt;0,CG1411,MAX(0.1,N(Cockpit!$O$6)))-CK1411)),0)</f>
        <v>50</v>
      </c>
      <c r="BG1411" s="51" t="n">
        <f aca="false">IF(BC1411&gt;0,J1411/BC1411,-1)</f>
        <v>2.2468085106383</v>
      </c>
      <c r="BH1411" s="51" t="n">
        <f aca="false">IF(AND(OR(CF1411="L1",CF1411="L23",CF1411="LIFT"),BC1411&gt;0),SUMIFS($BC$7:$BC$1843,$CF$7:$CF$1843,CF1411,$BG$7:$BG$1843,"&gt;"&amp;BG1411)+SUMIFS($BC$7:$BC$1843,$CF$7:$CF$1843,CF1411,$BG$7:$BG$1843,BG1411,$BW$7:$BW$1843,"&lt;="&amp;BW1411),"")</f>
        <v>5658.57051282051</v>
      </c>
      <c r="BI1411" s="58" t="n">
        <f aca="false">IF(BH1411="",0,MAX(0,MIN(1,(IF(CF1411="L1",Parameter!$H$5,IF(CF1411="L23",Parameter!$H$6+Parameter!$H$7,Parameter!$H$5+Parameter!$H$6+Parameter!$H$7))-(BH1411-BC1411))/BC1411)))</f>
        <v>1</v>
      </c>
      <c r="BJ1411" s="48" t="str">
        <f aca="false">IF(AI1411&lt;=0,"",IF(CF1411="Aussen","Aussenlager",IF(CF1411="-","Nicht im Lift",IF(AO1411&gt;=1,"Lift",IF(AO1411&lt;=0,"Aussenlager","teilweise")))))</f>
        <v>Lift</v>
      </c>
      <c r="BK1411" s="48" t="str">
        <f aca="false">IF(AS1411&lt;=0,"",IF(CF1411="Aussen","Aussenlager",IF(CF1411="-","Nicht im Lift",IF(AY1411&gt;=1,"Lift",IF(AY1411&lt;=0,"Aussenlager","teilweise")))))</f>
        <v>Lift</v>
      </c>
      <c r="BL1411" s="48" t="str">
        <f aca="false">IF(BC1411&lt;=0,"",IF(CF1411="Aussen","Aussenlager",IF(CF1411="-","Nicht im Lift",IF(BI1411&gt;=1,"Lift",IF(BI1411&lt;=0,"Aussenlager","teilweise")))))</f>
        <v>Lift</v>
      </c>
      <c r="BM1411" s="48" t="str">
        <f aca="false">IF(A1411="","",IF(BV1411=1,"Neu; ","")&amp;IF(AND(BV1411=0,BQ1411&lt;0),"negativer Bestand (Export "&amp;BQ1411&amp;"); ","")&amp;IF(J1411&lt;=0,"Kein Verbrauch; ","")&amp;IF(CQ1411&gt;0,"Lift "&amp;W1411&amp;" lt. Liftbericht (Fach "&amp;X1411&amp;" Stk); ",IF(CA1411=1,"Gebinde geschätzt ("&amp;T1411&amp;"); ",IF(BZ1411=1,"Lose – Tablare geschätzt; ","")))&amp;IF(H1411&gt;AV1411,"Überbestand "&amp;ROUND(H1411-AV1411,0)&amp;" Stk / CHF "&amp;ROUND((H1411-AV1411)*G1411,0)&amp;"; ","")&amp;IF(AND(CH1411=1,CI1411&lt;CJ1411),"MAX &lt; MB+LG; ","")&amp;IF(AND(CP1411&gt;0,CO1411*10&gt;CP1411),"zu hoch für Tablar; ","")&amp;IF(AND(BV1411=0,OR(CH1411=1,AA1411&lt;&gt;"",U1411&lt;&gt;"",V1411&lt;&gt;"",AB1411&lt;&gt;"")),"manuell übersteuert; ","")&amp;IF(AND(BZ1411=0,R1411=0),"Gebinde unbekannt / Stellmass fehlt; ","")&amp;IF(AND(BZ1411=0,N(V1411)&lt;=0,N(Q1411)&lt;=0),"Menge pro Gebinde fehlt (Ist = 1 Gebinde); ","")&amp;BU1411)</f>
        <v>negativer Bestand (Export -33); </v>
      </c>
      <c r="BN1411" s="48"/>
      <c r="BO1411" s="48"/>
      <c r="BP1411" s="55"/>
      <c r="BQ1411" s="50" t="n">
        <v>-33</v>
      </c>
      <c r="BR1411" s="50" t="n">
        <v>60</v>
      </c>
      <c r="BS1411" s="49" t="n">
        <v>-5029.08</v>
      </c>
      <c r="BT1411" s="50" t="n">
        <v>88</v>
      </c>
      <c r="BU1411" s="48"/>
      <c r="BV1411" s="53" t="n">
        <v>0</v>
      </c>
      <c r="BW1411" s="53" t="n">
        <v>1411</v>
      </c>
      <c r="BX1411" s="48" t="str">
        <f aca="false">IF(U1411&lt;&gt;"",UPPER(TRIM(U1411)),IF(CA1411=1,UPPER(VLOOKUP(T1411,Parameter!$I$27:$K$29,2,0)),IF(P1411="","LOSE",P1411)))</f>
        <v>S71</v>
      </c>
      <c r="BY1411" s="50" t="n">
        <f aca="false">IF(BX1411="LOSE",1,IF(N(V1411)&gt;0,V1411,IF(CA1411=1,MAX(1,N(VLOOKUP(T1411,Parameter!$I$27:$K$29,3,0)),H1411,N(N1411)),IF(N(Q1411)&gt;0,Q1411,MAX(1,H1411)))))</f>
        <v>80</v>
      </c>
      <c r="BZ1411" s="53" t="n">
        <f aca="false">IF(BX1411="LOSE",1,0)</f>
        <v>0</v>
      </c>
      <c r="CA1411" s="53" t="n">
        <f aca="false">IF(AND(U1411="",OR(P1411="",P1411="LOSE"),T1411&lt;&gt;"",N(S1411)&lt;=0,ISNUMBER(MATCH(T1411,Parameter!$I$27:$I$29,0))),1,0)</f>
        <v>0</v>
      </c>
      <c r="CB1411" s="53" t="n">
        <f aca="false">IF(CQ1411&gt;0,INDEX(Parameter!$H$5:$H$7,W1411)/INDEX(Parameter!$E$5:$E$7,W1411),IF(AND(BZ1411=0,N(IFERROR(VLOOKUP(BX1411,'Gebinde-Kategorie'!$A$5:$N$45,14,0),0))&gt;0),VLOOKUP(BX1411,'Gebinde-Kategorie'!$A$5:$N$45,14,0)*10+Parameter!$M$23,Parameter!$M$24))</f>
        <v>235</v>
      </c>
      <c r="CC1411" s="48" t="n">
        <f aca="false">IF(AND(Parameter!$B$19="Ja",E1411&lt;&gt;"",ISNUMBER(MATCH(E1411,Parameter!$I$35:$I$52,0))),VLOOKUP(E1411,Parameter!$I$35:$J$52,2,0),IFERROR(VLOOKUP(D1411,Parameter!$A$35:$C$64,2,0),"Nein"))</f>
        <v>1</v>
      </c>
      <c r="CD1411" s="52" t="n">
        <f aca="false">IF(BZ1411=0,0,IF(N(S1411)&gt;0,S1411,IFERROR(VLOOKUP(D1411,Parameter!$A$35:$C$64,3,0)+0,0)))</f>
        <v>0</v>
      </c>
      <c r="CE1411" s="48" t="n">
        <f aca="false">IF(AA1411&lt;&gt;"",AA1411,Z1411)</f>
        <v>1</v>
      </c>
      <c r="CF1411" s="48" t="str">
        <f aca="false">IF(OR(CE1411=1,CE1411=2,CE1411=3),IF(Parameter!$E$27="Ja","LIFT",IF(CE1411=1,"L1","L23")),IF(CE1411="Aussen","Aussen","-"))</f>
        <v>LIFT</v>
      </c>
      <c r="CG1411" s="59" t="n">
        <f aca="false">IF(N(AB1411)&gt;0,AB1411,0)</f>
        <v>0</v>
      </c>
      <c r="CH1411" s="53" t="n">
        <f aca="false">IF(ISNUMBER(AE1411),1,0)</f>
        <v>0</v>
      </c>
      <c r="CI1411" s="50" t="n">
        <f aca="false">N(AE1411)</f>
        <v>0</v>
      </c>
      <c r="CJ1411" s="50" t="n">
        <f aca="false">N(M1411)+N(N1411)</f>
        <v>50</v>
      </c>
      <c r="CK1411" s="50" t="n">
        <f aca="false">N(M1411)</f>
        <v>20</v>
      </c>
      <c r="CL1411" s="50" t="n">
        <f aca="false">N(N1411)</f>
        <v>30</v>
      </c>
      <c r="CM1411" s="50" t="n">
        <f aca="false">ROUNDUP(H1411/BY1411,0)</f>
        <v>1</v>
      </c>
      <c r="CN1411" s="50" t="n">
        <f aca="false">ROUNDUP(CI1411/BY1411,0)</f>
        <v>0</v>
      </c>
      <c r="CO1411" s="53" t="n">
        <f aca="false">IF(BZ1411=1,0,IFERROR(VLOOKUP(BX1411,'Gebinde-Kategorie'!$A$5:$N$45,5,0)+0,0))</f>
        <v>20</v>
      </c>
      <c r="CP1411" s="53" t="n">
        <f aca="false">IFERROR(IF(OR(CE1411=1,CE1411=2,CE1411=3),N(INDEX(Parameter!$I$5:$I$7,CE1411)),0),0)</f>
        <v>0</v>
      </c>
      <c r="CQ1411" s="52" t="n">
        <f aca="false">IF(AND(Parameter!$B$21="Ja",ISNUMBER(W1411),N(X1411)&gt;0),IFERROR(N(INDEX(Parameter!$L$5:$L$7,W1411))*INDEX(Parameter!$E$5:$E$7,W1411)*X1411/SUMIFS($X$7:$X$1843,$W$7:$W$1843,W1411),0),0)</f>
        <v>0</v>
      </c>
    </row>
    <row r="1412" customFormat="false" ht="15" hidden="false" customHeight="false" outlineLevel="0" collapsed="false">
      <c r="A1412" s="48" t="s">
        <v>2488</v>
      </c>
      <c r="B1412" s="48" t="s">
        <v>2489</v>
      </c>
      <c r="C1412" s="48" t="s">
        <v>173</v>
      </c>
      <c r="D1412" s="48" t="s">
        <v>362</v>
      </c>
      <c r="E1412" s="48"/>
      <c r="F1412" s="48" t="s">
        <v>227</v>
      </c>
      <c r="G1412" s="49" t="n">
        <v>5062.98</v>
      </c>
      <c r="H1412" s="50" t="n">
        <f aca="false">MAX(0,IF(AND(Parameter!$B$21="Ja",ISNUMBER(Y1412)),Y1412,IF(Parameter!$B$20="Jahresanfang 2025 + Export",BR1412+BQ1412,BQ1412)))</f>
        <v>0</v>
      </c>
      <c r="I1412" s="50" t="n">
        <f aca="false">H1412*G1412</f>
        <v>0</v>
      </c>
      <c r="J1412" s="50" t="n">
        <f aca="false">BT1412*Parameter!$B$18</f>
        <v>1</v>
      </c>
      <c r="K1412" s="51" t="n">
        <v>0.5</v>
      </c>
      <c r="L1412" s="52" t="n">
        <v>2</v>
      </c>
      <c r="M1412" s="50" t="n">
        <v>0</v>
      </c>
      <c r="N1412" s="50" t="n">
        <v>1</v>
      </c>
      <c r="O1412" s="53" t="n">
        <v>0</v>
      </c>
      <c r="P1412" s="48" t="s">
        <v>177</v>
      </c>
      <c r="Q1412" s="50"/>
      <c r="R1412" s="53" t="n">
        <f aca="false">IF(BZ1412=1,0,IFERROR(VLOOKUP(BX1412,'Gebinde-Kategorie'!$A$5:$N$45,13,0)+0,0))</f>
        <v>0</v>
      </c>
      <c r="S1412" s="54"/>
      <c r="T1412" s="55"/>
      <c r="U1412" s="55"/>
      <c r="V1412" s="55"/>
      <c r="W1412" s="48"/>
      <c r="X1412" s="50"/>
      <c r="Y1412" s="50"/>
      <c r="Z1412" s="48" t="str">
        <f aca="false">IF(A1412="","",IF(AND(Parameter!$B$21="Ja",ISNUMBER(W1412)),W1412,IF(CC1412="2+3",IF(ISNUMBER(SEARCH("grosser Artikel",BU1412)),2,IFERROR(VLOOKUP(BX1412,Parameter!$F$35:$G$64,2,0),2)),IF(OR(CC1412="Nein",CC1412=""),"-",CC1412))))</f>
        <v>-</v>
      </c>
      <c r="AA1412" s="55"/>
      <c r="AB1412" s="56"/>
      <c r="AC1412" s="50" t="n">
        <f aca="false">AV1412</f>
        <v>1</v>
      </c>
      <c r="AD1412" s="50" t="n">
        <f aca="false">MAX(AV1412,H1412)</f>
        <v>1</v>
      </c>
      <c r="AE1412" s="57"/>
      <c r="AF1412" s="50" t="n">
        <f aca="false">IF(LEFT(Cockpit!$C$5,1)="A",H1412,IF(Parameter!$E$30="MAX-Bestand",IF(CH1412=1,CI1412,IF(LEFT(Cockpit!$C$5,1)="B",AL1412,MAX(AL1412,H1412))),ROUNDUP(AJ1412,0)))</f>
        <v>0</v>
      </c>
      <c r="AG1412" s="50" t="n">
        <f aca="false">IF(BZ1412=1,0,ROUNDUP(AF1412/BY1412,0))</f>
        <v>0</v>
      </c>
      <c r="AH1412" s="52" t="n">
        <f aca="false">IF(CQ1412&gt;0,CQ1412*MAX(1,AF1412/X1412),IF(BZ1412=1,IF(AF1412&lt;=0,0,CD1412*MAX(1,IF(H1412&gt;0,AF1412/H1412,1))),IF(R1412&gt;0,AG1412/R1412,0))/MAX(0.1,N(Parameter!$M$21)))</f>
        <v>0</v>
      </c>
      <c r="AI1412" s="50" t="n">
        <f aca="false">AH1412*CB1412</f>
        <v>0</v>
      </c>
      <c r="AJ1412" s="51" t="n">
        <f aca="false">IF(LEFT(Cockpit!$C$5,1)="A",H1412,IF(CH1412=1,(CK1412+CI1412)/2,IF(LEFT(Cockpit!$C$5,1)="B",(CK1412+AL1412)/2,MAX((CK1412+AL1412)/2,H1412))))</f>
        <v>0</v>
      </c>
      <c r="AK1412" s="50" t="n">
        <f aca="false">AJ1412*G1412</f>
        <v>0</v>
      </c>
      <c r="AL1412" s="50" t="n">
        <f aca="false">ROUNDUP(CK1412+MAX(CL1412,2*(J1412/IF(CG1412&gt;0,CG1412,MAX(0.1,N(Cockpit!$C$6)))-CK1412)),0)</f>
        <v>1</v>
      </c>
      <c r="AM1412" s="51" t="n">
        <f aca="false">IF(AI1412&gt;0,J1412/AI1412,-1)</f>
        <v>-1</v>
      </c>
      <c r="AN1412" s="51" t="str">
        <f aca="false">IF(AND(OR(CF1412="L1",CF1412="L23",CF1412="LIFT"),AI1412&gt;0),SUMIFS($AI$7:$AI$1843,$CF$7:$CF$1843,CF1412,$AM$7:$AM$1843,"&gt;"&amp;AM1412)+SUMIFS($AI$7:$AI$1843,$CF$7:$CF$1843,CF1412,$AM$7:$AM$1843,AM1412,$BW$7:$BW$1843,"&lt;="&amp;BW1412),"")</f>
        <v/>
      </c>
      <c r="AO1412" s="58" t="n">
        <f aca="false">IF(AN1412="",0,MAX(0,MIN(1,(IF(CF1412="L1",Parameter!$H$5,IF(CF1412="L23",Parameter!$H$6+Parameter!$H$7,Parameter!$H$5+Parameter!$H$6+Parameter!$H$7))-(AN1412-AI1412))/AI1412)))</f>
        <v>0</v>
      </c>
      <c r="AP1412" s="50" t="n">
        <f aca="false">IF(LEFT(Cockpit!$I$5,1)="A",H1412,IF(Parameter!$E$30="MAX-Bestand",IF(CH1412=1,CI1412,IF(LEFT(Cockpit!$I$5,1)="B",AV1412,MAX(AV1412,H1412))),ROUNDUP(AT1412,0)))</f>
        <v>1</v>
      </c>
      <c r="AQ1412" s="50" t="n">
        <f aca="false">IF(BZ1412=1,0,ROUNDUP(AP1412/BY1412,0))</f>
        <v>0</v>
      </c>
      <c r="AR1412" s="52" t="n">
        <f aca="false">IF(CQ1412&gt;0,CQ1412*MAX(1,AP1412/X1412),IF(BZ1412=1,IF(AP1412&lt;=0,0,CD1412*MAX(1,IF(H1412&gt;0,AP1412/H1412,1))),IF(R1412&gt;0,AQ1412/R1412,0))/MAX(0.1,N(Parameter!$M$21)))</f>
        <v>0.15</v>
      </c>
      <c r="AS1412" s="50" t="n">
        <f aca="false">AR1412*CB1412</f>
        <v>35.25</v>
      </c>
      <c r="AT1412" s="51" t="n">
        <f aca="false">IF(LEFT(Cockpit!$I$5,1)="A",H1412,IF(CH1412=1,(CK1412+CI1412)/2,IF(LEFT(Cockpit!$I$5,1)="B",(CK1412+AV1412)/2,MAX((CK1412+AV1412)/2,H1412))))</f>
        <v>0.5</v>
      </c>
      <c r="AU1412" s="50" t="n">
        <f aca="false">AT1412*G1412</f>
        <v>2531.49</v>
      </c>
      <c r="AV1412" s="50" t="n">
        <f aca="false">ROUNDUP(CK1412+MAX(CL1412,2*(J1412/IF(CG1412&gt;0,CG1412,MAX(0.1,N(Cockpit!$I$6)))-CK1412)),0)</f>
        <v>1</v>
      </c>
      <c r="AW1412" s="51" t="n">
        <f aca="false">IF(AS1412&gt;0,J1412/AS1412,-1)</f>
        <v>0.0283687943262411</v>
      </c>
      <c r="AX1412" s="51" t="str">
        <f aca="false">IF(AND(OR(CF1412="L1",CF1412="L23",CF1412="LIFT"),AS1412&gt;0),SUMIFS($AS$7:$AS$1843,$CF$7:$CF$1843,CF1412,$AW$7:$AW$1843,"&gt;"&amp;AW1412)+SUMIFS($AS$7:$AS$1843,$CF$7:$CF$1843,CF1412,$AW$7:$AW$1843,AW1412,$BW$7:$BW$1843,"&lt;="&amp;BW1412),"")</f>
        <v/>
      </c>
      <c r="AY1412" s="58" t="n">
        <f aca="false">IF(AX1412="",0,MAX(0,MIN(1,(IF(CF1412="L1",Parameter!$H$5,IF(CF1412="L23",Parameter!$H$6+Parameter!$H$7,Parameter!$H$5+Parameter!$H$6+Parameter!$H$7))-(AX1412-AS1412))/AS1412)))</f>
        <v>0</v>
      </c>
      <c r="AZ1412" s="50" t="n">
        <f aca="false">IF(LEFT(Cockpit!$O$5,1)="A",H1412,IF(Parameter!$E$30="MAX-Bestand",IF(CH1412=1,CI1412,IF(LEFT(Cockpit!$O$5,1)="B",BF1412,MAX(BF1412,H1412))),ROUNDUP(BD1412,0)))</f>
        <v>1</v>
      </c>
      <c r="BA1412" s="50" t="n">
        <f aca="false">IF(BZ1412=1,0,ROUNDUP(AZ1412/BY1412,0))</f>
        <v>0</v>
      </c>
      <c r="BB1412" s="52" t="n">
        <f aca="false">IF(CQ1412&gt;0,CQ1412*MAX(1,AZ1412/X1412),IF(BZ1412=1,IF(AZ1412&lt;=0,0,CD1412*MAX(1,IF(H1412&gt;0,AZ1412/H1412,1))),IF(R1412&gt;0,BA1412/R1412,0))/MAX(0.1,N(Parameter!$M$21)))</f>
        <v>0.15</v>
      </c>
      <c r="BC1412" s="50" t="n">
        <f aca="false">BB1412*CB1412</f>
        <v>35.25</v>
      </c>
      <c r="BD1412" s="51" t="n">
        <f aca="false">IF(LEFT(Cockpit!$O$5,1)="A",H1412,IF(CH1412=1,(CK1412+CI1412)/2,IF(LEFT(Cockpit!$O$5,1)="B",(CK1412+BF1412)/2,MAX((CK1412+BF1412)/2,H1412))))</f>
        <v>0.5</v>
      </c>
      <c r="BE1412" s="50" t="n">
        <f aca="false">BD1412*G1412</f>
        <v>2531.49</v>
      </c>
      <c r="BF1412" s="50" t="n">
        <f aca="false">ROUNDUP(CK1412+MAX(CL1412,2*(J1412/IF(CG1412&gt;0,CG1412,MAX(0.1,N(Cockpit!$O$6)))-CK1412)),0)</f>
        <v>1</v>
      </c>
      <c r="BG1412" s="51" t="n">
        <f aca="false">IF(BC1412&gt;0,J1412/BC1412,-1)</f>
        <v>0.0283687943262411</v>
      </c>
      <c r="BH1412" s="51" t="str">
        <f aca="false">IF(AND(OR(CF1412="L1",CF1412="L23",CF1412="LIFT"),BC1412&gt;0),SUMIFS($BC$7:$BC$1843,$CF$7:$CF$1843,CF1412,$BG$7:$BG$1843,"&gt;"&amp;BG1412)+SUMIFS($BC$7:$BC$1843,$CF$7:$CF$1843,CF1412,$BG$7:$BG$1843,BG1412,$BW$7:$BW$1843,"&lt;="&amp;BW1412),"")</f>
        <v/>
      </c>
      <c r="BI1412" s="58" t="n">
        <f aca="false">IF(BH1412="",0,MAX(0,MIN(1,(IF(CF1412="L1",Parameter!$H$5,IF(CF1412="L23",Parameter!$H$6+Parameter!$H$7,Parameter!$H$5+Parameter!$H$6+Parameter!$H$7))-(BH1412-BC1412))/BC1412)))</f>
        <v>0</v>
      </c>
      <c r="BJ1412" s="48" t="str">
        <f aca="false">IF(AI1412&lt;=0,"",IF(CF1412="Aussen","Aussenlager",IF(CF1412="-","Nicht im Lift",IF(AO1412&gt;=1,"Lift",IF(AO1412&lt;=0,"Aussenlager","teilweise")))))</f>
        <v/>
      </c>
      <c r="BK1412" s="48" t="str">
        <f aca="false">IF(AS1412&lt;=0,"",IF(CF1412="Aussen","Aussenlager",IF(CF1412="-","Nicht im Lift",IF(AY1412&gt;=1,"Lift",IF(AY1412&lt;=0,"Aussenlager","teilweise")))))</f>
        <v>Nicht im Lift</v>
      </c>
      <c r="BL1412" s="48" t="str">
        <f aca="false">IF(BC1412&lt;=0,"",IF(CF1412="Aussen","Aussenlager",IF(CF1412="-","Nicht im Lift",IF(BI1412&gt;=1,"Lift",IF(BI1412&lt;=0,"Aussenlager","teilweise")))))</f>
        <v>Nicht im Lift</v>
      </c>
      <c r="BM1412" s="48" t="str">
        <f aca="false">IF(A1412="","",IF(BV1412=1,"Neu; ","")&amp;IF(AND(BV1412=0,BQ1412&lt;0),"negativer Bestand (Export "&amp;BQ1412&amp;"); ","")&amp;IF(J1412&lt;=0,"Kein Verbrauch; ","")&amp;IF(CQ1412&gt;0,"Lift "&amp;W1412&amp;" lt. Liftbericht (Fach "&amp;X1412&amp;" Stk); ",IF(CA1412=1,"Gebinde geschätzt ("&amp;T1412&amp;"); ",IF(BZ1412=1,"Lose – Tablare geschätzt; ","")))&amp;IF(H1412&gt;AV1412,"Überbestand "&amp;ROUND(H1412-AV1412,0)&amp;" Stk / CHF "&amp;ROUND((H1412-AV1412)*G1412,0)&amp;"; ","")&amp;IF(AND(CH1412=1,CI1412&lt;CJ1412),"MAX &lt; MB+LG; ","")&amp;IF(AND(CP1412&gt;0,CO1412*10&gt;CP1412),"zu hoch für Tablar; ","")&amp;IF(AND(BV1412=0,OR(CH1412=1,AA1412&lt;&gt;"",U1412&lt;&gt;"",V1412&lt;&gt;"",AB1412&lt;&gt;"")),"manuell übersteuert; ","")&amp;IF(AND(BZ1412=0,R1412=0),"Gebinde unbekannt / Stellmass fehlt; ","")&amp;IF(AND(BZ1412=0,N(V1412)&lt;=0,N(Q1412)&lt;=0),"Menge pro Gebinde fehlt (Ist = 1 Gebinde); ","")&amp;BU1412)</f>
        <v>negativer Bestand (Export -1); Lose – Tablare geschätzt; </v>
      </c>
      <c r="BN1412" s="48"/>
      <c r="BO1412" s="48"/>
      <c r="BP1412" s="55"/>
      <c r="BQ1412" s="50" t="n">
        <v>-1</v>
      </c>
      <c r="BR1412" s="50" t="n">
        <v>1</v>
      </c>
      <c r="BS1412" s="49" t="n">
        <v>-5062.98</v>
      </c>
      <c r="BT1412" s="50" t="n">
        <v>1</v>
      </c>
      <c r="BU1412" s="48"/>
      <c r="BV1412" s="53" t="n">
        <v>0</v>
      </c>
      <c r="BW1412" s="53" t="n">
        <v>1412</v>
      </c>
      <c r="BX1412" s="48" t="str">
        <f aca="false">IF(U1412&lt;&gt;"",UPPER(TRIM(U1412)),IF(CA1412=1,UPPER(VLOOKUP(T1412,Parameter!$I$27:$K$29,2,0)),IF(P1412="","LOSE",P1412)))</f>
        <v>LOSE</v>
      </c>
      <c r="BY1412" s="50" t="n">
        <f aca="false">IF(BX1412="LOSE",1,IF(N(V1412)&gt;0,V1412,IF(CA1412=1,MAX(1,N(VLOOKUP(T1412,Parameter!$I$27:$K$29,3,0)),H1412,N(N1412)),IF(N(Q1412)&gt;0,Q1412,MAX(1,H1412)))))</f>
        <v>1</v>
      </c>
      <c r="BZ1412" s="53" t="n">
        <f aca="false">IF(BX1412="LOSE",1,0)</f>
        <v>1</v>
      </c>
      <c r="CA1412" s="53" t="n">
        <f aca="false">IF(AND(U1412="",OR(P1412="",P1412="LOSE"),T1412&lt;&gt;"",N(S1412)&lt;=0,ISNUMBER(MATCH(T1412,Parameter!$I$27:$I$29,0))),1,0)</f>
        <v>0</v>
      </c>
      <c r="CB1412" s="53" t="n">
        <f aca="false">IF(CQ1412&gt;0,INDEX(Parameter!$H$5:$H$7,W1412)/INDEX(Parameter!$E$5:$E$7,W1412),IF(AND(BZ1412=0,N(IFERROR(VLOOKUP(BX1412,'Gebinde-Kategorie'!$A$5:$N$45,14,0),0))&gt;0),VLOOKUP(BX1412,'Gebinde-Kategorie'!$A$5:$N$45,14,0)*10+Parameter!$M$23,Parameter!$M$24))</f>
        <v>235</v>
      </c>
      <c r="CC1412" s="48" t="str">
        <f aca="false">IF(AND(Parameter!$B$19="Ja",E1412&lt;&gt;"",ISNUMBER(MATCH(E1412,Parameter!$I$35:$I$52,0))),VLOOKUP(E1412,Parameter!$I$35:$J$52,2,0),IFERROR(VLOOKUP(D1412,Parameter!$A$35:$C$64,2,0),"Nein"))</f>
        <v>Nein</v>
      </c>
      <c r="CD1412" s="52" t="n">
        <f aca="false">IF(BZ1412=0,0,IF(N(S1412)&gt;0,S1412,IFERROR(VLOOKUP(D1412,Parameter!$A$35:$C$64,3,0)+0,0)))</f>
        <v>0.15</v>
      </c>
      <c r="CE1412" s="48" t="str">
        <f aca="false">IF(AA1412&lt;&gt;"",AA1412,Z1412)</f>
        <v>-</v>
      </c>
      <c r="CF1412" s="48" t="str">
        <f aca="false">IF(OR(CE1412=1,CE1412=2,CE1412=3),IF(Parameter!$E$27="Ja","LIFT",IF(CE1412=1,"L1","L23")),IF(CE1412="Aussen","Aussen","-"))</f>
        <v>-</v>
      </c>
      <c r="CG1412" s="59" t="n">
        <f aca="false">IF(N(AB1412)&gt;0,AB1412,0)</f>
        <v>0</v>
      </c>
      <c r="CH1412" s="53" t="n">
        <f aca="false">IF(ISNUMBER(AE1412),1,0)</f>
        <v>0</v>
      </c>
      <c r="CI1412" s="50" t="n">
        <f aca="false">N(AE1412)</f>
        <v>0</v>
      </c>
      <c r="CJ1412" s="50" t="n">
        <f aca="false">N(M1412)+N(N1412)</f>
        <v>1</v>
      </c>
      <c r="CK1412" s="50" t="n">
        <f aca="false">N(M1412)</f>
        <v>0</v>
      </c>
      <c r="CL1412" s="50" t="n">
        <f aca="false">N(N1412)</f>
        <v>1</v>
      </c>
      <c r="CM1412" s="50" t="n">
        <f aca="false">ROUNDUP(H1412/BY1412,0)</f>
        <v>0</v>
      </c>
      <c r="CN1412" s="50" t="n">
        <f aca="false">ROUNDUP(CI1412/BY1412,0)</f>
        <v>0</v>
      </c>
      <c r="CO1412" s="53" t="n">
        <f aca="false">IF(BZ1412=1,0,IFERROR(VLOOKUP(BX1412,'Gebinde-Kategorie'!$A$5:$N$45,5,0)+0,0))</f>
        <v>0</v>
      </c>
      <c r="CP1412" s="53" t="n">
        <f aca="false">IFERROR(IF(OR(CE1412=1,CE1412=2,CE1412=3),N(INDEX(Parameter!$I$5:$I$7,CE1412)),0),0)</f>
        <v>0</v>
      </c>
      <c r="CQ1412" s="52" t="n">
        <f aca="false">IF(AND(Parameter!$B$21="Ja",ISNUMBER(W1412),N(X1412)&gt;0),IFERROR(N(INDEX(Parameter!$L$5:$L$7,W1412))*INDEX(Parameter!$E$5:$E$7,W1412)*X1412/SUMIFS($X$7:$X$1843,$W$7:$W$1843,W1412),0),0)</f>
        <v>0</v>
      </c>
    </row>
    <row r="1413" customFormat="false" ht="15" hidden="false" customHeight="false" outlineLevel="0" collapsed="false">
      <c r="A1413" s="48" t="s">
        <v>2490</v>
      </c>
      <c r="B1413" s="48" t="s">
        <v>2491</v>
      </c>
      <c r="C1413" s="48" t="s">
        <v>173</v>
      </c>
      <c r="D1413" s="48" t="s">
        <v>193</v>
      </c>
      <c r="E1413" s="48" t="s">
        <v>194</v>
      </c>
      <c r="F1413" s="48" t="s">
        <v>227</v>
      </c>
      <c r="G1413" s="49" t="n">
        <v>88.93</v>
      </c>
      <c r="H1413" s="50" t="n">
        <f aca="false">MAX(0,IF(AND(Parameter!$B$21="Ja",ISNUMBER(Y1413)),Y1413,IF(Parameter!$B$20="Jahresanfang 2025 + Export",BR1413+BQ1413,BQ1413)))</f>
        <v>40</v>
      </c>
      <c r="I1413" s="50" t="n">
        <f aca="false">H1413*G1413</f>
        <v>3557.2</v>
      </c>
      <c r="J1413" s="50" t="n">
        <f aca="false">BT1413*Parameter!$B$18</f>
        <v>129</v>
      </c>
      <c r="K1413" s="51" t="n">
        <v>42.5</v>
      </c>
      <c r="L1413" s="52" t="n">
        <v>3.03529411764706</v>
      </c>
      <c r="M1413" s="50" t="n">
        <v>7</v>
      </c>
      <c r="N1413" s="50" t="n">
        <v>25</v>
      </c>
      <c r="O1413" s="53" t="n">
        <v>21</v>
      </c>
      <c r="P1413" s="48" t="s">
        <v>302</v>
      </c>
      <c r="Q1413" s="50" t="n">
        <v>40</v>
      </c>
      <c r="R1413" s="53" t="n">
        <f aca="false">IF(BZ1413=1,0,IFERROR(VLOOKUP(BX1413,'Gebinde-Kategorie'!$A$5:$N$45,13,0)+0,0))</f>
        <v>12</v>
      </c>
      <c r="S1413" s="54"/>
      <c r="T1413" s="55"/>
      <c r="U1413" s="55"/>
      <c r="V1413" s="55"/>
      <c r="W1413" s="48"/>
      <c r="X1413" s="50"/>
      <c r="Y1413" s="50"/>
      <c r="Z1413" s="48" t="n">
        <f aca="false">IF(A1413="","",IF(AND(Parameter!$B$21="Ja",ISNUMBER(W1413)),W1413,IF(CC1413="2+3",IF(ISNUMBER(SEARCH("grosser Artikel",BU1413)),2,IFERROR(VLOOKUP(BX1413,Parameter!$F$35:$G$64,2,0),2)),IF(OR(CC1413="Nein",CC1413=""),"-",CC1413))))</f>
        <v>2</v>
      </c>
      <c r="AA1413" s="55"/>
      <c r="AB1413" s="56"/>
      <c r="AC1413" s="50" t="n">
        <f aca="false">AV1413</f>
        <v>79</v>
      </c>
      <c r="AD1413" s="50" t="n">
        <f aca="false">MAX(AV1413,H1413)</f>
        <v>79</v>
      </c>
      <c r="AE1413" s="57"/>
      <c r="AF1413" s="50" t="n">
        <f aca="false">IF(LEFT(Cockpit!$C$5,1)="A",H1413,IF(Parameter!$E$30="MAX-Bestand",IF(CH1413=1,CI1413,IF(LEFT(Cockpit!$C$5,1)="B",AL1413,MAX(AL1413,H1413))),ROUNDUP(AJ1413,0)))</f>
        <v>40</v>
      </c>
      <c r="AG1413" s="50" t="n">
        <f aca="false">IF(BZ1413=1,0,ROUNDUP(AF1413/BY1413,0))</f>
        <v>1</v>
      </c>
      <c r="AH1413" s="52" t="n">
        <f aca="false">IF(CQ1413&gt;0,CQ1413*MAX(1,AF1413/X1413),IF(BZ1413=1,IF(AF1413&lt;=0,0,CD1413*MAX(1,IF(H1413&gt;0,AF1413/H1413,1))),IF(R1413&gt;0,AG1413/R1413,0))/MAX(0.1,N(Parameter!$M$21)))</f>
        <v>0.0833333333333333</v>
      </c>
      <c r="AI1413" s="50" t="n">
        <f aca="false">AH1413*CB1413</f>
        <v>20.4166666666667</v>
      </c>
      <c r="AJ1413" s="51" t="n">
        <f aca="false">IF(LEFT(Cockpit!$C$5,1)="A",H1413,IF(CH1413=1,(CK1413+CI1413)/2,IF(LEFT(Cockpit!$C$5,1)="B",(CK1413+AL1413)/2,MAX((CK1413+AL1413)/2,H1413))))</f>
        <v>40</v>
      </c>
      <c r="AK1413" s="50" t="n">
        <f aca="false">AJ1413*G1413</f>
        <v>3557.2</v>
      </c>
      <c r="AL1413" s="50" t="n">
        <f aca="false">ROUNDUP(CK1413+MAX(CL1413,2*(J1413/IF(CG1413&gt;0,CG1413,MAX(0.1,N(Cockpit!$C$6)))-CK1413)),0)</f>
        <v>79</v>
      </c>
      <c r="AM1413" s="51" t="n">
        <f aca="false">IF(AI1413&gt;0,J1413/AI1413,-1)</f>
        <v>6.31836734693878</v>
      </c>
      <c r="AN1413" s="51" t="n">
        <f aca="false">IF(AND(OR(CF1413="L1",CF1413="L23",CF1413="LIFT"),AI1413&gt;0),SUMIFS($AI$7:$AI$1843,$CF$7:$CF$1843,CF1413,$AM$7:$AM$1843,"&gt;"&amp;AM1413)+SUMIFS($AI$7:$AI$1843,$CF$7:$CF$1843,CF1413,$AM$7:$AM$1843,AM1413,$BW$7:$BW$1843,"&lt;="&amp;BW1413),"")</f>
        <v>3472.20558608059</v>
      </c>
      <c r="AO1413" s="58" t="n">
        <f aca="false">IF(AN1413="",0,MAX(0,MIN(1,(IF(CF1413="L1",Parameter!$H$5,IF(CF1413="L23",Parameter!$H$6+Parameter!$H$7,Parameter!$H$5+Parameter!$H$6+Parameter!$H$7))-(AN1413-AI1413))/AI1413)))</f>
        <v>1</v>
      </c>
      <c r="AP1413" s="50" t="n">
        <f aca="false">IF(LEFT(Cockpit!$I$5,1)="A",H1413,IF(Parameter!$E$30="MAX-Bestand",IF(CH1413=1,CI1413,IF(LEFT(Cockpit!$I$5,1)="B",AV1413,MAX(AV1413,H1413))),ROUNDUP(AT1413,0)))</f>
        <v>43</v>
      </c>
      <c r="AQ1413" s="50" t="n">
        <f aca="false">IF(BZ1413=1,0,ROUNDUP(AP1413/BY1413,0))</f>
        <v>2</v>
      </c>
      <c r="AR1413" s="52" t="n">
        <f aca="false">IF(CQ1413&gt;0,CQ1413*MAX(1,AP1413/X1413),IF(BZ1413=1,IF(AP1413&lt;=0,0,CD1413*MAX(1,IF(H1413&gt;0,AP1413/H1413,1))),IF(R1413&gt;0,AQ1413/R1413,0))/MAX(0.1,N(Parameter!$M$21)))</f>
        <v>0.166666666666667</v>
      </c>
      <c r="AS1413" s="50" t="n">
        <f aca="false">AR1413*CB1413</f>
        <v>40.8333333333333</v>
      </c>
      <c r="AT1413" s="51" t="n">
        <f aca="false">IF(LEFT(Cockpit!$I$5,1)="A",H1413,IF(CH1413=1,(CK1413+CI1413)/2,IF(LEFT(Cockpit!$I$5,1)="B",(CK1413+AV1413)/2,MAX((CK1413+AV1413)/2,H1413))))</f>
        <v>43</v>
      </c>
      <c r="AU1413" s="50" t="n">
        <f aca="false">AT1413*G1413</f>
        <v>3823.99</v>
      </c>
      <c r="AV1413" s="50" t="n">
        <f aca="false">ROUNDUP(CK1413+MAX(CL1413,2*(J1413/IF(CG1413&gt;0,CG1413,MAX(0.1,N(Cockpit!$I$6)))-CK1413)),0)</f>
        <v>79</v>
      </c>
      <c r="AW1413" s="51" t="n">
        <f aca="false">IF(AS1413&gt;0,J1413/AS1413,-1)</f>
        <v>3.15918367346939</v>
      </c>
      <c r="AX1413" s="51" t="n">
        <f aca="false">IF(AND(OR(CF1413="L1",CF1413="L23",CF1413="LIFT"),AS1413&gt;0),SUMIFS($AS$7:$AS$1843,$CF$7:$CF$1843,CF1413,$AW$7:$AW$1843,"&gt;"&amp;AW1413)+SUMIFS($AS$7:$AS$1843,$CF$7:$CF$1843,CF1413,$AW$7:$AW$1843,AW1413,$BW$7:$BW$1843,"&lt;="&amp;BW1413),"")</f>
        <v>5731.1717032967</v>
      </c>
      <c r="AY1413" s="58" t="n">
        <f aca="false">IF(AX1413="",0,MAX(0,MIN(1,(IF(CF1413="L1",Parameter!$H$5,IF(CF1413="L23",Parameter!$H$6+Parameter!$H$7,Parameter!$H$5+Parameter!$H$6+Parameter!$H$7))-(AX1413-AS1413))/AS1413)))</f>
        <v>1</v>
      </c>
      <c r="AZ1413" s="50" t="n">
        <f aca="false">IF(LEFT(Cockpit!$O$5,1)="A",H1413,IF(Parameter!$E$30="MAX-Bestand",IF(CH1413=1,CI1413,IF(LEFT(Cockpit!$O$5,1)="B",BF1413,MAX(BF1413,H1413))),ROUNDUP(BD1413,0)))</f>
        <v>33</v>
      </c>
      <c r="BA1413" s="50" t="n">
        <f aca="false">IF(BZ1413=1,0,ROUNDUP(AZ1413/BY1413,0))</f>
        <v>1</v>
      </c>
      <c r="BB1413" s="52" t="n">
        <f aca="false">IF(CQ1413&gt;0,CQ1413*MAX(1,AZ1413/X1413),IF(BZ1413=1,IF(AZ1413&lt;=0,0,CD1413*MAX(1,IF(H1413&gt;0,AZ1413/H1413,1))),IF(R1413&gt;0,BA1413/R1413,0))/MAX(0.1,N(Parameter!$M$21)))</f>
        <v>0.0833333333333333</v>
      </c>
      <c r="BC1413" s="50" t="n">
        <f aca="false">BB1413*CB1413</f>
        <v>20.4166666666667</v>
      </c>
      <c r="BD1413" s="51" t="n">
        <f aca="false">IF(LEFT(Cockpit!$O$5,1)="A",H1413,IF(CH1413=1,(CK1413+CI1413)/2,IF(LEFT(Cockpit!$O$5,1)="B",(CK1413+BF1413)/2,MAX((CK1413+BF1413)/2,H1413))))</f>
        <v>32.5</v>
      </c>
      <c r="BE1413" s="50" t="n">
        <f aca="false">BD1413*G1413</f>
        <v>2890.225</v>
      </c>
      <c r="BF1413" s="50" t="n">
        <f aca="false">ROUNDUP(CK1413+MAX(CL1413,2*(J1413/IF(CG1413&gt;0,CG1413,MAX(0.1,N(Cockpit!$O$6)))-CK1413)),0)</f>
        <v>58</v>
      </c>
      <c r="BG1413" s="51" t="n">
        <f aca="false">IF(BC1413&gt;0,J1413/BC1413,-1)</f>
        <v>6.31836734693878</v>
      </c>
      <c r="BH1413" s="51" t="n">
        <f aca="false">IF(AND(OR(CF1413="L1",CF1413="L23",CF1413="LIFT"),BC1413&gt;0),SUMIFS($BC$7:$BC$1843,$CF$7:$CF$1843,CF1413,$BG$7:$BG$1843,"&gt;"&amp;BG1413)+SUMIFS($BC$7:$BC$1843,$CF$7:$CF$1843,CF1413,$BG$7:$BG$1843,BG1413,$BW$7:$BW$1843,"&lt;="&amp;BW1413),"")</f>
        <v>3431.33379120879</v>
      </c>
      <c r="BI1413" s="58" t="n">
        <f aca="false">IF(BH1413="",0,MAX(0,MIN(1,(IF(CF1413="L1",Parameter!$H$5,IF(CF1413="L23",Parameter!$H$6+Parameter!$H$7,Parameter!$H$5+Parameter!$H$6+Parameter!$H$7))-(BH1413-BC1413))/BC1413)))</f>
        <v>1</v>
      </c>
      <c r="BJ1413" s="48" t="str">
        <f aca="false">IF(AI1413&lt;=0,"",IF(CF1413="Aussen","Aussenlager",IF(CF1413="-","Nicht im Lift",IF(AO1413&gt;=1,"Lift",IF(AO1413&lt;=0,"Aussenlager","teilweise")))))</f>
        <v>Lift</v>
      </c>
      <c r="BK1413" s="48" t="str">
        <f aca="false">IF(AS1413&lt;=0,"",IF(CF1413="Aussen","Aussenlager",IF(CF1413="-","Nicht im Lift",IF(AY1413&gt;=1,"Lift",IF(AY1413&lt;=0,"Aussenlager","teilweise")))))</f>
        <v>Lift</v>
      </c>
      <c r="BL1413" s="48" t="str">
        <f aca="false">IF(BC1413&lt;=0,"",IF(CF1413="Aussen","Aussenlager",IF(CF1413="-","Nicht im Lift",IF(BI1413&gt;=1,"Lift",IF(BI1413&lt;=0,"Aussenlager","teilweise")))))</f>
        <v>Lift</v>
      </c>
      <c r="BM1413" s="48" t="str">
        <f aca="false">IF(A1413="","",IF(BV1413=1,"Neu; ","")&amp;IF(AND(BV1413=0,BQ1413&lt;0),"negativer Bestand (Export "&amp;BQ1413&amp;"); ","")&amp;IF(J1413&lt;=0,"Kein Verbrauch; ","")&amp;IF(CQ1413&gt;0,"Lift "&amp;W1413&amp;" lt. Liftbericht (Fach "&amp;X1413&amp;" Stk); ",IF(CA1413=1,"Gebinde geschätzt ("&amp;T1413&amp;"); ",IF(BZ1413=1,"Lose – Tablare geschätzt; ","")))&amp;IF(H1413&gt;AV1413,"Überbestand "&amp;ROUND(H1413-AV1413,0)&amp;" Stk / CHF "&amp;ROUND((H1413-AV1413)*G1413,0)&amp;"; ","")&amp;IF(AND(CH1413=1,CI1413&lt;CJ1413),"MAX &lt; MB+LG; ","")&amp;IF(AND(CP1413&gt;0,CO1413*10&gt;CP1413),"zu hoch für Tablar; ","")&amp;IF(AND(BV1413=0,OR(CH1413=1,AA1413&lt;&gt;"",U1413&lt;&gt;"",V1413&lt;&gt;"",AB1413&lt;&gt;"")),"manuell übersteuert; ","")&amp;IF(AND(BZ1413=0,R1413=0),"Gebinde unbekannt / Stellmass fehlt; ","")&amp;IF(AND(BZ1413=0,N(V1413)&lt;=0,N(Q1413)&lt;=0),"Menge pro Gebinde fehlt (Ist = 1 Gebinde); ","")&amp;BU1413)</f>
        <v>negativer Bestand (Export -21); </v>
      </c>
      <c r="BN1413" s="48"/>
      <c r="BO1413" s="48"/>
      <c r="BP1413" s="55"/>
      <c r="BQ1413" s="50" t="n">
        <v>-21</v>
      </c>
      <c r="BR1413" s="50" t="n">
        <v>61</v>
      </c>
      <c r="BS1413" s="49" t="n">
        <v>-5101.75</v>
      </c>
      <c r="BT1413" s="50" t="n">
        <v>129</v>
      </c>
      <c r="BU1413" s="48"/>
      <c r="BV1413" s="53" t="n">
        <v>0</v>
      </c>
      <c r="BW1413" s="53" t="n">
        <v>1413</v>
      </c>
      <c r="BX1413" s="48" t="str">
        <f aca="false">IF(U1413&lt;&gt;"",UPPER(TRIM(U1413)),IF(CA1413=1,UPPER(VLOOKUP(T1413,Parameter!$I$27:$K$29,2,0)),IF(P1413="","LOSE",P1413)))</f>
        <v>S62</v>
      </c>
      <c r="BY1413" s="50" t="n">
        <f aca="false">IF(BX1413="LOSE",1,IF(N(V1413)&gt;0,V1413,IF(CA1413=1,MAX(1,N(VLOOKUP(T1413,Parameter!$I$27:$K$29,3,0)),H1413,N(N1413)),IF(N(Q1413)&gt;0,Q1413,MAX(1,H1413)))))</f>
        <v>40</v>
      </c>
      <c r="BZ1413" s="53" t="n">
        <f aca="false">IF(BX1413="LOSE",1,0)</f>
        <v>0</v>
      </c>
      <c r="CA1413" s="53" t="n">
        <f aca="false">IF(AND(U1413="",OR(P1413="",P1413="LOSE"),T1413&lt;&gt;"",N(S1413)&lt;=0,ISNUMBER(MATCH(T1413,Parameter!$I$27:$I$29,0))),1,0)</f>
        <v>0</v>
      </c>
      <c r="CB1413" s="53" t="n">
        <f aca="false">IF(CQ1413&gt;0,INDEX(Parameter!$H$5:$H$7,W1413)/INDEX(Parameter!$E$5:$E$7,W1413),IF(AND(BZ1413=0,N(IFERROR(VLOOKUP(BX1413,'Gebinde-Kategorie'!$A$5:$N$45,14,0),0))&gt;0),VLOOKUP(BX1413,'Gebinde-Kategorie'!$A$5:$N$45,14,0)*10+Parameter!$M$23,Parameter!$M$24))</f>
        <v>245</v>
      </c>
      <c r="CC1413" s="48" t="str">
        <f aca="false">IF(AND(Parameter!$B$19="Ja",E1413&lt;&gt;"",ISNUMBER(MATCH(E1413,Parameter!$I$35:$I$52,0))),VLOOKUP(E1413,Parameter!$I$35:$J$52,2,0),IFERROR(VLOOKUP(D1413,Parameter!$A$35:$C$64,2,0),"Nein"))</f>
        <v>2+3</v>
      </c>
      <c r="CD1413" s="52" t="n">
        <f aca="false">IF(BZ1413=0,0,IF(N(S1413)&gt;0,S1413,IFERROR(VLOOKUP(D1413,Parameter!$A$35:$C$64,3,0)+0,0)))</f>
        <v>0</v>
      </c>
      <c r="CE1413" s="48" t="n">
        <f aca="false">IF(AA1413&lt;&gt;"",AA1413,Z1413)</f>
        <v>2</v>
      </c>
      <c r="CF1413" s="48" t="str">
        <f aca="false">IF(OR(CE1413=1,CE1413=2,CE1413=3),IF(Parameter!$E$27="Ja","LIFT",IF(CE1413=1,"L1","L23")),IF(CE1413="Aussen","Aussen","-"))</f>
        <v>LIFT</v>
      </c>
      <c r="CG1413" s="59" t="n">
        <f aca="false">IF(N(AB1413)&gt;0,AB1413,0)</f>
        <v>0</v>
      </c>
      <c r="CH1413" s="53" t="n">
        <f aca="false">IF(ISNUMBER(AE1413),1,0)</f>
        <v>0</v>
      </c>
      <c r="CI1413" s="50" t="n">
        <f aca="false">N(AE1413)</f>
        <v>0</v>
      </c>
      <c r="CJ1413" s="50" t="n">
        <f aca="false">N(M1413)+N(N1413)</f>
        <v>32</v>
      </c>
      <c r="CK1413" s="50" t="n">
        <f aca="false">N(M1413)</f>
        <v>7</v>
      </c>
      <c r="CL1413" s="50" t="n">
        <f aca="false">N(N1413)</f>
        <v>25</v>
      </c>
      <c r="CM1413" s="50" t="n">
        <f aca="false">ROUNDUP(H1413/BY1413,0)</f>
        <v>1</v>
      </c>
      <c r="CN1413" s="50" t="n">
        <f aca="false">ROUNDUP(CI1413/BY1413,0)</f>
        <v>0</v>
      </c>
      <c r="CO1413" s="53" t="n">
        <f aca="false">IF(BZ1413=1,0,IFERROR(VLOOKUP(BX1413,'Gebinde-Kategorie'!$A$5:$N$45,5,0)+0,0))</f>
        <v>21</v>
      </c>
      <c r="CP1413" s="53" t="n">
        <f aca="false">IFERROR(IF(OR(CE1413=1,CE1413=2,CE1413=3),N(INDEX(Parameter!$I$5:$I$7,CE1413)),0),0)</f>
        <v>0</v>
      </c>
      <c r="CQ1413" s="52" t="n">
        <f aca="false">IF(AND(Parameter!$B$21="Ja",ISNUMBER(W1413),N(X1413)&gt;0),IFERROR(N(INDEX(Parameter!$L$5:$L$7,W1413))*INDEX(Parameter!$E$5:$E$7,W1413)*X1413/SUMIFS($X$7:$X$1843,$W$7:$W$1843,W1413),0),0)</f>
        <v>0</v>
      </c>
    </row>
    <row r="1414" customFormat="false" ht="15" hidden="false" customHeight="false" outlineLevel="0" collapsed="false">
      <c r="A1414" s="48" t="s">
        <v>2492</v>
      </c>
      <c r="B1414" s="48" t="s">
        <v>414</v>
      </c>
      <c r="C1414" s="48" t="s">
        <v>465</v>
      </c>
      <c r="D1414" s="48" t="s">
        <v>182</v>
      </c>
      <c r="E1414" s="48"/>
      <c r="F1414" s="48" t="s">
        <v>227</v>
      </c>
      <c r="G1414" s="49" t="n">
        <v>5.15</v>
      </c>
      <c r="H1414" s="50" t="n">
        <f aca="false">MAX(0,IF(AND(Parameter!$B$21="Ja",ISNUMBER(Y1414)),Y1414,IF(Parameter!$B$20="Jahresanfang 2025 + Export",BR1414+BQ1414,BQ1414)))</f>
        <v>1000</v>
      </c>
      <c r="I1414" s="50" t="n">
        <f aca="false">H1414*G1414</f>
        <v>5150</v>
      </c>
      <c r="J1414" s="50" t="n">
        <f aca="false">BT1414*Parameter!$B$18</f>
        <v>0</v>
      </c>
      <c r="K1414" s="51" t="n">
        <v>1000</v>
      </c>
      <c r="L1414" s="52" t="n">
        <v>0</v>
      </c>
      <c r="M1414" s="50" t="n">
        <v>58</v>
      </c>
      <c r="N1414" s="50" t="n">
        <v>700</v>
      </c>
      <c r="O1414" s="53" t="n">
        <v>21</v>
      </c>
      <c r="P1414" s="48" t="s">
        <v>177</v>
      </c>
      <c r="Q1414" s="50"/>
      <c r="R1414" s="53" t="n">
        <f aca="false">IF(BZ1414=1,0,IFERROR(VLOOKUP(BX1414,'Gebinde-Kategorie'!$A$5:$N$45,13,0)+0,0))</f>
        <v>26</v>
      </c>
      <c r="S1414" s="54"/>
      <c r="T1414" s="55" t="s">
        <v>284</v>
      </c>
      <c r="U1414" s="55"/>
      <c r="V1414" s="55"/>
      <c r="W1414" s="48"/>
      <c r="X1414" s="50"/>
      <c r="Y1414" s="50"/>
      <c r="Z1414" s="48" t="n">
        <f aca="false">IF(A1414="","",IF(AND(Parameter!$B$21="Ja",ISNUMBER(W1414)),W1414,IF(CC1414="2+3",IF(ISNUMBER(SEARCH("grosser Artikel",BU1414)),2,IFERROR(VLOOKUP(BX1414,Parameter!$F$35:$G$64,2,0),2)),IF(OR(CC1414="Nein",CC1414=""),"-",CC1414))))</f>
        <v>3</v>
      </c>
      <c r="AA1414" s="55"/>
      <c r="AB1414" s="56"/>
      <c r="AC1414" s="50" t="n">
        <f aca="false">AV1414</f>
        <v>758</v>
      </c>
      <c r="AD1414" s="50" t="n">
        <f aca="false">MAX(AV1414,H1414)</f>
        <v>1000</v>
      </c>
      <c r="AE1414" s="57"/>
      <c r="AF1414" s="50" t="n">
        <f aca="false">IF(LEFT(Cockpit!$C$5,1)="A",H1414,IF(Parameter!$E$30="MAX-Bestand",IF(CH1414=1,CI1414,IF(LEFT(Cockpit!$C$5,1)="B",AL1414,MAX(AL1414,H1414))),ROUNDUP(AJ1414,0)))</f>
        <v>1000</v>
      </c>
      <c r="AG1414" s="50" t="n">
        <f aca="false">IF(BZ1414=1,0,ROUNDUP(AF1414/BY1414,0))</f>
        <v>1</v>
      </c>
      <c r="AH1414" s="52" t="n">
        <f aca="false">IF(CQ1414&gt;0,CQ1414*MAX(1,AF1414/X1414),IF(BZ1414=1,IF(AF1414&lt;=0,0,CD1414*MAX(1,IF(H1414&gt;0,AF1414/H1414,1))),IF(R1414&gt;0,AG1414/R1414,0))/MAX(0.1,N(Parameter!$M$21)))</f>
        <v>0.0384615384615385</v>
      </c>
      <c r="AI1414" s="50" t="n">
        <f aca="false">AH1414*CB1414</f>
        <v>5.96153846153846</v>
      </c>
      <c r="AJ1414" s="51" t="n">
        <f aca="false">IF(LEFT(Cockpit!$C$5,1)="A",H1414,IF(CH1414=1,(CK1414+CI1414)/2,IF(LEFT(Cockpit!$C$5,1)="B",(CK1414+AL1414)/2,MAX((CK1414+AL1414)/2,H1414))))</f>
        <v>1000</v>
      </c>
      <c r="AK1414" s="50" t="n">
        <f aca="false">AJ1414*G1414</f>
        <v>5150</v>
      </c>
      <c r="AL1414" s="50" t="n">
        <f aca="false">ROUNDUP(CK1414+MAX(CL1414,2*(J1414/IF(CG1414&gt;0,CG1414,MAX(0.1,N(Cockpit!$C$6)))-CK1414)),0)</f>
        <v>758</v>
      </c>
      <c r="AM1414" s="51" t="n">
        <f aca="false">IF(AI1414&gt;0,J1414/AI1414,-1)</f>
        <v>0</v>
      </c>
      <c r="AN1414" s="51" t="n">
        <f aca="false">IF(AND(OR(CF1414="L1",CF1414="L23",CF1414="LIFT"),AI1414&gt;0),SUMIFS($AI$7:$AI$1843,$CF$7:$CF$1843,CF1414,$AM$7:$AM$1843,"&gt;"&amp;AM1414)+SUMIFS($AI$7:$AI$1843,$CF$7:$CF$1843,CF1414,$AM$7:$AM$1843,AM1414,$BW$7:$BW$1843,"&lt;="&amp;BW1414),"")</f>
        <v>29696.1669796776</v>
      </c>
      <c r="AO1414" s="58" t="n">
        <f aca="false">IF(AN1414="",0,MAX(0,MIN(1,(IF(CF1414="L1",Parameter!$H$5,IF(CF1414="L23",Parameter!$H$6+Parameter!$H$7,Parameter!$H$5+Parameter!$H$6+Parameter!$H$7))-(AN1414-AI1414))/AI1414)))</f>
        <v>1</v>
      </c>
      <c r="AP1414" s="50" t="n">
        <f aca="false">IF(LEFT(Cockpit!$I$5,1)="A",H1414,IF(Parameter!$E$30="MAX-Bestand",IF(CH1414=1,CI1414,IF(LEFT(Cockpit!$I$5,1)="B",AV1414,MAX(AV1414,H1414))),ROUNDUP(AT1414,0)))</f>
        <v>1000</v>
      </c>
      <c r="AQ1414" s="50" t="n">
        <f aca="false">IF(BZ1414=1,0,ROUNDUP(AP1414/BY1414,0))</f>
        <v>1</v>
      </c>
      <c r="AR1414" s="52" t="n">
        <f aca="false">IF(CQ1414&gt;0,CQ1414*MAX(1,AP1414/X1414),IF(BZ1414=1,IF(AP1414&lt;=0,0,CD1414*MAX(1,IF(H1414&gt;0,AP1414/H1414,1))),IF(R1414&gt;0,AQ1414/R1414,0))/MAX(0.1,N(Parameter!$M$21)))</f>
        <v>0.0384615384615385</v>
      </c>
      <c r="AS1414" s="50" t="n">
        <f aca="false">AR1414*CB1414</f>
        <v>5.96153846153846</v>
      </c>
      <c r="AT1414" s="51" t="n">
        <f aca="false">IF(LEFT(Cockpit!$I$5,1)="A",H1414,IF(CH1414=1,(CK1414+CI1414)/2,IF(LEFT(Cockpit!$I$5,1)="B",(CK1414+AV1414)/2,MAX((CK1414+AV1414)/2,H1414))))</f>
        <v>1000</v>
      </c>
      <c r="AU1414" s="50" t="n">
        <f aca="false">AT1414*G1414</f>
        <v>5150</v>
      </c>
      <c r="AV1414" s="50" t="n">
        <f aca="false">ROUNDUP(CK1414+MAX(CL1414,2*(J1414/IF(CG1414&gt;0,CG1414,MAX(0.1,N(Cockpit!$I$6)))-CK1414)),0)</f>
        <v>758</v>
      </c>
      <c r="AW1414" s="51" t="n">
        <f aca="false">IF(AS1414&gt;0,J1414/AS1414,-1)</f>
        <v>0</v>
      </c>
      <c r="AX1414" s="51" t="n">
        <f aca="false">IF(AND(OR(CF1414="L1",CF1414="L23",CF1414="LIFT"),AS1414&gt;0),SUMIFS($AS$7:$AS$1843,$CF$7:$CF$1843,CF1414,$AW$7:$AW$1843,"&gt;"&amp;AW1414)+SUMIFS($AS$7:$AS$1843,$CF$7:$CF$1843,CF1414,$AW$7:$AW$1843,AW1414,$BW$7:$BW$1843,"&lt;="&amp;BW1414),"")</f>
        <v>35948.5070129964</v>
      </c>
      <c r="AY1414" s="58" t="n">
        <f aca="false">IF(AX1414="",0,MAX(0,MIN(1,(IF(CF1414="L1",Parameter!$H$5,IF(CF1414="L23",Parameter!$H$6+Parameter!$H$7,Parameter!$H$5+Parameter!$H$6+Parameter!$H$7))-(AX1414-AS1414))/AS1414)))</f>
        <v>0</v>
      </c>
      <c r="AZ1414" s="50" t="n">
        <f aca="false">IF(LEFT(Cockpit!$O$5,1)="A",H1414,IF(Parameter!$E$30="MAX-Bestand",IF(CH1414=1,CI1414,IF(LEFT(Cockpit!$O$5,1)="B",BF1414,MAX(BF1414,H1414))),ROUNDUP(BD1414,0)))</f>
        <v>408</v>
      </c>
      <c r="BA1414" s="50" t="n">
        <f aca="false">IF(BZ1414=1,0,ROUNDUP(AZ1414/BY1414,0))</f>
        <v>1</v>
      </c>
      <c r="BB1414" s="52" t="n">
        <f aca="false">IF(CQ1414&gt;0,CQ1414*MAX(1,AZ1414/X1414),IF(BZ1414=1,IF(AZ1414&lt;=0,0,CD1414*MAX(1,IF(H1414&gt;0,AZ1414/H1414,1))),IF(R1414&gt;0,BA1414/R1414,0))/MAX(0.1,N(Parameter!$M$21)))</f>
        <v>0.0384615384615385</v>
      </c>
      <c r="BC1414" s="50" t="n">
        <f aca="false">BB1414*CB1414</f>
        <v>5.96153846153846</v>
      </c>
      <c r="BD1414" s="51" t="n">
        <f aca="false">IF(LEFT(Cockpit!$O$5,1)="A",H1414,IF(CH1414=1,(CK1414+CI1414)/2,IF(LEFT(Cockpit!$O$5,1)="B",(CK1414+BF1414)/2,MAX((CK1414+BF1414)/2,H1414))))</f>
        <v>408</v>
      </c>
      <c r="BE1414" s="50" t="n">
        <f aca="false">BD1414*G1414</f>
        <v>2101.2</v>
      </c>
      <c r="BF1414" s="50" t="n">
        <f aca="false">ROUNDUP(CK1414+MAX(CL1414,2*(J1414/IF(CG1414&gt;0,CG1414,MAX(0.1,N(Cockpit!$O$6)))-CK1414)),0)</f>
        <v>758</v>
      </c>
      <c r="BG1414" s="51" t="n">
        <f aca="false">IF(BC1414&gt;0,J1414/BC1414,-1)</f>
        <v>0</v>
      </c>
      <c r="BH1414" s="51" t="n">
        <f aca="false">IF(AND(OR(CF1414="L1",CF1414="L23",CF1414="LIFT"),BC1414&gt;0),SUMIFS($BC$7:$BC$1843,$CF$7:$CF$1843,CF1414,$BG$7:$BG$1843,"&gt;"&amp;BG1414)+SUMIFS($BC$7:$BC$1843,$CF$7:$CF$1843,CF1414,$BG$7:$BG$1843,BG1414,$BW$7:$BW$1843,"&lt;="&amp;BW1414),"")</f>
        <v>29933.8136731442</v>
      </c>
      <c r="BI1414" s="58" t="n">
        <f aca="false">IF(BH1414="",0,MAX(0,MIN(1,(IF(CF1414="L1",Parameter!$H$5,IF(CF1414="L23",Parameter!$H$6+Parameter!$H$7,Parameter!$H$5+Parameter!$H$6+Parameter!$H$7))-(BH1414-BC1414))/BC1414)))</f>
        <v>1</v>
      </c>
      <c r="BJ1414" s="48" t="str">
        <f aca="false">IF(AI1414&lt;=0,"",IF(CF1414="Aussen","Aussenlager",IF(CF1414="-","Nicht im Lift",IF(AO1414&gt;=1,"Lift",IF(AO1414&lt;=0,"Aussenlager","teilweise")))))</f>
        <v>Lift</v>
      </c>
      <c r="BK1414" s="48" t="str">
        <f aca="false">IF(AS1414&lt;=0,"",IF(CF1414="Aussen","Aussenlager",IF(CF1414="-","Nicht im Lift",IF(AY1414&gt;=1,"Lift",IF(AY1414&lt;=0,"Aussenlager","teilweise")))))</f>
        <v>Aussenlager</v>
      </c>
      <c r="BL1414" s="48" t="str">
        <f aca="false">IF(BC1414&lt;=0,"",IF(CF1414="Aussen","Aussenlager",IF(CF1414="-","Nicht im Lift",IF(BI1414&gt;=1,"Lift",IF(BI1414&lt;=0,"Aussenlager","teilweise")))))</f>
        <v>Lift</v>
      </c>
      <c r="BM1414" s="48" t="str">
        <f aca="false">IF(A1414="","",IF(BV1414=1,"Neu; ","")&amp;IF(AND(BV1414=0,BQ1414&lt;0),"negativer Bestand (Export "&amp;BQ1414&amp;"); ","")&amp;IF(J1414&lt;=0,"Kein Verbrauch; ","")&amp;IF(CQ1414&gt;0,"Lift "&amp;W1414&amp;" lt. Liftbericht (Fach "&amp;X1414&amp;" Stk); ",IF(CA1414=1,"Gebinde geschätzt ("&amp;T1414&amp;"); ",IF(BZ1414=1,"Lose – Tablare geschätzt; ","")))&amp;IF(H1414&gt;AV1414,"Überbestand "&amp;ROUND(H1414-AV1414,0)&amp;" Stk / CHF "&amp;ROUND((H1414-AV1414)*G1414,0)&amp;"; ","")&amp;IF(AND(CH1414=1,CI1414&lt;CJ1414),"MAX &lt; MB+LG; ","")&amp;IF(AND(CP1414&gt;0,CO1414*10&gt;CP1414),"zu hoch für Tablar; ","")&amp;IF(AND(BV1414=0,OR(CH1414=1,AA1414&lt;&gt;"",U1414&lt;&gt;"",V1414&lt;&gt;"",AB1414&lt;&gt;"")),"manuell übersteuert; ","")&amp;IF(AND(BZ1414=0,R1414=0),"Gebinde unbekannt / Stellmass fehlt; ","")&amp;IF(AND(BZ1414=0,N(V1414)&lt;=0,N(Q1414)&lt;=0),"Menge pro Gebinde fehlt (Ist = 1 Gebinde); ","")&amp;BU1414)</f>
        <v>negativer Bestand (Export -1000); Kein Verbrauch; Gebinde geschätzt (Klein); Überbestand 242 Stk / CHF 1246; Menge pro Gebinde fehlt (Ist = 1 Gebinde); </v>
      </c>
      <c r="BN1414" s="48"/>
      <c r="BO1414" s="48"/>
      <c r="BP1414" s="55"/>
      <c r="BQ1414" s="50" t="n">
        <v>-1000</v>
      </c>
      <c r="BR1414" s="50" t="n">
        <v>2000</v>
      </c>
      <c r="BS1414" s="49" t="n">
        <v>-5150</v>
      </c>
      <c r="BT1414" s="50" t="n">
        <v>0</v>
      </c>
      <c r="BU1414" s="48"/>
      <c r="BV1414" s="53" t="n">
        <v>0</v>
      </c>
      <c r="BW1414" s="53" t="n">
        <v>1414</v>
      </c>
      <c r="BX1414" s="48" t="str">
        <f aca="false">IF(U1414&lt;&gt;"",UPPER(TRIM(U1414)),IF(CA1414=1,UPPER(VLOOKUP(T1414,Parameter!$I$27:$K$29,2,0)),IF(P1414="","LOSE",P1414)))</f>
        <v>S51</v>
      </c>
      <c r="BY1414" s="50" t="n">
        <f aca="false">IF(BX1414="LOSE",1,IF(N(V1414)&gt;0,V1414,IF(CA1414=1,MAX(1,N(VLOOKUP(T1414,Parameter!$I$27:$K$29,3,0)),H1414,N(N1414)),IF(N(Q1414)&gt;0,Q1414,MAX(1,H1414)))))</f>
        <v>1000</v>
      </c>
      <c r="BZ1414" s="53" t="n">
        <f aca="false">IF(BX1414="LOSE",1,0)</f>
        <v>0</v>
      </c>
      <c r="CA1414" s="53" t="n">
        <f aca="false">IF(AND(U1414="",OR(P1414="",P1414="LOSE"),T1414&lt;&gt;"",N(S1414)&lt;=0,ISNUMBER(MATCH(T1414,Parameter!$I$27:$I$29,0))),1,0)</f>
        <v>1</v>
      </c>
      <c r="CB1414" s="53" t="n">
        <f aca="false">IF(CQ1414&gt;0,INDEX(Parameter!$H$5:$H$7,W1414)/INDEX(Parameter!$E$5:$E$7,W1414),IF(AND(BZ1414=0,N(IFERROR(VLOOKUP(BX1414,'Gebinde-Kategorie'!$A$5:$N$45,14,0),0))&gt;0),VLOOKUP(BX1414,'Gebinde-Kategorie'!$A$5:$N$45,14,0)*10+Parameter!$M$23,Parameter!$M$24))</f>
        <v>155</v>
      </c>
      <c r="CC1414" s="48" t="str">
        <f aca="false">IF(AND(Parameter!$B$19="Ja",E1414&lt;&gt;"",ISNUMBER(MATCH(E1414,Parameter!$I$35:$I$52,0))),VLOOKUP(E1414,Parameter!$I$35:$J$52,2,0),IFERROR(VLOOKUP(D1414,Parameter!$A$35:$C$64,2,0),"Nein"))</f>
        <v>2+3</v>
      </c>
      <c r="CD1414" s="52" t="n">
        <f aca="false">IF(BZ1414=0,0,IF(N(S1414)&gt;0,S1414,IFERROR(VLOOKUP(D1414,Parameter!$A$35:$C$64,3,0)+0,0)))</f>
        <v>0</v>
      </c>
      <c r="CE1414" s="48" t="n">
        <f aca="false">IF(AA1414&lt;&gt;"",AA1414,Z1414)</f>
        <v>3</v>
      </c>
      <c r="CF1414" s="48" t="str">
        <f aca="false">IF(OR(CE1414=1,CE1414=2,CE1414=3),IF(Parameter!$E$27="Ja","LIFT",IF(CE1414=1,"L1","L23")),IF(CE1414="Aussen","Aussen","-"))</f>
        <v>LIFT</v>
      </c>
      <c r="CG1414" s="59" t="n">
        <f aca="false">IF(N(AB1414)&gt;0,AB1414,0)</f>
        <v>0</v>
      </c>
      <c r="CH1414" s="53" t="n">
        <f aca="false">IF(ISNUMBER(AE1414),1,0)</f>
        <v>0</v>
      </c>
      <c r="CI1414" s="50" t="n">
        <f aca="false">N(AE1414)</f>
        <v>0</v>
      </c>
      <c r="CJ1414" s="50" t="n">
        <f aca="false">N(M1414)+N(N1414)</f>
        <v>758</v>
      </c>
      <c r="CK1414" s="50" t="n">
        <f aca="false">N(M1414)</f>
        <v>58</v>
      </c>
      <c r="CL1414" s="50" t="n">
        <f aca="false">N(N1414)</f>
        <v>700</v>
      </c>
      <c r="CM1414" s="50" t="n">
        <f aca="false">ROUNDUP(H1414/BY1414,0)</f>
        <v>1</v>
      </c>
      <c r="CN1414" s="50" t="n">
        <f aca="false">ROUNDUP(CI1414/BY1414,0)</f>
        <v>0</v>
      </c>
      <c r="CO1414" s="53" t="n">
        <f aca="false">IF(BZ1414=1,0,IFERROR(VLOOKUP(BX1414,'Gebinde-Kategorie'!$A$5:$N$45,5,0)+0,0))</f>
        <v>11</v>
      </c>
      <c r="CP1414" s="53" t="n">
        <f aca="false">IFERROR(IF(OR(CE1414=1,CE1414=2,CE1414=3),N(INDEX(Parameter!$I$5:$I$7,CE1414)),0),0)</f>
        <v>0</v>
      </c>
      <c r="CQ1414" s="52" t="n">
        <f aca="false">IF(AND(Parameter!$B$21="Ja",ISNUMBER(W1414),N(X1414)&gt;0),IFERROR(N(INDEX(Parameter!$L$5:$L$7,W1414))*INDEX(Parameter!$E$5:$E$7,W1414)*X1414/SUMIFS($X$7:$X$1843,$W$7:$W$1843,W1414),0),0)</f>
        <v>0</v>
      </c>
    </row>
    <row r="1415" customFormat="false" ht="15" hidden="false" customHeight="false" outlineLevel="0" collapsed="false">
      <c r="A1415" s="48" t="s">
        <v>2493</v>
      </c>
      <c r="B1415" s="48" t="s">
        <v>2393</v>
      </c>
      <c r="C1415" s="48" t="s">
        <v>173</v>
      </c>
      <c r="D1415" s="48" t="s">
        <v>174</v>
      </c>
      <c r="E1415" s="48"/>
      <c r="F1415" s="48" t="s">
        <v>227</v>
      </c>
      <c r="G1415" s="49" t="n">
        <v>2594.36</v>
      </c>
      <c r="H1415" s="50" t="n">
        <f aca="false">MAX(0,IF(AND(Parameter!$B$21="Ja",ISNUMBER(Y1415)),Y1415,IF(Parameter!$B$20="Jahresanfang 2025 + Export",BR1415+BQ1415,BQ1415)))</f>
        <v>6</v>
      </c>
      <c r="I1415" s="50" t="n">
        <f aca="false">H1415*G1415</f>
        <v>15566.16</v>
      </c>
      <c r="J1415" s="50" t="n">
        <f aca="false">BT1415*Parameter!$B$18</f>
        <v>2</v>
      </c>
      <c r="K1415" s="51" t="n">
        <v>7</v>
      </c>
      <c r="L1415" s="52" t="n">
        <v>0.285714285714286</v>
      </c>
      <c r="M1415" s="50" t="n">
        <v>1</v>
      </c>
      <c r="N1415" s="50" t="n">
        <v>5</v>
      </c>
      <c r="O1415" s="53" t="n">
        <v>88</v>
      </c>
      <c r="P1415" s="48" t="s">
        <v>177</v>
      </c>
      <c r="Q1415" s="50"/>
      <c r="R1415" s="53" t="n">
        <f aca="false">IF(BZ1415=1,0,IFERROR(VLOOKUP(BX1415,'Gebinde-Kategorie'!$A$5:$N$45,13,0)+0,0))</f>
        <v>0</v>
      </c>
      <c r="S1415" s="54"/>
      <c r="T1415" s="55"/>
      <c r="U1415" s="55"/>
      <c r="V1415" s="55"/>
      <c r="W1415" s="48" t="n">
        <v>1</v>
      </c>
      <c r="X1415" s="50" t="n">
        <v>6</v>
      </c>
      <c r="Y1415" s="50" t="n">
        <v>6</v>
      </c>
      <c r="Z1415" s="48" t="n">
        <f aca="false">IF(A1415="","",IF(AND(Parameter!$B$21="Ja",ISNUMBER(W1415)),W1415,IF(CC1415="2+3",IF(ISNUMBER(SEARCH("grosser Artikel",BU1415)),2,IFERROR(VLOOKUP(BX1415,Parameter!$F$35:$G$64,2,0),2)),IF(OR(CC1415="Nein",CC1415=""),"-",CC1415))))</f>
        <v>1</v>
      </c>
      <c r="AA1415" s="55"/>
      <c r="AB1415" s="56"/>
      <c r="AC1415" s="50" t="n">
        <f aca="false">AV1415</f>
        <v>6</v>
      </c>
      <c r="AD1415" s="50" t="n">
        <f aca="false">MAX(AV1415,H1415)</f>
        <v>6</v>
      </c>
      <c r="AE1415" s="57"/>
      <c r="AF1415" s="50" t="n">
        <f aca="false">IF(LEFT(Cockpit!$C$5,1)="A",H1415,IF(Parameter!$E$30="MAX-Bestand",IF(CH1415=1,CI1415,IF(LEFT(Cockpit!$C$5,1)="B",AL1415,MAX(AL1415,H1415))),ROUNDUP(AJ1415,0)))</f>
        <v>6</v>
      </c>
      <c r="AG1415" s="50" t="n">
        <f aca="false">IF(BZ1415=1,0,ROUNDUP(AF1415/BY1415,0))</f>
        <v>0</v>
      </c>
      <c r="AH1415" s="52" t="n">
        <f aca="false">IF(CQ1415&gt;0,CQ1415*MAX(1,AF1415/X1415),IF(BZ1415=1,IF(AF1415&lt;=0,0,CD1415*MAX(1,IF(H1415&gt;0,AF1415/H1415,1))),IF(R1415&gt;0,AG1415/R1415,0))/MAX(0.1,N(Parameter!$M$21)))</f>
        <v>0.480225988700565</v>
      </c>
      <c r="AI1415" s="50" t="n">
        <f aca="false">AH1415*CB1415</f>
        <v>114.293785310734</v>
      </c>
      <c r="AJ1415" s="51" t="n">
        <f aca="false">IF(LEFT(Cockpit!$C$5,1)="A",H1415,IF(CH1415=1,(CK1415+CI1415)/2,IF(LEFT(Cockpit!$C$5,1)="B",(CK1415+AL1415)/2,MAX((CK1415+AL1415)/2,H1415))))</f>
        <v>6</v>
      </c>
      <c r="AK1415" s="50" t="n">
        <f aca="false">AJ1415*G1415</f>
        <v>15566.16</v>
      </c>
      <c r="AL1415" s="50" t="n">
        <f aca="false">ROUNDUP(CK1415+MAX(CL1415,2*(J1415/IF(CG1415&gt;0,CG1415,MAX(0.1,N(Cockpit!$C$6)))-CK1415)),0)</f>
        <v>6</v>
      </c>
      <c r="AM1415" s="51" t="n">
        <f aca="false">IF(AI1415&gt;0,J1415/AI1415,-1)</f>
        <v>0.017498764211567</v>
      </c>
      <c r="AN1415" s="51" t="n">
        <f aca="false">IF(AND(OR(CF1415="L1",CF1415="L23",CF1415="LIFT"),AI1415&gt;0),SUMIFS($AI$7:$AI$1843,$CF$7:$CF$1843,CF1415,$AM$7:$AM$1843,"&gt;"&amp;AM1415)+SUMIFS($AI$7:$AI$1843,$CF$7:$CF$1843,CF1415,$AM$7:$AM$1843,AM1415,$BW$7:$BW$1843,"&lt;="&amp;BW1415),"")</f>
        <v>23530.0239931914</v>
      </c>
      <c r="AO1415" s="58" t="n">
        <f aca="false">IF(AN1415="",0,MAX(0,MIN(1,(IF(CF1415="L1",Parameter!$H$5,IF(CF1415="L23",Parameter!$H$6+Parameter!$H$7,Parameter!$H$5+Parameter!$H$6+Parameter!$H$7))-(AN1415-AI1415))/AI1415)))</f>
        <v>1</v>
      </c>
      <c r="AP1415" s="50" t="n">
        <f aca="false">IF(LEFT(Cockpit!$I$5,1)="A",H1415,IF(Parameter!$E$30="MAX-Bestand",IF(CH1415=1,CI1415,IF(LEFT(Cockpit!$I$5,1)="B",AV1415,MAX(AV1415,H1415))),ROUNDUP(AT1415,0)))</f>
        <v>6</v>
      </c>
      <c r="AQ1415" s="50" t="n">
        <f aca="false">IF(BZ1415=1,0,ROUNDUP(AP1415/BY1415,0))</f>
        <v>0</v>
      </c>
      <c r="AR1415" s="52" t="n">
        <f aca="false">IF(CQ1415&gt;0,CQ1415*MAX(1,AP1415/X1415),IF(BZ1415=1,IF(AP1415&lt;=0,0,CD1415*MAX(1,IF(H1415&gt;0,AP1415/H1415,1))),IF(R1415&gt;0,AQ1415/R1415,0))/MAX(0.1,N(Parameter!$M$21)))</f>
        <v>0.480225988700565</v>
      </c>
      <c r="AS1415" s="50" t="n">
        <f aca="false">AR1415*CB1415</f>
        <v>114.293785310734</v>
      </c>
      <c r="AT1415" s="51" t="n">
        <f aca="false">IF(LEFT(Cockpit!$I$5,1)="A",H1415,IF(CH1415=1,(CK1415+CI1415)/2,IF(LEFT(Cockpit!$I$5,1)="B",(CK1415+AV1415)/2,MAX((CK1415+AV1415)/2,H1415))))</f>
        <v>6</v>
      </c>
      <c r="AU1415" s="50" t="n">
        <f aca="false">AT1415*G1415</f>
        <v>15566.16</v>
      </c>
      <c r="AV1415" s="50" t="n">
        <f aca="false">ROUNDUP(CK1415+MAX(CL1415,2*(J1415/IF(CG1415&gt;0,CG1415,MAX(0.1,N(Cockpit!$I$6)))-CK1415)),0)</f>
        <v>6</v>
      </c>
      <c r="AW1415" s="51" t="n">
        <f aca="false">IF(AS1415&gt;0,J1415/AS1415,-1)</f>
        <v>0.017498764211567</v>
      </c>
      <c r="AX1415" s="51" t="n">
        <f aca="false">IF(AND(OR(CF1415="L1",CF1415="L23",CF1415="LIFT"),AS1415&gt;0),SUMIFS($AS$7:$AS$1843,$CF$7:$CF$1843,CF1415,$AW$7:$AW$1843,"&gt;"&amp;AW1415)+SUMIFS($AS$7:$AS$1843,$CF$7:$CF$1843,CF1415,$AW$7:$AW$1843,AW1415,$BW$7:$BW$1843,"&lt;="&amp;BW1415),"")</f>
        <v>28765.6726345688</v>
      </c>
      <c r="AY1415" s="58" t="n">
        <f aca="false">IF(AX1415="",0,MAX(0,MIN(1,(IF(CF1415="L1",Parameter!$H$5,IF(CF1415="L23",Parameter!$H$6+Parameter!$H$7,Parameter!$H$5+Parameter!$H$6+Parameter!$H$7))-(AX1415-AS1415))/AS1415)))</f>
        <v>1</v>
      </c>
      <c r="AZ1415" s="50" t="n">
        <f aca="false">IF(LEFT(Cockpit!$O$5,1)="A",H1415,IF(Parameter!$E$30="MAX-Bestand",IF(CH1415=1,CI1415,IF(LEFT(Cockpit!$O$5,1)="B",BF1415,MAX(BF1415,H1415))),ROUNDUP(BD1415,0)))</f>
        <v>4</v>
      </c>
      <c r="BA1415" s="50" t="n">
        <f aca="false">IF(BZ1415=1,0,ROUNDUP(AZ1415/BY1415,0))</f>
        <v>0</v>
      </c>
      <c r="BB1415" s="52" t="n">
        <f aca="false">IF(CQ1415&gt;0,CQ1415*MAX(1,AZ1415/X1415),IF(BZ1415=1,IF(AZ1415&lt;=0,0,CD1415*MAX(1,IF(H1415&gt;0,AZ1415/H1415,1))),IF(R1415&gt;0,BA1415/R1415,0))/MAX(0.1,N(Parameter!$M$21)))</f>
        <v>0.480225988700565</v>
      </c>
      <c r="BC1415" s="50" t="n">
        <f aca="false">BB1415*CB1415</f>
        <v>114.293785310734</v>
      </c>
      <c r="BD1415" s="51" t="n">
        <f aca="false">IF(LEFT(Cockpit!$O$5,1)="A",H1415,IF(CH1415=1,(CK1415+CI1415)/2,IF(LEFT(Cockpit!$O$5,1)="B",(CK1415+BF1415)/2,MAX((CK1415+BF1415)/2,H1415))))</f>
        <v>3.5</v>
      </c>
      <c r="BE1415" s="50" t="n">
        <f aca="false">BD1415*G1415</f>
        <v>9080.26</v>
      </c>
      <c r="BF1415" s="50" t="n">
        <f aca="false">ROUNDUP(CK1415+MAX(CL1415,2*(J1415/IF(CG1415&gt;0,CG1415,MAX(0.1,N(Cockpit!$O$6)))-CK1415)),0)</f>
        <v>6</v>
      </c>
      <c r="BG1415" s="51" t="n">
        <f aca="false">IF(BC1415&gt;0,J1415/BC1415,-1)</f>
        <v>0.017498764211567</v>
      </c>
      <c r="BH1415" s="51" t="n">
        <f aca="false">IF(AND(OR(CF1415="L1",CF1415="L23",CF1415="LIFT"),BC1415&gt;0),SUMIFS($BC$7:$BC$1843,$CF$7:$CF$1843,CF1415,$BG$7:$BG$1843,"&gt;"&amp;BG1415)+SUMIFS($BC$7:$BC$1843,$CF$7:$CF$1843,CF1415,$BG$7:$BG$1843,BG1415,$BW$7:$BW$1843,"&lt;="&amp;BW1415),"")</f>
        <v>24311.4211445334</v>
      </c>
      <c r="BI1415" s="58" t="n">
        <f aca="false">IF(BH1415="",0,MAX(0,MIN(1,(IF(CF1415="L1",Parameter!$H$5,IF(CF1415="L23",Parameter!$H$6+Parameter!$H$7,Parameter!$H$5+Parameter!$H$6+Parameter!$H$7))-(BH1415-BC1415))/BC1415)))</f>
        <v>1</v>
      </c>
      <c r="BJ1415" s="48" t="str">
        <f aca="false">IF(AI1415&lt;=0,"",IF(CF1415="Aussen","Aussenlager",IF(CF1415="-","Nicht im Lift",IF(AO1415&gt;=1,"Lift",IF(AO1415&lt;=0,"Aussenlager","teilweise")))))</f>
        <v>Lift</v>
      </c>
      <c r="BK1415" s="48" t="str">
        <f aca="false">IF(AS1415&lt;=0,"",IF(CF1415="Aussen","Aussenlager",IF(CF1415="-","Nicht im Lift",IF(AY1415&gt;=1,"Lift",IF(AY1415&lt;=0,"Aussenlager","teilweise")))))</f>
        <v>Lift</v>
      </c>
      <c r="BL1415" s="48" t="str">
        <f aca="false">IF(BC1415&lt;=0,"",IF(CF1415="Aussen","Aussenlager",IF(CF1415="-","Nicht im Lift",IF(BI1415&gt;=1,"Lift",IF(BI1415&lt;=0,"Aussenlager","teilweise")))))</f>
        <v>Lift</v>
      </c>
      <c r="BM1415" s="48" t="str">
        <f aca="false">IF(A1415="","",IF(BV1415=1,"Neu; ","")&amp;IF(AND(BV1415=0,BQ1415&lt;0),"negativer Bestand (Export "&amp;BQ1415&amp;"); ","")&amp;IF(J1415&lt;=0,"Kein Verbrauch; ","")&amp;IF(CQ1415&gt;0,"Lift "&amp;W1415&amp;" lt. Liftbericht (Fach "&amp;X1415&amp;" Stk); ",IF(CA1415=1,"Gebinde geschätzt ("&amp;T1415&amp;"); ",IF(BZ1415=1,"Lose – Tablare geschätzt; ","")))&amp;IF(H1415&gt;AV1415,"Überbestand "&amp;ROUND(H1415-AV1415,0)&amp;" Stk / CHF "&amp;ROUND((H1415-AV1415)*G1415,0)&amp;"; ","")&amp;IF(AND(CH1415=1,CI1415&lt;CJ1415),"MAX &lt; MB+LG; ","")&amp;IF(AND(CP1415&gt;0,CO1415*10&gt;CP1415),"zu hoch für Tablar; ","")&amp;IF(AND(BV1415=0,OR(CH1415=1,AA1415&lt;&gt;"",U1415&lt;&gt;"",V1415&lt;&gt;"",AB1415&lt;&gt;"")),"manuell übersteuert; ","")&amp;IF(AND(BZ1415=0,R1415=0),"Gebinde unbekannt / Stellmass fehlt; ","")&amp;IF(AND(BZ1415=0,N(V1415)&lt;=0,N(Q1415)&lt;=0),"Menge pro Gebinde fehlt (Ist = 1 Gebinde); ","")&amp;BU1415)</f>
        <v>negativer Bestand (Export -2); Lift 1 lt. Liftbericht (Fach 6 Stk); </v>
      </c>
      <c r="BN1415" s="48"/>
      <c r="BO1415" s="48"/>
      <c r="BP1415" s="55"/>
      <c r="BQ1415" s="50" t="n">
        <v>-2</v>
      </c>
      <c r="BR1415" s="50" t="n">
        <v>8</v>
      </c>
      <c r="BS1415" s="49" t="n">
        <v>-5188.72</v>
      </c>
      <c r="BT1415" s="50" t="n">
        <v>2</v>
      </c>
      <c r="BU1415" s="48"/>
      <c r="BV1415" s="53" t="n">
        <v>0</v>
      </c>
      <c r="BW1415" s="53" t="n">
        <v>1415</v>
      </c>
      <c r="BX1415" s="48" t="str">
        <f aca="false">IF(U1415&lt;&gt;"",UPPER(TRIM(U1415)),IF(CA1415=1,UPPER(VLOOKUP(T1415,Parameter!$I$27:$K$29,2,0)),IF(P1415="","LOSE",P1415)))</f>
        <v>LOSE</v>
      </c>
      <c r="BY1415" s="50" t="n">
        <f aca="false">IF(BX1415="LOSE",1,IF(N(V1415)&gt;0,V1415,IF(CA1415=1,MAX(1,N(VLOOKUP(T1415,Parameter!$I$27:$K$29,3,0)),H1415,N(N1415)),IF(N(Q1415)&gt;0,Q1415,MAX(1,H1415)))))</f>
        <v>1</v>
      </c>
      <c r="BZ1415" s="53" t="n">
        <f aca="false">IF(BX1415="LOSE",1,0)</f>
        <v>1</v>
      </c>
      <c r="CA1415" s="53" t="n">
        <f aca="false">IF(AND(U1415="",OR(P1415="",P1415="LOSE"),T1415&lt;&gt;"",N(S1415)&lt;=0,ISNUMBER(MATCH(T1415,Parameter!$I$27:$I$29,0))),1,0)</f>
        <v>0</v>
      </c>
      <c r="CB1415" s="53" t="n">
        <f aca="false">IF(CQ1415&gt;0,INDEX(Parameter!$H$5:$H$7,W1415)/INDEX(Parameter!$E$5:$E$7,W1415),IF(AND(BZ1415=0,N(IFERROR(VLOOKUP(BX1415,'Gebinde-Kategorie'!$A$5:$N$45,14,0),0))&gt;0),VLOOKUP(BX1415,'Gebinde-Kategorie'!$A$5:$N$45,14,0)*10+Parameter!$M$23,Parameter!$M$24))</f>
        <v>238</v>
      </c>
      <c r="CC1415" s="48" t="n">
        <f aca="false">IF(AND(Parameter!$B$19="Ja",E1415&lt;&gt;"",ISNUMBER(MATCH(E1415,Parameter!$I$35:$I$52,0))),VLOOKUP(E1415,Parameter!$I$35:$J$52,2,0),IFERROR(VLOOKUP(D1415,Parameter!$A$35:$C$64,2,0),"Nein"))</f>
        <v>1</v>
      </c>
      <c r="CD1415" s="52" t="n">
        <f aca="false">IF(BZ1415=0,0,IF(N(S1415)&gt;0,S1415,IFERROR(VLOOKUP(D1415,Parameter!$A$35:$C$64,3,0)+0,0)))</f>
        <v>1</v>
      </c>
      <c r="CE1415" s="48" t="n">
        <f aca="false">IF(AA1415&lt;&gt;"",AA1415,Z1415)</f>
        <v>1</v>
      </c>
      <c r="CF1415" s="48" t="str">
        <f aca="false">IF(OR(CE1415=1,CE1415=2,CE1415=3),IF(Parameter!$E$27="Ja","LIFT",IF(CE1415=1,"L1","L23")),IF(CE1415="Aussen","Aussen","-"))</f>
        <v>LIFT</v>
      </c>
      <c r="CG1415" s="59" t="n">
        <f aca="false">IF(N(AB1415)&gt;0,AB1415,0)</f>
        <v>0</v>
      </c>
      <c r="CH1415" s="53" t="n">
        <f aca="false">IF(ISNUMBER(AE1415),1,0)</f>
        <v>0</v>
      </c>
      <c r="CI1415" s="50" t="n">
        <f aca="false">N(AE1415)</f>
        <v>0</v>
      </c>
      <c r="CJ1415" s="50" t="n">
        <f aca="false">N(M1415)+N(N1415)</f>
        <v>6</v>
      </c>
      <c r="CK1415" s="50" t="n">
        <f aca="false">N(M1415)</f>
        <v>1</v>
      </c>
      <c r="CL1415" s="50" t="n">
        <f aca="false">N(N1415)</f>
        <v>5</v>
      </c>
      <c r="CM1415" s="50" t="n">
        <f aca="false">ROUNDUP(H1415/BY1415,0)</f>
        <v>6</v>
      </c>
      <c r="CN1415" s="50" t="n">
        <f aca="false">ROUNDUP(CI1415/BY1415,0)</f>
        <v>0</v>
      </c>
      <c r="CO1415" s="53" t="n">
        <f aca="false">IF(BZ1415=1,0,IFERROR(VLOOKUP(BX1415,'Gebinde-Kategorie'!$A$5:$N$45,5,0)+0,0))</f>
        <v>0</v>
      </c>
      <c r="CP1415" s="53" t="n">
        <f aca="false">IFERROR(IF(OR(CE1415=1,CE1415=2,CE1415=3),N(INDEX(Parameter!$I$5:$I$7,CE1415)),0),0)</f>
        <v>0</v>
      </c>
      <c r="CQ1415" s="52" t="n">
        <f aca="false">IF(AND(Parameter!$B$21="Ja",ISNUMBER(W1415),N(X1415)&gt;0),IFERROR(N(INDEX(Parameter!$L$5:$L$7,W1415))*INDEX(Parameter!$E$5:$E$7,W1415)*X1415/SUMIFS($X$7:$X$1843,$W$7:$W$1843,W1415),0),0)</f>
        <v>0.480225988700565</v>
      </c>
    </row>
    <row r="1416" customFormat="false" ht="15" hidden="false" customHeight="false" outlineLevel="0" collapsed="false">
      <c r="A1416" s="48" t="s">
        <v>2494</v>
      </c>
      <c r="B1416" s="48" t="s">
        <v>2446</v>
      </c>
      <c r="C1416" s="48" t="s">
        <v>465</v>
      </c>
      <c r="D1416" s="48" t="s">
        <v>193</v>
      </c>
      <c r="E1416" s="48" t="s">
        <v>194</v>
      </c>
      <c r="F1416" s="48" t="s">
        <v>227</v>
      </c>
      <c r="G1416" s="49" t="n">
        <v>655.07</v>
      </c>
      <c r="H1416" s="50" t="n">
        <f aca="false">MAX(0,IF(AND(Parameter!$B$21="Ja",ISNUMBER(Y1416)),Y1416,IF(Parameter!$B$20="Jahresanfang 2025 + Export",BR1416+BQ1416,BQ1416)))</f>
        <v>0</v>
      </c>
      <c r="I1416" s="50" t="n">
        <f aca="false">H1416*G1416</f>
        <v>0</v>
      </c>
      <c r="J1416" s="50" t="n">
        <f aca="false">BT1416*Parameter!$B$18</f>
        <v>5</v>
      </c>
      <c r="K1416" s="51" t="n">
        <v>4</v>
      </c>
      <c r="L1416" s="52" t="n">
        <v>1.25</v>
      </c>
      <c r="M1416" s="50" t="n">
        <v>0</v>
      </c>
      <c r="N1416" s="50" t="n">
        <v>5</v>
      </c>
      <c r="O1416" s="53" t="n">
        <v>35</v>
      </c>
      <c r="P1416" s="48" t="s">
        <v>235</v>
      </c>
      <c r="Q1416" s="50" t="n">
        <v>11</v>
      </c>
      <c r="R1416" s="53" t="n">
        <f aca="false">IF(BZ1416=1,0,IFERROR(VLOOKUP(BX1416,'Gebinde-Kategorie'!$A$5:$N$45,13,0)+0,0))</f>
        <v>12</v>
      </c>
      <c r="S1416" s="54"/>
      <c r="T1416" s="55"/>
      <c r="U1416" s="55"/>
      <c r="V1416" s="55"/>
      <c r="W1416" s="48"/>
      <c r="X1416" s="50"/>
      <c r="Y1416" s="50"/>
      <c r="Z1416" s="48" t="n">
        <f aca="false">IF(A1416="","",IF(AND(Parameter!$B$21="Ja",ISNUMBER(W1416)),W1416,IF(CC1416="2+3",IF(ISNUMBER(SEARCH("grosser Artikel",BU1416)),2,IFERROR(VLOOKUP(BX1416,Parameter!$F$35:$G$64,2,0),2)),IF(OR(CC1416="Nein",CC1416=""),"-",CC1416))))</f>
        <v>2</v>
      </c>
      <c r="AA1416" s="55"/>
      <c r="AB1416" s="56"/>
      <c r="AC1416" s="50" t="n">
        <f aca="false">AV1416</f>
        <v>5</v>
      </c>
      <c r="AD1416" s="50" t="n">
        <f aca="false">MAX(AV1416,H1416)</f>
        <v>5</v>
      </c>
      <c r="AE1416" s="57"/>
      <c r="AF1416" s="50" t="n">
        <f aca="false">IF(LEFT(Cockpit!$C$5,1)="A",H1416,IF(Parameter!$E$30="MAX-Bestand",IF(CH1416=1,CI1416,IF(LEFT(Cockpit!$C$5,1)="B",AL1416,MAX(AL1416,H1416))),ROUNDUP(AJ1416,0)))</f>
        <v>0</v>
      </c>
      <c r="AG1416" s="50" t="n">
        <f aca="false">IF(BZ1416=1,0,ROUNDUP(AF1416/BY1416,0))</f>
        <v>0</v>
      </c>
      <c r="AH1416" s="52" t="n">
        <f aca="false">IF(CQ1416&gt;0,CQ1416*MAX(1,AF1416/X1416),IF(BZ1416=1,IF(AF1416&lt;=0,0,CD1416*MAX(1,IF(H1416&gt;0,AF1416/H1416,1))),IF(R1416&gt;0,AG1416/R1416,0))/MAX(0.1,N(Parameter!$M$21)))</f>
        <v>0</v>
      </c>
      <c r="AI1416" s="50" t="n">
        <f aca="false">AH1416*CB1416</f>
        <v>0</v>
      </c>
      <c r="AJ1416" s="51" t="n">
        <f aca="false">IF(LEFT(Cockpit!$C$5,1)="A",H1416,IF(CH1416=1,(CK1416+CI1416)/2,IF(LEFT(Cockpit!$C$5,1)="B",(CK1416+AL1416)/2,MAX((CK1416+AL1416)/2,H1416))))</f>
        <v>0</v>
      </c>
      <c r="AK1416" s="50" t="n">
        <f aca="false">AJ1416*G1416</f>
        <v>0</v>
      </c>
      <c r="AL1416" s="50" t="n">
        <f aca="false">ROUNDUP(CK1416+MAX(CL1416,2*(J1416/IF(CG1416&gt;0,CG1416,MAX(0.1,N(Cockpit!$C$6)))-CK1416)),0)</f>
        <v>5</v>
      </c>
      <c r="AM1416" s="51" t="n">
        <f aca="false">IF(AI1416&gt;0,J1416/AI1416,-1)</f>
        <v>-1</v>
      </c>
      <c r="AN1416" s="51" t="str">
        <f aca="false">IF(AND(OR(CF1416="L1",CF1416="L23",CF1416="LIFT"),AI1416&gt;0),SUMIFS($AI$7:$AI$1843,$CF$7:$CF$1843,CF1416,$AM$7:$AM$1843,"&gt;"&amp;AM1416)+SUMIFS($AI$7:$AI$1843,$CF$7:$CF$1843,CF1416,$AM$7:$AM$1843,AM1416,$BW$7:$BW$1843,"&lt;="&amp;BW1416),"")</f>
        <v/>
      </c>
      <c r="AO1416" s="58" t="n">
        <f aca="false">IF(AN1416="",0,MAX(0,MIN(1,(IF(CF1416="L1",Parameter!$H$5,IF(CF1416="L23",Parameter!$H$6+Parameter!$H$7,Parameter!$H$5+Parameter!$H$6+Parameter!$H$7))-(AN1416-AI1416))/AI1416)))</f>
        <v>0</v>
      </c>
      <c r="AP1416" s="50" t="n">
        <f aca="false">IF(LEFT(Cockpit!$I$5,1)="A",H1416,IF(Parameter!$E$30="MAX-Bestand",IF(CH1416=1,CI1416,IF(LEFT(Cockpit!$I$5,1)="B",AV1416,MAX(AV1416,H1416))),ROUNDUP(AT1416,0)))</f>
        <v>3</v>
      </c>
      <c r="AQ1416" s="50" t="n">
        <f aca="false">IF(BZ1416=1,0,ROUNDUP(AP1416/BY1416,0))</f>
        <v>1</v>
      </c>
      <c r="AR1416" s="52" t="n">
        <f aca="false">IF(CQ1416&gt;0,CQ1416*MAX(1,AP1416/X1416),IF(BZ1416=1,IF(AP1416&lt;=0,0,CD1416*MAX(1,IF(H1416&gt;0,AP1416/H1416,1))),IF(R1416&gt;0,AQ1416/R1416,0))/MAX(0.1,N(Parameter!$M$21)))</f>
        <v>0.0833333333333333</v>
      </c>
      <c r="AS1416" s="50" t="n">
        <f aca="false">AR1416*CB1416</f>
        <v>28.75</v>
      </c>
      <c r="AT1416" s="51" t="n">
        <f aca="false">IF(LEFT(Cockpit!$I$5,1)="A",H1416,IF(CH1416=1,(CK1416+CI1416)/2,IF(LEFT(Cockpit!$I$5,1)="B",(CK1416+AV1416)/2,MAX((CK1416+AV1416)/2,H1416))))</f>
        <v>2.5</v>
      </c>
      <c r="AU1416" s="50" t="n">
        <f aca="false">AT1416*G1416</f>
        <v>1637.675</v>
      </c>
      <c r="AV1416" s="50" t="n">
        <f aca="false">ROUNDUP(CK1416+MAX(CL1416,2*(J1416/IF(CG1416&gt;0,CG1416,MAX(0.1,N(Cockpit!$I$6)))-CK1416)),0)</f>
        <v>5</v>
      </c>
      <c r="AW1416" s="51" t="n">
        <f aca="false">IF(AS1416&gt;0,J1416/AS1416,-1)</f>
        <v>0.173913043478261</v>
      </c>
      <c r="AX1416" s="51" t="n">
        <f aca="false">IF(AND(OR(CF1416="L1",CF1416="L23",CF1416="LIFT"),AS1416&gt;0),SUMIFS($AS$7:$AS$1843,$CF$7:$CF$1843,CF1416,$AW$7:$AW$1843,"&gt;"&amp;AW1416)+SUMIFS($AS$7:$AS$1843,$CF$7:$CF$1843,CF1416,$AW$7:$AW$1843,AW1416,$BW$7:$BW$1843,"&lt;="&amp;BW1416),"")</f>
        <v>15537.7413003663</v>
      </c>
      <c r="AY1416" s="58" t="n">
        <f aca="false">IF(AX1416="",0,MAX(0,MIN(1,(IF(CF1416="L1",Parameter!$H$5,IF(CF1416="L23",Parameter!$H$6+Parameter!$H$7,Parameter!$H$5+Parameter!$H$6+Parameter!$H$7))-(AX1416-AS1416))/AS1416)))</f>
        <v>1</v>
      </c>
      <c r="AZ1416" s="50" t="n">
        <f aca="false">IF(LEFT(Cockpit!$O$5,1)="A",H1416,IF(Parameter!$E$30="MAX-Bestand",IF(CH1416=1,CI1416,IF(LEFT(Cockpit!$O$5,1)="B",BF1416,MAX(BF1416,H1416))),ROUNDUP(BD1416,0)))</f>
        <v>3</v>
      </c>
      <c r="BA1416" s="50" t="n">
        <f aca="false">IF(BZ1416=1,0,ROUNDUP(AZ1416/BY1416,0))</f>
        <v>1</v>
      </c>
      <c r="BB1416" s="52" t="n">
        <f aca="false">IF(CQ1416&gt;0,CQ1416*MAX(1,AZ1416/X1416),IF(BZ1416=1,IF(AZ1416&lt;=0,0,CD1416*MAX(1,IF(H1416&gt;0,AZ1416/H1416,1))),IF(R1416&gt;0,BA1416/R1416,0))/MAX(0.1,N(Parameter!$M$21)))</f>
        <v>0.0833333333333333</v>
      </c>
      <c r="BC1416" s="50" t="n">
        <f aca="false">BB1416*CB1416</f>
        <v>28.75</v>
      </c>
      <c r="BD1416" s="51" t="n">
        <f aca="false">IF(LEFT(Cockpit!$O$5,1)="A",H1416,IF(CH1416=1,(CK1416+CI1416)/2,IF(LEFT(Cockpit!$O$5,1)="B",(CK1416+BF1416)/2,MAX((CK1416+BF1416)/2,H1416))))</f>
        <v>2.5</v>
      </c>
      <c r="BE1416" s="50" t="n">
        <f aca="false">BD1416*G1416</f>
        <v>1637.675</v>
      </c>
      <c r="BF1416" s="50" t="n">
        <f aca="false">ROUNDUP(CK1416+MAX(CL1416,2*(J1416/IF(CG1416&gt;0,CG1416,MAX(0.1,N(Cockpit!$O$6)))-CK1416)),0)</f>
        <v>5</v>
      </c>
      <c r="BG1416" s="51" t="n">
        <f aca="false">IF(BC1416&gt;0,J1416/BC1416,-1)</f>
        <v>0.173913043478261</v>
      </c>
      <c r="BH1416" s="51" t="n">
        <f aca="false">IF(AND(OR(CF1416="L1",CF1416="L23",CF1416="LIFT"),BC1416&gt;0),SUMIFS($BC$7:$BC$1843,$CF$7:$CF$1843,CF1416,$BG$7:$BG$1843,"&gt;"&amp;BG1416)+SUMIFS($BC$7:$BC$1843,$CF$7:$CF$1843,CF1416,$BG$7:$BG$1843,BG1416,$BW$7:$BW$1843,"&lt;="&amp;BW1416),"")</f>
        <v>13334.0795901368</v>
      </c>
      <c r="BI1416" s="58" t="n">
        <f aca="false">IF(BH1416="",0,MAX(0,MIN(1,(IF(CF1416="L1",Parameter!$H$5,IF(CF1416="L23",Parameter!$H$6+Parameter!$H$7,Parameter!$H$5+Parameter!$H$6+Parameter!$H$7))-(BH1416-BC1416))/BC1416)))</f>
        <v>1</v>
      </c>
      <c r="BJ1416" s="48" t="str">
        <f aca="false">IF(AI1416&lt;=0,"",IF(CF1416="Aussen","Aussenlager",IF(CF1416="-","Nicht im Lift",IF(AO1416&gt;=1,"Lift",IF(AO1416&lt;=0,"Aussenlager","teilweise")))))</f>
        <v/>
      </c>
      <c r="BK1416" s="48" t="str">
        <f aca="false">IF(AS1416&lt;=0,"",IF(CF1416="Aussen","Aussenlager",IF(CF1416="-","Nicht im Lift",IF(AY1416&gt;=1,"Lift",IF(AY1416&lt;=0,"Aussenlager","teilweise")))))</f>
        <v>Lift</v>
      </c>
      <c r="BL1416" s="48" t="str">
        <f aca="false">IF(BC1416&lt;=0,"",IF(CF1416="Aussen","Aussenlager",IF(CF1416="-","Nicht im Lift",IF(BI1416&gt;=1,"Lift",IF(BI1416&lt;=0,"Aussenlager","teilweise")))))</f>
        <v>Lift</v>
      </c>
      <c r="BM1416" s="48" t="str">
        <f aca="false">IF(A1416="","",IF(BV1416=1,"Neu; ","")&amp;IF(AND(BV1416=0,BQ1416&lt;0),"negativer Bestand (Export "&amp;BQ1416&amp;"); ","")&amp;IF(J1416&lt;=0,"Kein Verbrauch; ","")&amp;IF(CQ1416&gt;0,"Lift "&amp;W1416&amp;" lt. Liftbericht (Fach "&amp;X1416&amp;" Stk); ",IF(CA1416=1,"Gebinde geschätzt ("&amp;T1416&amp;"); ",IF(BZ1416=1,"Lose – Tablare geschätzt; ","")))&amp;IF(H1416&gt;AV1416,"Überbestand "&amp;ROUND(H1416-AV1416,0)&amp;" Stk / CHF "&amp;ROUND((H1416-AV1416)*G1416,0)&amp;"; ","")&amp;IF(AND(CH1416=1,CI1416&lt;CJ1416),"MAX &lt; MB+LG; ","")&amp;IF(AND(CP1416&gt;0,CO1416*10&gt;CP1416),"zu hoch für Tablar; ","")&amp;IF(AND(BV1416=0,OR(CH1416=1,AA1416&lt;&gt;"",U1416&lt;&gt;"",V1416&lt;&gt;"",AB1416&lt;&gt;"")),"manuell übersteuert; ","")&amp;IF(AND(BZ1416=0,R1416=0),"Gebinde unbekannt / Stellmass fehlt; ","")&amp;IF(AND(BZ1416=0,N(V1416)&lt;=0,N(Q1416)&lt;=0),"Menge pro Gebinde fehlt (Ist = 1 Gebinde); ","")&amp;BU1416)</f>
        <v>negativer Bestand (Export -8); </v>
      </c>
      <c r="BN1416" s="48"/>
      <c r="BO1416" s="48"/>
      <c r="BP1416" s="55"/>
      <c r="BQ1416" s="50" t="n">
        <v>-8</v>
      </c>
      <c r="BR1416" s="50" t="n">
        <v>8</v>
      </c>
      <c r="BS1416" s="49" t="n">
        <v>-5240.56</v>
      </c>
      <c r="BT1416" s="50" t="n">
        <v>5</v>
      </c>
      <c r="BU1416" s="48"/>
      <c r="BV1416" s="53" t="n">
        <v>0</v>
      </c>
      <c r="BW1416" s="53" t="n">
        <v>1416</v>
      </c>
      <c r="BX1416" s="48" t="str">
        <f aca="false">IF(U1416&lt;&gt;"",UPPER(TRIM(U1416)),IF(CA1416=1,UPPER(VLOOKUP(T1416,Parameter!$I$27:$K$29,2,0)),IF(P1416="","LOSE",P1416)))</f>
        <v>S63</v>
      </c>
      <c r="BY1416" s="50" t="n">
        <f aca="false">IF(BX1416="LOSE",1,IF(N(V1416)&gt;0,V1416,IF(CA1416=1,MAX(1,N(VLOOKUP(T1416,Parameter!$I$27:$K$29,3,0)),H1416,N(N1416)),IF(N(Q1416)&gt;0,Q1416,MAX(1,H1416)))))</f>
        <v>11</v>
      </c>
      <c r="BZ1416" s="53" t="n">
        <f aca="false">IF(BX1416="LOSE",1,0)</f>
        <v>0</v>
      </c>
      <c r="CA1416" s="53" t="n">
        <f aca="false">IF(AND(U1416="",OR(P1416="",P1416="LOSE"),T1416&lt;&gt;"",N(S1416)&lt;=0,ISNUMBER(MATCH(T1416,Parameter!$I$27:$I$29,0))),1,0)</f>
        <v>0</v>
      </c>
      <c r="CB1416" s="53" t="n">
        <f aca="false">IF(CQ1416&gt;0,INDEX(Parameter!$H$5:$H$7,W1416)/INDEX(Parameter!$E$5:$E$7,W1416),IF(AND(BZ1416=0,N(IFERROR(VLOOKUP(BX1416,'Gebinde-Kategorie'!$A$5:$N$45,14,0),0))&gt;0),VLOOKUP(BX1416,'Gebinde-Kategorie'!$A$5:$N$45,14,0)*10+Parameter!$M$23,Parameter!$M$24))</f>
        <v>345</v>
      </c>
      <c r="CC1416" s="48" t="str">
        <f aca="false">IF(AND(Parameter!$B$19="Ja",E1416&lt;&gt;"",ISNUMBER(MATCH(E1416,Parameter!$I$35:$I$52,0))),VLOOKUP(E1416,Parameter!$I$35:$J$52,2,0),IFERROR(VLOOKUP(D1416,Parameter!$A$35:$C$64,2,0),"Nein"))</f>
        <v>2+3</v>
      </c>
      <c r="CD1416" s="52" t="n">
        <f aca="false">IF(BZ1416=0,0,IF(N(S1416)&gt;0,S1416,IFERROR(VLOOKUP(D1416,Parameter!$A$35:$C$64,3,0)+0,0)))</f>
        <v>0</v>
      </c>
      <c r="CE1416" s="48" t="n">
        <f aca="false">IF(AA1416&lt;&gt;"",AA1416,Z1416)</f>
        <v>2</v>
      </c>
      <c r="CF1416" s="48" t="str">
        <f aca="false">IF(OR(CE1416=1,CE1416=2,CE1416=3),IF(Parameter!$E$27="Ja","LIFT",IF(CE1416=1,"L1","L23")),IF(CE1416="Aussen","Aussen","-"))</f>
        <v>LIFT</v>
      </c>
      <c r="CG1416" s="59" t="n">
        <f aca="false">IF(N(AB1416)&gt;0,AB1416,0)</f>
        <v>0</v>
      </c>
      <c r="CH1416" s="53" t="n">
        <f aca="false">IF(ISNUMBER(AE1416),1,0)</f>
        <v>0</v>
      </c>
      <c r="CI1416" s="50" t="n">
        <f aca="false">N(AE1416)</f>
        <v>0</v>
      </c>
      <c r="CJ1416" s="50" t="n">
        <f aca="false">N(M1416)+N(N1416)</f>
        <v>5</v>
      </c>
      <c r="CK1416" s="50" t="n">
        <f aca="false">N(M1416)</f>
        <v>0</v>
      </c>
      <c r="CL1416" s="50" t="n">
        <f aca="false">N(N1416)</f>
        <v>5</v>
      </c>
      <c r="CM1416" s="50" t="n">
        <f aca="false">ROUNDUP(H1416/BY1416,0)</f>
        <v>0</v>
      </c>
      <c r="CN1416" s="50" t="n">
        <f aca="false">ROUNDUP(CI1416/BY1416,0)</f>
        <v>0</v>
      </c>
      <c r="CO1416" s="53" t="n">
        <f aca="false">IF(BZ1416=1,0,IFERROR(VLOOKUP(BX1416,'Gebinde-Kategorie'!$A$5:$N$45,5,0)+0,0))</f>
        <v>31</v>
      </c>
      <c r="CP1416" s="53" t="n">
        <f aca="false">IFERROR(IF(OR(CE1416=1,CE1416=2,CE1416=3),N(INDEX(Parameter!$I$5:$I$7,CE1416)),0),0)</f>
        <v>0</v>
      </c>
      <c r="CQ1416" s="52" t="n">
        <f aca="false">IF(AND(Parameter!$B$21="Ja",ISNUMBER(W1416),N(X1416)&gt;0),IFERROR(N(INDEX(Parameter!$L$5:$L$7,W1416))*INDEX(Parameter!$E$5:$E$7,W1416)*X1416/SUMIFS($X$7:$X$1843,$W$7:$W$1843,W1416),0),0)</f>
        <v>0</v>
      </c>
    </row>
    <row r="1417" customFormat="false" ht="15" hidden="false" customHeight="false" outlineLevel="0" collapsed="false">
      <c r="A1417" s="48" t="s">
        <v>2495</v>
      </c>
      <c r="B1417" s="48" t="s">
        <v>2496</v>
      </c>
      <c r="C1417" s="48" t="s">
        <v>176</v>
      </c>
      <c r="D1417" s="48" t="s">
        <v>182</v>
      </c>
      <c r="E1417" s="48"/>
      <c r="F1417" s="48" t="s">
        <v>227</v>
      </c>
      <c r="G1417" s="49" t="n">
        <v>34.75</v>
      </c>
      <c r="H1417" s="50" t="n">
        <f aca="false">MAX(0,IF(AND(Parameter!$B$21="Ja",ISNUMBER(Y1417)),Y1417,IF(Parameter!$B$20="Jahresanfang 2025 + Export",BR1417+BQ1417,BQ1417)))</f>
        <v>47</v>
      </c>
      <c r="I1417" s="50" t="n">
        <f aca="false">H1417*G1417</f>
        <v>1633.25</v>
      </c>
      <c r="J1417" s="50" t="n">
        <f aca="false">BT1417*Parameter!$B$18</f>
        <v>185</v>
      </c>
      <c r="K1417" s="51" t="n">
        <v>117.5</v>
      </c>
      <c r="L1417" s="52" t="n">
        <v>1.57446808510638</v>
      </c>
      <c r="M1417" s="50" t="n">
        <v>0</v>
      </c>
      <c r="N1417" s="50" t="n">
        <v>1</v>
      </c>
      <c r="O1417" s="53" t="n">
        <v>56</v>
      </c>
      <c r="P1417" s="48" t="s">
        <v>177</v>
      </c>
      <c r="Q1417" s="50"/>
      <c r="R1417" s="53" t="n">
        <f aca="false">IF(BZ1417=1,0,IFERROR(VLOOKUP(BX1417,'Gebinde-Kategorie'!$A$5:$N$45,13,0)+0,0))</f>
        <v>26</v>
      </c>
      <c r="S1417" s="54"/>
      <c r="T1417" s="55" t="s">
        <v>284</v>
      </c>
      <c r="U1417" s="55"/>
      <c r="V1417" s="55"/>
      <c r="W1417" s="48"/>
      <c r="X1417" s="50"/>
      <c r="Y1417" s="50"/>
      <c r="Z1417" s="48" t="n">
        <f aca="false">IF(A1417="","",IF(AND(Parameter!$B$21="Ja",ISNUMBER(W1417)),W1417,IF(CC1417="2+3",IF(ISNUMBER(SEARCH("grosser Artikel",BU1417)),2,IFERROR(VLOOKUP(BX1417,Parameter!$F$35:$G$64,2,0),2)),IF(OR(CC1417="Nein",CC1417=""),"-",CC1417))))</f>
        <v>3</v>
      </c>
      <c r="AA1417" s="55"/>
      <c r="AB1417" s="56"/>
      <c r="AC1417" s="50" t="n">
        <f aca="false">AV1417</f>
        <v>124</v>
      </c>
      <c r="AD1417" s="50" t="n">
        <f aca="false">MAX(AV1417,H1417)</f>
        <v>124</v>
      </c>
      <c r="AE1417" s="57"/>
      <c r="AF1417" s="50" t="n">
        <f aca="false">IF(LEFT(Cockpit!$C$5,1)="A",H1417,IF(Parameter!$E$30="MAX-Bestand",IF(CH1417=1,CI1417,IF(LEFT(Cockpit!$C$5,1)="B",AL1417,MAX(AL1417,H1417))),ROUNDUP(AJ1417,0)))</f>
        <v>47</v>
      </c>
      <c r="AG1417" s="50" t="n">
        <f aca="false">IF(BZ1417=1,0,ROUNDUP(AF1417/BY1417,0))</f>
        <v>1</v>
      </c>
      <c r="AH1417" s="52" t="n">
        <f aca="false">IF(CQ1417&gt;0,CQ1417*MAX(1,AF1417/X1417),IF(BZ1417=1,IF(AF1417&lt;=0,0,CD1417*MAX(1,IF(H1417&gt;0,AF1417/H1417,1))),IF(R1417&gt;0,AG1417/R1417,0))/MAX(0.1,N(Parameter!$M$21)))</f>
        <v>0.0384615384615385</v>
      </c>
      <c r="AI1417" s="50" t="n">
        <f aca="false">AH1417*CB1417</f>
        <v>5.96153846153846</v>
      </c>
      <c r="AJ1417" s="51" t="n">
        <f aca="false">IF(LEFT(Cockpit!$C$5,1)="A",H1417,IF(CH1417=1,(CK1417+CI1417)/2,IF(LEFT(Cockpit!$C$5,1)="B",(CK1417+AL1417)/2,MAX((CK1417+AL1417)/2,H1417))))</f>
        <v>47</v>
      </c>
      <c r="AK1417" s="50" t="n">
        <f aca="false">AJ1417*G1417</f>
        <v>1633.25</v>
      </c>
      <c r="AL1417" s="50" t="n">
        <f aca="false">ROUNDUP(CK1417+MAX(CL1417,2*(J1417/IF(CG1417&gt;0,CG1417,MAX(0.1,N(Cockpit!$C$6)))-CK1417)),0)</f>
        <v>124</v>
      </c>
      <c r="AM1417" s="51" t="n">
        <f aca="false">IF(AI1417&gt;0,J1417/AI1417,-1)</f>
        <v>31.0322580645161</v>
      </c>
      <c r="AN1417" s="51" t="n">
        <f aca="false">IF(AND(OR(CF1417="L1",CF1417="L23",CF1417="LIFT"),AI1417&gt;0),SUMIFS($AI$7:$AI$1843,$CF$7:$CF$1843,CF1417,$AM$7:$AM$1843,"&gt;"&amp;AM1417)+SUMIFS($AI$7:$AI$1843,$CF$7:$CF$1843,CF1417,$AM$7:$AM$1843,AM1417,$BW$7:$BW$1843,"&lt;="&amp;BW1417),"")</f>
        <v>1393.92857142857</v>
      </c>
      <c r="AO1417" s="58" t="n">
        <f aca="false">IF(AN1417="",0,MAX(0,MIN(1,(IF(CF1417="L1",Parameter!$H$5,IF(CF1417="L23",Parameter!$H$6+Parameter!$H$7,Parameter!$H$5+Parameter!$H$6+Parameter!$H$7))-(AN1417-AI1417))/AI1417)))</f>
        <v>1</v>
      </c>
      <c r="AP1417" s="50" t="n">
        <f aca="false">IF(LEFT(Cockpit!$I$5,1)="A",H1417,IF(Parameter!$E$30="MAX-Bestand",IF(CH1417=1,CI1417,IF(LEFT(Cockpit!$I$5,1)="B",AV1417,MAX(AV1417,H1417))),ROUNDUP(AT1417,0)))</f>
        <v>62</v>
      </c>
      <c r="AQ1417" s="50" t="n">
        <f aca="false">IF(BZ1417=1,0,ROUNDUP(AP1417/BY1417,0))</f>
        <v>2</v>
      </c>
      <c r="AR1417" s="52" t="n">
        <f aca="false">IF(CQ1417&gt;0,CQ1417*MAX(1,AP1417/X1417),IF(BZ1417=1,IF(AP1417&lt;=0,0,CD1417*MAX(1,IF(H1417&gt;0,AP1417/H1417,1))),IF(R1417&gt;0,AQ1417/R1417,0))/MAX(0.1,N(Parameter!$M$21)))</f>
        <v>0.0769230769230769</v>
      </c>
      <c r="AS1417" s="50" t="n">
        <f aca="false">AR1417*CB1417</f>
        <v>11.9230769230769</v>
      </c>
      <c r="AT1417" s="51" t="n">
        <f aca="false">IF(LEFT(Cockpit!$I$5,1)="A",H1417,IF(CH1417=1,(CK1417+CI1417)/2,IF(LEFT(Cockpit!$I$5,1)="B",(CK1417+AV1417)/2,MAX((CK1417+AV1417)/2,H1417))))</f>
        <v>62</v>
      </c>
      <c r="AU1417" s="50" t="n">
        <f aca="false">AT1417*G1417</f>
        <v>2154.5</v>
      </c>
      <c r="AV1417" s="50" t="n">
        <f aca="false">ROUNDUP(CK1417+MAX(CL1417,2*(J1417/IF(CG1417&gt;0,CG1417,MAX(0.1,N(Cockpit!$I$6)))-CK1417)),0)</f>
        <v>124</v>
      </c>
      <c r="AW1417" s="51" t="n">
        <f aca="false">IF(AS1417&gt;0,J1417/AS1417,-1)</f>
        <v>15.5161290322581</v>
      </c>
      <c r="AX1417" s="51" t="n">
        <f aca="false">IF(AND(OR(CF1417="L1",CF1417="L23",CF1417="LIFT"),AS1417&gt;0),SUMIFS($AS$7:$AS$1843,$CF$7:$CF$1843,CF1417,$AW$7:$AW$1843,"&gt;"&amp;AW1417)+SUMIFS($AS$7:$AS$1843,$CF$7:$CF$1843,CF1417,$AW$7:$AW$1843,AW1417,$BW$7:$BW$1843,"&lt;="&amp;BW1417),"")</f>
        <v>2713.62591575092</v>
      </c>
      <c r="AY1417" s="58" t="n">
        <f aca="false">IF(AX1417="",0,MAX(0,MIN(1,(IF(CF1417="L1",Parameter!$H$5,IF(CF1417="L23",Parameter!$H$6+Parameter!$H$7,Parameter!$H$5+Parameter!$H$6+Parameter!$H$7))-(AX1417-AS1417))/AS1417)))</f>
        <v>1</v>
      </c>
      <c r="AZ1417" s="50" t="n">
        <f aca="false">IF(LEFT(Cockpit!$O$5,1)="A",H1417,IF(Parameter!$E$30="MAX-Bestand",IF(CH1417=1,CI1417,IF(LEFT(Cockpit!$O$5,1)="B",BF1417,MAX(BF1417,H1417))),ROUNDUP(BD1417,0)))</f>
        <v>47</v>
      </c>
      <c r="BA1417" s="50" t="n">
        <f aca="false">IF(BZ1417=1,0,ROUNDUP(AZ1417/BY1417,0))</f>
        <v>1</v>
      </c>
      <c r="BB1417" s="52" t="n">
        <f aca="false">IF(CQ1417&gt;0,CQ1417*MAX(1,AZ1417/X1417),IF(BZ1417=1,IF(AZ1417&lt;=0,0,CD1417*MAX(1,IF(H1417&gt;0,AZ1417/H1417,1))),IF(R1417&gt;0,BA1417/R1417,0))/MAX(0.1,N(Parameter!$M$21)))</f>
        <v>0.0384615384615385</v>
      </c>
      <c r="BC1417" s="50" t="n">
        <f aca="false">BB1417*CB1417</f>
        <v>5.96153846153846</v>
      </c>
      <c r="BD1417" s="51" t="n">
        <f aca="false">IF(LEFT(Cockpit!$O$5,1)="A",H1417,IF(CH1417=1,(CK1417+CI1417)/2,IF(LEFT(Cockpit!$O$5,1)="B",(CK1417+BF1417)/2,MAX((CK1417+BF1417)/2,H1417))))</f>
        <v>46.5</v>
      </c>
      <c r="BE1417" s="50" t="n">
        <f aca="false">BD1417*G1417</f>
        <v>1615.875</v>
      </c>
      <c r="BF1417" s="50" t="n">
        <f aca="false">ROUNDUP(CK1417+MAX(CL1417,2*(J1417/IF(CG1417&gt;0,CG1417,MAX(0.1,N(Cockpit!$O$6)))-CK1417)),0)</f>
        <v>93</v>
      </c>
      <c r="BG1417" s="51" t="n">
        <f aca="false">IF(BC1417&gt;0,J1417/BC1417,-1)</f>
        <v>31.0322580645161</v>
      </c>
      <c r="BH1417" s="51" t="n">
        <f aca="false">IF(AND(OR(CF1417="L1",CF1417="L23",CF1417="LIFT"),BC1417&gt;0),SUMIFS($BC$7:$BC$1843,$CF$7:$CF$1843,CF1417,$BG$7:$BG$1843,"&gt;"&amp;BG1417)+SUMIFS($BC$7:$BC$1843,$CF$7:$CF$1843,CF1417,$BG$7:$BG$1843,BG1417,$BW$7:$BW$1843,"&lt;="&amp;BW1417),"")</f>
        <v>1755.42536630037</v>
      </c>
      <c r="BI1417" s="58" t="n">
        <f aca="false">IF(BH1417="",0,MAX(0,MIN(1,(IF(CF1417="L1",Parameter!$H$5,IF(CF1417="L23",Parameter!$H$6+Parameter!$H$7,Parameter!$H$5+Parameter!$H$6+Parameter!$H$7))-(BH1417-BC1417))/BC1417)))</f>
        <v>1</v>
      </c>
      <c r="BJ1417" s="48" t="str">
        <f aca="false">IF(AI1417&lt;=0,"",IF(CF1417="Aussen","Aussenlager",IF(CF1417="-","Nicht im Lift",IF(AO1417&gt;=1,"Lift",IF(AO1417&lt;=0,"Aussenlager","teilweise")))))</f>
        <v>Lift</v>
      </c>
      <c r="BK1417" s="48" t="str">
        <f aca="false">IF(AS1417&lt;=0,"",IF(CF1417="Aussen","Aussenlager",IF(CF1417="-","Nicht im Lift",IF(AY1417&gt;=1,"Lift",IF(AY1417&lt;=0,"Aussenlager","teilweise")))))</f>
        <v>Lift</v>
      </c>
      <c r="BL1417" s="48" t="str">
        <f aca="false">IF(BC1417&lt;=0,"",IF(CF1417="Aussen","Aussenlager",IF(CF1417="-","Nicht im Lift",IF(BI1417&gt;=1,"Lift",IF(BI1417&lt;=0,"Aussenlager","teilweise")))))</f>
        <v>Lift</v>
      </c>
      <c r="BM1417" s="48" t="str">
        <f aca="false">IF(A1417="","",IF(BV1417=1,"Neu; ","")&amp;IF(AND(BV1417=0,BQ1417&lt;0),"negativer Bestand (Export "&amp;BQ1417&amp;"); ","")&amp;IF(J1417&lt;=0,"Kein Verbrauch; ","")&amp;IF(CQ1417&gt;0,"Lift "&amp;W1417&amp;" lt. Liftbericht (Fach "&amp;X1417&amp;" Stk); ",IF(CA1417=1,"Gebinde geschätzt ("&amp;T1417&amp;"); ",IF(BZ1417=1,"Lose – Tablare geschätzt; ","")))&amp;IF(H1417&gt;AV1417,"Überbestand "&amp;ROUND(H1417-AV1417,0)&amp;" Stk / CHF "&amp;ROUND((H1417-AV1417)*G1417,0)&amp;"; ","")&amp;IF(AND(CH1417=1,CI1417&lt;CJ1417),"MAX &lt; MB+LG; ","")&amp;IF(AND(CP1417&gt;0,CO1417*10&gt;CP1417),"zu hoch für Tablar; ","")&amp;IF(AND(BV1417=0,OR(CH1417=1,AA1417&lt;&gt;"",U1417&lt;&gt;"",V1417&lt;&gt;"",AB1417&lt;&gt;"")),"manuell übersteuert; ","")&amp;IF(AND(BZ1417=0,R1417=0),"Gebinde unbekannt / Stellmass fehlt; ","")&amp;IF(AND(BZ1417=0,N(V1417)&lt;=0,N(Q1417)&lt;=0),"Menge pro Gebinde fehlt (Ist = 1 Gebinde); ","")&amp;BU1417)</f>
        <v>negativer Bestand (Export -151); Gebinde geschätzt (Klein); Menge pro Gebinde fehlt (Ist = 1 Gebinde); </v>
      </c>
      <c r="BN1417" s="48"/>
      <c r="BO1417" s="48"/>
      <c r="BP1417" s="55"/>
      <c r="BQ1417" s="50" t="n">
        <v>-151</v>
      </c>
      <c r="BR1417" s="50" t="n">
        <v>198</v>
      </c>
      <c r="BS1417" s="49" t="n">
        <v>-5247.25</v>
      </c>
      <c r="BT1417" s="50" t="n">
        <v>185</v>
      </c>
      <c r="BU1417" s="48"/>
      <c r="BV1417" s="53" t="n">
        <v>0</v>
      </c>
      <c r="BW1417" s="53" t="n">
        <v>1417</v>
      </c>
      <c r="BX1417" s="48" t="str">
        <f aca="false">IF(U1417&lt;&gt;"",UPPER(TRIM(U1417)),IF(CA1417=1,UPPER(VLOOKUP(T1417,Parameter!$I$27:$K$29,2,0)),IF(P1417="","LOSE",P1417)))</f>
        <v>S51</v>
      </c>
      <c r="BY1417" s="50" t="n">
        <f aca="false">IF(BX1417="LOSE",1,IF(N(V1417)&gt;0,V1417,IF(CA1417=1,MAX(1,N(VLOOKUP(T1417,Parameter!$I$27:$K$29,3,0)),H1417,N(N1417)),IF(N(Q1417)&gt;0,Q1417,MAX(1,H1417)))))</f>
        <v>47</v>
      </c>
      <c r="BZ1417" s="53" t="n">
        <f aca="false">IF(BX1417="LOSE",1,0)</f>
        <v>0</v>
      </c>
      <c r="CA1417" s="53" t="n">
        <f aca="false">IF(AND(U1417="",OR(P1417="",P1417="LOSE"),T1417&lt;&gt;"",N(S1417)&lt;=0,ISNUMBER(MATCH(T1417,Parameter!$I$27:$I$29,0))),1,0)</f>
        <v>1</v>
      </c>
      <c r="CB1417" s="53" t="n">
        <f aca="false">IF(CQ1417&gt;0,INDEX(Parameter!$H$5:$H$7,W1417)/INDEX(Parameter!$E$5:$E$7,W1417),IF(AND(BZ1417=0,N(IFERROR(VLOOKUP(BX1417,'Gebinde-Kategorie'!$A$5:$N$45,14,0),0))&gt;0),VLOOKUP(BX1417,'Gebinde-Kategorie'!$A$5:$N$45,14,0)*10+Parameter!$M$23,Parameter!$M$24))</f>
        <v>155</v>
      </c>
      <c r="CC1417" s="48" t="str">
        <f aca="false">IF(AND(Parameter!$B$19="Ja",E1417&lt;&gt;"",ISNUMBER(MATCH(E1417,Parameter!$I$35:$I$52,0))),VLOOKUP(E1417,Parameter!$I$35:$J$52,2,0),IFERROR(VLOOKUP(D1417,Parameter!$A$35:$C$64,2,0),"Nein"))</f>
        <v>2+3</v>
      </c>
      <c r="CD1417" s="52" t="n">
        <f aca="false">IF(BZ1417=0,0,IF(N(S1417)&gt;0,S1417,IFERROR(VLOOKUP(D1417,Parameter!$A$35:$C$64,3,0)+0,0)))</f>
        <v>0</v>
      </c>
      <c r="CE1417" s="48" t="n">
        <f aca="false">IF(AA1417&lt;&gt;"",AA1417,Z1417)</f>
        <v>3</v>
      </c>
      <c r="CF1417" s="48" t="str">
        <f aca="false">IF(OR(CE1417=1,CE1417=2,CE1417=3),IF(Parameter!$E$27="Ja","LIFT",IF(CE1417=1,"L1","L23")),IF(CE1417="Aussen","Aussen","-"))</f>
        <v>LIFT</v>
      </c>
      <c r="CG1417" s="59" t="n">
        <f aca="false">IF(N(AB1417)&gt;0,AB1417,0)</f>
        <v>0</v>
      </c>
      <c r="CH1417" s="53" t="n">
        <f aca="false">IF(ISNUMBER(AE1417),1,0)</f>
        <v>0</v>
      </c>
      <c r="CI1417" s="50" t="n">
        <f aca="false">N(AE1417)</f>
        <v>0</v>
      </c>
      <c r="CJ1417" s="50" t="n">
        <f aca="false">N(M1417)+N(N1417)</f>
        <v>1</v>
      </c>
      <c r="CK1417" s="50" t="n">
        <f aca="false">N(M1417)</f>
        <v>0</v>
      </c>
      <c r="CL1417" s="50" t="n">
        <f aca="false">N(N1417)</f>
        <v>1</v>
      </c>
      <c r="CM1417" s="50" t="n">
        <f aca="false">ROUNDUP(H1417/BY1417,0)</f>
        <v>1</v>
      </c>
      <c r="CN1417" s="50" t="n">
        <f aca="false">ROUNDUP(CI1417/BY1417,0)</f>
        <v>0</v>
      </c>
      <c r="CO1417" s="53" t="n">
        <f aca="false">IF(BZ1417=1,0,IFERROR(VLOOKUP(BX1417,'Gebinde-Kategorie'!$A$5:$N$45,5,0)+0,0))</f>
        <v>11</v>
      </c>
      <c r="CP1417" s="53" t="n">
        <f aca="false">IFERROR(IF(OR(CE1417=1,CE1417=2,CE1417=3),N(INDEX(Parameter!$I$5:$I$7,CE1417)),0),0)</f>
        <v>0</v>
      </c>
      <c r="CQ1417" s="52" t="n">
        <f aca="false">IF(AND(Parameter!$B$21="Ja",ISNUMBER(W1417),N(X1417)&gt;0),IFERROR(N(INDEX(Parameter!$L$5:$L$7,W1417))*INDEX(Parameter!$E$5:$E$7,W1417)*X1417/SUMIFS($X$7:$X$1843,$W$7:$W$1843,W1417),0),0)</f>
        <v>0</v>
      </c>
    </row>
    <row r="1418" customFormat="false" ht="15" hidden="false" customHeight="false" outlineLevel="0" collapsed="false">
      <c r="A1418" s="48" t="s">
        <v>2497</v>
      </c>
      <c r="B1418" s="48" t="s">
        <v>2498</v>
      </c>
      <c r="C1418" s="48" t="s">
        <v>173</v>
      </c>
      <c r="D1418" s="48" t="s">
        <v>182</v>
      </c>
      <c r="E1418" s="48" t="s">
        <v>175</v>
      </c>
      <c r="F1418" s="48" t="s">
        <v>227</v>
      </c>
      <c r="G1418" s="49" t="n">
        <v>505.01</v>
      </c>
      <c r="H1418" s="50" t="n">
        <f aca="false">MAX(0,IF(AND(Parameter!$B$21="Ja",ISNUMBER(Y1418)),Y1418,IF(Parameter!$B$20="Jahresanfang 2025 + Export",BR1418+BQ1418,BQ1418)))</f>
        <v>13</v>
      </c>
      <c r="I1418" s="50" t="n">
        <f aca="false">H1418*G1418</f>
        <v>6565.13</v>
      </c>
      <c r="J1418" s="50" t="n">
        <f aca="false">BT1418*Parameter!$B$18</f>
        <v>33</v>
      </c>
      <c r="K1418" s="51" t="n">
        <v>27.5</v>
      </c>
      <c r="L1418" s="52" t="n">
        <v>1.2</v>
      </c>
      <c r="M1418" s="50" t="n">
        <v>5</v>
      </c>
      <c r="N1418" s="50" t="n">
        <v>10</v>
      </c>
      <c r="O1418" s="53" t="n">
        <v>98</v>
      </c>
      <c r="P1418" s="48" t="s">
        <v>183</v>
      </c>
      <c r="Q1418" s="50" t="n">
        <v>18</v>
      </c>
      <c r="R1418" s="53" t="n">
        <f aca="false">IF(BZ1418=1,0,IFERROR(VLOOKUP(BX1418,'Gebinde-Kategorie'!$A$5:$N$45,13,0)+0,0))</f>
        <v>6</v>
      </c>
      <c r="S1418" s="54"/>
      <c r="T1418" s="55"/>
      <c r="U1418" s="55"/>
      <c r="V1418" s="55"/>
      <c r="W1418" s="48"/>
      <c r="X1418" s="50"/>
      <c r="Y1418" s="50"/>
      <c r="Z1418" s="48" t="n">
        <f aca="false">IF(A1418="","",IF(AND(Parameter!$B$21="Ja",ISNUMBER(W1418)),W1418,IF(CC1418="2+3",IF(ISNUMBER(SEARCH("grosser Artikel",BU1418)),2,IFERROR(VLOOKUP(BX1418,Parameter!$F$35:$G$64,2,0),2)),IF(OR(CC1418="Nein",CC1418=""),"-",CC1418))))</f>
        <v>1</v>
      </c>
      <c r="AA1418" s="55"/>
      <c r="AB1418" s="56"/>
      <c r="AC1418" s="50" t="n">
        <f aca="false">AV1418</f>
        <v>17</v>
      </c>
      <c r="AD1418" s="50" t="n">
        <f aca="false">MAX(AV1418,H1418)</f>
        <v>17</v>
      </c>
      <c r="AE1418" s="57"/>
      <c r="AF1418" s="50" t="n">
        <f aca="false">IF(LEFT(Cockpit!$C$5,1)="A",H1418,IF(Parameter!$E$30="MAX-Bestand",IF(CH1418=1,CI1418,IF(LEFT(Cockpit!$C$5,1)="B",AL1418,MAX(AL1418,H1418))),ROUNDUP(AJ1418,0)))</f>
        <v>13</v>
      </c>
      <c r="AG1418" s="50" t="n">
        <f aca="false">IF(BZ1418=1,0,ROUNDUP(AF1418/BY1418,0))</f>
        <v>1</v>
      </c>
      <c r="AH1418" s="52" t="n">
        <f aca="false">IF(CQ1418&gt;0,CQ1418*MAX(1,AF1418/X1418),IF(BZ1418=1,IF(AF1418&lt;=0,0,CD1418*MAX(1,IF(H1418&gt;0,AF1418/H1418,1))),IF(R1418&gt;0,AG1418/R1418,0))/MAX(0.1,N(Parameter!$M$21)))</f>
        <v>0.166666666666667</v>
      </c>
      <c r="AI1418" s="50" t="n">
        <f aca="false">AH1418*CB1418</f>
        <v>39.1666666666667</v>
      </c>
      <c r="AJ1418" s="51" t="n">
        <f aca="false">IF(LEFT(Cockpit!$C$5,1)="A",H1418,IF(CH1418=1,(CK1418+CI1418)/2,IF(LEFT(Cockpit!$C$5,1)="B",(CK1418+AL1418)/2,MAX((CK1418+AL1418)/2,H1418))))</f>
        <v>13</v>
      </c>
      <c r="AK1418" s="50" t="n">
        <f aca="false">AJ1418*G1418</f>
        <v>6565.13</v>
      </c>
      <c r="AL1418" s="50" t="n">
        <f aca="false">ROUNDUP(CK1418+MAX(CL1418,2*(J1418/IF(CG1418&gt;0,CG1418,MAX(0.1,N(Cockpit!$C$6)))-CK1418)),0)</f>
        <v>17</v>
      </c>
      <c r="AM1418" s="51" t="n">
        <f aca="false">IF(AI1418&gt;0,J1418/AI1418,-1)</f>
        <v>0.842553191489362</v>
      </c>
      <c r="AN1418" s="51" t="n">
        <f aca="false">IF(AND(OR(CF1418="L1",CF1418="L23",CF1418="LIFT"),AI1418&gt;0),SUMIFS($AI$7:$AI$1843,$CF$7:$CF$1843,CF1418,$AM$7:$AM$1843,"&gt;"&amp;AM1418)+SUMIFS($AI$7:$AI$1843,$CF$7:$CF$1843,CF1418,$AM$7:$AM$1843,AM1418,$BW$7:$BW$1843,"&lt;="&amp;BW1418),"")</f>
        <v>7872.77884615385</v>
      </c>
      <c r="AO1418" s="58" t="n">
        <f aca="false">IF(AN1418="",0,MAX(0,MIN(1,(IF(CF1418="L1",Parameter!$H$5,IF(CF1418="L23",Parameter!$H$6+Parameter!$H$7,Parameter!$H$5+Parameter!$H$6+Parameter!$H$7))-(AN1418-AI1418))/AI1418)))</f>
        <v>1</v>
      </c>
      <c r="AP1418" s="50" t="n">
        <f aca="false">IF(LEFT(Cockpit!$I$5,1)="A",H1418,IF(Parameter!$E$30="MAX-Bestand",IF(CH1418=1,CI1418,IF(LEFT(Cockpit!$I$5,1)="B",AV1418,MAX(AV1418,H1418))),ROUNDUP(AT1418,0)))</f>
        <v>13</v>
      </c>
      <c r="AQ1418" s="50" t="n">
        <f aca="false">IF(BZ1418=1,0,ROUNDUP(AP1418/BY1418,0))</f>
        <v>1</v>
      </c>
      <c r="AR1418" s="52" t="n">
        <f aca="false">IF(CQ1418&gt;0,CQ1418*MAX(1,AP1418/X1418),IF(BZ1418=1,IF(AP1418&lt;=0,0,CD1418*MAX(1,IF(H1418&gt;0,AP1418/H1418,1))),IF(R1418&gt;0,AQ1418/R1418,0))/MAX(0.1,N(Parameter!$M$21)))</f>
        <v>0.166666666666667</v>
      </c>
      <c r="AS1418" s="50" t="n">
        <f aca="false">AR1418*CB1418</f>
        <v>39.1666666666667</v>
      </c>
      <c r="AT1418" s="51" t="n">
        <f aca="false">IF(LEFT(Cockpit!$I$5,1)="A",H1418,IF(CH1418=1,(CK1418+CI1418)/2,IF(LEFT(Cockpit!$I$5,1)="B",(CK1418+AV1418)/2,MAX((CK1418+AV1418)/2,H1418))))</f>
        <v>13</v>
      </c>
      <c r="AU1418" s="50" t="n">
        <f aca="false">AT1418*G1418</f>
        <v>6565.13</v>
      </c>
      <c r="AV1418" s="50" t="n">
        <f aca="false">ROUNDUP(CK1418+MAX(CL1418,2*(J1418/IF(CG1418&gt;0,CG1418,MAX(0.1,N(Cockpit!$I$6)))-CK1418)),0)</f>
        <v>17</v>
      </c>
      <c r="AW1418" s="51" t="n">
        <f aca="false">IF(AS1418&gt;0,J1418/AS1418,-1)</f>
        <v>0.842553191489362</v>
      </c>
      <c r="AX1418" s="51" t="n">
        <f aca="false">IF(AND(OR(CF1418="L1",CF1418="L23",CF1418="LIFT"),AS1418&gt;0),SUMIFS($AS$7:$AS$1843,$CF$7:$CF$1843,CF1418,$AW$7:$AW$1843,"&gt;"&amp;AW1418)+SUMIFS($AS$7:$AS$1843,$CF$7:$CF$1843,CF1418,$AW$7:$AW$1843,AW1418,$BW$7:$BW$1843,"&lt;="&amp;BW1418),"")</f>
        <v>9622.21886446886</v>
      </c>
      <c r="AY1418" s="58" t="n">
        <f aca="false">IF(AX1418="",0,MAX(0,MIN(1,(IF(CF1418="L1",Parameter!$H$5,IF(CF1418="L23",Parameter!$H$6+Parameter!$H$7,Parameter!$H$5+Parameter!$H$6+Parameter!$H$7))-(AX1418-AS1418))/AS1418)))</f>
        <v>1</v>
      </c>
      <c r="AZ1418" s="50" t="n">
        <f aca="false">IF(LEFT(Cockpit!$O$5,1)="A",H1418,IF(Parameter!$E$30="MAX-Bestand",IF(CH1418=1,CI1418,IF(LEFT(Cockpit!$O$5,1)="B",BF1418,MAX(BF1418,H1418))),ROUNDUP(BD1418,0)))</f>
        <v>10</v>
      </c>
      <c r="BA1418" s="50" t="n">
        <f aca="false">IF(BZ1418=1,0,ROUNDUP(AZ1418/BY1418,0))</f>
        <v>1</v>
      </c>
      <c r="BB1418" s="52" t="n">
        <f aca="false">IF(CQ1418&gt;0,CQ1418*MAX(1,AZ1418/X1418),IF(BZ1418=1,IF(AZ1418&lt;=0,0,CD1418*MAX(1,IF(H1418&gt;0,AZ1418/H1418,1))),IF(R1418&gt;0,BA1418/R1418,0))/MAX(0.1,N(Parameter!$M$21)))</f>
        <v>0.166666666666667</v>
      </c>
      <c r="BC1418" s="50" t="n">
        <f aca="false">BB1418*CB1418</f>
        <v>39.1666666666667</v>
      </c>
      <c r="BD1418" s="51" t="n">
        <f aca="false">IF(LEFT(Cockpit!$O$5,1)="A",H1418,IF(CH1418=1,(CK1418+CI1418)/2,IF(LEFT(Cockpit!$O$5,1)="B",(CK1418+BF1418)/2,MAX((CK1418+BF1418)/2,H1418))))</f>
        <v>10</v>
      </c>
      <c r="BE1418" s="50" t="n">
        <f aca="false">BD1418*G1418</f>
        <v>5050.1</v>
      </c>
      <c r="BF1418" s="50" t="n">
        <f aca="false">ROUNDUP(CK1418+MAX(CL1418,2*(J1418/IF(CG1418&gt;0,CG1418,MAX(0.1,N(Cockpit!$O$6)))-CK1418)),0)</f>
        <v>15</v>
      </c>
      <c r="BG1418" s="51" t="n">
        <f aca="false">IF(BC1418&gt;0,J1418/BC1418,-1)</f>
        <v>0.842553191489362</v>
      </c>
      <c r="BH1418" s="51" t="n">
        <f aca="false">IF(AND(OR(CF1418="L1",CF1418="L23",CF1418="LIFT"),BC1418&gt;0),SUMIFS($BC$7:$BC$1843,$CF$7:$CF$1843,CF1418,$BG$7:$BG$1843,"&gt;"&amp;BG1418)+SUMIFS($BC$7:$BC$1843,$CF$7:$CF$1843,CF1418,$BG$7:$BG$1843,BG1418,$BW$7:$BW$1843,"&lt;="&amp;BW1418),"")</f>
        <v>8589.25686813187</v>
      </c>
      <c r="BI1418" s="58" t="n">
        <f aca="false">IF(BH1418="",0,MAX(0,MIN(1,(IF(CF1418="L1",Parameter!$H$5,IF(CF1418="L23",Parameter!$H$6+Parameter!$H$7,Parameter!$H$5+Parameter!$H$6+Parameter!$H$7))-(BH1418-BC1418))/BC1418)))</f>
        <v>1</v>
      </c>
      <c r="BJ1418" s="48" t="str">
        <f aca="false">IF(AI1418&lt;=0,"",IF(CF1418="Aussen","Aussenlager",IF(CF1418="-","Nicht im Lift",IF(AO1418&gt;=1,"Lift",IF(AO1418&lt;=0,"Aussenlager","teilweise")))))</f>
        <v>Lift</v>
      </c>
      <c r="BK1418" s="48" t="str">
        <f aca="false">IF(AS1418&lt;=0,"",IF(CF1418="Aussen","Aussenlager",IF(CF1418="-","Nicht im Lift",IF(AY1418&gt;=1,"Lift",IF(AY1418&lt;=0,"Aussenlager","teilweise")))))</f>
        <v>Lift</v>
      </c>
      <c r="BL1418" s="48" t="str">
        <f aca="false">IF(BC1418&lt;=0,"",IF(CF1418="Aussen","Aussenlager",IF(CF1418="-","Nicht im Lift",IF(BI1418&gt;=1,"Lift",IF(BI1418&lt;=0,"Aussenlager","teilweise")))))</f>
        <v>Lift</v>
      </c>
      <c r="BM1418" s="48" t="str">
        <f aca="false">IF(A1418="","",IF(BV1418=1,"Neu; ","")&amp;IF(AND(BV1418=0,BQ1418&lt;0),"negativer Bestand (Export "&amp;BQ1418&amp;"); ","")&amp;IF(J1418&lt;=0,"Kein Verbrauch; ","")&amp;IF(CQ1418&gt;0,"Lift "&amp;W1418&amp;" lt. Liftbericht (Fach "&amp;X1418&amp;" Stk); ",IF(CA1418=1,"Gebinde geschätzt ("&amp;T1418&amp;"); ",IF(BZ1418=1,"Lose – Tablare geschätzt; ","")))&amp;IF(H1418&gt;AV1418,"Überbestand "&amp;ROUND(H1418-AV1418,0)&amp;" Stk / CHF "&amp;ROUND((H1418-AV1418)*G1418,0)&amp;"; ","")&amp;IF(AND(CH1418=1,CI1418&lt;CJ1418),"MAX &lt; MB+LG; ","")&amp;IF(AND(CP1418&gt;0,CO1418*10&gt;CP1418),"zu hoch für Tablar; ","")&amp;IF(AND(BV1418=0,OR(CH1418=1,AA1418&lt;&gt;"",U1418&lt;&gt;"",V1418&lt;&gt;"",AB1418&lt;&gt;"")),"manuell übersteuert; ","")&amp;IF(AND(BZ1418=0,R1418=0),"Gebinde unbekannt / Stellmass fehlt; ","")&amp;IF(AND(BZ1418=0,N(V1418)&lt;=0,N(Q1418)&lt;=0),"Menge pro Gebinde fehlt (Ist = 1 Gebinde); ","")&amp;BU1418)</f>
        <v>negativer Bestand (Export -15); </v>
      </c>
      <c r="BN1418" s="48"/>
      <c r="BO1418" s="48"/>
      <c r="BP1418" s="55"/>
      <c r="BQ1418" s="50" t="n">
        <v>-15</v>
      </c>
      <c r="BR1418" s="50" t="n">
        <v>28</v>
      </c>
      <c r="BS1418" s="49" t="n">
        <v>-5279.71</v>
      </c>
      <c r="BT1418" s="50" t="n">
        <v>33</v>
      </c>
      <c r="BU1418" s="48"/>
      <c r="BV1418" s="53" t="n">
        <v>0</v>
      </c>
      <c r="BW1418" s="53" t="n">
        <v>1418</v>
      </c>
      <c r="BX1418" s="48" t="str">
        <f aca="false">IF(U1418&lt;&gt;"",UPPER(TRIM(U1418)),IF(CA1418=1,UPPER(VLOOKUP(T1418,Parameter!$I$27:$K$29,2,0)),IF(P1418="","LOSE",P1418)))</f>
        <v>S71</v>
      </c>
      <c r="BY1418" s="50" t="n">
        <f aca="false">IF(BX1418="LOSE",1,IF(N(V1418)&gt;0,V1418,IF(CA1418=1,MAX(1,N(VLOOKUP(T1418,Parameter!$I$27:$K$29,3,0)),H1418,N(N1418)),IF(N(Q1418)&gt;0,Q1418,MAX(1,H1418)))))</f>
        <v>18</v>
      </c>
      <c r="BZ1418" s="53" t="n">
        <f aca="false">IF(BX1418="LOSE",1,0)</f>
        <v>0</v>
      </c>
      <c r="CA1418" s="53" t="n">
        <f aca="false">IF(AND(U1418="",OR(P1418="",P1418="LOSE"),T1418&lt;&gt;"",N(S1418)&lt;=0,ISNUMBER(MATCH(T1418,Parameter!$I$27:$I$29,0))),1,0)</f>
        <v>0</v>
      </c>
      <c r="CB1418" s="53" t="n">
        <f aca="false">IF(CQ1418&gt;0,INDEX(Parameter!$H$5:$H$7,W1418)/INDEX(Parameter!$E$5:$E$7,W1418),IF(AND(BZ1418=0,N(IFERROR(VLOOKUP(BX1418,'Gebinde-Kategorie'!$A$5:$N$45,14,0),0))&gt;0),VLOOKUP(BX1418,'Gebinde-Kategorie'!$A$5:$N$45,14,0)*10+Parameter!$M$23,Parameter!$M$24))</f>
        <v>235</v>
      </c>
      <c r="CC1418" s="48" t="n">
        <f aca="false">IF(AND(Parameter!$B$19="Ja",E1418&lt;&gt;"",ISNUMBER(MATCH(E1418,Parameter!$I$35:$I$52,0))),VLOOKUP(E1418,Parameter!$I$35:$J$52,2,0),IFERROR(VLOOKUP(D1418,Parameter!$A$35:$C$64,2,0),"Nein"))</f>
        <v>1</v>
      </c>
      <c r="CD1418" s="52" t="n">
        <f aca="false">IF(BZ1418=0,0,IF(N(S1418)&gt;0,S1418,IFERROR(VLOOKUP(D1418,Parameter!$A$35:$C$64,3,0)+0,0)))</f>
        <v>0</v>
      </c>
      <c r="CE1418" s="48" t="n">
        <f aca="false">IF(AA1418&lt;&gt;"",AA1418,Z1418)</f>
        <v>1</v>
      </c>
      <c r="CF1418" s="48" t="str">
        <f aca="false">IF(OR(CE1418=1,CE1418=2,CE1418=3),IF(Parameter!$E$27="Ja","LIFT",IF(CE1418=1,"L1","L23")),IF(CE1418="Aussen","Aussen","-"))</f>
        <v>LIFT</v>
      </c>
      <c r="CG1418" s="59" t="n">
        <f aca="false">IF(N(AB1418)&gt;0,AB1418,0)</f>
        <v>0</v>
      </c>
      <c r="CH1418" s="53" t="n">
        <f aca="false">IF(ISNUMBER(AE1418),1,0)</f>
        <v>0</v>
      </c>
      <c r="CI1418" s="50" t="n">
        <f aca="false">N(AE1418)</f>
        <v>0</v>
      </c>
      <c r="CJ1418" s="50" t="n">
        <f aca="false">N(M1418)+N(N1418)</f>
        <v>15</v>
      </c>
      <c r="CK1418" s="50" t="n">
        <f aca="false">N(M1418)</f>
        <v>5</v>
      </c>
      <c r="CL1418" s="50" t="n">
        <f aca="false">N(N1418)</f>
        <v>10</v>
      </c>
      <c r="CM1418" s="50" t="n">
        <f aca="false">ROUNDUP(H1418/BY1418,0)</f>
        <v>1</v>
      </c>
      <c r="CN1418" s="50" t="n">
        <f aca="false">ROUNDUP(CI1418/BY1418,0)</f>
        <v>0</v>
      </c>
      <c r="CO1418" s="53" t="n">
        <f aca="false">IF(BZ1418=1,0,IFERROR(VLOOKUP(BX1418,'Gebinde-Kategorie'!$A$5:$N$45,5,0)+0,0))</f>
        <v>20</v>
      </c>
      <c r="CP1418" s="53" t="n">
        <f aca="false">IFERROR(IF(OR(CE1418=1,CE1418=2,CE1418=3),N(INDEX(Parameter!$I$5:$I$7,CE1418)),0),0)</f>
        <v>0</v>
      </c>
      <c r="CQ1418" s="52" t="n">
        <f aca="false">IF(AND(Parameter!$B$21="Ja",ISNUMBER(W1418),N(X1418)&gt;0),IFERROR(N(INDEX(Parameter!$L$5:$L$7,W1418))*INDEX(Parameter!$E$5:$E$7,W1418)*X1418/SUMIFS($X$7:$X$1843,$W$7:$W$1843,W1418),0),0)</f>
        <v>0</v>
      </c>
    </row>
    <row r="1419" customFormat="false" ht="15" hidden="false" customHeight="false" outlineLevel="0" collapsed="false">
      <c r="A1419" s="48" t="s">
        <v>2499</v>
      </c>
      <c r="B1419" s="48" t="s">
        <v>2500</v>
      </c>
      <c r="C1419" s="48" t="s">
        <v>173</v>
      </c>
      <c r="D1419" s="48" t="s">
        <v>1004</v>
      </c>
      <c r="E1419" s="48"/>
      <c r="F1419" s="48" t="s">
        <v>227</v>
      </c>
      <c r="G1419" s="49" t="n">
        <v>609.56</v>
      </c>
      <c r="H1419" s="50" t="n">
        <f aca="false">MAX(0,IF(AND(Parameter!$B$21="Ja",ISNUMBER(Y1419)),Y1419,IF(Parameter!$B$20="Jahresanfang 2025 + Export",BR1419+BQ1419,BQ1419)))</f>
        <v>0</v>
      </c>
      <c r="I1419" s="50" t="n">
        <f aca="false">H1419*G1419</f>
        <v>0</v>
      </c>
      <c r="J1419" s="50" t="n">
        <f aca="false">BT1419*Parameter!$B$18</f>
        <v>3</v>
      </c>
      <c r="K1419" s="51" t="n">
        <v>13</v>
      </c>
      <c r="L1419" s="52" t="n">
        <v>0.230769230769231</v>
      </c>
      <c r="M1419" s="50" t="n">
        <v>0</v>
      </c>
      <c r="N1419" s="50" t="n">
        <v>1</v>
      </c>
      <c r="O1419" s="53" t="n">
        <v>14</v>
      </c>
      <c r="P1419" s="48" t="s">
        <v>177</v>
      </c>
      <c r="Q1419" s="50"/>
      <c r="R1419" s="53" t="n">
        <f aca="false">IF(BZ1419=1,0,IFERROR(VLOOKUP(BX1419,'Gebinde-Kategorie'!$A$5:$N$45,13,0)+0,0))</f>
        <v>0</v>
      </c>
      <c r="S1419" s="54"/>
      <c r="T1419" s="55"/>
      <c r="U1419" s="55"/>
      <c r="V1419" s="55"/>
      <c r="W1419" s="48"/>
      <c r="X1419" s="50"/>
      <c r="Y1419" s="50"/>
      <c r="Z1419" s="48" t="str">
        <f aca="false">IF(A1419="","",IF(AND(Parameter!$B$21="Ja",ISNUMBER(W1419)),W1419,IF(CC1419="2+3",IF(ISNUMBER(SEARCH("grosser Artikel",BU1419)),2,IFERROR(VLOOKUP(BX1419,Parameter!$F$35:$G$64,2,0),2)),IF(OR(CC1419="Nein",CC1419=""),"-",CC1419))))</f>
        <v>-</v>
      </c>
      <c r="AA1419" s="55"/>
      <c r="AB1419" s="56"/>
      <c r="AC1419" s="50" t="n">
        <f aca="false">AV1419</f>
        <v>2</v>
      </c>
      <c r="AD1419" s="50" t="n">
        <f aca="false">MAX(AV1419,H1419)</f>
        <v>2</v>
      </c>
      <c r="AE1419" s="57"/>
      <c r="AF1419" s="50" t="n">
        <f aca="false">IF(LEFT(Cockpit!$C$5,1)="A",H1419,IF(Parameter!$E$30="MAX-Bestand",IF(CH1419=1,CI1419,IF(LEFT(Cockpit!$C$5,1)="B",AL1419,MAX(AL1419,H1419))),ROUNDUP(AJ1419,0)))</f>
        <v>0</v>
      </c>
      <c r="AG1419" s="50" t="n">
        <f aca="false">IF(BZ1419=1,0,ROUNDUP(AF1419/BY1419,0))</f>
        <v>0</v>
      </c>
      <c r="AH1419" s="52" t="n">
        <f aca="false">IF(CQ1419&gt;0,CQ1419*MAX(1,AF1419/X1419),IF(BZ1419=1,IF(AF1419&lt;=0,0,CD1419*MAX(1,IF(H1419&gt;0,AF1419/H1419,1))),IF(R1419&gt;0,AG1419/R1419,0))/MAX(0.1,N(Parameter!$M$21)))</f>
        <v>0</v>
      </c>
      <c r="AI1419" s="50" t="n">
        <f aca="false">AH1419*CB1419</f>
        <v>0</v>
      </c>
      <c r="AJ1419" s="51" t="n">
        <f aca="false">IF(LEFT(Cockpit!$C$5,1)="A",H1419,IF(CH1419=1,(CK1419+CI1419)/2,IF(LEFT(Cockpit!$C$5,1)="B",(CK1419+AL1419)/2,MAX((CK1419+AL1419)/2,H1419))))</f>
        <v>0</v>
      </c>
      <c r="AK1419" s="50" t="n">
        <f aca="false">AJ1419*G1419</f>
        <v>0</v>
      </c>
      <c r="AL1419" s="50" t="n">
        <f aca="false">ROUNDUP(CK1419+MAX(CL1419,2*(J1419/IF(CG1419&gt;0,CG1419,MAX(0.1,N(Cockpit!$C$6)))-CK1419)),0)</f>
        <v>2</v>
      </c>
      <c r="AM1419" s="51" t="n">
        <f aca="false">IF(AI1419&gt;0,J1419/AI1419,-1)</f>
        <v>-1</v>
      </c>
      <c r="AN1419" s="51" t="str">
        <f aca="false">IF(AND(OR(CF1419="L1",CF1419="L23",CF1419="LIFT"),AI1419&gt;0),SUMIFS($AI$7:$AI$1843,$CF$7:$CF$1843,CF1419,$AM$7:$AM$1843,"&gt;"&amp;AM1419)+SUMIFS($AI$7:$AI$1843,$CF$7:$CF$1843,CF1419,$AM$7:$AM$1843,AM1419,$BW$7:$BW$1843,"&lt;="&amp;BW1419),"")</f>
        <v/>
      </c>
      <c r="AO1419" s="58" t="n">
        <f aca="false">IF(AN1419="",0,MAX(0,MIN(1,(IF(CF1419="L1",Parameter!$H$5,IF(CF1419="L23",Parameter!$H$6+Parameter!$H$7,Parameter!$H$5+Parameter!$H$6+Parameter!$H$7))-(AN1419-AI1419))/AI1419)))</f>
        <v>0</v>
      </c>
      <c r="AP1419" s="50" t="n">
        <f aca="false">IF(LEFT(Cockpit!$I$5,1)="A",H1419,IF(Parameter!$E$30="MAX-Bestand",IF(CH1419=1,CI1419,IF(LEFT(Cockpit!$I$5,1)="B",AV1419,MAX(AV1419,H1419))),ROUNDUP(AT1419,0)))</f>
        <v>1</v>
      </c>
      <c r="AQ1419" s="50" t="n">
        <f aca="false">IF(BZ1419=1,0,ROUNDUP(AP1419/BY1419,0))</f>
        <v>0</v>
      </c>
      <c r="AR1419" s="52" t="n">
        <f aca="false">IF(CQ1419&gt;0,CQ1419*MAX(1,AP1419/X1419),IF(BZ1419=1,IF(AP1419&lt;=0,0,CD1419*MAX(1,IF(H1419&gt;0,AP1419/H1419,1))),IF(R1419&gt;0,AQ1419/R1419,0))/MAX(0.1,N(Parameter!$M$21)))</f>
        <v>0.15</v>
      </c>
      <c r="AS1419" s="50" t="n">
        <f aca="false">AR1419*CB1419</f>
        <v>35.25</v>
      </c>
      <c r="AT1419" s="51" t="n">
        <f aca="false">IF(LEFT(Cockpit!$I$5,1)="A",H1419,IF(CH1419=1,(CK1419+CI1419)/2,IF(LEFT(Cockpit!$I$5,1)="B",(CK1419+AV1419)/2,MAX((CK1419+AV1419)/2,H1419))))</f>
        <v>1</v>
      </c>
      <c r="AU1419" s="50" t="n">
        <f aca="false">AT1419*G1419</f>
        <v>609.56</v>
      </c>
      <c r="AV1419" s="50" t="n">
        <f aca="false">ROUNDUP(CK1419+MAX(CL1419,2*(J1419/IF(CG1419&gt;0,CG1419,MAX(0.1,N(Cockpit!$I$6)))-CK1419)),0)</f>
        <v>2</v>
      </c>
      <c r="AW1419" s="51" t="n">
        <f aca="false">IF(AS1419&gt;0,J1419/AS1419,-1)</f>
        <v>0.0851063829787234</v>
      </c>
      <c r="AX1419" s="51" t="str">
        <f aca="false">IF(AND(OR(CF1419="L1",CF1419="L23",CF1419="LIFT"),AS1419&gt;0),SUMIFS($AS$7:$AS$1843,$CF$7:$CF$1843,CF1419,$AW$7:$AW$1843,"&gt;"&amp;AW1419)+SUMIFS($AS$7:$AS$1843,$CF$7:$CF$1843,CF1419,$AW$7:$AW$1843,AW1419,$BW$7:$BW$1843,"&lt;="&amp;BW1419),"")</f>
        <v/>
      </c>
      <c r="AY1419" s="58" t="n">
        <f aca="false">IF(AX1419="",0,MAX(0,MIN(1,(IF(CF1419="L1",Parameter!$H$5,IF(CF1419="L23",Parameter!$H$6+Parameter!$H$7,Parameter!$H$5+Parameter!$H$6+Parameter!$H$7))-(AX1419-AS1419))/AS1419)))</f>
        <v>0</v>
      </c>
      <c r="AZ1419" s="50" t="n">
        <f aca="false">IF(LEFT(Cockpit!$O$5,1)="A",H1419,IF(Parameter!$E$30="MAX-Bestand",IF(CH1419=1,CI1419,IF(LEFT(Cockpit!$O$5,1)="B",BF1419,MAX(BF1419,H1419))),ROUNDUP(BD1419,0)))</f>
        <v>1</v>
      </c>
      <c r="BA1419" s="50" t="n">
        <f aca="false">IF(BZ1419=1,0,ROUNDUP(AZ1419/BY1419,0))</f>
        <v>0</v>
      </c>
      <c r="BB1419" s="52" t="n">
        <f aca="false">IF(CQ1419&gt;0,CQ1419*MAX(1,AZ1419/X1419),IF(BZ1419=1,IF(AZ1419&lt;=0,0,CD1419*MAX(1,IF(H1419&gt;0,AZ1419/H1419,1))),IF(R1419&gt;0,BA1419/R1419,0))/MAX(0.1,N(Parameter!$M$21)))</f>
        <v>0.15</v>
      </c>
      <c r="BC1419" s="50" t="n">
        <f aca="false">BB1419*CB1419</f>
        <v>35.25</v>
      </c>
      <c r="BD1419" s="51" t="n">
        <f aca="false">IF(LEFT(Cockpit!$O$5,1)="A",H1419,IF(CH1419=1,(CK1419+CI1419)/2,IF(LEFT(Cockpit!$O$5,1)="B",(CK1419+BF1419)/2,MAX((CK1419+BF1419)/2,H1419))))</f>
        <v>1</v>
      </c>
      <c r="BE1419" s="50" t="n">
        <f aca="false">BD1419*G1419</f>
        <v>609.56</v>
      </c>
      <c r="BF1419" s="50" t="n">
        <f aca="false">ROUNDUP(CK1419+MAX(CL1419,2*(J1419/IF(CG1419&gt;0,CG1419,MAX(0.1,N(Cockpit!$O$6)))-CK1419)),0)</f>
        <v>2</v>
      </c>
      <c r="BG1419" s="51" t="n">
        <f aca="false">IF(BC1419&gt;0,J1419/BC1419,-1)</f>
        <v>0.0851063829787234</v>
      </c>
      <c r="BH1419" s="51" t="str">
        <f aca="false">IF(AND(OR(CF1419="L1",CF1419="L23",CF1419="LIFT"),BC1419&gt;0),SUMIFS($BC$7:$BC$1843,$CF$7:$CF$1843,CF1419,$BG$7:$BG$1843,"&gt;"&amp;BG1419)+SUMIFS($BC$7:$BC$1843,$CF$7:$CF$1843,CF1419,$BG$7:$BG$1843,BG1419,$BW$7:$BW$1843,"&lt;="&amp;BW1419),"")</f>
        <v/>
      </c>
      <c r="BI1419" s="58" t="n">
        <f aca="false">IF(BH1419="",0,MAX(0,MIN(1,(IF(CF1419="L1",Parameter!$H$5,IF(CF1419="L23",Parameter!$H$6+Parameter!$H$7,Parameter!$H$5+Parameter!$H$6+Parameter!$H$7))-(BH1419-BC1419))/BC1419)))</f>
        <v>0</v>
      </c>
      <c r="BJ1419" s="48" t="str">
        <f aca="false">IF(AI1419&lt;=0,"",IF(CF1419="Aussen","Aussenlager",IF(CF1419="-","Nicht im Lift",IF(AO1419&gt;=1,"Lift",IF(AO1419&lt;=0,"Aussenlager","teilweise")))))</f>
        <v/>
      </c>
      <c r="BK1419" s="48" t="str">
        <f aca="false">IF(AS1419&lt;=0,"",IF(CF1419="Aussen","Aussenlager",IF(CF1419="-","Nicht im Lift",IF(AY1419&gt;=1,"Lift",IF(AY1419&lt;=0,"Aussenlager","teilweise")))))</f>
        <v>Nicht im Lift</v>
      </c>
      <c r="BL1419" s="48" t="str">
        <f aca="false">IF(BC1419&lt;=0,"",IF(CF1419="Aussen","Aussenlager",IF(CF1419="-","Nicht im Lift",IF(BI1419&gt;=1,"Lift",IF(BI1419&lt;=0,"Aussenlager","teilweise")))))</f>
        <v>Nicht im Lift</v>
      </c>
      <c r="BM1419" s="48" t="str">
        <f aca="false">IF(A1419="","",IF(BV1419=1,"Neu; ","")&amp;IF(AND(BV1419=0,BQ1419&lt;0),"negativer Bestand (Export "&amp;BQ1419&amp;"); ","")&amp;IF(J1419&lt;=0,"Kein Verbrauch; ","")&amp;IF(CQ1419&gt;0,"Lift "&amp;W1419&amp;" lt. Liftbericht (Fach "&amp;X1419&amp;" Stk); ",IF(CA1419=1,"Gebinde geschätzt ("&amp;T1419&amp;"); ",IF(BZ1419=1,"Lose – Tablare geschätzt; ","")))&amp;IF(H1419&gt;AV1419,"Überbestand "&amp;ROUND(H1419-AV1419,0)&amp;" Stk / CHF "&amp;ROUND((H1419-AV1419)*G1419,0)&amp;"; ","")&amp;IF(AND(CH1419=1,CI1419&lt;CJ1419),"MAX &lt; MB+LG; ","")&amp;IF(AND(CP1419&gt;0,CO1419*10&gt;CP1419),"zu hoch für Tablar; ","")&amp;IF(AND(BV1419=0,OR(CH1419=1,AA1419&lt;&gt;"",U1419&lt;&gt;"",V1419&lt;&gt;"",AB1419&lt;&gt;"")),"manuell übersteuert; ","")&amp;IF(AND(BZ1419=0,R1419=0),"Gebinde unbekannt / Stellmass fehlt; ","")&amp;IF(AND(BZ1419=0,N(V1419)&lt;=0,N(Q1419)&lt;=0),"Menge pro Gebinde fehlt (Ist = 1 Gebinde); ","")&amp;BU1419)</f>
        <v>negativer Bestand (Export -17); Lose – Tablare geschätzt; </v>
      </c>
      <c r="BN1419" s="48"/>
      <c r="BO1419" s="48"/>
      <c r="BP1419" s="55"/>
      <c r="BQ1419" s="50" t="n">
        <v>-17</v>
      </c>
      <c r="BR1419" s="50" t="n">
        <v>17</v>
      </c>
      <c r="BS1419" s="49" t="n">
        <v>-5283.94</v>
      </c>
      <c r="BT1419" s="50" t="n">
        <v>3</v>
      </c>
      <c r="BU1419" s="48"/>
      <c r="BV1419" s="53" t="n">
        <v>0</v>
      </c>
      <c r="BW1419" s="53" t="n">
        <v>1419</v>
      </c>
      <c r="BX1419" s="48" t="str">
        <f aca="false">IF(U1419&lt;&gt;"",UPPER(TRIM(U1419)),IF(CA1419=1,UPPER(VLOOKUP(T1419,Parameter!$I$27:$K$29,2,0)),IF(P1419="","LOSE",P1419)))</f>
        <v>LOSE</v>
      </c>
      <c r="BY1419" s="50" t="n">
        <f aca="false">IF(BX1419="LOSE",1,IF(N(V1419)&gt;0,V1419,IF(CA1419=1,MAX(1,N(VLOOKUP(T1419,Parameter!$I$27:$K$29,3,0)),H1419,N(N1419)),IF(N(Q1419)&gt;0,Q1419,MAX(1,H1419)))))</f>
        <v>1</v>
      </c>
      <c r="BZ1419" s="53" t="n">
        <f aca="false">IF(BX1419="LOSE",1,0)</f>
        <v>1</v>
      </c>
      <c r="CA1419" s="53" t="n">
        <f aca="false">IF(AND(U1419="",OR(P1419="",P1419="LOSE"),T1419&lt;&gt;"",N(S1419)&lt;=0,ISNUMBER(MATCH(T1419,Parameter!$I$27:$I$29,0))),1,0)</f>
        <v>0</v>
      </c>
      <c r="CB1419" s="53" t="n">
        <f aca="false">IF(CQ1419&gt;0,INDEX(Parameter!$H$5:$H$7,W1419)/INDEX(Parameter!$E$5:$E$7,W1419),IF(AND(BZ1419=0,N(IFERROR(VLOOKUP(BX1419,'Gebinde-Kategorie'!$A$5:$N$45,14,0),0))&gt;0),VLOOKUP(BX1419,'Gebinde-Kategorie'!$A$5:$N$45,14,0)*10+Parameter!$M$23,Parameter!$M$24))</f>
        <v>235</v>
      </c>
      <c r="CC1419" s="48" t="str">
        <f aca="false">IF(AND(Parameter!$B$19="Ja",E1419&lt;&gt;"",ISNUMBER(MATCH(E1419,Parameter!$I$35:$I$52,0))),VLOOKUP(E1419,Parameter!$I$35:$J$52,2,0),IFERROR(VLOOKUP(D1419,Parameter!$A$35:$C$64,2,0),"Nein"))</f>
        <v>Nein</v>
      </c>
      <c r="CD1419" s="52" t="n">
        <f aca="false">IF(BZ1419=0,0,IF(N(S1419)&gt;0,S1419,IFERROR(VLOOKUP(D1419,Parameter!$A$35:$C$64,3,0)+0,0)))</f>
        <v>0.15</v>
      </c>
      <c r="CE1419" s="48" t="str">
        <f aca="false">IF(AA1419&lt;&gt;"",AA1419,Z1419)</f>
        <v>-</v>
      </c>
      <c r="CF1419" s="48" t="str">
        <f aca="false">IF(OR(CE1419=1,CE1419=2,CE1419=3),IF(Parameter!$E$27="Ja","LIFT",IF(CE1419=1,"L1","L23")),IF(CE1419="Aussen","Aussen","-"))</f>
        <v>-</v>
      </c>
      <c r="CG1419" s="59" t="n">
        <f aca="false">IF(N(AB1419)&gt;0,AB1419,0)</f>
        <v>0</v>
      </c>
      <c r="CH1419" s="53" t="n">
        <f aca="false">IF(ISNUMBER(AE1419),1,0)</f>
        <v>0</v>
      </c>
      <c r="CI1419" s="50" t="n">
        <f aca="false">N(AE1419)</f>
        <v>0</v>
      </c>
      <c r="CJ1419" s="50" t="n">
        <f aca="false">N(M1419)+N(N1419)</f>
        <v>1</v>
      </c>
      <c r="CK1419" s="50" t="n">
        <f aca="false">N(M1419)</f>
        <v>0</v>
      </c>
      <c r="CL1419" s="50" t="n">
        <f aca="false">N(N1419)</f>
        <v>1</v>
      </c>
      <c r="CM1419" s="50" t="n">
        <f aca="false">ROUNDUP(H1419/BY1419,0)</f>
        <v>0</v>
      </c>
      <c r="CN1419" s="50" t="n">
        <f aca="false">ROUNDUP(CI1419/BY1419,0)</f>
        <v>0</v>
      </c>
      <c r="CO1419" s="53" t="n">
        <f aca="false">IF(BZ1419=1,0,IFERROR(VLOOKUP(BX1419,'Gebinde-Kategorie'!$A$5:$N$45,5,0)+0,0))</f>
        <v>0</v>
      </c>
      <c r="CP1419" s="53" t="n">
        <f aca="false">IFERROR(IF(OR(CE1419=1,CE1419=2,CE1419=3),N(INDEX(Parameter!$I$5:$I$7,CE1419)),0),0)</f>
        <v>0</v>
      </c>
      <c r="CQ1419" s="52" t="n">
        <f aca="false">IF(AND(Parameter!$B$21="Ja",ISNUMBER(W1419),N(X1419)&gt;0),IFERROR(N(INDEX(Parameter!$L$5:$L$7,W1419))*INDEX(Parameter!$E$5:$E$7,W1419)*X1419/SUMIFS($X$7:$X$1843,$W$7:$W$1843,W1419),0),0)</f>
        <v>0</v>
      </c>
    </row>
    <row r="1420" customFormat="false" ht="15" hidden="false" customHeight="false" outlineLevel="0" collapsed="false">
      <c r="A1420" s="48" t="s">
        <v>2501</v>
      </c>
      <c r="B1420" s="48" t="s">
        <v>2502</v>
      </c>
      <c r="C1420" s="48" t="s">
        <v>173</v>
      </c>
      <c r="D1420" s="48" t="s">
        <v>193</v>
      </c>
      <c r="E1420" s="48" t="s">
        <v>194</v>
      </c>
      <c r="F1420" s="48" t="s">
        <v>227</v>
      </c>
      <c r="G1420" s="49" t="n">
        <v>126.08</v>
      </c>
      <c r="H1420" s="50" t="n">
        <f aca="false">MAX(0,IF(AND(Parameter!$B$21="Ja",ISNUMBER(Y1420)),Y1420,IF(Parameter!$B$20="Jahresanfang 2025 + Export",BR1420+BQ1420,BQ1420)))</f>
        <v>12</v>
      </c>
      <c r="I1420" s="50" t="n">
        <f aca="false">H1420*G1420</f>
        <v>1512.96</v>
      </c>
      <c r="J1420" s="50" t="n">
        <f aca="false">BT1420*Parameter!$B$18</f>
        <v>2</v>
      </c>
      <c r="K1420" s="51" t="n">
        <v>54</v>
      </c>
      <c r="L1420" s="52" t="n">
        <v>0.037037037037037</v>
      </c>
      <c r="M1420" s="50" t="n">
        <v>0</v>
      </c>
      <c r="N1420" s="50" t="n">
        <v>1</v>
      </c>
      <c r="O1420" s="53" t="n">
        <v>28</v>
      </c>
      <c r="P1420" s="48" t="s">
        <v>485</v>
      </c>
      <c r="Q1420" s="50" t="n">
        <v>5</v>
      </c>
      <c r="R1420" s="53" t="n">
        <f aca="false">IF(BZ1420=1,0,IFERROR(VLOOKUP(BX1420,'Gebinde-Kategorie'!$A$5:$N$45,13,0)+0,0))</f>
        <v>52</v>
      </c>
      <c r="S1420" s="54"/>
      <c r="T1420" s="55"/>
      <c r="U1420" s="55"/>
      <c r="V1420" s="55"/>
      <c r="W1420" s="48"/>
      <c r="X1420" s="50"/>
      <c r="Y1420" s="50"/>
      <c r="Z1420" s="48" t="n">
        <f aca="false">IF(A1420="","",IF(AND(Parameter!$B$21="Ja",ISNUMBER(W1420)),W1420,IF(CC1420="2+3",IF(ISNUMBER(SEARCH("grosser Artikel",BU1420)),2,IFERROR(VLOOKUP(BX1420,Parameter!$F$35:$G$64,2,0),2)),IF(OR(CC1420="Nein",CC1420=""),"-",CC1420))))</f>
        <v>3</v>
      </c>
      <c r="AA1420" s="55"/>
      <c r="AB1420" s="56"/>
      <c r="AC1420" s="50" t="n">
        <f aca="false">AV1420</f>
        <v>2</v>
      </c>
      <c r="AD1420" s="50" t="n">
        <f aca="false">MAX(AV1420,H1420)</f>
        <v>12</v>
      </c>
      <c r="AE1420" s="57"/>
      <c r="AF1420" s="50" t="n">
        <f aca="false">IF(LEFT(Cockpit!$C$5,1)="A",H1420,IF(Parameter!$E$30="MAX-Bestand",IF(CH1420=1,CI1420,IF(LEFT(Cockpit!$C$5,1)="B",AL1420,MAX(AL1420,H1420))),ROUNDUP(AJ1420,0)))</f>
        <v>12</v>
      </c>
      <c r="AG1420" s="50" t="n">
        <f aca="false">IF(BZ1420=1,0,ROUNDUP(AF1420/BY1420,0))</f>
        <v>3</v>
      </c>
      <c r="AH1420" s="52" t="n">
        <f aca="false">IF(CQ1420&gt;0,CQ1420*MAX(1,AF1420/X1420),IF(BZ1420=1,IF(AF1420&lt;=0,0,CD1420*MAX(1,IF(H1420&gt;0,AF1420/H1420,1))),IF(R1420&gt;0,AG1420/R1420,0))/MAX(0.1,N(Parameter!$M$21)))</f>
        <v>0.0576923076923077</v>
      </c>
      <c r="AI1420" s="50" t="n">
        <f aca="false">AH1420*CB1420</f>
        <v>8.94230769230769</v>
      </c>
      <c r="AJ1420" s="51" t="n">
        <f aca="false">IF(LEFT(Cockpit!$C$5,1)="A",H1420,IF(CH1420=1,(CK1420+CI1420)/2,IF(LEFT(Cockpit!$C$5,1)="B",(CK1420+AL1420)/2,MAX((CK1420+AL1420)/2,H1420))))</f>
        <v>12</v>
      </c>
      <c r="AK1420" s="50" t="n">
        <f aca="false">AJ1420*G1420</f>
        <v>1512.96</v>
      </c>
      <c r="AL1420" s="50" t="n">
        <f aca="false">ROUNDUP(CK1420+MAX(CL1420,2*(J1420/IF(CG1420&gt;0,CG1420,MAX(0.1,N(Cockpit!$C$6)))-CK1420)),0)</f>
        <v>2</v>
      </c>
      <c r="AM1420" s="51" t="n">
        <f aca="false">IF(AI1420&gt;0,J1420/AI1420,-1)</f>
        <v>0.223655913978495</v>
      </c>
      <c r="AN1420" s="51" t="n">
        <f aca="false">IF(AND(OR(CF1420="L1",CF1420="L23",CF1420="LIFT"),AI1420&gt;0),SUMIFS($AI$7:$AI$1843,$CF$7:$CF$1843,CF1420,$AM$7:$AM$1843,"&gt;"&amp;AM1420)+SUMIFS($AI$7:$AI$1843,$CF$7:$CF$1843,CF1420,$AM$7:$AM$1843,AM1420,$BW$7:$BW$1843,"&lt;="&amp;BW1420),"")</f>
        <v>12078.7959039548</v>
      </c>
      <c r="AO1420" s="58" t="n">
        <f aca="false">IF(AN1420="",0,MAX(0,MIN(1,(IF(CF1420="L1",Parameter!$H$5,IF(CF1420="L23",Parameter!$H$6+Parameter!$H$7,Parameter!$H$5+Parameter!$H$6+Parameter!$H$7))-(AN1420-AI1420))/AI1420)))</f>
        <v>1</v>
      </c>
      <c r="AP1420" s="50" t="n">
        <f aca="false">IF(LEFT(Cockpit!$I$5,1)="A",H1420,IF(Parameter!$E$30="MAX-Bestand",IF(CH1420=1,CI1420,IF(LEFT(Cockpit!$I$5,1)="B",AV1420,MAX(AV1420,H1420))),ROUNDUP(AT1420,0)))</f>
        <v>12</v>
      </c>
      <c r="AQ1420" s="50" t="n">
        <f aca="false">IF(BZ1420=1,0,ROUNDUP(AP1420/BY1420,0))</f>
        <v>3</v>
      </c>
      <c r="AR1420" s="52" t="n">
        <f aca="false">IF(CQ1420&gt;0,CQ1420*MAX(1,AP1420/X1420),IF(BZ1420=1,IF(AP1420&lt;=0,0,CD1420*MAX(1,IF(H1420&gt;0,AP1420/H1420,1))),IF(R1420&gt;0,AQ1420/R1420,0))/MAX(0.1,N(Parameter!$M$21)))</f>
        <v>0.0576923076923077</v>
      </c>
      <c r="AS1420" s="50" t="n">
        <f aca="false">AR1420*CB1420</f>
        <v>8.94230769230769</v>
      </c>
      <c r="AT1420" s="51" t="n">
        <f aca="false">IF(LEFT(Cockpit!$I$5,1)="A",H1420,IF(CH1420=1,(CK1420+CI1420)/2,IF(LEFT(Cockpit!$I$5,1)="B",(CK1420+AV1420)/2,MAX((CK1420+AV1420)/2,H1420))))</f>
        <v>12</v>
      </c>
      <c r="AU1420" s="50" t="n">
        <f aca="false">AT1420*G1420</f>
        <v>1512.96</v>
      </c>
      <c r="AV1420" s="50" t="n">
        <f aca="false">ROUNDUP(CK1420+MAX(CL1420,2*(J1420/IF(CG1420&gt;0,CG1420,MAX(0.1,N(Cockpit!$I$6)))-CK1420)),0)</f>
        <v>2</v>
      </c>
      <c r="AW1420" s="51" t="n">
        <f aca="false">IF(AS1420&gt;0,J1420/AS1420,-1)</f>
        <v>0.223655913978495</v>
      </c>
      <c r="AX1420" s="51" t="n">
        <f aca="false">IF(AND(OR(CF1420="L1",CF1420="L23",CF1420="LIFT"),AS1420&gt;0),SUMIFS($AS$7:$AS$1843,$CF$7:$CF$1843,CF1420,$AW$7:$AW$1843,"&gt;"&amp;AW1420)+SUMIFS($AS$7:$AS$1843,$CF$7:$CF$1843,CF1420,$AW$7:$AW$1843,AW1420,$BW$7:$BW$1843,"&lt;="&amp;BW1420),"")</f>
        <v>15155.690018315</v>
      </c>
      <c r="AY1420" s="58" t="n">
        <f aca="false">IF(AX1420="",0,MAX(0,MIN(1,(IF(CF1420="L1",Parameter!$H$5,IF(CF1420="L23",Parameter!$H$6+Parameter!$H$7,Parameter!$H$5+Parameter!$H$6+Parameter!$H$7))-(AX1420-AS1420))/AS1420)))</f>
        <v>1</v>
      </c>
      <c r="AZ1420" s="50" t="n">
        <f aca="false">IF(LEFT(Cockpit!$O$5,1)="A",H1420,IF(Parameter!$E$30="MAX-Bestand",IF(CH1420=1,CI1420,IF(LEFT(Cockpit!$O$5,1)="B",BF1420,MAX(BF1420,H1420))),ROUNDUP(BD1420,0)))</f>
        <v>1</v>
      </c>
      <c r="BA1420" s="50" t="n">
        <f aca="false">IF(BZ1420=1,0,ROUNDUP(AZ1420/BY1420,0))</f>
        <v>1</v>
      </c>
      <c r="BB1420" s="52" t="n">
        <f aca="false">IF(CQ1420&gt;0,CQ1420*MAX(1,AZ1420/X1420),IF(BZ1420=1,IF(AZ1420&lt;=0,0,CD1420*MAX(1,IF(H1420&gt;0,AZ1420/H1420,1))),IF(R1420&gt;0,BA1420/R1420,0))/MAX(0.1,N(Parameter!$M$21)))</f>
        <v>0.0192307692307692</v>
      </c>
      <c r="BC1420" s="50" t="n">
        <f aca="false">BB1420*CB1420</f>
        <v>2.98076923076923</v>
      </c>
      <c r="BD1420" s="51" t="n">
        <f aca="false">IF(LEFT(Cockpit!$O$5,1)="A",H1420,IF(CH1420=1,(CK1420+CI1420)/2,IF(LEFT(Cockpit!$O$5,1)="B",(CK1420+BF1420)/2,MAX((CK1420+BF1420)/2,H1420))))</f>
        <v>0.5</v>
      </c>
      <c r="BE1420" s="50" t="n">
        <f aca="false">BD1420*G1420</f>
        <v>63.04</v>
      </c>
      <c r="BF1420" s="50" t="n">
        <f aca="false">ROUNDUP(CK1420+MAX(CL1420,2*(J1420/IF(CG1420&gt;0,CG1420,MAX(0.1,N(Cockpit!$O$6)))-CK1420)),0)</f>
        <v>1</v>
      </c>
      <c r="BG1420" s="51" t="n">
        <f aca="false">IF(BC1420&gt;0,J1420/BC1420,-1)</f>
        <v>0.670967741935484</v>
      </c>
      <c r="BH1420" s="51" t="n">
        <f aca="false">IF(AND(OR(CF1420="L1",CF1420="L23",CF1420="LIFT"),BC1420&gt;0),SUMIFS($BC$7:$BC$1843,$CF$7:$CF$1843,CF1420,$BG$7:$BG$1843,"&gt;"&amp;BG1420)+SUMIFS($BC$7:$BC$1843,$CF$7:$CF$1843,CF1420,$BG$7:$BG$1843,BG1420,$BW$7:$BW$1843,"&lt;="&amp;BW1420),"")</f>
        <v>9560.1543040293</v>
      </c>
      <c r="BI1420" s="58" t="n">
        <f aca="false">IF(BH1420="",0,MAX(0,MIN(1,(IF(CF1420="L1",Parameter!$H$5,IF(CF1420="L23",Parameter!$H$6+Parameter!$H$7,Parameter!$H$5+Parameter!$H$6+Parameter!$H$7))-(BH1420-BC1420))/BC1420)))</f>
        <v>1</v>
      </c>
      <c r="BJ1420" s="48" t="str">
        <f aca="false">IF(AI1420&lt;=0,"",IF(CF1420="Aussen","Aussenlager",IF(CF1420="-","Nicht im Lift",IF(AO1420&gt;=1,"Lift",IF(AO1420&lt;=0,"Aussenlager","teilweise")))))</f>
        <v>Lift</v>
      </c>
      <c r="BK1420" s="48" t="str">
        <f aca="false">IF(AS1420&lt;=0,"",IF(CF1420="Aussen","Aussenlager",IF(CF1420="-","Nicht im Lift",IF(AY1420&gt;=1,"Lift",IF(AY1420&lt;=0,"Aussenlager","teilweise")))))</f>
        <v>Lift</v>
      </c>
      <c r="BL1420" s="48" t="str">
        <f aca="false">IF(BC1420&lt;=0,"",IF(CF1420="Aussen","Aussenlager",IF(CF1420="-","Nicht im Lift",IF(BI1420&gt;=1,"Lift",IF(BI1420&lt;=0,"Aussenlager","teilweise")))))</f>
        <v>Lift</v>
      </c>
      <c r="BM1420" s="48" t="str">
        <f aca="false">IF(A1420="","",IF(BV1420=1,"Neu; ","")&amp;IF(AND(BV1420=0,BQ1420&lt;0),"negativer Bestand (Export "&amp;BQ1420&amp;"); ","")&amp;IF(J1420&lt;=0,"Kein Verbrauch; ","")&amp;IF(CQ1420&gt;0,"Lift "&amp;W1420&amp;" lt. Liftbericht (Fach "&amp;X1420&amp;" Stk); ",IF(CA1420=1,"Gebinde geschätzt ("&amp;T1420&amp;"); ",IF(BZ1420=1,"Lose – Tablare geschätzt; ","")))&amp;IF(H1420&gt;AV1420,"Überbestand "&amp;ROUND(H1420-AV1420,0)&amp;" Stk / CHF "&amp;ROUND((H1420-AV1420)*G1420,0)&amp;"; ","")&amp;IF(AND(CH1420=1,CI1420&lt;CJ1420),"MAX &lt; MB+LG; ","")&amp;IF(AND(CP1420&gt;0,CO1420*10&gt;CP1420),"zu hoch für Tablar; ","")&amp;IF(AND(BV1420=0,OR(CH1420=1,AA1420&lt;&gt;"",U1420&lt;&gt;"",V1420&lt;&gt;"",AB1420&lt;&gt;"")),"manuell übersteuert; ","")&amp;IF(AND(BZ1420=0,R1420=0),"Gebinde unbekannt / Stellmass fehlt; ","")&amp;IF(AND(BZ1420=0,N(V1420)&lt;=0,N(Q1420)&lt;=0),"Menge pro Gebinde fehlt (Ist = 1 Gebinde); ","")&amp;BU1420)</f>
        <v>negativer Bestand (Export -43); Überbestand 10 Stk / CHF 1261; </v>
      </c>
      <c r="BN1420" s="48"/>
      <c r="BO1420" s="48"/>
      <c r="BP1420" s="55"/>
      <c r="BQ1420" s="50" t="n">
        <v>-43</v>
      </c>
      <c r="BR1420" s="50" t="n">
        <v>55</v>
      </c>
      <c r="BS1420" s="49" t="n">
        <v>-5421.44</v>
      </c>
      <c r="BT1420" s="50" t="n">
        <v>2</v>
      </c>
      <c r="BU1420" s="48"/>
      <c r="BV1420" s="53" t="n">
        <v>0</v>
      </c>
      <c r="BW1420" s="53" t="n">
        <v>1420</v>
      </c>
      <c r="BX1420" s="48" t="str">
        <f aca="false">IF(U1420&lt;&gt;"",UPPER(TRIM(U1420)),IF(CA1420=1,UPPER(VLOOKUP(T1420,Parameter!$I$27:$K$29,2,0)),IF(P1420="","LOSE",P1420)))</f>
        <v>S33</v>
      </c>
      <c r="BY1420" s="50" t="n">
        <f aca="false">IF(BX1420="LOSE",1,IF(N(V1420)&gt;0,V1420,IF(CA1420=1,MAX(1,N(VLOOKUP(T1420,Parameter!$I$27:$K$29,3,0)),H1420,N(N1420)),IF(N(Q1420)&gt;0,Q1420,MAX(1,H1420)))))</f>
        <v>5</v>
      </c>
      <c r="BZ1420" s="53" t="n">
        <f aca="false">IF(BX1420="LOSE",1,0)</f>
        <v>0</v>
      </c>
      <c r="CA1420" s="53" t="n">
        <f aca="false">IF(AND(U1420="",OR(P1420="",P1420="LOSE"),T1420&lt;&gt;"",N(S1420)&lt;=0,ISNUMBER(MATCH(T1420,Parameter!$I$27:$I$29,0))),1,0)</f>
        <v>0</v>
      </c>
      <c r="CB1420" s="53" t="n">
        <f aca="false">IF(CQ1420&gt;0,INDEX(Parameter!$H$5:$H$7,W1420)/INDEX(Parameter!$E$5:$E$7,W1420),IF(AND(BZ1420=0,N(IFERROR(VLOOKUP(BX1420,'Gebinde-Kategorie'!$A$5:$N$45,14,0),0))&gt;0),VLOOKUP(BX1420,'Gebinde-Kategorie'!$A$5:$N$45,14,0)*10+Parameter!$M$23,Parameter!$M$24))</f>
        <v>155</v>
      </c>
      <c r="CC1420" s="48" t="str">
        <f aca="false">IF(AND(Parameter!$B$19="Ja",E1420&lt;&gt;"",ISNUMBER(MATCH(E1420,Parameter!$I$35:$I$52,0))),VLOOKUP(E1420,Parameter!$I$35:$J$52,2,0),IFERROR(VLOOKUP(D1420,Parameter!$A$35:$C$64,2,0),"Nein"))</f>
        <v>2+3</v>
      </c>
      <c r="CD1420" s="52" t="n">
        <f aca="false">IF(BZ1420=0,0,IF(N(S1420)&gt;0,S1420,IFERROR(VLOOKUP(D1420,Parameter!$A$35:$C$64,3,0)+0,0)))</f>
        <v>0</v>
      </c>
      <c r="CE1420" s="48" t="n">
        <f aca="false">IF(AA1420&lt;&gt;"",AA1420,Z1420)</f>
        <v>3</v>
      </c>
      <c r="CF1420" s="48" t="str">
        <f aca="false">IF(OR(CE1420=1,CE1420=2,CE1420=3),IF(Parameter!$E$27="Ja","LIFT",IF(CE1420=1,"L1","L23")),IF(CE1420="Aussen","Aussen","-"))</f>
        <v>LIFT</v>
      </c>
      <c r="CG1420" s="59" t="n">
        <f aca="false">IF(N(AB1420)&gt;0,AB1420,0)</f>
        <v>0</v>
      </c>
      <c r="CH1420" s="53" t="n">
        <f aca="false">IF(ISNUMBER(AE1420),1,0)</f>
        <v>0</v>
      </c>
      <c r="CI1420" s="50" t="n">
        <f aca="false">N(AE1420)</f>
        <v>0</v>
      </c>
      <c r="CJ1420" s="50" t="n">
        <f aca="false">N(M1420)+N(N1420)</f>
        <v>1</v>
      </c>
      <c r="CK1420" s="50" t="n">
        <f aca="false">N(M1420)</f>
        <v>0</v>
      </c>
      <c r="CL1420" s="50" t="n">
        <f aca="false">N(N1420)</f>
        <v>1</v>
      </c>
      <c r="CM1420" s="50" t="n">
        <f aca="false">ROUNDUP(H1420/BY1420,0)</f>
        <v>3</v>
      </c>
      <c r="CN1420" s="50" t="n">
        <f aca="false">ROUNDUP(CI1420/BY1420,0)</f>
        <v>0</v>
      </c>
      <c r="CO1420" s="53" t="n">
        <f aca="false">IF(BZ1420=1,0,IFERROR(VLOOKUP(BX1420,'Gebinde-Kategorie'!$A$5:$N$45,5,0)+0,0))</f>
        <v>8</v>
      </c>
      <c r="CP1420" s="53" t="n">
        <f aca="false">IFERROR(IF(OR(CE1420=1,CE1420=2,CE1420=3),N(INDEX(Parameter!$I$5:$I$7,CE1420)),0),0)</f>
        <v>0</v>
      </c>
      <c r="CQ1420" s="52" t="n">
        <f aca="false">IF(AND(Parameter!$B$21="Ja",ISNUMBER(W1420),N(X1420)&gt;0),IFERROR(N(INDEX(Parameter!$L$5:$L$7,W1420))*INDEX(Parameter!$E$5:$E$7,W1420)*X1420/SUMIFS($X$7:$X$1843,$W$7:$W$1843,W1420),0),0)</f>
        <v>0</v>
      </c>
    </row>
    <row r="1421" customFormat="false" ht="15" hidden="false" customHeight="false" outlineLevel="0" collapsed="false">
      <c r="A1421" s="48" t="s">
        <v>2503</v>
      </c>
      <c r="B1421" s="48" t="s">
        <v>2504</v>
      </c>
      <c r="C1421" s="48" t="s">
        <v>173</v>
      </c>
      <c r="D1421" s="48" t="s">
        <v>182</v>
      </c>
      <c r="E1421" s="48" t="s">
        <v>194</v>
      </c>
      <c r="F1421" s="48" t="s">
        <v>227</v>
      </c>
      <c r="G1421" s="49" t="n">
        <v>699.44</v>
      </c>
      <c r="H1421" s="50" t="n">
        <f aca="false">MAX(0,IF(AND(Parameter!$B$21="Ja",ISNUMBER(Y1421)),Y1421,IF(Parameter!$B$20="Jahresanfang 2025 + Export",BR1421+BQ1421,BQ1421)))</f>
        <v>7</v>
      </c>
      <c r="I1421" s="50" t="n">
        <f aca="false">H1421*G1421</f>
        <v>4896.08</v>
      </c>
      <c r="J1421" s="50" t="n">
        <f aca="false">BT1421*Parameter!$B$18</f>
        <v>8</v>
      </c>
      <c r="K1421" s="51" t="n">
        <v>13.5</v>
      </c>
      <c r="L1421" s="52" t="n">
        <v>0.592592592592593</v>
      </c>
      <c r="M1421" s="50" t="n">
        <v>1</v>
      </c>
      <c r="N1421" s="50" t="n">
        <v>5</v>
      </c>
      <c r="O1421" s="53" t="n">
        <v>49</v>
      </c>
      <c r="P1421" s="48" t="s">
        <v>235</v>
      </c>
      <c r="Q1421" s="50" t="n">
        <v>7</v>
      </c>
      <c r="R1421" s="53" t="n">
        <f aca="false">IF(BZ1421=1,0,IFERROR(VLOOKUP(BX1421,'Gebinde-Kategorie'!$A$5:$N$45,13,0)+0,0))</f>
        <v>12</v>
      </c>
      <c r="S1421" s="54"/>
      <c r="T1421" s="55"/>
      <c r="U1421" s="55"/>
      <c r="V1421" s="55"/>
      <c r="W1421" s="48"/>
      <c r="X1421" s="50"/>
      <c r="Y1421" s="50"/>
      <c r="Z1421" s="48" t="n">
        <f aca="false">IF(A1421="","",IF(AND(Parameter!$B$21="Ja",ISNUMBER(W1421)),W1421,IF(CC1421="2+3",IF(ISNUMBER(SEARCH("grosser Artikel",BU1421)),2,IFERROR(VLOOKUP(BX1421,Parameter!$F$35:$G$64,2,0),2)),IF(OR(CC1421="Nein",CC1421=""),"-",CC1421))))</f>
        <v>2</v>
      </c>
      <c r="AA1421" s="55"/>
      <c r="AB1421" s="56"/>
      <c r="AC1421" s="50" t="n">
        <f aca="false">AV1421</f>
        <v>6</v>
      </c>
      <c r="AD1421" s="50" t="n">
        <f aca="false">MAX(AV1421,H1421)</f>
        <v>7</v>
      </c>
      <c r="AE1421" s="57"/>
      <c r="AF1421" s="50" t="n">
        <f aca="false">IF(LEFT(Cockpit!$C$5,1)="A",H1421,IF(Parameter!$E$30="MAX-Bestand",IF(CH1421=1,CI1421,IF(LEFT(Cockpit!$C$5,1)="B",AL1421,MAX(AL1421,H1421))),ROUNDUP(AJ1421,0)))</f>
        <v>7</v>
      </c>
      <c r="AG1421" s="50" t="n">
        <f aca="false">IF(BZ1421=1,0,ROUNDUP(AF1421/BY1421,0))</f>
        <v>1</v>
      </c>
      <c r="AH1421" s="52" t="n">
        <f aca="false">IF(CQ1421&gt;0,CQ1421*MAX(1,AF1421/X1421),IF(BZ1421=1,IF(AF1421&lt;=0,0,CD1421*MAX(1,IF(H1421&gt;0,AF1421/H1421,1))),IF(R1421&gt;0,AG1421/R1421,0))/MAX(0.1,N(Parameter!$M$21)))</f>
        <v>0.0833333333333333</v>
      </c>
      <c r="AI1421" s="50" t="n">
        <f aca="false">AH1421*CB1421</f>
        <v>28.75</v>
      </c>
      <c r="AJ1421" s="51" t="n">
        <f aca="false">IF(LEFT(Cockpit!$C$5,1)="A",H1421,IF(CH1421=1,(CK1421+CI1421)/2,IF(LEFT(Cockpit!$C$5,1)="B",(CK1421+AL1421)/2,MAX((CK1421+AL1421)/2,H1421))))</f>
        <v>7</v>
      </c>
      <c r="AK1421" s="50" t="n">
        <f aca="false">AJ1421*G1421</f>
        <v>4896.08</v>
      </c>
      <c r="AL1421" s="50" t="n">
        <f aca="false">ROUNDUP(CK1421+MAX(CL1421,2*(J1421/IF(CG1421&gt;0,CG1421,MAX(0.1,N(Cockpit!$C$6)))-CK1421)),0)</f>
        <v>6</v>
      </c>
      <c r="AM1421" s="51" t="n">
        <f aca="false">IF(AI1421&gt;0,J1421/AI1421,-1)</f>
        <v>0.278260869565217</v>
      </c>
      <c r="AN1421" s="51" t="n">
        <f aca="false">IF(AND(OR(CF1421="L1",CF1421="L23",CF1421="LIFT"),AI1421&gt;0),SUMIFS($AI$7:$AI$1843,$CF$7:$CF$1843,CF1421,$AM$7:$AM$1843,"&gt;"&amp;AM1421)+SUMIFS($AI$7:$AI$1843,$CF$7:$CF$1843,CF1421,$AM$7:$AM$1843,AM1421,$BW$7:$BW$1843,"&lt;="&amp;BW1421),"")</f>
        <v>11649.0202629292</v>
      </c>
      <c r="AO1421" s="58" t="n">
        <f aca="false">IF(AN1421="",0,MAX(0,MIN(1,(IF(CF1421="L1",Parameter!$H$5,IF(CF1421="L23",Parameter!$H$6+Parameter!$H$7,Parameter!$H$5+Parameter!$H$6+Parameter!$H$7))-(AN1421-AI1421))/AI1421)))</f>
        <v>1</v>
      </c>
      <c r="AP1421" s="50" t="n">
        <f aca="false">IF(LEFT(Cockpit!$I$5,1)="A",H1421,IF(Parameter!$E$30="MAX-Bestand",IF(CH1421=1,CI1421,IF(LEFT(Cockpit!$I$5,1)="B",AV1421,MAX(AV1421,H1421))),ROUNDUP(AT1421,0)))</f>
        <v>7</v>
      </c>
      <c r="AQ1421" s="50" t="n">
        <f aca="false">IF(BZ1421=1,0,ROUNDUP(AP1421/BY1421,0))</f>
        <v>1</v>
      </c>
      <c r="AR1421" s="52" t="n">
        <f aca="false">IF(CQ1421&gt;0,CQ1421*MAX(1,AP1421/X1421),IF(BZ1421=1,IF(AP1421&lt;=0,0,CD1421*MAX(1,IF(H1421&gt;0,AP1421/H1421,1))),IF(R1421&gt;0,AQ1421/R1421,0))/MAX(0.1,N(Parameter!$M$21)))</f>
        <v>0.0833333333333333</v>
      </c>
      <c r="AS1421" s="50" t="n">
        <f aca="false">AR1421*CB1421</f>
        <v>28.75</v>
      </c>
      <c r="AT1421" s="51" t="n">
        <f aca="false">IF(LEFT(Cockpit!$I$5,1)="A",H1421,IF(CH1421=1,(CK1421+CI1421)/2,IF(LEFT(Cockpit!$I$5,1)="B",(CK1421+AV1421)/2,MAX((CK1421+AV1421)/2,H1421))))</f>
        <v>7</v>
      </c>
      <c r="AU1421" s="50" t="n">
        <f aca="false">AT1421*G1421</f>
        <v>4896.08</v>
      </c>
      <c r="AV1421" s="50" t="n">
        <f aca="false">ROUNDUP(CK1421+MAX(CL1421,2*(J1421/IF(CG1421&gt;0,CG1421,MAX(0.1,N(Cockpit!$I$6)))-CK1421)),0)</f>
        <v>6</v>
      </c>
      <c r="AW1421" s="51" t="n">
        <f aca="false">IF(AS1421&gt;0,J1421/AS1421,-1)</f>
        <v>0.278260869565217</v>
      </c>
      <c r="AX1421" s="51" t="n">
        <f aca="false">IF(AND(OR(CF1421="L1",CF1421="L23",CF1421="LIFT"),AS1421&gt;0),SUMIFS($AS$7:$AS$1843,$CF$7:$CF$1843,CF1421,$AW$7:$AW$1843,"&gt;"&amp;AW1421)+SUMIFS($AS$7:$AS$1843,$CF$7:$CF$1843,CF1421,$AW$7:$AW$1843,AW1421,$BW$7:$BW$1843,"&lt;="&amp;BW1421),"")</f>
        <v>14725.9143772894</v>
      </c>
      <c r="AY1421" s="58" t="n">
        <f aca="false">IF(AX1421="",0,MAX(0,MIN(1,(IF(CF1421="L1",Parameter!$H$5,IF(CF1421="L23",Parameter!$H$6+Parameter!$H$7,Parameter!$H$5+Parameter!$H$6+Parameter!$H$7))-(AX1421-AS1421))/AS1421)))</f>
        <v>1</v>
      </c>
      <c r="AZ1421" s="50" t="n">
        <f aca="false">IF(LEFT(Cockpit!$O$5,1)="A",H1421,IF(Parameter!$E$30="MAX-Bestand",IF(CH1421=1,CI1421,IF(LEFT(Cockpit!$O$5,1)="B",BF1421,MAX(BF1421,H1421))),ROUNDUP(BD1421,0)))</f>
        <v>4</v>
      </c>
      <c r="BA1421" s="50" t="n">
        <f aca="false">IF(BZ1421=1,0,ROUNDUP(AZ1421/BY1421,0))</f>
        <v>1</v>
      </c>
      <c r="BB1421" s="52" t="n">
        <f aca="false">IF(CQ1421&gt;0,CQ1421*MAX(1,AZ1421/X1421),IF(BZ1421=1,IF(AZ1421&lt;=0,0,CD1421*MAX(1,IF(H1421&gt;0,AZ1421/H1421,1))),IF(R1421&gt;0,BA1421/R1421,0))/MAX(0.1,N(Parameter!$M$21)))</f>
        <v>0.0833333333333333</v>
      </c>
      <c r="BC1421" s="50" t="n">
        <f aca="false">BB1421*CB1421</f>
        <v>28.75</v>
      </c>
      <c r="BD1421" s="51" t="n">
        <f aca="false">IF(LEFT(Cockpit!$O$5,1)="A",H1421,IF(CH1421=1,(CK1421+CI1421)/2,IF(LEFT(Cockpit!$O$5,1)="B",(CK1421+BF1421)/2,MAX((CK1421+BF1421)/2,H1421))))</f>
        <v>3.5</v>
      </c>
      <c r="BE1421" s="50" t="n">
        <f aca="false">BD1421*G1421</f>
        <v>2448.04</v>
      </c>
      <c r="BF1421" s="50" t="n">
        <f aca="false">ROUNDUP(CK1421+MAX(CL1421,2*(J1421/IF(CG1421&gt;0,CG1421,MAX(0.1,N(Cockpit!$O$6)))-CK1421)),0)</f>
        <v>6</v>
      </c>
      <c r="BG1421" s="51" t="n">
        <f aca="false">IF(BC1421&gt;0,J1421/BC1421,-1)</f>
        <v>0.278260869565217</v>
      </c>
      <c r="BH1421" s="51" t="n">
        <f aca="false">IF(AND(OR(CF1421="L1",CF1421="L23",CF1421="LIFT"),BC1421&gt;0),SUMIFS($BC$7:$BC$1843,$CF$7:$CF$1843,CF1421,$BG$7:$BG$1843,"&gt;"&amp;BG1421)+SUMIFS($BC$7:$BC$1843,$CF$7:$CF$1843,CF1421,$BG$7:$BG$1843,BG1421,$BW$7:$BW$1843,"&lt;="&amp;BW1421),"")</f>
        <v>11901.3081501832</v>
      </c>
      <c r="BI1421" s="58" t="n">
        <f aca="false">IF(BH1421="",0,MAX(0,MIN(1,(IF(CF1421="L1",Parameter!$H$5,IF(CF1421="L23",Parameter!$H$6+Parameter!$H$7,Parameter!$H$5+Parameter!$H$6+Parameter!$H$7))-(BH1421-BC1421))/BC1421)))</f>
        <v>1</v>
      </c>
      <c r="BJ1421" s="48" t="str">
        <f aca="false">IF(AI1421&lt;=0,"",IF(CF1421="Aussen","Aussenlager",IF(CF1421="-","Nicht im Lift",IF(AO1421&gt;=1,"Lift",IF(AO1421&lt;=0,"Aussenlager","teilweise")))))</f>
        <v>Lift</v>
      </c>
      <c r="BK1421" s="48" t="str">
        <f aca="false">IF(AS1421&lt;=0,"",IF(CF1421="Aussen","Aussenlager",IF(CF1421="-","Nicht im Lift",IF(AY1421&gt;=1,"Lift",IF(AY1421&lt;=0,"Aussenlager","teilweise")))))</f>
        <v>Lift</v>
      </c>
      <c r="BL1421" s="48" t="str">
        <f aca="false">IF(BC1421&lt;=0,"",IF(CF1421="Aussen","Aussenlager",IF(CF1421="-","Nicht im Lift",IF(BI1421&gt;=1,"Lift",IF(BI1421&lt;=0,"Aussenlager","teilweise")))))</f>
        <v>Lift</v>
      </c>
      <c r="BM1421" s="48" t="str">
        <f aca="false">IF(A1421="","",IF(BV1421=1,"Neu; ","")&amp;IF(AND(BV1421=0,BQ1421&lt;0),"negativer Bestand (Export "&amp;BQ1421&amp;"); ","")&amp;IF(J1421&lt;=0,"Kein Verbrauch; ","")&amp;IF(CQ1421&gt;0,"Lift "&amp;W1421&amp;" lt. Liftbericht (Fach "&amp;X1421&amp;" Stk); ",IF(CA1421=1,"Gebinde geschätzt ("&amp;T1421&amp;"); ",IF(BZ1421=1,"Lose – Tablare geschätzt; ","")))&amp;IF(H1421&gt;AV1421,"Überbestand "&amp;ROUND(H1421-AV1421,0)&amp;" Stk / CHF "&amp;ROUND((H1421-AV1421)*G1421,0)&amp;"; ","")&amp;IF(AND(CH1421=1,CI1421&lt;CJ1421),"MAX &lt; MB+LG; ","")&amp;IF(AND(CP1421&gt;0,CO1421*10&gt;CP1421),"zu hoch für Tablar; ","")&amp;IF(AND(BV1421=0,OR(CH1421=1,AA1421&lt;&gt;"",U1421&lt;&gt;"",V1421&lt;&gt;"",AB1421&lt;&gt;"")),"manuell übersteuert; ","")&amp;IF(AND(BZ1421=0,R1421=0),"Gebinde unbekannt / Stellmass fehlt; ","")&amp;IF(AND(BZ1421=0,N(V1421)&lt;=0,N(Q1421)&lt;=0),"Menge pro Gebinde fehlt (Ist = 1 Gebinde); ","")&amp;BU1421)</f>
        <v>negativer Bestand (Export -9); Überbestand 1 Stk / CHF 699; B&amp;R</v>
      </c>
      <c r="BN1421" s="48"/>
      <c r="BO1421" s="48"/>
      <c r="BP1421" s="55"/>
      <c r="BQ1421" s="50" t="n">
        <v>-9</v>
      </c>
      <c r="BR1421" s="50" t="n">
        <v>16</v>
      </c>
      <c r="BS1421" s="49" t="n">
        <v>-5673.52</v>
      </c>
      <c r="BT1421" s="50" t="n">
        <v>8</v>
      </c>
      <c r="BU1421" s="48" t="s">
        <v>2226</v>
      </c>
      <c r="BV1421" s="53" t="n">
        <v>0</v>
      </c>
      <c r="BW1421" s="53" t="n">
        <v>1421</v>
      </c>
      <c r="BX1421" s="48" t="str">
        <f aca="false">IF(U1421&lt;&gt;"",UPPER(TRIM(U1421)),IF(CA1421=1,UPPER(VLOOKUP(T1421,Parameter!$I$27:$K$29,2,0)),IF(P1421="","LOSE",P1421)))</f>
        <v>S63</v>
      </c>
      <c r="BY1421" s="50" t="n">
        <f aca="false">IF(BX1421="LOSE",1,IF(N(V1421)&gt;0,V1421,IF(CA1421=1,MAX(1,N(VLOOKUP(T1421,Parameter!$I$27:$K$29,3,0)),H1421,N(N1421)),IF(N(Q1421)&gt;0,Q1421,MAX(1,H1421)))))</f>
        <v>7</v>
      </c>
      <c r="BZ1421" s="53" t="n">
        <f aca="false">IF(BX1421="LOSE",1,0)</f>
        <v>0</v>
      </c>
      <c r="CA1421" s="53" t="n">
        <f aca="false">IF(AND(U1421="",OR(P1421="",P1421="LOSE"),T1421&lt;&gt;"",N(S1421)&lt;=0,ISNUMBER(MATCH(T1421,Parameter!$I$27:$I$29,0))),1,0)</f>
        <v>0</v>
      </c>
      <c r="CB1421" s="53" t="n">
        <f aca="false">IF(CQ1421&gt;0,INDEX(Parameter!$H$5:$H$7,W1421)/INDEX(Parameter!$E$5:$E$7,W1421),IF(AND(BZ1421=0,N(IFERROR(VLOOKUP(BX1421,'Gebinde-Kategorie'!$A$5:$N$45,14,0),0))&gt;0),VLOOKUP(BX1421,'Gebinde-Kategorie'!$A$5:$N$45,14,0)*10+Parameter!$M$23,Parameter!$M$24))</f>
        <v>345</v>
      </c>
      <c r="CC1421" s="48" t="str">
        <f aca="false">IF(AND(Parameter!$B$19="Ja",E1421&lt;&gt;"",ISNUMBER(MATCH(E1421,Parameter!$I$35:$I$52,0))),VLOOKUP(E1421,Parameter!$I$35:$J$52,2,0),IFERROR(VLOOKUP(D1421,Parameter!$A$35:$C$64,2,0),"Nein"))</f>
        <v>2+3</v>
      </c>
      <c r="CD1421" s="52" t="n">
        <f aca="false">IF(BZ1421=0,0,IF(N(S1421)&gt;0,S1421,IFERROR(VLOOKUP(D1421,Parameter!$A$35:$C$64,3,0)+0,0)))</f>
        <v>0</v>
      </c>
      <c r="CE1421" s="48" t="n">
        <f aca="false">IF(AA1421&lt;&gt;"",AA1421,Z1421)</f>
        <v>2</v>
      </c>
      <c r="CF1421" s="48" t="str">
        <f aca="false">IF(OR(CE1421=1,CE1421=2,CE1421=3),IF(Parameter!$E$27="Ja","LIFT",IF(CE1421=1,"L1","L23")),IF(CE1421="Aussen","Aussen","-"))</f>
        <v>LIFT</v>
      </c>
      <c r="CG1421" s="59" t="n">
        <f aca="false">IF(N(AB1421)&gt;0,AB1421,0)</f>
        <v>0</v>
      </c>
      <c r="CH1421" s="53" t="n">
        <f aca="false">IF(ISNUMBER(AE1421),1,0)</f>
        <v>0</v>
      </c>
      <c r="CI1421" s="50" t="n">
        <f aca="false">N(AE1421)</f>
        <v>0</v>
      </c>
      <c r="CJ1421" s="50" t="n">
        <f aca="false">N(M1421)+N(N1421)</f>
        <v>6</v>
      </c>
      <c r="CK1421" s="50" t="n">
        <f aca="false">N(M1421)</f>
        <v>1</v>
      </c>
      <c r="CL1421" s="50" t="n">
        <f aca="false">N(N1421)</f>
        <v>5</v>
      </c>
      <c r="CM1421" s="50" t="n">
        <f aca="false">ROUNDUP(H1421/BY1421,0)</f>
        <v>1</v>
      </c>
      <c r="CN1421" s="50" t="n">
        <f aca="false">ROUNDUP(CI1421/BY1421,0)</f>
        <v>0</v>
      </c>
      <c r="CO1421" s="53" t="n">
        <f aca="false">IF(BZ1421=1,0,IFERROR(VLOOKUP(BX1421,'Gebinde-Kategorie'!$A$5:$N$45,5,0)+0,0))</f>
        <v>31</v>
      </c>
      <c r="CP1421" s="53" t="n">
        <f aca="false">IFERROR(IF(OR(CE1421=1,CE1421=2,CE1421=3),N(INDEX(Parameter!$I$5:$I$7,CE1421)),0),0)</f>
        <v>0</v>
      </c>
      <c r="CQ1421" s="52" t="n">
        <f aca="false">IF(AND(Parameter!$B$21="Ja",ISNUMBER(W1421),N(X1421)&gt;0),IFERROR(N(INDEX(Parameter!$L$5:$L$7,W1421))*INDEX(Parameter!$E$5:$E$7,W1421)*X1421/SUMIFS($X$7:$X$1843,$W$7:$W$1843,W1421),0),0)</f>
        <v>0</v>
      </c>
    </row>
    <row r="1422" customFormat="false" ht="15" hidden="false" customHeight="false" outlineLevel="0" collapsed="false">
      <c r="A1422" s="48" t="s">
        <v>2505</v>
      </c>
      <c r="B1422" s="48" t="s">
        <v>2181</v>
      </c>
      <c r="C1422" s="48" t="s">
        <v>173</v>
      </c>
      <c r="D1422" s="48" t="s">
        <v>193</v>
      </c>
      <c r="E1422" s="48"/>
      <c r="F1422" s="48" t="s">
        <v>227</v>
      </c>
      <c r="G1422" s="49" t="n">
        <v>671.53</v>
      </c>
      <c r="H1422" s="50" t="n">
        <f aca="false">MAX(0,IF(AND(Parameter!$B$21="Ja",ISNUMBER(Y1422)),Y1422,IF(Parameter!$B$20="Jahresanfang 2025 + Export",BR1422+BQ1422,BQ1422)))</f>
        <v>7</v>
      </c>
      <c r="I1422" s="50" t="n">
        <f aca="false">H1422*G1422</f>
        <v>4700.71</v>
      </c>
      <c r="J1422" s="50" t="n">
        <f aca="false">BT1422*Parameter!$B$18</f>
        <v>4</v>
      </c>
      <c r="K1422" s="51" t="n">
        <v>13</v>
      </c>
      <c r="L1422" s="52" t="n">
        <v>0.307692307692308</v>
      </c>
      <c r="M1422" s="50" t="n">
        <v>0</v>
      </c>
      <c r="N1422" s="50" t="n">
        <v>5</v>
      </c>
      <c r="O1422" s="53" t="n">
        <v>28</v>
      </c>
      <c r="P1422" s="48" t="s">
        <v>302</v>
      </c>
      <c r="Q1422" s="50" t="n">
        <v>8</v>
      </c>
      <c r="R1422" s="53" t="n">
        <f aca="false">IF(BZ1422=1,0,IFERROR(VLOOKUP(BX1422,'Gebinde-Kategorie'!$A$5:$N$45,13,0)+0,0))</f>
        <v>12</v>
      </c>
      <c r="S1422" s="54"/>
      <c r="T1422" s="55"/>
      <c r="U1422" s="55"/>
      <c r="V1422" s="55"/>
      <c r="W1422" s="48"/>
      <c r="X1422" s="50"/>
      <c r="Y1422" s="50"/>
      <c r="Z1422" s="48" t="n">
        <f aca="false">IF(A1422="","",IF(AND(Parameter!$B$21="Ja",ISNUMBER(W1422)),W1422,IF(CC1422="2+3",IF(ISNUMBER(SEARCH("grosser Artikel",BU1422)),2,IFERROR(VLOOKUP(BX1422,Parameter!$F$35:$G$64,2,0),2)),IF(OR(CC1422="Nein",CC1422=""),"-",CC1422))))</f>
        <v>2</v>
      </c>
      <c r="AA1422" s="55"/>
      <c r="AB1422" s="56"/>
      <c r="AC1422" s="50" t="n">
        <f aca="false">AV1422</f>
        <v>5</v>
      </c>
      <c r="AD1422" s="50" t="n">
        <f aca="false">MAX(AV1422,H1422)</f>
        <v>7</v>
      </c>
      <c r="AE1422" s="57"/>
      <c r="AF1422" s="50" t="n">
        <f aca="false">IF(LEFT(Cockpit!$C$5,1)="A",H1422,IF(Parameter!$E$30="MAX-Bestand",IF(CH1422=1,CI1422,IF(LEFT(Cockpit!$C$5,1)="B",AL1422,MAX(AL1422,H1422))),ROUNDUP(AJ1422,0)))</f>
        <v>7</v>
      </c>
      <c r="AG1422" s="50" t="n">
        <f aca="false">IF(BZ1422=1,0,ROUNDUP(AF1422/BY1422,0))</f>
        <v>1</v>
      </c>
      <c r="AH1422" s="52" t="n">
        <f aca="false">IF(CQ1422&gt;0,CQ1422*MAX(1,AF1422/X1422),IF(BZ1422=1,IF(AF1422&lt;=0,0,CD1422*MAX(1,IF(H1422&gt;0,AF1422/H1422,1))),IF(R1422&gt;0,AG1422/R1422,0))/MAX(0.1,N(Parameter!$M$21)))</f>
        <v>0.0833333333333333</v>
      </c>
      <c r="AI1422" s="50" t="n">
        <f aca="false">AH1422*CB1422</f>
        <v>20.4166666666667</v>
      </c>
      <c r="AJ1422" s="51" t="n">
        <f aca="false">IF(LEFT(Cockpit!$C$5,1)="A",H1422,IF(CH1422=1,(CK1422+CI1422)/2,IF(LEFT(Cockpit!$C$5,1)="B",(CK1422+AL1422)/2,MAX((CK1422+AL1422)/2,H1422))))</f>
        <v>7</v>
      </c>
      <c r="AK1422" s="50" t="n">
        <f aca="false">AJ1422*G1422</f>
        <v>4700.71</v>
      </c>
      <c r="AL1422" s="50" t="n">
        <f aca="false">ROUNDUP(CK1422+MAX(CL1422,2*(J1422/IF(CG1422&gt;0,CG1422,MAX(0.1,N(Cockpit!$C$6)))-CK1422)),0)</f>
        <v>5</v>
      </c>
      <c r="AM1422" s="51" t="n">
        <f aca="false">IF(AI1422&gt;0,J1422/AI1422,-1)</f>
        <v>0.195918367346939</v>
      </c>
      <c r="AN1422" s="51" t="n">
        <f aca="false">IF(AND(OR(CF1422="L1",CF1422="L23",CF1422="LIFT"),AI1422&gt;0),SUMIFS($AI$7:$AI$1843,$CF$7:$CF$1843,CF1422,$AM$7:$AM$1843,"&gt;"&amp;AM1422)+SUMIFS($AI$7:$AI$1843,$CF$7:$CF$1843,CF1422,$AM$7:$AM$1843,AM1422,$BW$7:$BW$1843,"&lt;="&amp;BW1422),"")</f>
        <v>12622.233720846</v>
      </c>
      <c r="AO1422" s="58" t="n">
        <f aca="false">IF(AN1422="",0,MAX(0,MIN(1,(IF(CF1422="L1",Parameter!$H$5,IF(CF1422="L23",Parameter!$H$6+Parameter!$H$7,Parameter!$H$5+Parameter!$H$6+Parameter!$H$7))-(AN1422-AI1422))/AI1422)))</f>
        <v>1</v>
      </c>
      <c r="AP1422" s="50" t="n">
        <f aca="false">IF(LEFT(Cockpit!$I$5,1)="A",H1422,IF(Parameter!$E$30="MAX-Bestand",IF(CH1422=1,CI1422,IF(LEFT(Cockpit!$I$5,1)="B",AV1422,MAX(AV1422,H1422))),ROUNDUP(AT1422,0)))</f>
        <v>7</v>
      </c>
      <c r="AQ1422" s="50" t="n">
        <f aca="false">IF(BZ1422=1,0,ROUNDUP(AP1422/BY1422,0))</f>
        <v>1</v>
      </c>
      <c r="AR1422" s="52" t="n">
        <f aca="false">IF(CQ1422&gt;0,CQ1422*MAX(1,AP1422/X1422),IF(BZ1422=1,IF(AP1422&lt;=0,0,CD1422*MAX(1,IF(H1422&gt;0,AP1422/H1422,1))),IF(R1422&gt;0,AQ1422/R1422,0))/MAX(0.1,N(Parameter!$M$21)))</f>
        <v>0.0833333333333333</v>
      </c>
      <c r="AS1422" s="50" t="n">
        <f aca="false">AR1422*CB1422</f>
        <v>20.4166666666667</v>
      </c>
      <c r="AT1422" s="51" t="n">
        <f aca="false">IF(LEFT(Cockpit!$I$5,1)="A",H1422,IF(CH1422=1,(CK1422+CI1422)/2,IF(LEFT(Cockpit!$I$5,1)="B",(CK1422+AV1422)/2,MAX((CK1422+AV1422)/2,H1422))))</f>
        <v>7</v>
      </c>
      <c r="AU1422" s="50" t="n">
        <f aca="false">AT1422*G1422</f>
        <v>4700.71</v>
      </c>
      <c r="AV1422" s="50" t="n">
        <f aca="false">ROUNDUP(CK1422+MAX(CL1422,2*(J1422/IF(CG1422&gt;0,CG1422,MAX(0.1,N(Cockpit!$I$6)))-CK1422)),0)</f>
        <v>5</v>
      </c>
      <c r="AW1422" s="51" t="n">
        <f aca="false">IF(AS1422&gt;0,J1422/AS1422,-1)</f>
        <v>0.195918367346939</v>
      </c>
      <c r="AX1422" s="51" t="n">
        <f aca="false">IF(AND(OR(CF1422="L1",CF1422="L23",CF1422="LIFT"),AS1422&gt;0),SUMIFS($AS$7:$AS$1843,$CF$7:$CF$1843,CF1422,$AW$7:$AW$1843,"&gt;"&amp;AW1422)+SUMIFS($AS$7:$AS$1843,$CF$7:$CF$1843,CF1422,$AW$7:$AW$1843,AW1422,$BW$7:$BW$1843,"&lt;="&amp;BW1422),"")</f>
        <v>15451.4913003663</v>
      </c>
      <c r="AY1422" s="58" t="n">
        <f aca="false">IF(AX1422="",0,MAX(0,MIN(1,(IF(CF1422="L1",Parameter!$H$5,IF(CF1422="L23",Parameter!$H$6+Parameter!$H$7,Parameter!$H$5+Parameter!$H$6+Parameter!$H$7))-(AX1422-AS1422))/AS1422)))</f>
        <v>1</v>
      </c>
      <c r="AZ1422" s="50" t="n">
        <f aca="false">IF(LEFT(Cockpit!$O$5,1)="A",H1422,IF(Parameter!$E$30="MAX-Bestand",IF(CH1422=1,CI1422,IF(LEFT(Cockpit!$O$5,1)="B",BF1422,MAX(BF1422,H1422))),ROUNDUP(BD1422,0)))</f>
        <v>3</v>
      </c>
      <c r="BA1422" s="50" t="n">
        <f aca="false">IF(BZ1422=1,0,ROUNDUP(AZ1422/BY1422,0))</f>
        <v>1</v>
      </c>
      <c r="BB1422" s="52" t="n">
        <f aca="false">IF(CQ1422&gt;0,CQ1422*MAX(1,AZ1422/X1422),IF(BZ1422=1,IF(AZ1422&lt;=0,0,CD1422*MAX(1,IF(H1422&gt;0,AZ1422/H1422,1))),IF(R1422&gt;0,BA1422/R1422,0))/MAX(0.1,N(Parameter!$M$21)))</f>
        <v>0.0833333333333333</v>
      </c>
      <c r="BC1422" s="50" t="n">
        <f aca="false">BB1422*CB1422</f>
        <v>20.4166666666667</v>
      </c>
      <c r="BD1422" s="51" t="n">
        <f aca="false">IF(LEFT(Cockpit!$O$5,1)="A",H1422,IF(CH1422=1,(CK1422+CI1422)/2,IF(LEFT(Cockpit!$O$5,1)="B",(CK1422+BF1422)/2,MAX((CK1422+BF1422)/2,H1422))))</f>
        <v>2.5</v>
      </c>
      <c r="BE1422" s="50" t="n">
        <f aca="false">BD1422*G1422</f>
        <v>1678.825</v>
      </c>
      <c r="BF1422" s="50" t="n">
        <f aca="false">ROUNDUP(CK1422+MAX(CL1422,2*(J1422/IF(CG1422&gt;0,CG1422,MAX(0.1,N(Cockpit!$O$6)))-CK1422)),0)</f>
        <v>5</v>
      </c>
      <c r="BG1422" s="51" t="n">
        <f aca="false">IF(BC1422&gt;0,J1422/BC1422,-1)</f>
        <v>0.195918367346939</v>
      </c>
      <c r="BH1422" s="51" t="n">
        <f aca="false">IF(AND(OR(CF1422="L1",CF1422="L23",CF1422="LIFT"),BC1422&gt;0),SUMIFS($BC$7:$BC$1843,$CF$7:$CF$1843,CF1422,$BG$7:$BG$1843,"&gt;"&amp;BG1422)+SUMIFS($BC$7:$BC$1843,$CF$7:$CF$1843,CF1422,$BG$7:$BG$1843,BG1422,$BW$7:$BW$1843,"&lt;="&amp;BW1422),"")</f>
        <v>13247.8295901368</v>
      </c>
      <c r="BI1422" s="58" t="n">
        <f aca="false">IF(BH1422="",0,MAX(0,MIN(1,(IF(CF1422="L1",Parameter!$H$5,IF(CF1422="L23",Parameter!$H$6+Parameter!$H$7,Parameter!$H$5+Parameter!$H$6+Parameter!$H$7))-(BH1422-BC1422))/BC1422)))</f>
        <v>1</v>
      </c>
      <c r="BJ1422" s="48" t="str">
        <f aca="false">IF(AI1422&lt;=0,"",IF(CF1422="Aussen","Aussenlager",IF(CF1422="-","Nicht im Lift",IF(AO1422&gt;=1,"Lift",IF(AO1422&lt;=0,"Aussenlager","teilweise")))))</f>
        <v>Lift</v>
      </c>
      <c r="BK1422" s="48" t="str">
        <f aca="false">IF(AS1422&lt;=0,"",IF(CF1422="Aussen","Aussenlager",IF(CF1422="-","Nicht im Lift",IF(AY1422&gt;=1,"Lift",IF(AY1422&lt;=0,"Aussenlager","teilweise")))))</f>
        <v>Lift</v>
      </c>
      <c r="BL1422" s="48" t="str">
        <f aca="false">IF(BC1422&lt;=0,"",IF(CF1422="Aussen","Aussenlager",IF(CF1422="-","Nicht im Lift",IF(BI1422&gt;=1,"Lift",IF(BI1422&lt;=0,"Aussenlager","teilweise")))))</f>
        <v>Lift</v>
      </c>
      <c r="BM1422" s="48" t="str">
        <f aca="false">IF(A1422="","",IF(BV1422=1,"Neu; ","")&amp;IF(AND(BV1422=0,BQ1422&lt;0),"negativer Bestand (Export "&amp;BQ1422&amp;"); ","")&amp;IF(J1422&lt;=0,"Kein Verbrauch; ","")&amp;IF(CQ1422&gt;0,"Lift "&amp;W1422&amp;" lt. Liftbericht (Fach "&amp;X1422&amp;" Stk); ",IF(CA1422=1,"Gebinde geschätzt ("&amp;T1422&amp;"); ",IF(BZ1422=1,"Lose – Tablare geschätzt; ","")))&amp;IF(H1422&gt;AV1422,"Überbestand "&amp;ROUND(H1422-AV1422,0)&amp;" Stk / CHF "&amp;ROUND((H1422-AV1422)*G1422,0)&amp;"; ","")&amp;IF(AND(CH1422=1,CI1422&lt;CJ1422),"MAX &lt; MB+LG; ","")&amp;IF(AND(CP1422&gt;0,CO1422*10&gt;CP1422),"zu hoch für Tablar; ","")&amp;IF(AND(BV1422=0,OR(CH1422=1,AA1422&lt;&gt;"",U1422&lt;&gt;"",V1422&lt;&gt;"",AB1422&lt;&gt;"")),"manuell übersteuert; ","")&amp;IF(AND(BZ1422=0,R1422=0),"Gebinde unbekannt / Stellmass fehlt; ","")&amp;IF(AND(BZ1422=0,N(V1422)&lt;=0,N(Q1422)&lt;=0),"Menge pro Gebinde fehlt (Ist = 1 Gebinde); ","")&amp;BU1422)</f>
        <v>negativer Bestand (Export -9); Überbestand 2 Stk / CHF 1343; </v>
      </c>
      <c r="BN1422" s="48"/>
      <c r="BO1422" s="48"/>
      <c r="BP1422" s="55"/>
      <c r="BQ1422" s="50" t="n">
        <v>-9</v>
      </c>
      <c r="BR1422" s="50" t="n">
        <v>16</v>
      </c>
      <c r="BS1422" s="49" t="n">
        <v>-6043.77</v>
      </c>
      <c r="BT1422" s="50" t="n">
        <v>4</v>
      </c>
      <c r="BU1422" s="48"/>
      <c r="BV1422" s="53" t="n">
        <v>0</v>
      </c>
      <c r="BW1422" s="53" t="n">
        <v>1422</v>
      </c>
      <c r="BX1422" s="48" t="str">
        <f aca="false">IF(U1422&lt;&gt;"",UPPER(TRIM(U1422)),IF(CA1422=1,UPPER(VLOOKUP(T1422,Parameter!$I$27:$K$29,2,0)),IF(P1422="","LOSE",P1422)))</f>
        <v>S62</v>
      </c>
      <c r="BY1422" s="50" t="n">
        <f aca="false">IF(BX1422="LOSE",1,IF(N(V1422)&gt;0,V1422,IF(CA1422=1,MAX(1,N(VLOOKUP(T1422,Parameter!$I$27:$K$29,3,0)),H1422,N(N1422)),IF(N(Q1422)&gt;0,Q1422,MAX(1,H1422)))))</f>
        <v>8</v>
      </c>
      <c r="BZ1422" s="53" t="n">
        <f aca="false">IF(BX1422="LOSE",1,0)</f>
        <v>0</v>
      </c>
      <c r="CA1422" s="53" t="n">
        <f aca="false">IF(AND(U1422="",OR(P1422="",P1422="LOSE"),T1422&lt;&gt;"",N(S1422)&lt;=0,ISNUMBER(MATCH(T1422,Parameter!$I$27:$I$29,0))),1,0)</f>
        <v>0</v>
      </c>
      <c r="CB1422" s="53" t="n">
        <f aca="false">IF(CQ1422&gt;0,INDEX(Parameter!$H$5:$H$7,W1422)/INDEX(Parameter!$E$5:$E$7,W1422),IF(AND(BZ1422=0,N(IFERROR(VLOOKUP(BX1422,'Gebinde-Kategorie'!$A$5:$N$45,14,0),0))&gt;0),VLOOKUP(BX1422,'Gebinde-Kategorie'!$A$5:$N$45,14,0)*10+Parameter!$M$23,Parameter!$M$24))</f>
        <v>245</v>
      </c>
      <c r="CC1422" s="48" t="str">
        <f aca="false">IF(AND(Parameter!$B$19="Ja",E1422&lt;&gt;"",ISNUMBER(MATCH(E1422,Parameter!$I$35:$I$52,0))),VLOOKUP(E1422,Parameter!$I$35:$J$52,2,0),IFERROR(VLOOKUP(D1422,Parameter!$A$35:$C$64,2,0),"Nein"))</f>
        <v>2+3</v>
      </c>
      <c r="CD1422" s="52" t="n">
        <f aca="false">IF(BZ1422=0,0,IF(N(S1422)&gt;0,S1422,IFERROR(VLOOKUP(D1422,Parameter!$A$35:$C$64,3,0)+0,0)))</f>
        <v>0</v>
      </c>
      <c r="CE1422" s="48" t="n">
        <f aca="false">IF(AA1422&lt;&gt;"",AA1422,Z1422)</f>
        <v>2</v>
      </c>
      <c r="CF1422" s="48" t="str">
        <f aca="false">IF(OR(CE1422=1,CE1422=2,CE1422=3),IF(Parameter!$E$27="Ja","LIFT",IF(CE1422=1,"L1","L23")),IF(CE1422="Aussen","Aussen","-"))</f>
        <v>LIFT</v>
      </c>
      <c r="CG1422" s="59" t="n">
        <f aca="false">IF(N(AB1422)&gt;0,AB1422,0)</f>
        <v>0</v>
      </c>
      <c r="CH1422" s="53" t="n">
        <f aca="false">IF(ISNUMBER(AE1422),1,0)</f>
        <v>0</v>
      </c>
      <c r="CI1422" s="50" t="n">
        <f aca="false">N(AE1422)</f>
        <v>0</v>
      </c>
      <c r="CJ1422" s="50" t="n">
        <f aca="false">N(M1422)+N(N1422)</f>
        <v>5</v>
      </c>
      <c r="CK1422" s="50" t="n">
        <f aca="false">N(M1422)</f>
        <v>0</v>
      </c>
      <c r="CL1422" s="50" t="n">
        <f aca="false">N(N1422)</f>
        <v>5</v>
      </c>
      <c r="CM1422" s="50" t="n">
        <f aca="false">ROUNDUP(H1422/BY1422,0)</f>
        <v>1</v>
      </c>
      <c r="CN1422" s="50" t="n">
        <f aca="false">ROUNDUP(CI1422/BY1422,0)</f>
        <v>0</v>
      </c>
      <c r="CO1422" s="53" t="n">
        <f aca="false">IF(BZ1422=1,0,IFERROR(VLOOKUP(BX1422,'Gebinde-Kategorie'!$A$5:$N$45,5,0)+0,0))</f>
        <v>21</v>
      </c>
      <c r="CP1422" s="53" t="n">
        <f aca="false">IFERROR(IF(OR(CE1422=1,CE1422=2,CE1422=3),N(INDEX(Parameter!$I$5:$I$7,CE1422)),0),0)</f>
        <v>0</v>
      </c>
      <c r="CQ1422" s="52" t="n">
        <f aca="false">IF(AND(Parameter!$B$21="Ja",ISNUMBER(W1422),N(X1422)&gt;0),IFERROR(N(INDEX(Parameter!$L$5:$L$7,W1422))*INDEX(Parameter!$E$5:$E$7,W1422)*X1422/SUMIFS($X$7:$X$1843,$W$7:$W$1843,W1422),0),0)</f>
        <v>0</v>
      </c>
    </row>
    <row r="1423" customFormat="false" ht="15" hidden="false" customHeight="false" outlineLevel="0" collapsed="false">
      <c r="A1423" s="48" t="s">
        <v>2506</v>
      </c>
      <c r="B1423" s="48" t="s">
        <v>262</v>
      </c>
      <c r="C1423" s="48" t="s">
        <v>173</v>
      </c>
      <c r="D1423" s="48" t="s">
        <v>182</v>
      </c>
      <c r="E1423" s="48" t="s">
        <v>175</v>
      </c>
      <c r="F1423" s="48" t="s">
        <v>227</v>
      </c>
      <c r="G1423" s="49" t="n">
        <v>1464.77</v>
      </c>
      <c r="H1423" s="50" t="n">
        <f aca="false">MAX(0,IF(AND(Parameter!$B$21="Ja",ISNUMBER(Y1423)),Y1423,IF(Parameter!$B$20="Jahresanfang 2025 + Export",BR1423+BQ1423,BQ1423)))</f>
        <v>7</v>
      </c>
      <c r="I1423" s="50" t="n">
        <f aca="false">H1423*G1423</f>
        <v>10253.39</v>
      </c>
      <c r="J1423" s="50" t="n">
        <f aca="false">BT1423*Parameter!$B$18</f>
        <v>16</v>
      </c>
      <c r="K1423" s="51" t="n">
        <v>8</v>
      </c>
      <c r="L1423" s="52" t="n">
        <v>2</v>
      </c>
      <c r="M1423" s="50" t="n">
        <v>3</v>
      </c>
      <c r="N1423" s="50" t="n">
        <v>5</v>
      </c>
      <c r="O1423" s="53" t="n">
        <v>70</v>
      </c>
      <c r="P1423" s="48" t="s">
        <v>177</v>
      </c>
      <c r="Q1423" s="50"/>
      <c r="R1423" s="53" t="n">
        <f aca="false">IF(BZ1423=1,0,IFERROR(VLOOKUP(BX1423,'Gebinde-Kategorie'!$A$5:$N$45,13,0)+0,0))</f>
        <v>0</v>
      </c>
      <c r="S1423" s="54"/>
      <c r="T1423" s="55"/>
      <c r="U1423" s="55"/>
      <c r="V1423" s="55"/>
      <c r="W1423" s="48" t="n">
        <v>1</v>
      </c>
      <c r="X1423" s="50" t="n">
        <v>10</v>
      </c>
      <c r="Y1423" s="50" t="n">
        <v>7</v>
      </c>
      <c r="Z1423" s="48" t="n">
        <f aca="false">IF(A1423="","",IF(AND(Parameter!$B$21="Ja",ISNUMBER(W1423)),W1423,IF(CC1423="2+3",IF(ISNUMBER(SEARCH("grosser Artikel",BU1423)),2,IFERROR(VLOOKUP(BX1423,Parameter!$F$35:$G$64,2,0),2)),IF(OR(CC1423="Nein",CC1423=""),"-",CC1423))))</f>
        <v>1</v>
      </c>
      <c r="AA1423" s="55"/>
      <c r="AB1423" s="56"/>
      <c r="AC1423" s="50" t="n">
        <f aca="false">AV1423</f>
        <v>8</v>
      </c>
      <c r="AD1423" s="50" t="n">
        <f aca="false">MAX(AV1423,H1423)</f>
        <v>8</v>
      </c>
      <c r="AE1423" s="57"/>
      <c r="AF1423" s="50" t="n">
        <f aca="false">IF(LEFT(Cockpit!$C$5,1)="A",H1423,IF(Parameter!$E$30="MAX-Bestand",IF(CH1423=1,CI1423,IF(LEFT(Cockpit!$C$5,1)="B",AL1423,MAX(AL1423,H1423))),ROUNDUP(AJ1423,0)))</f>
        <v>7</v>
      </c>
      <c r="AG1423" s="50" t="n">
        <f aca="false">IF(BZ1423=1,0,ROUNDUP(AF1423/BY1423,0))</f>
        <v>0</v>
      </c>
      <c r="AH1423" s="52" t="n">
        <f aca="false">IF(CQ1423&gt;0,CQ1423*MAX(1,AF1423/X1423),IF(BZ1423=1,IF(AF1423&lt;=0,0,CD1423*MAX(1,IF(H1423&gt;0,AF1423/H1423,1))),IF(R1423&gt;0,AG1423/R1423,0))/MAX(0.1,N(Parameter!$M$21)))</f>
        <v>0.800376647834275</v>
      </c>
      <c r="AI1423" s="50" t="n">
        <f aca="false">AH1423*CB1423</f>
        <v>190.489642184557</v>
      </c>
      <c r="AJ1423" s="51" t="n">
        <f aca="false">IF(LEFT(Cockpit!$C$5,1)="A",H1423,IF(CH1423=1,(CK1423+CI1423)/2,IF(LEFT(Cockpit!$C$5,1)="B",(CK1423+AL1423)/2,MAX((CK1423+AL1423)/2,H1423))))</f>
        <v>7</v>
      </c>
      <c r="AK1423" s="50" t="n">
        <f aca="false">AJ1423*G1423</f>
        <v>10253.39</v>
      </c>
      <c r="AL1423" s="50" t="n">
        <f aca="false">ROUNDUP(CK1423+MAX(CL1423,2*(J1423/IF(CG1423&gt;0,CG1423,MAX(0.1,N(Cockpit!$C$6)))-CK1423)),0)</f>
        <v>8</v>
      </c>
      <c r="AM1423" s="51" t="n">
        <f aca="false">IF(AI1423&gt;0,J1423/AI1423,-1)</f>
        <v>0.0839940682155215</v>
      </c>
      <c r="AN1423" s="51" t="n">
        <f aca="false">IF(AND(OR(CF1423="L1",CF1423="L23",CF1423="LIFT"),AI1423&gt;0),SUMIFS($AI$7:$AI$1843,$CF$7:$CF$1843,CF1423,$AM$7:$AM$1843,"&gt;"&amp;AM1423)+SUMIFS($AI$7:$AI$1843,$CF$7:$CF$1843,CF1423,$AM$7:$AM$1843,AM1423,$BW$7:$BW$1843,"&lt;="&amp;BW1423),"")</f>
        <v>16638.4471425467</v>
      </c>
      <c r="AO1423" s="58" t="n">
        <f aca="false">IF(AN1423="",0,MAX(0,MIN(1,(IF(CF1423="L1",Parameter!$H$5,IF(CF1423="L23",Parameter!$H$6+Parameter!$H$7,Parameter!$H$5+Parameter!$H$6+Parameter!$H$7))-(AN1423-AI1423))/AI1423)))</f>
        <v>1</v>
      </c>
      <c r="AP1423" s="50" t="n">
        <f aca="false">IF(LEFT(Cockpit!$I$5,1)="A",H1423,IF(Parameter!$E$30="MAX-Bestand",IF(CH1423=1,CI1423,IF(LEFT(Cockpit!$I$5,1)="B",AV1423,MAX(AV1423,H1423))),ROUNDUP(AT1423,0)))</f>
        <v>7</v>
      </c>
      <c r="AQ1423" s="50" t="n">
        <f aca="false">IF(BZ1423=1,0,ROUNDUP(AP1423/BY1423,0))</f>
        <v>0</v>
      </c>
      <c r="AR1423" s="52" t="n">
        <f aca="false">IF(CQ1423&gt;0,CQ1423*MAX(1,AP1423/X1423),IF(BZ1423=1,IF(AP1423&lt;=0,0,CD1423*MAX(1,IF(H1423&gt;0,AP1423/H1423,1))),IF(R1423&gt;0,AQ1423/R1423,0))/MAX(0.1,N(Parameter!$M$21)))</f>
        <v>0.800376647834275</v>
      </c>
      <c r="AS1423" s="50" t="n">
        <f aca="false">AR1423*CB1423</f>
        <v>190.489642184557</v>
      </c>
      <c r="AT1423" s="51" t="n">
        <f aca="false">IF(LEFT(Cockpit!$I$5,1)="A",H1423,IF(CH1423=1,(CK1423+CI1423)/2,IF(LEFT(Cockpit!$I$5,1)="B",(CK1423+AV1423)/2,MAX((CK1423+AV1423)/2,H1423))))</f>
        <v>7</v>
      </c>
      <c r="AU1423" s="50" t="n">
        <f aca="false">AT1423*G1423</f>
        <v>10253.39</v>
      </c>
      <c r="AV1423" s="50" t="n">
        <f aca="false">ROUNDUP(CK1423+MAX(CL1423,2*(J1423/IF(CG1423&gt;0,CG1423,MAX(0.1,N(Cockpit!$I$6)))-CK1423)),0)</f>
        <v>8</v>
      </c>
      <c r="AW1423" s="51" t="n">
        <f aca="false">IF(AS1423&gt;0,J1423/AS1423,-1)</f>
        <v>0.0839940682155215</v>
      </c>
      <c r="AX1423" s="51" t="n">
        <f aca="false">IF(AND(OR(CF1423="L1",CF1423="L23",CF1423="LIFT"),AS1423&gt;0),SUMIFS($AS$7:$AS$1843,$CF$7:$CF$1843,CF1423,$AW$7:$AW$1843,"&gt;"&amp;AW1423)+SUMIFS($AS$7:$AS$1843,$CF$7:$CF$1843,CF1423,$AW$7:$AW$1843,AW1423,$BW$7:$BW$1843,"&lt;="&amp;BW1423),"")</f>
        <v>21661.5957839242</v>
      </c>
      <c r="AY1423" s="58" t="n">
        <f aca="false">IF(AX1423="",0,MAX(0,MIN(1,(IF(CF1423="L1",Parameter!$H$5,IF(CF1423="L23",Parameter!$H$6+Parameter!$H$7,Parameter!$H$5+Parameter!$H$6+Parameter!$H$7))-(AX1423-AS1423))/AS1423)))</f>
        <v>1</v>
      </c>
      <c r="AZ1423" s="50" t="n">
        <f aca="false">IF(LEFT(Cockpit!$O$5,1)="A",H1423,IF(Parameter!$E$30="MAX-Bestand",IF(CH1423=1,CI1423,IF(LEFT(Cockpit!$O$5,1)="B",BF1423,MAX(BF1423,H1423))),ROUNDUP(BD1423,0)))</f>
        <v>6</v>
      </c>
      <c r="BA1423" s="50" t="n">
        <f aca="false">IF(BZ1423=1,0,ROUNDUP(AZ1423/BY1423,0))</f>
        <v>0</v>
      </c>
      <c r="BB1423" s="52" t="n">
        <f aca="false">IF(CQ1423&gt;0,CQ1423*MAX(1,AZ1423/X1423),IF(BZ1423=1,IF(AZ1423&lt;=0,0,CD1423*MAX(1,IF(H1423&gt;0,AZ1423/H1423,1))),IF(R1423&gt;0,BA1423/R1423,0))/MAX(0.1,N(Parameter!$M$21)))</f>
        <v>0.800376647834275</v>
      </c>
      <c r="BC1423" s="50" t="n">
        <f aca="false">BB1423*CB1423</f>
        <v>190.489642184557</v>
      </c>
      <c r="BD1423" s="51" t="n">
        <f aca="false">IF(LEFT(Cockpit!$O$5,1)="A",H1423,IF(CH1423=1,(CK1423+CI1423)/2,IF(LEFT(Cockpit!$O$5,1)="B",(CK1423+BF1423)/2,MAX((CK1423+BF1423)/2,H1423))))</f>
        <v>5.5</v>
      </c>
      <c r="BE1423" s="50" t="n">
        <f aca="false">BD1423*G1423</f>
        <v>8056.235</v>
      </c>
      <c r="BF1423" s="50" t="n">
        <f aca="false">ROUNDUP(CK1423+MAX(CL1423,2*(J1423/IF(CG1423&gt;0,CG1423,MAX(0.1,N(Cockpit!$O$6)))-CK1423)),0)</f>
        <v>8</v>
      </c>
      <c r="BG1423" s="51" t="n">
        <f aca="false">IF(BC1423&gt;0,J1423/BC1423,-1)</f>
        <v>0.0839940682155215</v>
      </c>
      <c r="BH1423" s="51" t="n">
        <f aca="false">IF(AND(OR(CF1423="L1",CF1423="L23",CF1423="LIFT"),BC1423&gt;0),SUMIFS($BC$7:$BC$1843,$CF$7:$CF$1843,CF1423,$BG$7:$BG$1843,"&gt;"&amp;BG1423)+SUMIFS($BC$7:$BC$1843,$CF$7:$CF$1843,CF1423,$BG$7:$BG$1843,BG1423,$BW$7:$BW$1843,"&lt;="&amp;BW1423),"")</f>
        <v>18223.4981400426</v>
      </c>
      <c r="BI1423" s="58" t="n">
        <f aca="false">IF(BH1423="",0,MAX(0,MIN(1,(IF(CF1423="L1",Parameter!$H$5,IF(CF1423="L23",Parameter!$H$6+Parameter!$H$7,Parameter!$H$5+Parameter!$H$6+Parameter!$H$7))-(BH1423-BC1423))/BC1423)))</f>
        <v>1</v>
      </c>
      <c r="BJ1423" s="48" t="str">
        <f aca="false">IF(AI1423&lt;=0,"",IF(CF1423="Aussen","Aussenlager",IF(CF1423="-","Nicht im Lift",IF(AO1423&gt;=1,"Lift",IF(AO1423&lt;=0,"Aussenlager","teilweise")))))</f>
        <v>Lift</v>
      </c>
      <c r="BK1423" s="48" t="str">
        <f aca="false">IF(AS1423&lt;=0,"",IF(CF1423="Aussen","Aussenlager",IF(CF1423="-","Nicht im Lift",IF(AY1423&gt;=1,"Lift",IF(AY1423&lt;=0,"Aussenlager","teilweise")))))</f>
        <v>Lift</v>
      </c>
      <c r="BL1423" s="48" t="str">
        <f aca="false">IF(BC1423&lt;=0,"",IF(CF1423="Aussen","Aussenlager",IF(CF1423="-","Nicht im Lift",IF(BI1423&gt;=1,"Lift",IF(BI1423&lt;=0,"Aussenlager","teilweise")))))</f>
        <v>Lift</v>
      </c>
      <c r="BM1423" s="48" t="str">
        <f aca="false">IF(A1423="","",IF(BV1423=1,"Neu; ","")&amp;IF(AND(BV1423=0,BQ1423&lt;0),"negativer Bestand (Export "&amp;BQ1423&amp;"); ","")&amp;IF(J1423&lt;=0,"Kein Verbrauch; ","")&amp;IF(CQ1423&gt;0,"Lift "&amp;W1423&amp;" lt. Liftbericht (Fach "&amp;X1423&amp;" Stk); ",IF(CA1423=1,"Gebinde geschätzt ("&amp;T1423&amp;"); ",IF(BZ1423=1,"Lose – Tablare geschätzt; ","")))&amp;IF(H1423&gt;AV1423,"Überbestand "&amp;ROUND(H1423-AV1423,0)&amp;" Stk / CHF "&amp;ROUND((H1423-AV1423)*G1423,0)&amp;"; ","")&amp;IF(AND(CH1423=1,CI1423&lt;CJ1423),"MAX &lt; MB+LG; ","")&amp;IF(AND(CP1423&gt;0,CO1423*10&gt;CP1423),"zu hoch für Tablar; ","")&amp;IF(AND(BV1423=0,OR(CH1423=1,AA1423&lt;&gt;"",U1423&lt;&gt;"",V1423&lt;&gt;"",AB1423&lt;&gt;"")),"manuell übersteuert; ","")&amp;IF(AND(BZ1423=0,R1423=0),"Gebinde unbekannt / Stellmass fehlt; ","")&amp;IF(AND(BZ1423=0,N(V1423)&lt;=0,N(Q1423)&lt;=0),"Menge pro Gebinde fehlt (Ist = 1 Gebinde); ","")&amp;BU1423)</f>
        <v>negativer Bestand (Export -5); Lift 1 lt. Liftbericht (Fach 10 Stk); </v>
      </c>
      <c r="BN1423" s="48"/>
      <c r="BO1423" s="48"/>
      <c r="BP1423" s="55"/>
      <c r="BQ1423" s="50" t="n">
        <v>-5</v>
      </c>
      <c r="BR1423" s="50" t="n">
        <v>12</v>
      </c>
      <c r="BS1423" s="49" t="n">
        <v>-6065.88999999999</v>
      </c>
      <c r="BT1423" s="50" t="n">
        <v>16</v>
      </c>
      <c r="BU1423" s="48"/>
      <c r="BV1423" s="53" t="n">
        <v>0</v>
      </c>
      <c r="BW1423" s="53" t="n">
        <v>1423</v>
      </c>
      <c r="BX1423" s="48" t="str">
        <f aca="false">IF(U1423&lt;&gt;"",UPPER(TRIM(U1423)),IF(CA1423=1,UPPER(VLOOKUP(T1423,Parameter!$I$27:$K$29,2,0)),IF(P1423="","LOSE",P1423)))</f>
        <v>LOSE</v>
      </c>
      <c r="BY1423" s="50" t="n">
        <f aca="false">IF(BX1423="LOSE",1,IF(N(V1423)&gt;0,V1423,IF(CA1423=1,MAX(1,N(VLOOKUP(T1423,Parameter!$I$27:$K$29,3,0)),H1423,N(N1423)),IF(N(Q1423)&gt;0,Q1423,MAX(1,H1423)))))</f>
        <v>1</v>
      </c>
      <c r="BZ1423" s="53" t="n">
        <f aca="false">IF(BX1423="LOSE",1,0)</f>
        <v>1</v>
      </c>
      <c r="CA1423" s="53" t="n">
        <f aca="false">IF(AND(U1423="",OR(P1423="",P1423="LOSE"),T1423&lt;&gt;"",N(S1423)&lt;=0,ISNUMBER(MATCH(T1423,Parameter!$I$27:$I$29,0))),1,0)</f>
        <v>0</v>
      </c>
      <c r="CB1423" s="53" t="n">
        <f aca="false">IF(CQ1423&gt;0,INDEX(Parameter!$H$5:$H$7,W1423)/INDEX(Parameter!$E$5:$E$7,W1423),IF(AND(BZ1423=0,N(IFERROR(VLOOKUP(BX1423,'Gebinde-Kategorie'!$A$5:$N$45,14,0),0))&gt;0),VLOOKUP(BX1423,'Gebinde-Kategorie'!$A$5:$N$45,14,0)*10+Parameter!$M$23,Parameter!$M$24))</f>
        <v>238</v>
      </c>
      <c r="CC1423" s="48" t="n">
        <f aca="false">IF(AND(Parameter!$B$19="Ja",E1423&lt;&gt;"",ISNUMBER(MATCH(E1423,Parameter!$I$35:$I$52,0))),VLOOKUP(E1423,Parameter!$I$35:$J$52,2,0),IFERROR(VLOOKUP(D1423,Parameter!$A$35:$C$64,2,0),"Nein"))</f>
        <v>1</v>
      </c>
      <c r="CD1423" s="52" t="n">
        <f aca="false">IF(BZ1423=0,0,IF(N(S1423)&gt;0,S1423,IFERROR(VLOOKUP(D1423,Parameter!$A$35:$C$64,3,0)+0,0)))</f>
        <v>0.15</v>
      </c>
      <c r="CE1423" s="48" t="n">
        <f aca="false">IF(AA1423&lt;&gt;"",AA1423,Z1423)</f>
        <v>1</v>
      </c>
      <c r="CF1423" s="48" t="str">
        <f aca="false">IF(OR(CE1423=1,CE1423=2,CE1423=3),IF(Parameter!$E$27="Ja","LIFT",IF(CE1423=1,"L1","L23")),IF(CE1423="Aussen","Aussen","-"))</f>
        <v>LIFT</v>
      </c>
      <c r="CG1423" s="59" t="n">
        <f aca="false">IF(N(AB1423)&gt;0,AB1423,0)</f>
        <v>0</v>
      </c>
      <c r="CH1423" s="53" t="n">
        <f aca="false">IF(ISNUMBER(AE1423),1,0)</f>
        <v>0</v>
      </c>
      <c r="CI1423" s="50" t="n">
        <f aca="false">N(AE1423)</f>
        <v>0</v>
      </c>
      <c r="CJ1423" s="50" t="n">
        <f aca="false">N(M1423)+N(N1423)</f>
        <v>8</v>
      </c>
      <c r="CK1423" s="50" t="n">
        <f aca="false">N(M1423)</f>
        <v>3</v>
      </c>
      <c r="CL1423" s="50" t="n">
        <f aca="false">N(N1423)</f>
        <v>5</v>
      </c>
      <c r="CM1423" s="50" t="n">
        <f aca="false">ROUNDUP(H1423/BY1423,0)</f>
        <v>7</v>
      </c>
      <c r="CN1423" s="50" t="n">
        <f aca="false">ROUNDUP(CI1423/BY1423,0)</f>
        <v>0</v>
      </c>
      <c r="CO1423" s="53" t="n">
        <f aca="false">IF(BZ1423=1,0,IFERROR(VLOOKUP(BX1423,'Gebinde-Kategorie'!$A$5:$N$45,5,0)+0,0))</f>
        <v>0</v>
      </c>
      <c r="CP1423" s="53" t="n">
        <f aca="false">IFERROR(IF(OR(CE1423=1,CE1423=2,CE1423=3),N(INDEX(Parameter!$I$5:$I$7,CE1423)),0),0)</f>
        <v>0</v>
      </c>
      <c r="CQ1423" s="52" t="n">
        <f aca="false">IF(AND(Parameter!$B$21="Ja",ISNUMBER(W1423),N(X1423)&gt;0),IFERROR(N(INDEX(Parameter!$L$5:$L$7,W1423))*INDEX(Parameter!$E$5:$E$7,W1423)*X1423/SUMIFS($X$7:$X$1843,$W$7:$W$1843,W1423),0),0)</f>
        <v>0.800376647834275</v>
      </c>
    </row>
    <row r="1424" customFormat="false" ht="15" hidden="false" customHeight="false" outlineLevel="0" collapsed="false">
      <c r="A1424" s="48" t="s">
        <v>2507</v>
      </c>
      <c r="B1424" s="48" t="s">
        <v>2508</v>
      </c>
      <c r="C1424" s="48" t="s">
        <v>173</v>
      </c>
      <c r="D1424" s="48" t="s">
        <v>174</v>
      </c>
      <c r="E1424" s="48"/>
      <c r="F1424" s="48" t="s">
        <v>227</v>
      </c>
      <c r="G1424" s="49" t="n">
        <v>2751.82</v>
      </c>
      <c r="H1424" s="50" t="n">
        <f aca="false">MAX(0,IF(AND(Parameter!$B$21="Ja",ISNUMBER(Y1424)),Y1424,IF(Parameter!$B$20="Jahresanfang 2025 + Export",BR1424+BQ1424,BQ1424)))</f>
        <v>0</v>
      </c>
      <c r="I1424" s="50" t="n">
        <f aca="false">H1424*G1424</f>
        <v>0</v>
      </c>
      <c r="J1424" s="50" t="n">
        <f aca="false">BT1424*Parameter!$B$18</f>
        <v>19</v>
      </c>
      <c r="K1424" s="51" t="n">
        <v>9.5</v>
      </c>
      <c r="L1424" s="52" t="n">
        <v>2</v>
      </c>
      <c r="M1424" s="50" t="n">
        <v>5</v>
      </c>
      <c r="N1424" s="50" t="n">
        <v>5</v>
      </c>
      <c r="O1424" s="53" t="n">
        <v>74</v>
      </c>
      <c r="P1424" s="48" t="s">
        <v>177</v>
      </c>
      <c r="Q1424" s="50"/>
      <c r="R1424" s="53" t="n">
        <f aca="false">IF(BZ1424=1,0,IFERROR(VLOOKUP(BX1424,'Gebinde-Kategorie'!$A$5:$N$45,13,0)+0,0))</f>
        <v>0</v>
      </c>
      <c r="S1424" s="54"/>
      <c r="T1424" s="55"/>
      <c r="U1424" s="55"/>
      <c r="V1424" s="55"/>
      <c r="W1424" s="48" t="n">
        <v>1</v>
      </c>
      <c r="X1424" s="50" t="n">
        <v>11</v>
      </c>
      <c r="Y1424" s="50" t="n">
        <v>0</v>
      </c>
      <c r="Z1424" s="48" t="n">
        <f aca="false">IF(A1424="","",IF(AND(Parameter!$B$21="Ja",ISNUMBER(W1424)),W1424,IF(CC1424="2+3",IF(ISNUMBER(SEARCH("grosser Artikel",BU1424)),2,IFERROR(VLOOKUP(BX1424,Parameter!$F$35:$G$64,2,0),2)),IF(OR(CC1424="Nein",CC1424=""),"-",CC1424))))</f>
        <v>1</v>
      </c>
      <c r="AA1424" s="55"/>
      <c r="AB1424" s="56"/>
      <c r="AC1424" s="50" t="n">
        <f aca="false">AV1424</f>
        <v>10</v>
      </c>
      <c r="AD1424" s="50" t="n">
        <f aca="false">MAX(AV1424,H1424)</f>
        <v>10</v>
      </c>
      <c r="AE1424" s="57"/>
      <c r="AF1424" s="50" t="n">
        <f aca="false">IF(LEFT(Cockpit!$C$5,1)="A",H1424,IF(Parameter!$E$30="MAX-Bestand",IF(CH1424=1,CI1424,IF(LEFT(Cockpit!$C$5,1)="B",AL1424,MAX(AL1424,H1424))),ROUNDUP(AJ1424,0)))</f>
        <v>0</v>
      </c>
      <c r="AG1424" s="50" t="n">
        <f aca="false">IF(BZ1424=1,0,ROUNDUP(AF1424/BY1424,0))</f>
        <v>0</v>
      </c>
      <c r="AH1424" s="52" t="n">
        <f aca="false">IF(CQ1424&gt;0,CQ1424*MAX(1,AF1424/X1424),IF(BZ1424=1,IF(AF1424&lt;=0,0,CD1424*MAX(1,IF(H1424&gt;0,AF1424/H1424,1))),IF(R1424&gt;0,AG1424/R1424,0))/MAX(0.1,N(Parameter!$M$21)))</f>
        <v>0.880414312617702</v>
      </c>
      <c r="AI1424" s="50" t="n">
        <f aca="false">AH1424*CB1424</f>
        <v>209.538606403013</v>
      </c>
      <c r="AJ1424" s="51" t="n">
        <f aca="false">IF(LEFT(Cockpit!$C$5,1)="A",H1424,IF(CH1424=1,(CK1424+CI1424)/2,IF(LEFT(Cockpit!$C$5,1)="B",(CK1424+AL1424)/2,MAX((CK1424+AL1424)/2,H1424))))</f>
        <v>0</v>
      </c>
      <c r="AK1424" s="50" t="n">
        <f aca="false">AJ1424*G1424</f>
        <v>0</v>
      </c>
      <c r="AL1424" s="50" t="n">
        <f aca="false">ROUNDUP(CK1424+MAX(CL1424,2*(J1424/IF(CG1424&gt;0,CG1424,MAX(0.1,N(Cockpit!$C$6)))-CK1424)),0)</f>
        <v>10</v>
      </c>
      <c r="AM1424" s="51" t="n">
        <f aca="false">IF(AI1424&gt;0,J1424/AI1424,-1)</f>
        <v>0.0906754145508471</v>
      </c>
      <c r="AN1424" s="51" t="n">
        <f aca="false">IF(AND(OR(CF1424="L1",CF1424="L23",CF1424="LIFT"),AI1424&gt;0),SUMIFS($AI$7:$AI$1843,$CF$7:$CF$1843,CF1424,$AM$7:$AM$1843,"&gt;"&amp;AM1424)+SUMIFS($AI$7:$AI$1843,$CF$7:$CF$1843,CF1424,$AM$7:$AM$1843,AM1424,$BW$7:$BW$1843,"&lt;="&amp;BW1424),"")</f>
        <v>16389.2075003622</v>
      </c>
      <c r="AO1424" s="58" t="n">
        <f aca="false">IF(AN1424="",0,MAX(0,MIN(1,(IF(CF1424="L1",Parameter!$H$5,IF(CF1424="L23",Parameter!$H$6+Parameter!$H$7,Parameter!$H$5+Parameter!$H$6+Parameter!$H$7))-(AN1424-AI1424))/AI1424)))</f>
        <v>1</v>
      </c>
      <c r="AP1424" s="50" t="n">
        <f aca="false">IF(LEFT(Cockpit!$I$5,1)="A",H1424,IF(Parameter!$E$30="MAX-Bestand",IF(CH1424=1,CI1424,IF(LEFT(Cockpit!$I$5,1)="B",AV1424,MAX(AV1424,H1424))),ROUNDUP(AT1424,0)))</f>
        <v>8</v>
      </c>
      <c r="AQ1424" s="50" t="n">
        <f aca="false">IF(BZ1424=1,0,ROUNDUP(AP1424/BY1424,0))</f>
        <v>0</v>
      </c>
      <c r="AR1424" s="52" t="n">
        <f aca="false">IF(CQ1424&gt;0,CQ1424*MAX(1,AP1424/X1424),IF(BZ1424=1,IF(AP1424&lt;=0,0,CD1424*MAX(1,IF(H1424&gt;0,AP1424/H1424,1))),IF(R1424&gt;0,AQ1424/R1424,0))/MAX(0.1,N(Parameter!$M$21)))</f>
        <v>0.880414312617702</v>
      </c>
      <c r="AS1424" s="50" t="n">
        <f aca="false">AR1424*CB1424</f>
        <v>209.538606403013</v>
      </c>
      <c r="AT1424" s="51" t="n">
        <f aca="false">IF(LEFT(Cockpit!$I$5,1)="A",H1424,IF(CH1424=1,(CK1424+CI1424)/2,IF(LEFT(Cockpit!$I$5,1)="B",(CK1424+AV1424)/2,MAX((CK1424+AV1424)/2,H1424))))</f>
        <v>7.5</v>
      </c>
      <c r="AU1424" s="50" t="n">
        <f aca="false">AT1424*G1424</f>
        <v>20638.65</v>
      </c>
      <c r="AV1424" s="50" t="n">
        <f aca="false">ROUNDUP(CK1424+MAX(CL1424,2*(J1424/IF(CG1424&gt;0,CG1424,MAX(0.1,N(Cockpit!$I$6)))-CK1424)),0)</f>
        <v>10</v>
      </c>
      <c r="AW1424" s="51" t="n">
        <f aca="false">IF(AS1424&gt;0,J1424/AS1424,-1)</f>
        <v>0.0906754145508471</v>
      </c>
      <c r="AX1424" s="51" t="n">
        <f aca="false">IF(AND(OR(CF1424="L1",CF1424="L23",CF1424="LIFT"),AS1424&gt;0),SUMIFS($AS$7:$AS$1843,$CF$7:$CF$1843,CF1424,$AW$7:$AW$1843,"&gt;"&amp;AW1424)+SUMIFS($AS$7:$AS$1843,$CF$7:$CF$1843,CF1424,$AW$7:$AW$1843,AW1424,$BW$7:$BW$1843,"&lt;="&amp;BW1424),"")</f>
        <v>21412.3561417396</v>
      </c>
      <c r="AY1424" s="58" t="n">
        <f aca="false">IF(AX1424="",0,MAX(0,MIN(1,(IF(CF1424="L1",Parameter!$H$5,IF(CF1424="L23",Parameter!$H$6+Parameter!$H$7,Parameter!$H$5+Parameter!$H$6+Parameter!$H$7))-(AX1424-AS1424))/AS1424)))</f>
        <v>1</v>
      </c>
      <c r="AZ1424" s="50" t="n">
        <f aca="false">IF(LEFT(Cockpit!$O$5,1)="A",H1424,IF(Parameter!$E$30="MAX-Bestand",IF(CH1424=1,CI1424,IF(LEFT(Cockpit!$O$5,1)="B",BF1424,MAX(BF1424,H1424))),ROUNDUP(BD1424,0)))</f>
        <v>8</v>
      </c>
      <c r="BA1424" s="50" t="n">
        <f aca="false">IF(BZ1424=1,0,ROUNDUP(AZ1424/BY1424,0))</f>
        <v>0</v>
      </c>
      <c r="BB1424" s="52" t="n">
        <f aca="false">IF(CQ1424&gt;0,CQ1424*MAX(1,AZ1424/X1424),IF(BZ1424=1,IF(AZ1424&lt;=0,0,CD1424*MAX(1,IF(H1424&gt;0,AZ1424/H1424,1))),IF(R1424&gt;0,BA1424/R1424,0))/MAX(0.1,N(Parameter!$M$21)))</f>
        <v>0.880414312617702</v>
      </c>
      <c r="BC1424" s="50" t="n">
        <f aca="false">BB1424*CB1424</f>
        <v>209.538606403013</v>
      </c>
      <c r="BD1424" s="51" t="n">
        <f aca="false">IF(LEFT(Cockpit!$O$5,1)="A",H1424,IF(CH1424=1,(CK1424+CI1424)/2,IF(LEFT(Cockpit!$O$5,1)="B",(CK1424+BF1424)/2,MAX((CK1424+BF1424)/2,H1424))))</f>
        <v>7.5</v>
      </c>
      <c r="BE1424" s="50" t="n">
        <f aca="false">BD1424*G1424</f>
        <v>20638.65</v>
      </c>
      <c r="BF1424" s="50" t="n">
        <f aca="false">ROUNDUP(CK1424+MAX(CL1424,2*(J1424/IF(CG1424&gt;0,CG1424,MAX(0.1,N(Cockpit!$O$6)))-CK1424)),0)</f>
        <v>10</v>
      </c>
      <c r="BG1424" s="51" t="n">
        <f aca="false">IF(BC1424&gt;0,J1424/BC1424,-1)</f>
        <v>0.0906754145508471</v>
      </c>
      <c r="BH1424" s="51" t="n">
        <f aca="false">IF(AND(OR(CF1424="L1",CF1424="L23",CF1424="LIFT"),BC1424&gt;0),SUMIFS($BC$7:$BC$1843,$CF$7:$CF$1843,CF1424,$BG$7:$BG$1843,"&gt;"&amp;BG1424)+SUMIFS($BC$7:$BC$1843,$CF$7:$CF$1843,CF1424,$BG$7:$BG$1843,BG1424,$BW$7:$BW$1843,"&lt;="&amp;BW1424),"")</f>
        <v>17964.835420935</v>
      </c>
      <c r="BI1424" s="58" t="n">
        <f aca="false">IF(BH1424="",0,MAX(0,MIN(1,(IF(CF1424="L1",Parameter!$H$5,IF(CF1424="L23",Parameter!$H$6+Parameter!$H$7,Parameter!$H$5+Parameter!$H$6+Parameter!$H$7))-(BH1424-BC1424))/BC1424)))</f>
        <v>1</v>
      </c>
      <c r="BJ1424" s="48" t="str">
        <f aca="false">IF(AI1424&lt;=0,"",IF(CF1424="Aussen","Aussenlager",IF(CF1424="-","Nicht im Lift",IF(AO1424&gt;=1,"Lift",IF(AO1424&lt;=0,"Aussenlager","teilweise")))))</f>
        <v>Lift</v>
      </c>
      <c r="BK1424" s="48" t="str">
        <f aca="false">IF(AS1424&lt;=0,"",IF(CF1424="Aussen","Aussenlager",IF(CF1424="-","Nicht im Lift",IF(AY1424&gt;=1,"Lift",IF(AY1424&lt;=0,"Aussenlager","teilweise")))))</f>
        <v>Lift</v>
      </c>
      <c r="BL1424" s="48" t="str">
        <f aca="false">IF(BC1424&lt;=0,"",IF(CF1424="Aussen","Aussenlager",IF(CF1424="-","Nicht im Lift",IF(BI1424&gt;=1,"Lift",IF(BI1424&lt;=0,"Aussenlager","teilweise")))))</f>
        <v>Lift</v>
      </c>
      <c r="BM1424" s="48" t="str">
        <f aca="false">IF(A1424="","",IF(BV1424=1,"Neu; ","")&amp;IF(AND(BV1424=0,BQ1424&lt;0),"negativer Bestand (Export "&amp;BQ1424&amp;"); ","")&amp;IF(J1424&lt;=0,"Kein Verbrauch; ","")&amp;IF(CQ1424&gt;0,"Lift "&amp;W1424&amp;" lt. Liftbericht (Fach "&amp;X1424&amp;" Stk); ",IF(CA1424=1,"Gebinde geschätzt ("&amp;T1424&amp;"); ",IF(BZ1424=1,"Lose – Tablare geschätzt; ","")))&amp;IF(H1424&gt;AV1424,"Überbestand "&amp;ROUND(H1424-AV1424,0)&amp;" Stk / CHF "&amp;ROUND((H1424-AV1424)*G1424,0)&amp;"; ","")&amp;IF(AND(CH1424=1,CI1424&lt;CJ1424),"MAX &lt; MB+LG; ","")&amp;IF(AND(CP1424&gt;0,CO1424*10&gt;CP1424),"zu hoch für Tablar; ","")&amp;IF(AND(BV1424=0,OR(CH1424=1,AA1424&lt;&gt;"",U1424&lt;&gt;"",V1424&lt;&gt;"",AB1424&lt;&gt;"")),"manuell übersteuert; ","")&amp;IF(AND(BZ1424=0,R1424=0),"Gebinde unbekannt / Stellmass fehlt; ","")&amp;IF(AND(BZ1424=0,N(V1424)&lt;=0,N(Q1424)&lt;=0),"Menge pro Gebinde fehlt (Ist = 1 Gebinde); ","")&amp;BU1424)</f>
        <v>negativer Bestand (Export -4); Lift 1 lt. Liftbericht (Fach 11 Stk); </v>
      </c>
      <c r="BN1424" s="48"/>
      <c r="BO1424" s="48"/>
      <c r="BP1424" s="55"/>
      <c r="BQ1424" s="50" t="n">
        <v>-4</v>
      </c>
      <c r="BR1424" s="50" t="n">
        <v>7</v>
      </c>
      <c r="BS1424" s="49" t="n">
        <v>-6384.13</v>
      </c>
      <c r="BT1424" s="50" t="n">
        <v>19</v>
      </c>
      <c r="BU1424" s="48"/>
      <c r="BV1424" s="53" t="n">
        <v>0</v>
      </c>
      <c r="BW1424" s="53" t="n">
        <v>1424</v>
      </c>
      <c r="BX1424" s="48" t="str">
        <f aca="false">IF(U1424&lt;&gt;"",UPPER(TRIM(U1424)),IF(CA1424=1,UPPER(VLOOKUP(T1424,Parameter!$I$27:$K$29,2,0)),IF(P1424="","LOSE",P1424)))</f>
        <v>LOSE</v>
      </c>
      <c r="BY1424" s="50" t="n">
        <f aca="false">IF(BX1424="LOSE",1,IF(N(V1424)&gt;0,V1424,IF(CA1424=1,MAX(1,N(VLOOKUP(T1424,Parameter!$I$27:$K$29,3,0)),H1424,N(N1424)),IF(N(Q1424)&gt;0,Q1424,MAX(1,H1424)))))</f>
        <v>1</v>
      </c>
      <c r="BZ1424" s="53" t="n">
        <f aca="false">IF(BX1424="LOSE",1,0)</f>
        <v>1</v>
      </c>
      <c r="CA1424" s="53" t="n">
        <f aca="false">IF(AND(U1424="",OR(P1424="",P1424="LOSE"),T1424&lt;&gt;"",N(S1424)&lt;=0,ISNUMBER(MATCH(T1424,Parameter!$I$27:$I$29,0))),1,0)</f>
        <v>0</v>
      </c>
      <c r="CB1424" s="53" t="n">
        <f aca="false">IF(CQ1424&gt;0,INDEX(Parameter!$H$5:$H$7,W1424)/INDEX(Parameter!$E$5:$E$7,W1424),IF(AND(BZ1424=0,N(IFERROR(VLOOKUP(BX1424,'Gebinde-Kategorie'!$A$5:$N$45,14,0),0))&gt;0),VLOOKUP(BX1424,'Gebinde-Kategorie'!$A$5:$N$45,14,0)*10+Parameter!$M$23,Parameter!$M$24))</f>
        <v>238</v>
      </c>
      <c r="CC1424" s="48" t="n">
        <f aca="false">IF(AND(Parameter!$B$19="Ja",E1424&lt;&gt;"",ISNUMBER(MATCH(E1424,Parameter!$I$35:$I$52,0))),VLOOKUP(E1424,Parameter!$I$35:$J$52,2,0),IFERROR(VLOOKUP(D1424,Parameter!$A$35:$C$64,2,0),"Nein"))</f>
        <v>1</v>
      </c>
      <c r="CD1424" s="52" t="n">
        <f aca="false">IF(BZ1424=0,0,IF(N(S1424)&gt;0,S1424,IFERROR(VLOOKUP(D1424,Parameter!$A$35:$C$64,3,0)+0,0)))</f>
        <v>1</v>
      </c>
      <c r="CE1424" s="48" t="n">
        <f aca="false">IF(AA1424&lt;&gt;"",AA1424,Z1424)</f>
        <v>1</v>
      </c>
      <c r="CF1424" s="48" t="str">
        <f aca="false">IF(OR(CE1424=1,CE1424=2,CE1424=3),IF(Parameter!$E$27="Ja","LIFT",IF(CE1424=1,"L1","L23")),IF(CE1424="Aussen","Aussen","-"))</f>
        <v>LIFT</v>
      </c>
      <c r="CG1424" s="59" t="n">
        <f aca="false">IF(N(AB1424)&gt;0,AB1424,0)</f>
        <v>0</v>
      </c>
      <c r="CH1424" s="53" t="n">
        <f aca="false">IF(ISNUMBER(AE1424),1,0)</f>
        <v>0</v>
      </c>
      <c r="CI1424" s="50" t="n">
        <f aca="false">N(AE1424)</f>
        <v>0</v>
      </c>
      <c r="CJ1424" s="50" t="n">
        <f aca="false">N(M1424)+N(N1424)</f>
        <v>10</v>
      </c>
      <c r="CK1424" s="50" t="n">
        <f aca="false">N(M1424)</f>
        <v>5</v>
      </c>
      <c r="CL1424" s="50" t="n">
        <f aca="false">N(N1424)</f>
        <v>5</v>
      </c>
      <c r="CM1424" s="50" t="n">
        <f aca="false">ROUNDUP(H1424/BY1424,0)</f>
        <v>0</v>
      </c>
      <c r="CN1424" s="50" t="n">
        <f aca="false">ROUNDUP(CI1424/BY1424,0)</f>
        <v>0</v>
      </c>
      <c r="CO1424" s="53" t="n">
        <f aca="false">IF(BZ1424=1,0,IFERROR(VLOOKUP(BX1424,'Gebinde-Kategorie'!$A$5:$N$45,5,0)+0,0))</f>
        <v>0</v>
      </c>
      <c r="CP1424" s="53" t="n">
        <f aca="false">IFERROR(IF(OR(CE1424=1,CE1424=2,CE1424=3),N(INDEX(Parameter!$I$5:$I$7,CE1424)),0),0)</f>
        <v>0</v>
      </c>
      <c r="CQ1424" s="52" t="n">
        <f aca="false">IF(AND(Parameter!$B$21="Ja",ISNUMBER(W1424),N(X1424)&gt;0),IFERROR(N(INDEX(Parameter!$L$5:$L$7,W1424))*INDEX(Parameter!$E$5:$E$7,W1424)*X1424/SUMIFS($X$7:$X$1843,$W$7:$W$1843,W1424),0),0)</f>
        <v>0.880414312617702</v>
      </c>
    </row>
    <row r="1425" customFormat="false" ht="15" hidden="false" customHeight="false" outlineLevel="0" collapsed="false">
      <c r="A1425" s="48" t="s">
        <v>2509</v>
      </c>
      <c r="B1425" s="48" t="s">
        <v>1923</v>
      </c>
      <c r="C1425" s="48" t="s">
        <v>465</v>
      </c>
      <c r="D1425" s="48" t="s">
        <v>193</v>
      </c>
      <c r="E1425" s="48"/>
      <c r="F1425" s="48" t="s">
        <v>227</v>
      </c>
      <c r="G1425" s="49" t="n">
        <v>639.83</v>
      </c>
      <c r="H1425" s="50" t="n">
        <f aca="false">MAX(0,IF(AND(Parameter!$B$21="Ja",ISNUMBER(Y1425)),Y1425,IF(Parameter!$B$20="Jahresanfang 2025 + Export",BR1425+BQ1425,BQ1425)))</f>
        <v>10</v>
      </c>
      <c r="I1425" s="50" t="n">
        <f aca="false">H1425*G1425</f>
        <v>6398.3</v>
      </c>
      <c r="J1425" s="50" t="n">
        <f aca="false">BT1425*Parameter!$B$18</f>
        <v>10</v>
      </c>
      <c r="K1425" s="51" t="n">
        <v>10</v>
      </c>
      <c r="L1425" s="52" t="n">
        <v>1</v>
      </c>
      <c r="M1425" s="50" t="n">
        <v>1</v>
      </c>
      <c r="N1425" s="50" t="n">
        <v>10</v>
      </c>
      <c r="O1425" s="53" t="n">
        <v>56</v>
      </c>
      <c r="P1425" s="48" t="s">
        <v>177</v>
      </c>
      <c r="Q1425" s="50"/>
      <c r="R1425" s="53" t="n">
        <f aca="false">IF(BZ1425=1,0,IFERROR(VLOOKUP(BX1425,'Gebinde-Kategorie'!$A$5:$N$45,13,0)+0,0))</f>
        <v>12</v>
      </c>
      <c r="S1425" s="54"/>
      <c r="T1425" s="55" t="s">
        <v>188</v>
      </c>
      <c r="U1425" s="55"/>
      <c r="V1425" s="55"/>
      <c r="W1425" s="48"/>
      <c r="X1425" s="50"/>
      <c r="Y1425" s="50"/>
      <c r="Z1425" s="48" t="n">
        <f aca="false">IF(A1425="","",IF(AND(Parameter!$B$21="Ja",ISNUMBER(W1425)),W1425,IF(CC1425="2+3",IF(ISNUMBER(SEARCH("grosser Artikel",BU1425)),2,IFERROR(VLOOKUP(BX1425,Parameter!$F$35:$G$64,2,0),2)),IF(OR(CC1425="Nein",CC1425=""),"-",CC1425))))</f>
        <v>2</v>
      </c>
      <c r="AA1425" s="55"/>
      <c r="AB1425" s="56"/>
      <c r="AC1425" s="50" t="n">
        <f aca="false">AV1425</f>
        <v>11</v>
      </c>
      <c r="AD1425" s="50" t="n">
        <f aca="false">MAX(AV1425,H1425)</f>
        <v>11</v>
      </c>
      <c r="AE1425" s="57"/>
      <c r="AF1425" s="50" t="n">
        <f aca="false">IF(LEFT(Cockpit!$C$5,1)="A",H1425,IF(Parameter!$E$30="MAX-Bestand",IF(CH1425=1,CI1425,IF(LEFT(Cockpit!$C$5,1)="B",AL1425,MAX(AL1425,H1425))),ROUNDUP(AJ1425,0)))</f>
        <v>10</v>
      </c>
      <c r="AG1425" s="50" t="n">
        <f aca="false">IF(BZ1425=1,0,ROUNDUP(AF1425/BY1425,0))</f>
        <v>1</v>
      </c>
      <c r="AH1425" s="52" t="n">
        <f aca="false">IF(CQ1425&gt;0,CQ1425*MAX(1,AF1425/X1425),IF(BZ1425=1,IF(AF1425&lt;=0,0,CD1425*MAX(1,IF(H1425&gt;0,AF1425/H1425,1))),IF(R1425&gt;0,AG1425/R1425,0))/MAX(0.1,N(Parameter!$M$21)))</f>
        <v>0.0833333333333333</v>
      </c>
      <c r="AI1425" s="50" t="n">
        <f aca="false">AH1425*CB1425</f>
        <v>12.0833333333333</v>
      </c>
      <c r="AJ1425" s="51" t="n">
        <f aca="false">IF(LEFT(Cockpit!$C$5,1)="A",H1425,IF(CH1425=1,(CK1425+CI1425)/2,IF(LEFT(Cockpit!$C$5,1)="B",(CK1425+AL1425)/2,MAX((CK1425+AL1425)/2,H1425))))</f>
        <v>10</v>
      </c>
      <c r="AK1425" s="50" t="n">
        <f aca="false">AJ1425*G1425</f>
        <v>6398.3</v>
      </c>
      <c r="AL1425" s="50" t="n">
        <f aca="false">ROUNDUP(CK1425+MAX(CL1425,2*(J1425/IF(CG1425&gt;0,CG1425,MAX(0.1,N(Cockpit!$C$6)))-CK1425)),0)</f>
        <v>11</v>
      </c>
      <c r="AM1425" s="51" t="n">
        <f aca="false">IF(AI1425&gt;0,J1425/AI1425,-1)</f>
        <v>0.827586206896552</v>
      </c>
      <c r="AN1425" s="51" t="n">
        <f aca="false">IF(AND(OR(CF1425="L1",CF1425="L23",CF1425="LIFT"),AI1425&gt;0),SUMIFS($AI$7:$AI$1843,$CF$7:$CF$1843,CF1425,$AM$7:$AM$1843,"&gt;"&amp;AM1425)+SUMIFS($AI$7:$AI$1843,$CF$7:$CF$1843,CF1425,$AM$7:$AM$1843,AM1425,$BW$7:$BW$1843,"&lt;="&amp;BW1425),"")</f>
        <v>7978.29166666667</v>
      </c>
      <c r="AO1425" s="58" t="n">
        <f aca="false">IF(AN1425="",0,MAX(0,MIN(1,(IF(CF1425="L1",Parameter!$H$5,IF(CF1425="L23",Parameter!$H$6+Parameter!$H$7,Parameter!$H$5+Parameter!$H$6+Parameter!$H$7))-(AN1425-AI1425))/AI1425)))</f>
        <v>1</v>
      </c>
      <c r="AP1425" s="50" t="n">
        <f aca="false">IF(LEFT(Cockpit!$I$5,1)="A",H1425,IF(Parameter!$E$30="MAX-Bestand",IF(CH1425=1,CI1425,IF(LEFT(Cockpit!$I$5,1)="B",AV1425,MAX(AV1425,H1425))),ROUNDUP(AT1425,0)))</f>
        <v>10</v>
      </c>
      <c r="AQ1425" s="50" t="n">
        <f aca="false">IF(BZ1425=1,0,ROUNDUP(AP1425/BY1425,0))</f>
        <v>1</v>
      </c>
      <c r="AR1425" s="52" t="n">
        <f aca="false">IF(CQ1425&gt;0,CQ1425*MAX(1,AP1425/X1425),IF(BZ1425=1,IF(AP1425&lt;=0,0,CD1425*MAX(1,IF(H1425&gt;0,AP1425/H1425,1))),IF(R1425&gt;0,AQ1425/R1425,0))/MAX(0.1,N(Parameter!$M$21)))</f>
        <v>0.0833333333333333</v>
      </c>
      <c r="AS1425" s="50" t="n">
        <f aca="false">AR1425*CB1425</f>
        <v>12.0833333333333</v>
      </c>
      <c r="AT1425" s="51" t="n">
        <f aca="false">IF(LEFT(Cockpit!$I$5,1)="A",H1425,IF(CH1425=1,(CK1425+CI1425)/2,IF(LEFT(Cockpit!$I$5,1)="B",(CK1425+AV1425)/2,MAX((CK1425+AV1425)/2,H1425))))</f>
        <v>10</v>
      </c>
      <c r="AU1425" s="50" t="n">
        <f aca="false">AT1425*G1425</f>
        <v>6398.3</v>
      </c>
      <c r="AV1425" s="50" t="n">
        <f aca="false">ROUNDUP(CK1425+MAX(CL1425,2*(J1425/IF(CG1425&gt;0,CG1425,MAX(0.1,N(Cockpit!$I$6)))-CK1425)),0)</f>
        <v>11</v>
      </c>
      <c r="AW1425" s="51" t="n">
        <f aca="false">IF(AS1425&gt;0,J1425/AS1425,-1)</f>
        <v>0.827586206896552</v>
      </c>
      <c r="AX1425" s="51" t="n">
        <f aca="false">IF(AND(OR(CF1425="L1",CF1425="L23",CF1425="LIFT"),AS1425&gt;0),SUMIFS($AS$7:$AS$1843,$CF$7:$CF$1843,CF1425,$AW$7:$AW$1843,"&gt;"&amp;AW1425)+SUMIFS($AS$7:$AS$1843,$CF$7:$CF$1843,CF1425,$AW$7:$AW$1843,AW1425,$BW$7:$BW$1843,"&lt;="&amp;BW1425),"")</f>
        <v>9782.02655677656</v>
      </c>
      <c r="AY1425" s="58" t="n">
        <f aca="false">IF(AX1425="",0,MAX(0,MIN(1,(IF(CF1425="L1",Parameter!$H$5,IF(CF1425="L23",Parameter!$H$6+Parameter!$H$7,Parameter!$H$5+Parameter!$H$6+Parameter!$H$7))-(AX1425-AS1425))/AS1425)))</f>
        <v>1</v>
      </c>
      <c r="AZ1425" s="50" t="n">
        <f aca="false">IF(LEFT(Cockpit!$O$5,1)="A",H1425,IF(Parameter!$E$30="MAX-Bestand",IF(CH1425=1,CI1425,IF(LEFT(Cockpit!$O$5,1)="B",BF1425,MAX(BF1425,H1425))),ROUNDUP(BD1425,0)))</f>
        <v>6</v>
      </c>
      <c r="BA1425" s="50" t="n">
        <f aca="false">IF(BZ1425=1,0,ROUNDUP(AZ1425/BY1425,0))</f>
        <v>1</v>
      </c>
      <c r="BB1425" s="52" t="n">
        <f aca="false">IF(CQ1425&gt;0,CQ1425*MAX(1,AZ1425/X1425),IF(BZ1425=1,IF(AZ1425&lt;=0,0,CD1425*MAX(1,IF(H1425&gt;0,AZ1425/H1425,1))),IF(R1425&gt;0,BA1425/R1425,0))/MAX(0.1,N(Parameter!$M$21)))</f>
        <v>0.0833333333333333</v>
      </c>
      <c r="BC1425" s="50" t="n">
        <f aca="false">BB1425*CB1425</f>
        <v>12.0833333333333</v>
      </c>
      <c r="BD1425" s="51" t="n">
        <f aca="false">IF(LEFT(Cockpit!$O$5,1)="A",H1425,IF(CH1425=1,(CK1425+CI1425)/2,IF(LEFT(Cockpit!$O$5,1)="B",(CK1425+BF1425)/2,MAX((CK1425+BF1425)/2,H1425))))</f>
        <v>6</v>
      </c>
      <c r="BE1425" s="50" t="n">
        <f aca="false">BD1425*G1425</f>
        <v>3838.98</v>
      </c>
      <c r="BF1425" s="50" t="n">
        <f aca="false">ROUNDUP(CK1425+MAX(CL1425,2*(J1425/IF(CG1425&gt;0,CG1425,MAX(0.1,N(Cockpit!$O$6)))-CK1425)),0)</f>
        <v>11</v>
      </c>
      <c r="BG1425" s="51" t="n">
        <f aca="false">IF(BC1425&gt;0,J1425/BC1425,-1)</f>
        <v>0.827586206896552</v>
      </c>
      <c r="BH1425" s="51" t="n">
        <f aca="false">IF(AND(OR(CF1425="L1",CF1425="L23",CF1425="LIFT"),BC1425&gt;0),SUMIFS($BC$7:$BC$1843,$CF$7:$CF$1843,CF1425,$BG$7:$BG$1843,"&gt;"&amp;BG1425)+SUMIFS($BC$7:$BC$1843,$CF$7:$CF$1843,CF1425,$BG$7:$BG$1843,BG1425,$BW$7:$BW$1843,"&lt;="&amp;BW1425),"")</f>
        <v>8637.26968864469</v>
      </c>
      <c r="BI1425" s="58" t="n">
        <f aca="false">IF(BH1425="",0,MAX(0,MIN(1,(IF(CF1425="L1",Parameter!$H$5,IF(CF1425="L23",Parameter!$H$6+Parameter!$H$7,Parameter!$H$5+Parameter!$H$6+Parameter!$H$7))-(BH1425-BC1425))/BC1425)))</f>
        <v>1</v>
      </c>
      <c r="BJ1425" s="48" t="str">
        <f aca="false">IF(AI1425&lt;=0,"",IF(CF1425="Aussen","Aussenlager",IF(CF1425="-","Nicht im Lift",IF(AO1425&gt;=1,"Lift",IF(AO1425&lt;=0,"Aussenlager","teilweise")))))</f>
        <v>Lift</v>
      </c>
      <c r="BK1425" s="48" t="str">
        <f aca="false">IF(AS1425&lt;=0,"",IF(CF1425="Aussen","Aussenlager",IF(CF1425="-","Nicht im Lift",IF(AY1425&gt;=1,"Lift",IF(AY1425&lt;=0,"Aussenlager","teilweise")))))</f>
        <v>Lift</v>
      </c>
      <c r="BL1425" s="48" t="str">
        <f aca="false">IF(BC1425&lt;=0,"",IF(CF1425="Aussen","Aussenlager",IF(CF1425="-","Nicht im Lift",IF(BI1425&gt;=1,"Lift",IF(BI1425&lt;=0,"Aussenlager","teilweise")))))</f>
        <v>Lift</v>
      </c>
      <c r="BM1425" s="48" t="str">
        <f aca="false">IF(A1425="","",IF(BV1425=1,"Neu; ","")&amp;IF(AND(BV1425=0,BQ1425&lt;0),"negativer Bestand (Export "&amp;BQ1425&amp;"); ","")&amp;IF(J1425&lt;=0,"Kein Verbrauch; ","")&amp;IF(CQ1425&gt;0,"Lift "&amp;W1425&amp;" lt. Liftbericht (Fach "&amp;X1425&amp;" Stk); ",IF(CA1425=1,"Gebinde geschätzt ("&amp;T1425&amp;"); ",IF(BZ1425=1,"Lose – Tablare geschätzt; ","")))&amp;IF(H1425&gt;AV1425,"Überbestand "&amp;ROUND(H1425-AV1425,0)&amp;" Stk / CHF "&amp;ROUND((H1425-AV1425)*G1425,0)&amp;"; ","")&amp;IF(AND(CH1425=1,CI1425&lt;CJ1425),"MAX &lt; MB+LG; ","")&amp;IF(AND(CP1425&gt;0,CO1425*10&gt;CP1425),"zu hoch für Tablar; ","")&amp;IF(AND(BV1425=0,OR(CH1425=1,AA1425&lt;&gt;"",U1425&lt;&gt;"",V1425&lt;&gt;"",AB1425&lt;&gt;"")),"manuell übersteuert; ","")&amp;IF(AND(BZ1425=0,R1425=0),"Gebinde unbekannt / Stellmass fehlt; ","")&amp;IF(AND(BZ1425=0,N(V1425)&lt;=0,N(Q1425)&lt;=0),"Menge pro Gebinde fehlt (Ist = 1 Gebinde); ","")&amp;BU1425)</f>
        <v>negativer Bestand (Export -10); Gebinde geschätzt (Mittel); Menge pro Gebinde fehlt (Ist = 1 Gebinde); </v>
      </c>
      <c r="BN1425" s="48"/>
      <c r="BO1425" s="48"/>
      <c r="BP1425" s="55"/>
      <c r="BQ1425" s="50" t="n">
        <v>-10</v>
      </c>
      <c r="BR1425" s="50" t="n">
        <v>20</v>
      </c>
      <c r="BS1425" s="49" t="n">
        <v>-6398.3</v>
      </c>
      <c r="BT1425" s="50" t="n">
        <v>10</v>
      </c>
      <c r="BU1425" s="48"/>
      <c r="BV1425" s="53" t="n">
        <v>0</v>
      </c>
      <c r="BW1425" s="53" t="n">
        <v>1425</v>
      </c>
      <c r="BX1425" s="48" t="str">
        <f aca="false">IF(U1425&lt;&gt;"",UPPER(TRIM(U1425)),IF(CA1425=1,UPPER(VLOOKUP(T1425,Parameter!$I$27:$K$29,2,0)),IF(P1425="","LOSE",P1425)))</f>
        <v>S61</v>
      </c>
      <c r="BY1425" s="50" t="n">
        <f aca="false">IF(BX1425="LOSE",1,IF(N(V1425)&gt;0,V1425,IF(CA1425=1,MAX(1,N(VLOOKUP(T1425,Parameter!$I$27:$K$29,3,0)),H1425,N(N1425)),IF(N(Q1425)&gt;0,Q1425,MAX(1,H1425)))))</f>
        <v>10</v>
      </c>
      <c r="BZ1425" s="53" t="n">
        <f aca="false">IF(BX1425="LOSE",1,0)</f>
        <v>0</v>
      </c>
      <c r="CA1425" s="53" t="n">
        <f aca="false">IF(AND(U1425="",OR(P1425="",P1425="LOSE"),T1425&lt;&gt;"",N(S1425)&lt;=0,ISNUMBER(MATCH(T1425,Parameter!$I$27:$I$29,0))),1,0)</f>
        <v>1</v>
      </c>
      <c r="CB1425" s="53" t="n">
        <f aca="false">IF(CQ1425&gt;0,INDEX(Parameter!$H$5:$H$7,W1425)/INDEX(Parameter!$E$5:$E$7,W1425),IF(AND(BZ1425=0,N(IFERROR(VLOOKUP(BX1425,'Gebinde-Kategorie'!$A$5:$N$45,14,0),0))&gt;0),VLOOKUP(BX1425,'Gebinde-Kategorie'!$A$5:$N$45,14,0)*10+Parameter!$M$23,Parameter!$M$24))</f>
        <v>145</v>
      </c>
      <c r="CC1425" s="48" t="str">
        <f aca="false">IF(AND(Parameter!$B$19="Ja",E1425&lt;&gt;"",ISNUMBER(MATCH(E1425,Parameter!$I$35:$I$52,0))),VLOOKUP(E1425,Parameter!$I$35:$J$52,2,0),IFERROR(VLOOKUP(D1425,Parameter!$A$35:$C$64,2,0),"Nein"))</f>
        <v>2+3</v>
      </c>
      <c r="CD1425" s="52" t="n">
        <f aca="false">IF(BZ1425=0,0,IF(N(S1425)&gt;0,S1425,IFERROR(VLOOKUP(D1425,Parameter!$A$35:$C$64,3,0)+0,0)))</f>
        <v>0</v>
      </c>
      <c r="CE1425" s="48" t="n">
        <f aca="false">IF(AA1425&lt;&gt;"",AA1425,Z1425)</f>
        <v>2</v>
      </c>
      <c r="CF1425" s="48" t="str">
        <f aca="false">IF(OR(CE1425=1,CE1425=2,CE1425=3),IF(Parameter!$E$27="Ja","LIFT",IF(CE1425=1,"L1","L23")),IF(CE1425="Aussen","Aussen","-"))</f>
        <v>LIFT</v>
      </c>
      <c r="CG1425" s="59" t="n">
        <f aca="false">IF(N(AB1425)&gt;0,AB1425,0)</f>
        <v>0</v>
      </c>
      <c r="CH1425" s="53" t="n">
        <f aca="false">IF(ISNUMBER(AE1425),1,0)</f>
        <v>0</v>
      </c>
      <c r="CI1425" s="50" t="n">
        <f aca="false">N(AE1425)</f>
        <v>0</v>
      </c>
      <c r="CJ1425" s="50" t="n">
        <f aca="false">N(M1425)+N(N1425)</f>
        <v>11</v>
      </c>
      <c r="CK1425" s="50" t="n">
        <f aca="false">N(M1425)</f>
        <v>1</v>
      </c>
      <c r="CL1425" s="50" t="n">
        <f aca="false">N(N1425)</f>
        <v>10</v>
      </c>
      <c r="CM1425" s="50" t="n">
        <f aca="false">ROUNDUP(H1425/BY1425,0)</f>
        <v>1</v>
      </c>
      <c r="CN1425" s="50" t="n">
        <f aca="false">ROUNDUP(CI1425/BY1425,0)</f>
        <v>0</v>
      </c>
      <c r="CO1425" s="53" t="n">
        <f aca="false">IF(BZ1425=1,0,IFERROR(VLOOKUP(BX1425,'Gebinde-Kategorie'!$A$5:$N$45,5,0)+0,0))</f>
        <v>11</v>
      </c>
      <c r="CP1425" s="53" t="n">
        <f aca="false">IFERROR(IF(OR(CE1425=1,CE1425=2,CE1425=3),N(INDEX(Parameter!$I$5:$I$7,CE1425)),0),0)</f>
        <v>0</v>
      </c>
      <c r="CQ1425" s="52" t="n">
        <f aca="false">IF(AND(Parameter!$B$21="Ja",ISNUMBER(W1425),N(X1425)&gt;0),IFERROR(N(INDEX(Parameter!$L$5:$L$7,W1425))*INDEX(Parameter!$E$5:$E$7,W1425)*X1425/SUMIFS($X$7:$X$1843,$W$7:$W$1843,W1425),0),0)</f>
        <v>0</v>
      </c>
    </row>
    <row r="1426" customFormat="false" ht="15" hidden="false" customHeight="false" outlineLevel="0" collapsed="false">
      <c r="A1426" s="48" t="s">
        <v>2510</v>
      </c>
      <c r="B1426" s="48" t="s">
        <v>2511</v>
      </c>
      <c r="C1426" s="48" t="s">
        <v>465</v>
      </c>
      <c r="D1426" s="48" t="s">
        <v>182</v>
      </c>
      <c r="E1426" s="48"/>
      <c r="F1426" s="48" t="s">
        <v>227</v>
      </c>
      <c r="G1426" s="49" t="n">
        <v>518.83</v>
      </c>
      <c r="H1426" s="50" t="n">
        <f aca="false">MAX(0,IF(AND(Parameter!$B$21="Ja",ISNUMBER(Y1426)),Y1426,IF(Parameter!$B$20="Jahresanfang 2025 + Export",BR1426+BQ1426,BQ1426)))</f>
        <v>0</v>
      </c>
      <c r="I1426" s="50" t="n">
        <f aca="false">H1426*G1426</f>
        <v>0</v>
      </c>
      <c r="J1426" s="50" t="n">
        <f aca="false">BT1426*Parameter!$B$18</f>
        <v>50</v>
      </c>
      <c r="K1426" s="51" t="n">
        <v>13</v>
      </c>
      <c r="L1426" s="52" t="n">
        <v>3.84615384615385</v>
      </c>
      <c r="M1426" s="50" t="n">
        <v>0</v>
      </c>
      <c r="N1426" s="50" t="n">
        <v>4</v>
      </c>
      <c r="O1426" s="53" t="n">
        <v>63</v>
      </c>
      <c r="P1426" s="48" t="s">
        <v>177</v>
      </c>
      <c r="Q1426" s="50"/>
      <c r="R1426" s="53" t="n">
        <f aca="false">IF(BZ1426=1,0,IFERROR(VLOOKUP(BX1426,'Gebinde-Kategorie'!$A$5:$N$45,13,0)+0,0))</f>
        <v>12</v>
      </c>
      <c r="S1426" s="54"/>
      <c r="T1426" s="55" t="s">
        <v>188</v>
      </c>
      <c r="U1426" s="55"/>
      <c r="V1426" s="55"/>
      <c r="W1426" s="48"/>
      <c r="X1426" s="50"/>
      <c r="Y1426" s="50"/>
      <c r="Z1426" s="48" t="n">
        <f aca="false">IF(A1426="","",IF(AND(Parameter!$B$21="Ja",ISNUMBER(W1426)),W1426,IF(CC1426="2+3",IF(ISNUMBER(SEARCH("grosser Artikel",BU1426)),2,IFERROR(VLOOKUP(BX1426,Parameter!$F$35:$G$64,2,0),2)),IF(OR(CC1426="Nein",CC1426=""),"-",CC1426))))</f>
        <v>2</v>
      </c>
      <c r="AA1426" s="55"/>
      <c r="AB1426" s="56"/>
      <c r="AC1426" s="50" t="n">
        <f aca="false">AV1426</f>
        <v>34</v>
      </c>
      <c r="AD1426" s="50" t="n">
        <f aca="false">MAX(AV1426,H1426)</f>
        <v>34</v>
      </c>
      <c r="AE1426" s="57"/>
      <c r="AF1426" s="50" t="n">
        <f aca="false">IF(LEFT(Cockpit!$C$5,1)="A",H1426,IF(Parameter!$E$30="MAX-Bestand",IF(CH1426=1,CI1426,IF(LEFT(Cockpit!$C$5,1)="B",AL1426,MAX(AL1426,H1426))),ROUNDUP(AJ1426,0)))</f>
        <v>0</v>
      </c>
      <c r="AG1426" s="50" t="n">
        <f aca="false">IF(BZ1426=1,0,ROUNDUP(AF1426/BY1426,0))</f>
        <v>0</v>
      </c>
      <c r="AH1426" s="52" t="n">
        <f aca="false">IF(CQ1426&gt;0,CQ1426*MAX(1,AF1426/X1426),IF(BZ1426=1,IF(AF1426&lt;=0,0,CD1426*MAX(1,IF(H1426&gt;0,AF1426/H1426,1))),IF(R1426&gt;0,AG1426/R1426,0))/MAX(0.1,N(Parameter!$M$21)))</f>
        <v>0</v>
      </c>
      <c r="AI1426" s="50" t="n">
        <f aca="false">AH1426*CB1426</f>
        <v>0</v>
      </c>
      <c r="AJ1426" s="51" t="n">
        <f aca="false">IF(LEFT(Cockpit!$C$5,1)="A",H1426,IF(CH1426=1,(CK1426+CI1426)/2,IF(LEFT(Cockpit!$C$5,1)="B",(CK1426+AL1426)/2,MAX((CK1426+AL1426)/2,H1426))))</f>
        <v>0</v>
      </c>
      <c r="AK1426" s="50" t="n">
        <f aca="false">AJ1426*G1426</f>
        <v>0</v>
      </c>
      <c r="AL1426" s="50" t="n">
        <f aca="false">ROUNDUP(CK1426+MAX(CL1426,2*(J1426/IF(CG1426&gt;0,CG1426,MAX(0.1,N(Cockpit!$C$6)))-CK1426)),0)</f>
        <v>34</v>
      </c>
      <c r="AM1426" s="51" t="n">
        <f aca="false">IF(AI1426&gt;0,J1426/AI1426,-1)</f>
        <v>-1</v>
      </c>
      <c r="AN1426" s="51" t="str">
        <f aca="false">IF(AND(OR(CF1426="L1",CF1426="L23",CF1426="LIFT"),AI1426&gt;0),SUMIFS($AI$7:$AI$1843,$CF$7:$CF$1843,CF1426,$AM$7:$AM$1843,"&gt;"&amp;AM1426)+SUMIFS($AI$7:$AI$1843,$CF$7:$CF$1843,CF1426,$AM$7:$AM$1843,AM1426,$BW$7:$BW$1843,"&lt;="&amp;BW1426),"")</f>
        <v/>
      </c>
      <c r="AO1426" s="58" t="n">
        <f aca="false">IF(AN1426="",0,MAX(0,MIN(1,(IF(CF1426="L1",Parameter!$H$5,IF(CF1426="L23",Parameter!$H$6+Parameter!$H$7,Parameter!$H$5+Parameter!$H$6+Parameter!$H$7))-(AN1426-AI1426))/AI1426)))</f>
        <v>0</v>
      </c>
      <c r="AP1426" s="50" t="n">
        <f aca="false">IF(LEFT(Cockpit!$I$5,1)="A",H1426,IF(Parameter!$E$30="MAX-Bestand",IF(CH1426=1,CI1426,IF(LEFT(Cockpit!$I$5,1)="B",AV1426,MAX(AV1426,H1426))),ROUNDUP(AT1426,0)))</f>
        <v>17</v>
      </c>
      <c r="AQ1426" s="50" t="n">
        <f aca="false">IF(BZ1426=1,0,ROUNDUP(AP1426/BY1426,0))</f>
        <v>5</v>
      </c>
      <c r="AR1426" s="52" t="n">
        <f aca="false">IF(CQ1426&gt;0,CQ1426*MAX(1,AP1426/X1426),IF(BZ1426=1,IF(AP1426&lt;=0,0,CD1426*MAX(1,IF(H1426&gt;0,AP1426/H1426,1))),IF(R1426&gt;0,AQ1426/R1426,0))/MAX(0.1,N(Parameter!$M$21)))</f>
        <v>0.416666666666667</v>
      </c>
      <c r="AS1426" s="50" t="n">
        <f aca="false">AR1426*CB1426</f>
        <v>60.4166666666667</v>
      </c>
      <c r="AT1426" s="51" t="n">
        <f aca="false">IF(LEFT(Cockpit!$I$5,1)="A",H1426,IF(CH1426=1,(CK1426+CI1426)/2,IF(LEFT(Cockpit!$I$5,1)="B",(CK1426+AV1426)/2,MAX((CK1426+AV1426)/2,H1426))))</f>
        <v>17</v>
      </c>
      <c r="AU1426" s="50" t="n">
        <f aca="false">AT1426*G1426</f>
        <v>8820.11</v>
      </c>
      <c r="AV1426" s="50" t="n">
        <f aca="false">ROUNDUP(CK1426+MAX(CL1426,2*(J1426/IF(CG1426&gt;0,CG1426,MAX(0.1,N(Cockpit!$I$6)))-CK1426)),0)</f>
        <v>34</v>
      </c>
      <c r="AW1426" s="51" t="n">
        <f aca="false">IF(AS1426&gt;0,J1426/AS1426,-1)</f>
        <v>0.827586206896552</v>
      </c>
      <c r="AX1426" s="51" t="n">
        <f aca="false">IF(AND(OR(CF1426="L1",CF1426="L23",CF1426="LIFT"),AS1426&gt;0),SUMIFS($AS$7:$AS$1843,$CF$7:$CF$1843,CF1426,$AW$7:$AW$1843,"&gt;"&amp;AW1426)+SUMIFS($AS$7:$AS$1843,$CF$7:$CF$1843,CF1426,$AW$7:$AW$1843,AW1426,$BW$7:$BW$1843,"&lt;="&amp;BW1426),"")</f>
        <v>9842.44322344322</v>
      </c>
      <c r="AY1426" s="58" t="n">
        <f aca="false">IF(AX1426="",0,MAX(0,MIN(1,(IF(CF1426="L1",Parameter!$H$5,IF(CF1426="L23",Parameter!$H$6+Parameter!$H$7,Parameter!$H$5+Parameter!$H$6+Parameter!$H$7))-(AX1426-AS1426))/AS1426)))</f>
        <v>1</v>
      </c>
      <c r="AZ1426" s="50" t="n">
        <f aca="false">IF(LEFT(Cockpit!$O$5,1)="A",H1426,IF(Parameter!$E$30="MAX-Bestand",IF(CH1426=1,CI1426,IF(LEFT(Cockpit!$O$5,1)="B",BF1426,MAX(BF1426,H1426))),ROUNDUP(BD1426,0)))</f>
        <v>13</v>
      </c>
      <c r="BA1426" s="50" t="n">
        <f aca="false">IF(BZ1426=1,0,ROUNDUP(AZ1426/BY1426,0))</f>
        <v>4</v>
      </c>
      <c r="BB1426" s="52" t="n">
        <f aca="false">IF(CQ1426&gt;0,CQ1426*MAX(1,AZ1426/X1426),IF(BZ1426=1,IF(AZ1426&lt;=0,0,CD1426*MAX(1,IF(H1426&gt;0,AZ1426/H1426,1))),IF(R1426&gt;0,BA1426/R1426,0))/MAX(0.1,N(Parameter!$M$21)))</f>
        <v>0.333333333333333</v>
      </c>
      <c r="BC1426" s="50" t="n">
        <f aca="false">BB1426*CB1426</f>
        <v>48.3333333333333</v>
      </c>
      <c r="BD1426" s="51" t="n">
        <f aca="false">IF(LEFT(Cockpit!$O$5,1)="A",H1426,IF(CH1426=1,(CK1426+CI1426)/2,IF(LEFT(Cockpit!$O$5,1)="B",(CK1426+BF1426)/2,MAX((CK1426+BF1426)/2,H1426))))</f>
        <v>12.5</v>
      </c>
      <c r="BE1426" s="50" t="n">
        <f aca="false">BD1426*G1426</f>
        <v>6485.375</v>
      </c>
      <c r="BF1426" s="50" t="n">
        <f aca="false">ROUNDUP(CK1426+MAX(CL1426,2*(J1426/IF(CG1426&gt;0,CG1426,MAX(0.1,N(Cockpit!$O$6)))-CK1426)),0)</f>
        <v>25</v>
      </c>
      <c r="BG1426" s="51" t="n">
        <f aca="false">IF(BC1426&gt;0,J1426/BC1426,-1)</f>
        <v>1.03448275862069</v>
      </c>
      <c r="BH1426" s="51" t="n">
        <f aca="false">IF(AND(OR(CF1426="L1",CF1426="L23",CF1426="LIFT"),BC1426&gt;0),SUMIFS($BC$7:$BC$1843,$CF$7:$CF$1843,CF1426,$BG$7:$BG$1843,"&gt;"&amp;BG1426)+SUMIFS($BC$7:$BC$1843,$CF$7:$CF$1843,CF1426,$BG$7:$BG$1843,BG1426,$BW$7:$BW$1843,"&lt;="&amp;BW1426),"")</f>
        <v>7530.55998168498</v>
      </c>
      <c r="BI1426" s="58" t="n">
        <f aca="false">IF(BH1426="",0,MAX(0,MIN(1,(IF(CF1426="L1",Parameter!$H$5,IF(CF1426="L23",Parameter!$H$6+Parameter!$H$7,Parameter!$H$5+Parameter!$H$6+Parameter!$H$7))-(BH1426-BC1426))/BC1426)))</f>
        <v>1</v>
      </c>
      <c r="BJ1426" s="48" t="str">
        <f aca="false">IF(AI1426&lt;=0,"",IF(CF1426="Aussen","Aussenlager",IF(CF1426="-","Nicht im Lift",IF(AO1426&gt;=1,"Lift",IF(AO1426&lt;=0,"Aussenlager","teilweise")))))</f>
        <v/>
      </c>
      <c r="BK1426" s="48" t="str">
        <f aca="false">IF(AS1426&lt;=0,"",IF(CF1426="Aussen","Aussenlager",IF(CF1426="-","Nicht im Lift",IF(AY1426&gt;=1,"Lift",IF(AY1426&lt;=0,"Aussenlager","teilweise")))))</f>
        <v>Lift</v>
      </c>
      <c r="BL1426" s="48" t="str">
        <f aca="false">IF(BC1426&lt;=0,"",IF(CF1426="Aussen","Aussenlager",IF(CF1426="-","Nicht im Lift",IF(BI1426&gt;=1,"Lift",IF(BI1426&lt;=0,"Aussenlager","teilweise")))))</f>
        <v>Lift</v>
      </c>
      <c r="BM1426" s="48" t="str">
        <f aca="false">IF(A1426="","",IF(BV1426=1,"Neu; ","")&amp;IF(AND(BV1426=0,BQ1426&lt;0),"negativer Bestand (Export "&amp;BQ1426&amp;"); ","")&amp;IF(J1426&lt;=0,"Kein Verbrauch; ","")&amp;IF(CQ1426&gt;0,"Lift "&amp;W1426&amp;" lt. Liftbericht (Fach "&amp;X1426&amp;" Stk); ",IF(CA1426=1,"Gebinde geschätzt ("&amp;T1426&amp;"); ",IF(BZ1426=1,"Lose – Tablare geschätzt; ","")))&amp;IF(H1426&gt;AV1426,"Überbestand "&amp;ROUND(H1426-AV1426,0)&amp;" Stk / CHF "&amp;ROUND((H1426-AV1426)*G1426,0)&amp;"; ","")&amp;IF(AND(CH1426=1,CI1426&lt;CJ1426),"MAX &lt; MB+LG; ","")&amp;IF(AND(CP1426&gt;0,CO1426*10&gt;CP1426),"zu hoch für Tablar; ","")&amp;IF(AND(BV1426=0,OR(CH1426=1,AA1426&lt;&gt;"",U1426&lt;&gt;"",V1426&lt;&gt;"",AB1426&lt;&gt;"")),"manuell übersteuert; ","")&amp;IF(AND(BZ1426=0,R1426=0),"Gebinde unbekannt / Stellmass fehlt; ","")&amp;IF(AND(BZ1426=0,N(V1426)&lt;=0,N(Q1426)&lt;=0),"Menge pro Gebinde fehlt (Ist = 1 Gebinde); ","")&amp;BU1426)</f>
        <v>negativer Bestand (Export -12); Gebinde geschätzt (Mittel); Menge pro Gebinde fehlt (Ist = 1 Gebinde); </v>
      </c>
      <c r="BN1426" s="48"/>
      <c r="BO1426" s="48"/>
      <c r="BP1426" s="55"/>
      <c r="BQ1426" s="50" t="n">
        <v>-12</v>
      </c>
      <c r="BR1426" s="50" t="n">
        <v>12</v>
      </c>
      <c r="BS1426" s="49" t="n">
        <v>-6584.28</v>
      </c>
      <c r="BT1426" s="50" t="n">
        <v>50</v>
      </c>
      <c r="BU1426" s="48"/>
      <c r="BV1426" s="53" t="n">
        <v>0</v>
      </c>
      <c r="BW1426" s="53" t="n">
        <v>1426</v>
      </c>
      <c r="BX1426" s="48" t="str">
        <f aca="false">IF(U1426&lt;&gt;"",UPPER(TRIM(U1426)),IF(CA1426=1,UPPER(VLOOKUP(T1426,Parameter!$I$27:$K$29,2,0)),IF(P1426="","LOSE",P1426)))</f>
        <v>S61</v>
      </c>
      <c r="BY1426" s="50" t="n">
        <f aca="false">IF(BX1426="LOSE",1,IF(N(V1426)&gt;0,V1426,IF(CA1426=1,MAX(1,N(VLOOKUP(T1426,Parameter!$I$27:$K$29,3,0)),H1426,N(N1426)),IF(N(Q1426)&gt;0,Q1426,MAX(1,H1426)))))</f>
        <v>4</v>
      </c>
      <c r="BZ1426" s="53" t="n">
        <f aca="false">IF(BX1426="LOSE",1,0)</f>
        <v>0</v>
      </c>
      <c r="CA1426" s="53" t="n">
        <f aca="false">IF(AND(U1426="",OR(P1426="",P1426="LOSE"),T1426&lt;&gt;"",N(S1426)&lt;=0,ISNUMBER(MATCH(T1426,Parameter!$I$27:$I$29,0))),1,0)</f>
        <v>1</v>
      </c>
      <c r="CB1426" s="53" t="n">
        <f aca="false">IF(CQ1426&gt;0,INDEX(Parameter!$H$5:$H$7,W1426)/INDEX(Parameter!$E$5:$E$7,W1426),IF(AND(BZ1426=0,N(IFERROR(VLOOKUP(BX1426,'Gebinde-Kategorie'!$A$5:$N$45,14,0),0))&gt;0),VLOOKUP(BX1426,'Gebinde-Kategorie'!$A$5:$N$45,14,0)*10+Parameter!$M$23,Parameter!$M$24))</f>
        <v>145</v>
      </c>
      <c r="CC1426" s="48" t="str">
        <f aca="false">IF(AND(Parameter!$B$19="Ja",E1426&lt;&gt;"",ISNUMBER(MATCH(E1426,Parameter!$I$35:$I$52,0))),VLOOKUP(E1426,Parameter!$I$35:$J$52,2,0),IFERROR(VLOOKUP(D1426,Parameter!$A$35:$C$64,2,0),"Nein"))</f>
        <v>2+3</v>
      </c>
      <c r="CD1426" s="52" t="n">
        <f aca="false">IF(BZ1426=0,0,IF(N(S1426)&gt;0,S1426,IFERROR(VLOOKUP(D1426,Parameter!$A$35:$C$64,3,0)+0,0)))</f>
        <v>0</v>
      </c>
      <c r="CE1426" s="48" t="n">
        <f aca="false">IF(AA1426&lt;&gt;"",AA1426,Z1426)</f>
        <v>2</v>
      </c>
      <c r="CF1426" s="48" t="str">
        <f aca="false">IF(OR(CE1426=1,CE1426=2,CE1426=3),IF(Parameter!$E$27="Ja","LIFT",IF(CE1426=1,"L1","L23")),IF(CE1426="Aussen","Aussen","-"))</f>
        <v>LIFT</v>
      </c>
      <c r="CG1426" s="59" t="n">
        <f aca="false">IF(N(AB1426)&gt;0,AB1426,0)</f>
        <v>0</v>
      </c>
      <c r="CH1426" s="53" t="n">
        <f aca="false">IF(ISNUMBER(AE1426),1,0)</f>
        <v>0</v>
      </c>
      <c r="CI1426" s="50" t="n">
        <f aca="false">N(AE1426)</f>
        <v>0</v>
      </c>
      <c r="CJ1426" s="50" t="n">
        <f aca="false">N(M1426)+N(N1426)</f>
        <v>4</v>
      </c>
      <c r="CK1426" s="50" t="n">
        <f aca="false">N(M1426)</f>
        <v>0</v>
      </c>
      <c r="CL1426" s="50" t="n">
        <f aca="false">N(N1426)</f>
        <v>4</v>
      </c>
      <c r="CM1426" s="50" t="n">
        <f aca="false">ROUNDUP(H1426/BY1426,0)</f>
        <v>0</v>
      </c>
      <c r="CN1426" s="50" t="n">
        <f aca="false">ROUNDUP(CI1426/BY1426,0)</f>
        <v>0</v>
      </c>
      <c r="CO1426" s="53" t="n">
        <f aca="false">IF(BZ1426=1,0,IFERROR(VLOOKUP(BX1426,'Gebinde-Kategorie'!$A$5:$N$45,5,0)+0,0))</f>
        <v>11</v>
      </c>
      <c r="CP1426" s="53" t="n">
        <f aca="false">IFERROR(IF(OR(CE1426=1,CE1426=2,CE1426=3),N(INDEX(Parameter!$I$5:$I$7,CE1426)),0),0)</f>
        <v>0</v>
      </c>
      <c r="CQ1426" s="52" t="n">
        <f aca="false">IF(AND(Parameter!$B$21="Ja",ISNUMBER(W1426),N(X1426)&gt;0),IFERROR(N(INDEX(Parameter!$L$5:$L$7,W1426))*INDEX(Parameter!$E$5:$E$7,W1426)*X1426/SUMIFS($X$7:$X$1843,$W$7:$W$1843,W1426),0),0)</f>
        <v>0</v>
      </c>
    </row>
    <row r="1427" customFormat="false" ht="15" hidden="false" customHeight="false" outlineLevel="0" collapsed="false">
      <c r="A1427" s="48" t="s">
        <v>2512</v>
      </c>
      <c r="B1427" s="48" t="s">
        <v>2477</v>
      </c>
      <c r="C1427" s="48" t="s">
        <v>173</v>
      </c>
      <c r="D1427" s="48" t="s">
        <v>193</v>
      </c>
      <c r="E1427" s="48" t="s">
        <v>194</v>
      </c>
      <c r="F1427" s="48" t="s">
        <v>227</v>
      </c>
      <c r="G1427" s="49" t="n">
        <v>24.77</v>
      </c>
      <c r="H1427" s="50" t="n">
        <f aca="false">MAX(0,IF(AND(Parameter!$B$21="Ja",ISNUMBER(Y1427)),Y1427,IF(Parameter!$B$20="Jahresanfang 2025 + Export",BR1427+BQ1427,BQ1427)))</f>
        <v>152</v>
      </c>
      <c r="I1427" s="50" t="n">
        <f aca="false">H1427*G1427</f>
        <v>3765.04</v>
      </c>
      <c r="J1427" s="50" t="n">
        <f aca="false">BT1427*Parameter!$B$18</f>
        <v>1802</v>
      </c>
      <c r="K1427" s="51" t="n">
        <v>434.5</v>
      </c>
      <c r="L1427" s="52" t="n">
        <v>4.14729574223245</v>
      </c>
      <c r="M1427" s="50" t="n">
        <v>105</v>
      </c>
      <c r="N1427" s="50" t="n">
        <v>300</v>
      </c>
      <c r="O1427" s="53" t="n">
        <v>21</v>
      </c>
      <c r="P1427" s="48" t="s">
        <v>242</v>
      </c>
      <c r="Q1427" s="50" t="n">
        <v>200</v>
      </c>
      <c r="R1427" s="53" t="n">
        <f aca="false">IF(BZ1427=1,0,IFERROR(VLOOKUP(BX1427,'Gebinde-Kategorie'!$A$5:$N$45,13,0)+0,0))</f>
        <v>26</v>
      </c>
      <c r="S1427" s="54"/>
      <c r="T1427" s="55"/>
      <c r="U1427" s="55"/>
      <c r="V1427" s="55"/>
      <c r="W1427" s="48"/>
      <c r="X1427" s="50"/>
      <c r="Y1427" s="50"/>
      <c r="Z1427" s="48" t="n">
        <f aca="false">IF(A1427="","",IF(AND(Parameter!$B$21="Ja",ISNUMBER(W1427)),W1427,IF(CC1427="2+3",IF(ISNUMBER(SEARCH("grosser Artikel",BU1427)),2,IFERROR(VLOOKUP(BX1427,Parameter!$F$35:$G$64,2,0),2)),IF(OR(CC1427="Nein",CC1427=""),"-",CC1427))))</f>
        <v>3</v>
      </c>
      <c r="AA1427" s="55"/>
      <c r="AB1427" s="56"/>
      <c r="AC1427" s="50" t="n">
        <f aca="false">AV1427</f>
        <v>1097</v>
      </c>
      <c r="AD1427" s="50" t="n">
        <f aca="false">MAX(AV1427,H1427)</f>
        <v>1097</v>
      </c>
      <c r="AE1427" s="57"/>
      <c r="AF1427" s="50" t="n">
        <f aca="false">IF(LEFT(Cockpit!$C$5,1)="A",H1427,IF(Parameter!$E$30="MAX-Bestand",IF(CH1427=1,CI1427,IF(LEFT(Cockpit!$C$5,1)="B",AL1427,MAX(AL1427,H1427))),ROUNDUP(AJ1427,0)))</f>
        <v>152</v>
      </c>
      <c r="AG1427" s="50" t="n">
        <f aca="false">IF(BZ1427=1,0,ROUNDUP(AF1427/BY1427,0))</f>
        <v>1</v>
      </c>
      <c r="AH1427" s="52" t="n">
        <f aca="false">IF(CQ1427&gt;0,CQ1427*MAX(1,AF1427/X1427),IF(BZ1427=1,IF(AF1427&lt;=0,0,CD1427*MAX(1,IF(H1427&gt;0,AF1427/H1427,1))),IF(R1427&gt;0,AG1427/R1427,0))/MAX(0.1,N(Parameter!$M$21)))</f>
        <v>0.0384615384615385</v>
      </c>
      <c r="AI1427" s="50" t="n">
        <f aca="false">AH1427*CB1427</f>
        <v>9.42307692307692</v>
      </c>
      <c r="AJ1427" s="51" t="n">
        <f aca="false">IF(LEFT(Cockpit!$C$5,1)="A",H1427,IF(CH1427=1,(CK1427+CI1427)/2,IF(LEFT(Cockpit!$C$5,1)="B",(CK1427+AL1427)/2,MAX((CK1427+AL1427)/2,H1427))))</f>
        <v>152</v>
      </c>
      <c r="AK1427" s="50" t="n">
        <f aca="false">AJ1427*G1427</f>
        <v>3765.04</v>
      </c>
      <c r="AL1427" s="50" t="n">
        <f aca="false">ROUNDUP(CK1427+MAX(CL1427,2*(J1427/IF(CG1427&gt;0,CG1427,MAX(0.1,N(Cockpit!$C$6)))-CK1427)),0)</f>
        <v>1097</v>
      </c>
      <c r="AM1427" s="51" t="n">
        <f aca="false">IF(AI1427&gt;0,J1427/AI1427,-1)</f>
        <v>191.232653061224</v>
      </c>
      <c r="AN1427" s="51" t="n">
        <f aca="false">IF(AND(OR(CF1427="L1",CF1427="L23",CF1427="LIFT"),AI1427&gt;0),SUMIFS($AI$7:$AI$1843,$CF$7:$CF$1843,CF1427,$AM$7:$AM$1843,"&gt;"&amp;AM1427)+SUMIFS($AI$7:$AI$1843,$CF$7:$CF$1843,CF1427,$AM$7:$AM$1843,AM1427,$BW$7:$BW$1843,"&lt;="&amp;BW1427),"")</f>
        <v>364.312271062271</v>
      </c>
      <c r="AO1427" s="58" t="n">
        <f aca="false">IF(AN1427="",0,MAX(0,MIN(1,(IF(CF1427="L1",Parameter!$H$5,IF(CF1427="L23",Parameter!$H$6+Parameter!$H$7,Parameter!$H$5+Parameter!$H$6+Parameter!$H$7))-(AN1427-AI1427))/AI1427)))</f>
        <v>1</v>
      </c>
      <c r="AP1427" s="50" t="n">
        <f aca="false">IF(LEFT(Cockpit!$I$5,1)="A",H1427,IF(Parameter!$E$30="MAX-Bestand",IF(CH1427=1,CI1427,IF(LEFT(Cockpit!$I$5,1)="B",AV1427,MAX(AV1427,H1427))),ROUNDUP(AT1427,0)))</f>
        <v>601</v>
      </c>
      <c r="AQ1427" s="50" t="n">
        <f aca="false">IF(BZ1427=1,0,ROUNDUP(AP1427/BY1427,0))</f>
        <v>4</v>
      </c>
      <c r="AR1427" s="52" t="n">
        <f aca="false">IF(CQ1427&gt;0,CQ1427*MAX(1,AP1427/X1427),IF(BZ1427=1,IF(AP1427&lt;=0,0,CD1427*MAX(1,IF(H1427&gt;0,AP1427/H1427,1))),IF(R1427&gt;0,AQ1427/R1427,0))/MAX(0.1,N(Parameter!$M$21)))</f>
        <v>0.153846153846154</v>
      </c>
      <c r="AS1427" s="50" t="n">
        <f aca="false">AR1427*CB1427</f>
        <v>37.6923076923077</v>
      </c>
      <c r="AT1427" s="51" t="n">
        <f aca="false">IF(LEFT(Cockpit!$I$5,1)="A",H1427,IF(CH1427=1,(CK1427+CI1427)/2,IF(LEFT(Cockpit!$I$5,1)="B",(CK1427+AV1427)/2,MAX((CK1427+AV1427)/2,H1427))))</f>
        <v>601</v>
      </c>
      <c r="AU1427" s="50" t="n">
        <f aca="false">AT1427*G1427</f>
        <v>14886.77</v>
      </c>
      <c r="AV1427" s="50" t="n">
        <f aca="false">ROUNDUP(CK1427+MAX(CL1427,2*(J1427/IF(CG1427&gt;0,CG1427,MAX(0.1,N(Cockpit!$I$6)))-CK1427)),0)</f>
        <v>1097</v>
      </c>
      <c r="AW1427" s="51" t="n">
        <f aca="false">IF(AS1427&gt;0,J1427/AS1427,-1)</f>
        <v>47.8081632653061</v>
      </c>
      <c r="AX1427" s="51" t="n">
        <f aca="false">IF(AND(OR(CF1427="L1",CF1427="L23",CF1427="LIFT"),AS1427&gt;0),SUMIFS($AS$7:$AS$1843,$CF$7:$CF$1843,CF1427,$AW$7:$AW$1843,"&gt;"&amp;AW1427)+SUMIFS($AS$7:$AS$1843,$CF$7:$CF$1843,CF1427,$AW$7:$AW$1843,AW1427,$BW$7:$BW$1843,"&lt;="&amp;BW1427),"")</f>
        <v>1433.66529304029</v>
      </c>
      <c r="AY1427" s="58" t="n">
        <f aca="false">IF(AX1427="",0,MAX(0,MIN(1,(IF(CF1427="L1",Parameter!$H$5,IF(CF1427="L23",Parameter!$H$6+Parameter!$H$7,Parameter!$H$5+Parameter!$H$6+Parameter!$H$7))-(AX1427-AS1427))/AS1427)))</f>
        <v>1</v>
      </c>
      <c r="AZ1427" s="50" t="n">
        <f aca="false">IF(LEFT(Cockpit!$O$5,1)="A",H1427,IF(Parameter!$E$30="MAX-Bestand",IF(CH1427=1,CI1427,IF(LEFT(Cockpit!$O$5,1)="B",BF1427,MAX(BF1427,H1427))),ROUNDUP(BD1427,0)))</f>
        <v>451</v>
      </c>
      <c r="BA1427" s="50" t="n">
        <f aca="false">IF(BZ1427=1,0,ROUNDUP(AZ1427/BY1427,0))</f>
        <v>3</v>
      </c>
      <c r="BB1427" s="52" t="n">
        <f aca="false">IF(CQ1427&gt;0,CQ1427*MAX(1,AZ1427/X1427),IF(BZ1427=1,IF(AZ1427&lt;=0,0,CD1427*MAX(1,IF(H1427&gt;0,AZ1427/H1427,1))),IF(R1427&gt;0,BA1427/R1427,0))/MAX(0.1,N(Parameter!$M$21)))</f>
        <v>0.115384615384615</v>
      </c>
      <c r="BC1427" s="50" t="n">
        <f aca="false">BB1427*CB1427</f>
        <v>28.2692307692308</v>
      </c>
      <c r="BD1427" s="51" t="n">
        <f aca="false">IF(LEFT(Cockpit!$O$5,1)="A",H1427,IF(CH1427=1,(CK1427+CI1427)/2,IF(LEFT(Cockpit!$O$5,1)="B",(CK1427+BF1427)/2,MAX((CK1427+BF1427)/2,H1427))))</f>
        <v>450.5</v>
      </c>
      <c r="BE1427" s="50" t="n">
        <f aca="false">BD1427*G1427</f>
        <v>11158.885</v>
      </c>
      <c r="BF1427" s="50" t="n">
        <f aca="false">ROUNDUP(CK1427+MAX(CL1427,2*(J1427/IF(CG1427&gt;0,CG1427,MAX(0.1,N(Cockpit!$O$6)))-CK1427)),0)</f>
        <v>796</v>
      </c>
      <c r="BG1427" s="51" t="n">
        <f aca="false">IF(BC1427&gt;0,J1427/BC1427,-1)</f>
        <v>63.7442176870748</v>
      </c>
      <c r="BH1427" s="51" t="n">
        <f aca="false">IF(AND(OR(CF1427="L1",CF1427="L23",CF1427="LIFT"),BC1427&gt;0),SUMIFS($BC$7:$BC$1843,$CF$7:$CF$1843,CF1427,$BG$7:$BG$1843,"&gt;"&amp;BG1427)+SUMIFS($BC$7:$BC$1843,$CF$7:$CF$1843,CF1427,$BG$7:$BG$1843,BG1427,$BW$7:$BW$1843,"&lt;="&amp;BW1427),"")</f>
        <v>1087.16575091575</v>
      </c>
      <c r="BI1427" s="58" t="n">
        <f aca="false">IF(BH1427="",0,MAX(0,MIN(1,(IF(CF1427="L1",Parameter!$H$5,IF(CF1427="L23",Parameter!$H$6+Parameter!$H$7,Parameter!$H$5+Parameter!$H$6+Parameter!$H$7))-(BH1427-BC1427))/BC1427)))</f>
        <v>1</v>
      </c>
      <c r="BJ1427" s="48" t="str">
        <f aca="false">IF(AI1427&lt;=0,"",IF(CF1427="Aussen","Aussenlager",IF(CF1427="-","Nicht im Lift",IF(AO1427&gt;=1,"Lift",IF(AO1427&lt;=0,"Aussenlager","teilweise")))))</f>
        <v>Lift</v>
      </c>
      <c r="BK1427" s="48" t="str">
        <f aca="false">IF(AS1427&lt;=0,"",IF(CF1427="Aussen","Aussenlager",IF(CF1427="-","Nicht im Lift",IF(AY1427&gt;=1,"Lift",IF(AY1427&lt;=0,"Aussenlager","teilweise")))))</f>
        <v>Lift</v>
      </c>
      <c r="BL1427" s="48" t="str">
        <f aca="false">IF(BC1427&lt;=0,"",IF(CF1427="Aussen","Aussenlager",IF(CF1427="-","Nicht im Lift",IF(BI1427&gt;=1,"Lift",IF(BI1427&lt;=0,"Aussenlager","teilweise")))))</f>
        <v>Lift</v>
      </c>
      <c r="BM1427" s="48" t="str">
        <f aca="false">IF(A1427="","",IF(BV1427=1,"Neu; ","")&amp;IF(AND(BV1427=0,BQ1427&lt;0),"negativer Bestand (Export "&amp;BQ1427&amp;"); ","")&amp;IF(J1427&lt;=0,"Kein Verbrauch; ","")&amp;IF(CQ1427&gt;0,"Lift "&amp;W1427&amp;" lt. Liftbericht (Fach "&amp;X1427&amp;" Stk); ",IF(CA1427=1,"Gebinde geschätzt ("&amp;T1427&amp;"); ",IF(BZ1427=1,"Lose – Tablare geschätzt; ","")))&amp;IF(H1427&gt;AV1427,"Überbestand "&amp;ROUND(H1427-AV1427,0)&amp;" Stk / CHF "&amp;ROUND((H1427-AV1427)*G1427,0)&amp;"; ","")&amp;IF(AND(CH1427=1,CI1427&lt;CJ1427),"MAX &lt; MB+LG; ","")&amp;IF(AND(CP1427&gt;0,CO1427*10&gt;CP1427),"zu hoch für Tablar; ","")&amp;IF(AND(BV1427=0,OR(CH1427=1,AA1427&lt;&gt;"",U1427&lt;&gt;"",V1427&lt;&gt;"",AB1427&lt;&gt;"")),"manuell übersteuert; ","")&amp;IF(AND(BZ1427=0,R1427=0),"Gebinde unbekannt / Stellmass fehlt; ","")&amp;IF(AND(BZ1427=0,N(V1427)&lt;=0,N(Q1427)&lt;=0),"Menge pro Gebinde fehlt (Ist = 1 Gebinde); ","")&amp;BU1427)</f>
        <v>negativer Bestand (Export -213); </v>
      </c>
      <c r="BN1427" s="48"/>
      <c r="BO1427" s="48"/>
      <c r="BP1427" s="55"/>
      <c r="BQ1427" s="50" t="n">
        <v>-213</v>
      </c>
      <c r="BR1427" s="50" t="n">
        <v>365</v>
      </c>
      <c r="BS1427" s="49" t="n">
        <v>-6658.63999999999</v>
      </c>
      <c r="BT1427" s="50" t="n">
        <v>1802</v>
      </c>
      <c r="BU1427" s="48"/>
      <c r="BV1427" s="53" t="n">
        <v>0</v>
      </c>
      <c r="BW1427" s="53" t="n">
        <v>1427</v>
      </c>
      <c r="BX1427" s="48" t="str">
        <f aca="false">IF(U1427&lt;&gt;"",UPPER(TRIM(U1427)),IF(CA1427=1,UPPER(VLOOKUP(T1427,Parameter!$I$27:$K$29,2,0)),IF(P1427="","LOSE",P1427)))</f>
        <v>S52</v>
      </c>
      <c r="BY1427" s="50" t="n">
        <f aca="false">IF(BX1427="LOSE",1,IF(N(V1427)&gt;0,V1427,IF(CA1427=1,MAX(1,N(VLOOKUP(T1427,Parameter!$I$27:$K$29,3,0)),H1427,N(N1427)),IF(N(Q1427)&gt;0,Q1427,MAX(1,H1427)))))</f>
        <v>200</v>
      </c>
      <c r="BZ1427" s="53" t="n">
        <f aca="false">IF(BX1427="LOSE",1,0)</f>
        <v>0</v>
      </c>
      <c r="CA1427" s="53" t="n">
        <f aca="false">IF(AND(U1427="",OR(P1427="",P1427="LOSE"),T1427&lt;&gt;"",N(S1427)&lt;=0,ISNUMBER(MATCH(T1427,Parameter!$I$27:$I$29,0))),1,0)</f>
        <v>0</v>
      </c>
      <c r="CB1427" s="53" t="n">
        <f aca="false">IF(CQ1427&gt;0,INDEX(Parameter!$H$5:$H$7,W1427)/INDEX(Parameter!$E$5:$E$7,W1427),IF(AND(BZ1427=0,N(IFERROR(VLOOKUP(BX1427,'Gebinde-Kategorie'!$A$5:$N$45,14,0),0))&gt;0),VLOOKUP(BX1427,'Gebinde-Kategorie'!$A$5:$N$45,14,0)*10+Parameter!$M$23,Parameter!$M$24))</f>
        <v>245</v>
      </c>
      <c r="CC1427" s="48" t="str">
        <f aca="false">IF(AND(Parameter!$B$19="Ja",E1427&lt;&gt;"",ISNUMBER(MATCH(E1427,Parameter!$I$35:$I$52,0))),VLOOKUP(E1427,Parameter!$I$35:$J$52,2,0),IFERROR(VLOOKUP(D1427,Parameter!$A$35:$C$64,2,0),"Nein"))</f>
        <v>2+3</v>
      </c>
      <c r="CD1427" s="52" t="n">
        <f aca="false">IF(BZ1427=0,0,IF(N(S1427)&gt;0,S1427,IFERROR(VLOOKUP(D1427,Parameter!$A$35:$C$64,3,0)+0,0)))</f>
        <v>0</v>
      </c>
      <c r="CE1427" s="48" t="n">
        <f aca="false">IF(AA1427&lt;&gt;"",AA1427,Z1427)</f>
        <v>3</v>
      </c>
      <c r="CF1427" s="48" t="str">
        <f aca="false">IF(OR(CE1427=1,CE1427=2,CE1427=3),IF(Parameter!$E$27="Ja","LIFT",IF(CE1427=1,"L1","L23")),IF(CE1427="Aussen","Aussen","-"))</f>
        <v>LIFT</v>
      </c>
      <c r="CG1427" s="59" t="n">
        <f aca="false">IF(N(AB1427)&gt;0,AB1427,0)</f>
        <v>0</v>
      </c>
      <c r="CH1427" s="53" t="n">
        <f aca="false">IF(ISNUMBER(AE1427),1,0)</f>
        <v>0</v>
      </c>
      <c r="CI1427" s="50" t="n">
        <f aca="false">N(AE1427)</f>
        <v>0</v>
      </c>
      <c r="CJ1427" s="50" t="n">
        <f aca="false">N(M1427)+N(N1427)</f>
        <v>405</v>
      </c>
      <c r="CK1427" s="50" t="n">
        <f aca="false">N(M1427)</f>
        <v>105</v>
      </c>
      <c r="CL1427" s="50" t="n">
        <f aca="false">N(N1427)</f>
        <v>300</v>
      </c>
      <c r="CM1427" s="50" t="n">
        <f aca="false">ROUNDUP(H1427/BY1427,0)</f>
        <v>1</v>
      </c>
      <c r="CN1427" s="50" t="n">
        <f aca="false">ROUNDUP(CI1427/BY1427,0)</f>
        <v>0</v>
      </c>
      <c r="CO1427" s="53" t="n">
        <f aca="false">IF(BZ1427=1,0,IFERROR(VLOOKUP(BX1427,'Gebinde-Kategorie'!$A$5:$N$45,5,0)+0,0))</f>
        <v>21</v>
      </c>
      <c r="CP1427" s="53" t="n">
        <f aca="false">IFERROR(IF(OR(CE1427=1,CE1427=2,CE1427=3),N(INDEX(Parameter!$I$5:$I$7,CE1427)),0),0)</f>
        <v>0</v>
      </c>
      <c r="CQ1427" s="52" t="n">
        <f aca="false">IF(AND(Parameter!$B$21="Ja",ISNUMBER(W1427),N(X1427)&gt;0),IFERROR(N(INDEX(Parameter!$L$5:$L$7,W1427))*INDEX(Parameter!$E$5:$E$7,W1427)*X1427/SUMIFS($X$7:$X$1843,$W$7:$W$1843,W1427),0),0)</f>
        <v>0</v>
      </c>
    </row>
    <row r="1428" customFormat="false" ht="15" hidden="false" customHeight="false" outlineLevel="0" collapsed="false">
      <c r="A1428" s="48" t="s">
        <v>2513</v>
      </c>
      <c r="B1428" s="48" t="s">
        <v>2491</v>
      </c>
      <c r="C1428" s="48" t="s">
        <v>173</v>
      </c>
      <c r="D1428" s="48" t="s">
        <v>193</v>
      </c>
      <c r="E1428" s="48" t="s">
        <v>194</v>
      </c>
      <c r="F1428" s="48" t="s">
        <v>227</v>
      </c>
      <c r="G1428" s="49" t="n">
        <v>95.42</v>
      </c>
      <c r="H1428" s="50" t="n">
        <f aca="false">MAX(0,IF(AND(Parameter!$B$21="Ja",ISNUMBER(Y1428)),Y1428,IF(Parameter!$B$20="Jahresanfang 2025 + Export",BR1428+BQ1428,BQ1428)))</f>
        <v>38</v>
      </c>
      <c r="I1428" s="50" t="n">
        <f aca="false">H1428*G1428</f>
        <v>3625.96</v>
      </c>
      <c r="J1428" s="50" t="n">
        <f aca="false">BT1428*Parameter!$B$18</f>
        <v>145</v>
      </c>
      <c r="K1428" s="51" t="n">
        <v>46</v>
      </c>
      <c r="L1428" s="52" t="n">
        <v>3.15217391304348</v>
      </c>
      <c r="M1428" s="50" t="n">
        <v>8</v>
      </c>
      <c r="N1428" s="50" t="n">
        <v>25</v>
      </c>
      <c r="O1428" s="53" t="n">
        <v>21</v>
      </c>
      <c r="P1428" s="48" t="s">
        <v>302</v>
      </c>
      <c r="Q1428" s="50" t="n">
        <v>76</v>
      </c>
      <c r="R1428" s="53" t="n">
        <f aca="false">IF(BZ1428=1,0,IFERROR(VLOOKUP(BX1428,'Gebinde-Kategorie'!$A$5:$N$45,13,0)+0,0))</f>
        <v>12</v>
      </c>
      <c r="S1428" s="54"/>
      <c r="T1428" s="55"/>
      <c r="U1428" s="55"/>
      <c r="V1428" s="55"/>
      <c r="W1428" s="48"/>
      <c r="X1428" s="50"/>
      <c r="Y1428" s="50"/>
      <c r="Z1428" s="48" t="n">
        <f aca="false">IF(A1428="","",IF(AND(Parameter!$B$21="Ja",ISNUMBER(W1428)),W1428,IF(CC1428="2+3",IF(ISNUMBER(SEARCH("grosser Artikel",BU1428)),2,IFERROR(VLOOKUP(BX1428,Parameter!$F$35:$G$64,2,0),2)),IF(OR(CC1428="Nein",CC1428=""),"-",CC1428))))</f>
        <v>2</v>
      </c>
      <c r="AA1428" s="55"/>
      <c r="AB1428" s="56"/>
      <c r="AC1428" s="50" t="n">
        <f aca="false">AV1428</f>
        <v>89</v>
      </c>
      <c r="AD1428" s="50" t="n">
        <f aca="false">MAX(AV1428,H1428)</f>
        <v>89</v>
      </c>
      <c r="AE1428" s="57"/>
      <c r="AF1428" s="50" t="n">
        <f aca="false">IF(LEFT(Cockpit!$C$5,1)="A",H1428,IF(Parameter!$E$30="MAX-Bestand",IF(CH1428=1,CI1428,IF(LEFT(Cockpit!$C$5,1)="B",AL1428,MAX(AL1428,H1428))),ROUNDUP(AJ1428,0)))</f>
        <v>38</v>
      </c>
      <c r="AG1428" s="50" t="n">
        <f aca="false">IF(BZ1428=1,0,ROUNDUP(AF1428/BY1428,0))</f>
        <v>1</v>
      </c>
      <c r="AH1428" s="52" t="n">
        <f aca="false">IF(CQ1428&gt;0,CQ1428*MAX(1,AF1428/X1428),IF(BZ1428=1,IF(AF1428&lt;=0,0,CD1428*MAX(1,IF(H1428&gt;0,AF1428/H1428,1))),IF(R1428&gt;0,AG1428/R1428,0))/MAX(0.1,N(Parameter!$M$21)))</f>
        <v>0.0833333333333333</v>
      </c>
      <c r="AI1428" s="50" t="n">
        <f aca="false">AH1428*CB1428</f>
        <v>20.4166666666667</v>
      </c>
      <c r="AJ1428" s="51" t="n">
        <f aca="false">IF(LEFT(Cockpit!$C$5,1)="A",H1428,IF(CH1428=1,(CK1428+CI1428)/2,IF(LEFT(Cockpit!$C$5,1)="B",(CK1428+AL1428)/2,MAX((CK1428+AL1428)/2,H1428))))</f>
        <v>38</v>
      </c>
      <c r="AK1428" s="50" t="n">
        <f aca="false">AJ1428*G1428</f>
        <v>3625.96</v>
      </c>
      <c r="AL1428" s="50" t="n">
        <f aca="false">ROUNDUP(CK1428+MAX(CL1428,2*(J1428/IF(CG1428&gt;0,CG1428,MAX(0.1,N(Cockpit!$C$6)))-CK1428)),0)</f>
        <v>89</v>
      </c>
      <c r="AM1428" s="51" t="n">
        <f aca="false">IF(AI1428&gt;0,J1428/AI1428,-1)</f>
        <v>7.10204081632653</v>
      </c>
      <c r="AN1428" s="51" t="n">
        <f aca="false">IF(AND(OR(CF1428="L1",CF1428="L23",CF1428="LIFT"),AI1428&gt;0),SUMIFS($AI$7:$AI$1843,$CF$7:$CF$1843,CF1428,$AM$7:$AM$1843,"&gt;"&amp;AM1428)+SUMIFS($AI$7:$AI$1843,$CF$7:$CF$1843,CF1428,$AM$7:$AM$1843,AM1428,$BW$7:$BW$1843,"&lt;="&amp;BW1428),"")</f>
        <v>3184.17536630037</v>
      </c>
      <c r="AO1428" s="58" t="n">
        <f aca="false">IF(AN1428="",0,MAX(0,MIN(1,(IF(CF1428="L1",Parameter!$H$5,IF(CF1428="L23",Parameter!$H$6+Parameter!$H$7,Parameter!$H$5+Parameter!$H$6+Parameter!$H$7))-(AN1428-AI1428))/AI1428)))</f>
        <v>1</v>
      </c>
      <c r="AP1428" s="50" t="n">
        <f aca="false">IF(LEFT(Cockpit!$I$5,1)="A",H1428,IF(Parameter!$E$30="MAX-Bestand",IF(CH1428=1,CI1428,IF(LEFT(Cockpit!$I$5,1)="B",AV1428,MAX(AV1428,H1428))),ROUNDUP(AT1428,0)))</f>
        <v>49</v>
      </c>
      <c r="AQ1428" s="50" t="n">
        <f aca="false">IF(BZ1428=1,0,ROUNDUP(AP1428/BY1428,0))</f>
        <v>1</v>
      </c>
      <c r="AR1428" s="52" t="n">
        <f aca="false">IF(CQ1428&gt;0,CQ1428*MAX(1,AP1428/X1428),IF(BZ1428=1,IF(AP1428&lt;=0,0,CD1428*MAX(1,IF(H1428&gt;0,AP1428/H1428,1))),IF(R1428&gt;0,AQ1428/R1428,0))/MAX(0.1,N(Parameter!$M$21)))</f>
        <v>0.0833333333333333</v>
      </c>
      <c r="AS1428" s="50" t="n">
        <f aca="false">AR1428*CB1428</f>
        <v>20.4166666666667</v>
      </c>
      <c r="AT1428" s="51" t="n">
        <f aca="false">IF(LEFT(Cockpit!$I$5,1)="A",H1428,IF(CH1428=1,(CK1428+CI1428)/2,IF(LEFT(Cockpit!$I$5,1)="B",(CK1428+AV1428)/2,MAX((CK1428+AV1428)/2,H1428))))</f>
        <v>48.5</v>
      </c>
      <c r="AU1428" s="50" t="n">
        <f aca="false">AT1428*G1428</f>
        <v>4627.87</v>
      </c>
      <c r="AV1428" s="50" t="n">
        <f aca="false">ROUNDUP(CK1428+MAX(CL1428,2*(J1428/IF(CG1428&gt;0,CG1428,MAX(0.1,N(Cockpit!$I$6)))-CK1428)),0)</f>
        <v>89</v>
      </c>
      <c r="AW1428" s="51" t="n">
        <f aca="false">IF(AS1428&gt;0,J1428/AS1428,-1)</f>
        <v>7.10204081632653</v>
      </c>
      <c r="AX1428" s="51" t="n">
        <f aca="false">IF(AND(OR(CF1428="L1",CF1428="L23",CF1428="LIFT"),AS1428&gt;0),SUMIFS($AS$7:$AS$1843,$CF$7:$CF$1843,CF1428,$AW$7:$AW$1843,"&gt;"&amp;AW1428)+SUMIFS($AS$7:$AS$1843,$CF$7:$CF$1843,CF1428,$AW$7:$AW$1843,AW1428,$BW$7:$BW$1843,"&lt;="&amp;BW1428),"")</f>
        <v>3844.48672161172</v>
      </c>
      <c r="AY1428" s="58" t="n">
        <f aca="false">IF(AX1428="",0,MAX(0,MIN(1,(IF(CF1428="L1",Parameter!$H$5,IF(CF1428="L23",Parameter!$H$6+Parameter!$H$7,Parameter!$H$5+Parameter!$H$6+Parameter!$H$7))-(AX1428-AS1428))/AS1428)))</f>
        <v>1</v>
      </c>
      <c r="AZ1428" s="50" t="n">
        <f aca="false">IF(LEFT(Cockpit!$O$5,1)="A",H1428,IF(Parameter!$E$30="MAX-Bestand",IF(CH1428=1,CI1428,IF(LEFT(Cockpit!$O$5,1)="B",BF1428,MAX(BF1428,H1428))),ROUNDUP(BD1428,0)))</f>
        <v>37</v>
      </c>
      <c r="BA1428" s="50" t="n">
        <f aca="false">IF(BZ1428=1,0,ROUNDUP(AZ1428/BY1428,0))</f>
        <v>1</v>
      </c>
      <c r="BB1428" s="52" t="n">
        <f aca="false">IF(CQ1428&gt;0,CQ1428*MAX(1,AZ1428/X1428),IF(BZ1428=1,IF(AZ1428&lt;=0,0,CD1428*MAX(1,IF(H1428&gt;0,AZ1428/H1428,1))),IF(R1428&gt;0,BA1428/R1428,0))/MAX(0.1,N(Parameter!$M$21)))</f>
        <v>0.0833333333333333</v>
      </c>
      <c r="BC1428" s="50" t="n">
        <f aca="false">BB1428*CB1428</f>
        <v>20.4166666666667</v>
      </c>
      <c r="BD1428" s="51" t="n">
        <f aca="false">IF(LEFT(Cockpit!$O$5,1)="A",H1428,IF(CH1428=1,(CK1428+CI1428)/2,IF(LEFT(Cockpit!$O$5,1)="B",(CK1428+BF1428)/2,MAX((CK1428+BF1428)/2,H1428))))</f>
        <v>36.5</v>
      </c>
      <c r="BE1428" s="50" t="n">
        <f aca="false">BD1428*G1428</f>
        <v>3482.83</v>
      </c>
      <c r="BF1428" s="50" t="n">
        <f aca="false">ROUNDUP(CK1428+MAX(CL1428,2*(J1428/IF(CG1428&gt;0,CG1428,MAX(0.1,N(Cockpit!$O$6)))-CK1428)),0)</f>
        <v>65</v>
      </c>
      <c r="BG1428" s="51" t="n">
        <f aca="false">IF(BC1428&gt;0,J1428/BC1428,-1)</f>
        <v>7.10204081632653</v>
      </c>
      <c r="BH1428" s="51" t="n">
        <f aca="false">IF(AND(OR(CF1428="L1",CF1428="L23",CF1428="LIFT"),BC1428&gt;0),SUMIFS($BC$7:$BC$1843,$CF$7:$CF$1843,CF1428,$BG$7:$BG$1843,"&gt;"&amp;BG1428)+SUMIFS($BC$7:$BC$1843,$CF$7:$CF$1843,CF1428,$BG$7:$BG$1843,BG1428,$BW$7:$BW$1843,"&lt;="&amp;BW1428),"")</f>
        <v>3268.9445970696</v>
      </c>
      <c r="BI1428" s="58" t="n">
        <f aca="false">IF(BH1428="",0,MAX(0,MIN(1,(IF(CF1428="L1",Parameter!$H$5,IF(CF1428="L23",Parameter!$H$6+Parameter!$H$7,Parameter!$H$5+Parameter!$H$6+Parameter!$H$7))-(BH1428-BC1428))/BC1428)))</f>
        <v>1</v>
      </c>
      <c r="BJ1428" s="48" t="str">
        <f aca="false">IF(AI1428&lt;=0,"",IF(CF1428="Aussen","Aussenlager",IF(CF1428="-","Nicht im Lift",IF(AO1428&gt;=1,"Lift",IF(AO1428&lt;=0,"Aussenlager","teilweise")))))</f>
        <v>Lift</v>
      </c>
      <c r="BK1428" s="48" t="str">
        <f aca="false">IF(AS1428&lt;=0,"",IF(CF1428="Aussen","Aussenlager",IF(CF1428="-","Nicht im Lift",IF(AY1428&gt;=1,"Lift",IF(AY1428&lt;=0,"Aussenlager","teilweise")))))</f>
        <v>Lift</v>
      </c>
      <c r="BL1428" s="48" t="str">
        <f aca="false">IF(BC1428&lt;=0,"",IF(CF1428="Aussen","Aussenlager",IF(CF1428="-","Nicht im Lift",IF(BI1428&gt;=1,"Lift",IF(BI1428&lt;=0,"Aussenlager","teilweise")))))</f>
        <v>Lift</v>
      </c>
      <c r="BM1428" s="48" t="str">
        <f aca="false">IF(A1428="","",IF(BV1428=1,"Neu; ","")&amp;IF(AND(BV1428=0,BQ1428&lt;0),"negativer Bestand (Export "&amp;BQ1428&amp;"); ","")&amp;IF(J1428&lt;=0,"Kein Verbrauch; ","")&amp;IF(CQ1428&gt;0,"Lift "&amp;W1428&amp;" lt. Liftbericht (Fach "&amp;X1428&amp;" Stk); ",IF(CA1428=1,"Gebinde geschätzt ("&amp;T1428&amp;"); ",IF(BZ1428=1,"Lose – Tablare geschätzt; ","")))&amp;IF(H1428&gt;AV1428,"Überbestand "&amp;ROUND(H1428-AV1428,0)&amp;" Stk / CHF "&amp;ROUND((H1428-AV1428)*G1428,0)&amp;"; ","")&amp;IF(AND(CH1428=1,CI1428&lt;CJ1428),"MAX &lt; MB+LG; ","")&amp;IF(AND(CP1428&gt;0,CO1428*10&gt;CP1428),"zu hoch für Tablar; ","")&amp;IF(AND(BV1428=0,OR(CH1428=1,AA1428&lt;&gt;"",U1428&lt;&gt;"",V1428&lt;&gt;"",AB1428&lt;&gt;"")),"manuell übersteuert; ","")&amp;IF(AND(BZ1428=0,R1428=0),"Gebinde unbekannt / Stellmass fehlt; ","")&amp;IF(AND(BZ1428=0,N(V1428)&lt;=0,N(Q1428)&lt;=0),"Menge pro Gebinde fehlt (Ist = 1 Gebinde); ","")&amp;BU1428)</f>
        <v>negativer Bestand (Export -31); </v>
      </c>
      <c r="BN1428" s="48"/>
      <c r="BO1428" s="48"/>
      <c r="BP1428" s="55"/>
      <c r="BQ1428" s="50" t="n">
        <v>-31</v>
      </c>
      <c r="BR1428" s="50" t="n">
        <v>69</v>
      </c>
      <c r="BS1428" s="49" t="n">
        <v>-6670.22000000001</v>
      </c>
      <c r="BT1428" s="50" t="n">
        <v>145</v>
      </c>
      <c r="BU1428" s="48"/>
      <c r="BV1428" s="53" t="n">
        <v>0</v>
      </c>
      <c r="BW1428" s="53" t="n">
        <v>1428</v>
      </c>
      <c r="BX1428" s="48" t="str">
        <f aca="false">IF(U1428&lt;&gt;"",UPPER(TRIM(U1428)),IF(CA1428=1,UPPER(VLOOKUP(T1428,Parameter!$I$27:$K$29,2,0)),IF(P1428="","LOSE",P1428)))</f>
        <v>S62</v>
      </c>
      <c r="BY1428" s="50" t="n">
        <f aca="false">IF(BX1428="LOSE",1,IF(N(V1428)&gt;0,V1428,IF(CA1428=1,MAX(1,N(VLOOKUP(T1428,Parameter!$I$27:$K$29,3,0)),H1428,N(N1428)),IF(N(Q1428)&gt;0,Q1428,MAX(1,H1428)))))</f>
        <v>76</v>
      </c>
      <c r="BZ1428" s="53" t="n">
        <f aca="false">IF(BX1428="LOSE",1,0)</f>
        <v>0</v>
      </c>
      <c r="CA1428" s="53" t="n">
        <f aca="false">IF(AND(U1428="",OR(P1428="",P1428="LOSE"),T1428&lt;&gt;"",N(S1428)&lt;=0,ISNUMBER(MATCH(T1428,Parameter!$I$27:$I$29,0))),1,0)</f>
        <v>0</v>
      </c>
      <c r="CB1428" s="53" t="n">
        <f aca="false">IF(CQ1428&gt;0,INDEX(Parameter!$H$5:$H$7,W1428)/INDEX(Parameter!$E$5:$E$7,W1428),IF(AND(BZ1428=0,N(IFERROR(VLOOKUP(BX1428,'Gebinde-Kategorie'!$A$5:$N$45,14,0),0))&gt;0),VLOOKUP(BX1428,'Gebinde-Kategorie'!$A$5:$N$45,14,0)*10+Parameter!$M$23,Parameter!$M$24))</f>
        <v>245</v>
      </c>
      <c r="CC1428" s="48" t="str">
        <f aca="false">IF(AND(Parameter!$B$19="Ja",E1428&lt;&gt;"",ISNUMBER(MATCH(E1428,Parameter!$I$35:$I$52,0))),VLOOKUP(E1428,Parameter!$I$35:$J$52,2,0),IFERROR(VLOOKUP(D1428,Parameter!$A$35:$C$64,2,0),"Nein"))</f>
        <v>2+3</v>
      </c>
      <c r="CD1428" s="52" t="n">
        <f aca="false">IF(BZ1428=0,0,IF(N(S1428)&gt;0,S1428,IFERROR(VLOOKUP(D1428,Parameter!$A$35:$C$64,3,0)+0,0)))</f>
        <v>0</v>
      </c>
      <c r="CE1428" s="48" t="n">
        <f aca="false">IF(AA1428&lt;&gt;"",AA1428,Z1428)</f>
        <v>2</v>
      </c>
      <c r="CF1428" s="48" t="str">
        <f aca="false">IF(OR(CE1428=1,CE1428=2,CE1428=3),IF(Parameter!$E$27="Ja","LIFT",IF(CE1428=1,"L1","L23")),IF(CE1428="Aussen","Aussen","-"))</f>
        <v>LIFT</v>
      </c>
      <c r="CG1428" s="59" t="n">
        <f aca="false">IF(N(AB1428)&gt;0,AB1428,0)</f>
        <v>0</v>
      </c>
      <c r="CH1428" s="53" t="n">
        <f aca="false">IF(ISNUMBER(AE1428),1,0)</f>
        <v>0</v>
      </c>
      <c r="CI1428" s="50" t="n">
        <f aca="false">N(AE1428)</f>
        <v>0</v>
      </c>
      <c r="CJ1428" s="50" t="n">
        <f aca="false">N(M1428)+N(N1428)</f>
        <v>33</v>
      </c>
      <c r="CK1428" s="50" t="n">
        <f aca="false">N(M1428)</f>
        <v>8</v>
      </c>
      <c r="CL1428" s="50" t="n">
        <f aca="false">N(N1428)</f>
        <v>25</v>
      </c>
      <c r="CM1428" s="50" t="n">
        <f aca="false">ROUNDUP(H1428/BY1428,0)</f>
        <v>1</v>
      </c>
      <c r="CN1428" s="50" t="n">
        <f aca="false">ROUNDUP(CI1428/BY1428,0)</f>
        <v>0</v>
      </c>
      <c r="CO1428" s="53" t="n">
        <f aca="false">IF(BZ1428=1,0,IFERROR(VLOOKUP(BX1428,'Gebinde-Kategorie'!$A$5:$N$45,5,0)+0,0))</f>
        <v>21</v>
      </c>
      <c r="CP1428" s="53" t="n">
        <f aca="false">IFERROR(IF(OR(CE1428=1,CE1428=2,CE1428=3),N(INDEX(Parameter!$I$5:$I$7,CE1428)),0),0)</f>
        <v>0</v>
      </c>
      <c r="CQ1428" s="52" t="n">
        <f aca="false">IF(AND(Parameter!$B$21="Ja",ISNUMBER(W1428),N(X1428)&gt;0),IFERROR(N(INDEX(Parameter!$L$5:$L$7,W1428))*INDEX(Parameter!$E$5:$E$7,W1428)*X1428/SUMIFS($X$7:$X$1843,$W$7:$W$1843,W1428),0),0)</f>
        <v>0</v>
      </c>
    </row>
    <row r="1429" customFormat="false" ht="15" hidden="false" customHeight="false" outlineLevel="0" collapsed="false">
      <c r="A1429" s="48" t="s">
        <v>2514</v>
      </c>
      <c r="B1429" s="48" t="s">
        <v>2120</v>
      </c>
      <c r="C1429" s="48" t="s">
        <v>173</v>
      </c>
      <c r="D1429" s="48" t="s">
        <v>182</v>
      </c>
      <c r="E1429" s="48" t="s">
        <v>194</v>
      </c>
      <c r="F1429" s="48" t="s">
        <v>227</v>
      </c>
      <c r="G1429" s="49" t="n">
        <v>353.57</v>
      </c>
      <c r="H1429" s="50" t="n">
        <f aca="false">MAX(0,IF(AND(Parameter!$B$21="Ja",ISNUMBER(Y1429)),Y1429,IF(Parameter!$B$20="Jahresanfang 2025 + Export",BR1429+BQ1429,BQ1429)))</f>
        <v>23</v>
      </c>
      <c r="I1429" s="50" t="n">
        <f aca="false">H1429*G1429</f>
        <v>8132.11</v>
      </c>
      <c r="J1429" s="50" t="n">
        <f aca="false">BT1429*Parameter!$B$18</f>
        <v>14</v>
      </c>
      <c r="K1429" s="51" t="n">
        <v>35</v>
      </c>
      <c r="L1429" s="52" t="n">
        <v>0.4</v>
      </c>
      <c r="M1429" s="50" t="n">
        <v>1</v>
      </c>
      <c r="N1429" s="50" t="n">
        <v>10</v>
      </c>
      <c r="O1429" s="53" t="n">
        <v>35</v>
      </c>
      <c r="P1429" s="48" t="s">
        <v>183</v>
      </c>
      <c r="Q1429" s="50" t="n">
        <v>36</v>
      </c>
      <c r="R1429" s="53" t="n">
        <f aca="false">IF(BZ1429=1,0,IFERROR(VLOOKUP(BX1429,'Gebinde-Kategorie'!$A$5:$N$45,13,0)+0,0))</f>
        <v>6</v>
      </c>
      <c r="S1429" s="54"/>
      <c r="T1429" s="55"/>
      <c r="U1429" s="55"/>
      <c r="V1429" s="55"/>
      <c r="W1429" s="48"/>
      <c r="X1429" s="50"/>
      <c r="Y1429" s="50"/>
      <c r="Z1429" s="48" t="n">
        <f aca="false">IF(A1429="","",IF(AND(Parameter!$B$21="Ja",ISNUMBER(W1429)),W1429,IF(CC1429="2+3",IF(ISNUMBER(SEARCH("grosser Artikel",BU1429)),2,IFERROR(VLOOKUP(BX1429,Parameter!$F$35:$G$64,2,0),2)),IF(OR(CC1429="Nein",CC1429=""),"-",CC1429))))</f>
        <v>2</v>
      </c>
      <c r="AA1429" s="55"/>
      <c r="AB1429" s="56"/>
      <c r="AC1429" s="50" t="n">
        <f aca="false">AV1429</f>
        <v>11</v>
      </c>
      <c r="AD1429" s="50" t="n">
        <f aca="false">MAX(AV1429,H1429)</f>
        <v>23</v>
      </c>
      <c r="AE1429" s="57"/>
      <c r="AF1429" s="50" t="n">
        <f aca="false">IF(LEFT(Cockpit!$C$5,1)="A",H1429,IF(Parameter!$E$30="MAX-Bestand",IF(CH1429=1,CI1429,IF(LEFT(Cockpit!$C$5,1)="B",AL1429,MAX(AL1429,H1429))),ROUNDUP(AJ1429,0)))</f>
        <v>23</v>
      </c>
      <c r="AG1429" s="50" t="n">
        <f aca="false">IF(BZ1429=1,0,ROUNDUP(AF1429/BY1429,0))</f>
        <v>1</v>
      </c>
      <c r="AH1429" s="52" t="n">
        <f aca="false">IF(CQ1429&gt;0,CQ1429*MAX(1,AF1429/X1429),IF(BZ1429=1,IF(AF1429&lt;=0,0,CD1429*MAX(1,IF(H1429&gt;0,AF1429/H1429,1))),IF(R1429&gt;0,AG1429/R1429,0))/MAX(0.1,N(Parameter!$M$21)))</f>
        <v>0.166666666666667</v>
      </c>
      <c r="AI1429" s="50" t="n">
        <f aca="false">AH1429*CB1429</f>
        <v>39.1666666666667</v>
      </c>
      <c r="AJ1429" s="51" t="n">
        <f aca="false">IF(LEFT(Cockpit!$C$5,1)="A",H1429,IF(CH1429=1,(CK1429+CI1429)/2,IF(LEFT(Cockpit!$C$5,1)="B",(CK1429+AL1429)/2,MAX((CK1429+AL1429)/2,H1429))))</f>
        <v>23</v>
      </c>
      <c r="AK1429" s="50" t="n">
        <f aca="false">AJ1429*G1429</f>
        <v>8132.11</v>
      </c>
      <c r="AL1429" s="50" t="n">
        <f aca="false">ROUNDUP(CK1429+MAX(CL1429,2*(J1429/IF(CG1429&gt;0,CG1429,MAX(0.1,N(Cockpit!$C$6)))-CK1429)),0)</f>
        <v>11</v>
      </c>
      <c r="AM1429" s="51" t="n">
        <f aca="false">IF(AI1429&gt;0,J1429/AI1429,-1)</f>
        <v>0.357446808510638</v>
      </c>
      <c r="AN1429" s="51" t="n">
        <f aca="false">IF(AND(OR(CF1429="L1",CF1429="L23",CF1429="LIFT"),AI1429&gt;0),SUMIFS($AI$7:$AI$1843,$CF$7:$CF$1843,CF1429,$AM$7:$AM$1843,"&gt;"&amp;AM1429)+SUMIFS($AI$7:$AI$1843,$CF$7:$CF$1843,CF1429,$AM$7:$AM$1843,AM1429,$BW$7:$BW$1843,"&lt;="&amp;BW1429),"")</f>
        <v>10717.2499715445</v>
      </c>
      <c r="AO1429" s="58" t="n">
        <f aca="false">IF(AN1429="",0,MAX(0,MIN(1,(IF(CF1429="L1",Parameter!$H$5,IF(CF1429="L23",Parameter!$H$6+Parameter!$H$7,Parameter!$H$5+Parameter!$H$6+Parameter!$H$7))-(AN1429-AI1429))/AI1429)))</f>
        <v>1</v>
      </c>
      <c r="AP1429" s="50" t="n">
        <f aca="false">IF(LEFT(Cockpit!$I$5,1)="A",H1429,IF(Parameter!$E$30="MAX-Bestand",IF(CH1429=1,CI1429,IF(LEFT(Cockpit!$I$5,1)="B",AV1429,MAX(AV1429,H1429))),ROUNDUP(AT1429,0)))</f>
        <v>23</v>
      </c>
      <c r="AQ1429" s="50" t="n">
        <f aca="false">IF(BZ1429=1,0,ROUNDUP(AP1429/BY1429,0))</f>
        <v>1</v>
      </c>
      <c r="AR1429" s="52" t="n">
        <f aca="false">IF(CQ1429&gt;0,CQ1429*MAX(1,AP1429/X1429),IF(BZ1429=1,IF(AP1429&lt;=0,0,CD1429*MAX(1,IF(H1429&gt;0,AP1429/H1429,1))),IF(R1429&gt;0,AQ1429/R1429,0))/MAX(0.1,N(Parameter!$M$21)))</f>
        <v>0.166666666666667</v>
      </c>
      <c r="AS1429" s="50" t="n">
        <f aca="false">AR1429*CB1429</f>
        <v>39.1666666666667</v>
      </c>
      <c r="AT1429" s="51" t="n">
        <f aca="false">IF(LEFT(Cockpit!$I$5,1)="A",H1429,IF(CH1429=1,(CK1429+CI1429)/2,IF(LEFT(Cockpit!$I$5,1)="B",(CK1429+AV1429)/2,MAX((CK1429+AV1429)/2,H1429))))</f>
        <v>23</v>
      </c>
      <c r="AU1429" s="50" t="n">
        <f aca="false">AT1429*G1429</f>
        <v>8132.11</v>
      </c>
      <c r="AV1429" s="50" t="n">
        <f aca="false">ROUNDUP(CK1429+MAX(CL1429,2*(J1429/IF(CG1429&gt;0,CG1429,MAX(0.1,N(Cockpit!$I$6)))-CK1429)),0)</f>
        <v>11</v>
      </c>
      <c r="AW1429" s="51" t="n">
        <f aca="false">IF(AS1429&gt;0,J1429/AS1429,-1)</f>
        <v>0.357446808510638</v>
      </c>
      <c r="AX1429" s="51" t="n">
        <f aca="false">IF(AND(OR(CF1429="L1",CF1429="L23",CF1429="LIFT"),AS1429&gt;0),SUMIFS($AS$7:$AS$1843,$CF$7:$CF$1843,CF1429,$AW$7:$AW$1843,"&gt;"&amp;AW1429)+SUMIFS($AS$7:$AS$1843,$CF$7:$CF$1843,CF1429,$AW$7:$AW$1843,AW1429,$BW$7:$BW$1843,"&lt;="&amp;BW1429),"")</f>
        <v>13449.0032051282</v>
      </c>
      <c r="AY1429" s="58" t="n">
        <f aca="false">IF(AX1429="",0,MAX(0,MIN(1,(IF(CF1429="L1",Parameter!$H$5,IF(CF1429="L23",Parameter!$H$6+Parameter!$H$7,Parameter!$H$5+Parameter!$H$6+Parameter!$H$7))-(AX1429-AS1429))/AS1429)))</f>
        <v>1</v>
      </c>
      <c r="AZ1429" s="50" t="n">
        <f aca="false">IF(LEFT(Cockpit!$O$5,1)="A",H1429,IF(Parameter!$E$30="MAX-Bestand",IF(CH1429=1,CI1429,IF(LEFT(Cockpit!$O$5,1)="B",BF1429,MAX(BF1429,H1429))),ROUNDUP(BD1429,0)))</f>
        <v>6</v>
      </c>
      <c r="BA1429" s="50" t="n">
        <f aca="false">IF(BZ1429=1,0,ROUNDUP(AZ1429/BY1429,0))</f>
        <v>1</v>
      </c>
      <c r="BB1429" s="52" t="n">
        <f aca="false">IF(CQ1429&gt;0,CQ1429*MAX(1,AZ1429/X1429),IF(BZ1429=1,IF(AZ1429&lt;=0,0,CD1429*MAX(1,IF(H1429&gt;0,AZ1429/H1429,1))),IF(R1429&gt;0,BA1429/R1429,0))/MAX(0.1,N(Parameter!$M$21)))</f>
        <v>0.166666666666667</v>
      </c>
      <c r="BC1429" s="50" t="n">
        <f aca="false">BB1429*CB1429</f>
        <v>39.1666666666667</v>
      </c>
      <c r="BD1429" s="51" t="n">
        <f aca="false">IF(LEFT(Cockpit!$O$5,1)="A",H1429,IF(CH1429=1,(CK1429+CI1429)/2,IF(LEFT(Cockpit!$O$5,1)="B",(CK1429+BF1429)/2,MAX((CK1429+BF1429)/2,H1429))))</f>
        <v>6</v>
      </c>
      <c r="BE1429" s="50" t="n">
        <f aca="false">BD1429*G1429</f>
        <v>2121.42</v>
      </c>
      <c r="BF1429" s="50" t="n">
        <f aca="false">ROUNDUP(CK1429+MAX(CL1429,2*(J1429/IF(CG1429&gt;0,CG1429,MAX(0.1,N(Cockpit!$O$6)))-CK1429)),0)</f>
        <v>11</v>
      </c>
      <c r="BG1429" s="51" t="n">
        <f aca="false">IF(BC1429&gt;0,J1429/BC1429,-1)</f>
        <v>0.357446808510638</v>
      </c>
      <c r="BH1429" s="51" t="n">
        <f aca="false">IF(AND(OR(CF1429="L1",CF1429="L23",CF1429="LIFT"),BC1429&gt;0),SUMIFS($BC$7:$BC$1843,$CF$7:$CF$1843,CF1429,$BG$7:$BG$1843,"&gt;"&amp;BG1429)+SUMIFS($BC$7:$BC$1843,$CF$7:$CF$1843,CF1429,$BG$7:$BG$1843,BG1429,$BW$7:$BW$1843,"&lt;="&amp;BW1429),"")</f>
        <v>11474.7696886447</v>
      </c>
      <c r="BI1429" s="58" t="n">
        <f aca="false">IF(BH1429="",0,MAX(0,MIN(1,(IF(CF1429="L1",Parameter!$H$5,IF(CF1429="L23",Parameter!$H$6+Parameter!$H$7,Parameter!$H$5+Parameter!$H$6+Parameter!$H$7))-(BH1429-BC1429))/BC1429)))</f>
        <v>1</v>
      </c>
      <c r="BJ1429" s="48" t="str">
        <f aca="false">IF(AI1429&lt;=0,"",IF(CF1429="Aussen","Aussenlager",IF(CF1429="-","Nicht im Lift",IF(AO1429&gt;=1,"Lift",IF(AO1429&lt;=0,"Aussenlager","teilweise")))))</f>
        <v>Lift</v>
      </c>
      <c r="BK1429" s="48" t="str">
        <f aca="false">IF(AS1429&lt;=0,"",IF(CF1429="Aussen","Aussenlager",IF(CF1429="-","Nicht im Lift",IF(AY1429&gt;=1,"Lift",IF(AY1429&lt;=0,"Aussenlager","teilweise")))))</f>
        <v>Lift</v>
      </c>
      <c r="BL1429" s="48" t="str">
        <f aca="false">IF(BC1429&lt;=0,"",IF(CF1429="Aussen","Aussenlager",IF(CF1429="-","Nicht im Lift",IF(BI1429&gt;=1,"Lift",IF(BI1429&lt;=0,"Aussenlager","teilweise")))))</f>
        <v>Lift</v>
      </c>
      <c r="BM1429" s="48" t="str">
        <f aca="false">IF(A1429="","",IF(BV1429=1,"Neu; ","")&amp;IF(AND(BV1429=0,BQ1429&lt;0),"negativer Bestand (Export "&amp;BQ1429&amp;"); ","")&amp;IF(J1429&lt;=0,"Kein Verbrauch; ","")&amp;IF(CQ1429&gt;0,"Lift "&amp;W1429&amp;" lt. Liftbericht (Fach "&amp;X1429&amp;" Stk); ",IF(CA1429=1,"Gebinde geschätzt ("&amp;T1429&amp;"); ",IF(BZ1429=1,"Lose – Tablare geschätzt; ","")))&amp;IF(H1429&gt;AV1429,"Überbestand "&amp;ROUND(H1429-AV1429,0)&amp;" Stk / CHF "&amp;ROUND((H1429-AV1429)*G1429,0)&amp;"; ","")&amp;IF(AND(CH1429=1,CI1429&lt;CJ1429),"MAX &lt; MB+LG; ","")&amp;IF(AND(CP1429&gt;0,CO1429*10&gt;CP1429),"zu hoch für Tablar; ","")&amp;IF(AND(BV1429=0,OR(CH1429=1,AA1429&lt;&gt;"",U1429&lt;&gt;"",V1429&lt;&gt;"",AB1429&lt;&gt;"")),"manuell übersteuert; ","")&amp;IF(AND(BZ1429=0,R1429=0),"Gebinde unbekannt / Stellmass fehlt; ","")&amp;IF(AND(BZ1429=0,N(V1429)&lt;=0,N(Q1429)&lt;=0),"Menge pro Gebinde fehlt (Ist = 1 Gebinde); ","")&amp;BU1429)</f>
        <v>negativer Bestand (Export -19); Überbestand 12 Stk / CHF 4243; Neu; grosser Artikel &amp; nicht im KTL</v>
      </c>
      <c r="BN1429" s="48"/>
      <c r="BO1429" s="48"/>
      <c r="BP1429" s="55"/>
      <c r="BQ1429" s="50" t="n">
        <v>-19</v>
      </c>
      <c r="BR1429" s="50" t="n">
        <v>42</v>
      </c>
      <c r="BS1429" s="49" t="n">
        <v>-6717.83</v>
      </c>
      <c r="BT1429" s="50" t="n">
        <v>14</v>
      </c>
      <c r="BU1429" s="48" t="s">
        <v>2079</v>
      </c>
      <c r="BV1429" s="53" t="n">
        <v>0</v>
      </c>
      <c r="BW1429" s="53" t="n">
        <v>1429</v>
      </c>
      <c r="BX1429" s="48" t="str">
        <f aca="false">IF(U1429&lt;&gt;"",UPPER(TRIM(U1429)),IF(CA1429=1,UPPER(VLOOKUP(T1429,Parameter!$I$27:$K$29,2,0)),IF(P1429="","LOSE",P1429)))</f>
        <v>S71</v>
      </c>
      <c r="BY1429" s="50" t="n">
        <f aca="false">IF(BX1429="LOSE",1,IF(N(V1429)&gt;0,V1429,IF(CA1429=1,MAX(1,N(VLOOKUP(T1429,Parameter!$I$27:$K$29,3,0)),H1429,N(N1429)),IF(N(Q1429)&gt;0,Q1429,MAX(1,H1429)))))</f>
        <v>36</v>
      </c>
      <c r="BZ1429" s="53" t="n">
        <f aca="false">IF(BX1429="LOSE",1,0)</f>
        <v>0</v>
      </c>
      <c r="CA1429" s="53" t="n">
        <f aca="false">IF(AND(U1429="",OR(P1429="",P1429="LOSE"),T1429&lt;&gt;"",N(S1429)&lt;=0,ISNUMBER(MATCH(T1429,Parameter!$I$27:$I$29,0))),1,0)</f>
        <v>0</v>
      </c>
      <c r="CB1429" s="53" t="n">
        <f aca="false">IF(CQ1429&gt;0,INDEX(Parameter!$H$5:$H$7,W1429)/INDEX(Parameter!$E$5:$E$7,W1429),IF(AND(BZ1429=0,N(IFERROR(VLOOKUP(BX1429,'Gebinde-Kategorie'!$A$5:$N$45,14,0),0))&gt;0),VLOOKUP(BX1429,'Gebinde-Kategorie'!$A$5:$N$45,14,0)*10+Parameter!$M$23,Parameter!$M$24))</f>
        <v>235</v>
      </c>
      <c r="CC1429" s="48" t="str">
        <f aca="false">IF(AND(Parameter!$B$19="Ja",E1429&lt;&gt;"",ISNUMBER(MATCH(E1429,Parameter!$I$35:$I$52,0))),VLOOKUP(E1429,Parameter!$I$35:$J$52,2,0),IFERROR(VLOOKUP(D1429,Parameter!$A$35:$C$64,2,0),"Nein"))</f>
        <v>2+3</v>
      </c>
      <c r="CD1429" s="52" t="n">
        <f aca="false">IF(BZ1429=0,0,IF(N(S1429)&gt;0,S1429,IFERROR(VLOOKUP(D1429,Parameter!$A$35:$C$64,3,0)+0,0)))</f>
        <v>0</v>
      </c>
      <c r="CE1429" s="48" t="n">
        <f aca="false">IF(AA1429&lt;&gt;"",AA1429,Z1429)</f>
        <v>2</v>
      </c>
      <c r="CF1429" s="48" t="str">
        <f aca="false">IF(OR(CE1429=1,CE1429=2,CE1429=3),IF(Parameter!$E$27="Ja","LIFT",IF(CE1429=1,"L1","L23")),IF(CE1429="Aussen","Aussen","-"))</f>
        <v>LIFT</v>
      </c>
      <c r="CG1429" s="59" t="n">
        <f aca="false">IF(N(AB1429)&gt;0,AB1429,0)</f>
        <v>0</v>
      </c>
      <c r="CH1429" s="53" t="n">
        <f aca="false">IF(ISNUMBER(AE1429),1,0)</f>
        <v>0</v>
      </c>
      <c r="CI1429" s="50" t="n">
        <f aca="false">N(AE1429)</f>
        <v>0</v>
      </c>
      <c r="CJ1429" s="50" t="n">
        <f aca="false">N(M1429)+N(N1429)</f>
        <v>11</v>
      </c>
      <c r="CK1429" s="50" t="n">
        <f aca="false">N(M1429)</f>
        <v>1</v>
      </c>
      <c r="CL1429" s="50" t="n">
        <f aca="false">N(N1429)</f>
        <v>10</v>
      </c>
      <c r="CM1429" s="50" t="n">
        <f aca="false">ROUNDUP(H1429/BY1429,0)</f>
        <v>1</v>
      </c>
      <c r="CN1429" s="50" t="n">
        <f aca="false">ROUNDUP(CI1429/BY1429,0)</f>
        <v>0</v>
      </c>
      <c r="CO1429" s="53" t="n">
        <f aca="false">IF(BZ1429=1,0,IFERROR(VLOOKUP(BX1429,'Gebinde-Kategorie'!$A$5:$N$45,5,0)+0,0))</f>
        <v>20</v>
      </c>
      <c r="CP1429" s="53" t="n">
        <f aca="false">IFERROR(IF(OR(CE1429=1,CE1429=2,CE1429=3),N(INDEX(Parameter!$I$5:$I$7,CE1429)),0),0)</f>
        <v>0</v>
      </c>
      <c r="CQ1429" s="52" t="n">
        <f aca="false">IF(AND(Parameter!$B$21="Ja",ISNUMBER(W1429),N(X1429)&gt;0),IFERROR(N(INDEX(Parameter!$L$5:$L$7,W1429))*INDEX(Parameter!$E$5:$E$7,W1429)*X1429/SUMIFS($X$7:$X$1843,$W$7:$W$1843,W1429),0),0)</f>
        <v>0</v>
      </c>
    </row>
    <row r="1430" customFormat="false" ht="15" hidden="false" customHeight="false" outlineLevel="0" collapsed="false">
      <c r="A1430" s="48" t="s">
        <v>2515</v>
      </c>
      <c r="B1430" s="48" t="s">
        <v>2516</v>
      </c>
      <c r="C1430" s="48" t="s">
        <v>173</v>
      </c>
      <c r="D1430" s="48" t="s">
        <v>193</v>
      </c>
      <c r="E1430" s="48" t="s">
        <v>194</v>
      </c>
      <c r="F1430" s="48" t="s">
        <v>227</v>
      </c>
      <c r="G1430" s="49" t="n">
        <v>116.4</v>
      </c>
      <c r="H1430" s="50" t="n">
        <f aca="false">MAX(0,IF(AND(Parameter!$B$21="Ja",ISNUMBER(Y1430)),Y1430,IF(Parameter!$B$20="Jahresanfang 2025 + Export",BR1430+BQ1430,BQ1430)))</f>
        <v>58</v>
      </c>
      <c r="I1430" s="50" t="n">
        <f aca="false">H1430*G1430</f>
        <v>6751.2</v>
      </c>
      <c r="J1430" s="50" t="n">
        <f aca="false">BT1430*Parameter!$B$18</f>
        <v>10</v>
      </c>
      <c r="K1430" s="51" t="n">
        <v>111</v>
      </c>
      <c r="L1430" s="52" t="n">
        <v>0.0900900900900901</v>
      </c>
      <c r="M1430" s="50" t="n">
        <v>0</v>
      </c>
      <c r="N1430" s="50" t="n">
        <v>10</v>
      </c>
      <c r="O1430" s="53" t="n">
        <v>28</v>
      </c>
      <c r="P1430" s="48" t="s">
        <v>302</v>
      </c>
      <c r="Q1430" s="50" t="n">
        <v>80</v>
      </c>
      <c r="R1430" s="53" t="n">
        <f aca="false">IF(BZ1430=1,0,IFERROR(VLOOKUP(BX1430,'Gebinde-Kategorie'!$A$5:$N$45,13,0)+0,0))</f>
        <v>12</v>
      </c>
      <c r="S1430" s="54"/>
      <c r="T1430" s="55"/>
      <c r="U1430" s="55"/>
      <c r="V1430" s="55"/>
      <c r="W1430" s="48"/>
      <c r="X1430" s="50"/>
      <c r="Y1430" s="50"/>
      <c r="Z1430" s="48" t="n">
        <f aca="false">IF(A1430="","",IF(AND(Parameter!$B$21="Ja",ISNUMBER(W1430)),W1430,IF(CC1430="2+3",IF(ISNUMBER(SEARCH("grosser Artikel",BU1430)),2,IFERROR(VLOOKUP(BX1430,Parameter!$F$35:$G$64,2,0),2)),IF(OR(CC1430="Nein",CC1430=""),"-",CC1430))))</f>
        <v>2</v>
      </c>
      <c r="AA1430" s="55"/>
      <c r="AB1430" s="56"/>
      <c r="AC1430" s="50" t="n">
        <f aca="false">AV1430</f>
        <v>10</v>
      </c>
      <c r="AD1430" s="50" t="n">
        <f aca="false">MAX(AV1430,H1430)</f>
        <v>58</v>
      </c>
      <c r="AE1430" s="57"/>
      <c r="AF1430" s="50" t="n">
        <f aca="false">IF(LEFT(Cockpit!$C$5,1)="A",H1430,IF(Parameter!$E$30="MAX-Bestand",IF(CH1430=1,CI1430,IF(LEFT(Cockpit!$C$5,1)="B",AL1430,MAX(AL1430,H1430))),ROUNDUP(AJ1430,0)))</f>
        <v>58</v>
      </c>
      <c r="AG1430" s="50" t="n">
        <f aca="false">IF(BZ1430=1,0,ROUNDUP(AF1430/BY1430,0))</f>
        <v>1</v>
      </c>
      <c r="AH1430" s="52" t="n">
        <f aca="false">IF(CQ1430&gt;0,CQ1430*MAX(1,AF1430/X1430),IF(BZ1430=1,IF(AF1430&lt;=0,0,CD1430*MAX(1,IF(H1430&gt;0,AF1430/H1430,1))),IF(R1430&gt;0,AG1430/R1430,0))/MAX(0.1,N(Parameter!$M$21)))</f>
        <v>0.0833333333333333</v>
      </c>
      <c r="AI1430" s="50" t="n">
        <f aca="false">AH1430*CB1430</f>
        <v>20.4166666666667</v>
      </c>
      <c r="AJ1430" s="51" t="n">
        <f aca="false">IF(LEFT(Cockpit!$C$5,1)="A",H1430,IF(CH1430=1,(CK1430+CI1430)/2,IF(LEFT(Cockpit!$C$5,1)="B",(CK1430+AL1430)/2,MAX((CK1430+AL1430)/2,H1430))))</f>
        <v>58</v>
      </c>
      <c r="AK1430" s="50" t="n">
        <f aca="false">AJ1430*G1430</f>
        <v>6751.2</v>
      </c>
      <c r="AL1430" s="50" t="n">
        <f aca="false">ROUNDUP(CK1430+MAX(CL1430,2*(J1430/IF(CG1430&gt;0,CG1430,MAX(0.1,N(Cockpit!$C$6)))-CK1430)),0)</f>
        <v>10</v>
      </c>
      <c r="AM1430" s="51" t="n">
        <f aca="false">IF(AI1430&gt;0,J1430/AI1430,-1)</f>
        <v>0.489795918367347</v>
      </c>
      <c r="AN1430" s="51" t="n">
        <f aca="false">IF(AND(OR(CF1430="L1",CF1430="L23",CF1430="LIFT"),AI1430&gt;0),SUMIFS($AI$7:$AI$1843,$CF$7:$CF$1843,CF1430,$AM$7:$AM$1843,"&gt;"&amp;AM1430)+SUMIFS($AI$7:$AI$1843,$CF$7:$CF$1843,CF1430,$AM$7:$AM$1843,AM1430,$BW$7:$BW$1843,"&lt;="&amp;BW1430),"")</f>
        <v>9642.67716934666</v>
      </c>
      <c r="AO1430" s="58" t="n">
        <f aca="false">IF(AN1430="",0,MAX(0,MIN(1,(IF(CF1430="L1",Parameter!$H$5,IF(CF1430="L23",Parameter!$H$6+Parameter!$H$7,Parameter!$H$5+Parameter!$H$6+Parameter!$H$7))-(AN1430-AI1430))/AI1430)))</f>
        <v>1</v>
      </c>
      <c r="AP1430" s="50" t="n">
        <f aca="false">IF(LEFT(Cockpit!$I$5,1)="A",H1430,IF(Parameter!$E$30="MAX-Bestand",IF(CH1430=1,CI1430,IF(LEFT(Cockpit!$I$5,1)="B",AV1430,MAX(AV1430,H1430))),ROUNDUP(AT1430,0)))</f>
        <v>58</v>
      </c>
      <c r="AQ1430" s="50" t="n">
        <f aca="false">IF(BZ1430=1,0,ROUNDUP(AP1430/BY1430,0))</f>
        <v>1</v>
      </c>
      <c r="AR1430" s="52" t="n">
        <f aca="false">IF(CQ1430&gt;0,CQ1430*MAX(1,AP1430/X1430),IF(BZ1430=1,IF(AP1430&lt;=0,0,CD1430*MAX(1,IF(H1430&gt;0,AP1430/H1430,1))),IF(R1430&gt;0,AQ1430/R1430,0))/MAX(0.1,N(Parameter!$M$21)))</f>
        <v>0.0833333333333333</v>
      </c>
      <c r="AS1430" s="50" t="n">
        <f aca="false">AR1430*CB1430</f>
        <v>20.4166666666667</v>
      </c>
      <c r="AT1430" s="51" t="n">
        <f aca="false">IF(LEFT(Cockpit!$I$5,1)="A",H1430,IF(CH1430=1,(CK1430+CI1430)/2,IF(LEFT(Cockpit!$I$5,1)="B",(CK1430+AV1430)/2,MAX((CK1430+AV1430)/2,H1430))))</f>
        <v>58</v>
      </c>
      <c r="AU1430" s="50" t="n">
        <f aca="false">AT1430*G1430</f>
        <v>6751.2</v>
      </c>
      <c r="AV1430" s="50" t="n">
        <f aca="false">ROUNDUP(CK1430+MAX(CL1430,2*(J1430/IF(CG1430&gt;0,CG1430,MAX(0.1,N(Cockpit!$I$6)))-CK1430)),0)</f>
        <v>10</v>
      </c>
      <c r="AW1430" s="51" t="n">
        <f aca="false">IF(AS1430&gt;0,J1430/AS1430,-1)</f>
        <v>0.489795918367347</v>
      </c>
      <c r="AX1430" s="51" t="n">
        <f aca="false">IF(AND(OR(CF1430="L1",CF1430="L23",CF1430="LIFT"),AS1430&gt;0),SUMIFS($AS$7:$AS$1843,$CF$7:$CF$1843,CF1430,$AW$7:$AW$1843,"&gt;"&amp;AW1430)+SUMIFS($AS$7:$AS$1843,$CF$7:$CF$1843,CF1430,$AW$7:$AW$1843,AW1430,$BW$7:$BW$1843,"&lt;="&amp;BW1430),"")</f>
        <v>12056.5137362637</v>
      </c>
      <c r="AY1430" s="58" t="n">
        <f aca="false">IF(AX1430="",0,MAX(0,MIN(1,(IF(CF1430="L1",Parameter!$H$5,IF(CF1430="L23",Parameter!$H$6+Parameter!$H$7,Parameter!$H$5+Parameter!$H$6+Parameter!$H$7))-(AX1430-AS1430))/AS1430)))</f>
        <v>1</v>
      </c>
      <c r="AZ1430" s="50" t="n">
        <f aca="false">IF(LEFT(Cockpit!$O$5,1)="A",H1430,IF(Parameter!$E$30="MAX-Bestand",IF(CH1430=1,CI1430,IF(LEFT(Cockpit!$O$5,1)="B",BF1430,MAX(BF1430,H1430))),ROUNDUP(BD1430,0)))</f>
        <v>5</v>
      </c>
      <c r="BA1430" s="50" t="n">
        <f aca="false">IF(BZ1430=1,0,ROUNDUP(AZ1430/BY1430,0))</f>
        <v>1</v>
      </c>
      <c r="BB1430" s="52" t="n">
        <f aca="false">IF(CQ1430&gt;0,CQ1430*MAX(1,AZ1430/X1430),IF(BZ1430=1,IF(AZ1430&lt;=0,0,CD1430*MAX(1,IF(H1430&gt;0,AZ1430/H1430,1))),IF(R1430&gt;0,BA1430/R1430,0))/MAX(0.1,N(Parameter!$M$21)))</f>
        <v>0.0833333333333333</v>
      </c>
      <c r="BC1430" s="50" t="n">
        <f aca="false">BB1430*CB1430</f>
        <v>20.4166666666667</v>
      </c>
      <c r="BD1430" s="51" t="n">
        <f aca="false">IF(LEFT(Cockpit!$O$5,1)="A",H1430,IF(CH1430=1,(CK1430+CI1430)/2,IF(LEFT(Cockpit!$O$5,1)="B",(CK1430+BF1430)/2,MAX((CK1430+BF1430)/2,H1430))))</f>
        <v>5</v>
      </c>
      <c r="BE1430" s="50" t="n">
        <f aca="false">BD1430*G1430</f>
        <v>582</v>
      </c>
      <c r="BF1430" s="50" t="n">
        <f aca="false">ROUNDUP(CK1430+MAX(CL1430,2*(J1430/IF(CG1430&gt;0,CG1430,MAX(0.1,N(Cockpit!$O$6)))-CK1430)),0)</f>
        <v>10</v>
      </c>
      <c r="BG1430" s="51" t="n">
        <f aca="false">IF(BC1430&gt;0,J1430/BC1430,-1)</f>
        <v>0.489795918367347</v>
      </c>
      <c r="BH1430" s="51" t="n">
        <f aca="false">IF(AND(OR(CF1430="L1",CF1430="L23",CF1430="LIFT"),BC1430&gt;0),SUMIFS($BC$7:$BC$1843,$CF$7:$CF$1843,CF1430,$BG$7:$BG$1843,"&gt;"&amp;BG1430)+SUMIFS($BC$7:$BC$1843,$CF$7:$CF$1843,CF1430,$BG$7:$BG$1843,BG1430,$BW$7:$BW$1843,"&lt;="&amp;BW1430),"")</f>
        <v>10419.9299450549</v>
      </c>
      <c r="BI1430" s="58" t="n">
        <f aca="false">IF(BH1430="",0,MAX(0,MIN(1,(IF(CF1430="L1",Parameter!$H$5,IF(CF1430="L23",Parameter!$H$6+Parameter!$H$7,Parameter!$H$5+Parameter!$H$6+Parameter!$H$7))-(BH1430-BC1430))/BC1430)))</f>
        <v>1</v>
      </c>
      <c r="BJ1430" s="48" t="str">
        <f aca="false">IF(AI1430&lt;=0,"",IF(CF1430="Aussen","Aussenlager",IF(CF1430="-","Nicht im Lift",IF(AO1430&gt;=1,"Lift",IF(AO1430&lt;=0,"Aussenlager","teilweise")))))</f>
        <v>Lift</v>
      </c>
      <c r="BK1430" s="48" t="str">
        <f aca="false">IF(AS1430&lt;=0,"",IF(CF1430="Aussen","Aussenlager",IF(CF1430="-","Nicht im Lift",IF(AY1430&gt;=1,"Lift",IF(AY1430&lt;=0,"Aussenlager","teilweise")))))</f>
        <v>Lift</v>
      </c>
      <c r="BL1430" s="48" t="str">
        <f aca="false">IF(BC1430&lt;=0,"",IF(CF1430="Aussen","Aussenlager",IF(CF1430="-","Nicht im Lift",IF(BI1430&gt;=1,"Lift",IF(BI1430&lt;=0,"Aussenlager","teilweise")))))</f>
        <v>Lift</v>
      </c>
      <c r="BM1430" s="48" t="str">
        <f aca="false">IF(A1430="","",IF(BV1430=1,"Neu; ","")&amp;IF(AND(BV1430=0,BQ1430&lt;0),"negativer Bestand (Export "&amp;BQ1430&amp;"); ","")&amp;IF(J1430&lt;=0,"Kein Verbrauch; ","")&amp;IF(CQ1430&gt;0,"Lift "&amp;W1430&amp;" lt. Liftbericht (Fach "&amp;X1430&amp;" Stk); ",IF(CA1430=1,"Gebinde geschätzt ("&amp;T1430&amp;"); ",IF(BZ1430=1,"Lose – Tablare geschätzt; ","")))&amp;IF(H1430&gt;AV1430,"Überbestand "&amp;ROUND(H1430-AV1430,0)&amp;" Stk / CHF "&amp;ROUND((H1430-AV1430)*G1430,0)&amp;"; ","")&amp;IF(AND(CH1430=1,CI1430&lt;CJ1430),"MAX &lt; MB+LG; ","")&amp;IF(AND(CP1430&gt;0,CO1430*10&gt;CP1430),"zu hoch für Tablar; ","")&amp;IF(AND(BV1430=0,OR(CH1430=1,AA1430&lt;&gt;"",U1430&lt;&gt;"",V1430&lt;&gt;"",AB1430&lt;&gt;"")),"manuell übersteuert; ","")&amp;IF(AND(BZ1430=0,R1430=0),"Gebinde unbekannt / Stellmass fehlt; ","")&amp;IF(AND(BZ1430=0,N(V1430)&lt;=0,N(Q1430)&lt;=0),"Menge pro Gebinde fehlt (Ist = 1 Gebinde); ","")&amp;BU1430)</f>
        <v>negativer Bestand (Export -58); Überbestand 48 Stk / CHF 5587; </v>
      </c>
      <c r="BN1430" s="48"/>
      <c r="BO1430" s="48"/>
      <c r="BP1430" s="55"/>
      <c r="BQ1430" s="50" t="n">
        <v>-58</v>
      </c>
      <c r="BR1430" s="50" t="n">
        <v>116</v>
      </c>
      <c r="BS1430" s="49" t="n">
        <v>-6751.2</v>
      </c>
      <c r="BT1430" s="50" t="n">
        <v>10</v>
      </c>
      <c r="BU1430" s="48"/>
      <c r="BV1430" s="53" t="n">
        <v>0</v>
      </c>
      <c r="BW1430" s="53" t="n">
        <v>1430</v>
      </c>
      <c r="BX1430" s="48" t="str">
        <f aca="false">IF(U1430&lt;&gt;"",UPPER(TRIM(U1430)),IF(CA1430=1,UPPER(VLOOKUP(T1430,Parameter!$I$27:$K$29,2,0)),IF(P1430="","LOSE",P1430)))</f>
        <v>S62</v>
      </c>
      <c r="BY1430" s="50" t="n">
        <f aca="false">IF(BX1430="LOSE",1,IF(N(V1430)&gt;0,V1430,IF(CA1430=1,MAX(1,N(VLOOKUP(T1430,Parameter!$I$27:$K$29,3,0)),H1430,N(N1430)),IF(N(Q1430)&gt;0,Q1430,MAX(1,H1430)))))</f>
        <v>80</v>
      </c>
      <c r="BZ1430" s="53" t="n">
        <f aca="false">IF(BX1430="LOSE",1,0)</f>
        <v>0</v>
      </c>
      <c r="CA1430" s="53" t="n">
        <f aca="false">IF(AND(U1430="",OR(P1430="",P1430="LOSE"),T1430&lt;&gt;"",N(S1430)&lt;=0,ISNUMBER(MATCH(T1430,Parameter!$I$27:$I$29,0))),1,0)</f>
        <v>0</v>
      </c>
      <c r="CB1430" s="53" t="n">
        <f aca="false">IF(CQ1430&gt;0,INDEX(Parameter!$H$5:$H$7,W1430)/INDEX(Parameter!$E$5:$E$7,W1430),IF(AND(BZ1430=0,N(IFERROR(VLOOKUP(BX1430,'Gebinde-Kategorie'!$A$5:$N$45,14,0),0))&gt;0),VLOOKUP(BX1430,'Gebinde-Kategorie'!$A$5:$N$45,14,0)*10+Parameter!$M$23,Parameter!$M$24))</f>
        <v>245</v>
      </c>
      <c r="CC1430" s="48" t="str">
        <f aca="false">IF(AND(Parameter!$B$19="Ja",E1430&lt;&gt;"",ISNUMBER(MATCH(E1430,Parameter!$I$35:$I$52,0))),VLOOKUP(E1430,Parameter!$I$35:$J$52,2,0),IFERROR(VLOOKUP(D1430,Parameter!$A$35:$C$64,2,0),"Nein"))</f>
        <v>2+3</v>
      </c>
      <c r="CD1430" s="52" t="n">
        <f aca="false">IF(BZ1430=0,0,IF(N(S1430)&gt;0,S1430,IFERROR(VLOOKUP(D1430,Parameter!$A$35:$C$64,3,0)+0,0)))</f>
        <v>0</v>
      </c>
      <c r="CE1430" s="48" t="n">
        <f aca="false">IF(AA1430&lt;&gt;"",AA1430,Z1430)</f>
        <v>2</v>
      </c>
      <c r="CF1430" s="48" t="str">
        <f aca="false">IF(OR(CE1430=1,CE1430=2,CE1430=3),IF(Parameter!$E$27="Ja","LIFT",IF(CE1430=1,"L1","L23")),IF(CE1430="Aussen","Aussen","-"))</f>
        <v>LIFT</v>
      </c>
      <c r="CG1430" s="59" t="n">
        <f aca="false">IF(N(AB1430)&gt;0,AB1430,0)</f>
        <v>0</v>
      </c>
      <c r="CH1430" s="53" t="n">
        <f aca="false">IF(ISNUMBER(AE1430),1,0)</f>
        <v>0</v>
      </c>
      <c r="CI1430" s="50" t="n">
        <f aca="false">N(AE1430)</f>
        <v>0</v>
      </c>
      <c r="CJ1430" s="50" t="n">
        <f aca="false">N(M1430)+N(N1430)</f>
        <v>10</v>
      </c>
      <c r="CK1430" s="50" t="n">
        <f aca="false">N(M1430)</f>
        <v>0</v>
      </c>
      <c r="CL1430" s="50" t="n">
        <f aca="false">N(N1430)</f>
        <v>10</v>
      </c>
      <c r="CM1430" s="50" t="n">
        <f aca="false">ROUNDUP(H1430/BY1430,0)</f>
        <v>1</v>
      </c>
      <c r="CN1430" s="50" t="n">
        <f aca="false">ROUNDUP(CI1430/BY1430,0)</f>
        <v>0</v>
      </c>
      <c r="CO1430" s="53" t="n">
        <f aca="false">IF(BZ1430=1,0,IFERROR(VLOOKUP(BX1430,'Gebinde-Kategorie'!$A$5:$N$45,5,0)+0,0))</f>
        <v>21</v>
      </c>
      <c r="CP1430" s="53" t="n">
        <f aca="false">IFERROR(IF(OR(CE1430=1,CE1430=2,CE1430=3),N(INDEX(Parameter!$I$5:$I$7,CE1430)),0),0)</f>
        <v>0</v>
      </c>
      <c r="CQ1430" s="52" t="n">
        <f aca="false">IF(AND(Parameter!$B$21="Ja",ISNUMBER(W1430),N(X1430)&gt;0),IFERROR(N(INDEX(Parameter!$L$5:$L$7,W1430))*INDEX(Parameter!$E$5:$E$7,W1430)*X1430/SUMIFS($X$7:$X$1843,$W$7:$W$1843,W1430),0),0)</f>
        <v>0</v>
      </c>
    </row>
    <row r="1431" customFormat="false" ht="15" hidden="false" customHeight="false" outlineLevel="0" collapsed="false">
      <c r="A1431" s="48" t="s">
        <v>2517</v>
      </c>
      <c r="B1431" s="48" t="s">
        <v>797</v>
      </c>
      <c r="C1431" s="48" t="s">
        <v>173</v>
      </c>
      <c r="D1431" s="48" t="s">
        <v>182</v>
      </c>
      <c r="E1431" s="48" t="s">
        <v>194</v>
      </c>
      <c r="F1431" s="48" t="s">
        <v>227</v>
      </c>
      <c r="G1431" s="49" t="n">
        <v>285.45</v>
      </c>
      <c r="H1431" s="50" t="n">
        <f aca="false">MAX(0,IF(AND(Parameter!$B$21="Ja",ISNUMBER(Y1431)),Y1431,IF(Parameter!$B$20="Jahresanfang 2025 + Export",BR1431+BQ1431,BQ1431)))</f>
        <v>52</v>
      </c>
      <c r="I1431" s="50" t="n">
        <f aca="false">H1431*G1431</f>
        <v>14843.4</v>
      </c>
      <c r="J1431" s="50" t="n">
        <f aca="false">BT1431*Parameter!$B$18</f>
        <v>310</v>
      </c>
      <c r="K1431" s="51" t="n">
        <v>64</v>
      </c>
      <c r="L1431" s="52" t="n">
        <v>4.84375</v>
      </c>
      <c r="M1431" s="50" t="n">
        <v>18</v>
      </c>
      <c r="N1431" s="50" t="n">
        <v>60</v>
      </c>
      <c r="O1431" s="53" t="n">
        <v>21</v>
      </c>
      <c r="P1431" s="48" t="s">
        <v>183</v>
      </c>
      <c r="Q1431" s="50" t="n">
        <v>112</v>
      </c>
      <c r="R1431" s="53" t="n">
        <f aca="false">IF(BZ1431=1,0,IFERROR(VLOOKUP(BX1431,'Gebinde-Kategorie'!$A$5:$N$45,13,0)+0,0))</f>
        <v>6</v>
      </c>
      <c r="S1431" s="54"/>
      <c r="T1431" s="55"/>
      <c r="U1431" s="55"/>
      <c r="V1431" s="55"/>
      <c r="W1431" s="48"/>
      <c r="X1431" s="50"/>
      <c r="Y1431" s="50"/>
      <c r="Z1431" s="48" t="n">
        <f aca="false">IF(A1431="","",IF(AND(Parameter!$B$21="Ja",ISNUMBER(W1431)),W1431,IF(CC1431="2+3",IF(ISNUMBER(SEARCH("grosser Artikel",BU1431)),2,IFERROR(VLOOKUP(BX1431,Parameter!$F$35:$G$64,2,0),2)),IF(OR(CC1431="Nein",CC1431=""),"-",CC1431))))</f>
        <v>2</v>
      </c>
      <c r="AA1431" s="55"/>
      <c r="AB1431" s="56"/>
      <c r="AC1431" s="50" t="n">
        <f aca="false">AV1431</f>
        <v>189</v>
      </c>
      <c r="AD1431" s="50" t="n">
        <f aca="false">MAX(AV1431,H1431)</f>
        <v>189</v>
      </c>
      <c r="AE1431" s="57"/>
      <c r="AF1431" s="50" t="n">
        <f aca="false">IF(LEFT(Cockpit!$C$5,1)="A",H1431,IF(Parameter!$E$30="MAX-Bestand",IF(CH1431=1,CI1431,IF(LEFT(Cockpit!$C$5,1)="B",AL1431,MAX(AL1431,H1431))),ROUNDUP(AJ1431,0)))</f>
        <v>52</v>
      </c>
      <c r="AG1431" s="50" t="n">
        <f aca="false">IF(BZ1431=1,0,ROUNDUP(AF1431/BY1431,0))</f>
        <v>1</v>
      </c>
      <c r="AH1431" s="52" t="n">
        <f aca="false">IF(CQ1431&gt;0,CQ1431*MAX(1,AF1431/X1431),IF(BZ1431=1,IF(AF1431&lt;=0,0,CD1431*MAX(1,IF(H1431&gt;0,AF1431/H1431,1))),IF(R1431&gt;0,AG1431/R1431,0))/MAX(0.1,N(Parameter!$M$21)))</f>
        <v>0.166666666666667</v>
      </c>
      <c r="AI1431" s="50" t="n">
        <f aca="false">AH1431*CB1431</f>
        <v>39.1666666666667</v>
      </c>
      <c r="AJ1431" s="51" t="n">
        <f aca="false">IF(LEFT(Cockpit!$C$5,1)="A",H1431,IF(CH1431=1,(CK1431+CI1431)/2,IF(LEFT(Cockpit!$C$5,1)="B",(CK1431+AL1431)/2,MAX((CK1431+AL1431)/2,H1431))))</f>
        <v>52</v>
      </c>
      <c r="AK1431" s="50" t="n">
        <f aca="false">AJ1431*G1431</f>
        <v>14843.4</v>
      </c>
      <c r="AL1431" s="50" t="n">
        <f aca="false">ROUNDUP(CK1431+MAX(CL1431,2*(J1431/IF(CG1431&gt;0,CG1431,MAX(0.1,N(Cockpit!$C$6)))-CK1431)),0)</f>
        <v>189</v>
      </c>
      <c r="AM1431" s="51" t="n">
        <f aca="false">IF(AI1431&gt;0,J1431/AI1431,-1)</f>
        <v>7.91489361702128</v>
      </c>
      <c r="AN1431" s="51" t="n">
        <f aca="false">IF(AND(OR(CF1431="L1",CF1431="L23",CF1431="LIFT"),AI1431&gt;0),SUMIFS($AI$7:$AI$1843,$CF$7:$CF$1843,CF1431,$AM$7:$AM$1843,"&gt;"&amp;AM1431)+SUMIFS($AI$7:$AI$1843,$CF$7:$CF$1843,CF1431,$AM$7:$AM$1843,AM1431,$BW$7:$BW$1843,"&lt;="&amp;BW1431),"")</f>
        <v>3088.76923076923</v>
      </c>
      <c r="AO1431" s="58" t="n">
        <f aca="false">IF(AN1431="",0,MAX(0,MIN(1,(IF(CF1431="L1",Parameter!$H$5,IF(CF1431="L23",Parameter!$H$6+Parameter!$H$7,Parameter!$H$5+Parameter!$H$6+Parameter!$H$7))-(AN1431-AI1431))/AI1431)))</f>
        <v>1</v>
      </c>
      <c r="AP1431" s="50" t="n">
        <f aca="false">IF(LEFT(Cockpit!$I$5,1)="A",H1431,IF(Parameter!$E$30="MAX-Bestand",IF(CH1431=1,CI1431,IF(LEFT(Cockpit!$I$5,1)="B",AV1431,MAX(AV1431,H1431))),ROUNDUP(AT1431,0)))</f>
        <v>104</v>
      </c>
      <c r="AQ1431" s="50" t="n">
        <f aca="false">IF(BZ1431=1,0,ROUNDUP(AP1431/BY1431,0))</f>
        <v>1</v>
      </c>
      <c r="AR1431" s="52" t="n">
        <f aca="false">IF(CQ1431&gt;0,CQ1431*MAX(1,AP1431/X1431),IF(BZ1431=1,IF(AP1431&lt;=0,0,CD1431*MAX(1,IF(H1431&gt;0,AP1431/H1431,1))),IF(R1431&gt;0,AQ1431/R1431,0))/MAX(0.1,N(Parameter!$M$21)))</f>
        <v>0.166666666666667</v>
      </c>
      <c r="AS1431" s="50" t="n">
        <f aca="false">AR1431*CB1431</f>
        <v>39.1666666666667</v>
      </c>
      <c r="AT1431" s="51" t="n">
        <f aca="false">IF(LEFT(Cockpit!$I$5,1)="A",H1431,IF(CH1431=1,(CK1431+CI1431)/2,IF(LEFT(Cockpit!$I$5,1)="B",(CK1431+AV1431)/2,MAX((CK1431+AV1431)/2,H1431))))</f>
        <v>103.5</v>
      </c>
      <c r="AU1431" s="50" t="n">
        <f aca="false">AT1431*G1431</f>
        <v>29544.075</v>
      </c>
      <c r="AV1431" s="50" t="n">
        <f aca="false">ROUNDUP(CK1431+MAX(CL1431,2*(J1431/IF(CG1431&gt;0,CG1431,MAX(0.1,N(Cockpit!$I$6)))-CK1431)),0)</f>
        <v>189</v>
      </c>
      <c r="AW1431" s="51" t="n">
        <f aca="false">IF(AS1431&gt;0,J1431/AS1431,-1)</f>
        <v>7.91489361702128</v>
      </c>
      <c r="AX1431" s="51" t="n">
        <f aca="false">IF(AND(OR(CF1431="L1",CF1431="L23",CF1431="LIFT"),AS1431&gt;0),SUMIFS($AS$7:$AS$1843,$CF$7:$CF$1843,CF1431,$AW$7:$AW$1843,"&gt;"&amp;AW1431)+SUMIFS($AS$7:$AS$1843,$CF$7:$CF$1843,CF1431,$AW$7:$AW$1843,AW1431,$BW$7:$BW$1843,"&lt;="&amp;BW1431),"")</f>
        <v>3712.83058608059</v>
      </c>
      <c r="AY1431" s="58" t="n">
        <f aca="false">IF(AX1431="",0,MAX(0,MIN(1,(IF(CF1431="L1",Parameter!$H$5,IF(CF1431="L23",Parameter!$H$6+Parameter!$H$7,Parameter!$H$5+Parameter!$H$6+Parameter!$H$7))-(AX1431-AS1431))/AS1431)))</f>
        <v>1</v>
      </c>
      <c r="AZ1431" s="50" t="n">
        <f aca="false">IF(LEFT(Cockpit!$O$5,1)="A",H1431,IF(Parameter!$E$30="MAX-Bestand",IF(CH1431=1,CI1431,IF(LEFT(Cockpit!$O$5,1)="B",BF1431,MAX(BF1431,H1431))),ROUNDUP(BD1431,0)))</f>
        <v>78</v>
      </c>
      <c r="BA1431" s="50" t="n">
        <f aca="false">IF(BZ1431=1,0,ROUNDUP(AZ1431/BY1431,0))</f>
        <v>1</v>
      </c>
      <c r="BB1431" s="52" t="n">
        <f aca="false">IF(CQ1431&gt;0,CQ1431*MAX(1,AZ1431/X1431),IF(BZ1431=1,IF(AZ1431&lt;=0,0,CD1431*MAX(1,IF(H1431&gt;0,AZ1431/H1431,1))),IF(R1431&gt;0,BA1431/R1431,0))/MAX(0.1,N(Parameter!$M$21)))</f>
        <v>0.166666666666667</v>
      </c>
      <c r="BC1431" s="50" t="n">
        <f aca="false">BB1431*CB1431</f>
        <v>39.1666666666667</v>
      </c>
      <c r="BD1431" s="51" t="n">
        <f aca="false">IF(LEFT(Cockpit!$O$5,1)="A",H1431,IF(CH1431=1,(CK1431+CI1431)/2,IF(LEFT(Cockpit!$O$5,1)="B",(CK1431+BF1431)/2,MAX((CK1431+BF1431)/2,H1431))))</f>
        <v>77.5</v>
      </c>
      <c r="BE1431" s="50" t="n">
        <f aca="false">BD1431*G1431</f>
        <v>22122.375</v>
      </c>
      <c r="BF1431" s="50" t="n">
        <f aca="false">ROUNDUP(CK1431+MAX(CL1431,2*(J1431/IF(CG1431&gt;0,CG1431,MAX(0.1,N(Cockpit!$O$6)))-CK1431)),0)</f>
        <v>137</v>
      </c>
      <c r="BG1431" s="51" t="n">
        <f aca="false">IF(BC1431&gt;0,J1431/BC1431,-1)</f>
        <v>7.91489361702128</v>
      </c>
      <c r="BH1431" s="51" t="n">
        <f aca="false">IF(AND(OR(CF1431="L1",CF1431="L23",CF1431="LIFT"),BC1431&gt;0),SUMIFS($BC$7:$BC$1843,$CF$7:$CF$1843,CF1431,$BG$7:$BG$1843,"&gt;"&amp;BG1431)+SUMIFS($BC$7:$BC$1843,$CF$7:$CF$1843,CF1431,$BG$7:$BG$1843,BG1431,$BW$7:$BW$1843,"&lt;="&amp;BW1431),"")</f>
        <v>3074.20009157509</v>
      </c>
      <c r="BI1431" s="58" t="n">
        <f aca="false">IF(BH1431="",0,MAX(0,MIN(1,(IF(CF1431="L1",Parameter!$H$5,IF(CF1431="L23",Parameter!$H$6+Parameter!$H$7,Parameter!$H$5+Parameter!$H$6+Parameter!$H$7))-(BH1431-BC1431))/BC1431)))</f>
        <v>1</v>
      </c>
      <c r="BJ1431" s="48" t="str">
        <f aca="false">IF(AI1431&lt;=0,"",IF(CF1431="Aussen","Aussenlager",IF(CF1431="-","Nicht im Lift",IF(AO1431&gt;=1,"Lift",IF(AO1431&lt;=0,"Aussenlager","teilweise")))))</f>
        <v>Lift</v>
      </c>
      <c r="BK1431" s="48" t="str">
        <f aca="false">IF(AS1431&lt;=0,"",IF(CF1431="Aussen","Aussenlager",IF(CF1431="-","Nicht im Lift",IF(AY1431&gt;=1,"Lift",IF(AY1431&lt;=0,"Aussenlager","teilweise")))))</f>
        <v>Lift</v>
      </c>
      <c r="BL1431" s="48" t="str">
        <f aca="false">IF(BC1431&lt;=0,"",IF(CF1431="Aussen","Aussenlager",IF(CF1431="-","Nicht im Lift",IF(BI1431&gt;=1,"Lift",IF(BI1431&lt;=0,"Aussenlager","teilweise")))))</f>
        <v>Lift</v>
      </c>
      <c r="BM1431" s="48" t="str">
        <f aca="false">IF(A1431="","",IF(BV1431=1,"Neu; ","")&amp;IF(AND(BV1431=0,BQ1431&lt;0),"negativer Bestand (Export "&amp;BQ1431&amp;"); ","")&amp;IF(J1431&lt;=0,"Kein Verbrauch; ","")&amp;IF(CQ1431&gt;0,"Lift "&amp;W1431&amp;" lt. Liftbericht (Fach "&amp;X1431&amp;" Stk); ",IF(CA1431=1,"Gebinde geschätzt ("&amp;T1431&amp;"); ",IF(BZ1431=1,"Lose – Tablare geschätzt; ","")))&amp;IF(H1431&gt;AV1431,"Überbestand "&amp;ROUND(H1431-AV1431,0)&amp;" Stk / CHF "&amp;ROUND((H1431-AV1431)*G1431,0)&amp;"; ","")&amp;IF(AND(CH1431=1,CI1431&lt;CJ1431),"MAX &lt; MB+LG; ","")&amp;IF(AND(CP1431&gt;0,CO1431*10&gt;CP1431),"zu hoch für Tablar; ","")&amp;IF(AND(BV1431=0,OR(CH1431=1,AA1431&lt;&gt;"",U1431&lt;&gt;"",V1431&lt;&gt;"",AB1431&lt;&gt;"")),"manuell übersteuert; ","")&amp;IF(AND(BZ1431=0,R1431=0),"Gebinde unbekannt / Stellmass fehlt; ","")&amp;IF(AND(BZ1431=0,N(V1431)&lt;=0,N(Q1431)&lt;=0),"Menge pro Gebinde fehlt (Ist = 1 Gebinde); ","")&amp;BU1431)</f>
        <v>negativer Bestand (Export -14); grosser Artikel &amp; nicht im KTL</v>
      </c>
      <c r="BN1431" s="48"/>
      <c r="BO1431" s="48"/>
      <c r="BP1431" s="55"/>
      <c r="BQ1431" s="50" t="n">
        <v>-14</v>
      </c>
      <c r="BR1431" s="50" t="n">
        <v>66</v>
      </c>
      <c r="BS1431" s="49" t="n">
        <v>-6931.97999999999</v>
      </c>
      <c r="BT1431" s="50" t="n">
        <v>310</v>
      </c>
      <c r="BU1431" s="48" t="s">
        <v>270</v>
      </c>
      <c r="BV1431" s="53" t="n">
        <v>0</v>
      </c>
      <c r="BW1431" s="53" t="n">
        <v>1431</v>
      </c>
      <c r="BX1431" s="48" t="str">
        <f aca="false">IF(U1431&lt;&gt;"",UPPER(TRIM(U1431)),IF(CA1431=1,UPPER(VLOOKUP(T1431,Parameter!$I$27:$K$29,2,0)),IF(P1431="","LOSE",P1431)))</f>
        <v>S71</v>
      </c>
      <c r="BY1431" s="50" t="n">
        <f aca="false">IF(BX1431="LOSE",1,IF(N(V1431)&gt;0,V1431,IF(CA1431=1,MAX(1,N(VLOOKUP(T1431,Parameter!$I$27:$K$29,3,0)),H1431,N(N1431)),IF(N(Q1431)&gt;0,Q1431,MAX(1,H1431)))))</f>
        <v>112</v>
      </c>
      <c r="BZ1431" s="53" t="n">
        <f aca="false">IF(BX1431="LOSE",1,0)</f>
        <v>0</v>
      </c>
      <c r="CA1431" s="53" t="n">
        <f aca="false">IF(AND(U1431="",OR(P1431="",P1431="LOSE"),T1431&lt;&gt;"",N(S1431)&lt;=0,ISNUMBER(MATCH(T1431,Parameter!$I$27:$I$29,0))),1,0)</f>
        <v>0</v>
      </c>
      <c r="CB1431" s="53" t="n">
        <f aca="false">IF(CQ1431&gt;0,INDEX(Parameter!$H$5:$H$7,W1431)/INDEX(Parameter!$E$5:$E$7,W1431),IF(AND(BZ1431=0,N(IFERROR(VLOOKUP(BX1431,'Gebinde-Kategorie'!$A$5:$N$45,14,0),0))&gt;0),VLOOKUP(BX1431,'Gebinde-Kategorie'!$A$5:$N$45,14,0)*10+Parameter!$M$23,Parameter!$M$24))</f>
        <v>235</v>
      </c>
      <c r="CC1431" s="48" t="str">
        <f aca="false">IF(AND(Parameter!$B$19="Ja",E1431&lt;&gt;"",ISNUMBER(MATCH(E1431,Parameter!$I$35:$I$52,0))),VLOOKUP(E1431,Parameter!$I$35:$J$52,2,0),IFERROR(VLOOKUP(D1431,Parameter!$A$35:$C$64,2,0),"Nein"))</f>
        <v>2+3</v>
      </c>
      <c r="CD1431" s="52" t="n">
        <f aca="false">IF(BZ1431=0,0,IF(N(S1431)&gt;0,S1431,IFERROR(VLOOKUP(D1431,Parameter!$A$35:$C$64,3,0)+0,0)))</f>
        <v>0</v>
      </c>
      <c r="CE1431" s="48" t="n">
        <f aca="false">IF(AA1431&lt;&gt;"",AA1431,Z1431)</f>
        <v>2</v>
      </c>
      <c r="CF1431" s="48" t="str">
        <f aca="false">IF(OR(CE1431=1,CE1431=2,CE1431=3),IF(Parameter!$E$27="Ja","LIFT",IF(CE1431=1,"L1","L23")),IF(CE1431="Aussen","Aussen","-"))</f>
        <v>LIFT</v>
      </c>
      <c r="CG1431" s="59" t="n">
        <f aca="false">IF(N(AB1431)&gt;0,AB1431,0)</f>
        <v>0</v>
      </c>
      <c r="CH1431" s="53" t="n">
        <f aca="false">IF(ISNUMBER(AE1431),1,0)</f>
        <v>0</v>
      </c>
      <c r="CI1431" s="50" t="n">
        <f aca="false">N(AE1431)</f>
        <v>0</v>
      </c>
      <c r="CJ1431" s="50" t="n">
        <f aca="false">N(M1431)+N(N1431)</f>
        <v>78</v>
      </c>
      <c r="CK1431" s="50" t="n">
        <f aca="false">N(M1431)</f>
        <v>18</v>
      </c>
      <c r="CL1431" s="50" t="n">
        <f aca="false">N(N1431)</f>
        <v>60</v>
      </c>
      <c r="CM1431" s="50" t="n">
        <f aca="false">ROUNDUP(H1431/BY1431,0)</f>
        <v>1</v>
      </c>
      <c r="CN1431" s="50" t="n">
        <f aca="false">ROUNDUP(CI1431/BY1431,0)</f>
        <v>0</v>
      </c>
      <c r="CO1431" s="53" t="n">
        <f aca="false">IF(BZ1431=1,0,IFERROR(VLOOKUP(BX1431,'Gebinde-Kategorie'!$A$5:$N$45,5,0)+0,0))</f>
        <v>20</v>
      </c>
      <c r="CP1431" s="53" t="n">
        <f aca="false">IFERROR(IF(OR(CE1431=1,CE1431=2,CE1431=3),N(INDEX(Parameter!$I$5:$I$7,CE1431)),0),0)</f>
        <v>0</v>
      </c>
      <c r="CQ1431" s="52" t="n">
        <f aca="false">IF(AND(Parameter!$B$21="Ja",ISNUMBER(W1431),N(X1431)&gt;0),IFERROR(N(INDEX(Parameter!$L$5:$L$7,W1431))*INDEX(Parameter!$E$5:$E$7,W1431)*X1431/SUMIFS($X$7:$X$1843,$W$7:$W$1843,W1431),0),0)</f>
        <v>0</v>
      </c>
    </row>
    <row r="1432" customFormat="false" ht="15" hidden="false" customHeight="false" outlineLevel="0" collapsed="false">
      <c r="A1432" s="48" t="s">
        <v>2518</v>
      </c>
      <c r="B1432" s="48" t="s">
        <v>172</v>
      </c>
      <c r="C1432" s="48" t="s">
        <v>173</v>
      </c>
      <c r="D1432" s="48" t="s">
        <v>174</v>
      </c>
      <c r="E1432" s="48" t="s">
        <v>175</v>
      </c>
      <c r="F1432" s="48" t="s">
        <v>227</v>
      </c>
      <c r="G1432" s="49" t="n">
        <v>2330</v>
      </c>
      <c r="H1432" s="50" t="n">
        <f aca="false">MAX(0,IF(AND(Parameter!$B$21="Ja",ISNUMBER(Y1432)),Y1432,IF(Parameter!$B$20="Jahresanfang 2025 + Export",BR1432+BQ1432,BQ1432)))</f>
        <v>1</v>
      </c>
      <c r="I1432" s="50" t="n">
        <f aca="false">H1432*G1432</f>
        <v>2330</v>
      </c>
      <c r="J1432" s="50" t="n">
        <f aca="false">BT1432*Parameter!$B$18</f>
        <v>1</v>
      </c>
      <c r="K1432" s="51" t="n">
        <v>3.5</v>
      </c>
      <c r="L1432" s="52" t="n">
        <v>0.285714285714286</v>
      </c>
      <c r="M1432" s="50" t="n">
        <v>0</v>
      </c>
      <c r="N1432" s="50" t="n">
        <v>1</v>
      </c>
      <c r="O1432" s="53" t="n">
        <v>58</v>
      </c>
      <c r="P1432" s="48" t="s">
        <v>177</v>
      </c>
      <c r="Q1432" s="50"/>
      <c r="R1432" s="53" t="n">
        <f aca="false">IF(BZ1432=1,0,IFERROR(VLOOKUP(BX1432,'Gebinde-Kategorie'!$A$5:$N$45,13,0)+0,0))</f>
        <v>0</v>
      </c>
      <c r="S1432" s="54"/>
      <c r="T1432" s="55"/>
      <c r="U1432" s="55"/>
      <c r="V1432" s="55"/>
      <c r="W1432" s="48" t="n">
        <v>1</v>
      </c>
      <c r="X1432" s="50" t="n">
        <v>3</v>
      </c>
      <c r="Y1432" s="50" t="n">
        <v>1</v>
      </c>
      <c r="Z1432" s="48" t="n">
        <f aca="false">IF(A1432="","",IF(AND(Parameter!$B$21="Ja",ISNUMBER(W1432)),W1432,IF(CC1432="2+3",IF(ISNUMBER(SEARCH("grosser Artikel",BU1432)),2,IFERROR(VLOOKUP(BX1432,Parameter!$F$35:$G$64,2,0),2)),IF(OR(CC1432="Nein",CC1432=""),"-",CC1432))))</f>
        <v>1</v>
      </c>
      <c r="AA1432" s="55"/>
      <c r="AB1432" s="56"/>
      <c r="AC1432" s="50" t="n">
        <f aca="false">AV1432</f>
        <v>1</v>
      </c>
      <c r="AD1432" s="50" t="n">
        <f aca="false">MAX(AV1432,H1432)</f>
        <v>1</v>
      </c>
      <c r="AE1432" s="57"/>
      <c r="AF1432" s="50" t="n">
        <f aca="false">IF(LEFT(Cockpit!$C$5,1)="A",H1432,IF(Parameter!$E$30="MAX-Bestand",IF(CH1432=1,CI1432,IF(LEFT(Cockpit!$C$5,1)="B",AL1432,MAX(AL1432,H1432))),ROUNDUP(AJ1432,0)))</f>
        <v>1</v>
      </c>
      <c r="AG1432" s="50" t="n">
        <f aca="false">IF(BZ1432=1,0,ROUNDUP(AF1432/BY1432,0))</f>
        <v>0</v>
      </c>
      <c r="AH1432" s="52" t="n">
        <f aca="false">IF(CQ1432&gt;0,CQ1432*MAX(1,AF1432/X1432),IF(BZ1432=1,IF(AF1432&lt;=0,0,CD1432*MAX(1,IF(H1432&gt;0,AF1432/H1432,1))),IF(R1432&gt;0,AG1432/R1432,0))/MAX(0.1,N(Parameter!$M$21)))</f>
        <v>0.240112994350283</v>
      </c>
      <c r="AI1432" s="50" t="n">
        <f aca="false">AH1432*CB1432</f>
        <v>57.1468926553672</v>
      </c>
      <c r="AJ1432" s="51" t="n">
        <f aca="false">IF(LEFT(Cockpit!$C$5,1)="A",H1432,IF(CH1432=1,(CK1432+CI1432)/2,IF(LEFT(Cockpit!$C$5,1)="B",(CK1432+AL1432)/2,MAX((CK1432+AL1432)/2,H1432))))</f>
        <v>1</v>
      </c>
      <c r="AK1432" s="50" t="n">
        <f aca="false">AJ1432*G1432</f>
        <v>2330</v>
      </c>
      <c r="AL1432" s="50" t="n">
        <f aca="false">ROUNDUP(CK1432+MAX(CL1432,2*(J1432/IF(CG1432&gt;0,CG1432,MAX(0.1,N(Cockpit!$C$6)))-CK1432)),0)</f>
        <v>1</v>
      </c>
      <c r="AM1432" s="51" t="n">
        <f aca="false">IF(AI1432&gt;0,J1432/AI1432,-1)</f>
        <v>0.017498764211567</v>
      </c>
      <c r="AN1432" s="51" t="n">
        <f aca="false">IF(AND(OR(CF1432="L1",CF1432="L23",CF1432="LIFT"),AI1432&gt;0),SUMIFS($AI$7:$AI$1843,$CF$7:$CF$1843,CF1432,$AM$7:$AM$1843,"&gt;"&amp;AM1432)+SUMIFS($AI$7:$AI$1843,$CF$7:$CF$1843,CF1432,$AM$7:$AM$1843,AM1432,$BW$7:$BW$1843,"&lt;="&amp;BW1432),"")</f>
        <v>23587.1708858467</v>
      </c>
      <c r="AO1432" s="58" t="n">
        <f aca="false">IF(AN1432="",0,MAX(0,MIN(1,(IF(CF1432="L1",Parameter!$H$5,IF(CF1432="L23",Parameter!$H$6+Parameter!$H$7,Parameter!$H$5+Parameter!$H$6+Parameter!$H$7))-(AN1432-AI1432))/AI1432)))</f>
        <v>1</v>
      </c>
      <c r="AP1432" s="50" t="n">
        <f aca="false">IF(LEFT(Cockpit!$I$5,1)="A",H1432,IF(Parameter!$E$30="MAX-Bestand",IF(CH1432=1,CI1432,IF(LEFT(Cockpit!$I$5,1)="B",AV1432,MAX(AV1432,H1432))),ROUNDUP(AT1432,0)))</f>
        <v>1</v>
      </c>
      <c r="AQ1432" s="50" t="n">
        <f aca="false">IF(BZ1432=1,0,ROUNDUP(AP1432/BY1432,0))</f>
        <v>0</v>
      </c>
      <c r="AR1432" s="52" t="n">
        <f aca="false">IF(CQ1432&gt;0,CQ1432*MAX(1,AP1432/X1432),IF(BZ1432=1,IF(AP1432&lt;=0,0,CD1432*MAX(1,IF(H1432&gt;0,AP1432/H1432,1))),IF(R1432&gt;0,AQ1432/R1432,0))/MAX(0.1,N(Parameter!$M$21)))</f>
        <v>0.240112994350283</v>
      </c>
      <c r="AS1432" s="50" t="n">
        <f aca="false">AR1432*CB1432</f>
        <v>57.1468926553672</v>
      </c>
      <c r="AT1432" s="51" t="n">
        <f aca="false">IF(LEFT(Cockpit!$I$5,1)="A",H1432,IF(CH1432=1,(CK1432+CI1432)/2,IF(LEFT(Cockpit!$I$5,1)="B",(CK1432+AV1432)/2,MAX((CK1432+AV1432)/2,H1432))))</f>
        <v>1</v>
      </c>
      <c r="AU1432" s="50" t="n">
        <f aca="false">AT1432*G1432</f>
        <v>2330</v>
      </c>
      <c r="AV1432" s="50" t="n">
        <f aca="false">ROUNDUP(CK1432+MAX(CL1432,2*(J1432/IF(CG1432&gt;0,CG1432,MAX(0.1,N(Cockpit!$I$6)))-CK1432)),0)</f>
        <v>1</v>
      </c>
      <c r="AW1432" s="51" t="n">
        <f aca="false">IF(AS1432&gt;0,J1432/AS1432,-1)</f>
        <v>0.017498764211567</v>
      </c>
      <c r="AX1432" s="51" t="n">
        <f aca="false">IF(AND(OR(CF1432="L1",CF1432="L23",CF1432="LIFT"),AS1432&gt;0),SUMIFS($AS$7:$AS$1843,$CF$7:$CF$1843,CF1432,$AW$7:$AW$1843,"&gt;"&amp;AW1432)+SUMIFS($AS$7:$AS$1843,$CF$7:$CF$1843,CF1432,$AW$7:$AW$1843,AW1432,$BW$7:$BW$1843,"&lt;="&amp;BW1432),"")</f>
        <v>28822.8195272242</v>
      </c>
      <c r="AY1432" s="58" t="n">
        <f aca="false">IF(AX1432="",0,MAX(0,MIN(1,(IF(CF1432="L1",Parameter!$H$5,IF(CF1432="L23",Parameter!$H$6+Parameter!$H$7,Parameter!$H$5+Parameter!$H$6+Parameter!$H$7))-(AX1432-AS1432))/AS1432)))</f>
        <v>1</v>
      </c>
      <c r="AZ1432" s="50" t="n">
        <f aca="false">IF(LEFT(Cockpit!$O$5,1)="A",H1432,IF(Parameter!$E$30="MAX-Bestand",IF(CH1432=1,CI1432,IF(LEFT(Cockpit!$O$5,1)="B",BF1432,MAX(BF1432,H1432))),ROUNDUP(BD1432,0)))</f>
        <v>1</v>
      </c>
      <c r="BA1432" s="50" t="n">
        <f aca="false">IF(BZ1432=1,0,ROUNDUP(AZ1432/BY1432,0))</f>
        <v>0</v>
      </c>
      <c r="BB1432" s="52" t="n">
        <f aca="false">IF(CQ1432&gt;0,CQ1432*MAX(1,AZ1432/X1432),IF(BZ1432=1,IF(AZ1432&lt;=0,0,CD1432*MAX(1,IF(H1432&gt;0,AZ1432/H1432,1))),IF(R1432&gt;0,BA1432/R1432,0))/MAX(0.1,N(Parameter!$M$21)))</f>
        <v>0.240112994350283</v>
      </c>
      <c r="BC1432" s="50" t="n">
        <f aca="false">BB1432*CB1432</f>
        <v>57.1468926553672</v>
      </c>
      <c r="BD1432" s="51" t="n">
        <f aca="false">IF(LEFT(Cockpit!$O$5,1)="A",H1432,IF(CH1432=1,(CK1432+CI1432)/2,IF(LEFT(Cockpit!$O$5,1)="B",(CK1432+BF1432)/2,MAX((CK1432+BF1432)/2,H1432))))</f>
        <v>0.5</v>
      </c>
      <c r="BE1432" s="50" t="n">
        <f aca="false">BD1432*G1432</f>
        <v>1165</v>
      </c>
      <c r="BF1432" s="50" t="n">
        <f aca="false">ROUNDUP(CK1432+MAX(CL1432,2*(J1432/IF(CG1432&gt;0,CG1432,MAX(0.1,N(Cockpit!$O$6)))-CK1432)),0)</f>
        <v>1</v>
      </c>
      <c r="BG1432" s="51" t="n">
        <f aca="false">IF(BC1432&gt;0,J1432/BC1432,-1)</f>
        <v>0.017498764211567</v>
      </c>
      <c r="BH1432" s="51" t="n">
        <f aca="false">IF(AND(OR(CF1432="L1",CF1432="L23",CF1432="LIFT"),BC1432&gt;0),SUMIFS($BC$7:$BC$1843,$CF$7:$CF$1843,CF1432,$BG$7:$BG$1843,"&gt;"&amp;BG1432)+SUMIFS($BC$7:$BC$1843,$CF$7:$CF$1843,CF1432,$BG$7:$BG$1843,BG1432,$BW$7:$BW$1843,"&lt;="&amp;BW1432),"")</f>
        <v>24368.5680371888</v>
      </c>
      <c r="BI1432" s="58" t="n">
        <f aca="false">IF(BH1432="",0,MAX(0,MIN(1,(IF(CF1432="L1",Parameter!$H$5,IF(CF1432="L23",Parameter!$H$6+Parameter!$H$7,Parameter!$H$5+Parameter!$H$6+Parameter!$H$7))-(BH1432-BC1432))/BC1432)))</f>
        <v>1</v>
      </c>
      <c r="BJ1432" s="48" t="str">
        <f aca="false">IF(AI1432&lt;=0,"",IF(CF1432="Aussen","Aussenlager",IF(CF1432="-","Nicht im Lift",IF(AO1432&gt;=1,"Lift",IF(AO1432&lt;=0,"Aussenlager","teilweise")))))</f>
        <v>Lift</v>
      </c>
      <c r="BK1432" s="48" t="str">
        <f aca="false">IF(AS1432&lt;=0,"",IF(CF1432="Aussen","Aussenlager",IF(CF1432="-","Nicht im Lift",IF(AY1432&gt;=1,"Lift",IF(AY1432&lt;=0,"Aussenlager","teilweise")))))</f>
        <v>Lift</v>
      </c>
      <c r="BL1432" s="48" t="str">
        <f aca="false">IF(BC1432&lt;=0,"",IF(CF1432="Aussen","Aussenlager",IF(CF1432="-","Nicht im Lift",IF(BI1432&gt;=1,"Lift",IF(BI1432&lt;=0,"Aussenlager","teilweise")))))</f>
        <v>Lift</v>
      </c>
      <c r="BM1432" s="48" t="str">
        <f aca="false">IF(A1432="","",IF(BV1432=1,"Neu; ","")&amp;IF(AND(BV1432=0,BQ1432&lt;0),"negativer Bestand (Export "&amp;BQ1432&amp;"); ","")&amp;IF(J1432&lt;=0,"Kein Verbrauch; ","")&amp;IF(CQ1432&gt;0,"Lift "&amp;W1432&amp;" lt. Liftbericht (Fach "&amp;X1432&amp;" Stk); ",IF(CA1432=1,"Gebinde geschätzt ("&amp;T1432&amp;"); ",IF(BZ1432=1,"Lose – Tablare geschätzt; ","")))&amp;IF(H1432&gt;AV1432,"Überbestand "&amp;ROUND(H1432-AV1432,0)&amp;" Stk / CHF "&amp;ROUND((H1432-AV1432)*G1432,0)&amp;"; ","")&amp;IF(AND(CH1432=1,CI1432&lt;CJ1432),"MAX &lt; MB+LG; ","")&amp;IF(AND(CP1432&gt;0,CO1432*10&gt;CP1432),"zu hoch für Tablar; ","")&amp;IF(AND(BV1432=0,OR(CH1432=1,AA1432&lt;&gt;"",U1432&lt;&gt;"",V1432&lt;&gt;"",AB1432&lt;&gt;"")),"manuell übersteuert; ","")&amp;IF(AND(BZ1432=0,R1432=0),"Gebinde unbekannt / Stellmass fehlt; ","")&amp;IF(AND(BZ1432=0,N(V1432)&lt;=0,N(Q1432)&lt;=0),"Menge pro Gebinde fehlt (Ist = 1 Gebinde); ","")&amp;BU1432)</f>
        <v>negativer Bestand (Export -3); Lift 1 lt. Liftbericht (Fach 3 Stk); Überbestand</v>
      </c>
      <c r="BN1432" s="48"/>
      <c r="BO1432" s="48"/>
      <c r="BP1432" s="55"/>
      <c r="BQ1432" s="50" t="n">
        <v>-3</v>
      </c>
      <c r="BR1432" s="50" t="n">
        <v>4</v>
      </c>
      <c r="BS1432" s="49" t="n">
        <v>-6990</v>
      </c>
      <c r="BT1432" s="50" t="n">
        <v>1</v>
      </c>
      <c r="BU1432" s="48" t="s">
        <v>401</v>
      </c>
      <c r="BV1432" s="53" t="n">
        <v>0</v>
      </c>
      <c r="BW1432" s="53" t="n">
        <v>1432</v>
      </c>
      <c r="BX1432" s="48" t="str">
        <f aca="false">IF(U1432&lt;&gt;"",UPPER(TRIM(U1432)),IF(CA1432=1,UPPER(VLOOKUP(T1432,Parameter!$I$27:$K$29,2,0)),IF(P1432="","LOSE",P1432)))</f>
        <v>LOSE</v>
      </c>
      <c r="BY1432" s="50" t="n">
        <f aca="false">IF(BX1432="LOSE",1,IF(N(V1432)&gt;0,V1432,IF(CA1432=1,MAX(1,N(VLOOKUP(T1432,Parameter!$I$27:$K$29,3,0)),H1432,N(N1432)),IF(N(Q1432)&gt;0,Q1432,MAX(1,H1432)))))</f>
        <v>1</v>
      </c>
      <c r="BZ1432" s="53" t="n">
        <f aca="false">IF(BX1432="LOSE",1,0)</f>
        <v>1</v>
      </c>
      <c r="CA1432" s="53" t="n">
        <f aca="false">IF(AND(U1432="",OR(P1432="",P1432="LOSE"),T1432&lt;&gt;"",N(S1432)&lt;=0,ISNUMBER(MATCH(T1432,Parameter!$I$27:$I$29,0))),1,0)</f>
        <v>0</v>
      </c>
      <c r="CB1432" s="53" t="n">
        <f aca="false">IF(CQ1432&gt;0,INDEX(Parameter!$H$5:$H$7,W1432)/INDEX(Parameter!$E$5:$E$7,W1432),IF(AND(BZ1432=0,N(IFERROR(VLOOKUP(BX1432,'Gebinde-Kategorie'!$A$5:$N$45,14,0),0))&gt;0),VLOOKUP(BX1432,'Gebinde-Kategorie'!$A$5:$N$45,14,0)*10+Parameter!$M$23,Parameter!$M$24))</f>
        <v>238</v>
      </c>
      <c r="CC1432" s="48" t="n">
        <f aca="false">IF(AND(Parameter!$B$19="Ja",E1432&lt;&gt;"",ISNUMBER(MATCH(E1432,Parameter!$I$35:$I$52,0))),VLOOKUP(E1432,Parameter!$I$35:$J$52,2,0),IFERROR(VLOOKUP(D1432,Parameter!$A$35:$C$64,2,0),"Nein"))</f>
        <v>1</v>
      </c>
      <c r="CD1432" s="52" t="n">
        <f aca="false">IF(BZ1432=0,0,IF(N(S1432)&gt;0,S1432,IFERROR(VLOOKUP(D1432,Parameter!$A$35:$C$64,3,0)+0,0)))</f>
        <v>1</v>
      </c>
      <c r="CE1432" s="48" t="n">
        <f aca="false">IF(AA1432&lt;&gt;"",AA1432,Z1432)</f>
        <v>1</v>
      </c>
      <c r="CF1432" s="48" t="str">
        <f aca="false">IF(OR(CE1432=1,CE1432=2,CE1432=3),IF(Parameter!$E$27="Ja","LIFT",IF(CE1432=1,"L1","L23")),IF(CE1432="Aussen","Aussen","-"))</f>
        <v>LIFT</v>
      </c>
      <c r="CG1432" s="59" t="n">
        <f aca="false">IF(N(AB1432)&gt;0,AB1432,0)</f>
        <v>0</v>
      </c>
      <c r="CH1432" s="53" t="n">
        <f aca="false">IF(ISNUMBER(AE1432),1,0)</f>
        <v>0</v>
      </c>
      <c r="CI1432" s="50" t="n">
        <f aca="false">N(AE1432)</f>
        <v>0</v>
      </c>
      <c r="CJ1432" s="50" t="n">
        <f aca="false">N(M1432)+N(N1432)</f>
        <v>1</v>
      </c>
      <c r="CK1432" s="50" t="n">
        <f aca="false">N(M1432)</f>
        <v>0</v>
      </c>
      <c r="CL1432" s="50" t="n">
        <f aca="false">N(N1432)</f>
        <v>1</v>
      </c>
      <c r="CM1432" s="50" t="n">
        <f aca="false">ROUNDUP(H1432/BY1432,0)</f>
        <v>1</v>
      </c>
      <c r="CN1432" s="50" t="n">
        <f aca="false">ROUNDUP(CI1432/BY1432,0)</f>
        <v>0</v>
      </c>
      <c r="CO1432" s="53" t="n">
        <f aca="false">IF(BZ1432=1,0,IFERROR(VLOOKUP(BX1432,'Gebinde-Kategorie'!$A$5:$N$45,5,0)+0,0))</f>
        <v>0</v>
      </c>
      <c r="CP1432" s="53" t="n">
        <f aca="false">IFERROR(IF(OR(CE1432=1,CE1432=2,CE1432=3),N(INDEX(Parameter!$I$5:$I$7,CE1432)),0),0)</f>
        <v>0</v>
      </c>
      <c r="CQ1432" s="52" t="n">
        <f aca="false">IF(AND(Parameter!$B$21="Ja",ISNUMBER(W1432),N(X1432)&gt;0),IFERROR(N(INDEX(Parameter!$L$5:$L$7,W1432))*INDEX(Parameter!$E$5:$E$7,W1432)*X1432/SUMIFS($X$7:$X$1843,$W$7:$W$1843,W1432),0),0)</f>
        <v>0.240112994350283</v>
      </c>
    </row>
    <row r="1433" customFormat="false" ht="15" hidden="false" customHeight="false" outlineLevel="0" collapsed="false">
      <c r="A1433" s="48" t="s">
        <v>2519</v>
      </c>
      <c r="B1433" s="48" t="s">
        <v>2520</v>
      </c>
      <c r="C1433" s="48" t="s">
        <v>173</v>
      </c>
      <c r="D1433" s="48" t="s">
        <v>362</v>
      </c>
      <c r="E1433" s="48"/>
      <c r="F1433" s="48" t="s">
        <v>227</v>
      </c>
      <c r="G1433" s="49" t="n">
        <v>3532.08</v>
      </c>
      <c r="H1433" s="50" t="n">
        <f aca="false">MAX(0,IF(AND(Parameter!$B$21="Ja",ISNUMBER(Y1433)),Y1433,IF(Parameter!$B$20="Jahresanfang 2025 + Export",BR1433+BQ1433,BQ1433)))</f>
        <v>0</v>
      </c>
      <c r="I1433" s="50" t="n">
        <f aca="false">H1433*G1433</f>
        <v>0</v>
      </c>
      <c r="J1433" s="50" t="n">
        <f aca="false">BT1433*Parameter!$B$18</f>
        <v>0</v>
      </c>
      <c r="K1433" s="51" t="n">
        <v>1</v>
      </c>
      <c r="L1433" s="52" t="n">
        <v>0</v>
      </c>
      <c r="M1433" s="50" t="n">
        <v>0</v>
      </c>
      <c r="N1433" s="50" t="n">
        <v>1</v>
      </c>
      <c r="O1433" s="53" t="n">
        <v>90</v>
      </c>
      <c r="P1433" s="48" t="s">
        <v>177</v>
      </c>
      <c r="Q1433" s="50"/>
      <c r="R1433" s="53" t="n">
        <f aca="false">IF(BZ1433=1,0,IFERROR(VLOOKUP(BX1433,'Gebinde-Kategorie'!$A$5:$N$45,13,0)+0,0))</f>
        <v>0</v>
      </c>
      <c r="S1433" s="54"/>
      <c r="T1433" s="55"/>
      <c r="U1433" s="55"/>
      <c r="V1433" s="55"/>
      <c r="W1433" s="48"/>
      <c r="X1433" s="50"/>
      <c r="Y1433" s="50"/>
      <c r="Z1433" s="48" t="str">
        <f aca="false">IF(A1433="","",IF(AND(Parameter!$B$21="Ja",ISNUMBER(W1433)),W1433,IF(CC1433="2+3",IF(ISNUMBER(SEARCH("grosser Artikel",BU1433)),2,IFERROR(VLOOKUP(BX1433,Parameter!$F$35:$G$64,2,0),2)),IF(OR(CC1433="Nein",CC1433=""),"-",CC1433))))</f>
        <v>-</v>
      </c>
      <c r="AA1433" s="55"/>
      <c r="AB1433" s="56"/>
      <c r="AC1433" s="50" t="n">
        <f aca="false">AV1433</f>
        <v>1</v>
      </c>
      <c r="AD1433" s="50" t="n">
        <f aca="false">MAX(AV1433,H1433)</f>
        <v>1</v>
      </c>
      <c r="AE1433" s="57"/>
      <c r="AF1433" s="50" t="n">
        <f aca="false">IF(LEFT(Cockpit!$C$5,1)="A",H1433,IF(Parameter!$E$30="MAX-Bestand",IF(CH1433=1,CI1433,IF(LEFT(Cockpit!$C$5,1)="B",AL1433,MAX(AL1433,H1433))),ROUNDUP(AJ1433,0)))</f>
        <v>0</v>
      </c>
      <c r="AG1433" s="50" t="n">
        <f aca="false">IF(BZ1433=1,0,ROUNDUP(AF1433/BY1433,0))</f>
        <v>0</v>
      </c>
      <c r="AH1433" s="52" t="n">
        <f aca="false">IF(CQ1433&gt;0,CQ1433*MAX(1,AF1433/X1433),IF(BZ1433=1,IF(AF1433&lt;=0,0,CD1433*MAX(1,IF(H1433&gt;0,AF1433/H1433,1))),IF(R1433&gt;0,AG1433/R1433,0))/MAX(0.1,N(Parameter!$M$21)))</f>
        <v>0</v>
      </c>
      <c r="AI1433" s="50" t="n">
        <f aca="false">AH1433*CB1433</f>
        <v>0</v>
      </c>
      <c r="AJ1433" s="51" t="n">
        <f aca="false">IF(LEFT(Cockpit!$C$5,1)="A",H1433,IF(CH1433=1,(CK1433+CI1433)/2,IF(LEFT(Cockpit!$C$5,1)="B",(CK1433+AL1433)/2,MAX((CK1433+AL1433)/2,H1433))))</f>
        <v>0</v>
      </c>
      <c r="AK1433" s="50" t="n">
        <f aca="false">AJ1433*G1433</f>
        <v>0</v>
      </c>
      <c r="AL1433" s="50" t="n">
        <f aca="false">ROUNDUP(CK1433+MAX(CL1433,2*(J1433/IF(CG1433&gt;0,CG1433,MAX(0.1,N(Cockpit!$C$6)))-CK1433)),0)</f>
        <v>1</v>
      </c>
      <c r="AM1433" s="51" t="n">
        <f aca="false">IF(AI1433&gt;0,J1433/AI1433,-1)</f>
        <v>-1</v>
      </c>
      <c r="AN1433" s="51" t="str">
        <f aca="false">IF(AND(OR(CF1433="L1",CF1433="L23",CF1433="LIFT"),AI1433&gt;0),SUMIFS($AI$7:$AI$1843,$CF$7:$CF$1843,CF1433,$AM$7:$AM$1843,"&gt;"&amp;AM1433)+SUMIFS($AI$7:$AI$1843,$CF$7:$CF$1843,CF1433,$AM$7:$AM$1843,AM1433,$BW$7:$BW$1843,"&lt;="&amp;BW1433),"")</f>
        <v/>
      </c>
      <c r="AO1433" s="58" t="n">
        <f aca="false">IF(AN1433="",0,MAX(0,MIN(1,(IF(CF1433="L1",Parameter!$H$5,IF(CF1433="L23",Parameter!$H$6+Parameter!$H$7,Parameter!$H$5+Parameter!$H$6+Parameter!$H$7))-(AN1433-AI1433))/AI1433)))</f>
        <v>0</v>
      </c>
      <c r="AP1433" s="50" t="n">
        <f aca="false">IF(LEFT(Cockpit!$I$5,1)="A",H1433,IF(Parameter!$E$30="MAX-Bestand",IF(CH1433=1,CI1433,IF(LEFT(Cockpit!$I$5,1)="B",AV1433,MAX(AV1433,H1433))),ROUNDUP(AT1433,0)))</f>
        <v>1</v>
      </c>
      <c r="AQ1433" s="50" t="n">
        <f aca="false">IF(BZ1433=1,0,ROUNDUP(AP1433/BY1433,0))</f>
        <v>0</v>
      </c>
      <c r="AR1433" s="52" t="n">
        <f aca="false">IF(CQ1433&gt;0,CQ1433*MAX(1,AP1433/X1433),IF(BZ1433=1,IF(AP1433&lt;=0,0,CD1433*MAX(1,IF(H1433&gt;0,AP1433/H1433,1))),IF(R1433&gt;0,AQ1433/R1433,0))/MAX(0.1,N(Parameter!$M$21)))</f>
        <v>0.15</v>
      </c>
      <c r="AS1433" s="50" t="n">
        <f aca="false">AR1433*CB1433</f>
        <v>35.25</v>
      </c>
      <c r="AT1433" s="51" t="n">
        <f aca="false">IF(LEFT(Cockpit!$I$5,1)="A",H1433,IF(CH1433=1,(CK1433+CI1433)/2,IF(LEFT(Cockpit!$I$5,1)="B",(CK1433+AV1433)/2,MAX((CK1433+AV1433)/2,H1433))))</f>
        <v>0.5</v>
      </c>
      <c r="AU1433" s="50" t="n">
        <f aca="false">AT1433*G1433</f>
        <v>1766.04</v>
      </c>
      <c r="AV1433" s="50" t="n">
        <f aca="false">ROUNDUP(CK1433+MAX(CL1433,2*(J1433/IF(CG1433&gt;0,CG1433,MAX(0.1,N(Cockpit!$I$6)))-CK1433)),0)</f>
        <v>1</v>
      </c>
      <c r="AW1433" s="51" t="n">
        <f aca="false">IF(AS1433&gt;0,J1433/AS1433,-1)</f>
        <v>0</v>
      </c>
      <c r="AX1433" s="51" t="str">
        <f aca="false">IF(AND(OR(CF1433="L1",CF1433="L23",CF1433="LIFT"),AS1433&gt;0),SUMIFS($AS$7:$AS$1843,$CF$7:$CF$1843,CF1433,$AW$7:$AW$1843,"&gt;"&amp;AW1433)+SUMIFS($AS$7:$AS$1843,$CF$7:$CF$1843,CF1433,$AW$7:$AW$1843,AW1433,$BW$7:$BW$1843,"&lt;="&amp;BW1433),"")</f>
        <v/>
      </c>
      <c r="AY1433" s="58" t="n">
        <f aca="false">IF(AX1433="",0,MAX(0,MIN(1,(IF(CF1433="L1",Parameter!$H$5,IF(CF1433="L23",Parameter!$H$6+Parameter!$H$7,Parameter!$H$5+Parameter!$H$6+Parameter!$H$7))-(AX1433-AS1433))/AS1433)))</f>
        <v>0</v>
      </c>
      <c r="AZ1433" s="50" t="n">
        <f aca="false">IF(LEFT(Cockpit!$O$5,1)="A",H1433,IF(Parameter!$E$30="MAX-Bestand",IF(CH1433=1,CI1433,IF(LEFT(Cockpit!$O$5,1)="B",BF1433,MAX(BF1433,H1433))),ROUNDUP(BD1433,0)))</f>
        <v>1</v>
      </c>
      <c r="BA1433" s="50" t="n">
        <f aca="false">IF(BZ1433=1,0,ROUNDUP(AZ1433/BY1433,0))</f>
        <v>0</v>
      </c>
      <c r="BB1433" s="52" t="n">
        <f aca="false">IF(CQ1433&gt;0,CQ1433*MAX(1,AZ1433/X1433),IF(BZ1433=1,IF(AZ1433&lt;=0,0,CD1433*MAX(1,IF(H1433&gt;0,AZ1433/H1433,1))),IF(R1433&gt;0,BA1433/R1433,0))/MAX(0.1,N(Parameter!$M$21)))</f>
        <v>0.15</v>
      </c>
      <c r="BC1433" s="50" t="n">
        <f aca="false">BB1433*CB1433</f>
        <v>35.25</v>
      </c>
      <c r="BD1433" s="51" t="n">
        <f aca="false">IF(LEFT(Cockpit!$O$5,1)="A",H1433,IF(CH1433=1,(CK1433+CI1433)/2,IF(LEFT(Cockpit!$O$5,1)="B",(CK1433+BF1433)/2,MAX((CK1433+BF1433)/2,H1433))))</f>
        <v>0.5</v>
      </c>
      <c r="BE1433" s="50" t="n">
        <f aca="false">BD1433*G1433</f>
        <v>1766.04</v>
      </c>
      <c r="BF1433" s="50" t="n">
        <f aca="false">ROUNDUP(CK1433+MAX(CL1433,2*(J1433/IF(CG1433&gt;0,CG1433,MAX(0.1,N(Cockpit!$O$6)))-CK1433)),0)</f>
        <v>1</v>
      </c>
      <c r="BG1433" s="51" t="n">
        <f aca="false">IF(BC1433&gt;0,J1433/BC1433,-1)</f>
        <v>0</v>
      </c>
      <c r="BH1433" s="51" t="str">
        <f aca="false">IF(AND(OR(CF1433="L1",CF1433="L23",CF1433="LIFT"),BC1433&gt;0),SUMIFS($BC$7:$BC$1843,$CF$7:$CF$1843,CF1433,$BG$7:$BG$1843,"&gt;"&amp;BG1433)+SUMIFS($BC$7:$BC$1843,$CF$7:$CF$1843,CF1433,$BG$7:$BG$1843,BG1433,$BW$7:$BW$1843,"&lt;="&amp;BW1433),"")</f>
        <v/>
      </c>
      <c r="BI1433" s="58" t="n">
        <f aca="false">IF(BH1433="",0,MAX(0,MIN(1,(IF(CF1433="L1",Parameter!$H$5,IF(CF1433="L23",Parameter!$H$6+Parameter!$H$7,Parameter!$H$5+Parameter!$H$6+Parameter!$H$7))-(BH1433-BC1433))/BC1433)))</f>
        <v>0</v>
      </c>
      <c r="BJ1433" s="48" t="str">
        <f aca="false">IF(AI1433&lt;=0,"",IF(CF1433="Aussen","Aussenlager",IF(CF1433="-","Nicht im Lift",IF(AO1433&gt;=1,"Lift",IF(AO1433&lt;=0,"Aussenlager","teilweise")))))</f>
        <v/>
      </c>
      <c r="BK1433" s="48" t="str">
        <f aca="false">IF(AS1433&lt;=0,"",IF(CF1433="Aussen","Aussenlager",IF(CF1433="-","Nicht im Lift",IF(AY1433&gt;=1,"Lift",IF(AY1433&lt;=0,"Aussenlager","teilweise")))))</f>
        <v>Nicht im Lift</v>
      </c>
      <c r="BL1433" s="48" t="str">
        <f aca="false">IF(BC1433&lt;=0,"",IF(CF1433="Aussen","Aussenlager",IF(CF1433="-","Nicht im Lift",IF(BI1433&gt;=1,"Lift",IF(BI1433&lt;=0,"Aussenlager","teilweise")))))</f>
        <v>Nicht im Lift</v>
      </c>
      <c r="BM1433" s="48" t="str">
        <f aca="false">IF(A1433="","",IF(BV1433=1,"Neu; ","")&amp;IF(AND(BV1433=0,BQ1433&lt;0),"negativer Bestand (Export "&amp;BQ1433&amp;"); ","")&amp;IF(J1433&lt;=0,"Kein Verbrauch; ","")&amp;IF(CQ1433&gt;0,"Lift "&amp;W1433&amp;" lt. Liftbericht (Fach "&amp;X1433&amp;" Stk); ",IF(CA1433=1,"Gebinde geschätzt ("&amp;T1433&amp;"); ",IF(BZ1433=1,"Lose – Tablare geschätzt; ","")))&amp;IF(H1433&gt;AV1433,"Überbestand "&amp;ROUND(H1433-AV1433,0)&amp;" Stk / CHF "&amp;ROUND((H1433-AV1433)*G1433,0)&amp;"; ","")&amp;IF(AND(CH1433=1,CI1433&lt;CJ1433),"MAX &lt; MB+LG; ","")&amp;IF(AND(CP1433&gt;0,CO1433*10&gt;CP1433),"zu hoch für Tablar; ","")&amp;IF(AND(BV1433=0,OR(CH1433=1,AA1433&lt;&gt;"",U1433&lt;&gt;"",V1433&lt;&gt;"",AB1433&lt;&gt;"")),"manuell übersteuert; ","")&amp;IF(AND(BZ1433=0,R1433=0),"Gebinde unbekannt / Stellmass fehlt; ","")&amp;IF(AND(BZ1433=0,N(V1433)&lt;=0,N(Q1433)&lt;=0),"Menge pro Gebinde fehlt (Ist = 1 Gebinde); ","")&amp;BU1433)</f>
        <v>negativer Bestand (Export -2); Kein Verbrauch; Lose – Tablare geschätzt; </v>
      </c>
      <c r="BN1433" s="48"/>
      <c r="BO1433" s="48"/>
      <c r="BP1433" s="55"/>
      <c r="BQ1433" s="50" t="n">
        <v>-2</v>
      </c>
      <c r="BR1433" s="50" t="n">
        <v>2</v>
      </c>
      <c r="BS1433" s="49" t="n">
        <v>-7064.16</v>
      </c>
      <c r="BT1433" s="50" t="n">
        <v>0</v>
      </c>
      <c r="BU1433" s="48"/>
      <c r="BV1433" s="53" t="n">
        <v>0</v>
      </c>
      <c r="BW1433" s="53" t="n">
        <v>1433</v>
      </c>
      <c r="BX1433" s="48" t="str">
        <f aca="false">IF(U1433&lt;&gt;"",UPPER(TRIM(U1433)),IF(CA1433=1,UPPER(VLOOKUP(T1433,Parameter!$I$27:$K$29,2,0)),IF(P1433="","LOSE",P1433)))</f>
        <v>LOSE</v>
      </c>
      <c r="BY1433" s="50" t="n">
        <f aca="false">IF(BX1433="LOSE",1,IF(N(V1433)&gt;0,V1433,IF(CA1433=1,MAX(1,N(VLOOKUP(T1433,Parameter!$I$27:$K$29,3,0)),H1433,N(N1433)),IF(N(Q1433)&gt;0,Q1433,MAX(1,H1433)))))</f>
        <v>1</v>
      </c>
      <c r="BZ1433" s="53" t="n">
        <f aca="false">IF(BX1433="LOSE",1,0)</f>
        <v>1</v>
      </c>
      <c r="CA1433" s="53" t="n">
        <f aca="false">IF(AND(U1433="",OR(P1433="",P1433="LOSE"),T1433&lt;&gt;"",N(S1433)&lt;=0,ISNUMBER(MATCH(T1433,Parameter!$I$27:$I$29,0))),1,0)</f>
        <v>0</v>
      </c>
      <c r="CB1433" s="53" t="n">
        <f aca="false">IF(CQ1433&gt;0,INDEX(Parameter!$H$5:$H$7,W1433)/INDEX(Parameter!$E$5:$E$7,W1433),IF(AND(BZ1433=0,N(IFERROR(VLOOKUP(BX1433,'Gebinde-Kategorie'!$A$5:$N$45,14,0),0))&gt;0),VLOOKUP(BX1433,'Gebinde-Kategorie'!$A$5:$N$45,14,0)*10+Parameter!$M$23,Parameter!$M$24))</f>
        <v>235</v>
      </c>
      <c r="CC1433" s="48" t="str">
        <f aca="false">IF(AND(Parameter!$B$19="Ja",E1433&lt;&gt;"",ISNUMBER(MATCH(E1433,Parameter!$I$35:$I$52,0))),VLOOKUP(E1433,Parameter!$I$35:$J$52,2,0),IFERROR(VLOOKUP(D1433,Parameter!$A$35:$C$64,2,0),"Nein"))</f>
        <v>Nein</v>
      </c>
      <c r="CD1433" s="52" t="n">
        <f aca="false">IF(BZ1433=0,0,IF(N(S1433)&gt;0,S1433,IFERROR(VLOOKUP(D1433,Parameter!$A$35:$C$64,3,0)+0,0)))</f>
        <v>0.15</v>
      </c>
      <c r="CE1433" s="48" t="str">
        <f aca="false">IF(AA1433&lt;&gt;"",AA1433,Z1433)</f>
        <v>-</v>
      </c>
      <c r="CF1433" s="48" t="str">
        <f aca="false">IF(OR(CE1433=1,CE1433=2,CE1433=3),IF(Parameter!$E$27="Ja","LIFT",IF(CE1433=1,"L1","L23")),IF(CE1433="Aussen","Aussen","-"))</f>
        <v>-</v>
      </c>
      <c r="CG1433" s="59" t="n">
        <f aca="false">IF(N(AB1433)&gt;0,AB1433,0)</f>
        <v>0</v>
      </c>
      <c r="CH1433" s="53" t="n">
        <f aca="false">IF(ISNUMBER(AE1433),1,0)</f>
        <v>0</v>
      </c>
      <c r="CI1433" s="50" t="n">
        <f aca="false">N(AE1433)</f>
        <v>0</v>
      </c>
      <c r="CJ1433" s="50" t="n">
        <f aca="false">N(M1433)+N(N1433)</f>
        <v>1</v>
      </c>
      <c r="CK1433" s="50" t="n">
        <f aca="false">N(M1433)</f>
        <v>0</v>
      </c>
      <c r="CL1433" s="50" t="n">
        <f aca="false">N(N1433)</f>
        <v>1</v>
      </c>
      <c r="CM1433" s="50" t="n">
        <f aca="false">ROUNDUP(H1433/BY1433,0)</f>
        <v>0</v>
      </c>
      <c r="CN1433" s="50" t="n">
        <f aca="false">ROUNDUP(CI1433/BY1433,0)</f>
        <v>0</v>
      </c>
      <c r="CO1433" s="53" t="n">
        <f aca="false">IF(BZ1433=1,0,IFERROR(VLOOKUP(BX1433,'Gebinde-Kategorie'!$A$5:$N$45,5,0)+0,0))</f>
        <v>0</v>
      </c>
      <c r="CP1433" s="53" t="n">
        <f aca="false">IFERROR(IF(OR(CE1433=1,CE1433=2,CE1433=3),N(INDEX(Parameter!$I$5:$I$7,CE1433)),0),0)</f>
        <v>0</v>
      </c>
      <c r="CQ1433" s="52" t="n">
        <f aca="false">IF(AND(Parameter!$B$21="Ja",ISNUMBER(W1433),N(X1433)&gt;0),IFERROR(N(INDEX(Parameter!$L$5:$L$7,W1433))*INDEX(Parameter!$E$5:$E$7,W1433)*X1433/SUMIFS($X$7:$X$1843,$W$7:$W$1843,W1433),0),0)</f>
        <v>0</v>
      </c>
    </row>
    <row r="1434" customFormat="false" ht="15" hidden="false" customHeight="false" outlineLevel="0" collapsed="false">
      <c r="A1434" s="48" t="s">
        <v>2521</v>
      </c>
      <c r="B1434" s="48" t="s">
        <v>2159</v>
      </c>
      <c r="C1434" s="48" t="s">
        <v>465</v>
      </c>
      <c r="D1434" s="48" t="s">
        <v>182</v>
      </c>
      <c r="E1434" s="48" t="s">
        <v>182</v>
      </c>
      <c r="F1434" s="48" t="s">
        <v>227</v>
      </c>
      <c r="G1434" s="49" t="n">
        <v>358.12</v>
      </c>
      <c r="H1434" s="50" t="n">
        <f aca="false">MAX(0,IF(AND(Parameter!$B$21="Ja",ISNUMBER(Y1434)),Y1434,IF(Parameter!$B$20="Jahresanfang 2025 + Export",BR1434+BQ1434,BQ1434)))</f>
        <v>0</v>
      </c>
      <c r="I1434" s="50" t="n">
        <f aca="false">H1434*G1434</f>
        <v>0</v>
      </c>
      <c r="J1434" s="50" t="n">
        <f aca="false">BT1434*Parameter!$B$18</f>
        <v>0</v>
      </c>
      <c r="K1434" s="51" t="n">
        <v>20</v>
      </c>
      <c r="L1434" s="52" t="n">
        <v>0</v>
      </c>
      <c r="M1434" s="50" t="n">
        <v>0</v>
      </c>
      <c r="N1434" s="50" t="n">
        <v>1</v>
      </c>
      <c r="O1434" s="53" t="n">
        <v>77</v>
      </c>
      <c r="P1434" s="48" t="s">
        <v>177</v>
      </c>
      <c r="Q1434" s="50"/>
      <c r="R1434" s="53" t="n">
        <f aca="false">IF(BZ1434=1,0,IFERROR(VLOOKUP(BX1434,'Gebinde-Kategorie'!$A$5:$N$45,13,0)+0,0))</f>
        <v>12</v>
      </c>
      <c r="S1434" s="54"/>
      <c r="T1434" s="55" t="s">
        <v>188</v>
      </c>
      <c r="U1434" s="55"/>
      <c r="V1434" s="55"/>
      <c r="W1434" s="48"/>
      <c r="X1434" s="50"/>
      <c r="Y1434" s="50"/>
      <c r="Z1434" s="48" t="str">
        <f aca="false">IF(A1434="","",IF(AND(Parameter!$B$21="Ja",ISNUMBER(W1434)),W1434,IF(CC1434="2+3",IF(ISNUMBER(SEARCH("grosser Artikel",BU1434)),2,IFERROR(VLOOKUP(BX1434,Parameter!$F$35:$G$64,2,0),2)),IF(OR(CC1434="Nein",CC1434=""),"-",CC1434))))</f>
        <v>-</v>
      </c>
      <c r="AA1434" s="55"/>
      <c r="AB1434" s="56"/>
      <c r="AC1434" s="50" t="n">
        <f aca="false">AV1434</f>
        <v>1</v>
      </c>
      <c r="AD1434" s="50" t="n">
        <f aca="false">MAX(AV1434,H1434)</f>
        <v>1</v>
      </c>
      <c r="AE1434" s="57"/>
      <c r="AF1434" s="50" t="n">
        <f aca="false">IF(LEFT(Cockpit!$C$5,1)="A",H1434,IF(Parameter!$E$30="MAX-Bestand",IF(CH1434=1,CI1434,IF(LEFT(Cockpit!$C$5,1)="B",AL1434,MAX(AL1434,H1434))),ROUNDUP(AJ1434,0)))</f>
        <v>0</v>
      </c>
      <c r="AG1434" s="50" t="n">
        <f aca="false">IF(BZ1434=1,0,ROUNDUP(AF1434/BY1434,0))</f>
        <v>0</v>
      </c>
      <c r="AH1434" s="52" t="n">
        <f aca="false">IF(CQ1434&gt;0,CQ1434*MAX(1,AF1434/X1434),IF(BZ1434=1,IF(AF1434&lt;=0,0,CD1434*MAX(1,IF(H1434&gt;0,AF1434/H1434,1))),IF(R1434&gt;0,AG1434/R1434,0))/MAX(0.1,N(Parameter!$M$21)))</f>
        <v>0</v>
      </c>
      <c r="AI1434" s="50" t="n">
        <f aca="false">AH1434*CB1434</f>
        <v>0</v>
      </c>
      <c r="AJ1434" s="51" t="n">
        <f aca="false">IF(LEFT(Cockpit!$C$5,1)="A",H1434,IF(CH1434=1,(CK1434+CI1434)/2,IF(LEFT(Cockpit!$C$5,1)="B",(CK1434+AL1434)/2,MAX((CK1434+AL1434)/2,H1434))))</f>
        <v>0</v>
      </c>
      <c r="AK1434" s="50" t="n">
        <f aca="false">AJ1434*G1434</f>
        <v>0</v>
      </c>
      <c r="AL1434" s="50" t="n">
        <f aca="false">ROUNDUP(CK1434+MAX(CL1434,2*(J1434/IF(CG1434&gt;0,CG1434,MAX(0.1,N(Cockpit!$C$6)))-CK1434)),0)</f>
        <v>1</v>
      </c>
      <c r="AM1434" s="51" t="n">
        <f aca="false">IF(AI1434&gt;0,J1434/AI1434,-1)</f>
        <v>-1</v>
      </c>
      <c r="AN1434" s="51" t="str">
        <f aca="false">IF(AND(OR(CF1434="L1",CF1434="L23",CF1434="LIFT"),AI1434&gt;0),SUMIFS($AI$7:$AI$1843,$CF$7:$CF$1843,CF1434,$AM$7:$AM$1843,"&gt;"&amp;AM1434)+SUMIFS($AI$7:$AI$1843,$CF$7:$CF$1843,CF1434,$AM$7:$AM$1843,AM1434,$BW$7:$BW$1843,"&lt;="&amp;BW1434),"")</f>
        <v/>
      </c>
      <c r="AO1434" s="58" t="n">
        <f aca="false">IF(AN1434="",0,MAX(0,MIN(1,(IF(CF1434="L1",Parameter!$H$5,IF(CF1434="L23",Parameter!$H$6+Parameter!$H$7,Parameter!$H$5+Parameter!$H$6+Parameter!$H$7))-(AN1434-AI1434))/AI1434)))</f>
        <v>0</v>
      </c>
      <c r="AP1434" s="50" t="n">
        <f aca="false">IF(LEFT(Cockpit!$I$5,1)="A",H1434,IF(Parameter!$E$30="MAX-Bestand",IF(CH1434=1,CI1434,IF(LEFT(Cockpit!$I$5,1)="B",AV1434,MAX(AV1434,H1434))),ROUNDUP(AT1434,0)))</f>
        <v>1</v>
      </c>
      <c r="AQ1434" s="50" t="n">
        <f aca="false">IF(BZ1434=1,0,ROUNDUP(AP1434/BY1434,0))</f>
        <v>1</v>
      </c>
      <c r="AR1434" s="52" t="n">
        <f aca="false">IF(CQ1434&gt;0,CQ1434*MAX(1,AP1434/X1434),IF(BZ1434=1,IF(AP1434&lt;=0,0,CD1434*MAX(1,IF(H1434&gt;0,AP1434/H1434,1))),IF(R1434&gt;0,AQ1434/R1434,0))/MAX(0.1,N(Parameter!$M$21)))</f>
        <v>0.0833333333333333</v>
      </c>
      <c r="AS1434" s="50" t="n">
        <f aca="false">AR1434*CB1434</f>
        <v>12.0833333333333</v>
      </c>
      <c r="AT1434" s="51" t="n">
        <f aca="false">IF(LEFT(Cockpit!$I$5,1)="A",H1434,IF(CH1434=1,(CK1434+CI1434)/2,IF(LEFT(Cockpit!$I$5,1)="B",(CK1434+AV1434)/2,MAX((CK1434+AV1434)/2,H1434))))</f>
        <v>0.5</v>
      </c>
      <c r="AU1434" s="50" t="n">
        <f aca="false">AT1434*G1434</f>
        <v>179.06</v>
      </c>
      <c r="AV1434" s="50" t="n">
        <f aca="false">ROUNDUP(CK1434+MAX(CL1434,2*(J1434/IF(CG1434&gt;0,CG1434,MAX(0.1,N(Cockpit!$I$6)))-CK1434)),0)</f>
        <v>1</v>
      </c>
      <c r="AW1434" s="51" t="n">
        <f aca="false">IF(AS1434&gt;0,J1434/AS1434,-1)</f>
        <v>0</v>
      </c>
      <c r="AX1434" s="51" t="str">
        <f aca="false">IF(AND(OR(CF1434="L1",CF1434="L23",CF1434="LIFT"),AS1434&gt;0),SUMIFS($AS$7:$AS$1843,$CF$7:$CF$1843,CF1434,$AW$7:$AW$1843,"&gt;"&amp;AW1434)+SUMIFS($AS$7:$AS$1843,$CF$7:$CF$1843,CF1434,$AW$7:$AW$1843,AW1434,$BW$7:$BW$1843,"&lt;="&amp;BW1434),"")</f>
        <v/>
      </c>
      <c r="AY1434" s="58" t="n">
        <f aca="false">IF(AX1434="",0,MAX(0,MIN(1,(IF(CF1434="L1",Parameter!$H$5,IF(CF1434="L23",Parameter!$H$6+Parameter!$H$7,Parameter!$H$5+Parameter!$H$6+Parameter!$H$7))-(AX1434-AS1434))/AS1434)))</f>
        <v>0</v>
      </c>
      <c r="AZ1434" s="50" t="n">
        <f aca="false">IF(LEFT(Cockpit!$O$5,1)="A",H1434,IF(Parameter!$E$30="MAX-Bestand",IF(CH1434=1,CI1434,IF(LEFT(Cockpit!$O$5,1)="B",BF1434,MAX(BF1434,H1434))),ROUNDUP(BD1434,0)))</f>
        <v>1</v>
      </c>
      <c r="BA1434" s="50" t="n">
        <f aca="false">IF(BZ1434=1,0,ROUNDUP(AZ1434/BY1434,0))</f>
        <v>1</v>
      </c>
      <c r="BB1434" s="52" t="n">
        <f aca="false">IF(CQ1434&gt;0,CQ1434*MAX(1,AZ1434/X1434),IF(BZ1434=1,IF(AZ1434&lt;=0,0,CD1434*MAX(1,IF(H1434&gt;0,AZ1434/H1434,1))),IF(R1434&gt;0,BA1434/R1434,0))/MAX(0.1,N(Parameter!$M$21)))</f>
        <v>0.0833333333333333</v>
      </c>
      <c r="BC1434" s="50" t="n">
        <f aca="false">BB1434*CB1434</f>
        <v>12.0833333333333</v>
      </c>
      <c r="BD1434" s="51" t="n">
        <f aca="false">IF(LEFT(Cockpit!$O$5,1)="A",H1434,IF(CH1434=1,(CK1434+CI1434)/2,IF(LEFT(Cockpit!$O$5,1)="B",(CK1434+BF1434)/2,MAX((CK1434+BF1434)/2,H1434))))</f>
        <v>0.5</v>
      </c>
      <c r="BE1434" s="50" t="n">
        <f aca="false">BD1434*G1434</f>
        <v>179.06</v>
      </c>
      <c r="BF1434" s="50" t="n">
        <f aca="false">ROUNDUP(CK1434+MAX(CL1434,2*(J1434/IF(CG1434&gt;0,CG1434,MAX(0.1,N(Cockpit!$O$6)))-CK1434)),0)</f>
        <v>1</v>
      </c>
      <c r="BG1434" s="51" t="n">
        <f aca="false">IF(BC1434&gt;0,J1434/BC1434,-1)</f>
        <v>0</v>
      </c>
      <c r="BH1434" s="51" t="str">
        <f aca="false">IF(AND(OR(CF1434="L1",CF1434="L23",CF1434="LIFT"),BC1434&gt;0),SUMIFS($BC$7:$BC$1843,$CF$7:$CF$1843,CF1434,$BG$7:$BG$1843,"&gt;"&amp;BG1434)+SUMIFS($BC$7:$BC$1843,$CF$7:$CF$1843,CF1434,$BG$7:$BG$1843,BG1434,$BW$7:$BW$1843,"&lt;="&amp;BW1434),"")</f>
        <v/>
      </c>
      <c r="BI1434" s="58" t="n">
        <f aca="false">IF(BH1434="",0,MAX(0,MIN(1,(IF(CF1434="L1",Parameter!$H$5,IF(CF1434="L23",Parameter!$H$6+Parameter!$H$7,Parameter!$H$5+Parameter!$H$6+Parameter!$H$7))-(BH1434-BC1434))/BC1434)))</f>
        <v>0</v>
      </c>
      <c r="BJ1434" s="48" t="str">
        <f aca="false">IF(AI1434&lt;=0,"",IF(CF1434="Aussen","Aussenlager",IF(CF1434="-","Nicht im Lift",IF(AO1434&gt;=1,"Lift",IF(AO1434&lt;=0,"Aussenlager","teilweise")))))</f>
        <v/>
      </c>
      <c r="BK1434" s="48" t="str">
        <f aca="false">IF(AS1434&lt;=0,"",IF(CF1434="Aussen","Aussenlager",IF(CF1434="-","Nicht im Lift",IF(AY1434&gt;=1,"Lift",IF(AY1434&lt;=0,"Aussenlager","teilweise")))))</f>
        <v>Nicht im Lift</v>
      </c>
      <c r="BL1434" s="48" t="str">
        <f aca="false">IF(BC1434&lt;=0,"",IF(CF1434="Aussen","Aussenlager",IF(CF1434="-","Nicht im Lift",IF(BI1434&gt;=1,"Lift",IF(BI1434&lt;=0,"Aussenlager","teilweise")))))</f>
        <v>Nicht im Lift</v>
      </c>
      <c r="BM1434" s="48" t="str">
        <f aca="false">IF(A1434="","",IF(BV1434=1,"Neu; ","")&amp;IF(AND(BV1434=0,BQ1434&lt;0),"negativer Bestand (Export "&amp;BQ1434&amp;"); ","")&amp;IF(J1434&lt;=0,"Kein Verbrauch; ","")&amp;IF(CQ1434&gt;0,"Lift "&amp;W1434&amp;" lt. Liftbericht (Fach "&amp;X1434&amp;" Stk); ",IF(CA1434=1,"Gebinde geschätzt ("&amp;T1434&amp;"); ",IF(BZ1434=1,"Lose – Tablare geschätzt; ","")))&amp;IF(H1434&gt;AV1434,"Überbestand "&amp;ROUND(H1434-AV1434,0)&amp;" Stk / CHF "&amp;ROUND((H1434-AV1434)*G1434,0)&amp;"; ","")&amp;IF(AND(CH1434=1,CI1434&lt;CJ1434),"MAX &lt; MB+LG; ","")&amp;IF(AND(CP1434&gt;0,CO1434*10&gt;CP1434),"zu hoch für Tablar; ","")&amp;IF(AND(BV1434=0,OR(CH1434=1,AA1434&lt;&gt;"",U1434&lt;&gt;"",V1434&lt;&gt;"",AB1434&lt;&gt;"")),"manuell übersteuert; ","")&amp;IF(AND(BZ1434=0,R1434=0),"Gebinde unbekannt / Stellmass fehlt; ","")&amp;IF(AND(BZ1434=0,N(V1434)&lt;=0,N(Q1434)&lt;=0),"Menge pro Gebinde fehlt (Ist = 1 Gebinde); ","")&amp;BU1434)</f>
        <v>negativer Bestand (Export -20); Kein Verbrauch; Gebinde geschätzt (Mittel); Menge pro Gebinde fehlt (Ist = 1 Gebinde); </v>
      </c>
      <c r="BN1434" s="48"/>
      <c r="BO1434" s="48"/>
      <c r="BP1434" s="55"/>
      <c r="BQ1434" s="50" t="n">
        <v>-20</v>
      </c>
      <c r="BR1434" s="50" t="n">
        <v>20</v>
      </c>
      <c r="BS1434" s="49" t="n">
        <v>-7162.4</v>
      </c>
      <c r="BT1434" s="50" t="n">
        <v>0</v>
      </c>
      <c r="BU1434" s="48"/>
      <c r="BV1434" s="53" t="n">
        <v>0</v>
      </c>
      <c r="BW1434" s="53" t="n">
        <v>1434</v>
      </c>
      <c r="BX1434" s="48" t="str">
        <f aca="false">IF(U1434&lt;&gt;"",UPPER(TRIM(U1434)),IF(CA1434=1,UPPER(VLOOKUP(T1434,Parameter!$I$27:$K$29,2,0)),IF(P1434="","LOSE",P1434)))</f>
        <v>S61</v>
      </c>
      <c r="BY1434" s="50" t="n">
        <f aca="false">IF(BX1434="LOSE",1,IF(N(V1434)&gt;0,V1434,IF(CA1434=1,MAX(1,N(VLOOKUP(T1434,Parameter!$I$27:$K$29,3,0)),H1434,N(N1434)),IF(N(Q1434)&gt;0,Q1434,MAX(1,H1434)))))</f>
        <v>4</v>
      </c>
      <c r="BZ1434" s="53" t="n">
        <f aca="false">IF(BX1434="LOSE",1,0)</f>
        <v>0</v>
      </c>
      <c r="CA1434" s="53" t="n">
        <f aca="false">IF(AND(U1434="",OR(P1434="",P1434="LOSE"),T1434&lt;&gt;"",N(S1434)&lt;=0,ISNUMBER(MATCH(T1434,Parameter!$I$27:$I$29,0))),1,0)</f>
        <v>1</v>
      </c>
      <c r="CB1434" s="53" t="n">
        <f aca="false">IF(CQ1434&gt;0,INDEX(Parameter!$H$5:$H$7,W1434)/INDEX(Parameter!$E$5:$E$7,W1434),IF(AND(BZ1434=0,N(IFERROR(VLOOKUP(BX1434,'Gebinde-Kategorie'!$A$5:$N$45,14,0),0))&gt;0),VLOOKUP(BX1434,'Gebinde-Kategorie'!$A$5:$N$45,14,0)*10+Parameter!$M$23,Parameter!$M$24))</f>
        <v>145</v>
      </c>
      <c r="CC1434" s="48" t="str">
        <f aca="false">IF(AND(Parameter!$B$19="Ja",E1434&lt;&gt;"",ISNUMBER(MATCH(E1434,Parameter!$I$35:$I$52,0))),VLOOKUP(E1434,Parameter!$I$35:$J$52,2,0),IFERROR(VLOOKUP(D1434,Parameter!$A$35:$C$64,2,0),"Nein"))</f>
        <v>Nein</v>
      </c>
      <c r="CD1434" s="52" t="n">
        <f aca="false">IF(BZ1434=0,0,IF(N(S1434)&gt;0,S1434,IFERROR(VLOOKUP(D1434,Parameter!$A$35:$C$64,3,0)+0,0)))</f>
        <v>0</v>
      </c>
      <c r="CE1434" s="48" t="str">
        <f aca="false">IF(AA1434&lt;&gt;"",AA1434,Z1434)</f>
        <v>-</v>
      </c>
      <c r="CF1434" s="48" t="str">
        <f aca="false">IF(OR(CE1434=1,CE1434=2,CE1434=3),IF(Parameter!$E$27="Ja","LIFT",IF(CE1434=1,"L1","L23")),IF(CE1434="Aussen","Aussen","-"))</f>
        <v>-</v>
      </c>
      <c r="CG1434" s="59" t="n">
        <f aca="false">IF(N(AB1434)&gt;0,AB1434,0)</f>
        <v>0</v>
      </c>
      <c r="CH1434" s="53" t="n">
        <f aca="false">IF(ISNUMBER(AE1434),1,0)</f>
        <v>0</v>
      </c>
      <c r="CI1434" s="50" t="n">
        <f aca="false">N(AE1434)</f>
        <v>0</v>
      </c>
      <c r="CJ1434" s="50" t="n">
        <f aca="false">N(M1434)+N(N1434)</f>
        <v>1</v>
      </c>
      <c r="CK1434" s="50" t="n">
        <f aca="false">N(M1434)</f>
        <v>0</v>
      </c>
      <c r="CL1434" s="50" t="n">
        <f aca="false">N(N1434)</f>
        <v>1</v>
      </c>
      <c r="CM1434" s="50" t="n">
        <f aca="false">ROUNDUP(H1434/BY1434,0)</f>
        <v>0</v>
      </c>
      <c r="CN1434" s="50" t="n">
        <f aca="false">ROUNDUP(CI1434/BY1434,0)</f>
        <v>0</v>
      </c>
      <c r="CO1434" s="53" t="n">
        <f aca="false">IF(BZ1434=1,0,IFERROR(VLOOKUP(BX1434,'Gebinde-Kategorie'!$A$5:$N$45,5,0)+0,0))</f>
        <v>11</v>
      </c>
      <c r="CP1434" s="53" t="n">
        <f aca="false">IFERROR(IF(OR(CE1434=1,CE1434=2,CE1434=3),N(INDEX(Parameter!$I$5:$I$7,CE1434)),0),0)</f>
        <v>0</v>
      </c>
      <c r="CQ1434" s="52" t="n">
        <f aca="false">IF(AND(Parameter!$B$21="Ja",ISNUMBER(W1434),N(X1434)&gt;0),IFERROR(N(INDEX(Parameter!$L$5:$L$7,W1434))*INDEX(Parameter!$E$5:$E$7,W1434)*X1434/SUMIFS($X$7:$X$1843,$W$7:$W$1843,W1434),0),0)</f>
        <v>0</v>
      </c>
    </row>
    <row r="1435" customFormat="false" ht="15" hidden="false" customHeight="false" outlineLevel="0" collapsed="false">
      <c r="A1435" s="48" t="s">
        <v>2522</v>
      </c>
      <c r="B1435" s="48" t="s">
        <v>2523</v>
      </c>
      <c r="C1435" s="48" t="s">
        <v>465</v>
      </c>
      <c r="D1435" s="48" t="s">
        <v>182</v>
      </c>
      <c r="E1435" s="48"/>
      <c r="F1435" s="48" t="s">
        <v>227</v>
      </c>
      <c r="G1435" s="49" t="n">
        <v>700.22</v>
      </c>
      <c r="H1435" s="50" t="n">
        <f aca="false">MAX(0,IF(AND(Parameter!$B$21="Ja",ISNUMBER(Y1435)),Y1435,IF(Parameter!$B$20="Jahresanfang 2025 + Export",BR1435+BQ1435,BQ1435)))</f>
        <v>0</v>
      </c>
      <c r="I1435" s="50" t="n">
        <f aca="false">H1435*G1435</f>
        <v>0</v>
      </c>
      <c r="J1435" s="50" t="n">
        <f aca="false">BT1435*Parameter!$B$18</f>
        <v>21</v>
      </c>
      <c r="K1435" s="51" t="n">
        <v>12.5</v>
      </c>
      <c r="L1435" s="52" t="n">
        <v>1.68</v>
      </c>
      <c r="M1435" s="50" t="n">
        <v>0</v>
      </c>
      <c r="N1435" s="50" t="n">
        <v>10</v>
      </c>
      <c r="O1435" s="53" t="n">
        <v>63</v>
      </c>
      <c r="P1435" s="48" t="s">
        <v>177</v>
      </c>
      <c r="Q1435" s="50"/>
      <c r="R1435" s="53" t="n">
        <f aca="false">IF(BZ1435=1,0,IFERROR(VLOOKUP(BX1435,'Gebinde-Kategorie'!$A$5:$N$45,13,0)+0,0))</f>
        <v>12</v>
      </c>
      <c r="S1435" s="54"/>
      <c r="T1435" s="55" t="s">
        <v>188</v>
      </c>
      <c r="U1435" s="55"/>
      <c r="V1435" s="55"/>
      <c r="W1435" s="48"/>
      <c r="X1435" s="50"/>
      <c r="Y1435" s="50"/>
      <c r="Z1435" s="48" t="n">
        <f aca="false">IF(A1435="","",IF(AND(Parameter!$B$21="Ja",ISNUMBER(W1435)),W1435,IF(CC1435="2+3",IF(ISNUMBER(SEARCH("grosser Artikel",BU1435)),2,IFERROR(VLOOKUP(BX1435,Parameter!$F$35:$G$64,2,0),2)),IF(OR(CC1435="Nein",CC1435=""),"-",CC1435))))</f>
        <v>2</v>
      </c>
      <c r="AA1435" s="55"/>
      <c r="AB1435" s="56"/>
      <c r="AC1435" s="50" t="n">
        <f aca="false">AV1435</f>
        <v>14</v>
      </c>
      <c r="AD1435" s="50" t="n">
        <f aca="false">MAX(AV1435,H1435)</f>
        <v>14</v>
      </c>
      <c r="AE1435" s="57"/>
      <c r="AF1435" s="50" t="n">
        <f aca="false">IF(LEFT(Cockpit!$C$5,1)="A",H1435,IF(Parameter!$E$30="MAX-Bestand",IF(CH1435=1,CI1435,IF(LEFT(Cockpit!$C$5,1)="B",AL1435,MAX(AL1435,H1435))),ROUNDUP(AJ1435,0)))</f>
        <v>0</v>
      </c>
      <c r="AG1435" s="50" t="n">
        <f aca="false">IF(BZ1435=1,0,ROUNDUP(AF1435/BY1435,0))</f>
        <v>0</v>
      </c>
      <c r="AH1435" s="52" t="n">
        <f aca="false">IF(CQ1435&gt;0,CQ1435*MAX(1,AF1435/X1435),IF(BZ1435=1,IF(AF1435&lt;=0,0,CD1435*MAX(1,IF(H1435&gt;0,AF1435/H1435,1))),IF(R1435&gt;0,AG1435/R1435,0))/MAX(0.1,N(Parameter!$M$21)))</f>
        <v>0</v>
      </c>
      <c r="AI1435" s="50" t="n">
        <f aca="false">AH1435*CB1435</f>
        <v>0</v>
      </c>
      <c r="AJ1435" s="51" t="n">
        <f aca="false">IF(LEFT(Cockpit!$C$5,1)="A",H1435,IF(CH1435=1,(CK1435+CI1435)/2,IF(LEFT(Cockpit!$C$5,1)="B",(CK1435+AL1435)/2,MAX((CK1435+AL1435)/2,H1435))))</f>
        <v>0</v>
      </c>
      <c r="AK1435" s="50" t="n">
        <f aca="false">AJ1435*G1435</f>
        <v>0</v>
      </c>
      <c r="AL1435" s="50" t="n">
        <f aca="false">ROUNDUP(CK1435+MAX(CL1435,2*(J1435/IF(CG1435&gt;0,CG1435,MAX(0.1,N(Cockpit!$C$6)))-CK1435)),0)</f>
        <v>14</v>
      </c>
      <c r="AM1435" s="51" t="n">
        <f aca="false">IF(AI1435&gt;0,J1435/AI1435,-1)</f>
        <v>-1</v>
      </c>
      <c r="AN1435" s="51" t="str">
        <f aca="false">IF(AND(OR(CF1435="L1",CF1435="L23",CF1435="LIFT"),AI1435&gt;0),SUMIFS($AI$7:$AI$1843,$CF$7:$CF$1843,CF1435,$AM$7:$AM$1843,"&gt;"&amp;AM1435)+SUMIFS($AI$7:$AI$1843,$CF$7:$CF$1843,CF1435,$AM$7:$AM$1843,AM1435,$BW$7:$BW$1843,"&lt;="&amp;BW1435),"")</f>
        <v/>
      </c>
      <c r="AO1435" s="58" t="n">
        <f aca="false">IF(AN1435="",0,MAX(0,MIN(1,(IF(CF1435="L1",Parameter!$H$5,IF(CF1435="L23",Parameter!$H$6+Parameter!$H$7,Parameter!$H$5+Parameter!$H$6+Parameter!$H$7))-(AN1435-AI1435))/AI1435)))</f>
        <v>0</v>
      </c>
      <c r="AP1435" s="50" t="n">
        <f aca="false">IF(LEFT(Cockpit!$I$5,1)="A",H1435,IF(Parameter!$E$30="MAX-Bestand",IF(CH1435=1,CI1435,IF(LEFT(Cockpit!$I$5,1)="B",AV1435,MAX(AV1435,H1435))),ROUNDUP(AT1435,0)))</f>
        <v>7</v>
      </c>
      <c r="AQ1435" s="50" t="n">
        <f aca="false">IF(BZ1435=1,0,ROUNDUP(AP1435/BY1435,0))</f>
        <v>1</v>
      </c>
      <c r="AR1435" s="52" t="n">
        <f aca="false">IF(CQ1435&gt;0,CQ1435*MAX(1,AP1435/X1435),IF(BZ1435=1,IF(AP1435&lt;=0,0,CD1435*MAX(1,IF(H1435&gt;0,AP1435/H1435,1))),IF(R1435&gt;0,AQ1435/R1435,0))/MAX(0.1,N(Parameter!$M$21)))</f>
        <v>0.0833333333333333</v>
      </c>
      <c r="AS1435" s="50" t="n">
        <f aca="false">AR1435*CB1435</f>
        <v>12.0833333333333</v>
      </c>
      <c r="AT1435" s="51" t="n">
        <f aca="false">IF(LEFT(Cockpit!$I$5,1)="A",H1435,IF(CH1435=1,(CK1435+CI1435)/2,IF(LEFT(Cockpit!$I$5,1)="B",(CK1435+AV1435)/2,MAX((CK1435+AV1435)/2,H1435))))</f>
        <v>7</v>
      </c>
      <c r="AU1435" s="50" t="n">
        <f aca="false">AT1435*G1435</f>
        <v>4901.54</v>
      </c>
      <c r="AV1435" s="50" t="n">
        <f aca="false">ROUNDUP(CK1435+MAX(CL1435,2*(J1435/IF(CG1435&gt;0,CG1435,MAX(0.1,N(Cockpit!$I$6)))-CK1435)),0)</f>
        <v>14</v>
      </c>
      <c r="AW1435" s="51" t="n">
        <f aca="false">IF(AS1435&gt;0,J1435/AS1435,-1)</f>
        <v>1.73793103448276</v>
      </c>
      <c r="AX1435" s="51" t="n">
        <f aca="false">IF(AND(OR(CF1435="L1",CF1435="L23",CF1435="LIFT"),AS1435&gt;0),SUMIFS($AS$7:$AS$1843,$CF$7:$CF$1843,CF1435,$AW$7:$AW$1843,"&gt;"&amp;AW1435)+SUMIFS($AS$7:$AS$1843,$CF$7:$CF$1843,CF1435,$AW$7:$AW$1843,AW1435,$BW$7:$BW$1843,"&lt;="&amp;BW1435),"")</f>
        <v>7476.83791208791</v>
      </c>
      <c r="AY1435" s="58" t="n">
        <f aca="false">IF(AX1435="",0,MAX(0,MIN(1,(IF(CF1435="L1",Parameter!$H$5,IF(CF1435="L23",Parameter!$H$6+Parameter!$H$7,Parameter!$H$5+Parameter!$H$6+Parameter!$H$7))-(AX1435-AS1435))/AS1435)))</f>
        <v>1</v>
      </c>
      <c r="AZ1435" s="50" t="n">
        <f aca="false">IF(LEFT(Cockpit!$O$5,1)="A",H1435,IF(Parameter!$E$30="MAX-Bestand",IF(CH1435=1,CI1435,IF(LEFT(Cockpit!$O$5,1)="B",BF1435,MAX(BF1435,H1435))),ROUNDUP(BD1435,0)))</f>
        <v>6</v>
      </c>
      <c r="BA1435" s="50" t="n">
        <f aca="false">IF(BZ1435=1,0,ROUNDUP(AZ1435/BY1435,0))</f>
        <v>1</v>
      </c>
      <c r="BB1435" s="52" t="n">
        <f aca="false">IF(CQ1435&gt;0,CQ1435*MAX(1,AZ1435/X1435),IF(BZ1435=1,IF(AZ1435&lt;=0,0,CD1435*MAX(1,IF(H1435&gt;0,AZ1435/H1435,1))),IF(R1435&gt;0,BA1435/R1435,0))/MAX(0.1,N(Parameter!$M$21)))</f>
        <v>0.0833333333333333</v>
      </c>
      <c r="BC1435" s="50" t="n">
        <f aca="false">BB1435*CB1435</f>
        <v>12.0833333333333</v>
      </c>
      <c r="BD1435" s="51" t="n">
        <f aca="false">IF(LEFT(Cockpit!$O$5,1)="A",H1435,IF(CH1435=1,(CK1435+CI1435)/2,IF(LEFT(Cockpit!$O$5,1)="B",(CK1435+BF1435)/2,MAX((CK1435+BF1435)/2,H1435))))</f>
        <v>5.5</v>
      </c>
      <c r="BE1435" s="50" t="n">
        <f aca="false">BD1435*G1435</f>
        <v>3851.21</v>
      </c>
      <c r="BF1435" s="50" t="n">
        <f aca="false">ROUNDUP(CK1435+MAX(CL1435,2*(J1435/IF(CG1435&gt;0,CG1435,MAX(0.1,N(Cockpit!$O$6)))-CK1435)),0)</f>
        <v>11</v>
      </c>
      <c r="BG1435" s="51" t="n">
        <f aca="false">IF(BC1435&gt;0,J1435/BC1435,-1)</f>
        <v>1.73793103448276</v>
      </c>
      <c r="BH1435" s="51" t="n">
        <f aca="false">IF(AND(OR(CF1435="L1",CF1435="L23",CF1435="LIFT"),BC1435&gt;0),SUMIFS($BC$7:$BC$1843,$CF$7:$CF$1843,CF1435,$BG$7:$BG$1843,"&gt;"&amp;BG1435)+SUMIFS($BC$7:$BC$1843,$CF$7:$CF$1843,CF1435,$BG$7:$BG$1843,BG1435,$BW$7:$BW$1843,"&lt;="&amp;BW1435),"")</f>
        <v>6282.2586996337</v>
      </c>
      <c r="BI1435" s="58" t="n">
        <f aca="false">IF(BH1435="",0,MAX(0,MIN(1,(IF(CF1435="L1",Parameter!$H$5,IF(CF1435="L23",Parameter!$H$6+Parameter!$H$7,Parameter!$H$5+Parameter!$H$6+Parameter!$H$7))-(BH1435-BC1435))/BC1435)))</f>
        <v>1</v>
      </c>
      <c r="BJ1435" s="48" t="str">
        <f aca="false">IF(AI1435&lt;=0,"",IF(CF1435="Aussen","Aussenlager",IF(CF1435="-","Nicht im Lift",IF(AO1435&gt;=1,"Lift",IF(AO1435&lt;=0,"Aussenlager","teilweise")))))</f>
        <v/>
      </c>
      <c r="BK1435" s="48" t="str">
        <f aca="false">IF(AS1435&lt;=0,"",IF(CF1435="Aussen","Aussenlager",IF(CF1435="-","Nicht im Lift",IF(AY1435&gt;=1,"Lift",IF(AY1435&lt;=0,"Aussenlager","teilweise")))))</f>
        <v>Lift</v>
      </c>
      <c r="BL1435" s="48" t="str">
        <f aca="false">IF(BC1435&lt;=0,"",IF(CF1435="Aussen","Aussenlager",IF(CF1435="-","Nicht im Lift",IF(BI1435&gt;=1,"Lift",IF(BI1435&lt;=0,"Aussenlager","teilweise")))))</f>
        <v>Lift</v>
      </c>
      <c r="BM1435" s="48" t="str">
        <f aca="false">IF(A1435="","",IF(BV1435=1,"Neu; ","")&amp;IF(AND(BV1435=0,BQ1435&lt;0),"negativer Bestand (Export "&amp;BQ1435&amp;"); ","")&amp;IF(J1435&lt;=0,"Kein Verbrauch; ","")&amp;IF(CQ1435&gt;0,"Lift "&amp;W1435&amp;" lt. Liftbericht (Fach "&amp;X1435&amp;" Stk); ",IF(CA1435=1,"Gebinde geschätzt ("&amp;T1435&amp;"); ",IF(BZ1435=1,"Lose – Tablare geschätzt; ","")))&amp;IF(H1435&gt;AV1435,"Überbestand "&amp;ROUND(H1435-AV1435,0)&amp;" Stk / CHF "&amp;ROUND((H1435-AV1435)*G1435,0)&amp;"; ","")&amp;IF(AND(CH1435=1,CI1435&lt;CJ1435),"MAX &lt; MB+LG; ","")&amp;IF(AND(CP1435&gt;0,CO1435*10&gt;CP1435),"zu hoch für Tablar; ","")&amp;IF(AND(BV1435=0,OR(CH1435=1,AA1435&lt;&gt;"",U1435&lt;&gt;"",V1435&lt;&gt;"",AB1435&lt;&gt;"")),"manuell übersteuert; ","")&amp;IF(AND(BZ1435=0,R1435=0),"Gebinde unbekannt / Stellmass fehlt; ","")&amp;IF(AND(BZ1435=0,N(V1435)&lt;=0,N(Q1435)&lt;=0),"Menge pro Gebinde fehlt (Ist = 1 Gebinde); ","")&amp;BU1435)</f>
        <v>negativer Bestand (Export -11); Gebinde geschätzt (Mittel); Menge pro Gebinde fehlt (Ist = 1 Gebinde); </v>
      </c>
      <c r="BN1435" s="48"/>
      <c r="BO1435" s="48"/>
      <c r="BP1435" s="55"/>
      <c r="BQ1435" s="50" t="n">
        <v>-11</v>
      </c>
      <c r="BR1435" s="50" t="n">
        <v>11</v>
      </c>
      <c r="BS1435" s="49" t="n">
        <v>-7934.19</v>
      </c>
      <c r="BT1435" s="50" t="n">
        <v>21</v>
      </c>
      <c r="BU1435" s="48"/>
      <c r="BV1435" s="53" t="n">
        <v>0</v>
      </c>
      <c r="BW1435" s="53" t="n">
        <v>1435</v>
      </c>
      <c r="BX1435" s="48" t="str">
        <f aca="false">IF(U1435&lt;&gt;"",UPPER(TRIM(U1435)),IF(CA1435=1,UPPER(VLOOKUP(T1435,Parameter!$I$27:$K$29,2,0)),IF(P1435="","LOSE",P1435)))</f>
        <v>S61</v>
      </c>
      <c r="BY1435" s="50" t="n">
        <f aca="false">IF(BX1435="LOSE",1,IF(N(V1435)&gt;0,V1435,IF(CA1435=1,MAX(1,N(VLOOKUP(T1435,Parameter!$I$27:$K$29,3,0)),H1435,N(N1435)),IF(N(Q1435)&gt;0,Q1435,MAX(1,H1435)))))</f>
        <v>10</v>
      </c>
      <c r="BZ1435" s="53" t="n">
        <f aca="false">IF(BX1435="LOSE",1,0)</f>
        <v>0</v>
      </c>
      <c r="CA1435" s="53" t="n">
        <f aca="false">IF(AND(U1435="",OR(P1435="",P1435="LOSE"),T1435&lt;&gt;"",N(S1435)&lt;=0,ISNUMBER(MATCH(T1435,Parameter!$I$27:$I$29,0))),1,0)</f>
        <v>1</v>
      </c>
      <c r="CB1435" s="53" t="n">
        <f aca="false">IF(CQ1435&gt;0,INDEX(Parameter!$H$5:$H$7,W1435)/INDEX(Parameter!$E$5:$E$7,W1435),IF(AND(BZ1435=0,N(IFERROR(VLOOKUP(BX1435,'Gebinde-Kategorie'!$A$5:$N$45,14,0),0))&gt;0),VLOOKUP(BX1435,'Gebinde-Kategorie'!$A$5:$N$45,14,0)*10+Parameter!$M$23,Parameter!$M$24))</f>
        <v>145</v>
      </c>
      <c r="CC1435" s="48" t="str">
        <f aca="false">IF(AND(Parameter!$B$19="Ja",E1435&lt;&gt;"",ISNUMBER(MATCH(E1435,Parameter!$I$35:$I$52,0))),VLOOKUP(E1435,Parameter!$I$35:$J$52,2,0),IFERROR(VLOOKUP(D1435,Parameter!$A$35:$C$64,2,0),"Nein"))</f>
        <v>2+3</v>
      </c>
      <c r="CD1435" s="52" t="n">
        <f aca="false">IF(BZ1435=0,0,IF(N(S1435)&gt;0,S1435,IFERROR(VLOOKUP(D1435,Parameter!$A$35:$C$64,3,0)+0,0)))</f>
        <v>0</v>
      </c>
      <c r="CE1435" s="48" t="n">
        <f aca="false">IF(AA1435&lt;&gt;"",AA1435,Z1435)</f>
        <v>2</v>
      </c>
      <c r="CF1435" s="48" t="str">
        <f aca="false">IF(OR(CE1435=1,CE1435=2,CE1435=3),IF(Parameter!$E$27="Ja","LIFT",IF(CE1435=1,"L1","L23")),IF(CE1435="Aussen","Aussen","-"))</f>
        <v>LIFT</v>
      </c>
      <c r="CG1435" s="59" t="n">
        <f aca="false">IF(N(AB1435)&gt;0,AB1435,0)</f>
        <v>0</v>
      </c>
      <c r="CH1435" s="53" t="n">
        <f aca="false">IF(ISNUMBER(AE1435),1,0)</f>
        <v>0</v>
      </c>
      <c r="CI1435" s="50" t="n">
        <f aca="false">N(AE1435)</f>
        <v>0</v>
      </c>
      <c r="CJ1435" s="50" t="n">
        <f aca="false">N(M1435)+N(N1435)</f>
        <v>10</v>
      </c>
      <c r="CK1435" s="50" t="n">
        <f aca="false">N(M1435)</f>
        <v>0</v>
      </c>
      <c r="CL1435" s="50" t="n">
        <f aca="false">N(N1435)</f>
        <v>10</v>
      </c>
      <c r="CM1435" s="50" t="n">
        <f aca="false">ROUNDUP(H1435/BY1435,0)</f>
        <v>0</v>
      </c>
      <c r="CN1435" s="50" t="n">
        <f aca="false">ROUNDUP(CI1435/BY1435,0)</f>
        <v>0</v>
      </c>
      <c r="CO1435" s="53" t="n">
        <f aca="false">IF(BZ1435=1,0,IFERROR(VLOOKUP(BX1435,'Gebinde-Kategorie'!$A$5:$N$45,5,0)+0,0))</f>
        <v>11</v>
      </c>
      <c r="CP1435" s="53" t="n">
        <f aca="false">IFERROR(IF(OR(CE1435=1,CE1435=2,CE1435=3),N(INDEX(Parameter!$I$5:$I$7,CE1435)),0),0)</f>
        <v>0</v>
      </c>
      <c r="CQ1435" s="52" t="n">
        <f aca="false">IF(AND(Parameter!$B$21="Ja",ISNUMBER(W1435),N(X1435)&gt;0),IFERROR(N(INDEX(Parameter!$L$5:$L$7,W1435))*INDEX(Parameter!$E$5:$E$7,W1435)*X1435/SUMIFS($X$7:$X$1843,$W$7:$W$1843,W1435),0),0)</f>
        <v>0</v>
      </c>
    </row>
    <row r="1436" customFormat="false" ht="15" hidden="false" customHeight="false" outlineLevel="0" collapsed="false">
      <c r="A1436" s="48" t="s">
        <v>2524</v>
      </c>
      <c r="B1436" s="48" t="s">
        <v>2525</v>
      </c>
      <c r="C1436" s="48" t="s">
        <v>173</v>
      </c>
      <c r="D1436" s="48" t="s">
        <v>182</v>
      </c>
      <c r="E1436" s="48"/>
      <c r="F1436" s="48" t="s">
        <v>227</v>
      </c>
      <c r="G1436" s="49" t="n">
        <v>338.86</v>
      </c>
      <c r="H1436" s="50" t="n">
        <f aca="false">MAX(0,IF(AND(Parameter!$B$21="Ja",ISNUMBER(Y1436)),Y1436,IF(Parameter!$B$20="Jahresanfang 2025 + Export",BR1436+BQ1436,BQ1436)))</f>
        <v>15</v>
      </c>
      <c r="I1436" s="50" t="n">
        <f aca="false">H1436*G1436</f>
        <v>5082.9</v>
      </c>
      <c r="J1436" s="50" t="n">
        <f aca="false">BT1436*Parameter!$B$18</f>
        <v>36</v>
      </c>
      <c r="K1436" s="51" t="n">
        <v>27</v>
      </c>
      <c r="L1436" s="52" t="n">
        <v>1.33333333333333</v>
      </c>
      <c r="M1436" s="50" t="n">
        <v>2</v>
      </c>
      <c r="N1436" s="50" t="n">
        <v>15</v>
      </c>
      <c r="O1436" s="53" t="n">
        <v>21</v>
      </c>
      <c r="P1436" s="48" t="s">
        <v>183</v>
      </c>
      <c r="Q1436" s="50" t="n">
        <v>18</v>
      </c>
      <c r="R1436" s="53" t="n">
        <f aca="false">IF(BZ1436=1,0,IFERROR(VLOOKUP(BX1436,'Gebinde-Kategorie'!$A$5:$N$45,13,0)+0,0))</f>
        <v>6</v>
      </c>
      <c r="S1436" s="54"/>
      <c r="T1436" s="55"/>
      <c r="U1436" s="55"/>
      <c r="V1436" s="55"/>
      <c r="W1436" s="48"/>
      <c r="X1436" s="50"/>
      <c r="Y1436" s="50"/>
      <c r="Z1436" s="48" t="n">
        <f aca="false">IF(A1436="","",IF(AND(Parameter!$B$21="Ja",ISNUMBER(W1436)),W1436,IF(CC1436="2+3",IF(ISNUMBER(SEARCH("grosser Artikel",BU1436)),2,IFERROR(VLOOKUP(BX1436,Parameter!$F$35:$G$64,2,0),2)),IF(OR(CC1436="Nein",CC1436=""),"-",CC1436))))</f>
        <v>2</v>
      </c>
      <c r="AA1436" s="55"/>
      <c r="AB1436" s="56"/>
      <c r="AC1436" s="50" t="n">
        <f aca="false">AV1436</f>
        <v>22</v>
      </c>
      <c r="AD1436" s="50" t="n">
        <f aca="false">MAX(AV1436,H1436)</f>
        <v>22</v>
      </c>
      <c r="AE1436" s="57"/>
      <c r="AF1436" s="50" t="n">
        <f aca="false">IF(LEFT(Cockpit!$C$5,1)="A",H1436,IF(Parameter!$E$30="MAX-Bestand",IF(CH1436=1,CI1436,IF(LEFT(Cockpit!$C$5,1)="B",AL1436,MAX(AL1436,H1436))),ROUNDUP(AJ1436,0)))</f>
        <v>15</v>
      </c>
      <c r="AG1436" s="50" t="n">
        <f aca="false">IF(BZ1436=1,0,ROUNDUP(AF1436/BY1436,0))</f>
        <v>1</v>
      </c>
      <c r="AH1436" s="52" t="n">
        <f aca="false">IF(CQ1436&gt;0,CQ1436*MAX(1,AF1436/X1436),IF(BZ1436=1,IF(AF1436&lt;=0,0,CD1436*MAX(1,IF(H1436&gt;0,AF1436/H1436,1))),IF(R1436&gt;0,AG1436/R1436,0))/MAX(0.1,N(Parameter!$M$21)))</f>
        <v>0.166666666666667</v>
      </c>
      <c r="AI1436" s="50" t="n">
        <f aca="false">AH1436*CB1436</f>
        <v>39.1666666666667</v>
      </c>
      <c r="AJ1436" s="51" t="n">
        <f aca="false">IF(LEFT(Cockpit!$C$5,1)="A",H1436,IF(CH1436=1,(CK1436+CI1436)/2,IF(LEFT(Cockpit!$C$5,1)="B",(CK1436+AL1436)/2,MAX((CK1436+AL1436)/2,H1436))))</f>
        <v>15</v>
      </c>
      <c r="AK1436" s="50" t="n">
        <f aca="false">AJ1436*G1436</f>
        <v>5082.9</v>
      </c>
      <c r="AL1436" s="50" t="n">
        <f aca="false">ROUNDUP(CK1436+MAX(CL1436,2*(J1436/IF(CG1436&gt;0,CG1436,MAX(0.1,N(Cockpit!$C$6)))-CK1436)),0)</f>
        <v>22</v>
      </c>
      <c r="AM1436" s="51" t="n">
        <f aca="false">IF(AI1436&gt;0,J1436/AI1436,-1)</f>
        <v>0.919148936170213</v>
      </c>
      <c r="AN1436" s="51" t="n">
        <f aca="false">IF(AND(OR(CF1436="L1",CF1436="L23",CF1436="LIFT"),AI1436&gt;0),SUMIFS($AI$7:$AI$1843,$CF$7:$CF$1843,CF1436,$AM$7:$AM$1843,"&gt;"&amp;AM1436)+SUMIFS($AI$7:$AI$1843,$CF$7:$CF$1843,CF1436,$AM$7:$AM$1843,AM1436,$BW$7:$BW$1843,"&lt;="&amp;BW1436),"")</f>
        <v>7394.70558608059</v>
      </c>
      <c r="AO1436" s="58" t="n">
        <f aca="false">IF(AN1436="",0,MAX(0,MIN(1,(IF(CF1436="L1",Parameter!$H$5,IF(CF1436="L23",Parameter!$H$6+Parameter!$H$7,Parameter!$H$5+Parameter!$H$6+Parameter!$H$7))-(AN1436-AI1436))/AI1436)))</f>
        <v>1</v>
      </c>
      <c r="AP1436" s="50" t="n">
        <f aca="false">IF(LEFT(Cockpit!$I$5,1)="A",H1436,IF(Parameter!$E$30="MAX-Bestand",IF(CH1436=1,CI1436,IF(LEFT(Cockpit!$I$5,1)="B",AV1436,MAX(AV1436,H1436))),ROUNDUP(AT1436,0)))</f>
        <v>15</v>
      </c>
      <c r="AQ1436" s="50" t="n">
        <f aca="false">IF(BZ1436=1,0,ROUNDUP(AP1436/BY1436,0))</f>
        <v>1</v>
      </c>
      <c r="AR1436" s="52" t="n">
        <f aca="false">IF(CQ1436&gt;0,CQ1436*MAX(1,AP1436/X1436),IF(BZ1436=1,IF(AP1436&lt;=0,0,CD1436*MAX(1,IF(H1436&gt;0,AP1436/H1436,1))),IF(R1436&gt;0,AQ1436/R1436,0))/MAX(0.1,N(Parameter!$M$21)))</f>
        <v>0.166666666666667</v>
      </c>
      <c r="AS1436" s="50" t="n">
        <f aca="false">AR1436*CB1436</f>
        <v>39.1666666666667</v>
      </c>
      <c r="AT1436" s="51" t="n">
        <f aca="false">IF(LEFT(Cockpit!$I$5,1)="A",H1436,IF(CH1436=1,(CK1436+CI1436)/2,IF(LEFT(Cockpit!$I$5,1)="B",(CK1436+AV1436)/2,MAX((CK1436+AV1436)/2,H1436))))</f>
        <v>15</v>
      </c>
      <c r="AU1436" s="50" t="n">
        <f aca="false">AT1436*G1436</f>
        <v>5082.9</v>
      </c>
      <c r="AV1436" s="50" t="n">
        <f aca="false">ROUNDUP(CK1436+MAX(CL1436,2*(J1436/IF(CG1436&gt;0,CG1436,MAX(0.1,N(Cockpit!$I$6)))-CK1436)),0)</f>
        <v>22</v>
      </c>
      <c r="AW1436" s="51" t="n">
        <f aca="false">IF(AS1436&gt;0,J1436/AS1436,-1)</f>
        <v>0.919148936170213</v>
      </c>
      <c r="AX1436" s="51" t="n">
        <f aca="false">IF(AND(OR(CF1436="L1",CF1436="L23",CF1436="LIFT"),AS1436&gt;0),SUMIFS($AS$7:$AS$1843,$CF$7:$CF$1843,CF1436,$AW$7:$AW$1843,"&gt;"&amp;AW1436)+SUMIFS($AS$7:$AS$1843,$CF$7:$CF$1843,CF1436,$AW$7:$AW$1843,AW1436,$BW$7:$BW$1843,"&lt;="&amp;BW1436),"")</f>
        <v>8969.1456043956</v>
      </c>
      <c r="AY1436" s="58" t="n">
        <f aca="false">IF(AX1436="",0,MAX(0,MIN(1,(IF(CF1436="L1",Parameter!$H$5,IF(CF1436="L23",Parameter!$H$6+Parameter!$H$7,Parameter!$H$5+Parameter!$H$6+Parameter!$H$7))-(AX1436-AS1436))/AS1436)))</f>
        <v>1</v>
      </c>
      <c r="AZ1436" s="50" t="n">
        <f aca="false">IF(LEFT(Cockpit!$O$5,1)="A",H1436,IF(Parameter!$E$30="MAX-Bestand",IF(CH1436=1,CI1436,IF(LEFT(Cockpit!$O$5,1)="B",BF1436,MAX(BF1436,H1436))),ROUNDUP(BD1436,0)))</f>
        <v>10</v>
      </c>
      <c r="BA1436" s="50" t="n">
        <f aca="false">IF(BZ1436=1,0,ROUNDUP(AZ1436/BY1436,0))</f>
        <v>1</v>
      </c>
      <c r="BB1436" s="52" t="n">
        <f aca="false">IF(CQ1436&gt;0,CQ1436*MAX(1,AZ1436/X1436),IF(BZ1436=1,IF(AZ1436&lt;=0,0,CD1436*MAX(1,IF(H1436&gt;0,AZ1436/H1436,1))),IF(R1436&gt;0,BA1436/R1436,0))/MAX(0.1,N(Parameter!$M$21)))</f>
        <v>0.166666666666667</v>
      </c>
      <c r="BC1436" s="50" t="n">
        <f aca="false">BB1436*CB1436</f>
        <v>39.1666666666667</v>
      </c>
      <c r="BD1436" s="51" t="n">
        <f aca="false">IF(LEFT(Cockpit!$O$5,1)="A",H1436,IF(CH1436=1,(CK1436+CI1436)/2,IF(LEFT(Cockpit!$O$5,1)="B",(CK1436+BF1436)/2,MAX((CK1436+BF1436)/2,H1436))))</f>
        <v>9.5</v>
      </c>
      <c r="BE1436" s="50" t="n">
        <f aca="false">BD1436*G1436</f>
        <v>3219.17</v>
      </c>
      <c r="BF1436" s="50" t="n">
        <f aca="false">ROUNDUP(CK1436+MAX(CL1436,2*(J1436/IF(CG1436&gt;0,CG1436,MAX(0.1,N(Cockpit!$O$6)))-CK1436)),0)</f>
        <v>17</v>
      </c>
      <c r="BG1436" s="51" t="n">
        <f aca="false">IF(BC1436&gt;0,J1436/BC1436,-1)</f>
        <v>0.919148936170213</v>
      </c>
      <c r="BH1436" s="51" t="n">
        <f aca="false">IF(AND(OR(CF1436="L1",CF1436="L23",CF1436="LIFT"),BC1436&gt;0),SUMIFS($BC$7:$BC$1843,$CF$7:$CF$1843,CF1436,$BG$7:$BG$1843,"&gt;"&amp;BG1436)+SUMIFS($BC$7:$BC$1843,$CF$7:$CF$1843,CF1436,$BG$7:$BG$1843,BG1436,$BW$7:$BW$1843,"&lt;="&amp;BW1436),"")</f>
        <v>8167.57921245421</v>
      </c>
      <c r="BI1436" s="58" t="n">
        <f aca="false">IF(BH1436="",0,MAX(0,MIN(1,(IF(CF1436="L1",Parameter!$H$5,IF(CF1436="L23",Parameter!$H$6+Parameter!$H$7,Parameter!$H$5+Parameter!$H$6+Parameter!$H$7))-(BH1436-BC1436))/BC1436)))</f>
        <v>1</v>
      </c>
      <c r="BJ1436" s="48" t="str">
        <f aca="false">IF(AI1436&lt;=0,"",IF(CF1436="Aussen","Aussenlager",IF(CF1436="-","Nicht im Lift",IF(AO1436&gt;=1,"Lift",IF(AO1436&lt;=0,"Aussenlager","teilweise")))))</f>
        <v>Lift</v>
      </c>
      <c r="BK1436" s="48" t="str">
        <f aca="false">IF(AS1436&lt;=0,"",IF(CF1436="Aussen","Aussenlager",IF(CF1436="-","Nicht im Lift",IF(AY1436&gt;=1,"Lift",IF(AY1436&lt;=0,"Aussenlager","teilweise")))))</f>
        <v>Lift</v>
      </c>
      <c r="BL1436" s="48" t="str">
        <f aca="false">IF(BC1436&lt;=0,"",IF(CF1436="Aussen","Aussenlager",IF(CF1436="-","Nicht im Lift",IF(BI1436&gt;=1,"Lift",IF(BI1436&lt;=0,"Aussenlager","teilweise")))))</f>
        <v>Lift</v>
      </c>
      <c r="BM1436" s="48" t="str">
        <f aca="false">IF(A1436="","",IF(BV1436=1,"Neu; ","")&amp;IF(AND(BV1436=0,BQ1436&lt;0),"negativer Bestand (Export "&amp;BQ1436&amp;"); ","")&amp;IF(J1436&lt;=0,"Kein Verbrauch; ","")&amp;IF(CQ1436&gt;0,"Lift "&amp;W1436&amp;" lt. Liftbericht (Fach "&amp;X1436&amp;" Stk); ",IF(CA1436=1,"Gebinde geschätzt ("&amp;T1436&amp;"); ",IF(BZ1436=1,"Lose – Tablare geschätzt; ","")))&amp;IF(H1436&gt;AV1436,"Überbestand "&amp;ROUND(H1436-AV1436,0)&amp;" Stk / CHF "&amp;ROUND((H1436-AV1436)*G1436,0)&amp;"; ","")&amp;IF(AND(CH1436=1,CI1436&lt;CJ1436),"MAX &lt; MB+LG; ","")&amp;IF(AND(CP1436&gt;0,CO1436*10&gt;CP1436),"zu hoch für Tablar; ","")&amp;IF(AND(BV1436=0,OR(CH1436=1,AA1436&lt;&gt;"",U1436&lt;&gt;"",V1436&lt;&gt;"",AB1436&lt;&gt;"")),"manuell übersteuert; ","")&amp;IF(AND(BZ1436=0,R1436=0),"Gebinde unbekannt / Stellmass fehlt; ","")&amp;IF(AND(BZ1436=0,N(V1436)&lt;=0,N(Q1436)&lt;=0),"Menge pro Gebinde fehlt (Ist = 1 Gebinde); ","")&amp;BU1436)</f>
        <v>negativer Bestand (Export -22); </v>
      </c>
      <c r="BN1436" s="48"/>
      <c r="BO1436" s="48"/>
      <c r="BP1436" s="55"/>
      <c r="BQ1436" s="50" t="n">
        <v>-22</v>
      </c>
      <c r="BR1436" s="50" t="n">
        <v>37</v>
      </c>
      <c r="BS1436" s="49" t="n">
        <v>-8095.76</v>
      </c>
      <c r="BT1436" s="50" t="n">
        <v>36</v>
      </c>
      <c r="BU1436" s="48"/>
      <c r="BV1436" s="53" t="n">
        <v>0</v>
      </c>
      <c r="BW1436" s="53" t="n">
        <v>1436</v>
      </c>
      <c r="BX1436" s="48" t="str">
        <f aca="false">IF(U1436&lt;&gt;"",UPPER(TRIM(U1436)),IF(CA1436=1,UPPER(VLOOKUP(T1436,Parameter!$I$27:$K$29,2,0)),IF(P1436="","LOSE",P1436)))</f>
        <v>S71</v>
      </c>
      <c r="BY1436" s="50" t="n">
        <f aca="false">IF(BX1436="LOSE",1,IF(N(V1436)&gt;0,V1436,IF(CA1436=1,MAX(1,N(VLOOKUP(T1436,Parameter!$I$27:$K$29,3,0)),H1436,N(N1436)),IF(N(Q1436)&gt;0,Q1436,MAX(1,H1436)))))</f>
        <v>18</v>
      </c>
      <c r="BZ1436" s="53" t="n">
        <f aca="false">IF(BX1436="LOSE",1,0)</f>
        <v>0</v>
      </c>
      <c r="CA1436" s="53" t="n">
        <f aca="false">IF(AND(U1436="",OR(P1436="",P1436="LOSE"),T1436&lt;&gt;"",N(S1436)&lt;=0,ISNUMBER(MATCH(T1436,Parameter!$I$27:$I$29,0))),1,0)</f>
        <v>0</v>
      </c>
      <c r="CB1436" s="53" t="n">
        <f aca="false">IF(CQ1436&gt;0,INDEX(Parameter!$H$5:$H$7,W1436)/INDEX(Parameter!$E$5:$E$7,W1436),IF(AND(BZ1436=0,N(IFERROR(VLOOKUP(BX1436,'Gebinde-Kategorie'!$A$5:$N$45,14,0),0))&gt;0),VLOOKUP(BX1436,'Gebinde-Kategorie'!$A$5:$N$45,14,0)*10+Parameter!$M$23,Parameter!$M$24))</f>
        <v>235</v>
      </c>
      <c r="CC1436" s="48" t="str">
        <f aca="false">IF(AND(Parameter!$B$19="Ja",E1436&lt;&gt;"",ISNUMBER(MATCH(E1436,Parameter!$I$35:$I$52,0))),VLOOKUP(E1436,Parameter!$I$35:$J$52,2,0),IFERROR(VLOOKUP(D1436,Parameter!$A$35:$C$64,2,0),"Nein"))</f>
        <v>2+3</v>
      </c>
      <c r="CD1436" s="52" t="n">
        <f aca="false">IF(BZ1436=0,0,IF(N(S1436)&gt;0,S1436,IFERROR(VLOOKUP(D1436,Parameter!$A$35:$C$64,3,0)+0,0)))</f>
        <v>0</v>
      </c>
      <c r="CE1436" s="48" t="n">
        <f aca="false">IF(AA1436&lt;&gt;"",AA1436,Z1436)</f>
        <v>2</v>
      </c>
      <c r="CF1436" s="48" t="str">
        <f aca="false">IF(OR(CE1436=1,CE1436=2,CE1436=3),IF(Parameter!$E$27="Ja","LIFT",IF(CE1436=1,"L1","L23")),IF(CE1436="Aussen","Aussen","-"))</f>
        <v>LIFT</v>
      </c>
      <c r="CG1436" s="59" t="n">
        <f aca="false">IF(N(AB1436)&gt;0,AB1436,0)</f>
        <v>0</v>
      </c>
      <c r="CH1436" s="53" t="n">
        <f aca="false">IF(ISNUMBER(AE1436),1,0)</f>
        <v>0</v>
      </c>
      <c r="CI1436" s="50" t="n">
        <f aca="false">N(AE1436)</f>
        <v>0</v>
      </c>
      <c r="CJ1436" s="50" t="n">
        <f aca="false">N(M1436)+N(N1436)</f>
        <v>17</v>
      </c>
      <c r="CK1436" s="50" t="n">
        <f aca="false">N(M1436)</f>
        <v>2</v>
      </c>
      <c r="CL1436" s="50" t="n">
        <f aca="false">N(N1436)</f>
        <v>15</v>
      </c>
      <c r="CM1436" s="50" t="n">
        <f aca="false">ROUNDUP(H1436/BY1436,0)</f>
        <v>1</v>
      </c>
      <c r="CN1436" s="50" t="n">
        <f aca="false">ROUNDUP(CI1436/BY1436,0)</f>
        <v>0</v>
      </c>
      <c r="CO1436" s="53" t="n">
        <f aca="false">IF(BZ1436=1,0,IFERROR(VLOOKUP(BX1436,'Gebinde-Kategorie'!$A$5:$N$45,5,0)+0,0))</f>
        <v>20</v>
      </c>
      <c r="CP1436" s="53" t="n">
        <f aca="false">IFERROR(IF(OR(CE1436=1,CE1436=2,CE1436=3),N(INDEX(Parameter!$I$5:$I$7,CE1436)),0),0)</f>
        <v>0</v>
      </c>
      <c r="CQ1436" s="52" t="n">
        <f aca="false">IF(AND(Parameter!$B$21="Ja",ISNUMBER(W1436),N(X1436)&gt;0),IFERROR(N(INDEX(Parameter!$L$5:$L$7,W1436))*INDEX(Parameter!$E$5:$E$7,W1436)*X1436/SUMIFS($X$7:$X$1843,$W$7:$W$1843,W1436),0),0)</f>
        <v>0</v>
      </c>
    </row>
    <row r="1437" customFormat="false" ht="15" hidden="false" customHeight="false" outlineLevel="0" collapsed="false">
      <c r="A1437" s="48" t="s">
        <v>2526</v>
      </c>
      <c r="B1437" s="48" t="s">
        <v>2527</v>
      </c>
      <c r="C1437" s="48" t="s">
        <v>173</v>
      </c>
      <c r="D1437" s="48" t="s">
        <v>182</v>
      </c>
      <c r="E1437" s="48" t="s">
        <v>175</v>
      </c>
      <c r="F1437" s="48" t="s">
        <v>227</v>
      </c>
      <c r="G1437" s="49" t="n">
        <v>559.54</v>
      </c>
      <c r="H1437" s="50" t="n">
        <f aca="false">MAX(0,IF(AND(Parameter!$B$21="Ja",ISNUMBER(Y1437)),Y1437,IF(Parameter!$B$20="Jahresanfang 2025 + Export",BR1437+BQ1437,BQ1437)))</f>
        <v>13</v>
      </c>
      <c r="I1437" s="50" t="n">
        <f aca="false">H1437*G1437</f>
        <v>7274.02</v>
      </c>
      <c r="J1437" s="50" t="n">
        <f aca="false">BT1437*Parameter!$B$18</f>
        <v>29</v>
      </c>
      <c r="K1437" s="51" t="n">
        <v>37.5</v>
      </c>
      <c r="L1437" s="52" t="n">
        <v>0.773333333333333</v>
      </c>
      <c r="M1437" s="50" t="n">
        <v>1</v>
      </c>
      <c r="N1437" s="50" t="n">
        <v>20</v>
      </c>
      <c r="O1437" s="53" t="n">
        <v>21</v>
      </c>
      <c r="P1437" s="48" t="s">
        <v>183</v>
      </c>
      <c r="Q1437" s="50" t="n">
        <v>12</v>
      </c>
      <c r="R1437" s="53" t="n">
        <f aca="false">IF(BZ1437=1,0,IFERROR(VLOOKUP(BX1437,'Gebinde-Kategorie'!$A$5:$N$45,13,0)+0,0))</f>
        <v>6</v>
      </c>
      <c r="S1437" s="54"/>
      <c r="T1437" s="55"/>
      <c r="U1437" s="55"/>
      <c r="V1437" s="55"/>
      <c r="W1437" s="48"/>
      <c r="X1437" s="50"/>
      <c r="Y1437" s="50"/>
      <c r="Z1437" s="48" t="n">
        <f aca="false">IF(A1437="","",IF(AND(Parameter!$B$21="Ja",ISNUMBER(W1437)),W1437,IF(CC1437="2+3",IF(ISNUMBER(SEARCH("grosser Artikel",BU1437)),2,IFERROR(VLOOKUP(BX1437,Parameter!$F$35:$G$64,2,0),2)),IF(OR(CC1437="Nein",CC1437=""),"-",CC1437))))</f>
        <v>1</v>
      </c>
      <c r="AA1437" s="55"/>
      <c r="AB1437" s="56"/>
      <c r="AC1437" s="50" t="n">
        <f aca="false">AV1437</f>
        <v>21</v>
      </c>
      <c r="AD1437" s="50" t="n">
        <f aca="false">MAX(AV1437,H1437)</f>
        <v>21</v>
      </c>
      <c r="AE1437" s="57"/>
      <c r="AF1437" s="50" t="n">
        <f aca="false">IF(LEFT(Cockpit!$C$5,1)="A",H1437,IF(Parameter!$E$30="MAX-Bestand",IF(CH1437=1,CI1437,IF(LEFT(Cockpit!$C$5,1)="B",AL1437,MAX(AL1437,H1437))),ROUNDUP(AJ1437,0)))</f>
        <v>13</v>
      </c>
      <c r="AG1437" s="50" t="n">
        <f aca="false">IF(BZ1437=1,0,ROUNDUP(AF1437/BY1437,0))</f>
        <v>2</v>
      </c>
      <c r="AH1437" s="52" t="n">
        <f aca="false">IF(CQ1437&gt;0,CQ1437*MAX(1,AF1437/X1437),IF(BZ1437=1,IF(AF1437&lt;=0,0,CD1437*MAX(1,IF(H1437&gt;0,AF1437/H1437,1))),IF(R1437&gt;0,AG1437/R1437,0))/MAX(0.1,N(Parameter!$M$21)))</f>
        <v>0.333333333333333</v>
      </c>
      <c r="AI1437" s="50" t="n">
        <f aca="false">AH1437*CB1437</f>
        <v>78.3333333333333</v>
      </c>
      <c r="AJ1437" s="51" t="n">
        <f aca="false">IF(LEFT(Cockpit!$C$5,1)="A",H1437,IF(CH1437=1,(CK1437+CI1437)/2,IF(LEFT(Cockpit!$C$5,1)="B",(CK1437+AL1437)/2,MAX((CK1437+AL1437)/2,H1437))))</f>
        <v>13</v>
      </c>
      <c r="AK1437" s="50" t="n">
        <f aca="false">AJ1437*G1437</f>
        <v>7274.02</v>
      </c>
      <c r="AL1437" s="50" t="n">
        <f aca="false">ROUNDUP(CK1437+MAX(CL1437,2*(J1437/IF(CG1437&gt;0,CG1437,MAX(0.1,N(Cockpit!$C$6)))-CK1437)),0)</f>
        <v>21</v>
      </c>
      <c r="AM1437" s="51" t="n">
        <f aca="false">IF(AI1437&gt;0,J1437/AI1437,-1)</f>
        <v>0.370212765957447</v>
      </c>
      <c r="AN1437" s="51" t="n">
        <f aca="false">IF(AND(OR(CF1437="L1",CF1437="L23",CF1437="LIFT"),AI1437&gt;0),SUMIFS($AI$7:$AI$1843,$CF$7:$CF$1843,CF1437,$AM$7:$AM$1843,"&gt;"&amp;AM1437)+SUMIFS($AI$7:$AI$1843,$CF$7:$CF$1843,CF1437,$AM$7:$AM$1843,AM1437,$BW$7:$BW$1843,"&lt;="&amp;BW1437),"")</f>
        <v>10459.3333048778</v>
      </c>
      <c r="AO1437" s="58" t="n">
        <f aca="false">IF(AN1437="",0,MAX(0,MIN(1,(IF(CF1437="L1",Parameter!$H$5,IF(CF1437="L23",Parameter!$H$6+Parameter!$H$7,Parameter!$H$5+Parameter!$H$6+Parameter!$H$7))-(AN1437-AI1437))/AI1437)))</f>
        <v>1</v>
      </c>
      <c r="AP1437" s="50" t="n">
        <f aca="false">IF(LEFT(Cockpit!$I$5,1)="A",H1437,IF(Parameter!$E$30="MAX-Bestand",IF(CH1437=1,CI1437,IF(LEFT(Cockpit!$I$5,1)="B",AV1437,MAX(AV1437,H1437))),ROUNDUP(AT1437,0)))</f>
        <v>13</v>
      </c>
      <c r="AQ1437" s="50" t="n">
        <f aca="false">IF(BZ1437=1,0,ROUNDUP(AP1437/BY1437,0))</f>
        <v>2</v>
      </c>
      <c r="AR1437" s="52" t="n">
        <f aca="false">IF(CQ1437&gt;0,CQ1437*MAX(1,AP1437/X1437),IF(BZ1437=1,IF(AP1437&lt;=0,0,CD1437*MAX(1,IF(H1437&gt;0,AP1437/H1437,1))),IF(R1437&gt;0,AQ1437/R1437,0))/MAX(0.1,N(Parameter!$M$21)))</f>
        <v>0.333333333333333</v>
      </c>
      <c r="AS1437" s="50" t="n">
        <f aca="false">AR1437*CB1437</f>
        <v>78.3333333333333</v>
      </c>
      <c r="AT1437" s="51" t="n">
        <f aca="false">IF(LEFT(Cockpit!$I$5,1)="A",H1437,IF(CH1437=1,(CK1437+CI1437)/2,IF(LEFT(Cockpit!$I$5,1)="B",(CK1437+AV1437)/2,MAX((CK1437+AV1437)/2,H1437))))</f>
        <v>13</v>
      </c>
      <c r="AU1437" s="50" t="n">
        <f aca="false">AT1437*G1437</f>
        <v>7274.02</v>
      </c>
      <c r="AV1437" s="50" t="n">
        <f aca="false">ROUNDUP(CK1437+MAX(CL1437,2*(J1437/IF(CG1437&gt;0,CG1437,MAX(0.1,N(Cockpit!$I$6)))-CK1437)),0)</f>
        <v>21</v>
      </c>
      <c r="AW1437" s="51" t="n">
        <f aca="false">IF(AS1437&gt;0,J1437/AS1437,-1)</f>
        <v>0.370212765957447</v>
      </c>
      <c r="AX1437" s="51" t="n">
        <f aca="false">IF(AND(OR(CF1437="L1",CF1437="L23",CF1437="LIFT"),AS1437&gt;0),SUMIFS($AS$7:$AS$1843,$CF$7:$CF$1843,CF1437,$AW$7:$AW$1843,"&gt;"&amp;AW1437)+SUMIFS($AS$7:$AS$1843,$CF$7:$CF$1843,CF1437,$AW$7:$AW$1843,AW1437,$BW$7:$BW$1843,"&lt;="&amp;BW1437),"")</f>
        <v>13191.0865384615</v>
      </c>
      <c r="AY1437" s="58" t="n">
        <f aca="false">IF(AX1437="",0,MAX(0,MIN(1,(IF(CF1437="L1",Parameter!$H$5,IF(CF1437="L23",Parameter!$H$6+Parameter!$H$7,Parameter!$H$5+Parameter!$H$6+Parameter!$H$7))-(AX1437-AS1437))/AS1437)))</f>
        <v>1</v>
      </c>
      <c r="AZ1437" s="50" t="n">
        <f aca="false">IF(LEFT(Cockpit!$O$5,1)="A",H1437,IF(Parameter!$E$30="MAX-Bestand",IF(CH1437=1,CI1437,IF(LEFT(Cockpit!$O$5,1)="B",BF1437,MAX(BF1437,H1437))),ROUNDUP(BD1437,0)))</f>
        <v>11</v>
      </c>
      <c r="BA1437" s="50" t="n">
        <f aca="false">IF(BZ1437=1,0,ROUNDUP(AZ1437/BY1437,0))</f>
        <v>1</v>
      </c>
      <c r="BB1437" s="52" t="n">
        <f aca="false">IF(CQ1437&gt;0,CQ1437*MAX(1,AZ1437/X1437),IF(BZ1437=1,IF(AZ1437&lt;=0,0,CD1437*MAX(1,IF(H1437&gt;0,AZ1437/H1437,1))),IF(R1437&gt;0,BA1437/R1437,0))/MAX(0.1,N(Parameter!$M$21)))</f>
        <v>0.166666666666667</v>
      </c>
      <c r="BC1437" s="50" t="n">
        <f aca="false">BB1437*CB1437</f>
        <v>39.1666666666667</v>
      </c>
      <c r="BD1437" s="51" t="n">
        <f aca="false">IF(LEFT(Cockpit!$O$5,1)="A",H1437,IF(CH1437=1,(CK1437+CI1437)/2,IF(LEFT(Cockpit!$O$5,1)="B",(CK1437+BF1437)/2,MAX((CK1437+BF1437)/2,H1437))))</f>
        <v>11</v>
      </c>
      <c r="BE1437" s="50" t="n">
        <f aca="false">BD1437*G1437</f>
        <v>6154.94</v>
      </c>
      <c r="BF1437" s="50" t="n">
        <f aca="false">ROUNDUP(CK1437+MAX(CL1437,2*(J1437/IF(CG1437&gt;0,CG1437,MAX(0.1,N(Cockpit!$O$6)))-CK1437)),0)</f>
        <v>21</v>
      </c>
      <c r="BG1437" s="51" t="n">
        <f aca="false">IF(BC1437&gt;0,J1437/BC1437,-1)</f>
        <v>0.740425531914894</v>
      </c>
      <c r="BH1437" s="51" t="n">
        <f aca="false">IF(AND(OR(CF1437="L1",CF1437="L23",CF1437="LIFT"),BC1437&gt;0),SUMIFS($BC$7:$BC$1843,$CF$7:$CF$1843,CF1437,$BG$7:$BG$1843,"&gt;"&amp;BG1437)+SUMIFS($BC$7:$BC$1843,$CF$7:$CF$1843,CF1437,$BG$7:$BG$1843,BG1437,$BW$7:$BW$1843,"&lt;="&amp;BW1437),"")</f>
        <v>9278.03891941392</v>
      </c>
      <c r="BI1437" s="58" t="n">
        <f aca="false">IF(BH1437="",0,MAX(0,MIN(1,(IF(CF1437="L1",Parameter!$H$5,IF(CF1437="L23",Parameter!$H$6+Parameter!$H$7,Parameter!$H$5+Parameter!$H$6+Parameter!$H$7))-(BH1437-BC1437))/BC1437)))</f>
        <v>1</v>
      </c>
      <c r="BJ1437" s="48" t="str">
        <f aca="false">IF(AI1437&lt;=0,"",IF(CF1437="Aussen","Aussenlager",IF(CF1437="-","Nicht im Lift",IF(AO1437&gt;=1,"Lift",IF(AO1437&lt;=0,"Aussenlager","teilweise")))))</f>
        <v>Lift</v>
      </c>
      <c r="BK1437" s="48" t="str">
        <f aca="false">IF(AS1437&lt;=0,"",IF(CF1437="Aussen","Aussenlager",IF(CF1437="-","Nicht im Lift",IF(AY1437&gt;=1,"Lift",IF(AY1437&lt;=0,"Aussenlager","teilweise")))))</f>
        <v>Lift</v>
      </c>
      <c r="BL1437" s="48" t="str">
        <f aca="false">IF(BC1437&lt;=0,"",IF(CF1437="Aussen","Aussenlager",IF(CF1437="-","Nicht im Lift",IF(BI1437&gt;=1,"Lift",IF(BI1437&lt;=0,"Aussenlager","teilweise")))))</f>
        <v>Lift</v>
      </c>
      <c r="BM1437" s="48" t="str">
        <f aca="false">IF(A1437="","",IF(BV1437=1,"Neu; ","")&amp;IF(AND(BV1437=0,BQ1437&lt;0),"negativer Bestand (Export "&amp;BQ1437&amp;"); ","")&amp;IF(J1437&lt;=0,"Kein Verbrauch; ","")&amp;IF(CQ1437&gt;0,"Lift "&amp;W1437&amp;" lt. Liftbericht (Fach "&amp;X1437&amp;" Stk); ",IF(CA1437=1,"Gebinde geschätzt ("&amp;T1437&amp;"); ",IF(BZ1437=1,"Lose – Tablare geschätzt; ","")))&amp;IF(H1437&gt;AV1437,"Überbestand "&amp;ROUND(H1437-AV1437,0)&amp;" Stk / CHF "&amp;ROUND((H1437-AV1437)*G1437,0)&amp;"; ","")&amp;IF(AND(CH1437=1,CI1437&lt;CJ1437),"MAX &lt; MB+LG; ","")&amp;IF(AND(CP1437&gt;0,CO1437*10&gt;CP1437),"zu hoch für Tablar; ","")&amp;IF(AND(BV1437=0,OR(CH1437=1,AA1437&lt;&gt;"",U1437&lt;&gt;"",V1437&lt;&gt;"",AB1437&lt;&gt;"")),"manuell übersteuert; ","")&amp;IF(AND(BZ1437=0,R1437=0),"Gebinde unbekannt / Stellmass fehlt; ","")&amp;IF(AND(BZ1437=0,N(V1437)&lt;=0,N(Q1437)&lt;=0),"Menge pro Gebinde fehlt (Ist = 1 Gebinde); ","")&amp;BU1437)</f>
        <v>negativer Bestand (Export -19); </v>
      </c>
      <c r="BN1437" s="48"/>
      <c r="BO1437" s="48"/>
      <c r="BP1437" s="55"/>
      <c r="BQ1437" s="50" t="n">
        <v>-19</v>
      </c>
      <c r="BR1437" s="50" t="n">
        <v>32</v>
      </c>
      <c r="BS1437" s="49" t="n">
        <v>-8101.02</v>
      </c>
      <c r="BT1437" s="50" t="n">
        <v>29</v>
      </c>
      <c r="BU1437" s="48"/>
      <c r="BV1437" s="53" t="n">
        <v>0</v>
      </c>
      <c r="BW1437" s="53" t="n">
        <v>1437</v>
      </c>
      <c r="BX1437" s="48" t="str">
        <f aca="false">IF(U1437&lt;&gt;"",UPPER(TRIM(U1437)),IF(CA1437=1,UPPER(VLOOKUP(T1437,Parameter!$I$27:$K$29,2,0)),IF(P1437="","LOSE",P1437)))</f>
        <v>S71</v>
      </c>
      <c r="BY1437" s="50" t="n">
        <f aca="false">IF(BX1437="LOSE",1,IF(N(V1437)&gt;0,V1437,IF(CA1437=1,MAX(1,N(VLOOKUP(T1437,Parameter!$I$27:$K$29,3,0)),H1437,N(N1437)),IF(N(Q1437)&gt;0,Q1437,MAX(1,H1437)))))</f>
        <v>12</v>
      </c>
      <c r="BZ1437" s="53" t="n">
        <f aca="false">IF(BX1437="LOSE",1,0)</f>
        <v>0</v>
      </c>
      <c r="CA1437" s="53" t="n">
        <f aca="false">IF(AND(U1437="",OR(P1437="",P1437="LOSE"),T1437&lt;&gt;"",N(S1437)&lt;=0,ISNUMBER(MATCH(T1437,Parameter!$I$27:$I$29,0))),1,0)</f>
        <v>0</v>
      </c>
      <c r="CB1437" s="53" t="n">
        <f aca="false">IF(CQ1437&gt;0,INDEX(Parameter!$H$5:$H$7,W1437)/INDEX(Parameter!$E$5:$E$7,W1437),IF(AND(BZ1437=0,N(IFERROR(VLOOKUP(BX1437,'Gebinde-Kategorie'!$A$5:$N$45,14,0),0))&gt;0),VLOOKUP(BX1437,'Gebinde-Kategorie'!$A$5:$N$45,14,0)*10+Parameter!$M$23,Parameter!$M$24))</f>
        <v>235</v>
      </c>
      <c r="CC1437" s="48" t="n">
        <f aca="false">IF(AND(Parameter!$B$19="Ja",E1437&lt;&gt;"",ISNUMBER(MATCH(E1437,Parameter!$I$35:$I$52,0))),VLOOKUP(E1437,Parameter!$I$35:$J$52,2,0),IFERROR(VLOOKUP(D1437,Parameter!$A$35:$C$64,2,0),"Nein"))</f>
        <v>1</v>
      </c>
      <c r="CD1437" s="52" t="n">
        <f aca="false">IF(BZ1437=0,0,IF(N(S1437)&gt;0,S1437,IFERROR(VLOOKUP(D1437,Parameter!$A$35:$C$64,3,0)+0,0)))</f>
        <v>0</v>
      </c>
      <c r="CE1437" s="48" t="n">
        <f aca="false">IF(AA1437&lt;&gt;"",AA1437,Z1437)</f>
        <v>1</v>
      </c>
      <c r="CF1437" s="48" t="str">
        <f aca="false">IF(OR(CE1437=1,CE1437=2,CE1437=3),IF(Parameter!$E$27="Ja","LIFT",IF(CE1437=1,"L1","L23")),IF(CE1437="Aussen","Aussen","-"))</f>
        <v>LIFT</v>
      </c>
      <c r="CG1437" s="59" t="n">
        <f aca="false">IF(N(AB1437)&gt;0,AB1437,0)</f>
        <v>0</v>
      </c>
      <c r="CH1437" s="53" t="n">
        <f aca="false">IF(ISNUMBER(AE1437),1,0)</f>
        <v>0</v>
      </c>
      <c r="CI1437" s="50" t="n">
        <f aca="false">N(AE1437)</f>
        <v>0</v>
      </c>
      <c r="CJ1437" s="50" t="n">
        <f aca="false">N(M1437)+N(N1437)</f>
        <v>21</v>
      </c>
      <c r="CK1437" s="50" t="n">
        <f aca="false">N(M1437)</f>
        <v>1</v>
      </c>
      <c r="CL1437" s="50" t="n">
        <f aca="false">N(N1437)</f>
        <v>20</v>
      </c>
      <c r="CM1437" s="50" t="n">
        <f aca="false">ROUNDUP(H1437/BY1437,0)</f>
        <v>2</v>
      </c>
      <c r="CN1437" s="50" t="n">
        <f aca="false">ROUNDUP(CI1437/BY1437,0)</f>
        <v>0</v>
      </c>
      <c r="CO1437" s="53" t="n">
        <f aca="false">IF(BZ1437=1,0,IFERROR(VLOOKUP(BX1437,'Gebinde-Kategorie'!$A$5:$N$45,5,0)+0,0))</f>
        <v>20</v>
      </c>
      <c r="CP1437" s="53" t="n">
        <f aca="false">IFERROR(IF(OR(CE1437=1,CE1437=2,CE1437=3),N(INDEX(Parameter!$I$5:$I$7,CE1437)),0),0)</f>
        <v>0</v>
      </c>
      <c r="CQ1437" s="52" t="n">
        <f aca="false">IF(AND(Parameter!$B$21="Ja",ISNUMBER(W1437),N(X1437)&gt;0),IFERROR(N(INDEX(Parameter!$L$5:$L$7,W1437))*INDEX(Parameter!$E$5:$E$7,W1437)*X1437/SUMIFS($X$7:$X$1843,$W$7:$W$1843,W1437),0),0)</f>
        <v>0</v>
      </c>
    </row>
    <row r="1438" customFormat="false" ht="15" hidden="false" customHeight="false" outlineLevel="0" collapsed="false">
      <c r="A1438" s="48" t="s">
        <v>2528</v>
      </c>
      <c r="B1438" s="48" t="s">
        <v>2529</v>
      </c>
      <c r="C1438" s="48" t="s">
        <v>173</v>
      </c>
      <c r="D1438" s="48" t="s">
        <v>182</v>
      </c>
      <c r="E1438" s="48" t="s">
        <v>175</v>
      </c>
      <c r="F1438" s="48" t="s">
        <v>227</v>
      </c>
      <c r="G1438" s="49" t="n">
        <v>154.27</v>
      </c>
      <c r="H1438" s="50" t="n">
        <f aca="false">MAX(0,IF(AND(Parameter!$B$21="Ja",ISNUMBER(Y1438)),Y1438,IF(Parameter!$B$20="Jahresanfang 2025 + Export",BR1438+BQ1438,BQ1438)))</f>
        <v>60</v>
      </c>
      <c r="I1438" s="50" t="n">
        <f aca="false">H1438*G1438</f>
        <v>9256.2</v>
      </c>
      <c r="J1438" s="50" t="n">
        <f aca="false">BT1438*Parameter!$B$18</f>
        <v>222</v>
      </c>
      <c r="K1438" s="51" t="n">
        <v>124.5</v>
      </c>
      <c r="L1438" s="52" t="n">
        <v>1.78313253012048</v>
      </c>
      <c r="M1438" s="50" t="n">
        <v>22</v>
      </c>
      <c r="N1438" s="50" t="n">
        <v>65</v>
      </c>
      <c r="O1438" s="53" t="n">
        <v>84</v>
      </c>
      <c r="P1438" s="48" t="s">
        <v>183</v>
      </c>
      <c r="Q1438" s="50" t="n">
        <v>80</v>
      </c>
      <c r="R1438" s="53" t="n">
        <f aca="false">IF(BZ1438=1,0,IFERROR(VLOOKUP(BX1438,'Gebinde-Kategorie'!$A$5:$N$45,13,0)+0,0))</f>
        <v>6</v>
      </c>
      <c r="S1438" s="54"/>
      <c r="T1438" s="55"/>
      <c r="U1438" s="55"/>
      <c r="V1438" s="55"/>
      <c r="W1438" s="48"/>
      <c r="X1438" s="50"/>
      <c r="Y1438" s="50"/>
      <c r="Z1438" s="48" t="n">
        <f aca="false">IF(A1438="","",IF(AND(Parameter!$B$21="Ja",ISNUMBER(W1438)),W1438,IF(CC1438="2+3",IF(ISNUMBER(SEARCH("grosser Artikel",BU1438)),2,IFERROR(VLOOKUP(BX1438,Parameter!$F$35:$G$64,2,0),2)),IF(OR(CC1438="Nein",CC1438=""),"-",CC1438))))</f>
        <v>1</v>
      </c>
      <c r="AA1438" s="55"/>
      <c r="AB1438" s="56"/>
      <c r="AC1438" s="50" t="n">
        <f aca="false">AV1438</f>
        <v>126</v>
      </c>
      <c r="AD1438" s="50" t="n">
        <f aca="false">MAX(AV1438,H1438)</f>
        <v>126</v>
      </c>
      <c r="AE1438" s="57"/>
      <c r="AF1438" s="50" t="n">
        <f aca="false">IF(LEFT(Cockpit!$C$5,1)="A",H1438,IF(Parameter!$E$30="MAX-Bestand",IF(CH1438=1,CI1438,IF(LEFT(Cockpit!$C$5,1)="B",AL1438,MAX(AL1438,H1438))),ROUNDUP(AJ1438,0)))</f>
        <v>60</v>
      </c>
      <c r="AG1438" s="50" t="n">
        <f aca="false">IF(BZ1438=1,0,ROUNDUP(AF1438/BY1438,0))</f>
        <v>1</v>
      </c>
      <c r="AH1438" s="52" t="n">
        <f aca="false">IF(CQ1438&gt;0,CQ1438*MAX(1,AF1438/X1438),IF(BZ1438=1,IF(AF1438&lt;=0,0,CD1438*MAX(1,IF(H1438&gt;0,AF1438/H1438,1))),IF(R1438&gt;0,AG1438/R1438,0))/MAX(0.1,N(Parameter!$M$21)))</f>
        <v>0.166666666666667</v>
      </c>
      <c r="AI1438" s="50" t="n">
        <f aca="false">AH1438*CB1438</f>
        <v>39.1666666666667</v>
      </c>
      <c r="AJ1438" s="51" t="n">
        <f aca="false">IF(LEFT(Cockpit!$C$5,1)="A",H1438,IF(CH1438=1,(CK1438+CI1438)/2,IF(LEFT(Cockpit!$C$5,1)="B",(CK1438+AL1438)/2,MAX((CK1438+AL1438)/2,H1438))))</f>
        <v>60</v>
      </c>
      <c r="AK1438" s="50" t="n">
        <f aca="false">AJ1438*G1438</f>
        <v>9256.2</v>
      </c>
      <c r="AL1438" s="50" t="n">
        <f aca="false">ROUNDUP(CK1438+MAX(CL1438,2*(J1438/IF(CG1438&gt;0,CG1438,MAX(0.1,N(Cockpit!$C$6)))-CK1438)),0)</f>
        <v>126</v>
      </c>
      <c r="AM1438" s="51" t="n">
        <f aca="false">IF(AI1438&gt;0,J1438/AI1438,-1)</f>
        <v>5.66808510638298</v>
      </c>
      <c r="AN1438" s="51" t="n">
        <f aca="false">IF(AND(OR(CF1438="L1",CF1438="L23",CF1438="LIFT"),AI1438&gt;0),SUMIFS($AI$7:$AI$1843,$CF$7:$CF$1843,CF1438,$AM$7:$AM$1843,"&gt;"&amp;AM1438)+SUMIFS($AI$7:$AI$1843,$CF$7:$CF$1843,CF1438,$AM$7:$AM$1843,AM1438,$BW$7:$BW$1843,"&lt;="&amp;BW1438),"")</f>
        <v>3660.82738095238</v>
      </c>
      <c r="AO1438" s="58" t="n">
        <f aca="false">IF(AN1438="",0,MAX(0,MIN(1,(IF(CF1438="L1",Parameter!$H$5,IF(CF1438="L23",Parameter!$H$6+Parameter!$H$7,Parameter!$H$5+Parameter!$H$6+Parameter!$H$7))-(AN1438-AI1438))/AI1438)))</f>
        <v>1</v>
      </c>
      <c r="AP1438" s="50" t="n">
        <f aca="false">IF(LEFT(Cockpit!$I$5,1)="A",H1438,IF(Parameter!$E$30="MAX-Bestand",IF(CH1438=1,CI1438,IF(LEFT(Cockpit!$I$5,1)="B",AV1438,MAX(AV1438,H1438))),ROUNDUP(AT1438,0)))</f>
        <v>74</v>
      </c>
      <c r="AQ1438" s="50" t="n">
        <f aca="false">IF(BZ1438=1,0,ROUNDUP(AP1438/BY1438,0))</f>
        <v>1</v>
      </c>
      <c r="AR1438" s="52" t="n">
        <f aca="false">IF(CQ1438&gt;0,CQ1438*MAX(1,AP1438/X1438),IF(BZ1438=1,IF(AP1438&lt;=0,0,CD1438*MAX(1,IF(H1438&gt;0,AP1438/H1438,1))),IF(R1438&gt;0,AQ1438/R1438,0))/MAX(0.1,N(Parameter!$M$21)))</f>
        <v>0.166666666666667</v>
      </c>
      <c r="AS1438" s="50" t="n">
        <f aca="false">AR1438*CB1438</f>
        <v>39.1666666666667</v>
      </c>
      <c r="AT1438" s="51" t="n">
        <f aca="false">IF(LEFT(Cockpit!$I$5,1)="A",H1438,IF(CH1438=1,(CK1438+CI1438)/2,IF(LEFT(Cockpit!$I$5,1)="B",(CK1438+AV1438)/2,MAX((CK1438+AV1438)/2,H1438))))</f>
        <v>74</v>
      </c>
      <c r="AU1438" s="50" t="n">
        <f aca="false">AT1438*G1438</f>
        <v>11415.98</v>
      </c>
      <c r="AV1438" s="50" t="n">
        <f aca="false">ROUNDUP(CK1438+MAX(CL1438,2*(J1438/IF(CG1438&gt;0,CG1438,MAX(0.1,N(Cockpit!$I$6)))-CK1438)),0)</f>
        <v>126</v>
      </c>
      <c r="AW1438" s="51" t="n">
        <f aca="false">IF(AS1438&gt;0,J1438/AS1438,-1)</f>
        <v>5.66808510638298</v>
      </c>
      <c r="AX1438" s="51" t="n">
        <f aca="false">IF(AND(OR(CF1438="L1",CF1438="L23",CF1438="LIFT"),AS1438&gt;0),SUMIFS($AS$7:$AS$1843,$CF$7:$CF$1843,CF1438,$AW$7:$AW$1843,"&gt;"&amp;AW1438)+SUMIFS($AS$7:$AS$1843,$CF$7:$CF$1843,CF1438,$AW$7:$AW$1843,AW1438,$BW$7:$BW$1843,"&lt;="&amp;BW1438),"")</f>
        <v>4314.56822344322</v>
      </c>
      <c r="AY1438" s="58" t="n">
        <f aca="false">IF(AX1438="",0,MAX(0,MIN(1,(IF(CF1438="L1",Parameter!$H$5,IF(CF1438="L23",Parameter!$H$6+Parameter!$H$7,Parameter!$H$5+Parameter!$H$6+Parameter!$H$7))-(AX1438-AS1438))/AS1438)))</f>
        <v>1</v>
      </c>
      <c r="AZ1438" s="50" t="n">
        <f aca="false">IF(LEFT(Cockpit!$O$5,1)="A",H1438,IF(Parameter!$E$30="MAX-Bestand",IF(CH1438=1,CI1438,IF(LEFT(Cockpit!$O$5,1)="B",BF1438,MAX(BF1438,H1438))),ROUNDUP(BD1438,0)))</f>
        <v>56</v>
      </c>
      <c r="BA1438" s="50" t="n">
        <f aca="false">IF(BZ1438=1,0,ROUNDUP(AZ1438/BY1438,0))</f>
        <v>1</v>
      </c>
      <c r="BB1438" s="52" t="n">
        <f aca="false">IF(CQ1438&gt;0,CQ1438*MAX(1,AZ1438/X1438),IF(BZ1438=1,IF(AZ1438&lt;=0,0,CD1438*MAX(1,IF(H1438&gt;0,AZ1438/H1438,1))),IF(R1438&gt;0,BA1438/R1438,0))/MAX(0.1,N(Parameter!$M$21)))</f>
        <v>0.166666666666667</v>
      </c>
      <c r="BC1438" s="50" t="n">
        <f aca="false">BB1438*CB1438</f>
        <v>39.1666666666667</v>
      </c>
      <c r="BD1438" s="51" t="n">
        <f aca="false">IF(LEFT(Cockpit!$O$5,1)="A",H1438,IF(CH1438=1,(CK1438+CI1438)/2,IF(LEFT(Cockpit!$O$5,1)="B",(CK1438+BF1438)/2,MAX((CK1438+BF1438)/2,H1438))))</f>
        <v>55.5</v>
      </c>
      <c r="BE1438" s="50" t="n">
        <f aca="false">BD1438*G1438</f>
        <v>8561.985</v>
      </c>
      <c r="BF1438" s="50" t="n">
        <f aca="false">ROUNDUP(CK1438+MAX(CL1438,2*(J1438/IF(CG1438&gt;0,CG1438,MAX(0.1,N(Cockpit!$O$6)))-CK1438)),0)</f>
        <v>89</v>
      </c>
      <c r="BG1438" s="51" t="n">
        <f aca="false">IF(BC1438&gt;0,J1438/BC1438,-1)</f>
        <v>5.66808510638298</v>
      </c>
      <c r="BH1438" s="51" t="n">
        <f aca="false">IF(AND(OR(CF1438="L1",CF1438="L23",CF1438="LIFT"),BC1438&gt;0),SUMIFS($BC$7:$BC$1843,$CF$7:$CF$1843,CF1438,$BG$7:$BG$1843,"&gt;"&amp;BG1438)+SUMIFS($BC$7:$BC$1843,$CF$7:$CF$1843,CF1438,$BG$7:$BG$1843,BG1438,$BW$7:$BW$1843,"&lt;="&amp;BW1438),"")</f>
        <v>3676.78250915751</v>
      </c>
      <c r="BI1438" s="58" t="n">
        <f aca="false">IF(BH1438="",0,MAX(0,MIN(1,(IF(CF1438="L1",Parameter!$H$5,IF(CF1438="L23",Parameter!$H$6+Parameter!$H$7,Parameter!$H$5+Parameter!$H$6+Parameter!$H$7))-(BH1438-BC1438))/BC1438)))</f>
        <v>1</v>
      </c>
      <c r="BJ1438" s="48" t="str">
        <f aca="false">IF(AI1438&lt;=0,"",IF(CF1438="Aussen","Aussenlager",IF(CF1438="-","Nicht im Lift",IF(AO1438&gt;=1,"Lift",IF(AO1438&lt;=0,"Aussenlager","teilweise")))))</f>
        <v>Lift</v>
      </c>
      <c r="BK1438" s="48" t="str">
        <f aca="false">IF(AS1438&lt;=0,"",IF(CF1438="Aussen","Aussenlager",IF(CF1438="-","Nicht im Lift",IF(AY1438&gt;=1,"Lift",IF(AY1438&lt;=0,"Aussenlager","teilweise")))))</f>
        <v>Lift</v>
      </c>
      <c r="BL1438" s="48" t="str">
        <f aca="false">IF(BC1438&lt;=0,"",IF(CF1438="Aussen","Aussenlager",IF(CF1438="-","Nicht im Lift",IF(BI1438&gt;=1,"Lift",IF(BI1438&lt;=0,"Aussenlager","teilweise")))))</f>
        <v>Lift</v>
      </c>
      <c r="BM1438" s="48" t="str">
        <f aca="false">IF(A1438="","",IF(BV1438=1,"Neu; ","")&amp;IF(AND(BV1438=0,BQ1438&lt;0),"negativer Bestand (Export "&amp;BQ1438&amp;"); ","")&amp;IF(J1438&lt;=0,"Kein Verbrauch; ","")&amp;IF(CQ1438&gt;0,"Lift "&amp;W1438&amp;" lt. Liftbericht (Fach "&amp;X1438&amp;" Stk); ",IF(CA1438=1,"Gebinde geschätzt ("&amp;T1438&amp;"); ",IF(BZ1438=1,"Lose – Tablare geschätzt; ","")))&amp;IF(H1438&gt;AV1438,"Überbestand "&amp;ROUND(H1438-AV1438,0)&amp;" Stk / CHF "&amp;ROUND((H1438-AV1438)*G1438,0)&amp;"; ","")&amp;IF(AND(CH1438=1,CI1438&lt;CJ1438),"MAX &lt; MB+LG; ","")&amp;IF(AND(CP1438&gt;0,CO1438*10&gt;CP1438),"zu hoch für Tablar; ","")&amp;IF(AND(BV1438=0,OR(CH1438=1,AA1438&lt;&gt;"",U1438&lt;&gt;"",V1438&lt;&gt;"",AB1438&lt;&gt;"")),"manuell übersteuert; ","")&amp;IF(AND(BZ1438=0,R1438=0),"Gebinde unbekannt / Stellmass fehlt; ","")&amp;IF(AND(BZ1438=0,N(V1438)&lt;=0,N(Q1438)&lt;=0),"Menge pro Gebinde fehlt (Ist = 1 Gebinde); ","")&amp;BU1438)</f>
        <v>negativer Bestand (Export -50); </v>
      </c>
      <c r="BN1438" s="48"/>
      <c r="BO1438" s="48"/>
      <c r="BP1438" s="55"/>
      <c r="BQ1438" s="50" t="n">
        <v>-50</v>
      </c>
      <c r="BR1438" s="50" t="n">
        <v>110</v>
      </c>
      <c r="BS1438" s="49" t="n">
        <v>-8512.09999999997</v>
      </c>
      <c r="BT1438" s="50" t="n">
        <v>222</v>
      </c>
      <c r="BU1438" s="48"/>
      <c r="BV1438" s="53" t="n">
        <v>0</v>
      </c>
      <c r="BW1438" s="53" t="n">
        <v>1438</v>
      </c>
      <c r="BX1438" s="48" t="str">
        <f aca="false">IF(U1438&lt;&gt;"",UPPER(TRIM(U1438)),IF(CA1438=1,UPPER(VLOOKUP(T1438,Parameter!$I$27:$K$29,2,0)),IF(P1438="","LOSE",P1438)))</f>
        <v>S71</v>
      </c>
      <c r="BY1438" s="50" t="n">
        <f aca="false">IF(BX1438="LOSE",1,IF(N(V1438)&gt;0,V1438,IF(CA1438=1,MAX(1,N(VLOOKUP(T1438,Parameter!$I$27:$K$29,3,0)),H1438,N(N1438)),IF(N(Q1438)&gt;0,Q1438,MAX(1,H1438)))))</f>
        <v>80</v>
      </c>
      <c r="BZ1438" s="53" t="n">
        <f aca="false">IF(BX1438="LOSE",1,0)</f>
        <v>0</v>
      </c>
      <c r="CA1438" s="53" t="n">
        <f aca="false">IF(AND(U1438="",OR(P1438="",P1438="LOSE"),T1438&lt;&gt;"",N(S1438)&lt;=0,ISNUMBER(MATCH(T1438,Parameter!$I$27:$I$29,0))),1,0)</f>
        <v>0</v>
      </c>
      <c r="CB1438" s="53" t="n">
        <f aca="false">IF(CQ1438&gt;0,INDEX(Parameter!$H$5:$H$7,W1438)/INDEX(Parameter!$E$5:$E$7,W1438),IF(AND(BZ1438=0,N(IFERROR(VLOOKUP(BX1438,'Gebinde-Kategorie'!$A$5:$N$45,14,0),0))&gt;0),VLOOKUP(BX1438,'Gebinde-Kategorie'!$A$5:$N$45,14,0)*10+Parameter!$M$23,Parameter!$M$24))</f>
        <v>235</v>
      </c>
      <c r="CC1438" s="48" t="n">
        <f aca="false">IF(AND(Parameter!$B$19="Ja",E1438&lt;&gt;"",ISNUMBER(MATCH(E1438,Parameter!$I$35:$I$52,0))),VLOOKUP(E1438,Parameter!$I$35:$J$52,2,0),IFERROR(VLOOKUP(D1438,Parameter!$A$35:$C$64,2,0),"Nein"))</f>
        <v>1</v>
      </c>
      <c r="CD1438" s="52" t="n">
        <f aca="false">IF(BZ1438=0,0,IF(N(S1438)&gt;0,S1438,IFERROR(VLOOKUP(D1438,Parameter!$A$35:$C$64,3,0)+0,0)))</f>
        <v>0</v>
      </c>
      <c r="CE1438" s="48" t="n">
        <f aca="false">IF(AA1438&lt;&gt;"",AA1438,Z1438)</f>
        <v>1</v>
      </c>
      <c r="CF1438" s="48" t="str">
        <f aca="false">IF(OR(CE1438=1,CE1438=2,CE1438=3),IF(Parameter!$E$27="Ja","LIFT",IF(CE1438=1,"L1","L23")),IF(CE1438="Aussen","Aussen","-"))</f>
        <v>LIFT</v>
      </c>
      <c r="CG1438" s="59" t="n">
        <f aca="false">IF(N(AB1438)&gt;0,AB1438,0)</f>
        <v>0</v>
      </c>
      <c r="CH1438" s="53" t="n">
        <f aca="false">IF(ISNUMBER(AE1438),1,0)</f>
        <v>0</v>
      </c>
      <c r="CI1438" s="50" t="n">
        <f aca="false">N(AE1438)</f>
        <v>0</v>
      </c>
      <c r="CJ1438" s="50" t="n">
        <f aca="false">N(M1438)+N(N1438)</f>
        <v>87</v>
      </c>
      <c r="CK1438" s="50" t="n">
        <f aca="false">N(M1438)</f>
        <v>22</v>
      </c>
      <c r="CL1438" s="50" t="n">
        <f aca="false">N(N1438)</f>
        <v>65</v>
      </c>
      <c r="CM1438" s="50" t="n">
        <f aca="false">ROUNDUP(H1438/BY1438,0)</f>
        <v>1</v>
      </c>
      <c r="CN1438" s="50" t="n">
        <f aca="false">ROUNDUP(CI1438/BY1438,0)</f>
        <v>0</v>
      </c>
      <c r="CO1438" s="53" t="n">
        <f aca="false">IF(BZ1438=1,0,IFERROR(VLOOKUP(BX1438,'Gebinde-Kategorie'!$A$5:$N$45,5,0)+0,0))</f>
        <v>20</v>
      </c>
      <c r="CP1438" s="53" t="n">
        <f aca="false">IFERROR(IF(OR(CE1438=1,CE1438=2,CE1438=3),N(INDEX(Parameter!$I$5:$I$7,CE1438)),0),0)</f>
        <v>0</v>
      </c>
      <c r="CQ1438" s="52" t="n">
        <f aca="false">IF(AND(Parameter!$B$21="Ja",ISNUMBER(W1438),N(X1438)&gt;0),IFERROR(N(INDEX(Parameter!$L$5:$L$7,W1438))*INDEX(Parameter!$E$5:$E$7,W1438)*X1438/SUMIFS($X$7:$X$1843,$W$7:$W$1843,W1438),0),0)</f>
        <v>0</v>
      </c>
    </row>
    <row r="1439" customFormat="false" ht="15" hidden="false" customHeight="false" outlineLevel="0" collapsed="false">
      <c r="A1439" s="48" t="s">
        <v>2530</v>
      </c>
      <c r="B1439" s="48" t="s">
        <v>454</v>
      </c>
      <c r="C1439" s="48" t="s">
        <v>173</v>
      </c>
      <c r="D1439" s="48" t="s">
        <v>182</v>
      </c>
      <c r="E1439" s="48" t="s">
        <v>182</v>
      </c>
      <c r="F1439" s="48" t="s">
        <v>227</v>
      </c>
      <c r="G1439" s="49" t="n">
        <v>157.67</v>
      </c>
      <c r="H1439" s="50" t="n">
        <f aca="false">MAX(0,IF(AND(Parameter!$B$21="Ja",ISNUMBER(Y1439)),Y1439,IF(Parameter!$B$20="Jahresanfang 2025 + Export",BR1439+BQ1439,BQ1439)))</f>
        <v>12</v>
      </c>
      <c r="I1439" s="50" t="n">
        <f aca="false">H1439*G1439</f>
        <v>1892.04</v>
      </c>
      <c r="J1439" s="50" t="n">
        <f aca="false">BT1439*Parameter!$B$18</f>
        <v>86</v>
      </c>
      <c r="K1439" s="51" t="n">
        <v>55.5</v>
      </c>
      <c r="L1439" s="52" t="n">
        <v>1.54954954954955</v>
      </c>
      <c r="M1439" s="50" t="n">
        <v>5</v>
      </c>
      <c r="N1439" s="50" t="n">
        <v>25</v>
      </c>
      <c r="O1439" s="53" t="n">
        <v>21</v>
      </c>
      <c r="P1439" s="48" t="s">
        <v>357</v>
      </c>
      <c r="Q1439" s="50" t="n">
        <v>22</v>
      </c>
      <c r="R1439" s="53" t="n">
        <f aca="false">IF(BZ1439=1,0,IFERROR(VLOOKUP(BX1439,'Gebinde-Kategorie'!$A$5:$N$45,13,0)+0,0))</f>
        <v>4</v>
      </c>
      <c r="S1439" s="54"/>
      <c r="T1439" s="55"/>
      <c r="U1439" s="55"/>
      <c r="V1439" s="55"/>
      <c r="W1439" s="48"/>
      <c r="X1439" s="50"/>
      <c r="Y1439" s="50"/>
      <c r="Z1439" s="48" t="str">
        <f aca="false">IF(A1439="","",IF(AND(Parameter!$B$21="Ja",ISNUMBER(W1439)),W1439,IF(CC1439="2+3",IF(ISNUMBER(SEARCH("grosser Artikel",BU1439)),2,IFERROR(VLOOKUP(BX1439,Parameter!$F$35:$G$64,2,0),2)),IF(OR(CC1439="Nein",CC1439=""),"-",CC1439))))</f>
        <v>-</v>
      </c>
      <c r="AA1439" s="55"/>
      <c r="AB1439" s="56"/>
      <c r="AC1439" s="50" t="n">
        <f aca="false">AV1439</f>
        <v>53</v>
      </c>
      <c r="AD1439" s="50" t="n">
        <f aca="false">MAX(AV1439,H1439)</f>
        <v>53</v>
      </c>
      <c r="AE1439" s="57"/>
      <c r="AF1439" s="50" t="n">
        <f aca="false">IF(LEFT(Cockpit!$C$5,1)="A",H1439,IF(Parameter!$E$30="MAX-Bestand",IF(CH1439=1,CI1439,IF(LEFT(Cockpit!$C$5,1)="B",AL1439,MAX(AL1439,H1439))),ROUNDUP(AJ1439,0)))</f>
        <v>12</v>
      </c>
      <c r="AG1439" s="50" t="n">
        <f aca="false">IF(BZ1439=1,0,ROUNDUP(AF1439/BY1439,0))</f>
        <v>1</v>
      </c>
      <c r="AH1439" s="52" t="n">
        <f aca="false">IF(CQ1439&gt;0,CQ1439*MAX(1,AF1439/X1439),IF(BZ1439=1,IF(AF1439&lt;=0,0,CD1439*MAX(1,IF(H1439&gt;0,AF1439/H1439,1))),IF(R1439&gt;0,AG1439/R1439,0))/MAX(0.1,N(Parameter!$M$21)))</f>
        <v>0.25</v>
      </c>
      <c r="AI1439" s="50" t="n">
        <f aca="false">AH1439*CB1439</f>
        <v>108.75</v>
      </c>
      <c r="AJ1439" s="51" t="n">
        <f aca="false">IF(LEFT(Cockpit!$C$5,1)="A",H1439,IF(CH1439=1,(CK1439+CI1439)/2,IF(LEFT(Cockpit!$C$5,1)="B",(CK1439+AL1439)/2,MAX((CK1439+AL1439)/2,H1439))))</f>
        <v>12</v>
      </c>
      <c r="AK1439" s="50" t="n">
        <f aca="false">AJ1439*G1439</f>
        <v>1892.04</v>
      </c>
      <c r="AL1439" s="50" t="n">
        <f aca="false">ROUNDUP(CK1439+MAX(CL1439,2*(J1439/IF(CG1439&gt;0,CG1439,MAX(0.1,N(Cockpit!$C$6)))-CK1439)),0)</f>
        <v>53</v>
      </c>
      <c r="AM1439" s="51" t="n">
        <f aca="false">IF(AI1439&gt;0,J1439/AI1439,-1)</f>
        <v>0.790804597701149</v>
      </c>
      <c r="AN1439" s="51" t="str">
        <f aca="false">IF(AND(OR(CF1439="L1",CF1439="L23",CF1439="LIFT"),AI1439&gt;0),SUMIFS($AI$7:$AI$1843,$CF$7:$CF$1843,CF1439,$AM$7:$AM$1843,"&gt;"&amp;AM1439)+SUMIFS($AI$7:$AI$1843,$CF$7:$CF$1843,CF1439,$AM$7:$AM$1843,AM1439,$BW$7:$BW$1843,"&lt;="&amp;BW1439),"")</f>
        <v/>
      </c>
      <c r="AO1439" s="58" t="n">
        <f aca="false">IF(AN1439="",0,MAX(0,MIN(1,(IF(CF1439="L1",Parameter!$H$5,IF(CF1439="L23",Parameter!$H$6+Parameter!$H$7,Parameter!$H$5+Parameter!$H$6+Parameter!$H$7))-(AN1439-AI1439))/AI1439)))</f>
        <v>0</v>
      </c>
      <c r="AP1439" s="50" t="n">
        <f aca="false">IF(LEFT(Cockpit!$I$5,1)="A",H1439,IF(Parameter!$E$30="MAX-Bestand",IF(CH1439=1,CI1439,IF(LEFT(Cockpit!$I$5,1)="B",AV1439,MAX(AV1439,H1439))),ROUNDUP(AT1439,0)))</f>
        <v>29</v>
      </c>
      <c r="AQ1439" s="50" t="n">
        <f aca="false">IF(BZ1439=1,0,ROUNDUP(AP1439/BY1439,0))</f>
        <v>2</v>
      </c>
      <c r="AR1439" s="52" t="n">
        <f aca="false">IF(CQ1439&gt;0,CQ1439*MAX(1,AP1439/X1439),IF(BZ1439=1,IF(AP1439&lt;=0,0,CD1439*MAX(1,IF(H1439&gt;0,AP1439/H1439,1))),IF(R1439&gt;0,AQ1439/R1439,0))/MAX(0.1,N(Parameter!$M$21)))</f>
        <v>0.5</v>
      </c>
      <c r="AS1439" s="50" t="n">
        <f aca="false">AR1439*CB1439</f>
        <v>217.5</v>
      </c>
      <c r="AT1439" s="51" t="n">
        <f aca="false">IF(LEFT(Cockpit!$I$5,1)="A",H1439,IF(CH1439=1,(CK1439+CI1439)/2,IF(LEFT(Cockpit!$I$5,1)="B",(CK1439+AV1439)/2,MAX((CK1439+AV1439)/2,H1439))))</f>
        <v>29</v>
      </c>
      <c r="AU1439" s="50" t="n">
        <f aca="false">AT1439*G1439</f>
        <v>4572.43</v>
      </c>
      <c r="AV1439" s="50" t="n">
        <f aca="false">ROUNDUP(CK1439+MAX(CL1439,2*(J1439/IF(CG1439&gt;0,CG1439,MAX(0.1,N(Cockpit!$I$6)))-CK1439)),0)</f>
        <v>53</v>
      </c>
      <c r="AW1439" s="51" t="n">
        <f aca="false">IF(AS1439&gt;0,J1439/AS1439,-1)</f>
        <v>0.395402298850575</v>
      </c>
      <c r="AX1439" s="51" t="str">
        <f aca="false">IF(AND(OR(CF1439="L1",CF1439="L23",CF1439="LIFT"),AS1439&gt;0),SUMIFS($AS$7:$AS$1843,$CF$7:$CF$1843,CF1439,$AW$7:$AW$1843,"&gt;"&amp;AW1439)+SUMIFS($AS$7:$AS$1843,$CF$7:$CF$1843,CF1439,$AW$7:$AW$1843,AW1439,$BW$7:$BW$1843,"&lt;="&amp;BW1439),"")</f>
        <v/>
      </c>
      <c r="AY1439" s="58" t="n">
        <f aca="false">IF(AX1439="",0,MAX(0,MIN(1,(IF(CF1439="L1",Parameter!$H$5,IF(CF1439="L23",Parameter!$H$6+Parameter!$H$7,Parameter!$H$5+Parameter!$H$6+Parameter!$H$7))-(AX1439-AS1439))/AS1439)))</f>
        <v>0</v>
      </c>
      <c r="AZ1439" s="50" t="n">
        <f aca="false">IF(LEFT(Cockpit!$O$5,1)="A",H1439,IF(Parameter!$E$30="MAX-Bestand",IF(CH1439=1,CI1439,IF(LEFT(Cockpit!$O$5,1)="B",BF1439,MAX(BF1439,H1439))),ROUNDUP(BD1439,0)))</f>
        <v>22</v>
      </c>
      <c r="BA1439" s="50" t="n">
        <f aca="false">IF(BZ1439=1,0,ROUNDUP(AZ1439/BY1439,0))</f>
        <v>1</v>
      </c>
      <c r="BB1439" s="52" t="n">
        <f aca="false">IF(CQ1439&gt;0,CQ1439*MAX(1,AZ1439/X1439),IF(BZ1439=1,IF(AZ1439&lt;=0,0,CD1439*MAX(1,IF(H1439&gt;0,AZ1439/H1439,1))),IF(R1439&gt;0,BA1439/R1439,0))/MAX(0.1,N(Parameter!$M$21)))</f>
        <v>0.25</v>
      </c>
      <c r="BC1439" s="50" t="n">
        <f aca="false">BB1439*CB1439</f>
        <v>108.75</v>
      </c>
      <c r="BD1439" s="51" t="n">
        <f aca="false">IF(LEFT(Cockpit!$O$5,1)="A",H1439,IF(CH1439=1,(CK1439+CI1439)/2,IF(LEFT(Cockpit!$O$5,1)="B",(CK1439+BF1439)/2,MAX((CK1439+BF1439)/2,H1439))))</f>
        <v>21.5</v>
      </c>
      <c r="BE1439" s="50" t="n">
        <f aca="false">BD1439*G1439</f>
        <v>3389.905</v>
      </c>
      <c r="BF1439" s="50" t="n">
        <f aca="false">ROUNDUP(CK1439+MAX(CL1439,2*(J1439/IF(CG1439&gt;0,CG1439,MAX(0.1,N(Cockpit!$O$6)))-CK1439)),0)</f>
        <v>38</v>
      </c>
      <c r="BG1439" s="51" t="n">
        <f aca="false">IF(BC1439&gt;0,J1439/BC1439,-1)</f>
        <v>0.790804597701149</v>
      </c>
      <c r="BH1439" s="51" t="str">
        <f aca="false">IF(AND(OR(CF1439="L1",CF1439="L23",CF1439="LIFT"),BC1439&gt;0),SUMIFS($BC$7:$BC$1843,$CF$7:$CF$1843,CF1439,$BG$7:$BG$1843,"&gt;"&amp;BG1439)+SUMIFS($BC$7:$BC$1843,$CF$7:$CF$1843,CF1439,$BG$7:$BG$1843,BG1439,$BW$7:$BW$1843,"&lt;="&amp;BW1439),"")</f>
        <v/>
      </c>
      <c r="BI1439" s="58" t="n">
        <f aca="false">IF(BH1439="",0,MAX(0,MIN(1,(IF(CF1439="L1",Parameter!$H$5,IF(CF1439="L23",Parameter!$H$6+Parameter!$H$7,Parameter!$H$5+Parameter!$H$6+Parameter!$H$7))-(BH1439-BC1439))/BC1439)))</f>
        <v>0</v>
      </c>
      <c r="BJ1439" s="48" t="str">
        <f aca="false">IF(AI1439&lt;=0,"",IF(CF1439="Aussen","Aussenlager",IF(CF1439="-","Nicht im Lift",IF(AO1439&gt;=1,"Lift",IF(AO1439&lt;=0,"Aussenlager","teilweise")))))</f>
        <v>Nicht im Lift</v>
      </c>
      <c r="BK1439" s="48" t="str">
        <f aca="false">IF(AS1439&lt;=0,"",IF(CF1439="Aussen","Aussenlager",IF(CF1439="-","Nicht im Lift",IF(AY1439&gt;=1,"Lift",IF(AY1439&lt;=0,"Aussenlager","teilweise")))))</f>
        <v>Nicht im Lift</v>
      </c>
      <c r="BL1439" s="48" t="str">
        <f aca="false">IF(BC1439&lt;=0,"",IF(CF1439="Aussen","Aussenlager",IF(CF1439="-","Nicht im Lift",IF(BI1439&gt;=1,"Lift",IF(BI1439&lt;=0,"Aussenlager","teilweise")))))</f>
        <v>Nicht im Lift</v>
      </c>
      <c r="BM1439" s="48" t="str">
        <f aca="false">IF(A1439="","",IF(BV1439=1,"Neu; ","")&amp;IF(AND(BV1439=0,BQ1439&lt;0),"negativer Bestand (Export "&amp;BQ1439&amp;"); ","")&amp;IF(J1439&lt;=0,"Kein Verbrauch; ","")&amp;IF(CQ1439&gt;0,"Lift "&amp;W1439&amp;" lt. Liftbericht (Fach "&amp;X1439&amp;" Stk); ",IF(CA1439=1,"Gebinde geschätzt ("&amp;T1439&amp;"); ",IF(BZ1439=1,"Lose – Tablare geschätzt; ","")))&amp;IF(H1439&gt;AV1439,"Überbestand "&amp;ROUND(H1439-AV1439,0)&amp;" Stk / CHF "&amp;ROUND((H1439-AV1439)*G1439,0)&amp;"; ","")&amp;IF(AND(CH1439=1,CI1439&lt;CJ1439),"MAX &lt; MB+LG; ","")&amp;IF(AND(CP1439&gt;0,CO1439*10&gt;CP1439),"zu hoch für Tablar; ","")&amp;IF(AND(BV1439=0,OR(CH1439=1,AA1439&lt;&gt;"",U1439&lt;&gt;"",V1439&lt;&gt;"",AB1439&lt;&gt;"")),"manuell übersteuert; ","")&amp;IF(AND(BZ1439=0,R1439=0),"Gebinde unbekannt / Stellmass fehlt; ","")&amp;IF(AND(BZ1439=0,N(V1439)&lt;=0,N(Q1439)&lt;=0),"Menge pro Gebinde fehlt (Ist = 1 Gebinde); ","")&amp;BU1439)</f>
        <v>negativer Bestand (Export -56); </v>
      </c>
      <c r="BN1439" s="48"/>
      <c r="BO1439" s="48"/>
      <c r="BP1439" s="55"/>
      <c r="BQ1439" s="50" t="n">
        <v>-56</v>
      </c>
      <c r="BR1439" s="50" t="n">
        <v>68</v>
      </c>
      <c r="BS1439" s="49" t="n">
        <v>-8826.12</v>
      </c>
      <c r="BT1439" s="50" t="n">
        <v>86</v>
      </c>
      <c r="BU1439" s="48"/>
      <c r="BV1439" s="53" t="n">
        <v>0</v>
      </c>
      <c r="BW1439" s="53" t="n">
        <v>1439</v>
      </c>
      <c r="BX1439" s="48" t="str">
        <f aca="false">IF(U1439&lt;&gt;"",UPPER(TRIM(U1439)),IF(CA1439=1,UPPER(VLOOKUP(T1439,Parameter!$I$27:$K$29,2,0)),IF(P1439="","LOSE",P1439)))</f>
        <v>S82</v>
      </c>
      <c r="BY1439" s="50" t="n">
        <f aca="false">IF(BX1439="LOSE",1,IF(N(V1439)&gt;0,V1439,IF(CA1439=1,MAX(1,N(VLOOKUP(T1439,Parameter!$I$27:$K$29,3,0)),H1439,N(N1439)),IF(N(Q1439)&gt;0,Q1439,MAX(1,H1439)))))</f>
        <v>22</v>
      </c>
      <c r="BZ1439" s="53" t="n">
        <f aca="false">IF(BX1439="LOSE",1,0)</f>
        <v>0</v>
      </c>
      <c r="CA1439" s="53" t="n">
        <f aca="false">IF(AND(U1439="",OR(P1439="",P1439="LOSE"),T1439&lt;&gt;"",N(S1439)&lt;=0,ISNUMBER(MATCH(T1439,Parameter!$I$27:$I$29,0))),1,0)</f>
        <v>0</v>
      </c>
      <c r="CB1439" s="53" t="n">
        <f aca="false">IF(CQ1439&gt;0,INDEX(Parameter!$H$5:$H$7,W1439)/INDEX(Parameter!$E$5:$E$7,W1439),IF(AND(BZ1439=0,N(IFERROR(VLOOKUP(BX1439,'Gebinde-Kategorie'!$A$5:$N$45,14,0),0))&gt;0),VLOOKUP(BX1439,'Gebinde-Kategorie'!$A$5:$N$45,14,0)*10+Parameter!$M$23,Parameter!$M$24))</f>
        <v>435</v>
      </c>
      <c r="CC1439" s="48" t="str">
        <f aca="false">IF(AND(Parameter!$B$19="Ja",E1439&lt;&gt;"",ISNUMBER(MATCH(E1439,Parameter!$I$35:$I$52,0))),VLOOKUP(E1439,Parameter!$I$35:$J$52,2,0),IFERROR(VLOOKUP(D1439,Parameter!$A$35:$C$64,2,0),"Nein"))</f>
        <v>Nein</v>
      </c>
      <c r="CD1439" s="52" t="n">
        <f aca="false">IF(BZ1439=0,0,IF(N(S1439)&gt;0,S1439,IFERROR(VLOOKUP(D1439,Parameter!$A$35:$C$64,3,0)+0,0)))</f>
        <v>0</v>
      </c>
      <c r="CE1439" s="48" t="str">
        <f aca="false">IF(AA1439&lt;&gt;"",AA1439,Z1439)</f>
        <v>-</v>
      </c>
      <c r="CF1439" s="48" t="str">
        <f aca="false">IF(OR(CE1439=1,CE1439=2,CE1439=3),IF(Parameter!$E$27="Ja","LIFT",IF(CE1439=1,"L1","L23")),IF(CE1439="Aussen","Aussen","-"))</f>
        <v>-</v>
      </c>
      <c r="CG1439" s="59" t="n">
        <f aca="false">IF(N(AB1439)&gt;0,AB1439,0)</f>
        <v>0</v>
      </c>
      <c r="CH1439" s="53" t="n">
        <f aca="false">IF(ISNUMBER(AE1439),1,0)</f>
        <v>0</v>
      </c>
      <c r="CI1439" s="50" t="n">
        <f aca="false">N(AE1439)</f>
        <v>0</v>
      </c>
      <c r="CJ1439" s="50" t="n">
        <f aca="false">N(M1439)+N(N1439)</f>
        <v>30</v>
      </c>
      <c r="CK1439" s="50" t="n">
        <f aca="false">N(M1439)</f>
        <v>5</v>
      </c>
      <c r="CL1439" s="50" t="n">
        <f aca="false">N(N1439)</f>
        <v>25</v>
      </c>
      <c r="CM1439" s="50" t="n">
        <f aca="false">ROUNDUP(H1439/BY1439,0)</f>
        <v>1</v>
      </c>
      <c r="CN1439" s="50" t="n">
        <f aca="false">ROUNDUP(CI1439/BY1439,0)</f>
        <v>0</v>
      </c>
      <c r="CO1439" s="53" t="n">
        <f aca="false">IF(BZ1439=1,0,IFERROR(VLOOKUP(BX1439,'Gebinde-Kategorie'!$A$5:$N$45,5,0)+0,0))</f>
        <v>40</v>
      </c>
      <c r="CP1439" s="53" t="n">
        <f aca="false">IFERROR(IF(OR(CE1439=1,CE1439=2,CE1439=3),N(INDEX(Parameter!$I$5:$I$7,CE1439)),0),0)</f>
        <v>0</v>
      </c>
      <c r="CQ1439" s="52" t="n">
        <f aca="false">IF(AND(Parameter!$B$21="Ja",ISNUMBER(W1439),N(X1439)&gt;0),IFERROR(N(INDEX(Parameter!$L$5:$L$7,W1439))*INDEX(Parameter!$E$5:$E$7,W1439)*X1439/SUMIFS($X$7:$X$1843,$W$7:$W$1843,W1439),0),0)</f>
        <v>0</v>
      </c>
    </row>
    <row r="1440" customFormat="false" ht="15" hidden="false" customHeight="false" outlineLevel="0" collapsed="false">
      <c r="A1440" s="48" t="s">
        <v>2531</v>
      </c>
      <c r="B1440" s="48" t="s">
        <v>2532</v>
      </c>
      <c r="C1440" s="48" t="s">
        <v>173</v>
      </c>
      <c r="D1440" s="48" t="s">
        <v>362</v>
      </c>
      <c r="E1440" s="48"/>
      <c r="F1440" s="48"/>
      <c r="G1440" s="49" t="n">
        <v>4421.95</v>
      </c>
      <c r="H1440" s="50" t="n">
        <f aca="false">MAX(0,IF(AND(Parameter!$B$21="Ja",ISNUMBER(Y1440)),Y1440,IF(Parameter!$B$20="Jahresanfang 2025 + Export",BR1440+BQ1440,BQ1440)))</f>
        <v>0</v>
      </c>
      <c r="I1440" s="50" t="n">
        <f aca="false">H1440*G1440</f>
        <v>0</v>
      </c>
      <c r="J1440" s="50" t="n">
        <f aca="false">BT1440*Parameter!$B$18</f>
        <v>2</v>
      </c>
      <c r="K1440" s="51"/>
      <c r="L1440" s="52"/>
      <c r="M1440" s="50" t="n">
        <v>0</v>
      </c>
      <c r="N1440" s="50" t="n">
        <v>1</v>
      </c>
      <c r="O1440" s="53"/>
      <c r="P1440" s="48" t="s">
        <v>177</v>
      </c>
      <c r="Q1440" s="50"/>
      <c r="R1440" s="53" t="n">
        <f aca="false">IF(BZ1440=1,0,IFERROR(VLOOKUP(BX1440,'Gebinde-Kategorie'!$A$5:$N$45,13,0)+0,0))</f>
        <v>0</v>
      </c>
      <c r="S1440" s="54"/>
      <c r="T1440" s="55"/>
      <c r="U1440" s="55"/>
      <c r="V1440" s="55"/>
      <c r="W1440" s="48"/>
      <c r="X1440" s="50"/>
      <c r="Y1440" s="50"/>
      <c r="Z1440" s="48" t="str">
        <f aca="false">IF(A1440="","",IF(AND(Parameter!$B$21="Ja",ISNUMBER(W1440)),W1440,IF(CC1440="2+3",IF(ISNUMBER(SEARCH("grosser Artikel",BU1440)),2,IFERROR(VLOOKUP(BX1440,Parameter!$F$35:$G$64,2,0),2)),IF(OR(CC1440="Nein",CC1440=""),"-",CC1440))))</f>
        <v>-</v>
      </c>
      <c r="AA1440" s="55"/>
      <c r="AB1440" s="56"/>
      <c r="AC1440" s="50" t="n">
        <f aca="false">AV1440</f>
        <v>2</v>
      </c>
      <c r="AD1440" s="50" t="n">
        <f aca="false">MAX(AV1440,H1440)</f>
        <v>2</v>
      </c>
      <c r="AE1440" s="57"/>
      <c r="AF1440" s="50" t="n">
        <f aca="false">IF(LEFT(Cockpit!$C$5,1)="A",H1440,IF(Parameter!$E$30="MAX-Bestand",IF(CH1440=1,CI1440,IF(LEFT(Cockpit!$C$5,1)="B",AL1440,MAX(AL1440,H1440))),ROUNDUP(AJ1440,0)))</f>
        <v>0</v>
      </c>
      <c r="AG1440" s="50" t="n">
        <f aca="false">IF(BZ1440=1,0,ROUNDUP(AF1440/BY1440,0))</f>
        <v>0</v>
      </c>
      <c r="AH1440" s="52" t="n">
        <f aca="false">IF(CQ1440&gt;0,CQ1440*MAX(1,AF1440/X1440),IF(BZ1440=1,IF(AF1440&lt;=0,0,CD1440*MAX(1,IF(H1440&gt;0,AF1440/H1440,1))),IF(R1440&gt;0,AG1440/R1440,0))/MAX(0.1,N(Parameter!$M$21)))</f>
        <v>0</v>
      </c>
      <c r="AI1440" s="50" t="n">
        <f aca="false">AH1440*CB1440</f>
        <v>0</v>
      </c>
      <c r="AJ1440" s="51" t="n">
        <f aca="false">IF(LEFT(Cockpit!$C$5,1)="A",H1440,IF(CH1440=1,(CK1440+CI1440)/2,IF(LEFT(Cockpit!$C$5,1)="B",(CK1440+AL1440)/2,MAX((CK1440+AL1440)/2,H1440))))</f>
        <v>0</v>
      </c>
      <c r="AK1440" s="50" t="n">
        <f aca="false">AJ1440*G1440</f>
        <v>0</v>
      </c>
      <c r="AL1440" s="50" t="n">
        <f aca="false">ROUNDUP(CK1440+MAX(CL1440,2*(J1440/IF(CG1440&gt;0,CG1440,MAX(0.1,N(Cockpit!$C$6)))-CK1440)),0)</f>
        <v>2</v>
      </c>
      <c r="AM1440" s="51" t="n">
        <f aca="false">IF(AI1440&gt;0,J1440/AI1440,-1)</f>
        <v>-1</v>
      </c>
      <c r="AN1440" s="51" t="str">
        <f aca="false">IF(AND(OR(CF1440="L1",CF1440="L23",CF1440="LIFT"),AI1440&gt;0),SUMIFS($AI$7:$AI$1843,$CF$7:$CF$1843,CF1440,$AM$7:$AM$1843,"&gt;"&amp;AM1440)+SUMIFS($AI$7:$AI$1843,$CF$7:$CF$1843,CF1440,$AM$7:$AM$1843,AM1440,$BW$7:$BW$1843,"&lt;="&amp;BW1440),"")</f>
        <v/>
      </c>
      <c r="AO1440" s="58" t="n">
        <f aca="false">IF(AN1440="",0,MAX(0,MIN(1,(IF(CF1440="L1",Parameter!$H$5,IF(CF1440="L23",Parameter!$H$6+Parameter!$H$7,Parameter!$H$5+Parameter!$H$6+Parameter!$H$7))-(AN1440-AI1440))/AI1440)))</f>
        <v>0</v>
      </c>
      <c r="AP1440" s="50" t="n">
        <f aca="false">IF(LEFT(Cockpit!$I$5,1)="A",H1440,IF(Parameter!$E$30="MAX-Bestand",IF(CH1440=1,CI1440,IF(LEFT(Cockpit!$I$5,1)="B",AV1440,MAX(AV1440,H1440))),ROUNDUP(AT1440,0)))</f>
        <v>1</v>
      </c>
      <c r="AQ1440" s="50" t="n">
        <f aca="false">IF(BZ1440=1,0,ROUNDUP(AP1440/BY1440,0))</f>
        <v>0</v>
      </c>
      <c r="AR1440" s="52" t="n">
        <f aca="false">IF(CQ1440&gt;0,CQ1440*MAX(1,AP1440/X1440),IF(BZ1440=1,IF(AP1440&lt;=0,0,CD1440*MAX(1,IF(H1440&gt;0,AP1440/H1440,1))),IF(R1440&gt;0,AQ1440/R1440,0))/MAX(0.1,N(Parameter!$M$21)))</f>
        <v>0.15</v>
      </c>
      <c r="AS1440" s="50" t="n">
        <f aca="false">AR1440*CB1440</f>
        <v>35.25</v>
      </c>
      <c r="AT1440" s="51" t="n">
        <f aca="false">IF(LEFT(Cockpit!$I$5,1)="A",H1440,IF(CH1440=1,(CK1440+CI1440)/2,IF(LEFT(Cockpit!$I$5,1)="B",(CK1440+AV1440)/2,MAX((CK1440+AV1440)/2,H1440))))</f>
        <v>1</v>
      </c>
      <c r="AU1440" s="50" t="n">
        <f aca="false">AT1440*G1440</f>
        <v>4421.95</v>
      </c>
      <c r="AV1440" s="50" t="n">
        <f aca="false">ROUNDUP(CK1440+MAX(CL1440,2*(J1440/IF(CG1440&gt;0,CG1440,MAX(0.1,N(Cockpit!$I$6)))-CK1440)),0)</f>
        <v>2</v>
      </c>
      <c r="AW1440" s="51" t="n">
        <f aca="false">IF(AS1440&gt;0,J1440/AS1440,-1)</f>
        <v>0.0567375886524823</v>
      </c>
      <c r="AX1440" s="51" t="str">
        <f aca="false">IF(AND(OR(CF1440="L1",CF1440="L23",CF1440="LIFT"),AS1440&gt;0),SUMIFS($AS$7:$AS$1843,$CF$7:$CF$1843,CF1440,$AW$7:$AW$1843,"&gt;"&amp;AW1440)+SUMIFS($AS$7:$AS$1843,$CF$7:$CF$1843,CF1440,$AW$7:$AW$1843,AW1440,$BW$7:$BW$1843,"&lt;="&amp;BW1440),"")</f>
        <v/>
      </c>
      <c r="AY1440" s="58" t="n">
        <f aca="false">IF(AX1440="",0,MAX(0,MIN(1,(IF(CF1440="L1",Parameter!$H$5,IF(CF1440="L23",Parameter!$H$6+Parameter!$H$7,Parameter!$H$5+Parameter!$H$6+Parameter!$H$7))-(AX1440-AS1440))/AS1440)))</f>
        <v>0</v>
      </c>
      <c r="AZ1440" s="50" t="n">
        <f aca="false">IF(LEFT(Cockpit!$O$5,1)="A",H1440,IF(Parameter!$E$30="MAX-Bestand",IF(CH1440=1,CI1440,IF(LEFT(Cockpit!$O$5,1)="B",BF1440,MAX(BF1440,H1440))),ROUNDUP(BD1440,0)))</f>
        <v>1</v>
      </c>
      <c r="BA1440" s="50" t="n">
        <f aca="false">IF(BZ1440=1,0,ROUNDUP(AZ1440/BY1440,0))</f>
        <v>0</v>
      </c>
      <c r="BB1440" s="52" t="n">
        <f aca="false">IF(CQ1440&gt;0,CQ1440*MAX(1,AZ1440/X1440),IF(BZ1440=1,IF(AZ1440&lt;=0,0,CD1440*MAX(1,IF(H1440&gt;0,AZ1440/H1440,1))),IF(R1440&gt;0,BA1440/R1440,0))/MAX(0.1,N(Parameter!$M$21)))</f>
        <v>0.15</v>
      </c>
      <c r="BC1440" s="50" t="n">
        <f aca="false">BB1440*CB1440</f>
        <v>35.25</v>
      </c>
      <c r="BD1440" s="51" t="n">
        <f aca="false">IF(LEFT(Cockpit!$O$5,1)="A",H1440,IF(CH1440=1,(CK1440+CI1440)/2,IF(LEFT(Cockpit!$O$5,1)="B",(CK1440+BF1440)/2,MAX((CK1440+BF1440)/2,H1440))))</f>
        <v>0.5</v>
      </c>
      <c r="BE1440" s="50" t="n">
        <f aca="false">BD1440*G1440</f>
        <v>2210.975</v>
      </c>
      <c r="BF1440" s="50" t="n">
        <f aca="false">ROUNDUP(CK1440+MAX(CL1440,2*(J1440/IF(CG1440&gt;0,CG1440,MAX(0.1,N(Cockpit!$O$6)))-CK1440)),0)</f>
        <v>1</v>
      </c>
      <c r="BG1440" s="51" t="n">
        <f aca="false">IF(BC1440&gt;0,J1440/BC1440,-1)</f>
        <v>0.0567375886524823</v>
      </c>
      <c r="BH1440" s="51" t="str">
        <f aca="false">IF(AND(OR(CF1440="L1",CF1440="L23",CF1440="LIFT"),BC1440&gt;0),SUMIFS($BC$7:$BC$1843,$CF$7:$CF$1843,CF1440,$BG$7:$BG$1843,"&gt;"&amp;BG1440)+SUMIFS($BC$7:$BC$1843,$CF$7:$CF$1843,CF1440,$BG$7:$BG$1843,BG1440,$BW$7:$BW$1843,"&lt;="&amp;BW1440),"")</f>
        <v/>
      </c>
      <c r="BI1440" s="58" t="n">
        <f aca="false">IF(BH1440="",0,MAX(0,MIN(1,(IF(CF1440="L1",Parameter!$H$5,IF(CF1440="L23",Parameter!$H$6+Parameter!$H$7,Parameter!$H$5+Parameter!$H$6+Parameter!$H$7))-(BH1440-BC1440))/BC1440)))</f>
        <v>0</v>
      </c>
      <c r="BJ1440" s="48" t="str">
        <f aca="false">IF(AI1440&lt;=0,"",IF(CF1440="Aussen","Aussenlager",IF(CF1440="-","Nicht im Lift",IF(AO1440&gt;=1,"Lift",IF(AO1440&lt;=0,"Aussenlager","teilweise")))))</f>
        <v/>
      </c>
      <c r="BK1440" s="48" t="str">
        <f aca="false">IF(AS1440&lt;=0,"",IF(CF1440="Aussen","Aussenlager",IF(CF1440="-","Nicht im Lift",IF(AY1440&gt;=1,"Lift",IF(AY1440&lt;=0,"Aussenlager","teilweise")))))</f>
        <v>Nicht im Lift</v>
      </c>
      <c r="BL1440" s="48" t="str">
        <f aca="false">IF(BC1440&lt;=0,"",IF(CF1440="Aussen","Aussenlager",IF(CF1440="-","Nicht im Lift",IF(BI1440&gt;=1,"Lift",IF(BI1440&lt;=0,"Aussenlager","teilweise")))))</f>
        <v>Nicht im Lift</v>
      </c>
      <c r="BM1440" s="48" t="str">
        <f aca="false">IF(A1440="","",IF(BV1440=1,"Neu; ","")&amp;IF(AND(BV1440=0,BQ1440&lt;0),"negativer Bestand (Export "&amp;BQ1440&amp;"); ","")&amp;IF(J1440&lt;=0,"Kein Verbrauch; ","")&amp;IF(CQ1440&gt;0,"Lift "&amp;W1440&amp;" lt. Liftbericht (Fach "&amp;X1440&amp;" Stk); ",IF(CA1440=1,"Gebinde geschätzt ("&amp;T1440&amp;"); ",IF(BZ1440=1,"Lose – Tablare geschätzt; ","")))&amp;IF(H1440&gt;AV1440,"Überbestand "&amp;ROUND(H1440-AV1440,0)&amp;" Stk / CHF "&amp;ROUND((H1440-AV1440)*G1440,0)&amp;"; ","")&amp;IF(AND(CH1440=1,CI1440&lt;CJ1440),"MAX &lt; MB+LG; ","")&amp;IF(AND(CP1440&gt;0,CO1440*10&gt;CP1440),"zu hoch für Tablar; ","")&amp;IF(AND(BV1440=0,OR(CH1440=1,AA1440&lt;&gt;"",U1440&lt;&gt;"",V1440&lt;&gt;"",AB1440&lt;&gt;"")),"manuell übersteuert; ","")&amp;IF(AND(BZ1440=0,R1440=0),"Gebinde unbekannt / Stellmass fehlt; ","")&amp;IF(AND(BZ1440=0,N(V1440)&lt;=0,N(Q1440)&lt;=0),"Menge pro Gebinde fehlt (Ist = 1 Gebinde); ","")&amp;BU1440)</f>
        <v>negativer Bestand (Export -2); Lose – Tablare geschätzt; </v>
      </c>
      <c r="BN1440" s="48"/>
      <c r="BO1440" s="48"/>
      <c r="BP1440" s="55"/>
      <c r="BQ1440" s="50" t="n">
        <v>-2</v>
      </c>
      <c r="BR1440" s="50" t="n">
        <v>0</v>
      </c>
      <c r="BS1440" s="49" t="n">
        <v>-8843.9</v>
      </c>
      <c r="BT1440" s="50" t="n">
        <v>2</v>
      </c>
      <c r="BU1440" s="48"/>
      <c r="BV1440" s="53" t="n">
        <v>0</v>
      </c>
      <c r="BW1440" s="53" t="n">
        <v>1440</v>
      </c>
      <c r="BX1440" s="48" t="str">
        <f aca="false">IF(U1440&lt;&gt;"",UPPER(TRIM(U1440)),IF(CA1440=1,UPPER(VLOOKUP(T1440,Parameter!$I$27:$K$29,2,0)),IF(P1440="","LOSE",P1440)))</f>
        <v>LOSE</v>
      </c>
      <c r="BY1440" s="50" t="n">
        <f aca="false">IF(BX1440="LOSE",1,IF(N(V1440)&gt;0,V1440,IF(CA1440=1,MAX(1,N(VLOOKUP(T1440,Parameter!$I$27:$K$29,3,0)),H1440,N(N1440)),IF(N(Q1440)&gt;0,Q1440,MAX(1,H1440)))))</f>
        <v>1</v>
      </c>
      <c r="BZ1440" s="53" t="n">
        <f aca="false">IF(BX1440="LOSE",1,0)</f>
        <v>1</v>
      </c>
      <c r="CA1440" s="53" t="n">
        <f aca="false">IF(AND(U1440="",OR(P1440="",P1440="LOSE"),T1440&lt;&gt;"",N(S1440)&lt;=0,ISNUMBER(MATCH(T1440,Parameter!$I$27:$I$29,0))),1,0)</f>
        <v>0</v>
      </c>
      <c r="CB1440" s="53" t="n">
        <f aca="false">IF(CQ1440&gt;0,INDEX(Parameter!$H$5:$H$7,W1440)/INDEX(Parameter!$E$5:$E$7,W1440),IF(AND(BZ1440=0,N(IFERROR(VLOOKUP(BX1440,'Gebinde-Kategorie'!$A$5:$N$45,14,0),0))&gt;0),VLOOKUP(BX1440,'Gebinde-Kategorie'!$A$5:$N$45,14,0)*10+Parameter!$M$23,Parameter!$M$24))</f>
        <v>235</v>
      </c>
      <c r="CC1440" s="48" t="str">
        <f aca="false">IF(AND(Parameter!$B$19="Ja",E1440&lt;&gt;"",ISNUMBER(MATCH(E1440,Parameter!$I$35:$I$52,0))),VLOOKUP(E1440,Parameter!$I$35:$J$52,2,0),IFERROR(VLOOKUP(D1440,Parameter!$A$35:$C$64,2,0),"Nein"))</f>
        <v>Nein</v>
      </c>
      <c r="CD1440" s="52" t="n">
        <f aca="false">IF(BZ1440=0,0,IF(N(S1440)&gt;0,S1440,IFERROR(VLOOKUP(D1440,Parameter!$A$35:$C$64,3,0)+0,0)))</f>
        <v>0.15</v>
      </c>
      <c r="CE1440" s="48" t="str">
        <f aca="false">IF(AA1440&lt;&gt;"",AA1440,Z1440)</f>
        <v>-</v>
      </c>
      <c r="CF1440" s="48" t="str">
        <f aca="false">IF(OR(CE1440=1,CE1440=2,CE1440=3),IF(Parameter!$E$27="Ja","LIFT",IF(CE1440=1,"L1","L23")),IF(CE1440="Aussen","Aussen","-"))</f>
        <v>-</v>
      </c>
      <c r="CG1440" s="59" t="n">
        <f aca="false">IF(N(AB1440)&gt;0,AB1440,0)</f>
        <v>0</v>
      </c>
      <c r="CH1440" s="53" t="n">
        <f aca="false">IF(ISNUMBER(AE1440),1,0)</f>
        <v>0</v>
      </c>
      <c r="CI1440" s="50" t="n">
        <f aca="false">N(AE1440)</f>
        <v>0</v>
      </c>
      <c r="CJ1440" s="50" t="n">
        <f aca="false">N(M1440)+N(N1440)</f>
        <v>1</v>
      </c>
      <c r="CK1440" s="50" t="n">
        <f aca="false">N(M1440)</f>
        <v>0</v>
      </c>
      <c r="CL1440" s="50" t="n">
        <f aca="false">N(N1440)</f>
        <v>1</v>
      </c>
      <c r="CM1440" s="50" t="n">
        <f aca="false">ROUNDUP(H1440/BY1440,0)</f>
        <v>0</v>
      </c>
      <c r="CN1440" s="50" t="n">
        <f aca="false">ROUNDUP(CI1440/BY1440,0)</f>
        <v>0</v>
      </c>
      <c r="CO1440" s="53" t="n">
        <f aca="false">IF(BZ1440=1,0,IFERROR(VLOOKUP(BX1440,'Gebinde-Kategorie'!$A$5:$N$45,5,0)+0,0))</f>
        <v>0</v>
      </c>
      <c r="CP1440" s="53" t="n">
        <f aca="false">IFERROR(IF(OR(CE1440=1,CE1440=2,CE1440=3),N(INDEX(Parameter!$I$5:$I$7,CE1440)),0),0)</f>
        <v>0</v>
      </c>
      <c r="CQ1440" s="52" t="n">
        <f aca="false">IF(AND(Parameter!$B$21="Ja",ISNUMBER(W1440),N(X1440)&gt;0),IFERROR(N(INDEX(Parameter!$L$5:$L$7,W1440))*INDEX(Parameter!$E$5:$E$7,W1440)*X1440/SUMIFS($X$7:$X$1843,$W$7:$W$1843,W1440),0),0)</f>
        <v>0</v>
      </c>
    </row>
    <row r="1441" customFormat="false" ht="15" hidden="false" customHeight="false" outlineLevel="0" collapsed="false">
      <c r="A1441" s="48" t="s">
        <v>2533</v>
      </c>
      <c r="B1441" s="48" t="s">
        <v>2534</v>
      </c>
      <c r="C1441" s="48" t="s">
        <v>173</v>
      </c>
      <c r="D1441" s="48" t="s">
        <v>182</v>
      </c>
      <c r="E1441" s="48" t="s">
        <v>194</v>
      </c>
      <c r="F1441" s="48"/>
      <c r="G1441" s="49" t="n">
        <v>234.8</v>
      </c>
      <c r="H1441" s="50" t="n">
        <f aca="false">MAX(0,IF(AND(Parameter!$B$21="Ja",ISNUMBER(Y1441)),Y1441,IF(Parameter!$B$20="Jahresanfang 2025 + Export",BR1441+BQ1441,BQ1441)))</f>
        <v>0</v>
      </c>
      <c r="I1441" s="50" t="n">
        <f aca="false">H1441*G1441</f>
        <v>0</v>
      </c>
      <c r="J1441" s="50" t="n">
        <f aca="false">BT1441*Parameter!$B$18</f>
        <v>207</v>
      </c>
      <c r="K1441" s="51"/>
      <c r="L1441" s="52"/>
      <c r="M1441" s="50" t="n">
        <v>12</v>
      </c>
      <c r="N1441" s="50" t="n">
        <v>80</v>
      </c>
      <c r="O1441" s="53"/>
      <c r="P1441" s="48" t="s">
        <v>183</v>
      </c>
      <c r="Q1441" s="50" t="n">
        <v>20</v>
      </c>
      <c r="R1441" s="53" t="n">
        <f aca="false">IF(BZ1441=1,0,IFERROR(VLOOKUP(BX1441,'Gebinde-Kategorie'!$A$5:$N$45,13,0)+0,0))</f>
        <v>6</v>
      </c>
      <c r="S1441" s="54"/>
      <c r="T1441" s="55"/>
      <c r="U1441" s="55"/>
      <c r="V1441" s="55"/>
      <c r="W1441" s="48"/>
      <c r="X1441" s="50"/>
      <c r="Y1441" s="50"/>
      <c r="Z1441" s="48" t="n">
        <f aca="false">IF(A1441="","",IF(AND(Parameter!$B$21="Ja",ISNUMBER(W1441)),W1441,IF(CC1441="2+3",IF(ISNUMBER(SEARCH("grosser Artikel",BU1441)),2,IFERROR(VLOOKUP(BX1441,Parameter!$F$35:$G$64,2,0),2)),IF(OR(CC1441="Nein",CC1441=""),"-",CC1441))))</f>
        <v>2</v>
      </c>
      <c r="AA1441" s="55"/>
      <c r="AB1441" s="56"/>
      <c r="AC1441" s="50" t="n">
        <f aca="false">AV1441</f>
        <v>126</v>
      </c>
      <c r="AD1441" s="50" t="n">
        <f aca="false">MAX(AV1441,H1441)</f>
        <v>126</v>
      </c>
      <c r="AE1441" s="57"/>
      <c r="AF1441" s="50" t="n">
        <f aca="false">IF(LEFT(Cockpit!$C$5,1)="A",H1441,IF(Parameter!$E$30="MAX-Bestand",IF(CH1441=1,CI1441,IF(LEFT(Cockpit!$C$5,1)="B",AL1441,MAX(AL1441,H1441))),ROUNDUP(AJ1441,0)))</f>
        <v>0</v>
      </c>
      <c r="AG1441" s="50" t="n">
        <f aca="false">IF(BZ1441=1,0,ROUNDUP(AF1441/BY1441,0))</f>
        <v>0</v>
      </c>
      <c r="AH1441" s="52" t="n">
        <f aca="false">IF(CQ1441&gt;0,CQ1441*MAX(1,AF1441/X1441),IF(BZ1441=1,IF(AF1441&lt;=0,0,CD1441*MAX(1,IF(H1441&gt;0,AF1441/H1441,1))),IF(R1441&gt;0,AG1441/R1441,0))/MAX(0.1,N(Parameter!$M$21)))</f>
        <v>0</v>
      </c>
      <c r="AI1441" s="50" t="n">
        <f aca="false">AH1441*CB1441</f>
        <v>0</v>
      </c>
      <c r="AJ1441" s="51" t="n">
        <f aca="false">IF(LEFT(Cockpit!$C$5,1)="A",H1441,IF(CH1441=1,(CK1441+CI1441)/2,IF(LEFT(Cockpit!$C$5,1)="B",(CK1441+AL1441)/2,MAX((CK1441+AL1441)/2,H1441))))</f>
        <v>0</v>
      </c>
      <c r="AK1441" s="50" t="n">
        <f aca="false">AJ1441*G1441</f>
        <v>0</v>
      </c>
      <c r="AL1441" s="50" t="n">
        <f aca="false">ROUNDUP(CK1441+MAX(CL1441,2*(J1441/IF(CG1441&gt;0,CG1441,MAX(0.1,N(Cockpit!$C$6)))-CK1441)),0)</f>
        <v>126</v>
      </c>
      <c r="AM1441" s="51" t="n">
        <f aca="false">IF(AI1441&gt;0,J1441/AI1441,-1)</f>
        <v>-1</v>
      </c>
      <c r="AN1441" s="51" t="str">
        <f aca="false">IF(AND(OR(CF1441="L1",CF1441="L23",CF1441="LIFT"),AI1441&gt;0),SUMIFS($AI$7:$AI$1843,$CF$7:$CF$1843,CF1441,$AM$7:$AM$1843,"&gt;"&amp;AM1441)+SUMIFS($AI$7:$AI$1843,$CF$7:$CF$1843,CF1441,$AM$7:$AM$1843,AM1441,$BW$7:$BW$1843,"&lt;="&amp;BW1441),"")</f>
        <v/>
      </c>
      <c r="AO1441" s="58" t="n">
        <f aca="false">IF(AN1441="",0,MAX(0,MIN(1,(IF(CF1441="L1",Parameter!$H$5,IF(CF1441="L23",Parameter!$H$6+Parameter!$H$7,Parameter!$H$5+Parameter!$H$6+Parameter!$H$7))-(AN1441-AI1441))/AI1441)))</f>
        <v>0</v>
      </c>
      <c r="AP1441" s="50" t="n">
        <f aca="false">IF(LEFT(Cockpit!$I$5,1)="A",H1441,IF(Parameter!$E$30="MAX-Bestand",IF(CH1441=1,CI1441,IF(LEFT(Cockpit!$I$5,1)="B",AV1441,MAX(AV1441,H1441))),ROUNDUP(AT1441,0)))</f>
        <v>69</v>
      </c>
      <c r="AQ1441" s="50" t="n">
        <f aca="false">IF(BZ1441=1,0,ROUNDUP(AP1441/BY1441,0))</f>
        <v>4</v>
      </c>
      <c r="AR1441" s="52" t="n">
        <f aca="false">IF(CQ1441&gt;0,CQ1441*MAX(1,AP1441/X1441),IF(BZ1441=1,IF(AP1441&lt;=0,0,CD1441*MAX(1,IF(H1441&gt;0,AP1441/H1441,1))),IF(R1441&gt;0,AQ1441/R1441,0))/MAX(0.1,N(Parameter!$M$21)))</f>
        <v>0.666666666666667</v>
      </c>
      <c r="AS1441" s="50" t="n">
        <f aca="false">AR1441*CB1441</f>
        <v>156.666666666667</v>
      </c>
      <c r="AT1441" s="51" t="n">
        <f aca="false">IF(LEFT(Cockpit!$I$5,1)="A",H1441,IF(CH1441=1,(CK1441+CI1441)/2,IF(LEFT(Cockpit!$I$5,1)="B",(CK1441+AV1441)/2,MAX((CK1441+AV1441)/2,H1441))))</f>
        <v>69</v>
      </c>
      <c r="AU1441" s="50" t="n">
        <f aca="false">AT1441*G1441</f>
        <v>16201.2</v>
      </c>
      <c r="AV1441" s="50" t="n">
        <f aca="false">ROUNDUP(CK1441+MAX(CL1441,2*(J1441/IF(CG1441&gt;0,CG1441,MAX(0.1,N(Cockpit!$I$6)))-CK1441)),0)</f>
        <v>126</v>
      </c>
      <c r="AW1441" s="51" t="n">
        <f aca="false">IF(AS1441&gt;0,J1441/AS1441,-1)</f>
        <v>1.32127659574468</v>
      </c>
      <c r="AX1441" s="51" t="n">
        <f aca="false">IF(AND(OR(CF1441="L1",CF1441="L23",CF1441="LIFT"),AS1441&gt;0),SUMIFS($AS$7:$AS$1843,$CF$7:$CF$1843,CF1441,$AW$7:$AW$1843,"&gt;"&amp;AW1441)+SUMIFS($AS$7:$AS$1843,$CF$7:$CF$1843,CF1441,$AW$7:$AW$1843,AW1441,$BW$7:$BW$1843,"&lt;="&amp;BW1441),"")</f>
        <v>8047.7673992674</v>
      </c>
      <c r="AY1441" s="58" t="n">
        <f aca="false">IF(AX1441="",0,MAX(0,MIN(1,(IF(CF1441="L1",Parameter!$H$5,IF(CF1441="L23",Parameter!$H$6+Parameter!$H$7,Parameter!$H$5+Parameter!$H$6+Parameter!$H$7))-(AX1441-AS1441))/AS1441)))</f>
        <v>1</v>
      </c>
      <c r="AZ1441" s="50" t="n">
        <f aca="false">IF(LEFT(Cockpit!$O$5,1)="A",H1441,IF(Parameter!$E$30="MAX-Bestand",IF(CH1441=1,CI1441,IF(LEFT(Cockpit!$O$5,1)="B",BF1441,MAX(BF1441,H1441))),ROUNDUP(BD1441,0)))</f>
        <v>52</v>
      </c>
      <c r="BA1441" s="50" t="n">
        <f aca="false">IF(BZ1441=1,0,ROUNDUP(AZ1441/BY1441,0))</f>
        <v>3</v>
      </c>
      <c r="BB1441" s="52" t="n">
        <f aca="false">IF(CQ1441&gt;0,CQ1441*MAX(1,AZ1441/X1441),IF(BZ1441=1,IF(AZ1441&lt;=0,0,CD1441*MAX(1,IF(H1441&gt;0,AZ1441/H1441,1))),IF(R1441&gt;0,BA1441/R1441,0))/MAX(0.1,N(Parameter!$M$21)))</f>
        <v>0.5</v>
      </c>
      <c r="BC1441" s="50" t="n">
        <f aca="false">BB1441*CB1441</f>
        <v>117.5</v>
      </c>
      <c r="BD1441" s="51" t="n">
        <f aca="false">IF(LEFT(Cockpit!$O$5,1)="A",H1441,IF(CH1441=1,(CK1441+CI1441)/2,IF(LEFT(Cockpit!$O$5,1)="B",(CK1441+BF1441)/2,MAX((CK1441+BF1441)/2,H1441))))</f>
        <v>52</v>
      </c>
      <c r="BE1441" s="50" t="n">
        <f aca="false">BD1441*G1441</f>
        <v>12209.6</v>
      </c>
      <c r="BF1441" s="50" t="n">
        <f aca="false">ROUNDUP(CK1441+MAX(CL1441,2*(J1441/IF(CG1441&gt;0,CG1441,MAX(0.1,N(Cockpit!$O$6)))-CK1441)),0)</f>
        <v>92</v>
      </c>
      <c r="BG1441" s="51" t="n">
        <f aca="false">IF(BC1441&gt;0,J1441/BC1441,-1)</f>
        <v>1.76170212765957</v>
      </c>
      <c r="BH1441" s="51" t="n">
        <f aca="false">IF(AND(OR(CF1441="L1",CF1441="L23",CF1441="LIFT"),BC1441&gt;0),SUMIFS($BC$7:$BC$1843,$CF$7:$CF$1843,CF1441,$BG$7:$BG$1843,"&gt;"&amp;BG1441)+SUMIFS($BC$7:$BC$1843,$CF$7:$CF$1843,CF1441,$BG$7:$BG$1843,BG1441,$BW$7:$BW$1843,"&lt;="&amp;BW1441),"")</f>
        <v>6251.32921245421</v>
      </c>
      <c r="BI1441" s="58" t="n">
        <f aca="false">IF(BH1441="",0,MAX(0,MIN(1,(IF(CF1441="L1",Parameter!$H$5,IF(CF1441="L23",Parameter!$H$6+Parameter!$H$7,Parameter!$H$5+Parameter!$H$6+Parameter!$H$7))-(BH1441-BC1441))/BC1441)))</f>
        <v>1</v>
      </c>
      <c r="BJ1441" s="48" t="str">
        <f aca="false">IF(AI1441&lt;=0,"",IF(CF1441="Aussen","Aussenlager",IF(CF1441="-","Nicht im Lift",IF(AO1441&gt;=1,"Lift",IF(AO1441&lt;=0,"Aussenlager","teilweise")))))</f>
        <v/>
      </c>
      <c r="BK1441" s="48" t="str">
        <f aca="false">IF(AS1441&lt;=0,"",IF(CF1441="Aussen","Aussenlager",IF(CF1441="-","Nicht im Lift",IF(AY1441&gt;=1,"Lift",IF(AY1441&lt;=0,"Aussenlager","teilweise")))))</f>
        <v>Lift</v>
      </c>
      <c r="BL1441" s="48" t="str">
        <f aca="false">IF(BC1441&lt;=0,"",IF(CF1441="Aussen","Aussenlager",IF(CF1441="-","Nicht im Lift",IF(BI1441&gt;=1,"Lift",IF(BI1441&lt;=0,"Aussenlager","teilweise")))))</f>
        <v>Lift</v>
      </c>
      <c r="BM1441" s="48" t="str">
        <f aca="false">IF(A1441="","",IF(BV1441=1,"Neu; ","")&amp;IF(AND(BV1441=0,BQ1441&lt;0),"negativer Bestand (Export "&amp;BQ1441&amp;"); ","")&amp;IF(J1441&lt;=0,"Kein Verbrauch; ","")&amp;IF(CQ1441&gt;0,"Lift "&amp;W1441&amp;" lt. Liftbericht (Fach "&amp;X1441&amp;" Stk); ",IF(CA1441=1,"Gebinde geschätzt ("&amp;T1441&amp;"); ",IF(BZ1441=1,"Lose – Tablare geschätzt; ","")))&amp;IF(H1441&gt;AV1441,"Überbestand "&amp;ROUND(H1441-AV1441,0)&amp;" Stk / CHF "&amp;ROUND((H1441-AV1441)*G1441,0)&amp;"; ","")&amp;IF(AND(CH1441=1,CI1441&lt;CJ1441),"MAX &lt; MB+LG; ","")&amp;IF(AND(CP1441&gt;0,CO1441*10&gt;CP1441),"zu hoch für Tablar; ","")&amp;IF(AND(BV1441=0,OR(CH1441=1,AA1441&lt;&gt;"",U1441&lt;&gt;"",V1441&lt;&gt;"",AB1441&lt;&gt;"")),"manuell übersteuert; ","")&amp;IF(AND(BZ1441=0,R1441=0),"Gebinde unbekannt / Stellmass fehlt; ","")&amp;IF(AND(BZ1441=0,N(V1441)&lt;=0,N(Q1441)&lt;=0),"Menge pro Gebinde fehlt (Ist = 1 Gebinde); ","")&amp;BU1441)</f>
        <v>negativer Bestand (Export -43); grosser Artikel &amp; nicht im KTL</v>
      </c>
      <c r="BN1441" s="48"/>
      <c r="BO1441" s="48"/>
      <c r="BP1441" s="55"/>
      <c r="BQ1441" s="50" t="n">
        <v>-43</v>
      </c>
      <c r="BR1441" s="50" t="n">
        <v>0</v>
      </c>
      <c r="BS1441" s="49" t="n">
        <v>-8983.15</v>
      </c>
      <c r="BT1441" s="50" t="n">
        <v>207</v>
      </c>
      <c r="BU1441" s="48" t="s">
        <v>270</v>
      </c>
      <c r="BV1441" s="53" t="n">
        <v>0</v>
      </c>
      <c r="BW1441" s="53" t="n">
        <v>1441</v>
      </c>
      <c r="BX1441" s="48" t="str">
        <f aca="false">IF(U1441&lt;&gt;"",UPPER(TRIM(U1441)),IF(CA1441=1,UPPER(VLOOKUP(T1441,Parameter!$I$27:$K$29,2,0)),IF(P1441="","LOSE",P1441)))</f>
        <v>S71</v>
      </c>
      <c r="BY1441" s="50" t="n">
        <f aca="false">IF(BX1441="LOSE",1,IF(N(V1441)&gt;0,V1441,IF(CA1441=1,MAX(1,N(VLOOKUP(T1441,Parameter!$I$27:$K$29,3,0)),H1441,N(N1441)),IF(N(Q1441)&gt;0,Q1441,MAX(1,H1441)))))</f>
        <v>20</v>
      </c>
      <c r="BZ1441" s="53" t="n">
        <f aca="false">IF(BX1441="LOSE",1,0)</f>
        <v>0</v>
      </c>
      <c r="CA1441" s="53" t="n">
        <f aca="false">IF(AND(U1441="",OR(P1441="",P1441="LOSE"),T1441&lt;&gt;"",N(S1441)&lt;=0,ISNUMBER(MATCH(T1441,Parameter!$I$27:$I$29,0))),1,0)</f>
        <v>0</v>
      </c>
      <c r="CB1441" s="53" t="n">
        <f aca="false">IF(CQ1441&gt;0,INDEX(Parameter!$H$5:$H$7,W1441)/INDEX(Parameter!$E$5:$E$7,W1441),IF(AND(BZ1441=0,N(IFERROR(VLOOKUP(BX1441,'Gebinde-Kategorie'!$A$5:$N$45,14,0),0))&gt;0),VLOOKUP(BX1441,'Gebinde-Kategorie'!$A$5:$N$45,14,0)*10+Parameter!$M$23,Parameter!$M$24))</f>
        <v>235</v>
      </c>
      <c r="CC1441" s="48" t="str">
        <f aca="false">IF(AND(Parameter!$B$19="Ja",E1441&lt;&gt;"",ISNUMBER(MATCH(E1441,Parameter!$I$35:$I$52,0))),VLOOKUP(E1441,Parameter!$I$35:$J$52,2,0),IFERROR(VLOOKUP(D1441,Parameter!$A$35:$C$64,2,0),"Nein"))</f>
        <v>2+3</v>
      </c>
      <c r="CD1441" s="52" t="n">
        <f aca="false">IF(BZ1441=0,0,IF(N(S1441)&gt;0,S1441,IFERROR(VLOOKUP(D1441,Parameter!$A$35:$C$64,3,0)+0,0)))</f>
        <v>0</v>
      </c>
      <c r="CE1441" s="48" t="n">
        <f aca="false">IF(AA1441&lt;&gt;"",AA1441,Z1441)</f>
        <v>2</v>
      </c>
      <c r="CF1441" s="48" t="str">
        <f aca="false">IF(OR(CE1441=1,CE1441=2,CE1441=3),IF(Parameter!$E$27="Ja","LIFT",IF(CE1441=1,"L1","L23")),IF(CE1441="Aussen","Aussen","-"))</f>
        <v>LIFT</v>
      </c>
      <c r="CG1441" s="59" t="n">
        <f aca="false">IF(N(AB1441)&gt;0,AB1441,0)</f>
        <v>0</v>
      </c>
      <c r="CH1441" s="53" t="n">
        <f aca="false">IF(ISNUMBER(AE1441),1,0)</f>
        <v>0</v>
      </c>
      <c r="CI1441" s="50" t="n">
        <f aca="false">N(AE1441)</f>
        <v>0</v>
      </c>
      <c r="CJ1441" s="50" t="n">
        <f aca="false">N(M1441)+N(N1441)</f>
        <v>92</v>
      </c>
      <c r="CK1441" s="50" t="n">
        <f aca="false">N(M1441)</f>
        <v>12</v>
      </c>
      <c r="CL1441" s="50" t="n">
        <f aca="false">N(N1441)</f>
        <v>80</v>
      </c>
      <c r="CM1441" s="50" t="n">
        <f aca="false">ROUNDUP(H1441/BY1441,0)</f>
        <v>0</v>
      </c>
      <c r="CN1441" s="50" t="n">
        <f aca="false">ROUNDUP(CI1441/BY1441,0)</f>
        <v>0</v>
      </c>
      <c r="CO1441" s="53" t="n">
        <f aca="false">IF(BZ1441=1,0,IFERROR(VLOOKUP(BX1441,'Gebinde-Kategorie'!$A$5:$N$45,5,0)+0,0))</f>
        <v>20</v>
      </c>
      <c r="CP1441" s="53" t="n">
        <f aca="false">IFERROR(IF(OR(CE1441=1,CE1441=2,CE1441=3),N(INDEX(Parameter!$I$5:$I$7,CE1441)),0),0)</f>
        <v>0</v>
      </c>
      <c r="CQ1441" s="52" t="n">
        <f aca="false">IF(AND(Parameter!$B$21="Ja",ISNUMBER(W1441),N(X1441)&gt;0),IFERROR(N(INDEX(Parameter!$L$5:$L$7,W1441))*INDEX(Parameter!$E$5:$E$7,W1441)*X1441/SUMIFS($X$7:$X$1843,$W$7:$W$1843,W1441),0),0)</f>
        <v>0</v>
      </c>
    </row>
    <row r="1442" customFormat="false" ht="15" hidden="false" customHeight="false" outlineLevel="0" collapsed="false">
      <c r="A1442" s="48" t="s">
        <v>2535</v>
      </c>
      <c r="B1442" s="48" t="s">
        <v>2536</v>
      </c>
      <c r="C1442" s="48" t="s">
        <v>176</v>
      </c>
      <c r="D1442" s="48" t="s">
        <v>174</v>
      </c>
      <c r="E1442" s="48"/>
      <c r="F1442" s="48"/>
      <c r="G1442" s="49" t="n">
        <v>1549.14</v>
      </c>
      <c r="H1442" s="50" t="n">
        <f aca="false">MAX(0,IF(AND(Parameter!$B$21="Ja",ISNUMBER(Y1442)),Y1442,IF(Parameter!$B$20="Jahresanfang 2025 + Export",BR1442+BQ1442,BQ1442)))</f>
        <v>8</v>
      </c>
      <c r="I1442" s="50" t="n">
        <f aca="false">H1442*G1442</f>
        <v>12393.12</v>
      </c>
      <c r="J1442" s="50" t="n">
        <f aca="false">BT1442*Parameter!$B$18</f>
        <v>13</v>
      </c>
      <c r="K1442" s="51"/>
      <c r="L1442" s="52"/>
      <c r="M1442" s="50" t="n">
        <v>3</v>
      </c>
      <c r="N1442" s="50" t="n">
        <v>3</v>
      </c>
      <c r="O1442" s="53"/>
      <c r="P1442" s="48" t="s">
        <v>177</v>
      </c>
      <c r="Q1442" s="50"/>
      <c r="R1442" s="53" t="n">
        <f aca="false">IF(BZ1442=1,0,IFERROR(VLOOKUP(BX1442,'Gebinde-Kategorie'!$A$5:$N$45,13,0)+0,0))</f>
        <v>0</v>
      </c>
      <c r="S1442" s="54"/>
      <c r="T1442" s="55"/>
      <c r="U1442" s="55"/>
      <c r="V1442" s="55"/>
      <c r="W1442" s="48" t="n">
        <v>1</v>
      </c>
      <c r="X1442" s="50" t="n">
        <v>20</v>
      </c>
      <c r="Y1442" s="50" t="n">
        <v>8</v>
      </c>
      <c r="Z1442" s="48" t="n">
        <f aca="false">IF(A1442="","",IF(AND(Parameter!$B$21="Ja",ISNUMBER(W1442)),W1442,IF(CC1442="2+3",IF(ISNUMBER(SEARCH("grosser Artikel",BU1442)),2,IFERROR(VLOOKUP(BX1442,Parameter!$F$35:$G$64,2,0),2)),IF(OR(CC1442="Nein",CC1442=""),"-",CC1442))))</f>
        <v>1</v>
      </c>
      <c r="AA1442" s="55"/>
      <c r="AB1442" s="56"/>
      <c r="AC1442" s="50" t="n">
        <f aca="false">AV1442</f>
        <v>6</v>
      </c>
      <c r="AD1442" s="50" t="n">
        <f aca="false">MAX(AV1442,H1442)</f>
        <v>8</v>
      </c>
      <c r="AE1442" s="57"/>
      <c r="AF1442" s="50" t="n">
        <f aca="false">IF(LEFT(Cockpit!$C$5,1)="A",H1442,IF(Parameter!$E$30="MAX-Bestand",IF(CH1442=1,CI1442,IF(LEFT(Cockpit!$C$5,1)="B",AL1442,MAX(AL1442,H1442))),ROUNDUP(AJ1442,0)))</f>
        <v>8</v>
      </c>
      <c r="AG1442" s="50" t="n">
        <f aca="false">IF(BZ1442=1,0,ROUNDUP(AF1442/BY1442,0))</f>
        <v>0</v>
      </c>
      <c r="AH1442" s="52" t="n">
        <f aca="false">IF(CQ1442&gt;0,CQ1442*MAX(1,AF1442/X1442),IF(BZ1442=1,IF(AF1442&lt;=0,0,CD1442*MAX(1,IF(H1442&gt;0,AF1442/H1442,1))),IF(R1442&gt;0,AG1442/R1442,0))/MAX(0.1,N(Parameter!$M$21)))</f>
        <v>1.60075329566855</v>
      </c>
      <c r="AI1442" s="50" t="n">
        <f aca="false">AH1442*CB1442</f>
        <v>380.979284369115</v>
      </c>
      <c r="AJ1442" s="51" t="n">
        <f aca="false">IF(LEFT(Cockpit!$C$5,1)="A",H1442,IF(CH1442=1,(CK1442+CI1442)/2,IF(LEFT(Cockpit!$C$5,1)="B",(CK1442+AL1442)/2,MAX((CK1442+AL1442)/2,H1442))))</f>
        <v>8</v>
      </c>
      <c r="AK1442" s="50" t="n">
        <f aca="false">AJ1442*G1442</f>
        <v>12393.12</v>
      </c>
      <c r="AL1442" s="50" t="n">
        <f aca="false">ROUNDUP(CK1442+MAX(CL1442,2*(J1442/IF(CG1442&gt;0,CG1442,MAX(0.1,N(Cockpit!$C$6)))-CK1442)),0)</f>
        <v>6</v>
      </c>
      <c r="AM1442" s="51" t="n">
        <f aca="false">IF(AI1442&gt;0,J1442/AI1442,-1)</f>
        <v>0.0341225902125556</v>
      </c>
      <c r="AN1442" s="51" t="n">
        <f aca="false">IF(AND(OR(CF1442="L1",CF1442="L23",CF1442="LIFT"),AI1442&gt;0),SUMIFS($AI$7:$AI$1843,$CF$7:$CF$1843,CF1442,$AM$7:$AM$1843,"&gt;"&amp;AM1442)+SUMIFS($AI$7:$AI$1843,$CF$7:$CF$1843,CF1442,$AM$7:$AM$1843,AM1442,$BW$7:$BW$1843,"&lt;="&amp;BW1442),"")</f>
        <v>20362.1002643778</v>
      </c>
      <c r="AO1442" s="58" t="n">
        <f aca="false">IF(AN1442="",0,MAX(0,MIN(1,(IF(CF1442="L1",Parameter!$H$5,IF(CF1442="L23",Parameter!$H$6+Parameter!$H$7,Parameter!$H$5+Parameter!$H$6+Parameter!$H$7))-(AN1442-AI1442))/AI1442)))</f>
        <v>1</v>
      </c>
      <c r="AP1442" s="50" t="n">
        <f aca="false">IF(LEFT(Cockpit!$I$5,1)="A",H1442,IF(Parameter!$E$30="MAX-Bestand",IF(CH1442=1,CI1442,IF(LEFT(Cockpit!$I$5,1)="B",AV1442,MAX(AV1442,H1442))),ROUNDUP(AT1442,0)))</f>
        <v>8</v>
      </c>
      <c r="AQ1442" s="50" t="n">
        <f aca="false">IF(BZ1442=1,0,ROUNDUP(AP1442/BY1442,0))</f>
        <v>0</v>
      </c>
      <c r="AR1442" s="52" t="n">
        <f aca="false">IF(CQ1442&gt;0,CQ1442*MAX(1,AP1442/X1442),IF(BZ1442=1,IF(AP1442&lt;=0,0,CD1442*MAX(1,IF(H1442&gt;0,AP1442/H1442,1))),IF(R1442&gt;0,AQ1442/R1442,0))/MAX(0.1,N(Parameter!$M$21)))</f>
        <v>1.60075329566855</v>
      </c>
      <c r="AS1442" s="50" t="n">
        <f aca="false">AR1442*CB1442</f>
        <v>380.979284369115</v>
      </c>
      <c r="AT1442" s="51" t="n">
        <f aca="false">IF(LEFT(Cockpit!$I$5,1)="A",H1442,IF(CH1442=1,(CK1442+CI1442)/2,IF(LEFT(Cockpit!$I$5,1)="B",(CK1442+AV1442)/2,MAX((CK1442+AV1442)/2,H1442))))</f>
        <v>8</v>
      </c>
      <c r="AU1442" s="50" t="n">
        <f aca="false">AT1442*G1442</f>
        <v>12393.12</v>
      </c>
      <c r="AV1442" s="50" t="n">
        <f aca="false">ROUNDUP(CK1442+MAX(CL1442,2*(J1442/IF(CG1442&gt;0,CG1442,MAX(0.1,N(Cockpit!$I$6)))-CK1442)),0)</f>
        <v>6</v>
      </c>
      <c r="AW1442" s="51" t="n">
        <f aca="false">IF(AS1442&gt;0,J1442/AS1442,-1)</f>
        <v>0.0341225902125556</v>
      </c>
      <c r="AX1442" s="51" t="n">
        <f aca="false">IF(AND(OR(CF1442="L1",CF1442="L23",CF1442="LIFT"),AS1442&gt;0),SUMIFS($AS$7:$AS$1843,$CF$7:$CF$1843,CF1442,$AW$7:$AW$1843,"&gt;"&amp;AW1442)+SUMIFS($AS$7:$AS$1843,$CF$7:$CF$1843,CF1442,$AW$7:$AW$1843,AW1442,$BW$7:$BW$1843,"&lt;="&amp;BW1442),"")</f>
        <v>25421.4989057553</v>
      </c>
      <c r="AY1442" s="58" t="n">
        <f aca="false">IF(AX1442="",0,MAX(0,MIN(1,(IF(CF1442="L1",Parameter!$H$5,IF(CF1442="L23",Parameter!$H$6+Parameter!$H$7,Parameter!$H$5+Parameter!$H$6+Parameter!$H$7))-(AX1442-AS1442))/AS1442)))</f>
        <v>1</v>
      </c>
      <c r="AZ1442" s="50" t="n">
        <f aca="false">IF(LEFT(Cockpit!$O$5,1)="A",H1442,IF(Parameter!$E$30="MAX-Bestand",IF(CH1442=1,CI1442,IF(LEFT(Cockpit!$O$5,1)="B",BF1442,MAX(BF1442,H1442))),ROUNDUP(BD1442,0)))</f>
        <v>5</v>
      </c>
      <c r="BA1442" s="50" t="n">
        <f aca="false">IF(BZ1442=1,0,ROUNDUP(AZ1442/BY1442,0))</f>
        <v>0</v>
      </c>
      <c r="BB1442" s="52" t="n">
        <f aca="false">IF(CQ1442&gt;0,CQ1442*MAX(1,AZ1442/X1442),IF(BZ1442=1,IF(AZ1442&lt;=0,0,CD1442*MAX(1,IF(H1442&gt;0,AZ1442/H1442,1))),IF(R1442&gt;0,BA1442/R1442,0))/MAX(0.1,N(Parameter!$M$21)))</f>
        <v>1.60075329566855</v>
      </c>
      <c r="BC1442" s="50" t="n">
        <f aca="false">BB1442*CB1442</f>
        <v>380.979284369115</v>
      </c>
      <c r="BD1442" s="51" t="n">
        <f aca="false">IF(LEFT(Cockpit!$O$5,1)="A",H1442,IF(CH1442=1,(CK1442+CI1442)/2,IF(LEFT(Cockpit!$O$5,1)="B",(CK1442+BF1442)/2,MAX((CK1442+BF1442)/2,H1442))))</f>
        <v>4.5</v>
      </c>
      <c r="BE1442" s="50" t="n">
        <f aca="false">BD1442*G1442</f>
        <v>6971.13</v>
      </c>
      <c r="BF1442" s="50" t="n">
        <f aca="false">ROUNDUP(CK1442+MAX(CL1442,2*(J1442/IF(CG1442&gt;0,CG1442,MAX(0.1,N(Cockpit!$O$6)))-CK1442)),0)</f>
        <v>6</v>
      </c>
      <c r="BG1442" s="51" t="n">
        <f aca="false">IF(BC1442&gt;0,J1442/BC1442,-1)</f>
        <v>0.0341225902125556</v>
      </c>
      <c r="BH1442" s="51" t="n">
        <f aca="false">IF(AND(OR(CF1442="L1",CF1442="L23",CF1442="LIFT"),BC1442&gt;0),SUMIFS($BC$7:$BC$1843,$CF$7:$CF$1843,CF1442,$BG$7:$BG$1843,"&gt;"&amp;BG1442)+SUMIFS($BC$7:$BC$1843,$CF$7:$CF$1843,CF1442,$BG$7:$BG$1843,BG1442,$BW$7:$BW$1843,"&lt;="&amp;BW1442),"")</f>
        <v>21271.4140823865</v>
      </c>
      <c r="BI1442" s="58" t="n">
        <f aca="false">IF(BH1442="",0,MAX(0,MIN(1,(IF(CF1442="L1",Parameter!$H$5,IF(CF1442="L23",Parameter!$H$6+Parameter!$H$7,Parameter!$H$5+Parameter!$H$6+Parameter!$H$7))-(BH1442-BC1442))/BC1442)))</f>
        <v>1</v>
      </c>
      <c r="BJ1442" s="48" t="str">
        <f aca="false">IF(AI1442&lt;=0,"",IF(CF1442="Aussen","Aussenlager",IF(CF1442="-","Nicht im Lift",IF(AO1442&gt;=1,"Lift",IF(AO1442&lt;=0,"Aussenlager","teilweise")))))</f>
        <v>Lift</v>
      </c>
      <c r="BK1442" s="48" t="str">
        <f aca="false">IF(AS1442&lt;=0,"",IF(CF1442="Aussen","Aussenlager",IF(CF1442="-","Nicht im Lift",IF(AY1442&gt;=1,"Lift",IF(AY1442&lt;=0,"Aussenlager","teilweise")))))</f>
        <v>Lift</v>
      </c>
      <c r="BL1442" s="48" t="str">
        <f aca="false">IF(BC1442&lt;=0,"",IF(CF1442="Aussen","Aussenlager",IF(CF1442="-","Nicht im Lift",IF(BI1442&gt;=1,"Lift",IF(BI1442&lt;=0,"Aussenlager","teilweise")))))</f>
        <v>Lift</v>
      </c>
      <c r="BM1442" s="48" t="str">
        <f aca="false">IF(A1442="","",IF(BV1442=1,"Neu; ","")&amp;IF(AND(BV1442=0,BQ1442&lt;0),"negativer Bestand (Export "&amp;BQ1442&amp;"); ","")&amp;IF(J1442&lt;=0,"Kein Verbrauch; ","")&amp;IF(CQ1442&gt;0,"Lift "&amp;W1442&amp;" lt. Liftbericht (Fach "&amp;X1442&amp;" Stk); ",IF(CA1442=1,"Gebinde geschätzt ("&amp;T1442&amp;"); ",IF(BZ1442=1,"Lose – Tablare geschätzt; ","")))&amp;IF(H1442&gt;AV1442,"Überbestand "&amp;ROUND(H1442-AV1442,0)&amp;" Stk / CHF "&amp;ROUND((H1442-AV1442)*G1442,0)&amp;"; ","")&amp;IF(AND(CH1442=1,CI1442&lt;CJ1442),"MAX &lt; MB+LG; ","")&amp;IF(AND(CP1442&gt;0,CO1442*10&gt;CP1442),"zu hoch für Tablar; ","")&amp;IF(AND(BV1442=0,OR(CH1442=1,AA1442&lt;&gt;"",U1442&lt;&gt;"",V1442&lt;&gt;"",AB1442&lt;&gt;"")),"manuell übersteuert; ","")&amp;IF(AND(BZ1442=0,R1442=0),"Gebinde unbekannt / Stellmass fehlt; ","")&amp;IF(AND(BZ1442=0,N(V1442)&lt;=0,N(Q1442)&lt;=0),"Menge pro Gebinde fehlt (Ist = 1 Gebinde); ","")&amp;BU1442)</f>
        <v>negativer Bestand (Export -6); Lift 1 lt. Liftbericht (Fach 20 Stk); Überbestand 2 Stk / CHF 3098; </v>
      </c>
      <c r="BN1442" s="48"/>
      <c r="BO1442" s="48"/>
      <c r="BP1442" s="55"/>
      <c r="BQ1442" s="50" t="n">
        <v>-6</v>
      </c>
      <c r="BR1442" s="50" t="n">
        <v>0</v>
      </c>
      <c r="BS1442" s="49" t="n">
        <v>-9049.02</v>
      </c>
      <c r="BT1442" s="50" t="n">
        <v>13</v>
      </c>
      <c r="BU1442" s="48"/>
      <c r="BV1442" s="53" t="n">
        <v>0</v>
      </c>
      <c r="BW1442" s="53" t="n">
        <v>1442</v>
      </c>
      <c r="BX1442" s="48" t="str">
        <f aca="false">IF(U1442&lt;&gt;"",UPPER(TRIM(U1442)),IF(CA1442=1,UPPER(VLOOKUP(T1442,Parameter!$I$27:$K$29,2,0)),IF(P1442="","LOSE",P1442)))</f>
        <v>LOSE</v>
      </c>
      <c r="BY1442" s="50" t="n">
        <f aca="false">IF(BX1442="LOSE",1,IF(N(V1442)&gt;0,V1442,IF(CA1442=1,MAX(1,N(VLOOKUP(T1442,Parameter!$I$27:$K$29,3,0)),H1442,N(N1442)),IF(N(Q1442)&gt;0,Q1442,MAX(1,H1442)))))</f>
        <v>1</v>
      </c>
      <c r="BZ1442" s="53" t="n">
        <f aca="false">IF(BX1442="LOSE",1,0)</f>
        <v>1</v>
      </c>
      <c r="CA1442" s="53" t="n">
        <f aca="false">IF(AND(U1442="",OR(P1442="",P1442="LOSE"),T1442&lt;&gt;"",N(S1442)&lt;=0,ISNUMBER(MATCH(T1442,Parameter!$I$27:$I$29,0))),1,0)</f>
        <v>0</v>
      </c>
      <c r="CB1442" s="53" t="n">
        <f aca="false">IF(CQ1442&gt;0,INDEX(Parameter!$H$5:$H$7,W1442)/INDEX(Parameter!$E$5:$E$7,W1442),IF(AND(BZ1442=0,N(IFERROR(VLOOKUP(BX1442,'Gebinde-Kategorie'!$A$5:$N$45,14,0),0))&gt;0),VLOOKUP(BX1442,'Gebinde-Kategorie'!$A$5:$N$45,14,0)*10+Parameter!$M$23,Parameter!$M$24))</f>
        <v>238</v>
      </c>
      <c r="CC1442" s="48" t="n">
        <f aca="false">IF(AND(Parameter!$B$19="Ja",E1442&lt;&gt;"",ISNUMBER(MATCH(E1442,Parameter!$I$35:$I$52,0))),VLOOKUP(E1442,Parameter!$I$35:$J$52,2,0),IFERROR(VLOOKUP(D1442,Parameter!$A$35:$C$64,2,0),"Nein"))</f>
        <v>1</v>
      </c>
      <c r="CD1442" s="52" t="n">
        <f aca="false">IF(BZ1442=0,0,IF(N(S1442)&gt;0,S1442,IFERROR(VLOOKUP(D1442,Parameter!$A$35:$C$64,3,0)+0,0)))</f>
        <v>1</v>
      </c>
      <c r="CE1442" s="48" t="n">
        <f aca="false">IF(AA1442&lt;&gt;"",AA1442,Z1442)</f>
        <v>1</v>
      </c>
      <c r="CF1442" s="48" t="str">
        <f aca="false">IF(OR(CE1442=1,CE1442=2,CE1442=3),IF(Parameter!$E$27="Ja","LIFT",IF(CE1442=1,"L1","L23")),IF(CE1442="Aussen","Aussen","-"))</f>
        <v>LIFT</v>
      </c>
      <c r="CG1442" s="59" t="n">
        <f aca="false">IF(N(AB1442)&gt;0,AB1442,0)</f>
        <v>0</v>
      </c>
      <c r="CH1442" s="53" t="n">
        <f aca="false">IF(ISNUMBER(AE1442),1,0)</f>
        <v>0</v>
      </c>
      <c r="CI1442" s="50" t="n">
        <f aca="false">N(AE1442)</f>
        <v>0</v>
      </c>
      <c r="CJ1442" s="50" t="n">
        <f aca="false">N(M1442)+N(N1442)</f>
        <v>6</v>
      </c>
      <c r="CK1442" s="50" t="n">
        <f aca="false">N(M1442)</f>
        <v>3</v>
      </c>
      <c r="CL1442" s="50" t="n">
        <f aca="false">N(N1442)</f>
        <v>3</v>
      </c>
      <c r="CM1442" s="50" t="n">
        <f aca="false">ROUNDUP(H1442/BY1442,0)</f>
        <v>8</v>
      </c>
      <c r="CN1442" s="50" t="n">
        <f aca="false">ROUNDUP(CI1442/BY1442,0)</f>
        <v>0</v>
      </c>
      <c r="CO1442" s="53" t="n">
        <f aca="false">IF(BZ1442=1,0,IFERROR(VLOOKUP(BX1442,'Gebinde-Kategorie'!$A$5:$N$45,5,0)+0,0))</f>
        <v>0</v>
      </c>
      <c r="CP1442" s="53" t="n">
        <f aca="false">IFERROR(IF(OR(CE1442=1,CE1442=2,CE1442=3),N(INDEX(Parameter!$I$5:$I$7,CE1442)),0),0)</f>
        <v>0</v>
      </c>
      <c r="CQ1442" s="52" t="n">
        <f aca="false">IF(AND(Parameter!$B$21="Ja",ISNUMBER(W1442),N(X1442)&gt;0),IFERROR(N(INDEX(Parameter!$L$5:$L$7,W1442))*INDEX(Parameter!$E$5:$E$7,W1442)*X1442/SUMIFS($X$7:$X$1843,$W$7:$W$1843,W1442),0),0)</f>
        <v>1.60075329566855</v>
      </c>
    </row>
    <row r="1443" customFormat="false" ht="15" hidden="false" customHeight="false" outlineLevel="0" collapsed="false">
      <c r="A1443" s="48" t="s">
        <v>2537</v>
      </c>
      <c r="B1443" s="48" t="s">
        <v>440</v>
      </c>
      <c r="C1443" s="48" t="s">
        <v>465</v>
      </c>
      <c r="D1443" s="48" t="s">
        <v>182</v>
      </c>
      <c r="E1443" s="48"/>
      <c r="F1443" s="48"/>
      <c r="G1443" s="49" t="n">
        <v>77.09</v>
      </c>
      <c r="H1443" s="50" t="n">
        <f aca="false">MAX(0,IF(AND(Parameter!$B$21="Ja",ISNUMBER(Y1443)),Y1443,IF(Parameter!$B$20="Jahresanfang 2025 + Export",BR1443+BQ1443,BQ1443)))</f>
        <v>0</v>
      </c>
      <c r="I1443" s="50" t="n">
        <f aca="false">H1443*G1443</f>
        <v>0</v>
      </c>
      <c r="J1443" s="50" t="n">
        <f aca="false">BT1443*Parameter!$B$18</f>
        <v>53</v>
      </c>
      <c r="K1443" s="51"/>
      <c r="L1443" s="52"/>
      <c r="M1443" s="50" t="n">
        <v>0</v>
      </c>
      <c r="N1443" s="50" t="n">
        <v>1</v>
      </c>
      <c r="O1443" s="53"/>
      <c r="P1443" s="48" t="s">
        <v>177</v>
      </c>
      <c r="Q1443" s="50"/>
      <c r="R1443" s="53" t="n">
        <f aca="false">IF(BZ1443=1,0,IFERROR(VLOOKUP(BX1443,'Gebinde-Kategorie'!$A$5:$N$45,13,0)+0,0))</f>
        <v>12</v>
      </c>
      <c r="S1443" s="54"/>
      <c r="T1443" s="55" t="s">
        <v>188</v>
      </c>
      <c r="U1443" s="55"/>
      <c r="V1443" s="55"/>
      <c r="W1443" s="48"/>
      <c r="X1443" s="50"/>
      <c r="Y1443" s="50"/>
      <c r="Z1443" s="48" t="n">
        <f aca="false">IF(A1443="","",IF(AND(Parameter!$B$21="Ja",ISNUMBER(W1443)),W1443,IF(CC1443="2+3",IF(ISNUMBER(SEARCH("grosser Artikel",BU1443)),2,IFERROR(VLOOKUP(BX1443,Parameter!$F$35:$G$64,2,0),2)),IF(OR(CC1443="Nein",CC1443=""),"-",CC1443))))</f>
        <v>2</v>
      </c>
      <c r="AA1443" s="55"/>
      <c r="AB1443" s="56"/>
      <c r="AC1443" s="50" t="n">
        <f aca="false">AV1443</f>
        <v>36</v>
      </c>
      <c r="AD1443" s="50" t="n">
        <f aca="false">MAX(AV1443,H1443)</f>
        <v>36</v>
      </c>
      <c r="AE1443" s="57"/>
      <c r="AF1443" s="50" t="n">
        <f aca="false">IF(LEFT(Cockpit!$C$5,1)="A",H1443,IF(Parameter!$E$30="MAX-Bestand",IF(CH1443=1,CI1443,IF(LEFT(Cockpit!$C$5,1)="B",AL1443,MAX(AL1443,H1443))),ROUNDUP(AJ1443,0)))</f>
        <v>0</v>
      </c>
      <c r="AG1443" s="50" t="n">
        <f aca="false">IF(BZ1443=1,0,ROUNDUP(AF1443/BY1443,0))</f>
        <v>0</v>
      </c>
      <c r="AH1443" s="52" t="n">
        <f aca="false">IF(CQ1443&gt;0,CQ1443*MAX(1,AF1443/X1443),IF(BZ1443=1,IF(AF1443&lt;=0,0,CD1443*MAX(1,IF(H1443&gt;0,AF1443/H1443,1))),IF(R1443&gt;0,AG1443/R1443,0))/MAX(0.1,N(Parameter!$M$21)))</f>
        <v>0</v>
      </c>
      <c r="AI1443" s="50" t="n">
        <f aca="false">AH1443*CB1443</f>
        <v>0</v>
      </c>
      <c r="AJ1443" s="51" t="n">
        <f aca="false">IF(LEFT(Cockpit!$C$5,1)="A",H1443,IF(CH1443=1,(CK1443+CI1443)/2,IF(LEFT(Cockpit!$C$5,1)="B",(CK1443+AL1443)/2,MAX((CK1443+AL1443)/2,H1443))))</f>
        <v>0</v>
      </c>
      <c r="AK1443" s="50" t="n">
        <f aca="false">AJ1443*G1443</f>
        <v>0</v>
      </c>
      <c r="AL1443" s="50" t="n">
        <f aca="false">ROUNDUP(CK1443+MAX(CL1443,2*(J1443/IF(CG1443&gt;0,CG1443,MAX(0.1,N(Cockpit!$C$6)))-CK1443)),0)</f>
        <v>36</v>
      </c>
      <c r="AM1443" s="51" t="n">
        <f aca="false">IF(AI1443&gt;0,J1443/AI1443,-1)</f>
        <v>-1</v>
      </c>
      <c r="AN1443" s="51" t="str">
        <f aca="false">IF(AND(OR(CF1443="L1",CF1443="L23",CF1443="LIFT"),AI1443&gt;0),SUMIFS($AI$7:$AI$1843,$CF$7:$CF$1843,CF1443,$AM$7:$AM$1843,"&gt;"&amp;AM1443)+SUMIFS($AI$7:$AI$1843,$CF$7:$CF$1843,CF1443,$AM$7:$AM$1843,AM1443,$BW$7:$BW$1843,"&lt;="&amp;BW1443),"")</f>
        <v/>
      </c>
      <c r="AO1443" s="58" t="n">
        <f aca="false">IF(AN1443="",0,MAX(0,MIN(1,(IF(CF1443="L1",Parameter!$H$5,IF(CF1443="L23",Parameter!$H$6+Parameter!$H$7,Parameter!$H$5+Parameter!$H$6+Parameter!$H$7))-(AN1443-AI1443))/AI1443)))</f>
        <v>0</v>
      </c>
      <c r="AP1443" s="50" t="n">
        <f aca="false">IF(LEFT(Cockpit!$I$5,1)="A",H1443,IF(Parameter!$E$30="MAX-Bestand",IF(CH1443=1,CI1443,IF(LEFT(Cockpit!$I$5,1)="B",AV1443,MAX(AV1443,H1443))),ROUNDUP(AT1443,0)))</f>
        <v>18</v>
      </c>
      <c r="AQ1443" s="50" t="n">
        <f aca="false">IF(BZ1443=1,0,ROUNDUP(AP1443/BY1443,0))</f>
        <v>5</v>
      </c>
      <c r="AR1443" s="52" t="n">
        <f aca="false">IF(CQ1443&gt;0,CQ1443*MAX(1,AP1443/X1443),IF(BZ1443=1,IF(AP1443&lt;=0,0,CD1443*MAX(1,IF(H1443&gt;0,AP1443/H1443,1))),IF(R1443&gt;0,AQ1443/R1443,0))/MAX(0.1,N(Parameter!$M$21)))</f>
        <v>0.416666666666667</v>
      </c>
      <c r="AS1443" s="50" t="n">
        <f aca="false">AR1443*CB1443</f>
        <v>60.4166666666667</v>
      </c>
      <c r="AT1443" s="51" t="n">
        <f aca="false">IF(LEFT(Cockpit!$I$5,1)="A",H1443,IF(CH1443=1,(CK1443+CI1443)/2,IF(LEFT(Cockpit!$I$5,1)="B",(CK1443+AV1443)/2,MAX((CK1443+AV1443)/2,H1443))))</f>
        <v>18</v>
      </c>
      <c r="AU1443" s="50" t="n">
        <f aca="false">AT1443*G1443</f>
        <v>1387.62</v>
      </c>
      <c r="AV1443" s="50" t="n">
        <f aca="false">ROUNDUP(CK1443+MAX(CL1443,2*(J1443/IF(CG1443&gt;0,CG1443,MAX(0.1,N(Cockpit!$I$6)))-CK1443)),0)</f>
        <v>36</v>
      </c>
      <c r="AW1443" s="51" t="n">
        <f aca="false">IF(AS1443&gt;0,J1443/AS1443,-1)</f>
        <v>0.877241379310345</v>
      </c>
      <c r="AX1443" s="51" t="n">
        <f aca="false">IF(AND(OR(CF1443="L1",CF1443="L23",CF1443="LIFT"),AS1443&gt;0),SUMIFS($AS$7:$AS$1843,$CF$7:$CF$1843,CF1443,$AW$7:$AW$1843,"&gt;"&amp;AW1443)+SUMIFS($AS$7:$AS$1843,$CF$7:$CF$1843,CF1443,$AW$7:$AW$1843,AW1443,$BW$7:$BW$1843,"&lt;="&amp;BW1443),"")</f>
        <v>9286.38553113553</v>
      </c>
      <c r="AY1443" s="58" t="n">
        <f aca="false">IF(AX1443="",0,MAX(0,MIN(1,(IF(CF1443="L1",Parameter!$H$5,IF(CF1443="L23",Parameter!$H$6+Parameter!$H$7,Parameter!$H$5+Parameter!$H$6+Parameter!$H$7))-(AX1443-AS1443))/AS1443)))</f>
        <v>1</v>
      </c>
      <c r="AZ1443" s="50" t="n">
        <f aca="false">IF(LEFT(Cockpit!$O$5,1)="A",H1443,IF(Parameter!$E$30="MAX-Bestand",IF(CH1443=1,CI1443,IF(LEFT(Cockpit!$O$5,1)="B",BF1443,MAX(BF1443,H1443))),ROUNDUP(BD1443,0)))</f>
        <v>14</v>
      </c>
      <c r="BA1443" s="50" t="n">
        <f aca="false">IF(BZ1443=1,0,ROUNDUP(AZ1443/BY1443,0))</f>
        <v>4</v>
      </c>
      <c r="BB1443" s="52" t="n">
        <f aca="false">IF(CQ1443&gt;0,CQ1443*MAX(1,AZ1443/X1443),IF(BZ1443=1,IF(AZ1443&lt;=0,0,CD1443*MAX(1,IF(H1443&gt;0,AZ1443/H1443,1))),IF(R1443&gt;0,BA1443/R1443,0))/MAX(0.1,N(Parameter!$M$21)))</f>
        <v>0.333333333333333</v>
      </c>
      <c r="BC1443" s="50" t="n">
        <f aca="false">BB1443*CB1443</f>
        <v>48.3333333333333</v>
      </c>
      <c r="BD1443" s="51" t="n">
        <f aca="false">IF(LEFT(Cockpit!$O$5,1)="A",H1443,IF(CH1443=1,(CK1443+CI1443)/2,IF(LEFT(Cockpit!$O$5,1)="B",(CK1443+BF1443)/2,MAX((CK1443+BF1443)/2,H1443))))</f>
        <v>13.5</v>
      </c>
      <c r="BE1443" s="50" t="n">
        <f aca="false">BD1443*G1443</f>
        <v>1040.715</v>
      </c>
      <c r="BF1443" s="50" t="n">
        <f aca="false">ROUNDUP(CK1443+MAX(CL1443,2*(J1443/IF(CG1443&gt;0,CG1443,MAX(0.1,N(Cockpit!$O$6)))-CK1443)),0)</f>
        <v>27</v>
      </c>
      <c r="BG1443" s="51" t="n">
        <f aca="false">IF(BC1443&gt;0,J1443/BC1443,-1)</f>
        <v>1.09655172413793</v>
      </c>
      <c r="BH1443" s="51" t="n">
        <f aca="false">IF(AND(OR(CF1443="L1",CF1443="L23",CF1443="LIFT"),BC1443&gt;0),SUMIFS($BC$7:$BC$1843,$CF$7:$CF$1843,CF1443,$BG$7:$BG$1843,"&gt;"&amp;BG1443)+SUMIFS($BC$7:$BC$1843,$CF$7:$CF$1843,CF1443,$BG$7:$BG$1843,BG1443,$BW$7:$BW$1843,"&lt;="&amp;BW1443),"")</f>
        <v>7387.38690476191</v>
      </c>
      <c r="BI1443" s="58" t="n">
        <f aca="false">IF(BH1443="",0,MAX(0,MIN(1,(IF(CF1443="L1",Parameter!$H$5,IF(CF1443="L23",Parameter!$H$6+Parameter!$H$7,Parameter!$H$5+Parameter!$H$6+Parameter!$H$7))-(BH1443-BC1443))/BC1443)))</f>
        <v>1</v>
      </c>
      <c r="BJ1443" s="48" t="str">
        <f aca="false">IF(AI1443&lt;=0,"",IF(CF1443="Aussen","Aussenlager",IF(CF1443="-","Nicht im Lift",IF(AO1443&gt;=1,"Lift",IF(AO1443&lt;=0,"Aussenlager","teilweise")))))</f>
        <v/>
      </c>
      <c r="BK1443" s="48" t="str">
        <f aca="false">IF(AS1443&lt;=0,"",IF(CF1443="Aussen","Aussenlager",IF(CF1443="-","Nicht im Lift",IF(AY1443&gt;=1,"Lift",IF(AY1443&lt;=0,"Aussenlager","teilweise")))))</f>
        <v>Lift</v>
      </c>
      <c r="BL1443" s="48" t="str">
        <f aca="false">IF(BC1443&lt;=0,"",IF(CF1443="Aussen","Aussenlager",IF(CF1443="-","Nicht im Lift",IF(BI1443&gt;=1,"Lift",IF(BI1443&lt;=0,"Aussenlager","teilweise")))))</f>
        <v>Lift</v>
      </c>
      <c r="BM1443" s="48" t="str">
        <f aca="false">IF(A1443="","",IF(BV1443=1,"Neu; ","")&amp;IF(AND(BV1443=0,BQ1443&lt;0),"negativer Bestand (Export "&amp;BQ1443&amp;"); ","")&amp;IF(J1443&lt;=0,"Kein Verbrauch; ","")&amp;IF(CQ1443&gt;0,"Lift "&amp;W1443&amp;" lt. Liftbericht (Fach "&amp;X1443&amp;" Stk); ",IF(CA1443=1,"Gebinde geschätzt ("&amp;T1443&amp;"); ",IF(BZ1443=1,"Lose – Tablare geschätzt; ","")))&amp;IF(H1443&gt;AV1443,"Überbestand "&amp;ROUND(H1443-AV1443,0)&amp;" Stk / CHF "&amp;ROUND((H1443-AV1443)*G1443,0)&amp;"; ","")&amp;IF(AND(CH1443=1,CI1443&lt;CJ1443),"MAX &lt; MB+LG; ","")&amp;IF(AND(CP1443&gt;0,CO1443*10&gt;CP1443),"zu hoch für Tablar; ","")&amp;IF(AND(BV1443=0,OR(CH1443=1,AA1443&lt;&gt;"",U1443&lt;&gt;"",V1443&lt;&gt;"",AB1443&lt;&gt;"")),"manuell übersteuert; ","")&amp;IF(AND(BZ1443=0,R1443=0),"Gebinde unbekannt / Stellmass fehlt; ","")&amp;IF(AND(BZ1443=0,N(V1443)&lt;=0,N(Q1443)&lt;=0),"Menge pro Gebinde fehlt (Ist = 1 Gebinde); ","")&amp;BU1443)</f>
        <v>negativer Bestand (Export -124); Gebinde geschätzt (Mittel); Menge pro Gebinde fehlt (Ist = 1 Gebinde); </v>
      </c>
      <c r="BN1443" s="48"/>
      <c r="BO1443" s="48"/>
      <c r="BP1443" s="55"/>
      <c r="BQ1443" s="50" t="n">
        <v>-124</v>
      </c>
      <c r="BR1443" s="50" t="n">
        <v>0</v>
      </c>
      <c r="BS1443" s="49" t="n">
        <v>-9566.6</v>
      </c>
      <c r="BT1443" s="50" t="n">
        <v>53</v>
      </c>
      <c r="BU1443" s="48"/>
      <c r="BV1443" s="53" t="n">
        <v>0</v>
      </c>
      <c r="BW1443" s="53" t="n">
        <v>1443</v>
      </c>
      <c r="BX1443" s="48" t="str">
        <f aca="false">IF(U1443&lt;&gt;"",UPPER(TRIM(U1443)),IF(CA1443=1,UPPER(VLOOKUP(T1443,Parameter!$I$27:$K$29,2,0)),IF(P1443="","LOSE",P1443)))</f>
        <v>S61</v>
      </c>
      <c r="BY1443" s="50" t="n">
        <f aca="false">IF(BX1443="LOSE",1,IF(N(V1443)&gt;0,V1443,IF(CA1443=1,MAX(1,N(VLOOKUP(T1443,Parameter!$I$27:$K$29,3,0)),H1443,N(N1443)),IF(N(Q1443)&gt;0,Q1443,MAX(1,H1443)))))</f>
        <v>4</v>
      </c>
      <c r="BZ1443" s="53" t="n">
        <f aca="false">IF(BX1443="LOSE",1,0)</f>
        <v>0</v>
      </c>
      <c r="CA1443" s="53" t="n">
        <f aca="false">IF(AND(U1443="",OR(P1443="",P1443="LOSE"),T1443&lt;&gt;"",N(S1443)&lt;=0,ISNUMBER(MATCH(T1443,Parameter!$I$27:$I$29,0))),1,0)</f>
        <v>1</v>
      </c>
      <c r="CB1443" s="53" t="n">
        <f aca="false">IF(CQ1443&gt;0,INDEX(Parameter!$H$5:$H$7,W1443)/INDEX(Parameter!$E$5:$E$7,W1443),IF(AND(BZ1443=0,N(IFERROR(VLOOKUP(BX1443,'Gebinde-Kategorie'!$A$5:$N$45,14,0),0))&gt;0),VLOOKUP(BX1443,'Gebinde-Kategorie'!$A$5:$N$45,14,0)*10+Parameter!$M$23,Parameter!$M$24))</f>
        <v>145</v>
      </c>
      <c r="CC1443" s="48" t="str">
        <f aca="false">IF(AND(Parameter!$B$19="Ja",E1443&lt;&gt;"",ISNUMBER(MATCH(E1443,Parameter!$I$35:$I$52,0))),VLOOKUP(E1443,Parameter!$I$35:$J$52,2,0),IFERROR(VLOOKUP(D1443,Parameter!$A$35:$C$64,2,0),"Nein"))</f>
        <v>2+3</v>
      </c>
      <c r="CD1443" s="52" t="n">
        <f aca="false">IF(BZ1443=0,0,IF(N(S1443)&gt;0,S1443,IFERROR(VLOOKUP(D1443,Parameter!$A$35:$C$64,3,0)+0,0)))</f>
        <v>0</v>
      </c>
      <c r="CE1443" s="48" t="n">
        <f aca="false">IF(AA1443&lt;&gt;"",AA1443,Z1443)</f>
        <v>2</v>
      </c>
      <c r="CF1443" s="48" t="str">
        <f aca="false">IF(OR(CE1443=1,CE1443=2,CE1443=3),IF(Parameter!$E$27="Ja","LIFT",IF(CE1443=1,"L1","L23")),IF(CE1443="Aussen","Aussen","-"))</f>
        <v>LIFT</v>
      </c>
      <c r="CG1443" s="59" t="n">
        <f aca="false">IF(N(AB1443)&gt;0,AB1443,0)</f>
        <v>0</v>
      </c>
      <c r="CH1443" s="53" t="n">
        <f aca="false">IF(ISNUMBER(AE1443),1,0)</f>
        <v>0</v>
      </c>
      <c r="CI1443" s="50" t="n">
        <f aca="false">N(AE1443)</f>
        <v>0</v>
      </c>
      <c r="CJ1443" s="50" t="n">
        <f aca="false">N(M1443)+N(N1443)</f>
        <v>1</v>
      </c>
      <c r="CK1443" s="50" t="n">
        <f aca="false">N(M1443)</f>
        <v>0</v>
      </c>
      <c r="CL1443" s="50" t="n">
        <f aca="false">N(N1443)</f>
        <v>1</v>
      </c>
      <c r="CM1443" s="50" t="n">
        <f aca="false">ROUNDUP(H1443/BY1443,0)</f>
        <v>0</v>
      </c>
      <c r="CN1443" s="50" t="n">
        <f aca="false">ROUNDUP(CI1443/BY1443,0)</f>
        <v>0</v>
      </c>
      <c r="CO1443" s="53" t="n">
        <f aca="false">IF(BZ1443=1,0,IFERROR(VLOOKUP(BX1443,'Gebinde-Kategorie'!$A$5:$N$45,5,0)+0,0))</f>
        <v>11</v>
      </c>
      <c r="CP1443" s="53" t="n">
        <f aca="false">IFERROR(IF(OR(CE1443=1,CE1443=2,CE1443=3),N(INDEX(Parameter!$I$5:$I$7,CE1443)),0),0)</f>
        <v>0</v>
      </c>
      <c r="CQ1443" s="52" t="n">
        <f aca="false">IF(AND(Parameter!$B$21="Ja",ISNUMBER(W1443),N(X1443)&gt;0),IFERROR(N(INDEX(Parameter!$L$5:$L$7,W1443))*INDEX(Parameter!$E$5:$E$7,W1443)*X1443/SUMIFS($X$7:$X$1843,$W$7:$W$1843,W1443),0),0)</f>
        <v>0</v>
      </c>
    </row>
    <row r="1444" customFormat="false" ht="15" hidden="false" customHeight="false" outlineLevel="0" collapsed="false">
      <c r="A1444" s="48" t="s">
        <v>2538</v>
      </c>
      <c r="B1444" s="48" t="s">
        <v>2539</v>
      </c>
      <c r="C1444" s="48" t="s">
        <v>173</v>
      </c>
      <c r="D1444" s="48" t="s">
        <v>182</v>
      </c>
      <c r="E1444" s="48" t="s">
        <v>175</v>
      </c>
      <c r="F1444" s="48"/>
      <c r="G1444" s="49" t="n">
        <v>1459.89</v>
      </c>
      <c r="H1444" s="50" t="n">
        <f aca="false">MAX(0,IF(AND(Parameter!$B$21="Ja",ISNUMBER(Y1444)),Y1444,IF(Parameter!$B$20="Jahresanfang 2025 + Export",BR1444+BQ1444,BQ1444)))</f>
        <v>0</v>
      </c>
      <c r="I1444" s="50" t="n">
        <f aca="false">H1444*G1444</f>
        <v>0</v>
      </c>
      <c r="J1444" s="50" t="n">
        <f aca="false">BT1444*Parameter!$B$18</f>
        <v>125</v>
      </c>
      <c r="K1444" s="51"/>
      <c r="L1444" s="52"/>
      <c r="M1444" s="50" t="n">
        <v>7</v>
      </c>
      <c r="N1444" s="50" t="n">
        <v>20</v>
      </c>
      <c r="O1444" s="53"/>
      <c r="P1444" s="48" t="s">
        <v>183</v>
      </c>
      <c r="Q1444" s="50" t="n">
        <v>4</v>
      </c>
      <c r="R1444" s="53" t="n">
        <f aca="false">IF(BZ1444=1,0,IFERROR(VLOOKUP(BX1444,'Gebinde-Kategorie'!$A$5:$N$45,13,0)+0,0))</f>
        <v>6</v>
      </c>
      <c r="S1444" s="54"/>
      <c r="T1444" s="55"/>
      <c r="U1444" s="55"/>
      <c r="V1444" s="55"/>
      <c r="W1444" s="48"/>
      <c r="X1444" s="50"/>
      <c r="Y1444" s="50"/>
      <c r="Z1444" s="48" t="n">
        <f aca="false">IF(A1444="","",IF(AND(Parameter!$B$21="Ja",ISNUMBER(W1444)),W1444,IF(CC1444="2+3",IF(ISNUMBER(SEARCH("grosser Artikel",BU1444)),2,IFERROR(VLOOKUP(BX1444,Parameter!$F$35:$G$64,2,0),2)),IF(OR(CC1444="Nein",CC1444=""),"-",CC1444))))</f>
        <v>1</v>
      </c>
      <c r="AA1444" s="55"/>
      <c r="AB1444" s="56"/>
      <c r="AC1444" s="50" t="n">
        <f aca="false">AV1444</f>
        <v>77</v>
      </c>
      <c r="AD1444" s="50" t="n">
        <f aca="false">MAX(AV1444,H1444)</f>
        <v>77</v>
      </c>
      <c r="AE1444" s="57"/>
      <c r="AF1444" s="50" t="n">
        <f aca="false">IF(LEFT(Cockpit!$C$5,1)="A",H1444,IF(Parameter!$E$30="MAX-Bestand",IF(CH1444=1,CI1444,IF(LEFT(Cockpit!$C$5,1)="B",AL1444,MAX(AL1444,H1444))),ROUNDUP(AJ1444,0)))</f>
        <v>0</v>
      </c>
      <c r="AG1444" s="50" t="n">
        <f aca="false">IF(BZ1444=1,0,ROUNDUP(AF1444/BY1444,0))</f>
        <v>0</v>
      </c>
      <c r="AH1444" s="52" t="n">
        <f aca="false">IF(CQ1444&gt;0,CQ1444*MAX(1,AF1444/X1444),IF(BZ1444=1,IF(AF1444&lt;=0,0,CD1444*MAX(1,IF(H1444&gt;0,AF1444/H1444,1))),IF(R1444&gt;0,AG1444/R1444,0))/MAX(0.1,N(Parameter!$M$21)))</f>
        <v>0</v>
      </c>
      <c r="AI1444" s="50" t="n">
        <f aca="false">AH1444*CB1444</f>
        <v>0</v>
      </c>
      <c r="AJ1444" s="51" t="n">
        <f aca="false">IF(LEFT(Cockpit!$C$5,1)="A",H1444,IF(CH1444=1,(CK1444+CI1444)/2,IF(LEFT(Cockpit!$C$5,1)="B",(CK1444+AL1444)/2,MAX((CK1444+AL1444)/2,H1444))))</f>
        <v>0</v>
      </c>
      <c r="AK1444" s="50" t="n">
        <f aca="false">AJ1444*G1444</f>
        <v>0</v>
      </c>
      <c r="AL1444" s="50" t="n">
        <f aca="false">ROUNDUP(CK1444+MAX(CL1444,2*(J1444/IF(CG1444&gt;0,CG1444,MAX(0.1,N(Cockpit!$C$6)))-CK1444)),0)</f>
        <v>77</v>
      </c>
      <c r="AM1444" s="51" t="n">
        <f aca="false">IF(AI1444&gt;0,J1444/AI1444,-1)</f>
        <v>-1</v>
      </c>
      <c r="AN1444" s="51" t="str">
        <f aca="false">IF(AND(OR(CF1444="L1",CF1444="L23",CF1444="LIFT"),AI1444&gt;0),SUMIFS($AI$7:$AI$1843,$CF$7:$CF$1843,CF1444,$AM$7:$AM$1843,"&gt;"&amp;AM1444)+SUMIFS($AI$7:$AI$1843,$CF$7:$CF$1843,CF1444,$AM$7:$AM$1843,AM1444,$BW$7:$BW$1843,"&lt;="&amp;BW1444),"")</f>
        <v/>
      </c>
      <c r="AO1444" s="58" t="n">
        <f aca="false">IF(AN1444="",0,MAX(0,MIN(1,(IF(CF1444="L1",Parameter!$H$5,IF(CF1444="L23",Parameter!$H$6+Parameter!$H$7,Parameter!$H$5+Parameter!$H$6+Parameter!$H$7))-(AN1444-AI1444))/AI1444)))</f>
        <v>0</v>
      </c>
      <c r="AP1444" s="50" t="n">
        <f aca="false">IF(LEFT(Cockpit!$I$5,1)="A",H1444,IF(Parameter!$E$30="MAX-Bestand",IF(CH1444=1,CI1444,IF(LEFT(Cockpit!$I$5,1)="B",AV1444,MAX(AV1444,H1444))),ROUNDUP(AT1444,0)))</f>
        <v>42</v>
      </c>
      <c r="AQ1444" s="50" t="n">
        <f aca="false">IF(BZ1444=1,0,ROUNDUP(AP1444/BY1444,0))</f>
        <v>11</v>
      </c>
      <c r="AR1444" s="52" t="n">
        <f aca="false">IF(CQ1444&gt;0,CQ1444*MAX(1,AP1444/X1444),IF(BZ1444=1,IF(AP1444&lt;=0,0,CD1444*MAX(1,IF(H1444&gt;0,AP1444/H1444,1))),IF(R1444&gt;0,AQ1444/R1444,0))/MAX(0.1,N(Parameter!$M$21)))</f>
        <v>1.83333333333333</v>
      </c>
      <c r="AS1444" s="50" t="n">
        <f aca="false">AR1444*CB1444</f>
        <v>430.833333333333</v>
      </c>
      <c r="AT1444" s="51" t="n">
        <f aca="false">IF(LEFT(Cockpit!$I$5,1)="A",H1444,IF(CH1444=1,(CK1444+CI1444)/2,IF(LEFT(Cockpit!$I$5,1)="B",(CK1444+AV1444)/2,MAX((CK1444+AV1444)/2,H1444))))</f>
        <v>42</v>
      </c>
      <c r="AU1444" s="50" t="n">
        <f aca="false">AT1444*G1444</f>
        <v>61315.38</v>
      </c>
      <c r="AV1444" s="50" t="n">
        <f aca="false">ROUNDUP(CK1444+MAX(CL1444,2*(J1444/IF(CG1444&gt;0,CG1444,MAX(0.1,N(Cockpit!$I$6)))-CK1444)),0)</f>
        <v>77</v>
      </c>
      <c r="AW1444" s="51" t="n">
        <f aca="false">IF(AS1444&gt;0,J1444/AS1444,-1)</f>
        <v>0.290135396518375</v>
      </c>
      <c r="AX1444" s="51" t="n">
        <f aca="false">IF(AND(OR(CF1444="L1",CF1444="L23",CF1444="LIFT"),AS1444&gt;0),SUMIFS($AS$7:$AS$1843,$CF$7:$CF$1843,CF1444,$AW$7:$AW$1843,"&gt;"&amp;AW1444)+SUMIFS($AS$7:$AS$1843,$CF$7:$CF$1843,CF1444,$AW$7:$AW$1843,AW1444,$BW$7:$BW$1843,"&lt;="&amp;BW1444),"")</f>
        <v>14524.6643772894</v>
      </c>
      <c r="AY1444" s="58" t="n">
        <f aca="false">IF(AX1444="",0,MAX(0,MIN(1,(IF(CF1444="L1",Parameter!$H$5,IF(CF1444="L23",Parameter!$H$6+Parameter!$H$7,Parameter!$H$5+Parameter!$H$6+Parameter!$H$7))-(AX1444-AS1444))/AS1444)))</f>
        <v>1</v>
      </c>
      <c r="AZ1444" s="50" t="n">
        <f aca="false">IF(LEFT(Cockpit!$O$5,1)="A",H1444,IF(Parameter!$E$30="MAX-Bestand",IF(CH1444=1,CI1444,IF(LEFT(Cockpit!$O$5,1)="B",BF1444,MAX(BF1444,H1444))),ROUNDUP(BD1444,0)))</f>
        <v>32</v>
      </c>
      <c r="BA1444" s="50" t="n">
        <f aca="false">IF(BZ1444=1,0,ROUNDUP(AZ1444/BY1444,0))</f>
        <v>8</v>
      </c>
      <c r="BB1444" s="52" t="n">
        <f aca="false">IF(CQ1444&gt;0,CQ1444*MAX(1,AZ1444/X1444),IF(BZ1444=1,IF(AZ1444&lt;=0,0,CD1444*MAX(1,IF(H1444&gt;0,AZ1444/H1444,1))),IF(R1444&gt;0,BA1444/R1444,0))/MAX(0.1,N(Parameter!$M$21)))</f>
        <v>1.33333333333333</v>
      </c>
      <c r="BC1444" s="50" t="n">
        <f aca="false">BB1444*CB1444</f>
        <v>313.333333333333</v>
      </c>
      <c r="BD1444" s="51" t="n">
        <f aca="false">IF(LEFT(Cockpit!$O$5,1)="A",H1444,IF(CH1444=1,(CK1444+CI1444)/2,IF(LEFT(Cockpit!$O$5,1)="B",(CK1444+BF1444)/2,MAX((CK1444+BF1444)/2,H1444))))</f>
        <v>31.5</v>
      </c>
      <c r="BE1444" s="50" t="n">
        <f aca="false">BD1444*G1444</f>
        <v>45986.535</v>
      </c>
      <c r="BF1444" s="50" t="n">
        <f aca="false">ROUNDUP(CK1444+MAX(CL1444,2*(J1444/IF(CG1444&gt;0,CG1444,MAX(0.1,N(Cockpit!$O$6)))-CK1444)),0)</f>
        <v>56</v>
      </c>
      <c r="BG1444" s="51" t="n">
        <f aca="false">IF(BC1444&gt;0,J1444/BC1444,-1)</f>
        <v>0.398936170212766</v>
      </c>
      <c r="BH1444" s="51" t="n">
        <f aca="false">IF(AND(OR(CF1444="L1",CF1444="L23",CF1444="LIFT"),BC1444&gt;0),SUMIFS($BC$7:$BC$1843,$CF$7:$CF$1843,CF1444,$BG$7:$BG$1843,"&gt;"&amp;BG1444)+SUMIFS($BC$7:$BC$1843,$CF$7:$CF$1843,CF1444,$BG$7:$BG$1843,BG1444,$BW$7:$BW$1843,"&lt;="&amp;BW1444),"")</f>
        <v>11376.853021978</v>
      </c>
      <c r="BI1444" s="58" t="n">
        <f aca="false">IF(BH1444="",0,MAX(0,MIN(1,(IF(CF1444="L1",Parameter!$H$5,IF(CF1444="L23",Parameter!$H$6+Parameter!$H$7,Parameter!$H$5+Parameter!$H$6+Parameter!$H$7))-(BH1444-BC1444))/BC1444)))</f>
        <v>1</v>
      </c>
      <c r="BJ1444" s="48" t="str">
        <f aca="false">IF(AI1444&lt;=0,"",IF(CF1444="Aussen","Aussenlager",IF(CF1444="-","Nicht im Lift",IF(AO1444&gt;=1,"Lift",IF(AO1444&lt;=0,"Aussenlager","teilweise")))))</f>
        <v/>
      </c>
      <c r="BK1444" s="48" t="str">
        <f aca="false">IF(AS1444&lt;=0,"",IF(CF1444="Aussen","Aussenlager",IF(CF1444="-","Nicht im Lift",IF(AY1444&gt;=1,"Lift",IF(AY1444&lt;=0,"Aussenlager","teilweise")))))</f>
        <v>Lift</v>
      </c>
      <c r="BL1444" s="48" t="str">
        <f aca="false">IF(BC1444&lt;=0,"",IF(CF1444="Aussen","Aussenlager",IF(CF1444="-","Nicht im Lift",IF(BI1444&gt;=1,"Lift",IF(BI1444&lt;=0,"Aussenlager","teilweise")))))</f>
        <v>Lift</v>
      </c>
      <c r="BM1444" s="48" t="str">
        <f aca="false">IF(A1444="","",IF(BV1444=1,"Neu; ","")&amp;IF(AND(BV1444=0,BQ1444&lt;0),"negativer Bestand (Export "&amp;BQ1444&amp;"); ","")&amp;IF(J1444&lt;=0,"Kein Verbrauch; ","")&amp;IF(CQ1444&gt;0,"Lift "&amp;W1444&amp;" lt. Liftbericht (Fach "&amp;X1444&amp;" Stk); ",IF(CA1444=1,"Gebinde geschätzt ("&amp;T1444&amp;"); ",IF(BZ1444=1,"Lose – Tablare geschätzt; ","")))&amp;IF(H1444&gt;AV1444,"Überbestand "&amp;ROUND(H1444-AV1444,0)&amp;" Stk / CHF "&amp;ROUND((H1444-AV1444)*G1444,0)&amp;"; ","")&amp;IF(AND(CH1444=1,CI1444&lt;CJ1444),"MAX &lt; MB+LG; ","")&amp;IF(AND(CP1444&gt;0,CO1444*10&gt;CP1444),"zu hoch für Tablar; ","")&amp;IF(AND(BV1444=0,OR(CH1444=1,AA1444&lt;&gt;"",U1444&lt;&gt;"",V1444&lt;&gt;"",AB1444&lt;&gt;"")),"manuell übersteuert; ","")&amp;IF(AND(BZ1444=0,R1444=0),"Gebinde unbekannt / Stellmass fehlt; ","")&amp;IF(AND(BZ1444=0,N(V1444)&lt;=0,N(Q1444)&lt;=0),"Menge pro Gebinde fehlt (Ist = 1 Gebinde); ","")&amp;BU1444)</f>
        <v>negativer Bestand (Export -7); </v>
      </c>
      <c r="BN1444" s="48"/>
      <c r="BO1444" s="48"/>
      <c r="BP1444" s="55"/>
      <c r="BQ1444" s="50" t="n">
        <v>-7</v>
      </c>
      <c r="BR1444" s="50" t="n">
        <v>0</v>
      </c>
      <c r="BS1444" s="49" t="n">
        <v>-9808.88999999994</v>
      </c>
      <c r="BT1444" s="50" t="n">
        <v>125</v>
      </c>
      <c r="BU1444" s="48"/>
      <c r="BV1444" s="53" t="n">
        <v>0</v>
      </c>
      <c r="BW1444" s="53" t="n">
        <v>1444</v>
      </c>
      <c r="BX1444" s="48" t="str">
        <f aca="false">IF(U1444&lt;&gt;"",UPPER(TRIM(U1444)),IF(CA1444=1,UPPER(VLOOKUP(T1444,Parameter!$I$27:$K$29,2,0)),IF(P1444="","LOSE",P1444)))</f>
        <v>S71</v>
      </c>
      <c r="BY1444" s="50" t="n">
        <f aca="false">IF(BX1444="LOSE",1,IF(N(V1444)&gt;0,V1444,IF(CA1444=1,MAX(1,N(VLOOKUP(T1444,Parameter!$I$27:$K$29,3,0)),H1444,N(N1444)),IF(N(Q1444)&gt;0,Q1444,MAX(1,H1444)))))</f>
        <v>4</v>
      </c>
      <c r="BZ1444" s="53" t="n">
        <f aca="false">IF(BX1444="LOSE",1,0)</f>
        <v>0</v>
      </c>
      <c r="CA1444" s="53" t="n">
        <f aca="false">IF(AND(U1444="",OR(P1444="",P1444="LOSE"),T1444&lt;&gt;"",N(S1444)&lt;=0,ISNUMBER(MATCH(T1444,Parameter!$I$27:$I$29,0))),1,0)</f>
        <v>0</v>
      </c>
      <c r="CB1444" s="53" t="n">
        <f aca="false">IF(CQ1444&gt;0,INDEX(Parameter!$H$5:$H$7,W1444)/INDEX(Parameter!$E$5:$E$7,W1444),IF(AND(BZ1444=0,N(IFERROR(VLOOKUP(BX1444,'Gebinde-Kategorie'!$A$5:$N$45,14,0),0))&gt;0),VLOOKUP(BX1444,'Gebinde-Kategorie'!$A$5:$N$45,14,0)*10+Parameter!$M$23,Parameter!$M$24))</f>
        <v>235</v>
      </c>
      <c r="CC1444" s="48" t="n">
        <f aca="false">IF(AND(Parameter!$B$19="Ja",E1444&lt;&gt;"",ISNUMBER(MATCH(E1444,Parameter!$I$35:$I$52,0))),VLOOKUP(E1444,Parameter!$I$35:$J$52,2,0),IFERROR(VLOOKUP(D1444,Parameter!$A$35:$C$64,2,0),"Nein"))</f>
        <v>1</v>
      </c>
      <c r="CD1444" s="52" t="n">
        <f aca="false">IF(BZ1444=0,0,IF(N(S1444)&gt;0,S1444,IFERROR(VLOOKUP(D1444,Parameter!$A$35:$C$64,3,0)+0,0)))</f>
        <v>0</v>
      </c>
      <c r="CE1444" s="48" t="n">
        <f aca="false">IF(AA1444&lt;&gt;"",AA1444,Z1444)</f>
        <v>1</v>
      </c>
      <c r="CF1444" s="48" t="str">
        <f aca="false">IF(OR(CE1444=1,CE1444=2,CE1444=3),IF(Parameter!$E$27="Ja","LIFT",IF(CE1444=1,"L1","L23")),IF(CE1444="Aussen","Aussen","-"))</f>
        <v>LIFT</v>
      </c>
      <c r="CG1444" s="59" t="n">
        <f aca="false">IF(N(AB1444)&gt;0,AB1444,0)</f>
        <v>0</v>
      </c>
      <c r="CH1444" s="53" t="n">
        <f aca="false">IF(ISNUMBER(AE1444),1,0)</f>
        <v>0</v>
      </c>
      <c r="CI1444" s="50" t="n">
        <f aca="false">N(AE1444)</f>
        <v>0</v>
      </c>
      <c r="CJ1444" s="50" t="n">
        <f aca="false">N(M1444)+N(N1444)</f>
        <v>27</v>
      </c>
      <c r="CK1444" s="50" t="n">
        <f aca="false">N(M1444)</f>
        <v>7</v>
      </c>
      <c r="CL1444" s="50" t="n">
        <f aca="false">N(N1444)</f>
        <v>20</v>
      </c>
      <c r="CM1444" s="50" t="n">
        <f aca="false">ROUNDUP(H1444/BY1444,0)</f>
        <v>0</v>
      </c>
      <c r="CN1444" s="50" t="n">
        <f aca="false">ROUNDUP(CI1444/BY1444,0)</f>
        <v>0</v>
      </c>
      <c r="CO1444" s="53" t="n">
        <f aca="false">IF(BZ1444=1,0,IFERROR(VLOOKUP(BX1444,'Gebinde-Kategorie'!$A$5:$N$45,5,0)+0,0))</f>
        <v>20</v>
      </c>
      <c r="CP1444" s="53" t="n">
        <f aca="false">IFERROR(IF(OR(CE1444=1,CE1444=2,CE1444=3),N(INDEX(Parameter!$I$5:$I$7,CE1444)),0),0)</f>
        <v>0</v>
      </c>
      <c r="CQ1444" s="52" t="n">
        <f aca="false">IF(AND(Parameter!$B$21="Ja",ISNUMBER(W1444),N(X1444)&gt;0),IFERROR(N(INDEX(Parameter!$L$5:$L$7,W1444))*INDEX(Parameter!$E$5:$E$7,W1444)*X1444/SUMIFS($X$7:$X$1843,$W$7:$W$1843,W1444),0),0)</f>
        <v>0</v>
      </c>
    </row>
    <row r="1445" customFormat="false" ht="15" hidden="false" customHeight="false" outlineLevel="0" collapsed="false">
      <c r="A1445" s="48" t="s">
        <v>2540</v>
      </c>
      <c r="B1445" s="48" t="s">
        <v>2541</v>
      </c>
      <c r="C1445" s="48" t="s">
        <v>465</v>
      </c>
      <c r="D1445" s="48" t="s">
        <v>182</v>
      </c>
      <c r="E1445" s="48" t="s">
        <v>182</v>
      </c>
      <c r="F1445" s="48"/>
      <c r="G1445" s="49" t="n">
        <v>3326.28</v>
      </c>
      <c r="H1445" s="50" t="n">
        <f aca="false">MAX(0,IF(AND(Parameter!$B$21="Ja",ISNUMBER(Y1445)),Y1445,IF(Parameter!$B$20="Jahresanfang 2025 + Export",BR1445+BQ1445,BQ1445)))</f>
        <v>0</v>
      </c>
      <c r="I1445" s="50" t="n">
        <f aca="false">H1445*G1445</f>
        <v>0</v>
      </c>
      <c r="J1445" s="50" t="n">
        <f aca="false">BT1445*Parameter!$B$18</f>
        <v>0</v>
      </c>
      <c r="K1445" s="51"/>
      <c r="L1445" s="52"/>
      <c r="M1445" s="50" t="n">
        <v>0</v>
      </c>
      <c r="N1445" s="50" t="n">
        <v>1</v>
      </c>
      <c r="O1445" s="53"/>
      <c r="P1445" s="48" t="s">
        <v>177</v>
      </c>
      <c r="Q1445" s="50"/>
      <c r="R1445" s="53" t="n">
        <f aca="false">IF(BZ1445=1,0,IFERROR(VLOOKUP(BX1445,'Gebinde-Kategorie'!$A$5:$N$45,13,0)+0,0))</f>
        <v>12</v>
      </c>
      <c r="S1445" s="54"/>
      <c r="T1445" s="55" t="s">
        <v>188</v>
      </c>
      <c r="U1445" s="55"/>
      <c r="V1445" s="55"/>
      <c r="W1445" s="48"/>
      <c r="X1445" s="50"/>
      <c r="Y1445" s="50"/>
      <c r="Z1445" s="48" t="str">
        <f aca="false">IF(A1445="","",IF(AND(Parameter!$B$21="Ja",ISNUMBER(W1445)),W1445,IF(CC1445="2+3",IF(ISNUMBER(SEARCH("grosser Artikel",BU1445)),2,IFERROR(VLOOKUP(BX1445,Parameter!$F$35:$G$64,2,0),2)),IF(OR(CC1445="Nein",CC1445=""),"-",CC1445))))</f>
        <v>-</v>
      </c>
      <c r="AA1445" s="55"/>
      <c r="AB1445" s="56"/>
      <c r="AC1445" s="50" t="n">
        <f aca="false">AV1445</f>
        <v>1</v>
      </c>
      <c r="AD1445" s="50" t="n">
        <f aca="false">MAX(AV1445,H1445)</f>
        <v>1</v>
      </c>
      <c r="AE1445" s="57"/>
      <c r="AF1445" s="50" t="n">
        <f aca="false">IF(LEFT(Cockpit!$C$5,1)="A",H1445,IF(Parameter!$E$30="MAX-Bestand",IF(CH1445=1,CI1445,IF(LEFT(Cockpit!$C$5,1)="B",AL1445,MAX(AL1445,H1445))),ROUNDUP(AJ1445,0)))</f>
        <v>0</v>
      </c>
      <c r="AG1445" s="50" t="n">
        <f aca="false">IF(BZ1445=1,0,ROUNDUP(AF1445/BY1445,0))</f>
        <v>0</v>
      </c>
      <c r="AH1445" s="52" t="n">
        <f aca="false">IF(CQ1445&gt;0,CQ1445*MAX(1,AF1445/X1445),IF(BZ1445=1,IF(AF1445&lt;=0,0,CD1445*MAX(1,IF(H1445&gt;0,AF1445/H1445,1))),IF(R1445&gt;0,AG1445/R1445,0))/MAX(0.1,N(Parameter!$M$21)))</f>
        <v>0</v>
      </c>
      <c r="AI1445" s="50" t="n">
        <f aca="false">AH1445*CB1445</f>
        <v>0</v>
      </c>
      <c r="AJ1445" s="51" t="n">
        <f aca="false">IF(LEFT(Cockpit!$C$5,1)="A",H1445,IF(CH1445=1,(CK1445+CI1445)/2,IF(LEFT(Cockpit!$C$5,1)="B",(CK1445+AL1445)/2,MAX((CK1445+AL1445)/2,H1445))))</f>
        <v>0</v>
      </c>
      <c r="AK1445" s="50" t="n">
        <f aca="false">AJ1445*G1445</f>
        <v>0</v>
      </c>
      <c r="AL1445" s="50" t="n">
        <f aca="false">ROUNDUP(CK1445+MAX(CL1445,2*(J1445/IF(CG1445&gt;0,CG1445,MAX(0.1,N(Cockpit!$C$6)))-CK1445)),0)</f>
        <v>1</v>
      </c>
      <c r="AM1445" s="51" t="n">
        <f aca="false">IF(AI1445&gt;0,J1445/AI1445,-1)</f>
        <v>-1</v>
      </c>
      <c r="AN1445" s="51" t="str">
        <f aca="false">IF(AND(OR(CF1445="L1",CF1445="L23",CF1445="LIFT"),AI1445&gt;0),SUMIFS($AI$7:$AI$1843,$CF$7:$CF$1843,CF1445,$AM$7:$AM$1843,"&gt;"&amp;AM1445)+SUMIFS($AI$7:$AI$1843,$CF$7:$CF$1843,CF1445,$AM$7:$AM$1843,AM1445,$BW$7:$BW$1843,"&lt;="&amp;BW1445),"")</f>
        <v/>
      </c>
      <c r="AO1445" s="58" t="n">
        <f aca="false">IF(AN1445="",0,MAX(0,MIN(1,(IF(CF1445="L1",Parameter!$H$5,IF(CF1445="L23",Parameter!$H$6+Parameter!$H$7,Parameter!$H$5+Parameter!$H$6+Parameter!$H$7))-(AN1445-AI1445))/AI1445)))</f>
        <v>0</v>
      </c>
      <c r="AP1445" s="50" t="n">
        <f aca="false">IF(LEFT(Cockpit!$I$5,1)="A",H1445,IF(Parameter!$E$30="MAX-Bestand",IF(CH1445=1,CI1445,IF(LEFT(Cockpit!$I$5,1)="B",AV1445,MAX(AV1445,H1445))),ROUNDUP(AT1445,0)))</f>
        <v>1</v>
      </c>
      <c r="AQ1445" s="50" t="n">
        <f aca="false">IF(BZ1445=1,0,ROUNDUP(AP1445/BY1445,0))</f>
        <v>1</v>
      </c>
      <c r="AR1445" s="52" t="n">
        <f aca="false">IF(CQ1445&gt;0,CQ1445*MAX(1,AP1445/X1445),IF(BZ1445=1,IF(AP1445&lt;=0,0,CD1445*MAX(1,IF(H1445&gt;0,AP1445/H1445,1))),IF(R1445&gt;0,AQ1445/R1445,0))/MAX(0.1,N(Parameter!$M$21)))</f>
        <v>0.0833333333333333</v>
      </c>
      <c r="AS1445" s="50" t="n">
        <f aca="false">AR1445*CB1445</f>
        <v>12.0833333333333</v>
      </c>
      <c r="AT1445" s="51" t="n">
        <f aca="false">IF(LEFT(Cockpit!$I$5,1)="A",H1445,IF(CH1445=1,(CK1445+CI1445)/2,IF(LEFT(Cockpit!$I$5,1)="B",(CK1445+AV1445)/2,MAX((CK1445+AV1445)/2,H1445))))</f>
        <v>0.5</v>
      </c>
      <c r="AU1445" s="50" t="n">
        <f aca="false">AT1445*G1445</f>
        <v>1663.14</v>
      </c>
      <c r="AV1445" s="50" t="n">
        <f aca="false">ROUNDUP(CK1445+MAX(CL1445,2*(J1445/IF(CG1445&gt;0,CG1445,MAX(0.1,N(Cockpit!$I$6)))-CK1445)),0)</f>
        <v>1</v>
      </c>
      <c r="AW1445" s="51" t="n">
        <f aca="false">IF(AS1445&gt;0,J1445/AS1445,-1)</f>
        <v>0</v>
      </c>
      <c r="AX1445" s="51" t="str">
        <f aca="false">IF(AND(OR(CF1445="L1",CF1445="L23",CF1445="LIFT"),AS1445&gt;0),SUMIFS($AS$7:$AS$1843,$CF$7:$CF$1843,CF1445,$AW$7:$AW$1843,"&gt;"&amp;AW1445)+SUMIFS($AS$7:$AS$1843,$CF$7:$CF$1843,CF1445,$AW$7:$AW$1843,AW1445,$BW$7:$BW$1843,"&lt;="&amp;BW1445),"")</f>
        <v/>
      </c>
      <c r="AY1445" s="58" t="n">
        <f aca="false">IF(AX1445="",0,MAX(0,MIN(1,(IF(CF1445="L1",Parameter!$H$5,IF(CF1445="L23",Parameter!$H$6+Parameter!$H$7,Parameter!$H$5+Parameter!$H$6+Parameter!$H$7))-(AX1445-AS1445))/AS1445)))</f>
        <v>0</v>
      </c>
      <c r="AZ1445" s="50" t="n">
        <f aca="false">IF(LEFT(Cockpit!$O$5,1)="A",H1445,IF(Parameter!$E$30="MAX-Bestand",IF(CH1445=1,CI1445,IF(LEFT(Cockpit!$O$5,1)="B",BF1445,MAX(BF1445,H1445))),ROUNDUP(BD1445,0)))</f>
        <v>1</v>
      </c>
      <c r="BA1445" s="50" t="n">
        <f aca="false">IF(BZ1445=1,0,ROUNDUP(AZ1445/BY1445,0))</f>
        <v>1</v>
      </c>
      <c r="BB1445" s="52" t="n">
        <f aca="false">IF(CQ1445&gt;0,CQ1445*MAX(1,AZ1445/X1445),IF(BZ1445=1,IF(AZ1445&lt;=0,0,CD1445*MAX(1,IF(H1445&gt;0,AZ1445/H1445,1))),IF(R1445&gt;0,BA1445/R1445,0))/MAX(0.1,N(Parameter!$M$21)))</f>
        <v>0.0833333333333333</v>
      </c>
      <c r="BC1445" s="50" t="n">
        <f aca="false">BB1445*CB1445</f>
        <v>12.0833333333333</v>
      </c>
      <c r="BD1445" s="51" t="n">
        <f aca="false">IF(LEFT(Cockpit!$O$5,1)="A",H1445,IF(CH1445=1,(CK1445+CI1445)/2,IF(LEFT(Cockpit!$O$5,1)="B",(CK1445+BF1445)/2,MAX((CK1445+BF1445)/2,H1445))))</f>
        <v>0.5</v>
      </c>
      <c r="BE1445" s="50" t="n">
        <f aca="false">BD1445*G1445</f>
        <v>1663.14</v>
      </c>
      <c r="BF1445" s="50" t="n">
        <f aca="false">ROUNDUP(CK1445+MAX(CL1445,2*(J1445/IF(CG1445&gt;0,CG1445,MAX(0.1,N(Cockpit!$O$6)))-CK1445)),0)</f>
        <v>1</v>
      </c>
      <c r="BG1445" s="51" t="n">
        <f aca="false">IF(BC1445&gt;0,J1445/BC1445,-1)</f>
        <v>0</v>
      </c>
      <c r="BH1445" s="51" t="str">
        <f aca="false">IF(AND(OR(CF1445="L1",CF1445="L23",CF1445="LIFT"),BC1445&gt;0),SUMIFS($BC$7:$BC$1843,$CF$7:$CF$1843,CF1445,$BG$7:$BG$1843,"&gt;"&amp;BG1445)+SUMIFS($BC$7:$BC$1843,$CF$7:$CF$1843,CF1445,$BG$7:$BG$1843,BG1445,$BW$7:$BW$1843,"&lt;="&amp;BW1445),"")</f>
        <v/>
      </c>
      <c r="BI1445" s="58" t="n">
        <f aca="false">IF(BH1445="",0,MAX(0,MIN(1,(IF(CF1445="L1",Parameter!$H$5,IF(CF1445="L23",Parameter!$H$6+Parameter!$H$7,Parameter!$H$5+Parameter!$H$6+Parameter!$H$7))-(BH1445-BC1445))/BC1445)))</f>
        <v>0</v>
      </c>
      <c r="BJ1445" s="48" t="str">
        <f aca="false">IF(AI1445&lt;=0,"",IF(CF1445="Aussen","Aussenlager",IF(CF1445="-","Nicht im Lift",IF(AO1445&gt;=1,"Lift",IF(AO1445&lt;=0,"Aussenlager","teilweise")))))</f>
        <v/>
      </c>
      <c r="BK1445" s="48" t="str">
        <f aca="false">IF(AS1445&lt;=0,"",IF(CF1445="Aussen","Aussenlager",IF(CF1445="-","Nicht im Lift",IF(AY1445&gt;=1,"Lift",IF(AY1445&lt;=0,"Aussenlager","teilweise")))))</f>
        <v>Nicht im Lift</v>
      </c>
      <c r="BL1445" s="48" t="str">
        <f aca="false">IF(BC1445&lt;=0,"",IF(CF1445="Aussen","Aussenlager",IF(CF1445="-","Nicht im Lift",IF(BI1445&gt;=1,"Lift",IF(BI1445&lt;=0,"Aussenlager","teilweise")))))</f>
        <v>Nicht im Lift</v>
      </c>
      <c r="BM1445" s="48" t="str">
        <f aca="false">IF(A1445="","",IF(BV1445=1,"Neu; ","")&amp;IF(AND(BV1445=0,BQ1445&lt;0),"negativer Bestand (Export "&amp;BQ1445&amp;"); ","")&amp;IF(J1445&lt;=0,"Kein Verbrauch; ","")&amp;IF(CQ1445&gt;0,"Lift "&amp;W1445&amp;" lt. Liftbericht (Fach "&amp;X1445&amp;" Stk); ",IF(CA1445=1,"Gebinde geschätzt ("&amp;T1445&amp;"); ",IF(BZ1445=1,"Lose – Tablare geschätzt; ","")))&amp;IF(H1445&gt;AV1445,"Überbestand "&amp;ROUND(H1445-AV1445,0)&amp;" Stk / CHF "&amp;ROUND((H1445-AV1445)*G1445,0)&amp;"; ","")&amp;IF(AND(CH1445=1,CI1445&lt;CJ1445),"MAX &lt; MB+LG; ","")&amp;IF(AND(CP1445&gt;0,CO1445*10&gt;CP1445),"zu hoch für Tablar; ","")&amp;IF(AND(BV1445=0,OR(CH1445=1,AA1445&lt;&gt;"",U1445&lt;&gt;"",V1445&lt;&gt;"",AB1445&lt;&gt;"")),"manuell übersteuert; ","")&amp;IF(AND(BZ1445=0,R1445=0),"Gebinde unbekannt / Stellmass fehlt; ","")&amp;IF(AND(BZ1445=0,N(V1445)&lt;=0,N(Q1445)&lt;=0),"Menge pro Gebinde fehlt (Ist = 1 Gebinde); ","")&amp;BU1445)</f>
        <v>negativer Bestand (Export -3); Kein Verbrauch; Gebinde geschätzt (Mittel); Menge pro Gebinde fehlt (Ist = 1 Gebinde); </v>
      </c>
      <c r="BN1445" s="48"/>
      <c r="BO1445" s="48"/>
      <c r="BP1445" s="55"/>
      <c r="BQ1445" s="50" t="n">
        <v>-3</v>
      </c>
      <c r="BR1445" s="50" t="n">
        <v>0</v>
      </c>
      <c r="BS1445" s="49" t="n">
        <v>-9978.84</v>
      </c>
      <c r="BT1445" s="50" t="n">
        <v>0</v>
      </c>
      <c r="BU1445" s="48"/>
      <c r="BV1445" s="53" t="n">
        <v>0</v>
      </c>
      <c r="BW1445" s="53" t="n">
        <v>1445</v>
      </c>
      <c r="BX1445" s="48" t="str">
        <f aca="false">IF(U1445&lt;&gt;"",UPPER(TRIM(U1445)),IF(CA1445=1,UPPER(VLOOKUP(T1445,Parameter!$I$27:$K$29,2,0)),IF(P1445="","LOSE",P1445)))</f>
        <v>S61</v>
      </c>
      <c r="BY1445" s="50" t="n">
        <f aca="false">IF(BX1445="LOSE",1,IF(N(V1445)&gt;0,V1445,IF(CA1445=1,MAX(1,N(VLOOKUP(T1445,Parameter!$I$27:$K$29,3,0)),H1445,N(N1445)),IF(N(Q1445)&gt;0,Q1445,MAX(1,H1445)))))</f>
        <v>4</v>
      </c>
      <c r="BZ1445" s="53" t="n">
        <f aca="false">IF(BX1445="LOSE",1,0)</f>
        <v>0</v>
      </c>
      <c r="CA1445" s="53" t="n">
        <f aca="false">IF(AND(U1445="",OR(P1445="",P1445="LOSE"),T1445&lt;&gt;"",N(S1445)&lt;=0,ISNUMBER(MATCH(T1445,Parameter!$I$27:$I$29,0))),1,0)</f>
        <v>1</v>
      </c>
      <c r="CB1445" s="53" t="n">
        <f aca="false">IF(CQ1445&gt;0,INDEX(Parameter!$H$5:$H$7,W1445)/INDEX(Parameter!$E$5:$E$7,W1445),IF(AND(BZ1445=0,N(IFERROR(VLOOKUP(BX1445,'Gebinde-Kategorie'!$A$5:$N$45,14,0),0))&gt;0),VLOOKUP(BX1445,'Gebinde-Kategorie'!$A$5:$N$45,14,0)*10+Parameter!$M$23,Parameter!$M$24))</f>
        <v>145</v>
      </c>
      <c r="CC1445" s="48" t="str">
        <f aca="false">IF(AND(Parameter!$B$19="Ja",E1445&lt;&gt;"",ISNUMBER(MATCH(E1445,Parameter!$I$35:$I$52,0))),VLOOKUP(E1445,Parameter!$I$35:$J$52,2,0),IFERROR(VLOOKUP(D1445,Parameter!$A$35:$C$64,2,0),"Nein"))</f>
        <v>Nein</v>
      </c>
      <c r="CD1445" s="52" t="n">
        <f aca="false">IF(BZ1445=0,0,IF(N(S1445)&gt;0,S1445,IFERROR(VLOOKUP(D1445,Parameter!$A$35:$C$64,3,0)+0,0)))</f>
        <v>0</v>
      </c>
      <c r="CE1445" s="48" t="str">
        <f aca="false">IF(AA1445&lt;&gt;"",AA1445,Z1445)</f>
        <v>-</v>
      </c>
      <c r="CF1445" s="48" t="str">
        <f aca="false">IF(OR(CE1445=1,CE1445=2,CE1445=3),IF(Parameter!$E$27="Ja","LIFT",IF(CE1445=1,"L1","L23")),IF(CE1445="Aussen","Aussen","-"))</f>
        <v>-</v>
      </c>
      <c r="CG1445" s="59" t="n">
        <f aca="false">IF(N(AB1445)&gt;0,AB1445,0)</f>
        <v>0</v>
      </c>
      <c r="CH1445" s="53" t="n">
        <f aca="false">IF(ISNUMBER(AE1445),1,0)</f>
        <v>0</v>
      </c>
      <c r="CI1445" s="50" t="n">
        <f aca="false">N(AE1445)</f>
        <v>0</v>
      </c>
      <c r="CJ1445" s="50" t="n">
        <f aca="false">N(M1445)+N(N1445)</f>
        <v>1</v>
      </c>
      <c r="CK1445" s="50" t="n">
        <f aca="false">N(M1445)</f>
        <v>0</v>
      </c>
      <c r="CL1445" s="50" t="n">
        <f aca="false">N(N1445)</f>
        <v>1</v>
      </c>
      <c r="CM1445" s="50" t="n">
        <f aca="false">ROUNDUP(H1445/BY1445,0)</f>
        <v>0</v>
      </c>
      <c r="CN1445" s="50" t="n">
        <f aca="false">ROUNDUP(CI1445/BY1445,0)</f>
        <v>0</v>
      </c>
      <c r="CO1445" s="53" t="n">
        <f aca="false">IF(BZ1445=1,0,IFERROR(VLOOKUP(BX1445,'Gebinde-Kategorie'!$A$5:$N$45,5,0)+0,0))</f>
        <v>11</v>
      </c>
      <c r="CP1445" s="53" t="n">
        <f aca="false">IFERROR(IF(OR(CE1445=1,CE1445=2,CE1445=3),N(INDEX(Parameter!$I$5:$I$7,CE1445)),0),0)</f>
        <v>0</v>
      </c>
      <c r="CQ1445" s="52" t="n">
        <f aca="false">IF(AND(Parameter!$B$21="Ja",ISNUMBER(W1445),N(X1445)&gt;0),IFERROR(N(INDEX(Parameter!$L$5:$L$7,W1445))*INDEX(Parameter!$E$5:$E$7,W1445)*X1445/SUMIFS($X$7:$X$1843,$W$7:$W$1843,W1445),0),0)</f>
        <v>0</v>
      </c>
    </row>
    <row r="1446" customFormat="false" ht="15" hidden="false" customHeight="false" outlineLevel="0" collapsed="false">
      <c r="A1446" s="48" t="s">
        <v>2542</v>
      </c>
      <c r="B1446" s="48" t="s">
        <v>434</v>
      </c>
      <c r="C1446" s="48" t="s">
        <v>173</v>
      </c>
      <c r="D1446" s="48" t="s">
        <v>193</v>
      </c>
      <c r="E1446" s="48"/>
      <c r="F1446" s="48"/>
      <c r="G1446" s="49" t="n">
        <v>52.49</v>
      </c>
      <c r="H1446" s="50" t="n">
        <f aca="false">MAX(0,IF(AND(Parameter!$B$21="Ja",ISNUMBER(Y1446)),Y1446,IF(Parameter!$B$20="Jahresanfang 2025 + Export",BR1446+BQ1446,BQ1446)))</f>
        <v>0</v>
      </c>
      <c r="I1446" s="50" t="n">
        <f aca="false">H1446*G1446</f>
        <v>0</v>
      </c>
      <c r="J1446" s="50" t="n">
        <f aca="false">BT1446*Parameter!$B$18</f>
        <v>859</v>
      </c>
      <c r="K1446" s="51"/>
      <c r="L1446" s="52"/>
      <c r="M1446" s="50" t="n">
        <v>50</v>
      </c>
      <c r="N1446" s="50" t="n">
        <v>100</v>
      </c>
      <c r="O1446" s="53"/>
      <c r="P1446" s="48" t="s">
        <v>302</v>
      </c>
      <c r="Q1446" s="50" t="n">
        <v>430</v>
      </c>
      <c r="R1446" s="53" t="n">
        <f aca="false">IF(BZ1446=1,0,IFERROR(VLOOKUP(BX1446,'Gebinde-Kategorie'!$A$5:$N$45,13,0)+0,0))</f>
        <v>12</v>
      </c>
      <c r="S1446" s="54"/>
      <c r="T1446" s="55"/>
      <c r="U1446" s="55"/>
      <c r="V1446" s="55"/>
      <c r="W1446" s="48"/>
      <c r="X1446" s="50"/>
      <c r="Y1446" s="50"/>
      <c r="Z1446" s="48" t="n">
        <f aca="false">IF(A1446="","",IF(AND(Parameter!$B$21="Ja",ISNUMBER(W1446)),W1446,IF(CC1446="2+3",IF(ISNUMBER(SEARCH("grosser Artikel",BU1446)),2,IFERROR(VLOOKUP(BX1446,Parameter!$F$35:$G$64,2,0),2)),IF(OR(CC1446="Nein",CC1446=""),"-",CC1446))))</f>
        <v>2</v>
      </c>
      <c r="AA1446" s="55"/>
      <c r="AB1446" s="56"/>
      <c r="AC1446" s="50" t="n">
        <f aca="false">AV1446</f>
        <v>523</v>
      </c>
      <c r="AD1446" s="50" t="n">
        <f aca="false">MAX(AV1446,H1446)</f>
        <v>523</v>
      </c>
      <c r="AE1446" s="57"/>
      <c r="AF1446" s="50" t="n">
        <f aca="false">IF(LEFT(Cockpit!$C$5,1)="A",H1446,IF(Parameter!$E$30="MAX-Bestand",IF(CH1446=1,CI1446,IF(LEFT(Cockpit!$C$5,1)="B",AL1446,MAX(AL1446,H1446))),ROUNDUP(AJ1446,0)))</f>
        <v>0</v>
      </c>
      <c r="AG1446" s="50" t="n">
        <f aca="false">IF(BZ1446=1,0,ROUNDUP(AF1446/BY1446,0))</f>
        <v>0</v>
      </c>
      <c r="AH1446" s="52" t="n">
        <f aca="false">IF(CQ1446&gt;0,CQ1446*MAX(1,AF1446/X1446),IF(BZ1446=1,IF(AF1446&lt;=0,0,CD1446*MAX(1,IF(H1446&gt;0,AF1446/H1446,1))),IF(R1446&gt;0,AG1446/R1446,0))/MAX(0.1,N(Parameter!$M$21)))</f>
        <v>0</v>
      </c>
      <c r="AI1446" s="50" t="n">
        <f aca="false">AH1446*CB1446</f>
        <v>0</v>
      </c>
      <c r="AJ1446" s="51" t="n">
        <f aca="false">IF(LEFT(Cockpit!$C$5,1)="A",H1446,IF(CH1446=1,(CK1446+CI1446)/2,IF(LEFT(Cockpit!$C$5,1)="B",(CK1446+AL1446)/2,MAX((CK1446+AL1446)/2,H1446))))</f>
        <v>0</v>
      </c>
      <c r="AK1446" s="50" t="n">
        <f aca="false">AJ1446*G1446</f>
        <v>0</v>
      </c>
      <c r="AL1446" s="50" t="n">
        <f aca="false">ROUNDUP(CK1446+MAX(CL1446,2*(J1446/IF(CG1446&gt;0,CG1446,MAX(0.1,N(Cockpit!$C$6)))-CK1446)),0)</f>
        <v>523</v>
      </c>
      <c r="AM1446" s="51" t="n">
        <f aca="false">IF(AI1446&gt;0,J1446/AI1446,-1)</f>
        <v>-1</v>
      </c>
      <c r="AN1446" s="51" t="str">
        <f aca="false">IF(AND(OR(CF1446="L1",CF1446="L23",CF1446="LIFT"),AI1446&gt;0),SUMIFS($AI$7:$AI$1843,$CF$7:$CF$1843,CF1446,$AM$7:$AM$1843,"&gt;"&amp;AM1446)+SUMIFS($AI$7:$AI$1843,$CF$7:$CF$1843,CF1446,$AM$7:$AM$1843,AM1446,$BW$7:$BW$1843,"&lt;="&amp;BW1446),"")</f>
        <v/>
      </c>
      <c r="AO1446" s="58" t="n">
        <f aca="false">IF(AN1446="",0,MAX(0,MIN(1,(IF(CF1446="L1",Parameter!$H$5,IF(CF1446="L23",Parameter!$H$6+Parameter!$H$7,Parameter!$H$5+Parameter!$H$6+Parameter!$H$7))-(AN1446-AI1446))/AI1446)))</f>
        <v>0</v>
      </c>
      <c r="AP1446" s="50" t="n">
        <f aca="false">IF(LEFT(Cockpit!$I$5,1)="A",H1446,IF(Parameter!$E$30="MAX-Bestand",IF(CH1446=1,CI1446,IF(LEFT(Cockpit!$I$5,1)="B",AV1446,MAX(AV1446,H1446))),ROUNDUP(AT1446,0)))</f>
        <v>287</v>
      </c>
      <c r="AQ1446" s="50" t="n">
        <f aca="false">IF(BZ1446=1,0,ROUNDUP(AP1446/BY1446,0))</f>
        <v>1</v>
      </c>
      <c r="AR1446" s="52" t="n">
        <f aca="false">IF(CQ1446&gt;0,CQ1446*MAX(1,AP1446/X1446),IF(BZ1446=1,IF(AP1446&lt;=0,0,CD1446*MAX(1,IF(H1446&gt;0,AP1446/H1446,1))),IF(R1446&gt;0,AQ1446/R1446,0))/MAX(0.1,N(Parameter!$M$21)))</f>
        <v>0.0833333333333333</v>
      </c>
      <c r="AS1446" s="50" t="n">
        <f aca="false">AR1446*CB1446</f>
        <v>20.4166666666667</v>
      </c>
      <c r="AT1446" s="51" t="n">
        <f aca="false">IF(LEFT(Cockpit!$I$5,1)="A",H1446,IF(CH1446=1,(CK1446+CI1446)/2,IF(LEFT(Cockpit!$I$5,1)="B",(CK1446+AV1446)/2,MAX((CK1446+AV1446)/2,H1446))))</f>
        <v>286.5</v>
      </c>
      <c r="AU1446" s="50" t="n">
        <f aca="false">AT1446*G1446</f>
        <v>15038.385</v>
      </c>
      <c r="AV1446" s="50" t="n">
        <f aca="false">ROUNDUP(CK1446+MAX(CL1446,2*(J1446/IF(CG1446&gt;0,CG1446,MAX(0.1,N(Cockpit!$I$6)))-CK1446)),0)</f>
        <v>523</v>
      </c>
      <c r="AW1446" s="51" t="n">
        <f aca="false">IF(AS1446&gt;0,J1446/AS1446,-1)</f>
        <v>42.0734693877551</v>
      </c>
      <c r="AX1446" s="51" t="n">
        <f aca="false">IF(AND(OR(CF1446="L1",CF1446="L23",CF1446="LIFT"),AS1446&gt;0),SUMIFS($AS$7:$AS$1843,$CF$7:$CF$1843,CF1446,$AW$7:$AW$1843,"&gt;"&amp;AW1446)+SUMIFS($AS$7:$AS$1843,$CF$7:$CF$1843,CF1446,$AW$7:$AW$1843,AW1446,$BW$7:$BW$1843,"&lt;="&amp;BW1446),"")</f>
        <v>1482.18635531136</v>
      </c>
      <c r="AY1446" s="58" t="n">
        <f aca="false">IF(AX1446="",0,MAX(0,MIN(1,(IF(CF1446="L1",Parameter!$H$5,IF(CF1446="L23",Parameter!$H$6+Parameter!$H$7,Parameter!$H$5+Parameter!$H$6+Parameter!$H$7))-(AX1446-AS1446))/AS1446)))</f>
        <v>1</v>
      </c>
      <c r="AZ1446" s="50" t="n">
        <f aca="false">IF(LEFT(Cockpit!$O$5,1)="A",H1446,IF(Parameter!$E$30="MAX-Bestand",IF(CH1446=1,CI1446,IF(LEFT(Cockpit!$O$5,1)="B",BF1446,MAX(BF1446,H1446))),ROUNDUP(BD1446,0)))</f>
        <v>215</v>
      </c>
      <c r="BA1446" s="50" t="n">
        <f aca="false">IF(BZ1446=1,0,ROUNDUP(AZ1446/BY1446,0))</f>
        <v>1</v>
      </c>
      <c r="BB1446" s="52" t="n">
        <f aca="false">IF(CQ1446&gt;0,CQ1446*MAX(1,AZ1446/X1446),IF(BZ1446=1,IF(AZ1446&lt;=0,0,CD1446*MAX(1,IF(H1446&gt;0,AZ1446/H1446,1))),IF(R1446&gt;0,BA1446/R1446,0))/MAX(0.1,N(Parameter!$M$21)))</f>
        <v>0.0833333333333333</v>
      </c>
      <c r="BC1446" s="50" t="n">
        <f aca="false">BB1446*CB1446</f>
        <v>20.4166666666667</v>
      </c>
      <c r="BD1446" s="51" t="n">
        <f aca="false">IF(LEFT(Cockpit!$O$5,1)="A",H1446,IF(CH1446=1,(CK1446+CI1446)/2,IF(LEFT(Cockpit!$O$5,1)="B",(CK1446+BF1446)/2,MAX((CK1446+BF1446)/2,H1446))))</f>
        <v>215</v>
      </c>
      <c r="BE1446" s="50" t="n">
        <f aca="false">BD1446*G1446</f>
        <v>11285.35</v>
      </c>
      <c r="BF1446" s="50" t="n">
        <f aca="false">ROUNDUP(CK1446+MAX(CL1446,2*(J1446/IF(CG1446&gt;0,CG1446,MAX(0.1,N(Cockpit!$O$6)))-CK1446)),0)</f>
        <v>380</v>
      </c>
      <c r="BG1446" s="51" t="n">
        <f aca="false">IF(BC1446&gt;0,J1446/BC1446,-1)</f>
        <v>42.0734693877551</v>
      </c>
      <c r="BH1446" s="51" t="n">
        <f aca="false">IF(AND(OR(CF1446="L1",CF1446="L23",CF1446="LIFT"),BC1446&gt;0),SUMIFS($BC$7:$BC$1843,$CF$7:$CF$1843,CF1446,$BG$7:$BG$1843,"&gt;"&amp;BG1446)+SUMIFS($BC$7:$BC$1843,$CF$7:$CF$1843,CF1446,$BG$7:$BG$1843,BG1446,$BW$7:$BW$1843,"&lt;="&amp;BW1446),"")</f>
        <v>1257.9565018315</v>
      </c>
      <c r="BI1446" s="58" t="n">
        <f aca="false">IF(BH1446="",0,MAX(0,MIN(1,(IF(CF1446="L1",Parameter!$H$5,IF(CF1446="L23",Parameter!$H$6+Parameter!$H$7,Parameter!$H$5+Parameter!$H$6+Parameter!$H$7))-(BH1446-BC1446))/BC1446)))</f>
        <v>1</v>
      </c>
      <c r="BJ1446" s="48" t="str">
        <f aca="false">IF(AI1446&lt;=0,"",IF(CF1446="Aussen","Aussenlager",IF(CF1446="-","Nicht im Lift",IF(AO1446&gt;=1,"Lift",IF(AO1446&lt;=0,"Aussenlager","teilweise")))))</f>
        <v/>
      </c>
      <c r="BK1446" s="48" t="str">
        <f aca="false">IF(AS1446&lt;=0,"",IF(CF1446="Aussen","Aussenlager",IF(CF1446="-","Nicht im Lift",IF(AY1446&gt;=1,"Lift",IF(AY1446&lt;=0,"Aussenlager","teilweise")))))</f>
        <v>Lift</v>
      </c>
      <c r="BL1446" s="48" t="str">
        <f aca="false">IF(BC1446&lt;=0,"",IF(CF1446="Aussen","Aussenlager",IF(CF1446="-","Nicht im Lift",IF(BI1446&gt;=1,"Lift",IF(BI1446&lt;=0,"Aussenlager","teilweise")))))</f>
        <v>Lift</v>
      </c>
      <c r="BM1446" s="48" t="str">
        <f aca="false">IF(A1446="","",IF(BV1446=1,"Neu; ","")&amp;IF(AND(BV1446=0,BQ1446&lt;0),"negativer Bestand (Export "&amp;BQ1446&amp;"); ","")&amp;IF(J1446&lt;=0,"Kein Verbrauch; ","")&amp;IF(CQ1446&gt;0,"Lift "&amp;W1446&amp;" lt. Liftbericht (Fach "&amp;X1446&amp;" Stk); ",IF(CA1446=1,"Gebinde geschätzt ("&amp;T1446&amp;"); ",IF(BZ1446=1,"Lose – Tablare geschätzt; ","")))&amp;IF(H1446&gt;AV1446,"Überbestand "&amp;ROUND(H1446-AV1446,0)&amp;" Stk / CHF "&amp;ROUND((H1446-AV1446)*G1446,0)&amp;"; ","")&amp;IF(AND(CH1446=1,CI1446&lt;CJ1446),"MAX &lt; MB+LG; ","")&amp;IF(AND(CP1446&gt;0,CO1446*10&gt;CP1446),"zu hoch für Tablar; ","")&amp;IF(AND(BV1446=0,OR(CH1446=1,AA1446&lt;&gt;"",U1446&lt;&gt;"",V1446&lt;&gt;"",AB1446&lt;&gt;"")),"manuell übersteuert; ","")&amp;IF(AND(BZ1446=0,R1446=0),"Gebinde unbekannt / Stellmass fehlt; ","")&amp;IF(AND(BZ1446=0,N(V1446)&lt;=0,N(Q1446)&lt;=0),"Menge pro Gebinde fehlt (Ist = 1 Gebinde); ","")&amp;BU1446)</f>
        <v>negativer Bestand (Export -228); Neuer Art.</v>
      </c>
      <c r="BN1446" s="48"/>
      <c r="BO1446" s="48"/>
      <c r="BP1446" s="55"/>
      <c r="BQ1446" s="50" t="n">
        <v>-228</v>
      </c>
      <c r="BR1446" s="50" t="n">
        <v>0</v>
      </c>
      <c r="BS1446" s="49" t="n">
        <v>-10655.48</v>
      </c>
      <c r="BT1446" s="50" t="n">
        <v>859</v>
      </c>
      <c r="BU1446" s="48" t="s">
        <v>521</v>
      </c>
      <c r="BV1446" s="53" t="n">
        <v>0</v>
      </c>
      <c r="BW1446" s="53" t="n">
        <v>1446</v>
      </c>
      <c r="BX1446" s="48" t="str">
        <f aca="false">IF(U1446&lt;&gt;"",UPPER(TRIM(U1446)),IF(CA1446=1,UPPER(VLOOKUP(T1446,Parameter!$I$27:$K$29,2,0)),IF(P1446="","LOSE",P1446)))</f>
        <v>S62</v>
      </c>
      <c r="BY1446" s="50" t="n">
        <f aca="false">IF(BX1446="LOSE",1,IF(N(V1446)&gt;0,V1446,IF(CA1446=1,MAX(1,N(VLOOKUP(T1446,Parameter!$I$27:$K$29,3,0)),H1446,N(N1446)),IF(N(Q1446)&gt;0,Q1446,MAX(1,H1446)))))</f>
        <v>430</v>
      </c>
      <c r="BZ1446" s="53" t="n">
        <f aca="false">IF(BX1446="LOSE",1,0)</f>
        <v>0</v>
      </c>
      <c r="CA1446" s="53" t="n">
        <f aca="false">IF(AND(U1446="",OR(P1446="",P1446="LOSE"),T1446&lt;&gt;"",N(S1446)&lt;=0,ISNUMBER(MATCH(T1446,Parameter!$I$27:$I$29,0))),1,0)</f>
        <v>0</v>
      </c>
      <c r="CB1446" s="53" t="n">
        <f aca="false">IF(CQ1446&gt;0,INDEX(Parameter!$H$5:$H$7,W1446)/INDEX(Parameter!$E$5:$E$7,W1446),IF(AND(BZ1446=0,N(IFERROR(VLOOKUP(BX1446,'Gebinde-Kategorie'!$A$5:$N$45,14,0),0))&gt;0),VLOOKUP(BX1446,'Gebinde-Kategorie'!$A$5:$N$45,14,0)*10+Parameter!$M$23,Parameter!$M$24))</f>
        <v>245</v>
      </c>
      <c r="CC1446" s="48" t="str">
        <f aca="false">IF(AND(Parameter!$B$19="Ja",E1446&lt;&gt;"",ISNUMBER(MATCH(E1446,Parameter!$I$35:$I$52,0))),VLOOKUP(E1446,Parameter!$I$35:$J$52,2,0),IFERROR(VLOOKUP(D1446,Parameter!$A$35:$C$64,2,0),"Nein"))</f>
        <v>2+3</v>
      </c>
      <c r="CD1446" s="52" t="n">
        <f aca="false">IF(BZ1446=0,0,IF(N(S1446)&gt;0,S1446,IFERROR(VLOOKUP(D1446,Parameter!$A$35:$C$64,3,0)+0,0)))</f>
        <v>0</v>
      </c>
      <c r="CE1446" s="48" t="n">
        <f aca="false">IF(AA1446&lt;&gt;"",AA1446,Z1446)</f>
        <v>2</v>
      </c>
      <c r="CF1446" s="48" t="str">
        <f aca="false">IF(OR(CE1446=1,CE1446=2,CE1446=3),IF(Parameter!$E$27="Ja","LIFT",IF(CE1446=1,"L1","L23")),IF(CE1446="Aussen","Aussen","-"))</f>
        <v>LIFT</v>
      </c>
      <c r="CG1446" s="59" t="n">
        <f aca="false">IF(N(AB1446)&gt;0,AB1446,0)</f>
        <v>0</v>
      </c>
      <c r="CH1446" s="53" t="n">
        <f aca="false">IF(ISNUMBER(AE1446),1,0)</f>
        <v>0</v>
      </c>
      <c r="CI1446" s="50" t="n">
        <f aca="false">N(AE1446)</f>
        <v>0</v>
      </c>
      <c r="CJ1446" s="50" t="n">
        <f aca="false">N(M1446)+N(N1446)</f>
        <v>150</v>
      </c>
      <c r="CK1446" s="50" t="n">
        <f aca="false">N(M1446)</f>
        <v>50</v>
      </c>
      <c r="CL1446" s="50" t="n">
        <f aca="false">N(N1446)</f>
        <v>100</v>
      </c>
      <c r="CM1446" s="50" t="n">
        <f aca="false">ROUNDUP(H1446/BY1446,0)</f>
        <v>0</v>
      </c>
      <c r="CN1446" s="50" t="n">
        <f aca="false">ROUNDUP(CI1446/BY1446,0)</f>
        <v>0</v>
      </c>
      <c r="CO1446" s="53" t="n">
        <f aca="false">IF(BZ1446=1,0,IFERROR(VLOOKUP(BX1446,'Gebinde-Kategorie'!$A$5:$N$45,5,0)+0,0))</f>
        <v>21</v>
      </c>
      <c r="CP1446" s="53" t="n">
        <f aca="false">IFERROR(IF(OR(CE1446=1,CE1446=2,CE1446=3),N(INDEX(Parameter!$I$5:$I$7,CE1446)),0),0)</f>
        <v>0</v>
      </c>
      <c r="CQ1446" s="52" t="n">
        <f aca="false">IF(AND(Parameter!$B$21="Ja",ISNUMBER(W1446),N(X1446)&gt;0),IFERROR(N(INDEX(Parameter!$L$5:$L$7,W1446))*INDEX(Parameter!$E$5:$E$7,W1446)*X1446/SUMIFS($X$7:$X$1843,$W$7:$W$1843,W1446),0),0)</f>
        <v>0</v>
      </c>
    </row>
    <row r="1447" customFormat="false" ht="15" hidden="false" customHeight="false" outlineLevel="0" collapsed="false">
      <c r="A1447" s="48" t="s">
        <v>2543</v>
      </c>
      <c r="B1447" s="48" t="s">
        <v>2544</v>
      </c>
      <c r="C1447" s="48" t="s">
        <v>173</v>
      </c>
      <c r="D1447" s="48" t="s">
        <v>193</v>
      </c>
      <c r="E1447" s="48" t="s">
        <v>194</v>
      </c>
      <c r="F1447" s="48"/>
      <c r="G1447" s="49" t="n">
        <v>315</v>
      </c>
      <c r="H1447" s="50" t="n">
        <f aca="false">MAX(0,IF(AND(Parameter!$B$21="Ja",ISNUMBER(Y1447)),Y1447,IF(Parameter!$B$20="Jahresanfang 2025 + Export",BR1447+BQ1447,BQ1447)))</f>
        <v>0</v>
      </c>
      <c r="I1447" s="50" t="n">
        <f aca="false">H1447*G1447</f>
        <v>0</v>
      </c>
      <c r="J1447" s="50" t="n">
        <f aca="false">BT1447*Parameter!$B$18</f>
        <v>37</v>
      </c>
      <c r="K1447" s="51"/>
      <c r="L1447" s="52"/>
      <c r="M1447" s="50" t="n">
        <v>5</v>
      </c>
      <c r="N1447" s="50" t="n">
        <v>1</v>
      </c>
      <c r="O1447" s="53"/>
      <c r="P1447" s="48" t="s">
        <v>242</v>
      </c>
      <c r="Q1447" s="50" t="n">
        <v>50</v>
      </c>
      <c r="R1447" s="53" t="n">
        <f aca="false">IF(BZ1447=1,0,IFERROR(VLOOKUP(BX1447,'Gebinde-Kategorie'!$A$5:$N$45,13,0)+0,0))</f>
        <v>26</v>
      </c>
      <c r="S1447" s="54"/>
      <c r="T1447" s="55"/>
      <c r="U1447" s="55"/>
      <c r="V1447" s="55"/>
      <c r="W1447" s="48"/>
      <c r="X1447" s="50"/>
      <c r="Y1447" s="50"/>
      <c r="Z1447" s="48" t="n">
        <f aca="false">IF(A1447="","",IF(AND(Parameter!$B$21="Ja",ISNUMBER(W1447)),W1447,IF(CC1447="2+3",IF(ISNUMBER(SEARCH("grosser Artikel",BU1447)),2,IFERROR(VLOOKUP(BX1447,Parameter!$F$35:$G$64,2,0),2)),IF(OR(CC1447="Nein",CC1447=""),"-",CC1447))))</f>
        <v>3</v>
      </c>
      <c r="AA1447" s="55"/>
      <c r="AB1447" s="56"/>
      <c r="AC1447" s="50" t="n">
        <f aca="false">AV1447</f>
        <v>20</v>
      </c>
      <c r="AD1447" s="50" t="n">
        <f aca="false">MAX(AV1447,H1447)</f>
        <v>20</v>
      </c>
      <c r="AE1447" s="57"/>
      <c r="AF1447" s="50" t="n">
        <f aca="false">IF(LEFT(Cockpit!$C$5,1)="A",H1447,IF(Parameter!$E$30="MAX-Bestand",IF(CH1447=1,CI1447,IF(LEFT(Cockpit!$C$5,1)="B",AL1447,MAX(AL1447,H1447))),ROUNDUP(AJ1447,0)))</f>
        <v>0</v>
      </c>
      <c r="AG1447" s="50" t="n">
        <f aca="false">IF(BZ1447=1,0,ROUNDUP(AF1447/BY1447,0))</f>
        <v>0</v>
      </c>
      <c r="AH1447" s="52" t="n">
        <f aca="false">IF(CQ1447&gt;0,CQ1447*MAX(1,AF1447/X1447),IF(BZ1447=1,IF(AF1447&lt;=0,0,CD1447*MAX(1,IF(H1447&gt;0,AF1447/H1447,1))),IF(R1447&gt;0,AG1447/R1447,0))/MAX(0.1,N(Parameter!$M$21)))</f>
        <v>0</v>
      </c>
      <c r="AI1447" s="50" t="n">
        <f aca="false">AH1447*CB1447</f>
        <v>0</v>
      </c>
      <c r="AJ1447" s="51" t="n">
        <f aca="false">IF(LEFT(Cockpit!$C$5,1)="A",H1447,IF(CH1447=1,(CK1447+CI1447)/2,IF(LEFT(Cockpit!$C$5,1)="B",(CK1447+AL1447)/2,MAX((CK1447+AL1447)/2,H1447))))</f>
        <v>0</v>
      </c>
      <c r="AK1447" s="50" t="n">
        <f aca="false">AJ1447*G1447</f>
        <v>0</v>
      </c>
      <c r="AL1447" s="50" t="n">
        <f aca="false">ROUNDUP(CK1447+MAX(CL1447,2*(J1447/IF(CG1447&gt;0,CG1447,MAX(0.1,N(Cockpit!$C$6)))-CK1447)),0)</f>
        <v>20</v>
      </c>
      <c r="AM1447" s="51" t="n">
        <f aca="false">IF(AI1447&gt;0,J1447/AI1447,-1)</f>
        <v>-1</v>
      </c>
      <c r="AN1447" s="51" t="str">
        <f aca="false">IF(AND(OR(CF1447="L1",CF1447="L23",CF1447="LIFT"),AI1447&gt;0),SUMIFS($AI$7:$AI$1843,$CF$7:$CF$1843,CF1447,$AM$7:$AM$1843,"&gt;"&amp;AM1447)+SUMIFS($AI$7:$AI$1843,$CF$7:$CF$1843,CF1447,$AM$7:$AM$1843,AM1447,$BW$7:$BW$1843,"&lt;="&amp;BW1447),"")</f>
        <v/>
      </c>
      <c r="AO1447" s="58" t="n">
        <f aca="false">IF(AN1447="",0,MAX(0,MIN(1,(IF(CF1447="L1",Parameter!$H$5,IF(CF1447="L23",Parameter!$H$6+Parameter!$H$7,Parameter!$H$5+Parameter!$H$6+Parameter!$H$7))-(AN1447-AI1447))/AI1447)))</f>
        <v>0</v>
      </c>
      <c r="AP1447" s="50" t="n">
        <f aca="false">IF(LEFT(Cockpit!$I$5,1)="A",H1447,IF(Parameter!$E$30="MAX-Bestand",IF(CH1447=1,CI1447,IF(LEFT(Cockpit!$I$5,1)="B",AV1447,MAX(AV1447,H1447))),ROUNDUP(AT1447,0)))</f>
        <v>13</v>
      </c>
      <c r="AQ1447" s="50" t="n">
        <f aca="false">IF(BZ1447=1,0,ROUNDUP(AP1447/BY1447,0))</f>
        <v>1</v>
      </c>
      <c r="AR1447" s="52" t="n">
        <f aca="false">IF(CQ1447&gt;0,CQ1447*MAX(1,AP1447/X1447),IF(BZ1447=1,IF(AP1447&lt;=0,0,CD1447*MAX(1,IF(H1447&gt;0,AP1447/H1447,1))),IF(R1447&gt;0,AQ1447/R1447,0))/MAX(0.1,N(Parameter!$M$21)))</f>
        <v>0.0384615384615385</v>
      </c>
      <c r="AS1447" s="50" t="n">
        <f aca="false">AR1447*CB1447</f>
        <v>9.42307692307692</v>
      </c>
      <c r="AT1447" s="51" t="n">
        <f aca="false">IF(LEFT(Cockpit!$I$5,1)="A",H1447,IF(CH1447=1,(CK1447+CI1447)/2,IF(LEFT(Cockpit!$I$5,1)="B",(CK1447+AV1447)/2,MAX((CK1447+AV1447)/2,H1447))))</f>
        <v>12.5</v>
      </c>
      <c r="AU1447" s="50" t="n">
        <f aca="false">AT1447*G1447</f>
        <v>3937.5</v>
      </c>
      <c r="AV1447" s="50" t="n">
        <f aca="false">ROUNDUP(CK1447+MAX(CL1447,2*(J1447/IF(CG1447&gt;0,CG1447,MAX(0.1,N(Cockpit!$I$6)))-CK1447)),0)</f>
        <v>20</v>
      </c>
      <c r="AW1447" s="51" t="n">
        <f aca="false">IF(AS1447&gt;0,J1447/AS1447,-1)</f>
        <v>3.9265306122449</v>
      </c>
      <c r="AX1447" s="51" t="n">
        <f aca="false">IF(AND(OR(CF1447="L1",CF1447="L23",CF1447="LIFT"),AS1447&gt;0),SUMIFS($AS$7:$AS$1843,$CF$7:$CF$1843,CF1447,$AW$7:$AW$1843,"&gt;"&amp;AW1447)+SUMIFS($AS$7:$AS$1843,$CF$7:$CF$1843,CF1447,$AW$7:$AW$1843,AW1447,$BW$7:$BW$1843,"&lt;="&amp;BW1447),"")</f>
        <v>5044.59340659341</v>
      </c>
      <c r="AY1447" s="58" t="n">
        <f aca="false">IF(AX1447="",0,MAX(0,MIN(1,(IF(CF1447="L1",Parameter!$H$5,IF(CF1447="L23",Parameter!$H$6+Parameter!$H$7,Parameter!$H$5+Parameter!$H$6+Parameter!$H$7))-(AX1447-AS1447))/AS1447)))</f>
        <v>1</v>
      </c>
      <c r="AZ1447" s="50" t="n">
        <f aca="false">IF(LEFT(Cockpit!$O$5,1)="A",H1447,IF(Parameter!$E$30="MAX-Bestand",IF(CH1447=1,CI1447,IF(LEFT(Cockpit!$O$5,1)="B",BF1447,MAX(BF1447,H1447))),ROUNDUP(BD1447,0)))</f>
        <v>10</v>
      </c>
      <c r="BA1447" s="50" t="n">
        <f aca="false">IF(BZ1447=1,0,ROUNDUP(AZ1447/BY1447,0))</f>
        <v>1</v>
      </c>
      <c r="BB1447" s="52" t="n">
        <f aca="false">IF(CQ1447&gt;0,CQ1447*MAX(1,AZ1447/X1447),IF(BZ1447=1,IF(AZ1447&lt;=0,0,CD1447*MAX(1,IF(H1447&gt;0,AZ1447/H1447,1))),IF(R1447&gt;0,BA1447/R1447,0))/MAX(0.1,N(Parameter!$M$21)))</f>
        <v>0.0384615384615385</v>
      </c>
      <c r="BC1447" s="50" t="n">
        <f aca="false">BB1447*CB1447</f>
        <v>9.42307692307692</v>
      </c>
      <c r="BD1447" s="51" t="n">
        <f aca="false">IF(LEFT(Cockpit!$O$5,1)="A",H1447,IF(CH1447=1,(CK1447+CI1447)/2,IF(LEFT(Cockpit!$O$5,1)="B",(CK1447+BF1447)/2,MAX((CK1447+BF1447)/2,H1447))))</f>
        <v>9.5</v>
      </c>
      <c r="BE1447" s="50" t="n">
        <f aca="false">BD1447*G1447</f>
        <v>2992.5</v>
      </c>
      <c r="BF1447" s="50" t="n">
        <f aca="false">ROUNDUP(CK1447+MAX(CL1447,2*(J1447/IF(CG1447&gt;0,CG1447,MAX(0.1,N(Cockpit!$O$6)))-CK1447)),0)</f>
        <v>14</v>
      </c>
      <c r="BG1447" s="51" t="n">
        <f aca="false">IF(BC1447&gt;0,J1447/BC1447,-1)</f>
        <v>3.9265306122449</v>
      </c>
      <c r="BH1447" s="51" t="n">
        <f aca="false">IF(AND(OR(CF1447="L1",CF1447="L23",CF1447="LIFT"),BC1447&gt;0),SUMIFS($BC$7:$BC$1843,$CF$7:$CF$1843,CF1447,$BG$7:$BG$1843,"&gt;"&amp;BG1447)+SUMIFS($BC$7:$BC$1843,$CF$7:$CF$1843,CF1447,$BG$7:$BG$1843,BG1447,$BW$7:$BW$1843,"&lt;="&amp;BW1447),"")</f>
        <v>4147.26007326007</v>
      </c>
      <c r="BI1447" s="58" t="n">
        <f aca="false">IF(BH1447="",0,MAX(0,MIN(1,(IF(CF1447="L1",Parameter!$H$5,IF(CF1447="L23",Parameter!$H$6+Parameter!$H$7,Parameter!$H$5+Parameter!$H$6+Parameter!$H$7))-(BH1447-BC1447))/BC1447)))</f>
        <v>1</v>
      </c>
      <c r="BJ1447" s="48" t="str">
        <f aca="false">IF(AI1447&lt;=0,"",IF(CF1447="Aussen","Aussenlager",IF(CF1447="-","Nicht im Lift",IF(AO1447&gt;=1,"Lift",IF(AO1447&lt;=0,"Aussenlager","teilweise")))))</f>
        <v/>
      </c>
      <c r="BK1447" s="48" t="str">
        <f aca="false">IF(AS1447&lt;=0,"",IF(CF1447="Aussen","Aussenlager",IF(CF1447="-","Nicht im Lift",IF(AY1447&gt;=1,"Lift",IF(AY1447&lt;=0,"Aussenlager","teilweise")))))</f>
        <v>Lift</v>
      </c>
      <c r="BL1447" s="48" t="str">
        <f aca="false">IF(BC1447&lt;=0,"",IF(CF1447="Aussen","Aussenlager",IF(CF1447="-","Nicht im Lift",IF(BI1447&gt;=1,"Lift",IF(BI1447&lt;=0,"Aussenlager","teilweise")))))</f>
        <v>Lift</v>
      </c>
      <c r="BM1447" s="48" t="str">
        <f aca="false">IF(A1447="","",IF(BV1447=1,"Neu; ","")&amp;IF(AND(BV1447=0,BQ1447&lt;0),"negativer Bestand (Export "&amp;BQ1447&amp;"); ","")&amp;IF(J1447&lt;=0,"Kein Verbrauch; ","")&amp;IF(CQ1447&gt;0,"Lift "&amp;W1447&amp;" lt. Liftbericht (Fach "&amp;X1447&amp;" Stk); ",IF(CA1447=1,"Gebinde geschätzt ("&amp;T1447&amp;"); ",IF(BZ1447=1,"Lose – Tablare geschätzt; ","")))&amp;IF(H1447&gt;AV1447,"Überbestand "&amp;ROUND(H1447-AV1447,0)&amp;" Stk / CHF "&amp;ROUND((H1447-AV1447)*G1447,0)&amp;"; ","")&amp;IF(AND(CH1447=1,CI1447&lt;CJ1447),"MAX &lt; MB+LG; ","")&amp;IF(AND(CP1447&gt;0,CO1447*10&gt;CP1447),"zu hoch für Tablar; ","")&amp;IF(AND(BV1447=0,OR(CH1447=1,AA1447&lt;&gt;"",U1447&lt;&gt;"",V1447&lt;&gt;"",AB1447&lt;&gt;"")),"manuell übersteuert; ","")&amp;IF(AND(BZ1447=0,R1447=0),"Gebinde unbekannt / Stellmass fehlt; ","")&amp;IF(AND(BZ1447=0,N(V1447)&lt;=0,N(Q1447)&lt;=0),"Menge pro Gebinde fehlt (Ist = 1 Gebinde); ","")&amp;BU1447)</f>
        <v>negativer Bestand (Export -37); </v>
      </c>
      <c r="BN1447" s="48"/>
      <c r="BO1447" s="48"/>
      <c r="BP1447" s="55"/>
      <c r="BQ1447" s="50" t="n">
        <v>-37</v>
      </c>
      <c r="BR1447" s="50" t="n">
        <v>0</v>
      </c>
      <c r="BS1447" s="49" t="n">
        <v>-11655</v>
      </c>
      <c r="BT1447" s="50" t="n">
        <v>37</v>
      </c>
      <c r="BU1447" s="48"/>
      <c r="BV1447" s="53" t="n">
        <v>0</v>
      </c>
      <c r="BW1447" s="53" t="n">
        <v>1447</v>
      </c>
      <c r="BX1447" s="48" t="str">
        <f aca="false">IF(U1447&lt;&gt;"",UPPER(TRIM(U1447)),IF(CA1447=1,UPPER(VLOOKUP(T1447,Parameter!$I$27:$K$29,2,0)),IF(P1447="","LOSE",P1447)))</f>
        <v>S52</v>
      </c>
      <c r="BY1447" s="50" t="n">
        <f aca="false">IF(BX1447="LOSE",1,IF(N(V1447)&gt;0,V1447,IF(CA1447=1,MAX(1,N(VLOOKUP(T1447,Parameter!$I$27:$K$29,3,0)),H1447,N(N1447)),IF(N(Q1447)&gt;0,Q1447,MAX(1,H1447)))))</f>
        <v>50</v>
      </c>
      <c r="BZ1447" s="53" t="n">
        <f aca="false">IF(BX1447="LOSE",1,0)</f>
        <v>0</v>
      </c>
      <c r="CA1447" s="53" t="n">
        <f aca="false">IF(AND(U1447="",OR(P1447="",P1447="LOSE"),T1447&lt;&gt;"",N(S1447)&lt;=0,ISNUMBER(MATCH(T1447,Parameter!$I$27:$I$29,0))),1,0)</f>
        <v>0</v>
      </c>
      <c r="CB1447" s="53" t="n">
        <f aca="false">IF(CQ1447&gt;0,INDEX(Parameter!$H$5:$H$7,W1447)/INDEX(Parameter!$E$5:$E$7,W1447),IF(AND(BZ1447=0,N(IFERROR(VLOOKUP(BX1447,'Gebinde-Kategorie'!$A$5:$N$45,14,0),0))&gt;0),VLOOKUP(BX1447,'Gebinde-Kategorie'!$A$5:$N$45,14,0)*10+Parameter!$M$23,Parameter!$M$24))</f>
        <v>245</v>
      </c>
      <c r="CC1447" s="48" t="str">
        <f aca="false">IF(AND(Parameter!$B$19="Ja",E1447&lt;&gt;"",ISNUMBER(MATCH(E1447,Parameter!$I$35:$I$52,0))),VLOOKUP(E1447,Parameter!$I$35:$J$52,2,0),IFERROR(VLOOKUP(D1447,Parameter!$A$35:$C$64,2,0),"Nein"))</f>
        <v>2+3</v>
      </c>
      <c r="CD1447" s="52" t="n">
        <f aca="false">IF(BZ1447=0,0,IF(N(S1447)&gt;0,S1447,IFERROR(VLOOKUP(D1447,Parameter!$A$35:$C$64,3,0)+0,0)))</f>
        <v>0</v>
      </c>
      <c r="CE1447" s="48" t="n">
        <f aca="false">IF(AA1447&lt;&gt;"",AA1447,Z1447)</f>
        <v>3</v>
      </c>
      <c r="CF1447" s="48" t="str">
        <f aca="false">IF(OR(CE1447=1,CE1447=2,CE1447=3),IF(Parameter!$E$27="Ja","LIFT",IF(CE1447=1,"L1","L23")),IF(CE1447="Aussen","Aussen","-"))</f>
        <v>LIFT</v>
      </c>
      <c r="CG1447" s="59" t="n">
        <f aca="false">IF(N(AB1447)&gt;0,AB1447,0)</f>
        <v>0</v>
      </c>
      <c r="CH1447" s="53" t="n">
        <f aca="false">IF(ISNUMBER(AE1447),1,0)</f>
        <v>0</v>
      </c>
      <c r="CI1447" s="50" t="n">
        <f aca="false">N(AE1447)</f>
        <v>0</v>
      </c>
      <c r="CJ1447" s="50" t="n">
        <f aca="false">N(M1447)+N(N1447)</f>
        <v>6</v>
      </c>
      <c r="CK1447" s="50" t="n">
        <f aca="false">N(M1447)</f>
        <v>5</v>
      </c>
      <c r="CL1447" s="50" t="n">
        <f aca="false">N(N1447)</f>
        <v>1</v>
      </c>
      <c r="CM1447" s="50" t="n">
        <f aca="false">ROUNDUP(H1447/BY1447,0)</f>
        <v>0</v>
      </c>
      <c r="CN1447" s="50" t="n">
        <f aca="false">ROUNDUP(CI1447/BY1447,0)</f>
        <v>0</v>
      </c>
      <c r="CO1447" s="53" t="n">
        <f aca="false">IF(BZ1447=1,0,IFERROR(VLOOKUP(BX1447,'Gebinde-Kategorie'!$A$5:$N$45,5,0)+0,0))</f>
        <v>21</v>
      </c>
      <c r="CP1447" s="53" t="n">
        <f aca="false">IFERROR(IF(OR(CE1447=1,CE1447=2,CE1447=3),N(INDEX(Parameter!$I$5:$I$7,CE1447)),0),0)</f>
        <v>0</v>
      </c>
      <c r="CQ1447" s="52" t="n">
        <f aca="false">IF(AND(Parameter!$B$21="Ja",ISNUMBER(W1447),N(X1447)&gt;0),IFERROR(N(INDEX(Parameter!$L$5:$L$7,W1447))*INDEX(Parameter!$E$5:$E$7,W1447)*X1447/SUMIFS($X$7:$X$1843,$W$7:$W$1843,W1447),0),0)</f>
        <v>0</v>
      </c>
    </row>
    <row r="1448" customFormat="false" ht="15" hidden="false" customHeight="false" outlineLevel="0" collapsed="false">
      <c r="A1448" s="48" t="s">
        <v>2545</v>
      </c>
      <c r="B1448" s="48" t="s">
        <v>414</v>
      </c>
      <c r="C1448" s="48" t="s">
        <v>173</v>
      </c>
      <c r="D1448" s="48" t="s">
        <v>193</v>
      </c>
      <c r="E1448" s="48" t="s">
        <v>194</v>
      </c>
      <c r="F1448" s="48"/>
      <c r="G1448" s="49" t="n">
        <v>3.25</v>
      </c>
      <c r="H1448" s="50" t="n">
        <f aca="false">MAX(0,IF(AND(Parameter!$B$21="Ja",ISNUMBER(Y1448)),Y1448,IF(Parameter!$B$20="Jahresanfang 2025 + Export",BR1448+BQ1448,BQ1448)))</f>
        <v>0</v>
      </c>
      <c r="I1448" s="50" t="n">
        <f aca="false">H1448*G1448</f>
        <v>0</v>
      </c>
      <c r="J1448" s="50" t="n">
        <f aca="false">BT1448*Parameter!$B$18</f>
        <v>2410</v>
      </c>
      <c r="K1448" s="51"/>
      <c r="L1448" s="52"/>
      <c r="M1448" s="50" t="n">
        <v>150</v>
      </c>
      <c r="N1448" s="50" t="n">
        <v>500</v>
      </c>
      <c r="O1448" s="53"/>
      <c r="P1448" s="48" t="s">
        <v>268</v>
      </c>
      <c r="Q1448" s="50" t="n">
        <v>1200</v>
      </c>
      <c r="R1448" s="53" t="n">
        <f aca="false">IF(BZ1448=1,0,IFERROR(VLOOKUP(BX1448,'Gebinde-Kategorie'!$A$5:$N$45,13,0)+0,0))</f>
        <v>6</v>
      </c>
      <c r="S1448" s="54"/>
      <c r="T1448" s="55"/>
      <c r="U1448" s="55"/>
      <c r="V1448" s="55"/>
      <c r="W1448" s="48"/>
      <c r="X1448" s="50"/>
      <c r="Y1448" s="50"/>
      <c r="Z1448" s="48" t="n">
        <f aca="false">IF(A1448="","",IF(AND(Parameter!$B$21="Ja",ISNUMBER(W1448)),W1448,IF(CC1448="2+3",IF(ISNUMBER(SEARCH("grosser Artikel",BU1448)),2,IFERROR(VLOOKUP(BX1448,Parameter!$F$35:$G$64,2,0),2)),IF(OR(CC1448="Nein",CC1448=""),"-",CC1448))))</f>
        <v>2</v>
      </c>
      <c r="AA1448" s="55"/>
      <c r="AB1448" s="56"/>
      <c r="AC1448" s="50" t="n">
        <f aca="false">AV1448</f>
        <v>1457</v>
      </c>
      <c r="AD1448" s="50" t="n">
        <f aca="false">MAX(AV1448,H1448)</f>
        <v>1457</v>
      </c>
      <c r="AE1448" s="57"/>
      <c r="AF1448" s="50" t="n">
        <f aca="false">IF(LEFT(Cockpit!$C$5,1)="A",H1448,IF(Parameter!$E$30="MAX-Bestand",IF(CH1448=1,CI1448,IF(LEFT(Cockpit!$C$5,1)="B",AL1448,MAX(AL1448,H1448))),ROUNDUP(AJ1448,0)))</f>
        <v>0</v>
      </c>
      <c r="AG1448" s="50" t="n">
        <f aca="false">IF(BZ1448=1,0,ROUNDUP(AF1448/BY1448,0))</f>
        <v>0</v>
      </c>
      <c r="AH1448" s="52" t="n">
        <f aca="false">IF(CQ1448&gt;0,CQ1448*MAX(1,AF1448/X1448),IF(BZ1448=1,IF(AF1448&lt;=0,0,CD1448*MAX(1,IF(H1448&gt;0,AF1448/H1448,1))),IF(R1448&gt;0,AG1448/R1448,0))/MAX(0.1,N(Parameter!$M$21)))</f>
        <v>0</v>
      </c>
      <c r="AI1448" s="50" t="n">
        <f aca="false">AH1448*CB1448</f>
        <v>0</v>
      </c>
      <c r="AJ1448" s="51" t="n">
        <f aca="false">IF(LEFT(Cockpit!$C$5,1)="A",H1448,IF(CH1448=1,(CK1448+CI1448)/2,IF(LEFT(Cockpit!$C$5,1)="B",(CK1448+AL1448)/2,MAX((CK1448+AL1448)/2,H1448))))</f>
        <v>0</v>
      </c>
      <c r="AK1448" s="50" t="n">
        <f aca="false">AJ1448*G1448</f>
        <v>0</v>
      </c>
      <c r="AL1448" s="50" t="n">
        <f aca="false">ROUNDUP(CK1448+MAX(CL1448,2*(J1448/IF(CG1448&gt;0,CG1448,MAX(0.1,N(Cockpit!$C$6)))-CK1448)),0)</f>
        <v>1457</v>
      </c>
      <c r="AM1448" s="51" t="n">
        <f aca="false">IF(AI1448&gt;0,J1448/AI1448,-1)</f>
        <v>-1</v>
      </c>
      <c r="AN1448" s="51" t="str">
        <f aca="false">IF(AND(OR(CF1448="L1",CF1448="L23",CF1448="LIFT"),AI1448&gt;0),SUMIFS($AI$7:$AI$1843,$CF$7:$CF$1843,CF1448,$AM$7:$AM$1843,"&gt;"&amp;AM1448)+SUMIFS($AI$7:$AI$1843,$CF$7:$CF$1843,CF1448,$AM$7:$AM$1843,AM1448,$BW$7:$BW$1843,"&lt;="&amp;BW1448),"")</f>
        <v/>
      </c>
      <c r="AO1448" s="58" t="n">
        <f aca="false">IF(AN1448="",0,MAX(0,MIN(1,(IF(CF1448="L1",Parameter!$H$5,IF(CF1448="L23",Parameter!$H$6+Parameter!$H$7,Parameter!$H$5+Parameter!$H$6+Parameter!$H$7))-(AN1448-AI1448))/AI1448)))</f>
        <v>0</v>
      </c>
      <c r="AP1448" s="50" t="n">
        <f aca="false">IF(LEFT(Cockpit!$I$5,1)="A",H1448,IF(Parameter!$E$30="MAX-Bestand",IF(CH1448=1,CI1448,IF(LEFT(Cockpit!$I$5,1)="B",AV1448,MAX(AV1448,H1448))),ROUNDUP(AT1448,0)))</f>
        <v>804</v>
      </c>
      <c r="AQ1448" s="50" t="n">
        <f aca="false">IF(BZ1448=1,0,ROUNDUP(AP1448/BY1448,0))</f>
        <v>1</v>
      </c>
      <c r="AR1448" s="52" t="n">
        <f aca="false">IF(CQ1448&gt;0,CQ1448*MAX(1,AP1448/X1448),IF(BZ1448=1,IF(AP1448&lt;=0,0,CD1448*MAX(1,IF(H1448&gt;0,AP1448/H1448,1))),IF(R1448&gt;0,AQ1448/R1448,0))/MAX(0.1,N(Parameter!$M$21)))</f>
        <v>0.166666666666667</v>
      </c>
      <c r="AS1448" s="50" t="n">
        <f aca="false">AR1448*CB1448</f>
        <v>72.5</v>
      </c>
      <c r="AT1448" s="51" t="n">
        <f aca="false">IF(LEFT(Cockpit!$I$5,1)="A",H1448,IF(CH1448=1,(CK1448+CI1448)/2,IF(LEFT(Cockpit!$I$5,1)="B",(CK1448+AV1448)/2,MAX((CK1448+AV1448)/2,H1448))))</f>
        <v>803.5</v>
      </c>
      <c r="AU1448" s="50" t="n">
        <f aca="false">AT1448*G1448</f>
        <v>2611.375</v>
      </c>
      <c r="AV1448" s="50" t="n">
        <f aca="false">ROUNDUP(CK1448+MAX(CL1448,2*(J1448/IF(CG1448&gt;0,CG1448,MAX(0.1,N(Cockpit!$I$6)))-CK1448)),0)</f>
        <v>1457</v>
      </c>
      <c r="AW1448" s="51" t="n">
        <f aca="false">IF(AS1448&gt;0,J1448/AS1448,-1)</f>
        <v>33.2413793103448</v>
      </c>
      <c r="AX1448" s="51" t="n">
        <f aca="false">IF(AND(OR(CF1448="L1",CF1448="L23",CF1448="LIFT"),AS1448&gt;0),SUMIFS($AS$7:$AS$1843,$CF$7:$CF$1843,CF1448,$AW$7:$AW$1843,"&gt;"&amp;AW1448)+SUMIFS($AS$7:$AS$1843,$CF$7:$CF$1843,CF1448,$AW$7:$AW$1843,AW1448,$BW$7:$BW$1843,"&lt;="&amp;BW1448),"")</f>
        <v>1715.86904761905</v>
      </c>
      <c r="AY1448" s="58" t="n">
        <f aca="false">IF(AX1448="",0,MAX(0,MIN(1,(IF(CF1448="L1",Parameter!$H$5,IF(CF1448="L23",Parameter!$H$6+Parameter!$H$7,Parameter!$H$5+Parameter!$H$6+Parameter!$H$7))-(AX1448-AS1448))/AS1448)))</f>
        <v>1</v>
      </c>
      <c r="AZ1448" s="50" t="n">
        <f aca="false">IF(LEFT(Cockpit!$O$5,1)="A",H1448,IF(Parameter!$E$30="MAX-Bestand",IF(CH1448=1,CI1448,IF(LEFT(Cockpit!$O$5,1)="B",BF1448,MAX(BF1448,H1448))),ROUNDUP(BD1448,0)))</f>
        <v>603</v>
      </c>
      <c r="BA1448" s="50" t="n">
        <f aca="false">IF(BZ1448=1,0,ROUNDUP(AZ1448/BY1448,0))</f>
        <v>1</v>
      </c>
      <c r="BB1448" s="52" t="n">
        <f aca="false">IF(CQ1448&gt;0,CQ1448*MAX(1,AZ1448/X1448),IF(BZ1448=1,IF(AZ1448&lt;=0,0,CD1448*MAX(1,IF(H1448&gt;0,AZ1448/H1448,1))),IF(R1448&gt;0,BA1448/R1448,0))/MAX(0.1,N(Parameter!$M$21)))</f>
        <v>0.166666666666667</v>
      </c>
      <c r="BC1448" s="50" t="n">
        <f aca="false">BB1448*CB1448</f>
        <v>72.5</v>
      </c>
      <c r="BD1448" s="51" t="n">
        <f aca="false">IF(LEFT(Cockpit!$O$5,1)="A",H1448,IF(CH1448=1,(CK1448+CI1448)/2,IF(LEFT(Cockpit!$O$5,1)="B",(CK1448+BF1448)/2,MAX((CK1448+BF1448)/2,H1448))))</f>
        <v>602.5</v>
      </c>
      <c r="BE1448" s="50" t="n">
        <f aca="false">BD1448*G1448</f>
        <v>1958.125</v>
      </c>
      <c r="BF1448" s="50" t="n">
        <f aca="false">ROUNDUP(CK1448+MAX(CL1448,2*(J1448/IF(CG1448&gt;0,CG1448,MAX(0.1,N(Cockpit!$O$6)))-CK1448)),0)</f>
        <v>1055</v>
      </c>
      <c r="BG1448" s="51" t="n">
        <f aca="false">IF(BC1448&gt;0,J1448/BC1448,-1)</f>
        <v>33.2413793103448</v>
      </c>
      <c r="BH1448" s="51" t="n">
        <f aca="false">IF(AND(OR(CF1448="L1",CF1448="L23",CF1448="LIFT"),BC1448&gt;0),SUMIFS($BC$7:$BC$1843,$CF$7:$CF$1843,CF1448,$BG$7:$BG$1843,"&gt;"&amp;BG1448)+SUMIFS($BC$7:$BC$1843,$CF$7:$CF$1843,CF1448,$BG$7:$BG$1843,BG1448,$BW$7:$BW$1843,"&lt;="&amp;BW1448),"")</f>
        <v>1649.58333333333</v>
      </c>
      <c r="BI1448" s="58" t="n">
        <f aca="false">IF(BH1448="",0,MAX(0,MIN(1,(IF(CF1448="L1",Parameter!$H$5,IF(CF1448="L23",Parameter!$H$6+Parameter!$H$7,Parameter!$H$5+Parameter!$H$6+Parameter!$H$7))-(BH1448-BC1448))/BC1448)))</f>
        <v>1</v>
      </c>
      <c r="BJ1448" s="48" t="str">
        <f aca="false">IF(AI1448&lt;=0,"",IF(CF1448="Aussen","Aussenlager",IF(CF1448="-","Nicht im Lift",IF(AO1448&gt;=1,"Lift",IF(AO1448&lt;=0,"Aussenlager","teilweise")))))</f>
        <v/>
      </c>
      <c r="BK1448" s="48" t="str">
        <f aca="false">IF(AS1448&lt;=0,"",IF(CF1448="Aussen","Aussenlager",IF(CF1448="-","Nicht im Lift",IF(AY1448&gt;=1,"Lift",IF(AY1448&lt;=0,"Aussenlager","teilweise")))))</f>
        <v>Lift</v>
      </c>
      <c r="BL1448" s="48" t="str">
        <f aca="false">IF(BC1448&lt;=0,"",IF(CF1448="Aussen","Aussenlager",IF(CF1448="-","Nicht im Lift",IF(BI1448&gt;=1,"Lift",IF(BI1448&lt;=0,"Aussenlager","teilweise")))))</f>
        <v>Lift</v>
      </c>
      <c r="BM1448" s="48" t="str">
        <f aca="false">IF(A1448="","",IF(BV1448=1,"Neu; ","")&amp;IF(AND(BV1448=0,BQ1448&lt;0),"negativer Bestand (Export "&amp;BQ1448&amp;"); ","")&amp;IF(J1448&lt;=0,"Kein Verbrauch; ","")&amp;IF(CQ1448&gt;0,"Lift "&amp;W1448&amp;" lt. Liftbericht (Fach "&amp;X1448&amp;" Stk); ",IF(CA1448=1,"Gebinde geschätzt ("&amp;T1448&amp;"); ",IF(BZ1448=1,"Lose – Tablare geschätzt; ","")))&amp;IF(H1448&gt;AV1448,"Überbestand "&amp;ROUND(H1448-AV1448,0)&amp;" Stk / CHF "&amp;ROUND((H1448-AV1448)*G1448,0)&amp;"; ","")&amp;IF(AND(CH1448=1,CI1448&lt;CJ1448),"MAX &lt; MB+LG; ","")&amp;IF(AND(CP1448&gt;0,CO1448*10&gt;CP1448),"zu hoch für Tablar; ","")&amp;IF(AND(BV1448=0,OR(CH1448=1,AA1448&lt;&gt;"",U1448&lt;&gt;"",V1448&lt;&gt;"",AB1448&lt;&gt;"")),"manuell übersteuert; ","")&amp;IF(AND(BZ1448=0,R1448=0),"Gebinde unbekannt / Stellmass fehlt; ","")&amp;IF(AND(BZ1448=0,N(V1448)&lt;=0,N(Q1448)&lt;=0),"Menge pro Gebinde fehlt (Ist = 1 Gebinde); ","")&amp;BU1448)</f>
        <v>negativer Bestand (Export -3665); grosse  Artikelmenge</v>
      </c>
      <c r="BN1448" s="48"/>
      <c r="BO1448" s="48"/>
      <c r="BP1448" s="55"/>
      <c r="BQ1448" s="50" t="n">
        <v>-3665</v>
      </c>
      <c r="BR1448" s="50" t="n">
        <v>0</v>
      </c>
      <c r="BS1448" s="49" t="n">
        <v>-11911.25</v>
      </c>
      <c r="BT1448" s="50" t="n">
        <v>2410</v>
      </c>
      <c r="BU1448" s="48" t="s">
        <v>1616</v>
      </c>
      <c r="BV1448" s="53" t="n">
        <v>0</v>
      </c>
      <c r="BW1448" s="53" t="n">
        <v>1448</v>
      </c>
      <c r="BX1448" s="48" t="str">
        <f aca="false">IF(U1448&lt;&gt;"",UPPER(TRIM(U1448)),IF(CA1448=1,UPPER(VLOOKUP(T1448,Parameter!$I$27:$K$29,2,0)),IF(P1448="","LOSE",P1448)))</f>
        <v>S72</v>
      </c>
      <c r="BY1448" s="50" t="n">
        <f aca="false">IF(BX1448="LOSE",1,IF(N(V1448)&gt;0,V1448,IF(CA1448=1,MAX(1,N(VLOOKUP(T1448,Parameter!$I$27:$K$29,3,0)),H1448,N(N1448)),IF(N(Q1448)&gt;0,Q1448,MAX(1,H1448)))))</f>
        <v>1200</v>
      </c>
      <c r="BZ1448" s="53" t="n">
        <f aca="false">IF(BX1448="LOSE",1,0)</f>
        <v>0</v>
      </c>
      <c r="CA1448" s="53" t="n">
        <f aca="false">IF(AND(U1448="",OR(P1448="",P1448="LOSE"),T1448&lt;&gt;"",N(S1448)&lt;=0,ISNUMBER(MATCH(T1448,Parameter!$I$27:$I$29,0))),1,0)</f>
        <v>0</v>
      </c>
      <c r="CB1448" s="53" t="n">
        <f aca="false">IF(CQ1448&gt;0,INDEX(Parameter!$H$5:$H$7,W1448)/INDEX(Parameter!$E$5:$E$7,W1448),IF(AND(BZ1448=0,N(IFERROR(VLOOKUP(BX1448,'Gebinde-Kategorie'!$A$5:$N$45,14,0),0))&gt;0),VLOOKUP(BX1448,'Gebinde-Kategorie'!$A$5:$N$45,14,0)*10+Parameter!$M$23,Parameter!$M$24))</f>
        <v>435</v>
      </c>
      <c r="CC1448" s="48" t="str">
        <f aca="false">IF(AND(Parameter!$B$19="Ja",E1448&lt;&gt;"",ISNUMBER(MATCH(E1448,Parameter!$I$35:$I$52,0))),VLOOKUP(E1448,Parameter!$I$35:$J$52,2,0),IFERROR(VLOOKUP(D1448,Parameter!$A$35:$C$64,2,0),"Nein"))</f>
        <v>2+3</v>
      </c>
      <c r="CD1448" s="52" t="n">
        <f aca="false">IF(BZ1448=0,0,IF(N(S1448)&gt;0,S1448,IFERROR(VLOOKUP(D1448,Parameter!$A$35:$C$64,3,0)+0,0)))</f>
        <v>0</v>
      </c>
      <c r="CE1448" s="48" t="n">
        <f aca="false">IF(AA1448&lt;&gt;"",AA1448,Z1448)</f>
        <v>2</v>
      </c>
      <c r="CF1448" s="48" t="str">
        <f aca="false">IF(OR(CE1448=1,CE1448=2,CE1448=3),IF(Parameter!$E$27="Ja","LIFT",IF(CE1448=1,"L1","L23")),IF(CE1448="Aussen","Aussen","-"))</f>
        <v>LIFT</v>
      </c>
      <c r="CG1448" s="59" t="n">
        <f aca="false">IF(N(AB1448)&gt;0,AB1448,0)</f>
        <v>0</v>
      </c>
      <c r="CH1448" s="53" t="n">
        <f aca="false">IF(ISNUMBER(AE1448),1,0)</f>
        <v>0</v>
      </c>
      <c r="CI1448" s="50" t="n">
        <f aca="false">N(AE1448)</f>
        <v>0</v>
      </c>
      <c r="CJ1448" s="50" t="n">
        <f aca="false">N(M1448)+N(N1448)</f>
        <v>650</v>
      </c>
      <c r="CK1448" s="50" t="n">
        <f aca="false">N(M1448)</f>
        <v>150</v>
      </c>
      <c r="CL1448" s="50" t="n">
        <f aca="false">N(N1448)</f>
        <v>500</v>
      </c>
      <c r="CM1448" s="50" t="n">
        <f aca="false">ROUNDUP(H1448/BY1448,0)</f>
        <v>0</v>
      </c>
      <c r="CN1448" s="50" t="n">
        <f aca="false">ROUNDUP(CI1448/BY1448,0)</f>
        <v>0</v>
      </c>
      <c r="CO1448" s="53" t="n">
        <f aca="false">IF(BZ1448=1,0,IFERROR(VLOOKUP(BX1448,'Gebinde-Kategorie'!$A$5:$N$45,5,0)+0,0))</f>
        <v>40</v>
      </c>
      <c r="CP1448" s="53" t="n">
        <f aca="false">IFERROR(IF(OR(CE1448=1,CE1448=2,CE1448=3),N(INDEX(Parameter!$I$5:$I$7,CE1448)),0),0)</f>
        <v>0</v>
      </c>
      <c r="CQ1448" s="52" t="n">
        <f aca="false">IF(AND(Parameter!$B$21="Ja",ISNUMBER(W1448),N(X1448)&gt;0),IFERROR(N(INDEX(Parameter!$L$5:$L$7,W1448))*INDEX(Parameter!$E$5:$E$7,W1448)*X1448/SUMIFS($X$7:$X$1843,$W$7:$W$1843,W1448),0),0)</f>
        <v>0</v>
      </c>
    </row>
    <row r="1449" customFormat="false" ht="15" hidden="false" customHeight="false" outlineLevel="0" collapsed="false">
      <c r="A1449" s="48" t="s">
        <v>2546</v>
      </c>
      <c r="B1449" s="48" t="s">
        <v>2393</v>
      </c>
      <c r="C1449" s="48" t="s">
        <v>173</v>
      </c>
      <c r="D1449" s="48" t="s">
        <v>174</v>
      </c>
      <c r="E1449" s="48" t="s">
        <v>175</v>
      </c>
      <c r="F1449" s="48"/>
      <c r="G1449" s="49" t="n">
        <v>2608.01</v>
      </c>
      <c r="H1449" s="50" t="n">
        <f aca="false">MAX(0,IF(AND(Parameter!$B$21="Ja",ISNUMBER(Y1449)),Y1449,IF(Parameter!$B$20="Jahresanfang 2025 + Export",BR1449+BQ1449,BQ1449)))</f>
        <v>6</v>
      </c>
      <c r="I1449" s="50" t="n">
        <f aca="false">H1449*G1449</f>
        <v>15648.06</v>
      </c>
      <c r="J1449" s="50" t="n">
        <f aca="false">BT1449*Parameter!$B$18</f>
        <v>30</v>
      </c>
      <c r="K1449" s="51"/>
      <c r="L1449" s="52"/>
      <c r="M1449" s="50" t="n">
        <v>1</v>
      </c>
      <c r="N1449" s="50" t="n">
        <v>5</v>
      </c>
      <c r="O1449" s="53"/>
      <c r="P1449" s="48" t="s">
        <v>177</v>
      </c>
      <c r="Q1449" s="50"/>
      <c r="R1449" s="53" t="n">
        <f aca="false">IF(BZ1449=1,0,IFERROR(VLOOKUP(BX1449,'Gebinde-Kategorie'!$A$5:$N$45,13,0)+0,0))</f>
        <v>0</v>
      </c>
      <c r="S1449" s="54"/>
      <c r="T1449" s="55"/>
      <c r="U1449" s="55"/>
      <c r="V1449" s="55"/>
      <c r="W1449" s="48" t="n">
        <v>1</v>
      </c>
      <c r="X1449" s="50" t="n">
        <v>13</v>
      </c>
      <c r="Y1449" s="50" t="n">
        <v>6</v>
      </c>
      <c r="Z1449" s="48" t="n">
        <f aca="false">IF(A1449="","",IF(AND(Parameter!$B$21="Ja",ISNUMBER(W1449)),W1449,IF(CC1449="2+3",IF(ISNUMBER(SEARCH("grosser Artikel",BU1449)),2,IFERROR(VLOOKUP(BX1449,Parameter!$F$35:$G$64,2,0),2)),IF(OR(CC1449="Nein",CC1449=""),"-",CC1449))))</f>
        <v>1</v>
      </c>
      <c r="AA1449" s="55"/>
      <c r="AB1449" s="56"/>
      <c r="AC1449" s="50" t="n">
        <f aca="false">AV1449</f>
        <v>19</v>
      </c>
      <c r="AD1449" s="50" t="n">
        <f aca="false">MAX(AV1449,H1449)</f>
        <v>19</v>
      </c>
      <c r="AE1449" s="57"/>
      <c r="AF1449" s="50" t="n">
        <f aca="false">IF(LEFT(Cockpit!$C$5,1)="A",H1449,IF(Parameter!$E$30="MAX-Bestand",IF(CH1449=1,CI1449,IF(LEFT(Cockpit!$C$5,1)="B",AL1449,MAX(AL1449,H1449))),ROUNDUP(AJ1449,0)))</f>
        <v>6</v>
      </c>
      <c r="AG1449" s="50" t="n">
        <f aca="false">IF(BZ1449=1,0,ROUNDUP(AF1449/BY1449,0))</f>
        <v>0</v>
      </c>
      <c r="AH1449" s="52" t="n">
        <f aca="false">IF(CQ1449&gt;0,CQ1449*MAX(1,AF1449/X1449),IF(BZ1449=1,IF(AF1449&lt;=0,0,CD1449*MAX(1,IF(H1449&gt;0,AF1449/H1449,1))),IF(R1449&gt;0,AG1449/R1449,0))/MAX(0.1,N(Parameter!$M$21)))</f>
        <v>1.04048964218456</v>
      </c>
      <c r="AI1449" s="50" t="n">
        <f aca="false">AH1449*CB1449</f>
        <v>247.636534839925</v>
      </c>
      <c r="AJ1449" s="51" t="n">
        <f aca="false">IF(LEFT(Cockpit!$C$5,1)="A",H1449,IF(CH1449=1,(CK1449+CI1449)/2,IF(LEFT(Cockpit!$C$5,1)="B",(CK1449+AL1449)/2,MAX((CK1449+AL1449)/2,H1449))))</f>
        <v>6</v>
      </c>
      <c r="AK1449" s="50" t="n">
        <f aca="false">AJ1449*G1449</f>
        <v>15648.06</v>
      </c>
      <c r="AL1449" s="50" t="n">
        <f aca="false">ROUNDUP(CK1449+MAX(CL1449,2*(J1449/IF(CG1449&gt;0,CG1449,MAX(0.1,N(Cockpit!$C$6)))-CK1449)),0)</f>
        <v>19</v>
      </c>
      <c r="AM1449" s="51" t="n">
        <f aca="false">IF(AI1449&gt;0,J1449/AI1449,-1)</f>
        <v>0.121145290695464</v>
      </c>
      <c r="AN1449" s="51" t="n">
        <f aca="false">IF(AND(OR(CF1449="L1",CF1449="L23",CF1449="LIFT"),AI1449&gt;0),SUMIFS($AI$7:$AI$1843,$CF$7:$CF$1843,CF1449,$AM$7:$AM$1843,"&gt;"&amp;AM1449)+SUMIFS($AI$7:$AI$1843,$CF$7:$CF$1843,CF1449,$AM$7:$AM$1843,AM1449,$BW$7:$BW$1843,"&lt;="&amp;BW1449),"")</f>
        <v>14363.9232036796</v>
      </c>
      <c r="AO1449" s="58" t="n">
        <f aca="false">IF(AN1449="",0,MAX(0,MIN(1,(IF(CF1449="L1",Parameter!$H$5,IF(CF1449="L23",Parameter!$H$6+Parameter!$H$7,Parameter!$H$5+Parameter!$H$6+Parameter!$H$7))-(AN1449-AI1449))/AI1449)))</f>
        <v>1</v>
      </c>
      <c r="AP1449" s="50" t="n">
        <f aca="false">IF(LEFT(Cockpit!$I$5,1)="A",H1449,IF(Parameter!$E$30="MAX-Bestand",IF(CH1449=1,CI1449,IF(LEFT(Cockpit!$I$5,1)="B",AV1449,MAX(AV1449,H1449))),ROUNDUP(AT1449,0)))</f>
        <v>10</v>
      </c>
      <c r="AQ1449" s="50" t="n">
        <f aca="false">IF(BZ1449=1,0,ROUNDUP(AP1449/BY1449,0))</f>
        <v>0</v>
      </c>
      <c r="AR1449" s="52" t="n">
        <f aca="false">IF(CQ1449&gt;0,CQ1449*MAX(1,AP1449/X1449),IF(BZ1449=1,IF(AP1449&lt;=0,0,CD1449*MAX(1,IF(H1449&gt;0,AP1449/H1449,1))),IF(R1449&gt;0,AQ1449/R1449,0))/MAX(0.1,N(Parameter!$M$21)))</f>
        <v>1.04048964218456</v>
      </c>
      <c r="AS1449" s="50" t="n">
        <f aca="false">AR1449*CB1449</f>
        <v>247.636534839925</v>
      </c>
      <c r="AT1449" s="51" t="n">
        <f aca="false">IF(LEFT(Cockpit!$I$5,1)="A",H1449,IF(CH1449=1,(CK1449+CI1449)/2,IF(LEFT(Cockpit!$I$5,1)="B",(CK1449+AV1449)/2,MAX((CK1449+AV1449)/2,H1449))))</f>
        <v>10</v>
      </c>
      <c r="AU1449" s="50" t="n">
        <f aca="false">AT1449*G1449</f>
        <v>26080.1</v>
      </c>
      <c r="AV1449" s="50" t="n">
        <f aca="false">ROUNDUP(CK1449+MAX(CL1449,2*(J1449/IF(CG1449&gt;0,CG1449,MAX(0.1,N(Cockpit!$I$6)))-CK1449)),0)</f>
        <v>19</v>
      </c>
      <c r="AW1449" s="51" t="n">
        <f aca="false">IF(AS1449&gt;0,J1449/AS1449,-1)</f>
        <v>0.121145290695464</v>
      </c>
      <c r="AX1449" s="51" t="n">
        <f aca="false">IF(AND(OR(CF1449="L1",CF1449="L23",CF1449="LIFT"),AS1449&gt;0),SUMIFS($AS$7:$AS$1843,$CF$7:$CF$1843,CF1449,$AW$7:$AW$1843,"&gt;"&amp;AW1449)+SUMIFS($AS$7:$AS$1843,$CF$7:$CF$1843,CF1449,$AW$7:$AW$1843,AW1449,$BW$7:$BW$1843,"&lt;="&amp;BW1449),"")</f>
        <v>18388.321845057</v>
      </c>
      <c r="AY1449" s="58" t="n">
        <f aca="false">IF(AX1449="",0,MAX(0,MIN(1,(IF(CF1449="L1",Parameter!$H$5,IF(CF1449="L23",Parameter!$H$6+Parameter!$H$7,Parameter!$H$5+Parameter!$H$6+Parameter!$H$7))-(AX1449-AS1449))/AS1449)))</f>
        <v>1</v>
      </c>
      <c r="AZ1449" s="50" t="n">
        <f aca="false">IF(LEFT(Cockpit!$O$5,1)="A",H1449,IF(Parameter!$E$30="MAX-Bestand",IF(CH1449=1,CI1449,IF(LEFT(Cockpit!$O$5,1)="B",BF1449,MAX(BF1449,H1449))),ROUNDUP(BD1449,0)))</f>
        <v>8</v>
      </c>
      <c r="BA1449" s="50" t="n">
        <f aca="false">IF(BZ1449=1,0,ROUNDUP(AZ1449/BY1449,0))</f>
        <v>0</v>
      </c>
      <c r="BB1449" s="52" t="n">
        <f aca="false">IF(CQ1449&gt;0,CQ1449*MAX(1,AZ1449/X1449),IF(BZ1449=1,IF(AZ1449&lt;=0,0,CD1449*MAX(1,IF(H1449&gt;0,AZ1449/H1449,1))),IF(R1449&gt;0,BA1449/R1449,0))/MAX(0.1,N(Parameter!$M$21)))</f>
        <v>1.04048964218456</v>
      </c>
      <c r="BC1449" s="50" t="n">
        <f aca="false">BB1449*CB1449</f>
        <v>247.636534839925</v>
      </c>
      <c r="BD1449" s="51" t="n">
        <f aca="false">IF(LEFT(Cockpit!$O$5,1)="A",H1449,IF(CH1449=1,(CK1449+CI1449)/2,IF(LEFT(Cockpit!$O$5,1)="B",(CK1449+BF1449)/2,MAX((CK1449+BF1449)/2,H1449))))</f>
        <v>7.5</v>
      </c>
      <c r="BE1449" s="50" t="n">
        <f aca="false">BD1449*G1449</f>
        <v>19560.075</v>
      </c>
      <c r="BF1449" s="50" t="n">
        <f aca="false">ROUNDUP(CK1449+MAX(CL1449,2*(J1449/IF(CG1449&gt;0,CG1449,MAX(0.1,N(Cockpit!$O$6)))-CK1449)),0)</f>
        <v>14</v>
      </c>
      <c r="BG1449" s="51" t="n">
        <f aca="false">IF(BC1449&gt;0,J1449/BC1449,-1)</f>
        <v>0.121145290695464</v>
      </c>
      <c r="BH1449" s="51" t="n">
        <f aca="false">IF(AND(OR(CF1449="L1",CF1449="L23",CF1449="LIFT"),BC1449&gt;0),SUMIFS($BC$7:$BC$1843,$CF$7:$CF$1843,CF1449,$BG$7:$BG$1843,"&gt;"&amp;BG1449)+SUMIFS($BC$7:$BC$1843,$CF$7:$CF$1843,CF1449,$BG$7:$BG$1843,BG1449,$BW$7:$BW$1843,"&lt;="&amp;BW1449),"")</f>
        <v>15989.1344575857</v>
      </c>
      <c r="BI1449" s="58" t="n">
        <f aca="false">IF(BH1449="",0,MAX(0,MIN(1,(IF(CF1449="L1",Parameter!$H$5,IF(CF1449="L23",Parameter!$H$6+Parameter!$H$7,Parameter!$H$5+Parameter!$H$6+Parameter!$H$7))-(BH1449-BC1449))/BC1449)))</f>
        <v>1</v>
      </c>
      <c r="BJ1449" s="48" t="str">
        <f aca="false">IF(AI1449&lt;=0,"",IF(CF1449="Aussen","Aussenlager",IF(CF1449="-","Nicht im Lift",IF(AO1449&gt;=1,"Lift",IF(AO1449&lt;=0,"Aussenlager","teilweise")))))</f>
        <v>Lift</v>
      </c>
      <c r="BK1449" s="48" t="str">
        <f aca="false">IF(AS1449&lt;=0,"",IF(CF1449="Aussen","Aussenlager",IF(CF1449="-","Nicht im Lift",IF(AY1449&gt;=1,"Lift",IF(AY1449&lt;=0,"Aussenlager","teilweise")))))</f>
        <v>Lift</v>
      </c>
      <c r="BL1449" s="48" t="str">
        <f aca="false">IF(BC1449&lt;=0,"",IF(CF1449="Aussen","Aussenlager",IF(CF1449="-","Nicht im Lift",IF(BI1449&gt;=1,"Lift",IF(BI1449&lt;=0,"Aussenlager","teilweise")))))</f>
        <v>Lift</v>
      </c>
      <c r="BM1449" s="48" t="str">
        <f aca="false">IF(A1449="","",IF(BV1449=1,"Neu; ","")&amp;IF(AND(BV1449=0,BQ1449&lt;0),"negativer Bestand (Export "&amp;BQ1449&amp;"); ","")&amp;IF(J1449&lt;=0,"Kein Verbrauch; ","")&amp;IF(CQ1449&gt;0,"Lift "&amp;W1449&amp;" lt. Liftbericht (Fach "&amp;X1449&amp;" Stk); ",IF(CA1449=1,"Gebinde geschätzt ("&amp;T1449&amp;"); ",IF(BZ1449=1,"Lose – Tablare geschätzt; ","")))&amp;IF(H1449&gt;AV1449,"Überbestand "&amp;ROUND(H1449-AV1449,0)&amp;" Stk / CHF "&amp;ROUND((H1449-AV1449)*G1449,0)&amp;"; ","")&amp;IF(AND(CH1449=1,CI1449&lt;CJ1449),"MAX &lt; MB+LG; ","")&amp;IF(AND(CP1449&gt;0,CO1449*10&gt;CP1449),"zu hoch für Tablar; ","")&amp;IF(AND(BV1449=0,OR(CH1449=1,AA1449&lt;&gt;"",U1449&lt;&gt;"",V1449&lt;&gt;"",AB1449&lt;&gt;"")),"manuell übersteuert; ","")&amp;IF(AND(BZ1449=0,R1449=0),"Gebinde unbekannt / Stellmass fehlt; ","")&amp;IF(AND(BZ1449=0,N(V1449)&lt;=0,N(Q1449)&lt;=0),"Menge pro Gebinde fehlt (Ist = 1 Gebinde); ","")&amp;BU1449)</f>
        <v>negativer Bestand (Export -3); Lift 1 lt. Liftbericht (Fach 13 Stk); </v>
      </c>
      <c r="BN1449" s="48"/>
      <c r="BO1449" s="48"/>
      <c r="BP1449" s="55"/>
      <c r="BQ1449" s="50" t="n">
        <v>-3</v>
      </c>
      <c r="BR1449" s="50" t="n">
        <v>0</v>
      </c>
      <c r="BS1449" s="49" t="n">
        <v>-12165.3900000001</v>
      </c>
      <c r="BT1449" s="50" t="n">
        <v>30</v>
      </c>
      <c r="BU1449" s="48"/>
      <c r="BV1449" s="53" t="n">
        <v>0</v>
      </c>
      <c r="BW1449" s="53" t="n">
        <v>1449</v>
      </c>
      <c r="BX1449" s="48" t="str">
        <f aca="false">IF(U1449&lt;&gt;"",UPPER(TRIM(U1449)),IF(CA1449=1,UPPER(VLOOKUP(T1449,Parameter!$I$27:$K$29,2,0)),IF(P1449="","LOSE",P1449)))</f>
        <v>LOSE</v>
      </c>
      <c r="BY1449" s="50" t="n">
        <f aca="false">IF(BX1449="LOSE",1,IF(N(V1449)&gt;0,V1449,IF(CA1449=1,MAX(1,N(VLOOKUP(T1449,Parameter!$I$27:$K$29,3,0)),H1449,N(N1449)),IF(N(Q1449)&gt;0,Q1449,MAX(1,H1449)))))</f>
        <v>1</v>
      </c>
      <c r="BZ1449" s="53" t="n">
        <f aca="false">IF(BX1449="LOSE",1,0)</f>
        <v>1</v>
      </c>
      <c r="CA1449" s="53" t="n">
        <f aca="false">IF(AND(U1449="",OR(P1449="",P1449="LOSE"),T1449&lt;&gt;"",N(S1449)&lt;=0,ISNUMBER(MATCH(T1449,Parameter!$I$27:$I$29,0))),1,0)</f>
        <v>0</v>
      </c>
      <c r="CB1449" s="53" t="n">
        <f aca="false">IF(CQ1449&gt;0,INDEX(Parameter!$H$5:$H$7,W1449)/INDEX(Parameter!$E$5:$E$7,W1449),IF(AND(BZ1449=0,N(IFERROR(VLOOKUP(BX1449,'Gebinde-Kategorie'!$A$5:$N$45,14,0),0))&gt;0),VLOOKUP(BX1449,'Gebinde-Kategorie'!$A$5:$N$45,14,0)*10+Parameter!$M$23,Parameter!$M$24))</f>
        <v>238</v>
      </c>
      <c r="CC1449" s="48" t="n">
        <f aca="false">IF(AND(Parameter!$B$19="Ja",E1449&lt;&gt;"",ISNUMBER(MATCH(E1449,Parameter!$I$35:$I$52,0))),VLOOKUP(E1449,Parameter!$I$35:$J$52,2,0),IFERROR(VLOOKUP(D1449,Parameter!$A$35:$C$64,2,0),"Nein"))</f>
        <v>1</v>
      </c>
      <c r="CD1449" s="52" t="n">
        <f aca="false">IF(BZ1449=0,0,IF(N(S1449)&gt;0,S1449,IFERROR(VLOOKUP(D1449,Parameter!$A$35:$C$64,3,0)+0,0)))</f>
        <v>1</v>
      </c>
      <c r="CE1449" s="48" t="n">
        <f aca="false">IF(AA1449&lt;&gt;"",AA1449,Z1449)</f>
        <v>1</v>
      </c>
      <c r="CF1449" s="48" t="str">
        <f aca="false">IF(OR(CE1449=1,CE1449=2,CE1449=3),IF(Parameter!$E$27="Ja","LIFT",IF(CE1449=1,"L1","L23")),IF(CE1449="Aussen","Aussen","-"))</f>
        <v>LIFT</v>
      </c>
      <c r="CG1449" s="59" t="n">
        <f aca="false">IF(N(AB1449)&gt;0,AB1449,0)</f>
        <v>0</v>
      </c>
      <c r="CH1449" s="53" t="n">
        <f aca="false">IF(ISNUMBER(AE1449),1,0)</f>
        <v>0</v>
      </c>
      <c r="CI1449" s="50" t="n">
        <f aca="false">N(AE1449)</f>
        <v>0</v>
      </c>
      <c r="CJ1449" s="50" t="n">
        <f aca="false">N(M1449)+N(N1449)</f>
        <v>6</v>
      </c>
      <c r="CK1449" s="50" t="n">
        <f aca="false">N(M1449)</f>
        <v>1</v>
      </c>
      <c r="CL1449" s="50" t="n">
        <f aca="false">N(N1449)</f>
        <v>5</v>
      </c>
      <c r="CM1449" s="50" t="n">
        <f aca="false">ROUNDUP(H1449/BY1449,0)</f>
        <v>6</v>
      </c>
      <c r="CN1449" s="50" t="n">
        <f aca="false">ROUNDUP(CI1449/BY1449,0)</f>
        <v>0</v>
      </c>
      <c r="CO1449" s="53" t="n">
        <f aca="false">IF(BZ1449=1,0,IFERROR(VLOOKUP(BX1449,'Gebinde-Kategorie'!$A$5:$N$45,5,0)+0,0))</f>
        <v>0</v>
      </c>
      <c r="CP1449" s="53" t="n">
        <f aca="false">IFERROR(IF(OR(CE1449=1,CE1449=2,CE1449=3),N(INDEX(Parameter!$I$5:$I$7,CE1449)),0),0)</f>
        <v>0</v>
      </c>
      <c r="CQ1449" s="52" t="n">
        <f aca="false">IF(AND(Parameter!$B$21="Ja",ISNUMBER(W1449),N(X1449)&gt;0),IFERROR(N(INDEX(Parameter!$L$5:$L$7,W1449))*INDEX(Parameter!$E$5:$E$7,W1449)*X1449/SUMIFS($X$7:$X$1843,$W$7:$W$1843,W1449),0),0)</f>
        <v>1.04048964218456</v>
      </c>
    </row>
    <row r="1450" customFormat="false" ht="15" hidden="false" customHeight="false" outlineLevel="0" collapsed="false">
      <c r="A1450" s="48" t="s">
        <v>2547</v>
      </c>
      <c r="B1450" s="48" t="s">
        <v>440</v>
      </c>
      <c r="C1450" s="48" t="s">
        <v>173</v>
      </c>
      <c r="D1450" s="48" t="s">
        <v>193</v>
      </c>
      <c r="E1450" s="48" t="s">
        <v>194</v>
      </c>
      <c r="F1450" s="48"/>
      <c r="G1450" s="49" t="n">
        <v>456.15</v>
      </c>
      <c r="H1450" s="50" t="n">
        <f aca="false">MAX(0,IF(AND(Parameter!$B$21="Ja",ISNUMBER(Y1450)),Y1450,IF(Parameter!$B$20="Jahresanfang 2025 + Export",BR1450+BQ1450,BQ1450)))</f>
        <v>0</v>
      </c>
      <c r="I1450" s="50" t="n">
        <f aca="false">H1450*G1450</f>
        <v>0</v>
      </c>
      <c r="J1450" s="50" t="n">
        <f aca="false">BT1450*Parameter!$B$18</f>
        <v>9</v>
      </c>
      <c r="K1450" s="51"/>
      <c r="L1450" s="52"/>
      <c r="M1450" s="50" t="n">
        <v>1</v>
      </c>
      <c r="N1450" s="50" t="n">
        <v>20</v>
      </c>
      <c r="O1450" s="53"/>
      <c r="P1450" s="48" t="s">
        <v>242</v>
      </c>
      <c r="Q1450" s="50" t="n">
        <v>24</v>
      </c>
      <c r="R1450" s="53" t="n">
        <f aca="false">IF(BZ1450=1,0,IFERROR(VLOOKUP(BX1450,'Gebinde-Kategorie'!$A$5:$N$45,13,0)+0,0))</f>
        <v>26</v>
      </c>
      <c r="S1450" s="54"/>
      <c r="T1450" s="55"/>
      <c r="U1450" s="55"/>
      <c r="V1450" s="55"/>
      <c r="W1450" s="48"/>
      <c r="X1450" s="50"/>
      <c r="Y1450" s="50"/>
      <c r="Z1450" s="48" t="n">
        <f aca="false">IF(A1450="","",IF(AND(Parameter!$B$21="Ja",ISNUMBER(W1450)),W1450,IF(CC1450="2+3",IF(ISNUMBER(SEARCH("grosser Artikel",BU1450)),2,IFERROR(VLOOKUP(BX1450,Parameter!$F$35:$G$64,2,0),2)),IF(OR(CC1450="Nein",CC1450=""),"-",CC1450))))</f>
        <v>3</v>
      </c>
      <c r="AA1450" s="55"/>
      <c r="AB1450" s="56"/>
      <c r="AC1450" s="50" t="n">
        <f aca="false">AV1450</f>
        <v>21</v>
      </c>
      <c r="AD1450" s="50" t="n">
        <f aca="false">MAX(AV1450,H1450)</f>
        <v>21</v>
      </c>
      <c r="AE1450" s="57"/>
      <c r="AF1450" s="50" t="n">
        <f aca="false">IF(LEFT(Cockpit!$C$5,1)="A",H1450,IF(Parameter!$E$30="MAX-Bestand",IF(CH1450=1,CI1450,IF(LEFT(Cockpit!$C$5,1)="B",AL1450,MAX(AL1450,H1450))),ROUNDUP(AJ1450,0)))</f>
        <v>0</v>
      </c>
      <c r="AG1450" s="50" t="n">
        <f aca="false">IF(BZ1450=1,0,ROUNDUP(AF1450/BY1450,0))</f>
        <v>0</v>
      </c>
      <c r="AH1450" s="52" t="n">
        <f aca="false">IF(CQ1450&gt;0,CQ1450*MAX(1,AF1450/X1450),IF(BZ1450=1,IF(AF1450&lt;=0,0,CD1450*MAX(1,IF(H1450&gt;0,AF1450/H1450,1))),IF(R1450&gt;0,AG1450/R1450,0))/MAX(0.1,N(Parameter!$M$21)))</f>
        <v>0</v>
      </c>
      <c r="AI1450" s="50" t="n">
        <f aca="false">AH1450*CB1450</f>
        <v>0</v>
      </c>
      <c r="AJ1450" s="51" t="n">
        <f aca="false">IF(LEFT(Cockpit!$C$5,1)="A",H1450,IF(CH1450=1,(CK1450+CI1450)/2,IF(LEFT(Cockpit!$C$5,1)="B",(CK1450+AL1450)/2,MAX((CK1450+AL1450)/2,H1450))))</f>
        <v>0</v>
      </c>
      <c r="AK1450" s="50" t="n">
        <f aca="false">AJ1450*G1450</f>
        <v>0</v>
      </c>
      <c r="AL1450" s="50" t="n">
        <f aca="false">ROUNDUP(CK1450+MAX(CL1450,2*(J1450/IF(CG1450&gt;0,CG1450,MAX(0.1,N(Cockpit!$C$6)))-CK1450)),0)</f>
        <v>21</v>
      </c>
      <c r="AM1450" s="51" t="n">
        <f aca="false">IF(AI1450&gt;0,J1450/AI1450,-1)</f>
        <v>-1</v>
      </c>
      <c r="AN1450" s="51" t="str">
        <f aca="false">IF(AND(OR(CF1450="L1",CF1450="L23",CF1450="LIFT"),AI1450&gt;0),SUMIFS($AI$7:$AI$1843,$CF$7:$CF$1843,CF1450,$AM$7:$AM$1843,"&gt;"&amp;AM1450)+SUMIFS($AI$7:$AI$1843,$CF$7:$CF$1843,CF1450,$AM$7:$AM$1843,AM1450,$BW$7:$BW$1843,"&lt;="&amp;BW1450),"")</f>
        <v/>
      </c>
      <c r="AO1450" s="58" t="n">
        <f aca="false">IF(AN1450="",0,MAX(0,MIN(1,(IF(CF1450="L1",Parameter!$H$5,IF(CF1450="L23",Parameter!$H$6+Parameter!$H$7,Parameter!$H$5+Parameter!$H$6+Parameter!$H$7))-(AN1450-AI1450))/AI1450)))</f>
        <v>0</v>
      </c>
      <c r="AP1450" s="50" t="n">
        <f aca="false">IF(LEFT(Cockpit!$I$5,1)="A",H1450,IF(Parameter!$E$30="MAX-Bestand",IF(CH1450=1,CI1450,IF(LEFT(Cockpit!$I$5,1)="B",AV1450,MAX(AV1450,H1450))),ROUNDUP(AT1450,0)))</f>
        <v>11</v>
      </c>
      <c r="AQ1450" s="50" t="n">
        <f aca="false">IF(BZ1450=1,0,ROUNDUP(AP1450/BY1450,0))</f>
        <v>1</v>
      </c>
      <c r="AR1450" s="52" t="n">
        <f aca="false">IF(CQ1450&gt;0,CQ1450*MAX(1,AP1450/X1450),IF(BZ1450=1,IF(AP1450&lt;=0,0,CD1450*MAX(1,IF(H1450&gt;0,AP1450/H1450,1))),IF(R1450&gt;0,AQ1450/R1450,0))/MAX(0.1,N(Parameter!$M$21)))</f>
        <v>0.0384615384615385</v>
      </c>
      <c r="AS1450" s="50" t="n">
        <f aca="false">AR1450*CB1450</f>
        <v>9.42307692307692</v>
      </c>
      <c r="AT1450" s="51" t="n">
        <f aca="false">IF(LEFT(Cockpit!$I$5,1)="A",H1450,IF(CH1450=1,(CK1450+CI1450)/2,IF(LEFT(Cockpit!$I$5,1)="B",(CK1450+AV1450)/2,MAX((CK1450+AV1450)/2,H1450))))</f>
        <v>11</v>
      </c>
      <c r="AU1450" s="50" t="n">
        <f aca="false">AT1450*G1450</f>
        <v>5017.65</v>
      </c>
      <c r="AV1450" s="50" t="n">
        <f aca="false">ROUNDUP(CK1450+MAX(CL1450,2*(J1450/IF(CG1450&gt;0,CG1450,MAX(0.1,N(Cockpit!$I$6)))-CK1450)),0)</f>
        <v>21</v>
      </c>
      <c r="AW1450" s="51" t="n">
        <f aca="false">IF(AS1450&gt;0,J1450/AS1450,-1)</f>
        <v>0.955102040816327</v>
      </c>
      <c r="AX1450" s="51" t="n">
        <f aca="false">IF(AND(OR(CF1450="L1",CF1450="L23",CF1450="LIFT"),AS1450&gt;0),SUMIFS($AS$7:$AS$1843,$CF$7:$CF$1843,CF1450,$AW$7:$AW$1843,"&gt;"&amp;AW1450)+SUMIFS($AS$7:$AS$1843,$CF$7:$CF$1843,CF1450,$AW$7:$AW$1843,AW1450,$BW$7:$BW$1843,"&lt;="&amp;BW1450),"")</f>
        <v>8626.22893772894</v>
      </c>
      <c r="AY1450" s="58" t="n">
        <f aca="false">IF(AX1450="",0,MAX(0,MIN(1,(IF(CF1450="L1",Parameter!$H$5,IF(CF1450="L23",Parameter!$H$6+Parameter!$H$7,Parameter!$H$5+Parameter!$H$6+Parameter!$H$7))-(AX1450-AS1450))/AS1450)))</f>
        <v>1</v>
      </c>
      <c r="AZ1450" s="50" t="n">
        <f aca="false">IF(LEFT(Cockpit!$O$5,1)="A",H1450,IF(Parameter!$E$30="MAX-Bestand",IF(CH1450=1,CI1450,IF(LEFT(Cockpit!$O$5,1)="B",BF1450,MAX(BF1450,H1450))),ROUNDUP(BD1450,0)))</f>
        <v>11</v>
      </c>
      <c r="BA1450" s="50" t="n">
        <f aca="false">IF(BZ1450=1,0,ROUNDUP(AZ1450/BY1450,0))</f>
        <v>1</v>
      </c>
      <c r="BB1450" s="52" t="n">
        <f aca="false">IF(CQ1450&gt;0,CQ1450*MAX(1,AZ1450/X1450),IF(BZ1450=1,IF(AZ1450&lt;=0,0,CD1450*MAX(1,IF(H1450&gt;0,AZ1450/H1450,1))),IF(R1450&gt;0,BA1450/R1450,0))/MAX(0.1,N(Parameter!$M$21)))</f>
        <v>0.0384615384615385</v>
      </c>
      <c r="BC1450" s="50" t="n">
        <f aca="false">BB1450*CB1450</f>
        <v>9.42307692307692</v>
      </c>
      <c r="BD1450" s="51" t="n">
        <f aca="false">IF(LEFT(Cockpit!$O$5,1)="A",H1450,IF(CH1450=1,(CK1450+CI1450)/2,IF(LEFT(Cockpit!$O$5,1)="B",(CK1450+BF1450)/2,MAX((CK1450+BF1450)/2,H1450))))</f>
        <v>11</v>
      </c>
      <c r="BE1450" s="50" t="n">
        <f aca="false">BD1450*G1450</f>
        <v>5017.65</v>
      </c>
      <c r="BF1450" s="50" t="n">
        <f aca="false">ROUNDUP(CK1450+MAX(CL1450,2*(J1450/IF(CG1450&gt;0,CG1450,MAX(0.1,N(Cockpit!$O$6)))-CK1450)),0)</f>
        <v>21</v>
      </c>
      <c r="BG1450" s="51" t="n">
        <f aca="false">IF(BC1450&gt;0,J1450/BC1450,-1)</f>
        <v>0.955102040816327</v>
      </c>
      <c r="BH1450" s="51" t="n">
        <f aca="false">IF(AND(OR(CF1450="L1",CF1450="L23",CF1450="LIFT"),BC1450&gt;0),SUMIFS($BC$7:$BC$1843,$CF$7:$CF$1843,CF1450,$BG$7:$BG$1843,"&gt;"&amp;BG1450)+SUMIFS($BC$7:$BC$1843,$CF$7:$CF$1843,CF1450,$BG$7:$BG$1843,BG1450,$BW$7:$BW$1843,"&lt;="&amp;BW1450),"")</f>
        <v>8002.16254578755</v>
      </c>
      <c r="BI1450" s="58" t="n">
        <f aca="false">IF(BH1450="",0,MAX(0,MIN(1,(IF(CF1450="L1",Parameter!$H$5,IF(CF1450="L23",Parameter!$H$6+Parameter!$H$7,Parameter!$H$5+Parameter!$H$6+Parameter!$H$7))-(BH1450-BC1450))/BC1450)))</f>
        <v>1</v>
      </c>
      <c r="BJ1450" s="48" t="str">
        <f aca="false">IF(AI1450&lt;=0,"",IF(CF1450="Aussen","Aussenlager",IF(CF1450="-","Nicht im Lift",IF(AO1450&gt;=1,"Lift",IF(AO1450&lt;=0,"Aussenlager","teilweise")))))</f>
        <v/>
      </c>
      <c r="BK1450" s="48" t="str">
        <f aca="false">IF(AS1450&lt;=0,"",IF(CF1450="Aussen","Aussenlager",IF(CF1450="-","Nicht im Lift",IF(AY1450&gt;=1,"Lift",IF(AY1450&lt;=0,"Aussenlager","teilweise")))))</f>
        <v>Lift</v>
      </c>
      <c r="BL1450" s="48" t="str">
        <f aca="false">IF(BC1450&lt;=0,"",IF(CF1450="Aussen","Aussenlager",IF(CF1450="-","Nicht im Lift",IF(BI1450&gt;=1,"Lift",IF(BI1450&lt;=0,"Aussenlager","teilweise")))))</f>
        <v>Lift</v>
      </c>
      <c r="BM1450" s="48" t="str">
        <f aca="false">IF(A1450="","",IF(BV1450=1,"Neu; ","")&amp;IF(AND(BV1450=0,BQ1450&lt;0),"negativer Bestand (Export "&amp;BQ1450&amp;"); ","")&amp;IF(J1450&lt;=0,"Kein Verbrauch; ","")&amp;IF(CQ1450&gt;0,"Lift "&amp;W1450&amp;" lt. Liftbericht (Fach "&amp;X1450&amp;" Stk); ",IF(CA1450=1,"Gebinde geschätzt ("&amp;T1450&amp;"); ",IF(BZ1450=1,"Lose – Tablare geschätzt; ","")))&amp;IF(H1450&gt;AV1450,"Überbestand "&amp;ROUND(H1450-AV1450,0)&amp;" Stk / CHF "&amp;ROUND((H1450-AV1450)*G1450,0)&amp;"; ","")&amp;IF(AND(CH1450=1,CI1450&lt;CJ1450),"MAX &lt; MB+LG; ","")&amp;IF(AND(CP1450&gt;0,CO1450*10&gt;CP1450),"zu hoch für Tablar; ","")&amp;IF(AND(BV1450=0,OR(CH1450=1,AA1450&lt;&gt;"",U1450&lt;&gt;"",V1450&lt;&gt;"",AB1450&lt;&gt;"")),"manuell übersteuert; ","")&amp;IF(AND(BZ1450=0,R1450=0),"Gebinde unbekannt / Stellmass fehlt; ","")&amp;IF(AND(BZ1450=0,N(V1450)&lt;=0,N(Q1450)&lt;=0),"Menge pro Gebinde fehlt (Ist = 1 Gebinde); ","")&amp;BU1450)</f>
        <v>negativer Bestand (Export -33); twin</v>
      </c>
      <c r="BN1450" s="48"/>
      <c r="BO1450" s="48"/>
      <c r="BP1450" s="55"/>
      <c r="BQ1450" s="50" t="n">
        <v>-33</v>
      </c>
      <c r="BR1450" s="50" t="n">
        <v>0</v>
      </c>
      <c r="BS1450" s="49" t="n">
        <v>-12841.95</v>
      </c>
      <c r="BT1450" s="50" t="n">
        <v>9</v>
      </c>
      <c r="BU1450" s="48" t="s">
        <v>1750</v>
      </c>
      <c r="BV1450" s="53" t="n">
        <v>0</v>
      </c>
      <c r="BW1450" s="53" t="n">
        <v>1450</v>
      </c>
      <c r="BX1450" s="48" t="str">
        <f aca="false">IF(U1450&lt;&gt;"",UPPER(TRIM(U1450)),IF(CA1450=1,UPPER(VLOOKUP(T1450,Parameter!$I$27:$K$29,2,0)),IF(P1450="","LOSE",P1450)))</f>
        <v>S52</v>
      </c>
      <c r="BY1450" s="50" t="n">
        <f aca="false">IF(BX1450="LOSE",1,IF(N(V1450)&gt;0,V1450,IF(CA1450=1,MAX(1,N(VLOOKUP(T1450,Parameter!$I$27:$K$29,3,0)),H1450,N(N1450)),IF(N(Q1450)&gt;0,Q1450,MAX(1,H1450)))))</f>
        <v>24</v>
      </c>
      <c r="BZ1450" s="53" t="n">
        <f aca="false">IF(BX1450="LOSE",1,0)</f>
        <v>0</v>
      </c>
      <c r="CA1450" s="53" t="n">
        <f aca="false">IF(AND(U1450="",OR(P1450="",P1450="LOSE"),T1450&lt;&gt;"",N(S1450)&lt;=0,ISNUMBER(MATCH(T1450,Parameter!$I$27:$I$29,0))),1,0)</f>
        <v>0</v>
      </c>
      <c r="CB1450" s="53" t="n">
        <f aca="false">IF(CQ1450&gt;0,INDEX(Parameter!$H$5:$H$7,W1450)/INDEX(Parameter!$E$5:$E$7,W1450),IF(AND(BZ1450=0,N(IFERROR(VLOOKUP(BX1450,'Gebinde-Kategorie'!$A$5:$N$45,14,0),0))&gt;0),VLOOKUP(BX1450,'Gebinde-Kategorie'!$A$5:$N$45,14,0)*10+Parameter!$M$23,Parameter!$M$24))</f>
        <v>245</v>
      </c>
      <c r="CC1450" s="48" t="str">
        <f aca="false">IF(AND(Parameter!$B$19="Ja",E1450&lt;&gt;"",ISNUMBER(MATCH(E1450,Parameter!$I$35:$I$52,0))),VLOOKUP(E1450,Parameter!$I$35:$J$52,2,0),IFERROR(VLOOKUP(D1450,Parameter!$A$35:$C$64,2,0),"Nein"))</f>
        <v>2+3</v>
      </c>
      <c r="CD1450" s="52" t="n">
        <f aca="false">IF(BZ1450=0,0,IF(N(S1450)&gt;0,S1450,IFERROR(VLOOKUP(D1450,Parameter!$A$35:$C$64,3,0)+0,0)))</f>
        <v>0</v>
      </c>
      <c r="CE1450" s="48" t="n">
        <f aca="false">IF(AA1450&lt;&gt;"",AA1450,Z1450)</f>
        <v>3</v>
      </c>
      <c r="CF1450" s="48" t="str">
        <f aca="false">IF(OR(CE1450=1,CE1450=2,CE1450=3),IF(Parameter!$E$27="Ja","LIFT",IF(CE1450=1,"L1","L23")),IF(CE1450="Aussen","Aussen","-"))</f>
        <v>LIFT</v>
      </c>
      <c r="CG1450" s="59" t="n">
        <f aca="false">IF(N(AB1450)&gt;0,AB1450,0)</f>
        <v>0</v>
      </c>
      <c r="CH1450" s="53" t="n">
        <f aca="false">IF(ISNUMBER(AE1450),1,0)</f>
        <v>0</v>
      </c>
      <c r="CI1450" s="50" t="n">
        <f aca="false">N(AE1450)</f>
        <v>0</v>
      </c>
      <c r="CJ1450" s="50" t="n">
        <f aca="false">N(M1450)+N(N1450)</f>
        <v>21</v>
      </c>
      <c r="CK1450" s="50" t="n">
        <f aca="false">N(M1450)</f>
        <v>1</v>
      </c>
      <c r="CL1450" s="50" t="n">
        <f aca="false">N(N1450)</f>
        <v>20</v>
      </c>
      <c r="CM1450" s="50" t="n">
        <f aca="false">ROUNDUP(H1450/BY1450,0)</f>
        <v>0</v>
      </c>
      <c r="CN1450" s="50" t="n">
        <f aca="false">ROUNDUP(CI1450/BY1450,0)</f>
        <v>0</v>
      </c>
      <c r="CO1450" s="53" t="n">
        <f aca="false">IF(BZ1450=1,0,IFERROR(VLOOKUP(BX1450,'Gebinde-Kategorie'!$A$5:$N$45,5,0)+0,0))</f>
        <v>21</v>
      </c>
      <c r="CP1450" s="53" t="n">
        <f aca="false">IFERROR(IF(OR(CE1450=1,CE1450=2,CE1450=3),N(INDEX(Parameter!$I$5:$I$7,CE1450)),0),0)</f>
        <v>0</v>
      </c>
      <c r="CQ1450" s="52" t="n">
        <f aca="false">IF(AND(Parameter!$B$21="Ja",ISNUMBER(W1450),N(X1450)&gt;0),IFERROR(N(INDEX(Parameter!$L$5:$L$7,W1450))*INDEX(Parameter!$E$5:$E$7,W1450)*X1450/SUMIFS($X$7:$X$1843,$W$7:$W$1843,W1450),0),0)</f>
        <v>0</v>
      </c>
    </row>
    <row r="1451" customFormat="false" ht="15" hidden="false" customHeight="false" outlineLevel="0" collapsed="false">
      <c r="A1451" s="48" t="s">
        <v>2548</v>
      </c>
      <c r="B1451" s="48" t="s">
        <v>2549</v>
      </c>
      <c r="C1451" s="48" t="s">
        <v>173</v>
      </c>
      <c r="D1451" s="48" t="s">
        <v>182</v>
      </c>
      <c r="E1451" s="48" t="s">
        <v>194</v>
      </c>
      <c r="F1451" s="48"/>
      <c r="G1451" s="49" t="n">
        <v>216.49</v>
      </c>
      <c r="H1451" s="50" t="n">
        <f aca="false">MAX(0,IF(AND(Parameter!$B$21="Ja",ISNUMBER(Y1451)),Y1451,IF(Parameter!$B$20="Jahresanfang 2025 + Export",BR1451+BQ1451,BQ1451)))</f>
        <v>0</v>
      </c>
      <c r="I1451" s="50" t="n">
        <f aca="false">H1451*G1451</f>
        <v>0</v>
      </c>
      <c r="J1451" s="50" t="n">
        <f aca="false">BT1451*Parameter!$B$18</f>
        <v>849</v>
      </c>
      <c r="K1451" s="51"/>
      <c r="L1451" s="52"/>
      <c r="M1451" s="50" t="n">
        <v>49</v>
      </c>
      <c r="N1451" s="50" t="n">
        <v>90</v>
      </c>
      <c r="O1451" s="53"/>
      <c r="P1451" s="48" t="s">
        <v>183</v>
      </c>
      <c r="Q1451" s="50" t="n">
        <v>30</v>
      </c>
      <c r="R1451" s="53" t="n">
        <f aca="false">IF(BZ1451=1,0,IFERROR(VLOOKUP(BX1451,'Gebinde-Kategorie'!$A$5:$N$45,13,0)+0,0))</f>
        <v>6</v>
      </c>
      <c r="S1451" s="54"/>
      <c r="T1451" s="55"/>
      <c r="U1451" s="55"/>
      <c r="V1451" s="55"/>
      <c r="W1451" s="48"/>
      <c r="X1451" s="50"/>
      <c r="Y1451" s="50"/>
      <c r="Z1451" s="48" t="n">
        <f aca="false">IF(A1451="","",IF(AND(Parameter!$B$21="Ja",ISNUMBER(W1451)),W1451,IF(CC1451="2+3",IF(ISNUMBER(SEARCH("grosser Artikel",BU1451)),2,IFERROR(VLOOKUP(BX1451,Parameter!$F$35:$G$64,2,0),2)),IF(OR(CC1451="Nein",CC1451=""),"-",CC1451))))</f>
        <v>2</v>
      </c>
      <c r="AA1451" s="55"/>
      <c r="AB1451" s="56"/>
      <c r="AC1451" s="50" t="n">
        <f aca="false">AV1451</f>
        <v>517</v>
      </c>
      <c r="AD1451" s="50" t="n">
        <f aca="false">MAX(AV1451,H1451)</f>
        <v>517</v>
      </c>
      <c r="AE1451" s="57"/>
      <c r="AF1451" s="50" t="n">
        <f aca="false">IF(LEFT(Cockpit!$C$5,1)="A",H1451,IF(Parameter!$E$30="MAX-Bestand",IF(CH1451=1,CI1451,IF(LEFT(Cockpit!$C$5,1)="B",AL1451,MAX(AL1451,H1451))),ROUNDUP(AJ1451,0)))</f>
        <v>0</v>
      </c>
      <c r="AG1451" s="50" t="n">
        <f aca="false">IF(BZ1451=1,0,ROUNDUP(AF1451/BY1451,0))</f>
        <v>0</v>
      </c>
      <c r="AH1451" s="52" t="n">
        <f aca="false">IF(CQ1451&gt;0,CQ1451*MAX(1,AF1451/X1451),IF(BZ1451=1,IF(AF1451&lt;=0,0,CD1451*MAX(1,IF(H1451&gt;0,AF1451/H1451,1))),IF(R1451&gt;0,AG1451/R1451,0))/MAX(0.1,N(Parameter!$M$21)))</f>
        <v>0</v>
      </c>
      <c r="AI1451" s="50" t="n">
        <f aca="false">AH1451*CB1451</f>
        <v>0</v>
      </c>
      <c r="AJ1451" s="51" t="n">
        <f aca="false">IF(LEFT(Cockpit!$C$5,1)="A",H1451,IF(CH1451=1,(CK1451+CI1451)/2,IF(LEFT(Cockpit!$C$5,1)="B",(CK1451+AL1451)/2,MAX((CK1451+AL1451)/2,H1451))))</f>
        <v>0</v>
      </c>
      <c r="AK1451" s="50" t="n">
        <f aca="false">AJ1451*G1451</f>
        <v>0</v>
      </c>
      <c r="AL1451" s="50" t="n">
        <f aca="false">ROUNDUP(CK1451+MAX(CL1451,2*(J1451/IF(CG1451&gt;0,CG1451,MAX(0.1,N(Cockpit!$C$6)))-CK1451)),0)</f>
        <v>517</v>
      </c>
      <c r="AM1451" s="51" t="n">
        <f aca="false">IF(AI1451&gt;0,J1451/AI1451,-1)</f>
        <v>-1</v>
      </c>
      <c r="AN1451" s="51" t="str">
        <f aca="false">IF(AND(OR(CF1451="L1",CF1451="L23",CF1451="LIFT"),AI1451&gt;0),SUMIFS($AI$7:$AI$1843,$CF$7:$CF$1843,CF1451,$AM$7:$AM$1843,"&gt;"&amp;AM1451)+SUMIFS($AI$7:$AI$1843,$CF$7:$CF$1843,CF1451,$AM$7:$AM$1843,AM1451,$BW$7:$BW$1843,"&lt;="&amp;BW1451),"")</f>
        <v/>
      </c>
      <c r="AO1451" s="58" t="n">
        <f aca="false">IF(AN1451="",0,MAX(0,MIN(1,(IF(CF1451="L1",Parameter!$H$5,IF(CF1451="L23",Parameter!$H$6+Parameter!$H$7,Parameter!$H$5+Parameter!$H$6+Parameter!$H$7))-(AN1451-AI1451))/AI1451)))</f>
        <v>0</v>
      </c>
      <c r="AP1451" s="50" t="n">
        <f aca="false">IF(LEFT(Cockpit!$I$5,1)="A",H1451,IF(Parameter!$E$30="MAX-Bestand",IF(CH1451=1,CI1451,IF(LEFT(Cockpit!$I$5,1)="B",AV1451,MAX(AV1451,H1451))),ROUNDUP(AT1451,0)))</f>
        <v>283</v>
      </c>
      <c r="AQ1451" s="50" t="n">
        <f aca="false">IF(BZ1451=1,0,ROUNDUP(AP1451/BY1451,0))</f>
        <v>10</v>
      </c>
      <c r="AR1451" s="52" t="n">
        <f aca="false">IF(CQ1451&gt;0,CQ1451*MAX(1,AP1451/X1451),IF(BZ1451=1,IF(AP1451&lt;=0,0,CD1451*MAX(1,IF(H1451&gt;0,AP1451/H1451,1))),IF(R1451&gt;0,AQ1451/R1451,0))/MAX(0.1,N(Parameter!$M$21)))</f>
        <v>1.66666666666667</v>
      </c>
      <c r="AS1451" s="50" t="n">
        <f aca="false">AR1451*CB1451</f>
        <v>391.666666666667</v>
      </c>
      <c r="AT1451" s="51" t="n">
        <f aca="false">IF(LEFT(Cockpit!$I$5,1)="A",H1451,IF(CH1451=1,(CK1451+CI1451)/2,IF(LEFT(Cockpit!$I$5,1)="B",(CK1451+AV1451)/2,MAX((CK1451+AV1451)/2,H1451))))</f>
        <v>283</v>
      </c>
      <c r="AU1451" s="50" t="n">
        <f aca="false">AT1451*G1451</f>
        <v>61266.67</v>
      </c>
      <c r="AV1451" s="50" t="n">
        <f aca="false">ROUNDUP(CK1451+MAX(CL1451,2*(J1451/IF(CG1451&gt;0,CG1451,MAX(0.1,N(Cockpit!$I$6)))-CK1451)),0)</f>
        <v>517</v>
      </c>
      <c r="AW1451" s="51" t="n">
        <f aca="false">IF(AS1451&gt;0,J1451/AS1451,-1)</f>
        <v>2.16765957446809</v>
      </c>
      <c r="AX1451" s="51" t="n">
        <f aca="false">IF(AND(OR(CF1451="L1",CF1451="L23",CF1451="LIFT"),AS1451&gt;0),SUMIFS($AS$7:$AS$1843,$CF$7:$CF$1843,CF1451,$AW$7:$AW$1843,"&gt;"&amp;AW1451)+SUMIFS($AS$7:$AS$1843,$CF$7:$CF$1843,CF1451,$AW$7:$AW$1843,AW1451,$BW$7:$BW$1843,"&lt;="&amp;BW1451),"")</f>
        <v>7030.79258241758</v>
      </c>
      <c r="AY1451" s="58" t="n">
        <f aca="false">IF(AX1451="",0,MAX(0,MIN(1,(IF(CF1451="L1",Parameter!$H$5,IF(CF1451="L23",Parameter!$H$6+Parameter!$H$7,Parameter!$H$5+Parameter!$H$6+Parameter!$H$7))-(AX1451-AS1451))/AS1451)))</f>
        <v>1</v>
      </c>
      <c r="AZ1451" s="50" t="n">
        <f aca="false">IF(LEFT(Cockpit!$O$5,1)="A",H1451,IF(Parameter!$E$30="MAX-Bestand",IF(CH1451=1,CI1451,IF(LEFT(Cockpit!$O$5,1)="B",BF1451,MAX(BF1451,H1451))),ROUNDUP(BD1451,0)))</f>
        <v>213</v>
      </c>
      <c r="BA1451" s="50" t="n">
        <f aca="false">IF(BZ1451=1,0,ROUNDUP(AZ1451/BY1451,0))</f>
        <v>8</v>
      </c>
      <c r="BB1451" s="52" t="n">
        <f aca="false">IF(CQ1451&gt;0,CQ1451*MAX(1,AZ1451/X1451),IF(BZ1451=1,IF(AZ1451&lt;=0,0,CD1451*MAX(1,IF(H1451&gt;0,AZ1451/H1451,1))),IF(R1451&gt;0,BA1451/R1451,0))/MAX(0.1,N(Parameter!$M$21)))</f>
        <v>1.33333333333333</v>
      </c>
      <c r="BC1451" s="50" t="n">
        <f aca="false">BB1451*CB1451</f>
        <v>313.333333333333</v>
      </c>
      <c r="BD1451" s="51" t="n">
        <f aca="false">IF(LEFT(Cockpit!$O$5,1)="A",H1451,IF(CH1451=1,(CK1451+CI1451)/2,IF(LEFT(Cockpit!$O$5,1)="B",(CK1451+BF1451)/2,MAX((CK1451+BF1451)/2,H1451))))</f>
        <v>212.5</v>
      </c>
      <c r="BE1451" s="50" t="n">
        <f aca="false">BD1451*G1451</f>
        <v>46004.125</v>
      </c>
      <c r="BF1451" s="50" t="n">
        <f aca="false">ROUNDUP(CK1451+MAX(CL1451,2*(J1451/IF(CG1451&gt;0,CG1451,MAX(0.1,N(Cockpit!$O$6)))-CK1451)),0)</f>
        <v>376</v>
      </c>
      <c r="BG1451" s="51" t="n">
        <f aca="false">IF(BC1451&gt;0,J1451/BC1451,-1)</f>
        <v>2.70957446808511</v>
      </c>
      <c r="BH1451" s="51" t="n">
        <f aca="false">IF(AND(OR(CF1451="L1",CF1451="L23",CF1451="LIFT"),BC1451&gt;0),SUMIFS($BC$7:$BC$1843,$CF$7:$CF$1843,CF1451,$BG$7:$BG$1843,"&gt;"&amp;BG1451)+SUMIFS($BC$7:$BC$1843,$CF$7:$CF$1843,CF1451,$BG$7:$BG$1843,BG1451,$BW$7:$BW$1843,"&lt;="&amp;BW1451),"")</f>
        <v>5330.02884615385</v>
      </c>
      <c r="BI1451" s="58" t="n">
        <f aca="false">IF(BH1451="",0,MAX(0,MIN(1,(IF(CF1451="L1",Parameter!$H$5,IF(CF1451="L23",Parameter!$H$6+Parameter!$H$7,Parameter!$H$5+Parameter!$H$6+Parameter!$H$7))-(BH1451-BC1451))/BC1451)))</f>
        <v>1</v>
      </c>
      <c r="BJ1451" s="48" t="str">
        <f aca="false">IF(AI1451&lt;=0,"",IF(CF1451="Aussen","Aussenlager",IF(CF1451="-","Nicht im Lift",IF(AO1451&gt;=1,"Lift",IF(AO1451&lt;=0,"Aussenlager","teilweise")))))</f>
        <v/>
      </c>
      <c r="BK1451" s="48" t="str">
        <f aca="false">IF(AS1451&lt;=0,"",IF(CF1451="Aussen","Aussenlager",IF(CF1451="-","Nicht im Lift",IF(AY1451&gt;=1,"Lift",IF(AY1451&lt;=0,"Aussenlager","teilweise")))))</f>
        <v>Lift</v>
      </c>
      <c r="BL1451" s="48" t="str">
        <f aca="false">IF(BC1451&lt;=0,"",IF(CF1451="Aussen","Aussenlager",IF(CF1451="-","Nicht im Lift",IF(BI1451&gt;=1,"Lift",IF(BI1451&lt;=0,"Aussenlager","teilweise")))))</f>
        <v>Lift</v>
      </c>
      <c r="BM1451" s="48" t="str">
        <f aca="false">IF(A1451="","",IF(BV1451=1,"Neu; ","")&amp;IF(AND(BV1451=0,BQ1451&lt;0),"negativer Bestand (Export "&amp;BQ1451&amp;"); ","")&amp;IF(J1451&lt;=0,"Kein Verbrauch; ","")&amp;IF(CQ1451&gt;0,"Lift "&amp;W1451&amp;" lt. Liftbericht (Fach "&amp;X1451&amp;" Stk); ",IF(CA1451=1,"Gebinde geschätzt ("&amp;T1451&amp;"); ",IF(BZ1451=1,"Lose – Tablare geschätzt; ","")))&amp;IF(H1451&gt;AV1451,"Überbestand "&amp;ROUND(H1451-AV1451,0)&amp;" Stk / CHF "&amp;ROUND((H1451-AV1451)*G1451,0)&amp;"; ","")&amp;IF(AND(CH1451=1,CI1451&lt;CJ1451),"MAX &lt; MB+LG; ","")&amp;IF(AND(CP1451&gt;0,CO1451*10&gt;CP1451),"zu hoch für Tablar; ","")&amp;IF(AND(BV1451=0,OR(CH1451=1,AA1451&lt;&gt;"",U1451&lt;&gt;"",V1451&lt;&gt;"",AB1451&lt;&gt;"")),"manuell übersteuert; ","")&amp;IF(AND(BZ1451=0,R1451=0),"Gebinde unbekannt / Stellmass fehlt; ","")&amp;IF(AND(BZ1451=0,N(V1451)&lt;=0,N(Q1451)&lt;=0),"Menge pro Gebinde fehlt (Ist = 1 Gebinde); ","")&amp;BU1451)</f>
        <v>negativer Bestand (Export -57); grosser Artikel &amp; nicht im KTL</v>
      </c>
      <c r="BN1451" s="48"/>
      <c r="BO1451" s="48"/>
      <c r="BP1451" s="55"/>
      <c r="BQ1451" s="50" t="n">
        <v>-57</v>
      </c>
      <c r="BR1451" s="50" t="n">
        <v>0</v>
      </c>
      <c r="BS1451" s="49" t="n">
        <v>-12923.04</v>
      </c>
      <c r="BT1451" s="50" t="n">
        <v>849</v>
      </c>
      <c r="BU1451" s="48" t="s">
        <v>270</v>
      </c>
      <c r="BV1451" s="53" t="n">
        <v>0</v>
      </c>
      <c r="BW1451" s="53" t="n">
        <v>1451</v>
      </c>
      <c r="BX1451" s="48" t="str">
        <f aca="false">IF(U1451&lt;&gt;"",UPPER(TRIM(U1451)),IF(CA1451=1,UPPER(VLOOKUP(T1451,Parameter!$I$27:$K$29,2,0)),IF(P1451="","LOSE",P1451)))</f>
        <v>S71</v>
      </c>
      <c r="BY1451" s="50" t="n">
        <f aca="false">IF(BX1451="LOSE",1,IF(N(V1451)&gt;0,V1451,IF(CA1451=1,MAX(1,N(VLOOKUP(T1451,Parameter!$I$27:$K$29,3,0)),H1451,N(N1451)),IF(N(Q1451)&gt;0,Q1451,MAX(1,H1451)))))</f>
        <v>30</v>
      </c>
      <c r="BZ1451" s="53" t="n">
        <f aca="false">IF(BX1451="LOSE",1,0)</f>
        <v>0</v>
      </c>
      <c r="CA1451" s="53" t="n">
        <f aca="false">IF(AND(U1451="",OR(P1451="",P1451="LOSE"),T1451&lt;&gt;"",N(S1451)&lt;=0,ISNUMBER(MATCH(T1451,Parameter!$I$27:$I$29,0))),1,0)</f>
        <v>0</v>
      </c>
      <c r="CB1451" s="53" t="n">
        <f aca="false">IF(CQ1451&gt;0,INDEX(Parameter!$H$5:$H$7,W1451)/INDEX(Parameter!$E$5:$E$7,W1451),IF(AND(BZ1451=0,N(IFERROR(VLOOKUP(BX1451,'Gebinde-Kategorie'!$A$5:$N$45,14,0),0))&gt;0),VLOOKUP(BX1451,'Gebinde-Kategorie'!$A$5:$N$45,14,0)*10+Parameter!$M$23,Parameter!$M$24))</f>
        <v>235</v>
      </c>
      <c r="CC1451" s="48" t="str">
        <f aca="false">IF(AND(Parameter!$B$19="Ja",E1451&lt;&gt;"",ISNUMBER(MATCH(E1451,Parameter!$I$35:$I$52,0))),VLOOKUP(E1451,Parameter!$I$35:$J$52,2,0),IFERROR(VLOOKUP(D1451,Parameter!$A$35:$C$64,2,0),"Nein"))</f>
        <v>2+3</v>
      </c>
      <c r="CD1451" s="52" t="n">
        <f aca="false">IF(BZ1451=0,0,IF(N(S1451)&gt;0,S1451,IFERROR(VLOOKUP(D1451,Parameter!$A$35:$C$64,3,0)+0,0)))</f>
        <v>0</v>
      </c>
      <c r="CE1451" s="48" t="n">
        <f aca="false">IF(AA1451&lt;&gt;"",AA1451,Z1451)</f>
        <v>2</v>
      </c>
      <c r="CF1451" s="48" t="str">
        <f aca="false">IF(OR(CE1451=1,CE1451=2,CE1451=3),IF(Parameter!$E$27="Ja","LIFT",IF(CE1451=1,"L1","L23")),IF(CE1451="Aussen","Aussen","-"))</f>
        <v>LIFT</v>
      </c>
      <c r="CG1451" s="59" t="n">
        <f aca="false">IF(N(AB1451)&gt;0,AB1451,0)</f>
        <v>0</v>
      </c>
      <c r="CH1451" s="53" t="n">
        <f aca="false">IF(ISNUMBER(AE1451),1,0)</f>
        <v>0</v>
      </c>
      <c r="CI1451" s="50" t="n">
        <f aca="false">N(AE1451)</f>
        <v>0</v>
      </c>
      <c r="CJ1451" s="50" t="n">
        <f aca="false">N(M1451)+N(N1451)</f>
        <v>139</v>
      </c>
      <c r="CK1451" s="50" t="n">
        <f aca="false">N(M1451)</f>
        <v>49</v>
      </c>
      <c r="CL1451" s="50" t="n">
        <f aca="false">N(N1451)</f>
        <v>90</v>
      </c>
      <c r="CM1451" s="50" t="n">
        <f aca="false">ROUNDUP(H1451/BY1451,0)</f>
        <v>0</v>
      </c>
      <c r="CN1451" s="50" t="n">
        <f aca="false">ROUNDUP(CI1451/BY1451,0)</f>
        <v>0</v>
      </c>
      <c r="CO1451" s="53" t="n">
        <f aca="false">IF(BZ1451=1,0,IFERROR(VLOOKUP(BX1451,'Gebinde-Kategorie'!$A$5:$N$45,5,0)+0,0))</f>
        <v>20</v>
      </c>
      <c r="CP1451" s="53" t="n">
        <f aca="false">IFERROR(IF(OR(CE1451=1,CE1451=2,CE1451=3),N(INDEX(Parameter!$I$5:$I$7,CE1451)),0),0)</f>
        <v>0</v>
      </c>
      <c r="CQ1451" s="52" t="n">
        <f aca="false">IF(AND(Parameter!$B$21="Ja",ISNUMBER(W1451),N(X1451)&gt;0),IFERROR(N(INDEX(Parameter!$L$5:$L$7,W1451))*INDEX(Parameter!$E$5:$E$7,W1451)*X1451/SUMIFS($X$7:$X$1843,$W$7:$W$1843,W1451),0),0)</f>
        <v>0</v>
      </c>
    </row>
    <row r="1452" customFormat="false" ht="15" hidden="false" customHeight="false" outlineLevel="0" collapsed="false">
      <c r="A1452" s="48" t="s">
        <v>2550</v>
      </c>
      <c r="B1452" s="48" t="s">
        <v>348</v>
      </c>
      <c r="C1452" s="48" t="s">
        <v>173</v>
      </c>
      <c r="D1452" s="48" t="s">
        <v>182</v>
      </c>
      <c r="E1452" s="48" t="s">
        <v>175</v>
      </c>
      <c r="F1452" s="48"/>
      <c r="G1452" s="49" t="n">
        <v>457</v>
      </c>
      <c r="H1452" s="50" t="n">
        <f aca="false">MAX(0,IF(AND(Parameter!$B$21="Ja",ISNUMBER(Y1452)),Y1452,IF(Parameter!$B$20="Jahresanfang 2025 + Export",BR1452+BQ1452,BQ1452)))</f>
        <v>0</v>
      </c>
      <c r="I1452" s="50" t="n">
        <f aca="false">H1452*G1452</f>
        <v>0</v>
      </c>
      <c r="J1452" s="50" t="n">
        <f aca="false">BT1452*Parameter!$B$18</f>
        <v>0</v>
      </c>
      <c r="K1452" s="51"/>
      <c r="L1452" s="52"/>
      <c r="M1452" s="50" t="n">
        <v>0</v>
      </c>
      <c r="N1452" s="50" t="n">
        <v>1</v>
      </c>
      <c r="O1452" s="53"/>
      <c r="P1452" s="48" t="s">
        <v>183</v>
      </c>
      <c r="Q1452" s="50" t="n">
        <v>4</v>
      </c>
      <c r="R1452" s="53" t="n">
        <f aca="false">IF(BZ1452=1,0,IFERROR(VLOOKUP(BX1452,'Gebinde-Kategorie'!$A$5:$N$45,13,0)+0,0))</f>
        <v>6</v>
      </c>
      <c r="S1452" s="54"/>
      <c r="T1452" s="55"/>
      <c r="U1452" s="55"/>
      <c r="V1452" s="55"/>
      <c r="W1452" s="48"/>
      <c r="X1452" s="50"/>
      <c r="Y1452" s="50"/>
      <c r="Z1452" s="48" t="n">
        <f aca="false">IF(A1452="","",IF(AND(Parameter!$B$21="Ja",ISNUMBER(W1452)),W1452,IF(CC1452="2+3",IF(ISNUMBER(SEARCH("grosser Artikel",BU1452)),2,IFERROR(VLOOKUP(BX1452,Parameter!$F$35:$G$64,2,0),2)),IF(OR(CC1452="Nein",CC1452=""),"-",CC1452))))</f>
        <v>1</v>
      </c>
      <c r="AA1452" s="55"/>
      <c r="AB1452" s="56"/>
      <c r="AC1452" s="50" t="n">
        <f aca="false">AV1452</f>
        <v>1</v>
      </c>
      <c r="AD1452" s="50" t="n">
        <f aca="false">MAX(AV1452,H1452)</f>
        <v>1</v>
      </c>
      <c r="AE1452" s="57"/>
      <c r="AF1452" s="50" t="n">
        <f aca="false">IF(LEFT(Cockpit!$C$5,1)="A",H1452,IF(Parameter!$E$30="MAX-Bestand",IF(CH1452=1,CI1452,IF(LEFT(Cockpit!$C$5,1)="B",AL1452,MAX(AL1452,H1452))),ROUNDUP(AJ1452,0)))</f>
        <v>0</v>
      </c>
      <c r="AG1452" s="50" t="n">
        <f aca="false">IF(BZ1452=1,0,ROUNDUP(AF1452/BY1452,0))</f>
        <v>0</v>
      </c>
      <c r="AH1452" s="52" t="n">
        <f aca="false">IF(CQ1452&gt;0,CQ1452*MAX(1,AF1452/X1452),IF(BZ1452=1,IF(AF1452&lt;=0,0,CD1452*MAX(1,IF(H1452&gt;0,AF1452/H1452,1))),IF(R1452&gt;0,AG1452/R1452,0))/MAX(0.1,N(Parameter!$M$21)))</f>
        <v>0</v>
      </c>
      <c r="AI1452" s="50" t="n">
        <f aca="false">AH1452*CB1452</f>
        <v>0</v>
      </c>
      <c r="AJ1452" s="51" t="n">
        <f aca="false">IF(LEFT(Cockpit!$C$5,1)="A",H1452,IF(CH1452=1,(CK1452+CI1452)/2,IF(LEFT(Cockpit!$C$5,1)="B",(CK1452+AL1452)/2,MAX((CK1452+AL1452)/2,H1452))))</f>
        <v>0</v>
      </c>
      <c r="AK1452" s="50" t="n">
        <f aca="false">AJ1452*G1452</f>
        <v>0</v>
      </c>
      <c r="AL1452" s="50" t="n">
        <f aca="false">ROUNDUP(CK1452+MAX(CL1452,2*(J1452/IF(CG1452&gt;0,CG1452,MAX(0.1,N(Cockpit!$C$6)))-CK1452)),0)</f>
        <v>1</v>
      </c>
      <c r="AM1452" s="51" t="n">
        <f aca="false">IF(AI1452&gt;0,J1452/AI1452,-1)</f>
        <v>-1</v>
      </c>
      <c r="AN1452" s="51" t="str">
        <f aca="false">IF(AND(OR(CF1452="L1",CF1452="L23",CF1452="LIFT"),AI1452&gt;0),SUMIFS($AI$7:$AI$1843,$CF$7:$CF$1843,CF1452,$AM$7:$AM$1843,"&gt;"&amp;AM1452)+SUMIFS($AI$7:$AI$1843,$CF$7:$CF$1843,CF1452,$AM$7:$AM$1843,AM1452,$BW$7:$BW$1843,"&lt;="&amp;BW1452),"")</f>
        <v/>
      </c>
      <c r="AO1452" s="58" t="n">
        <f aca="false">IF(AN1452="",0,MAX(0,MIN(1,(IF(CF1452="L1",Parameter!$H$5,IF(CF1452="L23",Parameter!$H$6+Parameter!$H$7,Parameter!$H$5+Parameter!$H$6+Parameter!$H$7))-(AN1452-AI1452))/AI1452)))</f>
        <v>0</v>
      </c>
      <c r="AP1452" s="50" t="n">
        <f aca="false">IF(LEFT(Cockpit!$I$5,1)="A",H1452,IF(Parameter!$E$30="MAX-Bestand",IF(CH1452=1,CI1452,IF(LEFT(Cockpit!$I$5,1)="B",AV1452,MAX(AV1452,H1452))),ROUNDUP(AT1452,0)))</f>
        <v>1</v>
      </c>
      <c r="AQ1452" s="50" t="n">
        <f aca="false">IF(BZ1452=1,0,ROUNDUP(AP1452/BY1452,0))</f>
        <v>1</v>
      </c>
      <c r="AR1452" s="52" t="n">
        <f aca="false">IF(CQ1452&gt;0,CQ1452*MAX(1,AP1452/X1452),IF(BZ1452=1,IF(AP1452&lt;=0,0,CD1452*MAX(1,IF(H1452&gt;0,AP1452/H1452,1))),IF(R1452&gt;0,AQ1452/R1452,0))/MAX(0.1,N(Parameter!$M$21)))</f>
        <v>0.166666666666667</v>
      </c>
      <c r="AS1452" s="50" t="n">
        <f aca="false">AR1452*CB1452</f>
        <v>39.1666666666667</v>
      </c>
      <c r="AT1452" s="51" t="n">
        <f aca="false">IF(LEFT(Cockpit!$I$5,1)="A",H1452,IF(CH1452=1,(CK1452+CI1452)/2,IF(LEFT(Cockpit!$I$5,1)="B",(CK1452+AV1452)/2,MAX((CK1452+AV1452)/2,H1452))))</f>
        <v>0.5</v>
      </c>
      <c r="AU1452" s="50" t="n">
        <f aca="false">AT1452*G1452</f>
        <v>228.5</v>
      </c>
      <c r="AV1452" s="50" t="n">
        <f aca="false">ROUNDUP(CK1452+MAX(CL1452,2*(J1452/IF(CG1452&gt;0,CG1452,MAX(0.1,N(Cockpit!$I$6)))-CK1452)),0)</f>
        <v>1</v>
      </c>
      <c r="AW1452" s="51" t="n">
        <f aca="false">IF(AS1452&gt;0,J1452/AS1452,-1)</f>
        <v>0</v>
      </c>
      <c r="AX1452" s="51" t="n">
        <f aca="false">IF(AND(OR(CF1452="L1",CF1452="L23",CF1452="LIFT"),AS1452&gt;0),SUMIFS($AS$7:$AS$1843,$CF$7:$CF$1843,CF1452,$AW$7:$AW$1843,"&gt;"&amp;AW1452)+SUMIFS($AS$7:$AS$1843,$CF$7:$CF$1843,CF1452,$AW$7:$AW$1843,AW1452,$BW$7:$BW$1843,"&lt;="&amp;BW1452),"")</f>
        <v>35987.6736796631</v>
      </c>
      <c r="AY1452" s="58" t="n">
        <f aca="false">IF(AX1452="",0,MAX(0,MIN(1,(IF(CF1452="L1",Parameter!$H$5,IF(CF1452="L23",Parameter!$H$6+Parameter!$H$7,Parameter!$H$5+Parameter!$H$6+Parameter!$H$7))-(AX1452-AS1452))/AS1452)))</f>
        <v>0</v>
      </c>
      <c r="AZ1452" s="50" t="n">
        <f aca="false">IF(LEFT(Cockpit!$O$5,1)="A",H1452,IF(Parameter!$E$30="MAX-Bestand",IF(CH1452=1,CI1452,IF(LEFT(Cockpit!$O$5,1)="B",BF1452,MAX(BF1452,H1452))),ROUNDUP(BD1452,0)))</f>
        <v>1</v>
      </c>
      <c r="BA1452" s="50" t="n">
        <f aca="false">IF(BZ1452=1,0,ROUNDUP(AZ1452/BY1452,0))</f>
        <v>1</v>
      </c>
      <c r="BB1452" s="52" t="n">
        <f aca="false">IF(CQ1452&gt;0,CQ1452*MAX(1,AZ1452/X1452),IF(BZ1452=1,IF(AZ1452&lt;=0,0,CD1452*MAX(1,IF(H1452&gt;0,AZ1452/H1452,1))),IF(R1452&gt;0,BA1452/R1452,0))/MAX(0.1,N(Parameter!$M$21)))</f>
        <v>0.166666666666667</v>
      </c>
      <c r="BC1452" s="50" t="n">
        <f aca="false">BB1452*CB1452</f>
        <v>39.1666666666667</v>
      </c>
      <c r="BD1452" s="51" t="n">
        <f aca="false">IF(LEFT(Cockpit!$O$5,1)="A",H1452,IF(CH1452=1,(CK1452+CI1452)/2,IF(LEFT(Cockpit!$O$5,1)="B",(CK1452+BF1452)/2,MAX((CK1452+BF1452)/2,H1452))))</f>
        <v>0.5</v>
      </c>
      <c r="BE1452" s="50" t="n">
        <f aca="false">BD1452*G1452</f>
        <v>228.5</v>
      </c>
      <c r="BF1452" s="50" t="n">
        <f aca="false">ROUNDUP(CK1452+MAX(CL1452,2*(J1452/IF(CG1452&gt;0,CG1452,MAX(0.1,N(Cockpit!$O$6)))-CK1452)),0)</f>
        <v>1</v>
      </c>
      <c r="BG1452" s="51" t="n">
        <f aca="false">IF(BC1452&gt;0,J1452/BC1452,-1)</f>
        <v>0</v>
      </c>
      <c r="BH1452" s="51" t="n">
        <f aca="false">IF(AND(OR(CF1452="L1",CF1452="L23",CF1452="LIFT"),BC1452&gt;0),SUMIFS($BC$7:$BC$1843,$CF$7:$CF$1843,CF1452,$BG$7:$BG$1843,"&gt;"&amp;BG1452)+SUMIFS($BC$7:$BC$1843,$CF$7:$CF$1843,CF1452,$BG$7:$BG$1843,BG1452,$BW$7:$BW$1843,"&lt;="&amp;BW1452),"")</f>
        <v>29972.9803398109</v>
      </c>
      <c r="BI1452" s="58" t="n">
        <f aca="false">IF(BH1452="",0,MAX(0,MIN(1,(IF(CF1452="L1",Parameter!$H$5,IF(CF1452="L23",Parameter!$H$6+Parameter!$H$7,Parameter!$H$5+Parameter!$H$6+Parameter!$H$7))-(BH1452-BC1452))/BC1452)))</f>
        <v>1</v>
      </c>
      <c r="BJ1452" s="48" t="str">
        <f aca="false">IF(AI1452&lt;=0,"",IF(CF1452="Aussen","Aussenlager",IF(CF1452="-","Nicht im Lift",IF(AO1452&gt;=1,"Lift",IF(AO1452&lt;=0,"Aussenlager","teilweise")))))</f>
        <v/>
      </c>
      <c r="BK1452" s="48" t="str">
        <f aca="false">IF(AS1452&lt;=0,"",IF(CF1452="Aussen","Aussenlager",IF(CF1452="-","Nicht im Lift",IF(AY1452&gt;=1,"Lift",IF(AY1452&lt;=0,"Aussenlager","teilweise")))))</f>
        <v>Aussenlager</v>
      </c>
      <c r="BL1452" s="48" t="str">
        <f aca="false">IF(BC1452&lt;=0,"",IF(CF1452="Aussen","Aussenlager",IF(CF1452="-","Nicht im Lift",IF(BI1452&gt;=1,"Lift",IF(BI1452&lt;=0,"Aussenlager","teilweise")))))</f>
        <v>Lift</v>
      </c>
      <c r="BM1452" s="48" t="str">
        <f aca="false">IF(A1452="","",IF(BV1452=1,"Neu; ","")&amp;IF(AND(BV1452=0,BQ1452&lt;0),"negativer Bestand (Export "&amp;BQ1452&amp;"); ","")&amp;IF(J1452&lt;=0,"Kein Verbrauch; ","")&amp;IF(CQ1452&gt;0,"Lift "&amp;W1452&amp;" lt. Liftbericht (Fach "&amp;X1452&amp;" Stk); ",IF(CA1452=1,"Gebinde geschätzt ("&amp;T1452&amp;"); ",IF(BZ1452=1,"Lose – Tablare geschätzt; ","")))&amp;IF(H1452&gt;AV1452,"Überbestand "&amp;ROUND(H1452-AV1452,0)&amp;" Stk / CHF "&amp;ROUND((H1452-AV1452)*G1452,0)&amp;"; ","")&amp;IF(AND(CH1452=1,CI1452&lt;CJ1452),"MAX &lt; MB+LG; ","")&amp;IF(AND(CP1452&gt;0,CO1452*10&gt;CP1452),"zu hoch für Tablar; ","")&amp;IF(AND(BV1452=0,OR(CH1452=1,AA1452&lt;&gt;"",U1452&lt;&gt;"",V1452&lt;&gt;"",AB1452&lt;&gt;"")),"manuell übersteuert; ","")&amp;IF(AND(BZ1452=0,R1452=0),"Gebinde unbekannt / Stellmass fehlt; ","")&amp;IF(AND(BZ1452=0,N(V1452)&lt;=0,N(Q1452)&lt;=0),"Menge pro Gebinde fehlt (Ist = 1 Gebinde); ","")&amp;BU1452)</f>
        <v>negativer Bestand (Export -29); Kein Verbrauch; </v>
      </c>
      <c r="BN1452" s="48"/>
      <c r="BO1452" s="48"/>
      <c r="BP1452" s="55"/>
      <c r="BQ1452" s="50" t="n">
        <v>-29</v>
      </c>
      <c r="BR1452" s="50" t="n">
        <v>0</v>
      </c>
      <c r="BS1452" s="49" t="n">
        <v>-13253</v>
      </c>
      <c r="BT1452" s="50" t="n">
        <v>0</v>
      </c>
      <c r="BU1452" s="48"/>
      <c r="BV1452" s="53" t="n">
        <v>0</v>
      </c>
      <c r="BW1452" s="53" t="n">
        <v>1452</v>
      </c>
      <c r="BX1452" s="48" t="str">
        <f aca="false">IF(U1452&lt;&gt;"",UPPER(TRIM(U1452)),IF(CA1452=1,UPPER(VLOOKUP(T1452,Parameter!$I$27:$K$29,2,0)),IF(P1452="","LOSE",P1452)))</f>
        <v>S71</v>
      </c>
      <c r="BY1452" s="50" t="n">
        <f aca="false">IF(BX1452="LOSE",1,IF(N(V1452)&gt;0,V1452,IF(CA1452=1,MAX(1,N(VLOOKUP(T1452,Parameter!$I$27:$K$29,3,0)),H1452,N(N1452)),IF(N(Q1452)&gt;0,Q1452,MAX(1,H1452)))))</f>
        <v>4</v>
      </c>
      <c r="BZ1452" s="53" t="n">
        <f aca="false">IF(BX1452="LOSE",1,0)</f>
        <v>0</v>
      </c>
      <c r="CA1452" s="53" t="n">
        <f aca="false">IF(AND(U1452="",OR(P1452="",P1452="LOSE"),T1452&lt;&gt;"",N(S1452)&lt;=0,ISNUMBER(MATCH(T1452,Parameter!$I$27:$I$29,0))),1,0)</f>
        <v>0</v>
      </c>
      <c r="CB1452" s="53" t="n">
        <f aca="false">IF(CQ1452&gt;0,INDEX(Parameter!$H$5:$H$7,W1452)/INDEX(Parameter!$E$5:$E$7,W1452),IF(AND(BZ1452=0,N(IFERROR(VLOOKUP(BX1452,'Gebinde-Kategorie'!$A$5:$N$45,14,0),0))&gt;0),VLOOKUP(BX1452,'Gebinde-Kategorie'!$A$5:$N$45,14,0)*10+Parameter!$M$23,Parameter!$M$24))</f>
        <v>235</v>
      </c>
      <c r="CC1452" s="48" t="n">
        <f aca="false">IF(AND(Parameter!$B$19="Ja",E1452&lt;&gt;"",ISNUMBER(MATCH(E1452,Parameter!$I$35:$I$52,0))),VLOOKUP(E1452,Parameter!$I$35:$J$52,2,0),IFERROR(VLOOKUP(D1452,Parameter!$A$35:$C$64,2,0),"Nein"))</f>
        <v>1</v>
      </c>
      <c r="CD1452" s="52" t="n">
        <f aca="false">IF(BZ1452=0,0,IF(N(S1452)&gt;0,S1452,IFERROR(VLOOKUP(D1452,Parameter!$A$35:$C$64,3,0)+0,0)))</f>
        <v>0</v>
      </c>
      <c r="CE1452" s="48" t="n">
        <f aca="false">IF(AA1452&lt;&gt;"",AA1452,Z1452)</f>
        <v>1</v>
      </c>
      <c r="CF1452" s="48" t="str">
        <f aca="false">IF(OR(CE1452=1,CE1452=2,CE1452=3),IF(Parameter!$E$27="Ja","LIFT",IF(CE1452=1,"L1","L23")),IF(CE1452="Aussen","Aussen","-"))</f>
        <v>LIFT</v>
      </c>
      <c r="CG1452" s="59" t="n">
        <f aca="false">IF(N(AB1452)&gt;0,AB1452,0)</f>
        <v>0</v>
      </c>
      <c r="CH1452" s="53" t="n">
        <f aca="false">IF(ISNUMBER(AE1452),1,0)</f>
        <v>0</v>
      </c>
      <c r="CI1452" s="50" t="n">
        <f aca="false">N(AE1452)</f>
        <v>0</v>
      </c>
      <c r="CJ1452" s="50" t="n">
        <f aca="false">N(M1452)+N(N1452)</f>
        <v>1</v>
      </c>
      <c r="CK1452" s="50" t="n">
        <f aca="false">N(M1452)</f>
        <v>0</v>
      </c>
      <c r="CL1452" s="50" t="n">
        <f aca="false">N(N1452)</f>
        <v>1</v>
      </c>
      <c r="CM1452" s="50" t="n">
        <f aca="false">ROUNDUP(H1452/BY1452,0)</f>
        <v>0</v>
      </c>
      <c r="CN1452" s="50" t="n">
        <f aca="false">ROUNDUP(CI1452/BY1452,0)</f>
        <v>0</v>
      </c>
      <c r="CO1452" s="53" t="n">
        <f aca="false">IF(BZ1452=1,0,IFERROR(VLOOKUP(BX1452,'Gebinde-Kategorie'!$A$5:$N$45,5,0)+0,0))</f>
        <v>20</v>
      </c>
      <c r="CP1452" s="53" t="n">
        <f aca="false">IFERROR(IF(OR(CE1452=1,CE1452=2,CE1452=3),N(INDEX(Parameter!$I$5:$I$7,CE1452)),0),0)</f>
        <v>0</v>
      </c>
      <c r="CQ1452" s="52" t="n">
        <f aca="false">IF(AND(Parameter!$B$21="Ja",ISNUMBER(W1452),N(X1452)&gt;0),IFERROR(N(INDEX(Parameter!$L$5:$L$7,W1452))*INDEX(Parameter!$E$5:$E$7,W1452)*X1452/SUMIFS($X$7:$X$1843,$W$7:$W$1843,W1452),0),0)</f>
        <v>0</v>
      </c>
    </row>
    <row r="1453" customFormat="false" ht="15" hidden="false" customHeight="false" outlineLevel="0" collapsed="false">
      <c r="A1453" s="48" t="s">
        <v>2551</v>
      </c>
      <c r="B1453" s="48" t="s">
        <v>2181</v>
      </c>
      <c r="C1453" s="48" t="s">
        <v>173</v>
      </c>
      <c r="D1453" s="48" t="s">
        <v>193</v>
      </c>
      <c r="E1453" s="48"/>
      <c r="F1453" s="48"/>
      <c r="G1453" s="49" t="n">
        <v>1521.29</v>
      </c>
      <c r="H1453" s="50" t="n">
        <f aca="false">MAX(0,IF(AND(Parameter!$B$21="Ja",ISNUMBER(Y1453)),Y1453,IF(Parameter!$B$20="Jahresanfang 2025 + Export",BR1453+BQ1453,BQ1453)))</f>
        <v>0</v>
      </c>
      <c r="I1453" s="50" t="n">
        <f aca="false">H1453*G1453</f>
        <v>0</v>
      </c>
      <c r="J1453" s="50" t="n">
        <f aca="false">BT1453*Parameter!$B$18</f>
        <v>0</v>
      </c>
      <c r="K1453" s="51"/>
      <c r="L1453" s="52"/>
      <c r="M1453" s="50" t="n">
        <v>0</v>
      </c>
      <c r="N1453" s="50" t="n">
        <v>1</v>
      </c>
      <c r="O1453" s="53"/>
      <c r="P1453" s="48" t="s">
        <v>177</v>
      </c>
      <c r="Q1453" s="50"/>
      <c r="R1453" s="53" t="n">
        <f aca="false">IF(BZ1453=1,0,IFERROR(VLOOKUP(BX1453,'Gebinde-Kategorie'!$A$5:$N$45,13,0)+0,0))</f>
        <v>12</v>
      </c>
      <c r="S1453" s="54"/>
      <c r="T1453" s="55" t="s">
        <v>188</v>
      </c>
      <c r="U1453" s="55"/>
      <c r="V1453" s="55"/>
      <c r="W1453" s="48"/>
      <c r="X1453" s="50"/>
      <c r="Y1453" s="50"/>
      <c r="Z1453" s="48" t="n">
        <f aca="false">IF(A1453="","",IF(AND(Parameter!$B$21="Ja",ISNUMBER(W1453)),W1453,IF(CC1453="2+3",IF(ISNUMBER(SEARCH("grosser Artikel",BU1453)),2,IFERROR(VLOOKUP(BX1453,Parameter!$F$35:$G$64,2,0),2)),IF(OR(CC1453="Nein",CC1453=""),"-",CC1453))))</f>
        <v>2</v>
      </c>
      <c r="AA1453" s="55"/>
      <c r="AB1453" s="56"/>
      <c r="AC1453" s="50" t="n">
        <f aca="false">AV1453</f>
        <v>1</v>
      </c>
      <c r="AD1453" s="50" t="n">
        <f aca="false">MAX(AV1453,H1453)</f>
        <v>1</v>
      </c>
      <c r="AE1453" s="57"/>
      <c r="AF1453" s="50" t="n">
        <f aca="false">IF(LEFT(Cockpit!$C$5,1)="A",H1453,IF(Parameter!$E$30="MAX-Bestand",IF(CH1453=1,CI1453,IF(LEFT(Cockpit!$C$5,1)="B",AL1453,MAX(AL1453,H1453))),ROUNDUP(AJ1453,0)))</f>
        <v>0</v>
      </c>
      <c r="AG1453" s="50" t="n">
        <f aca="false">IF(BZ1453=1,0,ROUNDUP(AF1453/BY1453,0))</f>
        <v>0</v>
      </c>
      <c r="AH1453" s="52" t="n">
        <f aca="false">IF(CQ1453&gt;0,CQ1453*MAX(1,AF1453/X1453),IF(BZ1453=1,IF(AF1453&lt;=0,0,CD1453*MAX(1,IF(H1453&gt;0,AF1453/H1453,1))),IF(R1453&gt;0,AG1453/R1453,0))/MAX(0.1,N(Parameter!$M$21)))</f>
        <v>0</v>
      </c>
      <c r="AI1453" s="50" t="n">
        <f aca="false">AH1453*CB1453</f>
        <v>0</v>
      </c>
      <c r="AJ1453" s="51" t="n">
        <f aca="false">IF(LEFT(Cockpit!$C$5,1)="A",H1453,IF(CH1453=1,(CK1453+CI1453)/2,IF(LEFT(Cockpit!$C$5,1)="B",(CK1453+AL1453)/2,MAX((CK1453+AL1453)/2,H1453))))</f>
        <v>0</v>
      </c>
      <c r="AK1453" s="50" t="n">
        <f aca="false">AJ1453*G1453</f>
        <v>0</v>
      </c>
      <c r="AL1453" s="50" t="n">
        <f aca="false">ROUNDUP(CK1453+MAX(CL1453,2*(J1453/IF(CG1453&gt;0,CG1453,MAX(0.1,N(Cockpit!$C$6)))-CK1453)),0)</f>
        <v>1</v>
      </c>
      <c r="AM1453" s="51" t="n">
        <f aca="false">IF(AI1453&gt;0,J1453/AI1453,-1)</f>
        <v>-1</v>
      </c>
      <c r="AN1453" s="51" t="str">
        <f aca="false">IF(AND(OR(CF1453="L1",CF1453="L23",CF1453="LIFT"),AI1453&gt;0),SUMIFS($AI$7:$AI$1843,$CF$7:$CF$1843,CF1453,$AM$7:$AM$1843,"&gt;"&amp;AM1453)+SUMIFS($AI$7:$AI$1843,$CF$7:$CF$1843,CF1453,$AM$7:$AM$1843,AM1453,$BW$7:$BW$1843,"&lt;="&amp;BW1453),"")</f>
        <v/>
      </c>
      <c r="AO1453" s="58" t="n">
        <f aca="false">IF(AN1453="",0,MAX(0,MIN(1,(IF(CF1453="L1",Parameter!$H$5,IF(CF1453="L23",Parameter!$H$6+Parameter!$H$7,Parameter!$H$5+Parameter!$H$6+Parameter!$H$7))-(AN1453-AI1453))/AI1453)))</f>
        <v>0</v>
      </c>
      <c r="AP1453" s="50" t="n">
        <f aca="false">IF(LEFT(Cockpit!$I$5,1)="A",H1453,IF(Parameter!$E$30="MAX-Bestand",IF(CH1453=1,CI1453,IF(LEFT(Cockpit!$I$5,1)="B",AV1453,MAX(AV1453,H1453))),ROUNDUP(AT1453,0)))</f>
        <v>1</v>
      </c>
      <c r="AQ1453" s="50" t="n">
        <f aca="false">IF(BZ1453=1,0,ROUNDUP(AP1453/BY1453,0))</f>
        <v>1</v>
      </c>
      <c r="AR1453" s="52" t="n">
        <f aca="false">IF(CQ1453&gt;0,CQ1453*MAX(1,AP1453/X1453),IF(BZ1453=1,IF(AP1453&lt;=0,0,CD1453*MAX(1,IF(H1453&gt;0,AP1453/H1453,1))),IF(R1453&gt;0,AQ1453/R1453,0))/MAX(0.1,N(Parameter!$M$21)))</f>
        <v>0.0833333333333333</v>
      </c>
      <c r="AS1453" s="50" t="n">
        <f aca="false">AR1453*CB1453</f>
        <v>12.0833333333333</v>
      </c>
      <c r="AT1453" s="51" t="n">
        <f aca="false">IF(LEFT(Cockpit!$I$5,1)="A",H1453,IF(CH1453=1,(CK1453+CI1453)/2,IF(LEFT(Cockpit!$I$5,1)="B",(CK1453+AV1453)/2,MAX((CK1453+AV1453)/2,H1453))))</f>
        <v>0.5</v>
      </c>
      <c r="AU1453" s="50" t="n">
        <f aca="false">AT1453*G1453</f>
        <v>760.645</v>
      </c>
      <c r="AV1453" s="50" t="n">
        <f aca="false">ROUNDUP(CK1453+MAX(CL1453,2*(J1453/IF(CG1453&gt;0,CG1453,MAX(0.1,N(Cockpit!$I$6)))-CK1453)),0)</f>
        <v>1</v>
      </c>
      <c r="AW1453" s="51" t="n">
        <f aca="false">IF(AS1453&gt;0,J1453/AS1453,-1)</f>
        <v>0</v>
      </c>
      <c r="AX1453" s="51" t="n">
        <f aca="false">IF(AND(OR(CF1453="L1",CF1453="L23",CF1453="LIFT"),AS1453&gt;0),SUMIFS($AS$7:$AS$1843,$CF$7:$CF$1843,CF1453,$AW$7:$AW$1843,"&gt;"&amp;AW1453)+SUMIFS($AS$7:$AS$1843,$CF$7:$CF$1843,CF1453,$AW$7:$AW$1843,AW1453,$BW$7:$BW$1843,"&lt;="&amp;BW1453),"")</f>
        <v>35999.7570129964</v>
      </c>
      <c r="AY1453" s="58" t="n">
        <f aca="false">IF(AX1453="",0,MAX(0,MIN(1,(IF(CF1453="L1",Parameter!$H$5,IF(CF1453="L23",Parameter!$H$6+Parameter!$H$7,Parameter!$H$5+Parameter!$H$6+Parameter!$H$7))-(AX1453-AS1453))/AS1453)))</f>
        <v>0</v>
      </c>
      <c r="AZ1453" s="50" t="n">
        <f aca="false">IF(LEFT(Cockpit!$O$5,1)="A",H1453,IF(Parameter!$E$30="MAX-Bestand",IF(CH1453=1,CI1453,IF(LEFT(Cockpit!$O$5,1)="B",BF1453,MAX(BF1453,H1453))),ROUNDUP(BD1453,0)))</f>
        <v>1</v>
      </c>
      <c r="BA1453" s="50" t="n">
        <f aca="false">IF(BZ1453=1,0,ROUNDUP(AZ1453/BY1453,0))</f>
        <v>1</v>
      </c>
      <c r="BB1453" s="52" t="n">
        <f aca="false">IF(CQ1453&gt;0,CQ1453*MAX(1,AZ1453/X1453),IF(BZ1453=1,IF(AZ1453&lt;=0,0,CD1453*MAX(1,IF(H1453&gt;0,AZ1453/H1453,1))),IF(R1453&gt;0,BA1453/R1453,0))/MAX(0.1,N(Parameter!$M$21)))</f>
        <v>0.0833333333333333</v>
      </c>
      <c r="BC1453" s="50" t="n">
        <f aca="false">BB1453*CB1453</f>
        <v>12.0833333333333</v>
      </c>
      <c r="BD1453" s="51" t="n">
        <f aca="false">IF(LEFT(Cockpit!$O$5,1)="A",H1453,IF(CH1453=1,(CK1453+CI1453)/2,IF(LEFT(Cockpit!$O$5,1)="B",(CK1453+BF1453)/2,MAX((CK1453+BF1453)/2,H1453))))</f>
        <v>0.5</v>
      </c>
      <c r="BE1453" s="50" t="n">
        <f aca="false">BD1453*G1453</f>
        <v>760.645</v>
      </c>
      <c r="BF1453" s="50" t="n">
        <f aca="false">ROUNDUP(CK1453+MAX(CL1453,2*(J1453/IF(CG1453&gt;0,CG1453,MAX(0.1,N(Cockpit!$O$6)))-CK1453)),0)</f>
        <v>1</v>
      </c>
      <c r="BG1453" s="51" t="n">
        <f aca="false">IF(BC1453&gt;0,J1453/BC1453,-1)</f>
        <v>0</v>
      </c>
      <c r="BH1453" s="51" t="n">
        <f aca="false">IF(AND(OR(CF1453="L1",CF1453="L23",CF1453="LIFT"),BC1453&gt;0),SUMIFS($BC$7:$BC$1843,$CF$7:$CF$1843,CF1453,$BG$7:$BG$1843,"&gt;"&amp;BG1453)+SUMIFS($BC$7:$BC$1843,$CF$7:$CF$1843,CF1453,$BG$7:$BG$1843,BG1453,$BW$7:$BW$1843,"&lt;="&amp;BW1453),"")</f>
        <v>29985.0636731442</v>
      </c>
      <c r="BI1453" s="58" t="n">
        <f aca="false">IF(BH1453="",0,MAX(0,MIN(1,(IF(CF1453="L1",Parameter!$H$5,IF(CF1453="L23",Parameter!$H$6+Parameter!$H$7,Parameter!$H$5+Parameter!$H$6+Parameter!$H$7))-(BH1453-BC1453))/BC1453)))</f>
        <v>1</v>
      </c>
      <c r="BJ1453" s="48" t="str">
        <f aca="false">IF(AI1453&lt;=0,"",IF(CF1453="Aussen","Aussenlager",IF(CF1453="-","Nicht im Lift",IF(AO1453&gt;=1,"Lift",IF(AO1453&lt;=0,"Aussenlager","teilweise")))))</f>
        <v/>
      </c>
      <c r="BK1453" s="48" t="str">
        <f aca="false">IF(AS1453&lt;=0,"",IF(CF1453="Aussen","Aussenlager",IF(CF1453="-","Nicht im Lift",IF(AY1453&gt;=1,"Lift",IF(AY1453&lt;=0,"Aussenlager","teilweise")))))</f>
        <v>Aussenlager</v>
      </c>
      <c r="BL1453" s="48" t="str">
        <f aca="false">IF(BC1453&lt;=0,"",IF(CF1453="Aussen","Aussenlager",IF(CF1453="-","Nicht im Lift",IF(BI1453&gt;=1,"Lift",IF(BI1453&lt;=0,"Aussenlager","teilweise")))))</f>
        <v>Lift</v>
      </c>
      <c r="BM1453" s="48" t="str">
        <f aca="false">IF(A1453="","",IF(BV1453=1,"Neu; ","")&amp;IF(AND(BV1453=0,BQ1453&lt;0),"negativer Bestand (Export "&amp;BQ1453&amp;"); ","")&amp;IF(J1453&lt;=0,"Kein Verbrauch; ","")&amp;IF(CQ1453&gt;0,"Lift "&amp;W1453&amp;" lt. Liftbericht (Fach "&amp;X1453&amp;" Stk); ",IF(CA1453=1,"Gebinde geschätzt ("&amp;T1453&amp;"); ",IF(BZ1453=1,"Lose – Tablare geschätzt; ","")))&amp;IF(H1453&gt;AV1453,"Überbestand "&amp;ROUND(H1453-AV1453,0)&amp;" Stk / CHF "&amp;ROUND((H1453-AV1453)*G1453,0)&amp;"; ","")&amp;IF(AND(CH1453=1,CI1453&lt;CJ1453),"MAX &lt; MB+LG; ","")&amp;IF(AND(CP1453&gt;0,CO1453*10&gt;CP1453),"zu hoch für Tablar; ","")&amp;IF(AND(BV1453=0,OR(CH1453=1,AA1453&lt;&gt;"",U1453&lt;&gt;"",V1453&lt;&gt;"",AB1453&lt;&gt;"")),"manuell übersteuert; ","")&amp;IF(AND(BZ1453=0,R1453=0),"Gebinde unbekannt / Stellmass fehlt; ","")&amp;IF(AND(BZ1453=0,N(V1453)&lt;=0,N(Q1453)&lt;=0),"Menge pro Gebinde fehlt (Ist = 1 Gebinde); ","")&amp;BU1453)</f>
        <v>negativer Bestand (Export -9); Kein Verbrauch; Gebinde geschätzt (Mittel); Menge pro Gebinde fehlt (Ist = 1 Gebinde); </v>
      </c>
      <c r="BN1453" s="48"/>
      <c r="BO1453" s="48"/>
      <c r="BP1453" s="55"/>
      <c r="BQ1453" s="50" t="n">
        <v>-9</v>
      </c>
      <c r="BR1453" s="50" t="n">
        <v>0</v>
      </c>
      <c r="BS1453" s="49" t="n">
        <v>-13691.61</v>
      </c>
      <c r="BT1453" s="50" t="n">
        <v>0</v>
      </c>
      <c r="BU1453" s="48"/>
      <c r="BV1453" s="53" t="n">
        <v>0</v>
      </c>
      <c r="BW1453" s="53" t="n">
        <v>1453</v>
      </c>
      <c r="BX1453" s="48" t="str">
        <f aca="false">IF(U1453&lt;&gt;"",UPPER(TRIM(U1453)),IF(CA1453=1,UPPER(VLOOKUP(T1453,Parameter!$I$27:$K$29,2,0)),IF(P1453="","LOSE",P1453)))</f>
        <v>S61</v>
      </c>
      <c r="BY1453" s="50" t="n">
        <f aca="false">IF(BX1453="LOSE",1,IF(N(V1453)&gt;0,V1453,IF(CA1453=1,MAX(1,N(VLOOKUP(T1453,Parameter!$I$27:$K$29,3,0)),H1453,N(N1453)),IF(N(Q1453)&gt;0,Q1453,MAX(1,H1453)))))</f>
        <v>4</v>
      </c>
      <c r="BZ1453" s="53" t="n">
        <f aca="false">IF(BX1453="LOSE",1,0)</f>
        <v>0</v>
      </c>
      <c r="CA1453" s="53" t="n">
        <f aca="false">IF(AND(U1453="",OR(P1453="",P1453="LOSE"),T1453&lt;&gt;"",N(S1453)&lt;=0,ISNUMBER(MATCH(T1453,Parameter!$I$27:$I$29,0))),1,0)</f>
        <v>1</v>
      </c>
      <c r="CB1453" s="53" t="n">
        <f aca="false">IF(CQ1453&gt;0,INDEX(Parameter!$H$5:$H$7,W1453)/INDEX(Parameter!$E$5:$E$7,W1453),IF(AND(BZ1453=0,N(IFERROR(VLOOKUP(BX1453,'Gebinde-Kategorie'!$A$5:$N$45,14,0),0))&gt;0),VLOOKUP(BX1453,'Gebinde-Kategorie'!$A$5:$N$45,14,0)*10+Parameter!$M$23,Parameter!$M$24))</f>
        <v>145</v>
      </c>
      <c r="CC1453" s="48" t="str">
        <f aca="false">IF(AND(Parameter!$B$19="Ja",E1453&lt;&gt;"",ISNUMBER(MATCH(E1453,Parameter!$I$35:$I$52,0))),VLOOKUP(E1453,Parameter!$I$35:$J$52,2,0),IFERROR(VLOOKUP(D1453,Parameter!$A$35:$C$64,2,0),"Nein"))</f>
        <v>2+3</v>
      </c>
      <c r="CD1453" s="52" t="n">
        <f aca="false">IF(BZ1453=0,0,IF(N(S1453)&gt;0,S1453,IFERROR(VLOOKUP(D1453,Parameter!$A$35:$C$64,3,0)+0,0)))</f>
        <v>0</v>
      </c>
      <c r="CE1453" s="48" t="n">
        <f aca="false">IF(AA1453&lt;&gt;"",AA1453,Z1453)</f>
        <v>2</v>
      </c>
      <c r="CF1453" s="48" t="str">
        <f aca="false">IF(OR(CE1453=1,CE1453=2,CE1453=3),IF(Parameter!$E$27="Ja","LIFT",IF(CE1453=1,"L1","L23")),IF(CE1453="Aussen","Aussen","-"))</f>
        <v>LIFT</v>
      </c>
      <c r="CG1453" s="59" t="n">
        <f aca="false">IF(N(AB1453)&gt;0,AB1453,0)</f>
        <v>0</v>
      </c>
      <c r="CH1453" s="53" t="n">
        <f aca="false">IF(ISNUMBER(AE1453),1,0)</f>
        <v>0</v>
      </c>
      <c r="CI1453" s="50" t="n">
        <f aca="false">N(AE1453)</f>
        <v>0</v>
      </c>
      <c r="CJ1453" s="50" t="n">
        <f aca="false">N(M1453)+N(N1453)</f>
        <v>1</v>
      </c>
      <c r="CK1453" s="50" t="n">
        <f aca="false">N(M1453)</f>
        <v>0</v>
      </c>
      <c r="CL1453" s="50" t="n">
        <f aca="false">N(N1453)</f>
        <v>1</v>
      </c>
      <c r="CM1453" s="50" t="n">
        <f aca="false">ROUNDUP(H1453/BY1453,0)</f>
        <v>0</v>
      </c>
      <c r="CN1453" s="50" t="n">
        <f aca="false">ROUNDUP(CI1453/BY1453,0)</f>
        <v>0</v>
      </c>
      <c r="CO1453" s="53" t="n">
        <f aca="false">IF(BZ1453=1,0,IFERROR(VLOOKUP(BX1453,'Gebinde-Kategorie'!$A$5:$N$45,5,0)+0,0))</f>
        <v>11</v>
      </c>
      <c r="CP1453" s="53" t="n">
        <f aca="false">IFERROR(IF(OR(CE1453=1,CE1453=2,CE1453=3),N(INDEX(Parameter!$I$5:$I$7,CE1453)),0),0)</f>
        <v>0</v>
      </c>
      <c r="CQ1453" s="52" t="n">
        <f aca="false">IF(AND(Parameter!$B$21="Ja",ISNUMBER(W1453),N(X1453)&gt;0),IFERROR(N(INDEX(Parameter!$L$5:$L$7,W1453))*INDEX(Parameter!$E$5:$E$7,W1453)*X1453/SUMIFS($X$7:$X$1843,$W$7:$W$1843,W1453),0),0)</f>
        <v>0</v>
      </c>
    </row>
    <row r="1454" customFormat="false" ht="15" hidden="false" customHeight="false" outlineLevel="0" collapsed="false">
      <c r="A1454" s="48" t="s">
        <v>2552</v>
      </c>
      <c r="B1454" s="48" t="s">
        <v>2228</v>
      </c>
      <c r="C1454" s="48" t="s">
        <v>173</v>
      </c>
      <c r="D1454" s="48" t="s">
        <v>193</v>
      </c>
      <c r="E1454" s="48" t="s">
        <v>194</v>
      </c>
      <c r="F1454" s="48"/>
      <c r="G1454" s="49" t="n">
        <v>167.8</v>
      </c>
      <c r="H1454" s="50" t="n">
        <f aca="false">MAX(0,IF(AND(Parameter!$B$21="Ja",ISNUMBER(Y1454)),Y1454,IF(Parameter!$B$20="Jahresanfang 2025 + Export",BR1454+BQ1454,BQ1454)))</f>
        <v>0</v>
      </c>
      <c r="I1454" s="50" t="n">
        <f aca="false">H1454*G1454</f>
        <v>0</v>
      </c>
      <c r="J1454" s="50" t="n">
        <f aca="false">BT1454*Parameter!$B$18</f>
        <v>4</v>
      </c>
      <c r="K1454" s="51"/>
      <c r="L1454" s="52"/>
      <c r="M1454" s="50" t="n">
        <v>0</v>
      </c>
      <c r="N1454" s="50" t="n">
        <v>5</v>
      </c>
      <c r="O1454" s="53"/>
      <c r="P1454" s="48" t="s">
        <v>311</v>
      </c>
      <c r="Q1454" s="50" t="n">
        <v>10</v>
      </c>
      <c r="R1454" s="53" t="n">
        <f aca="false">IF(BZ1454=1,0,IFERROR(VLOOKUP(BX1454,'Gebinde-Kategorie'!$A$5:$N$45,13,0)+0,0))</f>
        <v>26</v>
      </c>
      <c r="S1454" s="54"/>
      <c r="T1454" s="55"/>
      <c r="U1454" s="55"/>
      <c r="V1454" s="55"/>
      <c r="W1454" s="48"/>
      <c r="X1454" s="50"/>
      <c r="Y1454" s="50"/>
      <c r="Z1454" s="48" t="n">
        <f aca="false">IF(A1454="","",IF(AND(Parameter!$B$21="Ja",ISNUMBER(W1454)),W1454,IF(CC1454="2+3",IF(ISNUMBER(SEARCH("grosser Artikel",BU1454)),2,IFERROR(VLOOKUP(BX1454,Parameter!$F$35:$G$64,2,0),2)),IF(OR(CC1454="Nein",CC1454=""),"-",CC1454))))</f>
        <v>3</v>
      </c>
      <c r="AA1454" s="55"/>
      <c r="AB1454" s="56"/>
      <c r="AC1454" s="50" t="n">
        <f aca="false">AV1454</f>
        <v>5</v>
      </c>
      <c r="AD1454" s="50" t="n">
        <f aca="false">MAX(AV1454,H1454)</f>
        <v>5</v>
      </c>
      <c r="AE1454" s="57"/>
      <c r="AF1454" s="50" t="n">
        <f aca="false">IF(LEFT(Cockpit!$C$5,1)="A",H1454,IF(Parameter!$E$30="MAX-Bestand",IF(CH1454=1,CI1454,IF(LEFT(Cockpit!$C$5,1)="B",AL1454,MAX(AL1454,H1454))),ROUNDUP(AJ1454,0)))</f>
        <v>0</v>
      </c>
      <c r="AG1454" s="50" t="n">
        <f aca="false">IF(BZ1454=1,0,ROUNDUP(AF1454/BY1454,0))</f>
        <v>0</v>
      </c>
      <c r="AH1454" s="52" t="n">
        <f aca="false">IF(CQ1454&gt;0,CQ1454*MAX(1,AF1454/X1454),IF(BZ1454=1,IF(AF1454&lt;=0,0,CD1454*MAX(1,IF(H1454&gt;0,AF1454/H1454,1))),IF(R1454&gt;0,AG1454/R1454,0))/MAX(0.1,N(Parameter!$M$21)))</f>
        <v>0</v>
      </c>
      <c r="AI1454" s="50" t="n">
        <f aca="false">AH1454*CB1454</f>
        <v>0</v>
      </c>
      <c r="AJ1454" s="51" t="n">
        <f aca="false">IF(LEFT(Cockpit!$C$5,1)="A",H1454,IF(CH1454=1,(CK1454+CI1454)/2,IF(LEFT(Cockpit!$C$5,1)="B",(CK1454+AL1454)/2,MAX((CK1454+AL1454)/2,H1454))))</f>
        <v>0</v>
      </c>
      <c r="AK1454" s="50" t="n">
        <f aca="false">AJ1454*G1454</f>
        <v>0</v>
      </c>
      <c r="AL1454" s="50" t="n">
        <f aca="false">ROUNDUP(CK1454+MAX(CL1454,2*(J1454/IF(CG1454&gt;0,CG1454,MAX(0.1,N(Cockpit!$C$6)))-CK1454)),0)</f>
        <v>5</v>
      </c>
      <c r="AM1454" s="51" t="n">
        <f aca="false">IF(AI1454&gt;0,J1454/AI1454,-1)</f>
        <v>-1</v>
      </c>
      <c r="AN1454" s="51" t="str">
        <f aca="false">IF(AND(OR(CF1454="L1",CF1454="L23",CF1454="LIFT"),AI1454&gt;0),SUMIFS($AI$7:$AI$1843,$CF$7:$CF$1843,CF1454,$AM$7:$AM$1843,"&gt;"&amp;AM1454)+SUMIFS($AI$7:$AI$1843,$CF$7:$CF$1843,CF1454,$AM$7:$AM$1843,AM1454,$BW$7:$BW$1843,"&lt;="&amp;BW1454),"")</f>
        <v/>
      </c>
      <c r="AO1454" s="58" t="n">
        <f aca="false">IF(AN1454="",0,MAX(0,MIN(1,(IF(CF1454="L1",Parameter!$H$5,IF(CF1454="L23",Parameter!$H$6+Parameter!$H$7,Parameter!$H$5+Parameter!$H$6+Parameter!$H$7))-(AN1454-AI1454))/AI1454)))</f>
        <v>0</v>
      </c>
      <c r="AP1454" s="50" t="n">
        <f aca="false">IF(LEFT(Cockpit!$I$5,1)="A",H1454,IF(Parameter!$E$30="MAX-Bestand",IF(CH1454=1,CI1454,IF(LEFT(Cockpit!$I$5,1)="B",AV1454,MAX(AV1454,H1454))),ROUNDUP(AT1454,0)))</f>
        <v>3</v>
      </c>
      <c r="AQ1454" s="50" t="n">
        <f aca="false">IF(BZ1454=1,0,ROUNDUP(AP1454/BY1454,0))</f>
        <v>1</v>
      </c>
      <c r="AR1454" s="52" t="n">
        <f aca="false">IF(CQ1454&gt;0,CQ1454*MAX(1,AP1454/X1454),IF(BZ1454=1,IF(AP1454&lt;=0,0,CD1454*MAX(1,IF(H1454&gt;0,AP1454/H1454,1))),IF(R1454&gt;0,AQ1454/R1454,0))/MAX(0.1,N(Parameter!$M$21)))</f>
        <v>0.0384615384615385</v>
      </c>
      <c r="AS1454" s="50" t="n">
        <f aca="false">AR1454*CB1454</f>
        <v>5.96153846153846</v>
      </c>
      <c r="AT1454" s="51" t="n">
        <f aca="false">IF(LEFT(Cockpit!$I$5,1)="A",H1454,IF(CH1454=1,(CK1454+CI1454)/2,IF(LEFT(Cockpit!$I$5,1)="B",(CK1454+AV1454)/2,MAX((CK1454+AV1454)/2,H1454))))</f>
        <v>2.5</v>
      </c>
      <c r="AU1454" s="50" t="n">
        <f aca="false">AT1454*G1454</f>
        <v>419.5</v>
      </c>
      <c r="AV1454" s="50" t="n">
        <f aca="false">ROUNDUP(CK1454+MAX(CL1454,2*(J1454/IF(CG1454&gt;0,CG1454,MAX(0.1,N(Cockpit!$I$6)))-CK1454)),0)</f>
        <v>5</v>
      </c>
      <c r="AW1454" s="51" t="n">
        <f aca="false">IF(AS1454&gt;0,J1454/AS1454,-1)</f>
        <v>0.670967741935484</v>
      </c>
      <c r="AX1454" s="51" t="n">
        <f aca="false">IF(AND(OR(CF1454="L1",CF1454="L23",CF1454="LIFT"),AS1454&gt;0),SUMIFS($AS$7:$AS$1843,$CF$7:$CF$1843,CF1454,$AW$7:$AW$1843,"&gt;"&amp;AW1454)+SUMIFS($AS$7:$AS$1843,$CF$7:$CF$1843,CF1454,$AW$7:$AW$1843,AW1454,$BW$7:$BW$1843,"&lt;="&amp;BW1454),"")</f>
        <v>10953.5009157509</v>
      </c>
      <c r="AY1454" s="58" t="n">
        <f aca="false">IF(AX1454="",0,MAX(0,MIN(1,(IF(CF1454="L1",Parameter!$H$5,IF(CF1454="L23",Parameter!$H$6+Parameter!$H$7,Parameter!$H$5+Parameter!$H$6+Parameter!$H$7))-(AX1454-AS1454))/AS1454)))</f>
        <v>1</v>
      </c>
      <c r="AZ1454" s="50" t="n">
        <f aca="false">IF(LEFT(Cockpit!$O$5,1)="A",H1454,IF(Parameter!$E$30="MAX-Bestand",IF(CH1454=1,CI1454,IF(LEFT(Cockpit!$O$5,1)="B",BF1454,MAX(BF1454,H1454))),ROUNDUP(BD1454,0)))</f>
        <v>3</v>
      </c>
      <c r="BA1454" s="50" t="n">
        <f aca="false">IF(BZ1454=1,0,ROUNDUP(AZ1454/BY1454,0))</f>
        <v>1</v>
      </c>
      <c r="BB1454" s="52" t="n">
        <f aca="false">IF(CQ1454&gt;0,CQ1454*MAX(1,AZ1454/X1454),IF(BZ1454=1,IF(AZ1454&lt;=0,0,CD1454*MAX(1,IF(H1454&gt;0,AZ1454/H1454,1))),IF(R1454&gt;0,BA1454/R1454,0))/MAX(0.1,N(Parameter!$M$21)))</f>
        <v>0.0384615384615385</v>
      </c>
      <c r="BC1454" s="50" t="n">
        <f aca="false">BB1454*CB1454</f>
        <v>5.96153846153846</v>
      </c>
      <c r="BD1454" s="51" t="n">
        <f aca="false">IF(LEFT(Cockpit!$O$5,1)="A",H1454,IF(CH1454=1,(CK1454+CI1454)/2,IF(LEFT(Cockpit!$O$5,1)="B",(CK1454+BF1454)/2,MAX((CK1454+BF1454)/2,H1454))))</f>
        <v>2.5</v>
      </c>
      <c r="BE1454" s="50" t="n">
        <f aca="false">BD1454*G1454</f>
        <v>419.5</v>
      </c>
      <c r="BF1454" s="50" t="n">
        <f aca="false">ROUNDUP(CK1454+MAX(CL1454,2*(J1454/IF(CG1454&gt;0,CG1454,MAX(0.1,N(Cockpit!$O$6)))-CK1454)),0)</f>
        <v>5</v>
      </c>
      <c r="BG1454" s="51" t="n">
        <f aca="false">IF(BC1454&gt;0,J1454/BC1454,-1)</f>
        <v>0.670967741935484</v>
      </c>
      <c r="BH1454" s="51" t="n">
        <f aca="false">IF(AND(OR(CF1454="L1",CF1454="L23",CF1454="LIFT"),BC1454&gt;0),SUMIFS($BC$7:$BC$1843,$CF$7:$CF$1843,CF1454,$BG$7:$BG$1843,"&gt;"&amp;BG1454)+SUMIFS($BC$7:$BC$1843,$CF$7:$CF$1843,CF1454,$BG$7:$BG$1843,BG1454,$BW$7:$BW$1843,"&lt;="&amp;BW1454),"")</f>
        <v>9566.11584249084</v>
      </c>
      <c r="BI1454" s="58" t="n">
        <f aca="false">IF(BH1454="",0,MAX(0,MIN(1,(IF(CF1454="L1",Parameter!$H$5,IF(CF1454="L23",Parameter!$H$6+Parameter!$H$7,Parameter!$H$5+Parameter!$H$6+Parameter!$H$7))-(BH1454-BC1454))/BC1454)))</f>
        <v>1</v>
      </c>
      <c r="BJ1454" s="48" t="str">
        <f aca="false">IF(AI1454&lt;=0,"",IF(CF1454="Aussen","Aussenlager",IF(CF1454="-","Nicht im Lift",IF(AO1454&gt;=1,"Lift",IF(AO1454&lt;=0,"Aussenlager","teilweise")))))</f>
        <v/>
      </c>
      <c r="BK1454" s="48" t="str">
        <f aca="false">IF(AS1454&lt;=0,"",IF(CF1454="Aussen","Aussenlager",IF(CF1454="-","Nicht im Lift",IF(AY1454&gt;=1,"Lift",IF(AY1454&lt;=0,"Aussenlager","teilweise")))))</f>
        <v>Lift</v>
      </c>
      <c r="BL1454" s="48" t="str">
        <f aca="false">IF(BC1454&lt;=0,"",IF(CF1454="Aussen","Aussenlager",IF(CF1454="-","Nicht im Lift",IF(BI1454&gt;=1,"Lift",IF(BI1454&lt;=0,"Aussenlager","teilweise")))))</f>
        <v>Lift</v>
      </c>
      <c r="BM1454" s="48" t="str">
        <f aca="false">IF(A1454="","",IF(BV1454=1,"Neu; ","")&amp;IF(AND(BV1454=0,BQ1454&lt;0),"negativer Bestand (Export "&amp;BQ1454&amp;"); ","")&amp;IF(J1454&lt;=0,"Kein Verbrauch; ","")&amp;IF(CQ1454&gt;0,"Lift "&amp;W1454&amp;" lt. Liftbericht (Fach "&amp;X1454&amp;" Stk); ",IF(CA1454=1,"Gebinde geschätzt ("&amp;T1454&amp;"); ",IF(BZ1454=1,"Lose – Tablare geschätzt; ","")))&amp;IF(H1454&gt;AV1454,"Überbestand "&amp;ROUND(H1454-AV1454,0)&amp;" Stk / CHF "&amp;ROUND((H1454-AV1454)*G1454,0)&amp;"; ","")&amp;IF(AND(CH1454=1,CI1454&lt;CJ1454),"MAX &lt; MB+LG; ","")&amp;IF(AND(CP1454&gt;0,CO1454*10&gt;CP1454),"zu hoch für Tablar; ","")&amp;IF(AND(BV1454=0,OR(CH1454=1,AA1454&lt;&gt;"",U1454&lt;&gt;"",V1454&lt;&gt;"",AB1454&lt;&gt;"")),"manuell übersteuert; ","")&amp;IF(AND(BZ1454=0,R1454=0),"Gebinde unbekannt / Stellmass fehlt; ","")&amp;IF(AND(BZ1454=0,N(V1454)&lt;=0,N(Q1454)&lt;=0),"Menge pro Gebinde fehlt (Ist = 1 Gebinde); ","")&amp;BU1454)</f>
        <v>negativer Bestand (Export -89); Neu</v>
      </c>
      <c r="BN1454" s="48"/>
      <c r="BO1454" s="48"/>
      <c r="BP1454" s="55"/>
      <c r="BQ1454" s="50" t="n">
        <v>-89</v>
      </c>
      <c r="BR1454" s="50" t="n">
        <v>0</v>
      </c>
      <c r="BS1454" s="49" t="n">
        <v>-14934.2</v>
      </c>
      <c r="BT1454" s="50" t="n">
        <v>4</v>
      </c>
      <c r="BU1454" s="48" t="s">
        <v>635</v>
      </c>
      <c r="BV1454" s="53" t="n">
        <v>0</v>
      </c>
      <c r="BW1454" s="53" t="n">
        <v>1454</v>
      </c>
      <c r="BX1454" s="48" t="str">
        <f aca="false">IF(U1454&lt;&gt;"",UPPER(TRIM(U1454)),IF(CA1454=1,UPPER(VLOOKUP(T1454,Parameter!$I$27:$K$29,2,0)),IF(P1454="","LOSE",P1454)))</f>
        <v>S51</v>
      </c>
      <c r="BY1454" s="50" t="n">
        <f aca="false">IF(BX1454="LOSE",1,IF(N(V1454)&gt;0,V1454,IF(CA1454=1,MAX(1,N(VLOOKUP(T1454,Parameter!$I$27:$K$29,3,0)),H1454,N(N1454)),IF(N(Q1454)&gt;0,Q1454,MAX(1,H1454)))))</f>
        <v>10</v>
      </c>
      <c r="BZ1454" s="53" t="n">
        <f aca="false">IF(BX1454="LOSE",1,0)</f>
        <v>0</v>
      </c>
      <c r="CA1454" s="53" t="n">
        <f aca="false">IF(AND(U1454="",OR(P1454="",P1454="LOSE"),T1454&lt;&gt;"",N(S1454)&lt;=0,ISNUMBER(MATCH(T1454,Parameter!$I$27:$I$29,0))),1,0)</f>
        <v>0</v>
      </c>
      <c r="CB1454" s="53" t="n">
        <f aca="false">IF(CQ1454&gt;0,INDEX(Parameter!$H$5:$H$7,W1454)/INDEX(Parameter!$E$5:$E$7,W1454),IF(AND(BZ1454=0,N(IFERROR(VLOOKUP(BX1454,'Gebinde-Kategorie'!$A$5:$N$45,14,0),0))&gt;0),VLOOKUP(BX1454,'Gebinde-Kategorie'!$A$5:$N$45,14,0)*10+Parameter!$M$23,Parameter!$M$24))</f>
        <v>155</v>
      </c>
      <c r="CC1454" s="48" t="str">
        <f aca="false">IF(AND(Parameter!$B$19="Ja",E1454&lt;&gt;"",ISNUMBER(MATCH(E1454,Parameter!$I$35:$I$52,0))),VLOOKUP(E1454,Parameter!$I$35:$J$52,2,0),IFERROR(VLOOKUP(D1454,Parameter!$A$35:$C$64,2,0),"Nein"))</f>
        <v>2+3</v>
      </c>
      <c r="CD1454" s="52" t="n">
        <f aca="false">IF(BZ1454=0,0,IF(N(S1454)&gt;0,S1454,IFERROR(VLOOKUP(D1454,Parameter!$A$35:$C$64,3,0)+0,0)))</f>
        <v>0</v>
      </c>
      <c r="CE1454" s="48" t="n">
        <f aca="false">IF(AA1454&lt;&gt;"",AA1454,Z1454)</f>
        <v>3</v>
      </c>
      <c r="CF1454" s="48" t="str">
        <f aca="false">IF(OR(CE1454=1,CE1454=2,CE1454=3),IF(Parameter!$E$27="Ja","LIFT",IF(CE1454=1,"L1","L23")),IF(CE1454="Aussen","Aussen","-"))</f>
        <v>LIFT</v>
      </c>
      <c r="CG1454" s="59" t="n">
        <f aca="false">IF(N(AB1454)&gt;0,AB1454,0)</f>
        <v>0</v>
      </c>
      <c r="CH1454" s="53" t="n">
        <f aca="false">IF(ISNUMBER(AE1454),1,0)</f>
        <v>0</v>
      </c>
      <c r="CI1454" s="50" t="n">
        <f aca="false">N(AE1454)</f>
        <v>0</v>
      </c>
      <c r="CJ1454" s="50" t="n">
        <f aca="false">N(M1454)+N(N1454)</f>
        <v>5</v>
      </c>
      <c r="CK1454" s="50" t="n">
        <f aca="false">N(M1454)</f>
        <v>0</v>
      </c>
      <c r="CL1454" s="50" t="n">
        <f aca="false">N(N1454)</f>
        <v>5</v>
      </c>
      <c r="CM1454" s="50" t="n">
        <f aca="false">ROUNDUP(H1454/BY1454,0)</f>
        <v>0</v>
      </c>
      <c r="CN1454" s="50" t="n">
        <f aca="false">ROUNDUP(CI1454/BY1454,0)</f>
        <v>0</v>
      </c>
      <c r="CO1454" s="53" t="n">
        <f aca="false">IF(BZ1454=1,0,IFERROR(VLOOKUP(BX1454,'Gebinde-Kategorie'!$A$5:$N$45,5,0)+0,0))</f>
        <v>11</v>
      </c>
      <c r="CP1454" s="53" t="n">
        <f aca="false">IFERROR(IF(OR(CE1454=1,CE1454=2,CE1454=3),N(INDEX(Parameter!$I$5:$I$7,CE1454)),0),0)</f>
        <v>0</v>
      </c>
      <c r="CQ1454" s="52" t="n">
        <f aca="false">IF(AND(Parameter!$B$21="Ja",ISNUMBER(W1454),N(X1454)&gt;0),IFERROR(N(INDEX(Parameter!$L$5:$L$7,W1454))*INDEX(Parameter!$E$5:$E$7,W1454)*X1454/SUMIFS($X$7:$X$1843,$W$7:$W$1843,W1454),0),0)</f>
        <v>0</v>
      </c>
    </row>
    <row r="1455" customFormat="false" ht="15" hidden="false" customHeight="false" outlineLevel="0" collapsed="false">
      <c r="A1455" s="48" t="s">
        <v>2553</v>
      </c>
      <c r="B1455" s="48" t="s">
        <v>2554</v>
      </c>
      <c r="C1455" s="48" t="s">
        <v>176</v>
      </c>
      <c r="D1455" s="48" t="s">
        <v>1397</v>
      </c>
      <c r="E1455" s="48" t="s">
        <v>1488</v>
      </c>
      <c r="F1455" s="48"/>
      <c r="G1455" s="49" t="n">
        <v>3762.62</v>
      </c>
      <c r="H1455" s="50" t="n">
        <f aca="false">MAX(0,IF(AND(Parameter!$B$21="Ja",ISNUMBER(Y1455)),Y1455,IF(Parameter!$B$20="Jahresanfang 2025 + Export",BR1455+BQ1455,BQ1455)))</f>
        <v>0</v>
      </c>
      <c r="I1455" s="50" t="n">
        <f aca="false">H1455*G1455</f>
        <v>0</v>
      </c>
      <c r="J1455" s="50" t="n">
        <f aca="false">BT1455*Parameter!$B$18</f>
        <v>20</v>
      </c>
      <c r="K1455" s="51"/>
      <c r="L1455" s="52"/>
      <c r="M1455" s="50" t="n">
        <v>0</v>
      </c>
      <c r="N1455" s="50" t="n">
        <v>1</v>
      </c>
      <c r="O1455" s="53"/>
      <c r="P1455" s="48" t="s">
        <v>177</v>
      </c>
      <c r="Q1455" s="50"/>
      <c r="R1455" s="53" t="n">
        <f aca="false">IF(BZ1455=1,0,IFERROR(VLOOKUP(BX1455,'Gebinde-Kategorie'!$A$5:$N$45,13,0)+0,0))</f>
        <v>0</v>
      </c>
      <c r="S1455" s="54"/>
      <c r="T1455" s="55"/>
      <c r="U1455" s="55"/>
      <c r="V1455" s="55"/>
      <c r="W1455" s="48"/>
      <c r="X1455" s="50"/>
      <c r="Y1455" s="50"/>
      <c r="Z1455" s="48" t="str">
        <f aca="false">IF(A1455="","",IF(AND(Parameter!$B$21="Ja",ISNUMBER(W1455)),W1455,IF(CC1455="2+3",IF(ISNUMBER(SEARCH("grosser Artikel",BU1455)),2,IFERROR(VLOOKUP(BX1455,Parameter!$F$35:$G$64,2,0),2)),IF(OR(CC1455="Nein",CC1455=""),"-",CC1455))))</f>
        <v>-</v>
      </c>
      <c r="AA1455" s="55"/>
      <c r="AB1455" s="56"/>
      <c r="AC1455" s="50" t="n">
        <f aca="false">AV1455</f>
        <v>14</v>
      </c>
      <c r="AD1455" s="50" t="n">
        <f aca="false">MAX(AV1455,H1455)</f>
        <v>14</v>
      </c>
      <c r="AE1455" s="57"/>
      <c r="AF1455" s="50" t="n">
        <f aca="false">IF(LEFT(Cockpit!$C$5,1)="A",H1455,IF(Parameter!$E$30="MAX-Bestand",IF(CH1455=1,CI1455,IF(LEFT(Cockpit!$C$5,1)="B",AL1455,MAX(AL1455,H1455))),ROUNDUP(AJ1455,0)))</f>
        <v>0</v>
      </c>
      <c r="AG1455" s="50" t="n">
        <f aca="false">IF(BZ1455=1,0,ROUNDUP(AF1455/BY1455,0))</f>
        <v>0</v>
      </c>
      <c r="AH1455" s="52" t="n">
        <f aca="false">IF(CQ1455&gt;0,CQ1455*MAX(1,AF1455/X1455),IF(BZ1455=1,IF(AF1455&lt;=0,0,CD1455*MAX(1,IF(H1455&gt;0,AF1455/H1455,1))),IF(R1455&gt;0,AG1455/R1455,0))/MAX(0.1,N(Parameter!$M$21)))</f>
        <v>0</v>
      </c>
      <c r="AI1455" s="50" t="n">
        <f aca="false">AH1455*CB1455</f>
        <v>0</v>
      </c>
      <c r="AJ1455" s="51" t="n">
        <f aca="false">IF(LEFT(Cockpit!$C$5,1)="A",H1455,IF(CH1455=1,(CK1455+CI1455)/2,IF(LEFT(Cockpit!$C$5,1)="B",(CK1455+AL1455)/2,MAX((CK1455+AL1455)/2,H1455))))</f>
        <v>0</v>
      </c>
      <c r="AK1455" s="50" t="n">
        <f aca="false">AJ1455*G1455</f>
        <v>0</v>
      </c>
      <c r="AL1455" s="50" t="n">
        <f aca="false">ROUNDUP(CK1455+MAX(CL1455,2*(J1455/IF(CG1455&gt;0,CG1455,MAX(0.1,N(Cockpit!$C$6)))-CK1455)),0)</f>
        <v>14</v>
      </c>
      <c r="AM1455" s="51" t="n">
        <f aca="false">IF(AI1455&gt;0,J1455/AI1455,-1)</f>
        <v>-1</v>
      </c>
      <c r="AN1455" s="51" t="str">
        <f aca="false">IF(AND(OR(CF1455="L1",CF1455="L23",CF1455="LIFT"),AI1455&gt;0),SUMIFS($AI$7:$AI$1843,$CF$7:$CF$1843,CF1455,$AM$7:$AM$1843,"&gt;"&amp;AM1455)+SUMIFS($AI$7:$AI$1843,$CF$7:$CF$1843,CF1455,$AM$7:$AM$1843,AM1455,$BW$7:$BW$1843,"&lt;="&amp;BW1455),"")</f>
        <v/>
      </c>
      <c r="AO1455" s="58" t="n">
        <f aca="false">IF(AN1455="",0,MAX(0,MIN(1,(IF(CF1455="L1",Parameter!$H$5,IF(CF1455="L23",Parameter!$H$6+Parameter!$H$7,Parameter!$H$5+Parameter!$H$6+Parameter!$H$7))-(AN1455-AI1455))/AI1455)))</f>
        <v>0</v>
      </c>
      <c r="AP1455" s="50" t="n">
        <f aca="false">IF(LEFT(Cockpit!$I$5,1)="A",H1455,IF(Parameter!$E$30="MAX-Bestand",IF(CH1455=1,CI1455,IF(LEFT(Cockpit!$I$5,1)="B",AV1455,MAX(AV1455,H1455))),ROUNDUP(AT1455,0)))</f>
        <v>7</v>
      </c>
      <c r="AQ1455" s="50" t="n">
        <f aca="false">IF(BZ1455=1,0,ROUNDUP(AP1455/BY1455,0))</f>
        <v>0</v>
      </c>
      <c r="AR1455" s="52" t="n">
        <f aca="false">IF(CQ1455&gt;0,CQ1455*MAX(1,AP1455/X1455),IF(BZ1455=1,IF(AP1455&lt;=0,0,CD1455*MAX(1,IF(H1455&gt;0,AP1455/H1455,1))),IF(R1455&gt;0,AQ1455/R1455,0))/MAX(0.1,N(Parameter!$M$21)))</f>
        <v>0.15</v>
      </c>
      <c r="AS1455" s="50" t="n">
        <f aca="false">AR1455*CB1455</f>
        <v>35.25</v>
      </c>
      <c r="AT1455" s="51" t="n">
        <f aca="false">IF(LEFT(Cockpit!$I$5,1)="A",H1455,IF(CH1455=1,(CK1455+CI1455)/2,IF(LEFT(Cockpit!$I$5,1)="B",(CK1455+AV1455)/2,MAX((CK1455+AV1455)/2,H1455))))</f>
        <v>7</v>
      </c>
      <c r="AU1455" s="50" t="n">
        <f aca="false">AT1455*G1455</f>
        <v>26338.34</v>
      </c>
      <c r="AV1455" s="50" t="n">
        <f aca="false">ROUNDUP(CK1455+MAX(CL1455,2*(J1455/IF(CG1455&gt;0,CG1455,MAX(0.1,N(Cockpit!$I$6)))-CK1455)),0)</f>
        <v>14</v>
      </c>
      <c r="AW1455" s="51" t="n">
        <f aca="false">IF(AS1455&gt;0,J1455/AS1455,-1)</f>
        <v>0.567375886524823</v>
      </c>
      <c r="AX1455" s="51" t="str">
        <f aca="false">IF(AND(OR(CF1455="L1",CF1455="L23",CF1455="LIFT"),AS1455&gt;0),SUMIFS($AS$7:$AS$1843,$CF$7:$CF$1843,CF1455,$AW$7:$AW$1843,"&gt;"&amp;AW1455)+SUMIFS($AS$7:$AS$1843,$CF$7:$CF$1843,CF1455,$AW$7:$AW$1843,AW1455,$BW$7:$BW$1843,"&lt;="&amp;BW1455),"")</f>
        <v/>
      </c>
      <c r="AY1455" s="58" t="n">
        <f aca="false">IF(AX1455="",0,MAX(0,MIN(1,(IF(CF1455="L1",Parameter!$H$5,IF(CF1455="L23",Parameter!$H$6+Parameter!$H$7,Parameter!$H$5+Parameter!$H$6+Parameter!$H$7))-(AX1455-AS1455))/AS1455)))</f>
        <v>0</v>
      </c>
      <c r="AZ1455" s="50" t="n">
        <f aca="false">IF(LEFT(Cockpit!$O$5,1)="A",H1455,IF(Parameter!$E$30="MAX-Bestand",IF(CH1455=1,CI1455,IF(LEFT(Cockpit!$O$5,1)="B",BF1455,MAX(BF1455,H1455))),ROUNDUP(BD1455,0)))</f>
        <v>5</v>
      </c>
      <c r="BA1455" s="50" t="n">
        <f aca="false">IF(BZ1455=1,0,ROUNDUP(AZ1455/BY1455,0))</f>
        <v>0</v>
      </c>
      <c r="BB1455" s="52" t="n">
        <f aca="false">IF(CQ1455&gt;0,CQ1455*MAX(1,AZ1455/X1455),IF(BZ1455=1,IF(AZ1455&lt;=0,0,CD1455*MAX(1,IF(H1455&gt;0,AZ1455/H1455,1))),IF(R1455&gt;0,BA1455/R1455,0))/MAX(0.1,N(Parameter!$M$21)))</f>
        <v>0.15</v>
      </c>
      <c r="BC1455" s="50" t="n">
        <f aca="false">BB1455*CB1455</f>
        <v>35.25</v>
      </c>
      <c r="BD1455" s="51" t="n">
        <f aca="false">IF(LEFT(Cockpit!$O$5,1)="A",H1455,IF(CH1455=1,(CK1455+CI1455)/2,IF(LEFT(Cockpit!$O$5,1)="B",(CK1455+BF1455)/2,MAX((CK1455+BF1455)/2,H1455))))</f>
        <v>5</v>
      </c>
      <c r="BE1455" s="50" t="n">
        <f aca="false">BD1455*G1455</f>
        <v>18813.1</v>
      </c>
      <c r="BF1455" s="50" t="n">
        <f aca="false">ROUNDUP(CK1455+MAX(CL1455,2*(J1455/IF(CG1455&gt;0,CG1455,MAX(0.1,N(Cockpit!$O$6)))-CK1455)),0)</f>
        <v>10</v>
      </c>
      <c r="BG1455" s="51" t="n">
        <f aca="false">IF(BC1455&gt;0,J1455/BC1455,-1)</f>
        <v>0.567375886524823</v>
      </c>
      <c r="BH1455" s="51" t="str">
        <f aca="false">IF(AND(OR(CF1455="L1",CF1455="L23",CF1455="LIFT"),BC1455&gt;0),SUMIFS($BC$7:$BC$1843,$CF$7:$CF$1843,CF1455,$BG$7:$BG$1843,"&gt;"&amp;BG1455)+SUMIFS($BC$7:$BC$1843,$CF$7:$CF$1843,CF1455,$BG$7:$BG$1843,BG1455,$BW$7:$BW$1843,"&lt;="&amp;BW1455),"")</f>
        <v/>
      </c>
      <c r="BI1455" s="58" t="n">
        <f aca="false">IF(BH1455="",0,MAX(0,MIN(1,(IF(CF1455="L1",Parameter!$H$5,IF(CF1455="L23",Parameter!$H$6+Parameter!$H$7,Parameter!$H$5+Parameter!$H$6+Parameter!$H$7))-(BH1455-BC1455))/BC1455)))</f>
        <v>0</v>
      </c>
      <c r="BJ1455" s="48" t="str">
        <f aca="false">IF(AI1455&lt;=0,"",IF(CF1455="Aussen","Aussenlager",IF(CF1455="-","Nicht im Lift",IF(AO1455&gt;=1,"Lift",IF(AO1455&lt;=0,"Aussenlager","teilweise")))))</f>
        <v/>
      </c>
      <c r="BK1455" s="48" t="str">
        <f aca="false">IF(AS1455&lt;=0,"",IF(CF1455="Aussen","Aussenlager",IF(CF1455="-","Nicht im Lift",IF(AY1455&gt;=1,"Lift",IF(AY1455&lt;=0,"Aussenlager","teilweise")))))</f>
        <v>Nicht im Lift</v>
      </c>
      <c r="BL1455" s="48" t="str">
        <f aca="false">IF(BC1455&lt;=0,"",IF(CF1455="Aussen","Aussenlager",IF(CF1455="-","Nicht im Lift",IF(BI1455&gt;=1,"Lift",IF(BI1455&lt;=0,"Aussenlager","teilweise")))))</f>
        <v>Nicht im Lift</v>
      </c>
      <c r="BM1455" s="48" t="str">
        <f aca="false">IF(A1455="","",IF(BV1455=1,"Neu; ","")&amp;IF(AND(BV1455=0,BQ1455&lt;0),"negativer Bestand (Export "&amp;BQ1455&amp;"); ","")&amp;IF(J1455&lt;=0,"Kein Verbrauch; ","")&amp;IF(CQ1455&gt;0,"Lift "&amp;W1455&amp;" lt. Liftbericht (Fach "&amp;X1455&amp;" Stk); ",IF(CA1455=1,"Gebinde geschätzt ("&amp;T1455&amp;"); ",IF(BZ1455=1,"Lose – Tablare geschätzt; ","")))&amp;IF(H1455&gt;AV1455,"Überbestand "&amp;ROUND(H1455-AV1455,0)&amp;" Stk / CHF "&amp;ROUND((H1455-AV1455)*G1455,0)&amp;"; ","")&amp;IF(AND(CH1455=1,CI1455&lt;CJ1455),"MAX &lt; MB+LG; ","")&amp;IF(AND(CP1455&gt;0,CO1455*10&gt;CP1455),"zu hoch für Tablar; ","")&amp;IF(AND(BV1455=0,OR(CH1455=1,AA1455&lt;&gt;"",U1455&lt;&gt;"",V1455&lt;&gt;"",AB1455&lt;&gt;"")),"manuell übersteuert; ","")&amp;IF(AND(BZ1455=0,R1455=0),"Gebinde unbekannt / Stellmass fehlt; ","")&amp;IF(AND(BZ1455=0,N(V1455)&lt;=0,N(Q1455)&lt;=0),"Menge pro Gebinde fehlt (Ist = 1 Gebinde); ","")&amp;BU1455)</f>
        <v>negativer Bestand (Export -4); Lose – Tablare geschätzt; </v>
      </c>
      <c r="BN1455" s="48"/>
      <c r="BO1455" s="48"/>
      <c r="BP1455" s="55"/>
      <c r="BQ1455" s="50" t="n">
        <v>-4</v>
      </c>
      <c r="BR1455" s="50" t="n">
        <v>0</v>
      </c>
      <c r="BS1455" s="49" t="n">
        <v>-15318.52</v>
      </c>
      <c r="BT1455" s="50" t="n">
        <v>20</v>
      </c>
      <c r="BU1455" s="48"/>
      <c r="BV1455" s="53" t="n">
        <v>0</v>
      </c>
      <c r="BW1455" s="53" t="n">
        <v>1455</v>
      </c>
      <c r="BX1455" s="48" t="str">
        <f aca="false">IF(U1455&lt;&gt;"",UPPER(TRIM(U1455)),IF(CA1455=1,UPPER(VLOOKUP(T1455,Parameter!$I$27:$K$29,2,0)),IF(P1455="","LOSE",P1455)))</f>
        <v>LOSE</v>
      </c>
      <c r="BY1455" s="50" t="n">
        <f aca="false">IF(BX1455="LOSE",1,IF(N(V1455)&gt;0,V1455,IF(CA1455=1,MAX(1,N(VLOOKUP(T1455,Parameter!$I$27:$K$29,3,0)),H1455,N(N1455)),IF(N(Q1455)&gt;0,Q1455,MAX(1,H1455)))))</f>
        <v>1</v>
      </c>
      <c r="BZ1455" s="53" t="n">
        <f aca="false">IF(BX1455="LOSE",1,0)</f>
        <v>1</v>
      </c>
      <c r="CA1455" s="53" t="n">
        <f aca="false">IF(AND(U1455="",OR(P1455="",P1455="LOSE"),T1455&lt;&gt;"",N(S1455)&lt;=0,ISNUMBER(MATCH(T1455,Parameter!$I$27:$I$29,0))),1,0)</f>
        <v>0</v>
      </c>
      <c r="CB1455" s="53" t="n">
        <f aca="false">IF(CQ1455&gt;0,INDEX(Parameter!$H$5:$H$7,W1455)/INDEX(Parameter!$E$5:$E$7,W1455),IF(AND(BZ1455=0,N(IFERROR(VLOOKUP(BX1455,'Gebinde-Kategorie'!$A$5:$N$45,14,0),0))&gt;0),VLOOKUP(BX1455,'Gebinde-Kategorie'!$A$5:$N$45,14,0)*10+Parameter!$M$23,Parameter!$M$24))</f>
        <v>235</v>
      </c>
      <c r="CC1455" s="48" t="str">
        <f aca="false">IF(AND(Parameter!$B$19="Ja",E1455&lt;&gt;"",ISNUMBER(MATCH(E1455,Parameter!$I$35:$I$52,0))),VLOOKUP(E1455,Parameter!$I$35:$J$52,2,0),IFERROR(VLOOKUP(D1455,Parameter!$A$35:$C$64,2,0),"Nein"))</f>
        <v>Nein</v>
      </c>
      <c r="CD1455" s="52" t="n">
        <f aca="false">IF(BZ1455=0,0,IF(N(S1455)&gt;0,S1455,IFERROR(VLOOKUP(D1455,Parameter!$A$35:$C$64,3,0)+0,0)))</f>
        <v>0.15</v>
      </c>
      <c r="CE1455" s="48" t="str">
        <f aca="false">IF(AA1455&lt;&gt;"",AA1455,Z1455)</f>
        <v>-</v>
      </c>
      <c r="CF1455" s="48" t="str">
        <f aca="false">IF(OR(CE1455=1,CE1455=2,CE1455=3),IF(Parameter!$E$27="Ja","LIFT",IF(CE1455=1,"L1","L23")),IF(CE1455="Aussen","Aussen","-"))</f>
        <v>-</v>
      </c>
      <c r="CG1455" s="59" t="n">
        <f aca="false">IF(N(AB1455)&gt;0,AB1455,0)</f>
        <v>0</v>
      </c>
      <c r="CH1455" s="53" t="n">
        <f aca="false">IF(ISNUMBER(AE1455),1,0)</f>
        <v>0</v>
      </c>
      <c r="CI1455" s="50" t="n">
        <f aca="false">N(AE1455)</f>
        <v>0</v>
      </c>
      <c r="CJ1455" s="50" t="n">
        <f aca="false">N(M1455)+N(N1455)</f>
        <v>1</v>
      </c>
      <c r="CK1455" s="50" t="n">
        <f aca="false">N(M1455)</f>
        <v>0</v>
      </c>
      <c r="CL1455" s="50" t="n">
        <f aca="false">N(N1455)</f>
        <v>1</v>
      </c>
      <c r="CM1455" s="50" t="n">
        <f aca="false">ROUNDUP(H1455/BY1455,0)</f>
        <v>0</v>
      </c>
      <c r="CN1455" s="50" t="n">
        <f aca="false">ROUNDUP(CI1455/BY1455,0)</f>
        <v>0</v>
      </c>
      <c r="CO1455" s="53" t="n">
        <f aca="false">IF(BZ1455=1,0,IFERROR(VLOOKUP(BX1455,'Gebinde-Kategorie'!$A$5:$N$45,5,0)+0,0))</f>
        <v>0</v>
      </c>
      <c r="CP1455" s="53" t="n">
        <f aca="false">IFERROR(IF(OR(CE1455=1,CE1455=2,CE1455=3),N(INDEX(Parameter!$I$5:$I$7,CE1455)),0),0)</f>
        <v>0</v>
      </c>
      <c r="CQ1455" s="52" t="n">
        <f aca="false">IF(AND(Parameter!$B$21="Ja",ISNUMBER(W1455),N(X1455)&gt;0),IFERROR(N(INDEX(Parameter!$L$5:$L$7,W1455))*INDEX(Parameter!$E$5:$E$7,W1455)*X1455/SUMIFS($X$7:$X$1843,$W$7:$W$1843,W1455),0),0)</f>
        <v>0</v>
      </c>
    </row>
    <row r="1456" customFormat="false" ht="15" hidden="false" customHeight="false" outlineLevel="0" collapsed="false">
      <c r="A1456" s="48" t="s">
        <v>2555</v>
      </c>
      <c r="B1456" s="48" t="s">
        <v>2556</v>
      </c>
      <c r="C1456" s="48" t="s">
        <v>173</v>
      </c>
      <c r="D1456" s="48" t="s">
        <v>174</v>
      </c>
      <c r="E1456" s="48"/>
      <c r="F1456" s="48"/>
      <c r="G1456" s="49" t="n">
        <v>2011.57</v>
      </c>
      <c r="H1456" s="50" t="n">
        <f aca="false">MAX(0,IF(AND(Parameter!$B$21="Ja",ISNUMBER(Y1456)),Y1456,IF(Parameter!$B$20="Jahresanfang 2025 + Export",BR1456+BQ1456,BQ1456)))</f>
        <v>9</v>
      </c>
      <c r="I1456" s="50" t="n">
        <f aca="false">H1456*G1456</f>
        <v>18104.13</v>
      </c>
      <c r="J1456" s="50" t="n">
        <f aca="false">BT1456*Parameter!$B$18</f>
        <v>12</v>
      </c>
      <c r="K1456" s="51"/>
      <c r="L1456" s="52"/>
      <c r="M1456" s="50" t="n">
        <v>2</v>
      </c>
      <c r="N1456" s="50" t="n">
        <v>3</v>
      </c>
      <c r="O1456" s="53"/>
      <c r="P1456" s="48" t="s">
        <v>177</v>
      </c>
      <c r="Q1456" s="50"/>
      <c r="R1456" s="53" t="n">
        <f aca="false">IF(BZ1456=1,0,IFERROR(VLOOKUP(BX1456,'Gebinde-Kategorie'!$A$5:$N$45,13,0)+0,0))</f>
        <v>0</v>
      </c>
      <c r="S1456" s="54"/>
      <c r="T1456" s="55"/>
      <c r="U1456" s="55"/>
      <c r="V1456" s="55"/>
      <c r="W1456" s="48" t="n">
        <v>1</v>
      </c>
      <c r="X1456" s="50" t="n">
        <v>29</v>
      </c>
      <c r="Y1456" s="50" t="n">
        <v>9</v>
      </c>
      <c r="Z1456" s="48" t="n">
        <f aca="false">IF(A1456="","",IF(AND(Parameter!$B$21="Ja",ISNUMBER(W1456)),W1456,IF(CC1456="2+3",IF(ISNUMBER(SEARCH("grosser Artikel",BU1456)),2,IFERROR(VLOOKUP(BX1456,Parameter!$F$35:$G$64,2,0),2)),IF(OR(CC1456="Nein",CC1456=""),"-",CC1456))))</f>
        <v>1</v>
      </c>
      <c r="AA1456" s="55"/>
      <c r="AB1456" s="56"/>
      <c r="AC1456" s="50" t="n">
        <f aca="false">AV1456</f>
        <v>6</v>
      </c>
      <c r="AD1456" s="50" t="n">
        <f aca="false">MAX(AV1456,H1456)</f>
        <v>9</v>
      </c>
      <c r="AE1456" s="57"/>
      <c r="AF1456" s="50" t="n">
        <f aca="false">IF(LEFT(Cockpit!$C$5,1)="A",H1456,IF(Parameter!$E$30="MAX-Bestand",IF(CH1456=1,CI1456,IF(LEFT(Cockpit!$C$5,1)="B",AL1456,MAX(AL1456,H1456))),ROUNDUP(AJ1456,0)))</f>
        <v>9</v>
      </c>
      <c r="AG1456" s="50" t="n">
        <f aca="false">IF(BZ1456=1,0,ROUNDUP(AF1456/BY1456,0))</f>
        <v>0</v>
      </c>
      <c r="AH1456" s="52" t="n">
        <f aca="false">IF(CQ1456&gt;0,CQ1456*MAX(1,AF1456/X1456),IF(BZ1456=1,IF(AF1456&lt;=0,0,CD1456*MAX(1,IF(H1456&gt;0,AF1456/H1456,1))),IF(R1456&gt;0,AG1456/R1456,0))/MAX(0.1,N(Parameter!$M$21)))</f>
        <v>2.3210922787194</v>
      </c>
      <c r="AI1456" s="50" t="n">
        <f aca="false">AH1456*CB1456</f>
        <v>552.419962335217</v>
      </c>
      <c r="AJ1456" s="51" t="n">
        <f aca="false">IF(LEFT(Cockpit!$C$5,1)="A",H1456,IF(CH1456=1,(CK1456+CI1456)/2,IF(LEFT(Cockpit!$C$5,1)="B",(CK1456+AL1456)/2,MAX((CK1456+AL1456)/2,H1456))))</f>
        <v>9</v>
      </c>
      <c r="AK1456" s="50" t="n">
        <f aca="false">AJ1456*G1456</f>
        <v>18104.13</v>
      </c>
      <c r="AL1456" s="50" t="n">
        <f aca="false">ROUNDUP(CK1456+MAX(CL1456,2*(J1456/IF(CG1456&gt;0,CG1456,MAX(0.1,N(Cockpit!$C$6)))-CK1456)),0)</f>
        <v>6</v>
      </c>
      <c r="AM1456" s="51" t="n">
        <f aca="false">IF(AI1456&gt;0,J1456/AI1456,-1)</f>
        <v>0.0217226038488418</v>
      </c>
      <c r="AN1456" s="51" t="n">
        <f aca="false">IF(AND(OR(CF1456="L1",CF1456="L23",CF1456="LIFT"),AI1456&gt;0),SUMIFS($AI$7:$AI$1843,$CF$7:$CF$1843,CF1456,$AM$7:$AM$1843,"&gt;"&amp;AM1456)+SUMIFS($AI$7:$AI$1843,$CF$7:$CF$1843,CF1456,$AM$7:$AM$1843,AM1456,$BW$7:$BW$1843,"&lt;="&amp;BW1456),"")</f>
        <v>23263.7441148776</v>
      </c>
      <c r="AO1456" s="58" t="n">
        <f aca="false">IF(AN1456="",0,MAX(0,MIN(1,(IF(CF1456="L1",Parameter!$H$5,IF(CF1456="L23",Parameter!$H$6+Parameter!$H$7,Parameter!$H$5+Parameter!$H$6+Parameter!$H$7))-(AN1456-AI1456))/AI1456)))</f>
        <v>1</v>
      </c>
      <c r="AP1456" s="50" t="n">
        <f aca="false">IF(LEFT(Cockpit!$I$5,1)="A",H1456,IF(Parameter!$E$30="MAX-Bestand",IF(CH1456=1,CI1456,IF(LEFT(Cockpit!$I$5,1)="B",AV1456,MAX(AV1456,H1456))),ROUNDUP(AT1456,0)))</f>
        <v>9</v>
      </c>
      <c r="AQ1456" s="50" t="n">
        <f aca="false">IF(BZ1456=1,0,ROUNDUP(AP1456/BY1456,0))</f>
        <v>0</v>
      </c>
      <c r="AR1456" s="52" t="n">
        <f aca="false">IF(CQ1456&gt;0,CQ1456*MAX(1,AP1456/X1456),IF(BZ1456=1,IF(AP1456&lt;=0,0,CD1456*MAX(1,IF(H1456&gt;0,AP1456/H1456,1))),IF(R1456&gt;0,AQ1456/R1456,0))/MAX(0.1,N(Parameter!$M$21)))</f>
        <v>2.3210922787194</v>
      </c>
      <c r="AS1456" s="50" t="n">
        <f aca="false">AR1456*CB1456</f>
        <v>552.419962335217</v>
      </c>
      <c r="AT1456" s="51" t="n">
        <f aca="false">IF(LEFT(Cockpit!$I$5,1)="A",H1456,IF(CH1456=1,(CK1456+CI1456)/2,IF(LEFT(Cockpit!$I$5,1)="B",(CK1456+AV1456)/2,MAX((CK1456+AV1456)/2,H1456))))</f>
        <v>9</v>
      </c>
      <c r="AU1456" s="50" t="n">
        <f aca="false">AT1456*G1456</f>
        <v>18104.13</v>
      </c>
      <c r="AV1456" s="50" t="n">
        <f aca="false">ROUNDUP(CK1456+MAX(CL1456,2*(J1456/IF(CG1456&gt;0,CG1456,MAX(0.1,N(Cockpit!$I$6)))-CK1456)),0)</f>
        <v>6</v>
      </c>
      <c r="AW1456" s="51" t="n">
        <f aca="false">IF(AS1456&gt;0,J1456/AS1456,-1)</f>
        <v>0.0217226038488418</v>
      </c>
      <c r="AX1456" s="51" t="n">
        <f aca="false">IF(AND(OR(CF1456="L1",CF1456="L23",CF1456="LIFT"),AS1456&gt;0),SUMIFS($AS$7:$AS$1843,$CF$7:$CF$1843,CF1456,$AW$7:$AW$1843,"&gt;"&amp;AW1456)+SUMIFS($AS$7:$AS$1843,$CF$7:$CF$1843,CF1456,$AW$7:$AW$1843,AW1456,$BW$7:$BW$1843,"&lt;="&amp;BW1456),"")</f>
        <v>28499.392756255</v>
      </c>
      <c r="AY1456" s="58" t="n">
        <f aca="false">IF(AX1456="",0,MAX(0,MIN(1,(IF(CF1456="L1",Parameter!$H$5,IF(CF1456="L23",Parameter!$H$6+Parameter!$H$7,Parameter!$H$5+Parameter!$H$6+Parameter!$H$7))-(AX1456-AS1456))/AS1456)))</f>
        <v>1</v>
      </c>
      <c r="AZ1456" s="50" t="n">
        <f aca="false">IF(LEFT(Cockpit!$O$5,1)="A",H1456,IF(Parameter!$E$30="MAX-Bestand",IF(CH1456=1,CI1456,IF(LEFT(Cockpit!$O$5,1)="B",BF1456,MAX(BF1456,H1456))),ROUNDUP(BD1456,0)))</f>
        <v>4</v>
      </c>
      <c r="BA1456" s="50" t="n">
        <f aca="false">IF(BZ1456=1,0,ROUNDUP(AZ1456/BY1456,0))</f>
        <v>0</v>
      </c>
      <c r="BB1456" s="52" t="n">
        <f aca="false">IF(CQ1456&gt;0,CQ1456*MAX(1,AZ1456/X1456),IF(BZ1456=1,IF(AZ1456&lt;=0,0,CD1456*MAX(1,IF(H1456&gt;0,AZ1456/H1456,1))),IF(R1456&gt;0,BA1456/R1456,0))/MAX(0.1,N(Parameter!$M$21)))</f>
        <v>2.3210922787194</v>
      </c>
      <c r="BC1456" s="50" t="n">
        <f aca="false">BB1456*CB1456</f>
        <v>552.419962335217</v>
      </c>
      <c r="BD1456" s="51" t="n">
        <f aca="false">IF(LEFT(Cockpit!$O$5,1)="A",H1456,IF(CH1456=1,(CK1456+CI1456)/2,IF(LEFT(Cockpit!$O$5,1)="B",(CK1456+BF1456)/2,MAX((CK1456+BF1456)/2,H1456))))</f>
        <v>3.5</v>
      </c>
      <c r="BE1456" s="50" t="n">
        <f aca="false">BD1456*G1456</f>
        <v>7040.495</v>
      </c>
      <c r="BF1456" s="50" t="n">
        <f aca="false">ROUNDUP(CK1456+MAX(CL1456,2*(J1456/IF(CG1456&gt;0,CG1456,MAX(0.1,N(Cockpit!$O$6)))-CK1456)),0)</f>
        <v>5</v>
      </c>
      <c r="BG1456" s="51" t="n">
        <f aca="false">IF(BC1456&gt;0,J1456/BC1456,-1)</f>
        <v>0.0217226038488418</v>
      </c>
      <c r="BH1456" s="51" t="n">
        <f aca="false">IF(AND(OR(CF1456="L1",CF1456="L23",CF1456="LIFT"),BC1456&gt;0),SUMIFS($BC$7:$BC$1843,$CF$7:$CF$1843,CF1456,$BG$7:$BG$1843,"&gt;"&amp;BG1456)+SUMIFS($BC$7:$BC$1843,$CF$7:$CF$1843,CF1456,$BG$7:$BG$1843,BG1456,$BW$7:$BW$1843,"&lt;="&amp;BW1456),"")</f>
        <v>24082.833573912</v>
      </c>
      <c r="BI1456" s="58" t="n">
        <f aca="false">IF(BH1456="",0,MAX(0,MIN(1,(IF(CF1456="L1",Parameter!$H$5,IF(CF1456="L23",Parameter!$H$6+Parameter!$H$7,Parameter!$H$5+Parameter!$H$6+Parameter!$H$7))-(BH1456-BC1456))/BC1456)))</f>
        <v>1</v>
      </c>
      <c r="BJ1456" s="48" t="str">
        <f aca="false">IF(AI1456&lt;=0,"",IF(CF1456="Aussen","Aussenlager",IF(CF1456="-","Nicht im Lift",IF(AO1456&gt;=1,"Lift",IF(AO1456&lt;=0,"Aussenlager","teilweise")))))</f>
        <v>Lift</v>
      </c>
      <c r="BK1456" s="48" t="str">
        <f aca="false">IF(AS1456&lt;=0,"",IF(CF1456="Aussen","Aussenlager",IF(CF1456="-","Nicht im Lift",IF(AY1456&gt;=1,"Lift",IF(AY1456&lt;=0,"Aussenlager","teilweise")))))</f>
        <v>Lift</v>
      </c>
      <c r="BL1456" s="48" t="str">
        <f aca="false">IF(BC1456&lt;=0,"",IF(CF1456="Aussen","Aussenlager",IF(CF1456="-","Nicht im Lift",IF(BI1456&gt;=1,"Lift",IF(BI1456&lt;=0,"Aussenlager","teilweise")))))</f>
        <v>Lift</v>
      </c>
      <c r="BM1456" s="48" t="str">
        <f aca="false">IF(A1456="","",IF(BV1456=1,"Neu; ","")&amp;IF(AND(BV1456=0,BQ1456&lt;0),"negativer Bestand (Export "&amp;BQ1456&amp;"); ","")&amp;IF(J1456&lt;=0,"Kein Verbrauch; ","")&amp;IF(CQ1456&gt;0,"Lift "&amp;W1456&amp;" lt. Liftbericht (Fach "&amp;X1456&amp;" Stk); ",IF(CA1456=1,"Gebinde geschätzt ("&amp;T1456&amp;"); ",IF(BZ1456=1,"Lose – Tablare geschätzt; ","")))&amp;IF(H1456&gt;AV1456,"Überbestand "&amp;ROUND(H1456-AV1456,0)&amp;" Stk / CHF "&amp;ROUND((H1456-AV1456)*G1456,0)&amp;"; ","")&amp;IF(AND(CH1456=1,CI1456&lt;CJ1456),"MAX &lt; MB+LG; ","")&amp;IF(AND(CP1456&gt;0,CO1456*10&gt;CP1456),"zu hoch für Tablar; ","")&amp;IF(AND(BV1456=0,OR(CH1456=1,AA1456&lt;&gt;"",U1456&lt;&gt;"",V1456&lt;&gt;"",AB1456&lt;&gt;"")),"manuell übersteuert; ","")&amp;IF(AND(BZ1456=0,R1456=0),"Gebinde unbekannt / Stellmass fehlt; ","")&amp;IF(AND(BZ1456=0,N(V1456)&lt;=0,N(Q1456)&lt;=0),"Menge pro Gebinde fehlt (Ist = 1 Gebinde); ","")&amp;BU1456)</f>
        <v>negativer Bestand (Export -8); Lift 1 lt. Liftbericht (Fach 29 Stk); Überbestand 3 Stk / CHF 6035; </v>
      </c>
      <c r="BN1456" s="48"/>
      <c r="BO1456" s="48"/>
      <c r="BP1456" s="55"/>
      <c r="BQ1456" s="50" t="n">
        <v>-8</v>
      </c>
      <c r="BR1456" s="50" t="n">
        <v>0</v>
      </c>
      <c r="BS1456" s="49" t="n">
        <v>-15753.9</v>
      </c>
      <c r="BT1456" s="50" t="n">
        <v>12</v>
      </c>
      <c r="BU1456" s="48"/>
      <c r="BV1456" s="53" t="n">
        <v>0</v>
      </c>
      <c r="BW1456" s="53" t="n">
        <v>1456</v>
      </c>
      <c r="BX1456" s="48" t="str">
        <f aca="false">IF(U1456&lt;&gt;"",UPPER(TRIM(U1456)),IF(CA1456=1,UPPER(VLOOKUP(T1456,Parameter!$I$27:$K$29,2,0)),IF(P1456="","LOSE",P1456)))</f>
        <v>LOSE</v>
      </c>
      <c r="BY1456" s="50" t="n">
        <f aca="false">IF(BX1456="LOSE",1,IF(N(V1456)&gt;0,V1456,IF(CA1456=1,MAX(1,N(VLOOKUP(T1456,Parameter!$I$27:$K$29,3,0)),H1456,N(N1456)),IF(N(Q1456)&gt;0,Q1456,MAX(1,H1456)))))</f>
        <v>1</v>
      </c>
      <c r="BZ1456" s="53" t="n">
        <f aca="false">IF(BX1456="LOSE",1,0)</f>
        <v>1</v>
      </c>
      <c r="CA1456" s="53" t="n">
        <f aca="false">IF(AND(U1456="",OR(P1456="",P1456="LOSE"),T1456&lt;&gt;"",N(S1456)&lt;=0,ISNUMBER(MATCH(T1456,Parameter!$I$27:$I$29,0))),1,0)</f>
        <v>0</v>
      </c>
      <c r="CB1456" s="53" t="n">
        <f aca="false">IF(CQ1456&gt;0,INDEX(Parameter!$H$5:$H$7,W1456)/INDEX(Parameter!$E$5:$E$7,W1456),IF(AND(BZ1456=0,N(IFERROR(VLOOKUP(BX1456,'Gebinde-Kategorie'!$A$5:$N$45,14,0),0))&gt;0),VLOOKUP(BX1456,'Gebinde-Kategorie'!$A$5:$N$45,14,0)*10+Parameter!$M$23,Parameter!$M$24))</f>
        <v>238</v>
      </c>
      <c r="CC1456" s="48" t="n">
        <f aca="false">IF(AND(Parameter!$B$19="Ja",E1456&lt;&gt;"",ISNUMBER(MATCH(E1456,Parameter!$I$35:$I$52,0))),VLOOKUP(E1456,Parameter!$I$35:$J$52,2,0),IFERROR(VLOOKUP(D1456,Parameter!$A$35:$C$64,2,0),"Nein"))</f>
        <v>1</v>
      </c>
      <c r="CD1456" s="52" t="n">
        <f aca="false">IF(BZ1456=0,0,IF(N(S1456)&gt;0,S1456,IFERROR(VLOOKUP(D1456,Parameter!$A$35:$C$64,3,0)+0,0)))</f>
        <v>1</v>
      </c>
      <c r="CE1456" s="48" t="n">
        <f aca="false">IF(AA1456&lt;&gt;"",AA1456,Z1456)</f>
        <v>1</v>
      </c>
      <c r="CF1456" s="48" t="str">
        <f aca="false">IF(OR(CE1456=1,CE1456=2,CE1456=3),IF(Parameter!$E$27="Ja","LIFT",IF(CE1456=1,"L1","L23")),IF(CE1456="Aussen","Aussen","-"))</f>
        <v>LIFT</v>
      </c>
      <c r="CG1456" s="59" t="n">
        <f aca="false">IF(N(AB1456)&gt;0,AB1456,0)</f>
        <v>0</v>
      </c>
      <c r="CH1456" s="53" t="n">
        <f aca="false">IF(ISNUMBER(AE1456),1,0)</f>
        <v>0</v>
      </c>
      <c r="CI1456" s="50" t="n">
        <f aca="false">N(AE1456)</f>
        <v>0</v>
      </c>
      <c r="CJ1456" s="50" t="n">
        <f aca="false">N(M1456)+N(N1456)</f>
        <v>5</v>
      </c>
      <c r="CK1456" s="50" t="n">
        <f aca="false">N(M1456)</f>
        <v>2</v>
      </c>
      <c r="CL1456" s="50" t="n">
        <f aca="false">N(N1456)</f>
        <v>3</v>
      </c>
      <c r="CM1456" s="50" t="n">
        <f aca="false">ROUNDUP(H1456/BY1456,0)</f>
        <v>9</v>
      </c>
      <c r="CN1456" s="50" t="n">
        <f aca="false">ROUNDUP(CI1456/BY1456,0)</f>
        <v>0</v>
      </c>
      <c r="CO1456" s="53" t="n">
        <f aca="false">IF(BZ1456=1,0,IFERROR(VLOOKUP(BX1456,'Gebinde-Kategorie'!$A$5:$N$45,5,0)+0,0))</f>
        <v>0</v>
      </c>
      <c r="CP1456" s="53" t="n">
        <f aca="false">IFERROR(IF(OR(CE1456=1,CE1456=2,CE1456=3),N(INDEX(Parameter!$I$5:$I$7,CE1456)),0),0)</f>
        <v>0</v>
      </c>
      <c r="CQ1456" s="52" t="n">
        <f aca="false">IF(AND(Parameter!$B$21="Ja",ISNUMBER(W1456),N(X1456)&gt;0),IFERROR(N(INDEX(Parameter!$L$5:$L$7,W1456))*INDEX(Parameter!$E$5:$E$7,W1456)*X1456/SUMIFS($X$7:$X$1843,$W$7:$W$1843,W1456),0),0)</f>
        <v>2.3210922787194</v>
      </c>
    </row>
    <row r="1457" customFormat="false" ht="15" hidden="false" customHeight="false" outlineLevel="0" collapsed="false">
      <c r="A1457" s="48" t="s">
        <v>2557</v>
      </c>
      <c r="B1457" s="48" t="s">
        <v>190</v>
      </c>
      <c r="C1457" s="48" t="s">
        <v>465</v>
      </c>
      <c r="D1457" s="48" t="s">
        <v>182</v>
      </c>
      <c r="E1457" s="48" t="s">
        <v>194</v>
      </c>
      <c r="F1457" s="48"/>
      <c r="G1457" s="49" t="n">
        <v>5331</v>
      </c>
      <c r="H1457" s="50" t="n">
        <f aca="false">MAX(0,IF(AND(Parameter!$B$21="Ja",ISNUMBER(Y1457)),Y1457,IF(Parameter!$B$20="Jahresanfang 2025 + Export",BR1457+BQ1457,BQ1457)))</f>
        <v>0</v>
      </c>
      <c r="I1457" s="50" t="n">
        <f aca="false">H1457*G1457</f>
        <v>0</v>
      </c>
      <c r="J1457" s="50" t="n">
        <f aca="false">BT1457*Parameter!$B$18</f>
        <v>5</v>
      </c>
      <c r="K1457" s="51"/>
      <c r="L1457" s="52"/>
      <c r="M1457" s="50" t="n">
        <v>0</v>
      </c>
      <c r="N1457" s="50" t="n">
        <v>1</v>
      </c>
      <c r="O1457" s="53"/>
      <c r="P1457" s="48" t="s">
        <v>177</v>
      </c>
      <c r="Q1457" s="50"/>
      <c r="R1457" s="53" t="n">
        <f aca="false">IF(BZ1457=1,0,IFERROR(VLOOKUP(BX1457,'Gebinde-Kategorie'!$A$5:$N$45,13,0)+0,0))</f>
        <v>12</v>
      </c>
      <c r="S1457" s="54"/>
      <c r="T1457" s="55" t="s">
        <v>188</v>
      </c>
      <c r="U1457" s="55"/>
      <c r="V1457" s="55"/>
      <c r="W1457" s="48"/>
      <c r="X1457" s="50"/>
      <c r="Y1457" s="50"/>
      <c r="Z1457" s="48" t="n">
        <f aca="false">IF(A1457="","",IF(AND(Parameter!$B$21="Ja",ISNUMBER(W1457)),W1457,IF(CC1457="2+3",IF(ISNUMBER(SEARCH("grosser Artikel",BU1457)),2,IFERROR(VLOOKUP(BX1457,Parameter!$F$35:$G$64,2,0),2)),IF(OR(CC1457="Nein",CC1457=""),"-",CC1457))))</f>
        <v>2</v>
      </c>
      <c r="AA1457" s="55"/>
      <c r="AB1457" s="56"/>
      <c r="AC1457" s="50" t="n">
        <f aca="false">AV1457</f>
        <v>4</v>
      </c>
      <c r="AD1457" s="50" t="n">
        <f aca="false">MAX(AV1457,H1457)</f>
        <v>4</v>
      </c>
      <c r="AE1457" s="57"/>
      <c r="AF1457" s="50" t="n">
        <f aca="false">IF(LEFT(Cockpit!$C$5,1)="A",H1457,IF(Parameter!$E$30="MAX-Bestand",IF(CH1457=1,CI1457,IF(LEFT(Cockpit!$C$5,1)="B",AL1457,MAX(AL1457,H1457))),ROUNDUP(AJ1457,0)))</f>
        <v>0</v>
      </c>
      <c r="AG1457" s="50" t="n">
        <f aca="false">IF(BZ1457=1,0,ROUNDUP(AF1457/BY1457,0))</f>
        <v>0</v>
      </c>
      <c r="AH1457" s="52" t="n">
        <f aca="false">IF(CQ1457&gt;0,CQ1457*MAX(1,AF1457/X1457),IF(BZ1457=1,IF(AF1457&lt;=0,0,CD1457*MAX(1,IF(H1457&gt;0,AF1457/H1457,1))),IF(R1457&gt;0,AG1457/R1457,0))/MAX(0.1,N(Parameter!$M$21)))</f>
        <v>0</v>
      </c>
      <c r="AI1457" s="50" t="n">
        <f aca="false">AH1457*CB1457</f>
        <v>0</v>
      </c>
      <c r="AJ1457" s="51" t="n">
        <f aca="false">IF(LEFT(Cockpit!$C$5,1)="A",H1457,IF(CH1457=1,(CK1457+CI1457)/2,IF(LEFT(Cockpit!$C$5,1)="B",(CK1457+AL1457)/2,MAX((CK1457+AL1457)/2,H1457))))</f>
        <v>0</v>
      </c>
      <c r="AK1457" s="50" t="n">
        <f aca="false">AJ1457*G1457</f>
        <v>0</v>
      </c>
      <c r="AL1457" s="50" t="n">
        <f aca="false">ROUNDUP(CK1457+MAX(CL1457,2*(J1457/IF(CG1457&gt;0,CG1457,MAX(0.1,N(Cockpit!$C$6)))-CK1457)),0)</f>
        <v>4</v>
      </c>
      <c r="AM1457" s="51" t="n">
        <f aca="false">IF(AI1457&gt;0,J1457/AI1457,-1)</f>
        <v>-1</v>
      </c>
      <c r="AN1457" s="51" t="str">
        <f aca="false">IF(AND(OR(CF1457="L1",CF1457="L23",CF1457="LIFT"),AI1457&gt;0),SUMIFS($AI$7:$AI$1843,$CF$7:$CF$1843,CF1457,$AM$7:$AM$1843,"&gt;"&amp;AM1457)+SUMIFS($AI$7:$AI$1843,$CF$7:$CF$1843,CF1457,$AM$7:$AM$1843,AM1457,$BW$7:$BW$1843,"&lt;="&amp;BW1457),"")</f>
        <v/>
      </c>
      <c r="AO1457" s="58" t="n">
        <f aca="false">IF(AN1457="",0,MAX(0,MIN(1,(IF(CF1457="L1",Parameter!$H$5,IF(CF1457="L23",Parameter!$H$6+Parameter!$H$7,Parameter!$H$5+Parameter!$H$6+Parameter!$H$7))-(AN1457-AI1457))/AI1457)))</f>
        <v>0</v>
      </c>
      <c r="AP1457" s="50" t="n">
        <f aca="false">IF(LEFT(Cockpit!$I$5,1)="A",H1457,IF(Parameter!$E$30="MAX-Bestand",IF(CH1457=1,CI1457,IF(LEFT(Cockpit!$I$5,1)="B",AV1457,MAX(AV1457,H1457))),ROUNDUP(AT1457,0)))</f>
        <v>2</v>
      </c>
      <c r="AQ1457" s="50" t="n">
        <f aca="false">IF(BZ1457=1,0,ROUNDUP(AP1457/BY1457,0))</f>
        <v>1</v>
      </c>
      <c r="AR1457" s="52" t="n">
        <f aca="false">IF(CQ1457&gt;0,CQ1457*MAX(1,AP1457/X1457),IF(BZ1457=1,IF(AP1457&lt;=0,0,CD1457*MAX(1,IF(H1457&gt;0,AP1457/H1457,1))),IF(R1457&gt;0,AQ1457/R1457,0))/MAX(0.1,N(Parameter!$M$21)))</f>
        <v>0.0833333333333333</v>
      </c>
      <c r="AS1457" s="50" t="n">
        <f aca="false">AR1457*CB1457</f>
        <v>12.0833333333333</v>
      </c>
      <c r="AT1457" s="51" t="n">
        <f aca="false">IF(LEFT(Cockpit!$I$5,1)="A",H1457,IF(CH1457=1,(CK1457+CI1457)/2,IF(LEFT(Cockpit!$I$5,1)="B",(CK1457+AV1457)/2,MAX((CK1457+AV1457)/2,H1457))))</f>
        <v>2</v>
      </c>
      <c r="AU1457" s="50" t="n">
        <f aca="false">AT1457*G1457</f>
        <v>10662</v>
      </c>
      <c r="AV1457" s="50" t="n">
        <f aca="false">ROUNDUP(CK1457+MAX(CL1457,2*(J1457/IF(CG1457&gt;0,CG1457,MAX(0.1,N(Cockpit!$I$6)))-CK1457)),0)</f>
        <v>4</v>
      </c>
      <c r="AW1457" s="51" t="n">
        <f aca="false">IF(AS1457&gt;0,J1457/AS1457,-1)</f>
        <v>0.413793103448276</v>
      </c>
      <c r="AX1457" s="51" t="n">
        <f aca="false">IF(AND(OR(CF1457="L1",CF1457="L23",CF1457="LIFT"),AS1457&gt;0),SUMIFS($AS$7:$AS$1843,$CF$7:$CF$1843,CF1457,$AW$7:$AW$1843,"&gt;"&amp;AW1457)+SUMIFS($AS$7:$AS$1843,$CF$7:$CF$1843,CF1457,$AW$7:$AW$1843,AW1457,$BW$7:$BW$1843,"&lt;="&amp;BW1457),"")</f>
        <v>12482.8493589744</v>
      </c>
      <c r="AY1457" s="58" t="n">
        <f aca="false">IF(AX1457="",0,MAX(0,MIN(1,(IF(CF1457="L1",Parameter!$H$5,IF(CF1457="L23",Parameter!$H$6+Parameter!$H$7,Parameter!$H$5+Parameter!$H$6+Parameter!$H$7))-(AX1457-AS1457))/AS1457)))</f>
        <v>1</v>
      </c>
      <c r="AZ1457" s="50" t="n">
        <f aca="false">IF(LEFT(Cockpit!$O$5,1)="A",H1457,IF(Parameter!$E$30="MAX-Bestand",IF(CH1457=1,CI1457,IF(LEFT(Cockpit!$O$5,1)="B",BF1457,MAX(BF1457,H1457))),ROUNDUP(BD1457,0)))</f>
        <v>2</v>
      </c>
      <c r="BA1457" s="50" t="n">
        <f aca="false">IF(BZ1457=1,0,ROUNDUP(AZ1457/BY1457,0))</f>
        <v>1</v>
      </c>
      <c r="BB1457" s="52" t="n">
        <f aca="false">IF(CQ1457&gt;0,CQ1457*MAX(1,AZ1457/X1457),IF(BZ1457=1,IF(AZ1457&lt;=0,0,CD1457*MAX(1,IF(H1457&gt;0,AZ1457/H1457,1))),IF(R1457&gt;0,BA1457/R1457,0))/MAX(0.1,N(Parameter!$M$21)))</f>
        <v>0.0833333333333333</v>
      </c>
      <c r="BC1457" s="50" t="n">
        <f aca="false">BB1457*CB1457</f>
        <v>12.0833333333333</v>
      </c>
      <c r="BD1457" s="51" t="n">
        <f aca="false">IF(LEFT(Cockpit!$O$5,1)="A",H1457,IF(CH1457=1,(CK1457+CI1457)/2,IF(LEFT(Cockpit!$O$5,1)="B",(CK1457+BF1457)/2,MAX((CK1457+BF1457)/2,H1457))))</f>
        <v>1.5</v>
      </c>
      <c r="BE1457" s="50" t="n">
        <f aca="false">BD1457*G1457</f>
        <v>7996.5</v>
      </c>
      <c r="BF1457" s="50" t="n">
        <f aca="false">ROUNDUP(CK1457+MAX(CL1457,2*(J1457/IF(CG1457&gt;0,CG1457,MAX(0.1,N(Cockpit!$O$6)))-CK1457)),0)</f>
        <v>3</v>
      </c>
      <c r="BG1457" s="51" t="n">
        <f aca="false">IF(BC1457&gt;0,J1457/BC1457,-1)</f>
        <v>0.413793103448276</v>
      </c>
      <c r="BH1457" s="51" t="n">
        <f aca="false">IF(AND(OR(CF1457="L1",CF1457="L23",CF1457="LIFT"),BC1457&gt;0),SUMIFS($BC$7:$BC$1843,$CF$7:$CF$1843,CF1457,$BG$7:$BG$1843,"&gt;"&amp;BG1457)+SUMIFS($BC$7:$BC$1843,$CF$7:$CF$1843,CF1457,$BG$7:$BG$1843,BG1457,$BW$7:$BW$1843,"&lt;="&amp;BW1457),"")</f>
        <v>10703.103021978</v>
      </c>
      <c r="BI1457" s="58" t="n">
        <f aca="false">IF(BH1457="",0,MAX(0,MIN(1,(IF(CF1457="L1",Parameter!$H$5,IF(CF1457="L23",Parameter!$H$6+Parameter!$H$7,Parameter!$H$5+Parameter!$H$6+Parameter!$H$7))-(BH1457-BC1457))/BC1457)))</f>
        <v>1</v>
      </c>
      <c r="BJ1457" s="48" t="str">
        <f aca="false">IF(AI1457&lt;=0,"",IF(CF1457="Aussen","Aussenlager",IF(CF1457="-","Nicht im Lift",IF(AO1457&gt;=1,"Lift",IF(AO1457&lt;=0,"Aussenlager","teilweise")))))</f>
        <v/>
      </c>
      <c r="BK1457" s="48" t="str">
        <f aca="false">IF(AS1457&lt;=0,"",IF(CF1457="Aussen","Aussenlager",IF(CF1457="-","Nicht im Lift",IF(AY1457&gt;=1,"Lift",IF(AY1457&lt;=0,"Aussenlager","teilweise")))))</f>
        <v>Lift</v>
      </c>
      <c r="BL1457" s="48" t="str">
        <f aca="false">IF(BC1457&lt;=0,"",IF(CF1457="Aussen","Aussenlager",IF(CF1457="-","Nicht im Lift",IF(BI1457&gt;=1,"Lift",IF(BI1457&lt;=0,"Aussenlager","teilweise")))))</f>
        <v>Lift</v>
      </c>
      <c r="BM1457" s="48" t="str">
        <f aca="false">IF(A1457="","",IF(BV1457=1,"Neu; ","")&amp;IF(AND(BV1457=0,BQ1457&lt;0),"negativer Bestand (Export "&amp;BQ1457&amp;"); ","")&amp;IF(J1457&lt;=0,"Kein Verbrauch; ","")&amp;IF(CQ1457&gt;0,"Lift "&amp;W1457&amp;" lt. Liftbericht (Fach "&amp;X1457&amp;" Stk); ",IF(CA1457=1,"Gebinde geschätzt ("&amp;T1457&amp;"); ",IF(BZ1457=1,"Lose – Tablare geschätzt; ","")))&amp;IF(H1457&gt;AV1457,"Überbestand "&amp;ROUND(H1457-AV1457,0)&amp;" Stk / CHF "&amp;ROUND((H1457-AV1457)*G1457,0)&amp;"; ","")&amp;IF(AND(CH1457=1,CI1457&lt;CJ1457),"MAX &lt; MB+LG; ","")&amp;IF(AND(CP1457&gt;0,CO1457*10&gt;CP1457),"zu hoch für Tablar; ","")&amp;IF(AND(BV1457=0,OR(CH1457=1,AA1457&lt;&gt;"",U1457&lt;&gt;"",V1457&lt;&gt;"",AB1457&lt;&gt;"")),"manuell übersteuert; ","")&amp;IF(AND(BZ1457=0,R1457=0),"Gebinde unbekannt / Stellmass fehlt; ","")&amp;IF(AND(BZ1457=0,N(V1457)&lt;=0,N(Q1457)&lt;=0),"Menge pro Gebinde fehlt (Ist = 1 Gebinde); ","")&amp;BU1457)</f>
        <v>negativer Bestand (Export -3); Gebinde geschätzt (Mittel); Menge pro Gebinde fehlt (Ist = 1 Gebinde); grosser Artikel &amp; nicht im KTL</v>
      </c>
      <c r="BN1457" s="48"/>
      <c r="BO1457" s="48"/>
      <c r="BP1457" s="55"/>
      <c r="BQ1457" s="50" t="n">
        <v>-3</v>
      </c>
      <c r="BR1457" s="50" t="n">
        <v>0</v>
      </c>
      <c r="BS1457" s="49" t="n">
        <v>-15993</v>
      </c>
      <c r="BT1457" s="50" t="n">
        <v>5</v>
      </c>
      <c r="BU1457" s="48" t="s">
        <v>270</v>
      </c>
      <c r="BV1457" s="53" t="n">
        <v>0</v>
      </c>
      <c r="BW1457" s="53" t="n">
        <v>1457</v>
      </c>
      <c r="BX1457" s="48" t="str">
        <f aca="false">IF(U1457&lt;&gt;"",UPPER(TRIM(U1457)),IF(CA1457=1,UPPER(VLOOKUP(T1457,Parameter!$I$27:$K$29,2,0)),IF(P1457="","LOSE",P1457)))</f>
        <v>S61</v>
      </c>
      <c r="BY1457" s="50" t="n">
        <f aca="false">IF(BX1457="LOSE",1,IF(N(V1457)&gt;0,V1457,IF(CA1457=1,MAX(1,N(VLOOKUP(T1457,Parameter!$I$27:$K$29,3,0)),H1457,N(N1457)),IF(N(Q1457)&gt;0,Q1457,MAX(1,H1457)))))</f>
        <v>4</v>
      </c>
      <c r="BZ1457" s="53" t="n">
        <f aca="false">IF(BX1457="LOSE",1,0)</f>
        <v>0</v>
      </c>
      <c r="CA1457" s="53" t="n">
        <f aca="false">IF(AND(U1457="",OR(P1457="",P1457="LOSE"),T1457&lt;&gt;"",N(S1457)&lt;=0,ISNUMBER(MATCH(T1457,Parameter!$I$27:$I$29,0))),1,0)</f>
        <v>1</v>
      </c>
      <c r="CB1457" s="53" t="n">
        <f aca="false">IF(CQ1457&gt;0,INDEX(Parameter!$H$5:$H$7,W1457)/INDEX(Parameter!$E$5:$E$7,W1457),IF(AND(BZ1457=0,N(IFERROR(VLOOKUP(BX1457,'Gebinde-Kategorie'!$A$5:$N$45,14,0),0))&gt;0),VLOOKUP(BX1457,'Gebinde-Kategorie'!$A$5:$N$45,14,0)*10+Parameter!$M$23,Parameter!$M$24))</f>
        <v>145</v>
      </c>
      <c r="CC1457" s="48" t="str">
        <f aca="false">IF(AND(Parameter!$B$19="Ja",E1457&lt;&gt;"",ISNUMBER(MATCH(E1457,Parameter!$I$35:$I$52,0))),VLOOKUP(E1457,Parameter!$I$35:$J$52,2,0),IFERROR(VLOOKUP(D1457,Parameter!$A$35:$C$64,2,0),"Nein"))</f>
        <v>2+3</v>
      </c>
      <c r="CD1457" s="52" t="n">
        <f aca="false">IF(BZ1457=0,0,IF(N(S1457)&gt;0,S1457,IFERROR(VLOOKUP(D1457,Parameter!$A$35:$C$64,3,0)+0,0)))</f>
        <v>0</v>
      </c>
      <c r="CE1457" s="48" t="n">
        <f aca="false">IF(AA1457&lt;&gt;"",AA1457,Z1457)</f>
        <v>2</v>
      </c>
      <c r="CF1457" s="48" t="str">
        <f aca="false">IF(OR(CE1457=1,CE1457=2,CE1457=3),IF(Parameter!$E$27="Ja","LIFT",IF(CE1457=1,"L1","L23")),IF(CE1457="Aussen","Aussen","-"))</f>
        <v>LIFT</v>
      </c>
      <c r="CG1457" s="59" t="n">
        <f aca="false">IF(N(AB1457)&gt;0,AB1457,0)</f>
        <v>0</v>
      </c>
      <c r="CH1457" s="53" t="n">
        <f aca="false">IF(ISNUMBER(AE1457),1,0)</f>
        <v>0</v>
      </c>
      <c r="CI1457" s="50" t="n">
        <f aca="false">N(AE1457)</f>
        <v>0</v>
      </c>
      <c r="CJ1457" s="50" t="n">
        <f aca="false">N(M1457)+N(N1457)</f>
        <v>1</v>
      </c>
      <c r="CK1457" s="50" t="n">
        <f aca="false">N(M1457)</f>
        <v>0</v>
      </c>
      <c r="CL1457" s="50" t="n">
        <f aca="false">N(N1457)</f>
        <v>1</v>
      </c>
      <c r="CM1457" s="50" t="n">
        <f aca="false">ROUNDUP(H1457/BY1457,0)</f>
        <v>0</v>
      </c>
      <c r="CN1457" s="50" t="n">
        <f aca="false">ROUNDUP(CI1457/BY1457,0)</f>
        <v>0</v>
      </c>
      <c r="CO1457" s="53" t="n">
        <f aca="false">IF(BZ1457=1,0,IFERROR(VLOOKUP(BX1457,'Gebinde-Kategorie'!$A$5:$N$45,5,0)+0,0))</f>
        <v>11</v>
      </c>
      <c r="CP1457" s="53" t="n">
        <f aca="false">IFERROR(IF(OR(CE1457=1,CE1457=2,CE1457=3),N(INDEX(Parameter!$I$5:$I$7,CE1457)),0),0)</f>
        <v>0</v>
      </c>
      <c r="CQ1457" s="52" t="n">
        <f aca="false">IF(AND(Parameter!$B$21="Ja",ISNUMBER(W1457),N(X1457)&gt;0),IFERROR(N(INDEX(Parameter!$L$5:$L$7,W1457))*INDEX(Parameter!$E$5:$E$7,W1457)*X1457/SUMIFS($X$7:$X$1843,$W$7:$W$1843,W1457),0),0)</f>
        <v>0</v>
      </c>
    </row>
    <row r="1458" customFormat="false" ht="15" hidden="false" customHeight="false" outlineLevel="0" collapsed="false">
      <c r="A1458" s="48" t="s">
        <v>2558</v>
      </c>
      <c r="B1458" s="48" t="s">
        <v>2559</v>
      </c>
      <c r="C1458" s="48" t="s">
        <v>173</v>
      </c>
      <c r="D1458" s="48" t="s">
        <v>182</v>
      </c>
      <c r="E1458" s="48" t="s">
        <v>175</v>
      </c>
      <c r="F1458" s="48"/>
      <c r="G1458" s="49" t="n">
        <v>1180.4</v>
      </c>
      <c r="H1458" s="50" t="n">
        <f aca="false">MAX(0,IF(AND(Parameter!$B$21="Ja",ISNUMBER(Y1458)),Y1458,IF(Parameter!$B$20="Jahresanfang 2025 + Export",BR1458+BQ1458,BQ1458)))</f>
        <v>0</v>
      </c>
      <c r="I1458" s="50" t="n">
        <f aca="false">H1458*G1458</f>
        <v>0</v>
      </c>
      <c r="J1458" s="50" t="n">
        <f aca="false">BT1458*Parameter!$B$18</f>
        <v>55</v>
      </c>
      <c r="K1458" s="51"/>
      <c r="L1458" s="52"/>
      <c r="M1458" s="50" t="n">
        <v>3</v>
      </c>
      <c r="N1458" s="50" t="n">
        <v>15</v>
      </c>
      <c r="O1458" s="53"/>
      <c r="P1458" s="48" t="s">
        <v>177</v>
      </c>
      <c r="Q1458" s="50"/>
      <c r="R1458" s="53" t="n">
        <f aca="false">IF(BZ1458=1,0,IFERROR(VLOOKUP(BX1458,'Gebinde-Kategorie'!$A$5:$N$45,13,0)+0,0))</f>
        <v>12</v>
      </c>
      <c r="S1458" s="54"/>
      <c r="T1458" s="55" t="s">
        <v>188</v>
      </c>
      <c r="U1458" s="55"/>
      <c r="V1458" s="55"/>
      <c r="W1458" s="48"/>
      <c r="X1458" s="50"/>
      <c r="Y1458" s="50"/>
      <c r="Z1458" s="48" t="n">
        <f aca="false">IF(A1458="","",IF(AND(Parameter!$B$21="Ja",ISNUMBER(W1458)),W1458,IF(CC1458="2+3",IF(ISNUMBER(SEARCH("grosser Artikel",BU1458)),2,IFERROR(VLOOKUP(BX1458,Parameter!$F$35:$G$64,2,0),2)),IF(OR(CC1458="Nein",CC1458=""),"-",CC1458))))</f>
        <v>1</v>
      </c>
      <c r="AA1458" s="55"/>
      <c r="AB1458" s="56"/>
      <c r="AC1458" s="50" t="n">
        <f aca="false">AV1458</f>
        <v>34</v>
      </c>
      <c r="AD1458" s="50" t="n">
        <f aca="false">MAX(AV1458,H1458)</f>
        <v>34</v>
      </c>
      <c r="AE1458" s="57"/>
      <c r="AF1458" s="50" t="n">
        <f aca="false">IF(LEFT(Cockpit!$C$5,1)="A",H1458,IF(Parameter!$E$30="MAX-Bestand",IF(CH1458=1,CI1458,IF(LEFT(Cockpit!$C$5,1)="B",AL1458,MAX(AL1458,H1458))),ROUNDUP(AJ1458,0)))</f>
        <v>0</v>
      </c>
      <c r="AG1458" s="50" t="n">
        <f aca="false">IF(BZ1458=1,0,ROUNDUP(AF1458/BY1458,0))</f>
        <v>0</v>
      </c>
      <c r="AH1458" s="52" t="n">
        <f aca="false">IF(CQ1458&gt;0,CQ1458*MAX(1,AF1458/X1458),IF(BZ1458=1,IF(AF1458&lt;=0,0,CD1458*MAX(1,IF(H1458&gt;0,AF1458/H1458,1))),IF(R1458&gt;0,AG1458/R1458,0))/MAX(0.1,N(Parameter!$M$21)))</f>
        <v>0</v>
      </c>
      <c r="AI1458" s="50" t="n">
        <f aca="false">AH1458*CB1458</f>
        <v>0</v>
      </c>
      <c r="AJ1458" s="51" t="n">
        <f aca="false">IF(LEFT(Cockpit!$C$5,1)="A",H1458,IF(CH1458=1,(CK1458+CI1458)/2,IF(LEFT(Cockpit!$C$5,1)="B",(CK1458+AL1458)/2,MAX((CK1458+AL1458)/2,H1458))))</f>
        <v>0</v>
      </c>
      <c r="AK1458" s="50" t="n">
        <f aca="false">AJ1458*G1458</f>
        <v>0</v>
      </c>
      <c r="AL1458" s="50" t="n">
        <f aca="false">ROUNDUP(CK1458+MAX(CL1458,2*(J1458/IF(CG1458&gt;0,CG1458,MAX(0.1,N(Cockpit!$C$6)))-CK1458)),0)</f>
        <v>34</v>
      </c>
      <c r="AM1458" s="51" t="n">
        <f aca="false">IF(AI1458&gt;0,J1458/AI1458,-1)</f>
        <v>-1</v>
      </c>
      <c r="AN1458" s="51" t="str">
        <f aca="false">IF(AND(OR(CF1458="L1",CF1458="L23",CF1458="LIFT"),AI1458&gt;0),SUMIFS($AI$7:$AI$1843,$CF$7:$CF$1843,CF1458,$AM$7:$AM$1843,"&gt;"&amp;AM1458)+SUMIFS($AI$7:$AI$1843,$CF$7:$CF$1843,CF1458,$AM$7:$AM$1843,AM1458,$BW$7:$BW$1843,"&lt;="&amp;BW1458),"")</f>
        <v/>
      </c>
      <c r="AO1458" s="58" t="n">
        <f aca="false">IF(AN1458="",0,MAX(0,MIN(1,(IF(CF1458="L1",Parameter!$H$5,IF(CF1458="L23",Parameter!$H$6+Parameter!$H$7,Parameter!$H$5+Parameter!$H$6+Parameter!$H$7))-(AN1458-AI1458))/AI1458)))</f>
        <v>0</v>
      </c>
      <c r="AP1458" s="50" t="n">
        <f aca="false">IF(LEFT(Cockpit!$I$5,1)="A",H1458,IF(Parameter!$E$30="MAX-Bestand",IF(CH1458=1,CI1458,IF(LEFT(Cockpit!$I$5,1)="B",AV1458,MAX(AV1458,H1458))),ROUNDUP(AT1458,0)))</f>
        <v>19</v>
      </c>
      <c r="AQ1458" s="50" t="n">
        <f aca="false">IF(BZ1458=1,0,ROUNDUP(AP1458/BY1458,0))</f>
        <v>2</v>
      </c>
      <c r="AR1458" s="52" t="n">
        <f aca="false">IF(CQ1458&gt;0,CQ1458*MAX(1,AP1458/X1458),IF(BZ1458=1,IF(AP1458&lt;=0,0,CD1458*MAX(1,IF(H1458&gt;0,AP1458/H1458,1))),IF(R1458&gt;0,AQ1458/R1458,0))/MAX(0.1,N(Parameter!$M$21)))</f>
        <v>0.166666666666667</v>
      </c>
      <c r="AS1458" s="50" t="n">
        <f aca="false">AR1458*CB1458</f>
        <v>24.1666666666667</v>
      </c>
      <c r="AT1458" s="51" t="n">
        <f aca="false">IF(LEFT(Cockpit!$I$5,1)="A",H1458,IF(CH1458=1,(CK1458+CI1458)/2,IF(LEFT(Cockpit!$I$5,1)="B",(CK1458+AV1458)/2,MAX((CK1458+AV1458)/2,H1458))))</f>
        <v>18.5</v>
      </c>
      <c r="AU1458" s="50" t="n">
        <f aca="false">AT1458*G1458</f>
        <v>21837.4</v>
      </c>
      <c r="AV1458" s="50" t="n">
        <f aca="false">ROUNDUP(CK1458+MAX(CL1458,2*(J1458/IF(CG1458&gt;0,CG1458,MAX(0.1,N(Cockpit!$I$6)))-CK1458)),0)</f>
        <v>34</v>
      </c>
      <c r="AW1458" s="51" t="n">
        <f aca="false">IF(AS1458&gt;0,J1458/AS1458,-1)</f>
        <v>2.27586206896552</v>
      </c>
      <c r="AX1458" s="51" t="n">
        <f aca="false">IF(AND(OR(CF1458="L1",CF1458="L23",CF1458="LIFT"),AS1458&gt;0),SUMIFS($AS$7:$AS$1843,$CF$7:$CF$1843,CF1458,$AW$7:$AW$1843,"&gt;"&amp;AW1458)+SUMIFS($AS$7:$AS$1843,$CF$7:$CF$1843,CF1458,$AW$7:$AW$1843,AW1458,$BW$7:$BW$1843,"&lt;="&amp;BW1458),"")</f>
        <v>6489.70283882784</v>
      </c>
      <c r="AY1458" s="58" t="n">
        <f aca="false">IF(AX1458="",0,MAX(0,MIN(1,(IF(CF1458="L1",Parameter!$H$5,IF(CF1458="L23",Parameter!$H$6+Parameter!$H$7,Parameter!$H$5+Parameter!$H$6+Parameter!$H$7))-(AX1458-AS1458))/AS1458)))</f>
        <v>1</v>
      </c>
      <c r="AZ1458" s="50" t="n">
        <f aca="false">IF(LEFT(Cockpit!$O$5,1)="A",H1458,IF(Parameter!$E$30="MAX-Bestand",IF(CH1458=1,CI1458,IF(LEFT(Cockpit!$O$5,1)="B",BF1458,MAX(BF1458,H1458))),ROUNDUP(BD1458,0)))</f>
        <v>14</v>
      </c>
      <c r="BA1458" s="50" t="n">
        <f aca="false">IF(BZ1458=1,0,ROUNDUP(AZ1458/BY1458,0))</f>
        <v>1</v>
      </c>
      <c r="BB1458" s="52" t="n">
        <f aca="false">IF(CQ1458&gt;0,CQ1458*MAX(1,AZ1458/X1458),IF(BZ1458=1,IF(AZ1458&lt;=0,0,CD1458*MAX(1,IF(H1458&gt;0,AZ1458/H1458,1))),IF(R1458&gt;0,BA1458/R1458,0))/MAX(0.1,N(Parameter!$M$21)))</f>
        <v>0.0833333333333333</v>
      </c>
      <c r="BC1458" s="50" t="n">
        <f aca="false">BB1458*CB1458</f>
        <v>12.0833333333333</v>
      </c>
      <c r="BD1458" s="51" t="n">
        <f aca="false">IF(LEFT(Cockpit!$O$5,1)="A",H1458,IF(CH1458=1,(CK1458+CI1458)/2,IF(LEFT(Cockpit!$O$5,1)="B",(CK1458+BF1458)/2,MAX((CK1458+BF1458)/2,H1458))))</f>
        <v>14</v>
      </c>
      <c r="BE1458" s="50" t="n">
        <f aca="false">BD1458*G1458</f>
        <v>16525.6</v>
      </c>
      <c r="BF1458" s="50" t="n">
        <f aca="false">ROUNDUP(CK1458+MAX(CL1458,2*(J1458/IF(CG1458&gt;0,CG1458,MAX(0.1,N(Cockpit!$O$6)))-CK1458)),0)</f>
        <v>25</v>
      </c>
      <c r="BG1458" s="51" t="n">
        <f aca="false">IF(BC1458&gt;0,J1458/BC1458,-1)</f>
        <v>4.55172413793104</v>
      </c>
      <c r="BH1458" s="51" t="n">
        <f aca="false">IF(AND(OR(CF1458="L1",CF1458="L23",CF1458="LIFT"),BC1458&gt;0),SUMIFS($BC$7:$BC$1843,$CF$7:$CF$1843,CF1458,$BG$7:$BG$1843,"&gt;"&amp;BG1458)+SUMIFS($BC$7:$BC$1843,$CF$7:$CF$1843,CF1458,$BG$7:$BG$1843,BG1458,$BW$7:$BW$1843,"&lt;="&amp;BW1458),"")</f>
        <v>3905.89652014652</v>
      </c>
      <c r="BI1458" s="58" t="n">
        <f aca="false">IF(BH1458="",0,MAX(0,MIN(1,(IF(CF1458="L1",Parameter!$H$5,IF(CF1458="L23",Parameter!$H$6+Parameter!$H$7,Parameter!$H$5+Parameter!$H$6+Parameter!$H$7))-(BH1458-BC1458))/BC1458)))</f>
        <v>1</v>
      </c>
      <c r="BJ1458" s="48" t="str">
        <f aca="false">IF(AI1458&lt;=0,"",IF(CF1458="Aussen","Aussenlager",IF(CF1458="-","Nicht im Lift",IF(AO1458&gt;=1,"Lift",IF(AO1458&lt;=0,"Aussenlager","teilweise")))))</f>
        <v/>
      </c>
      <c r="BK1458" s="48" t="str">
        <f aca="false">IF(AS1458&lt;=0,"",IF(CF1458="Aussen","Aussenlager",IF(CF1458="-","Nicht im Lift",IF(AY1458&gt;=1,"Lift",IF(AY1458&lt;=0,"Aussenlager","teilweise")))))</f>
        <v>Lift</v>
      </c>
      <c r="BL1458" s="48" t="str">
        <f aca="false">IF(BC1458&lt;=0,"",IF(CF1458="Aussen","Aussenlager",IF(CF1458="-","Nicht im Lift",IF(BI1458&gt;=1,"Lift",IF(BI1458&lt;=0,"Aussenlager","teilweise")))))</f>
        <v>Lift</v>
      </c>
      <c r="BM1458" s="48" t="str">
        <f aca="false">IF(A1458="","",IF(BV1458=1,"Neu; ","")&amp;IF(AND(BV1458=0,BQ1458&lt;0),"negativer Bestand (Export "&amp;BQ1458&amp;"); ","")&amp;IF(J1458&lt;=0,"Kein Verbrauch; ","")&amp;IF(CQ1458&gt;0,"Lift "&amp;W1458&amp;" lt. Liftbericht (Fach "&amp;X1458&amp;" Stk); ",IF(CA1458=1,"Gebinde geschätzt ("&amp;T1458&amp;"); ",IF(BZ1458=1,"Lose – Tablare geschätzt; ","")))&amp;IF(H1458&gt;AV1458,"Überbestand "&amp;ROUND(H1458-AV1458,0)&amp;" Stk / CHF "&amp;ROUND((H1458-AV1458)*G1458,0)&amp;"; ","")&amp;IF(AND(CH1458=1,CI1458&lt;CJ1458),"MAX &lt; MB+LG; ","")&amp;IF(AND(CP1458&gt;0,CO1458*10&gt;CP1458),"zu hoch für Tablar; ","")&amp;IF(AND(BV1458=0,OR(CH1458=1,AA1458&lt;&gt;"",U1458&lt;&gt;"",V1458&lt;&gt;"",AB1458&lt;&gt;"")),"manuell übersteuert; ","")&amp;IF(AND(BZ1458=0,R1458=0),"Gebinde unbekannt / Stellmass fehlt; ","")&amp;IF(AND(BZ1458=0,N(V1458)&lt;=0,N(Q1458)&lt;=0),"Menge pro Gebinde fehlt (Ist = 1 Gebinde); ","")&amp;BU1458)</f>
        <v>negativer Bestand (Export -13); Gebinde geschätzt (Mittel); Menge pro Gebinde fehlt (Ist = 1 Gebinde); </v>
      </c>
      <c r="BN1458" s="48"/>
      <c r="BO1458" s="48"/>
      <c r="BP1458" s="55"/>
      <c r="BQ1458" s="50" t="n">
        <v>-13</v>
      </c>
      <c r="BR1458" s="50" t="n">
        <v>0</v>
      </c>
      <c r="BS1458" s="49" t="n">
        <v>-18093.29</v>
      </c>
      <c r="BT1458" s="50" t="n">
        <v>55</v>
      </c>
      <c r="BU1458" s="48"/>
      <c r="BV1458" s="53" t="n">
        <v>0</v>
      </c>
      <c r="BW1458" s="53" t="n">
        <v>1458</v>
      </c>
      <c r="BX1458" s="48" t="str">
        <f aca="false">IF(U1458&lt;&gt;"",UPPER(TRIM(U1458)),IF(CA1458=1,UPPER(VLOOKUP(T1458,Parameter!$I$27:$K$29,2,0)),IF(P1458="","LOSE",P1458)))</f>
        <v>S61</v>
      </c>
      <c r="BY1458" s="50" t="n">
        <f aca="false">IF(BX1458="LOSE",1,IF(N(V1458)&gt;0,V1458,IF(CA1458=1,MAX(1,N(VLOOKUP(T1458,Parameter!$I$27:$K$29,3,0)),H1458,N(N1458)),IF(N(Q1458)&gt;0,Q1458,MAX(1,H1458)))))</f>
        <v>15</v>
      </c>
      <c r="BZ1458" s="53" t="n">
        <f aca="false">IF(BX1458="LOSE",1,0)</f>
        <v>0</v>
      </c>
      <c r="CA1458" s="53" t="n">
        <f aca="false">IF(AND(U1458="",OR(P1458="",P1458="LOSE"),T1458&lt;&gt;"",N(S1458)&lt;=0,ISNUMBER(MATCH(T1458,Parameter!$I$27:$I$29,0))),1,0)</f>
        <v>1</v>
      </c>
      <c r="CB1458" s="53" t="n">
        <f aca="false">IF(CQ1458&gt;0,INDEX(Parameter!$H$5:$H$7,W1458)/INDEX(Parameter!$E$5:$E$7,W1458),IF(AND(BZ1458=0,N(IFERROR(VLOOKUP(BX1458,'Gebinde-Kategorie'!$A$5:$N$45,14,0),0))&gt;0),VLOOKUP(BX1458,'Gebinde-Kategorie'!$A$5:$N$45,14,0)*10+Parameter!$M$23,Parameter!$M$24))</f>
        <v>145</v>
      </c>
      <c r="CC1458" s="48" t="n">
        <f aca="false">IF(AND(Parameter!$B$19="Ja",E1458&lt;&gt;"",ISNUMBER(MATCH(E1458,Parameter!$I$35:$I$52,0))),VLOOKUP(E1458,Parameter!$I$35:$J$52,2,0),IFERROR(VLOOKUP(D1458,Parameter!$A$35:$C$64,2,0),"Nein"))</f>
        <v>1</v>
      </c>
      <c r="CD1458" s="52" t="n">
        <f aca="false">IF(BZ1458=0,0,IF(N(S1458)&gt;0,S1458,IFERROR(VLOOKUP(D1458,Parameter!$A$35:$C$64,3,0)+0,0)))</f>
        <v>0</v>
      </c>
      <c r="CE1458" s="48" t="n">
        <f aca="false">IF(AA1458&lt;&gt;"",AA1458,Z1458)</f>
        <v>1</v>
      </c>
      <c r="CF1458" s="48" t="str">
        <f aca="false">IF(OR(CE1458=1,CE1458=2,CE1458=3),IF(Parameter!$E$27="Ja","LIFT",IF(CE1458=1,"L1","L23")),IF(CE1458="Aussen","Aussen","-"))</f>
        <v>LIFT</v>
      </c>
      <c r="CG1458" s="59" t="n">
        <f aca="false">IF(N(AB1458)&gt;0,AB1458,0)</f>
        <v>0</v>
      </c>
      <c r="CH1458" s="53" t="n">
        <f aca="false">IF(ISNUMBER(AE1458),1,0)</f>
        <v>0</v>
      </c>
      <c r="CI1458" s="50" t="n">
        <f aca="false">N(AE1458)</f>
        <v>0</v>
      </c>
      <c r="CJ1458" s="50" t="n">
        <f aca="false">N(M1458)+N(N1458)</f>
        <v>18</v>
      </c>
      <c r="CK1458" s="50" t="n">
        <f aca="false">N(M1458)</f>
        <v>3</v>
      </c>
      <c r="CL1458" s="50" t="n">
        <f aca="false">N(N1458)</f>
        <v>15</v>
      </c>
      <c r="CM1458" s="50" t="n">
        <f aca="false">ROUNDUP(H1458/BY1458,0)</f>
        <v>0</v>
      </c>
      <c r="CN1458" s="50" t="n">
        <f aca="false">ROUNDUP(CI1458/BY1458,0)</f>
        <v>0</v>
      </c>
      <c r="CO1458" s="53" t="n">
        <f aca="false">IF(BZ1458=1,0,IFERROR(VLOOKUP(BX1458,'Gebinde-Kategorie'!$A$5:$N$45,5,0)+0,0))</f>
        <v>11</v>
      </c>
      <c r="CP1458" s="53" t="n">
        <f aca="false">IFERROR(IF(OR(CE1458=1,CE1458=2,CE1458=3),N(INDEX(Parameter!$I$5:$I$7,CE1458)),0),0)</f>
        <v>0</v>
      </c>
      <c r="CQ1458" s="52" t="n">
        <f aca="false">IF(AND(Parameter!$B$21="Ja",ISNUMBER(W1458),N(X1458)&gt;0),IFERROR(N(INDEX(Parameter!$L$5:$L$7,W1458))*INDEX(Parameter!$E$5:$E$7,W1458)*X1458/SUMIFS($X$7:$X$1843,$W$7:$W$1843,W1458),0),0)</f>
        <v>0</v>
      </c>
    </row>
    <row r="1459" customFormat="false" ht="15" hidden="false" customHeight="false" outlineLevel="0" collapsed="false">
      <c r="A1459" s="48" t="s">
        <v>2560</v>
      </c>
      <c r="B1459" s="48" t="s">
        <v>2561</v>
      </c>
      <c r="C1459" s="48" t="s">
        <v>173</v>
      </c>
      <c r="D1459" s="48" t="s">
        <v>182</v>
      </c>
      <c r="E1459" s="48" t="s">
        <v>175</v>
      </c>
      <c r="F1459" s="48"/>
      <c r="G1459" s="49" t="n">
        <v>286.19</v>
      </c>
      <c r="H1459" s="50" t="n">
        <f aca="false">MAX(0,IF(AND(Parameter!$B$21="Ja",ISNUMBER(Y1459)),Y1459,IF(Parameter!$B$20="Jahresanfang 2025 + Export",BR1459+BQ1459,BQ1459)))</f>
        <v>0</v>
      </c>
      <c r="I1459" s="50" t="n">
        <f aca="false">H1459*G1459</f>
        <v>0</v>
      </c>
      <c r="J1459" s="50" t="n">
        <f aca="false">BT1459*Parameter!$B$18</f>
        <v>44</v>
      </c>
      <c r="K1459" s="51"/>
      <c r="L1459" s="52"/>
      <c r="M1459" s="50" t="n">
        <v>2</v>
      </c>
      <c r="N1459" s="50" t="n">
        <v>35</v>
      </c>
      <c r="O1459" s="53"/>
      <c r="P1459" s="48" t="s">
        <v>183</v>
      </c>
      <c r="Q1459" s="50" t="n">
        <v>36</v>
      </c>
      <c r="R1459" s="53" t="n">
        <f aca="false">IF(BZ1459=1,0,IFERROR(VLOOKUP(BX1459,'Gebinde-Kategorie'!$A$5:$N$45,13,0)+0,0))</f>
        <v>6</v>
      </c>
      <c r="S1459" s="54"/>
      <c r="T1459" s="55"/>
      <c r="U1459" s="55"/>
      <c r="V1459" s="55"/>
      <c r="W1459" s="48"/>
      <c r="X1459" s="50"/>
      <c r="Y1459" s="50"/>
      <c r="Z1459" s="48" t="n">
        <f aca="false">IF(A1459="","",IF(AND(Parameter!$B$21="Ja",ISNUMBER(W1459)),W1459,IF(CC1459="2+3",IF(ISNUMBER(SEARCH("grosser Artikel",BU1459)),2,IFERROR(VLOOKUP(BX1459,Parameter!$F$35:$G$64,2,0),2)),IF(OR(CC1459="Nein",CC1459=""),"-",CC1459))))</f>
        <v>1</v>
      </c>
      <c r="AA1459" s="55"/>
      <c r="AB1459" s="56"/>
      <c r="AC1459" s="50" t="n">
        <f aca="false">AV1459</f>
        <v>37</v>
      </c>
      <c r="AD1459" s="50" t="n">
        <f aca="false">MAX(AV1459,H1459)</f>
        <v>37</v>
      </c>
      <c r="AE1459" s="57"/>
      <c r="AF1459" s="50" t="n">
        <f aca="false">IF(LEFT(Cockpit!$C$5,1)="A",H1459,IF(Parameter!$E$30="MAX-Bestand",IF(CH1459=1,CI1459,IF(LEFT(Cockpit!$C$5,1)="B",AL1459,MAX(AL1459,H1459))),ROUNDUP(AJ1459,0)))</f>
        <v>0</v>
      </c>
      <c r="AG1459" s="50" t="n">
        <f aca="false">IF(BZ1459=1,0,ROUNDUP(AF1459/BY1459,0))</f>
        <v>0</v>
      </c>
      <c r="AH1459" s="52" t="n">
        <f aca="false">IF(CQ1459&gt;0,CQ1459*MAX(1,AF1459/X1459),IF(BZ1459=1,IF(AF1459&lt;=0,0,CD1459*MAX(1,IF(H1459&gt;0,AF1459/H1459,1))),IF(R1459&gt;0,AG1459/R1459,0))/MAX(0.1,N(Parameter!$M$21)))</f>
        <v>0</v>
      </c>
      <c r="AI1459" s="50" t="n">
        <f aca="false">AH1459*CB1459</f>
        <v>0</v>
      </c>
      <c r="AJ1459" s="51" t="n">
        <f aca="false">IF(LEFT(Cockpit!$C$5,1)="A",H1459,IF(CH1459=1,(CK1459+CI1459)/2,IF(LEFT(Cockpit!$C$5,1)="B",(CK1459+AL1459)/2,MAX((CK1459+AL1459)/2,H1459))))</f>
        <v>0</v>
      </c>
      <c r="AK1459" s="50" t="n">
        <f aca="false">AJ1459*G1459</f>
        <v>0</v>
      </c>
      <c r="AL1459" s="50" t="n">
        <f aca="false">ROUNDUP(CK1459+MAX(CL1459,2*(J1459/IF(CG1459&gt;0,CG1459,MAX(0.1,N(Cockpit!$C$6)))-CK1459)),0)</f>
        <v>37</v>
      </c>
      <c r="AM1459" s="51" t="n">
        <f aca="false">IF(AI1459&gt;0,J1459/AI1459,-1)</f>
        <v>-1</v>
      </c>
      <c r="AN1459" s="51" t="str">
        <f aca="false">IF(AND(OR(CF1459="L1",CF1459="L23",CF1459="LIFT"),AI1459&gt;0),SUMIFS($AI$7:$AI$1843,$CF$7:$CF$1843,CF1459,$AM$7:$AM$1843,"&gt;"&amp;AM1459)+SUMIFS($AI$7:$AI$1843,$CF$7:$CF$1843,CF1459,$AM$7:$AM$1843,AM1459,$BW$7:$BW$1843,"&lt;="&amp;BW1459),"")</f>
        <v/>
      </c>
      <c r="AO1459" s="58" t="n">
        <f aca="false">IF(AN1459="",0,MAX(0,MIN(1,(IF(CF1459="L1",Parameter!$H$5,IF(CF1459="L23",Parameter!$H$6+Parameter!$H$7,Parameter!$H$5+Parameter!$H$6+Parameter!$H$7))-(AN1459-AI1459))/AI1459)))</f>
        <v>0</v>
      </c>
      <c r="AP1459" s="50" t="n">
        <f aca="false">IF(LEFT(Cockpit!$I$5,1)="A",H1459,IF(Parameter!$E$30="MAX-Bestand",IF(CH1459=1,CI1459,IF(LEFT(Cockpit!$I$5,1)="B",AV1459,MAX(AV1459,H1459))),ROUNDUP(AT1459,0)))</f>
        <v>20</v>
      </c>
      <c r="AQ1459" s="50" t="n">
        <f aca="false">IF(BZ1459=1,0,ROUNDUP(AP1459/BY1459,0))</f>
        <v>1</v>
      </c>
      <c r="AR1459" s="52" t="n">
        <f aca="false">IF(CQ1459&gt;0,CQ1459*MAX(1,AP1459/X1459),IF(BZ1459=1,IF(AP1459&lt;=0,0,CD1459*MAX(1,IF(H1459&gt;0,AP1459/H1459,1))),IF(R1459&gt;0,AQ1459/R1459,0))/MAX(0.1,N(Parameter!$M$21)))</f>
        <v>0.166666666666667</v>
      </c>
      <c r="AS1459" s="50" t="n">
        <f aca="false">AR1459*CB1459</f>
        <v>39.1666666666667</v>
      </c>
      <c r="AT1459" s="51" t="n">
        <f aca="false">IF(LEFT(Cockpit!$I$5,1)="A",H1459,IF(CH1459=1,(CK1459+CI1459)/2,IF(LEFT(Cockpit!$I$5,1)="B",(CK1459+AV1459)/2,MAX((CK1459+AV1459)/2,H1459))))</f>
        <v>19.5</v>
      </c>
      <c r="AU1459" s="50" t="n">
        <f aca="false">AT1459*G1459</f>
        <v>5580.705</v>
      </c>
      <c r="AV1459" s="50" t="n">
        <f aca="false">ROUNDUP(CK1459+MAX(CL1459,2*(J1459/IF(CG1459&gt;0,CG1459,MAX(0.1,N(Cockpit!$I$6)))-CK1459)),0)</f>
        <v>37</v>
      </c>
      <c r="AW1459" s="51" t="n">
        <f aca="false">IF(AS1459&gt;0,J1459/AS1459,-1)</f>
        <v>1.12340425531915</v>
      </c>
      <c r="AX1459" s="51" t="n">
        <f aca="false">IF(AND(OR(CF1459="L1",CF1459="L23",CF1459="LIFT"),AS1459&gt;0),SUMIFS($AS$7:$AS$1843,$CF$7:$CF$1843,CF1459,$AW$7:$AW$1843,"&gt;"&amp;AW1459)+SUMIFS($AS$7:$AS$1843,$CF$7:$CF$1843,CF1459,$AW$7:$AW$1843,AW1459,$BW$7:$BW$1843,"&lt;="&amp;BW1459),"")</f>
        <v>8212.35073260073</v>
      </c>
      <c r="AY1459" s="58" t="n">
        <f aca="false">IF(AX1459="",0,MAX(0,MIN(1,(IF(CF1459="L1",Parameter!$H$5,IF(CF1459="L23",Parameter!$H$6+Parameter!$H$7,Parameter!$H$5+Parameter!$H$6+Parameter!$H$7))-(AX1459-AS1459))/AS1459)))</f>
        <v>1</v>
      </c>
      <c r="AZ1459" s="50" t="n">
        <f aca="false">IF(LEFT(Cockpit!$O$5,1)="A",H1459,IF(Parameter!$E$30="MAX-Bestand",IF(CH1459=1,CI1459,IF(LEFT(Cockpit!$O$5,1)="B",BF1459,MAX(BF1459,H1459))),ROUNDUP(BD1459,0)))</f>
        <v>20</v>
      </c>
      <c r="BA1459" s="50" t="n">
        <f aca="false">IF(BZ1459=1,0,ROUNDUP(AZ1459/BY1459,0))</f>
        <v>1</v>
      </c>
      <c r="BB1459" s="52" t="n">
        <f aca="false">IF(CQ1459&gt;0,CQ1459*MAX(1,AZ1459/X1459),IF(BZ1459=1,IF(AZ1459&lt;=0,0,CD1459*MAX(1,IF(H1459&gt;0,AZ1459/H1459,1))),IF(R1459&gt;0,BA1459/R1459,0))/MAX(0.1,N(Parameter!$M$21)))</f>
        <v>0.166666666666667</v>
      </c>
      <c r="BC1459" s="50" t="n">
        <f aca="false">BB1459*CB1459</f>
        <v>39.1666666666667</v>
      </c>
      <c r="BD1459" s="51" t="n">
        <f aca="false">IF(LEFT(Cockpit!$O$5,1)="A",H1459,IF(CH1459=1,(CK1459+CI1459)/2,IF(LEFT(Cockpit!$O$5,1)="B",(CK1459+BF1459)/2,MAX((CK1459+BF1459)/2,H1459))))</f>
        <v>19.5</v>
      </c>
      <c r="BE1459" s="50" t="n">
        <f aca="false">BD1459*G1459</f>
        <v>5580.705</v>
      </c>
      <c r="BF1459" s="50" t="n">
        <f aca="false">ROUNDUP(CK1459+MAX(CL1459,2*(J1459/IF(CG1459&gt;0,CG1459,MAX(0.1,N(Cockpit!$O$6)))-CK1459)),0)</f>
        <v>37</v>
      </c>
      <c r="BG1459" s="51" t="n">
        <f aca="false">IF(BC1459&gt;0,J1459/BC1459,-1)</f>
        <v>1.12340425531915</v>
      </c>
      <c r="BH1459" s="51" t="n">
        <f aca="false">IF(AND(OR(CF1459="L1",CF1459="L23",CF1459="LIFT"),BC1459&gt;0),SUMIFS($BC$7:$BC$1843,$CF$7:$CF$1843,CF1459,$BG$7:$BG$1843,"&gt;"&amp;BG1459)+SUMIFS($BC$7:$BC$1843,$CF$7:$CF$1843,CF1459,$BG$7:$BG$1843,BG1459,$BW$7:$BW$1843,"&lt;="&amp;BW1459),"")</f>
        <v>7302.80357142857</v>
      </c>
      <c r="BI1459" s="58" t="n">
        <f aca="false">IF(BH1459="",0,MAX(0,MIN(1,(IF(CF1459="L1",Parameter!$H$5,IF(CF1459="L23",Parameter!$H$6+Parameter!$H$7,Parameter!$H$5+Parameter!$H$6+Parameter!$H$7))-(BH1459-BC1459))/BC1459)))</f>
        <v>1</v>
      </c>
      <c r="BJ1459" s="48" t="str">
        <f aca="false">IF(AI1459&lt;=0,"",IF(CF1459="Aussen","Aussenlager",IF(CF1459="-","Nicht im Lift",IF(AO1459&gt;=1,"Lift",IF(AO1459&lt;=0,"Aussenlager","teilweise")))))</f>
        <v/>
      </c>
      <c r="BK1459" s="48" t="str">
        <f aca="false">IF(AS1459&lt;=0,"",IF(CF1459="Aussen","Aussenlager",IF(CF1459="-","Nicht im Lift",IF(AY1459&gt;=1,"Lift",IF(AY1459&lt;=0,"Aussenlager","teilweise")))))</f>
        <v>Lift</v>
      </c>
      <c r="BL1459" s="48" t="str">
        <f aca="false">IF(BC1459&lt;=0,"",IF(CF1459="Aussen","Aussenlager",IF(CF1459="-","Nicht im Lift",IF(BI1459&gt;=1,"Lift",IF(BI1459&lt;=0,"Aussenlager","teilweise")))))</f>
        <v>Lift</v>
      </c>
      <c r="BM1459" s="48" t="str">
        <f aca="false">IF(A1459="","",IF(BV1459=1,"Neu; ","")&amp;IF(AND(BV1459=0,BQ1459&lt;0),"negativer Bestand (Export "&amp;BQ1459&amp;"); ","")&amp;IF(J1459&lt;=0,"Kein Verbrauch; ","")&amp;IF(CQ1459&gt;0,"Lift "&amp;W1459&amp;" lt. Liftbericht (Fach "&amp;X1459&amp;" Stk); ",IF(CA1459=1,"Gebinde geschätzt ("&amp;T1459&amp;"); ",IF(BZ1459=1,"Lose – Tablare geschätzt; ","")))&amp;IF(H1459&gt;AV1459,"Überbestand "&amp;ROUND(H1459-AV1459,0)&amp;" Stk / CHF "&amp;ROUND((H1459-AV1459)*G1459,0)&amp;"; ","")&amp;IF(AND(CH1459=1,CI1459&lt;CJ1459),"MAX &lt; MB+LG; ","")&amp;IF(AND(CP1459&gt;0,CO1459*10&gt;CP1459),"zu hoch für Tablar; ","")&amp;IF(AND(BV1459=0,OR(CH1459=1,AA1459&lt;&gt;"",U1459&lt;&gt;"",V1459&lt;&gt;"",AB1459&lt;&gt;"")),"manuell übersteuert; ","")&amp;IF(AND(BZ1459=0,R1459=0),"Gebinde unbekannt / Stellmass fehlt; ","")&amp;IF(AND(BZ1459=0,N(V1459)&lt;=0,N(Q1459)&lt;=0),"Menge pro Gebinde fehlt (Ist = 1 Gebinde); ","")&amp;BU1459)</f>
        <v>negativer Bestand (Export -61); Neu</v>
      </c>
      <c r="BN1459" s="48"/>
      <c r="BO1459" s="48"/>
      <c r="BP1459" s="55"/>
      <c r="BQ1459" s="50" t="n">
        <v>-61</v>
      </c>
      <c r="BR1459" s="50" t="n">
        <v>0</v>
      </c>
      <c r="BS1459" s="49" t="n">
        <v>-18618.23</v>
      </c>
      <c r="BT1459" s="50" t="n">
        <v>44</v>
      </c>
      <c r="BU1459" s="48" t="s">
        <v>635</v>
      </c>
      <c r="BV1459" s="53" t="n">
        <v>0</v>
      </c>
      <c r="BW1459" s="53" t="n">
        <v>1459</v>
      </c>
      <c r="BX1459" s="48" t="str">
        <f aca="false">IF(U1459&lt;&gt;"",UPPER(TRIM(U1459)),IF(CA1459=1,UPPER(VLOOKUP(T1459,Parameter!$I$27:$K$29,2,0)),IF(P1459="","LOSE",P1459)))</f>
        <v>S71</v>
      </c>
      <c r="BY1459" s="50" t="n">
        <f aca="false">IF(BX1459="LOSE",1,IF(N(V1459)&gt;0,V1459,IF(CA1459=1,MAX(1,N(VLOOKUP(T1459,Parameter!$I$27:$K$29,3,0)),H1459,N(N1459)),IF(N(Q1459)&gt;0,Q1459,MAX(1,H1459)))))</f>
        <v>36</v>
      </c>
      <c r="BZ1459" s="53" t="n">
        <f aca="false">IF(BX1459="LOSE",1,0)</f>
        <v>0</v>
      </c>
      <c r="CA1459" s="53" t="n">
        <f aca="false">IF(AND(U1459="",OR(P1459="",P1459="LOSE"),T1459&lt;&gt;"",N(S1459)&lt;=0,ISNUMBER(MATCH(T1459,Parameter!$I$27:$I$29,0))),1,0)</f>
        <v>0</v>
      </c>
      <c r="CB1459" s="53" t="n">
        <f aca="false">IF(CQ1459&gt;0,INDEX(Parameter!$H$5:$H$7,W1459)/INDEX(Parameter!$E$5:$E$7,W1459),IF(AND(BZ1459=0,N(IFERROR(VLOOKUP(BX1459,'Gebinde-Kategorie'!$A$5:$N$45,14,0),0))&gt;0),VLOOKUP(BX1459,'Gebinde-Kategorie'!$A$5:$N$45,14,0)*10+Parameter!$M$23,Parameter!$M$24))</f>
        <v>235</v>
      </c>
      <c r="CC1459" s="48" t="n">
        <f aca="false">IF(AND(Parameter!$B$19="Ja",E1459&lt;&gt;"",ISNUMBER(MATCH(E1459,Parameter!$I$35:$I$52,0))),VLOOKUP(E1459,Parameter!$I$35:$J$52,2,0),IFERROR(VLOOKUP(D1459,Parameter!$A$35:$C$64,2,0),"Nein"))</f>
        <v>1</v>
      </c>
      <c r="CD1459" s="52" t="n">
        <f aca="false">IF(BZ1459=0,0,IF(N(S1459)&gt;0,S1459,IFERROR(VLOOKUP(D1459,Parameter!$A$35:$C$64,3,0)+0,0)))</f>
        <v>0</v>
      </c>
      <c r="CE1459" s="48" t="n">
        <f aca="false">IF(AA1459&lt;&gt;"",AA1459,Z1459)</f>
        <v>1</v>
      </c>
      <c r="CF1459" s="48" t="str">
        <f aca="false">IF(OR(CE1459=1,CE1459=2,CE1459=3),IF(Parameter!$E$27="Ja","LIFT",IF(CE1459=1,"L1","L23")),IF(CE1459="Aussen","Aussen","-"))</f>
        <v>LIFT</v>
      </c>
      <c r="CG1459" s="59" t="n">
        <f aca="false">IF(N(AB1459)&gt;0,AB1459,0)</f>
        <v>0</v>
      </c>
      <c r="CH1459" s="53" t="n">
        <f aca="false">IF(ISNUMBER(AE1459),1,0)</f>
        <v>0</v>
      </c>
      <c r="CI1459" s="50" t="n">
        <f aca="false">N(AE1459)</f>
        <v>0</v>
      </c>
      <c r="CJ1459" s="50" t="n">
        <f aca="false">N(M1459)+N(N1459)</f>
        <v>37</v>
      </c>
      <c r="CK1459" s="50" t="n">
        <f aca="false">N(M1459)</f>
        <v>2</v>
      </c>
      <c r="CL1459" s="50" t="n">
        <f aca="false">N(N1459)</f>
        <v>35</v>
      </c>
      <c r="CM1459" s="50" t="n">
        <f aca="false">ROUNDUP(H1459/BY1459,0)</f>
        <v>0</v>
      </c>
      <c r="CN1459" s="50" t="n">
        <f aca="false">ROUNDUP(CI1459/BY1459,0)</f>
        <v>0</v>
      </c>
      <c r="CO1459" s="53" t="n">
        <f aca="false">IF(BZ1459=1,0,IFERROR(VLOOKUP(BX1459,'Gebinde-Kategorie'!$A$5:$N$45,5,0)+0,0))</f>
        <v>20</v>
      </c>
      <c r="CP1459" s="53" t="n">
        <f aca="false">IFERROR(IF(OR(CE1459=1,CE1459=2,CE1459=3),N(INDEX(Parameter!$I$5:$I$7,CE1459)),0),0)</f>
        <v>0</v>
      </c>
      <c r="CQ1459" s="52" t="n">
        <f aca="false">IF(AND(Parameter!$B$21="Ja",ISNUMBER(W1459),N(X1459)&gt;0),IFERROR(N(INDEX(Parameter!$L$5:$L$7,W1459))*INDEX(Parameter!$E$5:$E$7,W1459)*X1459/SUMIFS($X$7:$X$1843,$W$7:$W$1843,W1459),0),0)</f>
        <v>0</v>
      </c>
    </row>
    <row r="1460" customFormat="false" ht="15" hidden="false" customHeight="false" outlineLevel="0" collapsed="false">
      <c r="A1460" s="48" t="s">
        <v>2562</v>
      </c>
      <c r="B1460" s="48" t="s">
        <v>414</v>
      </c>
      <c r="C1460" s="48" t="s">
        <v>465</v>
      </c>
      <c r="D1460" s="48" t="s">
        <v>182</v>
      </c>
      <c r="E1460" s="48"/>
      <c r="F1460" s="48"/>
      <c r="G1460" s="49" t="n">
        <v>5.53</v>
      </c>
      <c r="H1460" s="50" t="n">
        <f aca="false">MAX(0,IF(AND(Parameter!$B$21="Ja",ISNUMBER(Y1460)),Y1460,IF(Parameter!$B$20="Jahresanfang 2025 + Export",BR1460+BQ1460,BQ1460)))</f>
        <v>0</v>
      </c>
      <c r="I1460" s="50" t="n">
        <f aca="false">H1460*G1460</f>
        <v>0</v>
      </c>
      <c r="J1460" s="50" t="n">
        <f aca="false">BT1460*Parameter!$B$18</f>
        <v>3500</v>
      </c>
      <c r="K1460" s="51"/>
      <c r="L1460" s="52"/>
      <c r="M1460" s="50" t="n">
        <v>2041</v>
      </c>
      <c r="N1460" s="50" t="n">
        <v>1265</v>
      </c>
      <c r="O1460" s="53"/>
      <c r="P1460" s="48" t="s">
        <v>177</v>
      </c>
      <c r="Q1460" s="50"/>
      <c r="R1460" s="53" t="n">
        <f aca="false">IF(BZ1460=1,0,IFERROR(VLOOKUP(BX1460,'Gebinde-Kategorie'!$A$5:$N$45,13,0)+0,0))</f>
        <v>26</v>
      </c>
      <c r="S1460" s="54"/>
      <c r="T1460" s="55" t="s">
        <v>284</v>
      </c>
      <c r="U1460" s="55"/>
      <c r="V1460" s="55"/>
      <c r="W1460" s="48"/>
      <c r="X1460" s="50"/>
      <c r="Y1460" s="50"/>
      <c r="Z1460" s="48" t="n">
        <f aca="false">IF(A1460="","",IF(AND(Parameter!$B$21="Ja",ISNUMBER(W1460)),W1460,IF(CC1460="2+3",IF(ISNUMBER(SEARCH("grosser Artikel",BU1460)),2,IFERROR(VLOOKUP(BX1460,Parameter!$F$35:$G$64,2,0),2)),IF(OR(CC1460="Nein",CC1460=""),"-",CC1460))))</f>
        <v>3</v>
      </c>
      <c r="AA1460" s="55"/>
      <c r="AB1460" s="56"/>
      <c r="AC1460" s="50" t="n">
        <f aca="false">AV1460</f>
        <v>3306</v>
      </c>
      <c r="AD1460" s="50" t="n">
        <f aca="false">MAX(AV1460,H1460)</f>
        <v>3306</v>
      </c>
      <c r="AE1460" s="57"/>
      <c r="AF1460" s="50" t="n">
        <f aca="false">IF(LEFT(Cockpit!$C$5,1)="A",H1460,IF(Parameter!$E$30="MAX-Bestand",IF(CH1460=1,CI1460,IF(LEFT(Cockpit!$C$5,1)="B",AL1460,MAX(AL1460,H1460))),ROUNDUP(AJ1460,0)))</f>
        <v>0</v>
      </c>
      <c r="AG1460" s="50" t="n">
        <f aca="false">IF(BZ1460=1,0,ROUNDUP(AF1460/BY1460,0))</f>
        <v>0</v>
      </c>
      <c r="AH1460" s="52" t="n">
        <f aca="false">IF(CQ1460&gt;0,CQ1460*MAX(1,AF1460/X1460),IF(BZ1460=1,IF(AF1460&lt;=0,0,CD1460*MAX(1,IF(H1460&gt;0,AF1460/H1460,1))),IF(R1460&gt;0,AG1460/R1460,0))/MAX(0.1,N(Parameter!$M$21)))</f>
        <v>0</v>
      </c>
      <c r="AI1460" s="50" t="n">
        <f aca="false">AH1460*CB1460</f>
        <v>0</v>
      </c>
      <c r="AJ1460" s="51" t="n">
        <f aca="false">IF(LEFT(Cockpit!$C$5,1)="A",H1460,IF(CH1460=1,(CK1460+CI1460)/2,IF(LEFT(Cockpit!$C$5,1)="B",(CK1460+AL1460)/2,MAX((CK1460+AL1460)/2,H1460))))</f>
        <v>0</v>
      </c>
      <c r="AK1460" s="50" t="n">
        <f aca="false">AJ1460*G1460</f>
        <v>0</v>
      </c>
      <c r="AL1460" s="50" t="n">
        <f aca="false">ROUNDUP(CK1460+MAX(CL1460,2*(J1460/IF(CG1460&gt;0,CG1460,MAX(0.1,N(Cockpit!$C$6)))-CK1460)),0)</f>
        <v>3306</v>
      </c>
      <c r="AM1460" s="51" t="n">
        <f aca="false">IF(AI1460&gt;0,J1460/AI1460,-1)</f>
        <v>-1</v>
      </c>
      <c r="AN1460" s="51" t="str">
        <f aca="false">IF(AND(OR(CF1460="L1",CF1460="L23",CF1460="LIFT"),AI1460&gt;0),SUMIFS($AI$7:$AI$1843,$CF$7:$CF$1843,CF1460,$AM$7:$AM$1843,"&gt;"&amp;AM1460)+SUMIFS($AI$7:$AI$1843,$CF$7:$CF$1843,CF1460,$AM$7:$AM$1843,AM1460,$BW$7:$BW$1843,"&lt;="&amp;BW1460),"")</f>
        <v/>
      </c>
      <c r="AO1460" s="58" t="n">
        <f aca="false">IF(AN1460="",0,MAX(0,MIN(1,(IF(CF1460="L1",Parameter!$H$5,IF(CF1460="L23",Parameter!$H$6+Parameter!$H$7,Parameter!$H$5+Parameter!$H$6+Parameter!$H$7))-(AN1460-AI1460))/AI1460)))</f>
        <v>0</v>
      </c>
      <c r="AP1460" s="50" t="n">
        <f aca="false">IF(LEFT(Cockpit!$I$5,1)="A",H1460,IF(Parameter!$E$30="MAX-Bestand",IF(CH1460=1,CI1460,IF(LEFT(Cockpit!$I$5,1)="B",AV1460,MAX(AV1460,H1460))),ROUNDUP(AT1460,0)))</f>
        <v>2674</v>
      </c>
      <c r="AQ1460" s="50" t="n">
        <f aca="false">IF(BZ1460=1,0,ROUNDUP(AP1460/BY1460,0))</f>
        <v>3</v>
      </c>
      <c r="AR1460" s="52" t="n">
        <f aca="false">IF(CQ1460&gt;0,CQ1460*MAX(1,AP1460/X1460),IF(BZ1460=1,IF(AP1460&lt;=0,0,CD1460*MAX(1,IF(H1460&gt;0,AP1460/H1460,1))),IF(R1460&gt;0,AQ1460/R1460,0))/MAX(0.1,N(Parameter!$M$21)))</f>
        <v>0.115384615384615</v>
      </c>
      <c r="AS1460" s="50" t="n">
        <f aca="false">AR1460*CB1460</f>
        <v>17.8846153846154</v>
      </c>
      <c r="AT1460" s="51" t="n">
        <f aca="false">IF(LEFT(Cockpit!$I$5,1)="A",H1460,IF(CH1460=1,(CK1460+CI1460)/2,IF(LEFT(Cockpit!$I$5,1)="B",(CK1460+AV1460)/2,MAX((CK1460+AV1460)/2,H1460))))</f>
        <v>2673.5</v>
      </c>
      <c r="AU1460" s="50" t="n">
        <f aca="false">AT1460*G1460</f>
        <v>14784.455</v>
      </c>
      <c r="AV1460" s="50" t="n">
        <f aca="false">ROUNDUP(CK1460+MAX(CL1460,2*(J1460/IF(CG1460&gt;0,CG1460,MAX(0.1,N(Cockpit!$I$6)))-CK1460)),0)</f>
        <v>3306</v>
      </c>
      <c r="AW1460" s="51" t="n">
        <f aca="false">IF(AS1460&gt;0,J1460/AS1460,-1)</f>
        <v>195.698924731183</v>
      </c>
      <c r="AX1460" s="51" t="n">
        <f aca="false">IF(AND(OR(CF1460="L1",CF1460="L23",CF1460="LIFT"),AS1460&gt;0),SUMIFS($AS$7:$AS$1843,$CF$7:$CF$1843,CF1460,$AW$7:$AW$1843,"&gt;"&amp;AW1460)+SUMIFS($AS$7:$AS$1843,$CF$7:$CF$1843,CF1460,$AW$7:$AW$1843,AW1460,$BW$7:$BW$1843,"&lt;="&amp;BW1460),"")</f>
        <v>472.526098901099</v>
      </c>
      <c r="AY1460" s="58" t="n">
        <f aca="false">IF(AX1460="",0,MAX(0,MIN(1,(IF(CF1460="L1",Parameter!$H$5,IF(CF1460="L23",Parameter!$H$6+Parameter!$H$7,Parameter!$H$5+Parameter!$H$6+Parameter!$H$7))-(AX1460-AS1460))/AS1460)))</f>
        <v>1</v>
      </c>
      <c r="AZ1460" s="50" t="n">
        <f aca="false">IF(LEFT(Cockpit!$O$5,1)="A",H1460,IF(Parameter!$E$30="MAX-Bestand",IF(CH1460=1,CI1460,IF(LEFT(Cockpit!$O$5,1)="B",BF1460,MAX(BF1460,H1460))),ROUNDUP(BD1460,0)))</f>
        <v>2674</v>
      </c>
      <c r="BA1460" s="50" t="n">
        <f aca="false">IF(BZ1460=1,0,ROUNDUP(AZ1460/BY1460,0))</f>
        <v>3</v>
      </c>
      <c r="BB1460" s="52" t="n">
        <f aca="false">IF(CQ1460&gt;0,CQ1460*MAX(1,AZ1460/X1460),IF(BZ1460=1,IF(AZ1460&lt;=0,0,CD1460*MAX(1,IF(H1460&gt;0,AZ1460/H1460,1))),IF(R1460&gt;0,BA1460/R1460,0))/MAX(0.1,N(Parameter!$M$21)))</f>
        <v>0.115384615384615</v>
      </c>
      <c r="BC1460" s="50" t="n">
        <f aca="false">BB1460*CB1460</f>
        <v>17.8846153846154</v>
      </c>
      <c r="BD1460" s="51" t="n">
        <f aca="false">IF(LEFT(Cockpit!$O$5,1)="A",H1460,IF(CH1460=1,(CK1460+CI1460)/2,IF(LEFT(Cockpit!$O$5,1)="B",(CK1460+BF1460)/2,MAX((CK1460+BF1460)/2,H1460))))</f>
        <v>2673.5</v>
      </c>
      <c r="BE1460" s="50" t="n">
        <f aca="false">BD1460*G1460</f>
        <v>14784.455</v>
      </c>
      <c r="BF1460" s="50" t="n">
        <f aca="false">ROUNDUP(CK1460+MAX(CL1460,2*(J1460/IF(CG1460&gt;0,CG1460,MAX(0.1,N(Cockpit!$O$6)))-CK1460)),0)</f>
        <v>3306</v>
      </c>
      <c r="BG1460" s="51" t="n">
        <f aca="false">IF(BC1460&gt;0,J1460/BC1460,-1)</f>
        <v>195.698924731183</v>
      </c>
      <c r="BH1460" s="51" t="n">
        <f aca="false">IF(AND(OR(CF1460="L1",CF1460="L23",CF1460="LIFT"),BC1460&gt;0),SUMIFS($BC$7:$BC$1843,$CF$7:$CF$1843,CF1460,$BG$7:$BG$1843,"&gt;"&amp;BG1460)+SUMIFS($BC$7:$BC$1843,$CF$7:$CF$1843,CF1460,$BG$7:$BG$1843,BG1460,$BW$7:$BW$1843,"&lt;="&amp;BW1460),"")</f>
        <v>471.177197802198</v>
      </c>
      <c r="BI1460" s="58" t="n">
        <f aca="false">IF(BH1460="",0,MAX(0,MIN(1,(IF(CF1460="L1",Parameter!$H$5,IF(CF1460="L23",Parameter!$H$6+Parameter!$H$7,Parameter!$H$5+Parameter!$H$6+Parameter!$H$7))-(BH1460-BC1460))/BC1460)))</f>
        <v>1</v>
      </c>
      <c r="BJ1460" s="48" t="str">
        <f aca="false">IF(AI1460&lt;=0,"",IF(CF1460="Aussen","Aussenlager",IF(CF1460="-","Nicht im Lift",IF(AO1460&gt;=1,"Lift",IF(AO1460&lt;=0,"Aussenlager","teilweise")))))</f>
        <v/>
      </c>
      <c r="BK1460" s="48" t="str">
        <f aca="false">IF(AS1460&lt;=0,"",IF(CF1460="Aussen","Aussenlager",IF(CF1460="-","Nicht im Lift",IF(AY1460&gt;=1,"Lift",IF(AY1460&lt;=0,"Aussenlager","teilweise")))))</f>
        <v>Lift</v>
      </c>
      <c r="BL1460" s="48" t="str">
        <f aca="false">IF(BC1460&lt;=0,"",IF(CF1460="Aussen","Aussenlager",IF(CF1460="-","Nicht im Lift",IF(BI1460&gt;=1,"Lift",IF(BI1460&lt;=0,"Aussenlager","teilweise")))))</f>
        <v>Lift</v>
      </c>
      <c r="BM1460" s="48" t="str">
        <f aca="false">IF(A1460="","",IF(BV1460=1,"Neu; ","")&amp;IF(AND(BV1460=0,BQ1460&lt;0),"negativer Bestand (Export "&amp;BQ1460&amp;"); ","")&amp;IF(J1460&lt;=0,"Kein Verbrauch; ","")&amp;IF(CQ1460&gt;0,"Lift "&amp;W1460&amp;" lt. Liftbericht (Fach "&amp;X1460&amp;" Stk); ",IF(CA1460=1,"Gebinde geschätzt ("&amp;T1460&amp;"); ",IF(BZ1460=1,"Lose – Tablare geschätzt; ","")))&amp;IF(H1460&gt;AV1460,"Überbestand "&amp;ROUND(H1460-AV1460,0)&amp;" Stk / CHF "&amp;ROUND((H1460-AV1460)*G1460,0)&amp;"; ","")&amp;IF(AND(CH1460=1,CI1460&lt;CJ1460),"MAX &lt; MB+LG; ","")&amp;IF(AND(CP1460&gt;0,CO1460*10&gt;CP1460),"zu hoch für Tablar; ","")&amp;IF(AND(BV1460=0,OR(CH1460=1,AA1460&lt;&gt;"",U1460&lt;&gt;"",V1460&lt;&gt;"",AB1460&lt;&gt;"")),"manuell übersteuert; ","")&amp;IF(AND(BZ1460=0,R1460=0),"Gebinde unbekannt / Stellmass fehlt; ","")&amp;IF(AND(BZ1460=0,N(V1460)&lt;=0,N(Q1460)&lt;=0),"Menge pro Gebinde fehlt (Ist = 1 Gebinde); ","")&amp;BU1460)</f>
        <v>negativer Bestand (Export -3500); Gebinde geschätzt (Klein); Menge pro Gebinde fehlt (Ist = 1 Gebinde); </v>
      </c>
      <c r="BN1460" s="48"/>
      <c r="BO1460" s="48"/>
      <c r="BP1460" s="55"/>
      <c r="BQ1460" s="50" t="n">
        <v>-3500</v>
      </c>
      <c r="BR1460" s="50" t="n">
        <v>0</v>
      </c>
      <c r="BS1460" s="49" t="n">
        <v>-19355</v>
      </c>
      <c r="BT1460" s="50" t="n">
        <v>3500</v>
      </c>
      <c r="BU1460" s="48"/>
      <c r="BV1460" s="53" t="n">
        <v>0</v>
      </c>
      <c r="BW1460" s="53" t="n">
        <v>1460</v>
      </c>
      <c r="BX1460" s="48" t="str">
        <f aca="false">IF(U1460&lt;&gt;"",UPPER(TRIM(U1460)),IF(CA1460=1,UPPER(VLOOKUP(T1460,Parameter!$I$27:$K$29,2,0)),IF(P1460="","LOSE",P1460)))</f>
        <v>S51</v>
      </c>
      <c r="BY1460" s="50" t="n">
        <f aca="false">IF(BX1460="LOSE",1,IF(N(V1460)&gt;0,V1460,IF(CA1460=1,MAX(1,N(VLOOKUP(T1460,Parameter!$I$27:$K$29,3,0)),H1460,N(N1460)),IF(N(Q1460)&gt;0,Q1460,MAX(1,H1460)))))</f>
        <v>1265</v>
      </c>
      <c r="BZ1460" s="53" t="n">
        <f aca="false">IF(BX1460="LOSE",1,0)</f>
        <v>0</v>
      </c>
      <c r="CA1460" s="53" t="n">
        <f aca="false">IF(AND(U1460="",OR(P1460="",P1460="LOSE"),T1460&lt;&gt;"",N(S1460)&lt;=0,ISNUMBER(MATCH(T1460,Parameter!$I$27:$I$29,0))),1,0)</f>
        <v>1</v>
      </c>
      <c r="CB1460" s="53" t="n">
        <f aca="false">IF(CQ1460&gt;0,INDEX(Parameter!$H$5:$H$7,W1460)/INDEX(Parameter!$E$5:$E$7,W1460),IF(AND(BZ1460=0,N(IFERROR(VLOOKUP(BX1460,'Gebinde-Kategorie'!$A$5:$N$45,14,0),0))&gt;0),VLOOKUP(BX1460,'Gebinde-Kategorie'!$A$5:$N$45,14,0)*10+Parameter!$M$23,Parameter!$M$24))</f>
        <v>155</v>
      </c>
      <c r="CC1460" s="48" t="str">
        <f aca="false">IF(AND(Parameter!$B$19="Ja",E1460&lt;&gt;"",ISNUMBER(MATCH(E1460,Parameter!$I$35:$I$52,0))),VLOOKUP(E1460,Parameter!$I$35:$J$52,2,0),IFERROR(VLOOKUP(D1460,Parameter!$A$35:$C$64,2,0),"Nein"))</f>
        <v>2+3</v>
      </c>
      <c r="CD1460" s="52" t="n">
        <f aca="false">IF(BZ1460=0,0,IF(N(S1460)&gt;0,S1460,IFERROR(VLOOKUP(D1460,Parameter!$A$35:$C$64,3,0)+0,0)))</f>
        <v>0</v>
      </c>
      <c r="CE1460" s="48" t="n">
        <f aca="false">IF(AA1460&lt;&gt;"",AA1460,Z1460)</f>
        <v>3</v>
      </c>
      <c r="CF1460" s="48" t="str">
        <f aca="false">IF(OR(CE1460=1,CE1460=2,CE1460=3),IF(Parameter!$E$27="Ja","LIFT",IF(CE1460=1,"L1","L23")),IF(CE1460="Aussen","Aussen","-"))</f>
        <v>LIFT</v>
      </c>
      <c r="CG1460" s="59" t="n">
        <f aca="false">IF(N(AB1460)&gt;0,AB1460,0)</f>
        <v>0</v>
      </c>
      <c r="CH1460" s="53" t="n">
        <f aca="false">IF(ISNUMBER(AE1460),1,0)</f>
        <v>0</v>
      </c>
      <c r="CI1460" s="50" t="n">
        <f aca="false">N(AE1460)</f>
        <v>0</v>
      </c>
      <c r="CJ1460" s="50" t="n">
        <f aca="false">N(M1460)+N(N1460)</f>
        <v>3306</v>
      </c>
      <c r="CK1460" s="50" t="n">
        <f aca="false">N(M1460)</f>
        <v>2041</v>
      </c>
      <c r="CL1460" s="50" t="n">
        <f aca="false">N(N1460)</f>
        <v>1265</v>
      </c>
      <c r="CM1460" s="50" t="n">
        <f aca="false">ROUNDUP(H1460/BY1460,0)</f>
        <v>0</v>
      </c>
      <c r="CN1460" s="50" t="n">
        <f aca="false">ROUNDUP(CI1460/BY1460,0)</f>
        <v>0</v>
      </c>
      <c r="CO1460" s="53" t="n">
        <f aca="false">IF(BZ1460=1,0,IFERROR(VLOOKUP(BX1460,'Gebinde-Kategorie'!$A$5:$N$45,5,0)+0,0))</f>
        <v>11</v>
      </c>
      <c r="CP1460" s="53" t="n">
        <f aca="false">IFERROR(IF(OR(CE1460=1,CE1460=2,CE1460=3),N(INDEX(Parameter!$I$5:$I$7,CE1460)),0),0)</f>
        <v>0</v>
      </c>
      <c r="CQ1460" s="52" t="n">
        <f aca="false">IF(AND(Parameter!$B$21="Ja",ISNUMBER(W1460),N(X1460)&gt;0),IFERROR(N(INDEX(Parameter!$L$5:$L$7,W1460))*INDEX(Parameter!$E$5:$E$7,W1460)*X1460/SUMIFS($X$7:$X$1843,$W$7:$W$1843,W1460),0),0)</f>
        <v>0</v>
      </c>
    </row>
    <row r="1461" customFormat="false" ht="15" hidden="false" customHeight="false" outlineLevel="0" collapsed="false">
      <c r="A1461" s="48" t="s">
        <v>2563</v>
      </c>
      <c r="B1461" s="48" t="s">
        <v>2564</v>
      </c>
      <c r="C1461" s="48" t="s">
        <v>465</v>
      </c>
      <c r="D1461" s="48" t="s">
        <v>182</v>
      </c>
      <c r="E1461" s="48"/>
      <c r="F1461" s="48"/>
      <c r="G1461" s="49" t="n">
        <v>513.92</v>
      </c>
      <c r="H1461" s="50" t="n">
        <f aca="false">MAX(0,IF(AND(Parameter!$B$21="Ja",ISNUMBER(Y1461)),Y1461,IF(Parameter!$B$20="Jahresanfang 2025 + Export",BR1461+BQ1461,BQ1461)))</f>
        <v>0</v>
      </c>
      <c r="I1461" s="50" t="n">
        <f aca="false">H1461*G1461</f>
        <v>0</v>
      </c>
      <c r="J1461" s="50" t="n">
        <f aca="false">BT1461*Parameter!$B$18</f>
        <v>135</v>
      </c>
      <c r="K1461" s="51"/>
      <c r="L1461" s="52"/>
      <c r="M1461" s="50" t="n">
        <v>0</v>
      </c>
      <c r="N1461" s="50" t="n">
        <v>4</v>
      </c>
      <c r="O1461" s="53"/>
      <c r="P1461" s="48" t="s">
        <v>177</v>
      </c>
      <c r="Q1461" s="50"/>
      <c r="R1461" s="53" t="n">
        <f aca="false">IF(BZ1461=1,0,IFERROR(VLOOKUP(BX1461,'Gebinde-Kategorie'!$A$5:$N$45,13,0)+0,0))</f>
        <v>12</v>
      </c>
      <c r="S1461" s="54"/>
      <c r="T1461" s="55" t="s">
        <v>188</v>
      </c>
      <c r="U1461" s="55"/>
      <c r="V1461" s="55"/>
      <c r="W1461" s="48"/>
      <c r="X1461" s="50"/>
      <c r="Y1461" s="50"/>
      <c r="Z1461" s="48" t="n">
        <f aca="false">IF(A1461="","",IF(AND(Parameter!$B$21="Ja",ISNUMBER(W1461)),W1461,IF(CC1461="2+3",IF(ISNUMBER(SEARCH("grosser Artikel",BU1461)),2,IFERROR(VLOOKUP(BX1461,Parameter!$F$35:$G$64,2,0),2)),IF(OR(CC1461="Nein",CC1461=""),"-",CC1461))))</f>
        <v>2</v>
      </c>
      <c r="AA1461" s="55"/>
      <c r="AB1461" s="56"/>
      <c r="AC1461" s="50" t="n">
        <f aca="false">AV1461</f>
        <v>90</v>
      </c>
      <c r="AD1461" s="50" t="n">
        <f aca="false">MAX(AV1461,H1461)</f>
        <v>90</v>
      </c>
      <c r="AE1461" s="57"/>
      <c r="AF1461" s="50" t="n">
        <f aca="false">IF(LEFT(Cockpit!$C$5,1)="A",H1461,IF(Parameter!$E$30="MAX-Bestand",IF(CH1461=1,CI1461,IF(LEFT(Cockpit!$C$5,1)="B",AL1461,MAX(AL1461,H1461))),ROUNDUP(AJ1461,0)))</f>
        <v>0</v>
      </c>
      <c r="AG1461" s="50" t="n">
        <f aca="false">IF(BZ1461=1,0,ROUNDUP(AF1461/BY1461,0))</f>
        <v>0</v>
      </c>
      <c r="AH1461" s="52" t="n">
        <f aca="false">IF(CQ1461&gt;0,CQ1461*MAX(1,AF1461/X1461),IF(BZ1461=1,IF(AF1461&lt;=0,0,CD1461*MAX(1,IF(H1461&gt;0,AF1461/H1461,1))),IF(R1461&gt;0,AG1461/R1461,0))/MAX(0.1,N(Parameter!$M$21)))</f>
        <v>0</v>
      </c>
      <c r="AI1461" s="50" t="n">
        <f aca="false">AH1461*CB1461</f>
        <v>0</v>
      </c>
      <c r="AJ1461" s="51" t="n">
        <f aca="false">IF(LEFT(Cockpit!$C$5,1)="A",H1461,IF(CH1461=1,(CK1461+CI1461)/2,IF(LEFT(Cockpit!$C$5,1)="B",(CK1461+AL1461)/2,MAX((CK1461+AL1461)/2,H1461))))</f>
        <v>0</v>
      </c>
      <c r="AK1461" s="50" t="n">
        <f aca="false">AJ1461*G1461</f>
        <v>0</v>
      </c>
      <c r="AL1461" s="50" t="n">
        <f aca="false">ROUNDUP(CK1461+MAX(CL1461,2*(J1461/IF(CG1461&gt;0,CG1461,MAX(0.1,N(Cockpit!$C$6)))-CK1461)),0)</f>
        <v>90</v>
      </c>
      <c r="AM1461" s="51" t="n">
        <f aca="false">IF(AI1461&gt;0,J1461/AI1461,-1)</f>
        <v>-1</v>
      </c>
      <c r="AN1461" s="51" t="str">
        <f aca="false">IF(AND(OR(CF1461="L1",CF1461="L23",CF1461="LIFT"),AI1461&gt;0),SUMIFS($AI$7:$AI$1843,$CF$7:$CF$1843,CF1461,$AM$7:$AM$1843,"&gt;"&amp;AM1461)+SUMIFS($AI$7:$AI$1843,$CF$7:$CF$1843,CF1461,$AM$7:$AM$1843,AM1461,$BW$7:$BW$1843,"&lt;="&amp;BW1461),"")</f>
        <v/>
      </c>
      <c r="AO1461" s="58" t="n">
        <f aca="false">IF(AN1461="",0,MAX(0,MIN(1,(IF(CF1461="L1",Parameter!$H$5,IF(CF1461="L23",Parameter!$H$6+Parameter!$H$7,Parameter!$H$5+Parameter!$H$6+Parameter!$H$7))-(AN1461-AI1461))/AI1461)))</f>
        <v>0</v>
      </c>
      <c r="AP1461" s="50" t="n">
        <f aca="false">IF(LEFT(Cockpit!$I$5,1)="A",H1461,IF(Parameter!$E$30="MAX-Bestand",IF(CH1461=1,CI1461,IF(LEFT(Cockpit!$I$5,1)="B",AV1461,MAX(AV1461,H1461))),ROUNDUP(AT1461,0)))</f>
        <v>45</v>
      </c>
      <c r="AQ1461" s="50" t="n">
        <f aca="false">IF(BZ1461=1,0,ROUNDUP(AP1461/BY1461,0))</f>
        <v>12</v>
      </c>
      <c r="AR1461" s="52" t="n">
        <f aca="false">IF(CQ1461&gt;0,CQ1461*MAX(1,AP1461/X1461),IF(BZ1461=1,IF(AP1461&lt;=0,0,CD1461*MAX(1,IF(H1461&gt;0,AP1461/H1461,1))),IF(R1461&gt;0,AQ1461/R1461,0))/MAX(0.1,N(Parameter!$M$21)))</f>
        <v>1</v>
      </c>
      <c r="AS1461" s="50" t="n">
        <f aca="false">AR1461*CB1461</f>
        <v>145</v>
      </c>
      <c r="AT1461" s="51" t="n">
        <f aca="false">IF(LEFT(Cockpit!$I$5,1)="A",H1461,IF(CH1461=1,(CK1461+CI1461)/2,IF(LEFT(Cockpit!$I$5,1)="B",(CK1461+AV1461)/2,MAX((CK1461+AV1461)/2,H1461))))</f>
        <v>45</v>
      </c>
      <c r="AU1461" s="50" t="n">
        <f aca="false">AT1461*G1461</f>
        <v>23126.4</v>
      </c>
      <c r="AV1461" s="50" t="n">
        <f aca="false">ROUNDUP(CK1461+MAX(CL1461,2*(J1461/IF(CG1461&gt;0,CG1461,MAX(0.1,N(Cockpit!$I$6)))-CK1461)),0)</f>
        <v>90</v>
      </c>
      <c r="AW1461" s="51" t="n">
        <f aca="false">IF(AS1461&gt;0,J1461/AS1461,-1)</f>
        <v>0.931034482758621</v>
      </c>
      <c r="AX1461" s="51" t="n">
        <f aca="false">IF(AND(OR(CF1461="L1",CF1461="L23",CF1461="LIFT"),AS1461&gt;0),SUMIFS($AS$7:$AS$1843,$CF$7:$CF$1843,CF1461,$AW$7:$AW$1843,"&gt;"&amp;AW1461)+SUMIFS($AS$7:$AS$1843,$CF$7:$CF$1843,CF1461,$AW$7:$AW$1843,AW1461,$BW$7:$BW$1843,"&lt;="&amp;BW1461),"")</f>
        <v>8909.56227106227</v>
      </c>
      <c r="AY1461" s="58" t="n">
        <f aca="false">IF(AX1461="",0,MAX(0,MIN(1,(IF(CF1461="L1",Parameter!$H$5,IF(CF1461="L23",Parameter!$H$6+Parameter!$H$7,Parameter!$H$5+Parameter!$H$6+Parameter!$H$7))-(AX1461-AS1461))/AS1461)))</f>
        <v>1</v>
      </c>
      <c r="AZ1461" s="50" t="n">
        <f aca="false">IF(LEFT(Cockpit!$O$5,1)="A",H1461,IF(Parameter!$E$30="MAX-Bestand",IF(CH1461=1,CI1461,IF(LEFT(Cockpit!$O$5,1)="B",BF1461,MAX(BF1461,H1461))),ROUNDUP(BD1461,0)))</f>
        <v>34</v>
      </c>
      <c r="BA1461" s="50" t="n">
        <f aca="false">IF(BZ1461=1,0,ROUNDUP(AZ1461/BY1461,0))</f>
        <v>9</v>
      </c>
      <c r="BB1461" s="52" t="n">
        <f aca="false">IF(CQ1461&gt;0,CQ1461*MAX(1,AZ1461/X1461),IF(BZ1461=1,IF(AZ1461&lt;=0,0,CD1461*MAX(1,IF(H1461&gt;0,AZ1461/H1461,1))),IF(R1461&gt;0,BA1461/R1461,0))/MAX(0.1,N(Parameter!$M$21)))</f>
        <v>0.75</v>
      </c>
      <c r="BC1461" s="50" t="n">
        <f aca="false">BB1461*CB1461</f>
        <v>108.75</v>
      </c>
      <c r="BD1461" s="51" t="n">
        <f aca="false">IF(LEFT(Cockpit!$O$5,1)="A",H1461,IF(CH1461=1,(CK1461+CI1461)/2,IF(LEFT(Cockpit!$O$5,1)="B",(CK1461+BF1461)/2,MAX((CK1461+BF1461)/2,H1461))))</f>
        <v>34</v>
      </c>
      <c r="BE1461" s="50" t="n">
        <f aca="false">BD1461*G1461</f>
        <v>17473.28</v>
      </c>
      <c r="BF1461" s="50" t="n">
        <f aca="false">ROUNDUP(CK1461+MAX(CL1461,2*(J1461/IF(CG1461&gt;0,CG1461,MAX(0.1,N(Cockpit!$O$6)))-CK1461)),0)</f>
        <v>68</v>
      </c>
      <c r="BG1461" s="51" t="n">
        <f aca="false">IF(BC1461&gt;0,J1461/BC1461,-1)</f>
        <v>1.24137931034483</v>
      </c>
      <c r="BH1461" s="51" t="n">
        <f aca="false">IF(AND(OR(CF1461="L1",CF1461="L23",CF1461="LIFT"),BC1461&gt;0),SUMIFS($BC$7:$BC$1843,$CF$7:$CF$1843,CF1461,$BG$7:$BG$1843,"&gt;"&amp;BG1461)+SUMIFS($BC$7:$BC$1843,$CF$7:$CF$1843,CF1461,$BG$7:$BG$1843,BG1461,$BW$7:$BW$1843,"&lt;="&amp;BW1461),"")</f>
        <v>7001.58562271062</v>
      </c>
      <c r="BI1461" s="58" t="n">
        <f aca="false">IF(BH1461="",0,MAX(0,MIN(1,(IF(CF1461="L1",Parameter!$H$5,IF(CF1461="L23",Parameter!$H$6+Parameter!$H$7,Parameter!$H$5+Parameter!$H$6+Parameter!$H$7))-(BH1461-BC1461))/BC1461)))</f>
        <v>1</v>
      </c>
      <c r="BJ1461" s="48" t="str">
        <f aca="false">IF(AI1461&lt;=0,"",IF(CF1461="Aussen","Aussenlager",IF(CF1461="-","Nicht im Lift",IF(AO1461&gt;=1,"Lift",IF(AO1461&lt;=0,"Aussenlager","teilweise")))))</f>
        <v/>
      </c>
      <c r="BK1461" s="48" t="str">
        <f aca="false">IF(AS1461&lt;=0,"",IF(CF1461="Aussen","Aussenlager",IF(CF1461="-","Nicht im Lift",IF(AY1461&gt;=1,"Lift",IF(AY1461&lt;=0,"Aussenlager","teilweise")))))</f>
        <v>Lift</v>
      </c>
      <c r="BL1461" s="48" t="str">
        <f aca="false">IF(BC1461&lt;=0,"",IF(CF1461="Aussen","Aussenlager",IF(CF1461="-","Nicht im Lift",IF(BI1461&gt;=1,"Lift",IF(BI1461&lt;=0,"Aussenlager","teilweise")))))</f>
        <v>Lift</v>
      </c>
      <c r="BM1461" s="48" t="str">
        <f aca="false">IF(A1461="","",IF(BV1461=1,"Neu; ","")&amp;IF(AND(BV1461=0,BQ1461&lt;0),"negativer Bestand (Export "&amp;BQ1461&amp;"); ","")&amp;IF(J1461&lt;=0,"Kein Verbrauch; ","")&amp;IF(CQ1461&gt;0,"Lift "&amp;W1461&amp;" lt. Liftbericht (Fach "&amp;X1461&amp;" Stk); ",IF(CA1461=1,"Gebinde geschätzt ("&amp;T1461&amp;"); ",IF(BZ1461=1,"Lose – Tablare geschätzt; ","")))&amp;IF(H1461&gt;AV1461,"Überbestand "&amp;ROUND(H1461-AV1461,0)&amp;" Stk / CHF "&amp;ROUND((H1461-AV1461)*G1461,0)&amp;"; ","")&amp;IF(AND(CH1461=1,CI1461&lt;CJ1461),"MAX &lt; MB+LG; ","")&amp;IF(AND(CP1461&gt;0,CO1461*10&gt;CP1461),"zu hoch für Tablar; ","")&amp;IF(AND(BV1461=0,OR(CH1461=1,AA1461&lt;&gt;"",U1461&lt;&gt;"",V1461&lt;&gt;"",AB1461&lt;&gt;"")),"manuell übersteuert; ","")&amp;IF(AND(BZ1461=0,R1461=0),"Gebinde unbekannt / Stellmass fehlt; ","")&amp;IF(AND(BZ1461=0,N(V1461)&lt;=0,N(Q1461)&lt;=0),"Menge pro Gebinde fehlt (Ist = 1 Gebinde); ","")&amp;BU1461)</f>
        <v>negativer Bestand (Export -40); Gebinde geschätzt (Mittel); Menge pro Gebinde fehlt (Ist = 1 Gebinde); </v>
      </c>
      <c r="BN1461" s="48"/>
      <c r="BO1461" s="48"/>
      <c r="BP1461" s="55"/>
      <c r="BQ1461" s="50" t="n">
        <v>-40</v>
      </c>
      <c r="BR1461" s="50" t="n">
        <v>0</v>
      </c>
      <c r="BS1461" s="49" t="n">
        <v>-21904</v>
      </c>
      <c r="BT1461" s="50" t="n">
        <v>135</v>
      </c>
      <c r="BU1461" s="48"/>
      <c r="BV1461" s="53" t="n">
        <v>0</v>
      </c>
      <c r="BW1461" s="53" t="n">
        <v>1461</v>
      </c>
      <c r="BX1461" s="48" t="str">
        <f aca="false">IF(U1461&lt;&gt;"",UPPER(TRIM(U1461)),IF(CA1461=1,UPPER(VLOOKUP(T1461,Parameter!$I$27:$K$29,2,0)),IF(P1461="","LOSE",P1461)))</f>
        <v>S61</v>
      </c>
      <c r="BY1461" s="50" t="n">
        <f aca="false">IF(BX1461="LOSE",1,IF(N(V1461)&gt;0,V1461,IF(CA1461=1,MAX(1,N(VLOOKUP(T1461,Parameter!$I$27:$K$29,3,0)),H1461,N(N1461)),IF(N(Q1461)&gt;0,Q1461,MAX(1,H1461)))))</f>
        <v>4</v>
      </c>
      <c r="BZ1461" s="53" t="n">
        <f aca="false">IF(BX1461="LOSE",1,0)</f>
        <v>0</v>
      </c>
      <c r="CA1461" s="53" t="n">
        <f aca="false">IF(AND(U1461="",OR(P1461="",P1461="LOSE"),T1461&lt;&gt;"",N(S1461)&lt;=0,ISNUMBER(MATCH(T1461,Parameter!$I$27:$I$29,0))),1,0)</f>
        <v>1</v>
      </c>
      <c r="CB1461" s="53" t="n">
        <f aca="false">IF(CQ1461&gt;0,INDEX(Parameter!$H$5:$H$7,W1461)/INDEX(Parameter!$E$5:$E$7,W1461),IF(AND(BZ1461=0,N(IFERROR(VLOOKUP(BX1461,'Gebinde-Kategorie'!$A$5:$N$45,14,0),0))&gt;0),VLOOKUP(BX1461,'Gebinde-Kategorie'!$A$5:$N$45,14,0)*10+Parameter!$M$23,Parameter!$M$24))</f>
        <v>145</v>
      </c>
      <c r="CC1461" s="48" t="str">
        <f aca="false">IF(AND(Parameter!$B$19="Ja",E1461&lt;&gt;"",ISNUMBER(MATCH(E1461,Parameter!$I$35:$I$52,0))),VLOOKUP(E1461,Parameter!$I$35:$J$52,2,0),IFERROR(VLOOKUP(D1461,Parameter!$A$35:$C$64,2,0),"Nein"))</f>
        <v>2+3</v>
      </c>
      <c r="CD1461" s="52" t="n">
        <f aca="false">IF(BZ1461=0,0,IF(N(S1461)&gt;0,S1461,IFERROR(VLOOKUP(D1461,Parameter!$A$35:$C$64,3,0)+0,0)))</f>
        <v>0</v>
      </c>
      <c r="CE1461" s="48" t="n">
        <f aca="false">IF(AA1461&lt;&gt;"",AA1461,Z1461)</f>
        <v>2</v>
      </c>
      <c r="CF1461" s="48" t="str">
        <f aca="false">IF(OR(CE1461=1,CE1461=2,CE1461=3),IF(Parameter!$E$27="Ja","LIFT",IF(CE1461=1,"L1","L23")),IF(CE1461="Aussen","Aussen","-"))</f>
        <v>LIFT</v>
      </c>
      <c r="CG1461" s="59" t="n">
        <f aca="false">IF(N(AB1461)&gt;0,AB1461,0)</f>
        <v>0</v>
      </c>
      <c r="CH1461" s="53" t="n">
        <f aca="false">IF(ISNUMBER(AE1461),1,0)</f>
        <v>0</v>
      </c>
      <c r="CI1461" s="50" t="n">
        <f aca="false">N(AE1461)</f>
        <v>0</v>
      </c>
      <c r="CJ1461" s="50" t="n">
        <f aca="false">N(M1461)+N(N1461)</f>
        <v>4</v>
      </c>
      <c r="CK1461" s="50" t="n">
        <f aca="false">N(M1461)</f>
        <v>0</v>
      </c>
      <c r="CL1461" s="50" t="n">
        <f aca="false">N(N1461)</f>
        <v>4</v>
      </c>
      <c r="CM1461" s="50" t="n">
        <f aca="false">ROUNDUP(H1461/BY1461,0)</f>
        <v>0</v>
      </c>
      <c r="CN1461" s="50" t="n">
        <f aca="false">ROUNDUP(CI1461/BY1461,0)</f>
        <v>0</v>
      </c>
      <c r="CO1461" s="53" t="n">
        <f aca="false">IF(BZ1461=1,0,IFERROR(VLOOKUP(BX1461,'Gebinde-Kategorie'!$A$5:$N$45,5,0)+0,0))</f>
        <v>11</v>
      </c>
      <c r="CP1461" s="53" t="n">
        <f aca="false">IFERROR(IF(OR(CE1461=1,CE1461=2,CE1461=3),N(INDEX(Parameter!$I$5:$I$7,CE1461)),0),0)</f>
        <v>0</v>
      </c>
      <c r="CQ1461" s="52" t="n">
        <f aca="false">IF(AND(Parameter!$B$21="Ja",ISNUMBER(W1461),N(X1461)&gt;0),IFERROR(N(INDEX(Parameter!$L$5:$L$7,W1461))*INDEX(Parameter!$E$5:$E$7,W1461)*X1461/SUMIFS($X$7:$X$1843,$W$7:$W$1843,W1461),0),0)</f>
        <v>0</v>
      </c>
    </row>
    <row r="1462" customFormat="false" ht="15" hidden="false" customHeight="false" outlineLevel="0" collapsed="false">
      <c r="A1462" s="48" t="s">
        <v>2565</v>
      </c>
      <c r="B1462" s="48" t="s">
        <v>2393</v>
      </c>
      <c r="C1462" s="48" t="s">
        <v>173</v>
      </c>
      <c r="D1462" s="48" t="s">
        <v>174</v>
      </c>
      <c r="E1462" s="48" t="s">
        <v>175</v>
      </c>
      <c r="F1462" s="48"/>
      <c r="G1462" s="49" t="n">
        <v>2045.23</v>
      </c>
      <c r="H1462" s="50" t="n">
        <f aca="false">MAX(0,IF(AND(Parameter!$B$21="Ja",ISNUMBER(Y1462)),Y1462,IF(Parameter!$B$20="Jahresanfang 2025 + Export",BR1462+BQ1462,BQ1462)))</f>
        <v>10</v>
      </c>
      <c r="I1462" s="50" t="n">
        <f aca="false">H1462*G1462</f>
        <v>20452.3</v>
      </c>
      <c r="J1462" s="50" t="n">
        <f aca="false">BT1462*Parameter!$B$18</f>
        <v>55</v>
      </c>
      <c r="K1462" s="51"/>
      <c r="L1462" s="52"/>
      <c r="M1462" s="50" t="n">
        <v>2</v>
      </c>
      <c r="N1462" s="50" t="n">
        <v>10</v>
      </c>
      <c r="O1462" s="53"/>
      <c r="P1462" s="48" t="s">
        <v>177</v>
      </c>
      <c r="Q1462" s="50"/>
      <c r="R1462" s="53" t="n">
        <f aca="false">IF(BZ1462=1,0,IFERROR(VLOOKUP(BX1462,'Gebinde-Kategorie'!$A$5:$N$45,13,0)+0,0))</f>
        <v>0</v>
      </c>
      <c r="S1462" s="54"/>
      <c r="T1462" s="55"/>
      <c r="U1462" s="55"/>
      <c r="V1462" s="55"/>
      <c r="W1462" s="48" t="n">
        <v>1</v>
      </c>
      <c r="X1462" s="50" t="n">
        <v>13</v>
      </c>
      <c r="Y1462" s="50" t="n">
        <v>10</v>
      </c>
      <c r="Z1462" s="48" t="n">
        <f aca="false">IF(A1462="","",IF(AND(Parameter!$B$21="Ja",ISNUMBER(W1462)),W1462,IF(CC1462="2+3",IF(ISNUMBER(SEARCH("grosser Artikel",BU1462)),2,IFERROR(VLOOKUP(BX1462,Parameter!$F$35:$G$64,2,0),2)),IF(OR(CC1462="Nein",CC1462=""),"-",CC1462))))</f>
        <v>1</v>
      </c>
      <c r="AA1462" s="55"/>
      <c r="AB1462" s="56"/>
      <c r="AC1462" s="50" t="n">
        <f aca="false">AV1462</f>
        <v>35</v>
      </c>
      <c r="AD1462" s="50" t="n">
        <f aca="false">MAX(AV1462,H1462)</f>
        <v>35</v>
      </c>
      <c r="AE1462" s="57"/>
      <c r="AF1462" s="50" t="n">
        <f aca="false">IF(LEFT(Cockpit!$C$5,1)="A",H1462,IF(Parameter!$E$30="MAX-Bestand",IF(CH1462=1,CI1462,IF(LEFT(Cockpit!$C$5,1)="B",AL1462,MAX(AL1462,H1462))),ROUNDUP(AJ1462,0)))</f>
        <v>10</v>
      </c>
      <c r="AG1462" s="50" t="n">
        <f aca="false">IF(BZ1462=1,0,ROUNDUP(AF1462/BY1462,0))</f>
        <v>0</v>
      </c>
      <c r="AH1462" s="52" t="n">
        <f aca="false">IF(CQ1462&gt;0,CQ1462*MAX(1,AF1462/X1462),IF(BZ1462=1,IF(AF1462&lt;=0,0,CD1462*MAX(1,IF(H1462&gt;0,AF1462/H1462,1))),IF(R1462&gt;0,AG1462/R1462,0))/MAX(0.1,N(Parameter!$M$21)))</f>
        <v>1.04048964218456</v>
      </c>
      <c r="AI1462" s="50" t="n">
        <f aca="false">AH1462*CB1462</f>
        <v>247.636534839925</v>
      </c>
      <c r="AJ1462" s="51" t="n">
        <f aca="false">IF(LEFT(Cockpit!$C$5,1)="A",H1462,IF(CH1462=1,(CK1462+CI1462)/2,IF(LEFT(Cockpit!$C$5,1)="B",(CK1462+AL1462)/2,MAX((CK1462+AL1462)/2,H1462))))</f>
        <v>10</v>
      </c>
      <c r="AK1462" s="50" t="n">
        <f aca="false">AJ1462*G1462</f>
        <v>20452.3</v>
      </c>
      <c r="AL1462" s="50" t="n">
        <f aca="false">ROUNDUP(CK1462+MAX(CL1462,2*(J1462/IF(CG1462&gt;0,CG1462,MAX(0.1,N(Cockpit!$C$6)))-CK1462)),0)</f>
        <v>35</v>
      </c>
      <c r="AM1462" s="51" t="n">
        <f aca="false">IF(AI1462&gt;0,J1462/AI1462,-1)</f>
        <v>0.22209969960835</v>
      </c>
      <c r="AN1462" s="51" t="n">
        <f aca="false">IF(AND(OR(CF1462="L1",CF1462="L23",CF1462="LIFT"),AI1462&gt;0),SUMIFS($AI$7:$AI$1843,$CF$7:$CF$1843,CF1462,$AM$7:$AM$1843,"&gt;"&amp;AM1462)+SUMIFS($AI$7:$AI$1843,$CF$7:$CF$1843,CF1462,$AM$7:$AM$1843,AM1462,$BW$7:$BW$1843,"&lt;="&amp;BW1462),"")</f>
        <v>12326.4324387947</v>
      </c>
      <c r="AO1462" s="58" t="n">
        <f aca="false">IF(AN1462="",0,MAX(0,MIN(1,(IF(CF1462="L1",Parameter!$H$5,IF(CF1462="L23",Parameter!$H$6+Parameter!$H$7,Parameter!$H$5+Parameter!$H$6+Parameter!$H$7))-(AN1462-AI1462))/AI1462)))</f>
        <v>1</v>
      </c>
      <c r="AP1462" s="50" t="n">
        <f aca="false">IF(LEFT(Cockpit!$I$5,1)="A",H1462,IF(Parameter!$E$30="MAX-Bestand",IF(CH1462=1,CI1462,IF(LEFT(Cockpit!$I$5,1)="B",AV1462,MAX(AV1462,H1462))),ROUNDUP(AT1462,0)))</f>
        <v>19</v>
      </c>
      <c r="AQ1462" s="50" t="n">
        <f aca="false">IF(BZ1462=1,0,ROUNDUP(AP1462/BY1462,0))</f>
        <v>0</v>
      </c>
      <c r="AR1462" s="52" t="n">
        <f aca="false">IF(CQ1462&gt;0,CQ1462*MAX(1,AP1462/X1462),IF(BZ1462=1,IF(AP1462&lt;=0,0,CD1462*MAX(1,IF(H1462&gt;0,AP1462/H1462,1))),IF(R1462&gt;0,AQ1462/R1462,0))/MAX(0.1,N(Parameter!$M$21)))</f>
        <v>1.52071563088512</v>
      </c>
      <c r="AS1462" s="50" t="n">
        <f aca="false">AR1462*CB1462</f>
        <v>361.930320150659</v>
      </c>
      <c r="AT1462" s="51" t="n">
        <f aca="false">IF(LEFT(Cockpit!$I$5,1)="A",H1462,IF(CH1462=1,(CK1462+CI1462)/2,IF(LEFT(Cockpit!$I$5,1)="B",(CK1462+AV1462)/2,MAX((CK1462+AV1462)/2,H1462))))</f>
        <v>18.5</v>
      </c>
      <c r="AU1462" s="50" t="n">
        <f aca="false">AT1462*G1462</f>
        <v>37836.755</v>
      </c>
      <c r="AV1462" s="50" t="n">
        <f aca="false">ROUNDUP(CK1462+MAX(CL1462,2*(J1462/IF(CG1462&gt;0,CG1462,MAX(0.1,N(Cockpit!$I$6)))-CK1462)),0)</f>
        <v>35</v>
      </c>
      <c r="AW1462" s="51" t="n">
        <f aca="false">IF(AS1462&gt;0,J1462/AS1462,-1)</f>
        <v>0.151962952363608</v>
      </c>
      <c r="AX1462" s="51" t="n">
        <f aca="false">IF(AND(OR(CF1462="L1",CF1462="L23",CF1462="LIFT"),AS1462&gt;0),SUMIFS($AS$7:$AS$1843,$CF$7:$CF$1843,CF1462,$AW$7:$AW$1843,"&gt;"&amp;AW1462)+SUMIFS($AS$7:$AS$1843,$CF$7:$CF$1843,CF1462,$AW$7:$AW$1843,AW1462,$BW$7:$BW$1843,"&lt;="&amp;BW1462),"")</f>
        <v>16870.6387724799</v>
      </c>
      <c r="AY1462" s="58" t="n">
        <f aca="false">IF(AX1462="",0,MAX(0,MIN(1,(IF(CF1462="L1",Parameter!$H$5,IF(CF1462="L23",Parameter!$H$6+Parameter!$H$7,Parameter!$H$5+Parameter!$H$6+Parameter!$H$7))-(AX1462-AS1462))/AS1462)))</f>
        <v>1</v>
      </c>
      <c r="AZ1462" s="50" t="n">
        <f aca="false">IF(LEFT(Cockpit!$O$5,1)="A",H1462,IF(Parameter!$E$30="MAX-Bestand",IF(CH1462=1,CI1462,IF(LEFT(Cockpit!$O$5,1)="B",BF1462,MAX(BF1462,H1462))),ROUNDUP(BD1462,0)))</f>
        <v>14</v>
      </c>
      <c r="BA1462" s="50" t="n">
        <f aca="false">IF(BZ1462=1,0,ROUNDUP(AZ1462/BY1462,0))</f>
        <v>0</v>
      </c>
      <c r="BB1462" s="52" t="n">
        <f aca="false">IF(CQ1462&gt;0,CQ1462*MAX(1,AZ1462/X1462),IF(BZ1462=1,IF(AZ1462&lt;=0,0,CD1462*MAX(1,IF(H1462&gt;0,AZ1462/H1462,1))),IF(R1462&gt;0,BA1462/R1462,0))/MAX(0.1,N(Parameter!$M$21)))</f>
        <v>1.12052730696799</v>
      </c>
      <c r="BC1462" s="50" t="n">
        <f aca="false">BB1462*CB1462</f>
        <v>266.68549905838</v>
      </c>
      <c r="BD1462" s="51" t="n">
        <f aca="false">IF(LEFT(Cockpit!$O$5,1)="A",H1462,IF(CH1462=1,(CK1462+CI1462)/2,IF(LEFT(Cockpit!$O$5,1)="B",(CK1462+BF1462)/2,MAX((CK1462+BF1462)/2,H1462))))</f>
        <v>14</v>
      </c>
      <c r="BE1462" s="50" t="n">
        <f aca="false">BD1462*G1462</f>
        <v>28633.22</v>
      </c>
      <c r="BF1462" s="50" t="n">
        <f aca="false">ROUNDUP(CK1462+MAX(CL1462,2*(J1462/IF(CG1462&gt;0,CG1462,MAX(0.1,N(Cockpit!$O$6)))-CK1462)),0)</f>
        <v>26</v>
      </c>
      <c r="BG1462" s="51" t="n">
        <f aca="false">IF(BC1462&gt;0,J1462/BC1462,-1)</f>
        <v>0.206235435350611</v>
      </c>
      <c r="BH1462" s="51" t="n">
        <f aca="false">IF(AND(OR(CF1462="L1",CF1462="L23",CF1462="LIFT"),BC1462&gt;0),SUMIFS($BC$7:$BC$1843,$CF$7:$CF$1843,CF1462,$BG$7:$BG$1843,"&gt;"&amp;BG1462)+SUMIFS($BC$7:$BC$1843,$CF$7:$CF$1843,CF1462,$BG$7:$BG$1843,BG1462,$BW$7:$BW$1843,"&lt;="&amp;BW1462),"")</f>
        <v>13049.4962568035</v>
      </c>
      <c r="BI1462" s="58" t="n">
        <f aca="false">IF(BH1462="",0,MAX(0,MIN(1,(IF(CF1462="L1",Parameter!$H$5,IF(CF1462="L23",Parameter!$H$6+Parameter!$H$7,Parameter!$H$5+Parameter!$H$6+Parameter!$H$7))-(BH1462-BC1462))/BC1462)))</f>
        <v>1</v>
      </c>
      <c r="BJ1462" s="48" t="str">
        <f aca="false">IF(AI1462&lt;=0,"",IF(CF1462="Aussen","Aussenlager",IF(CF1462="-","Nicht im Lift",IF(AO1462&gt;=1,"Lift",IF(AO1462&lt;=0,"Aussenlager","teilweise")))))</f>
        <v>Lift</v>
      </c>
      <c r="BK1462" s="48" t="str">
        <f aca="false">IF(AS1462&lt;=0,"",IF(CF1462="Aussen","Aussenlager",IF(CF1462="-","Nicht im Lift",IF(AY1462&gt;=1,"Lift",IF(AY1462&lt;=0,"Aussenlager","teilweise")))))</f>
        <v>Lift</v>
      </c>
      <c r="BL1462" s="48" t="str">
        <f aca="false">IF(BC1462&lt;=0,"",IF(CF1462="Aussen","Aussenlager",IF(CF1462="-","Nicht im Lift",IF(BI1462&gt;=1,"Lift",IF(BI1462&lt;=0,"Aussenlager","teilweise")))))</f>
        <v>Lift</v>
      </c>
      <c r="BM1462" s="48" t="str">
        <f aca="false">IF(A1462="","",IF(BV1462=1,"Neu; ","")&amp;IF(AND(BV1462=0,BQ1462&lt;0),"negativer Bestand (Export "&amp;BQ1462&amp;"); ","")&amp;IF(J1462&lt;=0,"Kein Verbrauch; ","")&amp;IF(CQ1462&gt;0,"Lift "&amp;W1462&amp;" lt. Liftbericht (Fach "&amp;X1462&amp;" Stk); ",IF(CA1462=1,"Gebinde geschätzt ("&amp;T1462&amp;"); ",IF(BZ1462=1,"Lose – Tablare geschätzt; ","")))&amp;IF(H1462&gt;AV1462,"Überbestand "&amp;ROUND(H1462-AV1462,0)&amp;" Stk / CHF "&amp;ROUND((H1462-AV1462)*G1462,0)&amp;"; ","")&amp;IF(AND(CH1462=1,CI1462&lt;CJ1462),"MAX &lt; MB+LG; ","")&amp;IF(AND(CP1462&gt;0,CO1462*10&gt;CP1462),"zu hoch für Tablar; ","")&amp;IF(AND(BV1462=0,OR(CH1462=1,AA1462&lt;&gt;"",U1462&lt;&gt;"",V1462&lt;&gt;"",AB1462&lt;&gt;"")),"manuell übersteuert; ","")&amp;IF(AND(BZ1462=0,R1462=0),"Gebinde unbekannt / Stellmass fehlt; ","")&amp;IF(AND(BZ1462=0,N(V1462)&lt;=0,N(Q1462)&lt;=0),"Menge pro Gebinde fehlt (Ist = 1 Gebinde); ","")&amp;BU1462)</f>
        <v>negativer Bestand (Export -24); Lift 1 lt. Liftbericht (Fach 13 Stk); Standartdüse</v>
      </c>
      <c r="BN1462" s="48"/>
      <c r="BO1462" s="48"/>
      <c r="BP1462" s="55"/>
      <c r="BQ1462" s="50" t="n">
        <v>-24</v>
      </c>
      <c r="BR1462" s="50" t="n">
        <v>0</v>
      </c>
      <c r="BS1462" s="49" t="n">
        <v>-22105.84</v>
      </c>
      <c r="BT1462" s="50" t="n">
        <v>55</v>
      </c>
      <c r="BU1462" s="48" t="s">
        <v>2407</v>
      </c>
      <c r="BV1462" s="53" t="n">
        <v>0</v>
      </c>
      <c r="BW1462" s="53" t="n">
        <v>1462</v>
      </c>
      <c r="BX1462" s="48" t="str">
        <f aca="false">IF(U1462&lt;&gt;"",UPPER(TRIM(U1462)),IF(CA1462=1,UPPER(VLOOKUP(T1462,Parameter!$I$27:$K$29,2,0)),IF(P1462="","LOSE",P1462)))</f>
        <v>LOSE</v>
      </c>
      <c r="BY1462" s="50" t="n">
        <f aca="false">IF(BX1462="LOSE",1,IF(N(V1462)&gt;0,V1462,IF(CA1462=1,MAX(1,N(VLOOKUP(T1462,Parameter!$I$27:$K$29,3,0)),H1462,N(N1462)),IF(N(Q1462)&gt;0,Q1462,MAX(1,H1462)))))</f>
        <v>1</v>
      </c>
      <c r="BZ1462" s="53" t="n">
        <f aca="false">IF(BX1462="LOSE",1,0)</f>
        <v>1</v>
      </c>
      <c r="CA1462" s="53" t="n">
        <f aca="false">IF(AND(U1462="",OR(P1462="",P1462="LOSE"),T1462&lt;&gt;"",N(S1462)&lt;=0,ISNUMBER(MATCH(T1462,Parameter!$I$27:$I$29,0))),1,0)</f>
        <v>0</v>
      </c>
      <c r="CB1462" s="53" t="n">
        <f aca="false">IF(CQ1462&gt;0,INDEX(Parameter!$H$5:$H$7,W1462)/INDEX(Parameter!$E$5:$E$7,W1462),IF(AND(BZ1462=0,N(IFERROR(VLOOKUP(BX1462,'Gebinde-Kategorie'!$A$5:$N$45,14,0),0))&gt;0),VLOOKUP(BX1462,'Gebinde-Kategorie'!$A$5:$N$45,14,0)*10+Parameter!$M$23,Parameter!$M$24))</f>
        <v>238</v>
      </c>
      <c r="CC1462" s="48" t="n">
        <f aca="false">IF(AND(Parameter!$B$19="Ja",E1462&lt;&gt;"",ISNUMBER(MATCH(E1462,Parameter!$I$35:$I$52,0))),VLOOKUP(E1462,Parameter!$I$35:$J$52,2,0),IFERROR(VLOOKUP(D1462,Parameter!$A$35:$C$64,2,0),"Nein"))</f>
        <v>1</v>
      </c>
      <c r="CD1462" s="52" t="n">
        <f aca="false">IF(BZ1462=0,0,IF(N(S1462)&gt;0,S1462,IFERROR(VLOOKUP(D1462,Parameter!$A$35:$C$64,3,0)+0,0)))</f>
        <v>1</v>
      </c>
      <c r="CE1462" s="48" t="n">
        <f aca="false">IF(AA1462&lt;&gt;"",AA1462,Z1462)</f>
        <v>1</v>
      </c>
      <c r="CF1462" s="48" t="str">
        <f aca="false">IF(OR(CE1462=1,CE1462=2,CE1462=3),IF(Parameter!$E$27="Ja","LIFT",IF(CE1462=1,"L1","L23")),IF(CE1462="Aussen","Aussen","-"))</f>
        <v>LIFT</v>
      </c>
      <c r="CG1462" s="59" t="n">
        <f aca="false">IF(N(AB1462)&gt;0,AB1462,0)</f>
        <v>0</v>
      </c>
      <c r="CH1462" s="53" t="n">
        <f aca="false">IF(ISNUMBER(AE1462),1,0)</f>
        <v>0</v>
      </c>
      <c r="CI1462" s="50" t="n">
        <f aca="false">N(AE1462)</f>
        <v>0</v>
      </c>
      <c r="CJ1462" s="50" t="n">
        <f aca="false">N(M1462)+N(N1462)</f>
        <v>12</v>
      </c>
      <c r="CK1462" s="50" t="n">
        <f aca="false">N(M1462)</f>
        <v>2</v>
      </c>
      <c r="CL1462" s="50" t="n">
        <f aca="false">N(N1462)</f>
        <v>10</v>
      </c>
      <c r="CM1462" s="50" t="n">
        <f aca="false">ROUNDUP(H1462/BY1462,0)</f>
        <v>10</v>
      </c>
      <c r="CN1462" s="50" t="n">
        <f aca="false">ROUNDUP(CI1462/BY1462,0)</f>
        <v>0</v>
      </c>
      <c r="CO1462" s="53" t="n">
        <f aca="false">IF(BZ1462=1,0,IFERROR(VLOOKUP(BX1462,'Gebinde-Kategorie'!$A$5:$N$45,5,0)+0,0))</f>
        <v>0</v>
      </c>
      <c r="CP1462" s="53" t="n">
        <f aca="false">IFERROR(IF(OR(CE1462=1,CE1462=2,CE1462=3),N(INDEX(Parameter!$I$5:$I$7,CE1462)),0),0)</f>
        <v>0</v>
      </c>
      <c r="CQ1462" s="52" t="n">
        <f aca="false">IF(AND(Parameter!$B$21="Ja",ISNUMBER(W1462),N(X1462)&gt;0),IFERROR(N(INDEX(Parameter!$L$5:$L$7,W1462))*INDEX(Parameter!$E$5:$E$7,W1462)*X1462/SUMIFS($X$7:$X$1843,$W$7:$W$1843,W1462),0),0)</f>
        <v>1.04048964218456</v>
      </c>
    </row>
    <row r="1463" customFormat="false" ht="15" hidden="false" customHeight="false" outlineLevel="0" collapsed="false">
      <c r="A1463" s="48" t="s">
        <v>2566</v>
      </c>
      <c r="B1463" s="48" t="s">
        <v>2567</v>
      </c>
      <c r="C1463" s="48" t="s">
        <v>176</v>
      </c>
      <c r="D1463" s="48" t="s">
        <v>1397</v>
      </c>
      <c r="E1463" s="48"/>
      <c r="F1463" s="48"/>
      <c r="G1463" s="49" t="n">
        <v>4524.05</v>
      </c>
      <c r="H1463" s="50" t="n">
        <f aca="false">MAX(0,IF(AND(Parameter!$B$21="Ja",ISNUMBER(Y1463)),Y1463,IF(Parameter!$B$20="Jahresanfang 2025 + Export",BR1463+BQ1463,BQ1463)))</f>
        <v>0</v>
      </c>
      <c r="I1463" s="50" t="n">
        <f aca="false">H1463*G1463</f>
        <v>0</v>
      </c>
      <c r="J1463" s="50" t="n">
        <f aca="false">BT1463*Parameter!$B$18</f>
        <v>16</v>
      </c>
      <c r="K1463" s="51"/>
      <c r="L1463" s="52"/>
      <c r="M1463" s="50" t="n">
        <v>0</v>
      </c>
      <c r="N1463" s="50" t="n">
        <v>1</v>
      </c>
      <c r="O1463" s="53"/>
      <c r="P1463" s="48" t="s">
        <v>177</v>
      </c>
      <c r="Q1463" s="50"/>
      <c r="R1463" s="53" t="n">
        <f aca="false">IF(BZ1463=1,0,IFERROR(VLOOKUP(BX1463,'Gebinde-Kategorie'!$A$5:$N$45,13,0)+0,0))</f>
        <v>0</v>
      </c>
      <c r="S1463" s="54"/>
      <c r="T1463" s="55"/>
      <c r="U1463" s="55"/>
      <c r="V1463" s="55"/>
      <c r="W1463" s="48"/>
      <c r="X1463" s="50"/>
      <c r="Y1463" s="50"/>
      <c r="Z1463" s="48" t="str">
        <f aca="false">IF(A1463="","",IF(AND(Parameter!$B$21="Ja",ISNUMBER(W1463)),W1463,IF(CC1463="2+3",IF(ISNUMBER(SEARCH("grosser Artikel",BU1463)),2,IFERROR(VLOOKUP(BX1463,Parameter!$F$35:$G$64,2,0),2)),IF(OR(CC1463="Nein",CC1463=""),"-",CC1463))))</f>
        <v>-</v>
      </c>
      <c r="AA1463" s="55"/>
      <c r="AB1463" s="56"/>
      <c r="AC1463" s="50" t="n">
        <f aca="false">AV1463</f>
        <v>11</v>
      </c>
      <c r="AD1463" s="50" t="n">
        <f aca="false">MAX(AV1463,H1463)</f>
        <v>11</v>
      </c>
      <c r="AE1463" s="57"/>
      <c r="AF1463" s="50" t="n">
        <f aca="false">IF(LEFT(Cockpit!$C$5,1)="A",H1463,IF(Parameter!$E$30="MAX-Bestand",IF(CH1463=1,CI1463,IF(LEFT(Cockpit!$C$5,1)="B",AL1463,MAX(AL1463,H1463))),ROUNDUP(AJ1463,0)))</f>
        <v>0</v>
      </c>
      <c r="AG1463" s="50" t="n">
        <f aca="false">IF(BZ1463=1,0,ROUNDUP(AF1463/BY1463,0))</f>
        <v>0</v>
      </c>
      <c r="AH1463" s="52" t="n">
        <f aca="false">IF(CQ1463&gt;0,CQ1463*MAX(1,AF1463/X1463),IF(BZ1463=1,IF(AF1463&lt;=0,0,CD1463*MAX(1,IF(H1463&gt;0,AF1463/H1463,1))),IF(R1463&gt;0,AG1463/R1463,0))/MAX(0.1,N(Parameter!$M$21)))</f>
        <v>0</v>
      </c>
      <c r="AI1463" s="50" t="n">
        <f aca="false">AH1463*CB1463</f>
        <v>0</v>
      </c>
      <c r="AJ1463" s="51" t="n">
        <f aca="false">IF(LEFT(Cockpit!$C$5,1)="A",H1463,IF(CH1463=1,(CK1463+CI1463)/2,IF(LEFT(Cockpit!$C$5,1)="B",(CK1463+AL1463)/2,MAX((CK1463+AL1463)/2,H1463))))</f>
        <v>0</v>
      </c>
      <c r="AK1463" s="50" t="n">
        <f aca="false">AJ1463*G1463</f>
        <v>0</v>
      </c>
      <c r="AL1463" s="50" t="n">
        <f aca="false">ROUNDUP(CK1463+MAX(CL1463,2*(J1463/IF(CG1463&gt;0,CG1463,MAX(0.1,N(Cockpit!$C$6)))-CK1463)),0)</f>
        <v>11</v>
      </c>
      <c r="AM1463" s="51" t="n">
        <f aca="false">IF(AI1463&gt;0,J1463/AI1463,-1)</f>
        <v>-1</v>
      </c>
      <c r="AN1463" s="51" t="str">
        <f aca="false">IF(AND(OR(CF1463="L1",CF1463="L23",CF1463="LIFT"),AI1463&gt;0),SUMIFS($AI$7:$AI$1843,$CF$7:$CF$1843,CF1463,$AM$7:$AM$1843,"&gt;"&amp;AM1463)+SUMIFS($AI$7:$AI$1843,$CF$7:$CF$1843,CF1463,$AM$7:$AM$1843,AM1463,$BW$7:$BW$1843,"&lt;="&amp;BW1463),"")</f>
        <v/>
      </c>
      <c r="AO1463" s="58" t="n">
        <f aca="false">IF(AN1463="",0,MAX(0,MIN(1,(IF(CF1463="L1",Parameter!$H$5,IF(CF1463="L23",Parameter!$H$6+Parameter!$H$7,Parameter!$H$5+Parameter!$H$6+Parameter!$H$7))-(AN1463-AI1463))/AI1463)))</f>
        <v>0</v>
      </c>
      <c r="AP1463" s="50" t="n">
        <f aca="false">IF(LEFT(Cockpit!$I$5,1)="A",H1463,IF(Parameter!$E$30="MAX-Bestand",IF(CH1463=1,CI1463,IF(LEFT(Cockpit!$I$5,1)="B",AV1463,MAX(AV1463,H1463))),ROUNDUP(AT1463,0)))</f>
        <v>6</v>
      </c>
      <c r="AQ1463" s="50" t="n">
        <f aca="false">IF(BZ1463=1,0,ROUNDUP(AP1463/BY1463,0))</f>
        <v>0</v>
      </c>
      <c r="AR1463" s="52" t="n">
        <f aca="false">IF(CQ1463&gt;0,CQ1463*MAX(1,AP1463/X1463),IF(BZ1463=1,IF(AP1463&lt;=0,0,CD1463*MAX(1,IF(H1463&gt;0,AP1463/H1463,1))),IF(R1463&gt;0,AQ1463/R1463,0))/MAX(0.1,N(Parameter!$M$21)))</f>
        <v>0.15</v>
      </c>
      <c r="AS1463" s="50" t="n">
        <f aca="false">AR1463*CB1463</f>
        <v>35.25</v>
      </c>
      <c r="AT1463" s="51" t="n">
        <f aca="false">IF(LEFT(Cockpit!$I$5,1)="A",H1463,IF(CH1463=1,(CK1463+CI1463)/2,IF(LEFT(Cockpit!$I$5,1)="B",(CK1463+AV1463)/2,MAX((CK1463+AV1463)/2,H1463))))</f>
        <v>5.5</v>
      </c>
      <c r="AU1463" s="50" t="n">
        <f aca="false">AT1463*G1463</f>
        <v>24882.275</v>
      </c>
      <c r="AV1463" s="50" t="n">
        <f aca="false">ROUNDUP(CK1463+MAX(CL1463,2*(J1463/IF(CG1463&gt;0,CG1463,MAX(0.1,N(Cockpit!$I$6)))-CK1463)),0)</f>
        <v>11</v>
      </c>
      <c r="AW1463" s="51" t="n">
        <f aca="false">IF(AS1463&gt;0,J1463/AS1463,-1)</f>
        <v>0.453900709219858</v>
      </c>
      <c r="AX1463" s="51" t="str">
        <f aca="false">IF(AND(OR(CF1463="L1",CF1463="L23",CF1463="LIFT"),AS1463&gt;0),SUMIFS($AS$7:$AS$1843,$CF$7:$CF$1843,CF1463,$AW$7:$AW$1843,"&gt;"&amp;AW1463)+SUMIFS($AS$7:$AS$1843,$CF$7:$CF$1843,CF1463,$AW$7:$AW$1843,AW1463,$BW$7:$BW$1843,"&lt;="&amp;BW1463),"")</f>
        <v/>
      </c>
      <c r="AY1463" s="58" t="n">
        <f aca="false">IF(AX1463="",0,MAX(0,MIN(1,(IF(CF1463="L1",Parameter!$H$5,IF(CF1463="L23",Parameter!$H$6+Parameter!$H$7,Parameter!$H$5+Parameter!$H$6+Parameter!$H$7))-(AX1463-AS1463))/AS1463)))</f>
        <v>0</v>
      </c>
      <c r="AZ1463" s="50" t="n">
        <f aca="false">IF(LEFT(Cockpit!$O$5,1)="A",H1463,IF(Parameter!$E$30="MAX-Bestand",IF(CH1463=1,CI1463,IF(LEFT(Cockpit!$O$5,1)="B",BF1463,MAX(BF1463,H1463))),ROUNDUP(BD1463,0)))</f>
        <v>4</v>
      </c>
      <c r="BA1463" s="50" t="n">
        <f aca="false">IF(BZ1463=1,0,ROUNDUP(AZ1463/BY1463,0))</f>
        <v>0</v>
      </c>
      <c r="BB1463" s="52" t="n">
        <f aca="false">IF(CQ1463&gt;0,CQ1463*MAX(1,AZ1463/X1463),IF(BZ1463=1,IF(AZ1463&lt;=0,0,CD1463*MAX(1,IF(H1463&gt;0,AZ1463/H1463,1))),IF(R1463&gt;0,BA1463/R1463,0))/MAX(0.1,N(Parameter!$M$21)))</f>
        <v>0.15</v>
      </c>
      <c r="BC1463" s="50" t="n">
        <f aca="false">BB1463*CB1463</f>
        <v>35.25</v>
      </c>
      <c r="BD1463" s="51" t="n">
        <f aca="false">IF(LEFT(Cockpit!$O$5,1)="A",H1463,IF(CH1463=1,(CK1463+CI1463)/2,IF(LEFT(Cockpit!$O$5,1)="B",(CK1463+BF1463)/2,MAX((CK1463+BF1463)/2,H1463))))</f>
        <v>4</v>
      </c>
      <c r="BE1463" s="50" t="n">
        <f aca="false">BD1463*G1463</f>
        <v>18096.2</v>
      </c>
      <c r="BF1463" s="50" t="n">
        <f aca="false">ROUNDUP(CK1463+MAX(CL1463,2*(J1463/IF(CG1463&gt;0,CG1463,MAX(0.1,N(Cockpit!$O$6)))-CK1463)),0)</f>
        <v>8</v>
      </c>
      <c r="BG1463" s="51" t="n">
        <f aca="false">IF(BC1463&gt;0,J1463/BC1463,-1)</f>
        <v>0.453900709219858</v>
      </c>
      <c r="BH1463" s="51" t="str">
        <f aca="false">IF(AND(OR(CF1463="L1",CF1463="L23",CF1463="LIFT"),BC1463&gt;0),SUMIFS($BC$7:$BC$1843,$CF$7:$CF$1843,CF1463,$BG$7:$BG$1843,"&gt;"&amp;BG1463)+SUMIFS($BC$7:$BC$1843,$CF$7:$CF$1843,CF1463,$BG$7:$BG$1843,BG1463,$BW$7:$BW$1843,"&lt;="&amp;BW1463),"")</f>
        <v/>
      </c>
      <c r="BI1463" s="58" t="n">
        <f aca="false">IF(BH1463="",0,MAX(0,MIN(1,(IF(CF1463="L1",Parameter!$H$5,IF(CF1463="L23",Parameter!$H$6+Parameter!$H$7,Parameter!$H$5+Parameter!$H$6+Parameter!$H$7))-(BH1463-BC1463))/BC1463)))</f>
        <v>0</v>
      </c>
      <c r="BJ1463" s="48" t="str">
        <f aca="false">IF(AI1463&lt;=0,"",IF(CF1463="Aussen","Aussenlager",IF(CF1463="-","Nicht im Lift",IF(AO1463&gt;=1,"Lift",IF(AO1463&lt;=0,"Aussenlager","teilweise")))))</f>
        <v/>
      </c>
      <c r="BK1463" s="48" t="str">
        <f aca="false">IF(AS1463&lt;=0,"",IF(CF1463="Aussen","Aussenlager",IF(CF1463="-","Nicht im Lift",IF(AY1463&gt;=1,"Lift",IF(AY1463&lt;=0,"Aussenlager","teilweise")))))</f>
        <v>Nicht im Lift</v>
      </c>
      <c r="BL1463" s="48" t="str">
        <f aca="false">IF(BC1463&lt;=0,"",IF(CF1463="Aussen","Aussenlager",IF(CF1463="-","Nicht im Lift",IF(BI1463&gt;=1,"Lift",IF(BI1463&lt;=0,"Aussenlager","teilweise")))))</f>
        <v>Nicht im Lift</v>
      </c>
      <c r="BM1463" s="48" t="str">
        <f aca="false">IF(A1463="","",IF(BV1463=1,"Neu; ","")&amp;IF(AND(BV1463=0,BQ1463&lt;0),"negativer Bestand (Export "&amp;BQ1463&amp;"); ","")&amp;IF(J1463&lt;=0,"Kein Verbrauch; ","")&amp;IF(CQ1463&gt;0,"Lift "&amp;W1463&amp;" lt. Liftbericht (Fach "&amp;X1463&amp;" Stk); ",IF(CA1463=1,"Gebinde geschätzt ("&amp;T1463&amp;"); ",IF(BZ1463=1,"Lose – Tablare geschätzt; ","")))&amp;IF(H1463&gt;AV1463,"Überbestand "&amp;ROUND(H1463-AV1463,0)&amp;" Stk / CHF "&amp;ROUND((H1463-AV1463)*G1463,0)&amp;"; ","")&amp;IF(AND(CH1463=1,CI1463&lt;CJ1463),"MAX &lt; MB+LG; ","")&amp;IF(AND(CP1463&gt;0,CO1463*10&gt;CP1463),"zu hoch für Tablar; ","")&amp;IF(AND(BV1463=0,OR(CH1463=1,AA1463&lt;&gt;"",U1463&lt;&gt;"",V1463&lt;&gt;"",AB1463&lt;&gt;"")),"manuell übersteuert; ","")&amp;IF(AND(BZ1463=0,R1463=0),"Gebinde unbekannt / Stellmass fehlt; ","")&amp;IF(AND(BZ1463=0,N(V1463)&lt;=0,N(Q1463)&lt;=0),"Menge pro Gebinde fehlt (Ist = 1 Gebinde); ","")&amp;BU1463)</f>
        <v>negativer Bestand (Export -6); Lose – Tablare geschätzt; Neuer Art.</v>
      </c>
      <c r="BN1463" s="48"/>
      <c r="BO1463" s="48"/>
      <c r="BP1463" s="55"/>
      <c r="BQ1463" s="50" t="n">
        <v>-6</v>
      </c>
      <c r="BR1463" s="50" t="n">
        <v>0</v>
      </c>
      <c r="BS1463" s="49" t="n">
        <v>-26487.18</v>
      </c>
      <c r="BT1463" s="50" t="n">
        <v>16</v>
      </c>
      <c r="BU1463" s="48" t="s">
        <v>521</v>
      </c>
      <c r="BV1463" s="53" t="n">
        <v>0</v>
      </c>
      <c r="BW1463" s="53" t="n">
        <v>1463</v>
      </c>
      <c r="BX1463" s="48" t="str">
        <f aca="false">IF(U1463&lt;&gt;"",UPPER(TRIM(U1463)),IF(CA1463=1,UPPER(VLOOKUP(T1463,Parameter!$I$27:$K$29,2,0)),IF(P1463="","LOSE",P1463)))</f>
        <v>LOSE</v>
      </c>
      <c r="BY1463" s="50" t="n">
        <f aca="false">IF(BX1463="LOSE",1,IF(N(V1463)&gt;0,V1463,IF(CA1463=1,MAX(1,N(VLOOKUP(T1463,Parameter!$I$27:$K$29,3,0)),H1463,N(N1463)),IF(N(Q1463)&gt;0,Q1463,MAX(1,H1463)))))</f>
        <v>1</v>
      </c>
      <c r="BZ1463" s="53" t="n">
        <f aca="false">IF(BX1463="LOSE",1,0)</f>
        <v>1</v>
      </c>
      <c r="CA1463" s="53" t="n">
        <f aca="false">IF(AND(U1463="",OR(P1463="",P1463="LOSE"),T1463&lt;&gt;"",N(S1463)&lt;=0,ISNUMBER(MATCH(T1463,Parameter!$I$27:$I$29,0))),1,0)</f>
        <v>0</v>
      </c>
      <c r="CB1463" s="53" t="n">
        <f aca="false">IF(CQ1463&gt;0,INDEX(Parameter!$H$5:$H$7,W1463)/INDEX(Parameter!$E$5:$E$7,W1463),IF(AND(BZ1463=0,N(IFERROR(VLOOKUP(BX1463,'Gebinde-Kategorie'!$A$5:$N$45,14,0),0))&gt;0),VLOOKUP(BX1463,'Gebinde-Kategorie'!$A$5:$N$45,14,0)*10+Parameter!$M$23,Parameter!$M$24))</f>
        <v>235</v>
      </c>
      <c r="CC1463" s="48" t="str">
        <f aca="false">IF(AND(Parameter!$B$19="Ja",E1463&lt;&gt;"",ISNUMBER(MATCH(E1463,Parameter!$I$35:$I$52,0))),VLOOKUP(E1463,Parameter!$I$35:$J$52,2,0),IFERROR(VLOOKUP(D1463,Parameter!$A$35:$C$64,2,0),"Nein"))</f>
        <v>Nein</v>
      </c>
      <c r="CD1463" s="52" t="n">
        <f aca="false">IF(BZ1463=0,0,IF(N(S1463)&gt;0,S1463,IFERROR(VLOOKUP(D1463,Parameter!$A$35:$C$64,3,0)+0,0)))</f>
        <v>0.15</v>
      </c>
      <c r="CE1463" s="48" t="str">
        <f aca="false">IF(AA1463&lt;&gt;"",AA1463,Z1463)</f>
        <v>-</v>
      </c>
      <c r="CF1463" s="48" t="str">
        <f aca="false">IF(OR(CE1463=1,CE1463=2,CE1463=3),IF(Parameter!$E$27="Ja","LIFT",IF(CE1463=1,"L1","L23")),IF(CE1463="Aussen","Aussen","-"))</f>
        <v>-</v>
      </c>
      <c r="CG1463" s="59" t="n">
        <f aca="false">IF(N(AB1463)&gt;0,AB1463,0)</f>
        <v>0</v>
      </c>
      <c r="CH1463" s="53" t="n">
        <f aca="false">IF(ISNUMBER(AE1463),1,0)</f>
        <v>0</v>
      </c>
      <c r="CI1463" s="50" t="n">
        <f aca="false">N(AE1463)</f>
        <v>0</v>
      </c>
      <c r="CJ1463" s="50" t="n">
        <f aca="false">N(M1463)+N(N1463)</f>
        <v>1</v>
      </c>
      <c r="CK1463" s="50" t="n">
        <f aca="false">N(M1463)</f>
        <v>0</v>
      </c>
      <c r="CL1463" s="50" t="n">
        <f aca="false">N(N1463)</f>
        <v>1</v>
      </c>
      <c r="CM1463" s="50" t="n">
        <f aca="false">ROUNDUP(H1463/BY1463,0)</f>
        <v>0</v>
      </c>
      <c r="CN1463" s="50" t="n">
        <f aca="false">ROUNDUP(CI1463/BY1463,0)</f>
        <v>0</v>
      </c>
      <c r="CO1463" s="53" t="n">
        <f aca="false">IF(BZ1463=1,0,IFERROR(VLOOKUP(BX1463,'Gebinde-Kategorie'!$A$5:$N$45,5,0)+0,0))</f>
        <v>0</v>
      </c>
      <c r="CP1463" s="53" t="n">
        <f aca="false">IFERROR(IF(OR(CE1463=1,CE1463=2,CE1463=3),N(INDEX(Parameter!$I$5:$I$7,CE1463)),0),0)</f>
        <v>0</v>
      </c>
      <c r="CQ1463" s="52" t="n">
        <f aca="false">IF(AND(Parameter!$B$21="Ja",ISNUMBER(W1463),N(X1463)&gt;0),IFERROR(N(INDEX(Parameter!$L$5:$L$7,W1463))*INDEX(Parameter!$E$5:$E$7,W1463)*X1463/SUMIFS($X$7:$X$1843,$W$7:$W$1843,W1463),0),0)</f>
        <v>0</v>
      </c>
    </row>
    <row r="1464" customFormat="false" ht="15" hidden="false" customHeight="false" outlineLevel="0" collapsed="false">
      <c r="A1464" s="48" t="s">
        <v>2568</v>
      </c>
      <c r="B1464" s="48" t="s">
        <v>414</v>
      </c>
      <c r="C1464" s="48" t="s">
        <v>465</v>
      </c>
      <c r="D1464" s="48" t="s">
        <v>182</v>
      </c>
      <c r="E1464" s="48"/>
      <c r="F1464" s="48"/>
      <c r="G1464" s="49" t="n">
        <v>7.96</v>
      </c>
      <c r="H1464" s="50" t="n">
        <f aca="false">MAX(0,IF(AND(Parameter!$B$21="Ja",ISNUMBER(Y1464)),Y1464,IF(Parameter!$B$20="Jahresanfang 2025 + Export",BR1464+BQ1464,BQ1464)))</f>
        <v>0</v>
      </c>
      <c r="I1464" s="50" t="n">
        <f aca="false">H1464*G1464</f>
        <v>0</v>
      </c>
      <c r="J1464" s="50" t="n">
        <f aca="false">BT1464*Parameter!$B$18</f>
        <v>6500</v>
      </c>
      <c r="K1464" s="51"/>
      <c r="L1464" s="52"/>
      <c r="M1464" s="50" t="n">
        <v>379</v>
      </c>
      <c r="N1464" s="50" t="n">
        <v>1435</v>
      </c>
      <c r="O1464" s="53"/>
      <c r="P1464" s="48" t="s">
        <v>177</v>
      </c>
      <c r="Q1464" s="50"/>
      <c r="R1464" s="53" t="n">
        <f aca="false">IF(BZ1464=1,0,IFERROR(VLOOKUP(BX1464,'Gebinde-Kategorie'!$A$5:$N$45,13,0)+0,0))</f>
        <v>26</v>
      </c>
      <c r="S1464" s="54"/>
      <c r="T1464" s="55" t="s">
        <v>284</v>
      </c>
      <c r="U1464" s="55"/>
      <c r="V1464" s="55"/>
      <c r="W1464" s="48"/>
      <c r="X1464" s="50"/>
      <c r="Y1464" s="50"/>
      <c r="Z1464" s="48" t="n">
        <f aca="false">IF(A1464="","",IF(AND(Parameter!$B$21="Ja",ISNUMBER(W1464)),W1464,IF(CC1464="2+3",IF(ISNUMBER(SEARCH("grosser Artikel",BU1464)),2,IFERROR(VLOOKUP(BX1464,Parameter!$F$35:$G$64,2,0),2)),IF(OR(CC1464="Nein",CC1464=""),"-",CC1464))))</f>
        <v>3</v>
      </c>
      <c r="AA1464" s="55"/>
      <c r="AB1464" s="56"/>
      <c r="AC1464" s="50" t="n">
        <f aca="false">AV1464</f>
        <v>3955</v>
      </c>
      <c r="AD1464" s="50" t="n">
        <f aca="false">MAX(AV1464,H1464)</f>
        <v>3955</v>
      </c>
      <c r="AE1464" s="57"/>
      <c r="AF1464" s="50" t="n">
        <f aca="false">IF(LEFT(Cockpit!$C$5,1)="A",H1464,IF(Parameter!$E$30="MAX-Bestand",IF(CH1464=1,CI1464,IF(LEFT(Cockpit!$C$5,1)="B",AL1464,MAX(AL1464,H1464))),ROUNDUP(AJ1464,0)))</f>
        <v>0</v>
      </c>
      <c r="AG1464" s="50" t="n">
        <f aca="false">IF(BZ1464=1,0,ROUNDUP(AF1464/BY1464,0))</f>
        <v>0</v>
      </c>
      <c r="AH1464" s="52" t="n">
        <f aca="false">IF(CQ1464&gt;0,CQ1464*MAX(1,AF1464/X1464),IF(BZ1464=1,IF(AF1464&lt;=0,0,CD1464*MAX(1,IF(H1464&gt;0,AF1464/H1464,1))),IF(R1464&gt;0,AG1464/R1464,0))/MAX(0.1,N(Parameter!$M$21)))</f>
        <v>0</v>
      </c>
      <c r="AI1464" s="50" t="n">
        <f aca="false">AH1464*CB1464</f>
        <v>0</v>
      </c>
      <c r="AJ1464" s="51" t="n">
        <f aca="false">IF(LEFT(Cockpit!$C$5,1)="A",H1464,IF(CH1464=1,(CK1464+CI1464)/2,IF(LEFT(Cockpit!$C$5,1)="B",(CK1464+AL1464)/2,MAX((CK1464+AL1464)/2,H1464))))</f>
        <v>0</v>
      </c>
      <c r="AK1464" s="50" t="n">
        <f aca="false">AJ1464*G1464</f>
        <v>0</v>
      </c>
      <c r="AL1464" s="50" t="n">
        <f aca="false">ROUNDUP(CK1464+MAX(CL1464,2*(J1464/IF(CG1464&gt;0,CG1464,MAX(0.1,N(Cockpit!$C$6)))-CK1464)),0)</f>
        <v>3955</v>
      </c>
      <c r="AM1464" s="51" t="n">
        <f aca="false">IF(AI1464&gt;0,J1464/AI1464,-1)</f>
        <v>-1</v>
      </c>
      <c r="AN1464" s="51" t="str">
        <f aca="false">IF(AND(OR(CF1464="L1",CF1464="L23",CF1464="LIFT"),AI1464&gt;0),SUMIFS($AI$7:$AI$1843,$CF$7:$CF$1843,CF1464,$AM$7:$AM$1843,"&gt;"&amp;AM1464)+SUMIFS($AI$7:$AI$1843,$CF$7:$CF$1843,CF1464,$AM$7:$AM$1843,AM1464,$BW$7:$BW$1843,"&lt;="&amp;BW1464),"")</f>
        <v/>
      </c>
      <c r="AO1464" s="58" t="n">
        <f aca="false">IF(AN1464="",0,MAX(0,MIN(1,(IF(CF1464="L1",Parameter!$H$5,IF(CF1464="L23",Parameter!$H$6+Parameter!$H$7,Parameter!$H$5+Parameter!$H$6+Parameter!$H$7))-(AN1464-AI1464))/AI1464)))</f>
        <v>0</v>
      </c>
      <c r="AP1464" s="50" t="n">
        <f aca="false">IF(LEFT(Cockpit!$I$5,1)="A",H1464,IF(Parameter!$E$30="MAX-Bestand",IF(CH1464=1,CI1464,IF(LEFT(Cockpit!$I$5,1)="B",AV1464,MAX(AV1464,H1464))),ROUNDUP(AT1464,0)))</f>
        <v>2167</v>
      </c>
      <c r="AQ1464" s="50" t="n">
        <f aca="false">IF(BZ1464=1,0,ROUNDUP(AP1464/BY1464,0))</f>
        <v>2</v>
      </c>
      <c r="AR1464" s="52" t="n">
        <f aca="false">IF(CQ1464&gt;0,CQ1464*MAX(1,AP1464/X1464),IF(BZ1464=1,IF(AP1464&lt;=0,0,CD1464*MAX(1,IF(H1464&gt;0,AP1464/H1464,1))),IF(R1464&gt;0,AQ1464/R1464,0))/MAX(0.1,N(Parameter!$M$21)))</f>
        <v>0.0769230769230769</v>
      </c>
      <c r="AS1464" s="50" t="n">
        <f aca="false">AR1464*CB1464</f>
        <v>11.9230769230769</v>
      </c>
      <c r="AT1464" s="51" t="n">
        <f aca="false">IF(LEFT(Cockpit!$I$5,1)="A",H1464,IF(CH1464=1,(CK1464+CI1464)/2,IF(LEFT(Cockpit!$I$5,1)="B",(CK1464+AV1464)/2,MAX((CK1464+AV1464)/2,H1464))))</f>
        <v>2167</v>
      </c>
      <c r="AU1464" s="50" t="n">
        <f aca="false">AT1464*G1464</f>
        <v>17249.32</v>
      </c>
      <c r="AV1464" s="50" t="n">
        <f aca="false">ROUNDUP(CK1464+MAX(CL1464,2*(J1464/IF(CG1464&gt;0,CG1464,MAX(0.1,N(Cockpit!$I$6)))-CK1464)),0)</f>
        <v>3955</v>
      </c>
      <c r="AW1464" s="51" t="n">
        <f aca="false">IF(AS1464&gt;0,J1464/AS1464,-1)</f>
        <v>545.161290322581</v>
      </c>
      <c r="AX1464" s="51" t="n">
        <f aca="false">IF(AND(OR(CF1464="L1",CF1464="L23",CF1464="LIFT"),AS1464&gt;0),SUMIFS($AS$7:$AS$1843,$CF$7:$CF$1843,CF1464,$AW$7:$AW$1843,"&gt;"&amp;AW1464)+SUMIFS($AS$7:$AS$1843,$CF$7:$CF$1843,CF1464,$AW$7:$AW$1843,AW1464,$BW$7:$BW$1843,"&lt;="&amp;BW1464),"")</f>
        <v>85.8956043956044</v>
      </c>
      <c r="AY1464" s="58" t="n">
        <f aca="false">IF(AX1464="",0,MAX(0,MIN(1,(IF(CF1464="L1",Parameter!$H$5,IF(CF1464="L23",Parameter!$H$6+Parameter!$H$7,Parameter!$H$5+Parameter!$H$6+Parameter!$H$7))-(AX1464-AS1464))/AS1464)))</f>
        <v>1</v>
      </c>
      <c r="AZ1464" s="50" t="n">
        <f aca="false">IF(LEFT(Cockpit!$O$5,1)="A",H1464,IF(Parameter!$E$30="MAX-Bestand",IF(CH1464=1,CI1464,IF(LEFT(Cockpit!$O$5,1)="B",BF1464,MAX(BF1464,H1464))),ROUNDUP(BD1464,0)))</f>
        <v>1625</v>
      </c>
      <c r="BA1464" s="50" t="n">
        <f aca="false">IF(BZ1464=1,0,ROUNDUP(AZ1464/BY1464,0))</f>
        <v>2</v>
      </c>
      <c r="BB1464" s="52" t="n">
        <f aca="false">IF(CQ1464&gt;0,CQ1464*MAX(1,AZ1464/X1464),IF(BZ1464=1,IF(AZ1464&lt;=0,0,CD1464*MAX(1,IF(H1464&gt;0,AZ1464/H1464,1))),IF(R1464&gt;0,BA1464/R1464,0))/MAX(0.1,N(Parameter!$M$21)))</f>
        <v>0.0769230769230769</v>
      </c>
      <c r="BC1464" s="50" t="n">
        <f aca="false">BB1464*CB1464</f>
        <v>11.9230769230769</v>
      </c>
      <c r="BD1464" s="51" t="n">
        <f aca="false">IF(LEFT(Cockpit!$O$5,1)="A",H1464,IF(CH1464=1,(CK1464+CI1464)/2,IF(LEFT(Cockpit!$O$5,1)="B",(CK1464+BF1464)/2,MAX((CK1464+BF1464)/2,H1464))))</f>
        <v>1625</v>
      </c>
      <c r="BE1464" s="50" t="n">
        <f aca="false">BD1464*G1464</f>
        <v>12935</v>
      </c>
      <c r="BF1464" s="50" t="n">
        <f aca="false">ROUNDUP(CK1464+MAX(CL1464,2*(J1464/IF(CG1464&gt;0,CG1464,MAX(0.1,N(Cockpit!$O$6)))-CK1464)),0)</f>
        <v>2871</v>
      </c>
      <c r="BG1464" s="51" t="n">
        <f aca="false">IF(BC1464&gt;0,J1464/BC1464,-1)</f>
        <v>545.161290322581</v>
      </c>
      <c r="BH1464" s="51" t="n">
        <f aca="false">IF(AND(OR(CF1464="L1",CF1464="L23",CF1464="LIFT"),BC1464&gt;0),SUMIFS($BC$7:$BC$1843,$CF$7:$CF$1843,CF1464,$BG$7:$BG$1843,"&gt;"&amp;BG1464)+SUMIFS($BC$7:$BC$1843,$CF$7:$CF$1843,CF1464,$BG$7:$BG$1843,BG1464,$BW$7:$BW$1843,"&lt;="&amp;BW1464),"")</f>
        <v>106.538003663004</v>
      </c>
      <c r="BI1464" s="58" t="n">
        <f aca="false">IF(BH1464="",0,MAX(0,MIN(1,(IF(CF1464="L1",Parameter!$H$5,IF(CF1464="L23",Parameter!$H$6+Parameter!$H$7,Parameter!$H$5+Parameter!$H$6+Parameter!$H$7))-(BH1464-BC1464))/BC1464)))</f>
        <v>1</v>
      </c>
      <c r="BJ1464" s="48" t="str">
        <f aca="false">IF(AI1464&lt;=0,"",IF(CF1464="Aussen","Aussenlager",IF(CF1464="-","Nicht im Lift",IF(AO1464&gt;=1,"Lift",IF(AO1464&lt;=0,"Aussenlager","teilweise")))))</f>
        <v/>
      </c>
      <c r="BK1464" s="48" t="str">
        <f aca="false">IF(AS1464&lt;=0,"",IF(CF1464="Aussen","Aussenlager",IF(CF1464="-","Nicht im Lift",IF(AY1464&gt;=1,"Lift",IF(AY1464&lt;=0,"Aussenlager","teilweise")))))</f>
        <v>Lift</v>
      </c>
      <c r="BL1464" s="48" t="str">
        <f aca="false">IF(BC1464&lt;=0,"",IF(CF1464="Aussen","Aussenlager",IF(CF1464="-","Nicht im Lift",IF(BI1464&gt;=1,"Lift",IF(BI1464&lt;=0,"Aussenlager","teilweise")))))</f>
        <v>Lift</v>
      </c>
      <c r="BM1464" s="48" t="str">
        <f aca="false">IF(A1464="","",IF(BV1464=1,"Neu; ","")&amp;IF(AND(BV1464=0,BQ1464&lt;0),"negativer Bestand (Export "&amp;BQ1464&amp;"); ","")&amp;IF(J1464&lt;=0,"Kein Verbrauch; ","")&amp;IF(CQ1464&gt;0,"Lift "&amp;W1464&amp;" lt. Liftbericht (Fach "&amp;X1464&amp;" Stk); ",IF(CA1464=1,"Gebinde geschätzt ("&amp;T1464&amp;"); ",IF(BZ1464=1,"Lose – Tablare geschätzt; ","")))&amp;IF(H1464&gt;AV1464,"Überbestand "&amp;ROUND(H1464-AV1464,0)&amp;" Stk / CHF "&amp;ROUND((H1464-AV1464)*G1464,0)&amp;"; ","")&amp;IF(AND(CH1464=1,CI1464&lt;CJ1464),"MAX &lt; MB+LG; ","")&amp;IF(AND(CP1464&gt;0,CO1464*10&gt;CP1464),"zu hoch für Tablar; ","")&amp;IF(AND(BV1464=0,OR(CH1464=1,AA1464&lt;&gt;"",U1464&lt;&gt;"",V1464&lt;&gt;"",AB1464&lt;&gt;"")),"manuell übersteuert; ","")&amp;IF(AND(BZ1464=0,R1464=0),"Gebinde unbekannt / Stellmass fehlt; ","")&amp;IF(AND(BZ1464=0,N(V1464)&lt;=0,N(Q1464)&lt;=0),"Menge pro Gebinde fehlt (Ist = 1 Gebinde); ","")&amp;BU1464)</f>
        <v>negativer Bestand (Export -3000); Gebinde geschätzt (Klein); Menge pro Gebinde fehlt (Ist = 1 Gebinde); </v>
      </c>
      <c r="BN1464" s="48"/>
      <c r="BO1464" s="48"/>
      <c r="BP1464" s="55"/>
      <c r="BQ1464" s="50" t="n">
        <v>-3000</v>
      </c>
      <c r="BR1464" s="50" t="n">
        <v>0</v>
      </c>
      <c r="BS1464" s="49" t="n">
        <v>-26550</v>
      </c>
      <c r="BT1464" s="50" t="n">
        <v>6500</v>
      </c>
      <c r="BU1464" s="48"/>
      <c r="BV1464" s="53" t="n">
        <v>0</v>
      </c>
      <c r="BW1464" s="53" t="n">
        <v>1464</v>
      </c>
      <c r="BX1464" s="48" t="str">
        <f aca="false">IF(U1464&lt;&gt;"",UPPER(TRIM(U1464)),IF(CA1464=1,UPPER(VLOOKUP(T1464,Parameter!$I$27:$K$29,2,0)),IF(P1464="","LOSE",P1464)))</f>
        <v>S51</v>
      </c>
      <c r="BY1464" s="50" t="n">
        <f aca="false">IF(BX1464="LOSE",1,IF(N(V1464)&gt;0,V1464,IF(CA1464=1,MAX(1,N(VLOOKUP(T1464,Parameter!$I$27:$K$29,3,0)),H1464,N(N1464)),IF(N(Q1464)&gt;0,Q1464,MAX(1,H1464)))))</f>
        <v>1435</v>
      </c>
      <c r="BZ1464" s="53" t="n">
        <f aca="false">IF(BX1464="LOSE",1,0)</f>
        <v>0</v>
      </c>
      <c r="CA1464" s="53" t="n">
        <f aca="false">IF(AND(U1464="",OR(P1464="",P1464="LOSE"),T1464&lt;&gt;"",N(S1464)&lt;=0,ISNUMBER(MATCH(T1464,Parameter!$I$27:$I$29,0))),1,0)</f>
        <v>1</v>
      </c>
      <c r="CB1464" s="53" t="n">
        <f aca="false">IF(CQ1464&gt;0,INDEX(Parameter!$H$5:$H$7,W1464)/INDEX(Parameter!$E$5:$E$7,W1464),IF(AND(BZ1464=0,N(IFERROR(VLOOKUP(BX1464,'Gebinde-Kategorie'!$A$5:$N$45,14,0),0))&gt;0),VLOOKUP(BX1464,'Gebinde-Kategorie'!$A$5:$N$45,14,0)*10+Parameter!$M$23,Parameter!$M$24))</f>
        <v>155</v>
      </c>
      <c r="CC1464" s="48" t="str">
        <f aca="false">IF(AND(Parameter!$B$19="Ja",E1464&lt;&gt;"",ISNUMBER(MATCH(E1464,Parameter!$I$35:$I$52,0))),VLOOKUP(E1464,Parameter!$I$35:$J$52,2,0),IFERROR(VLOOKUP(D1464,Parameter!$A$35:$C$64,2,0),"Nein"))</f>
        <v>2+3</v>
      </c>
      <c r="CD1464" s="52" t="n">
        <f aca="false">IF(BZ1464=0,0,IF(N(S1464)&gt;0,S1464,IFERROR(VLOOKUP(D1464,Parameter!$A$35:$C$64,3,0)+0,0)))</f>
        <v>0</v>
      </c>
      <c r="CE1464" s="48" t="n">
        <f aca="false">IF(AA1464&lt;&gt;"",AA1464,Z1464)</f>
        <v>3</v>
      </c>
      <c r="CF1464" s="48" t="str">
        <f aca="false">IF(OR(CE1464=1,CE1464=2,CE1464=3),IF(Parameter!$E$27="Ja","LIFT",IF(CE1464=1,"L1","L23")),IF(CE1464="Aussen","Aussen","-"))</f>
        <v>LIFT</v>
      </c>
      <c r="CG1464" s="59" t="n">
        <f aca="false">IF(N(AB1464)&gt;0,AB1464,0)</f>
        <v>0</v>
      </c>
      <c r="CH1464" s="53" t="n">
        <f aca="false">IF(ISNUMBER(AE1464),1,0)</f>
        <v>0</v>
      </c>
      <c r="CI1464" s="50" t="n">
        <f aca="false">N(AE1464)</f>
        <v>0</v>
      </c>
      <c r="CJ1464" s="50" t="n">
        <f aca="false">N(M1464)+N(N1464)</f>
        <v>1814</v>
      </c>
      <c r="CK1464" s="50" t="n">
        <f aca="false">N(M1464)</f>
        <v>379</v>
      </c>
      <c r="CL1464" s="50" t="n">
        <f aca="false">N(N1464)</f>
        <v>1435</v>
      </c>
      <c r="CM1464" s="50" t="n">
        <f aca="false">ROUNDUP(H1464/BY1464,0)</f>
        <v>0</v>
      </c>
      <c r="CN1464" s="50" t="n">
        <f aca="false">ROUNDUP(CI1464/BY1464,0)</f>
        <v>0</v>
      </c>
      <c r="CO1464" s="53" t="n">
        <f aca="false">IF(BZ1464=1,0,IFERROR(VLOOKUP(BX1464,'Gebinde-Kategorie'!$A$5:$N$45,5,0)+0,0))</f>
        <v>11</v>
      </c>
      <c r="CP1464" s="53" t="n">
        <f aca="false">IFERROR(IF(OR(CE1464=1,CE1464=2,CE1464=3),N(INDEX(Parameter!$I$5:$I$7,CE1464)),0),0)</f>
        <v>0</v>
      </c>
      <c r="CQ1464" s="52" t="n">
        <f aca="false">IF(AND(Parameter!$B$21="Ja",ISNUMBER(W1464),N(X1464)&gt;0),IFERROR(N(INDEX(Parameter!$L$5:$L$7,W1464))*INDEX(Parameter!$E$5:$E$7,W1464)*X1464/SUMIFS($X$7:$X$1843,$W$7:$W$1843,W1464),0),0)</f>
        <v>0</v>
      </c>
    </row>
    <row r="1465" customFormat="false" ht="15" hidden="false" customHeight="false" outlineLevel="0" collapsed="false">
      <c r="A1465" s="48" t="s">
        <v>2569</v>
      </c>
      <c r="B1465" s="48" t="s">
        <v>172</v>
      </c>
      <c r="C1465" s="48" t="s">
        <v>173</v>
      </c>
      <c r="D1465" s="48" t="s">
        <v>174</v>
      </c>
      <c r="E1465" s="48" t="s">
        <v>175</v>
      </c>
      <c r="F1465" s="48"/>
      <c r="G1465" s="49" t="n">
        <v>4042.46</v>
      </c>
      <c r="H1465" s="50" t="n">
        <f aca="false">MAX(0,IF(AND(Parameter!$B$21="Ja",ISNUMBER(Y1465)),Y1465,IF(Parameter!$B$20="Jahresanfang 2025 + Export",BR1465+BQ1465,BQ1465)))</f>
        <v>8</v>
      </c>
      <c r="I1465" s="50" t="n">
        <f aca="false">H1465*G1465</f>
        <v>32339.68</v>
      </c>
      <c r="J1465" s="50" t="n">
        <f aca="false">BT1465*Parameter!$B$18</f>
        <v>71</v>
      </c>
      <c r="K1465" s="51"/>
      <c r="L1465" s="52"/>
      <c r="M1465" s="50" t="n">
        <v>4</v>
      </c>
      <c r="N1465" s="50" t="n">
        <v>8</v>
      </c>
      <c r="O1465" s="53"/>
      <c r="P1465" s="48" t="s">
        <v>177</v>
      </c>
      <c r="Q1465" s="50"/>
      <c r="R1465" s="53" t="n">
        <f aca="false">IF(BZ1465=1,0,IFERROR(VLOOKUP(BX1465,'Gebinde-Kategorie'!$A$5:$N$45,13,0)+0,0))</f>
        <v>0</v>
      </c>
      <c r="S1465" s="54"/>
      <c r="T1465" s="55"/>
      <c r="U1465" s="55"/>
      <c r="V1465" s="55"/>
      <c r="W1465" s="48" t="n">
        <v>1</v>
      </c>
      <c r="X1465" s="50" t="n">
        <v>11</v>
      </c>
      <c r="Y1465" s="50" t="n">
        <v>8</v>
      </c>
      <c r="Z1465" s="48" t="n">
        <f aca="false">IF(A1465="","",IF(AND(Parameter!$B$21="Ja",ISNUMBER(W1465)),W1465,IF(CC1465="2+3",IF(ISNUMBER(SEARCH("grosser Artikel",BU1465)),2,IFERROR(VLOOKUP(BX1465,Parameter!$F$35:$G$64,2,0),2)),IF(OR(CC1465="Nein",CC1465=""),"-",CC1465))))</f>
        <v>1</v>
      </c>
      <c r="AA1465" s="55"/>
      <c r="AB1465" s="56"/>
      <c r="AC1465" s="50" t="n">
        <f aca="false">AV1465</f>
        <v>44</v>
      </c>
      <c r="AD1465" s="50" t="n">
        <f aca="false">MAX(AV1465,H1465)</f>
        <v>44</v>
      </c>
      <c r="AE1465" s="57"/>
      <c r="AF1465" s="50" t="n">
        <f aca="false">IF(LEFT(Cockpit!$C$5,1)="A",H1465,IF(Parameter!$E$30="MAX-Bestand",IF(CH1465=1,CI1465,IF(LEFT(Cockpit!$C$5,1)="B",AL1465,MAX(AL1465,H1465))),ROUNDUP(AJ1465,0)))</f>
        <v>8</v>
      </c>
      <c r="AG1465" s="50" t="n">
        <f aca="false">IF(BZ1465=1,0,ROUNDUP(AF1465/BY1465,0))</f>
        <v>0</v>
      </c>
      <c r="AH1465" s="52" t="n">
        <f aca="false">IF(CQ1465&gt;0,CQ1465*MAX(1,AF1465/X1465),IF(BZ1465=1,IF(AF1465&lt;=0,0,CD1465*MAX(1,IF(H1465&gt;0,AF1465/H1465,1))),IF(R1465&gt;0,AG1465/R1465,0))/MAX(0.1,N(Parameter!$M$21)))</f>
        <v>0.880414312617702</v>
      </c>
      <c r="AI1465" s="50" t="n">
        <f aca="false">AH1465*CB1465</f>
        <v>209.538606403013</v>
      </c>
      <c r="AJ1465" s="51" t="n">
        <f aca="false">IF(LEFT(Cockpit!$C$5,1)="A",H1465,IF(CH1465=1,(CK1465+CI1465)/2,IF(LEFT(Cockpit!$C$5,1)="B",(CK1465+AL1465)/2,MAX((CK1465+AL1465)/2,H1465))))</f>
        <v>8</v>
      </c>
      <c r="AK1465" s="50" t="n">
        <f aca="false">AJ1465*G1465</f>
        <v>32339.68</v>
      </c>
      <c r="AL1465" s="50" t="n">
        <f aca="false">ROUNDUP(CK1465+MAX(CL1465,2*(J1465/IF(CG1465&gt;0,CG1465,MAX(0.1,N(Cockpit!$C$6)))-CK1465)),0)</f>
        <v>44</v>
      </c>
      <c r="AM1465" s="51" t="n">
        <f aca="false">IF(AI1465&gt;0,J1465/AI1465,-1)</f>
        <v>0.338839707005797</v>
      </c>
      <c r="AN1465" s="51" t="n">
        <f aca="false">IF(AND(OR(CF1465="L1",CF1465="L23",CF1465="LIFT"),AI1465&gt;0),SUMIFS($AI$7:$AI$1843,$CF$7:$CF$1843,CF1465,$AM$7:$AM$1843,"&gt;"&amp;AM1465)+SUMIFS($AI$7:$AI$1843,$CF$7:$CF$1843,CF1465,$AM$7:$AM$1843,AM1465,$BW$7:$BW$1843,"&lt;="&amp;BW1465),"")</f>
        <v>11144.2885779475</v>
      </c>
      <c r="AO1465" s="58" t="n">
        <f aca="false">IF(AN1465="",0,MAX(0,MIN(1,(IF(CF1465="L1",Parameter!$H$5,IF(CF1465="L23",Parameter!$H$6+Parameter!$H$7,Parameter!$H$5+Parameter!$H$6+Parameter!$H$7))-(AN1465-AI1465))/AI1465)))</f>
        <v>1</v>
      </c>
      <c r="AP1465" s="50" t="n">
        <f aca="false">IF(LEFT(Cockpit!$I$5,1)="A",H1465,IF(Parameter!$E$30="MAX-Bestand",IF(CH1465=1,CI1465,IF(LEFT(Cockpit!$I$5,1)="B",AV1465,MAX(AV1465,H1465))),ROUNDUP(AT1465,0)))</f>
        <v>24</v>
      </c>
      <c r="AQ1465" s="50" t="n">
        <f aca="false">IF(BZ1465=1,0,ROUNDUP(AP1465/BY1465,0))</f>
        <v>0</v>
      </c>
      <c r="AR1465" s="52" t="n">
        <f aca="false">IF(CQ1465&gt;0,CQ1465*MAX(1,AP1465/X1465),IF(BZ1465=1,IF(AP1465&lt;=0,0,CD1465*MAX(1,IF(H1465&gt;0,AP1465/H1465,1))),IF(R1465&gt;0,AQ1465/R1465,0))/MAX(0.1,N(Parameter!$M$21)))</f>
        <v>1.92090395480226</v>
      </c>
      <c r="AS1465" s="50" t="n">
        <f aca="false">AR1465*CB1465</f>
        <v>457.175141242938</v>
      </c>
      <c r="AT1465" s="51" t="n">
        <f aca="false">IF(LEFT(Cockpit!$I$5,1)="A",H1465,IF(CH1465=1,(CK1465+CI1465)/2,IF(LEFT(Cockpit!$I$5,1)="B",(CK1465+AV1465)/2,MAX((CK1465+AV1465)/2,H1465))))</f>
        <v>24</v>
      </c>
      <c r="AU1465" s="50" t="n">
        <f aca="false">AT1465*G1465</f>
        <v>97019.04</v>
      </c>
      <c r="AV1465" s="50" t="n">
        <f aca="false">ROUNDUP(CK1465+MAX(CL1465,2*(J1465/IF(CG1465&gt;0,CG1465,MAX(0.1,N(Cockpit!$I$6)))-CK1465)),0)</f>
        <v>44</v>
      </c>
      <c r="AW1465" s="51" t="n">
        <f aca="false">IF(AS1465&gt;0,J1465/AS1465,-1)</f>
        <v>0.155301532377657</v>
      </c>
      <c r="AX1465" s="51" t="n">
        <f aca="false">IF(AND(OR(CF1465="L1",CF1465="L23",CF1465="LIFT"),AS1465&gt;0),SUMIFS($AS$7:$AS$1843,$CF$7:$CF$1843,CF1465,$AW$7:$AW$1843,"&gt;"&amp;AW1465)+SUMIFS($AS$7:$AS$1843,$CF$7:$CF$1843,CF1465,$AW$7:$AW$1843,AW1465,$BW$7:$BW$1843,"&lt;="&amp;BW1465),"")</f>
        <v>16508.7084523292</v>
      </c>
      <c r="AY1465" s="58" t="n">
        <f aca="false">IF(AX1465="",0,MAX(0,MIN(1,(IF(CF1465="L1",Parameter!$H$5,IF(CF1465="L23",Parameter!$H$6+Parameter!$H$7,Parameter!$H$5+Parameter!$H$6+Parameter!$H$7))-(AX1465-AS1465))/AS1465)))</f>
        <v>1</v>
      </c>
      <c r="AZ1465" s="50" t="n">
        <f aca="false">IF(LEFT(Cockpit!$O$5,1)="A",H1465,IF(Parameter!$E$30="MAX-Bestand",IF(CH1465=1,CI1465,IF(LEFT(Cockpit!$O$5,1)="B",BF1465,MAX(BF1465,H1465))),ROUNDUP(BD1465,0)))</f>
        <v>18</v>
      </c>
      <c r="BA1465" s="50" t="n">
        <f aca="false">IF(BZ1465=1,0,ROUNDUP(AZ1465/BY1465,0))</f>
        <v>0</v>
      </c>
      <c r="BB1465" s="52" t="n">
        <f aca="false">IF(CQ1465&gt;0,CQ1465*MAX(1,AZ1465/X1465),IF(BZ1465=1,IF(AZ1465&lt;=0,0,CD1465*MAX(1,IF(H1465&gt;0,AZ1465/H1465,1))),IF(R1465&gt;0,BA1465/R1465,0))/MAX(0.1,N(Parameter!$M$21)))</f>
        <v>1.44067796610169</v>
      </c>
      <c r="BC1465" s="50" t="n">
        <f aca="false">BB1465*CB1465</f>
        <v>342.881355932203</v>
      </c>
      <c r="BD1465" s="51" t="n">
        <f aca="false">IF(LEFT(Cockpit!$O$5,1)="A",H1465,IF(CH1465=1,(CK1465+CI1465)/2,IF(LEFT(Cockpit!$O$5,1)="B",(CK1465+BF1465)/2,MAX((CK1465+BF1465)/2,H1465))))</f>
        <v>18</v>
      </c>
      <c r="BE1465" s="50" t="n">
        <f aca="false">BD1465*G1465</f>
        <v>72764.28</v>
      </c>
      <c r="BF1465" s="50" t="n">
        <f aca="false">ROUNDUP(CK1465+MAX(CL1465,2*(J1465/IF(CG1465&gt;0,CG1465,MAX(0.1,N(Cockpit!$O$6)))-CK1465)),0)</f>
        <v>32</v>
      </c>
      <c r="BG1465" s="51" t="n">
        <f aca="false">IF(BC1465&gt;0,J1465/BC1465,-1)</f>
        <v>0.207068709836876</v>
      </c>
      <c r="BH1465" s="51" t="n">
        <f aca="false">IF(AND(OR(CF1465="L1",CF1465="L23",CF1465="LIFT"),BC1465&gt;0),SUMIFS($BC$7:$BC$1843,$CF$7:$CF$1843,CF1465,$BG$7:$BG$1843,"&gt;"&amp;BG1465)+SUMIFS($BC$7:$BC$1843,$CF$7:$CF$1843,CF1465,$BG$7:$BG$1843,BG1465,$BW$7:$BW$1843,"&lt;="&amp;BW1465),"")</f>
        <v>12782.8107577451</v>
      </c>
      <c r="BI1465" s="58" t="n">
        <f aca="false">IF(BH1465="",0,MAX(0,MIN(1,(IF(CF1465="L1",Parameter!$H$5,IF(CF1465="L23",Parameter!$H$6+Parameter!$H$7,Parameter!$H$5+Parameter!$H$6+Parameter!$H$7))-(BH1465-BC1465))/BC1465)))</f>
        <v>1</v>
      </c>
      <c r="BJ1465" s="48" t="str">
        <f aca="false">IF(AI1465&lt;=0,"",IF(CF1465="Aussen","Aussenlager",IF(CF1465="-","Nicht im Lift",IF(AO1465&gt;=1,"Lift",IF(AO1465&lt;=0,"Aussenlager","teilweise")))))</f>
        <v>Lift</v>
      </c>
      <c r="BK1465" s="48" t="str">
        <f aca="false">IF(AS1465&lt;=0,"",IF(CF1465="Aussen","Aussenlager",IF(CF1465="-","Nicht im Lift",IF(AY1465&gt;=1,"Lift",IF(AY1465&lt;=0,"Aussenlager","teilweise")))))</f>
        <v>Lift</v>
      </c>
      <c r="BL1465" s="48" t="str">
        <f aca="false">IF(BC1465&lt;=0,"",IF(CF1465="Aussen","Aussenlager",IF(CF1465="-","Nicht im Lift",IF(BI1465&gt;=1,"Lift",IF(BI1465&lt;=0,"Aussenlager","teilweise")))))</f>
        <v>Lift</v>
      </c>
      <c r="BM1465" s="48" t="str">
        <f aca="false">IF(A1465="","",IF(BV1465=1,"Neu; ","")&amp;IF(AND(BV1465=0,BQ1465&lt;0),"negativer Bestand (Export "&amp;BQ1465&amp;"); ","")&amp;IF(J1465&lt;=0,"Kein Verbrauch; ","")&amp;IF(CQ1465&gt;0,"Lift "&amp;W1465&amp;" lt. Liftbericht (Fach "&amp;X1465&amp;" Stk); ",IF(CA1465=1,"Gebinde geschätzt ("&amp;T1465&amp;"); ",IF(BZ1465=1,"Lose – Tablare geschätzt; ","")))&amp;IF(H1465&gt;AV1465,"Überbestand "&amp;ROUND(H1465-AV1465,0)&amp;" Stk / CHF "&amp;ROUND((H1465-AV1465)*G1465,0)&amp;"; ","")&amp;IF(AND(CH1465=1,CI1465&lt;CJ1465),"MAX &lt; MB+LG; ","")&amp;IF(AND(CP1465&gt;0,CO1465*10&gt;CP1465),"zu hoch für Tablar; ","")&amp;IF(AND(BV1465=0,OR(CH1465=1,AA1465&lt;&gt;"",U1465&lt;&gt;"",V1465&lt;&gt;"",AB1465&lt;&gt;"")),"manuell übersteuert; ","")&amp;IF(AND(BZ1465=0,R1465=0),"Gebinde unbekannt / Stellmass fehlt; ","")&amp;IF(AND(BZ1465=0,N(V1465)&lt;=0,N(Q1465)&lt;=0),"Menge pro Gebinde fehlt (Ist = 1 Gebinde); ","")&amp;BU1465)</f>
        <v>negativer Bestand (Export -4); Lift 1 lt. Liftbericht (Fach 11 Stk); </v>
      </c>
      <c r="BN1465" s="48"/>
      <c r="BO1465" s="48"/>
      <c r="BP1465" s="55"/>
      <c r="BQ1465" s="50" t="n">
        <v>-4</v>
      </c>
      <c r="BR1465" s="50" t="n">
        <v>0</v>
      </c>
      <c r="BS1465" s="49" t="n">
        <v>-28135.8199999999</v>
      </c>
      <c r="BT1465" s="50" t="n">
        <v>71</v>
      </c>
      <c r="BU1465" s="48"/>
      <c r="BV1465" s="53" t="n">
        <v>0</v>
      </c>
      <c r="BW1465" s="53" t="n">
        <v>1465</v>
      </c>
      <c r="BX1465" s="48" t="str">
        <f aca="false">IF(U1465&lt;&gt;"",UPPER(TRIM(U1465)),IF(CA1465=1,UPPER(VLOOKUP(T1465,Parameter!$I$27:$K$29,2,0)),IF(P1465="","LOSE",P1465)))</f>
        <v>LOSE</v>
      </c>
      <c r="BY1465" s="50" t="n">
        <f aca="false">IF(BX1465="LOSE",1,IF(N(V1465)&gt;0,V1465,IF(CA1465=1,MAX(1,N(VLOOKUP(T1465,Parameter!$I$27:$K$29,3,0)),H1465,N(N1465)),IF(N(Q1465)&gt;0,Q1465,MAX(1,H1465)))))</f>
        <v>1</v>
      </c>
      <c r="BZ1465" s="53" t="n">
        <f aca="false">IF(BX1465="LOSE",1,0)</f>
        <v>1</v>
      </c>
      <c r="CA1465" s="53" t="n">
        <f aca="false">IF(AND(U1465="",OR(P1465="",P1465="LOSE"),T1465&lt;&gt;"",N(S1465)&lt;=0,ISNUMBER(MATCH(T1465,Parameter!$I$27:$I$29,0))),1,0)</f>
        <v>0</v>
      </c>
      <c r="CB1465" s="53" t="n">
        <f aca="false">IF(CQ1465&gt;0,INDEX(Parameter!$H$5:$H$7,W1465)/INDEX(Parameter!$E$5:$E$7,W1465),IF(AND(BZ1465=0,N(IFERROR(VLOOKUP(BX1465,'Gebinde-Kategorie'!$A$5:$N$45,14,0),0))&gt;0),VLOOKUP(BX1465,'Gebinde-Kategorie'!$A$5:$N$45,14,0)*10+Parameter!$M$23,Parameter!$M$24))</f>
        <v>238</v>
      </c>
      <c r="CC1465" s="48" t="n">
        <f aca="false">IF(AND(Parameter!$B$19="Ja",E1465&lt;&gt;"",ISNUMBER(MATCH(E1465,Parameter!$I$35:$I$52,0))),VLOOKUP(E1465,Parameter!$I$35:$J$52,2,0),IFERROR(VLOOKUP(D1465,Parameter!$A$35:$C$64,2,0),"Nein"))</f>
        <v>1</v>
      </c>
      <c r="CD1465" s="52" t="n">
        <f aca="false">IF(BZ1465=0,0,IF(N(S1465)&gt;0,S1465,IFERROR(VLOOKUP(D1465,Parameter!$A$35:$C$64,3,0)+0,0)))</f>
        <v>1</v>
      </c>
      <c r="CE1465" s="48" t="n">
        <f aca="false">IF(AA1465&lt;&gt;"",AA1465,Z1465)</f>
        <v>1</v>
      </c>
      <c r="CF1465" s="48" t="str">
        <f aca="false">IF(OR(CE1465=1,CE1465=2,CE1465=3),IF(Parameter!$E$27="Ja","LIFT",IF(CE1465=1,"L1","L23")),IF(CE1465="Aussen","Aussen","-"))</f>
        <v>LIFT</v>
      </c>
      <c r="CG1465" s="59" t="n">
        <f aca="false">IF(N(AB1465)&gt;0,AB1465,0)</f>
        <v>0</v>
      </c>
      <c r="CH1465" s="53" t="n">
        <f aca="false">IF(ISNUMBER(AE1465),1,0)</f>
        <v>0</v>
      </c>
      <c r="CI1465" s="50" t="n">
        <f aca="false">N(AE1465)</f>
        <v>0</v>
      </c>
      <c r="CJ1465" s="50" t="n">
        <f aca="false">N(M1465)+N(N1465)</f>
        <v>12</v>
      </c>
      <c r="CK1465" s="50" t="n">
        <f aca="false">N(M1465)</f>
        <v>4</v>
      </c>
      <c r="CL1465" s="50" t="n">
        <f aca="false">N(N1465)</f>
        <v>8</v>
      </c>
      <c r="CM1465" s="50" t="n">
        <f aca="false">ROUNDUP(H1465/BY1465,0)</f>
        <v>8</v>
      </c>
      <c r="CN1465" s="50" t="n">
        <f aca="false">ROUNDUP(CI1465/BY1465,0)</f>
        <v>0</v>
      </c>
      <c r="CO1465" s="53" t="n">
        <f aca="false">IF(BZ1465=1,0,IFERROR(VLOOKUP(BX1465,'Gebinde-Kategorie'!$A$5:$N$45,5,0)+0,0))</f>
        <v>0</v>
      </c>
      <c r="CP1465" s="53" t="n">
        <f aca="false">IFERROR(IF(OR(CE1465=1,CE1465=2,CE1465=3),N(INDEX(Parameter!$I$5:$I$7,CE1465)),0),0)</f>
        <v>0</v>
      </c>
      <c r="CQ1465" s="52" t="n">
        <f aca="false">IF(AND(Parameter!$B$21="Ja",ISNUMBER(W1465),N(X1465)&gt;0),IFERROR(N(INDEX(Parameter!$L$5:$L$7,W1465))*INDEX(Parameter!$E$5:$E$7,W1465)*X1465/SUMIFS($X$7:$X$1843,$W$7:$W$1843,W1465),0),0)</f>
        <v>0.880414312617702</v>
      </c>
    </row>
    <row r="1466" customFormat="false" ht="15" hidden="false" customHeight="false" outlineLevel="0" collapsed="false">
      <c r="A1466" s="48" t="s">
        <v>2570</v>
      </c>
      <c r="B1466" s="48" t="s">
        <v>190</v>
      </c>
      <c r="C1466" s="48" t="s">
        <v>465</v>
      </c>
      <c r="D1466" s="48" t="s">
        <v>182</v>
      </c>
      <c r="E1466" s="48" t="s">
        <v>175</v>
      </c>
      <c r="F1466" s="48"/>
      <c r="G1466" s="49" t="n">
        <v>4933</v>
      </c>
      <c r="H1466" s="50" t="n">
        <f aca="false">MAX(0,IF(AND(Parameter!$B$21="Ja",ISNUMBER(Y1466)),Y1466,IF(Parameter!$B$20="Jahresanfang 2025 + Export",BR1466+BQ1466,BQ1466)))</f>
        <v>0</v>
      </c>
      <c r="I1466" s="50" t="n">
        <f aca="false">H1466*G1466</f>
        <v>0</v>
      </c>
      <c r="J1466" s="50" t="n">
        <f aca="false">BT1466*Parameter!$B$18</f>
        <v>23</v>
      </c>
      <c r="K1466" s="51"/>
      <c r="L1466" s="52"/>
      <c r="M1466" s="50" t="n">
        <v>0</v>
      </c>
      <c r="N1466" s="50" t="n">
        <v>3</v>
      </c>
      <c r="O1466" s="53"/>
      <c r="P1466" s="48" t="s">
        <v>177</v>
      </c>
      <c r="Q1466" s="50"/>
      <c r="R1466" s="53" t="n">
        <f aca="false">IF(BZ1466=1,0,IFERROR(VLOOKUP(BX1466,'Gebinde-Kategorie'!$A$5:$N$45,13,0)+0,0))</f>
        <v>12</v>
      </c>
      <c r="S1466" s="54"/>
      <c r="T1466" s="55" t="s">
        <v>188</v>
      </c>
      <c r="U1466" s="55"/>
      <c r="V1466" s="55"/>
      <c r="W1466" s="48"/>
      <c r="X1466" s="50"/>
      <c r="Y1466" s="50"/>
      <c r="Z1466" s="48" t="n">
        <f aca="false">IF(A1466="","",IF(AND(Parameter!$B$21="Ja",ISNUMBER(W1466)),W1466,IF(CC1466="2+3",IF(ISNUMBER(SEARCH("grosser Artikel",BU1466)),2,IFERROR(VLOOKUP(BX1466,Parameter!$F$35:$G$64,2,0),2)),IF(OR(CC1466="Nein",CC1466=""),"-",CC1466))))</f>
        <v>1</v>
      </c>
      <c r="AA1466" s="55"/>
      <c r="AB1466" s="56"/>
      <c r="AC1466" s="50" t="n">
        <f aca="false">AV1466</f>
        <v>16</v>
      </c>
      <c r="AD1466" s="50" t="n">
        <f aca="false">MAX(AV1466,H1466)</f>
        <v>16</v>
      </c>
      <c r="AE1466" s="57"/>
      <c r="AF1466" s="50" t="n">
        <f aca="false">IF(LEFT(Cockpit!$C$5,1)="A",H1466,IF(Parameter!$E$30="MAX-Bestand",IF(CH1466=1,CI1466,IF(LEFT(Cockpit!$C$5,1)="B",AL1466,MAX(AL1466,H1466))),ROUNDUP(AJ1466,0)))</f>
        <v>0</v>
      </c>
      <c r="AG1466" s="50" t="n">
        <f aca="false">IF(BZ1466=1,0,ROUNDUP(AF1466/BY1466,0))</f>
        <v>0</v>
      </c>
      <c r="AH1466" s="52" t="n">
        <f aca="false">IF(CQ1466&gt;0,CQ1466*MAX(1,AF1466/X1466),IF(BZ1466=1,IF(AF1466&lt;=0,0,CD1466*MAX(1,IF(H1466&gt;0,AF1466/H1466,1))),IF(R1466&gt;0,AG1466/R1466,0))/MAX(0.1,N(Parameter!$M$21)))</f>
        <v>0</v>
      </c>
      <c r="AI1466" s="50" t="n">
        <f aca="false">AH1466*CB1466</f>
        <v>0</v>
      </c>
      <c r="AJ1466" s="51" t="n">
        <f aca="false">IF(LEFT(Cockpit!$C$5,1)="A",H1466,IF(CH1466=1,(CK1466+CI1466)/2,IF(LEFT(Cockpit!$C$5,1)="B",(CK1466+AL1466)/2,MAX((CK1466+AL1466)/2,H1466))))</f>
        <v>0</v>
      </c>
      <c r="AK1466" s="50" t="n">
        <f aca="false">AJ1466*G1466</f>
        <v>0</v>
      </c>
      <c r="AL1466" s="50" t="n">
        <f aca="false">ROUNDUP(CK1466+MAX(CL1466,2*(J1466/IF(CG1466&gt;0,CG1466,MAX(0.1,N(Cockpit!$C$6)))-CK1466)),0)</f>
        <v>16</v>
      </c>
      <c r="AM1466" s="51" t="n">
        <f aca="false">IF(AI1466&gt;0,J1466/AI1466,-1)</f>
        <v>-1</v>
      </c>
      <c r="AN1466" s="51" t="str">
        <f aca="false">IF(AND(OR(CF1466="L1",CF1466="L23",CF1466="LIFT"),AI1466&gt;0),SUMIFS($AI$7:$AI$1843,$CF$7:$CF$1843,CF1466,$AM$7:$AM$1843,"&gt;"&amp;AM1466)+SUMIFS($AI$7:$AI$1843,$CF$7:$CF$1843,CF1466,$AM$7:$AM$1843,AM1466,$BW$7:$BW$1843,"&lt;="&amp;BW1466),"")</f>
        <v/>
      </c>
      <c r="AO1466" s="58" t="n">
        <f aca="false">IF(AN1466="",0,MAX(0,MIN(1,(IF(CF1466="L1",Parameter!$H$5,IF(CF1466="L23",Parameter!$H$6+Parameter!$H$7,Parameter!$H$5+Parameter!$H$6+Parameter!$H$7))-(AN1466-AI1466))/AI1466)))</f>
        <v>0</v>
      </c>
      <c r="AP1466" s="50" t="n">
        <f aca="false">IF(LEFT(Cockpit!$I$5,1)="A",H1466,IF(Parameter!$E$30="MAX-Bestand",IF(CH1466=1,CI1466,IF(LEFT(Cockpit!$I$5,1)="B",AV1466,MAX(AV1466,H1466))),ROUNDUP(AT1466,0)))</f>
        <v>8</v>
      </c>
      <c r="AQ1466" s="50" t="n">
        <f aca="false">IF(BZ1466=1,0,ROUNDUP(AP1466/BY1466,0))</f>
        <v>2</v>
      </c>
      <c r="AR1466" s="52" t="n">
        <f aca="false">IF(CQ1466&gt;0,CQ1466*MAX(1,AP1466/X1466),IF(BZ1466=1,IF(AP1466&lt;=0,0,CD1466*MAX(1,IF(H1466&gt;0,AP1466/H1466,1))),IF(R1466&gt;0,AQ1466/R1466,0))/MAX(0.1,N(Parameter!$M$21)))</f>
        <v>0.166666666666667</v>
      </c>
      <c r="AS1466" s="50" t="n">
        <f aca="false">AR1466*CB1466</f>
        <v>24.1666666666667</v>
      </c>
      <c r="AT1466" s="51" t="n">
        <f aca="false">IF(LEFT(Cockpit!$I$5,1)="A",H1466,IF(CH1466=1,(CK1466+CI1466)/2,IF(LEFT(Cockpit!$I$5,1)="B",(CK1466+AV1466)/2,MAX((CK1466+AV1466)/2,H1466))))</f>
        <v>8</v>
      </c>
      <c r="AU1466" s="50" t="n">
        <f aca="false">AT1466*G1466</f>
        <v>39464</v>
      </c>
      <c r="AV1466" s="50" t="n">
        <f aca="false">ROUNDUP(CK1466+MAX(CL1466,2*(J1466/IF(CG1466&gt;0,CG1466,MAX(0.1,N(Cockpit!$I$6)))-CK1466)),0)</f>
        <v>16</v>
      </c>
      <c r="AW1466" s="51" t="n">
        <f aca="false">IF(AS1466&gt;0,J1466/AS1466,-1)</f>
        <v>0.951724137931035</v>
      </c>
      <c r="AX1466" s="51" t="n">
        <f aca="false">IF(AND(OR(CF1466="L1",CF1466="L23",CF1466="LIFT"),AS1466&gt;0),SUMIFS($AS$7:$AS$1843,$CF$7:$CF$1843,CF1466,$AW$7:$AW$1843,"&gt;"&amp;AW1466)+SUMIFS($AS$7:$AS$1843,$CF$7:$CF$1843,CF1466,$AW$7:$AW$1843,AW1466,$BW$7:$BW$1843,"&lt;="&amp;BW1466),"")</f>
        <v>8674.56227106227</v>
      </c>
      <c r="AY1466" s="58" t="n">
        <f aca="false">IF(AX1466="",0,MAX(0,MIN(1,(IF(CF1466="L1",Parameter!$H$5,IF(CF1466="L23",Parameter!$H$6+Parameter!$H$7,Parameter!$H$5+Parameter!$H$6+Parameter!$H$7))-(AX1466-AS1466))/AS1466)))</f>
        <v>1</v>
      </c>
      <c r="AZ1466" s="50" t="n">
        <f aca="false">IF(LEFT(Cockpit!$O$5,1)="A",H1466,IF(Parameter!$E$30="MAX-Bestand",IF(CH1466=1,CI1466,IF(LEFT(Cockpit!$O$5,1)="B",BF1466,MAX(BF1466,H1466))),ROUNDUP(BD1466,0)))</f>
        <v>6</v>
      </c>
      <c r="BA1466" s="50" t="n">
        <f aca="false">IF(BZ1466=1,0,ROUNDUP(AZ1466/BY1466,0))</f>
        <v>2</v>
      </c>
      <c r="BB1466" s="52" t="n">
        <f aca="false">IF(CQ1466&gt;0,CQ1466*MAX(1,AZ1466/X1466),IF(BZ1466=1,IF(AZ1466&lt;=0,0,CD1466*MAX(1,IF(H1466&gt;0,AZ1466/H1466,1))),IF(R1466&gt;0,BA1466/R1466,0))/MAX(0.1,N(Parameter!$M$21)))</f>
        <v>0.166666666666667</v>
      </c>
      <c r="BC1466" s="50" t="n">
        <f aca="false">BB1466*CB1466</f>
        <v>24.1666666666667</v>
      </c>
      <c r="BD1466" s="51" t="n">
        <f aca="false">IF(LEFT(Cockpit!$O$5,1)="A",H1466,IF(CH1466=1,(CK1466+CI1466)/2,IF(LEFT(Cockpit!$O$5,1)="B",(CK1466+BF1466)/2,MAX((CK1466+BF1466)/2,H1466))))</f>
        <v>6</v>
      </c>
      <c r="BE1466" s="50" t="n">
        <f aca="false">BD1466*G1466</f>
        <v>29598</v>
      </c>
      <c r="BF1466" s="50" t="n">
        <f aca="false">ROUNDUP(CK1466+MAX(CL1466,2*(J1466/IF(CG1466&gt;0,CG1466,MAX(0.1,N(Cockpit!$O$6)))-CK1466)),0)</f>
        <v>12</v>
      </c>
      <c r="BG1466" s="51" t="n">
        <f aca="false">IF(BC1466&gt;0,J1466/BC1466,-1)</f>
        <v>0.951724137931035</v>
      </c>
      <c r="BH1466" s="51" t="n">
        <f aca="false">IF(AND(OR(CF1466="L1",CF1466="L23",CF1466="LIFT"),BC1466&gt;0),SUMIFS($BC$7:$BC$1843,$CF$7:$CF$1843,CF1466,$BG$7:$BG$1843,"&gt;"&amp;BG1466)+SUMIFS($BC$7:$BC$1843,$CF$7:$CF$1843,CF1466,$BG$7:$BG$1843,BG1466,$BW$7:$BW$1843,"&lt;="&amp;BW1466),"")</f>
        <v>8050.49587912088</v>
      </c>
      <c r="BI1466" s="58" t="n">
        <f aca="false">IF(BH1466="",0,MAX(0,MIN(1,(IF(CF1466="L1",Parameter!$H$5,IF(CF1466="L23",Parameter!$H$6+Parameter!$H$7,Parameter!$H$5+Parameter!$H$6+Parameter!$H$7))-(BH1466-BC1466))/BC1466)))</f>
        <v>1</v>
      </c>
      <c r="BJ1466" s="48" t="str">
        <f aca="false">IF(AI1466&lt;=0,"",IF(CF1466="Aussen","Aussenlager",IF(CF1466="-","Nicht im Lift",IF(AO1466&gt;=1,"Lift",IF(AO1466&lt;=0,"Aussenlager","teilweise")))))</f>
        <v/>
      </c>
      <c r="BK1466" s="48" t="str">
        <f aca="false">IF(AS1466&lt;=0,"",IF(CF1466="Aussen","Aussenlager",IF(CF1466="-","Nicht im Lift",IF(AY1466&gt;=1,"Lift",IF(AY1466&lt;=0,"Aussenlager","teilweise")))))</f>
        <v>Lift</v>
      </c>
      <c r="BL1466" s="48" t="str">
        <f aca="false">IF(BC1466&lt;=0,"",IF(CF1466="Aussen","Aussenlager",IF(CF1466="-","Nicht im Lift",IF(BI1466&gt;=1,"Lift",IF(BI1466&lt;=0,"Aussenlager","teilweise")))))</f>
        <v>Lift</v>
      </c>
      <c r="BM1466" s="48" t="str">
        <f aca="false">IF(A1466="","",IF(BV1466=1,"Neu; ","")&amp;IF(AND(BV1466=0,BQ1466&lt;0),"negativer Bestand (Export "&amp;BQ1466&amp;"); ","")&amp;IF(J1466&lt;=0,"Kein Verbrauch; ","")&amp;IF(CQ1466&gt;0,"Lift "&amp;W1466&amp;" lt. Liftbericht (Fach "&amp;X1466&amp;" Stk); ",IF(CA1466=1,"Gebinde geschätzt ("&amp;T1466&amp;"); ",IF(BZ1466=1,"Lose – Tablare geschätzt; ","")))&amp;IF(H1466&gt;AV1466,"Überbestand "&amp;ROUND(H1466-AV1466,0)&amp;" Stk / CHF "&amp;ROUND((H1466-AV1466)*G1466,0)&amp;"; ","")&amp;IF(AND(CH1466=1,CI1466&lt;CJ1466),"MAX &lt; MB+LG; ","")&amp;IF(AND(CP1466&gt;0,CO1466*10&gt;CP1466),"zu hoch für Tablar; ","")&amp;IF(AND(BV1466=0,OR(CH1466=1,AA1466&lt;&gt;"",U1466&lt;&gt;"",V1466&lt;&gt;"",AB1466&lt;&gt;"")),"manuell übersteuert; ","")&amp;IF(AND(BZ1466=0,R1466=0),"Gebinde unbekannt / Stellmass fehlt; ","")&amp;IF(AND(BZ1466=0,N(V1466)&lt;=0,N(Q1466)&lt;=0),"Menge pro Gebinde fehlt (Ist = 1 Gebinde); ","")&amp;BU1466)</f>
        <v>negativer Bestand (Export -6); Gebinde geschätzt (Mittel); Menge pro Gebinde fehlt (Ist = 1 Gebinde); </v>
      </c>
      <c r="BN1466" s="48"/>
      <c r="BO1466" s="48"/>
      <c r="BP1466" s="55"/>
      <c r="BQ1466" s="50" t="n">
        <v>-6</v>
      </c>
      <c r="BR1466" s="50" t="n">
        <v>0</v>
      </c>
      <c r="BS1466" s="49" t="n">
        <v>-29571.19</v>
      </c>
      <c r="BT1466" s="50" t="n">
        <v>23</v>
      </c>
      <c r="BU1466" s="48"/>
      <c r="BV1466" s="53" t="n">
        <v>0</v>
      </c>
      <c r="BW1466" s="53" t="n">
        <v>1466</v>
      </c>
      <c r="BX1466" s="48" t="str">
        <f aca="false">IF(U1466&lt;&gt;"",UPPER(TRIM(U1466)),IF(CA1466=1,UPPER(VLOOKUP(T1466,Parameter!$I$27:$K$29,2,0)),IF(P1466="","LOSE",P1466)))</f>
        <v>S61</v>
      </c>
      <c r="BY1466" s="50" t="n">
        <f aca="false">IF(BX1466="LOSE",1,IF(N(V1466)&gt;0,V1466,IF(CA1466=1,MAX(1,N(VLOOKUP(T1466,Parameter!$I$27:$K$29,3,0)),H1466,N(N1466)),IF(N(Q1466)&gt;0,Q1466,MAX(1,H1466)))))</f>
        <v>4</v>
      </c>
      <c r="BZ1466" s="53" t="n">
        <f aca="false">IF(BX1466="LOSE",1,0)</f>
        <v>0</v>
      </c>
      <c r="CA1466" s="53" t="n">
        <f aca="false">IF(AND(U1466="",OR(P1466="",P1466="LOSE"),T1466&lt;&gt;"",N(S1466)&lt;=0,ISNUMBER(MATCH(T1466,Parameter!$I$27:$I$29,0))),1,0)</f>
        <v>1</v>
      </c>
      <c r="CB1466" s="53" t="n">
        <f aca="false">IF(CQ1466&gt;0,INDEX(Parameter!$H$5:$H$7,W1466)/INDEX(Parameter!$E$5:$E$7,W1466),IF(AND(BZ1466=0,N(IFERROR(VLOOKUP(BX1466,'Gebinde-Kategorie'!$A$5:$N$45,14,0),0))&gt;0),VLOOKUP(BX1466,'Gebinde-Kategorie'!$A$5:$N$45,14,0)*10+Parameter!$M$23,Parameter!$M$24))</f>
        <v>145</v>
      </c>
      <c r="CC1466" s="48" t="n">
        <f aca="false">IF(AND(Parameter!$B$19="Ja",E1466&lt;&gt;"",ISNUMBER(MATCH(E1466,Parameter!$I$35:$I$52,0))),VLOOKUP(E1466,Parameter!$I$35:$J$52,2,0),IFERROR(VLOOKUP(D1466,Parameter!$A$35:$C$64,2,0),"Nein"))</f>
        <v>1</v>
      </c>
      <c r="CD1466" s="52" t="n">
        <f aca="false">IF(BZ1466=0,0,IF(N(S1466)&gt;0,S1466,IFERROR(VLOOKUP(D1466,Parameter!$A$35:$C$64,3,0)+0,0)))</f>
        <v>0</v>
      </c>
      <c r="CE1466" s="48" t="n">
        <f aca="false">IF(AA1466&lt;&gt;"",AA1466,Z1466)</f>
        <v>1</v>
      </c>
      <c r="CF1466" s="48" t="str">
        <f aca="false">IF(OR(CE1466=1,CE1466=2,CE1466=3),IF(Parameter!$E$27="Ja","LIFT",IF(CE1466=1,"L1","L23")),IF(CE1466="Aussen","Aussen","-"))</f>
        <v>LIFT</v>
      </c>
      <c r="CG1466" s="59" t="n">
        <f aca="false">IF(N(AB1466)&gt;0,AB1466,0)</f>
        <v>0</v>
      </c>
      <c r="CH1466" s="53" t="n">
        <f aca="false">IF(ISNUMBER(AE1466),1,0)</f>
        <v>0</v>
      </c>
      <c r="CI1466" s="50" t="n">
        <f aca="false">N(AE1466)</f>
        <v>0</v>
      </c>
      <c r="CJ1466" s="50" t="n">
        <f aca="false">N(M1466)+N(N1466)</f>
        <v>3</v>
      </c>
      <c r="CK1466" s="50" t="n">
        <f aca="false">N(M1466)</f>
        <v>0</v>
      </c>
      <c r="CL1466" s="50" t="n">
        <f aca="false">N(N1466)</f>
        <v>3</v>
      </c>
      <c r="CM1466" s="50" t="n">
        <f aca="false">ROUNDUP(H1466/BY1466,0)</f>
        <v>0</v>
      </c>
      <c r="CN1466" s="50" t="n">
        <f aca="false">ROUNDUP(CI1466/BY1466,0)</f>
        <v>0</v>
      </c>
      <c r="CO1466" s="53" t="n">
        <f aca="false">IF(BZ1466=1,0,IFERROR(VLOOKUP(BX1466,'Gebinde-Kategorie'!$A$5:$N$45,5,0)+0,0))</f>
        <v>11</v>
      </c>
      <c r="CP1466" s="53" t="n">
        <f aca="false">IFERROR(IF(OR(CE1466=1,CE1466=2,CE1466=3),N(INDEX(Parameter!$I$5:$I$7,CE1466)),0),0)</f>
        <v>0</v>
      </c>
      <c r="CQ1466" s="52" t="n">
        <f aca="false">IF(AND(Parameter!$B$21="Ja",ISNUMBER(W1466),N(X1466)&gt;0),IFERROR(N(INDEX(Parameter!$L$5:$L$7,W1466))*INDEX(Parameter!$E$5:$E$7,W1466)*X1466/SUMIFS($X$7:$X$1843,$W$7:$W$1843,W1466),0),0)</f>
        <v>0</v>
      </c>
    </row>
    <row r="1467" customFormat="false" ht="15" hidden="false" customHeight="false" outlineLevel="0" collapsed="false">
      <c r="A1467" s="48" t="s">
        <v>2571</v>
      </c>
      <c r="B1467" s="48" t="s">
        <v>2572</v>
      </c>
      <c r="C1467" s="48" t="s">
        <v>173</v>
      </c>
      <c r="D1467" s="48" t="s">
        <v>193</v>
      </c>
      <c r="E1467" s="48"/>
      <c r="F1467" s="48"/>
      <c r="G1467" s="49" t="n">
        <v>388.42</v>
      </c>
      <c r="H1467" s="50" t="n">
        <f aca="false">MAX(0,IF(AND(Parameter!$B$21="Ja",ISNUMBER(Y1467)),Y1467,IF(Parameter!$B$20="Jahresanfang 2025 + Export",BR1467+BQ1467,BQ1467)))</f>
        <v>0</v>
      </c>
      <c r="I1467" s="50" t="n">
        <f aca="false">H1467*G1467</f>
        <v>0</v>
      </c>
      <c r="J1467" s="50" t="n">
        <f aca="false">BT1467*Parameter!$B$18</f>
        <v>185</v>
      </c>
      <c r="K1467" s="51"/>
      <c r="L1467" s="52"/>
      <c r="M1467" s="50" t="n">
        <v>0</v>
      </c>
      <c r="N1467" s="50" t="n">
        <v>35</v>
      </c>
      <c r="O1467" s="53"/>
      <c r="P1467" s="48" t="s">
        <v>242</v>
      </c>
      <c r="Q1467" s="50" t="n">
        <v>60</v>
      </c>
      <c r="R1467" s="53" t="n">
        <f aca="false">IF(BZ1467=1,0,IFERROR(VLOOKUP(BX1467,'Gebinde-Kategorie'!$A$5:$N$45,13,0)+0,0))</f>
        <v>26</v>
      </c>
      <c r="S1467" s="54"/>
      <c r="T1467" s="55"/>
      <c r="U1467" s="55"/>
      <c r="V1467" s="55"/>
      <c r="W1467" s="48"/>
      <c r="X1467" s="50"/>
      <c r="Y1467" s="50"/>
      <c r="Z1467" s="48" t="n">
        <f aca="false">IF(A1467="","",IF(AND(Parameter!$B$21="Ja",ISNUMBER(W1467)),W1467,IF(CC1467="2+3",IF(ISNUMBER(SEARCH("grosser Artikel",BU1467)),2,IFERROR(VLOOKUP(BX1467,Parameter!$F$35:$G$64,2,0),2)),IF(OR(CC1467="Nein",CC1467=""),"-",CC1467))))</f>
        <v>3</v>
      </c>
      <c r="AA1467" s="55"/>
      <c r="AB1467" s="56"/>
      <c r="AC1467" s="50" t="n">
        <f aca="false">AV1467</f>
        <v>124</v>
      </c>
      <c r="AD1467" s="50" t="n">
        <f aca="false">MAX(AV1467,H1467)</f>
        <v>124</v>
      </c>
      <c r="AE1467" s="57"/>
      <c r="AF1467" s="50" t="n">
        <f aca="false">IF(LEFT(Cockpit!$C$5,1)="A",H1467,IF(Parameter!$E$30="MAX-Bestand",IF(CH1467=1,CI1467,IF(LEFT(Cockpit!$C$5,1)="B",AL1467,MAX(AL1467,H1467))),ROUNDUP(AJ1467,0)))</f>
        <v>0</v>
      </c>
      <c r="AG1467" s="50" t="n">
        <f aca="false">IF(BZ1467=1,0,ROUNDUP(AF1467/BY1467,0))</f>
        <v>0</v>
      </c>
      <c r="AH1467" s="52" t="n">
        <f aca="false">IF(CQ1467&gt;0,CQ1467*MAX(1,AF1467/X1467),IF(BZ1467=1,IF(AF1467&lt;=0,0,CD1467*MAX(1,IF(H1467&gt;0,AF1467/H1467,1))),IF(R1467&gt;0,AG1467/R1467,0))/MAX(0.1,N(Parameter!$M$21)))</f>
        <v>0</v>
      </c>
      <c r="AI1467" s="50" t="n">
        <f aca="false">AH1467*CB1467</f>
        <v>0</v>
      </c>
      <c r="AJ1467" s="51" t="n">
        <f aca="false">IF(LEFT(Cockpit!$C$5,1)="A",H1467,IF(CH1467=1,(CK1467+CI1467)/2,IF(LEFT(Cockpit!$C$5,1)="B",(CK1467+AL1467)/2,MAX((CK1467+AL1467)/2,H1467))))</f>
        <v>0</v>
      </c>
      <c r="AK1467" s="50" t="n">
        <f aca="false">AJ1467*G1467</f>
        <v>0</v>
      </c>
      <c r="AL1467" s="50" t="n">
        <f aca="false">ROUNDUP(CK1467+MAX(CL1467,2*(J1467/IF(CG1467&gt;0,CG1467,MAX(0.1,N(Cockpit!$C$6)))-CK1467)),0)</f>
        <v>124</v>
      </c>
      <c r="AM1467" s="51" t="n">
        <f aca="false">IF(AI1467&gt;0,J1467/AI1467,-1)</f>
        <v>-1</v>
      </c>
      <c r="AN1467" s="51" t="str">
        <f aca="false">IF(AND(OR(CF1467="L1",CF1467="L23",CF1467="LIFT"),AI1467&gt;0),SUMIFS($AI$7:$AI$1843,$CF$7:$CF$1843,CF1467,$AM$7:$AM$1843,"&gt;"&amp;AM1467)+SUMIFS($AI$7:$AI$1843,$CF$7:$CF$1843,CF1467,$AM$7:$AM$1843,AM1467,$BW$7:$BW$1843,"&lt;="&amp;BW1467),"")</f>
        <v/>
      </c>
      <c r="AO1467" s="58" t="n">
        <f aca="false">IF(AN1467="",0,MAX(0,MIN(1,(IF(CF1467="L1",Parameter!$H$5,IF(CF1467="L23",Parameter!$H$6+Parameter!$H$7,Parameter!$H$5+Parameter!$H$6+Parameter!$H$7))-(AN1467-AI1467))/AI1467)))</f>
        <v>0</v>
      </c>
      <c r="AP1467" s="50" t="n">
        <f aca="false">IF(LEFT(Cockpit!$I$5,1)="A",H1467,IF(Parameter!$E$30="MAX-Bestand",IF(CH1467=1,CI1467,IF(LEFT(Cockpit!$I$5,1)="B",AV1467,MAX(AV1467,H1467))),ROUNDUP(AT1467,0)))</f>
        <v>62</v>
      </c>
      <c r="AQ1467" s="50" t="n">
        <f aca="false">IF(BZ1467=1,0,ROUNDUP(AP1467/BY1467,0))</f>
        <v>2</v>
      </c>
      <c r="AR1467" s="52" t="n">
        <f aca="false">IF(CQ1467&gt;0,CQ1467*MAX(1,AP1467/X1467),IF(BZ1467=1,IF(AP1467&lt;=0,0,CD1467*MAX(1,IF(H1467&gt;0,AP1467/H1467,1))),IF(R1467&gt;0,AQ1467/R1467,0))/MAX(0.1,N(Parameter!$M$21)))</f>
        <v>0.0769230769230769</v>
      </c>
      <c r="AS1467" s="50" t="n">
        <f aca="false">AR1467*CB1467</f>
        <v>18.8461538461538</v>
      </c>
      <c r="AT1467" s="51" t="n">
        <f aca="false">IF(LEFT(Cockpit!$I$5,1)="A",H1467,IF(CH1467=1,(CK1467+CI1467)/2,IF(LEFT(Cockpit!$I$5,1)="B",(CK1467+AV1467)/2,MAX((CK1467+AV1467)/2,H1467))))</f>
        <v>62</v>
      </c>
      <c r="AU1467" s="50" t="n">
        <f aca="false">AT1467*G1467</f>
        <v>24082.04</v>
      </c>
      <c r="AV1467" s="50" t="n">
        <f aca="false">ROUNDUP(CK1467+MAX(CL1467,2*(J1467/IF(CG1467&gt;0,CG1467,MAX(0.1,N(Cockpit!$I$6)))-CK1467)),0)</f>
        <v>124</v>
      </c>
      <c r="AW1467" s="51" t="n">
        <f aca="false">IF(AS1467&gt;0,J1467/AS1467,-1)</f>
        <v>9.81632653061224</v>
      </c>
      <c r="AX1467" s="51" t="n">
        <f aca="false">IF(AND(OR(CF1467="L1",CF1467="L23",CF1467="LIFT"),AS1467&gt;0),SUMIFS($AS$7:$AS$1843,$CF$7:$CF$1843,CF1467,$AW$7:$AW$1843,"&gt;"&amp;AW1467)+SUMIFS($AS$7:$AS$1843,$CF$7:$CF$1843,CF1467,$AW$7:$AW$1843,AW1467,$BW$7:$BW$1843,"&lt;="&amp;BW1467),"")</f>
        <v>3487.39423076923</v>
      </c>
      <c r="AY1467" s="58" t="n">
        <f aca="false">IF(AX1467="",0,MAX(0,MIN(1,(IF(CF1467="L1",Parameter!$H$5,IF(CF1467="L23",Parameter!$H$6+Parameter!$H$7,Parameter!$H$5+Parameter!$H$6+Parameter!$H$7))-(AX1467-AS1467))/AS1467)))</f>
        <v>1</v>
      </c>
      <c r="AZ1467" s="50" t="n">
        <f aca="false">IF(LEFT(Cockpit!$O$5,1)="A",H1467,IF(Parameter!$E$30="MAX-Bestand",IF(CH1467=1,CI1467,IF(LEFT(Cockpit!$O$5,1)="B",BF1467,MAX(BF1467,H1467))),ROUNDUP(BD1467,0)))</f>
        <v>47</v>
      </c>
      <c r="BA1467" s="50" t="n">
        <f aca="false">IF(BZ1467=1,0,ROUNDUP(AZ1467/BY1467,0))</f>
        <v>1</v>
      </c>
      <c r="BB1467" s="52" t="n">
        <f aca="false">IF(CQ1467&gt;0,CQ1467*MAX(1,AZ1467/X1467),IF(BZ1467=1,IF(AZ1467&lt;=0,0,CD1467*MAX(1,IF(H1467&gt;0,AZ1467/H1467,1))),IF(R1467&gt;0,BA1467/R1467,0))/MAX(0.1,N(Parameter!$M$21)))</f>
        <v>0.0384615384615385</v>
      </c>
      <c r="BC1467" s="50" t="n">
        <f aca="false">BB1467*CB1467</f>
        <v>9.42307692307692</v>
      </c>
      <c r="BD1467" s="51" t="n">
        <f aca="false">IF(LEFT(Cockpit!$O$5,1)="A",H1467,IF(CH1467=1,(CK1467+CI1467)/2,IF(LEFT(Cockpit!$O$5,1)="B",(CK1467+BF1467)/2,MAX((CK1467+BF1467)/2,H1467))))</f>
        <v>46.5</v>
      </c>
      <c r="BE1467" s="50" t="n">
        <f aca="false">BD1467*G1467</f>
        <v>18061.53</v>
      </c>
      <c r="BF1467" s="50" t="n">
        <f aca="false">ROUNDUP(CK1467+MAX(CL1467,2*(J1467/IF(CG1467&gt;0,CG1467,MAX(0.1,N(Cockpit!$O$6)))-CK1467)),0)</f>
        <v>93</v>
      </c>
      <c r="BG1467" s="51" t="n">
        <f aca="false">IF(BC1467&gt;0,J1467/BC1467,-1)</f>
        <v>19.6326530612245</v>
      </c>
      <c r="BH1467" s="51" t="n">
        <f aca="false">IF(AND(OR(CF1467="L1",CF1467="L23",CF1467="LIFT"),BC1467&gt;0),SUMIFS($BC$7:$BC$1843,$CF$7:$CF$1843,CF1467,$BG$7:$BG$1843,"&gt;"&amp;BG1467)+SUMIFS($BC$7:$BC$1843,$CF$7:$CF$1843,CF1467,$BG$7:$BG$1843,BG1467,$BW$7:$BW$1843,"&lt;="&amp;BW1467),"")</f>
        <v>2235.70467032967</v>
      </c>
      <c r="BI1467" s="58" t="n">
        <f aca="false">IF(BH1467="",0,MAX(0,MIN(1,(IF(CF1467="L1",Parameter!$H$5,IF(CF1467="L23",Parameter!$H$6+Parameter!$H$7,Parameter!$H$5+Parameter!$H$6+Parameter!$H$7))-(BH1467-BC1467))/BC1467)))</f>
        <v>1</v>
      </c>
      <c r="BJ1467" s="48" t="str">
        <f aca="false">IF(AI1467&lt;=0,"",IF(CF1467="Aussen","Aussenlager",IF(CF1467="-","Nicht im Lift",IF(AO1467&gt;=1,"Lift",IF(AO1467&lt;=0,"Aussenlager","teilweise")))))</f>
        <v/>
      </c>
      <c r="BK1467" s="48" t="str">
        <f aca="false">IF(AS1467&lt;=0,"",IF(CF1467="Aussen","Aussenlager",IF(CF1467="-","Nicht im Lift",IF(AY1467&gt;=1,"Lift",IF(AY1467&lt;=0,"Aussenlager","teilweise")))))</f>
        <v>Lift</v>
      </c>
      <c r="BL1467" s="48" t="str">
        <f aca="false">IF(BC1467&lt;=0,"",IF(CF1467="Aussen","Aussenlager",IF(CF1467="-","Nicht im Lift",IF(BI1467&gt;=1,"Lift",IF(BI1467&lt;=0,"Aussenlager","teilweise")))))</f>
        <v>Lift</v>
      </c>
      <c r="BM1467" s="48" t="str">
        <f aca="false">IF(A1467="","",IF(BV1467=1,"Neu; ","")&amp;IF(AND(BV1467=0,BQ1467&lt;0),"negativer Bestand (Export "&amp;BQ1467&amp;"); ","")&amp;IF(J1467&lt;=0,"Kein Verbrauch; ","")&amp;IF(CQ1467&gt;0,"Lift "&amp;W1467&amp;" lt. Liftbericht (Fach "&amp;X1467&amp;" Stk); ",IF(CA1467=1,"Gebinde geschätzt ("&amp;T1467&amp;"); ",IF(BZ1467=1,"Lose – Tablare geschätzt; ","")))&amp;IF(H1467&gt;AV1467,"Überbestand "&amp;ROUND(H1467-AV1467,0)&amp;" Stk / CHF "&amp;ROUND((H1467-AV1467)*G1467,0)&amp;"; ","")&amp;IF(AND(CH1467=1,CI1467&lt;CJ1467),"MAX &lt; MB+LG; ","")&amp;IF(AND(CP1467&gt;0,CO1467*10&gt;CP1467),"zu hoch für Tablar; ","")&amp;IF(AND(BV1467=0,OR(CH1467=1,AA1467&lt;&gt;"",U1467&lt;&gt;"",V1467&lt;&gt;"",AB1467&lt;&gt;"")),"manuell übersteuert; ","")&amp;IF(AND(BZ1467=0,R1467=0),"Gebinde unbekannt / Stellmass fehlt; ","")&amp;IF(AND(BZ1467=0,N(V1467)&lt;=0,N(Q1467)&lt;=0),"Menge pro Gebinde fehlt (Ist = 1 Gebinde); ","")&amp;BU1467)</f>
        <v>negativer Bestand (Export -86); </v>
      </c>
      <c r="BN1467" s="48"/>
      <c r="BO1467" s="48"/>
      <c r="BP1467" s="55"/>
      <c r="BQ1467" s="50" t="n">
        <v>-86</v>
      </c>
      <c r="BR1467" s="50" t="n">
        <v>0</v>
      </c>
      <c r="BS1467" s="49" t="n">
        <v>-33137.78</v>
      </c>
      <c r="BT1467" s="50" t="n">
        <v>185</v>
      </c>
      <c r="BU1467" s="48"/>
      <c r="BV1467" s="53" t="n">
        <v>0</v>
      </c>
      <c r="BW1467" s="53" t="n">
        <v>1467</v>
      </c>
      <c r="BX1467" s="48" t="str">
        <f aca="false">IF(U1467&lt;&gt;"",UPPER(TRIM(U1467)),IF(CA1467=1,UPPER(VLOOKUP(T1467,Parameter!$I$27:$K$29,2,0)),IF(P1467="","LOSE",P1467)))</f>
        <v>S52</v>
      </c>
      <c r="BY1467" s="50" t="n">
        <f aca="false">IF(BX1467="LOSE",1,IF(N(V1467)&gt;0,V1467,IF(CA1467=1,MAX(1,N(VLOOKUP(T1467,Parameter!$I$27:$K$29,3,0)),H1467,N(N1467)),IF(N(Q1467)&gt;0,Q1467,MAX(1,H1467)))))</f>
        <v>60</v>
      </c>
      <c r="BZ1467" s="53" t="n">
        <f aca="false">IF(BX1467="LOSE",1,0)</f>
        <v>0</v>
      </c>
      <c r="CA1467" s="53" t="n">
        <f aca="false">IF(AND(U1467="",OR(P1467="",P1467="LOSE"),T1467&lt;&gt;"",N(S1467)&lt;=0,ISNUMBER(MATCH(T1467,Parameter!$I$27:$I$29,0))),1,0)</f>
        <v>0</v>
      </c>
      <c r="CB1467" s="53" t="n">
        <f aca="false">IF(CQ1467&gt;0,INDEX(Parameter!$H$5:$H$7,W1467)/INDEX(Parameter!$E$5:$E$7,W1467),IF(AND(BZ1467=0,N(IFERROR(VLOOKUP(BX1467,'Gebinde-Kategorie'!$A$5:$N$45,14,0),0))&gt;0),VLOOKUP(BX1467,'Gebinde-Kategorie'!$A$5:$N$45,14,0)*10+Parameter!$M$23,Parameter!$M$24))</f>
        <v>245</v>
      </c>
      <c r="CC1467" s="48" t="str">
        <f aca="false">IF(AND(Parameter!$B$19="Ja",E1467&lt;&gt;"",ISNUMBER(MATCH(E1467,Parameter!$I$35:$I$52,0))),VLOOKUP(E1467,Parameter!$I$35:$J$52,2,0),IFERROR(VLOOKUP(D1467,Parameter!$A$35:$C$64,2,0),"Nein"))</f>
        <v>2+3</v>
      </c>
      <c r="CD1467" s="52" t="n">
        <f aca="false">IF(BZ1467=0,0,IF(N(S1467)&gt;0,S1467,IFERROR(VLOOKUP(D1467,Parameter!$A$35:$C$64,3,0)+0,0)))</f>
        <v>0</v>
      </c>
      <c r="CE1467" s="48" t="n">
        <f aca="false">IF(AA1467&lt;&gt;"",AA1467,Z1467)</f>
        <v>3</v>
      </c>
      <c r="CF1467" s="48" t="str">
        <f aca="false">IF(OR(CE1467=1,CE1467=2,CE1467=3),IF(Parameter!$E$27="Ja","LIFT",IF(CE1467=1,"L1","L23")),IF(CE1467="Aussen","Aussen","-"))</f>
        <v>LIFT</v>
      </c>
      <c r="CG1467" s="59" t="n">
        <f aca="false">IF(N(AB1467)&gt;0,AB1467,0)</f>
        <v>0</v>
      </c>
      <c r="CH1467" s="53" t="n">
        <f aca="false">IF(ISNUMBER(AE1467),1,0)</f>
        <v>0</v>
      </c>
      <c r="CI1467" s="50" t="n">
        <f aca="false">N(AE1467)</f>
        <v>0</v>
      </c>
      <c r="CJ1467" s="50" t="n">
        <f aca="false">N(M1467)+N(N1467)</f>
        <v>35</v>
      </c>
      <c r="CK1467" s="50" t="n">
        <f aca="false">N(M1467)</f>
        <v>0</v>
      </c>
      <c r="CL1467" s="50" t="n">
        <f aca="false">N(N1467)</f>
        <v>35</v>
      </c>
      <c r="CM1467" s="50" t="n">
        <f aca="false">ROUNDUP(H1467/BY1467,0)</f>
        <v>0</v>
      </c>
      <c r="CN1467" s="50" t="n">
        <f aca="false">ROUNDUP(CI1467/BY1467,0)</f>
        <v>0</v>
      </c>
      <c r="CO1467" s="53" t="n">
        <f aca="false">IF(BZ1467=1,0,IFERROR(VLOOKUP(BX1467,'Gebinde-Kategorie'!$A$5:$N$45,5,0)+0,0))</f>
        <v>21</v>
      </c>
      <c r="CP1467" s="53" t="n">
        <f aca="false">IFERROR(IF(OR(CE1467=1,CE1467=2,CE1467=3),N(INDEX(Parameter!$I$5:$I$7,CE1467)),0),0)</f>
        <v>0</v>
      </c>
      <c r="CQ1467" s="52" t="n">
        <f aca="false">IF(AND(Parameter!$B$21="Ja",ISNUMBER(W1467),N(X1467)&gt;0),IFERROR(N(INDEX(Parameter!$L$5:$L$7,W1467))*INDEX(Parameter!$E$5:$E$7,W1467)*X1467/SUMIFS($X$7:$X$1843,$W$7:$W$1843,W1467),0),0)</f>
        <v>0</v>
      </c>
    </row>
    <row r="1468" customFormat="false" ht="15" hidden="false" customHeight="false" outlineLevel="0" collapsed="false">
      <c r="A1468" s="48" t="s">
        <v>2573</v>
      </c>
      <c r="B1468" s="48" t="s">
        <v>205</v>
      </c>
      <c r="C1468" s="48" t="s">
        <v>465</v>
      </c>
      <c r="D1468" s="48" t="s">
        <v>182</v>
      </c>
      <c r="E1468" s="48" t="s">
        <v>175</v>
      </c>
      <c r="F1468" s="48"/>
      <c r="G1468" s="49" t="n">
        <v>5022.3</v>
      </c>
      <c r="H1468" s="50" t="n">
        <f aca="false">MAX(0,IF(AND(Parameter!$B$21="Ja",ISNUMBER(Y1468)),Y1468,IF(Parameter!$B$20="Jahresanfang 2025 + Export",BR1468+BQ1468,BQ1468)))</f>
        <v>0</v>
      </c>
      <c r="I1468" s="50" t="n">
        <f aca="false">H1468*G1468</f>
        <v>0</v>
      </c>
      <c r="J1468" s="50" t="n">
        <f aca="false">BT1468*Parameter!$B$18</f>
        <v>13</v>
      </c>
      <c r="K1468" s="51"/>
      <c r="L1468" s="52"/>
      <c r="M1468" s="50" t="n">
        <v>0</v>
      </c>
      <c r="N1468" s="50" t="n">
        <v>1</v>
      </c>
      <c r="O1468" s="53"/>
      <c r="P1468" s="48" t="s">
        <v>177</v>
      </c>
      <c r="Q1468" s="50"/>
      <c r="R1468" s="53" t="n">
        <f aca="false">IF(BZ1468=1,0,IFERROR(VLOOKUP(BX1468,'Gebinde-Kategorie'!$A$5:$N$45,13,0)+0,0))</f>
        <v>12</v>
      </c>
      <c r="S1468" s="54"/>
      <c r="T1468" s="55" t="s">
        <v>188</v>
      </c>
      <c r="U1468" s="55"/>
      <c r="V1468" s="55"/>
      <c r="W1468" s="48"/>
      <c r="X1468" s="50"/>
      <c r="Y1468" s="50"/>
      <c r="Z1468" s="48" t="n">
        <f aca="false">IF(A1468="","",IF(AND(Parameter!$B$21="Ja",ISNUMBER(W1468)),W1468,IF(CC1468="2+3",IF(ISNUMBER(SEARCH("grosser Artikel",BU1468)),2,IFERROR(VLOOKUP(BX1468,Parameter!$F$35:$G$64,2,0),2)),IF(OR(CC1468="Nein",CC1468=""),"-",CC1468))))</f>
        <v>1</v>
      </c>
      <c r="AA1468" s="55"/>
      <c r="AB1468" s="56"/>
      <c r="AC1468" s="50" t="n">
        <f aca="false">AV1468</f>
        <v>9</v>
      </c>
      <c r="AD1468" s="50" t="n">
        <f aca="false">MAX(AV1468,H1468)</f>
        <v>9</v>
      </c>
      <c r="AE1468" s="57"/>
      <c r="AF1468" s="50" t="n">
        <f aca="false">IF(LEFT(Cockpit!$C$5,1)="A",H1468,IF(Parameter!$E$30="MAX-Bestand",IF(CH1468=1,CI1468,IF(LEFT(Cockpit!$C$5,1)="B",AL1468,MAX(AL1468,H1468))),ROUNDUP(AJ1468,0)))</f>
        <v>0</v>
      </c>
      <c r="AG1468" s="50" t="n">
        <f aca="false">IF(BZ1468=1,0,ROUNDUP(AF1468/BY1468,0))</f>
        <v>0</v>
      </c>
      <c r="AH1468" s="52" t="n">
        <f aca="false">IF(CQ1468&gt;0,CQ1468*MAX(1,AF1468/X1468),IF(BZ1468=1,IF(AF1468&lt;=0,0,CD1468*MAX(1,IF(H1468&gt;0,AF1468/H1468,1))),IF(R1468&gt;0,AG1468/R1468,0))/MAX(0.1,N(Parameter!$M$21)))</f>
        <v>0</v>
      </c>
      <c r="AI1468" s="50" t="n">
        <f aca="false">AH1468*CB1468</f>
        <v>0</v>
      </c>
      <c r="AJ1468" s="51" t="n">
        <f aca="false">IF(LEFT(Cockpit!$C$5,1)="A",H1468,IF(CH1468=1,(CK1468+CI1468)/2,IF(LEFT(Cockpit!$C$5,1)="B",(CK1468+AL1468)/2,MAX((CK1468+AL1468)/2,H1468))))</f>
        <v>0</v>
      </c>
      <c r="AK1468" s="50" t="n">
        <f aca="false">AJ1468*G1468</f>
        <v>0</v>
      </c>
      <c r="AL1468" s="50" t="n">
        <f aca="false">ROUNDUP(CK1468+MAX(CL1468,2*(J1468/IF(CG1468&gt;0,CG1468,MAX(0.1,N(Cockpit!$C$6)))-CK1468)),0)</f>
        <v>9</v>
      </c>
      <c r="AM1468" s="51" t="n">
        <f aca="false">IF(AI1468&gt;0,J1468/AI1468,-1)</f>
        <v>-1</v>
      </c>
      <c r="AN1468" s="51" t="str">
        <f aca="false">IF(AND(OR(CF1468="L1",CF1468="L23",CF1468="LIFT"),AI1468&gt;0),SUMIFS($AI$7:$AI$1843,$CF$7:$CF$1843,CF1468,$AM$7:$AM$1843,"&gt;"&amp;AM1468)+SUMIFS($AI$7:$AI$1843,$CF$7:$CF$1843,CF1468,$AM$7:$AM$1843,AM1468,$BW$7:$BW$1843,"&lt;="&amp;BW1468),"")</f>
        <v/>
      </c>
      <c r="AO1468" s="58" t="n">
        <f aca="false">IF(AN1468="",0,MAX(0,MIN(1,(IF(CF1468="L1",Parameter!$H$5,IF(CF1468="L23",Parameter!$H$6+Parameter!$H$7,Parameter!$H$5+Parameter!$H$6+Parameter!$H$7))-(AN1468-AI1468))/AI1468)))</f>
        <v>0</v>
      </c>
      <c r="AP1468" s="50" t="n">
        <f aca="false">IF(LEFT(Cockpit!$I$5,1)="A",H1468,IF(Parameter!$E$30="MAX-Bestand",IF(CH1468=1,CI1468,IF(LEFT(Cockpit!$I$5,1)="B",AV1468,MAX(AV1468,H1468))),ROUNDUP(AT1468,0)))</f>
        <v>5</v>
      </c>
      <c r="AQ1468" s="50" t="n">
        <f aca="false">IF(BZ1468=1,0,ROUNDUP(AP1468/BY1468,0))</f>
        <v>2</v>
      </c>
      <c r="AR1468" s="52" t="n">
        <f aca="false">IF(CQ1468&gt;0,CQ1468*MAX(1,AP1468/X1468),IF(BZ1468=1,IF(AP1468&lt;=0,0,CD1468*MAX(1,IF(H1468&gt;0,AP1468/H1468,1))),IF(R1468&gt;0,AQ1468/R1468,0))/MAX(0.1,N(Parameter!$M$21)))</f>
        <v>0.166666666666667</v>
      </c>
      <c r="AS1468" s="50" t="n">
        <f aca="false">AR1468*CB1468</f>
        <v>24.1666666666667</v>
      </c>
      <c r="AT1468" s="51" t="n">
        <f aca="false">IF(LEFT(Cockpit!$I$5,1)="A",H1468,IF(CH1468=1,(CK1468+CI1468)/2,IF(LEFT(Cockpit!$I$5,1)="B",(CK1468+AV1468)/2,MAX((CK1468+AV1468)/2,H1468))))</f>
        <v>4.5</v>
      </c>
      <c r="AU1468" s="50" t="n">
        <f aca="false">AT1468*G1468</f>
        <v>22600.35</v>
      </c>
      <c r="AV1468" s="50" t="n">
        <f aca="false">ROUNDUP(CK1468+MAX(CL1468,2*(J1468/IF(CG1468&gt;0,CG1468,MAX(0.1,N(Cockpit!$I$6)))-CK1468)),0)</f>
        <v>9</v>
      </c>
      <c r="AW1468" s="51" t="n">
        <f aca="false">IF(AS1468&gt;0,J1468/AS1468,-1)</f>
        <v>0.537931034482759</v>
      </c>
      <c r="AX1468" s="51" t="n">
        <f aca="false">IF(AND(OR(CF1468="L1",CF1468="L23",CF1468="LIFT"),AS1468&gt;0),SUMIFS($AS$7:$AS$1843,$CF$7:$CF$1843,CF1468,$AW$7:$AW$1843,"&gt;"&amp;AW1468)+SUMIFS($AS$7:$AS$1843,$CF$7:$CF$1843,CF1468,$AW$7:$AW$1843,AW1468,$BW$7:$BW$1843,"&lt;="&amp;BW1468),"")</f>
        <v>11862.956043956</v>
      </c>
      <c r="AY1468" s="58" t="n">
        <f aca="false">IF(AX1468="",0,MAX(0,MIN(1,(IF(CF1468="L1",Parameter!$H$5,IF(CF1468="L23",Parameter!$H$6+Parameter!$H$7,Parameter!$H$5+Parameter!$H$6+Parameter!$H$7))-(AX1468-AS1468))/AS1468)))</f>
        <v>1</v>
      </c>
      <c r="AZ1468" s="50" t="n">
        <f aca="false">IF(LEFT(Cockpit!$O$5,1)="A",H1468,IF(Parameter!$E$30="MAX-Bestand",IF(CH1468=1,CI1468,IF(LEFT(Cockpit!$O$5,1)="B",BF1468,MAX(BF1468,H1468))),ROUNDUP(BD1468,0)))</f>
        <v>4</v>
      </c>
      <c r="BA1468" s="50" t="n">
        <f aca="false">IF(BZ1468=1,0,ROUNDUP(AZ1468/BY1468,0))</f>
        <v>1</v>
      </c>
      <c r="BB1468" s="52" t="n">
        <f aca="false">IF(CQ1468&gt;0,CQ1468*MAX(1,AZ1468/X1468),IF(BZ1468=1,IF(AZ1468&lt;=0,0,CD1468*MAX(1,IF(H1468&gt;0,AZ1468/H1468,1))),IF(R1468&gt;0,BA1468/R1468,0))/MAX(0.1,N(Parameter!$M$21)))</f>
        <v>0.0833333333333333</v>
      </c>
      <c r="BC1468" s="50" t="n">
        <f aca="false">BB1468*CB1468</f>
        <v>12.0833333333333</v>
      </c>
      <c r="BD1468" s="51" t="n">
        <f aca="false">IF(LEFT(Cockpit!$O$5,1)="A",H1468,IF(CH1468=1,(CK1468+CI1468)/2,IF(LEFT(Cockpit!$O$5,1)="B",(CK1468+BF1468)/2,MAX((CK1468+BF1468)/2,H1468))))</f>
        <v>3.5</v>
      </c>
      <c r="BE1468" s="50" t="n">
        <f aca="false">BD1468*G1468</f>
        <v>17578.05</v>
      </c>
      <c r="BF1468" s="50" t="n">
        <f aca="false">ROUNDUP(CK1468+MAX(CL1468,2*(J1468/IF(CG1468&gt;0,CG1468,MAX(0.1,N(Cockpit!$O$6)))-CK1468)),0)</f>
        <v>7</v>
      </c>
      <c r="BG1468" s="51" t="n">
        <f aca="false">IF(BC1468&gt;0,J1468/BC1468,-1)</f>
        <v>1.07586206896552</v>
      </c>
      <c r="BH1468" s="51" t="n">
        <f aca="false">IF(AND(OR(CF1468="L1",CF1468="L23",CF1468="LIFT"),BC1468&gt;0),SUMIFS($BC$7:$BC$1843,$CF$7:$CF$1843,CF1468,$BG$7:$BG$1843,"&gt;"&amp;BG1468)+SUMIFS($BC$7:$BC$1843,$CF$7:$CF$1843,CF1468,$BG$7:$BG$1843,BG1468,$BW$7:$BW$1843,"&lt;="&amp;BW1468),"")</f>
        <v>7419.88690476191</v>
      </c>
      <c r="BI1468" s="58" t="n">
        <f aca="false">IF(BH1468="",0,MAX(0,MIN(1,(IF(CF1468="L1",Parameter!$H$5,IF(CF1468="L23",Parameter!$H$6+Parameter!$H$7,Parameter!$H$5+Parameter!$H$6+Parameter!$H$7))-(BH1468-BC1468))/BC1468)))</f>
        <v>1</v>
      </c>
      <c r="BJ1468" s="48" t="str">
        <f aca="false">IF(AI1468&lt;=0,"",IF(CF1468="Aussen","Aussenlager",IF(CF1468="-","Nicht im Lift",IF(AO1468&gt;=1,"Lift",IF(AO1468&lt;=0,"Aussenlager","teilweise")))))</f>
        <v/>
      </c>
      <c r="BK1468" s="48" t="str">
        <f aca="false">IF(AS1468&lt;=0,"",IF(CF1468="Aussen","Aussenlager",IF(CF1468="-","Nicht im Lift",IF(AY1468&gt;=1,"Lift",IF(AY1468&lt;=0,"Aussenlager","teilweise")))))</f>
        <v>Lift</v>
      </c>
      <c r="BL1468" s="48" t="str">
        <f aca="false">IF(BC1468&lt;=0,"",IF(CF1468="Aussen","Aussenlager",IF(CF1468="-","Nicht im Lift",IF(BI1468&gt;=1,"Lift",IF(BI1468&lt;=0,"Aussenlager","teilweise")))))</f>
        <v>Lift</v>
      </c>
      <c r="BM1468" s="48" t="str">
        <f aca="false">IF(A1468="","",IF(BV1468=1,"Neu; ","")&amp;IF(AND(BV1468=0,BQ1468&lt;0),"negativer Bestand (Export "&amp;BQ1468&amp;"); ","")&amp;IF(J1468&lt;=0,"Kein Verbrauch; ","")&amp;IF(CQ1468&gt;0,"Lift "&amp;W1468&amp;" lt. Liftbericht (Fach "&amp;X1468&amp;" Stk); ",IF(CA1468=1,"Gebinde geschätzt ("&amp;T1468&amp;"); ",IF(BZ1468=1,"Lose – Tablare geschätzt; ","")))&amp;IF(H1468&gt;AV1468,"Überbestand "&amp;ROUND(H1468-AV1468,0)&amp;" Stk / CHF "&amp;ROUND((H1468-AV1468)*G1468,0)&amp;"; ","")&amp;IF(AND(CH1468=1,CI1468&lt;CJ1468),"MAX &lt; MB+LG; ","")&amp;IF(AND(CP1468&gt;0,CO1468*10&gt;CP1468),"zu hoch für Tablar; ","")&amp;IF(AND(BV1468=0,OR(CH1468=1,AA1468&lt;&gt;"",U1468&lt;&gt;"",V1468&lt;&gt;"",AB1468&lt;&gt;"")),"manuell übersteuert; ","")&amp;IF(AND(BZ1468=0,R1468=0),"Gebinde unbekannt / Stellmass fehlt; ","")&amp;IF(AND(BZ1468=0,N(V1468)&lt;=0,N(Q1468)&lt;=0),"Menge pro Gebinde fehlt (Ist = 1 Gebinde); ","")&amp;BU1468)</f>
        <v>negativer Bestand (Export -13); Gebinde geschätzt (Mittel); Menge pro Gebinde fehlt (Ist = 1 Gebinde); </v>
      </c>
      <c r="BN1468" s="48"/>
      <c r="BO1468" s="48"/>
      <c r="BP1468" s="55"/>
      <c r="BQ1468" s="50" t="n">
        <v>-13</v>
      </c>
      <c r="BR1468" s="50" t="n">
        <v>0</v>
      </c>
      <c r="BS1468" s="49" t="n">
        <v>-64779</v>
      </c>
      <c r="BT1468" s="50" t="n">
        <v>13</v>
      </c>
      <c r="BU1468" s="48"/>
      <c r="BV1468" s="53" t="n">
        <v>0</v>
      </c>
      <c r="BW1468" s="53" t="n">
        <v>1468</v>
      </c>
      <c r="BX1468" s="48" t="str">
        <f aca="false">IF(U1468&lt;&gt;"",UPPER(TRIM(U1468)),IF(CA1468=1,UPPER(VLOOKUP(T1468,Parameter!$I$27:$K$29,2,0)),IF(P1468="","LOSE",P1468)))</f>
        <v>S61</v>
      </c>
      <c r="BY1468" s="50" t="n">
        <f aca="false">IF(BX1468="LOSE",1,IF(N(V1468)&gt;0,V1468,IF(CA1468=1,MAX(1,N(VLOOKUP(T1468,Parameter!$I$27:$K$29,3,0)),H1468,N(N1468)),IF(N(Q1468)&gt;0,Q1468,MAX(1,H1468)))))</f>
        <v>4</v>
      </c>
      <c r="BZ1468" s="53" t="n">
        <f aca="false">IF(BX1468="LOSE",1,0)</f>
        <v>0</v>
      </c>
      <c r="CA1468" s="53" t="n">
        <f aca="false">IF(AND(U1468="",OR(P1468="",P1468="LOSE"),T1468&lt;&gt;"",N(S1468)&lt;=0,ISNUMBER(MATCH(T1468,Parameter!$I$27:$I$29,0))),1,0)</f>
        <v>1</v>
      </c>
      <c r="CB1468" s="53" t="n">
        <f aca="false">IF(CQ1468&gt;0,INDEX(Parameter!$H$5:$H$7,W1468)/INDEX(Parameter!$E$5:$E$7,W1468),IF(AND(BZ1468=0,N(IFERROR(VLOOKUP(BX1468,'Gebinde-Kategorie'!$A$5:$N$45,14,0),0))&gt;0),VLOOKUP(BX1468,'Gebinde-Kategorie'!$A$5:$N$45,14,0)*10+Parameter!$M$23,Parameter!$M$24))</f>
        <v>145</v>
      </c>
      <c r="CC1468" s="48" t="n">
        <f aca="false">IF(AND(Parameter!$B$19="Ja",E1468&lt;&gt;"",ISNUMBER(MATCH(E1468,Parameter!$I$35:$I$52,0))),VLOOKUP(E1468,Parameter!$I$35:$J$52,2,0),IFERROR(VLOOKUP(D1468,Parameter!$A$35:$C$64,2,0),"Nein"))</f>
        <v>1</v>
      </c>
      <c r="CD1468" s="52" t="n">
        <f aca="false">IF(BZ1468=0,0,IF(N(S1468)&gt;0,S1468,IFERROR(VLOOKUP(D1468,Parameter!$A$35:$C$64,3,0)+0,0)))</f>
        <v>0</v>
      </c>
      <c r="CE1468" s="48" t="n">
        <f aca="false">IF(AA1468&lt;&gt;"",AA1468,Z1468)</f>
        <v>1</v>
      </c>
      <c r="CF1468" s="48" t="str">
        <f aca="false">IF(OR(CE1468=1,CE1468=2,CE1468=3),IF(Parameter!$E$27="Ja","LIFT",IF(CE1468=1,"L1","L23")),IF(CE1468="Aussen","Aussen","-"))</f>
        <v>LIFT</v>
      </c>
      <c r="CG1468" s="59" t="n">
        <f aca="false">IF(N(AB1468)&gt;0,AB1468,0)</f>
        <v>0</v>
      </c>
      <c r="CH1468" s="53" t="n">
        <f aca="false">IF(ISNUMBER(AE1468),1,0)</f>
        <v>0</v>
      </c>
      <c r="CI1468" s="50" t="n">
        <f aca="false">N(AE1468)</f>
        <v>0</v>
      </c>
      <c r="CJ1468" s="50" t="n">
        <f aca="false">N(M1468)+N(N1468)</f>
        <v>1</v>
      </c>
      <c r="CK1468" s="50" t="n">
        <f aca="false">N(M1468)</f>
        <v>0</v>
      </c>
      <c r="CL1468" s="50" t="n">
        <f aca="false">N(N1468)</f>
        <v>1</v>
      </c>
      <c r="CM1468" s="50" t="n">
        <f aca="false">ROUNDUP(H1468/BY1468,0)</f>
        <v>0</v>
      </c>
      <c r="CN1468" s="50" t="n">
        <f aca="false">ROUNDUP(CI1468/BY1468,0)</f>
        <v>0</v>
      </c>
      <c r="CO1468" s="53" t="n">
        <f aca="false">IF(BZ1468=1,0,IFERROR(VLOOKUP(BX1468,'Gebinde-Kategorie'!$A$5:$N$45,5,0)+0,0))</f>
        <v>11</v>
      </c>
      <c r="CP1468" s="53" t="n">
        <f aca="false">IFERROR(IF(OR(CE1468=1,CE1468=2,CE1468=3),N(INDEX(Parameter!$I$5:$I$7,CE1468)),0),0)</f>
        <v>0</v>
      </c>
      <c r="CQ1468" s="52" t="n">
        <f aca="false">IF(AND(Parameter!$B$21="Ja",ISNUMBER(W1468),N(X1468)&gt;0),IFERROR(N(INDEX(Parameter!$L$5:$L$7,W1468))*INDEX(Parameter!$E$5:$E$7,W1468)*X1468/SUMIFS($X$7:$X$1843,$W$7:$W$1843,W1468),0),0)</f>
        <v>0</v>
      </c>
    </row>
    <row r="1469" customFormat="false" ht="15" hidden="false" customHeight="false" outlineLevel="0" collapsed="false">
      <c r="A1469" s="48" t="s">
        <v>2574</v>
      </c>
      <c r="B1469" s="48" t="s">
        <v>1392</v>
      </c>
      <c r="C1469" s="48" t="s">
        <v>173</v>
      </c>
      <c r="D1469" s="48" t="s">
        <v>182</v>
      </c>
      <c r="E1469" s="48" t="s">
        <v>2427</v>
      </c>
      <c r="F1469" s="48"/>
      <c r="G1469" s="49" t="n">
        <v>11412.99</v>
      </c>
      <c r="H1469" s="50" t="n">
        <f aca="false">MAX(0,IF(AND(Parameter!$B$21="Ja",ISNUMBER(Y1469)),Y1469,IF(Parameter!$B$20="Jahresanfang 2025 + Export",BR1469+BQ1469,BQ1469)))</f>
        <v>0</v>
      </c>
      <c r="I1469" s="50" t="n">
        <f aca="false">H1469*G1469</f>
        <v>0</v>
      </c>
      <c r="J1469" s="50" t="n">
        <f aca="false">BT1469*Parameter!$B$18</f>
        <v>12</v>
      </c>
      <c r="K1469" s="51"/>
      <c r="L1469" s="52"/>
      <c r="M1469" s="50" t="n">
        <v>2</v>
      </c>
      <c r="N1469" s="50" t="n">
        <v>1</v>
      </c>
      <c r="O1469" s="53"/>
      <c r="P1469" s="48" t="s">
        <v>177</v>
      </c>
      <c r="Q1469" s="50"/>
      <c r="R1469" s="53" t="n">
        <f aca="false">IF(BZ1469=1,0,IFERROR(VLOOKUP(BX1469,'Gebinde-Kategorie'!$A$5:$N$45,13,0)+0,0))</f>
        <v>4</v>
      </c>
      <c r="S1469" s="54"/>
      <c r="T1469" s="55" t="s">
        <v>198</v>
      </c>
      <c r="U1469" s="55"/>
      <c r="V1469" s="55"/>
      <c r="W1469" s="48"/>
      <c r="X1469" s="50"/>
      <c r="Y1469" s="50"/>
      <c r="Z1469" s="48" t="str">
        <f aca="false">IF(A1469="","",IF(AND(Parameter!$B$21="Ja",ISNUMBER(W1469)),W1469,IF(CC1469="2+3",IF(ISNUMBER(SEARCH("grosser Artikel",BU1469)),2,IFERROR(VLOOKUP(BX1469,Parameter!$F$35:$G$64,2,0),2)),IF(OR(CC1469="Nein",CC1469=""),"-",CC1469))))</f>
        <v>-</v>
      </c>
      <c r="AA1469" s="55"/>
      <c r="AB1469" s="56"/>
      <c r="AC1469" s="50" t="n">
        <f aca="false">AV1469</f>
        <v>6</v>
      </c>
      <c r="AD1469" s="50" t="n">
        <f aca="false">MAX(AV1469,H1469)</f>
        <v>6</v>
      </c>
      <c r="AE1469" s="57"/>
      <c r="AF1469" s="50" t="n">
        <f aca="false">IF(LEFT(Cockpit!$C$5,1)="A",H1469,IF(Parameter!$E$30="MAX-Bestand",IF(CH1469=1,CI1469,IF(LEFT(Cockpit!$C$5,1)="B",AL1469,MAX(AL1469,H1469))),ROUNDUP(AJ1469,0)))</f>
        <v>0</v>
      </c>
      <c r="AG1469" s="50" t="n">
        <f aca="false">IF(BZ1469=1,0,ROUNDUP(AF1469/BY1469,0))</f>
        <v>0</v>
      </c>
      <c r="AH1469" s="52" t="n">
        <f aca="false">IF(CQ1469&gt;0,CQ1469*MAX(1,AF1469/X1469),IF(BZ1469=1,IF(AF1469&lt;=0,0,CD1469*MAX(1,IF(H1469&gt;0,AF1469/H1469,1))),IF(R1469&gt;0,AG1469/R1469,0))/MAX(0.1,N(Parameter!$M$21)))</f>
        <v>0</v>
      </c>
      <c r="AI1469" s="50" t="n">
        <f aca="false">AH1469*CB1469</f>
        <v>0</v>
      </c>
      <c r="AJ1469" s="51" t="n">
        <f aca="false">IF(LEFT(Cockpit!$C$5,1)="A",H1469,IF(CH1469=1,(CK1469+CI1469)/2,IF(LEFT(Cockpit!$C$5,1)="B",(CK1469+AL1469)/2,MAX((CK1469+AL1469)/2,H1469))))</f>
        <v>0</v>
      </c>
      <c r="AK1469" s="50" t="n">
        <f aca="false">AJ1469*G1469</f>
        <v>0</v>
      </c>
      <c r="AL1469" s="50" t="n">
        <f aca="false">ROUNDUP(CK1469+MAX(CL1469,2*(J1469/IF(CG1469&gt;0,CG1469,MAX(0.1,N(Cockpit!$C$6)))-CK1469)),0)</f>
        <v>6</v>
      </c>
      <c r="AM1469" s="51" t="n">
        <f aca="false">IF(AI1469&gt;0,J1469/AI1469,-1)</f>
        <v>-1</v>
      </c>
      <c r="AN1469" s="51" t="str">
        <f aca="false">IF(AND(OR(CF1469="L1",CF1469="L23",CF1469="LIFT"),AI1469&gt;0),SUMIFS($AI$7:$AI$1843,$CF$7:$CF$1843,CF1469,$AM$7:$AM$1843,"&gt;"&amp;AM1469)+SUMIFS($AI$7:$AI$1843,$CF$7:$CF$1843,CF1469,$AM$7:$AM$1843,AM1469,$BW$7:$BW$1843,"&lt;="&amp;BW1469),"")</f>
        <v/>
      </c>
      <c r="AO1469" s="58" t="n">
        <f aca="false">IF(AN1469="",0,MAX(0,MIN(1,(IF(CF1469="L1",Parameter!$H$5,IF(CF1469="L23",Parameter!$H$6+Parameter!$H$7,Parameter!$H$5+Parameter!$H$6+Parameter!$H$7))-(AN1469-AI1469))/AI1469)))</f>
        <v>0</v>
      </c>
      <c r="AP1469" s="50" t="n">
        <f aca="false">IF(LEFT(Cockpit!$I$5,1)="A",H1469,IF(Parameter!$E$30="MAX-Bestand",IF(CH1469=1,CI1469,IF(LEFT(Cockpit!$I$5,1)="B",AV1469,MAX(AV1469,H1469))),ROUNDUP(AT1469,0)))</f>
        <v>4</v>
      </c>
      <c r="AQ1469" s="50" t="n">
        <f aca="false">IF(BZ1469=1,0,ROUNDUP(AP1469/BY1469,0))</f>
        <v>2</v>
      </c>
      <c r="AR1469" s="52" t="n">
        <f aca="false">IF(CQ1469&gt;0,CQ1469*MAX(1,AP1469/X1469),IF(BZ1469=1,IF(AP1469&lt;=0,0,CD1469*MAX(1,IF(H1469&gt;0,AP1469/H1469,1))),IF(R1469&gt;0,AQ1469/R1469,0))/MAX(0.1,N(Parameter!$M$21)))</f>
        <v>0.5</v>
      </c>
      <c r="AS1469" s="50" t="n">
        <f aca="false">AR1469*CB1469</f>
        <v>117.5</v>
      </c>
      <c r="AT1469" s="51" t="n">
        <f aca="false">IF(LEFT(Cockpit!$I$5,1)="A",H1469,IF(CH1469=1,(CK1469+CI1469)/2,IF(LEFT(Cockpit!$I$5,1)="B",(CK1469+AV1469)/2,MAX((CK1469+AV1469)/2,H1469))))</f>
        <v>4</v>
      </c>
      <c r="AU1469" s="50" t="n">
        <f aca="false">AT1469*G1469</f>
        <v>45651.96</v>
      </c>
      <c r="AV1469" s="50" t="n">
        <f aca="false">ROUNDUP(CK1469+MAX(CL1469,2*(J1469/IF(CG1469&gt;0,CG1469,MAX(0.1,N(Cockpit!$I$6)))-CK1469)),0)</f>
        <v>6</v>
      </c>
      <c r="AW1469" s="51" t="n">
        <f aca="false">IF(AS1469&gt;0,J1469/AS1469,-1)</f>
        <v>0.102127659574468</v>
      </c>
      <c r="AX1469" s="51" t="str">
        <f aca="false">IF(AND(OR(CF1469="L1",CF1469="L23",CF1469="LIFT"),AS1469&gt;0),SUMIFS($AS$7:$AS$1843,$CF$7:$CF$1843,CF1469,$AW$7:$AW$1843,"&gt;"&amp;AW1469)+SUMIFS($AS$7:$AS$1843,$CF$7:$CF$1843,CF1469,$AW$7:$AW$1843,AW1469,$BW$7:$BW$1843,"&lt;="&amp;BW1469),"")</f>
        <v/>
      </c>
      <c r="AY1469" s="58" t="n">
        <f aca="false">IF(AX1469="",0,MAX(0,MIN(1,(IF(CF1469="L1",Parameter!$H$5,IF(CF1469="L23",Parameter!$H$6+Parameter!$H$7,Parameter!$H$5+Parameter!$H$6+Parameter!$H$7))-(AX1469-AS1469))/AS1469)))</f>
        <v>0</v>
      </c>
      <c r="AZ1469" s="50" t="n">
        <f aca="false">IF(LEFT(Cockpit!$O$5,1)="A",H1469,IF(Parameter!$E$30="MAX-Bestand",IF(CH1469=1,CI1469,IF(LEFT(Cockpit!$O$5,1)="B",BF1469,MAX(BF1469,H1469))),ROUNDUP(BD1469,0)))</f>
        <v>3</v>
      </c>
      <c r="BA1469" s="50" t="n">
        <f aca="false">IF(BZ1469=1,0,ROUNDUP(AZ1469/BY1469,0))</f>
        <v>2</v>
      </c>
      <c r="BB1469" s="52" t="n">
        <f aca="false">IF(CQ1469&gt;0,CQ1469*MAX(1,AZ1469/X1469),IF(BZ1469=1,IF(AZ1469&lt;=0,0,CD1469*MAX(1,IF(H1469&gt;0,AZ1469/H1469,1))),IF(R1469&gt;0,BA1469/R1469,0))/MAX(0.1,N(Parameter!$M$21)))</f>
        <v>0.5</v>
      </c>
      <c r="BC1469" s="50" t="n">
        <f aca="false">BB1469*CB1469</f>
        <v>117.5</v>
      </c>
      <c r="BD1469" s="51" t="n">
        <f aca="false">IF(LEFT(Cockpit!$O$5,1)="A",H1469,IF(CH1469=1,(CK1469+CI1469)/2,IF(LEFT(Cockpit!$O$5,1)="B",(CK1469+BF1469)/2,MAX((CK1469+BF1469)/2,H1469))))</f>
        <v>3</v>
      </c>
      <c r="BE1469" s="50" t="n">
        <f aca="false">BD1469*G1469</f>
        <v>34238.97</v>
      </c>
      <c r="BF1469" s="50" t="n">
        <f aca="false">ROUNDUP(CK1469+MAX(CL1469,2*(J1469/IF(CG1469&gt;0,CG1469,MAX(0.1,N(Cockpit!$O$6)))-CK1469)),0)</f>
        <v>4</v>
      </c>
      <c r="BG1469" s="51" t="n">
        <f aca="false">IF(BC1469&gt;0,J1469/BC1469,-1)</f>
        <v>0.102127659574468</v>
      </c>
      <c r="BH1469" s="51" t="str">
        <f aca="false">IF(AND(OR(CF1469="L1",CF1469="L23",CF1469="LIFT"),BC1469&gt;0),SUMIFS($BC$7:$BC$1843,$CF$7:$CF$1843,CF1469,$BG$7:$BG$1843,"&gt;"&amp;BG1469)+SUMIFS($BC$7:$BC$1843,$CF$7:$CF$1843,CF1469,$BG$7:$BG$1843,BG1469,$BW$7:$BW$1843,"&lt;="&amp;BW1469),"")</f>
        <v/>
      </c>
      <c r="BI1469" s="58" t="n">
        <f aca="false">IF(BH1469="",0,MAX(0,MIN(1,(IF(CF1469="L1",Parameter!$H$5,IF(CF1469="L23",Parameter!$H$6+Parameter!$H$7,Parameter!$H$5+Parameter!$H$6+Parameter!$H$7))-(BH1469-BC1469))/BC1469)))</f>
        <v>0</v>
      </c>
      <c r="BJ1469" s="48" t="str">
        <f aca="false">IF(AI1469&lt;=0,"",IF(CF1469="Aussen","Aussenlager",IF(CF1469="-","Nicht im Lift",IF(AO1469&gt;=1,"Lift",IF(AO1469&lt;=0,"Aussenlager","teilweise")))))</f>
        <v/>
      </c>
      <c r="BK1469" s="48" t="str">
        <f aca="false">IF(AS1469&lt;=0,"",IF(CF1469="Aussen","Aussenlager",IF(CF1469="-","Nicht im Lift",IF(AY1469&gt;=1,"Lift",IF(AY1469&lt;=0,"Aussenlager","teilweise")))))</f>
        <v>Nicht im Lift</v>
      </c>
      <c r="BL1469" s="48" t="str">
        <f aca="false">IF(BC1469&lt;=0,"",IF(CF1469="Aussen","Aussenlager",IF(CF1469="-","Nicht im Lift",IF(BI1469&gt;=1,"Lift",IF(BI1469&lt;=0,"Aussenlager","teilweise")))))</f>
        <v>Nicht im Lift</v>
      </c>
      <c r="BM1469" s="48" t="str">
        <f aca="false">IF(A1469="","",IF(BV1469=1,"Neu; ","")&amp;IF(AND(BV1469=0,BQ1469&lt;0),"negativer Bestand (Export "&amp;BQ1469&amp;"); ","")&amp;IF(J1469&lt;=0,"Kein Verbrauch; ","")&amp;IF(CQ1469&gt;0,"Lift "&amp;W1469&amp;" lt. Liftbericht (Fach "&amp;X1469&amp;" Stk); ",IF(CA1469=1,"Gebinde geschätzt ("&amp;T1469&amp;"); ",IF(BZ1469=1,"Lose – Tablare geschätzt; ","")))&amp;IF(H1469&gt;AV1469,"Überbestand "&amp;ROUND(H1469-AV1469,0)&amp;" Stk / CHF "&amp;ROUND((H1469-AV1469)*G1469,0)&amp;"; ","")&amp;IF(AND(CH1469=1,CI1469&lt;CJ1469),"MAX &lt; MB+LG; ","")&amp;IF(AND(CP1469&gt;0,CO1469*10&gt;CP1469),"zu hoch für Tablar; ","")&amp;IF(AND(BV1469=0,OR(CH1469=1,AA1469&lt;&gt;"",U1469&lt;&gt;"",V1469&lt;&gt;"",AB1469&lt;&gt;"")),"manuell übersteuert; ","")&amp;IF(AND(BZ1469=0,R1469=0),"Gebinde unbekannt / Stellmass fehlt; ","")&amp;IF(AND(BZ1469=0,N(V1469)&lt;=0,N(Q1469)&lt;=0),"Menge pro Gebinde fehlt (Ist = 1 Gebinde); ","")&amp;BU1469)</f>
        <v>negativer Bestand (Export -7); Gebinde geschätzt (Gross); Menge pro Gebinde fehlt (Ist = 1 Gebinde); </v>
      </c>
      <c r="BN1469" s="48"/>
      <c r="BO1469" s="48"/>
      <c r="BP1469" s="55"/>
      <c r="BQ1469" s="50" t="n">
        <v>-7</v>
      </c>
      <c r="BR1469" s="50" t="n">
        <v>0</v>
      </c>
      <c r="BS1469" s="49" t="n">
        <v>-66765.84</v>
      </c>
      <c r="BT1469" s="50" t="n">
        <v>12</v>
      </c>
      <c r="BU1469" s="48"/>
      <c r="BV1469" s="53" t="n">
        <v>0</v>
      </c>
      <c r="BW1469" s="53" t="n">
        <v>1469</v>
      </c>
      <c r="BX1469" s="48" t="str">
        <f aca="false">IF(U1469&lt;&gt;"",UPPER(TRIM(U1469)),IF(CA1469=1,UPPER(VLOOKUP(T1469,Parameter!$I$27:$K$29,2,0)),IF(P1469="","LOSE",P1469)))</f>
        <v>S81</v>
      </c>
      <c r="BY1469" s="50" t="n">
        <f aca="false">IF(BX1469="LOSE",1,IF(N(V1469)&gt;0,V1469,IF(CA1469=1,MAX(1,N(VLOOKUP(T1469,Parameter!$I$27:$K$29,3,0)),H1469,N(N1469)),IF(N(Q1469)&gt;0,Q1469,MAX(1,H1469)))))</f>
        <v>2</v>
      </c>
      <c r="BZ1469" s="53" t="n">
        <f aca="false">IF(BX1469="LOSE",1,0)</f>
        <v>0</v>
      </c>
      <c r="CA1469" s="53" t="n">
        <f aca="false">IF(AND(U1469="",OR(P1469="",P1469="LOSE"),T1469&lt;&gt;"",N(S1469)&lt;=0,ISNUMBER(MATCH(T1469,Parameter!$I$27:$I$29,0))),1,0)</f>
        <v>1</v>
      </c>
      <c r="CB1469" s="53" t="n">
        <f aca="false">IF(CQ1469&gt;0,INDEX(Parameter!$H$5:$H$7,W1469)/INDEX(Parameter!$E$5:$E$7,W1469),IF(AND(BZ1469=0,N(IFERROR(VLOOKUP(BX1469,'Gebinde-Kategorie'!$A$5:$N$45,14,0),0))&gt;0),VLOOKUP(BX1469,'Gebinde-Kategorie'!$A$5:$N$45,14,0)*10+Parameter!$M$23,Parameter!$M$24))</f>
        <v>235</v>
      </c>
      <c r="CC1469" s="48" t="str">
        <f aca="false">IF(AND(Parameter!$B$19="Ja",E1469&lt;&gt;"",ISNUMBER(MATCH(E1469,Parameter!$I$35:$I$52,0))),VLOOKUP(E1469,Parameter!$I$35:$J$52,2,0),IFERROR(VLOOKUP(D1469,Parameter!$A$35:$C$64,2,0),"Nein"))</f>
        <v>Nein</v>
      </c>
      <c r="CD1469" s="52" t="n">
        <f aca="false">IF(BZ1469=0,0,IF(N(S1469)&gt;0,S1469,IFERROR(VLOOKUP(D1469,Parameter!$A$35:$C$64,3,0)+0,0)))</f>
        <v>0</v>
      </c>
      <c r="CE1469" s="48" t="str">
        <f aca="false">IF(AA1469&lt;&gt;"",AA1469,Z1469)</f>
        <v>-</v>
      </c>
      <c r="CF1469" s="48" t="str">
        <f aca="false">IF(OR(CE1469=1,CE1469=2,CE1469=3),IF(Parameter!$E$27="Ja","LIFT",IF(CE1469=1,"L1","L23")),IF(CE1469="Aussen","Aussen","-"))</f>
        <v>-</v>
      </c>
      <c r="CG1469" s="59" t="n">
        <f aca="false">IF(N(AB1469)&gt;0,AB1469,0)</f>
        <v>0</v>
      </c>
      <c r="CH1469" s="53" t="n">
        <f aca="false">IF(ISNUMBER(AE1469),1,0)</f>
        <v>0</v>
      </c>
      <c r="CI1469" s="50" t="n">
        <f aca="false">N(AE1469)</f>
        <v>0</v>
      </c>
      <c r="CJ1469" s="50" t="n">
        <f aca="false">N(M1469)+N(N1469)</f>
        <v>3</v>
      </c>
      <c r="CK1469" s="50" t="n">
        <f aca="false">N(M1469)</f>
        <v>2</v>
      </c>
      <c r="CL1469" s="50" t="n">
        <f aca="false">N(N1469)</f>
        <v>1</v>
      </c>
      <c r="CM1469" s="50" t="n">
        <f aca="false">ROUNDUP(H1469/BY1469,0)</f>
        <v>0</v>
      </c>
      <c r="CN1469" s="50" t="n">
        <f aca="false">ROUNDUP(CI1469/BY1469,0)</f>
        <v>0</v>
      </c>
      <c r="CO1469" s="53" t="n">
        <f aca="false">IF(BZ1469=1,0,IFERROR(VLOOKUP(BX1469,'Gebinde-Kategorie'!$A$5:$N$45,5,0)+0,0))</f>
        <v>20</v>
      </c>
      <c r="CP1469" s="53" t="n">
        <f aca="false">IFERROR(IF(OR(CE1469=1,CE1469=2,CE1469=3),N(INDEX(Parameter!$I$5:$I$7,CE1469)),0),0)</f>
        <v>0</v>
      </c>
      <c r="CQ1469" s="52" t="n">
        <f aca="false">IF(AND(Parameter!$B$21="Ja",ISNUMBER(W1469),N(X1469)&gt;0),IFERROR(N(INDEX(Parameter!$L$5:$L$7,W1469))*INDEX(Parameter!$E$5:$E$7,W1469)*X1469/SUMIFS($X$7:$X$1843,$W$7:$W$1843,W1469),0),0)</f>
        <v>0</v>
      </c>
    </row>
    <row r="1470" customFormat="false" ht="15" hidden="false" customHeight="false" outlineLevel="0" collapsed="false">
      <c r="A1470" s="48" t="s">
        <v>2575</v>
      </c>
      <c r="B1470" s="48" t="s">
        <v>205</v>
      </c>
      <c r="C1470" s="48" t="s">
        <v>465</v>
      </c>
      <c r="D1470" s="48" t="s">
        <v>182</v>
      </c>
      <c r="E1470" s="48" t="s">
        <v>175</v>
      </c>
      <c r="F1470" s="48"/>
      <c r="G1470" s="49" t="n">
        <v>4545.65</v>
      </c>
      <c r="H1470" s="50" t="n">
        <f aca="false">MAX(0,IF(AND(Parameter!$B$21="Ja",ISNUMBER(Y1470)),Y1470,IF(Parameter!$B$20="Jahresanfang 2025 + Export",BR1470+BQ1470,BQ1470)))</f>
        <v>0</v>
      </c>
      <c r="I1470" s="50" t="n">
        <f aca="false">H1470*G1470</f>
        <v>0</v>
      </c>
      <c r="J1470" s="50" t="n">
        <f aca="false">BT1470*Parameter!$B$18</f>
        <v>49</v>
      </c>
      <c r="K1470" s="51"/>
      <c r="L1470" s="52"/>
      <c r="M1470" s="50" t="n">
        <v>0</v>
      </c>
      <c r="N1470" s="50" t="n">
        <v>3</v>
      </c>
      <c r="O1470" s="53"/>
      <c r="P1470" s="48" t="s">
        <v>177</v>
      </c>
      <c r="Q1470" s="50"/>
      <c r="R1470" s="53" t="n">
        <f aca="false">IF(BZ1470=1,0,IFERROR(VLOOKUP(BX1470,'Gebinde-Kategorie'!$A$5:$N$45,13,0)+0,0))</f>
        <v>12</v>
      </c>
      <c r="S1470" s="54"/>
      <c r="T1470" s="55" t="s">
        <v>188</v>
      </c>
      <c r="U1470" s="55"/>
      <c r="V1470" s="55"/>
      <c r="W1470" s="48"/>
      <c r="X1470" s="50"/>
      <c r="Y1470" s="50"/>
      <c r="Z1470" s="48" t="n">
        <f aca="false">IF(A1470="","",IF(AND(Parameter!$B$21="Ja",ISNUMBER(W1470)),W1470,IF(CC1470="2+3",IF(ISNUMBER(SEARCH("grosser Artikel",BU1470)),2,IFERROR(VLOOKUP(BX1470,Parameter!$F$35:$G$64,2,0),2)),IF(OR(CC1470="Nein",CC1470=""),"-",CC1470))))</f>
        <v>1</v>
      </c>
      <c r="AA1470" s="55"/>
      <c r="AB1470" s="56"/>
      <c r="AC1470" s="50" t="n">
        <f aca="false">AV1470</f>
        <v>33</v>
      </c>
      <c r="AD1470" s="50" t="n">
        <f aca="false">MAX(AV1470,H1470)</f>
        <v>33</v>
      </c>
      <c r="AE1470" s="57"/>
      <c r="AF1470" s="50" t="n">
        <f aca="false">IF(LEFT(Cockpit!$C$5,1)="A",H1470,IF(Parameter!$E$30="MAX-Bestand",IF(CH1470=1,CI1470,IF(LEFT(Cockpit!$C$5,1)="B",AL1470,MAX(AL1470,H1470))),ROUNDUP(AJ1470,0)))</f>
        <v>0</v>
      </c>
      <c r="AG1470" s="50" t="n">
        <f aca="false">IF(BZ1470=1,0,ROUNDUP(AF1470/BY1470,0))</f>
        <v>0</v>
      </c>
      <c r="AH1470" s="52" t="n">
        <f aca="false">IF(CQ1470&gt;0,CQ1470*MAX(1,AF1470/X1470),IF(BZ1470=1,IF(AF1470&lt;=0,0,CD1470*MAX(1,IF(H1470&gt;0,AF1470/H1470,1))),IF(R1470&gt;0,AG1470/R1470,0))/MAX(0.1,N(Parameter!$M$21)))</f>
        <v>0</v>
      </c>
      <c r="AI1470" s="50" t="n">
        <f aca="false">AH1470*CB1470</f>
        <v>0</v>
      </c>
      <c r="AJ1470" s="51" t="n">
        <f aca="false">IF(LEFT(Cockpit!$C$5,1)="A",H1470,IF(CH1470=1,(CK1470+CI1470)/2,IF(LEFT(Cockpit!$C$5,1)="B",(CK1470+AL1470)/2,MAX((CK1470+AL1470)/2,H1470))))</f>
        <v>0</v>
      </c>
      <c r="AK1470" s="50" t="n">
        <f aca="false">AJ1470*G1470</f>
        <v>0</v>
      </c>
      <c r="AL1470" s="50" t="n">
        <f aca="false">ROUNDUP(CK1470+MAX(CL1470,2*(J1470/IF(CG1470&gt;0,CG1470,MAX(0.1,N(Cockpit!$C$6)))-CK1470)),0)</f>
        <v>33</v>
      </c>
      <c r="AM1470" s="51" t="n">
        <f aca="false">IF(AI1470&gt;0,J1470/AI1470,-1)</f>
        <v>-1</v>
      </c>
      <c r="AN1470" s="51" t="str">
        <f aca="false">IF(AND(OR(CF1470="L1",CF1470="L23",CF1470="LIFT"),AI1470&gt;0),SUMIFS($AI$7:$AI$1843,$CF$7:$CF$1843,CF1470,$AM$7:$AM$1843,"&gt;"&amp;AM1470)+SUMIFS($AI$7:$AI$1843,$CF$7:$CF$1843,CF1470,$AM$7:$AM$1843,AM1470,$BW$7:$BW$1843,"&lt;="&amp;BW1470),"")</f>
        <v/>
      </c>
      <c r="AO1470" s="58" t="n">
        <f aca="false">IF(AN1470="",0,MAX(0,MIN(1,(IF(CF1470="L1",Parameter!$H$5,IF(CF1470="L23",Parameter!$H$6+Parameter!$H$7,Parameter!$H$5+Parameter!$H$6+Parameter!$H$7))-(AN1470-AI1470))/AI1470)))</f>
        <v>0</v>
      </c>
      <c r="AP1470" s="50" t="n">
        <f aca="false">IF(LEFT(Cockpit!$I$5,1)="A",H1470,IF(Parameter!$E$30="MAX-Bestand",IF(CH1470=1,CI1470,IF(LEFT(Cockpit!$I$5,1)="B",AV1470,MAX(AV1470,H1470))),ROUNDUP(AT1470,0)))</f>
        <v>17</v>
      </c>
      <c r="AQ1470" s="50" t="n">
        <f aca="false">IF(BZ1470=1,0,ROUNDUP(AP1470/BY1470,0))</f>
        <v>5</v>
      </c>
      <c r="AR1470" s="52" t="n">
        <f aca="false">IF(CQ1470&gt;0,CQ1470*MAX(1,AP1470/X1470),IF(BZ1470=1,IF(AP1470&lt;=0,0,CD1470*MAX(1,IF(H1470&gt;0,AP1470/H1470,1))),IF(R1470&gt;0,AQ1470/R1470,0))/MAX(0.1,N(Parameter!$M$21)))</f>
        <v>0.416666666666667</v>
      </c>
      <c r="AS1470" s="50" t="n">
        <f aca="false">AR1470*CB1470</f>
        <v>60.4166666666667</v>
      </c>
      <c r="AT1470" s="51" t="n">
        <f aca="false">IF(LEFT(Cockpit!$I$5,1)="A",H1470,IF(CH1470=1,(CK1470+CI1470)/2,IF(LEFT(Cockpit!$I$5,1)="B",(CK1470+AV1470)/2,MAX((CK1470+AV1470)/2,H1470))))</f>
        <v>16.5</v>
      </c>
      <c r="AU1470" s="50" t="n">
        <f aca="false">AT1470*G1470</f>
        <v>75003.225</v>
      </c>
      <c r="AV1470" s="50" t="n">
        <f aca="false">ROUNDUP(CK1470+MAX(CL1470,2*(J1470/IF(CG1470&gt;0,CG1470,MAX(0.1,N(Cockpit!$I$6)))-CK1470)),0)</f>
        <v>33</v>
      </c>
      <c r="AW1470" s="51" t="n">
        <f aca="false">IF(AS1470&gt;0,J1470/AS1470,-1)</f>
        <v>0.811034482758621</v>
      </c>
      <c r="AX1470" s="51" t="n">
        <f aca="false">IF(AND(OR(CF1470="L1",CF1470="L23",CF1470="LIFT"),AS1470&gt;0),SUMIFS($AS$7:$AS$1843,$CF$7:$CF$1843,CF1470,$AW$7:$AW$1843,"&gt;"&amp;AW1470)+SUMIFS($AS$7:$AS$1843,$CF$7:$CF$1843,CF1470,$AW$7:$AW$1843,AW1470,$BW$7:$BW$1843,"&lt;="&amp;BW1470),"")</f>
        <v>10159.5265567766</v>
      </c>
      <c r="AY1470" s="58" t="n">
        <f aca="false">IF(AX1470="",0,MAX(0,MIN(1,(IF(CF1470="L1",Parameter!$H$5,IF(CF1470="L23",Parameter!$H$6+Parameter!$H$7,Parameter!$H$5+Parameter!$H$6+Parameter!$H$7))-(AX1470-AS1470))/AS1470)))</f>
        <v>1</v>
      </c>
      <c r="AZ1470" s="50" t="n">
        <f aca="false">IF(LEFT(Cockpit!$O$5,1)="A",H1470,IF(Parameter!$E$30="MAX-Bestand",IF(CH1470=1,CI1470,IF(LEFT(Cockpit!$O$5,1)="B",BF1470,MAX(BF1470,H1470))),ROUNDUP(BD1470,0)))</f>
        <v>13</v>
      </c>
      <c r="BA1470" s="50" t="n">
        <f aca="false">IF(BZ1470=1,0,ROUNDUP(AZ1470/BY1470,0))</f>
        <v>4</v>
      </c>
      <c r="BB1470" s="52" t="n">
        <f aca="false">IF(CQ1470&gt;0,CQ1470*MAX(1,AZ1470/X1470),IF(BZ1470=1,IF(AZ1470&lt;=0,0,CD1470*MAX(1,IF(H1470&gt;0,AZ1470/H1470,1))),IF(R1470&gt;0,BA1470/R1470,0))/MAX(0.1,N(Parameter!$M$21)))</f>
        <v>0.333333333333333</v>
      </c>
      <c r="BC1470" s="50" t="n">
        <f aca="false">BB1470*CB1470</f>
        <v>48.3333333333333</v>
      </c>
      <c r="BD1470" s="51" t="n">
        <f aca="false">IF(LEFT(Cockpit!$O$5,1)="A",H1470,IF(CH1470=1,(CK1470+CI1470)/2,IF(LEFT(Cockpit!$O$5,1)="B",(CK1470+BF1470)/2,MAX((CK1470+BF1470)/2,H1470))))</f>
        <v>12.5</v>
      </c>
      <c r="BE1470" s="50" t="n">
        <f aca="false">BD1470*G1470</f>
        <v>56820.625</v>
      </c>
      <c r="BF1470" s="50" t="n">
        <f aca="false">ROUNDUP(CK1470+MAX(CL1470,2*(J1470/IF(CG1470&gt;0,CG1470,MAX(0.1,N(Cockpit!$O$6)))-CK1470)),0)</f>
        <v>25</v>
      </c>
      <c r="BG1470" s="51" t="n">
        <f aca="false">IF(BC1470&gt;0,J1470/BC1470,-1)</f>
        <v>1.01379310344828</v>
      </c>
      <c r="BH1470" s="51" t="n">
        <f aca="false">IF(AND(OR(CF1470="L1",CF1470="L23",CF1470="LIFT"),BC1470&gt;0),SUMIFS($BC$7:$BC$1843,$CF$7:$CF$1843,CF1470,$BG$7:$BG$1843,"&gt;"&amp;BG1470)+SUMIFS($BC$7:$BC$1843,$CF$7:$CF$1843,CF1470,$BG$7:$BG$1843,BG1470,$BW$7:$BW$1843,"&lt;="&amp;BW1470),"")</f>
        <v>7578.89331501832</v>
      </c>
      <c r="BI1470" s="58" t="n">
        <f aca="false">IF(BH1470="",0,MAX(0,MIN(1,(IF(CF1470="L1",Parameter!$H$5,IF(CF1470="L23",Parameter!$H$6+Parameter!$H$7,Parameter!$H$5+Parameter!$H$6+Parameter!$H$7))-(BH1470-BC1470))/BC1470)))</f>
        <v>1</v>
      </c>
      <c r="BJ1470" s="48" t="str">
        <f aca="false">IF(AI1470&lt;=0,"",IF(CF1470="Aussen","Aussenlager",IF(CF1470="-","Nicht im Lift",IF(AO1470&gt;=1,"Lift",IF(AO1470&lt;=0,"Aussenlager","teilweise")))))</f>
        <v/>
      </c>
      <c r="BK1470" s="48" t="str">
        <f aca="false">IF(AS1470&lt;=0,"",IF(CF1470="Aussen","Aussenlager",IF(CF1470="-","Nicht im Lift",IF(AY1470&gt;=1,"Lift",IF(AY1470&lt;=0,"Aussenlager","teilweise")))))</f>
        <v>Lift</v>
      </c>
      <c r="BL1470" s="48" t="str">
        <f aca="false">IF(BC1470&lt;=0,"",IF(CF1470="Aussen","Aussenlager",IF(CF1470="-","Nicht im Lift",IF(BI1470&gt;=1,"Lift",IF(BI1470&lt;=0,"Aussenlager","teilweise")))))</f>
        <v>Lift</v>
      </c>
      <c r="BM1470" s="48" t="str">
        <f aca="false">IF(A1470="","",IF(BV1470=1,"Neu; ","")&amp;IF(AND(BV1470=0,BQ1470&lt;0),"negativer Bestand (Export "&amp;BQ1470&amp;"); ","")&amp;IF(J1470&lt;=0,"Kein Verbrauch; ","")&amp;IF(CQ1470&gt;0,"Lift "&amp;W1470&amp;" lt. Liftbericht (Fach "&amp;X1470&amp;" Stk); ",IF(CA1470=1,"Gebinde geschätzt ("&amp;T1470&amp;"); ",IF(BZ1470=1,"Lose – Tablare geschätzt; ","")))&amp;IF(H1470&gt;AV1470,"Überbestand "&amp;ROUND(H1470-AV1470,0)&amp;" Stk / CHF "&amp;ROUND((H1470-AV1470)*G1470,0)&amp;"; ","")&amp;IF(AND(CH1470=1,CI1470&lt;CJ1470),"MAX &lt; MB+LG; ","")&amp;IF(AND(CP1470&gt;0,CO1470*10&gt;CP1470),"zu hoch für Tablar; ","")&amp;IF(AND(BV1470=0,OR(CH1470=1,AA1470&lt;&gt;"",U1470&lt;&gt;"",V1470&lt;&gt;"",AB1470&lt;&gt;"")),"manuell übersteuert; ","")&amp;IF(AND(BZ1470=0,R1470=0),"Gebinde unbekannt / Stellmass fehlt; ","")&amp;IF(AND(BZ1470=0,N(V1470)&lt;=0,N(Q1470)&lt;=0),"Menge pro Gebinde fehlt (Ist = 1 Gebinde); ","")&amp;BU1470)</f>
        <v>negativer Bestand (Export -21); Gebinde geschätzt (Mittel); Menge pro Gebinde fehlt (Ist = 1 Gebinde); </v>
      </c>
      <c r="BN1470" s="48"/>
      <c r="BO1470" s="48"/>
      <c r="BP1470" s="55"/>
      <c r="BQ1470" s="50" t="n">
        <v>-21</v>
      </c>
      <c r="BR1470" s="50" t="n">
        <v>0</v>
      </c>
      <c r="BS1470" s="49" t="n">
        <v>-95302.94</v>
      </c>
      <c r="BT1470" s="50" t="n">
        <v>49</v>
      </c>
      <c r="BU1470" s="48"/>
      <c r="BV1470" s="53" t="n">
        <v>0</v>
      </c>
      <c r="BW1470" s="53" t="n">
        <v>1470</v>
      </c>
      <c r="BX1470" s="48" t="str">
        <f aca="false">IF(U1470&lt;&gt;"",UPPER(TRIM(U1470)),IF(CA1470=1,UPPER(VLOOKUP(T1470,Parameter!$I$27:$K$29,2,0)),IF(P1470="","LOSE",P1470)))</f>
        <v>S61</v>
      </c>
      <c r="BY1470" s="50" t="n">
        <f aca="false">IF(BX1470="LOSE",1,IF(N(V1470)&gt;0,V1470,IF(CA1470=1,MAX(1,N(VLOOKUP(T1470,Parameter!$I$27:$K$29,3,0)),H1470,N(N1470)),IF(N(Q1470)&gt;0,Q1470,MAX(1,H1470)))))</f>
        <v>4</v>
      </c>
      <c r="BZ1470" s="53" t="n">
        <f aca="false">IF(BX1470="LOSE",1,0)</f>
        <v>0</v>
      </c>
      <c r="CA1470" s="53" t="n">
        <f aca="false">IF(AND(U1470="",OR(P1470="",P1470="LOSE"),T1470&lt;&gt;"",N(S1470)&lt;=0,ISNUMBER(MATCH(T1470,Parameter!$I$27:$I$29,0))),1,0)</f>
        <v>1</v>
      </c>
      <c r="CB1470" s="53" t="n">
        <f aca="false">IF(CQ1470&gt;0,INDEX(Parameter!$H$5:$H$7,W1470)/INDEX(Parameter!$E$5:$E$7,W1470),IF(AND(BZ1470=0,N(IFERROR(VLOOKUP(BX1470,'Gebinde-Kategorie'!$A$5:$N$45,14,0),0))&gt;0),VLOOKUP(BX1470,'Gebinde-Kategorie'!$A$5:$N$45,14,0)*10+Parameter!$M$23,Parameter!$M$24))</f>
        <v>145</v>
      </c>
      <c r="CC1470" s="48" t="n">
        <f aca="false">IF(AND(Parameter!$B$19="Ja",E1470&lt;&gt;"",ISNUMBER(MATCH(E1470,Parameter!$I$35:$I$52,0))),VLOOKUP(E1470,Parameter!$I$35:$J$52,2,0),IFERROR(VLOOKUP(D1470,Parameter!$A$35:$C$64,2,0),"Nein"))</f>
        <v>1</v>
      </c>
      <c r="CD1470" s="52" t="n">
        <f aca="false">IF(BZ1470=0,0,IF(N(S1470)&gt;0,S1470,IFERROR(VLOOKUP(D1470,Parameter!$A$35:$C$64,3,0)+0,0)))</f>
        <v>0</v>
      </c>
      <c r="CE1470" s="48" t="n">
        <f aca="false">IF(AA1470&lt;&gt;"",AA1470,Z1470)</f>
        <v>1</v>
      </c>
      <c r="CF1470" s="48" t="str">
        <f aca="false">IF(OR(CE1470=1,CE1470=2,CE1470=3),IF(Parameter!$E$27="Ja","LIFT",IF(CE1470=1,"L1","L23")),IF(CE1470="Aussen","Aussen","-"))</f>
        <v>LIFT</v>
      </c>
      <c r="CG1470" s="59" t="n">
        <f aca="false">IF(N(AB1470)&gt;0,AB1470,0)</f>
        <v>0</v>
      </c>
      <c r="CH1470" s="53" t="n">
        <f aca="false">IF(ISNUMBER(AE1470),1,0)</f>
        <v>0</v>
      </c>
      <c r="CI1470" s="50" t="n">
        <f aca="false">N(AE1470)</f>
        <v>0</v>
      </c>
      <c r="CJ1470" s="50" t="n">
        <f aca="false">N(M1470)+N(N1470)</f>
        <v>3</v>
      </c>
      <c r="CK1470" s="50" t="n">
        <f aca="false">N(M1470)</f>
        <v>0</v>
      </c>
      <c r="CL1470" s="50" t="n">
        <f aca="false">N(N1470)</f>
        <v>3</v>
      </c>
      <c r="CM1470" s="50" t="n">
        <f aca="false">ROUNDUP(H1470/BY1470,0)</f>
        <v>0</v>
      </c>
      <c r="CN1470" s="50" t="n">
        <f aca="false">ROUNDUP(CI1470/BY1470,0)</f>
        <v>0</v>
      </c>
      <c r="CO1470" s="53" t="n">
        <f aca="false">IF(BZ1470=1,0,IFERROR(VLOOKUP(BX1470,'Gebinde-Kategorie'!$A$5:$N$45,5,0)+0,0))</f>
        <v>11</v>
      </c>
      <c r="CP1470" s="53" t="n">
        <f aca="false">IFERROR(IF(OR(CE1470=1,CE1470=2,CE1470=3),N(INDEX(Parameter!$I$5:$I$7,CE1470)),0),0)</f>
        <v>0</v>
      </c>
      <c r="CQ1470" s="52" t="n">
        <f aca="false">IF(AND(Parameter!$B$21="Ja",ISNUMBER(W1470),N(X1470)&gt;0),IFERROR(N(INDEX(Parameter!$L$5:$L$7,W1470))*INDEX(Parameter!$E$5:$E$7,W1470)*X1470/SUMIFS($X$7:$X$1843,$W$7:$W$1843,W1470),0),0)</f>
        <v>0</v>
      </c>
    </row>
    <row r="1471" customFormat="false" ht="15" hidden="false" customHeight="false" outlineLevel="0" collapsed="false">
      <c r="A1471" s="48" t="s">
        <v>2576</v>
      </c>
      <c r="B1471" s="48" t="s">
        <v>2577</v>
      </c>
      <c r="C1471" s="48" t="s">
        <v>173</v>
      </c>
      <c r="D1471" s="48" t="s">
        <v>193</v>
      </c>
      <c r="E1471" s="48" t="s">
        <v>194</v>
      </c>
      <c r="F1471" s="48"/>
      <c r="G1471" s="49" t="n">
        <v>6.47</v>
      </c>
      <c r="H1471" s="50" t="n">
        <f aca="false">MAX(0,IF(AND(Parameter!$B$21="Ja",ISNUMBER(Y1471)),Y1471,IF(Parameter!$B$20="Jahresanfang 2025 + Export",BR1471+BQ1471,BQ1471)))</f>
        <v>34</v>
      </c>
      <c r="I1471" s="50" t="n">
        <f aca="false">H1471*G1471</f>
        <v>219.98</v>
      </c>
      <c r="J1471" s="50" t="n">
        <f aca="false">BT1471*Parameter!$B$18</f>
        <v>0</v>
      </c>
      <c r="K1471" s="51"/>
      <c r="L1471" s="52"/>
      <c r="M1471" s="50" t="n">
        <v>0</v>
      </c>
      <c r="N1471" s="50" t="n">
        <v>50</v>
      </c>
      <c r="O1471" s="53" t="n">
        <v>21</v>
      </c>
      <c r="P1471" s="48" t="s">
        <v>311</v>
      </c>
      <c r="Q1471" s="50" t="n">
        <v>34</v>
      </c>
      <c r="R1471" s="53" t="n">
        <f aca="false">IF(BZ1471=1,0,IFERROR(VLOOKUP(BX1471,'Gebinde-Kategorie'!$A$5:$N$45,13,0)+0,0))</f>
        <v>26</v>
      </c>
      <c r="S1471" s="54"/>
      <c r="T1471" s="55"/>
      <c r="U1471" s="55"/>
      <c r="V1471" s="55"/>
      <c r="W1471" s="48"/>
      <c r="X1471" s="50"/>
      <c r="Y1471" s="50"/>
      <c r="Z1471" s="48" t="n">
        <f aca="false">IF(A1471="","",IF(AND(Parameter!$B$21="Ja",ISNUMBER(W1471)),W1471,IF(CC1471="2+3",IF(ISNUMBER(SEARCH("grosser Artikel",BU1471)),2,IFERROR(VLOOKUP(BX1471,Parameter!$F$35:$G$64,2,0),2)),IF(OR(CC1471="Nein",CC1471=""),"-",CC1471))))</f>
        <v>3</v>
      </c>
      <c r="AA1471" s="55"/>
      <c r="AB1471" s="56"/>
      <c r="AC1471" s="50" t="n">
        <f aca="false">AV1471</f>
        <v>50</v>
      </c>
      <c r="AD1471" s="50" t="n">
        <f aca="false">MAX(AV1471,H1471)</f>
        <v>50</v>
      </c>
      <c r="AE1471" s="57"/>
      <c r="AF1471" s="50" t="n">
        <f aca="false">IF(LEFT(Cockpit!$C$5,1)="A",H1471,IF(Parameter!$E$30="MAX-Bestand",IF(CH1471=1,CI1471,IF(LEFT(Cockpit!$C$5,1)="B",AL1471,MAX(AL1471,H1471))),ROUNDUP(AJ1471,0)))</f>
        <v>34</v>
      </c>
      <c r="AG1471" s="50" t="n">
        <f aca="false">IF(BZ1471=1,0,ROUNDUP(AF1471/BY1471,0))</f>
        <v>1</v>
      </c>
      <c r="AH1471" s="52" t="n">
        <f aca="false">IF(CQ1471&gt;0,CQ1471*MAX(1,AF1471/X1471),IF(BZ1471=1,IF(AF1471&lt;=0,0,CD1471*MAX(1,IF(H1471&gt;0,AF1471/H1471,1))),IF(R1471&gt;0,AG1471/R1471,0))/MAX(0.1,N(Parameter!$M$21)))</f>
        <v>0.0384615384615385</v>
      </c>
      <c r="AI1471" s="50" t="n">
        <f aca="false">AH1471*CB1471</f>
        <v>5.96153846153846</v>
      </c>
      <c r="AJ1471" s="51" t="n">
        <f aca="false">IF(LEFT(Cockpit!$C$5,1)="A",H1471,IF(CH1471=1,(CK1471+CI1471)/2,IF(LEFT(Cockpit!$C$5,1)="B",(CK1471+AL1471)/2,MAX((CK1471+AL1471)/2,H1471))))</f>
        <v>34</v>
      </c>
      <c r="AK1471" s="50" t="n">
        <f aca="false">AJ1471*G1471</f>
        <v>219.98</v>
      </c>
      <c r="AL1471" s="50" t="n">
        <f aca="false">ROUNDUP(CK1471+MAX(CL1471,2*(J1471/IF(CG1471&gt;0,CG1471,MAX(0.1,N(Cockpit!$C$6)))-CK1471)),0)</f>
        <v>50</v>
      </c>
      <c r="AM1471" s="51" t="n">
        <f aca="false">IF(AI1471&gt;0,J1471/AI1471,-1)</f>
        <v>0</v>
      </c>
      <c r="AN1471" s="51" t="n">
        <f aca="false">IF(AND(OR(CF1471="L1",CF1471="L23",CF1471="LIFT"),AI1471&gt;0),SUMIFS($AI$7:$AI$1843,$CF$7:$CF$1843,CF1471,$AM$7:$AM$1843,"&gt;"&amp;AM1471)+SUMIFS($AI$7:$AI$1843,$CF$7:$CF$1843,CF1471,$AM$7:$AM$1843,AM1471,$BW$7:$BW$1843,"&lt;="&amp;BW1471),"")</f>
        <v>29702.1285181391</v>
      </c>
      <c r="AO1471" s="58" t="n">
        <f aca="false">IF(AN1471="",0,MAX(0,MIN(1,(IF(CF1471="L1",Parameter!$H$5,IF(CF1471="L23",Parameter!$H$6+Parameter!$H$7,Parameter!$H$5+Parameter!$H$6+Parameter!$H$7))-(AN1471-AI1471))/AI1471)))</f>
        <v>1</v>
      </c>
      <c r="AP1471" s="50" t="n">
        <f aca="false">IF(LEFT(Cockpit!$I$5,1)="A",H1471,IF(Parameter!$E$30="MAX-Bestand",IF(CH1471=1,CI1471,IF(LEFT(Cockpit!$I$5,1)="B",AV1471,MAX(AV1471,H1471))),ROUNDUP(AT1471,0)))</f>
        <v>34</v>
      </c>
      <c r="AQ1471" s="50" t="n">
        <f aca="false">IF(BZ1471=1,0,ROUNDUP(AP1471/BY1471,0))</f>
        <v>1</v>
      </c>
      <c r="AR1471" s="52" t="n">
        <f aca="false">IF(CQ1471&gt;0,CQ1471*MAX(1,AP1471/X1471),IF(BZ1471=1,IF(AP1471&lt;=0,0,CD1471*MAX(1,IF(H1471&gt;0,AP1471/H1471,1))),IF(R1471&gt;0,AQ1471/R1471,0))/MAX(0.1,N(Parameter!$M$21)))</f>
        <v>0.0384615384615385</v>
      </c>
      <c r="AS1471" s="50" t="n">
        <f aca="false">AR1471*CB1471</f>
        <v>5.96153846153846</v>
      </c>
      <c r="AT1471" s="51" t="n">
        <f aca="false">IF(LEFT(Cockpit!$I$5,1)="A",H1471,IF(CH1471=1,(CK1471+CI1471)/2,IF(LEFT(Cockpit!$I$5,1)="B",(CK1471+AV1471)/2,MAX((CK1471+AV1471)/2,H1471))))</f>
        <v>34</v>
      </c>
      <c r="AU1471" s="50" t="n">
        <f aca="false">AT1471*G1471</f>
        <v>219.98</v>
      </c>
      <c r="AV1471" s="50" t="n">
        <f aca="false">ROUNDUP(CK1471+MAX(CL1471,2*(J1471/IF(CG1471&gt;0,CG1471,MAX(0.1,N(Cockpit!$I$6)))-CK1471)),0)</f>
        <v>50</v>
      </c>
      <c r="AW1471" s="51" t="n">
        <f aca="false">IF(AS1471&gt;0,J1471/AS1471,-1)</f>
        <v>0</v>
      </c>
      <c r="AX1471" s="51" t="n">
        <f aca="false">IF(AND(OR(CF1471="L1",CF1471="L23",CF1471="LIFT"),AS1471&gt;0),SUMIFS($AS$7:$AS$1843,$CF$7:$CF$1843,CF1471,$AW$7:$AW$1843,"&gt;"&amp;AW1471)+SUMIFS($AS$7:$AS$1843,$CF$7:$CF$1843,CF1471,$AW$7:$AW$1843,AW1471,$BW$7:$BW$1843,"&lt;="&amp;BW1471),"")</f>
        <v>36005.718551458</v>
      </c>
      <c r="AY1471" s="58" t="n">
        <f aca="false">IF(AX1471="",0,MAX(0,MIN(1,(IF(CF1471="L1",Parameter!$H$5,IF(CF1471="L23",Parameter!$H$6+Parameter!$H$7,Parameter!$H$5+Parameter!$H$6+Parameter!$H$7))-(AX1471-AS1471))/AS1471)))</f>
        <v>0</v>
      </c>
      <c r="AZ1471" s="50" t="n">
        <f aca="false">IF(LEFT(Cockpit!$O$5,1)="A",H1471,IF(Parameter!$E$30="MAX-Bestand",IF(CH1471=1,CI1471,IF(LEFT(Cockpit!$O$5,1)="B",BF1471,MAX(BF1471,H1471))),ROUNDUP(BD1471,0)))</f>
        <v>25</v>
      </c>
      <c r="BA1471" s="50" t="n">
        <f aca="false">IF(BZ1471=1,0,ROUNDUP(AZ1471/BY1471,0))</f>
        <v>1</v>
      </c>
      <c r="BB1471" s="52" t="n">
        <f aca="false">IF(CQ1471&gt;0,CQ1471*MAX(1,AZ1471/X1471),IF(BZ1471=1,IF(AZ1471&lt;=0,0,CD1471*MAX(1,IF(H1471&gt;0,AZ1471/H1471,1))),IF(R1471&gt;0,BA1471/R1471,0))/MAX(0.1,N(Parameter!$M$21)))</f>
        <v>0.0384615384615385</v>
      </c>
      <c r="BC1471" s="50" t="n">
        <f aca="false">BB1471*CB1471</f>
        <v>5.96153846153846</v>
      </c>
      <c r="BD1471" s="51" t="n">
        <f aca="false">IF(LEFT(Cockpit!$O$5,1)="A",H1471,IF(CH1471=1,(CK1471+CI1471)/2,IF(LEFT(Cockpit!$O$5,1)="B",(CK1471+BF1471)/2,MAX((CK1471+BF1471)/2,H1471))))</f>
        <v>25</v>
      </c>
      <c r="BE1471" s="50" t="n">
        <f aca="false">BD1471*G1471</f>
        <v>161.75</v>
      </c>
      <c r="BF1471" s="50" t="n">
        <f aca="false">ROUNDUP(CK1471+MAX(CL1471,2*(J1471/IF(CG1471&gt;0,CG1471,MAX(0.1,N(Cockpit!$O$6)))-CK1471)),0)</f>
        <v>50</v>
      </c>
      <c r="BG1471" s="51" t="n">
        <f aca="false">IF(BC1471&gt;0,J1471/BC1471,-1)</f>
        <v>0</v>
      </c>
      <c r="BH1471" s="51" t="n">
        <f aca="false">IF(AND(OR(CF1471="L1",CF1471="L23",CF1471="LIFT"),BC1471&gt;0),SUMIFS($BC$7:$BC$1843,$CF$7:$CF$1843,CF1471,$BG$7:$BG$1843,"&gt;"&amp;BG1471)+SUMIFS($BC$7:$BC$1843,$CF$7:$CF$1843,CF1471,$BG$7:$BG$1843,BG1471,$BW$7:$BW$1843,"&lt;="&amp;BW1471),"")</f>
        <v>29991.0252116057</v>
      </c>
      <c r="BI1471" s="58" t="n">
        <f aca="false">IF(BH1471="",0,MAX(0,MIN(1,(IF(CF1471="L1",Parameter!$H$5,IF(CF1471="L23",Parameter!$H$6+Parameter!$H$7,Parameter!$H$5+Parameter!$H$6+Parameter!$H$7))-(BH1471-BC1471))/BC1471)))</f>
        <v>1</v>
      </c>
      <c r="BJ1471" s="48" t="str">
        <f aca="false">IF(AI1471&lt;=0,"",IF(CF1471="Aussen","Aussenlager",IF(CF1471="-","Nicht im Lift",IF(AO1471&gt;=1,"Lift",IF(AO1471&lt;=0,"Aussenlager","teilweise")))))</f>
        <v>Lift</v>
      </c>
      <c r="BK1471" s="48" t="str">
        <f aca="false">IF(AS1471&lt;=0,"",IF(CF1471="Aussen","Aussenlager",IF(CF1471="-","Nicht im Lift",IF(AY1471&gt;=1,"Lift",IF(AY1471&lt;=0,"Aussenlager","teilweise")))))</f>
        <v>Aussenlager</v>
      </c>
      <c r="BL1471" s="48" t="str">
        <f aca="false">IF(BC1471&lt;=0,"",IF(CF1471="Aussen","Aussenlager",IF(CF1471="-","Nicht im Lift",IF(BI1471&gt;=1,"Lift",IF(BI1471&lt;=0,"Aussenlager","teilweise")))))</f>
        <v>Lift</v>
      </c>
      <c r="BM1471" s="48" t="str">
        <f aca="false">IF(A1471="","",IF(BV1471=1,"Neu; ","")&amp;IF(AND(BV1471=0,BQ1471&lt;0),"negativer Bestand (Export "&amp;BQ1471&amp;"); ","")&amp;IF(J1471&lt;=0,"Kein Verbrauch; ","")&amp;IF(CQ1471&gt;0,"Lift "&amp;W1471&amp;" lt. Liftbericht (Fach "&amp;X1471&amp;" Stk); ",IF(CA1471=1,"Gebinde geschätzt ("&amp;T1471&amp;"); ",IF(BZ1471=1,"Lose – Tablare geschätzt; ","")))&amp;IF(H1471&gt;AV1471,"Überbestand "&amp;ROUND(H1471-AV1471,0)&amp;" Stk / CHF "&amp;ROUND((H1471-AV1471)*G1471,0)&amp;"; ","")&amp;IF(AND(CH1471=1,CI1471&lt;CJ1471),"MAX &lt; MB+LG; ","")&amp;IF(AND(CP1471&gt;0,CO1471*10&gt;CP1471),"zu hoch für Tablar; ","")&amp;IF(AND(BV1471=0,OR(CH1471=1,AA1471&lt;&gt;"",U1471&lt;&gt;"",V1471&lt;&gt;"",AB1471&lt;&gt;"")),"manuell übersteuert; ","")&amp;IF(AND(BZ1471=0,R1471=0),"Gebinde unbekannt / Stellmass fehlt; ","")&amp;IF(AND(BZ1471=0,N(V1471)&lt;=0,N(Q1471)&lt;=0),"Menge pro Gebinde fehlt (Ist = 1 Gebinde); ","")&amp;BU1471)</f>
        <v>Kein Verbrauch; nur im Artikelstamm (Bestand 23.06.2026); Verb.Lager</v>
      </c>
      <c r="BN1471" s="48"/>
      <c r="BO1471" s="48"/>
      <c r="BP1471" s="55"/>
      <c r="BQ1471" s="50" t="n">
        <v>34</v>
      </c>
      <c r="BR1471" s="50" t="n">
        <v>0</v>
      </c>
      <c r="BS1471" s="49" t="n">
        <v>0</v>
      </c>
      <c r="BT1471" s="50" t="n">
        <v>0</v>
      </c>
      <c r="BU1471" s="48" t="s">
        <v>2578</v>
      </c>
      <c r="BV1471" s="53" t="n">
        <v>0</v>
      </c>
      <c r="BW1471" s="53" t="n">
        <v>1471</v>
      </c>
      <c r="BX1471" s="48" t="str">
        <f aca="false">IF(U1471&lt;&gt;"",UPPER(TRIM(U1471)),IF(CA1471=1,UPPER(VLOOKUP(T1471,Parameter!$I$27:$K$29,2,0)),IF(P1471="","LOSE",P1471)))</f>
        <v>S51</v>
      </c>
      <c r="BY1471" s="50" t="n">
        <f aca="false">IF(BX1471="LOSE",1,IF(N(V1471)&gt;0,V1471,IF(CA1471=1,MAX(1,N(VLOOKUP(T1471,Parameter!$I$27:$K$29,3,0)),H1471,N(N1471)),IF(N(Q1471)&gt;0,Q1471,MAX(1,H1471)))))</f>
        <v>34</v>
      </c>
      <c r="BZ1471" s="53" t="n">
        <f aca="false">IF(BX1471="LOSE",1,0)</f>
        <v>0</v>
      </c>
      <c r="CA1471" s="53" t="n">
        <f aca="false">IF(AND(U1471="",OR(P1471="",P1471="LOSE"),T1471&lt;&gt;"",N(S1471)&lt;=0,ISNUMBER(MATCH(T1471,Parameter!$I$27:$I$29,0))),1,0)</f>
        <v>0</v>
      </c>
      <c r="CB1471" s="53" t="n">
        <f aca="false">IF(CQ1471&gt;0,INDEX(Parameter!$H$5:$H$7,W1471)/INDEX(Parameter!$E$5:$E$7,W1471),IF(AND(BZ1471=0,N(IFERROR(VLOOKUP(BX1471,'Gebinde-Kategorie'!$A$5:$N$45,14,0),0))&gt;0),VLOOKUP(BX1471,'Gebinde-Kategorie'!$A$5:$N$45,14,0)*10+Parameter!$M$23,Parameter!$M$24))</f>
        <v>155</v>
      </c>
      <c r="CC1471" s="48" t="str">
        <f aca="false">IF(AND(Parameter!$B$19="Ja",E1471&lt;&gt;"",ISNUMBER(MATCH(E1471,Parameter!$I$35:$I$52,0))),VLOOKUP(E1471,Parameter!$I$35:$J$52,2,0),IFERROR(VLOOKUP(D1471,Parameter!$A$35:$C$64,2,0),"Nein"))</f>
        <v>2+3</v>
      </c>
      <c r="CD1471" s="52" t="n">
        <f aca="false">IF(BZ1471=0,0,IF(N(S1471)&gt;0,S1471,IFERROR(VLOOKUP(D1471,Parameter!$A$35:$C$64,3,0)+0,0)))</f>
        <v>0</v>
      </c>
      <c r="CE1471" s="48" t="n">
        <f aca="false">IF(AA1471&lt;&gt;"",AA1471,Z1471)</f>
        <v>3</v>
      </c>
      <c r="CF1471" s="48" t="str">
        <f aca="false">IF(OR(CE1471=1,CE1471=2,CE1471=3),IF(Parameter!$E$27="Ja","LIFT",IF(CE1471=1,"L1","L23")),IF(CE1471="Aussen","Aussen","-"))</f>
        <v>LIFT</v>
      </c>
      <c r="CG1471" s="59" t="n">
        <f aca="false">IF(N(AB1471)&gt;0,AB1471,0)</f>
        <v>0</v>
      </c>
      <c r="CH1471" s="53" t="n">
        <f aca="false">IF(ISNUMBER(AE1471),1,0)</f>
        <v>0</v>
      </c>
      <c r="CI1471" s="50" t="n">
        <f aca="false">N(AE1471)</f>
        <v>0</v>
      </c>
      <c r="CJ1471" s="50" t="n">
        <f aca="false">N(M1471)+N(N1471)</f>
        <v>50</v>
      </c>
      <c r="CK1471" s="50" t="n">
        <f aca="false">N(M1471)</f>
        <v>0</v>
      </c>
      <c r="CL1471" s="50" t="n">
        <f aca="false">N(N1471)</f>
        <v>50</v>
      </c>
      <c r="CM1471" s="50" t="n">
        <f aca="false">ROUNDUP(H1471/BY1471,0)</f>
        <v>1</v>
      </c>
      <c r="CN1471" s="50" t="n">
        <f aca="false">ROUNDUP(CI1471/BY1471,0)</f>
        <v>0</v>
      </c>
      <c r="CO1471" s="53" t="n">
        <f aca="false">IF(BZ1471=1,0,IFERROR(VLOOKUP(BX1471,'Gebinde-Kategorie'!$A$5:$N$45,5,0)+0,0))</f>
        <v>11</v>
      </c>
      <c r="CP1471" s="53" t="n">
        <f aca="false">IFERROR(IF(OR(CE1471=1,CE1471=2,CE1471=3),N(INDEX(Parameter!$I$5:$I$7,CE1471)),0),0)</f>
        <v>0</v>
      </c>
      <c r="CQ1471" s="52" t="n">
        <f aca="false">IF(AND(Parameter!$B$21="Ja",ISNUMBER(W1471),N(X1471)&gt;0),IFERROR(N(INDEX(Parameter!$L$5:$L$7,W1471))*INDEX(Parameter!$E$5:$E$7,W1471)*X1471/SUMIFS($X$7:$X$1843,$W$7:$W$1843,W1471),0),0)</f>
        <v>0</v>
      </c>
    </row>
    <row r="1472" customFormat="false" ht="15" hidden="false" customHeight="false" outlineLevel="0" collapsed="false">
      <c r="A1472" s="48" t="s">
        <v>2579</v>
      </c>
      <c r="B1472" s="48" t="s">
        <v>2580</v>
      </c>
      <c r="C1472" s="48" t="s">
        <v>173</v>
      </c>
      <c r="D1472" s="48" t="s">
        <v>193</v>
      </c>
      <c r="E1472" s="48" t="s">
        <v>194</v>
      </c>
      <c r="F1472" s="48"/>
      <c r="G1472" s="49" t="n">
        <v>150.1</v>
      </c>
      <c r="H1472" s="50" t="n">
        <f aca="false">MAX(0,IF(AND(Parameter!$B$21="Ja",ISNUMBER(Y1472)),Y1472,IF(Parameter!$B$20="Jahresanfang 2025 + Export",BR1472+BQ1472,BQ1472)))</f>
        <v>13</v>
      </c>
      <c r="I1472" s="50" t="n">
        <f aca="false">H1472*G1472</f>
        <v>1951.3</v>
      </c>
      <c r="J1472" s="50" t="n">
        <f aca="false">BT1472*Parameter!$B$18</f>
        <v>0</v>
      </c>
      <c r="K1472" s="51"/>
      <c r="L1472" s="52"/>
      <c r="M1472" s="50" t="n">
        <v>0</v>
      </c>
      <c r="N1472" s="50" t="n">
        <v>1</v>
      </c>
      <c r="O1472" s="53" t="n">
        <v>21</v>
      </c>
      <c r="P1472" s="48" t="s">
        <v>337</v>
      </c>
      <c r="Q1472" s="50" t="n">
        <v>13</v>
      </c>
      <c r="R1472" s="53" t="n">
        <f aca="false">IF(BZ1472=1,0,IFERROR(VLOOKUP(BX1472,'Gebinde-Kategorie'!$A$5:$N$45,13,0)+0,0))</f>
        <v>52</v>
      </c>
      <c r="S1472" s="54"/>
      <c r="T1472" s="55"/>
      <c r="U1472" s="55"/>
      <c r="V1472" s="55"/>
      <c r="W1472" s="48"/>
      <c r="X1472" s="50"/>
      <c r="Y1472" s="50"/>
      <c r="Z1472" s="48" t="n">
        <f aca="false">IF(A1472="","",IF(AND(Parameter!$B$21="Ja",ISNUMBER(W1472)),W1472,IF(CC1472="2+3",IF(ISNUMBER(SEARCH("grosser Artikel",BU1472)),2,IFERROR(VLOOKUP(BX1472,Parameter!$F$35:$G$64,2,0),2)),IF(OR(CC1472="Nein",CC1472=""),"-",CC1472))))</f>
        <v>3</v>
      </c>
      <c r="AA1472" s="55"/>
      <c r="AB1472" s="56"/>
      <c r="AC1472" s="50" t="n">
        <f aca="false">AV1472</f>
        <v>1</v>
      </c>
      <c r="AD1472" s="50" t="n">
        <f aca="false">MAX(AV1472,H1472)</f>
        <v>13</v>
      </c>
      <c r="AE1472" s="57"/>
      <c r="AF1472" s="50" t="n">
        <f aca="false">IF(LEFT(Cockpit!$C$5,1)="A",H1472,IF(Parameter!$E$30="MAX-Bestand",IF(CH1472=1,CI1472,IF(LEFT(Cockpit!$C$5,1)="B",AL1472,MAX(AL1472,H1472))),ROUNDUP(AJ1472,0)))</f>
        <v>13</v>
      </c>
      <c r="AG1472" s="50" t="n">
        <f aca="false">IF(BZ1472=1,0,ROUNDUP(AF1472/BY1472,0))</f>
        <v>1</v>
      </c>
      <c r="AH1472" s="52" t="n">
        <f aca="false">IF(CQ1472&gt;0,CQ1472*MAX(1,AF1472/X1472),IF(BZ1472=1,IF(AF1472&lt;=0,0,CD1472*MAX(1,IF(H1472&gt;0,AF1472/H1472,1))),IF(R1472&gt;0,AG1472/R1472,0))/MAX(0.1,N(Parameter!$M$21)))</f>
        <v>0.0192307692307692</v>
      </c>
      <c r="AI1472" s="50" t="n">
        <f aca="false">AH1472*CB1472</f>
        <v>2.98076923076923</v>
      </c>
      <c r="AJ1472" s="51" t="n">
        <f aca="false">IF(LEFT(Cockpit!$C$5,1)="A",H1472,IF(CH1472=1,(CK1472+CI1472)/2,IF(LEFT(Cockpit!$C$5,1)="B",(CK1472+AL1472)/2,MAX((CK1472+AL1472)/2,H1472))))</f>
        <v>13</v>
      </c>
      <c r="AK1472" s="50" t="n">
        <f aca="false">AJ1472*G1472</f>
        <v>1951.3</v>
      </c>
      <c r="AL1472" s="50" t="n">
        <f aca="false">ROUNDUP(CK1472+MAX(CL1472,2*(J1472/IF(CG1472&gt;0,CG1472,MAX(0.1,N(Cockpit!$C$6)))-CK1472)),0)</f>
        <v>1</v>
      </c>
      <c r="AM1472" s="51" t="n">
        <f aca="false">IF(AI1472&gt;0,J1472/AI1472,-1)</f>
        <v>0</v>
      </c>
      <c r="AN1472" s="51" t="n">
        <f aca="false">IF(AND(OR(CF1472="L1",CF1472="L23",CF1472="LIFT"),AI1472&gt;0),SUMIFS($AI$7:$AI$1843,$CF$7:$CF$1843,CF1472,$AM$7:$AM$1843,"&gt;"&amp;AM1472)+SUMIFS($AI$7:$AI$1843,$CF$7:$CF$1843,CF1472,$AM$7:$AM$1843,AM1472,$BW$7:$BW$1843,"&lt;="&amp;BW1472),"")</f>
        <v>29705.1092873699</v>
      </c>
      <c r="AO1472" s="58" t="n">
        <f aca="false">IF(AN1472="",0,MAX(0,MIN(1,(IF(CF1472="L1",Parameter!$H$5,IF(CF1472="L23",Parameter!$H$6+Parameter!$H$7,Parameter!$H$5+Parameter!$H$6+Parameter!$H$7))-(AN1472-AI1472))/AI1472)))</f>
        <v>1</v>
      </c>
      <c r="AP1472" s="50" t="n">
        <f aca="false">IF(LEFT(Cockpit!$I$5,1)="A",H1472,IF(Parameter!$E$30="MAX-Bestand",IF(CH1472=1,CI1472,IF(LEFT(Cockpit!$I$5,1)="B",AV1472,MAX(AV1472,H1472))),ROUNDUP(AT1472,0)))</f>
        <v>13</v>
      </c>
      <c r="AQ1472" s="50" t="n">
        <f aca="false">IF(BZ1472=1,0,ROUNDUP(AP1472/BY1472,0))</f>
        <v>1</v>
      </c>
      <c r="AR1472" s="52" t="n">
        <f aca="false">IF(CQ1472&gt;0,CQ1472*MAX(1,AP1472/X1472),IF(BZ1472=1,IF(AP1472&lt;=0,0,CD1472*MAX(1,IF(H1472&gt;0,AP1472/H1472,1))),IF(R1472&gt;0,AQ1472/R1472,0))/MAX(0.1,N(Parameter!$M$21)))</f>
        <v>0.0192307692307692</v>
      </c>
      <c r="AS1472" s="50" t="n">
        <f aca="false">AR1472*CB1472</f>
        <v>2.98076923076923</v>
      </c>
      <c r="AT1472" s="51" t="n">
        <f aca="false">IF(LEFT(Cockpit!$I$5,1)="A",H1472,IF(CH1472=1,(CK1472+CI1472)/2,IF(LEFT(Cockpit!$I$5,1)="B",(CK1472+AV1472)/2,MAX((CK1472+AV1472)/2,H1472))))</f>
        <v>13</v>
      </c>
      <c r="AU1472" s="50" t="n">
        <f aca="false">AT1472*G1472</f>
        <v>1951.3</v>
      </c>
      <c r="AV1472" s="50" t="n">
        <f aca="false">ROUNDUP(CK1472+MAX(CL1472,2*(J1472/IF(CG1472&gt;0,CG1472,MAX(0.1,N(Cockpit!$I$6)))-CK1472)),0)</f>
        <v>1</v>
      </c>
      <c r="AW1472" s="51" t="n">
        <f aca="false">IF(AS1472&gt;0,J1472/AS1472,-1)</f>
        <v>0</v>
      </c>
      <c r="AX1472" s="51" t="n">
        <f aca="false">IF(AND(OR(CF1472="L1",CF1472="L23",CF1472="LIFT"),AS1472&gt;0),SUMIFS($AS$7:$AS$1843,$CF$7:$CF$1843,CF1472,$AW$7:$AW$1843,"&gt;"&amp;AW1472)+SUMIFS($AS$7:$AS$1843,$CF$7:$CF$1843,CF1472,$AW$7:$AW$1843,AW1472,$BW$7:$BW$1843,"&lt;="&amp;BW1472),"")</f>
        <v>36008.6993206887</v>
      </c>
      <c r="AY1472" s="58" t="n">
        <f aca="false">IF(AX1472="",0,MAX(0,MIN(1,(IF(CF1472="L1",Parameter!$H$5,IF(CF1472="L23",Parameter!$H$6+Parameter!$H$7,Parameter!$H$5+Parameter!$H$6+Parameter!$H$7))-(AX1472-AS1472))/AS1472)))</f>
        <v>0</v>
      </c>
      <c r="AZ1472" s="50" t="n">
        <f aca="false">IF(LEFT(Cockpit!$O$5,1)="A",H1472,IF(Parameter!$E$30="MAX-Bestand",IF(CH1472=1,CI1472,IF(LEFT(Cockpit!$O$5,1)="B",BF1472,MAX(BF1472,H1472))),ROUNDUP(BD1472,0)))</f>
        <v>1</v>
      </c>
      <c r="BA1472" s="50" t="n">
        <f aca="false">IF(BZ1472=1,0,ROUNDUP(AZ1472/BY1472,0))</f>
        <v>1</v>
      </c>
      <c r="BB1472" s="52" t="n">
        <f aca="false">IF(CQ1472&gt;0,CQ1472*MAX(1,AZ1472/X1472),IF(BZ1472=1,IF(AZ1472&lt;=0,0,CD1472*MAX(1,IF(H1472&gt;0,AZ1472/H1472,1))),IF(R1472&gt;0,BA1472/R1472,0))/MAX(0.1,N(Parameter!$M$21)))</f>
        <v>0.0192307692307692</v>
      </c>
      <c r="BC1472" s="50" t="n">
        <f aca="false">BB1472*CB1472</f>
        <v>2.98076923076923</v>
      </c>
      <c r="BD1472" s="51" t="n">
        <f aca="false">IF(LEFT(Cockpit!$O$5,1)="A",H1472,IF(CH1472=1,(CK1472+CI1472)/2,IF(LEFT(Cockpit!$O$5,1)="B",(CK1472+BF1472)/2,MAX((CK1472+BF1472)/2,H1472))))</f>
        <v>0.5</v>
      </c>
      <c r="BE1472" s="50" t="n">
        <f aca="false">BD1472*G1472</f>
        <v>75.05</v>
      </c>
      <c r="BF1472" s="50" t="n">
        <f aca="false">ROUNDUP(CK1472+MAX(CL1472,2*(J1472/IF(CG1472&gt;0,CG1472,MAX(0.1,N(Cockpit!$O$6)))-CK1472)),0)</f>
        <v>1</v>
      </c>
      <c r="BG1472" s="51" t="n">
        <f aca="false">IF(BC1472&gt;0,J1472/BC1472,-1)</f>
        <v>0</v>
      </c>
      <c r="BH1472" s="51" t="n">
        <f aca="false">IF(AND(OR(CF1472="L1",CF1472="L23",CF1472="LIFT"),BC1472&gt;0),SUMIFS($BC$7:$BC$1843,$CF$7:$CF$1843,CF1472,$BG$7:$BG$1843,"&gt;"&amp;BG1472)+SUMIFS($BC$7:$BC$1843,$CF$7:$CF$1843,CF1472,$BG$7:$BG$1843,BG1472,$BW$7:$BW$1843,"&lt;="&amp;BW1472),"")</f>
        <v>29994.0059808365</v>
      </c>
      <c r="BI1472" s="58" t="n">
        <f aca="false">IF(BH1472="",0,MAX(0,MIN(1,(IF(CF1472="L1",Parameter!$H$5,IF(CF1472="L23",Parameter!$H$6+Parameter!$H$7,Parameter!$H$5+Parameter!$H$6+Parameter!$H$7))-(BH1472-BC1472))/BC1472)))</f>
        <v>1</v>
      </c>
      <c r="BJ1472" s="48" t="str">
        <f aca="false">IF(AI1472&lt;=0,"",IF(CF1472="Aussen","Aussenlager",IF(CF1472="-","Nicht im Lift",IF(AO1472&gt;=1,"Lift",IF(AO1472&lt;=0,"Aussenlager","teilweise")))))</f>
        <v>Lift</v>
      </c>
      <c r="BK1472" s="48" t="str">
        <f aca="false">IF(AS1472&lt;=0,"",IF(CF1472="Aussen","Aussenlager",IF(CF1472="-","Nicht im Lift",IF(AY1472&gt;=1,"Lift",IF(AY1472&lt;=0,"Aussenlager","teilweise")))))</f>
        <v>Aussenlager</v>
      </c>
      <c r="BL1472" s="48" t="str">
        <f aca="false">IF(BC1472&lt;=0,"",IF(CF1472="Aussen","Aussenlager",IF(CF1472="-","Nicht im Lift",IF(BI1472&gt;=1,"Lift",IF(BI1472&lt;=0,"Aussenlager","teilweise")))))</f>
        <v>Lift</v>
      </c>
      <c r="BM1472" s="48" t="str">
        <f aca="false">IF(A1472="","",IF(BV1472=1,"Neu; ","")&amp;IF(AND(BV1472=0,BQ1472&lt;0),"negativer Bestand (Export "&amp;BQ1472&amp;"); ","")&amp;IF(J1472&lt;=0,"Kein Verbrauch; ","")&amp;IF(CQ1472&gt;0,"Lift "&amp;W1472&amp;" lt. Liftbericht (Fach "&amp;X1472&amp;" Stk); ",IF(CA1472=1,"Gebinde geschätzt ("&amp;T1472&amp;"); ",IF(BZ1472=1,"Lose – Tablare geschätzt; ","")))&amp;IF(H1472&gt;AV1472,"Überbestand "&amp;ROUND(H1472-AV1472,0)&amp;" Stk / CHF "&amp;ROUND((H1472-AV1472)*G1472,0)&amp;"; ","")&amp;IF(AND(CH1472=1,CI1472&lt;CJ1472),"MAX &lt; MB+LG; ","")&amp;IF(AND(CP1472&gt;0,CO1472*10&gt;CP1472),"zu hoch für Tablar; ","")&amp;IF(AND(BV1472=0,OR(CH1472=1,AA1472&lt;&gt;"",U1472&lt;&gt;"",V1472&lt;&gt;"",AB1472&lt;&gt;"")),"manuell übersteuert; ","")&amp;IF(AND(BZ1472=0,R1472=0),"Gebinde unbekannt / Stellmass fehlt; ","")&amp;IF(AND(BZ1472=0,N(V1472)&lt;=0,N(Q1472)&lt;=0),"Menge pro Gebinde fehlt (Ist = 1 Gebinde); ","")&amp;BU1472)</f>
        <v>Kein Verbrauch; Überbestand 12 Stk / CHF 1801; nur im Artikelstamm (Bestand 23.06.2026); Überbestand</v>
      </c>
      <c r="BN1472" s="48"/>
      <c r="BO1472" s="48"/>
      <c r="BP1472" s="55"/>
      <c r="BQ1472" s="50" t="n">
        <v>13</v>
      </c>
      <c r="BR1472" s="50" t="n">
        <v>0</v>
      </c>
      <c r="BS1472" s="49" t="n">
        <v>0</v>
      </c>
      <c r="BT1472" s="50" t="n">
        <v>0</v>
      </c>
      <c r="BU1472" s="48" t="s">
        <v>2581</v>
      </c>
      <c r="BV1472" s="53" t="n">
        <v>0</v>
      </c>
      <c r="BW1472" s="53" t="n">
        <v>1472</v>
      </c>
      <c r="BX1472" s="48" t="str">
        <f aca="false">IF(U1472&lt;&gt;"",UPPER(TRIM(U1472)),IF(CA1472=1,UPPER(VLOOKUP(T1472,Parameter!$I$27:$K$29,2,0)),IF(P1472="","LOSE",P1472)))</f>
        <v>S41</v>
      </c>
      <c r="BY1472" s="50" t="n">
        <f aca="false">IF(BX1472="LOSE",1,IF(N(V1472)&gt;0,V1472,IF(CA1472=1,MAX(1,N(VLOOKUP(T1472,Parameter!$I$27:$K$29,3,0)),H1472,N(N1472)),IF(N(Q1472)&gt;0,Q1472,MAX(1,H1472)))))</f>
        <v>13</v>
      </c>
      <c r="BZ1472" s="53" t="n">
        <f aca="false">IF(BX1472="LOSE",1,0)</f>
        <v>0</v>
      </c>
      <c r="CA1472" s="53" t="n">
        <f aca="false">IF(AND(U1472="",OR(P1472="",P1472="LOSE"),T1472&lt;&gt;"",N(S1472)&lt;=0,ISNUMBER(MATCH(T1472,Parameter!$I$27:$I$29,0))),1,0)</f>
        <v>0</v>
      </c>
      <c r="CB1472" s="53" t="n">
        <f aca="false">IF(CQ1472&gt;0,INDEX(Parameter!$H$5:$H$7,W1472)/INDEX(Parameter!$E$5:$E$7,W1472),IF(AND(BZ1472=0,N(IFERROR(VLOOKUP(BX1472,'Gebinde-Kategorie'!$A$5:$N$45,14,0),0))&gt;0),VLOOKUP(BX1472,'Gebinde-Kategorie'!$A$5:$N$45,14,0)*10+Parameter!$M$23,Parameter!$M$24))</f>
        <v>155</v>
      </c>
      <c r="CC1472" s="48" t="str">
        <f aca="false">IF(AND(Parameter!$B$19="Ja",E1472&lt;&gt;"",ISNUMBER(MATCH(E1472,Parameter!$I$35:$I$52,0))),VLOOKUP(E1472,Parameter!$I$35:$J$52,2,0),IFERROR(VLOOKUP(D1472,Parameter!$A$35:$C$64,2,0),"Nein"))</f>
        <v>2+3</v>
      </c>
      <c r="CD1472" s="52" t="n">
        <f aca="false">IF(BZ1472=0,0,IF(N(S1472)&gt;0,S1472,IFERROR(VLOOKUP(D1472,Parameter!$A$35:$C$64,3,0)+0,0)))</f>
        <v>0</v>
      </c>
      <c r="CE1472" s="48" t="n">
        <f aca="false">IF(AA1472&lt;&gt;"",AA1472,Z1472)</f>
        <v>3</v>
      </c>
      <c r="CF1472" s="48" t="str">
        <f aca="false">IF(OR(CE1472=1,CE1472=2,CE1472=3),IF(Parameter!$E$27="Ja","LIFT",IF(CE1472=1,"L1","L23")),IF(CE1472="Aussen","Aussen","-"))</f>
        <v>LIFT</v>
      </c>
      <c r="CG1472" s="59" t="n">
        <f aca="false">IF(N(AB1472)&gt;0,AB1472,0)</f>
        <v>0</v>
      </c>
      <c r="CH1472" s="53" t="n">
        <f aca="false">IF(ISNUMBER(AE1472),1,0)</f>
        <v>0</v>
      </c>
      <c r="CI1472" s="50" t="n">
        <f aca="false">N(AE1472)</f>
        <v>0</v>
      </c>
      <c r="CJ1472" s="50" t="n">
        <f aca="false">N(M1472)+N(N1472)</f>
        <v>1</v>
      </c>
      <c r="CK1472" s="50" t="n">
        <f aca="false">N(M1472)</f>
        <v>0</v>
      </c>
      <c r="CL1472" s="50" t="n">
        <f aca="false">N(N1472)</f>
        <v>1</v>
      </c>
      <c r="CM1472" s="50" t="n">
        <f aca="false">ROUNDUP(H1472/BY1472,0)</f>
        <v>1</v>
      </c>
      <c r="CN1472" s="50" t="n">
        <f aca="false">ROUNDUP(CI1472/BY1472,0)</f>
        <v>0</v>
      </c>
      <c r="CO1472" s="53" t="n">
        <f aca="false">IF(BZ1472=1,0,IFERROR(VLOOKUP(BX1472,'Gebinde-Kategorie'!$A$5:$N$45,5,0)+0,0))</f>
        <v>11</v>
      </c>
      <c r="CP1472" s="53" t="n">
        <f aca="false">IFERROR(IF(OR(CE1472=1,CE1472=2,CE1472=3),N(INDEX(Parameter!$I$5:$I$7,CE1472)),0),0)</f>
        <v>0</v>
      </c>
      <c r="CQ1472" s="52" t="n">
        <f aca="false">IF(AND(Parameter!$B$21="Ja",ISNUMBER(W1472),N(X1472)&gt;0),IFERROR(N(INDEX(Parameter!$L$5:$L$7,W1472))*INDEX(Parameter!$E$5:$E$7,W1472)*X1472/SUMIFS($X$7:$X$1843,$W$7:$W$1843,W1472),0),0)</f>
        <v>0</v>
      </c>
    </row>
    <row r="1473" customFormat="false" ht="15" hidden="false" customHeight="false" outlineLevel="0" collapsed="false">
      <c r="A1473" s="48" t="s">
        <v>2582</v>
      </c>
      <c r="B1473" s="48" t="s">
        <v>2583</v>
      </c>
      <c r="C1473" s="48" t="s">
        <v>176</v>
      </c>
      <c r="D1473" s="48" t="s">
        <v>193</v>
      </c>
      <c r="E1473" s="48" t="s">
        <v>194</v>
      </c>
      <c r="F1473" s="48"/>
      <c r="G1473" s="49" t="n">
        <v>15.99</v>
      </c>
      <c r="H1473" s="50" t="n">
        <f aca="false">MAX(0,IF(AND(Parameter!$B$21="Ja",ISNUMBER(Y1473)),Y1473,IF(Parameter!$B$20="Jahresanfang 2025 + Export",BR1473+BQ1473,BQ1473)))</f>
        <v>9</v>
      </c>
      <c r="I1473" s="50" t="n">
        <f aca="false">H1473*G1473</f>
        <v>143.91</v>
      </c>
      <c r="J1473" s="50" t="n">
        <f aca="false">BT1473*Parameter!$B$18</f>
        <v>0</v>
      </c>
      <c r="K1473" s="51"/>
      <c r="L1473" s="52"/>
      <c r="M1473" s="50" t="n">
        <v>0</v>
      </c>
      <c r="N1473" s="50" t="n">
        <v>20</v>
      </c>
      <c r="O1473" s="53" t="n">
        <v>14</v>
      </c>
      <c r="P1473" s="48" t="s">
        <v>485</v>
      </c>
      <c r="Q1473" s="50" t="n">
        <v>9</v>
      </c>
      <c r="R1473" s="53" t="n">
        <f aca="false">IF(BZ1473=1,0,IFERROR(VLOOKUP(BX1473,'Gebinde-Kategorie'!$A$5:$N$45,13,0)+0,0))</f>
        <v>52</v>
      </c>
      <c r="S1473" s="54"/>
      <c r="T1473" s="55"/>
      <c r="U1473" s="55"/>
      <c r="V1473" s="55"/>
      <c r="W1473" s="48"/>
      <c r="X1473" s="50"/>
      <c r="Y1473" s="50"/>
      <c r="Z1473" s="48" t="n">
        <f aca="false">IF(A1473="","",IF(AND(Parameter!$B$21="Ja",ISNUMBER(W1473)),W1473,IF(CC1473="2+3",IF(ISNUMBER(SEARCH("grosser Artikel",BU1473)),2,IFERROR(VLOOKUP(BX1473,Parameter!$F$35:$G$64,2,0),2)),IF(OR(CC1473="Nein",CC1473=""),"-",CC1473))))</f>
        <v>3</v>
      </c>
      <c r="AA1473" s="55"/>
      <c r="AB1473" s="56"/>
      <c r="AC1473" s="50" t="n">
        <f aca="false">AV1473</f>
        <v>20</v>
      </c>
      <c r="AD1473" s="50" t="n">
        <f aca="false">MAX(AV1473,H1473)</f>
        <v>20</v>
      </c>
      <c r="AE1473" s="57"/>
      <c r="AF1473" s="50" t="n">
        <f aca="false">IF(LEFT(Cockpit!$C$5,1)="A",H1473,IF(Parameter!$E$30="MAX-Bestand",IF(CH1473=1,CI1473,IF(LEFT(Cockpit!$C$5,1)="B",AL1473,MAX(AL1473,H1473))),ROUNDUP(AJ1473,0)))</f>
        <v>9</v>
      </c>
      <c r="AG1473" s="50" t="n">
        <f aca="false">IF(BZ1473=1,0,ROUNDUP(AF1473/BY1473,0))</f>
        <v>1</v>
      </c>
      <c r="AH1473" s="52" t="n">
        <f aca="false">IF(CQ1473&gt;0,CQ1473*MAX(1,AF1473/X1473),IF(BZ1473=1,IF(AF1473&lt;=0,0,CD1473*MAX(1,IF(H1473&gt;0,AF1473/H1473,1))),IF(R1473&gt;0,AG1473/R1473,0))/MAX(0.1,N(Parameter!$M$21)))</f>
        <v>0.0192307692307692</v>
      </c>
      <c r="AI1473" s="50" t="n">
        <f aca="false">AH1473*CB1473</f>
        <v>2.98076923076923</v>
      </c>
      <c r="AJ1473" s="51" t="n">
        <f aca="false">IF(LEFT(Cockpit!$C$5,1)="A",H1473,IF(CH1473=1,(CK1473+CI1473)/2,IF(LEFT(Cockpit!$C$5,1)="B",(CK1473+AL1473)/2,MAX((CK1473+AL1473)/2,H1473))))</f>
        <v>9</v>
      </c>
      <c r="AK1473" s="50" t="n">
        <f aca="false">AJ1473*G1473</f>
        <v>143.91</v>
      </c>
      <c r="AL1473" s="50" t="n">
        <f aca="false">ROUNDUP(CK1473+MAX(CL1473,2*(J1473/IF(CG1473&gt;0,CG1473,MAX(0.1,N(Cockpit!$C$6)))-CK1473)),0)</f>
        <v>20</v>
      </c>
      <c r="AM1473" s="51" t="n">
        <f aca="false">IF(AI1473&gt;0,J1473/AI1473,-1)</f>
        <v>0</v>
      </c>
      <c r="AN1473" s="51" t="n">
        <f aca="false">IF(AND(OR(CF1473="L1",CF1473="L23",CF1473="LIFT"),AI1473&gt;0),SUMIFS($AI$7:$AI$1843,$CF$7:$CF$1843,CF1473,$AM$7:$AM$1843,"&gt;"&amp;AM1473)+SUMIFS($AI$7:$AI$1843,$CF$7:$CF$1843,CF1473,$AM$7:$AM$1843,AM1473,$BW$7:$BW$1843,"&lt;="&amp;BW1473),"")</f>
        <v>29708.0900566007</v>
      </c>
      <c r="AO1473" s="58" t="n">
        <f aca="false">IF(AN1473="",0,MAX(0,MIN(1,(IF(CF1473="L1",Parameter!$H$5,IF(CF1473="L23",Parameter!$H$6+Parameter!$H$7,Parameter!$H$5+Parameter!$H$6+Parameter!$H$7))-(AN1473-AI1473))/AI1473)))</f>
        <v>1</v>
      </c>
      <c r="AP1473" s="50" t="n">
        <f aca="false">IF(LEFT(Cockpit!$I$5,1)="A",H1473,IF(Parameter!$E$30="MAX-Bestand",IF(CH1473=1,CI1473,IF(LEFT(Cockpit!$I$5,1)="B",AV1473,MAX(AV1473,H1473))),ROUNDUP(AT1473,0)))</f>
        <v>10</v>
      </c>
      <c r="AQ1473" s="50" t="n">
        <f aca="false">IF(BZ1473=1,0,ROUNDUP(AP1473/BY1473,0))</f>
        <v>2</v>
      </c>
      <c r="AR1473" s="52" t="n">
        <f aca="false">IF(CQ1473&gt;0,CQ1473*MAX(1,AP1473/X1473),IF(BZ1473=1,IF(AP1473&lt;=0,0,CD1473*MAX(1,IF(H1473&gt;0,AP1473/H1473,1))),IF(R1473&gt;0,AQ1473/R1473,0))/MAX(0.1,N(Parameter!$M$21)))</f>
        <v>0.0384615384615385</v>
      </c>
      <c r="AS1473" s="50" t="n">
        <f aca="false">AR1473*CB1473</f>
        <v>5.96153846153846</v>
      </c>
      <c r="AT1473" s="51" t="n">
        <f aca="false">IF(LEFT(Cockpit!$I$5,1)="A",H1473,IF(CH1473=1,(CK1473+CI1473)/2,IF(LEFT(Cockpit!$I$5,1)="B",(CK1473+AV1473)/2,MAX((CK1473+AV1473)/2,H1473))))</f>
        <v>10</v>
      </c>
      <c r="AU1473" s="50" t="n">
        <f aca="false">AT1473*G1473</f>
        <v>159.9</v>
      </c>
      <c r="AV1473" s="50" t="n">
        <f aca="false">ROUNDUP(CK1473+MAX(CL1473,2*(J1473/IF(CG1473&gt;0,CG1473,MAX(0.1,N(Cockpit!$I$6)))-CK1473)),0)</f>
        <v>20</v>
      </c>
      <c r="AW1473" s="51" t="n">
        <f aca="false">IF(AS1473&gt;0,J1473/AS1473,-1)</f>
        <v>0</v>
      </c>
      <c r="AX1473" s="51" t="n">
        <f aca="false">IF(AND(OR(CF1473="L1",CF1473="L23",CF1473="LIFT"),AS1473&gt;0),SUMIFS($AS$7:$AS$1843,$CF$7:$CF$1843,CF1473,$AW$7:$AW$1843,"&gt;"&amp;AW1473)+SUMIFS($AS$7:$AS$1843,$CF$7:$CF$1843,CF1473,$AW$7:$AW$1843,AW1473,$BW$7:$BW$1843,"&lt;="&amp;BW1473),"")</f>
        <v>36014.6608591503</v>
      </c>
      <c r="AY1473" s="58" t="n">
        <f aca="false">IF(AX1473="",0,MAX(0,MIN(1,(IF(CF1473="L1",Parameter!$H$5,IF(CF1473="L23",Parameter!$H$6+Parameter!$H$7,Parameter!$H$5+Parameter!$H$6+Parameter!$H$7))-(AX1473-AS1473))/AS1473)))</f>
        <v>0</v>
      </c>
      <c r="AZ1473" s="50" t="n">
        <f aca="false">IF(LEFT(Cockpit!$O$5,1)="A",H1473,IF(Parameter!$E$30="MAX-Bestand",IF(CH1473=1,CI1473,IF(LEFT(Cockpit!$O$5,1)="B",BF1473,MAX(BF1473,H1473))),ROUNDUP(BD1473,0)))</f>
        <v>10</v>
      </c>
      <c r="BA1473" s="50" t="n">
        <f aca="false">IF(BZ1473=1,0,ROUNDUP(AZ1473/BY1473,0))</f>
        <v>2</v>
      </c>
      <c r="BB1473" s="52" t="n">
        <f aca="false">IF(CQ1473&gt;0,CQ1473*MAX(1,AZ1473/X1473),IF(BZ1473=1,IF(AZ1473&lt;=0,0,CD1473*MAX(1,IF(H1473&gt;0,AZ1473/H1473,1))),IF(R1473&gt;0,BA1473/R1473,0))/MAX(0.1,N(Parameter!$M$21)))</f>
        <v>0.0384615384615385</v>
      </c>
      <c r="BC1473" s="50" t="n">
        <f aca="false">BB1473*CB1473</f>
        <v>5.96153846153846</v>
      </c>
      <c r="BD1473" s="51" t="n">
        <f aca="false">IF(LEFT(Cockpit!$O$5,1)="A",H1473,IF(CH1473=1,(CK1473+CI1473)/2,IF(LEFT(Cockpit!$O$5,1)="B",(CK1473+BF1473)/2,MAX((CK1473+BF1473)/2,H1473))))</f>
        <v>10</v>
      </c>
      <c r="BE1473" s="50" t="n">
        <f aca="false">BD1473*G1473</f>
        <v>159.9</v>
      </c>
      <c r="BF1473" s="50" t="n">
        <f aca="false">ROUNDUP(CK1473+MAX(CL1473,2*(J1473/IF(CG1473&gt;0,CG1473,MAX(0.1,N(Cockpit!$O$6)))-CK1473)),0)</f>
        <v>20</v>
      </c>
      <c r="BG1473" s="51" t="n">
        <f aca="false">IF(BC1473&gt;0,J1473/BC1473,-1)</f>
        <v>0</v>
      </c>
      <c r="BH1473" s="51" t="n">
        <f aca="false">IF(AND(OR(CF1473="L1",CF1473="L23",CF1473="LIFT"),BC1473&gt;0),SUMIFS($BC$7:$BC$1843,$CF$7:$CF$1843,CF1473,$BG$7:$BG$1843,"&gt;"&amp;BG1473)+SUMIFS($BC$7:$BC$1843,$CF$7:$CF$1843,CF1473,$BG$7:$BG$1843,BG1473,$BW$7:$BW$1843,"&lt;="&amp;BW1473),"")</f>
        <v>29999.967519298</v>
      </c>
      <c r="BI1473" s="58" t="n">
        <f aca="false">IF(BH1473="",0,MAX(0,MIN(1,(IF(CF1473="L1",Parameter!$H$5,IF(CF1473="L23",Parameter!$H$6+Parameter!$H$7,Parameter!$H$5+Parameter!$H$6+Parameter!$H$7))-(BH1473-BC1473))/BC1473)))</f>
        <v>1</v>
      </c>
      <c r="BJ1473" s="48" t="str">
        <f aca="false">IF(AI1473&lt;=0,"",IF(CF1473="Aussen","Aussenlager",IF(CF1473="-","Nicht im Lift",IF(AO1473&gt;=1,"Lift",IF(AO1473&lt;=0,"Aussenlager","teilweise")))))</f>
        <v>Lift</v>
      </c>
      <c r="BK1473" s="48" t="str">
        <f aca="false">IF(AS1473&lt;=0,"",IF(CF1473="Aussen","Aussenlager",IF(CF1473="-","Nicht im Lift",IF(AY1473&gt;=1,"Lift",IF(AY1473&lt;=0,"Aussenlager","teilweise")))))</f>
        <v>Aussenlager</v>
      </c>
      <c r="BL1473" s="48" t="str">
        <f aca="false">IF(BC1473&lt;=0,"",IF(CF1473="Aussen","Aussenlager",IF(CF1473="-","Nicht im Lift",IF(BI1473&gt;=1,"Lift",IF(BI1473&lt;=0,"Aussenlager","teilweise")))))</f>
        <v>Lift</v>
      </c>
      <c r="BM1473" s="48" t="str">
        <f aca="false">IF(A1473="","",IF(BV1473=1,"Neu; ","")&amp;IF(AND(BV1473=0,BQ1473&lt;0),"negativer Bestand (Export "&amp;BQ1473&amp;"); ","")&amp;IF(J1473&lt;=0,"Kein Verbrauch; ","")&amp;IF(CQ1473&gt;0,"Lift "&amp;W1473&amp;" lt. Liftbericht (Fach "&amp;X1473&amp;" Stk); ",IF(CA1473=1,"Gebinde geschätzt ("&amp;T1473&amp;"); ",IF(BZ1473=1,"Lose – Tablare geschätzt; ","")))&amp;IF(H1473&gt;AV1473,"Überbestand "&amp;ROUND(H1473-AV1473,0)&amp;" Stk / CHF "&amp;ROUND((H1473-AV1473)*G1473,0)&amp;"; ","")&amp;IF(AND(CH1473=1,CI1473&lt;CJ1473),"MAX &lt; MB+LG; ","")&amp;IF(AND(CP1473&gt;0,CO1473*10&gt;CP1473),"zu hoch für Tablar; ","")&amp;IF(AND(BV1473=0,OR(CH1473=1,AA1473&lt;&gt;"",U1473&lt;&gt;"",V1473&lt;&gt;"",AB1473&lt;&gt;"")),"manuell übersteuert; ","")&amp;IF(AND(BZ1473=0,R1473=0),"Gebinde unbekannt / Stellmass fehlt; ","")&amp;IF(AND(BZ1473=0,N(V1473)&lt;=0,N(Q1473)&lt;=0),"Menge pro Gebinde fehlt (Ist = 1 Gebinde); ","")&amp;BU1473)</f>
        <v>Kein Verbrauch; nur im Artikelstamm (Bestand 23.06.2026)</v>
      </c>
      <c r="BN1473" s="48"/>
      <c r="BO1473" s="48"/>
      <c r="BP1473" s="55"/>
      <c r="BQ1473" s="50" t="n">
        <v>9</v>
      </c>
      <c r="BR1473" s="50" t="n">
        <v>0</v>
      </c>
      <c r="BS1473" s="49" t="n">
        <v>0</v>
      </c>
      <c r="BT1473" s="50" t="n">
        <v>0</v>
      </c>
      <c r="BU1473" s="48" t="s">
        <v>2584</v>
      </c>
      <c r="BV1473" s="53" t="n">
        <v>0</v>
      </c>
      <c r="BW1473" s="53" t="n">
        <v>1473</v>
      </c>
      <c r="BX1473" s="48" t="str">
        <f aca="false">IF(U1473&lt;&gt;"",UPPER(TRIM(U1473)),IF(CA1473=1,UPPER(VLOOKUP(T1473,Parameter!$I$27:$K$29,2,0)),IF(P1473="","LOSE",P1473)))</f>
        <v>S33</v>
      </c>
      <c r="BY1473" s="50" t="n">
        <f aca="false">IF(BX1473="LOSE",1,IF(N(V1473)&gt;0,V1473,IF(CA1473=1,MAX(1,N(VLOOKUP(T1473,Parameter!$I$27:$K$29,3,0)),H1473,N(N1473)),IF(N(Q1473)&gt;0,Q1473,MAX(1,H1473)))))</f>
        <v>9</v>
      </c>
      <c r="BZ1473" s="53" t="n">
        <f aca="false">IF(BX1473="LOSE",1,0)</f>
        <v>0</v>
      </c>
      <c r="CA1473" s="53" t="n">
        <f aca="false">IF(AND(U1473="",OR(P1473="",P1473="LOSE"),T1473&lt;&gt;"",N(S1473)&lt;=0,ISNUMBER(MATCH(T1473,Parameter!$I$27:$I$29,0))),1,0)</f>
        <v>0</v>
      </c>
      <c r="CB1473" s="53" t="n">
        <f aca="false">IF(CQ1473&gt;0,INDEX(Parameter!$H$5:$H$7,W1473)/INDEX(Parameter!$E$5:$E$7,W1473),IF(AND(BZ1473=0,N(IFERROR(VLOOKUP(BX1473,'Gebinde-Kategorie'!$A$5:$N$45,14,0),0))&gt;0),VLOOKUP(BX1473,'Gebinde-Kategorie'!$A$5:$N$45,14,0)*10+Parameter!$M$23,Parameter!$M$24))</f>
        <v>155</v>
      </c>
      <c r="CC1473" s="48" t="str">
        <f aca="false">IF(AND(Parameter!$B$19="Ja",E1473&lt;&gt;"",ISNUMBER(MATCH(E1473,Parameter!$I$35:$I$52,0))),VLOOKUP(E1473,Parameter!$I$35:$J$52,2,0),IFERROR(VLOOKUP(D1473,Parameter!$A$35:$C$64,2,0),"Nein"))</f>
        <v>2+3</v>
      </c>
      <c r="CD1473" s="52" t="n">
        <f aca="false">IF(BZ1473=0,0,IF(N(S1473)&gt;0,S1473,IFERROR(VLOOKUP(D1473,Parameter!$A$35:$C$64,3,0)+0,0)))</f>
        <v>0</v>
      </c>
      <c r="CE1473" s="48" t="n">
        <f aca="false">IF(AA1473&lt;&gt;"",AA1473,Z1473)</f>
        <v>3</v>
      </c>
      <c r="CF1473" s="48" t="str">
        <f aca="false">IF(OR(CE1473=1,CE1473=2,CE1473=3),IF(Parameter!$E$27="Ja","LIFT",IF(CE1473=1,"L1","L23")),IF(CE1473="Aussen","Aussen","-"))</f>
        <v>LIFT</v>
      </c>
      <c r="CG1473" s="59" t="n">
        <f aca="false">IF(N(AB1473)&gt;0,AB1473,0)</f>
        <v>0</v>
      </c>
      <c r="CH1473" s="53" t="n">
        <f aca="false">IF(ISNUMBER(AE1473),1,0)</f>
        <v>0</v>
      </c>
      <c r="CI1473" s="50" t="n">
        <f aca="false">N(AE1473)</f>
        <v>0</v>
      </c>
      <c r="CJ1473" s="50" t="n">
        <f aca="false">N(M1473)+N(N1473)</f>
        <v>20</v>
      </c>
      <c r="CK1473" s="50" t="n">
        <f aca="false">N(M1473)</f>
        <v>0</v>
      </c>
      <c r="CL1473" s="50" t="n">
        <f aca="false">N(N1473)</f>
        <v>20</v>
      </c>
      <c r="CM1473" s="50" t="n">
        <f aca="false">ROUNDUP(H1473/BY1473,0)</f>
        <v>1</v>
      </c>
      <c r="CN1473" s="50" t="n">
        <f aca="false">ROUNDUP(CI1473/BY1473,0)</f>
        <v>0</v>
      </c>
      <c r="CO1473" s="53" t="n">
        <f aca="false">IF(BZ1473=1,0,IFERROR(VLOOKUP(BX1473,'Gebinde-Kategorie'!$A$5:$N$45,5,0)+0,0))</f>
        <v>8</v>
      </c>
      <c r="CP1473" s="53" t="n">
        <f aca="false">IFERROR(IF(OR(CE1473=1,CE1473=2,CE1473=3),N(INDEX(Parameter!$I$5:$I$7,CE1473)),0),0)</f>
        <v>0</v>
      </c>
      <c r="CQ1473" s="52" t="n">
        <f aca="false">IF(AND(Parameter!$B$21="Ja",ISNUMBER(W1473),N(X1473)&gt;0),IFERROR(N(INDEX(Parameter!$L$5:$L$7,W1473))*INDEX(Parameter!$E$5:$E$7,W1473)*X1473/SUMIFS($X$7:$X$1843,$W$7:$W$1843,W1473),0),0)</f>
        <v>0</v>
      </c>
    </row>
    <row r="1474" customFormat="false" ht="15" hidden="false" customHeight="false" outlineLevel="0" collapsed="false">
      <c r="A1474" s="48" t="s">
        <v>2585</v>
      </c>
      <c r="B1474" s="48" t="s">
        <v>2586</v>
      </c>
      <c r="C1474" s="48" t="s">
        <v>173</v>
      </c>
      <c r="D1474" s="48" t="s">
        <v>193</v>
      </c>
      <c r="E1474" s="48" t="s">
        <v>194</v>
      </c>
      <c r="F1474" s="48"/>
      <c r="G1474" s="49" t="n">
        <v>57.38</v>
      </c>
      <c r="H1474" s="50" t="n">
        <f aca="false">MAX(0,IF(AND(Parameter!$B$21="Ja",ISNUMBER(Y1474)),Y1474,IF(Parameter!$B$20="Jahresanfang 2025 + Export",BR1474+BQ1474,BQ1474)))</f>
        <v>4</v>
      </c>
      <c r="I1474" s="50" t="n">
        <f aca="false">H1474*G1474</f>
        <v>229.52</v>
      </c>
      <c r="J1474" s="50" t="n">
        <f aca="false">BT1474*Parameter!$B$18</f>
        <v>0</v>
      </c>
      <c r="K1474" s="51"/>
      <c r="L1474" s="52"/>
      <c r="M1474" s="50" t="n">
        <v>0</v>
      </c>
      <c r="N1474" s="50" t="n">
        <v>10</v>
      </c>
      <c r="O1474" s="53" t="n">
        <v>14</v>
      </c>
      <c r="P1474" s="48" t="s">
        <v>435</v>
      </c>
      <c r="Q1474" s="50" t="n">
        <v>6</v>
      </c>
      <c r="R1474" s="53" t="n">
        <f aca="false">IF(BZ1474=1,0,IFERROR(VLOOKUP(BX1474,'Gebinde-Kategorie'!$A$5:$N$45,13,0)+0,0))</f>
        <v>140</v>
      </c>
      <c r="S1474" s="54"/>
      <c r="T1474" s="55"/>
      <c r="U1474" s="55"/>
      <c r="V1474" s="55"/>
      <c r="W1474" s="48"/>
      <c r="X1474" s="50"/>
      <c r="Y1474" s="50"/>
      <c r="Z1474" s="48" t="n">
        <f aca="false">IF(A1474="","",IF(AND(Parameter!$B$21="Ja",ISNUMBER(W1474)),W1474,IF(CC1474="2+3",IF(ISNUMBER(SEARCH("grosser Artikel",BU1474)),2,IFERROR(VLOOKUP(BX1474,Parameter!$F$35:$G$64,2,0),2)),IF(OR(CC1474="Nein",CC1474=""),"-",CC1474))))</f>
        <v>3</v>
      </c>
      <c r="AA1474" s="55"/>
      <c r="AB1474" s="56"/>
      <c r="AC1474" s="50" t="n">
        <f aca="false">AV1474</f>
        <v>10</v>
      </c>
      <c r="AD1474" s="50" t="n">
        <f aca="false">MAX(AV1474,H1474)</f>
        <v>10</v>
      </c>
      <c r="AE1474" s="57"/>
      <c r="AF1474" s="50" t="n">
        <f aca="false">IF(LEFT(Cockpit!$C$5,1)="A",H1474,IF(Parameter!$E$30="MAX-Bestand",IF(CH1474=1,CI1474,IF(LEFT(Cockpit!$C$5,1)="B",AL1474,MAX(AL1474,H1474))),ROUNDUP(AJ1474,0)))</f>
        <v>4</v>
      </c>
      <c r="AG1474" s="50" t="n">
        <f aca="false">IF(BZ1474=1,0,ROUNDUP(AF1474/BY1474,0))</f>
        <v>1</v>
      </c>
      <c r="AH1474" s="52" t="n">
        <f aca="false">IF(CQ1474&gt;0,CQ1474*MAX(1,AF1474/X1474),IF(BZ1474=1,IF(AF1474&lt;=0,0,CD1474*MAX(1,IF(H1474&gt;0,AF1474/H1474,1))),IF(R1474&gt;0,AG1474/R1474,0))/MAX(0.1,N(Parameter!$M$21)))</f>
        <v>0.00714285714285714</v>
      </c>
      <c r="AI1474" s="50" t="n">
        <f aca="false">AH1474*CB1474</f>
        <v>1.10714285714286</v>
      </c>
      <c r="AJ1474" s="51" t="n">
        <f aca="false">IF(LEFT(Cockpit!$C$5,1)="A",H1474,IF(CH1474=1,(CK1474+CI1474)/2,IF(LEFT(Cockpit!$C$5,1)="B",(CK1474+AL1474)/2,MAX((CK1474+AL1474)/2,H1474))))</f>
        <v>4</v>
      </c>
      <c r="AK1474" s="50" t="n">
        <f aca="false">AJ1474*G1474</f>
        <v>229.52</v>
      </c>
      <c r="AL1474" s="50" t="n">
        <f aca="false">ROUNDUP(CK1474+MAX(CL1474,2*(J1474/IF(CG1474&gt;0,CG1474,MAX(0.1,N(Cockpit!$C$6)))-CK1474)),0)</f>
        <v>10</v>
      </c>
      <c r="AM1474" s="51" t="n">
        <f aca="false">IF(AI1474&gt;0,J1474/AI1474,-1)</f>
        <v>0</v>
      </c>
      <c r="AN1474" s="51" t="n">
        <f aca="false">IF(AND(OR(CF1474="L1",CF1474="L23",CF1474="LIFT"),AI1474&gt;0),SUMIFS($AI$7:$AI$1843,$CF$7:$CF$1843,CF1474,$AM$7:$AM$1843,"&gt;"&amp;AM1474)+SUMIFS($AI$7:$AI$1843,$CF$7:$CF$1843,CF1474,$AM$7:$AM$1843,AM1474,$BW$7:$BW$1843,"&lt;="&amp;BW1474),"")</f>
        <v>29709.1971994578</v>
      </c>
      <c r="AO1474" s="58" t="n">
        <f aca="false">IF(AN1474="",0,MAX(0,MIN(1,(IF(CF1474="L1",Parameter!$H$5,IF(CF1474="L23",Parameter!$H$6+Parameter!$H$7,Parameter!$H$5+Parameter!$H$6+Parameter!$H$7))-(AN1474-AI1474))/AI1474)))</f>
        <v>1</v>
      </c>
      <c r="AP1474" s="50" t="n">
        <f aca="false">IF(LEFT(Cockpit!$I$5,1)="A",H1474,IF(Parameter!$E$30="MAX-Bestand",IF(CH1474=1,CI1474,IF(LEFT(Cockpit!$I$5,1)="B",AV1474,MAX(AV1474,H1474))),ROUNDUP(AT1474,0)))</f>
        <v>5</v>
      </c>
      <c r="AQ1474" s="50" t="n">
        <f aca="false">IF(BZ1474=1,0,ROUNDUP(AP1474/BY1474,0))</f>
        <v>1</v>
      </c>
      <c r="AR1474" s="52" t="n">
        <f aca="false">IF(CQ1474&gt;0,CQ1474*MAX(1,AP1474/X1474),IF(BZ1474=1,IF(AP1474&lt;=0,0,CD1474*MAX(1,IF(H1474&gt;0,AP1474/H1474,1))),IF(R1474&gt;0,AQ1474/R1474,0))/MAX(0.1,N(Parameter!$M$21)))</f>
        <v>0.00714285714285714</v>
      </c>
      <c r="AS1474" s="50" t="n">
        <f aca="false">AR1474*CB1474</f>
        <v>1.10714285714286</v>
      </c>
      <c r="AT1474" s="51" t="n">
        <f aca="false">IF(LEFT(Cockpit!$I$5,1)="A",H1474,IF(CH1474=1,(CK1474+CI1474)/2,IF(LEFT(Cockpit!$I$5,1)="B",(CK1474+AV1474)/2,MAX((CK1474+AV1474)/2,H1474))))</f>
        <v>5</v>
      </c>
      <c r="AU1474" s="50" t="n">
        <f aca="false">AT1474*G1474</f>
        <v>286.9</v>
      </c>
      <c r="AV1474" s="50" t="n">
        <f aca="false">ROUNDUP(CK1474+MAX(CL1474,2*(J1474/IF(CG1474&gt;0,CG1474,MAX(0.1,N(Cockpit!$I$6)))-CK1474)),0)</f>
        <v>10</v>
      </c>
      <c r="AW1474" s="51" t="n">
        <f aca="false">IF(AS1474&gt;0,J1474/AS1474,-1)</f>
        <v>0</v>
      </c>
      <c r="AX1474" s="51" t="n">
        <f aca="false">IF(AND(OR(CF1474="L1",CF1474="L23",CF1474="LIFT"),AS1474&gt;0),SUMIFS($AS$7:$AS$1843,$CF$7:$CF$1843,CF1474,$AW$7:$AW$1843,"&gt;"&amp;AW1474)+SUMIFS($AS$7:$AS$1843,$CF$7:$CF$1843,CF1474,$AW$7:$AW$1843,AW1474,$BW$7:$BW$1843,"&lt;="&amp;BW1474),"")</f>
        <v>36015.7680020074</v>
      </c>
      <c r="AY1474" s="58" t="n">
        <f aca="false">IF(AX1474="",0,MAX(0,MIN(1,(IF(CF1474="L1",Parameter!$H$5,IF(CF1474="L23",Parameter!$H$6+Parameter!$H$7,Parameter!$H$5+Parameter!$H$6+Parameter!$H$7))-(AX1474-AS1474))/AS1474)))</f>
        <v>0</v>
      </c>
      <c r="AZ1474" s="50" t="n">
        <f aca="false">IF(LEFT(Cockpit!$O$5,1)="A",H1474,IF(Parameter!$E$30="MAX-Bestand",IF(CH1474=1,CI1474,IF(LEFT(Cockpit!$O$5,1)="B",BF1474,MAX(BF1474,H1474))),ROUNDUP(BD1474,0)))</f>
        <v>5</v>
      </c>
      <c r="BA1474" s="50" t="n">
        <f aca="false">IF(BZ1474=1,0,ROUNDUP(AZ1474/BY1474,0))</f>
        <v>1</v>
      </c>
      <c r="BB1474" s="52" t="n">
        <f aca="false">IF(CQ1474&gt;0,CQ1474*MAX(1,AZ1474/X1474),IF(BZ1474=1,IF(AZ1474&lt;=0,0,CD1474*MAX(1,IF(H1474&gt;0,AZ1474/H1474,1))),IF(R1474&gt;0,BA1474/R1474,0))/MAX(0.1,N(Parameter!$M$21)))</f>
        <v>0.00714285714285714</v>
      </c>
      <c r="BC1474" s="50" t="n">
        <f aca="false">BB1474*CB1474</f>
        <v>1.10714285714286</v>
      </c>
      <c r="BD1474" s="51" t="n">
        <f aca="false">IF(LEFT(Cockpit!$O$5,1)="A",H1474,IF(CH1474=1,(CK1474+CI1474)/2,IF(LEFT(Cockpit!$O$5,1)="B",(CK1474+BF1474)/2,MAX((CK1474+BF1474)/2,H1474))))</f>
        <v>5</v>
      </c>
      <c r="BE1474" s="50" t="n">
        <f aca="false">BD1474*G1474</f>
        <v>286.9</v>
      </c>
      <c r="BF1474" s="50" t="n">
        <f aca="false">ROUNDUP(CK1474+MAX(CL1474,2*(J1474/IF(CG1474&gt;0,CG1474,MAX(0.1,N(Cockpit!$O$6)))-CK1474)),0)</f>
        <v>10</v>
      </c>
      <c r="BG1474" s="51" t="n">
        <f aca="false">IF(BC1474&gt;0,J1474/BC1474,-1)</f>
        <v>0</v>
      </c>
      <c r="BH1474" s="51" t="n">
        <f aca="false">IF(AND(OR(CF1474="L1",CF1474="L23",CF1474="LIFT"),BC1474&gt;0),SUMIFS($BC$7:$BC$1843,$CF$7:$CF$1843,CF1474,$BG$7:$BG$1843,"&gt;"&amp;BG1474)+SUMIFS($BC$7:$BC$1843,$CF$7:$CF$1843,CF1474,$BG$7:$BG$1843,BG1474,$BW$7:$BW$1843,"&lt;="&amp;BW1474),"")</f>
        <v>30001.0746621552</v>
      </c>
      <c r="BI1474" s="58" t="n">
        <f aca="false">IF(BH1474="",0,MAX(0,MIN(1,(IF(CF1474="L1",Parameter!$H$5,IF(CF1474="L23",Parameter!$H$6+Parameter!$H$7,Parameter!$H$5+Parameter!$H$6+Parameter!$H$7))-(BH1474-BC1474))/BC1474)))</f>
        <v>1</v>
      </c>
      <c r="BJ1474" s="48" t="str">
        <f aca="false">IF(AI1474&lt;=0,"",IF(CF1474="Aussen","Aussenlager",IF(CF1474="-","Nicht im Lift",IF(AO1474&gt;=1,"Lift",IF(AO1474&lt;=0,"Aussenlager","teilweise")))))</f>
        <v>Lift</v>
      </c>
      <c r="BK1474" s="48" t="str">
        <f aca="false">IF(AS1474&lt;=0,"",IF(CF1474="Aussen","Aussenlager",IF(CF1474="-","Nicht im Lift",IF(AY1474&gt;=1,"Lift",IF(AY1474&lt;=0,"Aussenlager","teilweise")))))</f>
        <v>Aussenlager</v>
      </c>
      <c r="BL1474" s="48" t="str">
        <f aca="false">IF(BC1474&lt;=0,"",IF(CF1474="Aussen","Aussenlager",IF(CF1474="-","Nicht im Lift",IF(BI1474&gt;=1,"Lift",IF(BI1474&lt;=0,"Aussenlager","teilweise")))))</f>
        <v>Lift</v>
      </c>
      <c r="BM1474" s="48" t="str">
        <f aca="false">IF(A1474="","",IF(BV1474=1,"Neu; ","")&amp;IF(AND(BV1474=0,BQ1474&lt;0),"negativer Bestand (Export "&amp;BQ1474&amp;"); ","")&amp;IF(J1474&lt;=0,"Kein Verbrauch; ","")&amp;IF(CQ1474&gt;0,"Lift "&amp;W1474&amp;" lt. Liftbericht (Fach "&amp;X1474&amp;" Stk); ",IF(CA1474=1,"Gebinde geschätzt ("&amp;T1474&amp;"); ",IF(BZ1474=1,"Lose – Tablare geschätzt; ","")))&amp;IF(H1474&gt;AV1474,"Überbestand "&amp;ROUND(H1474-AV1474,0)&amp;" Stk / CHF "&amp;ROUND((H1474-AV1474)*G1474,0)&amp;"; ","")&amp;IF(AND(CH1474=1,CI1474&lt;CJ1474),"MAX &lt; MB+LG; ","")&amp;IF(AND(CP1474&gt;0,CO1474*10&gt;CP1474),"zu hoch für Tablar; ","")&amp;IF(AND(BV1474=0,OR(CH1474=1,AA1474&lt;&gt;"",U1474&lt;&gt;"",V1474&lt;&gt;"",AB1474&lt;&gt;"")),"manuell übersteuert; ","")&amp;IF(AND(BZ1474=0,R1474=0),"Gebinde unbekannt / Stellmass fehlt; ","")&amp;IF(AND(BZ1474=0,N(V1474)&lt;=0,N(Q1474)&lt;=0),"Menge pro Gebinde fehlt (Ist = 1 Gebinde); ","")&amp;BU1474)</f>
        <v>Kein Verbrauch; nur im Artikelstamm (Bestand 23.06.2026); Verb.Lager</v>
      </c>
      <c r="BN1474" s="48"/>
      <c r="BO1474" s="48"/>
      <c r="BP1474" s="55"/>
      <c r="BQ1474" s="50" t="n">
        <v>4</v>
      </c>
      <c r="BR1474" s="50" t="n">
        <v>0</v>
      </c>
      <c r="BS1474" s="49" t="n">
        <v>0</v>
      </c>
      <c r="BT1474" s="50" t="n">
        <v>0</v>
      </c>
      <c r="BU1474" s="48" t="s">
        <v>2578</v>
      </c>
      <c r="BV1474" s="53" t="n">
        <v>0</v>
      </c>
      <c r="BW1474" s="53" t="n">
        <v>1474</v>
      </c>
      <c r="BX1474" s="48" t="str">
        <f aca="false">IF(U1474&lt;&gt;"",UPPER(TRIM(U1474)),IF(CA1474=1,UPPER(VLOOKUP(T1474,Parameter!$I$27:$K$29,2,0)),IF(P1474="","LOSE",P1474)))</f>
        <v>S22</v>
      </c>
      <c r="BY1474" s="50" t="n">
        <f aca="false">IF(BX1474="LOSE",1,IF(N(V1474)&gt;0,V1474,IF(CA1474=1,MAX(1,N(VLOOKUP(T1474,Parameter!$I$27:$K$29,3,0)),H1474,N(N1474)),IF(N(Q1474)&gt;0,Q1474,MAX(1,H1474)))))</f>
        <v>6</v>
      </c>
      <c r="BZ1474" s="53" t="n">
        <f aca="false">IF(BX1474="LOSE",1,0)</f>
        <v>0</v>
      </c>
      <c r="CA1474" s="53" t="n">
        <f aca="false">IF(AND(U1474="",OR(P1474="",P1474="LOSE"),T1474&lt;&gt;"",N(S1474)&lt;=0,ISNUMBER(MATCH(T1474,Parameter!$I$27:$I$29,0))),1,0)</f>
        <v>0</v>
      </c>
      <c r="CB1474" s="53" t="n">
        <f aca="false">IF(CQ1474&gt;0,INDEX(Parameter!$H$5:$H$7,W1474)/INDEX(Parameter!$E$5:$E$7,W1474),IF(AND(BZ1474=0,N(IFERROR(VLOOKUP(BX1474,'Gebinde-Kategorie'!$A$5:$N$45,14,0),0))&gt;0),VLOOKUP(BX1474,'Gebinde-Kategorie'!$A$5:$N$45,14,0)*10+Parameter!$M$23,Parameter!$M$24))</f>
        <v>155</v>
      </c>
      <c r="CC1474" s="48" t="str">
        <f aca="false">IF(AND(Parameter!$B$19="Ja",E1474&lt;&gt;"",ISNUMBER(MATCH(E1474,Parameter!$I$35:$I$52,0))),VLOOKUP(E1474,Parameter!$I$35:$J$52,2,0),IFERROR(VLOOKUP(D1474,Parameter!$A$35:$C$64,2,0),"Nein"))</f>
        <v>2+3</v>
      </c>
      <c r="CD1474" s="52" t="n">
        <f aca="false">IF(BZ1474=0,0,IF(N(S1474)&gt;0,S1474,IFERROR(VLOOKUP(D1474,Parameter!$A$35:$C$64,3,0)+0,0)))</f>
        <v>0</v>
      </c>
      <c r="CE1474" s="48" t="n">
        <f aca="false">IF(AA1474&lt;&gt;"",AA1474,Z1474)</f>
        <v>3</v>
      </c>
      <c r="CF1474" s="48" t="str">
        <f aca="false">IF(OR(CE1474=1,CE1474=2,CE1474=3),IF(Parameter!$E$27="Ja","LIFT",IF(CE1474=1,"L1","L23")),IF(CE1474="Aussen","Aussen","-"))</f>
        <v>LIFT</v>
      </c>
      <c r="CG1474" s="59" t="n">
        <f aca="false">IF(N(AB1474)&gt;0,AB1474,0)</f>
        <v>0</v>
      </c>
      <c r="CH1474" s="53" t="n">
        <f aca="false">IF(ISNUMBER(AE1474),1,0)</f>
        <v>0</v>
      </c>
      <c r="CI1474" s="50" t="n">
        <f aca="false">N(AE1474)</f>
        <v>0</v>
      </c>
      <c r="CJ1474" s="50" t="n">
        <f aca="false">N(M1474)+N(N1474)</f>
        <v>10</v>
      </c>
      <c r="CK1474" s="50" t="n">
        <f aca="false">N(M1474)</f>
        <v>0</v>
      </c>
      <c r="CL1474" s="50" t="n">
        <f aca="false">N(N1474)</f>
        <v>10</v>
      </c>
      <c r="CM1474" s="50" t="n">
        <f aca="false">ROUNDUP(H1474/BY1474,0)</f>
        <v>1</v>
      </c>
      <c r="CN1474" s="50" t="n">
        <f aca="false">ROUNDUP(CI1474/BY1474,0)</f>
        <v>0</v>
      </c>
      <c r="CO1474" s="53" t="n">
        <f aca="false">IF(BZ1474=1,0,IFERROR(VLOOKUP(BX1474,'Gebinde-Kategorie'!$A$5:$N$45,5,0)+0,0))</f>
        <v>8</v>
      </c>
      <c r="CP1474" s="53" t="n">
        <f aca="false">IFERROR(IF(OR(CE1474=1,CE1474=2,CE1474=3),N(INDEX(Parameter!$I$5:$I$7,CE1474)),0),0)</f>
        <v>0</v>
      </c>
      <c r="CQ1474" s="52" t="n">
        <f aca="false">IF(AND(Parameter!$B$21="Ja",ISNUMBER(W1474),N(X1474)&gt;0),IFERROR(N(INDEX(Parameter!$L$5:$L$7,W1474))*INDEX(Parameter!$E$5:$E$7,W1474)*X1474/SUMIFS($X$7:$X$1843,$W$7:$W$1843,W1474),0),0)</f>
        <v>0</v>
      </c>
    </row>
    <row r="1475" customFormat="false" ht="15" hidden="false" customHeight="false" outlineLevel="0" collapsed="false">
      <c r="A1475" s="48" t="s">
        <v>2587</v>
      </c>
      <c r="B1475" s="48" t="s">
        <v>2588</v>
      </c>
      <c r="C1475" s="48" t="s">
        <v>173</v>
      </c>
      <c r="D1475" s="48" t="s">
        <v>193</v>
      </c>
      <c r="E1475" s="48" t="s">
        <v>194</v>
      </c>
      <c r="F1475" s="48"/>
      <c r="G1475" s="49" t="n">
        <v>70.21</v>
      </c>
      <c r="H1475" s="50" t="n">
        <f aca="false">MAX(0,IF(AND(Parameter!$B$21="Ja",ISNUMBER(Y1475)),Y1475,IF(Parameter!$B$20="Jahresanfang 2025 + Export",BR1475+BQ1475,BQ1475)))</f>
        <v>4</v>
      </c>
      <c r="I1475" s="50" t="n">
        <f aca="false">H1475*G1475</f>
        <v>280.84</v>
      </c>
      <c r="J1475" s="50" t="n">
        <f aca="false">BT1475*Parameter!$B$18</f>
        <v>0</v>
      </c>
      <c r="K1475" s="51"/>
      <c r="L1475" s="52"/>
      <c r="M1475" s="50" t="n">
        <v>0</v>
      </c>
      <c r="N1475" s="50" t="n">
        <v>5</v>
      </c>
      <c r="O1475" s="53" t="n">
        <v>14</v>
      </c>
      <c r="P1475" s="48" t="s">
        <v>337</v>
      </c>
      <c r="Q1475" s="50" t="n">
        <v>4</v>
      </c>
      <c r="R1475" s="53" t="n">
        <f aca="false">IF(BZ1475=1,0,IFERROR(VLOOKUP(BX1475,'Gebinde-Kategorie'!$A$5:$N$45,13,0)+0,0))</f>
        <v>52</v>
      </c>
      <c r="S1475" s="54"/>
      <c r="T1475" s="55"/>
      <c r="U1475" s="55"/>
      <c r="V1475" s="55"/>
      <c r="W1475" s="48"/>
      <c r="X1475" s="50"/>
      <c r="Y1475" s="50"/>
      <c r="Z1475" s="48" t="n">
        <f aca="false">IF(A1475="","",IF(AND(Parameter!$B$21="Ja",ISNUMBER(W1475)),W1475,IF(CC1475="2+3",IF(ISNUMBER(SEARCH("grosser Artikel",BU1475)),2,IFERROR(VLOOKUP(BX1475,Parameter!$F$35:$G$64,2,0),2)),IF(OR(CC1475="Nein",CC1475=""),"-",CC1475))))</f>
        <v>3</v>
      </c>
      <c r="AA1475" s="55"/>
      <c r="AB1475" s="56"/>
      <c r="AC1475" s="50" t="n">
        <f aca="false">AV1475</f>
        <v>5</v>
      </c>
      <c r="AD1475" s="50" t="n">
        <f aca="false">MAX(AV1475,H1475)</f>
        <v>5</v>
      </c>
      <c r="AE1475" s="57"/>
      <c r="AF1475" s="50" t="n">
        <f aca="false">IF(LEFT(Cockpit!$C$5,1)="A",H1475,IF(Parameter!$E$30="MAX-Bestand",IF(CH1475=1,CI1475,IF(LEFT(Cockpit!$C$5,1)="B",AL1475,MAX(AL1475,H1475))),ROUNDUP(AJ1475,0)))</f>
        <v>4</v>
      </c>
      <c r="AG1475" s="50" t="n">
        <f aca="false">IF(BZ1475=1,0,ROUNDUP(AF1475/BY1475,0))</f>
        <v>1</v>
      </c>
      <c r="AH1475" s="52" t="n">
        <f aca="false">IF(CQ1475&gt;0,CQ1475*MAX(1,AF1475/X1475),IF(BZ1475=1,IF(AF1475&lt;=0,0,CD1475*MAX(1,IF(H1475&gt;0,AF1475/H1475,1))),IF(R1475&gt;0,AG1475/R1475,0))/MAX(0.1,N(Parameter!$M$21)))</f>
        <v>0.0192307692307692</v>
      </c>
      <c r="AI1475" s="50" t="n">
        <f aca="false">AH1475*CB1475</f>
        <v>2.98076923076923</v>
      </c>
      <c r="AJ1475" s="51" t="n">
        <f aca="false">IF(LEFT(Cockpit!$C$5,1)="A",H1475,IF(CH1475=1,(CK1475+CI1475)/2,IF(LEFT(Cockpit!$C$5,1)="B",(CK1475+AL1475)/2,MAX((CK1475+AL1475)/2,H1475))))</f>
        <v>4</v>
      </c>
      <c r="AK1475" s="50" t="n">
        <f aca="false">AJ1475*G1475</f>
        <v>280.84</v>
      </c>
      <c r="AL1475" s="50" t="n">
        <f aca="false">ROUNDUP(CK1475+MAX(CL1475,2*(J1475/IF(CG1475&gt;0,CG1475,MAX(0.1,N(Cockpit!$C$6)))-CK1475)),0)</f>
        <v>5</v>
      </c>
      <c r="AM1475" s="51" t="n">
        <f aca="false">IF(AI1475&gt;0,J1475/AI1475,-1)</f>
        <v>0</v>
      </c>
      <c r="AN1475" s="51" t="n">
        <f aca="false">IF(AND(OR(CF1475="L1",CF1475="L23",CF1475="LIFT"),AI1475&gt;0),SUMIFS($AI$7:$AI$1843,$CF$7:$CF$1843,CF1475,$AM$7:$AM$1843,"&gt;"&amp;AM1475)+SUMIFS($AI$7:$AI$1843,$CF$7:$CF$1843,CF1475,$AM$7:$AM$1843,AM1475,$BW$7:$BW$1843,"&lt;="&amp;BW1475),"")</f>
        <v>29712.1779686886</v>
      </c>
      <c r="AO1475" s="58" t="n">
        <f aca="false">IF(AN1475="",0,MAX(0,MIN(1,(IF(CF1475="L1",Parameter!$H$5,IF(CF1475="L23",Parameter!$H$6+Parameter!$H$7,Parameter!$H$5+Parameter!$H$6+Parameter!$H$7))-(AN1475-AI1475))/AI1475)))</f>
        <v>1</v>
      </c>
      <c r="AP1475" s="50" t="n">
        <f aca="false">IF(LEFT(Cockpit!$I$5,1)="A",H1475,IF(Parameter!$E$30="MAX-Bestand",IF(CH1475=1,CI1475,IF(LEFT(Cockpit!$I$5,1)="B",AV1475,MAX(AV1475,H1475))),ROUNDUP(AT1475,0)))</f>
        <v>4</v>
      </c>
      <c r="AQ1475" s="50" t="n">
        <f aca="false">IF(BZ1475=1,0,ROUNDUP(AP1475/BY1475,0))</f>
        <v>1</v>
      </c>
      <c r="AR1475" s="52" t="n">
        <f aca="false">IF(CQ1475&gt;0,CQ1475*MAX(1,AP1475/X1475),IF(BZ1475=1,IF(AP1475&lt;=0,0,CD1475*MAX(1,IF(H1475&gt;0,AP1475/H1475,1))),IF(R1475&gt;0,AQ1475/R1475,0))/MAX(0.1,N(Parameter!$M$21)))</f>
        <v>0.0192307692307692</v>
      </c>
      <c r="AS1475" s="50" t="n">
        <f aca="false">AR1475*CB1475</f>
        <v>2.98076923076923</v>
      </c>
      <c r="AT1475" s="51" t="n">
        <f aca="false">IF(LEFT(Cockpit!$I$5,1)="A",H1475,IF(CH1475=1,(CK1475+CI1475)/2,IF(LEFT(Cockpit!$I$5,1)="B",(CK1475+AV1475)/2,MAX((CK1475+AV1475)/2,H1475))))</f>
        <v>4</v>
      </c>
      <c r="AU1475" s="50" t="n">
        <f aca="false">AT1475*G1475</f>
        <v>280.84</v>
      </c>
      <c r="AV1475" s="50" t="n">
        <f aca="false">ROUNDUP(CK1475+MAX(CL1475,2*(J1475/IF(CG1475&gt;0,CG1475,MAX(0.1,N(Cockpit!$I$6)))-CK1475)),0)</f>
        <v>5</v>
      </c>
      <c r="AW1475" s="51" t="n">
        <f aca="false">IF(AS1475&gt;0,J1475/AS1475,-1)</f>
        <v>0</v>
      </c>
      <c r="AX1475" s="51" t="n">
        <f aca="false">IF(AND(OR(CF1475="L1",CF1475="L23",CF1475="LIFT"),AS1475&gt;0),SUMIFS($AS$7:$AS$1843,$CF$7:$CF$1843,CF1475,$AW$7:$AW$1843,"&gt;"&amp;AW1475)+SUMIFS($AS$7:$AS$1843,$CF$7:$CF$1843,CF1475,$AW$7:$AW$1843,AW1475,$BW$7:$BW$1843,"&lt;="&amp;BW1475),"")</f>
        <v>36018.7487712382</v>
      </c>
      <c r="AY1475" s="58" t="n">
        <f aca="false">IF(AX1475="",0,MAX(0,MIN(1,(IF(CF1475="L1",Parameter!$H$5,IF(CF1475="L23",Parameter!$H$6+Parameter!$H$7,Parameter!$H$5+Parameter!$H$6+Parameter!$H$7))-(AX1475-AS1475))/AS1475)))</f>
        <v>0</v>
      </c>
      <c r="AZ1475" s="50" t="n">
        <f aca="false">IF(LEFT(Cockpit!$O$5,1)="A",H1475,IF(Parameter!$E$30="MAX-Bestand",IF(CH1475=1,CI1475,IF(LEFT(Cockpit!$O$5,1)="B",BF1475,MAX(BF1475,H1475))),ROUNDUP(BD1475,0)))</f>
        <v>3</v>
      </c>
      <c r="BA1475" s="50" t="n">
        <f aca="false">IF(BZ1475=1,0,ROUNDUP(AZ1475/BY1475,0))</f>
        <v>1</v>
      </c>
      <c r="BB1475" s="52" t="n">
        <f aca="false">IF(CQ1475&gt;0,CQ1475*MAX(1,AZ1475/X1475),IF(BZ1475=1,IF(AZ1475&lt;=0,0,CD1475*MAX(1,IF(H1475&gt;0,AZ1475/H1475,1))),IF(R1475&gt;0,BA1475/R1475,0))/MAX(0.1,N(Parameter!$M$21)))</f>
        <v>0.0192307692307692</v>
      </c>
      <c r="BC1475" s="50" t="n">
        <f aca="false">BB1475*CB1475</f>
        <v>2.98076923076923</v>
      </c>
      <c r="BD1475" s="51" t="n">
        <f aca="false">IF(LEFT(Cockpit!$O$5,1)="A",H1475,IF(CH1475=1,(CK1475+CI1475)/2,IF(LEFT(Cockpit!$O$5,1)="B",(CK1475+BF1475)/2,MAX((CK1475+BF1475)/2,H1475))))</f>
        <v>2.5</v>
      </c>
      <c r="BE1475" s="50" t="n">
        <f aca="false">BD1475*G1475</f>
        <v>175.525</v>
      </c>
      <c r="BF1475" s="50" t="n">
        <f aca="false">ROUNDUP(CK1475+MAX(CL1475,2*(J1475/IF(CG1475&gt;0,CG1475,MAX(0.1,N(Cockpit!$O$6)))-CK1475)),0)</f>
        <v>5</v>
      </c>
      <c r="BG1475" s="51" t="n">
        <f aca="false">IF(BC1475&gt;0,J1475/BC1475,-1)</f>
        <v>0</v>
      </c>
      <c r="BH1475" s="51" t="n">
        <f aca="false">IF(AND(OR(CF1475="L1",CF1475="L23",CF1475="LIFT"),BC1475&gt;0),SUMIFS($BC$7:$BC$1843,$CF$7:$CF$1843,CF1475,$BG$7:$BG$1843,"&gt;"&amp;BG1475)+SUMIFS($BC$7:$BC$1843,$CF$7:$CF$1843,CF1475,$BG$7:$BG$1843,BG1475,$BW$7:$BW$1843,"&lt;="&amp;BW1475),"")</f>
        <v>30004.0554313859</v>
      </c>
      <c r="BI1475" s="58" t="n">
        <f aca="false">IF(BH1475="",0,MAX(0,MIN(1,(IF(CF1475="L1",Parameter!$H$5,IF(CF1475="L23",Parameter!$H$6+Parameter!$H$7,Parameter!$H$5+Parameter!$H$6+Parameter!$H$7))-(BH1475-BC1475))/BC1475)))</f>
        <v>1</v>
      </c>
      <c r="BJ1475" s="48" t="str">
        <f aca="false">IF(AI1475&lt;=0,"",IF(CF1475="Aussen","Aussenlager",IF(CF1475="-","Nicht im Lift",IF(AO1475&gt;=1,"Lift",IF(AO1475&lt;=0,"Aussenlager","teilweise")))))</f>
        <v>Lift</v>
      </c>
      <c r="BK1475" s="48" t="str">
        <f aca="false">IF(AS1475&lt;=0,"",IF(CF1475="Aussen","Aussenlager",IF(CF1475="-","Nicht im Lift",IF(AY1475&gt;=1,"Lift",IF(AY1475&lt;=0,"Aussenlager","teilweise")))))</f>
        <v>Aussenlager</v>
      </c>
      <c r="BL1475" s="48" t="str">
        <f aca="false">IF(BC1475&lt;=0,"",IF(CF1475="Aussen","Aussenlager",IF(CF1475="-","Nicht im Lift",IF(BI1475&gt;=1,"Lift",IF(BI1475&lt;=0,"Aussenlager","teilweise")))))</f>
        <v>Lift</v>
      </c>
      <c r="BM1475" s="48" t="str">
        <f aca="false">IF(A1475="","",IF(BV1475=1,"Neu; ","")&amp;IF(AND(BV1475=0,BQ1475&lt;0),"negativer Bestand (Export "&amp;BQ1475&amp;"); ","")&amp;IF(J1475&lt;=0,"Kein Verbrauch; ","")&amp;IF(CQ1475&gt;0,"Lift "&amp;W1475&amp;" lt. Liftbericht (Fach "&amp;X1475&amp;" Stk); ",IF(CA1475=1,"Gebinde geschätzt ("&amp;T1475&amp;"); ",IF(BZ1475=1,"Lose – Tablare geschätzt; ","")))&amp;IF(H1475&gt;AV1475,"Überbestand "&amp;ROUND(H1475-AV1475,0)&amp;" Stk / CHF "&amp;ROUND((H1475-AV1475)*G1475,0)&amp;"; ","")&amp;IF(AND(CH1475=1,CI1475&lt;CJ1475),"MAX &lt; MB+LG; ","")&amp;IF(AND(CP1475&gt;0,CO1475*10&gt;CP1475),"zu hoch für Tablar; ","")&amp;IF(AND(BV1475=0,OR(CH1475=1,AA1475&lt;&gt;"",U1475&lt;&gt;"",V1475&lt;&gt;"",AB1475&lt;&gt;"")),"manuell übersteuert; ","")&amp;IF(AND(BZ1475=0,R1475=0),"Gebinde unbekannt / Stellmass fehlt; ","")&amp;IF(AND(BZ1475=0,N(V1475)&lt;=0,N(Q1475)&lt;=0),"Menge pro Gebinde fehlt (Ist = 1 Gebinde); ","")&amp;BU1475)</f>
        <v>Kein Verbrauch; nur im Artikelstamm (Bestand 23.06.2026)</v>
      </c>
      <c r="BN1475" s="48"/>
      <c r="BO1475" s="48"/>
      <c r="BP1475" s="55"/>
      <c r="BQ1475" s="50" t="n">
        <v>4</v>
      </c>
      <c r="BR1475" s="50" t="n">
        <v>0</v>
      </c>
      <c r="BS1475" s="49" t="n">
        <v>0</v>
      </c>
      <c r="BT1475" s="50" t="n">
        <v>0</v>
      </c>
      <c r="BU1475" s="48" t="s">
        <v>2584</v>
      </c>
      <c r="BV1475" s="53" t="n">
        <v>0</v>
      </c>
      <c r="BW1475" s="53" t="n">
        <v>1475</v>
      </c>
      <c r="BX1475" s="48" t="str">
        <f aca="false">IF(U1475&lt;&gt;"",UPPER(TRIM(U1475)),IF(CA1475=1,UPPER(VLOOKUP(T1475,Parameter!$I$27:$K$29,2,0)),IF(P1475="","LOSE",P1475)))</f>
        <v>S41</v>
      </c>
      <c r="BY1475" s="50" t="n">
        <f aca="false">IF(BX1475="LOSE",1,IF(N(V1475)&gt;0,V1475,IF(CA1475=1,MAX(1,N(VLOOKUP(T1475,Parameter!$I$27:$K$29,3,0)),H1475,N(N1475)),IF(N(Q1475)&gt;0,Q1475,MAX(1,H1475)))))</f>
        <v>4</v>
      </c>
      <c r="BZ1475" s="53" t="n">
        <f aca="false">IF(BX1475="LOSE",1,0)</f>
        <v>0</v>
      </c>
      <c r="CA1475" s="53" t="n">
        <f aca="false">IF(AND(U1475="",OR(P1475="",P1475="LOSE"),T1475&lt;&gt;"",N(S1475)&lt;=0,ISNUMBER(MATCH(T1475,Parameter!$I$27:$I$29,0))),1,0)</f>
        <v>0</v>
      </c>
      <c r="CB1475" s="53" t="n">
        <f aca="false">IF(CQ1475&gt;0,INDEX(Parameter!$H$5:$H$7,W1475)/INDEX(Parameter!$E$5:$E$7,W1475),IF(AND(BZ1475=0,N(IFERROR(VLOOKUP(BX1475,'Gebinde-Kategorie'!$A$5:$N$45,14,0),0))&gt;0),VLOOKUP(BX1475,'Gebinde-Kategorie'!$A$5:$N$45,14,0)*10+Parameter!$M$23,Parameter!$M$24))</f>
        <v>155</v>
      </c>
      <c r="CC1475" s="48" t="str">
        <f aca="false">IF(AND(Parameter!$B$19="Ja",E1475&lt;&gt;"",ISNUMBER(MATCH(E1475,Parameter!$I$35:$I$52,0))),VLOOKUP(E1475,Parameter!$I$35:$J$52,2,0),IFERROR(VLOOKUP(D1475,Parameter!$A$35:$C$64,2,0),"Nein"))</f>
        <v>2+3</v>
      </c>
      <c r="CD1475" s="52" t="n">
        <f aca="false">IF(BZ1475=0,0,IF(N(S1475)&gt;0,S1475,IFERROR(VLOOKUP(D1475,Parameter!$A$35:$C$64,3,0)+0,0)))</f>
        <v>0</v>
      </c>
      <c r="CE1475" s="48" t="n">
        <f aca="false">IF(AA1475&lt;&gt;"",AA1475,Z1475)</f>
        <v>3</v>
      </c>
      <c r="CF1475" s="48" t="str">
        <f aca="false">IF(OR(CE1475=1,CE1475=2,CE1475=3),IF(Parameter!$E$27="Ja","LIFT",IF(CE1475=1,"L1","L23")),IF(CE1475="Aussen","Aussen","-"))</f>
        <v>LIFT</v>
      </c>
      <c r="CG1475" s="59" t="n">
        <f aca="false">IF(N(AB1475)&gt;0,AB1475,0)</f>
        <v>0</v>
      </c>
      <c r="CH1475" s="53" t="n">
        <f aca="false">IF(ISNUMBER(AE1475),1,0)</f>
        <v>0</v>
      </c>
      <c r="CI1475" s="50" t="n">
        <f aca="false">N(AE1475)</f>
        <v>0</v>
      </c>
      <c r="CJ1475" s="50" t="n">
        <f aca="false">N(M1475)+N(N1475)</f>
        <v>5</v>
      </c>
      <c r="CK1475" s="50" t="n">
        <f aca="false">N(M1475)</f>
        <v>0</v>
      </c>
      <c r="CL1475" s="50" t="n">
        <f aca="false">N(N1475)</f>
        <v>5</v>
      </c>
      <c r="CM1475" s="50" t="n">
        <f aca="false">ROUNDUP(H1475/BY1475,0)</f>
        <v>1</v>
      </c>
      <c r="CN1475" s="50" t="n">
        <f aca="false">ROUNDUP(CI1475/BY1475,0)</f>
        <v>0</v>
      </c>
      <c r="CO1475" s="53" t="n">
        <f aca="false">IF(BZ1475=1,0,IFERROR(VLOOKUP(BX1475,'Gebinde-Kategorie'!$A$5:$N$45,5,0)+0,0))</f>
        <v>11</v>
      </c>
      <c r="CP1475" s="53" t="n">
        <f aca="false">IFERROR(IF(OR(CE1475=1,CE1475=2,CE1475=3),N(INDEX(Parameter!$I$5:$I$7,CE1475)),0),0)</f>
        <v>0</v>
      </c>
      <c r="CQ1475" s="52" t="n">
        <f aca="false">IF(AND(Parameter!$B$21="Ja",ISNUMBER(W1475),N(X1475)&gt;0),IFERROR(N(INDEX(Parameter!$L$5:$L$7,W1475))*INDEX(Parameter!$E$5:$E$7,W1475)*X1475/SUMIFS($X$7:$X$1843,$W$7:$W$1843,W1475),0),0)</f>
        <v>0</v>
      </c>
    </row>
    <row r="1476" customFormat="false" ht="15" hidden="false" customHeight="false" outlineLevel="0" collapsed="false">
      <c r="A1476" s="48" t="s">
        <v>2589</v>
      </c>
      <c r="B1476" s="48" t="s">
        <v>2590</v>
      </c>
      <c r="C1476" s="48" t="s">
        <v>173</v>
      </c>
      <c r="D1476" s="48" t="s">
        <v>193</v>
      </c>
      <c r="E1476" s="48" t="s">
        <v>194</v>
      </c>
      <c r="F1476" s="48"/>
      <c r="G1476" s="49" t="n">
        <v>33.07</v>
      </c>
      <c r="H1476" s="50" t="n">
        <f aca="false">MAX(0,IF(AND(Parameter!$B$21="Ja",ISNUMBER(Y1476)),Y1476,IF(Parameter!$B$20="Jahresanfang 2025 + Export",BR1476+BQ1476,BQ1476)))</f>
        <v>7</v>
      </c>
      <c r="I1476" s="50" t="n">
        <f aca="false">H1476*G1476</f>
        <v>231.49</v>
      </c>
      <c r="J1476" s="50" t="n">
        <f aca="false">BT1476*Parameter!$B$18</f>
        <v>0</v>
      </c>
      <c r="K1476" s="51"/>
      <c r="L1476" s="52"/>
      <c r="M1476" s="50" t="n">
        <v>0</v>
      </c>
      <c r="N1476" s="50" t="n">
        <v>5</v>
      </c>
      <c r="O1476" s="53" t="n">
        <v>14</v>
      </c>
      <c r="P1476" s="48" t="s">
        <v>311</v>
      </c>
      <c r="Q1476" s="50" t="n">
        <v>8</v>
      </c>
      <c r="R1476" s="53" t="n">
        <f aca="false">IF(BZ1476=1,0,IFERROR(VLOOKUP(BX1476,'Gebinde-Kategorie'!$A$5:$N$45,13,0)+0,0))</f>
        <v>26</v>
      </c>
      <c r="S1476" s="54"/>
      <c r="T1476" s="55"/>
      <c r="U1476" s="55"/>
      <c r="V1476" s="55"/>
      <c r="W1476" s="48"/>
      <c r="X1476" s="50"/>
      <c r="Y1476" s="50"/>
      <c r="Z1476" s="48" t="n">
        <f aca="false">IF(A1476="","",IF(AND(Parameter!$B$21="Ja",ISNUMBER(W1476)),W1476,IF(CC1476="2+3",IF(ISNUMBER(SEARCH("grosser Artikel",BU1476)),2,IFERROR(VLOOKUP(BX1476,Parameter!$F$35:$G$64,2,0),2)),IF(OR(CC1476="Nein",CC1476=""),"-",CC1476))))</f>
        <v>3</v>
      </c>
      <c r="AA1476" s="55"/>
      <c r="AB1476" s="56"/>
      <c r="AC1476" s="50" t="n">
        <f aca="false">AV1476</f>
        <v>5</v>
      </c>
      <c r="AD1476" s="50" t="n">
        <f aca="false">MAX(AV1476,H1476)</f>
        <v>7</v>
      </c>
      <c r="AE1476" s="57"/>
      <c r="AF1476" s="50" t="n">
        <f aca="false">IF(LEFT(Cockpit!$C$5,1)="A",H1476,IF(Parameter!$E$30="MAX-Bestand",IF(CH1476=1,CI1476,IF(LEFT(Cockpit!$C$5,1)="B",AL1476,MAX(AL1476,H1476))),ROUNDUP(AJ1476,0)))</f>
        <v>7</v>
      </c>
      <c r="AG1476" s="50" t="n">
        <f aca="false">IF(BZ1476=1,0,ROUNDUP(AF1476/BY1476,0))</f>
        <v>1</v>
      </c>
      <c r="AH1476" s="52" t="n">
        <f aca="false">IF(CQ1476&gt;0,CQ1476*MAX(1,AF1476/X1476),IF(BZ1476=1,IF(AF1476&lt;=0,0,CD1476*MAX(1,IF(H1476&gt;0,AF1476/H1476,1))),IF(R1476&gt;0,AG1476/R1476,0))/MAX(0.1,N(Parameter!$M$21)))</f>
        <v>0.0384615384615385</v>
      </c>
      <c r="AI1476" s="50" t="n">
        <f aca="false">AH1476*CB1476</f>
        <v>5.96153846153846</v>
      </c>
      <c r="AJ1476" s="51" t="n">
        <f aca="false">IF(LEFT(Cockpit!$C$5,1)="A",H1476,IF(CH1476=1,(CK1476+CI1476)/2,IF(LEFT(Cockpit!$C$5,1)="B",(CK1476+AL1476)/2,MAX((CK1476+AL1476)/2,H1476))))</f>
        <v>7</v>
      </c>
      <c r="AK1476" s="50" t="n">
        <f aca="false">AJ1476*G1476</f>
        <v>231.49</v>
      </c>
      <c r="AL1476" s="50" t="n">
        <f aca="false">ROUNDUP(CK1476+MAX(CL1476,2*(J1476/IF(CG1476&gt;0,CG1476,MAX(0.1,N(Cockpit!$C$6)))-CK1476)),0)</f>
        <v>5</v>
      </c>
      <c r="AM1476" s="51" t="n">
        <f aca="false">IF(AI1476&gt;0,J1476/AI1476,-1)</f>
        <v>0</v>
      </c>
      <c r="AN1476" s="51" t="n">
        <f aca="false">IF(AND(OR(CF1476="L1",CF1476="L23",CF1476="LIFT"),AI1476&gt;0),SUMIFS($AI$7:$AI$1843,$CF$7:$CF$1843,CF1476,$AM$7:$AM$1843,"&gt;"&amp;AM1476)+SUMIFS($AI$7:$AI$1843,$CF$7:$CF$1843,CF1476,$AM$7:$AM$1843,AM1476,$BW$7:$BW$1843,"&lt;="&amp;BW1476),"")</f>
        <v>29718.1395071501</v>
      </c>
      <c r="AO1476" s="58" t="n">
        <f aca="false">IF(AN1476="",0,MAX(0,MIN(1,(IF(CF1476="L1",Parameter!$H$5,IF(CF1476="L23",Parameter!$H$6+Parameter!$H$7,Parameter!$H$5+Parameter!$H$6+Parameter!$H$7))-(AN1476-AI1476))/AI1476)))</f>
        <v>1</v>
      </c>
      <c r="AP1476" s="50" t="n">
        <f aca="false">IF(LEFT(Cockpit!$I$5,1)="A",H1476,IF(Parameter!$E$30="MAX-Bestand",IF(CH1476=1,CI1476,IF(LEFT(Cockpit!$I$5,1)="B",AV1476,MAX(AV1476,H1476))),ROUNDUP(AT1476,0)))</f>
        <v>7</v>
      </c>
      <c r="AQ1476" s="50" t="n">
        <f aca="false">IF(BZ1476=1,0,ROUNDUP(AP1476/BY1476,0))</f>
        <v>1</v>
      </c>
      <c r="AR1476" s="52" t="n">
        <f aca="false">IF(CQ1476&gt;0,CQ1476*MAX(1,AP1476/X1476),IF(BZ1476=1,IF(AP1476&lt;=0,0,CD1476*MAX(1,IF(H1476&gt;0,AP1476/H1476,1))),IF(R1476&gt;0,AQ1476/R1476,0))/MAX(0.1,N(Parameter!$M$21)))</f>
        <v>0.0384615384615385</v>
      </c>
      <c r="AS1476" s="50" t="n">
        <f aca="false">AR1476*CB1476</f>
        <v>5.96153846153846</v>
      </c>
      <c r="AT1476" s="51" t="n">
        <f aca="false">IF(LEFT(Cockpit!$I$5,1)="A",H1476,IF(CH1476=1,(CK1476+CI1476)/2,IF(LEFT(Cockpit!$I$5,1)="B",(CK1476+AV1476)/2,MAX((CK1476+AV1476)/2,H1476))))</f>
        <v>7</v>
      </c>
      <c r="AU1476" s="50" t="n">
        <f aca="false">AT1476*G1476</f>
        <v>231.49</v>
      </c>
      <c r="AV1476" s="50" t="n">
        <f aca="false">ROUNDUP(CK1476+MAX(CL1476,2*(J1476/IF(CG1476&gt;0,CG1476,MAX(0.1,N(Cockpit!$I$6)))-CK1476)),0)</f>
        <v>5</v>
      </c>
      <c r="AW1476" s="51" t="n">
        <f aca="false">IF(AS1476&gt;0,J1476/AS1476,-1)</f>
        <v>0</v>
      </c>
      <c r="AX1476" s="51" t="n">
        <f aca="false">IF(AND(OR(CF1476="L1",CF1476="L23",CF1476="LIFT"),AS1476&gt;0),SUMIFS($AS$7:$AS$1843,$CF$7:$CF$1843,CF1476,$AW$7:$AW$1843,"&gt;"&amp;AW1476)+SUMIFS($AS$7:$AS$1843,$CF$7:$CF$1843,CF1476,$AW$7:$AW$1843,AW1476,$BW$7:$BW$1843,"&lt;="&amp;BW1476),"")</f>
        <v>36024.7103096997</v>
      </c>
      <c r="AY1476" s="58" t="n">
        <f aca="false">IF(AX1476="",0,MAX(0,MIN(1,(IF(CF1476="L1",Parameter!$H$5,IF(CF1476="L23",Parameter!$H$6+Parameter!$H$7,Parameter!$H$5+Parameter!$H$6+Parameter!$H$7))-(AX1476-AS1476))/AS1476)))</f>
        <v>0</v>
      </c>
      <c r="AZ1476" s="50" t="n">
        <f aca="false">IF(LEFT(Cockpit!$O$5,1)="A",H1476,IF(Parameter!$E$30="MAX-Bestand",IF(CH1476=1,CI1476,IF(LEFT(Cockpit!$O$5,1)="B",BF1476,MAX(BF1476,H1476))),ROUNDUP(BD1476,0)))</f>
        <v>3</v>
      </c>
      <c r="BA1476" s="50" t="n">
        <f aca="false">IF(BZ1476=1,0,ROUNDUP(AZ1476/BY1476,0))</f>
        <v>1</v>
      </c>
      <c r="BB1476" s="52" t="n">
        <f aca="false">IF(CQ1476&gt;0,CQ1476*MAX(1,AZ1476/X1476),IF(BZ1476=1,IF(AZ1476&lt;=0,0,CD1476*MAX(1,IF(H1476&gt;0,AZ1476/H1476,1))),IF(R1476&gt;0,BA1476/R1476,0))/MAX(0.1,N(Parameter!$M$21)))</f>
        <v>0.0384615384615385</v>
      </c>
      <c r="BC1476" s="50" t="n">
        <f aca="false">BB1476*CB1476</f>
        <v>5.96153846153846</v>
      </c>
      <c r="BD1476" s="51" t="n">
        <f aca="false">IF(LEFT(Cockpit!$O$5,1)="A",H1476,IF(CH1476=1,(CK1476+CI1476)/2,IF(LEFT(Cockpit!$O$5,1)="B",(CK1476+BF1476)/2,MAX((CK1476+BF1476)/2,H1476))))</f>
        <v>2.5</v>
      </c>
      <c r="BE1476" s="50" t="n">
        <f aca="false">BD1476*G1476</f>
        <v>82.675</v>
      </c>
      <c r="BF1476" s="50" t="n">
        <f aca="false">ROUNDUP(CK1476+MAX(CL1476,2*(J1476/IF(CG1476&gt;0,CG1476,MAX(0.1,N(Cockpit!$O$6)))-CK1476)),0)</f>
        <v>5</v>
      </c>
      <c r="BG1476" s="51" t="n">
        <f aca="false">IF(BC1476&gt;0,J1476/BC1476,-1)</f>
        <v>0</v>
      </c>
      <c r="BH1476" s="51" t="n">
        <f aca="false">IF(AND(OR(CF1476="L1",CF1476="L23",CF1476="LIFT"),BC1476&gt;0),SUMIFS($BC$7:$BC$1843,$CF$7:$CF$1843,CF1476,$BG$7:$BG$1843,"&gt;"&amp;BG1476)+SUMIFS($BC$7:$BC$1843,$CF$7:$CF$1843,CF1476,$BG$7:$BG$1843,BG1476,$BW$7:$BW$1843,"&lt;="&amp;BW1476),"")</f>
        <v>30010.0169698475</v>
      </c>
      <c r="BI1476" s="58" t="n">
        <f aca="false">IF(BH1476="",0,MAX(0,MIN(1,(IF(CF1476="L1",Parameter!$H$5,IF(CF1476="L23",Parameter!$H$6+Parameter!$H$7,Parameter!$H$5+Parameter!$H$6+Parameter!$H$7))-(BH1476-BC1476))/BC1476)))</f>
        <v>1</v>
      </c>
      <c r="BJ1476" s="48" t="str">
        <f aca="false">IF(AI1476&lt;=0,"",IF(CF1476="Aussen","Aussenlager",IF(CF1476="-","Nicht im Lift",IF(AO1476&gt;=1,"Lift",IF(AO1476&lt;=0,"Aussenlager","teilweise")))))</f>
        <v>Lift</v>
      </c>
      <c r="BK1476" s="48" t="str">
        <f aca="false">IF(AS1476&lt;=0,"",IF(CF1476="Aussen","Aussenlager",IF(CF1476="-","Nicht im Lift",IF(AY1476&gt;=1,"Lift",IF(AY1476&lt;=0,"Aussenlager","teilweise")))))</f>
        <v>Aussenlager</v>
      </c>
      <c r="BL1476" s="48" t="str">
        <f aca="false">IF(BC1476&lt;=0,"",IF(CF1476="Aussen","Aussenlager",IF(CF1476="-","Nicht im Lift",IF(BI1476&gt;=1,"Lift",IF(BI1476&lt;=0,"Aussenlager","teilweise")))))</f>
        <v>Lift</v>
      </c>
      <c r="BM1476" s="48" t="str">
        <f aca="false">IF(A1476="","",IF(BV1476=1,"Neu; ","")&amp;IF(AND(BV1476=0,BQ1476&lt;0),"negativer Bestand (Export "&amp;BQ1476&amp;"); ","")&amp;IF(J1476&lt;=0,"Kein Verbrauch; ","")&amp;IF(CQ1476&gt;0,"Lift "&amp;W1476&amp;" lt. Liftbericht (Fach "&amp;X1476&amp;" Stk); ",IF(CA1476=1,"Gebinde geschätzt ("&amp;T1476&amp;"); ",IF(BZ1476=1,"Lose – Tablare geschätzt; ","")))&amp;IF(H1476&gt;AV1476,"Überbestand "&amp;ROUND(H1476-AV1476,0)&amp;" Stk / CHF "&amp;ROUND((H1476-AV1476)*G1476,0)&amp;"; ","")&amp;IF(AND(CH1476=1,CI1476&lt;CJ1476),"MAX &lt; MB+LG; ","")&amp;IF(AND(CP1476&gt;0,CO1476*10&gt;CP1476),"zu hoch für Tablar; ","")&amp;IF(AND(BV1476=0,OR(CH1476=1,AA1476&lt;&gt;"",U1476&lt;&gt;"",V1476&lt;&gt;"",AB1476&lt;&gt;"")),"manuell übersteuert; ","")&amp;IF(AND(BZ1476=0,R1476=0),"Gebinde unbekannt / Stellmass fehlt; ","")&amp;IF(AND(BZ1476=0,N(V1476)&lt;=0,N(Q1476)&lt;=0),"Menge pro Gebinde fehlt (Ist = 1 Gebinde); ","")&amp;BU1476)</f>
        <v>Kein Verbrauch; Überbestand 2 Stk / CHF 66; nur im Artikelstamm (Bestand 23.06.2026)</v>
      </c>
      <c r="BN1476" s="48"/>
      <c r="BO1476" s="48"/>
      <c r="BP1476" s="55"/>
      <c r="BQ1476" s="50" t="n">
        <v>7</v>
      </c>
      <c r="BR1476" s="50" t="n">
        <v>0</v>
      </c>
      <c r="BS1476" s="49" t="n">
        <v>0</v>
      </c>
      <c r="BT1476" s="50" t="n">
        <v>0</v>
      </c>
      <c r="BU1476" s="48" t="s">
        <v>2584</v>
      </c>
      <c r="BV1476" s="53" t="n">
        <v>0</v>
      </c>
      <c r="BW1476" s="53" t="n">
        <v>1476</v>
      </c>
      <c r="BX1476" s="48" t="str">
        <f aca="false">IF(U1476&lt;&gt;"",UPPER(TRIM(U1476)),IF(CA1476=1,UPPER(VLOOKUP(T1476,Parameter!$I$27:$K$29,2,0)),IF(P1476="","LOSE",P1476)))</f>
        <v>S51</v>
      </c>
      <c r="BY1476" s="50" t="n">
        <f aca="false">IF(BX1476="LOSE",1,IF(N(V1476)&gt;0,V1476,IF(CA1476=1,MAX(1,N(VLOOKUP(T1476,Parameter!$I$27:$K$29,3,0)),H1476,N(N1476)),IF(N(Q1476)&gt;0,Q1476,MAX(1,H1476)))))</f>
        <v>8</v>
      </c>
      <c r="BZ1476" s="53" t="n">
        <f aca="false">IF(BX1476="LOSE",1,0)</f>
        <v>0</v>
      </c>
      <c r="CA1476" s="53" t="n">
        <f aca="false">IF(AND(U1476="",OR(P1476="",P1476="LOSE"),T1476&lt;&gt;"",N(S1476)&lt;=0,ISNUMBER(MATCH(T1476,Parameter!$I$27:$I$29,0))),1,0)</f>
        <v>0</v>
      </c>
      <c r="CB1476" s="53" t="n">
        <f aca="false">IF(CQ1476&gt;0,INDEX(Parameter!$H$5:$H$7,W1476)/INDEX(Parameter!$E$5:$E$7,W1476),IF(AND(BZ1476=0,N(IFERROR(VLOOKUP(BX1476,'Gebinde-Kategorie'!$A$5:$N$45,14,0),0))&gt;0),VLOOKUP(BX1476,'Gebinde-Kategorie'!$A$5:$N$45,14,0)*10+Parameter!$M$23,Parameter!$M$24))</f>
        <v>155</v>
      </c>
      <c r="CC1476" s="48" t="str">
        <f aca="false">IF(AND(Parameter!$B$19="Ja",E1476&lt;&gt;"",ISNUMBER(MATCH(E1476,Parameter!$I$35:$I$52,0))),VLOOKUP(E1476,Parameter!$I$35:$J$52,2,0),IFERROR(VLOOKUP(D1476,Parameter!$A$35:$C$64,2,0),"Nein"))</f>
        <v>2+3</v>
      </c>
      <c r="CD1476" s="52" t="n">
        <f aca="false">IF(BZ1476=0,0,IF(N(S1476)&gt;0,S1476,IFERROR(VLOOKUP(D1476,Parameter!$A$35:$C$64,3,0)+0,0)))</f>
        <v>0</v>
      </c>
      <c r="CE1476" s="48" t="n">
        <f aca="false">IF(AA1476&lt;&gt;"",AA1476,Z1476)</f>
        <v>3</v>
      </c>
      <c r="CF1476" s="48" t="str">
        <f aca="false">IF(OR(CE1476=1,CE1476=2,CE1476=3),IF(Parameter!$E$27="Ja","LIFT",IF(CE1476=1,"L1","L23")),IF(CE1476="Aussen","Aussen","-"))</f>
        <v>LIFT</v>
      </c>
      <c r="CG1476" s="59" t="n">
        <f aca="false">IF(N(AB1476)&gt;0,AB1476,0)</f>
        <v>0</v>
      </c>
      <c r="CH1476" s="53" t="n">
        <f aca="false">IF(ISNUMBER(AE1476),1,0)</f>
        <v>0</v>
      </c>
      <c r="CI1476" s="50" t="n">
        <f aca="false">N(AE1476)</f>
        <v>0</v>
      </c>
      <c r="CJ1476" s="50" t="n">
        <f aca="false">N(M1476)+N(N1476)</f>
        <v>5</v>
      </c>
      <c r="CK1476" s="50" t="n">
        <f aca="false">N(M1476)</f>
        <v>0</v>
      </c>
      <c r="CL1476" s="50" t="n">
        <f aca="false">N(N1476)</f>
        <v>5</v>
      </c>
      <c r="CM1476" s="50" t="n">
        <f aca="false">ROUNDUP(H1476/BY1476,0)</f>
        <v>1</v>
      </c>
      <c r="CN1476" s="50" t="n">
        <f aca="false">ROUNDUP(CI1476/BY1476,0)</f>
        <v>0</v>
      </c>
      <c r="CO1476" s="53" t="n">
        <f aca="false">IF(BZ1476=1,0,IFERROR(VLOOKUP(BX1476,'Gebinde-Kategorie'!$A$5:$N$45,5,0)+0,0))</f>
        <v>11</v>
      </c>
      <c r="CP1476" s="53" t="n">
        <f aca="false">IFERROR(IF(OR(CE1476=1,CE1476=2,CE1476=3),N(INDEX(Parameter!$I$5:$I$7,CE1476)),0),0)</f>
        <v>0</v>
      </c>
      <c r="CQ1476" s="52" t="n">
        <f aca="false">IF(AND(Parameter!$B$21="Ja",ISNUMBER(W1476),N(X1476)&gt;0),IFERROR(N(INDEX(Parameter!$L$5:$L$7,W1476))*INDEX(Parameter!$E$5:$E$7,W1476)*X1476/SUMIFS($X$7:$X$1843,$W$7:$W$1843,W1476),0),0)</f>
        <v>0</v>
      </c>
    </row>
    <row r="1477" customFormat="false" ht="15" hidden="false" customHeight="false" outlineLevel="0" collapsed="false">
      <c r="A1477" s="48" t="s">
        <v>2591</v>
      </c>
      <c r="B1477" s="48" t="s">
        <v>2592</v>
      </c>
      <c r="C1477" s="48" t="s">
        <v>173</v>
      </c>
      <c r="D1477" s="48" t="s">
        <v>193</v>
      </c>
      <c r="E1477" s="48" t="s">
        <v>194</v>
      </c>
      <c r="F1477" s="48"/>
      <c r="G1477" s="49" t="n">
        <v>158.01</v>
      </c>
      <c r="H1477" s="50" t="n">
        <f aca="false">MAX(0,IF(AND(Parameter!$B$21="Ja",ISNUMBER(Y1477)),Y1477,IF(Parameter!$B$20="Jahresanfang 2025 + Export",BR1477+BQ1477,BQ1477)))</f>
        <v>6</v>
      </c>
      <c r="I1477" s="50" t="n">
        <f aca="false">H1477*G1477</f>
        <v>948.06</v>
      </c>
      <c r="J1477" s="50" t="n">
        <f aca="false">BT1477*Parameter!$B$18</f>
        <v>0</v>
      </c>
      <c r="K1477" s="51"/>
      <c r="L1477" s="52"/>
      <c r="M1477" s="50" t="n">
        <v>0</v>
      </c>
      <c r="N1477" s="50" t="n">
        <v>2</v>
      </c>
      <c r="O1477" s="53" t="n">
        <v>14</v>
      </c>
      <c r="P1477" s="48" t="s">
        <v>311</v>
      </c>
      <c r="Q1477" s="50" t="n">
        <v>6</v>
      </c>
      <c r="R1477" s="53" t="n">
        <f aca="false">IF(BZ1477=1,0,IFERROR(VLOOKUP(BX1477,'Gebinde-Kategorie'!$A$5:$N$45,13,0)+0,0))</f>
        <v>26</v>
      </c>
      <c r="S1477" s="54"/>
      <c r="T1477" s="55"/>
      <c r="U1477" s="55"/>
      <c r="V1477" s="55"/>
      <c r="W1477" s="48"/>
      <c r="X1477" s="50"/>
      <c r="Y1477" s="50"/>
      <c r="Z1477" s="48" t="n">
        <f aca="false">IF(A1477="","",IF(AND(Parameter!$B$21="Ja",ISNUMBER(W1477)),W1477,IF(CC1477="2+3",IF(ISNUMBER(SEARCH("grosser Artikel",BU1477)),2,IFERROR(VLOOKUP(BX1477,Parameter!$F$35:$G$64,2,0),2)),IF(OR(CC1477="Nein",CC1477=""),"-",CC1477))))</f>
        <v>3</v>
      </c>
      <c r="AA1477" s="55"/>
      <c r="AB1477" s="56"/>
      <c r="AC1477" s="50" t="n">
        <f aca="false">AV1477</f>
        <v>2</v>
      </c>
      <c r="AD1477" s="50" t="n">
        <f aca="false">MAX(AV1477,H1477)</f>
        <v>6</v>
      </c>
      <c r="AE1477" s="57"/>
      <c r="AF1477" s="50" t="n">
        <f aca="false">IF(LEFT(Cockpit!$C$5,1)="A",H1477,IF(Parameter!$E$30="MAX-Bestand",IF(CH1477=1,CI1477,IF(LEFT(Cockpit!$C$5,1)="B",AL1477,MAX(AL1477,H1477))),ROUNDUP(AJ1477,0)))</f>
        <v>6</v>
      </c>
      <c r="AG1477" s="50" t="n">
        <f aca="false">IF(BZ1477=1,0,ROUNDUP(AF1477/BY1477,0))</f>
        <v>1</v>
      </c>
      <c r="AH1477" s="52" t="n">
        <f aca="false">IF(CQ1477&gt;0,CQ1477*MAX(1,AF1477/X1477),IF(BZ1477=1,IF(AF1477&lt;=0,0,CD1477*MAX(1,IF(H1477&gt;0,AF1477/H1477,1))),IF(R1477&gt;0,AG1477/R1477,0))/MAX(0.1,N(Parameter!$M$21)))</f>
        <v>0.0384615384615385</v>
      </c>
      <c r="AI1477" s="50" t="n">
        <f aca="false">AH1477*CB1477</f>
        <v>5.96153846153846</v>
      </c>
      <c r="AJ1477" s="51" t="n">
        <f aca="false">IF(LEFT(Cockpit!$C$5,1)="A",H1477,IF(CH1477=1,(CK1477+CI1477)/2,IF(LEFT(Cockpit!$C$5,1)="B",(CK1477+AL1477)/2,MAX((CK1477+AL1477)/2,H1477))))</f>
        <v>6</v>
      </c>
      <c r="AK1477" s="50" t="n">
        <f aca="false">AJ1477*G1477</f>
        <v>948.06</v>
      </c>
      <c r="AL1477" s="50" t="n">
        <f aca="false">ROUNDUP(CK1477+MAX(CL1477,2*(J1477/IF(CG1477&gt;0,CG1477,MAX(0.1,N(Cockpit!$C$6)))-CK1477)),0)</f>
        <v>2</v>
      </c>
      <c r="AM1477" s="51" t="n">
        <f aca="false">IF(AI1477&gt;0,J1477/AI1477,-1)</f>
        <v>0</v>
      </c>
      <c r="AN1477" s="51" t="n">
        <f aca="false">IF(AND(OR(CF1477="L1",CF1477="L23",CF1477="LIFT"),AI1477&gt;0),SUMIFS($AI$7:$AI$1843,$CF$7:$CF$1843,CF1477,$AM$7:$AM$1843,"&gt;"&amp;AM1477)+SUMIFS($AI$7:$AI$1843,$CF$7:$CF$1843,CF1477,$AM$7:$AM$1843,AM1477,$BW$7:$BW$1843,"&lt;="&amp;BW1477),"")</f>
        <v>29724.1010456116</v>
      </c>
      <c r="AO1477" s="58" t="n">
        <f aca="false">IF(AN1477="",0,MAX(0,MIN(1,(IF(CF1477="L1",Parameter!$H$5,IF(CF1477="L23",Parameter!$H$6+Parameter!$H$7,Parameter!$H$5+Parameter!$H$6+Parameter!$H$7))-(AN1477-AI1477))/AI1477)))</f>
        <v>1</v>
      </c>
      <c r="AP1477" s="50" t="n">
        <f aca="false">IF(LEFT(Cockpit!$I$5,1)="A",H1477,IF(Parameter!$E$30="MAX-Bestand",IF(CH1477=1,CI1477,IF(LEFT(Cockpit!$I$5,1)="B",AV1477,MAX(AV1477,H1477))),ROUNDUP(AT1477,0)))</f>
        <v>6</v>
      </c>
      <c r="AQ1477" s="50" t="n">
        <f aca="false">IF(BZ1477=1,0,ROUNDUP(AP1477/BY1477,0))</f>
        <v>1</v>
      </c>
      <c r="AR1477" s="52" t="n">
        <f aca="false">IF(CQ1477&gt;0,CQ1477*MAX(1,AP1477/X1477),IF(BZ1477=1,IF(AP1477&lt;=0,0,CD1477*MAX(1,IF(H1477&gt;0,AP1477/H1477,1))),IF(R1477&gt;0,AQ1477/R1477,0))/MAX(0.1,N(Parameter!$M$21)))</f>
        <v>0.0384615384615385</v>
      </c>
      <c r="AS1477" s="50" t="n">
        <f aca="false">AR1477*CB1477</f>
        <v>5.96153846153846</v>
      </c>
      <c r="AT1477" s="51" t="n">
        <f aca="false">IF(LEFT(Cockpit!$I$5,1)="A",H1477,IF(CH1477=1,(CK1477+CI1477)/2,IF(LEFT(Cockpit!$I$5,1)="B",(CK1477+AV1477)/2,MAX((CK1477+AV1477)/2,H1477))))</f>
        <v>6</v>
      </c>
      <c r="AU1477" s="50" t="n">
        <f aca="false">AT1477*G1477</f>
        <v>948.06</v>
      </c>
      <c r="AV1477" s="50" t="n">
        <f aca="false">ROUNDUP(CK1477+MAX(CL1477,2*(J1477/IF(CG1477&gt;0,CG1477,MAX(0.1,N(Cockpit!$I$6)))-CK1477)),0)</f>
        <v>2</v>
      </c>
      <c r="AW1477" s="51" t="n">
        <f aca="false">IF(AS1477&gt;0,J1477/AS1477,-1)</f>
        <v>0</v>
      </c>
      <c r="AX1477" s="51" t="n">
        <f aca="false">IF(AND(OR(CF1477="L1",CF1477="L23",CF1477="LIFT"),AS1477&gt;0),SUMIFS($AS$7:$AS$1843,$CF$7:$CF$1843,CF1477,$AW$7:$AW$1843,"&gt;"&amp;AW1477)+SUMIFS($AS$7:$AS$1843,$CF$7:$CF$1843,CF1477,$AW$7:$AW$1843,AW1477,$BW$7:$BW$1843,"&lt;="&amp;BW1477),"")</f>
        <v>36030.6718481613</v>
      </c>
      <c r="AY1477" s="58" t="n">
        <f aca="false">IF(AX1477="",0,MAX(0,MIN(1,(IF(CF1477="L1",Parameter!$H$5,IF(CF1477="L23",Parameter!$H$6+Parameter!$H$7,Parameter!$H$5+Parameter!$H$6+Parameter!$H$7))-(AX1477-AS1477))/AS1477)))</f>
        <v>0</v>
      </c>
      <c r="AZ1477" s="50" t="n">
        <f aca="false">IF(LEFT(Cockpit!$O$5,1)="A",H1477,IF(Parameter!$E$30="MAX-Bestand",IF(CH1477=1,CI1477,IF(LEFT(Cockpit!$O$5,1)="B",BF1477,MAX(BF1477,H1477))),ROUNDUP(BD1477,0)))</f>
        <v>1</v>
      </c>
      <c r="BA1477" s="50" t="n">
        <f aca="false">IF(BZ1477=1,0,ROUNDUP(AZ1477/BY1477,0))</f>
        <v>1</v>
      </c>
      <c r="BB1477" s="52" t="n">
        <f aca="false">IF(CQ1477&gt;0,CQ1477*MAX(1,AZ1477/X1477),IF(BZ1477=1,IF(AZ1477&lt;=0,0,CD1477*MAX(1,IF(H1477&gt;0,AZ1477/H1477,1))),IF(R1477&gt;0,BA1477/R1477,0))/MAX(0.1,N(Parameter!$M$21)))</f>
        <v>0.0384615384615385</v>
      </c>
      <c r="BC1477" s="50" t="n">
        <f aca="false">BB1477*CB1477</f>
        <v>5.96153846153846</v>
      </c>
      <c r="BD1477" s="51" t="n">
        <f aca="false">IF(LEFT(Cockpit!$O$5,1)="A",H1477,IF(CH1477=1,(CK1477+CI1477)/2,IF(LEFT(Cockpit!$O$5,1)="B",(CK1477+BF1477)/2,MAX((CK1477+BF1477)/2,H1477))))</f>
        <v>1</v>
      </c>
      <c r="BE1477" s="50" t="n">
        <f aca="false">BD1477*G1477</f>
        <v>158.01</v>
      </c>
      <c r="BF1477" s="50" t="n">
        <f aca="false">ROUNDUP(CK1477+MAX(CL1477,2*(J1477/IF(CG1477&gt;0,CG1477,MAX(0.1,N(Cockpit!$O$6)))-CK1477)),0)</f>
        <v>2</v>
      </c>
      <c r="BG1477" s="51" t="n">
        <f aca="false">IF(BC1477&gt;0,J1477/BC1477,-1)</f>
        <v>0</v>
      </c>
      <c r="BH1477" s="51" t="n">
        <f aca="false">IF(AND(OR(CF1477="L1",CF1477="L23",CF1477="LIFT"),BC1477&gt;0),SUMIFS($BC$7:$BC$1843,$CF$7:$CF$1843,CF1477,$BG$7:$BG$1843,"&gt;"&amp;BG1477)+SUMIFS($BC$7:$BC$1843,$CF$7:$CF$1843,CF1477,$BG$7:$BG$1843,BG1477,$BW$7:$BW$1843,"&lt;="&amp;BW1477),"")</f>
        <v>30015.978508309</v>
      </c>
      <c r="BI1477" s="58" t="n">
        <f aca="false">IF(BH1477="",0,MAX(0,MIN(1,(IF(CF1477="L1",Parameter!$H$5,IF(CF1477="L23",Parameter!$H$6+Parameter!$H$7,Parameter!$H$5+Parameter!$H$6+Parameter!$H$7))-(BH1477-BC1477))/BC1477)))</f>
        <v>1</v>
      </c>
      <c r="BJ1477" s="48" t="str">
        <f aca="false">IF(AI1477&lt;=0,"",IF(CF1477="Aussen","Aussenlager",IF(CF1477="-","Nicht im Lift",IF(AO1477&gt;=1,"Lift",IF(AO1477&lt;=0,"Aussenlager","teilweise")))))</f>
        <v>Lift</v>
      </c>
      <c r="BK1477" s="48" t="str">
        <f aca="false">IF(AS1477&lt;=0,"",IF(CF1477="Aussen","Aussenlager",IF(CF1477="-","Nicht im Lift",IF(AY1477&gt;=1,"Lift",IF(AY1477&lt;=0,"Aussenlager","teilweise")))))</f>
        <v>Aussenlager</v>
      </c>
      <c r="BL1477" s="48" t="str">
        <f aca="false">IF(BC1477&lt;=0,"",IF(CF1477="Aussen","Aussenlager",IF(CF1477="-","Nicht im Lift",IF(BI1477&gt;=1,"Lift",IF(BI1477&lt;=0,"Aussenlager","teilweise")))))</f>
        <v>Lift</v>
      </c>
      <c r="BM1477" s="48" t="str">
        <f aca="false">IF(A1477="","",IF(BV1477=1,"Neu; ","")&amp;IF(AND(BV1477=0,BQ1477&lt;0),"negativer Bestand (Export "&amp;BQ1477&amp;"); ","")&amp;IF(J1477&lt;=0,"Kein Verbrauch; ","")&amp;IF(CQ1477&gt;0,"Lift "&amp;W1477&amp;" lt. Liftbericht (Fach "&amp;X1477&amp;" Stk); ",IF(CA1477=1,"Gebinde geschätzt ("&amp;T1477&amp;"); ",IF(BZ1477=1,"Lose – Tablare geschätzt; ","")))&amp;IF(H1477&gt;AV1477,"Überbestand "&amp;ROUND(H1477-AV1477,0)&amp;" Stk / CHF "&amp;ROUND((H1477-AV1477)*G1477,0)&amp;"; ","")&amp;IF(AND(CH1477=1,CI1477&lt;CJ1477),"MAX &lt; MB+LG; ","")&amp;IF(AND(CP1477&gt;0,CO1477*10&gt;CP1477),"zu hoch für Tablar; ","")&amp;IF(AND(BV1477=0,OR(CH1477=1,AA1477&lt;&gt;"",U1477&lt;&gt;"",V1477&lt;&gt;"",AB1477&lt;&gt;"")),"manuell übersteuert; ","")&amp;IF(AND(BZ1477=0,R1477=0),"Gebinde unbekannt / Stellmass fehlt; ","")&amp;IF(AND(BZ1477=0,N(V1477)&lt;=0,N(Q1477)&lt;=0),"Menge pro Gebinde fehlt (Ist = 1 Gebinde); ","")&amp;BU1477)</f>
        <v>Kein Verbrauch; Überbestand 4 Stk / CHF 632; nur im Artikelstamm (Bestand 23.06.2026)</v>
      </c>
      <c r="BN1477" s="48"/>
      <c r="BO1477" s="48"/>
      <c r="BP1477" s="55"/>
      <c r="BQ1477" s="50" t="n">
        <v>6</v>
      </c>
      <c r="BR1477" s="50" t="n">
        <v>0</v>
      </c>
      <c r="BS1477" s="49" t="n">
        <v>0</v>
      </c>
      <c r="BT1477" s="50" t="n">
        <v>0</v>
      </c>
      <c r="BU1477" s="48" t="s">
        <v>2584</v>
      </c>
      <c r="BV1477" s="53" t="n">
        <v>0</v>
      </c>
      <c r="BW1477" s="53" t="n">
        <v>1477</v>
      </c>
      <c r="BX1477" s="48" t="str">
        <f aca="false">IF(U1477&lt;&gt;"",UPPER(TRIM(U1477)),IF(CA1477=1,UPPER(VLOOKUP(T1477,Parameter!$I$27:$K$29,2,0)),IF(P1477="","LOSE",P1477)))</f>
        <v>S51</v>
      </c>
      <c r="BY1477" s="50" t="n">
        <f aca="false">IF(BX1477="LOSE",1,IF(N(V1477)&gt;0,V1477,IF(CA1477=1,MAX(1,N(VLOOKUP(T1477,Parameter!$I$27:$K$29,3,0)),H1477,N(N1477)),IF(N(Q1477)&gt;0,Q1477,MAX(1,H1477)))))</f>
        <v>6</v>
      </c>
      <c r="BZ1477" s="53" t="n">
        <f aca="false">IF(BX1477="LOSE",1,0)</f>
        <v>0</v>
      </c>
      <c r="CA1477" s="53" t="n">
        <f aca="false">IF(AND(U1477="",OR(P1477="",P1477="LOSE"),T1477&lt;&gt;"",N(S1477)&lt;=0,ISNUMBER(MATCH(T1477,Parameter!$I$27:$I$29,0))),1,0)</f>
        <v>0</v>
      </c>
      <c r="CB1477" s="53" t="n">
        <f aca="false">IF(CQ1477&gt;0,INDEX(Parameter!$H$5:$H$7,W1477)/INDEX(Parameter!$E$5:$E$7,W1477),IF(AND(BZ1477=0,N(IFERROR(VLOOKUP(BX1477,'Gebinde-Kategorie'!$A$5:$N$45,14,0),0))&gt;0),VLOOKUP(BX1477,'Gebinde-Kategorie'!$A$5:$N$45,14,0)*10+Parameter!$M$23,Parameter!$M$24))</f>
        <v>155</v>
      </c>
      <c r="CC1477" s="48" t="str">
        <f aca="false">IF(AND(Parameter!$B$19="Ja",E1477&lt;&gt;"",ISNUMBER(MATCH(E1477,Parameter!$I$35:$I$52,0))),VLOOKUP(E1477,Parameter!$I$35:$J$52,2,0),IFERROR(VLOOKUP(D1477,Parameter!$A$35:$C$64,2,0),"Nein"))</f>
        <v>2+3</v>
      </c>
      <c r="CD1477" s="52" t="n">
        <f aca="false">IF(BZ1477=0,0,IF(N(S1477)&gt;0,S1477,IFERROR(VLOOKUP(D1477,Parameter!$A$35:$C$64,3,0)+0,0)))</f>
        <v>0</v>
      </c>
      <c r="CE1477" s="48" t="n">
        <f aca="false">IF(AA1477&lt;&gt;"",AA1477,Z1477)</f>
        <v>3</v>
      </c>
      <c r="CF1477" s="48" t="str">
        <f aca="false">IF(OR(CE1477=1,CE1477=2,CE1477=3),IF(Parameter!$E$27="Ja","LIFT",IF(CE1477=1,"L1","L23")),IF(CE1477="Aussen","Aussen","-"))</f>
        <v>LIFT</v>
      </c>
      <c r="CG1477" s="59" t="n">
        <f aca="false">IF(N(AB1477)&gt;0,AB1477,0)</f>
        <v>0</v>
      </c>
      <c r="CH1477" s="53" t="n">
        <f aca="false">IF(ISNUMBER(AE1477),1,0)</f>
        <v>0</v>
      </c>
      <c r="CI1477" s="50" t="n">
        <f aca="false">N(AE1477)</f>
        <v>0</v>
      </c>
      <c r="CJ1477" s="50" t="n">
        <f aca="false">N(M1477)+N(N1477)</f>
        <v>2</v>
      </c>
      <c r="CK1477" s="50" t="n">
        <f aca="false">N(M1477)</f>
        <v>0</v>
      </c>
      <c r="CL1477" s="50" t="n">
        <f aca="false">N(N1477)</f>
        <v>2</v>
      </c>
      <c r="CM1477" s="50" t="n">
        <f aca="false">ROUNDUP(H1477/BY1477,0)</f>
        <v>1</v>
      </c>
      <c r="CN1477" s="50" t="n">
        <f aca="false">ROUNDUP(CI1477/BY1477,0)</f>
        <v>0</v>
      </c>
      <c r="CO1477" s="53" t="n">
        <f aca="false">IF(BZ1477=1,0,IFERROR(VLOOKUP(BX1477,'Gebinde-Kategorie'!$A$5:$N$45,5,0)+0,0))</f>
        <v>11</v>
      </c>
      <c r="CP1477" s="53" t="n">
        <f aca="false">IFERROR(IF(OR(CE1477=1,CE1477=2,CE1477=3),N(INDEX(Parameter!$I$5:$I$7,CE1477)),0),0)</f>
        <v>0</v>
      </c>
      <c r="CQ1477" s="52" t="n">
        <f aca="false">IF(AND(Parameter!$B$21="Ja",ISNUMBER(W1477),N(X1477)&gt;0),IFERROR(N(INDEX(Parameter!$L$5:$L$7,W1477))*INDEX(Parameter!$E$5:$E$7,W1477)*X1477/SUMIFS($X$7:$X$1843,$W$7:$W$1843,W1477),0),0)</f>
        <v>0</v>
      </c>
    </row>
    <row r="1478" customFormat="false" ht="15" hidden="false" customHeight="false" outlineLevel="0" collapsed="false">
      <c r="A1478" s="48" t="s">
        <v>2593</v>
      </c>
      <c r="B1478" s="48" t="s">
        <v>2594</v>
      </c>
      <c r="C1478" s="48" t="s">
        <v>173</v>
      </c>
      <c r="D1478" s="48" t="s">
        <v>193</v>
      </c>
      <c r="E1478" s="48" t="s">
        <v>194</v>
      </c>
      <c r="F1478" s="48"/>
      <c r="G1478" s="49" t="n">
        <v>11.85</v>
      </c>
      <c r="H1478" s="50" t="n">
        <f aca="false">MAX(0,IF(AND(Parameter!$B$21="Ja",ISNUMBER(Y1478)),Y1478,IF(Parameter!$B$20="Jahresanfang 2025 + Export",BR1478+BQ1478,BQ1478)))</f>
        <v>6</v>
      </c>
      <c r="I1478" s="50" t="n">
        <f aca="false">H1478*G1478</f>
        <v>71.1</v>
      </c>
      <c r="J1478" s="50" t="n">
        <f aca="false">BT1478*Parameter!$B$18</f>
        <v>0</v>
      </c>
      <c r="K1478" s="51"/>
      <c r="L1478" s="52"/>
      <c r="M1478" s="50" t="n">
        <v>0</v>
      </c>
      <c r="N1478" s="50" t="n">
        <v>5</v>
      </c>
      <c r="O1478" s="53" t="n">
        <v>56</v>
      </c>
      <c r="P1478" s="48" t="s">
        <v>435</v>
      </c>
      <c r="Q1478" s="50" t="n">
        <v>6</v>
      </c>
      <c r="R1478" s="53" t="n">
        <f aca="false">IF(BZ1478=1,0,IFERROR(VLOOKUP(BX1478,'Gebinde-Kategorie'!$A$5:$N$45,13,0)+0,0))</f>
        <v>140</v>
      </c>
      <c r="S1478" s="54"/>
      <c r="T1478" s="55"/>
      <c r="U1478" s="55"/>
      <c r="V1478" s="55"/>
      <c r="W1478" s="48"/>
      <c r="X1478" s="50"/>
      <c r="Y1478" s="50"/>
      <c r="Z1478" s="48" t="n">
        <f aca="false">IF(A1478="","",IF(AND(Parameter!$B$21="Ja",ISNUMBER(W1478)),W1478,IF(CC1478="2+3",IF(ISNUMBER(SEARCH("grosser Artikel",BU1478)),2,IFERROR(VLOOKUP(BX1478,Parameter!$F$35:$G$64,2,0),2)),IF(OR(CC1478="Nein",CC1478=""),"-",CC1478))))</f>
        <v>3</v>
      </c>
      <c r="AA1478" s="55"/>
      <c r="AB1478" s="56"/>
      <c r="AC1478" s="50" t="n">
        <f aca="false">AV1478</f>
        <v>5</v>
      </c>
      <c r="AD1478" s="50" t="n">
        <f aca="false">MAX(AV1478,H1478)</f>
        <v>6</v>
      </c>
      <c r="AE1478" s="57"/>
      <c r="AF1478" s="50" t="n">
        <f aca="false">IF(LEFT(Cockpit!$C$5,1)="A",H1478,IF(Parameter!$E$30="MAX-Bestand",IF(CH1478=1,CI1478,IF(LEFT(Cockpit!$C$5,1)="B",AL1478,MAX(AL1478,H1478))),ROUNDUP(AJ1478,0)))</f>
        <v>6</v>
      </c>
      <c r="AG1478" s="50" t="n">
        <f aca="false">IF(BZ1478=1,0,ROUNDUP(AF1478/BY1478,0))</f>
        <v>1</v>
      </c>
      <c r="AH1478" s="52" t="n">
        <f aca="false">IF(CQ1478&gt;0,CQ1478*MAX(1,AF1478/X1478),IF(BZ1478=1,IF(AF1478&lt;=0,0,CD1478*MAX(1,IF(H1478&gt;0,AF1478/H1478,1))),IF(R1478&gt;0,AG1478/R1478,0))/MAX(0.1,N(Parameter!$M$21)))</f>
        <v>0.00714285714285714</v>
      </c>
      <c r="AI1478" s="50" t="n">
        <f aca="false">AH1478*CB1478</f>
        <v>1.10714285714286</v>
      </c>
      <c r="AJ1478" s="51" t="n">
        <f aca="false">IF(LEFT(Cockpit!$C$5,1)="A",H1478,IF(CH1478=1,(CK1478+CI1478)/2,IF(LEFT(Cockpit!$C$5,1)="B",(CK1478+AL1478)/2,MAX((CK1478+AL1478)/2,H1478))))</f>
        <v>6</v>
      </c>
      <c r="AK1478" s="50" t="n">
        <f aca="false">AJ1478*G1478</f>
        <v>71.1</v>
      </c>
      <c r="AL1478" s="50" t="n">
        <f aca="false">ROUNDUP(CK1478+MAX(CL1478,2*(J1478/IF(CG1478&gt;0,CG1478,MAX(0.1,N(Cockpit!$C$6)))-CK1478)),0)</f>
        <v>5</v>
      </c>
      <c r="AM1478" s="51" t="n">
        <f aca="false">IF(AI1478&gt;0,J1478/AI1478,-1)</f>
        <v>0</v>
      </c>
      <c r="AN1478" s="51" t="n">
        <f aca="false">IF(AND(OR(CF1478="L1",CF1478="L23",CF1478="LIFT"),AI1478&gt;0),SUMIFS($AI$7:$AI$1843,$CF$7:$CF$1843,CF1478,$AM$7:$AM$1843,"&gt;"&amp;AM1478)+SUMIFS($AI$7:$AI$1843,$CF$7:$CF$1843,CF1478,$AM$7:$AM$1843,AM1478,$BW$7:$BW$1843,"&lt;="&amp;BW1478),"")</f>
        <v>29725.2081884688</v>
      </c>
      <c r="AO1478" s="58" t="n">
        <f aca="false">IF(AN1478="",0,MAX(0,MIN(1,(IF(CF1478="L1",Parameter!$H$5,IF(CF1478="L23",Parameter!$H$6+Parameter!$H$7,Parameter!$H$5+Parameter!$H$6+Parameter!$H$7))-(AN1478-AI1478))/AI1478)))</f>
        <v>1</v>
      </c>
      <c r="AP1478" s="50" t="n">
        <f aca="false">IF(LEFT(Cockpit!$I$5,1)="A",H1478,IF(Parameter!$E$30="MAX-Bestand",IF(CH1478=1,CI1478,IF(LEFT(Cockpit!$I$5,1)="B",AV1478,MAX(AV1478,H1478))),ROUNDUP(AT1478,0)))</f>
        <v>6</v>
      </c>
      <c r="AQ1478" s="50" t="n">
        <f aca="false">IF(BZ1478=1,0,ROUNDUP(AP1478/BY1478,0))</f>
        <v>1</v>
      </c>
      <c r="AR1478" s="52" t="n">
        <f aca="false">IF(CQ1478&gt;0,CQ1478*MAX(1,AP1478/X1478),IF(BZ1478=1,IF(AP1478&lt;=0,0,CD1478*MAX(1,IF(H1478&gt;0,AP1478/H1478,1))),IF(R1478&gt;0,AQ1478/R1478,0))/MAX(0.1,N(Parameter!$M$21)))</f>
        <v>0.00714285714285714</v>
      </c>
      <c r="AS1478" s="50" t="n">
        <f aca="false">AR1478*CB1478</f>
        <v>1.10714285714286</v>
      </c>
      <c r="AT1478" s="51" t="n">
        <f aca="false">IF(LEFT(Cockpit!$I$5,1)="A",H1478,IF(CH1478=1,(CK1478+CI1478)/2,IF(LEFT(Cockpit!$I$5,1)="B",(CK1478+AV1478)/2,MAX((CK1478+AV1478)/2,H1478))))</f>
        <v>6</v>
      </c>
      <c r="AU1478" s="50" t="n">
        <f aca="false">AT1478*G1478</f>
        <v>71.1</v>
      </c>
      <c r="AV1478" s="50" t="n">
        <f aca="false">ROUNDUP(CK1478+MAX(CL1478,2*(J1478/IF(CG1478&gt;0,CG1478,MAX(0.1,N(Cockpit!$I$6)))-CK1478)),0)</f>
        <v>5</v>
      </c>
      <c r="AW1478" s="51" t="n">
        <f aca="false">IF(AS1478&gt;0,J1478/AS1478,-1)</f>
        <v>0</v>
      </c>
      <c r="AX1478" s="51" t="n">
        <f aca="false">IF(AND(OR(CF1478="L1",CF1478="L23",CF1478="LIFT"),AS1478&gt;0),SUMIFS($AS$7:$AS$1843,$CF$7:$CF$1843,CF1478,$AW$7:$AW$1843,"&gt;"&amp;AW1478)+SUMIFS($AS$7:$AS$1843,$CF$7:$CF$1843,CF1478,$AW$7:$AW$1843,AW1478,$BW$7:$BW$1843,"&lt;="&amp;BW1478),"")</f>
        <v>36031.7789910184</v>
      </c>
      <c r="AY1478" s="58" t="n">
        <f aca="false">IF(AX1478="",0,MAX(0,MIN(1,(IF(CF1478="L1",Parameter!$H$5,IF(CF1478="L23",Parameter!$H$6+Parameter!$H$7,Parameter!$H$5+Parameter!$H$6+Parameter!$H$7))-(AX1478-AS1478))/AS1478)))</f>
        <v>0</v>
      </c>
      <c r="AZ1478" s="50" t="n">
        <f aca="false">IF(LEFT(Cockpit!$O$5,1)="A",H1478,IF(Parameter!$E$30="MAX-Bestand",IF(CH1478=1,CI1478,IF(LEFT(Cockpit!$O$5,1)="B",BF1478,MAX(BF1478,H1478))),ROUNDUP(BD1478,0)))</f>
        <v>3</v>
      </c>
      <c r="BA1478" s="50" t="n">
        <f aca="false">IF(BZ1478=1,0,ROUNDUP(AZ1478/BY1478,0))</f>
        <v>1</v>
      </c>
      <c r="BB1478" s="52" t="n">
        <f aca="false">IF(CQ1478&gt;0,CQ1478*MAX(1,AZ1478/X1478),IF(BZ1478=1,IF(AZ1478&lt;=0,0,CD1478*MAX(1,IF(H1478&gt;0,AZ1478/H1478,1))),IF(R1478&gt;0,BA1478/R1478,0))/MAX(0.1,N(Parameter!$M$21)))</f>
        <v>0.00714285714285714</v>
      </c>
      <c r="BC1478" s="50" t="n">
        <f aca="false">BB1478*CB1478</f>
        <v>1.10714285714286</v>
      </c>
      <c r="BD1478" s="51" t="n">
        <f aca="false">IF(LEFT(Cockpit!$O$5,1)="A",H1478,IF(CH1478=1,(CK1478+CI1478)/2,IF(LEFT(Cockpit!$O$5,1)="B",(CK1478+BF1478)/2,MAX((CK1478+BF1478)/2,H1478))))</f>
        <v>2.5</v>
      </c>
      <c r="BE1478" s="50" t="n">
        <f aca="false">BD1478*G1478</f>
        <v>29.625</v>
      </c>
      <c r="BF1478" s="50" t="n">
        <f aca="false">ROUNDUP(CK1478+MAX(CL1478,2*(J1478/IF(CG1478&gt;0,CG1478,MAX(0.1,N(Cockpit!$O$6)))-CK1478)),0)</f>
        <v>5</v>
      </c>
      <c r="BG1478" s="51" t="n">
        <f aca="false">IF(BC1478&gt;0,J1478/BC1478,-1)</f>
        <v>0</v>
      </c>
      <c r="BH1478" s="51" t="n">
        <f aca="false">IF(AND(OR(CF1478="L1",CF1478="L23",CF1478="LIFT"),BC1478&gt;0),SUMIFS($BC$7:$BC$1843,$CF$7:$CF$1843,CF1478,$BG$7:$BG$1843,"&gt;"&amp;BG1478)+SUMIFS($BC$7:$BC$1843,$CF$7:$CF$1843,CF1478,$BG$7:$BG$1843,BG1478,$BW$7:$BW$1843,"&lt;="&amp;BW1478),"")</f>
        <v>30017.0856511662</v>
      </c>
      <c r="BI1478" s="58" t="n">
        <f aca="false">IF(BH1478="",0,MAX(0,MIN(1,(IF(CF1478="L1",Parameter!$H$5,IF(CF1478="L23",Parameter!$H$6+Parameter!$H$7,Parameter!$H$5+Parameter!$H$6+Parameter!$H$7))-(BH1478-BC1478))/BC1478)))</f>
        <v>1</v>
      </c>
      <c r="BJ1478" s="48" t="str">
        <f aca="false">IF(AI1478&lt;=0,"",IF(CF1478="Aussen","Aussenlager",IF(CF1478="-","Nicht im Lift",IF(AO1478&gt;=1,"Lift",IF(AO1478&lt;=0,"Aussenlager","teilweise")))))</f>
        <v>Lift</v>
      </c>
      <c r="BK1478" s="48" t="str">
        <f aca="false">IF(AS1478&lt;=0,"",IF(CF1478="Aussen","Aussenlager",IF(CF1478="-","Nicht im Lift",IF(AY1478&gt;=1,"Lift",IF(AY1478&lt;=0,"Aussenlager","teilweise")))))</f>
        <v>Aussenlager</v>
      </c>
      <c r="BL1478" s="48" t="str">
        <f aca="false">IF(BC1478&lt;=0,"",IF(CF1478="Aussen","Aussenlager",IF(CF1478="-","Nicht im Lift",IF(BI1478&gt;=1,"Lift",IF(BI1478&lt;=0,"Aussenlager","teilweise")))))</f>
        <v>Lift</v>
      </c>
      <c r="BM1478" s="48" t="str">
        <f aca="false">IF(A1478="","",IF(BV1478=1,"Neu; ","")&amp;IF(AND(BV1478=0,BQ1478&lt;0),"negativer Bestand (Export "&amp;BQ1478&amp;"); ","")&amp;IF(J1478&lt;=0,"Kein Verbrauch; ","")&amp;IF(CQ1478&gt;0,"Lift "&amp;W1478&amp;" lt. Liftbericht (Fach "&amp;X1478&amp;" Stk); ",IF(CA1478=1,"Gebinde geschätzt ("&amp;T1478&amp;"); ",IF(BZ1478=1,"Lose – Tablare geschätzt; ","")))&amp;IF(H1478&gt;AV1478,"Überbestand "&amp;ROUND(H1478-AV1478,0)&amp;" Stk / CHF "&amp;ROUND((H1478-AV1478)*G1478,0)&amp;"; ","")&amp;IF(AND(CH1478=1,CI1478&lt;CJ1478),"MAX &lt; MB+LG; ","")&amp;IF(AND(CP1478&gt;0,CO1478*10&gt;CP1478),"zu hoch für Tablar; ","")&amp;IF(AND(BV1478=0,OR(CH1478=1,AA1478&lt;&gt;"",U1478&lt;&gt;"",V1478&lt;&gt;"",AB1478&lt;&gt;"")),"manuell übersteuert; ","")&amp;IF(AND(BZ1478=0,R1478=0),"Gebinde unbekannt / Stellmass fehlt; ","")&amp;IF(AND(BZ1478=0,N(V1478)&lt;=0,N(Q1478)&lt;=0),"Menge pro Gebinde fehlt (Ist = 1 Gebinde); ","")&amp;BU1478)</f>
        <v>Kein Verbrauch; Überbestand 1 Stk / CHF 12; nur im Artikelstamm (Bestand 23.06.2026)</v>
      </c>
      <c r="BN1478" s="48"/>
      <c r="BO1478" s="48"/>
      <c r="BP1478" s="55"/>
      <c r="BQ1478" s="50" t="n">
        <v>6</v>
      </c>
      <c r="BR1478" s="50" t="n">
        <v>0</v>
      </c>
      <c r="BS1478" s="49" t="n">
        <v>0</v>
      </c>
      <c r="BT1478" s="50" t="n">
        <v>0</v>
      </c>
      <c r="BU1478" s="48" t="s">
        <v>2584</v>
      </c>
      <c r="BV1478" s="53" t="n">
        <v>0</v>
      </c>
      <c r="BW1478" s="53" t="n">
        <v>1478</v>
      </c>
      <c r="BX1478" s="48" t="str">
        <f aca="false">IF(U1478&lt;&gt;"",UPPER(TRIM(U1478)),IF(CA1478=1,UPPER(VLOOKUP(T1478,Parameter!$I$27:$K$29,2,0)),IF(P1478="","LOSE",P1478)))</f>
        <v>S22</v>
      </c>
      <c r="BY1478" s="50" t="n">
        <f aca="false">IF(BX1478="LOSE",1,IF(N(V1478)&gt;0,V1478,IF(CA1478=1,MAX(1,N(VLOOKUP(T1478,Parameter!$I$27:$K$29,3,0)),H1478,N(N1478)),IF(N(Q1478)&gt;0,Q1478,MAX(1,H1478)))))</f>
        <v>6</v>
      </c>
      <c r="BZ1478" s="53" t="n">
        <f aca="false">IF(BX1478="LOSE",1,0)</f>
        <v>0</v>
      </c>
      <c r="CA1478" s="53" t="n">
        <f aca="false">IF(AND(U1478="",OR(P1478="",P1478="LOSE"),T1478&lt;&gt;"",N(S1478)&lt;=0,ISNUMBER(MATCH(T1478,Parameter!$I$27:$I$29,0))),1,0)</f>
        <v>0</v>
      </c>
      <c r="CB1478" s="53" t="n">
        <f aca="false">IF(CQ1478&gt;0,INDEX(Parameter!$H$5:$H$7,W1478)/INDEX(Parameter!$E$5:$E$7,W1478),IF(AND(BZ1478=0,N(IFERROR(VLOOKUP(BX1478,'Gebinde-Kategorie'!$A$5:$N$45,14,0),0))&gt;0),VLOOKUP(BX1478,'Gebinde-Kategorie'!$A$5:$N$45,14,0)*10+Parameter!$M$23,Parameter!$M$24))</f>
        <v>155</v>
      </c>
      <c r="CC1478" s="48" t="str">
        <f aca="false">IF(AND(Parameter!$B$19="Ja",E1478&lt;&gt;"",ISNUMBER(MATCH(E1478,Parameter!$I$35:$I$52,0))),VLOOKUP(E1478,Parameter!$I$35:$J$52,2,0),IFERROR(VLOOKUP(D1478,Parameter!$A$35:$C$64,2,0),"Nein"))</f>
        <v>2+3</v>
      </c>
      <c r="CD1478" s="52" t="n">
        <f aca="false">IF(BZ1478=0,0,IF(N(S1478)&gt;0,S1478,IFERROR(VLOOKUP(D1478,Parameter!$A$35:$C$64,3,0)+0,0)))</f>
        <v>0</v>
      </c>
      <c r="CE1478" s="48" t="n">
        <f aca="false">IF(AA1478&lt;&gt;"",AA1478,Z1478)</f>
        <v>3</v>
      </c>
      <c r="CF1478" s="48" t="str">
        <f aca="false">IF(OR(CE1478=1,CE1478=2,CE1478=3),IF(Parameter!$E$27="Ja","LIFT",IF(CE1478=1,"L1","L23")),IF(CE1478="Aussen","Aussen","-"))</f>
        <v>LIFT</v>
      </c>
      <c r="CG1478" s="59" t="n">
        <f aca="false">IF(N(AB1478)&gt;0,AB1478,0)</f>
        <v>0</v>
      </c>
      <c r="CH1478" s="53" t="n">
        <f aca="false">IF(ISNUMBER(AE1478),1,0)</f>
        <v>0</v>
      </c>
      <c r="CI1478" s="50" t="n">
        <f aca="false">N(AE1478)</f>
        <v>0</v>
      </c>
      <c r="CJ1478" s="50" t="n">
        <f aca="false">N(M1478)+N(N1478)</f>
        <v>5</v>
      </c>
      <c r="CK1478" s="50" t="n">
        <f aca="false">N(M1478)</f>
        <v>0</v>
      </c>
      <c r="CL1478" s="50" t="n">
        <f aca="false">N(N1478)</f>
        <v>5</v>
      </c>
      <c r="CM1478" s="50" t="n">
        <f aca="false">ROUNDUP(H1478/BY1478,0)</f>
        <v>1</v>
      </c>
      <c r="CN1478" s="50" t="n">
        <f aca="false">ROUNDUP(CI1478/BY1478,0)</f>
        <v>0</v>
      </c>
      <c r="CO1478" s="53" t="n">
        <f aca="false">IF(BZ1478=1,0,IFERROR(VLOOKUP(BX1478,'Gebinde-Kategorie'!$A$5:$N$45,5,0)+0,0))</f>
        <v>8</v>
      </c>
      <c r="CP1478" s="53" t="n">
        <f aca="false">IFERROR(IF(OR(CE1478=1,CE1478=2,CE1478=3),N(INDEX(Parameter!$I$5:$I$7,CE1478)),0),0)</f>
        <v>0</v>
      </c>
      <c r="CQ1478" s="52" t="n">
        <f aca="false">IF(AND(Parameter!$B$21="Ja",ISNUMBER(W1478),N(X1478)&gt;0),IFERROR(N(INDEX(Parameter!$L$5:$L$7,W1478))*INDEX(Parameter!$E$5:$E$7,W1478)*X1478/SUMIFS($X$7:$X$1843,$W$7:$W$1843,W1478),0),0)</f>
        <v>0</v>
      </c>
    </row>
    <row r="1479" customFormat="false" ht="15" hidden="false" customHeight="false" outlineLevel="0" collapsed="false">
      <c r="A1479" s="48" t="s">
        <v>2595</v>
      </c>
      <c r="B1479" s="48" t="s">
        <v>2596</v>
      </c>
      <c r="C1479" s="48" t="s">
        <v>173</v>
      </c>
      <c r="D1479" s="48" t="s">
        <v>193</v>
      </c>
      <c r="E1479" s="48" t="s">
        <v>194</v>
      </c>
      <c r="F1479" s="48"/>
      <c r="G1479" s="49" t="n">
        <v>8.4</v>
      </c>
      <c r="H1479" s="50" t="n">
        <f aca="false">MAX(0,IF(AND(Parameter!$B$21="Ja",ISNUMBER(Y1479)),Y1479,IF(Parameter!$B$20="Jahresanfang 2025 + Export",BR1479+BQ1479,BQ1479)))</f>
        <v>9</v>
      </c>
      <c r="I1479" s="50" t="n">
        <f aca="false">H1479*G1479</f>
        <v>75.6</v>
      </c>
      <c r="J1479" s="50" t="n">
        <f aca="false">BT1479*Parameter!$B$18</f>
        <v>0</v>
      </c>
      <c r="K1479" s="51"/>
      <c r="L1479" s="52"/>
      <c r="M1479" s="50" t="n">
        <v>0</v>
      </c>
      <c r="N1479" s="50" t="n">
        <v>6</v>
      </c>
      <c r="O1479" s="53" t="n">
        <v>35</v>
      </c>
      <c r="P1479" s="48" t="s">
        <v>435</v>
      </c>
      <c r="Q1479" s="50" t="n">
        <v>9</v>
      </c>
      <c r="R1479" s="53" t="n">
        <f aca="false">IF(BZ1479=1,0,IFERROR(VLOOKUP(BX1479,'Gebinde-Kategorie'!$A$5:$N$45,13,0)+0,0))</f>
        <v>140</v>
      </c>
      <c r="S1479" s="54"/>
      <c r="T1479" s="55"/>
      <c r="U1479" s="55"/>
      <c r="V1479" s="55"/>
      <c r="W1479" s="48"/>
      <c r="X1479" s="50"/>
      <c r="Y1479" s="50"/>
      <c r="Z1479" s="48" t="n">
        <f aca="false">IF(A1479="","",IF(AND(Parameter!$B$21="Ja",ISNUMBER(W1479)),W1479,IF(CC1479="2+3",IF(ISNUMBER(SEARCH("grosser Artikel",BU1479)),2,IFERROR(VLOOKUP(BX1479,Parameter!$F$35:$G$64,2,0),2)),IF(OR(CC1479="Nein",CC1479=""),"-",CC1479))))</f>
        <v>3</v>
      </c>
      <c r="AA1479" s="55"/>
      <c r="AB1479" s="56"/>
      <c r="AC1479" s="50" t="n">
        <f aca="false">AV1479</f>
        <v>6</v>
      </c>
      <c r="AD1479" s="50" t="n">
        <f aca="false">MAX(AV1479,H1479)</f>
        <v>9</v>
      </c>
      <c r="AE1479" s="57"/>
      <c r="AF1479" s="50" t="n">
        <f aca="false">IF(LEFT(Cockpit!$C$5,1)="A",H1479,IF(Parameter!$E$30="MAX-Bestand",IF(CH1479=1,CI1479,IF(LEFT(Cockpit!$C$5,1)="B",AL1479,MAX(AL1479,H1479))),ROUNDUP(AJ1479,0)))</f>
        <v>9</v>
      </c>
      <c r="AG1479" s="50" t="n">
        <f aca="false">IF(BZ1479=1,0,ROUNDUP(AF1479/BY1479,0))</f>
        <v>1</v>
      </c>
      <c r="AH1479" s="52" t="n">
        <f aca="false">IF(CQ1479&gt;0,CQ1479*MAX(1,AF1479/X1479),IF(BZ1479=1,IF(AF1479&lt;=0,0,CD1479*MAX(1,IF(H1479&gt;0,AF1479/H1479,1))),IF(R1479&gt;0,AG1479/R1479,0))/MAX(0.1,N(Parameter!$M$21)))</f>
        <v>0.00714285714285714</v>
      </c>
      <c r="AI1479" s="50" t="n">
        <f aca="false">AH1479*CB1479</f>
        <v>1.10714285714286</v>
      </c>
      <c r="AJ1479" s="51" t="n">
        <f aca="false">IF(LEFT(Cockpit!$C$5,1)="A",H1479,IF(CH1479=1,(CK1479+CI1479)/2,IF(LEFT(Cockpit!$C$5,1)="B",(CK1479+AL1479)/2,MAX((CK1479+AL1479)/2,H1479))))</f>
        <v>9</v>
      </c>
      <c r="AK1479" s="50" t="n">
        <f aca="false">AJ1479*G1479</f>
        <v>75.6</v>
      </c>
      <c r="AL1479" s="50" t="n">
        <f aca="false">ROUNDUP(CK1479+MAX(CL1479,2*(J1479/IF(CG1479&gt;0,CG1479,MAX(0.1,N(Cockpit!$C$6)))-CK1479)),0)</f>
        <v>6</v>
      </c>
      <c r="AM1479" s="51" t="n">
        <f aca="false">IF(AI1479&gt;0,J1479/AI1479,-1)</f>
        <v>0</v>
      </c>
      <c r="AN1479" s="51" t="n">
        <f aca="false">IF(AND(OR(CF1479="L1",CF1479="L23",CF1479="LIFT"),AI1479&gt;0),SUMIFS($AI$7:$AI$1843,$CF$7:$CF$1843,CF1479,$AM$7:$AM$1843,"&gt;"&amp;AM1479)+SUMIFS($AI$7:$AI$1843,$CF$7:$CF$1843,CF1479,$AM$7:$AM$1843,AM1479,$BW$7:$BW$1843,"&lt;="&amp;BW1479),"")</f>
        <v>29726.3153313259</v>
      </c>
      <c r="AO1479" s="58" t="n">
        <f aca="false">IF(AN1479="",0,MAX(0,MIN(1,(IF(CF1479="L1",Parameter!$H$5,IF(CF1479="L23",Parameter!$H$6+Parameter!$H$7,Parameter!$H$5+Parameter!$H$6+Parameter!$H$7))-(AN1479-AI1479))/AI1479)))</f>
        <v>1</v>
      </c>
      <c r="AP1479" s="50" t="n">
        <f aca="false">IF(LEFT(Cockpit!$I$5,1)="A",H1479,IF(Parameter!$E$30="MAX-Bestand",IF(CH1479=1,CI1479,IF(LEFT(Cockpit!$I$5,1)="B",AV1479,MAX(AV1479,H1479))),ROUNDUP(AT1479,0)))</f>
        <v>9</v>
      </c>
      <c r="AQ1479" s="50" t="n">
        <f aca="false">IF(BZ1479=1,0,ROUNDUP(AP1479/BY1479,0))</f>
        <v>1</v>
      </c>
      <c r="AR1479" s="52" t="n">
        <f aca="false">IF(CQ1479&gt;0,CQ1479*MAX(1,AP1479/X1479),IF(BZ1479=1,IF(AP1479&lt;=0,0,CD1479*MAX(1,IF(H1479&gt;0,AP1479/H1479,1))),IF(R1479&gt;0,AQ1479/R1479,0))/MAX(0.1,N(Parameter!$M$21)))</f>
        <v>0.00714285714285714</v>
      </c>
      <c r="AS1479" s="50" t="n">
        <f aca="false">AR1479*CB1479</f>
        <v>1.10714285714286</v>
      </c>
      <c r="AT1479" s="51" t="n">
        <f aca="false">IF(LEFT(Cockpit!$I$5,1)="A",H1479,IF(CH1479=1,(CK1479+CI1479)/2,IF(LEFT(Cockpit!$I$5,1)="B",(CK1479+AV1479)/2,MAX((CK1479+AV1479)/2,H1479))))</f>
        <v>9</v>
      </c>
      <c r="AU1479" s="50" t="n">
        <f aca="false">AT1479*G1479</f>
        <v>75.6</v>
      </c>
      <c r="AV1479" s="50" t="n">
        <f aca="false">ROUNDUP(CK1479+MAX(CL1479,2*(J1479/IF(CG1479&gt;0,CG1479,MAX(0.1,N(Cockpit!$I$6)))-CK1479)),0)</f>
        <v>6</v>
      </c>
      <c r="AW1479" s="51" t="n">
        <f aca="false">IF(AS1479&gt;0,J1479/AS1479,-1)</f>
        <v>0</v>
      </c>
      <c r="AX1479" s="51" t="n">
        <f aca="false">IF(AND(OR(CF1479="L1",CF1479="L23",CF1479="LIFT"),AS1479&gt;0),SUMIFS($AS$7:$AS$1843,$CF$7:$CF$1843,CF1479,$AW$7:$AW$1843,"&gt;"&amp;AW1479)+SUMIFS($AS$7:$AS$1843,$CF$7:$CF$1843,CF1479,$AW$7:$AW$1843,AW1479,$BW$7:$BW$1843,"&lt;="&amp;BW1479),"")</f>
        <v>36032.8861338755</v>
      </c>
      <c r="AY1479" s="58" t="n">
        <f aca="false">IF(AX1479="",0,MAX(0,MIN(1,(IF(CF1479="L1",Parameter!$H$5,IF(CF1479="L23",Parameter!$H$6+Parameter!$H$7,Parameter!$H$5+Parameter!$H$6+Parameter!$H$7))-(AX1479-AS1479))/AS1479)))</f>
        <v>0</v>
      </c>
      <c r="AZ1479" s="50" t="n">
        <f aca="false">IF(LEFT(Cockpit!$O$5,1)="A",H1479,IF(Parameter!$E$30="MAX-Bestand",IF(CH1479=1,CI1479,IF(LEFT(Cockpit!$O$5,1)="B",BF1479,MAX(BF1479,H1479))),ROUNDUP(BD1479,0)))</f>
        <v>3</v>
      </c>
      <c r="BA1479" s="50" t="n">
        <f aca="false">IF(BZ1479=1,0,ROUNDUP(AZ1479/BY1479,0))</f>
        <v>1</v>
      </c>
      <c r="BB1479" s="52" t="n">
        <f aca="false">IF(CQ1479&gt;0,CQ1479*MAX(1,AZ1479/X1479),IF(BZ1479=1,IF(AZ1479&lt;=0,0,CD1479*MAX(1,IF(H1479&gt;0,AZ1479/H1479,1))),IF(R1479&gt;0,BA1479/R1479,0))/MAX(0.1,N(Parameter!$M$21)))</f>
        <v>0.00714285714285714</v>
      </c>
      <c r="BC1479" s="50" t="n">
        <f aca="false">BB1479*CB1479</f>
        <v>1.10714285714286</v>
      </c>
      <c r="BD1479" s="51" t="n">
        <f aca="false">IF(LEFT(Cockpit!$O$5,1)="A",H1479,IF(CH1479=1,(CK1479+CI1479)/2,IF(LEFT(Cockpit!$O$5,1)="B",(CK1479+BF1479)/2,MAX((CK1479+BF1479)/2,H1479))))</f>
        <v>3</v>
      </c>
      <c r="BE1479" s="50" t="n">
        <f aca="false">BD1479*G1479</f>
        <v>25.2</v>
      </c>
      <c r="BF1479" s="50" t="n">
        <f aca="false">ROUNDUP(CK1479+MAX(CL1479,2*(J1479/IF(CG1479&gt;0,CG1479,MAX(0.1,N(Cockpit!$O$6)))-CK1479)),0)</f>
        <v>6</v>
      </c>
      <c r="BG1479" s="51" t="n">
        <f aca="false">IF(BC1479&gt;0,J1479/BC1479,-1)</f>
        <v>0</v>
      </c>
      <c r="BH1479" s="51" t="n">
        <f aca="false">IF(AND(OR(CF1479="L1",CF1479="L23",CF1479="LIFT"),BC1479&gt;0),SUMIFS($BC$7:$BC$1843,$CF$7:$CF$1843,CF1479,$BG$7:$BG$1843,"&gt;"&amp;BG1479)+SUMIFS($BC$7:$BC$1843,$CF$7:$CF$1843,CF1479,$BG$7:$BG$1843,BG1479,$BW$7:$BW$1843,"&lt;="&amp;BW1479),"")</f>
        <v>30018.1927940233</v>
      </c>
      <c r="BI1479" s="58" t="n">
        <f aca="false">IF(BH1479="",0,MAX(0,MIN(1,(IF(CF1479="L1",Parameter!$H$5,IF(CF1479="L23",Parameter!$H$6+Parameter!$H$7,Parameter!$H$5+Parameter!$H$6+Parameter!$H$7))-(BH1479-BC1479))/BC1479)))</f>
        <v>1</v>
      </c>
      <c r="BJ1479" s="48" t="str">
        <f aca="false">IF(AI1479&lt;=0,"",IF(CF1479="Aussen","Aussenlager",IF(CF1479="-","Nicht im Lift",IF(AO1479&gt;=1,"Lift",IF(AO1479&lt;=0,"Aussenlager","teilweise")))))</f>
        <v>Lift</v>
      </c>
      <c r="BK1479" s="48" t="str">
        <f aca="false">IF(AS1479&lt;=0,"",IF(CF1479="Aussen","Aussenlager",IF(CF1479="-","Nicht im Lift",IF(AY1479&gt;=1,"Lift",IF(AY1479&lt;=0,"Aussenlager","teilweise")))))</f>
        <v>Aussenlager</v>
      </c>
      <c r="BL1479" s="48" t="str">
        <f aca="false">IF(BC1479&lt;=0,"",IF(CF1479="Aussen","Aussenlager",IF(CF1479="-","Nicht im Lift",IF(BI1479&gt;=1,"Lift",IF(BI1479&lt;=0,"Aussenlager","teilweise")))))</f>
        <v>Lift</v>
      </c>
      <c r="BM1479" s="48" t="str">
        <f aca="false">IF(A1479="","",IF(BV1479=1,"Neu; ","")&amp;IF(AND(BV1479=0,BQ1479&lt;0),"negativer Bestand (Export "&amp;BQ1479&amp;"); ","")&amp;IF(J1479&lt;=0,"Kein Verbrauch; ","")&amp;IF(CQ1479&gt;0,"Lift "&amp;W1479&amp;" lt. Liftbericht (Fach "&amp;X1479&amp;" Stk); ",IF(CA1479=1,"Gebinde geschätzt ("&amp;T1479&amp;"); ",IF(BZ1479=1,"Lose – Tablare geschätzt; ","")))&amp;IF(H1479&gt;AV1479,"Überbestand "&amp;ROUND(H1479-AV1479,0)&amp;" Stk / CHF "&amp;ROUND((H1479-AV1479)*G1479,0)&amp;"; ","")&amp;IF(AND(CH1479=1,CI1479&lt;CJ1479),"MAX &lt; MB+LG; ","")&amp;IF(AND(CP1479&gt;0,CO1479*10&gt;CP1479),"zu hoch für Tablar; ","")&amp;IF(AND(BV1479=0,OR(CH1479=1,AA1479&lt;&gt;"",U1479&lt;&gt;"",V1479&lt;&gt;"",AB1479&lt;&gt;"")),"manuell übersteuert; ","")&amp;IF(AND(BZ1479=0,R1479=0),"Gebinde unbekannt / Stellmass fehlt; ","")&amp;IF(AND(BZ1479=0,N(V1479)&lt;=0,N(Q1479)&lt;=0),"Menge pro Gebinde fehlt (Ist = 1 Gebinde); ","")&amp;BU1479)</f>
        <v>Kein Verbrauch; Überbestand 3 Stk / CHF 25; nur im Artikelstamm (Bestand 23.06.2026)</v>
      </c>
      <c r="BN1479" s="48"/>
      <c r="BO1479" s="48"/>
      <c r="BP1479" s="55"/>
      <c r="BQ1479" s="50" t="n">
        <v>9</v>
      </c>
      <c r="BR1479" s="50" t="n">
        <v>0</v>
      </c>
      <c r="BS1479" s="49" t="n">
        <v>0</v>
      </c>
      <c r="BT1479" s="50" t="n">
        <v>0</v>
      </c>
      <c r="BU1479" s="48" t="s">
        <v>2584</v>
      </c>
      <c r="BV1479" s="53" t="n">
        <v>0</v>
      </c>
      <c r="BW1479" s="53" t="n">
        <v>1479</v>
      </c>
      <c r="BX1479" s="48" t="str">
        <f aca="false">IF(U1479&lt;&gt;"",UPPER(TRIM(U1479)),IF(CA1479=1,UPPER(VLOOKUP(T1479,Parameter!$I$27:$K$29,2,0)),IF(P1479="","LOSE",P1479)))</f>
        <v>S22</v>
      </c>
      <c r="BY1479" s="50" t="n">
        <f aca="false">IF(BX1479="LOSE",1,IF(N(V1479)&gt;0,V1479,IF(CA1479=1,MAX(1,N(VLOOKUP(T1479,Parameter!$I$27:$K$29,3,0)),H1479,N(N1479)),IF(N(Q1479)&gt;0,Q1479,MAX(1,H1479)))))</f>
        <v>9</v>
      </c>
      <c r="BZ1479" s="53" t="n">
        <f aca="false">IF(BX1479="LOSE",1,0)</f>
        <v>0</v>
      </c>
      <c r="CA1479" s="53" t="n">
        <f aca="false">IF(AND(U1479="",OR(P1479="",P1479="LOSE"),T1479&lt;&gt;"",N(S1479)&lt;=0,ISNUMBER(MATCH(T1479,Parameter!$I$27:$I$29,0))),1,0)</f>
        <v>0</v>
      </c>
      <c r="CB1479" s="53" t="n">
        <f aca="false">IF(CQ1479&gt;0,INDEX(Parameter!$H$5:$H$7,W1479)/INDEX(Parameter!$E$5:$E$7,W1479),IF(AND(BZ1479=0,N(IFERROR(VLOOKUP(BX1479,'Gebinde-Kategorie'!$A$5:$N$45,14,0),0))&gt;0),VLOOKUP(BX1479,'Gebinde-Kategorie'!$A$5:$N$45,14,0)*10+Parameter!$M$23,Parameter!$M$24))</f>
        <v>155</v>
      </c>
      <c r="CC1479" s="48" t="str">
        <f aca="false">IF(AND(Parameter!$B$19="Ja",E1479&lt;&gt;"",ISNUMBER(MATCH(E1479,Parameter!$I$35:$I$52,0))),VLOOKUP(E1479,Parameter!$I$35:$J$52,2,0),IFERROR(VLOOKUP(D1479,Parameter!$A$35:$C$64,2,0),"Nein"))</f>
        <v>2+3</v>
      </c>
      <c r="CD1479" s="52" t="n">
        <f aca="false">IF(BZ1479=0,0,IF(N(S1479)&gt;0,S1479,IFERROR(VLOOKUP(D1479,Parameter!$A$35:$C$64,3,0)+0,0)))</f>
        <v>0</v>
      </c>
      <c r="CE1479" s="48" t="n">
        <f aca="false">IF(AA1479&lt;&gt;"",AA1479,Z1479)</f>
        <v>3</v>
      </c>
      <c r="CF1479" s="48" t="str">
        <f aca="false">IF(OR(CE1479=1,CE1479=2,CE1479=3),IF(Parameter!$E$27="Ja","LIFT",IF(CE1479=1,"L1","L23")),IF(CE1479="Aussen","Aussen","-"))</f>
        <v>LIFT</v>
      </c>
      <c r="CG1479" s="59" t="n">
        <f aca="false">IF(N(AB1479)&gt;0,AB1479,0)</f>
        <v>0</v>
      </c>
      <c r="CH1479" s="53" t="n">
        <f aca="false">IF(ISNUMBER(AE1479),1,0)</f>
        <v>0</v>
      </c>
      <c r="CI1479" s="50" t="n">
        <f aca="false">N(AE1479)</f>
        <v>0</v>
      </c>
      <c r="CJ1479" s="50" t="n">
        <f aca="false">N(M1479)+N(N1479)</f>
        <v>6</v>
      </c>
      <c r="CK1479" s="50" t="n">
        <f aca="false">N(M1479)</f>
        <v>0</v>
      </c>
      <c r="CL1479" s="50" t="n">
        <f aca="false">N(N1479)</f>
        <v>6</v>
      </c>
      <c r="CM1479" s="50" t="n">
        <f aca="false">ROUNDUP(H1479/BY1479,0)</f>
        <v>1</v>
      </c>
      <c r="CN1479" s="50" t="n">
        <f aca="false">ROUNDUP(CI1479/BY1479,0)</f>
        <v>0</v>
      </c>
      <c r="CO1479" s="53" t="n">
        <f aca="false">IF(BZ1479=1,0,IFERROR(VLOOKUP(BX1479,'Gebinde-Kategorie'!$A$5:$N$45,5,0)+0,0))</f>
        <v>8</v>
      </c>
      <c r="CP1479" s="53" t="n">
        <f aca="false">IFERROR(IF(OR(CE1479=1,CE1479=2,CE1479=3),N(INDEX(Parameter!$I$5:$I$7,CE1479)),0),0)</f>
        <v>0</v>
      </c>
      <c r="CQ1479" s="52" t="n">
        <f aca="false">IF(AND(Parameter!$B$21="Ja",ISNUMBER(W1479),N(X1479)&gt;0),IFERROR(N(INDEX(Parameter!$L$5:$L$7,W1479))*INDEX(Parameter!$E$5:$E$7,W1479)*X1479/SUMIFS($X$7:$X$1843,$W$7:$W$1843,W1479),0),0)</f>
        <v>0</v>
      </c>
    </row>
    <row r="1480" customFormat="false" ht="15" hidden="false" customHeight="false" outlineLevel="0" collapsed="false">
      <c r="A1480" s="48" t="s">
        <v>2597</v>
      </c>
      <c r="B1480" s="48" t="s">
        <v>2598</v>
      </c>
      <c r="C1480" s="48" t="s">
        <v>173</v>
      </c>
      <c r="D1480" s="48" t="s">
        <v>193</v>
      </c>
      <c r="E1480" s="48" t="s">
        <v>194</v>
      </c>
      <c r="F1480" s="48"/>
      <c r="G1480" s="49" t="n">
        <v>186.49</v>
      </c>
      <c r="H1480" s="50" t="n">
        <f aca="false">MAX(0,IF(AND(Parameter!$B$21="Ja",ISNUMBER(Y1480)),Y1480,IF(Parameter!$B$20="Jahresanfang 2025 + Export",BR1480+BQ1480,BQ1480)))</f>
        <v>3</v>
      </c>
      <c r="I1480" s="50" t="n">
        <f aca="false">H1480*G1480</f>
        <v>559.47</v>
      </c>
      <c r="J1480" s="50" t="n">
        <f aca="false">BT1480*Parameter!$B$18</f>
        <v>0</v>
      </c>
      <c r="K1480" s="51"/>
      <c r="L1480" s="52"/>
      <c r="M1480" s="50" t="n">
        <v>0</v>
      </c>
      <c r="N1480" s="50" t="n">
        <v>3</v>
      </c>
      <c r="O1480" s="53" t="n">
        <v>0</v>
      </c>
      <c r="P1480" s="48" t="s">
        <v>242</v>
      </c>
      <c r="Q1480" s="50" t="n">
        <v>3</v>
      </c>
      <c r="R1480" s="53" t="n">
        <f aca="false">IF(BZ1480=1,0,IFERROR(VLOOKUP(BX1480,'Gebinde-Kategorie'!$A$5:$N$45,13,0)+0,0))</f>
        <v>26</v>
      </c>
      <c r="S1480" s="54"/>
      <c r="T1480" s="55"/>
      <c r="U1480" s="55"/>
      <c r="V1480" s="55"/>
      <c r="W1480" s="48"/>
      <c r="X1480" s="50"/>
      <c r="Y1480" s="50"/>
      <c r="Z1480" s="48" t="n">
        <f aca="false">IF(A1480="","",IF(AND(Parameter!$B$21="Ja",ISNUMBER(W1480)),W1480,IF(CC1480="2+3",IF(ISNUMBER(SEARCH("grosser Artikel",BU1480)),2,IFERROR(VLOOKUP(BX1480,Parameter!$F$35:$G$64,2,0),2)),IF(OR(CC1480="Nein",CC1480=""),"-",CC1480))))</f>
        <v>3</v>
      </c>
      <c r="AA1480" s="55"/>
      <c r="AB1480" s="56"/>
      <c r="AC1480" s="50" t="n">
        <f aca="false">AV1480</f>
        <v>3</v>
      </c>
      <c r="AD1480" s="50" t="n">
        <f aca="false">MAX(AV1480,H1480)</f>
        <v>3</v>
      </c>
      <c r="AE1480" s="57"/>
      <c r="AF1480" s="50" t="n">
        <f aca="false">IF(LEFT(Cockpit!$C$5,1)="A",H1480,IF(Parameter!$E$30="MAX-Bestand",IF(CH1480=1,CI1480,IF(LEFT(Cockpit!$C$5,1)="B",AL1480,MAX(AL1480,H1480))),ROUNDUP(AJ1480,0)))</f>
        <v>3</v>
      </c>
      <c r="AG1480" s="50" t="n">
        <f aca="false">IF(BZ1480=1,0,ROUNDUP(AF1480/BY1480,0))</f>
        <v>1</v>
      </c>
      <c r="AH1480" s="52" t="n">
        <f aca="false">IF(CQ1480&gt;0,CQ1480*MAX(1,AF1480/X1480),IF(BZ1480=1,IF(AF1480&lt;=0,0,CD1480*MAX(1,IF(H1480&gt;0,AF1480/H1480,1))),IF(R1480&gt;0,AG1480/R1480,0))/MAX(0.1,N(Parameter!$M$21)))</f>
        <v>0.0384615384615385</v>
      </c>
      <c r="AI1480" s="50" t="n">
        <f aca="false">AH1480*CB1480</f>
        <v>9.42307692307692</v>
      </c>
      <c r="AJ1480" s="51" t="n">
        <f aca="false">IF(LEFT(Cockpit!$C$5,1)="A",H1480,IF(CH1480=1,(CK1480+CI1480)/2,IF(LEFT(Cockpit!$C$5,1)="B",(CK1480+AL1480)/2,MAX((CK1480+AL1480)/2,H1480))))</f>
        <v>3</v>
      </c>
      <c r="AK1480" s="50" t="n">
        <f aca="false">AJ1480*G1480</f>
        <v>559.47</v>
      </c>
      <c r="AL1480" s="50" t="n">
        <f aca="false">ROUNDUP(CK1480+MAX(CL1480,2*(J1480/IF(CG1480&gt;0,CG1480,MAX(0.1,N(Cockpit!$C$6)))-CK1480)),0)</f>
        <v>3</v>
      </c>
      <c r="AM1480" s="51" t="n">
        <f aca="false">IF(AI1480&gt;0,J1480/AI1480,-1)</f>
        <v>0</v>
      </c>
      <c r="AN1480" s="51" t="n">
        <f aca="false">IF(AND(OR(CF1480="L1",CF1480="L23",CF1480="LIFT"),AI1480&gt;0),SUMIFS($AI$7:$AI$1843,$CF$7:$CF$1843,CF1480,$AM$7:$AM$1843,"&gt;"&amp;AM1480)+SUMIFS($AI$7:$AI$1843,$CF$7:$CF$1843,CF1480,$AM$7:$AM$1843,AM1480,$BW$7:$BW$1843,"&lt;="&amp;BW1480),"")</f>
        <v>29735.738408249</v>
      </c>
      <c r="AO1480" s="58" t="n">
        <f aca="false">IF(AN1480="",0,MAX(0,MIN(1,(IF(CF1480="L1",Parameter!$H$5,IF(CF1480="L23",Parameter!$H$6+Parameter!$H$7,Parameter!$H$5+Parameter!$H$6+Parameter!$H$7))-(AN1480-AI1480))/AI1480)))</f>
        <v>1</v>
      </c>
      <c r="AP1480" s="50" t="n">
        <f aca="false">IF(LEFT(Cockpit!$I$5,1)="A",H1480,IF(Parameter!$E$30="MAX-Bestand",IF(CH1480=1,CI1480,IF(LEFT(Cockpit!$I$5,1)="B",AV1480,MAX(AV1480,H1480))),ROUNDUP(AT1480,0)))</f>
        <v>3</v>
      </c>
      <c r="AQ1480" s="50" t="n">
        <f aca="false">IF(BZ1480=1,0,ROUNDUP(AP1480/BY1480,0))</f>
        <v>1</v>
      </c>
      <c r="AR1480" s="52" t="n">
        <f aca="false">IF(CQ1480&gt;0,CQ1480*MAX(1,AP1480/X1480),IF(BZ1480=1,IF(AP1480&lt;=0,0,CD1480*MAX(1,IF(H1480&gt;0,AP1480/H1480,1))),IF(R1480&gt;0,AQ1480/R1480,0))/MAX(0.1,N(Parameter!$M$21)))</f>
        <v>0.0384615384615385</v>
      </c>
      <c r="AS1480" s="50" t="n">
        <f aca="false">AR1480*CB1480</f>
        <v>9.42307692307692</v>
      </c>
      <c r="AT1480" s="51" t="n">
        <f aca="false">IF(LEFT(Cockpit!$I$5,1)="A",H1480,IF(CH1480=1,(CK1480+CI1480)/2,IF(LEFT(Cockpit!$I$5,1)="B",(CK1480+AV1480)/2,MAX((CK1480+AV1480)/2,H1480))))</f>
        <v>3</v>
      </c>
      <c r="AU1480" s="50" t="n">
        <f aca="false">AT1480*G1480</f>
        <v>559.47</v>
      </c>
      <c r="AV1480" s="50" t="n">
        <f aca="false">ROUNDUP(CK1480+MAX(CL1480,2*(J1480/IF(CG1480&gt;0,CG1480,MAX(0.1,N(Cockpit!$I$6)))-CK1480)),0)</f>
        <v>3</v>
      </c>
      <c r="AW1480" s="51" t="n">
        <f aca="false">IF(AS1480&gt;0,J1480/AS1480,-1)</f>
        <v>0</v>
      </c>
      <c r="AX1480" s="51" t="n">
        <f aca="false">IF(AND(OR(CF1480="L1",CF1480="L23",CF1480="LIFT"),AS1480&gt;0),SUMIFS($AS$7:$AS$1843,$CF$7:$CF$1843,CF1480,$AW$7:$AW$1843,"&gt;"&amp;AW1480)+SUMIFS($AS$7:$AS$1843,$CF$7:$CF$1843,CF1480,$AW$7:$AW$1843,AW1480,$BW$7:$BW$1843,"&lt;="&amp;BW1480),"")</f>
        <v>36042.3092107986</v>
      </c>
      <c r="AY1480" s="58" t="n">
        <f aca="false">IF(AX1480="",0,MAX(0,MIN(1,(IF(CF1480="L1",Parameter!$H$5,IF(CF1480="L23",Parameter!$H$6+Parameter!$H$7,Parameter!$H$5+Parameter!$H$6+Parameter!$H$7))-(AX1480-AS1480))/AS1480)))</f>
        <v>0</v>
      </c>
      <c r="AZ1480" s="50" t="n">
        <f aca="false">IF(LEFT(Cockpit!$O$5,1)="A",H1480,IF(Parameter!$E$30="MAX-Bestand",IF(CH1480=1,CI1480,IF(LEFT(Cockpit!$O$5,1)="B",BF1480,MAX(BF1480,H1480))),ROUNDUP(BD1480,0)))</f>
        <v>2</v>
      </c>
      <c r="BA1480" s="50" t="n">
        <f aca="false">IF(BZ1480=1,0,ROUNDUP(AZ1480/BY1480,0))</f>
        <v>1</v>
      </c>
      <c r="BB1480" s="52" t="n">
        <f aca="false">IF(CQ1480&gt;0,CQ1480*MAX(1,AZ1480/X1480),IF(BZ1480=1,IF(AZ1480&lt;=0,0,CD1480*MAX(1,IF(H1480&gt;0,AZ1480/H1480,1))),IF(R1480&gt;0,BA1480/R1480,0))/MAX(0.1,N(Parameter!$M$21)))</f>
        <v>0.0384615384615385</v>
      </c>
      <c r="BC1480" s="50" t="n">
        <f aca="false">BB1480*CB1480</f>
        <v>9.42307692307692</v>
      </c>
      <c r="BD1480" s="51" t="n">
        <f aca="false">IF(LEFT(Cockpit!$O$5,1)="A",H1480,IF(CH1480=1,(CK1480+CI1480)/2,IF(LEFT(Cockpit!$O$5,1)="B",(CK1480+BF1480)/2,MAX((CK1480+BF1480)/2,H1480))))</f>
        <v>1.5</v>
      </c>
      <c r="BE1480" s="50" t="n">
        <f aca="false">BD1480*G1480</f>
        <v>279.735</v>
      </c>
      <c r="BF1480" s="50" t="n">
        <f aca="false">ROUNDUP(CK1480+MAX(CL1480,2*(J1480/IF(CG1480&gt;0,CG1480,MAX(0.1,N(Cockpit!$O$6)))-CK1480)),0)</f>
        <v>3</v>
      </c>
      <c r="BG1480" s="51" t="n">
        <f aca="false">IF(BC1480&gt;0,J1480/BC1480,-1)</f>
        <v>0</v>
      </c>
      <c r="BH1480" s="51" t="n">
        <f aca="false">IF(AND(OR(CF1480="L1",CF1480="L23",CF1480="LIFT"),BC1480&gt;0),SUMIFS($BC$7:$BC$1843,$CF$7:$CF$1843,CF1480,$BG$7:$BG$1843,"&gt;"&amp;BG1480)+SUMIFS($BC$7:$BC$1843,$CF$7:$CF$1843,CF1480,$BG$7:$BG$1843,BG1480,$BW$7:$BW$1843,"&lt;="&amp;BW1480),"")</f>
        <v>30027.6158709464</v>
      </c>
      <c r="BI1480" s="58" t="n">
        <f aca="false">IF(BH1480="",0,MAX(0,MIN(1,(IF(CF1480="L1",Parameter!$H$5,IF(CF1480="L23",Parameter!$H$6+Parameter!$H$7,Parameter!$H$5+Parameter!$H$6+Parameter!$H$7))-(BH1480-BC1480))/BC1480)))</f>
        <v>1</v>
      </c>
      <c r="BJ1480" s="48" t="str">
        <f aca="false">IF(AI1480&lt;=0,"",IF(CF1480="Aussen","Aussenlager",IF(CF1480="-","Nicht im Lift",IF(AO1480&gt;=1,"Lift",IF(AO1480&lt;=0,"Aussenlager","teilweise")))))</f>
        <v>Lift</v>
      </c>
      <c r="BK1480" s="48" t="str">
        <f aca="false">IF(AS1480&lt;=0,"",IF(CF1480="Aussen","Aussenlager",IF(CF1480="-","Nicht im Lift",IF(AY1480&gt;=1,"Lift",IF(AY1480&lt;=0,"Aussenlager","teilweise")))))</f>
        <v>Aussenlager</v>
      </c>
      <c r="BL1480" s="48" t="str">
        <f aca="false">IF(BC1480&lt;=0,"",IF(CF1480="Aussen","Aussenlager",IF(CF1480="-","Nicht im Lift",IF(BI1480&gt;=1,"Lift",IF(BI1480&lt;=0,"Aussenlager","teilweise")))))</f>
        <v>Lift</v>
      </c>
      <c r="BM1480" s="48" t="str">
        <f aca="false">IF(A1480="","",IF(BV1480=1,"Neu; ","")&amp;IF(AND(BV1480=0,BQ1480&lt;0),"negativer Bestand (Export "&amp;BQ1480&amp;"); ","")&amp;IF(J1480&lt;=0,"Kein Verbrauch; ","")&amp;IF(CQ1480&gt;0,"Lift "&amp;W1480&amp;" lt. Liftbericht (Fach "&amp;X1480&amp;" Stk); ",IF(CA1480=1,"Gebinde geschätzt ("&amp;T1480&amp;"); ",IF(BZ1480=1,"Lose – Tablare geschätzt; ","")))&amp;IF(H1480&gt;AV1480,"Überbestand "&amp;ROUND(H1480-AV1480,0)&amp;" Stk / CHF "&amp;ROUND((H1480-AV1480)*G1480,0)&amp;"; ","")&amp;IF(AND(CH1480=1,CI1480&lt;CJ1480),"MAX &lt; MB+LG; ","")&amp;IF(AND(CP1480&gt;0,CO1480*10&gt;CP1480),"zu hoch für Tablar; ","")&amp;IF(AND(BV1480=0,OR(CH1480=1,AA1480&lt;&gt;"",U1480&lt;&gt;"",V1480&lt;&gt;"",AB1480&lt;&gt;"")),"manuell übersteuert; ","")&amp;IF(AND(BZ1480=0,R1480=0),"Gebinde unbekannt / Stellmass fehlt; ","")&amp;IF(AND(BZ1480=0,N(V1480)&lt;=0,N(Q1480)&lt;=0),"Menge pro Gebinde fehlt (Ist = 1 Gebinde); ","")&amp;BU1480)</f>
        <v>Kein Verbrauch; nur im Artikelstamm (Bestand 23.06.2026)</v>
      </c>
      <c r="BN1480" s="48"/>
      <c r="BO1480" s="48"/>
      <c r="BP1480" s="55"/>
      <c r="BQ1480" s="50" t="n">
        <v>3</v>
      </c>
      <c r="BR1480" s="50" t="n">
        <v>0</v>
      </c>
      <c r="BS1480" s="49" t="n">
        <v>0</v>
      </c>
      <c r="BT1480" s="50" t="n">
        <v>0</v>
      </c>
      <c r="BU1480" s="48" t="s">
        <v>2584</v>
      </c>
      <c r="BV1480" s="53" t="n">
        <v>0</v>
      </c>
      <c r="BW1480" s="53" t="n">
        <v>1480</v>
      </c>
      <c r="BX1480" s="48" t="str">
        <f aca="false">IF(U1480&lt;&gt;"",UPPER(TRIM(U1480)),IF(CA1480=1,UPPER(VLOOKUP(T1480,Parameter!$I$27:$K$29,2,0)),IF(P1480="","LOSE",P1480)))</f>
        <v>S52</v>
      </c>
      <c r="BY1480" s="50" t="n">
        <f aca="false">IF(BX1480="LOSE",1,IF(N(V1480)&gt;0,V1480,IF(CA1480=1,MAX(1,N(VLOOKUP(T1480,Parameter!$I$27:$K$29,3,0)),H1480,N(N1480)),IF(N(Q1480)&gt;0,Q1480,MAX(1,H1480)))))</f>
        <v>3</v>
      </c>
      <c r="BZ1480" s="53" t="n">
        <f aca="false">IF(BX1480="LOSE",1,0)</f>
        <v>0</v>
      </c>
      <c r="CA1480" s="53" t="n">
        <f aca="false">IF(AND(U1480="",OR(P1480="",P1480="LOSE"),T1480&lt;&gt;"",N(S1480)&lt;=0,ISNUMBER(MATCH(T1480,Parameter!$I$27:$I$29,0))),1,0)</f>
        <v>0</v>
      </c>
      <c r="CB1480" s="53" t="n">
        <f aca="false">IF(CQ1480&gt;0,INDEX(Parameter!$H$5:$H$7,W1480)/INDEX(Parameter!$E$5:$E$7,W1480),IF(AND(BZ1480=0,N(IFERROR(VLOOKUP(BX1480,'Gebinde-Kategorie'!$A$5:$N$45,14,0),0))&gt;0),VLOOKUP(BX1480,'Gebinde-Kategorie'!$A$5:$N$45,14,0)*10+Parameter!$M$23,Parameter!$M$24))</f>
        <v>245</v>
      </c>
      <c r="CC1480" s="48" t="str">
        <f aca="false">IF(AND(Parameter!$B$19="Ja",E1480&lt;&gt;"",ISNUMBER(MATCH(E1480,Parameter!$I$35:$I$52,0))),VLOOKUP(E1480,Parameter!$I$35:$J$52,2,0),IFERROR(VLOOKUP(D1480,Parameter!$A$35:$C$64,2,0),"Nein"))</f>
        <v>2+3</v>
      </c>
      <c r="CD1480" s="52" t="n">
        <f aca="false">IF(BZ1480=0,0,IF(N(S1480)&gt;0,S1480,IFERROR(VLOOKUP(D1480,Parameter!$A$35:$C$64,3,0)+0,0)))</f>
        <v>0</v>
      </c>
      <c r="CE1480" s="48" t="n">
        <f aca="false">IF(AA1480&lt;&gt;"",AA1480,Z1480)</f>
        <v>3</v>
      </c>
      <c r="CF1480" s="48" t="str">
        <f aca="false">IF(OR(CE1480=1,CE1480=2,CE1480=3),IF(Parameter!$E$27="Ja","LIFT",IF(CE1480=1,"L1","L23")),IF(CE1480="Aussen","Aussen","-"))</f>
        <v>LIFT</v>
      </c>
      <c r="CG1480" s="59" t="n">
        <f aca="false">IF(N(AB1480)&gt;0,AB1480,0)</f>
        <v>0</v>
      </c>
      <c r="CH1480" s="53" t="n">
        <f aca="false">IF(ISNUMBER(AE1480),1,0)</f>
        <v>0</v>
      </c>
      <c r="CI1480" s="50" t="n">
        <f aca="false">N(AE1480)</f>
        <v>0</v>
      </c>
      <c r="CJ1480" s="50" t="n">
        <f aca="false">N(M1480)+N(N1480)</f>
        <v>3</v>
      </c>
      <c r="CK1480" s="50" t="n">
        <f aca="false">N(M1480)</f>
        <v>0</v>
      </c>
      <c r="CL1480" s="50" t="n">
        <f aca="false">N(N1480)</f>
        <v>3</v>
      </c>
      <c r="CM1480" s="50" t="n">
        <f aca="false">ROUNDUP(H1480/BY1480,0)</f>
        <v>1</v>
      </c>
      <c r="CN1480" s="50" t="n">
        <f aca="false">ROUNDUP(CI1480/BY1480,0)</f>
        <v>0</v>
      </c>
      <c r="CO1480" s="53" t="n">
        <f aca="false">IF(BZ1480=1,0,IFERROR(VLOOKUP(BX1480,'Gebinde-Kategorie'!$A$5:$N$45,5,0)+0,0))</f>
        <v>21</v>
      </c>
      <c r="CP1480" s="53" t="n">
        <f aca="false">IFERROR(IF(OR(CE1480=1,CE1480=2,CE1480=3),N(INDEX(Parameter!$I$5:$I$7,CE1480)),0),0)</f>
        <v>0</v>
      </c>
      <c r="CQ1480" s="52" t="n">
        <f aca="false">IF(AND(Parameter!$B$21="Ja",ISNUMBER(W1480),N(X1480)&gt;0),IFERROR(N(INDEX(Parameter!$L$5:$L$7,W1480))*INDEX(Parameter!$E$5:$E$7,W1480)*X1480/SUMIFS($X$7:$X$1843,$W$7:$W$1843,W1480),0),0)</f>
        <v>0</v>
      </c>
    </row>
    <row r="1481" customFormat="false" ht="15" hidden="false" customHeight="false" outlineLevel="0" collapsed="false">
      <c r="A1481" s="48" t="s">
        <v>2599</v>
      </c>
      <c r="B1481" s="48" t="s">
        <v>1143</v>
      </c>
      <c r="C1481" s="48" t="s">
        <v>173</v>
      </c>
      <c r="D1481" s="48" t="s">
        <v>193</v>
      </c>
      <c r="E1481" s="48" t="s">
        <v>194</v>
      </c>
      <c r="F1481" s="48"/>
      <c r="G1481" s="49" t="n">
        <v>93.6</v>
      </c>
      <c r="H1481" s="50" t="n">
        <f aca="false">MAX(0,IF(AND(Parameter!$B$21="Ja",ISNUMBER(Y1481)),Y1481,IF(Parameter!$B$20="Jahresanfang 2025 + Export",BR1481+BQ1481,BQ1481)))</f>
        <v>3</v>
      </c>
      <c r="I1481" s="50" t="n">
        <f aca="false">H1481*G1481</f>
        <v>280.8</v>
      </c>
      <c r="J1481" s="50" t="n">
        <f aca="false">BT1481*Parameter!$B$18</f>
        <v>0</v>
      </c>
      <c r="K1481" s="51"/>
      <c r="L1481" s="52"/>
      <c r="M1481" s="50" t="n">
        <v>0</v>
      </c>
      <c r="N1481" s="50" t="n">
        <v>6</v>
      </c>
      <c r="O1481" s="53" t="n">
        <v>0</v>
      </c>
      <c r="P1481" s="48" t="s">
        <v>311</v>
      </c>
      <c r="Q1481" s="50" t="n">
        <v>3</v>
      </c>
      <c r="R1481" s="53" t="n">
        <f aca="false">IF(BZ1481=1,0,IFERROR(VLOOKUP(BX1481,'Gebinde-Kategorie'!$A$5:$N$45,13,0)+0,0))</f>
        <v>26</v>
      </c>
      <c r="S1481" s="54"/>
      <c r="T1481" s="55"/>
      <c r="U1481" s="55"/>
      <c r="V1481" s="55"/>
      <c r="W1481" s="48"/>
      <c r="X1481" s="50"/>
      <c r="Y1481" s="50"/>
      <c r="Z1481" s="48" t="n">
        <f aca="false">IF(A1481="","",IF(AND(Parameter!$B$21="Ja",ISNUMBER(W1481)),W1481,IF(CC1481="2+3",IF(ISNUMBER(SEARCH("grosser Artikel",BU1481)),2,IFERROR(VLOOKUP(BX1481,Parameter!$F$35:$G$64,2,0),2)),IF(OR(CC1481="Nein",CC1481=""),"-",CC1481))))</f>
        <v>3</v>
      </c>
      <c r="AA1481" s="55"/>
      <c r="AB1481" s="56"/>
      <c r="AC1481" s="50" t="n">
        <f aca="false">AV1481</f>
        <v>6</v>
      </c>
      <c r="AD1481" s="50" t="n">
        <f aca="false">MAX(AV1481,H1481)</f>
        <v>6</v>
      </c>
      <c r="AE1481" s="57"/>
      <c r="AF1481" s="50" t="n">
        <f aca="false">IF(LEFT(Cockpit!$C$5,1)="A",H1481,IF(Parameter!$E$30="MAX-Bestand",IF(CH1481=1,CI1481,IF(LEFT(Cockpit!$C$5,1)="B",AL1481,MAX(AL1481,H1481))),ROUNDUP(AJ1481,0)))</f>
        <v>3</v>
      </c>
      <c r="AG1481" s="50" t="n">
        <f aca="false">IF(BZ1481=1,0,ROUNDUP(AF1481/BY1481,0))</f>
        <v>1</v>
      </c>
      <c r="AH1481" s="52" t="n">
        <f aca="false">IF(CQ1481&gt;0,CQ1481*MAX(1,AF1481/X1481),IF(BZ1481=1,IF(AF1481&lt;=0,0,CD1481*MAX(1,IF(H1481&gt;0,AF1481/H1481,1))),IF(R1481&gt;0,AG1481/R1481,0))/MAX(0.1,N(Parameter!$M$21)))</f>
        <v>0.0384615384615385</v>
      </c>
      <c r="AI1481" s="50" t="n">
        <f aca="false">AH1481*CB1481</f>
        <v>5.96153846153846</v>
      </c>
      <c r="AJ1481" s="51" t="n">
        <f aca="false">IF(LEFT(Cockpit!$C$5,1)="A",H1481,IF(CH1481=1,(CK1481+CI1481)/2,IF(LEFT(Cockpit!$C$5,1)="B",(CK1481+AL1481)/2,MAX((CK1481+AL1481)/2,H1481))))</f>
        <v>3</v>
      </c>
      <c r="AK1481" s="50" t="n">
        <f aca="false">AJ1481*G1481</f>
        <v>280.8</v>
      </c>
      <c r="AL1481" s="50" t="n">
        <f aca="false">ROUNDUP(CK1481+MAX(CL1481,2*(J1481/IF(CG1481&gt;0,CG1481,MAX(0.1,N(Cockpit!$C$6)))-CK1481)),0)</f>
        <v>6</v>
      </c>
      <c r="AM1481" s="51" t="n">
        <f aca="false">IF(AI1481&gt;0,J1481/AI1481,-1)</f>
        <v>0</v>
      </c>
      <c r="AN1481" s="51" t="n">
        <f aca="false">IF(AND(OR(CF1481="L1",CF1481="L23",CF1481="LIFT"),AI1481&gt;0),SUMIFS($AI$7:$AI$1843,$CF$7:$CF$1843,CF1481,$AM$7:$AM$1843,"&gt;"&amp;AM1481)+SUMIFS($AI$7:$AI$1843,$CF$7:$CF$1843,CF1481,$AM$7:$AM$1843,AM1481,$BW$7:$BW$1843,"&lt;="&amp;BW1481),"")</f>
        <v>29741.6999467105</v>
      </c>
      <c r="AO1481" s="58" t="n">
        <f aca="false">IF(AN1481="",0,MAX(0,MIN(1,(IF(CF1481="L1",Parameter!$H$5,IF(CF1481="L23",Parameter!$H$6+Parameter!$H$7,Parameter!$H$5+Parameter!$H$6+Parameter!$H$7))-(AN1481-AI1481))/AI1481)))</f>
        <v>1</v>
      </c>
      <c r="AP1481" s="50" t="n">
        <f aca="false">IF(LEFT(Cockpit!$I$5,1)="A",H1481,IF(Parameter!$E$30="MAX-Bestand",IF(CH1481=1,CI1481,IF(LEFT(Cockpit!$I$5,1)="B",AV1481,MAX(AV1481,H1481))),ROUNDUP(AT1481,0)))</f>
        <v>3</v>
      </c>
      <c r="AQ1481" s="50" t="n">
        <f aca="false">IF(BZ1481=1,0,ROUNDUP(AP1481/BY1481,0))</f>
        <v>1</v>
      </c>
      <c r="AR1481" s="52" t="n">
        <f aca="false">IF(CQ1481&gt;0,CQ1481*MAX(1,AP1481/X1481),IF(BZ1481=1,IF(AP1481&lt;=0,0,CD1481*MAX(1,IF(H1481&gt;0,AP1481/H1481,1))),IF(R1481&gt;0,AQ1481/R1481,0))/MAX(0.1,N(Parameter!$M$21)))</f>
        <v>0.0384615384615385</v>
      </c>
      <c r="AS1481" s="50" t="n">
        <f aca="false">AR1481*CB1481</f>
        <v>5.96153846153846</v>
      </c>
      <c r="AT1481" s="51" t="n">
        <f aca="false">IF(LEFT(Cockpit!$I$5,1)="A",H1481,IF(CH1481=1,(CK1481+CI1481)/2,IF(LEFT(Cockpit!$I$5,1)="B",(CK1481+AV1481)/2,MAX((CK1481+AV1481)/2,H1481))))</f>
        <v>3</v>
      </c>
      <c r="AU1481" s="50" t="n">
        <f aca="false">AT1481*G1481</f>
        <v>280.8</v>
      </c>
      <c r="AV1481" s="50" t="n">
        <f aca="false">ROUNDUP(CK1481+MAX(CL1481,2*(J1481/IF(CG1481&gt;0,CG1481,MAX(0.1,N(Cockpit!$I$6)))-CK1481)),0)</f>
        <v>6</v>
      </c>
      <c r="AW1481" s="51" t="n">
        <f aca="false">IF(AS1481&gt;0,J1481/AS1481,-1)</f>
        <v>0</v>
      </c>
      <c r="AX1481" s="51" t="n">
        <f aca="false">IF(AND(OR(CF1481="L1",CF1481="L23",CF1481="LIFT"),AS1481&gt;0),SUMIFS($AS$7:$AS$1843,$CF$7:$CF$1843,CF1481,$AW$7:$AW$1843,"&gt;"&amp;AW1481)+SUMIFS($AS$7:$AS$1843,$CF$7:$CF$1843,CF1481,$AW$7:$AW$1843,AW1481,$BW$7:$BW$1843,"&lt;="&amp;BW1481),"")</f>
        <v>36048.2707492602</v>
      </c>
      <c r="AY1481" s="58" t="n">
        <f aca="false">IF(AX1481="",0,MAX(0,MIN(1,(IF(CF1481="L1",Parameter!$H$5,IF(CF1481="L23",Parameter!$H$6+Parameter!$H$7,Parameter!$H$5+Parameter!$H$6+Parameter!$H$7))-(AX1481-AS1481))/AS1481)))</f>
        <v>0</v>
      </c>
      <c r="AZ1481" s="50" t="n">
        <f aca="false">IF(LEFT(Cockpit!$O$5,1)="A",H1481,IF(Parameter!$E$30="MAX-Bestand",IF(CH1481=1,CI1481,IF(LEFT(Cockpit!$O$5,1)="B",BF1481,MAX(BF1481,H1481))),ROUNDUP(BD1481,0)))</f>
        <v>3</v>
      </c>
      <c r="BA1481" s="50" t="n">
        <f aca="false">IF(BZ1481=1,0,ROUNDUP(AZ1481/BY1481,0))</f>
        <v>1</v>
      </c>
      <c r="BB1481" s="52" t="n">
        <f aca="false">IF(CQ1481&gt;0,CQ1481*MAX(1,AZ1481/X1481),IF(BZ1481=1,IF(AZ1481&lt;=0,0,CD1481*MAX(1,IF(H1481&gt;0,AZ1481/H1481,1))),IF(R1481&gt;0,BA1481/R1481,0))/MAX(0.1,N(Parameter!$M$21)))</f>
        <v>0.0384615384615385</v>
      </c>
      <c r="BC1481" s="50" t="n">
        <f aca="false">BB1481*CB1481</f>
        <v>5.96153846153846</v>
      </c>
      <c r="BD1481" s="51" t="n">
        <f aca="false">IF(LEFT(Cockpit!$O$5,1)="A",H1481,IF(CH1481=1,(CK1481+CI1481)/2,IF(LEFT(Cockpit!$O$5,1)="B",(CK1481+BF1481)/2,MAX((CK1481+BF1481)/2,H1481))))</f>
        <v>3</v>
      </c>
      <c r="BE1481" s="50" t="n">
        <f aca="false">BD1481*G1481</f>
        <v>280.8</v>
      </c>
      <c r="BF1481" s="50" t="n">
        <f aca="false">ROUNDUP(CK1481+MAX(CL1481,2*(J1481/IF(CG1481&gt;0,CG1481,MAX(0.1,N(Cockpit!$O$6)))-CK1481)),0)</f>
        <v>6</v>
      </c>
      <c r="BG1481" s="51" t="n">
        <f aca="false">IF(BC1481&gt;0,J1481/BC1481,-1)</f>
        <v>0</v>
      </c>
      <c r="BH1481" s="51" t="n">
        <f aca="false">IF(AND(OR(CF1481="L1",CF1481="L23",CF1481="LIFT"),BC1481&gt;0),SUMIFS($BC$7:$BC$1843,$CF$7:$CF$1843,CF1481,$BG$7:$BG$1843,"&gt;"&amp;BG1481)+SUMIFS($BC$7:$BC$1843,$CF$7:$CF$1843,CF1481,$BG$7:$BG$1843,BG1481,$BW$7:$BW$1843,"&lt;="&amp;BW1481),"")</f>
        <v>30033.5774094079</v>
      </c>
      <c r="BI1481" s="58" t="n">
        <f aca="false">IF(BH1481="",0,MAX(0,MIN(1,(IF(CF1481="L1",Parameter!$H$5,IF(CF1481="L23",Parameter!$H$6+Parameter!$H$7,Parameter!$H$5+Parameter!$H$6+Parameter!$H$7))-(BH1481-BC1481))/BC1481)))</f>
        <v>1</v>
      </c>
      <c r="BJ1481" s="48" t="str">
        <f aca="false">IF(AI1481&lt;=0,"",IF(CF1481="Aussen","Aussenlager",IF(CF1481="-","Nicht im Lift",IF(AO1481&gt;=1,"Lift",IF(AO1481&lt;=0,"Aussenlager","teilweise")))))</f>
        <v>Lift</v>
      </c>
      <c r="BK1481" s="48" t="str">
        <f aca="false">IF(AS1481&lt;=0,"",IF(CF1481="Aussen","Aussenlager",IF(CF1481="-","Nicht im Lift",IF(AY1481&gt;=1,"Lift",IF(AY1481&lt;=0,"Aussenlager","teilweise")))))</f>
        <v>Aussenlager</v>
      </c>
      <c r="BL1481" s="48" t="str">
        <f aca="false">IF(BC1481&lt;=0,"",IF(CF1481="Aussen","Aussenlager",IF(CF1481="-","Nicht im Lift",IF(BI1481&gt;=1,"Lift",IF(BI1481&lt;=0,"Aussenlager","teilweise")))))</f>
        <v>Lift</v>
      </c>
      <c r="BM1481" s="48" t="str">
        <f aca="false">IF(A1481="","",IF(BV1481=1,"Neu; ","")&amp;IF(AND(BV1481=0,BQ1481&lt;0),"negativer Bestand (Export "&amp;BQ1481&amp;"); ","")&amp;IF(J1481&lt;=0,"Kein Verbrauch; ","")&amp;IF(CQ1481&gt;0,"Lift "&amp;W1481&amp;" lt. Liftbericht (Fach "&amp;X1481&amp;" Stk); ",IF(CA1481=1,"Gebinde geschätzt ("&amp;T1481&amp;"); ",IF(BZ1481=1,"Lose – Tablare geschätzt; ","")))&amp;IF(H1481&gt;AV1481,"Überbestand "&amp;ROUND(H1481-AV1481,0)&amp;" Stk / CHF "&amp;ROUND((H1481-AV1481)*G1481,0)&amp;"; ","")&amp;IF(AND(CH1481=1,CI1481&lt;CJ1481),"MAX &lt; MB+LG; ","")&amp;IF(AND(CP1481&gt;0,CO1481*10&gt;CP1481),"zu hoch für Tablar; ","")&amp;IF(AND(BV1481=0,OR(CH1481=1,AA1481&lt;&gt;"",U1481&lt;&gt;"",V1481&lt;&gt;"",AB1481&lt;&gt;"")),"manuell übersteuert; ","")&amp;IF(AND(BZ1481=0,R1481=0),"Gebinde unbekannt / Stellmass fehlt; ","")&amp;IF(AND(BZ1481=0,N(V1481)&lt;=0,N(Q1481)&lt;=0),"Menge pro Gebinde fehlt (Ist = 1 Gebinde); ","")&amp;BU1481)</f>
        <v>Kein Verbrauch; nur im Artikelstamm (Bestand 23.06.2026)</v>
      </c>
      <c r="BN1481" s="48"/>
      <c r="BO1481" s="48"/>
      <c r="BP1481" s="55"/>
      <c r="BQ1481" s="50" t="n">
        <v>3</v>
      </c>
      <c r="BR1481" s="50" t="n">
        <v>0</v>
      </c>
      <c r="BS1481" s="49" t="n">
        <v>0</v>
      </c>
      <c r="BT1481" s="50" t="n">
        <v>0</v>
      </c>
      <c r="BU1481" s="48" t="s">
        <v>2584</v>
      </c>
      <c r="BV1481" s="53" t="n">
        <v>0</v>
      </c>
      <c r="BW1481" s="53" t="n">
        <v>1481</v>
      </c>
      <c r="BX1481" s="48" t="str">
        <f aca="false">IF(U1481&lt;&gt;"",UPPER(TRIM(U1481)),IF(CA1481=1,UPPER(VLOOKUP(T1481,Parameter!$I$27:$K$29,2,0)),IF(P1481="","LOSE",P1481)))</f>
        <v>S51</v>
      </c>
      <c r="BY1481" s="50" t="n">
        <f aca="false">IF(BX1481="LOSE",1,IF(N(V1481)&gt;0,V1481,IF(CA1481=1,MAX(1,N(VLOOKUP(T1481,Parameter!$I$27:$K$29,3,0)),H1481,N(N1481)),IF(N(Q1481)&gt;0,Q1481,MAX(1,H1481)))))</f>
        <v>3</v>
      </c>
      <c r="BZ1481" s="53" t="n">
        <f aca="false">IF(BX1481="LOSE",1,0)</f>
        <v>0</v>
      </c>
      <c r="CA1481" s="53" t="n">
        <f aca="false">IF(AND(U1481="",OR(P1481="",P1481="LOSE"),T1481&lt;&gt;"",N(S1481)&lt;=0,ISNUMBER(MATCH(T1481,Parameter!$I$27:$I$29,0))),1,0)</f>
        <v>0</v>
      </c>
      <c r="CB1481" s="53" t="n">
        <f aca="false">IF(CQ1481&gt;0,INDEX(Parameter!$H$5:$H$7,W1481)/INDEX(Parameter!$E$5:$E$7,W1481),IF(AND(BZ1481=0,N(IFERROR(VLOOKUP(BX1481,'Gebinde-Kategorie'!$A$5:$N$45,14,0),0))&gt;0),VLOOKUP(BX1481,'Gebinde-Kategorie'!$A$5:$N$45,14,0)*10+Parameter!$M$23,Parameter!$M$24))</f>
        <v>155</v>
      </c>
      <c r="CC1481" s="48" t="str">
        <f aca="false">IF(AND(Parameter!$B$19="Ja",E1481&lt;&gt;"",ISNUMBER(MATCH(E1481,Parameter!$I$35:$I$52,0))),VLOOKUP(E1481,Parameter!$I$35:$J$52,2,0),IFERROR(VLOOKUP(D1481,Parameter!$A$35:$C$64,2,0),"Nein"))</f>
        <v>2+3</v>
      </c>
      <c r="CD1481" s="52" t="n">
        <f aca="false">IF(BZ1481=0,0,IF(N(S1481)&gt;0,S1481,IFERROR(VLOOKUP(D1481,Parameter!$A$35:$C$64,3,0)+0,0)))</f>
        <v>0</v>
      </c>
      <c r="CE1481" s="48" t="n">
        <f aca="false">IF(AA1481&lt;&gt;"",AA1481,Z1481)</f>
        <v>3</v>
      </c>
      <c r="CF1481" s="48" t="str">
        <f aca="false">IF(OR(CE1481=1,CE1481=2,CE1481=3),IF(Parameter!$E$27="Ja","LIFT",IF(CE1481=1,"L1","L23")),IF(CE1481="Aussen","Aussen","-"))</f>
        <v>LIFT</v>
      </c>
      <c r="CG1481" s="59" t="n">
        <f aca="false">IF(N(AB1481)&gt;0,AB1481,0)</f>
        <v>0</v>
      </c>
      <c r="CH1481" s="53" t="n">
        <f aca="false">IF(ISNUMBER(AE1481),1,0)</f>
        <v>0</v>
      </c>
      <c r="CI1481" s="50" t="n">
        <f aca="false">N(AE1481)</f>
        <v>0</v>
      </c>
      <c r="CJ1481" s="50" t="n">
        <f aca="false">N(M1481)+N(N1481)</f>
        <v>6</v>
      </c>
      <c r="CK1481" s="50" t="n">
        <f aca="false">N(M1481)</f>
        <v>0</v>
      </c>
      <c r="CL1481" s="50" t="n">
        <f aca="false">N(N1481)</f>
        <v>6</v>
      </c>
      <c r="CM1481" s="50" t="n">
        <f aca="false">ROUNDUP(H1481/BY1481,0)</f>
        <v>1</v>
      </c>
      <c r="CN1481" s="50" t="n">
        <f aca="false">ROUNDUP(CI1481/BY1481,0)</f>
        <v>0</v>
      </c>
      <c r="CO1481" s="53" t="n">
        <f aca="false">IF(BZ1481=1,0,IFERROR(VLOOKUP(BX1481,'Gebinde-Kategorie'!$A$5:$N$45,5,0)+0,0))</f>
        <v>11</v>
      </c>
      <c r="CP1481" s="53" t="n">
        <f aca="false">IFERROR(IF(OR(CE1481=1,CE1481=2,CE1481=3),N(INDEX(Parameter!$I$5:$I$7,CE1481)),0),0)</f>
        <v>0</v>
      </c>
      <c r="CQ1481" s="52" t="n">
        <f aca="false">IF(AND(Parameter!$B$21="Ja",ISNUMBER(W1481),N(X1481)&gt;0),IFERROR(N(INDEX(Parameter!$L$5:$L$7,W1481))*INDEX(Parameter!$E$5:$E$7,W1481)*X1481/SUMIFS($X$7:$X$1843,$W$7:$W$1843,W1481),0),0)</f>
        <v>0</v>
      </c>
    </row>
    <row r="1482" customFormat="false" ht="15" hidden="false" customHeight="false" outlineLevel="0" collapsed="false">
      <c r="A1482" s="48" t="s">
        <v>2600</v>
      </c>
      <c r="B1482" s="48" t="s">
        <v>2601</v>
      </c>
      <c r="C1482" s="48" t="s">
        <v>173</v>
      </c>
      <c r="D1482" s="48" t="s">
        <v>193</v>
      </c>
      <c r="E1482" s="48" t="s">
        <v>194</v>
      </c>
      <c r="F1482" s="48"/>
      <c r="G1482" s="49" t="n">
        <v>46.18</v>
      </c>
      <c r="H1482" s="50" t="n">
        <f aca="false">MAX(0,IF(AND(Parameter!$B$21="Ja",ISNUMBER(Y1482)),Y1482,IF(Parameter!$B$20="Jahresanfang 2025 + Export",BR1482+BQ1482,BQ1482)))</f>
        <v>20</v>
      </c>
      <c r="I1482" s="50" t="n">
        <f aca="false">H1482*G1482</f>
        <v>923.6</v>
      </c>
      <c r="J1482" s="50" t="n">
        <f aca="false">BT1482*Parameter!$B$18</f>
        <v>0</v>
      </c>
      <c r="K1482" s="51"/>
      <c r="L1482" s="52"/>
      <c r="M1482" s="50" t="n">
        <v>0</v>
      </c>
      <c r="N1482" s="50" t="n">
        <v>4</v>
      </c>
      <c r="O1482" s="53" t="n">
        <v>56</v>
      </c>
      <c r="P1482" s="48" t="s">
        <v>311</v>
      </c>
      <c r="Q1482" s="50" t="n">
        <v>20</v>
      </c>
      <c r="R1482" s="53" t="n">
        <f aca="false">IF(BZ1482=1,0,IFERROR(VLOOKUP(BX1482,'Gebinde-Kategorie'!$A$5:$N$45,13,0)+0,0))</f>
        <v>26</v>
      </c>
      <c r="S1482" s="54"/>
      <c r="T1482" s="55"/>
      <c r="U1482" s="55"/>
      <c r="V1482" s="55"/>
      <c r="W1482" s="48"/>
      <c r="X1482" s="50"/>
      <c r="Y1482" s="50"/>
      <c r="Z1482" s="48" t="n">
        <f aca="false">IF(A1482="","",IF(AND(Parameter!$B$21="Ja",ISNUMBER(W1482)),W1482,IF(CC1482="2+3",IF(ISNUMBER(SEARCH("grosser Artikel",BU1482)),2,IFERROR(VLOOKUP(BX1482,Parameter!$F$35:$G$64,2,0),2)),IF(OR(CC1482="Nein",CC1482=""),"-",CC1482))))</f>
        <v>3</v>
      </c>
      <c r="AA1482" s="55"/>
      <c r="AB1482" s="56"/>
      <c r="AC1482" s="50" t="n">
        <f aca="false">AV1482</f>
        <v>4</v>
      </c>
      <c r="AD1482" s="50" t="n">
        <f aca="false">MAX(AV1482,H1482)</f>
        <v>20</v>
      </c>
      <c r="AE1482" s="57"/>
      <c r="AF1482" s="50" t="n">
        <f aca="false">IF(LEFT(Cockpit!$C$5,1)="A",H1482,IF(Parameter!$E$30="MAX-Bestand",IF(CH1482=1,CI1482,IF(LEFT(Cockpit!$C$5,1)="B",AL1482,MAX(AL1482,H1482))),ROUNDUP(AJ1482,0)))</f>
        <v>20</v>
      </c>
      <c r="AG1482" s="50" t="n">
        <f aca="false">IF(BZ1482=1,0,ROUNDUP(AF1482/BY1482,0))</f>
        <v>1</v>
      </c>
      <c r="AH1482" s="52" t="n">
        <f aca="false">IF(CQ1482&gt;0,CQ1482*MAX(1,AF1482/X1482),IF(BZ1482=1,IF(AF1482&lt;=0,0,CD1482*MAX(1,IF(H1482&gt;0,AF1482/H1482,1))),IF(R1482&gt;0,AG1482/R1482,0))/MAX(0.1,N(Parameter!$M$21)))</f>
        <v>0.0384615384615385</v>
      </c>
      <c r="AI1482" s="50" t="n">
        <f aca="false">AH1482*CB1482</f>
        <v>5.96153846153846</v>
      </c>
      <c r="AJ1482" s="51" t="n">
        <f aca="false">IF(LEFT(Cockpit!$C$5,1)="A",H1482,IF(CH1482=1,(CK1482+CI1482)/2,IF(LEFT(Cockpit!$C$5,1)="B",(CK1482+AL1482)/2,MAX((CK1482+AL1482)/2,H1482))))</f>
        <v>20</v>
      </c>
      <c r="AK1482" s="50" t="n">
        <f aca="false">AJ1482*G1482</f>
        <v>923.6</v>
      </c>
      <c r="AL1482" s="50" t="n">
        <f aca="false">ROUNDUP(CK1482+MAX(CL1482,2*(J1482/IF(CG1482&gt;0,CG1482,MAX(0.1,N(Cockpit!$C$6)))-CK1482)),0)</f>
        <v>4</v>
      </c>
      <c r="AM1482" s="51" t="n">
        <f aca="false">IF(AI1482&gt;0,J1482/AI1482,-1)</f>
        <v>0</v>
      </c>
      <c r="AN1482" s="51" t="n">
        <f aca="false">IF(AND(OR(CF1482="L1",CF1482="L23",CF1482="LIFT"),AI1482&gt;0),SUMIFS($AI$7:$AI$1843,$CF$7:$CF$1843,CF1482,$AM$7:$AM$1843,"&gt;"&amp;AM1482)+SUMIFS($AI$7:$AI$1843,$CF$7:$CF$1843,CF1482,$AM$7:$AM$1843,AM1482,$BW$7:$BW$1843,"&lt;="&amp;BW1482),"")</f>
        <v>29747.6614851721</v>
      </c>
      <c r="AO1482" s="58" t="n">
        <f aca="false">IF(AN1482="",0,MAX(0,MIN(1,(IF(CF1482="L1",Parameter!$H$5,IF(CF1482="L23",Parameter!$H$6+Parameter!$H$7,Parameter!$H$5+Parameter!$H$6+Parameter!$H$7))-(AN1482-AI1482))/AI1482)))</f>
        <v>1</v>
      </c>
      <c r="AP1482" s="50" t="n">
        <f aca="false">IF(LEFT(Cockpit!$I$5,1)="A",H1482,IF(Parameter!$E$30="MAX-Bestand",IF(CH1482=1,CI1482,IF(LEFT(Cockpit!$I$5,1)="B",AV1482,MAX(AV1482,H1482))),ROUNDUP(AT1482,0)))</f>
        <v>20</v>
      </c>
      <c r="AQ1482" s="50" t="n">
        <f aca="false">IF(BZ1482=1,0,ROUNDUP(AP1482/BY1482,0))</f>
        <v>1</v>
      </c>
      <c r="AR1482" s="52" t="n">
        <f aca="false">IF(CQ1482&gt;0,CQ1482*MAX(1,AP1482/X1482),IF(BZ1482=1,IF(AP1482&lt;=0,0,CD1482*MAX(1,IF(H1482&gt;0,AP1482/H1482,1))),IF(R1482&gt;0,AQ1482/R1482,0))/MAX(0.1,N(Parameter!$M$21)))</f>
        <v>0.0384615384615385</v>
      </c>
      <c r="AS1482" s="50" t="n">
        <f aca="false">AR1482*CB1482</f>
        <v>5.96153846153846</v>
      </c>
      <c r="AT1482" s="51" t="n">
        <f aca="false">IF(LEFT(Cockpit!$I$5,1)="A",H1482,IF(CH1482=1,(CK1482+CI1482)/2,IF(LEFT(Cockpit!$I$5,1)="B",(CK1482+AV1482)/2,MAX((CK1482+AV1482)/2,H1482))))</f>
        <v>20</v>
      </c>
      <c r="AU1482" s="50" t="n">
        <f aca="false">AT1482*G1482</f>
        <v>923.6</v>
      </c>
      <c r="AV1482" s="50" t="n">
        <f aca="false">ROUNDUP(CK1482+MAX(CL1482,2*(J1482/IF(CG1482&gt;0,CG1482,MAX(0.1,N(Cockpit!$I$6)))-CK1482)),0)</f>
        <v>4</v>
      </c>
      <c r="AW1482" s="51" t="n">
        <f aca="false">IF(AS1482&gt;0,J1482/AS1482,-1)</f>
        <v>0</v>
      </c>
      <c r="AX1482" s="51" t="n">
        <f aca="false">IF(AND(OR(CF1482="L1",CF1482="L23",CF1482="LIFT"),AS1482&gt;0),SUMIFS($AS$7:$AS$1843,$CF$7:$CF$1843,CF1482,$AW$7:$AW$1843,"&gt;"&amp;AW1482)+SUMIFS($AS$7:$AS$1843,$CF$7:$CF$1843,CF1482,$AW$7:$AW$1843,AW1482,$BW$7:$BW$1843,"&lt;="&amp;BW1482),"")</f>
        <v>36054.2322877217</v>
      </c>
      <c r="AY1482" s="58" t="n">
        <f aca="false">IF(AX1482="",0,MAX(0,MIN(1,(IF(CF1482="L1",Parameter!$H$5,IF(CF1482="L23",Parameter!$H$6+Parameter!$H$7,Parameter!$H$5+Parameter!$H$6+Parameter!$H$7))-(AX1482-AS1482))/AS1482)))</f>
        <v>0</v>
      </c>
      <c r="AZ1482" s="50" t="n">
        <f aca="false">IF(LEFT(Cockpit!$O$5,1)="A",H1482,IF(Parameter!$E$30="MAX-Bestand",IF(CH1482=1,CI1482,IF(LEFT(Cockpit!$O$5,1)="B",BF1482,MAX(BF1482,H1482))),ROUNDUP(BD1482,0)))</f>
        <v>2</v>
      </c>
      <c r="BA1482" s="50" t="n">
        <f aca="false">IF(BZ1482=1,0,ROUNDUP(AZ1482/BY1482,0))</f>
        <v>1</v>
      </c>
      <c r="BB1482" s="52" t="n">
        <f aca="false">IF(CQ1482&gt;0,CQ1482*MAX(1,AZ1482/X1482),IF(BZ1482=1,IF(AZ1482&lt;=0,0,CD1482*MAX(1,IF(H1482&gt;0,AZ1482/H1482,1))),IF(R1482&gt;0,BA1482/R1482,0))/MAX(0.1,N(Parameter!$M$21)))</f>
        <v>0.0384615384615385</v>
      </c>
      <c r="BC1482" s="50" t="n">
        <f aca="false">BB1482*CB1482</f>
        <v>5.96153846153846</v>
      </c>
      <c r="BD1482" s="51" t="n">
        <f aca="false">IF(LEFT(Cockpit!$O$5,1)="A",H1482,IF(CH1482=1,(CK1482+CI1482)/2,IF(LEFT(Cockpit!$O$5,1)="B",(CK1482+BF1482)/2,MAX((CK1482+BF1482)/2,H1482))))</f>
        <v>2</v>
      </c>
      <c r="BE1482" s="50" t="n">
        <f aca="false">BD1482*G1482</f>
        <v>92.36</v>
      </c>
      <c r="BF1482" s="50" t="n">
        <f aca="false">ROUNDUP(CK1482+MAX(CL1482,2*(J1482/IF(CG1482&gt;0,CG1482,MAX(0.1,N(Cockpit!$O$6)))-CK1482)),0)</f>
        <v>4</v>
      </c>
      <c r="BG1482" s="51" t="n">
        <f aca="false">IF(BC1482&gt;0,J1482/BC1482,-1)</f>
        <v>0</v>
      </c>
      <c r="BH1482" s="51" t="n">
        <f aca="false">IF(AND(OR(CF1482="L1",CF1482="L23",CF1482="LIFT"),BC1482&gt;0),SUMIFS($BC$7:$BC$1843,$CF$7:$CF$1843,CF1482,$BG$7:$BG$1843,"&gt;"&amp;BG1482)+SUMIFS($BC$7:$BC$1843,$CF$7:$CF$1843,CF1482,$BG$7:$BG$1843,BG1482,$BW$7:$BW$1843,"&lt;="&amp;BW1482),"")</f>
        <v>30039.5389478695</v>
      </c>
      <c r="BI1482" s="58" t="n">
        <f aca="false">IF(BH1482="",0,MAX(0,MIN(1,(IF(CF1482="L1",Parameter!$H$5,IF(CF1482="L23",Parameter!$H$6+Parameter!$H$7,Parameter!$H$5+Parameter!$H$6+Parameter!$H$7))-(BH1482-BC1482))/BC1482)))</f>
        <v>1</v>
      </c>
      <c r="BJ1482" s="48" t="str">
        <f aca="false">IF(AI1482&lt;=0,"",IF(CF1482="Aussen","Aussenlager",IF(CF1482="-","Nicht im Lift",IF(AO1482&gt;=1,"Lift",IF(AO1482&lt;=0,"Aussenlager","teilweise")))))</f>
        <v>Lift</v>
      </c>
      <c r="BK1482" s="48" t="str">
        <f aca="false">IF(AS1482&lt;=0,"",IF(CF1482="Aussen","Aussenlager",IF(CF1482="-","Nicht im Lift",IF(AY1482&gt;=1,"Lift",IF(AY1482&lt;=0,"Aussenlager","teilweise")))))</f>
        <v>Aussenlager</v>
      </c>
      <c r="BL1482" s="48" t="str">
        <f aca="false">IF(BC1482&lt;=0,"",IF(CF1482="Aussen","Aussenlager",IF(CF1482="-","Nicht im Lift",IF(BI1482&gt;=1,"Lift",IF(BI1482&lt;=0,"Aussenlager","teilweise")))))</f>
        <v>Lift</v>
      </c>
      <c r="BM1482" s="48" t="str">
        <f aca="false">IF(A1482="","",IF(BV1482=1,"Neu; ","")&amp;IF(AND(BV1482=0,BQ1482&lt;0),"negativer Bestand (Export "&amp;BQ1482&amp;"); ","")&amp;IF(J1482&lt;=0,"Kein Verbrauch; ","")&amp;IF(CQ1482&gt;0,"Lift "&amp;W1482&amp;" lt. Liftbericht (Fach "&amp;X1482&amp;" Stk); ",IF(CA1482=1,"Gebinde geschätzt ("&amp;T1482&amp;"); ",IF(BZ1482=1,"Lose – Tablare geschätzt; ","")))&amp;IF(H1482&gt;AV1482,"Überbestand "&amp;ROUND(H1482-AV1482,0)&amp;" Stk / CHF "&amp;ROUND((H1482-AV1482)*G1482,0)&amp;"; ","")&amp;IF(AND(CH1482=1,CI1482&lt;CJ1482),"MAX &lt; MB+LG; ","")&amp;IF(AND(CP1482&gt;0,CO1482*10&gt;CP1482),"zu hoch für Tablar; ","")&amp;IF(AND(BV1482=0,OR(CH1482=1,AA1482&lt;&gt;"",U1482&lt;&gt;"",V1482&lt;&gt;"",AB1482&lt;&gt;"")),"manuell übersteuert; ","")&amp;IF(AND(BZ1482=0,R1482=0),"Gebinde unbekannt / Stellmass fehlt; ","")&amp;IF(AND(BZ1482=0,N(V1482)&lt;=0,N(Q1482)&lt;=0),"Menge pro Gebinde fehlt (Ist = 1 Gebinde); ","")&amp;BU1482)</f>
        <v>Kein Verbrauch; Überbestand 16 Stk / CHF 739; nur im Artikelstamm (Bestand 23.06.2026)</v>
      </c>
      <c r="BN1482" s="48"/>
      <c r="BO1482" s="48"/>
      <c r="BP1482" s="55"/>
      <c r="BQ1482" s="50" t="n">
        <v>20</v>
      </c>
      <c r="BR1482" s="50" t="n">
        <v>0</v>
      </c>
      <c r="BS1482" s="49" t="n">
        <v>0</v>
      </c>
      <c r="BT1482" s="50" t="n">
        <v>0</v>
      </c>
      <c r="BU1482" s="48" t="s">
        <v>2584</v>
      </c>
      <c r="BV1482" s="53" t="n">
        <v>0</v>
      </c>
      <c r="BW1482" s="53" t="n">
        <v>1482</v>
      </c>
      <c r="BX1482" s="48" t="str">
        <f aca="false">IF(U1482&lt;&gt;"",UPPER(TRIM(U1482)),IF(CA1482=1,UPPER(VLOOKUP(T1482,Parameter!$I$27:$K$29,2,0)),IF(P1482="","LOSE",P1482)))</f>
        <v>S51</v>
      </c>
      <c r="BY1482" s="50" t="n">
        <f aca="false">IF(BX1482="LOSE",1,IF(N(V1482)&gt;0,V1482,IF(CA1482=1,MAX(1,N(VLOOKUP(T1482,Parameter!$I$27:$K$29,3,0)),H1482,N(N1482)),IF(N(Q1482)&gt;0,Q1482,MAX(1,H1482)))))</f>
        <v>20</v>
      </c>
      <c r="BZ1482" s="53" t="n">
        <f aca="false">IF(BX1482="LOSE",1,0)</f>
        <v>0</v>
      </c>
      <c r="CA1482" s="53" t="n">
        <f aca="false">IF(AND(U1482="",OR(P1482="",P1482="LOSE"),T1482&lt;&gt;"",N(S1482)&lt;=0,ISNUMBER(MATCH(T1482,Parameter!$I$27:$I$29,0))),1,0)</f>
        <v>0</v>
      </c>
      <c r="CB1482" s="53" t="n">
        <f aca="false">IF(CQ1482&gt;0,INDEX(Parameter!$H$5:$H$7,W1482)/INDEX(Parameter!$E$5:$E$7,W1482),IF(AND(BZ1482=0,N(IFERROR(VLOOKUP(BX1482,'Gebinde-Kategorie'!$A$5:$N$45,14,0),0))&gt;0),VLOOKUP(BX1482,'Gebinde-Kategorie'!$A$5:$N$45,14,0)*10+Parameter!$M$23,Parameter!$M$24))</f>
        <v>155</v>
      </c>
      <c r="CC1482" s="48" t="str">
        <f aca="false">IF(AND(Parameter!$B$19="Ja",E1482&lt;&gt;"",ISNUMBER(MATCH(E1482,Parameter!$I$35:$I$52,0))),VLOOKUP(E1482,Parameter!$I$35:$J$52,2,0),IFERROR(VLOOKUP(D1482,Parameter!$A$35:$C$64,2,0),"Nein"))</f>
        <v>2+3</v>
      </c>
      <c r="CD1482" s="52" t="n">
        <f aca="false">IF(BZ1482=0,0,IF(N(S1482)&gt;0,S1482,IFERROR(VLOOKUP(D1482,Parameter!$A$35:$C$64,3,0)+0,0)))</f>
        <v>0</v>
      </c>
      <c r="CE1482" s="48" t="n">
        <f aca="false">IF(AA1482&lt;&gt;"",AA1482,Z1482)</f>
        <v>3</v>
      </c>
      <c r="CF1482" s="48" t="str">
        <f aca="false">IF(OR(CE1482=1,CE1482=2,CE1482=3),IF(Parameter!$E$27="Ja","LIFT",IF(CE1482=1,"L1","L23")),IF(CE1482="Aussen","Aussen","-"))</f>
        <v>LIFT</v>
      </c>
      <c r="CG1482" s="59" t="n">
        <f aca="false">IF(N(AB1482)&gt;0,AB1482,0)</f>
        <v>0</v>
      </c>
      <c r="CH1482" s="53" t="n">
        <f aca="false">IF(ISNUMBER(AE1482),1,0)</f>
        <v>0</v>
      </c>
      <c r="CI1482" s="50" t="n">
        <f aca="false">N(AE1482)</f>
        <v>0</v>
      </c>
      <c r="CJ1482" s="50" t="n">
        <f aca="false">N(M1482)+N(N1482)</f>
        <v>4</v>
      </c>
      <c r="CK1482" s="50" t="n">
        <f aca="false">N(M1482)</f>
        <v>0</v>
      </c>
      <c r="CL1482" s="50" t="n">
        <f aca="false">N(N1482)</f>
        <v>4</v>
      </c>
      <c r="CM1482" s="50" t="n">
        <f aca="false">ROUNDUP(H1482/BY1482,0)</f>
        <v>1</v>
      </c>
      <c r="CN1482" s="50" t="n">
        <f aca="false">ROUNDUP(CI1482/BY1482,0)</f>
        <v>0</v>
      </c>
      <c r="CO1482" s="53" t="n">
        <f aca="false">IF(BZ1482=1,0,IFERROR(VLOOKUP(BX1482,'Gebinde-Kategorie'!$A$5:$N$45,5,0)+0,0))</f>
        <v>11</v>
      </c>
      <c r="CP1482" s="53" t="n">
        <f aca="false">IFERROR(IF(OR(CE1482=1,CE1482=2,CE1482=3),N(INDEX(Parameter!$I$5:$I$7,CE1482)),0),0)</f>
        <v>0</v>
      </c>
      <c r="CQ1482" s="52" t="n">
        <f aca="false">IF(AND(Parameter!$B$21="Ja",ISNUMBER(W1482),N(X1482)&gt;0),IFERROR(N(INDEX(Parameter!$L$5:$L$7,W1482))*INDEX(Parameter!$E$5:$E$7,W1482)*X1482/SUMIFS($X$7:$X$1843,$W$7:$W$1843,W1482),0),0)</f>
        <v>0</v>
      </c>
    </row>
    <row r="1483" customFormat="false" ht="15" hidden="false" customHeight="false" outlineLevel="0" collapsed="false">
      <c r="A1483" s="48" t="s">
        <v>2602</v>
      </c>
      <c r="B1483" s="48" t="s">
        <v>2603</v>
      </c>
      <c r="C1483" s="48" t="s">
        <v>173</v>
      </c>
      <c r="D1483" s="48" t="s">
        <v>193</v>
      </c>
      <c r="E1483" s="48" t="s">
        <v>194</v>
      </c>
      <c r="F1483" s="48"/>
      <c r="G1483" s="49" t="n">
        <v>23.89</v>
      </c>
      <c r="H1483" s="50" t="n">
        <f aca="false">MAX(0,IF(AND(Parameter!$B$21="Ja",ISNUMBER(Y1483)),Y1483,IF(Parameter!$B$20="Jahresanfang 2025 + Export",BR1483+BQ1483,BQ1483)))</f>
        <v>6</v>
      </c>
      <c r="I1483" s="50" t="n">
        <f aca="false">H1483*G1483</f>
        <v>143.34</v>
      </c>
      <c r="J1483" s="50" t="n">
        <f aca="false">BT1483*Parameter!$B$18</f>
        <v>0</v>
      </c>
      <c r="K1483" s="51"/>
      <c r="L1483" s="52"/>
      <c r="M1483" s="50" t="n">
        <v>0</v>
      </c>
      <c r="N1483" s="50" t="n">
        <v>5</v>
      </c>
      <c r="O1483" s="53" t="n">
        <v>28</v>
      </c>
      <c r="P1483" s="48" t="s">
        <v>430</v>
      </c>
      <c r="Q1483" s="50" t="n">
        <v>6</v>
      </c>
      <c r="R1483" s="53" t="n">
        <f aca="false">IF(BZ1483=1,0,IFERROR(VLOOKUP(BX1483,'Gebinde-Kategorie'!$A$5:$N$45,13,0)+0,0))</f>
        <v>104</v>
      </c>
      <c r="S1483" s="54"/>
      <c r="T1483" s="55"/>
      <c r="U1483" s="55"/>
      <c r="V1483" s="55"/>
      <c r="W1483" s="48"/>
      <c r="X1483" s="50"/>
      <c r="Y1483" s="50"/>
      <c r="Z1483" s="48" t="n">
        <f aca="false">IF(A1483="","",IF(AND(Parameter!$B$21="Ja",ISNUMBER(W1483)),W1483,IF(CC1483="2+3",IF(ISNUMBER(SEARCH("grosser Artikel",BU1483)),2,IFERROR(VLOOKUP(BX1483,Parameter!$F$35:$G$64,2,0),2)),IF(OR(CC1483="Nein",CC1483=""),"-",CC1483))))</f>
        <v>3</v>
      </c>
      <c r="AA1483" s="55"/>
      <c r="AB1483" s="56"/>
      <c r="AC1483" s="50" t="n">
        <f aca="false">AV1483</f>
        <v>5</v>
      </c>
      <c r="AD1483" s="50" t="n">
        <f aca="false">MAX(AV1483,H1483)</f>
        <v>6</v>
      </c>
      <c r="AE1483" s="57"/>
      <c r="AF1483" s="50" t="n">
        <f aca="false">IF(LEFT(Cockpit!$C$5,1)="A",H1483,IF(Parameter!$E$30="MAX-Bestand",IF(CH1483=1,CI1483,IF(LEFT(Cockpit!$C$5,1)="B",AL1483,MAX(AL1483,H1483))),ROUNDUP(AJ1483,0)))</f>
        <v>6</v>
      </c>
      <c r="AG1483" s="50" t="n">
        <f aca="false">IF(BZ1483=1,0,ROUNDUP(AF1483/BY1483,0))</f>
        <v>1</v>
      </c>
      <c r="AH1483" s="52" t="n">
        <f aca="false">IF(CQ1483&gt;0,CQ1483*MAX(1,AF1483/X1483),IF(BZ1483=1,IF(AF1483&lt;=0,0,CD1483*MAX(1,IF(H1483&gt;0,AF1483/H1483,1))),IF(R1483&gt;0,AG1483/R1483,0))/MAX(0.1,N(Parameter!$M$21)))</f>
        <v>0.00961538461538462</v>
      </c>
      <c r="AI1483" s="50" t="n">
        <f aca="false">AH1483*CB1483</f>
        <v>1.49038461538462</v>
      </c>
      <c r="AJ1483" s="51" t="n">
        <f aca="false">IF(LEFT(Cockpit!$C$5,1)="A",H1483,IF(CH1483=1,(CK1483+CI1483)/2,IF(LEFT(Cockpit!$C$5,1)="B",(CK1483+AL1483)/2,MAX((CK1483+AL1483)/2,H1483))))</f>
        <v>6</v>
      </c>
      <c r="AK1483" s="50" t="n">
        <f aca="false">AJ1483*G1483</f>
        <v>143.34</v>
      </c>
      <c r="AL1483" s="50" t="n">
        <f aca="false">ROUNDUP(CK1483+MAX(CL1483,2*(J1483/IF(CG1483&gt;0,CG1483,MAX(0.1,N(Cockpit!$C$6)))-CK1483)),0)</f>
        <v>5</v>
      </c>
      <c r="AM1483" s="51" t="n">
        <f aca="false">IF(AI1483&gt;0,J1483/AI1483,-1)</f>
        <v>0</v>
      </c>
      <c r="AN1483" s="51" t="n">
        <f aca="false">IF(AND(OR(CF1483="L1",CF1483="L23",CF1483="LIFT"),AI1483&gt;0),SUMIFS($AI$7:$AI$1843,$CF$7:$CF$1843,CF1483,$AM$7:$AM$1843,"&gt;"&amp;AM1483)+SUMIFS($AI$7:$AI$1843,$CF$7:$CF$1843,CF1483,$AM$7:$AM$1843,AM1483,$BW$7:$BW$1843,"&lt;="&amp;BW1483),"")</f>
        <v>29749.1518697875</v>
      </c>
      <c r="AO1483" s="58" t="n">
        <f aca="false">IF(AN1483="",0,MAX(0,MIN(1,(IF(CF1483="L1",Parameter!$H$5,IF(CF1483="L23",Parameter!$H$6+Parameter!$H$7,Parameter!$H$5+Parameter!$H$6+Parameter!$H$7))-(AN1483-AI1483))/AI1483)))</f>
        <v>1</v>
      </c>
      <c r="AP1483" s="50" t="n">
        <f aca="false">IF(LEFT(Cockpit!$I$5,1)="A",H1483,IF(Parameter!$E$30="MAX-Bestand",IF(CH1483=1,CI1483,IF(LEFT(Cockpit!$I$5,1)="B",AV1483,MAX(AV1483,H1483))),ROUNDUP(AT1483,0)))</f>
        <v>6</v>
      </c>
      <c r="AQ1483" s="50" t="n">
        <f aca="false">IF(BZ1483=1,0,ROUNDUP(AP1483/BY1483,0))</f>
        <v>1</v>
      </c>
      <c r="AR1483" s="52" t="n">
        <f aca="false">IF(CQ1483&gt;0,CQ1483*MAX(1,AP1483/X1483),IF(BZ1483=1,IF(AP1483&lt;=0,0,CD1483*MAX(1,IF(H1483&gt;0,AP1483/H1483,1))),IF(R1483&gt;0,AQ1483/R1483,0))/MAX(0.1,N(Parameter!$M$21)))</f>
        <v>0.00961538461538462</v>
      </c>
      <c r="AS1483" s="50" t="n">
        <f aca="false">AR1483*CB1483</f>
        <v>1.49038461538462</v>
      </c>
      <c r="AT1483" s="51" t="n">
        <f aca="false">IF(LEFT(Cockpit!$I$5,1)="A",H1483,IF(CH1483=1,(CK1483+CI1483)/2,IF(LEFT(Cockpit!$I$5,1)="B",(CK1483+AV1483)/2,MAX((CK1483+AV1483)/2,H1483))))</f>
        <v>6</v>
      </c>
      <c r="AU1483" s="50" t="n">
        <f aca="false">AT1483*G1483</f>
        <v>143.34</v>
      </c>
      <c r="AV1483" s="50" t="n">
        <f aca="false">ROUNDUP(CK1483+MAX(CL1483,2*(J1483/IF(CG1483&gt;0,CG1483,MAX(0.1,N(Cockpit!$I$6)))-CK1483)),0)</f>
        <v>5</v>
      </c>
      <c r="AW1483" s="51" t="n">
        <f aca="false">IF(AS1483&gt;0,J1483/AS1483,-1)</f>
        <v>0</v>
      </c>
      <c r="AX1483" s="51" t="n">
        <f aca="false">IF(AND(OR(CF1483="L1",CF1483="L23",CF1483="LIFT"),AS1483&gt;0),SUMIFS($AS$7:$AS$1843,$CF$7:$CF$1843,CF1483,$AW$7:$AW$1843,"&gt;"&amp;AW1483)+SUMIFS($AS$7:$AS$1843,$CF$7:$CF$1843,CF1483,$AW$7:$AW$1843,AW1483,$BW$7:$BW$1843,"&lt;="&amp;BW1483),"")</f>
        <v>36055.7226723371</v>
      </c>
      <c r="AY1483" s="58" t="n">
        <f aca="false">IF(AX1483="",0,MAX(0,MIN(1,(IF(CF1483="L1",Parameter!$H$5,IF(CF1483="L23",Parameter!$H$6+Parameter!$H$7,Parameter!$H$5+Parameter!$H$6+Parameter!$H$7))-(AX1483-AS1483))/AS1483)))</f>
        <v>0</v>
      </c>
      <c r="AZ1483" s="50" t="n">
        <f aca="false">IF(LEFT(Cockpit!$O$5,1)="A",H1483,IF(Parameter!$E$30="MAX-Bestand",IF(CH1483=1,CI1483,IF(LEFT(Cockpit!$O$5,1)="B",BF1483,MAX(BF1483,H1483))),ROUNDUP(BD1483,0)))</f>
        <v>3</v>
      </c>
      <c r="BA1483" s="50" t="n">
        <f aca="false">IF(BZ1483=1,0,ROUNDUP(AZ1483/BY1483,0))</f>
        <v>1</v>
      </c>
      <c r="BB1483" s="52" t="n">
        <f aca="false">IF(CQ1483&gt;0,CQ1483*MAX(1,AZ1483/X1483),IF(BZ1483=1,IF(AZ1483&lt;=0,0,CD1483*MAX(1,IF(H1483&gt;0,AZ1483/H1483,1))),IF(R1483&gt;0,BA1483/R1483,0))/MAX(0.1,N(Parameter!$M$21)))</f>
        <v>0.00961538461538462</v>
      </c>
      <c r="BC1483" s="50" t="n">
        <f aca="false">BB1483*CB1483</f>
        <v>1.49038461538462</v>
      </c>
      <c r="BD1483" s="51" t="n">
        <f aca="false">IF(LEFT(Cockpit!$O$5,1)="A",H1483,IF(CH1483=1,(CK1483+CI1483)/2,IF(LEFT(Cockpit!$O$5,1)="B",(CK1483+BF1483)/2,MAX((CK1483+BF1483)/2,H1483))))</f>
        <v>2.5</v>
      </c>
      <c r="BE1483" s="50" t="n">
        <f aca="false">BD1483*G1483</f>
        <v>59.725</v>
      </c>
      <c r="BF1483" s="50" t="n">
        <f aca="false">ROUNDUP(CK1483+MAX(CL1483,2*(J1483/IF(CG1483&gt;0,CG1483,MAX(0.1,N(Cockpit!$O$6)))-CK1483)),0)</f>
        <v>5</v>
      </c>
      <c r="BG1483" s="51" t="n">
        <f aca="false">IF(BC1483&gt;0,J1483/BC1483,-1)</f>
        <v>0</v>
      </c>
      <c r="BH1483" s="51" t="n">
        <f aca="false">IF(AND(OR(CF1483="L1",CF1483="L23",CF1483="LIFT"),BC1483&gt;0),SUMIFS($BC$7:$BC$1843,$CF$7:$CF$1843,CF1483,$BG$7:$BG$1843,"&gt;"&amp;BG1483)+SUMIFS($BC$7:$BC$1843,$CF$7:$CF$1843,CF1483,$BG$7:$BG$1843,BG1483,$BW$7:$BW$1843,"&lt;="&amp;BW1483),"")</f>
        <v>30041.0293324848</v>
      </c>
      <c r="BI1483" s="58" t="n">
        <f aca="false">IF(BH1483="",0,MAX(0,MIN(1,(IF(CF1483="L1",Parameter!$H$5,IF(CF1483="L23",Parameter!$H$6+Parameter!$H$7,Parameter!$H$5+Parameter!$H$6+Parameter!$H$7))-(BH1483-BC1483))/BC1483)))</f>
        <v>1</v>
      </c>
      <c r="BJ1483" s="48" t="str">
        <f aca="false">IF(AI1483&lt;=0,"",IF(CF1483="Aussen","Aussenlager",IF(CF1483="-","Nicht im Lift",IF(AO1483&gt;=1,"Lift",IF(AO1483&lt;=0,"Aussenlager","teilweise")))))</f>
        <v>Lift</v>
      </c>
      <c r="BK1483" s="48" t="str">
        <f aca="false">IF(AS1483&lt;=0,"",IF(CF1483="Aussen","Aussenlager",IF(CF1483="-","Nicht im Lift",IF(AY1483&gt;=1,"Lift",IF(AY1483&lt;=0,"Aussenlager","teilweise")))))</f>
        <v>Aussenlager</v>
      </c>
      <c r="BL1483" s="48" t="str">
        <f aca="false">IF(BC1483&lt;=0,"",IF(CF1483="Aussen","Aussenlager",IF(CF1483="-","Nicht im Lift",IF(BI1483&gt;=1,"Lift",IF(BI1483&lt;=0,"Aussenlager","teilweise")))))</f>
        <v>Lift</v>
      </c>
      <c r="BM1483" s="48" t="str">
        <f aca="false">IF(A1483="","",IF(BV1483=1,"Neu; ","")&amp;IF(AND(BV1483=0,BQ1483&lt;0),"negativer Bestand (Export "&amp;BQ1483&amp;"); ","")&amp;IF(J1483&lt;=0,"Kein Verbrauch; ","")&amp;IF(CQ1483&gt;0,"Lift "&amp;W1483&amp;" lt. Liftbericht (Fach "&amp;X1483&amp;" Stk); ",IF(CA1483=1,"Gebinde geschätzt ("&amp;T1483&amp;"); ",IF(BZ1483=1,"Lose – Tablare geschätzt; ","")))&amp;IF(H1483&gt;AV1483,"Überbestand "&amp;ROUND(H1483-AV1483,0)&amp;" Stk / CHF "&amp;ROUND((H1483-AV1483)*G1483,0)&amp;"; ","")&amp;IF(AND(CH1483=1,CI1483&lt;CJ1483),"MAX &lt; MB+LG; ","")&amp;IF(AND(CP1483&gt;0,CO1483*10&gt;CP1483),"zu hoch für Tablar; ","")&amp;IF(AND(BV1483=0,OR(CH1483=1,AA1483&lt;&gt;"",U1483&lt;&gt;"",V1483&lt;&gt;"",AB1483&lt;&gt;"")),"manuell übersteuert; ","")&amp;IF(AND(BZ1483=0,R1483=0),"Gebinde unbekannt / Stellmass fehlt; ","")&amp;IF(AND(BZ1483=0,N(V1483)&lt;=0,N(Q1483)&lt;=0),"Menge pro Gebinde fehlt (Ist = 1 Gebinde); ","")&amp;BU1483)</f>
        <v>Kein Verbrauch; Überbestand 1 Stk / CHF 24; nur im Artikelstamm (Bestand 23.06.2026)</v>
      </c>
      <c r="BN1483" s="48"/>
      <c r="BO1483" s="48"/>
      <c r="BP1483" s="55"/>
      <c r="BQ1483" s="50" t="n">
        <v>6</v>
      </c>
      <c r="BR1483" s="50" t="n">
        <v>0</v>
      </c>
      <c r="BS1483" s="49" t="n">
        <v>0</v>
      </c>
      <c r="BT1483" s="50" t="n">
        <v>0</v>
      </c>
      <c r="BU1483" s="48" t="s">
        <v>2584</v>
      </c>
      <c r="BV1483" s="53" t="n">
        <v>0</v>
      </c>
      <c r="BW1483" s="53" t="n">
        <v>1483</v>
      </c>
      <c r="BX1483" s="48" t="str">
        <f aca="false">IF(U1483&lt;&gt;"",UPPER(TRIM(U1483)),IF(CA1483=1,UPPER(VLOOKUP(T1483,Parameter!$I$27:$K$29,2,0)),IF(P1483="","LOSE",P1483)))</f>
        <v>S32</v>
      </c>
      <c r="BY1483" s="50" t="n">
        <f aca="false">IF(BX1483="LOSE",1,IF(N(V1483)&gt;0,V1483,IF(CA1483=1,MAX(1,N(VLOOKUP(T1483,Parameter!$I$27:$K$29,3,0)),H1483,N(N1483)),IF(N(Q1483)&gt;0,Q1483,MAX(1,H1483)))))</f>
        <v>6</v>
      </c>
      <c r="BZ1483" s="53" t="n">
        <f aca="false">IF(BX1483="LOSE",1,0)</f>
        <v>0</v>
      </c>
      <c r="CA1483" s="53" t="n">
        <f aca="false">IF(AND(U1483="",OR(P1483="",P1483="LOSE"),T1483&lt;&gt;"",N(S1483)&lt;=0,ISNUMBER(MATCH(T1483,Parameter!$I$27:$I$29,0))),1,0)</f>
        <v>0</v>
      </c>
      <c r="CB1483" s="53" t="n">
        <f aca="false">IF(CQ1483&gt;0,INDEX(Parameter!$H$5:$H$7,W1483)/INDEX(Parameter!$E$5:$E$7,W1483),IF(AND(BZ1483=0,N(IFERROR(VLOOKUP(BX1483,'Gebinde-Kategorie'!$A$5:$N$45,14,0),0))&gt;0),VLOOKUP(BX1483,'Gebinde-Kategorie'!$A$5:$N$45,14,0)*10+Parameter!$M$23,Parameter!$M$24))</f>
        <v>155</v>
      </c>
      <c r="CC1483" s="48" t="str">
        <f aca="false">IF(AND(Parameter!$B$19="Ja",E1483&lt;&gt;"",ISNUMBER(MATCH(E1483,Parameter!$I$35:$I$52,0))),VLOOKUP(E1483,Parameter!$I$35:$J$52,2,0),IFERROR(VLOOKUP(D1483,Parameter!$A$35:$C$64,2,0),"Nein"))</f>
        <v>2+3</v>
      </c>
      <c r="CD1483" s="52" t="n">
        <f aca="false">IF(BZ1483=0,0,IF(N(S1483)&gt;0,S1483,IFERROR(VLOOKUP(D1483,Parameter!$A$35:$C$64,3,0)+0,0)))</f>
        <v>0</v>
      </c>
      <c r="CE1483" s="48" t="n">
        <f aca="false">IF(AA1483&lt;&gt;"",AA1483,Z1483)</f>
        <v>3</v>
      </c>
      <c r="CF1483" s="48" t="str">
        <f aca="false">IF(OR(CE1483=1,CE1483=2,CE1483=3),IF(Parameter!$E$27="Ja","LIFT",IF(CE1483=1,"L1","L23")),IF(CE1483="Aussen","Aussen","-"))</f>
        <v>LIFT</v>
      </c>
      <c r="CG1483" s="59" t="n">
        <f aca="false">IF(N(AB1483)&gt;0,AB1483,0)</f>
        <v>0</v>
      </c>
      <c r="CH1483" s="53" t="n">
        <f aca="false">IF(ISNUMBER(AE1483),1,0)</f>
        <v>0</v>
      </c>
      <c r="CI1483" s="50" t="n">
        <f aca="false">N(AE1483)</f>
        <v>0</v>
      </c>
      <c r="CJ1483" s="50" t="n">
        <f aca="false">N(M1483)+N(N1483)</f>
        <v>5</v>
      </c>
      <c r="CK1483" s="50" t="n">
        <f aca="false">N(M1483)</f>
        <v>0</v>
      </c>
      <c r="CL1483" s="50" t="n">
        <f aca="false">N(N1483)</f>
        <v>5</v>
      </c>
      <c r="CM1483" s="50" t="n">
        <f aca="false">ROUNDUP(H1483/BY1483,0)</f>
        <v>1</v>
      </c>
      <c r="CN1483" s="50" t="n">
        <f aca="false">ROUNDUP(CI1483/BY1483,0)</f>
        <v>0</v>
      </c>
      <c r="CO1483" s="53" t="n">
        <f aca="false">IF(BZ1483=1,0,IFERROR(VLOOKUP(BX1483,'Gebinde-Kategorie'!$A$5:$N$45,5,0)+0,0))</f>
        <v>8</v>
      </c>
      <c r="CP1483" s="53" t="n">
        <f aca="false">IFERROR(IF(OR(CE1483=1,CE1483=2,CE1483=3),N(INDEX(Parameter!$I$5:$I$7,CE1483)),0),0)</f>
        <v>0</v>
      </c>
      <c r="CQ1483" s="52" t="n">
        <f aca="false">IF(AND(Parameter!$B$21="Ja",ISNUMBER(W1483),N(X1483)&gt;0),IFERROR(N(INDEX(Parameter!$L$5:$L$7,W1483))*INDEX(Parameter!$E$5:$E$7,W1483)*X1483/SUMIFS($X$7:$X$1843,$W$7:$W$1843,W1483),0),0)</f>
        <v>0</v>
      </c>
    </row>
    <row r="1484" customFormat="false" ht="15" hidden="false" customHeight="false" outlineLevel="0" collapsed="false">
      <c r="A1484" s="48" t="s">
        <v>2604</v>
      </c>
      <c r="B1484" s="48" t="s">
        <v>2605</v>
      </c>
      <c r="C1484" s="48" t="s">
        <v>173</v>
      </c>
      <c r="D1484" s="48" t="s">
        <v>193</v>
      </c>
      <c r="E1484" s="48" t="s">
        <v>194</v>
      </c>
      <c r="F1484" s="48"/>
      <c r="G1484" s="49" t="n">
        <v>8.7</v>
      </c>
      <c r="H1484" s="50" t="n">
        <f aca="false">MAX(0,IF(AND(Parameter!$B$21="Ja",ISNUMBER(Y1484)),Y1484,IF(Parameter!$B$20="Jahresanfang 2025 + Export",BR1484+BQ1484,BQ1484)))</f>
        <v>20</v>
      </c>
      <c r="I1484" s="50" t="n">
        <f aca="false">H1484*G1484</f>
        <v>174</v>
      </c>
      <c r="J1484" s="50" t="n">
        <f aca="false">BT1484*Parameter!$B$18</f>
        <v>0</v>
      </c>
      <c r="K1484" s="51"/>
      <c r="L1484" s="52"/>
      <c r="M1484" s="50" t="n">
        <v>0</v>
      </c>
      <c r="N1484" s="50" t="n">
        <v>10</v>
      </c>
      <c r="O1484" s="53" t="n">
        <v>0</v>
      </c>
      <c r="P1484" s="48" t="s">
        <v>435</v>
      </c>
      <c r="Q1484" s="50" t="n">
        <v>20</v>
      </c>
      <c r="R1484" s="53" t="n">
        <f aca="false">IF(BZ1484=1,0,IFERROR(VLOOKUP(BX1484,'Gebinde-Kategorie'!$A$5:$N$45,13,0)+0,0))</f>
        <v>140</v>
      </c>
      <c r="S1484" s="54"/>
      <c r="T1484" s="55"/>
      <c r="U1484" s="55"/>
      <c r="V1484" s="55"/>
      <c r="W1484" s="48"/>
      <c r="X1484" s="50"/>
      <c r="Y1484" s="50"/>
      <c r="Z1484" s="48" t="n">
        <f aca="false">IF(A1484="","",IF(AND(Parameter!$B$21="Ja",ISNUMBER(W1484)),W1484,IF(CC1484="2+3",IF(ISNUMBER(SEARCH("grosser Artikel",BU1484)),2,IFERROR(VLOOKUP(BX1484,Parameter!$F$35:$G$64,2,0),2)),IF(OR(CC1484="Nein",CC1484=""),"-",CC1484))))</f>
        <v>3</v>
      </c>
      <c r="AA1484" s="55"/>
      <c r="AB1484" s="56"/>
      <c r="AC1484" s="50" t="n">
        <f aca="false">AV1484</f>
        <v>10</v>
      </c>
      <c r="AD1484" s="50" t="n">
        <f aca="false">MAX(AV1484,H1484)</f>
        <v>20</v>
      </c>
      <c r="AE1484" s="57"/>
      <c r="AF1484" s="50" t="n">
        <f aca="false">IF(LEFT(Cockpit!$C$5,1)="A",H1484,IF(Parameter!$E$30="MAX-Bestand",IF(CH1484=1,CI1484,IF(LEFT(Cockpit!$C$5,1)="B",AL1484,MAX(AL1484,H1484))),ROUNDUP(AJ1484,0)))</f>
        <v>20</v>
      </c>
      <c r="AG1484" s="50" t="n">
        <f aca="false">IF(BZ1484=1,0,ROUNDUP(AF1484/BY1484,0))</f>
        <v>1</v>
      </c>
      <c r="AH1484" s="52" t="n">
        <f aca="false">IF(CQ1484&gt;0,CQ1484*MAX(1,AF1484/X1484),IF(BZ1484=1,IF(AF1484&lt;=0,0,CD1484*MAX(1,IF(H1484&gt;0,AF1484/H1484,1))),IF(R1484&gt;0,AG1484/R1484,0))/MAX(0.1,N(Parameter!$M$21)))</f>
        <v>0.00714285714285714</v>
      </c>
      <c r="AI1484" s="50" t="n">
        <f aca="false">AH1484*CB1484</f>
        <v>1.10714285714286</v>
      </c>
      <c r="AJ1484" s="51" t="n">
        <f aca="false">IF(LEFT(Cockpit!$C$5,1)="A",H1484,IF(CH1484=1,(CK1484+CI1484)/2,IF(LEFT(Cockpit!$C$5,1)="B",(CK1484+AL1484)/2,MAX((CK1484+AL1484)/2,H1484))))</f>
        <v>20</v>
      </c>
      <c r="AK1484" s="50" t="n">
        <f aca="false">AJ1484*G1484</f>
        <v>174</v>
      </c>
      <c r="AL1484" s="50" t="n">
        <f aca="false">ROUNDUP(CK1484+MAX(CL1484,2*(J1484/IF(CG1484&gt;0,CG1484,MAX(0.1,N(Cockpit!$C$6)))-CK1484)),0)</f>
        <v>10</v>
      </c>
      <c r="AM1484" s="51" t="n">
        <f aca="false">IF(AI1484&gt;0,J1484/AI1484,-1)</f>
        <v>0</v>
      </c>
      <c r="AN1484" s="51" t="n">
        <f aca="false">IF(AND(OR(CF1484="L1",CF1484="L23",CF1484="LIFT"),AI1484&gt;0),SUMIFS($AI$7:$AI$1843,$CF$7:$CF$1843,CF1484,$AM$7:$AM$1843,"&gt;"&amp;AM1484)+SUMIFS($AI$7:$AI$1843,$CF$7:$CF$1843,CF1484,$AM$7:$AM$1843,AM1484,$BW$7:$BW$1843,"&lt;="&amp;BW1484),"")</f>
        <v>29750.2590126446</v>
      </c>
      <c r="AO1484" s="58" t="n">
        <f aca="false">IF(AN1484="",0,MAX(0,MIN(1,(IF(CF1484="L1",Parameter!$H$5,IF(CF1484="L23",Parameter!$H$6+Parameter!$H$7,Parameter!$H$5+Parameter!$H$6+Parameter!$H$7))-(AN1484-AI1484))/AI1484)))</f>
        <v>1</v>
      </c>
      <c r="AP1484" s="50" t="n">
        <f aca="false">IF(LEFT(Cockpit!$I$5,1)="A",H1484,IF(Parameter!$E$30="MAX-Bestand",IF(CH1484=1,CI1484,IF(LEFT(Cockpit!$I$5,1)="B",AV1484,MAX(AV1484,H1484))),ROUNDUP(AT1484,0)))</f>
        <v>20</v>
      </c>
      <c r="AQ1484" s="50" t="n">
        <f aca="false">IF(BZ1484=1,0,ROUNDUP(AP1484/BY1484,0))</f>
        <v>1</v>
      </c>
      <c r="AR1484" s="52" t="n">
        <f aca="false">IF(CQ1484&gt;0,CQ1484*MAX(1,AP1484/X1484),IF(BZ1484=1,IF(AP1484&lt;=0,0,CD1484*MAX(1,IF(H1484&gt;0,AP1484/H1484,1))),IF(R1484&gt;0,AQ1484/R1484,0))/MAX(0.1,N(Parameter!$M$21)))</f>
        <v>0.00714285714285714</v>
      </c>
      <c r="AS1484" s="50" t="n">
        <f aca="false">AR1484*CB1484</f>
        <v>1.10714285714286</v>
      </c>
      <c r="AT1484" s="51" t="n">
        <f aca="false">IF(LEFT(Cockpit!$I$5,1)="A",H1484,IF(CH1484=1,(CK1484+CI1484)/2,IF(LEFT(Cockpit!$I$5,1)="B",(CK1484+AV1484)/2,MAX((CK1484+AV1484)/2,H1484))))</f>
        <v>20</v>
      </c>
      <c r="AU1484" s="50" t="n">
        <f aca="false">AT1484*G1484</f>
        <v>174</v>
      </c>
      <c r="AV1484" s="50" t="n">
        <f aca="false">ROUNDUP(CK1484+MAX(CL1484,2*(J1484/IF(CG1484&gt;0,CG1484,MAX(0.1,N(Cockpit!$I$6)))-CK1484)),0)</f>
        <v>10</v>
      </c>
      <c r="AW1484" s="51" t="n">
        <f aca="false">IF(AS1484&gt;0,J1484/AS1484,-1)</f>
        <v>0</v>
      </c>
      <c r="AX1484" s="51" t="n">
        <f aca="false">IF(AND(OR(CF1484="L1",CF1484="L23",CF1484="LIFT"),AS1484&gt;0),SUMIFS($AS$7:$AS$1843,$CF$7:$CF$1843,CF1484,$AW$7:$AW$1843,"&gt;"&amp;AW1484)+SUMIFS($AS$7:$AS$1843,$CF$7:$CF$1843,CF1484,$AW$7:$AW$1843,AW1484,$BW$7:$BW$1843,"&lt;="&amp;BW1484),"")</f>
        <v>36056.8298151942</v>
      </c>
      <c r="AY1484" s="58" t="n">
        <f aca="false">IF(AX1484="",0,MAX(0,MIN(1,(IF(CF1484="L1",Parameter!$H$5,IF(CF1484="L23",Parameter!$H$6+Parameter!$H$7,Parameter!$H$5+Parameter!$H$6+Parameter!$H$7))-(AX1484-AS1484))/AS1484)))</f>
        <v>0</v>
      </c>
      <c r="AZ1484" s="50" t="n">
        <f aca="false">IF(LEFT(Cockpit!$O$5,1)="A",H1484,IF(Parameter!$E$30="MAX-Bestand",IF(CH1484=1,CI1484,IF(LEFT(Cockpit!$O$5,1)="B",BF1484,MAX(BF1484,H1484))),ROUNDUP(BD1484,0)))</f>
        <v>5</v>
      </c>
      <c r="BA1484" s="50" t="n">
        <f aca="false">IF(BZ1484=1,0,ROUNDUP(AZ1484/BY1484,0))</f>
        <v>1</v>
      </c>
      <c r="BB1484" s="52" t="n">
        <f aca="false">IF(CQ1484&gt;0,CQ1484*MAX(1,AZ1484/X1484),IF(BZ1484=1,IF(AZ1484&lt;=0,0,CD1484*MAX(1,IF(H1484&gt;0,AZ1484/H1484,1))),IF(R1484&gt;0,BA1484/R1484,0))/MAX(0.1,N(Parameter!$M$21)))</f>
        <v>0.00714285714285714</v>
      </c>
      <c r="BC1484" s="50" t="n">
        <f aca="false">BB1484*CB1484</f>
        <v>1.10714285714286</v>
      </c>
      <c r="BD1484" s="51" t="n">
        <f aca="false">IF(LEFT(Cockpit!$O$5,1)="A",H1484,IF(CH1484=1,(CK1484+CI1484)/2,IF(LEFT(Cockpit!$O$5,1)="B",(CK1484+BF1484)/2,MAX((CK1484+BF1484)/2,H1484))))</f>
        <v>5</v>
      </c>
      <c r="BE1484" s="50" t="n">
        <f aca="false">BD1484*G1484</f>
        <v>43.5</v>
      </c>
      <c r="BF1484" s="50" t="n">
        <f aca="false">ROUNDUP(CK1484+MAX(CL1484,2*(J1484/IF(CG1484&gt;0,CG1484,MAX(0.1,N(Cockpit!$O$6)))-CK1484)),0)</f>
        <v>10</v>
      </c>
      <c r="BG1484" s="51" t="n">
        <f aca="false">IF(BC1484&gt;0,J1484/BC1484,-1)</f>
        <v>0</v>
      </c>
      <c r="BH1484" s="51" t="n">
        <f aca="false">IF(AND(OR(CF1484="L1",CF1484="L23",CF1484="LIFT"),BC1484&gt;0),SUMIFS($BC$7:$BC$1843,$CF$7:$CF$1843,CF1484,$BG$7:$BG$1843,"&gt;"&amp;BG1484)+SUMIFS($BC$7:$BC$1843,$CF$7:$CF$1843,CF1484,$BG$7:$BG$1843,BG1484,$BW$7:$BW$1843,"&lt;="&amp;BW1484),"")</f>
        <v>30042.136475342</v>
      </c>
      <c r="BI1484" s="58" t="n">
        <f aca="false">IF(BH1484="",0,MAX(0,MIN(1,(IF(CF1484="L1",Parameter!$H$5,IF(CF1484="L23",Parameter!$H$6+Parameter!$H$7,Parameter!$H$5+Parameter!$H$6+Parameter!$H$7))-(BH1484-BC1484))/BC1484)))</f>
        <v>1</v>
      </c>
      <c r="BJ1484" s="48" t="str">
        <f aca="false">IF(AI1484&lt;=0,"",IF(CF1484="Aussen","Aussenlager",IF(CF1484="-","Nicht im Lift",IF(AO1484&gt;=1,"Lift",IF(AO1484&lt;=0,"Aussenlager","teilweise")))))</f>
        <v>Lift</v>
      </c>
      <c r="BK1484" s="48" t="str">
        <f aca="false">IF(AS1484&lt;=0,"",IF(CF1484="Aussen","Aussenlager",IF(CF1484="-","Nicht im Lift",IF(AY1484&gt;=1,"Lift",IF(AY1484&lt;=0,"Aussenlager","teilweise")))))</f>
        <v>Aussenlager</v>
      </c>
      <c r="BL1484" s="48" t="str">
        <f aca="false">IF(BC1484&lt;=0,"",IF(CF1484="Aussen","Aussenlager",IF(CF1484="-","Nicht im Lift",IF(BI1484&gt;=1,"Lift",IF(BI1484&lt;=0,"Aussenlager","teilweise")))))</f>
        <v>Lift</v>
      </c>
      <c r="BM1484" s="48" t="str">
        <f aca="false">IF(A1484="","",IF(BV1484=1,"Neu; ","")&amp;IF(AND(BV1484=0,BQ1484&lt;0),"negativer Bestand (Export "&amp;BQ1484&amp;"); ","")&amp;IF(J1484&lt;=0,"Kein Verbrauch; ","")&amp;IF(CQ1484&gt;0,"Lift "&amp;W1484&amp;" lt. Liftbericht (Fach "&amp;X1484&amp;" Stk); ",IF(CA1484=1,"Gebinde geschätzt ("&amp;T1484&amp;"); ",IF(BZ1484=1,"Lose – Tablare geschätzt; ","")))&amp;IF(H1484&gt;AV1484,"Überbestand "&amp;ROUND(H1484-AV1484,0)&amp;" Stk / CHF "&amp;ROUND((H1484-AV1484)*G1484,0)&amp;"; ","")&amp;IF(AND(CH1484=1,CI1484&lt;CJ1484),"MAX &lt; MB+LG; ","")&amp;IF(AND(CP1484&gt;0,CO1484*10&gt;CP1484),"zu hoch für Tablar; ","")&amp;IF(AND(BV1484=0,OR(CH1484=1,AA1484&lt;&gt;"",U1484&lt;&gt;"",V1484&lt;&gt;"",AB1484&lt;&gt;"")),"manuell übersteuert; ","")&amp;IF(AND(BZ1484=0,R1484=0),"Gebinde unbekannt / Stellmass fehlt; ","")&amp;IF(AND(BZ1484=0,N(V1484)&lt;=0,N(Q1484)&lt;=0),"Menge pro Gebinde fehlt (Ist = 1 Gebinde); ","")&amp;BU1484)</f>
        <v>Kein Verbrauch; Überbestand 10 Stk / CHF 87; nur im Artikelstamm (Bestand 23.06.2026)</v>
      </c>
      <c r="BN1484" s="48"/>
      <c r="BO1484" s="48"/>
      <c r="BP1484" s="55"/>
      <c r="BQ1484" s="50" t="n">
        <v>20</v>
      </c>
      <c r="BR1484" s="50" t="n">
        <v>0</v>
      </c>
      <c r="BS1484" s="49" t="n">
        <v>0</v>
      </c>
      <c r="BT1484" s="50" t="n">
        <v>0</v>
      </c>
      <c r="BU1484" s="48" t="s">
        <v>2584</v>
      </c>
      <c r="BV1484" s="53" t="n">
        <v>0</v>
      </c>
      <c r="BW1484" s="53" t="n">
        <v>1484</v>
      </c>
      <c r="BX1484" s="48" t="str">
        <f aca="false">IF(U1484&lt;&gt;"",UPPER(TRIM(U1484)),IF(CA1484=1,UPPER(VLOOKUP(T1484,Parameter!$I$27:$K$29,2,0)),IF(P1484="","LOSE",P1484)))</f>
        <v>S22</v>
      </c>
      <c r="BY1484" s="50" t="n">
        <f aca="false">IF(BX1484="LOSE",1,IF(N(V1484)&gt;0,V1484,IF(CA1484=1,MAX(1,N(VLOOKUP(T1484,Parameter!$I$27:$K$29,3,0)),H1484,N(N1484)),IF(N(Q1484)&gt;0,Q1484,MAX(1,H1484)))))</f>
        <v>20</v>
      </c>
      <c r="BZ1484" s="53" t="n">
        <f aca="false">IF(BX1484="LOSE",1,0)</f>
        <v>0</v>
      </c>
      <c r="CA1484" s="53" t="n">
        <f aca="false">IF(AND(U1484="",OR(P1484="",P1484="LOSE"),T1484&lt;&gt;"",N(S1484)&lt;=0,ISNUMBER(MATCH(T1484,Parameter!$I$27:$I$29,0))),1,0)</f>
        <v>0</v>
      </c>
      <c r="CB1484" s="53" t="n">
        <f aca="false">IF(CQ1484&gt;0,INDEX(Parameter!$H$5:$H$7,W1484)/INDEX(Parameter!$E$5:$E$7,W1484),IF(AND(BZ1484=0,N(IFERROR(VLOOKUP(BX1484,'Gebinde-Kategorie'!$A$5:$N$45,14,0),0))&gt;0),VLOOKUP(BX1484,'Gebinde-Kategorie'!$A$5:$N$45,14,0)*10+Parameter!$M$23,Parameter!$M$24))</f>
        <v>155</v>
      </c>
      <c r="CC1484" s="48" t="str">
        <f aca="false">IF(AND(Parameter!$B$19="Ja",E1484&lt;&gt;"",ISNUMBER(MATCH(E1484,Parameter!$I$35:$I$52,0))),VLOOKUP(E1484,Parameter!$I$35:$J$52,2,0),IFERROR(VLOOKUP(D1484,Parameter!$A$35:$C$64,2,0),"Nein"))</f>
        <v>2+3</v>
      </c>
      <c r="CD1484" s="52" t="n">
        <f aca="false">IF(BZ1484=0,0,IF(N(S1484)&gt;0,S1484,IFERROR(VLOOKUP(D1484,Parameter!$A$35:$C$64,3,0)+0,0)))</f>
        <v>0</v>
      </c>
      <c r="CE1484" s="48" t="n">
        <f aca="false">IF(AA1484&lt;&gt;"",AA1484,Z1484)</f>
        <v>3</v>
      </c>
      <c r="CF1484" s="48" t="str">
        <f aca="false">IF(OR(CE1484=1,CE1484=2,CE1484=3),IF(Parameter!$E$27="Ja","LIFT",IF(CE1484=1,"L1","L23")),IF(CE1484="Aussen","Aussen","-"))</f>
        <v>LIFT</v>
      </c>
      <c r="CG1484" s="59" t="n">
        <f aca="false">IF(N(AB1484)&gt;0,AB1484,0)</f>
        <v>0</v>
      </c>
      <c r="CH1484" s="53" t="n">
        <f aca="false">IF(ISNUMBER(AE1484),1,0)</f>
        <v>0</v>
      </c>
      <c r="CI1484" s="50" t="n">
        <f aca="false">N(AE1484)</f>
        <v>0</v>
      </c>
      <c r="CJ1484" s="50" t="n">
        <f aca="false">N(M1484)+N(N1484)</f>
        <v>10</v>
      </c>
      <c r="CK1484" s="50" t="n">
        <f aca="false">N(M1484)</f>
        <v>0</v>
      </c>
      <c r="CL1484" s="50" t="n">
        <f aca="false">N(N1484)</f>
        <v>10</v>
      </c>
      <c r="CM1484" s="50" t="n">
        <f aca="false">ROUNDUP(H1484/BY1484,0)</f>
        <v>1</v>
      </c>
      <c r="CN1484" s="50" t="n">
        <f aca="false">ROUNDUP(CI1484/BY1484,0)</f>
        <v>0</v>
      </c>
      <c r="CO1484" s="53" t="n">
        <f aca="false">IF(BZ1484=1,0,IFERROR(VLOOKUP(BX1484,'Gebinde-Kategorie'!$A$5:$N$45,5,0)+0,0))</f>
        <v>8</v>
      </c>
      <c r="CP1484" s="53" t="n">
        <f aca="false">IFERROR(IF(OR(CE1484=1,CE1484=2,CE1484=3),N(INDEX(Parameter!$I$5:$I$7,CE1484)),0),0)</f>
        <v>0</v>
      </c>
      <c r="CQ1484" s="52" t="n">
        <f aca="false">IF(AND(Parameter!$B$21="Ja",ISNUMBER(W1484),N(X1484)&gt;0),IFERROR(N(INDEX(Parameter!$L$5:$L$7,W1484))*INDEX(Parameter!$E$5:$E$7,W1484)*X1484/SUMIFS($X$7:$X$1843,$W$7:$W$1843,W1484),0),0)</f>
        <v>0</v>
      </c>
    </row>
    <row r="1485" customFormat="false" ht="15" hidden="false" customHeight="false" outlineLevel="0" collapsed="false">
      <c r="A1485" s="48" t="s">
        <v>2606</v>
      </c>
      <c r="B1485" s="48" t="s">
        <v>2138</v>
      </c>
      <c r="C1485" s="48" t="s">
        <v>173</v>
      </c>
      <c r="D1485" s="48" t="s">
        <v>193</v>
      </c>
      <c r="E1485" s="48" t="s">
        <v>194</v>
      </c>
      <c r="F1485" s="48"/>
      <c r="G1485" s="49" t="n">
        <v>172.47</v>
      </c>
      <c r="H1485" s="50" t="n">
        <f aca="false">MAX(0,IF(AND(Parameter!$B$21="Ja",ISNUMBER(Y1485)),Y1485,IF(Parameter!$B$20="Jahresanfang 2025 + Export",BR1485+BQ1485,BQ1485)))</f>
        <v>12</v>
      </c>
      <c r="I1485" s="50" t="n">
        <f aca="false">H1485*G1485</f>
        <v>2069.64</v>
      </c>
      <c r="J1485" s="50" t="n">
        <f aca="false">BT1485*Parameter!$B$18</f>
        <v>0</v>
      </c>
      <c r="K1485" s="51"/>
      <c r="L1485" s="52"/>
      <c r="M1485" s="50" t="n">
        <v>0</v>
      </c>
      <c r="N1485" s="50" t="n">
        <v>4</v>
      </c>
      <c r="O1485" s="53" t="n">
        <v>70</v>
      </c>
      <c r="P1485" s="48" t="s">
        <v>311</v>
      </c>
      <c r="Q1485" s="50" t="n">
        <v>12</v>
      </c>
      <c r="R1485" s="53" t="n">
        <f aca="false">IF(BZ1485=1,0,IFERROR(VLOOKUP(BX1485,'Gebinde-Kategorie'!$A$5:$N$45,13,0)+0,0))</f>
        <v>26</v>
      </c>
      <c r="S1485" s="54"/>
      <c r="T1485" s="55"/>
      <c r="U1485" s="55"/>
      <c r="V1485" s="55"/>
      <c r="W1485" s="48"/>
      <c r="X1485" s="50"/>
      <c r="Y1485" s="50"/>
      <c r="Z1485" s="48" t="n">
        <f aca="false">IF(A1485="","",IF(AND(Parameter!$B$21="Ja",ISNUMBER(W1485)),W1485,IF(CC1485="2+3",IF(ISNUMBER(SEARCH("grosser Artikel",BU1485)),2,IFERROR(VLOOKUP(BX1485,Parameter!$F$35:$G$64,2,0),2)),IF(OR(CC1485="Nein",CC1485=""),"-",CC1485))))</f>
        <v>3</v>
      </c>
      <c r="AA1485" s="55"/>
      <c r="AB1485" s="56"/>
      <c r="AC1485" s="50" t="n">
        <f aca="false">AV1485</f>
        <v>4</v>
      </c>
      <c r="AD1485" s="50" t="n">
        <f aca="false">MAX(AV1485,H1485)</f>
        <v>12</v>
      </c>
      <c r="AE1485" s="57"/>
      <c r="AF1485" s="50" t="n">
        <f aca="false">IF(LEFT(Cockpit!$C$5,1)="A",H1485,IF(Parameter!$E$30="MAX-Bestand",IF(CH1485=1,CI1485,IF(LEFT(Cockpit!$C$5,1)="B",AL1485,MAX(AL1485,H1485))),ROUNDUP(AJ1485,0)))</f>
        <v>12</v>
      </c>
      <c r="AG1485" s="50" t="n">
        <f aca="false">IF(BZ1485=1,0,ROUNDUP(AF1485/BY1485,0))</f>
        <v>1</v>
      </c>
      <c r="AH1485" s="52" t="n">
        <f aca="false">IF(CQ1485&gt;0,CQ1485*MAX(1,AF1485/X1485),IF(BZ1485=1,IF(AF1485&lt;=0,0,CD1485*MAX(1,IF(H1485&gt;0,AF1485/H1485,1))),IF(R1485&gt;0,AG1485/R1485,0))/MAX(0.1,N(Parameter!$M$21)))</f>
        <v>0.0384615384615385</v>
      </c>
      <c r="AI1485" s="50" t="n">
        <f aca="false">AH1485*CB1485</f>
        <v>5.96153846153846</v>
      </c>
      <c r="AJ1485" s="51" t="n">
        <f aca="false">IF(LEFT(Cockpit!$C$5,1)="A",H1485,IF(CH1485=1,(CK1485+CI1485)/2,IF(LEFT(Cockpit!$C$5,1)="B",(CK1485+AL1485)/2,MAX((CK1485+AL1485)/2,H1485))))</f>
        <v>12</v>
      </c>
      <c r="AK1485" s="50" t="n">
        <f aca="false">AJ1485*G1485</f>
        <v>2069.64</v>
      </c>
      <c r="AL1485" s="50" t="n">
        <f aca="false">ROUNDUP(CK1485+MAX(CL1485,2*(J1485/IF(CG1485&gt;0,CG1485,MAX(0.1,N(Cockpit!$C$6)))-CK1485)),0)</f>
        <v>4</v>
      </c>
      <c r="AM1485" s="51" t="n">
        <f aca="false">IF(AI1485&gt;0,J1485/AI1485,-1)</f>
        <v>0</v>
      </c>
      <c r="AN1485" s="51" t="n">
        <f aca="false">IF(AND(OR(CF1485="L1",CF1485="L23",CF1485="LIFT"),AI1485&gt;0),SUMIFS($AI$7:$AI$1843,$CF$7:$CF$1843,CF1485,$AM$7:$AM$1843,"&gt;"&amp;AM1485)+SUMIFS($AI$7:$AI$1843,$CF$7:$CF$1843,CF1485,$AM$7:$AM$1843,AM1485,$BW$7:$BW$1843,"&lt;="&amp;BW1485),"")</f>
        <v>29756.2205511061</v>
      </c>
      <c r="AO1485" s="58" t="n">
        <f aca="false">IF(AN1485="",0,MAX(0,MIN(1,(IF(CF1485="L1",Parameter!$H$5,IF(CF1485="L23",Parameter!$H$6+Parameter!$H$7,Parameter!$H$5+Parameter!$H$6+Parameter!$H$7))-(AN1485-AI1485))/AI1485)))</f>
        <v>1</v>
      </c>
      <c r="AP1485" s="50" t="n">
        <f aca="false">IF(LEFT(Cockpit!$I$5,1)="A",H1485,IF(Parameter!$E$30="MAX-Bestand",IF(CH1485=1,CI1485,IF(LEFT(Cockpit!$I$5,1)="B",AV1485,MAX(AV1485,H1485))),ROUNDUP(AT1485,0)))</f>
        <v>12</v>
      </c>
      <c r="AQ1485" s="50" t="n">
        <f aca="false">IF(BZ1485=1,0,ROUNDUP(AP1485/BY1485,0))</f>
        <v>1</v>
      </c>
      <c r="AR1485" s="52" t="n">
        <f aca="false">IF(CQ1485&gt;0,CQ1485*MAX(1,AP1485/X1485),IF(BZ1485=1,IF(AP1485&lt;=0,0,CD1485*MAX(1,IF(H1485&gt;0,AP1485/H1485,1))),IF(R1485&gt;0,AQ1485/R1485,0))/MAX(0.1,N(Parameter!$M$21)))</f>
        <v>0.0384615384615385</v>
      </c>
      <c r="AS1485" s="50" t="n">
        <f aca="false">AR1485*CB1485</f>
        <v>5.96153846153846</v>
      </c>
      <c r="AT1485" s="51" t="n">
        <f aca="false">IF(LEFT(Cockpit!$I$5,1)="A",H1485,IF(CH1485=1,(CK1485+CI1485)/2,IF(LEFT(Cockpit!$I$5,1)="B",(CK1485+AV1485)/2,MAX((CK1485+AV1485)/2,H1485))))</f>
        <v>12</v>
      </c>
      <c r="AU1485" s="50" t="n">
        <f aca="false">AT1485*G1485</f>
        <v>2069.64</v>
      </c>
      <c r="AV1485" s="50" t="n">
        <f aca="false">ROUNDUP(CK1485+MAX(CL1485,2*(J1485/IF(CG1485&gt;0,CG1485,MAX(0.1,N(Cockpit!$I$6)))-CK1485)),0)</f>
        <v>4</v>
      </c>
      <c r="AW1485" s="51" t="n">
        <f aca="false">IF(AS1485&gt;0,J1485/AS1485,-1)</f>
        <v>0</v>
      </c>
      <c r="AX1485" s="51" t="n">
        <f aca="false">IF(AND(OR(CF1485="L1",CF1485="L23",CF1485="LIFT"),AS1485&gt;0),SUMIFS($AS$7:$AS$1843,$CF$7:$CF$1843,CF1485,$AW$7:$AW$1843,"&gt;"&amp;AW1485)+SUMIFS($AS$7:$AS$1843,$CF$7:$CF$1843,CF1485,$AW$7:$AW$1843,AW1485,$BW$7:$BW$1843,"&lt;="&amp;BW1485),"")</f>
        <v>36062.7913536558</v>
      </c>
      <c r="AY1485" s="58" t="n">
        <f aca="false">IF(AX1485="",0,MAX(0,MIN(1,(IF(CF1485="L1",Parameter!$H$5,IF(CF1485="L23",Parameter!$H$6+Parameter!$H$7,Parameter!$H$5+Parameter!$H$6+Parameter!$H$7))-(AX1485-AS1485))/AS1485)))</f>
        <v>0</v>
      </c>
      <c r="AZ1485" s="50" t="n">
        <f aca="false">IF(LEFT(Cockpit!$O$5,1)="A",H1485,IF(Parameter!$E$30="MAX-Bestand",IF(CH1485=1,CI1485,IF(LEFT(Cockpit!$O$5,1)="B",BF1485,MAX(BF1485,H1485))),ROUNDUP(BD1485,0)))</f>
        <v>2</v>
      </c>
      <c r="BA1485" s="50" t="n">
        <f aca="false">IF(BZ1485=1,0,ROUNDUP(AZ1485/BY1485,0))</f>
        <v>1</v>
      </c>
      <c r="BB1485" s="52" t="n">
        <f aca="false">IF(CQ1485&gt;0,CQ1485*MAX(1,AZ1485/X1485),IF(BZ1485=1,IF(AZ1485&lt;=0,0,CD1485*MAX(1,IF(H1485&gt;0,AZ1485/H1485,1))),IF(R1485&gt;0,BA1485/R1485,0))/MAX(0.1,N(Parameter!$M$21)))</f>
        <v>0.0384615384615385</v>
      </c>
      <c r="BC1485" s="50" t="n">
        <f aca="false">BB1485*CB1485</f>
        <v>5.96153846153846</v>
      </c>
      <c r="BD1485" s="51" t="n">
        <f aca="false">IF(LEFT(Cockpit!$O$5,1)="A",H1485,IF(CH1485=1,(CK1485+CI1485)/2,IF(LEFT(Cockpit!$O$5,1)="B",(CK1485+BF1485)/2,MAX((CK1485+BF1485)/2,H1485))))</f>
        <v>2</v>
      </c>
      <c r="BE1485" s="50" t="n">
        <f aca="false">BD1485*G1485</f>
        <v>344.94</v>
      </c>
      <c r="BF1485" s="50" t="n">
        <f aca="false">ROUNDUP(CK1485+MAX(CL1485,2*(J1485/IF(CG1485&gt;0,CG1485,MAX(0.1,N(Cockpit!$O$6)))-CK1485)),0)</f>
        <v>4</v>
      </c>
      <c r="BG1485" s="51" t="n">
        <f aca="false">IF(BC1485&gt;0,J1485/BC1485,-1)</f>
        <v>0</v>
      </c>
      <c r="BH1485" s="51" t="n">
        <f aca="false">IF(AND(OR(CF1485="L1",CF1485="L23",CF1485="LIFT"),BC1485&gt;0),SUMIFS($BC$7:$BC$1843,$CF$7:$CF$1843,CF1485,$BG$7:$BG$1843,"&gt;"&amp;BG1485)+SUMIFS($BC$7:$BC$1843,$CF$7:$CF$1843,CF1485,$BG$7:$BG$1843,BG1485,$BW$7:$BW$1843,"&lt;="&amp;BW1485),"")</f>
        <v>30048.0980138035</v>
      </c>
      <c r="BI1485" s="58" t="n">
        <f aca="false">IF(BH1485="",0,MAX(0,MIN(1,(IF(CF1485="L1",Parameter!$H$5,IF(CF1485="L23",Parameter!$H$6+Parameter!$H$7,Parameter!$H$5+Parameter!$H$6+Parameter!$H$7))-(BH1485-BC1485))/BC1485)))</f>
        <v>1</v>
      </c>
      <c r="BJ1485" s="48" t="str">
        <f aca="false">IF(AI1485&lt;=0,"",IF(CF1485="Aussen","Aussenlager",IF(CF1485="-","Nicht im Lift",IF(AO1485&gt;=1,"Lift",IF(AO1485&lt;=0,"Aussenlager","teilweise")))))</f>
        <v>Lift</v>
      </c>
      <c r="BK1485" s="48" t="str">
        <f aca="false">IF(AS1485&lt;=0,"",IF(CF1485="Aussen","Aussenlager",IF(CF1485="-","Nicht im Lift",IF(AY1485&gt;=1,"Lift",IF(AY1485&lt;=0,"Aussenlager","teilweise")))))</f>
        <v>Aussenlager</v>
      </c>
      <c r="BL1485" s="48" t="str">
        <f aca="false">IF(BC1485&lt;=0,"",IF(CF1485="Aussen","Aussenlager",IF(CF1485="-","Nicht im Lift",IF(BI1485&gt;=1,"Lift",IF(BI1485&lt;=0,"Aussenlager","teilweise")))))</f>
        <v>Lift</v>
      </c>
      <c r="BM1485" s="48" t="str">
        <f aca="false">IF(A1485="","",IF(BV1485=1,"Neu; ","")&amp;IF(AND(BV1485=0,BQ1485&lt;0),"negativer Bestand (Export "&amp;BQ1485&amp;"); ","")&amp;IF(J1485&lt;=0,"Kein Verbrauch; ","")&amp;IF(CQ1485&gt;0,"Lift "&amp;W1485&amp;" lt. Liftbericht (Fach "&amp;X1485&amp;" Stk); ",IF(CA1485=1,"Gebinde geschätzt ("&amp;T1485&amp;"); ",IF(BZ1485=1,"Lose – Tablare geschätzt; ","")))&amp;IF(H1485&gt;AV1485,"Überbestand "&amp;ROUND(H1485-AV1485,0)&amp;" Stk / CHF "&amp;ROUND((H1485-AV1485)*G1485,0)&amp;"; ","")&amp;IF(AND(CH1485=1,CI1485&lt;CJ1485),"MAX &lt; MB+LG; ","")&amp;IF(AND(CP1485&gt;0,CO1485*10&gt;CP1485),"zu hoch für Tablar; ","")&amp;IF(AND(BV1485=0,OR(CH1485=1,AA1485&lt;&gt;"",U1485&lt;&gt;"",V1485&lt;&gt;"",AB1485&lt;&gt;"")),"manuell übersteuert; ","")&amp;IF(AND(BZ1485=0,R1485=0),"Gebinde unbekannt / Stellmass fehlt; ","")&amp;IF(AND(BZ1485=0,N(V1485)&lt;=0,N(Q1485)&lt;=0),"Menge pro Gebinde fehlt (Ist = 1 Gebinde); ","")&amp;BU1485)</f>
        <v>Kein Verbrauch; Überbestand 8 Stk / CHF 1380; nur im Artikelstamm (Bestand 23.06.2026)</v>
      </c>
      <c r="BN1485" s="48"/>
      <c r="BO1485" s="48"/>
      <c r="BP1485" s="55"/>
      <c r="BQ1485" s="50" t="n">
        <v>12</v>
      </c>
      <c r="BR1485" s="50" t="n">
        <v>0</v>
      </c>
      <c r="BS1485" s="49" t="n">
        <v>0</v>
      </c>
      <c r="BT1485" s="50" t="n">
        <v>0</v>
      </c>
      <c r="BU1485" s="48" t="s">
        <v>2584</v>
      </c>
      <c r="BV1485" s="53" t="n">
        <v>0</v>
      </c>
      <c r="BW1485" s="53" t="n">
        <v>1485</v>
      </c>
      <c r="BX1485" s="48" t="str">
        <f aca="false">IF(U1485&lt;&gt;"",UPPER(TRIM(U1485)),IF(CA1485=1,UPPER(VLOOKUP(T1485,Parameter!$I$27:$K$29,2,0)),IF(P1485="","LOSE",P1485)))</f>
        <v>S51</v>
      </c>
      <c r="BY1485" s="50" t="n">
        <f aca="false">IF(BX1485="LOSE",1,IF(N(V1485)&gt;0,V1485,IF(CA1485=1,MAX(1,N(VLOOKUP(T1485,Parameter!$I$27:$K$29,3,0)),H1485,N(N1485)),IF(N(Q1485)&gt;0,Q1485,MAX(1,H1485)))))</f>
        <v>12</v>
      </c>
      <c r="BZ1485" s="53" t="n">
        <f aca="false">IF(BX1485="LOSE",1,0)</f>
        <v>0</v>
      </c>
      <c r="CA1485" s="53" t="n">
        <f aca="false">IF(AND(U1485="",OR(P1485="",P1485="LOSE"),T1485&lt;&gt;"",N(S1485)&lt;=0,ISNUMBER(MATCH(T1485,Parameter!$I$27:$I$29,0))),1,0)</f>
        <v>0</v>
      </c>
      <c r="CB1485" s="53" t="n">
        <f aca="false">IF(CQ1485&gt;0,INDEX(Parameter!$H$5:$H$7,W1485)/INDEX(Parameter!$E$5:$E$7,W1485),IF(AND(BZ1485=0,N(IFERROR(VLOOKUP(BX1485,'Gebinde-Kategorie'!$A$5:$N$45,14,0),0))&gt;0),VLOOKUP(BX1485,'Gebinde-Kategorie'!$A$5:$N$45,14,0)*10+Parameter!$M$23,Parameter!$M$24))</f>
        <v>155</v>
      </c>
      <c r="CC1485" s="48" t="str">
        <f aca="false">IF(AND(Parameter!$B$19="Ja",E1485&lt;&gt;"",ISNUMBER(MATCH(E1485,Parameter!$I$35:$I$52,0))),VLOOKUP(E1485,Parameter!$I$35:$J$52,2,0),IFERROR(VLOOKUP(D1485,Parameter!$A$35:$C$64,2,0),"Nein"))</f>
        <v>2+3</v>
      </c>
      <c r="CD1485" s="52" t="n">
        <f aca="false">IF(BZ1485=0,0,IF(N(S1485)&gt;0,S1485,IFERROR(VLOOKUP(D1485,Parameter!$A$35:$C$64,3,0)+0,0)))</f>
        <v>0</v>
      </c>
      <c r="CE1485" s="48" t="n">
        <f aca="false">IF(AA1485&lt;&gt;"",AA1485,Z1485)</f>
        <v>3</v>
      </c>
      <c r="CF1485" s="48" t="str">
        <f aca="false">IF(OR(CE1485=1,CE1485=2,CE1485=3),IF(Parameter!$E$27="Ja","LIFT",IF(CE1485=1,"L1","L23")),IF(CE1485="Aussen","Aussen","-"))</f>
        <v>LIFT</v>
      </c>
      <c r="CG1485" s="59" t="n">
        <f aca="false">IF(N(AB1485)&gt;0,AB1485,0)</f>
        <v>0</v>
      </c>
      <c r="CH1485" s="53" t="n">
        <f aca="false">IF(ISNUMBER(AE1485),1,0)</f>
        <v>0</v>
      </c>
      <c r="CI1485" s="50" t="n">
        <f aca="false">N(AE1485)</f>
        <v>0</v>
      </c>
      <c r="CJ1485" s="50" t="n">
        <f aca="false">N(M1485)+N(N1485)</f>
        <v>4</v>
      </c>
      <c r="CK1485" s="50" t="n">
        <f aca="false">N(M1485)</f>
        <v>0</v>
      </c>
      <c r="CL1485" s="50" t="n">
        <f aca="false">N(N1485)</f>
        <v>4</v>
      </c>
      <c r="CM1485" s="50" t="n">
        <f aca="false">ROUNDUP(H1485/BY1485,0)</f>
        <v>1</v>
      </c>
      <c r="CN1485" s="50" t="n">
        <f aca="false">ROUNDUP(CI1485/BY1485,0)</f>
        <v>0</v>
      </c>
      <c r="CO1485" s="53" t="n">
        <f aca="false">IF(BZ1485=1,0,IFERROR(VLOOKUP(BX1485,'Gebinde-Kategorie'!$A$5:$N$45,5,0)+0,0))</f>
        <v>11</v>
      </c>
      <c r="CP1485" s="53" t="n">
        <f aca="false">IFERROR(IF(OR(CE1485=1,CE1485=2,CE1485=3),N(INDEX(Parameter!$I$5:$I$7,CE1485)),0),0)</f>
        <v>0</v>
      </c>
      <c r="CQ1485" s="52" t="n">
        <f aca="false">IF(AND(Parameter!$B$21="Ja",ISNUMBER(W1485),N(X1485)&gt;0),IFERROR(N(INDEX(Parameter!$L$5:$L$7,W1485))*INDEX(Parameter!$E$5:$E$7,W1485)*X1485/SUMIFS($X$7:$X$1843,$W$7:$W$1843,W1485),0),0)</f>
        <v>0</v>
      </c>
    </row>
    <row r="1486" customFormat="false" ht="15" hidden="false" customHeight="false" outlineLevel="0" collapsed="false">
      <c r="A1486" s="48" t="s">
        <v>2607</v>
      </c>
      <c r="B1486" s="48" t="s">
        <v>2608</v>
      </c>
      <c r="C1486" s="48" t="s">
        <v>173</v>
      </c>
      <c r="D1486" s="48" t="s">
        <v>193</v>
      </c>
      <c r="E1486" s="48" t="s">
        <v>194</v>
      </c>
      <c r="F1486" s="48"/>
      <c r="G1486" s="49" t="n">
        <v>78.1</v>
      </c>
      <c r="H1486" s="50" t="n">
        <f aca="false">MAX(0,IF(AND(Parameter!$B$21="Ja",ISNUMBER(Y1486)),Y1486,IF(Parameter!$B$20="Jahresanfang 2025 + Export",BR1486+BQ1486,BQ1486)))</f>
        <v>2</v>
      </c>
      <c r="I1486" s="50" t="n">
        <f aca="false">H1486*G1486</f>
        <v>156.2</v>
      </c>
      <c r="J1486" s="50" t="n">
        <f aca="false">BT1486*Parameter!$B$18</f>
        <v>0</v>
      </c>
      <c r="K1486" s="51"/>
      <c r="L1486" s="52"/>
      <c r="M1486" s="50" t="n">
        <v>0</v>
      </c>
      <c r="N1486" s="50" t="n">
        <v>1</v>
      </c>
      <c r="O1486" s="53" t="n">
        <v>21</v>
      </c>
      <c r="P1486" s="48" t="s">
        <v>435</v>
      </c>
      <c r="Q1486" s="50" t="n">
        <v>2</v>
      </c>
      <c r="R1486" s="53" t="n">
        <f aca="false">IF(BZ1486=1,0,IFERROR(VLOOKUP(BX1486,'Gebinde-Kategorie'!$A$5:$N$45,13,0)+0,0))</f>
        <v>140</v>
      </c>
      <c r="S1486" s="54"/>
      <c r="T1486" s="55"/>
      <c r="U1486" s="55"/>
      <c r="V1486" s="55"/>
      <c r="W1486" s="48"/>
      <c r="X1486" s="50"/>
      <c r="Y1486" s="50"/>
      <c r="Z1486" s="48" t="n">
        <f aca="false">IF(A1486="","",IF(AND(Parameter!$B$21="Ja",ISNUMBER(W1486)),W1486,IF(CC1486="2+3",IF(ISNUMBER(SEARCH("grosser Artikel",BU1486)),2,IFERROR(VLOOKUP(BX1486,Parameter!$F$35:$G$64,2,0),2)),IF(OR(CC1486="Nein",CC1486=""),"-",CC1486))))</f>
        <v>3</v>
      </c>
      <c r="AA1486" s="55"/>
      <c r="AB1486" s="56"/>
      <c r="AC1486" s="50" t="n">
        <f aca="false">AV1486</f>
        <v>1</v>
      </c>
      <c r="AD1486" s="50" t="n">
        <f aca="false">MAX(AV1486,H1486)</f>
        <v>2</v>
      </c>
      <c r="AE1486" s="57"/>
      <c r="AF1486" s="50" t="n">
        <f aca="false">IF(LEFT(Cockpit!$C$5,1)="A",H1486,IF(Parameter!$E$30="MAX-Bestand",IF(CH1486=1,CI1486,IF(LEFT(Cockpit!$C$5,1)="B",AL1486,MAX(AL1486,H1486))),ROUNDUP(AJ1486,0)))</f>
        <v>2</v>
      </c>
      <c r="AG1486" s="50" t="n">
        <f aca="false">IF(BZ1486=1,0,ROUNDUP(AF1486/BY1486,0))</f>
        <v>1</v>
      </c>
      <c r="AH1486" s="52" t="n">
        <f aca="false">IF(CQ1486&gt;0,CQ1486*MAX(1,AF1486/X1486),IF(BZ1486=1,IF(AF1486&lt;=0,0,CD1486*MAX(1,IF(H1486&gt;0,AF1486/H1486,1))),IF(R1486&gt;0,AG1486/R1486,0))/MAX(0.1,N(Parameter!$M$21)))</f>
        <v>0.00714285714285714</v>
      </c>
      <c r="AI1486" s="50" t="n">
        <f aca="false">AH1486*CB1486</f>
        <v>1.10714285714286</v>
      </c>
      <c r="AJ1486" s="51" t="n">
        <f aca="false">IF(LEFT(Cockpit!$C$5,1)="A",H1486,IF(CH1486=1,(CK1486+CI1486)/2,IF(LEFT(Cockpit!$C$5,1)="B",(CK1486+AL1486)/2,MAX((CK1486+AL1486)/2,H1486))))</f>
        <v>2</v>
      </c>
      <c r="AK1486" s="50" t="n">
        <f aca="false">AJ1486*G1486</f>
        <v>156.2</v>
      </c>
      <c r="AL1486" s="50" t="n">
        <f aca="false">ROUNDUP(CK1486+MAX(CL1486,2*(J1486/IF(CG1486&gt;0,CG1486,MAX(0.1,N(Cockpit!$C$6)))-CK1486)),0)</f>
        <v>1</v>
      </c>
      <c r="AM1486" s="51" t="n">
        <f aca="false">IF(AI1486&gt;0,J1486/AI1486,-1)</f>
        <v>0</v>
      </c>
      <c r="AN1486" s="51" t="n">
        <f aca="false">IF(AND(OR(CF1486="L1",CF1486="L23",CF1486="LIFT"),AI1486&gt;0),SUMIFS($AI$7:$AI$1843,$CF$7:$CF$1843,CF1486,$AM$7:$AM$1843,"&gt;"&amp;AM1486)+SUMIFS($AI$7:$AI$1843,$CF$7:$CF$1843,CF1486,$AM$7:$AM$1843,AM1486,$BW$7:$BW$1843,"&lt;="&amp;BW1486),"")</f>
        <v>29757.3276939633</v>
      </c>
      <c r="AO1486" s="58" t="n">
        <f aca="false">IF(AN1486="",0,MAX(0,MIN(1,(IF(CF1486="L1",Parameter!$H$5,IF(CF1486="L23",Parameter!$H$6+Parameter!$H$7,Parameter!$H$5+Parameter!$H$6+Parameter!$H$7))-(AN1486-AI1486))/AI1486)))</f>
        <v>1</v>
      </c>
      <c r="AP1486" s="50" t="n">
        <f aca="false">IF(LEFT(Cockpit!$I$5,1)="A",H1486,IF(Parameter!$E$30="MAX-Bestand",IF(CH1486=1,CI1486,IF(LEFT(Cockpit!$I$5,1)="B",AV1486,MAX(AV1486,H1486))),ROUNDUP(AT1486,0)))</f>
        <v>2</v>
      </c>
      <c r="AQ1486" s="50" t="n">
        <f aca="false">IF(BZ1486=1,0,ROUNDUP(AP1486/BY1486,0))</f>
        <v>1</v>
      </c>
      <c r="AR1486" s="52" t="n">
        <f aca="false">IF(CQ1486&gt;0,CQ1486*MAX(1,AP1486/X1486),IF(BZ1486=1,IF(AP1486&lt;=0,0,CD1486*MAX(1,IF(H1486&gt;0,AP1486/H1486,1))),IF(R1486&gt;0,AQ1486/R1486,0))/MAX(0.1,N(Parameter!$M$21)))</f>
        <v>0.00714285714285714</v>
      </c>
      <c r="AS1486" s="50" t="n">
        <f aca="false">AR1486*CB1486</f>
        <v>1.10714285714286</v>
      </c>
      <c r="AT1486" s="51" t="n">
        <f aca="false">IF(LEFT(Cockpit!$I$5,1)="A",H1486,IF(CH1486=1,(CK1486+CI1486)/2,IF(LEFT(Cockpit!$I$5,1)="B",(CK1486+AV1486)/2,MAX((CK1486+AV1486)/2,H1486))))</f>
        <v>2</v>
      </c>
      <c r="AU1486" s="50" t="n">
        <f aca="false">AT1486*G1486</f>
        <v>156.2</v>
      </c>
      <c r="AV1486" s="50" t="n">
        <f aca="false">ROUNDUP(CK1486+MAX(CL1486,2*(J1486/IF(CG1486&gt;0,CG1486,MAX(0.1,N(Cockpit!$I$6)))-CK1486)),0)</f>
        <v>1</v>
      </c>
      <c r="AW1486" s="51" t="n">
        <f aca="false">IF(AS1486&gt;0,J1486/AS1486,-1)</f>
        <v>0</v>
      </c>
      <c r="AX1486" s="51" t="n">
        <f aca="false">IF(AND(OR(CF1486="L1",CF1486="L23",CF1486="LIFT"),AS1486&gt;0),SUMIFS($AS$7:$AS$1843,$CF$7:$CF$1843,CF1486,$AW$7:$AW$1843,"&gt;"&amp;AW1486)+SUMIFS($AS$7:$AS$1843,$CF$7:$CF$1843,CF1486,$AW$7:$AW$1843,AW1486,$BW$7:$BW$1843,"&lt;="&amp;BW1486),"")</f>
        <v>36063.8984965129</v>
      </c>
      <c r="AY1486" s="58" t="n">
        <f aca="false">IF(AX1486="",0,MAX(0,MIN(1,(IF(CF1486="L1",Parameter!$H$5,IF(CF1486="L23",Parameter!$H$6+Parameter!$H$7,Parameter!$H$5+Parameter!$H$6+Parameter!$H$7))-(AX1486-AS1486))/AS1486)))</f>
        <v>0</v>
      </c>
      <c r="AZ1486" s="50" t="n">
        <f aca="false">IF(LEFT(Cockpit!$O$5,1)="A",H1486,IF(Parameter!$E$30="MAX-Bestand",IF(CH1486=1,CI1486,IF(LEFT(Cockpit!$O$5,1)="B",BF1486,MAX(BF1486,H1486))),ROUNDUP(BD1486,0)))</f>
        <v>1</v>
      </c>
      <c r="BA1486" s="50" t="n">
        <f aca="false">IF(BZ1486=1,0,ROUNDUP(AZ1486/BY1486,0))</f>
        <v>1</v>
      </c>
      <c r="BB1486" s="52" t="n">
        <f aca="false">IF(CQ1486&gt;0,CQ1486*MAX(1,AZ1486/X1486),IF(BZ1486=1,IF(AZ1486&lt;=0,0,CD1486*MAX(1,IF(H1486&gt;0,AZ1486/H1486,1))),IF(R1486&gt;0,BA1486/R1486,0))/MAX(0.1,N(Parameter!$M$21)))</f>
        <v>0.00714285714285714</v>
      </c>
      <c r="BC1486" s="50" t="n">
        <f aca="false">BB1486*CB1486</f>
        <v>1.10714285714286</v>
      </c>
      <c r="BD1486" s="51" t="n">
        <f aca="false">IF(LEFT(Cockpit!$O$5,1)="A",H1486,IF(CH1486=1,(CK1486+CI1486)/2,IF(LEFT(Cockpit!$O$5,1)="B",(CK1486+BF1486)/2,MAX((CK1486+BF1486)/2,H1486))))</f>
        <v>0.5</v>
      </c>
      <c r="BE1486" s="50" t="n">
        <f aca="false">BD1486*G1486</f>
        <v>39.05</v>
      </c>
      <c r="BF1486" s="50" t="n">
        <f aca="false">ROUNDUP(CK1486+MAX(CL1486,2*(J1486/IF(CG1486&gt;0,CG1486,MAX(0.1,N(Cockpit!$O$6)))-CK1486)),0)</f>
        <v>1</v>
      </c>
      <c r="BG1486" s="51" t="n">
        <f aca="false">IF(BC1486&gt;0,J1486/BC1486,-1)</f>
        <v>0</v>
      </c>
      <c r="BH1486" s="51" t="n">
        <f aca="false">IF(AND(OR(CF1486="L1",CF1486="L23",CF1486="LIFT"),BC1486&gt;0),SUMIFS($BC$7:$BC$1843,$CF$7:$CF$1843,CF1486,$BG$7:$BG$1843,"&gt;"&amp;BG1486)+SUMIFS($BC$7:$BC$1843,$CF$7:$CF$1843,CF1486,$BG$7:$BG$1843,BG1486,$BW$7:$BW$1843,"&lt;="&amp;BW1486),"")</f>
        <v>30049.2051566607</v>
      </c>
      <c r="BI1486" s="58" t="n">
        <f aca="false">IF(BH1486="",0,MAX(0,MIN(1,(IF(CF1486="L1",Parameter!$H$5,IF(CF1486="L23",Parameter!$H$6+Parameter!$H$7,Parameter!$H$5+Parameter!$H$6+Parameter!$H$7))-(BH1486-BC1486))/BC1486)))</f>
        <v>1</v>
      </c>
      <c r="BJ1486" s="48" t="str">
        <f aca="false">IF(AI1486&lt;=0,"",IF(CF1486="Aussen","Aussenlager",IF(CF1486="-","Nicht im Lift",IF(AO1486&gt;=1,"Lift",IF(AO1486&lt;=0,"Aussenlager","teilweise")))))</f>
        <v>Lift</v>
      </c>
      <c r="BK1486" s="48" t="str">
        <f aca="false">IF(AS1486&lt;=0,"",IF(CF1486="Aussen","Aussenlager",IF(CF1486="-","Nicht im Lift",IF(AY1486&gt;=1,"Lift",IF(AY1486&lt;=0,"Aussenlager","teilweise")))))</f>
        <v>Aussenlager</v>
      </c>
      <c r="BL1486" s="48" t="str">
        <f aca="false">IF(BC1486&lt;=0,"",IF(CF1486="Aussen","Aussenlager",IF(CF1486="-","Nicht im Lift",IF(BI1486&gt;=1,"Lift",IF(BI1486&lt;=0,"Aussenlager","teilweise")))))</f>
        <v>Lift</v>
      </c>
      <c r="BM1486" s="48" t="str">
        <f aca="false">IF(A1486="","",IF(BV1486=1,"Neu; ","")&amp;IF(AND(BV1486=0,BQ1486&lt;0),"negativer Bestand (Export "&amp;BQ1486&amp;"); ","")&amp;IF(J1486&lt;=0,"Kein Verbrauch; ","")&amp;IF(CQ1486&gt;0,"Lift "&amp;W1486&amp;" lt. Liftbericht (Fach "&amp;X1486&amp;" Stk); ",IF(CA1486=1,"Gebinde geschätzt ("&amp;T1486&amp;"); ",IF(BZ1486=1,"Lose – Tablare geschätzt; ","")))&amp;IF(H1486&gt;AV1486,"Überbestand "&amp;ROUND(H1486-AV1486,0)&amp;" Stk / CHF "&amp;ROUND((H1486-AV1486)*G1486,0)&amp;"; ","")&amp;IF(AND(CH1486=1,CI1486&lt;CJ1486),"MAX &lt; MB+LG; ","")&amp;IF(AND(CP1486&gt;0,CO1486*10&gt;CP1486),"zu hoch für Tablar; ","")&amp;IF(AND(BV1486=0,OR(CH1486=1,AA1486&lt;&gt;"",U1486&lt;&gt;"",V1486&lt;&gt;"",AB1486&lt;&gt;"")),"manuell übersteuert; ","")&amp;IF(AND(BZ1486=0,R1486=0),"Gebinde unbekannt / Stellmass fehlt; ","")&amp;IF(AND(BZ1486=0,N(V1486)&lt;=0,N(Q1486)&lt;=0),"Menge pro Gebinde fehlt (Ist = 1 Gebinde); ","")&amp;BU1486)</f>
        <v>Kein Verbrauch; Überbestand 1 Stk / CHF 78; nur im Artikelstamm (Bestand 23.06.2026)</v>
      </c>
      <c r="BN1486" s="48"/>
      <c r="BO1486" s="48"/>
      <c r="BP1486" s="55"/>
      <c r="BQ1486" s="50" t="n">
        <v>2</v>
      </c>
      <c r="BR1486" s="50" t="n">
        <v>0</v>
      </c>
      <c r="BS1486" s="49" t="n">
        <v>0</v>
      </c>
      <c r="BT1486" s="50" t="n">
        <v>0</v>
      </c>
      <c r="BU1486" s="48" t="s">
        <v>2584</v>
      </c>
      <c r="BV1486" s="53" t="n">
        <v>0</v>
      </c>
      <c r="BW1486" s="53" t="n">
        <v>1486</v>
      </c>
      <c r="BX1486" s="48" t="str">
        <f aca="false">IF(U1486&lt;&gt;"",UPPER(TRIM(U1486)),IF(CA1486=1,UPPER(VLOOKUP(T1486,Parameter!$I$27:$K$29,2,0)),IF(P1486="","LOSE",P1486)))</f>
        <v>S22</v>
      </c>
      <c r="BY1486" s="50" t="n">
        <f aca="false">IF(BX1486="LOSE",1,IF(N(V1486)&gt;0,V1486,IF(CA1486=1,MAX(1,N(VLOOKUP(T1486,Parameter!$I$27:$K$29,3,0)),H1486,N(N1486)),IF(N(Q1486)&gt;0,Q1486,MAX(1,H1486)))))</f>
        <v>2</v>
      </c>
      <c r="BZ1486" s="53" t="n">
        <f aca="false">IF(BX1486="LOSE",1,0)</f>
        <v>0</v>
      </c>
      <c r="CA1486" s="53" t="n">
        <f aca="false">IF(AND(U1486="",OR(P1486="",P1486="LOSE"),T1486&lt;&gt;"",N(S1486)&lt;=0,ISNUMBER(MATCH(T1486,Parameter!$I$27:$I$29,0))),1,0)</f>
        <v>0</v>
      </c>
      <c r="CB1486" s="53" t="n">
        <f aca="false">IF(CQ1486&gt;0,INDEX(Parameter!$H$5:$H$7,W1486)/INDEX(Parameter!$E$5:$E$7,W1486),IF(AND(BZ1486=0,N(IFERROR(VLOOKUP(BX1486,'Gebinde-Kategorie'!$A$5:$N$45,14,0),0))&gt;0),VLOOKUP(BX1486,'Gebinde-Kategorie'!$A$5:$N$45,14,0)*10+Parameter!$M$23,Parameter!$M$24))</f>
        <v>155</v>
      </c>
      <c r="CC1486" s="48" t="str">
        <f aca="false">IF(AND(Parameter!$B$19="Ja",E1486&lt;&gt;"",ISNUMBER(MATCH(E1486,Parameter!$I$35:$I$52,0))),VLOOKUP(E1486,Parameter!$I$35:$J$52,2,0),IFERROR(VLOOKUP(D1486,Parameter!$A$35:$C$64,2,0),"Nein"))</f>
        <v>2+3</v>
      </c>
      <c r="CD1486" s="52" t="n">
        <f aca="false">IF(BZ1486=0,0,IF(N(S1486)&gt;0,S1486,IFERROR(VLOOKUP(D1486,Parameter!$A$35:$C$64,3,0)+0,0)))</f>
        <v>0</v>
      </c>
      <c r="CE1486" s="48" t="n">
        <f aca="false">IF(AA1486&lt;&gt;"",AA1486,Z1486)</f>
        <v>3</v>
      </c>
      <c r="CF1486" s="48" t="str">
        <f aca="false">IF(OR(CE1486=1,CE1486=2,CE1486=3),IF(Parameter!$E$27="Ja","LIFT",IF(CE1486=1,"L1","L23")),IF(CE1486="Aussen","Aussen","-"))</f>
        <v>LIFT</v>
      </c>
      <c r="CG1486" s="59" t="n">
        <f aca="false">IF(N(AB1486)&gt;0,AB1486,0)</f>
        <v>0</v>
      </c>
      <c r="CH1486" s="53" t="n">
        <f aca="false">IF(ISNUMBER(AE1486),1,0)</f>
        <v>0</v>
      </c>
      <c r="CI1486" s="50" t="n">
        <f aca="false">N(AE1486)</f>
        <v>0</v>
      </c>
      <c r="CJ1486" s="50" t="n">
        <f aca="false">N(M1486)+N(N1486)</f>
        <v>1</v>
      </c>
      <c r="CK1486" s="50" t="n">
        <f aca="false">N(M1486)</f>
        <v>0</v>
      </c>
      <c r="CL1486" s="50" t="n">
        <f aca="false">N(N1486)</f>
        <v>1</v>
      </c>
      <c r="CM1486" s="50" t="n">
        <f aca="false">ROUNDUP(H1486/BY1486,0)</f>
        <v>1</v>
      </c>
      <c r="CN1486" s="50" t="n">
        <f aca="false">ROUNDUP(CI1486/BY1486,0)</f>
        <v>0</v>
      </c>
      <c r="CO1486" s="53" t="n">
        <f aca="false">IF(BZ1486=1,0,IFERROR(VLOOKUP(BX1486,'Gebinde-Kategorie'!$A$5:$N$45,5,0)+0,0))</f>
        <v>8</v>
      </c>
      <c r="CP1486" s="53" t="n">
        <f aca="false">IFERROR(IF(OR(CE1486=1,CE1486=2,CE1486=3),N(INDEX(Parameter!$I$5:$I$7,CE1486)),0),0)</f>
        <v>0</v>
      </c>
      <c r="CQ1486" s="52" t="n">
        <f aca="false">IF(AND(Parameter!$B$21="Ja",ISNUMBER(W1486),N(X1486)&gt;0),IFERROR(N(INDEX(Parameter!$L$5:$L$7,W1486))*INDEX(Parameter!$E$5:$E$7,W1486)*X1486/SUMIFS($X$7:$X$1843,$W$7:$W$1843,W1486),0),0)</f>
        <v>0</v>
      </c>
    </row>
    <row r="1487" customFormat="false" ht="15" hidden="false" customHeight="false" outlineLevel="0" collapsed="false">
      <c r="A1487" s="48" t="s">
        <v>2609</v>
      </c>
      <c r="B1487" s="48" t="s">
        <v>1742</v>
      </c>
      <c r="C1487" s="48" t="s">
        <v>173</v>
      </c>
      <c r="D1487" s="48" t="s">
        <v>193</v>
      </c>
      <c r="E1487" s="48" t="s">
        <v>194</v>
      </c>
      <c r="F1487" s="48"/>
      <c r="G1487" s="49" t="n">
        <v>16.36</v>
      </c>
      <c r="H1487" s="50" t="n">
        <f aca="false">MAX(0,IF(AND(Parameter!$B$21="Ja",ISNUMBER(Y1487)),Y1487,IF(Parameter!$B$20="Jahresanfang 2025 + Export",BR1487+BQ1487,BQ1487)))</f>
        <v>7</v>
      </c>
      <c r="I1487" s="50" t="n">
        <f aca="false">H1487*G1487</f>
        <v>114.52</v>
      </c>
      <c r="J1487" s="50" t="n">
        <f aca="false">BT1487*Parameter!$B$18</f>
        <v>0</v>
      </c>
      <c r="K1487" s="51"/>
      <c r="L1487" s="52"/>
      <c r="M1487" s="50" t="n">
        <v>0</v>
      </c>
      <c r="N1487" s="50" t="n">
        <v>5</v>
      </c>
      <c r="O1487" s="53" t="n">
        <v>28</v>
      </c>
      <c r="P1487" s="48" t="s">
        <v>430</v>
      </c>
      <c r="Q1487" s="50" t="n">
        <v>7</v>
      </c>
      <c r="R1487" s="53" t="n">
        <f aca="false">IF(BZ1487=1,0,IFERROR(VLOOKUP(BX1487,'Gebinde-Kategorie'!$A$5:$N$45,13,0)+0,0))</f>
        <v>104</v>
      </c>
      <c r="S1487" s="54"/>
      <c r="T1487" s="55"/>
      <c r="U1487" s="55"/>
      <c r="V1487" s="55"/>
      <c r="W1487" s="48"/>
      <c r="X1487" s="50"/>
      <c r="Y1487" s="50"/>
      <c r="Z1487" s="48" t="n">
        <f aca="false">IF(A1487="","",IF(AND(Parameter!$B$21="Ja",ISNUMBER(W1487)),W1487,IF(CC1487="2+3",IF(ISNUMBER(SEARCH("grosser Artikel",BU1487)),2,IFERROR(VLOOKUP(BX1487,Parameter!$F$35:$G$64,2,0),2)),IF(OR(CC1487="Nein",CC1487=""),"-",CC1487))))</f>
        <v>3</v>
      </c>
      <c r="AA1487" s="55"/>
      <c r="AB1487" s="56"/>
      <c r="AC1487" s="50" t="n">
        <f aca="false">AV1487</f>
        <v>5</v>
      </c>
      <c r="AD1487" s="50" t="n">
        <f aca="false">MAX(AV1487,H1487)</f>
        <v>7</v>
      </c>
      <c r="AE1487" s="57"/>
      <c r="AF1487" s="50" t="n">
        <f aca="false">IF(LEFT(Cockpit!$C$5,1)="A",H1487,IF(Parameter!$E$30="MAX-Bestand",IF(CH1487=1,CI1487,IF(LEFT(Cockpit!$C$5,1)="B",AL1487,MAX(AL1487,H1487))),ROUNDUP(AJ1487,0)))</f>
        <v>7</v>
      </c>
      <c r="AG1487" s="50" t="n">
        <f aca="false">IF(BZ1487=1,0,ROUNDUP(AF1487/BY1487,0))</f>
        <v>1</v>
      </c>
      <c r="AH1487" s="52" t="n">
        <f aca="false">IF(CQ1487&gt;0,CQ1487*MAX(1,AF1487/X1487),IF(BZ1487=1,IF(AF1487&lt;=0,0,CD1487*MAX(1,IF(H1487&gt;0,AF1487/H1487,1))),IF(R1487&gt;0,AG1487/R1487,0))/MAX(0.1,N(Parameter!$M$21)))</f>
        <v>0.00961538461538462</v>
      </c>
      <c r="AI1487" s="50" t="n">
        <f aca="false">AH1487*CB1487</f>
        <v>1.49038461538462</v>
      </c>
      <c r="AJ1487" s="51" t="n">
        <f aca="false">IF(LEFT(Cockpit!$C$5,1)="A",H1487,IF(CH1487=1,(CK1487+CI1487)/2,IF(LEFT(Cockpit!$C$5,1)="B",(CK1487+AL1487)/2,MAX((CK1487+AL1487)/2,H1487))))</f>
        <v>7</v>
      </c>
      <c r="AK1487" s="50" t="n">
        <f aca="false">AJ1487*G1487</f>
        <v>114.52</v>
      </c>
      <c r="AL1487" s="50" t="n">
        <f aca="false">ROUNDUP(CK1487+MAX(CL1487,2*(J1487/IF(CG1487&gt;0,CG1487,MAX(0.1,N(Cockpit!$C$6)))-CK1487)),0)</f>
        <v>5</v>
      </c>
      <c r="AM1487" s="51" t="n">
        <f aca="false">IF(AI1487&gt;0,J1487/AI1487,-1)</f>
        <v>0</v>
      </c>
      <c r="AN1487" s="51" t="n">
        <f aca="false">IF(AND(OR(CF1487="L1",CF1487="L23",CF1487="LIFT"),AI1487&gt;0),SUMIFS($AI$7:$AI$1843,$CF$7:$CF$1843,CF1487,$AM$7:$AM$1843,"&gt;"&amp;AM1487)+SUMIFS($AI$7:$AI$1843,$CF$7:$CF$1843,CF1487,$AM$7:$AM$1843,AM1487,$BW$7:$BW$1843,"&lt;="&amp;BW1487),"")</f>
        <v>29758.8180785787</v>
      </c>
      <c r="AO1487" s="58" t="n">
        <f aca="false">IF(AN1487="",0,MAX(0,MIN(1,(IF(CF1487="L1",Parameter!$H$5,IF(CF1487="L23",Parameter!$H$6+Parameter!$H$7,Parameter!$H$5+Parameter!$H$6+Parameter!$H$7))-(AN1487-AI1487))/AI1487)))</f>
        <v>1</v>
      </c>
      <c r="AP1487" s="50" t="n">
        <f aca="false">IF(LEFT(Cockpit!$I$5,1)="A",H1487,IF(Parameter!$E$30="MAX-Bestand",IF(CH1487=1,CI1487,IF(LEFT(Cockpit!$I$5,1)="B",AV1487,MAX(AV1487,H1487))),ROUNDUP(AT1487,0)))</f>
        <v>7</v>
      </c>
      <c r="AQ1487" s="50" t="n">
        <f aca="false">IF(BZ1487=1,0,ROUNDUP(AP1487/BY1487,0))</f>
        <v>1</v>
      </c>
      <c r="AR1487" s="52" t="n">
        <f aca="false">IF(CQ1487&gt;0,CQ1487*MAX(1,AP1487/X1487),IF(BZ1487=1,IF(AP1487&lt;=0,0,CD1487*MAX(1,IF(H1487&gt;0,AP1487/H1487,1))),IF(R1487&gt;0,AQ1487/R1487,0))/MAX(0.1,N(Parameter!$M$21)))</f>
        <v>0.00961538461538462</v>
      </c>
      <c r="AS1487" s="50" t="n">
        <f aca="false">AR1487*CB1487</f>
        <v>1.49038461538462</v>
      </c>
      <c r="AT1487" s="51" t="n">
        <f aca="false">IF(LEFT(Cockpit!$I$5,1)="A",H1487,IF(CH1487=1,(CK1487+CI1487)/2,IF(LEFT(Cockpit!$I$5,1)="B",(CK1487+AV1487)/2,MAX((CK1487+AV1487)/2,H1487))))</f>
        <v>7</v>
      </c>
      <c r="AU1487" s="50" t="n">
        <f aca="false">AT1487*G1487</f>
        <v>114.52</v>
      </c>
      <c r="AV1487" s="50" t="n">
        <f aca="false">ROUNDUP(CK1487+MAX(CL1487,2*(J1487/IF(CG1487&gt;0,CG1487,MAX(0.1,N(Cockpit!$I$6)))-CK1487)),0)</f>
        <v>5</v>
      </c>
      <c r="AW1487" s="51" t="n">
        <f aca="false">IF(AS1487&gt;0,J1487/AS1487,-1)</f>
        <v>0</v>
      </c>
      <c r="AX1487" s="51" t="n">
        <f aca="false">IF(AND(OR(CF1487="L1",CF1487="L23",CF1487="LIFT"),AS1487&gt;0),SUMIFS($AS$7:$AS$1843,$CF$7:$CF$1843,CF1487,$AW$7:$AW$1843,"&gt;"&amp;AW1487)+SUMIFS($AS$7:$AS$1843,$CF$7:$CF$1843,CF1487,$AW$7:$AW$1843,AW1487,$BW$7:$BW$1843,"&lt;="&amp;BW1487),"")</f>
        <v>36065.3888811283</v>
      </c>
      <c r="AY1487" s="58" t="n">
        <f aca="false">IF(AX1487="",0,MAX(0,MIN(1,(IF(CF1487="L1",Parameter!$H$5,IF(CF1487="L23",Parameter!$H$6+Parameter!$H$7,Parameter!$H$5+Parameter!$H$6+Parameter!$H$7))-(AX1487-AS1487))/AS1487)))</f>
        <v>0</v>
      </c>
      <c r="AZ1487" s="50" t="n">
        <f aca="false">IF(LEFT(Cockpit!$O$5,1)="A",H1487,IF(Parameter!$E$30="MAX-Bestand",IF(CH1487=1,CI1487,IF(LEFT(Cockpit!$O$5,1)="B",BF1487,MAX(BF1487,H1487))),ROUNDUP(BD1487,0)))</f>
        <v>3</v>
      </c>
      <c r="BA1487" s="50" t="n">
        <f aca="false">IF(BZ1487=1,0,ROUNDUP(AZ1487/BY1487,0))</f>
        <v>1</v>
      </c>
      <c r="BB1487" s="52" t="n">
        <f aca="false">IF(CQ1487&gt;0,CQ1487*MAX(1,AZ1487/X1487),IF(BZ1487=1,IF(AZ1487&lt;=0,0,CD1487*MAX(1,IF(H1487&gt;0,AZ1487/H1487,1))),IF(R1487&gt;0,BA1487/R1487,0))/MAX(0.1,N(Parameter!$M$21)))</f>
        <v>0.00961538461538462</v>
      </c>
      <c r="BC1487" s="50" t="n">
        <f aca="false">BB1487*CB1487</f>
        <v>1.49038461538462</v>
      </c>
      <c r="BD1487" s="51" t="n">
        <f aca="false">IF(LEFT(Cockpit!$O$5,1)="A",H1487,IF(CH1487=1,(CK1487+CI1487)/2,IF(LEFT(Cockpit!$O$5,1)="B",(CK1487+BF1487)/2,MAX((CK1487+BF1487)/2,H1487))))</f>
        <v>2.5</v>
      </c>
      <c r="BE1487" s="50" t="n">
        <f aca="false">BD1487*G1487</f>
        <v>40.9</v>
      </c>
      <c r="BF1487" s="50" t="n">
        <f aca="false">ROUNDUP(CK1487+MAX(CL1487,2*(J1487/IF(CG1487&gt;0,CG1487,MAX(0.1,N(Cockpit!$O$6)))-CK1487)),0)</f>
        <v>5</v>
      </c>
      <c r="BG1487" s="51" t="n">
        <f aca="false">IF(BC1487&gt;0,J1487/BC1487,-1)</f>
        <v>0</v>
      </c>
      <c r="BH1487" s="51" t="n">
        <f aca="false">IF(AND(OR(CF1487="L1",CF1487="L23",CF1487="LIFT"),BC1487&gt;0),SUMIFS($BC$7:$BC$1843,$CF$7:$CF$1843,CF1487,$BG$7:$BG$1843,"&gt;"&amp;BG1487)+SUMIFS($BC$7:$BC$1843,$CF$7:$CF$1843,CF1487,$BG$7:$BG$1843,BG1487,$BW$7:$BW$1843,"&lt;="&amp;BW1487),"")</f>
        <v>30050.6955412761</v>
      </c>
      <c r="BI1487" s="58" t="n">
        <f aca="false">IF(BH1487="",0,MAX(0,MIN(1,(IF(CF1487="L1",Parameter!$H$5,IF(CF1487="L23",Parameter!$H$6+Parameter!$H$7,Parameter!$H$5+Parameter!$H$6+Parameter!$H$7))-(BH1487-BC1487))/BC1487)))</f>
        <v>1</v>
      </c>
      <c r="BJ1487" s="48" t="str">
        <f aca="false">IF(AI1487&lt;=0,"",IF(CF1487="Aussen","Aussenlager",IF(CF1487="-","Nicht im Lift",IF(AO1487&gt;=1,"Lift",IF(AO1487&lt;=0,"Aussenlager","teilweise")))))</f>
        <v>Lift</v>
      </c>
      <c r="BK1487" s="48" t="str">
        <f aca="false">IF(AS1487&lt;=0,"",IF(CF1487="Aussen","Aussenlager",IF(CF1487="-","Nicht im Lift",IF(AY1487&gt;=1,"Lift",IF(AY1487&lt;=0,"Aussenlager","teilweise")))))</f>
        <v>Aussenlager</v>
      </c>
      <c r="BL1487" s="48" t="str">
        <f aca="false">IF(BC1487&lt;=0,"",IF(CF1487="Aussen","Aussenlager",IF(CF1487="-","Nicht im Lift",IF(BI1487&gt;=1,"Lift",IF(BI1487&lt;=0,"Aussenlager","teilweise")))))</f>
        <v>Lift</v>
      </c>
      <c r="BM1487" s="48" t="str">
        <f aca="false">IF(A1487="","",IF(BV1487=1,"Neu; ","")&amp;IF(AND(BV1487=0,BQ1487&lt;0),"negativer Bestand (Export "&amp;BQ1487&amp;"); ","")&amp;IF(J1487&lt;=0,"Kein Verbrauch; ","")&amp;IF(CQ1487&gt;0,"Lift "&amp;W1487&amp;" lt. Liftbericht (Fach "&amp;X1487&amp;" Stk); ",IF(CA1487=1,"Gebinde geschätzt ("&amp;T1487&amp;"); ",IF(BZ1487=1,"Lose – Tablare geschätzt; ","")))&amp;IF(H1487&gt;AV1487,"Überbestand "&amp;ROUND(H1487-AV1487,0)&amp;" Stk / CHF "&amp;ROUND((H1487-AV1487)*G1487,0)&amp;"; ","")&amp;IF(AND(CH1487=1,CI1487&lt;CJ1487),"MAX &lt; MB+LG; ","")&amp;IF(AND(CP1487&gt;0,CO1487*10&gt;CP1487),"zu hoch für Tablar; ","")&amp;IF(AND(BV1487=0,OR(CH1487=1,AA1487&lt;&gt;"",U1487&lt;&gt;"",V1487&lt;&gt;"",AB1487&lt;&gt;"")),"manuell übersteuert; ","")&amp;IF(AND(BZ1487=0,R1487=0),"Gebinde unbekannt / Stellmass fehlt; ","")&amp;IF(AND(BZ1487=0,N(V1487)&lt;=0,N(Q1487)&lt;=0),"Menge pro Gebinde fehlt (Ist = 1 Gebinde); ","")&amp;BU1487)</f>
        <v>Kein Verbrauch; Überbestand 2 Stk / CHF 33; nur im Artikelstamm (Bestand 23.06.2026); Verb.Lager</v>
      </c>
      <c r="BN1487" s="48"/>
      <c r="BO1487" s="48"/>
      <c r="BP1487" s="55"/>
      <c r="BQ1487" s="50" t="n">
        <v>7</v>
      </c>
      <c r="BR1487" s="50" t="n">
        <v>0</v>
      </c>
      <c r="BS1487" s="49" t="n">
        <v>0</v>
      </c>
      <c r="BT1487" s="50" t="n">
        <v>0</v>
      </c>
      <c r="BU1487" s="48" t="s">
        <v>2578</v>
      </c>
      <c r="BV1487" s="53" t="n">
        <v>0</v>
      </c>
      <c r="BW1487" s="53" t="n">
        <v>1487</v>
      </c>
      <c r="BX1487" s="48" t="str">
        <f aca="false">IF(U1487&lt;&gt;"",UPPER(TRIM(U1487)),IF(CA1487=1,UPPER(VLOOKUP(T1487,Parameter!$I$27:$K$29,2,0)),IF(P1487="","LOSE",P1487)))</f>
        <v>S32</v>
      </c>
      <c r="BY1487" s="50" t="n">
        <f aca="false">IF(BX1487="LOSE",1,IF(N(V1487)&gt;0,V1487,IF(CA1487=1,MAX(1,N(VLOOKUP(T1487,Parameter!$I$27:$K$29,3,0)),H1487,N(N1487)),IF(N(Q1487)&gt;0,Q1487,MAX(1,H1487)))))</f>
        <v>7</v>
      </c>
      <c r="BZ1487" s="53" t="n">
        <f aca="false">IF(BX1487="LOSE",1,0)</f>
        <v>0</v>
      </c>
      <c r="CA1487" s="53" t="n">
        <f aca="false">IF(AND(U1487="",OR(P1487="",P1487="LOSE"),T1487&lt;&gt;"",N(S1487)&lt;=0,ISNUMBER(MATCH(T1487,Parameter!$I$27:$I$29,0))),1,0)</f>
        <v>0</v>
      </c>
      <c r="CB1487" s="53" t="n">
        <f aca="false">IF(CQ1487&gt;0,INDEX(Parameter!$H$5:$H$7,W1487)/INDEX(Parameter!$E$5:$E$7,W1487),IF(AND(BZ1487=0,N(IFERROR(VLOOKUP(BX1487,'Gebinde-Kategorie'!$A$5:$N$45,14,0),0))&gt;0),VLOOKUP(BX1487,'Gebinde-Kategorie'!$A$5:$N$45,14,0)*10+Parameter!$M$23,Parameter!$M$24))</f>
        <v>155</v>
      </c>
      <c r="CC1487" s="48" t="str">
        <f aca="false">IF(AND(Parameter!$B$19="Ja",E1487&lt;&gt;"",ISNUMBER(MATCH(E1487,Parameter!$I$35:$I$52,0))),VLOOKUP(E1487,Parameter!$I$35:$J$52,2,0),IFERROR(VLOOKUP(D1487,Parameter!$A$35:$C$64,2,0),"Nein"))</f>
        <v>2+3</v>
      </c>
      <c r="CD1487" s="52" t="n">
        <f aca="false">IF(BZ1487=0,0,IF(N(S1487)&gt;0,S1487,IFERROR(VLOOKUP(D1487,Parameter!$A$35:$C$64,3,0)+0,0)))</f>
        <v>0</v>
      </c>
      <c r="CE1487" s="48" t="n">
        <f aca="false">IF(AA1487&lt;&gt;"",AA1487,Z1487)</f>
        <v>3</v>
      </c>
      <c r="CF1487" s="48" t="str">
        <f aca="false">IF(OR(CE1487=1,CE1487=2,CE1487=3),IF(Parameter!$E$27="Ja","LIFT",IF(CE1487=1,"L1","L23")),IF(CE1487="Aussen","Aussen","-"))</f>
        <v>LIFT</v>
      </c>
      <c r="CG1487" s="59" t="n">
        <f aca="false">IF(N(AB1487)&gt;0,AB1487,0)</f>
        <v>0</v>
      </c>
      <c r="CH1487" s="53" t="n">
        <f aca="false">IF(ISNUMBER(AE1487),1,0)</f>
        <v>0</v>
      </c>
      <c r="CI1487" s="50" t="n">
        <f aca="false">N(AE1487)</f>
        <v>0</v>
      </c>
      <c r="CJ1487" s="50" t="n">
        <f aca="false">N(M1487)+N(N1487)</f>
        <v>5</v>
      </c>
      <c r="CK1487" s="50" t="n">
        <f aca="false">N(M1487)</f>
        <v>0</v>
      </c>
      <c r="CL1487" s="50" t="n">
        <f aca="false">N(N1487)</f>
        <v>5</v>
      </c>
      <c r="CM1487" s="50" t="n">
        <f aca="false">ROUNDUP(H1487/BY1487,0)</f>
        <v>1</v>
      </c>
      <c r="CN1487" s="50" t="n">
        <f aca="false">ROUNDUP(CI1487/BY1487,0)</f>
        <v>0</v>
      </c>
      <c r="CO1487" s="53" t="n">
        <f aca="false">IF(BZ1487=1,0,IFERROR(VLOOKUP(BX1487,'Gebinde-Kategorie'!$A$5:$N$45,5,0)+0,0))</f>
        <v>8</v>
      </c>
      <c r="CP1487" s="53" t="n">
        <f aca="false">IFERROR(IF(OR(CE1487=1,CE1487=2,CE1487=3),N(INDEX(Parameter!$I$5:$I$7,CE1487)),0),0)</f>
        <v>0</v>
      </c>
      <c r="CQ1487" s="52" t="n">
        <f aca="false">IF(AND(Parameter!$B$21="Ja",ISNUMBER(W1487),N(X1487)&gt;0),IFERROR(N(INDEX(Parameter!$L$5:$L$7,W1487))*INDEX(Parameter!$E$5:$E$7,W1487)*X1487/SUMIFS($X$7:$X$1843,$W$7:$W$1843,W1487),0),0)</f>
        <v>0</v>
      </c>
    </row>
    <row r="1488" customFormat="false" ht="15" hidden="false" customHeight="false" outlineLevel="0" collapsed="false">
      <c r="A1488" s="48" t="s">
        <v>2610</v>
      </c>
      <c r="B1488" s="48" t="s">
        <v>414</v>
      </c>
      <c r="C1488" s="48" t="s">
        <v>173</v>
      </c>
      <c r="D1488" s="48" t="s">
        <v>193</v>
      </c>
      <c r="E1488" s="48" t="s">
        <v>194</v>
      </c>
      <c r="F1488" s="48"/>
      <c r="G1488" s="49" t="n">
        <v>2.8</v>
      </c>
      <c r="H1488" s="50" t="n">
        <f aca="false">MAX(0,IF(AND(Parameter!$B$21="Ja",ISNUMBER(Y1488)),Y1488,IF(Parameter!$B$20="Jahresanfang 2025 + Export",BR1488+BQ1488,BQ1488)))</f>
        <v>102</v>
      </c>
      <c r="I1488" s="50" t="n">
        <f aca="false">H1488*G1488</f>
        <v>285.6</v>
      </c>
      <c r="J1488" s="50" t="n">
        <f aca="false">BT1488*Parameter!$B$18</f>
        <v>0</v>
      </c>
      <c r="K1488" s="51"/>
      <c r="L1488" s="52"/>
      <c r="M1488" s="50" t="n">
        <v>0</v>
      </c>
      <c r="N1488" s="50" t="n">
        <v>100</v>
      </c>
      <c r="O1488" s="53" t="n">
        <v>21</v>
      </c>
      <c r="P1488" s="48" t="s">
        <v>311</v>
      </c>
      <c r="Q1488" s="50" t="n">
        <v>102</v>
      </c>
      <c r="R1488" s="53" t="n">
        <f aca="false">IF(BZ1488=1,0,IFERROR(VLOOKUP(BX1488,'Gebinde-Kategorie'!$A$5:$N$45,13,0)+0,0))</f>
        <v>26</v>
      </c>
      <c r="S1488" s="54"/>
      <c r="T1488" s="55"/>
      <c r="U1488" s="55"/>
      <c r="V1488" s="55"/>
      <c r="W1488" s="48"/>
      <c r="X1488" s="50"/>
      <c r="Y1488" s="50"/>
      <c r="Z1488" s="48" t="n">
        <f aca="false">IF(A1488="","",IF(AND(Parameter!$B$21="Ja",ISNUMBER(W1488)),W1488,IF(CC1488="2+3",IF(ISNUMBER(SEARCH("grosser Artikel",BU1488)),2,IFERROR(VLOOKUP(BX1488,Parameter!$F$35:$G$64,2,0),2)),IF(OR(CC1488="Nein",CC1488=""),"-",CC1488))))</f>
        <v>3</v>
      </c>
      <c r="AA1488" s="55"/>
      <c r="AB1488" s="56"/>
      <c r="AC1488" s="50" t="n">
        <f aca="false">AV1488</f>
        <v>100</v>
      </c>
      <c r="AD1488" s="50" t="n">
        <f aca="false">MAX(AV1488,H1488)</f>
        <v>102</v>
      </c>
      <c r="AE1488" s="57"/>
      <c r="AF1488" s="50" t="n">
        <f aca="false">IF(LEFT(Cockpit!$C$5,1)="A",H1488,IF(Parameter!$E$30="MAX-Bestand",IF(CH1488=1,CI1488,IF(LEFT(Cockpit!$C$5,1)="B",AL1488,MAX(AL1488,H1488))),ROUNDUP(AJ1488,0)))</f>
        <v>102</v>
      </c>
      <c r="AG1488" s="50" t="n">
        <f aca="false">IF(BZ1488=1,0,ROUNDUP(AF1488/BY1488,0))</f>
        <v>1</v>
      </c>
      <c r="AH1488" s="52" t="n">
        <f aca="false">IF(CQ1488&gt;0,CQ1488*MAX(1,AF1488/X1488),IF(BZ1488=1,IF(AF1488&lt;=0,0,CD1488*MAX(1,IF(H1488&gt;0,AF1488/H1488,1))),IF(R1488&gt;0,AG1488/R1488,0))/MAX(0.1,N(Parameter!$M$21)))</f>
        <v>0.0384615384615385</v>
      </c>
      <c r="AI1488" s="50" t="n">
        <f aca="false">AH1488*CB1488</f>
        <v>5.96153846153846</v>
      </c>
      <c r="AJ1488" s="51" t="n">
        <f aca="false">IF(LEFT(Cockpit!$C$5,1)="A",H1488,IF(CH1488=1,(CK1488+CI1488)/2,IF(LEFT(Cockpit!$C$5,1)="B",(CK1488+AL1488)/2,MAX((CK1488+AL1488)/2,H1488))))</f>
        <v>102</v>
      </c>
      <c r="AK1488" s="50" t="n">
        <f aca="false">AJ1488*G1488</f>
        <v>285.6</v>
      </c>
      <c r="AL1488" s="50" t="n">
        <f aca="false">ROUNDUP(CK1488+MAX(CL1488,2*(J1488/IF(CG1488&gt;0,CG1488,MAX(0.1,N(Cockpit!$C$6)))-CK1488)),0)</f>
        <v>100</v>
      </c>
      <c r="AM1488" s="51" t="n">
        <f aca="false">IF(AI1488&gt;0,J1488/AI1488,-1)</f>
        <v>0</v>
      </c>
      <c r="AN1488" s="51" t="n">
        <f aca="false">IF(AND(OR(CF1488="L1",CF1488="L23",CF1488="LIFT"),AI1488&gt;0),SUMIFS($AI$7:$AI$1843,$CF$7:$CF$1843,CF1488,$AM$7:$AM$1843,"&gt;"&amp;AM1488)+SUMIFS($AI$7:$AI$1843,$CF$7:$CF$1843,CF1488,$AM$7:$AM$1843,AM1488,$BW$7:$BW$1843,"&lt;="&amp;BW1488),"")</f>
        <v>29764.7796170402</v>
      </c>
      <c r="AO1488" s="58" t="n">
        <f aca="false">IF(AN1488="",0,MAX(0,MIN(1,(IF(CF1488="L1",Parameter!$H$5,IF(CF1488="L23",Parameter!$H$6+Parameter!$H$7,Parameter!$H$5+Parameter!$H$6+Parameter!$H$7))-(AN1488-AI1488))/AI1488)))</f>
        <v>1</v>
      </c>
      <c r="AP1488" s="50" t="n">
        <f aca="false">IF(LEFT(Cockpit!$I$5,1)="A",H1488,IF(Parameter!$E$30="MAX-Bestand",IF(CH1488=1,CI1488,IF(LEFT(Cockpit!$I$5,1)="B",AV1488,MAX(AV1488,H1488))),ROUNDUP(AT1488,0)))</f>
        <v>102</v>
      </c>
      <c r="AQ1488" s="50" t="n">
        <f aca="false">IF(BZ1488=1,0,ROUNDUP(AP1488/BY1488,0))</f>
        <v>1</v>
      </c>
      <c r="AR1488" s="52" t="n">
        <f aca="false">IF(CQ1488&gt;0,CQ1488*MAX(1,AP1488/X1488),IF(BZ1488=1,IF(AP1488&lt;=0,0,CD1488*MAX(1,IF(H1488&gt;0,AP1488/H1488,1))),IF(R1488&gt;0,AQ1488/R1488,0))/MAX(0.1,N(Parameter!$M$21)))</f>
        <v>0.0384615384615385</v>
      </c>
      <c r="AS1488" s="50" t="n">
        <f aca="false">AR1488*CB1488</f>
        <v>5.96153846153846</v>
      </c>
      <c r="AT1488" s="51" t="n">
        <f aca="false">IF(LEFT(Cockpit!$I$5,1)="A",H1488,IF(CH1488=1,(CK1488+CI1488)/2,IF(LEFT(Cockpit!$I$5,1)="B",(CK1488+AV1488)/2,MAX((CK1488+AV1488)/2,H1488))))</f>
        <v>102</v>
      </c>
      <c r="AU1488" s="50" t="n">
        <f aca="false">AT1488*G1488</f>
        <v>285.6</v>
      </c>
      <c r="AV1488" s="50" t="n">
        <f aca="false">ROUNDUP(CK1488+MAX(CL1488,2*(J1488/IF(CG1488&gt;0,CG1488,MAX(0.1,N(Cockpit!$I$6)))-CK1488)),0)</f>
        <v>100</v>
      </c>
      <c r="AW1488" s="51" t="n">
        <f aca="false">IF(AS1488&gt;0,J1488/AS1488,-1)</f>
        <v>0</v>
      </c>
      <c r="AX1488" s="51" t="n">
        <f aca="false">IF(AND(OR(CF1488="L1",CF1488="L23",CF1488="LIFT"),AS1488&gt;0),SUMIFS($AS$7:$AS$1843,$CF$7:$CF$1843,CF1488,$AW$7:$AW$1843,"&gt;"&amp;AW1488)+SUMIFS($AS$7:$AS$1843,$CF$7:$CF$1843,CF1488,$AW$7:$AW$1843,AW1488,$BW$7:$BW$1843,"&lt;="&amp;BW1488),"")</f>
        <v>36071.3504195898</v>
      </c>
      <c r="AY1488" s="58" t="n">
        <f aca="false">IF(AX1488="",0,MAX(0,MIN(1,(IF(CF1488="L1",Parameter!$H$5,IF(CF1488="L23",Parameter!$H$6+Parameter!$H$7,Parameter!$H$5+Parameter!$H$6+Parameter!$H$7))-(AX1488-AS1488))/AS1488)))</f>
        <v>0</v>
      </c>
      <c r="AZ1488" s="50" t="n">
        <f aca="false">IF(LEFT(Cockpit!$O$5,1)="A",H1488,IF(Parameter!$E$30="MAX-Bestand",IF(CH1488=1,CI1488,IF(LEFT(Cockpit!$O$5,1)="B",BF1488,MAX(BF1488,H1488))),ROUNDUP(BD1488,0)))</f>
        <v>50</v>
      </c>
      <c r="BA1488" s="50" t="n">
        <f aca="false">IF(BZ1488=1,0,ROUNDUP(AZ1488/BY1488,0))</f>
        <v>1</v>
      </c>
      <c r="BB1488" s="52" t="n">
        <f aca="false">IF(CQ1488&gt;0,CQ1488*MAX(1,AZ1488/X1488),IF(BZ1488=1,IF(AZ1488&lt;=0,0,CD1488*MAX(1,IF(H1488&gt;0,AZ1488/H1488,1))),IF(R1488&gt;0,BA1488/R1488,0))/MAX(0.1,N(Parameter!$M$21)))</f>
        <v>0.0384615384615385</v>
      </c>
      <c r="BC1488" s="50" t="n">
        <f aca="false">BB1488*CB1488</f>
        <v>5.96153846153846</v>
      </c>
      <c r="BD1488" s="51" t="n">
        <f aca="false">IF(LEFT(Cockpit!$O$5,1)="A",H1488,IF(CH1488=1,(CK1488+CI1488)/2,IF(LEFT(Cockpit!$O$5,1)="B",(CK1488+BF1488)/2,MAX((CK1488+BF1488)/2,H1488))))</f>
        <v>50</v>
      </c>
      <c r="BE1488" s="50" t="n">
        <f aca="false">BD1488*G1488</f>
        <v>140</v>
      </c>
      <c r="BF1488" s="50" t="n">
        <f aca="false">ROUNDUP(CK1488+MAX(CL1488,2*(J1488/IF(CG1488&gt;0,CG1488,MAX(0.1,N(Cockpit!$O$6)))-CK1488)),0)</f>
        <v>100</v>
      </c>
      <c r="BG1488" s="51" t="n">
        <f aca="false">IF(BC1488&gt;0,J1488/BC1488,-1)</f>
        <v>0</v>
      </c>
      <c r="BH1488" s="51" t="n">
        <f aca="false">IF(AND(OR(CF1488="L1",CF1488="L23",CF1488="LIFT"),BC1488&gt;0),SUMIFS($BC$7:$BC$1843,$CF$7:$CF$1843,CF1488,$BG$7:$BG$1843,"&gt;"&amp;BG1488)+SUMIFS($BC$7:$BC$1843,$CF$7:$CF$1843,CF1488,$BG$7:$BG$1843,BG1488,$BW$7:$BW$1843,"&lt;="&amp;BW1488),"")</f>
        <v>30056.6570797376</v>
      </c>
      <c r="BI1488" s="58" t="n">
        <f aca="false">IF(BH1488="",0,MAX(0,MIN(1,(IF(CF1488="L1",Parameter!$H$5,IF(CF1488="L23",Parameter!$H$6+Parameter!$H$7,Parameter!$H$5+Parameter!$H$6+Parameter!$H$7))-(BH1488-BC1488))/BC1488)))</f>
        <v>1</v>
      </c>
      <c r="BJ1488" s="48" t="str">
        <f aca="false">IF(AI1488&lt;=0,"",IF(CF1488="Aussen","Aussenlager",IF(CF1488="-","Nicht im Lift",IF(AO1488&gt;=1,"Lift",IF(AO1488&lt;=0,"Aussenlager","teilweise")))))</f>
        <v>Lift</v>
      </c>
      <c r="BK1488" s="48" t="str">
        <f aca="false">IF(AS1488&lt;=0,"",IF(CF1488="Aussen","Aussenlager",IF(CF1488="-","Nicht im Lift",IF(AY1488&gt;=1,"Lift",IF(AY1488&lt;=0,"Aussenlager","teilweise")))))</f>
        <v>Aussenlager</v>
      </c>
      <c r="BL1488" s="48" t="str">
        <f aca="false">IF(BC1488&lt;=0,"",IF(CF1488="Aussen","Aussenlager",IF(CF1488="-","Nicht im Lift",IF(BI1488&gt;=1,"Lift",IF(BI1488&lt;=0,"Aussenlager","teilweise")))))</f>
        <v>Lift</v>
      </c>
      <c r="BM1488" s="48" t="str">
        <f aca="false">IF(A1488="","",IF(BV1488=1,"Neu; ","")&amp;IF(AND(BV1488=0,BQ1488&lt;0),"negativer Bestand (Export "&amp;BQ1488&amp;"); ","")&amp;IF(J1488&lt;=0,"Kein Verbrauch; ","")&amp;IF(CQ1488&gt;0,"Lift "&amp;W1488&amp;" lt. Liftbericht (Fach "&amp;X1488&amp;" Stk); ",IF(CA1488=1,"Gebinde geschätzt ("&amp;T1488&amp;"); ",IF(BZ1488=1,"Lose – Tablare geschätzt; ","")))&amp;IF(H1488&gt;AV1488,"Überbestand "&amp;ROUND(H1488-AV1488,0)&amp;" Stk / CHF "&amp;ROUND((H1488-AV1488)*G1488,0)&amp;"; ","")&amp;IF(AND(CH1488=1,CI1488&lt;CJ1488),"MAX &lt; MB+LG; ","")&amp;IF(AND(CP1488&gt;0,CO1488*10&gt;CP1488),"zu hoch für Tablar; ","")&amp;IF(AND(BV1488=0,OR(CH1488=1,AA1488&lt;&gt;"",U1488&lt;&gt;"",V1488&lt;&gt;"",AB1488&lt;&gt;"")),"manuell übersteuert; ","")&amp;IF(AND(BZ1488=0,R1488=0),"Gebinde unbekannt / Stellmass fehlt; ","")&amp;IF(AND(BZ1488=0,N(V1488)&lt;=0,N(Q1488)&lt;=0),"Menge pro Gebinde fehlt (Ist = 1 Gebinde); ","")&amp;BU1488)</f>
        <v>Kein Verbrauch; Überbestand 2 Stk / CHF 6; nur im Artikelstamm (Bestand 23.06.2026)</v>
      </c>
      <c r="BN1488" s="48"/>
      <c r="BO1488" s="48"/>
      <c r="BP1488" s="55"/>
      <c r="BQ1488" s="50" t="n">
        <v>102</v>
      </c>
      <c r="BR1488" s="50" t="n">
        <v>0</v>
      </c>
      <c r="BS1488" s="49" t="n">
        <v>0</v>
      </c>
      <c r="BT1488" s="50" t="n">
        <v>0</v>
      </c>
      <c r="BU1488" s="48" t="s">
        <v>2584</v>
      </c>
      <c r="BV1488" s="53" t="n">
        <v>0</v>
      </c>
      <c r="BW1488" s="53" t="n">
        <v>1488</v>
      </c>
      <c r="BX1488" s="48" t="str">
        <f aca="false">IF(U1488&lt;&gt;"",UPPER(TRIM(U1488)),IF(CA1488=1,UPPER(VLOOKUP(T1488,Parameter!$I$27:$K$29,2,0)),IF(P1488="","LOSE",P1488)))</f>
        <v>S51</v>
      </c>
      <c r="BY1488" s="50" t="n">
        <f aca="false">IF(BX1488="LOSE",1,IF(N(V1488)&gt;0,V1488,IF(CA1488=1,MAX(1,N(VLOOKUP(T1488,Parameter!$I$27:$K$29,3,0)),H1488,N(N1488)),IF(N(Q1488)&gt;0,Q1488,MAX(1,H1488)))))</f>
        <v>102</v>
      </c>
      <c r="BZ1488" s="53" t="n">
        <f aca="false">IF(BX1488="LOSE",1,0)</f>
        <v>0</v>
      </c>
      <c r="CA1488" s="53" t="n">
        <f aca="false">IF(AND(U1488="",OR(P1488="",P1488="LOSE"),T1488&lt;&gt;"",N(S1488)&lt;=0,ISNUMBER(MATCH(T1488,Parameter!$I$27:$I$29,0))),1,0)</f>
        <v>0</v>
      </c>
      <c r="CB1488" s="53" t="n">
        <f aca="false">IF(CQ1488&gt;0,INDEX(Parameter!$H$5:$H$7,W1488)/INDEX(Parameter!$E$5:$E$7,W1488),IF(AND(BZ1488=0,N(IFERROR(VLOOKUP(BX1488,'Gebinde-Kategorie'!$A$5:$N$45,14,0),0))&gt;0),VLOOKUP(BX1488,'Gebinde-Kategorie'!$A$5:$N$45,14,0)*10+Parameter!$M$23,Parameter!$M$24))</f>
        <v>155</v>
      </c>
      <c r="CC1488" s="48" t="str">
        <f aca="false">IF(AND(Parameter!$B$19="Ja",E1488&lt;&gt;"",ISNUMBER(MATCH(E1488,Parameter!$I$35:$I$52,0))),VLOOKUP(E1488,Parameter!$I$35:$J$52,2,0),IFERROR(VLOOKUP(D1488,Parameter!$A$35:$C$64,2,0),"Nein"))</f>
        <v>2+3</v>
      </c>
      <c r="CD1488" s="52" t="n">
        <f aca="false">IF(BZ1488=0,0,IF(N(S1488)&gt;0,S1488,IFERROR(VLOOKUP(D1488,Parameter!$A$35:$C$64,3,0)+0,0)))</f>
        <v>0</v>
      </c>
      <c r="CE1488" s="48" t="n">
        <f aca="false">IF(AA1488&lt;&gt;"",AA1488,Z1488)</f>
        <v>3</v>
      </c>
      <c r="CF1488" s="48" t="str">
        <f aca="false">IF(OR(CE1488=1,CE1488=2,CE1488=3),IF(Parameter!$E$27="Ja","LIFT",IF(CE1488=1,"L1","L23")),IF(CE1488="Aussen","Aussen","-"))</f>
        <v>LIFT</v>
      </c>
      <c r="CG1488" s="59" t="n">
        <f aca="false">IF(N(AB1488)&gt;0,AB1488,0)</f>
        <v>0</v>
      </c>
      <c r="CH1488" s="53" t="n">
        <f aca="false">IF(ISNUMBER(AE1488),1,0)</f>
        <v>0</v>
      </c>
      <c r="CI1488" s="50" t="n">
        <f aca="false">N(AE1488)</f>
        <v>0</v>
      </c>
      <c r="CJ1488" s="50" t="n">
        <f aca="false">N(M1488)+N(N1488)</f>
        <v>100</v>
      </c>
      <c r="CK1488" s="50" t="n">
        <f aca="false">N(M1488)</f>
        <v>0</v>
      </c>
      <c r="CL1488" s="50" t="n">
        <f aca="false">N(N1488)</f>
        <v>100</v>
      </c>
      <c r="CM1488" s="50" t="n">
        <f aca="false">ROUNDUP(H1488/BY1488,0)</f>
        <v>1</v>
      </c>
      <c r="CN1488" s="50" t="n">
        <f aca="false">ROUNDUP(CI1488/BY1488,0)</f>
        <v>0</v>
      </c>
      <c r="CO1488" s="53" t="n">
        <f aca="false">IF(BZ1488=1,0,IFERROR(VLOOKUP(BX1488,'Gebinde-Kategorie'!$A$5:$N$45,5,0)+0,0))</f>
        <v>11</v>
      </c>
      <c r="CP1488" s="53" t="n">
        <f aca="false">IFERROR(IF(OR(CE1488=1,CE1488=2,CE1488=3),N(INDEX(Parameter!$I$5:$I$7,CE1488)),0),0)</f>
        <v>0</v>
      </c>
      <c r="CQ1488" s="52" t="n">
        <f aca="false">IF(AND(Parameter!$B$21="Ja",ISNUMBER(W1488),N(X1488)&gt;0),IFERROR(N(INDEX(Parameter!$L$5:$L$7,W1488))*INDEX(Parameter!$E$5:$E$7,W1488)*X1488/SUMIFS($X$7:$X$1843,$W$7:$W$1843,W1488),0),0)</f>
        <v>0</v>
      </c>
    </row>
    <row r="1489" customFormat="false" ht="15" hidden="false" customHeight="false" outlineLevel="0" collapsed="false">
      <c r="A1489" s="48" t="s">
        <v>2611</v>
      </c>
      <c r="B1489" s="48" t="s">
        <v>2612</v>
      </c>
      <c r="C1489" s="48" t="s">
        <v>173</v>
      </c>
      <c r="D1489" s="48" t="s">
        <v>193</v>
      </c>
      <c r="E1489" s="48" t="s">
        <v>194</v>
      </c>
      <c r="F1489" s="48"/>
      <c r="G1489" s="49" t="n">
        <v>84.57</v>
      </c>
      <c r="H1489" s="50" t="n">
        <f aca="false">MAX(0,IF(AND(Parameter!$B$21="Ja",ISNUMBER(Y1489)),Y1489,IF(Parameter!$B$20="Jahresanfang 2025 + Export",BR1489+BQ1489,BQ1489)))</f>
        <v>4</v>
      </c>
      <c r="I1489" s="50" t="n">
        <f aca="false">H1489*G1489</f>
        <v>338.28</v>
      </c>
      <c r="J1489" s="50" t="n">
        <f aca="false">BT1489*Parameter!$B$18</f>
        <v>0</v>
      </c>
      <c r="K1489" s="51"/>
      <c r="L1489" s="52"/>
      <c r="M1489" s="50" t="n">
        <v>0</v>
      </c>
      <c r="N1489" s="50" t="n">
        <v>1</v>
      </c>
      <c r="O1489" s="53" t="n">
        <v>14</v>
      </c>
      <c r="P1489" s="48" t="s">
        <v>337</v>
      </c>
      <c r="Q1489" s="50" t="n">
        <v>4</v>
      </c>
      <c r="R1489" s="53" t="n">
        <f aca="false">IF(BZ1489=1,0,IFERROR(VLOOKUP(BX1489,'Gebinde-Kategorie'!$A$5:$N$45,13,0)+0,0))</f>
        <v>52</v>
      </c>
      <c r="S1489" s="54"/>
      <c r="T1489" s="55"/>
      <c r="U1489" s="55"/>
      <c r="V1489" s="55"/>
      <c r="W1489" s="48"/>
      <c r="X1489" s="50"/>
      <c r="Y1489" s="50"/>
      <c r="Z1489" s="48" t="n">
        <f aca="false">IF(A1489="","",IF(AND(Parameter!$B$21="Ja",ISNUMBER(W1489)),W1489,IF(CC1489="2+3",IF(ISNUMBER(SEARCH("grosser Artikel",BU1489)),2,IFERROR(VLOOKUP(BX1489,Parameter!$F$35:$G$64,2,0),2)),IF(OR(CC1489="Nein",CC1489=""),"-",CC1489))))</f>
        <v>3</v>
      </c>
      <c r="AA1489" s="55"/>
      <c r="AB1489" s="56"/>
      <c r="AC1489" s="50" t="n">
        <f aca="false">AV1489</f>
        <v>1</v>
      </c>
      <c r="AD1489" s="50" t="n">
        <f aca="false">MAX(AV1489,H1489)</f>
        <v>4</v>
      </c>
      <c r="AE1489" s="57"/>
      <c r="AF1489" s="50" t="n">
        <f aca="false">IF(LEFT(Cockpit!$C$5,1)="A",H1489,IF(Parameter!$E$30="MAX-Bestand",IF(CH1489=1,CI1489,IF(LEFT(Cockpit!$C$5,1)="B",AL1489,MAX(AL1489,H1489))),ROUNDUP(AJ1489,0)))</f>
        <v>4</v>
      </c>
      <c r="AG1489" s="50" t="n">
        <f aca="false">IF(BZ1489=1,0,ROUNDUP(AF1489/BY1489,0))</f>
        <v>1</v>
      </c>
      <c r="AH1489" s="52" t="n">
        <f aca="false">IF(CQ1489&gt;0,CQ1489*MAX(1,AF1489/X1489),IF(BZ1489=1,IF(AF1489&lt;=0,0,CD1489*MAX(1,IF(H1489&gt;0,AF1489/H1489,1))),IF(R1489&gt;0,AG1489/R1489,0))/MAX(0.1,N(Parameter!$M$21)))</f>
        <v>0.0192307692307692</v>
      </c>
      <c r="AI1489" s="50" t="n">
        <f aca="false">AH1489*CB1489</f>
        <v>2.98076923076923</v>
      </c>
      <c r="AJ1489" s="51" t="n">
        <f aca="false">IF(LEFT(Cockpit!$C$5,1)="A",H1489,IF(CH1489=1,(CK1489+CI1489)/2,IF(LEFT(Cockpit!$C$5,1)="B",(CK1489+AL1489)/2,MAX((CK1489+AL1489)/2,H1489))))</f>
        <v>4</v>
      </c>
      <c r="AK1489" s="50" t="n">
        <f aca="false">AJ1489*G1489</f>
        <v>338.28</v>
      </c>
      <c r="AL1489" s="50" t="n">
        <f aca="false">ROUNDUP(CK1489+MAX(CL1489,2*(J1489/IF(CG1489&gt;0,CG1489,MAX(0.1,N(Cockpit!$C$6)))-CK1489)),0)</f>
        <v>1</v>
      </c>
      <c r="AM1489" s="51" t="n">
        <f aca="false">IF(AI1489&gt;0,J1489/AI1489,-1)</f>
        <v>0</v>
      </c>
      <c r="AN1489" s="51" t="n">
        <f aca="false">IF(AND(OR(CF1489="L1",CF1489="L23",CF1489="LIFT"),AI1489&gt;0),SUMIFS($AI$7:$AI$1843,$CF$7:$CF$1843,CF1489,$AM$7:$AM$1843,"&gt;"&amp;AM1489)+SUMIFS($AI$7:$AI$1843,$CF$7:$CF$1843,CF1489,$AM$7:$AM$1843,AM1489,$BW$7:$BW$1843,"&lt;="&amp;BW1489),"")</f>
        <v>29767.760386271</v>
      </c>
      <c r="AO1489" s="58" t="n">
        <f aca="false">IF(AN1489="",0,MAX(0,MIN(1,(IF(CF1489="L1",Parameter!$H$5,IF(CF1489="L23",Parameter!$H$6+Parameter!$H$7,Parameter!$H$5+Parameter!$H$6+Parameter!$H$7))-(AN1489-AI1489))/AI1489)))</f>
        <v>1</v>
      </c>
      <c r="AP1489" s="50" t="n">
        <f aca="false">IF(LEFT(Cockpit!$I$5,1)="A",H1489,IF(Parameter!$E$30="MAX-Bestand",IF(CH1489=1,CI1489,IF(LEFT(Cockpit!$I$5,1)="B",AV1489,MAX(AV1489,H1489))),ROUNDUP(AT1489,0)))</f>
        <v>4</v>
      </c>
      <c r="AQ1489" s="50" t="n">
        <f aca="false">IF(BZ1489=1,0,ROUNDUP(AP1489/BY1489,0))</f>
        <v>1</v>
      </c>
      <c r="AR1489" s="52" t="n">
        <f aca="false">IF(CQ1489&gt;0,CQ1489*MAX(1,AP1489/X1489),IF(BZ1489=1,IF(AP1489&lt;=0,0,CD1489*MAX(1,IF(H1489&gt;0,AP1489/H1489,1))),IF(R1489&gt;0,AQ1489/R1489,0))/MAX(0.1,N(Parameter!$M$21)))</f>
        <v>0.0192307692307692</v>
      </c>
      <c r="AS1489" s="50" t="n">
        <f aca="false">AR1489*CB1489</f>
        <v>2.98076923076923</v>
      </c>
      <c r="AT1489" s="51" t="n">
        <f aca="false">IF(LEFT(Cockpit!$I$5,1)="A",H1489,IF(CH1489=1,(CK1489+CI1489)/2,IF(LEFT(Cockpit!$I$5,1)="B",(CK1489+AV1489)/2,MAX((CK1489+AV1489)/2,H1489))))</f>
        <v>4</v>
      </c>
      <c r="AU1489" s="50" t="n">
        <f aca="false">AT1489*G1489</f>
        <v>338.28</v>
      </c>
      <c r="AV1489" s="50" t="n">
        <f aca="false">ROUNDUP(CK1489+MAX(CL1489,2*(J1489/IF(CG1489&gt;0,CG1489,MAX(0.1,N(Cockpit!$I$6)))-CK1489)),0)</f>
        <v>1</v>
      </c>
      <c r="AW1489" s="51" t="n">
        <f aca="false">IF(AS1489&gt;0,J1489/AS1489,-1)</f>
        <v>0</v>
      </c>
      <c r="AX1489" s="51" t="n">
        <f aca="false">IF(AND(OR(CF1489="L1",CF1489="L23",CF1489="LIFT"),AS1489&gt;0),SUMIFS($AS$7:$AS$1843,$CF$7:$CF$1843,CF1489,$AW$7:$AW$1843,"&gt;"&amp;AW1489)+SUMIFS($AS$7:$AS$1843,$CF$7:$CF$1843,CF1489,$AW$7:$AW$1843,AW1489,$BW$7:$BW$1843,"&lt;="&amp;BW1489),"")</f>
        <v>36074.3311888206</v>
      </c>
      <c r="AY1489" s="58" t="n">
        <f aca="false">IF(AX1489="",0,MAX(0,MIN(1,(IF(CF1489="L1",Parameter!$H$5,IF(CF1489="L23",Parameter!$H$6+Parameter!$H$7,Parameter!$H$5+Parameter!$H$6+Parameter!$H$7))-(AX1489-AS1489))/AS1489)))</f>
        <v>0</v>
      </c>
      <c r="AZ1489" s="50" t="n">
        <f aca="false">IF(LEFT(Cockpit!$O$5,1)="A",H1489,IF(Parameter!$E$30="MAX-Bestand",IF(CH1489=1,CI1489,IF(LEFT(Cockpit!$O$5,1)="B",BF1489,MAX(BF1489,H1489))),ROUNDUP(BD1489,0)))</f>
        <v>1</v>
      </c>
      <c r="BA1489" s="50" t="n">
        <f aca="false">IF(BZ1489=1,0,ROUNDUP(AZ1489/BY1489,0))</f>
        <v>1</v>
      </c>
      <c r="BB1489" s="52" t="n">
        <f aca="false">IF(CQ1489&gt;0,CQ1489*MAX(1,AZ1489/X1489),IF(BZ1489=1,IF(AZ1489&lt;=0,0,CD1489*MAX(1,IF(H1489&gt;0,AZ1489/H1489,1))),IF(R1489&gt;0,BA1489/R1489,0))/MAX(0.1,N(Parameter!$M$21)))</f>
        <v>0.0192307692307692</v>
      </c>
      <c r="BC1489" s="50" t="n">
        <f aca="false">BB1489*CB1489</f>
        <v>2.98076923076923</v>
      </c>
      <c r="BD1489" s="51" t="n">
        <f aca="false">IF(LEFT(Cockpit!$O$5,1)="A",H1489,IF(CH1489=1,(CK1489+CI1489)/2,IF(LEFT(Cockpit!$O$5,1)="B",(CK1489+BF1489)/2,MAX((CK1489+BF1489)/2,H1489))))</f>
        <v>0.5</v>
      </c>
      <c r="BE1489" s="50" t="n">
        <f aca="false">BD1489*G1489</f>
        <v>42.285</v>
      </c>
      <c r="BF1489" s="50" t="n">
        <f aca="false">ROUNDUP(CK1489+MAX(CL1489,2*(J1489/IF(CG1489&gt;0,CG1489,MAX(0.1,N(Cockpit!$O$6)))-CK1489)),0)</f>
        <v>1</v>
      </c>
      <c r="BG1489" s="51" t="n">
        <f aca="false">IF(BC1489&gt;0,J1489/BC1489,-1)</f>
        <v>0</v>
      </c>
      <c r="BH1489" s="51" t="n">
        <f aca="false">IF(AND(OR(CF1489="L1",CF1489="L23",CF1489="LIFT"),BC1489&gt;0),SUMIFS($BC$7:$BC$1843,$CF$7:$CF$1843,CF1489,$BG$7:$BG$1843,"&gt;"&amp;BG1489)+SUMIFS($BC$7:$BC$1843,$CF$7:$CF$1843,CF1489,$BG$7:$BG$1843,BG1489,$BW$7:$BW$1843,"&lt;="&amp;BW1489),"")</f>
        <v>30059.6378489684</v>
      </c>
      <c r="BI1489" s="58" t="n">
        <f aca="false">IF(BH1489="",0,MAX(0,MIN(1,(IF(CF1489="L1",Parameter!$H$5,IF(CF1489="L23",Parameter!$H$6+Parameter!$H$7,Parameter!$H$5+Parameter!$H$6+Parameter!$H$7))-(BH1489-BC1489))/BC1489)))</f>
        <v>1</v>
      </c>
      <c r="BJ1489" s="48" t="str">
        <f aca="false">IF(AI1489&lt;=0,"",IF(CF1489="Aussen","Aussenlager",IF(CF1489="-","Nicht im Lift",IF(AO1489&gt;=1,"Lift",IF(AO1489&lt;=0,"Aussenlager","teilweise")))))</f>
        <v>Lift</v>
      </c>
      <c r="BK1489" s="48" t="str">
        <f aca="false">IF(AS1489&lt;=0,"",IF(CF1489="Aussen","Aussenlager",IF(CF1489="-","Nicht im Lift",IF(AY1489&gt;=1,"Lift",IF(AY1489&lt;=0,"Aussenlager","teilweise")))))</f>
        <v>Aussenlager</v>
      </c>
      <c r="BL1489" s="48" t="str">
        <f aca="false">IF(BC1489&lt;=0,"",IF(CF1489="Aussen","Aussenlager",IF(CF1489="-","Nicht im Lift",IF(BI1489&gt;=1,"Lift",IF(BI1489&lt;=0,"Aussenlager","teilweise")))))</f>
        <v>Lift</v>
      </c>
      <c r="BM1489" s="48" t="str">
        <f aca="false">IF(A1489="","",IF(BV1489=1,"Neu; ","")&amp;IF(AND(BV1489=0,BQ1489&lt;0),"negativer Bestand (Export "&amp;BQ1489&amp;"); ","")&amp;IF(J1489&lt;=0,"Kein Verbrauch; ","")&amp;IF(CQ1489&gt;0,"Lift "&amp;W1489&amp;" lt. Liftbericht (Fach "&amp;X1489&amp;" Stk); ",IF(CA1489=1,"Gebinde geschätzt ("&amp;T1489&amp;"); ",IF(BZ1489=1,"Lose – Tablare geschätzt; ","")))&amp;IF(H1489&gt;AV1489,"Überbestand "&amp;ROUND(H1489-AV1489,0)&amp;" Stk / CHF "&amp;ROUND((H1489-AV1489)*G1489,0)&amp;"; ","")&amp;IF(AND(CH1489=1,CI1489&lt;CJ1489),"MAX &lt; MB+LG; ","")&amp;IF(AND(CP1489&gt;0,CO1489*10&gt;CP1489),"zu hoch für Tablar; ","")&amp;IF(AND(BV1489=0,OR(CH1489=1,AA1489&lt;&gt;"",U1489&lt;&gt;"",V1489&lt;&gt;"",AB1489&lt;&gt;"")),"manuell übersteuert; ","")&amp;IF(AND(BZ1489=0,R1489=0),"Gebinde unbekannt / Stellmass fehlt; ","")&amp;IF(AND(BZ1489=0,N(V1489)&lt;=0,N(Q1489)&lt;=0),"Menge pro Gebinde fehlt (Ist = 1 Gebinde); ","")&amp;BU1489)</f>
        <v>Kein Verbrauch; Überbestand 3 Stk / CHF 254; nur im Artikelstamm (Bestand 23.06.2026)</v>
      </c>
      <c r="BN1489" s="48"/>
      <c r="BO1489" s="48"/>
      <c r="BP1489" s="55"/>
      <c r="BQ1489" s="50" t="n">
        <v>4</v>
      </c>
      <c r="BR1489" s="50" t="n">
        <v>0</v>
      </c>
      <c r="BS1489" s="49" t="n">
        <v>0</v>
      </c>
      <c r="BT1489" s="50" t="n">
        <v>0</v>
      </c>
      <c r="BU1489" s="48" t="s">
        <v>2584</v>
      </c>
      <c r="BV1489" s="53" t="n">
        <v>0</v>
      </c>
      <c r="BW1489" s="53" t="n">
        <v>1489</v>
      </c>
      <c r="BX1489" s="48" t="str">
        <f aca="false">IF(U1489&lt;&gt;"",UPPER(TRIM(U1489)),IF(CA1489=1,UPPER(VLOOKUP(T1489,Parameter!$I$27:$K$29,2,0)),IF(P1489="","LOSE",P1489)))</f>
        <v>S41</v>
      </c>
      <c r="BY1489" s="50" t="n">
        <f aca="false">IF(BX1489="LOSE",1,IF(N(V1489)&gt;0,V1489,IF(CA1489=1,MAX(1,N(VLOOKUP(T1489,Parameter!$I$27:$K$29,3,0)),H1489,N(N1489)),IF(N(Q1489)&gt;0,Q1489,MAX(1,H1489)))))</f>
        <v>4</v>
      </c>
      <c r="BZ1489" s="53" t="n">
        <f aca="false">IF(BX1489="LOSE",1,0)</f>
        <v>0</v>
      </c>
      <c r="CA1489" s="53" t="n">
        <f aca="false">IF(AND(U1489="",OR(P1489="",P1489="LOSE"),T1489&lt;&gt;"",N(S1489)&lt;=0,ISNUMBER(MATCH(T1489,Parameter!$I$27:$I$29,0))),1,0)</f>
        <v>0</v>
      </c>
      <c r="CB1489" s="53" t="n">
        <f aca="false">IF(CQ1489&gt;0,INDEX(Parameter!$H$5:$H$7,W1489)/INDEX(Parameter!$E$5:$E$7,W1489),IF(AND(BZ1489=0,N(IFERROR(VLOOKUP(BX1489,'Gebinde-Kategorie'!$A$5:$N$45,14,0),0))&gt;0),VLOOKUP(BX1489,'Gebinde-Kategorie'!$A$5:$N$45,14,0)*10+Parameter!$M$23,Parameter!$M$24))</f>
        <v>155</v>
      </c>
      <c r="CC1489" s="48" t="str">
        <f aca="false">IF(AND(Parameter!$B$19="Ja",E1489&lt;&gt;"",ISNUMBER(MATCH(E1489,Parameter!$I$35:$I$52,0))),VLOOKUP(E1489,Parameter!$I$35:$J$52,2,0),IFERROR(VLOOKUP(D1489,Parameter!$A$35:$C$64,2,0),"Nein"))</f>
        <v>2+3</v>
      </c>
      <c r="CD1489" s="52" t="n">
        <f aca="false">IF(BZ1489=0,0,IF(N(S1489)&gt;0,S1489,IFERROR(VLOOKUP(D1489,Parameter!$A$35:$C$64,3,0)+0,0)))</f>
        <v>0</v>
      </c>
      <c r="CE1489" s="48" t="n">
        <f aca="false">IF(AA1489&lt;&gt;"",AA1489,Z1489)</f>
        <v>3</v>
      </c>
      <c r="CF1489" s="48" t="str">
        <f aca="false">IF(OR(CE1489=1,CE1489=2,CE1489=3),IF(Parameter!$E$27="Ja","LIFT",IF(CE1489=1,"L1","L23")),IF(CE1489="Aussen","Aussen","-"))</f>
        <v>LIFT</v>
      </c>
      <c r="CG1489" s="59" t="n">
        <f aca="false">IF(N(AB1489)&gt;0,AB1489,0)</f>
        <v>0</v>
      </c>
      <c r="CH1489" s="53" t="n">
        <f aca="false">IF(ISNUMBER(AE1489),1,0)</f>
        <v>0</v>
      </c>
      <c r="CI1489" s="50" t="n">
        <f aca="false">N(AE1489)</f>
        <v>0</v>
      </c>
      <c r="CJ1489" s="50" t="n">
        <f aca="false">N(M1489)+N(N1489)</f>
        <v>1</v>
      </c>
      <c r="CK1489" s="50" t="n">
        <f aca="false">N(M1489)</f>
        <v>0</v>
      </c>
      <c r="CL1489" s="50" t="n">
        <f aca="false">N(N1489)</f>
        <v>1</v>
      </c>
      <c r="CM1489" s="50" t="n">
        <f aca="false">ROUNDUP(H1489/BY1489,0)</f>
        <v>1</v>
      </c>
      <c r="CN1489" s="50" t="n">
        <f aca="false">ROUNDUP(CI1489/BY1489,0)</f>
        <v>0</v>
      </c>
      <c r="CO1489" s="53" t="n">
        <f aca="false">IF(BZ1489=1,0,IFERROR(VLOOKUP(BX1489,'Gebinde-Kategorie'!$A$5:$N$45,5,0)+0,0))</f>
        <v>11</v>
      </c>
      <c r="CP1489" s="53" t="n">
        <f aca="false">IFERROR(IF(OR(CE1489=1,CE1489=2,CE1489=3),N(INDEX(Parameter!$I$5:$I$7,CE1489)),0),0)</f>
        <v>0</v>
      </c>
      <c r="CQ1489" s="52" t="n">
        <f aca="false">IF(AND(Parameter!$B$21="Ja",ISNUMBER(W1489),N(X1489)&gt;0),IFERROR(N(INDEX(Parameter!$L$5:$L$7,W1489))*INDEX(Parameter!$E$5:$E$7,W1489)*X1489/SUMIFS($X$7:$X$1843,$W$7:$W$1843,W1489),0),0)</f>
        <v>0</v>
      </c>
    </row>
    <row r="1490" customFormat="false" ht="15" hidden="false" customHeight="false" outlineLevel="0" collapsed="false">
      <c r="A1490" s="48" t="s">
        <v>2613</v>
      </c>
      <c r="B1490" s="48" t="s">
        <v>2614</v>
      </c>
      <c r="C1490" s="48" t="s">
        <v>173</v>
      </c>
      <c r="D1490" s="48" t="s">
        <v>193</v>
      </c>
      <c r="E1490" s="48" t="s">
        <v>194</v>
      </c>
      <c r="F1490" s="48"/>
      <c r="G1490" s="49" t="n">
        <v>3.88</v>
      </c>
      <c r="H1490" s="50" t="n">
        <f aca="false">MAX(0,IF(AND(Parameter!$B$21="Ja",ISNUMBER(Y1490)),Y1490,IF(Parameter!$B$20="Jahresanfang 2025 + Export",BR1490+BQ1490,BQ1490)))</f>
        <v>34</v>
      </c>
      <c r="I1490" s="50" t="n">
        <f aca="false">H1490*G1490</f>
        <v>131.92</v>
      </c>
      <c r="J1490" s="50" t="n">
        <f aca="false">BT1490*Parameter!$B$18</f>
        <v>0</v>
      </c>
      <c r="K1490" s="51"/>
      <c r="L1490" s="52"/>
      <c r="M1490" s="50" t="n">
        <v>0</v>
      </c>
      <c r="N1490" s="50" t="n">
        <v>10</v>
      </c>
      <c r="O1490" s="53" t="n">
        <v>28</v>
      </c>
      <c r="P1490" s="48" t="s">
        <v>485</v>
      </c>
      <c r="Q1490" s="50" t="n">
        <v>34</v>
      </c>
      <c r="R1490" s="53" t="n">
        <f aca="false">IF(BZ1490=1,0,IFERROR(VLOOKUP(BX1490,'Gebinde-Kategorie'!$A$5:$N$45,13,0)+0,0))</f>
        <v>52</v>
      </c>
      <c r="S1490" s="54"/>
      <c r="T1490" s="55"/>
      <c r="U1490" s="55"/>
      <c r="V1490" s="55"/>
      <c r="W1490" s="48"/>
      <c r="X1490" s="50"/>
      <c r="Y1490" s="50"/>
      <c r="Z1490" s="48" t="n">
        <f aca="false">IF(A1490="","",IF(AND(Parameter!$B$21="Ja",ISNUMBER(W1490)),W1490,IF(CC1490="2+3",IF(ISNUMBER(SEARCH("grosser Artikel",BU1490)),2,IFERROR(VLOOKUP(BX1490,Parameter!$F$35:$G$64,2,0),2)),IF(OR(CC1490="Nein",CC1490=""),"-",CC1490))))</f>
        <v>3</v>
      </c>
      <c r="AA1490" s="55"/>
      <c r="AB1490" s="56"/>
      <c r="AC1490" s="50" t="n">
        <f aca="false">AV1490</f>
        <v>10</v>
      </c>
      <c r="AD1490" s="50" t="n">
        <f aca="false">MAX(AV1490,H1490)</f>
        <v>34</v>
      </c>
      <c r="AE1490" s="57"/>
      <c r="AF1490" s="50" t="n">
        <f aca="false">IF(LEFT(Cockpit!$C$5,1)="A",H1490,IF(Parameter!$E$30="MAX-Bestand",IF(CH1490=1,CI1490,IF(LEFT(Cockpit!$C$5,1)="B",AL1490,MAX(AL1490,H1490))),ROUNDUP(AJ1490,0)))</f>
        <v>34</v>
      </c>
      <c r="AG1490" s="50" t="n">
        <f aca="false">IF(BZ1490=1,0,ROUNDUP(AF1490/BY1490,0))</f>
        <v>1</v>
      </c>
      <c r="AH1490" s="52" t="n">
        <f aca="false">IF(CQ1490&gt;0,CQ1490*MAX(1,AF1490/X1490),IF(BZ1490=1,IF(AF1490&lt;=0,0,CD1490*MAX(1,IF(H1490&gt;0,AF1490/H1490,1))),IF(R1490&gt;0,AG1490/R1490,0))/MAX(0.1,N(Parameter!$M$21)))</f>
        <v>0.0192307692307692</v>
      </c>
      <c r="AI1490" s="50" t="n">
        <f aca="false">AH1490*CB1490</f>
        <v>2.98076923076923</v>
      </c>
      <c r="AJ1490" s="51" t="n">
        <f aca="false">IF(LEFT(Cockpit!$C$5,1)="A",H1490,IF(CH1490=1,(CK1490+CI1490)/2,IF(LEFT(Cockpit!$C$5,1)="B",(CK1490+AL1490)/2,MAX((CK1490+AL1490)/2,H1490))))</f>
        <v>34</v>
      </c>
      <c r="AK1490" s="50" t="n">
        <f aca="false">AJ1490*G1490</f>
        <v>131.92</v>
      </c>
      <c r="AL1490" s="50" t="n">
        <f aca="false">ROUNDUP(CK1490+MAX(CL1490,2*(J1490/IF(CG1490&gt;0,CG1490,MAX(0.1,N(Cockpit!$C$6)))-CK1490)),0)</f>
        <v>10</v>
      </c>
      <c r="AM1490" s="51" t="n">
        <f aca="false">IF(AI1490&gt;0,J1490/AI1490,-1)</f>
        <v>0</v>
      </c>
      <c r="AN1490" s="51" t="n">
        <f aca="false">IF(AND(OR(CF1490="L1",CF1490="L23",CF1490="LIFT"),AI1490&gt;0),SUMIFS($AI$7:$AI$1843,$CF$7:$CF$1843,CF1490,$AM$7:$AM$1843,"&gt;"&amp;AM1490)+SUMIFS($AI$7:$AI$1843,$CF$7:$CF$1843,CF1490,$AM$7:$AM$1843,AM1490,$BW$7:$BW$1843,"&lt;="&amp;BW1490),"")</f>
        <v>29770.7411555017</v>
      </c>
      <c r="AO1490" s="58" t="n">
        <f aca="false">IF(AN1490="",0,MAX(0,MIN(1,(IF(CF1490="L1",Parameter!$H$5,IF(CF1490="L23",Parameter!$H$6+Parameter!$H$7,Parameter!$H$5+Parameter!$H$6+Parameter!$H$7))-(AN1490-AI1490))/AI1490)))</f>
        <v>1</v>
      </c>
      <c r="AP1490" s="50" t="n">
        <f aca="false">IF(LEFT(Cockpit!$I$5,1)="A",H1490,IF(Parameter!$E$30="MAX-Bestand",IF(CH1490=1,CI1490,IF(LEFT(Cockpit!$I$5,1)="B",AV1490,MAX(AV1490,H1490))),ROUNDUP(AT1490,0)))</f>
        <v>34</v>
      </c>
      <c r="AQ1490" s="50" t="n">
        <f aca="false">IF(BZ1490=1,0,ROUNDUP(AP1490/BY1490,0))</f>
        <v>1</v>
      </c>
      <c r="AR1490" s="52" t="n">
        <f aca="false">IF(CQ1490&gt;0,CQ1490*MAX(1,AP1490/X1490),IF(BZ1490=1,IF(AP1490&lt;=0,0,CD1490*MAX(1,IF(H1490&gt;0,AP1490/H1490,1))),IF(R1490&gt;0,AQ1490/R1490,0))/MAX(0.1,N(Parameter!$M$21)))</f>
        <v>0.0192307692307692</v>
      </c>
      <c r="AS1490" s="50" t="n">
        <f aca="false">AR1490*CB1490</f>
        <v>2.98076923076923</v>
      </c>
      <c r="AT1490" s="51" t="n">
        <f aca="false">IF(LEFT(Cockpit!$I$5,1)="A",H1490,IF(CH1490=1,(CK1490+CI1490)/2,IF(LEFT(Cockpit!$I$5,1)="B",(CK1490+AV1490)/2,MAX((CK1490+AV1490)/2,H1490))))</f>
        <v>34</v>
      </c>
      <c r="AU1490" s="50" t="n">
        <f aca="false">AT1490*G1490</f>
        <v>131.92</v>
      </c>
      <c r="AV1490" s="50" t="n">
        <f aca="false">ROUNDUP(CK1490+MAX(CL1490,2*(J1490/IF(CG1490&gt;0,CG1490,MAX(0.1,N(Cockpit!$I$6)))-CK1490)),0)</f>
        <v>10</v>
      </c>
      <c r="AW1490" s="51" t="n">
        <f aca="false">IF(AS1490&gt;0,J1490/AS1490,-1)</f>
        <v>0</v>
      </c>
      <c r="AX1490" s="51" t="n">
        <f aca="false">IF(AND(OR(CF1490="L1",CF1490="L23",CF1490="LIFT"),AS1490&gt;0),SUMIFS($AS$7:$AS$1843,$CF$7:$CF$1843,CF1490,$AW$7:$AW$1843,"&gt;"&amp;AW1490)+SUMIFS($AS$7:$AS$1843,$CF$7:$CF$1843,CF1490,$AW$7:$AW$1843,AW1490,$BW$7:$BW$1843,"&lt;="&amp;BW1490),"")</f>
        <v>36077.3119580514</v>
      </c>
      <c r="AY1490" s="58" t="n">
        <f aca="false">IF(AX1490="",0,MAX(0,MIN(1,(IF(CF1490="L1",Parameter!$H$5,IF(CF1490="L23",Parameter!$H$6+Parameter!$H$7,Parameter!$H$5+Parameter!$H$6+Parameter!$H$7))-(AX1490-AS1490))/AS1490)))</f>
        <v>0</v>
      </c>
      <c r="AZ1490" s="50" t="n">
        <f aca="false">IF(LEFT(Cockpit!$O$5,1)="A",H1490,IF(Parameter!$E$30="MAX-Bestand",IF(CH1490=1,CI1490,IF(LEFT(Cockpit!$O$5,1)="B",BF1490,MAX(BF1490,H1490))),ROUNDUP(BD1490,0)))</f>
        <v>5</v>
      </c>
      <c r="BA1490" s="50" t="n">
        <f aca="false">IF(BZ1490=1,0,ROUNDUP(AZ1490/BY1490,0))</f>
        <v>1</v>
      </c>
      <c r="BB1490" s="52" t="n">
        <f aca="false">IF(CQ1490&gt;0,CQ1490*MAX(1,AZ1490/X1490),IF(BZ1490=1,IF(AZ1490&lt;=0,0,CD1490*MAX(1,IF(H1490&gt;0,AZ1490/H1490,1))),IF(R1490&gt;0,BA1490/R1490,0))/MAX(0.1,N(Parameter!$M$21)))</f>
        <v>0.0192307692307692</v>
      </c>
      <c r="BC1490" s="50" t="n">
        <f aca="false">BB1490*CB1490</f>
        <v>2.98076923076923</v>
      </c>
      <c r="BD1490" s="51" t="n">
        <f aca="false">IF(LEFT(Cockpit!$O$5,1)="A",H1490,IF(CH1490=1,(CK1490+CI1490)/2,IF(LEFT(Cockpit!$O$5,1)="B",(CK1490+BF1490)/2,MAX((CK1490+BF1490)/2,H1490))))</f>
        <v>5</v>
      </c>
      <c r="BE1490" s="50" t="n">
        <f aca="false">BD1490*G1490</f>
        <v>19.4</v>
      </c>
      <c r="BF1490" s="50" t="n">
        <f aca="false">ROUNDUP(CK1490+MAX(CL1490,2*(J1490/IF(CG1490&gt;0,CG1490,MAX(0.1,N(Cockpit!$O$6)))-CK1490)),0)</f>
        <v>10</v>
      </c>
      <c r="BG1490" s="51" t="n">
        <f aca="false">IF(BC1490&gt;0,J1490/BC1490,-1)</f>
        <v>0</v>
      </c>
      <c r="BH1490" s="51" t="n">
        <f aca="false">IF(AND(OR(CF1490="L1",CF1490="L23",CF1490="LIFT"),BC1490&gt;0),SUMIFS($BC$7:$BC$1843,$CF$7:$CF$1843,CF1490,$BG$7:$BG$1843,"&gt;"&amp;BG1490)+SUMIFS($BC$7:$BC$1843,$CF$7:$CF$1843,CF1490,$BG$7:$BG$1843,BG1490,$BW$7:$BW$1843,"&lt;="&amp;BW1490),"")</f>
        <v>30062.6186181991</v>
      </c>
      <c r="BI1490" s="58" t="n">
        <f aca="false">IF(BH1490="",0,MAX(0,MIN(1,(IF(CF1490="L1",Parameter!$H$5,IF(CF1490="L23",Parameter!$H$6+Parameter!$H$7,Parameter!$H$5+Parameter!$H$6+Parameter!$H$7))-(BH1490-BC1490))/BC1490)))</f>
        <v>1</v>
      </c>
      <c r="BJ1490" s="48" t="str">
        <f aca="false">IF(AI1490&lt;=0,"",IF(CF1490="Aussen","Aussenlager",IF(CF1490="-","Nicht im Lift",IF(AO1490&gt;=1,"Lift",IF(AO1490&lt;=0,"Aussenlager","teilweise")))))</f>
        <v>Lift</v>
      </c>
      <c r="BK1490" s="48" t="str">
        <f aca="false">IF(AS1490&lt;=0,"",IF(CF1490="Aussen","Aussenlager",IF(CF1490="-","Nicht im Lift",IF(AY1490&gt;=1,"Lift",IF(AY1490&lt;=0,"Aussenlager","teilweise")))))</f>
        <v>Aussenlager</v>
      </c>
      <c r="BL1490" s="48" t="str">
        <f aca="false">IF(BC1490&lt;=0,"",IF(CF1490="Aussen","Aussenlager",IF(CF1490="-","Nicht im Lift",IF(BI1490&gt;=1,"Lift",IF(BI1490&lt;=0,"Aussenlager","teilweise")))))</f>
        <v>Lift</v>
      </c>
      <c r="BM1490" s="48" t="str">
        <f aca="false">IF(A1490="","",IF(BV1490=1,"Neu; ","")&amp;IF(AND(BV1490=0,BQ1490&lt;0),"negativer Bestand (Export "&amp;BQ1490&amp;"); ","")&amp;IF(J1490&lt;=0,"Kein Verbrauch; ","")&amp;IF(CQ1490&gt;0,"Lift "&amp;W1490&amp;" lt. Liftbericht (Fach "&amp;X1490&amp;" Stk); ",IF(CA1490=1,"Gebinde geschätzt ("&amp;T1490&amp;"); ",IF(BZ1490=1,"Lose – Tablare geschätzt; ","")))&amp;IF(H1490&gt;AV1490,"Überbestand "&amp;ROUND(H1490-AV1490,0)&amp;" Stk / CHF "&amp;ROUND((H1490-AV1490)*G1490,0)&amp;"; ","")&amp;IF(AND(CH1490=1,CI1490&lt;CJ1490),"MAX &lt; MB+LG; ","")&amp;IF(AND(CP1490&gt;0,CO1490*10&gt;CP1490),"zu hoch für Tablar; ","")&amp;IF(AND(BV1490=0,OR(CH1490=1,AA1490&lt;&gt;"",U1490&lt;&gt;"",V1490&lt;&gt;"",AB1490&lt;&gt;"")),"manuell übersteuert; ","")&amp;IF(AND(BZ1490=0,R1490=0),"Gebinde unbekannt / Stellmass fehlt; ","")&amp;IF(AND(BZ1490=0,N(V1490)&lt;=0,N(Q1490)&lt;=0),"Menge pro Gebinde fehlt (Ist = 1 Gebinde); ","")&amp;BU1490)</f>
        <v>Kein Verbrauch; Überbestand 24 Stk / CHF 93; nur im Artikelstamm (Bestand 23.06.2026)</v>
      </c>
      <c r="BN1490" s="48"/>
      <c r="BO1490" s="48"/>
      <c r="BP1490" s="55"/>
      <c r="BQ1490" s="50" t="n">
        <v>34</v>
      </c>
      <c r="BR1490" s="50" t="n">
        <v>0</v>
      </c>
      <c r="BS1490" s="49" t="n">
        <v>0</v>
      </c>
      <c r="BT1490" s="50" t="n">
        <v>0</v>
      </c>
      <c r="BU1490" s="48" t="s">
        <v>2584</v>
      </c>
      <c r="BV1490" s="53" t="n">
        <v>0</v>
      </c>
      <c r="BW1490" s="53" t="n">
        <v>1490</v>
      </c>
      <c r="BX1490" s="48" t="str">
        <f aca="false">IF(U1490&lt;&gt;"",UPPER(TRIM(U1490)),IF(CA1490=1,UPPER(VLOOKUP(T1490,Parameter!$I$27:$K$29,2,0)),IF(P1490="","LOSE",P1490)))</f>
        <v>S33</v>
      </c>
      <c r="BY1490" s="50" t="n">
        <f aca="false">IF(BX1490="LOSE",1,IF(N(V1490)&gt;0,V1490,IF(CA1490=1,MAX(1,N(VLOOKUP(T1490,Parameter!$I$27:$K$29,3,0)),H1490,N(N1490)),IF(N(Q1490)&gt;0,Q1490,MAX(1,H1490)))))</f>
        <v>34</v>
      </c>
      <c r="BZ1490" s="53" t="n">
        <f aca="false">IF(BX1490="LOSE",1,0)</f>
        <v>0</v>
      </c>
      <c r="CA1490" s="53" t="n">
        <f aca="false">IF(AND(U1490="",OR(P1490="",P1490="LOSE"),T1490&lt;&gt;"",N(S1490)&lt;=0,ISNUMBER(MATCH(T1490,Parameter!$I$27:$I$29,0))),1,0)</f>
        <v>0</v>
      </c>
      <c r="CB1490" s="53" t="n">
        <f aca="false">IF(CQ1490&gt;0,INDEX(Parameter!$H$5:$H$7,W1490)/INDEX(Parameter!$E$5:$E$7,W1490),IF(AND(BZ1490=0,N(IFERROR(VLOOKUP(BX1490,'Gebinde-Kategorie'!$A$5:$N$45,14,0),0))&gt;0),VLOOKUP(BX1490,'Gebinde-Kategorie'!$A$5:$N$45,14,0)*10+Parameter!$M$23,Parameter!$M$24))</f>
        <v>155</v>
      </c>
      <c r="CC1490" s="48" t="str">
        <f aca="false">IF(AND(Parameter!$B$19="Ja",E1490&lt;&gt;"",ISNUMBER(MATCH(E1490,Parameter!$I$35:$I$52,0))),VLOOKUP(E1490,Parameter!$I$35:$J$52,2,0),IFERROR(VLOOKUP(D1490,Parameter!$A$35:$C$64,2,0),"Nein"))</f>
        <v>2+3</v>
      </c>
      <c r="CD1490" s="52" t="n">
        <f aca="false">IF(BZ1490=0,0,IF(N(S1490)&gt;0,S1490,IFERROR(VLOOKUP(D1490,Parameter!$A$35:$C$64,3,0)+0,0)))</f>
        <v>0</v>
      </c>
      <c r="CE1490" s="48" t="n">
        <f aca="false">IF(AA1490&lt;&gt;"",AA1490,Z1490)</f>
        <v>3</v>
      </c>
      <c r="CF1490" s="48" t="str">
        <f aca="false">IF(OR(CE1490=1,CE1490=2,CE1490=3),IF(Parameter!$E$27="Ja","LIFT",IF(CE1490=1,"L1","L23")),IF(CE1490="Aussen","Aussen","-"))</f>
        <v>LIFT</v>
      </c>
      <c r="CG1490" s="59" t="n">
        <f aca="false">IF(N(AB1490)&gt;0,AB1490,0)</f>
        <v>0</v>
      </c>
      <c r="CH1490" s="53" t="n">
        <f aca="false">IF(ISNUMBER(AE1490),1,0)</f>
        <v>0</v>
      </c>
      <c r="CI1490" s="50" t="n">
        <f aca="false">N(AE1490)</f>
        <v>0</v>
      </c>
      <c r="CJ1490" s="50" t="n">
        <f aca="false">N(M1490)+N(N1490)</f>
        <v>10</v>
      </c>
      <c r="CK1490" s="50" t="n">
        <f aca="false">N(M1490)</f>
        <v>0</v>
      </c>
      <c r="CL1490" s="50" t="n">
        <f aca="false">N(N1490)</f>
        <v>10</v>
      </c>
      <c r="CM1490" s="50" t="n">
        <f aca="false">ROUNDUP(H1490/BY1490,0)</f>
        <v>1</v>
      </c>
      <c r="CN1490" s="50" t="n">
        <f aca="false">ROUNDUP(CI1490/BY1490,0)</f>
        <v>0</v>
      </c>
      <c r="CO1490" s="53" t="n">
        <f aca="false">IF(BZ1490=1,0,IFERROR(VLOOKUP(BX1490,'Gebinde-Kategorie'!$A$5:$N$45,5,0)+0,0))</f>
        <v>8</v>
      </c>
      <c r="CP1490" s="53" t="n">
        <f aca="false">IFERROR(IF(OR(CE1490=1,CE1490=2,CE1490=3),N(INDEX(Parameter!$I$5:$I$7,CE1490)),0),0)</f>
        <v>0</v>
      </c>
      <c r="CQ1490" s="52" t="n">
        <f aca="false">IF(AND(Parameter!$B$21="Ja",ISNUMBER(W1490),N(X1490)&gt;0),IFERROR(N(INDEX(Parameter!$L$5:$L$7,W1490))*INDEX(Parameter!$E$5:$E$7,W1490)*X1490/SUMIFS($X$7:$X$1843,$W$7:$W$1843,W1490),0),0)</f>
        <v>0</v>
      </c>
    </row>
    <row r="1491" customFormat="false" ht="15" hidden="false" customHeight="false" outlineLevel="0" collapsed="false">
      <c r="A1491" s="48" t="s">
        <v>2615</v>
      </c>
      <c r="B1491" s="48" t="s">
        <v>2616</v>
      </c>
      <c r="C1491" s="48" t="s">
        <v>173</v>
      </c>
      <c r="D1491" s="48" t="s">
        <v>193</v>
      </c>
      <c r="E1491" s="48" t="s">
        <v>194</v>
      </c>
      <c r="F1491" s="48"/>
      <c r="G1491" s="49" t="n">
        <v>96.34</v>
      </c>
      <c r="H1491" s="50" t="n">
        <f aca="false">MAX(0,IF(AND(Parameter!$B$21="Ja",ISNUMBER(Y1491)),Y1491,IF(Parameter!$B$20="Jahresanfang 2025 + Export",BR1491+BQ1491,BQ1491)))</f>
        <v>8</v>
      </c>
      <c r="I1491" s="50" t="n">
        <f aca="false">H1491*G1491</f>
        <v>770.72</v>
      </c>
      <c r="J1491" s="50" t="n">
        <f aca="false">BT1491*Parameter!$B$18</f>
        <v>0</v>
      </c>
      <c r="K1491" s="51"/>
      <c r="L1491" s="52"/>
      <c r="M1491" s="50" t="n">
        <v>0</v>
      </c>
      <c r="N1491" s="50" t="n">
        <v>5</v>
      </c>
      <c r="O1491" s="53" t="n">
        <v>168</v>
      </c>
      <c r="P1491" s="48" t="s">
        <v>311</v>
      </c>
      <c r="Q1491" s="50" t="n">
        <v>8</v>
      </c>
      <c r="R1491" s="53" t="n">
        <f aca="false">IF(BZ1491=1,0,IFERROR(VLOOKUP(BX1491,'Gebinde-Kategorie'!$A$5:$N$45,13,0)+0,0))</f>
        <v>26</v>
      </c>
      <c r="S1491" s="54"/>
      <c r="T1491" s="55"/>
      <c r="U1491" s="55"/>
      <c r="V1491" s="55"/>
      <c r="W1491" s="48"/>
      <c r="X1491" s="50"/>
      <c r="Y1491" s="50"/>
      <c r="Z1491" s="48" t="n">
        <f aca="false">IF(A1491="","",IF(AND(Parameter!$B$21="Ja",ISNUMBER(W1491)),W1491,IF(CC1491="2+3",IF(ISNUMBER(SEARCH("grosser Artikel",BU1491)),2,IFERROR(VLOOKUP(BX1491,Parameter!$F$35:$G$64,2,0),2)),IF(OR(CC1491="Nein",CC1491=""),"-",CC1491))))</f>
        <v>3</v>
      </c>
      <c r="AA1491" s="55"/>
      <c r="AB1491" s="56"/>
      <c r="AC1491" s="50" t="n">
        <f aca="false">AV1491</f>
        <v>5</v>
      </c>
      <c r="AD1491" s="50" t="n">
        <f aca="false">MAX(AV1491,H1491)</f>
        <v>8</v>
      </c>
      <c r="AE1491" s="57"/>
      <c r="AF1491" s="50" t="n">
        <f aca="false">IF(LEFT(Cockpit!$C$5,1)="A",H1491,IF(Parameter!$E$30="MAX-Bestand",IF(CH1491=1,CI1491,IF(LEFT(Cockpit!$C$5,1)="B",AL1491,MAX(AL1491,H1491))),ROUNDUP(AJ1491,0)))</f>
        <v>8</v>
      </c>
      <c r="AG1491" s="50" t="n">
        <f aca="false">IF(BZ1491=1,0,ROUNDUP(AF1491/BY1491,0))</f>
        <v>1</v>
      </c>
      <c r="AH1491" s="52" t="n">
        <f aca="false">IF(CQ1491&gt;0,CQ1491*MAX(1,AF1491/X1491),IF(BZ1491=1,IF(AF1491&lt;=0,0,CD1491*MAX(1,IF(H1491&gt;0,AF1491/H1491,1))),IF(R1491&gt;0,AG1491/R1491,0))/MAX(0.1,N(Parameter!$M$21)))</f>
        <v>0.0384615384615385</v>
      </c>
      <c r="AI1491" s="50" t="n">
        <f aca="false">AH1491*CB1491</f>
        <v>5.96153846153846</v>
      </c>
      <c r="AJ1491" s="51" t="n">
        <f aca="false">IF(LEFT(Cockpit!$C$5,1)="A",H1491,IF(CH1491=1,(CK1491+CI1491)/2,IF(LEFT(Cockpit!$C$5,1)="B",(CK1491+AL1491)/2,MAX((CK1491+AL1491)/2,H1491))))</f>
        <v>8</v>
      </c>
      <c r="AK1491" s="50" t="n">
        <f aca="false">AJ1491*G1491</f>
        <v>770.72</v>
      </c>
      <c r="AL1491" s="50" t="n">
        <f aca="false">ROUNDUP(CK1491+MAX(CL1491,2*(J1491/IF(CG1491&gt;0,CG1491,MAX(0.1,N(Cockpit!$C$6)))-CK1491)),0)</f>
        <v>5</v>
      </c>
      <c r="AM1491" s="51" t="n">
        <f aca="false">IF(AI1491&gt;0,J1491/AI1491,-1)</f>
        <v>0</v>
      </c>
      <c r="AN1491" s="51" t="n">
        <f aca="false">IF(AND(OR(CF1491="L1",CF1491="L23",CF1491="LIFT"),AI1491&gt;0),SUMIFS($AI$7:$AI$1843,$CF$7:$CF$1843,CF1491,$AM$7:$AM$1843,"&gt;"&amp;AM1491)+SUMIFS($AI$7:$AI$1843,$CF$7:$CF$1843,CF1491,$AM$7:$AM$1843,AM1491,$BW$7:$BW$1843,"&lt;="&amp;BW1491),"")</f>
        <v>29776.7026939633</v>
      </c>
      <c r="AO1491" s="58" t="n">
        <f aca="false">IF(AN1491="",0,MAX(0,MIN(1,(IF(CF1491="L1",Parameter!$H$5,IF(CF1491="L23",Parameter!$H$6+Parameter!$H$7,Parameter!$H$5+Parameter!$H$6+Parameter!$H$7))-(AN1491-AI1491))/AI1491)))</f>
        <v>1</v>
      </c>
      <c r="AP1491" s="50" t="n">
        <f aca="false">IF(LEFT(Cockpit!$I$5,1)="A",H1491,IF(Parameter!$E$30="MAX-Bestand",IF(CH1491=1,CI1491,IF(LEFT(Cockpit!$I$5,1)="B",AV1491,MAX(AV1491,H1491))),ROUNDUP(AT1491,0)))</f>
        <v>8</v>
      </c>
      <c r="AQ1491" s="50" t="n">
        <f aca="false">IF(BZ1491=1,0,ROUNDUP(AP1491/BY1491,0))</f>
        <v>1</v>
      </c>
      <c r="AR1491" s="52" t="n">
        <f aca="false">IF(CQ1491&gt;0,CQ1491*MAX(1,AP1491/X1491),IF(BZ1491=1,IF(AP1491&lt;=0,0,CD1491*MAX(1,IF(H1491&gt;0,AP1491/H1491,1))),IF(R1491&gt;0,AQ1491/R1491,0))/MAX(0.1,N(Parameter!$M$21)))</f>
        <v>0.0384615384615385</v>
      </c>
      <c r="AS1491" s="50" t="n">
        <f aca="false">AR1491*CB1491</f>
        <v>5.96153846153846</v>
      </c>
      <c r="AT1491" s="51" t="n">
        <f aca="false">IF(LEFT(Cockpit!$I$5,1)="A",H1491,IF(CH1491=1,(CK1491+CI1491)/2,IF(LEFT(Cockpit!$I$5,1)="B",(CK1491+AV1491)/2,MAX((CK1491+AV1491)/2,H1491))))</f>
        <v>8</v>
      </c>
      <c r="AU1491" s="50" t="n">
        <f aca="false">AT1491*G1491</f>
        <v>770.72</v>
      </c>
      <c r="AV1491" s="50" t="n">
        <f aca="false">ROUNDUP(CK1491+MAX(CL1491,2*(J1491/IF(CG1491&gt;0,CG1491,MAX(0.1,N(Cockpit!$I$6)))-CK1491)),0)</f>
        <v>5</v>
      </c>
      <c r="AW1491" s="51" t="n">
        <f aca="false">IF(AS1491&gt;0,J1491/AS1491,-1)</f>
        <v>0</v>
      </c>
      <c r="AX1491" s="51" t="n">
        <f aca="false">IF(AND(OR(CF1491="L1",CF1491="L23",CF1491="LIFT"),AS1491&gt;0),SUMIFS($AS$7:$AS$1843,$CF$7:$CF$1843,CF1491,$AW$7:$AW$1843,"&gt;"&amp;AW1491)+SUMIFS($AS$7:$AS$1843,$CF$7:$CF$1843,CF1491,$AW$7:$AW$1843,AW1491,$BW$7:$BW$1843,"&lt;="&amp;BW1491),"")</f>
        <v>36083.2734965129</v>
      </c>
      <c r="AY1491" s="58" t="n">
        <f aca="false">IF(AX1491="",0,MAX(0,MIN(1,(IF(CF1491="L1",Parameter!$H$5,IF(CF1491="L23",Parameter!$H$6+Parameter!$H$7,Parameter!$H$5+Parameter!$H$6+Parameter!$H$7))-(AX1491-AS1491))/AS1491)))</f>
        <v>0</v>
      </c>
      <c r="AZ1491" s="50" t="n">
        <f aca="false">IF(LEFT(Cockpit!$O$5,1)="A",H1491,IF(Parameter!$E$30="MAX-Bestand",IF(CH1491=1,CI1491,IF(LEFT(Cockpit!$O$5,1)="B",BF1491,MAX(BF1491,H1491))),ROUNDUP(BD1491,0)))</f>
        <v>3</v>
      </c>
      <c r="BA1491" s="50" t="n">
        <f aca="false">IF(BZ1491=1,0,ROUNDUP(AZ1491/BY1491,0))</f>
        <v>1</v>
      </c>
      <c r="BB1491" s="52" t="n">
        <f aca="false">IF(CQ1491&gt;0,CQ1491*MAX(1,AZ1491/X1491),IF(BZ1491=1,IF(AZ1491&lt;=0,0,CD1491*MAX(1,IF(H1491&gt;0,AZ1491/H1491,1))),IF(R1491&gt;0,BA1491/R1491,0))/MAX(0.1,N(Parameter!$M$21)))</f>
        <v>0.0384615384615385</v>
      </c>
      <c r="BC1491" s="50" t="n">
        <f aca="false">BB1491*CB1491</f>
        <v>5.96153846153846</v>
      </c>
      <c r="BD1491" s="51" t="n">
        <f aca="false">IF(LEFT(Cockpit!$O$5,1)="A",H1491,IF(CH1491=1,(CK1491+CI1491)/2,IF(LEFT(Cockpit!$O$5,1)="B",(CK1491+BF1491)/2,MAX((CK1491+BF1491)/2,H1491))))</f>
        <v>2.5</v>
      </c>
      <c r="BE1491" s="50" t="n">
        <f aca="false">BD1491*G1491</f>
        <v>240.85</v>
      </c>
      <c r="BF1491" s="50" t="n">
        <f aca="false">ROUNDUP(CK1491+MAX(CL1491,2*(J1491/IF(CG1491&gt;0,CG1491,MAX(0.1,N(Cockpit!$O$6)))-CK1491)),0)</f>
        <v>5</v>
      </c>
      <c r="BG1491" s="51" t="n">
        <f aca="false">IF(BC1491&gt;0,J1491/BC1491,-1)</f>
        <v>0</v>
      </c>
      <c r="BH1491" s="51" t="n">
        <f aca="false">IF(AND(OR(CF1491="L1",CF1491="L23",CF1491="LIFT"),BC1491&gt;0),SUMIFS($BC$7:$BC$1843,$CF$7:$CF$1843,CF1491,$BG$7:$BG$1843,"&gt;"&amp;BG1491)+SUMIFS($BC$7:$BC$1843,$CF$7:$CF$1843,CF1491,$BG$7:$BG$1843,BG1491,$BW$7:$BW$1843,"&lt;="&amp;BW1491),"")</f>
        <v>30068.5801566607</v>
      </c>
      <c r="BI1491" s="58" t="n">
        <f aca="false">IF(BH1491="",0,MAX(0,MIN(1,(IF(CF1491="L1",Parameter!$H$5,IF(CF1491="L23",Parameter!$H$6+Parameter!$H$7,Parameter!$H$5+Parameter!$H$6+Parameter!$H$7))-(BH1491-BC1491))/BC1491)))</f>
        <v>1</v>
      </c>
      <c r="BJ1491" s="48" t="str">
        <f aca="false">IF(AI1491&lt;=0,"",IF(CF1491="Aussen","Aussenlager",IF(CF1491="-","Nicht im Lift",IF(AO1491&gt;=1,"Lift",IF(AO1491&lt;=0,"Aussenlager","teilweise")))))</f>
        <v>Lift</v>
      </c>
      <c r="BK1491" s="48" t="str">
        <f aca="false">IF(AS1491&lt;=0,"",IF(CF1491="Aussen","Aussenlager",IF(CF1491="-","Nicht im Lift",IF(AY1491&gt;=1,"Lift",IF(AY1491&lt;=0,"Aussenlager","teilweise")))))</f>
        <v>Aussenlager</v>
      </c>
      <c r="BL1491" s="48" t="str">
        <f aca="false">IF(BC1491&lt;=0,"",IF(CF1491="Aussen","Aussenlager",IF(CF1491="-","Nicht im Lift",IF(BI1491&gt;=1,"Lift",IF(BI1491&lt;=0,"Aussenlager","teilweise")))))</f>
        <v>Lift</v>
      </c>
      <c r="BM1491" s="48" t="str">
        <f aca="false">IF(A1491="","",IF(BV1491=1,"Neu; ","")&amp;IF(AND(BV1491=0,BQ1491&lt;0),"negativer Bestand (Export "&amp;BQ1491&amp;"); ","")&amp;IF(J1491&lt;=0,"Kein Verbrauch; ","")&amp;IF(CQ1491&gt;0,"Lift "&amp;W1491&amp;" lt. Liftbericht (Fach "&amp;X1491&amp;" Stk); ",IF(CA1491=1,"Gebinde geschätzt ("&amp;T1491&amp;"); ",IF(BZ1491=1,"Lose – Tablare geschätzt; ","")))&amp;IF(H1491&gt;AV1491,"Überbestand "&amp;ROUND(H1491-AV1491,0)&amp;" Stk / CHF "&amp;ROUND((H1491-AV1491)*G1491,0)&amp;"; ","")&amp;IF(AND(CH1491=1,CI1491&lt;CJ1491),"MAX &lt; MB+LG; ","")&amp;IF(AND(CP1491&gt;0,CO1491*10&gt;CP1491),"zu hoch für Tablar; ","")&amp;IF(AND(BV1491=0,OR(CH1491=1,AA1491&lt;&gt;"",U1491&lt;&gt;"",V1491&lt;&gt;"",AB1491&lt;&gt;"")),"manuell übersteuert; ","")&amp;IF(AND(BZ1491=0,R1491=0),"Gebinde unbekannt / Stellmass fehlt; ","")&amp;IF(AND(BZ1491=0,N(V1491)&lt;=0,N(Q1491)&lt;=0),"Menge pro Gebinde fehlt (Ist = 1 Gebinde); ","")&amp;BU1491)</f>
        <v>Kein Verbrauch; Überbestand 3 Stk / CHF 289; nur im Artikelstamm (Bestand 23.06.2026)</v>
      </c>
      <c r="BN1491" s="48"/>
      <c r="BO1491" s="48"/>
      <c r="BP1491" s="55"/>
      <c r="BQ1491" s="50" t="n">
        <v>8</v>
      </c>
      <c r="BR1491" s="50" t="n">
        <v>0</v>
      </c>
      <c r="BS1491" s="49" t="n">
        <v>0</v>
      </c>
      <c r="BT1491" s="50" t="n">
        <v>0</v>
      </c>
      <c r="BU1491" s="48" t="s">
        <v>2584</v>
      </c>
      <c r="BV1491" s="53" t="n">
        <v>0</v>
      </c>
      <c r="BW1491" s="53" t="n">
        <v>1491</v>
      </c>
      <c r="BX1491" s="48" t="str">
        <f aca="false">IF(U1491&lt;&gt;"",UPPER(TRIM(U1491)),IF(CA1491=1,UPPER(VLOOKUP(T1491,Parameter!$I$27:$K$29,2,0)),IF(P1491="","LOSE",P1491)))</f>
        <v>S51</v>
      </c>
      <c r="BY1491" s="50" t="n">
        <f aca="false">IF(BX1491="LOSE",1,IF(N(V1491)&gt;0,V1491,IF(CA1491=1,MAX(1,N(VLOOKUP(T1491,Parameter!$I$27:$K$29,3,0)),H1491,N(N1491)),IF(N(Q1491)&gt;0,Q1491,MAX(1,H1491)))))</f>
        <v>8</v>
      </c>
      <c r="BZ1491" s="53" t="n">
        <f aca="false">IF(BX1491="LOSE",1,0)</f>
        <v>0</v>
      </c>
      <c r="CA1491" s="53" t="n">
        <f aca="false">IF(AND(U1491="",OR(P1491="",P1491="LOSE"),T1491&lt;&gt;"",N(S1491)&lt;=0,ISNUMBER(MATCH(T1491,Parameter!$I$27:$I$29,0))),1,0)</f>
        <v>0</v>
      </c>
      <c r="CB1491" s="53" t="n">
        <f aca="false">IF(CQ1491&gt;0,INDEX(Parameter!$H$5:$H$7,W1491)/INDEX(Parameter!$E$5:$E$7,W1491),IF(AND(BZ1491=0,N(IFERROR(VLOOKUP(BX1491,'Gebinde-Kategorie'!$A$5:$N$45,14,0),0))&gt;0),VLOOKUP(BX1491,'Gebinde-Kategorie'!$A$5:$N$45,14,0)*10+Parameter!$M$23,Parameter!$M$24))</f>
        <v>155</v>
      </c>
      <c r="CC1491" s="48" t="str">
        <f aca="false">IF(AND(Parameter!$B$19="Ja",E1491&lt;&gt;"",ISNUMBER(MATCH(E1491,Parameter!$I$35:$I$52,0))),VLOOKUP(E1491,Parameter!$I$35:$J$52,2,0),IFERROR(VLOOKUP(D1491,Parameter!$A$35:$C$64,2,0),"Nein"))</f>
        <v>2+3</v>
      </c>
      <c r="CD1491" s="52" t="n">
        <f aca="false">IF(BZ1491=0,0,IF(N(S1491)&gt;0,S1491,IFERROR(VLOOKUP(D1491,Parameter!$A$35:$C$64,3,0)+0,0)))</f>
        <v>0</v>
      </c>
      <c r="CE1491" s="48" t="n">
        <f aca="false">IF(AA1491&lt;&gt;"",AA1491,Z1491)</f>
        <v>3</v>
      </c>
      <c r="CF1491" s="48" t="str">
        <f aca="false">IF(OR(CE1491=1,CE1491=2,CE1491=3),IF(Parameter!$E$27="Ja","LIFT",IF(CE1491=1,"L1","L23")),IF(CE1491="Aussen","Aussen","-"))</f>
        <v>LIFT</v>
      </c>
      <c r="CG1491" s="59" t="n">
        <f aca="false">IF(N(AB1491)&gt;0,AB1491,0)</f>
        <v>0</v>
      </c>
      <c r="CH1491" s="53" t="n">
        <f aca="false">IF(ISNUMBER(AE1491),1,0)</f>
        <v>0</v>
      </c>
      <c r="CI1491" s="50" t="n">
        <f aca="false">N(AE1491)</f>
        <v>0</v>
      </c>
      <c r="CJ1491" s="50" t="n">
        <f aca="false">N(M1491)+N(N1491)</f>
        <v>5</v>
      </c>
      <c r="CK1491" s="50" t="n">
        <f aca="false">N(M1491)</f>
        <v>0</v>
      </c>
      <c r="CL1491" s="50" t="n">
        <f aca="false">N(N1491)</f>
        <v>5</v>
      </c>
      <c r="CM1491" s="50" t="n">
        <f aca="false">ROUNDUP(H1491/BY1491,0)</f>
        <v>1</v>
      </c>
      <c r="CN1491" s="50" t="n">
        <f aca="false">ROUNDUP(CI1491/BY1491,0)</f>
        <v>0</v>
      </c>
      <c r="CO1491" s="53" t="n">
        <f aca="false">IF(BZ1491=1,0,IFERROR(VLOOKUP(BX1491,'Gebinde-Kategorie'!$A$5:$N$45,5,0)+0,0))</f>
        <v>11</v>
      </c>
      <c r="CP1491" s="53" t="n">
        <f aca="false">IFERROR(IF(OR(CE1491=1,CE1491=2,CE1491=3),N(INDEX(Parameter!$I$5:$I$7,CE1491)),0),0)</f>
        <v>0</v>
      </c>
      <c r="CQ1491" s="52" t="n">
        <f aca="false">IF(AND(Parameter!$B$21="Ja",ISNUMBER(W1491),N(X1491)&gt;0),IFERROR(N(INDEX(Parameter!$L$5:$L$7,W1491))*INDEX(Parameter!$E$5:$E$7,W1491)*X1491/SUMIFS($X$7:$X$1843,$W$7:$W$1843,W1491),0),0)</f>
        <v>0</v>
      </c>
    </row>
    <row r="1492" customFormat="false" ht="15" hidden="false" customHeight="false" outlineLevel="0" collapsed="false">
      <c r="A1492" s="48" t="s">
        <v>2617</v>
      </c>
      <c r="B1492" s="48" t="s">
        <v>1873</v>
      </c>
      <c r="C1492" s="48" t="s">
        <v>173</v>
      </c>
      <c r="D1492" s="48" t="s">
        <v>182</v>
      </c>
      <c r="E1492" s="48" t="s">
        <v>194</v>
      </c>
      <c r="F1492" s="48"/>
      <c r="G1492" s="49" t="n">
        <v>27.41</v>
      </c>
      <c r="H1492" s="50" t="n">
        <f aca="false">MAX(0,IF(AND(Parameter!$B$21="Ja",ISNUMBER(Y1492)),Y1492,IF(Parameter!$B$20="Jahresanfang 2025 + Export",BR1492+BQ1492,BQ1492)))</f>
        <v>10</v>
      </c>
      <c r="I1492" s="50" t="n">
        <f aca="false">H1492*G1492</f>
        <v>274.1</v>
      </c>
      <c r="J1492" s="50" t="n">
        <f aca="false">BT1492*Parameter!$B$18</f>
        <v>0</v>
      </c>
      <c r="K1492" s="51"/>
      <c r="L1492" s="52"/>
      <c r="M1492" s="50" t="n">
        <v>0</v>
      </c>
      <c r="N1492" s="50" t="n">
        <v>1</v>
      </c>
      <c r="O1492" s="53" t="n">
        <v>0</v>
      </c>
      <c r="P1492" s="48" t="s">
        <v>302</v>
      </c>
      <c r="Q1492" s="50" t="n">
        <v>10</v>
      </c>
      <c r="R1492" s="53" t="n">
        <f aca="false">IF(BZ1492=1,0,IFERROR(VLOOKUP(BX1492,'Gebinde-Kategorie'!$A$5:$N$45,13,0)+0,0))</f>
        <v>12</v>
      </c>
      <c r="S1492" s="54"/>
      <c r="T1492" s="55"/>
      <c r="U1492" s="55"/>
      <c r="V1492" s="55"/>
      <c r="W1492" s="48"/>
      <c r="X1492" s="50"/>
      <c r="Y1492" s="50"/>
      <c r="Z1492" s="48" t="n">
        <f aca="false">IF(A1492="","",IF(AND(Parameter!$B$21="Ja",ISNUMBER(W1492)),W1492,IF(CC1492="2+3",IF(ISNUMBER(SEARCH("grosser Artikel",BU1492)),2,IFERROR(VLOOKUP(BX1492,Parameter!$F$35:$G$64,2,0),2)),IF(OR(CC1492="Nein",CC1492=""),"-",CC1492))))</f>
        <v>2</v>
      </c>
      <c r="AA1492" s="55"/>
      <c r="AB1492" s="56"/>
      <c r="AC1492" s="50" t="n">
        <f aca="false">AV1492</f>
        <v>1</v>
      </c>
      <c r="AD1492" s="50" t="n">
        <f aca="false">MAX(AV1492,H1492)</f>
        <v>10</v>
      </c>
      <c r="AE1492" s="57"/>
      <c r="AF1492" s="50" t="n">
        <f aca="false">IF(LEFT(Cockpit!$C$5,1)="A",H1492,IF(Parameter!$E$30="MAX-Bestand",IF(CH1492=1,CI1492,IF(LEFT(Cockpit!$C$5,1)="B",AL1492,MAX(AL1492,H1492))),ROUNDUP(AJ1492,0)))</f>
        <v>10</v>
      </c>
      <c r="AG1492" s="50" t="n">
        <f aca="false">IF(BZ1492=1,0,ROUNDUP(AF1492/BY1492,0))</f>
        <v>1</v>
      </c>
      <c r="AH1492" s="52" t="n">
        <f aca="false">IF(CQ1492&gt;0,CQ1492*MAX(1,AF1492/X1492),IF(BZ1492=1,IF(AF1492&lt;=0,0,CD1492*MAX(1,IF(H1492&gt;0,AF1492/H1492,1))),IF(R1492&gt;0,AG1492/R1492,0))/MAX(0.1,N(Parameter!$M$21)))</f>
        <v>0.0833333333333333</v>
      </c>
      <c r="AI1492" s="50" t="n">
        <f aca="false">AH1492*CB1492</f>
        <v>20.4166666666667</v>
      </c>
      <c r="AJ1492" s="51" t="n">
        <f aca="false">IF(LEFT(Cockpit!$C$5,1)="A",H1492,IF(CH1492=1,(CK1492+CI1492)/2,IF(LEFT(Cockpit!$C$5,1)="B",(CK1492+AL1492)/2,MAX((CK1492+AL1492)/2,H1492))))</f>
        <v>10</v>
      </c>
      <c r="AK1492" s="50" t="n">
        <f aca="false">AJ1492*G1492</f>
        <v>274.1</v>
      </c>
      <c r="AL1492" s="50" t="n">
        <f aca="false">ROUNDUP(CK1492+MAX(CL1492,2*(J1492/IF(CG1492&gt;0,CG1492,MAX(0.1,N(Cockpit!$C$6)))-CK1492)),0)</f>
        <v>1</v>
      </c>
      <c r="AM1492" s="51" t="n">
        <f aca="false">IF(AI1492&gt;0,J1492/AI1492,-1)</f>
        <v>0</v>
      </c>
      <c r="AN1492" s="51" t="n">
        <f aca="false">IF(AND(OR(CF1492="L1",CF1492="L23",CF1492="LIFT"),AI1492&gt;0),SUMIFS($AI$7:$AI$1843,$CF$7:$CF$1843,CF1492,$AM$7:$AM$1843,"&gt;"&amp;AM1492)+SUMIFS($AI$7:$AI$1843,$CF$7:$CF$1843,CF1492,$AM$7:$AM$1843,AM1492,$BW$7:$BW$1843,"&lt;="&amp;BW1492),"")</f>
        <v>29797.11936063</v>
      </c>
      <c r="AO1492" s="58" t="n">
        <f aca="false">IF(AN1492="",0,MAX(0,MIN(1,(IF(CF1492="L1",Parameter!$H$5,IF(CF1492="L23",Parameter!$H$6+Parameter!$H$7,Parameter!$H$5+Parameter!$H$6+Parameter!$H$7))-(AN1492-AI1492))/AI1492)))</f>
        <v>1</v>
      </c>
      <c r="AP1492" s="50" t="n">
        <f aca="false">IF(LEFT(Cockpit!$I$5,1)="A",H1492,IF(Parameter!$E$30="MAX-Bestand",IF(CH1492=1,CI1492,IF(LEFT(Cockpit!$I$5,1)="B",AV1492,MAX(AV1492,H1492))),ROUNDUP(AT1492,0)))</f>
        <v>10</v>
      </c>
      <c r="AQ1492" s="50" t="n">
        <f aca="false">IF(BZ1492=1,0,ROUNDUP(AP1492/BY1492,0))</f>
        <v>1</v>
      </c>
      <c r="AR1492" s="52" t="n">
        <f aca="false">IF(CQ1492&gt;0,CQ1492*MAX(1,AP1492/X1492),IF(BZ1492=1,IF(AP1492&lt;=0,0,CD1492*MAX(1,IF(H1492&gt;0,AP1492/H1492,1))),IF(R1492&gt;0,AQ1492/R1492,0))/MAX(0.1,N(Parameter!$M$21)))</f>
        <v>0.0833333333333333</v>
      </c>
      <c r="AS1492" s="50" t="n">
        <f aca="false">AR1492*CB1492</f>
        <v>20.4166666666667</v>
      </c>
      <c r="AT1492" s="51" t="n">
        <f aca="false">IF(LEFT(Cockpit!$I$5,1)="A",H1492,IF(CH1492=1,(CK1492+CI1492)/2,IF(LEFT(Cockpit!$I$5,1)="B",(CK1492+AV1492)/2,MAX((CK1492+AV1492)/2,H1492))))</f>
        <v>10</v>
      </c>
      <c r="AU1492" s="50" t="n">
        <f aca="false">AT1492*G1492</f>
        <v>274.1</v>
      </c>
      <c r="AV1492" s="50" t="n">
        <f aca="false">ROUNDUP(CK1492+MAX(CL1492,2*(J1492/IF(CG1492&gt;0,CG1492,MAX(0.1,N(Cockpit!$I$6)))-CK1492)),0)</f>
        <v>1</v>
      </c>
      <c r="AW1492" s="51" t="n">
        <f aca="false">IF(AS1492&gt;0,J1492/AS1492,-1)</f>
        <v>0</v>
      </c>
      <c r="AX1492" s="51" t="n">
        <f aca="false">IF(AND(OR(CF1492="L1",CF1492="L23",CF1492="LIFT"),AS1492&gt;0),SUMIFS($AS$7:$AS$1843,$CF$7:$CF$1843,CF1492,$AW$7:$AW$1843,"&gt;"&amp;AW1492)+SUMIFS($AS$7:$AS$1843,$CF$7:$CF$1843,CF1492,$AW$7:$AW$1843,AW1492,$BW$7:$BW$1843,"&lt;="&amp;BW1492),"")</f>
        <v>36103.6901631796</v>
      </c>
      <c r="AY1492" s="58" t="n">
        <f aca="false">IF(AX1492="",0,MAX(0,MIN(1,(IF(CF1492="L1",Parameter!$H$5,IF(CF1492="L23",Parameter!$H$6+Parameter!$H$7,Parameter!$H$5+Parameter!$H$6+Parameter!$H$7))-(AX1492-AS1492))/AS1492)))</f>
        <v>0</v>
      </c>
      <c r="AZ1492" s="50" t="n">
        <f aca="false">IF(LEFT(Cockpit!$O$5,1)="A",H1492,IF(Parameter!$E$30="MAX-Bestand",IF(CH1492=1,CI1492,IF(LEFT(Cockpit!$O$5,1)="B",BF1492,MAX(BF1492,H1492))),ROUNDUP(BD1492,0)))</f>
        <v>1</v>
      </c>
      <c r="BA1492" s="50" t="n">
        <f aca="false">IF(BZ1492=1,0,ROUNDUP(AZ1492/BY1492,0))</f>
        <v>1</v>
      </c>
      <c r="BB1492" s="52" t="n">
        <f aca="false">IF(CQ1492&gt;0,CQ1492*MAX(1,AZ1492/X1492),IF(BZ1492=1,IF(AZ1492&lt;=0,0,CD1492*MAX(1,IF(H1492&gt;0,AZ1492/H1492,1))),IF(R1492&gt;0,BA1492/R1492,0))/MAX(0.1,N(Parameter!$M$21)))</f>
        <v>0.0833333333333333</v>
      </c>
      <c r="BC1492" s="50" t="n">
        <f aca="false">BB1492*CB1492</f>
        <v>20.4166666666667</v>
      </c>
      <c r="BD1492" s="51" t="n">
        <f aca="false">IF(LEFT(Cockpit!$O$5,1)="A",H1492,IF(CH1492=1,(CK1492+CI1492)/2,IF(LEFT(Cockpit!$O$5,1)="B",(CK1492+BF1492)/2,MAX((CK1492+BF1492)/2,H1492))))</f>
        <v>0.5</v>
      </c>
      <c r="BE1492" s="50" t="n">
        <f aca="false">BD1492*G1492</f>
        <v>13.705</v>
      </c>
      <c r="BF1492" s="50" t="n">
        <f aca="false">ROUNDUP(CK1492+MAX(CL1492,2*(J1492/IF(CG1492&gt;0,CG1492,MAX(0.1,N(Cockpit!$O$6)))-CK1492)),0)</f>
        <v>1</v>
      </c>
      <c r="BG1492" s="51" t="n">
        <f aca="false">IF(BC1492&gt;0,J1492/BC1492,-1)</f>
        <v>0</v>
      </c>
      <c r="BH1492" s="51" t="n">
        <f aca="false">IF(AND(OR(CF1492="L1",CF1492="L23",CF1492="LIFT"),BC1492&gt;0),SUMIFS($BC$7:$BC$1843,$CF$7:$CF$1843,CF1492,$BG$7:$BG$1843,"&gt;"&amp;BG1492)+SUMIFS($BC$7:$BC$1843,$CF$7:$CF$1843,CF1492,$BG$7:$BG$1843,BG1492,$BW$7:$BW$1843,"&lt;="&amp;BW1492),"")</f>
        <v>30088.9968233273</v>
      </c>
      <c r="BI1492" s="58" t="n">
        <f aca="false">IF(BH1492="",0,MAX(0,MIN(1,(IF(CF1492="L1",Parameter!$H$5,IF(CF1492="L23",Parameter!$H$6+Parameter!$H$7,Parameter!$H$5+Parameter!$H$6+Parameter!$H$7))-(BH1492-BC1492))/BC1492)))</f>
        <v>1</v>
      </c>
      <c r="BJ1492" s="48" t="str">
        <f aca="false">IF(AI1492&lt;=0,"",IF(CF1492="Aussen","Aussenlager",IF(CF1492="-","Nicht im Lift",IF(AO1492&gt;=1,"Lift",IF(AO1492&lt;=0,"Aussenlager","teilweise")))))</f>
        <v>Lift</v>
      </c>
      <c r="BK1492" s="48" t="str">
        <f aca="false">IF(AS1492&lt;=0,"",IF(CF1492="Aussen","Aussenlager",IF(CF1492="-","Nicht im Lift",IF(AY1492&gt;=1,"Lift",IF(AY1492&lt;=0,"Aussenlager","teilweise")))))</f>
        <v>Aussenlager</v>
      </c>
      <c r="BL1492" s="48" t="str">
        <f aca="false">IF(BC1492&lt;=0,"",IF(CF1492="Aussen","Aussenlager",IF(CF1492="-","Nicht im Lift",IF(BI1492&gt;=1,"Lift",IF(BI1492&lt;=0,"Aussenlager","teilweise")))))</f>
        <v>Lift</v>
      </c>
      <c r="BM1492" s="48" t="str">
        <f aca="false">IF(A1492="","",IF(BV1492=1,"Neu; ","")&amp;IF(AND(BV1492=0,BQ1492&lt;0),"negativer Bestand (Export "&amp;BQ1492&amp;"); ","")&amp;IF(J1492&lt;=0,"Kein Verbrauch; ","")&amp;IF(CQ1492&gt;0,"Lift "&amp;W1492&amp;" lt. Liftbericht (Fach "&amp;X1492&amp;" Stk); ",IF(CA1492=1,"Gebinde geschätzt ("&amp;T1492&amp;"); ",IF(BZ1492=1,"Lose – Tablare geschätzt; ","")))&amp;IF(H1492&gt;AV1492,"Überbestand "&amp;ROUND(H1492-AV1492,0)&amp;" Stk / CHF "&amp;ROUND((H1492-AV1492)*G1492,0)&amp;"; ","")&amp;IF(AND(CH1492=1,CI1492&lt;CJ1492),"MAX &lt; MB+LG; ","")&amp;IF(AND(CP1492&gt;0,CO1492*10&gt;CP1492),"zu hoch für Tablar; ","")&amp;IF(AND(BV1492=0,OR(CH1492=1,AA1492&lt;&gt;"",U1492&lt;&gt;"",V1492&lt;&gt;"",AB1492&lt;&gt;"")),"manuell übersteuert; ","")&amp;IF(AND(BZ1492=0,R1492=0),"Gebinde unbekannt / Stellmass fehlt; ","")&amp;IF(AND(BZ1492=0,N(V1492)&lt;=0,N(Q1492)&lt;=0),"Menge pro Gebinde fehlt (Ist = 1 Gebinde); ","")&amp;BU1492)</f>
        <v>Kein Verbrauch; Überbestand 9 Stk / CHF 247; nur im Artikelstamm (Bestand 23.06.2026)</v>
      </c>
      <c r="BN1492" s="48"/>
      <c r="BO1492" s="48"/>
      <c r="BP1492" s="55"/>
      <c r="BQ1492" s="50" t="n">
        <v>10</v>
      </c>
      <c r="BR1492" s="50" t="n">
        <v>0</v>
      </c>
      <c r="BS1492" s="49" t="n">
        <v>0</v>
      </c>
      <c r="BT1492" s="50" t="n">
        <v>0</v>
      </c>
      <c r="BU1492" s="48" t="s">
        <v>2584</v>
      </c>
      <c r="BV1492" s="53" t="n">
        <v>0</v>
      </c>
      <c r="BW1492" s="53" t="n">
        <v>1492</v>
      </c>
      <c r="BX1492" s="48" t="str">
        <f aca="false">IF(U1492&lt;&gt;"",UPPER(TRIM(U1492)),IF(CA1492=1,UPPER(VLOOKUP(T1492,Parameter!$I$27:$K$29,2,0)),IF(P1492="","LOSE",P1492)))</f>
        <v>S62</v>
      </c>
      <c r="BY1492" s="50" t="n">
        <f aca="false">IF(BX1492="LOSE",1,IF(N(V1492)&gt;0,V1492,IF(CA1492=1,MAX(1,N(VLOOKUP(T1492,Parameter!$I$27:$K$29,3,0)),H1492,N(N1492)),IF(N(Q1492)&gt;0,Q1492,MAX(1,H1492)))))</f>
        <v>10</v>
      </c>
      <c r="BZ1492" s="53" t="n">
        <f aca="false">IF(BX1492="LOSE",1,0)</f>
        <v>0</v>
      </c>
      <c r="CA1492" s="53" t="n">
        <f aca="false">IF(AND(U1492="",OR(P1492="",P1492="LOSE"),T1492&lt;&gt;"",N(S1492)&lt;=0,ISNUMBER(MATCH(T1492,Parameter!$I$27:$I$29,0))),1,0)</f>
        <v>0</v>
      </c>
      <c r="CB1492" s="53" t="n">
        <f aca="false">IF(CQ1492&gt;0,INDEX(Parameter!$H$5:$H$7,W1492)/INDEX(Parameter!$E$5:$E$7,W1492),IF(AND(BZ1492=0,N(IFERROR(VLOOKUP(BX1492,'Gebinde-Kategorie'!$A$5:$N$45,14,0),0))&gt;0),VLOOKUP(BX1492,'Gebinde-Kategorie'!$A$5:$N$45,14,0)*10+Parameter!$M$23,Parameter!$M$24))</f>
        <v>245</v>
      </c>
      <c r="CC1492" s="48" t="str">
        <f aca="false">IF(AND(Parameter!$B$19="Ja",E1492&lt;&gt;"",ISNUMBER(MATCH(E1492,Parameter!$I$35:$I$52,0))),VLOOKUP(E1492,Parameter!$I$35:$J$52,2,0),IFERROR(VLOOKUP(D1492,Parameter!$A$35:$C$64,2,0),"Nein"))</f>
        <v>2+3</v>
      </c>
      <c r="CD1492" s="52" t="n">
        <f aca="false">IF(BZ1492=0,0,IF(N(S1492)&gt;0,S1492,IFERROR(VLOOKUP(D1492,Parameter!$A$35:$C$64,3,0)+0,0)))</f>
        <v>0</v>
      </c>
      <c r="CE1492" s="48" t="n">
        <f aca="false">IF(AA1492&lt;&gt;"",AA1492,Z1492)</f>
        <v>2</v>
      </c>
      <c r="CF1492" s="48" t="str">
        <f aca="false">IF(OR(CE1492=1,CE1492=2,CE1492=3),IF(Parameter!$E$27="Ja","LIFT",IF(CE1492=1,"L1","L23")),IF(CE1492="Aussen","Aussen","-"))</f>
        <v>LIFT</v>
      </c>
      <c r="CG1492" s="59" t="n">
        <f aca="false">IF(N(AB1492)&gt;0,AB1492,0)</f>
        <v>0</v>
      </c>
      <c r="CH1492" s="53" t="n">
        <f aca="false">IF(ISNUMBER(AE1492),1,0)</f>
        <v>0</v>
      </c>
      <c r="CI1492" s="50" t="n">
        <f aca="false">N(AE1492)</f>
        <v>0</v>
      </c>
      <c r="CJ1492" s="50" t="n">
        <f aca="false">N(M1492)+N(N1492)</f>
        <v>1</v>
      </c>
      <c r="CK1492" s="50" t="n">
        <f aca="false">N(M1492)</f>
        <v>0</v>
      </c>
      <c r="CL1492" s="50" t="n">
        <f aca="false">N(N1492)</f>
        <v>1</v>
      </c>
      <c r="CM1492" s="50" t="n">
        <f aca="false">ROUNDUP(H1492/BY1492,0)</f>
        <v>1</v>
      </c>
      <c r="CN1492" s="50" t="n">
        <f aca="false">ROUNDUP(CI1492/BY1492,0)</f>
        <v>0</v>
      </c>
      <c r="CO1492" s="53" t="n">
        <f aca="false">IF(BZ1492=1,0,IFERROR(VLOOKUP(BX1492,'Gebinde-Kategorie'!$A$5:$N$45,5,0)+0,0))</f>
        <v>21</v>
      </c>
      <c r="CP1492" s="53" t="n">
        <f aca="false">IFERROR(IF(OR(CE1492=1,CE1492=2,CE1492=3),N(INDEX(Parameter!$I$5:$I$7,CE1492)),0),0)</f>
        <v>0</v>
      </c>
      <c r="CQ1492" s="52" t="n">
        <f aca="false">IF(AND(Parameter!$B$21="Ja",ISNUMBER(W1492),N(X1492)&gt;0),IFERROR(N(INDEX(Parameter!$L$5:$L$7,W1492))*INDEX(Parameter!$E$5:$E$7,W1492)*X1492/SUMIFS($X$7:$X$1843,$W$7:$W$1843,W1492),0),0)</f>
        <v>0</v>
      </c>
    </row>
    <row r="1493" customFormat="false" ht="15" hidden="false" customHeight="false" outlineLevel="0" collapsed="false">
      <c r="A1493" s="48" t="s">
        <v>2618</v>
      </c>
      <c r="B1493" s="48" t="s">
        <v>2619</v>
      </c>
      <c r="C1493" s="48" t="s">
        <v>173</v>
      </c>
      <c r="D1493" s="48" t="s">
        <v>182</v>
      </c>
      <c r="E1493" s="48" t="s">
        <v>194</v>
      </c>
      <c r="F1493" s="48"/>
      <c r="G1493" s="49" t="n">
        <v>11.83</v>
      </c>
      <c r="H1493" s="50" t="n">
        <f aca="false">MAX(0,IF(AND(Parameter!$B$21="Ja",ISNUMBER(Y1493)),Y1493,IF(Parameter!$B$20="Jahresanfang 2025 + Export",BR1493+BQ1493,BQ1493)))</f>
        <v>14</v>
      </c>
      <c r="I1493" s="50" t="n">
        <f aca="false">H1493*G1493</f>
        <v>165.62</v>
      </c>
      <c r="J1493" s="50" t="n">
        <f aca="false">BT1493*Parameter!$B$18</f>
        <v>0</v>
      </c>
      <c r="K1493" s="51"/>
      <c r="L1493" s="52"/>
      <c r="M1493" s="50" t="n">
        <v>0</v>
      </c>
      <c r="N1493" s="50" t="n">
        <v>2</v>
      </c>
      <c r="O1493" s="53" t="n">
        <v>0</v>
      </c>
      <c r="P1493" s="48" t="s">
        <v>242</v>
      </c>
      <c r="Q1493" s="50" t="n">
        <v>14</v>
      </c>
      <c r="R1493" s="53" t="n">
        <f aca="false">IF(BZ1493=1,0,IFERROR(VLOOKUP(BX1493,'Gebinde-Kategorie'!$A$5:$N$45,13,0)+0,0))</f>
        <v>26</v>
      </c>
      <c r="S1493" s="54"/>
      <c r="T1493" s="55"/>
      <c r="U1493" s="55"/>
      <c r="V1493" s="55"/>
      <c r="W1493" s="48"/>
      <c r="X1493" s="50"/>
      <c r="Y1493" s="50"/>
      <c r="Z1493" s="48" t="n">
        <f aca="false">IF(A1493="","",IF(AND(Parameter!$B$21="Ja",ISNUMBER(W1493)),W1493,IF(CC1493="2+3",IF(ISNUMBER(SEARCH("grosser Artikel",BU1493)),2,IFERROR(VLOOKUP(BX1493,Parameter!$F$35:$G$64,2,0),2)),IF(OR(CC1493="Nein",CC1493=""),"-",CC1493))))</f>
        <v>3</v>
      </c>
      <c r="AA1493" s="55"/>
      <c r="AB1493" s="56"/>
      <c r="AC1493" s="50" t="n">
        <f aca="false">AV1493</f>
        <v>2</v>
      </c>
      <c r="AD1493" s="50" t="n">
        <f aca="false">MAX(AV1493,H1493)</f>
        <v>14</v>
      </c>
      <c r="AE1493" s="57"/>
      <c r="AF1493" s="50" t="n">
        <f aca="false">IF(LEFT(Cockpit!$C$5,1)="A",H1493,IF(Parameter!$E$30="MAX-Bestand",IF(CH1493=1,CI1493,IF(LEFT(Cockpit!$C$5,1)="B",AL1493,MAX(AL1493,H1493))),ROUNDUP(AJ1493,0)))</f>
        <v>14</v>
      </c>
      <c r="AG1493" s="50" t="n">
        <f aca="false">IF(BZ1493=1,0,ROUNDUP(AF1493/BY1493,0))</f>
        <v>1</v>
      </c>
      <c r="AH1493" s="52" t="n">
        <f aca="false">IF(CQ1493&gt;0,CQ1493*MAX(1,AF1493/X1493),IF(BZ1493=1,IF(AF1493&lt;=0,0,CD1493*MAX(1,IF(H1493&gt;0,AF1493/H1493,1))),IF(R1493&gt;0,AG1493/R1493,0))/MAX(0.1,N(Parameter!$M$21)))</f>
        <v>0.0384615384615385</v>
      </c>
      <c r="AI1493" s="50" t="n">
        <f aca="false">AH1493*CB1493</f>
        <v>9.42307692307692</v>
      </c>
      <c r="AJ1493" s="51" t="n">
        <f aca="false">IF(LEFT(Cockpit!$C$5,1)="A",H1493,IF(CH1493=1,(CK1493+CI1493)/2,IF(LEFT(Cockpit!$C$5,1)="B",(CK1493+AL1493)/2,MAX((CK1493+AL1493)/2,H1493))))</f>
        <v>14</v>
      </c>
      <c r="AK1493" s="50" t="n">
        <f aca="false">AJ1493*G1493</f>
        <v>165.62</v>
      </c>
      <c r="AL1493" s="50" t="n">
        <f aca="false">ROUNDUP(CK1493+MAX(CL1493,2*(J1493/IF(CG1493&gt;0,CG1493,MAX(0.1,N(Cockpit!$C$6)))-CK1493)),0)</f>
        <v>2</v>
      </c>
      <c r="AM1493" s="51" t="n">
        <f aca="false">IF(AI1493&gt;0,J1493/AI1493,-1)</f>
        <v>0</v>
      </c>
      <c r="AN1493" s="51" t="n">
        <f aca="false">IF(AND(OR(CF1493="L1",CF1493="L23",CF1493="LIFT"),AI1493&gt;0),SUMIFS($AI$7:$AI$1843,$CF$7:$CF$1843,CF1493,$AM$7:$AM$1843,"&gt;"&amp;AM1493)+SUMIFS($AI$7:$AI$1843,$CF$7:$CF$1843,CF1493,$AM$7:$AM$1843,AM1493,$BW$7:$BW$1843,"&lt;="&amp;BW1493),"")</f>
        <v>29806.542437553</v>
      </c>
      <c r="AO1493" s="58" t="n">
        <f aca="false">IF(AN1493="",0,MAX(0,MIN(1,(IF(CF1493="L1",Parameter!$H$5,IF(CF1493="L23",Parameter!$H$6+Parameter!$H$7,Parameter!$H$5+Parameter!$H$6+Parameter!$H$7))-(AN1493-AI1493))/AI1493)))</f>
        <v>1</v>
      </c>
      <c r="AP1493" s="50" t="n">
        <f aca="false">IF(LEFT(Cockpit!$I$5,1)="A",H1493,IF(Parameter!$E$30="MAX-Bestand",IF(CH1493=1,CI1493,IF(LEFT(Cockpit!$I$5,1)="B",AV1493,MAX(AV1493,H1493))),ROUNDUP(AT1493,0)))</f>
        <v>14</v>
      </c>
      <c r="AQ1493" s="50" t="n">
        <f aca="false">IF(BZ1493=1,0,ROUNDUP(AP1493/BY1493,0))</f>
        <v>1</v>
      </c>
      <c r="AR1493" s="52" t="n">
        <f aca="false">IF(CQ1493&gt;0,CQ1493*MAX(1,AP1493/X1493),IF(BZ1493=1,IF(AP1493&lt;=0,0,CD1493*MAX(1,IF(H1493&gt;0,AP1493/H1493,1))),IF(R1493&gt;0,AQ1493/R1493,0))/MAX(0.1,N(Parameter!$M$21)))</f>
        <v>0.0384615384615385</v>
      </c>
      <c r="AS1493" s="50" t="n">
        <f aca="false">AR1493*CB1493</f>
        <v>9.42307692307692</v>
      </c>
      <c r="AT1493" s="51" t="n">
        <f aca="false">IF(LEFT(Cockpit!$I$5,1)="A",H1493,IF(CH1493=1,(CK1493+CI1493)/2,IF(LEFT(Cockpit!$I$5,1)="B",(CK1493+AV1493)/2,MAX((CK1493+AV1493)/2,H1493))))</f>
        <v>14</v>
      </c>
      <c r="AU1493" s="50" t="n">
        <f aca="false">AT1493*G1493</f>
        <v>165.62</v>
      </c>
      <c r="AV1493" s="50" t="n">
        <f aca="false">ROUNDUP(CK1493+MAX(CL1493,2*(J1493/IF(CG1493&gt;0,CG1493,MAX(0.1,N(Cockpit!$I$6)))-CK1493)),0)</f>
        <v>2</v>
      </c>
      <c r="AW1493" s="51" t="n">
        <f aca="false">IF(AS1493&gt;0,J1493/AS1493,-1)</f>
        <v>0</v>
      </c>
      <c r="AX1493" s="51" t="n">
        <f aca="false">IF(AND(OR(CF1493="L1",CF1493="L23",CF1493="LIFT"),AS1493&gt;0),SUMIFS($AS$7:$AS$1843,$CF$7:$CF$1843,CF1493,$AW$7:$AW$1843,"&gt;"&amp;AW1493)+SUMIFS($AS$7:$AS$1843,$CF$7:$CF$1843,CF1493,$AW$7:$AW$1843,AW1493,$BW$7:$BW$1843,"&lt;="&amp;BW1493),"")</f>
        <v>36113.1132401027</v>
      </c>
      <c r="AY1493" s="58" t="n">
        <f aca="false">IF(AX1493="",0,MAX(0,MIN(1,(IF(CF1493="L1",Parameter!$H$5,IF(CF1493="L23",Parameter!$H$6+Parameter!$H$7,Parameter!$H$5+Parameter!$H$6+Parameter!$H$7))-(AX1493-AS1493))/AS1493)))</f>
        <v>0</v>
      </c>
      <c r="AZ1493" s="50" t="n">
        <f aca="false">IF(LEFT(Cockpit!$O$5,1)="A",H1493,IF(Parameter!$E$30="MAX-Bestand",IF(CH1493=1,CI1493,IF(LEFT(Cockpit!$O$5,1)="B",BF1493,MAX(BF1493,H1493))),ROUNDUP(BD1493,0)))</f>
        <v>1</v>
      </c>
      <c r="BA1493" s="50" t="n">
        <f aca="false">IF(BZ1493=1,0,ROUNDUP(AZ1493/BY1493,0))</f>
        <v>1</v>
      </c>
      <c r="BB1493" s="52" t="n">
        <f aca="false">IF(CQ1493&gt;0,CQ1493*MAX(1,AZ1493/X1493),IF(BZ1493=1,IF(AZ1493&lt;=0,0,CD1493*MAX(1,IF(H1493&gt;0,AZ1493/H1493,1))),IF(R1493&gt;0,BA1493/R1493,0))/MAX(0.1,N(Parameter!$M$21)))</f>
        <v>0.0384615384615385</v>
      </c>
      <c r="BC1493" s="50" t="n">
        <f aca="false">BB1493*CB1493</f>
        <v>9.42307692307692</v>
      </c>
      <c r="BD1493" s="51" t="n">
        <f aca="false">IF(LEFT(Cockpit!$O$5,1)="A",H1493,IF(CH1493=1,(CK1493+CI1493)/2,IF(LEFT(Cockpit!$O$5,1)="B",(CK1493+BF1493)/2,MAX((CK1493+BF1493)/2,H1493))))</f>
        <v>1</v>
      </c>
      <c r="BE1493" s="50" t="n">
        <f aca="false">BD1493*G1493</f>
        <v>11.83</v>
      </c>
      <c r="BF1493" s="50" t="n">
        <f aca="false">ROUNDUP(CK1493+MAX(CL1493,2*(J1493/IF(CG1493&gt;0,CG1493,MAX(0.1,N(Cockpit!$O$6)))-CK1493)),0)</f>
        <v>2</v>
      </c>
      <c r="BG1493" s="51" t="n">
        <f aca="false">IF(BC1493&gt;0,J1493/BC1493,-1)</f>
        <v>0</v>
      </c>
      <c r="BH1493" s="51" t="n">
        <f aca="false">IF(AND(OR(CF1493="L1",CF1493="L23",CF1493="LIFT"),BC1493&gt;0),SUMIFS($BC$7:$BC$1843,$CF$7:$CF$1843,CF1493,$BG$7:$BG$1843,"&gt;"&amp;BG1493)+SUMIFS($BC$7:$BC$1843,$CF$7:$CF$1843,CF1493,$BG$7:$BG$1843,BG1493,$BW$7:$BW$1843,"&lt;="&amp;BW1493),"")</f>
        <v>30098.4199002504</v>
      </c>
      <c r="BI1493" s="58" t="n">
        <f aca="false">IF(BH1493="",0,MAX(0,MIN(1,(IF(CF1493="L1",Parameter!$H$5,IF(CF1493="L23",Parameter!$H$6+Parameter!$H$7,Parameter!$H$5+Parameter!$H$6+Parameter!$H$7))-(BH1493-BC1493))/BC1493)))</f>
        <v>1</v>
      </c>
      <c r="BJ1493" s="48" t="str">
        <f aca="false">IF(AI1493&lt;=0,"",IF(CF1493="Aussen","Aussenlager",IF(CF1493="-","Nicht im Lift",IF(AO1493&gt;=1,"Lift",IF(AO1493&lt;=0,"Aussenlager","teilweise")))))</f>
        <v>Lift</v>
      </c>
      <c r="BK1493" s="48" t="str">
        <f aca="false">IF(AS1493&lt;=0,"",IF(CF1493="Aussen","Aussenlager",IF(CF1493="-","Nicht im Lift",IF(AY1493&gt;=1,"Lift",IF(AY1493&lt;=0,"Aussenlager","teilweise")))))</f>
        <v>Aussenlager</v>
      </c>
      <c r="BL1493" s="48" t="str">
        <f aca="false">IF(BC1493&lt;=0,"",IF(CF1493="Aussen","Aussenlager",IF(CF1493="-","Nicht im Lift",IF(BI1493&gt;=1,"Lift",IF(BI1493&lt;=0,"Aussenlager","teilweise")))))</f>
        <v>Lift</v>
      </c>
      <c r="BM1493" s="48" t="str">
        <f aca="false">IF(A1493="","",IF(BV1493=1,"Neu; ","")&amp;IF(AND(BV1493=0,BQ1493&lt;0),"negativer Bestand (Export "&amp;BQ1493&amp;"); ","")&amp;IF(J1493&lt;=0,"Kein Verbrauch; ","")&amp;IF(CQ1493&gt;0,"Lift "&amp;W1493&amp;" lt. Liftbericht (Fach "&amp;X1493&amp;" Stk); ",IF(CA1493=1,"Gebinde geschätzt ("&amp;T1493&amp;"); ",IF(BZ1493=1,"Lose – Tablare geschätzt; ","")))&amp;IF(H1493&gt;AV1493,"Überbestand "&amp;ROUND(H1493-AV1493,0)&amp;" Stk / CHF "&amp;ROUND((H1493-AV1493)*G1493,0)&amp;"; ","")&amp;IF(AND(CH1493=1,CI1493&lt;CJ1493),"MAX &lt; MB+LG; ","")&amp;IF(AND(CP1493&gt;0,CO1493*10&gt;CP1493),"zu hoch für Tablar; ","")&amp;IF(AND(BV1493=0,OR(CH1493=1,AA1493&lt;&gt;"",U1493&lt;&gt;"",V1493&lt;&gt;"",AB1493&lt;&gt;"")),"manuell übersteuert; ","")&amp;IF(AND(BZ1493=0,R1493=0),"Gebinde unbekannt / Stellmass fehlt; ","")&amp;IF(AND(BZ1493=0,N(V1493)&lt;=0,N(Q1493)&lt;=0),"Menge pro Gebinde fehlt (Ist = 1 Gebinde); ","")&amp;BU1493)</f>
        <v>Kein Verbrauch; Überbestand 12 Stk / CHF 142; nur im Artikelstamm (Bestand 23.06.2026)</v>
      </c>
      <c r="BN1493" s="48"/>
      <c r="BO1493" s="48"/>
      <c r="BP1493" s="55"/>
      <c r="BQ1493" s="50" t="n">
        <v>14</v>
      </c>
      <c r="BR1493" s="50" t="n">
        <v>0</v>
      </c>
      <c r="BS1493" s="49" t="n">
        <v>0</v>
      </c>
      <c r="BT1493" s="50" t="n">
        <v>0</v>
      </c>
      <c r="BU1493" s="48" t="s">
        <v>2584</v>
      </c>
      <c r="BV1493" s="53" t="n">
        <v>0</v>
      </c>
      <c r="BW1493" s="53" t="n">
        <v>1493</v>
      </c>
      <c r="BX1493" s="48" t="str">
        <f aca="false">IF(U1493&lt;&gt;"",UPPER(TRIM(U1493)),IF(CA1493=1,UPPER(VLOOKUP(T1493,Parameter!$I$27:$K$29,2,0)),IF(P1493="","LOSE",P1493)))</f>
        <v>S52</v>
      </c>
      <c r="BY1493" s="50" t="n">
        <f aca="false">IF(BX1493="LOSE",1,IF(N(V1493)&gt;0,V1493,IF(CA1493=1,MAX(1,N(VLOOKUP(T1493,Parameter!$I$27:$K$29,3,0)),H1493,N(N1493)),IF(N(Q1493)&gt;0,Q1493,MAX(1,H1493)))))</f>
        <v>14</v>
      </c>
      <c r="BZ1493" s="53" t="n">
        <f aca="false">IF(BX1493="LOSE",1,0)</f>
        <v>0</v>
      </c>
      <c r="CA1493" s="53" t="n">
        <f aca="false">IF(AND(U1493="",OR(P1493="",P1493="LOSE"),T1493&lt;&gt;"",N(S1493)&lt;=0,ISNUMBER(MATCH(T1493,Parameter!$I$27:$I$29,0))),1,0)</f>
        <v>0</v>
      </c>
      <c r="CB1493" s="53" t="n">
        <f aca="false">IF(CQ1493&gt;0,INDEX(Parameter!$H$5:$H$7,W1493)/INDEX(Parameter!$E$5:$E$7,W1493),IF(AND(BZ1493=0,N(IFERROR(VLOOKUP(BX1493,'Gebinde-Kategorie'!$A$5:$N$45,14,0),0))&gt;0),VLOOKUP(BX1493,'Gebinde-Kategorie'!$A$5:$N$45,14,0)*10+Parameter!$M$23,Parameter!$M$24))</f>
        <v>245</v>
      </c>
      <c r="CC1493" s="48" t="str">
        <f aca="false">IF(AND(Parameter!$B$19="Ja",E1493&lt;&gt;"",ISNUMBER(MATCH(E1493,Parameter!$I$35:$I$52,0))),VLOOKUP(E1493,Parameter!$I$35:$J$52,2,0),IFERROR(VLOOKUP(D1493,Parameter!$A$35:$C$64,2,0),"Nein"))</f>
        <v>2+3</v>
      </c>
      <c r="CD1493" s="52" t="n">
        <f aca="false">IF(BZ1493=0,0,IF(N(S1493)&gt;0,S1493,IFERROR(VLOOKUP(D1493,Parameter!$A$35:$C$64,3,0)+0,0)))</f>
        <v>0</v>
      </c>
      <c r="CE1493" s="48" t="n">
        <f aca="false">IF(AA1493&lt;&gt;"",AA1493,Z1493)</f>
        <v>3</v>
      </c>
      <c r="CF1493" s="48" t="str">
        <f aca="false">IF(OR(CE1493=1,CE1493=2,CE1493=3),IF(Parameter!$E$27="Ja","LIFT",IF(CE1493=1,"L1","L23")),IF(CE1493="Aussen","Aussen","-"))</f>
        <v>LIFT</v>
      </c>
      <c r="CG1493" s="59" t="n">
        <f aca="false">IF(N(AB1493)&gt;0,AB1493,0)</f>
        <v>0</v>
      </c>
      <c r="CH1493" s="53" t="n">
        <f aca="false">IF(ISNUMBER(AE1493),1,0)</f>
        <v>0</v>
      </c>
      <c r="CI1493" s="50" t="n">
        <f aca="false">N(AE1493)</f>
        <v>0</v>
      </c>
      <c r="CJ1493" s="50" t="n">
        <f aca="false">N(M1493)+N(N1493)</f>
        <v>2</v>
      </c>
      <c r="CK1493" s="50" t="n">
        <f aca="false">N(M1493)</f>
        <v>0</v>
      </c>
      <c r="CL1493" s="50" t="n">
        <f aca="false">N(N1493)</f>
        <v>2</v>
      </c>
      <c r="CM1493" s="50" t="n">
        <f aca="false">ROUNDUP(H1493/BY1493,0)</f>
        <v>1</v>
      </c>
      <c r="CN1493" s="50" t="n">
        <f aca="false">ROUNDUP(CI1493/BY1493,0)</f>
        <v>0</v>
      </c>
      <c r="CO1493" s="53" t="n">
        <f aca="false">IF(BZ1493=1,0,IFERROR(VLOOKUP(BX1493,'Gebinde-Kategorie'!$A$5:$N$45,5,0)+0,0))</f>
        <v>21</v>
      </c>
      <c r="CP1493" s="53" t="n">
        <f aca="false">IFERROR(IF(OR(CE1493=1,CE1493=2,CE1493=3),N(INDEX(Parameter!$I$5:$I$7,CE1493)),0),0)</f>
        <v>0</v>
      </c>
      <c r="CQ1493" s="52" t="n">
        <f aca="false">IF(AND(Parameter!$B$21="Ja",ISNUMBER(W1493),N(X1493)&gt;0),IFERROR(N(INDEX(Parameter!$L$5:$L$7,W1493))*INDEX(Parameter!$E$5:$E$7,W1493)*X1493/SUMIFS($X$7:$X$1843,$W$7:$W$1843,W1493),0),0)</f>
        <v>0</v>
      </c>
    </row>
    <row r="1494" customFormat="false" ht="15" hidden="false" customHeight="false" outlineLevel="0" collapsed="false">
      <c r="A1494" s="48" t="s">
        <v>2620</v>
      </c>
      <c r="B1494" s="48" t="s">
        <v>2619</v>
      </c>
      <c r="C1494" s="48" t="s">
        <v>173</v>
      </c>
      <c r="D1494" s="48" t="s">
        <v>182</v>
      </c>
      <c r="E1494" s="48" t="s">
        <v>194</v>
      </c>
      <c r="F1494" s="48"/>
      <c r="G1494" s="49" t="n">
        <v>13.79</v>
      </c>
      <c r="H1494" s="50" t="n">
        <f aca="false">MAX(0,IF(AND(Parameter!$B$21="Ja",ISNUMBER(Y1494)),Y1494,IF(Parameter!$B$20="Jahresanfang 2025 + Export",BR1494+BQ1494,BQ1494)))</f>
        <v>24</v>
      </c>
      <c r="I1494" s="50" t="n">
        <f aca="false">H1494*G1494</f>
        <v>330.96</v>
      </c>
      <c r="J1494" s="50" t="n">
        <f aca="false">BT1494*Parameter!$B$18</f>
        <v>0</v>
      </c>
      <c r="K1494" s="51"/>
      <c r="L1494" s="52"/>
      <c r="M1494" s="50" t="n">
        <v>0</v>
      </c>
      <c r="N1494" s="50" t="n">
        <v>2</v>
      </c>
      <c r="O1494" s="53" t="n">
        <v>0</v>
      </c>
      <c r="P1494" s="48" t="s">
        <v>242</v>
      </c>
      <c r="Q1494" s="50" t="n">
        <v>24</v>
      </c>
      <c r="R1494" s="53" t="n">
        <f aca="false">IF(BZ1494=1,0,IFERROR(VLOOKUP(BX1494,'Gebinde-Kategorie'!$A$5:$N$45,13,0)+0,0))</f>
        <v>26</v>
      </c>
      <c r="S1494" s="54"/>
      <c r="T1494" s="55"/>
      <c r="U1494" s="55"/>
      <c r="V1494" s="55"/>
      <c r="W1494" s="48"/>
      <c r="X1494" s="50"/>
      <c r="Y1494" s="50"/>
      <c r="Z1494" s="48" t="n">
        <f aca="false">IF(A1494="","",IF(AND(Parameter!$B$21="Ja",ISNUMBER(W1494)),W1494,IF(CC1494="2+3",IF(ISNUMBER(SEARCH("grosser Artikel",BU1494)),2,IFERROR(VLOOKUP(BX1494,Parameter!$F$35:$G$64,2,0),2)),IF(OR(CC1494="Nein",CC1494=""),"-",CC1494))))</f>
        <v>3</v>
      </c>
      <c r="AA1494" s="55"/>
      <c r="AB1494" s="56"/>
      <c r="AC1494" s="50" t="n">
        <f aca="false">AV1494</f>
        <v>2</v>
      </c>
      <c r="AD1494" s="50" t="n">
        <f aca="false">MAX(AV1494,H1494)</f>
        <v>24</v>
      </c>
      <c r="AE1494" s="57"/>
      <c r="AF1494" s="50" t="n">
        <f aca="false">IF(LEFT(Cockpit!$C$5,1)="A",H1494,IF(Parameter!$E$30="MAX-Bestand",IF(CH1494=1,CI1494,IF(LEFT(Cockpit!$C$5,1)="B",AL1494,MAX(AL1494,H1494))),ROUNDUP(AJ1494,0)))</f>
        <v>24</v>
      </c>
      <c r="AG1494" s="50" t="n">
        <f aca="false">IF(BZ1494=1,0,ROUNDUP(AF1494/BY1494,0))</f>
        <v>1</v>
      </c>
      <c r="AH1494" s="52" t="n">
        <f aca="false">IF(CQ1494&gt;0,CQ1494*MAX(1,AF1494/X1494),IF(BZ1494=1,IF(AF1494&lt;=0,0,CD1494*MAX(1,IF(H1494&gt;0,AF1494/H1494,1))),IF(R1494&gt;0,AG1494/R1494,0))/MAX(0.1,N(Parameter!$M$21)))</f>
        <v>0.0384615384615385</v>
      </c>
      <c r="AI1494" s="50" t="n">
        <f aca="false">AH1494*CB1494</f>
        <v>9.42307692307692</v>
      </c>
      <c r="AJ1494" s="51" t="n">
        <f aca="false">IF(LEFT(Cockpit!$C$5,1)="A",H1494,IF(CH1494=1,(CK1494+CI1494)/2,IF(LEFT(Cockpit!$C$5,1)="B",(CK1494+AL1494)/2,MAX((CK1494+AL1494)/2,H1494))))</f>
        <v>24</v>
      </c>
      <c r="AK1494" s="50" t="n">
        <f aca="false">AJ1494*G1494</f>
        <v>330.96</v>
      </c>
      <c r="AL1494" s="50" t="n">
        <f aca="false">ROUNDUP(CK1494+MAX(CL1494,2*(J1494/IF(CG1494&gt;0,CG1494,MAX(0.1,N(Cockpit!$C$6)))-CK1494)),0)</f>
        <v>2</v>
      </c>
      <c r="AM1494" s="51" t="n">
        <f aca="false">IF(AI1494&gt;0,J1494/AI1494,-1)</f>
        <v>0</v>
      </c>
      <c r="AN1494" s="51" t="n">
        <f aca="false">IF(AND(OR(CF1494="L1",CF1494="L23",CF1494="LIFT"),AI1494&gt;0),SUMIFS($AI$7:$AI$1843,$CF$7:$CF$1843,CF1494,$AM$7:$AM$1843,"&gt;"&amp;AM1494)+SUMIFS($AI$7:$AI$1843,$CF$7:$CF$1843,CF1494,$AM$7:$AM$1843,AM1494,$BW$7:$BW$1843,"&lt;="&amp;BW1494),"")</f>
        <v>29815.9655144761</v>
      </c>
      <c r="AO1494" s="58" t="n">
        <f aca="false">IF(AN1494="",0,MAX(0,MIN(1,(IF(CF1494="L1",Parameter!$H$5,IF(CF1494="L23",Parameter!$H$6+Parameter!$H$7,Parameter!$H$5+Parameter!$H$6+Parameter!$H$7))-(AN1494-AI1494))/AI1494)))</f>
        <v>1</v>
      </c>
      <c r="AP1494" s="50" t="n">
        <f aca="false">IF(LEFT(Cockpit!$I$5,1)="A",H1494,IF(Parameter!$E$30="MAX-Bestand",IF(CH1494=1,CI1494,IF(LEFT(Cockpit!$I$5,1)="B",AV1494,MAX(AV1494,H1494))),ROUNDUP(AT1494,0)))</f>
        <v>24</v>
      </c>
      <c r="AQ1494" s="50" t="n">
        <f aca="false">IF(BZ1494=1,0,ROUNDUP(AP1494/BY1494,0))</f>
        <v>1</v>
      </c>
      <c r="AR1494" s="52" t="n">
        <f aca="false">IF(CQ1494&gt;0,CQ1494*MAX(1,AP1494/X1494),IF(BZ1494=1,IF(AP1494&lt;=0,0,CD1494*MAX(1,IF(H1494&gt;0,AP1494/H1494,1))),IF(R1494&gt;0,AQ1494/R1494,0))/MAX(0.1,N(Parameter!$M$21)))</f>
        <v>0.0384615384615385</v>
      </c>
      <c r="AS1494" s="50" t="n">
        <f aca="false">AR1494*CB1494</f>
        <v>9.42307692307692</v>
      </c>
      <c r="AT1494" s="51" t="n">
        <f aca="false">IF(LEFT(Cockpit!$I$5,1)="A",H1494,IF(CH1494=1,(CK1494+CI1494)/2,IF(LEFT(Cockpit!$I$5,1)="B",(CK1494+AV1494)/2,MAX((CK1494+AV1494)/2,H1494))))</f>
        <v>24</v>
      </c>
      <c r="AU1494" s="50" t="n">
        <f aca="false">AT1494*G1494</f>
        <v>330.96</v>
      </c>
      <c r="AV1494" s="50" t="n">
        <f aca="false">ROUNDUP(CK1494+MAX(CL1494,2*(J1494/IF(CG1494&gt;0,CG1494,MAX(0.1,N(Cockpit!$I$6)))-CK1494)),0)</f>
        <v>2</v>
      </c>
      <c r="AW1494" s="51" t="n">
        <f aca="false">IF(AS1494&gt;0,J1494/AS1494,-1)</f>
        <v>0</v>
      </c>
      <c r="AX1494" s="51" t="n">
        <f aca="false">IF(AND(OR(CF1494="L1",CF1494="L23",CF1494="LIFT"),AS1494&gt;0),SUMIFS($AS$7:$AS$1843,$CF$7:$CF$1843,CF1494,$AW$7:$AW$1843,"&gt;"&amp;AW1494)+SUMIFS($AS$7:$AS$1843,$CF$7:$CF$1843,CF1494,$AW$7:$AW$1843,AW1494,$BW$7:$BW$1843,"&lt;="&amp;BW1494),"")</f>
        <v>36122.5363170257</v>
      </c>
      <c r="AY1494" s="58" t="n">
        <f aca="false">IF(AX1494="",0,MAX(0,MIN(1,(IF(CF1494="L1",Parameter!$H$5,IF(CF1494="L23",Parameter!$H$6+Parameter!$H$7,Parameter!$H$5+Parameter!$H$6+Parameter!$H$7))-(AX1494-AS1494))/AS1494)))</f>
        <v>0</v>
      </c>
      <c r="AZ1494" s="50" t="n">
        <f aca="false">IF(LEFT(Cockpit!$O$5,1)="A",H1494,IF(Parameter!$E$30="MAX-Bestand",IF(CH1494=1,CI1494,IF(LEFT(Cockpit!$O$5,1)="B",BF1494,MAX(BF1494,H1494))),ROUNDUP(BD1494,0)))</f>
        <v>1</v>
      </c>
      <c r="BA1494" s="50" t="n">
        <f aca="false">IF(BZ1494=1,0,ROUNDUP(AZ1494/BY1494,0))</f>
        <v>1</v>
      </c>
      <c r="BB1494" s="52" t="n">
        <f aca="false">IF(CQ1494&gt;0,CQ1494*MAX(1,AZ1494/X1494),IF(BZ1494=1,IF(AZ1494&lt;=0,0,CD1494*MAX(1,IF(H1494&gt;0,AZ1494/H1494,1))),IF(R1494&gt;0,BA1494/R1494,0))/MAX(0.1,N(Parameter!$M$21)))</f>
        <v>0.0384615384615385</v>
      </c>
      <c r="BC1494" s="50" t="n">
        <f aca="false">BB1494*CB1494</f>
        <v>9.42307692307692</v>
      </c>
      <c r="BD1494" s="51" t="n">
        <f aca="false">IF(LEFT(Cockpit!$O$5,1)="A",H1494,IF(CH1494=1,(CK1494+CI1494)/2,IF(LEFT(Cockpit!$O$5,1)="B",(CK1494+BF1494)/2,MAX((CK1494+BF1494)/2,H1494))))</f>
        <v>1</v>
      </c>
      <c r="BE1494" s="50" t="n">
        <f aca="false">BD1494*G1494</f>
        <v>13.79</v>
      </c>
      <c r="BF1494" s="50" t="n">
        <f aca="false">ROUNDUP(CK1494+MAX(CL1494,2*(J1494/IF(CG1494&gt;0,CG1494,MAX(0.1,N(Cockpit!$O$6)))-CK1494)),0)</f>
        <v>2</v>
      </c>
      <c r="BG1494" s="51" t="n">
        <f aca="false">IF(BC1494&gt;0,J1494/BC1494,-1)</f>
        <v>0</v>
      </c>
      <c r="BH1494" s="51" t="n">
        <f aca="false">IF(AND(OR(CF1494="L1",CF1494="L23",CF1494="LIFT"),BC1494&gt;0),SUMIFS($BC$7:$BC$1843,$CF$7:$CF$1843,CF1494,$BG$7:$BG$1843,"&gt;"&amp;BG1494)+SUMIFS($BC$7:$BC$1843,$CF$7:$CF$1843,CF1494,$BG$7:$BG$1843,BG1494,$BW$7:$BW$1843,"&lt;="&amp;BW1494),"")</f>
        <v>30107.8429771735</v>
      </c>
      <c r="BI1494" s="58" t="n">
        <f aca="false">IF(BH1494="",0,MAX(0,MIN(1,(IF(CF1494="L1",Parameter!$H$5,IF(CF1494="L23",Parameter!$H$6+Parameter!$H$7,Parameter!$H$5+Parameter!$H$6+Parameter!$H$7))-(BH1494-BC1494))/BC1494)))</f>
        <v>1</v>
      </c>
      <c r="BJ1494" s="48" t="str">
        <f aca="false">IF(AI1494&lt;=0,"",IF(CF1494="Aussen","Aussenlager",IF(CF1494="-","Nicht im Lift",IF(AO1494&gt;=1,"Lift",IF(AO1494&lt;=0,"Aussenlager","teilweise")))))</f>
        <v>Lift</v>
      </c>
      <c r="BK1494" s="48" t="str">
        <f aca="false">IF(AS1494&lt;=0,"",IF(CF1494="Aussen","Aussenlager",IF(CF1494="-","Nicht im Lift",IF(AY1494&gt;=1,"Lift",IF(AY1494&lt;=0,"Aussenlager","teilweise")))))</f>
        <v>Aussenlager</v>
      </c>
      <c r="BL1494" s="48" t="str">
        <f aca="false">IF(BC1494&lt;=0,"",IF(CF1494="Aussen","Aussenlager",IF(CF1494="-","Nicht im Lift",IF(BI1494&gt;=1,"Lift",IF(BI1494&lt;=0,"Aussenlager","teilweise")))))</f>
        <v>Lift</v>
      </c>
      <c r="BM1494" s="48" t="str">
        <f aca="false">IF(A1494="","",IF(BV1494=1,"Neu; ","")&amp;IF(AND(BV1494=0,BQ1494&lt;0),"negativer Bestand (Export "&amp;BQ1494&amp;"); ","")&amp;IF(J1494&lt;=0,"Kein Verbrauch; ","")&amp;IF(CQ1494&gt;0,"Lift "&amp;W1494&amp;" lt. Liftbericht (Fach "&amp;X1494&amp;" Stk); ",IF(CA1494=1,"Gebinde geschätzt ("&amp;T1494&amp;"); ",IF(BZ1494=1,"Lose – Tablare geschätzt; ","")))&amp;IF(H1494&gt;AV1494,"Überbestand "&amp;ROUND(H1494-AV1494,0)&amp;" Stk / CHF "&amp;ROUND((H1494-AV1494)*G1494,0)&amp;"; ","")&amp;IF(AND(CH1494=1,CI1494&lt;CJ1494),"MAX &lt; MB+LG; ","")&amp;IF(AND(CP1494&gt;0,CO1494*10&gt;CP1494),"zu hoch für Tablar; ","")&amp;IF(AND(BV1494=0,OR(CH1494=1,AA1494&lt;&gt;"",U1494&lt;&gt;"",V1494&lt;&gt;"",AB1494&lt;&gt;"")),"manuell übersteuert; ","")&amp;IF(AND(BZ1494=0,R1494=0),"Gebinde unbekannt / Stellmass fehlt; ","")&amp;IF(AND(BZ1494=0,N(V1494)&lt;=0,N(Q1494)&lt;=0),"Menge pro Gebinde fehlt (Ist = 1 Gebinde); ","")&amp;BU1494)</f>
        <v>Kein Verbrauch; Überbestand 22 Stk / CHF 303; nur im Artikelstamm (Bestand 23.06.2026)</v>
      </c>
      <c r="BN1494" s="48"/>
      <c r="BO1494" s="48"/>
      <c r="BP1494" s="55"/>
      <c r="BQ1494" s="50" t="n">
        <v>24</v>
      </c>
      <c r="BR1494" s="50" t="n">
        <v>0</v>
      </c>
      <c r="BS1494" s="49" t="n">
        <v>0</v>
      </c>
      <c r="BT1494" s="50" t="n">
        <v>0</v>
      </c>
      <c r="BU1494" s="48" t="s">
        <v>2584</v>
      </c>
      <c r="BV1494" s="53" t="n">
        <v>0</v>
      </c>
      <c r="BW1494" s="53" t="n">
        <v>1494</v>
      </c>
      <c r="BX1494" s="48" t="str">
        <f aca="false">IF(U1494&lt;&gt;"",UPPER(TRIM(U1494)),IF(CA1494=1,UPPER(VLOOKUP(T1494,Parameter!$I$27:$K$29,2,0)),IF(P1494="","LOSE",P1494)))</f>
        <v>S52</v>
      </c>
      <c r="BY1494" s="50" t="n">
        <f aca="false">IF(BX1494="LOSE",1,IF(N(V1494)&gt;0,V1494,IF(CA1494=1,MAX(1,N(VLOOKUP(T1494,Parameter!$I$27:$K$29,3,0)),H1494,N(N1494)),IF(N(Q1494)&gt;0,Q1494,MAX(1,H1494)))))</f>
        <v>24</v>
      </c>
      <c r="BZ1494" s="53" t="n">
        <f aca="false">IF(BX1494="LOSE",1,0)</f>
        <v>0</v>
      </c>
      <c r="CA1494" s="53" t="n">
        <f aca="false">IF(AND(U1494="",OR(P1494="",P1494="LOSE"),T1494&lt;&gt;"",N(S1494)&lt;=0,ISNUMBER(MATCH(T1494,Parameter!$I$27:$I$29,0))),1,0)</f>
        <v>0</v>
      </c>
      <c r="CB1494" s="53" t="n">
        <f aca="false">IF(CQ1494&gt;0,INDEX(Parameter!$H$5:$H$7,W1494)/INDEX(Parameter!$E$5:$E$7,W1494),IF(AND(BZ1494=0,N(IFERROR(VLOOKUP(BX1494,'Gebinde-Kategorie'!$A$5:$N$45,14,0),0))&gt;0),VLOOKUP(BX1494,'Gebinde-Kategorie'!$A$5:$N$45,14,0)*10+Parameter!$M$23,Parameter!$M$24))</f>
        <v>245</v>
      </c>
      <c r="CC1494" s="48" t="str">
        <f aca="false">IF(AND(Parameter!$B$19="Ja",E1494&lt;&gt;"",ISNUMBER(MATCH(E1494,Parameter!$I$35:$I$52,0))),VLOOKUP(E1494,Parameter!$I$35:$J$52,2,0),IFERROR(VLOOKUP(D1494,Parameter!$A$35:$C$64,2,0),"Nein"))</f>
        <v>2+3</v>
      </c>
      <c r="CD1494" s="52" t="n">
        <f aca="false">IF(BZ1494=0,0,IF(N(S1494)&gt;0,S1494,IFERROR(VLOOKUP(D1494,Parameter!$A$35:$C$64,3,0)+0,0)))</f>
        <v>0</v>
      </c>
      <c r="CE1494" s="48" t="n">
        <f aca="false">IF(AA1494&lt;&gt;"",AA1494,Z1494)</f>
        <v>3</v>
      </c>
      <c r="CF1494" s="48" t="str">
        <f aca="false">IF(OR(CE1494=1,CE1494=2,CE1494=3),IF(Parameter!$E$27="Ja","LIFT",IF(CE1494=1,"L1","L23")),IF(CE1494="Aussen","Aussen","-"))</f>
        <v>LIFT</v>
      </c>
      <c r="CG1494" s="59" t="n">
        <f aca="false">IF(N(AB1494)&gt;0,AB1494,0)</f>
        <v>0</v>
      </c>
      <c r="CH1494" s="53" t="n">
        <f aca="false">IF(ISNUMBER(AE1494),1,0)</f>
        <v>0</v>
      </c>
      <c r="CI1494" s="50" t="n">
        <f aca="false">N(AE1494)</f>
        <v>0</v>
      </c>
      <c r="CJ1494" s="50" t="n">
        <f aca="false">N(M1494)+N(N1494)</f>
        <v>2</v>
      </c>
      <c r="CK1494" s="50" t="n">
        <f aca="false">N(M1494)</f>
        <v>0</v>
      </c>
      <c r="CL1494" s="50" t="n">
        <f aca="false">N(N1494)</f>
        <v>2</v>
      </c>
      <c r="CM1494" s="50" t="n">
        <f aca="false">ROUNDUP(H1494/BY1494,0)</f>
        <v>1</v>
      </c>
      <c r="CN1494" s="50" t="n">
        <f aca="false">ROUNDUP(CI1494/BY1494,0)</f>
        <v>0</v>
      </c>
      <c r="CO1494" s="53" t="n">
        <f aca="false">IF(BZ1494=1,0,IFERROR(VLOOKUP(BX1494,'Gebinde-Kategorie'!$A$5:$N$45,5,0)+0,0))</f>
        <v>21</v>
      </c>
      <c r="CP1494" s="53" t="n">
        <f aca="false">IFERROR(IF(OR(CE1494=1,CE1494=2,CE1494=3),N(INDEX(Parameter!$I$5:$I$7,CE1494)),0),0)</f>
        <v>0</v>
      </c>
      <c r="CQ1494" s="52" t="n">
        <f aca="false">IF(AND(Parameter!$B$21="Ja",ISNUMBER(W1494),N(X1494)&gt;0),IFERROR(N(INDEX(Parameter!$L$5:$L$7,W1494))*INDEX(Parameter!$E$5:$E$7,W1494)*X1494/SUMIFS($X$7:$X$1843,$W$7:$W$1843,W1494),0),0)</f>
        <v>0</v>
      </c>
    </row>
    <row r="1495" customFormat="false" ht="15" hidden="false" customHeight="false" outlineLevel="0" collapsed="false">
      <c r="A1495" s="48" t="s">
        <v>2621</v>
      </c>
      <c r="B1495" s="48" t="s">
        <v>2622</v>
      </c>
      <c r="C1495" s="48" t="s">
        <v>173</v>
      </c>
      <c r="D1495" s="48" t="s">
        <v>193</v>
      </c>
      <c r="E1495" s="48" t="s">
        <v>194</v>
      </c>
      <c r="F1495" s="48"/>
      <c r="G1495" s="49" t="n">
        <v>5.3</v>
      </c>
      <c r="H1495" s="50" t="n">
        <f aca="false">MAX(0,IF(AND(Parameter!$B$21="Ja",ISNUMBER(Y1495)),Y1495,IF(Parameter!$B$20="Jahresanfang 2025 + Export",BR1495+BQ1495,BQ1495)))</f>
        <v>18</v>
      </c>
      <c r="I1495" s="50" t="n">
        <f aca="false">H1495*G1495</f>
        <v>95.4</v>
      </c>
      <c r="J1495" s="50" t="n">
        <f aca="false">BT1495*Parameter!$B$18</f>
        <v>0</v>
      </c>
      <c r="K1495" s="51"/>
      <c r="L1495" s="52"/>
      <c r="M1495" s="50" t="n">
        <v>0</v>
      </c>
      <c r="N1495" s="50" t="n">
        <v>10</v>
      </c>
      <c r="O1495" s="53" t="n">
        <v>14</v>
      </c>
      <c r="P1495" s="48" t="s">
        <v>410</v>
      </c>
      <c r="Q1495" s="50" t="n">
        <v>18</v>
      </c>
      <c r="R1495" s="53" t="n">
        <f aca="false">IF(BZ1495=1,0,IFERROR(VLOOKUP(BX1495,'Gebinde-Kategorie'!$A$5:$N$45,13,0)+0,0))</f>
        <v>280</v>
      </c>
      <c r="S1495" s="54"/>
      <c r="T1495" s="55"/>
      <c r="U1495" s="55"/>
      <c r="V1495" s="55"/>
      <c r="W1495" s="48"/>
      <c r="X1495" s="50"/>
      <c r="Y1495" s="50"/>
      <c r="Z1495" s="48" t="n">
        <f aca="false">IF(A1495="","",IF(AND(Parameter!$B$21="Ja",ISNUMBER(W1495)),W1495,IF(CC1495="2+3",IF(ISNUMBER(SEARCH("grosser Artikel",BU1495)),2,IFERROR(VLOOKUP(BX1495,Parameter!$F$35:$G$64,2,0),2)),IF(OR(CC1495="Nein",CC1495=""),"-",CC1495))))</f>
        <v>3</v>
      </c>
      <c r="AA1495" s="55"/>
      <c r="AB1495" s="56"/>
      <c r="AC1495" s="50" t="n">
        <f aca="false">AV1495</f>
        <v>10</v>
      </c>
      <c r="AD1495" s="50" t="n">
        <f aca="false">MAX(AV1495,H1495)</f>
        <v>18</v>
      </c>
      <c r="AE1495" s="57"/>
      <c r="AF1495" s="50" t="n">
        <f aca="false">IF(LEFT(Cockpit!$C$5,1)="A",H1495,IF(Parameter!$E$30="MAX-Bestand",IF(CH1495=1,CI1495,IF(LEFT(Cockpit!$C$5,1)="B",AL1495,MAX(AL1495,H1495))),ROUNDUP(AJ1495,0)))</f>
        <v>18</v>
      </c>
      <c r="AG1495" s="50" t="n">
        <f aca="false">IF(BZ1495=1,0,ROUNDUP(AF1495/BY1495,0))</f>
        <v>1</v>
      </c>
      <c r="AH1495" s="52" t="n">
        <f aca="false">IF(CQ1495&gt;0,CQ1495*MAX(1,AF1495/X1495),IF(BZ1495=1,IF(AF1495&lt;=0,0,CD1495*MAX(1,IF(H1495&gt;0,AF1495/H1495,1))),IF(R1495&gt;0,AG1495/R1495,0))/MAX(0.1,N(Parameter!$M$21)))</f>
        <v>0.00357142857142857</v>
      </c>
      <c r="AI1495" s="50" t="n">
        <f aca="false">AH1495*CB1495</f>
        <v>0.553571428571429</v>
      </c>
      <c r="AJ1495" s="51" t="n">
        <f aca="false">IF(LEFT(Cockpit!$C$5,1)="A",H1495,IF(CH1495=1,(CK1495+CI1495)/2,IF(LEFT(Cockpit!$C$5,1)="B",(CK1495+AL1495)/2,MAX((CK1495+AL1495)/2,H1495))))</f>
        <v>18</v>
      </c>
      <c r="AK1495" s="50" t="n">
        <f aca="false">AJ1495*G1495</f>
        <v>95.4</v>
      </c>
      <c r="AL1495" s="50" t="n">
        <f aca="false">ROUNDUP(CK1495+MAX(CL1495,2*(J1495/IF(CG1495&gt;0,CG1495,MAX(0.1,N(Cockpit!$C$6)))-CK1495)),0)</f>
        <v>10</v>
      </c>
      <c r="AM1495" s="51" t="n">
        <f aca="false">IF(AI1495&gt;0,J1495/AI1495,-1)</f>
        <v>0</v>
      </c>
      <c r="AN1495" s="51" t="n">
        <f aca="false">IF(AND(OR(CF1495="L1",CF1495="L23",CF1495="LIFT"),AI1495&gt;0),SUMIFS($AI$7:$AI$1843,$CF$7:$CF$1843,CF1495,$AM$7:$AM$1843,"&gt;"&amp;AM1495)+SUMIFS($AI$7:$AI$1843,$CF$7:$CF$1843,CF1495,$AM$7:$AM$1843,AM1495,$BW$7:$BW$1843,"&lt;="&amp;BW1495),"")</f>
        <v>29816.5190859047</v>
      </c>
      <c r="AO1495" s="58" t="n">
        <f aca="false">IF(AN1495="",0,MAX(0,MIN(1,(IF(CF1495="L1",Parameter!$H$5,IF(CF1495="L23",Parameter!$H$6+Parameter!$H$7,Parameter!$H$5+Parameter!$H$6+Parameter!$H$7))-(AN1495-AI1495))/AI1495)))</f>
        <v>1</v>
      </c>
      <c r="AP1495" s="50" t="n">
        <f aca="false">IF(LEFT(Cockpit!$I$5,1)="A",H1495,IF(Parameter!$E$30="MAX-Bestand",IF(CH1495=1,CI1495,IF(LEFT(Cockpit!$I$5,1)="B",AV1495,MAX(AV1495,H1495))),ROUNDUP(AT1495,0)))</f>
        <v>18</v>
      </c>
      <c r="AQ1495" s="50" t="n">
        <f aca="false">IF(BZ1495=1,0,ROUNDUP(AP1495/BY1495,0))</f>
        <v>1</v>
      </c>
      <c r="AR1495" s="52" t="n">
        <f aca="false">IF(CQ1495&gt;0,CQ1495*MAX(1,AP1495/X1495),IF(BZ1495=1,IF(AP1495&lt;=0,0,CD1495*MAX(1,IF(H1495&gt;0,AP1495/H1495,1))),IF(R1495&gt;0,AQ1495/R1495,0))/MAX(0.1,N(Parameter!$M$21)))</f>
        <v>0.00357142857142857</v>
      </c>
      <c r="AS1495" s="50" t="n">
        <f aca="false">AR1495*CB1495</f>
        <v>0.553571428571429</v>
      </c>
      <c r="AT1495" s="51" t="n">
        <f aca="false">IF(LEFT(Cockpit!$I$5,1)="A",H1495,IF(CH1495=1,(CK1495+CI1495)/2,IF(LEFT(Cockpit!$I$5,1)="B",(CK1495+AV1495)/2,MAX((CK1495+AV1495)/2,H1495))))</f>
        <v>18</v>
      </c>
      <c r="AU1495" s="50" t="n">
        <f aca="false">AT1495*G1495</f>
        <v>95.4</v>
      </c>
      <c r="AV1495" s="50" t="n">
        <f aca="false">ROUNDUP(CK1495+MAX(CL1495,2*(J1495/IF(CG1495&gt;0,CG1495,MAX(0.1,N(Cockpit!$I$6)))-CK1495)),0)</f>
        <v>10</v>
      </c>
      <c r="AW1495" s="51" t="n">
        <f aca="false">IF(AS1495&gt;0,J1495/AS1495,-1)</f>
        <v>0</v>
      </c>
      <c r="AX1495" s="51" t="n">
        <f aca="false">IF(AND(OR(CF1495="L1",CF1495="L23",CF1495="LIFT"),AS1495&gt;0),SUMIFS($AS$7:$AS$1843,$CF$7:$CF$1843,CF1495,$AW$7:$AW$1843,"&gt;"&amp;AW1495)+SUMIFS($AS$7:$AS$1843,$CF$7:$CF$1843,CF1495,$AW$7:$AW$1843,AW1495,$BW$7:$BW$1843,"&lt;="&amp;BW1495),"")</f>
        <v>36123.0898884543</v>
      </c>
      <c r="AY1495" s="58" t="n">
        <f aca="false">IF(AX1495="",0,MAX(0,MIN(1,(IF(CF1495="L1",Parameter!$H$5,IF(CF1495="L23",Parameter!$H$6+Parameter!$H$7,Parameter!$H$5+Parameter!$H$6+Parameter!$H$7))-(AX1495-AS1495))/AS1495)))</f>
        <v>0</v>
      </c>
      <c r="AZ1495" s="50" t="n">
        <f aca="false">IF(LEFT(Cockpit!$O$5,1)="A",H1495,IF(Parameter!$E$30="MAX-Bestand",IF(CH1495=1,CI1495,IF(LEFT(Cockpit!$O$5,1)="B",BF1495,MAX(BF1495,H1495))),ROUNDUP(BD1495,0)))</f>
        <v>5</v>
      </c>
      <c r="BA1495" s="50" t="n">
        <f aca="false">IF(BZ1495=1,0,ROUNDUP(AZ1495/BY1495,0))</f>
        <v>1</v>
      </c>
      <c r="BB1495" s="52" t="n">
        <f aca="false">IF(CQ1495&gt;0,CQ1495*MAX(1,AZ1495/X1495),IF(BZ1495=1,IF(AZ1495&lt;=0,0,CD1495*MAX(1,IF(H1495&gt;0,AZ1495/H1495,1))),IF(R1495&gt;0,BA1495/R1495,0))/MAX(0.1,N(Parameter!$M$21)))</f>
        <v>0.00357142857142857</v>
      </c>
      <c r="BC1495" s="50" t="n">
        <f aca="false">BB1495*CB1495</f>
        <v>0.553571428571429</v>
      </c>
      <c r="BD1495" s="51" t="n">
        <f aca="false">IF(LEFT(Cockpit!$O$5,1)="A",H1495,IF(CH1495=1,(CK1495+CI1495)/2,IF(LEFT(Cockpit!$O$5,1)="B",(CK1495+BF1495)/2,MAX((CK1495+BF1495)/2,H1495))))</f>
        <v>5</v>
      </c>
      <c r="BE1495" s="50" t="n">
        <f aca="false">BD1495*G1495</f>
        <v>26.5</v>
      </c>
      <c r="BF1495" s="50" t="n">
        <f aca="false">ROUNDUP(CK1495+MAX(CL1495,2*(J1495/IF(CG1495&gt;0,CG1495,MAX(0.1,N(Cockpit!$O$6)))-CK1495)),0)</f>
        <v>10</v>
      </c>
      <c r="BG1495" s="51" t="n">
        <f aca="false">IF(BC1495&gt;0,J1495/BC1495,-1)</f>
        <v>0</v>
      </c>
      <c r="BH1495" s="51" t="n">
        <f aca="false">IF(AND(OR(CF1495="L1",CF1495="L23",CF1495="LIFT"),BC1495&gt;0),SUMIFS($BC$7:$BC$1843,$CF$7:$CF$1843,CF1495,$BG$7:$BG$1843,"&gt;"&amp;BG1495)+SUMIFS($BC$7:$BC$1843,$CF$7:$CF$1843,CF1495,$BG$7:$BG$1843,BG1495,$BW$7:$BW$1843,"&lt;="&amp;BW1495),"")</f>
        <v>30108.3965486021</v>
      </c>
      <c r="BI1495" s="58" t="n">
        <f aca="false">IF(BH1495="",0,MAX(0,MIN(1,(IF(CF1495="L1",Parameter!$H$5,IF(CF1495="L23",Parameter!$H$6+Parameter!$H$7,Parameter!$H$5+Parameter!$H$6+Parameter!$H$7))-(BH1495-BC1495))/BC1495)))</f>
        <v>1</v>
      </c>
      <c r="BJ1495" s="48" t="str">
        <f aca="false">IF(AI1495&lt;=0,"",IF(CF1495="Aussen","Aussenlager",IF(CF1495="-","Nicht im Lift",IF(AO1495&gt;=1,"Lift",IF(AO1495&lt;=0,"Aussenlager","teilweise")))))</f>
        <v>Lift</v>
      </c>
      <c r="BK1495" s="48" t="str">
        <f aca="false">IF(AS1495&lt;=0,"",IF(CF1495="Aussen","Aussenlager",IF(CF1495="-","Nicht im Lift",IF(AY1495&gt;=1,"Lift",IF(AY1495&lt;=0,"Aussenlager","teilweise")))))</f>
        <v>Aussenlager</v>
      </c>
      <c r="BL1495" s="48" t="str">
        <f aca="false">IF(BC1495&lt;=0,"",IF(CF1495="Aussen","Aussenlager",IF(CF1495="-","Nicht im Lift",IF(BI1495&gt;=1,"Lift",IF(BI1495&lt;=0,"Aussenlager","teilweise")))))</f>
        <v>Lift</v>
      </c>
      <c r="BM1495" s="48" t="str">
        <f aca="false">IF(A1495="","",IF(BV1495=1,"Neu; ","")&amp;IF(AND(BV1495=0,BQ1495&lt;0),"negativer Bestand (Export "&amp;BQ1495&amp;"); ","")&amp;IF(J1495&lt;=0,"Kein Verbrauch; ","")&amp;IF(CQ1495&gt;0,"Lift "&amp;W1495&amp;" lt. Liftbericht (Fach "&amp;X1495&amp;" Stk); ",IF(CA1495=1,"Gebinde geschätzt ("&amp;T1495&amp;"); ",IF(BZ1495=1,"Lose – Tablare geschätzt; ","")))&amp;IF(H1495&gt;AV1495,"Überbestand "&amp;ROUND(H1495-AV1495,0)&amp;" Stk / CHF "&amp;ROUND((H1495-AV1495)*G1495,0)&amp;"; ","")&amp;IF(AND(CH1495=1,CI1495&lt;CJ1495),"MAX &lt; MB+LG; ","")&amp;IF(AND(CP1495&gt;0,CO1495*10&gt;CP1495),"zu hoch für Tablar; ","")&amp;IF(AND(BV1495=0,OR(CH1495=1,AA1495&lt;&gt;"",U1495&lt;&gt;"",V1495&lt;&gt;"",AB1495&lt;&gt;"")),"manuell übersteuert; ","")&amp;IF(AND(BZ1495=0,R1495=0),"Gebinde unbekannt / Stellmass fehlt; ","")&amp;IF(AND(BZ1495=0,N(V1495)&lt;=0,N(Q1495)&lt;=0),"Menge pro Gebinde fehlt (Ist = 1 Gebinde); ","")&amp;BU1495)</f>
        <v>Kein Verbrauch; Überbestand 8 Stk / CHF 42; nur im Artikelstamm (Bestand 23.06.2026)</v>
      </c>
      <c r="BN1495" s="48"/>
      <c r="BO1495" s="48"/>
      <c r="BP1495" s="55"/>
      <c r="BQ1495" s="50" t="n">
        <v>18</v>
      </c>
      <c r="BR1495" s="50" t="n">
        <v>0</v>
      </c>
      <c r="BS1495" s="49" t="n">
        <v>0</v>
      </c>
      <c r="BT1495" s="50" t="n">
        <v>0</v>
      </c>
      <c r="BU1495" s="48" t="s">
        <v>2584</v>
      </c>
      <c r="BV1495" s="53" t="n">
        <v>0</v>
      </c>
      <c r="BW1495" s="53" t="n">
        <v>1495</v>
      </c>
      <c r="BX1495" s="48" t="str">
        <f aca="false">IF(U1495&lt;&gt;"",UPPER(TRIM(U1495)),IF(CA1495=1,UPPER(VLOOKUP(T1495,Parameter!$I$27:$K$29,2,0)),IF(P1495="","LOSE",P1495)))</f>
        <v>S21</v>
      </c>
      <c r="BY1495" s="50" t="n">
        <f aca="false">IF(BX1495="LOSE",1,IF(N(V1495)&gt;0,V1495,IF(CA1495=1,MAX(1,N(VLOOKUP(T1495,Parameter!$I$27:$K$29,3,0)),H1495,N(N1495)),IF(N(Q1495)&gt;0,Q1495,MAX(1,H1495)))))</f>
        <v>18</v>
      </c>
      <c r="BZ1495" s="53" t="n">
        <f aca="false">IF(BX1495="LOSE",1,0)</f>
        <v>0</v>
      </c>
      <c r="CA1495" s="53" t="n">
        <f aca="false">IF(AND(U1495="",OR(P1495="",P1495="LOSE"),T1495&lt;&gt;"",N(S1495)&lt;=0,ISNUMBER(MATCH(T1495,Parameter!$I$27:$I$29,0))),1,0)</f>
        <v>0</v>
      </c>
      <c r="CB1495" s="53" t="n">
        <f aca="false">IF(CQ1495&gt;0,INDEX(Parameter!$H$5:$H$7,W1495)/INDEX(Parameter!$E$5:$E$7,W1495),IF(AND(BZ1495=0,N(IFERROR(VLOOKUP(BX1495,'Gebinde-Kategorie'!$A$5:$N$45,14,0),0))&gt;0),VLOOKUP(BX1495,'Gebinde-Kategorie'!$A$5:$N$45,14,0)*10+Parameter!$M$23,Parameter!$M$24))</f>
        <v>155</v>
      </c>
      <c r="CC1495" s="48" t="str">
        <f aca="false">IF(AND(Parameter!$B$19="Ja",E1495&lt;&gt;"",ISNUMBER(MATCH(E1495,Parameter!$I$35:$I$52,0))),VLOOKUP(E1495,Parameter!$I$35:$J$52,2,0),IFERROR(VLOOKUP(D1495,Parameter!$A$35:$C$64,2,0),"Nein"))</f>
        <v>2+3</v>
      </c>
      <c r="CD1495" s="52" t="n">
        <f aca="false">IF(BZ1495=0,0,IF(N(S1495)&gt;0,S1495,IFERROR(VLOOKUP(D1495,Parameter!$A$35:$C$64,3,0)+0,0)))</f>
        <v>0</v>
      </c>
      <c r="CE1495" s="48" t="n">
        <f aca="false">IF(AA1495&lt;&gt;"",AA1495,Z1495)</f>
        <v>3</v>
      </c>
      <c r="CF1495" s="48" t="str">
        <f aca="false">IF(OR(CE1495=1,CE1495=2,CE1495=3),IF(Parameter!$E$27="Ja","LIFT",IF(CE1495=1,"L1","L23")),IF(CE1495="Aussen","Aussen","-"))</f>
        <v>LIFT</v>
      </c>
      <c r="CG1495" s="59" t="n">
        <f aca="false">IF(N(AB1495)&gt;0,AB1495,0)</f>
        <v>0</v>
      </c>
      <c r="CH1495" s="53" t="n">
        <f aca="false">IF(ISNUMBER(AE1495),1,0)</f>
        <v>0</v>
      </c>
      <c r="CI1495" s="50" t="n">
        <f aca="false">N(AE1495)</f>
        <v>0</v>
      </c>
      <c r="CJ1495" s="50" t="n">
        <f aca="false">N(M1495)+N(N1495)</f>
        <v>10</v>
      </c>
      <c r="CK1495" s="50" t="n">
        <f aca="false">N(M1495)</f>
        <v>0</v>
      </c>
      <c r="CL1495" s="50" t="n">
        <f aca="false">N(N1495)</f>
        <v>10</v>
      </c>
      <c r="CM1495" s="50" t="n">
        <f aca="false">ROUNDUP(H1495/BY1495,0)</f>
        <v>1</v>
      </c>
      <c r="CN1495" s="50" t="n">
        <f aca="false">ROUNDUP(CI1495/BY1495,0)</f>
        <v>0</v>
      </c>
      <c r="CO1495" s="53" t="n">
        <f aca="false">IF(BZ1495=1,0,IFERROR(VLOOKUP(BX1495,'Gebinde-Kategorie'!$A$5:$N$45,5,0)+0,0))</f>
        <v>8</v>
      </c>
      <c r="CP1495" s="53" t="n">
        <f aca="false">IFERROR(IF(OR(CE1495=1,CE1495=2,CE1495=3),N(INDEX(Parameter!$I$5:$I$7,CE1495)),0),0)</f>
        <v>0</v>
      </c>
      <c r="CQ1495" s="52" t="n">
        <f aca="false">IF(AND(Parameter!$B$21="Ja",ISNUMBER(W1495),N(X1495)&gt;0),IFERROR(N(INDEX(Parameter!$L$5:$L$7,W1495))*INDEX(Parameter!$E$5:$E$7,W1495)*X1495/SUMIFS($X$7:$X$1843,$W$7:$W$1843,W1495),0),0)</f>
        <v>0</v>
      </c>
    </row>
    <row r="1496" customFormat="false" ht="15" hidden="false" customHeight="false" outlineLevel="0" collapsed="false">
      <c r="A1496" s="48" t="s">
        <v>2623</v>
      </c>
      <c r="B1496" s="48" t="s">
        <v>2624</v>
      </c>
      <c r="C1496" s="48" t="s">
        <v>173</v>
      </c>
      <c r="D1496" s="48" t="s">
        <v>193</v>
      </c>
      <c r="E1496" s="48" t="s">
        <v>194</v>
      </c>
      <c r="F1496" s="48"/>
      <c r="G1496" s="49" t="n">
        <v>1.94</v>
      </c>
      <c r="H1496" s="50" t="n">
        <f aca="false">MAX(0,IF(AND(Parameter!$B$21="Ja",ISNUMBER(Y1496)),Y1496,IF(Parameter!$B$20="Jahresanfang 2025 + Export",BR1496+BQ1496,BQ1496)))</f>
        <v>21</v>
      </c>
      <c r="I1496" s="50" t="n">
        <f aca="false">H1496*G1496</f>
        <v>40.74</v>
      </c>
      <c r="J1496" s="50" t="n">
        <f aca="false">BT1496*Parameter!$B$18</f>
        <v>0</v>
      </c>
      <c r="K1496" s="51"/>
      <c r="L1496" s="52"/>
      <c r="M1496" s="50" t="n">
        <v>0</v>
      </c>
      <c r="N1496" s="50" t="n">
        <v>20</v>
      </c>
      <c r="O1496" s="53" t="n">
        <v>14</v>
      </c>
      <c r="P1496" s="48" t="s">
        <v>410</v>
      </c>
      <c r="Q1496" s="50" t="n">
        <v>21</v>
      </c>
      <c r="R1496" s="53" t="n">
        <f aca="false">IF(BZ1496=1,0,IFERROR(VLOOKUP(BX1496,'Gebinde-Kategorie'!$A$5:$N$45,13,0)+0,0))</f>
        <v>280</v>
      </c>
      <c r="S1496" s="54"/>
      <c r="T1496" s="55"/>
      <c r="U1496" s="55"/>
      <c r="V1496" s="55"/>
      <c r="W1496" s="48"/>
      <c r="X1496" s="50"/>
      <c r="Y1496" s="50"/>
      <c r="Z1496" s="48" t="n">
        <f aca="false">IF(A1496="","",IF(AND(Parameter!$B$21="Ja",ISNUMBER(W1496)),W1496,IF(CC1496="2+3",IF(ISNUMBER(SEARCH("grosser Artikel",BU1496)),2,IFERROR(VLOOKUP(BX1496,Parameter!$F$35:$G$64,2,0),2)),IF(OR(CC1496="Nein",CC1496=""),"-",CC1496))))</f>
        <v>3</v>
      </c>
      <c r="AA1496" s="55"/>
      <c r="AB1496" s="56"/>
      <c r="AC1496" s="50" t="n">
        <f aca="false">AV1496</f>
        <v>20</v>
      </c>
      <c r="AD1496" s="50" t="n">
        <f aca="false">MAX(AV1496,H1496)</f>
        <v>21</v>
      </c>
      <c r="AE1496" s="57"/>
      <c r="AF1496" s="50" t="n">
        <f aca="false">IF(LEFT(Cockpit!$C$5,1)="A",H1496,IF(Parameter!$E$30="MAX-Bestand",IF(CH1496=1,CI1496,IF(LEFT(Cockpit!$C$5,1)="B",AL1496,MAX(AL1496,H1496))),ROUNDUP(AJ1496,0)))</f>
        <v>21</v>
      </c>
      <c r="AG1496" s="50" t="n">
        <f aca="false">IF(BZ1496=1,0,ROUNDUP(AF1496/BY1496,0))</f>
        <v>1</v>
      </c>
      <c r="AH1496" s="52" t="n">
        <f aca="false">IF(CQ1496&gt;0,CQ1496*MAX(1,AF1496/X1496),IF(BZ1496=1,IF(AF1496&lt;=0,0,CD1496*MAX(1,IF(H1496&gt;0,AF1496/H1496,1))),IF(R1496&gt;0,AG1496/R1496,0))/MAX(0.1,N(Parameter!$M$21)))</f>
        <v>0.00357142857142857</v>
      </c>
      <c r="AI1496" s="50" t="n">
        <f aca="false">AH1496*CB1496</f>
        <v>0.553571428571429</v>
      </c>
      <c r="AJ1496" s="51" t="n">
        <f aca="false">IF(LEFT(Cockpit!$C$5,1)="A",H1496,IF(CH1496=1,(CK1496+CI1496)/2,IF(LEFT(Cockpit!$C$5,1)="B",(CK1496+AL1496)/2,MAX((CK1496+AL1496)/2,H1496))))</f>
        <v>21</v>
      </c>
      <c r="AK1496" s="50" t="n">
        <f aca="false">AJ1496*G1496</f>
        <v>40.74</v>
      </c>
      <c r="AL1496" s="50" t="n">
        <f aca="false">ROUNDUP(CK1496+MAX(CL1496,2*(J1496/IF(CG1496&gt;0,CG1496,MAX(0.1,N(Cockpit!$C$6)))-CK1496)),0)</f>
        <v>20</v>
      </c>
      <c r="AM1496" s="51" t="n">
        <f aca="false">IF(AI1496&gt;0,J1496/AI1496,-1)</f>
        <v>0</v>
      </c>
      <c r="AN1496" s="51" t="n">
        <f aca="false">IF(AND(OR(CF1496="L1",CF1496="L23",CF1496="LIFT"),AI1496&gt;0),SUMIFS($AI$7:$AI$1843,$CF$7:$CF$1843,CF1496,$AM$7:$AM$1843,"&gt;"&amp;AM1496)+SUMIFS($AI$7:$AI$1843,$CF$7:$CF$1843,CF1496,$AM$7:$AM$1843,AM1496,$BW$7:$BW$1843,"&lt;="&amp;BW1496),"")</f>
        <v>29817.0726573333</v>
      </c>
      <c r="AO1496" s="58" t="n">
        <f aca="false">IF(AN1496="",0,MAX(0,MIN(1,(IF(CF1496="L1",Parameter!$H$5,IF(CF1496="L23",Parameter!$H$6+Parameter!$H$7,Parameter!$H$5+Parameter!$H$6+Parameter!$H$7))-(AN1496-AI1496))/AI1496)))</f>
        <v>1</v>
      </c>
      <c r="AP1496" s="50" t="n">
        <f aca="false">IF(LEFT(Cockpit!$I$5,1)="A",H1496,IF(Parameter!$E$30="MAX-Bestand",IF(CH1496=1,CI1496,IF(LEFT(Cockpit!$I$5,1)="B",AV1496,MAX(AV1496,H1496))),ROUNDUP(AT1496,0)))</f>
        <v>21</v>
      </c>
      <c r="AQ1496" s="50" t="n">
        <f aca="false">IF(BZ1496=1,0,ROUNDUP(AP1496/BY1496,0))</f>
        <v>1</v>
      </c>
      <c r="AR1496" s="52" t="n">
        <f aca="false">IF(CQ1496&gt;0,CQ1496*MAX(1,AP1496/X1496),IF(BZ1496=1,IF(AP1496&lt;=0,0,CD1496*MAX(1,IF(H1496&gt;0,AP1496/H1496,1))),IF(R1496&gt;0,AQ1496/R1496,0))/MAX(0.1,N(Parameter!$M$21)))</f>
        <v>0.00357142857142857</v>
      </c>
      <c r="AS1496" s="50" t="n">
        <f aca="false">AR1496*CB1496</f>
        <v>0.553571428571429</v>
      </c>
      <c r="AT1496" s="51" t="n">
        <f aca="false">IF(LEFT(Cockpit!$I$5,1)="A",H1496,IF(CH1496=1,(CK1496+CI1496)/2,IF(LEFT(Cockpit!$I$5,1)="B",(CK1496+AV1496)/2,MAX((CK1496+AV1496)/2,H1496))))</f>
        <v>21</v>
      </c>
      <c r="AU1496" s="50" t="n">
        <f aca="false">AT1496*G1496</f>
        <v>40.74</v>
      </c>
      <c r="AV1496" s="50" t="n">
        <f aca="false">ROUNDUP(CK1496+MAX(CL1496,2*(J1496/IF(CG1496&gt;0,CG1496,MAX(0.1,N(Cockpit!$I$6)))-CK1496)),0)</f>
        <v>20</v>
      </c>
      <c r="AW1496" s="51" t="n">
        <f aca="false">IF(AS1496&gt;0,J1496/AS1496,-1)</f>
        <v>0</v>
      </c>
      <c r="AX1496" s="51" t="n">
        <f aca="false">IF(AND(OR(CF1496="L1",CF1496="L23",CF1496="LIFT"),AS1496&gt;0),SUMIFS($AS$7:$AS$1843,$CF$7:$CF$1843,CF1496,$AW$7:$AW$1843,"&gt;"&amp;AW1496)+SUMIFS($AS$7:$AS$1843,$CF$7:$CF$1843,CF1496,$AW$7:$AW$1843,AW1496,$BW$7:$BW$1843,"&lt;="&amp;BW1496),"")</f>
        <v>36123.6434598829</v>
      </c>
      <c r="AY1496" s="58" t="n">
        <f aca="false">IF(AX1496="",0,MAX(0,MIN(1,(IF(CF1496="L1",Parameter!$H$5,IF(CF1496="L23",Parameter!$H$6+Parameter!$H$7,Parameter!$H$5+Parameter!$H$6+Parameter!$H$7))-(AX1496-AS1496))/AS1496)))</f>
        <v>0</v>
      </c>
      <c r="AZ1496" s="50" t="n">
        <f aca="false">IF(LEFT(Cockpit!$O$5,1)="A",H1496,IF(Parameter!$E$30="MAX-Bestand",IF(CH1496=1,CI1496,IF(LEFT(Cockpit!$O$5,1)="B",BF1496,MAX(BF1496,H1496))),ROUNDUP(BD1496,0)))</f>
        <v>10</v>
      </c>
      <c r="BA1496" s="50" t="n">
        <f aca="false">IF(BZ1496=1,0,ROUNDUP(AZ1496/BY1496,0))</f>
        <v>1</v>
      </c>
      <c r="BB1496" s="52" t="n">
        <f aca="false">IF(CQ1496&gt;0,CQ1496*MAX(1,AZ1496/X1496),IF(BZ1496=1,IF(AZ1496&lt;=0,0,CD1496*MAX(1,IF(H1496&gt;0,AZ1496/H1496,1))),IF(R1496&gt;0,BA1496/R1496,0))/MAX(0.1,N(Parameter!$M$21)))</f>
        <v>0.00357142857142857</v>
      </c>
      <c r="BC1496" s="50" t="n">
        <f aca="false">BB1496*CB1496</f>
        <v>0.553571428571429</v>
      </c>
      <c r="BD1496" s="51" t="n">
        <f aca="false">IF(LEFT(Cockpit!$O$5,1)="A",H1496,IF(CH1496=1,(CK1496+CI1496)/2,IF(LEFT(Cockpit!$O$5,1)="B",(CK1496+BF1496)/2,MAX((CK1496+BF1496)/2,H1496))))</f>
        <v>10</v>
      </c>
      <c r="BE1496" s="50" t="n">
        <f aca="false">BD1496*G1496</f>
        <v>19.4</v>
      </c>
      <c r="BF1496" s="50" t="n">
        <f aca="false">ROUNDUP(CK1496+MAX(CL1496,2*(J1496/IF(CG1496&gt;0,CG1496,MAX(0.1,N(Cockpit!$O$6)))-CK1496)),0)</f>
        <v>20</v>
      </c>
      <c r="BG1496" s="51" t="n">
        <f aca="false">IF(BC1496&gt;0,J1496/BC1496,-1)</f>
        <v>0</v>
      </c>
      <c r="BH1496" s="51" t="n">
        <f aca="false">IF(AND(OR(CF1496="L1",CF1496="L23",CF1496="LIFT"),BC1496&gt;0),SUMIFS($BC$7:$BC$1843,$CF$7:$CF$1843,CF1496,$BG$7:$BG$1843,"&gt;"&amp;BG1496)+SUMIFS($BC$7:$BC$1843,$CF$7:$CF$1843,CF1496,$BG$7:$BG$1843,BG1496,$BW$7:$BW$1843,"&lt;="&amp;BW1496),"")</f>
        <v>30108.9501200306</v>
      </c>
      <c r="BI1496" s="58" t="n">
        <f aca="false">IF(BH1496="",0,MAX(0,MIN(1,(IF(CF1496="L1",Parameter!$H$5,IF(CF1496="L23",Parameter!$H$6+Parameter!$H$7,Parameter!$H$5+Parameter!$H$6+Parameter!$H$7))-(BH1496-BC1496))/BC1496)))</f>
        <v>1</v>
      </c>
      <c r="BJ1496" s="48" t="str">
        <f aca="false">IF(AI1496&lt;=0,"",IF(CF1496="Aussen","Aussenlager",IF(CF1496="-","Nicht im Lift",IF(AO1496&gt;=1,"Lift",IF(AO1496&lt;=0,"Aussenlager","teilweise")))))</f>
        <v>Lift</v>
      </c>
      <c r="BK1496" s="48" t="str">
        <f aca="false">IF(AS1496&lt;=0,"",IF(CF1496="Aussen","Aussenlager",IF(CF1496="-","Nicht im Lift",IF(AY1496&gt;=1,"Lift",IF(AY1496&lt;=0,"Aussenlager","teilweise")))))</f>
        <v>Aussenlager</v>
      </c>
      <c r="BL1496" s="48" t="str">
        <f aca="false">IF(BC1496&lt;=0,"",IF(CF1496="Aussen","Aussenlager",IF(CF1496="-","Nicht im Lift",IF(BI1496&gt;=1,"Lift",IF(BI1496&lt;=0,"Aussenlager","teilweise")))))</f>
        <v>Lift</v>
      </c>
      <c r="BM1496" s="48" t="str">
        <f aca="false">IF(A1496="","",IF(BV1496=1,"Neu; ","")&amp;IF(AND(BV1496=0,BQ1496&lt;0),"negativer Bestand (Export "&amp;BQ1496&amp;"); ","")&amp;IF(J1496&lt;=0,"Kein Verbrauch; ","")&amp;IF(CQ1496&gt;0,"Lift "&amp;W1496&amp;" lt. Liftbericht (Fach "&amp;X1496&amp;" Stk); ",IF(CA1496=1,"Gebinde geschätzt ("&amp;T1496&amp;"); ",IF(BZ1496=1,"Lose – Tablare geschätzt; ","")))&amp;IF(H1496&gt;AV1496,"Überbestand "&amp;ROUND(H1496-AV1496,0)&amp;" Stk / CHF "&amp;ROUND((H1496-AV1496)*G1496,0)&amp;"; ","")&amp;IF(AND(CH1496=1,CI1496&lt;CJ1496),"MAX &lt; MB+LG; ","")&amp;IF(AND(CP1496&gt;0,CO1496*10&gt;CP1496),"zu hoch für Tablar; ","")&amp;IF(AND(BV1496=0,OR(CH1496=1,AA1496&lt;&gt;"",U1496&lt;&gt;"",V1496&lt;&gt;"",AB1496&lt;&gt;"")),"manuell übersteuert; ","")&amp;IF(AND(BZ1496=0,R1496=0),"Gebinde unbekannt / Stellmass fehlt; ","")&amp;IF(AND(BZ1496=0,N(V1496)&lt;=0,N(Q1496)&lt;=0),"Menge pro Gebinde fehlt (Ist = 1 Gebinde); ","")&amp;BU1496)</f>
        <v>Kein Verbrauch; Überbestand 1 Stk / CHF 2; nur im Artikelstamm (Bestand 23.06.2026)</v>
      </c>
      <c r="BN1496" s="48"/>
      <c r="BO1496" s="48"/>
      <c r="BP1496" s="55"/>
      <c r="BQ1496" s="50" t="n">
        <v>21</v>
      </c>
      <c r="BR1496" s="50" t="n">
        <v>0</v>
      </c>
      <c r="BS1496" s="49" t="n">
        <v>0</v>
      </c>
      <c r="BT1496" s="50" t="n">
        <v>0</v>
      </c>
      <c r="BU1496" s="48" t="s">
        <v>2584</v>
      </c>
      <c r="BV1496" s="53" t="n">
        <v>0</v>
      </c>
      <c r="BW1496" s="53" t="n">
        <v>1496</v>
      </c>
      <c r="BX1496" s="48" t="str">
        <f aca="false">IF(U1496&lt;&gt;"",UPPER(TRIM(U1496)),IF(CA1496=1,UPPER(VLOOKUP(T1496,Parameter!$I$27:$K$29,2,0)),IF(P1496="","LOSE",P1496)))</f>
        <v>S21</v>
      </c>
      <c r="BY1496" s="50" t="n">
        <f aca="false">IF(BX1496="LOSE",1,IF(N(V1496)&gt;0,V1496,IF(CA1496=1,MAX(1,N(VLOOKUP(T1496,Parameter!$I$27:$K$29,3,0)),H1496,N(N1496)),IF(N(Q1496)&gt;0,Q1496,MAX(1,H1496)))))</f>
        <v>21</v>
      </c>
      <c r="BZ1496" s="53" t="n">
        <f aca="false">IF(BX1496="LOSE",1,0)</f>
        <v>0</v>
      </c>
      <c r="CA1496" s="53" t="n">
        <f aca="false">IF(AND(U1496="",OR(P1496="",P1496="LOSE"),T1496&lt;&gt;"",N(S1496)&lt;=0,ISNUMBER(MATCH(T1496,Parameter!$I$27:$I$29,0))),1,0)</f>
        <v>0</v>
      </c>
      <c r="CB1496" s="53" t="n">
        <f aca="false">IF(CQ1496&gt;0,INDEX(Parameter!$H$5:$H$7,W1496)/INDEX(Parameter!$E$5:$E$7,W1496),IF(AND(BZ1496=0,N(IFERROR(VLOOKUP(BX1496,'Gebinde-Kategorie'!$A$5:$N$45,14,0),0))&gt;0),VLOOKUP(BX1496,'Gebinde-Kategorie'!$A$5:$N$45,14,0)*10+Parameter!$M$23,Parameter!$M$24))</f>
        <v>155</v>
      </c>
      <c r="CC1496" s="48" t="str">
        <f aca="false">IF(AND(Parameter!$B$19="Ja",E1496&lt;&gt;"",ISNUMBER(MATCH(E1496,Parameter!$I$35:$I$52,0))),VLOOKUP(E1496,Parameter!$I$35:$J$52,2,0),IFERROR(VLOOKUP(D1496,Parameter!$A$35:$C$64,2,0),"Nein"))</f>
        <v>2+3</v>
      </c>
      <c r="CD1496" s="52" t="n">
        <f aca="false">IF(BZ1496=0,0,IF(N(S1496)&gt;0,S1496,IFERROR(VLOOKUP(D1496,Parameter!$A$35:$C$64,3,0)+0,0)))</f>
        <v>0</v>
      </c>
      <c r="CE1496" s="48" t="n">
        <f aca="false">IF(AA1496&lt;&gt;"",AA1496,Z1496)</f>
        <v>3</v>
      </c>
      <c r="CF1496" s="48" t="str">
        <f aca="false">IF(OR(CE1496=1,CE1496=2,CE1496=3),IF(Parameter!$E$27="Ja","LIFT",IF(CE1496=1,"L1","L23")),IF(CE1496="Aussen","Aussen","-"))</f>
        <v>LIFT</v>
      </c>
      <c r="CG1496" s="59" t="n">
        <f aca="false">IF(N(AB1496)&gt;0,AB1496,0)</f>
        <v>0</v>
      </c>
      <c r="CH1496" s="53" t="n">
        <f aca="false">IF(ISNUMBER(AE1496),1,0)</f>
        <v>0</v>
      </c>
      <c r="CI1496" s="50" t="n">
        <f aca="false">N(AE1496)</f>
        <v>0</v>
      </c>
      <c r="CJ1496" s="50" t="n">
        <f aca="false">N(M1496)+N(N1496)</f>
        <v>20</v>
      </c>
      <c r="CK1496" s="50" t="n">
        <f aca="false">N(M1496)</f>
        <v>0</v>
      </c>
      <c r="CL1496" s="50" t="n">
        <f aca="false">N(N1496)</f>
        <v>20</v>
      </c>
      <c r="CM1496" s="50" t="n">
        <f aca="false">ROUNDUP(H1496/BY1496,0)</f>
        <v>1</v>
      </c>
      <c r="CN1496" s="50" t="n">
        <f aca="false">ROUNDUP(CI1496/BY1496,0)</f>
        <v>0</v>
      </c>
      <c r="CO1496" s="53" t="n">
        <f aca="false">IF(BZ1496=1,0,IFERROR(VLOOKUP(BX1496,'Gebinde-Kategorie'!$A$5:$N$45,5,0)+0,0))</f>
        <v>8</v>
      </c>
      <c r="CP1496" s="53" t="n">
        <f aca="false">IFERROR(IF(OR(CE1496=1,CE1496=2,CE1496=3),N(INDEX(Parameter!$I$5:$I$7,CE1496)),0),0)</f>
        <v>0</v>
      </c>
      <c r="CQ1496" s="52" t="n">
        <f aca="false">IF(AND(Parameter!$B$21="Ja",ISNUMBER(W1496),N(X1496)&gt;0),IFERROR(N(INDEX(Parameter!$L$5:$L$7,W1496))*INDEX(Parameter!$E$5:$E$7,W1496)*X1496/SUMIFS($X$7:$X$1843,$W$7:$W$1843,W1496),0),0)</f>
        <v>0</v>
      </c>
    </row>
    <row r="1497" customFormat="false" ht="15" hidden="false" customHeight="false" outlineLevel="0" collapsed="false">
      <c r="A1497" s="48" t="s">
        <v>2625</v>
      </c>
      <c r="B1497" s="48" t="s">
        <v>2626</v>
      </c>
      <c r="C1497" s="48" t="s">
        <v>173</v>
      </c>
      <c r="D1497" s="48" t="s">
        <v>193</v>
      </c>
      <c r="E1497" s="48" t="s">
        <v>194</v>
      </c>
      <c r="F1497" s="48"/>
      <c r="G1497" s="49" t="n">
        <v>9.06</v>
      </c>
      <c r="H1497" s="50" t="n">
        <f aca="false">MAX(0,IF(AND(Parameter!$B$21="Ja",ISNUMBER(Y1497)),Y1497,IF(Parameter!$B$20="Jahresanfang 2025 + Export",BR1497+BQ1497,BQ1497)))</f>
        <v>16</v>
      </c>
      <c r="I1497" s="50" t="n">
        <f aca="false">H1497*G1497</f>
        <v>144.96</v>
      </c>
      <c r="J1497" s="50" t="n">
        <f aca="false">BT1497*Parameter!$B$18</f>
        <v>0</v>
      </c>
      <c r="K1497" s="51"/>
      <c r="L1497" s="52"/>
      <c r="M1497" s="50" t="n">
        <v>0</v>
      </c>
      <c r="N1497" s="50" t="n">
        <v>20</v>
      </c>
      <c r="O1497" s="53" t="n">
        <v>14</v>
      </c>
      <c r="P1497" s="48" t="s">
        <v>410</v>
      </c>
      <c r="Q1497" s="50" t="n">
        <v>16</v>
      </c>
      <c r="R1497" s="53" t="n">
        <f aca="false">IF(BZ1497=1,0,IFERROR(VLOOKUP(BX1497,'Gebinde-Kategorie'!$A$5:$N$45,13,0)+0,0))</f>
        <v>280</v>
      </c>
      <c r="S1497" s="54"/>
      <c r="T1497" s="55"/>
      <c r="U1497" s="55"/>
      <c r="V1497" s="55"/>
      <c r="W1497" s="48"/>
      <c r="X1497" s="50"/>
      <c r="Y1497" s="50"/>
      <c r="Z1497" s="48" t="n">
        <f aca="false">IF(A1497="","",IF(AND(Parameter!$B$21="Ja",ISNUMBER(W1497)),W1497,IF(CC1497="2+3",IF(ISNUMBER(SEARCH("grosser Artikel",BU1497)),2,IFERROR(VLOOKUP(BX1497,Parameter!$F$35:$G$64,2,0),2)),IF(OR(CC1497="Nein",CC1497=""),"-",CC1497))))</f>
        <v>3</v>
      </c>
      <c r="AA1497" s="55"/>
      <c r="AB1497" s="56"/>
      <c r="AC1497" s="50" t="n">
        <f aca="false">AV1497</f>
        <v>20</v>
      </c>
      <c r="AD1497" s="50" t="n">
        <f aca="false">MAX(AV1497,H1497)</f>
        <v>20</v>
      </c>
      <c r="AE1497" s="57"/>
      <c r="AF1497" s="50" t="n">
        <f aca="false">IF(LEFT(Cockpit!$C$5,1)="A",H1497,IF(Parameter!$E$30="MAX-Bestand",IF(CH1497=1,CI1497,IF(LEFT(Cockpit!$C$5,1)="B",AL1497,MAX(AL1497,H1497))),ROUNDUP(AJ1497,0)))</f>
        <v>16</v>
      </c>
      <c r="AG1497" s="50" t="n">
        <f aca="false">IF(BZ1497=1,0,ROUNDUP(AF1497/BY1497,0))</f>
        <v>1</v>
      </c>
      <c r="AH1497" s="52" t="n">
        <f aca="false">IF(CQ1497&gt;0,CQ1497*MAX(1,AF1497/X1497),IF(BZ1497=1,IF(AF1497&lt;=0,0,CD1497*MAX(1,IF(H1497&gt;0,AF1497/H1497,1))),IF(R1497&gt;0,AG1497/R1497,0))/MAX(0.1,N(Parameter!$M$21)))</f>
        <v>0.00357142857142857</v>
      </c>
      <c r="AI1497" s="50" t="n">
        <f aca="false">AH1497*CB1497</f>
        <v>0.553571428571429</v>
      </c>
      <c r="AJ1497" s="51" t="n">
        <f aca="false">IF(LEFT(Cockpit!$C$5,1)="A",H1497,IF(CH1497=1,(CK1497+CI1497)/2,IF(LEFT(Cockpit!$C$5,1)="B",(CK1497+AL1497)/2,MAX((CK1497+AL1497)/2,H1497))))</f>
        <v>16</v>
      </c>
      <c r="AK1497" s="50" t="n">
        <f aca="false">AJ1497*G1497</f>
        <v>144.96</v>
      </c>
      <c r="AL1497" s="50" t="n">
        <f aca="false">ROUNDUP(CK1497+MAX(CL1497,2*(J1497/IF(CG1497&gt;0,CG1497,MAX(0.1,N(Cockpit!$C$6)))-CK1497)),0)</f>
        <v>20</v>
      </c>
      <c r="AM1497" s="51" t="n">
        <f aca="false">IF(AI1497&gt;0,J1497/AI1497,-1)</f>
        <v>0</v>
      </c>
      <c r="AN1497" s="51" t="n">
        <f aca="false">IF(AND(OR(CF1497="L1",CF1497="L23",CF1497="LIFT"),AI1497&gt;0),SUMIFS($AI$7:$AI$1843,$CF$7:$CF$1843,CF1497,$AM$7:$AM$1843,"&gt;"&amp;AM1497)+SUMIFS($AI$7:$AI$1843,$CF$7:$CF$1843,CF1497,$AM$7:$AM$1843,AM1497,$BW$7:$BW$1843,"&lt;="&amp;BW1497),"")</f>
        <v>29817.6262287618</v>
      </c>
      <c r="AO1497" s="58" t="n">
        <f aca="false">IF(AN1497="",0,MAX(0,MIN(1,(IF(CF1497="L1",Parameter!$H$5,IF(CF1497="L23",Parameter!$H$6+Parameter!$H$7,Parameter!$H$5+Parameter!$H$6+Parameter!$H$7))-(AN1497-AI1497))/AI1497)))</f>
        <v>1</v>
      </c>
      <c r="AP1497" s="50" t="n">
        <f aca="false">IF(LEFT(Cockpit!$I$5,1)="A",H1497,IF(Parameter!$E$30="MAX-Bestand",IF(CH1497=1,CI1497,IF(LEFT(Cockpit!$I$5,1)="B",AV1497,MAX(AV1497,H1497))),ROUNDUP(AT1497,0)))</f>
        <v>16</v>
      </c>
      <c r="AQ1497" s="50" t="n">
        <f aca="false">IF(BZ1497=1,0,ROUNDUP(AP1497/BY1497,0))</f>
        <v>1</v>
      </c>
      <c r="AR1497" s="52" t="n">
        <f aca="false">IF(CQ1497&gt;0,CQ1497*MAX(1,AP1497/X1497),IF(BZ1497=1,IF(AP1497&lt;=0,0,CD1497*MAX(1,IF(H1497&gt;0,AP1497/H1497,1))),IF(R1497&gt;0,AQ1497/R1497,0))/MAX(0.1,N(Parameter!$M$21)))</f>
        <v>0.00357142857142857</v>
      </c>
      <c r="AS1497" s="50" t="n">
        <f aca="false">AR1497*CB1497</f>
        <v>0.553571428571429</v>
      </c>
      <c r="AT1497" s="51" t="n">
        <f aca="false">IF(LEFT(Cockpit!$I$5,1)="A",H1497,IF(CH1497=1,(CK1497+CI1497)/2,IF(LEFT(Cockpit!$I$5,1)="B",(CK1497+AV1497)/2,MAX((CK1497+AV1497)/2,H1497))))</f>
        <v>16</v>
      </c>
      <c r="AU1497" s="50" t="n">
        <f aca="false">AT1497*G1497</f>
        <v>144.96</v>
      </c>
      <c r="AV1497" s="50" t="n">
        <f aca="false">ROUNDUP(CK1497+MAX(CL1497,2*(J1497/IF(CG1497&gt;0,CG1497,MAX(0.1,N(Cockpit!$I$6)))-CK1497)),0)</f>
        <v>20</v>
      </c>
      <c r="AW1497" s="51" t="n">
        <f aca="false">IF(AS1497&gt;0,J1497/AS1497,-1)</f>
        <v>0</v>
      </c>
      <c r="AX1497" s="51" t="n">
        <f aca="false">IF(AND(OR(CF1497="L1",CF1497="L23",CF1497="LIFT"),AS1497&gt;0),SUMIFS($AS$7:$AS$1843,$CF$7:$CF$1843,CF1497,$AW$7:$AW$1843,"&gt;"&amp;AW1497)+SUMIFS($AS$7:$AS$1843,$CF$7:$CF$1843,CF1497,$AW$7:$AW$1843,AW1497,$BW$7:$BW$1843,"&lt;="&amp;BW1497),"")</f>
        <v>36124.1970313114</v>
      </c>
      <c r="AY1497" s="58" t="n">
        <f aca="false">IF(AX1497="",0,MAX(0,MIN(1,(IF(CF1497="L1",Parameter!$H$5,IF(CF1497="L23",Parameter!$H$6+Parameter!$H$7,Parameter!$H$5+Parameter!$H$6+Parameter!$H$7))-(AX1497-AS1497))/AS1497)))</f>
        <v>0</v>
      </c>
      <c r="AZ1497" s="50" t="n">
        <f aca="false">IF(LEFT(Cockpit!$O$5,1)="A",H1497,IF(Parameter!$E$30="MAX-Bestand",IF(CH1497=1,CI1497,IF(LEFT(Cockpit!$O$5,1)="B",BF1497,MAX(BF1497,H1497))),ROUNDUP(BD1497,0)))</f>
        <v>10</v>
      </c>
      <c r="BA1497" s="50" t="n">
        <f aca="false">IF(BZ1497=1,0,ROUNDUP(AZ1497/BY1497,0))</f>
        <v>1</v>
      </c>
      <c r="BB1497" s="52" t="n">
        <f aca="false">IF(CQ1497&gt;0,CQ1497*MAX(1,AZ1497/X1497),IF(BZ1497=1,IF(AZ1497&lt;=0,0,CD1497*MAX(1,IF(H1497&gt;0,AZ1497/H1497,1))),IF(R1497&gt;0,BA1497/R1497,0))/MAX(0.1,N(Parameter!$M$21)))</f>
        <v>0.00357142857142857</v>
      </c>
      <c r="BC1497" s="50" t="n">
        <f aca="false">BB1497*CB1497</f>
        <v>0.553571428571429</v>
      </c>
      <c r="BD1497" s="51" t="n">
        <f aca="false">IF(LEFT(Cockpit!$O$5,1)="A",H1497,IF(CH1497=1,(CK1497+CI1497)/2,IF(LEFT(Cockpit!$O$5,1)="B",(CK1497+BF1497)/2,MAX((CK1497+BF1497)/2,H1497))))</f>
        <v>10</v>
      </c>
      <c r="BE1497" s="50" t="n">
        <f aca="false">BD1497*G1497</f>
        <v>90.6</v>
      </c>
      <c r="BF1497" s="50" t="n">
        <f aca="false">ROUNDUP(CK1497+MAX(CL1497,2*(J1497/IF(CG1497&gt;0,CG1497,MAX(0.1,N(Cockpit!$O$6)))-CK1497)),0)</f>
        <v>20</v>
      </c>
      <c r="BG1497" s="51" t="n">
        <f aca="false">IF(BC1497&gt;0,J1497/BC1497,-1)</f>
        <v>0</v>
      </c>
      <c r="BH1497" s="51" t="n">
        <f aca="false">IF(AND(OR(CF1497="L1",CF1497="L23",CF1497="LIFT"),BC1497&gt;0),SUMIFS($BC$7:$BC$1843,$CF$7:$CF$1843,CF1497,$BG$7:$BG$1843,"&gt;"&amp;BG1497)+SUMIFS($BC$7:$BC$1843,$CF$7:$CF$1843,CF1497,$BG$7:$BG$1843,BG1497,$BW$7:$BW$1843,"&lt;="&amp;BW1497),"")</f>
        <v>30109.5036914592</v>
      </c>
      <c r="BI1497" s="58" t="n">
        <f aca="false">IF(BH1497="",0,MAX(0,MIN(1,(IF(CF1497="L1",Parameter!$H$5,IF(CF1497="L23",Parameter!$H$6+Parameter!$H$7,Parameter!$H$5+Parameter!$H$6+Parameter!$H$7))-(BH1497-BC1497))/BC1497)))</f>
        <v>1</v>
      </c>
      <c r="BJ1497" s="48" t="str">
        <f aca="false">IF(AI1497&lt;=0,"",IF(CF1497="Aussen","Aussenlager",IF(CF1497="-","Nicht im Lift",IF(AO1497&gt;=1,"Lift",IF(AO1497&lt;=0,"Aussenlager","teilweise")))))</f>
        <v>Lift</v>
      </c>
      <c r="BK1497" s="48" t="str">
        <f aca="false">IF(AS1497&lt;=0,"",IF(CF1497="Aussen","Aussenlager",IF(CF1497="-","Nicht im Lift",IF(AY1497&gt;=1,"Lift",IF(AY1497&lt;=0,"Aussenlager","teilweise")))))</f>
        <v>Aussenlager</v>
      </c>
      <c r="BL1497" s="48" t="str">
        <f aca="false">IF(BC1497&lt;=0,"",IF(CF1497="Aussen","Aussenlager",IF(CF1497="-","Nicht im Lift",IF(BI1497&gt;=1,"Lift",IF(BI1497&lt;=0,"Aussenlager","teilweise")))))</f>
        <v>Lift</v>
      </c>
      <c r="BM1497" s="48" t="str">
        <f aca="false">IF(A1497="","",IF(BV1497=1,"Neu; ","")&amp;IF(AND(BV1497=0,BQ1497&lt;0),"negativer Bestand (Export "&amp;BQ1497&amp;"); ","")&amp;IF(J1497&lt;=0,"Kein Verbrauch; ","")&amp;IF(CQ1497&gt;0,"Lift "&amp;W1497&amp;" lt. Liftbericht (Fach "&amp;X1497&amp;" Stk); ",IF(CA1497=1,"Gebinde geschätzt ("&amp;T1497&amp;"); ",IF(BZ1497=1,"Lose – Tablare geschätzt; ","")))&amp;IF(H1497&gt;AV1497,"Überbestand "&amp;ROUND(H1497-AV1497,0)&amp;" Stk / CHF "&amp;ROUND((H1497-AV1497)*G1497,0)&amp;"; ","")&amp;IF(AND(CH1497=1,CI1497&lt;CJ1497),"MAX &lt; MB+LG; ","")&amp;IF(AND(CP1497&gt;0,CO1497*10&gt;CP1497),"zu hoch für Tablar; ","")&amp;IF(AND(BV1497=0,OR(CH1497=1,AA1497&lt;&gt;"",U1497&lt;&gt;"",V1497&lt;&gt;"",AB1497&lt;&gt;"")),"manuell übersteuert; ","")&amp;IF(AND(BZ1497=0,R1497=0),"Gebinde unbekannt / Stellmass fehlt; ","")&amp;IF(AND(BZ1497=0,N(V1497)&lt;=0,N(Q1497)&lt;=0),"Menge pro Gebinde fehlt (Ist = 1 Gebinde); ","")&amp;BU1497)</f>
        <v>Kein Verbrauch; nur im Artikelstamm (Bestand 23.06.2026)</v>
      </c>
      <c r="BN1497" s="48"/>
      <c r="BO1497" s="48"/>
      <c r="BP1497" s="55"/>
      <c r="BQ1497" s="50" t="n">
        <v>16</v>
      </c>
      <c r="BR1497" s="50" t="n">
        <v>0</v>
      </c>
      <c r="BS1497" s="49" t="n">
        <v>0</v>
      </c>
      <c r="BT1497" s="50" t="n">
        <v>0</v>
      </c>
      <c r="BU1497" s="48" t="s">
        <v>2584</v>
      </c>
      <c r="BV1497" s="53" t="n">
        <v>0</v>
      </c>
      <c r="BW1497" s="53" t="n">
        <v>1497</v>
      </c>
      <c r="BX1497" s="48" t="str">
        <f aca="false">IF(U1497&lt;&gt;"",UPPER(TRIM(U1497)),IF(CA1497=1,UPPER(VLOOKUP(T1497,Parameter!$I$27:$K$29,2,0)),IF(P1497="","LOSE",P1497)))</f>
        <v>S21</v>
      </c>
      <c r="BY1497" s="50" t="n">
        <f aca="false">IF(BX1497="LOSE",1,IF(N(V1497)&gt;0,V1497,IF(CA1497=1,MAX(1,N(VLOOKUP(T1497,Parameter!$I$27:$K$29,3,0)),H1497,N(N1497)),IF(N(Q1497)&gt;0,Q1497,MAX(1,H1497)))))</f>
        <v>16</v>
      </c>
      <c r="BZ1497" s="53" t="n">
        <f aca="false">IF(BX1497="LOSE",1,0)</f>
        <v>0</v>
      </c>
      <c r="CA1497" s="53" t="n">
        <f aca="false">IF(AND(U1497="",OR(P1497="",P1497="LOSE"),T1497&lt;&gt;"",N(S1497)&lt;=0,ISNUMBER(MATCH(T1497,Parameter!$I$27:$I$29,0))),1,0)</f>
        <v>0</v>
      </c>
      <c r="CB1497" s="53" t="n">
        <f aca="false">IF(CQ1497&gt;0,INDEX(Parameter!$H$5:$H$7,W1497)/INDEX(Parameter!$E$5:$E$7,W1497),IF(AND(BZ1497=0,N(IFERROR(VLOOKUP(BX1497,'Gebinde-Kategorie'!$A$5:$N$45,14,0),0))&gt;0),VLOOKUP(BX1497,'Gebinde-Kategorie'!$A$5:$N$45,14,0)*10+Parameter!$M$23,Parameter!$M$24))</f>
        <v>155</v>
      </c>
      <c r="CC1497" s="48" t="str">
        <f aca="false">IF(AND(Parameter!$B$19="Ja",E1497&lt;&gt;"",ISNUMBER(MATCH(E1497,Parameter!$I$35:$I$52,0))),VLOOKUP(E1497,Parameter!$I$35:$J$52,2,0),IFERROR(VLOOKUP(D1497,Parameter!$A$35:$C$64,2,0),"Nein"))</f>
        <v>2+3</v>
      </c>
      <c r="CD1497" s="52" t="n">
        <f aca="false">IF(BZ1497=0,0,IF(N(S1497)&gt;0,S1497,IFERROR(VLOOKUP(D1497,Parameter!$A$35:$C$64,3,0)+0,0)))</f>
        <v>0</v>
      </c>
      <c r="CE1497" s="48" t="n">
        <f aca="false">IF(AA1497&lt;&gt;"",AA1497,Z1497)</f>
        <v>3</v>
      </c>
      <c r="CF1497" s="48" t="str">
        <f aca="false">IF(OR(CE1497=1,CE1497=2,CE1497=3),IF(Parameter!$E$27="Ja","LIFT",IF(CE1497=1,"L1","L23")),IF(CE1497="Aussen","Aussen","-"))</f>
        <v>LIFT</v>
      </c>
      <c r="CG1497" s="59" t="n">
        <f aca="false">IF(N(AB1497)&gt;0,AB1497,0)</f>
        <v>0</v>
      </c>
      <c r="CH1497" s="53" t="n">
        <f aca="false">IF(ISNUMBER(AE1497),1,0)</f>
        <v>0</v>
      </c>
      <c r="CI1497" s="50" t="n">
        <f aca="false">N(AE1497)</f>
        <v>0</v>
      </c>
      <c r="CJ1497" s="50" t="n">
        <f aca="false">N(M1497)+N(N1497)</f>
        <v>20</v>
      </c>
      <c r="CK1497" s="50" t="n">
        <f aca="false">N(M1497)</f>
        <v>0</v>
      </c>
      <c r="CL1497" s="50" t="n">
        <f aca="false">N(N1497)</f>
        <v>20</v>
      </c>
      <c r="CM1497" s="50" t="n">
        <f aca="false">ROUNDUP(H1497/BY1497,0)</f>
        <v>1</v>
      </c>
      <c r="CN1497" s="50" t="n">
        <f aca="false">ROUNDUP(CI1497/BY1497,0)</f>
        <v>0</v>
      </c>
      <c r="CO1497" s="53" t="n">
        <f aca="false">IF(BZ1497=1,0,IFERROR(VLOOKUP(BX1497,'Gebinde-Kategorie'!$A$5:$N$45,5,0)+0,0))</f>
        <v>8</v>
      </c>
      <c r="CP1497" s="53" t="n">
        <f aca="false">IFERROR(IF(OR(CE1497=1,CE1497=2,CE1497=3),N(INDEX(Parameter!$I$5:$I$7,CE1497)),0),0)</f>
        <v>0</v>
      </c>
      <c r="CQ1497" s="52" t="n">
        <f aca="false">IF(AND(Parameter!$B$21="Ja",ISNUMBER(W1497),N(X1497)&gt;0),IFERROR(N(INDEX(Parameter!$L$5:$L$7,W1497))*INDEX(Parameter!$E$5:$E$7,W1497)*X1497/SUMIFS($X$7:$X$1843,$W$7:$W$1843,W1497),0),0)</f>
        <v>0</v>
      </c>
    </row>
    <row r="1498" customFormat="false" ht="15" hidden="false" customHeight="false" outlineLevel="0" collapsed="false">
      <c r="A1498" s="48" t="s">
        <v>2627</v>
      </c>
      <c r="B1498" s="48" t="s">
        <v>2628</v>
      </c>
      <c r="C1498" s="48" t="s">
        <v>173</v>
      </c>
      <c r="D1498" s="48" t="s">
        <v>193</v>
      </c>
      <c r="E1498" s="48" t="s">
        <v>194</v>
      </c>
      <c r="F1498" s="48"/>
      <c r="G1498" s="49" t="n">
        <v>5.21</v>
      </c>
      <c r="H1498" s="50" t="n">
        <f aca="false">MAX(0,IF(AND(Parameter!$B$21="Ja",ISNUMBER(Y1498)),Y1498,IF(Parameter!$B$20="Jahresanfang 2025 + Export",BR1498+BQ1498,BQ1498)))</f>
        <v>14</v>
      </c>
      <c r="I1498" s="50" t="n">
        <f aca="false">H1498*G1498</f>
        <v>72.94</v>
      </c>
      <c r="J1498" s="50" t="n">
        <f aca="false">BT1498*Parameter!$B$18</f>
        <v>0</v>
      </c>
      <c r="K1498" s="51"/>
      <c r="L1498" s="52"/>
      <c r="M1498" s="50" t="n">
        <v>0</v>
      </c>
      <c r="N1498" s="50" t="n">
        <v>10</v>
      </c>
      <c r="O1498" s="53" t="n">
        <v>14</v>
      </c>
      <c r="P1498" s="48" t="s">
        <v>410</v>
      </c>
      <c r="Q1498" s="50" t="n">
        <v>14</v>
      </c>
      <c r="R1498" s="53" t="n">
        <f aca="false">IF(BZ1498=1,0,IFERROR(VLOOKUP(BX1498,'Gebinde-Kategorie'!$A$5:$N$45,13,0)+0,0))</f>
        <v>280</v>
      </c>
      <c r="S1498" s="54"/>
      <c r="T1498" s="55"/>
      <c r="U1498" s="55"/>
      <c r="V1498" s="55"/>
      <c r="W1498" s="48"/>
      <c r="X1498" s="50"/>
      <c r="Y1498" s="50"/>
      <c r="Z1498" s="48" t="n">
        <f aca="false">IF(A1498="","",IF(AND(Parameter!$B$21="Ja",ISNUMBER(W1498)),W1498,IF(CC1498="2+3",IF(ISNUMBER(SEARCH("grosser Artikel",BU1498)),2,IFERROR(VLOOKUP(BX1498,Parameter!$F$35:$G$64,2,0),2)),IF(OR(CC1498="Nein",CC1498=""),"-",CC1498))))</f>
        <v>3</v>
      </c>
      <c r="AA1498" s="55"/>
      <c r="AB1498" s="56"/>
      <c r="AC1498" s="50" t="n">
        <f aca="false">AV1498</f>
        <v>10</v>
      </c>
      <c r="AD1498" s="50" t="n">
        <f aca="false">MAX(AV1498,H1498)</f>
        <v>14</v>
      </c>
      <c r="AE1498" s="57"/>
      <c r="AF1498" s="50" t="n">
        <f aca="false">IF(LEFT(Cockpit!$C$5,1)="A",H1498,IF(Parameter!$E$30="MAX-Bestand",IF(CH1498=1,CI1498,IF(LEFT(Cockpit!$C$5,1)="B",AL1498,MAX(AL1498,H1498))),ROUNDUP(AJ1498,0)))</f>
        <v>14</v>
      </c>
      <c r="AG1498" s="50" t="n">
        <f aca="false">IF(BZ1498=1,0,ROUNDUP(AF1498/BY1498,0))</f>
        <v>1</v>
      </c>
      <c r="AH1498" s="52" t="n">
        <f aca="false">IF(CQ1498&gt;0,CQ1498*MAX(1,AF1498/X1498),IF(BZ1498=1,IF(AF1498&lt;=0,0,CD1498*MAX(1,IF(H1498&gt;0,AF1498/H1498,1))),IF(R1498&gt;0,AG1498/R1498,0))/MAX(0.1,N(Parameter!$M$21)))</f>
        <v>0.00357142857142857</v>
      </c>
      <c r="AI1498" s="50" t="n">
        <f aca="false">AH1498*CB1498</f>
        <v>0.553571428571429</v>
      </c>
      <c r="AJ1498" s="51" t="n">
        <f aca="false">IF(LEFT(Cockpit!$C$5,1)="A",H1498,IF(CH1498=1,(CK1498+CI1498)/2,IF(LEFT(Cockpit!$C$5,1)="B",(CK1498+AL1498)/2,MAX((CK1498+AL1498)/2,H1498))))</f>
        <v>14</v>
      </c>
      <c r="AK1498" s="50" t="n">
        <f aca="false">AJ1498*G1498</f>
        <v>72.94</v>
      </c>
      <c r="AL1498" s="50" t="n">
        <f aca="false">ROUNDUP(CK1498+MAX(CL1498,2*(J1498/IF(CG1498&gt;0,CG1498,MAX(0.1,N(Cockpit!$C$6)))-CK1498)),0)</f>
        <v>10</v>
      </c>
      <c r="AM1498" s="51" t="n">
        <f aca="false">IF(AI1498&gt;0,J1498/AI1498,-1)</f>
        <v>0</v>
      </c>
      <c r="AN1498" s="51" t="n">
        <f aca="false">IF(AND(OR(CF1498="L1",CF1498="L23",CF1498="LIFT"),AI1498&gt;0),SUMIFS($AI$7:$AI$1843,$CF$7:$CF$1843,CF1498,$AM$7:$AM$1843,"&gt;"&amp;AM1498)+SUMIFS($AI$7:$AI$1843,$CF$7:$CF$1843,CF1498,$AM$7:$AM$1843,AM1498,$BW$7:$BW$1843,"&lt;="&amp;BW1498),"")</f>
        <v>29818.1798001904</v>
      </c>
      <c r="AO1498" s="58" t="n">
        <f aca="false">IF(AN1498="",0,MAX(0,MIN(1,(IF(CF1498="L1",Parameter!$H$5,IF(CF1498="L23",Parameter!$H$6+Parameter!$H$7,Parameter!$H$5+Parameter!$H$6+Parameter!$H$7))-(AN1498-AI1498))/AI1498)))</f>
        <v>1</v>
      </c>
      <c r="AP1498" s="50" t="n">
        <f aca="false">IF(LEFT(Cockpit!$I$5,1)="A",H1498,IF(Parameter!$E$30="MAX-Bestand",IF(CH1498=1,CI1498,IF(LEFT(Cockpit!$I$5,1)="B",AV1498,MAX(AV1498,H1498))),ROUNDUP(AT1498,0)))</f>
        <v>14</v>
      </c>
      <c r="AQ1498" s="50" t="n">
        <f aca="false">IF(BZ1498=1,0,ROUNDUP(AP1498/BY1498,0))</f>
        <v>1</v>
      </c>
      <c r="AR1498" s="52" t="n">
        <f aca="false">IF(CQ1498&gt;0,CQ1498*MAX(1,AP1498/X1498),IF(BZ1498=1,IF(AP1498&lt;=0,0,CD1498*MAX(1,IF(H1498&gt;0,AP1498/H1498,1))),IF(R1498&gt;0,AQ1498/R1498,0))/MAX(0.1,N(Parameter!$M$21)))</f>
        <v>0.00357142857142857</v>
      </c>
      <c r="AS1498" s="50" t="n">
        <f aca="false">AR1498*CB1498</f>
        <v>0.553571428571429</v>
      </c>
      <c r="AT1498" s="51" t="n">
        <f aca="false">IF(LEFT(Cockpit!$I$5,1)="A",H1498,IF(CH1498=1,(CK1498+CI1498)/2,IF(LEFT(Cockpit!$I$5,1)="B",(CK1498+AV1498)/2,MAX((CK1498+AV1498)/2,H1498))))</f>
        <v>14</v>
      </c>
      <c r="AU1498" s="50" t="n">
        <f aca="false">AT1498*G1498</f>
        <v>72.94</v>
      </c>
      <c r="AV1498" s="50" t="n">
        <f aca="false">ROUNDUP(CK1498+MAX(CL1498,2*(J1498/IF(CG1498&gt;0,CG1498,MAX(0.1,N(Cockpit!$I$6)))-CK1498)),0)</f>
        <v>10</v>
      </c>
      <c r="AW1498" s="51" t="n">
        <f aca="false">IF(AS1498&gt;0,J1498/AS1498,-1)</f>
        <v>0</v>
      </c>
      <c r="AX1498" s="51" t="n">
        <f aca="false">IF(AND(OR(CF1498="L1",CF1498="L23",CF1498="LIFT"),AS1498&gt;0),SUMIFS($AS$7:$AS$1843,$CF$7:$CF$1843,CF1498,$AW$7:$AW$1843,"&gt;"&amp;AW1498)+SUMIFS($AS$7:$AS$1843,$CF$7:$CF$1843,CF1498,$AW$7:$AW$1843,AW1498,$BW$7:$BW$1843,"&lt;="&amp;BW1498),"")</f>
        <v>36124.75060274</v>
      </c>
      <c r="AY1498" s="58" t="n">
        <f aca="false">IF(AX1498="",0,MAX(0,MIN(1,(IF(CF1498="L1",Parameter!$H$5,IF(CF1498="L23",Parameter!$H$6+Parameter!$H$7,Parameter!$H$5+Parameter!$H$6+Parameter!$H$7))-(AX1498-AS1498))/AS1498)))</f>
        <v>0</v>
      </c>
      <c r="AZ1498" s="50" t="n">
        <f aca="false">IF(LEFT(Cockpit!$O$5,1)="A",H1498,IF(Parameter!$E$30="MAX-Bestand",IF(CH1498=1,CI1498,IF(LEFT(Cockpit!$O$5,1)="B",BF1498,MAX(BF1498,H1498))),ROUNDUP(BD1498,0)))</f>
        <v>5</v>
      </c>
      <c r="BA1498" s="50" t="n">
        <f aca="false">IF(BZ1498=1,0,ROUNDUP(AZ1498/BY1498,0))</f>
        <v>1</v>
      </c>
      <c r="BB1498" s="52" t="n">
        <f aca="false">IF(CQ1498&gt;0,CQ1498*MAX(1,AZ1498/X1498),IF(BZ1498=1,IF(AZ1498&lt;=0,0,CD1498*MAX(1,IF(H1498&gt;0,AZ1498/H1498,1))),IF(R1498&gt;0,BA1498/R1498,0))/MAX(0.1,N(Parameter!$M$21)))</f>
        <v>0.00357142857142857</v>
      </c>
      <c r="BC1498" s="50" t="n">
        <f aca="false">BB1498*CB1498</f>
        <v>0.553571428571429</v>
      </c>
      <c r="BD1498" s="51" t="n">
        <f aca="false">IF(LEFT(Cockpit!$O$5,1)="A",H1498,IF(CH1498=1,(CK1498+CI1498)/2,IF(LEFT(Cockpit!$O$5,1)="B",(CK1498+BF1498)/2,MAX((CK1498+BF1498)/2,H1498))))</f>
        <v>5</v>
      </c>
      <c r="BE1498" s="50" t="n">
        <f aca="false">BD1498*G1498</f>
        <v>26.05</v>
      </c>
      <c r="BF1498" s="50" t="n">
        <f aca="false">ROUNDUP(CK1498+MAX(CL1498,2*(J1498/IF(CG1498&gt;0,CG1498,MAX(0.1,N(Cockpit!$O$6)))-CK1498)),0)</f>
        <v>10</v>
      </c>
      <c r="BG1498" s="51" t="n">
        <f aca="false">IF(BC1498&gt;0,J1498/BC1498,-1)</f>
        <v>0</v>
      </c>
      <c r="BH1498" s="51" t="n">
        <f aca="false">IF(AND(OR(CF1498="L1",CF1498="L23",CF1498="LIFT"),BC1498&gt;0),SUMIFS($BC$7:$BC$1843,$CF$7:$CF$1843,CF1498,$BG$7:$BG$1843,"&gt;"&amp;BG1498)+SUMIFS($BC$7:$BC$1843,$CF$7:$CF$1843,CF1498,$BG$7:$BG$1843,BG1498,$BW$7:$BW$1843,"&lt;="&amp;BW1498),"")</f>
        <v>30110.0572628878</v>
      </c>
      <c r="BI1498" s="58" t="n">
        <f aca="false">IF(BH1498="",0,MAX(0,MIN(1,(IF(CF1498="L1",Parameter!$H$5,IF(CF1498="L23",Parameter!$H$6+Parameter!$H$7,Parameter!$H$5+Parameter!$H$6+Parameter!$H$7))-(BH1498-BC1498))/BC1498)))</f>
        <v>1</v>
      </c>
      <c r="BJ1498" s="48" t="str">
        <f aca="false">IF(AI1498&lt;=0,"",IF(CF1498="Aussen","Aussenlager",IF(CF1498="-","Nicht im Lift",IF(AO1498&gt;=1,"Lift",IF(AO1498&lt;=0,"Aussenlager","teilweise")))))</f>
        <v>Lift</v>
      </c>
      <c r="BK1498" s="48" t="str">
        <f aca="false">IF(AS1498&lt;=0,"",IF(CF1498="Aussen","Aussenlager",IF(CF1498="-","Nicht im Lift",IF(AY1498&gt;=1,"Lift",IF(AY1498&lt;=0,"Aussenlager","teilweise")))))</f>
        <v>Aussenlager</v>
      </c>
      <c r="BL1498" s="48" t="str">
        <f aca="false">IF(BC1498&lt;=0,"",IF(CF1498="Aussen","Aussenlager",IF(CF1498="-","Nicht im Lift",IF(BI1498&gt;=1,"Lift",IF(BI1498&lt;=0,"Aussenlager","teilweise")))))</f>
        <v>Lift</v>
      </c>
      <c r="BM1498" s="48" t="str">
        <f aca="false">IF(A1498="","",IF(BV1498=1,"Neu; ","")&amp;IF(AND(BV1498=0,BQ1498&lt;0),"negativer Bestand (Export "&amp;BQ1498&amp;"); ","")&amp;IF(J1498&lt;=0,"Kein Verbrauch; ","")&amp;IF(CQ1498&gt;0,"Lift "&amp;W1498&amp;" lt. Liftbericht (Fach "&amp;X1498&amp;" Stk); ",IF(CA1498=1,"Gebinde geschätzt ("&amp;T1498&amp;"); ",IF(BZ1498=1,"Lose – Tablare geschätzt; ","")))&amp;IF(H1498&gt;AV1498,"Überbestand "&amp;ROUND(H1498-AV1498,0)&amp;" Stk / CHF "&amp;ROUND((H1498-AV1498)*G1498,0)&amp;"; ","")&amp;IF(AND(CH1498=1,CI1498&lt;CJ1498),"MAX &lt; MB+LG; ","")&amp;IF(AND(CP1498&gt;0,CO1498*10&gt;CP1498),"zu hoch für Tablar; ","")&amp;IF(AND(BV1498=0,OR(CH1498=1,AA1498&lt;&gt;"",U1498&lt;&gt;"",V1498&lt;&gt;"",AB1498&lt;&gt;"")),"manuell übersteuert; ","")&amp;IF(AND(BZ1498=0,R1498=0),"Gebinde unbekannt / Stellmass fehlt; ","")&amp;IF(AND(BZ1498=0,N(V1498)&lt;=0,N(Q1498)&lt;=0),"Menge pro Gebinde fehlt (Ist = 1 Gebinde); ","")&amp;BU1498)</f>
        <v>Kein Verbrauch; Überbestand 4 Stk / CHF 21; nur im Artikelstamm (Bestand 23.06.2026)</v>
      </c>
      <c r="BN1498" s="48"/>
      <c r="BO1498" s="48"/>
      <c r="BP1498" s="55"/>
      <c r="BQ1498" s="50" t="n">
        <v>14</v>
      </c>
      <c r="BR1498" s="50" t="n">
        <v>0</v>
      </c>
      <c r="BS1498" s="49" t="n">
        <v>0</v>
      </c>
      <c r="BT1498" s="50" t="n">
        <v>0</v>
      </c>
      <c r="BU1498" s="48" t="s">
        <v>2584</v>
      </c>
      <c r="BV1498" s="53" t="n">
        <v>0</v>
      </c>
      <c r="BW1498" s="53" t="n">
        <v>1498</v>
      </c>
      <c r="BX1498" s="48" t="str">
        <f aca="false">IF(U1498&lt;&gt;"",UPPER(TRIM(U1498)),IF(CA1498=1,UPPER(VLOOKUP(T1498,Parameter!$I$27:$K$29,2,0)),IF(P1498="","LOSE",P1498)))</f>
        <v>S21</v>
      </c>
      <c r="BY1498" s="50" t="n">
        <f aca="false">IF(BX1498="LOSE",1,IF(N(V1498)&gt;0,V1498,IF(CA1498=1,MAX(1,N(VLOOKUP(T1498,Parameter!$I$27:$K$29,3,0)),H1498,N(N1498)),IF(N(Q1498)&gt;0,Q1498,MAX(1,H1498)))))</f>
        <v>14</v>
      </c>
      <c r="BZ1498" s="53" t="n">
        <f aca="false">IF(BX1498="LOSE",1,0)</f>
        <v>0</v>
      </c>
      <c r="CA1498" s="53" t="n">
        <f aca="false">IF(AND(U1498="",OR(P1498="",P1498="LOSE"),T1498&lt;&gt;"",N(S1498)&lt;=0,ISNUMBER(MATCH(T1498,Parameter!$I$27:$I$29,0))),1,0)</f>
        <v>0</v>
      </c>
      <c r="CB1498" s="53" t="n">
        <f aca="false">IF(CQ1498&gt;0,INDEX(Parameter!$H$5:$H$7,W1498)/INDEX(Parameter!$E$5:$E$7,W1498),IF(AND(BZ1498=0,N(IFERROR(VLOOKUP(BX1498,'Gebinde-Kategorie'!$A$5:$N$45,14,0),0))&gt;0),VLOOKUP(BX1498,'Gebinde-Kategorie'!$A$5:$N$45,14,0)*10+Parameter!$M$23,Parameter!$M$24))</f>
        <v>155</v>
      </c>
      <c r="CC1498" s="48" t="str">
        <f aca="false">IF(AND(Parameter!$B$19="Ja",E1498&lt;&gt;"",ISNUMBER(MATCH(E1498,Parameter!$I$35:$I$52,0))),VLOOKUP(E1498,Parameter!$I$35:$J$52,2,0),IFERROR(VLOOKUP(D1498,Parameter!$A$35:$C$64,2,0),"Nein"))</f>
        <v>2+3</v>
      </c>
      <c r="CD1498" s="52" t="n">
        <f aca="false">IF(BZ1498=0,0,IF(N(S1498)&gt;0,S1498,IFERROR(VLOOKUP(D1498,Parameter!$A$35:$C$64,3,0)+0,0)))</f>
        <v>0</v>
      </c>
      <c r="CE1498" s="48" t="n">
        <f aca="false">IF(AA1498&lt;&gt;"",AA1498,Z1498)</f>
        <v>3</v>
      </c>
      <c r="CF1498" s="48" t="str">
        <f aca="false">IF(OR(CE1498=1,CE1498=2,CE1498=3),IF(Parameter!$E$27="Ja","LIFT",IF(CE1498=1,"L1","L23")),IF(CE1498="Aussen","Aussen","-"))</f>
        <v>LIFT</v>
      </c>
      <c r="CG1498" s="59" t="n">
        <f aca="false">IF(N(AB1498)&gt;0,AB1498,0)</f>
        <v>0</v>
      </c>
      <c r="CH1498" s="53" t="n">
        <f aca="false">IF(ISNUMBER(AE1498),1,0)</f>
        <v>0</v>
      </c>
      <c r="CI1498" s="50" t="n">
        <f aca="false">N(AE1498)</f>
        <v>0</v>
      </c>
      <c r="CJ1498" s="50" t="n">
        <f aca="false">N(M1498)+N(N1498)</f>
        <v>10</v>
      </c>
      <c r="CK1498" s="50" t="n">
        <f aca="false">N(M1498)</f>
        <v>0</v>
      </c>
      <c r="CL1498" s="50" t="n">
        <f aca="false">N(N1498)</f>
        <v>10</v>
      </c>
      <c r="CM1498" s="50" t="n">
        <f aca="false">ROUNDUP(H1498/BY1498,0)</f>
        <v>1</v>
      </c>
      <c r="CN1498" s="50" t="n">
        <f aca="false">ROUNDUP(CI1498/BY1498,0)</f>
        <v>0</v>
      </c>
      <c r="CO1498" s="53" t="n">
        <f aca="false">IF(BZ1498=1,0,IFERROR(VLOOKUP(BX1498,'Gebinde-Kategorie'!$A$5:$N$45,5,0)+0,0))</f>
        <v>8</v>
      </c>
      <c r="CP1498" s="53" t="n">
        <f aca="false">IFERROR(IF(OR(CE1498=1,CE1498=2,CE1498=3),N(INDEX(Parameter!$I$5:$I$7,CE1498)),0),0)</f>
        <v>0</v>
      </c>
      <c r="CQ1498" s="52" t="n">
        <f aca="false">IF(AND(Parameter!$B$21="Ja",ISNUMBER(W1498),N(X1498)&gt;0),IFERROR(N(INDEX(Parameter!$L$5:$L$7,W1498))*INDEX(Parameter!$E$5:$E$7,W1498)*X1498/SUMIFS($X$7:$X$1843,$W$7:$W$1843,W1498),0),0)</f>
        <v>0</v>
      </c>
    </row>
    <row r="1499" customFormat="false" ht="15" hidden="false" customHeight="false" outlineLevel="0" collapsed="false">
      <c r="A1499" s="48" t="s">
        <v>2629</v>
      </c>
      <c r="B1499" s="48" t="s">
        <v>2630</v>
      </c>
      <c r="C1499" s="48" t="s">
        <v>173</v>
      </c>
      <c r="D1499" s="48" t="s">
        <v>182</v>
      </c>
      <c r="E1499" s="48" t="s">
        <v>194</v>
      </c>
      <c r="F1499" s="48"/>
      <c r="G1499" s="49" t="n">
        <v>4.7</v>
      </c>
      <c r="H1499" s="50" t="n">
        <f aca="false">MAX(0,IF(AND(Parameter!$B$21="Ja",ISNUMBER(Y1499)),Y1499,IF(Parameter!$B$20="Jahresanfang 2025 + Export",BR1499+BQ1499,BQ1499)))</f>
        <v>17</v>
      </c>
      <c r="I1499" s="50" t="n">
        <f aca="false">H1499*G1499</f>
        <v>79.9</v>
      </c>
      <c r="J1499" s="50" t="n">
        <f aca="false">BT1499*Parameter!$B$18</f>
        <v>0</v>
      </c>
      <c r="K1499" s="51"/>
      <c r="L1499" s="52"/>
      <c r="M1499" s="50" t="n">
        <v>0</v>
      </c>
      <c r="N1499" s="50" t="n">
        <v>1</v>
      </c>
      <c r="O1499" s="53" t="n">
        <v>14</v>
      </c>
      <c r="P1499" s="48" t="s">
        <v>311</v>
      </c>
      <c r="Q1499" s="50" t="n">
        <v>17</v>
      </c>
      <c r="R1499" s="53" t="n">
        <f aca="false">IF(BZ1499=1,0,IFERROR(VLOOKUP(BX1499,'Gebinde-Kategorie'!$A$5:$N$45,13,0)+0,0))</f>
        <v>26</v>
      </c>
      <c r="S1499" s="54"/>
      <c r="T1499" s="55"/>
      <c r="U1499" s="55"/>
      <c r="V1499" s="55"/>
      <c r="W1499" s="48"/>
      <c r="X1499" s="50"/>
      <c r="Y1499" s="50"/>
      <c r="Z1499" s="48" t="n">
        <f aca="false">IF(A1499="","",IF(AND(Parameter!$B$21="Ja",ISNUMBER(W1499)),W1499,IF(CC1499="2+3",IF(ISNUMBER(SEARCH("grosser Artikel",BU1499)),2,IFERROR(VLOOKUP(BX1499,Parameter!$F$35:$G$64,2,0),2)),IF(OR(CC1499="Nein",CC1499=""),"-",CC1499))))</f>
        <v>3</v>
      </c>
      <c r="AA1499" s="55"/>
      <c r="AB1499" s="56"/>
      <c r="AC1499" s="50" t="n">
        <f aca="false">AV1499</f>
        <v>1</v>
      </c>
      <c r="AD1499" s="50" t="n">
        <f aca="false">MAX(AV1499,H1499)</f>
        <v>17</v>
      </c>
      <c r="AE1499" s="57"/>
      <c r="AF1499" s="50" t="n">
        <f aca="false">IF(LEFT(Cockpit!$C$5,1)="A",H1499,IF(Parameter!$E$30="MAX-Bestand",IF(CH1499=1,CI1499,IF(LEFT(Cockpit!$C$5,1)="B",AL1499,MAX(AL1499,H1499))),ROUNDUP(AJ1499,0)))</f>
        <v>17</v>
      </c>
      <c r="AG1499" s="50" t="n">
        <f aca="false">IF(BZ1499=1,0,ROUNDUP(AF1499/BY1499,0))</f>
        <v>1</v>
      </c>
      <c r="AH1499" s="52" t="n">
        <f aca="false">IF(CQ1499&gt;0,CQ1499*MAX(1,AF1499/X1499),IF(BZ1499=1,IF(AF1499&lt;=0,0,CD1499*MAX(1,IF(H1499&gt;0,AF1499/H1499,1))),IF(R1499&gt;0,AG1499/R1499,0))/MAX(0.1,N(Parameter!$M$21)))</f>
        <v>0.0384615384615385</v>
      </c>
      <c r="AI1499" s="50" t="n">
        <f aca="false">AH1499*CB1499</f>
        <v>5.96153846153846</v>
      </c>
      <c r="AJ1499" s="51" t="n">
        <f aca="false">IF(LEFT(Cockpit!$C$5,1)="A",H1499,IF(CH1499=1,(CK1499+CI1499)/2,IF(LEFT(Cockpit!$C$5,1)="B",(CK1499+AL1499)/2,MAX((CK1499+AL1499)/2,H1499))))</f>
        <v>17</v>
      </c>
      <c r="AK1499" s="50" t="n">
        <f aca="false">AJ1499*G1499</f>
        <v>79.9</v>
      </c>
      <c r="AL1499" s="50" t="n">
        <f aca="false">ROUNDUP(CK1499+MAX(CL1499,2*(J1499/IF(CG1499&gt;0,CG1499,MAX(0.1,N(Cockpit!$C$6)))-CK1499)),0)</f>
        <v>1</v>
      </c>
      <c r="AM1499" s="51" t="n">
        <f aca="false">IF(AI1499&gt;0,J1499/AI1499,-1)</f>
        <v>0</v>
      </c>
      <c r="AN1499" s="51" t="n">
        <f aca="false">IF(AND(OR(CF1499="L1",CF1499="L23",CF1499="LIFT"),AI1499&gt;0),SUMIFS($AI$7:$AI$1843,$CF$7:$CF$1843,CF1499,$AM$7:$AM$1843,"&gt;"&amp;AM1499)+SUMIFS($AI$7:$AI$1843,$CF$7:$CF$1843,CF1499,$AM$7:$AM$1843,AM1499,$BW$7:$BW$1843,"&lt;="&amp;BW1499),"")</f>
        <v>29824.1413386519</v>
      </c>
      <c r="AO1499" s="58" t="n">
        <f aca="false">IF(AN1499="",0,MAX(0,MIN(1,(IF(CF1499="L1",Parameter!$H$5,IF(CF1499="L23",Parameter!$H$6+Parameter!$H$7,Parameter!$H$5+Parameter!$H$6+Parameter!$H$7))-(AN1499-AI1499))/AI1499)))</f>
        <v>1</v>
      </c>
      <c r="AP1499" s="50" t="n">
        <f aca="false">IF(LEFT(Cockpit!$I$5,1)="A",H1499,IF(Parameter!$E$30="MAX-Bestand",IF(CH1499=1,CI1499,IF(LEFT(Cockpit!$I$5,1)="B",AV1499,MAX(AV1499,H1499))),ROUNDUP(AT1499,0)))</f>
        <v>17</v>
      </c>
      <c r="AQ1499" s="50" t="n">
        <f aca="false">IF(BZ1499=1,0,ROUNDUP(AP1499/BY1499,0))</f>
        <v>1</v>
      </c>
      <c r="AR1499" s="52" t="n">
        <f aca="false">IF(CQ1499&gt;0,CQ1499*MAX(1,AP1499/X1499),IF(BZ1499=1,IF(AP1499&lt;=0,0,CD1499*MAX(1,IF(H1499&gt;0,AP1499/H1499,1))),IF(R1499&gt;0,AQ1499/R1499,0))/MAX(0.1,N(Parameter!$M$21)))</f>
        <v>0.0384615384615385</v>
      </c>
      <c r="AS1499" s="50" t="n">
        <f aca="false">AR1499*CB1499</f>
        <v>5.96153846153846</v>
      </c>
      <c r="AT1499" s="51" t="n">
        <f aca="false">IF(LEFT(Cockpit!$I$5,1)="A",H1499,IF(CH1499=1,(CK1499+CI1499)/2,IF(LEFT(Cockpit!$I$5,1)="B",(CK1499+AV1499)/2,MAX((CK1499+AV1499)/2,H1499))))</f>
        <v>17</v>
      </c>
      <c r="AU1499" s="50" t="n">
        <f aca="false">AT1499*G1499</f>
        <v>79.9</v>
      </c>
      <c r="AV1499" s="50" t="n">
        <f aca="false">ROUNDUP(CK1499+MAX(CL1499,2*(J1499/IF(CG1499&gt;0,CG1499,MAX(0.1,N(Cockpit!$I$6)))-CK1499)),0)</f>
        <v>1</v>
      </c>
      <c r="AW1499" s="51" t="n">
        <f aca="false">IF(AS1499&gt;0,J1499/AS1499,-1)</f>
        <v>0</v>
      </c>
      <c r="AX1499" s="51" t="n">
        <f aca="false">IF(AND(OR(CF1499="L1",CF1499="L23",CF1499="LIFT"),AS1499&gt;0),SUMIFS($AS$7:$AS$1843,$CF$7:$CF$1843,CF1499,$AW$7:$AW$1843,"&gt;"&amp;AW1499)+SUMIFS($AS$7:$AS$1843,$CF$7:$CF$1843,CF1499,$AW$7:$AW$1843,AW1499,$BW$7:$BW$1843,"&lt;="&amp;BW1499),"")</f>
        <v>36130.7121412016</v>
      </c>
      <c r="AY1499" s="58" t="n">
        <f aca="false">IF(AX1499="",0,MAX(0,MIN(1,(IF(CF1499="L1",Parameter!$H$5,IF(CF1499="L23",Parameter!$H$6+Parameter!$H$7,Parameter!$H$5+Parameter!$H$6+Parameter!$H$7))-(AX1499-AS1499))/AS1499)))</f>
        <v>0</v>
      </c>
      <c r="AZ1499" s="50" t="n">
        <f aca="false">IF(LEFT(Cockpit!$O$5,1)="A",H1499,IF(Parameter!$E$30="MAX-Bestand",IF(CH1499=1,CI1499,IF(LEFT(Cockpit!$O$5,1)="B",BF1499,MAX(BF1499,H1499))),ROUNDUP(BD1499,0)))</f>
        <v>1</v>
      </c>
      <c r="BA1499" s="50" t="n">
        <f aca="false">IF(BZ1499=1,0,ROUNDUP(AZ1499/BY1499,0))</f>
        <v>1</v>
      </c>
      <c r="BB1499" s="52" t="n">
        <f aca="false">IF(CQ1499&gt;0,CQ1499*MAX(1,AZ1499/X1499),IF(BZ1499=1,IF(AZ1499&lt;=0,0,CD1499*MAX(1,IF(H1499&gt;0,AZ1499/H1499,1))),IF(R1499&gt;0,BA1499/R1499,0))/MAX(0.1,N(Parameter!$M$21)))</f>
        <v>0.0384615384615385</v>
      </c>
      <c r="BC1499" s="50" t="n">
        <f aca="false">BB1499*CB1499</f>
        <v>5.96153846153846</v>
      </c>
      <c r="BD1499" s="51" t="n">
        <f aca="false">IF(LEFT(Cockpit!$O$5,1)="A",H1499,IF(CH1499=1,(CK1499+CI1499)/2,IF(LEFT(Cockpit!$O$5,1)="B",(CK1499+BF1499)/2,MAX((CK1499+BF1499)/2,H1499))))</f>
        <v>0.5</v>
      </c>
      <c r="BE1499" s="50" t="n">
        <f aca="false">BD1499*G1499</f>
        <v>2.35</v>
      </c>
      <c r="BF1499" s="50" t="n">
        <f aca="false">ROUNDUP(CK1499+MAX(CL1499,2*(J1499/IF(CG1499&gt;0,CG1499,MAX(0.1,N(Cockpit!$O$6)))-CK1499)),0)</f>
        <v>1</v>
      </c>
      <c r="BG1499" s="51" t="n">
        <f aca="false">IF(BC1499&gt;0,J1499/BC1499,-1)</f>
        <v>0</v>
      </c>
      <c r="BH1499" s="51" t="n">
        <f aca="false">IF(AND(OR(CF1499="L1",CF1499="L23",CF1499="LIFT"),BC1499&gt;0),SUMIFS($BC$7:$BC$1843,$CF$7:$CF$1843,CF1499,$BG$7:$BG$1843,"&gt;"&amp;BG1499)+SUMIFS($BC$7:$BC$1843,$CF$7:$CF$1843,CF1499,$BG$7:$BG$1843,BG1499,$BW$7:$BW$1843,"&lt;="&amp;BW1499),"")</f>
        <v>30116.0188013493</v>
      </c>
      <c r="BI1499" s="58" t="n">
        <f aca="false">IF(BH1499="",0,MAX(0,MIN(1,(IF(CF1499="L1",Parameter!$H$5,IF(CF1499="L23",Parameter!$H$6+Parameter!$H$7,Parameter!$H$5+Parameter!$H$6+Parameter!$H$7))-(BH1499-BC1499))/BC1499)))</f>
        <v>1</v>
      </c>
      <c r="BJ1499" s="48" t="str">
        <f aca="false">IF(AI1499&lt;=0,"",IF(CF1499="Aussen","Aussenlager",IF(CF1499="-","Nicht im Lift",IF(AO1499&gt;=1,"Lift",IF(AO1499&lt;=0,"Aussenlager","teilweise")))))</f>
        <v>Lift</v>
      </c>
      <c r="BK1499" s="48" t="str">
        <f aca="false">IF(AS1499&lt;=0,"",IF(CF1499="Aussen","Aussenlager",IF(CF1499="-","Nicht im Lift",IF(AY1499&gt;=1,"Lift",IF(AY1499&lt;=0,"Aussenlager","teilweise")))))</f>
        <v>Aussenlager</v>
      </c>
      <c r="BL1499" s="48" t="str">
        <f aca="false">IF(BC1499&lt;=0,"",IF(CF1499="Aussen","Aussenlager",IF(CF1499="-","Nicht im Lift",IF(BI1499&gt;=1,"Lift",IF(BI1499&lt;=0,"Aussenlager","teilweise")))))</f>
        <v>Lift</v>
      </c>
      <c r="BM1499" s="48" t="str">
        <f aca="false">IF(A1499="","",IF(BV1499=1,"Neu; ","")&amp;IF(AND(BV1499=0,BQ1499&lt;0),"negativer Bestand (Export "&amp;BQ1499&amp;"); ","")&amp;IF(J1499&lt;=0,"Kein Verbrauch; ","")&amp;IF(CQ1499&gt;0,"Lift "&amp;W1499&amp;" lt. Liftbericht (Fach "&amp;X1499&amp;" Stk); ",IF(CA1499=1,"Gebinde geschätzt ("&amp;T1499&amp;"); ",IF(BZ1499=1,"Lose – Tablare geschätzt; ","")))&amp;IF(H1499&gt;AV1499,"Überbestand "&amp;ROUND(H1499-AV1499,0)&amp;" Stk / CHF "&amp;ROUND((H1499-AV1499)*G1499,0)&amp;"; ","")&amp;IF(AND(CH1499=1,CI1499&lt;CJ1499),"MAX &lt; MB+LG; ","")&amp;IF(AND(CP1499&gt;0,CO1499*10&gt;CP1499),"zu hoch für Tablar; ","")&amp;IF(AND(BV1499=0,OR(CH1499=1,AA1499&lt;&gt;"",U1499&lt;&gt;"",V1499&lt;&gt;"",AB1499&lt;&gt;"")),"manuell übersteuert; ","")&amp;IF(AND(BZ1499=0,R1499=0),"Gebinde unbekannt / Stellmass fehlt; ","")&amp;IF(AND(BZ1499=0,N(V1499)&lt;=0,N(Q1499)&lt;=0),"Menge pro Gebinde fehlt (Ist = 1 Gebinde); ","")&amp;BU1499)</f>
        <v>Kein Verbrauch; Überbestand 16 Stk / CHF 75; nur im Artikelstamm (Bestand 23.06.2026); Überbestand</v>
      </c>
      <c r="BN1499" s="48"/>
      <c r="BO1499" s="48"/>
      <c r="BP1499" s="55"/>
      <c r="BQ1499" s="50" t="n">
        <v>17</v>
      </c>
      <c r="BR1499" s="50" t="n">
        <v>0</v>
      </c>
      <c r="BS1499" s="49" t="n">
        <v>0</v>
      </c>
      <c r="BT1499" s="50" t="n">
        <v>0</v>
      </c>
      <c r="BU1499" s="48" t="s">
        <v>2581</v>
      </c>
      <c r="BV1499" s="53" t="n">
        <v>0</v>
      </c>
      <c r="BW1499" s="53" t="n">
        <v>1499</v>
      </c>
      <c r="BX1499" s="48" t="str">
        <f aca="false">IF(U1499&lt;&gt;"",UPPER(TRIM(U1499)),IF(CA1499=1,UPPER(VLOOKUP(T1499,Parameter!$I$27:$K$29,2,0)),IF(P1499="","LOSE",P1499)))</f>
        <v>S51</v>
      </c>
      <c r="BY1499" s="50" t="n">
        <f aca="false">IF(BX1499="LOSE",1,IF(N(V1499)&gt;0,V1499,IF(CA1499=1,MAX(1,N(VLOOKUP(T1499,Parameter!$I$27:$K$29,3,0)),H1499,N(N1499)),IF(N(Q1499)&gt;0,Q1499,MAX(1,H1499)))))</f>
        <v>17</v>
      </c>
      <c r="BZ1499" s="53" t="n">
        <f aca="false">IF(BX1499="LOSE",1,0)</f>
        <v>0</v>
      </c>
      <c r="CA1499" s="53" t="n">
        <f aca="false">IF(AND(U1499="",OR(P1499="",P1499="LOSE"),T1499&lt;&gt;"",N(S1499)&lt;=0,ISNUMBER(MATCH(T1499,Parameter!$I$27:$I$29,0))),1,0)</f>
        <v>0</v>
      </c>
      <c r="CB1499" s="53" t="n">
        <f aca="false">IF(CQ1499&gt;0,INDEX(Parameter!$H$5:$H$7,W1499)/INDEX(Parameter!$E$5:$E$7,W1499),IF(AND(BZ1499=0,N(IFERROR(VLOOKUP(BX1499,'Gebinde-Kategorie'!$A$5:$N$45,14,0),0))&gt;0),VLOOKUP(BX1499,'Gebinde-Kategorie'!$A$5:$N$45,14,0)*10+Parameter!$M$23,Parameter!$M$24))</f>
        <v>155</v>
      </c>
      <c r="CC1499" s="48" t="str">
        <f aca="false">IF(AND(Parameter!$B$19="Ja",E1499&lt;&gt;"",ISNUMBER(MATCH(E1499,Parameter!$I$35:$I$52,0))),VLOOKUP(E1499,Parameter!$I$35:$J$52,2,0),IFERROR(VLOOKUP(D1499,Parameter!$A$35:$C$64,2,0),"Nein"))</f>
        <v>2+3</v>
      </c>
      <c r="CD1499" s="52" t="n">
        <f aca="false">IF(BZ1499=0,0,IF(N(S1499)&gt;0,S1499,IFERROR(VLOOKUP(D1499,Parameter!$A$35:$C$64,3,0)+0,0)))</f>
        <v>0</v>
      </c>
      <c r="CE1499" s="48" t="n">
        <f aca="false">IF(AA1499&lt;&gt;"",AA1499,Z1499)</f>
        <v>3</v>
      </c>
      <c r="CF1499" s="48" t="str">
        <f aca="false">IF(OR(CE1499=1,CE1499=2,CE1499=3),IF(Parameter!$E$27="Ja","LIFT",IF(CE1499=1,"L1","L23")),IF(CE1499="Aussen","Aussen","-"))</f>
        <v>LIFT</v>
      </c>
      <c r="CG1499" s="59" t="n">
        <f aca="false">IF(N(AB1499)&gt;0,AB1499,0)</f>
        <v>0</v>
      </c>
      <c r="CH1499" s="53" t="n">
        <f aca="false">IF(ISNUMBER(AE1499),1,0)</f>
        <v>0</v>
      </c>
      <c r="CI1499" s="50" t="n">
        <f aca="false">N(AE1499)</f>
        <v>0</v>
      </c>
      <c r="CJ1499" s="50" t="n">
        <f aca="false">N(M1499)+N(N1499)</f>
        <v>1</v>
      </c>
      <c r="CK1499" s="50" t="n">
        <f aca="false">N(M1499)</f>
        <v>0</v>
      </c>
      <c r="CL1499" s="50" t="n">
        <f aca="false">N(N1499)</f>
        <v>1</v>
      </c>
      <c r="CM1499" s="50" t="n">
        <f aca="false">ROUNDUP(H1499/BY1499,0)</f>
        <v>1</v>
      </c>
      <c r="CN1499" s="50" t="n">
        <f aca="false">ROUNDUP(CI1499/BY1499,0)</f>
        <v>0</v>
      </c>
      <c r="CO1499" s="53" t="n">
        <f aca="false">IF(BZ1499=1,0,IFERROR(VLOOKUP(BX1499,'Gebinde-Kategorie'!$A$5:$N$45,5,0)+0,0))</f>
        <v>11</v>
      </c>
      <c r="CP1499" s="53" t="n">
        <f aca="false">IFERROR(IF(OR(CE1499=1,CE1499=2,CE1499=3),N(INDEX(Parameter!$I$5:$I$7,CE1499)),0),0)</f>
        <v>0</v>
      </c>
      <c r="CQ1499" s="52" t="n">
        <f aca="false">IF(AND(Parameter!$B$21="Ja",ISNUMBER(W1499),N(X1499)&gt;0),IFERROR(N(INDEX(Parameter!$L$5:$L$7,W1499))*INDEX(Parameter!$E$5:$E$7,W1499)*X1499/SUMIFS($X$7:$X$1843,$W$7:$W$1843,W1499),0),0)</f>
        <v>0</v>
      </c>
    </row>
    <row r="1500" customFormat="false" ht="15" hidden="false" customHeight="false" outlineLevel="0" collapsed="false">
      <c r="A1500" s="48" t="s">
        <v>2631</v>
      </c>
      <c r="B1500" s="48" t="s">
        <v>2632</v>
      </c>
      <c r="C1500" s="48" t="s">
        <v>173</v>
      </c>
      <c r="D1500" s="48" t="s">
        <v>193</v>
      </c>
      <c r="E1500" s="48" t="s">
        <v>194</v>
      </c>
      <c r="F1500" s="48"/>
      <c r="G1500" s="49" t="n">
        <v>21.51</v>
      </c>
      <c r="H1500" s="50" t="n">
        <f aca="false">MAX(0,IF(AND(Parameter!$B$21="Ja",ISNUMBER(Y1500)),Y1500,IF(Parameter!$B$20="Jahresanfang 2025 + Export",BR1500+BQ1500,BQ1500)))</f>
        <v>6</v>
      </c>
      <c r="I1500" s="50" t="n">
        <f aca="false">H1500*G1500</f>
        <v>129.06</v>
      </c>
      <c r="J1500" s="50" t="n">
        <f aca="false">BT1500*Parameter!$B$18</f>
        <v>0</v>
      </c>
      <c r="K1500" s="51"/>
      <c r="L1500" s="52"/>
      <c r="M1500" s="50" t="n">
        <v>0</v>
      </c>
      <c r="N1500" s="50" t="n">
        <v>1</v>
      </c>
      <c r="O1500" s="53" t="n">
        <v>14</v>
      </c>
      <c r="P1500" s="48" t="s">
        <v>242</v>
      </c>
      <c r="Q1500" s="50" t="n">
        <v>1</v>
      </c>
      <c r="R1500" s="53" t="n">
        <f aca="false">IF(BZ1500=1,0,IFERROR(VLOOKUP(BX1500,'Gebinde-Kategorie'!$A$5:$N$45,13,0)+0,0))</f>
        <v>26</v>
      </c>
      <c r="S1500" s="54"/>
      <c r="T1500" s="55"/>
      <c r="U1500" s="55"/>
      <c r="V1500" s="55"/>
      <c r="W1500" s="48"/>
      <c r="X1500" s="50"/>
      <c r="Y1500" s="50"/>
      <c r="Z1500" s="48" t="n">
        <f aca="false">IF(A1500="","",IF(AND(Parameter!$B$21="Ja",ISNUMBER(W1500)),W1500,IF(CC1500="2+3",IF(ISNUMBER(SEARCH("grosser Artikel",BU1500)),2,IFERROR(VLOOKUP(BX1500,Parameter!$F$35:$G$64,2,0),2)),IF(OR(CC1500="Nein",CC1500=""),"-",CC1500))))</f>
        <v>3</v>
      </c>
      <c r="AA1500" s="55"/>
      <c r="AB1500" s="56"/>
      <c r="AC1500" s="50" t="n">
        <f aca="false">AV1500</f>
        <v>1</v>
      </c>
      <c r="AD1500" s="50" t="n">
        <f aca="false">MAX(AV1500,H1500)</f>
        <v>6</v>
      </c>
      <c r="AE1500" s="57"/>
      <c r="AF1500" s="50" t="n">
        <f aca="false">IF(LEFT(Cockpit!$C$5,1)="A",H1500,IF(Parameter!$E$30="MAX-Bestand",IF(CH1500=1,CI1500,IF(LEFT(Cockpit!$C$5,1)="B",AL1500,MAX(AL1500,H1500))),ROUNDUP(AJ1500,0)))</f>
        <v>6</v>
      </c>
      <c r="AG1500" s="50" t="n">
        <f aca="false">IF(BZ1500=1,0,ROUNDUP(AF1500/BY1500,0))</f>
        <v>6</v>
      </c>
      <c r="AH1500" s="52" t="n">
        <f aca="false">IF(CQ1500&gt;0,CQ1500*MAX(1,AF1500/X1500),IF(BZ1500=1,IF(AF1500&lt;=0,0,CD1500*MAX(1,IF(H1500&gt;0,AF1500/H1500,1))),IF(R1500&gt;0,AG1500/R1500,0))/MAX(0.1,N(Parameter!$M$21)))</f>
        <v>0.230769230769231</v>
      </c>
      <c r="AI1500" s="50" t="n">
        <f aca="false">AH1500*CB1500</f>
        <v>56.5384615384615</v>
      </c>
      <c r="AJ1500" s="51" t="n">
        <f aca="false">IF(LEFT(Cockpit!$C$5,1)="A",H1500,IF(CH1500=1,(CK1500+CI1500)/2,IF(LEFT(Cockpit!$C$5,1)="B",(CK1500+AL1500)/2,MAX((CK1500+AL1500)/2,H1500))))</f>
        <v>6</v>
      </c>
      <c r="AK1500" s="50" t="n">
        <f aca="false">AJ1500*G1500</f>
        <v>129.06</v>
      </c>
      <c r="AL1500" s="50" t="n">
        <f aca="false">ROUNDUP(CK1500+MAX(CL1500,2*(J1500/IF(CG1500&gt;0,CG1500,MAX(0.1,N(Cockpit!$C$6)))-CK1500)),0)</f>
        <v>1</v>
      </c>
      <c r="AM1500" s="51" t="n">
        <f aca="false">IF(AI1500&gt;0,J1500/AI1500,-1)</f>
        <v>0</v>
      </c>
      <c r="AN1500" s="51" t="n">
        <f aca="false">IF(AND(OR(CF1500="L1",CF1500="L23",CF1500="LIFT"),AI1500&gt;0),SUMIFS($AI$7:$AI$1843,$CF$7:$CF$1843,CF1500,$AM$7:$AM$1843,"&gt;"&amp;AM1500)+SUMIFS($AI$7:$AI$1843,$CF$7:$CF$1843,CF1500,$AM$7:$AM$1843,AM1500,$BW$7:$BW$1843,"&lt;="&amp;BW1500),"")</f>
        <v>29880.6798001904</v>
      </c>
      <c r="AO1500" s="58" t="n">
        <f aca="false">IF(AN1500="",0,MAX(0,MIN(1,(IF(CF1500="L1",Parameter!$H$5,IF(CF1500="L23",Parameter!$H$6+Parameter!$H$7,Parameter!$H$5+Parameter!$H$6+Parameter!$H$7))-(AN1500-AI1500))/AI1500)))</f>
        <v>1</v>
      </c>
      <c r="AP1500" s="50" t="n">
        <f aca="false">IF(LEFT(Cockpit!$I$5,1)="A",H1500,IF(Parameter!$E$30="MAX-Bestand",IF(CH1500=1,CI1500,IF(LEFT(Cockpit!$I$5,1)="B",AV1500,MAX(AV1500,H1500))),ROUNDUP(AT1500,0)))</f>
        <v>6</v>
      </c>
      <c r="AQ1500" s="50" t="n">
        <f aca="false">IF(BZ1500=1,0,ROUNDUP(AP1500/BY1500,0))</f>
        <v>6</v>
      </c>
      <c r="AR1500" s="52" t="n">
        <f aca="false">IF(CQ1500&gt;0,CQ1500*MAX(1,AP1500/X1500),IF(BZ1500=1,IF(AP1500&lt;=0,0,CD1500*MAX(1,IF(H1500&gt;0,AP1500/H1500,1))),IF(R1500&gt;0,AQ1500/R1500,0))/MAX(0.1,N(Parameter!$M$21)))</f>
        <v>0.230769230769231</v>
      </c>
      <c r="AS1500" s="50" t="n">
        <f aca="false">AR1500*CB1500</f>
        <v>56.5384615384615</v>
      </c>
      <c r="AT1500" s="51" t="n">
        <f aca="false">IF(LEFT(Cockpit!$I$5,1)="A",H1500,IF(CH1500=1,(CK1500+CI1500)/2,IF(LEFT(Cockpit!$I$5,1)="B",(CK1500+AV1500)/2,MAX((CK1500+AV1500)/2,H1500))))</f>
        <v>6</v>
      </c>
      <c r="AU1500" s="50" t="n">
        <f aca="false">AT1500*G1500</f>
        <v>129.06</v>
      </c>
      <c r="AV1500" s="50" t="n">
        <f aca="false">ROUNDUP(CK1500+MAX(CL1500,2*(J1500/IF(CG1500&gt;0,CG1500,MAX(0.1,N(Cockpit!$I$6)))-CK1500)),0)</f>
        <v>1</v>
      </c>
      <c r="AW1500" s="51" t="n">
        <f aca="false">IF(AS1500&gt;0,J1500/AS1500,-1)</f>
        <v>0</v>
      </c>
      <c r="AX1500" s="51" t="n">
        <f aca="false">IF(AND(OR(CF1500="L1",CF1500="L23",CF1500="LIFT"),AS1500&gt;0),SUMIFS($AS$7:$AS$1843,$CF$7:$CF$1843,CF1500,$AW$7:$AW$1843,"&gt;"&amp;AW1500)+SUMIFS($AS$7:$AS$1843,$CF$7:$CF$1843,CF1500,$AW$7:$AW$1843,AW1500,$BW$7:$BW$1843,"&lt;="&amp;BW1500),"")</f>
        <v>36187.25060274</v>
      </c>
      <c r="AY1500" s="58" t="n">
        <f aca="false">IF(AX1500="",0,MAX(0,MIN(1,(IF(CF1500="L1",Parameter!$H$5,IF(CF1500="L23",Parameter!$H$6+Parameter!$H$7,Parameter!$H$5+Parameter!$H$6+Parameter!$H$7))-(AX1500-AS1500))/AS1500)))</f>
        <v>0</v>
      </c>
      <c r="AZ1500" s="50" t="n">
        <f aca="false">IF(LEFT(Cockpit!$O$5,1)="A",H1500,IF(Parameter!$E$30="MAX-Bestand",IF(CH1500=1,CI1500,IF(LEFT(Cockpit!$O$5,1)="B",BF1500,MAX(BF1500,H1500))),ROUNDUP(BD1500,0)))</f>
        <v>1</v>
      </c>
      <c r="BA1500" s="50" t="n">
        <f aca="false">IF(BZ1500=1,0,ROUNDUP(AZ1500/BY1500,0))</f>
        <v>1</v>
      </c>
      <c r="BB1500" s="52" t="n">
        <f aca="false">IF(CQ1500&gt;0,CQ1500*MAX(1,AZ1500/X1500),IF(BZ1500=1,IF(AZ1500&lt;=0,0,CD1500*MAX(1,IF(H1500&gt;0,AZ1500/H1500,1))),IF(R1500&gt;0,BA1500/R1500,0))/MAX(0.1,N(Parameter!$M$21)))</f>
        <v>0.0384615384615385</v>
      </c>
      <c r="BC1500" s="50" t="n">
        <f aca="false">BB1500*CB1500</f>
        <v>9.42307692307692</v>
      </c>
      <c r="BD1500" s="51" t="n">
        <f aca="false">IF(LEFT(Cockpit!$O$5,1)="A",H1500,IF(CH1500=1,(CK1500+CI1500)/2,IF(LEFT(Cockpit!$O$5,1)="B",(CK1500+BF1500)/2,MAX((CK1500+BF1500)/2,H1500))))</f>
        <v>0.5</v>
      </c>
      <c r="BE1500" s="50" t="n">
        <f aca="false">BD1500*G1500</f>
        <v>10.755</v>
      </c>
      <c r="BF1500" s="50" t="n">
        <f aca="false">ROUNDUP(CK1500+MAX(CL1500,2*(J1500/IF(CG1500&gt;0,CG1500,MAX(0.1,N(Cockpit!$O$6)))-CK1500)),0)</f>
        <v>1</v>
      </c>
      <c r="BG1500" s="51" t="n">
        <f aca="false">IF(BC1500&gt;0,J1500/BC1500,-1)</f>
        <v>0</v>
      </c>
      <c r="BH1500" s="51" t="n">
        <f aca="false">IF(AND(OR(CF1500="L1",CF1500="L23",CF1500="LIFT"),BC1500&gt;0),SUMIFS($BC$7:$BC$1843,$CF$7:$CF$1843,CF1500,$BG$7:$BG$1843,"&gt;"&amp;BG1500)+SUMIFS($BC$7:$BC$1843,$CF$7:$CF$1843,CF1500,$BG$7:$BG$1843,BG1500,$BW$7:$BW$1843,"&lt;="&amp;BW1500),"")</f>
        <v>30125.4418782724</v>
      </c>
      <c r="BI1500" s="58" t="n">
        <f aca="false">IF(BH1500="",0,MAX(0,MIN(1,(IF(CF1500="L1",Parameter!$H$5,IF(CF1500="L23",Parameter!$H$6+Parameter!$H$7,Parameter!$H$5+Parameter!$H$6+Parameter!$H$7))-(BH1500-BC1500))/BC1500)))</f>
        <v>1</v>
      </c>
      <c r="BJ1500" s="48" t="str">
        <f aca="false">IF(AI1500&lt;=0,"",IF(CF1500="Aussen","Aussenlager",IF(CF1500="-","Nicht im Lift",IF(AO1500&gt;=1,"Lift",IF(AO1500&lt;=0,"Aussenlager","teilweise")))))</f>
        <v>Lift</v>
      </c>
      <c r="BK1500" s="48" t="str">
        <f aca="false">IF(AS1500&lt;=0,"",IF(CF1500="Aussen","Aussenlager",IF(CF1500="-","Nicht im Lift",IF(AY1500&gt;=1,"Lift",IF(AY1500&lt;=0,"Aussenlager","teilweise")))))</f>
        <v>Aussenlager</v>
      </c>
      <c r="BL1500" s="48" t="str">
        <f aca="false">IF(BC1500&lt;=0,"",IF(CF1500="Aussen","Aussenlager",IF(CF1500="-","Nicht im Lift",IF(BI1500&gt;=1,"Lift",IF(BI1500&lt;=0,"Aussenlager","teilweise")))))</f>
        <v>Lift</v>
      </c>
      <c r="BM1500" s="48" t="str">
        <f aca="false">IF(A1500="","",IF(BV1500=1,"Neu; ","")&amp;IF(AND(BV1500=0,BQ1500&lt;0),"negativer Bestand (Export "&amp;BQ1500&amp;"); ","")&amp;IF(J1500&lt;=0,"Kein Verbrauch; ","")&amp;IF(CQ1500&gt;0,"Lift "&amp;W1500&amp;" lt. Liftbericht (Fach "&amp;X1500&amp;" Stk); ",IF(CA1500=1,"Gebinde geschätzt ("&amp;T1500&amp;"); ",IF(BZ1500=1,"Lose – Tablare geschätzt; ","")))&amp;IF(H1500&gt;AV1500,"Überbestand "&amp;ROUND(H1500-AV1500,0)&amp;" Stk / CHF "&amp;ROUND((H1500-AV1500)*G1500,0)&amp;"; ","")&amp;IF(AND(CH1500=1,CI1500&lt;CJ1500),"MAX &lt; MB+LG; ","")&amp;IF(AND(CP1500&gt;0,CO1500*10&gt;CP1500),"zu hoch für Tablar; ","")&amp;IF(AND(BV1500=0,OR(CH1500=1,AA1500&lt;&gt;"",U1500&lt;&gt;"",V1500&lt;&gt;"",AB1500&lt;&gt;"")),"manuell übersteuert; ","")&amp;IF(AND(BZ1500=0,R1500=0),"Gebinde unbekannt / Stellmass fehlt; ","")&amp;IF(AND(BZ1500=0,N(V1500)&lt;=0,N(Q1500)&lt;=0),"Menge pro Gebinde fehlt (Ist = 1 Gebinde); ","")&amp;BU1500)</f>
        <v>Kein Verbrauch; Überbestand 5 Stk / CHF 108; nur im Artikelstamm (Bestand 23.06.2026)</v>
      </c>
      <c r="BN1500" s="48"/>
      <c r="BO1500" s="48"/>
      <c r="BP1500" s="55"/>
      <c r="BQ1500" s="50" t="n">
        <v>6</v>
      </c>
      <c r="BR1500" s="50" t="n">
        <v>0</v>
      </c>
      <c r="BS1500" s="49" t="n">
        <v>0</v>
      </c>
      <c r="BT1500" s="50" t="n">
        <v>0</v>
      </c>
      <c r="BU1500" s="48" t="s">
        <v>2584</v>
      </c>
      <c r="BV1500" s="53" t="n">
        <v>0</v>
      </c>
      <c r="BW1500" s="53" t="n">
        <v>1500</v>
      </c>
      <c r="BX1500" s="48" t="str">
        <f aca="false">IF(U1500&lt;&gt;"",UPPER(TRIM(U1500)),IF(CA1500=1,UPPER(VLOOKUP(T1500,Parameter!$I$27:$K$29,2,0)),IF(P1500="","LOSE",P1500)))</f>
        <v>S52</v>
      </c>
      <c r="BY1500" s="50" t="n">
        <f aca="false">IF(BX1500="LOSE",1,IF(N(V1500)&gt;0,V1500,IF(CA1500=1,MAX(1,N(VLOOKUP(T1500,Parameter!$I$27:$K$29,3,0)),H1500,N(N1500)),IF(N(Q1500)&gt;0,Q1500,MAX(1,H1500)))))</f>
        <v>1</v>
      </c>
      <c r="BZ1500" s="53" t="n">
        <f aca="false">IF(BX1500="LOSE",1,0)</f>
        <v>0</v>
      </c>
      <c r="CA1500" s="53" t="n">
        <f aca="false">IF(AND(U1500="",OR(P1500="",P1500="LOSE"),T1500&lt;&gt;"",N(S1500)&lt;=0,ISNUMBER(MATCH(T1500,Parameter!$I$27:$I$29,0))),1,0)</f>
        <v>0</v>
      </c>
      <c r="CB1500" s="53" t="n">
        <f aca="false">IF(CQ1500&gt;0,INDEX(Parameter!$H$5:$H$7,W1500)/INDEX(Parameter!$E$5:$E$7,W1500),IF(AND(BZ1500=0,N(IFERROR(VLOOKUP(BX1500,'Gebinde-Kategorie'!$A$5:$N$45,14,0),0))&gt;0),VLOOKUP(BX1500,'Gebinde-Kategorie'!$A$5:$N$45,14,0)*10+Parameter!$M$23,Parameter!$M$24))</f>
        <v>245</v>
      </c>
      <c r="CC1500" s="48" t="str">
        <f aca="false">IF(AND(Parameter!$B$19="Ja",E1500&lt;&gt;"",ISNUMBER(MATCH(E1500,Parameter!$I$35:$I$52,0))),VLOOKUP(E1500,Parameter!$I$35:$J$52,2,0),IFERROR(VLOOKUP(D1500,Parameter!$A$35:$C$64,2,0),"Nein"))</f>
        <v>2+3</v>
      </c>
      <c r="CD1500" s="52" t="n">
        <f aca="false">IF(BZ1500=0,0,IF(N(S1500)&gt;0,S1500,IFERROR(VLOOKUP(D1500,Parameter!$A$35:$C$64,3,0)+0,0)))</f>
        <v>0</v>
      </c>
      <c r="CE1500" s="48" t="n">
        <f aca="false">IF(AA1500&lt;&gt;"",AA1500,Z1500)</f>
        <v>3</v>
      </c>
      <c r="CF1500" s="48" t="str">
        <f aca="false">IF(OR(CE1500=1,CE1500=2,CE1500=3),IF(Parameter!$E$27="Ja","LIFT",IF(CE1500=1,"L1","L23")),IF(CE1500="Aussen","Aussen","-"))</f>
        <v>LIFT</v>
      </c>
      <c r="CG1500" s="59" t="n">
        <f aca="false">IF(N(AB1500)&gt;0,AB1500,0)</f>
        <v>0</v>
      </c>
      <c r="CH1500" s="53" t="n">
        <f aca="false">IF(ISNUMBER(AE1500),1,0)</f>
        <v>0</v>
      </c>
      <c r="CI1500" s="50" t="n">
        <f aca="false">N(AE1500)</f>
        <v>0</v>
      </c>
      <c r="CJ1500" s="50" t="n">
        <f aca="false">N(M1500)+N(N1500)</f>
        <v>1</v>
      </c>
      <c r="CK1500" s="50" t="n">
        <f aca="false">N(M1500)</f>
        <v>0</v>
      </c>
      <c r="CL1500" s="50" t="n">
        <f aca="false">N(N1500)</f>
        <v>1</v>
      </c>
      <c r="CM1500" s="50" t="n">
        <f aca="false">ROUNDUP(H1500/BY1500,0)</f>
        <v>6</v>
      </c>
      <c r="CN1500" s="50" t="n">
        <f aca="false">ROUNDUP(CI1500/BY1500,0)</f>
        <v>0</v>
      </c>
      <c r="CO1500" s="53" t="n">
        <f aca="false">IF(BZ1500=1,0,IFERROR(VLOOKUP(BX1500,'Gebinde-Kategorie'!$A$5:$N$45,5,0)+0,0))</f>
        <v>21</v>
      </c>
      <c r="CP1500" s="53" t="n">
        <f aca="false">IFERROR(IF(OR(CE1500=1,CE1500=2,CE1500=3),N(INDEX(Parameter!$I$5:$I$7,CE1500)),0),0)</f>
        <v>0</v>
      </c>
      <c r="CQ1500" s="52" t="n">
        <f aca="false">IF(AND(Parameter!$B$21="Ja",ISNUMBER(W1500),N(X1500)&gt;0),IFERROR(N(INDEX(Parameter!$L$5:$L$7,W1500))*INDEX(Parameter!$E$5:$E$7,W1500)*X1500/SUMIFS($X$7:$X$1843,$W$7:$W$1843,W1500),0),0)</f>
        <v>0</v>
      </c>
    </row>
    <row r="1501" customFormat="false" ht="15" hidden="false" customHeight="false" outlineLevel="0" collapsed="false">
      <c r="A1501" s="48" t="s">
        <v>2633</v>
      </c>
      <c r="B1501" s="48" t="s">
        <v>2634</v>
      </c>
      <c r="C1501" s="48" t="s">
        <v>173</v>
      </c>
      <c r="D1501" s="48" t="s">
        <v>193</v>
      </c>
      <c r="E1501" s="48" t="s">
        <v>194</v>
      </c>
      <c r="F1501" s="48"/>
      <c r="G1501" s="49" t="n">
        <v>97.63</v>
      </c>
      <c r="H1501" s="50" t="n">
        <f aca="false">MAX(0,IF(AND(Parameter!$B$21="Ja",ISNUMBER(Y1501)),Y1501,IF(Parameter!$B$20="Jahresanfang 2025 + Export",BR1501+BQ1501,BQ1501)))</f>
        <v>5</v>
      </c>
      <c r="I1501" s="50" t="n">
        <f aca="false">H1501*G1501</f>
        <v>488.15</v>
      </c>
      <c r="J1501" s="50" t="n">
        <f aca="false">BT1501*Parameter!$B$18</f>
        <v>0</v>
      </c>
      <c r="K1501" s="51"/>
      <c r="L1501" s="52"/>
      <c r="M1501" s="50" t="n">
        <v>0</v>
      </c>
      <c r="N1501" s="50" t="n">
        <v>3</v>
      </c>
      <c r="O1501" s="53" t="n">
        <v>77</v>
      </c>
      <c r="P1501" s="48" t="s">
        <v>311</v>
      </c>
      <c r="Q1501" s="50" t="n">
        <v>5</v>
      </c>
      <c r="R1501" s="53" t="n">
        <f aca="false">IF(BZ1501=1,0,IFERROR(VLOOKUP(BX1501,'Gebinde-Kategorie'!$A$5:$N$45,13,0)+0,0))</f>
        <v>26</v>
      </c>
      <c r="S1501" s="54"/>
      <c r="T1501" s="55"/>
      <c r="U1501" s="55"/>
      <c r="V1501" s="55"/>
      <c r="W1501" s="48"/>
      <c r="X1501" s="50"/>
      <c r="Y1501" s="50"/>
      <c r="Z1501" s="48" t="n">
        <f aca="false">IF(A1501="","",IF(AND(Parameter!$B$21="Ja",ISNUMBER(W1501)),W1501,IF(CC1501="2+3",IF(ISNUMBER(SEARCH("grosser Artikel",BU1501)),2,IFERROR(VLOOKUP(BX1501,Parameter!$F$35:$G$64,2,0),2)),IF(OR(CC1501="Nein",CC1501=""),"-",CC1501))))</f>
        <v>3</v>
      </c>
      <c r="AA1501" s="55"/>
      <c r="AB1501" s="56"/>
      <c r="AC1501" s="50" t="n">
        <f aca="false">AV1501</f>
        <v>3</v>
      </c>
      <c r="AD1501" s="50" t="n">
        <f aca="false">MAX(AV1501,H1501)</f>
        <v>5</v>
      </c>
      <c r="AE1501" s="57"/>
      <c r="AF1501" s="50" t="n">
        <f aca="false">IF(LEFT(Cockpit!$C$5,1)="A",H1501,IF(Parameter!$E$30="MAX-Bestand",IF(CH1501=1,CI1501,IF(LEFT(Cockpit!$C$5,1)="B",AL1501,MAX(AL1501,H1501))),ROUNDUP(AJ1501,0)))</f>
        <v>5</v>
      </c>
      <c r="AG1501" s="50" t="n">
        <f aca="false">IF(BZ1501=1,0,ROUNDUP(AF1501/BY1501,0))</f>
        <v>1</v>
      </c>
      <c r="AH1501" s="52" t="n">
        <f aca="false">IF(CQ1501&gt;0,CQ1501*MAX(1,AF1501/X1501),IF(BZ1501=1,IF(AF1501&lt;=0,0,CD1501*MAX(1,IF(H1501&gt;0,AF1501/H1501,1))),IF(R1501&gt;0,AG1501/R1501,0))/MAX(0.1,N(Parameter!$M$21)))</f>
        <v>0.0384615384615385</v>
      </c>
      <c r="AI1501" s="50" t="n">
        <f aca="false">AH1501*CB1501</f>
        <v>5.96153846153846</v>
      </c>
      <c r="AJ1501" s="51" t="n">
        <f aca="false">IF(LEFT(Cockpit!$C$5,1)="A",H1501,IF(CH1501=1,(CK1501+CI1501)/2,IF(LEFT(Cockpit!$C$5,1)="B",(CK1501+AL1501)/2,MAX((CK1501+AL1501)/2,H1501))))</f>
        <v>5</v>
      </c>
      <c r="AK1501" s="50" t="n">
        <f aca="false">AJ1501*G1501</f>
        <v>488.15</v>
      </c>
      <c r="AL1501" s="50" t="n">
        <f aca="false">ROUNDUP(CK1501+MAX(CL1501,2*(J1501/IF(CG1501&gt;0,CG1501,MAX(0.1,N(Cockpit!$C$6)))-CK1501)),0)</f>
        <v>3</v>
      </c>
      <c r="AM1501" s="51" t="n">
        <f aca="false">IF(AI1501&gt;0,J1501/AI1501,-1)</f>
        <v>0</v>
      </c>
      <c r="AN1501" s="51" t="n">
        <f aca="false">IF(AND(OR(CF1501="L1",CF1501="L23",CF1501="LIFT"),AI1501&gt;0),SUMIFS($AI$7:$AI$1843,$CF$7:$CF$1843,CF1501,$AM$7:$AM$1843,"&gt;"&amp;AM1501)+SUMIFS($AI$7:$AI$1843,$CF$7:$CF$1843,CF1501,$AM$7:$AM$1843,AM1501,$BW$7:$BW$1843,"&lt;="&amp;BW1501),"")</f>
        <v>29886.6413386519</v>
      </c>
      <c r="AO1501" s="58" t="n">
        <f aca="false">IF(AN1501="",0,MAX(0,MIN(1,(IF(CF1501="L1",Parameter!$H$5,IF(CF1501="L23",Parameter!$H$6+Parameter!$H$7,Parameter!$H$5+Parameter!$H$6+Parameter!$H$7))-(AN1501-AI1501))/AI1501)))</f>
        <v>1</v>
      </c>
      <c r="AP1501" s="50" t="n">
        <f aca="false">IF(LEFT(Cockpit!$I$5,1)="A",H1501,IF(Parameter!$E$30="MAX-Bestand",IF(CH1501=1,CI1501,IF(LEFT(Cockpit!$I$5,1)="B",AV1501,MAX(AV1501,H1501))),ROUNDUP(AT1501,0)))</f>
        <v>5</v>
      </c>
      <c r="AQ1501" s="50" t="n">
        <f aca="false">IF(BZ1501=1,0,ROUNDUP(AP1501/BY1501,0))</f>
        <v>1</v>
      </c>
      <c r="AR1501" s="52" t="n">
        <f aca="false">IF(CQ1501&gt;0,CQ1501*MAX(1,AP1501/X1501),IF(BZ1501=1,IF(AP1501&lt;=0,0,CD1501*MAX(1,IF(H1501&gt;0,AP1501/H1501,1))),IF(R1501&gt;0,AQ1501/R1501,0))/MAX(0.1,N(Parameter!$M$21)))</f>
        <v>0.0384615384615385</v>
      </c>
      <c r="AS1501" s="50" t="n">
        <f aca="false">AR1501*CB1501</f>
        <v>5.96153846153846</v>
      </c>
      <c r="AT1501" s="51" t="n">
        <f aca="false">IF(LEFT(Cockpit!$I$5,1)="A",H1501,IF(CH1501=1,(CK1501+CI1501)/2,IF(LEFT(Cockpit!$I$5,1)="B",(CK1501+AV1501)/2,MAX((CK1501+AV1501)/2,H1501))))</f>
        <v>5</v>
      </c>
      <c r="AU1501" s="50" t="n">
        <f aca="false">AT1501*G1501</f>
        <v>488.15</v>
      </c>
      <c r="AV1501" s="50" t="n">
        <f aca="false">ROUNDUP(CK1501+MAX(CL1501,2*(J1501/IF(CG1501&gt;0,CG1501,MAX(0.1,N(Cockpit!$I$6)))-CK1501)),0)</f>
        <v>3</v>
      </c>
      <c r="AW1501" s="51" t="n">
        <f aca="false">IF(AS1501&gt;0,J1501/AS1501,-1)</f>
        <v>0</v>
      </c>
      <c r="AX1501" s="51" t="n">
        <f aca="false">IF(AND(OR(CF1501="L1",CF1501="L23",CF1501="LIFT"),AS1501&gt;0),SUMIFS($AS$7:$AS$1843,$CF$7:$CF$1843,CF1501,$AW$7:$AW$1843,"&gt;"&amp;AW1501)+SUMIFS($AS$7:$AS$1843,$CF$7:$CF$1843,CF1501,$AW$7:$AW$1843,AW1501,$BW$7:$BW$1843,"&lt;="&amp;BW1501),"")</f>
        <v>36193.2121412016</v>
      </c>
      <c r="AY1501" s="58" t="n">
        <f aca="false">IF(AX1501="",0,MAX(0,MIN(1,(IF(CF1501="L1",Parameter!$H$5,IF(CF1501="L23",Parameter!$H$6+Parameter!$H$7,Parameter!$H$5+Parameter!$H$6+Parameter!$H$7))-(AX1501-AS1501))/AS1501)))</f>
        <v>0</v>
      </c>
      <c r="AZ1501" s="50" t="n">
        <f aca="false">IF(LEFT(Cockpit!$O$5,1)="A",H1501,IF(Parameter!$E$30="MAX-Bestand",IF(CH1501=1,CI1501,IF(LEFT(Cockpit!$O$5,1)="B",BF1501,MAX(BF1501,H1501))),ROUNDUP(BD1501,0)))</f>
        <v>2</v>
      </c>
      <c r="BA1501" s="50" t="n">
        <f aca="false">IF(BZ1501=1,0,ROUNDUP(AZ1501/BY1501,0))</f>
        <v>1</v>
      </c>
      <c r="BB1501" s="52" t="n">
        <f aca="false">IF(CQ1501&gt;0,CQ1501*MAX(1,AZ1501/X1501),IF(BZ1501=1,IF(AZ1501&lt;=0,0,CD1501*MAX(1,IF(H1501&gt;0,AZ1501/H1501,1))),IF(R1501&gt;0,BA1501/R1501,0))/MAX(0.1,N(Parameter!$M$21)))</f>
        <v>0.0384615384615385</v>
      </c>
      <c r="BC1501" s="50" t="n">
        <f aca="false">BB1501*CB1501</f>
        <v>5.96153846153846</v>
      </c>
      <c r="BD1501" s="51" t="n">
        <f aca="false">IF(LEFT(Cockpit!$O$5,1)="A",H1501,IF(CH1501=1,(CK1501+CI1501)/2,IF(LEFT(Cockpit!$O$5,1)="B",(CK1501+BF1501)/2,MAX((CK1501+BF1501)/2,H1501))))</f>
        <v>1.5</v>
      </c>
      <c r="BE1501" s="50" t="n">
        <f aca="false">BD1501*G1501</f>
        <v>146.445</v>
      </c>
      <c r="BF1501" s="50" t="n">
        <f aca="false">ROUNDUP(CK1501+MAX(CL1501,2*(J1501/IF(CG1501&gt;0,CG1501,MAX(0.1,N(Cockpit!$O$6)))-CK1501)),0)</f>
        <v>3</v>
      </c>
      <c r="BG1501" s="51" t="n">
        <f aca="false">IF(BC1501&gt;0,J1501/BC1501,-1)</f>
        <v>0</v>
      </c>
      <c r="BH1501" s="51" t="n">
        <f aca="false">IF(AND(OR(CF1501="L1",CF1501="L23",CF1501="LIFT"),BC1501&gt;0),SUMIFS($BC$7:$BC$1843,$CF$7:$CF$1843,CF1501,$BG$7:$BG$1843,"&gt;"&amp;BG1501)+SUMIFS($BC$7:$BC$1843,$CF$7:$CF$1843,CF1501,$BG$7:$BG$1843,BG1501,$BW$7:$BW$1843,"&lt;="&amp;BW1501),"")</f>
        <v>30131.4034167339</v>
      </c>
      <c r="BI1501" s="58" t="n">
        <f aca="false">IF(BH1501="",0,MAX(0,MIN(1,(IF(CF1501="L1",Parameter!$H$5,IF(CF1501="L23",Parameter!$H$6+Parameter!$H$7,Parameter!$H$5+Parameter!$H$6+Parameter!$H$7))-(BH1501-BC1501))/BC1501)))</f>
        <v>1</v>
      </c>
      <c r="BJ1501" s="48" t="str">
        <f aca="false">IF(AI1501&lt;=0,"",IF(CF1501="Aussen","Aussenlager",IF(CF1501="-","Nicht im Lift",IF(AO1501&gt;=1,"Lift",IF(AO1501&lt;=0,"Aussenlager","teilweise")))))</f>
        <v>Lift</v>
      </c>
      <c r="BK1501" s="48" t="str">
        <f aca="false">IF(AS1501&lt;=0,"",IF(CF1501="Aussen","Aussenlager",IF(CF1501="-","Nicht im Lift",IF(AY1501&gt;=1,"Lift",IF(AY1501&lt;=0,"Aussenlager","teilweise")))))</f>
        <v>Aussenlager</v>
      </c>
      <c r="BL1501" s="48" t="str">
        <f aca="false">IF(BC1501&lt;=0,"",IF(CF1501="Aussen","Aussenlager",IF(CF1501="-","Nicht im Lift",IF(BI1501&gt;=1,"Lift",IF(BI1501&lt;=0,"Aussenlager","teilweise")))))</f>
        <v>Lift</v>
      </c>
      <c r="BM1501" s="48" t="str">
        <f aca="false">IF(A1501="","",IF(BV1501=1,"Neu; ","")&amp;IF(AND(BV1501=0,BQ1501&lt;0),"negativer Bestand (Export "&amp;BQ1501&amp;"); ","")&amp;IF(J1501&lt;=0,"Kein Verbrauch; ","")&amp;IF(CQ1501&gt;0,"Lift "&amp;W1501&amp;" lt. Liftbericht (Fach "&amp;X1501&amp;" Stk); ",IF(CA1501=1,"Gebinde geschätzt ("&amp;T1501&amp;"); ",IF(BZ1501=1,"Lose – Tablare geschätzt; ","")))&amp;IF(H1501&gt;AV1501,"Überbestand "&amp;ROUND(H1501-AV1501,0)&amp;" Stk / CHF "&amp;ROUND((H1501-AV1501)*G1501,0)&amp;"; ","")&amp;IF(AND(CH1501=1,CI1501&lt;CJ1501),"MAX &lt; MB+LG; ","")&amp;IF(AND(CP1501&gt;0,CO1501*10&gt;CP1501),"zu hoch für Tablar; ","")&amp;IF(AND(BV1501=0,OR(CH1501=1,AA1501&lt;&gt;"",U1501&lt;&gt;"",V1501&lt;&gt;"",AB1501&lt;&gt;"")),"manuell übersteuert; ","")&amp;IF(AND(BZ1501=0,R1501=0),"Gebinde unbekannt / Stellmass fehlt; ","")&amp;IF(AND(BZ1501=0,N(V1501)&lt;=0,N(Q1501)&lt;=0),"Menge pro Gebinde fehlt (Ist = 1 Gebinde); ","")&amp;BU1501)</f>
        <v>Kein Verbrauch; Überbestand 2 Stk / CHF 195; nur im Artikelstamm (Bestand 23.06.2026); Überbestand</v>
      </c>
      <c r="BN1501" s="48"/>
      <c r="BO1501" s="48"/>
      <c r="BP1501" s="55"/>
      <c r="BQ1501" s="50" t="n">
        <v>5</v>
      </c>
      <c r="BR1501" s="50" t="n">
        <v>0</v>
      </c>
      <c r="BS1501" s="49" t="n">
        <v>0</v>
      </c>
      <c r="BT1501" s="50" t="n">
        <v>0</v>
      </c>
      <c r="BU1501" s="48" t="s">
        <v>2581</v>
      </c>
      <c r="BV1501" s="53" t="n">
        <v>0</v>
      </c>
      <c r="BW1501" s="53" t="n">
        <v>1501</v>
      </c>
      <c r="BX1501" s="48" t="str">
        <f aca="false">IF(U1501&lt;&gt;"",UPPER(TRIM(U1501)),IF(CA1501=1,UPPER(VLOOKUP(T1501,Parameter!$I$27:$K$29,2,0)),IF(P1501="","LOSE",P1501)))</f>
        <v>S51</v>
      </c>
      <c r="BY1501" s="50" t="n">
        <f aca="false">IF(BX1501="LOSE",1,IF(N(V1501)&gt;0,V1501,IF(CA1501=1,MAX(1,N(VLOOKUP(T1501,Parameter!$I$27:$K$29,3,0)),H1501,N(N1501)),IF(N(Q1501)&gt;0,Q1501,MAX(1,H1501)))))</f>
        <v>5</v>
      </c>
      <c r="BZ1501" s="53" t="n">
        <f aca="false">IF(BX1501="LOSE",1,0)</f>
        <v>0</v>
      </c>
      <c r="CA1501" s="53" t="n">
        <f aca="false">IF(AND(U1501="",OR(P1501="",P1501="LOSE"),T1501&lt;&gt;"",N(S1501)&lt;=0,ISNUMBER(MATCH(T1501,Parameter!$I$27:$I$29,0))),1,0)</f>
        <v>0</v>
      </c>
      <c r="CB1501" s="53" t="n">
        <f aca="false">IF(CQ1501&gt;0,INDEX(Parameter!$H$5:$H$7,W1501)/INDEX(Parameter!$E$5:$E$7,W1501),IF(AND(BZ1501=0,N(IFERROR(VLOOKUP(BX1501,'Gebinde-Kategorie'!$A$5:$N$45,14,0),0))&gt;0),VLOOKUP(BX1501,'Gebinde-Kategorie'!$A$5:$N$45,14,0)*10+Parameter!$M$23,Parameter!$M$24))</f>
        <v>155</v>
      </c>
      <c r="CC1501" s="48" t="str">
        <f aca="false">IF(AND(Parameter!$B$19="Ja",E1501&lt;&gt;"",ISNUMBER(MATCH(E1501,Parameter!$I$35:$I$52,0))),VLOOKUP(E1501,Parameter!$I$35:$J$52,2,0),IFERROR(VLOOKUP(D1501,Parameter!$A$35:$C$64,2,0),"Nein"))</f>
        <v>2+3</v>
      </c>
      <c r="CD1501" s="52" t="n">
        <f aca="false">IF(BZ1501=0,0,IF(N(S1501)&gt;0,S1501,IFERROR(VLOOKUP(D1501,Parameter!$A$35:$C$64,3,0)+0,0)))</f>
        <v>0</v>
      </c>
      <c r="CE1501" s="48" t="n">
        <f aca="false">IF(AA1501&lt;&gt;"",AA1501,Z1501)</f>
        <v>3</v>
      </c>
      <c r="CF1501" s="48" t="str">
        <f aca="false">IF(OR(CE1501=1,CE1501=2,CE1501=3),IF(Parameter!$E$27="Ja","LIFT",IF(CE1501=1,"L1","L23")),IF(CE1501="Aussen","Aussen","-"))</f>
        <v>LIFT</v>
      </c>
      <c r="CG1501" s="59" t="n">
        <f aca="false">IF(N(AB1501)&gt;0,AB1501,0)</f>
        <v>0</v>
      </c>
      <c r="CH1501" s="53" t="n">
        <f aca="false">IF(ISNUMBER(AE1501),1,0)</f>
        <v>0</v>
      </c>
      <c r="CI1501" s="50" t="n">
        <f aca="false">N(AE1501)</f>
        <v>0</v>
      </c>
      <c r="CJ1501" s="50" t="n">
        <f aca="false">N(M1501)+N(N1501)</f>
        <v>3</v>
      </c>
      <c r="CK1501" s="50" t="n">
        <f aca="false">N(M1501)</f>
        <v>0</v>
      </c>
      <c r="CL1501" s="50" t="n">
        <f aca="false">N(N1501)</f>
        <v>3</v>
      </c>
      <c r="CM1501" s="50" t="n">
        <f aca="false">ROUNDUP(H1501/BY1501,0)</f>
        <v>1</v>
      </c>
      <c r="CN1501" s="50" t="n">
        <f aca="false">ROUNDUP(CI1501/BY1501,0)</f>
        <v>0</v>
      </c>
      <c r="CO1501" s="53" t="n">
        <f aca="false">IF(BZ1501=1,0,IFERROR(VLOOKUP(BX1501,'Gebinde-Kategorie'!$A$5:$N$45,5,0)+0,0))</f>
        <v>11</v>
      </c>
      <c r="CP1501" s="53" t="n">
        <f aca="false">IFERROR(IF(OR(CE1501=1,CE1501=2,CE1501=3),N(INDEX(Parameter!$I$5:$I$7,CE1501)),0),0)</f>
        <v>0</v>
      </c>
      <c r="CQ1501" s="52" t="n">
        <f aca="false">IF(AND(Parameter!$B$21="Ja",ISNUMBER(W1501),N(X1501)&gt;0),IFERROR(N(INDEX(Parameter!$L$5:$L$7,W1501))*INDEX(Parameter!$E$5:$E$7,W1501)*X1501/SUMIFS($X$7:$X$1843,$W$7:$W$1843,W1501),0),0)</f>
        <v>0</v>
      </c>
    </row>
    <row r="1502" customFormat="false" ht="15" hidden="false" customHeight="false" outlineLevel="0" collapsed="false">
      <c r="A1502" s="48" t="s">
        <v>2635</v>
      </c>
      <c r="B1502" s="48" t="s">
        <v>2636</v>
      </c>
      <c r="C1502" s="48" t="s">
        <v>173</v>
      </c>
      <c r="D1502" s="48" t="s">
        <v>193</v>
      </c>
      <c r="E1502" s="48" t="s">
        <v>194</v>
      </c>
      <c r="F1502" s="48"/>
      <c r="G1502" s="49" t="n">
        <v>26.48</v>
      </c>
      <c r="H1502" s="50" t="n">
        <f aca="false">MAX(0,IF(AND(Parameter!$B$21="Ja",ISNUMBER(Y1502)),Y1502,IF(Parameter!$B$20="Jahresanfang 2025 + Export",BR1502+BQ1502,BQ1502)))</f>
        <v>8</v>
      </c>
      <c r="I1502" s="50" t="n">
        <f aca="false">H1502*G1502</f>
        <v>211.84</v>
      </c>
      <c r="J1502" s="50" t="n">
        <f aca="false">BT1502*Parameter!$B$18</f>
        <v>0</v>
      </c>
      <c r="K1502" s="51"/>
      <c r="L1502" s="52"/>
      <c r="M1502" s="50" t="n">
        <v>0</v>
      </c>
      <c r="N1502" s="50" t="n">
        <v>1</v>
      </c>
      <c r="O1502" s="53" t="n">
        <v>0</v>
      </c>
      <c r="P1502" s="48" t="s">
        <v>485</v>
      </c>
      <c r="Q1502" s="50" t="n">
        <v>8</v>
      </c>
      <c r="R1502" s="53" t="n">
        <f aca="false">IF(BZ1502=1,0,IFERROR(VLOOKUP(BX1502,'Gebinde-Kategorie'!$A$5:$N$45,13,0)+0,0))</f>
        <v>52</v>
      </c>
      <c r="S1502" s="54"/>
      <c r="T1502" s="55"/>
      <c r="U1502" s="55"/>
      <c r="V1502" s="55"/>
      <c r="W1502" s="48"/>
      <c r="X1502" s="50"/>
      <c r="Y1502" s="50"/>
      <c r="Z1502" s="48" t="n">
        <f aca="false">IF(A1502="","",IF(AND(Parameter!$B$21="Ja",ISNUMBER(W1502)),W1502,IF(CC1502="2+3",IF(ISNUMBER(SEARCH("grosser Artikel",BU1502)),2,IFERROR(VLOOKUP(BX1502,Parameter!$F$35:$G$64,2,0),2)),IF(OR(CC1502="Nein",CC1502=""),"-",CC1502))))</f>
        <v>3</v>
      </c>
      <c r="AA1502" s="55"/>
      <c r="AB1502" s="56"/>
      <c r="AC1502" s="50" t="n">
        <f aca="false">AV1502</f>
        <v>1</v>
      </c>
      <c r="AD1502" s="50" t="n">
        <f aca="false">MAX(AV1502,H1502)</f>
        <v>8</v>
      </c>
      <c r="AE1502" s="57"/>
      <c r="AF1502" s="50" t="n">
        <f aca="false">IF(LEFT(Cockpit!$C$5,1)="A",H1502,IF(Parameter!$E$30="MAX-Bestand",IF(CH1502=1,CI1502,IF(LEFT(Cockpit!$C$5,1)="B",AL1502,MAX(AL1502,H1502))),ROUNDUP(AJ1502,0)))</f>
        <v>8</v>
      </c>
      <c r="AG1502" s="50" t="n">
        <f aca="false">IF(BZ1502=1,0,ROUNDUP(AF1502/BY1502,0))</f>
        <v>1</v>
      </c>
      <c r="AH1502" s="52" t="n">
        <f aca="false">IF(CQ1502&gt;0,CQ1502*MAX(1,AF1502/X1502),IF(BZ1502=1,IF(AF1502&lt;=0,0,CD1502*MAX(1,IF(H1502&gt;0,AF1502/H1502,1))),IF(R1502&gt;0,AG1502/R1502,0))/MAX(0.1,N(Parameter!$M$21)))</f>
        <v>0.0192307692307692</v>
      </c>
      <c r="AI1502" s="50" t="n">
        <f aca="false">AH1502*CB1502</f>
        <v>2.98076923076923</v>
      </c>
      <c r="AJ1502" s="51" t="n">
        <f aca="false">IF(LEFT(Cockpit!$C$5,1)="A",H1502,IF(CH1502=1,(CK1502+CI1502)/2,IF(LEFT(Cockpit!$C$5,1)="B",(CK1502+AL1502)/2,MAX((CK1502+AL1502)/2,H1502))))</f>
        <v>8</v>
      </c>
      <c r="AK1502" s="50" t="n">
        <f aca="false">AJ1502*G1502</f>
        <v>211.84</v>
      </c>
      <c r="AL1502" s="50" t="n">
        <f aca="false">ROUNDUP(CK1502+MAX(CL1502,2*(J1502/IF(CG1502&gt;0,CG1502,MAX(0.1,N(Cockpit!$C$6)))-CK1502)),0)</f>
        <v>1</v>
      </c>
      <c r="AM1502" s="51" t="n">
        <f aca="false">IF(AI1502&gt;0,J1502/AI1502,-1)</f>
        <v>0</v>
      </c>
      <c r="AN1502" s="51" t="n">
        <f aca="false">IF(AND(OR(CF1502="L1",CF1502="L23",CF1502="LIFT"),AI1502&gt;0),SUMIFS($AI$7:$AI$1843,$CF$7:$CF$1843,CF1502,$AM$7:$AM$1843,"&gt;"&amp;AM1502)+SUMIFS($AI$7:$AI$1843,$CF$7:$CF$1843,CF1502,$AM$7:$AM$1843,AM1502,$BW$7:$BW$1843,"&lt;="&amp;BW1502),"")</f>
        <v>29889.6221078827</v>
      </c>
      <c r="AO1502" s="58" t="n">
        <f aca="false">IF(AN1502="",0,MAX(0,MIN(1,(IF(CF1502="L1",Parameter!$H$5,IF(CF1502="L23",Parameter!$H$6+Parameter!$H$7,Parameter!$H$5+Parameter!$H$6+Parameter!$H$7))-(AN1502-AI1502))/AI1502)))</f>
        <v>1</v>
      </c>
      <c r="AP1502" s="50" t="n">
        <f aca="false">IF(LEFT(Cockpit!$I$5,1)="A",H1502,IF(Parameter!$E$30="MAX-Bestand",IF(CH1502=1,CI1502,IF(LEFT(Cockpit!$I$5,1)="B",AV1502,MAX(AV1502,H1502))),ROUNDUP(AT1502,0)))</f>
        <v>8</v>
      </c>
      <c r="AQ1502" s="50" t="n">
        <f aca="false">IF(BZ1502=1,0,ROUNDUP(AP1502/BY1502,0))</f>
        <v>1</v>
      </c>
      <c r="AR1502" s="52" t="n">
        <f aca="false">IF(CQ1502&gt;0,CQ1502*MAX(1,AP1502/X1502),IF(BZ1502=1,IF(AP1502&lt;=0,0,CD1502*MAX(1,IF(H1502&gt;0,AP1502/H1502,1))),IF(R1502&gt;0,AQ1502/R1502,0))/MAX(0.1,N(Parameter!$M$21)))</f>
        <v>0.0192307692307692</v>
      </c>
      <c r="AS1502" s="50" t="n">
        <f aca="false">AR1502*CB1502</f>
        <v>2.98076923076923</v>
      </c>
      <c r="AT1502" s="51" t="n">
        <f aca="false">IF(LEFT(Cockpit!$I$5,1)="A",H1502,IF(CH1502=1,(CK1502+CI1502)/2,IF(LEFT(Cockpit!$I$5,1)="B",(CK1502+AV1502)/2,MAX((CK1502+AV1502)/2,H1502))))</f>
        <v>8</v>
      </c>
      <c r="AU1502" s="50" t="n">
        <f aca="false">AT1502*G1502</f>
        <v>211.84</v>
      </c>
      <c r="AV1502" s="50" t="n">
        <f aca="false">ROUNDUP(CK1502+MAX(CL1502,2*(J1502/IF(CG1502&gt;0,CG1502,MAX(0.1,N(Cockpit!$I$6)))-CK1502)),0)</f>
        <v>1</v>
      </c>
      <c r="AW1502" s="51" t="n">
        <f aca="false">IF(AS1502&gt;0,J1502/AS1502,-1)</f>
        <v>0</v>
      </c>
      <c r="AX1502" s="51" t="n">
        <f aca="false">IF(AND(OR(CF1502="L1",CF1502="L23",CF1502="LIFT"),AS1502&gt;0),SUMIFS($AS$7:$AS$1843,$CF$7:$CF$1843,CF1502,$AW$7:$AW$1843,"&gt;"&amp;AW1502)+SUMIFS($AS$7:$AS$1843,$CF$7:$CF$1843,CF1502,$AW$7:$AW$1843,AW1502,$BW$7:$BW$1843,"&lt;="&amp;BW1502),"")</f>
        <v>36196.1929104323</v>
      </c>
      <c r="AY1502" s="58" t="n">
        <f aca="false">IF(AX1502="",0,MAX(0,MIN(1,(IF(CF1502="L1",Parameter!$H$5,IF(CF1502="L23",Parameter!$H$6+Parameter!$H$7,Parameter!$H$5+Parameter!$H$6+Parameter!$H$7))-(AX1502-AS1502))/AS1502)))</f>
        <v>0</v>
      </c>
      <c r="AZ1502" s="50" t="n">
        <f aca="false">IF(LEFT(Cockpit!$O$5,1)="A",H1502,IF(Parameter!$E$30="MAX-Bestand",IF(CH1502=1,CI1502,IF(LEFT(Cockpit!$O$5,1)="B",BF1502,MAX(BF1502,H1502))),ROUNDUP(BD1502,0)))</f>
        <v>1</v>
      </c>
      <c r="BA1502" s="50" t="n">
        <f aca="false">IF(BZ1502=1,0,ROUNDUP(AZ1502/BY1502,0))</f>
        <v>1</v>
      </c>
      <c r="BB1502" s="52" t="n">
        <f aca="false">IF(CQ1502&gt;0,CQ1502*MAX(1,AZ1502/X1502),IF(BZ1502=1,IF(AZ1502&lt;=0,0,CD1502*MAX(1,IF(H1502&gt;0,AZ1502/H1502,1))),IF(R1502&gt;0,BA1502/R1502,0))/MAX(0.1,N(Parameter!$M$21)))</f>
        <v>0.0192307692307692</v>
      </c>
      <c r="BC1502" s="50" t="n">
        <f aca="false">BB1502*CB1502</f>
        <v>2.98076923076923</v>
      </c>
      <c r="BD1502" s="51" t="n">
        <f aca="false">IF(LEFT(Cockpit!$O$5,1)="A",H1502,IF(CH1502=1,(CK1502+CI1502)/2,IF(LEFT(Cockpit!$O$5,1)="B",(CK1502+BF1502)/2,MAX((CK1502+BF1502)/2,H1502))))</f>
        <v>0.5</v>
      </c>
      <c r="BE1502" s="50" t="n">
        <f aca="false">BD1502*G1502</f>
        <v>13.24</v>
      </c>
      <c r="BF1502" s="50" t="n">
        <f aca="false">ROUNDUP(CK1502+MAX(CL1502,2*(J1502/IF(CG1502&gt;0,CG1502,MAX(0.1,N(Cockpit!$O$6)))-CK1502)),0)</f>
        <v>1</v>
      </c>
      <c r="BG1502" s="51" t="n">
        <f aca="false">IF(BC1502&gt;0,J1502/BC1502,-1)</f>
        <v>0</v>
      </c>
      <c r="BH1502" s="51" t="n">
        <f aca="false">IF(AND(OR(CF1502="L1",CF1502="L23",CF1502="LIFT"),BC1502&gt;0),SUMIFS($BC$7:$BC$1843,$CF$7:$CF$1843,CF1502,$BG$7:$BG$1843,"&gt;"&amp;BG1502)+SUMIFS($BC$7:$BC$1843,$CF$7:$CF$1843,CF1502,$BG$7:$BG$1843,BG1502,$BW$7:$BW$1843,"&lt;="&amp;BW1502),"")</f>
        <v>30134.3841859647</v>
      </c>
      <c r="BI1502" s="58" t="n">
        <f aca="false">IF(BH1502="",0,MAX(0,MIN(1,(IF(CF1502="L1",Parameter!$H$5,IF(CF1502="L23",Parameter!$H$6+Parameter!$H$7,Parameter!$H$5+Parameter!$H$6+Parameter!$H$7))-(BH1502-BC1502))/BC1502)))</f>
        <v>1</v>
      </c>
      <c r="BJ1502" s="48" t="str">
        <f aca="false">IF(AI1502&lt;=0,"",IF(CF1502="Aussen","Aussenlager",IF(CF1502="-","Nicht im Lift",IF(AO1502&gt;=1,"Lift",IF(AO1502&lt;=0,"Aussenlager","teilweise")))))</f>
        <v>Lift</v>
      </c>
      <c r="BK1502" s="48" t="str">
        <f aca="false">IF(AS1502&lt;=0,"",IF(CF1502="Aussen","Aussenlager",IF(CF1502="-","Nicht im Lift",IF(AY1502&gt;=1,"Lift",IF(AY1502&lt;=0,"Aussenlager","teilweise")))))</f>
        <v>Aussenlager</v>
      </c>
      <c r="BL1502" s="48" t="str">
        <f aca="false">IF(BC1502&lt;=0,"",IF(CF1502="Aussen","Aussenlager",IF(CF1502="-","Nicht im Lift",IF(BI1502&gt;=1,"Lift",IF(BI1502&lt;=0,"Aussenlager","teilweise")))))</f>
        <v>Lift</v>
      </c>
      <c r="BM1502" s="48" t="str">
        <f aca="false">IF(A1502="","",IF(BV1502=1,"Neu; ","")&amp;IF(AND(BV1502=0,BQ1502&lt;0),"negativer Bestand (Export "&amp;BQ1502&amp;"); ","")&amp;IF(J1502&lt;=0,"Kein Verbrauch; ","")&amp;IF(CQ1502&gt;0,"Lift "&amp;W1502&amp;" lt. Liftbericht (Fach "&amp;X1502&amp;" Stk); ",IF(CA1502=1,"Gebinde geschätzt ("&amp;T1502&amp;"); ",IF(BZ1502=1,"Lose – Tablare geschätzt; ","")))&amp;IF(H1502&gt;AV1502,"Überbestand "&amp;ROUND(H1502-AV1502,0)&amp;" Stk / CHF "&amp;ROUND((H1502-AV1502)*G1502,0)&amp;"; ","")&amp;IF(AND(CH1502=1,CI1502&lt;CJ1502),"MAX &lt; MB+LG; ","")&amp;IF(AND(CP1502&gt;0,CO1502*10&gt;CP1502),"zu hoch für Tablar; ","")&amp;IF(AND(BV1502=0,OR(CH1502=1,AA1502&lt;&gt;"",U1502&lt;&gt;"",V1502&lt;&gt;"",AB1502&lt;&gt;"")),"manuell übersteuert; ","")&amp;IF(AND(BZ1502=0,R1502=0),"Gebinde unbekannt / Stellmass fehlt; ","")&amp;IF(AND(BZ1502=0,N(V1502)&lt;=0,N(Q1502)&lt;=0),"Menge pro Gebinde fehlt (Ist = 1 Gebinde); ","")&amp;BU1502)</f>
        <v>Kein Verbrauch; Überbestand 7 Stk / CHF 185; nur im Artikelstamm (Bestand 23.06.2026)</v>
      </c>
      <c r="BN1502" s="48"/>
      <c r="BO1502" s="48"/>
      <c r="BP1502" s="55"/>
      <c r="BQ1502" s="50" t="n">
        <v>8</v>
      </c>
      <c r="BR1502" s="50" t="n">
        <v>0</v>
      </c>
      <c r="BS1502" s="49" t="n">
        <v>0</v>
      </c>
      <c r="BT1502" s="50" t="n">
        <v>0</v>
      </c>
      <c r="BU1502" s="48" t="s">
        <v>2584</v>
      </c>
      <c r="BV1502" s="53" t="n">
        <v>0</v>
      </c>
      <c r="BW1502" s="53" t="n">
        <v>1502</v>
      </c>
      <c r="BX1502" s="48" t="str">
        <f aca="false">IF(U1502&lt;&gt;"",UPPER(TRIM(U1502)),IF(CA1502=1,UPPER(VLOOKUP(T1502,Parameter!$I$27:$K$29,2,0)),IF(P1502="","LOSE",P1502)))</f>
        <v>S33</v>
      </c>
      <c r="BY1502" s="50" t="n">
        <f aca="false">IF(BX1502="LOSE",1,IF(N(V1502)&gt;0,V1502,IF(CA1502=1,MAX(1,N(VLOOKUP(T1502,Parameter!$I$27:$K$29,3,0)),H1502,N(N1502)),IF(N(Q1502)&gt;0,Q1502,MAX(1,H1502)))))</f>
        <v>8</v>
      </c>
      <c r="BZ1502" s="53" t="n">
        <f aca="false">IF(BX1502="LOSE",1,0)</f>
        <v>0</v>
      </c>
      <c r="CA1502" s="53" t="n">
        <f aca="false">IF(AND(U1502="",OR(P1502="",P1502="LOSE"),T1502&lt;&gt;"",N(S1502)&lt;=0,ISNUMBER(MATCH(T1502,Parameter!$I$27:$I$29,0))),1,0)</f>
        <v>0</v>
      </c>
      <c r="CB1502" s="53" t="n">
        <f aca="false">IF(CQ1502&gt;0,INDEX(Parameter!$H$5:$H$7,W1502)/INDEX(Parameter!$E$5:$E$7,W1502),IF(AND(BZ1502=0,N(IFERROR(VLOOKUP(BX1502,'Gebinde-Kategorie'!$A$5:$N$45,14,0),0))&gt;0),VLOOKUP(BX1502,'Gebinde-Kategorie'!$A$5:$N$45,14,0)*10+Parameter!$M$23,Parameter!$M$24))</f>
        <v>155</v>
      </c>
      <c r="CC1502" s="48" t="str">
        <f aca="false">IF(AND(Parameter!$B$19="Ja",E1502&lt;&gt;"",ISNUMBER(MATCH(E1502,Parameter!$I$35:$I$52,0))),VLOOKUP(E1502,Parameter!$I$35:$J$52,2,0),IFERROR(VLOOKUP(D1502,Parameter!$A$35:$C$64,2,0),"Nein"))</f>
        <v>2+3</v>
      </c>
      <c r="CD1502" s="52" t="n">
        <f aca="false">IF(BZ1502=0,0,IF(N(S1502)&gt;0,S1502,IFERROR(VLOOKUP(D1502,Parameter!$A$35:$C$64,3,0)+0,0)))</f>
        <v>0</v>
      </c>
      <c r="CE1502" s="48" t="n">
        <f aca="false">IF(AA1502&lt;&gt;"",AA1502,Z1502)</f>
        <v>3</v>
      </c>
      <c r="CF1502" s="48" t="str">
        <f aca="false">IF(OR(CE1502=1,CE1502=2,CE1502=3),IF(Parameter!$E$27="Ja","LIFT",IF(CE1502=1,"L1","L23")),IF(CE1502="Aussen","Aussen","-"))</f>
        <v>LIFT</v>
      </c>
      <c r="CG1502" s="59" t="n">
        <f aca="false">IF(N(AB1502)&gt;0,AB1502,0)</f>
        <v>0</v>
      </c>
      <c r="CH1502" s="53" t="n">
        <f aca="false">IF(ISNUMBER(AE1502),1,0)</f>
        <v>0</v>
      </c>
      <c r="CI1502" s="50" t="n">
        <f aca="false">N(AE1502)</f>
        <v>0</v>
      </c>
      <c r="CJ1502" s="50" t="n">
        <f aca="false">N(M1502)+N(N1502)</f>
        <v>1</v>
      </c>
      <c r="CK1502" s="50" t="n">
        <f aca="false">N(M1502)</f>
        <v>0</v>
      </c>
      <c r="CL1502" s="50" t="n">
        <f aca="false">N(N1502)</f>
        <v>1</v>
      </c>
      <c r="CM1502" s="50" t="n">
        <f aca="false">ROUNDUP(H1502/BY1502,0)</f>
        <v>1</v>
      </c>
      <c r="CN1502" s="50" t="n">
        <f aca="false">ROUNDUP(CI1502/BY1502,0)</f>
        <v>0</v>
      </c>
      <c r="CO1502" s="53" t="n">
        <f aca="false">IF(BZ1502=1,0,IFERROR(VLOOKUP(BX1502,'Gebinde-Kategorie'!$A$5:$N$45,5,0)+0,0))</f>
        <v>8</v>
      </c>
      <c r="CP1502" s="53" t="n">
        <f aca="false">IFERROR(IF(OR(CE1502=1,CE1502=2,CE1502=3),N(INDEX(Parameter!$I$5:$I$7,CE1502)),0),0)</f>
        <v>0</v>
      </c>
      <c r="CQ1502" s="52" t="n">
        <f aca="false">IF(AND(Parameter!$B$21="Ja",ISNUMBER(W1502),N(X1502)&gt;0),IFERROR(N(INDEX(Parameter!$L$5:$L$7,W1502))*INDEX(Parameter!$E$5:$E$7,W1502)*X1502/SUMIFS($X$7:$X$1843,$W$7:$W$1843,W1502),0),0)</f>
        <v>0</v>
      </c>
    </row>
    <row r="1503" customFormat="false" ht="15" hidden="false" customHeight="false" outlineLevel="0" collapsed="false">
      <c r="A1503" s="48" t="s">
        <v>2637</v>
      </c>
      <c r="B1503" s="48" t="s">
        <v>2638</v>
      </c>
      <c r="C1503" s="48" t="s">
        <v>173</v>
      </c>
      <c r="D1503" s="48" t="s">
        <v>193</v>
      </c>
      <c r="E1503" s="48" t="s">
        <v>194</v>
      </c>
      <c r="F1503" s="48"/>
      <c r="G1503" s="49" t="n">
        <v>4.5</v>
      </c>
      <c r="H1503" s="50" t="n">
        <f aca="false">MAX(0,IF(AND(Parameter!$B$21="Ja",ISNUMBER(Y1503)),Y1503,IF(Parameter!$B$20="Jahresanfang 2025 + Export",BR1503+BQ1503,BQ1503)))</f>
        <v>11</v>
      </c>
      <c r="I1503" s="50" t="n">
        <f aca="false">H1503*G1503</f>
        <v>49.5</v>
      </c>
      <c r="J1503" s="50" t="n">
        <f aca="false">BT1503*Parameter!$B$18</f>
        <v>0</v>
      </c>
      <c r="K1503" s="51"/>
      <c r="L1503" s="52"/>
      <c r="M1503" s="50" t="n">
        <v>0</v>
      </c>
      <c r="N1503" s="50" t="n">
        <v>10</v>
      </c>
      <c r="O1503" s="53" t="n">
        <v>14</v>
      </c>
      <c r="P1503" s="48" t="s">
        <v>410</v>
      </c>
      <c r="Q1503" s="50" t="n">
        <v>11</v>
      </c>
      <c r="R1503" s="53" t="n">
        <f aca="false">IF(BZ1503=1,0,IFERROR(VLOOKUP(BX1503,'Gebinde-Kategorie'!$A$5:$N$45,13,0)+0,0))</f>
        <v>280</v>
      </c>
      <c r="S1503" s="54"/>
      <c r="T1503" s="55"/>
      <c r="U1503" s="55"/>
      <c r="V1503" s="55"/>
      <c r="W1503" s="48"/>
      <c r="X1503" s="50"/>
      <c r="Y1503" s="50"/>
      <c r="Z1503" s="48" t="n">
        <f aca="false">IF(A1503="","",IF(AND(Parameter!$B$21="Ja",ISNUMBER(W1503)),W1503,IF(CC1503="2+3",IF(ISNUMBER(SEARCH("grosser Artikel",BU1503)),2,IFERROR(VLOOKUP(BX1503,Parameter!$F$35:$G$64,2,0),2)),IF(OR(CC1503="Nein",CC1503=""),"-",CC1503))))</f>
        <v>3</v>
      </c>
      <c r="AA1503" s="55"/>
      <c r="AB1503" s="56"/>
      <c r="AC1503" s="50" t="n">
        <f aca="false">AV1503</f>
        <v>10</v>
      </c>
      <c r="AD1503" s="50" t="n">
        <f aca="false">MAX(AV1503,H1503)</f>
        <v>11</v>
      </c>
      <c r="AE1503" s="57"/>
      <c r="AF1503" s="50" t="n">
        <f aca="false">IF(LEFT(Cockpit!$C$5,1)="A",H1503,IF(Parameter!$E$30="MAX-Bestand",IF(CH1503=1,CI1503,IF(LEFT(Cockpit!$C$5,1)="B",AL1503,MAX(AL1503,H1503))),ROUNDUP(AJ1503,0)))</f>
        <v>11</v>
      </c>
      <c r="AG1503" s="50" t="n">
        <f aca="false">IF(BZ1503=1,0,ROUNDUP(AF1503/BY1503,0))</f>
        <v>1</v>
      </c>
      <c r="AH1503" s="52" t="n">
        <f aca="false">IF(CQ1503&gt;0,CQ1503*MAX(1,AF1503/X1503),IF(BZ1503=1,IF(AF1503&lt;=0,0,CD1503*MAX(1,IF(H1503&gt;0,AF1503/H1503,1))),IF(R1503&gt;0,AG1503/R1503,0))/MAX(0.1,N(Parameter!$M$21)))</f>
        <v>0.00357142857142857</v>
      </c>
      <c r="AI1503" s="50" t="n">
        <f aca="false">AH1503*CB1503</f>
        <v>0.553571428571429</v>
      </c>
      <c r="AJ1503" s="51" t="n">
        <f aca="false">IF(LEFT(Cockpit!$C$5,1)="A",H1503,IF(CH1503=1,(CK1503+CI1503)/2,IF(LEFT(Cockpit!$C$5,1)="B",(CK1503+AL1503)/2,MAX((CK1503+AL1503)/2,H1503))))</f>
        <v>11</v>
      </c>
      <c r="AK1503" s="50" t="n">
        <f aca="false">AJ1503*G1503</f>
        <v>49.5</v>
      </c>
      <c r="AL1503" s="50" t="n">
        <f aca="false">ROUNDUP(CK1503+MAX(CL1503,2*(J1503/IF(CG1503&gt;0,CG1503,MAX(0.1,N(Cockpit!$C$6)))-CK1503)),0)</f>
        <v>10</v>
      </c>
      <c r="AM1503" s="51" t="n">
        <f aca="false">IF(AI1503&gt;0,J1503/AI1503,-1)</f>
        <v>0</v>
      </c>
      <c r="AN1503" s="51" t="n">
        <f aca="false">IF(AND(OR(CF1503="L1",CF1503="L23",CF1503="LIFT"),AI1503&gt;0),SUMIFS($AI$7:$AI$1843,$CF$7:$CF$1843,CF1503,$AM$7:$AM$1843,"&gt;"&amp;AM1503)+SUMIFS($AI$7:$AI$1843,$CF$7:$CF$1843,CF1503,$AM$7:$AM$1843,AM1503,$BW$7:$BW$1843,"&lt;="&amp;BW1503),"")</f>
        <v>29890.1756793113</v>
      </c>
      <c r="AO1503" s="58" t="n">
        <f aca="false">IF(AN1503="",0,MAX(0,MIN(1,(IF(CF1503="L1",Parameter!$H$5,IF(CF1503="L23",Parameter!$H$6+Parameter!$H$7,Parameter!$H$5+Parameter!$H$6+Parameter!$H$7))-(AN1503-AI1503))/AI1503)))</f>
        <v>1</v>
      </c>
      <c r="AP1503" s="50" t="n">
        <f aca="false">IF(LEFT(Cockpit!$I$5,1)="A",H1503,IF(Parameter!$E$30="MAX-Bestand",IF(CH1503=1,CI1503,IF(LEFT(Cockpit!$I$5,1)="B",AV1503,MAX(AV1503,H1503))),ROUNDUP(AT1503,0)))</f>
        <v>11</v>
      </c>
      <c r="AQ1503" s="50" t="n">
        <f aca="false">IF(BZ1503=1,0,ROUNDUP(AP1503/BY1503,0))</f>
        <v>1</v>
      </c>
      <c r="AR1503" s="52" t="n">
        <f aca="false">IF(CQ1503&gt;0,CQ1503*MAX(1,AP1503/X1503),IF(BZ1503=1,IF(AP1503&lt;=0,0,CD1503*MAX(1,IF(H1503&gt;0,AP1503/H1503,1))),IF(R1503&gt;0,AQ1503/R1503,0))/MAX(0.1,N(Parameter!$M$21)))</f>
        <v>0.00357142857142857</v>
      </c>
      <c r="AS1503" s="50" t="n">
        <f aca="false">AR1503*CB1503</f>
        <v>0.553571428571429</v>
      </c>
      <c r="AT1503" s="51" t="n">
        <f aca="false">IF(LEFT(Cockpit!$I$5,1)="A",H1503,IF(CH1503=1,(CK1503+CI1503)/2,IF(LEFT(Cockpit!$I$5,1)="B",(CK1503+AV1503)/2,MAX((CK1503+AV1503)/2,H1503))))</f>
        <v>11</v>
      </c>
      <c r="AU1503" s="50" t="n">
        <f aca="false">AT1503*G1503</f>
        <v>49.5</v>
      </c>
      <c r="AV1503" s="50" t="n">
        <f aca="false">ROUNDUP(CK1503+MAX(CL1503,2*(J1503/IF(CG1503&gt;0,CG1503,MAX(0.1,N(Cockpit!$I$6)))-CK1503)),0)</f>
        <v>10</v>
      </c>
      <c r="AW1503" s="51" t="n">
        <f aca="false">IF(AS1503&gt;0,J1503/AS1503,-1)</f>
        <v>0</v>
      </c>
      <c r="AX1503" s="51" t="n">
        <f aca="false">IF(AND(OR(CF1503="L1",CF1503="L23",CF1503="LIFT"),AS1503&gt;0),SUMIFS($AS$7:$AS$1843,$CF$7:$CF$1843,CF1503,$AW$7:$AW$1843,"&gt;"&amp;AW1503)+SUMIFS($AS$7:$AS$1843,$CF$7:$CF$1843,CF1503,$AW$7:$AW$1843,AW1503,$BW$7:$BW$1843,"&lt;="&amp;BW1503),"")</f>
        <v>36196.7464818609</v>
      </c>
      <c r="AY1503" s="58" t="n">
        <f aca="false">IF(AX1503="",0,MAX(0,MIN(1,(IF(CF1503="L1",Parameter!$H$5,IF(CF1503="L23",Parameter!$H$6+Parameter!$H$7,Parameter!$H$5+Parameter!$H$6+Parameter!$H$7))-(AX1503-AS1503))/AS1503)))</f>
        <v>0</v>
      </c>
      <c r="AZ1503" s="50" t="n">
        <f aca="false">IF(LEFT(Cockpit!$O$5,1)="A",H1503,IF(Parameter!$E$30="MAX-Bestand",IF(CH1503=1,CI1503,IF(LEFT(Cockpit!$O$5,1)="B",BF1503,MAX(BF1503,H1503))),ROUNDUP(BD1503,0)))</f>
        <v>5</v>
      </c>
      <c r="BA1503" s="50" t="n">
        <f aca="false">IF(BZ1503=1,0,ROUNDUP(AZ1503/BY1503,0))</f>
        <v>1</v>
      </c>
      <c r="BB1503" s="52" t="n">
        <f aca="false">IF(CQ1503&gt;0,CQ1503*MAX(1,AZ1503/X1503),IF(BZ1503=1,IF(AZ1503&lt;=0,0,CD1503*MAX(1,IF(H1503&gt;0,AZ1503/H1503,1))),IF(R1503&gt;0,BA1503/R1503,0))/MAX(0.1,N(Parameter!$M$21)))</f>
        <v>0.00357142857142857</v>
      </c>
      <c r="BC1503" s="50" t="n">
        <f aca="false">BB1503*CB1503</f>
        <v>0.553571428571429</v>
      </c>
      <c r="BD1503" s="51" t="n">
        <f aca="false">IF(LEFT(Cockpit!$O$5,1)="A",H1503,IF(CH1503=1,(CK1503+CI1503)/2,IF(LEFT(Cockpit!$O$5,1)="B",(CK1503+BF1503)/2,MAX((CK1503+BF1503)/2,H1503))))</f>
        <v>5</v>
      </c>
      <c r="BE1503" s="50" t="n">
        <f aca="false">BD1503*G1503</f>
        <v>22.5</v>
      </c>
      <c r="BF1503" s="50" t="n">
        <f aca="false">ROUNDUP(CK1503+MAX(CL1503,2*(J1503/IF(CG1503&gt;0,CG1503,MAX(0.1,N(Cockpit!$O$6)))-CK1503)),0)</f>
        <v>10</v>
      </c>
      <c r="BG1503" s="51" t="n">
        <f aca="false">IF(BC1503&gt;0,J1503/BC1503,-1)</f>
        <v>0</v>
      </c>
      <c r="BH1503" s="51" t="n">
        <f aca="false">IF(AND(OR(CF1503="L1",CF1503="L23",CF1503="LIFT"),BC1503&gt;0),SUMIFS($BC$7:$BC$1843,$CF$7:$CF$1843,CF1503,$BG$7:$BG$1843,"&gt;"&amp;BG1503)+SUMIFS($BC$7:$BC$1843,$CF$7:$CF$1843,CF1503,$BG$7:$BG$1843,BG1503,$BW$7:$BW$1843,"&lt;="&amp;BW1503),"")</f>
        <v>30134.9377573933</v>
      </c>
      <c r="BI1503" s="58" t="n">
        <f aca="false">IF(BH1503="",0,MAX(0,MIN(1,(IF(CF1503="L1",Parameter!$H$5,IF(CF1503="L23",Parameter!$H$6+Parameter!$H$7,Parameter!$H$5+Parameter!$H$6+Parameter!$H$7))-(BH1503-BC1503))/BC1503)))</f>
        <v>1</v>
      </c>
      <c r="BJ1503" s="48" t="str">
        <f aca="false">IF(AI1503&lt;=0,"",IF(CF1503="Aussen","Aussenlager",IF(CF1503="-","Nicht im Lift",IF(AO1503&gt;=1,"Lift",IF(AO1503&lt;=0,"Aussenlager","teilweise")))))</f>
        <v>Lift</v>
      </c>
      <c r="BK1503" s="48" t="str">
        <f aca="false">IF(AS1503&lt;=0,"",IF(CF1503="Aussen","Aussenlager",IF(CF1503="-","Nicht im Lift",IF(AY1503&gt;=1,"Lift",IF(AY1503&lt;=0,"Aussenlager","teilweise")))))</f>
        <v>Aussenlager</v>
      </c>
      <c r="BL1503" s="48" t="str">
        <f aca="false">IF(BC1503&lt;=0,"",IF(CF1503="Aussen","Aussenlager",IF(CF1503="-","Nicht im Lift",IF(BI1503&gt;=1,"Lift",IF(BI1503&lt;=0,"Aussenlager","teilweise")))))</f>
        <v>Lift</v>
      </c>
      <c r="BM1503" s="48" t="str">
        <f aca="false">IF(A1503="","",IF(BV1503=1,"Neu; ","")&amp;IF(AND(BV1503=0,BQ1503&lt;0),"negativer Bestand (Export "&amp;BQ1503&amp;"); ","")&amp;IF(J1503&lt;=0,"Kein Verbrauch; ","")&amp;IF(CQ1503&gt;0,"Lift "&amp;W1503&amp;" lt. Liftbericht (Fach "&amp;X1503&amp;" Stk); ",IF(CA1503=1,"Gebinde geschätzt ("&amp;T1503&amp;"); ",IF(BZ1503=1,"Lose – Tablare geschätzt; ","")))&amp;IF(H1503&gt;AV1503,"Überbestand "&amp;ROUND(H1503-AV1503,0)&amp;" Stk / CHF "&amp;ROUND((H1503-AV1503)*G1503,0)&amp;"; ","")&amp;IF(AND(CH1503=1,CI1503&lt;CJ1503),"MAX &lt; MB+LG; ","")&amp;IF(AND(CP1503&gt;0,CO1503*10&gt;CP1503),"zu hoch für Tablar; ","")&amp;IF(AND(BV1503=0,OR(CH1503=1,AA1503&lt;&gt;"",U1503&lt;&gt;"",V1503&lt;&gt;"",AB1503&lt;&gt;"")),"manuell übersteuert; ","")&amp;IF(AND(BZ1503=0,R1503=0),"Gebinde unbekannt / Stellmass fehlt; ","")&amp;IF(AND(BZ1503=0,N(V1503)&lt;=0,N(Q1503)&lt;=0),"Menge pro Gebinde fehlt (Ist = 1 Gebinde); ","")&amp;BU1503)</f>
        <v>Kein Verbrauch; Überbestand 1 Stk / CHF 5; nur im Artikelstamm (Bestand 23.06.2026)</v>
      </c>
      <c r="BN1503" s="48"/>
      <c r="BO1503" s="48"/>
      <c r="BP1503" s="55"/>
      <c r="BQ1503" s="50" t="n">
        <v>11</v>
      </c>
      <c r="BR1503" s="50" t="n">
        <v>0</v>
      </c>
      <c r="BS1503" s="49" t="n">
        <v>0</v>
      </c>
      <c r="BT1503" s="50" t="n">
        <v>0</v>
      </c>
      <c r="BU1503" s="48" t="s">
        <v>2584</v>
      </c>
      <c r="BV1503" s="53" t="n">
        <v>0</v>
      </c>
      <c r="BW1503" s="53" t="n">
        <v>1503</v>
      </c>
      <c r="BX1503" s="48" t="str">
        <f aca="false">IF(U1503&lt;&gt;"",UPPER(TRIM(U1503)),IF(CA1503=1,UPPER(VLOOKUP(T1503,Parameter!$I$27:$K$29,2,0)),IF(P1503="","LOSE",P1503)))</f>
        <v>S21</v>
      </c>
      <c r="BY1503" s="50" t="n">
        <f aca="false">IF(BX1503="LOSE",1,IF(N(V1503)&gt;0,V1503,IF(CA1503=1,MAX(1,N(VLOOKUP(T1503,Parameter!$I$27:$K$29,3,0)),H1503,N(N1503)),IF(N(Q1503)&gt;0,Q1503,MAX(1,H1503)))))</f>
        <v>11</v>
      </c>
      <c r="BZ1503" s="53" t="n">
        <f aca="false">IF(BX1503="LOSE",1,0)</f>
        <v>0</v>
      </c>
      <c r="CA1503" s="53" t="n">
        <f aca="false">IF(AND(U1503="",OR(P1503="",P1503="LOSE"),T1503&lt;&gt;"",N(S1503)&lt;=0,ISNUMBER(MATCH(T1503,Parameter!$I$27:$I$29,0))),1,0)</f>
        <v>0</v>
      </c>
      <c r="CB1503" s="53" t="n">
        <f aca="false">IF(CQ1503&gt;0,INDEX(Parameter!$H$5:$H$7,W1503)/INDEX(Parameter!$E$5:$E$7,W1503),IF(AND(BZ1503=0,N(IFERROR(VLOOKUP(BX1503,'Gebinde-Kategorie'!$A$5:$N$45,14,0),0))&gt;0),VLOOKUP(BX1503,'Gebinde-Kategorie'!$A$5:$N$45,14,0)*10+Parameter!$M$23,Parameter!$M$24))</f>
        <v>155</v>
      </c>
      <c r="CC1503" s="48" t="str">
        <f aca="false">IF(AND(Parameter!$B$19="Ja",E1503&lt;&gt;"",ISNUMBER(MATCH(E1503,Parameter!$I$35:$I$52,0))),VLOOKUP(E1503,Parameter!$I$35:$J$52,2,0),IFERROR(VLOOKUP(D1503,Parameter!$A$35:$C$64,2,0),"Nein"))</f>
        <v>2+3</v>
      </c>
      <c r="CD1503" s="52" t="n">
        <f aca="false">IF(BZ1503=0,0,IF(N(S1503)&gt;0,S1503,IFERROR(VLOOKUP(D1503,Parameter!$A$35:$C$64,3,0)+0,0)))</f>
        <v>0</v>
      </c>
      <c r="CE1503" s="48" t="n">
        <f aca="false">IF(AA1503&lt;&gt;"",AA1503,Z1503)</f>
        <v>3</v>
      </c>
      <c r="CF1503" s="48" t="str">
        <f aca="false">IF(OR(CE1503=1,CE1503=2,CE1503=3),IF(Parameter!$E$27="Ja","LIFT",IF(CE1503=1,"L1","L23")),IF(CE1503="Aussen","Aussen","-"))</f>
        <v>LIFT</v>
      </c>
      <c r="CG1503" s="59" t="n">
        <f aca="false">IF(N(AB1503)&gt;0,AB1503,0)</f>
        <v>0</v>
      </c>
      <c r="CH1503" s="53" t="n">
        <f aca="false">IF(ISNUMBER(AE1503),1,0)</f>
        <v>0</v>
      </c>
      <c r="CI1503" s="50" t="n">
        <f aca="false">N(AE1503)</f>
        <v>0</v>
      </c>
      <c r="CJ1503" s="50" t="n">
        <f aca="false">N(M1503)+N(N1503)</f>
        <v>10</v>
      </c>
      <c r="CK1503" s="50" t="n">
        <f aca="false">N(M1503)</f>
        <v>0</v>
      </c>
      <c r="CL1503" s="50" t="n">
        <f aca="false">N(N1503)</f>
        <v>10</v>
      </c>
      <c r="CM1503" s="50" t="n">
        <f aca="false">ROUNDUP(H1503/BY1503,0)</f>
        <v>1</v>
      </c>
      <c r="CN1503" s="50" t="n">
        <f aca="false">ROUNDUP(CI1503/BY1503,0)</f>
        <v>0</v>
      </c>
      <c r="CO1503" s="53" t="n">
        <f aca="false">IF(BZ1503=1,0,IFERROR(VLOOKUP(BX1503,'Gebinde-Kategorie'!$A$5:$N$45,5,0)+0,0))</f>
        <v>8</v>
      </c>
      <c r="CP1503" s="53" t="n">
        <f aca="false">IFERROR(IF(OR(CE1503=1,CE1503=2,CE1503=3),N(INDEX(Parameter!$I$5:$I$7,CE1503)),0),0)</f>
        <v>0</v>
      </c>
      <c r="CQ1503" s="52" t="n">
        <f aca="false">IF(AND(Parameter!$B$21="Ja",ISNUMBER(W1503),N(X1503)&gt;0),IFERROR(N(INDEX(Parameter!$L$5:$L$7,W1503))*INDEX(Parameter!$E$5:$E$7,W1503)*X1503/SUMIFS($X$7:$X$1843,$W$7:$W$1843,W1503),0),0)</f>
        <v>0</v>
      </c>
    </row>
    <row r="1504" customFormat="false" ht="15" hidden="false" customHeight="false" outlineLevel="0" collapsed="false">
      <c r="A1504" s="48" t="s">
        <v>2639</v>
      </c>
      <c r="B1504" s="48" t="s">
        <v>2640</v>
      </c>
      <c r="C1504" s="48" t="s">
        <v>173</v>
      </c>
      <c r="D1504" s="48" t="s">
        <v>193</v>
      </c>
      <c r="E1504" s="48" t="s">
        <v>194</v>
      </c>
      <c r="F1504" s="48"/>
      <c r="G1504" s="49" t="n">
        <v>43.8</v>
      </c>
      <c r="H1504" s="50" t="n">
        <f aca="false">MAX(0,IF(AND(Parameter!$B$21="Ja",ISNUMBER(Y1504)),Y1504,IF(Parameter!$B$20="Jahresanfang 2025 + Export",BR1504+BQ1504,BQ1504)))</f>
        <v>10</v>
      </c>
      <c r="I1504" s="50" t="n">
        <f aca="false">H1504*G1504</f>
        <v>438</v>
      </c>
      <c r="J1504" s="50" t="n">
        <f aca="false">BT1504*Parameter!$B$18</f>
        <v>0</v>
      </c>
      <c r="K1504" s="51"/>
      <c r="L1504" s="52"/>
      <c r="M1504" s="50" t="n">
        <v>0</v>
      </c>
      <c r="N1504" s="50" t="n">
        <v>10</v>
      </c>
      <c r="O1504" s="53" t="n">
        <v>14</v>
      </c>
      <c r="P1504" s="48" t="s">
        <v>485</v>
      </c>
      <c r="Q1504" s="50" t="n">
        <v>10</v>
      </c>
      <c r="R1504" s="53" t="n">
        <f aca="false">IF(BZ1504=1,0,IFERROR(VLOOKUP(BX1504,'Gebinde-Kategorie'!$A$5:$N$45,13,0)+0,0))</f>
        <v>52</v>
      </c>
      <c r="S1504" s="54"/>
      <c r="T1504" s="55"/>
      <c r="U1504" s="55"/>
      <c r="V1504" s="55"/>
      <c r="W1504" s="48"/>
      <c r="X1504" s="50"/>
      <c r="Y1504" s="50"/>
      <c r="Z1504" s="48" t="n">
        <f aca="false">IF(A1504="","",IF(AND(Parameter!$B$21="Ja",ISNUMBER(W1504)),W1504,IF(CC1504="2+3",IF(ISNUMBER(SEARCH("grosser Artikel",BU1504)),2,IFERROR(VLOOKUP(BX1504,Parameter!$F$35:$G$64,2,0),2)),IF(OR(CC1504="Nein",CC1504=""),"-",CC1504))))</f>
        <v>3</v>
      </c>
      <c r="AA1504" s="55"/>
      <c r="AB1504" s="56"/>
      <c r="AC1504" s="50" t="n">
        <f aca="false">AV1504</f>
        <v>10</v>
      </c>
      <c r="AD1504" s="50" t="n">
        <f aca="false">MAX(AV1504,H1504)</f>
        <v>10</v>
      </c>
      <c r="AE1504" s="57"/>
      <c r="AF1504" s="50" t="n">
        <f aca="false">IF(LEFT(Cockpit!$C$5,1)="A",H1504,IF(Parameter!$E$30="MAX-Bestand",IF(CH1504=1,CI1504,IF(LEFT(Cockpit!$C$5,1)="B",AL1504,MAX(AL1504,H1504))),ROUNDUP(AJ1504,0)))</f>
        <v>10</v>
      </c>
      <c r="AG1504" s="50" t="n">
        <f aca="false">IF(BZ1504=1,0,ROUNDUP(AF1504/BY1504,0))</f>
        <v>1</v>
      </c>
      <c r="AH1504" s="52" t="n">
        <f aca="false">IF(CQ1504&gt;0,CQ1504*MAX(1,AF1504/X1504),IF(BZ1504=1,IF(AF1504&lt;=0,0,CD1504*MAX(1,IF(H1504&gt;0,AF1504/H1504,1))),IF(R1504&gt;0,AG1504/R1504,0))/MAX(0.1,N(Parameter!$M$21)))</f>
        <v>0.0192307692307692</v>
      </c>
      <c r="AI1504" s="50" t="n">
        <f aca="false">AH1504*CB1504</f>
        <v>2.98076923076923</v>
      </c>
      <c r="AJ1504" s="51" t="n">
        <f aca="false">IF(LEFT(Cockpit!$C$5,1)="A",H1504,IF(CH1504=1,(CK1504+CI1504)/2,IF(LEFT(Cockpit!$C$5,1)="B",(CK1504+AL1504)/2,MAX((CK1504+AL1504)/2,H1504))))</f>
        <v>10</v>
      </c>
      <c r="AK1504" s="50" t="n">
        <f aca="false">AJ1504*G1504</f>
        <v>438</v>
      </c>
      <c r="AL1504" s="50" t="n">
        <f aca="false">ROUNDUP(CK1504+MAX(CL1504,2*(J1504/IF(CG1504&gt;0,CG1504,MAX(0.1,N(Cockpit!$C$6)))-CK1504)),0)</f>
        <v>10</v>
      </c>
      <c r="AM1504" s="51" t="n">
        <f aca="false">IF(AI1504&gt;0,J1504/AI1504,-1)</f>
        <v>0</v>
      </c>
      <c r="AN1504" s="51" t="n">
        <f aca="false">IF(AND(OR(CF1504="L1",CF1504="L23",CF1504="LIFT"),AI1504&gt;0),SUMIFS($AI$7:$AI$1843,$CF$7:$CF$1843,CF1504,$AM$7:$AM$1843,"&gt;"&amp;AM1504)+SUMIFS($AI$7:$AI$1843,$CF$7:$CF$1843,CF1504,$AM$7:$AM$1843,AM1504,$BW$7:$BW$1843,"&lt;="&amp;BW1504),"")</f>
        <v>29893.156448542</v>
      </c>
      <c r="AO1504" s="58" t="n">
        <f aca="false">IF(AN1504="",0,MAX(0,MIN(1,(IF(CF1504="L1",Parameter!$H$5,IF(CF1504="L23",Parameter!$H$6+Parameter!$H$7,Parameter!$H$5+Parameter!$H$6+Parameter!$H$7))-(AN1504-AI1504))/AI1504)))</f>
        <v>1</v>
      </c>
      <c r="AP1504" s="50" t="n">
        <f aca="false">IF(LEFT(Cockpit!$I$5,1)="A",H1504,IF(Parameter!$E$30="MAX-Bestand",IF(CH1504=1,CI1504,IF(LEFT(Cockpit!$I$5,1)="B",AV1504,MAX(AV1504,H1504))),ROUNDUP(AT1504,0)))</f>
        <v>10</v>
      </c>
      <c r="AQ1504" s="50" t="n">
        <f aca="false">IF(BZ1504=1,0,ROUNDUP(AP1504/BY1504,0))</f>
        <v>1</v>
      </c>
      <c r="AR1504" s="52" t="n">
        <f aca="false">IF(CQ1504&gt;0,CQ1504*MAX(1,AP1504/X1504),IF(BZ1504=1,IF(AP1504&lt;=0,0,CD1504*MAX(1,IF(H1504&gt;0,AP1504/H1504,1))),IF(R1504&gt;0,AQ1504/R1504,0))/MAX(0.1,N(Parameter!$M$21)))</f>
        <v>0.0192307692307692</v>
      </c>
      <c r="AS1504" s="50" t="n">
        <f aca="false">AR1504*CB1504</f>
        <v>2.98076923076923</v>
      </c>
      <c r="AT1504" s="51" t="n">
        <f aca="false">IF(LEFT(Cockpit!$I$5,1)="A",H1504,IF(CH1504=1,(CK1504+CI1504)/2,IF(LEFT(Cockpit!$I$5,1)="B",(CK1504+AV1504)/2,MAX((CK1504+AV1504)/2,H1504))))</f>
        <v>10</v>
      </c>
      <c r="AU1504" s="50" t="n">
        <f aca="false">AT1504*G1504</f>
        <v>438</v>
      </c>
      <c r="AV1504" s="50" t="n">
        <f aca="false">ROUNDUP(CK1504+MAX(CL1504,2*(J1504/IF(CG1504&gt;0,CG1504,MAX(0.1,N(Cockpit!$I$6)))-CK1504)),0)</f>
        <v>10</v>
      </c>
      <c r="AW1504" s="51" t="n">
        <f aca="false">IF(AS1504&gt;0,J1504/AS1504,-1)</f>
        <v>0</v>
      </c>
      <c r="AX1504" s="51" t="n">
        <f aca="false">IF(AND(OR(CF1504="L1",CF1504="L23",CF1504="LIFT"),AS1504&gt;0),SUMIFS($AS$7:$AS$1843,$CF$7:$CF$1843,CF1504,$AW$7:$AW$1843,"&gt;"&amp;AW1504)+SUMIFS($AS$7:$AS$1843,$CF$7:$CF$1843,CF1504,$AW$7:$AW$1843,AW1504,$BW$7:$BW$1843,"&lt;="&amp;BW1504),"")</f>
        <v>36199.7272510917</v>
      </c>
      <c r="AY1504" s="58" t="n">
        <f aca="false">IF(AX1504="",0,MAX(0,MIN(1,(IF(CF1504="L1",Parameter!$H$5,IF(CF1504="L23",Parameter!$H$6+Parameter!$H$7,Parameter!$H$5+Parameter!$H$6+Parameter!$H$7))-(AX1504-AS1504))/AS1504)))</f>
        <v>0</v>
      </c>
      <c r="AZ1504" s="50" t="n">
        <f aca="false">IF(LEFT(Cockpit!$O$5,1)="A",H1504,IF(Parameter!$E$30="MAX-Bestand",IF(CH1504=1,CI1504,IF(LEFT(Cockpit!$O$5,1)="B",BF1504,MAX(BF1504,H1504))),ROUNDUP(BD1504,0)))</f>
        <v>5</v>
      </c>
      <c r="BA1504" s="50" t="n">
        <f aca="false">IF(BZ1504=1,0,ROUNDUP(AZ1504/BY1504,0))</f>
        <v>1</v>
      </c>
      <c r="BB1504" s="52" t="n">
        <f aca="false">IF(CQ1504&gt;0,CQ1504*MAX(1,AZ1504/X1504),IF(BZ1504=1,IF(AZ1504&lt;=0,0,CD1504*MAX(1,IF(H1504&gt;0,AZ1504/H1504,1))),IF(R1504&gt;0,BA1504/R1504,0))/MAX(0.1,N(Parameter!$M$21)))</f>
        <v>0.0192307692307692</v>
      </c>
      <c r="BC1504" s="50" t="n">
        <f aca="false">BB1504*CB1504</f>
        <v>2.98076923076923</v>
      </c>
      <c r="BD1504" s="51" t="n">
        <f aca="false">IF(LEFT(Cockpit!$O$5,1)="A",H1504,IF(CH1504=1,(CK1504+CI1504)/2,IF(LEFT(Cockpit!$O$5,1)="B",(CK1504+BF1504)/2,MAX((CK1504+BF1504)/2,H1504))))</f>
        <v>5</v>
      </c>
      <c r="BE1504" s="50" t="n">
        <f aca="false">BD1504*G1504</f>
        <v>219</v>
      </c>
      <c r="BF1504" s="50" t="n">
        <f aca="false">ROUNDUP(CK1504+MAX(CL1504,2*(J1504/IF(CG1504&gt;0,CG1504,MAX(0.1,N(Cockpit!$O$6)))-CK1504)),0)</f>
        <v>10</v>
      </c>
      <c r="BG1504" s="51" t="n">
        <f aca="false">IF(BC1504&gt;0,J1504/BC1504,-1)</f>
        <v>0</v>
      </c>
      <c r="BH1504" s="51" t="n">
        <f aca="false">IF(AND(OR(CF1504="L1",CF1504="L23",CF1504="LIFT"),BC1504&gt;0),SUMIFS($BC$7:$BC$1843,$CF$7:$CF$1843,CF1504,$BG$7:$BG$1843,"&gt;"&amp;BG1504)+SUMIFS($BC$7:$BC$1843,$CF$7:$CF$1843,CF1504,$BG$7:$BG$1843,BG1504,$BW$7:$BW$1843,"&lt;="&amp;BW1504),"")</f>
        <v>30137.918526624</v>
      </c>
      <c r="BI1504" s="58" t="n">
        <f aca="false">IF(BH1504="",0,MAX(0,MIN(1,(IF(CF1504="L1",Parameter!$H$5,IF(CF1504="L23",Parameter!$H$6+Parameter!$H$7,Parameter!$H$5+Parameter!$H$6+Parameter!$H$7))-(BH1504-BC1504))/BC1504)))</f>
        <v>1</v>
      </c>
      <c r="BJ1504" s="48" t="str">
        <f aca="false">IF(AI1504&lt;=0,"",IF(CF1504="Aussen","Aussenlager",IF(CF1504="-","Nicht im Lift",IF(AO1504&gt;=1,"Lift",IF(AO1504&lt;=0,"Aussenlager","teilweise")))))</f>
        <v>Lift</v>
      </c>
      <c r="BK1504" s="48" t="str">
        <f aca="false">IF(AS1504&lt;=0,"",IF(CF1504="Aussen","Aussenlager",IF(CF1504="-","Nicht im Lift",IF(AY1504&gt;=1,"Lift",IF(AY1504&lt;=0,"Aussenlager","teilweise")))))</f>
        <v>Aussenlager</v>
      </c>
      <c r="BL1504" s="48" t="str">
        <f aca="false">IF(BC1504&lt;=0,"",IF(CF1504="Aussen","Aussenlager",IF(CF1504="-","Nicht im Lift",IF(BI1504&gt;=1,"Lift",IF(BI1504&lt;=0,"Aussenlager","teilweise")))))</f>
        <v>Lift</v>
      </c>
      <c r="BM1504" s="48" t="str">
        <f aca="false">IF(A1504="","",IF(BV1504=1,"Neu; ","")&amp;IF(AND(BV1504=0,BQ1504&lt;0),"negativer Bestand (Export "&amp;BQ1504&amp;"); ","")&amp;IF(J1504&lt;=0,"Kein Verbrauch; ","")&amp;IF(CQ1504&gt;0,"Lift "&amp;W1504&amp;" lt. Liftbericht (Fach "&amp;X1504&amp;" Stk); ",IF(CA1504=1,"Gebinde geschätzt ("&amp;T1504&amp;"); ",IF(BZ1504=1,"Lose – Tablare geschätzt; ","")))&amp;IF(H1504&gt;AV1504,"Überbestand "&amp;ROUND(H1504-AV1504,0)&amp;" Stk / CHF "&amp;ROUND((H1504-AV1504)*G1504,0)&amp;"; ","")&amp;IF(AND(CH1504=1,CI1504&lt;CJ1504),"MAX &lt; MB+LG; ","")&amp;IF(AND(CP1504&gt;0,CO1504*10&gt;CP1504),"zu hoch für Tablar; ","")&amp;IF(AND(BV1504=0,OR(CH1504=1,AA1504&lt;&gt;"",U1504&lt;&gt;"",V1504&lt;&gt;"",AB1504&lt;&gt;"")),"manuell übersteuert; ","")&amp;IF(AND(BZ1504=0,R1504=0),"Gebinde unbekannt / Stellmass fehlt; ","")&amp;IF(AND(BZ1504=0,N(V1504)&lt;=0,N(Q1504)&lt;=0),"Menge pro Gebinde fehlt (Ist = 1 Gebinde); ","")&amp;BU1504)</f>
        <v>Kein Verbrauch; nur im Artikelstamm (Bestand 23.06.2026); Überbestand</v>
      </c>
      <c r="BN1504" s="48"/>
      <c r="BO1504" s="48"/>
      <c r="BP1504" s="55"/>
      <c r="BQ1504" s="50" t="n">
        <v>10</v>
      </c>
      <c r="BR1504" s="50" t="n">
        <v>0</v>
      </c>
      <c r="BS1504" s="49" t="n">
        <v>0</v>
      </c>
      <c r="BT1504" s="50" t="n">
        <v>0</v>
      </c>
      <c r="BU1504" s="48" t="s">
        <v>2581</v>
      </c>
      <c r="BV1504" s="53" t="n">
        <v>0</v>
      </c>
      <c r="BW1504" s="53" t="n">
        <v>1504</v>
      </c>
      <c r="BX1504" s="48" t="str">
        <f aca="false">IF(U1504&lt;&gt;"",UPPER(TRIM(U1504)),IF(CA1504=1,UPPER(VLOOKUP(T1504,Parameter!$I$27:$K$29,2,0)),IF(P1504="","LOSE",P1504)))</f>
        <v>S33</v>
      </c>
      <c r="BY1504" s="50" t="n">
        <f aca="false">IF(BX1504="LOSE",1,IF(N(V1504)&gt;0,V1504,IF(CA1504=1,MAX(1,N(VLOOKUP(T1504,Parameter!$I$27:$K$29,3,0)),H1504,N(N1504)),IF(N(Q1504)&gt;0,Q1504,MAX(1,H1504)))))</f>
        <v>10</v>
      </c>
      <c r="BZ1504" s="53" t="n">
        <f aca="false">IF(BX1504="LOSE",1,0)</f>
        <v>0</v>
      </c>
      <c r="CA1504" s="53" t="n">
        <f aca="false">IF(AND(U1504="",OR(P1504="",P1504="LOSE"),T1504&lt;&gt;"",N(S1504)&lt;=0,ISNUMBER(MATCH(T1504,Parameter!$I$27:$I$29,0))),1,0)</f>
        <v>0</v>
      </c>
      <c r="CB1504" s="53" t="n">
        <f aca="false">IF(CQ1504&gt;0,INDEX(Parameter!$H$5:$H$7,W1504)/INDEX(Parameter!$E$5:$E$7,W1504),IF(AND(BZ1504=0,N(IFERROR(VLOOKUP(BX1504,'Gebinde-Kategorie'!$A$5:$N$45,14,0),0))&gt;0),VLOOKUP(BX1504,'Gebinde-Kategorie'!$A$5:$N$45,14,0)*10+Parameter!$M$23,Parameter!$M$24))</f>
        <v>155</v>
      </c>
      <c r="CC1504" s="48" t="str">
        <f aca="false">IF(AND(Parameter!$B$19="Ja",E1504&lt;&gt;"",ISNUMBER(MATCH(E1504,Parameter!$I$35:$I$52,0))),VLOOKUP(E1504,Parameter!$I$35:$J$52,2,0),IFERROR(VLOOKUP(D1504,Parameter!$A$35:$C$64,2,0),"Nein"))</f>
        <v>2+3</v>
      </c>
      <c r="CD1504" s="52" t="n">
        <f aca="false">IF(BZ1504=0,0,IF(N(S1504)&gt;0,S1504,IFERROR(VLOOKUP(D1504,Parameter!$A$35:$C$64,3,0)+0,0)))</f>
        <v>0</v>
      </c>
      <c r="CE1504" s="48" t="n">
        <f aca="false">IF(AA1504&lt;&gt;"",AA1504,Z1504)</f>
        <v>3</v>
      </c>
      <c r="CF1504" s="48" t="str">
        <f aca="false">IF(OR(CE1504=1,CE1504=2,CE1504=3),IF(Parameter!$E$27="Ja","LIFT",IF(CE1504=1,"L1","L23")),IF(CE1504="Aussen","Aussen","-"))</f>
        <v>LIFT</v>
      </c>
      <c r="CG1504" s="59" t="n">
        <f aca="false">IF(N(AB1504)&gt;0,AB1504,0)</f>
        <v>0</v>
      </c>
      <c r="CH1504" s="53" t="n">
        <f aca="false">IF(ISNUMBER(AE1504),1,0)</f>
        <v>0</v>
      </c>
      <c r="CI1504" s="50" t="n">
        <f aca="false">N(AE1504)</f>
        <v>0</v>
      </c>
      <c r="CJ1504" s="50" t="n">
        <f aca="false">N(M1504)+N(N1504)</f>
        <v>10</v>
      </c>
      <c r="CK1504" s="50" t="n">
        <f aca="false">N(M1504)</f>
        <v>0</v>
      </c>
      <c r="CL1504" s="50" t="n">
        <f aca="false">N(N1504)</f>
        <v>10</v>
      </c>
      <c r="CM1504" s="50" t="n">
        <f aca="false">ROUNDUP(H1504/BY1504,0)</f>
        <v>1</v>
      </c>
      <c r="CN1504" s="50" t="n">
        <f aca="false">ROUNDUP(CI1504/BY1504,0)</f>
        <v>0</v>
      </c>
      <c r="CO1504" s="53" t="n">
        <f aca="false">IF(BZ1504=1,0,IFERROR(VLOOKUP(BX1504,'Gebinde-Kategorie'!$A$5:$N$45,5,0)+0,0))</f>
        <v>8</v>
      </c>
      <c r="CP1504" s="53" t="n">
        <f aca="false">IFERROR(IF(OR(CE1504=1,CE1504=2,CE1504=3),N(INDEX(Parameter!$I$5:$I$7,CE1504)),0),0)</f>
        <v>0</v>
      </c>
      <c r="CQ1504" s="52" t="n">
        <f aca="false">IF(AND(Parameter!$B$21="Ja",ISNUMBER(W1504),N(X1504)&gt;0),IFERROR(N(INDEX(Parameter!$L$5:$L$7,W1504))*INDEX(Parameter!$E$5:$E$7,W1504)*X1504/SUMIFS($X$7:$X$1843,$W$7:$W$1843,W1504),0),0)</f>
        <v>0</v>
      </c>
    </row>
    <row r="1505" customFormat="false" ht="15" hidden="false" customHeight="false" outlineLevel="0" collapsed="false">
      <c r="A1505" s="48" t="s">
        <v>2641</v>
      </c>
      <c r="B1505" s="48" t="s">
        <v>1299</v>
      </c>
      <c r="C1505" s="48" t="s">
        <v>173</v>
      </c>
      <c r="D1505" s="48" t="s">
        <v>193</v>
      </c>
      <c r="E1505" s="48" t="s">
        <v>194</v>
      </c>
      <c r="F1505" s="48"/>
      <c r="G1505" s="49" t="n">
        <v>0.43</v>
      </c>
      <c r="H1505" s="50" t="n">
        <f aca="false">MAX(0,IF(AND(Parameter!$B$21="Ja",ISNUMBER(Y1505)),Y1505,IF(Parameter!$B$20="Jahresanfang 2025 + Export",BR1505+BQ1505,BQ1505)))</f>
        <v>643</v>
      </c>
      <c r="I1505" s="50" t="n">
        <f aca="false">H1505*G1505</f>
        <v>276.49</v>
      </c>
      <c r="J1505" s="50" t="n">
        <f aca="false">BT1505*Parameter!$B$18</f>
        <v>0</v>
      </c>
      <c r="K1505" s="51"/>
      <c r="L1505" s="52"/>
      <c r="M1505" s="50" t="n">
        <v>0</v>
      </c>
      <c r="N1505" s="50" t="n">
        <v>500</v>
      </c>
      <c r="O1505" s="53" t="n">
        <v>21</v>
      </c>
      <c r="P1505" s="48" t="s">
        <v>311</v>
      </c>
      <c r="Q1505" s="50" t="n">
        <v>643</v>
      </c>
      <c r="R1505" s="53" t="n">
        <f aca="false">IF(BZ1505=1,0,IFERROR(VLOOKUP(BX1505,'Gebinde-Kategorie'!$A$5:$N$45,13,0)+0,0))</f>
        <v>26</v>
      </c>
      <c r="S1505" s="54"/>
      <c r="T1505" s="55"/>
      <c r="U1505" s="55"/>
      <c r="V1505" s="55"/>
      <c r="W1505" s="48"/>
      <c r="X1505" s="50"/>
      <c r="Y1505" s="50"/>
      <c r="Z1505" s="48" t="n">
        <f aca="false">IF(A1505="","",IF(AND(Parameter!$B$21="Ja",ISNUMBER(W1505)),W1505,IF(CC1505="2+3",IF(ISNUMBER(SEARCH("grosser Artikel",BU1505)),2,IFERROR(VLOOKUP(BX1505,Parameter!$F$35:$G$64,2,0),2)),IF(OR(CC1505="Nein",CC1505=""),"-",CC1505))))</f>
        <v>3</v>
      </c>
      <c r="AA1505" s="55"/>
      <c r="AB1505" s="56"/>
      <c r="AC1505" s="50" t="n">
        <f aca="false">AV1505</f>
        <v>500</v>
      </c>
      <c r="AD1505" s="50" t="n">
        <f aca="false">MAX(AV1505,H1505)</f>
        <v>643</v>
      </c>
      <c r="AE1505" s="57"/>
      <c r="AF1505" s="50" t="n">
        <f aca="false">IF(LEFT(Cockpit!$C$5,1)="A",H1505,IF(Parameter!$E$30="MAX-Bestand",IF(CH1505=1,CI1505,IF(LEFT(Cockpit!$C$5,1)="B",AL1505,MAX(AL1505,H1505))),ROUNDUP(AJ1505,0)))</f>
        <v>643</v>
      </c>
      <c r="AG1505" s="50" t="n">
        <f aca="false">IF(BZ1505=1,0,ROUNDUP(AF1505/BY1505,0))</f>
        <v>1</v>
      </c>
      <c r="AH1505" s="52" t="n">
        <f aca="false">IF(CQ1505&gt;0,CQ1505*MAX(1,AF1505/X1505),IF(BZ1505=1,IF(AF1505&lt;=0,0,CD1505*MAX(1,IF(H1505&gt;0,AF1505/H1505,1))),IF(R1505&gt;0,AG1505/R1505,0))/MAX(0.1,N(Parameter!$M$21)))</f>
        <v>0.0384615384615385</v>
      </c>
      <c r="AI1505" s="50" t="n">
        <f aca="false">AH1505*CB1505</f>
        <v>5.96153846153846</v>
      </c>
      <c r="AJ1505" s="51" t="n">
        <f aca="false">IF(LEFT(Cockpit!$C$5,1)="A",H1505,IF(CH1505=1,(CK1505+CI1505)/2,IF(LEFT(Cockpit!$C$5,1)="B",(CK1505+AL1505)/2,MAX((CK1505+AL1505)/2,H1505))))</f>
        <v>643</v>
      </c>
      <c r="AK1505" s="50" t="n">
        <f aca="false">AJ1505*G1505</f>
        <v>276.49</v>
      </c>
      <c r="AL1505" s="50" t="n">
        <f aca="false">ROUNDUP(CK1505+MAX(CL1505,2*(J1505/IF(CG1505&gt;0,CG1505,MAX(0.1,N(Cockpit!$C$6)))-CK1505)),0)</f>
        <v>500</v>
      </c>
      <c r="AM1505" s="51" t="n">
        <f aca="false">IF(AI1505&gt;0,J1505/AI1505,-1)</f>
        <v>0</v>
      </c>
      <c r="AN1505" s="51" t="n">
        <f aca="false">IF(AND(OR(CF1505="L1",CF1505="L23",CF1505="LIFT"),AI1505&gt;0),SUMIFS($AI$7:$AI$1843,$CF$7:$CF$1843,CF1505,$AM$7:$AM$1843,"&gt;"&amp;AM1505)+SUMIFS($AI$7:$AI$1843,$CF$7:$CF$1843,CF1505,$AM$7:$AM$1843,AM1505,$BW$7:$BW$1843,"&lt;="&amp;BW1505),"")</f>
        <v>29899.1179870036</v>
      </c>
      <c r="AO1505" s="58" t="n">
        <f aca="false">IF(AN1505="",0,MAX(0,MIN(1,(IF(CF1505="L1",Parameter!$H$5,IF(CF1505="L23",Parameter!$H$6+Parameter!$H$7,Parameter!$H$5+Parameter!$H$6+Parameter!$H$7))-(AN1505-AI1505))/AI1505)))</f>
        <v>1</v>
      </c>
      <c r="AP1505" s="50" t="n">
        <f aca="false">IF(LEFT(Cockpit!$I$5,1)="A",H1505,IF(Parameter!$E$30="MAX-Bestand",IF(CH1505=1,CI1505,IF(LEFT(Cockpit!$I$5,1)="B",AV1505,MAX(AV1505,H1505))),ROUNDUP(AT1505,0)))</f>
        <v>643</v>
      </c>
      <c r="AQ1505" s="50" t="n">
        <f aca="false">IF(BZ1505=1,0,ROUNDUP(AP1505/BY1505,0))</f>
        <v>1</v>
      </c>
      <c r="AR1505" s="52" t="n">
        <f aca="false">IF(CQ1505&gt;0,CQ1505*MAX(1,AP1505/X1505),IF(BZ1505=1,IF(AP1505&lt;=0,0,CD1505*MAX(1,IF(H1505&gt;0,AP1505/H1505,1))),IF(R1505&gt;0,AQ1505/R1505,0))/MAX(0.1,N(Parameter!$M$21)))</f>
        <v>0.0384615384615385</v>
      </c>
      <c r="AS1505" s="50" t="n">
        <f aca="false">AR1505*CB1505</f>
        <v>5.96153846153846</v>
      </c>
      <c r="AT1505" s="51" t="n">
        <f aca="false">IF(LEFT(Cockpit!$I$5,1)="A",H1505,IF(CH1505=1,(CK1505+CI1505)/2,IF(LEFT(Cockpit!$I$5,1)="B",(CK1505+AV1505)/2,MAX((CK1505+AV1505)/2,H1505))))</f>
        <v>643</v>
      </c>
      <c r="AU1505" s="50" t="n">
        <f aca="false">AT1505*G1505</f>
        <v>276.49</v>
      </c>
      <c r="AV1505" s="50" t="n">
        <f aca="false">ROUNDUP(CK1505+MAX(CL1505,2*(J1505/IF(CG1505&gt;0,CG1505,MAX(0.1,N(Cockpit!$I$6)))-CK1505)),0)</f>
        <v>500</v>
      </c>
      <c r="AW1505" s="51" t="n">
        <f aca="false">IF(AS1505&gt;0,J1505/AS1505,-1)</f>
        <v>0</v>
      </c>
      <c r="AX1505" s="51" t="n">
        <f aca="false">IF(AND(OR(CF1505="L1",CF1505="L23",CF1505="LIFT"),AS1505&gt;0),SUMIFS($AS$7:$AS$1843,$CF$7:$CF$1843,CF1505,$AW$7:$AW$1843,"&gt;"&amp;AW1505)+SUMIFS($AS$7:$AS$1843,$CF$7:$CF$1843,CF1505,$AW$7:$AW$1843,AW1505,$BW$7:$BW$1843,"&lt;="&amp;BW1505),"")</f>
        <v>36205.6887895532</v>
      </c>
      <c r="AY1505" s="58" t="n">
        <f aca="false">IF(AX1505="",0,MAX(0,MIN(1,(IF(CF1505="L1",Parameter!$H$5,IF(CF1505="L23",Parameter!$H$6+Parameter!$H$7,Parameter!$H$5+Parameter!$H$6+Parameter!$H$7))-(AX1505-AS1505))/AS1505)))</f>
        <v>0</v>
      </c>
      <c r="AZ1505" s="50" t="n">
        <f aca="false">IF(LEFT(Cockpit!$O$5,1)="A",H1505,IF(Parameter!$E$30="MAX-Bestand",IF(CH1505=1,CI1505,IF(LEFT(Cockpit!$O$5,1)="B",BF1505,MAX(BF1505,H1505))),ROUNDUP(BD1505,0)))</f>
        <v>250</v>
      </c>
      <c r="BA1505" s="50" t="n">
        <f aca="false">IF(BZ1505=1,0,ROUNDUP(AZ1505/BY1505,0))</f>
        <v>1</v>
      </c>
      <c r="BB1505" s="52" t="n">
        <f aca="false">IF(CQ1505&gt;0,CQ1505*MAX(1,AZ1505/X1505),IF(BZ1505=1,IF(AZ1505&lt;=0,0,CD1505*MAX(1,IF(H1505&gt;0,AZ1505/H1505,1))),IF(R1505&gt;0,BA1505/R1505,0))/MAX(0.1,N(Parameter!$M$21)))</f>
        <v>0.0384615384615385</v>
      </c>
      <c r="BC1505" s="50" t="n">
        <f aca="false">BB1505*CB1505</f>
        <v>5.96153846153846</v>
      </c>
      <c r="BD1505" s="51" t="n">
        <f aca="false">IF(LEFT(Cockpit!$O$5,1)="A",H1505,IF(CH1505=1,(CK1505+CI1505)/2,IF(LEFT(Cockpit!$O$5,1)="B",(CK1505+BF1505)/2,MAX((CK1505+BF1505)/2,H1505))))</f>
        <v>250</v>
      </c>
      <c r="BE1505" s="50" t="n">
        <f aca="false">BD1505*G1505</f>
        <v>107.5</v>
      </c>
      <c r="BF1505" s="50" t="n">
        <f aca="false">ROUNDUP(CK1505+MAX(CL1505,2*(J1505/IF(CG1505&gt;0,CG1505,MAX(0.1,N(Cockpit!$O$6)))-CK1505)),0)</f>
        <v>500</v>
      </c>
      <c r="BG1505" s="51" t="n">
        <f aca="false">IF(BC1505&gt;0,J1505/BC1505,-1)</f>
        <v>0</v>
      </c>
      <c r="BH1505" s="51" t="n">
        <f aca="false">IF(AND(OR(CF1505="L1",CF1505="L23",CF1505="LIFT"),BC1505&gt;0),SUMIFS($BC$7:$BC$1843,$CF$7:$CF$1843,CF1505,$BG$7:$BG$1843,"&gt;"&amp;BG1505)+SUMIFS($BC$7:$BC$1843,$CF$7:$CF$1843,CF1505,$BG$7:$BG$1843,BG1505,$BW$7:$BW$1843,"&lt;="&amp;BW1505),"")</f>
        <v>30143.8800650856</v>
      </c>
      <c r="BI1505" s="58" t="n">
        <f aca="false">IF(BH1505="",0,MAX(0,MIN(1,(IF(CF1505="L1",Parameter!$H$5,IF(CF1505="L23",Parameter!$H$6+Parameter!$H$7,Parameter!$H$5+Parameter!$H$6+Parameter!$H$7))-(BH1505-BC1505))/BC1505)))</f>
        <v>1</v>
      </c>
      <c r="BJ1505" s="48" t="str">
        <f aca="false">IF(AI1505&lt;=0,"",IF(CF1505="Aussen","Aussenlager",IF(CF1505="-","Nicht im Lift",IF(AO1505&gt;=1,"Lift",IF(AO1505&lt;=0,"Aussenlager","teilweise")))))</f>
        <v>Lift</v>
      </c>
      <c r="BK1505" s="48" t="str">
        <f aca="false">IF(AS1505&lt;=0,"",IF(CF1505="Aussen","Aussenlager",IF(CF1505="-","Nicht im Lift",IF(AY1505&gt;=1,"Lift",IF(AY1505&lt;=0,"Aussenlager","teilweise")))))</f>
        <v>Aussenlager</v>
      </c>
      <c r="BL1505" s="48" t="str">
        <f aca="false">IF(BC1505&lt;=0,"",IF(CF1505="Aussen","Aussenlager",IF(CF1505="-","Nicht im Lift",IF(BI1505&gt;=1,"Lift",IF(BI1505&lt;=0,"Aussenlager","teilweise")))))</f>
        <v>Lift</v>
      </c>
      <c r="BM1505" s="48" t="str">
        <f aca="false">IF(A1505="","",IF(BV1505=1,"Neu; ","")&amp;IF(AND(BV1505=0,BQ1505&lt;0),"negativer Bestand (Export "&amp;BQ1505&amp;"); ","")&amp;IF(J1505&lt;=0,"Kein Verbrauch; ","")&amp;IF(CQ1505&gt;0,"Lift "&amp;W1505&amp;" lt. Liftbericht (Fach "&amp;X1505&amp;" Stk); ",IF(CA1505=1,"Gebinde geschätzt ("&amp;T1505&amp;"); ",IF(BZ1505=1,"Lose – Tablare geschätzt; ","")))&amp;IF(H1505&gt;AV1505,"Überbestand "&amp;ROUND(H1505-AV1505,0)&amp;" Stk / CHF "&amp;ROUND((H1505-AV1505)*G1505,0)&amp;"; ","")&amp;IF(AND(CH1505=1,CI1505&lt;CJ1505),"MAX &lt; MB+LG; ","")&amp;IF(AND(CP1505&gt;0,CO1505*10&gt;CP1505),"zu hoch für Tablar; ","")&amp;IF(AND(BV1505=0,OR(CH1505=1,AA1505&lt;&gt;"",U1505&lt;&gt;"",V1505&lt;&gt;"",AB1505&lt;&gt;"")),"manuell übersteuert; ","")&amp;IF(AND(BZ1505=0,R1505=0),"Gebinde unbekannt / Stellmass fehlt; ","")&amp;IF(AND(BZ1505=0,N(V1505)&lt;=0,N(Q1505)&lt;=0),"Menge pro Gebinde fehlt (Ist = 1 Gebinde); ","")&amp;BU1505)</f>
        <v>Kein Verbrauch; Überbestand 143 Stk / CHF 61; nur im Artikelstamm (Bestand 23.06.2026); Handlager</v>
      </c>
      <c r="BN1505" s="48"/>
      <c r="BO1505" s="48"/>
      <c r="BP1505" s="55"/>
      <c r="BQ1505" s="50" t="n">
        <v>643</v>
      </c>
      <c r="BR1505" s="50" t="n">
        <v>0</v>
      </c>
      <c r="BS1505" s="49" t="n">
        <v>0</v>
      </c>
      <c r="BT1505" s="50" t="n">
        <v>0</v>
      </c>
      <c r="BU1505" s="48" t="s">
        <v>2642</v>
      </c>
      <c r="BV1505" s="53" t="n">
        <v>0</v>
      </c>
      <c r="BW1505" s="53" t="n">
        <v>1505</v>
      </c>
      <c r="BX1505" s="48" t="str">
        <f aca="false">IF(U1505&lt;&gt;"",UPPER(TRIM(U1505)),IF(CA1505=1,UPPER(VLOOKUP(T1505,Parameter!$I$27:$K$29,2,0)),IF(P1505="","LOSE",P1505)))</f>
        <v>S51</v>
      </c>
      <c r="BY1505" s="50" t="n">
        <f aca="false">IF(BX1505="LOSE",1,IF(N(V1505)&gt;0,V1505,IF(CA1505=1,MAX(1,N(VLOOKUP(T1505,Parameter!$I$27:$K$29,3,0)),H1505,N(N1505)),IF(N(Q1505)&gt;0,Q1505,MAX(1,H1505)))))</f>
        <v>643</v>
      </c>
      <c r="BZ1505" s="53" t="n">
        <f aca="false">IF(BX1505="LOSE",1,0)</f>
        <v>0</v>
      </c>
      <c r="CA1505" s="53" t="n">
        <f aca="false">IF(AND(U1505="",OR(P1505="",P1505="LOSE"),T1505&lt;&gt;"",N(S1505)&lt;=0,ISNUMBER(MATCH(T1505,Parameter!$I$27:$I$29,0))),1,0)</f>
        <v>0</v>
      </c>
      <c r="CB1505" s="53" t="n">
        <f aca="false">IF(CQ1505&gt;0,INDEX(Parameter!$H$5:$H$7,W1505)/INDEX(Parameter!$E$5:$E$7,W1505),IF(AND(BZ1505=0,N(IFERROR(VLOOKUP(BX1505,'Gebinde-Kategorie'!$A$5:$N$45,14,0),0))&gt;0),VLOOKUP(BX1505,'Gebinde-Kategorie'!$A$5:$N$45,14,0)*10+Parameter!$M$23,Parameter!$M$24))</f>
        <v>155</v>
      </c>
      <c r="CC1505" s="48" t="str">
        <f aca="false">IF(AND(Parameter!$B$19="Ja",E1505&lt;&gt;"",ISNUMBER(MATCH(E1505,Parameter!$I$35:$I$52,0))),VLOOKUP(E1505,Parameter!$I$35:$J$52,2,0),IFERROR(VLOOKUP(D1505,Parameter!$A$35:$C$64,2,0),"Nein"))</f>
        <v>2+3</v>
      </c>
      <c r="CD1505" s="52" t="n">
        <f aca="false">IF(BZ1505=0,0,IF(N(S1505)&gt;0,S1505,IFERROR(VLOOKUP(D1505,Parameter!$A$35:$C$64,3,0)+0,0)))</f>
        <v>0</v>
      </c>
      <c r="CE1505" s="48" t="n">
        <f aca="false">IF(AA1505&lt;&gt;"",AA1505,Z1505)</f>
        <v>3</v>
      </c>
      <c r="CF1505" s="48" t="str">
        <f aca="false">IF(OR(CE1505=1,CE1505=2,CE1505=3),IF(Parameter!$E$27="Ja","LIFT",IF(CE1505=1,"L1","L23")),IF(CE1505="Aussen","Aussen","-"))</f>
        <v>LIFT</v>
      </c>
      <c r="CG1505" s="59" t="n">
        <f aca="false">IF(N(AB1505)&gt;0,AB1505,0)</f>
        <v>0</v>
      </c>
      <c r="CH1505" s="53" t="n">
        <f aca="false">IF(ISNUMBER(AE1505),1,0)</f>
        <v>0</v>
      </c>
      <c r="CI1505" s="50" t="n">
        <f aca="false">N(AE1505)</f>
        <v>0</v>
      </c>
      <c r="CJ1505" s="50" t="n">
        <f aca="false">N(M1505)+N(N1505)</f>
        <v>500</v>
      </c>
      <c r="CK1505" s="50" t="n">
        <f aca="false">N(M1505)</f>
        <v>0</v>
      </c>
      <c r="CL1505" s="50" t="n">
        <f aca="false">N(N1505)</f>
        <v>500</v>
      </c>
      <c r="CM1505" s="50" t="n">
        <f aca="false">ROUNDUP(H1505/BY1505,0)</f>
        <v>1</v>
      </c>
      <c r="CN1505" s="50" t="n">
        <f aca="false">ROUNDUP(CI1505/BY1505,0)</f>
        <v>0</v>
      </c>
      <c r="CO1505" s="53" t="n">
        <f aca="false">IF(BZ1505=1,0,IFERROR(VLOOKUP(BX1505,'Gebinde-Kategorie'!$A$5:$N$45,5,0)+0,0))</f>
        <v>11</v>
      </c>
      <c r="CP1505" s="53" t="n">
        <f aca="false">IFERROR(IF(OR(CE1505=1,CE1505=2,CE1505=3),N(INDEX(Parameter!$I$5:$I$7,CE1505)),0),0)</f>
        <v>0</v>
      </c>
      <c r="CQ1505" s="52" t="n">
        <f aca="false">IF(AND(Parameter!$B$21="Ja",ISNUMBER(W1505),N(X1505)&gt;0),IFERROR(N(INDEX(Parameter!$L$5:$L$7,W1505))*INDEX(Parameter!$E$5:$E$7,W1505)*X1505/SUMIFS($X$7:$X$1843,$W$7:$W$1843,W1505),0),0)</f>
        <v>0</v>
      </c>
    </row>
    <row r="1506" customFormat="false" ht="15" hidden="false" customHeight="false" outlineLevel="0" collapsed="false">
      <c r="A1506" s="48" t="s">
        <v>2643</v>
      </c>
      <c r="B1506" s="48" t="s">
        <v>2644</v>
      </c>
      <c r="C1506" s="48" t="s">
        <v>173</v>
      </c>
      <c r="D1506" s="48" t="s">
        <v>193</v>
      </c>
      <c r="E1506" s="48" t="s">
        <v>194</v>
      </c>
      <c r="F1506" s="48"/>
      <c r="G1506" s="49" t="n">
        <v>333.8</v>
      </c>
      <c r="H1506" s="50" t="n">
        <f aca="false">MAX(0,IF(AND(Parameter!$B$21="Ja",ISNUMBER(Y1506)),Y1506,IF(Parameter!$B$20="Jahresanfang 2025 + Export",BR1506+BQ1506,BQ1506)))</f>
        <v>17</v>
      </c>
      <c r="I1506" s="50" t="n">
        <f aca="false">H1506*G1506</f>
        <v>5674.6</v>
      </c>
      <c r="J1506" s="50" t="n">
        <f aca="false">BT1506*Parameter!$B$18</f>
        <v>0</v>
      </c>
      <c r="K1506" s="51"/>
      <c r="L1506" s="52"/>
      <c r="M1506" s="50" t="n">
        <v>0</v>
      </c>
      <c r="N1506" s="50" t="n">
        <v>10</v>
      </c>
      <c r="O1506" s="53" t="n">
        <v>28</v>
      </c>
      <c r="P1506" s="48" t="s">
        <v>242</v>
      </c>
      <c r="Q1506" s="50" t="n">
        <v>17</v>
      </c>
      <c r="R1506" s="53" t="n">
        <f aca="false">IF(BZ1506=1,0,IFERROR(VLOOKUP(BX1506,'Gebinde-Kategorie'!$A$5:$N$45,13,0)+0,0))</f>
        <v>26</v>
      </c>
      <c r="S1506" s="54"/>
      <c r="T1506" s="55"/>
      <c r="U1506" s="55"/>
      <c r="V1506" s="55"/>
      <c r="W1506" s="48"/>
      <c r="X1506" s="50"/>
      <c r="Y1506" s="50"/>
      <c r="Z1506" s="48" t="n">
        <f aca="false">IF(A1506="","",IF(AND(Parameter!$B$21="Ja",ISNUMBER(W1506)),W1506,IF(CC1506="2+3",IF(ISNUMBER(SEARCH("grosser Artikel",BU1506)),2,IFERROR(VLOOKUP(BX1506,Parameter!$F$35:$G$64,2,0),2)),IF(OR(CC1506="Nein",CC1506=""),"-",CC1506))))</f>
        <v>3</v>
      </c>
      <c r="AA1506" s="55"/>
      <c r="AB1506" s="56"/>
      <c r="AC1506" s="50" t="n">
        <f aca="false">AV1506</f>
        <v>10</v>
      </c>
      <c r="AD1506" s="50" t="n">
        <f aca="false">MAX(AV1506,H1506)</f>
        <v>17</v>
      </c>
      <c r="AE1506" s="57"/>
      <c r="AF1506" s="50" t="n">
        <f aca="false">IF(LEFT(Cockpit!$C$5,1)="A",H1506,IF(Parameter!$E$30="MAX-Bestand",IF(CH1506=1,CI1506,IF(LEFT(Cockpit!$C$5,1)="B",AL1506,MAX(AL1506,H1506))),ROUNDUP(AJ1506,0)))</f>
        <v>17</v>
      </c>
      <c r="AG1506" s="50" t="n">
        <f aca="false">IF(BZ1506=1,0,ROUNDUP(AF1506/BY1506,0))</f>
        <v>1</v>
      </c>
      <c r="AH1506" s="52" t="n">
        <f aca="false">IF(CQ1506&gt;0,CQ1506*MAX(1,AF1506/X1506),IF(BZ1506=1,IF(AF1506&lt;=0,0,CD1506*MAX(1,IF(H1506&gt;0,AF1506/H1506,1))),IF(R1506&gt;0,AG1506/R1506,0))/MAX(0.1,N(Parameter!$M$21)))</f>
        <v>0.0384615384615385</v>
      </c>
      <c r="AI1506" s="50" t="n">
        <f aca="false">AH1506*CB1506</f>
        <v>9.42307692307692</v>
      </c>
      <c r="AJ1506" s="51" t="n">
        <f aca="false">IF(LEFT(Cockpit!$C$5,1)="A",H1506,IF(CH1506=1,(CK1506+CI1506)/2,IF(LEFT(Cockpit!$C$5,1)="B",(CK1506+AL1506)/2,MAX((CK1506+AL1506)/2,H1506))))</f>
        <v>17</v>
      </c>
      <c r="AK1506" s="50" t="n">
        <f aca="false">AJ1506*G1506</f>
        <v>5674.6</v>
      </c>
      <c r="AL1506" s="50" t="n">
        <f aca="false">ROUNDUP(CK1506+MAX(CL1506,2*(J1506/IF(CG1506&gt;0,CG1506,MAX(0.1,N(Cockpit!$C$6)))-CK1506)),0)</f>
        <v>10</v>
      </c>
      <c r="AM1506" s="51" t="n">
        <f aca="false">IF(AI1506&gt;0,J1506/AI1506,-1)</f>
        <v>0</v>
      </c>
      <c r="AN1506" s="51" t="n">
        <f aca="false">IF(AND(OR(CF1506="L1",CF1506="L23",CF1506="LIFT"),AI1506&gt;0),SUMIFS($AI$7:$AI$1843,$CF$7:$CF$1843,CF1506,$AM$7:$AM$1843,"&gt;"&amp;AM1506)+SUMIFS($AI$7:$AI$1843,$CF$7:$CF$1843,CF1506,$AM$7:$AM$1843,AM1506,$BW$7:$BW$1843,"&lt;="&amp;BW1506),"")</f>
        <v>29908.5410639267</v>
      </c>
      <c r="AO1506" s="58" t="n">
        <f aca="false">IF(AN1506="",0,MAX(0,MIN(1,(IF(CF1506="L1",Parameter!$H$5,IF(CF1506="L23",Parameter!$H$6+Parameter!$H$7,Parameter!$H$5+Parameter!$H$6+Parameter!$H$7))-(AN1506-AI1506))/AI1506)))</f>
        <v>1</v>
      </c>
      <c r="AP1506" s="50" t="n">
        <f aca="false">IF(LEFT(Cockpit!$I$5,1)="A",H1506,IF(Parameter!$E$30="MAX-Bestand",IF(CH1506=1,CI1506,IF(LEFT(Cockpit!$I$5,1)="B",AV1506,MAX(AV1506,H1506))),ROUNDUP(AT1506,0)))</f>
        <v>17</v>
      </c>
      <c r="AQ1506" s="50" t="n">
        <f aca="false">IF(BZ1506=1,0,ROUNDUP(AP1506/BY1506,0))</f>
        <v>1</v>
      </c>
      <c r="AR1506" s="52" t="n">
        <f aca="false">IF(CQ1506&gt;0,CQ1506*MAX(1,AP1506/X1506),IF(BZ1506=1,IF(AP1506&lt;=0,0,CD1506*MAX(1,IF(H1506&gt;0,AP1506/H1506,1))),IF(R1506&gt;0,AQ1506/R1506,0))/MAX(0.1,N(Parameter!$M$21)))</f>
        <v>0.0384615384615385</v>
      </c>
      <c r="AS1506" s="50" t="n">
        <f aca="false">AR1506*CB1506</f>
        <v>9.42307692307692</v>
      </c>
      <c r="AT1506" s="51" t="n">
        <f aca="false">IF(LEFT(Cockpit!$I$5,1)="A",H1506,IF(CH1506=1,(CK1506+CI1506)/2,IF(LEFT(Cockpit!$I$5,1)="B",(CK1506+AV1506)/2,MAX((CK1506+AV1506)/2,H1506))))</f>
        <v>17</v>
      </c>
      <c r="AU1506" s="50" t="n">
        <f aca="false">AT1506*G1506</f>
        <v>5674.6</v>
      </c>
      <c r="AV1506" s="50" t="n">
        <f aca="false">ROUNDUP(CK1506+MAX(CL1506,2*(J1506/IF(CG1506&gt;0,CG1506,MAX(0.1,N(Cockpit!$I$6)))-CK1506)),0)</f>
        <v>10</v>
      </c>
      <c r="AW1506" s="51" t="n">
        <f aca="false">IF(AS1506&gt;0,J1506/AS1506,-1)</f>
        <v>0</v>
      </c>
      <c r="AX1506" s="51" t="n">
        <f aca="false">IF(AND(OR(CF1506="L1",CF1506="L23",CF1506="LIFT"),AS1506&gt;0),SUMIFS($AS$7:$AS$1843,$CF$7:$CF$1843,CF1506,$AW$7:$AW$1843,"&gt;"&amp;AW1506)+SUMIFS($AS$7:$AS$1843,$CF$7:$CF$1843,CF1506,$AW$7:$AW$1843,AW1506,$BW$7:$BW$1843,"&lt;="&amp;BW1506),"")</f>
        <v>36215.1118664763</v>
      </c>
      <c r="AY1506" s="58" t="n">
        <f aca="false">IF(AX1506="",0,MAX(0,MIN(1,(IF(CF1506="L1",Parameter!$H$5,IF(CF1506="L23",Parameter!$H$6+Parameter!$H$7,Parameter!$H$5+Parameter!$H$6+Parameter!$H$7))-(AX1506-AS1506))/AS1506)))</f>
        <v>0</v>
      </c>
      <c r="AZ1506" s="50" t="n">
        <f aca="false">IF(LEFT(Cockpit!$O$5,1)="A",H1506,IF(Parameter!$E$30="MAX-Bestand",IF(CH1506=1,CI1506,IF(LEFT(Cockpit!$O$5,1)="B",BF1506,MAX(BF1506,H1506))),ROUNDUP(BD1506,0)))</f>
        <v>5</v>
      </c>
      <c r="BA1506" s="50" t="n">
        <f aca="false">IF(BZ1506=1,0,ROUNDUP(AZ1506/BY1506,0))</f>
        <v>1</v>
      </c>
      <c r="BB1506" s="52" t="n">
        <f aca="false">IF(CQ1506&gt;0,CQ1506*MAX(1,AZ1506/X1506),IF(BZ1506=1,IF(AZ1506&lt;=0,0,CD1506*MAX(1,IF(H1506&gt;0,AZ1506/H1506,1))),IF(R1506&gt;0,BA1506/R1506,0))/MAX(0.1,N(Parameter!$M$21)))</f>
        <v>0.0384615384615385</v>
      </c>
      <c r="BC1506" s="50" t="n">
        <f aca="false">BB1506*CB1506</f>
        <v>9.42307692307692</v>
      </c>
      <c r="BD1506" s="51" t="n">
        <f aca="false">IF(LEFT(Cockpit!$O$5,1)="A",H1506,IF(CH1506=1,(CK1506+CI1506)/2,IF(LEFT(Cockpit!$O$5,1)="B",(CK1506+BF1506)/2,MAX((CK1506+BF1506)/2,H1506))))</f>
        <v>5</v>
      </c>
      <c r="BE1506" s="50" t="n">
        <f aca="false">BD1506*G1506</f>
        <v>1669</v>
      </c>
      <c r="BF1506" s="50" t="n">
        <f aca="false">ROUNDUP(CK1506+MAX(CL1506,2*(J1506/IF(CG1506&gt;0,CG1506,MAX(0.1,N(Cockpit!$O$6)))-CK1506)),0)</f>
        <v>10</v>
      </c>
      <c r="BG1506" s="51" t="n">
        <f aca="false">IF(BC1506&gt;0,J1506/BC1506,-1)</f>
        <v>0</v>
      </c>
      <c r="BH1506" s="51" t="n">
        <f aca="false">IF(AND(OR(CF1506="L1",CF1506="L23",CF1506="LIFT"),BC1506&gt;0),SUMIFS($BC$7:$BC$1843,$CF$7:$CF$1843,CF1506,$BG$7:$BG$1843,"&gt;"&amp;BG1506)+SUMIFS($BC$7:$BC$1843,$CF$7:$CF$1843,CF1506,$BG$7:$BG$1843,BG1506,$BW$7:$BW$1843,"&lt;="&amp;BW1506),"")</f>
        <v>30153.3031420087</v>
      </c>
      <c r="BI1506" s="58" t="n">
        <f aca="false">IF(BH1506="",0,MAX(0,MIN(1,(IF(CF1506="L1",Parameter!$H$5,IF(CF1506="L23",Parameter!$H$6+Parameter!$H$7,Parameter!$H$5+Parameter!$H$6+Parameter!$H$7))-(BH1506-BC1506))/BC1506)))</f>
        <v>1</v>
      </c>
      <c r="BJ1506" s="48" t="str">
        <f aca="false">IF(AI1506&lt;=0,"",IF(CF1506="Aussen","Aussenlager",IF(CF1506="-","Nicht im Lift",IF(AO1506&gt;=1,"Lift",IF(AO1506&lt;=0,"Aussenlager","teilweise")))))</f>
        <v>Lift</v>
      </c>
      <c r="BK1506" s="48" t="str">
        <f aca="false">IF(AS1506&lt;=0,"",IF(CF1506="Aussen","Aussenlager",IF(CF1506="-","Nicht im Lift",IF(AY1506&gt;=1,"Lift",IF(AY1506&lt;=0,"Aussenlager","teilweise")))))</f>
        <v>Aussenlager</v>
      </c>
      <c r="BL1506" s="48" t="str">
        <f aca="false">IF(BC1506&lt;=0,"",IF(CF1506="Aussen","Aussenlager",IF(CF1506="-","Nicht im Lift",IF(BI1506&gt;=1,"Lift",IF(BI1506&lt;=0,"Aussenlager","teilweise")))))</f>
        <v>Lift</v>
      </c>
      <c r="BM1506" s="48" t="str">
        <f aca="false">IF(A1506="","",IF(BV1506=1,"Neu; ","")&amp;IF(AND(BV1506=0,BQ1506&lt;0),"negativer Bestand (Export "&amp;BQ1506&amp;"); ","")&amp;IF(J1506&lt;=0,"Kein Verbrauch; ","")&amp;IF(CQ1506&gt;0,"Lift "&amp;W1506&amp;" lt. Liftbericht (Fach "&amp;X1506&amp;" Stk); ",IF(CA1506=1,"Gebinde geschätzt ("&amp;T1506&amp;"); ",IF(BZ1506=1,"Lose – Tablare geschätzt; ","")))&amp;IF(H1506&gt;AV1506,"Überbestand "&amp;ROUND(H1506-AV1506,0)&amp;" Stk / CHF "&amp;ROUND((H1506-AV1506)*G1506,0)&amp;"; ","")&amp;IF(AND(CH1506=1,CI1506&lt;CJ1506),"MAX &lt; MB+LG; ","")&amp;IF(AND(CP1506&gt;0,CO1506*10&gt;CP1506),"zu hoch für Tablar; ","")&amp;IF(AND(BV1506=0,OR(CH1506=1,AA1506&lt;&gt;"",U1506&lt;&gt;"",V1506&lt;&gt;"",AB1506&lt;&gt;"")),"manuell übersteuert; ","")&amp;IF(AND(BZ1506=0,R1506=0),"Gebinde unbekannt / Stellmass fehlt; ","")&amp;IF(AND(BZ1506=0,N(V1506)&lt;=0,N(Q1506)&lt;=0),"Menge pro Gebinde fehlt (Ist = 1 Gebinde); ","")&amp;BU1506)</f>
        <v>Kein Verbrauch; Überbestand 7 Stk / CHF 2337; nur im Artikelstamm (Bestand 23.06.2026)</v>
      </c>
      <c r="BN1506" s="48"/>
      <c r="BO1506" s="48"/>
      <c r="BP1506" s="55"/>
      <c r="BQ1506" s="50" t="n">
        <v>17</v>
      </c>
      <c r="BR1506" s="50" t="n">
        <v>0</v>
      </c>
      <c r="BS1506" s="49" t="n">
        <v>0</v>
      </c>
      <c r="BT1506" s="50" t="n">
        <v>0</v>
      </c>
      <c r="BU1506" s="48" t="s">
        <v>2584</v>
      </c>
      <c r="BV1506" s="53" t="n">
        <v>0</v>
      </c>
      <c r="BW1506" s="53" t="n">
        <v>1506</v>
      </c>
      <c r="BX1506" s="48" t="str">
        <f aca="false">IF(U1506&lt;&gt;"",UPPER(TRIM(U1506)),IF(CA1506=1,UPPER(VLOOKUP(T1506,Parameter!$I$27:$K$29,2,0)),IF(P1506="","LOSE",P1506)))</f>
        <v>S52</v>
      </c>
      <c r="BY1506" s="50" t="n">
        <f aca="false">IF(BX1506="LOSE",1,IF(N(V1506)&gt;0,V1506,IF(CA1506=1,MAX(1,N(VLOOKUP(T1506,Parameter!$I$27:$K$29,3,0)),H1506,N(N1506)),IF(N(Q1506)&gt;0,Q1506,MAX(1,H1506)))))</f>
        <v>17</v>
      </c>
      <c r="BZ1506" s="53" t="n">
        <f aca="false">IF(BX1506="LOSE",1,0)</f>
        <v>0</v>
      </c>
      <c r="CA1506" s="53" t="n">
        <f aca="false">IF(AND(U1506="",OR(P1506="",P1506="LOSE"),T1506&lt;&gt;"",N(S1506)&lt;=0,ISNUMBER(MATCH(T1506,Parameter!$I$27:$I$29,0))),1,0)</f>
        <v>0</v>
      </c>
      <c r="CB1506" s="53" t="n">
        <f aca="false">IF(CQ1506&gt;0,INDEX(Parameter!$H$5:$H$7,W1506)/INDEX(Parameter!$E$5:$E$7,W1506),IF(AND(BZ1506=0,N(IFERROR(VLOOKUP(BX1506,'Gebinde-Kategorie'!$A$5:$N$45,14,0),0))&gt;0),VLOOKUP(BX1506,'Gebinde-Kategorie'!$A$5:$N$45,14,0)*10+Parameter!$M$23,Parameter!$M$24))</f>
        <v>245</v>
      </c>
      <c r="CC1506" s="48" t="str">
        <f aca="false">IF(AND(Parameter!$B$19="Ja",E1506&lt;&gt;"",ISNUMBER(MATCH(E1506,Parameter!$I$35:$I$52,0))),VLOOKUP(E1506,Parameter!$I$35:$J$52,2,0),IFERROR(VLOOKUP(D1506,Parameter!$A$35:$C$64,2,0),"Nein"))</f>
        <v>2+3</v>
      </c>
      <c r="CD1506" s="52" t="n">
        <f aca="false">IF(BZ1506=0,0,IF(N(S1506)&gt;0,S1506,IFERROR(VLOOKUP(D1506,Parameter!$A$35:$C$64,3,0)+0,0)))</f>
        <v>0</v>
      </c>
      <c r="CE1506" s="48" t="n">
        <f aca="false">IF(AA1506&lt;&gt;"",AA1506,Z1506)</f>
        <v>3</v>
      </c>
      <c r="CF1506" s="48" t="str">
        <f aca="false">IF(OR(CE1506=1,CE1506=2,CE1506=3),IF(Parameter!$E$27="Ja","LIFT",IF(CE1506=1,"L1","L23")),IF(CE1506="Aussen","Aussen","-"))</f>
        <v>LIFT</v>
      </c>
      <c r="CG1506" s="59" t="n">
        <f aca="false">IF(N(AB1506)&gt;0,AB1506,0)</f>
        <v>0</v>
      </c>
      <c r="CH1506" s="53" t="n">
        <f aca="false">IF(ISNUMBER(AE1506),1,0)</f>
        <v>0</v>
      </c>
      <c r="CI1506" s="50" t="n">
        <f aca="false">N(AE1506)</f>
        <v>0</v>
      </c>
      <c r="CJ1506" s="50" t="n">
        <f aca="false">N(M1506)+N(N1506)</f>
        <v>10</v>
      </c>
      <c r="CK1506" s="50" t="n">
        <f aca="false">N(M1506)</f>
        <v>0</v>
      </c>
      <c r="CL1506" s="50" t="n">
        <f aca="false">N(N1506)</f>
        <v>10</v>
      </c>
      <c r="CM1506" s="50" t="n">
        <f aca="false">ROUNDUP(H1506/BY1506,0)</f>
        <v>1</v>
      </c>
      <c r="CN1506" s="50" t="n">
        <f aca="false">ROUNDUP(CI1506/BY1506,0)</f>
        <v>0</v>
      </c>
      <c r="CO1506" s="53" t="n">
        <f aca="false">IF(BZ1506=1,0,IFERROR(VLOOKUP(BX1506,'Gebinde-Kategorie'!$A$5:$N$45,5,0)+0,0))</f>
        <v>21</v>
      </c>
      <c r="CP1506" s="53" t="n">
        <f aca="false">IFERROR(IF(OR(CE1506=1,CE1506=2,CE1506=3),N(INDEX(Parameter!$I$5:$I$7,CE1506)),0),0)</f>
        <v>0</v>
      </c>
      <c r="CQ1506" s="52" t="n">
        <f aca="false">IF(AND(Parameter!$B$21="Ja",ISNUMBER(W1506),N(X1506)&gt;0),IFERROR(N(INDEX(Parameter!$L$5:$L$7,W1506))*INDEX(Parameter!$E$5:$E$7,W1506)*X1506/SUMIFS($X$7:$X$1843,$W$7:$W$1843,W1506),0),0)</f>
        <v>0</v>
      </c>
    </row>
    <row r="1507" customFormat="false" ht="15" hidden="false" customHeight="false" outlineLevel="0" collapsed="false">
      <c r="A1507" s="48" t="s">
        <v>2645</v>
      </c>
      <c r="B1507" s="48" t="s">
        <v>1412</v>
      </c>
      <c r="C1507" s="48" t="s">
        <v>173</v>
      </c>
      <c r="D1507" s="48" t="s">
        <v>193</v>
      </c>
      <c r="E1507" s="48" t="s">
        <v>194</v>
      </c>
      <c r="F1507" s="48"/>
      <c r="G1507" s="49" t="n">
        <v>9.5</v>
      </c>
      <c r="H1507" s="50" t="n">
        <f aca="false">MAX(0,IF(AND(Parameter!$B$21="Ja",ISNUMBER(Y1507)),Y1507,IF(Parameter!$B$20="Jahresanfang 2025 + Export",BR1507+BQ1507,BQ1507)))</f>
        <v>21</v>
      </c>
      <c r="I1507" s="50" t="n">
        <f aca="false">H1507*G1507</f>
        <v>199.5</v>
      </c>
      <c r="J1507" s="50" t="n">
        <f aca="false">BT1507*Parameter!$B$18</f>
        <v>0</v>
      </c>
      <c r="K1507" s="51"/>
      <c r="L1507" s="52"/>
      <c r="M1507" s="50" t="n">
        <v>0</v>
      </c>
      <c r="N1507" s="50" t="n">
        <v>20</v>
      </c>
      <c r="O1507" s="53" t="n">
        <v>21</v>
      </c>
      <c r="P1507" s="48" t="s">
        <v>337</v>
      </c>
      <c r="Q1507" s="50" t="n">
        <v>21</v>
      </c>
      <c r="R1507" s="53" t="n">
        <f aca="false">IF(BZ1507=1,0,IFERROR(VLOOKUP(BX1507,'Gebinde-Kategorie'!$A$5:$N$45,13,0)+0,0))</f>
        <v>52</v>
      </c>
      <c r="S1507" s="54"/>
      <c r="T1507" s="55"/>
      <c r="U1507" s="55"/>
      <c r="V1507" s="55"/>
      <c r="W1507" s="48"/>
      <c r="X1507" s="50"/>
      <c r="Y1507" s="50"/>
      <c r="Z1507" s="48" t="n">
        <f aca="false">IF(A1507="","",IF(AND(Parameter!$B$21="Ja",ISNUMBER(W1507)),W1507,IF(CC1507="2+3",IF(ISNUMBER(SEARCH("grosser Artikel",BU1507)),2,IFERROR(VLOOKUP(BX1507,Parameter!$F$35:$G$64,2,0),2)),IF(OR(CC1507="Nein",CC1507=""),"-",CC1507))))</f>
        <v>3</v>
      </c>
      <c r="AA1507" s="55"/>
      <c r="AB1507" s="56"/>
      <c r="AC1507" s="50" t="n">
        <f aca="false">AV1507</f>
        <v>20</v>
      </c>
      <c r="AD1507" s="50" t="n">
        <f aca="false">MAX(AV1507,H1507)</f>
        <v>21</v>
      </c>
      <c r="AE1507" s="57"/>
      <c r="AF1507" s="50" t="n">
        <f aca="false">IF(LEFT(Cockpit!$C$5,1)="A",H1507,IF(Parameter!$E$30="MAX-Bestand",IF(CH1507=1,CI1507,IF(LEFT(Cockpit!$C$5,1)="B",AL1507,MAX(AL1507,H1507))),ROUNDUP(AJ1507,0)))</f>
        <v>21</v>
      </c>
      <c r="AG1507" s="50" t="n">
        <f aca="false">IF(BZ1507=1,0,ROUNDUP(AF1507/BY1507,0))</f>
        <v>1</v>
      </c>
      <c r="AH1507" s="52" t="n">
        <f aca="false">IF(CQ1507&gt;0,CQ1507*MAX(1,AF1507/X1507),IF(BZ1507=1,IF(AF1507&lt;=0,0,CD1507*MAX(1,IF(H1507&gt;0,AF1507/H1507,1))),IF(R1507&gt;0,AG1507/R1507,0))/MAX(0.1,N(Parameter!$M$21)))</f>
        <v>0.0192307692307692</v>
      </c>
      <c r="AI1507" s="50" t="n">
        <f aca="false">AH1507*CB1507</f>
        <v>2.98076923076923</v>
      </c>
      <c r="AJ1507" s="51" t="n">
        <f aca="false">IF(LEFT(Cockpit!$C$5,1)="A",H1507,IF(CH1507=1,(CK1507+CI1507)/2,IF(LEFT(Cockpit!$C$5,1)="B",(CK1507+AL1507)/2,MAX((CK1507+AL1507)/2,H1507))))</f>
        <v>21</v>
      </c>
      <c r="AK1507" s="50" t="n">
        <f aca="false">AJ1507*G1507</f>
        <v>199.5</v>
      </c>
      <c r="AL1507" s="50" t="n">
        <f aca="false">ROUNDUP(CK1507+MAX(CL1507,2*(J1507/IF(CG1507&gt;0,CG1507,MAX(0.1,N(Cockpit!$C$6)))-CK1507)),0)</f>
        <v>20</v>
      </c>
      <c r="AM1507" s="51" t="n">
        <f aca="false">IF(AI1507&gt;0,J1507/AI1507,-1)</f>
        <v>0</v>
      </c>
      <c r="AN1507" s="51" t="n">
        <f aca="false">IF(AND(OR(CF1507="L1",CF1507="L23",CF1507="LIFT"),AI1507&gt;0),SUMIFS($AI$7:$AI$1843,$CF$7:$CF$1843,CF1507,$AM$7:$AM$1843,"&gt;"&amp;AM1507)+SUMIFS($AI$7:$AI$1843,$CF$7:$CF$1843,CF1507,$AM$7:$AM$1843,AM1507,$BW$7:$BW$1843,"&lt;="&amp;BW1507),"")</f>
        <v>29911.5218331574</v>
      </c>
      <c r="AO1507" s="58" t="n">
        <f aca="false">IF(AN1507="",0,MAX(0,MIN(1,(IF(CF1507="L1",Parameter!$H$5,IF(CF1507="L23",Parameter!$H$6+Parameter!$H$7,Parameter!$H$5+Parameter!$H$6+Parameter!$H$7))-(AN1507-AI1507))/AI1507)))</f>
        <v>1</v>
      </c>
      <c r="AP1507" s="50" t="n">
        <f aca="false">IF(LEFT(Cockpit!$I$5,1)="A",H1507,IF(Parameter!$E$30="MAX-Bestand",IF(CH1507=1,CI1507,IF(LEFT(Cockpit!$I$5,1)="B",AV1507,MAX(AV1507,H1507))),ROUNDUP(AT1507,0)))</f>
        <v>21</v>
      </c>
      <c r="AQ1507" s="50" t="n">
        <f aca="false">IF(BZ1507=1,0,ROUNDUP(AP1507/BY1507,0))</f>
        <v>1</v>
      </c>
      <c r="AR1507" s="52" t="n">
        <f aca="false">IF(CQ1507&gt;0,CQ1507*MAX(1,AP1507/X1507),IF(BZ1507=1,IF(AP1507&lt;=0,0,CD1507*MAX(1,IF(H1507&gt;0,AP1507/H1507,1))),IF(R1507&gt;0,AQ1507/R1507,0))/MAX(0.1,N(Parameter!$M$21)))</f>
        <v>0.0192307692307692</v>
      </c>
      <c r="AS1507" s="50" t="n">
        <f aca="false">AR1507*CB1507</f>
        <v>2.98076923076923</v>
      </c>
      <c r="AT1507" s="51" t="n">
        <f aca="false">IF(LEFT(Cockpit!$I$5,1)="A",H1507,IF(CH1507=1,(CK1507+CI1507)/2,IF(LEFT(Cockpit!$I$5,1)="B",(CK1507+AV1507)/2,MAX((CK1507+AV1507)/2,H1507))))</f>
        <v>21</v>
      </c>
      <c r="AU1507" s="50" t="n">
        <f aca="false">AT1507*G1507</f>
        <v>199.5</v>
      </c>
      <c r="AV1507" s="50" t="n">
        <f aca="false">ROUNDUP(CK1507+MAX(CL1507,2*(J1507/IF(CG1507&gt;0,CG1507,MAX(0.1,N(Cockpit!$I$6)))-CK1507)),0)</f>
        <v>20</v>
      </c>
      <c r="AW1507" s="51" t="n">
        <f aca="false">IF(AS1507&gt;0,J1507/AS1507,-1)</f>
        <v>0</v>
      </c>
      <c r="AX1507" s="51" t="n">
        <f aca="false">IF(AND(OR(CF1507="L1",CF1507="L23",CF1507="LIFT"),AS1507&gt;0),SUMIFS($AS$7:$AS$1843,$CF$7:$CF$1843,CF1507,$AW$7:$AW$1843,"&gt;"&amp;AW1507)+SUMIFS($AS$7:$AS$1843,$CF$7:$CF$1843,CF1507,$AW$7:$AW$1843,AW1507,$BW$7:$BW$1843,"&lt;="&amp;BW1507),"")</f>
        <v>36218.092635707</v>
      </c>
      <c r="AY1507" s="58" t="n">
        <f aca="false">IF(AX1507="",0,MAX(0,MIN(1,(IF(CF1507="L1",Parameter!$H$5,IF(CF1507="L23",Parameter!$H$6+Parameter!$H$7,Parameter!$H$5+Parameter!$H$6+Parameter!$H$7))-(AX1507-AS1507))/AS1507)))</f>
        <v>0</v>
      </c>
      <c r="AZ1507" s="50" t="n">
        <f aca="false">IF(LEFT(Cockpit!$O$5,1)="A",H1507,IF(Parameter!$E$30="MAX-Bestand",IF(CH1507=1,CI1507,IF(LEFT(Cockpit!$O$5,1)="B",BF1507,MAX(BF1507,H1507))),ROUNDUP(BD1507,0)))</f>
        <v>10</v>
      </c>
      <c r="BA1507" s="50" t="n">
        <f aca="false">IF(BZ1507=1,0,ROUNDUP(AZ1507/BY1507,0))</f>
        <v>1</v>
      </c>
      <c r="BB1507" s="52" t="n">
        <f aca="false">IF(CQ1507&gt;0,CQ1507*MAX(1,AZ1507/X1507),IF(BZ1507=1,IF(AZ1507&lt;=0,0,CD1507*MAX(1,IF(H1507&gt;0,AZ1507/H1507,1))),IF(R1507&gt;0,BA1507/R1507,0))/MAX(0.1,N(Parameter!$M$21)))</f>
        <v>0.0192307692307692</v>
      </c>
      <c r="BC1507" s="50" t="n">
        <f aca="false">BB1507*CB1507</f>
        <v>2.98076923076923</v>
      </c>
      <c r="BD1507" s="51" t="n">
        <f aca="false">IF(LEFT(Cockpit!$O$5,1)="A",H1507,IF(CH1507=1,(CK1507+CI1507)/2,IF(LEFT(Cockpit!$O$5,1)="B",(CK1507+BF1507)/2,MAX((CK1507+BF1507)/2,H1507))))</f>
        <v>10</v>
      </c>
      <c r="BE1507" s="50" t="n">
        <f aca="false">BD1507*G1507</f>
        <v>95</v>
      </c>
      <c r="BF1507" s="50" t="n">
        <f aca="false">ROUNDUP(CK1507+MAX(CL1507,2*(J1507/IF(CG1507&gt;0,CG1507,MAX(0.1,N(Cockpit!$O$6)))-CK1507)),0)</f>
        <v>20</v>
      </c>
      <c r="BG1507" s="51" t="n">
        <f aca="false">IF(BC1507&gt;0,J1507/BC1507,-1)</f>
        <v>0</v>
      </c>
      <c r="BH1507" s="51" t="n">
        <f aca="false">IF(AND(OR(CF1507="L1",CF1507="L23",CF1507="LIFT"),BC1507&gt;0),SUMIFS($BC$7:$BC$1843,$CF$7:$CF$1843,CF1507,$BG$7:$BG$1843,"&gt;"&amp;BG1507)+SUMIFS($BC$7:$BC$1843,$CF$7:$CF$1843,CF1507,$BG$7:$BG$1843,BG1507,$BW$7:$BW$1843,"&lt;="&amp;BW1507),"")</f>
        <v>30156.2839112394</v>
      </c>
      <c r="BI1507" s="58" t="n">
        <f aca="false">IF(BH1507="",0,MAX(0,MIN(1,(IF(CF1507="L1",Parameter!$H$5,IF(CF1507="L23",Parameter!$H$6+Parameter!$H$7,Parameter!$H$5+Parameter!$H$6+Parameter!$H$7))-(BH1507-BC1507))/BC1507)))</f>
        <v>1</v>
      </c>
      <c r="BJ1507" s="48" t="str">
        <f aca="false">IF(AI1507&lt;=0,"",IF(CF1507="Aussen","Aussenlager",IF(CF1507="-","Nicht im Lift",IF(AO1507&gt;=1,"Lift",IF(AO1507&lt;=0,"Aussenlager","teilweise")))))</f>
        <v>Lift</v>
      </c>
      <c r="BK1507" s="48" t="str">
        <f aca="false">IF(AS1507&lt;=0,"",IF(CF1507="Aussen","Aussenlager",IF(CF1507="-","Nicht im Lift",IF(AY1507&gt;=1,"Lift",IF(AY1507&lt;=0,"Aussenlager","teilweise")))))</f>
        <v>Aussenlager</v>
      </c>
      <c r="BL1507" s="48" t="str">
        <f aca="false">IF(BC1507&lt;=0,"",IF(CF1507="Aussen","Aussenlager",IF(CF1507="-","Nicht im Lift",IF(BI1507&gt;=1,"Lift",IF(BI1507&lt;=0,"Aussenlager","teilweise")))))</f>
        <v>Lift</v>
      </c>
      <c r="BM1507" s="48" t="str">
        <f aca="false">IF(A1507="","",IF(BV1507=1,"Neu; ","")&amp;IF(AND(BV1507=0,BQ1507&lt;0),"negativer Bestand (Export "&amp;BQ1507&amp;"); ","")&amp;IF(J1507&lt;=0,"Kein Verbrauch; ","")&amp;IF(CQ1507&gt;0,"Lift "&amp;W1507&amp;" lt. Liftbericht (Fach "&amp;X1507&amp;" Stk); ",IF(CA1507=1,"Gebinde geschätzt ("&amp;T1507&amp;"); ",IF(BZ1507=1,"Lose – Tablare geschätzt; ","")))&amp;IF(H1507&gt;AV1507,"Überbestand "&amp;ROUND(H1507-AV1507,0)&amp;" Stk / CHF "&amp;ROUND((H1507-AV1507)*G1507,0)&amp;"; ","")&amp;IF(AND(CH1507=1,CI1507&lt;CJ1507),"MAX &lt; MB+LG; ","")&amp;IF(AND(CP1507&gt;0,CO1507*10&gt;CP1507),"zu hoch für Tablar; ","")&amp;IF(AND(BV1507=0,OR(CH1507=1,AA1507&lt;&gt;"",U1507&lt;&gt;"",V1507&lt;&gt;"",AB1507&lt;&gt;"")),"manuell übersteuert; ","")&amp;IF(AND(BZ1507=0,R1507=0),"Gebinde unbekannt / Stellmass fehlt; ","")&amp;IF(AND(BZ1507=0,N(V1507)&lt;=0,N(Q1507)&lt;=0),"Menge pro Gebinde fehlt (Ist = 1 Gebinde); ","")&amp;BU1507)</f>
        <v>Kein Verbrauch; Überbestand 1 Stk / CHF 10; nur im Artikelstamm (Bestand 23.06.2026); Überbestand</v>
      </c>
      <c r="BN1507" s="48"/>
      <c r="BO1507" s="48"/>
      <c r="BP1507" s="55"/>
      <c r="BQ1507" s="50" t="n">
        <v>21</v>
      </c>
      <c r="BR1507" s="50" t="n">
        <v>0</v>
      </c>
      <c r="BS1507" s="49" t="n">
        <v>0</v>
      </c>
      <c r="BT1507" s="50" t="n">
        <v>0</v>
      </c>
      <c r="BU1507" s="48" t="s">
        <v>2581</v>
      </c>
      <c r="BV1507" s="53" t="n">
        <v>0</v>
      </c>
      <c r="BW1507" s="53" t="n">
        <v>1507</v>
      </c>
      <c r="BX1507" s="48" t="str">
        <f aca="false">IF(U1507&lt;&gt;"",UPPER(TRIM(U1507)),IF(CA1507=1,UPPER(VLOOKUP(T1507,Parameter!$I$27:$K$29,2,0)),IF(P1507="","LOSE",P1507)))</f>
        <v>S41</v>
      </c>
      <c r="BY1507" s="50" t="n">
        <f aca="false">IF(BX1507="LOSE",1,IF(N(V1507)&gt;0,V1507,IF(CA1507=1,MAX(1,N(VLOOKUP(T1507,Parameter!$I$27:$K$29,3,0)),H1507,N(N1507)),IF(N(Q1507)&gt;0,Q1507,MAX(1,H1507)))))</f>
        <v>21</v>
      </c>
      <c r="BZ1507" s="53" t="n">
        <f aca="false">IF(BX1507="LOSE",1,0)</f>
        <v>0</v>
      </c>
      <c r="CA1507" s="53" t="n">
        <f aca="false">IF(AND(U1507="",OR(P1507="",P1507="LOSE"),T1507&lt;&gt;"",N(S1507)&lt;=0,ISNUMBER(MATCH(T1507,Parameter!$I$27:$I$29,0))),1,0)</f>
        <v>0</v>
      </c>
      <c r="CB1507" s="53" t="n">
        <f aca="false">IF(CQ1507&gt;0,INDEX(Parameter!$H$5:$H$7,W1507)/INDEX(Parameter!$E$5:$E$7,W1507),IF(AND(BZ1507=0,N(IFERROR(VLOOKUP(BX1507,'Gebinde-Kategorie'!$A$5:$N$45,14,0),0))&gt;0),VLOOKUP(BX1507,'Gebinde-Kategorie'!$A$5:$N$45,14,0)*10+Parameter!$M$23,Parameter!$M$24))</f>
        <v>155</v>
      </c>
      <c r="CC1507" s="48" t="str">
        <f aca="false">IF(AND(Parameter!$B$19="Ja",E1507&lt;&gt;"",ISNUMBER(MATCH(E1507,Parameter!$I$35:$I$52,0))),VLOOKUP(E1507,Parameter!$I$35:$J$52,2,0),IFERROR(VLOOKUP(D1507,Parameter!$A$35:$C$64,2,0),"Nein"))</f>
        <v>2+3</v>
      </c>
      <c r="CD1507" s="52" t="n">
        <f aca="false">IF(BZ1507=0,0,IF(N(S1507)&gt;0,S1507,IFERROR(VLOOKUP(D1507,Parameter!$A$35:$C$64,3,0)+0,0)))</f>
        <v>0</v>
      </c>
      <c r="CE1507" s="48" t="n">
        <f aca="false">IF(AA1507&lt;&gt;"",AA1507,Z1507)</f>
        <v>3</v>
      </c>
      <c r="CF1507" s="48" t="str">
        <f aca="false">IF(OR(CE1507=1,CE1507=2,CE1507=3),IF(Parameter!$E$27="Ja","LIFT",IF(CE1507=1,"L1","L23")),IF(CE1507="Aussen","Aussen","-"))</f>
        <v>LIFT</v>
      </c>
      <c r="CG1507" s="59" t="n">
        <f aca="false">IF(N(AB1507)&gt;0,AB1507,0)</f>
        <v>0</v>
      </c>
      <c r="CH1507" s="53" t="n">
        <f aca="false">IF(ISNUMBER(AE1507),1,0)</f>
        <v>0</v>
      </c>
      <c r="CI1507" s="50" t="n">
        <f aca="false">N(AE1507)</f>
        <v>0</v>
      </c>
      <c r="CJ1507" s="50" t="n">
        <f aca="false">N(M1507)+N(N1507)</f>
        <v>20</v>
      </c>
      <c r="CK1507" s="50" t="n">
        <f aca="false">N(M1507)</f>
        <v>0</v>
      </c>
      <c r="CL1507" s="50" t="n">
        <f aca="false">N(N1507)</f>
        <v>20</v>
      </c>
      <c r="CM1507" s="50" t="n">
        <f aca="false">ROUNDUP(H1507/BY1507,0)</f>
        <v>1</v>
      </c>
      <c r="CN1507" s="50" t="n">
        <f aca="false">ROUNDUP(CI1507/BY1507,0)</f>
        <v>0</v>
      </c>
      <c r="CO1507" s="53" t="n">
        <f aca="false">IF(BZ1507=1,0,IFERROR(VLOOKUP(BX1507,'Gebinde-Kategorie'!$A$5:$N$45,5,0)+0,0))</f>
        <v>11</v>
      </c>
      <c r="CP1507" s="53" t="n">
        <f aca="false">IFERROR(IF(OR(CE1507=1,CE1507=2,CE1507=3),N(INDEX(Parameter!$I$5:$I$7,CE1507)),0),0)</f>
        <v>0</v>
      </c>
      <c r="CQ1507" s="52" t="n">
        <f aca="false">IF(AND(Parameter!$B$21="Ja",ISNUMBER(W1507),N(X1507)&gt;0),IFERROR(N(INDEX(Parameter!$L$5:$L$7,W1507))*INDEX(Parameter!$E$5:$E$7,W1507)*X1507/SUMIFS($X$7:$X$1843,$W$7:$W$1843,W1507),0),0)</f>
        <v>0</v>
      </c>
    </row>
    <row r="1508" customFormat="false" ht="15" hidden="false" customHeight="false" outlineLevel="0" collapsed="false">
      <c r="A1508" s="48" t="s">
        <v>2646</v>
      </c>
      <c r="B1508" s="48" t="s">
        <v>434</v>
      </c>
      <c r="C1508" s="48" t="s">
        <v>173</v>
      </c>
      <c r="D1508" s="48" t="s">
        <v>193</v>
      </c>
      <c r="E1508" s="48" t="s">
        <v>194</v>
      </c>
      <c r="F1508" s="48"/>
      <c r="G1508" s="49" t="n">
        <v>143.14</v>
      </c>
      <c r="H1508" s="50" t="n">
        <f aca="false">MAX(0,IF(AND(Parameter!$B$21="Ja",ISNUMBER(Y1508)),Y1508,IF(Parameter!$B$20="Jahresanfang 2025 + Export",BR1508+BQ1508,BQ1508)))</f>
        <v>13</v>
      </c>
      <c r="I1508" s="50" t="n">
        <f aca="false">H1508*G1508</f>
        <v>1860.82</v>
      </c>
      <c r="J1508" s="50" t="n">
        <f aca="false">BT1508*Parameter!$B$18</f>
        <v>0</v>
      </c>
      <c r="K1508" s="51"/>
      <c r="L1508" s="52"/>
      <c r="M1508" s="50" t="n">
        <v>0</v>
      </c>
      <c r="N1508" s="50" t="n">
        <v>20</v>
      </c>
      <c r="O1508" s="53" t="n">
        <v>28</v>
      </c>
      <c r="P1508" s="48" t="s">
        <v>430</v>
      </c>
      <c r="Q1508" s="50" t="n">
        <v>13</v>
      </c>
      <c r="R1508" s="53" t="n">
        <f aca="false">IF(BZ1508=1,0,IFERROR(VLOOKUP(BX1508,'Gebinde-Kategorie'!$A$5:$N$45,13,0)+0,0))</f>
        <v>104</v>
      </c>
      <c r="S1508" s="54"/>
      <c r="T1508" s="55"/>
      <c r="U1508" s="55"/>
      <c r="V1508" s="55"/>
      <c r="W1508" s="48"/>
      <c r="X1508" s="50"/>
      <c r="Y1508" s="50"/>
      <c r="Z1508" s="48" t="n">
        <f aca="false">IF(A1508="","",IF(AND(Parameter!$B$21="Ja",ISNUMBER(W1508)),W1508,IF(CC1508="2+3",IF(ISNUMBER(SEARCH("grosser Artikel",BU1508)),2,IFERROR(VLOOKUP(BX1508,Parameter!$F$35:$G$64,2,0),2)),IF(OR(CC1508="Nein",CC1508=""),"-",CC1508))))</f>
        <v>3</v>
      </c>
      <c r="AA1508" s="55"/>
      <c r="AB1508" s="56"/>
      <c r="AC1508" s="50" t="n">
        <f aca="false">AV1508</f>
        <v>20</v>
      </c>
      <c r="AD1508" s="50" t="n">
        <f aca="false">MAX(AV1508,H1508)</f>
        <v>20</v>
      </c>
      <c r="AE1508" s="57"/>
      <c r="AF1508" s="50" t="n">
        <f aca="false">IF(LEFT(Cockpit!$C$5,1)="A",H1508,IF(Parameter!$E$30="MAX-Bestand",IF(CH1508=1,CI1508,IF(LEFT(Cockpit!$C$5,1)="B",AL1508,MAX(AL1508,H1508))),ROUNDUP(AJ1508,0)))</f>
        <v>13</v>
      </c>
      <c r="AG1508" s="50" t="n">
        <f aca="false">IF(BZ1508=1,0,ROUNDUP(AF1508/BY1508,0))</f>
        <v>1</v>
      </c>
      <c r="AH1508" s="52" t="n">
        <f aca="false">IF(CQ1508&gt;0,CQ1508*MAX(1,AF1508/X1508),IF(BZ1508=1,IF(AF1508&lt;=0,0,CD1508*MAX(1,IF(H1508&gt;0,AF1508/H1508,1))),IF(R1508&gt;0,AG1508/R1508,0))/MAX(0.1,N(Parameter!$M$21)))</f>
        <v>0.00961538461538462</v>
      </c>
      <c r="AI1508" s="50" t="n">
        <f aca="false">AH1508*CB1508</f>
        <v>1.49038461538462</v>
      </c>
      <c r="AJ1508" s="51" t="n">
        <f aca="false">IF(LEFT(Cockpit!$C$5,1)="A",H1508,IF(CH1508=1,(CK1508+CI1508)/2,IF(LEFT(Cockpit!$C$5,1)="B",(CK1508+AL1508)/2,MAX((CK1508+AL1508)/2,H1508))))</f>
        <v>13</v>
      </c>
      <c r="AK1508" s="50" t="n">
        <f aca="false">AJ1508*G1508</f>
        <v>1860.82</v>
      </c>
      <c r="AL1508" s="50" t="n">
        <f aca="false">ROUNDUP(CK1508+MAX(CL1508,2*(J1508/IF(CG1508&gt;0,CG1508,MAX(0.1,N(Cockpit!$C$6)))-CK1508)),0)</f>
        <v>20</v>
      </c>
      <c r="AM1508" s="51" t="n">
        <f aca="false">IF(AI1508&gt;0,J1508/AI1508,-1)</f>
        <v>0</v>
      </c>
      <c r="AN1508" s="51" t="n">
        <f aca="false">IF(AND(OR(CF1508="L1",CF1508="L23",CF1508="LIFT"),AI1508&gt;0),SUMIFS($AI$7:$AI$1843,$CF$7:$CF$1843,CF1508,$AM$7:$AM$1843,"&gt;"&amp;AM1508)+SUMIFS($AI$7:$AI$1843,$CF$7:$CF$1843,CF1508,$AM$7:$AM$1843,AM1508,$BW$7:$BW$1843,"&lt;="&amp;BW1508),"")</f>
        <v>29913.0122177728</v>
      </c>
      <c r="AO1508" s="58" t="n">
        <f aca="false">IF(AN1508="",0,MAX(0,MIN(1,(IF(CF1508="L1",Parameter!$H$5,IF(CF1508="L23",Parameter!$H$6+Parameter!$H$7,Parameter!$H$5+Parameter!$H$6+Parameter!$H$7))-(AN1508-AI1508))/AI1508)))</f>
        <v>1</v>
      </c>
      <c r="AP1508" s="50" t="n">
        <f aca="false">IF(LEFT(Cockpit!$I$5,1)="A",H1508,IF(Parameter!$E$30="MAX-Bestand",IF(CH1508=1,CI1508,IF(LEFT(Cockpit!$I$5,1)="B",AV1508,MAX(AV1508,H1508))),ROUNDUP(AT1508,0)))</f>
        <v>13</v>
      </c>
      <c r="AQ1508" s="50" t="n">
        <f aca="false">IF(BZ1508=1,0,ROUNDUP(AP1508/BY1508,0))</f>
        <v>1</v>
      </c>
      <c r="AR1508" s="52" t="n">
        <f aca="false">IF(CQ1508&gt;0,CQ1508*MAX(1,AP1508/X1508),IF(BZ1508=1,IF(AP1508&lt;=0,0,CD1508*MAX(1,IF(H1508&gt;0,AP1508/H1508,1))),IF(R1508&gt;0,AQ1508/R1508,0))/MAX(0.1,N(Parameter!$M$21)))</f>
        <v>0.00961538461538462</v>
      </c>
      <c r="AS1508" s="50" t="n">
        <f aca="false">AR1508*CB1508</f>
        <v>1.49038461538462</v>
      </c>
      <c r="AT1508" s="51" t="n">
        <f aca="false">IF(LEFT(Cockpit!$I$5,1)="A",H1508,IF(CH1508=1,(CK1508+CI1508)/2,IF(LEFT(Cockpit!$I$5,1)="B",(CK1508+AV1508)/2,MAX((CK1508+AV1508)/2,H1508))))</f>
        <v>13</v>
      </c>
      <c r="AU1508" s="50" t="n">
        <f aca="false">AT1508*G1508</f>
        <v>1860.82</v>
      </c>
      <c r="AV1508" s="50" t="n">
        <f aca="false">ROUNDUP(CK1508+MAX(CL1508,2*(J1508/IF(CG1508&gt;0,CG1508,MAX(0.1,N(Cockpit!$I$6)))-CK1508)),0)</f>
        <v>20</v>
      </c>
      <c r="AW1508" s="51" t="n">
        <f aca="false">IF(AS1508&gt;0,J1508/AS1508,-1)</f>
        <v>0</v>
      </c>
      <c r="AX1508" s="51" t="n">
        <f aca="false">IF(AND(OR(CF1508="L1",CF1508="L23",CF1508="LIFT"),AS1508&gt;0),SUMIFS($AS$7:$AS$1843,$CF$7:$CF$1843,CF1508,$AW$7:$AW$1843,"&gt;"&amp;AW1508)+SUMIFS($AS$7:$AS$1843,$CF$7:$CF$1843,CF1508,$AW$7:$AW$1843,AW1508,$BW$7:$BW$1843,"&lt;="&amp;BW1508),"")</f>
        <v>36219.5830203224</v>
      </c>
      <c r="AY1508" s="58" t="n">
        <f aca="false">IF(AX1508="",0,MAX(0,MIN(1,(IF(CF1508="L1",Parameter!$H$5,IF(CF1508="L23",Parameter!$H$6+Parameter!$H$7,Parameter!$H$5+Parameter!$H$6+Parameter!$H$7))-(AX1508-AS1508))/AS1508)))</f>
        <v>0</v>
      </c>
      <c r="AZ1508" s="50" t="n">
        <f aca="false">IF(LEFT(Cockpit!$O$5,1)="A",H1508,IF(Parameter!$E$30="MAX-Bestand",IF(CH1508=1,CI1508,IF(LEFT(Cockpit!$O$5,1)="B",BF1508,MAX(BF1508,H1508))),ROUNDUP(BD1508,0)))</f>
        <v>10</v>
      </c>
      <c r="BA1508" s="50" t="n">
        <f aca="false">IF(BZ1508=1,0,ROUNDUP(AZ1508/BY1508,0))</f>
        <v>1</v>
      </c>
      <c r="BB1508" s="52" t="n">
        <f aca="false">IF(CQ1508&gt;0,CQ1508*MAX(1,AZ1508/X1508),IF(BZ1508=1,IF(AZ1508&lt;=0,0,CD1508*MAX(1,IF(H1508&gt;0,AZ1508/H1508,1))),IF(R1508&gt;0,BA1508/R1508,0))/MAX(0.1,N(Parameter!$M$21)))</f>
        <v>0.00961538461538462</v>
      </c>
      <c r="BC1508" s="50" t="n">
        <f aca="false">BB1508*CB1508</f>
        <v>1.49038461538462</v>
      </c>
      <c r="BD1508" s="51" t="n">
        <f aca="false">IF(LEFT(Cockpit!$O$5,1)="A",H1508,IF(CH1508=1,(CK1508+CI1508)/2,IF(LEFT(Cockpit!$O$5,1)="B",(CK1508+BF1508)/2,MAX((CK1508+BF1508)/2,H1508))))</f>
        <v>10</v>
      </c>
      <c r="BE1508" s="50" t="n">
        <f aca="false">BD1508*G1508</f>
        <v>1431.4</v>
      </c>
      <c r="BF1508" s="50" t="n">
        <f aca="false">ROUNDUP(CK1508+MAX(CL1508,2*(J1508/IF(CG1508&gt;0,CG1508,MAX(0.1,N(Cockpit!$O$6)))-CK1508)),0)</f>
        <v>20</v>
      </c>
      <c r="BG1508" s="51" t="n">
        <f aca="false">IF(BC1508&gt;0,J1508/BC1508,-1)</f>
        <v>0</v>
      </c>
      <c r="BH1508" s="51" t="n">
        <f aca="false">IF(AND(OR(CF1508="L1",CF1508="L23",CF1508="LIFT"),BC1508&gt;0),SUMIFS($BC$7:$BC$1843,$CF$7:$CF$1843,CF1508,$BG$7:$BG$1843,"&gt;"&amp;BG1508)+SUMIFS($BC$7:$BC$1843,$CF$7:$CF$1843,CF1508,$BG$7:$BG$1843,BG1508,$BW$7:$BW$1843,"&lt;="&amp;BW1508),"")</f>
        <v>30157.7742958548</v>
      </c>
      <c r="BI1508" s="58" t="n">
        <f aca="false">IF(BH1508="",0,MAX(0,MIN(1,(IF(CF1508="L1",Parameter!$H$5,IF(CF1508="L23",Parameter!$H$6+Parameter!$H$7,Parameter!$H$5+Parameter!$H$6+Parameter!$H$7))-(BH1508-BC1508))/BC1508)))</f>
        <v>1</v>
      </c>
      <c r="BJ1508" s="48" t="str">
        <f aca="false">IF(AI1508&lt;=0,"",IF(CF1508="Aussen","Aussenlager",IF(CF1508="-","Nicht im Lift",IF(AO1508&gt;=1,"Lift",IF(AO1508&lt;=0,"Aussenlager","teilweise")))))</f>
        <v>Lift</v>
      </c>
      <c r="BK1508" s="48" t="str">
        <f aca="false">IF(AS1508&lt;=0,"",IF(CF1508="Aussen","Aussenlager",IF(CF1508="-","Nicht im Lift",IF(AY1508&gt;=1,"Lift",IF(AY1508&lt;=0,"Aussenlager","teilweise")))))</f>
        <v>Aussenlager</v>
      </c>
      <c r="BL1508" s="48" t="str">
        <f aca="false">IF(BC1508&lt;=0,"",IF(CF1508="Aussen","Aussenlager",IF(CF1508="-","Nicht im Lift",IF(BI1508&gt;=1,"Lift",IF(BI1508&lt;=0,"Aussenlager","teilweise")))))</f>
        <v>Lift</v>
      </c>
      <c r="BM1508" s="48" t="str">
        <f aca="false">IF(A1508="","",IF(BV1508=1,"Neu; ","")&amp;IF(AND(BV1508=0,BQ1508&lt;0),"negativer Bestand (Export "&amp;BQ1508&amp;"); ","")&amp;IF(J1508&lt;=0,"Kein Verbrauch; ","")&amp;IF(CQ1508&gt;0,"Lift "&amp;W1508&amp;" lt. Liftbericht (Fach "&amp;X1508&amp;" Stk); ",IF(CA1508=1,"Gebinde geschätzt ("&amp;T1508&amp;"); ",IF(BZ1508=1,"Lose – Tablare geschätzt; ","")))&amp;IF(H1508&gt;AV1508,"Überbestand "&amp;ROUND(H1508-AV1508,0)&amp;" Stk / CHF "&amp;ROUND((H1508-AV1508)*G1508,0)&amp;"; ","")&amp;IF(AND(CH1508=1,CI1508&lt;CJ1508),"MAX &lt; MB+LG; ","")&amp;IF(AND(CP1508&gt;0,CO1508*10&gt;CP1508),"zu hoch für Tablar; ","")&amp;IF(AND(BV1508=0,OR(CH1508=1,AA1508&lt;&gt;"",U1508&lt;&gt;"",V1508&lt;&gt;"",AB1508&lt;&gt;"")),"manuell übersteuert; ","")&amp;IF(AND(BZ1508=0,R1508=0),"Gebinde unbekannt / Stellmass fehlt; ","")&amp;IF(AND(BZ1508=0,N(V1508)&lt;=0,N(Q1508)&lt;=0),"Menge pro Gebinde fehlt (Ist = 1 Gebinde); ","")&amp;BU1508)</f>
        <v>Kein Verbrauch; nur im Artikelstamm (Bestand 23.06.2026); Twin</v>
      </c>
      <c r="BN1508" s="48"/>
      <c r="BO1508" s="48"/>
      <c r="BP1508" s="55"/>
      <c r="BQ1508" s="50" t="n">
        <v>13</v>
      </c>
      <c r="BR1508" s="50" t="n">
        <v>0</v>
      </c>
      <c r="BS1508" s="49" t="n">
        <v>0</v>
      </c>
      <c r="BT1508" s="50" t="n">
        <v>0</v>
      </c>
      <c r="BU1508" s="48" t="s">
        <v>2647</v>
      </c>
      <c r="BV1508" s="53" t="n">
        <v>0</v>
      </c>
      <c r="BW1508" s="53" t="n">
        <v>1508</v>
      </c>
      <c r="BX1508" s="48" t="str">
        <f aca="false">IF(U1508&lt;&gt;"",UPPER(TRIM(U1508)),IF(CA1508=1,UPPER(VLOOKUP(T1508,Parameter!$I$27:$K$29,2,0)),IF(P1508="","LOSE",P1508)))</f>
        <v>S32</v>
      </c>
      <c r="BY1508" s="50" t="n">
        <f aca="false">IF(BX1508="LOSE",1,IF(N(V1508)&gt;0,V1508,IF(CA1508=1,MAX(1,N(VLOOKUP(T1508,Parameter!$I$27:$K$29,3,0)),H1508,N(N1508)),IF(N(Q1508)&gt;0,Q1508,MAX(1,H1508)))))</f>
        <v>13</v>
      </c>
      <c r="BZ1508" s="53" t="n">
        <f aca="false">IF(BX1508="LOSE",1,0)</f>
        <v>0</v>
      </c>
      <c r="CA1508" s="53" t="n">
        <f aca="false">IF(AND(U1508="",OR(P1508="",P1508="LOSE"),T1508&lt;&gt;"",N(S1508)&lt;=0,ISNUMBER(MATCH(T1508,Parameter!$I$27:$I$29,0))),1,0)</f>
        <v>0</v>
      </c>
      <c r="CB1508" s="53" t="n">
        <f aca="false">IF(CQ1508&gt;0,INDEX(Parameter!$H$5:$H$7,W1508)/INDEX(Parameter!$E$5:$E$7,W1508),IF(AND(BZ1508=0,N(IFERROR(VLOOKUP(BX1508,'Gebinde-Kategorie'!$A$5:$N$45,14,0),0))&gt;0),VLOOKUP(BX1508,'Gebinde-Kategorie'!$A$5:$N$45,14,0)*10+Parameter!$M$23,Parameter!$M$24))</f>
        <v>155</v>
      </c>
      <c r="CC1508" s="48" t="str">
        <f aca="false">IF(AND(Parameter!$B$19="Ja",E1508&lt;&gt;"",ISNUMBER(MATCH(E1508,Parameter!$I$35:$I$52,0))),VLOOKUP(E1508,Parameter!$I$35:$J$52,2,0),IFERROR(VLOOKUP(D1508,Parameter!$A$35:$C$64,2,0),"Nein"))</f>
        <v>2+3</v>
      </c>
      <c r="CD1508" s="52" t="n">
        <f aca="false">IF(BZ1508=0,0,IF(N(S1508)&gt;0,S1508,IFERROR(VLOOKUP(D1508,Parameter!$A$35:$C$64,3,0)+0,0)))</f>
        <v>0</v>
      </c>
      <c r="CE1508" s="48" t="n">
        <f aca="false">IF(AA1508&lt;&gt;"",AA1508,Z1508)</f>
        <v>3</v>
      </c>
      <c r="CF1508" s="48" t="str">
        <f aca="false">IF(OR(CE1508=1,CE1508=2,CE1508=3),IF(Parameter!$E$27="Ja","LIFT",IF(CE1508=1,"L1","L23")),IF(CE1508="Aussen","Aussen","-"))</f>
        <v>LIFT</v>
      </c>
      <c r="CG1508" s="59" t="n">
        <f aca="false">IF(N(AB1508)&gt;0,AB1508,0)</f>
        <v>0</v>
      </c>
      <c r="CH1508" s="53" t="n">
        <f aca="false">IF(ISNUMBER(AE1508),1,0)</f>
        <v>0</v>
      </c>
      <c r="CI1508" s="50" t="n">
        <f aca="false">N(AE1508)</f>
        <v>0</v>
      </c>
      <c r="CJ1508" s="50" t="n">
        <f aca="false">N(M1508)+N(N1508)</f>
        <v>20</v>
      </c>
      <c r="CK1508" s="50" t="n">
        <f aca="false">N(M1508)</f>
        <v>0</v>
      </c>
      <c r="CL1508" s="50" t="n">
        <f aca="false">N(N1508)</f>
        <v>20</v>
      </c>
      <c r="CM1508" s="50" t="n">
        <f aca="false">ROUNDUP(H1508/BY1508,0)</f>
        <v>1</v>
      </c>
      <c r="CN1508" s="50" t="n">
        <f aca="false">ROUNDUP(CI1508/BY1508,0)</f>
        <v>0</v>
      </c>
      <c r="CO1508" s="53" t="n">
        <f aca="false">IF(BZ1508=1,0,IFERROR(VLOOKUP(BX1508,'Gebinde-Kategorie'!$A$5:$N$45,5,0)+0,0))</f>
        <v>8</v>
      </c>
      <c r="CP1508" s="53" t="n">
        <f aca="false">IFERROR(IF(OR(CE1508=1,CE1508=2,CE1508=3),N(INDEX(Parameter!$I$5:$I$7,CE1508)),0),0)</f>
        <v>0</v>
      </c>
      <c r="CQ1508" s="52" t="n">
        <f aca="false">IF(AND(Parameter!$B$21="Ja",ISNUMBER(W1508),N(X1508)&gt;0),IFERROR(N(INDEX(Parameter!$L$5:$L$7,W1508))*INDEX(Parameter!$E$5:$E$7,W1508)*X1508/SUMIFS($X$7:$X$1843,$W$7:$W$1843,W1508),0),0)</f>
        <v>0</v>
      </c>
    </row>
    <row r="1509" customFormat="false" ht="15" hidden="false" customHeight="false" outlineLevel="0" collapsed="false">
      <c r="A1509" s="48" t="s">
        <v>2648</v>
      </c>
      <c r="B1509" s="48" t="s">
        <v>2649</v>
      </c>
      <c r="C1509" s="48" t="s">
        <v>173</v>
      </c>
      <c r="D1509" s="48" t="s">
        <v>193</v>
      </c>
      <c r="E1509" s="48" t="s">
        <v>194</v>
      </c>
      <c r="F1509" s="48"/>
      <c r="G1509" s="49" t="n">
        <v>91</v>
      </c>
      <c r="H1509" s="50" t="n">
        <f aca="false">MAX(0,IF(AND(Parameter!$B$21="Ja",ISNUMBER(Y1509)),Y1509,IF(Parameter!$B$20="Jahresanfang 2025 + Export",BR1509+BQ1509,BQ1509)))</f>
        <v>15</v>
      </c>
      <c r="I1509" s="50" t="n">
        <f aca="false">H1509*G1509</f>
        <v>1365</v>
      </c>
      <c r="J1509" s="50" t="n">
        <f aca="false">BT1509*Parameter!$B$18</f>
        <v>0</v>
      </c>
      <c r="K1509" s="51"/>
      <c r="L1509" s="52"/>
      <c r="M1509" s="50" t="n">
        <v>0</v>
      </c>
      <c r="N1509" s="50" t="n">
        <v>10</v>
      </c>
      <c r="O1509" s="53" t="n">
        <v>28</v>
      </c>
      <c r="P1509" s="48" t="s">
        <v>311</v>
      </c>
      <c r="Q1509" s="50" t="n">
        <v>15</v>
      </c>
      <c r="R1509" s="53" t="n">
        <f aca="false">IF(BZ1509=1,0,IFERROR(VLOOKUP(BX1509,'Gebinde-Kategorie'!$A$5:$N$45,13,0)+0,0))</f>
        <v>26</v>
      </c>
      <c r="S1509" s="54"/>
      <c r="T1509" s="55"/>
      <c r="U1509" s="55"/>
      <c r="V1509" s="55"/>
      <c r="W1509" s="48"/>
      <c r="X1509" s="50"/>
      <c r="Y1509" s="50"/>
      <c r="Z1509" s="48" t="n">
        <f aca="false">IF(A1509="","",IF(AND(Parameter!$B$21="Ja",ISNUMBER(W1509)),W1509,IF(CC1509="2+3",IF(ISNUMBER(SEARCH("grosser Artikel",BU1509)),2,IFERROR(VLOOKUP(BX1509,Parameter!$F$35:$G$64,2,0),2)),IF(OR(CC1509="Nein",CC1509=""),"-",CC1509))))</f>
        <v>3</v>
      </c>
      <c r="AA1509" s="55"/>
      <c r="AB1509" s="56"/>
      <c r="AC1509" s="50" t="n">
        <f aca="false">AV1509</f>
        <v>10</v>
      </c>
      <c r="AD1509" s="50" t="n">
        <f aca="false">MAX(AV1509,H1509)</f>
        <v>15</v>
      </c>
      <c r="AE1509" s="57"/>
      <c r="AF1509" s="50" t="n">
        <f aca="false">IF(LEFT(Cockpit!$C$5,1)="A",H1509,IF(Parameter!$E$30="MAX-Bestand",IF(CH1509=1,CI1509,IF(LEFT(Cockpit!$C$5,1)="B",AL1509,MAX(AL1509,H1509))),ROUNDUP(AJ1509,0)))</f>
        <v>15</v>
      </c>
      <c r="AG1509" s="50" t="n">
        <f aca="false">IF(BZ1509=1,0,ROUNDUP(AF1509/BY1509,0))</f>
        <v>1</v>
      </c>
      <c r="AH1509" s="52" t="n">
        <f aca="false">IF(CQ1509&gt;0,CQ1509*MAX(1,AF1509/X1509),IF(BZ1509=1,IF(AF1509&lt;=0,0,CD1509*MAX(1,IF(H1509&gt;0,AF1509/H1509,1))),IF(R1509&gt;0,AG1509/R1509,0))/MAX(0.1,N(Parameter!$M$21)))</f>
        <v>0.0384615384615385</v>
      </c>
      <c r="AI1509" s="50" t="n">
        <f aca="false">AH1509*CB1509</f>
        <v>5.96153846153846</v>
      </c>
      <c r="AJ1509" s="51" t="n">
        <f aca="false">IF(LEFT(Cockpit!$C$5,1)="A",H1509,IF(CH1509=1,(CK1509+CI1509)/2,IF(LEFT(Cockpit!$C$5,1)="B",(CK1509+AL1509)/2,MAX((CK1509+AL1509)/2,H1509))))</f>
        <v>15</v>
      </c>
      <c r="AK1509" s="50" t="n">
        <f aca="false">AJ1509*G1509</f>
        <v>1365</v>
      </c>
      <c r="AL1509" s="50" t="n">
        <f aca="false">ROUNDUP(CK1509+MAX(CL1509,2*(J1509/IF(CG1509&gt;0,CG1509,MAX(0.1,N(Cockpit!$C$6)))-CK1509)),0)</f>
        <v>10</v>
      </c>
      <c r="AM1509" s="51" t="n">
        <f aca="false">IF(AI1509&gt;0,J1509/AI1509,-1)</f>
        <v>0</v>
      </c>
      <c r="AN1509" s="51" t="n">
        <f aca="false">IF(AND(OR(CF1509="L1",CF1509="L23",CF1509="LIFT"),AI1509&gt;0),SUMIFS($AI$7:$AI$1843,$CF$7:$CF$1843,CF1509,$AM$7:$AM$1843,"&gt;"&amp;AM1509)+SUMIFS($AI$7:$AI$1843,$CF$7:$CF$1843,CF1509,$AM$7:$AM$1843,AM1509,$BW$7:$BW$1843,"&lt;="&amp;BW1509),"")</f>
        <v>29918.9737562343</v>
      </c>
      <c r="AO1509" s="58" t="n">
        <f aca="false">IF(AN1509="",0,MAX(0,MIN(1,(IF(CF1509="L1",Parameter!$H$5,IF(CF1509="L23",Parameter!$H$6+Parameter!$H$7,Parameter!$H$5+Parameter!$H$6+Parameter!$H$7))-(AN1509-AI1509))/AI1509)))</f>
        <v>1</v>
      </c>
      <c r="AP1509" s="50" t="n">
        <f aca="false">IF(LEFT(Cockpit!$I$5,1)="A",H1509,IF(Parameter!$E$30="MAX-Bestand",IF(CH1509=1,CI1509,IF(LEFT(Cockpit!$I$5,1)="B",AV1509,MAX(AV1509,H1509))),ROUNDUP(AT1509,0)))</f>
        <v>15</v>
      </c>
      <c r="AQ1509" s="50" t="n">
        <f aca="false">IF(BZ1509=1,0,ROUNDUP(AP1509/BY1509,0))</f>
        <v>1</v>
      </c>
      <c r="AR1509" s="52" t="n">
        <f aca="false">IF(CQ1509&gt;0,CQ1509*MAX(1,AP1509/X1509),IF(BZ1509=1,IF(AP1509&lt;=0,0,CD1509*MAX(1,IF(H1509&gt;0,AP1509/H1509,1))),IF(R1509&gt;0,AQ1509/R1509,0))/MAX(0.1,N(Parameter!$M$21)))</f>
        <v>0.0384615384615385</v>
      </c>
      <c r="AS1509" s="50" t="n">
        <f aca="false">AR1509*CB1509</f>
        <v>5.96153846153846</v>
      </c>
      <c r="AT1509" s="51" t="n">
        <f aca="false">IF(LEFT(Cockpit!$I$5,1)="A",H1509,IF(CH1509=1,(CK1509+CI1509)/2,IF(LEFT(Cockpit!$I$5,1)="B",(CK1509+AV1509)/2,MAX((CK1509+AV1509)/2,H1509))))</f>
        <v>15</v>
      </c>
      <c r="AU1509" s="50" t="n">
        <f aca="false">AT1509*G1509</f>
        <v>1365</v>
      </c>
      <c r="AV1509" s="50" t="n">
        <f aca="false">ROUNDUP(CK1509+MAX(CL1509,2*(J1509/IF(CG1509&gt;0,CG1509,MAX(0.1,N(Cockpit!$I$6)))-CK1509)),0)</f>
        <v>10</v>
      </c>
      <c r="AW1509" s="51" t="n">
        <f aca="false">IF(AS1509&gt;0,J1509/AS1509,-1)</f>
        <v>0</v>
      </c>
      <c r="AX1509" s="51" t="n">
        <f aca="false">IF(AND(OR(CF1509="L1",CF1509="L23",CF1509="LIFT"),AS1509&gt;0),SUMIFS($AS$7:$AS$1843,$CF$7:$CF$1843,CF1509,$AW$7:$AW$1843,"&gt;"&amp;AW1509)+SUMIFS($AS$7:$AS$1843,$CF$7:$CF$1843,CF1509,$AW$7:$AW$1843,AW1509,$BW$7:$BW$1843,"&lt;="&amp;BW1509),"")</f>
        <v>36225.544558784</v>
      </c>
      <c r="AY1509" s="58" t="n">
        <f aca="false">IF(AX1509="",0,MAX(0,MIN(1,(IF(CF1509="L1",Parameter!$H$5,IF(CF1509="L23",Parameter!$H$6+Parameter!$H$7,Parameter!$H$5+Parameter!$H$6+Parameter!$H$7))-(AX1509-AS1509))/AS1509)))</f>
        <v>0</v>
      </c>
      <c r="AZ1509" s="50" t="n">
        <f aca="false">IF(LEFT(Cockpit!$O$5,1)="A",H1509,IF(Parameter!$E$30="MAX-Bestand",IF(CH1509=1,CI1509,IF(LEFT(Cockpit!$O$5,1)="B",BF1509,MAX(BF1509,H1509))),ROUNDUP(BD1509,0)))</f>
        <v>5</v>
      </c>
      <c r="BA1509" s="50" t="n">
        <f aca="false">IF(BZ1509=1,0,ROUNDUP(AZ1509/BY1509,0))</f>
        <v>1</v>
      </c>
      <c r="BB1509" s="52" t="n">
        <f aca="false">IF(CQ1509&gt;0,CQ1509*MAX(1,AZ1509/X1509),IF(BZ1509=1,IF(AZ1509&lt;=0,0,CD1509*MAX(1,IF(H1509&gt;0,AZ1509/H1509,1))),IF(R1509&gt;0,BA1509/R1509,0))/MAX(0.1,N(Parameter!$M$21)))</f>
        <v>0.0384615384615385</v>
      </c>
      <c r="BC1509" s="50" t="n">
        <f aca="false">BB1509*CB1509</f>
        <v>5.96153846153846</v>
      </c>
      <c r="BD1509" s="51" t="n">
        <f aca="false">IF(LEFT(Cockpit!$O$5,1)="A",H1509,IF(CH1509=1,(CK1509+CI1509)/2,IF(LEFT(Cockpit!$O$5,1)="B",(CK1509+BF1509)/2,MAX((CK1509+BF1509)/2,H1509))))</f>
        <v>5</v>
      </c>
      <c r="BE1509" s="50" t="n">
        <f aca="false">BD1509*G1509</f>
        <v>455</v>
      </c>
      <c r="BF1509" s="50" t="n">
        <f aca="false">ROUNDUP(CK1509+MAX(CL1509,2*(J1509/IF(CG1509&gt;0,CG1509,MAX(0.1,N(Cockpit!$O$6)))-CK1509)),0)</f>
        <v>10</v>
      </c>
      <c r="BG1509" s="51" t="n">
        <f aca="false">IF(BC1509&gt;0,J1509/BC1509,-1)</f>
        <v>0</v>
      </c>
      <c r="BH1509" s="51" t="n">
        <f aca="false">IF(AND(OR(CF1509="L1",CF1509="L23",CF1509="LIFT"),BC1509&gt;0),SUMIFS($BC$7:$BC$1843,$CF$7:$CF$1843,CF1509,$BG$7:$BG$1843,"&gt;"&amp;BG1509)+SUMIFS($BC$7:$BC$1843,$CF$7:$CF$1843,CF1509,$BG$7:$BG$1843,BG1509,$BW$7:$BW$1843,"&lt;="&amp;BW1509),"")</f>
        <v>30163.7358343163</v>
      </c>
      <c r="BI1509" s="58" t="n">
        <f aca="false">IF(BH1509="",0,MAX(0,MIN(1,(IF(CF1509="L1",Parameter!$H$5,IF(CF1509="L23",Parameter!$H$6+Parameter!$H$7,Parameter!$H$5+Parameter!$H$6+Parameter!$H$7))-(BH1509-BC1509))/BC1509)))</f>
        <v>1</v>
      </c>
      <c r="BJ1509" s="48" t="str">
        <f aca="false">IF(AI1509&lt;=0,"",IF(CF1509="Aussen","Aussenlager",IF(CF1509="-","Nicht im Lift",IF(AO1509&gt;=1,"Lift",IF(AO1509&lt;=0,"Aussenlager","teilweise")))))</f>
        <v>Lift</v>
      </c>
      <c r="BK1509" s="48" t="str">
        <f aca="false">IF(AS1509&lt;=0,"",IF(CF1509="Aussen","Aussenlager",IF(CF1509="-","Nicht im Lift",IF(AY1509&gt;=1,"Lift",IF(AY1509&lt;=0,"Aussenlager","teilweise")))))</f>
        <v>Aussenlager</v>
      </c>
      <c r="BL1509" s="48" t="str">
        <f aca="false">IF(BC1509&lt;=0,"",IF(CF1509="Aussen","Aussenlager",IF(CF1509="-","Nicht im Lift",IF(BI1509&gt;=1,"Lift",IF(BI1509&lt;=0,"Aussenlager","teilweise")))))</f>
        <v>Lift</v>
      </c>
      <c r="BM1509" s="48" t="str">
        <f aca="false">IF(A1509="","",IF(BV1509=1,"Neu; ","")&amp;IF(AND(BV1509=0,BQ1509&lt;0),"negativer Bestand (Export "&amp;BQ1509&amp;"); ","")&amp;IF(J1509&lt;=0,"Kein Verbrauch; ","")&amp;IF(CQ1509&gt;0,"Lift "&amp;W1509&amp;" lt. Liftbericht (Fach "&amp;X1509&amp;" Stk); ",IF(CA1509=1,"Gebinde geschätzt ("&amp;T1509&amp;"); ",IF(BZ1509=1,"Lose – Tablare geschätzt; ","")))&amp;IF(H1509&gt;AV1509,"Überbestand "&amp;ROUND(H1509-AV1509,0)&amp;" Stk / CHF "&amp;ROUND((H1509-AV1509)*G1509,0)&amp;"; ","")&amp;IF(AND(CH1509=1,CI1509&lt;CJ1509),"MAX &lt; MB+LG; ","")&amp;IF(AND(CP1509&gt;0,CO1509*10&gt;CP1509),"zu hoch für Tablar; ","")&amp;IF(AND(BV1509=0,OR(CH1509=1,AA1509&lt;&gt;"",U1509&lt;&gt;"",V1509&lt;&gt;"",AB1509&lt;&gt;"")),"manuell übersteuert; ","")&amp;IF(AND(BZ1509=0,R1509=0),"Gebinde unbekannt / Stellmass fehlt; ","")&amp;IF(AND(BZ1509=0,N(V1509)&lt;=0,N(Q1509)&lt;=0),"Menge pro Gebinde fehlt (Ist = 1 Gebinde); ","")&amp;BU1509)</f>
        <v>Kein Verbrauch; Überbestand 5 Stk / CHF 455; nur im Artikelstamm (Bestand 23.06.2026); Überbestand</v>
      </c>
      <c r="BN1509" s="48"/>
      <c r="BO1509" s="48"/>
      <c r="BP1509" s="55"/>
      <c r="BQ1509" s="50" t="n">
        <v>15</v>
      </c>
      <c r="BR1509" s="50" t="n">
        <v>0</v>
      </c>
      <c r="BS1509" s="49" t="n">
        <v>0</v>
      </c>
      <c r="BT1509" s="50" t="n">
        <v>0</v>
      </c>
      <c r="BU1509" s="48" t="s">
        <v>2581</v>
      </c>
      <c r="BV1509" s="53" t="n">
        <v>0</v>
      </c>
      <c r="BW1509" s="53" t="n">
        <v>1509</v>
      </c>
      <c r="BX1509" s="48" t="str">
        <f aca="false">IF(U1509&lt;&gt;"",UPPER(TRIM(U1509)),IF(CA1509=1,UPPER(VLOOKUP(T1509,Parameter!$I$27:$K$29,2,0)),IF(P1509="","LOSE",P1509)))</f>
        <v>S51</v>
      </c>
      <c r="BY1509" s="50" t="n">
        <f aca="false">IF(BX1509="LOSE",1,IF(N(V1509)&gt;0,V1509,IF(CA1509=1,MAX(1,N(VLOOKUP(T1509,Parameter!$I$27:$K$29,3,0)),H1509,N(N1509)),IF(N(Q1509)&gt;0,Q1509,MAX(1,H1509)))))</f>
        <v>15</v>
      </c>
      <c r="BZ1509" s="53" t="n">
        <f aca="false">IF(BX1509="LOSE",1,0)</f>
        <v>0</v>
      </c>
      <c r="CA1509" s="53" t="n">
        <f aca="false">IF(AND(U1509="",OR(P1509="",P1509="LOSE"),T1509&lt;&gt;"",N(S1509)&lt;=0,ISNUMBER(MATCH(T1509,Parameter!$I$27:$I$29,0))),1,0)</f>
        <v>0</v>
      </c>
      <c r="CB1509" s="53" t="n">
        <f aca="false">IF(CQ1509&gt;0,INDEX(Parameter!$H$5:$H$7,W1509)/INDEX(Parameter!$E$5:$E$7,W1509),IF(AND(BZ1509=0,N(IFERROR(VLOOKUP(BX1509,'Gebinde-Kategorie'!$A$5:$N$45,14,0),0))&gt;0),VLOOKUP(BX1509,'Gebinde-Kategorie'!$A$5:$N$45,14,0)*10+Parameter!$M$23,Parameter!$M$24))</f>
        <v>155</v>
      </c>
      <c r="CC1509" s="48" t="str">
        <f aca="false">IF(AND(Parameter!$B$19="Ja",E1509&lt;&gt;"",ISNUMBER(MATCH(E1509,Parameter!$I$35:$I$52,0))),VLOOKUP(E1509,Parameter!$I$35:$J$52,2,0),IFERROR(VLOOKUP(D1509,Parameter!$A$35:$C$64,2,0),"Nein"))</f>
        <v>2+3</v>
      </c>
      <c r="CD1509" s="52" t="n">
        <f aca="false">IF(BZ1509=0,0,IF(N(S1509)&gt;0,S1509,IFERROR(VLOOKUP(D1509,Parameter!$A$35:$C$64,3,0)+0,0)))</f>
        <v>0</v>
      </c>
      <c r="CE1509" s="48" t="n">
        <f aca="false">IF(AA1509&lt;&gt;"",AA1509,Z1509)</f>
        <v>3</v>
      </c>
      <c r="CF1509" s="48" t="str">
        <f aca="false">IF(OR(CE1509=1,CE1509=2,CE1509=3),IF(Parameter!$E$27="Ja","LIFT",IF(CE1509=1,"L1","L23")),IF(CE1509="Aussen","Aussen","-"))</f>
        <v>LIFT</v>
      </c>
      <c r="CG1509" s="59" t="n">
        <f aca="false">IF(N(AB1509)&gt;0,AB1509,0)</f>
        <v>0</v>
      </c>
      <c r="CH1509" s="53" t="n">
        <f aca="false">IF(ISNUMBER(AE1509),1,0)</f>
        <v>0</v>
      </c>
      <c r="CI1509" s="50" t="n">
        <f aca="false">N(AE1509)</f>
        <v>0</v>
      </c>
      <c r="CJ1509" s="50" t="n">
        <f aca="false">N(M1509)+N(N1509)</f>
        <v>10</v>
      </c>
      <c r="CK1509" s="50" t="n">
        <f aca="false">N(M1509)</f>
        <v>0</v>
      </c>
      <c r="CL1509" s="50" t="n">
        <f aca="false">N(N1509)</f>
        <v>10</v>
      </c>
      <c r="CM1509" s="50" t="n">
        <f aca="false">ROUNDUP(H1509/BY1509,0)</f>
        <v>1</v>
      </c>
      <c r="CN1509" s="50" t="n">
        <f aca="false">ROUNDUP(CI1509/BY1509,0)</f>
        <v>0</v>
      </c>
      <c r="CO1509" s="53" t="n">
        <f aca="false">IF(BZ1509=1,0,IFERROR(VLOOKUP(BX1509,'Gebinde-Kategorie'!$A$5:$N$45,5,0)+0,0))</f>
        <v>11</v>
      </c>
      <c r="CP1509" s="53" t="n">
        <f aca="false">IFERROR(IF(OR(CE1509=1,CE1509=2,CE1509=3),N(INDEX(Parameter!$I$5:$I$7,CE1509)),0),0)</f>
        <v>0</v>
      </c>
      <c r="CQ1509" s="52" t="n">
        <f aca="false">IF(AND(Parameter!$B$21="Ja",ISNUMBER(W1509),N(X1509)&gt;0),IFERROR(N(INDEX(Parameter!$L$5:$L$7,W1509))*INDEX(Parameter!$E$5:$E$7,W1509)*X1509/SUMIFS($X$7:$X$1843,$W$7:$W$1843,W1509),0),0)</f>
        <v>0</v>
      </c>
    </row>
    <row r="1510" customFormat="false" ht="15" hidden="false" customHeight="false" outlineLevel="0" collapsed="false">
      <c r="A1510" s="48" t="s">
        <v>2650</v>
      </c>
      <c r="B1510" s="48" t="s">
        <v>956</v>
      </c>
      <c r="C1510" s="48" t="s">
        <v>173</v>
      </c>
      <c r="D1510" s="48" t="s">
        <v>193</v>
      </c>
      <c r="E1510" s="48" t="s">
        <v>194</v>
      </c>
      <c r="F1510" s="48"/>
      <c r="G1510" s="49" t="n">
        <v>21.15</v>
      </c>
      <c r="H1510" s="50" t="n">
        <f aca="false">MAX(0,IF(AND(Parameter!$B$21="Ja",ISNUMBER(Y1510)),Y1510,IF(Parameter!$B$20="Jahresanfang 2025 + Export",BR1510+BQ1510,BQ1510)))</f>
        <v>99</v>
      </c>
      <c r="I1510" s="50" t="n">
        <f aca="false">H1510*G1510</f>
        <v>2093.85</v>
      </c>
      <c r="J1510" s="50" t="n">
        <f aca="false">BT1510*Parameter!$B$18</f>
        <v>0</v>
      </c>
      <c r="K1510" s="51"/>
      <c r="L1510" s="52"/>
      <c r="M1510" s="50" t="n">
        <v>0</v>
      </c>
      <c r="N1510" s="50" t="n">
        <v>40</v>
      </c>
      <c r="O1510" s="53" t="n">
        <v>28</v>
      </c>
      <c r="P1510" s="48" t="s">
        <v>430</v>
      </c>
      <c r="Q1510" s="50" t="n">
        <v>99</v>
      </c>
      <c r="R1510" s="53" t="n">
        <f aca="false">IF(BZ1510=1,0,IFERROR(VLOOKUP(BX1510,'Gebinde-Kategorie'!$A$5:$N$45,13,0)+0,0))</f>
        <v>104</v>
      </c>
      <c r="S1510" s="54"/>
      <c r="T1510" s="55"/>
      <c r="U1510" s="55"/>
      <c r="V1510" s="55"/>
      <c r="W1510" s="48"/>
      <c r="X1510" s="50"/>
      <c r="Y1510" s="50"/>
      <c r="Z1510" s="48" t="n">
        <f aca="false">IF(A1510="","",IF(AND(Parameter!$B$21="Ja",ISNUMBER(W1510)),W1510,IF(CC1510="2+3",IF(ISNUMBER(SEARCH("grosser Artikel",BU1510)),2,IFERROR(VLOOKUP(BX1510,Parameter!$F$35:$G$64,2,0),2)),IF(OR(CC1510="Nein",CC1510=""),"-",CC1510))))</f>
        <v>3</v>
      </c>
      <c r="AA1510" s="55"/>
      <c r="AB1510" s="56"/>
      <c r="AC1510" s="50" t="n">
        <f aca="false">AV1510</f>
        <v>40</v>
      </c>
      <c r="AD1510" s="50" t="n">
        <f aca="false">MAX(AV1510,H1510)</f>
        <v>99</v>
      </c>
      <c r="AE1510" s="57"/>
      <c r="AF1510" s="50" t="n">
        <f aca="false">IF(LEFT(Cockpit!$C$5,1)="A",H1510,IF(Parameter!$E$30="MAX-Bestand",IF(CH1510=1,CI1510,IF(LEFT(Cockpit!$C$5,1)="B",AL1510,MAX(AL1510,H1510))),ROUNDUP(AJ1510,0)))</f>
        <v>99</v>
      </c>
      <c r="AG1510" s="50" t="n">
        <f aca="false">IF(BZ1510=1,0,ROUNDUP(AF1510/BY1510,0))</f>
        <v>1</v>
      </c>
      <c r="AH1510" s="52" t="n">
        <f aca="false">IF(CQ1510&gt;0,CQ1510*MAX(1,AF1510/X1510),IF(BZ1510=1,IF(AF1510&lt;=0,0,CD1510*MAX(1,IF(H1510&gt;0,AF1510/H1510,1))),IF(R1510&gt;0,AG1510/R1510,0))/MAX(0.1,N(Parameter!$M$21)))</f>
        <v>0.00961538461538462</v>
      </c>
      <c r="AI1510" s="50" t="n">
        <f aca="false">AH1510*CB1510</f>
        <v>1.49038461538462</v>
      </c>
      <c r="AJ1510" s="51" t="n">
        <f aca="false">IF(LEFT(Cockpit!$C$5,1)="A",H1510,IF(CH1510=1,(CK1510+CI1510)/2,IF(LEFT(Cockpit!$C$5,1)="B",(CK1510+AL1510)/2,MAX((CK1510+AL1510)/2,H1510))))</f>
        <v>99</v>
      </c>
      <c r="AK1510" s="50" t="n">
        <f aca="false">AJ1510*G1510</f>
        <v>2093.85</v>
      </c>
      <c r="AL1510" s="50" t="n">
        <f aca="false">ROUNDUP(CK1510+MAX(CL1510,2*(J1510/IF(CG1510&gt;0,CG1510,MAX(0.1,N(Cockpit!$C$6)))-CK1510)),0)</f>
        <v>40</v>
      </c>
      <c r="AM1510" s="51" t="n">
        <f aca="false">IF(AI1510&gt;0,J1510/AI1510,-1)</f>
        <v>0</v>
      </c>
      <c r="AN1510" s="51" t="n">
        <f aca="false">IF(AND(OR(CF1510="L1",CF1510="L23",CF1510="LIFT"),AI1510&gt;0),SUMIFS($AI$7:$AI$1843,$CF$7:$CF$1843,CF1510,$AM$7:$AM$1843,"&gt;"&amp;AM1510)+SUMIFS($AI$7:$AI$1843,$CF$7:$CF$1843,CF1510,$AM$7:$AM$1843,AM1510,$BW$7:$BW$1843,"&lt;="&amp;BW1510),"")</f>
        <v>29920.4641408497</v>
      </c>
      <c r="AO1510" s="58" t="n">
        <f aca="false">IF(AN1510="",0,MAX(0,MIN(1,(IF(CF1510="L1",Parameter!$H$5,IF(CF1510="L23",Parameter!$H$6+Parameter!$H$7,Parameter!$H$5+Parameter!$H$6+Parameter!$H$7))-(AN1510-AI1510))/AI1510)))</f>
        <v>1</v>
      </c>
      <c r="AP1510" s="50" t="n">
        <f aca="false">IF(LEFT(Cockpit!$I$5,1)="A",H1510,IF(Parameter!$E$30="MAX-Bestand",IF(CH1510=1,CI1510,IF(LEFT(Cockpit!$I$5,1)="B",AV1510,MAX(AV1510,H1510))),ROUNDUP(AT1510,0)))</f>
        <v>99</v>
      </c>
      <c r="AQ1510" s="50" t="n">
        <f aca="false">IF(BZ1510=1,0,ROUNDUP(AP1510/BY1510,0))</f>
        <v>1</v>
      </c>
      <c r="AR1510" s="52" t="n">
        <f aca="false">IF(CQ1510&gt;0,CQ1510*MAX(1,AP1510/X1510),IF(BZ1510=1,IF(AP1510&lt;=0,0,CD1510*MAX(1,IF(H1510&gt;0,AP1510/H1510,1))),IF(R1510&gt;0,AQ1510/R1510,0))/MAX(0.1,N(Parameter!$M$21)))</f>
        <v>0.00961538461538462</v>
      </c>
      <c r="AS1510" s="50" t="n">
        <f aca="false">AR1510*CB1510</f>
        <v>1.49038461538462</v>
      </c>
      <c r="AT1510" s="51" t="n">
        <f aca="false">IF(LEFT(Cockpit!$I$5,1)="A",H1510,IF(CH1510=1,(CK1510+CI1510)/2,IF(LEFT(Cockpit!$I$5,1)="B",(CK1510+AV1510)/2,MAX((CK1510+AV1510)/2,H1510))))</f>
        <v>99</v>
      </c>
      <c r="AU1510" s="50" t="n">
        <f aca="false">AT1510*G1510</f>
        <v>2093.85</v>
      </c>
      <c r="AV1510" s="50" t="n">
        <f aca="false">ROUNDUP(CK1510+MAX(CL1510,2*(J1510/IF(CG1510&gt;0,CG1510,MAX(0.1,N(Cockpit!$I$6)))-CK1510)),0)</f>
        <v>40</v>
      </c>
      <c r="AW1510" s="51" t="n">
        <f aca="false">IF(AS1510&gt;0,J1510/AS1510,-1)</f>
        <v>0</v>
      </c>
      <c r="AX1510" s="51" t="n">
        <f aca="false">IF(AND(OR(CF1510="L1",CF1510="L23",CF1510="LIFT"),AS1510&gt;0),SUMIFS($AS$7:$AS$1843,$CF$7:$CF$1843,CF1510,$AW$7:$AW$1843,"&gt;"&amp;AW1510)+SUMIFS($AS$7:$AS$1843,$CF$7:$CF$1843,CF1510,$AW$7:$AW$1843,AW1510,$BW$7:$BW$1843,"&lt;="&amp;BW1510),"")</f>
        <v>36227.0349433994</v>
      </c>
      <c r="AY1510" s="58" t="n">
        <f aca="false">IF(AX1510="",0,MAX(0,MIN(1,(IF(CF1510="L1",Parameter!$H$5,IF(CF1510="L23",Parameter!$H$6+Parameter!$H$7,Parameter!$H$5+Parameter!$H$6+Parameter!$H$7))-(AX1510-AS1510))/AS1510)))</f>
        <v>0</v>
      </c>
      <c r="AZ1510" s="50" t="n">
        <f aca="false">IF(LEFT(Cockpit!$O$5,1)="A",H1510,IF(Parameter!$E$30="MAX-Bestand",IF(CH1510=1,CI1510,IF(LEFT(Cockpit!$O$5,1)="B",BF1510,MAX(BF1510,H1510))),ROUNDUP(BD1510,0)))</f>
        <v>20</v>
      </c>
      <c r="BA1510" s="50" t="n">
        <f aca="false">IF(BZ1510=1,0,ROUNDUP(AZ1510/BY1510,0))</f>
        <v>1</v>
      </c>
      <c r="BB1510" s="52" t="n">
        <f aca="false">IF(CQ1510&gt;0,CQ1510*MAX(1,AZ1510/X1510),IF(BZ1510=1,IF(AZ1510&lt;=0,0,CD1510*MAX(1,IF(H1510&gt;0,AZ1510/H1510,1))),IF(R1510&gt;0,BA1510/R1510,0))/MAX(0.1,N(Parameter!$M$21)))</f>
        <v>0.00961538461538462</v>
      </c>
      <c r="BC1510" s="50" t="n">
        <f aca="false">BB1510*CB1510</f>
        <v>1.49038461538462</v>
      </c>
      <c r="BD1510" s="51" t="n">
        <f aca="false">IF(LEFT(Cockpit!$O$5,1)="A",H1510,IF(CH1510=1,(CK1510+CI1510)/2,IF(LEFT(Cockpit!$O$5,1)="B",(CK1510+BF1510)/2,MAX((CK1510+BF1510)/2,H1510))))</f>
        <v>20</v>
      </c>
      <c r="BE1510" s="50" t="n">
        <f aca="false">BD1510*G1510</f>
        <v>423</v>
      </c>
      <c r="BF1510" s="50" t="n">
        <f aca="false">ROUNDUP(CK1510+MAX(CL1510,2*(J1510/IF(CG1510&gt;0,CG1510,MAX(0.1,N(Cockpit!$O$6)))-CK1510)),0)</f>
        <v>40</v>
      </c>
      <c r="BG1510" s="51" t="n">
        <f aca="false">IF(BC1510&gt;0,J1510/BC1510,-1)</f>
        <v>0</v>
      </c>
      <c r="BH1510" s="51" t="n">
        <f aca="false">IF(AND(OR(CF1510="L1",CF1510="L23",CF1510="LIFT"),BC1510&gt;0),SUMIFS($BC$7:$BC$1843,$CF$7:$CF$1843,CF1510,$BG$7:$BG$1843,"&gt;"&amp;BG1510)+SUMIFS($BC$7:$BC$1843,$CF$7:$CF$1843,CF1510,$BG$7:$BG$1843,BG1510,$BW$7:$BW$1843,"&lt;="&amp;BW1510),"")</f>
        <v>30165.2262189317</v>
      </c>
      <c r="BI1510" s="58" t="n">
        <f aca="false">IF(BH1510="",0,MAX(0,MIN(1,(IF(CF1510="L1",Parameter!$H$5,IF(CF1510="L23",Parameter!$H$6+Parameter!$H$7,Parameter!$H$5+Parameter!$H$6+Parameter!$H$7))-(BH1510-BC1510))/BC1510)))</f>
        <v>1</v>
      </c>
      <c r="BJ1510" s="48" t="str">
        <f aca="false">IF(AI1510&lt;=0,"",IF(CF1510="Aussen","Aussenlager",IF(CF1510="-","Nicht im Lift",IF(AO1510&gt;=1,"Lift",IF(AO1510&lt;=0,"Aussenlager","teilweise")))))</f>
        <v>Lift</v>
      </c>
      <c r="BK1510" s="48" t="str">
        <f aca="false">IF(AS1510&lt;=0,"",IF(CF1510="Aussen","Aussenlager",IF(CF1510="-","Nicht im Lift",IF(AY1510&gt;=1,"Lift",IF(AY1510&lt;=0,"Aussenlager","teilweise")))))</f>
        <v>Aussenlager</v>
      </c>
      <c r="BL1510" s="48" t="str">
        <f aca="false">IF(BC1510&lt;=0,"",IF(CF1510="Aussen","Aussenlager",IF(CF1510="-","Nicht im Lift",IF(BI1510&gt;=1,"Lift",IF(BI1510&lt;=0,"Aussenlager","teilweise")))))</f>
        <v>Lift</v>
      </c>
      <c r="BM1510" s="48" t="str">
        <f aca="false">IF(A1510="","",IF(BV1510=1,"Neu; ","")&amp;IF(AND(BV1510=0,BQ1510&lt;0),"negativer Bestand (Export "&amp;BQ1510&amp;"); ","")&amp;IF(J1510&lt;=0,"Kein Verbrauch; ","")&amp;IF(CQ1510&gt;0,"Lift "&amp;W1510&amp;" lt. Liftbericht (Fach "&amp;X1510&amp;" Stk); ",IF(CA1510=1,"Gebinde geschätzt ("&amp;T1510&amp;"); ",IF(BZ1510=1,"Lose – Tablare geschätzt; ","")))&amp;IF(H1510&gt;AV1510,"Überbestand "&amp;ROUND(H1510-AV1510,0)&amp;" Stk / CHF "&amp;ROUND((H1510-AV1510)*G1510,0)&amp;"; ","")&amp;IF(AND(CH1510=1,CI1510&lt;CJ1510),"MAX &lt; MB+LG; ","")&amp;IF(AND(CP1510&gt;0,CO1510*10&gt;CP1510),"zu hoch für Tablar; ","")&amp;IF(AND(BV1510=0,OR(CH1510=1,AA1510&lt;&gt;"",U1510&lt;&gt;"",V1510&lt;&gt;"",AB1510&lt;&gt;"")),"manuell übersteuert; ","")&amp;IF(AND(BZ1510=0,R1510=0),"Gebinde unbekannt / Stellmass fehlt; ","")&amp;IF(AND(BZ1510=0,N(V1510)&lt;=0,N(Q1510)&lt;=0),"Menge pro Gebinde fehlt (Ist = 1 Gebinde); ","")&amp;BU1510)</f>
        <v>Kein Verbrauch; Überbestand 59 Stk / CHF 1248; nur im Artikelstamm (Bestand 23.06.2026); Überbestand</v>
      </c>
      <c r="BN1510" s="48"/>
      <c r="BO1510" s="48"/>
      <c r="BP1510" s="55"/>
      <c r="BQ1510" s="50" t="n">
        <v>99</v>
      </c>
      <c r="BR1510" s="50" t="n">
        <v>0</v>
      </c>
      <c r="BS1510" s="49" t="n">
        <v>0</v>
      </c>
      <c r="BT1510" s="50" t="n">
        <v>0</v>
      </c>
      <c r="BU1510" s="48" t="s">
        <v>2581</v>
      </c>
      <c r="BV1510" s="53" t="n">
        <v>0</v>
      </c>
      <c r="BW1510" s="53" t="n">
        <v>1510</v>
      </c>
      <c r="BX1510" s="48" t="str">
        <f aca="false">IF(U1510&lt;&gt;"",UPPER(TRIM(U1510)),IF(CA1510=1,UPPER(VLOOKUP(T1510,Parameter!$I$27:$K$29,2,0)),IF(P1510="","LOSE",P1510)))</f>
        <v>S32</v>
      </c>
      <c r="BY1510" s="50" t="n">
        <f aca="false">IF(BX1510="LOSE",1,IF(N(V1510)&gt;0,V1510,IF(CA1510=1,MAX(1,N(VLOOKUP(T1510,Parameter!$I$27:$K$29,3,0)),H1510,N(N1510)),IF(N(Q1510)&gt;0,Q1510,MAX(1,H1510)))))</f>
        <v>99</v>
      </c>
      <c r="BZ1510" s="53" t="n">
        <f aca="false">IF(BX1510="LOSE",1,0)</f>
        <v>0</v>
      </c>
      <c r="CA1510" s="53" t="n">
        <f aca="false">IF(AND(U1510="",OR(P1510="",P1510="LOSE"),T1510&lt;&gt;"",N(S1510)&lt;=0,ISNUMBER(MATCH(T1510,Parameter!$I$27:$I$29,0))),1,0)</f>
        <v>0</v>
      </c>
      <c r="CB1510" s="53" t="n">
        <f aca="false">IF(CQ1510&gt;0,INDEX(Parameter!$H$5:$H$7,W1510)/INDEX(Parameter!$E$5:$E$7,W1510),IF(AND(BZ1510=0,N(IFERROR(VLOOKUP(BX1510,'Gebinde-Kategorie'!$A$5:$N$45,14,0),0))&gt;0),VLOOKUP(BX1510,'Gebinde-Kategorie'!$A$5:$N$45,14,0)*10+Parameter!$M$23,Parameter!$M$24))</f>
        <v>155</v>
      </c>
      <c r="CC1510" s="48" t="str">
        <f aca="false">IF(AND(Parameter!$B$19="Ja",E1510&lt;&gt;"",ISNUMBER(MATCH(E1510,Parameter!$I$35:$I$52,0))),VLOOKUP(E1510,Parameter!$I$35:$J$52,2,0),IFERROR(VLOOKUP(D1510,Parameter!$A$35:$C$64,2,0),"Nein"))</f>
        <v>2+3</v>
      </c>
      <c r="CD1510" s="52" t="n">
        <f aca="false">IF(BZ1510=0,0,IF(N(S1510)&gt;0,S1510,IFERROR(VLOOKUP(D1510,Parameter!$A$35:$C$64,3,0)+0,0)))</f>
        <v>0</v>
      </c>
      <c r="CE1510" s="48" t="n">
        <f aca="false">IF(AA1510&lt;&gt;"",AA1510,Z1510)</f>
        <v>3</v>
      </c>
      <c r="CF1510" s="48" t="str">
        <f aca="false">IF(OR(CE1510=1,CE1510=2,CE1510=3),IF(Parameter!$E$27="Ja","LIFT",IF(CE1510=1,"L1","L23")),IF(CE1510="Aussen","Aussen","-"))</f>
        <v>LIFT</v>
      </c>
      <c r="CG1510" s="59" t="n">
        <f aca="false">IF(N(AB1510)&gt;0,AB1510,0)</f>
        <v>0</v>
      </c>
      <c r="CH1510" s="53" t="n">
        <f aca="false">IF(ISNUMBER(AE1510),1,0)</f>
        <v>0</v>
      </c>
      <c r="CI1510" s="50" t="n">
        <f aca="false">N(AE1510)</f>
        <v>0</v>
      </c>
      <c r="CJ1510" s="50" t="n">
        <f aca="false">N(M1510)+N(N1510)</f>
        <v>40</v>
      </c>
      <c r="CK1510" s="50" t="n">
        <f aca="false">N(M1510)</f>
        <v>0</v>
      </c>
      <c r="CL1510" s="50" t="n">
        <f aca="false">N(N1510)</f>
        <v>40</v>
      </c>
      <c r="CM1510" s="50" t="n">
        <f aca="false">ROUNDUP(H1510/BY1510,0)</f>
        <v>1</v>
      </c>
      <c r="CN1510" s="50" t="n">
        <f aca="false">ROUNDUP(CI1510/BY1510,0)</f>
        <v>0</v>
      </c>
      <c r="CO1510" s="53" t="n">
        <f aca="false">IF(BZ1510=1,0,IFERROR(VLOOKUP(BX1510,'Gebinde-Kategorie'!$A$5:$N$45,5,0)+0,0))</f>
        <v>8</v>
      </c>
      <c r="CP1510" s="53" t="n">
        <f aca="false">IFERROR(IF(OR(CE1510=1,CE1510=2,CE1510=3),N(INDEX(Parameter!$I$5:$I$7,CE1510)),0),0)</f>
        <v>0</v>
      </c>
      <c r="CQ1510" s="52" t="n">
        <f aca="false">IF(AND(Parameter!$B$21="Ja",ISNUMBER(W1510),N(X1510)&gt;0),IFERROR(N(INDEX(Parameter!$L$5:$L$7,W1510))*INDEX(Parameter!$E$5:$E$7,W1510)*X1510/SUMIFS($X$7:$X$1843,$W$7:$W$1843,W1510),0),0)</f>
        <v>0</v>
      </c>
    </row>
    <row r="1511" customFormat="false" ht="15" hidden="false" customHeight="false" outlineLevel="0" collapsed="false">
      <c r="A1511" s="48" t="s">
        <v>2651</v>
      </c>
      <c r="B1511" s="48" t="s">
        <v>2652</v>
      </c>
      <c r="C1511" s="48" t="s">
        <v>173</v>
      </c>
      <c r="D1511" s="48" t="s">
        <v>193</v>
      </c>
      <c r="E1511" s="48" t="s">
        <v>194</v>
      </c>
      <c r="F1511" s="48"/>
      <c r="G1511" s="49" t="n">
        <v>19.73</v>
      </c>
      <c r="H1511" s="50" t="n">
        <f aca="false">MAX(0,IF(AND(Parameter!$B$21="Ja",ISNUMBER(Y1511)),Y1511,IF(Parameter!$B$20="Jahresanfang 2025 + Export",BR1511+BQ1511,BQ1511)))</f>
        <v>27</v>
      </c>
      <c r="I1511" s="50" t="n">
        <f aca="false">H1511*G1511</f>
        <v>532.71</v>
      </c>
      <c r="J1511" s="50" t="n">
        <f aca="false">BT1511*Parameter!$B$18</f>
        <v>0</v>
      </c>
      <c r="K1511" s="51"/>
      <c r="L1511" s="52"/>
      <c r="M1511" s="50" t="n">
        <v>0</v>
      </c>
      <c r="N1511" s="50" t="n">
        <v>10</v>
      </c>
      <c r="O1511" s="53" t="n">
        <v>28</v>
      </c>
      <c r="P1511" s="48" t="s">
        <v>337</v>
      </c>
      <c r="Q1511" s="50" t="n">
        <v>27</v>
      </c>
      <c r="R1511" s="53" t="n">
        <f aca="false">IF(BZ1511=1,0,IFERROR(VLOOKUP(BX1511,'Gebinde-Kategorie'!$A$5:$N$45,13,0)+0,0))</f>
        <v>52</v>
      </c>
      <c r="S1511" s="54"/>
      <c r="T1511" s="55"/>
      <c r="U1511" s="55"/>
      <c r="V1511" s="55"/>
      <c r="W1511" s="48"/>
      <c r="X1511" s="50"/>
      <c r="Y1511" s="50"/>
      <c r="Z1511" s="48" t="n">
        <f aca="false">IF(A1511="","",IF(AND(Parameter!$B$21="Ja",ISNUMBER(W1511)),W1511,IF(CC1511="2+3",IF(ISNUMBER(SEARCH("grosser Artikel",BU1511)),2,IFERROR(VLOOKUP(BX1511,Parameter!$F$35:$G$64,2,0),2)),IF(OR(CC1511="Nein",CC1511=""),"-",CC1511))))</f>
        <v>3</v>
      </c>
      <c r="AA1511" s="55"/>
      <c r="AB1511" s="56"/>
      <c r="AC1511" s="50" t="n">
        <f aca="false">AV1511</f>
        <v>10</v>
      </c>
      <c r="AD1511" s="50" t="n">
        <f aca="false">MAX(AV1511,H1511)</f>
        <v>27</v>
      </c>
      <c r="AE1511" s="57"/>
      <c r="AF1511" s="50" t="n">
        <f aca="false">IF(LEFT(Cockpit!$C$5,1)="A",H1511,IF(Parameter!$E$30="MAX-Bestand",IF(CH1511=1,CI1511,IF(LEFT(Cockpit!$C$5,1)="B",AL1511,MAX(AL1511,H1511))),ROUNDUP(AJ1511,0)))</f>
        <v>27</v>
      </c>
      <c r="AG1511" s="50" t="n">
        <f aca="false">IF(BZ1511=1,0,ROUNDUP(AF1511/BY1511,0))</f>
        <v>1</v>
      </c>
      <c r="AH1511" s="52" t="n">
        <f aca="false">IF(CQ1511&gt;0,CQ1511*MAX(1,AF1511/X1511),IF(BZ1511=1,IF(AF1511&lt;=0,0,CD1511*MAX(1,IF(H1511&gt;0,AF1511/H1511,1))),IF(R1511&gt;0,AG1511/R1511,0))/MAX(0.1,N(Parameter!$M$21)))</f>
        <v>0.0192307692307692</v>
      </c>
      <c r="AI1511" s="50" t="n">
        <f aca="false">AH1511*CB1511</f>
        <v>2.98076923076923</v>
      </c>
      <c r="AJ1511" s="51" t="n">
        <f aca="false">IF(LEFT(Cockpit!$C$5,1)="A",H1511,IF(CH1511=1,(CK1511+CI1511)/2,IF(LEFT(Cockpit!$C$5,1)="B",(CK1511+AL1511)/2,MAX((CK1511+AL1511)/2,H1511))))</f>
        <v>27</v>
      </c>
      <c r="AK1511" s="50" t="n">
        <f aca="false">AJ1511*G1511</f>
        <v>532.71</v>
      </c>
      <c r="AL1511" s="50" t="n">
        <f aca="false">ROUNDUP(CK1511+MAX(CL1511,2*(J1511/IF(CG1511&gt;0,CG1511,MAX(0.1,N(Cockpit!$C$6)))-CK1511)),0)</f>
        <v>10</v>
      </c>
      <c r="AM1511" s="51" t="n">
        <f aca="false">IF(AI1511&gt;0,J1511/AI1511,-1)</f>
        <v>0</v>
      </c>
      <c r="AN1511" s="51" t="n">
        <f aca="false">IF(AND(OR(CF1511="L1",CF1511="L23",CF1511="LIFT"),AI1511&gt;0),SUMIFS($AI$7:$AI$1843,$CF$7:$CF$1843,CF1511,$AM$7:$AM$1843,"&gt;"&amp;AM1511)+SUMIFS($AI$7:$AI$1843,$CF$7:$CF$1843,CF1511,$AM$7:$AM$1843,AM1511,$BW$7:$BW$1843,"&lt;="&amp;BW1511),"")</f>
        <v>29923.4449100805</v>
      </c>
      <c r="AO1511" s="58" t="n">
        <f aca="false">IF(AN1511="",0,MAX(0,MIN(1,(IF(CF1511="L1",Parameter!$H$5,IF(CF1511="L23",Parameter!$H$6+Parameter!$H$7,Parameter!$H$5+Parameter!$H$6+Parameter!$H$7))-(AN1511-AI1511))/AI1511)))</f>
        <v>1</v>
      </c>
      <c r="AP1511" s="50" t="n">
        <f aca="false">IF(LEFT(Cockpit!$I$5,1)="A",H1511,IF(Parameter!$E$30="MAX-Bestand",IF(CH1511=1,CI1511,IF(LEFT(Cockpit!$I$5,1)="B",AV1511,MAX(AV1511,H1511))),ROUNDUP(AT1511,0)))</f>
        <v>27</v>
      </c>
      <c r="AQ1511" s="50" t="n">
        <f aca="false">IF(BZ1511=1,0,ROUNDUP(AP1511/BY1511,0))</f>
        <v>1</v>
      </c>
      <c r="AR1511" s="52" t="n">
        <f aca="false">IF(CQ1511&gt;0,CQ1511*MAX(1,AP1511/X1511),IF(BZ1511=1,IF(AP1511&lt;=0,0,CD1511*MAX(1,IF(H1511&gt;0,AP1511/H1511,1))),IF(R1511&gt;0,AQ1511/R1511,0))/MAX(0.1,N(Parameter!$M$21)))</f>
        <v>0.0192307692307692</v>
      </c>
      <c r="AS1511" s="50" t="n">
        <f aca="false">AR1511*CB1511</f>
        <v>2.98076923076923</v>
      </c>
      <c r="AT1511" s="51" t="n">
        <f aca="false">IF(LEFT(Cockpit!$I$5,1)="A",H1511,IF(CH1511=1,(CK1511+CI1511)/2,IF(LEFT(Cockpit!$I$5,1)="B",(CK1511+AV1511)/2,MAX((CK1511+AV1511)/2,H1511))))</f>
        <v>27</v>
      </c>
      <c r="AU1511" s="50" t="n">
        <f aca="false">AT1511*G1511</f>
        <v>532.71</v>
      </c>
      <c r="AV1511" s="50" t="n">
        <f aca="false">ROUNDUP(CK1511+MAX(CL1511,2*(J1511/IF(CG1511&gt;0,CG1511,MAX(0.1,N(Cockpit!$I$6)))-CK1511)),0)</f>
        <v>10</v>
      </c>
      <c r="AW1511" s="51" t="n">
        <f aca="false">IF(AS1511&gt;0,J1511/AS1511,-1)</f>
        <v>0</v>
      </c>
      <c r="AX1511" s="51" t="n">
        <f aca="false">IF(AND(OR(CF1511="L1",CF1511="L23",CF1511="LIFT"),AS1511&gt;0),SUMIFS($AS$7:$AS$1843,$CF$7:$CF$1843,CF1511,$AW$7:$AW$1843,"&gt;"&amp;AW1511)+SUMIFS($AS$7:$AS$1843,$CF$7:$CF$1843,CF1511,$AW$7:$AW$1843,AW1511,$BW$7:$BW$1843,"&lt;="&amp;BW1511),"")</f>
        <v>36230.0157126301</v>
      </c>
      <c r="AY1511" s="58" t="n">
        <f aca="false">IF(AX1511="",0,MAX(0,MIN(1,(IF(CF1511="L1",Parameter!$H$5,IF(CF1511="L23",Parameter!$H$6+Parameter!$H$7,Parameter!$H$5+Parameter!$H$6+Parameter!$H$7))-(AX1511-AS1511))/AS1511)))</f>
        <v>0</v>
      </c>
      <c r="AZ1511" s="50" t="n">
        <f aca="false">IF(LEFT(Cockpit!$O$5,1)="A",H1511,IF(Parameter!$E$30="MAX-Bestand",IF(CH1511=1,CI1511,IF(LEFT(Cockpit!$O$5,1)="B",BF1511,MAX(BF1511,H1511))),ROUNDUP(BD1511,0)))</f>
        <v>5</v>
      </c>
      <c r="BA1511" s="50" t="n">
        <f aca="false">IF(BZ1511=1,0,ROUNDUP(AZ1511/BY1511,0))</f>
        <v>1</v>
      </c>
      <c r="BB1511" s="52" t="n">
        <f aca="false">IF(CQ1511&gt;0,CQ1511*MAX(1,AZ1511/X1511),IF(BZ1511=1,IF(AZ1511&lt;=0,0,CD1511*MAX(1,IF(H1511&gt;0,AZ1511/H1511,1))),IF(R1511&gt;0,BA1511/R1511,0))/MAX(0.1,N(Parameter!$M$21)))</f>
        <v>0.0192307692307692</v>
      </c>
      <c r="BC1511" s="50" t="n">
        <f aca="false">BB1511*CB1511</f>
        <v>2.98076923076923</v>
      </c>
      <c r="BD1511" s="51" t="n">
        <f aca="false">IF(LEFT(Cockpit!$O$5,1)="A",H1511,IF(CH1511=1,(CK1511+CI1511)/2,IF(LEFT(Cockpit!$O$5,1)="B",(CK1511+BF1511)/2,MAX((CK1511+BF1511)/2,H1511))))</f>
        <v>5</v>
      </c>
      <c r="BE1511" s="50" t="n">
        <f aca="false">BD1511*G1511</f>
        <v>98.65</v>
      </c>
      <c r="BF1511" s="50" t="n">
        <f aca="false">ROUNDUP(CK1511+MAX(CL1511,2*(J1511/IF(CG1511&gt;0,CG1511,MAX(0.1,N(Cockpit!$O$6)))-CK1511)),0)</f>
        <v>10</v>
      </c>
      <c r="BG1511" s="51" t="n">
        <f aca="false">IF(BC1511&gt;0,J1511/BC1511,-1)</f>
        <v>0</v>
      </c>
      <c r="BH1511" s="51" t="n">
        <f aca="false">IF(AND(OR(CF1511="L1",CF1511="L23",CF1511="LIFT"),BC1511&gt;0),SUMIFS($BC$7:$BC$1843,$CF$7:$CF$1843,CF1511,$BG$7:$BG$1843,"&gt;"&amp;BG1511)+SUMIFS($BC$7:$BC$1843,$CF$7:$CF$1843,CF1511,$BG$7:$BG$1843,BG1511,$BW$7:$BW$1843,"&lt;="&amp;BW1511),"")</f>
        <v>30168.2069881625</v>
      </c>
      <c r="BI1511" s="58" t="n">
        <f aca="false">IF(BH1511="",0,MAX(0,MIN(1,(IF(CF1511="L1",Parameter!$H$5,IF(CF1511="L23",Parameter!$H$6+Parameter!$H$7,Parameter!$H$5+Parameter!$H$6+Parameter!$H$7))-(BH1511-BC1511))/BC1511)))</f>
        <v>1</v>
      </c>
      <c r="BJ1511" s="48" t="str">
        <f aca="false">IF(AI1511&lt;=0,"",IF(CF1511="Aussen","Aussenlager",IF(CF1511="-","Nicht im Lift",IF(AO1511&gt;=1,"Lift",IF(AO1511&lt;=0,"Aussenlager","teilweise")))))</f>
        <v>Lift</v>
      </c>
      <c r="BK1511" s="48" t="str">
        <f aca="false">IF(AS1511&lt;=0,"",IF(CF1511="Aussen","Aussenlager",IF(CF1511="-","Nicht im Lift",IF(AY1511&gt;=1,"Lift",IF(AY1511&lt;=0,"Aussenlager","teilweise")))))</f>
        <v>Aussenlager</v>
      </c>
      <c r="BL1511" s="48" t="str">
        <f aca="false">IF(BC1511&lt;=0,"",IF(CF1511="Aussen","Aussenlager",IF(CF1511="-","Nicht im Lift",IF(BI1511&gt;=1,"Lift",IF(BI1511&lt;=0,"Aussenlager","teilweise")))))</f>
        <v>Lift</v>
      </c>
      <c r="BM1511" s="48" t="str">
        <f aca="false">IF(A1511="","",IF(BV1511=1,"Neu; ","")&amp;IF(AND(BV1511=0,BQ1511&lt;0),"negativer Bestand (Export "&amp;BQ1511&amp;"); ","")&amp;IF(J1511&lt;=0,"Kein Verbrauch; ","")&amp;IF(CQ1511&gt;0,"Lift "&amp;W1511&amp;" lt. Liftbericht (Fach "&amp;X1511&amp;" Stk); ",IF(CA1511=1,"Gebinde geschätzt ("&amp;T1511&amp;"); ",IF(BZ1511=1,"Lose – Tablare geschätzt; ","")))&amp;IF(H1511&gt;AV1511,"Überbestand "&amp;ROUND(H1511-AV1511,0)&amp;" Stk / CHF "&amp;ROUND((H1511-AV1511)*G1511,0)&amp;"; ","")&amp;IF(AND(CH1511=1,CI1511&lt;CJ1511),"MAX &lt; MB+LG; ","")&amp;IF(AND(CP1511&gt;0,CO1511*10&gt;CP1511),"zu hoch für Tablar; ","")&amp;IF(AND(BV1511=0,OR(CH1511=1,AA1511&lt;&gt;"",U1511&lt;&gt;"",V1511&lt;&gt;"",AB1511&lt;&gt;"")),"manuell übersteuert; ","")&amp;IF(AND(BZ1511=0,R1511=0),"Gebinde unbekannt / Stellmass fehlt; ","")&amp;IF(AND(BZ1511=0,N(V1511)&lt;=0,N(Q1511)&lt;=0),"Menge pro Gebinde fehlt (Ist = 1 Gebinde); ","")&amp;BU1511)</f>
        <v>Kein Verbrauch; Überbestand 17 Stk / CHF 335; nur im Artikelstamm (Bestand 23.06.2026); Überbestand</v>
      </c>
      <c r="BN1511" s="48"/>
      <c r="BO1511" s="48"/>
      <c r="BP1511" s="55"/>
      <c r="BQ1511" s="50" t="n">
        <v>27</v>
      </c>
      <c r="BR1511" s="50" t="n">
        <v>0</v>
      </c>
      <c r="BS1511" s="49" t="n">
        <v>0</v>
      </c>
      <c r="BT1511" s="50" t="n">
        <v>0</v>
      </c>
      <c r="BU1511" s="48" t="s">
        <v>2581</v>
      </c>
      <c r="BV1511" s="53" t="n">
        <v>0</v>
      </c>
      <c r="BW1511" s="53" t="n">
        <v>1511</v>
      </c>
      <c r="BX1511" s="48" t="str">
        <f aca="false">IF(U1511&lt;&gt;"",UPPER(TRIM(U1511)),IF(CA1511=1,UPPER(VLOOKUP(T1511,Parameter!$I$27:$K$29,2,0)),IF(P1511="","LOSE",P1511)))</f>
        <v>S41</v>
      </c>
      <c r="BY1511" s="50" t="n">
        <f aca="false">IF(BX1511="LOSE",1,IF(N(V1511)&gt;0,V1511,IF(CA1511=1,MAX(1,N(VLOOKUP(T1511,Parameter!$I$27:$K$29,3,0)),H1511,N(N1511)),IF(N(Q1511)&gt;0,Q1511,MAX(1,H1511)))))</f>
        <v>27</v>
      </c>
      <c r="BZ1511" s="53" t="n">
        <f aca="false">IF(BX1511="LOSE",1,0)</f>
        <v>0</v>
      </c>
      <c r="CA1511" s="53" t="n">
        <f aca="false">IF(AND(U1511="",OR(P1511="",P1511="LOSE"),T1511&lt;&gt;"",N(S1511)&lt;=0,ISNUMBER(MATCH(T1511,Parameter!$I$27:$I$29,0))),1,0)</f>
        <v>0</v>
      </c>
      <c r="CB1511" s="53" t="n">
        <f aca="false">IF(CQ1511&gt;0,INDEX(Parameter!$H$5:$H$7,W1511)/INDEX(Parameter!$E$5:$E$7,W1511),IF(AND(BZ1511=0,N(IFERROR(VLOOKUP(BX1511,'Gebinde-Kategorie'!$A$5:$N$45,14,0),0))&gt;0),VLOOKUP(BX1511,'Gebinde-Kategorie'!$A$5:$N$45,14,0)*10+Parameter!$M$23,Parameter!$M$24))</f>
        <v>155</v>
      </c>
      <c r="CC1511" s="48" t="str">
        <f aca="false">IF(AND(Parameter!$B$19="Ja",E1511&lt;&gt;"",ISNUMBER(MATCH(E1511,Parameter!$I$35:$I$52,0))),VLOOKUP(E1511,Parameter!$I$35:$J$52,2,0),IFERROR(VLOOKUP(D1511,Parameter!$A$35:$C$64,2,0),"Nein"))</f>
        <v>2+3</v>
      </c>
      <c r="CD1511" s="52" t="n">
        <f aca="false">IF(BZ1511=0,0,IF(N(S1511)&gt;0,S1511,IFERROR(VLOOKUP(D1511,Parameter!$A$35:$C$64,3,0)+0,0)))</f>
        <v>0</v>
      </c>
      <c r="CE1511" s="48" t="n">
        <f aca="false">IF(AA1511&lt;&gt;"",AA1511,Z1511)</f>
        <v>3</v>
      </c>
      <c r="CF1511" s="48" t="str">
        <f aca="false">IF(OR(CE1511=1,CE1511=2,CE1511=3),IF(Parameter!$E$27="Ja","LIFT",IF(CE1511=1,"L1","L23")),IF(CE1511="Aussen","Aussen","-"))</f>
        <v>LIFT</v>
      </c>
      <c r="CG1511" s="59" t="n">
        <f aca="false">IF(N(AB1511)&gt;0,AB1511,0)</f>
        <v>0</v>
      </c>
      <c r="CH1511" s="53" t="n">
        <f aca="false">IF(ISNUMBER(AE1511),1,0)</f>
        <v>0</v>
      </c>
      <c r="CI1511" s="50" t="n">
        <f aca="false">N(AE1511)</f>
        <v>0</v>
      </c>
      <c r="CJ1511" s="50" t="n">
        <f aca="false">N(M1511)+N(N1511)</f>
        <v>10</v>
      </c>
      <c r="CK1511" s="50" t="n">
        <f aca="false">N(M1511)</f>
        <v>0</v>
      </c>
      <c r="CL1511" s="50" t="n">
        <f aca="false">N(N1511)</f>
        <v>10</v>
      </c>
      <c r="CM1511" s="50" t="n">
        <f aca="false">ROUNDUP(H1511/BY1511,0)</f>
        <v>1</v>
      </c>
      <c r="CN1511" s="50" t="n">
        <f aca="false">ROUNDUP(CI1511/BY1511,0)</f>
        <v>0</v>
      </c>
      <c r="CO1511" s="53" t="n">
        <f aca="false">IF(BZ1511=1,0,IFERROR(VLOOKUP(BX1511,'Gebinde-Kategorie'!$A$5:$N$45,5,0)+0,0))</f>
        <v>11</v>
      </c>
      <c r="CP1511" s="53" t="n">
        <f aca="false">IFERROR(IF(OR(CE1511=1,CE1511=2,CE1511=3),N(INDEX(Parameter!$I$5:$I$7,CE1511)),0),0)</f>
        <v>0</v>
      </c>
      <c r="CQ1511" s="52" t="n">
        <f aca="false">IF(AND(Parameter!$B$21="Ja",ISNUMBER(W1511),N(X1511)&gt;0),IFERROR(N(INDEX(Parameter!$L$5:$L$7,W1511))*INDEX(Parameter!$E$5:$E$7,W1511)*X1511/SUMIFS($X$7:$X$1843,$W$7:$W$1843,W1511),0),0)</f>
        <v>0</v>
      </c>
    </row>
    <row r="1512" customFormat="false" ht="15" hidden="false" customHeight="false" outlineLevel="0" collapsed="false">
      <c r="A1512" s="48" t="s">
        <v>2653</v>
      </c>
      <c r="B1512" s="48" t="s">
        <v>2654</v>
      </c>
      <c r="C1512" s="48" t="s">
        <v>173</v>
      </c>
      <c r="D1512" s="48" t="s">
        <v>193</v>
      </c>
      <c r="E1512" s="48" t="s">
        <v>194</v>
      </c>
      <c r="F1512" s="48"/>
      <c r="G1512" s="49" t="n">
        <v>102.14</v>
      </c>
      <c r="H1512" s="50" t="n">
        <f aca="false">MAX(0,IF(AND(Parameter!$B$21="Ja",ISNUMBER(Y1512)),Y1512,IF(Parameter!$B$20="Jahresanfang 2025 + Export",BR1512+BQ1512,BQ1512)))</f>
        <v>11</v>
      </c>
      <c r="I1512" s="50" t="n">
        <f aca="false">H1512*G1512</f>
        <v>1123.54</v>
      </c>
      <c r="J1512" s="50" t="n">
        <f aca="false">BT1512*Parameter!$B$18</f>
        <v>0</v>
      </c>
      <c r="K1512" s="51"/>
      <c r="L1512" s="52"/>
      <c r="M1512" s="50" t="n">
        <v>0</v>
      </c>
      <c r="N1512" s="50" t="n">
        <v>10</v>
      </c>
      <c r="O1512" s="53" t="n">
        <v>49</v>
      </c>
      <c r="P1512" s="48" t="s">
        <v>302</v>
      </c>
      <c r="Q1512" s="50" t="n">
        <v>11</v>
      </c>
      <c r="R1512" s="53" t="n">
        <f aca="false">IF(BZ1512=1,0,IFERROR(VLOOKUP(BX1512,'Gebinde-Kategorie'!$A$5:$N$45,13,0)+0,0))</f>
        <v>12</v>
      </c>
      <c r="S1512" s="54"/>
      <c r="T1512" s="55"/>
      <c r="U1512" s="55"/>
      <c r="V1512" s="55"/>
      <c r="W1512" s="48"/>
      <c r="X1512" s="50"/>
      <c r="Y1512" s="50"/>
      <c r="Z1512" s="48" t="n">
        <f aca="false">IF(A1512="","",IF(AND(Parameter!$B$21="Ja",ISNUMBER(W1512)),W1512,IF(CC1512="2+3",IF(ISNUMBER(SEARCH("grosser Artikel",BU1512)),2,IFERROR(VLOOKUP(BX1512,Parameter!$F$35:$G$64,2,0),2)),IF(OR(CC1512="Nein",CC1512=""),"-",CC1512))))</f>
        <v>2</v>
      </c>
      <c r="AA1512" s="55"/>
      <c r="AB1512" s="56"/>
      <c r="AC1512" s="50" t="n">
        <f aca="false">AV1512</f>
        <v>10</v>
      </c>
      <c r="AD1512" s="50" t="n">
        <f aca="false">MAX(AV1512,H1512)</f>
        <v>11</v>
      </c>
      <c r="AE1512" s="57"/>
      <c r="AF1512" s="50" t="n">
        <f aca="false">IF(LEFT(Cockpit!$C$5,1)="A",H1512,IF(Parameter!$E$30="MAX-Bestand",IF(CH1512=1,CI1512,IF(LEFT(Cockpit!$C$5,1)="B",AL1512,MAX(AL1512,H1512))),ROUNDUP(AJ1512,0)))</f>
        <v>11</v>
      </c>
      <c r="AG1512" s="50" t="n">
        <f aca="false">IF(BZ1512=1,0,ROUNDUP(AF1512/BY1512,0))</f>
        <v>1</v>
      </c>
      <c r="AH1512" s="52" t="n">
        <f aca="false">IF(CQ1512&gt;0,CQ1512*MAX(1,AF1512/X1512),IF(BZ1512=1,IF(AF1512&lt;=0,0,CD1512*MAX(1,IF(H1512&gt;0,AF1512/H1512,1))),IF(R1512&gt;0,AG1512/R1512,0))/MAX(0.1,N(Parameter!$M$21)))</f>
        <v>0.0833333333333333</v>
      </c>
      <c r="AI1512" s="50" t="n">
        <f aca="false">AH1512*CB1512</f>
        <v>20.4166666666667</v>
      </c>
      <c r="AJ1512" s="51" t="n">
        <f aca="false">IF(LEFT(Cockpit!$C$5,1)="A",H1512,IF(CH1512=1,(CK1512+CI1512)/2,IF(LEFT(Cockpit!$C$5,1)="B",(CK1512+AL1512)/2,MAX((CK1512+AL1512)/2,H1512))))</f>
        <v>11</v>
      </c>
      <c r="AK1512" s="50" t="n">
        <f aca="false">AJ1512*G1512</f>
        <v>1123.54</v>
      </c>
      <c r="AL1512" s="50" t="n">
        <f aca="false">ROUNDUP(CK1512+MAX(CL1512,2*(J1512/IF(CG1512&gt;0,CG1512,MAX(0.1,N(Cockpit!$C$6)))-CK1512)),0)</f>
        <v>10</v>
      </c>
      <c r="AM1512" s="51" t="n">
        <f aca="false">IF(AI1512&gt;0,J1512/AI1512,-1)</f>
        <v>0</v>
      </c>
      <c r="AN1512" s="51" t="n">
        <f aca="false">IF(AND(OR(CF1512="L1",CF1512="L23",CF1512="LIFT"),AI1512&gt;0),SUMIFS($AI$7:$AI$1843,$CF$7:$CF$1843,CF1512,$AM$7:$AM$1843,"&gt;"&amp;AM1512)+SUMIFS($AI$7:$AI$1843,$CF$7:$CF$1843,CF1512,$AM$7:$AM$1843,AM1512,$BW$7:$BW$1843,"&lt;="&amp;BW1512),"")</f>
        <v>29943.8615767472</v>
      </c>
      <c r="AO1512" s="58" t="n">
        <f aca="false">IF(AN1512="",0,MAX(0,MIN(1,(IF(CF1512="L1",Parameter!$H$5,IF(CF1512="L23",Parameter!$H$6+Parameter!$H$7,Parameter!$H$5+Parameter!$H$6+Parameter!$H$7))-(AN1512-AI1512))/AI1512)))</f>
        <v>1</v>
      </c>
      <c r="AP1512" s="50" t="n">
        <f aca="false">IF(LEFT(Cockpit!$I$5,1)="A",H1512,IF(Parameter!$E$30="MAX-Bestand",IF(CH1512=1,CI1512,IF(LEFT(Cockpit!$I$5,1)="B",AV1512,MAX(AV1512,H1512))),ROUNDUP(AT1512,0)))</f>
        <v>11</v>
      </c>
      <c r="AQ1512" s="50" t="n">
        <f aca="false">IF(BZ1512=1,0,ROUNDUP(AP1512/BY1512,0))</f>
        <v>1</v>
      </c>
      <c r="AR1512" s="52" t="n">
        <f aca="false">IF(CQ1512&gt;0,CQ1512*MAX(1,AP1512/X1512),IF(BZ1512=1,IF(AP1512&lt;=0,0,CD1512*MAX(1,IF(H1512&gt;0,AP1512/H1512,1))),IF(R1512&gt;0,AQ1512/R1512,0))/MAX(0.1,N(Parameter!$M$21)))</f>
        <v>0.0833333333333333</v>
      </c>
      <c r="AS1512" s="50" t="n">
        <f aca="false">AR1512*CB1512</f>
        <v>20.4166666666667</v>
      </c>
      <c r="AT1512" s="51" t="n">
        <f aca="false">IF(LEFT(Cockpit!$I$5,1)="A",H1512,IF(CH1512=1,(CK1512+CI1512)/2,IF(LEFT(Cockpit!$I$5,1)="B",(CK1512+AV1512)/2,MAX((CK1512+AV1512)/2,H1512))))</f>
        <v>11</v>
      </c>
      <c r="AU1512" s="50" t="n">
        <f aca="false">AT1512*G1512</f>
        <v>1123.54</v>
      </c>
      <c r="AV1512" s="50" t="n">
        <f aca="false">ROUNDUP(CK1512+MAX(CL1512,2*(J1512/IF(CG1512&gt;0,CG1512,MAX(0.1,N(Cockpit!$I$6)))-CK1512)),0)</f>
        <v>10</v>
      </c>
      <c r="AW1512" s="51" t="n">
        <f aca="false">IF(AS1512&gt;0,J1512/AS1512,-1)</f>
        <v>0</v>
      </c>
      <c r="AX1512" s="51" t="n">
        <f aca="false">IF(AND(OR(CF1512="L1",CF1512="L23",CF1512="LIFT"),AS1512&gt;0),SUMIFS($AS$7:$AS$1843,$CF$7:$CF$1843,CF1512,$AW$7:$AW$1843,"&gt;"&amp;AW1512)+SUMIFS($AS$7:$AS$1843,$CF$7:$CF$1843,CF1512,$AW$7:$AW$1843,AW1512,$BW$7:$BW$1843,"&lt;="&amp;BW1512),"")</f>
        <v>36250.4323792968</v>
      </c>
      <c r="AY1512" s="58" t="n">
        <f aca="false">IF(AX1512="",0,MAX(0,MIN(1,(IF(CF1512="L1",Parameter!$H$5,IF(CF1512="L23",Parameter!$H$6+Parameter!$H$7,Parameter!$H$5+Parameter!$H$6+Parameter!$H$7))-(AX1512-AS1512))/AS1512)))</f>
        <v>0</v>
      </c>
      <c r="AZ1512" s="50" t="n">
        <f aca="false">IF(LEFT(Cockpit!$O$5,1)="A",H1512,IF(Parameter!$E$30="MAX-Bestand",IF(CH1512=1,CI1512,IF(LEFT(Cockpit!$O$5,1)="B",BF1512,MAX(BF1512,H1512))),ROUNDUP(BD1512,0)))</f>
        <v>5</v>
      </c>
      <c r="BA1512" s="50" t="n">
        <f aca="false">IF(BZ1512=1,0,ROUNDUP(AZ1512/BY1512,0))</f>
        <v>1</v>
      </c>
      <c r="BB1512" s="52" t="n">
        <f aca="false">IF(CQ1512&gt;0,CQ1512*MAX(1,AZ1512/X1512),IF(BZ1512=1,IF(AZ1512&lt;=0,0,CD1512*MAX(1,IF(H1512&gt;0,AZ1512/H1512,1))),IF(R1512&gt;0,BA1512/R1512,0))/MAX(0.1,N(Parameter!$M$21)))</f>
        <v>0.0833333333333333</v>
      </c>
      <c r="BC1512" s="50" t="n">
        <f aca="false">BB1512*CB1512</f>
        <v>20.4166666666667</v>
      </c>
      <c r="BD1512" s="51" t="n">
        <f aca="false">IF(LEFT(Cockpit!$O$5,1)="A",H1512,IF(CH1512=1,(CK1512+CI1512)/2,IF(LEFT(Cockpit!$O$5,1)="B",(CK1512+BF1512)/2,MAX((CK1512+BF1512)/2,H1512))))</f>
        <v>5</v>
      </c>
      <c r="BE1512" s="50" t="n">
        <f aca="false">BD1512*G1512</f>
        <v>510.7</v>
      </c>
      <c r="BF1512" s="50" t="n">
        <f aca="false">ROUNDUP(CK1512+MAX(CL1512,2*(J1512/IF(CG1512&gt;0,CG1512,MAX(0.1,N(Cockpit!$O$6)))-CK1512)),0)</f>
        <v>10</v>
      </c>
      <c r="BG1512" s="51" t="n">
        <f aca="false">IF(BC1512&gt;0,J1512/BC1512,-1)</f>
        <v>0</v>
      </c>
      <c r="BH1512" s="51" t="n">
        <f aca="false">IF(AND(OR(CF1512="L1",CF1512="L23",CF1512="LIFT"),BC1512&gt;0),SUMIFS($BC$7:$BC$1843,$CF$7:$CF$1843,CF1512,$BG$7:$BG$1843,"&gt;"&amp;BG1512)+SUMIFS($BC$7:$BC$1843,$CF$7:$CF$1843,CF1512,$BG$7:$BG$1843,BG1512,$BW$7:$BW$1843,"&lt;="&amp;BW1512),"")</f>
        <v>30188.6236548292</v>
      </c>
      <c r="BI1512" s="58" t="n">
        <f aca="false">IF(BH1512="",0,MAX(0,MIN(1,(IF(CF1512="L1",Parameter!$H$5,IF(CF1512="L23",Parameter!$H$6+Parameter!$H$7,Parameter!$H$5+Parameter!$H$6+Parameter!$H$7))-(BH1512-BC1512))/BC1512)))</f>
        <v>1</v>
      </c>
      <c r="BJ1512" s="48" t="str">
        <f aca="false">IF(AI1512&lt;=0,"",IF(CF1512="Aussen","Aussenlager",IF(CF1512="-","Nicht im Lift",IF(AO1512&gt;=1,"Lift",IF(AO1512&lt;=0,"Aussenlager","teilweise")))))</f>
        <v>Lift</v>
      </c>
      <c r="BK1512" s="48" t="str">
        <f aca="false">IF(AS1512&lt;=0,"",IF(CF1512="Aussen","Aussenlager",IF(CF1512="-","Nicht im Lift",IF(AY1512&gt;=1,"Lift",IF(AY1512&lt;=0,"Aussenlager","teilweise")))))</f>
        <v>Aussenlager</v>
      </c>
      <c r="BL1512" s="48" t="str">
        <f aca="false">IF(BC1512&lt;=0,"",IF(CF1512="Aussen","Aussenlager",IF(CF1512="-","Nicht im Lift",IF(BI1512&gt;=1,"Lift",IF(BI1512&lt;=0,"Aussenlager","teilweise")))))</f>
        <v>Lift</v>
      </c>
      <c r="BM1512" s="48" t="str">
        <f aca="false">IF(A1512="","",IF(BV1512=1,"Neu; ","")&amp;IF(AND(BV1512=0,BQ1512&lt;0),"negativer Bestand (Export "&amp;BQ1512&amp;"); ","")&amp;IF(J1512&lt;=0,"Kein Verbrauch; ","")&amp;IF(CQ1512&gt;0,"Lift "&amp;W1512&amp;" lt. Liftbericht (Fach "&amp;X1512&amp;" Stk); ",IF(CA1512=1,"Gebinde geschätzt ("&amp;T1512&amp;"); ",IF(BZ1512=1,"Lose – Tablare geschätzt; ","")))&amp;IF(H1512&gt;AV1512,"Überbestand "&amp;ROUND(H1512-AV1512,0)&amp;" Stk / CHF "&amp;ROUND((H1512-AV1512)*G1512,0)&amp;"; ","")&amp;IF(AND(CH1512=1,CI1512&lt;CJ1512),"MAX &lt; MB+LG; ","")&amp;IF(AND(CP1512&gt;0,CO1512*10&gt;CP1512),"zu hoch für Tablar; ","")&amp;IF(AND(BV1512=0,OR(CH1512=1,AA1512&lt;&gt;"",U1512&lt;&gt;"",V1512&lt;&gt;"",AB1512&lt;&gt;"")),"manuell übersteuert; ","")&amp;IF(AND(BZ1512=0,R1512=0),"Gebinde unbekannt / Stellmass fehlt; ","")&amp;IF(AND(BZ1512=0,N(V1512)&lt;=0,N(Q1512)&lt;=0),"Menge pro Gebinde fehlt (Ist = 1 Gebinde); ","")&amp;BU1512)</f>
        <v>Kein Verbrauch; Überbestand 1 Stk / CHF 102; nur im Artikelstamm (Bestand 23.06.2026); Überbestand</v>
      </c>
      <c r="BN1512" s="48"/>
      <c r="BO1512" s="48"/>
      <c r="BP1512" s="55"/>
      <c r="BQ1512" s="50" t="n">
        <v>11</v>
      </c>
      <c r="BR1512" s="50" t="n">
        <v>0</v>
      </c>
      <c r="BS1512" s="49" t="n">
        <v>0</v>
      </c>
      <c r="BT1512" s="50" t="n">
        <v>0</v>
      </c>
      <c r="BU1512" s="48" t="s">
        <v>2581</v>
      </c>
      <c r="BV1512" s="53" t="n">
        <v>0</v>
      </c>
      <c r="BW1512" s="53" t="n">
        <v>1512</v>
      </c>
      <c r="BX1512" s="48" t="str">
        <f aca="false">IF(U1512&lt;&gt;"",UPPER(TRIM(U1512)),IF(CA1512=1,UPPER(VLOOKUP(T1512,Parameter!$I$27:$K$29,2,0)),IF(P1512="","LOSE",P1512)))</f>
        <v>S62</v>
      </c>
      <c r="BY1512" s="50" t="n">
        <f aca="false">IF(BX1512="LOSE",1,IF(N(V1512)&gt;0,V1512,IF(CA1512=1,MAX(1,N(VLOOKUP(T1512,Parameter!$I$27:$K$29,3,0)),H1512,N(N1512)),IF(N(Q1512)&gt;0,Q1512,MAX(1,H1512)))))</f>
        <v>11</v>
      </c>
      <c r="BZ1512" s="53" t="n">
        <f aca="false">IF(BX1512="LOSE",1,0)</f>
        <v>0</v>
      </c>
      <c r="CA1512" s="53" t="n">
        <f aca="false">IF(AND(U1512="",OR(P1512="",P1512="LOSE"),T1512&lt;&gt;"",N(S1512)&lt;=0,ISNUMBER(MATCH(T1512,Parameter!$I$27:$I$29,0))),1,0)</f>
        <v>0</v>
      </c>
      <c r="CB1512" s="53" t="n">
        <f aca="false">IF(CQ1512&gt;0,INDEX(Parameter!$H$5:$H$7,W1512)/INDEX(Parameter!$E$5:$E$7,W1512),IF(AND(BZ1512=0,N(IFERROR(VLOOKUP(BX1512,'Gebinde-Kategorie'!$A$5:$N$45,14,0),0))&gt;0),VLOOKUP(BX1512,'Gebinde-Kategorie'!$A$5:$N$45,14,0)*10+Parameter!$M$23,Parameter!$M$24))</f>
        <v>245</v>
      </c>
      <c r="CC1512" s="48" t="str">
        <f aca="false">IF(AND(Parameter!$B$19="Ja",E1512&lt;&gt;"",ISNUMBER(MATCH(E1512,Parameter!$I$35:$I$52,0))),VLOOKUP(E1512,Parameter!$I$35:$J$52,2,0),IFERROR(VLOOKUP(D1512,Parameter!$A$35:$C$64,2,0),"Nein"))</f>
        <v>2+3</v>
      </c>
      <c r="CD1512" s="52" t="n">
        <f aca="false">IF(BZ1512=0,0,IF(N(S1512)&gt;0,S1512,IFERROR(VLOOKUP(D1512,Parameter!$A$35:$C$64,3,0)+0,0)))</f>
        <v>0</v>
      </c>
      <c r="CE1512" s="48" t="n">
        <f aca="false">IF(AA1512&lt;&gt;"",AA1512,Z1512)</f>
        <v>2</v>
      </c>
      <c r="CF1512" s="48" t="str">
        <f aca="false">IF(OR(CE1512=1,CE1512=2,CE1512=3),IF(Parameter!$E$27="Ja","LIFT",IF(CE1512=1,"L1","L23")),IF(CE1512="Aussen","Aussen","-"))</f>
        <v>LIFT</v>
      </c>
      <c r="CG1512" s="59" t="n">
        <f aca="false">IF(N(AB1512)&gt;0,AB1512,0)</f>
        <v>0</v>
      </c>
      <c r="CH1512" s="53" t="n">
        <f aca="false">IF(ISNUMBER(AE1512),1,0)</f>
        <v>0</v>
      </c>
      <c r="CI1512" s="50" t="n">
        <f aca="false">N(AE1512)</f>
        <v>0</v>
      </c>
      <c r="CJ1512" s="50" t="n">
        <f aca="false">N(M1512)+N(N1512)</f>
        <v>10</v>
      </c>
      <c r="CK1512" s="50" t="n">
        <f aca="false">N(M1512)</f>
        <v>0</v>
      </c>
      <c r="CL1512" s="50" t="n">
        <f aca="false">N(N1512)</f>
        <v>10</v>
      </c>
      <c r="CM1512" s="50" t="n">
        <f aca="false">ROUNDUP(H1512/BY1512,0)</f>
        <v>1</v>
      </c>
      <c r="CN1512" s="50" t="n">
        <f aca="false">ROUNDUP(CI1512/BY1512,0)</f>
        <v>0</v>
      </c>
      <c r="CO1512" s="53" t="n">
        <f aca="false">IF(BZ1512=1,0,IFERROR(VLOOKUP(BX1512,'Gebinde-Kategorie'!$A$5:$N$45,5,0)+0,0))</f>
        <v>21</v>
      </c>
      <c r="CP1512" s="53" t="n">
        <f aca="false">IFERROR(IF(OR(CE1512=1,CE1512=2,CE1512=3),N(INDEX(Parameter!$I$5:$I$7,CE1512)),0),0)</f>
        <v>0</v>
      </c>
      <c r="CQ1512" s="52" t="n">
        <f aca="false">IF(AND(Parameter!$B$21="Ja",ISNUMBER(W1512),N(X1512)&gt;0),IFERROR(N(INDEX(Parameter!$L$5:$L$7,W1512))*INDEX(Parameter!$E$5:$E$7,W1512)*X1512/SUMIFS($X$7:$X$1843,$W$7:$W$1843,W1512),0),0)</f>
        <v>0</v>
      </c>
    </row>
    <row r="1513" customFormat="false" ht="15" hidden="false" customHeight="false" outlineLevel="0" collapsed="false">
      <c r="A1513" s="48" t="s">
        <v>2655</v>
      </c>
      <c r="B1513" s="48" t="s">
        <v>2656</v>
      </c>
      <c r="C1513" s="48" t="s">
        <v>173</v>
      </c>
      <c r="D1513" s="48" t="s">
        <v>193</v>
      </c>
      <c r="E1513" s="48" t="s">
        <v>194</v>
      </c>
      <c r="F1513" s="48"/>
      <c r="G1513" s="49" t="n">
        <v>19.45</v>
      </c>
      <c r="H1513" s="50" t="n">
        <f aca="false">MAX(0,IF(AND(Parameter!$B$21="Ja",ISNUMBER(Y1513)),Y1513,IF(Parameter!$B$20="Jahresanfang 2025 + Export",BR1513+BQ1513,BQ1513)))</f>
        <v>20</v>
      </c>
      <c r="I1513" s="50" t="n">
        <f aca="false">H1513*G1513</f>
        <v>389</v>
      </c>
      <c r="J1513" s="50" t="n">
        <f aca="false">BT1513*Parameter!$B$18</f>
        <v>0</v>
      </c>
      <c r="K1513" s="51"/>
      <c r="L1513" s="52"/>
      <c r="M1513" s="50" t="n">
        <v>0</v>
      </c>
      <c r="N1513" s="50" t="n">
        <v>10</v>
      </c>
      <c r="O1513" s="53" t="n">
        <v>21</v>
      </c>
      <c r="P1513" s="48" t="s">
        <v>311</v>
      </c>
      <c r="Q1513" s="50" t="n">
        <v>20</v>
      </c>
      <c r="R1513" s="53" t="n">
        <f aca="false">IF(BZ1513=1,0,IFERROR(VLOOKUP(BX1513,'Gebinde-Kategorie'!$A$5:$N$45,13,0)+0,0))</f>
        <v>26</v>
      </c>
      <c r="S1513" s="54"/>
      <c r="T1513" s="55"/>
      <c r="U1513" s="55"/>
      <c r="V1513" s="55"/>
      <c r="W1513" s="48"/>
      <c r="X1513" s="50"/>
      <c r="Y1513" s="50"/>
      <c r="Z1513" s="48" t="n">
        <f aca="false">IF(A1513="","",IF(AND(Parameter!$B$21="Ja",ISNUMBER(W1513)),W1513,IF(CC1513="2+3",IF(ISNUMBER(SEARCH("grosser Artikel",BU1513)),2,IFERROR(VLOOKUP(BX1513,Parameter!$F$35:$G$64,2,0),2)),IF(OR(CC1513="Nein",CC1513=""),"-",CC1513))))</f>
        <v>3</v>
      </c>
      <c r="AA1513" s="55"/>
      <c r="AB1513" s="56"/>
      <c r="AC1513" s="50" t="n">
        <f aca="false">AV1513</f>
        <v>10</v>
      </c>
      <c r="AD1513" s="50" t="n">
        <f aca="false">MAX(AV1513,H1513)</f>
        <v>20</v>
      </c>
      <c r="AE1513" s="57"/>
      <c r="AF1513" s="50" t="n">
        <f aca="false">IF(LEFT(Cockpit!$C$5,1)="A",H1513,IF(Parameter!$E$30="MAX-Bestand",IF(CH1513=1,CI1513,IF(LEFT(Cockpit!$C$5,1)="B",AL1513,MAX(AL1513,H1513))),ROUNDUP(AJ1513,0)))</f>
        <v>20</v>
      </c>
      <c r="AG1513" s="50" t="n">
        <f aca="false">IF(BZ1513=1,0,ROUNDUP(AF1513/BY1513,0))</f>
        <v>1</v>
      </c>
      <c r="AH1513" s="52" t="n">
        <f aca="false">IF(CQ1513&gt;0,CQ1513*MAX(1,AF1513/X1513),IF(BZ1513=1,IF(AF1513&lt;=0,0,CD1513*MAX(1,IF(H1513&gt;0,AF1513/H1513,1))),IF(R1513&gt;0,AG1513/R1513,0))/MAX(0.1,N(Parameter!$M$21)))</f>
        <v>0.0384615384615385</v>
      </c>
      <c r="AI1513" s="50" t="n">
        <f aca="false">AH1513*CB1513</f>
        <v>5.96153846153846</v>
      </c>
      <c r="AJ1513" s="51" t="n">
        <f aca="false">IF(LEFT(Cockpit!$C$5,1)="A",H1513,IF(CH1513=1,(CK1513+CI1513)/2,IF(LEFT(Cockpit!$C$5,1)="B",(CK1513+AL1513)/2,MAX((CK1513+AL1513)/2,H1513))))</f>
        <v>20</v>
      </c>
      <c r="AK1513" s="50" t="n">
        <f aca="false">AJ1513*G1513</f>
        <v>389</v>
      </c>
      <c r="AL1513" s="50" t="n">
        <f aca="false">ROUNDUP(CK1513+MAX(CL1513,2*(J1513/IF(CG1513&gt;0,CG1513,MAX(0.1,N(Cockpit!$C$6)))-CK1513)),0)</f>
        <v>10</v>
      </c>
      <c r="AM1513" s="51" t="n">
        <f aca="false">IF(AI1513&gt;0,J1513/AI1513,-1)</f>
        <v>0</v>
      </c>
      <c r="AN1513" s="51" t="n">
        <f aca="false">IF(AND(OR(CF1513="L1",CF1513="L23",CF1513="LIFT"),AI1513&gt;0),SUMIFS($AI$7:$AI$1843,$CF$7:$CF$1843,CF1513,$AM$7:$AM$1843,"&gt;"&amp;AM1513)+SUMIFS($AI$7:$AI$1843,$CF$7:$CF$1843,CF1513,$AM$7:$AM$1843,AM1513,$BW$7:$BW$1843,"&lt;="&amp;BW1513),"")</f>
        <v>29949.8231152087</v>
      </c>
      <c r="AO1513" s="58" t="n">
        <f aca="false">IF(AN1513="",0,MAX(0,MIN(1,(IF(CF1513="L1",Parameter!$H$5,IF(CF1513="L23",Parameter!$H$6+Parameter!$H$7,Parameter!$H$5+Parameter!$H$6+Parameter!$H$7))-(AN1513-AI1513))/AI1513)))</f>
        <v>1</v>
      </c>
      <c r="AP1513" s="50" t="n">
        <f aca="false">IF(LEFT(Cockpit!$I$5,1)="A",H1513,IF(Parameter!$E$30="MAX-Bestand",IF(CH1513=1,CI1513,IF(LEFT(Cockpit!$I$5,1)="B",AV1513,MAX(AV1513,H1513))),ROUNDUP(AT1513,0)))</f>
        <v>20</v>
      </c>
      <c r="AQ1513" s="50" t="n">
        <f aca="false">IF(BZ1513=1,0,ROUNDUP(AP1513/BY1513,0))</f>
        <v>1</v>
      </c>
      <c r="AR1513" s="52" t="n">
        <f aca="false">IF(CQ1513&gt;0,CQ1513*MAX(1,AP1513/X1513),IF(BZ1513=1,IF(AP1513&lt;=0,0,CD1513*MAX(1,IF(H1513&gt;0,AP1513/H1513,1))),IF(R1513&gt;0,AQ1513/R1513,0))/MAX(0.1,N(Parameter!$M$21)))</f>
        <v>0.0384615384615385</v>
      </c>
      <c r="AS1513" s="50" t="n">
        <f aca="false">AR1513*CB1513</f>
        <v>5.96153846153846</v>
      </c>
      <c r="AT1513" s="51" t="n">
        <f aca="false">IF(LEFT(Cockpit!$I$5,1)="A",H1513,IF(CH1513=1,(CK1513+CI1513)/2,IF(LEFT(Cockpit!$I$5,1)="B",(CK1513+AV1513)/2,MAX((CK1513+AV1513)/2,H1513))))</f>
        <v>20</v>
      </c>
      <c r="AU1513" s="50" t="n">
        <f aca="false">AT1513*G1513</f>
        <v>389</v>
      </c>
      <c r="AV1513" s="50" t="n">
        <f aca="false">ROUNDUP(CK1513+MAX(CL1513,2*(J1513/IF(CG1513&gt;0,CG1513,MAX(0.1,N(Cockpit!$I$6)))-CK1513)),0)</f>
        <v>10</v>
      </c>
      <c r="AW1513" s="51" t="n">
        <f aca="false">IF(AS1513&gt;0,J1513/AS1513,-1)</f>
        <v>0</v>
      </c>
      <c r="AX1513" s="51" t="n">
        <f aca="false">IF(AND(OR(CF1513="L1",CF1513="L23",CF1513="LIFT"),AS1513&gt;0),SUMIFS($AS$7:$AS$1843,$CF$7:$CF$1843,CF1513,$AW$7:$AW$1843,"&gt;"&amp;AW1513)+SUMIFS($AS$7:$AS$1843,$CF$7:$CF$1843,CF1513,$AW$7:$AW$1843,AW1513,$BW$7:$BW$1843,"&lt;="&amp;BW1513),"")</f>
        <v>36256.3939177583</v>
      </c>
      <c r="AY1513" s="58" t="n">
        <f aca="false">IF(AX1513="",0,MAX(0,MIN(1,(IF(CF1513="L1",Parameter!$H$5,IF(CF1513="L23",Parameter!$H$6+Parameter!$H$7,Parameter!$H$5+Parameter!$H$6+Parameter!$H$7))-(AX1513-AS1513))/AS1513)))</f>
        <v>0</v>
      </c>
      <c r="AZ1513" s="50" t="n">
        <f aca="false">IF(LEFT(Cockpit!$O$5,1)="A",H1513,IF(Parameter!$E$30="MAX-Bestand",IF(CH1513=1,CI1513,IF(LEFT(Cockpit!$O$5,1)="B",BF1513,MAX(BF1513,H1513))),ROUNDUP(BD1513,0)))</f>
        <v>5</v>
      </c>
      <c r="BA1513" s="50" t="n">
        <f aca="false">IF(BZ1513=1,0,ROUNDUP(AZ1513/BY1513,0))</f>
        <v>1</v>
      </c>
      <c r="BB1513" s="52" t="n">
        <f aca="false">IF(CQ1513&gt;0,CQ1513*MAX(1,AZ1513/X1513),IF(BZ1513=1,IF(AZ1513&lt;=0,0,CD1513*MAX(1,IF(H1513&gt;0,AZ1513/H1513,1))),IF(R1513&gt;0,BA1513/R1513,0))/MAX(0.1,N(Parameter!$M$21)))</f>
        <v>0.0384615384615385</v>
      </c>
      <c r="BC1513" s="50" t="n">
        <f aca="false">BB1513*CB1513</f>
        <v>5.96153846153846</v>
      </c>
      <c r="BD1513" s="51" t="n">
        <f aca="false">IF(LEFT(Cockpit!$O$5,1)="A",H1513,IF(CH1513=1,(CK1513+CI1513)/2,IF(LEFT(Cockpit!$O$5,1)="B",(CK1513+BF1513)/2,MAX((CK1513+BF1513)/2,H1513))))</f>
        <v>5</v>
      </c>
      <c r="BE1513" s="50" t="n">
        <f aca="false">BD1513*G1513</f>
        <v>97.25</v>
      </c>
      <c r="BF1513" s="50" t="n">
        <f aca="false">ROUNDUP(CK1513+MAX(CL1513,2*(J1513/IF(CG1513&gt;0,CG1513,MAX(0.1,N(Cockpit!$O$6)))-CK1513)),0)</f>
        <v>10</v>
      </c>
      <c r="BG1513" s="51" t="n">
        <f aca="false">IF(BC1513&gt;0,J1513/BC1513,-1)</f>
        <v>0</v>
      </c>
      <c r="BH1513" s="51" t="n">
        <f aca="false">IF(AND(OR(CF1513="L1",CF1513="L23",CF1513="LIFT"),BC1513&gt;0),SUMIFS($BC$7:$BC$1843,$CF$7:$CF$1843,CF1513,$BG$7:$BG$1843,"&gt;"&amp;BG1513)+SUMIFS($BC$7:$BC$1843,$CF$7:$CF$1843,CF1513,$BG$7:$BG$1843,BG1513,$BW$7:$BW$1843,"&lt;="&amp;BW1513),"")</f>
        <v>30194.5851932907</v>
      </c>
      <c r="BI1513" s="58" t="n">
        <f aca="false">IF(BH1513="",0,MAX(0,MIN(1,(IF(CF1513="L1",Parameter!$H$5,IF(CF1513="L23",Parameter!$H$6+Parameter!$H$7,Parameter!$H$5+Parameter!$H$6+Parameter!$H$7))-(BH1513-BC1513))/BC1513)))</f>
        <v>1</v>
      </c>
      <c r="BJ1513" s="48" t="str">
        <f aca="false">IF(AI1513&lt;=0,"",IF(CF1513="Aussen","Aussenlager",IF(CF1513="-","Nicht im Lift",IF(AO1513&gt;=1,"Lift",IF(AO1513&lt;=0,"Aussenlager","teilweise")))))</f>
        <v>Lift</v>
      </c>
      <c r="BK1513" s="48" t="str">
        <f aca="false">IF(AS1513&lt;=0,"",IF(CF1513="Aussen","Aussenlager",IF(CF1513="-","Nicht im Lift",IF(AY1513&gt;=1,"Lift",IF(AY1513&lt;=0,"Aussenlager","teilweise")))))</f>
        <v>Aussenlager</v>
      </c>
      <c r="BL1513" s="48" t="str">
        <f aca="false">IF(BC1513&lt;=0,"",IF(CF1513="Aussen","Aussenlager",IF(CF1513="-","Nicht im Lift",IF(BI1513&gt;=1,"Lift",IF(BI1513&lt;=0,"Aussenlager","teilweise")))))</f>
        <v>Lift</v>
      </c>
      <c r="BM1513" s="48" t="str">
        <f aca="false">IF(A1513="","",IF(BV1513=1,"Neu; ","")&amp;IF(AND(BV1513=0,BQ1513&lt;0),"negativer Bestand (Export "&amp;BQ1513&amp;"); ","")&amp;IF(J1513&lt;=0,"Kein Verbrauch; ","")&amp;IF(CQ1513&gt;0,"Lift "&amp;W1513&amp;" lt. Liftbericht (Fach "&amp;X1513&amp;" Stk); ",IF(CA1513=1,"Gebinde geschätzt ("&amp;T1513&amp;"); ",IF(BZ1513=1,"Lose – Tablare geschätzt; ","")))&amp;IF(H1513&gt;AV1513,"Überbestand "&amp;ROUND(H1513-AV1513,0)&amp;" Stk / CHF "&amp;ROUND((H1513-AV1513)*G1513,0)&amp;"; ","")&amp;IF(AND(CH1513=1,CI1513&lt;CJ1513),"MAX &lt; MB+LG; ","")&amp;IF(AND(CP1513&gt;0,CO1513*10&gt;CP1513),"zu hoch für Tablar; ","")&amp;IF(AND(BV1513=0,OR(CH1513=1,AA1513&lt;&gt;"",U1513&lt;&gt;"",V1513&lt;&gt;"",AB1513&lt;&gt;"")),"manuell übersteuert; ","")&amp;IF(AND(BZ1513=0,R1513=0),"Gebinde unbekannt / Stellmass fehlt; ","")&amp;IF(AND(BZ1513=0,N(V1513)&lt;=0,N(Q1513)&lt;=0),"Menge pro Gebinde fehlt (Ist = 1 Gebinde); ","")&amp;BU1513)</f>
        <v>Kein Verbrauch; Überbestand 10 Stk / CHF 195; nur im Artikelstamm (Bestand 23.06.2026); Verb.Lager</v>
      </c>
      <c r="BN1513" s="48"/>
      <c r="BO1513" s="48"/>
      <c r="BP1513" s="55"/>
      <c r="BQ1513" s="50" t="n">
        <v>20</v>
      </c>
      <c r="BR1513" s="50" t="n">
        <v>0</v>
      </c>
      <c r="BS1513" s="49" t="n">
        <v>0</v>
      </c>
      <c r="BT1513" s="50" t="n">
        <v>0</v>
      </c>
      <c r="BU1513" s="48" t="s">
        <v>2578</v>
      </c>
      <c r="BV1513" s="53" t="n">
        <v>0</v>
      </c>
      <c r="BW1513" s="53" t="n">
        <v>1513</v>
      </c>
      <c r="BX1513" s="48" t="str">
        <f aca="false">IF(U1513&lt;&gt;"",UPPER(TRIM(U1513)),IF(CA1513=1,UPPER(VLOOKUP(T1513,Parameter!$I$27:$K$29,2,0)),IF(P1513="","LOSE",P1513)))</f>
        <v>S51</v>
      </c>
      <c r="BY1513" s="50" t="n">
        <f aca="false">IF(BX1513="LOSE",1,IF(N(V1513)&gt;0,V1513,IF(CA1513=1,MAX(1,N(VLOOKUP(T1513,Parameter!$I$27:$K$29,3,0)),H1513,N(N1513)),IF(N(Q1513)&gt;0,Q1513,MAX(1,H1513)))))</f>
        <v>20</v>
      </c>
      <c r="BZ1513" s="53" t="n">
        <f aca="false">IF(BX1513="LOSE",1,0)</f>
        <v>0</v>
      </c>
      <c r="CA1513" s="53" t="n">
        <f aca="false">IF(AND(U1513="",OR(P1513="",P1513="LOSE"),T1513&lt;&gt;"",N(S1513)&lt;=0,ISNUMBER(MATCH(T1513,Parameter!$I$27:$I$29,0))),1,0)</f>
        <v>0</v>
      </c>
      <c r="CB1513" s="53" t="n">
        <f aca="false">IF(CQ1513&gt;0,INDEX(Parameter!$H$5:$H$7,W1513)/INDEX(Parameter!$E$5:$E$7,W1513),IF(AND(BZ1513=0,N(IFERROR(VLOOKUP(BX1513,'Gebinde-Kategorie'!$A$5:$N$45,14,0),0))&gt;0),VLOOKUP(BX1513,'Gebinde-Kategorie'!$A$5:$N$45,14,0)*10+Parameter!$M$23,Parameter!$M$24))</f>
        <v>155</v>
      </c>
      <c r="CC1513" s="48" t="str">
        <f aca="false">IF(AND(Parameter!$B$19="Ja",E1513&lt;&gt;"",ISNUMBER(MATCH(E1513,Parameter!$I$35:$I$52,0))),VLOOKUP(E1513,Parameter!$I$35:$J$52,2,0),IFERROR(VLOOKUP(D1513,Parameter!$A$35:$C$64,2,0),"Nein"))</f>
        <v>2+3</v>
      </c>
      <c r="CD1513" s="52" t="n">
        <f aca="false">IF(BZ1513=0,0,IF(N(S1513)&gt;0,S1513,IFERROR(VLOOKUP(D1513,Parameter!$A$35:$C$64,3,0)+0,0)))</f>
        <v>0</v>
      </c>
      <c r="CE1513" s="48" t="n">
        <f aca="false">IF(AA1513&lt;&gt;"",AA1513,Z1513)</f>
        <v>3</v>
      </c>
      <c r="CF1513" s="48" t="str">
        <f aca="false">IF(OR(CE1513=1,CE1513=2,CE1513=3),IF(Parameter!$E$27="Ja","LIFT",IF(CE1513=1,"L1","L23")),IF(CE1513="Aussen","Aussen","-"))</f>
        <v>LIFT</v>
      </c>
      <c r="CG1513" s="59" t="n">
        <f aca="false">IF(N(AB1513)&gt;0,AB1513,0)</f>
        <v>0</v>
      </c>
      <c r="CH1513" s="53" t="n">
        <f aca="false">IF(ISNUMBER(AE1513),1,0)</f>
        <v>0</v>
      </c>
      <c r="CI1513" s="50" t="n">
        <f aca="false">N(AE1513)</f>
        <v>0</v>
      </c>
      <c r="CJ1513" s="50" t="n">
        <f aca="false">N(M1513)+N(N1513)</f>
        <v>10</v>
      </c>
      <c r="CK1513" s="50" t="n">
        <f aca="false">N(M1513)</f>
        <v>0</v>
      </c>
      <c r="CL1513" s="50" t="n">
        <f aca="false">N(N1513)</f>
        <v>10</v>
      </c>
      <c r="CM1513" s="50" t="n">
        <f aca="false">ROUNDUP(H1513/BY1513,0)</f>
        <v>1</v>
      </c>
      <c r="CN1513" s="50" t="n">
        <f aca="false">ROUNDUP(CI1513/BY1513,0)</f>
        <v>0</v>
      </c>
      <c r="CO1513" s="53" t="n">
        <f aca="false">IF(BZ1513=1,0,IFERROR(VLOOKUP(BX1513,'Gebinde-Kategorie'!$A$5:$N$45,5,0)+0,0))</f>
        <v>11</v>
      </c>
      <c r="CP1513" s="53" t="n">
        <f aca="false">IFERROR(IF(OR(CE1513=1,CE1513=2,CE1513=3),N(INDEX(Parameter!$I$5:$I$7,CE1513)),0),0)</f>
        <v>0</v>
      </c>
      <c r="CQ1513" s="52" t="n">
        <f aca="false">IF(AND(Parameter!$B$21="Ja",ISNUMBER(W1513),N(X1513)&gt;0),IFERROR(N(INDEX(Parameter!$L$5:$L$7,W1513))*INDEX(Parameter!$E$5:$E$7,W1513)*X1513/SUMIFS($X$7:$X$1843,$W$7:$W$1843,W1513),0),0)</f>
        <v>0</v>
      </c>
    </row>
    <row r="1514" customFormat="false" ht="15" hidden="false" customHeight="false" outlineLevel="0" collapsed="false">
      <c r="A1514" s="48" t="s">
        <v>2657</v>
      </c>
      <c r="B1514" s="48" t="s">
        <v>2658</v>
      </c>
      <c r="C1514" s="48" t="s">
        <v>173</v>
      </c>
      <c r="D1514" s="48" t="s">
        <v>193</v>
      </c>
      <c r="E1514" s="48" t="s">
        <v>194</v>
      </c>
      <c r="F1514" s="48"/>
      <c r="G1514" s="49" t="n">
        <v>25.92</v>
      </c>
      <c r="H1514" s="50" t="n">
        <f aca="false">MAX(0,IF(AND(Parameter!$B$21="Ja",ISNUMBER(Y1514)),Y1514,IF(Parameter!$B$20="Jahresanfang 2025 + Export",BR1514+BQ1514,BQ1514)))</f>
        <v>12</v>
      </c>
      <c r="I1514" s="50" t="n">
        <f aca="false">H1514*G1514</f>
        <v>311.04</v>
      </c>
      <c r="J1514" s="50" t="n">
        <f aca="false">BT1514*Parameter!$B$18</f>
        <v>0</v>
      </c>
      <c r="K1514" s="51"/>
      <c r="L1514" s="52"/>
      <c r="M1514" s="50" t="n">
        <v>0</v>
      </c>
      <c r="N1514" s="50" t="n">
        <v>3</v>
      </c>
      <c r="O1514" s="53" t="n">
        <v>28</v>
      </c>
      <c r="P1514" s="48" t="s">
        <v>430</v>
      </c>
      <c r="Q1514" s="50" t="n">
        <v>12</v>
      </c>
      <c r="R1514" s="53" t="n">
        <f aca="false">IF(BZ1514=1,0,IFERROR(VLOOKUP(BX1514,'Gebinde-Kategorie'!$A$5:$N$45,13,0)+0,0))</f>
        <v>104</v>
      </c>
      <c r="S1514" s="54"/>
      <c r="T1514" s="55"/>
      <c r="U1514" s="55"/>
      <c r="V1514" s="55"/>
      <c r="W1514" s="48"/>
      <c r="X1514" s="50"/>
      <c r="Y1514" s="50"/>
      <c r="Z1514" s="48" t="n">
        <f aca="false">IF(A1514="","",IF(AND(Parameter!$B$21="Ja",ISNUMBER(W1514)),W1514,IF(CC1514="2+3",IF(ISNUMBER(SEARCH("grosser Artikel",BU1514)),2,IFERROR(VLOOKUP(BX1514,Parameter!$F$35:$G$64,2,0),2)),IF(OR(CC1514="Nein",CC1514=""),"-",CC1514))))</f>
        <v>3</v>
      </c>
      <c r="AA1514" s="55"/>
      <c r="AB1514" s="56"/>
      <c r="AC1514" s="50" t="n">
        <f aca="false">AV1514</f>
        <v>3</v>
      </c>
      <c r="AD1514" s="50" t="n">
        <f aca="false">MAX(AV1514,H1514)</f>
        <v>12</v>
      </c>
      <c r="AE1514" s="57"/>
      <c r="AF1514" s="50" t="n">
        <f aca="false">IF(LEFT(Cockpit!$C$5,1)="A",H1514,IF(Parameter!$E$30="MAX-Bestand",IF(CH1514=1,CI1514,IF(LEFT(Cockpit!$C$5,1)="B",AL1514,MAX(AL1514,H1514))),ROUNDUP(AJ1514,0)))</f>
        <v>12</v>
      </c>
      <c r="AG1514" s="50" t="n">
        <f aca="false">IF(BZ1514=1,0,ROUNDUP(AF1514/BY1514,0))</f>
        <v>1</v>
      </c>
      <c r="AH1514" s="52" t="n">
        <f aca="false">IF(CQ1514&gt;0,CQ1514*MAX(1,AF1514/X1514),IF(BZ1514=1,IF(AF1514&lt;=0,0,CD1514*MAX(1,IF(H1514&gt;0,AF1514/H1514,1))),IF(R1514&gt;0,AG1514/R1514,0))/MAX(0.1,N(Parameter!$M$21)))</f>
        <v>0.00961538461538462</v>
      </c>
      <c r="AI1514" s="50" t="n">
        <f aca="false">AH1514*CB1514</f>
        <v>1.49038461538462</v>
      </c>
      <c r="AJ1514" s="51" t="n">
        <f aca="false">IF(LEFT(Cockpit!$C$5,1)="A",H1514,IF(CH1514=1,(CK1514+CI1514)/2,IF(LEFT(Cockpit!$C$5,1)="B",(CK1514+AL1514)/2,MAX((CK1514+AL1514)/2,H1514))))</f>
        <v>12</v>
      </c>
      <c r="AK1514" s="50" t="n">
        <f aca="false">AJ1514*G1514</f>
        <v>311.04</v>
      </c>
      <c r="AL1514" s="50" t="n">
        <f aca="false">ROUNDUP(CK1514+MAX(CL1514,2*(J1514/IF(CG1514&gt;0,CG1514,MAX(0.1,N(Cockpit!$C$6)))-CK1514)),0)</f>
        <v>3</v>
      </c>
      <c r="AM1514" s="51" t="n">
        <f aca="false">IF(AI1514&gt;0,J1514/AI1514,-1)</f>
        <v>0</v>
      </c>
      <c r="AN1514" s="51" t="n">
        <f aca="false">IF(AND(OR(CF1514="L1",CF1514="L23",CF1514="LIFT"),AI1514&gt;0),SUMIFS($AI$7:$AI$1843,$CF$7:$CF$1843,CF1514,$AM$7:$AM$1843,"&gt;"&amp;AM1514)+SUMIFS($AI$7:$AI$1843,$CF$7:$CF$1843,CF1514,$AM$7:$AM$1843,AM1514,$BW$7:$BW$1843,"&lt;="&amp;BW1514),"")</f>
        <v>29951.3134998241</v>
      </c>
      <c r="AO1514" s="58" t="n">
        <f aca="false">IF(AN1514="",0,MAX(0,MIN(1,(IF(CF1514="L1",Parameter!$H$5,IF(CF1514="L23",Parameter!$H$6+Parameter!$H$7,Parameter!$H$5+Parameter!$H$6+Parameter!$H$7))-(AN1514-AI1514))/AI1514)))</f>
        <v>1</v>
      </c>
      <c r="AP1514" s="50" t="n">
        <f aca="false">IF(LEFT(Cockpit!$I$5,1)="A",H1514,IF(Parameter!$E$30="MAX-Bestand",IF(CH1514=1,CI1514,IF(LEFT(Cockpit!$I$5,1)="B",AV1514,MAX(AV1514,H1514))),ROUNDUP(AT1514,0)))</f>
        <v>12</v>
      </c>
      <c r="AQ1514" s="50" t="n">
        <f aca="false">IF(BZ1514=1,0,ROUNDUP(AP1514/BY1514,0))</f>
        <v>1</v>
      </c>
      <c r="AR1514" s="52" t="n">
        <f aca="false">IF(CQ1514&gt;0,CQ1514*MAX(1,AP1514/X1514),IF(BZ1514=1,IF(AP1514&lt;=0,0,CD1514*MAX(1,IF(H1514&gt;0,AP1514/H1514,1))),IF(R1514&gt;0,AQ1514/R1514,0))/MAX(0.1,N(Parameter!$M$21)))</f>
        <v>0.00961538461538462</v>
      </c>
      <c r="AS1514" s="50" t="n">
        <f aca="false">AR1514*CB1514</f>
        <v>1.49038461538462</v>
      </c>
      <c r="AT1514" s="51" t="n">
        <f aca="false">IF(LEFT(Cockpit!$I$5,1)="A",H1514,IF(CH1514=1,(CK1514+CI1514)/2,IF(LEFT(Cockpit!$I$5,1)="B",(CK1514+AV1514)/2,MAX((CK1514+AV1514)/2,H1514))))</f>
        <v>12</v>
      </c>
      <c r="AU1514" s="50" t="n">
        <f aca="false">AT1514*G1514</f>
        <v>311.04</v>
      </c>
      <c r="AV1514" s="50" t="n">
        <f aca="false">ROUNDUP(CK1514+MAX(CL1514,2*(J1514/IF(CG1514&gt;0,CG1514,MAX(0.1,N(Cockpit!$I$6)))-CK1514)),0)</f>
        <v>3</v>
      </c>
      <c r="AW1514" s="51" t="n">
        <f aca="false">IF(AS1514&gt;0,J1514/AS1514,-1)</f>
        <v>0</v>
      </c>
      <c r="AX1514" s="51" t="n">
        <f aca="false">IF(AND(OR(CF1514="L1",CF1514="L23",CF1514="LIFT"),AS1514&gt;0),SUMIFS($AS$7:$AS$1843,$CF$7:$CF$1843,CF1514,$AW$7:$AW$1843,"&gt;"&amp;AW1514)+SUMIFS($AS$7:$AS$1843,$CF$7:$CF$1843,CF1514,$AW$7:$AW$1843,AW1514,$BW$7:$BW$1843,"&lt;="&amp;BW1514),"")</f>
        <v>36257.8843023737</v>
      </c>
      <c r="AY1514" s="58" t="n">
        <f aca="false">IF(AX1514="",0,MAX(0,MIN(1,(IF(CF1514="L1",Parameter!$H$5,IF(CF1514="L23",Parameter!$H$6+Parameter!$H$7,Parameter!$H$5+Parameter!$H$6+Parameter!$H$7))-(AX1514-AS1514))/AS1514)))</f>
        <v>0</v>
      </c>
      <c r="AZ1514" s="50" t="n">
        <f aca="false">IF(LEFT(Cockpit!$O$5,1)="A",H1514,IF(Parameter!$E$30="MAX-Bestand",IF(CH1514=1,CI1514,IF(LEFT(Cockpit!$O$5,1)="B",BF1514,MAX(BF1514,H1514))),ROUNDUP(BD1514,0)))</f>
        <v>2</v>
      </c>
      <c r="BA1514" s="50" t="n">
        <f aca="false">IF(BZ1514=1,0,ROUNDUP(AZ1514/BY1514,0))</f>
        <v>1</v>
      </c>
      <c r="BB1514" s="52" t="n">
        <f aca="false">IF(CQ1514&gt;0,CQ1514*MAX(1,AZ1514/X1514),IF(BZ1514=1,IF(AZ1514&lt;=0,0,CD1514*MAX(1,IF(H1514&gt;0,AZ1514/H1514,1))),IF(R1514&gt;0,BA1514/R1514,0))/MAX(0.1,N(Parameter!$M$21)))</f>
        <v>0.00961538461538462</v>
      </c>
      <c r="BC1514" s="50" t="n">
        <f aca="false">BB1514*CB1514</f>
        <v>1.49038461538462</v>
      </c>
      <c r="BD1514" s="51" t="n">
        <f aca="false">IF(LEFT(Cockpit!$O$5,1)="A",H1514,IF(CH1514=1,(CK1514+CI1514)/2,IF(LEFT(Cockpit!$O$5,1)="B",(CK1514+BF1514)/2,MAX((CK1514+BF1514)/2,H1514))))</f>
        <v>1.5</v>
      </c>
      <c r="BE1514" s="50" t="n">
        <f aca="false">BD1514*G1514</f>
        <v>38.88</v>
      </c>
      <c r="BF1514" s="50" t="n">
        <f aca="false">ROUNDUP(CK1514+MAX(CL1514,2*(J1514/IF(CG1514&gt;0,CG1514,MAX(0.1,N(Cockpit!$O$6)))-CK1514)),0)</f>
        <v>3</v>
      </c>
      <c r="BG1514" s="51" t="n">
        <f aca="false">IF(BC1514&gt;0,J1514/BC1514,-1)</f>
        <v>0</v>
      </c>
      <c r="BH1514" s="51" t="n">
        <f aca="false">IF(AND(OR(CF1514="L1",CF1514="L23",CF1514="LIFT"),BC1514&gt;0),SUMIFS($BC$7:$BC$1843,$CF$7:$CF$1843,CF1514,$BG$7:$BG$1843,"&gt;"&amp;BG1514)+SUMIFS($BC$7:$BC$1843,$CF$7:$CF$1843,CF1514,$BG$7:$BG$1843,BG1514,$BW$7:$BW$1843,"&lt;="&amp;BW1514),"")</f>
        <v>30196.0755779061</v>
      </c>
      <c r="BI1514" s="58" t="n">
        <f aca="false">IF(BH1514="",0,MAX(0,MIN(1,(IF(CF1514="L1",Parameter!$H$5,IF(CF1514="L23",Parameter!$H$6+Parameter!$H$7,Parameter!$H$5+Parameter!$H$6+Parameter!$H$7))-(BH1514-BC1514))/BC1514)))</f>
        <v>1</v>
      </c>
      <c r="BJ1514" s="48" t="str">
        <f aca="false">IF(AI1514&lt;=0,"",IF(CF1514="Aussen","Aussenlager",IF(CF1514="-","Nicht im Lift",IF(AO1514&gt;=1,"Lift",IF(AO1514&lt;=0,"Aussenlager","teilweise")))))</f>
        <v>Lift</v>
      </c>
      <c r="BK1514" s="48" t="str">
        <f aca="false">IF(AS1514&lt;=0,"",IF(CF1514="Aussen","Aussenlager",IF(CF1514="-","Nicht im Lift",IF(AY1514&gt;=1,"Lift",IF(AY1514&lt;=0,"Aussenlager","teilweise")))))</f>
        <v>Aussenlager</v>
      </c>
      <c r="BL1514" s="48" t="str">
        <f aca="false">IF(BC1514&lt;=0,"",IF(CF1514="Aussen","Aussenlager",IF(CF1514="-","Nicht im Lift",IF(BI1514&gt;=1,"Lift",IF(BI1514&lt;=0,"Aussenlager","teilweise")))))</f>
        <v>Lift</v>
      </c>
      <c r="BM1514" s="48" t="str">
        <f aca="false">IF(A1514="","",IF(BV1514=1,"Neu; ","")&amp;IF(AND(BV1514=0,BQ1514&lt;0),"negativer Bestand (Export "&amp;BQ1514&amp;"); ","")&amp;IF(J1514&lt;=0,"Kein Verbrauch; ","")&amp;IF(CQ1514&gt;0,"Lift "&amp;W1514&amp;" lt. Liftbericht (Fach "&amp;X1514&amp;" Stk); ",IF(CA1514=1,"Gebinde geschätzt ("&amp;T1514&amp;"); ",IF(BZ1514=1,"Lose – Tablare geschätzt; ","")))&amp;IF(H1514&gt;AV1514,"Überbestand "&amp;ROUND(H1514-AV1514,0)&amp;" Stk / CHF "&amp;ROUND((H1514-AV1514)*G1514,0)&amp;"; ","")&amp;IF(AND(CH1514=1,CI1514&lt;CJ1514),"MAX &lt; MB+LG; ","")&amp;IF(AND(CP1514&gt;0,CO1514*10&gt;CP1514),"zu hoch für Tablar; ","")&amp;IF(AND(BV1514=0,OR(CH1514=1,AA1514&lt;&gt;"",U1514&lt;&gt;"",V1514&lt;&gt;"",AB1514&lt;&gt;"")),"manuell übersteuert; ","")&amp;IF(AND(BZ1514=0,R1514=0),"Gebinde unbekannt / Stellmass fehlt; ","")&amp;IF(AND(BZ1514=0,N(V1514)&lt;=0,N(Q1514)&lt;=0),"Menge pro Gebinde fehlt (Ist = 1 Gebinde); ","")&amp;BU1514)</f>
        <v>Kein Verbrauch; Überbestand 9 Stk / CHF 233; nur im Artikelstamm (Bestand 23.06.2026); Verb.Lager</v>
      </c>
      <c r="BN1514" s="48"/>
      <c r="BO1514" s="48"/>
      <c r="BP1514" s="55"/>
      <c r="BQ1514" s="50" t="n">
        <v>12</v>
      </c>
      <c r="BR1514" s="50" t="n">
        <v>0</v>
      </c>
      <c r="BS1514" s="49" t="n">
        <v>0</v>
      </c>
      <c r="BT1514" s="50" t="n">
        <v>0</v>
      </c>
      <c r="BU1514" s="48" t="s">
        <v>2578</v>
      </c>
      <c r="BV1514" s="53" t="n">
        <v>0</v>
      </c>
      <c r="BW1514" s="53" t="n">
        <v>1514</v>
      </c>
      <c r="BX1514" s="48" t="str">
        <f aca="false">IF(U1514&lt;&gt;"",UPPER(TRIM(U1514)),IF(CA1514=1,UPPER(VLOOKUP(T1514,Parameter!$I$27:$K$29,2,0)),IF(P1514="","LOSE",P1514)))</f>
        <v>S32</v>
      </c>
      <c r="BY1514" s="50" t="n">
        <f aca="false">IF(BX1514="LOSE",1,IF(N(V1514)&gt;0,V1514,IF(CA1514=1,MAX(1,N(VLOOKUP(T1514,Parameter!$I$27:$K$29,3,0)),H1514,N(N1514)),IF(N(Q1514)&gt;0,Q1514,MAX(1,H1514)))))</f>
        <v>12</v>
      </c>
      <c r="BZ1514" s="53" t="n">
        <f aca="false">IF(BX1514="LOSE",1,0)</f>
        <v>0</v>
      </c>
      <c r="CA1514" s="53" t="n">
        <f aca="false">IF(AND(U1514="",OR(P1514="",P1514="LOSE"),T1514&lt;&gt;"",N(S1514)&lt;=0,ISNUMBER(MATCH(T1514,Parameter!$I$27:$I$29,0))),1,0)</f>
        <v>0</v>
      </c>
      <c r="CB1514" s="53" t="n">
        <f aca="false">IF(CQ1514&gt;0,INDEX(Parameter!$H$5:$H$7,W1514)/INDEX(Parameter!$E$5:$E$7,W1514),IF(AND(BZ1514=0,N(IFERROR(VLOOKUP(BX1514,'Gebinde-Kategorie'!$A$5:$N$45,14,0),0))&gt;0),VLOOKUP(BX1514,'Gebinde-Kategorie'!$A$5:$N$45,14,0)*10+Parameter!$M$23,Parameter!$M$24))</f>
        <v>155</v>
      </c>
      <c r="CC1514" s="48" t="str">
        <f aca="false">IF(AND(Parameter!$B$19="Ja",E1514&lt;&gt;"",ISNUMBER(MATCH(E1514,Parameter!$I$35:$I$52,0))),VLOOKUP(E1514,Parameter!$I$35:$J$52,2,0),IFERROR(VLOOKUP(D1514,Parameter!$A$35:$C$64,2,0),"Nein"))</f>
        <v>2+3</v>
      </c>
      <c r="CD1514" s="52" t="n">
        <f aca="false">IF(BZ1514=0,0,IF(N(S1514)&gt;0,S1514,IFERROR(VLOOKUP(D1514,Parameter!$A$35:$C$64,3,0)+0,0)))</f>
        <v>0</v>
      </c>
      <c r="CE1514" s="48" t="n">
        <f aca="false">IF(AA1514&lt;&gt;"",AA1514,Z1514)</f>
        <v>3</v>
      </c>
      <c r="CF1514" s="48" t="str">
        <f aca="false">IF(OR(CE1514=1,CE1514=2,CE1514=3),IF(Parameter!$E$27="Ja","LIFT",IF(CE1514=1,"L1","L23")),IF(CE1514="Aussen","Aussen","-"))</f>
        <v>LIFT</v>
      </c>
      <c r="CG1514" s="59" t="n">
        <f aca="false">IF(N(AB1514)&gt;0,AB1514,0)</f>
        <v>0</v>
      </c>
      <c r="CH1514" s="53" t="n">
        <f aca="false">IF(ISNUMBER(AE1514),1,0)</f>
        <v>0</v>
      </c>
      <c r="CI1514" s="50" t="n">
        <f aca="false">N(AE1514)</f>
        <v>0</v>
      </c>
      <c r="CJ1514" s="50" t="n">
        <f aca="false">N(M1514)+N(N1514)</f>
        <v>3</v>
      </c>
      <c r="CK1514" s="50" t="n">
        <f aca="false">N(M1514)</f>
        <v>0</v>
      </c>
      <c r="CL1514" s="50" t="n">
        <f aca="false">N(N1514)</f>
        <v>3</v>
      </c>
      <c r="CM1514" s="50" t="n">
        <f aca="false">ROUNDUP(H1514/BY1514,0)</f>
        <v>1</v>
      </c>
      <c r="CN1514" s="50" t="n">
        <f aca="false">ROUNDUP(CI1514/BY1514,0)</f>
        <v>0</v>
      </c>
      <c r="CO1514" s="53" t="n">
        <f aca="false">IF(BZ1514=1,0,IFERROR(VLOOKUP(BX1514,'Gebinde-Kategorie'!$A$5:$N$45,5,0)+0,0))</f>
        <v>8</v>
      </c>
      <c r="CP1514" s="53" t="n">
        <f aca="false">IFERROR(IF(OR(CE1514=1,CE1514=2,CE1514=3),N(INDEX(Parameter!$I$5:$I$7,CE1514)),0),0)</f>
        <v>0</v>
      </c>
      <c r="CQ1514" s="52" t="n">
        <f aca="false">IF(AND(Parameter!$B$21="Ja",ISNUMBER(W1514),N(X1514)&gt;0),IFERROR(N(INDEX(Parameter!$L$5:$L$7,W1514))*INDEX(Parameter!$E$5:$E$7,W1514)*X1514/SUMIFS($X$7:$X$1843,$W$7:$W$1843,W1514),0),0)</f>
        <v>0</v>
      </c>
    </row>
    <row r="1515" customFormat="false" ht="15" hidden="false" customHeight="false" outlineLevel="0" collapsed="false">
      <c r="A1515" s="48" t="s">
        <v>2659</v>
      </c>
      <c r="B1515" s="48" t="s">
        <v>2660</v>
      </c>
      <c r="C1515" s="48" t="s">
        <v>173</v>
      </c>
      <c r="D1515" s="48" t="s">
        <v>193</v>
      </c>
      <c r="E1515" s="48" t="s">
        <v>194</v>
      </c>
      <c r="F1515" s="48"/>
      <c r="G1515" s="49" t="n">
        <v>40.36</v>
      </c>
      <c r="H1515" s="50" t="n">
        <f aca="false">MAX(0,IF(AND(Parameter!$B$21="Ja",ISNUMBER(Y1515)),Y1515,IF(Parameter!$B$20="Jahresanfang 2025 + Export",BR1515+BQ1515,BQ1515)))</f>
        <v>15</v>
      </c>
      <c r="I1515" s="50" t="n">
        <f aca="false">H1515*G1515</f>
        <v>605.4</v>
      </c>
      <c r="J1515" s="50" t="n">
        <f aca="false">BT1515*Parameter!$B$18</f>
        <v>0</v>
      </c>
      <c r="K1515" s="51"/>
      <c r="L1515" s="52"/>
      <c r="M1515" s="50" t="n">
        <v>0</v>
      </c>
      <c r="N1515" s="50" t="n">
        <v>10</v>
      </c>
      <c r="O1515" s="53" t="n">
        <v>0</v>
      </c>
      <c r="P1515" s="48" t="s">
        <v>430</v>
      </c>
      <c r="Q1515" s="50" t="n">
        <v>15</v>
      </c>
      <c r="R1515" s="53" t="n">
        <f aca="false">IF(BZ1515=1,0,IFERROR(VLOOKUP(BX1515,'Gebinde-Kategorie'!$A$5:$N$45,13,0)+0,0))</f>
        <v>104</v>
      </c>
      <c r="S1515" s="54"/>
      <c r="T1515" s="55"/>
      <c r="U1515" s="55"/>
      <c r="V1515" s="55"/>
      <c r="W1515" s="48"/>
      <c r="X1515" s="50"/>
      <c r="Y1515" s="50"/>
      <c r="Z1515" s="48" t="n">
        <f aca="false">IF(A1515="","",IF(AND(Parameter!$B$21="Ja",ISNUMBER(W1515)),W1515,IF(CC1515="2+3",IF(ISNUMBER(SEARCH("grosser Artikel",BU1515)),2,IFERROR(VLOOKUP(BX1515,Parameter!$F$35:$G$64,2,0),2)),IF(OR(CC1515="Nein",CC1515=""),"-",CC1515))))</f>
        <v>3</v>
      </c>
      <c r="AA1515" s="55"/>
      <c r="AB1515" s="56"/>
      <c r="AC1515" s="50" t="n">
        <f aca="false">AV1515</f>
        <v>10</v>
      </c>
      <c r="AD1515" s="50" t="n">
        <f aca="false">MAX(AV1515,H1515)</f>
        <v>15</v>
      </c>
      <c r="AE1515" s="57"/>
      <c r="AF1515" s="50" t="n">
        <f aca="false">IF(LEFT(Cockpit!$C$5,1)="A",H1515,IF(Parameter!$E$30="MAX-Bestand",IF(CH1515=1,CI1515,IF(LEFT(Cockpit!$C$5,1)="B",AL1515,MAX(AL1515,H1515))),ROUNDUP(AJ1515,0)))</f>
        <v>15</v>
      </c>
      <c r="AG1515" s="50" t="n">
        <f aca="false">IF(BZ1515=1,0,ROUNDUP(AF1515/BY1515,0))</f>
        <v>1</v>
      </c>
      <c r="AH1515" s="52" t="n">
        <f aca="false">IF(CQ1515&gt;0,CQ1515*MAX(1,AF1515/X1515),IF(BZ1515=1,IF(AF1515&lt;=0,0,CD1515*MAX(1,IF(H1515&gt;0,AF1515/H1515,1))),IF(R1515&gt;0,AG1515/R1515,0))/MAX(0.1,N(Parameter!$M$21)))</f>
        <v>0.00961538461538462</v>
      </c>
      <c r="AI1515" s="50" t="n">
        <f aca="false">AH1515*CB1515</f>
        <v>1.49038461538462</v>
      </c>
      <c r="AJ1515" s="51" t="n">
        <f aca="false">IF(LEFT(Cockpit!$C$5,1)="A",H1515,IF(CH1515=1,(CK1515+CI1515)/2,IF(LEFT(Cockpit!$C$5,1)="B",(CK1515+AL1515)/2,MAX((CK1515+AL1515)/2,H1515))))</f>
        <v>15</v>
      </c>
      <c r="AK1515" s="50" t="n">
        <f aca="false">AJ1515*G1515</f>
        <v>605.4</v>
      </c>
      <c r="AL1515" s="50" t="n">
        <f aca="false">ROUNDUP(CK1515+MAX(CL1515,2*(J1515/IF(CG1515&gt;0,CG1515,MAX(0.1,N(Cockpit!$C$6)))-CK1515)),0)</f>
        <v>10</v>
      </c>
      <c r="AM1515" s="51" t="n">
        <f aca="false">IF(AI1515&gt;0,J1515/AI1515,-1)</f>
        <v>0</v>
      </c>
      <c r="AN1515" s="51" t="n">
        <f aca="false">IF(AND(OR(CF1515="L1",CF1515="L23",CF1515="LIFT"),AI1515&gt;0),SUMIFS($AI$7:$AI$1843,$CF$7:$CF$1843,CF1515,$AM$7:$AM$1843,"&gt;"&amp;AM1515)+SUMIFS($AI$7:$AI$1843,$CF$7:$CF$1843,CF1515,$AM$7:$AM$1843,AM1515,$BW$7:$BW$1843,"&lt;="&amp;BW1515),"")</f>
        <v>29952.8038844395</v>
      </c>
      <c r="AO1515" s="58" t="n">
        <f aca="false">IF(AN1515="",0,MAX(0,MIN(1,(IF(CF1515="L1",Parameter!$H$5,IF(CF1515="L23",Parameter!$H$6+Parameter!$H$7,Parameter!$H$5+Parameter!$H$6+Parameter!$H$7))-(AN1515-AI1515))/AI1515)))</f>
        <v>1</v>
      </c>
      <c r="AP1515" s="50" t="n">
        <f aca="false">IF(LEFT(Cockpit!$I$5,1)="A",H1515,IF(Parameter!$E$30="MAX-Bestand",IF(CH1515=1,CI1515,IF(LEFT(Cockpit!$I$5,1)="B",AV1515,MAX(AV1515,H1515))),ROUNDUP(AT1515,0)))</f>
        <v>15</v>
      </c>
      <c r="AQ1515" s="50" t="n">
        <f aca="false">IF(BZ1515=1,0,ROUNDUP(AP1515/BY1515,0))</f>
        <v>1</v>
      </c>
      <c r="AR1515" s="52" t="n">
        <f aca="false">IF(CQ1515&gt;0,CQ1515*MAX(1,AP1515/X1515),IF(BZ1515=1,IF(AP1515&lt;=0,0,CD1515*MAX(1,IF(H1515&gt;0,AP1515/H1515,1))),IF(R1515&gt;0,AQ1515/R1515,0))/MAX(0.1,N(Parameter!$M$21)))</f>
        <v>0.00961538461538462</v>
      </c>
      <c r="AS1515" s="50" t="n">
        <f aca="false">AR1515*CB1515</f>
        <v>1.49038461538462</v>
      </c>
      <c r="AT1515" s="51" t="n">
        <f aca="false">IF(LEFT(Cockpit!$I$5,1)="A",H1515,IF(CH1515=1,(CK1515+CI1515)/2,IF(LEFT(Cockpit!$I$5,1)="B",(CK1515+AV1515)/2,MAX((CK1515+AV1515)/2,H1515))))</f>
        <v>15</v>
      </c>
      <c r="AU1515" s="50" t="n">
        <f aca="false">AT1515*G1515</f>
        <v>605.4</v>
      </c>
      <c r="AV1515" s="50" t="n">
        <f aca="false">ROUNDUP(CK1515+MAX(CL1515,2*(J1515/IF(CG1515&gt;0,CG1515,MAX(0.1,N(Cockpit!$I$6)))-CK1515)),0)</f>
        <v>10</v>
      </c>
      <c r="AW1515" s="51" t="n">
        <f aca="false">IF(AS1515&gt;0,J1515/AS1515,-1)</f>
        <v>0</v>
      </c>
      <c r="AX1515" s="51" t="n">
        <f aca="false">IF(AND(OR(CF1515="L1",CF1515="L23",CF1515="LIFT"),AS1515&gt;0),SUMIFS($AS$7:$AS$1843,$CF$7:$CF$1843,CF1515,$AW$7:$AW$1843,"&gt;"&amp;AW1515)+SUMIFS($AS$7:$AS$1843,$CF$7:$CF$1843,CF1515,$AW$7:$AW$1843,AW1515,$BW$7:$BW$1843,"&lt;="&amp;BW1515),"")</f>
        <v>36259.3746869891</v>
      </c>
      <c r="AY1515" s="58" t="n">
        <f aca="false">IF(AX1515="",0,MAX(0,MIN(1,(IF(CF1515="L1",Parameter!$H$5,IF(CF1515="L23",Parameter!$H$6+Parameter!$H$7,Parameter!$H$5+Parameter!$H$6+Parameter!$H$7))-(AX1515-AS1515))/AS1515)))</f>
        <v>0</v>
      </c>
      <c r="AZ1515" s="50" t="n">
        <f aca="false">IF(LEFT(Cockpit!$O$5,1)="A",H1515,IF(Parameter!$E$30="MAX-Bestand",IF(CH1515=1,CI1515,IF(LEFT(Cockpit!$O$5,1)="B",BF1515,MAX(BF1515,H1515))),ROUNDUP(BD1515,0)))</f>
        <v>5</v>
      </c>
      <c r="BA1515" s="50" t="n">
        <f aca="false">IF(BZ1515=1,0,ROUNDUP(AZ1515/BY1515,0))</f>
        <v>1</v>
      </c>
      <c r="BB1515" s="52" t="n">
        <f aca="false">IF(CQ1515&gt;0,CQ1515*MAX(1,AZ1515/X1515),IF(BZ1515=1,IF(AZ1515&lt;=0,0,CD1515*MAX(1,IF(H1515&gt;0,AZ1515/H1515,1))),IF(R1515&gt;0,BA1515/R1515,0))/MAX(0.1,N(Parameter!$M$21)))</f>
        <v>0.00961538461538462</v>
      </c>
      <c r="BC1515" s="50" t="n">
        <f aca="false">BB1515*CB1515</f>
        <v>1.49038461538462</v>
      </c>
      <c r="BD1515" s="51" t="n">
        <f aca="false">IF(LEFT(Cockpit!$O$5,1)="A",H1515,IF(CH1515=1,(CK1515+CI1515)/2,IF(LEFT(Cockpit!$O$5,1)="B",(CK1515+BF1515)/2,MAX((CK1515+BF1515)/2,H1515))))</f>
        <v>5</v>
      </c>
      <c r="BE1515" s="50" t="n">
        <f aca="false">BD1515*G1515</f>
        <v>201.8</v>
      </c>
      <c r="BF1515" s="50" t="n">
        <f aca="false">ROUNDUP(CK1515+MAX(CL1515,2*(J1515/IF(CG1515&gt;0,CG1515,MAX(0.1,N(Cockpit!$O$6)))-CK1515)),0)</f>
        <v>10</v>
      </c>
      <c r="BG1515" s="51" t="n">
        <f aca="false">IF(BC1515&gt;0,J1515/BC1515,-1)</f>
        <v>0</v>
      </c>
      <c r="BH1515" s="51" t="n">
        <f aca="false">IF(AND(OR(CF1515="L1",CF1515="L23",CF1515="LIFT"),BC1515&gt;0),SUMIFS($BC$7:$BC$1843,$CF$7:$CF$1843,CF1515,$BG$7:$BG$1843,"&gt;"&amp;BG1515)+SUMIFS($BC$7:$BC$1843,$CF$7:$CF$1843,CF1515,$BG$7:$BG$1843,BG1515,$BW$7:$BW$1843,"&lt;="&amp;BW1515),"")</f>
        <v>30197.5659625215</v>
      </c>
      <c r="BI1515" s="58" t="n">
        <f aca="false">IF(BH1515="",0,MAX(0,MIN(1,(IF(CF1515="L1",Parameter!$H$5,IF(CF1515="L23",Parameter!$H$6+Parameter!$H$7,Parameter!$H$5+Parameter!$H$6+Parameter!$H$7))-(BH1515-BC1515))/BC1515)))</f>
        <v>1</v>
      </c>
      <c r="BJ1515" s="48" t="str">
        <f aca="false">IF(AI1515&lt;=0,"",IF(CF1515="Aussen","Aussenlager",IF(CF1515="-","Nicht im Lift",IF(AO1515&gt;=1,"Lift",IF(AO1515&lt;=0,"Aussenlager","teilweise")))))</f>
        <v>Lift</v>
      </c>
      <c r="BK1515" s="48" t="str">
        <f aca="false">IF(AS1515&lt;=0,"",IF(CF1515="Aussen","Aussenlager",IF(CF1515="-","Nicht im Lift",IF(AY1515&gt;=1,"Lift",IF(AY1515&lt;=0,"Aussenlager","teilweise")))))</f>
        <v>Aussenlager</v>
      </c>
      <c r="BL1515" s="48" t="str">
        <f aca="false">IF(BC1515&lt;=0,"",IF(CF1515="Aussen","Aussenlager",IF(CF1515="-","Nicht im Lift",IF(BI1515&gt;=1,"Lift",IF(BI1515&lt;=0,"Aussenlager","teilweise")))))</f>
        <v>Lift</v>
      </c>
      <c r="BM1515" s="48" t="str">
        <f aca="false">IF(A1515="","",IF(BV1515=1,"Neu; ","")&amp;IF(AND(BV1515=0,BQ1515&lt;0),"negativer Bestand (Export "&amp;BQ1515&amp;"); ","")&amp;IF(J1515&lt;=0,"Kein Verbrauch; ","")&amp;IF(CQ1515&gt;0,"Lift "&amp;W1515&amp;" lt. Liftbericht (Fach "&amp;X1515&amp;" Stk); ",IF(CA1515=1,"Gebinde geschätzt ("&amp;T1515&amp;"); ",IF(BZ1515=1,"Lose – Tablare geschätzt; ","")))&amp;IF(H1515&gt;AV1515,"Überbestand "&amp;ROUND(H1515-AV1515,0)&amp;" Stk / CHF "&amp;ROUND((H1515-AV1515)*G1515,0)&amp;"; ","")&amp;IF(AND(CH1515=1,CI1515&lt;CJ1515),"MAX &lt; MB+LG; ","")&amp;IF(AND(CP1515&gt;0,CO1515*10&gt;CP1515),"zu hoch für Tablar; ","")&amp;IF(AND(BV1515=0,OR(CH1515=1,AA1515&lt;&gt;"",U1515&lt;&gt;"",V1515&lt;&gt;"",AB1515&lt;&gt;"")),"manuell übersteuert; ","")&amp;IF(AND(BZ1515=0,R1515=0),"Gebinde unbekannt / Stellmass fehlt; ","")&amp;IF(AND(BZ1515=0,N(V1515)&lt;=0,N(Q1515)&lt;=0),"Menge pro Gebinde fehlt (Ist = 1 Gebinde); ","")&amp;BU1515)</f>
        <v>Kein Verbrauch; Überbestand 5 Stk / CHF 202; nur im Artikelstamm (Bestand 23.06.2026); Überbestand</v>
      </c>
      <c r="BN1515" s="48"/>
      <c r="BO1515" s="48"/>
      <c r="BP1515" s="55"/>
      <c r="BQ1515" s="50" t="n">
        <v>15</v>
      </c>
      <c r="BR1515" s="50" t="n">
        <v>0</v>
      </c>
      <c r="BS1515" s="49" t="n">
        <v>0</v>
      </c>
      <c r="BT1515" s="50" t="n">
        <v>0</v>
      </c>
      <c r="BU1515" s="48" t="s">
        <v>2581</v>
      </c>
      <c r="BV1515" s="53" t="n">
        <v>0</v>
      </c>
      <c r="BW1515" s="53" t="n">
        <v>1515</v>
      </c>
      <c r="BX1515" s="48" t="str">
        <f aca="false">IF(U1515&lt;&gt;"",UPPER(TRIM(U1515)),IF(CA1515=1,UPPER(VLOOKUP(T1515,Parameter!$I$27:$K$29,2,0)),IF(P1515="","LOSE",P1515)))</f>
        <v>S32</v>
      </c>
      <c r="BY1515" s="50" t="n">
        <f aca="false">IF(BX1515="LOSE",1,IF(N(V1515)&gt;0,V1515,IF(CA1515=1,MAX(1,N(VLOOKUP(T1515,Parameter!$I$27:$K$29,3,0)),H1515,N(N1515)),IF(N(Q1515)&gt;0,Q1515,MAX(1,H1515)))))</f>
        <v>15</v>
      </c>
      <c r="BZ1515" s="53" t="n">
        <f aca="false">IF(BX1515="LOSE",1,0)</f>
        <v>0</v>
      </c>
      <c r="CA1515" s="53" t="n">
        <f aca="false">IF(AND(U1515="",OR(P1515="",P1515="LOSE"),T1515&lt;&gt;"",N(S1515)&lt;=0,ISNUMBER(MATCH(T1515,Parameter!$I$27:$I$29,0))),1,0)</f>
        <v>0</v>
      </c>
      <c r="CB1515" s="53" t="n">
        <f aca="false">IF(CQ1515&gt;0,INDEX(Parameter!$H$5:$H$7,W1515)/INDEX(Parameter!$E$5:$E$7,W1515),IF(AND(BZ1515=0,N(IFERROR(VLOOKUP(BX1515,'Gebinde-Kategorie'!$A$5:$N$45,14,0),0))&gt;0),VLOOKUP(BX1515,'Gebinde-Kategorie'!$A$5:$N$45,14,0)*10+Parameter!$M$23,Parameter!$M$24))</f>
        <v>155</v>
      </c>
      <c r="CC1515" s="48" t="str">
        <f aca="false">IF(AND(Parameter!$B$19="Ja",E1515&lt;&gt;"",ISNUMBER(MATCH(E1515,Parameter!$I$35:$I$52,0))),VLOOKUP(E1515,Parameter!$I$35:$J$52,2,0),IFERROR(VLOOKUP(D1515,Parameter!$A$35:$C$64,2,0),"Nein"))</f>
        <v>2+3</v>
      </c>
      <c r="CD1515" s="52" t="n">
        <f aca="false">IF(BZ1515=0,0,IF(N(S1515)&gt;0,S1515,IFERROR(VLOOKUP(D1515,Parameter!$A$35:$C$64,3,0)+0,0)))</f>
        <v>0</v>
      </c>
      <c r="CE1515" s="48" t="n">
        <f aca="false">IF(AA1515&lt;&gt;"",AA1515,Z1515)</f>
        <v>3</v>
      </c>
      <c r="CF1515" s="48" t="str">
        <f aca="false">IF(OR(CE1515=1,CE1515=2,CE1515=3),IF(Parameter!$E$27="Ja","LIFT",IF(CE1515=1,"L1","L23")),IF(CE1515="Aussen","Aussen","-"))</f>
        <v>LIFT</v>
      </c>
      <c r="CG1515" s="59" t="n">
        <f aca="false">IF(N(AB1515)&gt;0,AB1515,0)</f>
        <v>0</v>
      </c>
      <c r="CH1515" s="53" t="n">
        <f aca="false">IF(ISNUMBER(AE1515),1,0)</f>
        <v>0</v>
      </c>
      <c r="CI1515" s="50" t="n">
        <f aca="false">N(AE1515)</f>
        <v>0</v>
      </c>
      <c r="CJ1515" s="50" t="n">
        <f aca="false">N(M1515)+N(N1515)</f>
        <v>10</v>
      </c>
      <c r="CK1515" s="50" t="n">
        <f aca="false">N(M1515)</f>
        <v>0</v>
      </c>
      <c r="CL1515" s="50" t="n">
        <f aca="false">N(N1515)</f>
        <v>10</v>
      </c>
      <c r="CM1515" s="50" t="n">
        <f aca="false">ROUNDUP(H1515/BY1515,0)</f>
        <v>1</v>
      </c>
      <c r="CN1515" s="50" t="n">
        <f aca="false">ROUNDUP(CI1515/BY1515,0)</f>
        <v>0</v>
      </c>
      <c r="CO1515" s="53" t="n">
        <f aca="false">IF(BZ1515=1,0,IFERROR(VLOOKUP(BX1515,'Gebinde-Kategorie'!$A$5:$N$45,5,0)+0,0))</f>
        <v>8</v>
      </c>
      <c r="CP1515" s="53" t="n">
        <f aca="false">IFERROR(IF(OR(CE1515=1,CE1515=2,CE1515=3),N(INDEX(Parameter!$I$5:$I$7,CE1515)),0),0)</f>
        <v>0</v>
      </c>
      <c r="CQ1515" s="52" t="n">
        <f aca="false">IF(AND(Parameter!$B$21="Ja",ISNUMBER(W1515),N(X1515)&gt;0),IFERROR(N(INDEX(Parameter!$L$5:$L$7,W1515))*INDEX(Parameter!$E$5:$E$7,W1515)*X1515/SUMIFS($X$7:$X$1843,$W$7:$W$1843,W1515),0),0)</f>
        <v>0</v>
      </c>
    </row>
    <row r="1516" customFormat="false" ht="15" hidden="false" customHeight="false" outlineLevel="0" collapsed="false">
      <c r="A1516" s="48" t="s">
        <v>2661</v>
      </c>
      <c r="B1516" s="48" t="s">
        <v>2662</v>
      </c>
      <c r="C1516" s="48" t="s">
        <v>173</v>
      </c>
      <c r="D1516" s="48" t="s">
        <v>193</v>
      </c>
      <c r="E1516" s="48" t="s">
        <v>194</v>
      </c>
      <c r="F1516" s="48"/>
      <c r="G1516" s="49" t="n">
        <v>55.95</v>
      </c>
      <c r="H1516" s="50" t="n">
        <f aca="false">MAX(0,IF(AND(Parameter!$B$21="Ja",ISNUMBER(Y1516)),Y1516,IF(Parameter!$B$20="Jahresanfang 2025 + Export",BR1516+BQ1516,BQ1516)))</f>
        <v>7</v>
      </c>
      <c r="I1516" s="50" t="n">
        <f aca="false">H1516*G1516</f>
        <v>391.65</v>
      </c>
      <c r="J1516" s="50" t="n">
        <f aca="false">BT1516*Parameter!$B$18</f>
        <v>0</v>
      </c>
      <c r="K1516" s="51"/>
      <c r="L1516" s="52"/>
      <c r="M1516" s="50" t="n">
        <v>0</v>
      </c>
      <c r="N1516" s="50" t="n">
        <v>3</v>
      </c>
      <c r="O1516" s="53" t="n">
        <v>28</v>
      </c>
      <c r="P1516" s="48" t="s">
        <v>430</v>
      </c>
      <c r="Q1516" s="50" t="n">
        <v>7</v>
      </c>
      <c r="R1516" s="53" t="n">
        <f aca="false">IF(BZ1516=1,0,IFERROR(VLOOKUP(BX1516,'Gebinde-Kategorie'!$A$5:$N$45,13,0)+0,0))</f>
        <v>104</v>
      </c>
      <c r="S1516" s="54"/>
      <c r="T1516" s="55"/>
      <c r="U1516" s="55"/>
      <c r="V1516" s="55"/>
      <c r="W1516" s="48"/>
      <c r="X1516" s="50"/>
      <c r="Y1516" s="50"/>
      <c r="Z1516" s="48" t="n">
        <f aca="false">IF(A1516="","",IF(AND(Parameter!$B$21="Ja",ISNUMBER(W1516)),W1516,IF(CC1516="2+3",IF(ISNUMBER(SEARCH("grosser Artikel",BU1516)),2,IFERROR(VLOOKUP(BX1516,Parameter!$F$35:$G$64,2,0),2)),IF(OR(CC1516="Nein",CC1516=""),"-",CC1516))))</f>
        <v>3</v>
      </c>
      <c r="AA1516" s="55"/>
      <c r="AB1516" s="56"/>
      <c r="AC1516" s="50" t="n">
        <f aca="false">AV1516</f>
        <v>3</v>
      </c>
      <c r="AD1516" s="50" t="n">
        <f aca="false">MAX(AV1516,H1516)</f>
        <v>7</v>
      </c>
      <c r="AE1516" s="57"/>
      <c r="AF1516" s="50" t="n">
        <f aca="false">IF(LEFT(Cockpit!$C$5,1)="A",H1516,IF(Parameter!$E$30="MAX-Bestand",IF(CH1516=1,CI1516,IF(LEFT(Cockpit!$C$5,1)="B",AL1516,MAX(AL1516,H1516))),ROUNDUP(AJ1516,0)))</f>
        <v>7</v>
      </c>
      <c r="AG1516" s="50" t="n">
        <f aca="false">IF(BZ1516=1,0,ROUNDUP(AF1516/BY1516,0))</f>
        <v>1</v>
      </c>
      <c r="AH1516" s="52" t="n">
        <f aca="false">IF(CQ1516&gt;0,CQ1516*MAX(1,AF1516/X1516),IF(BZ1516=1,IF(AF1516&lt;=0,0,CD1516*MAX(1,IF(H1516&gt;0,AF1516/H1516,1))),IF(R1516&gt;0,AG1516/R1516,0))/MAX(0.1,N(Parameter!$M$21)))</f>
        <v>0.00961538461538462</v>
      </c>
      <c r="AI1516" s="50" t="n">
        <f aca="false">AH1516*CB1516</f>
        <v>1.49038461538462</v>
      </c>
      <c r="AJ1516" s="51" t="n">
        <f aca="false">IF(LEFT(Cockpit!$C$5,1)="A",H1516,IF(CH1516=1,(CK1516+CI1516)/2,IF(LEFT(Cockpit!$C$5,1)="B",(CK1516+AL1516)/2,MAX((CK1516+AL1516)/2,H1516))))</f>
        <v>7</v>
      </c>
      <c r="AK1516" s="50" t="n">
        <f aca="false">AJ1516*G1516</f>
        <v>391.65</v>
      </c>
      <c r="AL1516" s="50" t="n">
        <f aca="false">ROUNDUP(CK1516+MAX(CL1516,2*(J1516/IF(CG1516&gt;0,CG1516,MAX(0.1,N(Cockpit!$C$6)))-CK1516)),0)</f>
        <v>3</v>
      </c>
      <c r="AM1516" s="51" t="n">
        <f aca="false">IF(AI1516&gt;0,J1516/AI1516,-1)</f>
        <v>0</v>
      </c>
      <c r="AN1516" s="51" t="n">
        <f aca="false">IF(AND(OR(CF1516="L1",CF1516="L23",CF1516="LIFT"),AI1516&gt;0),SUMIFS($AI$7:$AI$1843,$CF$7:$CF$1843,CF1516,$AM$7:$AM$1843,"&gt;"&amp;AM1516)+SUMIFS($AI$7:$AI$1843,$CF$7:$CF$1843,CF1516,$AM$7:$AM$1843,AM1516,$BW$7:$BW$1843,"&lt;="&amp;BW1516),"")</f>
        <v>29954.2942690549</v>
      </c>
      <c r="AO1516" s="58" t="n">
        <f aca="false">IF(AN1516="",0,MAX(0,MIN(1,(IF(CF1516="L1",Parameter!$H$5,IF(CF1516="L23",Parameter!$H$6+Parameter!$H$7,Parameter!$H$5+Parameter!$H$6+Parameter!$H$7))-(AN1516-AI1516))/AI1516)))</f>
        <v>1</v>
      </c>
      <c r="AP1516" s="50" t="n">
        <f aca="false">IF(LEFT(Cockpit!$I$5,1)="A",H1516,IF(Parameter!$E$30="MAX-Bestand",IF(CH1516=1,CI1516,IF(LEFT(Cockpit!$I$5,1)="B",AV1516,MAX(AV1516,H1516))),ROUNDUP(AT1516,0)))</f>
        <v>7</v>
      </c>
      <c r="AQ1516" s="50" t="n">
        <f aca="false">IF(BZ1516=1,0,ROUNDUP(AP1516/BY1516,0))</f>
        <v>1</v>
      </c>
      <c r="AR1516" s="52" t="n">
        <f aca="false">IF(CQ1516&gt;0,CQ1516*MAX(1,AP1516/X1516),IF(BZ1516=1,IF(AP1516&lt;=0,0,CD1516*MAX(1,IF(H1516&gt;0,AP1516/H1516,1))),IF(R1516&gt;0,AQ1516/R1516,0))/MAX(0.1,N(Parameter!$M$21)))</f>
        <v>0.00961538461538462</v>
      </c>
      <c r="AS1516" s="50" t="n">
        <f aca="false">AR1516*CB1516</f>
        <v>1.49038461538462</v>
      </c>
      <c r="AT1516" s="51" t="n">
        <f aca="false">IF(LEFT(Cockpit!$I$5,1)="A",H1516,IF(CH1516=1,(CK1516+CI1516)/2,IF(LEFT(Cockpit!$I$5,1)="B",(CK1516+AV1516)/2,MAX((CK1516+AV1516)/2,H1516))))</f>
        <v>7</v>
      </c>
      <c r="AU1516" s="50" t="n">
        <f aca="false">AT1516*G1516</f>
        <v>391.65</v>
      </c>
      <c r="AV1516" s="50" t="n">
        <f aca="false">ROUNDUP(CK1516+MAX(CL1516,2*(J1516/IF(CG1516&gt;0,CG1516,MAX(0.1,N(Cockpit!$I$6)))-CK1516)),0)</f>
        <v>3</v>
      </c>
      <c r="AW1516" s="51" t="n">
        <f aca="false">IF(AS1516&gt;0,J1516/AS1516,-1)</f>
        <v>0</v>
      </c>
      <c r="AX1516" s="51" t="n">
        <f aca="false">IF(AND(OR(CF1516="L1",CF1516="L23",CF1516="LIFT"),AS1516&gt;0),SUMIFS($AS$7:$AS$1843,$CF$7:$CF$1843,CF1516,$AW$7:$AW$1843,"&gt;"&amp;AW1516)+SUMIFS($AS$7:$AS$1843,$CF$7:$CF$1843,CF1516,$AW$7:$AW$1843,AW1516,$BW$7:$BW$1843,"&lt;="&amp;BW1516),"")</f>
        <v>36260.8650716045</v>
      </c>
      <c r="AY1516" s="58" t="n">
        <f aca="false">IF(AX1516="",0,MAX(0,MIN(1,(IF(CF1516="L1",Parameter!$H$5,IF(CF1516="L23",Parameter!$H$6+Parameter!$H$7,Parameter!$H$5+Parameter!$H$6+Parameter!$H$7))-(AX1516-AS1516))/AS1516)))</f>
        <v>0</v>
      </c>
      <c r="AZ1516" s="50" t="n">
        <f aca="false">IF(LEFT(Cockpit!$O$5,1)="A",H1516,IF(Parameter!$E$30="MAX-Bestand",IF(CH1516=1,CI1516,IF(LEFT(Cockpit!$O$5,1)="B",BF1516,MAX(BF1516,H1516))),ROUNDUP(BD1516,0)))</f>
        <v>2</v>
      </c>
      <c r="BA1516" s="50" t="n">
        <f aca="false">IF(BZ1516=1,0,ROUNDUP(AZ1516/BY1516,0))</f>
        <v>1</v>
      </c>
      <c r="BB1516" s="52" t="n">
        <f aca="false">IF(CQ1516&gt;0,CQ1516*MAX(1,AZ1516/X1516),IF(BZ1516=1,IF(AZ1516&lt;=0,0,CD1516*MAX(1,IF(H1516&gt;0,AZ1516/H1516,1))),IF(R1516&gt;0,BA1516/R1516,0))/MAX(0.1,N(Parameter!$M$21)))</f>
        <v>0.00961538461538462</v>
      </c>
      <c r="BC1516" s="50" t="n">
        <f aca="false">BB1516*CB1516</f>
        <v>1.49038461538462</v>
      </c>
      <c r="BD1516" s="51" t="n">
        <f aca="false">IF(LEFT(Cockpit!$O$5,1)="A",H1516,IF(CH1516=1,(CK1516+CI1516)/2,IF(LEFT(Cockpit!$O$5,1)="B",(CK1516+BF1516)/2,MAX((CK1516+BF1516)/2,H1516))))</f>
        <v>1.5</v>
      </c>
      <c r="BE1516" s="50" t="n">
        <f aca="false">BD1516*G1516</f>
        <v>83.925</v>
      </c>
      <c r="BF1516" s="50" t="n">
        <f aca="false">ROUNDUP(CK1516+MAX(CL1516,2*(J1516/IF(CG1516&gt;0,CG1516,MAX(0.1,N(Cockpit!$O$6)))-CK1516)),0)</f>
        <v>3</v>
      </c>
      <c r="BG1516" s="51" t="n">
        <f aca="false">IF(BC1516&gt;0,J1516/BC1516,-1)</f>
        <v>0</v>
      </c>
      <c r="BH1516" s="51" t="n">
        <f aca="false">IF(AND(OR(CF1516="L1",CF1516="L23",CF1516="LIFT"),BC1516&gt;0),SUMIFS($BC$7:$BC$1843,$CF$7:$CF$1843,CF1516,$BG$7:$BG$1843,"&gt;"&amp;BG1516)+SUMIFS($BC$7:$BC$1843,$CF$7:$CF$1843,CF1516,$BG$7:$BG$1843,BG1516,$BW$7:$BW$1843,"&lt;="&amp;BW1516),"")</f>
        <v>30199.0563471369</v>
      </c>
      <c r="BI1516" s="58" t="n">
        <f aca="false">IF(BH1516="",0,MAX(0,MIN(1,(IF(CF1516="L1",Parameter!$H$5,IF(CF1516="L23",Parameter!$H$6+Parameter!$H$7,Parameter!$H$5+Parameter!$H$6+Parameter!$H$7))-(BH1516-BC1516))/BC1516)))</f>
        <v>1</v>
      </c>
      <c r="BJ1516" s="48" t="str">
        <f aca="false">IF(AI1516&lt;=0,"",IF(CF1516="Aussen","Aussenlager",IF(CF1516="-","Nicht im Lift",IF(AO1516&gt;=1,"Lift",IF(AO1516&lt;=0,"Aussenlager","teilweise")))))</f>
        <v>Lift</v>
      </c>
      <c r="BK1516" s="48" t="str">
        <f aca="false">IF(AS1516&lt;=0,"",IF(CF1516="Aussen","Aussenlager",IF(CF1516="-","Nicht im Lift",IF(AY1516&gt;=1,"Lift",IF(AY1516&lt;=0,"Aussenlager","teilweise")))))</f>
        <v>Aussenlager</v>
      </c>
      <c r="BL1516" s="48" t="str">
        <f aca="false">IF(BC1516&lt;=0,"",IF(CF1516="Aussen","Aussenlager",IF(CF1516="-","Nicht im Lift",IF(BI1516&gt;=1,"Lift",IF(BI1516&lt;=0,"Aussenlager","teilweise")))))</f>
        <v>Lift</v>
      </c>
      <c r="BM1516" s="48" t="str">
        <f aca="false">IF(A1516="","",IF(BV1516=1,"Neu; ","")&amp;IF(AND(BV1516=0,BQ1516&lt;0),"negativer Bestand (Export "&amp;BQ1516&amp;"); ","")&amp;IF(J1516&lt;=0,"Kein Verbrauch; ","")&amp;IF(CQ1516&gt;0,"Lift "&amp;W1516&amp;" lt. Liftbericht (Fach "&amp;X1516&amp;" Stk); ",IF(CA1516=1,"Gebinde geschätzt ("&amp;T1516&amp;"); ",IF(BZ1516=1,"Lose – Tablare geschätzt; ","")))&amp;IF(H1516&gt;AV1516,"Überbestand "&amp;ROUND(H1516-AV1516,0)&amp;" Stk / CHF "&amp;ROUND((H1516-AV1516)*G1516,0)&amp;"; ","")&amp;IF(AND(CH1516=1,CI1516&lt;CJ1516),"MAX &lt; MB+LG; ","")&amp;IF(AND(CP1516&gt;0,CO1516*10&gt;CP1516),"zu hoch für Tablar; ","")&amp;IF(AND(BV1516=0,OR(CH1516=1,AA1516&lt;&gt;"",U1516&lt;&gt;"",V1516&lt;&gt;"",AB1516&lt;&gt;"")),"manuell übersteuert; ","")&amp;IF(AND(BZ1516=0,R1516=0),"Gebinde unbekannt / Stellmass fehlt; ","")&amp;IF(AND(BZ1516=0,N(V1516)&lt;=0,N(Q1516)&lt;=0),"Menge pro Gebinde fehlt (Ist = 1 Gebinde); ","")&amp;BU1516)</f>
        <v>Kein Verbrauch; Überbestand 4 Stk / CHF 224; nur im Artikelstamm (Bestand 23.06.2026); Verb.Lager</v>
      </c>
      <c r="BN1516" s="48"/>
      <c r="BO1516" s="48"/>
      <c r="BP1516" s="55"/>
      <c r="BQ1516" s="50" t="n">
        <v>7</v>
      </c>
      <c r="BR1516" s="50" t="n">
        <v>0</v>
      </c>
      <c r="BS1516" s="49" t="n">
        <v>0</v>
      </c>
      <c r="BT1516" s="50" t="n">
        <v>0</v>
      </c>
      <c r="BU1516" s="48" t="s">
        <v>2578</v>
      </c>
      <c r="BV1516" s="53" t="n">
        <v>0</v>
      </c>
      <c r="BW1516" s="53" t="n">
        <v>1516</v>
      </c>
      <c r="BX1516" s="48" t="str">
        <f aca="false">IF(U1516&lt;&gt;"",UPPER(TRIM(U1516)),IF(CA1516=1,UPPER(VLOOKUP(T1516,Parameter!$I$27:$K$29,2,0)),IF(P1516="","LOSE",P1516)))</f>
        <v>S32</v>
      </c>
      <c r="BY1516" s="50" t="n">
        <f aca="false">IF(BX1516="LOSE",1,IF(N(V1516)&gt;0,V1516,IF(CA1516=1,MAX(1,N(VLOOKUP(T1516,Parameter!$I$27:$K$29,3,0)),H1516,N(N1516)),IF(N(Q1516)&gt;0,Q1516,MAX(1,H1516)))))</f>
        <v>7</v>
      </c>
      <c r="BZ1516" s="53" t="n">
        <f aca="false">IF(BX1516="LOSE",1,0)</f>
        <v>0</v>
      </c>
      <c r="CA1516" s="53" t="n">
        <f aca="false">IF(AND(U1516="",OR(P1516="",P1516="LOSE"),T1516&lt;&gt;"",N(S1516)&lt;=0,ISNUMBER(MATCH(T1516,Parameter!$I$27:$I$29,0))),1,0)</f>
        <v>0</v>
      </c>
      <c r="CB1516" s="53" t="n">
        <f aca="false">IF(CQ1516&gt;0,INDEX(Parameter!$H$5:$H$7,W1516)/INDEX(Parameter!$E$5:$E$7,W1516),IF(AND(BZ1516=0,N(IFERROR(VLOOKUP(BX1516,'Gebinde-Kategorie'!$A$5:$N$45,14,0),0))&gt;0),VLOOKUP(BX1516,'Gebinde-Kategorie'!$A$5:$N$45,14,0)*10+Parameter!$M$23,Parameter!$M$24))</f>
        <v>155</v>
      </c>
      <c r="CC1516" s="48" t="str">
        <f aca="false">IF(AND(Parameter!$B$19="Ja",E1516&lt;&gt;"",ISNUMBER(MATCH(E1516,Parameter!$I$35:$I$52,0))),VLOOKUP(E1516,Parameter!$I$35:$J$52,2,0),IFERROR(VLOOKUP(D1516,Parameter!$A$35:$C$64,2,0),"Nein"))</f>
        <v>2+3</v>
      </c>
      <c r="CD1516" s="52" t="n">
        <f aca="false">IF(BZ1516=0,0,IF(N(S1516)&gt;0,S1516,IFERROR(VLOOKUP(D1516,Parameter!$A$35:$C$64,3,0)+0,0)))</f>
        <v>0</v>
      </c>
      <c r="CE1516" s="48" t="n">
        <f aca="false">IF(AA1516&lt;&gt;"",AA1516,Z1516)</f>
        <v>3</v>
      </c>
      <c r="CF1516" s="48" t="str">
        <f aca="false">IF(OR(CE1516=1,CE1516=2,CE1516=3),IF(Parameter!$E$27="Ja","LIFT",IF(CE1516=1,"L1","L23")),IF(CE1516="Aussen","Aussen","-"))</f>
        <v>LIFT</v>
      </c>
      <c r="CG1516" s="59" t="n">
        <f aca="false">IF(N(AB1516)&gt;0,AB1516,0)</f>
        <v>0</v>
      </c>
      <c r="CH1516" s="53" t="n">
        <f aca="false">IF(ISNUMBER(AE1516),1,0)</f>
        <v>0</v>
      </c>
      <c r="CI1516" s="50" t="n">
        <f aca="false">N(AE1516)</f>
        <v>0</v>
      </c>
      <c r="CJ1516" s="50" t="n">
        <f aca="false">N(M1516)+N(N1516)</f>
        <v>3</v>
      </c>
      <c r="CK1516" s="50" t="n">
        <f aca="false">N(M1516)</f>
        <v>0</v>
      </c>
      <c r="CL1516" s="50" t="n">
        <f aca="false">N(N1516)</f>
        <v>3</v>
      </c>
      <c r="CM1516" s="50" t="n">
        <f aca="false">ROUNDUP(H1516/BY1516,0)</f>
        <v>1</v>
      </c>
      <c r="CN1516" s="50" t="n">
        <f aca="false">ROUNDUP(CI1516/BY1516,0)</f>
        <v>0</v>
      </c>
      <c r="CO1516" s="53" t="n">
        <f aca="false">IF(BZ1516=1,0,IFERROR(VLOOKUP(BX1516,'Gebinde-Kategorie'!$A$5:$N$45,5,0)+0,0))</f>
        <v>8</v>
      </c>
      <c r="CP1516" s="53" t="n">
        <f aca="false">IFERROR(IF(OR(CE1516=1,CE1516=2,CE1516=3),N(INDEX(Parameter!$I$5:$I$7,CE1516)),0),0)</f>
        <v>0</v>
      </c>
      <c r="CQ1516" s="52" t="n">
        <f aca="false">IF(AND(Parameter!$B$21="Ja",ISNUMBER(W1516),N(X1516)&gt;0),IFERROR(N(INDEX(Parameter!$L$5:$L$7,W1516))*INDEX(Parameter!$E$5:$E$7,W1516)*X1516/SUMIFS($X$7:$X$1843,$W$7:$W$1843,W1516),0),0)</f>
        <v>0</v>
      </c>
    </row>
    <row r="1517" customFormat="false" ht="15" hidden="false" customHeight="false" outlineLevel="0" collapsed="false">
      <c r="A1517" s="48" t="s">
        <v>2663</v>
      </c>
      <c r="B1517" s="48" t="s">
        <v>2664</v>
      </c>
      <c r="C1517" s="48" t="s">
        <v>173</v>
      </c>
      <c r="D1517" s="48" t="s">
        <v>193</v>
      </c>
      <c r="E1517" s="48" t="s">
        <v>194</v>
      </c>
      <c r="F1517" s="48"/>
      <c r="G1517" s="49" t="n">
        <v>76.11</v>
      </c>
      <c r="H1517" s="50" t="n">
        <f aca="false">MAX(0,IF(AND(Parameter!$B$21="Ja",ISNUMBER(Y1517)),Y1517,IF(Parameter!$B$20="Jahresanfang 2025 + Export",BR1517+BQ1517,BQ1517)))</f>
        <v>78</v>
      </c>
      <c r="I1517" s="50" t="n">
        <f aca="false">H1517*G1517</f>
        <v>5936.58</v>
      </c>
      <c r="J1517" s="50" t="n">
        <f aca="false">BT1517*Parameter!$B$18</f>
        <v>0</v>
      </c>
      <c r="K1517" s="51"/>
      <c r="L1517" s="52"/>
      <c r="M1517" s="50" t="n">
        <v>0</v>
      </c>
      <c r="N1517" s="50" t="n">
        <v>10</v>
      </c>
      <c r="O1517" s="53" t="n">
        <v>42</v>
      </c>
      <c r="P1517" s="48" t="s">
        <v>302</v>
      </c>
      <c r="Q1517" s="50" t="n">
        <v>78</v>
      </c>
      <c r="R1517" s="53" t="n">
        <f aca="false">IF(BZ1517=1,0,IFERROR(VLOOKUP(BX1517,'Gebinde-Kategorie'!$A$5:$N$45,13,0)+0,0))</f>
        <v>12</v>
      </c>
      <c r="S1517" s="54"/>
      <c r="T1517" s="55"/>
      <c r="U1517" s="55"/>
      <c r="V1517" s="55"/>
      <c r="W1517" s="48"/>
      <c r="X1517" s="50"/>
      <c r="Y1517" s="50"/>
      <c r="Z1517" s="48" t="n">
        <f aca="false">IF(A1517="","",IF(AND(Parameter!$B$21="Ja",ISNUMBER(W1517)),W1517,IF(CC1517="2+3",IF(ISNUMBER(SEARCH("grosser Artikel",BU1517)),2,IFERROR(VLOOKUP(BX1517,Parameter!$F$35:$G$64,2,0),2)),IF(OR(CC1517="Nein",CC1517=""),"-",CC1517))))</f>
        <v>2</v>
      </c>
      <c r="AA1517" s="55"/>
      <c r="AB1517" s="56"/>
      <c r="AC1517" s="50" t="n">
        <f aca="false">AV1517</f>
        <v>10</v>
      </c>
      <c r="AD1517" s="50" t="n">
        <f aca="false">MAX(AV1517,H1517)</f>
        <v>78</v>
      </c>
      <c r="AE1517" s="57"/>
      <c r="AF1517" s="50" t="n">
        <f aca="false">IF(LEFT(Cockpit!$C$5,1)="A",H1517,IF(Parameter!$E$30="MAX-Bestand",IF(CH1517=1,CI1517,IF(LEFT(Cockpit!$C$5,1)="B",AL1517,MAX(AL1517,H1517))),ROUNDUP(AJ1517,0)))</f>
        <v>78</v>
      </c>
      <c r="AG1517" s="50" t="n">
        <f aca="false">IF(BZ1517=1,0,ROUNDUP(AF1517/BY1517,0))</f>
        <v>1</v>
      </c>
      <c r="AH1517" s="52" t="n">
        <f aca="false">IF(CQ1517&gt;0,CQ1517*MAX(1,AF1517/X1517),IF(BZ1517=1,IF(AF1517&lt;=0,0,CD1517*MAX(1,IF(H1517&gt;0,AF1517/H1517,1))),IF(R1517&gt;0,AG1517/R1517,0))/MAX(0.1,N(Parameter!$M$21)))</f>
        <v>0.0833333333333333</v>
      </c>
      <c r="AI1517" s="50" t="n">
        <f aca="false">AH1517*CB1517</f>
        <v>20.4166666666667</v>
      </c>
      <c r="AJ1517" s="51" t="n">
        <f aca="false">IF(LEFT(Cockpit!$C$5,1)="A",H1517,IF(CH1517=1,(CK1517+CI1517)/2,IF(LEFT(Cockpit!$C$5,1)="B",(CK1517+AL1517)/2,MAX((CK1517+AL1517)/2,H1517))))</f>
        <v>78</v>
      </c>
      <c r="AK1517" s="50" t="n">
        <f aca="false">AJ1517*G1517</f>
        <v>5936.58</v>
      </c>
      <c r="AL1517" s="50" t="n">
        <f aca="false">ROUNDUP(CK1517+MAX(CL1517,2*(J1517/IF(CG1517&gt;0,CG1517,MAX(0.1,N(Cockpit!$C$6)))-CK1517)),0)</f>
        <v>10</v>
      </c>
      <c r="AM1517" s="51" t="n">
        <f aca="false">IF(AI1517&gt;0,J1517/AI1517,-1)</f>
        <v>0</v>
      </c>
      <c r="AN1517" s="51" t="n">
        <f aca="false">IF(AND(OR(CF1517="L1",CF1517="L23",CF1517="LIFT"),AI1517&gt;0),SUMIFS($AI$7:$AI$1843,$CF$7:$CF$1843,CF1517,$AM$7:$AM$1843,"&gt;"&amp;AM1517)+SUMIFS($AI$7:$AI$1843,$CF$7:$CF$1843,CF1517,$AM$7:$AM$1843,AM1517,$BW$7:$BW$1843,"&lt;="&amp;BW1517),"")</f>
        <v>29974.7109357215</v>
      </c>
      <c r="AO1517" s="58" t="n">
        <f aca="false">IF(AN1517="",0,MAX(0,MIN(1,(IF(CF1517="L1",Parameter!$H$5,IF(CF1517="L23",Parameter!$H$6+Parameter!$H$7,Parameter!$H$5+Parameter!$H$6+Parameter!$H$7))-(AN1517-AI1517))/AI1517)))</f>
        <v>1</v>
      </c>
      <c r="AP1517" s="50" t="n">
        <f aca="false">IF(LEFT(Cockpit!$I$5,1)="A",H1517,IF(Parameter!$E$30="MAX-Bestand",IF(CH1517=1,CI1517,IF(LEFT(Cockpit!$I$5,1)="B",AV1517,MAX(AV1517,H1517))),ROUNDUP(AT1517,0)))</f>
        <v>78</v>
      </c>
      <c r="AQ1517" s="50" t="n">
        <f aca="false">IF(BZ1517=1,0,ROUNDUP(AP1517/BY1517,0))</f>
        <v>1</v>
      </c>
      <c r="AR1517" s="52" t="n">
        <f aca="false">IF(CQ1517&gt;0,CQ1517*MAX(1,AP1517/X1517),IF(BZ1517=1,IF(AP1517&lt;=0,0,CD1517*MAX(1,IF(H1517&gt;0,AP1517/H1517,1))),IF(R1517&gt;0,AQ1517/R1517,0))/MAX(0.1,N(Parameter!$M$21)))</f>
        <v>0.0833333333333333</v>
      </c>
      <c r="AS1517" s="50" t="n">
        <f aca="false">AR1517*CB1517</f>
        <v>20.4166666666667</v>
      </c>
      <c r="AT1517" s="51" t="n">
        <f aca="false">IF(LEFT(Cockpit!$I$5,1)="A",H1517,IF(CH1517=1,(CK1517+CI1517)/2,IF(LEFT(Cockpit!$I$5,1)="B",(CK1517+AV1517)/2,MAX((CK1517+AV1517)/2,H1517))))</f>
        <v>78</v>
      </c>
      <c r="AU1517" s="50" t="n">
        <f aca="false">AT1517*G1517</f>
        <v>5936.58</v>
      </c>
      <c r="AV1517" s="50" t="n">
        <f aca="false">ROUNDUP(CK1517+MAX(CL1517,2*(J1517/IF(CG1517&gt;0,CG1517,MAX(0.1,N(Cockpit!$I$6)))-CK1517)),0)</f>
        <v>10</v>
      </c>
      <c r="AW1517" s="51" t="n">
        <f aca="false">IF(AS1517&gt;0,J1517/AS1517,-1)</f>
        <v>0</v>
      </c>
      <c r="AX1517" s="51" t="n">
        <f aca="false">IF(AND(OR(CF1517="L1",CF1517="L23",CF1517="LIFT"),AS1517&gt;0),SUMIFS($AS$7:$AS$1843,$CF$7:$CF$1843,CF1517,$AW$7:$AW$1843,"&gt;"&amp;AW1517)+SUMIFS($AS$7:$AS$1843,$CF$7:$CF$1843,CF1517,$AW$7:$AW$1843,AW1517,$BW$7:$BW$1843,"&lt;="&amp;BW1517),"")</f>
        <v>36281.2817382711</v>
      </c>
      <c r="AY1517" s="58" t="n">
        <f aca="false">IF(AX1517="",0,MAX(0,MIN(1,(IF(CF1517="L1",Parameter!$H$5,IF(CF1517="L23",Parameter!$H$6+Parameter!$H$7,Parameter!$H$5+Parameter!$H$6+Parameter!$H$7))-(AX1517-AS1517))/AS1517)))</f>
        <v>0</v>
      </c>
      <c r="AZ1517" s="50" t="n">
        <f aca="false">IF(LEFT(Cockpit!$O$5,1)="A",H1517,IF(Parameter!$E$30="MAX-Bestand",IF(CH1517=1,CI1517,IF(LEFT(Cockpit!$O$5,1)="B",BF1517,MAX(BF1517,H1517))),ROUNDUP(BD1517,0)))</f>
        <v>5</v>
      </c>
      <c r="BA1517" s="50" t="n">
        <f aca="false">IF(BZ1517=1,0,ROUNDUP(AZ1517/BY1517,0))</f>
        <v>1</v>
      </c>
      <c r="BB1517" s="52" t="n">
        <f aca="false">IF(CQ1517&gt;0,CQ1517*MAX(1,AZ1517/X1517),IF(BZ1517=1,IF(AZ1517&lt;=0,0,CD1517*MAX(1,IF(H1517&gt;0,AZ1517/H1517,1))),IF(R1517&gt;0,BA1517/R1517,0))/MAX(0.1,N(Parameter!$M$21)))</f>
        <v>0.0833333333333333</v>
      </c>
      <c r="BC1517" s="50" t="n">
        <f aca="false">BB1517*CB1517</f>
        <v>20.4166666666667</v>
      </c>
      <c r="BD1517" s="51" t="n">
        <f aca="false">IF(LEFT(Cockpit!$O$5,1)="A",H1517,IF(CH1517=1,(CK1517+CI1517)/2,IF(LEFT(Cockpit!$O$5,1)="B",(CK1517+BF1517)/2,MAX((CK1517+BF1517)/2,H1517))))</f>
        <v>5</v>
      </c>
      <c r="BE1517" s="50" t="n">
        <f aca="false">BD1517*G1517</f>
        <v>380.55</v>
      </c>
      <c r="BF1517" s="50" t="n">
        <f aca="false">ROUNDUP(CK1517+MAX(CL1517,2*(J1517/IF(CG1517&gt;0,CG1517,MAX(0.1,N(Cockpit!$O$6)))-CK1517)),0)</f>
        <v>10</v>
      </c>
      <c r="BG1517" s="51" t="n">
        <f aca="false">IF(BC1517&gt;0,J1517/BC1517,-1)</f>
        <v>0</v>
      </c>
      <c r="BH1517" s="51" t="n">
        <f aca="false">IF(AND(OR(CF1517="L1",CF1517="L23",CF1517="LIFT"),BC1517&gt;0),SUMIFS($BC$7:$BC$1843,$CF$7:$CF$1843,CF1517,$BG$7:$BG$1843,"&gt;"&amp;BG1517)+SUMIFS($BC$7:$BC$1843,$CF$7:$CF$1843,CF1517,$BG$7:$BG$1843,BG1517,$BW$7:$BW$1843,"&lt;="&amp;BW1517),"")</f>
        <v>30219.4730138035</v>
      </c>
      <c r="BI1517" s="58" t="n">
        <f aca="false">IF(BH1517="",0,MAX(0,MIN(1,(IF(CF1517="L1",Parameter!$H$5,IF(CF1517="L23",Parameter!$H$6+Parameter!$H$7,Parameter!$H$5+Parameter!$H$6+Parameter!$H$7))-(BH1517-BC1517))/BC1517)))</f>
        <v>1</v>
      </c>
      <c r="BJ1517" s="48" t="str">
        <f aca="false">IF(AI1517&lt;=0,"",IF(CF1517="Aussen","Aussenlager",IF(CF1517="-","Nicht im Lift",IF(AO1517&gt;=1,"Lift",IF(AO1517&lt;=0,"Aussenlager","teilweise")))))</f>
        <v>Lift</v>
      </c>
      <c r="BK1517" s="48" t="str">
        <f aca="false">IF(AS1517&lt;=0,"",IF(CF1517="Aussen","Aussenlager",IF(CF1517="-","Nicht im Lift",IF(AY1517&gt;=1,"Lift",IF(AY1517&lt;=0,"Aussenlager","teilweise")))))</f>
        <v>Aussenlager</v>
      </c>
      <c r="BL1517" s="48" t="str">
        <f aca="false">IF(BC1517&lt;=0,"",IF(CF1517="Aussen","Aussenlager",IF(CF1517="-","Nicht im Lift",IF(BI1517&gt;=1,"Lift",IF(BI1517&lt;=0,"Aussenlager","teilweise")))))</f>
        <v>Lift</v>
      </c>
      <c r="BM1517" s="48" t="str">
        <f aca="false">IF(A1517="","",IF(BV1517=1,"Neu; ","")&amp;IF(AND(BV1517=0,BQ1517&lt;0),"negativer Bestand (Export "&amp;BQ1517&amp;"); ","")&amp;IF(J1517&lt;=0,"Kein Verbrauch; ","")&amp;IF(CQ1517&gt;0,"Lift "&amp;W1517&amp;" lt. Liftbericht (Fach "&amp;X1517&amp;" Stk); ",IF(CA1517=1,"Gebinde geschätzt ("&amp;T1517&amp;"); ",IF(BZ1517=1,"Lose – Tablare geschätzt; ","")))&amp;IF(H1517&gt;AV1517,"Überbestand "&amp;ROUND(H1517-AV1517,0)&amp;" Stk / CHF "&amp;ROUND((H1517-AV1517)*G1517,0)&amp;"; ","")&amp;IF(AND(CH1517=1,CI1517&lt;CJ1517),"MAX &lt; MB+LG; ","")&amp;IF(AND(CP1517&gt;0,CO1517*10&gt;CP1517),"zu hoch für Tablar; ","")&amp;IF(AND(BV1517=0,OR(CH1517=1,AA1517&lt;&gt;"",U1517&lt;&gt;"",V1517&lt;&gt;"",AB1517&lt;&gt;"")),"manuell übersteuert; ","")&amp;IF(AND(BZ1517=0,R1517=0),"Gebinde unbekannt / Stellmass fehlt; ","")&amp;IF(AND(BZ1517=0,N(V1517)&lt;=0,N(Q1517)&lt;=0),"Menge pro Gebinde fehlt (Ist = 1 Gebinde); ","")&amp;BU1517)</f>
        <v>Kein Verbrauch; Überbestand 68 Stk / CHF 5175; nur im Artikelstamm (Bestand 23.06.2026)</v>
      </c>
      <c r="BN1517" s="48"/>
      <c r="BO1517" s="48"/>
      <c r="BP1517" s="55"/>
      <c r="BQ1517" s="50" t="n">
        <v>78</v>
      </c>
      <c r="BR1517" s="50" t="n">
        <v>0</v>
      </c>
      <c r="BS1517" s="49" t="n">
        <v>0</v>
      </c>
      <c r="BT1517" s="50" t="n">
        <v>0</v>
      </c>
      <c r="BU1517" s="48" t="s">
        <v>2584</v>
      </c>
      <c r="BV1517" s="53" t="n">
        <v>0</v>
      </c>
      <c r="BW1517" s="53" t="n">
        <v>1517</v>
      </c>
      <c r="BX1517" s="48" t="str">
        <f aca="false">IF(U1517&lt;&gt;"",UPPER(TRIM(U1517)),IF(CA1517=1,UPPER(VLOOKUP(T1517,Parameter!$I$27:$K$29,2,0)),IF(P1517="","LOSE",P1517)))</f>
        <v>S62</v>
      </c>
      <c r="BY1517" s="50" t="n">
        <f aca="false">IF(BX1517="LOSE",1,IF(N(V1517)&gt;0,V1517,IF(CA1517=1,MAX(1,N(VLOOKUP(T1517,Parameter!$I$27:$K$29,3,0)),H1517,N(N1517)),IF(N(Q1517)&gt;0,Q1517,MAX(1,H1517)))))</f>
        <v>78</v>
      </c>
      <c r="BZ1517" s="53" t="n">
        <f aca="false">IF(BX1517="LOSE",1,0)</f>
        <v>0</v>
      </c>
      <c r="CA1517" s="53" t="n">
        <f aca="false">IF(AND(U1517="",OR(P1517="",P1517="LOSE"),T1517&lt;&gt;"",N(S1517)&lt;=0,ISNUMBER(MATCH(T1517,Parameter!$I$27:$I$29,0))),1,0)</f>
        <v>0</v>
      </c>
      <c r="CB1517" s="53" t="n">
        <f aca="false">IF(CQ1517&gt;0,INDEX(Parameter!$H$5:$H$7,W1517)/INDEX(Parameter!$E$5:$E$7,W1517),IF(AND(BZ1517=0,N(IFERROR(VLOOKUP(BX1517,'Gebinde-Kategorie'!$A$5:$N$45,14,0),0))&gt;0),VLOOKUP(BX1517,'Gebinde-Kategorie'!$A$5:$N$45,14,0)*10+Parameter!$M$23,Parameter!$M$24))</f>
        <v>245</v>
      </c>
      <c r="CC1517" s="48" t="str">
        <f aca="false">IF(AND(Parameter!$B$19="Ja",E1517&lt;&gt;"",ISNUMBER(MATCH(E1517,Parameter!$I$35:$I$52,0))),VLOOKUP(E1517,Parameter!$I$35:$J$52,2,0),IFERROR(VLOOKUP(D1517,Parameter!$A$35:$C$64,2,0),"Nein"))</f>
        <v>2+3</v>
      </c>
      <c r="CD1517" s="52" t="n">
        <f aca="false">IF(BZ1517=0,0,IF(N(S1517)&gt;0,S1517,IFERROR(VLOOKUP(D1517,Parameter!$A$35:$C$64,3,0)+0,0)))</f>
        <v>0</v>
      </c>
      <c r="CE1517" s="48" t="n">
        <f aca="false">IF(AA1517&lt;&gt;"",AA1517,Z1517)</f>
        <v>2</v>
      </c>
      <c r="CF1517" s="48" t="str">
        <f aca="false">IF(OR(CE1517=1,CE1517=2,CE1517=3),IF(Parameter!$E$27="Ja","LIFT",IF(CE1517=1,"L1","L23")),IF(CE1517="Aussen","Aussen","-"))</f>
        <v>LIFT</v>
      </c>
      <c r="CG1517" s="59" t="n">
        <f aca="false">IF(N(AB1517)&gt;0,AB1517,0)</f>
        <v>0</v>
      </c>
      <c r="CH1517" s="53" t="n">
        <f aca="false">IF(ISNUMBER(AE1517),1,0)</f>
        <v>0</v>
      </c>
      <c r="CI1517" s="50" t="n">
        <f aca="false">N(AE1517)</f>
        <v>0</v>
      </c>
      <c r="CJ1517" s="50" t="n">
        <f aca="false">N(M1517)+N(N1517)</f>
        <v>10</v>
      </c>
      <c r="CK1517" s="50" t="n">
        <f aca="false">N(M1517)</f>
        <v>0</v>
      </c>
      <c r="CL1517" s="50" t="n">
        <f aca="false">N(N1517)</f>
        <v>10</v>
      </c>
      <c r="CM1517" s="50" t="n">
        <f aca="false">ROUNDUP(H1517/BY1517,0)</f>
        <v>1</v>
      </c>
      <c r="CN1517" s="50" t="n">
        <f aca="false">ROUNDUP(CI1517/BY1517,0)</f>
        <v>0</v>
      </c>
      <c r="CO1517" s="53" t="n">
        <f aca="false">IF(BZ1517=1,0,IFERROR(VLOOKUP(BX1517,'Gebinde-Kategorie'!$A$5:$N$45,5,0)+0,0))</f>
        <v>21</v>
      </c>
      <c r="CP1517" s="53" t="n">
        <f aca="false">IFERROR(IF(OR(CE1517=1,CE1517=2,CE1517=3),N(INDEX(Parameter!$I$5:$I$7,CE1517)),0),0)</f>
        <v>0</v>
      </c>
      <c r="CQ1517" s="52" t="n">
        <f aca="false">IF(AND(Parameter!$B$21="Ja",ISNUMBER(W1517),N(X1517)&gt;0),IFERROR(N(INDEX(Parameter!$L$5:$L$7,W1517))*INDEX(Parameter!$E$5:$E$7,W1517)*X1517/SUMIFS($X$7:$X$1843,$W$7:$W$1843,W1517),0),0)</f>
        <v>0</v>
      </c>
    </row>
    <row r="1518" customFormat="false" ht="15" hidden="false" customHeight="false" outlineLevel="0" collapsed="false">
      <c r="A1518" s="48" t="s">
        <v>2665</v>
      </c>
      <c r="B1518" s="48" t="s">
        <v>623</v>
      </c>
      <c r="C1518" s="48" t="s">
        <v>173</v>
      </c>
      <c r="D1518" s="48" t="s">
        <v>193</v>
      </c>
      <c r="E1518" s="48" t="s">
        <v>194</v>
      </c>
      <c r="F1518" s="48"/>
      <c r="G1518" s="49" t="n">
        <v>6.1</v>
      </c>
      <c r="H1518" s="50" t="n">
        <f aca="false">MAX(0,IF(AND(Parameter!$B$21="Ja",ISNUMBER(Y1518)),Y1518,IF(Parameter!$B$20="Jahresanfang 2025 + Export",BR1518+BQ1518,BQ1518)))</f>
        <v>2</v>
      </c>
      <c r="I1518" s="50" t="n">
        <f aca="false">H1518*G1518</f>
        <v>12.2</v>
      </c>
      <c r="J1518" s="50" t="n">
        <f aca="false">BT1518*Parameter!$B$18</f>
        <v>0</v>
      </c>
      <c r="K1518" s="51"/>
      <c r="L1518" s="52"/>
      <c r="M1518" s="50" t="n">
        <v>0</v>
      </c>
      <c r="N1518" s="50" t="n">
        <v>100</v>
      </c>
      <c r="O1518" s="53" t="n">
        <v>35</v>
      </c>
      <c r="P1518" s="48" t="s">
        <v>410</v>
      </c>
      <c r="Q1518" s="50" t="n">
        <v>2</v>
      </c>
      <c r="R1518" s="53" t="n">
        <f aca="false">IF(BZ1518=1,0,IFERROR(VLOOKUP(BX1518,'Gebinde-Kategorie'!$A$5:$N$45,13,0)+0,0))</f>
        <v>280</v>
      </c>
      <c r="S1518" s="54"/>
      <c r="T1518" s="55"/>
      <c r="U1518" s="55"/>
      <c r="V1518" s="55"/>
      <c r="W1518" s="48"/>
      <c r="X1518" s="50"/>
      <c r="Y1518" s="50"/>
      <c r="Z1518" s="48" t="n">
        <f aca="false">IF(A1518="","",IF(AND(Parameter!$B$21="Ja",ISNUMBER(W1518)),W1518,IF(CC1518="2+3",IF(ISNUMBER(SEARCH("grosser Artikel",BU1518)),2,IFERROR(VLOOKUP(BX1518,Parameter!$F$35:$G$64,2,0),2)),IF(OR(CC1518="Nein",CC1518=""),"-",CC1518))))</f>
        <v>3</v>
      </c>
      <c r="AA1518" s="55"/>
      <c r="AB1518" s="56"/>
      <c r="AC1518" s="50" t="n">
        <f aca="false">AV1518</f>
        <v>100</v>
      </c>
      <c r="AD1518" s="50" t="n">
        <f aca="false">MAX(AV1518,H1518)</f>
        <v>100</v>
      </c>
      <c r="AE1518" s="57"/>
      <c r="AF1518" s="50" t="n">
        <f aca="false">IF(LEFT(Cockpit!$C$5,1)="A",H1518,IF(Parameter!$E$30="MAX-Bestand",IF(CH1518=1,CI1518,IF(LEFT(Cockpit!$C$5,1)="B",AL1518,MAX(AL1518,H1518))),ROUNDUP(AJ1518,0)))</f>
        <v>2</v>
      </c>
      <c r="AG1518" s="50" t="n">
        <f aca="false">IF(BZ1518=1,0,ROUNDUP(AF1518/BY1518,0))</f>
        <v>1</v>
      </c>
      <c r="AH1518" s="52" t="n">
        <f aca="false">IF(CQ1518&gt;0,CQ1518*MAX(1,AF1518/X1518),IF(BZ1518=1,IF(AF1518&lt;=0,0,CD1518*MAX(1,IF(H1518&gt;0,AF1518/H1518,1))),IF(R1518&gt;0,AG1518/R1518,0))/MAX(0.1,N(Parameter!$M$21)))</f>
        <v>0.00357142857142857</v>
      </c>
      <c r="AI1518" s="50" t="n">
        <f aca="false">AH1518*CB1518</f>
        <v>0.553571428571429</v>
      </c>
      <c r="AJ1518" s="51" t="n">
        <f aca="false">IF(LEFT(Cockpit!$C$5,1)="A",H1518,IF(CH1518=1,(CK1518+CI1518)/2,IF(LEFT(Cockpit!$C$5,1)="B",(CK1518+AL1518)/2,MAX((CK1518+AL1518)/2,H1518))))</f>
        <v>2</v>
      </c>
      <c r="AK1518" s="50" t="n">
        <f aca="false">AJ1518*G1518</f>
        <v>12.2</v>
      </c>
      <c r="AL1518" s="50" t="n">
        <f aca="false">ROUNDUP(CK1518+MAX(CL1518,2*(J1518/IF(CG1518&gt;0,CG1518,MAX(0.1,N(Cockpit!$C$6)))-CK1518)),0)</f>
        <v>100</v>
      </c>
      <c r="AM1518" s="51" t="n">
        <f aca="false">IF(AI1518&gt;0,J1518/AI1518,-1)</f>
        <v>0</v>
      </c>
      <c r="AN1518" s="51" t="n">
        <f aca="false">IF(AND(OR(CF1518="L1",CF1518="L23",CF1518="LIFT"),AI1518&gt;0),SUMIFS($AI$7:$AI$1843,$CF$7:$CF$1843,CF1518,$AM$7:$AM$1843,"&gt;"&amp;AM1518)+SUMIFS($AI$7:$AI$1843,$CF$7:$CF$1843,CF1518,$AM$7:$AM$1843,AM1518,$BW$7:$BW$1843,"&lt;="&amp;BW1518),"")</f>
        <v>29975.2645071501</v>
      </c>
      <c r="AO1518" s="58" t="n">
        <f aca="false">IF(AN1518="",0,MAX(0,MIN(1,(IF(CF1518="L1",Parameter!$H$5,IF(CF1518="L23",Parameter!$H$6+Parameter!$H$7,Parameter!$H$5+Parameter!$H$6+Parameter!$H$7))-(AN1518-AI1518))/AI1518)))</f>
        <v>1</v>
      </c>
      <c r="AP1518" s="50" t="n">
        <f aca="false">IF(LEFT(Cockpit!$I$5,1)="A",H1518,IF(Parameter!$E$30="MAX-Bestand",IF(CH1518=1,CI1518,IF(LEFT(Cockpit!$I$5,1)="B",AV1518,MAX(AV1518,H1518))),ROUNDUP(AT1518,0)))</f>
        <v>50</v>
      </c>
      <c r="AQ1518" s="50" t="n">
        <f aca="false">IF(BZ1518=1,0,ROUNDUP(AP1518/BY1518,0))</f>
        <v>25</v>
      </c>
      <c r="AR1518" s="52" t="n">
        <f aca="false">IF(CQ1518&gt;0,CQ1518*MAX(1,AP1518/X1518),IF(BZ1518=1,IF(AP1518&lt;=0,0,CD1518*MAX(1,IF(H1518&gt;0,AP1518/H1518,1))),IF(R1518&gt;0,AQ1518/R1518,0))/MAX(0.1,N(Parameter!$M$21)))</f>
        <v>0.0892857142857143</v>
      </c>
      <c r="AS1518" s="50" t="n">
        <f aca="false">AR1518*CB1518</f>
        <v>13.8392857142857</v>
      </c>
      <c r="AT1518" s="51" t="n">
        <f aca="false">IF(LEFT(Cockpit!$I$5,1)="A",H1518,IF(CH1518=1,(CK1518+CI1518)/2,IF(LEFT(Cockpit!$I$5,1)="B",(CK1518+AV1518)/2,MAX((CK1518+AV1518)/2,H1518))))</f>
        <v>50</v>
      </c>
      <c r="AU1518" s="50" t="n">
        <f aca="false">AT1518*G1518</f>
        <v>305</v>
      </c>
      <c r="AV1518" s="50" t="n">
        <f aca="false">ROUNDUP(CK1518+MAX(CL1518,2*(J1518/IF(CG1518&gt;0,CG1518,MAX(0.1,N(Cockpit!$I$6)))-CK1518)),0)</f>
        <v>100</v>
      </c>
      <c r="AW1518" s="51" t="n">
        <f aca="false">IF(AS1518&gt;0,J1518/AS1518,-1)</f>
        <v>0</v>
      </c>
      <c r="AX1518" s="51" t="n">
        <f aca="false">IF(AND(OR(CF1518="L1",CF1518="L23",CF1518="LIFT"),AS1518&gt;0),SUMIFS($AS$7:$AS$1843,$CF$7:$CF$1843,CF1518,$AW$7:$AW$1843,"&gt;"&amp;AW1518)+SUMIFS($AS$7:$AS$1843,$CF$7:$CF$1843,CF1518,$AW$7:$AW$1843,AW1518,$BW$7:$BW$1843,"&lt;="&amp;BW1518),"")</f>
        <v>36295.1210239854</v>
      </c>
      <c r="AY1518" s="58" t="n">
        <f aca="false">IF(AX1518="",0,MAX(0,MIN(1,(IF(CF1518="L1",Parameter!$H$5,IF(CF1518="L23",Parameter!$H$6+Parameter!$H$7,Parameter!$H$5+Parameter!$H$6+Parameter!$H$7))-(AX1518-AS1518))/AS1518)))</f>
        <v>0</v>
      </c>
      <c r="AZ1518" s="50" t="n">
        <f aca="false">IF(LEFT(Cockpit!$O$5,1)="A",H1518,IF(Parameter!$E$30="MAX-Bestand",IF(CH1518=1,CI1518,IF(LEFT(Cockpit!$O$5,1)="B",BF1518,MAX(BF1518,H1518))),ROUNDUP(BD1518,0)))</f>
        <v>50</v>
      </c>
      <c r="BA1518" s="50" t="n">
        <f aca="false">IF(BZ1518=1,0,ROUNDUP(AZ1518/BY1518,0))</f>
        <v>25</v>
      </c>
      <c r="BB1518" s="52" t="n">
        <f aca="false">IF(CQ1518&gt;0,CQ1518*MAX(1,AZ1518/X1518),IF(BZ1518=1,IF(AZ1518&lt;=0,0,CD1518*MAX(1,IF(H1518&gt;0,AZ1518/H1518,1))),IF(R1518&gt;0,BA1518/R1518,0))/MAX(0.1,N(Parameter!$M$21)))</f>
        <v>0.0892857142857143</v>
      </c>
      <c r="BC1518" s="50" t="n">
        <f aca="false">BB1518*CB1518</f>
        <v>13.8392857142857</v>
      </c>
      <c r="BD1518" s="51" t="n">
        <f aca="false">IF(LEFT(Cockpit!$O$5,1)="A",H1518,IF(CH1518=1,(CK1518+CI1518)/2,IF(LEFT(Cockpit!$O$5,1)="B",(CK1518+BF1518)/2,MAX((CK1518+BF1518)/2,H1518))))</f>
        <v>50</v>
      </c>
      <c r="BE1518" s="50" t="n">
        <f aca="false">BD1518*G1518</f>
        <v>305</v>
      </c>
      <c r="BF1518" s="50" t="n">
        <f aca="false">ROUNDUP(CK1518+MAX(CL1518,2*(J1518/IF(CG1518&gt;0,CG1518,MAX(0.1,N(Cockpit!$O$6)))-CK1518)),0)</f>
        <v>100</v>
      </c>
      <c r="BG1518" s="51" t="n">
        <f aca="false">IF(BC1518&gt;0,J1518/BC1518,-1)</f>
        <v>0</v>
      </c>
      <c r="BH1518" s="51" t="n">
        <f aca="false">IF(AND(OR(CF1518="L1",CF1518="L23",CF1518="LIFT"),BC1518&gt;0),SUMIFS($BC$7:$BC$1843,$CF$7:$CF$1843,CF1518,$BG$7:$BG$1843,"&gt;"&amp;BG1518)+SUMIFS($BC$7:$BC$1843,$CF$7:$CF$1843,CF1518,$BG$7:$BG$1843,BG1518,$BW$7:$BW$1843,"&lt;="&amp;BW1518),"")</f>
        <v>30233.3122995178</v>
      </c>
      <c r="BI1518" s="58" t="n">
        <f aca="false">IF(BH1518="",0,MAX(0,MIN(1,(IF(CF1518="L1",Parameter!$H$5,IF(CF1518="L23",Parameter!$H$6+Parameter!$H$7,Parameter!$H$5+Parameter!$H$6+Parameter!$H$7))-(BH1518-BC1518))/BC1518)))</f>
        <v>1</v>
      </c>
      <c r="BJ1518" s="48" t="str">
        <f aca="false">IF(AI1518&lt;=0,"",IF(CF1518="Aussen","Aussenlager",IF(CF1518="-","Nicht im Lift",IF(AO1518&gt;=1,"Lift",IF(AO1518&lt;=0,"Aussenlager","teilweise")))))</f>
        <v>Lift</v>
      </c>
      <c r="BK1518" s="48" t="str">
        <f aca="false">IF(AS1518&lt;=0,"",IF(CF1518="Aussen","Aussenlager",IF(CF1518="-","Nicht im Lift",IF(AY1518&gt;=1,"Lift",IF(AY1518&lt;=0,"Aussenlager","teilweise")))))</f>
        <v>Aussenlager</v>
      </c>
      <c r="BL1518" s="48" t="str">
        <f aca="false">IF(BC1518&lt;=0,"",IF(CF1518="Aussen","Aussenlager",IF(CF1518="-","Nicht im Lift",IF(BI1518&gt;=1,"Lift",IF(BI1518&lt;=0,"Aussenlager","teilweise")))))</f>
        <v>Lift</v>
      </c>
      <c r="BM1518" s="48" t="str">
        <f aca="false">IF(A1518="","",IF(BV1518=1,"Neu; ","")&amp;IF(AND(BV1518=0,BQ1518&lt;0),"negativer Bestand (Export "&amp;BQ1518&amp;"); ","")&amp;IF(J1518&lt;=0,"Kein Verbrauch; ","")&amp;IF(CQ1518&gt;0,"Lift "&amp;W1518&amp;" lt. Liftbericht (Fach "&amp;X1518&amp;" Stk); ",IF(CA1518=1,"Gebinde geschätzt ("&amp;T1518&amp;"); ",IF(BZ1518=1,"Lose – Tablare geschätzt; ","")))&amp;IF(H1518&gt;AV1518,"Überbestand "&amp;ROUND(H1518-AV1518,0)&amp;" Stk / CHF "&amp;ROUND((H1518-AV1518)*G1518,0)&amp;"; ","")&amp;IF(AND(CH1518=1,CI1518&lt;CJ1518),"MAX &lt; MB+LG; ","")&amp;IF(AND(CP1518&gt;0,CO1518*10&gt;CP1518),"zu hoch für Tablar; ","")&amp;IF(AND(BV1518=0,OR(CH1518=1,AA1518&lt;&gt;"",U1518&lt;&gt;"",V1518&lt;&gt;"",AB1518&lt;&gt;"")),"manuell übersteuert; ","")&amp;IF(AND(BZ1518=0,R1518=0),"Gebinde unbekannt / Stellmass fehlt; ","")&amp;IF(AND(BZ1518=0,N(V1518)&lt;=0,N(Q1518)&lt;=0),"Menge pro Gebinde fehlt (Ist = 1 Gebinde); ","")&amp;BU1518)</f>
        <v>Kein Verbrauch; nur im Artikelstamm (Bestand 23.06.2026)</v>
      </c>
      <c r="BN1518" s="48"/>
      <c r="BO1518" s="48"/>
      <c r="BP1518" s="55"/>
      <c r="BQ1518" s="50" t="n">
        <v>2</v>
      </c>
      <c r="BR1518" s="50" t="n">
        <v>0</v>
      </c>
      <c r="BS1518" s="49" t="n">
        <v>0</v>
      </c>
      <c r="BT1518" s="50" t="n">
        <v>0</v>
      </c>
      <c r="BU1518" s="48" t="s">
        <v>2584</v>
      </c>
      <c r="BV1518" s="53" t="n">
        <v>0</v>
      </c>
      <c r="BW1518" s="53" t="n">
        <v>1518</v>
      </c>
      <c r="BX1518" s="48" t="str">
        <f aca="false">IF(U1518&lt;&gt;"",UPPER(TRIM(U1518)),IF(CA1518=1,UPPER(VLOOKUP(T1518,Parameter!$I$27:$K$29,2,0)),IF(P1518="","LOSE",P1518)))</f>
        <v>S21</v>
      </c>
      <c r="BY1518" s="50" t="n">
        <f aca="false">IF(BX1518="LOSE",1,IF(N(V1518)&gt;0,V1518,IF(CA1518=1,MAX(1,N(VLOOKUP(T1518,Parameter!$I$27:$K$29,3,0)),H1518,N(N1518)),IF(N(Q1518)&gt;0,Q1518,MAX(1,H1518)))))</f>
        <v>2</v>
      </c>
      <c r="BZ1518" s="53" t="n">
        <f aca="false">IF(BX1518="LOSE",1,0)</f>
        <v>0</v>
      </c>
      <c r="CA1518" s="53" t="n">
        <f aca="false">IF(AND(U1518="",OR(P1518="",P1518="LOSE"),T1518&lt;&gt;"",N(S1518)&lt;=0,ISNUMBER(MATCH(T1518,Parameter!$I$27:$I$29,0))),1,0)</f>
        <v>0</v>
      </c>
      <c r="CB1518" s="53" t="n">
        <f aca="false">IF(CQ1518&gt;0,INDEX(Parameter!$H$5:$H$7,W1518)/INDEX(Parameter!$E$5:$E$7,W1518),IF(AND(BZ1518=0,N(IFERROR(VLOOKUP(BX1518,'Gebinde-Kategorie'!$A$5:$N$45,14,0),0))&gt;0),VLOOKUP(BX1518,'Gebinde-Kategorie'!$A$5:$N$45,14,0)*10+Parameter!$M$23,Parameter!$M$24))</f>
        <v>155</v>
      </c>
      <c r="CC1518" s="48" t="str">
        <f aca="false">IF(AND(Parameter!$B$19="Ja",E1518&lt;&gt;"",ISNUMBER(MATCH(E1518,Parameter!$I$35:$I$52,0))),VLOOKUP(E1518,Parameter!$I$35:$J$52,2,0),IFERROR(VLOOKUP(D1518,Parameter!$A$35:$C$64,2,0),"Nein"))</f>
        <v>2+3</v>
      </c>
      <c r="CD1518" s="52" t="n">
        <f aca="false">IF(BZ1518=0,0,IF(N(S1518)&gt;0,S1518,IFERROR(VLOOKUP(D1518,Parameter!$A$35:$C$64,3,0)+0,0)))</f>
        <v>0</v>
      </c>
      <c r="CE1518" s="48" t="n">
        <f aca="false">IF(AA1518&lt;&gt;"",AA1518,Z1518)</f>
        <v>3</v>
      </c>
      <c r="CF1518" s="48" t="str">
        <f aca="false">IF(OR(CE1518=1,CE1518=2,CE1518=3),IF(Parameter!$E$27="Ja","LIFT",IF(CE1518=1,"L1","L23")),IF(CE1518="Aussen","Aussen","-"))</f>
        <v>LIFT</v>
      </c>
      <c r="CG1518" s="59" t="n">
        <f aca="false">IF(N(AB1518)&gt;0,AB1518,0)</f>
        <v>0</v>
      </c>
      <c r="CH1518" s="53" t="n">
        <f aca="false">IF(ISNUMBER(AE1518),1,0)</f>
        <v>0</v>
      </c>
      <c r="CI1518" s="50" t="n">
        <f aca="false">N(AE1518)</f>
        <v>0</v>
      </c>
      <c r="CJ1518" s="50" t="n">
        <f aca="false">N(M1518)+N(N1518)</f>
        <v>100</v>
      </c>
      <c r="CK1518" s="50" t="n">
        <f aca="false">N(M1518)</f>
        <v>0</v>
      </c>
      <c r="CL1518" s="50" t="n">
        <f aca="false">N(N1518)</f>
        <v>100</v>
      </c>
      <c r="CM1518" s="50" t="n">
        <f aca="false">ROUNDUP(H1518/BY1518,0)</f>
        <v>1</v>
      </c>
      <c r="CN1518" s="50" t="n">
        <f aca="false">ROUNDUP(CI1518/BY1518,0)</f>
        <v>0</v>
      </c>
      <c r="CO1518" s="53" t="n">
        <f aca="false">IF(BZ1518=1,0,IFERROR(VLOOKUP(BX1518,'Gebinde-Kategorie'!$A$5:$N$45,5,0)+0,0))</f>
        <v>8</v>
      </c>
      <c r="CP1518" s="53" t="n">
        <f aca="false">IFERROR(IF(OR(CE1518=1,CE1518=2,CE1518=3),N(INDEX(Parameter!$I$5:$I$7,CE1518)),0),0)</f>
        <v>0</v>
      </c>
      <c r="CQ1518" s="52" t="n">
        <f aca="false">IF(AND(Parameter!$B$21="Ja",ISNUMBER(W1518),N(X1518)&gt;0),IFERROR(N(INDEX(Parameter!$L$5:$L$7,W1518))*INDEX(Parameter!$E$5:$E$7,W1518)*X1518/SUMIFS($X$7:$X$1843,$W$7:$W$1843,W1518),0),0)</f>
        <v>0</v>
      </c>
    </row>
    <row r="1519" customFormat="false" ht="15" hidden="false" customHeight="false" outlineLevel="0" collapsed="false">
      <c r="A1519" s="48" t="s">
        <v>2666</v>
      </c>
      <c r="B1519" s="48" t="s">
        <v>2667</v>
      </c>
      <c r="C1519" s="48" t="s">
        <v>173</v>
      </c>
      <c r="D1519" s="48" t="s">
        <v>182</v>
      </c>
      <c r="E1519" s="48" t="s">
        <v>194</v>
      </c>
      <c r="F1519" s="48"/>
      <c r="G1519" s="49" t="n">
        <v>409</v>
      </c>
      <c r="H1519" s="50" t="n">
        <f aca="false">MAX(0,IF(AND(Parameter!$B$21="Ja",ISNUMBER(Y1519)),Y1519,IF(Parameter!$B$20="Jahresanfang 2025 + Export",BR1519+BQ1519,BQ1519)))</f>
        <v>2</v>
      </c>
      <c r="I1519" s="50" t="n">
        <f aca="false">H1519*G1519</f>
        <v>818</v>
      </c>
      <c r="J1519" s="50" t="n">
        <f aca="false">BT1519*Parameter!$B$18</f>
        <v>0</v>
      </c>
      <c r="K1519" s="51"/>
      <c r="L1519" s="52"/>
      <c r="M1519" s="50" t="n">
        <v>0</v>
      </c>
      <c r="N1519" s="50" t="n">
        <v>2</v>
      </c>
      <c r="O1519" s="53" t="n">
        <v>56</v>
      </c>
      <c r="P1519" s="48" t="s">
        <v>311</v>
      </c>
      <c r="Q1519" s="50" t="n">
        <v>2</v>
      </c>
      <c r="R1519" s="53" t="n">
        <f aca="false">IF(BZ1519=1,0,IFERROR(VLOOKUP(BX1519,'Gebinde-Kategorie'!$A$5:$N$45,13,0)+0,0))</f>
        <v>26</v>
      </c>
      <c r="S1519" s="54"/>
      <c r="T1519" s="55"/>
      <c r="U1519" s="55"/>
      <c r="V1519" s="55"/>
      <c r="W1519" s="48"/>
      <c r="X1519" s="50"/>
      <c r="Y1519" s="50"/>
      <c r="Z1519" s="48" t="n">
        <f aca="false">IF(A1519="","",IF(AND(Parameter!$B$21="Ja",ISNUMBER(W1519)),W1519,IF(CC1519="2+3",IF(ISNUMBER(SEARCH("grosser Artikel",BU1519)),2,IFERROR(VLOOKUP(BX1519,Parameter!$F$35:$G$64,2,0),2)),IF(OR(CC1519="Nein",CC1519=""),"-",CC1519))))</f>
        <v>3</v>
      </c>
      <c r="AA1519" s="55"/>
      <c r="AB1519" s="56"/>
      <c r="AC1519" s="50" t="n">
        <f aca="false">AV1519</f>
        <v>2</v>
      </c>
      <c r="AD1519" s="50" t="n">
        <f aca="false">MAX(AV1519,H1519)</f>
        <v>2</v>
      </c>
      <c r="AE1519" s="57"/>
      <c r="AF1519" s="50" t="n">
        <f aca="false">IF(LEFT(Cockpit!$C$5,1)="A",H1519,IF(Parameter!$E$30="MAX-Bestand",IF(CH1519=1,CI1519,IF(LEFT(Cockpit!$C$5,1)="B",AL1519,MAX(AL1519,H1519))),ROUNDUP(AJ1519,0)))</f>
        <v>2</v>
      </c>
      <c r="AG1519" s="50" t="n">
        <f aca="false">IF(BZ1519=1,0,ROUNDUP(AF1519/BY1519,0))</f>
        <v>1</v>
      </c>
      <c r="AH1519" s="52" t="n">
        <f aca="false">IF(CQ1519&gt;0,CQ1519*MAX(1,AF1519/X1519),IF(BZ1519=1,IF(AF1519&lt;=0,0,CD1519*MAX(1,IF(H1519&gt;0,AF1519/H1519,1))),IF(R1519&gt;0,AG1519/R1519,0))/MAX(0.1,N(Parameter!$M$21)))</f>
        <v>0.0384615384615385</v>
      </c>
      <c r="AI1519" s="50" t="n">
        <f aca="false">AH1519*CB1519</f>
        <v>5.96153846153846</v>
      </c>
      <c r="AJ1519" s="51" t="n">
        <f aca="false">IF(LEFT(Cockpit!$C$5,1)="A",H1519,IF(CH1519=1,(CK1519+CI1519)/2,IF(LEFT(Cockpit!$C$5,1)="B",(CK1519+AL1519)/2,MAX((CK1519+AL1519)/2,H1519))))</f>
        <v>2</v>
      </c>
      <c r="AK1519" s="50" t="n">
        <f aca="false">AJ1519*G1519</f>
        <v>818</v>
      </c>
      <c r="AL1519" s="50" t="n">
        <f aca="false">ROUNDUP(CK1519+MAX(CL1519,2*(J1519/IF(CG1519&gt;0,CG1519,MAX(0.1,N(Cockpit!$C$6)))-CK1519)),0)</f>
        <v>2</v>
      </c>
      <c r="AM1519" s="51" t="n">
        <f aca="false">IF(AI1519&gt;0,J1519/AI1519,-1)</f>
        <v>0</v>
      </c>
      <c r="AN1519" s="51" t="n">
        <f aca="false">IF(AND(OR(CF1519="L1",CF1519="L23",CF1519="LIFT"),AI1519&gt;0),SUMIFS($AI$7:$AI$1843,$CF$7:$CF$1843,CF1519,$AM$7:$AM$1843,"&gt;"&amp;AM1519)+SUMIFS($AI$7:$AI$1843,$CF$7:$CF$1843,CF1519,$AM$7:$AM$1843,AM1519,$BW$7:$BW$1843,"&lt;="&amp;BW1519),"")</f>
        <v>29981.2260456116</v>
      </c>
      <c r="AO1519" s="58" t="n">
        <f aca="false">IF(AN1519="",0,MAX(0,MIN(1,(IF(CF1519="L1",Parameter!$H$5,IF(CF1519="L23",Parameter!$H$6+Parameter!$H$7,Parameter!$H$5+Parameter!$H$6+Parameter!$H$7))-(AN1519-AI1519))/AI1519)))</f>
        <v>1</v>
      </c>
      <c r="AP1519" s="50" t="n">
        <f aca="false">IF(LEFT(Cockpit!$I$5,1)="A",H1519,IF(Parameter!$E$30="MAX-Bestand",IF(CH1519=1,CI1519,IF(LEFT(Cockpit!$I$5,1)="B",AV1519,MAX(AV1519,H1519))),ROUNDUP(AT1519,0)))</f>
        <v>2</v>
      </c>
      <c r="AQ1519" s="50" t="n">
        <f aca="false">IF(BZ1519=1,0,ROUNDUP(AP1519/BY1519,0))</f>
        <v>1</v>
      </c>
      <c r="AR1519" s="52" t="n">
        <f aca="false">IF(CQ1519&gt;0,CQ1519*MAX(1,AP1519/X1519),IF(BZ1519=1,IF(AP1519&lt;=0,0,CD1519*MAX(1,IF(H1519&gt;0,AP1519/H1519,1))),IF(R1519&gt;0,AQ1519/R1519,0))/MAX(0.1,N(Parameter!$M$21)))</f>
        <v>0.0384615384615385</v>
      </c>
      <c r="AS1519" s="50" t="n">
        <f aca="false">AR1519*CB1519</f>
        <v>5.96153846153846</v>
      </c>
      <c r="AT1519" s="51" t="n">
        <f aca="false">IF(LEFT(Cockpit!$I$5,1)="A",H1519,IF(CH1519=1,(CK1519+CI1519)/2,IF(LEFT(Cockpit!$I$5,1)="B",(CK1519+AV1519)/2,MAX((CK1519+AV1519)/2,H1519))))</f>
        <v>2</v>
      </c>
      <c r="AU1519" s="50" t="n">
        <f aca="false">AT1519*G1519</f>
        <v>818</v>
      </c>
      <c r="AV1519" s="50" t="n">
        <f aca="false">ROUNDUP(CK1519+MAX(CL1519,2*(J1519/IF(CG1519&gt;0,CG1519,MAX(0.1,N(Cockpit!$I$6)))-CK1519)),0)</f>
        <v>2</v>
      </c>
      <c r="AW1519" s="51" t="n">
        <f aca="false">IF(AS1519&gt;0,J1519/AS1519,-1)</f>
        <v>0</v>
      </c>
      <c r="AX1519" s="51" t="n">
        <f aca="false">IF(AND(OR(CF1519="L1",CF1519="L23",CF1519="LIFT"),AS1519&gt;0),SUMIFS($AS$7:$AS$1843,$CF$7:$CF$1843,CF1519,$AW$7:$AW$1843,"&gt;"&amp;AW1519)+SUMIFS($AS$7:$AS$1843,$CF$7:$CF$1843,CF1519,$AW$7:$AW$1843,AW1519,$BW$7:$BW$1843,"&lt;="&amp;BW1519),"")</f>
        <v>36301.082562447</v>
      </c>
      <c r="AY1519" s="58" t="n">
        <f aca="false">IF(AX1519="",0,MAX(0,MIN(1,(IF(CF1519="L1",Parameter!$H$5,IF(CF1519="L23",Parameter!$H$6+Parameter!$H$7,Parameter!$H$5+Parameter!$H$6+Parameter!$H$7))-(AX1519-AS1519))/AS1519)))</f>
        <v>0</v>
      </c>
      <c r="AZ1519" s="50" t="n">
        <f aca="false">IF(LEFT(Cockpit!$O$5,1)="A",H1519,IF(Parameter!$E$30="MAX-Bestand",IF(CH1519=1,CI1519,IF(LEFT(Cockpit!$O$5,1)="B",BF1519,MAX(BF1519,H1519))),ROUNDUP(BD1519,0)))</f>
        <v>1</v>
      </c>
      <c r="BA1519" s="50" t="n">
        <f aca="false">IF(BZ1519=1,0,ROUNDUP(AZ1519/BY1519,0))</f>
        <v>1</v>
      </c>
      <c r="BB1519" s="52" t="n">
        <f aca="false">IF(CQ1519&gt;0,CQ1519*MAX(1,AZ1519/X1519),IF(BZ1519=1,IF(AZ1519&lt;=0,0,CD1519*MAX(1,IF(H1519&gt;0,AZ1519/H1519,1))),IF(R1519&gt;0,BA1519/R1519,0))/MAX(0.1,N(Parameter!$M$21)))</f>
        <v>0.0384615384615385</v>
      </c>
      <c r="BC1519" s="50" t="n">
        <f aca="false">BB1519*CB1519</f>
        <v>5.96153846153846</v>
      </c>
      <c r="BD1519" s="51" t="n">
        <f aca="false">IF(LEFT(Cockpit!$O$5,1)="A",H1519,IF(CH1519=1,(CK1519+CI1519)/2,IF(LEFT(Cockpit!$O$5,1)="B",(CK1519+BF1519)/2,MAX((CK1519+BF1519)/2,H1519))))</f>
        <v>1</v>
      </c>
      <c r="BE1519" s="50" t="n">
        <f aca="false">BD1519*G1519</f>
        <v>409</v>
      </c>
      <c r="BF1519" s="50" t="n">
        <f aca="false">ROUNDUP(CK1519+MAX(CL1519,2*(J1519/IF(CG1519&gt;0,CG1519,MAX(0.1,N(Cockpit!$O$6)))-CK1519)),0)</f>
        <v>2</v>
      </c>
      <c r="BG1519" s="51" t="n">
        <f aca="false">IF(BC1519&gt;0,J1519/BC1519,-1)</f>
        <v>0</v>
      </c>
      <c r="BH1519" s="51" t="n">
        <f aca="false">IF(AND(OR(CF1519="L1",CF1519="L23",CF1519="LIFT"),BC1519&gt;0),SUMIFS($BC$7:$BC$1843,$CF$7:$CF$1843,CF1519,$BG$7:$BG$1843,"&gt;"&amp;BG1519)+SUMIFS($BC$7:$BC$1843,$CF$7:$CF$1843,CF1519,$BG$7:$BG$1843,BG1519,$BW$7:$BW$1843,"&lt;="&amp;BW1519),"")</f>
        <v>30239.2738379793</v>
      </c>
      <c r="BI1519" s="58" t="n">
        <f aca="false">IF(BH1519="",0,MAX(0,MIN(1,(IF(CF1519="L1",Parameter!$H$5,IF(CF1519="L23",Parameter!$H$6+Parameter!$H$7,Parameter!$H$5+Parameter!$H$6+Parameter!$H$7))-(BH1519-BC1519))/BC1519)))</f>
        <v>1</v>
      </c>
      <c r="BJ1519" s="48" t="str">
        <f aca="false">IF(AI1519&lt;=0,"",IF(CF1519="Aussen","Aussenlager",IF(CF1519="-","Nicht im Lift",IF(AO1519&gt;=1,"Lift",IF(AO1519&lt;=0,"Aussenlager","teilweise")))))</f>
        <v>Lift</v>
      </c>
      <c r="BK1519" s="48" t="str">
        <f aca="false">IF(AS1519&lt;=0,"",IF(CF1519="Aussen","Aussenlager",IF(CF1519="-","Nicht im Lift",IF(AY1519&gt;=1,"Lift",IF(AY1519&lt;=0,"Aussenlager","teilweise")))))</f>
        <v>Aussenlager</v>
      </c>
      <c r="BL1519" s="48" t="str">
        <f aca="false">IF(BC1519&lt;=0,"",IF(CF1519="Aussen","Aussenlager",IF(CF1519="-","Nicht im Lift",IF(BI1519&gt;=1,"Lift",IF(BI1519&lt;=0,"Aussenlager","teilweise")))))</f>
        <v>Lift</v>
      </c>
      <c r="BM1519" s="48" t="str">
        <f aca="false">IF(A1519="","",IF(BV1519=1,"Neu; ","")&amp;IF(AND(BV1519=0,BQ1519&lt;0),"negativer Bestand (Export "&amp;BQ1519&amp;"); ","")&amp;IF(J1519&lt;=0,"Kein Verbrauch; ","")&amp;IF(CQ1519&gt;0,"Lift "&amp;W1519&amp;" lt. Liftbericht (Fach "&amp;X1519&amp;" Stk); ",IF(CA1519=1,"Gebinde geschätzt ("&amp;T1519&amp;"); ",IF(BZ1519=1,"Lose – Tablare geschätzt; ","")))&amp;IF(H1519&gt;AV1519,"Überbestand "&amp;ROUND(H1519-AV1519,0)&amp;" Stk / CHF "&amp;ROUND((H1519-AV1519)*G1519,0)&amp;"; ","")&amp;IF(AND(CH1519=1,CI1519&lt;CJ1519),"MAX &lt; MB+LG; ","")&amp;IF(AND(CP1519&gt;0,CO1519*10&gt;CP1519),"zu hoch für Tablar; ","")&amp;IF(AND(BV1519=0,OR(CH1519=1,AA1519&lt;&gt;"",U1519&lt;&gt;"",V1519&lt;&gt;"",AB1519&lt;&gt;"")),"manuell übersteuert; ","")&amp;IF(AND(BZ1519=0,R1519=0),"Gebinde unbekannt / Stellmass fehlt; ","")&amp;IF(AND(BZ1519=0,N(V1519)&lt;=0,N(Q1519)&lt;=0),"Menge pro Gebinde fehlt (Ist = 1 Gebinde); ","")&amp;BU1519)</f>
        <v>Kein Verbrauch; nur im Artikelstamm (Bestand 23.06.2026)</v>
      </c>
      <c r="BN1519" s="48"/>
      <c r="BO1519" s="48"/>
      <c r="BP1519" s="55"/>
      <c r="BQ1519" s="50" t="n">
        <v>2</v>
      </c>
      <c r="BR1519" s="50" t="n">
        <v>0</v>
      </c>
      <c r="BS1519" s="49" t="n">
        <v>0</v>
      </c>
      <c r="BT1519" s="50" t="n">
        <v>0</v>
      </c>
      <c r="BU1519" s="48" t="s">
        <v>2584</v>
      </c>
      <c r="BV1519" s="53" t="n">
        <v>0</v>
      </c>
      <c r="BW1519" s="53" t="n">
        <v>1519</v>
      </c>
      <c r="BX1519" s="48" t="str">
        <f aca="false">IF(U1519&lt;&gt;"",UPPER(TRIM(U1519)),IF(CA1519=1,UPPER(VLOOKUP(T1519,Parameter!$I$27:$K$29,2,0)),IF(P1519="","LOSE",P1519)))</f>
        <v>S51</v>
      </c>
      <c r="BY1519" s="50" t="n">
        <f aca="false">IF(BX1519="LOSE",1,IF(N(V1519)&gt;0,V1519,IF(CA1519=1,MAX(1,N(VLOOKUP(T1519,Parameter!$I$27:$K$29,3,0)),H1519,N(N1519)),IF(N(Q1519)&gt;0,Q1519,MAX(1,H1519)))))</f>
        <v>2</v>
      </c>
      <c r="BZ1519" s="53" t="n">
        <f aca="false">IF(BX1519="LOSE",1,0)</f>
        <v>0</v>
      </c>
      <c r="CA1519" s="53" t="n">
        <f aca="false">IF(AND(U1519="",OR(P1519="",P1519="LOSE"),T1519&lt;&gt;"",N(S1519)&lt;=0,ISNUMBER(MATCH(T1519,Parameter!$I$27:$I$29,0))),1,0)</f>
        <v>0</v>
      </c>
      <c r="CB1519" s="53" t="n">
        <f aca="false">IF(CQ1519&gt;0,INDEX(Parameter!$H$5:$H$7,W1519)/INDEX(Parameter!$E$5:$E$7,W1519),IF(AND(BZ1519=0,N(IFERROR(VLOOKUP(BX1519,'Gebinde-Kategorie'!$A$5:$N$45,14,0),0))&gt;0),VLOOKUP(BX1519,'Gebinde-Kategorie'!$A$5:$N$45,14,0)*10+Parameter!$M$23,Parameter!$M$24))</f>
        <v>155</v>
      </c>
      <c r="CC1519" s="48" t="str">
        <f aca="false">IF(AND(Parameter!$B$19="Ja",E1519&lt;&gt;"",ISNUMBER(MATCH(E1519,Parameter!$I$35:$I$52,0))),VLOOKUP(E1519,Parameter!$I$35:$J$52,2,0),IFERROR(VLOOKUP(D1519,Parameter!$A$35:$C$64,2,0),"Nein"))</f>
        <v>2+3</v>
      </c>
      <c r="CD1519" s="52" t="n">
        <f aca="false">IF(BZ1519=0,0,IF(N(S1519)&gt;0,S1519,IFERROR(VLOOKUP(D1519,Parameter!$A$35:$C$64,3,0)+0,0)))</f>
        <v>0</v>
      </c>
      <c r="CE1519" s="48" t="n">
        <f aca="false">IF(AA1519&lt;&gt;"",AA1519,Z1519)</f>
        <v>3</v>
      </c>
      <c r="CF1519" s="48" t="str">
        <f aca="false">IF(OR(CE1519=1,CE1519=2,CE1519=3),IF(Parameter!$E$27="Ja","LIFT",IF(CE1519=1,"L1","L23")),IF(CE1519="Aussen","Aussen","-"))</f>
        <v>LIFT</v>
      </c>
      <c r="CG1519" s="59" t="n">
        <f aca="false">IF(N(AB1519)&gt;0,AB1519,0)</f>
        <v>0</v>
      </c>
      <c r="CH1519" s="53" t="n">
        <f aca="false">IF(ISNUMBER(AE1519),1,0)</f>
        <v>0</v>
      </c>
      <c r="CI1519" s="50" t="n">
        <f aca="false">N(AE1519)</f>
        <v>0</v>
      </c>
      <c r="CJ1519" s="50" t="n">
        <f aca="false">N(M1519)+N(N1519)</f>
        <v>2</v>
      </c>
      <c r="CK1519" s="50" t="n">
        <f aca="false">N(M1519)</f>
        <v>0</v>
      </c>
      <c r="CL1519" s="50" t="n">
        <f aca="false">N(N1519)</f>
        <v>2</v>
      </c>
      <c r="CM1519" s="50" t="n">
        <f aca="false">ROUNDUP(H1519/BY1519,0)</f>
        <v>1</v>
      </c>
      <c r="CN1519" s="50" t="n">
        <f aca="false">ROUNDUP(CI1519/BY1519,0)</f>
        <v>0</v>
      </c>
      <c r="CO1519" s="53" t="n">
        <f aca="false">IF(BZ1519=1,0,IFERROR(VLOOKUP(BX1519,'Gebinde-Kategorie'!$A$5:$N$45,5,0)+0,0))</f>
        <v>11</v>
      </c>
      <c r="CP1519" s="53" t="n">
        <f aca="false">IFERROR(IF(OR(CE1519=1,CE1519=2,CE1519=3),N(INDEX(Parameter!$I$5:$I$7,CE1519)),0),0)</f>
        <v>0</v>
      </c>
      <c r="CQ1519" s="52" t="n">
        <f aca="false">IF(AND(Parameter!$B$21="Ja",ISNUMBER(W1519),N(X1519)&gt;0),IFERROR(N(INDEX(Parameter!$L$5:$L$7,W1519))*INDEX(Parameter!$E$5:$E$7,W1519)*X1519/SUMIFS($X$7:$X$1843,$W$7:$W$1843,W1519),0),0)</f>
        <v>0</v>
      </c>
    </row>
    <row r="1520" customFormat="false" ht="15" hidden="false" customHeight="false" outlineLevel="0" collapsed="false">
      <c r="A1520" s="48" t="s">
        <v>2668</v>
      </c>
      <c r="B1520" s="48" t="s">
        <v>2669</v>
      </c>
      <c r="C1520" s="48" t="s">
        <v>173</v>
      </c>
      <c r="D1520" s="48" t="s">
        <v>193</v>
      </c>
      <c r="E1520" s="48" t="s">
        <v>194</v>
      </c>
      <c r="F1520" s="48"/>
      <c r="G1520" s="49" t="n">
        <v>195.79</v>
      </c>
      <c r="H1520" s="50" t="n">
        <f aca="false">MAX(0,IF(AND(Parameter!$B$21="Ja",ISNUMBER(Y1520)),Y1520,IF(Parameter!$B$20="Jahresanfang 2025 + Export",BR1520+BQ1520,BQ1520)))</f>
        <v>28</v>
      </c>
      <c r="I1520" s="50" t="n">
        <f aca="false">H1520*G1520</f>
        <v>5482.12</v>
      </c>
      <c r="J1520" s="50" t="n">
        <f aca="false">BT1520*Parameter!$B$18</f>
        <v>0</v>
      </c>
      <c r="K1520" s="51"/>
      <c r="L1520" s="52"/>
      <c r="M1520" s="50" t="n">
        <v>0</v>
      </c>
      <c r="N1520" s="50" t="n">
        <v>15</v>
      </c>
      <c r="O1520" s="53" t="n">
        <v>126</v>
      </c>
      <c r="P1520" s="48" t="s">
        <v>302</v>
      </c>
      <c r="Q1520" s="50" t="n">
        <v>28</v>
      </c>
      <c r="R1520" s="53" t="n">
        <f aca="false">IF(BZ1520=1,0,IFERROR(VLOOKUP(BX1520,'Gebinde-Kategorie'!$A$5:$N$45,13,0)+0,0))</f>
        <v>12</v>
      </c>
      <c r="S1520" s="54"/>
      <c r="T1520" s="55"/>
      <c r="U1520" s="55"/>
      <c r="V1520" s="55"/>
      <c r="W1520" s="48"/>
      <c r="X1520" s="50"/>
      <c r="Y1520" s="50"/>
      <c r="Z1520" s="48" t="n">
        <f aca="false">IF(A1520="","",IF(AND(Parameter!$B$21="Ja",ISNUMBER(W1520)),W1520,IF(CC1520="2+3",IF(ISNUMBER(SEARCH("grosser Artikel",BU1520)),2,IFERROR(VLOOKUP(BX1520,Parameter!$F$35:$G$64,2,0),2)),IF(OR(CC1520="Nein",CC1520=""),"-",CC1520))))</f>
        <v>2</v>
      </c>
      <c r="AA1520" s="55"/>
      <c r="AB1520" s="56"/>
      <c r="AC1520" s="50" t="n">
        <f aca="false">AV1520</f>
        <v>15</v>
      </c>
      <c r="AD1520" s="50" t="n">
        <f aca="false">MAX(AV1520,H1520)</f>
        <v>28</v>
      </c>
      <c r="AE1520" s="57"/>
      <c r="AF1520" s="50" t="n">
        <f aca="false">IF(LEFT(Cockpit!$C$5,1)="A",H1520,IF(Parameter!$E$30="MAX-Bestand",IF(CH1520=1,CI1520,IF(LEFT(Cockpit!$C$5,1)="B",AL1520,MAX(AL1520,H1520))),ROUNDUP(AJ1520,0)))</f>
        <v>28</v>
      </c>
      <c r="AG1520" s="50" t="n">
        <f aca="false">IF(BZ1520=1,0,ROUNDUP(AF1520/BY1520,0))</f>
        <v>1</v>
      </c>
      <c r="AH1520" s="52" t="n">
        <f aca="false">IF(CQ1520&gt;0,CQ1520*MAX(1,AF1520/X1520),IF(BZ1520=1,IF(AF1520&lt;=0,0,CD1520*MAX(1,IF(H1520&gt;0,AF1520/H1520,1))),IF(R1520&gt;0,AG1520/R1520,0))/MAX(0.1,N(Parameter!$M$21)))</f>
        <v>0.0833333333333333</v>
      </c>
      <c r="AI1520" s="50" t="n">
        <f aca="false">AH1520*CB1520</f>
        <v>20.4166666666667</v>
      </c>
      <c r="AJ1520" s="51" t="n">
        <f aca="false">IF(LEFT(Cockpit!$C$5,1)="A",H1520,IF(CH1520=1,(CK1520+CI1520)/2,IF(LEFT(Cockpit!$C$5,1)="B",(CK1520+AL1520)/2,MAX((CK1520+AL1520)/2,H1520))))</f>
        <v>28</v>
      </c>
      <c r="AK1520" s="50" t="n">
        <f aca="false">AJ1520*G1520</f>
        <v>5482.12</v>
      </c>
      <c r="AL1520" s="50" t="n">
        <f aca="false">ROUNDUP(CK1520+MAX(CL1520,2*(J1520/IF(CG1520&gt;0,CG1520,MAX(0.1,N(Cockpit!$C$6)))-CK1520)),0)</f>
        <v>15</v>
      </c>
      <c r="AM1520" s="51" t="n">
        <f aca="false">IF(AI1520&gt;0,J1520/AI1520,-1)</f>
        <v>0</v>
      </c>
      <c r="AN1520" s="51" t="n">
        <f aca="false">IF(AND(OR(CF1520="L1",CF1520="L23",CF1520="LIFT"),AI1520&gt;0),SUMIFS($AI$7:$AI$1843,$CF$7:$CF$1843,CF1520,$AM$7:$AM$1843,"&gt;"&amp;AM1520)+SUMIFS($AI$7:$AI$1843,$CF$7:$CF$1843,CF1520,$AM$7:$AM$1843,AM1520,$BW$7:$BW$1843,"&lt;="&amp;BW1520),"")</f>
        <v>30001.6427122783</v>
      </c>
      <c r="AO1520" s="58" t="n">
        <f aca="false">IF(AN1520="",0,MAX(0,MIN(1,(IF(CF1520="L1",Parameter!$H$5,IF(CF1520="L23",Parameter!$H$6+Parameter!$H$7,Parameter!$H$5+Parameter!$H$6+Parameter!$H$7))-(AN1520-AI1520))/AI1520)))</f>
        <v>1</v>
      </c>
      <c r="AP1520" s="50" t="n">
        <f aca="false">IF(LEFT(Cockpit!$I$5,1)="A",H1520,IF(Parameter!$E$30="MAX-Bestand",IF(CH1520=1,CI1520,IF(LEFT(Cockpit!$I$5,1)="B",AV1520,MAX(AV1520,H1520))),ROUNDUP(AT1520,0)))</f>
        <v>28</v>
      </c>
      <c r="AQ1520" s="50" t="n">
        <f aca="false">IF(BZ1520=1,0,ROUNDUP(AP1520/BY1520,0))</f>
        <v>1</v>
      </c>
      <c r="AR1520" s="52" t="n">
        <f aca="false">IF(CQ1520&gt;0,CQ1520*MAX(1,AP1520/X1520),IF(BZ1520=1,IF(AP1520&lt;=0,0,CD1520*MAX(1,IF(H1520&gt;0,AP1520/H1520,1))),IF(R1520&gt;0,AQ1520/R1520,0))/MAX(0.1,N(Parameter!$M$21)))</f>
        <v>0.0833333333333333</v>
      </c>
      <c r="AS1520" s="50" t="n">
        <f aca="false">AR1520*CB1520</f>
        <v>20.4166666666667</v>
      </c>
      <c r="AT1520" s="51" t="n">
        <f aca="false">IF(LEFT(Cockpit!$I$5,1)="A",H1520,IF(CH1520=1,(CK1520+CI1520)/2,IF(LEFT(Cockpit!$I$5,1)="B",(CK1520+AV1520)/2,MAX((CK1520+AV1520)/2,H1520))))</f>
        <v>28</v>
      </c>
      <c r="AU1520" s="50" t="n">
        <f aca="false">AT1520*G1520</f>
        <v>5482.12</v>
      </c>
      <c r="AV1520" s="50" t="n">
        <f aca="false">ROUNDUP(CK1520+MAX(CL1520,2*(J1520/IF(CG1520&gt;0,CG1520,MAX(0.1,N(Cockpit!$I$6)))-CK1520)),0)</f>
        <v>15</v>
      </c>
      <c r="AW1520" s="51" t="n">
        <f aca="false">IF(AS1520&gt;0,J1520/AS1520,-1)</f>
        <v>0</v>
      </c>
      <c r="AX1520" s="51" t="n">
        <f aca="false">IF(AND(OR(CF1520="L1",CF1520="L23",CF1520="LIFT"),AS1520&gt;0),SUMIFS($AS$7:$AS$1843,$CF$7:$CF$1843,CF1520,$AW$7:$AW$1843,"&gt;"&amp;AW1520)+SUMIFS($AS$7:$AS$1843,$CF$7:$CF$1843,CF1520,$AW$7:$AW$1843,AW1520,$BW$7:$BW$1843,"&lt;="&amp;BW1520),"")</f>
        <v>36321.4992291136</v>
      </c>
      <c r="AY1520" s="58" t="n">
        <f aca="false">IF(AX1520="",0,MAX(0,MIN(1,(IF(CF1520="L1",Parameter!$H$5,IF(CF1520="L23",Parameter!$H$6+Parameter!$H$7,Parameter!$H$5+Parameter!$H$6+Parameter!$H$7))-(AX1520-AS1520))/AS1520)))</f>
        <v>0</v>
      </c>
      <c r="AZ1520" s="50" t="n">
        <f aca="false">IF(LEFT(Cockpit!$O$5,1)="A",H1520,IF(Parameter!$E$30="MAX-Bestand",IF(CH1520=1,CI1520,IF(LEFT(Cockpit!$O$5,1)="B",BF1520,MAX(BF1520,H1520))),ROUNDUP(BD1520,0)))</f>
        <v>8</v>
      </c>
      <c r="BA1520" s="50" t="n">
        <f aca="false">IF(BZ1520=1,0,ROUNDUP(AZ1520/BY1520,0))</f>
        <v>1</v>
      </c>
      <c r="BB1520" s="52" t="n">
        <f aca="false">IF(CQ1520&gt;0,CQ1520*MAX(1,AZ1520/X1520),IF(BZ1520=1,IF(AZ1520&lt;=0,0,CD1520*MAX(1,IF(H1520&gt;0,AZ1520/H1520,1))),IF(R1520&gt;0,BA1520/R1520,0))/MAX(0.1,N(Parameter!$M$21)))</f>
        <v>0.0833333333333333</v>
      </c>
      <c r="BC1520" s="50" t="n">
        <f aca="false">BB1520*CB1520</f>
        <v>20.4166666666667</v>
      </c>
      <c r="BD1520" s="51" t="n">
        <f aca="false">IF(LEFT(Cockpit!$O$5,1)="A",H1520,IF(CH1520=1,(CK1520+CI1520)/2,IF(LEFT(Cockpit!$O$5,1)="B",(CK1520+BF1520)/2,MAX((CK1520+BF1520)/2,H1520))))</f>
        <v>7.5</v>
      </c>
      <c r="BE1520" s="50" t="n">
        <f aca="false">BD1520*G1520</f>
        <v>1468.425</v>
      </c>
      <c r="BF1520" s="50" t="n">
        <f aca="false">ROUNDUP(CK1520+MAX(CL1520,2*(J1520/IF(CG1520&gt;0,CG1520,MAX(0.1,N(Cockpit!$O$6)))-CK1520)),0)</f>
        <v>15</v>
      </c>
      <c r="BG1520" s="51" t="n">
        <f aca="false">IF(BC1520&gt;0,J1520/BC1520,-1)</f>
        <v>0</v>
      </c>
      <c r="BH1520" s="51" t="n">
        <f aca="false">IF(AND(OR(CF1520="L1",CF1520="L23",CF1520="LIFT"),BC1520&gt;0),SUMIFS($BC$7:$BC$1843,$CF$7:$CF$1843,CF1520,$BG$7:$BG$1843,"&gt;"&amp;BG1520)+SUMIFS($BC$7:$BC$1843,$CF$7:$CF$1843,CF1520,$BG$7:$BG$1843,BG1520,$BW$7:$BW$1843,"&lt;="&amp;BW1520),"")</f>
        <v>30259.690504646</v>
      </c>
      <c r="BI1520" s="58" t="n">
        <f aca="false">IF(BH1520="",0,MAX(0,MIN(1,(IF(CF1520="L1",Parameter!$H$5,IF(CF1520="L23",Parameter!$H$6+Parameter!$H$7,Parameter!$H$5+Parameter!$H$6+Parameter!$H$7))-(BH1520-BC1520))/BC1520)))</f>
        <v>1</v>
      </c>
      <c r="BJ1520" s="48" t="str">
        <f aca="false">IF(AI1520&lt;=0,"",IF(CF1520="Aussen","Aussenlager",IF(CF1520="-","Nicht im Lift",IF(AO1520&gt;=1,"Lift",IF(AO1520&lt;=0,"Aussenlager","teilweise")))))</f>
        <v>Lift</v>
      </c>
      <c r="BK1520" s="48" t="str">
        <f aca="false">IF(AS1520&lt;=0,"",IF(CF1520="Aussen","Aussenlager",IF(CF1520="-","Nicht im Lift",IF(AY1520&gt;=1,"Lift",IF(AY1520&lt;=0,"Aussenlager","teilweise")))))</f>
        <v>Aussenlager</v>
      </c>
      <c r="BL1520" s="48" t="str">
        <f aca="false">IF(BC1520&lt;=0,"",IF(CF1520="Aussen","Aussenlager",IF(CF1520="-","Nicht im Lift",IF(BI1520&gt;=1,"Lift",IF(BI1520&lt;=0,"Aussenlager","teilweise")))))</f>
        <v>Lift</v>
      </c>
      <c r="BM1520" s="48" t="str">
        <f aca="false">IF(A1520="","",IF(BV1520=1,"Neu; ","")&amp;IF(AND(BV1520=0,BQ1520&lt;0),"negativer Bestand (Export "&amp;BQ1520&amp;"); ","")&amp;IF(J1520&lt;=0,"Kein Verbrauch; ","")&amp;IF(CQ1520&gt;0,"Lift "&amp;W1520&amp;" lt. Liftbericht (Fach "&amp;X1520&amp;" Stk); ",IF(CA1520=1,"Gebinde geschätzt ("&amp;T1520&amp;"); ",IF(BZ1520=1,"Lose – Tablare geschätzt; ","")))&amp;IF(H1520&gt;AV1520,"Überbestand "&amp;ROUND(H1520-AV1520,0)&amp;" Stk / CHF "&amp;ROUND((H1520-AV1520)*G1520,0)&amp;"; ","")&amp;IF(AND(CH1520=1,CI1520&lt;CJ1520),"MAX &lt; MB+LG; ","")&amp;IF(AND(CP1520&gt;0,CO1520*10&gt;CP1520),"zu hoch für Tablar; ","")&amp;IF(AND(BV1520=0,OR(CH1520=1,AA1520&lt;&gt;"",U1520&lt;&gt;"",V1520&lt;&gt;"",AB1520&lt;&gt;"")),"manuell übersteuert; ","")&amp;IF(AND(BZ1520=0,R1520=0),"Gebinde unbekannt / Stellmass fehlt; ","")&amp;IF(AND(BZ1520=0,N(V1520)&lt;=0,N(Q1520)&lt;=0),"Menge pro Gebinde fehlt (Ist = 1 Gebinde); ","")&amp;BU1520)</f>
        <v>Kein Verbrauch; Überbestand 13 Stk / CHF 2545; nur im Artikelstamm (Bestand 23.06.2026)</v>
      </c>
      <c r="BN1520" s="48"/>
      <c r="BO1520" s="48"/>
      <c r="BP1520" s="55"/>
      <c r="BQ1520" s="50" t="n">
        <v>28</v>
      </c>
      <c r="BR1520" s="50" t="n">
        <v>0</v>
      </c>
      <c r="BS1520" s="49" t="n">
        <v>0</v>
      </c>
      <c r="BT1520" s="50" t="n">
        <v>0</v>
      </c>
      <c r="BU1520" s="48" t="s">
        <v>2584</v>
      </c>
      <c r="BV1520" s="53" t="n">
        <v>0</v>
      </c>
      <c r="BW1520" s="53" t="n">
        <v>1520</v>
      </c>
      <c r="BX1520" s="48" t="str">
        <f aca="false">IF(U1520&lt;&gt;"",UPPER(TRIM(U1520)),IF(CA1520=1,UPPER(VLOOKUP(T1520,Parameter!$I$27:$K$29,2,0)),IF(P1520="","LOSE",P1520)))</f>
        <v>S62</v>
      </c>
      <c r="BY1520" s="50" t="n">
        <f aca="false">IF(BX1520="LOSE",1,IF(N(V1520)&gt;0,V1520,IF(CA1520=1,MAX(1,N(VLOOKUP(T1520,Parameter!$I$27:$K$29,3,0)),H1520,N(N1520)),IF(N(Q1520)&gt;0,Q1520,MAX(1,H1520)))))</f>
        <v>28</v>
      </c>
      <c r="BZ1520" s="53" t="n">
        <f aca="false">IF(BX1520="LOSE",1,0)</f>
        <v>0</v>
      </c>
      <c r="CA1520" s="53" t="n">
        <f aca="false">IF(AND(U1520="",OR(P1520="",P1520="LOSE"),T1520&lt;&gt;"",N(S1520)&lt;=0,ISNUMBER(MATCH(T1520,Parameter!$I$27:$I$29,0))),1,0)</f>
        <v>0</v>
      </c>
      <c r="CB1520" s="53" t="n">
        <f aca="false">IF(CQ1520&gt;0,INDEX(Parameter!$H$5:$H$7,W1520)/INDEX(Parameter!$E$5:$E$7,W1520),IF(AND(BZ1520=0,N(IFERROR(VLOOKUP(BX1520,'Gebinde-Kategorie'!$A$5:$N$45,14,0),0))&gt;0),VLOOKUP(BX1520,'Gebinde-Kategorie'!$A$5:$N$45,14,0)*10+Parameter!$M$23,Parameter!$M$24))</f>
        <v>245</v>
      </c>
      <c r="CC1520" s="48" t="str">
        <f aca="false">IF(AND(Parameter!$B$19="Ja",E1520&lt;&gt;"",ISNUMBER(MATCH(E1520,Parameter!$I$35:$I$52,0))),VLOOKUP(E1520,Parameter!$I$35:$J$52,2,0),IFERROR(VLOOKUP(D1520,Parameter!$A$35:$C$64,2,0),"Nein"))</f>
        <v>2+3</v>
      </c>
      <c r="CD1520" s="52" t="n">
        <f aca="false">IF(BZ1520=0,0,IF(N(S1520)&gt;0,S1520,IFERROR(VLOOKUP(D1520,Parameter!$A$35:$C$64,3,0)+0,0)))</f>
        <v>0</v>
      </c>
      <c r="CE1520" s="48" t="n">
        <f aca="false">IF(AA1520&lt;&gt;"",AA1520,Z1520)</f>
        <v>2</v>
      </c>
      <c r="CF1520" s="48" t="str">
        <f aca="false">IF(OR(CE1520=1,CE1520=2,CE1520=3),IF(Parameter!$E$27="Ja","LIFT",IF(CE1520=1,"L1","L23")),IF(CE1520="Aussen","Aussen","-"))</f>
        <v>LIFT</v>
      </c>
      <c r="CG1520" s="59" t="n">
        <f aca="false">IF(N(AB1520)&gt;0,AB1520,0)</f>
        <v>0</v>
      </c>
      <c r="CH1520" s="53" t="n">
        <f aca="false">IF(ISNUMBER(AE1520),1,0)</f>
        <v>0</v>
      </c>
      <c r="CI1520" s="50" t="n">
        <f aca="false">N(AE1520)</f>
        <v>0</v>
      </c>
      <c r="CJ1520" s="50" t="n">
        <f aca="false">N(M1520)+N(N1520)</f>
        <v>15</v>
      </c>
      <c r="CK1520" s="50" t="n">
        <f aca="false">N(M1520)</f>
        <v>0</v>
      </c>
      <c r="CL1520" s="50" t="n">
        <f aca="false">N(N1520)</f>
        <v>15</v>
      </c>
      <c r="CM1520" s="50" t="n">
        <f aca="false">ROUNDUP(H1520/BY1520,0)</f>
        <v>1</v>
      </c>
      <c r="CN1520" s="50" t="n">
        <f aca="false">ROUNDUP(CI1520/BY1520,0)</f>
        <v>0</v>
      </c>
      <c r="CO1520" s="53" t="n">
        <f aca="false">IF(BZ1520=1,0,IFERROR(VLOOKUP(BX1520,'Gebinde-Kategorie'!$A$5:$N$45,5,0)+0,0))</f>
        <v>21</v>
      </c>
      <c r="CP1520" s="53" t="n">
        <f aca="false">IFERROR(IF(OR(CE1520=1,CE1520=2,CE1520=3),N(INDEX(Parameter!$I$5:$I$7,CE1520)),0),0)</f>
        <v>0</v>
      </c>
      <c r="CQ1520" s="52" t="n">
        <f aca="false">IF(AND(Parameter!$B$21="Ja",ISNUMBER(W1520),N(X1520)&gt;0),IFERROR(N(INDEX(Parameter!$L$5:$L$7,W1520))*INDEX(Parameter!$E$5:$E$7,W1520)*X1520/SUMIFS($X$7:$X$1843,$W$7:$W$1843,W1520),0),0)</f>
        <v>0</v>
      </c>
    </row>
    <row r="1521" customFormat="false" ht="15" hidden="false" customHeight="false" outlineLevel="0" collapsed="false">
      <c r="A1521" s="48" t="s">
        <v>2670</v>
      </c>
      <c r="B1521" s="48" t="s">
        <v>296</v>
      </c>
      <c r="C1521" s="48" t="s">
        <v>176</v>
      </c>
      <c r="D1521" s="48" t="s">
        <v>182</v>
      </c>
      <c r="E1521" s="48" t="s">
        <v>194</v>
      </c>
      <c r="F1521" s="48"/>
      <c r="G1521" s="49" t="n">
        <v>1618</v>
      </c>
      <c r="H1521" s="50" t="n">
        <f aca="false">MAX(0,IF(AND(Parameter!$B$21="Ja",ISNUMBER(Y1521)),Y1521,IF(Parameter!$B$20="Jahresanfang 2025 + Export",BR1521+BQ1521,BQ1521)))</f>
        <v>1</v>
      </c>
      <c r="I1521" s="50" t="n">
        <f aca="false">H1521*G1521</f>
        <v>1618</v>
      </c>
      <c r="J1521" s="50" t="n">
        <f aca="false">BT1521*Parameter!$B$18</f>
        <v>0</v>
      </c>
      <c r="K1521" s="51"/>
      <c r="L1521" s="52"/>
      <c r="M1521" s="50" t="n">
        <v>0</v>
      </c>
      <c r="N1521" s="50" t="n">
        <v>1</v>
      </c>
      <c r="O1521" s="53" t="n">
        <v>35</v>
      </c>
      <c r="P1521" s="48" t="s">
        <v>242</v>
      </c>
      <c r="Q1521" s="50" t="n">
        <v>1</v>
      </c>
      <c r="R1521" s="53" t="n">
        <f aca="false">IF(BZ1521=1,0,IFERROR(VLOOKUP(BX1521,'Gebinde-Kategorie'!$A$5:$N$45,13,0)+0,0))</f>
        <v>26</v>
      </c>
      <c r="S1521" s="54"/>
      <c r="T1521" s="55"/>
      <c r="U1521" s="55"/>
      <c r="V1521" s="55"/>
      <c r="W1521" s="48"/>
      <c r="X1521" s="50"/>
      <c r="Y1521" s="50"/>
      <c r="Z1521" s="48" t="n">
        <f aca="false">IF(A1521="","",IF(AND(Parameter!$B$21="Ja",ISNUMBER(W1521)),W1521,IF(CC1521="2+3",IF(ISNUMBER(SEARCH("grosser Artikel",BU1521)),2,IFERROR(VLOOKUP(BX1521,Parameter!$F$35:$G$64,2,0),2)),IF(OR(CC1521="Nein",CC1521=""),"-",CC1521))))</f>
        <v>3</v>
      </c>
      <c r="AA1521" s="55"/>
      <c r="AB1521" s="56"/>
      <c r="AC1521" s="50" t="n">
        <f aca="false">AV1521</f>
        <v>1</v>
      </c>
      <c r="AD1521" s="50" t="n">
        <f aca="false">MAX(AV1521,H1521)</f>
        <v>1</v>
      </c>
      <c r="AE1521" s="57"/>
      <c r="AF1521" s="50" t="n">
        <f aca="false">IF(LEFT(Cockpit!$C$5,1)="A",H1521,IF(Parameter!$E$30="MAX-Bestand",IF(CH1521=1,CI1521,IF(LEFT(Cockpit!$C$5,1)="B",AL1521,MAX(AL1521,H1521))),ROUNDUP(AJ1521,0)))</f>
        <v>1</v>
      </c>
      <c r="AG1521" s="50" t="n">
        <f aca="false">IF(BZ1521=1,0,ROUNDUP(AF1521/BY1521,0))</f>
        <v>1</v>
      </c>
      <c r="AH1521" s="52" t="n">
        <f aca="false">IF(CQ1521&gt;0,CQ1521*MAX(1,AF1521/X1521),IF(BZ1521=1,IF(AF1521&lt;=0,0,CD1521*MAX(1,IF(H1521&gt;0,AF1521/H1521,1))),IF(R1521&gt;0,AG1521/R1521,0))/MAX(0.1,N(Parameter!$M$21)))</f>
        <v>0.0384615384615385</v>
      </c>
      <c r="AI1521" s="50" t="n">
        <f aca="false">AH1521*CB1521</f>
        <v>9.42307692307692</v>
      </c>
      <c r="AJ1521" s="51" t="n">
        <f aca="false">IF(LEFT(Cockpit!$C$5,1)="A",H1521,IF(CH1521=1,(CK1521+CI1521)/2,IF(LEFT(Cockpit!$C$5,1)="B",(CK1521+AL1521)/2,MAX((CK1521+AL1521)/2,H1521))))</f>
        <v>1</v>
      </c>
      <c r="AK1521" s="50" t="n">
        <f aca="false">AJ1521*G1521</f>
        <v>1618</v>
      </c>
      <c r="AL1521" s="50" t="n">
        <f aca="false">ROUNDUP(CK1521+MAX(CL1521,2*(J1521/IF(CG1521&gt;0,CG1521,MAX(0.1,N(Cockpit!$C$6)))-CK1521)),0)</f>
        <v>1</v>
      </c>
      <c r="AM1521" s="51" t="n">
        <f aca="false">IF(AI1521&gt;0,J1521/AI1521,-1)</f>
        <v>0</v>
      </c>
      <c r="AN1521" s="51" t="n">
        <f aca="false">IF(AND(OR(CF1521="L1",CF1521="L23",CF1521="LIFT"),AI1521&gt;0),SUMIFS($AI$7:$AI$1843,$CF$7:$CF$1843,CF1521,$AM$7:$AM$1843,"&gt;"&amp;AM1521)+SUMIFS($AI$7:$AI$1843,$CF$7:$CF$1843,CF1521,$AM$7:$AM$1843,AM1521,$BW$7:$BW$1843,"&lt;="&amp;BW1521),"")</f>
        <v>30011.0657892014</v>
      </c>
      <c r="AO1521" s="58" t="n">
        <f aca="false">IF(AN1521="",0,MAX(0,MIN(1,(IF(CF1521="L1",Parameter!$H$5,IF(CF1521="L23",Parameter!$H$6+Parameter!$H$7,Parameter!$H$5+Parameter!$H$6+Parameter!$H$7))-(AN1521-AI1521))/AI1521)))</f>
        <v>1</v>
      </c>
      <c r="AP1521" s="50" t="n">
        <f aca="false">IF(LEFT(Cockpit!$I$5,1)="A",H1521,IF(Parameter!$E$30="MAX-Bestand",IF(CH1521=1,CI1521,IF(LEFT(Cockpit!$I$5,1)="B",AV1521,MAX(AV1521,H1521))),ROUNDUP(AT1521,0)))</f>
        <v>1</v>
      </c>
      <c r="AQ1521" s="50" t="n">
        <f aca="false">IF(BZ1521=1,0,ROUNDUP(AP1521/BY1521,0))</f>
        <v>1</v>
      </c>
      <c r="AR1521" s="52" t="n">
        <f aca="false">IF(CQ1521&gt;0,CQ1521*MAX(1,AP1521/X1521),IF(BZ1521=1,IF(AP1521&lt;=0,0,CD1521*MAX(1,IF(H1521&gt;0,AP1521/H1521,1))),IF(R1521&gt;0,AQ1521/R1521,0))/MAX(0.1,N(Parameter!$M$21)))</f>
        <v>0.0384615384615385</v>
      </c>
      <c r="AS1521" s="50" t="n">
        <f aca="false">AR1521*CB1521</f>
        <v>9.42307692307692</v>
      </c>
      <c r="AT1521" s="51" t="n">
        <f aca="false">IF(LEFT(Cockpit!$I$5,1)="A",H1521,IF(CH1521=1,(CK1521+CI1521)/2,IF(LEFT(Cockpit!$I$5,1)="B",(CK1521+AV1521)/2,MAX((CK1521+AV1521)/2,H1521))))</f>
        <v>1</v>
      </c>
      <c r="AU1521" s="50" t="n">
        <f aca="false">AT1521*G1521</f>
        <v>1618</v>
      </c>
      <c r="AV1521" s="50" t="n">
        <f aca="false">ROUNDUP(CK1521+MAX(CL1521,2*(J1521/IF(CG1521&gt;0,CG1521,MAX(0.1,N(Cockpit!$I$6)))-CK1521)),0)</f>
        <v>1</v>
      </c>
      <c r="AW1521" s="51" t="n">
        <f aca="false">IF(AS1521&gt;0,J1521/AS1521,-1)</f>
        <v>0</v>
      </c>
      <c r="AX1521" s="51" t="n">
        <f aca="false">IF(AND(OR(CF1521="L1",CF1521="L23",CF1521="LIFT"),AS1521&gt;0),SUMIFS($AS$7:$AS$1843,$CF$7:$CF$1843,CF1521,$AW$7:$AW$1843,"&gt;"&amp;AW1521)+SUMIFS($AS$7:$AS$1843,$CF$7:$CF$1843,CF1521,$AW$7:$AW$1843,AW1521,$BW$7:$BW$1843,"&lt;="&amp;BW1521),"")</f>
        <v>36330.9223060367</v>
      </c>
      <c r="AY1521" s="58" t="n">
        <f aca="false">IF(AX1521="",0,MAX(0,MIN(1,(IF(CF1521="L1",Parameter!$H$5,IF(CF1521="L23",Parameter!$H$6+Parameter!$H$7,Parameter!$H$5+Parameter!$H$6+Parameter!$H$7))-(AX1521-AS1521))/AS1521)))</f>
        <v>0</v>
      </c>
      <c r="AZ1521" s="50" t="n">
        <f aca="false">IF(LEFT(Cockpit!$O$5,1)="A",H1521,IF(Parameter!$E$30="MAX-Bestand",IF(CH1521=1,CI1521,IF(LEFT(Cockpit!$O$5,1)="B",BF1521,MAX(BF1521,H1521))),ROUNDUP(BD1521,0)))</f>
        <v>1</v>
      </c>
      <c r="BA1521" s="50" t="n">
        <f aca="false">IF(BZ1521=1,0,ROUNDUP(AZ1521/BY1521,0))</f>
        <v>1</v>
      </c>
      <c r="BB1521" s="52" t="n">
        <f aca="false">IF(CQ1521&gt;0,CQ1521*MAX(1,AZ1521/X1521),IF(BZ1521=1,IF(AZ1521&lt;=0,0,CD1521*MAX(1,IF(H1521&gt;0,AZ1521/H1521,1))),IF(R1521&gt;0,BA1521/R1521,0))/MAX(0.1,N(Parameter!$M$21)))</f>
        <v>0.0384615384615385</v>
      </c>
      <c r="BC1521" s="50" t="n">
        <f aca="false">BB1521*CB1521</f>
        <v>9.42307692307692</v>
      </c>
      <c r="BD1521" s="51" t="n">
        <f aca="false">IF(LEFT(Cockpit!$O$5,1)="A",H1521,IF(CH1521=1,(CK1521+CI1521)/2,IF(LEFT(Cockpit!$O$5,1)="B",(CK1521+BF1521)/2,MAX((CK1521+BF1521)/2,H1521))))</f>
        <v>0.5</v>
      </c>
      <c r="BE1521" s="50" t="n">
        <f aca="false">BD1521*G1521</f>
        <v>809</v>
      </c>
      <c r="BF1521" s="50" t="n">
        <f aca="false">ROUNDUP(CK1521+MAX(CL1521,2*(J1521/IF(CG1521&gt;0,CG1521,MAX(0.1,N(Cockpit!$O$6)))-CK1521)),0)</f>
        <v>1</v>
      </c>
      <c r="BG1521" s="51" t="n">
        <f aca="false">IF(BC1521&gt;0,J1521/BC1521,-1)</f>
        <v>0</v>
      </c>
      <c r="BH1521" s="51" t="n">
        <f aca="false">IF(AND(OR(CF1521="L1",CF1521="L23",CF1521="LIFT"),BC1521&gt;0),SUMIFS($BC$7:$BC$1843,$CF$7:$CF$1843,CF1521,$BG$7:$BG$1843,"&gt;"&amp;BG1521)+SUMIFS($BC$7:$BC$1843,$CF$7:$CF$1843,CF1521,$BG$7:$BG$1843,BG1521,$BW$7:$BW$1843,"&lt;="&amp;BW1521),"")</f>
        <v>30269.1135815691</v>
      </c>
      <c r="BI1521" s="58" t="n">
        <f aca="false">IF(BH1521="",0,MAX(0,MIN(1,(IF(CF1521="L1",Parameter!$H$5,IF(CF1521="L23",Parameter!$H$6+Parameter!$H$7,Parameter!$H$5+Parameter!$H$6+Parameter!$H$7))-(BH1521-BC1521))/BC1521)))</f>
        <v>1</v>
      </c>
      <c r="BJ1521" s="48" t="str">
        <f aca="false">IF(AI1521&lt;=0,"",IF(CF1521="Aussen","Aussenlager",IF(CF1521="-","Nicht im Lift",IF(AO1521&gt;=1,"Lift",IF(AO1521&lt;=0,"Aussenlager","teilweise")))))</f>
        <v>Lift</v>
      </c>
      <c r="BK1521" s="48" t="str">
        <f aca="false">IF(AS1521&lt;=0,"",IF(CF1521="Aussen","Aussenlager",IF(CF1521="-","Nicht im Lift",IF(AY1521&gt;=1,"Lift",IF(AY1521&lt;=0,"Aussenlager","teilweise")))))</f>
        <v>Aussenlager</v>
      </c>
      <c r="BL1521" s="48" t="str">
        <f aca="false">IF(BC1521&lt;=0,"",IF(CF1521="Aussen","Aussenlager",IF(CF1521="-","Nicht im Lift",IF(BI1521&gt;=1,"Lift",IF(BI1521&lt;=0,"Aussenlager","teilweise")))))</f>
        <v>Lift</v>
      </c>
      <c r="BM1521" s="48" t="str">
        <f aca="false">IF(A1521="","",IF(BV1521=1,"Neu; ","")&amp;IF(AND(BV1521=0,BQ1521&lt;0),"negativer Bestand (Export "&amp;BQ1521&amp;"); ","")&amp;IF(J1521&lt;=0,"Kein Verbrauch; ","")&amp;IF(CQ1521&gt;0,"Lift "&amp;W1521&amp;" lt. Liftbericht (Fach "&amp;X1521&amp;" Stk); ",IF(CA1521=1,"Gebinde geschätzt ("&amp;T1521&amp;"); ",IF(BZ1521=1,"Lose – Tablare geschätzt; ","")))&amp;IF(H1521&gt;AV1521,"Überbestand "&amp;ROUND(H1521-AV1521,0)&amp;" Stk / CHF "&amp;ROUND((H1521-AV1521)*G1521,0)&amp;"; ","")&amp;IF(AND(CH1521=1,CI1521&lt;CJ1521),"MAX &lt; MB+LG; ","")&amp;IF(AND(CP1521&gt;0,CO1521*10&gt;CP1521),"zu hoch für Tablar; ","")&amp;IF(AND(BV1521=0,OR(CH1521=1,AA1521&lt;&gt;"",U1521&lt;&gt;"",V1521&lt;&gt;"",AB1521&lt;&gt;"")),"manuell übersteuert; ","")&amp;IF(AND(BZ1521=0,R1521=0),"Gebinde unbekannt / Stellmass fehlt; ","")&amp;IF(AND(BZ1521=0,N(V1521)&lt;=0,N(Q1521)&lt;=0),"Menge pro Gebinde fehlt (Ist = 1 Gebinde); ","")&amp;BU1521)</f>
        <v>Kein Verbrauch; nur im Artikelstamm (Bestand 23.06.2026)</v>
      </c>
      <c r="BN1521" s="48"/>
      <c r="BO1521" s="48"/>
      <c r="BP1521" s="55"/>
      <c r="BQ1521" s="50" t="n">
        <v>1</v>
      </c>
      <c r="BR1521" s="50" t="n">
        <v>0</v>
      </c>
      <c r="BS1521" s="49" t="n">
        <v>0</v>
      </c>
      <c r="BT1521" s="50" t="n">
        <v>0</v>
      </c>
      <c r="BU1521" s="48" t="s">
        <v>2584</v>
      </c>
      <c r="BV1521" s="53" t="n">
        <v>0</v>
      </c>
      <c r="BW1521" s="53" t="n">
        <v>1521</v>
      </c>
      <c r="BX1521" s="48" t="str">
        <f aca="false">IF(U1521&lt;&gt;"",UPPER(TRIM(U1521)),IF(CA1521=1,UPPER(VLOOKUP(T1521,Parameter!$I$27:$K$29,2,0)),IF(P1521="","LOSE",P1521)))</f>
        <v>S52</v>
      </c>
      <c r="BY1521" s="50" t="n">
        <f aca="false">IF(BX1521="LOSE",1,IF(N(V1521)&gt;0,V1521,IF(CA1521=1,MAX(1,N(VLOOKUP(T1521,Parameter!$I$27:$K$29,3,0)),H1521,N(N1521)),IF(N(Q1521)&gt;0,Q1521,MAX(1,H1521)))))</f>
        <v>1</v>
      </c>
      <c r="BZ1521" s="53" t="n">
        <f aca="false">IF(BX1521="LOSE",1,0)</f>
        <v>0</v>
      </c>
      <c r="CA1521" s="53" t="n">
        <f aca="false">IF(AND(U1521="",OR(P1521="",P1521="LOSE"),T1521&lt;&gt;"",N(S1521)&lt;=0,ISNUMBER(MATCH(T1521,Parameter!$I$27:$I$29,0))),1,0)</f>
        <v>0</v>
      </c>
      <c r="CB1521" s="53" t="n">
        <f aca="false">IF(CQ1521&gt;0,INDEX(Parameter!$H$5:$H$7,W1521)/INDEX(Parameter!$E$5:$E$7,W1521),IF(AND(BZ1521=0,N(IFERROR(VLOOKUP(BX1521,'Gebinde-Kategorie'!$A$5:$N$45,14,0),0))&gt;0),VLOOKUP(BX1521,'Gebinde-Kategorie'!$A$5:$N$45,14,0)*10+Parameter!$M$23,Parameter!$M$24))</f>
        <v>245</v>
      </c>
      <c r="CC1521" s="48" t="str">
        <f aca="false">IF(AND(Parameter!$B$19="Ja",E1521&lt;&gt;"",ISNUMBER(MATCH(E1521,Parameter!$I$35:$I$52,0))),VLOOKUP(E1521,Parameter!$I$35:$J$52,2,0),IFERROR(VLOOKUP(D1521,Parameter!$A$35:$C$64,2,0),"Nein"))</f>
        <v>2+3</v>
      </c>
      <c r="CD1521" s="52" t="n">
        <f aca="false">IF(BZ1521=0,0,IF(N(S1521)&gt;0,S1521,IFERROR(VLOOKUP(D1521,Parameter!$A$35:$C$64,3,0)+0,0)))</f>
        <v>0</v>
      </c>
      <c r="CE1521" s="48" t="n">
        <f aca="false">IF(AA1521&lt;&gt;"",AA1521,Z1521)</f>
        <v>3</v>
      </c>
      <c r="CF1521" s="48" t="str">
        <f aca="false">IF(OR(CE1521=1,CE1521=2,CE1521=3),IF(Parameter!$E$27="Ja","LIFT",IF(CE1521=1,"L1","L23")),IF(CE1521="Aussen","Aussen","-"))</f>
        <v>LIFT</v>
      </c>
      <c r="CG1521" s="59" t="n">
        <f aca="false">IF(N(AB1521)&gt;0,AB1521,0)</f>
        <v>0</v>
      </c>
      <c r="CH1521" s="53" t="n">
        <f aca="false">IF(ISNUMBER(AE1521),1,0)</f>
        <v>0</v>
      </c>
      <c r="CI1521" s="50" t="n">
        <f aca="false">N(AE1521)</f>
        <v>0</v>
      </c>
      <c r="CJ1521" s="50" t="n">
        <f aca="false">N(M1521)+N(N1521)</f>
        <v>1</v>
      </c>
      <c r="CK1521" s="50" t="n">
        <f aca="false">N(M1521)</f>
        <v>0</v>
      </c>
      <c r="CL1521" s="50" t="n">
        <f aca="false">N(N1521)</f>
        <v>1</v>
      </c>
      <c r="CM1521" s="50" t="n">
        <f aca="false">ROUNDUP(H1521/BY1521,0)</f>
        <v>1</v>
      </c>
      <c r="CN1521" s="50" t="n">
        <f aca="false">ROUNDUP(CI1521/BY1521,0)</f>
        <v>0</v>
      </c>
      <c r="CO1521" s="53" t="n">
        <f aca="false">IF(BZ1521=1,0,IFERROR(VLOOKUP(BX1521,'Gebinde-Kategorie'!$A$5:$N$45,5,0)+0,0))</f>
        <v>21</v>
      </c>
      <c r="CP1521" s="53" t="n">
        <f aca="false">IFERROR(IF(OR(CE1521=1,CE1521=2,CE1521=3),N(INDEX(Parameter!$I$5:$I$7,CE1521)),0),0)</f>
        <v>0</v>
      </c>
      <c r="CQ1521" s="52" t="n">
        <f aca="false">IF(AND(Parameter!$B$21="Ja",ISNUMBER(W1521),N(X1521)&gt;0),IFERROR(N(INDEX(Parameter!$L$5:$L$7,W1521))*INDEX(Parameter!$E$5:$E$7,W1521)*X1521/SUMIFS($X$7:$X$1843,$W$7:$W$1843,W1521),0),0)</f>
        <v>0</v>
      </c>
    </row>
    <row r="1522" customFormat="false" ht="15" hidden="false" customHeight="false" outlineLevel="0" collapsed="false">
      <c r="A1522" s="48" t="s">
        <v>2671</v>
      </c>
      <c r="B1522" s="48" t="s">
        <v>2672</v>
      </c>
      <c r="C1522" s="48" t="s">
        <v>176</v>
      </c>
      <c r="D1522" s="48" t="s">
        <v>182</v>
      </c>
      <c r="E1522" s="48" t="s">
        <v>194</v>
      </c>
      <c r="F1522" s="48"/>
      <c r="G1522" s="49" t="n">
        <v>1618</v>
      </c>
      <c r="H1522" s="50" t="n">
        <f aca="false">MAX(0,IF(AND(Parameter!$B$21="Ja",ISNUMBER(Y1522)),Y1522,IF(Parameter!$B$20="Jahresanfang 2025 + Export",BR1522+BQ1522,BQ1522)))</f>
        <v>2</v>
      </c>
      <c r="I1522" s="50" t="n">
        <f aca="false">H1522*G1522</f>
        <v>3236</v>
      </c>
      <c r="J1522" s="50" t="n">
        <f aca="false">BT1522*Parameter!$B$18</f>
        <v>0</v>
      </c>
      <c r="K1522" s="51"/>
      <c r="L1522" s="52"/>
      <c r="M1522" s="50" t="n">
        <v>0</v>
      </c>
      <c r="N1522" s="50" t="n">
        <v>1</v>
      </c>
      <c r="O1522" s="53" t="n">
        <v>35</v>
      </c>
      <c r="P1522" s="48" t="s">
        <v>242</v>
      </c>
      <c r="Q1522" s="50" t="n">
        <v>2</v>
      </c>
      <c r="R1522" s="53" t="n">
        <f aca="false">IF(BZ1522=1,0,IFERROR(VLOOKUP(BX1522,'Gebinde-Kategorie'!$A$5:$N$45,13,0)+0,0))</f>
        <v>26</v>
      </c>
      <c r="S1522" s="54"/>
      <c r="T1522" s="55"/>
      <c r="U1522" s="55"/>
      <c r="V1522" s="55"/>
      <c r="W1522" s="48"/>
      <c r="X1522" s="50"/>
      <c r="Y1522" s="50"/>
      <c r="Z1522" s="48" t="n">
        <f aca="false">IF(A1522="","",IF(AND(Parameter!$B$21="Ja",ISNUMBER(W1522)),W1522,IF(CC1522="2+3",IF(ISNUMBER(SEARCH("grosser Artikel",BU1522)),2,IFERROR(VLOOKUP(BX1522,Parameter!$F$35:$G$64,2,0),2)),IF(OR(CC1522="Nein",CC1522=""),"-",CC1522))))</f>
        <v>3</v>
      </c>
      <c r="AA1522" s="55"/>
      <c r="AB1522" s="56"/>
      <c r="AC1522" s="50" t="n">
        <f aca="false">AV1522</f>
        <v>1</v>
      </c>
      <c r="AD1522" s="50" t="n">
        <f aca="false">MAX(AV1522,H1522)</f>
        <v>2</v>
      </c>
      <c r="AE1522" s="57"/>
      <c r="AF1522" s="50" t="n">
        <f aca="false">IF(LEFT(Cockpit!$C$5,1)="A",H1522,IF(Parameter!$E$30="MAX-Bestand",IF(CH1522=1,CI1522,IF(LEFT(Cockpit!$C$5,1)="B",AL1522,MAX(AL1522,H1522))),ROUNDUP(AJ1522,0)))</f>
        <v>2</v>
      </c>
      <c r="AG1522" s="50" t="n">
        <f aca="false">IF(BZ1522=1,0,ROUNDUP(AF1522/BY1522,0))</f>
        <v>1</v>
      </c>
      <c r="AH1522" s="52" t="n">
        <f aca="false">IF(CQ1522&gt;0,CQ1522*MAX(1,AF1522/X1522),IF(BZ1522=1,IF(AF1522&lt;=0,0,CD1522*MAX(1,IF(H1522&gt;0,AF1522/H1522,1))),IF(R1522&gt;0,AG1522/R1522,0))/MAX(0.1,N(Parameter!$M$21)))</f>
        <v>0.0384615384615385</v>
      </c>
      <c r="AI1522" s="50" t="n">
        <f aca="false">AH1522*CB1522</f>
        <v>9.42307692307692</v>
      </c>
      <c r="AJ1522" s="51" t="n">
        <f aca="false">IF(LEFT(Cockpit!$C$5,1)="A",H1522,IF(CH1522=1,(CK1522+CI1522)/2,IF(LEFT(Cockpit!$C$5,1)="B",(CK1522+AL1522)/2,MAX((CK1522+AL1522)/2,H1522))))</f>
        <v>2</v>
      </c>
      <c r="AK1522" s="50" t="n">
        <f aca="false">AJ1522*G1522</f>
        <v>3236</v>
      </c>
      <c r="AL1522" s="50" t="n">
        <f aca="false">ROUNDUP(CK1522+MAX(CL1522,2*(J1522/IF(CG1522&gt;0,CG1522,MAX(0.1,N(Cockpit!$C$6)))-CK1522)),0)</f>
        <v>1</v>
      </c>
      <c r="AM1522" s="51" t="n">
        <f aca="false">IF(AI1522&gt;0,J1522/AI1522,-1)</f>
        <v>0</v>
      </c>
      <c r="AN1522" s="51" t="n">
        <f aca="false">IF(AND(OR(CF1522="L1",CF1522="L23",CF1522="LIFT"),AI1522&gt;0),SUMIFS($AI$7:$AI$1843,$CF$7:$CF$1843,CF1522,$AM$7:$AM$1843,"&gt;"&amp;AM1522)+SUMIFS($AI$7:$AI$1843,$CF$7:$CF$1843,CF1522,$AM$7:$AM$1843,AM1522,$BW$7:$BW$1843,"&lt;="&amp;BW1522),"")</f>
        <v>30020.4888661245</v>
      </c>
      <c r="AO1522" s="58" t="n">
        <f aca="false">IF(AN1522="",0,MAX(0,MIN(1,(IF(CF1522="L1",Parameter!$H$5,IF(CF1522="L23",Parameter!$H$6+Parameter!$H$7,Parameter!$H$5+Parameter!$H$6+Parameter!$H$7))-(AN1522-AI1522))/AI1522)))</f>
        <v>1</v>
      </c>
      <c r="AP1522" s="50" t="n">
        <f aca="false">IF(LEFT(Cockpit!$I$5,1)="A",H1522,IF(Parameter!$E$30="MAX-Bestand",IF(CH1522=1,CI1522,IF(LEFT(Cockpit!$I$5,1)="B",AV1522,MAX(AV1522,H1522))),ROUNDUP(AT1522,0)))</f>
        <v>2</v>
      </c>
      <c r="AQ1522" s="50" t="n">
        <f aca="false">IF(BZ1522=1,0,ROUNDUP(AP1522/BY1522,0))</f>
        <v>1</v>
      </c>
      <c r="AR1522" s="52" t="n">
        <f aca="false">IF(CQ1522&gt;0,CQ1522*MAX(1,AP1522/X1522),IF(BZ1522=1,IF(AP1522&lt;=0,0,CD1522*MAX(1,IF(H1522&gt;0,AP1522/H1522,1))),IF(R1522&gt;0,AQ1522/R1522,0))/MAX(0.1,N(Parameter!$M$21)))</f>
        <v>0.0384615384615385</v>
      </c>
      <c r="AS1522" s="50" t="n">
        <f aca="false">AR1522*CB1522</f>
        <v>9.42307692307692</v>
      </c>
      <c r="AT1522" s="51" t="n">
        <f aca="false">IF(LEFT(Cockpit!$I$5,1)="A",H1522,IF(CH1522=1,(CK1522+CI1522)/2,IF(LEFT(Cockpit!$I$5,1)="B",(CK1522+AV1522)/2,MAX((CK1522+AV1522)/2,H1522))))</f>
        <v>2</v>
      </c>
      <c r="AU1522" s="50" t="n">
        <f aca="false">AT1522*G1522</f>
        <v>3236</v>
      </c>
      <c r="AV1522" s="50" t="n">
        <f aca="false">ROUNDUP(CK1522+MAX(CL1522,2*(J1522/IF(CG1522&gt;0,CG1522,MAX(0.1,N(Cockpit!$I$6)))-CK1522)),0)</f>
        <v>1</v>
      </c>
      <c r="AW1522" s="51" t="n">
        <f aca="false">IF(AS1522&gt;0,J1522/AS1522,-1)</f>
        <v>0</v>
      </c>
      <c r="AX1522" s="51" t="n">
        <f aca="false">IF(AND(OR(CF1522="L1",CF1522="L23",CF1522="LIFT"),AS1522&gt;0),SUMIFS($AS$7:$AS$1843,$CF$7:$CF$1843,CF1522,$AW$7:$AW$1843,"&gt;"&amp;AW1522)+SUMIFS($AS$7:$AS$1843,$CF$7:$CF$1843,CF1522,$AW$7:$AW$1843,AW1522,$BW$7:$BW$1843,"&lt;="&amp;BW1522),"")</f>
        <v>36340.3453829598</v>
      </c>
      <c r="AY1522" s="58" t="n">
        <f aca="false">IF(AX1522="",0,MAX(0,MIN(1,(IF(CF1522="L1",Parameter!$H$5,IF(CF1522="L23",Parameter!$H$6+Parameter!$H$7,Parameter!$H$5+Parameter!$H$6+Parameter!$H$7))-(AX1522-AS1522))/AS1522)))</f>
        <v>0</v>
      </c>
      <c r="AZ1522" s="50" t="n">
        <f aca="false">IF(LEFT(Cockpit!$O$5,1)="A",H1522,IF(Parameter!$E$30="MAX-Bestand",IF(CH1522=1,CI1522,IF(LEFT(Cockpit!$O$5,1)="B",BF1522,MAX(BF1522,H1522))),ROUNDUP(BD1522,0)))</f>
        <v>1</v>
      </c>
      <c r="BA1522" s="50" t="n">
        <f aca="false">IF(BZ1522=1,0,ROUNDUP(AZ1522/BY1522,0))</f>
        <v>1</v>
      </c>
      <c r="BB1522" s="52" t="n">
        <f aca="false">IF(CQ1522&gt;0,CQ1522*MAX(1,AZ1522/X1522),IF(BZ1522=1,IF(AZ1522&lt;=0,0,CD1522*MAX(1,IF(H1522&gt;0,AZ1522/H1522,1))),IF(R1522&gt;0,BA1522/R1522,0))/MAX(0.1,N(Parameter!$M$21)))</f>
        <v>0.0384615384615385</v>
      </c>
      <c r="BC1522" s="50" t="n">
        <f aca="false">BB1522*CB1522</f>
        <v>9.42307692307692</v>
      </c>
      <c r="BD1522" s="51" t="n">
        <f aca="false">IF(LEFT(Cockpit!$O$5,1)="A",H1522,IF(CH1522=1,(CK1522+CI1522)/2,IF(LEFT(Cockpit!$O$5,1)="B",(CK1522+BF1522)/2,MAX((CK1522+BF1522)/2,H1522))))</f>
        <v>0.5</v>
      </c>
      <c r="BE1522" s="50" t="n">
        <f aca="false">BD1522*G1522</f>
        <v>809</v>
      </c>
      <c r="BF1522" s="50" t="n">
        <f aca="false">ROUNDUP(CK1522+MAX(CL1522,2*(J1522/IF(CG1522&gt;0,CG1522,MAX(0.1,N(Cockpit!$O$6)))-CK1522)),0)</f>
        <v>1</v>
      </c>
      <c r="BG1522" s="51" t="n">
        <f aca="false">IF(BC1522&gt;0,J1522/BC1522,-1)</f>
        <v>0</v>
      </c>
      <c r="BH1522" s="51" t="n">
        <f aca="false">IF(AND(OR(CF1522="L1",CF1522="L23",CF1522="LIFT"),BC1522&gt;0),SUMIFS($BC$7:$BC$1843,$CF$7:$CF$1843,CF1522,$BG$7:$BG$1843,"&gt;"&amp;BG1522)+SUMIFS($BC$7:$BC$1843,$CF$7:$CF$1843,CF1522,$BG$7:$BG$1843,BG1522,$BW$7:$BW$1843,"&lt;="&amp;BW1522),"")</f>
        <v>30278.5366584922</v>
      </c>
      <c r="BI1522" s="58" t="n">
        <f aca="false">IF(BH1522="",0,MAX(0,MIN(1,(IF(CF1522="L1",Parameter!$H$5,IF(CF1522="L23",Parameter!$H$6+Parameter!$H$7,Parameter!$H$5+Parameter!$H$6+Parameter!$H$7))-(BH1522-BC1522))/BC1522)))</f>
        <v>1</v>
      </c>
      <c r="BJ1522" s="48" t="str">
        <f aca="false">IF(AI1522&lt;=0,"",IF(CF1522="Aussen","Aussenlager",IF(CF1522="-","Nicht im Lift",IF(AO1522&gt;=1,"Lift",IF(AO1522&lt;=0,"Aussenlager","teilweise")))))</f>
        <v>Lift</v>
      </c>
      <c r="BK1522" s="48" t="str">
        <f aca="false">IF(AS1522&lt;=0,"",IF(CF1522="Aussen","Aussenlager",IF(CF1522="-","Nicht im Lift",IF(AY1522&gt;=1,"Lift",IF(AY1522&lt;=0,"Aussenlager","teilweise")))))</f>
        <v>Aussenlager</v>
      </c>
      <c r="BL1522" s="48" t="str">
        <f aca="false">IF(BC1522&lt;=0,"",IF(CF1522="Aussen","Aussenlager",IF(CF1522="-","Nicht im Lift",IF(BI1522&gt;=1,"Lift",IF(BI1522&lt;=0,"Aussenlager","teilweise")))))</f>
        <v>Lift</v>
      </c>
      <c r="BM1522" s="48" t="str">
        <f aca="false">IF(A1522="","",IF(BV1522=1,"Neu; ","")&amp;IF(AND(BV1522=0,BQ1522&lt;0),"negativer Bestand (Export "&amp;BQ1522&amp;"); ","")&amp;IF(J1522&lt;=0,"Kein Verbrauch; ","")&amp;IF(CQ1522&gt;0,"Lift "&amp;W1522&amp;" lt. Liftbericht (Fach "&amp;X1522&amp;" Stk); ",IF(CA1522=1,"Gebinde geschätzt ("&amp;T1522&amp;"); ",IF(BZ1522=1,"Lose – Tablare geschätzt; ","")))&amp;IF(H1522&gt;AV1522,"Überbestand "&amp;ROUND(H1522-AV1522,0)&amp;" Stk / CHF "&amp;ROUND((H1522-AV1522)*G1522,0)&amp;"; ","")&amp;IF(AND(CH1522=1,CI1522&lt;CJ1522),"MAX &lt; MB+LG; ","")&amp;IF(AND(CP1522&gt;0,CO1522*10&gt;CP1522),"zu hoch für Tablar; ","")&amp;IF(AND(BV1522=0,OR(CH1522=1,AA1522&lt;&gt;"",U1522&lt;&gt;"",V1522&lt;&gt;"",AB1522&lt;&gt;"")),"manuell übersteuert; ","")&amp;IF(AND(BZ1522=0,R1522=0),"Gebinde unbekannt / Stellmass fehlt; ","")&amp;IF(AND(BZ1522=0,N(V1522)&lt;=0,N(Q1522)&lt;=0),"Menge pro Gebinde fehlt (Ist = 1 Gebinde); ","")&amp;BU1522)</f>
        <v>Kein Verbrauch; Überbestand 1 Stk / CHF 1618; nur im Artikelstamm (Bestand 23.06.2026)</v>
      </c>
      <c r="BN1522" s="48"/>
      <c r="BO1522" s="48"/>
      <c r="BP1522" s="55"/>
      <c r="BQ1522" s="50" t="n">
        <v>2</v>
      </c>
      <c r="BR1522" s="50" t="n">
        <v>0</v>
      </c>
      <c r="BS1522" s="49" t="n">
        <v>0</v>
      </c>
      <c r="BT1522" s="50" t="n">
        <v>0</v>
      </c>
      <c r="BU1522" s="48" t="s">
        <v>2584</v>
      </c>
      <c r="BV1522" s="53" t="n">
        <v>0</v>
      </c>
      <c r="BW1522" s="53" t="n">
        <v>1522</v>
      </c>
      <c r="BX1522" s="48" t="str">
        <f aca="false">IF(U1522&lt;&gt;"",UPPER(TRIM(U1522)),IF(CA1522=1,UPPER(VLOOKUP(T1522,Parameter!$I$27:$K$29,2,0)),IF(P1522="","LOSE",P1522)))</f>
        <v>S52</v>
      </c>
      <c r="BY1522" s="50" t="n">
        <f aca="false">IF(BX1522="LOSE",1,IF(N(V1522)&gt;0,V1522,IF(CA1522=1,MAX(1,N(VLOOKUP(T1522,Parameter!$I$27:$K$29,3,0)),H1522,N(N1522)),IF(N(Q1522)&gt;0,Q1522,MAX(1,H1522)))))</f>
        <v>2</v>
      </c>
      <c r="BZ1522" s="53" t="n">
        <f aca="false">IF(BX1522="LOSE",1,0)</f>
        <v>0</v>
      </c>
      <c r="CA1522" s="53" t="n">
        <f aca="false">IF(AND(U1522="",OR(P1522="",P1522="LOSE"),T1522&lt;&gt;"",N(S1522)&lt;=0,ISNUMBER(MATCH(T1522,Parameter!$I$27:$I$29,0))),1,0)</f>
        <v>0</v>
      </c>
      <c r="CB1522" s="53" t="n">
        <f aca="false">IF(CQ1522&gt;0,INDEX(Parameter!$H$5:$H$7,W1522)/INDEX(Parameter!$E$5:$E$7,W1522),IF(AND(BZ1522=0,N(IFERROR(VLOOKUP(BX1522,'Gebinde-Kategorie'!$A$5:$N$45,14,0),0))&gt;0),VLOOKUP(BX1522,'Gebinde-Kategorie'!$A$5:$N$45,14,0)*10+Parameter!$M$23,Parameter!$M$24))</f>
        <v>245</v>
      </c>
      <c r="CC1522" s="48" t="str">
        <f aca="false">IF(AND(Parameter!$B$19="Ja",E1522&lt;&gt;"",ISNUMBER(MATCH(E1522,Parameter!$I$35:$I$52,0))),VLOOKUP(E1522,Parameter!$I$35:$J$52,2,0),IFERROR(VLOOKUP(D1522,Parameter!$A$35:$C$64,2,0),"Nein"))</f>
        <v>2+3</v>
      </c>
      <c r="CD1522" s="52" t="n">
        <f aca="false">IF(BZ1522=0,0,IF(N(S1522)&gt;0,S1522,IFERROR(VLOOKUP(D1522,Parameter!$A$35:$C$64,3,0)+0,0)))</f>
        <v>0</v>
      </c>
      <c r="CE1522" s="48" t="n">
        <f aca="false">IF(AA1522&lt;&gt;"",AA1522,Z1522)</f>
        <v>3</v>
      </c>
      <c r="CF1522" s="48" t="str">
        <f aca="false">IF(OR(CE1522=1,CE1522=2,CE1522=3),IF(Parameter!$E$27="Ja","LIFT",IF(CE1522=1,"L1","L23")),IF(CE1522="Aussen","Aussen","-"))</f>
        <v>LIFT</v>
      </c>
      <c r="CG1522" s="59" t="n">
        <f aca="false">IF(N(AB1522)&gt;0,AB1522,0)</f>
        <v>0</v>
      </c>
      <c r="CH1522" s="53" t="n">
        <f aca="false">IF(ISNUMBER(AE1522),1,0)</f>
        <v>0</v>
      </c>
      <c r="CI1522" s="50" t="n">
        <f aca="false">N(AE1522)</f>
        <v>0</v>
      </c>
      <c r="CJ1522" s="50" t="n">
        <f aca="false">N(M1522)+N(N1522)</f>
        <v>1</v>
      </c>
      <c r="CK1522" s="50" t="n">
        <f aca="false">N(M1522)</f>
        <v>0</v>
      </c>
      <c r="CL1522" s="50" t="n">
        <f aca="false">N(N1522)</f>
        <v>1</v>
      </c>
      <c r="CM1522" s="50" t="n">
        <f aca="false">ROUNDUP(H1522/BY1522,0)</f>
        <v>1</v>
      </c>
      <c r="CN1522" s="50" t="n">
        <f aca="false">ROUNDUP(CI1522/BY1522,0)</f>
        <v>0</v>
      </c>
      <c r="CO1522" s="53" t="n">
        <f aca="false">IF(BZ1522=1,0,IFERROR(VLOOKUP(BX1522,'Gebinde-Kategorie'!$A$5:$N$45,5,0)+0,0))</f>
        <v>21</v>
      </c>
      <c r="CP1522" s="53" t="n">
        <f aca="false">IFERROR(IF(OR(CE1522=1,CE1522=2,CE1522=3),N(INDEX(Parameter!$I$5:$I$7,CE1522)),0),0)</f>
        <v>0</v>
      </c>
      <c r="CQ1522" s="52" t="n">
        <f aca="false">IF(AND(Parameter!$B$21="Ja",ISNUMBER(W1522),N(X1522)&gt;0),IFERROR(N(INDEX(Parameter!$L$5:$L$7,W1522))*INDEX(Parameter!$E$5:$E$7,W1522)*X1522/SUMIFS($X$7:$X$1843,$W$7:$W$1843,W1522),0),0)</f>
        <v>0</v>
      </c>
    </row>
    <row r="1523" customFormat="false" ht="15" hidden="false" customHeight="false" outlineLevel="0" collapsed="false">
      <c r="A1523" s="48" t="s">
        <v>2673</v>
      </c>
      <c r="B1523" s="48" t="s">
        <v>2327</v>
      </c>
      <c r="C1523" s="48" t="s">
        <v>176</v>
      </c>
      <c r="D1523" s="48" t="s">
        <v>182</v>
      </c>
      <c r="E1523" s="48" t="s">
        <v>194</v>
      </c>
      <c r="F1523" s="48"/>
      <c r="G1523" s="49" t="n">
        <v>1134</v>
      </c>
      <c r="H1523" s="50" t="n">
        <f aca="false">MAX(0,IF(AND(Parameter!$B$21="Ja",ISNUMBER(Y1523)),Y1523,IF(Parameter!$B$20="Jahresanfang 2025 + Export",BR1523+BQ1523,BQ1523)))</f>
        <v>3</v>
      </c>
      <c r="I1523" s="50" t="n">
        <f aca="false">H1523*G1523</f>
        <v>3402</v>
      </c>
      <c r="J1523" s="50" t="n">
        <f aca="false">BT1523*Parameter!$B$18</f>
        <v>0</v>
      </c>
      <c r="K1523" s="51"/>
      <c r="L1523" s="52"/>
      <c r="M1523" s="50" t="n">
        <v>0</v>
      </c>
      <c r="N1523" s="50" t="n">
        <v>1</v>
      </c>
      <c r="O1523" s="53" t="n">
        <v>35</v>
      </c>
      <c r="P1523" s="48" t="s">
        <v>242</v>
      </c>
      <c r="Q1523" s="50" t="n">
        <v>3</v>
      </c>
      <c r="R1523" s="53" t="n">
        <f aca="false">IF(BZ1523=1,0,IFERROR(VLOOKUP(BX1523,'Gebinde-Kategorie'!$A$5:$N$45,13,0)+0,0))</f>
        <v>26</v>
      </c>
      <c r="S1523" s="54"/>
      <c r="T1523" s="55"/>
      <c r="U1523" s="55"/>
      <c r="V1523" s="55"/>
      <c r="W1523" s="48"/>
      <c r="X1523" s="50"/>
      <c r="Y1523" s="50"/>
      <c r="Z1523" s="48" t="n">
        <f aca="false">IF(A1523="","",IF(AND(Parameter!$B$21="Ja",ISNUMBER(W1523)),W1523,IF(CC1523="2+3",IF(ISNUMBER(SEARCH("grosser Artikel",BU1523)),2,IFERROR(VLOOKUP(BX1523,Parameter!$F$35:$G$64,2,0),2)),IF(OR(CC1523="Nein",CC1523=""),"-",CC1523))))</f>
        <v>3</v>
      </c>
      <c r="AA1523" s="55"/>
      <c r="AB1523" s="56"/>
      <c r="AC1523" s="50" t="n">
        <f aca="false">AV1523</f>
        <v>1</v>
      </c>
      <c r="AD1523" s="50" t="n">
        <f aca="false">MAX(AV1523,H1523)</f>
        <v>3</v>
      </c>
      <c r="AE1523" s="57"/>
      <c r="AF1523" s="50" t="n">
        <f aca="false">IF(LEFT(Cockpit!$C$5,1)="A",H1523,IF(Parameter!$E$30="MAX-Bestand",IF(CH1523=1,CI1523,IF(LEFT(Cockpit!$C$5,1)="B",AL1523,MAX(AL1523,H1523))),ROUNDUP(AJ1523,0)))</f>
        <v>3</v>
      </c>
      <c r="AG1523" s="50" t="n">
        <f aca="false">IF(BZ1523=1,0,ROUNDUP(AF1523/BY1523,0))</f>
        <v>1</v>
      </c>
      <c r="AH1523" s="52" t="n">
        <f aca="false">IF(CQ1523&gt;0,CQ1523*MAX(1,AF1523/X1523),IF(BZ1523=1,IF(AF1523&lt;=0,0,CD1523*MAX(1,IF(H1523&gt;0,AF1523/H1523,1))),IF(R1523&gt;0,AG1523/R1523,0))/MAX(0.1,N(Parameter!$M$21)))</f>
        <v>0.0384615384615385</v>
      </c>
      <c r="AI1523" s="50" t="n">
        <f aca="false">AH1523*CB1523</f>
        <v>9.42307692307692</v>
      </c>
      <c r="AJ1523" s="51" t="n">
        <f aca="false">IF(LEFT(Cockpit!$C$5,1)="A",H1523,IF(CH1523=1,(CK1523+CI1523)/2,IF(LEFT(Cockpit!$C$5,1)="B",(CK1523+AL1523)/2,MAX((CK1523+AL1523)/2,H1523))))</f>
        <v>3</v>
      </c>
      <c r="AK1523" s="50" t="n">
        <f aca="false">AJ1523*G1523</f>
        <v>3402</v>
      </c>
      <c r="AL1523" s="50" t="n">
        <f aca="false">ROUNDUP(CK1523+MAX(CL1523,2*(J1523/IF(CG1523&gt;0,CG1523,MAX(0.1,N(Cockpit!$C$6)))-CK1523)),0)</f>
        <v>1</v>
      </c>
      <c r="AM1523" s="51" t="n">
        <f aca="false">IF(AI1523&gt;0,J1523/AI1523,-1)</f>
        <v>0</v>
      </c>
      <c r="AN1523" s="51" t="n">
        <f aca="false">IF(AND(OR(CF1523="L1",CF1523="L23",CF1523="LIFT"),AI1523&gt;0),SUMIFS($AI$7:$AI$1843,$CF$7:$CF$1843,CF1523,$AM$7:$AM$1843,"&gt;"&amp;AM1523)+SUMIFS($AI$7:$AI$1843,$CF$7:$CF$1843,CF1523,$AM$7:$AM$1843,AM1523,$BW$7:$BW$1843,"&lt;="&amp;BW1523),"")</f>
        <v>30029.9119430475</v>
      </c>
      <c r="AO1523" s="58" t="n">
        <f aca="false">IF(AN1523="",0,MAX(0,MIN(1,(IF(CF1523="L1",Parameter!$H$5,IF(CF1523="L23",Parameter!$H$6+Parameter!$H$7,Parameter!$H$5+Parameter!$H$6+Parameter!$H$7))-(AN1523-AI1523))/AI1523)))</f>
        <v>1</v>
      </c>
      <c r="AP1523" s="50" t="n">
        <f aca="false">IF(LEFT(Cockpit!$I$5,1)="A",H1523,IF(Parameter!$E$30="MAX-Bestand",IF(CH1523=1,CI1523,IF(LEFT(Cockpit!$I$5,1)="B",AV1523,MAX(AV1523,H1523))),ROUNDUP(AT1523,0)))</f>
        <v>3</v>
      </c>
      <c r="AQ1523" s="50" t="n">
        <f aca="false">IF(BZ1523=1,0,ROUNDUP(AP1523/BY1523,0))</f>
        <v>1</v>
      </c>
      <c r="AR1523" s="52" t="n">
        <f aca="false">IF(CQ1523&gt;0,CQ1523*MAX(1,AP1523/X1523),IF(BZ1523=1,IF(AP1523&lt;=0,0,CD1523*MAX(1,IF(H1523&gt;0,AP1523/H1523,1))),IF(R1523&gt;0,AQ1523/R1523,0))/MAX(0.1,N(Parameter!$M$21)))</f>
        <v>0.0384615384615385</v>
      </c>
      <c r="AS1523" s="50" t="n">
        <f aca="false">AR1523*CB1523</f>
        <v>9.42307692307692</v>
      </c>
      <c r="AT1523" s="51" t="n">
        <f aca="false">IF(LEFT(Cockpit!$I$5,1)="A",H1523,IF(CH1523=1,(CK1523+CI1523)/2,IF(LEFT(Cockpit!$I$5,1)="B",(CK1523+AV1523)/2,MAX((CK1523+AV1523)/2,H1523))))</f>
        <v>3</v>
      </c>
      <c r="AU1523" s="50" t="n">
        <f aca="false">AT1523*G1523</f>
        <v>3402</v>
      </c>
      <c r="AV1523" s="50" t="n">
        <f aca="false">ROUNDUP(CK1523+MAX(CL1523,2*(J1523/IF(CG1523&gt;0,CG1523,MAX(0.1,N(Cockpit!$I$6)))-CK1523)),0)</f>
        <v>1</v>
      </c>
      <c r="AW1523" s="51" t="n">
        <f aca="false">IF(AS1523&gt;0,J1523/AS1523,-1)</f>
        <v>0</v>
      </c>
      <c r="AX1523" s="51" t="n">
        <f aca="false">IF(AND(OR(CF1523="L1",CF1523="L23",CF1523="LIFT"),AS1523&gt;0),SUMIFS($AS$7:$AS$1843,$CF$7:$CF$1843,CF1523,$AW$7:$AW$1843,"&gt;"&amp;AW1523)+SUMIFS($AS$7:$AS$1843,$CF$7:$CF$1843,CF1523,$AW$7:$AW$1843,AW1523,$BW$7:$BW$1843,"&lt;="&amp;BW1523),"")</f>
        <v>36349.7684598829</v>
      </c>
      <c r="AY1523" s="58" t="n">
        <f aca="false">IF(AX1523="",0,MAX(0,MIN(1,(IF(CF1523="L1",Parameter!$H$5,IF(CF1523="L23",Parameter!$H$6+Parameter!$H$7,Parameter!$H$5+Parameter!$H$6+Parameter!$H$7))-(AX1523-AS1523))/AS1523)))</f>
        <v>0</v>
      </c>
      <c r="AZ1523" s="50" t="n">
        <f aca="false">IF(LEFT(Cockpit!$O$5,1)="A",H1523,IF(Parameter!$E$30="MAX-Bestand",IF(CH1523=1,CI1523,IF(LEFT(Cockpit!$O$5,1)="B",BF1523,MAX(BF1523,H1523))),ROUNDUP(BD1523,0)))</f>
        <v>1</v>
      </c>
      <c r="BA1523" s="50" t="n">
        <f aca="false">IF(BZ1523=1,0,ROUNDUP(AZ1523/BY1523,0))</f>
        <v>1</v>
      </c>
      <c r="BB1523" s="52" t="n">
        <f aca="false">IF(CQ1523&gt;0,CQ1523*MAX(1,AZ1523/X1523),IF(BZ1523=1,IF(AZ1523&lt;=0,0,CD1523*MAX(1,IF(H1523&gt;0,AZ1523/H1523,1))),IF(R1523&gt;0,BA1523/R1523,0))/MAX(0.1,N(Parameter!$M$21)))</f>
        <v>0.0384615384615385</v>
      </c>
      <c r="BC1523" s="50" t="n">
        <f aca="false">BB1523*CB1523</f>
        <v>9.42307692307692</v>
      </c>
      <c r="BD1523" s="51" t="n">
        <f aca="false">IF(LEFT(Cockpit!$O$5,1)="A",H1523,IF(CH1523=1,(CK1523+CI1523)/2,IF(LEFT(Cockpit!$O$5,1)="B",(CK1523+BF1523)/2,MAX((CK1523+BF1523)/2,H1523))))</f>
        <v>0.5</v>
      </c>
      <c r="BE1523" s="50" t="n">
        <f aca="false">BD1523*G1523</f>
        <v>567</v>
      </c>
      <c r="BF1523" s="50" t="n">
        <f aca="false">ROUNDUP(CK1523+MAX(CL1523,2*(J1523/IF(CG1523&gt;0,CG1523,MAX(0.1,N(Cockpit!$O$6)))-CK1523)),0)</f>
        <v>1</v>
      </c>
      <c r="BG1523" s="51" t="n">
        <f aca="false">IF(BC1523&gt;0,J1523/BC1523,-1)</f>
        <v>0</v>
      </c>
      <c r="BH1523" s="51" t="n">
        <f aca="false">IF(AND(OR(CF1523="L1",CF1523="L23",CF1523="LIFT"),BC1523&gt;0),SUMIFS($BC$7:$BC$1843,$CF$7:$CF$1843,CF1523,$BG$7:$BG$1843,"&gt;"&amp;BG1523)+SUMIFS($BC$7:$BC$1843,$CF$7:$CF$1843,CF1523,$BG$7:$BG$1843,BG1523,$BW$7:$BW$1843,"&lt;="&amp;BW1523),"")</f>
        <v>30287.9597354152</v>
      </c>
      <c r="BI1523" s="58" t="n">
        <f aca="false">IF(BH1523="",0,MAX(0,MIN(1,(IF(CF1523="L1",Parameter!$H$5,IF(CF1523="L23",Parameter!$H$6+Parameter!$H$7,Parameter!$H$5+Parameter!$H$6+Parameter!$H$7))-(BH1523-BC1523))/BC1523)))</f>
        <v>1</v>
      </c>
      <c r="BJ1523" s="48" t="str">
        <f aca="false">IF(AI1523&lt;=0,"",IF(CF1523="Aussen","Aussenlager",IF(CF1523="-","Nicht im Lift",IF(AO1523&gt;=1,"Lift",IF(AO1523&lt;=0,"Aussenlager","teilweise")))))</f>
        <v>Lift</v>
      </c>
      <c r="BK1523" s="48" t="str">
        <f aca="false">IF(AS1523&lt;=0,"",IF(CF1523="Aussen","Aussenlager",IF(CF1523="-","Nicht im Lift",IF(AY1523&gt;=1,"Lift",IF(AY1523&lt;=0,"Aussenlager","teilweise")))))</f>
        <v>Aussenlager</v>
      </c>
      <c r="BL1523" s="48" t="str">
        <f aca="false">IF(BC1523&lt;=0,"",IF(CF1523="Aussen","Aussenlager",IF(CF1523="-","Nicht im Lift",IF(BI1523&gt;=1,"Lift",IF(BI1523&lt;=0,"Aussenlager","teilweise")))))</f>
        <v>Lift</v>
      </c>
      <c r="BM1523" s="48" t="str">
        <f aca="false">IF(A1523="","",IF(BV1523=1,"Neu; ","")&amp;IF(AND(BV1523=0,BQ1523&lt;0),"negativer Bestand (Export "&amp;BQ1523&amp;"); ","")&amp;IF(J1523&lt;=0,"Kein Verbrauch; ","")&amp;IF(CQ1523&gt;0,"Lift "&amp;W1523&amp;" lt. Liftbericht (Fach "&amp;X1523&amp;" Stk); ",IF(CA1523=1,"Gebinde geschätzt ("&amp;T1523&amp;"); ",IF(BZ1523=1,"Lose – Tablare geschätzt; ","")))&amp;IF(H1523&gt;AV1523,"Überbestand "&amp;ROUND(H1523-AV1523,0)&amp;" Stk / CHF "&amp;ROUND((H1523-AV1523)*G1523,0)&amp;"; ","")&amp;IF(AND(CH1523=1,CI1523&lt;CJ1523),"MAX &lt; MB+LG; ","")&amp;IF(AND(CP1523&gt;0,CO1523*10&gt;CP1523),"zu hoch für Tablar; ","")&amp;IF(AND(BV1523=0,OR(CH1523=1,AA1523&lt;&gt;"",U1523&lt;&gt;"",V1523&lt;&gt;"",AB1523&lt;&gt;"")),"manuell übersteuert; ","")&amp;IF(AND(BZ1523=0,R1523=0),"Gebinde unbekannt / Stellmass fehlt; ","")&amp;IF(AND(BZ1523=0,N(V1523)&lt;=0,N(Q1523)&lt;=0),"Menge pro Gebinde fehlt (Ist = 1 Gebinde); ","")&amp;BU1523)</f>
        <v>Kein Verbrauch; Überbestand 2 Stk / CHF 2268; nur im Artikelstamm (Bestand 23.06.2026)</v>
      </c>
      <c r="BN1523" s="48"/>
      <c r="BO1523" s="48"/>
      <c r="BP1523" s="55"/>
      <c r="BQ1523" s="50" t="n">
        <v>3</v>
      </c>
      <c r="BR1523" s="50" t="n">
        <v>0</v>
      </c>
      <c r="BS1523" s="49" t="n">
        <v>0</v>
      </c>
      <c r="BT1523" s="50" t="n">
        <v>0</v>
      </c>
      <c r="BU1523" s="48" t="s">
        <v>2584</v>
      </c>
      <c r="BV1523" s="53" t="n">
        <v>0</v>
      </c>
      <c r="BW1523" s="53" t="n">
        <v>1523</v>
      </c>
      <c r="BX1523" s="48" t="str">
        <f aca="false">IF(U1523&lt;&gt;"",UPPER(TRIM(U1523)),IF(CA1523=1,UPPER(VLOOKUP(T1523,Parameter!$I$27:$K$29,2,0)),IF(P1523="","LOSE",P1523)))</f>
        <v>S52</v>
      </c>
      <c r="BY1523" s="50" t="n">
        <f aca="false">IF(BX1523="LOSE",1,IF(N(V1523)&gt;0,V1523,IF(CA1523=1,MAX(1,N(VLOOKUP(T1523,Parameter!$I$27:$K$29,3,0)),H1523,N(N1523)),IF(N(Q1523)&gt;0,Q1523,MAX(1,H1523)))))</f>
        <v>3</v>
      </c>
      <c r="BZ1523" s="53" t="n">
        <f aca="false">IF(BX1523="LOSE",1,0)</f>
        <v>0</v>
      </c>
      <c r="CA1523" s="53" t="n">
        <f aca="false">IF(AND(U1523="",OR(P1523="",P1523="LOSE"),T1523&lt;&gt;"",N(S1523)&lt;=0,ISNUMBER(MATCH(T1523,Parameter!$I$27:$I$29,0))),1,0)</f>
        <v>0</v>
      </c>
      <c r="CB1523" s="53" t="n">
        <f aca="false">IF(CQ1523&gt;0,INDEX(Parameter!$H$5:$H$7,W1523)/INDEX(Parameter!$E$5:$E$7,W1523),IF(AND(BZ1523=0,N(IFERROR(VLOOKUP(BX1523,'Gebinde-Kategorie'!$A$5:$N$45,14,0),0))&gt;0),VLOOKUP(BX1523,'Gebinde-Kategorie'!$A$5:$N$45,14,0)*10+Parameter!$M$23,Parameter!$M$24))</f>
        <v>245</v>
      </c>
      <c r="CC1523" s="48" t="str">
        <f aca="false">IF(AND(Parameter!$B$19="Ja",E1523&lt;&gt;"",ISNUMBER(MATCH(E1523,Parameter!$I$35:$I$52,0))),VLOOKUP(E1523,Parameter!$I$35:$J$52,2,0),IFERROR(VLOOKUP(D1523,Parameter!$A$35:$C$64,2,0),"Nein"))</f>
        <v>2+3</v>
      </c>
      <c r="CD1523" s="52" t="n">
        <f aca="false">IF(BZ1523=0,0,IF(N(S1523)&gt;0,S1523,IFERROR(VLOOKUP(D1523,Parameter!$A$35:$C$64,3,0)+0,0)))</f>
        <v>0</v>
      </c>
      <c r="CE1523" s="48" t="n">
        <f aca="false">IF(AA1523&lt;&gt;"",AA1523,Z1523)</f>
        <v>3</v>
      </c>
      <c r="CF1523" s="48" t="str">
        <f aca="false">IF(OR(CE1523=1,CE1523=2,CE1523=3),IF(Parameter!$E$27="Ja","LIFT",IF(CE1523=1,"L1","L23")),IF(CE1523="Aussen","Aussen","-"))</f>
        <v>LIFT</v>
      </c>
      <c r="CG1523" s="59" t="n">
        <f aca="false">IF(N(AB1523)&gt;0,AB1523,0)</f>
        <v>0</v>
      </c>
      <c r="CH1523" s="53" t="n">
        <f aca="false">IF(ISNUMBER(AE1523),1,0)</f>
        <v>0</v>
      </c>
      <c r="CI1523" s="50" t="n">
        <f aca="false">N(AE1523)</f>
        <v>0</v>
      </c>
      <c r="CJ1523" s="50" t="n">
        <f aca="false">N(M1523)+N(N1523)</f>
        <v>1</v>
      </c>
      <c r="CK1523" s="50" t="n">
        <f aca="false">N(M1523)</f>
        <v>0</v>
      </c>
      <c r="CL1523" s="50" t="n">
        <f aca="false">N(N1523)</f>
        <v>1</v>
      </c>
      <c r="CM1523" s="50" t="n">
        <f aca="false">ROUNDUP(H1523/BY1523,0)</f>
        <v>1</v>
      </c>
      <c r="CN1523" s="50" t="n">
        <f aca="false">ROUNDUP(CI1523/BY1523,0)</f>
        <v>0</v>
      </c>
      <c r="CO1523" s="53" t="n">
        <f aca="false">IF(BZ1523=1,0,IFERROR(VLOOKUP(BX1523,'Gebinde-Kategorie'!$A$5:$N$45,5,0)+0,0))</f>
        <v>21</v>
      </c>
      <c r="CP1523" s="53" t="n">
        <f aca="false">IFERROR(IF(OR(CE1523=1,CE1523=2,CE1523=3),N(INDEX(Parameter!$I$5:$I$7,CE1523)),0),0)</f>
        <v>0</v>
      </c>
      <c r="CQ1523" s="52" t="n">
        <f aca="false">IF(AND(Parameter!$B$21="Ja",ISNUMBER(W1523),N(X1523)&gt;0),IFERROR(N(INDEX(Parameter!$L$5:$L$7,W1523))*INDEX(Parameter!$E$5:$E$7,W1523)*X1523/SUMIFS($X$7:$X$1843,$W$7:$W$1843,W1523),0),0)</f>
        <v>0</v>
      </c>
    </row>
    <row r="1524" customFormat="false" ht="15" hidden="false" customHeight="false" outlineLevel="0" collapsed="false">
      <c r="A1524" s="48" t="s">
        <v>2674</v>
      </c>
      <c r="B1524" s="48" t="s">
        <v>571</v>
      </c>
      <c r="C1524" s="48" t="s">
        <v>173</v>
      </c>
      <c r="D1524" s="48" t="s">
        <v>182</v>
      </c>
      <c r="E1524" s="48" t="s">
        <v>194</v>
      </c>
      <c r="F1524" s="48"/>
      <c r="G1524" s="49" t="n">
        <v>510</v>
      </c>
      <c r="H1524" s="50" t="n">
        <f aca="false">MAX(0,IF(AND(Parameter!$B$21="Ja",ISNUMBER(Y1524)),Y1524,IF(Parameter!$B$20="Jahresanfang 2025 + Export",BR1524+BQ1524,BQ1524)))</f>
        <v>2</v>
      </c>
      <c r="I1524" s="50" t="n">
        <f aca="false">H1524*G1524</f>
        <v>1020</v>
      </c>
      <c r="J1524" s="50" t="n">
        <f aca="false">BT1524*Parameter!$B$18</f>
        <v>0</v>
      </c>
      <c r="K1524" s="51"/>
      <c r="L1524" s="52"/>
      <c r="M1524" s="50" t="n">
        <v>0</v>
      </c>
      <c r="N1524" s="50" t="n">
        <v>1</v>
      </c>
      <c r="O1524" s="53" t="n">
        <v>35</v>
      </c>
      <c r="P1524" s="48" t="s">
        <v>242</v>
      </c>
      <c r="Q1524" s="50" t="n">
        <v>2</v>
      </c>
      <c r="R1524" s="53" t="n">
        <f aca="false">IF(BZ1524=1,0,IFERROR(VLOOKUP(BX1524,'Gebinde-Kategorie'!$A$5:$N$45,13,0)+0,0))</f>
        <v>26</v>
      </c>
      <c r="S1524" s="54"/>
      <c r="T1524" s="55"/>
      <c r="U1524" s="55"/>
      <c r="V1524" s="55"/>
      <c r="W1524" s="48"/>
      <c r="X1524" s="50"/>
      <c r="Y1524" s="50"/>
      <c r="Z1524" s="48" t="n">
        <f aca="false">IF(A1524="","",IF(AND(Parameter!$B$21="Ja",ISNUMBER(W1524)),W1524,IF(CC1524="2+3",IF(ISNUMBER(SEARCH("grosser Artikel",BU1524)),2,IFERROR(VLOOKUP(BX1524,Parameter!$F$35:$G$64,2,0),2)),IF(OR(CC1524="Nein",CC1524=""),"-",CC1524))))</f>
        <v>3</v>
      </c>
      <c r="AA1524" s="55"/>
      <c r="AB1524" s="56"/>
      <c r="AC1524" s="50" t="n">
        <f aca="false">AV1524</f>
        <v>1</v>
      </c>
      <c r="AD1524" s="50" t="n">
        <f aca="false">MAX(AV1524,H1524)</f>
        <v>2</v>
      </c>
      <c r="AE1524" s="57"/>
      <c r="AF1524" s="50" t="n">
        <f aca="false">IF(LEFT(Cockpit!$C$5,1)="A",H1524,IF(Parameter!$E$30="MAX-Bestand",IF(CH1524=1,CI1524,IF(LEFT(Cockpit!$C$5,1)="B",AL1524,MAX(AL1524,H1524))),ROUNDUP(AJ1524,0)))</f>
        <v>2</v>
      </c>
      <c r="AG1524" s="50" t="n">
        <f aca="false">IF(BZ1524=1,0,ROUNDUP(AF1524/BY1524,0))</f>
        <v>1</v>
      </c>
      <c r="AH1524" s="52" t="n">
        <f aca="false">IF(CQ1524&gt;0,CQ1524*MAX(1,AF1524/X1524),IF(BZ1524=1,IF(AF1524&lt;=0,0,CD1524*MAX(1,IF(H1524&gt;0,AF1524/H1524,1))),IF(R1524&gt;0,AG1524/R1524,0))/MAX(0.1,N(Parameter!$M$21)))</f>
        <v>0.0384615384615385</v>
      </c>
      <c r="AI1524" s="50" t="n">
        <f aca="false">AH1524*CB1524</f>
        <v>9.42307692307692</v>
      </c>
      <c r="AJ1524" s="51" t="n">
        <f aca="false">IF(LEFT(Cockpit!$C$5,1)="A",H1524,IF(CH1524=1,(CK1524+CI1524)/2,IF(LEFT(Cockpit!$C$5,1)="B",(CK1524+AL1524)/2,MAX((CK1524+AL1524)/2,H1524))))</f>
        <v>2</v>
      </c>
      <c r="AK1524" s="50" t="n">
        <f aca="false">AJ1524*G1524</f>
        <v>1020</v>
      </c>
      <c r="AL1524" s="50" t="n">
        <f aca="false">ROUNDUP(CK1524+MAX(CL1524,2*(J1524/IF(CG1524&gt;0,CG1524,MAX(0.1,N(Cockpit!$C$6)))-CK1524)),0)</f>
        <v>1</v>
      </c>
      <c r="AM1524" s="51" t="n">
        <f aca="false">IF(AI1524&gt;0,J1524/AI1524,-1)</f>
        <v>0</v>
      </c>
      <c r="AN1524" s="51" t="n">
        <f aca="false">IF(AND(OR(CF1524="L1",CF1524="L23",CF1524="LIFT"),AI1524&gt;0),SUMIFS($AI$7:$AI$1843,$CF$7:$CF$1843,CF1524,$AM$7:$AM$1843,"&gt;"&amp;AM1524)+SUMIFS($AI$7:$AI$1843,$CF$7:$CF$1843,CF1524,$AM$7:$AM$1843,AM1524,$BW$7:$BW$1843,"&lt;="&amp;BW1524),"")</f>
        <v>30039.3350199706</v>
      </c>
      <c r="AO1524" s="58" t="n">
        <f aca="false">IF(AN1524="",0,MAX(0,MIN(1,(IF(CF1524="L1",Parameter!$H$5,IF(CF1524="L23",Parameter!$H$6+Parameter!$H$7,Parameter!$H$5+Parameter!$H$6+Parameter!$H$7))-(AN1524-AI1524))/AI1524)))</f>
        <v>1</v>
      </c>
      <c r="AP1524" s="50" t="n">
        <f aca="false">IF(LEFT(Cockpit!$I$5,1)="A",H1524,IF(Parameter!$E$30="MAX-Bestand",IF(CH1524=1,CI1524,IF(LEFT(Cockpit!$I$5,1)="B",AV1524,MAX(AV1524,H1524))),ROUNDUP(AT1524,0)))</f>
        <v>2</v>
      </c>
      <c r="AQ1524" s="50" t="n">
        <f aca="false">IF(BZ1524=1,0,ROUNDUP(AP1524/BY1524,0))</f>
        <v>1</v>
      </c>
      <c r="AR1524" s="52" t="n">
        <f aca="false">IF(CQ1524&gt;0,CQ1524*MAX(1,AP1524/X1524),IF(BZ1524=1,IF(AP1524&lt;=0,0,CD1524*MAX(1,IF(H1524&gt;0,AP1524/H1524,1))),IF(R1524&gt;0,AQ1524/R1524,0))/MAX(0.1,N(Parameter!$M$21)))</f>
        <v>0.0384615384615385</v>
      </c>
      <c r="AS1524" s="50" t="n">
        <f aca="false">AR1524*CB1524</f>
        <v>9.42307692307692</v>
      </c>
      <c r="AT1524" s="51" t="n">
        <f aca="false">IF(LEFT(Cockpit!$I$5,1)="A",H1524,IF(CH1524=1,(CK1524+CI1524)/2,IF(LEFT(Cockpit!$I$5,1)="B",(CK1524+AV1524)/2,MAX((CK1524+AV1524)/2,H1524))))</f>
        <v>2</v>
      </c>
      <c r="AU1524" s="50" t="n">
        <f aca="false">AT1524*G1524</f>
        <v>1020</v>
      </c>
      <c r="AV1524" s="50" t="n">
        <f aca="false">ROUNDUP(CK1524+MAX(CL1524,2*(J1524/IF(CG1524&gt;0,CG1524,MAX(0.1,N(Cockpit!$I$6)))-CK1524)),0)</f>
        <v>1</v>
      </c>
      <c r="AW1524" s="51" t="n">
        <f aca="false">IF(AS1524&gt;0,J1524/AS1524,-1)</f>
        <v>0</v>
      </c>
      <c r="AX1524" s="51" t="n">
        <f aca="false">IF(AND(OR(CF1524="L1",CF1524="L23",CF1524="LIFT"),AS1524&gt;0),SUMIFS($AS$7:$AS$1843,$CF$7:$CF$1843,CF1524,$AW$7:$AW$1843,"&gt;"&amp;AW1524)+SUMIFS($AS$7:$AS$1843,$CF$7:$CF$1843,CF1524,$AW$7:$AW$1843,AW1524,$BW$7:$BW$1843,"&lt;="&amp;BW1524),"")</f>
        <v>36359.1915368059</v>
      </c>
      <c r="AY1524" s="58" t="n">
        <f aca="false">IF(AX1524="",0,MAX(0,MIN(1,(IF(CF1524="L1",Parameter!$H$5,IF(CF1524="L23",Parameter!$H$6+Parameter!$H$7,Parameter!$H$5+Parameter!$H$6+Parameter!$H$7))-(AX1524-AS1524))/AS1524)))</f>
        <v>0</v>
      </c>
      <c r="AZ1524" s="50" t="n">
        <f aca="false">IF(LEFT(Cockpit!$O$5,1)="A",H1524,IF(Parameter!$E$30="MAX-Bestand",IF(CH1524=1,CI1524,IF(LEFT(Cockpit!$O$5,1)="B",BF1524,MAX(BF1524,H1524))),ROUNDUP(BD1524,0)))</f>
        <v>1</v>
      </c>
      <c r="BA1524" s="50" t="n">
        <f aca="false">IF(BZ1524=1,0,ROUNDUP(AZ1524/BY1524,0))</f>
        <v>1</v>
      </c>
      <c r="BB1524" s="52" t="n">
        <f aca="false">IF(CQ1524&gt;0,CQ1524*MAX(1,AZ1524/X1524),IF(BZ1524=1,IF(AZ1524&lt;=0,0,CD1524*MAX(1,IF(H1524&gt;0,AZ1524/H1524,1))),IF(R1524&gt;0,BA1524/R1524,0))/MAX(0.1,N(Parameter!$M$21)))</f>
        <v>0.0384615384615385</v>
      </c>
      <c r="BC1524" s="50" t="n">
        <f aca="false">BB1524*CB1524</f>
        <v>9.42307692307692</v>
      </c>
      <c r="BD1524" s="51" t="n">
        <f aca="false">IF(LEFT(Cockpit!$O$5,1)="A",H1524,IF(CH1524=1,(CK1524+CI1524)/2,IF(LEFT(Cockpit!$O$5,1)="B",(CK1524+BF1524)/2,MAX((CK1524+BF1524)/2,H1524))))</f>
        <v>0.5</v>
      </c>
      <c r="BE1524" s="50" t="n">
        <f aca="false">BD1524*G1524</f>
        <v>255</v>
      </c>
      <c r="BF1524" s="50" t="n">
        <f aca="false">ROUNDUP(CK1524+MAX(CL1524,2*(J1524/IF(CG1524&gt;0,CG1524,MAX(0.1,N(Cockpit!$O$6)))-CK1524)),0)</f>
        <v>1</v>
      </c>
      <c r="BG1524" s="51" t="n">
        <f aca="false">IF(BC1524&gt;0,J1524/BC1524,-1)</f>
        <v>0</v>
      </c>
      <c r="BH1524" s="51" t="n">
        <f aca="false">IF(AND(OR(CF1524="L1",CF1524="L23",CF1524="LIFT"),BC1524&gt;0),SUMIFS($BC$7:$BC$1843,$CF$7:$CF$1843,CF1524,$BG$7:$BG$1843,"&gt;"&amp;BG1524)+SUMIFS($BC$7:$BC$1843,$CF$7:$CF$1843,CF1524,$BG$7:$BG$1843,BG1524,$BW$7:$BW$1843,"&lt;="&amp;BW1524),"")</f>
        <v>30297.3828123383</v>
      </c>
      <c r="BI1524" s="58" t="n">
        <f aca="false">IF(BH1524="",0,MAX(0,MIN(1,(IF(CF1524="L1",Parameter!$H$5,IF(CF1524="L23",Parameter!$H$6+Parameter!$H$7,Parameter!$H$5+Parameter!$H$6+Parameter!$H$7))-(BH1524-BC1524))/BC1524)))</f>
        <v>1</v>
      </c>
      <c r="BJ1524" s="48" t="str">
        <f aca="false">IF(AI1524&lt;=0,"",IF(CF1524="Aussen","Aussenlager",IF(CF1524="-","Nicht im Lift",IF(AO1524&gt;=1,"Lift",IF(AO1524&lt;=0,"Aussenlager","teilweise")))))</f>
        <v>Lift</v>
      </c>
      <c r="BK1524" s="48" t="str">
        <f aca="false">IF(AS1524&lt;=0,"",IF(CF1524="Aussen","Aussenlager",IF(CF1524="-","Nicht im Lift",IF(AY1524&gt;=1,"Lift",IF(AY1524&lt;=0,"Aussenlager","teilweise")))))</f>
        <v>Aussenlager</v>
      </c>
      <c r="BL1524" s="48" t="str">
        <f aca="false">IF(BC1524&lt;=0,"",IF(CF1524="Aussen","Aussenlager",IF(CF1524="-","Nicht im Lift",IF(BI1524&gt;=1,"Lift",IF(BI1524&lt;=0,"Aussenlager","teilweise")))))</f>
        <v>Lift</v>
      </c>
      <c r="BM1524" s="48" t="str">
        <f aca="false">IF(A1524="","",IF(BV1524=1,"Neu; ","")&amp;IF(AND(BV1524=0,BQ1524&lt;0),"negativer Bestand (Export "&amp;BQ1524&amp;"); ","")&amp;IF(J1524&lt;=0,"Kein Verbrauch; ","")&amp;IF(CQ1524&gt;0,"Lift "&amp;W1524&amp;" lt. Liftbericht (Fach "&amp;X1524&amp;" Stk); ",IF(CA1524=1,"Gebinde geschätzt ("&amp;T1524&amp;"); ",IF(BZ1524=1,"Lose – Tablare geschätzt; ","")))&amp;IF(H1524&gt;AV1524,"Überbestand "&amp;ROUND(H1524-AV1524,0)&amp;" Stk / CHF "&amp;ROUND((H1524-AV1524)*G1524,0)&amp;"; ","")&amp;IF(AND(CH1524=1,CI1524&lt;CJ1524),"MAX &lt; MB+LG; ","")&amp;IF(AND(CP1524&gt;0,CO1524*10&gt;CP1524),"zu hoch für Tablar; ","")&amp;IF(AND(BV1524=0,OR(CH1524=1,AA1524&lt;&gt;"",U1524&lt;&gt;"",V1524&lt;&gt;"",AB1524&lt;&gt;"")),"manuell übersteuert; ","")&amp;IF(AND(BZ1524=0,R1524=0),"Gebinde unbekannt / Stellmass fehlt; ","")&amp;IF(AND(BZ1524=0,N(V1524)&lt;=0,N(Q1524)&lt;=0),"Menge pro Gebinde fehlt (Ist = 1 Gebinde); ","")&amp;BU1524)</f>
        <v>Kein Verbrauch; Überbestand 1 Stk / CHF 510; nur im Artikelstamm (Bestand 23.06.2026)</v>
      </c>
      <c r="BN1524" s="48"/>
      <c r="BO1524" s="48"/>
      <c r="BP1524" s="55"/>
      <c r="BQ1524" s="50" t="n">
        <v>2</v>
      </c>
      <c r="BR1524" s="50" t="n">
        <v>0</v>
      </c>
      <c r="BS1524" s="49" t="n">
        <v>0</v>
      </c>
      <c r="BT1524" s="50" t="n">
        <v>0</v>
      </c>
      <c r="BU1524" s="48" t="s">
        <v>2584</v>
      </c>
      <c r="BV1524" s="53" t="n">
        <v>0</v>
      </c>
      <c r="BW1524" s="53" t="n">
        <v>1524</v>
      </c>
      <c r="BX1524" s="48" t="str">
        <f aca="false">IF(U1524&lt;&gt;"",UPPER(TRIM(U1524)),IF(CA1524=1,UPPER(VLOOKUP(T1524,Parameter!$I$27:$K$29,2,0)),IF(P1524="","LOSE",P1524)))</f>
        <v>S52</v>
      </c>
      <c r="BY1524" s="50" t="n">
        <f aca="false">IF(BX1524="LOSE",1,IF(N(V1524)&gt;0,V1524,IF(CA1524=1,MAX(1,N(VLOOKUP(T1524,Parameter!$I$27:$K$29,3,0)),H1524,N(N1524)),IF(N(Q1524)&gt;0,Q1524,MAX(1,H1524)))))</f>
        <v>2</v>
      </c>
      <c r="BZ1524" s="53" t="n">
        <f aca="false">IF(BX1524="LOSE",1,0)</f>
        <v>0</v>
      </c>
      <c r="CA1524" s="53" t="n">
        <f aca="false">IF(AND(U1524="",OR(P1524="",P1524="LOSE"),T1524&lt;&gt;"",N(S1524)&lt;=0,ISNUMBER(MATCH(T1524,Parameter!$I$27:$I$29,0))),1,0)</f>
        <v>0</v>
      </c>
      <c r="CB1524" s="53" t="n">
        <f aca="false">IF(CQ1524&gt;0,INDEX(Parameter!$H$5:$H$7,W1524)/INDEX(Parameter!$E$5:$E$7,W1524),IF(AND(BZ1524=0,N(IFERROR(VLOOKUP(BX1524,'Gebinde-Kategorie'!$A$5:$N$45,14,0),0))&gt;0),VLOOKUP(BX1524,'Gebinde-Kategorie'!$A$5:$N$45,14,0)*10+Parameter!$M$23,Parameter!$M$24))</f>
        <v>245</v>
      </c>
      <c r="CC1524" s="48" t="str">
        <f aca="false">IF(AND(Parameter!$B$19="Ja",E1524&lt;&gt;"",ISNUMBER(MATCH(E1524,Parameter!$I$35:$I$52,0))),VLOOKUP(E1524,Parameter!$I$35:$J$52,2,0),IFERROR(VLOOKUP(D1524,Parameter!$A$35:$C$64,2,0),"Nein"))</f>
        <v>2+3</v>
      </c>
      <c r="CD1524" s="52" t="n">
        <f aca="false">IF(BZ1524=0,0,IF(N(S1524)&gt;0,S1524,IFERROR(VLOOKUP(D1524,Parameter!$A$35:$C$64,3,0)+0,0)))</f>
        <v>0</v>
      </c>
      <c r="CE1524" s="48" t="n">
        <f aca="false">IF(AA1524&lt;&gt;"",AA1524,Z1524)</f>
        <v>3</v>
      </c>
      <c r="CF1524" s="48" t="str">
        <f aca="false">IF(OR(CE1524=1,CE1524=2,CE1524=3),IF(Parameter!$E$27="Ja","LIFT",IF(CE1524=1,"L1","L23")),IF(CE1524="Aussen","Aussen","-"))</f>
        <v>LIFT</v>
      </c>
      <c r="CG1524" s="59" t="n">
        <f aca="false">IF(N(AB1524)&gt;0,AB1524,0)</f>
        <v>0</v>
      </c>
      <c r="CH1524" s="53" t="n">
        <f aca="false">IF(ISNUMBER(AE1524),1,0)</f>
        <v>0</v>
      </c>
      <c r="CI1524" s="50" t="n">
        <f aca="false">N(AE1524)</f>
        <v>0</v>
      </c>
      <c r="CJ1524" s="50" t="n">
        <f aca="false">N(M1524)+N(N1524)</f>
        <v>1</v>
      </c>
      <c r="CK1524" s="50" t="n">
        <f aca="false">N(M1524)</f>
        <v>0</v>
      </c>
      <c r="CL1524" s="50" t="n">
        <f aca="false">N(N1524)</f>
        <v>1</v>
      </c>
      <c r="CM1524" s="50" t="n">
        <f aca="false">ROUNDUP(H1524/BY1524,0)</f>
        <v>1</v>
      </c>
      <c r="CN1524" s="50" t="n">
        <f aca="false">ROUNDUP(CI1524/BY1524,0)</f>
        <v>0</v>
      </c>
      <c r="CO1524" s="53" t="n">
        <f aca="false">IF(BZ1524=1,0,IFERROR(VLOOKUP(BX1524,'Gebinde-Kategorie'!$A$5:$N$45,5,0)+0,0))</f>
        <v>21</v>
      </c>
      <c r="CP1524" s="53" t="n">
        <f aca="false">IFERROR(IF(OR(CE1524=1,CE1524=2,CE1524=3),N(INDEX(Parameter!$I$5:$I$7,CE1524)),0),0)</f>
        <v>0</v>
      </c>
      <c r="CQ1524" s="52" t="n">
        <f aca="false">IF(AND(Parameter!$B$21="Ja",ISNUMBER(W1524),N(X1524)&gt;0),IFERROR(N(INDEX(Parameter!$L$5:$L$7,W1524))*INDEX(Parameter!$E$5:$E$7,W1524)*X1524/SUMIFS($X$7:$X$1843,$W$7:$W$1843,W1524),0),0)</f>
        <v>0</v>
      </c>
    </row>
    <row r="1525" customFormat="false" ht="15" hidden="false" customHeight="false" outlineLevel="0" collapsed="false">
      <c r="A1525" s="48" t="s">
        <v>2675</v>
      </c>
      <c r="B1525" s="48" t="s">
        <v>383</v>
      </c>
      <c r="C1525" s="48" t="s">
        <v>173</v>
      </c>
      <c r="D1525" s="48" t="s">
        <v>193</v>
      </c>
      <c r="E1525" s="48" t="s">
        <v>194</v>
      </c>
      <c r="F1525" s="48"/>
      <c r="G1525" s="49" t="n">
        <v>1.75</v>
      </c>
      <c r="H1525" s="50" t="n">
        <f aca="false">MAX(0,IF(AND(Parameter!$B$21="Ja",ISNUMBER(Y1525)),Y1525,IF(Parameter!$B$20="Jahresanfang 2025 + Export",BR1525+BQ1525,BQ1525)))</f>
        <v>16</v>
      </c>
      <c r="I1525" s="50" t="n">
        <f aca="false">H1525*G1525</f>
        <v>28</v>
      </c>
      <c r="J1525" s="50" t="n">
        <f aca="false">BT1525*Parameter!$B$18</f>
        <v>0</v>
      </c>
      <c r="K1525" s="51"/>
      <c r="L1525" s="52"/>
      <c r="M1525" s="50" t="n">
        <v>0</v>
      </c>
      <c r="N1525" s="50" t="n">
        <v>15</v>
      </c>
      <c r="O1525" s="53" t="n">
        <v>0</v>
      </c>
      <c r="P1525" s="48" t="s">
        <v>410</v>
      </c>
      <c r="Q1525" s="50" t="n">
        <v>16</v>
      </c>
      <c r="R1525" s="53" t="n">
        <f aca="false">IF(BZ1525=1,0,IFERROR(VLOOKUP(BX1525,'Gebinde-Kategorie'!$A$5:$N$45,13,0)+0,0))</f>
        <v>280</v>
      </c>
      <c r="S1525" s="54"/>
      <c r="T1525" s="55"/>
      <c r="U1525" s="55"/>
      <c r="V1525" s="55"/>
      <c r="W1525" s="48"/>
      <c r="X1525" s="50"/>
      <c r="Y1525" s="50"/>
      <c r="Z1525" s="48" t="n">
        <f aca="false">IF(A1525="","",IF(AND(Parameter!$B$21="Ja",ISNUMBER(W1525)),W1525,IF(CC1525="2+3",IF(ISNUMBER(SEARCH("grosser Artikel",BU1525)),2,IFERROR(VLOOKUP(BX1525,Parameter!$F$35:$G$64,2,0),2)),IF(OR(CC1525="Nein",CC1525=""),"-",CC1525))))</f>
        <v>3</v>
      </c>
      <c r="AA1525" s="55"/>
      <c r="AB1525" s="56"/>
      <c r="AC1525" s="50" t="n">
        <f aca="false">AV1525</f>
        <v>15</v>
      </c>
      <c r="AD1525" s="50" t="n">
        <f aca="false">MAX(AV1525,H1525)</f>
        <v>16</v>
      </c>
      <c r="AE1525" s="57"/>
      <c r="AF1525" s="50" t="n">
        <f aca="false">IF(LEFT(Cockpit!$C$5,1)="A",H1525,IF(Parameter!$E$30="MAX-Bestand",IF(CH1525=1,CI1525,IF(LEFT(Cockpit!$C$5,1)="B",AL1525,MAX(AL1525,H1525))),ROUNDUP(AJ1525,0)))</f>
        <v>16</v>
      </c>
      <c r="AG1525" s="50" t="n">
        <f aca="false">IF(BZ1525=1,0,ROUNDUP(AF1525/BY1525,0))</f>
        <v>1</v>
      </c>
      <c r="AH1525" s="52" t="n">
        <f aca="false">IF(CQ1525&gt;0,CQ1525*MAX(1,AF1525/X1525),IF(BZ1525=1,IF(AF1525&lt;=0,0,CD1525*MAX(1,IF(H1525&gt;0,AF1525/H1525,1))),IF(R1525&gt;0,AG1525/R1525,0))/MAX(0.1,N(Parameter!$M$21)))</f>
        <v>0.00357142857142857</v>
      </c>
      <c r="AI1525" s="50" t="n">
        <f aca="false">AH1525*CB1525</f>
        <v>0.553571428571429</v>
      </c>
      <c r="AJ1525" s="51" t="n">
        <f aca="false">IF(LEFT(Cockpit!$C$5,1)="A",H1525,IF(CH1525=1,(CK1525+CI1525)/2,IF(LEFT(Cockpit!$C$5,1)="B",(CK1525+AL1525)/2,MAX((CK1525+AL1525)/2,H1525))))</f>
        <v>16</v>
      </c>
      <c r="AK1525" s="50" t="n">
        <f aca="false">AJ1525*G1525</f>
        <v>28</v>
      </c>
      <c r="AL1525" s="50" t="n">
        <f aca="false">ROUNDUP(CK1525+MAX(CL1525,2*(J1525/IF(CG1525&gt;0,CG1525,MAX(0.1,N(Cockpit!$C$6)))-CK1525)),0)</f>
        <v>15</v>
      </c>
      <c r="AM1525" s="51" t="n">
        <f aca="false">IF(AI1525&gt;0,J1525/AI1525,-1)</f>
        <v>0</v>
      </c>
      <c r="AN1525" s="51" t="n">
        <f aca="false">IF(AND(OR(CF1525="L1",CF1525="L23",CF1525="LIFT"),AI1525&gt;0),SUMIFS($AI$7:$AI$1843,$CF$7:$CF$1843,CF1525,$AM$7:$AM$1843,"&gt;"&amp;AM1525)+SUMIFS($AI$7:$AI$1843,$CF$7:$CF$1843,CF1525,$AM$7:$AM$1843,AM1525,$BW$7:$BW$1843,"&lt;="&amp;BW1525),"")</f>
        <v>30039.8885913992</v>
      </c>
      <c r="AO1525" s="58" t="n">
        <f aca="false">IF(AN1525="",0,MAX(0,MIN(1,(IF(CF1525="L1",Parameter!$H$5,IF(CF1525="L23",Parameter!$H$6+Parameter!$H$7,Parameter!$H$5+Parameter!$H$6+Parameter!$H$7))-(AN1525-AI1525))/AI1525)))</f>
        <v>1</v>
      </c>
      <c r="AP1525" s="50" t="n">
        <f aca="false">IF(LEFT(Cockpit!$I$5,1)="A",H1525,IF(Parameter!$E$30="MAX-Bestand",IF(CH1525=1,CI1525,IF(LEFT(Cockpit!$I$5,1)="B",AV1525,MAX(AV1525,H1525))),ROUNDUP(AT1525,0)))</f>
        <v>16</v>
      </c>
      <c r="AQ1525" s="50" t="n">
        <f aca="false">IF(BZ1525=1,0,ROUNDUP(AP1525/BY1525,0))</f>
        <v>1</v>
      </c>
      <c r="AR1525" s="52" t="n">
        <f aca="false">IF(CQ1525&gt;0,CQ1525*MAX(1,AP1525/X1525),IF(BZ1525=1,IF(AP1525&lt;=0,0,CD1525*MAX(1,IF(H1525&gt;0,AP1525/H1525,1))),IF(R1525&gt;0,AQ1525/R1525,0))/MAX(0.1,N(Parameter!$M$21)))</f>
        <v>0.00357142857142857</v>
      </c>
      <c r="AS1525" s="50" t="n">
        <f aca="false">AR1525*CB1525</f>
        <v>0.553571428571429</v>
      </c>
      <c r="AT1525" s="51" t="n">
        <f aca="false">IF(LEFT(Cockpit!$I$5,1)="A",H1525,IF(CH1525=1,(CK1525+CI1525)/2,IF(LEFT(Cockpit!$I$5,1)="B",(CK1525+AV1525)/2,MAX((CK1525+AV1525)/2,H1525))))</f>
        <v>16</v>
      </c>
      <c r="AU1525" s="50" t="n">
        <f aca="false">AT1525*G1525</f>
        <v>28</v>
      </c>
      <c r="AV1525" s="50" t="n">
        <f aca="false">ROUNDUP(CK1525+MAX(CL1525,2*(J1525/IF(CG1525&gt;0,CG1525,MAX(0.1,N(Cockpit!$I$6)))-CK1525)),0)</f>
        <v>15</v>
      </c>
      <c r="AW1525" s="51" t="n">
        <f aca="false">IF(AS1525&gt;0,J1525/AS1525,-1)</f>
        <v>0</v>
      </c>
      <c r="AX1525" s="51" t="n">
        <f aca="false">IF(AND(OR(CF1525="L1",CF1525="L23",CF1525="LIFT"),AS1525&gt;0),SUMIFS($AS$7:$AS$1843,$CF$7:$CF$1843,CF1525,$AW$7:$AW$1843,"&gt;"&amp;AW1525)+SUMIFS($AS$7:$AS$1843,$CF$7:$CF$1843,CF1525,$AW$7:$AW$1843,AW1525,$BW$7:$BW$1843,"&lt;="&amp;BW1525),"")</f>
        <v>36359.7451082345</v>
      </c>
      <c r="AY1525" s="58" t="n">
        <f aca="false">IF(AX1525="",0,MAX(0,MIN(1,(IF(CF1525="L1",Parameter!$H$5,IF(CF1525="L23",Parameter!$H$6+Parameter!$H$7,Parameter!$H$5+Parameter!$H$6+Parameter!$H$7))-(AX1525-AS1525))/AS1525)))</f>
        <v>0</v>
      </c>
      <c r="AZ1525" s="50" t="n">
        <f aca="false">IF(LEFT(Cockpit!$O$5,1)="A",H1525,IF(Parameter!$E$30="MAX-Bestand",IF(CH1525=1,CI1525,IF(LEFT(Cockpit!$O$5,1)="B",BF1525,MAX(BF1525,H1525))),ROUNDUP(BD1525,0)))</f>
        <v>8</v>
      </c>
      <c r="BA1525" s="50" t="n">
        <f aca="false">IF(BZ1525=1,0,ROUNDUP(AZ1525/BY1525,0))</f>
        <v>1</v>
      </c>
      <c r="BB1525" s="52" t="n">
        <f aca="false">IF(CQ1525&gt;0,CQ1525*MAX(1,AZ1525/X1525),IF(BZ1525=1,IF(AZ1525&lt;=0,0,CD1525*MAX(1,IF(H1525&gt;0,AZ1525/H1525,1))),IF(R1525&gt;0,BA1525/R1525,0))/MAX(0.1,N(Parameter!$M$21)))</f>
        <v>0.00357142857142857</v>
      </c>
      <c r="BC1525" s="50" t="n">
        <f aca="false">BB1525*CB1525</f>
        <v>0.553571428571429</v>
      </c>
      <c r="BD1525" s="51" t="n">
        <f aca="false">IF(LEFT(Cockpit!$O$5,1)="A",H1525,IF(CH1525=1,(CK1525+CI1525)/2,IF(LEFT(Cockpit!$O$5,1)="B",(CK1525+BF1525)/2,MAX((CK1525+BF1525)/2,H1525))))</f>
        <v>7.5</v>
      </c>
      <c r="BE1525" s="50" t="n">
        <f aca="false">BD1525*G1525</f>
        <v>13.125</v>
      </c>
      <c r="BF1525" s="50" t="n">
        <f aca="false">ROUNDUP(CK1525+MAX(CL1525,2*(J1525/IF(CG1525&gt;0,CG1525,MAX(0.1,N(Cockpit!$O$6)))-CK1525)),0)</f>
        <v>15</v>
      </c>
      <c r="BG1525" s="51" t="n">
        <f aca="false">IF(BC1525&gt;0,J1525/BC1525,-1)</f>
        <v>0</v>
      </c>
      <c r="BH1525" s="51" t="n">
        <f aca="false">IF(AND(OR(CF1525="L1",CF1525="L23",CF1525="LIFT"),BC1525&gt;0),SUMIFS($BC$7:$BC$1843,$CF$7:$CF$1843,CF1525,$BG$7:$BG$1843,"&gt;"&amp;BG1525)+SUMIFS($BC$7:$BC$1843,$CF$7:$CF$1843,CF1525,$BG$7:$BG$1843,BG1525,$BW$7:$BW$1843,"&lt;="&amp;BW1525),"")</f>
        <v>30297.9363837669</v>
      </c>
      <c r="BI1525" s="58" t="n">
        <f aca="false">IF(BH1525="",0,MAX(0,MIN(1,(IF(CF1525="L1",Parameter!$H$5,IF(CF1525="L23",Parameter!$H$6+Parameter!$H$7,Parameter!$H$5+Parameter!$H$6+Parameter!$H$7))-(BH1525-BC1525))/BC1525)))</f>
        <v>1</v>
      </c>
      <c r="BJ1525" s="48" t="str">
        <f aca="false">IF(AI1525&lt;=0,"",IF(CF1525="Aussen","Aussenlager",IF(CF1525="-","Nicht im Lift",IF(AO1525&gt;=1,"Lift",IF(AO1525&lt;=0,"Aussenlager","teilweise")))))</f>
        <v>Lift</v>
      </c>
      <c r="BK1525" s="48" t="str">
        <f aca="false">IF(AS1525&lt;=0,"",IF(CF1525="Aussen","Aussenlager",IF(CF1525="-","Nicht im Lift",IF(AY1525&gt;=1,"Lift",IF(AY1525&lt;=0,"Aussenlager","teilweise")))))</f>
        <v>Aussenlager</v>
      </c>
      <c r="BL1525" s="48" t="str">
        <f aca="false">IF(BC1525&lt;=0,"",IF(CF1525="Aussen","Aussenlager",IF(CF1525="-","Nicht im Lift",IF(BI1525&gt;=1,"Lift",IF(BI1525&lt;=0,"Aussenlager","teilweise")))))</f>
        <v>Lift</v>
      </c>
      <c r="BM1525" s="48" t="str">
        <f aca="false">IF(A1525="","",IF(BV1525=1,"Neu; ","")&amp;IF(AND(BV1525=0,BQ1525&lt;0),"negativer Bestand (Export "&amp;BQ1525&amp;"); ","")&amp;IF(J1525&lt;=0,"Kein Verbrauch; ","")&amp;IF(CQ1525&gt;0,"Lift "&amp;W1525&amp;" lt. Liftbericht (Fach "&amp;X1525&amp;" Stk); ",IF(CA1525=1,"Gebinde geschätzt ("&amp;T1525&amp;"); ",IF(BZ1525=1,"Lose – Tablare geschätzt; ","")))&amp;IF(H1525&gt;AV1525,"Überbestand "&amp;ROUND(H1525-AV1525,0)&amp;" Stk / CHF "&amp;ROUND((H1525-AV1525)*G1525,0)&amp;"; ","")&amp;IF(AND(CH1525=1,CI1525&lt;CJ1525),"MAX &lt; MB+LG; ","")&amp;IF(AND(CP1525&gt;0,CO1525*10&gt;CP1525),"zu hoch für Tablar; ","")&amp;IF(AND(BV1525=0,OR(CH1525=1,AA1525&lt;&gt;"",U1525&lt;&gt;"",V1525&lt;&gt;"",AB1525&lt;&gt;"")),"manuell übersteuert; ","")&amp;IF(AND(BZ1525=0,R1525=0),"Gebinde unbekannt / Stellmass fehlt; ","")&amp;IF(AND(BZ1525=0,N(V1525)&lt;=0,N(Q1525)&lt;=0),"Menge pro Gebinde fehlt (Ist = 1 Gebinde); ","")&amp;BU1525)</f>
        <v>Kein Verbrauch; Überbestand 1 Stk / CHF 2; nur im Artikelstamm (Bestand 23.06.2026); Neu</v>
      </c>
      <c r="BN1525" s="48"/>
      <c r="BO1525" s="48"/>
      <c r="BP1525" s="55"/>
      <c r="BQ1525" s="50" t="n">
        <v>16</v>
      </c>
      <c r="BR1525" s="50" t="n">
        <v>0</v>
      </c>
      <c r="BS1525" s="49" t="n">
        <v>0</v>
      </c>
      <c r="BT1525" s="50" t="n">
        <v>0</v>
      </c>
      <c r="BU1525" s="48" t="s">
        <v>2676</v>
      </c>
      <c r="BV1525" s="53" t="n">
        <v>0</v>
      </c>
      <c r="BW1525" s="53" t="n">
        <v>1525</v>
      </c>
      <c r="BX1525" s="48" t="str">
        <f aca="false">IF(U1525&lt;&gt;"",UPPER(TRIM(U1525)),IF(CA1525=1,UPPER(VLOOKUP(T1525,Parameter!$I$27:$K$29,2,0)),IF(P1525="","LOSE",P1525)))</f>
        <v>S21</v>
      </c>
      <c r="BY1525" s="50" t="n">
        <f aca="false">IF(BX1525="LOSE",1,IF(N(V1525)&gt;0,V1525,IF(CA1525=1,MAX(1,N(VLOOKUP(T1525,Parameter!$I$27:$K$29,3,0)),H1525,N(N1525)),IF(N(Q1525)&gt;0,Q1525,MAX(1,H1525)))))</f>
        <v>16</v>
      </c>
      <c r="BZ1525" s="53" t="n">
        <f aca="false">IF(BX1525="LOSE",1,0)</f>
        <v>0</v>
      </c>
      <c r="CA1525" s="53" t="n">
        <f aca="false">IF(AND(U1525="",OR(P1525="",P1525="LOSE"),T1525&lt;&gt;"",N(S1525)&lt;=0,ISNUMBER(MATCH(T1525,Parameter!$I$27:$I$29,0))),1,0)</f>
        <v>0</v>
      </c>
      <c r="CB1525" s="53" t="n">
        <f aca="false">IF(CQ1525&gt;0,INDEX(Parameter!$H$5:$H$7,W1525)/INDEX(Parameter!$E$5:$E$7,W1525),IF(AND(BZ1525=0,N(IFERROR(VLOOKUP(BX1525,'Gebinde-Kategorie'!$A$5:$N$45,14,0),0))&gt;0),VLOOKUP(BX1525,'Gebinde-Kategorie'!$A$5:$N$45,14,0)*10+Parameter!$M$23,Parameter!$M$24))</f>
        <v>155</v>
      </c>
      <c r="CC1525" s="48" t="str">
        <f aca="false">IF(AND(Parameter!$B$19="Ja",E1525&lt;&gt;"",ISNUMBER(MATCH(E1525,Parameter!$I$35:$I$52,0))),VLOOKUP(E1525,Parameter!$I$35:$J$52,2,0),IFERROR(VLOOKUP(D1525,Parameter!$A$35:$C$64,2,0),"Nein"))</f>
        <v>2+3</v>
      </c>
      <c r="CD1525" s="52" t="n">
        <f aca="false">IF(BZ1525=0,0,IF(N(S1525)&gt;0,S1525,IFERROR(VLOOKUP(D1525,Parameter!$A$35:$C$64,3,0)+0,0)))</f>
        <v>0</v>
      </c>
      <c r="CE1525" s="48" t="n">
        <f aca="false">IF(AA1525&lt;&gt;"",AA1525,Z1525)</f>
        <v>3</v>
      </c>
      <c r="CF1525" s="48" t="str">
        <f aca="false">IF(OR(CE1525=1,CE1525=2,CE1525=3),IF(Parameter!$E$27="Ja","LIFT",IF(CE1525=1,"L1","L23")),IF(CE1525="Aussen","Aussen","-"))</f>
        <v>LIFT</v>
      </c>
      <c r="CG1525" s="59" t="n">
        <f aca="false">IF(N(AB1525)&gt;0,AB1525,0)</f>
        <v>0</v>
      </c>
      <c r="CH1525" s="53" t="n">
        <f aca="false">IF(ISNUMBER(AE1525),1,0)</f>
        <v>0</v>
      </c>
      <c r="CI1525" s="50" t="n">
        <f aca="false">N(AE1525)</f>
        <v>0</v>
      </c>
      <c r="CJ1525" s="50" t="n">
        <f aca="false">N(M1525)+N(N1525)</f>
        <v>15</v>
      </c>
      <c r="CK1525" s="50" t="n">
        <f aca="false">N(M1525)</f>
        <v>0</v>
      </c>
      <c r="CL1525" s="50" t="n">
        <f aca="false">N(N1525)</f>
        <v>15</v>
      </c>
      <c r="CM1525" s="50" t="n">
        <f aca="false">ROUNDUP(H1525/BY1525,0)</f>
        <v>1</v>
      </c>
      <c r="CN1525" s="50" t="n">
        <f aca="false">ROUNDUP(CI1525/BY1525,0)</f>
        <v>0</v>
      </c>
      <c r="CO1525" s="53" t="n">
        <f aca="false">IF(BZ1525=1,0,IFERROR(VLOOKUP(BX1525,'Gebinde-Kategorie'!$A$5:$N$45,5,0)+0,0))</f>
        <v>8</v>
      </c>
      <c r="CP1525" s="53" t="n">
        <f aca="false">IFERROR(IF(OR(CE1525=1,CE1525=2,CE1525=3),N(INDEX(Parameter!$I$5:$I$7,CE1525)),0),0)</f>
        <v>0</v>
      </c>
      <c r="CQ1525" s="52" t="n">
        <f aca="false">IF(AND(Parameter!$B$21="Ja",ISNUMBER(W1525),N(X1525)&gt;0),IFERROR(N(INDEX(Parameter!$L$5:$L$7,W1525))*INDEX(Parameter!$E$5:$E$7,W1525)*X1525/SUMIFS($X$7:$X$1843,$W$7:$W$1843,W1525),0),0)</f>
        <v>0</v>
      </c>
    </row>
    <row r="1526" customFormat="false" ht="15" hidden="false" customHeight="false" outlineLevel="0" collapsed="false">
      <c r="A1526" s="48" t="s">
        <v>2677</v>
      </c>
      <c r="B1526" s="48" t="s">
        <v>2678</v>
      </c>
      <c r="C1526" s="48" t="s">
        <v>173</v>
      </c>
      <c r="D1526" s="48" t="s">
        <v>193</v>
      </c>
      <c r="E1526" s="48" t="s">
        <v>194</v>
      </c>
      <c r="F1526" s="48"/>
      <c r="G1526" s="49" t="n">
        <v>59.4</v>
      </c>
      <c r="H1526" s="50" t="n">
        <f aca="false">MAX(0,IF(AND(Parameter!$B$21="Ja",ISNUMBER(Y1526)),Y1526,IF(Parameter!$B$20="Jahresanfang 2025 + Export",BR1526+BQ1526,BQ1526)))</f>
        <v>16</v>
      </c>
      <c r="I1526" s="50" t="n">
        <f aca="false">H1526*G1526</f>
        <v>950.4</v>
      </c>
      <c r="J1526" s="50" t="n">
        <f aca="false">BT1526*Parameter!$B$18</f>
        <v>0</v>
      </c>
      <c r="K1526" s="51"/>
      <c r="L1526" s="52"/>
      <c r="M1526" s="50" t="n">
        <v>0</v>
      </c>
      <c r="N1526" s="50" t="n">
        <v>20</v>
      </c>
      <c r="O1526" s="53" t="n">
        <v>42</v>
      </c>
      <c r="P1526" s="48" t="s">
        <v>311</v>
      </c>
      <c r="Q1526" s="50" t="n">
        <v>16</v>
      </c>
      <c r="R1526" s="53" t="n">
        <f aca="false">IF(BZ1526=1,0,IFERROR(VLOOKUP(BX1526,'Gebinde-Kategorie'!$A$5:$N$45,13,0)+0,0))</f>
        <v>26</v>
      </c>
      <c r="S1526" s="54"/>
      <c r="T1526" s="55"/>
      <c r="U1526" s="55"/>
      <c r="V1526" s="55"/>
      <c r="W1526" s="48"/>
      <c r="X1526" s="50"/>
      <c r="Y1526" s="50"/>
      <c r="Z1526" s="48" t="n">
        <f aca="false">IF(A1526="","",IF(AND(Parameter!$B$21="Ja",ISNUMBER(W1526)),W1526,IF(CC1526="2+3",IF(ISNUMBER(SEARCH("grosser Artikel",BU1526)),2,IFERROR(VLOOKUP(BX1526,Parameter!$F$35:$G$64,2,0),2)),IF(OR(CC1526="Nein",CC1526=""),"-",CC1526))))</f>
        <v>3</v>
      </c>
      <c r="AA1526" s="55"/>
      <c r="AB1526" s="56"/>
      <c r="AC1526" s="50" t="n">
        <f aca="false">AV1526</f>
        <v>20</v>
      </c>
      <c r="AD1526" s="50" t="n">
        <f aca="false">MAX(AV1526,H1526)</f>
        <v>20</v>
      </c>
      <c r="AE1526" s="57"/>
      <c r="AF1526" s="50" t="n">
        <f aca="false">IF(LEFT(Cockpit!$C$5,1)="A",H1526,IF(Parameter!$E$30="MAX-Bestand",IF(CH1526=1,CI1526,IF(LEFT(Cockpit!$C$5,1)="B",AL1526,MAX(AL1526,H1526))),ROUNDUP(AJ1526,0)))</f>
        <v>16</v>
      </c>
      <c r="AG1526" s="50" t="n">
        <f aca="false">IF(BZ1526=1,0,ROUNDUP(AF1526/BY1526,0))</f>
        <v>1</v>
      </c>
      <c r="AH1526" s="52" t="n">
        <f aca="false">IF(CQ1526&gt;0,CQ1526*MAX(1,AF1526/X1526),IF(BZ1526=1,IF(AF1526&lt;=0,0,CD1526*MAX(1,IF(H1526&gt;0,AF1526/H1526,1))),IF(R1526&gt;0,AG1526/R1526,0))/MAX(0.1,N(Parameter!$M$21)))</f>
        <v>0.0384615384615385</v>
      </c>
      <c r="AI1526" s="50" t="n">
        <f aca="false">AH1526*CB1526</f>
        <v>5.96153846153846</v>
      </c>
      <c r="AJ1526" s="51" t="n">
        <f aca="false">IF(LEFT(Cockpit!$C$5,1)="A",H1526,IF(CH1526=1,(CK1526+CI1526)/2,IF(LEFT(Cockpit!$C$5,1)="B",(CK1526+AL1526)/2,MAX((CK1526+AL1526)/2,H1526))))</f>
        <v>16</v>
      </c>
      <c r="AK1526" s="50" t="n">
        <f aca="false">AJ1526*G1526</f>
        <v>950.4</v>
      </c>
      <c r="AL1526" s="50" t="n">
        <f aca="false">ROUNDUP(CK1526+MAX(CL1526,2*(J1526/IF(CG1526&gt;0,CG1526,MAX(0.1,N(Cockpit!$C$6)))-CK1526)),0)</f>
        <v>20</v>
      </c>
      <c r="AM1526" s="51" t="n">
        <f aca="false">IF(AI1526&gt;0,J1526/AI1526,-1)</f>
        <v>0</v>
      </c>
      <c r="AN1526" s="51" t="n">
        <f aca="false">IF(AND(OR(CF1526="L1",CF1526="L23",CF1526="LIFT"),AI1526&gt;0),SUMIFS($AI$7:$AI$1843,$CF$7:$CF$1843,CF1526,$AM$7:$AM$1843,"&gt;"&amp;AM1526)+SUMIFS($AI$7:$AI$1843,$CF$7:$CF$1843,CF1526,$AM$7:$AM$1843,AM1526,$BW$7:$BW$1843,"&lt;="&amp;BW1526),"")</f>
        <v>30045.8501298607</v>
      </c>
      <c r="AO1526" s="58" t="n">
        <f aca="false">IF(AN1526="",0,MAX(0,MIN(1,(IF(CF1526="L1",Parameter!$H$5,IF(CF1526="L23",Parameter!$H$6+Parameter!$H$7,Parameter!$H$5+Parameter!$H$6+Parameter!$H$7))-(AN1526-AI1526))/AI1526)))</f>
        <v>1</v>
      </c>
      <c r="AP1526" s="50" t="n">
        <f aca="false">IF(LEFT(Cockpit!$I$5,1)="A",H1526,IF(Parameter!$E$30="MAX-Bestand",IF(CH1526=1,CI1526,IF(LEFT(Cockpit!$I$5,1)="B",AV1526,MAX(AV1526,H1526))),ROUNDUP(AT1526,0)))</f>
        <v>16</v>
      </c>
      <c r="AQ1526" s="50" t="n">
        <f aca="false">IF(BZ1526=1,0,ROUNDUP(AP1526/BY1526,0))</f>
        <v>1</v>
      </c>
      <c r="AR1526" s="52" t="n">
        <f aca="false">IF(CQ1526&gt;0,CQ1526*MAX(1,AP1526/X1526),IF(BZ1526=1,IF(AP1526&lt;=0,0,CD1526*MAX(1,IF(H1526&gt;0,AP1526/H1526,1))),IF(R1526&gt;0,AQ1526/R1526,0))/MAX(0.1,N(Parameter!$M$21)))</f>
        <v>0.0384615384615385</v>
      </c>
      <c r="AS1526" s="50" t="n">
        <f aca="false">AR1526*CB1526</f>
        <v>5.96153846153846</v>
      </c>
      <c r="AT1526" s="51" t="n">
        <f aca="false">IF(LEFT(Cockpit!$I$5,1)="A",H1526,IF(CH1526=1,(CK1526+CI1526)/2,IF(LEFT(Cockpit!$I$5,1)="B",(CK1526+AV1526)/2,MAX((CK1526+AV1526)/2,H1526))))</f>
        <v>16</v>
      </c>
      <c r="AU1526" s="50" t="n">
        <f aca="false">AT1526*G1526</f>
        <v>950.4</v>
      </c>
      <c r="AV1526" s="50" t="n">
        <f aca="false">ROUNDUP(CK1526+MAX(CL1526,2*(J1526/IF(CG1526&gt;0,CG1526,MAX(0.1,N(Cockpit!$I$6)))-CK1526)),0)</f>
        <v>20</v>
      </c>
      <c r="AW1526" s="51" t="n">
        <f aca="false">IF(AS1526&gt;0,J1526/AS1526,-1)</f>
        <v>0</v>
      </c>
      <c r="AX1526" s="51" t="n">
        <f aca="false">IF(AND(OR(CF1526="L1",CF1526="L23",CF1526="LIFT"),AS1526&gt;0),SUMIFS($AS$7:$AS$1843,$CF$7:$CF$1843,CF1526,$AW$7:$AW$1843,"&gt;"&amp;AW1526)+SUMIFS($AS$7:$AS$1843,$CF$7:$CF$1843,CF1526,$AW$7:$AW$1843,AW1526,$BW$7:$BW$1843,"&lt;="&amp;BW1526),"")</f>
        <v>36365.7066466961</v>
      </c>
      <c r="AY1526" s="58" t="n">
        <f aca="false">IF(AX1526="",0,MAX(0,MIN(1,(IF(CF1526="L1",Parameter!$H$5,IF(CF1526="L23",Parameter!$H$6+Parameter!$H$7,Parameter!$H$5+Parameter!$H$6+Parameter!$H$7))-(AX1526-AS1526))/AS1526)))</f>
        <v>0</v>
      </c>
      <c r="AZ1526" s="50" t="n">
        <f aca="false">IF(LEFT(Cockpit!$O$5,1)="A",H1526,IF(Parameter!$E$30="MAX-Bestand",IF(CH1526=1,CI1526,IF(LEFT(Cockpit!$O$5,1)="B",BF1526,MAX(BF1526,H1526))),ROUNDUP(BD1526,0)))</f>
        <v>10</v>
      </c>
      <c r="BA1526" s="50" t="n">
        <f aca="false">IF(BZ1526=1,0,ROUNDUP(AZ1526/BY1526,0))</f>
        <v>1</v>
      </c>
      <c r="BB1526" s="52" t="n">
        <f aca="false">IF(CQ1526&gt;0,CQ1526*MAX(1,AZ1526/X1526),IF(BZ1526=1,IF(AZ1526&lt;=0,0,CD1526*MAX(1,IF(H1526&gt;0,AZ1526/H1526,1))),IF(R1526&gt;0,BA1526/R1526,0))/MAX(0.1,N(Parameter!$M$21)))</f>
        <v>0.0384615384615385</v>
      </c>
      <c r="BC1526" s="50" t="n">
        <f aca="false">BB1526*CB1526</f>
        <v>5.96153846153846</v>
      </c>
      <c r="BD1526" s="51" t="n">
        <f aca="false">IF(LEFT(Cockpit!$O$5,1)="A",H1526,IF(CH1526=1,(CK1526+CI1526)/2,IF(LEFT(Cockpit!$O$5,1)="B",(CK1526+BF1526)/2,MAX((CK1526+BF1526)/2,H1526))))</f>
        <v>10</v>
      </c>
      <c r="BE1526" s="50" t="n">
        <f aca="false">BD1526*G1526</f>
        <v>594</v>
      </c>
      <c r="BF1526" s="50" t="n">
        <f aca="false">ROUNDUP(CK1526+MAX(CL1526,2*(J1526/IF(CG1526&gt;0,CG1526,MAX(0.1,N(Cockpit!$O$6)))-CK1526)),0)</f>
        <v>20</v>
      </c>
      <c r="BG1526" s="51" t="n">
        <f aca="false">IF(BC1526&gt;0,J1526/BC1526,-1)</f>
        <v>0</v>
      </c>
      <c r="BH1526" s="51" t="n">
        <f aca="false">IF(AND(OR(CF1526="L1",CF1526="L23",CF1526="LIFT"),BC1526&gt;0),SUMIFS($BC$7:$BC$1843,$CF$7:$CF$1843,CF1526,$BG$7:$BG$1843,"&gt;"&amp;BG1526)+SUMIFS($BC$7:$BC$1843,$CF$7:$CF$1843,CF1526,$BG$7:$BG$1843,BG1526,$BW$7:$BW$1843,"&lt;="&amp;BW1526),"")</f>
        <v>30303.8979222284</v>
      </c>
      <c r="BI1526" s="58" t="n">
        <f aca="false">IF(BH1526="",0,MAX(0,MIN(1,(IF(CF1526="L1",Parameter!$H$5,IF(CF1526="L23",Parameter!$H$6+Parameter!$H$7,Parameter!$H$5+Parameter!$H$6+Parameter!$H$7))-(BH1526-BC1526))/BC1526)))</f>
        <v>1</v>
      </c>
      <c r="BJ1526" s="48" t="str">
        <f aca="false">IF(AI1526&lt;=0,"",IF(CF1526="Aussen","Aussenlager",IF(CF1526="-","Nicht im Lift",IF(AO1526&gt;=1,"Lift",IF(AO1526&lt;=0,"Aussenlager","teilweise")))))</f>
        <v>Lift</v>
      </c>
      <c r="BK1526" s="48" t="str">
        <f aca="false">IF(AS1526&lt;=0,"",IF(CF1526="Aussen","Aussenlager",IF(CF1526="-","Nicht im Lift",IF(AY1526&gt;=1,"Lift",IF(AY1526&lt;=0,"Aussenlager","teilweise")))))</f>
        <v>Aussenlager</v>
      </c>
      <c r="BL1526" s="48" t="str">
        <f aca="false">IF(BC1526&lt;=0,"",IF(CF1526="Aussen","Aussenlager",IF(CF1526="-","Nicht im Lift",IF(BI1526&gt;=1,"Lift",IF(BI1526&lt;=0,"Aussenlager","teilweise")))))</f>
        <v>Lift</v>
      </c>
      <c r="BM1526" s="48" t="str">
        <f aca="false">IF(A1526="","",IF(BV1526=1,"Neu; ","")&amp;IF(AND(BV1526=0,BQ1526&lt;0),"negativer Bestand (Export "&amp;BQ1526&amp;"); ","")&amp;IF(J1526&lt;=0,"Kein Verbrauch; ","")&amp;IF(CQ1526&gt;0,"Lift "&amp;W1526&amp;" lt. Liftbericht (Fach "&amp;X1526&amp;" Stk); ",IF(CA1526=1,"Gebinde geschätzt ("&amp;T1526&amp;"); ",IF(BZ1526=1,"Lose – Tablare geschätzt; ","")))&amp;IF(H1526&gt;AV1526,"Überbestand "&amp;ROUND(H1526-AV1526,0)&amp;" Stk / CHF "&amp;ROUND((H1526-AV1526)*G1526,0)&amp;"; ","")&amp;IF(AND(CH1526=1,CI1526&lt;CJ1526),"MAX &lt; MB+LG; ","")&amp;IF(AND(CP1526&gt;0,CO1526*10&gt;CP1526),"zu hoch für Tablar; ","")&amp;IF(AND(BV1526=0,OR(CH1526=1,AA1526&lt;&gt;"",U1526&lt;&gt;"",V1526&lt;&gt;"",AB1526&lt;&gt;"")),"manuell übersteuert; ","")&amp;IF(AND(BZ1526=0,R1526=0),"Gebinde unbekannt / Stellmass fehlt; ","")&amp;IF(AND(BZ1526=0,N(V1526)&lt;=0,N(Q1526)&lt;=0),"Menge pro Gebinde fehlt (Ist = 1 Gebinde); ","")&amp;BU1526)</f>
        <v>Kein Verbrauch; nur im Artikelstamm (Bestand 23.06.2026)</v>
      </c>
      <c r="BN1526" s="48"/>
      <c r="BO1526" s="48"/>
      <c r="BP1526" s="55"/>
      <c r="BQ1526" s="50" t="n">
        <v>16</v>
      </c>
      <c r="BR1526" s="50" t="n">
        <v>0</v>
      </c>
      <c r="BS1526" s="49" t="n">
        <v>0</v>
      </c>
      <c r="BT1526" s="50" t="n">
        <v>0</v>
      </c>
      <c r="BU1526" s="48" t="s">
        <v>2584</v>
      </c>
      <c r="BV1526" s="53" t="n">
        <v>0</v>
      </c>
      <c r="BW1526" s="53" t="n">
        <v>1526</v>
      </c>
      <c r="BX1526" s="48" t="str">
        <f aca="false">IF(U1526&lt;&gt;"",UPPER(TRIM(U1526)),IF(CA1526=1,UPPER(VLOOKUP(T1526,Parameter!$I$27:$K$29,2,0)),IF(P1526="","LOSE",P1526)))</f>
        <v>S51</v>
      </c>
      <c r="BY1526" s="50" t="n">
        <f aca="false">IF(BX1526="LOSE",1,IF(N(V1526)&gt;0,V1526,IF(CA1526=1,MAX(1,N(VLOOKUP(T1526,Parameter!$I$27:$K$29,3,0)),H1526,N(N1526)),IF(N(Q1526)&gt;0,Q1526,MAX(1,H1526)))))</f>
        <v>16</v>
      </c>
      <c r="BZ1526" s="53" t="n">
        <f aca="false">IF(BX1526="LOSE",1,0)</f>
        <v>0</v>
      </c>
      <c r="CA1526" s="53" t="n">
        <f aca="false">IF(AND(U1526="",OR(P1526="",P1526="LOSE"),T1526&lt;&gt;"",N(S1526)&lt;=0,ISNUMBER(MATCH(T1526,Parameter!$I$27:$I$29,0))),1,0)</f>
        <v>0</v>
      </c>
      <c r="CB1526" s="53" t="n">
        <f aca="false">IF(CQ1526&gt;0,INDEX(Parameter!$H$5:$H$7,W1526)/INDEX(Parameter!$E$5:$E$7,W1526),IF(AND(BZ1526=0,N(IFERROR(VLOOKUP(BX1526,'Gebinde-Kategorie'!$A$5:$N$45,14,0),0))&gt;0),VLOOKUP(BX1526,'Gebinde-Kategorie'!$A$5:$N$45,14,0)*10+Parameter!$M$23,Parameter!$M$24))</f>
        <v>155</v>
      </c>
      <c r="CC1526" s="48" t="str">
        <f aca="false">IF(AND(Parameter!$B$19="Ja",E1526&lt;&gt;"",ISNUMBER(MATCH(E1526,Parameter!$I$35:$I$52,0))),VLOOKUP(E1526,Parameter!$I$35:$J$52,2,0),IFERROR(VLOOKUP(D1526,Parameter!$A$35:$C$64,2,0),"Nein"))</f>
        <v>2+3</v>
      </c>
      <c r="CD1526" s="52" t="n">
        <f aca="false">IF(BZ1526=0,0,IF(N(S1526)&gt;0,S1526,IFERROR(VLOOKUP(D1526,Parameter!$A$35:$C$64,3,0)+0,0)))</f>
        <v>0</v>
      </c>
      <c r="CE1526" s="48" t="n">
        <f aca="false">IF(AA1526&lt;&gt;"",AA1526,Z1526)</f>
        <v>3</v>
      </c>
      <c r="CF1526" s="48" t="str">
        <f aca="false">IF(OR(CE1526=1,CE1526=2,CE1526=3),IF(Parameter!$E$27="Ja","LIFT",IF(CE1526=1,"L1","L23")),IF(CE1526="Aussen","Aussen","-"))</f>
        <v>LIFT</v>
      </c>
      <c r="CG1526" s="59" t="n">
        <f aca="false">IF(N(AB1526)&gt;0,AB1526,0)</f>
        <v>0</v>
      </c>
      <c r="CH1526" s="53" t="n">
        <f aca="false">IF(ISNUMBER(AE1526),1,0)</f>
        <v>0</v>
      </c>
      <c r="CI1526" s="50" t="n">
        <f aca="false">N(AE1526)</f>
        <v>0</v>
      </c>
      <c r="CJ1526" s="50" t="n">
        <f aca="false">N(M1526)+N(N1526)</f>
        <v>20</v>
      </c>
      <c r="CK1526" s="50" t="n">
        <f aca="false">N(M1526)</f>
        <v>0</v>
      </c>
      <c r="CL1526" s="50" t="n">
        <f aca="false">N(N1526)</f>
        <v>20</v>
      </c>
      <c r="CM1526" s="50" t="n">
        <f aca="false">ROUNDUP(H1526/BY1526,0)</f>
        <v>1</v>
      </c>
      <c r="CN1526" s="50" t="n">
        <f aca="false">ROUNDUP(CI1526/BY1526,0)</f>
        <v>0</v>
      </c>
      <c r="CO1526" s="53" t="n">
        <f aca="false">IF(BZ1526=1,0,IFERROR(VLOOKUP(BX1526,'Gebinde-Kategorie'!$A$5:$N$45,5,0)+0,0))</f>
        <v>11</v>
      </c>
      <c r="CP1526" s="53" t="n">
        <f aca="false">IFERROR(IF(OR(CE1526=1,CE1526=2,CE1526=3),N(INDEX(Parameter!$I$5:$I$7,CE1526)),0),0)</f>
        <v>0</v>
      </c>
      <c r="CQ1526" s="52" t="n">
        <f aca="false">IF(AND(Parameter!$B$21="Ja",ISNUMBER(W1526),N(X1526)&gt;0),IFERROR(N(INDEX(Parameter!$L$5:$L$7,W1526))*INDEX(Parameter!$E$5:$E$7,W1526)*X1526/SUMIFS($X$7:$X$1843,$W$7:$W$1843,W1526),0),0)</f>
        <v>0</v>
      </c>
    </row>
    <row r="1527" customFormat="false" ht="15" hidden="false" customHeight="false" outlineLevel="0" collapsed="false">
      <c r="A1527" s="48" t="s">
        <v>2679</v>
      </c>
      <c r="B1527" s="48" t="s">
        <v>323</v>
      </c>
      <c r="C1527" s="48" t="s">
        <v>176</v>
      </c>
      <c r="D1527" s="48" t="s">
        <v>182</v>
      </c>
      <c r="E1527" s="48" t="s">
        <v>194</v>
      </c>
      <c r="F1527" s="48"/>
      <c r="G1527" s="49" t="n">
        <v>1438</v>
      </c>
      <c r="H1527" s="50" t="n">
        <f aca="false">MAX(0,IF(AND(Parameter!$B$21="Ja",ISNUMBER(Y1527)),Y1527,IF(Parameter!$B$20="Jahresanfang 2025 + Export",BR1527+BQ1527,BQ1527)))</f>
        <v>2</v>
      </c>
      <c r="I1527" s="50" t="n">
        <f aca="false">H1527*G1527</f>
        <v>2876</v>
      </c>
      <c r="J1527" s="50" t="n">
        <f aca="false">BT1527*Parameter!$B$18</f>
        <v>0</v>
      </c>
      <c r="K1527" s="51"/>
      <c r="L1527" s="52"/>
      <c r="M1527" s="50" t="n">
        <v>0</v>
      </c>
      <c r="N1527" s="50" t="n">
        <v>1</v>
      </c>
      <c r="O1527" s="53" t="n">
        <v>35</v>
      </c>
      <c r="P1527" s="48" t="s">
        <v>242</v>
      </c>
      <c r="Q1527" s="50" t="n">
        <v>2</v>
      </c>
      <c r="R1527" s="53" t="n">
        <f aca="false">IF(BZ1527=1,0,IFERROR(VLOOKUP(BX1527,'Gebinde-Kategorie'!$A$5:$N$45,13,0)+0,0))</f>
        <v>26</v>
      </c>
      <c r="S1527" s="54"/>
      <c r="T1527" s="55"/>
      <c r="U1527" s="55"/>
      <c r="V1527" s="55"/>
      <c r="W1527" s="48"/>
      <c r="X1527" s="50"/>
      <c r="Y1527" s="50"/>
      <c r="Z1527" s="48" t="n">
        <f aca="false">IF(A1527="","",IF(AND(Parameter!$B$21="Ja",ISNUMBER(W1527)),W1527,IF(CC1527="2+3",IF(ISNUMBER(SEARCH("grosser Artikel",BU1527)),2,IFERROR(VLOOKUP(BX1527,Parameter!$F$35:$G$64,2,0),2)),IF(OR(CC1527="Nein",CC1527=""),"-",CC1527))))</f>
        <v>3</v>
      </c>
      <c r="AA1527" s="55"/>
      <c r="AB1527" s="56"/>
      <c r="AC1527" s="50" t="n">
        <f aca="false">AV1527</f>
        <v>1</v>
      </c>
      <c r="AD1527" s="50" t="n">
        <f aca="false">MAX(AV1527,H1527)</f>
        <v>2</v>
      </c>
      <c r="AE1527" s="57"/>
      <c r="AF1527" s="50" t="n">
        <f aca="false">IF(LEFT(Cockpit!$C$5,1)="A",H1527,IF(Parameter!$E$30="MAX-Bestand",IF(CH1527=1,CI1527,IF(LEFT(Cockpit!$C$5,1)="B",AL1527,MAX(AL1527,H1527))),ROUNDUP(AJ1527,0)))</f>
        <v>2</v>
      </c>
      <c r="AG1527" s="50" t="n">
        <f aca="false">IF(BZ1527=1,0,ROUNDUP(AF1527/BY1527,0))</f>
        <v>1</v>
      </c>
      <c r="AH1527" s="52" t="n">
        <f aca="false">IF(CQ1527&gt;0,CQ1527*MAX(1,AF1527/X1527),IF(BZ1527=1,IF(AF1527&lt;=0,0,CD1527*MAX(1,IF(H1527&gt;0,AF1527/H1527,1))),IF(R1527&gt;0,AG1527/R1527,0))/MAX(0.1,N(Parameter!$M$21)))</f>
        <v>0.0384615384615385</v>
      </c>
      <c r="AI1527" s="50" t="n">
        <f aca="false">AH1527*CB1527</f>
        <v>9.42307692307692</v>
      </c>
      <c r="AJ1527" s="51" t="n">
        <f aca="false">IF(LEFT(Cockpit!$C$5,1)="A",H1527,IF(CH1527=1,(CK1527+CI1527)/2,IF(LEFT(Cockpit!$C$5,1)="B",(CK1527+AL1527)/2,MAX((CK1527+AL1527)/2,H1527))))</f>
        <v>2</v>
      </c>
      <c r="AK1527" s="50" t="n">
        <f aca="false">AJ1527*G1527</f>
        <v>2876</v>
      </c>
      <c r="AL1527" s="50" t="n">
        <f aca="false">ROUNDUP(CK1527+MAX(CL1527,2*(J1527/IF(CG1527&gt;0,CG1527,MAX(0.1,N(Cockpit!$C$6)))-CK1527)),0)</f>
        <v>1</v>
      </c>
      <c r="AM1527" s="51" t="n">
        <f aca="false">IF(AI1527&gt;0,J1527/AI1527,-1)</f>
        <v>0</v>
      </c>
      <c r="AN1527" s="51" t="n">
        <f aca="false">IF(AND(OR(CF1527="L1",CF1527="L23",CF1527="LIFT"),AI1527&gt;0),SUMIFS($AI$7:$AI$1843,$CF$7:$CF$1843,CF1527,$AM$7:$AM$1843,"&gt;"&amp;AM1527)+SUMIFS($AI$7:$AI$1843,$CF$7:$CF$1843,CF1527,$AM$7:$AM$1843,AM1527,$BW$7:$BW$1843,"&lt;="&amp;BW1527),"")</f>
        <v>30055.2732067838</v>
      </c>
      <c r="AO1527" s="58" t="n">
        <f aca="false">IF(AN1527="",0,MAX(0,MIN(1,(IF(CF1527="L1",Parameter!$H$5,IF(CF1527="L23",Parameter!$H$6+Parameter!$H$7,Parameter!$H$5+Parameter!$H$6+Parameter!$H$7))-(AN1527-AI1527))/AI1527)))</f>
        <v>1</v>
      </c>
      <c r="AP1527" s="50" t="n">
        <f aca="false">IF(LEFT(Cockpit!$I$5,1)="A",H1527,IF(Parameter!$E$30="MAX-Bestand",IF(CH1527=1,CI1527,IF(LEFT(Cockpit!$I$5,1)="B",AV1527,MAX(AV1527,H1527))),ROUNDUP(AT1527,0)))</f>
        <v>2</v>
      </c>
      <c r="AQ1527" s="50" t="n">
        <f aca="false">IF(BZ1527=1,0,ROUNDUP(AP1527/BY1527,0))</f>
        <v>1</v>
      </c>
      <c r="AR1527" s="52" t="n">
        <f aca="false">IF(CQ1527&gt;0,CQ1527*MAX(1,AP1527/X1527),IF(BZ1527=1,IF(AP1527&lt;=0,0,CD1527*MAX(1,IF(H1527&gt;0,AP1527/H1527,1))),IF(R1527&gt;0,AQ1527/R1527,0))/MAX(0.1,N(Parameter!$M$21)))</f>
        <v>0.0384615384615385</v>
      </c>
      <c r="AS1527" s="50" t="n">
        <f aca="false">AR1527*CB1527</f>
        <v>9.42307692307692</v>
      </c>
      <c r="AT1527" s="51" t="n">
        <f aca="false">IF(LEFT(Cockpit!$I$5,1)="A",H1527,IF(CH1527=1,(CK1527+CI1527)/2,IF(LEFT(Cockpit!$I$5,1)="B",(CK1527+AV1527)/2,MAX((CK1527+AV1527)/2,H1527))))</f>
        <v>2</v>
      </c>
      <c r="AU1527" s="50" t="n">
        <f aca="false">AT1527*G1527</f>
        <v>2876</v>
      </c>
      <c r="AV1527" s="50" t="n">
        <f aca="false">ROUNDUP(CK1527+MAX(CL1527,2*(J1527/IF(CG1527&gt;0,CG1527,MAX(0.1,N(Cockpit!$I$6)))-CK1527)),0)</f>
        <v>1</v>
      </c>
      <c r="AW1527" s="51" t="n">
        <f aca="false">IF(AS1527&gt;0,J1527/AS1527,-1)</f>
        <v>0</v>
      </c>
      <c r="AX1527" s="51" t="n">
        <f aca="false">IF(AND(OR(CF1527="L1",CF1527="L23",CF1527="LIFT"),AS1527&gt;0),SUMIFS($AS$7:$AS$1843,$CF$7:$CF$1843,CF1527,$AW$7:$AW$1843,"&gt;"&amp;AW1527)+SUMIFS($AS$7:$AS$1843,$CF$7:$CF$1843,CF1527,$AW$7:$AW$1843,AW1527,$BW$7:$BW$1843,"&lt;="&amp;BW1527),"")</f>
        <v>36375.1297236191</v>
      </c>
      <c r="AY1527" s="58" t="n">
        <f aca="false">IF(AX1527="",0,MAX(0,MIN(1,(IF(CF1527="L1",Parameter!$H$5,IF(CF1527="L23",Parameter!$H$6+Parameter!$H$7,Parameter!$H$5+Parameter!$H$6+Parameter!$H$7))-(AX1527-AS1527))/AS1527)))</f>
        <v>0</v>
      </c>
      <c r="AZ1527" s="50" t="n">
        <f aca="false">IF(LEFT(Cockpit!$O$5,1)="A",H1527,IF(Parameter!$E$30="MAX-Bestand",IF(CH1527=1,CI1527,IF(LEFT(Cockpit!$O$5,1)="B",BF1527,MAX(BF1527,H1527))),ROUNDUP(BD1527,0)))</f>
        <v>1</v>
      </c>
      <c r="BA1527" s="50" t="n">
        <f aca="false">IF(BZ1527=1,0,ROUNDUP(AZ1527/BY1527,0))</f>
        <v>1</v>
      </c>
      <c r="BB1527" s="52" t="n">
        <f aca="false">IF(CQ1527&gt;0,CQ1527*MAX(1,AZ1527/X1527),IF(BZ1527=1,IF(AZ1527&lt;=0,0,CD1527*MAX(1,IF(H1527&gt;0,AZ1527/H1527,1))),IF(R1527&gt;0,BA1527/R1527,0))/MAX(0.1,N(Parameter!$M$21)))</f>
        <v>0.0384615384615385</v>
      </c>
      <c r="BC1527" s="50" t="n">
        <f aca="false">BB1527*CB1527</f>
        <v>9.42307692307692</v>
      </c>
      <c r="BD1527" s="51" t="n">
        <f aca="false">IF(LEFT(Cockpit!$O$5,1)="A",H1527,IF(CH1527=1,(CK1527+CI1527)/2,IF(LEFT(Cockpit!$O$5,1)="B",(CK1527+BF1527)/2,MAX((CK1527+BF1527)/2,H1527))))</f>
        <v>0.5</v>
      </c>
      <c r="BE1527" s="50" t="n">
        <f aca="false">BD1527*G1527</f>
        <v>719</v>
      </c>
      <c r="BF1527" s="50" t="n">
        <f aca="false">ROUNDUP(CK1527+MAX(CL1527,2*(J1527/IF(CG1527&gt;0,CG1527,MAX(0.1,N(Cockpit!$O$6)))-CK1527)),0)</f>
        <v>1</v>
      </c>
      <c r="BG1527" s="51" t="n">
        <f aca="false">IF(BC1527&gt;0,J1527/BC1527,-1)</f>
        <v>0</v>
      </c>
      <c r="BH1527" s="51" t="n">
        <f aca="false">IF(AND(OR(CF1527="L1",CF1527="L23",CF1527="LIFT"),BC1527&gt;0),SUMIFS($BC$7:$BC$1843,$CF$7:$CF$1843,CF1527,$BG$7:$BG$1843,"&gt;"&amp;BG1527)+SUMIFS($BC$7:$BC$1843,$CF$7:$CF$1843,CF1527,$BG$7:$BG$1843,BG1527,$BW$7:$BW$1843,"&lt;="&amp;BW1527),"")</f>
        <v>30313.3209991515</v>
      </c>
      <c r="BI1527" s="58" t="n">
        <f aca="false">IF(BH1527="",0,MAX(0,MIN(1,(IF(CF1527="L1",Parameter!$H$5,IF(CF1527="L23",Parameter!$H$6+Parameter!$H$7,Parameter!$H$5+Parameter!$H$6+Parameter!$H$7))-(BH1527-BC1527))/BC1527)))</f>
        <v>1</v>
      </c>
      <c r="BJ1527" s="48" t="str">
        <f aca="false">IF(AI1527&lt;=0,"",IF(CF1527="Aussen","Aussenlager",IF(CF1527="-","Nicht im Lift",IF(AO1527&gt;=1,"Lift",IF(AO1527&lt;=0,"Aussenlager","teilweise")))))</f>
        <v>Lift</v>
      </c>
      <c r="BK1527" s="48" t="str">
        <f aca="false">IF(AS1527&lt;=0,"",IF(CF1527="Aussen","Aussenlager",IF(CF1527="-","Nicht im Lift",IF(AY1527&gt;=1,"Lift",IF(AY1527&lt;=0,"Aussenlager","teilweise")))))</f>
        <v>Aussenlager</v>
      </c>
      <c r="BL1527" s="48" t="str">
        <f aca="false">IF(BC1527&lt;=0,"",IF(CF1527="Aussen","Aussenlager",IF(CF1527="-","Nicht im Lift",IF(BI1527&gt;=1,"Lift",IF(BI1527&lt;=0,"Aussenlager","teilweise")))))</f>
        <v>Lift</v>
      </c>
      <c r="BM1527" s="48" t="str">
        <f aca="false">IF(A1527="","",IF(BV1527=1,"Neu; ","")&amp;IF(AND(BV1527=0,BQ1527&lt;0),"negativer Bestand (Export "&amp;BQ1527&amp;"); ","")&amp;IF(J1527&lt;=0,"Kein Verbrauch; ","")&amp;IF(CQ1527&gt;0,"Lift "&amp;W1527&amp;" lt. Liftbericht (Fach "&amp;X1527&amp;" Stk); ",IF(CA1527=1,"Gebinde geschätzt ("&amp;T1527&amp;"); ",IF(BZ1527=1,"Lose – Tablare geschätzt; ","")))&amp;IF(H1527&gt;AV1527,"Überbestand "&amp;ROUND(H1527-AV1527,0)&amp;" Stk / CHF "&amp;ROUND((H1527-AV1527)*G1527,0)&amp;"; ","")&amp;IF(AND(CH1527=1,CI1527&lt;CJ1527),"MAX &lt; MB+LG; ","")&amp;IF(AND(CP1527&gt;0,CO1527*10&gt;CP1527),"zu hoch für Tablar; ","")&amp;IF(AND(BV1527=0,OR(CH1527=1,AA1527&lt;&gt;"",U1527&lt;&gt;"",V1527&lt;&gt;"",AB1527&lt;&gt;"")),"manuell übersteuert; ","")&amp;IF(AND(BZ1527=0,R1527=0),"Gebinde unbekannt / Stellmass fehlt; ","")&amp;IF(AND(BZ1527=0,N(V1527)&lt;=0,N(Q1527)&lt;=0),"Menge pro Gebinde fehlt (Ist = 1 Gebinde); ","")&amp;BU1527)</f>
        <v>Kein Verbrauch; Überbestand 1 Stk / CHF 1438; nur im Artikelstamm (Bestand 23.06.2026)</v>
      </c>
      <c r="BN1527" s="48"/>
      <c r="BO1527" s="48"/>
      <c r="BP1527" s="55"/>
      <c r="BQ1527" s="50" t="n">
        <v>2</v>
      </c>
      <c r="BR1527" s="50" t="n">
        <v>0</v>
      </c>
      <c r="BS1527" s="49" t="n">
        <v>0</v>
      </c>
      <c r="BT1527" s="50" t="n">
        <v>0</v>
      </c>
      <c r="BU1527" s="48" t="s">
        <v>2584</v>
      </c>
      <c r="BV1527" s="53" t="n">
        <v>0</v>
      </c>
      <c r="BW1527" s="53" t="n">
        <v>1527</v>
      </c>
      <c r="BX1527" s="48" t="str">
        <f aca="false">IF(U1527&lt;&gt;"",UPPER(TRIM(U1527)),IF(CA1527=1,UPPER(VLOOKUP(T1527,Parameter!$I$27:$K$29,2,0)),IF(P1527="","LOSE",P1527)))</f>
        <v>S52</v>
      </c>
      <c r="BY1527" s="50" t="n">
        <f aca="false">IF(BX1527="LOSE",1,IF(N(V1527)&gt;0,V1527,IF(CA1527=1,MAX(1,N(VLOOKUP(T1527,Parameter!$I$27:$K$29,3,0)),H1527,N(N1527)),IF(N(Q1527)&gt;0,Q1527,MAX(1,H1527)))))</f>
        <v>2</v>
      </c>
      <c r="BZ1527" s="53" t="n">
        <f aca="false">IF(BX1527="LOSE",1,0)</f>
        <v>0</v>
      </c>
      <c r="CA1527" s="53" t="n">
        <f aca="false">IF(AND(U1527="",OR(P1527="",P1527="LOSE"),T1527&lt;&gt;"",N(S1527)&lt;=0,ISNUMBER(MATCH(T1527,Parameter!$I$27:$I$29,0))),1,0)</f>
        <v>0</v>
      </c>
      <c r="CB1527" s="53" t="n">
        <f aca="false">IF(CQ1527&gt;0,INDEX(Parameter!$H$5:$H$7,W1527)/INDEX(Parameter!$E$5:$E$7,W1527),IF(AND(BZ1527=0,N(IFERROR(VLOOKUP(BX1527,'Gebinde-Kategorie'!$A$5:$N$45,14,0),0))&gt;0),VLOOKUP(BX1527,'Gebinde-Kategorie'!$A$5:$N$45,14,0)*10+Parameter!$M$23,Parameter!$M$24))</f>
        <v>245</v>
      </c>
      <c r="CC1527" s="48" t="str">
        <f aca="false">IF(AND(Parameter!$B$19="Ja",E1527&lt;&gt;"",ISNUMBER(MATCH(E1527,Parameter!$I$35:$I$52,0))),VLOOKUP(E1527,Parameter!$I$35:$J$52,2,0),IFERROR(VLOOKUP(D1527,Parameter!$A$35:$C$64,2,0),"Nein"))</f>
        <v>2+3</v>
      </c>
      <c r="CD1527" s="52" t="n">
        <f aca="false">IF(BZ1527=0,0,IF(N(S1527)&gt;0,S1527,IFERROR(VLOOKUP(D1527,Parameter!$A$35:$C$64,3,0)+0,0)))</f>
        <v>0</v>
      </c>
      <c r="CE1527" s="48" t="n">
        <f aca="false">IF(AA1527&lt;&gt;"",AA1527,Z1527)</f>
        <v>3</v>
      </c>
      <c r="CF1527" s="48" t="str">
        <f aca="false">IF(OR(CE1527=1,CE1527=2,CE1527=3),IF(Parameter!$E$27="Ja","LIFT",IF(CE1527=1,"L1","L23")),IF(CE1527="Aussen","Aussen","-"))</f>
        <v>LIFT</v>
      </c>
      <c r="CG1527" s="59" t="n">
        <f aca="false">IF(N(AB1527)&gt;0,AB1527,0)</f>
        <v>0</v>
      </c>
      <c r="CH1527" s="53" t="n">
        <f aca="false">IF(ISNUMBER(AE1527),1,0)</f>
        <v>0</v>
      </c>
      <c r="CI1527" s="50" t="n">
        <f aca="false">N(AE1527)</f>
        <v>0</v>
      </c>
      <c r="CJ1527" s="50" t="n">
        <f aca="false">N(M1527)+N(N1527)</f>
        <v>1</v>
      </c>
      <c r="CK1527" s="50" t="n">
        <f aca="false">N(M1527)</f>
        <v>0</v>
      </c>
      <c r="CL1527" s="50" t="n">
        <f aca="false">N(N1527)</f>
        <v>1</v>
      </c>
      <c r="CM1527" s="50" t="n">
        <f aca="false">ROUNDUP(H1527/BY1527,0)</f>
        <v>1</v>
      </c>
      <c r="CN1527" s="50" t="n">
        <f aca="false">ROUNDUP(CI1527/BY1527,0)</f>
        <v>0</v>
      </c>
      <c r="CO1527" s="53" t="n">
        <f aca="false">IF(BZ1527=1,0,IFERROR(VLOOKUP(BX1527,'Gebinde-Kategorie'!$A$5:$N$45,5,0)+0,0))</f>
        <v>21</v>
      </c>
      <c r="CP1527" s="53" t="n">
        <f aca="false">IFERROR(IF(OR(CE1527=1,CE1527=2,CE1527=3),N(INDEX(Parameter!$I$5:$I$7,CE1527)),0),0)</f>
        <v>0</v>
      </c>
      <c r="CQ1527" s="52" t="n">
        <f aca="false">IF(AND(Parameter!$B$21="Ja",ISNUMBER(W1527),N(X1527)&gt;0),IFERROR(N(INDEX(Parameter!$L$5:$L$7,W1527))*INDEX(Parameter!$E$5:$E$7,W1527)*X1527/SUMIFS($X$7:$X$1843,$W$7:$W$1843,W1527),0),0)</f>
        <v>0</v>
      </c>
    </row>
    <row r="1528" customFormat="false" ht="15" hidden="false" customHeight="false" outlineLevel="0" collapsed="false">
      <c r="A1528" s="48" t="s">
        <v>2680</v>
      </c>
      <c r="B1528" s="48" t="s">
        <v>2672</v>
      </c>
      <c r="C1528" s="48" t="s">
        <v>176</v>
      </c>
      <c r="D1528" s="48" t="s">
        <v>182</v>
      </c>
      <c r="E1528" s="48" t="s">
        <v>194</v>
      </c>
      <c r="F1528" s="48"/>
      <c r="G1528" s="49" t="n">
        <v>1438</v>
      </c>
      <c r="H1528" s="50" t="n">
        <f aca="false">MAX(0,IF(AND(Parameter!$B$21="Ja",ISNUMBER(Y1528)),Y1528,IF(Parameter!$B$20="Jahresanfang 2025 + Export",BR1528+BQ1528,BQ1528)))</f>
        <v>2</v>
      </c>
      <c r="I1528" s="50" t="n">
        <f aca="false">H1528*G1528</f>
        <v>2876</v>
      </c>
      <c r="J1528" s="50" t="n">
        <f aca="false">BT1528*Parameter!$B$18</f>
        <v>0</v>
      </c>
      <c r="K1528" s="51"/>
      <c r="L1528" s="52"/>
      <c r="M1528" s="50" t="n">
        <v>0</v>
      </c>
      <c r="N1528" s="50" t="n">
        <v>1</v>
      </c>
      <c r="O1528" s="53" t="n">
        <v>35</v>
      </c>
      <c r="P1528" s="48" t="s">
        <v>242</v>
      </c>
      <c r="Q1528" s="50" t="n">
        <v>2</v>
      </c>
      <c r="R1528" s="53" t="n">
        <f aca="false">IF(BZ1528=1,0,IFERROR(VLOOKUP(BX1528,'Gebinde-Kategorie'!$A$5:$N$45,13,0)+0,0))</f>
        <v>26</v>
      </c>
      <c r="S1528" s="54"/>
      <c r="T1528" s="55"/>
      <c r="U1528" s="55"/>
      <c r="V1528" s="55"/>
      <c r="W1528" s="48"/>
      <c r="X1528" s="50"/>
      <c r="Y1528" s="50"/>
      <c r="Z1528" s="48" t="n">
        <f aca="false">IF(A1528="","",IF(AND(Parameter!$B$21="Ja",ISNUMBER(W1528)),W1528,IF(CC1528="2+3",IF(ISNUMBER(SEARCH("grosser Artikel",BU1528)),2,IFERROR(VLOOKUP(BX1528,Parameter!$F$35:$G$64,2,0),2)),IF(OR(CC1528="Nein",CC1528=""),"-",CC1528))))</f>
        <v>3</v>
      </c>
      <c r="AA1528" s="55"/>
      <c r="AB1528" s="56"/>
      <c r="AC1528" s="50" t="n">
        <f aca="false">AV1528</f>
        <v>1</v>
      </c>
      <c r="AD1528" s="50" t="n">
        <f aca="false">MAX(AV1528,H1528)</f>
        <v>2</v>
      </c>
      <c r="AE1528" s="57"/>
      <c r="AF1528" s="50" t="n">
        <f aca="false">IF(LEFT(Cockpit!$C$5,1)="A",H1528,IF(Parameter!$E$30="MAX-Bestand",IF(CH1528=1,CI1528,IF(LEFT(Cockpit!$C$5,1)="B",AL1528,MAX(AL1528,H1528))),ROUNDUP(AJ1528,0)))</f>
        <v>2</v>
      </c>
      <c r="AG1528" s="50" t="n">
        <f aca="false">IF(BZ1528=1,0,ROUNDUP(AF1528/BY1528,0))</f>
        <v>1</v>
      </c>
      <c r="AH1528" s="52" t="n">
        <f aca="false">IF(CQ1528&gt;0,CQ1528*MAX(1,AF1528/X1528),IF(BZ1528=1,IF(AF1528&lt;=0,0,CD1528*MAX(1,IF(H1528&gt;0,AF1528/H1528,1))),IF(R1528&gt;0,AG1528/R1528,0))/MAX(0.1,N(Parameter!$M$21)))</f>
        <v>0.0384615384615385</v>
      </c>
      <c r="AI1528" s="50" t="n">
        <f aca="false">AH1528*CB1528</f>
        <v>9.42307692307692</v>
      </c>
      <c r="AJ1528" s="51" t="n">
        <f aca="false">IF(LEFT(Cockpit!$C$5,1)="A",H1528,IF(CH1528=1,(CK1528+CI1528)/2,IF(LEFT(Cockpit!$C$5,1)="B",(CK1528+AL1528)/2,MAX((CK1528+AL1528)/2,H1528))))</f>
        <v>2</v>
      </c>
      <c r="AK1528" s="50" t="n">
        <f aca="false">AJ1528*G1528</f>
        <v>2876</v>
      </c>
      <c r="AL1528" s="50" t="n">
        <f aca="false">ROUNDUP(CK1528+MAX(CL1528,2*(J1528/IF(CG1528&gt;0,CG1528,MAX(0.1,N(Cockpit!$C$6)))-CK1528)),0)</f>
        <v>1</v>
      </c>
      <c r="AM1528" s="51" t="n">
        <f aca="false">IF(AI1528&gt;0,J1528/AI1528,-1)</f>
        <v>0</v>
      </c>
      <c r="AN1528" s="51" t="n">
        <f aca="false">IF(AND(OR(CF1528="L1",CF1528="L23",CF1528="LIFT"),AI1528&gt;0),SUMIFS($AI$7:$AI$1843,$CF$7:$CF$1843,CF1528,$AM$7:$AM$1843,"&gt;"&amp;AM1528)+SUMIFS($AI$7:$AI$1843,$CF$7:$CF$1843,CF1528,$AM$7:$AM$1843,AM1528,$BW$7:$BW$1843,"&lt;="&amp;BW1528),"")</f>
        <v>30064.6962837069</v>
      </c>
      <c r="AO1528" s="58" t="n">
        <f aca="false">IF(AN1528="",0,MAX(0,MIN(1,(IF(CF1528="L1",Parameter!$H$5,IF(CF1528="L23",Parameter!$H$6+Parameter!$H$7,Parameter!$H$5+Parameter!$H$6+Parameter!$H$7))-(AN1528-AI1528))/AI1528)))</f>
        <v>1</v>
      </c>
      <c r="AP1528" s="50" t="n">
        <f aca="false">IF(LEFT(Cockpit!$I$5,1)="A",H1528,IF(Parameter!$E$30="MAX-Bestand",IF(CH1528=1,CI1528,IF(LEFT(Cockpit!$I$5,1)="B",AV1528,MAX(AV1528,H1528))),ROUNDUP(AT1528,0)))</f>
        <v>2</v>
      </c>
      <c r="AQ1528" s="50" t="n">
        <f aca="false">IF(BZ1528=1,0,ROUNDUP(AP1528/BY1528,0))</f>
        <v>1</v>
      </c>
      <c r="AR1528" s="52" t="n">
        <f aca="false">IF(CQ1528&gt;0,CQ1528*MAX(1,AP1528/X1528),IF(BZ1528=1,IF(AP1528&lt;=0,0,CD1528*MAX(1,IF(H1528&gt;0,AP1528/H1528,1))),IF(R1528&gt;0,AQ1528/R1528,0))/MAX(0.1,N(Parameter!$M$21)))</f>
        <v>0.0384615384615385</v>
      </c>
      <c r="AS1528" s="50" t="n">
        <f aca="false">AR1528*CB1528</f>
        <v>9.42307692307692</v>
      </c>
      <c r="AT1528" s="51" t="n">
        <f aca="false">IF(LEFT(Cockpit!$I$5,1)="A",H1528,IF(CH1528=1,(CK1528+CI1528)/2,IF(LEFT(Cockpit!$I$5,1)="B",(CK1528+AV1528)/2,MAX((CK1528+AV1528)/2,H1528))))</f>
        <v>2</v>
      </c>
      <c r="AU1528" s="50" t="n">
        <f aca="false">AT1528*G1528</f>
        <v>2876</v>
      </c>
      <c r="AV1528" s="50" t="n">
        <f aca="false">ROUNDUP(CK1528+MAX(CL1528,2*(J1528/IF(CG1528&gt;0,CG1528,MAX(0.1,N(Cockpit!$I$6)))-CK1528)),0)</f>
        <v>1</v>
      </c>
      <c r="AW1528" s="51" t="n">
        <f aca="false">IF(AS1528&gt;0,J1528/AS1528,-1)</f>
        <v>0</v>
      </c>
      <c r="AX1528" s="51" t="n">
        <f aca="false">IF(AND(OR(CF1528="L1",CF1528="L23",CF1528="LIFT"),AS1528&gt;0),SUMIFS($AS$7:$AS$1843,$CF$7:$CF$1843,CF1528,$AW$7:$AW$1843,"&gt;"&amp;AW1528)+SUMIFS($AS$7:$AS$1843,$CF$7:$CF$1843,CF1528,$AW$7:$AW$1843,AW1528,$BW$7:$BW$1843,"&lt;="&amp;BW1528),"")</f>
        <v>36384.5528005422</v>
      </c>
      <c r="AY1528" s="58" t="n">
        <f aca="false">IF(AX1528="",0,MAX(0,MIN(1,(IF(CF1528="L1",Parameter!$H$5,IF(CF1528="L23",Parameter!$H$6+Parameter!$H$7,Parameter!$H$5+Parameter!$H$6+Parameter!$H$7))-(AX1528-AS1528))/AS1528)))</f>
        <v>0</v>
      </c>
      <c r="AZ1528" s="50" t="n">
        <f aca="false">IF(LEFT(Cockpit!$O$5,1)="A",H1528,IF(Parameter!$E$30="MAX-Bestand",IF(CH1528=1,CI1528,IF(LEFT(Cockpit!$O$5,1)="B",BF1528,MAX(BF1528,H1528))),ROUNDUP(BD1528,0)))</f>
        <v>1</v>
      </c>
      <c r="BA1528" s="50" t="n">
        <f aca="false">IF(BZ1528=1,0,ROUNDUP(AZ1528/BY1528,0))</f>
        <v>1</v>
      </c>
      <c r="BB1528" s="52" t="n">
        <f aca="false">IF(CQ1528&gt;0,CQ1528*MAX(1,AZ1528/X1528),IF(BZ1528=1,IF(AZ1528&lt;=0,0,CD1528*MAX(1,IF(H1528&gt;0,AZ1528/H1528,1))),IF(R1528&gt;0,BA1528/R1528,0))/MAX(0.1,N(Parameter!$M$21)))</f>
        <v>0.0384615384615385</v>
      </c>
      <c r="BC1528" s="50" t="n">
        <f aca="false">BB1528*CB1528</f>
        <v>9.42307692307692</v>
      </c>
      <c r="BD1528" s="51" t="n">
        <f aca="false">IF(LEFT(Cockpit!$O$5,1)="A",H1528,IF(CH1528=1,(CK1528+CI1528)/2,IF(LEFT(Cockpit!$O$5,1)="B",(CK1528+BF1528)/2,MAX((CK1528+BF1528)/2,H1528))))</f>
        <v>0.5</v>
      </c>
      <c r="BE1528" s="50" t="n">
        <f aca="false">BD1528*G1528</f>
        <v>719</v>
      </c>
      <c r="BF1528" s="50" t="n">
        <f aca="false">ROUNDUP(CK1528+MAX(CL1528,2*(J1528/IF(CG1528&gt;0,CG1528,MAX(0.1,N(Cockpit!$O$6)))-CK1528)),0)</f>
        <v>1</v>
      </c>
      <c r="BG1528" s="51" t="n">
        <f aca="false">IF(BC1528&gt;0,J1528/BC1528,-1)</f>
        <v>0</v>
      </c>
      <c r="BH1528" s="51" t="n">
        <f aca="false">IF(AND(OR(CF1528="L1",CF1528="L23",CF1528="LIFT"),BC1528&gt;0),SUMIFS($BC$7:$BC$1843,$CF$7:$CF$1843,CF1528,$BG$7:$BG$1843,"&gt;"&amp;BG1528)+SUMIFS($BC$7:$BC$1843,$CF$7:$CF$1843,CF1528,$BG$7:$BG$1843,BG1528,$BW$7:$BW$1843,"&lt;="&amp;BW1528),"")</f>
        <v>30322.7440760746</v>
      </c>
      <c r="BI1528" s="58" t="n">
        <f aca="false">IF(BH1528="",0,MAX(0,MIN(1,(IF(CF1528="L1",Parameter!$H$5,IF(CF1528="L23",Parameter!$H$6+Parameter!$H$7,Parameter!$H$5+Parameter!$H$6+Parameter!$H$7))-(BH1528-BC1528))/BC1528)))</f>
        <v>1</v>
      </c>
      <c r="BJ1528" s="48" t="str">
        <f aca="false">IF(AI1528&lt;=0,"",IF(CF1528="Aussen","Aussenlager",IF(CF1528="-","Nicht im Lift",IF(AO1528&gt;=1,"Lift",IF(AO1528&lt;=0,"Aussenlager","teilweise")))))</f>
        <v>Lift</v>
      </c>
      <c r="BK1528" s="48" t="str">
        <f aca="false">IF(AS1528&lt;=0,"",IF(CF1528="Aussen","Aussenlager",IF(CF1528="-","Nicht im Lift",IF(AY1528&gt;=1,"Lift",IF(AY1528&lt;=0,"Aussenlager","teilweise")))))</f>
        <v>Aussenlager</v>
      </c>
      <c r="BL1528" s="48" t="str">
        <f aca="false">IF(BC1528&lt;=0,"",IF(CF1528="Aussen","Aussenlager",IF(CF1528="-","Nicht im Lift",IF(BI1528&gt;=1,"Lift",IF(BI1528&lt;=0,"Aussenlager","teilweise")))))</f>
        <v>Lift</v>
      </c>
      <c r="BM1528" s="48" t="str">
        <f aca="false">IF(A1528="","",IF(BV1528=1,"Neu; ","")&amp;IF(AND(BV1528=0,BQ1528&lt;0),"negativer Bestand (Export "&amp;BQ1528&amp;"); ","")&amp;IF(J1528&lt;=0,"Kein Verbrauch; ","")&amp;IF(CQ1528&gt;0,"Lift "&amp;W1528&amp;" lt. Liftbericht (Fach "&amp;X1528&amp;" Stk); ",IF(CA1528=1,"Gebinde geschätzt ("&amp;T1528&amp;"); ",IF(BZ1528=1,"Lose – Tablare geschätzt; ","")))&amp;IF(H1528&gt;AV1528,"Überbestand "&amp;ROUND(H1528-AV1528,0)&amp;" Stk / CHF "&amp;ROUND((H1528-AV1528)*G1528,0)&amp;"; ","")&amp;IF(AND(CH1528=1,CI1528&lt;CJ1528),"MAX &lt; MB+LG; ","")&amp;IF(AND(CP1528&gt;0,CO1528*10&gt;CP1528),"zu hoch für Tablar; ","")&amp;IF(AND(BV1528=0,OR(CH1528=1,AA1528&lt;&gt;"",U1528&lt;&gt;"",V1528&lt;&gt;"",AB1528&lt;&gt;"")),"manuell übersteuert; ","")&amp;IF(AND(BZ1528=0,R1528=0),"Gebinde unbekannt / Stellmass fehlt; ","")&amp;IF(AND(BZ1528=0,N(V1528)&lt;=0,N(Q1528)&lt;=0),"Menge pro Gebinde fehlt (Ist = 1 Gebinde); ","")&amp;BU1528)</f>
        <v>Kein Verbrauch; Überbestand 1 Stk / CHF 1438; nur im Artikelstamm (Bestand 23.06.2026)</v>
      </c>
      <c r="BN1528" s="48"/>
      <c r="BO1528" s="48"/>
      <c r="BP1528" s="55"/>
      <c r="BQ1528" s="50" t="n">
        <v>2</v>
      </c>
      <c r="BR1528" s="50" t="n">
        <v>0</v>
      </c>
      <c r="BS1528" s="49" t="n">
        <v>0</v>
      </c>
      <c r="BT1528" s="50" t="n">
        <v>0</v>
      </c>
      <c r="BU1528" s="48" t="s">
        <v>2584</v>
      </c>
      <c r="BV1528" s="53" t="n">
        <v>0</v>
      </c>
      <c r="BW1528" s="53" t="n">
        <v>1528</v>
      </c>
      <c r="BX1528" s="48" t="str">
        <f aca="false">IF(U1528&lt;&gt;"",UPPER(TRIM(U1528)),IF(CA1528=1,UPPER(VLOOKUP(T1528,Parameter!$I$27:$K$29,2,0)),IF(P1528="","LOSE",P1528)))</f>
        <v>S52</v>
      </c>
      <c r="BY1528" s="50" t="n">
        <f aca="false">IF(BX1528="LOSE",1,IF(N(V1528)&gt;0,V1528,IF(CA1528=1,MAX(1,N(VLOOKUP(T1528,Parameter!$I$27:$K$29,3,0)),H1528,N(N1528)),IF(N(Q1528)&gt;0,Q1528,MAX(1,H1528)))))</f>
        <v>2</v>
      </c>
      <c r="BZ1528" s="53" t="n">
        <f aca="false">IF(BX1528="LOSE",1,0)</f>
        <v>0</v>
      </c>
      <c r="CA1528" s="53" t="n">
        <f aca="false">IF(AND(U1528="",OR(P1528="",P1528="LOSE"),T1528&lt;&gt;"",N(S1528)&lt;=0,ISNUMBER(MATCH(T1528,Parameter!$I$27:$I$29,0))),1,0)</f>
        <v>0</v>
      </c>
      <c r="CB1528" s="53" t="n">
        <f aca="false">IF(CQ1528&gt;0,INDEX(Parameter!$H$5:$H$7,W1528)/INDEX(Parameter!$E$5:$E$7,W1528),IF(AND(BZ1528=0,N(IFERROR(VLOOKUP(BX1528,'Gebinde-Kategorie'!$A$5:$N$45,14,0),0))&gt;0),VLOOKUP(BX1528,'Gebinde-Kategorie'!$A$5:$N$45,14,0)*10+Parameter!$M$23,Parameter!$M$24))</f>
        <v>245</v>
      </c>
      <c r="CC1528" s="48" t="str">
        <f aca="false">IF(AND(Parameter!$B$19="Ja",E1528&lt;&gt;"",ISNUMBER(MATCH(E1528,Parameter!$I$35:$I$52,0))),VLOOKUP(E1528,Parameter!$I$35:$J$52,2,0),IFERROR(VLOOKUP(D1528,Parameter!$A$35:$C$64,2,0),"Nein"))</f>
        <v>2+3</v>
      </c>
      <c r="CD1528" s="52" t="n">
        <f aca="false">IF(BZ1528=0,0,IF(N(S1528)&gt;0,S1528,IFERROR(VLOOKUP(D1528,Parameter!$A$35:$C$64,3,0)+0,0)))</f>
        <v>0</v>
      </c>
      <c r="CE1528" s="48" t="n">
        <f aca="false">IF(AA1528&lt;&gt;"",AA1528,Z1528)</f>
        <v>3</v>
      </c>
      <c r="CF1528" s="48" t="str">
        <f aca="false">IF(OR(CE1528=1,CE1528=2,CE1528=3),IF(Parameter!$E$27="Ja","LIFT",IF(CE1528=1,"L1","L23")),IF(CE1528="Aussen","Aussen","-"))</f>
        <v>LIFT</v>
      </c>
      <c r="CG1528" s="59" t="n">
        <f aca="false">IF(N(AB1528)&gt;0,AB1528,0)</f>
        <v>0</v>
      </c>
      <c r="CH1528" s="53" t="n">
        <f aca="false">IF(ISNUMBER(AE1528),1,0)</f>
        <v>0</v>
      </c>
      <c r="CI1528" s="50" t="n">
        <f aca="false">N(AE1528)</f>
        <v>0</v>
      </c>
      <c r="CJ1528" s="50" t="n">
        <f aca="false">N(M1528)+N(N1528)</f>
        <v>1</v>
      </c>
      <c r="CK1528" s="50" t="n">
        <f aca="false">N(M1528)</f>
        <v>0</v>
      </c>
      <c r="CL1528" s="50" t="n">
        <f aca="false">N(N1528)</f>
        <v>1</v>
      </c>
      <c r="CM1528" s="50" t="n">
        <f aca="false">ROUNDUP(H1528/BY1528,0)</f>
        <v>1</v>
      </c>
      <c r="CN1528" s="50" t="n">
        <f aca="false">ROUNDUP(CI1528/BY1528,0)</f>
        <v>0</v>
      </c>
      <c r="CO1528" s="53" t="n">
        <f aca="false">IF(BZ1528=1,0,IFERROR(VLOOKUP(BX1528,'Gebinde-Kategorie'!$A$5:$N$45,5,0)+0,0))</f>
        <v>21</v>
      </c>
      <c r="CP1528" s="53" t="n">
        <f aca="false">IFERROR(IF(OR(CE1528=1,CE1528=2,CE1528=3),N(INDEX(Parameter!$I$5:$I$7,CE1528)),0),0)</f>
        <v>0</v>
      </c>
      <c r="CQ1528" s="52" t="n">
        <f aca="false">IF(AND(Parameter!$B$21="Ja",ISNUMBER(W1528),N(X1528)&gt;0),IFERROR(N(INDEX(Parameter!$L$5:$L$7,W1528))*INDEX(Parameter!$E$5:$E$7,W1528)*X1528/SUMIFS($X$7:$X$1843,$W$7:$W$1843,W1528),0),0)</f>
        <v>0</v>
      </c>
    </row>
    <row r="1529" customFormat="false" ht="15" hidden="false" customHeight="false" outlineLevel="0" collapsed="false">
      <c r="A1529" s="48" t="s">
        <v>2681</v>
      </c>
      <c r="B1529" s="48" t="s">
        <v>2327</v>
      </c>
      <c r="C1529" s="48" t="s">
        <v>176</v>
      </c>
      <c r="D1529" s="48" t="s">
        <v>182</v>
      </c>
      <c r="E1529" s="48" t="s">
        <v>194</v>
      </c>
      <c r="F1529" s="48"/>
      <c r="G1529" s="49" t="n">
        <v>1094</v>
      </c>
      <c r="H1529" s="50" t="n">
        <f aca="false">MAX(0,IF(AND(Parameter!$B$21="Ja",ISNUMBER(Y1529)),Y1529,IF(Parameter!$B$20="Jahresanfang 2025 + Export",BR1529+BQ1529,BQ1529)))</f>
        <v>2</v>
      </c>
      <c r="I1529" s="50" t="n">
        <f aca="false">H1529*G1529</f>
        <v>2188</v>
      </c>
      <c r="J1529" s="50" t="n">
        <f aca="false">BT1529*Parameter!$B$18</f>
        <v>0</v>
      </c>
      <c r="K1529" s="51"/>
      <c r="L1529" s="52"/>
      <c r="M1529" s="50" t="n">
        <v>0</v>
      </c>
      <c r="N1529" s="50" t="n">
        <v>1</v>
      </c>
      <c r="O1529" s="53" t="n">
        <v>35</v>
      </c>
      <c r="P1529" s="48" t="s">
        <v>242</v>
      </c>
      <c r="Q1529" s="50" t="n">
        <v>2</v>
      </c>
      <c r="R1529" s="53" t="n">
        <f aca="false">IF(BZ1529=1,0,IFERROR(VLOOKUP(BX1529,'Gebinde-Kategorie'!$A$5:$N$45,13,0)+0,0))</f>
        <v>26</v>
      </c>
      <c r="S1529" s="54"/>
      <c r="T1529" s="55"/>
      <c r="U1529" s="55"/>
      <c r="V1529" s="55"/>
      <c r="W1529" s="48"/>
      <c r="X1529" s="50"/>
      <c r="Y1529" s="50"/>
      <c r="Z1529" s="48" t="n">
        <f aca="false">IF(A1529="","",IF(AND(Parameter!$B$21="Ja",ISNUMBER(W1529)),W1529,IF(CC1529="2+3",IF(ISNUMBER(SEARCH("grosser Artikel",BU1529)),2,IFERROR(VLOOKUP(BX1529,Parameter!$F$35:$G$64,2,0),2)),IF(OR(CC1529="Nein",CC1529=""),"-",CC1529))))</f>
        <v>3</v>
      </c>
      <c r="AA1529" s="55"/>
      <c r="AB1529" s="56"/>
      <c r="AC1529" s="50" t="n">
        <f aca="false">AV1529</f>
        <v>1</v>
      </c>
      <c r="AD1529" s="50" t="n">
        <f aca="false">MAX(AV1529,H1529)</f>
        <v>2</v>
      </c>
      <c r="AE1529" s="57"/>
      <c r="AF1529" s="50" t="n">
        <f aca="false">IF(LEFT(Cockpit!$C$5,1)="A",H1529,IF(Parameter!$E$30="MAX-Bestand",IF(CH1529=1,CI1529,IF(LEFT(Cockpit!$C$5,1)="B",AL1529,MAX(AL1529,H1529))),ROUNDUP(AJ1529,0)))</f>
        <v>2</v>
      </c>
      <c r="AG1529" s="50" t="n">
        <f aca="false">IF(BZ1529=1,0,ROUNDUP(AF1529/BY1529,0))</f>
        <v>1</v>
      </c>
      <c r="AH1529" s="52" t="n">
        <f aca="false">IF(CQ1529&gt;0,CQ1529*MAX(1,AF1529/X1529),IF(BZ1529=1,IF(AF1529&lt;=0,0,CD1529*MAX(1,IF(H1529&gt;0,AF1529/H1529,1))),IF(R1529&gt;0,AG1529/R1529,0))/MAX(0.1,N(Parameter!$M$21)))</f>
        <v>0.0384615384615385</v>
      </c>
      <c r="AI1529" s="50" t="n">
        <f aca="false">AH1529*CB1529</f>
        <v>9.42307692307692</v>
      </c>
      <c r="AJ1529" s="51" t="n">
        <f aca="false">IF(LEFT(Cockpit!$C$5,1)="A",H1529,IF(CH1529=1,(CK1529+CI1529)/2,IF(LEFT(Cockpit!$C$5,1)="B",(CK1529+AL1529)/2,MAX((CK1529+AL1529)/2,H1529))))</f>
        <v>2</v>
      </c>
      <c r="AK1529" s="50" t="n">
        <f aca="false">AJ1529*G1529</f>
        <v>2188</v>
      </c>
      <c r="AL1529" s="50" t="n">
        <f aca="false">ROUNDUP(CK1529+MAX(CL1529,2*(J1529/IF(CG1529&gt;0,CG1529,MAX(0.1,N(Cockpit!$C$6)))-CK1529)),0)</f>
        <v>1</v>
      </c>
      <c r="AM1529" s="51" t="n">
        <f aca="false">IF(AI1529&gt;0,J1529/AI1529,-1)</f>
        <v>0</v>
      </c>
      <c r="AN1529" s="51" t="n">
        <f aca="false">IF(AND(OR(CF1529="L1",CF1529="L23",CF1529="LIFT"),AI1529&gt;0),SUMIFS($AI$7:$AI$1843,$CF$7:$CF$1843,CF1529,$AM$7:$AM$1843,"&gt;"&amp;AM1529)+SUMIFS($AI$7:$AI$1843,$CF$7:$CF$1843,CF1529,$AM$7:$AM$1843,AM1529,$BW$7:$BW$1843,"&lt;="&amp;BW1529),"")</f>
        <v>30074.11936063</v>
      </c>
      <c r="AO1529" s="58" t="n">
        <f aca="false">IF(AN1529="",0,MAX(0,MIN(1,(IF(CF1529="L1",Parameter!$H$5,IF(CF1529="L23",Parameter!$H$6+Parameter!$H$7,Parameter!$H$5+Parameter!$H$6+Parameter!$H$7))-(AN1529-AI1529))/AI1529)))</f>
        <v>1</v>
      </c>
      <c r="AP1529" s="50" t="n">
        <f aca="false">IF(LEFT(Cockpit!$I$5,1)="A",H1529,IF(Parameter!$E$30="MAX-Bestand",IF(CH1529=1,CI1529,IF(LEFT(Cockpit!$I$5,1)="B",AV1529,MAX(AV1529,H1529))),ROUNDUP(AT1529,0)))</f>
        <v>2</v>
      </c>
      <c r="AQ1529" s="50" t="n">
        <f aca="false">IF(BZ1529=1,0,ROUNDUP(AP1529/BY1529,0))</f>
        <v>1</v>
      </c>
      <c r="AR1529" s="52" t="n">
        <f aca="false">IF(CQ1529&gt;0,CQ1529*MAX(1,AP1529/X1529),IF(BZ1529=1,IF(AP1529&lt;=0,0,CD1529*MAX(1,IF(H1529&gt;0,AP1529/H1529,1))),IF(R1529&gt;0,AQ1529/R1529,0))/MAX(0.1,N(Parameter!$M$21)))</f>
        <v>0.0384615384615385</v>
      </c>
      <c r="AS1529" s="50" t="n">
        <f aca="false">AR1529*CB1529</f>
        <v>9.42307692307692</v>
      </c>
      <c r="AT1529" s="51" t="n">
        <f aca="false">IF(LEFT(Cockpit!$I$5,1)="A",H1529,IF(CH1529=1,(CK1529+CI1529)/2,IF(LEFT(Cockpit!$I$5,1)="B",(CK1529+AV1529)/2,MAX((CK1529+AV1529)/2,H1529))))</f>
        <v>2</v>
      </c>
      <c r="AU1529" s="50" t="n">
        <f aca="false">AT1529*G1529</f>
        <v>2188</v>
      </c>
      <c r="AV1529" s="50" t="n">
        <f aca="false">ROUNDUP(CK1529+MAX(CL1529,2*(J1529/IF(CG1529&gt;0,CG1529,MAX(0.1,N(Cockpit!$I$6)))-CK1529)),0)</f>
        <v>1</v>
      </c>
      <c r="AW1529" s="51" t="n">
        <f aca="false">IF(AS1529&gt;0,J1529/AS1529,-1)</f>
        <v>0</v>
      </c>
      <c r="AX1529" s="51" t="n">
        <f aca="false">IF(AND(OR(CF1529="L1",CF1529="L23",CF1529="LIFT"),AS1529&gt;0),SUMIFS($AS$7:$AS$1843,$CF$7:$CF$1843,CF1529,$AW$7:$AW$1843,"&gt;"&amp;AW1529)+SUMIFS($AS$7:$AS$1843,$CF$7:$CF$1843,CF1529,$AW$7:$AW$1843,AW1529,$BW$7:$BW$1843,"&lt;="&amp;BW1529),"")</f>
        <v>36393.9758774653</v>
      </c>
      <c r="AY1529" s="58" t="n">
        <f aca="false">IF(AX1529="",0,MAX(0,MIN(1,(IF(CF1529="L1",Parameter!$H$5,IF(CF1529="L23",Parameter!$H$6+Parameter!$H$7,Parameter!$H$5+Parameter!$H$6+Parameter!$H$7))-(AX1529-AS1529))/AS1529)))</f>
        <v>0</v>
      </c>
      <c r="AZ1529" s="50" t="n">
        <f aca="false">IF(LEFT(Cockpit!$O$5,1)="A",H1529,IF(Parameter!$E$30="MAX-Bestand",IF(CH1529=1,CI1529,IF(LEFT(Cockpit!$O$5,1)="B",BF1529,MAX(BF1529,H1529))),ROUNDUP(BD1529,0)))</f>
        <v>1</v>
      </c>
      <c r="BA1529" s="50" t="n">
        <f aca="false">IF(BZ1529=1,0,ROUNDUP(AZ1529/BY1529,0))</f>
        <v>1</v>
      </c>
      <c r="BB1529" s="52" t="n">
        <f aca="false">IF(CQ1529&gt;0,CQ1529*MAX(1,AZ1529/X1529),IF(BZ1529=1,IF(AZ1529&lt;=0,0,CD1529*MAX(1,IF(H1529&gt;0,AZ1529/H1529,1))),IF(R1529&gt;0,BA1529/R1529,0))/MAX(0.1,N(Parameter!$M$21)))</f>
        <v>0.0384615384615385</v>
      </c>
      <c r="BC1529" s="50" t="n">
        <f aca="false">BB1529*CB1529</f>
        <v>9.42307692307692</v>
      </c>
      <c r="BD1529" s="51" t="n">
        <f aca="false">IF(LEFT(Cockpit!$O$5,1)="A",H1529,IF(CH1529=1,(CK1529+CI1529)/2,IF(LEFT(Cockpit!$O$5,1)="B",(CK1529+BF1529)/2,MAX((CK1529+BF1529)/2,H1529))))</f>
        <v>0.5</v>
      </c>
      <c r="BE1529" s="50" t="n">
        <f aca="false">BD1529*G1529</f>
        <v>547</v>
      </c>
      <c r="BF1529" s="50" t="n">
        <f aca="false">ROUNDUP(CK1529+MAX(CL1529,2*(J1529/IF(CG1529&gt;0,CG1529,MAX(0.1,N(Cockpit!$O$6)))-CK1529)),0)</f>
        <v>1</v>
      </c>
      <c r="BG1529" s="51" t="n">
        <f aca="false">IF(BC1529&gt;0,J1529/BC1529,-1)</f>
        <v>0</v>
      </c>
      <c r="BH1529" s="51" t="n">
        <f aca="false">IF(AND(OR(CF1529="L1",CF1529="L23",CF1529="LIFT"),BC1529&gt;0),SUMIFS($BC$7:$BC$1843,$CF$7:$CF$1843,CF1529,$BG$7:$BG$1843,"&gt;"&amp;BG1529)+SUMIFS($BC$7:$BC$1843,$CF$7:$CF$1843,CF1529,$BG$7:$BG$1843,BG1529,$BW$7:$BW$1843,"&lt;="&amp;BW1529),"")</f>
        <v>30332.1671529977</v>
      </c>
      <c r="BI1529" s="58" t="n">
        <f aca="false">IF(BH1529="",0,MAX(0,MIN(1,(IF(CF1529="L1",Parameter!$H$5,IF(CF1529="L23",Parameter!$H$6+Parameter!$H$7,Parameter!$H$5+Parameter!$H$6+Parameter!$H$7))-(BH1529-BC1529))/BC1529)))</f>
        <v>1</v>
      </c>
      <c r="BJ1529" s="48" t="str">
        <f aca="false">IF(AI1529&lt;=0,"",IF(CF1529="Aussen","Aussenlager",IF(CF1529="-","Nicht im Lift",IF(AO1529&gt;=1,"Lift",IF(AO1529&lt;=0,"Aussenlager","teilweise")))))</f>
        <v>Lift</v>
      </c>
      <c r="BK1529" s="48" t="str">
        <f aca="false">IF(AS1529&lt;=0,"",IF(CF1529="Aussen","Aussenlager",IF(CF1529="-","Nicht im Lift",IF(AY1529&gt;=1,"Lift",IF(AY1529&lt;=0,"Aussenlager","teilweise")))))</f>
        <v>Aussenlager</v>
      </c>
      <c r="BL1529" s="48" t="str">
        <f aca="false">IF(BC1529&lt;=0,"",IF(CF1529="Aussen","Aussenlager",IF(CF1529="-","Nicht im Lift",IF(BI1529&gt;=1,"Lift",IF(BI1529&lt;=0,"Aussenlager","teilweise")))))</f>
        <v>Lift</v>
      </c>
      <c r="BM1529" s="48" t="str">
        <f aca="false">IF(A1529="","",IF(BV1529=1,"Neu; ","")&amp;IF(AND(BV1529=0,BQ1529&lt;0),"negativer Bestand (Export "&amp;BQ1529&amp;"); ","")&amp;IF(J1529&lt;=0,"Kein Verbrauch; ","")&amp;IF(CQ1529&gt;0,"Lift "&amp;W1529&amp;" lt. Liftbericht (Fach "&amp;X1529&amp;" Stk); ",IF(CA1529=1,"Gebinde geschätzt ("&amp;T1529&amp;"); ",IF(BZ1529=1,"Lose – Tablare geschätzt; ","")))&amp;IF(H1529&gt;AV1529,"Überbestand "&amp;ROUND(H1529-AV1529,0)&amp;" Stk / CHF "&amp;ROUND((H1529-AV1529)*G1529,0)&amp;"; ","")&amp;IF(AND(CH1529=1,CI1529&lt;CJ1529),"MAX &lt; MB+LG; ","")&amp;IF(AND(CP1529&gt;0,CO1529*10&gt;CP1529),"zu hoch für Tablar; ","")&amp;IF(AND(BV1529=0,OR(CH1529=1,AA1529&lt;&gt;"",U1529&lt;&gt;"",V1529&lt;&gt;"",AB1529&lt;&gt;"")),"manuell übersteuert; ","")&amp;IF(AND(BZ1529=0,R1529=0),"Gebinde unbekannt / Stellmass fehlt; ","")&amp;IF(AND(BZ1529=0,N(V1529)&lt;=0,N(Q1529)&lt;=0),"Menge pro Gebinde fehlt (Ist = 1 Gebinde); ","")&amp;BU1529)</f>
        <v>Kein Verbrauch; Überbestand 1 Stk / CHF 1094; nur im Artikelstamm (Bestand 23.06.2026)</v>
      </c>
      <c r="BN1529" s="48"/>
      <c r="BO1529" s="48"/>
      <c r="BP1529" s="55"/>
      <c r="BQ1529" s="50" t="n">
        <v>2</v>
      </c>
      <c r="BR1529" s="50" t="n">
        <v>0</v>
      </c>
      <c r="BS1529" s="49" t="n">
        <v>0</v>
      </c>
      <c r="BT1529" s="50" t="n">
        <v>0</v>
      </c>
      <c r="BU1529" s="48" t="s">
        <v>2584</v>
      </c>
      <c r="BV1529" s="53" t="n">
        <v>0</v>
      </c>
      <c r="BW1529" s="53" t="n">
        <v>1529</v>
      </c>
      <c r="BX1529" s="48" t="str">
        <f aca="false">IF(U1529&lt;&gt;"",UPPER(TRIM(U1529)),IF(CA1529=1,UPPER(VLOOKUP(T1529,Parameter!$I$27:$K$29,2,0)),IF(P1529="","LOSE",P1529)))</f>
        <v>S52</v>
      </c>
      <c r="BY1529" s="50" t="n">
        <f aca="false">IF(BX1529="LOSE",1,IF(N(V1529)&gt;0,V1529,IF(CA1529=1,MAX(1,N(VLOOKUP(T1529,Parameter!$I$27:$K$29,3,0)),H1529,N(N1529)),IF(N(Q1529)&gt;0,Q1529,MAX(1,H1529)))))</f>
        <v>2</v>
      </c>
      <c r="BZ1529" s="53" t="n">
        <f aca="false">IF(BX1529="LOSE",1,0)</f>
        <v>0</v>
      </c>
      <c r="CA1529" s="53" t="n">
        <f aca="false">IF(AND(U1529="",OR(P1529="",P1529="LOSE"),T1529&lt;&gt;"",N(S1529)&lt;=0,ISNUMBER(MATCH(T1529,Parameter!$I$27:$I$29,0))),1,0)</f>
        <v>0</v>
      </c>
      <c r="CB1529" s="53" t="n">
        <f aca="false">IF(CQ1529&gt;0,INDEX(Parameter!$H$5:$H$7,W1529)/INDEX(Parameter!$E$5:$E$7,W1529),IF(AND(BZ1529=0,N(IFERROR(VLOOKUP(BX1529,'Gebinde-Kategorie'!$A$5:$N$45,14,0),0))&gt;0),VLOOKUP(BX1529,'Gebinde-Kategorie'!$A$5:$N$45,14,0)*10+Parameter!$M$23,Parameter!$M$24))</f>
        <v>245</v>
      </c>
      <c r="CC1529" s="48" t="str">
        <f aca="false">IF(AND(Parameter!$B$19="Ja",E1529&lt;&gt;"",ISNUMBER(MATCH(E1529,Parameter!$I$35:$I$52,0))),VLOOKUP(E1529,Parameter!$I$35:$J$52,2,0),IFERROR(VLOOKUP(D1529,Parameter!$A$35:$C$64,2,0),"Nein"))</f>
        <v>2+3</v>
      </c>
      <c r="CD1529" s="52" t="n">
        <f aca="false">IF(BZ1529=0,0,IF(N(S1529)&gt;0,S1529,IFERROR(VLOOKUP(D1529,Parameter!$A$35:$C$64,3,0)+0,0)))</f>
        <v>0</v>
      </c>
      <c r="CE1529" s="48" t="n">
        <f aca="false">IF(AA1529&lt;&gt;"",AA1529,Z1529)</f>
        <v>3</v>
      </c>
      <c r="CF1529" s="48" t="str">
        <f aca="false">IF(OR(CE1529=1,CE1529=2,CE1529=3),IF(Parameter!$E$27="Ja","LIFT",IF(CE1529=1,"L1","L23")),IF(CE1529="Aussen","Aussen","-"))</f>
        <v>LIFT</v>
      </c>
      <c r="CG1529" s="59" t="n">
        <f aca="false">IF(N(AB1529)&gt;0,AB1529,0)</f>
        <v>0</v>
      </c>
      <c r="CH1529" s="53" t="n">
        <f aca="false">IF(ISNUMBER(AE1529),1,0)</f>
        <v>0</v>
      </c>
      <c r="CI1529" s="50" t="n">
        <f aca="false">N(AE1529)</f>
        <v>0</v>
      </c>
      <c r="CJ1529" s="50" t="n">
        <f aca="false">N(M1529)+N(N1529)</f>
        <v>1</v>
      </c>
      <c r="CK1529" s="50" t="n">
        <f aca="false">N(M1529)</f>
        <v>0</v>
      </c>
      <c r="CL1529" s="50" t="n">
        <f aca="false">N(N1529)</f>
        <v>1</v>
      </c>
      <c r="CM1529" s="50" t="n">
        <f aca="false">ROUNDUP(H1529/BY1529,0)</f>
        <v>1</v>
      </c>
      <c r="CN1529" s="50" t="n">
        <f aca="false">ROUNDUP(CI1529/BY1529,0)</f>
        <v>0</v>
      </c>
      <c r="CO1529" s="53" t="n">
        <f aca="false">IF(BZ1529=1,0,IFERROR(VLOOKUP(BX1529,'Gebinde-Kategorie'!$A$5:$N$45,5,0)+0,0))</f>
        <v>21</v>
      </c>
      <c r="CP1529" s="53" t="n">
        <f aca="false">IFERROR(IF(OR(CE1529=1,CE1529=2,CE1529=3),N(INDEX(Parameter!$I$5:$I$7,CE1529)),0),0)</f>
        <v>0</v>
      </c>
      <c r="CQ1529" s="52" t="n">
        <f aca="false">IF(AND(Parameter!$B$21="Ja",ISNUMBER(W1529),N(X1529)&gt;0),IFERROR(N(INDEX(Parameter!$L$5:$L$7,W1529))*INDEX(Parameter!$E$5:$E$7,W1529)*X1529/SUMIFS($X$7:$X$1843,$W$7:$W$1843,W1529),0),0)</f>
        <v>0</v>
      </c>
    </row>
    <row r="1530" customFormat="false" ht="15" hidden="false" customHeight="false" outlineLevel="0" collapsed="false">
      <c r="A1530" s="48" t="s">
        <v>2682</v>
      </c>
      <c r="B1530" s="48" t="s">
        <v>2683</v>
      </c>
      <c r="C1530" s="48" t="s">
        <v>176</v>
      </c>
      <c r="D1530" s="48" t="s">
        <v>193</v>
      </c>
      <c r="E1530" s="48" t="s">
        <v>194</v>
      </c>
      <c r="F1530" s="48"/>
      <c r="G1530" s="49" t="n">
        <v>9.89</v>
      </c>
      <c r="H1530" s="50" t="n">
        <f aca="false">MAX(0,IF(AND(Parameter!$B$21="Ja",ISNUMBER(Y1530)),Y1530,IF(Parameter!$B$20="Jahresanfang 2025 + Export",BR1530+BQ1530,BQ1530)))</f>
        <v>51</v>
      </c>
      <c r="I1530" s="50" t="n">
        <f aca="false">H1530*G1530</f>
        <v>504.39</v>
      </c>
      <c r="J1530" s="50" t="n">
        <f aca="false">BT1530*Parameter!$B$18</f>
        <v>0</v>
      </c>
      <c r="K1530" s="51"/>
      <c r="L1530" s="52"/>
      <c r="M1530" s="50" t="n">
        <v>0</v>
      </c>
      <c r="N1530" s="50" t="n">
        <v>50</v>
      </c>
      <c r="O1530" s="53" t="n">
        <v>98</v>
      </c>
      <c r="P1530" s="48" t="s">
        <v>242</v>
      </c>
      <c r="Q1530" s="50" t="n">
        <v>51</v>
      </c>
      <c r="R1530" s="53" t="n">
        <f aca="false">IF(BZ1530=1,0,IFERROR(VLOOKUP(BX1530,'Gebinde-Kategorie'!$A$5:$N$45,13,0)+0,0))</f>
        <v>26</v>
      </c>
      <c r="S1530" s="54"/>
      <c r="T1530" s="55"/>
      <c r="U1530" s="55"/>
      <c r="V1530" s="55"/>
      <c r="W1530" s="48"/>
      <c r="X1530" s="50"/>
      <c r="Y1530" s="50"/>
      <c r="Z1530" s="48" t="n">
        <f aca="false">IF(A1530="","",IF(AND(Parameter!$B$21="Ja",ISNUMBER(W1530)),W1530,IF(CC1530="2+3",IF(ISNUMBER(SEARCH("grosser Artikel",BU1530)),2,IFERROR(VLOOKUP(BX1530,Parameter!$F$35:$G$64,2,0),2)),IF(OR(CC1530="Nein",CC1530=""),"-",CC1530))))</f>
        <v>3</v>
      </c>
      <c r="AA1530" s="55"/>
      <c r="AB1530" s="56"/>
      <c r="AC1530" s="50" t="n">
        <f aca="false">AV1530</f>
        <v>50</v>
      </c>
      <c r="AD1530" s="50" t="n">
        <f aca="false">MAX(AV1530,H1530)</f>
        <v>51</v>
      </c>
      <c r="AE1530" s="57"/>
      <c r="AF1530" s="50" t="n">
        <f aca="false">IF(LEFT(Cockpit!$C$5,1)="A",H1530,IF(Parameter!$E$30="MAX-Bestand",IF(CH1530=1,CI1530,IF(LEFT(Cockpit!$C$5,1)="B",AL1530,MAX(AL1530,H1530))),ROUNDUP(AJ1530,0)))</f>
        <v>51</v>
      </c>
      <c r="AG1530" s="50" t="n">
        <f aca="false">IF(BZ1530=1,0,ROUNDUP(AF1530/BY1530,0))</f>
        <v>1</v>
      </c>
      <c r="AH1530" s="52" t="n">
        <f aca="false">IF(CQ1530&gt;0,CQ1530*MAX(1,AF1530/X1530),IF(BZ1530=1,IF(AF1530&lt;=0,0,CD1530*MAX(1,IF(H1530&gt;0,AF1530/H1530,1))),IF(R1530&gt;0,AG1530/R1530,0))/MAX(0.1,N(Parameter!$M$21)))</f>
        <v>0.0384615384615385</v>
      </c>
      <c r="AI1530" s="50" t="n">
        <f aca="false">AH1530*CB1530</f>
        <v>9.42307692307692</v>
      </c>
      <c r="AJ1530" s="51" t="n">
        <f aca="false">IF(LEFT(Cockpit!$C$5,1)="A",H1530,IF(CH1530=1,(CK1530+CI1530)/2,IF(LEFT(Cockpit!$C$5,1)="B",(CK1530+AL1530)/2,MAX((CK1530+AL1530)/2,H1530))))</f>
        <v>51</v>
      </c>
      <c r="AK1530" s="50" t="n">
        <f aca="false">AJ1530*G1530</f>
        <v>504.39</v>
      </c>
      <c r="AL1530" s="50" t="n">
        <f aca="false">ROUNDUP(CK1530+MAX(CL1530,2*(J1530/IF(CG1530&gt;0,CG1530,MAX(0.1,N(Cockpit!$C$6)))-CK1530)),0)</f>
        <v>50</v>
      </c>
      <c r="AM1530" s="51" t="n">
        <f aca="false">IF(AI1530&gt;0,J1530/AI1530,-1)</f>
        <v>0</v>
      </c>
      <c r="AN1530" s="51" t="n">
        <f aca="false">IF(AND(OR(CF1530="L1",CF1530="L23",CF1530="LIFT"),AI1530&gt;0),SUMIFS($AI$7:$AI$1843,$CF$7:$CF$1843,CF1530,$AM$7:$AM$1843,"&gt;"&amp;AM1530)+SUMIFS($AI$7:$AI$1843,$CF$7:$CF$1843,CF1530,$AM$7:$AM$1843,AM1530,$BW$7:$BW$1843,"&lt;="&amp;BW1530),"")</f>
        <v>30083.542437553</v>
      </c>
      <c r="AO1530" s="58" t="n">
        <f aca="false">IF(AN1530="",0,MAX(0,MIN(1,(IF(CF1530="L1",Parameter!$H$5,IF(CF1530="L23",Parameter!$H$6+Parameter!$H$7,Parameter!$H$5+Parameter!$H$6+Parameter!$H$7))-(AN1530-AI1530))/AI1530)))</f>
        <v>1</v>
      </c>
      <c r="AP1530" s="50" t="n">
        <f aca="false">IF(LEFT(Cockpit!$I$5,1)="A",H1530,IF(Parameter!$E$30="MAX-Bestand",IF(CH1530=1,CI1530,IF(LEFT(Cockpit!$I$5,1)="B",AV1530,MAX(AV1530,H1530))),ROUNDUP(AT1530,0)))</f>
        <v>51</v>
      </c>
      <c r="AQ1530" s="50" t="n">
        <f aca="false">IF(BZ1530=1,0,ROUNDUP(AP1530/BY1530,0))</f>
        <v>1</v>
      </c>
      <c r="AR1530" s="52" t="n">
        <f aca="false">IF(CQ1530&gt;0,CQ1530*MAX(1,AP1530/X1530),IF(BZ1530=1,IF(AP1530&lt;=0,0,CD1530*MAX(1,IF(H1530&gt;0,AP1530/H1530,1))),IF(R1530&gt;0,AQ1530/R1530,0))/MAX(0.1,N(Parameter!$M$21)))</f>
        <v>0.0384615384615385</v>
      </c>
      <c r="AS1530" s="50" t="n">
        <f aca="false">AR1530*CB1530</f>
        <v>9.42307692307692</v>
      </c>
      <c r="AT1530" s="51" t="n">
        <f aca="false">IF(LEFT(Cockpit!$I$5,1)="A",H1530,IF(CH1530=1,(CK1530+CI1530)/2,IF(LEFT(Cockpit!$I$5,1)="B",(CK1530+AV1530)/2,MAX((CK1530+AV1530)/2,H1530))))</f>
        <v>51</v>
      </c>
      <c r="AU1530" s="50" t="n">
        <f aca="false">AT1530*G1530</f>
        <v>504.39</v>
      </c>
      <c r="AV1530" s="50" t="n">
        <f aca="false">ROUNDUP(CK1530+MAX(CL1530,2*(J1530/IF(CG1530&gt;0,CG1530,MAX(0.1,N(Cockpit!$I$6)))-CK1530)),0)</f>
        <v>50</v>
      </c>
      <c r="AW1530" s="51" t="n">
        <f aca="false">IF(AS1530&gt;0,J1530/AS1530,-1)</f>
        <v>0</v>
      </c>
      <c r="AX1530" s="51" t="n">
        <f aca="false">IF(AND(OR(CF1530="L1",CF1530="L23",CF1530="LIFT"),AS1530&gt;0),SUMIFS($AS$7:$AS$1843,$CF$7:$CF$1843,CF1530,$AW$7:$AW$1843,"&gt;"&amp;AW1530)+SUMIFS($AS$7:$AS$1843,$CF$7:$CF$1843,CF1530,$AW$7:$AW$1843,AW1530,$BW$7:$BW$1843,"&lt;="&amp;BW1530),"")</f>
        <v>36403.3989543884</v>
      </c>
      <c r="AY1530" s="58" t="n">
        <f aca="false">IF(AX1530="",0,MAX(0,MIN(1,(IF(CF1530="L1",Parameter!$H$5,IF(CF1530="L23",Parameter!$H$6+Parameter!$H$7,Parameter!$H$5+Parameter!$H$6+Parameter!$H$7))-(AX1530-AS1530))/AS1530)))</f>
        <v>0</v>
      </c>
      <c r="AZ1530" s="50" t="n">
        <f aca="false">IF(LEFT(Cockpit!$O$5,1)="A",H1530,IF(Parameter!$E$30="MAX-Bestand",IF(CH1530=1,CI1530,IF(LEFT(Cockpit!$O$5,1)="B",BF1530,MAX(BF1530,H1530))),ROUNDUP(BD1530,0)))</f>
        <v>25</v>
      </c>
      <c r="BA1530" s="50" t="n">
        <f aca="false">IF(BZ1530=1,0,ROUNDUP(AZ1530/BY1530,0))</f>
        <v>1</v>
      </c>
      <c r="BB1530" s="52" t="n">
        <f aca="false">IF(CQ1530&gt;0,CQ1530*MAX(1,AZ1530/X1530),IF(BZ1530=1,IF(AZ1530&lt;=0,0,CD1530*MAX(1,IF(H1530&gt;0,AZ1530/H1530,1))),IF(R1530&gt;0,BA1530/R1530,0))/MAX(0.1,N(Parameter!$M$21)))</f>
        <v>0.0384615384615385</v>
      </c>
      <c r="BC1530" s="50" t="n">
        <f aca="false">BB1530*CB1530</f>
        <v>9.42307692307692</v>
      </c>
      <c r="BD1530" s="51" t="n">
        <f aca="false">IF(LEFT(Cockpit!$O$5,1)="A",H1530,IF(CH1530=1,(CK1530+CI1530)/2,IF(LEFT(Cockpit!$O$5,1)="B",(CK1530+BF1530)/2,MAX((CK1530+BF1530)/2,H1530))))</f>
        <v>25</v>
      </c>
      <c r="BE1530" s="50" t="n">
        <f aca="false">BD1530*G1530</f>
        <v>247.25</v>
      </c>
      <c r="BF1530" s="50" t="n">
        <f aca="false">ROUNDUP(CK1530+MAX(CL1530,2*(J1530/IF(CG1530&gt;0,CG1530,MAX(0.1,N(Cockpit!$O$6)))-CK1530)),0)</f>
        <v>50</v>
      </c>
      <c r="BG1530" s="51" t="n">
        <f aca="false">IF(BC1530&gt;0,J1530/BC1530,-1)</f>
        <v>0</v>
      </c>
      <c r="BH1530" s="51" t="n">
        <f aca="false">IF(AND(OR(CF1530="L1",CF1530="L23",CF1530="LIFT"),BC1530&gt;0),SUMIFS($BC$7:$BC$1843,$CF$7:$CF$1843,CF1530,$BG$7:$BG$1843,"&gt;"&amp;BG1530)+SUMIFS($BC$7:$BC$1843,$CF$7:$CF$1843,CF1530,$BG$7:$BG$1843,BG1530,$BW$7:$BW$1843,"&lt;="&amp;BW1530),"")</f>
        <v>30341.5902299207</v>
      </c>
      <c r="BI1530" s="58" t="n">
        <f aca="false">IF(BH1530="",0,MAX(0,MIN(1,(IF(CF1530="L1",Parameter!$H$5,IF(CF1530="L23",Parameter!$H$6+Parameter!$H$7,Parameter!$H$5+Parameter!$H$6+Parameter!$H$7))-(BH1530-BC1530))/BC1530)))</f>
        <v>1</v>
      </c>
      <c r="BJ1530" s="48" t="str">
        <f aca="false">IF(AI1530&lt;=0,"",IF(CF1530="Aussen","Aussenlager",IF(CF1530="-","Nicht im Lift",IF(AO1530&gt;=1,"Lift",IF(AO1530&lt;=0,"Aussenlager","teilweise")))))</f>
        <v>Lift</v>
      </c>
      <c r="BK1530" s="48" t="str">
        <f aca="false">IF(AS1530&lt;=0,"",IF(CF1530="Aussen","Aussenlager",IF(CF1530="-","Nicht im Lift",IF(AY1530&gt;=1,"Lift",IF(AY1530&lt;=0,"Aussenlager","teilweise")))))</f>
        <v>Aussenlager</v>
      </c>
      <c r="BL1530" s="48" t="str">
        <f aca="false">IF(BC1530&lt;=0,"",IF(CF1530="Aussen","Aussenlager",IF(CF1530="-","Nicht im Lift",IF(BI1530&gt;=1,"Lift",IF(BI1530&lt;=0,"Aussenlager","teilweise")))))</f>
        <v>Lift</v>
      </c>
      <c r="BM1530" s="48" t="str">
        <f aca="false">IF(A1530="","",IF(BV1530=1,"Neu; ","")&amp;IF(AND(BV1530=0,BQ1530&lt;0),"negativer Bestand (Export "&amp;BQ1530&amp;"); ","")&amp;IF(J1530&lt;=0,"Kein Verbrauch; ","")&amp;IF(CQ1530&gt;0,"Lift "&amp;W1530&amp;" lt. Liftbericht (Fach "&amp;X1530&amp;" Stk); ",IF(CA1530=1,"Gebinde geschätzt ("&amp;T1530&amp;"); ",IF(BZ1530=1,"Lose – Tablare geschätzt; ","")))&amp;IF(H1530&gt;AV1530,"Überbestand "&amp;ROUND(H1530-AV1530,0)&amp;" Stk / CHF "&amp;ROUND((H1530-AV1530)*G1530,0)&amp;"; ","")&amp;IF(AND(CH1530=1,CI1530&lt;CJ1530),"MAX &lt; MB+LG; ","")&amp;IF(AND(CP1530&gt;0,CO1530*10&gt;CP1530),"zu hoch für Tablar; ","")&amp;IF(AND(BV1530=0,OR(CH1530=1,AA1530&lt;&gt;"",U1530&lt;&gt;"",V1530&lt;&gt;"",AB1530&lt;&gt;"")),"manuell übersteuert; ","")&amp;IF(AND(BZ1530=0,R1530=0),"Gebinde unbekannt / Stellmass fehlt; ","")&amp;IF(AND(BZ1530=0,N(V1530)&lt;=0,N(Q1530)&lt;=0),"Menge pro Gebinde fehlt (Ist = 1 Gebinde); ","")&amp;BU1530)</f>
        <v>Kein Verbrauch; Überbestand 1 Stk / CHF 10; nur im Artikelstamm (Bestand 23.06.2026)</v>
      </c>
      <c r="BN1530" s="48"/>
      <c r="BO1530" s="48"/>
      <c r="BP1530" s="55"/>
      <c r="BQ1530" s="50" t="n">
        <v>51</v>
      </c>
      <c r="BR1530" s="50" t="n">
        <v>0</v>
      </c>
      <c r="BS1530" s="49" t="n">
        <v>0</v>
      </c>
      <c r="BT1530" s="50" t="n">
        <v>0</v>
      </c>
      <c r="BU1530" s="48" t="s">
        <v>2584</v>
      </c>
      <c r="BV1530" s="53" t="n">
        <v>0</v>
      </c>
      <c r="BW1530" s="53" t="n">
        <v>1530</v>
      </c>
      <c r="BX1530" s="48" t="str">
        <f aca="false">IF(U1530&lt;&gt;"",UPPER(TRIM(U1530)),IF(CA1530=1,UPPER(VLOOKUP(T1530,Parameter!$I$27:$K$29,2,0)),IF(P1530="","LOSE",P1530)))</f>
        <v>S52</v>
      </c>
      <c r="BY1530" s="50" t="n">
        <f aca="false">IF(BX1530="LOSE",1,IF(N(V1530)&gt;0,V1530,IF(CA1530=1,MAX(1,N(VLOOKUP(T1530,Parameter!$I$27:$K$29,3,0)),H1530,N(N1530)),IF(N(Q1530)&gt;0,Q1530,MAX(1,H1530)))))</f>
        <v>51</v>
      </c>
      <c r="BZ1530" s="53" t="n">
        <f aca="false">IF(BX1530="LOSE",1,0)</f>
        <v>0</v>
      </c>
      <c r="CA1530" s="53" t="n">
        <f aca="false">IF(AND(U1530="",OR(P1530="",P1530="LOSE"),T1530&lt;&gt;"",N(S1530)&lt;=0,ISNUMBER(MATCH(T1530,Parameter!$I$27:$I$29,0))),1,0)</f>
        <v>0</v>
      </c>
      <c r="CB1530" s="53" t="n">
        <f aca="false">IF(CQ1530&gt;0,INDEX(Parameter!$H$5:$H$7,W1530)/INDEX(Parameter!$E$5:$E$7,W1530),IF(AND(BZ1530=0,N(IFERROR(VLOOKUP(BX1530,'Gebinde-Kategorie'!$A$5:$N$45,14,0),0))&gt;0),VLOOKUP(BX1530,'Gebinde-Kategorie'!$A$5:$N$45,14,0)*10+Parameter!$M$23,Parameter!$M$24))</f>
        <v>245</v>
      </c>
      <c r="CC1530" s="48" t="str">
        <f aca="false">IF(AND(Parameter!$B$19="Ja",E1530&lt;&gt;"",ISNUMBER(MATCH(E1530,Parameter!$I$35:$I$52,0))),VLOOKUP(E1530,Parameter!$I$35:$J$52,2,0),IFERROR(VLOOKUP(D1530,Parameter!$A$35:$C$64,2,0),"Nein"))</f>
        <v>2+3</v>
      </c>
      <c r="CD1530" s="52" t="n">
        <f aca="false">IF(BZ1530=0,0,IF(N(S1530)&gt;0,S1530,IFERROR(VLOOKUP(D1530,Parameter!$A$35:$C$64,3,0)+0,0)))</f>
        <v>0</v>
      </c>
      <c r="CE1530" s="48" t="n">
        <f aca="false">IF(AA1530&lt;&gt;"",AA1530,Z1530)</f>
        <v>3</v>
      </c>
      <c r="CF1530" s="48" t="str">
        <f aca="false">IF(OR(CE1530=1,CE1530=2,CE1530=3),IF(Parameter!$E$27="Ja","LIFT",IF(CE1530=1,"L1","L23")),IF(CE1530="Aussen","Aussen","-"))</f>
        <v>LIFT</v>
      </c>
      <c r="CG1530" s="59" t="n">
        <f aca="false">IF(N(AB1530)&gt;0,AB1530,0)</f>
        <v>0</v>
      </c>
      <c r="CH1530" s="53" t="n">
        <f aca="false">IF(ISNUMBER(AE1530),1,0)</f>
        <v>0</v>
      </c>
      <c r="CI1530" s="50" t="n">
        <f aca="false">N(AE1530)</f>
        <v>0</v>
      </c>
      <c r="CJ1530" s="50" t="n">
        <f aca="false">N(M1530)+N(N1530)</f>
        <v>50</v>
      </c>
      <c r="CK1530" s="50" t="n">
        <f aca="false">N(M1530)</f>
        <v>0</v>
      </c>
      <c r="CL1530" s="50" t="n">
        <f aca="false">N(N1530)</f>
        <v>50</v>
      </c>
      <c r="CM1530" s="50" t="n">
        <f aca="false">ROUNDUP(H1530/BY1530,0)</f>
        <v>1</v>
      </c>
      <c r="CN1530" s="50" t="n">
        <f aca="false">ROUNDUP(CI1530/BY1530,0)</f>
        <v>0</v>
      </c>
      <c r="CO1530" s="53" t="n">
        <f aca="false">IF(BZ1530=1,0,IFERROR(VLOOKUP(BX1530,'Gebinde-Kategorie'!$A$5:$N$45,5,0)+0,0))</f>
        <v>21</v>
      </c>
      <c r="CP1530" s="53" t="n">
        <f aca="false">IFERROR(IF(OR(CE1530=1,CE1530=2,CE1530=3),N(INDEX(Parameter!$I$5:$I$7,CE1530)),0),0)</f>
        <v>0</v>
      </c>
      <c r="CQ1530" s="52" t="n">
        <f aca="false">IF(AND(Parameter!$B$21="Ja",ISNUMBER(W1530),N(X1530)&gt;0),IFERROR(N(INDEX(Parameter!$L$5:$L$7,W1530))*INDEX(Parameter!$E$5:$E$7,W1530)*X1530/SUMIFS($X$7:$X$1843,$W$7:$W$1843,W1530),0),0)</f>
        <v>0</v>
      </c>
    </row>
    <row r="1531" customFormat="false" ht="15" hidden="false" customHeight="false" outlineLevel="0" collapsed="false">
      <c r="A1531" s="48" t="s">
        <v>2684</v>
      </c>
      <c r="B1531" s="48" t="s">
        <v>2685</v>
      </c>
      <c r="C1531" s="48" t="s">
        <v>173</v>
      </c>
      <c r="D1531" s="48" t="s">
        <v>193</v>
      </c>
      <c r="E1531" s="48" t="s">
        <v>194</v>
      </c>
      <c r="F1531" s="48"/>
      <c r="G1531" s="49" t="n">
        <v>93</v>
      </c>
      <c r="H1531" s="50" t="n">
        <f aca="false">MAX(0,IF(AND(Parameter!$B$21="Ja",ISNUMBER(Y1531)),Y1531,IF(Parameter!$B$20="Jahresanfang 2025 + Export",BR1531+BQ1531,BQ1531)))</f>
        <v>6</v>
      </c>
      <c r="I1531" s="50" t="n">
        <f aca="false">H1531*G1531</f>
        <v>558</v>
      </c>
      <c r="J1531" s="50" t="n">
        <f aca="false">BT1531*Parameter!$B$18</f>
        <v>0</v>
      </c>
      <c r="K1531" s="51"/>
      <c r="L1531" s="52"/>
      <c r="M1531" s="50" t="n">
        <v>0</v>
      </c>
      <c r="N1531" s="50" t="n">
        <v>3</v>
      </c>
      <c r="O1531" s="53" t="n">
        <v>21</v>
      </c>
      <c r="P1531" s="48" t="s">
        <v>430</v>
      </c>
      <c r="Q1531" s="50" t="n">
        <v>6</v>
      </c>
      <c r="R1531" s="53" t="n">
        <f aca="false">IF(BZ1531=1,0,IFERROR(VLOOKUP(BX1531,'Gebinde-Kategorie'!$A$5:$N$45,13,0)+0,0))</f>
        <v>104</v>
      </c>
      <c r="S1531" s="54"/>
      <c r="T1531" s="55"/>
      <c r="U1531" s="55"/>
      <c r="V1531" s="55"/>
      <c r="W1531" s="48"/>
      <c r="X1531" s="50"/>
      <c r="Y1531" s="50"/>
      <c r="Z1531" s="48" t="n">
        <f aca="false">IF(A1531="","",IF(AND(Parameter!$B$21="Ja",ISNUMBER(W1531)),W1531,IF(CC1531="2+3",IF(ISNUMBER(SEARCH("grosser Artikel",BU1531)),2,IFERROR(VLOOKUP(BX1531,Parameter!$F$35:$G$64,2,0),2)),IF(OR(CC1531="Nein",CC1531=""),"-",CC1531))))</f>
        <v>3</v>
      </c>
      <c r="AA1531" s="55"/>
      <c r="AB1531" s="56"/>
      <c r="AC1531" s="50" t="n">
        <f aca="false">AV1531</f>
        <v>3</v>
      </c>
      <c r="AD1531" s="50" t="n">
        <f aca="false">MAX(AV1531,H1531)</f>
        <v>6</v>
      </c>
      <c r="AE1531" s="57"/>
      <c r="AF1531" s="50" t="n">
        <f aca="false">IF(LEFT(Cockpit!$C$5,1)="A",H1531,IF(Parameter!$E$30="MAX-Bestand",IF(CH1531=1,CI1531,IF(LEFT(Cockpit!$C$5,1)="B",AL1531,MAX(AL1531,H1531))),ROUNDUP(AJ1531,0)))</f>
        <v>6</v>
      </c>
      <c r="AG1531" s="50" t="n">
        <f aca="false">IF(BZ1531=1,0,ROUNDUP(AF1531/BY1531,0))</f>
        <v>1</v>
      </c>
      <c r="AH1531" s="52" t="n">
        <f aca="false">IF(CQ1531&gt;0,CQ1531*MAX(1,AF1531/X1531),IF(BZ1531=1,IF(AF1531&lt;=0,0,CD1531*MAX(1,IF(H1531&gt;0,AF1531/H1531,1))),IF(R1531&gt;0,AG1531/R1531,0))/MAX(0.1,N(Parameter!$M$21)))</f>
        <v>0.00961538461538462</v>
      </c>
      <c r="AI1531" s="50" t="n">
        <f aca="false">AH1531*CB1531</f>
        <v>1.49038461538462</v>
      </c>
      <c r="AJ1531" s="51" t="n">
        <f aca="false">IF(LEFT(Cockpit!$C$5,1)="A",H1531,IF(CH1531=1,(CK1531+CI1531)/2,IF(LEFT(Cockpit!$C$5,1)="B",(CK1531+AL1531)/2,MAX((CK1531+AL1531)/2,H1531))))</f>
        <v>6</v>
      </c>
      <c r="AK1531" s="50" t="n">
        <f aca="false">AJ1531*G1531</f>
        <v>558</v>
      </c>
      <c r="AL1531" s="50" t="n">
        <f aca="false">ROUNDUP(CK1531+MAX(CL1531,2*(J1531/IF(CG1531&gt;0,CG1531,MAX(0.1,N(Cockpit!$C$6)))-CK1531)),0)</f>
        <v>3</v>
      </c>
      <c r="AM1531" s="51" t="n">
        <f aca="false">IF(AI1531&gt;0,J1531/AI1531,-1)</f>
        <v>0</v>
      </c>
      <c r="AN1531" s="51" t="n">
        <f aca="false">IF(AND(OR(CF1531="L1",CF1531="L23",CF1531="LIFT"),AI1531&gt;0),SUMIFS($AI$7:$AI$1843,$CF$7:$CF$1843,CF1531,$AM$7:$AM$1843,"&gt;"&amp;AM1531)+SUMIFS($AI$7:$AI$1843,$CF$7:$CF$1843,CF1531,$AM$7:$AM$1843,AM1531,$BW$7:$BW$1843,"&lt;="&amp;BW1531),"")</f>
        <v>30085.0328221684</v>
      </c>
      <c r="AO1531" s="58" t="n">
        <f aca="false">IF(AN1531="",0,MAX(0,MIN(1,(IF(CF1531="L1",Parameter!$H$5,IF(CF1531="L23",Parameter!$H$6+Parameter!$H$7,Parameter!$H$5+Parameter!$H$6+Parameter!$H$7))-(AN1531-AI1531))/AI1531)))</f>
        <v>1</v>
      </c>
      <c r="AP1531" s="50" t="n">
        <f aca="false">IF(LEFT(Cockpit!$I$5,1)="A",H1531,IF(Parameter!$E$30="MAX-Bestand",IF(CH1531=1,CI1531,IF(LEFT(Cockpit!$I$5,1)="B",AV1531,MAX(AV1531,H1531))),ROUNDUP(AT1531,0)))</f>
        <v>6</v>
      </c>
      <c r="AQ1531" s="50" t="n">
        <f aca="false">IF(BZ1531=1,0,ROUNDUP(AP1531/BY1531,0))</f>
        <v>1</v>
      </c>
      <c r="AR1531" s="52" t="n">
        <f aca="false">IF(CQ1531&gt;0,CQ1531*MAX(1,AP1531/X1531),IF(BZ1531=1,IF(AP1531&lt;=0,0,CD1531*MAX(1,IF(H1531&gt;0,AP1531/H1531,1))),IF(R1531&gt;0,AQ1531/R1531,0))/MAX(0.1,N(Parameter!$M$21)))</f>
        <v>0.00961538461538462</v>
      </c>
      <c r="AS1531" s="50" t="n">
        <f aca="false">AR1531*CB1531</f>
        <v>1.49038461538462</v>
      </c>
      <c r="AT1531" s="51" t="n">
        <f aca="false">IF(LEFT(Cockpit!$I$5,1)="A",H1531,IF(CH1531=1,(CK1531+CI1531)/2,IF(LEFT(Cockpit!$I$5,1)="B",(CK1531+AV1531)/2,MAX((CK1531+AV1531)/2,H1531))))</f>
        <v>6</v>
      </c>
      <c r="AU1531" s="50" t="n">
        <f aca="false">AT1531*G1531</f>
        <v>558</v>
      </c>
      <c r="AV1531" s="50" t="n">
        <f aca="false">ROUNDUP(CK1531+MAX(CL1531,2*(J1531/IF(CG1531&gt;0,CG1531,MAX(0.1,N(Cockpit!$I$6)))-CK1531)),0)</f>
        <v>3</v>
      </c>
      <c r="AW1531" s="51" t="n">
        <f aca="false">IF(AS1531&gt;0,J1531/AS1531,-1)</f>
        <v>0</v>
      </c>
      <c r="AX1531" s="51" t="n">
        <f aca="false">IF(AND(OR(CF1531="L1",CF1531="L23",CF1531="LIFT"),AS1531&gt;0),SUMIFS($AS$7:$AS$1843,$CF$7:$CF$1843,CF1531,$AW$7:$AW$1843,"&gt;"&amp;AW1531)+SUMIFS($AS$7:$AS$1843,$CF$7:$CF$1843,CF1531,$AW$7:$AW$1843,AW1531,$BW$7:$BW$1843,"&lt;="&amp;BW1531),"")</f>
        <v>36404.8893390037</v>
      </c>
      <c r="AY1531" s="58" t="n">
        <f aca="false">IF(AX1531="",0,MAX(0,MIN(1,(IF(CF1531="L1",Parameter!$H$5,IF(CF1531="L23",Parameter!$H$6+Parameter!$H$7,Parameter!$H$5+Parameter!$H$6+Parameter!$H$7))-(AX1531-AS1531))/AS1531)))</f>
        <v>0</v>
      </c>
      <c r="AZ1531" s="50" t="n">
        <f aca="false">IF(LEFT(Cockpit!$O$5,1)="A",H1531,IF(Parameter!$E$30="MAX-Bestand",IF(CH1531=1,CI1531,IF(LEFT(Cockpit!$O$5,1)="B",BF1531,MAX(BF1531,H1531))),ROUNDUP(BD1531,0)))</f>
        <v>2</v>
      </c>
      <c r="BA1531" s="50" t="n">
        <f aca="false">IF(BZ1531=1,0,ROUNDUP(AZ1531/BY1531,0))</f>
        <v>1</v>
      </c>
      <c r="BB1531" s="52" t="n">
        <f aca="false">IF(CQ1531&gt;0,CQ1531*MAX(1,AZ1531/X1531),IF(BZ1531=1,IF(AZ1531&lt;=0,0,CD1531*MAX(1,IF(H1531&gt;0,AZ1531/H1531,1))),IF(R1531&gt;0,BA1531/R1531,0))/MAX(0.1,N(Parameter!$M$21)))</f>
        <v>0.00961538461538462</v>
      </c>
      <c r="BC1531" s="50" t="n">
        <f aca="false">BB1531*CB1531</f>
        <v>1.49038461538462</v>
      </c>
      <c r="BD1531" s="51" t="n">
        <f aca="false">IF(LEFT(Cockpit!$O$5,1)="A",H1531,IF(CH1531=1,(CK1531+CI1531)/2,IF(LEFT(Cockpit!$O$5,1)="B",(CK1531+BF1531)/2,MAX((CK1531+BF1531)/2,H1531))))</f>
        <v>1.5</v>
      </c>
      <c r="BE1531" s="50" t="n">
        <f aca="false">BD1531*G1531</f>
        <v>139.5</v>
      </c>
      <c r="BF1531" s="50" t="n">
        <f aca="false">ROUNDUP(CK1531+MAX(CL1531,2*(J1531/IF(CG1531&gt;0,CG1531,MAX(0.1,N(Cockpit!$O$6)))-CK1531)),0)</f>
        <v>3</v>
      </c>
      <c r="BG1531" s="51" t="n">
        <f aca="false">IF(BC1531&gt;0,J1531/BC1531,-1)</f>
        <v>0</v>
      </c>
      <c r="BH1531" s="51" t="n">
        <f aca="false">IF(AND(OR(CF1531="L1",CF1531="L23",CF1531="LIFT"),BC1531&gt;0),SUMIFS($BC$7:$BC$1843,$CF$7:$CF$1843,CF1531,$BG$7:$BG$1843,"&gt;"&amp;BG1531)+SUMIFS($BC$7:$BC$1843,$CF$7:$CF$1843,CF1531,$BG$7:$BG$1843,BG1531,$BW$7:$BW$1843,"&lt;="&amp;BW1531),"")</f>
        <v>30343.0806145361</v>
      </c>
      <c r="BI1531" s="58" t="n">
        <f aca="false">IF(BH1531="",0,MAX(0,MIN(1,(IF(CF1531="L1",Parameter!$H$5,IF(CF1531="L23",Parameter!$H$6+Parameter!$H$7,Parameter!$H$5+Parameter!$H$6+Parameter!$H$7))-(BH1531-BC1531))/BC1531)))</f>
        <v>1</v>
      </c>
      <c r="BJ1531" s="48" t="str">
        <f aca="false">IF(AI1531&lt;=0,"",IF(CF1531="Aussen","Aussenlager",IF(CF1531="-","Nicht im Lift",IF(AO1531&gt;=1,"Lift",IF(AO1531&lt;=0,"Aussenlager","teilweise")))))</f>
        <v>Lift</v>
      </c>
      <c r="BK1531" s="48" t="str">
        <f aca="false">IF(AS1531&lt;=0,"",IF(CF1531="Aussen","Aussenlager",IF(CF1531="-","Nicht im Lift",IF(AY1531&gt;=1,"Lift",IF(AY1531&lt;=0,"Aussenlager","teilweise")))))</f>
        <v>Aussenlager</v>
      </c>
      <c r="BL1531" s="48" t="str">
        <f aca="false">IF(BC1531&lt;=0,"",IF(CF1531="Aussen","Aussenlager",IF(CF1531="-","Nicht im Lift",IF(BI1531&gt;=1,"Lift",IF(BI1531&lt;=0,"Aussenlager","teilweise")))))</f>
        <v>Lift</v>
      </c>
      <c r="BM1531" s="48" t="str">
        <f aca="false">IF(A1531="","",IF(BV1531=1,"Neu; ","")&amp;IF(AND(BV1531=0,BQ1531&lt;0),"negativer Bestand (Export "&amp;BQ1531&amp;"); ","")&amp;IF(J1531&lt;=0,"Kein Verbrauch; ","")&amp;IF(CQ1531&gt;0,"Lift "&amp;W1531&amp;" lt. Liftbericht (Fach "&amp;X1531&amp;" Stk); ",IF(CA1531=1,"Gebinde geschätzt ("&amp;T1531&amp;"); ",IF(BZ1531=1,"Lose – Tablare geschätzt; ","")))&amp;IF(H1531&gt;AV1531,"Überbestand "&amp;ROUND(H1531-AV1531,0)&amp;" Stk / CHF "&amp;ROUND((H1531-AV1531)*G1531,0)&amp;"; ","")&amp;IF(AND(CH1531=1,CI1531&lt;CJ1531),"MAX &lt; MB+LG; ","")&amp;IF(AND(CP1531&gt;0,CO1531*10&gt;CP1531),"zu hoch für Tablar; ","")&amp;IF(AND(BV1531=0,OR(CH1531=1,AA1531&lt;&gt;"",U1531&lt;&gt;"",V1531&lt;&gt;"",AB1531&lt;&gt;"")),"manuell übersteuert; ","")&amp;IF(AND(BZ1531=0,R1531=0),"Gebinde unbekannt / Stellmass fehlt; ","")&amp;IF(AND(BZ1531=0,N(V1531)&lt;=0,N(Q1531)&lt;=0),"Menge pro Gebinde fehlt (Ist = 1 Gebinde); ","")&amp;BU1531)</f>
        <v>Kein Verbrauch; Überbestand 3 Stk / CHF 279; nur im Artikelstamm (Bestand 23.06.2026)</v>
      </c>
      <c r="BN1531" s="48"/>
      <c r="BO1531" s="48"/>
      <c r="BP1531" s="55"/>
      <c r="BQ1531" s="50" t="n">
        <v>6</v>
      </c>
      <c r="BR1531" s="50" t="n">
        <v>0</v>
      </c>
      <c r="BS1531" s="49" t="n">
        <v>0</v>
      </c>
      <c r="BT1531" s="50" t="n">
        <v>0</v>
      </c>
      <c r="BU1531" s="48" t="s">
        <v>2584</v>
      </c>
      <c r="BV1531" s="53" t="n">
        <v>0</v>
      </c>
      <c r="BW1531" s="53" t="n">
        <v>1531</v>
      </c>
      <c r="BX1531" s="48" t="str">
        <f aca="false">IF(U1531&lt;&gt;"",UPPER(TRIM(U1531)),IF(CA1531=1,UPPER(VLOOKUP(T1531,Parameter!$I$27:$K$29,2,0)),IF(P1531="","LOSE",P1531)))</f>
        <v>S32</v>
      </c>
      <c r="BY1531" s="50" t="n">
        <f aca="false">IF(BX1531="LOSE",1,IF(N(V1531)&gt;0,V1531,IF(CA1531=1,MAX(1,N(VLOOKUP(T1531,Parameter!$I$27:$K$29,3,0)),H1531,N(N1531)),IF(N(Q1531)&gt;0,Q1531,MAX(1,H1531)))))</f>
        <v>6</v>
      </c>
      <c r="BZ1531" s="53" t="n">
        <f aca="false">IF(BX1531="LOSE",1,0)</f>
        <v>0</v>
      </c>
      <c r="CA1531" s="53" t="n">
        <f aca="false">IF(AND(U1531="",OR(P1531="",P1531="LOSE"),T1531&lt;&gt;"",N(S1531)&lt;=0,ISNUMBER(MATCH(T1531,Parameter!$I$27:$I$29,0))),1,0)</f>
        <v>0</v>
      </c>
      <c r="CB1531" s="53" t="n">
        <f aca="false">IF(CQ1531&gt;0,INDEX(Parameter!$H$5:$H$7,W1531)/INDEX(Parameter!$E$5:$E$7,W1531),IF(AND(BZ1531=0,N(IFERROR(VLOOKUP(BX1531,'Gebinde-Kategorie'!$A$5:$N$45,14,0),0))&gt;0),VLOOKUP(BX1531,'Gebinde-Kategorie'!$A$5:$N$45,14,0)*10+Parameter!$M$23,Parameter!$M$24))</f>
        <v>155</v>
      </c>
      <c r="CC1531" s="48" t="str">
        <f aca="false">IF(AND(Parameter!$B$19="Ja",E1531&lt;&gt;"",ISNUMBER(MATCH(E1531,Parameter!$I$35:$I$52,0))),VLOOKUP(E1531,Parameter!$I$35:$J$52,2,0),IFERROR(VLOOKUP(D1531,Parameter!$A$35:$C$64,2,0),"Nein"))</f>
        <v>2+3</v>
      </c>
      <c r="CD1531" s="52" t="n">
        <f aca="false">IF(BZ1531=0,0,IF(N(S1531)&gt;0,S1531,IFERROR(VLOOKUP(D1531,Parameter!$A$35:$C$64,3,0)+0,0)))</f>
        <v>0</v>
      </c>
      <c r="CE1531" s="48" t="n">
        <f aca="false">IF(AA1531&lt;&gt;"",AA1531,Z1531)</f>
        <v>3</v>
      </c>
      <c r="CF1531" s="48" t="str">
        <f aca="false">IF(OR(CE1531=1,CE1531=2,CE1531=3),IF(Parameter!$E$27="Ja","LIFT",IF(CE1531=1,"L1","L23")),IF(CE1531="Aussen","Aussen","-"))</f>
        <v>LIFT</v>
      </c>
      <c r="CG1531" s="59" t="n">
        <f aca="false">IF(N(AB1531)&gt;0,AB1531,0)</f>
        <v>0</v>
      </c>
      <c r="CH1531" s="53" t="n">
        <f aca="false">IF(ISNUMBER(AE1531),1,0)</f>
        <v>0</v>
      </c>
      <c r="CI1531" s="50" t="n">
        <f aca="false">N(AE1531)</f>
        <v>0</v>
      </c>
      <c r="CJ1531" s="50" t="n">
        <f aca="false">N(M1531)+N(N1531)</f>
        <v>3</v>
      </c>
      <c r="CK1531" s="50" t="n">
        <f aca="false">N(M1531)</f>
        <v>0</v>
      </c>
      <c r="CL1531" s="50" t="n">
        <f aca="false">N(N1531)</f>
        <v>3</v>
      </c>
      <c r="CM1531" s="50" t="n">
        <f aca="false">ROUNDUP(H1531/BY1531,0)</f>
        <v>1</v>
      </c>
      <c r="CN1531" s="50" t="n">
        <f aca="false">ROUNDUP(CI1531/BY1531,0)</f>
        <v>0</v>
      </c>
      <c r="CO1531" s="53" t="n">
        <f aca="false">IF(BZ1531=1,0,IFERROR(VLOOKUP(BX1531,'Gebinde-Kategorie'!$A$5:$N$45,5,0)+0,0))</f>
        <v>8</v>
      </c>
      <c r="CP1531" s="53" t="n">
        <f aca="false">IFERROR(IF(OR(CE1531=1,CE1531=2,CE1531=3),N(INDEX(Parameter!$I$5:$I$7,CE1531)),0),0)</f>
        <v>0</v>
      </c>
      <c r="CQ1531" s="52" t="n">
        <f aca="false">IF(AND(Parameter!$B$21="Ja",ISNUMBER(W1531),N(X1531)&gt;0),IFERROR(N(INDEX(Parameter!$L$5:$L$7,W1531))*INDEX(Parameter!$E$5:$E$7,W1531)*X1531/SUMIFS($X$7:$X$1843,$W$7:$W$1843,W1531),0),0)</f>
        <v>0</v>
      </c>
    </row>
    <row r="1532" customFormat="false" ht="15" hidden="false" customHeight="false" outlineLevel="0" collapsed="false">
      <c r="A1532" s="48" t="s">
        <v>2686</v>
      </c>
      <c r="B1532" s="48" t="s">
        <v>2687</v>
      </c>
      <c r="C1532" s="48" t="s">
        <v>173</v>
      </c>
      <c r="D1532" s="48" t="s">
        <v>193</v>
      </c>
      <c r="E1532" s="48" t="s">
        <v>194</v>
      </c>
      <c r="F1532" s="48"/>
      <c r="G1532" s="49" t="n">
        <v>109.75</v>
      </c>
      <c r="H1532" s="50" t="n">
        <f aca="false">MAX(0,IF(AND(Parameter!$B$21="Ja",ISNUMBER(Y1532)),Y1532,IF(Parameter!$B$20="Jahresanfang 2025 + Export",BR1532+BQ1532,BQ1532)))</f>
        <v>7</v>
      </c>
      <c r="I1532" s="50" t="n">
        <f aca="false">H1532*G1532</f>
        <v>768.25</v>
      </c>
      <c r="J1532" s="50" t="n">
        <f aca="false">BT1532*Parameter!$B$18</f>
        <v>0</v>
      </c>
      <c r="K1532" s="51"/>
      <c r="L1532" s="52"/>
      <c r="M1532" s="50" t="n">
        <v>0</v>
      </c>
      <c r="N1532" s="50" t="n">
        <v>1</v>
      </c>
      <c r="O1532" s="53" t="n">
        <v>42</v>
      </c>
      <c r="P1532" s="48" t="s">
        <v>311</v>
      </c>
      <c r="Q1532" s="50" t="n">
        <v>7</v>
      </c>
      <c r="R1532" s="53" t="n">
        <f aca="false">IF(BZ1532=1,0,IFERROR(VLOOKUP(BX1532,'Gebinde-Kategorie'!$A$5:$N$45,13,0)+0,0))</f>
        <v>26</v>
      </c>
      <c r="S1532" s="54"/>
      <c r="T1532" s="55"/>
      <c r="U1532" s="55"/>
      <c r="V1532" s="55"/>
      <c r="W1532" s="48"/>
      <c r="X1532" s="50"/>
      <c r="Y1532" s="50"/>
      <c r="Z1532" s="48" t="n">
        <f aca="false">IF(A1532="","",IF(AND(Parameter!$B$21="Ja",ISNUMBER(W1532)),W1532,IF(CC1532="2+3",IF(ISNUMBER(SEARCH("grosser Artikel",BU1532)),2,IFERROR(VLOOKUP(BX1532,Parameter!$F$35:$G$64,2,0),2)),IF(OR(CC1532="Nein",CC1532=""),"-",CC1532))))</f>
        <v>3</v>
      </c>
      <c r="AA1532" s="55"/>
      <c r="AB1532" s="56"/>
      <c r="AC1532" s="50" t="n">
        <f aca="false">AV1532</f>
        <v>1</v>
      </c>
      <c r="AD1532" s="50" t="n">
        <f aca="false">MAX(AV1532,H1532)</f>
        <v>7</v>
      </c>
      <c r="AE1532" s="57"/>
      <c r="AF1532" s="50" t="n">
        <f aca="false">IF(LEFT(Cockpit!$C$5,1)="A",H1532,IF(Parameter!$E$30="MAX-Bestand",IF(CH1532=1,CI1532,IF(LEFT(Cockpit!$C$5,1)="B",AL1532,MAX(AL1532,H1532))),ROUNDUP(AJ1532,0)))</f>
        <v>7</v>
      </c>
      <c r="AG1532" s="50" t="n">
        <f aca="false">IF(BZ1532=1,0,ROUNDUP(AF1532/BY1532,0))</f>
        <v>1</v>
      </c>
      <c r="AH1532" s="52" t="n">
        <f aca="false">IF(CQ1532&gt;0,CQ1532*MAX(1,AF1532/X1532),IF(BZ1532=1,IF(AF1532&lt;=0,0,CD1532*MAX(1,IF(H1532&gt;0,AF1532/H1532,1))),IF(R1532&gt;0,AG1532/R1532,0))/MAX(0.1,N(Parameter!$M$21)))</f>
        <v>0.0384615384615385</v>
      </c>
      <c r="AI1532" s="50" t="n">
        <f aca="false">AH1532*CB1532</f>
        <v>5.96153846153846</v>
      </c>
      <c r="AJ1532" s="51" t="n">
        <f aca="false">IF(LEFT(Cockpit!$C$5,1)="A",H1532,IF(CH1532=1,(CK1532+CI1532)/2,IF(LEFT(Cockpit!$C$5,1)="B",(CK1532+AL1532)/2,MAX((CK1532+AL1532)/2,H1532))))</f>
        <v>7</v>
      </c>
      <c r="AK1532" s="50" t="n">
        <f aca="false">AJ1532*G1532</f>
        <v>768.25</v>
      </c>
      <c r="AL1532" s="50" t="n">
        <f aca="false">ROUNDUP(CK1532+MAX(CL1532,2*(J1532/IF(CG1532&gt;0,CG1532,MAX(0.1,N(Cockpit!$C$6)))-CK1532)),0)</f>
        <v>1</v>
      </c>
      <c r="AM1532" s="51" t="n">
        <f aca="false">IF(AI1532&gt;0,J1532/AI1532,-1)</f>
        <v>0</v>
      </c>
      <c r="AN1532" s="51" t="n">
        <f aca="false">IF(AND(OR(CF1532="L1",CF1532="L23",CF1532="LIFT"),AI1532&gt;0),SUMIFS($AI$7:$AI$1843,$CF$7:$CF$1843,CF1532,$AM$7:$AM$1843,"&gt;"&amp;AM1532)+SUMIFS($AI$7:$AI$1843,$CF$7:$CF$1843,CF1532,$AM$7:$AM$1843,AM1532,$BW$7:$BW$1843,"&lt;="&amp;BW1532),"")</f>
        <v>30090.99436063</v>
      </c>
      <c r="AO1532" s="58" t="n">
        <f aca="false">IF(AN1532="",0,MAX(0,MIN(1,(IF(CF1532="L1",Parameter!$H$5,IF(CF1532="L23",Parameter!$H$6+Parameter!$H$7,Parameter!$H$5+Parameter!$H$6+Parameter!$H$7))-(AN1532-AI1532))/AI1532)))</f>
        <v>1</v>
      </c>
      <c r="AP1532" s="50" t="n">
        <f aca="false">IF(LEFT(Cockpit!$I$5,1)="A",H1532,IF(Parameter!$E$30="MAX-Bestand",IF(CH1532=1,CI1532,IF(LEFT(Cockpit!$I$5,1)="B",AV1532,MAX(AV1532,H1532))),ROUNDUP(AT1532,0)))</f>
        <v>7</v>
      </c>
      <c r="AQ1532" s="50" t="n">
        <f aca="false">IF(BZ1532=1,0,ROUNDUP(AP1532/BY1532,0))</f>
        <v>1</v>
      </c>
      <c r="AR1532" s="52" t="n">
        <f aca="false">IF(CQ1532&gt;0,CQ1532*MAX(1,AP1532/X1532),IF(BZ1532=1,IF(AP1532&lt;=0,0,CD1532*MAX(1,IF(H1532&gt;0,AP1532/H1532,1))),IF(R1532&gt;0,AQ1532/R1532,0))/MAX(0.1,N(Parameter!$M$21)))</f>
        <v>0.0384615384615385</v>
      </c>
      <c r="AS1532" s="50" t="n">
        <f aca="false">AR1532*CB1532</f>
        <v>5.96153846153846</v>
      </c>
      <c r="AT1532" s="51" t="n">
        <f aca="false">IF(LEFT(Cockpit!$I$5,1)="A",H1532,IF(CH1532=1,(CK1532+CI1532)/2,IF(LEFT(Cockpit!$I$5,1)="B",(CK1532+AV1532)/2,MAX((CK1532+AV1532)/2,H1532))))</f>
        <v>7</v>
      </c>
      <c r="AU1532" s="50" t="n">
        <f aca="false">AT1532*G1532</f>
        <v>768.25</v>
      </c>
      <c r="AV1532" s="50" t="n">
        <f aca="false">ROUNDUP(CK1532+MAX(CL1532,2*(J1532/IF(CG1532&gt;0,CG1532,MAX(0.1,N(Cockpit!$I$6)))-CK1532)),0)</f>
        <v>1</v>
      </c>
      <c r="AW1532" s="51" t="n">
        <f aca="false">IF(AS1532&gt;0,J1532/AS1532,-1)</f>
        <v>0</v>
      </c>
      <c r="AX1532" s="51" t="n">
        <f aca="false">IF(AND(OR(CF1532="L1",CF1532="L23",CF1532="LIFT"),AS1532&gt;0),SUMIFS($AS$7:$AS$1843,$CF$7:$CF$1843,CF1532,$AW$7:$AW$1843,"&gt;"&amp;AW1532)+SUMIFS($AS$7:$AS$1843,$CF$7:$CF$1843,CF1532,$AW$7:$AW$1843,AW1532,$BW$7:$BW$1843,"&lt;="&amp;BW1532),"")</f>
        <v>36410.8508774653</v>
      </c>
      <c r="AY1532" s="58" t="n">
        <f aca="false">IF(AX1532="",0,MAX(0,MIN(1,(IF(CF1532="L1",Parameter!$H$5,IF(CF1532="L23",Parameter!$H$6+Parameter!$H$7,Parameter!$H$5+Parameter!$H$6+Parameter!$H$7))-(AX1532-AS1532))/AS1532)))</f>
        <v>0</v>
      </c>
      <c r="AZ1532" s="50" t="n">
        <f aca="false">IF(LEFT(Cockpit!$O$5,1)="A",H1532,IF(Parameter!$E$30="MAX-Bestand",IF(CH1532=1,CI1532,IF(LEFT(Cockpit!$O$5,1)="B",BF1532,MAX(BF1532,H1532))),ROUNDUP(BD1532,0)))</f>
        <v>1</v>
      </c>
      <c r="BA1532" s="50" t="n">
        <f aca="false">IF(BZ1532=1,0,ROUNDUP(AZ1532/BY1532,0))</f>
        <v>1</v>
      </c>
      <c r="BB1532" s="52" t="n">
        <f aca="false">IF(CQ1532&gt;0,CQ1532*MAX(1,AZ1532/X1532),IF(BZ1532=1,IF(AZ1532&lt;=0,0,CD1532*MAX(1,IF(H1532&gt;0,AZ1532/H1532,1))),IF(R1532&gt;0,BA1532/R1532,0))/MAX(0.1,N(Parameter!$M$21)))</f>
        <v>0.0384615384615385</v>
      </c>
      <c r="BC1532" s="50" t="n">
        <f aca="false">BB1532*CB1532</f>
        <v>5.96153846153846</v>
      </c>
      <c r="BD1532" s="51" t="n">
        <f aca="false">IF(LEFT(Cockpit!$O$5,1)="A",H1532,IF(CH1532=1,(CK1532+CI1532)/2,IF(LEFT(Cockpit!$O$5,1)="B",(CK1532+BF1532)/2,MAX((CK1532+BF1532)/2,H1532))))</f>
        <v>0.5</v>
      </c>
      <c r="BE1532" s="50" t="n">
        <f aca="false">BD1532*G1532</f>
        <v>54.875</v>
      </c>
      <c r="BF1532" s="50" t="n">
        <f aca="false">ROUNDUP(CK1532+MAX(CL1532,2*(J1532/IF(CG1532&gt;0,CG1532,MAX(0.1,N(Cockpit!$O$6)))-CK1532)),0)</f>
        <v>1</v>
      </c>
      <c r="BG1532" s="51" t="n">
        <f aca="false">IF(BC1532&gt;0,J1532/BC1532,-1)</f>
        <v>0</v>
      </c>
      <c r="BH1532" s="51" t="n">
        <f aca="false">IF(AND(OR(CF1532="L1",CF1532="L23",CF1532="LIFT"),BC1532&gt;0),SUMIFS($BC$7:$BC$1843,$CF$7:$CF$1843,CF1532,$BG$7:$BG$1843,"&gt;"&amp;BG1532)+SUMIFS($BC$7:$BC$1843,$CF$7:$CF$1843,CF1532,$BG$7:$BG$1843,BG1532,$BW$7:$BW$1843,"&lt;="&amp;BW1532),"")</f>
        <v>30349.0421529977</v>
      </c>
      <c r="BI1532" s="58" t="n">
        <f aca="false">IF(BH1532="",0,MAX(0,MIN(1,(IF(CF1532="L1",Parameter!$H$5,IF(CF1532="L23",Parameter!$H$6+Parameter!$H$7,Parameter!$H$5+Parameter!$H$6+Parameter!$H$7))-(BH1532-BC1532))/BC1532)))</f>
        <v>1</v>
      </c>
      <c r="BJ1532" s="48" t="str">
        <f aca="false">IF(AI1532&lt;=0,"",IF(CF1532="Aussen","Aussenlager",IF(CF1532="-","Nicht im Lift",IF(AO1532&gt;=1,"Lift",IF(AO1532&lt;=0,"Aussenlager","teilweise")))))</f>
        <v>Lift</v>
      </c>
      <c r="BK1532" s="48" t="str">
        <f aca="false">IF(AS1532&lt;=0,"",IF(CF1532="Aussen","Aussenlager",IF(CF1532="-","Nicht im Lift",IF(AY1532&gt;=1,"Lift",IF(AY1532&lt;=0,"Aussenlager","teilweise")))))</f>
        <v>Aussenlager</v>
      </c>
      <c r="BL1532" s="48" t="str">
        <f aca="false">IF(BC1532&lt;=0,"",IF(CF1532="Aussen","Aussenlager",IF(CF1532="-","Nicht im Lift",IF(BI1532&gt;=1,"Lift",IF(BI1532&lt;=0,"Aussenlager","teilweise")))))</f>
        <v>Lift</v>
      </c>
      <c r="BM1532" s="48" t="str">
        <f aca="false">IF(A1532="","",IF(BV1532=1,"Neu; ","")&amp;IF(AND(BV1532=0,BQ1532&lt;0),"negativer Bestand (Export "&amp;BQ1532&amp;"); ","")&amp;IF(J1532&lt;=0,"Kein Verbrauch; ","")&amp;IF(CQ1532&gt;0,"Lift "&amp;W1532&amp;" lt. Liftbericht (Fach "&amp;X1532&amp;" Stk); ",IF(CA1532=1,"Gebinde geschätzt ("&amp;T1532&amp;"); ",IF(BZ1532=1,"Lose – Tablare geschätzt; ","")))&amp;IF(H1532&gt;AV1532,"Überbestand "&amp;ROUND(H1532-AV1532,0)&amp;" Stk / CHF "&amp;ROUND((H1532-AV1532)*G1532,0)&amp;"; ","")&amp;IF(AND(CH1532=1,CI1532&lt;CJ1532),"MAX &lt; MB+LG; ","")&amp;IF(AND(CP1532&gt;0,CO1532*10&gt;CP1532),"zu hoch für Tablar; ","")&amp;IF(AND(BV1532=0,OR(CH1532=1,AA1532&lt;&gt;"",U1532&lt;&gt;"",V1532&lt;&gt;"",AB1532&lt;&gt;"")),"manuell übersteuert; ","")&amp;IF(AND(BZ1532=0,R1532=0),"Gebinde unbekannt / Stellmass fehlt; ","")&amp;IF(AND(BZ1532=0,N(V1532)&lt;=0,N(Q1532)&lt;=0),"Menge pro Gebinde fehlt (Ist = 1 Gebinde); ","")&amp;BU1532)</f>
        <v>Kein Verbrauch; Überbestand 6 Stk / CHF 659; nur im Artikelstamm (Bestand 23.06.2026); B&amp;R</v>
      </c>
      <c r="BN1532" s="48"/>
      <c r="BO1532" s="48"/>
      <c r="BP1532" s="55"/>
      <c r="BQ1532" s="50" t="n">
        <v>7</v>
      </c>
      <c r="BR1532" s="50" t="n">
        <v>0</v>
      </c>
      <c r="BS1532" s="49" t="n">
        <v>0</v>
      </c>
      <c r="BT1532" s="50" t="n">
        <v>0</v>
      </c>
      <c r="BU1532" s="48" t="s">
        <v>2688</v>
      </c>
      <c r="BV1532" s="53" t="n">
        <v>0</v>
      </c>
      <c r="BW1532" s="53" t="n">
        <v>1532</v>
      </c>
      <c r="BX1532" s="48" t="str">
        <f aca="false">IF(U1532&lt;&gt;"",UPPER(TRIM(U1532)),IF(CA1532=1,UPPER(VLOOKUP(T1532,Parameter!$I$27:$K$29,2,0)),IF(P1532="","LOSE",P1532)))</f>
        <v>S51</v>
      </c>
      <c r="BY1532" s="50" t="n">
        <f aca="false">IF(BX1532="LOSE",1,IF(N(V1532)&gt;0,V1532,IF(CA1532=1,MAX(1,N(VLOOKUP(T1532,Parameter!$I$27:$K$29,3,0)),H1532,N(N1532)),IF(N(Q1532)&gt;0,Q1532,MAX(1,H1532)))))</f>
        <v>7</v>
      </c>
      <c r="BZ1532" s="53" t="n">
        <f aca="false">IF(BX1532="LOSE",1,0)</f>
        <v>0</v>
      </c>
      <c r="CA1532" s="53" t="n">
        <f aca="false">IF(AND(U1532="",OR(P1532="",P1532="LOSE"),T1532&lt;&gt;"",N(S1532)&lt;=0,ISNUMBER(MATCH(T1532,Parameter!$I$27:$I$29,0))),1,0)</f>
        <v>0</v>
      </c>
      <c r="CB1532" s="53" t="n">
        <f aca="false">IF(CQ1532&gt;0,INDEX(Parameter!$H$5:$H$7,W1532)/INDEX(Parameter!$E$5:$E$7,W1532),IF(AND(BZ1532=0,N(IFERROR(VLOOKUP(BX1532,'Gebinde-Kategorie'!$A$5:$N$45,14,0),0))&gt;0),VLOOKUP(BX1532,'Gebinde-Kategorie'!$A$5:$N$45,14,0)*10+Parameter!$M$23,Parameter!$M$24))</f>
        <v>155</v>
      </c>
      <c r="CC1532" s="48" t="str">
        <f aca="false">IF(AND(Parameter!$B$19="Ja",E1532&lt;&gt;"",ISNUMBER(MATCH(E1532,Parameter!$I$35:$I$52,0))),VLOOKUP(E1532,Parameter!$I$35:$J$52,2,0),IFERROR(VLOOKUP(D1532,Parameter!$A$35:$C$64,2,0),"Nein"))</f>
        <v>2+3</v>
      </c>
      <c r="CD1532" s="52" t="n">
        <f aca="false">IF(BZ1532=0,0,IF(N(S1532)&gt;0,S1532,IFERROR(VLOOKUP(D1532,Parameter!$A$35:$C$64,3,0)+0,0)))</f>
        <v>0</v>
      </c>
      <c r="CE1532" s="48" t="n">
        <f aca="false">IF(AA1532&lt;&gt;"",AA1532,Z1532)</f>
        <v>3</v>
      </c>
      <c r="CF1532" s="48" t="str">
        <f aca="false">IF(OR(CE1532=1,CE1532=2,CE1532=3),IF(Parameter!$E$27="Ja","LIFT",IF(CE1532=1,"L1","L23")),IF(CE1532="Aussen","Aussen","-"))</f>
        <v>LIFT</v>
      </c>
      <c r="CG1532" s="59" t="n">
        <f aca="false">IF(N(AB1532)&gt;0,AB1532,0)</f>
        <v>0</v>
      </c>
      <c r="CH1532" s="53" t="n">
        <f aca="false">IF(ISNUMBER(AE1532),1,0)</f>
        <v>0</v>
      </c>
      <c r="CI1532" s="50" t="n">
        <f aca="false">N(AE1532)</f>
        <v>0</v>
      </c>
      <c r="CJ1532" s="50" t="n">
        <f aca="false">N(M1532)+N(N1532)</f>
        <v>1</v>
      </c>
      <c r="CK1532" s="50" t="n">
        <f aca="false">N(M1532)</f>
        <v>0</v>
      </c>
      <c r="CL1532" s="50" t="n">
        <f aca="false">N(N1532)</f>
        <v>1</v>
      </c>
      <c r="CM1532" s="50" t="n">
        <f aca="false">ROUNDUP(H1532/BY1532,0)</f>
        <v>1</v>
      </c>
      <c r="CN1532" s="50" t="n">
        <f aca="false">ROUNDUP(CI1532/BY1532,0)</f>
        <v>0</v>
      </c>
      <c r="CO1532" s="53" t="n">
        <f aca="false">IF(BZ1532=1,0,IFERROR(VLOOKUP(BX1532,'Gebinde-Kategorie'!$A$5:$N$45,5,0)+0,0))</f>
        <v>11</v>
      </c>
      <c r="CP1532" s="53" t="n">
        <f aca="false">IFERROR(IF(OR(CE1532=1,CE1532=2,CE1532=3),N(INDEX(Parameter!$I$5:$I$7,CE1532)),0),0)</f>
        <v>0</v>
      </c>
      <c r="CQ1532" s="52" t="n">
        <f aca="false">IF(AND(Parameter!$B$21="Ja",ISNUMBER(W1532),N(X1532)&gt;0),IFERROR(N(INDEX(Parameter!$L$5:$L$7,W1532))*INDEX(Parameter!$E$5:$E$7,W1532)*X1532/SUMIFS($X$7:$X$1843,$W$7:$W$1843,W1532),0),0)</f>
        <v>0</v>
      </c>
    </row>
    <row r="1533" customFormat="false" ht="15" hidden="false" customHeight="false" outlineLevel="0" collapsed="false">
      <c r="A1533" s="48" t="s">
        <v>2689</v>
      </c>
      <c r="B1533" s="48" t="s">
        <v>2690</v>
      </c>
      <c r="C1533" s="48" t="s">
        <v>173</v>
      </c>
      <c r="D1533" s="48" t="s">
        <v>193</v>
      </c>
      <c r="E1533" s="48" t="s">
        <v>194</v>
      </c>
      <c r="F1533" s="48"/>
      <c r="G1533" s="49" t="n">
        <v>139.8</v>
      </c>
      <c r="H1533" s="50" t="n">
        <f aca="false">MAX(0,IF(AND(Parameter!$B$21="Ja",ISNUMBER(Y1533)),Y1533,IF(Parameter!$B$20="Jahresanfang 2025 + Export",BR1533+BQ1533,BQ1533)))</f>
        <v>6</v>
      </c>
      <c r="I1533" s="50" t="n">
        <f aca="false">H1533*G1533</f>
        <v>838.8</v>
      </c>
      <c r="J1533" s="50" t="n">
        <f aca="false">BT1533*Parameter!$B$18</f>
        <v>0</v>
      </c>
      <c r="K1533" s="51"/>
      <c r="L1533" s="52"/>
      <c r="M1533" s="50" t="n">
        <v>0</v>
      </c>
      <c r="N1533" s="50" t="n">
        <v>1</v>
      </c>
      <c r="O1533" s="53" t="n">
        <v>30</v>
      </c>
      <c r="P1533" s="48" t="s">
        <v>311</v>
      </c>
      <c r="Q1533" s="50" t="n">
        <v>6</v>
      </c>
      <c r="R1533" s="53" t="n">
        <f aca="false">IF(BZ1533=1,0,IFERROR(VLOOKUP(BX1533,'Gebinde-Kategorie'!$A$5:$N$45,13,0)+0,0))</f>
        <v>26</v>
      </c>
      <c r="S1533" s="54"/>
      <c r="T1533" s="55"/>
      <c r="U1533" s="55"/>
      <c r="V1533" s="55"/>
      <c r="W1533" s="48"/>
      <c r="X1533" s="50"/>
      <c r="Y1533" s="50"/>
      <c r="Z1533" s="48" t="n">
        <f aca="false">IF(A1533="","",IF(AND(Parameter!$B$21="Ja",ISNUMBER(W1533)),W1533,IF(CC1533="2+3",IF(ISNUMBER(SEARCH("grosser Artikel",BU1533)),2,IFERROR(VLOOKUP(BX1533,Parameter!$F$35:$G$64,2,0),2)),IF(OR(CC1533="Nein",CC1533=""),"-",CC1533))))</f>
        <v>3</v>
      </c>
      <c r="AA1533" s="55"/>
      <c r="AB1533" s="56"/>
      <c r="AC1533" s="50" t="n">
        <f aca="false">AV1533</f>
        <v>1</v>
      </c>
      <c r="AD1533" s="50" t="n">
        <f aca="false">MAX(AV1533,H1533)</f>
        <v>6</v>
      </c>
      <c r="AE1533" s="57"/>
      <c r="AF1533" s="50" t="n">
        <f aca="false">IF(LEFT(Cockpit!$C$5,1)="A",H1533,IF(Parameter!$E$30="MAX-Bestand",IF(CH1533=1,CI1533,IF(LEFT(Cockpit!$C$5,1)="B",AL1533,MAX(AL1533,H1533))),ROUNDUP(AJ1533,0)))</f>
        <v>6</v>
      </c>
      <c r="AG1533" s="50" t="n">
        <f aca="false">IF(BZ1533=1,0,ROUNDUP(AF1533/BY1533,0))</f>
        <v>1</v>
      </c>
      <c r="AH1533" s="52" t="n">
        <f aca="false">IF(CQ1533&gt;0,CQ1533*MAX(1,AF1533/X1533),IF(BZ1533=1,IF(AF1533&lt;=0,0,CD1533*MAX(1,IF(H1533&gt;0,AF1533/H1533,1))),IF(R1533&gt;0,AG1533/R1533,0))/MAX(0.1,N(Parameter!$M$21)))</f>
        <v>0.0384615384615385</v>
      </c>
      <c r="AI1533" s="50" t="n">
        <f aca="false">AH1533*CB1533</f>
        <v>5.96153846153846</v>
      </c>
      <c r="AJ1533" s="51" t="n">
        <f aca="false">IF(LEFT(Cockpit!$C$5,1)="A",H1533,IF(CH1533=1,(CK1533+CI1533)/2,IF(LEFT(Cockpit!$C$5,1)="B",(CK1533+AL1533)/2,MAX((CK1533+AL1533)/2,H1533))))</f>
        <v>6</v>
      </c>
      <c r="AK1533" s="50" t="n">
        <f aca="false">AJ1533*G1533</f>
        <v>838.8</v>
      </c>
      <c r="AL1533" s="50" t="n">
        <f aca="false">ROUNDUP(CK1533+MAX(CL1533,2*(J1533/IF(CG1533&gt;0,CG1533,MAX(0.1,N(Cockpit!$C$6)))-CK1533)),0)</f>
        <v>1</v>
      </c>
      <c r="AM1533" s="51" t="n">
        <f aca="false">IF(AI1533&gt;0,J1533/AI1533,-1)</f>
        <v>0</v>
      </c>
      <c r="AN1533" s="51" t="n">
        <f aca="false">IF(AND(OR(CF1533="L1",CF1533="L23",CF1533="LIFT"),AI1533&gt;0),SUMIFS($AI$7:$AI$1843,$CF$7:$CF$1843,CF1533,$AM$7:$AM$1843,"&gt;"&amp;AM1533)+SUMIFS($AI$7:$AI$1843,$CF$7:$CF$1843,CF1533,$AM$7:$AM$1843,AM1533,$BW$7:$BW$1843,"&lt;="&amp;BW1533),"")</f>
        <v>30096.9558990915</v>
      </c>
      <c r="AO1533" s="58" t="n">
        <f aca="false">IF(AN1533="",0,MAX(0,MIN(1,(IF(CF1533="L1",Parameter!$H$5,IF(CF1533="L23",Parameter!$H$6+Parameter!$H$7,Parameter!$H$5+Parameter!$H$6+Parameter!$H$7))-(AN1533-AI1533))/AI1533)))</f>
        <v>1</v>
      </c>
      <c r="AP1533" s="50" t="n">
        <f aca="false">IF(LEFT(Cockpit!$I$5,1)="A",H1533,IF(Parameter!$E$30="MAX-Bestand",IF(CH1533=1,CI1533,IF(LEFT(Cockpit!$I$5,1)="B",AV1533,MAX(AV1533,H1533))),ROUNDUP(AT1533,0)))</f>
        <v>6</v>
      </c>
      <c r="AQ1533" s="50" t="n">
        <f aca="false">IF(BZ1533=1,0,ROUNDUP(AP1533/BY1533,0))</f>
        <v>1</v>
      </c>
      <c r="AR1533" s="52" t="n">
        <f aca="false">IF(CQ1533&gt;0,CQ1533*MAX(1,AP1533/X1533),IF(BZ1533=1,IF(AP1533&lt;=0,0,CD1533*MAX(1,IF(H1533&gt;0,AP1533/H1533,1))),IF(R1533&gt;0,AQ1533/R1533,0))/MAX(0.1,N(Parameter!$M$21)))</f>
        <v>0.0384615384615385</v>
      </c>
      <c r="AS1533" s="50" t="n">
        <f aca="false">AR1533*CB1533</f>
        <v>5.96153846153846</v>
      </c>
      <c r="AT1533" s="51" t="n">
        <f aca="false">IF(LEFT(Cockpit!$I$5,1)="A",H1533,IF(CH1533=1,(CK1533+CI1533)/2,IF(LEFT(Cockpit!$I$5,1)="B",(CK1533+AV1533)/2,MAX((CK1533+AV1533)/2,H1533))))</f>
        <v>6</v>
      </c>
      <c r="AU1533" s="50" t="n">
        <f aca="false">AT1533*G1533</f>
        <v>838.8</v>
      </c>
      <c r="AV1533" s="50" t="n">
        <f aca="false">ROUNDUP(CK1533+MAX(CL1533,2*(J1533/IF(CG1533&gt;0,CG1533,MAX(0.1,N(Cockpit!$I$6)))-CK1533)),0)</f>
        <v>1</v>
      </c>
      <c r="AW1533" s="51" t="n">
        <f aca="false">IF(AS1533&gt;0,J1533/AS1533,-1)</f>
        <v>0</v>
      </c>
      <c r="AX1533" s="51" t="n">
        <f aca="false">IF(AND(OR(CF1533="L1",CF1533="L23",CF1533="LIFT"),AS1533&gt;0),SUMIFS($AS$7:$AS$1843,$CF$7:$CF$1843,CF1533,$AW$7:$AW$1843,"&gt;"&amp;AW1533)+SUMIFS($AS$7:$AS$1843,$CF$7:$CF$1843,CF1533,$AW$7:$AW$1843,AW1533,$BW$7:$BW$1843,"&lt;="&amp;BW1533),"")</f>
        <v>36416.8124159268</v>
      </c>
      <c r="AY1533" s="58" t="n">
        <f aca="false">IF(AX1533="",0,MAX(0,MIN(1,(IF(CF1533="L1",Parameter!$H$5,IF(CF1533="L23",Parameter!$H$6+Parameter!$H$7,Parameter!$H$5+Parameter!$H$6+Parameter!$H$7))-(AX1533-AS1533))/AS1533)))</f>
        <v>0</v>
      </c>
      <c r="AZ1533" s="50" t="n">
        <f aca="false">IF(LEFT(Cockpit!$O$5,1)="A",H1533,IF(Parameter!$E$30="MAX-Bestand",IF(CH1533=1,CI1533,IF(LEFT(Cockpit!$O$5,1)="B",BF1533,MAX(BF1533,H1533))),ROUNDUP(BD1533,0)))</f>
        <v>1</v>
      </c>
      <c r="BA1533" s="50" t="n">
        <f aca="false">IF(BZ1533=1,0,ROUNDUP(AZ1533/BY1533,0))</f>
        <v>1</v>
      </c>
      <c r="BB1533" s="52" t="n">
        <f aca="false">IF(CQ1533&gt;0,CQ1533*MAX(1,AZ1533/X1533),IF(BZ1533=1,IF(AZ1533&lt;=0,0,CD1533*MAX(1,IF(H1533&gt;0,AZ1533/H1533,1))),IF(R1533&gt;0,BA1533/R1533,0))/MAX(0.1,N(Parameter!$M$21)))</f>
        <v>0.0384615384615385</v>
      </c>
      <c r="BC1533" s="50" t="n">
        <f aca="false">BB1533*CB1533</f>
        <v>5.96153846153846</v>
      </c>
      <c r="BD1533" s="51" t="n">
        <f aca="false">IF(LEFT(Cockpit!$O$5,1)="A",H1533,IF(CH1533=1,(CK1533+CI1533)/2,IF(LEFT(Cockpit!$O$5,1)="B",(CK1533+BF1533)/2,MAX((CK1533+BF1533)/2,H1533))))</f>
        <v>0.5</v>
      </c>
      <c r="BE1533" s="50" t="n">
        <f aca="false">BD1533*G1533</f>
        <v>69.9</v>
      </c>
      <c r="BF1533" s="50" t="n">
        <f aca="false">ROUNDUP(CK1533+MAX(CL1533,2*(J1533/IF(CG1533&gt;0,CG1533,MAX(0.1,N(Cockpit!$O$6)))-CK1533)),0)</f>
        <v>1</v>
      </c>
      <c r="BG1533" s="51" t="n">
        <f aca="false">IF(BC1533&gt;0,J1533/BC1533,-1)</f>
        <v>0</v>
      </c>
      <c r="BH1533" s="51" t="n">
        <f aca="false">IF(AND(OR(CF1533="L1",CF1533="L23",CF1533="LIFT"),BC1533&gt;0),SUMIFS($BC$7:$BC$1843,$CF$7:$CF$1843,CF1533,$BG$7:$BG$1843,"&gt;"&amp;BG1533)+SUMIFS($BC$7:$BC$1843,$CF$7:$CF$1843,CF1533,$BG$7:$BG$1843,BG1533,$BW$7:$BW$1843,"&lt;="&amp;BW1533),"")</f>
        <v>30355.0036914592</v>
      </c>
      <c r="BI1533" s="58" t="n">
        <f aca="false">IF(BH1533="",0,MAX(0,MIN(1,(IF(CF1533="L1",Parameter!$H$5,IF(CF1533="L23",Parameter!$H$6+Parameter!$H$7,Parameter!$H$5+Parameter!$H$6+Parameter!$H$7))-(BH1533-BC1533))/BC1533)))</f>
        <v>1</v>
      </c>
      <c r="BJ1533" s="48" t="str">
        <f aca="false">IF(AI1533&lt;=0,"",IF(CF1533="Aussen","Aussenlager",IF(CF1533="-","Nicht im Lift",IF(AO1533&gt;=1,"Lift",IF(AO1533&lt;=0,"Aussenlager","teilweise")))))</f>
        <v>Lift</v>
      </c>
      <c r="BK1533" s="48" t="str">
        <f aca="false">IF(AS1533&lt;=0,"",IF(CF1533="Aussen","Aussenlager",IF(CF1533="-","Nicht im Lift",IF(AY1533&gt;=1,"Lift",IF(AY1533&lt;=0,"Aussenlager","teilweise")))))</f>
        <v>Aussenlager</v>
      </c>
      <c r="BL1533" s="48" t="str">
        <f aca="false">IF(BC1533&lt;=0,"",IF(CF1533="Aussen","Aussenlager",IF(CF1533="-","Nicht im Lift",IF(BI1533&gt;=1,"Lift",IF(BI1533&lt;=0,"Aussenlager","teilweise")))))</f>
        <v>Lift</v>
      </c>
      <c r="BM1533" s="48" t="str">
        <f aca="false">IF(A1533="","",IF(BV1533=1,"Neu; ","")&amp;IF(AND(BV1533=0,BQ1533&lt;0),"negativer Bestand (Export "&amp;BQ1533&amp;"); ","")&amp;IF(J1533&lt;=0,"Kein Verbrauch; ","")&amp;IF(CQ1533&gt;0,"Lift "&amp;W1533&amp;" lt. Liftbericht (Fach "&amp;X1533&amp;" Stk); ",IF(CA1533=1,"Gebinde geschätzt ("&amp;T1533&amp;"); ",IF(BZ1533=1,"Lose – Tablare geschätzt; ","")))&amp;IF(H1533&gt;AV1533,"Überbestand "&amp;ROUND(H1533-AV1533,0)&amp;" Stk / CHF "&amp;ROUND((H1533-AV1533)*G1533,0)&amp;"; ","")&amp;IF(AND(CH1533=1,CI1533&lt;CJ1533),"MAX &lt; MB+LG; ","")&amp;IF(AND(CP1533&gt;0,CO1533*10&gt;CP1533),"zu hoch für Tablar; ","")&amp;IF(AND(BV1533=0,OR(CH1533=1,AA1533&lt;&gt;"",U1533&lt;&gt;"",V1533&lt;&gt;"",AB1533&lt;&gt;"")),"manuell übersteuert; ","")&amp;IF(AND(BZ1533=0,R1533=0),"Gebinde unbekannt / Stellmass fehlt; ","")&amp;IF(AND(BZ1533=0,N(V1533)&lt;=0,N(Q1533)&lt;=0),"Menge pro Gebinde fehlt (Ist = 1 Gebinde); ","")&amp;BU1533)</f>
        <v>Kein Verbrauch; Überbestand 5 Stk / CHF 699; nur im Artikelstamm (Bestand 23.06.2026)</v>
      </c>
      <c r="BN1533" s="48"/>
      <c r="BO1533" s="48"/>
      <c r="BP1533" s="55"/>
      <c r="BQ1533" s="50" t="n">
        <v>6</v>
      </c>
      <c r="BR1533" s="50" t="n">
        <v>0</v>
      </c>
      <c r="BS1533" s="49" t="n">
        <v>0</v>
      </c>
      <c r="BT1533" s="50" t="n">
        <v>0</v>
      </c>
      <c r="BU1533" s="48" t="s">
        <v>2584</v>
      </c>
      <c r="BV1533" s="53" t="n">
        <v>0</v>
      </c>
      <c r="BW1533" s="53" t="n">
        <v>1533</v>
      </c>
      <c r="BX1533" s="48" t="str">
        <f aca="false">IF(U1533&lt;&gt;"",UPPER(TRIM(U1533)),IF(CA1533=1,UPPER(VLOOKUP(T1533,Parameter!$I$27:$K$29,2,0)),IF(P1533="","LOSE",P1533)))</f>
        <v>S51</v>
      </c>
      <c r="BY1533" s="50" t="n">
        <f aca="false">IF(BX1533="LOSE",1,IF(N(V1533)&gt;0,V1533,IF(CA1533=1,MAX(1,N(VLOOKUP(T1533,Parameter!$I$27:$K$29,3,0)),H1533,N(N1533)),IF(N(Q1533)&gt;0,Q1533,MAX(1,H1533)))))</f>
        <v>6</v>
      </c>
      <c r="BZ1533" s="53" t="n">
        <f aca="false">IF(BX1533="LOSE",1,0)</f>
        <v>0</v>
      </c>
      <c r="CA1533" s="53" t="n">
        <f aca="false">IF(AND(U1533="",OR(P1533="",P1533="LOSE"),T1533&lt;&gt;"",N(S1533)&lt;=0,ISNUMBER(MATCH(T1533,Parameter!$I$27:$I$29,0))),1,0)</f>
        <v>0</v>
      </c>
      <c r="CB1533" s="53" t="n">
        <f aca="false">IF(CQ1533&gt;0,INDEX(Parameter!$H$5:$H$7,W1533)/INDEX(Parameter!$E$5:$E$7,W1533),IF(AND(BZ1533=0,N(IFERROR(VLOOKUP(BX1533,'Gebinde-Kategorie'!$A$5:$N$45,14,0),0))&gt;0),VLOOKUP(BX1533,'Gebinde-Kategorie'!$A$5:$N$45,14,0)*10+Parameter!$M$23,Parameter!$M$24))</f>
        <v>155</v>
      </c>
      <c r="CC1533" s="48" t="str">
        <f aca="false">IF(AND(Parameter!$B$19="Ja",E1533&lt;&gt;"",ISNUMBER(MATCH(E1533,Parameter!$I$35:$I$52,0))),VLOOKUP(E1533,Parameter!$I$35:$J$52,2,0),IFERROR(VLOOKUP(D1533,Parameter!$A$35:$C$64,2,0),"Nein"))</f>
        <v>2+3</v>
      </c>
      <c r="CD1533" s="52" t="n">
        <f aca="false">IF(BZ1533=0,0,IF(N(S1533)&gt;0,S1533,IFERROR(VLOOKUP(D1533,Parameter!$A$35:$C$64,3,0)+0,0)))</f>
        <v>0</v>
      </c>
      <c r="CE1533" s="48" t="n">
        <f aca="false">IF(AA1533&lt;&gt;"",AA1533,Z1533)</f>
        <v>3</v>
      </c>
      <c r="CF1533" s="48" t="str">
        <f aca="false">IF(OR(CE1533=1,CE1533=2,CE1533=3),IF(Parameter!$E$27="Ja","LIFT",IF(CE1533=1,"L1","L23")),IF(CE1533="Aussen","Aussen","-"))</f>
        <v>LIFT</v>
      </c>
      <c r="CG1533" s="59" t="n">
        <f aca="false">IF(N(AB1533)&gt;0,AB1533,0)</f>
        <v>0</v>
      </c>
      <c r="CH1533" s="53" t="n">
        <f aca="false">IF(ISNUMBER(AE1533),1,0)</f>
        <v>0</v>
      </c>
      <c r="CI1533" s="50" t="n">
        <f aca="false">N(AE1533)</f>
        <v>0</v>
      </c>
      <c r="CJ1533" s="50" t="n">
        <f aca="false">N(M1533)+N(N1533)</f>
        <v>1</v>
      </c>
      <c r="CK1533" s="50" t="n">
        <f aca="false">N(M1533)</f>
        <v>0</v>
      </c>
      <c r="CL1533" s="50" t="n">
        <f aca="false">N(N1533)</f>
        <v>1</v>
      </c>
      <c r="CM1533" s="50" t="n">
        <f aca="false">ROUNDUP(H1533/BY1533,0)</f>
        <v>1</v>
      </c>
      <c r="CN1533" s="50" t="n">
        <f aca="false">ROUNDUP(CI1533/BY1533,0)</f>
        <v>0</v>
      </c>
      <c r="CO1533" s="53" t="n">
        <f aca="false">IF(BZ1533=1,0,IFERROR(VLOOKUP(BX1533,'Gebinde-Kategorie'!$A$5:$N$45,5,0)+0,0))</f>
        <v>11</v>
      </c>
      <c r="CP1533" s="53" t="n">
        <f aca="false">IFERROR(IF(OR(CE1533=1,CE1533=2,CE1533=3),N(INDEX(Parameter!$I$5:$I$7,CE1533)),0),0)</f>
        <v>0</v>
      </c>
      <c r="CQ1533" s="52" t="n">
        <f aca="false">IF(AND(Parameter!$B$21="Ja",ISNUMBER(W1533),N(X1533)&gt;0),IFERROR(N(INDEX(Parameter!$L$5:$L$7,W1533))*INDEX(Parameter!$E$5:$E$7,W1533)*X1533/SUMIFS($X$7:$X$1843,$W$7:$W$1843,W1533),0),0)</f>
        <v>0</v>
      </c>
    </row>
    <row r="1534" customFormat="false" ht="15" hidden="false" customHeight="false" outlineLevel="0" collapsed="false">
      <c r="A1534" s="48" t="s">
        <v>2691</v>
      </c>
      <c r="B1534" s="48" t="s">
        <v>2692</v>
      </c>
      <c r="C1534" s="48" t="s">
        <v>173</v>
      </c>
      <c r="D1534" s="48" t="s">
        <v>193</v>
      </c>
      <c r="E1534" s="48" t="s">
        <v>194</v>
      </c>
      <c r="F1534" s="48"/>
      <c r="G1534" s="49" t="n">
        <v>45.03</v>
      </c>
      <c r="H1534" s="50" t="n">
        <f aca="false">MAX(0,IF(AND(Parameter!$B$21="Ja",ISNUMBER(Y1534)),Y1534,IF(Parameter!$B$20="Jahresanfang 2025 + Export",BR1534+BQ1534,BQ1534)))</f>
        <v>7</v>
      </c>
      <c r="I1534" s="50" t="n">
        <f aca="false">H1534*G1534</f>
        <v>315.21</v>
      </c>
      <c r="J1534" s="50" t="n">
        <f aca="false">BT1534*Parameter!$B$18</f>
        <v>0</v>
      </c>
      <c r="K1534" s="51"/>
      <c r="L1534" s="52"/>
      <c r="M1534" s="50" t="n">
        <v>0</v>
      </c>
      <c r="N1534" s="50" t="n">
        <v>2</v>
      </c>
      <c r="O1534" s="53" t="n">
        <v>42</v>
      </c>
      <c r="P1534" s="48" t="s">
        <v>337</v>
      </c>
      <c r="Q1534" s="50" t="n">
        <v>7</v>
      </c>
      <c r="R1534" s="53" t="n">
        <f aca="false">IF(BZ1534=1,0,IFERROR(VLOOKUP(BX1534,'Gebinde-Kategorie'!$A$5:$N$45,13,0)+0,0))</f>
        <v>52</v>
      </c>
      <c r="S1534" s="54"/>
      <c r="T1534" s="55"/>
      <c r="U1534" s="55"/>
      <c r="V1534" s="55"/>
      <c r="W1534" s="48"/>
      <c r="X1534" s="50"/>
      <c r="Y1534" s="50"/>
      <c r="Z1534" s="48" t="n">
        <f aca="false">IF(A1534="","",IF(AND(Parameter!$B$21="Ja",ISNUMBER(W1534)),W1534,IF(CC1534="2+3",IF(ISNUMBER(SEARCH("grosser Artikel",BU1534)),2,IFERROR(VLOOKUP(BX1534,Parameter!$F$35:$G$64,2,0),2)),IF(OR(CC1534="Nein",CC1534=""),"-",CC1534))))</f>
        <v>3</v>
      </c>
      <c r="AA1534" s="55"/>
      <c r="AB1534" s="56"/>
      <c r="AC1534" s="50" t="n">
        <f aca="false">AV1534</f>
        <v>2</v>
      </c>
      <c r="AD1534" s="50" t="n">
        <f aca="false">MAX(AV1534,H1534)</f>
        <v>7</v>
      </c>
      <c r="AE1534" s="57"/>
      <c r="AF1534" s="50" t="n">
        <f aca="false">IF(LEFT(Cockpit!$C$5,1)="A",H1534,IF(Parameter!$E$30="MAX-Bestand",IF(CH1534=1,CI1534,IF(LEFT(Cockpit!$C$5,1)="B",AL1534,MAX(AL1534,H1534))),ROUNDUP(AJ1534,0)))</f>
        <v>7</v>
      </c>
      <c r="AG1534" s="50" t="n">
        <f aca="false">IF(BZ1534=1,0,ROUNDUP(AF1534/BY1534,0))</f>
        <v>1</v>
      </c>
      <c r="AH1534" s="52" t="n">
        <f aca="false">IF(CQ1534&gt;0,CQ1534*MAX(1,AF1534/X1534),IF(BZ1534=1,IF(AF1534&lt;=0,0,CD1534*MAX(1,IF(H1534&gt;0,AF1534/H1534,1))),IF(R1534&gt;0,AG1534/R1534,0))/MAX(0.1,N(Parameter!$M$21)))</f>
        <v>0.0192307692307692</v>
      </c>
      <c r="AI1534" s="50" t="n">
        <f aca="false">AH1534*CB1534</f>
        <v>2.98076923076923</v>
      </c>
      <c r="AJ1534" s="51" t="n">
        <f aca="false">IF(LEFT(Cockpit!$C$5,1)="A",H1534,IF(CH1534=1,(CK1534+CI1534)/2,IF(LEFT(Cockpit!$C$5,1)="B",(CK1534+AL1534)/2,MAX((CK1534+AL1534)/2,H1534))))</f>
        <v>7</v>
      </c>
      <c r="AK1534" s="50" t="n">
        <f aca="false">AJ1534*G1534</f>
        <v>315.21</v>
      </c>
      <c r="AL1534" s="50" t="n">
        <f aca="false">ROUNDUP(CK1534+MAX(CL1534,2*(J1534/IF(CG1534&gt;0,CG1534,MAX(0.1,N(Cockpit!$C$6)))-CK1534)),0)</f>
        <v>2</v>
      </c>
      <c r="AM1534" s="51" t="n">
        <f aca="false">IF(AI1534&gt;0,J1534/AI1534,-1)</f>
        <v>0</v>
      </c>
      <c r="AN1534" s="51" t="n">
        <f aca="false">IF(AND(OR(CF1534="L1",CF1534="L23",CF1534="LIFT"),AI1534&gt;0),SUMIFS($AI$7:$AI$1843,$CF$7:$CF$1843,CF1534,$AM$7:$AM$1843,"&gt;"&amp;AM1534)+SUMIFS($AI$7:$AI$1843,$CF$7:$CF$1843,CF1534,$AM$7:$AM$1843,AM1534,$BW$7:$BW$1843,"&lt;="&amp;BW1534),"")</f>
        <v>30099.9366683223</v>
      </c>
      <c r="AO1534" s="58" t="n">
        <f aca="false">IF(AN1534="",0,MAX(0,MIN(1,(IF(CF1534="L1",Parameter!$H$5,IF(CF1534="L23",Parameter!$H$6+Parameter!$H$7,Parameter!$H$5+Parameter!$H$6+Parameter!$H$7))-(AN1534-AI1534))/AI1534)))</f>
        <v>1</v>
      </c>
      <c r="AP1534" s="50" t="n">
        <f aca="false">IF(LEFT(Cockpit!$I$5,1)="A",H1534,IF(Parameter!$E$30="MAX-Bestand",IF(CH1534=1,CI1534,IF(LEFT(Cockpit!$I$5,1)="B",AV1534,MAX(AV1534,H1534))),ROUNDUP(AT1534,0)))</f>
        <v>7</v>
      </c>
      <c r="AQ1534" s="50" t="n">
        <f aca="false">IF(BZ1534=1,0,ROUNDUP(AP1534/BY1534,0))</f>
        <v>1</v>
      </c>
      <c r="AR1534" s="52" t="n">
        <f aca="false">IF(CQ1534&gt;0,CQ1534*MAX(1,AP1534/X1534),IF(BZ1534=1,IF(AP1534&lt;=0,0,CD1534*MAX(1,IF(H1534&gt;0,AP1534/H1534,1))),IF(R1534&gt;0,AQ1534/R1534,0))/MAX(0.1,N(Parameter!$M$21)))</f>
        <v>0.0192307692307692</v>
      </c>
      <c r="AS1534" s="50" t="n">
        <f aca="false">AR1534*CB1534</f>
        <v>2.98076923076923</v>
      </c>
      <c r="AT1534" s="51" t="n">
        <f aca="false">IF(LEFT(Cockpit!$I$5,1)="A",H1534,IF(CH1534=1,(CK1534+CI1534)/2,IF(LEFT(Cockpit!$I$5,1)="B",(CK1534+AV1534)/2,MAX((CK1534+AV1534)/2,H1534))))</f>
        <v>7</v>
      </c>
      <c r="AU1534" s="50" t="n">
        <f aca="false">AT1534*G1534</f>
        <v>315.21</v>
      </c>
      <c r="AV1534" s="50" t="n">
        <f aca="false">ROUNDUP(CK1534+MAX(CL1534,2*(J1534/IF(CG1534&gt;0,CG1534,MAX(0.1,N(Cockpit!$I$6)))-CK1534)),0)</f>
        <v>2</v>
      </c>
      <c r="AW1534" s="51" t="n">
        <f aca="false">IF(AS1534&gt;0,J1534/AS1534,-1)</f>
        <v>0</v>
      </c>
      <c r="AX1534" s="51" t="n">
        <f aca="false">IF(AND(OR(CF1534="L1",CF1534="L23",CF1534="LIFT"),AS1534&gt;0),SUMIFS($AS$7:$AS$1843,$CF$7:$CF$1843,CF1534,$AW$7:$AW$1843,"&gt;"&amp;AW1534)+SUMIFS($AS$7:$AS$1843,$CF$7:$CF$1843,CF1534,$AW$7:$AW$1843,AW1534,$BW$7:$BW$1843,"&lt;="&amp;BW1534),"")</f>
        <v>36419.7931851576</v>
      </c>
      <c r="AY1534" s="58" t="n">
        <f aca="false">IF(AX1534="",0,MAX(0,MIN(1,(IF(CF1534="L1",Parameter!$H$5,IF(CF1534="L23",Parameter!$H$6+Parameter!$H$7,Parameter!$H$5+Parameter!$H$6+Parameter!$H$7))-(AX1534-AS1534))/AS1534)))</f>
        <v>0</v>
      </c>
      <c r="AZ1534" s="50" t="n">
        <f aca="false">IF(LEFT(Cockpit!$O$5,1)="A",H1534,IF(Parameter!$E$30="MAX-Bestand",IF(CH1534=1,CI1534,IF(LEFT(Cockpit!$O$5,1)="B",BF1534,MAX(BF1534,H1534))),ROUNDUP(BD1534,0)))</f>
        <v>1</v>
      </c>
      <c r="BA1534" s="50" t="n">
        <f aca="false">IF(BZ1534=1,0,ROUNDUP(AZ1534/BY1534,0))</f>
        <v>1</v>
      </c>
      <c r="BB1534" s="52" t="n">
        <f aca="false">IF(CQ1534&gt;0,CQ1534*MAX(1,AZ1534/X1534),IF(BZ1534=1,IF(AZ1534&lt;=0,0,CD1534*MAX(1,IF(H1534&gt;0,AZ1534/H1534,1))),IF(R1534&gt;0,BA1534/R1534,0))/MAX(0.1,N(Parameter!$M$21)))</f>
        <v>0.0192307692307692</v>
      </c>
      <c r="BC1534" s="50" t="n">
        <f aca="false">BB1534*CB1534</f>
        <v>2.98076923076923</v>
      </c>
      <c r="BD1534" s="51" t="n">
        <f aca="false">IF(LEFT(Cockpit!$O$5,1)="A",H1534,IF(CH1534=1,(CK1534+CI1534)/2,IF(LEFT(Cockpit!$O$5,1)="B",(CK1534+BF1534)/2,MAX((CK1534+BF1534)/2,H1534))))</f>
        <v>1</v>
      </c>
      <c r="BE1534" s="50" t="n">
        <f aca="false">BD1534*G1534</f>
        <v>45.03</v>
      </c>
      <c r="BF1534" s="50" t="n">
        <f aca="false">ROUNDUP(CK1534+MAX(CL1534,2*(J1534/IF(CG1534&gt;0,CG1534,MAX(0.1,N(Cockpit!$O$6)))-CK1534)),0)</f>
        <v>2</v>
      </c>
      <c r="BG1534" s="51" t="n">
        <f aca="false">IF(BC1534&gt;0,J1534/BC1534,-1)</f>
        <v>0</v>
      </c>
      <c r="BH1534" s="51" t="n">
        <f aca="false">IF(AND(OR(CF1534="L1",CF1534="L23",CF1534="LIFT"),BC1534&gt;0),SUMIFS($BC$7:$BC$1843,$CF$7:$CF$1843,CF1534,$BG$7:$BG$1843,"&gt;"&amp;BG1534)+SUMIFS($BC$7:$BC$1843,$CF$7:$CF$1843,CF1534,$BG$7:$BG$1843,BG1534,$BW$7:$BW$1843,"&lt;="&amp;BW1534),"")</f>
        <v>30357.98446069</v>
      </c>
      <c r="BI1534" s="58" t="n">
        <f aca="false">IF(BH1534="",0,MAX(0,MIN(1,(IF(CF1534="L1",Parameter!$H$5,IF(CF1534="L23",Parameter!$H$6+Parameter!$H$7,Parameter!$H$5+Parameter!$H$6+Parameter!$H$7))-(BH1534-BC1534))/BC1534)))</f>
        <v>1</v>
      </c>
      <c r="BJ1534" s="48" t="str">
        <f aca="false">IF(AI1534&lt;=0,"",IF(CF1534="Aussen","Aussenlager",IF(CF1534="-","Nicht im Lift",IF(AO1534&gt;=1,"Lift",IF(AO1534&lt;=0,"Aussenlager","teilweise")))))</f>
        <v>Lift</v>
      </c>
      <c r="BK1534" s="48" t="str">
        <f aca="false">IF(AS1534&lt;=0,"",IF(CF1534="Aussen","Aussenlager",IF(CF1534="-","Nicht im Lift",IF(AY1534&gt;=1,"Lift",IF(AY1534&lt;=0,"Aussenlager","teilweise")))))</f>
        <v>Aussenlager</v>
      </c>
      <c r="BL1534" s="48" t="str">
        <f aca="false">IF(BC1534&lt;=0,"",IF(CF1534="Aussen","Aussenlager",IF(CF1534="-","Nicht im Lift",IF(BI1534&gt;=1,"Lift",IF(BI1534&lt;=0,"Aussenlager","teilweise")))))</f>
        <v>Lift</v>
      </c>
      <c r="BM1534" s="48" t="str">
        <f aca="false">IF(A1534="","",IF(BV1534=1,"Neu; ","")&amp;IF(AND(BV1534=0,BQ1534&lt;0),"negativer Bestand (Export "&amp;BQ1534&amp;"); ","")&amp;IF(J1534&lt;=0,"Kein Verbrauch; ","")&amp;IF(CQ1534&gt;0,"Lift "&amp;W1534&amp;" lt. Liftbericht (Fach "&amp;X1534&amp;" Stk); ",IF(CA1534=1,"Gebinde geschätzt ("&amp;T1534&amp;"); ",IF(BZ1534=1,"Lose – Tablare geschätzt; ","")))&amp;IF(H1534&gt;AV1534,"Überbestand "&amp;ROUND(H1534-AV1534,0)&amp;" Stk / CHF "&amp;ROUND((H1534-AV1534)*G1534,0)&amp;"; ","")&amp;IF(AND(CH1534=1,CI1534&lt;CJ1534),"MAX &lt; MB+LG; ","")&amp;IF(AND(CP1534&gt;0,CO1534*10&gt;CP1534),"zu hoch für Tablar; ","")&amp;IF(AND(BV1534=0,OR(CH1534=1,AA1534&lt;&gt;"",U1534&lt;&gt;"",V1534&lt;&gt;"",AB1534&lt;&gt;"")),"manuell übersteuert; ","")&amp;IF(AND(BZ1534=0,R1534=0),"Gebinde unbekannt / Stellmass fehlt; ","")&amp;IF(AND(BZ1534=0,N(V1534)&lt;=0,N(Q1534)&lt;=0),"Menge pro Gebinde fehlt (Ist = 1 Gebinde); ","")&amp;BU1534)</f>
        <v>Kein Verbrauch; Überbestand 5 Stk / CHF 225; nur im Artikelstamm (Bestand 23.06.2026); Neu</v>
      </c>
      <c r="BN1534" s="48"/>
      <c r="BO1534" s="48"/>
      <c r="BP1534" s="55"/>
      <c r="BQ1534" s="50" t="n">
        <v>7</v>
      </c>
      <c r="BR1534" s="50" t="n">
        <v>0</v>
      </c>
      <c r="BS1534" s="49" t="n">
        <v>0</v>
      </c>
      <c r="BT1534" s="50" t="n">
        <v>0</v>
      </c>
      <c r="BU1534" s="48" t="s">
        <v>2676</v>
      </c>
      <c r="BV1534" s="53" t="n">
        <v>0</v>
      </c>
      <c r="BW1534" s="53" t="n">
        <v>1534</v>
      </c>
      <c r="BX1534" s="48" t="str">
        <f aca="false">IF(U1534&lt;&gt;"",UPPER(TRIM(U1534)),IF(CA1534=1,UPPER(VLOOKUP(T1534,Parameter!$I$27:$K$29,2,0)),IF(P1534="","LOSE",P1534)))</f>
        <v>S41</v>
      </c>
      <c r="BY1534" s="50" t="n">
        <f aca="false">IF(BX1534="LOSE",1,IF(N(V1534)&gt;0,V1534,IF(CA1534=1,MAX(1,N(VLOOKUP(T1534,Parameter!$I$27:$K$29,3,0)),H1534,N(N1534)),IF(N(Q1534)&gt;0,Q1534,MAX(1,H1534)))))</f>
        <v>7</v>
      </c>
      <c r="BZ1534" s="53" t="n">
        <f aca="false">IF(BX1534="LOSE",1,0)</f>
        <v>0</v>
      </c>
      <c r="CA1534" s="53" t="n">
        <f aca="false">IF(AND(U1534="",OR(P1534="",P1534="LOSE"),T1534&lt;&gt;"",N(S1534)&lt;=0,ISNUMBER(MATCH(T1534,Parameter!$I$27:$I$29,0))),1,0)</f>
        <v>0</v>
      </c>
      <c r="CB1534" s="53" t="n">
        <f aca="false">IF(CQ1534&gt;0,INDEX(Parameter!$H$5:$H$7,W1534)/INDEX(Parameter!$E$5:$E$7,W1534),IF(AND(BZ1534=0,N(IFERROR(VLOOKUP(BX1534,'Gebinde-Kategorie'!$A$5:$N$45,14,0),0))&gt;0),VLOOKUP(BX1534,'Gebinde-Kategorie'!$A$5:$N$45,14,0)*10+Parameter!$M$23,Parameter!$M$24))</f>
        <v>155</v>
      </c>
      <c r="CC1534" s="48" t="str">
        <f aca="false">IF(AND(Parameter!$B$19="Ja",E1534&lt;&gt;"",ISNUMBER(MATCH(E1534,Parameter!$I$35:$I$52,0))),VLOOKUP(E1534,Parameter!$I$35:$J$52,2,0),IFERROR(VLOOKUP(D1534,Parameter!$A$35:$C$64,2,0),"Nein"))</f>
        <v>2+3</v>
      </c>
      <c r="CD1534" s="52" t="n">
        <f aca="false">IF(BZ1534=0,0,IF(N(S1534)&gt;0,S1534,IFERROR(VLOOKUP(D1534,Parameter!$A$35:$C$64,3,0)+0,0)))</f>
        <v>0</v>
      </c>
      <c r="CE1534" s="48" t="n">
        <f aca="false">IF(AA1534&lt;&gt;"",AA1534,Z1534)</f>
        <v>3</v>
      </c>
      <c r="CF1534" s="48" t="str">
        <f aca="false">IF(OR(CE1534=1,CE1534=2,CE1534=3),IF(Parameter!$E$27="Ja","LIFT",IF(CE1534=1,"L1","L23")),IF(CE1534="Aussen","Aussen","-"))</f>
        <v>LIFT</v>
      </c>
      <c r="CG1534" s="59" t="n">
        <f aca="false">IF(N(AB1534)&gt;0,AB1534,0)</f>
        <v>0</v>
      </c>
      <c r="CH1534" s="53" t="n">
        <f aca="false">IF(ISNUMBER(AE1534),1,0)</f>
        <v>0</v>
      </c>
      <c r="CI1534" s="50" t="n">
        <f aca="false">N(AE1534)</f>
        <v>0</v>
      </c>
      <c r="CJ1534" s="50" t="n">
        <f aca="false">N(M1534)+N(N1534)</f>
        <v>2</v>
      </c>
      <c r="CK1534" s="50" t="n">
        <f aca="false">N(M1534)</f>
        <v>0</v>
      </c>
      <c r="CL1534" s="50" t="n">
        <f aca="false">N(N1534)</f>
        <v>2</v>
      </c>
      <c r="CM1534" s="50" t="n">
        <f aca="false">ROUNDUP(H1534/BY1534,0)</f>
        <v>1</v>
      </c>
      <c r="CN1534" s="50" t="n">
        <f aca="false">ROUNDUP(CI1534/BY1534,0)</f>
        <v>0</v>
      </c>
      <c r="CO1534" s="53" t="n">
        <f aca="false">IF(BZ1534=1,0,IFERROR(VLOOKUP(BX1534,'Gebinde-Kategorie'!$A$5:$N$45,5,0)+0,0))</f>
        <v>11</v>
      </c>
      <c r="CP1534" s="53" t="n">
        <f aca="false">IFERROR(IF(OR(CE1534=1,CE1534=2,CE1534=3),N(INDEX(Parameter!$I$5:$I$7,CE1534)),0),0)</f>
        <v>0</v>
      </c>
      <c r="CQ1534" s="52" t="n">
        <f aca="false">IF(AND(Parameter!$B$21="Ja",ISNUMBER(W1534),N(X1534)&gt;0),IFERROR(N(INDEX(Parameter!$L$5:$L$7,W1534))*INDEX(Parameter!$E$5:$E$7,W1534)*X1534/SUMIFS($X$7:$X$1843,$W$7:$W$1843,W1534),0),0)</f>
        <v>0</v>
      </c>
    </row>
    <row r="1535" customFormat="false" ht="15" hidden="false" customHeight="false" outlineLevel="0" collapsed="false">
      <c r="A1535" s="48" t="s">
        <v>2693</v>
      </c>
      <c r="B1535" s="48" t="s">
        <v>2694</v>
      </c>
      <c r="C1535" s="48" t="s">
        <v>173</v>
      </c>
      <c r="D1535" s="48" t="s">
        <v>193</v>
      </c>
      <c r="E1535" s="48" t="s">
        <v>194</v>
      </c>
      <c r="F1535" s="48"/>
      <c r="G1535" s="49" t="n">
        <v>43.15</v>
      </c>
      <c r="H1535" s="50" t="n">
        <f aca="false">MAX(0,IF(AND(Parameter!$B$21="Ja",ISNUMBER(Y1535)),Y1535,IF(Parameter!$B$20="Jahresanfang 2025 + Export",BR1535+BQ1535,BQ1535)))</f>
        <v>2</v>
      </c>
      <c r="I1535" s="50" t="n">
        <f aca="false">H1535*G1535</f>
        <v>86.3</v>
      </c>
      <c r="J1535" s="50" t="n">
        <f aca="false">BT1535*Parameter!$B$18</f>
        <v>0</v>
      </c>
      <c r="K1535" s="51"/>
      <c r="L1535" s="52"/>
      <c r="M1535" s="50" t="n">
        <v>0</v>
      </c>
      <c r="N1535" s="50" t="n">
        <v>1</v>
      </c>
      <c r="O1535" s="53" t="n">
        <v>97</v>
      </c>
      <c r="P1535" s="48" t="s">
        <v>430</v>
      </c>
      <c r="Q1535" s="50" t="n">
        <v>2</v>
      </c>
      <c r="R1535" s="53" t="n">
        <f aca="false">IF(BZ1535=1,0,IFERROR(VLOOKUP(BX1535,'Gebinde-Kategorie'!$A$5:$N$45,13,0)+0,0))</f>
        <v>104</v>
      </c>
      <c r="S1535" s="54"/>
      <c r="T1535" s="55"/>
      <c r="U1535" s="55"/>
      <c r="V1535" s="55"/>
      <c r="W1535" s="48"/>
      <c r="X1535" s="50"/>
      <c r="Y1535" s="50"/>
      <c r="Z1535" s="48" t="n">
        <f aca="false">IF(A1535="","",IF(AND(Parameter!$B$21="Ja",ISNUMBER(W1535)),W1535,IF(CC1535="2+3",IF(ISNUMBER(SEARCH("grosser Artikel",BU1535)),2,IFERROR(VLOOKUP(BX1535,Parameter!$F$35:$G$64,2,0),2)),IF(OR(CC1535="Nein",CC1535=""),"-",CC1535))))</f>
        <v>3</v>
      </c>
      <c r="AA1535" s="55"/>
      <c r="AB1535" s="56"/>
      <c r="AC1535" s="50" t="n">
        <f aca="false">AV1535</f>
        <v>1</v>
      </c>
      <c r="AD1535" s="50" t="n">
        <f aca="false">MAX(AV1535,H1535)</f>
        <v>2</v>
      </c>
      <c r="AE1535" s="57"/>
      <c r="AF1535" s="50" t="n">
        <f aca="false">IF(LEFT(Cockpit!$C$5,1)="A",H1535,IF(Parameter!$E$30="MAX-Bestand",IF(CH1535=1,CI1535,IF(LEFT(Cockpit!$C$5,1)="B",AL1535,MAX(AL1535,H1535))),ROUNDUP(AJ1535,0)))</f>
        <v>2</v>
      </c>
      <c r="AG1535" s="50" t="n">
        <f aca="false">IF(BZ1535=1,0,ROUNDUP(AF1535/BY1535,0))</f>
        <v>1</v>
      </c>
      <c r="AH1535" s="52" t="n">
        <f aca="false">IF(CQ1535&gt;0,CQ1535*MAX(1,AF1535/X1535),IF(BZ1535=1,IF(AF1535&lt;=0,0,CD1535*MAX(1,IF(H1535&gt;0,AF1535/H1535,1))),IF(R1535&gt;0,AG1535/R1535,0))/MAX(0.1,N(Parameter!$M$21)))</f>
        <v>0.00961538461538462</v>
      </c>
      <c r="AI1535" s="50" t="n">
        <f aca="false">AH1535*CB1535</f>
        <v>1.49038461538462</v>
      </c>
      <c r="AJ1535" s="51" t="n">
        <f aca="false">IF(LEFT(Cockpit!$C$5,1)="A",H1535,IF(CH1535=1,(CK1535+CI1535)/2,IF(LEFT(Cockpit!$C$5,1)="B",(CK1535+AL1535)/2,MAX((CK1535+AL1535)/2,H1535))))</f>
        <v>2</v>
      </c>
      <c r="AK1535" s="50" t="n">
        <f aca="false">AJ1535*G1535</f>
        <v>86.3</v>
      </c>
      <c r="AL1535" s="50" t="n">
        <f aca="false">ROUNDUP(CK1535+MAX(CL1535,2*(J1535/IF(CG1535&gt;0,CG1535,MAX(0.1,N(Cockpit!$C$6)))-CK1535)),0)</f>
        <v>1</v>
      </c>
      <c r="AM1535" s="51" t="n">
        <f aca="false">IF(AI1535&gt;0,J1535/AI1535,-1)</f>
        <v>0</v>
      </c>
      <c r="AN1535" s="51" t="n">
        <f aca="false">IF(AND(OR(CF1535="L1",CF1535="L23",CF1535="LIFT"),AI1535&gt;0),SUMIFS($AI$7:$AI$1843,$CF$7:$CF$1843,CF1535,$AM$7:$AM$1843,"&gt;"&amp;AM1535)+SUMIFS($AI$7:$AI$1843,$CF$7:$CF$1843,CF1535,$AM$7:$AM$1843,AM1535,$BW$7:$BW$1843,"&lt;="&amp;BW1535),"")</f>
        <v>30101.4270529376</v>
      </c>
      <c r="AO1535" s="58" t="n">
        <f aca="false">IF(AN1535="",0,MAX(0,MIN(1,(IF(CF1535="L1",Parameter!$H$5,IF(CF1535="L23",Parameter!$H$6+Parameter!$H$7,Parameter!$H$5+Parameter!$H$6+Parameter!$H$7))-(AN1535-AI1535))/AI1535)))</f>
        <v>1</v>
      </c>
      <c r="AP1535" s="50" t="n">
        <f aca="false">IF(LEFT(Cockpit!$I$5,1)="A",H1535,IF(Parameter!$E$30="MAX-Bestand",IF(CH1535=1,CI1535,IF(LEFT(Cockpit!$I$5,1)="B",AV1535,MAX(AV1535,H1535))),ROUNDUP(AT1535,0)))</f>
        <v>2</v>
      </c>
      <c r="AQ1535" s="50" t="n">
        <f aca="false">IF(BZ1535=1,0,ROUNDUP(AP1535/BY1535,0))</f>
        <v>1</v>
      </c>
      <c r="AR1535" s="52" t="n">
        <f aca="false">IF(CQ1535&gt;0,CQ1535*MAX(1,AP1535/X1535),IF(BZ1535=1,IF(AP1535&lt;=0,0,CD1535*MAX(1,IF(H1535&gt;0,AP1535/H1535,1))),IF(R1535&gt;0,AQ1535/R1535,0))/MAX(0.1,N(Parameter!$M$21)))</f>
        <v>0.00961538461538462</v>
      </c>
      <c r="AS1535" s="50" t="n">
        <f aca="false">AR1535*CB1535</f>
        <v>1.49038461538462</v>
      </c>
      <c r="AT1535" s="51" t="n">
        <f aca="false">IF(LEFT(Cockpit!$I$5,1)="A",H1535,IF(CH1535=1,(CK1535+CI1535)/2,IF(LEFT(Cockpit!$I$5,1)="B",(CK1535+AV1535)/2,MAX((CK1535+AV1535)/2,H1535))))</f>
        <v>2</v>
      </c>
      <c r="AU1535" s="50" t="n">
        <f aca="false">AT1535*G1535</f>
        <v>86.3</v>
      </c>
      <c r="AV1535" s="50" t="n">
        <f aca="false">ROUNDUP(CK1535+MAX(CL1535,2*(J1535/IF(CG1535&gt;0,CG1535,MAX(0.1,N(Cockpit!$I$6)))-CK1535)),0)</f>
        <v>1</v>
      </c>
      <c r="AW1535" s="51" t="n">
        <f aca="false">IF(AS1535&gt;0,J1535/AS1535,-1)</f>
        <v>0</v>
      </c>
      <c r="AX1535" s="51" t="n">
        <f aca="false">IF(AND(OR(CF1535="L1",CF1535="L23",CF1535="LIFT"),AS1535&gt;0),SUMIFS($AS$7:$AS$1843,$CF$7:$CF$1843,CF1535,$AW$7:$AW$1843,"&gt;"&amp;AW1535)+SUMIFS($AS$7:$AS$1843,$CF$7:$CF$1843,CF1535,$AW$7:$AW$1843,AW1535,$BW$7:$BW$1843,"&lt;="&amp;BW1535),"")</f>
        <v>36421.283569773</v>
      </c>
      <c r="AY1535" s="58" t="n">
        <f aca="false">IF(AX1535="",0,MAX(0,MIN(1,(IF(CF1535="L1",Parameter!$H$5,IF(CF1535="L23",Parameter!$H$6+Parameter!$H$7,Parameter!$H$5+Parameter!$H$6+Parameter!$H$7))-(AX1535-AS1535))/AS1535)))</f>
        <v>0</v>
      </c>
      <c r="AZ1535" s="50" t="n">
        <f aca="false">IF(LEFT(Cockpit!$O$5,1)="A",H1535,IF(Parameter!$E$30="MAX-Bestand",IF(CH1535=1,CI1535,IF(LEFT(Cockpit!$O$5,1)="B",BF1535,MAX(BF1535,H1535))),ROUNDUP(BD1535,0)))</f>
        <v>1</v>
      </c>
      <c r="BA1535" s="50" t="n">
        <f aca="false">IF(BZ1535=1,0,ROUNDUP(AZ1535/BY1535,0))</f>
        <v>1</v>
      </c>
      <c r="BB1535" s="52" t="n">
        <f aca="false">IF(CQ1535&gt;0,CQ1535*MAX(1,AZ1535/X1535),IF(BZ1535=1,IF(AZ1535&lt;=0,0,CD1535*MAX(1,IF(H1535&gt;0,AZ1535/H1535,1))),IF(R1535&gt;0,BA1535/R1535,0))/MAX(0.1,N(Parameter!$M$21)))</f>
        <v>0.00961538461538462</v>
      </c>
      <c r="BC1535" s="50" t="n">
        <f aca="false">BB1535*CB1535</f>
        <v>1.49038461538462</v>
      </c>
      <c r="BD1535" s="51" t="n">
        <f aca="false">IF(LEFT(Cockpit!$O$5,1)="A",H1535,IF(CH1535=1,(CK1535+CI1535)/2,IF(LEFT(Cockpit!$O$5,1)="B",(CK1535+BF1535)/2,MAX((CK1535+BF1535)/2,H1535))))</f>
        <v>0.5</v>
      </c>
      <c r="BE1535" s="50" t="n">
        <f aca="false">BD1535*G1535</f>
        <v>21.575</v>
      </c>
      <c r="BF1535" s="50" t="n">
        <f aca="false">ROUNDUP(CK1535+MAX(CL1535,2*(J1535/IF(CG1535&gt;0,CG1535,MAX(0.1,N(Cockpit!$O$6)))-CK1535)),0)</f>
        <v>1</v>
      </c>
      <c r="BG1535" s="51" t="n">
        <f aca="false">IF(BC1535&gt;0,J1535/BC1535,-1)</f>
        <v>0</v>
      </c>
      <c r="BH1535" s="51" t="n">
        <f aca="false">IF(AND(OR(CF1535="L1",CF1535="L23",CF1535="LIFT"),BC1535&gt;0),SUMIFS($BC$7:$BC$1843,$CF$7:$CF$1843,CF1535,$BG$7:$BG$1843,"&gt;"&amp;BG1535)+SUMIFS($BC$7:$BC$1843,$CF$7:$CF$1843,CF1535,$BG$7:$BG$1843,BG1535,$BW$7:$BW$1843,"&lt;="&amp;BW1535),"")</f>
        <v>30359.4748453054</v>
      </c>
      <c r="BI1535" s="58" t="n">
        <f aca="false">IF(BH1535="",0,MAX(0,MIN(1,(IF(CF1535="L1",Parameter!$H$5,IF(CF1535="L23",Parameter!$H$6+Parameter!$H$7,Parameter!$H$5+Parameter!$H$6+Parameter!$H$7))-(BH1535-BC1535))/BC1535)))</f>
        <v>1</v>
      </c>
      <c r="BJ1535" s="48" t="str">
        <f aca="false">IF(AI1535&lt;=0,"",IF(CF1535="Aussen","Aussenlager",IF(CF1535="-","Nicht im Lift",IF(AO1535&gt;=1,"Lift",IF(AO1535&lt;=0,"Aussenlager","teilweise")))))</f>
        <v>Lift</v>
      </c>
      <c r="BK1535" s="48" t="str">
        <f aca="false">IF(AS1535&lt;=0,"",IF(CF1535="Aussen","Aussenlager",IF(CF1535="-","Nicht im Lift",IF(AY1535&gt;=1,"Lift",IF(AY1535&lt;=0,"Aussenlager","teilweise")))))</f>
        <v>Aussenlager</v>
      </c>
      <c r="BL1535" s="48" t="str">
        <f aca="false">IF(BC1535&lt;=0,"",IF(CF1535="Aussen","Aussenlager",IF(CF1535="-","Nicht im Lift",IF(BI1535&gt;=1,"Lift",IF(BI1535&lt;=0,"Aussenlager","teilweise")))))</f>
        <v>Lift</v>
      </c>
      <c r="BM1535" s="48" t="str">
        <f aca="false">IF(A1535="","",IF(BV1535=1,"Neu; ","")&amp;IF(AND(BV1535=0,BQ1535&lt;0),"negativer Bestand (Export "&amp;BQ1535&amp;"); ","")&amp;IF(J1535&lt;=0,"Kein Verbrauch; ","")&amp;IF(CQ1535&gt;0,"Lift "&amp;W1535&amp;" lt. Liftbericht (Fach "&amp;X1535&amp;" Stk); ",IF(CA1535=1,"Gebinde geschätzt ("&amp;T1535&amp;"); ",IF(BZ1535=1,"Lose – Tablare geschätzt; ","")))&amp;IF(H1535&gt;AV1535,"Überbestand "&amp;ROUND(H1535-AV1535,0)&amp;" Stk / CHF "&amp;ROUND((H1535-AV1535)*G1535,0)&amp;"; ","")&amp;IF(AND(CH1535=1,CI1535&lt;CJ1535),"MAX &lt; MB+LG; ","")&amp;IF(AND(CP1535&gt;0,CO1535*10&gt;CP1535),"zu hoch für Tablar; ","")&amp;IF(AND(BV1535=0,OR(CH1535=1,AA1535&lt;&gt;"",U1535&lt;&gt;"",V1535&lt;&gt;"",AB1535&lt;&gt;"")),"manuell übersteuert; ","")&amp;IF(AND(BZ1535=0,R1535=0),"Gebinde unbekannt / Stellmass fehlt; ","")&amp;IF(AND(BZ1535=0,N(V1535)&lt;=0,N(Q1535)&lt;=0),"Menge pro Gebinde fehlt (Ist = 1 Gebinde); ","")&amp;BU1535)</f>
        <v>Kein Verbrauch; Überbestand 1 Stk / CHF 43; nur im Artikelstamm (Bestand 23.06.2026)</v>
      </c>
      <c r="BN1535" s="48"/>
      <c r="BO1535" s="48"/>
      <c r="BP1535" s="55"/>
      <c r="BQ1535" s="50" t="n">
        <v>2</v>
      </c>
      <c r="BR1535" s="50" t="n">
        <v>0</v>
      </c>
      <c r="BS1535" s="49" t="n">
        <v>0</v>
      </c>
      <c r="BT1535" s="50" t="n">
        <v>0</v>
      </c>
      <c r="BU1535" s="48" t="s">
        <v>2584</v>
      </c>
      <c r="BV1535" s="53" t="n">
        <v>0</v>
      </c>
      <c r="BW1535" s="53" t="n">
        <v>1535</v>
      </c>
      <c r="BX1535" s="48" t="str">
        <f aca="false">IF(U1535&lt;&gt;"",UPPER(TRIM(U1535)),IF(CA1535=1,UPPER(VLOOKUP(T1535,Parameter!$I$27:$K$29,2,0)),IF(P1535="","LOSE",P1535)))</f>
        <v>S32</v>
      </c>
      <c r="BY1535" s="50" t="n">
        <f aca="false">IF(BX1535="LOSE",1,IF(N(V1535)&gt;0,V1535,IF(CA1535=1,MAX(1,N(VLOOKUP(T1535,Parameter!$I$27:$K$29,3,0)),H1535,N(N1535)),IF(N(Q1535)&gt;0,Q1535,MAX(1,H1535)))))</f>
        <v>2</v>
      </c>
      <c r="BZ1535" s="53" t="n">
        <f aca="false">IF(BX1535="LOSE",1,0)</f>
        <v>0</v>
      </c>
      <c r="CA1535" s="53" t="n">
        <f aca="false">IF(AND(U1535="",OR(P1535="",P1535="LOSE"),T1535&lt;&gt;"",N(S1535)&lt;=0,ISNUMBER(MATCH(T1535,Parameter!$I$27:$I$29,0))),1,0)</f>
        <v>0</v>
      </c>
      <c r="CB1535" s="53" t="n">
        <f aca="false">IF(CQ1535&gt;0,INDEX(Parameter!$H$5:$H$7,W1535)/INDEX(Parameter!$E$5:$E$7,W1535),IF(AND(BZ1535=0,N(IFERROR(VLOOKUP(BX1535,'Gebinde-Kategorie'!$A$5:$N$45,14,0),0))&gt;0),VLOOKUP(BX1535,'Gebinde-Kategorie'!$A$5:$N$45,14,0)*10+Parameter!$M$23,Parameter!$M$24))</f>
        <v>155</v>
      </c>
      <c r="CC1535" s="48" t="str">
        <f aca="false">IF(AND(Parameter!$B$19="Ja",E1535&lt;&gt;"",ISNUMBER(MATCH(E1535,Parameter!$I$35:$I$52,0))),VLOOKUP(E1535,Parameter!$I$35:$J$52,2,0),IFERROR(VLOOKUP(D1535,Parameter!$A$35:$C$64,2,0),"Nein"))</f>
        <v>2+3</v>
      </c>
      <c r="CD1535" s="52" t="n">
        <f aca="false">IF(BZ1535=0,0,IF(N(S1535)&gt;0,S1535,IFERROR(VLOOKUP(D1535,Parameter!$A$35:$C$64,3,0)+0,0)))</f>
        <v>0</v>
      </c>
      <c r="CE1535" s="48" t="n">
        <f aca="false">IF(AA1535&lt;&gt;"",AA1535,Z1535)</f>
        <v>3</v>
      </c>
      <c r="CF1535" s="48" t="str">
        <f aca="false">IF(OR(CE1535=1,CE1535=2,CE1535=3),IF(Parameter!$E$27="Ja","LIFT",IF(CE1535=1,"L1","L23")),IF(CE1535="Aussen","Aussen","-"))</f>
        <v>LIFT</v>
      </c>
      <c r="CG1535" s="59" t="n">
        <f aca="false">IF(N(AB1535)&gt;0,AB1535,0)</f>
        <v>0</v>
      </c>
      <c r="CH1535" s="53" t="n">
        <f aca="false">IF(ISNUMBER(AE1535),1,0)</f>
        <v>0</v>
      </c>
      <c r="CI1535" s="50" t="n">
        <f aca="false">N(AE1535)</f>
        <v>0</v>
      </c>
      <c r="CJ1535" s="50" t="n">
        <f aca="false">N(M1535)+N(N1535)</f>
        <v>1</v>
      </c>
      <c r="CK1535" s="50" t="n">
        <f aca="false">N(M1535)</f>
        <v>0</v>
      </c>
      <c r="CL1535" s="50" t="n">
        <f aca="false">N(N1535)</f>
        <v>1</v>
      </c>
      <c r="CM1535" s="50" t="n">
        <f aca="false">ROUNDUP(H1535/BY1535,0)</f>
        <v>1</v>
      </c>
      <c r="CN1535" s="50" t="n">
        <f aca="false">ROUNDUP(CI1535/BY1535,0)</f>
        <v>0</v>
      </c>
      <c r="CO1535" s="53" t="n">
        <f aca="false">IF(BZ1535=1,0,IFERROR(VLOOKUP(BX1535,'Gebinde-Kategorie'!$A$5:$N$45,5,0)+0,0))</f>
        <v>8</v>
      </c>
      <c r="CP1535" s="53" t="n">
        <f aca="false">IFERROR(IF(OR(CE1535=1,CE1535=2,CE1535=3),N(INDEX(Parameter!$I$5:$I$7,CE1535)),0),0)</f>
        <v>0</v>
      </c>
      <c r="CQ1535" s="52" t="n">
        <f aca="false">IF(AND(Parameter!$B$21="Ja",ISNUMBER(W1535),N(X1535)&gt;0),IFERROR(N(INDEX(Parameter!$L$5:$L$7,W1535))*INDEX(Parameter!$E$5:$E$7,W1535)*X1535/SUMIFS($X$7:$X$1843,$W$7:$W$1843,W1535),0),0)</f>
        <v>0</v>
      </c>
    </row>
    <row r="1536" customFormat="false" ht="15" hidden="false" customHeight="false" outlineLevel="0" collapsed="false">
      <c r="A1536" s="48" t="s">
        <v>2695</v>
      </c>
      <c r="B1536" s="48" t="s">
        <v>477</v>
      </c>
      <c r="C1536" s="48" t="s">
        <v>173</v>
      </c>
      <c r="D1536" s="48" t="s">
        <v>193</v>
      </c>
      <c r="E1536" s="48" t="s">
        <v>194</v>
      </c>
      <c r="F1536" s="48"/>
      <c r="G1536" s="49" t="n">
        <v>0.1</v>
      </c>
      <c r="H1536" s="50" t="n">
        <f aca="false">MAX(0,IF(AND(Parameter!$B$21="Ja",ISNUMBER(Y1536)),Y1536,IF(Parameter!$B$20="Jahresanfang 2025 + Export",BR1536+BQ1536,BQ1536)))</f>
        <v>5</v>
      </c>
      <c r="I1536" s="50" t="n">
        <f aca="false">H1536*G1536</f>
        <v>0.5</v>
      </c>
      <c r="J1536" s="50" t="n">
        <f aca="false">BT1536*Parameter!$B$18</f>
        <v>0</v>
      </c>
      <c r="K1536" s="51"/>
      <c r="L1536" s="52"/>
      <c r="M1536" s="50" t="n">
        <v>0</v>
      </c>
      <c r="N1536" s="50" t="n">
        <v>10</v>
      </c>
      <c r="O1536" s="53" t="n">
        <v>28</v>
      </c>
      <c r="P1536" s="48" t="s">
        <v>435</v>
      </c>
      <c r="Q1536" s="50" t="n">
        <v>5</v>
      </c>
      <c r="R1536" s="53" t="n">
        <f aca="false">IF(BZ1536=1,0,IFERROR(VLOOKUP(BX1536,'Gebinde-Kategorie'!$A$5:$N$45,13,0)+0,0))</f>
        <v>140</v>
      </c>
      <c r="S1536" s="54"/>
      <c r="T1536" s="55"/>
      <c r="U1536" s="55"/>
      <c r="V1536" s="55"/>
      <c r="W1536" s="48"/>
      <c r="X1536" s="50"/>
      <c r="Y1536" s="50"/>
      <c r="Z1536" s="48" t="n">
        <f aca="false">IF(A1536="","",IF(AND(Parameter!$B$21="Ja",ISNUMBER(W1536)),W1536,IF(CC1536="2+3",IF(ISNUMBER(SEARCH("grosser Artikel",BU1536)),2,IFERROR(VLOOKUP(BX1536,Parameter!$F$35:$G$64,2,0),2)),IF(OR(CC1536="Nein",CC1536=""),"-",CC1536))))</f>
        <v>3</v>
      </c>
      <c r="AA1536" s="55"/>
      <c r="AB1536" s="56"/>
      <c r="AC1536" s="50" t="n">
        <f aca="false">AV1536</f>
        <v>10</v>
      </c>
      <c r="AD1536" s="50" t="n">
        <f aca="false">MAX(AV1536,H1536)</f>
        <v>10</v>
      </c>
      <c r="AE1536" s="57"/>
      <c r="AF1536" s="50" t="n">
        <f aca="false">IF(LEFT(Cockpit!$C$5,1)="A",H1536,IF(Parameter!$E$30="MAX-Bestand",IF(CH1536=1,CI1536,IF(LEFT(Cockpit!$C$5,1)="B",AL1536,MAX(AL1536,H1536))),ROUNDUP(AJ1536,0)))</f>
        <v>5</v>
      </c>
      <c r="AG1536" s="50" t="n">
        <f aca="false">IF(BZ1536=1,0,ROUNDUP(AF1536/BY1536,0))</f>
        <v>1</v>
      </c>
      <c r="AH1536" s="52" t="n">
        <f aca="false">IF(CQ1536&gt;0,CQ1536*MAX(1,AF1536/X1536),IF(BZ1536=1,IF(AF1536&lt;=0,0,CD1536*MAX(1,IF(H1536&gt;0,AF1536/H1536,1))),IF(R1536&gt;0,AG1536/R1536,0))/MAX(0.1,N(Parameter!$M$21)))</f>
        <v>0.00714285714285714</v>
      </c>
      <c r="AI1536" s="50" t="n">
        <f aca="false">AH1536*CB1536</f>
        <v>1.10714285714286</v>
      </c>
      <c r="AJ1536" s="51" t="n">
        <f aca="false">IF(LEFT(Cockpit!$C$5,1)="A",H1536,IF(CH1536=1,(CK1536+CI1536)/2,IF(LEFT(Cockpit!$C$5,1)="B",(CK1536+AL1536)/2,MAX((CK1536+AL1536)/2,H1536))))</f>
        <v>5</v>
      </c>
      <c r="AK1536" s="50" t="n">
        <f aca="false">AJ1536*G1536</f>
        <v>0.5</v>
      </c>
      <c r="AL1536" s="50" t="n">
        <f aca="false">ROUNDUP(CK1536+MAX(CL1536,2*(J1536/IF(CG1536&gt;0,CG1536,MAX(0.1,N(Cockpit!$C$6)))-CK1536)),0)</f>
        <v>10</v>
      </c>
      <c r="AM1536" s="51" t="n">
        <f aca="false">IF(AI1536&gt;0,J1536/AI1536,-1)</f>
        <v>0</v>
      </c>
      <c r="AN1536" s="51" t="n">
        <f aca="false">IF(AND(OR(CF1536="L1",CF1536="L23",CF1536="LIFT"),AI1536&gt;0),SUMIFS($AI$7:$AI$1843,$CF$7:$CF$1843,CF1536,$AM$7:$AM$1843,"&gt;"&amp;AM1536)+SUMIFS($AI$7:$AI$1843,$CF$7:$CF$1843,CF1536,$AM$7:$AM$1843,AM1536,$BW$7:$BW$1843,"&lt;="&amp;BW1536),"")</f>
        <v>30102.5341957948</v>
      </c>
      <c r="AO1536" s="58" t="n">
        <f aca="false">IF(AN1536="",0,MAX(0,MIN(1,(IF(CF1536="L1",Parameter!$H$5,IF(CF1536="L23",Parameter!$H$6+Parameter!$H$7,Parameter!$H$5+Parameter!$H$6+Parameter!$H$7))-(AN1536-AI1536))/AI1536)))</f>
        <v>1</v>
      </c>
      <c r="AP1536" s="50" t="n">
        <f aca="false">IF(LEFT(Cockpit!$I$5,1)="A",H1536,IF(Parameter!$E$30="MAX-Bestand",IF(CH1536=1,CI1536,IF(LEFT(Cockpit!$I$5,1)="B",AV1536,MAX(AV1536,H1536))),ROUNDUP(AT1536,0)))</f>
        <v>5</v>
      </c>
      <c r="AQ1536" s="50" t="n">
        <f aca="false">IF(BZ1536=1,0,ROUNDUP(AP1536/BY1536,0))</f>
        <v>1</v>
      </c>
      <c r="AR1536" s="52" t="n">
        <f aca="false">IF(CQ1536&gt;0,CQ1536*MAX(1,AP1536/X1536),IF(BZ1536=1,IF(AP1536&lt;=0,0,CD1536*MAX(1,IF(H1536&gt;0,AP1536/H1536,1))),IF(R1536&gt;0,AQ1536/R1536,0))/MAX(0.1,N(Parameter!$M$21)))</f>
        <v>0.00714285714285714</v>
      </c>
      <c r="AS1536" s="50" t="n">
        <f aca="false">AR1536*CB1536</f>
        <v>1.10714285714286</v>
      </c>
      <c r="AT1536" s="51" t="n">
        <f aca="false">IF(LEFT(Cockpit!$I$5,1)="A",H1536,IF(CH1536=1,(CK1536+CI1536)/2,IF(LEFT(Cockpit!$I$5,1)="B",(CK1536+AV1536)/2,MAX((CK1536+AV1536)/2,H1536))))</f>
        <v>5</v>
      </c>
      <c r="AU1536" s="50" t="n">
        <f aca="false">AT1536*G1536</f>
        <v>0.5</v>
      </c>
      <c r="AV1536" s="50" t="n">
        <f aca="false">ROUNDUP(CK1536+MAX(CL1536,2*(J1536/IF(CG1536&gt;0,CG1536,MAX(0.1,N(Cockpit!$I$6)))-CK1536)),0)</f>
        <v>10</v>
      </c>
      <c r="AW1536" s="51" t="n">
        <f aca="false">IF(AS1536&gt;0,J1536/AS1536,-1)</f>
        <v>0</v>
      </c>
      <c r="AX1536" s="51" t="n">
        <f aca="false">IF(AND(OR(CF1536="L1",CF1536="L23",CF1536="LIFT"),AS1536&gt;0),SUMIFS($AS$7:$AS$1843,$CF$7:$CF$1843,CF1536,$AW$7:$AW$1843,"&gt;"&amp;AW1536)+SUMIFS($AS$7:$AS$1843,$CF$7:$CF$1843,CF1536,$AW$7:$AW$1843,AW1536,$BW$7:$BW$1843,"&lt;="&amp;BW1536),"")</f>
        <v>36422.3907126301</v>
      </c>
      <c r="AY1536" s="58" t="n">
        <f aca="false">IF(AX1536="",0,MAX(0,MIN(1,(IF(CF1536="L1",Parameter!$H$5,IF(CF1536="L23",Parameter!$H$6+Parameter!$H$7,Parameter!$H$5+Parameter!$H$6+Parameter!$H$7))-(AX1536-AS1536))/AS1536)))</f>
        <v>0</v>
      </c>
      <c r="AZ1536" s="50" t="n">
        <f aca="false">IF(LEFT(Cockpit!$O$5,1)="A",H1536,IF(Parameter!$E$30="MAX-Bestand",IF(CH1536=1,CI1536,IF(LEFT(Cockpit!$O$5,1)="B",BF1536,MAX(BF1536,H1536))),ROUNDUP(BD1536,0)))</f>
        <v>5</v>
      </c>
      <c r="BA1536" s="50" t="n">
        <f aca="false">IF(BZ1536=1,0,ROUNDUP(AZ1536/BY1536,0))</f>
        <v>1</v>
      </c>
      <c r="BB1536" s="52" t="n">
        <f aca="false">IF(CQ1536&gt;0,CQ1536*MAX(1,AZ1536/X1536),IF(BZ1536=1,IF(AZ1536&lt;=0,0,CD1536*MAX(1,IF(H1536&gt;0,AZ1536/H1536,1))),IF(R1536&gt;0,BA1536/R1536,0))/MAX(0.1,N(Parameter!$M$21)))</f>
        <v>0.00714285714285714</v>
      </c>
      <c r="BC1536" s="50" t="n">
        <f aca="false">BB1536*CB1536</f>
        <v>1.10714285714286</v>
      </c>
      <c r="BD1536" s="51" t="n">
        <f aca="false">IF(LEFT(Cockpit!$O$5,1)="A",H1536,IF(CH1536=1,(CK1536+CI1536)/2,IF(LEFT(Cockpit!$O$5,1)="B",(CK1536+BF1536)/2,MAX((CK1536+BF1536)/2,H1536))))</f>
        <v>5</v>
      </c>
      <c r="BE1536" s="50" t="n">
        <f aca="false">BD1536*G1536</f>
        <v>0.5</v>
      </c>
      <c r="BF1536" s="50" t="n">
        <f aca="false">ROUNDUP(CK1536+MAX(CL1536,2*(J1536/IF(CG1536&gt;0,CG1536,MAX(0.1,N(Cockpit!$O$6)))-CK1536)),0)</f>
        <v>10</v>
      </c>
      <c r="BG1536" s="51" t="n">
        <f aca="false">IF(BC1536&gt;0,J1536/BC1536,-1)</f>
        <v>0</v>
      </c>
      <c r="BH1536" s="51" t="n">
        <f aca="false">IF(AND(OR(CF1536="L1",CF1536="L23",CF1536="LIFT"),BC1536&gt;0),SUMIFS($BC$7:$BC$1843,$CF$7:$CF$1843,CF1536,$BG$7:$BG$1843,"&gt;"&amp;BG1536)+SUMIFS($BC$7:$BC$1843,$CF$7:$CF$1843,CF1536,$BG$7:$BG$1843,BG1536,$BW$7:$BW$1843,"&lt;="&amp;BW1536),"")</f>
        <v>30360.5819881625</v>
      </c>
      <c r="BI1536" s="58" t="n">
        <f aca="false">IF(BH1536="",0,MAX(0,MIN(1,(IF(CF1536="L1",Parameter!$H$5,IF(CF1536="L23",Parameter!$H$6+Parameter!$H$7,Parameter!$H$5+Parameter!$H$6+Parameter!$H$7))-(BH1536-BC1536))/BC1536)))</f>
        <v>1</v>
      </c>
      <c r="BJ1536" s="48" t="str">
        <f aca="false">IF(AI1536&lt;=0,"",IF(CF1536="Aussen","Aussenlager",IF(CF1536="-","Nicht im Lift",IF(AO1536&gt;=1,"Lift",IF(AO1536&lt;=0,"Aussenlager","teilweise")))))</f>
        <v>Lift</v>
      </c>
      <c r="BK1536" s="48" t="str">
        <f aca="false">IF(AS1536&lt;=0,"",IF(CF1536="Aussen","Aussenlager",IF(CF1536="-","Nicht im Lift",IF(AY1536&gt;=1,"Lift",IF(AY1536&lt;=0,"Aussenlager","teilweise")))))</f>
        <v>Aussenlager</v>
      </c>
      <c r="BL1536" s="48" t="str">
        <f aca="false">IF(BC1536&lt;=0,"",IF(CF1536="Aussen","Aussenlager",IF(CF1536="-","Nicht im Lift",IF(BI1536&gt;=1,"Lift",IF(BI1536&lt;=0,"Aussenlager","teilweise")))))</f>
        <v>Lift</v>
      </c>
      <c r="BM1536" s="48" t="str">
        <f aca="false">IF(A1536="","",IF(BV1536=1,"Neu; ","")&amp;IF(AND(BV1536=0,BQ1536&lt;0),"negativer Bestand (Export "&amp;BQ1536&amp;"); ","")&amp;IF(J1536&lt;=0,"Kein Verbrauch; ","")&amp;IF(CQ1536&gt;0,"Lift "&amp;W1536&amp;" lt. Liftbericht (Fach "&amp;X1536&amp;" Stk); ",IF(CA1536=1,"Gebinde geschätzt ("&amp;T1536&amp;"); ",IF(BZ1536=1,"Lose – Tablare geschätzt; ","")))&amp;IF(H1536&gt;AV1536,"Überbestand "&amp;ROUND(H1536-AV1536,0)&amp;" Stk / CHF "&amp;ROUND((H1536-AV1536)*G1536,0)&amp;"; ","")&amp;IF(AND(CH1536=1,CI1536&lt;CJ1536),"MAX &lt; MB+LG; ","")&amp;IF(AND(CP1536&gt;0,CO1536*10&gt;CP1536),"zu hoch für Tablar; ","")&amp;IF(AND(BV1536=0,OR(CH1536=1,AA1536&lt;&gt;"",U1536&lt;&gt;"",V1536&lt;&gt;"",AB1536&lt;&gt;"")),"manuell übersteuert; ","")&amp;IF(AND(BZ1536=0,R1536=0),"Gebinde unbekannt / Stellmass fehlt; ","")&amp;IF(AND(BZ1536=0,N(V1536)&lt;=0,N(Q1536)&lt;=0),"Menge pro Gebinde fehlt (Ist = 1 Gebinde); ","")&amp;BU1536)</f>
        <v>Kein Verbrauch; nur im Artikelstamm (Bestand 23.06.2026)</v>
      </c>
      <c r="BN1536" s="48"/>
      <c r="BO1536" s="48"/>
      <c r="BP1536" s="55"/>
      <c r="BQ1536" s="50" t="n">
        <v>5</v>
      </c>
      <c r="BR1536" s="50" t="n">
        <v>0</v>
      </c>
      <c r="BS1536" s="49" t="n">
        <v>0</v>
      </c>
      <c r="BT1536" s="50" t="n">
        <v>0</v>
      </c>
      <c r="BU1536" s="48" t="s">
        <v>2584</v>
      </c>
      <c r="BV1536" s="53" t="n">
        <v>0</v>
      </c>
      <c r="BW1536" s="53" t="n">
        <v>1536</v>
      </c>
      <c r="BX1536" s="48" t="str">
        <f aca="false">IF(U1536&lt;&gt;"",UPPER(TRIM(U1536)),IF(CA1536=1,UPPER(VLOOKUP(T1536,Parameter!$I$27:$K$29,2,0)),IF(P1536="","LOSE",P1536)))</f>
        <v>S22</v>
      </c>
      <c r="BY1536" s="50" t="n">
        <f aca="false">IF(BX1536="LOSE",1,IF(N(V1536)&gt;0,V1536,IF(CA1536=1,MAX(1,N(VLOOKUP(T1536,Parameter!$I$27:$K$29,3,0)),H1536,N(N1536)),IF(N(Q1536)&gt;0,Q1536,MAX(1,H1536)))))</f>
        <v>5</v>
      </c>
      <c r="BZ1536" s="53" t="n">
        <f aca="false">IF(BX1536="LOSE",1,0)</f>
        <v>0</v>
      </c>
      <c r="CA1536" s="53" t="n">
        <f aca="false">IF(AND(U1536="",OR(P1536="",P1536="LOSE"),T1536&lt;&gt;"",N(S1536)&lt;=0,ISNUMBER(MATCH(T1536,Parameter!$I$27:$I$29,0))),1,0)</f>
        <v>0</v>
      </c>
      <c r="CB1536" s="53" t="n">
        <f aca="false">IF(CQ1536&gt;0,INDEX(Parameter!$H$5:$H$7,W1536)/INDEX(Parameter!$E$5:$E$7,W1536),IF(AND(BZ1536=0,N(IFERROR(VLOOKUP(BX1536,'Gebinde-Kategorie'!$A$5:$N$45,14,0),0))&gt;0),VLOOKUP(BX1536,'Gebinde-Kategorie'!$A$5:$N$45,14,0)*10+Parameter!$M$23,Parameter!$M$24))</f>
        <v>155</v>
      </c>
      <c r="CC1536" s="48" t="str">
        <f aca="false">IF(AND(Parameter!$B$19="Ja",E1536&lt;&gt;"",ISNUMBER(MATCH(E1536,Parameter!$I$35:$I$52,0))),VLOOKUP(E1536,Parameter!$I$35:$J$52,2,0),IFERROR(VLOOKUP(D1536,Parameter!$A$35:$C$64,2,0),"Nein"))</f>
        <v>2+3</v>
      </c>
      <c r="CD1536" s="52" t="n">
        <f aca="false">IF(BZ1536=0,0,IF(N(S1536)&gt;0,S1536,IFERROR(VLOOKUP(D1536,Parameter!$A$35:$C$64,3,0)+0,0)))</f>
        <v>0</v>
      </c>
      <c r="CE1536" s="48" t="n">
        <f aca="false">IF(AA1536&lt;&gt;"",AA1536,Z1536)</f>
        <v>3</v>
      </c>
      <c r="CF1536" s="48" t="str">
        <f aca="false">IF(OR(CE1536=1,CE1536=2,CE1536=3),IF(Parameter!$E$27="Ja","LIFT",IF(CE1536=1,"L1","L23")),IF(CE1536="Aussen","Aussen","-"))</f>
        <v>LIFT</v>
      </c>
      <c r="CG1536" s="59" t="n">
        <f aca="false">IF(N(AB1536)&gt;0,AB1536,0)</f>
        <v>0</v>
      </c>
      <c r="CH1536" s="53" t="n">
        <f aca="false">IF(ISNUMBER(AE1536),1,0)</f>
        <v>0</v>
      </c>
      <c r="CI1536" s="50" t="n">
        <f aca="false">N(AE1536)</f>
        <v>0</v>
      </c>
      <c r="CJ1536" s="50" t="n">
        <f aca="false">N(M1536)+N(N1536)</f>
        <v>10</v>
      </c>
      <c r="CK1536" s="50" t="n">
        <f aca="false">N(M1536)</f>
        <v>0</v>
      </c>
      <c r="CL1536" s="50" t="n">
        <f aca="false">N(N1536)</f>
        <v>10</v>
      </c>
      <c r="CM1536" s="50" t="n">
        <f aca="false">ROUNDUP(H1536/BY1536,0)</f>
        <v>1</v>
      </c>
      <c r="CN1536" s="50" t="n">
        <f aca="false">ROUNDUP(CI1536/BY1536,0)</f>
        <v>0</v>
      </c>
      <c r="CO1536" s="53" t="n">
        <f aca="false">IF(BZ1536=1,0,IFERROR(VLOOKUP(BX1536,'Gebinde-Kategorie'!$A$5:$N$45,5,0)+0,0))</f>
        <v>8</v>
      </c>
      <c r="CP1536" s="53" t="n">
        <f aca="false">IFERROR(IF(OR(CE1536=1,CE1536=2,CE1536=3),N(INDEX(Parameter!$I$5:$I$7,CE1536)),0),0)</f>
        <v>0</v>
      </c>
      <c r="CQ1536" s="52" t="n">
        <f aca="false">IF(AND(Parameter!$B$21="Ja",ISNUMBER(W1536),N(X1536)&gt;0),IFERROR(N(INDEX(Parameter!$L$5:$L$7,W1536))*INDEX(Parameter!$E$5:$E$7,W1536)*X1536/SUMIFS($X$7:$X$1843,$W$7:$W$1843,W1536),0),0)</f>
        <v>0</v>
      </c>
    </row>
    <row r="1537" customFormat="false" ht="15" hidden="false" customHeight="false" outlineLevel="0" collapsed="false">
      <c r="A1537" s="48" t="s">
        <v>2696</v>
      </c>
      <c r="B1537" s="48" t="s">
        <v>449</v>
      </c>
      <c r="C1537" s="48" t="s">
        <v>173</v>
      </c>
      <c r="D1537" s="48" t="s">
        <v>193</v>
      </c>
      <c r="E1537" s="48" t="s">
        <v>194</v>
      </c>
      <c r="F1537" s="48"/>
      <c r="G1537" s="49" t="n">
        <v>43.67</v>
      </c>
      <c r="H1537" s="50" t="n">
        <f aca="false">MAX(0,IF(AND(Parameter!$B$21="Ja",ISNUMBER(Y1537)),Y1537,IF(Parameter!$B$20="Jahresanfang 2025 + Export",BR1537+BQ1537,BQ1537)))</f>
        <v>5</v>
      </c>
      <c r="I1537" s="50" t="n">
        <f aca="false">H1537*G1537</f>
        <v>218.35</v>
      </c>
      <c r="J1537" s="50" t="n">
        <f aca="false">BT1537*Parameter!$B$18</f>
        <v>0</v>
      </c>
      <c r="K1537" s="51"/>
      <c r="L1537" s="52"/>
      <c r="M1537" s="50" t="n">
        <v>0</v>
      </c>
      <c r="N1537" s="50" t="n">
        <v>1</v>
      </c>
      <c r="O1537" s="53" t="n">
        <v>42</v>
      </c>
      <c r="P1537" s="48" t="s">
        <v>430</v>
      </c>
      <c r="Q1537" s="50" t="n">
        <v>5</v>
      </c>
      <c r="R1537" s="53" t="n">
        <f aca="false">IF(BZ1537=1,0,IFERROR(VLOOKUP(BX1537,'Gebinde-Kategorie'!$A$5:$N$45,13,0)+0,0))</f>
        <v>104</v>
      </c>
      <c r="S1537" s="54"/>
      <c r="T1537" s="55"/>
      <c r="U1537" s="55"/>
      <c r="V1537" s="55"/>
      <c r="W1537" s="48"/>
      <c r="X1537" s="50"/>
      <c r="Y1537" s="50"/>
      <c r="Z1537" s="48" t="n">
        <f aca="false">IF(A1537="","",IF(AND(Parameter!$B$21="Ja",ISNUMBER(W1537)),W1537,IF(CC1537="2+3",IF(ISNUMBER(SEARCH("grosser Artikel",BU1537)),2,IFERROR(VLOOKUP(BX1537,Parameter!$F$35:$G$64,2,0),2)),IF(OR(CC1537="Nein",CC1537=""),"-",CC1537))))</f>
        <v>3</v>
      </c>
      <c r="AA1537" s="55"/>
      <c r="AB1537" s="56"/>
      <c r="AC1537" s="50" t="n">
        <f aca="false">AV1537</f>
        <v>1</v>
      </c>
      <c r="AD1537" s="50" t="n">
        <f aca="false">MAX(AV1537,H1537)</f>
        <v>5</v>
      </c>
      <c r="AE1537" s="57"/>
      <c r="AF1537" s="50" t="n">
        <f aca="false">IF(LEFT(Cockpit!$C$5,1)="A",H1537,IF(Parameter!$E$30="MAX-Bestand",IF(CH1537=1,CI1537,IF(LEFT(Cockpit!$C$5,1)="B",AL1537,MAX(AL1537,H1537))),ROUNDUP(AJ1537,0)))</f>
        <v>5</v>
      </c>
      <c r="AG1537" s="50" t="n">
        <f aca="false">IF(BZ1537=1,0,ROUNDUP(AF1537/BY1537,0))</f>
        <v>1</v>
      </c>
      <c r="AH1537" s="52" t="n">
        <f aca="false">IF(CQ1537&gt;0,CQ1537*MAX(1,AF1537/X1537),IF(BZ1537=1,IF(AF1537&lt;=0,0,CD1537*MAX(1,IF(H1537&gt;0,AF1537/H1537,1))),IF(R1537&gt;0,AG1537/R1537,0))/MAX(0.1,N(Parameter!$M$21)))</f>
        <v>0.00961538461538462</v>
      </c>
      <c r="AI1537" s="50" t="n">
        <f aca="false">AH1537*CB1537</f>
        <v>1.49038461538462</v>
      </c>
      <c r="AJ1537" s="51" t="n">
        <f aca="false">IF(LEFT(Cockpit!$C$5,1)="A",H1537,IF(CH1537=1,(CK1537+CI1537)/2,IF(LEFT(Cockpit!$C$5,1)="B",(CK1537+AL1537)/2,MAX((CK1537+AL1537)/2,H1537))))</f>
        <v>5</v>
      </c>
      <c r="AK1537" s="50" t="n">
        <f aca="false">AJ1537*G1537</f>
        <v>218.35</v>
      </c>
      <c r="AL1537" s="50" t="n">
        <f aca="false">ROUNDUP(CK1537+MAX(CL1537,2*(J1537/IF(CG1537&gt;0,CG1537,MAX(0.1,N(Cockpit!$C$6)))-CK1537)),0)</f>
        <v>1</v>
      </c>
      <c r="AM1537" s="51" t="n">
        <f aca="false">IF(AI1537&gt;0,J1537/AI1537,-1)</f>
        <v>0</v>
      </c>
      <c r="AN1537" s="51" t="n">
        <f aca="false">IF(AND(OR(CF1537="L1",CF1537="L23",CF1537="LIFT"),AI1537&gt;0),SUMIFS($AI$7:$AI$1843,$CF$7:$CF$1843,CF1537,$AM$7:$AM$1843,"&gt;"&amp;AM1537)+SUMIFS($AI$7:$AI$1843,$CF$7:$CF$1843,CF1537,$AM$7:$AM$1843,AM1537,$BW$7:$BW$1843,"&lt;="&amp;BW1537),"")</f>
        <v>30104.0245804102</v>
      </c>
      <c r="AO1537" s="58" t="n">
        <f aca="false">IF(AN1537="",0,MAX(0,MIN(1,(IF(CF1537="L1",Parameter!$H$5,IF(CF1537="L23",Parameter!$H$6+Parameter!$H$7,Parameter!$H$5+Parameter!$H$6+Parameter!$H$7))-(AN1537-AI1537))/AI1537)))</f>
        <v>1</v>
      </c>
      <c r="AP1537" s="50" t="n">
        <f aca="false">IF(LEFT(Cockpit!$I$5,1)="A",H1537,IF(Parameter!$E$30="MAX-Bestand",IF(CH1537=1,CI1537,IF(LEFT(Cockpit!$I$5,1)="B",AV1537,MAX(AV1537,H1537))),ROUNDUP(AT1537,0)))</f>
        <v>5</v>
      </c>
      <c r="AQ1537" s="50" t="n">
        <f aca="false">IF(BZ1537=1,0,ROUNDUP(AP1537/BY1537,0))</f>
        <v>1</v>
      </c>
      <c r="AR1537" s="52" t="n">
        <f aca="false">IF(CQ1537&gt;0,CQ1537*MAX(1,AP1537/X1537),IF(BZ1537=1,IF(AP1537&lt;=0,0,CD1537*MAX(1,IF(H1537&gt;0,AP1537/H1537,1))),IF(R1537&gt;0,AQ1537/R1537,0))/MAX(0.1,N(Parameter!$M$21)))</f>
        <v>0.00961538461538462</v>
      </c>
      <c r="AS1537" s="50" t="n">
        <f aca="false">AR1537*CB1537</f>
        <v>1.49038461538462</v>
      </c>
      <c r="AT1537" s="51" t="n">
        <f aca="false">IF(LEFT(Cockpit!$I$5,1)="A",H1537,IF(CH1537=1,(CK1537+CI1537)/2,IF(LEFT(Cockpit!$I$5,1)="B",(CK1537+AV1537)/2,MAX((CK1537+AV1537)/2,H1537))))</f>
        <v>5</v>
      </c>
      <c r="AU1537" s="50" t="n">
        <f aca="false">AT1537*G1537</f>
        <v>218.35</v>
      </c>
      <c r="AV1537" s="50" t="n">
        <f aca="false">ROUNDUP(CK1537+MAX(CL1537,2*(J1537/IF(CG1537&gt;0,CG1537,MAX(0.1,N(Cockpit!$I$6)))-CK1537)),0)</f>
        <v>1</v>
      </c>
      <c r="AW1537" s="51" t="n">
        <f aca="false">IF(AS1537&gt;0,J1537/AS1537,-1)</f>
        <v>0</v>
      </c>
      <c r="AX1537" s="51" t="n">
        <f aca="false">IF(AND(OR(CF1537="L1",CF1537="L23",CF1537="LIFT"),AS1537&gt;0),SUMIFS($AS$7:$AS$1843,$CF$7:$CF$1843,CF1537,$AW$7:$AW$1843,"&gt;"&amp;AW1537)+SUMIFS($AS$7:$AS$1843,$CF$7:$CF$1843,CF1537,$AW$7:$AW$1843,AW1537,$BW$7:$BW$1843,"&lt;="&amp;BW1537),"")</f>
        <v>36423.8810972455</v>
      </c>
      <c r="AY1537" s="58" t="n">
        <f aca="false">IF(AX1537="",0,MAX(0,MIN(1,(IF(CF1537="L1",Parameter!$H$5,IF(CF1537="L23",Parameter!$H$6+Parameter!$H$7,Parameter!$H$5+Parameter!$H$6+Parameter!$H$7))-(AX1537-AS1537))/AS1537)))</f>
        <v>0</v>
      </c>
      <c r="AZ1537" s="50" t="n">
        <f aca="false">IF(LEFT(Cockpit!$O$5,1)="A",H1537,IF(Parameter!$E$30="MAX-Bestand",IF(CH1537=1,CI1537,IF(LEFT(Cockpit!$O$5,1)="B",BF1537,MAX(BF1537,H1537))),ROUNDUP(BD1537,0)))</f>
        <v>1</v>
      </c>
      <c r="BA1537" s="50" t="n">
        <f aca="false">IF(BZ1537=1,0,ROUNDUP(AZ1537/BY1537,0))</f>
        <v>1</v>
      </c>
      <c r="BB1537" s="52" t="n">
        <f aca="false">IF(CQ1537&gt;0,CQ1537*MAX(1,AZ1537/X1537),IF(BZ1537=1,IF(AZ1537&lt;=0,0,CD1537*MAX(1,IF(H1537&gt;0,AZ1537/H1537,1))),IF(R1537&gt;0,BA1537/R1537,0))/MAX(0.1,N(Parameter!$M$21)))</f>
        <v>0.00961538461538462</v>
      </c>
      <c r="BC1537" s="50" t="n">
        <f aca="false">BB1537*CB1537</f>
        <v>1.49038461538462</v>
      </c>
      <c r="BD1537" s="51" t="n">
        <f aca="false">IF(LEFT(Cockpit!$O$5,1)="A",H1537,IF(CH1537=1,(CK1537+CI1537)/2,IF(LEFT(Cockpit!$O$5,1)="B",(CK1537+BF1537)/2,MAX((CK1537+BF1537)/2,H1537))))</f>
        <v>0.5</v>
      </c>
      <c r="BE1537" s="50" t="n">
        <f aca="false">BD1537*G1537</f>
        <v>21.835</v>
      </c>
      <c r="BF1537" s="50" t="n">
        <f aca="false">ROUNDUP(CK1537+MAX(CL1537,2*(J1537/IF(CG1537&gt;0,CG1537,MAX(0.1,N(Cockpit!$O$6)))-CK1537)),0)</f>
        <v>1</v>
      </c>
      <c r="BG1537" s="51" t="n">
        <f aca="false">IF(BC1537&gt;0,J1537/BC1537,-1)</f>
        <v>0</v>
      </c>
      <c r="BH1537" s="51" t="n">
        <f aca="false">IF(AND(OR(CF1537="L1",CF1537="L23",CF1537="LIFT"),BC1537&gt;0),SUMIFS($BC$7:$BC$1843,$CF$7:$CF$1843,CF1537,$BG$7:$BG$1843,"&gt;"&amp;BG1537)+SUMIFS($BC$7:$BC$1843,$CF$7:$CF$1843,CF1537,$BG$7:$BG$1843,BG1537,$BW$7:$BW$1843,"&lt;="&amp;BW1537),"")</f>
        <v>30362.0723727779</v>
      </c>
      <c r="BI1537" s="58" t="n">
        <f aca="false">IF(BH1537="",0,MAX(0,MIN(1,(IF(CF1537="L1",Parameter!$H$5,IF(CF1537="L23",Parameter!$H$6+Parameter!$H$7,Parameter!$H$5+Parameter!$H$6+Parameter!$H$7))-(BH1537-BC1537))/BC1537)))</f>
        <v>1</v>
      </c>
      <c r="BJ1537" s="48" t="str">
        <f aca="false">IF(AI1537&lt;=0,"",IF(CF1537="Aussen","Aussenlager",IF(CF1537="-","Nicht im Lift",IF(AO1537&gt;=1,"Lift",IF(AO1537&lt;=0,"Aussenlager","teilweise")))))</f>
        <v>Lift</v>
      </c>
      <c r="BK1537" s="48" t="str">
        <f aca="false">IF(AS1537&lt;=0,"",IF(CF1537="Aussen","Aussenlager",IF(CF1537="-","Nicht im Lift",IF(AY1537&gt;=1,"Lift",IF(AY1537&lt;=0,"Aussenlager","teilweise")))))</f>
        <v>Aussenlager</v>
      </c>
      <c r="BL1537" s="48" t="str">
        <f aca="false">IF(BC1537&lt;=0,"",IF(CF1537="Aussen","Aussenlager",IF(CF1537="-","Nicht im Lift",IF(BI1537&gt;=1,"Lift",IF(BI1537&lt;=0,"Aussenlager","teilweise")))))</f>
        <v>Lift</v>
      </c>
      <c r="BM1537" s="48" t="str">
        <f aca="false">IF(A1537="","",IF(BV1537=1,"Neu; ","")&amp;IF(AND(BV1537=0,BQ1537&lt;0),"negativer Bestand (Export "&amp;BQ1537&amp;"); ","")&amp;IF(J1537&lt;=0,"Kein Verbrauch; ","")&amp;IF(CQ1537&gt;0,"Lift "&amp;W1537&amp;" lt. Liftbericht (Fach "&amp;X1537&amp;" Stk); ",IF(CA1537=1,"Gebinde geschätzt ("&amp;T1537&amp;"); ",IF(BZ1537=1,"Lose – Tablare geschätzt; ","")))&amp;IF(H1537&gt;AV1537,"Überbestand "&amp;ROUND(H1537-AV1537,0)&amp;" Stk / CHF "&amp;ROUND((H1537-AV1537)*G1537,0)&amp;"; ","")&amp;IF(AND(CH1537=1,CI1537&lt;CJ1537),"MAX &lt; MB+LG; ","")&amp;IF(AND(CP1537&gt;0,CO1537*10&gt;CP1537),"zu hoch für Tablar; ","")&amp;IF(AND(BV1537=0,OR(CH1537=1,AA1537&lt;&gt;"",U1537&lt;&gt;"",V1537&lt;&gt;"",AB1537&lt;&gt;"")),"manuell übersteuert; ","")&amp;IF(AND(BZ1537=0,R1537=0),"Gebinde unbekannt / Stellmass fehlt; ","")&amp;IF(AND(BZ1537=0,N(V1537)&lt;=0,N(Q1537)&lt;=0),"Menge pro Gebinde fehlt (Ist = 1 Gebinde); ","")&amp;BU1537)</f>
        <v>Kein Verbrauch; Überbestand 4 Stk / CHF 175; nur im Artikelstamm (Bestand 23.06.2026)</v>
      </c>
      <c r="BN1537" s="48"/>
      <c r="BO1537" s="48"/>
      <c r="BP1537" s="55"/>
      <c r="BQ1537" s="50" t="n">
        <v>5</v>
      </c>
      <c r="BR1537" s="50" t="n">
        <v>0</v>
      </c>
      <c r="BS1537" s="49" t="n">
        <v>0</v>
      </c>
      <c r="BT1537" s="50" t="n">
        <v>0</v>
      </c>
      <c r="BU1537" s="48" t="s">
        <v>2584</v>
      </c>
      <c r="BV1537" s="53" t="n">
        <v>0</v>
      </c>
      <c r="BW1537" s="53" t="n">
        <v>1537</v>
      </c>
      <c r="BX1537" s="48" t="str">
        <f aca="false">IF(U1537&lt;&gt;"",UPPER(TRIM(U1537)),IF(CA1537=1,UPPER(VLOOKUP(T1537,Parameter!$I$27:$K$29,2,0)),IF(P1537="","LOSE",P1537)))</f>
        <v>S32</v>
      </c>
      <c r="BY1537" s="50" t="n">
        <f aca="false">IF(BX1537="LOSE",1,IF(N(V1537)&gt;0,V1537,IF(CA1537=1,MAX(1,N(VLOOKUP(T1537,Parameter!$I$27:$K$29,3,0)),H1537,N(N1537)),IF(N(Q1537)&gt;0,Q1537,MAX(1,H1537)))))</f>
        <v>5</v>
      </c>
      <c r="BZ1537" s="53" t="n">
        <f aca="false">IF(BX1537="LOSE",1,0)</f>
        <v>0</v>
      </c>
      <c r="CA1537" s="53" t="n">
        <f aca="false">IF(AND(U1537="",OR(P1537="",P1537="LOSE"),T1537&lt;&gt;"",N(S1537)&lt;=0,ISNUMBER(MATCH(T1537,Parameter!$I$27:$I$29,0))),1,0)</f>
        <v>0</v>
      </c>
      <c r="CB1537" s="53" t="n">
        <f aca="false">IF(CQ1537&gt;0,INDEX(Parameter!$H$5:$H$7,W1537)/INDEX(Parameter!$E$5:$E$7,W1537),IF(AND(BZ1537=0,N(IFERROR(VLOOKUP(BX1537,'Gebinde-Kategorie'!$A$5:$N$45,14,0),0))&gt;0),VLOOKUP(BX1537,'Gebinde-Kategorie'!$A$5:$N$45,14,0)*10+Parameter!$M$23,Parameter!$M$24))</f>
        <v>155</v>
      </c>
      <c r="CC1537" s="48" t="str">
        <f aca="false">IF(AND(Parameter!$B$19="Ja",E1537&lt;&gt;"",ISNUMBER(MATCH(E1537,Parameter!$I$35:$I$52,0))),VLOOKUP(E1537,Parameter!$I$35:$J$52,2,0),IFERROR(VLOOKUP(D1537,Parameter!$A$35:$C$64,2,0),"Nein"))</f>
        <v>2+3</v>
      </c>
      <c r="CD1537" s="52" t="n">
        <f aca="false">IF(BZ1537=0,0,IF(N(S1537)&gt;0,S1537,IFERROR(VLOOKUP(D1537,Parameter!$A$35:$C$64,3,0)+0,0)))</f>
        <v>0</v>
      </c>
      <c r="CE1537" s="48" t="n">
        <f aca="false">IF(AA1537&lt;&gt;"",AA1537,Z1537)</f>
        <v>3</v>
      </c>
      <c r="CF1537" s="48" t="str">
        <f aca="false">IF(OR(CE1537=1,CE1537=2,CE1537=3),IF(Parameter!$E$27="Ja","LIFT",IF(CE1537=1,"L1","L23")),IF(CE1537="Aussen","Aussen","-"))</f>
        <v>LIFT</v>
      </c>
      <c r="CG1537" s="59" t="n">
        <f aca="false">IF(N(AB1537)&gt;0,AB1537,0)</f>
        <v>0</v>
      </c>
      <c r="CH1537" s="53" t="n">
        <f aca="false">IF(ISNUMBER(AE1537),1,0)</f>
        <v>0</v>
      </c>
      <c r="CI1537" s="50" t="n">
        <f aca="false">N(AE1537)</f>
        <v>0</v>
      </c>
      <c r="CJ1537" s="50" t="n">
        <f aca="false">N(M1537)+N(N1537)</f>
        <v>1</v>
      </c>
      <c r="CK1537" s="50" t="n">
        <f aca="false">N(M1537)</f>
        <v>0</v>
      </c>
      <c r="CL1537" s="50" t="n">
        <f aca="false">N(N1537)</f>
        <v>1</v>
      </c>
      <c r="CM1537" s="50" t="n">
        <f aca="false">ROUNDUP(H1537/BY1537,0)</f>
        <v>1</v>
      </c>
      <c r="CN1537" s="50" t="n">
        <f aca="false">ROUNDUP(CI1537/BY1537,0)</f>
        <v>0</v>
      </c>
      <c r="CO1537" s="53" t="n">
        <f aca="false">IF(BZ1537=1,0,IFERROR(VLOOKUP(BX1537,'Gebinde-Kategorie'!$A$5:$N$45,5,0)+0,0))</f>
        <v>8</v>
      </c>
      <c r="CP1537" s="53" t="n">
        <f aca="false">IFERROR(IF(OR(CE1537=1,CE1537=2,CE1537=3),N(INDEX(Parameter!$I$5:$I$7,CE1537)),0),0)</f>
        <v>0</v>
      </c>
      <c r="CQ1537" s="52" t="n">
        <f aca="false">IF(AND(Parameter!$B$21="Ja",ISNUMBER(W1537),N(X1537)&gt;0),IFERROR(N(INDEX(Parameter!$L$5:$L$7,W1537))*INDEX(Parameter!$E$5:$E$7,W1537)*X1537/SUMIFS($X$7:$X$1843,$W$7:$W$1843,W1537),0),0)</f>
        <v>0</v>
      </c>
    </row>
    <row r="1538" customFormat="false" ht="15" hidden="false" customHeight="false" outlineLevel="0" collapsed="false">
      <c r="A1538" s="48" t="s">
        <v>2697</v>
      </c>
      <c r="B1538" s="48" t="s">
        <v>2698</v>
      </c>
      <c r="C1538" s="48" t="s">
        <v>173</v>
      </c>
      <c r="D1538" s="48" t="s">
        <v>193</v>
      </c>
      <c r="E1538" s="48" t="s">
        <v>194</v>
      </c>
      <c r="F1538" s="48"/>
      <c r="G1538" s="49" t="n">
        <v>21</v>
      </c>
      <c r="H1538" s="50" t="n">
        <f aca="false">MAX(0,IF(AND(Parameter!$B$21="Ja",ISNUMBER(Y1538)),Y1538,IF(Parameter!$B$20="Jahresanfang 2025 + Export",BR1538+BQ1538,BQ1538)))</f>
        <v>9</v>
      </c>
      <c r="I1538" s="50" t="n">
        <f aca="false">H1538*G1538</f>
        <v>189</v>
      </c>
      <c r="J1538" s="50" t="n">
        <f aca="false">BT1538*Parameter!$B$18</f>
        <v>0</v>
      </c>
      <c r="K1538" s="51"/>
      <c r="L1538" s="52"/>
      <c r="M1538" s="50" t="n">
        <v>0</v>
      </c>
      <c r="N1538" s="50" t="n">
        <v>10</v>
      </c>
      <c r="O1538" s="53" t="n">
        <v>35</v>
      </c>
      <c r="P1538" s="48" t="s">
        <v>302</v>
      </c>
      <c r="Q1538" s="50" t="n">
        <v>9</v>
      </c>
      <c r="R1538" s="53" t="n">
        <f aca="false">IF(BZ1538=1,0,IFERROR(VLOOKUP(BX1538,'Gebinde-Kategorie'!$A$5:$N$45,13,0)+0,0))</f>
        <v>12</v>
      </c>
      <c r="S1538" s="54"/>
      <c r="T1538" s="55"/>
      <c r="U1538" s="55"/>
      <c r="V1538" s="55"/>
      <c r="W1538" s="48"/>
      <c r="X1538" s="50"/>
      <c r="Y1538" s="50"/>
      <c r="Z1538" s="48" t="n">
        <f aca="false">IF(A1538="","",IF(AND(Parameter!$B$21="Ja",ISNUMBER(W1538)),W1538,IF(CC1538="2+3",IF(ISNUMBER(SEARCH("grosser Artikel",BU1538)),2,IFERROR(VLOOKUP(BX1538,Parameter!$F$35:$G$64,2,0),2)),IF(OR(CC1538="Nein",CC1538=""),"-",CC1538))))</f>
        <v>2</v>
      </c>
      <c r="AA1538" s="55"/>
      <c r="AB1538" s="56"/>
      <c r="AC1538" s="50" t="n">
        <f aca="false">AV1538</f>
        <v>10</v>
      </c>
      <c r="AD1538" s="50" t="n">
        <f aca="false">MAX(AV1538,H1538)</f>
        <v>10</v>
      </c>
      <c r="AE1538" s="57"/>
      <c r="AF1538" s="50" t="n">
        <f aca="false">IF(LEFT(Cockpit!$C$5,1)="A",H1538,IF(Parameter!$E$30="MAX-Bestand",IF(CH1538=1,CI1538,IF(LEFT(Cockpit!$C$5,1)="B",AL1538,MAX(AL1538,H1538))),ROUNDUP(AJ1538,0)))</f>
        <v>9</v>
      </c>
      <c r="AG1538" s="50" t="n">
        <f aca="false">IF(BZ1538=1,0,ROUNDUP(AF1538/BY1538,0))</f>
        <v>1</v>
      </c>
      <c r="AH1538" s="52" t="n">
        <f aca="false">IF(CQ1538&gt;0,CQ1538*MAX(1,AF1538/X1538),IF(BZ1538=1,IF(AF1538&lt;=0,0,CD1538*MAX(1,IF(H1538&gt;0,AF1538/H1538,1))),IF(R1538&gt;0,AG1538/R1538,0))/MAX(0.1,N(Parameter!$M$21)))</f>
        <v>0.0833333333333333</v>
      </c>
      <c r="AI1538" s="50" t="n">
        <f aca="false">AH1538*CB1538</f>
        <v>20.4166666666667</v>
      </c>
      <c r="AJ1538" s="51" t="n">
        <f aca="false">IF(LEFT(Cockpit!$C$5,1)="A",H1538,IF(CH1538=1,(CK1538+CI1538)/2,IF(LEFT(Cockpit!$C$5,1)="B",(CK1538+AL1538)/2,MAX((CK1538+AL1538)/2,H1538))))</f>
        <v>9</v>
      </c>
      <c r="AK1538" s="50" t="n">
        <f aca="false">AJ1538*G1538</f>
        <v>189</v>
      </c>
      <c r="AL1538" s="50" t="n">
        <f aca="false">ROUNDUP(CK1538+MAX(CL1538,2*(J1538/IF(CG1538&gt;0,CG1538,MAX(0.1,N(Cockpit!$C$6)))-CK1538)),0)</f>
        <v>10</v>
      </c>
      <c r="AM1538" s="51" t="n">
        <f aca="false">IF(AI1538&gt;0,J1538/AI1538,-1)</f>
        <v>0</v>
      </c>
      <c r="AN1538" s="51" t="n">
        <f aca="false">IF(AND(OR(CF1538="L1",CF1538="L23",CF1538="LIFT"),AI1538&gt;0),SUMIFS($AI$7:$AI$1843,$CF$7:$CF$1843,CF1538,$AM$7:$AM$1843,"&gt;"&amp;AM1538)+SUMIFS($AI$7:$AI$1843,$CF$7:$CF$1843,CF1538,$AM$7:$AM$1843,AM1538,$BW$7:$BW$1843,"&lt;="&amp;BW1538),"")</f>
        <v>30124.4412470768</v>
      </c>
      <c r="AO1538" s="58" t="n">
        <f aca="false">IF(AN1538="",0,MAX(0,MIN(1,(IF(CF1538="L1",Parameter!$H$5,IF(CF1538="L23",Parameter!$H$6+Parameter!$H$7,Parameter!$H$5+Parameter!$H$6+Parameter!$H$7))-(AN1538-AI1538))/AI1538)))</f>
        <v>1</v>
      </c>
      <c r="AP1538" s="50" t="n">
        <f aca="false">IF(LEFT(Cockpit!$I$5,1)="A",H1538,IF(Parameter!$E$30="MAX-Bestand",IF(CH1538=1,CI1538,IF(LEFT(Cockpit!$I$5,1)="B",AV1538,MAX(AV1538,H1538))),ROUNDUP(AT1538,0)))</f>
        <v>9</v>
      </c>
      <c r="AQ1538" s="50" t="n">
        <f aca="false">IF(BZ1538=1,0,ROUNDUP(AP1538/BY1538,0))</f>
        <v>1</v>
      </c>
      <c r="AR1538" s="52" t="n">
        <f aca="false">IF(CQ1538&gt;0,CQ1538*MAX(1,AP1538/X1538),IF(BZ1538=1,IF(AP1538&lt;=0,0,CD1538*MAX(1,IF(H1538&gt;0,AP1538/H1538,1))),IF(R1538&gt;0,AQ1538/R1538,0))/MAX(0.1,N(Parameter!$M$21)))</f>
        <v>0.0833333333333333</v>
      </c>
      <c r="AS1538" s="50" t="n">
        <f aca="false">AR1538*CB1538</f>
        <v>20.4166666666667</v>
      </c>
      <c r="AT1538" s="51" t="n">
        <f aca="false">IF(LEFT(Cockpit!$I$5,1)="A",H1538,IF(CH1538=1,(CK1538+CI1538)/2,IF(LEFT(Cockpit!$I$5,1)="B",(CK1538+AV1538)/2,MAX((CK1538+AV1538)/2,H1538))))</f>
        <v>9</v>
      </c>
      <c r="AU1538" s="50" t="n">
        <f aca="false">AT1538*G1538</f>
        <v>189</v>
      </c>
      <c r="AV1538" s="50" t="n">
        <f aca="false">ROUNDUP(CK1538+MAX(CL1538,2*(J1538/IF(CG1538&gt;0,CG1538,MAX(0.1,N(Cockpit!$I$6)))-CK1538)),0)</f>
        <v>10</v>
      </c>
      <c r="AW1538" s="51" t="n">
        <f aca="false">IF(AS1538&gt;0,J1538/AS1538,-1)</f>
        <v>0</v>
      </c>
      <c r="AX1538" s="51" t="n">
        <f aca="false">IF(AND(OR(CF1538="L1",CF1538="L23",CF1538="LIFT"),AS1538&gt;0),SUMIFS($AS$7:$AS$1843,$CF$7:$CF$1843,CF1538,$AW$7:$AW$1843,"&gt;"&amp;AW1538)+SUMIFS($AS$7:$AS$1843,$CF$7:$CF$1843,CF1538,$AW$7:$AW$1843,AW1538,$BW$7:$BW$1843,"&lt;="&amp;BW1538),"")</f>
        <v>36444.2977639122</v>
      </c>
      <c r="AY1538" s="58" t="n">
        <f aca="false">IF(AX1538="",0,MAX(0,MIN(1,(IF(CF1538="L1",Parameter!$H$5,IF(CF1538="L23",Parameter!$H$6+Parameter!$H$7,Parameter!$H$5+Parameter!$H$6+Parameter!$H$7))-(AX1538-AS1538))/AS1538)))</f>
        <v>0</v>
      </c>
      <c r="AZ1538" s="50" t="n">
        <f aca="false">IF(LEFT(Cockpit!$O$5,1)="A",H1538,IF(Parameter!$E$30="MAX-Bestand",IF(CH1538=1,CI1538,IF(LEFT(Cockpit!$O$5,1)="B",BF1538,MAX(BF1538,H1538))),ROUNDUP(BD1538,0)))</f>
        <v>5</v>
      </c>
      <c r="BA1538" s="50" t="n">
        <f aca="false">IF(BZ1538=1,0,ROUNDUP(AZ1538/BY1538,0))</f>
        <v>1</v>
      </c>
      <c r="BB1538" s="52" t="n">
        <f aca="false">IF(CQ1538&gt;0,CQ1538*MAX(1,AZ1538/X1538),IF(BZ1538=1,IF(AZ1538&lt;=0,0,CD1538*MAX(1,IF(H1538&gt;0,AZ1538/H1538,1))),IF(R1538&gt;0,BA1538/R1538,0))/MAX(0.1,N(Parameter!$M$21)))</f>
        <v>0.0833333333333333</v>
      </c>
      <c r="BC1538" s="50" t="n">
        <f aca="false">BB1538*CB1538</f>
        <v>20.4166666666667</v>
      </c>
      <c r="BD1538" s="51" t="n">
        <f aca="false">IF(LEFT(Cockpit!$O$5,1)="A",H1538,IF(CH1538=1,(CK1538+CI1538)/2,IF(LEFT(Cockpit!$O$5,1)="B",(CK1538+BF1538)/2,MAX((CK1538+BF1538)/2,H1538))))</f>
        <v>5</v>
      </c>
      <c r="BE1538" s="50" t="n">
        <f aca="false">BD1538*G1538</f>
        <v>105</v>
      </c>
      <c r="BF1538" s="50" t="n">
        <f aca="false">ROUNDUP(CK1538+MAX(CL1538,2*(J1538/IF(CG1538&gt;0,CG1538,MAX(0.1,N(Cockpit!$O$6)))-CK1538)),0)</f>
        <v>10</v>
      </c>
      <c r="BG1538" s="51" t="n">
        <f aca="false">IF(BC1538&gt;0,J1538/BC1538,-1)</f>
        <v>0</v>
      </c>
      <c r="BH1538" s="51" t="n">
        <f aca="false">IF(AND(OR(CF1538="L1",CF1538="L23",CF1538="LIFT"),BC1538&gt;0),SUMIFS($BC$7:$BC$1843,$CF$7:$CF$1843,CF1538,$BG$7:$BG$1843,"&gt;"&amp;BG1538)+SUMIFS($BC$7:$BC$1843,$CF$7:$CF$1843,CF1538,$BG$7:$BG$1843,BG1538,$BW$7:$BW$1843,"&lt;="&amp;BW1538),"")</f>
        <v>30382.4890394445</v>
      </c>
      <c r="BI1538" s="58" t="n">
        <f aca="false">IF(BH1538="",0,MAX(0,MIN(1,(IF(CF1538="L1",Parameter!$H$5,IF(CF1538="L23",Parameter!$H$6+Parameter!$H$7,Parameter!$H$5+Parameter!$H$6+Parameter!$H$7))-(BH1538-BC1538))/BC1538)))</f>
        <v>1</v>
      </c>
      <c r="BJ1538" s="48" t="str">
        <f aca="false">IF(AI1538&lt;=0,"",IF(CF1538="Aussen","Aussenlager",IF(CF1538="-","Nicht im Lift",IF(AO1538&gt;=1,"Lift",IF(AO1538&lt;=0,"Aussenlager","teilweise")))))</f>
        <v>Lift</v>
      </c>
      <c r="BK1538" s="48" t="str">
        <f aca="false">IF(AS1538&lt;=0,"",IF(CF1538="Aussen","Aussenlager",IF(CF1538="-","Nicht im Lift",IF(AY1538&gt;=1,"Lift",IF(AY1538&lt;=0,"Aussenlager","teilweise")))))</f>
        <v>Aussenlager</v>
      </c>
      <c r="BL1538" s="48" t="str">
        <f aca="false">IF(BC1538&lt;=0,"",IF(CF1538="Aussen","Aussenlager",IF(CF1538="-","Nicht im Lift",IF(BI1538&gt;=1,"Lift",IF(BI1538&lt;=0,"Aussenlager","teilweise")))))</f>
        <v>Lift</v>
      </c>
      <c r="BM1538" s="48" t="str">
        <f aca="false">IF(A1538="","",IF(BV1538=1,"Neu; ","")&amp;IF(AND(BV1538=0,BQ1538&lt;0),"negativer Bestand (Export "&amp;BQ1538&amp;"); ","")&amp;IF(J1538&lt;=0,"Kein Verbrauch; ","")&amp;IF(CQ1538&gt;0,"Lift "&amp;W1538&amp;" lt. Liftbericht (Fach "&amp;X1538&amp;" Stk); ",IF(CA1538=1,"Gebinde geschätzt ("&amp;T1538&amp;"); ",IF(BZ1538=1,"Lose – Tablare geschätzt; ","")))&amp;IF(H1538&gt;AV1538,"Überbestand "&amp;ROUND(H1538-AV1538,0)&amp;" Stk / CHF "&amp;ROUND((H1538-AV1538)*G1538,0)&amp;"; ","")&amp;IF(AND(CH1538=1,CI1538&lt;CJ1538),"MAX &lt; MB+LG; ","")&amp;IF(AND(CP1538&gt;0,CO1538*10&gt;CP1538),"zu hoch für Tablar; ","")&amp;IF(AND(BV1538=0,OR(CH1538=1,AA1538&lt;&gt;"",U1538&lt;&gt;"",V1538&lt;&gt;"",AB1538&lt;&gt;"")),"manuell übersteuert; ","")&amp;IF(AND(BZ1538=0,R1538=0),"Gebinde unbekannt / Stellmass fehlt; ","")&amp;IF(AND(BZ1538=0,N(V1538)&lt;=0,N(Q1538)&lt;=0),"Menge pro Gebinde fehlt (Ist = 1 Gebinde); ","")&amp;BU1538)</f>
        <v>Kein Verbrauch; nur im Artikelstamm (Bestand 23.06.2026); Neu</v>
      </c>
      <c r="BN1538" s="48"/>
      <c r="BO1538" s="48"/>
      <c r="BP1538" s="55"/>
      <c r="BQ1538" s="50" t="n">
        <v>9</v>
      </c>
      <c r="BR1538" s="50" t="n">
        <v>0</v>
      </c>
      <c r="BS1538" s="49" t="n">
        <v>0</v>
      </c>
      <c r="BT1538" s="50" t="n">
        <v>0</v>
      </c>
      <c r="BU1538" s="48" t="s">
        <v>2676</v>
      </c>
      <c r="BV1538" s="53" t="n">
        <v>0</v>
      </c>
      <c r="BW1538" s="53" t="n">
        <v>1538</v>
      </c>
      <c r="BX1538" s="48" t="str">
        <f aca="false">IF(U1538&lt;&gt;"",UPPER(TRIM(U1538)),IF(CA1538=1,UPPER(VLOOKUP(T1538,Parameter!$I$27:$K$29,2,0)),IF(P1538="","LOSE",P1538)))</f>
        <v>S62</v>
      </c>
      <c r="BY1538" s="50" t="n">
        <f aca="false">IF(BX1538="LOSE",1,IF(N(V1538)&gt;0,V1538,IF(CA1538=1,MAX(1,N(VLOOKUP(T1538,Parameter!$I$27:$K$29,3,0)),H1538,N(N1538)),IF(N(Q1538)&gt;0,Q1538,MAX(1,H1538)))))</f>
        <v>9</v>
      </c>
      <c r="BZ1538" s="53" t="n">
        <f aca="false">IF(BX1538="LOSE",1,0)</f>
        <v>0</v>
      </c>
      <c r="CA1538" s="53" t="n">
        <f aca="false">IF(AND(U1538="",OR(P1538="",P1538="LOSE"),T1538&lt;&gt;"",N(S1538)&lt;=0,ISNUMBER(MATCH(T1538,Parameter!$I$27:$I$29,0))),1,0)</f>
        <v>0</v>
      </c>
      <c r="CB1538" s="53" t="n">
        <f aca="false">IF(CQ1538&gt;0,INDEX(Parameter!$H$5:$H$7,W1538)/INDEX(Parameter!$E$5:$E$7,W1538),IF(AND(BZ1538=0,N(IFERROR(VLOOKUP(BX1538,'Gebinde-Kategorie'!$A$5:$N$45,14,0),0))&gt;0),VLOOKUP(BX1538,'Gebinde-Kategorie'!$A$5:$N$45,14,0)*10+Parameter!$M$23,Parameter!$M$24))</f>
        <v>245</v>
      </c>
      <c r="CC1538" s="48" t="str">
        <f aca="false">IF(AND(Parameter!$B$19="Ja",E1538&lt;&gt;"",ISNUMBER(MATCH(E1538,Parameter!$I$35:$I$52,0))),VLOOKUP(E1538,Parameter!$I$35:$J$52,2,0),IFERROR(VLOOKUP(D1538,Parameter!$A$35:$C$64,2,0),"Nein"))</f>
        <v>2+3</v>
      </c>
      <c r="CD1538" s="52" t="n">
        <f aca="false">IF(BZ1538=0,0,IF(N(S1538)&gt;0,S1538,IFERROR(VLOOKUP(D1538,Parameter!$A$35:$C$64,3,0)+0,0)))</f>
        <v>0</v>
      </c>
      <c r="CE1538" s="48" t="n">
        <f aca="false">IF(AA1538&lt;&gt;"",AA1538,Z1538)</f>
        <v>2</v>
      </c>
      <c r="CF1538" s="48" t="str">
        <f aca="false">IF(OR(CE1538=1,CE1538=2,CE1538=3),IF(Parameter!$E$27="Ja","LIFT",IF(CE1538=1,"L1","L23")),IF(CE1538="Aussen","Aussen","-"))</f>
        <v>LIFT</v>
      </c>
      <c r="CG1538" s="59" t="n">
        <f aca="false">IF(N(AB1538)&gt;0,AB1538,0)</f>
        <v>0</v>
      </c>
      <c r="CH1538" s="53" t="n">
        <f aca="false">IF(ISNUMBER(AE1538),1,0)</f>
        <v>0</v>
      </c>
      <c r="CI1538" s="50" t="n">
        <f aca="false">N(AE1538)</f>
        <v>0</v>
      </c>
      <c r="CJ1538" s="50" t="n">
        <f aca="false">N(M1538)+N(N1538)</f>
        <v>10</v>
      </c>
      <c r="CK1538" s="50" t="n">
        <f aca="false">N(M1538)</f>
        <v>0</v>
      </c>
      <c r="CL1538" s="50" t="n">
        <f aca="false">N(N1538)</f>
        <v>10</v>
      </c>
      <c r="CM1538" s="50" t="n">
        <f aca="false">ROUNDUP(H1538/BY1538,0)</f>
        <v>1</v>
      </c>
      <c r="CN1538" s="50" t="n">
        <f aca="false">ROUNDUP(CI1538/BY1538,0)</f>
        <v>0</v>
      </c>
      <c r="CO1538" s="53" t="n">
        <f aca="false">IF(BZ1538=1,0,IFERROR(VLOOKUP(BX1538,'Gebinde-Kategorie'!$A$5:$N$45,5,0)+0,0))</f>
        <v>21</v>
      </c>
      <c r="CP1538" s="53" t="n">
        <f aca="false">IFERROR(IF(OR(CE1538=1,CE1538=2,CE1538=3),N(INDEX(Parameter!$I$5:$I$7,CE1538)),0),0)</f>
        <v>0</v>
      </c>
      <c r="CQ1538" s="52" t="n">
        <f aca="false">IF(AND(Parameter!$B$21="Ja",ISNUMBER(W1538),N(X1538)&gt;0),IFERROR(N(INDEX(Parameter!$L$5:$L$7,W1538))*INDEX(Parameter!$E$5:$E$7,W1538)*X1538/SUMIFS($X$7:$X$1843,$W$7:$W$1843,W1538),0),0)</f>
        <v>0</v>
      </c>
    </row>
    <row r="1539" customFormat="false" ht="15" hidden="false" customHeight="false" outlineLevel="0" collapsed="false">
      <c r="A1539" s="48" t="s">
        <v>2699</v>
      </c>
      <c r="B1539" s="48" t="s">
        <v>1877</v>
      </c>
      <c r="C1539" s="48" t="s">
        <v>173</v>
      </c>
      <c r="D1539" s="48" t="s">
        <v>193</v>
      </c>
      <c r="E1539" s="48" t="s">
        <v>194</v>
      </c>
      <c r="F1539" s="48"/>
      <c r="G1539" s="49" t="n">
        <v>142.8</v>
      </c>
      <c r="H1539" s="50" t="n">
        <f aca="false">MAX(0,IF(AND(Parameter!$B$21="Ja",ISNUMBER(Y1539)),Y1539,IF(Parameter!$B$20="Jahresanfang 2025 + Export",BR1539+BQ1539,BQ1539)))</f>
        <v>4</v>
      </c>
      <c r="I1539" s="50" t="n">
        <f aca="false">H1539*G1539</f>
        <v>571.2</v>
      </c>
      <c r="J1539" s="50" t="n">
        <f aca="false">BT1539*Parameter!$B$18</f>
        <v>0</v>
      </c>
      <c r="K1539" s="51"/>
      <c r="L1539" s="52"/>
      <c r="M1539" s="50" t="n">
        <v>0</v>
      </c>
      <c r="N1539" s="50" t="n">
        <v>2</v>
      </c>
      <c r="O1539" s="53" t="n">
        <v>168</v>
      </c>
      <c r="P1539" s="48" t="s">
        <v>337</v>
      </c>
      <c r="Q1539" s="50" t="n">
        <v>4</v>
      </c>
      <c r="R1539" s="53" t="n">
        <f aca="false">IF(BZ1539=1,0,IFERROR(VLOOKUP(BX1539,'Gebinde-Kategorie'!$A$5:$N$45,13,0)+0,0))</f>
        <v>52</v>
      </c>
      <c r="S1539" s="54"/>
      <c r="T1539" s="55"/>
      <c r="U1539" s="55"/>
      <c r="V1539" s="55"/>
      <c r="W1539" s="48"/>
      <c r="X1539" s="50"/>
      <c r="Y1539" s="50"/>
      <c r="Z1539" s="48" t="n">
        <f aca="false">IF(A1539="","",IF(AND(Parameter!$B$21="Ja",ISNUMBER(W1539)),W1539,IF(CC1539="2+3",IF(ISNUMBER(SEARCH("grosser Artikel",BU1539)),2,IFERROR(VLOOKUP(BX1539,Parameter!$F$35:$G$64,2,0),2)),IF(OR(CC1539="Nein",CC1539=""),"-",CC1539))))</f>
        <v>3</v>
      </c>
      <c r="AA1539" s="55"/>
      <c r="AB1539" s="56"/>
      <c r="AC1539" s="50" t="n">
        <f aca="false">AV1539</f>
        <v>2</v>
      </c>
      <c r="AD1539" s="50" t="n">
        <f aca="false">MAX(AV1539,H1539)</f>
        <v>4</v>
      </c>
      <c r="AE1539" s="57"/>
      <c r="AF1539" s="50" t="n">
        <f aca="false">IF(LEFT(Cockpit!$C$5,1)="A",H1539,IF(Parameter!$E$30="MAX-Bestand",IF(CH1539=1,CI1539,IF(LEFT(Cockpit!$C$5,1)="B",AL1539,MAX(AL1539,H1539))),ROUNDUP(AJ1539,0)))</f>
        <v>4</v>
      </c>
      <c r="AG1539" s="50" t="n">
        <f aca="false">IF(BZ1539=1,0,ROUNDUP(AF1539/BY1539,0))</f>
        <v>1</v>
      </c>
      <c r="AH1539" s="52" t="n">
        <f aca="false">IF(CQ1539&gt;0,CQ1539*MAX(1,AF1539/X1539),IF(BZ1539=1,IF(AF1539&lt;=0,0,CD1539*MAX(1,IF(H1539&gt;0,AF1539/H1539,1))),IF(R1539&gt;0,AG1539/R1539,0))/MAX(0.1,N(Parameter!$M$21)))</f>
        <v>0.0192307692307692</v>
      </c>
      <c r="AI1539" s="50" t="n">
        <f aca="false">AH1539*CB1539</f>
        <v>2.98076923076923</v>
      </c>
      <c r="AJ1539" s="51" t="n">
        <f aca="false">IF(LEFT(Cockpit!$C$5,1)="A",H1539,IF(CH1539=1,(CK1539+CI1539)/2,IF(LEFT(Cockpit!$C$5,1)="B",(CK1539+AL1539)/2,MAX((CK1539+AL1539)/2,H1539))))</f>
        <v>4</v>
      </c>
      <c r="AK1539" s="50" t="n">
        <f aca="false">AJ1539*G1539</f>
        <v>571.2</v>
      </c>
      <c r="AL1539" s="50" t="n">
        <f aca="false">ROUNDUP(CK1539+MAX(CL1539,2*(J1539/IF(CG1539&gt;0,CG1539,MAX(0.1,N(Cockpit!$C$6)))-CK1539)),0)</f>
        <v>2</v>
      </c>
      <c r="AM1539" s="51" t="n">
        <f aca="false">IF(AI1539&gt;0,J1539/AI1539,-1)</f>
        <v>0</v>
      </c>
      <c r="AN1539" s="51" t="n">
        <f aca="false">IF(AND(OR(CF1539="L1",CF1539="L23",CF1539="LIFT"),AI1539&gt;0),SUMIFS($AI$7:$AI$1843,$CF$7:$CF$1843,CF1539,$AM$7:$AM$1843,"&gt;"&amp;AM1539)+SUMIFS($AI$7:$AI$1843,$CF$7:$CF$1843,CF1539,$AM$7:$AM$1843,AM1539,$BW$7:$BW$1843,"&lt;="&amp;BW1539),"")</f>
        <v>30127.4220163076</v>
      </c>
      <c r="AO1539" s="58" t="n">
        <f aca="false">IF(AN1539="",0,MAX(0,MIN(1,(IF(CF1539="L1",Parameter!$H$5,IF(CF1539="L23",Parameter!$H$6+Parameter!$H$7,Parameter!$H$5+Parameter!$H$6+Parameter!$H$7))-(AN1539-AI1539))/AI1539)))</f>
        <v>1</v>
      </c>
      <c r="AP1539" s="50" t="n">
        <f aca="false">IF(LEFT(Cockpit!$I$5,1)="A",H1539,IF(Parameter!$E$30="MAX-Bestand",IF(CH1539=1,CI1539,IF(LEFT(Cockpit!$I$5,1)="B",AV1539,MAX(AV1539,H1539))),ROUNDUP(AT1539,0)))</f>
        <v>4</v>
      </c>
      <c r="AQ1539" s="50" t="n">
        <f aca="false">IF(BZ1539=1,0,ROUNDUP(AP1539/BY1539,0))</f>
        <v>1</v>
      </c>
      <c r="AR1539" s="52" t="n">
        <f aca="false">IF(CQ1539&gt;0,CQ1539*MAX(1,AP1539/X1539),IF(BZ1539=1,IF(AP1539&lt;=0,0,CD1539*MAX(1,IF(H1539&gt;0,AP1539/H1539,1))),IF(R1539&gt;0,AQ1539/R1539,0))/MAX(0.1,N(Parameter!$M$21)))</f>
        <v>0.0192307692307692</v>
      </c>
      <c r="AS1539" s="50" t="n">
        <f aca="false">AR1539*CB1539</f>
        <v>2.98076923076923</v>
      </c>
      <c r="AT1539" s="51" t="n">
        <f aca="false">IF(LEFT(Cockpit!$I$5,1)="A",H1539,IF(CH1539=1,(CK1539+CI1539)/2,IF(LEFT(Cockpit!$I$5,1)="B",(CK1539+AV1539)/2,MAX((CK1539+AV1539)/2,H1539))))</f>
        <v>4</v>
      </c>
      <c r="AU1539" s="50" t="n">
        <f aca="false">AT1539*G1539</f>
        <v>571.2</v>
      </c>
      <c r="AV1539" s="50" t="n">
        <f aca="false">ROUNDUP(CK1539+MAX(CL1539,2*(J1539/IF(CG1539&gt;0,CG1539,MAX(0.1,N(Cockpit!$I$6)))-CK1539)),0)</f>
        <v>2</v>
      </c>
      <c r="AW1539" s="51" t="n">
        <f aca="false">IF(AS1539&gt;0,J1539/AS1539,-1)</f>
        <v>0</v>
      </c>
      <c r="AX1539" s="51" t="n">
        <f aca="false">IF(AND(OR(CF1539="L1",CF1539="L23",CF1539="LIFT"),AS1539&gt;0),SUMIFS($AS$7:$AS$1843,$CF$7:$CF$1843,CF1539,$AW$7:$AW$1843,"&gt;"&amp;AW1539)+SUMIFS($AS$7:$AS$1843,$CF$7:$CF$1843,CF1539,$AW$7:$AW$1843,AW1539,$BW$7:$BW$1843,"&lt;="&amp;BW1539),"")</f>
        <v>36447.2785331429</v>
      </c>
      <c r="AY1539" s="58" t="n">
        <f aca="false">IF(AX1539="",0,MAX(0,MIN(1,(IF(CF1539="L1",Parameter!$H$5,IF(CF1539="L23",Parameter!$H$6+Parameter!$H$7,Parameter!$H$5+Parameter!$H$6+Parameter!$H$7))-(AX1539-AS1539))/AS1539)))</f>
        <v>0</v>
      </c>
      <c r="AZ1539" s="50" t="n">
        <f aca="false">IF(LEFT(Cockpit!$O$5,1)="A",H1539,IF(Parameter!$E$30="MAX-Bestand",IF(CH1539=1,CI1539,IF(LEFT(Cockpit!$O$5,1)="B",BF1539,MAX(BF1539,H1539))),ROUNDUP(BD1539,0)))</f>
        <v>1</v>
      </c>
      <c r="BA1539" s="50" t="n">
        <f aca="false">IF(BZ1539=1,0,ROUNDUP(AZ1539/BY1539,0))</f>
        <v>1</v>
      </c>
      <c r="BB1539" s="52" t="n">
        <f aca="false">IF(CQ1539&gt;0,CQ1539*MAX(1,AZ1539/X1539),IF(BZ1539=1,IF(AZ1539&lt;=0,0,CD1539*MAX(1,IF(H1539&gt;0,AZ1539/H1539,1))),IF(R1539&gt;0,BA1539/R1539,0))/MAX(0.1,N(Parameter!$M$21)))</f>
        <v>0.0192307692307692</v>
      </c>
      <c r="BC1539" s="50" t="n">
        <f aca="false">BB1539*CB1539</f>
        <v>2.98076923076923</v>
      </c>
      <c r="BD1539" s="51" t="n">
        <f aca="false">IF(LEFT(Cockpit!$O$5,1)="A",H1539,IF(CH1539=1,(CK1539+CI1539)/2,IF(LEFT(Cockpit!$O$5,1)="B",(CK1539+BF1539)/2,MAX((CK1539+BF1539)/2,H1539))))</f>
        <v>1</v>
      </c>
      <c r="BE1539" s="50" t="n">
        <f aca="false">BD1539*G1539</f>
        <v>142.8</v>
      </c>
      <c r="BF1539" s="50" t="n">
        <f aca="false">ROUNDUP(CK1539+MAX(CL1539,2*(J1539/IF(CG1539&gt;0,CG1539,MAX(0.1,N(Cockpit!$O$6)))-CK1539)),0)</f>
        <v>2</v>
      </c>
      <c r="BG1539" s="51" t="n">
        <f aca="false">IF(BC1539&gt;0,J1539/BC1539,-1)</f>
        <v>0</v>
      </c>
      <c r="BH1539" s="51" t="n">
        <f aca="false">IF(AND(OR(CF1539="L1",CF1539="L23",CF1539="LIFT"),BC1539&gt;0),SUMIFS($BC$7:$BC$1843,$CF$7:$CF$1843,CF1539,$BG$7:$BG$1843,"&gt;"&amp;BG1539)+SUMIFS($BC$7:$BC$1843,$CF$7:$CF$1843,CF1539,$BG$7:$BG$1843,BG1539,$BW$7:$BW$1843,"&lt;="&amp;BW1539),"")</f>
        <v>30385.4698086753</v>
      </c>
      <c r="BI1539" s="58" t="n">
        <f aca="false">IF(BH1539="",0,MAX(0,MIN(1,(IF(CF1539="L1",Parameter!$H$5,IF(CF1539="L23",Parameter!$H$6+Parameter!$H$7,Parameter!$H$5+Parameter!$H$6+Parameter!$H$7))-(BH1539-BC1539))/BC1539)))</f>
        <v>1</v>
      </c>
      <c r="BJ1539" s="48" t="str">
        <f aca="false">IF(AI1539&lt;=0,"",IF(CF1539="Aussen","Aussenlager",IF(CF1539="-","Nicht im Lift",IF(AO1539&gt;=1,"Lift",IF(AO1539&lt;=0,"Aussenlager","teilweise")))))</f>
        <v>Lift</v>
      </c>
      <c r="BK1539" s="48" t="str">
        <f aca="false">IF(AS1539&lt;=0,"",IF(CF1539="Aussen","Aussenlager",IF(CF1539="-","Nicht im Lift",IF(AY1539&gt;=1,"Lift",IF(AY1539&lt;=0,"Aussenlager","teilweise")))))</f>
        <v>Aussenlager</v>
      </c>
      <c r="BL1539" s="48" t="str">
        <f aca="false">IF(BC1539&lt;=0,"",IF(CF1539="Aussen","Aussenlager",IF(CF1539="-","Nicht im Lift",IF(BI1539&gt;=1,"Lift",IF(BI1539&lt;=0,"Aussenlager","teilweise")))))</f>
        <v>Lift</v>
      </c>
      <c r="BM1539" s="48" t="str">
        <f aca="false">IF(A1539="","",IF(BV1539=1,"Neu; ","")&amp;IF(AND(BV1539=0,BQ1539&lt;0),"negativer Bestand (Export "&amp;BQ1539&amp;"); ","")&amp;IF(J1539&lt;=0,"Kein Verbrauch; ","")&amp;IF(CQ1539&gt;0,"Lift "&amp;W1539&amp;" lt. Liftbericht (Fach "&amp;X1539&amp;" Stk); ",IF(CA1539=1,"Gebinde geschätzt ("&amp;T1539&amp;"); ",IF(BZ1539=1,"Lose – Tablare geschätzt; ","")))&amp;IF(H1539&gt;AV1539,"Überbestand "&amp;ROUND(H1539-AV1539,0)&amp;" Stk / CHF "&amp;ROUND((H1539-AV1539)*G1539,0)&amp;"; ","")&amp;IF(AND(CH1539=1,CI1539&lt;CJ1539),"MAX &lt; MB+LG; ","")&amp;IF(AND(CP1539&gt;0,CO1539*10&gt;CP1539),"zu hoch für Tablar; ","")&amp;IF(AND(BV1539=0,OR(CH1539=1,AA1539&lt;&gt;"",U1539&lt;&gt;"",V1539&lt;&gt;"",AB1539&lt;&gt;"")),"manuell übersteuert; ","")&amp;IF(AND(BZ1539=0,R1539=0),"Gebinde unbekannt / Stellmass fehlt; ","")&amp;IF(AND(BZ1539=0,N(V1539)&lt;=0,N(Q1539)&lt;=0),"Menge pro Gebinde fehlt (Ist = 1 Gebinde); ","")&amp;BU1539)</f>
        <v>Kein Verbrauch; Überbestand 2 Stk / CHF 286; nur im Artikelstamm (Bestand 23.06.2026)</v>
      </c>
      <c r="BN1539" s="48"/>
      <c r="BO1539" s="48"/>
      <c r="BP1539" s="55"/>
      <c r="BQ1539" s="50" t="n">
        <v>4</v>
      </c>
      <c r="BR1539" s="50" t="n">
        <v>0</v>
      </c>
      <c r="BS1539" s="49" t="n">
        <v>0</v>
      </c>
      <c r="BT1539" s="50" t="n">
        <v>0</v>
      </c>
      <c r="BU1539" s="48" t="s">
        <v>2584</v>
      </c>
      <c r="BV1539" s="53" t="n">
        <v>0</v>
      </c>
      <c r="BW1539" s="53" t="n">
        <v>1539</v>
      </c>
      <c r="BX1539" s="48" t="str">
        <f aca="false">IF(U1539&lt;&gt;"",UPPER(TRIM(U1539)),IF(CA1539=1,UPPER(VLOOKUP(T1539,Parameter!$I$27:$K$29,2,0)),IF(P1539="","LOSE",P1539)))</f>
        <v>S41</v>
      </c>
      <c r="BY1539" s="50" t="n">
        <f aca="false">IF(BX1539="LOSE",1,IF(N(V1539)&gt;0,V1539,IF(CA1539=1,MAX(1,N(VLOOKUP(T1539,Parameter!$I$27:$K$29,3,0)),H1539,N(N1539)),IF(N(Q1539)&gt;0,Q1539,MAX(1,H1539)))))</f>
        <v>4</v>
      </c>
      <c r="BZ1539" s="53" t="n">
        <f aca="false">IF(BX1539="LOSE",1,0)</f>
        <v>0</v>
      </c>
      <c r="CA1539" s="53" t="n">
        <f aca="false">IF(AND(U1539="",OR(P1539="",P1539="LOSE"),T1539&lt;&gt;"",N(S1539)&lt;=0,ISNUMBER(MATCH(T1539,Parameter!$I$27:$I$29,0))),1,0)</f>
        <v>0</v>
      </c>
      <c r="CB1539" s="53" t="n">
        <f aca="false">IF(CQ1539&gt;0,INDEX(Parameter!$H$5:$H$7,W1539)/INDEX(Parameter!$E$5:$E$7,W1539),IF(AND(BZ1539=0,N(IFERROR(VLOOKUP(BX1539,'Gebinde-Kategorie'!$A$5:$N$45,14,0),0))&gt;0),VLOOKUP(BX1539,'Gebinde-Kategorie'!$A$5:$N$45,14,0)*10+Parameter!$M$23,Parameter!$M$24))</f>
        <v>155</v>
      </c>
      <c r="CC1539" s="48" t="str">
        <f aca="false">IF(AND(Parameter!$B$19="Ja",E1539&lt;&gt;"",ISNUMBER(MATCH(E1539,Parameter!$I$35:$I$52,0))),VLOOKUP(E1539,Parameter!$I$35:$J$52,2,0),IFERROR(VLOOKUP(D1539,Parameter!$A$35:$C$64,2,0),"Nein"))</f>
        <v>2+3</v>
      </c>
      <c r="CD1539" s="52" t="n">
        <f aca="false">IF(BZ1539=0,0,IF(N(S1539)&gt;0,S1539,IFERROR(VLOOKUP(D1539,Parameter!$A$35:$C$64,3,0)+0,0)))</f>
        <v>0</v>
      </c>
      <c r="CE1539" s="48" t="n">
        <f aca="false">IF(AA1539&lt;&gt;"",AA1539,Z1539)</f>
        <v>3</v>
      </c>
      <c r="CF1539" s="48" t="str">
        <f aca="false">IF(OR(CE1539=1,CE1539=2,CE1539=3),IF(Parameter!$E$27="Ja","LIFT",IF(CE1539=1,"L1","L23")),IF(CE1539="Aussen","Aussen","-"))</f>
        <v>LIFT</v>
      </c>
      <c r="CG1539" s="59" t="n">
        <f aca="false">IF(N(AB1539)&gt;0,AB1539,0)</f>
        <v>0</v>
      </c>
      <c r="CH1539" s="53" t="n">
        <f aca="false">IF(ISNUMBER(AE1539),1,0)</f>
        <v>0</v>
      </c>
      <c r="CI1539" s="50" t="n">
        <f aca="false">N(AE1539)</f>
        <v>0</v>
      </c>
      <c r="CJ1539" s="50" t="n">
        <f aca="false">N(M1539)+N(N1539)</f>
        <v>2</v>
      </c>
      <c r="CK1539" s="50" t="n">
        <f aca="false">N(M1539)</f>
        <v>0</v>
      </c>
      <c r="CL1539" s="50" t="n">
        <f aca="false">N(N1539)</f>
        <v>2</v>
      </c>
      <c r="CM1539" s="50" t="n">
        <f aca="false">ROUNDUP(H1539/BY1539,0)</f>
        <v>1</v>
      </c>
      <c r="CN1539" s="50" t="n">
        <f aca="false">ROUNDUP(CI1539/BY1539,0)</f>
        <v>0</v>
      </c>
      <c r="CO1539" s="53" t="n">
        <f aca="false">IF(BZ1539=1,0,IFERROR(VLOOKUP(BX1539,'Gebinde-Kategorie'!$A$5:$N$45,5,0)+0,0))</f>
        <v>11</v>
      </c>
      <c r="CP1539" s="53" t="n">
        <f aca="false">IFERROR(IF(OR(CE1539=1,CE1539=2,CE1539=3),N(INDEX(Parameter!$I$5:$I$7,CE1539)),0),0)</f>
        <v>0</v>
      </c>
      <c r="CQ1539" s="52" t="n">
        <f aca="false">IF(AND(Parameter!$B$21="Ja",ISNUMBER(W1539),N(X1539)&gt;0),IFERROR(N(INDEX(Parameter!$L$5:$L$7,W1539))*INDEX(Parameter!$E$5:$E$7,W1539)*X1539/SUMIFS($X$7:$X$1843,$W$7:$W$1843,W1539),0),0)</f>
        <v>0</v>
      </c>
    </row>
    <row r="1540" customFormat="false" ht="15" hidden="false" customHeight="false" outlineLevel="0" collapsed="false">
      <c r="A1540" s="48" t="s">
        <v>2700</v>
      </c>
      <c r="B1540" s="48" t="s">
        <v>2701</v>
      </c>
      <c r="C1540" s="48" t="s">
        <v>173</v>
      </c>
      <c r="D1540" s="48" t="s">
        <v>193</v>
      </c>
      <c r="E1540" s="48" t="s">
        <v>194</v>
      </c>
      <c r="F1540" s="48"/>
      <c r="G1540" s="49" t="n">
        <v>94.81</v>
      </c>
      <c r="H1540" s="50" t="n">
        <f aca="false">MAX(0,IF(AND(Parameter!$B$21="Ja",ISNUMBER(Y1540)),Y1540,IF(Parameter!$B$20="Jahresanfang 2025 + Export",BR1540+BQ1540,BQ1540)))</f>
        <v>4</v>
      </c>
      <c r="I1540" s="50" t="n">
        <f aca="false">H1540*G1540</f>
        <v>379.24</v>
      </c>
      <c r="J1540" s="50" t="n">
        <f aca="false">BT1540*Parameter!$B$18</f>
        <v>0</v>
      </c>
      <c r="K1540" s="51"/>
      <c r="L1540" s="52"/>
      <c r="M1540" s="50" t="n">
        <v>0</v>
      </c>
      <c r="N1540" s="50" t="n">
        <v>2</v>
      </c>
      <c r="O1540" s="53" t="n">
        <v>91</v>
      </c>
      <c r="P1540" s="48" t="s">
        <v>337</v>
      </c>
      <c r="Q1540" s="50" t="n">
        <v>4</v>
      </c>
      <c r="R1540" s="53" t="n">
        <f aca="false">IF(BZ1540=1,0,IFERROR(VLOOKUP(BX1540,'Gebinde-Kategorie'!$A$5:$N$45,13,0)+0,0))</f>
        <v>52</v>
      </c>
      <c r="S1540" s="54"/>
      <c r="T1540" s="55"/>
      <c r="U1540" s="55"/>
      <c r="V1540" s="55"/>
      <c r="W1540" s="48"/>
      <c r="X1540" s="50"/>
      <c r="Y1540" s="50"/>
      <c r="Z1540" s="48" t="n">
        <f aca="false">IF(A1540="","",IF(AND(Parameter!$B$21="Ja",ISNUMBER(W1540)),W1540,IF(CC1540="2+3",IF(ISNUMBER(SEARCH("grosser Artikel",BU1540)),2,IFERROR(VLOOKUP(BX1540,Parameter!$F$35:$G$64,2,0),2)),IF(OR(CC1540="Nein",CC1540=""),"-",CC1540))))</f>
        <v>3</v>
      </c>
      <c r="AA1540" s="55"/>
      <c r="AB1540" s="56"/>
      <c r="AC1540" s="50" t="n">
        <f aca="false">AV1540</f>
        <v>2</v>
      </c>
      <c r="AD1540" s="50" t="n">
        <f aca="false">MAX(AV1540,H1540)</f>
        <v>4</v>
      </c>
      <c r="AE1540" s="57"/>
      <c r="AF1540" s="50" t="n">
        <f aca="false">IF(LEFT(Cockpit!$C$5,1)="A",H1540,IF(Parameter!$E$30="MAX-Bestand",IF(CH1540=1,CI1540,IF(LEFT(Cockpit!$C$5,1)="B",AL1540,MAX(AL1540,H1540))),ROUNDUP(AJ1540,0)))</f>
        <v>4</v>
      </c>
      <c r="AG1540" s="50" t="n">
        <f aca="false">IF(BZ1540=1,0,ROUNDUP(AF1540/BY1540,0))</f>
        <v>1</v>
      </c>
      <c r="AH1540" s="52" t="n">
        <f aca="false">IF(CQ1540&gt;0,CQ1540*MAX(1,AF1540/X1540),IF(BZ1540=1,IF(AF1540&lt;=0,0,CD1540*MAX(1,IF(H1540&gt;0,AF1540/H1540,1))),IF(R1540&gt;0,AG1540/R1540,0))/MAX(0.1,N(Parameter!$M$21)))</f>
        <v>0.0192307692307692</v>
      </c>
      <c r="AI1540" s="50" t="n">
        <f aca="false">AH1540*CB1540</f>
        <v>2.98076923076923</v>
      </c>
      <c r="AJ1540" s="51" t="n">
        <f aca="false">IF(LEFT(Cockpit!$C$5,1)="A",H1540,IF(CH1540=1,(CK1540+CI1540)/2,IF(LEFT(Cockpit!$C$5,1)="B",(CK1540+AL1540)/2,MAX((CK1540+AL1540)/2,H1540))))</f>
        <v>4</v>
      </c>
      <c r="AK1540" s="50" t="n">
        <f aca="false">AJ1540*G1540</f>
        <v>379.24</v>
      </c>
      <c r="AL1540" s="50" t="n">
        <f aca="false">ROUNDUP(CK1540+MAX(CL1540,2*(J1540/IF(CG1540&gt;0,CG1540,MAX(0.1,N(Cockpit!$C$6)))-CK1540)),0)</f>
        <v>2</v>
      </c>
      <c r="AM1540" s="51" t="n">
        <f aca="false">IF(AI1540&gt;0,J1540/AI1540,-1)</f>
        <v>0</v>
      </c>
      <c r="AN1540" s="51" t="n">
        <f aca="false">IF(AND(OR(CF1540="L1",CF1540="L23",CF1540="LIFT"),AI1540&gt;0),SUMIFS($AI$7:$AI$1843,$CF$7:$CF$1843,CF1540,$AM$7:$AM$1843,"&gt;"&amp;AM1540)+SUMIFS($AI$7:$AI$1843,$CF$7:$CF$1843,CF1540,$AM$7:$AM$1843,AM1540,$BW$7:$BW$1843,"&lt;="&amp;BW1540),"")</f>
        <v>30130.4027855384</v>
      </c>
      <c r="AO1540" s="58" t="n">
        <f aca="false">IF(AN1540="",0,MAX(0,MIN(1,(IF(CF1540="L1",Parameter!$H$5,IF(CF1540="L23",Parameter!$H$6+Parameter!$H$7,Parameter!$H$5+Parameter!$H$6+Parameter!$H$7))-(AN1540-AI1540))/AI1540)))</f>
        <v>1</v>
      </c>
      <c r="AP1540" s="50" t="n">
        <f aca="false">IF(LEFT(Cockpit!$I$5,1)="A",H1540,IF(Parameter!$E$30="MAX-Bestand",IF(CH1540=1,CI1540,IF(LEFT(Cockpit!$I$5,1)="B",AV1540,MAX(AV1540,H1540))),ROUNDUP(AT1540,0)))</f>
        <v>4</v>
      </c>
      <c r="AQ1540" s="50" t="n">
        <f aca="false">IF(BZ1540=1,0,ROUNDUP(AP1540/BY1540,0))</f>
        <v>1</v>
      </c>
      <c r="AR1540" s="52" t="n">
        <f aca="false">IF(CQ1540&gt;0,CQ1540*MAX(1,AP1540/X1540),IF(BZ1540=1,IF(AP1540&lt;=0,0,CD1540*MAX(1,IF(H1540&gt;0,AP1540/H1540,1))),IF(R1540&gt;0,AQ1540/R1540,0))/MAX(0.1,N(Parameter!$M$21)))</f>
        <v>0.0192307692307692</v>
      </c>
      <c r="AS1540" s="50" t="n">
        <f aca="false">AR1540*CB1540</f>
        <v>2.98076923076923</v>
      </c>
      <c r="AT1540" s="51" t="n">
        <f aca="false">IF(LEFT(Cockpit!$I$5,1)="A",H1540,IF(CH1540=1,(CK1540+CI1540)/2,IF(LEFT(Cockpit!$I$5,1)="B",(CK1540+AV1540)/2,MAX((CK1540+AV1540)/2,H1540))))</f>
        <v>4</v>
      </c>
      <c r="AU1540" s="50" t="n">
        <f aca="false">AT1540*G1540</f>
        <v>379.24</v>
      </c>
      <c r="AV1540" s="50" t="n">
        <f aca="false">ROUNDUP(CK1540+MAX(CL1540,2*(J1540/IF(CG1540&gt;0,CG1540,MAX(0.1,N(Cockpit!$I$6)))-CK1540)),0)</f>
        <v>2</v>
      </c>
      <c r="AW1540" s="51" t="n">
        <f aca="false">IF(AS1540&gt;0,J1540/AS1540,-1)</f>
        <v>0</v>
      </c>
      <c r="AX1540" s="51" t="n">
        <f aca="false">IF(AND(OR(CF1540="L1",CF1540="L23",CF1540="LIFT"),AS1540&gt;0),SUMIFS($AS$7:$AS$1843,$CF$7:$CF$1843,CF1540,$AW$7:$AW$1843,"&gt;"&amp;AW1540)+SUMIFS($AS$7:$AS$1843,$CF$7:$CF$1843,CF1540,$AW$7:$AW$1843,AW1540,$BW$7:$BW$1843,"&lt;="&amp;BW1540),"")</f>
        <v>36450.2593023737</v>
      </c>
      <c r="AY1540" s="58" t="n">
        <f aca="false">IF(AX1540="",0,MAX(0,MIN(1,(IF(CF1540="L1",Parameter!$H$5,IF(CF1540="L23",Parameter!$H$6+Parameter!$H$7,Parameter!$H$5+Parameter!$H$6+Parameter!$H$7))-(AX1540-AS1540))/AS1540)))</f>
        <v>0</v>
      </c>
      <c r="AZ1540" s="50" t="n">
        <f aca="false">IF(LEFT(Cockpit!$O$5,1)="A",H1540,IF(Parameter!$E$30="MAX-Bestand",IF(CH1540=1,CI1540,IF(LEFT(Cockpit!$O$5,1)="B",BF1540,MAX(BF1540,H1540))),ROUNDUP(BD1540,0)))</f>
        <v>1</v>
      </c>
      <c r="BA1540" s="50" t="n">
        <f aca="false">IF(BZ1540=1,0,ROUNDUP(AZ1540/BY1540,0))</f>
        <v>1</v>
      </c>
      <c r="BB1540" s="52" t="n">
        <f aca="false">IF(CQ1540&gt;0,CQ1540*MAX(1,AZ1540/X1540),IF(BZ1540=1,IF(AZ1540&lt;=0,0,CD1540*MAX(1,IF(H1540&gt;0,AZ1540/H1540,1))),IF(R1540&gt;0,BA1540/R1540,0))/MAX(0.1,N(Parameter!$M$21)))</f>
        <v>0.0192307692307692</v>
      </c>
      <c r="BC1540" s="50" t="n">
        <f aca="false">BB1540*CB1540</f>
        <v>2.98076923076923</v>
      </c>
      <c r="BD1540" s="51" t="n">
        <f aca="false">IF(LEFT(Cockpit!$O$5,1)="A",H1540,IF(CH1540=1,(CK1540+CI1540)/2,IF(LEFT(Cockpit!$O$5,1)="B",(CK1540+BF1540)/2,MAX((CK1540+BF1540)/2,H1540))))</f>
        <v>1</v>
      </c>
      <c r="BE1540" s="50" t="n">
        <f aca="false">BD1540*G1540</f>
        <v>94.81</v>
      </c>
      <c r="BF1540" s="50" t="n">
        <f aca="false">ROUNDUP(CK1540+MAX(CL1540,2*(J1540/IF(CG1540&gt;0,CG1540,MAX(0.1,N(Cockpit!$O$6)))-CK1540)),0)</f>
        <v>2</v>
      </c>
      <c r="BG1540" s="51" t="n">
        <f aca="false">IF(BC1540&gt;0,J1540/BC1540,-1)</f>
        <v>0</v>
      </c>
      <c r="BH1540" s="51" t="n">
        <f aca="false">IF(AND(OR(CF1540="L1",CF1540="L23",CF1540="LIFT"),BC1540&gt;0),SUMIFS($BC$7:$BC$1843,$CF$7:$CF$1843,CF1540,$BG$7:$BG$1843,"&gt;"&amp;BG1540)+SUMIFS($BC$7:$BC$1843,$CF$7:$CF$1843,CF1540,$BG$7:$BG$1843,BG1540,$BW$7:$BW$1843,"&lt;="&amp;BW1540),"")</f>
        <v>30388.4505779061</v>
      </c>
      <c r="BI1540" s="58" t="n">
        <f aca="false">IF(BH1540="",0,MAX(0,MIN(1,(IF(CF1540="L1",Parameter!$H$5,IF(CF1540="L23",Parameter!$H$6+Parameter!$H$7,Parameter!$H$5+Parameter!$H$6+Parameter!$H$7))-(BH1540-BC1540))/BC1540)))</f>
        <v>1</v>
      </c>
      <c r="BJ1540" s="48" t="str">
        <f aca="false">IF(AI1540&lt;=0,"",IF(CF1540="Aussen","Aussenlager",IF(CF1540="-","Nicht im Lift",IF(AO1540&gt;=1,"Lift",IF(AO1540&lt;=0,"Aussenlager","teilweise")))))</f>
        <v>Lift</v>
      </c>
      <c r="BK1540" s="48" t="str">
        <f aca="false">IF(AS1540&lt;=0,"",IF(CF1540="Aussen","Aussenlager",IF(CF1540="-","Nicht im Lift",IF(AY1540&gt;=1,"Lift",IF(AY1540&lt;=0,"Aussenlager","teilweise")))))</f>
        <v>Aussenlager</v>
      </c>
      <c r="BL1540" s="48" t="str">
        <f aca="false">IF(BC1540&lt;=0,"",IF(CF1540="Aussen","Aussenlager",IF(CF1540="-","Nicht im Lift",IF(BI1540&gt;=1,"Lift",IF(BI1540&lt;=0,"Aussenlager","teilweise")))))</f>
        <v>Lift</v>
      </c>
      <c r="BM1540" s="48" t="str">
        <f aca="false">IF(A1540="","",IF(BV1540=1,"Neu; ","")&amp;IF(AND(BV1540=0,BQ1540&lt;0),"negativer Bestand (Export "&amp;BQ1540&amp;"); ","")&amp;IF(J1540&lt;=0,"Kein Verbrauch; ","")&amp;IF(CQ1540&gt;0,"Lift "&amp;W1540&amp;" lt. Liftbericht (Fach "&amp;X1540&amp;" Stk); ",IF(CA1540=1,"Gebinde geschätzt ("&amp;T1540&amp;"); ",IF(BZ1540=1,"Lose – Tablare geschätzt; ","")))&amp;IF(H1540&gt;AV1540,"Überbestand "&amp;ROUND(H1540-AV1540,0)&amp;" Stk / CHF "&amp;ROUND((H1540-AV1540)*G1540,0)&amp;"; ","")&amp;IF(AND(CH1540=1,CI1540&lt;CJ1540),"MAX &lt; MB+LG; ","")&amp;IF(AND(CP1540&gt;0,CO1540*10&gt;CP1540),"zu hoch für Tablar; ","")&amp;IF(AND(BV1540=0,OR(CH1540=1,AA1540&lt;&gt;"",U1540&lt;&gt;"",V1540&lt;&gt;"",AB1540&lt;&gt;"")),"manuell übersteuert; ","")&amp;IF(AND(BZ1540=0,R1540=0),"Gebinde unbekannt / Stellmass fehlt; ","")&amp;IF(AND(BZ1540=0,N(V1540)&lt;=0,N(Q1540)&lt;=0),"Menge pro Gebinde fehlt (Ist = 1 Gebinde); ","")&amp;BU1540)</f>
        <v>Kein Verbrauch; Überbestand 2 Stk / CHF 190; nur im Artikelstamm (Bestand 23.06.2026); Neu</v>
      </c>
      <c r="BN1540" s="48"/>
      <c r="BO1540" s="48"/>
      <c r="BP1540" s="55"/>
      <c r="BQ1540" s="50" t="n">
        <v>4</v>
      </c>
      <c r="BR1540" s="50" t="n">
        <v>0</v>
      </c>
      <c r="BS1540" s="49" t="n">
        <v>0</v>
      </c>
      <c r="BT1540" s="50" t="n">
        <v>0</v>
      </c>
      <c r="BU1540" s="48" t="s">
        <v>2676</v>
      </c>
      <c r="BV1540" s="53" t="n">
        <v>0</v>
      </c>
      <c r="BW1540" s="53" t="n">
        <v>1540</v>
      </c>
      <c r="BX1540" s="48" t="str">
        <f aca="false">IF(U1540&lt;&gt;"",UPPER(TRIM(U1540)),IF(CA1540=1,UPPER(VLOOKUP(T1540,Parameter!$I$27:$K$29,2,0)),IF(P1540="","LOSE",P1540)))</f>
        <v>S41</v>
      </c>
      <c r="BY1540" s="50" t="n">
        <f aca="false">IF(BX1540="LOSE",1,IF(N(V1540)&gt;0,V1540,IF(CA1540=1,MAX(1,N(VLOOKUP(T1540,Parameter!$I$27:$K$29,3,0)),H1540,N(N1540)),IF(N(Q1540)&gt;0,Q1540,MAX(1,H1540)))))</f>
        <v>4</v>
      </c>
      <c r="BZ1540" s="53" t="n">
        <f aca="false">IF(BX1540="LOSE",1,0)</f>
        <v>0</v>
      </c>
      <c r="CA1540" s="53" t="n">
        <f aca="false">IF(AND(U1540="",OR(P1540="",P1540="LOSE"),T1540&lt;&gt;"",N(S1540)&lt;=0,ISNUMBER(MATCH(T1540,Parameter!$I$27:$I$29,0))),1,0)</f>
        <v>0</v>
      </c>
      <c r="CB1540" s="53" t="n">
        <f aca="false">IF(CQ1540&gt;0,INDEX(Parameter!$H$5:$H$7,W1540)/INDEX(Parameter!$E$5:$E$7,W1540),IF(AND(BZ1540=0,N(IFERROR(VLOOKUP(BX1540,'Gebinde-Kategorie'!$A$5:$N$45,14,0),0))&gt;0),VLOOKUP(BX1540,'Gebinde-Kategorie'!$A$5:$N$45,14,0)*10+Parameter!$M$23,Parameter!$M$24))</f>
        <v>155</v>
      </c>
      <c r="CC1540" s="48" t="str">
        <f aca="false">IF(AND(Parameter!$B$19="Ja",E1540&lt;&gt;"",ISNUMBER(MATCH(E1540,Parameter!$I$35:$I$52,0))),VLOOKUP(E1540,Parameter!$I$35:$J$52,2,0),IFERROR(VLOOKUP(D1540,Parameter!$A$35:$C$64,2,0),"Nein"))</f>
        <v>2+3</v>
      </c>
      <c r="CD1540" s="52" t="n">
        <f aca="false">IF(BZ1540=0,0,IF(N(S1540)&gt;0,S1540,IFERROR(VLOOKUP(D1540,Parameter!$A$35:$C$64,3,0)+0,0)))</f>
        <v>0</v>
      </c>
      <c r="CE1540" s="48" t="n">
        <f aca="false">IF(AA1540&lt;&gt;"",AA1540,Z1540)</f>
        <v>3</v>
      </c>
      <c r="CF1540" s="48" t="str">
        <f aca="false">IF(OR(CE1540=1,CE1540=2,CE1540=3),IF(Parameter!$E$27="Ja","LIFT",IF(CE1540=1,"L1","L23")),IF(CE1540="Aussen","Aussen","-"))</f>
        <v>LIFT</v>
      </c>
      <c r="CG1540" s="59" t="n">
        <f aca="false">IF(N(AB1540)&gt;0,AB1540,0)</f>
        <v>0</v>
      </c>
      <c r="CH1540" s="53" t="n">
        <f aca="false">IF(ISNUMBER(AE1540),1,0)</f>
        <v>0</v>
      </c>
      <c r="CI1540" s="50" t="n">
        <f aca="false">N(AE1540)</f>
        <v>0</v>
      </c>
      <c r="CJ1540" s="50" t="n">
        <f aca="false">N(M1540)+N(N1540)</f>
        <v>2</v>
      </c>
      <c r="CK1540" s="50" t="n">
        <f aca="false">N(M1540)</f>
        <v>0</v>
      </c>
      <c r="CL1540" s="50" t="n">
        <f aca="false">N(N1540)</f>
        <v>2</v>
      </c>
      <c r="CM1540" s="50" t="n">
        <f aca="false">ROUNDUP(H1540/BY1540,0)</f>
        <v>1</v>
      </c>
      <c r="CN1540" s="50" t="n">
        <f aca="false">ROUNDUP(CI1540/BY1540,0)</f>
        <v>0</v>
      </c>
      <c r="CO1540" s="53" t="n">
        <f aca="false">IF(BZ1540=1,0,IFERROR(VLOOKUP(BX1540,'Gebinde-Kategorie'!$A$5:$N$45,5,0)+0,0))</f>
        <v>11</v>
      </c>
      <c r="CP1540" s="53" t="n">
        <f aca="false">IFERROR(IF(OR(CE1540=1,CE1540=2,CE1540=3),N(INDEX(Parameter!$I$5:$I$7,CE1540)),0),0)</f>
        <v>0</v>
      </c>
      <c r="CQ1540" s="52" t="n">
        <f aca="false">IF(AND(Parameter!$B$21="Ja",ISNUMBER(W1540),N(X1540)&gt;0),IFERROR(N(INDEX(Parameter!$L$5:$L$7,W1540))*INDEX(Parameter!$E$5:$E$7,W1540)*X1540/SUMIFS($X$7:$X$1843,$W$7:$W$1843,W1540),0),0)</f>
        <v>0</v>
      </c>
    </row>
    <row r="1541" customFormat="false" ht="15" hidden="false" customHeight="false" outlineLevel="0" collapsed="false">
      <c r="A1541" s="48" t="s">
        <v>2702</v>
      </c>
      <c r="B1541" s="48" t="s">
        <v>2703</v>
      </c>
      <c r="C1541" s="48" t="s">
        <v>173</v>
      </c>
      <c r="D1541" s="48" t="s">
        <v>193</v>
      </c>
      <c r="E1541" s="48" t="s">
        <v>194</v>
      </c>
      <c r="F1541" s="48"/>
      <c r="G1541" s="49" t="n">
        <v>31</v>
      </c>
      <c r="H1541" s="50" t="n">
        <f aca="false">MAX(0,IF(AND(Parameter!$B$21="Ja",ISNUMBER(Y1541)),Y1541,IF(Parameter!$B$20="Jahresanfang 2025 + Export",BR1541+BQ1541,BQ1541)))</f>
        <v>6</v>
      </c>
      <c r="I1541" s="50" t="n">
        <f aca="false">H1541*G1541</f>
        <v>186</v>
      </c>
      <c r="J1541" s="50" t="n">
        <f aca="false">BT1541*Parameter!$B$18</f>
        <v>0</v>
      </c>
      <c r="K1541" s="51"/>
      <c r="L1541" s="52"/>
      <c r="M1541" s="50" t="n">
        <v>0</v>
      </c>
      <c r="N1541" s="50" t="n">
        <v>9</v>
      </c>
      <c r="O1541" s="53" t="n">
        <v>35</v>
      </c>
      <c r="P1541" s="48" t="s">
        <v>430</v>
      </c>
      <c r="Q1541" s="50" t="n">
        <v>6</v>
      </c>
      <c r="R1541" s="53" t="n">
        <f aca="false">IF(BZ1541=1,0,IFERROR(VLOOKUP(BX1541,'Gebinde-Kategorie'!$A$5:$N$45,13,0)+0,0))</f>
        <v>104</v>
      </c>
      <c r="S1541" s="54"/>
      <c r="T1541" s="55"/>
      <c r="U1541" s="55"/>
      <c r="V1541" s="55"/>
      <c r="W1541" s="48"/>
      <c r="X1541" s="50"/>
      <c r="Y1541" s="50"/>
      <c r="Z1541" s="48" t="n">
        <f aca="false">IF(A1541="","",IF(AND(Parameter!$B$21="Ja",ISNUMBER(W1541)),W1541,IF(CC1541="2+3",IF(ISNUMBER(SEARCH("grosser Artikel",BU1541)),2,IFERROR(VLOOKUP(BX1541,Parameter!$F$35:$G$64,2,0),2)),IF(OR(CC1541="Nein",CC1541=""),"-",CC1541))))</f>
        <v>3</v>
      </c>
      <c r="AA1541" s="55"/>
      <c r="AB1541" s="56"/>
      <c r="AC1541" s="50" t="n">
        <f aca="false">AV1541</f>
        <v>9</v>
      </c>
      <c r="AD1541" s="50" t="n">
        <f aca="false">MAX(AV1541,H1541)</f>
        <v>9</v>
      </c>
      <c r="AE1541" s="57"/>
      <c r="AF1541" s="50" t="n">
        <f aca="false">IF(LEFT(Cockpit!$C$5,1)="A",H1541,IF(Parameter!$E$30="MAX-Bestand",IF(CH1541=1,CI1541,IF(LEFT(Cockpit!$C$5,1)="B",AL1541,MAX(AL1541,H1541))),ROUNDUP(AJ1541,0)))</f>
        <v>6</v>
      </c>
      <c r="AG1541" s="50" t="n">
        <f aca="false">IF(BZ1541=1,0,ROUNDUP(AF1541/BY1541,0))</f>
        <v>1</v>
      </c>
      <c r="AH1541" s="52" t="n">
        <f aca="false">IF(CQ1541&gt;0,CQ1541*MAX(1,AF1541/X1541),IF(BZ1541=1,IF(AF1541&lt;=0,0,CD1541*MAX(1,IF(H1541&gt;0,AF1541/H1541,1))),IF(R1541&gt;0,AG1541/R1541,0))/MAX(0.1,N(Parameter!$M$21)))</f>
        <v>0.00961538461538462</v>
      </c>
      <c r="AI1541" s="50" t="n">
        <f aca="false">AH1541*CB1541</f>
        <v>1.49038461538462</v>
      </c>
      <c r="AJ1541" s="51" t="n">
        <f aca="false">IF(LEFT(Cockpit!$C$5,1)="A",H1541,IF(CH1541=1,(CK1541+CI1541)/2,IF(LEFT(Cockpit!$C$5,1)="B",(CK1541+AL1541)/2,MAX((CK1541+AL1541)/2,H1541))))</f>
        <v>6</v>
      </c>
      <c r="AK1541" s="50" t="n">
        <f aca="false">AJ1541*G1541</f>
        <v>186</v>
      </c>
      <c r="AL1541" s="50" t="n">
        <f aca="false">ROUNDUP(CK1541+MAX(CL1541,2*(J1541/IF(CG1541&gt;0,CG1541,MAX(0.1,N(Cockpit!$C$6)))-CK1541)),0)</f>
        <v>9</v>
      </c>
      <c r="AM1541" s="51" t="n">
        <f aca="false">IF(AI1541&gt;0,J1541/AI1541,-1)</f>
        <v>0</v>
      </c>
      <c r="AN1541" s="51" t="n">
        <f aca="false">IF(AND(OR(CF1541="L1",CF1541="L23",CF1541="LIFT"),AI1541&gt;0),SUMIFS($AI$7:$AI$1843,$CF$7:$CF$1843,CF1541,$AM$7:$AM$1843,"&gt;"&amp;AM1541)+SUMIFS($AI$7:$AI$1843,$CF$7:$CF$1843,CF1541,$AM$7:$AM$1843,AM1541,$BW$7:$BW$1843,"&lt;="&amp;BW1541),"")</f>
        <v>30131.8931701538</v>
      </c>
      <c r="AO1541" s="58" t="n">
        <f aca="false">IF(AN1541="",0,MAX(0,MIN(1,(IF(CF1541="L1",Parameter!$H$5,IF(CF1541="L23",Parameter!$H$6+Parameter!$H$7,Parameter!$H$5+Parameter!$H$6+Parameter!$H$7))-(AN1541-AI1541))/AI1541)))</f>
        <v>1</v>
      </c>
      <c r="AP1541" s="50" t="n">
        <f aca="false">IF(LEFT(Cockpit!$I$5,1)="A",H1541,IF(Parameter!$E$30="MAX-Bestand",IF(CH1541=1,CI1541,IF(LEFT(Cockpit!$I$5,1)="B",AV1541,MAX(AV1541,H1541))),ROUNDUP(AT1541,0)))</f>
        <v>6</v>
      </c>
      <c r="AQ1541" s="50" t="n">
        <f aca="false">IF(BZ1541=1,0,ROUNDUP(AP1541/BY1541,0))</f>
        <v>1</v>
      </c>
      <c r="AR1541" s="52" t="n">
        <f aca="false">IF(CQ1541&gt;0,CQ1541*MAX(1,AP1541/X1541),IF(BZ1541=1,IF(AP1541&lt;=0,0,CD1541*MAX(1,IF(H1541&gt;0,AP1541/H1541,1))),IF(R1541&gt;0,AQ1541/R1541,0))/MAX(0.1,N(Parameter!$M$21)))</f>
        <v>0.00961538461538462</v>
      </c>
      <c r="AS1541" s="50" t="n">
        <f aca="false">AR1541*CB1541</f>
        <v>1.49038461538462</v>
      </c>
      <c r="AT1541" s="51" t="n">
        <f aca="false">IF(LEFT(Cockpit!$I$5,1)="A",H1541,IF(CH1541=1,(CK1541+CI1541)/2,IF(LEFT(Cockpit!$I$5,1)="B",(CK1541+AV1541)/2,MAX((CK1541+AV1541)/2,H1541))))</f>
        <v>6</v>
      </c>
      <c r="AU1541" s="50" t="n">
        <f aca="false">AT1541*G1541</f>
        <v>186</v>
      </c>
      <c r="AV1541" s="50" t="n">
        <f aca="false">ROUNDUP(CK1541+MAX(CL1541,2*(J1541/IF(CG1541&gt;0,CG1541,MAX(0.1,N(Cockpit!$I$6)))-CK1541)),0)</f>
        <v>9</v>
      </c>
      <c r="AW1541" s="51" t="n">
        <f aca="false">IF(AS1541&gt;0,J1541/AS1541,-1)</f>
        <v>0</v>
      </c>
      <c r="AX1541" s="51" t="n">
        <f aca="false">IF(AND(OR(CF1541="L1",CF1541="L23",CF1541="LIFT"),AS1541&gt;0),SUMIFS($AS$7:$AS$1843,$CF$7:$CF$1843,CF1541,$AW$7:$AW$1843,"&gt;"&amp;AW1541)+SUMIFS($AS$7:$AS$1843,$CF$7:$CF$1843,CF1541,$AW$7:$AW$1843,AW1541,$BW$7:$BW$1843,"&lt;="&amp;BW1541),"")</f>
        <v>36451.7496869891</v>
      </c>
      <c r="AY1541" s="58" t="n">
        <f aca="false">IF(AX1541="",0,MAX(0,MIN(1,(IF(CF1541="L1",Parameter!$H$5,IF(CF1541="L23",Parameter!$H$6+Parameter!$H$7,Parameter!$H$5+Parameter!$H$6+Parameter!$H$7))-(AX1541-AS1541))/AS1541)))</f>
        <v>0</v>
      </c>
      <c r="AZ1541" s="50" t="n">
        <f aca="false">IF(LEFT(Cockpit!$O$5,1)="A",H1541,IF(Parameter!$E$30="MAX-Bestand",IF(CH1541=1,CI1541,IF(LEFT(Cockpit!$O$5,1)="B",BF1541,MAX(BF1541,H1541))),ROUNDUP(BD1541,0)))</f>
        <v>5</v>
      </c>
      <c r="BA1541" s="50" t="n">
        <f aca="false">IF(BZ1541=1,0,ROUNDUP(AZ1541/BY1541,0))</f>
        <v>1</v>
      </c>
      <c r="BB1541" s="52" t="n">
        <f aca="false">IF(CQ1541&gt;0,CQ1541*MAX(1,AZ1541/X1541),IF(BZ1541=1,IF(AZ1541&lt;=0,0,CD1541*MAX(1,IF(H1541&gt;0,AZ1541/H1541,1))),IF(R1541&gt;0,BA1541/R1541,0))/MAX(0.1,N(Parameter!$M$21)))</f>
        <v>0.00961538461538462</v>
      </c>
      <c r="BC1541" s="50" t="n">
        <f aca="false">BB1541*CB1541</f>
        <v>1.49038461538462</v>
      </c>
      <c r="BD1541" s="51" t="n">
        <f aca="false">IF(LEFT(Cockpit!$O$5,1)="A",H1541,IF(CH1541=1,(CK1541+CI1541)/2,IF(LEFT(Cockpit!$O$5,1)="B",(CK1541+BF1541)/2,MAX((CK1541+BF1541)/2,H1541))))</f>
        <v>4.5</v>
      </c>
      <c r="BE1541" s="50" t="n">
        <f aca="false">BD1541*G1541</f>
        <v>139.5</v>
      </c>
      <c r="BF1541" s="50" t="n">
        <f aca="false">ROUNDUP(CK1541+MAX(CL1541,2*(J1541/IF(CG1541&gt;0,CG1541,MAX(0.1,N(Cockpit!$O$6)))-CK1541)),0)</f>
        <v>9</v>
      </c>
      <c r="BG1541" s="51" t="n">
        <f aca="false">IF(BC1541&gt;0,J1541/BC1541,-1)</f>
        <v>0</v>
      </c>
      <c r="BH1541" s="51" t="n">
        <f aca="false">IF(AND(OR(CF1541="L1",CF1541="L23",CF1541="LIFT"),BC1541&gt;0),SUMIFS($BC$7:$BC$1843,$CF$7:$CF$1843,CF1541,$BG$7:$BG$1843,"&gt;"&amp;BG1541)+SUMIFS($BC$7:$BC$1843,$CF$7:$CF$1843,CF1541,$BG$7:$BG$1843,BG1541,$BW$7:$BW$1843,"&lt;="&amp;BW1541),"")</f>
        <v>30389.9409625215</v>
      </c>
      <c r="BI1541" s="58" t="n">
        <f aca="false">IF(BH1541="",0,MAX(0,MIN(1,(IF(CF1541="L1",Parameter!$H$5,IF(CF1541="L23",Parameter!$H$6+Parameter!$H$7,Parameter!$H$5+Parameter!$H$6+Parameter!$H$7))-(BH1541-BC1541))/BC1541)))</f>
        <v>1</v>
      </c>
      <c r="BJ1541" s="48" t="str">
        <f aca="false">IF(AI1541&lt;=0,"",IF(CF1541="Aussen","Aussenlager",IF(CF1541="-","Nicht im Lift",IF(AO1541&gt;=1,"Lift",IF(AO1541&lt;=0,"Aussenlager","teilweise")))))</f>
        <v>Lift</v>
      </c>
      <c r="BK1541" s="48" t="str">
        <f aca="false">IF(AS1541&lt;=0,"",IF(CF1541="Aussen","Aussenlager",IF(CF1541="-","Nicht im Lift",IF(AY1541&gt;=1,"Lift",IF(AY1541&lt;=0,"Aussenlager","teilweise")))))</f>
        <v>Aussenlager</v>
      </c>
      <c r="BL1541" s="48" t="str">
        <f aca="false">IF(BC1541&lt;=0,"",IF(CF1541="Aussen","Aussenlager",IF(CF1541="-","Nicht im Lift",IF(BI1541&gt;=1,"Lift",IF(BI1541&lt;=0,"Aussenlager","teilweise")))))</f>
        <v>Lift</v>
      </c>
      <c r="BM1541" s="48" t="str">
        <f aca="false">IF(A1541="","",IF(BV1541=1,"Neu; ","")&amp;IF(AND(BV1541=0,BQ1541&lt;0),"negativer Bestand (Export "&amp;BQ1541&amp;"); ","")&amp;IF(J1541&lt;=0,"Kein Verbrauch; ","")&amp;IF(CQ1541&gt;0,"Lift "&amp;W1541&amp;" lt. Liftbericht (Fach "&amp;X1541&amp;" Stk); ",IF(CA1541=1,"Gebinde geschätzt ("&amp;T1541&amp;"); ",IF(BZ1541=1,"Lose – Tablare geschätzt; ","")))&amp;IF(H1541&gt;AV1541,"Überbestand "&amp;ROUND(H1541-AV1541,0)&amp;" Stk / CHF "&amp;ROUND((H1541-AV1541)*G1541,0)&amp;"; ","")&amp;IF(AND(CH1541=1,CI1541&lt;CJ1541),"MAX &lt; MB+LG; ","")&amp;IF(AND(CP1541&gt;0,CO1541*10&gt;CP1541),"zu hoch für Tablar; ","")&amp;IF(AND(BV1541=0,OR(CH1541=1,AA1541&lt;&gt;"",U1541&lt;&gt;"",V1541&lt;&gt;"",AB1541&lt;&gt;"")),"manuell übersteuert; ","")&amp;IF(AND(BZ1541=0,R1541=0),"Gebinde unbekannt / Stellmass fehlt; ","")&amp;IF(AND(BZ1541=0,N(V1541)&lt;=0,N(Q1541)&lt;=0),"Menge pro Gebinde fehlt (Ist = 1 Gebinde); ","")&amp;BU1541)</f>
        <v>Kein Verbrauch; nur im Artikelstamm (Bestand 23.06.2026)</v>
      </c>
      <c r="BN1541" s="48"/>
      <c r="BO1541" s="48"/>
      <c r="BP1541" s="55"/>
      <c r="BQ1541" s="50" t="n">
        <v>6</v>
      </c>
      <c r="BR1541" s="50" t="n">
        <v>0</v>
      </c>
      <c r="BS1541" s="49" t="n">
        <v>0</v>
      </c>
      <c r="BT1541" s="50" t="n">
        <v>0</v>
      </c>
      <c r="BU1541" s="48" t="s">
        <v>2584</v>
      </c>
      <c r="BV1541" s="53" t="n">
        <v>0</v>
      </c>
      <c r="BW1541" s="53" t="n">
        <v>1541</v>
      </c>
      <c r="BX1541" s="48" t="str">
        <f aca="false">IF(U1541&lt;&gt;"",UPPER(TRIM(U1541)),IF(CA1541=1,UPPER(VLOOKUP(T1541,Parameter!$I$27:$K$29,2,0)),IF(P1541="","LOSE",P1541)))</f>
        <v>S32</v>
      </c>
      <c r="BY1541" s="50" t="n">
        <f aca="false">IF(BX1541="LOSE",1,IF(N(V1541)&gt;0,V1541,IF(CA1541=1,MAX(1,N(VLOOKUP(T1541,Parameter!$I$27:$K$29,3,0)),H1541,N(N1541)),IF(N(Q1541)&gt;0,Q1541,MAX(1,H1541)))))</f>
        <v>6</v>
      </c>
      <c r="BZ1541" s="53" t="n">
        <f aca="false">IF(BX1541="LOSE",1,0)</f>
        <v>0</v>
      </c>
      <c r="CA1541" s="53" t="n">
        <f aca="false">IF(AND(U1541="",OR(P1541="",P1541="LOSE"),T1541&lt;&gt;"",N(S1541)&lt;=0,ISNUMBER(MATCH(T1541,Parameter!$I$27:$I$29,0))),1,0)</f>
        <v>0</v>
      </c>
      <c r="CB1541" s="53" t="n">
        <f aca="false">IF(CQ1541&gt;0,INDEX(Parameter!$H$5:$H$7,W1541)/INDEX(Parameter!$E$5:$E$7,W1541),IF(AND(BZ1541=0,N(IFERROR(VLOOKUP(BX1541,'Gebinde-Kategorie'!$A$5:$N$45,14,0),0))&gt;0),VLOOKUP(BX1541,'Gebinde-Kategorie'!$A$5:$N$45,14,0)*10+Parameter!$M$23,Parameter!$M$24))</f>
        <v>155</v>
      </c>
      <c r="CC1541" s="48" t="str">
        <f aca="false">IF(AND(Parameter!$B$19="Ja",E1541&lt;&gt;"",ISNUMBER(MATCH(E1541,Parameter!$I$35:$I$52,0))),VLOOKUP(E1541,Parameter!$I$35:$J$52,2,0),IFERROR(VLOOKUP(D1541,Parameter!$A$35:$C$64,2,0),"Nein"))</f>
        <v>2+3</v>
      </c>
      <c r="CD1541" s="52" t="n">
        <f aca="false">IF(BZ1541=0,0,IF(N(S1541)&gt;0,S1541,IFERROR(VLOOKUP(D1541,Parameter!$A$35:$C$64,3,0)+0,0)))</f>
        <v>0</v>
      </c>
      <c r="CE1541" s="48" t="n">
        <f aca="false">IF(AA1541&lt;&gt;"",AA1541,Z1541)</f>
        <v>3</v>
      </c>
      <c r="CF1541" s="48" t="str">
        <f aca="false">IF(OR(CE1541=1,CE1541=2,CE1541=3),IF(Parameter!$E$27="Ja","LIFT",IF(CE1541=1,"L1","L23")),IF(CE1541="Aussen","Aussen","-"))</f>
        <v>LIFT</v>
      </c>
      <c r="CG1541" s="59" t="n">
        <f aca="false">IF(N(AB1541)&gt;0,AB1541,0)</f>
        <v>0</v>
      </c>
      <c r="CH1541" s="53" t="n">
        <f aca="false">IF(ISNUMBER(AE1541),1,0)</f>
        <v>0</v>
      </c>
      <c r="CI1541" s="50" t="n">
        <f aca="false">N(AE1541)</f>
        <v>0</v>
      </c>
      <c r="CJ1541" s="50" t="n">
        <f aca="false">N(M1541)+N(N1541)</f>
        <v>9</v>
      </c>
      <c r="CK1541" s="50" t="n">
        <f aca="false">N(M1541)</f>
        <v>0</v>
      </c>
      <c r="CL1541" s="50" t="n">
        <f aca="false">N(N1541)</f>
        <v>9</v>
      </c>
      <c r="CM1541" s="50" t="n">
        <f aca="false">ROUNDUP(H1541/BY1541,0)</f>
        <v>1</v>
      </c>
      <c r="CN1541" s="50" t="n">
        <f aca="false">ROUNDUP(CI1541/BY1541,0)</f>
        <v>0</v>
      </c>
      <c r="CO1541" s="53" t="n">
        <f aca="false">IF(BZ1541=1,0,IFERROR(VLOOKUP(BX1541,'Gebinde-Kategorie'!$A$5:$N$45,5,0)+0,0))</f>
        <v>8</v>
      </c>
      <c r="CP1541" s="53" t="n">
        <f aca="false">IFERROR(IF(OR(CE1541=1,CE1541=2,CE1541=3),N(INDEX(Parameter!$I$5:$I$7,CE1541)),0),0)</f>
        <v>0</v>
      </c>
      <c r="CQ1541" s="52" t="n">
        <f aca="false">IF(AND(Parameter!$B$21="Ja",ISNUMBER(W1541),N(X1541)&gt;0),IFERROR(N(INDEX(Parameter!$L$5:$L$7,W1541))*INDEX(Parameter!$E$5:$E$7,W1541)*X1541/SUMIFS($X$7:$X$1843,$W$7:$W$1843,W1541),0),0)</f>
        <v>0</v>
      </c>
    </row>
    <row r="1542" customFormat="false" ht="15" hidden="false" customHeight="false" outlineLevel="0" collapsed="false">
      <c r="A1542" s="48" t="s">
        <v>2704</v>
      </c>
      <c r="B1542" s="48" t="s">
        <v>2705</v>
      </c>
      <c r="C1542" s="48" t="s">
        <v>173</v>
      </c>
      <c r="D1542" s="48" t="s">
        <v>193</v>
      </c>
      <c r="E1542" s="48" t="s">
        <v>194</v>
      </c>
      <c r="F1542" s="48"/>
      <c r="G1542" s="49" t="n">
        <v>32.42</v>
      </c>
      <c r="H1542" s="50" t="n">
        <f aca="false">MAX(0,IF(AND(Parameter!$B$21="Ja",ISNUMBER(Y1542)),Y1542,IF(Parameter!$B$20="Jahresanfang 2025 + Export",BR1542+BQ1542,BQ1542)))</f>
        <v>30</v>
      </c>
      <c r="I1542" s="50" t="n">
        <f aca="false">H1542*G1542</f>
        <v>972.6</v>
      </c>
      <c r="J1542" s="50" t="n">
        <f aca="false">BT1542*Parameter!$B$18</f>
        <v>0</v>
      </c>
      <c r="K1542" s="51"/>
      <c r="L1542" s="52"/>
      <c r="M1542" s="50" t="n">
        <v>0</v>
      </c>
      <c r="N1542" s="50" t="n">
        <v>25</v>
      </c>
      <c r="O1542" s="53" t="n">
        <v>21</v>
      </c>
      <c r="P1542" s="48" t="s">
        <v>485</v>
      </c>
      <c r="Q1542" s="50" t="n">
        <v>30</v>
      </c>
      <c r="R1542" s="53" t="n">
        <f aca="false">IF(BZ1542=1,0,IFERROR(VLOOKUP(BX1542,'Gebinde-Kategorie'!$A$5:$N$45,13,0)+0,0))</f>
        <v>52</v>
      </c>
      <c r="S1542" s="54"/>
      <c r="T1542" s="55"/>
      <c r="U1542" s="55"/>
      <c r="V1542" s="55"/>
      <c r="W1542" s="48"/>
      <c r="X1542" s="50"/>
      <c r="Y1542" s="50"/>
      <c r="Z1542" s="48" t="n">
        <f aca="false">IF(A1542="","",IF(AND(Parameter!$B$21="Ja",ISNUMBER(W1542)),W1542,IF(CC1542="2+3",IF(ISNUMBER(SEARCH("grosser Artikel",BU1542)),2,IFERROR(VLOOKUP(BX1542,Parameter!$F$35:$G$64,2,0),2)),IF(OR(CC1542="Nein",CC1542=""),"-",CC1542))))</f>
        <v>3</v>
      </c>
      <c r="AA1542" s="55"/>
      <c r="AB1542" s="56"/>
      <c r="AC1542" s="50" t="n">
        <f aca="false">AV1542</f>
        <v>25</v>
      </c>
      <c r="AD1542" s="50" t="n">
        <f aca="false">MAX(AV1542,H1542)</f>
        <v>30</v>
      </c>
      <c r="AE1542" s="57"/>
      <c r="AF1542" s="50" t="n">
        <f aca="false">IF(LEFT(Cockpit!$C$5,1)="A",H1542,IF(Parameter!$E$30="MAX-Bestand",IF(CH1542=1,CI1542,IF(LEFT(Cockpit!$C$5,1)="B",AL1542,MAX(AL1542,H1542))),ROUNDUP(AJ1542,0)))</f>
        <v>30</v>
      </c>
      <c r="AG1542" s="50" t="n">
        <f aca="false">IF(BZ1542=1,0,ROUNDUP(AF1542/BY1542,0))</f>
        <v>1</v>
      </c>
      <c r="AH1542" s="52" t="n">
        <f aca="false">IF(CQ1542&gt;0,CQ1542*MAX(1,AF1542/X1542),IF(BZ1542=1,IF(AF1542&lt;=0,0,CD1542*MAX(1,IF(H1542&gt;0,AF1542/H1542,1))),IF(R1542&gt;0,AG1542/R1542,0))/MAX(0.1,N(Parameter!$M$21)))</f>
        <v>0.0192307692307692</v>
      </c>
      <c r="AI1542" s="50" t="n">
        <f aca="false">AH1542*CB1542</f>
        <v>2.98076923076923</v>
      </c>
      <c r="AJ1542" s="51" t="n">
        <f aca="false">IF(LEFT(Cockpit!$C$5,1)="A",H1542,IF(CH1542=1,(CK1542+CI1542)/2,IF(LEFT(Cockpit!$C$5,1)="B",(CK1542+AL1542)/2,MAX((CK1542+AL1542)/2,H1542))))</f>
        <v>30</v>
      </c>
      <c r="AK1542" s="50" t="n">
        <f aca="false">AJ1542*G1542</f>
        <v>972.6</v>
      </c>
      <c r="AL1542" s="50" t="n">
        <f aca="false">ROUNDUP(CK1542+MAX(CL1542,2*(J1542/IF(CG1542&gt;0,CG1542,MAX(0.1,N(Cockpit!$C$6)))-CK1542)),0)</f>
        <v>25</v>
      </c>
      <c r="AM1542" s="51" t="n">
        <f aca="false">IF(AI1542&gt;0,J1542/AI1542,-1)</f>
        <v>0</v>
      </c>
      <c r="AN1542" s="51" t="n">
        <f aca="false">IF(AND(OR(CF1542="L1",CF1542="L23",CF1542="LIFT"),AI1542&gt;0),SUMIFS($AI$7:$AI$1843,$CF$7:$CF$1843,CF1542,$AM$7:$AM$1843,"&gt;"&amp;AM1542)+SUMIFS($AI$7:$AI$1843,$CF$7:$CF$1843,CF1542,$AM$7:$AM$1843,AM1542,$BW$7:$BW$1843,"&lt;="&amp;BW1542),"")</f>
        <v>30134.8739393845</v>
      </c>
      <c r="AO1542" s="58" t="n">
        <f aca="false">IF(AN1542="",0,MAX(0,MIN(1,(IF(CF1542="L1",Parameter!$H$5,IF(CF1542="L23",Parameter!$H$6+Parameter!$H$7,Parameter!$H$5+Parameter!$H$6+Parameter!$H$7))-(AN1542-AI1542))/AI1542)))</f>
        <v>1</v>
      </c>
      <c r="AP1542" s="50" t="n">
        <f aca="false">IF(LEFT(Cockpit!$I$5,1)="A",H1542,IF(Parameter!$E$30="MAX-Bestand",IF(CH1542=1,CI1542,IF(LEFT(Cockpit!$I$5,1)="B",AV1542,MAX(AV1542,H1542))),ROUNDUP(AT1542,0)))</f>
        <v>30</v>
      </c>
      <c r="AQ1542" s="50" t="n">
        <f aca="false">IF(BZ1542=1,0,ROUNDUP(AP1542/BY1542,0))</f>
        <v>1</v>
      </c>
      <c r="AR1542" s="52" t="n">
        <f aca="false">IF(CQ1542&gt;0,CQ1542*MAX(1,AP1542/X1542),IF(BZ1542=1,IF(AP1542&lt;=0,0,CD1542*MAX(1,IF(H1542&gt;0,AP1542/H1542,1))),IF(R1542&gt;0,AQ1542/R1542,0))/MAX(0.1,N(Parameter!$M$21)))</f>
        <v>0.0192307692307692</v>
      </c>
      <c r="AS1542" s="50" t="n">
        <f aca="false">AR1542*CB1542</f>
        <v>2.98076923076923</v>
      </c>
      <c r="AT1542" s="51" t="n">
        <f aca="false">IF(LEFT(Cockpit!$I$5,1)="A",H1542,IF(CH1542=1,(CK1542+CI1542)/2,IF(LEFT(Cockpit!$I$5,1)="B",(CK1542+AV1542)/2,MAX((CK1542+AV1542)/2,H1542))))</f>
        <v>30</v>
      </c>
      <c r="AU1542" s="50" t="n">
        <f aca="false">AT1542*G1542</f>
        <v>972.6</v>
      </c>
      <c r="AV1542" s="50" t="n">
        <f aca="false">ROUNDUP(CK1542+MAX(CL1542,2*(J1542/IF(CG1542&gt;0,CG1542,MAX(0.1,N(Cockpit!$I$6)))-CK1542)),0)</f>
        <v>25</v>
      </c>
      <c r="AW1542" s="51" t="n">
        <f aca="false">IF(AS1542&gt;0,J1542/AS1542,-1)</f>
        <v>0</v>
      </c>
      <c r="AX1542" s="51" t="n">
        <f aca="false">IF(AND(OR(CF1542="L1",CF1542="L23",CF1542="LIFT"),AS1542&gt;0),SUMIFS($AS$7:$AS$1843,$CF$7:$CF$1843,CF1542,$AW$7:$AW$1843,"&gt;"&amp;AW1542)+SUMIFS($AS$7:$AS$1843,$CF$7:$CF$1843,CF1542,$AW$7:$AW$1843,AW1542,$BW$7:$BW$1843,"&lt;="&amp;BW1542),"")</f>
        <v>36454.7304562199</v>
      </c>
      <c r="AY1542" s="58" t="n">
        <f aca="false">IF(AX1542="",0,MAX(0,MIN(1,(IF(CF1542="L1",Parameter!$H$5,IF(CF1542="L23",Parameter!$H$6+Parameter!$H$7,Parameter!$H$5+Parameter!$H$6+Parameter!$H$7))-(AX1542-AS1542))/AS1542)))</f>
        <v>0</v>
      </c>
      <c r="AZ1542" s="50" t="n">
        <f aca="false">IF(LEFT(Cockpit!$O$5,1)="A",H1542,IF(Parameter!$E$30="MAX-Bestand",IF(CH1542=1,CI1542,IF(LEFT(Cockpit!$O$5,1)="B",BF1542,MAX(BF1542,H1542))),ROUNDUP(BD1542,0)))</f>
        <v>13</v>
      </c>
      <c r="BA1542" s="50" t="n">
        <f aca="false">IF(BZ1542=1,0,ROUNDUP(AZ1542/BY1542,0))</f>
        <v>1</v>
      </c>
      <c r="BB1542" s="52" t="n">
        <f aca="false">IF(CQ1542&gt;0,CQ1542*MAX(1,AZ1542/X1542),IF(BZ1542=1,IF(AZ1542&lt;=0,0,CD1542*MAX(1,IF(H1542&gt;0,AZ1542/H1542,1))),IF(R1542&gt;0,BA1542/R1542,0))/MAX(0.1,N(Parameter!$M$21)))</f>
        <v>0.0192307692307692</v>
      </c>
      <c r="BC1542" s="50" t="n">
        <f aca="false">BB1542*CB1542</f>
        <v>2.98076923076923</v>
      </c>
      <c r="BD1542" s="51" t="n">
        <f aca="false">IF(LEFT(Cockpit!$O$5,1)="A",H1542,IF(CH1542=1,(CK1542+CI1542)/2,IF(LEFT(Cockpit!$O$5,1)="B",(CK1542+BF1542)/2,MAX((CK1542+BF1542)/2,H1542))))</f>
        <v>12.5</v>
      </c>
      <c r="BE1542" s="50" t="n">
        <f aca="false">BD1542*G1542</f>
        <v>405.25</v>
      </c>
      <c r="BF1542" s="50" t="n">
        <f aca="false">ROUNDUP(CK1542+MAX(CL1542,2*(J1542/IF(CG1542&gt;0,CG1542,MAX(0.1,N(Cockpit!$O$6)))-CK1542)),0)</f>
        <v>25</v>
      </c>
      <c r="BG1542" s="51" t="n">
        <f aca="false">IF(BC1542&gt;0,J1542/BC1542,-1)</f>
        <v>0</v>
      </c>
      <c r="BH1542" s="51" t="n">
        <f aca="false">IF(AND(OR(CF1542="L1",CF1542="L23",CF1542="LIFT"),BC1542&gt;0),SUMIFS($BC$7:$BC$1843,$CF$7:$CF$1843,CF1542,$BG$7:$BG$1843,"&gt;"&amp;BG1542)+SUMIFS($BC$7:$BC$1843,$CF$7:$CF$1843,CF1542,$BG$7:$BG$1843,BG1542,$BW$7:$BW$1843,"&lt;="&amp;BW1542),"")</f>
        <v>30392.9217317522</v>
      </c>
      <c r="BI1542" s="58" t="n">
        <f aca="false">IF(BH1542="",0,MAX(0,MIN(1,(IF(CF1542="L1",Parameter!$H$5,IF(CF1542="L23",Parameter!$H$6+Parameter!$H$7,Parameter!$H$5+Parameter!$H$6+Parameter!$H$7))-(BH1542-BC1542))/BC1542)))</f>
        <v>1</v>
      </c>
      <c r="BJ1542" s="48" t="str">
        <f aca="false">IF(AI1542&lt;=0,"",IF(CF1542="Aussen","Aussenlager",IF(CF1542="-","Nicht im Lift",IF(AO1542&gt;=1,"Lift",IF(AO1542&lt;=0,"Aussenlager","teilweise")))))</f>
        <v>Lift</v>
      </c>
      <c r="BK1542" s="48" t="str">
        <f aca="false">IF(AS1542&lt;=0,"",IF(CF1542="Aussen","Aussenlager",IF(CF1542="-","Nicht im Lift",IF(AY1542&gt;=1,"Lift",IF(AY1542&lt;=0,"Aussenlager","teilweise")))))</f>
        <v>Aussenlager</v>
      </c>
      <c r="BL1542" s="48" t="str">
        <f aca="false">IF(BC1542&lt;=0,"",IF(CF1542="Aussen","Aussenlager",IF(CF1542="-","Nicht im Lift",IF(BI1542&gt;=1,"Lift",IF(BI1542&lt;=0,"Aussenlager","teilweise")))))</f>
        <v>Lift</v>
      </c>
      <c r="BM1542" s="48" t="str">
        <f aca="false">IF(A1542="","",IF(BV1542=1,"Neu; ","")&amp;IF(AND(BV1542=0,BQ1542&lt;0),"negativer Bestand (Export "&amp;BQ1542&amp;"); ","")&amp;IF(J1542&lt;=0,"Kein Verbrauch; ","")&amp;IF(CQ1542&gt;0,"Lift "&amp;W1542&amp;" lt. Liftbericht (Fach "&amp;X1542&amp;" Stk); ",IF(CA1542=1,"Gebinde geschätzt ("&amp;T1542&amp;"); ",IF(BZ1542=1,"Lose – Tablare geschätzt; ","")))&amp;IF(H1542&gt;AV1542,"Überbestand "&amp;ROUND(H1542-AV1542,0)&amp;" Stk / CHF "&amp;ROUND((H1542-AV1542)*G1542,0)&amp;"; ","")&amp;IF(AND(CH1542=1,CI1542&lt;CJ1542),"MAX &lt; MB+LG; ","")&amp;IF(AND(CP1542&gt;0,CO1542*10&gt;CP1542),"zu hoch für Tablar; ","")&amp;IF(AND(BV1542=0,OR(CH1542=1,AA1542&lt;&gt;"",U1542&lt;&gt;"",V1542&lt;&gt;"",AB1542&lt;&gt;"")),"manuell übersteuert; ","")&amp;IF(AND(BZ1542=0,R1542=0),"Gebinde unbekannt / Stellmass fehlt; ","")&amp;IF(AND(BZ1542=0,N(V1542)&lt;=0,N(Q1542)&lt;=0),"Menge pro Gebinde fehlt (Ist = 1 Gebinde); ","")&amp;BU1542)</f>
        <v>Kein Verbrauch; Überbestand 5 Stk / CHF 162; nur im Artikelstamm (Bestand 23.06.2026)</v>
      </c>
      <c r="BN1542" s="48"/>
      <c r="BO1542" s="48"/>
      <c r="BP1542" s="55"/>
      <c r="BQ1542" s="50" t="n">
        <v>30</v>
      </c>
      <c r="BR1542" s="50" t="n">
        <v>0</v>
      </c>
      <c r="BS1542" s="49" t="n">
        <v>0</v>
      </c>
      <c r="BT1542" s="50" t="n">
        <v>0</v>
      </c>
      <c r="BU1542" s="48" t="s">
        <v>2584</v>
      </c>
      <c r="BV1542" s="53" t="n">
        <v>0</v>
      </c>
      <c r="BW1542" s="53" t="n">
        <v>1542</v>
      </c>
      <c r="BX1542" s="48" t="str">
        <f aca="false">IF(U1542&lt;&gt;"",UPPER(TRIM(U1542)),IF(CA1542=1,UPPER(VLOOKUP(T1542,Parameter!$I$27:$K$29,2,0)),IF(P1542="","LOSE",P1542)))</f>
        <v>S33</v>
      </c>
      <c r="BY1542" s="50" t="n">
        <f aca="false">IF(BX1542="LOSE",1,IF(N(V1542)&gt;0,V1542,IF(CA1542=1,MAX(1,N(VLOOKUP(T1542,Parameter!$I$27:$K$29,3,0)),H1542,N(N1542)),IF(N(Q1542)&gt;0,Q1542,MAX(1,H1542)))))</f>
        <v>30</v>
      </c>
      <c r="BZ1542" s="53" t="n">
        <f aca="false">IF(BX1542="LOSE",1,0)</f>
        <v>0</v>
      </c>
      <c r="CA1542" s="53" t="n">
        <f aca="false">IF(AND(U1542="",OR(P1542="",P1542="LOSE"),T1542&lt;&gt;"",N(S1542)&lt;=0,ISNUMBER(MATCH(T1542,Parameter!$I$27:$I$29,0))),1,0)</f>
        <v>0</v>
      </c>
      <c r="CB1542" s="53" t="n">
        <f aca="false">IF(CQ1542&gt;0,INDEX(Parameter!$H$5:$H$7,W1542)/INDEX(Parameter!$E$5:$E$7,W1542),IF(AND(BZ1542=0,N(IFERROR(VLOOKUP(BX1542,'Gebinde-Kategorie'!$A$5:$N$45,14,0),0))&gt;0),VLOOKUP(BX1542,'Gebinde-Kategorie'!$A$5:$N$45,14,0)*10+Parameter!$M$23,Parameter!$M$24))</f>
        <v>155</v>
      </c>
      <c r="CC1542" s="48" t="str">
        <f aca="false">IF(AND(Parameter!$B$19="Ja",E1542&lt;&gt;"",ISNUMBER(MATCH(E1542,Parameter!$I$35:$I$52,0))),VLOOKUP(E1542,Parameter!$I$35:$J$52,2,0),IFERROR(VLOOKUP(D1542,Parameter!$A$35:$C$64,2,0),"Nein"))</f>
        <v>2+3</v>
      </c>
      <c r="CD1542" s="52" t="n">
        <f aca="false">IF(BZ1542=0,0,IF(N(S1542)&gt;0,S1542,IFERROR(VLOOKUP(D1542,Parameter!$A$35:$C$64,3,0)+0,0)))</f>
        <v>0</v>
      </c>
      <c r="CE1542" s="48" t="n">
        <f aca="false">IF(AA1542&lt;&gt;"",AA1542,Z1542)</f>
        <v>3</v>
      </c>
      <c r="CF1542" s="48" t="str">
        <f aca="false">IF(OR(CE1542=1,CE1542=2,CE1542=3),IF(Parameter!$E$27="Ja","LIFT",IF(CE1542=1,"L1","L23")),IF(CE1542="Aussen","Aussen","-"))</f>
        <v>LIFT</v>
      </c>
      <c r="CG1542" s="59" t="n">
        <f aca="false">IF(N(AB1542)&gt;0,AB1542,0)</f>
        <v>0</v>
      </c>
      <c r="CH1542" s="53" t="n">
        <f aca="false">IF(ISNUMBER(AE1542),1,0)</f>
        <v>0</v>
      </c>
      <c r="CI1542" s="50" t="n">
        <f aca="false">N(AE1542)</f>
        <v>0</v>
      </c>
      <c r="CJ1542" s="50" t="n">
        <f aca="false">N(M1542)+N(N1542)</f>
        <v>25</v>
      </c>
      <c r="CK1542" s="50" t="n">
        <f aca="false">N(M1542)</f>
        <v>0</v>
      </c>
      <c r="CL1542" s="50" t="n">
        <f aca="false">N(N1542)</f>
        <v>25</v>
      </c>
      <c r="CM1542" s="50" t="n">
        <f aca="false">ROUNDUP(H1542/BY1542,0)</f>
        <v>1</v>
      </c>
      <c r="CN1542" s="50" t="n">
        <f aca="false">ROUNDUP(CI1542/BY1542,0)</f>
        <v>0</v>
      </c>
      <c r="CO1542" s="53" t="n">
        <f aca="false">IF(BZ1542=1,0,IFERROR(VLOOKUP(BX1542,'Gebinde-Kategorie'!$A$5:$N$45,5,0)+0,0))</f>
        <v>8</v>
      </c>
      <c r="CP1542" s="53" t="n">
        <f aca="false">IFERROR(IF(OR(CE1542=1,CE1542=2,CE1542=3),N(INDEX(Parameter!$I$5:$I$7,CE1542)),0),0)</f>
        <v>0</v>
      </c>
      <c r="CQ1542" s="52" t="n">
        <f aca="false">IF(AND(Parameter!$B$21="Ja",ISNUMBER(W1542),N(X1542)&gt;0),IFERROR(N(INDEX(Parameter!$L$5:$L$7,W1542))*INDEX(Parameter!$E$5:$E$7,W1542)*X1542/SUMIFS($X$7:$X$1843,$W$7:$W$1843,W1542),0),0)</f>
        <v>0</v>
      </c>
    </row>
    <row r="1543" customFormat="false" ht="15" hidden="false" customHeight="false" outlineLevel="0" collapsed="false">
      <c r="A1543" s="48" t="s">
        <v>2706</v>
      </c>
      <c r="B1543" s="48" t="s">
        <v>2707</v>
      </c>
      <c r="C1543" s="48" t="s">
        <v>173</v>
      </c>
      <c r="D1543" s="48" t="s">
        <v>193</v>
      </c>
      <c r="E1543" s="48" t="s">
        <v>194</v>
      </c>
      <c r="F1543" s="48"/>
      <c r="G1543" s="49" t="n">
        <v>34.37</v>
      </c>
      <c r="H1543" s="50" t="n">
        <f aca="false">MAX(0,IF(AND(Parameter!$B$21="Ja",ISNUMBER(Y1543)),Y1543,IF(Parameter!$B$20="Jahresanfang 2025 + Export",BR1543+BQ1543,BQ1543)))</f>
        <v>30</v>
      </c>
      <c r="I1543" s="50" t="n">
        <f aca="false">H1543*G1543</f>
        <v>1031.1</v>
      </c>
      <c r="J1543" s="50" t="n">
        <f aca="false">BT1543*Parameter!$B$18</f>
        <v>0</v>
      </c>
      <c r="K1543" s="51"/>
      <c r="L1543" s="52"/>
      <c r="M1543" s="50" t="n">
        <v>0</v>
      </c>
      <c r="N1543" s="50" t="n">
        <v>25</v>
      </c>
      <c r="O1543" s="53" t="n">
        <v>21</v>
      </c>
      <c r="P1543" s="48" t="s">
        <v>485</v>
      </c>
      <c r="Q1543" s="50" t="n">
        <v>30</v>
      </c>
      <c r="R1543" s="53" t="n">
        <f aca="false">IF(BZ1543=1,0,IFERROR(VLOOKUP(BX1543,'Gebinde-Kategorie'!$A$5:$N$45,13,0)+0,0))</f>
        <v>52</v>
      </c>
      <c r="S1543" s="54"/>
      <c r="T1543" s="55"/>
      <c r="U1543" s="55"/>
      <c r="V1543" s="55"/>
      <c r="W1543" s="48"/>
      <c r="X1543" s="50"/>
      <c r="Y1543" s="50"/>
      <c r="Z1543" s="48" t="n">
        <f aca="false">IF(A1543="","",IF(AND(Parameter!$B$21="Ja",ISNUMBER(W1543)),W1543,IF(CC1543="2+3",IF(ISNUMBER(SEARCH("grosser Artikel",BU1543)),2,IFERROR(VLOOKUP(BX1543,Parameter!$F$35:$G$64,2,0),2)),IF(OR(CC1543="Nein",CC1543=""),"-",CC1543))))</f>
        <v>3</v>
      </c>
      <c r="AA1543" s="55"/>
      <c r="AB1543" s="56"/>
      <c r="AC1543" s="50" t="n">
        <f aca="false">AV1543</f>
        <v>25</v>
      </c>
      <c r="AD1543" s="50" t="n">
        <f aca="false">MAX(AV1543,H1543)</f>
        <v>30</v>
      </c>
      <c r="AE1543" s="57"/>
      <c r="AF1543" s="50" t="n">
        <f aca="false">IF(LEFT(Cockpit!$C$5,1)="A",H1543,IF(Parameter!$E$30="MAX-Bestand",IF(CH1543=1,CI1543,IF(LEFT(Cockpit!$C$5,1)="B",AL1543,MAX(AL1543,H1543))),ROUNDUP(AJ1543,0)))</f>
        <v>30</v>
      </c>
      <c r="AG1543" s="50" t="n">
        <f aca="false">IF(BZ1543=1,0,ROUNDUP(AF1543/BY1543,0))</f>
        <v>1</v>
      </c>
      <c r="AH1543" s="52" t="n">
        <f aca="false">IF(CQ1543&gt;0,CQ1543*MAX(1,AF1543/X1543),IF(BZ1543=1,IF(AF1543&lt;=0,0,CD1543*MAX(1,IF(H1543&gt;0,AF1543/H1543,1))),IF(R1543&gt;0,AG1543/R1543,0))/MAX(0.1,N(Parameter!$M$21)))</f>
        <v>0.0192307692307692</v>
      </c>
      <c r="AI1543" s="50" t="n">
        <f aca="false">AH1543*CB1543</f>
        <v>2.98076923076923</v>
      </c>
      <c r="AJ1543" s="51" t="n">
        <f aca="false">IF(LEFT(Cockpit!$C$5,1)="A",H1543,IF(CH1543=1,(CK1543+CI1543)/2,IF(LEFT(Cockpit!$C$5,1)="B",(CK1543+AL1543)/2,MAX((CK1543+AL1543)/2,H1543))))</f>
        <v>30</v>
      </c>
      <c r="AK1543" s="50" t="n">
        <f aca="false">AJ1543*G1543</f>
        <v>1031.1</v>
      </c>
      <c r="AL1543" s="50" t="n">
        <f aca="false">ROUNDUP(CK1543+MAX(CL1543,2*(J1543/IF(CG1543&gt;0,CG1543,MAX(0.1,N(Cockpit!$C$6)))-CK1543)),0)</f>
        <v>25</v>
      </c>
      <c r="AM1543" s="51" t="n">
        <f aca="false">IF(AI1543&gt;0,J1543/AI1543,-1)</f>
        <v>0</v>
      </c>
      <c r="AN1543" s="51" t="n">
        <f aca="false">IF(AND(OR(CF1543="L1",CF1543="L23",CF1543="LIFT"),AI1543&gt;0),SUMIFS($AI$7:$AI$1843,$CF$7:$CF$1843,CF1543,$AM$7:$AM$1843,"&gt;"&amp;AM1543)+SUMIFS($AI$7:$AI$1843,$CF$7:$CF$1843,CF1543,$AM$7:$AM$1843,AM1543,$BW$7:$BW$1843,"&lt;="&amp;BW1543),"")</f>
        <v>30137.8547086153</v>
      </c>
      <c r="AO1543" s="58" t="n">
        <f aca="false">IF(AN1543="",0,MAX(0,MIN(1,(IF(CF1543="L1",Parameter!$H$5,IF(CF1543="L23",Parameter!$H$6+Parameter!$H$7,Parameter!$H$5+Parameter!$H$6+Parameter!$H$7))-(AN1543-AI1543))/AI1543)))</f>
        <v>1</v>
      </c>
      <c r="AP1543" s="50" t="n">
        <f aca="false">IF(LEFT(Cockpit!$I$5,1)="A",H1543,IF(Parameter!$E$30="MAX-Bestand",IF(CH1543=1,CI1543,IF(LEFT(Cockpit!$I$5,1)="B",AV1543,MAX(AV1543,H1543))),ROUNDUP(AT1543,0)))</f>
        <v>30</v>
      </c>
      <c r="AQ1543" s="50" t="n">
        <f aca="false">IF(BZ1543=1,0,ROUNDUP(AP1543/BY1543,0))</f>
        <v>1</v>
      </c>
      <c r="AR1543" s="52" t="n">
        <f aca="false">IF(CQ1543&gt;0,CQ1543*MAX(1,AP1543/X1543),IF(BZ1543=1,IF(AP1543&lt;=0,0,CD1543*MAX(1,IF(H1543&gt;0,AP1543/H1543,1))),IF(R1543&gt;0,AQ1543/R1543,0))/MAX(0.1,N(Parameter!$M$21)))</f>
        <v>0.0192307692307692</v>
      </c>
      <c r="AS1543" s="50" t="n">
        <f aca="false">AR1543*CB1543</f>
        <v>2.98076923076923</v>
      </c>
      <c r="AT1543" s="51" t="n">
        <f aca="false">IF(LEFT(Cockpit!$I$5,1)="A",H1543,IF(CH1543=1,(CK1543+CI1543)/2,IF(LEFT(Cockpit!$I$5,1)="B",(CK1543+AV1543)/2,MAX((CK1543+AV1543)/2,H1543))))</f>
        <v>30</v>
      </c>
      <c r="AU1543" s="50" t="n">
        <f aca="false">AT1543*G1543</f>
        <v>1031.1</v>
      </c>
      <c r="AV1543" s="50" t="n">
        <f aca="false">ROUNDUP(CK1543+MAX(CL1543,2*(J1543/IF(CG1543&gt;0,CG1543,MAX(0.1,N(Cockpit!$I$6)))-CK1543)),0)</f>
        <v>25</v>
      </c>
      <c r="AW1543" s="51" t="n">
        <f aca="false">IF(AS1543&gt;0,J1543/AS1543,-1)</f>
        <v>0</v>
      </c>
      <c r="AX1543" s="51" t="n">
        <f aca="false">IF(AND(OR(CF1543="L1",CF1543="L23",CF1543="LIFT"),AS1543&gt;0),SUMIFS($AS$7:$AS$1843,$CF$7:$CF$1843,CF1543,$AW$7:$AW$1843,"&gt;"&amp;AW1543)+SUMIFS($AS$7:$AS$1843,$CF$7:$CF$1843,CF1543,$AW$7:$AW$1843,AW1543,$BW$7:$BW$1843,"&lt;="&amp;BW1543),"")</f>
        <v>36457.7112254506</v>
      </c>
      <c r="AY1543" s="58" t="n">
        <f aca="false">IF(AX1543="",0,MAX(0,MIN(1,(IF(CF1543="L1",Parameter!$H$5,IF(CF1543="L23",Parameter!$H$6+Parameter!$H$7,Parameter!$H$5+Parameter!$H$6+Parameter!$H$7))-(AX1543-AS1543))/AS1543)))</f>
        <v>0</v>
      </c>
      <c r="AZ1543" s="50" t="n">
        <f aca="false">IF(LEFT(Cockpit!$O$5,1)="A",H1543,IF(Parameter!$E$30="MAX-Bestand",IF(CH1543=1,CI1543,IF(LEFT(Cockpit!$O$5,1)="B",BF1543,MAX(BF1543,H1543))),ROUNDUP(BD1543,0)))</f>
        <v>13</v>
      </c>
      <c r="BA1543" s="50" t="n">
        <f aca="false">IF(BZ1543=1,0,ROUNDUP(AZ1543/BY1543,0))</f>
        <v>1</v>
      </c>
      <c r="BB1543" s="52" t="n">
        <f aca="false">IF(CQ1543&gt;0,CQ1543*MAX(1,AZ1543/X1543),IF(BZ1543=1,IF(AZ1543&lt;=0,0,CD1543*MAX(1,IF(H1543&gt;0,AZ1543/H1543,1))),IF(R1543&gt;0,BA1543/R1543,0))/MAX(0.1,N(Parameter!$M$21)))</f>
        <v>0.0192307692307692</v>
      </c>
      <c r="BC1543" s="50" t="n">
        <f aca="false">BB1543*CB1543</f>
        <v>2.98076923076923</v>
      </c>
      <c r="BD1543" s="51" t="n">
        <f aca="false">IF(LEFT(Cockpit!$O$5,1)="A",H1543,IF(CH1543=1,(CK1543+CI1543)/2,IF(LEFT(Cockpit!$O$5,1)="B",(CK1543+BF1543)/2,MAX((CK1543+BF1543)/2,H1543))))</f>
        <v>12.5</v>
      </c>
      <c r="BE1543" s="50" t="n">
        <f aca="false">BD1543*G1543</f>
        <v>429.625</v>
      </c>
      <c r="BF1543" s="50" t="n">
        <f aca="false">ROUNDUP(CK1543+MAX(CL1543,2*(J1543/IF(CG1543&gt;0,CG1543,MAX(0.1,N(Cockpit!$O$6)))-CK1543)),0)</f>
        <v>25</v>
      </c>
      <c r="BG1543" s="51" t="n">
        <f aca="false">IF(BC1543&gt;0,J1543/BC1543,-1)</f>
        <v>0</v>
      </c>
      <c r="BH1543" s="51" t="n">
        <f aca="false">IF(AND(OR(CF1543="L1",CF1543="L23",CF1543="LIFT"),BC1543&gt;0),SUMIFS($BC$7:$BC$1843,$CF$7:$CF$1843,CF1543,$BG$7:$BG$1843,"&gt;"&amp;BG1543)+SUMIFS($BC$7:$BC$1843,$CF$7:$CF$1843,CF1543,$BG$7:$BG$1843,BG1543,$BW$7:$BW$1843,"&lt;="&amp;BW1543),"")</f>
        <v>30395.902500983</v>
      </c>
      <c r="BI1543" s="58" t="n">
        <f aca="false">IF(BH1543="",0,MAX(0,MIN(1,(IF(CF1543="L1",Parameter!$H$5,IF(CF1543="L23",Parameter!$H$6+Parameter!$H$7,Parameter!$H$5+Parameter!$H$6+Parameter!$H$7))-(BH1543-BC1543))/BC1543)))</f>
        <v>1</v>
      </c>
      <c r="BJ1543" s="48" t="str">
        <f aca="false">IF(AI1543&lt;=0,"",IF(CF1543="Aussen","Aussenlager",IF(CF1543="-","Nicht im Lift",IF(AO1543&gt;=1,"Lift",IF(AO1543&lt;=0,"Aussenlager","teilweise")))))</f>
        <v>Lift</v>
      </c>
      <c r="BK1543" s="48" t="str">
        <f aca="false">IF(AS1543&lt;=0,"",IF(CF1543="Aussen","Aussenlager",IF(CF1543="-","Nicht im Lift",IF(AY1543&gt;=1,"Lift",IF(AY1543&lt;=0,"Aussenlager","teilweise")))))</f>
        <v>Aussenlager</v>
      </c>
      <c r="BL1543" s="48" t="str">
        <f aca="false">IF(BC1543&lt;=0,"",IF(CF1543="Aussen","Aussenlager",IF(CF1543="-","Nicht im Lift",IF(BI1543&gt;=1,"Lift",IF(BI1543&lt;=0,"Aussenlager","teilweise")))))</f>
        <v>Lift</v>
      </c>
      <c r="BM1543" s="48" t="str">
        <f aca="false">IF(A1543="","",IF(BV1543=1,"Neu; ","")&amp;IF(AND(BV1543=0,BQ1543&lt;0),"negativer Bestand (Export "&amp;BQ1543&amp;"); ","")&amp;IF(J1543&lt;=0,"Kein Verbrauch; ","")&amp;IF(CQ1543&gt;0,"Lift "&amp;W1543&amp;" lt. Liftbericht (Fach "&amp;X1543&amp;" Stk); ",IF(CA1543=1,"Gebinde geschätzt ("&amp;T1543&amp;"); ",IF(BZ1543=1,"Lose – Tablare geschätzt; ","")))&amp;IF(H1543&gt;AV1543,"Überbestand "&amp;ROUND(H1543-AV1543,0)&amp;" Stk / CHF "&amp;ROUND((H1543-AV1543)*G1543,0)&amp;"; ","")&amp;IF(AND(CH1543=1,CI1543&lt;CJ1543),"MAX &lt; MB+LG; ","")&amp;IF(AND(CP1543&gt;0,CO1543*10&gt;CP1543),"zu hoch für Tablar; ","")&amp;IF(AND(BV1543=0,OR(CH1543=1,AA1543&lt;&gt;"",U1543&lt;&gt;"",V1543&lt;&gt;"",AB1543&lt;&gt;"")),"manuell übersteuert; ","")&amp;IF(AND(BZ1543=0,R1543=0),"Gebinde unbekannt / Stellmass fehlt; ","")&amp;IF(AND(BZ1543=0,N(V1543)&lt;=0,N(Q1543)&lt;=0),"Menge pro Gebinde fehlt (Ist = 1 Gebinde); ","")&amp;BU1543)</f>
        <v>Kein Verbrauch; Überbestand 5 Stk / CHF 172; nur im Artikelstamm (Bestand 23.06.2026)</v>
      </c>
      <c r="BN1543" s="48"/>
      <c r="BO1543" s="48"/>
      <c r="BP1543" s="55"/>
      <c r="BQ1543" s="50" t="n">
        <v>30</v>
      </c>
      <c r="BR1543" s="50" t="n">
        <v>0</v>
      </c>
      <c r="BS1543" s="49" t="n">
        <v>0</v>
      </c>
      <c r="BT1543" s="50" t="n">
        <v>0</v>
      </c>
      <c r="BU1543" s="48" t="s">
        <v>2584</v>
      </c>
      <c r="BV1543" s="53" t="n">
        <v>0</v>
      </c>
      <c r="BW1543" s="53" t="n">
        <v>1543</v>
      </c>
      <c r="BX1543" s="48" t="str">
        <f aca="false">IF(U1543&lt;&gt;"",UPPER(TRIM(U1543)),IF(CA1543=1,UPPER(VLOOKUP(T1543,Parameter!$I$27:$K$29,2,0)),IF(P1543="","LOSE",P1543)))</f>
        <v>S33</v>
      </c>
      <c r="BY1543" s="50" t="n">
        <f aca="false">IF(BX1543="LOSE",1,IF(N(V1543)&gt;0,V1543,IF(CA1543=1,MAX(1,N(VLOOKUP(T1543,Parameter!$I$27:$K$29,3,0)),H1543,N(N1543)),IF(N(Q1543)&gt;0,Q1543,MAX(1,H1543)))))</f>
        <v>30</v>
      </c>
      <c r="BZ1543" s="53" t="n">
        <f aca="false">IF(BX1543="LOSE",1,0)</f>
        <v>0</v>
      </c>
      <c r="CA1543" s="53" t="n">
        <f aca="false">IF(AND(U1543="",OR(P1543="",P1543="LOSE"),T1543&lt;&gt;"",N(S1543)&lt;=0,ISNUMBER(MATCH(T1543,Parameter!$I$27:$I$29,0))),1,0)</f>
        <v>0</v>
      </c>
      <c r="CB1543" s="53" t="n">
        <f aca="false">IF(CQ1543&gt;0,INDEX(Parameter!$H$5:$H$7,W1543)/INDEX(Parameter!$E$5:$E$7,W1543),IF(AND(BZ1543=0,N(IFERROR(VLOOKUP(BX1543,'Gebinde-Kategorie'!$A$5:$N$45,14,0),0))&gt;0),VLOOKUP(BX1543,'Gebinde-Kategorie'!$A$5:$N$45,14,0)*10+Parameter!$M$23,Parameter!$M$24))</f>
        <v>155</v>
      </c>
      <c r="CC1543" s="48" t="str">
        <f aca="false">IF(AND(Parameter!$B$19="Ja",E1543&lt;&gt;"",ISNUMBER(MATCH(E1543,Parameter!$I$35:$I$52,0))),VLOOKUP(E1543,Parameter!$I$35:$J$52,2,0),IFERROR(VLOOKUP(D1543,Parameter!$A$35:$C$64,2,0),"Nein"))</f>
        <v>2+3</v>
      </c>
      <c r="CD1543" s="52" t="n">
        <f aca="false">IF(BZ1543=0,0,IF(N(S1543)&gt;0,S1543,IFERROR(VLOOKUP(D1543,Parameter!$A$35:$C$64,3,0)+0,0)))</f>
        <v>0</v>
      </c>
      <c r="CE1543" s="48" t="n">
        <f aca="false">IF(AA1543&lt;&gt;"",AA1543,Z1543)</f>
        <v>3</v>
      </c>
      <c r="CF1543" s="48" t="str">
        <f aca="false">IF(OR(CE1543=1,CE1543=2,CE1543=3),IF(Parameter!$E$27="Ja","LIFT",IF(CE1543=1,"L1","L23")),IF(CE1543="Aussen","Aussen","-"))</f>
        <v>LIFT</v>
      </c>
      <c r="CG1543" s="59" t="n">
        <f aca="false">IF(N(AB1543)&gt;0,AB1543,0)</f>
        <v>0</v>
      </c>
      <c r="CH1543" s="53" t="n">
        <f aca="false">IF(ISNUMBER(AE1543),1,0)</f>
        <v>0</v>
      </c>
      <c r="CI1543" s="50" t="n">
        <f aca="false">N(AE1543)</f>
        <v>0</v>
      </c>
      <c r="CJ1543" s="50" t="n">
        <f aca="false">N(M1543)+N(N1543)</f>
        <v>25</v>
      </c>
      <c r="CK1543" s="50" t="n">
        <f aca="false">N(M1543)</f>
        <v>0</v>
      </c>
      <c r="CL1543" s="50" t="n">
        <f aca="false">N(N1543)</f>
        <v>25</v>
      </c>
      <c r="CM1543" s="50" t="n">
        <f aca="false">ROUNDUP(H1543/BY1543,0)</f>
        <v>1</v>
      </c>
      <c r="CN1543" s="50" t="n">
        <f aca="false">ROUNDUP(CI1543/BY1543,0)</f>
        <v>0</v>
      </c>
      <c r="CO1543" s="53" t="n">
        <f aca="false">IF(BZ1543=1,0,IFERROR(VLOOKUP(BX1543,'Gebinde-Kategorie'!$A$5:$N$45,5,0)+0,0))</f>
        <v>8</v>
      </c>
      <c r="CP1543" s="53" t="n">
        <f aca="false">IFERROR(IF(OR(CE1543=1,CE1543=2,CE1543=3),N(INDEX(Parameter!$I$5:$I$7,CE1543)),0),0)</f>
        <v>0</v>
      </c>
      <c r="CQ1543" s="52" t="n">
        <f aca="false">IF(AND(Parameter!$B$21="Ja",ISNUMBER(W1543),N(X1543)&gt;0),IFERROR(N(INDEX(Parameter!$L$5:$L$7,W1543))*INDEX(Parameter!$E$5:$E$7,W1543)*X1543/SUMIFS($X$7:$X$1843,$W$7:$W$1843,W1543),0),0)</f>
        <v>0</v>
      </c>
    </row>
    <row r="1544" customFormat="false" ht="15" hidden="false" customHeight="false" outlineLevel="0" collapsed="false">
      <c r="A1544" s="48" t="s">
        <v>2708</v>
      </c>
      <c r="B1544" s="48" t="s">
        <v>2709</v>
      </c>
      <c r="C1544" s="48" t="s">
        <v>173</v>
      </c>
      <c r="D1544" s="48" t="s">
        <v>193</v>
      </c>
      <c r="E1544" s="48" t="s">
        <v>194</v>
      </c>
      <c r="F1544" s="48"/>
      <c r="G1544" s="49" t="n">
        <v>3.97</v>
      </c>
      <c r="H1544" s="50" t="n">
        <f aca="false">MAX(0,IF(AND(Parameter!$B$21="Ja",ISNUMBER(Y1544)),Y1544,IF(Parameter!$B$20="Jahresanfang 2025 + Export",BR1544+BQ1544,BQ1544)))</f>
        <v>14</v>
      </c>
      <c r="I1544" s="50" t="n">
        <f aca="false">H1544*G1544</f>
        <v>55.58</v>
      </c>
      <c r="J1544" s="50" t="n">
        <f aca="false">BT1544*Parameter!$B$18</f>
        <v>0</v>
      </c>
      <c r="K1544" s="51"/>
      <c r="L1544" s="52"/>
      <c r="M1544" s="50" t="n">
        <v>0</v>
      </c>
      <c r="N1544" s="50" t="n">
        <v>10</v>
      </c>
      <c r="O1544" s="53" t="n">
        <v>42</v>
      </c>
      <c r="P1544" s="48" t="s">
        <v>435</v>
      </c>
      <c r="Q1544" s="50" t="n">
        <v>14</v>
      </c>
      <c r="R1544" s="53" t="n">
        <f aca="false">IF(BZ1544=1,0,IFERROR(VLOOKUP(BX1544,'Gebinde-Kategorie'!$A$5:$N$45,13,0)+0,0))</f>
        <v>140</v>
      </c>
      <c r="S1544" s="54"/>
      <c r="T1544" s="55"/>
      <c r="U1544" s="55"/>
      <c r="V1544" s="55"/>
      <c r="W1544" s="48"/>
      <c r="X1544" s="50"/>
      <c r="Y1544" s="50"/>
      <c r="Z1544" s="48" t="n">
        <f aca="false">IF(A1544="","",IF(AND(Parameter!$B$21="Ja",ISNUMBER(W1544)),W1544,IF(CC1544="2+3",IF(ISNUMBER(SEARCH("grosser Artikel",BU1544)),2,IFERROR(VLOOKUP(BX1544,Parameter!$F$35:$G$64,2,0),2)),IF(OR(CC1544="Nein",CC1544=""),"-",CC1544))))</f>
        <v>3</v>
      </c>
      <c r="AA1544" s="55"/>
      <c r="AB1544" s="56"/>
      <c r="AC1544" s="50" t="n">
        <f aca="false">AV1544</f>
        <v>10</v>
      </c>
      <c r="AD1544" s="50" t="n">
        <f aca="false">MAX(AV1544,H1544)</f>
        <v>14</v>
      </c>
      <c r="AE1544" s="57"/>
      <c r="AF1544" s="50" t="n">
        <f aca="false">IF(LEFT(Cockpit!$C$5,1)="A",H1544,IF(Parameter!$E$30="MAX-Bestand",IF(CH1544=1,CI1544,IF(LEFT(Cockpit!$C$5,1)="B",AL1544,MAX(AL1544,H1544))),ROUNDUP(AJ1544,0)))</f>
        <v>14</v>
      </c>
      <c r="AG1544" s="50" t="n">
        <f aca="false">IF(BZ1544=1,0,ROUNDUP(AF1544/BY1544,0))</f>
        <v>1</v>
      </c>
      <c r="AH1544" s="52" t="n">
        <f aca="false">IF(CQ1544&gt;0,CQ1544*MAX(1,AF1544/X1544),IF(BZ1544=1,IF(AF1544&lt;=0,0,CD1544*MAX(1,IF(H1544&gt;0,AF1544/H1544,1))),IF(R1544&gt;0,AG1544/R1544,0))/MAX(0.1,N(Parameter!$M$21)))</f>
        <v>0.00714285714285714</v>
      </c>
      <c r="AI1544" s="50" t="n">
        <f aca="false">AH1544*CB1544</f>
        <v>1.10714285714286</v>
      </c>
      <c r="AJ1544" s="51" t="n">
        <f aca="false">IF(LEFT(Cockpit!$C$5,1)="A",H1544,IF(CH1544=1,(CK1544+CI1544)/2,IF(LEFT(Cockpit!$C$5,1)="B",(CK1544+AL1544)/2,MAX((CK1544+AL1544)/2,H1544))))</f>
        <v>14</v>
      </c>
      <c r="AK1544" s="50" t="n">
        <f aca="false">AJ1544*G1544</f>
        <v>55.58</v>
      </c>
      <c r="AL1544" s="50" t="n">
        <f aca="false">ROUNDUP(CK1544+MAX(CL1544,2*(J1544/IF(CG1544&gt;0,CG1544,MAX(0.1,N(Cockpit!$C$6)))-CK1544)),0)</f>
        <v>10</v>
      </c>
      <c r="AM1544" s="51" t="n">
        <f aca="false">IF(AI1544&gt;0,J1544/AI1544,-1)</f>
        <v>0</v>
      </c>
      <c r="AN1544" s="51" t="n">
        <f aca="false">IF(AND(OR(CF1544="L1",CF1544="L23",CF1544="LIFT"),AI1544&gt;0),SUMIFS($AI$7:$AI$1843,$CF$7:$CF$1843,CF1544,$AM$7:$AM$1843,"&gt;"&amp;AM1544)+SUMIFS($AI$7:$AI$1843,$CF$7:$CF$1843,CF1544,$AM$7:$AM$1843,AM1544,$BW$7:$BW$1843,"&lt;="&amp;BW1544),"")</f>
        <v>30138.9618514724</v>
      </c>
      <c r="AO1544" s="58" t="n">
        <f aca="false">IF(AN1544="",0,MAX(0,MIN(1,(IF(CF1544="L1",Parameter!$H$5,IF(CF1544="L23",Parameter!$H$6+Parameter!$H$7,Parameter!$H$5+Parameter!$H$6+Parameter!$H$7))-(AN1544-AI1544))/AI1544)))</f>
        <v>1</v>
      </c>
      <c r="AP1544" s="50" t="n">
        <f aca="false">IF(LEFT(Cockpit!$I$5,1)="A",H1544,IF(Parameter!$E$30="MAX-Bestand",IF(CH1544=1,CI1544,IF(LEFT(Cockpit!$I$5,1)="B",AV1544,MAX(AV1544,H1544))),ROUNDUP(AT1544,0)))</f>
        <v>14</v>
      </c>
      <c r="AQ1544" s="50" t="n">
        <f aca="false">IF(BZ1544=1,0,ROUNDUP(AP1544/BY1544,0))</f>
        <v>1</v>
      </c>
      <c r="AR1544" s="52" t="n">
        <f aca="false">IF(CQ1544&gt;0,CQ1544*MAX(1,AP1544/X1544),IF(BZ1544=1,IF(AP1544&lt;=0,0,CD1544*MAX(1,IF(H1544&gt;0,AP1544/H1544,1))),IF(R1544&gt;0,AQ1544/R1544,0))/MAX(0.1,N(Parameter!$M$21)))</f>
        <v>0.00714285714285714</v>
      </c>
      <c r="AS1544" s="50" t="n">
        <f aca="false">AR1544*CB1544</f>
        <v>1.10714285714286</v>
      </c>
      <c r="AT1544" s="51" t="n">
        <f aca="false">IF(LEFT(Cockpit!$I$5,1)="A",H1544,IF(CH1544=1,(CK1544+CI1544)/2,IF(LEFT(Cockpit!$I$5,1)="B",(CK1544+AV1544)/2,MAX((CK1544+AV1544)/2,H1544))))</f>
        <v>14</v>
      </c>
      <c r="AU1544" s="50" t="n">
        <f aca="false">AT1544*G1544</f>
        <v>55.58</v>
      </c>
      <c r="AV1544" s="50" t="n">
        <f aca="false">ROUNDUP(CK1544+MAX(CL1544,2*(J1544/IF(CG1544&gt;0,CG1544,MAX(0.1,N(Cockpit!$I$6)))-CK1544)),0)</f>
        <v>10</v>
      </c>
      <c r="AW1544" s="51" t="n">
        <f aca="false">IF(AS1544&gt;0,J1544/AS1544,-1)</f>
        <v>0</v>
      </c>
      <c r="AX1544" s="51" t="n">
        <f aca="false">IF(AND(OR(CF1544="L1",CF1544="L23",CF1544="LIFT"),AS1544&gt;0),SUMIFS($AS$7:$AS$1843,$CF$7:$CF$1843,CF1544,$AW$7:$AW$1843,"&gt;"&amp;AW1544)+SUMIFS($AS$7:$AS$1843,$CF$7:$CF$1843,CF1544,$AW$7:$AW$1843,AW1544,$BW$7:$BW$1843,"&lt;="&amp;BW1544),"")</f>
        <v>36458.8183683078</v>
      </c>
      <c r="AY1544" s="58" t="n">
        <f aca="false">IF(AX1544="",0,MAX(0,MIN(1,(IF(CF1544="L1",Parameter!$H$5,IF(CF1544="L23",Parameter!$H$6+Parameter!$H$7,Parameter!$H$5+Parameter!$H$6+Parameter!$H$7))-(AX1544-AS1544))/AS1544)))</f>
        <v>0</v>
      </c>
      <c r="AZ1544" s="50" t="n">
        <f aca="false">IF(LEFT(Cockpit!$O$5,1)="A",H1544,IF(Parameter!$E$30="MAX-Bestand",IF(CH1544=1,CI1544,IF(LEFT(Cockpit!$O$5,1)="B",BF1544,MAX(BF1544,H1544))),ROUNDUP(BD1544,0)))</f>
        <v>5</v>
      </c>
      <c r="BA1544" s="50" t="n">
        <f aca="false">IF(BZ1544=1,0,ROUNDUP(AZ1544/BY1544,0))</f>
        <v>1</v>
      </c>
      <c r="BB1544" s="52" t="n">
        <f aca="false">IF(CQ1544&gt;0,CQ1544*MAX(1,AZ1544/X1544),IF(BZ1544=1,IF(AZ1544&lt;=0,0,CD1544*MAX(1,IF(H1544&gt;0,AZ1544/H1544,1))),IF(R1544&gt;0,BA1544/R1544,0))/MAX(0.1,N(Parameter!$M$21)))</f>
        <v>0.00714285714285714</v>
      </c>
      <c r="BC1544" s="50" t="n">
        <f aca="false">BB1544*CB1544</f>
        <v>1.10714285714286</v>
      </c>
      <c r="BD1544" s="51" t="n">
        <f aca="false">IF(LEFT(Cockpit!$O$5,1)="A",H1544,IF(CH1544=1,(CK1544+CI1544)/2,IF(LEFT(Cockpit!$O$5,1)="B",(CK1544+BF1544)/2,MAX((CK1544+BF1544)/2,H1544))))</f>
        <v>5</v>
      </c>
      <c r="BE1544" s="50" t="n">
        <f aca="false">BD1544*G1544</f>
        <v>19.85</v>
      </c>
      <c r="BF1544" s="50" t="n">
        <f aca="false">ROUNDUP(CK1544+MAX(CL1544,2*(J1544/IF(CG1544&gt;0,CG1544,MAX(0.1,N(Cockpit!$O$6)))-CK1544)),0)</f>
        <v>10</v>
      </c>
      <c r="BG1544" s="51" t="n">
        <f aca="false">IF(BC1544&gt;0,J1544/BC1544,-1)</f>
        <v>0</v>
      </c>
      <c r="BH1544" s="51" t="n">
        <f aca="false">IF(AND(OR(CF1544="L1",CF1544="L23",CF1544="LIFT"),BC1544&gt;0),SUMIFS($BC$7:$BC$1843,$CF$7:$CF$1843,CF1544,$BG$7:$BG$1843,"&gt;"&amp;BG1544)+SUMIFS($BC$7:$BC$1843,$CF$7:$CF$1843,CF1544,$BG$7:$BG$1843,BG1544,$BW$7:$BW$1843,"&lt;="&amp;BW1544),"")</f>
        <v>30397.0096438402</v>
      </c>
      <c r="BI1544" s="58" t="n">
        <f aca="false">IF(BH1544="",0,MAX(0,MIN(1,(IF(CF1544="L1",Parameter!$H$5,IF(CF1544="L23",Parameter!$H$6+Parameter!$H$7,Parameter!$H$5+Parameter!$H$6+Parameter!$H$7))-(BH1544-BC1544))/BC1544)))</f>
        <v>1</v>
      </c>
      <c r="BJ1544" s="48" t="str">
        <f aca="false">IF(AI1544&lt;=0,"",IF(CF1544="Aussen","Aussenlager",IF(CF1544="-","Nicht im Lift",IF(AO1544&gt;=1,"Lift",IF(AO1544&lt;=0,"Aussenlager","teilweise")))))</f>
        <v>Lift</v>
      </c>
      <c r="BK1544" s="48" t="str">
        <f aca="false">IF(AS1544&lt;=0,"",IF(CF1544="Aussen","Aussenlager",IF(CF1544="-","Nicht im Lift",IF(AY1544&gt;=1,"Lift",IF(AY1544&lt;=0,"Aussenlager","teilweise")))))</f>
        <v>Aussenlager</v>
      </c>
      <c r="BL1544" s="48" t="str">
        <f aca="false">IF(BC1544&lt;=0,"",IF(CF1544="Aussen","Aussenlager",IF(CF1544="-","Nicht im Lift",IF(BI1544&gt;=1,"Lift",IF(BI1544&lt;=0,"Aussenlager","teilweise")))))</f>
        <v>Lift</v>
      </c>
      <c r="BM1544" s="48" t="str">
        <f aca="false">IF(A1544="","",IF(BV1544=1,"Neu; ","")&amp;IF(AND(BV1544=0,BQ1544&lt;0),"negativer Bestand (Export "&amp;BQ1544&amp;"); ","")&amp;IF(J1544&lt;=0,"Kein Verbrauch; ","")&amp;IF(CQ1544&gt;0,"Lift "&amp;W1544&amp;" lt. Liftbericht (Fach "&amp;X1544&amp;" Stk); ",IF(CA1544=1,"Gebinde geschätzt ("&amp;T1544&amp;"); ",IF(BZ1544=1,"Lose – Tablare geschätzt; ","")))&amp;IF(H1544&gt;AV1544,"Überbestand "&amp;ROUND(H1544-AV1544,0)&amp;" Stk / CHF "&amp;ROUND((H1544-AV1544)*G1544,0)&amp;"; ","")&amp;IF(AND(CH1544=1,CI1544&lt;CJ1544),"MAX &lt; MB+LG; ","")&amp;IF(AND(CP1544&gt;0,CO1544*10&gt;CP1544),"zu hoch für Tablar; ","")&amp;IF(AND(BV1544=0,OR(CH1544=1,AA1544&lt;&gt;"",U1544&lt;&gt;"",V1544&lt;&gt;"",AB1544&lt;&gt;"")),"manuell übersteuert; ","")&amp;IF(AND(BZ1544=0,R1544=0),"Gebinde unbekannt / Stellmass fehlt; ","")&amp;IF(AND(BZ1544=0,N(V1544)&lt;=0,N(Q1544)&lt;=0),"Menge pro Gebinde fehlt (Ist = 1 Gebinde); ","")&amp;BU1544)</f>
        <v>Kein Verbrauch; Überbestand 4 Stk / CHF 16; nur im Artikelstamm (Bestand 23.06.2026); Neu</v>
      </c>
      <c r="BN1544" s="48"/>
      <c r="BO1544" s="48"/>
      <c r="BP1544" s="55"/>
      <c r="BQ1544" s="50" t="n">
        <v>14</v>
      </c>
      <c r="BR1544" s="50" t="n">
        <v>0</v>
      </c>
      <c r="BS1544" s="49" t="n">
        <v>0</v>
      </c>
      <c r="BT1544" s="50" t="n">
        <v>0</v>
      </c>
      <c r="BU1544" s="48" t="s">
        <v>2676</v>
      </c>
      <c r="BV1544" s="53" t="n">
        <v>0</v>
      </c>
      <c r="BW1544" s="53" t="n">
        <v>1544</v>
      </c>
      <c r="BX1544" s="48" t="str">
        <f aca="false">IF(U1544&lt;&gt;"",UPPER(TRIM(U1544)),IF(CA1544=1,UPPER(VLOOKUP(T1544,Parameter!$I$27:$K$29,2,0)),IF(P1544="","LOSE",P1544)))</f>
        <v>S22</v>
      </c>
      <c r="BY1544" s="50" t="n">
        <f aca="false">IF(BX1544="LOSE",1,IF(N(V1544)&gt;0,V1544,IF(CA1544=1,MAX(1,N(VLOOKUP(T1544,Parameter!$I$27:$K$29,3,0)),H1544,N(N1544)),IF(N(Q1544)&gt;0,Q1544,MAX(1,H1544)))))</f>
        <v>14</v>
      </c>
      <c r="BZ1544" s="53" t="n">
        <f aca="false">IF(BX1544="LOSE",1,0)</f>
        <v>0</v>
      </c>
      <c r="CA1544" s="53" t="n">
        <f aca="false">IF(AND(U1544="",OR(P1544="",P1544="LOSE"),T1544&lt;&gt;"",N(S1544)&lt;=0,ISNUMBER(MATCH(T1544,Parameter!$I$27:$I$29,0))),1,0)</f>
        <v>0</v>
      </c>
      <c r="CB1544" s="53" t="n">
        <f aca="false">IF(CQ1544&gt;0,INDEX(Parameter!$H$5:$H$7,W1544)/INDEX(Parameter!$E$5:$E$7,W1544),IF(AND(BZ1544=0,N(IFERROR(VLOOKUP(BX1544,'Gebinde-Kategorie'!$A$5:$N$45,14,0),0))&gt;0),VLOOKUP(BX1544,'Gebinde-Kategorie'!$A$5:$N$45,14,0)*10+Parameter!$M$23,Parameter!$M$24))</f>
        <v>155</v>
      </c>
      <c r="CC1544" s="48" t="str">
        <f aca="false">IF(AND(Parameter!$B$19="Ja",E1544&lt;&gt;"",ISNUMBER(MATCH(E1544,Parameter!$I$35:$I$52,0))),VLOOKUP(E1544,Parameter!$I$35:$J$52,2,0),IFERROR(VLOOKUP(D1544,Parameter!$A$35:$C$64,2,0),"Nein"))</f>
        <v>2+3</v>
      </c>
      <c r="CD1544" s="52" t="n">
        <f aca="false">IF(BZ1544=0,0,IF(N(S1544)&gt;0,S1544,IFERROR(VLOOKUP(D1544,Parameter!$A$35:$C$64,3,0)+0,0)))</f>
        <v>0</v>
      </c>
      <c r="CE1544" s="48" t="n">
        <f aca="false">IF(AA1544&lt;&gt;"",AA1544,Z1544)</f>
        <v>3</v>
      </c>
      <c r="CF1544" s="48" t="str">
        <f aca="false">IF(OR(CE1544=1,CE1544=2,CE1544=3),IF(Parameter!$E$27="Ja","LIFT",IF(CE1544=1,"L1","L23")),IF(CE1544="Aussen","Aussen","-"))</f>
        <v>LIFT</v>
      </c>
      <c r="CG1544" s="59" t="n">
        <f aca="false">IF(N(AB1544)&gt;0,AB1544,0)</f>
        <v>0</v>
      </c>
      <c r="CH1544" s="53" t="n">
        <f aca="false">IF(ISNUMBER(AE1544),1,0)</f>
        <v>0</v>
      </c>
      <c r="CI1544" s="50" t="n">
        <f aca="false">N(AE1544)</f>
        <v>0</v>
      </c>
      <c r="CJ1544" s="50" t="n">
        <f aca="false">N(M1544)+N(N1544)</f>
        <v>10</v>
      </c>
      <c r="CK1544" s="50" t="n">
        <f aca="false">N(M1544)</f>
        <v>0</v>
      </c>
      <c r="CL1544" s="50" t="n">
        <f aca="false">N(N1544)</f>
        <v>10</v>
      </c>
      <c r="CM1544" s="50" t="n">
        <f aca="false">ROUNDUP(H1544/BY1544,0)</f>
        <v>1</v>
      </c>
      <c r="CN1544" s="50" t="n">
        <f aca="false">ROUNDUP(CI1544/BY1544,0)</f>
        <v>0</v>
      </c>
      <c r="CO1544" s="53" t="n">
        <f aca="false">IF(BZ1544=1,0,IFERROR(VLOOKUP(BX1544,'Gebinde-Kategorie'!$A$5:$N$45,5,0)+0,0))</f>
        <v>8</v>
      </c>
      <c r="CP1544" s="53" t="n">
        <f aca="false">IFERROR(IF(OR(CE1544=1,CE1544=2,CE1544=3),N(INDEX(Parameter!$I$5:$I$7,CE1544)),0),0)</f>
        <v>0</v>
      </c>
      <c r="CQ1544" s="52" t="n">
        <f aca="false">IF(AND(Parameter!$B$21="Ja",ISNUMBER(W1544),N(X1544)&gt;0),IFERROR(N(INDEX(Parameter!$L$5:$L$7,W1544))*INDEX(Parameter!$E$5:$E$7,W1544)*X1544/SUMIFS($X$7:$X$1843,$W$7:$W$1843,W1544),0),0)</f>
        <v>0</v>
      </c>
    </row>
    <row r="1545" customFormat="false" ht="15" hidden="false" customHeight="false" outlineLevel="0" collapsed="false">
      <c r="A1545" s="48" t="s">
        <v>2710</v>
      </c>
      <c r="B1545" s="48" t="s">
        <v>2711</v>
      </c>
      <c r="C1545" s="48" t="s">
        <v>173</v>
      </c>
      <c r="D1545" s="48" t="s">
        <v>193</v>
      </c>
      <c r="E1545" s="48" t="s">
        <v>194</v>
      </c>
      <c r="F1545" s="48"/>
      <c r="G1545" s="49" t="n">
        <v>17.15</v>
      </c>
      <c r="H1545" s="50" t="n">
        <f aca="false">MAX(0,IF(AND(Parameter!$B$21="Ja",ISNUMBER(Y1545)),Y1545,IF(Parameter!$B$20="Jahresanfang 2025 + Export",BR1545+BQ1545,BQ1545)))</f>
        <v>29</v>
      </c>
      <c r="I1545" s="50" t="n">
        <f aca="false">H1545*G1545</f>
        <v>497.35</v>
      </c>
      <c r="J1545" s="50" t="n">
        <f aca="false">BT1545*Parameter!$B$18</f>
        <v>0</v>
      </c>
      <c r="K1545" s="51"/>
      <c r="L1545" s="52"/>
      <c r="M1545" s="50" t="n">
        <v>2</v>
      </c>
      <c r="N1545" s="50" t="n">
        <v>10</v>
      </c>
      <c r="O1545" s="53" t="n">
        <v>28</v>
      </c>
      <c r="P1545" s="48" t="s">
        <v>430</v>
      </c>
      <c r="Q1545" s="50" t="n">
        <v>29</v>
      </c>
      <c r="R1545" s="53" t="n">
        <f aca="false">IF(BZ1545=1,0,IFERROR(VLOOKUP(BX1545,'Gebinde-Kategorie'!$A$5:$N$45,13,0)+0,0))</f>
        <v>104</v>
      </c>
      <c r="S1545" s="54"/>
      <c r="T1545" s="55"/>
      <c r="U1545" s="55"/>
      <c r="V1545" s="55"/>
      <c r="W1545" s="48"/>
      <c r="X1545" s="50"/>
      <c r="Y1545" s="50"/>
      <c r="Z1545" s="48" t="n">
        <f aca="false">IF(A1545="","",IF(AND(Parameter!$B$21="Ja",ISNUMBER(W1545)),W1545,IF(CC1545="2+3",IF(ISNUMBER(SEARCH("grosser Artikel",BU1545)),2,IFERROR(VLOOKUP(BX1545,Parameter!$F$35:$G$64,2,0),2)),IF(OR(CC1545="Nein",CC1545=""),"-",CC1545))))</f>
        <v>3</v>
      </c>
      <c r="AA1545" s="55"/>
      <c r="AB1545" s="56"/>
      <c r="AC1545" s="50" t="n">
        <f aca="false">AV1545</f>
        <v>12</v>
      </c>
      <c r="AD1545" s="50" t="n">
        <f aca="false">MAX(AV1545,H1545)</f>
        <v>29</v>
      </c>
      <c r="AE1545" s="57"/>
      <c r="AF1545" s="50" t="n">
        <f aca="false">IF(LEFT(Cockpit!$C$5,1)="A",H1545,IF(Parameter!$E$30="MAX-Bestand",IF(CH1545=1,CI1545,IF(LEFT(Cockpit!$C$5,1)="B",AL1545,MAX(AL1545,H1545))),ROUNDUP(AJ1545,0)))</f>
        <v>29</v>
      </c>
      <c r="AG1545" s="50" t="n">
        <f aca="false">IF(BZ1545=1,0,ROUNDUP(AF1545/BY1545,0))</f>
        <v>1</v>
      </c>
      <c r="AH1545" s="52" t="n">
        <f aca="false">IF(CQ1545&gt;0,CQ1545*MAX(1,AF1545/X1545),IF(BZ1545=1,IF(AF1545&lt;=0,0,CD1545*MAX(1,IF(H1545&gt;0,AF1545/H1545,1))),IF(R1545&gt;0,AG1545/R1545,0))/MAX(0.1,N(Parameter!$M$21)))</f>
        <v>0.00961538461538462</v>
      </c>
      <c r="AI1545" s="50" t="n">
        <f aca="false">AH1545*CB1545</f>
        <v>1.49038461538462</v>
      </c>
      <c r="AJ1545" s="51" t="n">
        <f aca="false">IF(LEFT(Cockpit!$C$5,1)="A",H1545,IF(CH1545=1,(CK1545+CI1545)/2,IF(LEFT(Cockpit!$C$5,1)="B",(CK1545+AL1545)/2,MAX((CK1545+AL1545)/2,H1545))))</f>
        <v>29</v>
      </c>
      <c r="AK1545" s="50" t="n">
        <f aca="false">AJ1545*G1545</f>
        <v>497.35</v>
      </c>
      <c r="AL1545" s="50" t="n">
        <f aca="false">ROUNDUP(CK1545+MAX(CL1545,2*(J1545/IF(CG1545&gt;0,CG1545,MAX(0.1,N(Cockpit!$C$6)))-CK1545)),0)</f>
        <v>12</v>
      </c>
      <c r="AM1545" s="51" t="n">
        <f aca="false">IF(AI1545&gt;0,J1545/AI1545,-1)</f>
        <v>0</v>
      </c>
      <c r="AN1545" s="51" t="n">
        <f aca="false">IF(AND(OR(CF1545="L1",CF1545="L23",CF1545="LIFT"),AI1545&gt;0),SUMIFS($AI$7:$AI$1843,$CF$7:$CF$1843,CF1545,$AM$7:$AM$1843,"&gt;"&amp;AM1545)+SUMIFS($AI$7:$AI$1843,$CF$7:$CF$1843,CF1545,$AM$7:$AM$1843,AM1545,$BW$7:$BW$1843,"&lt;="&amp;BW1545),"")</f>
        <v>30140.4522360878</v>
      </c>
      <c r="AO1545" s="58" t="n">
        <f aca="false">IF(AN1545="",0,MAX(0,MIN(1,(IF(CF1545="L1",Parameter!$H$5,IF(CF1545="L23",Parameter!$H$6+Parameter!$H$7,Parameter!$H$5+Parameter!$H$6+Parameter!$H$7))-(AN1545-AI1545))/AI1545)))</f>
        <v>1</v>
      </c>
      <c r="AP1545" s="50" t="n">
        <f aca="false">IF(LEFT(Cockpit!$I$5,1)="A",H1545,IF(Parameter!$E$30="MAX-Bestand",IF(CH1545=1,CI1545,IF(LEFT(Cockpit!$I$5,1)="B",AV1545,MAX(AV1545,H1545))),ROUNDUP(AT1545,0)))</f>
        <v>29</v>
      </c>
      <c r="AQ1545" s="50" t="n">
        <f aca="false">IF(BZ1545=1,0,ROUNDUP(AP1545/BY1545,0))</f>
        <v>1</v>
      </c>
      <c r="AR1545" s="52" t="n">
        <f aca="false">IF(CQ1545&gt;0,CQ1545*MAX(1,AP1545/X1545),IF(BZ1545=1,IF(AP1545&lt;=0,0,CD1545*MAX(1,IF(H1545&gt;0,AP1545/H1545,1))),IF(R1545&gt;0,AQ1545/R1545,0))/MAX(0.1,N(Parameter!$M$21)))</f>
        <v>0.00961538461538462</v>
      </c>
      <c r="AS1545" s="50" t="n">
        <f aca="false">AR1545*CB1545</f>
        <v>1.49038461538462</v>
      </c>
      <c r="AT1545" s="51" t="n">
        <f aca="false">IF(LEFT(Cockpit!$I$5,1)="A",H1545,IF(CH1545=1,(CK1545+CI1545)/2,IF(LEFT(Cockpit!$I$5,1)="B",(CK1545+AV1545)/2,MAX((CK1545+AV1545)/2,H1545))))</f>
        <v>29</v>
      </c>
      <c r="AU1545" s="50" t="n">
        <f aca="false">AT1545*G1545</f>
        <v>497.35</v>
      </c>
      <c r="AV1545" s="50" t="n">
        <f aca="false">ROUNDUP(CK1545+MAX(CL1545,2*(J1545/IF(CG1545&gt;0,CG1545,MAX(0.1,N(Cockpit!$I$6)))-CK1545)),0)</f>
        <v>12</v>
      </c>
      <c r="AW1545" s="51" t="n">
        <f aca="false">IF(AS1545&gt;0,J1545/AS1545,-1)</f>
        <v>0</v>
      </c>
      <c r="AX1545" s="51" t="n">
        <f aca="false">IF(AND(OR(CF1545="L1",CF1545="L23",CF1545="LIFT"),AS1545&gt;0),SUMIFS($AS$7:$AS$1843,$CF$7:$CF$1843,CF1545,$AW$7:$AW$1843,"&gt;"&amp;AW1545)+SUMIFS($AS$7:$AS$1843,$CF$7:$CF$1843,CF1545,$AW$7:$AW$1843,AW1545,$BW$7:$BW$1843,"&lt;="&amp;BW1545),"")</f>
        <v>36460.3087529232</v>
      </c>
      <c r="AY1545" s="58" t="n">
        <f aca="false">IF(AX1545="",0,MAX(0,MIN(1,(IF(CF1545="L1",Parameter!$H$5,IF(CF1545="L23",Parameter!$H$6+Parameter!$H$7,Parameter!$H$5+Parameter!$H$6+Parameter!$H$7))-(AX1545-AS1545))/AS1545)))</f>
        <v>0</v>
      </c>
      <c r="AZ1545" s="50" t="n">
        <f aca="false">IF(LEFT(Cockpit!$O$5,1)="A",H1545,IF(Parameter!$E$30="MAX-Bestand",IF(CH1545=1,CI1545,IF(LEFT(Cockpit!$O$5,1)="B",BF1545,MAX(BF1545,H1545))),ROUNDUP(BD1545,0)))</f>
        <v>7</v>
      </c>
      <c r="BA1545" s="50" t="n">
        <f aca="false">IF(BZ1545=1,0,ROUNDUP(AZ1545/BY1545,0))</f>
        <v>1</v>
      </c>
      <c r="BB1545" s="52" t="n">
        <f aca="false">IF(CQ1545&gt;0,CQ1545*MAX(1,AZ1545/X1545),IF(BZ1545=1,IF(AZ1545&lt;=0,0,CD1545*MAX(1,IF(H1545&gt;0,AZ1545/H1545,1))),IF(R1545&gt;0,BA1545/R1545,0))/MAX(0.1,N(Parameter!$M$21)))</f>
        <v>0.00961538461538462</v>
      </c>
      <c r="BC1545" s="50" t="n">
        <f aca="false">BB1545*CB1545</f>
        <v>1.49038461538462</v>
      </c>
      <c r="BD1545" s="51" t="n">
        <f aca="false">IF(LEFT(Cockpit!$O$5,1)="A",H1545,IF(CH1545=1,(CK1545+CI1545)/2,IF(LEFT(Cockpit!$O$5,1)="B",(CK1545+BF1545)/2,MAX((CK1545+BF1545)/2,H1545))))</f>
        <v>7</v>
      </c>
      <c r="BE1545" s="50" t="n">
        <f aca="false">BD1545*G1545</f>
        <v>120.05</v>
      </c>
      <c r="BF1545" s="50" t="n">
        <f aca="false">ROUNDUP(CK1545+MAX(CL1545,2*(J1545/IF(CG1545&gt;0,CG1545,MAX(0.1,N(Cockpit!$O$6)))-CK1545)),0)</f>
        <v>12</v>
      </c>
      <c r="BG1545" s="51" t="n">
        <f aca="false">IF(BC1545&gt;0,J1545/BC1545,-1)</f>
        <v>0</v>
      </c>
      <c r="BH1545" s="51" t="n">
        <f aca="false">IF(AND(OR(CF1545="L1",CF1545="L23",CF1545="LIFT"),BC1545&gt;0),SUMIFS($BC$7:$BC$1843,$CF$7:$CF$1843,CF1545,$BG$7:$BG$1843,"&gt;"&amp;BG1545)+SUMIFS($BC$7:$BC$1843,$CF$7:$CF$1843,CF1545,$BG$7:$BG$1843,BG1545,$BW$7:$BW$1843,"&lt;="&amp;BW1545),"")</f>
        <v>30398.5000284555</v>
      </c>
      <c r="BI1545" s="58" t="n">
        <f aca="false">IF(BH1545="",0,MAX(0,MIN(1,(IF(CF1545="L1",Parameter!$H$5,IF(CF1545="L23",Parameter!$H$6+Parameter!$H$7,Parameter!$H$5+Parameter!$H$6+Parameter!$H$7))-(BH1545-BC1545))/BC1545)))</f>
        <v>1</v>
      </c>
      <c r="BJ1545" s="48" t="str">
        <f aca="false">IF(AI1545&lt;=0,"",IF(CF1545="Aussen","Aussenlager",IF(CF1545="-","Nicht im Lift",IF(AO1545&gt;=1,"Lift",IF(AO1545&lt;=0,"Aussenlager","teilweise")))))</f>
        <v>Lift</v>
      </c>
      <c r="BK1545" s="48" t="str">
        <f aca="false">IF(AS1545&lt;=0,"",IF(CF1545="Aussen","Aussenlager",IF(CF1545="-","Nicht im Lift",IF(AY1545&gt;=1,"Lift",IF(AY1545&lt;=0,"Aussenlager","teilweise")))))</f>
        <v>Aussenlager</v>
      </c>
      <c r="BL1545" s="48" t="str">
        <f aca="false">IF(BC1545&lt;=0,"",IF(CF1545="Aussen","Aussenlager",IF(CF1545="-","Nicht im Lift",IF(BI1545&gt;=1,"Lift",IF(BI1545&lt;=0,"Aussenlager","teilweise")))))</f>
        <v>Lift</v>
      </c>
      <c r="BM1545" s="48" t="str">
        <f aca="false">IF(A1545="","",IF(BV1545=1,"Neu; ","")&amp;IF(AND(BV1545=0,BQ1545&lt;0),"negativer Bestand (Export "&amp;BQ1545&amp;"); ","")&amp;IF(J1545&lt;=0,"Kein Verbrauch; ","")&amp;IF(CQ1545&gt;0,"Lift "&amp;W1545&amp;" lt. Liftbericht (Fach "&amp;X1545&amp;" Stk); ",IF(CA1545=1,"Gebinde geschätzt ("&amp;T1545&amp;"); ",IF(BZ1545=1,"Lose – Tablare geschätzt; ","")))&amp;IF(H1545&gt;AV1545,"Überbestand "&amp;ROUND(H1545-AV1545,0)&amp;" Stk / CHF "&amp;ROUND((H1545-AV1545)*G1545,0)&amp;"; ","")&amp;IF(AND(CH1545=1,CI1545&lt;CJ1545),"MAX &lt; MB+LG; ","")&amp;IF(AND(CP1545&gt;0,CO1545*10&gt;CP1545),"zu hoch für Tablar; ","")&amp;IF(AND(BV1545=0,OR(CH1545=1,AA1545&lt;&gt;"",U1545&lt;&gt;"",V1545&lt;&gt;"",AB1545&lt;&gt;"")),"manuell übersteuert; ","")&amp;IF(AND(BZ1545=0,R1545=0),"Gebinde unbekannt / Stellmass fehlt; ","")&amp;IF(AND(BZ1545=0,N(V1545)&lt;=0,N(Q1545)&lt;=0),"Menge pro Gebinde fehlt (Ist = 1 Gebinde); ","")&amp;BU1545)</f>
        <v>Kein Verbrauch; Überbestand 17 Stk / CHF 292; nur im Artikelstamm (Bestand 23.06.2026); Neu</v>
      </c>
      <c r="BN1545" s="48"/>
      <c r="BO1545" s="48"/>
      <c r="BP1545" s="55"/>
      <c r="BQ1545" s="50" t="n">
        <v>29</v>
      </c>
      <c r="BR1545" s="50" t="n">
        <v>0</v>
      </c>
      <c r="BS1545" s="49" t="n">
        <v>0</v>
      </c>
      <c r="BT1545" s="50" t="n">
        <v>0</v>
      </c>
      <c r="BU1545" s="48" t="s">
        <v>2676</v>
      </c>
      <c r="BV1545" s="53" t="n">
        <v>0</v>
      </c>
      <c r="BW1545" s="53" t="n">
        <v>1545</v>
      </c>
      <c r="BX1545" s="48" t="str">
        <f aca="false">IF(U1545&lt;&gt;"",UPPER(TRIM(U1545)),IF(CA1545=1,UPPER(VLOOKUP(T1545,Parameter!$I$27:$K$29,2,0)),IF(P1545="","LOSE",P1545)))</f>
        <v>S32</v>
      </c>
      <c r="BY1545" s="50" t="n">
        <f aca="false">IF(BX1545="LOSE",1,IF(N(V1545)&gt;0,V1545,IF(CA1545=1,MAX(1,N(VLOOKUP(T1545,Parameter!$I$27:$K$29,3,0)),H1545,N(N1545)),IF(N(Q1545)&gt;0,Q1545,MAX(1,H1545)))))</f>
        <v>29</v>
      </c>
      <c r="BZ1545" s="53" t="n">
        <f aca="false">IF(BX1545="LOSE",1,0)</f>
        <v>0</v>
      </c>
      <c r="CA1545" s="53" t="n">
        <f aca="false">IF(AND(U1545="",OR(P1545="",P1545="LOSE"),T1545&lt;&gt;"",N(S1545)&lt;=0,ISNUMBER(MATCH(T1545,Parameter!$I$27:$I$29,0))),1,0)</f>
        <v>0</v>
      </c>
      <c r="CB1545" s="53" t="n">
        <f aca="false">IF(CQ1545&gt;0,INDEX(Parameter!$H$5:$H$7,W1545)/INDEX(Parameter!$E$5:$E$7,W1545),IF(AND(BZ1545=0,N(IFERROR(VLOOKUP(BX1545,'Gebinde-Kategorie'!$A$5:$N$45,14,0),0))&gt;0),VLOOKUP(BX1545,'Gebinde-Kategorie'!$A$5:$N$45,14,0)*10+Parameter!$M$23,Parameter!$M$24))</f>
        <v>155</v>
      </c>
      <c r="CC1545" s="48" t="str">
        <f aca="false">IF(AND(Parameter!$B$19="Ja",E1545&lt;&gt;"",ISNUMBER(MATCH(E1545,Parameter!$I$35:$I$52,0))),VLOOKUP(E1545,Parameter!$I$35:$J$52,2,0),IFERROR(VLOOKUP(D1545,Parameter!$A$35:$C$64,2,0),"Nein"))</f>
        <v>2+3</v>
      </c>
      <c r="CD1545" s="52" t="n">
        <f aca="false">IF(BZ1545=0,0,IF(N(S1545)&gt;0,S1545,IFERROR(VLOOKUP(D1545,Parameter!$A$35:$C$64,3,0)+0,0)))</f>
        <v>0</v>
      </c>
      <c r="CE1545" s="48" t="n">
        <f aca="false">IF(AA1545&lt;&gt;"",AA1545,Z1545)</f>
        <v>3</v>
      </c>
      <c r="CF1545" s="48" t="str">
        <f aca="false">IF(OR(CE1545=1,CE1545=2,CE1545=3),IF(Parameter!$E$27="Ja","LIFT",IF(CE1545=1,"L1","L23")),IF(CE1545="Aussen","Aussen","-"))</f>
        <v>LIFT</v>
      </c>
      <c r="CG1545" s="59" t="n">
        <f aca="false">IF(N(AB1545)&gt;0,AB1545,0)</f>
        <v>0</v>
      </c>
      <c r="CH1545" s="53" t="n">
        <f aca="false">IF(ISNUMBER(AE1545),1,0)</f>
        <v>0</v>
      </c>
      <c r="CI1545" s="50" t="n">
        <f aca="false">N(AE1545)</f>
        <v>0</v>
      </c>
      <c r="CJ1545" s="50" t="n">
        <f aca="false">N(M1545)+N(N1545)</f>
        <v>12</v>
      </c>
      <c r="CK1545" s="50" t="n">
        <f aca="false">N(M1545)</f>
        <v>2</v>
      </c>
      <c r="CL1545" s="50" t="n">
        <f aca="false">N(N1545)</f>
        <v>10</v>
      </c>
      <c r="CM1545" s="50" t="n">
        <f aca="false">ROUNDUP(H1545/BY1545,0)</f>
        <v>1</v>
      </c>
      <c r="CN1545" s="50" t="n">
        <f aca="false">ROUNDUP(CI1545/BY1545,0)</f>
        <v>0</v>
      </c>
      <c r="CO1545" s="53" t="n">
        <f aca="false">IF(BZ1545=1,0,IFERROR(VLOOKUP(BX1545,'Gebinde-Kategorie'!$A$5:$N$45,5,0)+0,0))</f>
        <v>8</v>
      </c>
      <c r="CP1545" s="53" t="n">
        <f aca="false">IFERROR(IF(OR(CE1545=1,CE1545=2,CE1545=3),N(INDEX(Parameter!$I$5:$I$7,CE1545)),0),0)</f>
        <v>0</v>
      </c>
      <c r="CQ1545" s="52" t="n">
        <f aca="false">IF(AND(Parameter!$B$21="Ja",ISNUMBER(W1545),N(X1545)&gt;0),IFERROR(N(INDEX(Parameter!$L$5:$L$7,W1545))*INDEX(Parameter!$E$5:$E$7,W1545)*X1545/SUMIFS($X$7:$X$1843,$W$7:$W$1843,W1545),0),0)</f>
        <v>0</v>
      </c>
    </row>
    <row r="1546" customFormat="false" ht="15" hidden="false" customHeight="false" outlineLevel="0" collapsed="false">
      <c r="A1546" s="48" t="s">
        <v>2712</v>
      </c>
      <c r="B1546" s="48" t="s">
        <v>1829</v>
      </c>
      <c r="C1546" s="48" t="s">
        <v>173</v>
      </c>
      <c r="D1546" s="48" t="s">
        <v>193</v>
      </c>
      <c r="E1546" s="48" t="s">
        <v>194</v>
      </c>
      <c r="F1546" s="48"/>
      <c r="G1546" s="49" t="n">
        <v>72.87</v>
      </c>
      <c r="H1546" s="50" t="n">
        <f aca="false">MAX(0,IF(AND(Parameter!$B$21="Ja",ISNUMBER(Y1546)),Y1546,IF(Parameter!$B$20="Jahresanfang 2025 + Export",BR1546+BQ1546,BQ1546)))</f>
        <v>76</v>
      </c>
      <c r="I1546" s="50" t="n">
        <f aca="false">H1546*G1546</f>
        <v>5538.12</v>
      </c>
      <c r="J1546" s="50" t="n">
        <f aca="false">BT1546*Parameter!$B$18</f>
        <v>0</v>
      </c>
      <c r="K1546" s="51"/>
      <c r="L1546" s="52"/>
      <c r="M1546" s="50" t="n">
        <v>0</v>
      </c>
      <c r="N1546" s="50" t="n">
        <v>40</v>
      </c>
      <c r="O1546" s="53" t="n">
        <v>308</v>
      </c>
      <c r="P1546" s="48" t="s">
        <v>311</v>
      </c>
      <c r="Q1546" s="50" t="n">
        <v>76</v>
      </c>
      <c r="R1546" s="53" t="n">
        <f aca="false">IF(BZ1546=1,0,IFERROR(VLOOKUP(BX1546,'Gebinde-Kategorie'!$A$5:$N$45,13,0)+0,0))</f>
        <v>26</v>
      </c>
      <c r="S1546" s="54"/>
      <c r="T1546" s="55"/>
      <c r="U1546" s="55"/>
      <c r="V1546" s="55"/>
      <c r="W1546" s="48"/>
      <c r="X1546" s="50"/>
      <c r="Y1546" s="50"/>
      <c r="Z1546" s="48" t="n">
        <f aca="false">IF(A1546="","",IF(AND(Parameter!$B$21="Ja",ISNUMBER(W1546)),W1546,IF(CC1546="2+3",IF(ISNUMBER(SEARCH("grosser Artikel",BU1546)),2,IFERROR(VLOOKUP(BX1546,Parameter!$F$35:$G$64,2,0),2)),IF(OR(CC1546="Nein",CC1546=""),"-",CC1546))))</f>
        <v>3</v>
      </c>
      <c r="AA1546" s="55"/>
      <c r="AB1546" s="56"/>
      <c r="AC1546" s="50" t="n">
        <f aca="false">AV1546</f>
        <v>40</v>
      </c>
      <c r="AD1546" s="50" t="n">
        <f aca="false">MAX(AV1546,H1546)</f>
        <v>76</v>
      </c>
      <c r="AE1546" s="57"/>
      <c r="AF1546" s="50" t="n">
        <f aca="false">IF(LEFT(Cockpit!$C$5,1)="A",H1546,IF(Parameter!$E$30="MAX-Bestand",IF(CH1546=1,CI1546,IF(LEFT(Cockpit!$C$5,1)="B",AL1546,MAX(AL1546,H1546))),ROUNDUP(AJ1546,0)))</f>
        <v>76</v>
      </c>
      <c r="AG1546" s="50" t="n">
        <f aca="false">IF(BZ1546=1,0,ROUNDUP(AF1546/BY1546,0))</f>
        <v>1</v>
      </c>
      <c r="AH1546" s="52" t="n">
        <f aca="false">IF(CQ1546&gt;0,CQ1546*MAX(1,AF1546/X1546),IF(BZ1546=1,IF(AF1546&lt;=0,0,CD1546*MAX(1,IF(H1546&gt;0,AF1546/H1546,1))),IF(R1546&gt;0,AG1546/R1546,0))/MAX(0.1,N(Parameter!$M$21)))</f>
        <v>0.0384615384615385</v>
      </c>
      <c r="AI1546" s="50" t="n">
        <f aca="false">AH1546*CB1546</f>
        <v>5.96153846153846</v>
      </c>
      <c r="AJ1546" s="51" t="n">
        <f aca="false">IF(LEFT(Cockpit!$C$5,1)="A",H1546,IF(CH1546=1,(CK1546+CI1546)/2,IF(LEFT(Cockpit!$C$5,1)="B",(CK1546+AL1546)/2,MAX((CK1546+AL1546)/2,H1546))))</f>
        <v>76</v>
      </c>
      <c r="AK1546" s="50" t="n">
        <f aca="false">AJ1546*G1546</f>
        <v>5538.12</v>
      </c>
      <c r="AL1546" s="50" t="n">
        <f aca="false">ROUNDUP(CK1546+MAX(CL1546,2*(J1546/IF(CG1546&gt;0,CG1546,MAX(0.1,N(Cockpit!$C$6)))-CK1546)),0)</f>
        <v>40</v>
      </c>
      <c r="AM1546" s="51" t="n">
        <f aca="false">IF(AI1546&gt;0,J1546/AI1546,-1)</f>
        <v>0</v>
      </c>
      <c r="AN1546" s="51" t="n">
        <f aca="false">IF(AND(OR(CF1546="L1",CF1546="L23",CF1546="LIFT"),AI1546&gt;0),SUMIFS($AI$7:$AI$1843,$CF$7:$CF$1843,CF1546,$AM$7:$AM$1843,"&gt;"&amp;AM1546)+SUMIFS($AI$7:$AI$1843,$CF$7:$CF$1843,CF1546,$AM$7:$AM$1843,AM1546,$BW$7:$BW$1843,"&lt;="&amp;BW1546),"")</f>
        <v>30146.4137745494</v>
      </c>
      <c r="AO1546" s="58" t="n">
        <f aca="false">IF(AN1546="",0,MAX(0,MIN(1,(IF(CF1546="L1",Parameter!$H$5,IF(CF1546="L23",Parameter!$H$6+Parameter!$H$7,Parameter!$H$5+Parameter!$H$6+Parameter!$H$7))-(AN1546-AI1546))/AI1546)))</f>
        <v>1</v>
      </c>
      <c r="AP1546" s="50" t="n">
        <f aca="false">IF(LEFT(Cockpit!$I$5,1)="A",H1546,IF(Parameter!$E$30="MAX-Bestand",IF(CH1546=1,CI1546,IF(LEFT(Cockpit!$I$5,1)="B",AV1546,MAX(AV1546,H1546))),ROUNDUP(AT1546,0)))</f>
        <v>76</v>
      </c>
      <c r="AQ1546" s="50" t="n">
        <f aca="false">IF(BZ1546=1,0,ROUNDUP(AP1546/BY1546,0))</f>
        <v>1</v>
      </c>
      <c r="AR1546" s="52" t="n">
        <f aca="false">IF(CQ1546&gt;0,CQ1546*MAX(1,AP1546/X1546),IF(BZ1546=1,IF(AP1546&lt;=0,0,CD1546*MAX(1,IF(H1546&gt;0,AP1546/H1546,1))),IF(R1546&gt;0,AQ1546/R1546,0))/MAX(0.1,N(Parameter!$M$21)))</f>
        <v>0.0384615384615385</v>
      </c>
      <c r="AS1546" s="50" t="n">
        <f aca="false">AR1546*CB1546</f>
        <v>5.96153846153846</v>
      </c>
      <c r="AT1546" s="51" t="n">
        <f aca="false">IF(LEFT(Cockpit!$I$5,1)="A",H1546,IF(CH1546=1,(CK1546+CI1546)/2,IF(LEFT(Cockpit!$I$5,1)="B",(CK1546+AV1546)/2,MAX((CK1546+AV1546)/2,H1546))))</f>
        <v>76</v>
      </c>
      <c r="AU1546" s="50" t="n">
        <f aca="false">AT1546*G1546</f>
        <v>5538.12</v>
      </c>
      <c r="AV1546" s="50" t="n">
        <f aca="false">ROUNDUP(CK1546+MAX(CL1546,2*(J1546/IF(CG1546&gt;0,CG1546,MAX(0.1,N(Cockpit!$I$6)))-CK1546)),0)</f>
        <v>40</v>
      </c>
      <c r="AW1546" s="51" t="n">
        <f aca="false">IF(AS1546&gt;0,J1546/AS1546,-1)</f>
        <v>0</v>
      </c>
      <c r="AX1546" s="51" t="n">
        <f aca="false">IF(AND(OR(CF1546="L1",CF1546="L23",CF1546="LIFT"),AS1546&gt;0),SUMIFS($AS$7:$AS$1843,$CF$7:$CF$1843,CF1546,$AW$7:$AW$1843,"&gt;"&amp;AW1546)+SUMIFS($AS$7:$AS$1843,$CF$7:$CF$1843,CF1546,$AW$7:$AW$1843,AW1546,$BW$7:$BW$1843,"&lt;="&amp;BW1546),"")</f>
        <v>36466.2702913847</v>
      </c>
      <c r="AY1546" s="58" t="n">
        <f aca="false">IF(AX1546="",0,MAX(0,MIN(1,(IF(CF1546="L1",Parameter!$H$5,IF(CF1546="L23",Parameter!$H$6+Parameter!$H$7,Parameter!$H$5+Parameter!$H$6+Parameter!$H$7))-(AX1546-AS1546))/AS1546)))</f>
        <v>0</v>
      </c>
      <c r="AZ1546" s="50" t="n">
        <f aca="false">IF(LEFT(Cockpit!$O$5,1)="A",H1546,IF(Parameter!$E$30="MAX-Bestand",IF(CH1546=1,CI1546,IF(LEFT(Cockpit!$O$5,1)="B",BF1546,MAX(BF1546,H1546))),ROUNDUP(BD1546,0)))</f>
        <v>20</v>
      </c>
      <c r="BA1546" s="50" t="n">
        <f aca="false">IF(BZ1546=1,0,ROUNDUP(AZ1546/BY1546,0))</f>
        <v>1</v>
      </c>
      <c r="BB1546" s="52" t="n">
        <f aca="false">IF(CQ1546&gt;0,CQ1546*MAX(1,AZ1546/X1546),IF(BZ1546=1,IF(AZ1546&lt;=0,0,CD1546*MAX(1,IF(H1546&gt;0,AZ1546/H1546,1))),IF(R1546&gt;0,BA1546/R1546,0))/MAX(0.1,N(Parameter!$M$21)))</f>
        <v>0.0384615384615385</v>
      </c>
      <c r="BC1546" s="50" t="n">
        <f aca="false">BB1546*CB1546</f>
        <v>5.96153846153846</v>
      </c>
      <c r="BD1546" s="51" t="n">
        <f aca="false">IF(LEFT(Cockpit!$O$5,1)="A",H1546,IF(CH1546=1,(CK1546+CI1546)/2,IF(LEFT(Cockpit!$O$5,1)="B",(CK1546+BF1546)/2,MAX((CK1546+BF1546)/2,H1546))))</f>
        <v>20</v>
      </c>
      <c r="BE1546" s="50" t="n">
        <f aca="false">BD1546*G1546</f>
        <v>1457.4</v>
      </c>
      <c r="BF1546" s="50" t="n">
        <f aca="false">ROUNDUP(CK1546+MAX(CL1546,2*(J1546/IF(CG1546&gt;0,CG1546,MAX(0.1,N(Cockpit!$O$6)))-CK1546)),0)</f>
        <v>40</v>
      </c>
      <c r="BG1546" s="51" t="n">
        <f aca="false">IF(BC1546&gt;0,J1546/BC1546,-1)</f>
        <v>0</v>
      </c>
      <c r="BH1546" s="51" t="n">
        <f aca="false">IF(AND(OR(CF1546="L1",CF1546="L23",CF1546="LIFT"),BC1546&gt;0),SUMIFS($BC$7:$BC$1843,$CF$7:$CF$1843,CF1546,$BG$7:$BG$1843,"&gt;"&amp;BG1546)+SUMIFS($BC$7:$BC$1843,$CF$7:$CF$1843,CF1546,$BG$7:$BG$1843,BG1546,$BW$7:$BW$1843,"&lt;="&amp;BW1546),"")</f>
        <v>30404.4615669171</v>
      </c>
      <c r="BI1546" s="58" t="n">
        <f aca="false">IF(BH1546="",0,MAX(0,MIN(1,(IF(CF1546="L1",Parameter!$H$5,IF(CF1546="L23",Parameter!$H$6+Parameter!$H$7,Parameter!$H$5+Parameter!$H$6+Parameter!$H$7))-(BH1546-BC1546))/BC1546)))</f>
        <v>1</v>
      </c>
      <c r="BJ1546" s="48" t="str">
        <f aca="false">IF(AI1546&lt;=0,"",IF(CF1546="Aussen","Aussenlager",IF(CF1546="-","Nicht im Lift",IF(AO1546&gt;=1,"Lift",IF(AO1546&lt;=0,"Aussenlager","teilweise")))))</f>
        <v>Lift</v>
      </c>
      <c r="BK1546" s="48" t="str">
        <f aca="false">IF(AS1546&lt;=0,"",IF(CF1546="Aussen","Aussenlager",IF(CF1546="-","Nicht im Lift",IF(AY1546&gt;=1,"Lift",IF(AY1546&lt;=0,"Aussenlager","teilweise")))))</f>
        <v>Aussenlager</v>
      </c>
      <c r="BL1546" s="48" t="str">
        <f aca="false">IF(BC1546&lt;=0,"",IF(CF1546="Aussen","Aussenlager",IF(CF1546="-","Nicht im Lift",IF(BI1546&gt;=1,"Lift",IF(BI1546&lt;=0,"Aussenlager","teilweise")))))</f>
        <v>Lift</v>
      </c>
      <c r="BM1546" s="48" t="str">
        <f aca="false">IF(A1546="","",IF(BV1546=1,"Neu; ","")&amp;IF(AND(BV1546=0,BQ1546&lt;0),"negativer Bestand (Export "&amp;BQ1546&amp;"); ","")&amp;IF(J1546&lt;=0,"Kein Verbrauch; ","")&amp;IF(CQ1546&gt;0,"Lift "&amp;W1546&amp;" lt. Liftbericht (Fach "&amp;X1546&amp;" Stk); ",IF(CA1546=1,"Gebinde geschätzt ("&amp;T1546&amp;"); ",IF(BZ1546=1,"Lose – Tablare geschätzt; ","")))&amp;IF(H1546&gt;AV1546,"Überbestand "&amp;ROUND(H1546-AV1546,0)&amp;" Stk / CHF "&amp;ROUND((H1546-AV1546)*G1546,0)&amp;"; ","")&amp;IF(AND(CH1546=1,CI1546&lt;CJ1546),"MAX &lt; MB+LG; ","")&amp;IF(AND(CP1546&gt;0,CO1546*10&gt;CP1546),"zu hoch für Tablar; ","")&amp;IF(AND(BV1546=0,OR(CH1546=1,AA1546&lt;&gt;"",U1546&lt;&gt;"",V1546&lt;&gt;"",AB1546&lt;&gt;"")),"manuell übersteuert; ","")&amp;IF(AND(BZ1546=0,R1546=0),"Gebinde unbekannt / Stellmass fehlt; ","")&amp;IF(AND(BZ1546=0,N(V1546)&lt;=0,N(Q1546)&lt;=0),"Menge pro Gebinde fehlt (Ist = 1 Gebinde); ","")&amp;BU1546)</f>
        <v>Kein Verbrauch; Überbestand 36 Stk / CHF 2623; nur im Artikelstamm (Bestand 23.06.2026); Neu</v>
      </c>
      <c r="BN1546" s="48"/>
      <c r="BO1546" s="48"/>
      <c r="BP1546" s="55"/>
      <c r="BQ1546" s="50" t="n">
        <v>76</v>
      </c>
      <c r="BR1546" s="50" t="n">
        <v>0</v>
      </c>
      <c r="BS1546" s="49" t="n">
        <v>0</v>
      </c>
      <c r="BT1546" s="50" t="n">
        <v>0</v>
      </c>
      <c r="BU1546" s="48" t="s">
        <v>2676</v>
      </c>
      <c r="BV1546" s="53" t="n">
        <v>0</v>
      </c>
      <c r="BW1546" s="53" t="n">
        <v>1546</v>
      </c>
      <c r="BX1546" s="48" t="str">
        <f aca="false">IF(U1546&lt;&gt;"",UPPER(TRIM(U1546)),IF(CA1546=1,UPPER(VLOOKUP(T1546,Parameter!$I$27:$K$29,2,0)),IF(P1546="","LOSE",P1546)))</f>
        <v>S51</v>
      </c>
      <c r="BY1546" s="50" t="n">
        <f aca="false">IF(BX1546="LOSE",1,IF(N(V1546)&gt;0,V1546,IF(CA1546=1,MAX(1,N(VLOOKUP(T1546,Parameter!$I$27:$K$29,3,0)),H1546,N(N1546)),IF(N(Q1546)&gt;0,Q1546,MAX(1,H1546)))))</f>
        <v>76</v>
      </c>
      <c r="BZ1546" s="53" t="n">
        <f aca="false">IF(BX1546="LOSE",1,0)</f>
        <v>0</v>
      </c>
      <c r="CA1546" s="53" t="n">
        <f aca="false">IF(AND(U1546="",OR(P1546="",P1546="LOSE"),T1546&lt;&gt;"",N(S1546)&lt;=0,ISNUMBER(MATCH(T1546,Parameter!$I$27:$I$29,0))),1,0)</f>
        <v>0</v>
      </c>
      <c r="CB1546" s="53" t="n">
        <f aca="false">IF(CQ1546&gt;0,INDEX(Parameter!$H$5:$H$7,W1546)/INDEX(Parameter!$E$5:$E$7,W1546),IF(AND(BZ1546=0,N(IFERROR(VLOOKUP(BX1546,'Gebinde-Kategorie'!$A$5:$N$45,14,0),0))&gt;0),VLOOKUP(BX1546,'Gebinde-Kategorie'!$A$5:$N$45,14,0)*10+Parameter!$M$23,Parameter!$M$24))</f>
        <v>155</v>
      </c>
      <c r="CC1546" s="48" t="str">
        <f aca="false">IF(AND(Parameter!$B$19="Ja",E1546&lt;&gt;"",ISNUMBER(MATCH(E1546,Parameter!$I$35:$I$52,0))),VLOOKUP(E1546,Parameter!$I$35:$J$52,2,0),IFERROR(VLOOKUP(D1546,Parameter!$A$35:$C$64,2,0),"Nein"))</f>
        <v>2+3</v>
      </c>
      <c r="CD1546" s="52" t="n">
        <f aca="false">IF(BZ1546=0,0,IF(N(S1546)&gt;0,S1546,IFERROR(VLOOKUP(D1546,Parameter!$A$35:$C$64,3,0)+0,0)))</f>
        <v>0</v>
      </c>
      <c r="CE1546" s="48" t="n">
        <f aca="false">IF(AA1546&lt;&gt;"",AA1546,Z1546)</f>
        <v>3</v>
      </c>
      <c r="CF1546" s="48" t="str">
        <f aca="false">IF(OR(CE1546=1,CE1546=2,CE1546=3),IF(Parameter!$E$27="Ja","LIFT",IF(CE1546=1,"L1","L23")),IF(CE1546="Aussen","Aussen","-"))</f>
        <v>LIFT</v>
      </c>
      <c r="CG1546" s="59" t="n">
        <f aca="false">IF(N(AB1546)&gt;0,AB1546,0)</f>
        <v>0</v>
      </c>
      <c r="CH1546" s="53" t="n">
        <f aca="false">IF(ISNUMBER(AE1546),1,0)</f>
        <v>0</v>
      </c>
      <c r="CI1546" s="50" t="n">
        <f aca="false">N(AE1546)</f>
        <v>0</v>
      </c>
      <c r="CJ1546" s="50" t="n">
        <f aca="false">N(M1546)+N(N1546)</f>
        <v>40</v>
      </c>
      <c r="CK1546" s="50" t="n">
        <f aca="false">N(M1546)</f>
        <v>0</v>
      </c>
      <c r="CL1546" s="50" t="n">
        <f aca="false">N(N1546)</f>
        <v>40</v>
      </c>
      <c r="CM1546" s="50" t="n">
        <f aca="false">ROUNDUP(H1546/BY1546,0)</f>
        <v>1</v>
      </c>
      <c r="CN1546" s="50" t="n">
        <f aca="false">ROUNDUP(CI1546/BY1546,0)</f>
        <v>0</v>
      </c>
      <c r="CO1546" s="53" t="n">
        <f aca="false">IF(BZ1546=1,0,IFERROR(VLOOKUP(BX1546,'Gebinde-Kategorie'!$A$5:$N$45,5,0)+0,0))</f>
        <v>11</v>
      </c>
      <c r="CP1546" s="53" t="n">
        <f aca="false">IFERROR(IF(OR(CE1546=1,CE1546=2,CE1546=3),N(INDEX(Parameter!$I$5:$I$7,CE1546)),0),0)</f>
        <v>0</v>
      </c>
      <c r="CQ1546" s="52" t="n">
        <f aca="false">IF(AND(Parameter!$B$21="Ja",ISNUMBER(W1546),N(X1546)&gt;0),IFERROR(N(INDEX(Parameter!$L$5:$L$7,W1546))*INDEX(Parameter!$E$5:$E$7,W1546)*X1546/SUMIFS($X$7:$X$1843,$W$7:$W$1843,W1546),0),0)</f>
        <v>0</v>
      </c>
    </row>
    <row r="1547" customFormat="false" ht="15" hidden="false" customHeight="false" outlineLevel="0" collapsed="false">
      <c r="A1547" s="48" t="s">
        <v>2713</v>
      </c>
      <c r="B1547" s="48" t="s">
        <v>449</v>
      </c>
      <c r="C1547" s="48" t="s">
        <v>173</v>
      </c>
      <c r="D1547" s="48" t="s">
        <v>193</v>
      </c>
      <c r="E1547" s="48" t="s">
        <v>194</v>
      </c>
      <c r="F1547" s="48"/>
      <c r="G1547" s="49" t="n">
        <v>47.74</v>
      </c>
      <c r="H1547" s="50" t="n">
        <f aca="false">MAX(0,IF(AND(Parameter!$B$21="Ja",ISNUMBER(Y1547)),Y1547,IF(Parameter!$B$20="Jahresanfang 2025 + Export",BR1547+BQ1547,BQ1547)))</f>
        <v>5</v>
      </c>
      <c r="I1547" s="50" t="n">
        <f aca="false">H1547*G1547</f>
        <v>238.7</v>
      </c>
      <c r="J1547" s="50" t="n">
        <f aca="false">BT1547*Parameter!$B$18</f>
        <v>0</v>
      </c>
      <c r="K1547" s="51"/>
      <c r="L1547" s="52"/>
      <c r="M1547" s="50" t="n">
        <v>0</v>
      </c>
      <c r="N1547" s="50" t="n">
        <v>1</v>
      </c>
      <c r="O1547" s="53" t="n">
        <v>35</v>
      </c>
      <c r="P1547" s="48" t="s">
        <v>430</v>
      </c>
      <c r="Q1547" s="50" t="n">
        <v>5</v>
      </c>
      <c r="R1547" s="53" t="n">
        <f aca="false">IF(BZ1547=1,0,IFERROR(VLOOKUP(BX1547,'Gebinde-Kategorie'!$A$5:$N$45,13,0)+0,0))</f>
        <v>104</v>
      </c>
      <c r="S1547" s="54"/>
      <c r="T1547" s="55"/>
      <c r="U1547" s="55"/>
      <c r="V1547" s="55"/>
      <c r="W1547" s="48"/>
      <c r="X1547" s="50"/>
      <c r="Y1547" s="50"/>
      <c r="Z1547" s="48" t="n">
        <f aca="false">IF(A1547="","",IF(AND(Parameter!$B$21="Ja",ISNUMBER(W1547)),W1547,IF(CC1547="2+3",IF(ISNUMBER(SEARCH("grosser Artikel",BU1547)),2,IFERROR(VLOOKUP(BX1547,Parameter!$F$35:$G$64,2,0),2)),IF(OR(CC1547="Nein",CC1547=""),"-",CC1547))))</f>
        <v>3</v>
      </c>
      <c r="AA1547" s="55"/>
      <c r="AB1547" s="56"/>
      <c r="AC1547" s="50" t="n">
        <f aca="false">AV1547</f>
        <v>1</v>
      </c>
      <c r="AD1547" s="50" t="n">
        <f aca="false">MAX(AV1547,H1547)</f>
        <v>5</v>
      </c>
      <c r="AE1547" s="57"/>
      <c r="AF1547" s="50" t="n">
        <f aca="false">IF(LEFT(Cockpit!$C$5,1)="A",H1547,IF(Parameter!$E$30="MAX-Bestand",IF(CH1547=1,CI1547,IF(LEFT(Cockpit!$C$5,1)="B",AL1547,MAX(AL1547,H1547))),ROUNDUP(AJ1547,0)))</f>
        <v>5</v>
      </c>
      <c r="AG1547" s="50" t="n">
        <f aca="false">IF(BZ1547=1,0,ROUNDUP(AF1547/BY1547,0))</f>
        <v>1</v>
      </c>
      <c r="AH1547" s="52" t="n">
        <f aca="false">IF(CQ1547&gt;0,CQ1547*MAX(1,AF1547/X1547),IF(BZ1547=1,IF(AF1547&lt;=0,0,CD1547*MAX(1,IF(H1547&gt;0,AF1547/H1547,1))),IF(R1547&gt;0,AG1547/R1547,0))/MAX(0.1,N(Parameter!$M$21)))</f>
        <v>0.00961538461538462</v>
      </c>
      <c r="AI1547" s="50" t="n">
        <f aca="false">AH1547*CB1547</f>
        <v>1.49038461538462</v>
      </c>
      <c r="AJ1547" s="51" t="n">
        <f aca="false">IF(LEFT(Cockpit!$C$5,1)="A",H1547,IF(CH1547=1,(CK1547+CI1547)/2,IF(LEFT(Cockpit!$C$5,1)="B",(CK1547+AL1547)/2,MAX((CK1547+AL1547)/2,H1547))))</f>
        <v>5</v>
      </c>
      <c r="AK1547" s="50" t="n">
        <f aca="false">AJ1547*G1547</f>
        <v>238.7</v>
      </c>
      <c r="AL1547" s="50" t="n">
        <f aca="false">ROUNDUP(CK1547+MAX(CL1547,2*(J1547/IF(CG1547&gt;0,CG1547,MAX(0.1,N(Cockpit!$C$6)))-CK1547)),0)</f>
        <v>1</v>
      </c>
      <c r="AM1547" s="51" t="n">
        <f aca="false">IF(AI1547&gt;0,J1547/AI1547,-1)</f>
        <v>0</v>
      </c>
      <c r="AN1547" s="51" t="n">
        <f aca="false">IF(AND(OR(CF1547="L1",CF1547="L23",CF1547="LIFT"),AI1547&gt;0),SUMIFS($AI$7:$AI$1843,$CF$7:$CF$1843,CF1547,$AM$7:$AM$1843,"&gt;"&amp;AM1547)+SUMIFS($AI$7:$AI$1843,$CF$7:$CF$1843,CF1547,$AM$7:$AM$1843,AM1547,$BW$7:$BW$1843,"&lt;="&amp;BW1547),"")</f>
        <v>30147.9041591648</v>
      </c>
      <c r="AO1547" s="58" t="n">
        <f aca="false">IF(AN1547="",0,MAX(0,MIN(1,(IF(CF1547="L1",Parameter!$H$5,IF(CF1547="L23",Parameter!$H$6+Parameter!$H$7,Parameter!$H$5+Parameter!$H$6+Parameter!$H$7))-(AN1547-AI1547))/AI1547)))</f>
        <v>1</v>
      </c>
      <c r="AP1547" s="50" t="n">
        <f aca="false">IF(LEFT(Cockpit!$I$5,1)="A",H1547,IF(Parameter!$E$30="MAX-Bestand",IF(CH1547=1,CI1547,IF(LEFT(Cockpit!$I$5,1)="B",AV1547,MAX(AV1547,H1547))),ROUNDUP(AT1547,0)))</f>
        <v>5</v>
      </c>
      <c r="AQ1547" s="50" t="n">
        <f aca="false">IF(BZ1547=1,0,ROUNDUP(AP1547/BY1547,0))</f>
        <v>1</v>
      </c>
      <c r="AR1547" s="52" t="n">
        <f aca="false">IF(CQ1547&gt;0,CQ1547*MAX(1,AP1547/X1547),IF(BZ1547=1,IF(AP1547&lt;=0,0,CD1547*MAX(1,IF(H1547&gt;0,AP1547/H1547,1))),IF(R1547&gt;0,AQ1547/R1547,0))/MAX(0.1,N(Parameter!$M$21)))</f>
        <v>0.00961538461538462</v>
      </c>
      <c r="AS1547" s="50" t="n">
        <f aca="false">AR1547*CB1547</f>
        <v>1.49038461538462</v>
      </c>
      <c r="AT1547" s="51" t="n">
        <f aca="false">IF(LEFT(Cockpit!$I$5,1)="A",H1547,IF(CH1547=1,(CK1547+CI1547)/2,IF(LEFT(Cockpit!$I$5,1)="B",(CK1547+AV1547)/2,MAX((CK1547+AV1547)/2,H1547))))</f>
        <v>5</v>
      </c>
      <c r="AU1547" s="50" t="n">
        <f aca="false">AT1547*G1547</f>
        <v>238.7</v>
      </c>
      <c r="AV1547" s="50" t="n">
        <f aca="false">ROUNDUP(CK1547+MAX(CL1547,2*(J1547/IF(CG1547&gt;0,CG1547,MAX(0.1,N(Cockpit!$I$6)))-CK1547)),0)</f>
        <v>1</v>
      </c>
      <c r="AW1547" s="51" t="n">
        <f aca="false">IF(AS1547&gt;0,J1547/AS1547,-1)</f>
        <v>0</v>
      </c>
      <c r="AX1547" s="51" t="n">
        <f aca="false">IF(AND(OR(CF1547="L1",CF1547="L23",CF1547="LIFT"),AS1547&gt;0),SUMIFS($AS$7:$AS$1843,$CF$7:$CF$1843,CF1547,$AW$7:$AW$1843,"&gt;"&amp;AW1547)+SUMIFS($AS$7:$AS$1843,$CF$7:$CF$1843,CF1547,$AW$7:$AW$1843,AW1547,$BW$7:$BW$1843,"&lt;="&amp;BW1547),"")</f>
        <v>36467.7606760001</v>
      </c>
      <c r="AY1547" s="58" t="n">
        <f aca="false">IF(AX1547="",0,MAX(0,MIN(1,(IF(CF1547="L1",Parameter!$H$5,IF(CF1547="L23",Parameter!$H$6+Parameter!$H$7,Parameter!$H$5+Parameter!$H$6+Parameter!$H$7))-(AX1547-AS1547))/AS1547)))</f>
        <v>0</v>
      </c>
      <c r="AZ1547" s="50" t="n">
        <f aca="false">IF(LEFT(Cockpit!$O$5,1)="A",H1547,IF(Parameter!$E$30="MAX-Bestand",IF(CH1547=1,CI1547,IF(LEFT(Cockpit!$O$5,1)="B",BF1547,MAX(BF1547,H1547))),ROUNDUP(BD1547,0)))</f>
        <v>1</v>
      </c>
      <c r="BA1547" s="50" t="n">
        <f aca="false">IF(BZ1547=1,0,ROUNDUP(AZ1547/BY1547,0))</f>
        <v>1</v>
      </c>
      <c r="BB1547" s="52" t="n">
        <f aca="false">IF(CQ1547&gt;0,CQ1547*MAX(1,AZ1547/X1547),IF(BZ1547=1,IF(AZ1547&lt;=0,0,CD1547*MAX(1,IF(H1547&gt;0,AZ1547/H1547,1))),IF(R1547&gt;0,BA1547/R1547,0))/MAX(0.1,N(Parameter!$M$21)))</f>
        <v>0.00961538461538462</v>
      </c>
      <c r="BC1547" s="50" t="n">
        <f aca="false">BB1547*CB1547</f>
        <v>1.49038461538462</v>
      </c>
      <c r="BD1547" s="51" t="n">
        <f aca="false">IF(LEFT(Cockpit!$O$5,1)="A",H1547,IF(CH1547=1,(CK1547+CI1547)/2,IF(LEFT(Cockpit!$O$5,1)="B",(CK1547+BF1547)/2,MAX((CK1547+BF1547)/2,H1547))))</f>
        <v>0.5</v>
      </c>
      <c r="BE1547" s="50" t="n">
        <f aca="false">BD1547*G1547</f>
        <v>23.87</v>
      </c>
      <c r="BF1547" s="50" t="n">
        <f aca="false">ROUNDUP(CK1547+MAX(CL1547,2*(J1547/IF(CG1547&gt;0,CG1547,MAX(0.1,N(Cockpit!$O$6)))-CK1547)),0)</f>
        <v>1</v>
      </c>
      <c r="BG1547" s="51" t="n">
        <f aca="false">IF(BC1547&gt;0,J1547/BC1547,-1)</f>
        <v>0</v>
      </c>
      <c r="BH1547" s="51" t="n">
        <f aca="false">IF(AND(OR(CF1547="L1",CF1547="L23",CF1547="LIFT"),BC1547&gt;0),SUMIFS($BC$7:$BC$1843,$CF$7:$CF$1843,CF1547,$BG$7:$BG$1843,"&gt;"&amp;BG1547)+SUMIFS($BC$7:$BC$1843,$CF$7:$CF$1843,CF1547,$BG$7:$BG$1843,BG1547,$BW$7:$BW$1843,"&lt;="&amp;BW1547),"")</f>
        <v>30405.9519515325</v>
      </c>
      <c r="BI1547" s="58" t="n">
        <f aca="false">IF(BH1547="",0,MAX(0,MIN(1,(IF(CF1547="L1",Parameter!$H$5,IF(CF1547="L23",Parameter!$H$6+Parameter!$H$7,Parameter!$H$5+Parameter!$H$6+Parameter!$H$7))-(BH1547-BC1547))/BC1547)))</f>
        <v>1</v>
      </c>
      <c r="BJ1547" s="48" t="str">
        <f aca="false">IF(AI1547&lt;=0,"",IF(CF1547="Aussen","Aussenlager",IF(CF1547="-","Nicht im Lift",IF(AO1547&gt;=1,"Lift",IF(AO1547&lt;=0,"Aussenlager","teilweise")))))</f>
        <v>Lift</v>
      </c>
      <c r="BK1547" s="48" t="str">
        <f aca="false">IF(AS1547&lt;=0,"",IF(CF1547="Aussen","Aussenlager",IF(CF1547="-","Nicht im Lift",IF(AY1547&gt;=1,"Lift",IF(AY1547&lt;=0,"Aussenlager","teilweise")))))</f>
        <v>Aussenlager</v>
      </c>
      <c r="BL1547" s="48" t="str">
        <f aca="false">IF(BC1547&lt;=0,"",IF(CF1547="Aussen","Aussenlager",IF(CF1547="-","Nicht im Lift",IF(BI1547&gt;=1,"Lift",IF(BI1547&lt;=0,"Aussenlager","teilweise")))))</f>
        <v>Lift</v>
      </c>
      <c r="BM1547" s="48" t="str">
        <f aca="false">IF(A1547="","",IF(BV1547=1,"Neu; ","")&amp;IF(AND(BV1547=0,BQ1547&lt;0),"negativer Bestand (Export "&amp;BQ1547&amp;"); ","")&amp;IF(J1547&lt;=0,"Kein Verbrauch; ","")&amp;IF(CQ1547&gt;0,"Lift "&amp;W1547&amp;" lt. Liftbericht (Fach "&amp;X1547&amp;" Stk); ",IF(CA1547=1,"Gebinde geschätzt ("&amp;T1547&amp;"); ",IF(BZ1547=1,"Lose – Tablare geschätzt; ","")))&amp;IF(H1547&gt;AV1547,"Überbestand "&amp;ROUND(H1547-AV1547,0)&amp;" Stk / CHF "&amp;ROUND((H1547-AV1547)*G1547,0)&amp;"; ","")&amp;IF(AND(CH1547=1,CI1547&lt;CJ1547),"MAX &lt; MB+LG; ","")&amp;IF(AND(CP1547&gt;0,CO1547*10&gt;CP1547),"zu hoch für Tablar; ","")&amp;IF(AND(BV1547=0,OR(CH1547=1,AA1547&lt;&gt;"",U1547&lt;&gt;"",V1547&lt;&gt;"",AB1547&lt;&gt;"")),"manuell übersteuert; ","")&amp;IF(AND(BZ1547=0,R1547=0),"Gebinde unbekannt / Stellmass fehlt; ","")&amp;IF(AND(BZ1547=0,N(V1547)&lt;=0,N(Q1547)&lt;=0),"Menge pro Gebinde fehlt (Ist = 1 Gebinde); ","")&amp;BU1547)</f>
        <v>Kein Verbrauch; Überbestand 4 Stk / CHF 191; nur im Artikelstamm (Bestand 23.06.2026)</v>
      </c>
      <c r="BN1547" s="48"/>
      <c r="BO1547" s="48"/>
      <c r="BP1547" s="55"/>
      <c r="BQ1547" s="50" t="n">
        <v>5</v>
      </c>
      <c r="BR1547" s="50" t="n">
        <v>0</v>
      </c>
      <c r="BS1547" s="49" t="n">
        <v>0</v>
      </c>
      <c r="BT1547" s="50" t="n">
        <v>0</v>
      </c>
      <c r="BU1547" s="48" t="s">
        <v>2584</v>
      </c>
      <c r="BV1547" s="53" t="n">
        <v>0</v>
      </c>
      <c r="BW1547" s="53" t="n">
        <v>1547</v>
      </c>
      <c r="BX1547" s="48" t="str">
        <f aca="false">IF(U1547&lt;&gt;"",UPPER(TRIM(U1547)),IF(CA1547=1,UPPER(VLOOKUP(T1547,Parameter!$I$27:$K$29,2,0)),IF(P1547="","LOSE",P1547)))</f>
        <v>S32</v>
      </c>
      <c r="BY1547" s="50" t="n">
        <f aca="false">IF(BX1547="LOSE",1,IF(N(V1547)&gt;0,V1547,IF(CA1547=1,MAX(1,N(VLOOKUP(T1547,Parameter!$I$27:$K$29,3,0)),H1547,N(N1547)),IF(N(Q1547)&gt;0,Q1547,MAX(1,H1547)))))</f>
        <v>5</v>
      </c>
      <c r="BZ1547" s="53" t="n">
        <f aca="false">IF(BX1547="LOSE",1,0)</f>
        <v>0</v>
      </c>
      <c r="CA1547" s="53" t="n">
        <f aca="false">IF(AND(U1547="",OR(P1547="",P1547="LOSE"),T1547&lt;&gt;"",N(S1547)&lt;=0,ISNUMBER(MATCH(T1547,Parameter!$I$27:$I$29,0))),1,0)</f>
        <v>0</v>
      </c>
      <c r="CB1547" s="53" t="n">
        <f aca="false">IF(CQ1547&gt;0,INDEX(Parameter!$H$5:$H$7,W1547)/INDEX(Parameter!$E$5:$E$7,W1547),IF(AND(BZ1547=0,N(IFERROR(VLOOKUP(BX1547,'Gebinde-Kategorie'!$A$5:$N$45,14,0),0))&gt;0),VLOOKUP(BX1547,'Gebinde-Kategorie'!$A$5:$N$45,14,0)*10+Parameter!$M$23,Parameter!$M$24))</f>
        <v>155</v>
      </c>
      <c r="CC1547" s="48" t="str">
        <f aca="false">IF(AND(Parameter!$B$19="Ja",E1547&lt;&gt;"",ISNUMBER(MATCH(E1547,Parameter!$I$35:$I$52,0))),VLOOKUP(E1547,Parameter!$I$35:$J$52,2,0),IFERROR(VLOOKUP(D1547,Parameter!$A$35:$C$64,2,0),"Nein"))</f>
        <v>2+3</v>
      </c>
      <c r="CD1547" s="52" t="n">
        <f aca="false">IF(BZ1547=0,0,IF(N(S1547)&gt;0,S1547,IFERROR(VLOOKUP(D1547,Parameter!$A$35:$C$64,3,0)+0,0)))</f>
        <v>0</v>
      </c>
      <c r="CE1547" s="48" t="n">
        <f aca="false">IF(AA1547&lt;&gt;"",AA1547,Z1547)</f>
        <v>3</v>
      </c>
      <c r="CF1547" s="48" t="str">
        <f aca="false">IF(OR(CE1547=1,CE1547=2,CE1547=3),IF(Parameter!$E$27="Ja","LIFT",IF(CE1547=1,"L1","L23")),IF(CE1547="Aussen","Aussen","-"))</f>
        <v>LIFT</v>
      </c>
      <c r="CG1547" s="59" t="n">
        <f aca="false">IF(N(AB1547)&gt;0,AB1547,0)</f>
        <v>0</v>
      </c>
      <c r="CH1547" s="53" t="n">
        <f aca="false">IF(ISNUMBER(AE1547),1,0)</f>
        <v>0</v>
      </c>
      <c r="CI1547" s="50" t="n">
        <f aca="false">N(AE1547)</f>
        <v>0</v>
      </c>
      <c r="CJ1547" s="50" t="n">
        <f aca="false">N(M1547)+N(N1547)</f>
        <v>1</v>
      </c>
      <c r="CK1547" s="50" t="n">
        <f aca="false">N(M1547)</f>
        <v>0</v>
      </c>
      <c r="CL1547" s="50" t="n">
        <f aca="false">N(N1547)</f>
        <v>1</v>
      </c>
      <c r="CM1547" s="50" t="n">
        <f aca="false">ROUNDUP(H1547/BY1547,0)</f>
        <v>1</v>
      </c>
      <c r="CN1547" s="50" t="n">
        <f aca="false">ROUNDUP(CI1547/BY1547,0)</f>
        <v>0</v>
      </c>
      <c r="CO1547" s="53" t="n">
        <f aca="false">IF(BZ1547=1,0,IFERROR(VLOOKUP(BX1547,'Gebinde-Kategorie'!$A$5:$N$45,5,0)+0,0))</f>
        <v>8</v>
      </c>
      <c r="CP1547" s="53" t="n">
        <f aca="false">IFERROR(IF(OR(CE1547=1,CE1547=2,CE1547=3),N(INDEX(Parameter!$I$5:$I$7,CE1547)),0),0)</f>
        <v>0</v>
      </c>
      <c r="CQ1547" s="52" t="n">
        <f aca="false">IF(AND(Parameter!$B$21="Ja",ISNUMBER(W1547),N(X1547)&gt;0),IFERROR(N(INDEX(Parameter!$L$5:$L$7,W1547))*INDEX(Parameter!$E$5:$E$7,W1547)*X1547/SUMIFS($X$7:$X$1843,$W$7:$W$1843,W1547),0),0)</f>
        <v>0</v>
      </c>
    </row>
    <row r="1548" customFormat="false" ht="15" hidden="false" customHeight="false" outlineLevel="0" collapsed="false">
      <c r="A1548" s="48" t="s">
        <v>2714</v>
      </c>
      <c r="B1548" s="48" t="s">
        <v>2715</v>
      </c>
      <c r="C1548" s="48" t="s">
        <v>173</v>
      </c>
      <c r="D1548" s="48" t="s">
        <v>193</v>
      </c>
      <c r="E1548" s="48" t="s">
        <v>194</v>
      </c>
      <c r="F1548" s="48"/>
      <c r="G1548" s="49" t="n">
        <v>118.14</v>
      </c>
      <c r="H1548" s="50" t="n">
        <f aca="false">MAX(0,IF(AND(Parameter!$B$21="Ja",ISNUMBER(Y1548)),Y1548,IF(Parameter!$B$20="Jahresanfang 2025 + Export",BR1548+BQ1548,BQ1548)))</f>
        <v>5</v>
      </c>
      <c r="I1548" s="50" t="n">
        <f aca="false">H1548*G1548</f>
        <v>590.7</v>
      </c>
      <c r="J1548" s="50" t="n">
        <f aca="false">BT1548*Parameter!$B$18</f>
        <v>0</v>
      </c>
      <c r="K1548" s="51"/>
      <c r="L1548" s="52"/>
      <c r="M1548" s="50" t="n">
        <v>0</v>
      </c>
      <c r="N1548" s="50" t="n">
        <v>5</v>
      </c>
      <c r="O1548" s="53" t="n">
        <v>35</v>
      </c>
      <c r="P1548" s="48" t="s">
        <v>430</v>
      </c>
      <c r="Q1548" s="50" t="n">
        <v>5</v>
      </c>
      <c r="R1548" s="53" t="n">
        <f aca="false">IF(BZ1548=1,0,IFERROR(VLOOKUP(BX1548,'Gebinde-Kategorie'!$A$5:$N$45,13,0)+0,0))</f>
        <v>104</v>
      </c>
      <c r="S1548" s="54"/>
      <c r="T1548" s="55"/>
      <c r="U1548" s="55"/>
      <c r="V1548" s="55"/>
      <c r="W1548" s="48"/>
      <c r="X1548" s="50"/>
      <c r="Y1548" s="50"/>
      <c r="Z1548" s="48" t="n">
        <f aca="false">IF(A1548="","",IF(AND(Parameter!$B$21="Ja",ISNUMBER(W1548)),W1548,IF(CC1548="2+3",IF(ISNUMBER(SEARCH("grosser Artikel",BU1548)),2,IFERROR(VLOOKUP(BX1548,Parameter!$F$35:$G$64,2,0),2)),IF(OR(CC1548="Nein",CC1548=""),"-",CC1548))))</f>
        <v>3</v>
      </c>
      <c r="AA1548" s="55"/>
      <c r="AB1548" s="56"/>
      <c r="AC1548" s="50" t="n">
        <f aca="false">AV1548</f>
        <v>5</v>
      </c>
      <c r="AD1548" s="50" t="n">
        <f aca="false">MAX(AV1548,H1548)</f>
        <v>5</v>
      </c>
      <c r="AE1548" s="57"/>
      <c r="AF1548" s="50" t="n">
        <f aca="false">IF(LEFT(Cockpit!$C$5,1)="A",H1548,IF(Parameter!$E$30="MAX-Bestand",IF(CH1548=1,CI1548,IF(LEFT(Cockpit!$C$5,1)="B",AL1548,MAX(AL1548,H1548))),ROUNDUP(AJ1548,0)))</f>
        <v>5</v>
      </c>
      <c r="AG1548" s="50" t="n">
        <f aca="false">IF(BZ1548=1,0,ROUNDUP(AF1548/BY1548,0))</f>
        <v>1</v>
      </c>
      <c r="AH1548" s="52" t="n">
        <f aca="false">IF(CQ1548&gt;0,CQ1548*MAX(1,AF1548/X1548),IF(BZ1548=1,IF(AF1548&lt;=0,0,CD1548*MAX(1,IF(H1548&gt;0,AF1548/H1548,1))),IF(R1548&gt;0,AG1548/R1548,0))/MAX(0.1,N(Parameter!$M$21)))</f>
        <v>0.00961538461538462</v>
      </c>
      <c r="AI1548" s="50" t="n">
        <f aca="false">AH1548*CB1548</f>
        <v>1.49038461538462</v>
      </c>
      <c r="AJ1548" s="51" t="n">
        <f aca="false">IF(LEFT(Cockpit!$C$5,1)="A",H1548,IF(CH1548=1,(CK1548+CI1548)/2,IF(LEFT(Cockpit!$C$5,1)="B",(CK1548+AL1548)/2,MAX((CK1548+AL1548)/2,H1548))))</f>
        <v>5</v>
      </c>
      <c r="AK1548" s="50" t="n">
        <f aca="false">AJ1548*G1548</f>
        <v>590.7</v>
      </c>
      <c r="AL1548" s="50" t="n">
        <f aca="false">ROUNDUP(CK1548+MAX(CL1548,2*(J1548/IF(CG1548&gt;0,CG1548,MAX(0.1,N(Cockpit!$C$6)))-CK1548)),0)</f>
        <v>5</v>
      </c>
      <c r="AM1548" s="51" t="n">
        <f aca="false">IF(AI1548&gt;0,J1548/AI1548,-1)</f>
        <v>0</v>
      </c>
      <c r="AN1548" s="51" t="n">
        <f aca="false">IF(AND(OR(CF1548="L1",CF1548="L23",CF1548="LIFT"),AI1548&gt;0),SUMIFS($AI$7:$AI$1843,$CF$7:$CF$1843,CF1548,$AM$7:$AM$1843,"&gt;"&amp;AM1548)+SUMIFS($AI$7:$AI$1843,$CF$7:$CF$1843,CF1548,$AM$7:$AM$1843,AM1548,$BW$7:$BW$1843,"&lt;="&amp;BW1548),"")</f>
        <v>30149.3945437801</v>
      </c>
      <c r="AO1548" s="58" t="n">
        <f aca="false">IF(AN1548="",0,MAX(0,MIN(1,(IF(CF1548="L1",Parameter!$H$5,IF(CF1548="L23",Parameter!$H$6+Parameter!$H$7,Parameter!$H$5+Parameter!$H$6+Parameter!$H$7))-(AN1548-AI1548))/AI1548)))</f>
        <v>1</v>
      </c>
      <c r="AP1548" s="50" t="n">
        <f aca="false">IF(LEFT(Cockpit!$I$5,1)="A",H1548,IF(Parameter!$E$30="MAX-Bestand",IF(CH1548=1,CI1548,IF(LEFT(Cockpit!$I$5,1)="B",AV1548,MAX(AV1548,H1548))),ROUNDUP(AT1548,0)))</f>
        <v>5</v>
      </c>
      <c r="AQ1548" s="50" t="n">
        <f aca="false">IF(BZ1548=1,0,ROUNDUP(AP1548/BY1548,0))</f>
        <v>1</v>
      </c>
      <c r="AR1548" s="52" t="n">
        <f aca="false">IF(CQ1548&gt;0,CQ1548*MAX(1,AP1548/X1548),IF(BZ1548=1,IF(AP1548&lt;=0,0,CD1548*MAX(1,IF(H1548&gt;0,AP1548/H1548,1))),IF(R1548&gt;0,AQ1548/R1548,0))/MAX(0.1,N(Parameter!$M$21)))</f>
        <v>0.00961538461538462</v>
      </c>
      <c r="AS1548" s="50" t="n">
        <f aca="false">AR1548*CB1548</f>
        <v>1.49038461538462</v>
      </c>
      <c r="AT1548" s="51" t="n">
        <f aca="false">IF(LEFT(Cockpit!$I$5,1)="A",H1548,IF(CH1548=1,(CK1548+CI1548)/2,IF(LEFT(Cockpit!$I$5,1)="B",(CK1548+AV1548)/2,MAX((CK1548+AV1548)/2,H1548))))</f>
        <v>5</v>
      </c>
      <c r="AU1548" s="50" t="n">
        <f aca="false">AT1548*G1548</f>
        <v>590.7</v>
      </c>
      <c r="AV1548" s="50" t="n">
        <f aca="false">ROUNDUP(CK1548+MAX(CL1548,2*(J1548/IF(CG1548&gt;0,CG1548,MAX(0.1,N(Cockpit!$I$6)))-CK1548)),0)</f>
        <v>5</v>
      </c>
      <c r="AW1548" s="51" t="n">
        <f aca="false">IF(AS1548&gt;0,J1548/AS1548,-1)</f>
        <v>0</v>
      </c>
      <c r="AX1548" s="51" t="n">
        <f aca="false">IF(AND(OR(CF1548="L1",CF1548="L23",CF1548="LIFT"),AS1548&gt;0),SUMIFS($AS$7:$AS$1843,$CF$7:$CF$1843,CF1548,$AW$7:$AW$1843,"&gt;"&amp;AW1548)+SUMIFS($AS$7:$AS$1843,$CF$7:$CF$1843,CF1548,$AW$7:$AW$1843,AW1548,$BW$7:$BW$1843,"&lt;="&amp;BW1548),"")</f>
        <v>36469.2510606155</v>
      </c>
      <c r="AY1548" s="58" t="n">
        <f aca="false">IF(AX1548="",0,MAX(0,MIN(1,(IF(CF1548="L1",Parameter!$H$5,IF(CF1548="L23",Parameter!$H$6+Parameter!$H$7,Parameter!$H$5+Parameter!$H$6+Parameter!$H$7))-(AX1548-AS1548))/AS1548)))</f>
        <v>0</v>
      </c>
      <c r="AZ1548" s="50" t="n">
        <f aca="false">IF(LEFT(Cockpit!$O$5,1)="A",H1548,IF(Parameter!$E$30="MAX-Bestand",IF(CH1548=1,CI1548,IF(LEFT(Cockpit!$O$5,1)="B",BF1548,MAX(BF1548,H1548))),ROUNDUP(BD1548,0)))</f>
        <v>3</v>
      </c>
      <c r="BA1548" s="50" t="n">
        <f aca="false">IF(BZ1548=1,0,ROUNDUP(AZ1548/BY1548,0))</f>
        <v>1</v>
      </c>
      <c r="BB1548" s="52" t="n">
        <f aca="false">IF(CQ1548&gt;0,CQ1548*MAX(1,AZ1548/X1548),IF(BZ1548=1,IF(AZ1548&lt;=0,0,CD1548*MAX(1,IF(H1548&gt;0,AZ1548/H1548,1))),IF(R1548&gt;0,BA1548/R1548,0))/MAX(0.1,N(Parameter!$M$21)))</f>
        <v>0.00961538461538462</v>
      </c>
      <c r="BC1548" s="50" t="n">
        <f aca="false">BB1548*CB1548</f>
        <v>1.49038461538462</v>
      </c>
      <c r="BD1548" s="51" t="n">
        <f aca="false">IF(LEFT(Cockpit!$O$5,1)="A",H1548,IF(CH1548=1,(CK1548+CI1548)/2,IF(LEFT(Cockpit!$O$5,1)="B",(CK1548+BF1548)/2,MAX((CK1548+BF1548)/2,H1548))))</f>
        <v>2.5</v>
      </c>
      <c r="BE1548" s="50" t="n">
        <f aca="false">BD1548*G1548</f>
        <v>295.35</v>
      </c>
      <c r="BF1548" s="50" t="n">
        <f aca="false">ROUNDUP(CK1548+MAX(CL1548,2*(J1548/IF(CG1548&gt;0,CG1548,MAX(0.1,N(Cockpit!$O$6)))-CK1548)),0)</f>
        <v>5</v>
      </c>
      <c r="BG1548" s="51" t="n">
        <f aca="false">IF(BC1548&gt;0,J1548/BC1548,-1)</f>
        <v>0</v>
      </c>
      <c r="BH1548" s="51" t="n">
        <f aca="false">IF(AND(OR(CF1548="L1",CF1548="L23",CF1548="LIFT"),BC1548&gt;0),SUMIFS($BC$7:$BC$1843,$CF$7:$CF$1843,CF1548,$BG$7:$BG$1843,"&gt;"&amp;BG1548)+SUMIFS($BC$7:$BC$1843,$CF$7:$CF$1843,CF1548,$BG$7:$BG$1843,BG1548,$BW$7:$BW$1843,"&lt;="&amp;BW1548),"")</f>
        <v>30407.4423361478</v>
      </c>
      <c r="BI1548" s="58" t="n">
        <f aca="false">IF(BH1548="",0,MAX(0,MIN(1,(IF(CF1548="L1",Parameter!$H$5,IF(CF1548="L23",Parameter!$H$6+Parameter!$H$7,Parameter!$H$5+Parameter!$H$6+Parameter!$H$7))-(BH1548-BC1548))/BC1548)))</f>
        <v>1</v>
      </c>
      <c r="BJ1548" s="48" t="str">
        <f aca="false">IF(AI1548&lt;=0,"",IF(CF1548="Aussen","Aussenlager",IF(CF1548="-","Nicht im Lift",IF(AO1548&gt;=1,"Lift",IF(AO1548&lt;=0,"Aussenlager","teilweise")))))</f>
        <v>Lift</v>
      </c>
      <c r="BK1548" s="48" t="str">
        <f aca="false">IF(AS1548&lt;=0,"",IF(CF1548="Aussen","Aussenlager",IF(CF1548="-","Nicht im Lift",IF(AY1548&gt;=1,"Lift",IF(AY1548&lt;=0,"Aussenlager","teilweise")))))</f>
        <v>Aussenlager</v>
      </c>
      <c r="BL1548" s="48" t="str">
        <f aca="false">IF(BC1548&lt;=0,"",IF(CF1548="Aussen","Aussenlager",IF(CF1548="-","Nicht im Lift",IF(BI1548&gt;=1,"Lift",IF(BI1548&lt;=0,"Aussenlager","teilweise")))))</f>
        <v>Lift</v>
      </c>
      <c r="BM1548" s="48" t="str">
        <f aca="false">IF(A1548="","",IF(BV1548=1,"Neu; ","")&amp;IF(AND(BV1548=0,BQ1548&lt;0),"negativer Bestand (Export "&amp;BQ1548&amp;"); ","")&amp;IF(J1548&lt;=0,"Kein Verbrauch; ","")&amp;IF(CQ1548&gt;0,"Lift "&amp;W1548&amp;" lt. Liftbericht (Fach "&amp;X1548&amp;" Stk); ",IF(CA1548=1,"Gebinde geschätzt ("&amp;T1548&amp;"); ",IF(BZ1548=1,"Lose – Tablare geschätzt; ","")))&amp;IF(H1548&gt;AV1548,"Überbestand "&amp;ROUND(H1548-AV1548,0)&amp;" Stk / CHF "&amp;ROUND((H1548-AV1548)*G1548,0)&amp;"; ","")&amp;IF(AND(CH1548=1,CI1548&lt;CJ1548),"MAX &lt; MB+LG; ","")&amp;IF(AND(CP1548&gt;0,CO1548*10&gt;CP1548),"zu hoch für Tablar; ","")&amp;IF(AND(BV1548=0,OR(CH1548=1,AA1548&lt;&gt;"",U1548&lt;&gt;"",V1548&lt;&gt;"",AB1548&lt;&gt;"")),"manuell übersteuert; ","")&amp;IF(AND(BZ1548=0,R1548=0),"Gebinde unbekannt / Stellmass fehlt; ","")&amp;IF(AND(BZ1548=0,N(V1548)&lt;=0,N(Q1548)&lt;=0),"Menge pro Gebinde fehlt (Ist = 1 Gebinde); ","")&amp;BU1548)</f>
        <v>Kein Verbrauch; nur im Artikelstamm (Bestand 23.06.2026)</v>
      </c>
      <c r="BN1548" s="48"/>
      <c r="BO1548" s="48"/>
      <c r="BP1548" s="55"/>
      <c r="BQ1548" s="50" t="n">
        <v>5</v>
      </c>
      <c r="BR1548" s="50" t="n">
        <v>0</v>
      </c>
      <c r="BS1548" s="49" t="n">
        <v>0</v>
      </c>
      <c r="BT1548" s="50" t="n">
        <v>0</v>
      </c>
      <c r="BU1548" s="48" t="s">
        <v>2584</v>
      </c>
      <c r="BV1548" s="53" t="n">
        <v>0</v>
      </c>
      <c r="BW1548" s="53" t="n">
        <v>1548</v>
      </c>
      <c r="BX1548" s="48" t="str">
        <f aca="false">IF(U1548&lt;&gt;"",UPPER(TRIM(U1548)),IF(CA1548=1,UPPER(VLOOKUP(T1548,Parameter!$I$27:$K$29,2,0)),IF(P1548="","LOSE",P1548)))</f>
        <v>S32</v>
      </c>
      <c r="BY1548" s="50" t="n">
        <f aca="false">IF(BX1548="LOSE",1,IF(N(V1548)&gt;0,V1548,IF(CA1548=1,MAX(1,N(VLOOKUP(T1548,Parameter!$I$27:$K$29,3,0)),H1548,N(N1548)),IF(N(Q1548)&gt;0,Q1548,MAX(1,H1548)))))</f>
        <v>5</v>
      </c>
      <c r="BZ1548" s="53" t="n">
        <f aca="false">IF(BX1548="LOSE",1,0)</f>
        <v>0</v>
      </c>
      <c r="CA1548" s="53" t="n">
        <f aca="false">IF(AND(U1548="",OR(P1548="",P1548="LOSE"),T1548&lt;&gt;"",N(S1548)&lt;=0,ISNUMBER(MATCH(T1548,Parameter!$I$27:$I$29,0))),1,0)</f>
        <v>0</v>
      </c>
      <c r="CB1548" s="53" t="n">
        <f aca="false">IF(CQ1548&gt;0,INDEX(Parameter!$H$5:$H$7,W1548)/INDEX(Parameter!$E$5:$E$7,W1548),IF(AND(BZ1548=0,N(IFERROR(VLOOKUP(BX1548,'Gebinde-Kategorie'!$A$5:$N$45,14,0),0))&gt;0),VLOOKUP(BX1548,'Gebinde-Kategorie'!$A$5:$N$45,14,0)*10+Parameter!$M$23,Parameter!$M$24))</f>
        <v>155</v>
      </c>
      <c r="CC1548" s="48" t="str">
        <f aca="false">IF(AND(Parameter!$B$19="Ja",E1548&lt;&gt;"",ISNUMBER(MATCH(E1548,Parameter!$I$35:$I$52,0))),VLOOKUP(E1548,Parameter!$I$35:$J$52,2,0),IFERROR(VLOOKUP(D1548,Parameter!$A$35:$C$64,2,0),"Nein"))</f>
        <v>2+3</v>
      </c>
      <c r="CD1548" s="52" t="n">
        <f aca="false">IF(BZ1548=0,0,IF(N(S1548)&gt;0,S1548,IFERROR(VLOOKUP(D1548,Parameter!$A$35:$C$64,3,0)+0,0)))</f>
        <v>0</v>
      </c>
      <c r="CE1548" s="48" t="n">
        <f aca="false">IF(AA1548&lt;&gt;"",AA1548,Z1548)</f>
        <v>3</v>
      </c>
      <c r="CF1548" s="48" t="str">
        <f aca="false">IF(OR(CE1548=1,CE1548=2,CE1548=3),IF(Parameter!$E$27="Ja","LIFT",IF(CE1548=1,"L1","L23")),IF(CE1548="Aussen","Aussen","-"))</f>
        <v>LIFT</v>
      </c>
      <c r="CG1548" s="59" t="n">
        <f aca="false">IF(N(AB1548)&gt;0,AB1548,0)</f>
        <v>0</v>
      </c>
      <c r="CH1548" s="53" t="n">
        <f aca="false">IF(ISNUMBER(AE1548),1,0)</f>
        <v>0</v>
      </c>
      <c r="CI1548" s="50" t="n">
        <f aca="false">N(AE1548)</f>
        <v>0</v>
      </c>
      <c r="CJ1548" s="50" t="n">
        <f aca="false">N(M1548)+N(N1548)</f>
        <v>5</v>
      </c>
      <c r="CK1548" s="50" t="n">
        <f aca="false">N(M1548)</f>
        <v>0</v>
      </c>
      <c r="CL1548" s="50" t="n">
        <f aca="false">N(N1548)</f>
        <v>5</v>
      </c>
      <c r="CM1548" s="50" t="n">
        <f aca="false">ROUNDUP(H1548/BY1548,0)</f>
        <v>1</v>
      </c>
      <c r="CN1548" s="50" t="n">
        <f aca="false">ROUNDUP(CI1548/BY1548,0)</f>
        <v>0</v>
      </c>
      <c r="CO1548" s="53" t="n">
        <f aca="false">IF(BZ1548=1,0,IFERROR(VLOOKUP(BX1548,'Gebinde-Kategorie'!$A$5:$N$45,5,0)+0,0))</f>
        <v>8</v>
      </c>
      <c r="CP1548" s="53" t="n">
        <f aca="false">IFERROR(IF(OR(CE1548=1,CE1548=2,CE1548=3),N(INDEX(Parameter!$I$5:$I$7,CE1548)),0),0)</f>
        <v>0</v>
      </c>
      <c r="CQ1548" s="52" t="n">
        <f aca="false">IF(AND(Parameter!$B$21="Ja",ISNUMBER(W1548),N(X1548)&gt;0),IFERROR(N(INDEX(Parameter!$L$5:$L$7,W1548))*INDEX(Parameter!$E$5:$E$7,W1548)*X1548/SUMIFS($X$7:$X$1843,$W$7:$W$1843,W1548),0),0)</f>
        <v>0</v>
      </c>
    </row>
    <row r="1549" customFormat="false" ht="15" hidden="false" customHeight="false" outlineLevel="0" collapsed="false">
      <c r="A1549" s="48" t="s">
        <v>2716</v>
      </c>
      <c r="B1549" s="48" t="s">
        <v>2717</v>
      </c>
      <c r="C1549" s="48" t="s">
        <v>173</v>
      </c>
      <c r="D1549" s="48" t="s">
        <v>182</v>
      </c>
      <c r="E1549" s="48" t="s">
        <v>194</v>
      </c>
      <c r="F1549" s="48"/>
      <c r="G1549" s="49" t="n">
        <v>240</v>
      </c>
      <c r="H1549" s="50" t="n">
        <f aca="false">MAX(0,IF(AND(Parameter!$B$21="Ja",ISNUMBER(Y1549)),Y1549,IF(Parameter!$B$20="Jahresanfang 2025 + Export",BR1549+BQ1549,BQ1549)))</f>
        <v>46</v>
      </c>
      <c r="I1549" s="50" t="n">
        <f aca="false">H1549*G1549</f>
        <v>11040</v>
      </c>
      <c r="J1549" s="50" t="n">
        <f aca="false">BT1549*Parameter!$B$18</f>
        <v>0</v>
      </c>
      <c r="K1549" s="51"/>
      <c r="L1549" s="52"/>
      <c r="M1549" s="50" t="n">
        <v>0</v>
      </c>
      <c r="N1549" s="50" t="n">
        <v>20</v>
      </c>
      <c r="O1549" s="53" t="n">
        <v>28</v>
      </c>
      <c r="P1549" s="48" t="s">
        <v>235</v>
      </c>
      <c r="Q1549" s="50" t="n">
        <v>23</v>
      </c>
      <c r="R1549" s="53" t="n">
        <f aca="false">IF(BZ1549=1,0,IFERROR(VLOOKUP(BX1549,'Gebinde-Kategorie'!$A$5:$N$45,13,0)+0,0))</f>
        <v>12</v>
      </c>
      <c r="S1549" s="54"/>
      <c r="T1549" s="55"/>
      <c r="U1549" s="55"/>
      <c r="V1549" s="55"/>
      <c r="W1549" s="48"/>
      <c r="X1549" s="50"/>
      <c r="Y1549" s="50"/>
      <c r="Z1549" s="48" t="n">
        <f aca="false">IF(A1549="","",IF(AND(Parameter!$B$21="Ja",ISNUMBER(W1549)),W1549,IF(CC1549="2+3",IF(ISNUMBER(SEARCH("grosser Artikel",BU1549)),2,IFERROR(VLOOKUP(BX1549,Parameter!$F$35:$G$64,2,0),2)),IF(OR(CC1549="Nein",CC1549=""),"-",CC1549))))</f>
        <v>2</v>
      </c>
      <c r="AA1549" s="55"/>
      <c r="AB1549" s="56"/>
      <c r="AC1549" s="50" t="n">
        <f aca="false">AV1549</f>
        <v>20</v>
      </c>
      <c r="AD1549" s="50" t="n">
        <f aca="false">MAX(AV1549,H1549)</f>
        <v>46</v>
      </c>
      <c r="AE1549" s="57"/>
      <c r="AF1549" s="50" t="n">
        <f aca="false">IF(LEFT(Cockpit!$C$5,1)="A",H1549,IF(Parameter!$E$30="MAX-Bestand",IF(CH1549=1,CI1549,IF(LEFT(Cockpit!$C$5,1)="B",AL1549,MAX(AL1549,H1549))),ROUNDUP(AJ1549,0)))</f>
        <v>46</v>
      </c>
      <c r="AG1549" s="50" t="n">
        <f aca="false">IF(BZ1549=1,0,ROUNDUP(AF1549/BY1549,0))</f>
        <v>2</v>
      </c>
      <c r="AH1549" s="52" t="n">
        <f aca="false">IF(CQ1549&gt;0,CQ1549*MAX(1,AF1549/X1549),IF(BZ1549=1,IF(AF1549&lt;=0,0,CD1549*MAX(1,IF(H1549&gt;0,AF1549/H1549,1))),IF(R1549&gt;0,AG1549/R1549,0))/MAX(0.1,N(Parameter!$M$21)))</f>
        <v>0.166666666666667</v>
      </c>
      <c r="AI1549" s="50" t="n">
        <f aca="false">AH1549*CB1549</f>
        <v>57.5</v>
      </c>
      <c r="AJ1549" s="51" t="n">
        <f aca="false">IF(LEFT(Cockpit!$C$5,1)="A",H1549,IF(CH1549=1,(CK1549+CI1549)/2,IF(LEFT(Cockpit!$C$5,1)="B",(CK1549+AL1549)/2,MAX((CK1549+AL1549)/2,H1549))))</f>
        <v>46</v>
      </c>
      <c r="AK1549" s="50" t="n">
        <f aca="false">AJ1549*G1549</f>
        <v>11040</v>
      </c>
      <c r="AL1549" s="50" t="n">
        <f aca="false">ROUNDUP(CK1549+MAX(CL1549,2*(J1549/IF(CG1549&gt;0,CG1549,MAX(0.1,N(Cockpit!$C$6)))-CK1549)),0)</f>
        <v>20</v>
      </c>
      <c r="AM1549" s="51" t="n">
        <f aca="false">IF(AI1549&gt;0,J1549/AI1549,-1)</f>
        <v>0</v>
      </c>
      <c r="AN1549" s="51" t="n">
        <f aca="false">IF(AND(OR(CF1549="L1",CF1549="L23",CF1549="LIFT"),AI1549&gt;0),SUMIFS($AI$7:$AI$1843,$CF$7:$CF$1843,CF1549,$AM$7:$AM$1843,"&gt;"&amp;AM1549)+SUMIFS($AI$7:$AI$1843,$CF$7:$CF$1843,CF1549,$AM$7:$AM$1843,AM1549,$BW$7:$BW$1843,"&lt;="&amp;BW1549),"")</f>
        <v>30206.8945437801</v>
      </c>
      <c r="AO1549" s="58" t="n">
        <f aca="false">IF(AN1549="",0,MAX(0,MIN(1,(IF(CF1549="L1",Parameter!$H$5,IF(CF1549="L23",Parameter!$H$6+Parameter!$H$7,Parameter!$H$5+Parameter!$H$6+Parameter!$H$7))-(AN1549-AI1549))/AI1549)))</f>
        <v>1</v>
      </c>
      <c r="AP1549" s="50" t="n">
        <f aca="false">IF(LEFT(Cockpit!$I$5,1)="A",H1549,IF(Parameter!$E$30="MAX-Bestand",IF(CH1549=1,CI1549,IF(LEFT(Cockpit!$I$5,1)="B",AV1549,MAX(AV1549,H1549))),ROUNDUP(AT1549,0)))</f>
        <v>46</v>
      </c>
      <c r="AQ1549" s="50" t="n">
        <f aca="false">IF(BZ1549=1,0,ROUNDUP(AP1549/BY1549,0))</f>
        <v>2</v>
      </c>
      <c r="AR1549" s="52" t="n">
        <f aca="false">IF(CQ1549&gt;0,CQ1549*MAX(1,AP1549/X1549),IF(BZ1549=1,IF(AP1549&lt;=0,0,CD1549*MAX(1,IF(H1549&gt;0,AP1549/H1549,1))),IF(R1549&gt;0,AQ1549/R1549,0))/MAX(0.1,N(Parameter!$M$21)))</f>
        <v>0.166666666666667</v>
      </c>
      <c r="AS1549" s="50" t="n">
        <f aca="false">AR1549*CB1549</f>
        <v>57.5</v>
      </c>
      <c r="AT1549" s="51" t="n">
        <f aca="false">IF(LEFT(Cockpit!$I$5,1)="A",H1549,IF(CH1549=1,(CK1549+CI1549)/2,IF(LEFT(Cockpit!$I$5,1)="B",(CK1549+AV1549)/2,MAX((CK1549+AV1549)/2,H1549))))</f>
        <v>46</v>
      </c>
      <c r="AU1549" s="50" t="n">
        <f aca="false">AT1549*G1549</f>
        <v>11040</v>
      </c>
      <c r="AV1549" s="50" t="n">
        <f aca="false">ROUNDUP(CK1549+MAX(CL1549,2*(J1549/IF(CG1549&gt;0,CG1549,MAX(0.1,N(Cockpit!$I$6)))-CK1549)),0)</f>
        <v>20</v>
      </c>
      <c r="AW1549" s="51" t="n">
        <f aca="false">IF(AS1549&gt;0,J1549/AS1549,-1)</f>
        <v>0</v>
      </c>
      <c r="AX1549" s="51" t="n">
        <f aca="false">IF(AND(OR(CF1549="L1",CF1549="L23",CF1549="LIFT"),AS1549&gt;0),SUMIFS($AS$7:$AS$1843,$CF$7:$CF$1843,CF1549,$AW$7:$AW$1843,"&gt;"&amp;AW1549)+SUMIFS($AS$7:$AS$1843,$CF$7:$CF$1843,CF1549,$AW$7:$AW$1843,AW1549,$BW$7:$BW$1843,"&lt;="&amp;BW1549),"")</f>
        <v>36526.7510606155</v>
      </c>
      <c r="AY1549" s="58" t="n">
        <f aca="false">IF(AX1549="",0,MAX(0,MIN(1,(IF(CF1549="L1",Parameter!$H$5,IF(CF1549="L23",Parameter!$H$6+Parameter!$H$7,Parameter!$H$5+Parameter!$H$6+Parameter!$H$7))-(AX1549-AS1549))/AS1549)))</f>
        <v>0</v>
      </c>
      <c r="AZ1549" s="50" t="n">
        <f aca="false">IF(LEFT(Cockpit!$O$5,1)="A",H1549,IF(Parameter!$E$30="MAX-Bestand",IF(CH1549=1,CI1549,IF(LEFT(Cockpit!$O$5,1)="B",BF1549,MAX(BF1549,H1549))),ROUNDUP(BD1549,0)))</f>
        <v>10</v>
      </c>
      <c r="BA1549" s="50" t="n">
        <f aca="false">IF(BZ1549=1,0,ROUNDUP(AZ1549/BY1549,0))</f>
        <v>1</v>
      </c>
      <c r="BB1549" s="52" t="n">
        <f aca="false">IF(CQ1549&gt;0,CQ1549*MAX(1,AZ1549/X1549),IF(BZ1549=1,IF(AZ1549&lt;=0,0,CD1549*MAX(1,IF(H1549&gt;0,AZ1549/H1549,1))),IF(R1549&gt;0,BA1549/R1549,0))/MAX(0.1,N(Parameter!$M$21)))</f>
        <v>0.0833333333333333</v>
      </c>
      <c r="BC1549" s="50" t="n">
        <f aca="false">BB1549*CB1549</f>
        <v>28.75</v>
      </c>
      <c r="BD1549" s="51" t="n">
        <f aca="false">IF(LEFT(Cockpit!$O$5,1)="A",H1549,IF(CH1549=1,(CK1549+CI1549)/2,IF(LEFT(Cockpit!$O$5,1)="B",(CK1549+BF1549)/2,MAX((CK1549+BF1549)/2,H1549))))</f>
        <v>10</v>
      </c>
      <c r="BE1549" s="50" t="n">
        <f aca="false">BD1549*G1549</f>
        <v>2400</v>
      </c>
      <c r="BF1549" s="50" t="n">
        <f aca="false">ROUNDUP(CK1549+MAX(CL1549,2*(J1549/IF(CG1549&gt;0,CG1549,MAX(0.1,N(Cockpit!$O$6)))-CK1549)),0)</f>
        <v>20</v>
      </c>
      <c r="BG1549" s="51" t="n">
        <f aca="false">IF(BC1549&gt;0,J1549/BC1549,-1)</f>
        <v>0</v>
      </c>
      <c r="BH1549" s="51" t="n">
        <f aca="false">IF(AND(OR(CF1549="L1",CF1549="L23",CF1549="LIFT"),BC1549&gt;0),SUMIFS($BC$7:$BC$1843,$CF$7:$CF$1843,CF1549,$BG$7:$BG$1843,"&gt;"&amp;BG1549)+SUMIFS($BC$7:$BC$1843,$CF$7:$CF$1843,CF1549,$BG$7:$BG$1843,BG1549,$BW$7:$BW$1843,"&lt;="&amp;BW1549),"")</f>
        <v>30436.1923361478</v>
      </c>
      <c r="BI1549" s="58" t="n">
        <f aca="false">IF(BH1549="",0,MAX(0,MIN(1,(IF(CF1549="L1",Parameter!$H$5,IF(CF1549="L23",Parameter!$H$6+Parameter!$H$7,Parameter!$H$5+Parameter!$H$6+Parameter!$H$7))-(BH1549-BC1549))/BC1549)))</f>
        <v>1</v>
      </c>
      <c r="BJ1549" s="48" t="str">
        <f aca="false">IF(AI1549&lt;=0,"",IF(CF1549="Aussen","Aussenlager",IF(CF1549="-","Nicht im Lift",IF(AO1549&gt;=1,"Lift",IF(AO1549&lt;=0,"Aussenlager","teilweise")))))</f>
        <v>Lift</v>
      </c>
      <c r="BK1549" s="48" t="str">
        <f aca="false">IF(AS1549&lt;=0,"",IF(CF1549="Aussen","Aussenlager",IF(CF1549="-","Nicht im Lift",IF(AY1549&gt;=1,"Lift",IF(AY1549&lt;=0,"Aussenlager","teilweise")))))</f>
        <v>Aussenlager</v>
      </c>
      <c r="BL1549" s="48" t="str">
        <f aca="false">IF(BC1549&lt;=0,"",IF(CF1549="Aussen","Aussenlager",IF(CF1549="-","Nicht im Lift",IF(BI1549&gt;=1,"Lift",IF(BI1549&lt;=0,"Aussenlager","teilweise")))))</f>
        <v>Lift</v>
      </c>
      <c r="BM1549" s="48" t="str">
        <f aca="false">IF(A1549="","",IF(BV1549=1,"Neu; ","")&amp;IF(AND(BV1549=0,BQ1549&lt;0),"negativer Bestand (Export "&amp;BQ1549&amp;"); ","")&amp;IF(J1549&lt;=0,"Kein Verbrauch; ","")&amp;IF(CQ1549&gt;0,"Lift "&amp;W1549&amp;" lt. Liftbericht (Fach "&amp;X1549&amp;" Stk); ",IF(CA1549=1,"Gebinde geschätzt ("&amp;T1549&amp;"); ",IF(BZ1549=1,"Lose – Tablare geschätzt; ","")))&amp;IF(H1549&gt;AV1549,"Überbestand "&amp;ROUND(H1549-AV1549,0)&amp;" Stk / CHF "&amp;ROUND((H1549-AV1549)*G1549,0)&amp;"; ","")&amp;IF(AND(CH1549=1,CI1549&lt;CJ1549),"MAX &lt; MB+LG; ","")&amp;IF(AND(CP1549&gt;0,CO1549*10&gt;CP1549),"zu hoch für Tablar; ","")&amp;IF(AND(BV1549=0,OR(CH1549=1,AA1549&lt;&gt;"",U1549&lt;&gt;"",V1549&lt;&gt;"",AB1549&lt;&gt;"")),"manuell übersteuert; ","")&amp;IF(AND(BZ1549=0,R1549=0),"Gebinde unbekannt / Stellmass fehlt; ","")&amp;IF(AND(BZ1549=0,N(V1549)&lt;=0,N(Q1549)&lt;=0),"Menge pro Gebinde fehlt (Ist = 1 Gebinde); ","")&amp;BU1549)</f>
        <v>Kein Verbrauch; Überbestand 26 Stk / CHF 6240; nur im Artikelstamm (Bestand 23.06.2026)</v>
      </c>
      <c r="BN1549" s="48"/>
      <c r="BO1549" s="48"/>
      <c r="BP1549" s="55"/>
      <c r="BQ1549" s="50" t="n">
        <v>46</v>
      </c>
      <c r="BR1549" s="50" t="n">
        <v>0</v>
      </c>
      <c r="BS1549" s="49" t="n">
        <v>0</v>
      </c>
      <c r="BT1549" s="50" t="n">
        <v>0</v>
      </c>
      <c r="BU1549" s="48" t="s">
        <v>2584</v>
      </c>
      <c r="BV1549" s="53" t="n">
        <v>0</v>
      </c>
      <c r="BW1549" s="53" t="n">
        <v>1549</v>
      </c>
      <c r="BX1549" s="48" t="str">
        <f aca="false">IF(U1549&lt;&gt;"",UPPER(TRIM(U1549)),IF(CA1549=1,UPPER(VLOOKUP(T1549,Parameter!$I$27:$K$29,2,0)),IF(P1549="","LOSE",P1549)))</f>
        <v>S63</v>
      </c>
      <c r="BY1549" s="50" t="n">
        <f aca="false">IF(BX1549="LOSE",1,IF(N(V1549)&gt;0,V1549,IF(CA1549=1,MAX(1,N(VLOOKUP(T1549,Parameter!$I$27:$K$29,3,0)),H1549,N(N1549)),IF(N(Q1549)&gt;0,Q1549,MAX(1,H1549)))))</f>
        <v>23</v>
      </c>
      <c r="BZ1549" s="53" t="n">
        <f aca="false">IF(BX1549="LOSE",1,0)</f>
        <v>0</v>
      </c>
      <c r="CA1549" s="53" t="n">
        <f aca="false">IF(AND(U1549="",OR(P1549="",P1549="LOSE"),T1549&lt;&gt;"",N(S1549)&lt;=0,ISNUMBER(MATCH(T1549,Parameter!$I$27:$I$29,0))),1,0)</f>
        <v>0</v>
      </c>
      <c r="CB1549" s="53" t="n">
        <f aca="false">IF(CQ1549&gt;0,INDEX(Parameter!$H$5:$H$7,W1549)/INDEX(Parameter!$E$5:$E$7,W1549),IF(AND(BZ1549=0,N(IFERROR(VLOOKUP(BX1549,'Gebinde-Kategorie'!$A$5:$N$45,14,0),0))&gt;0),VLOOKUP(BX1549,'Gebinde-Kategorie'!$A$5:$N$45,14,0)*10+Parameter!$M$23,Parameter!$M$24))</f>
        <v>345</v>
      </c>
      <c r="CC1549" s="48" t="str">
        <f aca="false">IF(AND(Parameter!$B$19="Ja",E1549&lt;&gt;"",ISNUMBER(MATCH(E1549,Parameter!$I$35:$I$52,0))),VLOOKUP(E1549,Parameter!$I$35:$J$52,2,0),IFERROR(VLOOKUP(D1549,Parameter!$A$35:$C$64,2,0),"Nein"))</f>
        <v>2+3</v>
      </c>
      <c r="CD1549" s="52" t="n">
        <f aca="false">IF(BZ1549=0,0,IF(N(S1549)&gt;0,S1549,IFERROR(VLOOKUP(D1549,Parameter!$A$35:$C$64,3,0)+0,0)))</f>
        <v>0</v>
      </c>
      <c r="CE1549" s="48" t="n">
        <f aca="false">IF(AA1549&lt;&gt;"",AA1549,Z1549)</f>
        <v>2</v>
      </c>
      <c r="CF1549" s="48" t="str">
        <f aca="false">IF(OR(CE1549=1,CE1549=2,CE1549=3),IF(Parameter!$E$27="Ja","LIFT",IF(CE1549=1,"L1","L23")),IF(CE1549="Aussen","Aussen","-"))</f>
        <v>LIFT</v>
      </c>
      <c r="CG1549" s="59" t="n">
        <f aca="false">IF(N(AB1549)&gt;0,AB1549,0)</f>
        <v>0</v>
      </c>
      <c r="CH1549" s="53" t="n">
        <f aca="false">IF(ISNUMBER(AE1549),1,0)</f>
        <v>0</v>
      </c>
      <c r="CI1549" s="50" t="n">
        <f aca="false">N(AE1549)</f>
        <v>0</v>
      </c>
      <c r="CJ1549" s="50" t="n">
        <f aca="false">N(M1549)+N(N1549)</f>
        <v>20</v>
      </c>
      <c r="CK1549" s="50" t="n">
        <f aca="false">N(M1549)</f>
        <v>0</v>
      </c>
      <c r="CL1549" s="50" t="n">
        <f aca="false">N(N1549)</f>
        <v>20</v>
      </c>
      <c r="CM1549" s="50" t="n">
        <f aca="false">ROUNDUP(H1549/BY1549,0)</f>
        <v>2</v>
      </c>
      <c r="CN1549" s="50" t="n">
        <f aca="false">ROUNDUP(CI1549/BY1549,0)</f>
        <v>0</v>
      </c>
      <c r="CO1549" s="53" t="n">
        <f aca="false">IF(BZ1549=1,0,IFERROR(VLOOKUP(BX1549,'Gebinde-Kategorie'!$A$5:$N$45,5,0)+0,0))</f>
        <v>31</v>
      </c>
      <c r="CP1549" s="53" t="n">
        <f aca="false">IFERROR(IF(OR(CE1549=1,CE1549=2,CE1549=3),N(INDEX(Parameter!$I$5:$I$7,CE1549)),0),0)</f>
        <v>0</v>
      </c>
      <c r="CQ1549" s="52" t="n">
        <f aca="false">IF(AND(Parameter!$B$21="Ja",ISNUMBER(W1549),N(X1549)&gt;0),IFERROR(N(INDEX(Parameter!$L$5:$L$7,W1549))*INDEX(Parameter!$E$5:$E$7,W1549)*X1549/SUMIFS($X$7:$X$1843,$W$7:$W$1843,W1549),0),0)</f>
        <v>0</v>
      </c>
    </row>
    <row r="1550" customFormat="false" ht="15" hidden="false" customHeight="false" outlineLevel="0" collapsed="false">
      <c r="A1550" s="48" t="s">
        <v>2718</v>
      </c>
      <c r="B1550" s="48" t="s">
        <v>2719</v>
      </c>
      <c r="C1550" s="48" t="s">
        <v>173</v>
      </c>
      <c r="D1550" s="48" t="s">
        <v>193</v>
      </c>
      <c r="E1550" s="48" t="s">
        <v>194</v>
      </c>
      <c r="F1550" s="48"/>
      <c r="G1550" s="49" t="n">
        <v>9.09</v>
      </c>
      <c r="H1550" s="50" t="n">
        <f aca="false">MAX(0,IF(AND(Parameter!$B$21="Ja",ISNUMBER(Y1550)),Y1550,IF(Parameter!$B$20="Jahresanfang 2025 + Export",BR1550+BQ1550,BQ1550)))</f>
        <v>11</v>
      </c>
      <c r="I1550" s="50" t="n">
        <f aca="false">H1550*G1550</f>
        <v>99.99</v>
      </c>
      <c r="J1550" s="50" t="n">
        <f aca="false">BT1550*Parameter!$B$18</f>
        <v>0</v>
      </c>
      <c r="K1550" s="51"/>
      <c r="L1550" s="52"/>
      <c r="M1550" s="50" t="n">
        <v>0</v>
      </c>
      <c r="N1550" s="50" t="n">
        <v>1</v>
      </c>
      <c r="O1550" s="53" t="n">
        <v>28</v>
      </c>
      <c r="P1550" s="48" t="s">
        <v>337</v>
      </c>
      <c r="Q1550" s="50" t="n">
        <v>11</v>
      </c>
      <c r="R1550" s="53" t="n">
        <f aca="false">IF(BZ1550=1,0,IFERROR(VLOOKUP(BX1550,'Gebinde-Kategorie'!$A$5:$N$45,13,0)+0,0))</f>
        <v>52</v>
      </c>
      <c r="S1550" s="54"/>
      <c r="T1550" s="55"/>
      <c r="U1550" s="55"/>
      <c r="V1550" s="55"/>
      <c r="W1550" s="48"/>
      <c r="X1550" s="50"/>
      <c r="Y1550" s="50"/>
      <c r="Z1550" s="48" t="n">
        <f aca="false">IF(A1550="","",IF(AND(Parameter!$B$21="Ja",ISNUMBER(W1550)),W1550,IF(CC1550="2+3",IF(ISNUMBER(SEARCH("grosser Artikel",BU1550)),2,IFERROR(VLOOKUP(BX1550,Parameter!$F$35:$G$64,2,0),2)),IF(OR(CC1550="Nein",CC1550=""),"-",CC1550))))</f>
        <v>3</v>
      </c>
      <c r="AA1550" s="55"/>
      <c r="AB1550" s="56"/>
      <c r="AC1550" s="50" t="n">
        <f aca="false">AV1550</f>
        <v>1</v>
      </c>
      <c r="AD1550" s="50" t="n">
        <f aca="false">MAX(AV1550,H1550)</f>
        <v>11</v>
      </c>
      <c r="AE1550" s="57"/>
      <c r="AF1550" s="50" t="n">
        <f aca="false">IF(LEFT(Cockpit!$C$5,1)="A",H1550,IF(Parameter!$E$30="MAX-Bestand",IF(CH1550=1,CI1550,IF(LEFT(Cockpit!$C$5,1)="B",AL1550,MAX(AL1550,H1550))),ROUNDUP(AJ1550,0)))</f>
        <v>11</v>
      </c>
      <c r="AG1550" s="50" t="n">
        <f aca="false">IF(BZ1550=1,0,ROUNDUP(AF1550/BY1550,0))</f>
        <v>1</v>
      </c>
      <c r="AH1550" s="52" t="n">
        <f aca="false">IF(CQ1550&gt;0,CQ1550*MAX(1,AF1550/X1550),IF(BZ1550=1,IF(AF1550&lt;=0,0,CD1550*MAX(1,IF(H1550&gt;0,AF1550/H1550,1))),IF(R1550&gt;0,AG1550/R1550,0))/MAX(0.1,N(Parameter!$M$21)))</f>
        <v>0.0192307692307692</v>
      </c>
      <c r="AI1550" s="50" t="n">
        <f aca="false">AH1550*CB1550</f>
        <v>2.98076923076923</v>
      </c>
      <c r="AJ1550" s="51" t="n">
        <f aca="false">IF(LEFT(Cockpit!$C$5,1)="A",H1550,IF(CH1550=1,(CK1550+CI1550)/2,IF(LEFT(Cockpit!$C$5,1)="B",(CK1550+AL1550)/2,MAX((CK1550+AL1550)/2,H1550))))</f>
        <v>11</v>
      </c>
      <c r="AK1550" s="50" t="n">
        <f aca="false">AJ1550*G1550</f>
        <v>99.99</v>
      </c>
      <c r="AL1550" s="50" t="n">
        <f aca="false">ROUNDUP(CK1550+MAX(CL1550,2*(J1550/IF(CG1550&gt;0,CG1550,MAX(0.1,N(Cockpit!$C$6)))-CK1550)),0)</f>
        <v>1</v>
      </c>
      <c r="AM1550" s="51" t="n">
        <f aca="false">IF(AI1550&gt;0,J1550/AI1550,-1)</f>
        <v>0</v>
      </c>
      <c r="AN1550" s="51" t="n">
        <f aca="false">IF(AND(OR(CF1550="L1",CF1550="L23",CF1550="LIFT"),AI1550&gt;0),SUMIFS($AI$7:$AI$1843,$CF$7:$CF$1843,CF1550,$AM$7:$AM$1843,"&gt;"&amp;AM1550)+SUMIFS($AI$7:$AI$1843,$CF$7:$CF$1843,CF1550,$AM$7:$AM$1843,AM1550,$BW$7:$BW$1843,"&lt;="&amp;BW1550),"")</f>
        <v>30209.8753130109</v>
      </c>
      <c r="AO1550" s="58" t="n">
        <f aca="false">IF(AN1550="",0,MAX(0,MIN(1,(IF(CF1550="L1",Parameter!$H$5,IF(CF1550="L23",Parameter!$H$6+Parameter!$H$7,Parameter!$H$5+Parameter!$H$6+Parameter!$H$7))-(AN1550-AI1550))/AI1550)))</f>
        <v>1</v>
      </c>
      <c r="AP1550" s="50" t="n">
        <f aca="false">IF(LEFT(Cockpit!$I$5,1)="A",H1550,IF(Parameter!$E$30="MAX-Bestand",IF(CH1550=1,CI1550,IF(LEFT(Cockpit!$I$5,1)="B",AV1550,MAX(AV1550,H1550))),ROUNDUP(AT1550,0)))</f>
        <v>11</v>
      </c>
      <c r="AQ1550" s="50" t="n">
        <f aca="false">IF(BZ1550=1,0,ROUNDUP(AP1550/BY1550,0))</f>
        <v>1</v>
      </c>
      <c r="AR1550" s="52" t="n">
        <f aca="false">IF(CQ1550&gt;0,CQ1550*MAX(1,AP1550/X1550),IF(BZ1550=1,IF(AP1550&lt;=0,0,CD1550*MAX(1,IF(H1550&gt;0,AP1550/H1550,1))),IF(R1550&gt;0,AQ1550/R1550,0))/MAX(0.1,N(Parameter!$M$21)))</f>
        <v>0.0192307692307692</v>
      </c>
      <c r="AS1550" s="50" t="n">
        <f aca="false">AR1550*CB1550</f>
        <v>2.98076923076923</v>
      </c>
      <c r="AT1550" s="51" t="n">
        <f aca="false">IF(LEFT(Cockpit!$I$5,1)="A",H1550,IF(CH1550=1,(CK1550+CI1550)/2,IF(LEFT(Cockpit!$I$5,1)="B",(CK1550+AV1550)/2,MAX((CK1550+AV1550)/2,H1550))))</f>
        <v>11</v>
      </c>
      <c r="AU1550" s="50" t="n">
        <f aca="false">AT1550*G1550</f>
        <v>99.99</v>
      </c>
      <c r="AV1550" s="50" t="n">
        <f aca="false">ROUNDUP(CK1550+MAX(CL1550,2*(J1550/IF(CG1550&gt;0,CG1550,MAX(0.1,N(Cockpit!$I$6)))-CK1550)),0)</f>
        <v>1</v>
      </c>
      <c r="AW1550" s="51" t="n">
        <f aca="false">IF(AS1550&gt;0,J1550/AS1550,-1)</f>
        <v>0</v>
      </c>
      <c r="AX1550" s="51" t="n">
        <f aca="false">IF(AND(OR(CF1550="L1",CF1550="L23",CF1550="LIFT"),AS1550&gt;0),SUMIFS($AS$7:$AS$1843,$CF$7:$CF$1843,CF1550,$AW$7:$AW$1843,"&gt;"&amp;AW1550)+SUMIFS($AS$7:$AS$1843,$CF$7:$CF$1843,CF1550,$AW$7:$AW$1843,AW1550,$BW$7:$BW$1843,"&lt;="&amp;BW1550),"")</f>
        <v>36529.7318298462</v>
      </c>
      <c r="AY1550" s="58" t="n">
        <f aca="false">IF(AX1550="",0,MAX(0,MIN(1,(IF(CF1550="L1",Parameter!$H$5,IF(CF1550="L23",Parameter!$H$6+Parameter!$H$7,Parameter!$H$5+Parameter!$H$6+Parameter!$H$7))-(AX1550-AS1550))/AS1550)))</f>
        <v>0</v>
      </c>
      <c r="AZ1550" s="50" t="n">
        <f aca="false">IF(LEFT(Cockpit!$O$5,1)="A",H1550,IF(Parameter!$E$30="MAX-Bestand",IF(CH1550=1,CI1550,IF(LEFT(Cockpit!$O$5,1)="B",BF1550,MAX(BF1550,H1550))),ROUNDUP(BD1550,0)))</f>
        <v>1</v>
      </c>
      <c r="BA1550" s="50" t="n">
        <f aca="false">IF(BZ1550=1,0,ROUNDUP(AZ1550/BY1550,0))</f>
        <v>1</v>
      </c>
      <c r="BB1550" s="52" t="n">
        <f aca="false">IF(CQ1550&gt;0,CQ1550*MAX(1,AZ1550/X1550),IF(BZ1550=1,IF(AZ1550&lt;=0,0,CD1550*MAX(1,IF(H1550&gt;0,AZ1550/H1550,1))),IF(R1550&gt;0,BA1550/R1550,0))/MAX(0.1,N(Parameter!$M$21)))</f>
        <v>0.0192307692307692</v>
      </c>
      <c r="BC1550" s="50" t="n">
        <f aca="false">BB1550*CB1550</f>
        <v>2.98076923076923</v>
      </c>
      <c r="BD1550" s="51" t="n">
        <f aca="false">IF(LEFT(Cockpit!$O$5,1)="A",H1550,IF(CH1550=1,(CK1550+CI1550)/2,IF(LEFT(Cockpit!$O$5,1)="B",(CK1550+BF1550)/2,MAX((CK1550+BF1550)/2,H1550))))</f>
        <v>0.5</v>
      </c>
      <c r="BE1550" s="50" t="n">
        <f aca="false">BD1550*G1550</f>
        <v>4.545</v>
      </c>
      <c r="BF1550" s="50" t="n">
        <f aca="false">ROUNDUP(CK1550+MAX(CL1550,2*(J1550/IF(CG1550&gt;0,CG1550,MAX(0.1,N(Cockpit!$O$6)))-CK1550)),0)</f>
        <v>1</v>
      </c>
      <c r="BG1550" s="51" t="n">
        <f aca="false">IF(BC1550&gt;0,J1550/BC1550,-1)</f>
        <v>0</v>
      </c>
      <c r="BH1550" s="51" t="n">
        <f aca="false">IF(AND(OR(CF1550="L1",CF1550="L23",CF1550="LIFT"),BC1550&gt;0),SUMIFS($BC$7:$BC$1843,$CF$7:$CF$1843,CF1550,$BG$7:$BG$1843,"&gt;"&amp;BG1550)+SUMIFS($BC$7:$BC$1843,$CF$7:$CF$1843,CF1550,$BG$7:$BG$1843,BG1550,$BW$7:$BW$1843,"&lt;="&amp;BW1550),"")</f>
        <v>30439.1731053786</v>
      </c>
      <c r="BI1550" s="58" t="n">
        <f aca="false">IF(BH1550="",0,MAX(0,MIN(1,(IF(CF1550="L1",Parameter!$H$5,IF(CF1550="L23",Parameter!$H$6+Parameter!$H$7,Parameter!$H$5+Parameter!$H$6+Parameter!$H$7))-(BH1550-BC1550))/BC1550)))</f>
        <v>1</v>
      </c>
      <c r="BJ1550" s="48" t="str">
        <f aca="false">IF(AI1550&lt;=0,"",IF(CF1550="Aussen","Aussenlager",IF(CF1550="-","Nicht im Lift",IF(AO1550&gt;=1,"Lift",IF(AO1550&lt;=0,"Aussenlager","teilweise")))))</f>
        <v>Lift</v>
      </c>
      <c r="BK1550" s="48" t="str">
        <f aca="false">IF(AS1550&lt;=0,"",IF(CF1550="Aussen","Aussenlager",IF(CF1550="-","Nicht im Lift",IF(AY1550&gt;=1,"Lift",IF(AY1550&lt;=0,"Aussenlager","teilweise")))))</f>
        <v>Aussenlager</v>
      </c>
      <c r="BL1550" s="48" t="str">
        <f aca="false">IF(BC1550&lt;=0,"",IF(CF1550="Aussen","Aussenlager",IF(CF1550="-","Nicht im Lift",IF(BI1550&gt;=1,"Lift",IF(BI1550&lt;=0,"Aussenlager","teilweise")))))</f>
        <v>Lift</v>
      </c>
      <c r="BM1550" s="48" t="str">
        <f aca="false">IF(A1550="","",IF(BV1550=1,"Neu; ","")&amp;IF(AND(BV1550=0,BQ1550&lt;0),"negativer Bestand (Export "&amp;BQ1550&amp;"); ","")&amp;IF(J1550&lt;=0,"Kein Verbrauch; ","")&amp;IF(CQ1550&gt;0,"Lift "&amp;W1550&amp;" lt. Liftbericht (Fach "&amp;X1550&amp;" Stk); ",IF(CA1550=1,"Gebinde geschätzt ("&amp;T1550&amp;"); ",IF(BZ1550=1,"Lose – Tablare geschätzt; ","")))&amp;IF(H1550&gt;AV1550,"Überbestand "&amp;ROUND(H1550-AV1550,0)&amp;" Stk / CHF "&amp;ROUND((H1550-AV1550)*G1550,0)&amp;"; ","")&amp;IF(AND(CH1550=1,CI1550&lt;CJ1550),"MAX &lt; MB+LG; ","")&amp;IF(AND(CP1550&gt;0,CO1550*10&gt;CP1550),"zu hoch für Tablar; ","")&amp;IF(AND(BV1550=0,OR(CH1550=1,AA1550&lt;&gt;"",U1550&lt;&gt;"",V1550&lt;&gt;"",AB1550&lt;&gt;"")),"manuell übersteuert; ","")&amp;IF(AND(BZ1550=0,R1550=0),"Gebinde unbekannt / Stellmass fehlt; ","")&amp;IF(AND(BZ1550=0,N(V1550)&lt;=0,N(Q1550)&lt;=0),"Menge pro Gebinde fehlt (Ist = 1 Gebinde); ","")&amp;BU1550)</f>
        <v>Kein Verbrauch; Überbestand 10 Stk / CHF 91; nur im Artikelstamm (Bestand 23.06.2026)</v>
      </c>
      <c r="BN1550" s="48"/>
      <c r="BO1550" s="48"/>
      <c r="BP1550" s="55"/>
      <c r="BQ1550" s="50" t="n">
        <v>11</v>
      </c>
      <c r="BR1550" s="50" t="n">
        <v>0</v>
      </c>
      <c r="BS1550" s="49" t="n">
        <v>0</v>
      </c>
      <c r="BT1550" s="50" t="n">
        <v>0</v>
      </c>
      <c r="BU1550" s="48" t="s">
        <v>2584</v>
      </c>
      <c r="BV1550" s="53" t="n">
        <v>0</v>
      </c>
      <c r="BW1550" s="53" t="n">
        <v>1550</v>
      </c>
      <c r="BX1550" s="48" t="str">
        <f aca="false">IF(U1550&lt;&gt;"",UPPER(TRIM(U1550)),IF(CA1550=1,UPPER(VLOOKUP(T1550,Parameter!$I$27:$K$29,2,0)),IF(P1550="","LOSE",P1550)))</f>
        <v>S41</v>
      </c>
      <c r="BY1550" s="50" t="n">
        <f aca="false">IF(BX1550="LOSE",1,IF(N(V1550)&gt;0,V1550,IF(CA1550=1,MAX(1,N(VLOOKUP(T1550,Parameter!$I$27:$K$29,3,0)),H1550,N(N1550)),IF(N(Q1550)&gt;0,Q1550,MAX(1,H1550)))))</f>
        <v>11</v>
      </c>
      <c r="BZ1550" s="53" t="n">
        <f aca="false">IF(BX1550="LOSE",1,0)</f>
        <v>0</v>
      </c>
      <c r="CA1550" s="53" t="n">
        <f aca="false">IF(AND(U1550="",OR(P1550="",P1550="LOSE"),T1550&lt;&gt;"",N(S1550)&lt;=0,ISNUMBER(MATCH(T1550,Parameter!$I$27:$I$29,0))),1,0)</f>
        <v>0</v>
      </c>
      <c r="CB1550" s="53" t="n">
        <f aca="false">IF(CQ1550&gt;0,INDEX(Parameter!$H$5:$H$7,W1550)/INDEX(Parameter!$E$5:$E$7,W1550),IF(AND(BZ1550=0,N(IFERROR(VLOOKUP(BX1550,'Gebinde-Kategorie'!$A$5:$N$45,14,0),0))&gt;0),VLOOKUP(BX1550,'Gebinde-Kategorie'!$A$5:$N$45,14,0)*10+Parameter!$M$23,Parameter!$M$24))</f>
        <v>155</v>
      </c>
      <c r="CC1550" s="48" t="str">
        <f aca="false">IF(AND(Parameter!$B$19="Ja",E1550&lt;&gt;"",ISNUMBER(MATCH(E1550,Parameter!$I$35:$I$52,0))),VLOOKUP(E1550,Parameter!$I$35:$J$52,2,0),IFERROR(VLOOKUP(D1550,Parameter!$A$35:$C$64,2,0),"Nein"))</f>
        <v>2+3</v>
      </c>
      <c r="CD1550" s="52" t="n">
        <f aca="false">IF(BZ1550=0,0,IF(N(S1550)&gt;0,S1550,IFERROR(VLOOKUP(D1550,Parameter!$A$35:$C$64,3,0)+0,0)))</f>
        <v>0</v>
      </c>
      <c r="CE1550" s="48" t="n">
        <f aca="false">IF(AA1550&lt;&gt;"",AA1550,Z1550)</f>
        <v>3</v>
      </c>
      <c r="CF1550" s="48" t="str">
        <f aca="false">IF(OR(CE1550=1,CE1550=2,CE1550=3),IF(Parameter!$E$27="Ja","LIFT",IF(CE1550=1,"L1","L23")),IF(CE1550="Aussen","Aussen","-"))</f>
        <v>LIFT</v>
      </c>
      <c r="CG1550" s="59" t="n">
        <f aca="false">IF(N(AB1550)&gt;0,AB1550,0)</f>
        <v>0</v>
      </c>
      <c r="CH1550" s="53" t="n">
        <f aca="false">IF(ISNUMBER(AE1550),1,0)</f>
        <v>0</v>
      </c>
      <c r="CI1550" s="50" t="n">
        <f aca="false">N(AE1550)</f>
        <v>0</v>
      </c>
      <c r="CJ1550" s="50" t="n">
        <f aca="false">N(M1550)+N(N1550)</f>
        <v>1</v>
      </c>
      <c r="CK1550" s="50" t="n">
        <f aca="false">N(M1550)</f>
        <v>0</v>
      </c>
      <c r="CL1550" s="50" t="n">
        <f aca="false">N(N1550)</f>
        <v>1</v>
      </c>
      <c r="CM1550" s="50" t="n">
        <f aca="false">ROUNDUP(H1550/BY1550,0)</f>
        <v>1</v>
      </c>
      <c r="CN1550" s="50" t="n">
        <f aca="false">ROUNDUP(CI1550/BY1550,0)</f>
        <v>0</v>
      </c>
      <c r="CO1550" s="53" t="n">
        <f aca="false">IF(BZ1550=1,0,IFERROR(VLOOKUP(BX1550,'Gebinde-Kategorie'!$A$5:$N$45,5,0)+0,0))</f>
        <v>11</v>
      </c>
      <c r="CP1550" s="53" t="n">
        <f aca="false">IFERROR(IF(OR(CE1550=1,CE1550=2,CE1550=3),N(INDEX(Parameter!$I$5:$I$7,CE1550)),0),0)</f>
        <v>0</v>
      </c>
      <c r="CQ1550" s="52" t="n">
        <f aca="false">IF(AND(Parameter!$B$21="Ja",ISNUMBER(W1550),N(X1550)&gt;0),IFERROR(N(INDEX(Parameter!$L$5:$L$7,W1550))*INDEX(Parameter!$E$5:$E$7,W1550)*X1550/SUMIFS($X$7:$X$1843,$W$7:$W$1843,W1550),0),0)</f>
        <v>0</v>
      </c>
    </row>
    <row r="1551" customFormat="false" ht="15" hidden="false" customHeight="false" outlineLevel="0" collapsed="false">
      <c r="A1551" s="48" t="s">
        <v>2720</v>
      </c>
      <c r="B1551" s="48" t="s">
        <v>607</v>
      </c>
      <c r="C1551" s="48" t="s">
        <v>173</v>
      </c>
      <c r="D1551" s="48" t="s">
        <v>182</v>
      </c>
      <c r="E1551" s="48" t="s">
        <v>194</v>
      </c>
      <c r="F1551" s="48"/>
      <c r="G1551" s="49" t="n">
        <v>40.28</v>
      </c>
      <c r="H1551" s="50" t="n">
        <f aca="false">MAX(0,IF(AND(Parameter!$B$21="Ja",ISNUMBER(Y1551)),Y1551,IF(Parameter!$B$20="Jahresanfang 2025 + Export",BR1551+BQ1551,BQ1551)))</f>
        <v>13</v>
      </c>
      <c r="I1551" s="50" t="n">
        <f aca="false">H1551*G1551</f>
        <v>523.64</v>
      </c>
      <c r="J1551" s="50" t="n">
        <f aca="false">BT1551*Parameter!$B$18</f>
        <v>0</v>
      </c>
      <c r="K1551" s="51"/>
      <c r="L1551" s="52"/>
      <c r="M1551" s="50" t="n">
        <v>0</v>
      </c>
      <c r="N1551" s="50" t="n">
        <v>1</v>
      </c>
      <c r="O1551" s="53" t="n">
        <v>84</v>
      </c>
      <c r="P1551" s="48" t="s">
        <v>430</v>
      </c>
      <c r="Q1551" s="50" t="n">
        <v>13</v>
      </c>
      <c r="R1551" s="53" t="n">
        <f aca="false">IF(BZ1551=1,0,IFERROR(VLOOKUP(BX1551,'Gebinde-Kategorie'!$A$5:$N$45,13,0)+0,0))</f>
        <v>104</v>
      </c>
      <c r="S1551" s="54"/>
      <c r="T1551" s="55"/>
      <c r="U1551" s="55"/>
      <c r="V1551" s="55"/>
      <c r="W1551" s="48"/>
      <c r="X1551" s="50"/>
      <c r="Y1551" s="50"/>
      <c r="Z1551" s="48" t="n">
        <f aca="false">IF(A1551="","",IF(AND(Parameter!$B$21="Ja",ISNUMBER(W1551)),W1551,IF(CC1551="2+3",IF(ISNUMBER(SEARCH("grosser Artikel",BU1551)),2,IFERROR(VLOOKUP(BX1551,Parameter!$F$35:$G$64,2,0),2)),IF(OR(CC1551="Nein",CC1551=""),"-",CC1551))))</f>
        <v>3</v>
      </c>
      <c r="AA1551" s="55"/>
      <c r="AB1551" s="56"/>
      <c r="AC1551" s="50" t="n">
        <f aca="false">AV1551</f>
        <v>1</v>
      </c>
      <c r="AD1551" s="50" t="n">
        <f aca="false">MAX(AV1551,H1551)</f>
        <v>13</v>
      </c>
      <c r="AE1551" s="57"/>
      <c r="AF1551" s="50" t="n">
        <f aca="false">IF(LEFT(Cockpit!$C$5,1)="A",H1551,IF(Parameter!$E$30="MAX-Bestand",IF(CH1551=1,CI1551,IF(LEFT(Cockpit!$C$5,1)="B",AL1551,MAX(AL1551,H1551))),ROUNDUP(AJ1551,0)))</f>
        <v>13</v>
      </c>
      <c r="AG1551" s="50" t="n">
        <f aca="false">IF(BZ1551=1,0,ROUNDUP(AF1551/BY1551,0))</f>
        <v>1</v>
      </c>
      <c r="AH1551" s="52" t="n">
        <f aca="false">IF(CQ1551&gt;0,CQ1551*MAX(1,AF1551/X1551),IF(BZ1551=1,IF(AF1551&lt;=0,0,CD1551*MAX(1,IF(H1551&gt;0,AF1551/H1551,1))),IF(R1551&gt;0,AG1551/R1551,0))/MAX(0.1,N(Parameter!$M$21)))</f>
        <v>0.00961538461538462</v>
      </c>
      <c r="AI1551" s="50" t="n">
        <f aca="false">AH1551*CB1551</f>
        <v>1.49038461538462</v>
      </c>
      <c r="AJ1551" s="51" t="n">
        <f aca="false">IF(LEFT(Cockpit!$C$5,1)="A",H1551,IF(CH1551=1,(CK1551+CI1551)/2,IF(LEFT(Cockpit!$C$5,1)="B",(CK1551+AL1551)/2,MAX((CK1551+AL1551)/2,H1551))))</f>
        <v>13</v>
      </c>
      <c r="AK1551" s="50" t="n">
        <f aca="false">AJ1551*G1551</f>
        <v>523.64</v>
      </c>
      <c r="AL1551" s="50" t="n">
        <f aca="false">ROUNDUP(CK1551+MAX(CL1551,2*(J1551/IF(CG1551&gt;0,CG1551,MAX(0.1,N(Cockpit!$C$6)))-CK1551)),0)</f>
        <v>1</v>
      </c>
      <c r="AM1551" s="51" t="n">
        <f aca="false">IF(AI1551&gt;0,J1551/AI1551,-1)</f>
        <v>0</v>
      </c>
      <c r="AN1551" s="51" t="n">
        <f aca="false">IF(AND(OR(CF1551="L1",CF1551="L23",CF1551="LIFT"),AI1551&gt;0),SUMIFS($AI$7:$AI$1843,$CF$7:$CF$1843,CF1551,$AM$7:$AM$1843,"&gt;"&amp;AM1551)+SUMIFS($AI$7:$AI$1843,$CF$7:$CF$1843,CF1551,$AM$7:$AM$1843,AM1551,$BW$7:$BW$1843,"&lt;="&amp;BW1551),"")</f>
        <v>30211.3656976263</v>
      </c>
      <c r="AO1551" s="58" t="n">
        <f aca="false">IF(AN1551="",0,MAX(0,MIN(1,(IF(CF1551="L1",Parameter!$H$5,IF(CF1551="L23",Parameter!$H$6+Parameter!$H$7,Parameter!$H$5+Parameter!$H$6+Parameter!$H$7))-(AN1551-AI1551))/AI1551)))</f>
        <v>1</v>
      </c>
      <c r="AP1551" s="50" t="n">
        <f aca="false">IF(LEFT(Cockpit!$I$5,1)="A",H1551,IF(Parameter!$E$30="MAX-Bestand",IF(CH1551=1,CI1551,IF(LEFT(Cockpit!$I$5,1)="B",AV1551,MAX(AV1551,H1551))),ROUNDUP(AT1551,0)))</f>
        <v>13</v>
      </c>
      <c r="AQ1551" s="50" t="n">
        <f aca="false">IF(BZ1551=1,0,ROUNDUP(AP1551/BY1551,0))</f>
        <v>1</v>
      </c>
      <c r="AR1551" s="52" t="n">
        <f aca="false">IF(CQ1551&gt;0,CQ1551*MAX(1,AP1551/X1551),IF(BZ1551=1,IF(AP1551&lt;=0,0,CD1551*MAX(1,IF(H1551&gt;0,AP1551/H1551,1))),IF(R1551&gt;0,AQ1551/R1551,0))/MAX(0.1,N(Parameter!$M$21)))</f>
        <v>0.00961538461538462</v>
      </c>
      <c r="AS1551" s="50" t="n">
        <f aca="false">AR1551*CB1551</f>
        <v>1.49038461538462</v>
      </c>
      <c r="AT1551" s="51" t="n">
        <f aca="false">IF(LEFT(Cockpit!$I$5,1)="A",H1551,IF(CH1551=1,(CK1551+CI1551)/2,IF(LEFT(Cockpit!$I$5,1)="B",(CK1551+AV1551)/2,MAX((CK1551+AV1551)/2,H1551))))</f>
        <v>13</v>
      </c>
      <c r="AU1551" s="50" t="n">
        <f aca="false">AT1551*G1551</f>
        <v>523.64</v>
      </c>
      <c r="AV1551" s="50" t="n">
        <f aca="false">ROUNDUP(CK1551+MAX(CL1551,2*(J1551/IF(CG1551&gt;0,CG1551,MAX(0.1,N(Cockpit!$I$6)))-CK1551)),0)</f>
        <v>1</v>
      </c>
      <c r="AW1551" s="51" t="n">
        <f aca="false">IF(AS1551&gt;0,J1551/AS1551,-1)</f>
        <v>0</v>
      </c>
      <c r="AX1551" s="51" t="n">
        <f aca="false">IF(AND(OR(CF1551="L1",CF1551="L23",CF1551="LIFT"),AS1551&gt;0),SUMIFS($AS$7:$AS$1843,$CF$7:$CF$1843,CF1551,$AW$7:$AW$1843,"&gt;"&amp;AW1551)+SUMIFS($AS$7:$AS$1843,$CF$7:$CF$1843,CF1551,$AW$7:$AW$1843,AW1551,$BW$7:$BW$1843,"&lt;="&amp;BW1551),"")</f>
        <v>36531.2222144616</v>
      </c>
      <c r="AY1551" s="58" t="n">
        <f aca="false">IF(AX1551="",0,MAX(0,MIN(1,(IF(CF1551="L1",Parameter!$H$5,IF(CF1551="L23",Parameter!$H$6+Parameter!$H$7,Parameter!$H$5+Parameter!$H$6+Parameter!$H$7))-(AX1551-AS1551))/AS1551)))</f>
        <v>0</v>
      </c>
      <c r="AZ1551" s="50" t="n">
        <f aca="false">IF(LEFT(Cockpit!$O$5,1)="A",H1551,IF(Parameter!$E$30="MAX-Bestand",IF(CH1551=1,CI1551,IF(LEFT(Cockpit!$O$5,1)="B",BF1551,MAX(BF1551,H1551))),ROUNDUP(BD1551,0)))</f>
        <v>1</v>
      </c>
      <c r="BA1551" s="50" t="n">
        <f aca="false">IF(BZ1551=1,0,ROUNDUP(AZ1551/BY1551,0))</f>
        <v>1</v>
      </c>
      <c r="BB1551" s="52" t="n">
        <f aca="false">IF(CQ1551&gt;0,CQ1551*MAX(1,AZ1551/X1551),IF(BZ1551=1,IF(AZ1551&lt;=0,0,CD1551*MAX(1,IF(H1551&gt;0,AZ1551/H1551,1))),IF(R1551&gt;0,BA1551/R1551,0))/MAX(0.1,N(Parameter!$M$21)))</f>
        <v>0.00961538461538462</v>
      </c>
      <c r="BC1551" s="50" t="n">
        <f aca="false">BB1551*CB1551</f>
        <v>1.49038461538462</v>
      </c>
      <c r="BD1551" s="51" t="n">
        <f aca="false">IF(LEFT(Cockpit!$O$5,1)="A",H1551,IF(CH1551=1,(CK1551+CI1551)/2,IF(LEFT(Cockpit!$O$5,1)="B",(CK1551+BF1551)/2,MAX((CK1551+BF1551)/2,H1551))))</f>
        <v>0.5</v>
      </c>
      <c r="BE1551" s="50" t="n">
        <f aca="false">BD1551*G1551</f>
        <v>20.14</v>
      </c>
      <c r="BF1551" s="50" t="n">
        <f aca="false">ROUNDUP(CK1551+MAX(CL1551,2*(J1551/IF(CG1551&gt;0,CG1551,MAX(0.1,N(Cockpit!$O$6)))-CK1551)),0)</f>
        <v>1</v>
      </c>
      <c r="BG1551" s="51" t="n">
        <f aca="false">IF(BC1551&gt;0,J1551/BC1551,-1)</f>
        <v>0</v>
      </c>
      <c r="BH1551" s="51" t="n">
        <f aca="false">IF(AND(OR(CF1551="L1",CF1551="L23",CF1551="LIFT"),BC1551&gt;0),SUMIFS($BC$7:$BC$1843,$CF$7:$CF$1843,CF1551,$BG$7:$BG$1843,"&gt;"&amp;BG1551)+SUMIFS($BC$7:$BC$1843,$CF$7:$CF$1843,CF1551,$BG$7:$BG$1843,BG1551,$BW$7:$BW$1843,"&lt;="&amp;BW1551),"")</f>
        <v>30440.663489994</v>
      </c>
      <c r="BI1551" s="58" t="n">
        <f aca="false">IF(BH1551="",0,MAX(0,MIN(1,(IF(CF1551="L1",Parameter!$H$5,IF(CF1551="L23",Parameter!$H$6+Parameter!$H$7,Parameter!$H$5+Parameter!$H$6+Parameter!$H$7))-(BH1551-BC1551))/BC1551)))</f>
        <v>1</v>
      </c>
      <c r="BJ1551" s="48" t="str">
        <f aca="false">IF(AI1551&lt;=0,"",IF(CF1551="Aussen","Aussenlager",IF(CF1551="-","Nicht im Lift",IF(AO1551&gt;=1,"Lift",IF(AO1551&lt;=0,"Aussenlager","teilweise")))))</f>
        <v>Lift</v>
      </c>
      <c r="BK1551" s="48" t="str">
        <f aca="false">IF(AS1551&lt;=0,"",IF(CF1551="Aussen","Aussenlager",IF(CF1551="-","Nicht im Lift",IF(AY1551&gt;=1,"Lift",IF(AY1551&lt;=0,"Aussenlager","teilweise")))))</f>
        <v>Aussenlager</v>
      </c>
      <c r="BL1551" s="48" t="str">
        <f aca="false">IF(BC1551&lt;=0,"",IF(CF1551="Aussen","Aussenlager",IF(CF1551="-","Nicht im Lift",IF(BI1551&gt;=1,"Lift",IF(BI1551&lt;=0,"Aussenlager","teilweise")))))</f>
        <v>Lift</v>
      </c>
      <c r="BM1551" s="48" t="str">
        <f aca="false">IF(A1551="","",IF(BV1551=1,"Neu; ","")&amp;IF(AND(BV1551=0,BQ1551&lt;0),"negativer Bestand (Export "&amp;BQ1551&amp;"); ","")&amp;IF(J1551&lt;=0,"Kein Verbrauch; ","")&amp;IF(CQ1551&gt;0,"Lift "&amp;W1551&amp;" lt. Liftbericht (Fach "&amp;X1551&amp;" Stk); ",IF(CA1551=1,"Gebinde geschätzt ("&amp;T1551&amp;"); ",IF(BZ1551=1,"Lose – Tablare geschätzt; ","")))&amp;IF(H1551&gt;AV1551,"Überbestand "&amp;ROUND(H1551-AV1551,0)&amp;" Stk / CHF "&amp;ROUND((H1551-AV1551)*G1551,0)&amp;"; ","")&amp;IF(AND(CH1551=1,CI1551&lt;CJ1551),"MAX &lt; MB+LG; ","")&amp;IF(AND(CP1551&gt;0,CO1551*10&gt;CP1551),"zu hoch für Tablar; ","")&amp;IF(AND(BV1551=0,OR(CH1551=1,AA1551&lt;&gt;"",U1551&lt;&gt;"",V1551&lt;&gt;"",AB1551&lt;&gt;"")),"manuell übersteuert; ","")&amp;IF(AND(BZ1551=0,R1551=0),"Gebinde unbekannt / Stellmass fehlt; ","")&amp;IF(AND(BZ1551=0,N(V1551)&lt;=0,N(Q1551)&lt;=0),"Menge pro Gebinde fehlt (Ist = 1 Gebinde); ","")&amp;BU1551)</f>
        <v>Kein Verbrauch; Überbestand 12 Stk / CHF 483; nur im Artikelstamm (Bestand 23.06.2026); Neu</v>
      </c>
      <c r="BN1551" s="48"/>
      <c r="BO1551" s="48"/>
      <c r="BP1551" s="55"/>
      <c r="BQ1551" s="50" t="n">
        <v>13</v>
      </c>
      <c r="BR1551" s="50" t="n">
        <v>0</v>
      </c>
      <c r="BS1551" s="49" t="n">
        <v>0</v>
      </c>
      <c r="BT1551" s="50" t="n">
        <v>0</v>
      </c>
      <c r="BU1551" s="48" t="s">
        <v>2676</v>
      </c>
      <c r="BV1551" s="53" t="n">
        <v>0</v>
      </c>
      <c r="BW1551" s="53" t="n">
        <v>1551</v>
      </c>
      <c r="BX1551" s="48" t="str">
        <f aca="false">IF(U1551&lt;&gt;"",UPPER(TRIM(U1551)),IF(CA1551=1,UPPER(VLOOKUP(T1551,Parameter!$I$27:$K$29,2,0)),IF(P1551="","LOSE",P1551)))</f>
        <v>S32</v>
      </c>
      <c r="BY1551" s="50" t="n">
        <f aca="false">IF(BX1551="LOSE",1,IF(N(V1551)&gt;0,V1551,IF(CA1551=1,MAX(1,N(VLOOKUP(T1551,Parameter!$I$27:$K$29,3,0)),H1551,N(N1551)),IF(N(Q1551)&gt;0,Q1551,MAX(1,H1551)))))</f>
        <v>13</v>
      </c>
      <c r="BZ1551" s="53" t="n">
        <f aca="false">IF(BX1551="LOSE",1,0)</f>
        <v>0</v>
      </c>
      <c r="CA1551" s="53" t="n">
        <f aca="false">IF(AND(U1551="",OR(P1551="",P1551="LOSE"),T1551&lt;&gt;"",N(S1551)&lt;=0,ISNUMBER(MATCH(T1551,Parameter!$I$27:$I$29,0))),1,0)</f>
        <v>0</v>
      </c>
      <c r="CB1551" s="53" t="n">
        <f aca="false">IF(CQ1551&gt;0,INDEX(Parameter!$H$5:$H$7,W1551)/INDEX(Parameter!$E$5:$E$7,W1551),IF(AND(BZ1551=0,N(IFERROR(VLOOKUP(BX1551,'Gebinde-Kategorie'!$A$5:$N$45,14,0),0))&gt;0),VLOOKUP(BX1551,'Gebinde-Kategorie'!$A$5:$N$45,14,0)*10+Parameter!$M$23,Parameter!$M$24))</f>
        <v>155</v>
      </c>
      <c r="CC1551" s="48" t="str">
        <f aca="false">IF(AND(Parameter!$B$19="Ja",E1551&lt;&gt;"",ISNUMBER(MATCH(E1551,Parameter!$I$35:$I$52,0))),VLOOKUP(E1551,Parameter!$I$35:$J$52,2,0),IFERROR(VLOOKUP(D1551,Parameter!$A$35:$C$64,2,0),"Nein"))</f>
        <v>2+3</v>
      </c>
      <c r="CD1551" s="52" t="n">
        <f aca="false">IF(BZ1551=0,0,IF(N(S1551)&gt;0,S1551,IFERROR(VLOOKUP(D1551,Parameter!$A$35:$C$64,3,0)+0,0)))</f>
        <v>0</v>
      </c>
      <c r="CE1551" s="48" t="n">
        <f aca="false">IF(AA1551&lt;&gt;"",AA1551,Z1551)</f>
        <v>3</v>
      </c>
      <c r="CF1551" s="48" t="str">
        <f aca="false">IF(OR(CE1551=1,CE1551=2,CE1551=3),IF(Parameter!$E$27="Ja","LIFT",IF(CE1551=1,"L1","L23")),IF(CE1551="Aussen","Aussen","-"))</f>
        <v>LIFT</v>
      </c>
      <c r="CG1551" s="59" t="n">
        <f aca="false">IF(N(AB1551)&gt;0,AB1551,0)</f>
        <v>0</v>
      </c>
      <c r="CH1551" s="53" t="n">
        <f aca="false">IF(ISNUMBER(AE1551),1,0)</f>
        <v>0</v>
      </c>
      <c r="CI1551" s="50" t="n">
        <f aca="false">N(AE1551)</f>
        <v>0</v>
      </c>
      <c r="CJ1551" s="50" t="n">
        <f aca="false">N(M1551)+N(N1551)</f>
        <v>1</v>
      </c>
      <c r="CK1551" s="50" t="n">
        <f aca="false">N(M1551)</f>
        <v>0</v>
      </c>
      <c r="CL1551" s="50" t="n">
        <f aca="false">N(N1551)</f>
        <v>1</v>
      </c>
      <c r="CM1551" s="50" t="n">
        <f aca="false">ROUNDUP(H1551/BY1551,0)</f>
        <v>1</v>
      </c>
      <c r="CN1551" s="50" t="n">
        <f aca="false">ROUNDUP(CI1551/BY1551,0)</f>
        <v>0</v>
      </c>
      <c r="CO1551" s="53" t="n">
        <f aca="false">IF(BZ1551=1,0,IFERROR(VLOOKUP(BX1551,'Gebinde-Kategorie'!$A$5:$N$45,5,0)+0,0))</f>
        <v>8</v>
      </c>
      <c r="CP1551" s="53" t="n">
        <f aca="false">IFERROR(IF(OR(CE1551=1,CE1551=2,CE1551=3),N(INDEX(Parameter!$I$5:$I$7,CE1551)),0),0)</f>
        <v>0</v>
      </c>
      <c r="CQ1551" s="52" t="n">
        <f aca="false">IF(AND(Parameter!$B$21="Ja",ISNUMBER(W1551),N(X1551)&gt;0),IFERROR(N(INDEX(Parameter!$L$5:$L$7,W1551))*INDEX(Parameter!$E$5:$E$7,W1551)*X1551/SUMIFS($X$7:$X$1843,$W$7:$W$1843,W1551),0),0)</f>
        <v>0</v>
      </c>
    </row>
    <row r="1552" customFormat="false" ht="15" hidden="false" customHeight="false" outlineLevel="0" collapsed="false">
      <c r="A1552" s="48" t="s">
        <v>2721</v>
      </c>
      <c r="B1552" s="48" t="s">
        <v>1877</v>
      </c>
      <c r="C1552" s="48" t="s">
        <v>173</v>
      </c>
      <c r="D1552" s="48" t="s">
        <v>193</v>
      </c>
      <c r="E1552" s="48" t="s">
        <v>194</v>
      </c>
      <c r="F1552" s="48"/>
      <c r="G1552" s="49" t="n">
        <v>157.32</v>
      </c>
      <c r="H1552" s="50" t="n">
        <f aca="false">MAX(0,IF(AND(Parameter!$B$21="Ja",ISNUMBER(Y1552)),Y1552,IF(Parameter!$B$20="Jahresanfang 2025 + Export",BR1552+BQ1552,BQ1552)))</f>
        <v>4</v>
      </c>
      <c r="I1552" s="50" t="n">
        <f aca="false">H1552*G1552</f>
        <v>629.28</v>
      </c>
      <c r="J1552" s="50" t="n">
        <f aca="false">BT1552*Parameter!$B$18</f>
        <v>0</v>
      </c>
      <c r="K1552" s="51"/>
      <c r="L1552" s="52"/>
      <c r="M1552" s="50" t="n">
        <v>0</v>
      </c>
      <c r="N1552" s="50" t="n">
        <v>5</v>
      </c>
      <c r="O1552" s="53" t="n">
        <v>119</v>
      </c>
      <c r="P1552" s="48" t="s">
        <v>311</v>
      </c>
      <c r="Q1552" s="50" t="n">
        <v>4</v>
      </c>
      <c r="R1552" s="53" t="n">
        <f aca="false">IF(BZ1552=1,0,IFERROR(VLOOKUP(BX1552,'Gebinde-Kategorie'!$A$5:$N$45,13,0)+0,0))</f>
        <v>26</v>
      </c>
      <c r="S1552" s="54"/>
      <c r="T1552" s="55"/>
      <c r="U1552" s="55"/>
      <c r="V1552" s="55"/>
      <c r="W1552" s="48"/>
      <c r="X1552" s="50"/>
      <c r="Y1552" s="50"/>
      <c r="Z1552" s="48" t="n">
        <f aca="false">IF(A1552="","",IF(AND(Parameter!$B$21="Ja",ISNUMBER(W1552)),W1552,IF(CC1552="2+3",IF(ISNUMBER(SEARCH("grosser Artikel",BU1552)),2,IFERROR(VLOOKUP(BX1552,Parameter!$F$35:$G$64,2,0),2)),IF(OR(CC1552="Nein",CC1552=""),"-",CC1552))))</f>
        <v>3</v>
      </c>
      <c r="AA1552" s="55"/>
      <c r="AB1552" s="56"/>
      <c r="AC1552" s="50" t="n">
        <f aca="false">AV1552</f>
        <v>5</v>
      </c>
      <c r="AD1552" s="50" t="n">
        <f aca="false">MAX(AV1552,H1552)</f>
        <v>5</v>
      </c>
      <c r="AE1552" s="57"/>
      <c r="AF1552" s="50" t="n">
        <f aca="false">IF(LEFT(Cockpit!$C$5,1)="A",H1552,IF(Parameter!$E$30="MAX-Bestand",IF(CH1552=1,CI1552,IF(LEFT(Cockpit!$C$5,1)="B",AL1552,MAX(AL1552,H1552))),ROUNDUP(AJ1552,0)))</f>
        <v>4</v>
      </c>
      <c r="AG1552" s="50" t="n">
        <f aca="false">IF(BZ1552=1,0,ROUNDUP(AF1552/BY1552,0))</f>
        <v>1</v>
      </c>
      <c r="AH1552" s="52" t="n">
        <f aca="false">IF(CQ1552&gt;0,CQ1552*MAX(1,AF1552/X1552),IF(BZ1552=1,IF(AF1552&lt;=0,0,CD1552*MAX(1,IF(H1552&gt;0,AF1552/H1552,1))),IF(R1552&gt;0,AG1552/R1552,0))/MAX(0.1,N(Parameter!$M$21)))</f>
        <v>0.0384615384615385</v>
      </c>
      <c r="AI1552" s="50" t="n">
        <f aca="false">AH1552*CB1552</f>
        <v>5.96153846153846</v>
      </c>
      <c r="AJ1552" s="51" t="n">
        <f aca="false">IF(LEFT(Cockpit!$C$5,1)="A",H1552,IF(CH1552=1,(CK1552+CI1552)/2,IF(LEFT(Cockpit!$C$5,1)="B",(CK1552+AL1552)/2,MAX((CK1552+AL1552)/2,H1552))))</f>
        <v>4</v>
      </c>
      <c r="AK1552" s="50" t="n">
        <f aca="false">AJ1552*G1552</f>
        <v>629.28</v>
      </c>
      <c r="AL1552" s="50" t="n">
        <f aca="false">ROUNDUP(CK1552+MAX(CL1552,2*(J1552/IF(CG1552&gt;0,CG1552,MAX(0.1,N(Cockpit!$C$6)))-CK1552)),0)</f>
        <v>5</v>
      </c>
      <c r="AM1552" s="51" t="n">
        <f aca="false">IF(AI1552&gt;0,J1552/AI1552,-1)</f>
        <v>0</v>
      </c>
      <c r="AN1552" s="51" t="n">
        <f aca="false">IF(AND(OR(CF1552="L1",CF1552="L23",CF1552="LIFT"),AI1552&gt;0),SUMIFS($AI$7:$AI$1843,$CF$7:$CF$1843,CF1552,$AM$7:$AM$1843,"&gt;"&amp;AM1552)+SUMIFS($AI$7:$AI$1843,$CF$7:$CF$1843,CF1552,$AM$7:$AM$1843,AM1552,$BW$7:$BW$1843,"&lt;="&amp;BW1552),"")</f>
        <v>30217.3272360878</v>
      </c>
      <c r="AO1552" s="58" t="n">
        <f aca="false">IF(AN1552="",0,MAX(0,MIN(1,(IF(CF1552="L1",Parameter!$H$5,IF(CF1552="L23",Parameter!$H$6+Parameter!$H$7,Parameter!$H$5+Parameter!$H$6+Parameter!$H$7))-(AN1552-AI1552))/AI1552)))</f>
        <v>1</v>
      </c>
      <c r="AP1552" s="50" t="n">
        <f aca="false">IF(LEFT(Cockpit!$I$5,1)="A",H1552,IF(Parameter!$E$30="MAX-Bestand",IF(CH1552=1,CI1552,IF(LEFT(Cockpit!$I$5,1)="B",AV1552,MAX(AV1552,H1552))),ROUNDUP(AT1552,0)))</f>
        <v>4</v>
      </c>
      <c r="AQ1552" s="50" t="n">
        <f aca="false">IF(BZ1552=1,0,ROUNDUP(AP1552/BY1552,0))</f>
        <v>1</v>
      </c>
      <c r="AR1552" s="52" t="n">
        <f aca="false">IF(CQ1552&gt;0,CQ1552*MAX(1,AP1552/X1552),IF(BZ1552=1,IF(AP1552&lt;=0,0,CD1552*MAX(1,IF(H1552&gt;0,AP1552/H1552,1))),IF(R1552&gt;0,AQ1552/R1552,0))/MAX(0.1,N(Parameter!$M$21)))</f>
        <v>0.0384615384615385</v>
      </c>
      <c r="AS1552" s="50" t="n">
        <f aca="false">AR1552*CB1552</f>
        <v>5.96153846153846</v>
      </c>
      <c r="AT1552" s="51" t="n">
        <f aca="false">IF(LEFT(Cockpit!$I$5,1)="A",H1552,IF(CH1552=1,(CK1552+CI1552)/2,IF(LEFT(Cockpit!$I$5,1)="B",(CK1552+AV1552)/2,MAX((CK1552+AV1552)/2,H1552))))</f>
        <v>4</v>
      </c>
      <c r="AU1552" s="50" t="n">
        <f aca="false">AT1552*G1552</f>
        <v>629.28</v>
      </c>
      <c r="AV1552" s="50" t="n">
        <f aca="false">ROUNDUP(CK1552+MAX(CL1552,2*(J1552/IF(CG1552&gt;0,CG1552,MAX(0.1,N(Cockpit!$I$6)))-CK1552)),0)</f>
        <v>5</v>
      </c>
      <c r="AW1552" s="51" t="n">
        <f aca="false">IF(AS1552&gt;0,J1552/AS1552,-1)</f>
        <v>0</v>
      </c>
      <c r="AX1552" s="51" t="n">
        <f aca="false">IF(AND(OR(CF1552="L1",CF1552="L23",CF1552="LIFT"),AS1552&gt;0),SUMIFS($AS$7:$AS$1843,$CF$7:$CF$1843,CF1552,$AW$7:$AW$1843,"&gt;"&amp;AW1552)+SUMIFS($AS$7:$AS$1843,$CF$7:$CF$1843,CF1552,$AW$7:$AW$1843,AW1552,$BW$7:$BW$1843,"&lt;="&amp;BW1552),"")</f>
        <v>36537.1837529232</v>
      </c>
      <c r="AY1552" s="58" t="n">
        <f aca="false">IF(AX1552="",0,MAX(0,MIN(1,(IF(CF1552="L1",Parameter!$H$5,IF(CF1552="L23",Parameter!$H$6+Parameter!$H$7,Parameter!$H$5+Parameter!$H$6+Parameter!$H$7))-(AX1552-AS1552))/AS1552)))</f>
        <v>0</v>
      </c>
      <c r="AZ1552" s="50" t="n">
        <f aca="false">IF(LEFT(Cockpit!$O$5,1)="A",H1552,IF(Parameter!$E$30="MAX-Bestand",IF(CH1552=1,CI1552,IF(LEFT(Cockpit!$O$5,1)="B",BF1552,MAX(BF1552,H1552))),ROUNDUP(BD1552,0)))</f>
        <v>3</v>
      </c>
      <c r="BA1552" s="50" t="n">
        <f aca="false">IF(BZ1552=1,0,ROUNDUP(AZ1552/BY1552,0))</f>
        <v>1</v>
      </c>
      <c r="BB1552" s="52" t="n">
        <f aca="false">IF(CQ1552&gt;0,CQ1552*MAX(1,AZ1552/X1552),IF(BZ1552=1,IF(AZ1552&lt;=0,0,CD1552*MAX(1,IF(H1552&gt;0,AZ1552/H1552,1))),IF(R1552&gt;0,BA1552/R1552,0))/MAX(0.1,N(Parameter!$M$21)))</f>
        <v>0.0384615384615385</v>
      </c>
      <c r="BC1552" s="50" t="n">
        <f aca="false">BB1552*CB1552</f>
        <v>5.96153846153846</v>
      </c>
      <c r="BD1552" s="51" t="n">
        <f aca="false">IF(LEFT(Cockpit!$O$5,1)="A",H1552,IF(CH1552=1,(CK1552+CI1552)/2,IF(LEFT(Cockpit!$O$5,1)="B",(CK1552+BF1552)/2,MAX((CK1552+BF1552)/2,H1552))))</f>
        <v>2.5</v>
      </c>
      <c r="BE1552" s="50" t="n">
        <f aca="false">BD1552*G1552</f>
        <v>393.3</v>
      </c>
      <c r="BF1552" s="50" t="n">
        <f aca="false">ROUNDUP(CK1552+MAX(CL1552,2*(J1552/IF(CG1552&gt;0,CG1552,MAX(0.1,N(Cockpit!$O$6)))-CK1552)),0)</f>
        <v>5</v>
      </c>
      <c r="BG1552" s="51" t="n">
        <f aca="false">IF(BC1552&gt;0,J1552/BC1552,-1)</f>
        <v>0</v>
      </c>
      <c r="BH1552" s="51" t="n">
        <f aca="false">IF(AND(OR(CF1552="L1",CF1552="L23",CF1552="LIFT"),BC1552&gt;0),SUMIFS($BC$7:$BC$1843,$CF$7:$CF$1843,CF1552,$BG$7:$BG$1843,"&gt;"&amp;BG1552)+SUMIFS($BC$7:$BC$1843,$CF$7:$CF$1843,CF1552,$BG$7:$BG$1843,BG1552,$BW$7:$BW$1843,"&lt;="&amp;BW1552),"")</f>
        <v>30446.6250284555</v>
      </c>
      <c r="BI1552" s="58" t="n">
        <f aca="false">IF(BH1552="",0,MAX(0,MIN(1,(IF(CF1552="L1",Parameter!$H$5,IF(CF1552="L23",Parameter!$H$6+Parameter!$H$7,Parameter!$H$5+Parameter!$H$6+Parameter!$H$7))-(BH1552-BC1552))/BC1552)))</f>
        <v>1</v>
      </c>
      <c r="BJ1552" s="48" t="str">
        <f aca="false">IF(AI1552&lt;=0,"",IF(CF1552="Aussen","Aussenlager",IF(CF1552="-","Nicht im Lift",IF(AO1552&gt;=1,"Lift",IF(AO1552&lt;=0,"Aussenlager","teilweise")))))</f>
        <v>Lift</v>
      </c>
      <c r="BK1552" s="48" t="str">
        <f aca="false">IF(AS1552&lt;=0,"",IF(CF1552="Aussen","Aussenlager",IF(CF1552="-","Nicht im Lift",IF(AY1552&gt;=1,"Lift",IF(AY1552&lt;=0,"Aussenlager","teilweise")))))</f>
        <v>Aussenlager</v>
      </c>
      <c r="BL1552" s="48" t="str">
        <f aca="false">IF(BC1552&lt;=0,"",IF(CF1552="Aussen","Aussenlager",IF(CF1552="-","Nicht im Lift",IF(BI1552&gt;=1,"Lift",IF(BI1552&lt;=0,"Aussenlager","teilweise")))))</f>
        <v>Lift</v>
      </c>
      <c r="BM1552" s="48" t="str">
        <f aca="false">IF(A1552="","",IF(BV1552=1,"Neu; ","")&amp;IF(AND(BV1552=0,BQ1552&lt;0),"negativer Bestand (Export "&amp;BQ1552&amp;"); ","")&amp;IF(J1552&lt;=0,"Kein Verbrauch; ","")&amp;IF(CQ1552&gt;0,"Lift "&amp;W1552&amp;" lt. Liftbericht (Fach "&amp;X1552&amp;" Stk); ",IF(CA1552=1,"Gebinde geschätzt ("&amp;T1552&amp;"); ",IF(BZ1552=1,"Lose – Tablare geschätzt; ","")))&amp;IF(H1552&gt;AV1552,"Überbestand "&amp;ROUND(H1552-AV1552,0)&amp;" Stk / CHF "&amp;ROUND((H1552-AV1552)*G1552,0)&amp;"; ","")&amp;IF(AND(CH1552=1,CI1552&lt;CJ1552),"MAX &lt; MB+LG; ","")&amp;IF(AND(CP1552&gt;0,CO1552*10&gt;CP1552),"zu hoch für Tablar; ","")&amp;IF(AND(BV1552=0,OR(CH1552=1,AA1552&lt;&gt;"",U1552&lt;&gt;"",V1552&lt;&gt;"",AB1552&lt;&gt;"")),"manuell übersteuert; ","")&amp;IF(AND(BZ1552=0,R1552=0),"Gebinde unbekannt / Stellmass fehlt; ","")&amp;IF(AND(BZ1552=0,N(V1552)&lt;=0,N(Q1552)&lt;=0),"Menge pro Gebinde fehlt (Ist = 1 Gebinde); ","")&amp;BU1552)</f>
        <v>Kein Verbrauch; nur im Artikelstamm (Bestand 23.06.2026); Neu</v>
      </c>
      <c r="BN1552" s="48"/>
      <c r="BO1552" s="48"/>
      <c r="BP1552" s="55"/>
      <c r="BQ1552" s="50" t="n">
        <v>4</v>
      </c>
      <c r="BR1552" s="50" t="n">
        <v>0</v>
      </c>
      <c r="BS1552" s="49" t="n">
        <v>0</v>
      </c>
      <c r="BT1552" s="50" t="n">
        <v>0</v>
      </c>
      <c r="BU1552" s="48" t="s">
        <v>2676</v>
      </c>
      <c r="BV1552" s="53" t="n">
        <v>0</v>
      </c>
      <c r="BW1552" s="53" t="n">
        <v>1552</v>
      </c>
      <c r="BX1552" s="48" t="str">
        <f aca="false">IF(U1552&lt;&gt;"",UPPER(TRIM(U1552)),IF(CA1552=1,UPPER(VLOOKUP(T1552,Parameter!$I$27:$K$29,2,0)),IF(P1552="","LOSE",P1552)))</f>
        <v>S51</v>
      </c>
      <c r="BY1552" s="50" t="n">
        <f aca="false">IF(BX1552="LOSE",1,IF(N(V1552)&gt;0,V1552,IF(CA1552=1,MAX(1,N(VLOOKUP(T1552,Parameter!$I$27:$K$29,3,0)),H1552,N(N1552)),IF(N(Q1552)&gt;0,Q1552,MAX(1,H1552)))))</f>
        <v>4</v>
      </c>
      <c r="BZ1552" s="53" t="n">
        <f aca="false">IF(BX1552="LOSE",1,0)</f>
        <v>0</v>
      </c>
      <c r="CA1552" s="53" t="n">
        <f aca="false">IF(AND(U1552="",OR(P1552="",P1552="LOSE"),T1552&lt;&gt;"",N(S1552)&lt;=0,ISNUMBER(MATCH(T1552,Parameter!$I$27:$I$29,0))),1,0)</f>
        <v>0</v>
      </c>
      <c r="CB1552" s="53" t="n">
        <f aca="false">IF(CQ1552&gt;0,INDEX(Parameter!$H$5:$H$7,W1552)/INDEX(Parameter!$E$5:$E$7,W1552),IF(AND(BZ1552=0,N(IFERROR(VLOOKUP(BX1552,'Gebinde-Kategorie'!$A$5:$N$45,14,0),0))&gt;0),VLOOKUP(BX1552,'Gebinde-Kategorie'!$A$5:$N$45,14,0)*10+Parameter!$M$23,Parameter!$M$24))</f>
        <v>155</v>
      </c>
      <c r="CC1552" s="48" t="str">
        <f aca="false">IF(AND(Parameter!$B$19="Ja",E1552&lt;&gt;"",ISNUMBER(MATCH(E1552,Parameter!$I$35:$I$52,0))),VLOOKUP(E1552,Parameter!$I$35:$J$52,2,0),IFERROR(VLOOKUP(D1552,Parameter!$A$35:$C$64,2,0),"Nein"))</f>
        <v>2+3</v>
      </c>
      <c r="CD1552" s="52" t="n">
        <f aca="false">IF(BZ1552=0,0,IF(N(S1552)&gt;0,S1552,IFERROR(VLOOKUP(D1552,Parameter!$A$35:$C$64,3,0)+0,0)))</f>
        <v>0</v>
      </c>
      <c r="CE1552" s="48" t="n">
        <f aca="false">IF(AA1552&lt;&gt;"",AA1552,Z1552)</f>
        <v>3</v>
      </c>
      <c r="CF1552" s="48" t="str">
        <f aca="false">IF(OR(CE1552=1,CE1552=2,CE1552=3),IF(Parameter!$E$27="Ja","LIFT",IF(CE1552=1,"L1","L23")),IF(CE1552="Aussen","Aussen","-"))</f>
        <v>LIFT</v>
      </c>
      <c r="CG1552" s="59" t="n">
        <f aca="false">IF(N(AB1552)&gt;0,AB1552,0)</f>
        <v>0</v>
      </c>
      <c r="CH1552" s="53" t="n">
        <f aca="false">IF(ISNUMBER(AE1552),1,0)</f>
        <v>0</v>
      </c>
      <c r="CI1552" s="50" t="n">
        <f aca="false">N(AE1552)</f>
        <v>0</v>
      </c>
      <c r="CJ1552" s="50" t="n">
        <f aca="false">N(M1552)+N(N1552)</f>
        <v>5</v>
      </c>
      <c r="CK1552" s="50" t="n">
        <f aca="false">N(M1552)</f>
        <v>0</v>
      </c>
      <c r="CL1552" s="50" t="n">
        <f aca="false">N(N1552)</f>
        <v>5</v>
      </c>
      <c r="CM1552" s="50" t="n">
        <f aca="false">ROUNDUP(H1552/BY1552,0)</f>
        <v>1</v>
      </c>
      <c r="CN1552" s="50" t="n">
        <f aca="false">ROUNDUP(CI1552/BY1552,0)</f>
        <v>0</v>
      </c>
      <c r="CO1552" s="53" t="n">
        <f aca="false">IF(BZ1552=1,0,IFERROR(VLOOKUP(BX1552,'Gebinde-Kategorie'!$A$5:$N$45,5,0)+0,0))</f>
        <v>11</v>
      </c>
      <c r="CP1552" s="53" t="n">
        <f aca="false">IFERROR(IF(OR(CE1552=1,CE1552=2,CE1552=3),N(INDEX(Parameter!$I$5:$I$7,CE1552)),0),0)</f>
        <v>0</v>
      </c>
      <c r="CQ1552" s="52" t="n">
        <f aca="false">IF(AND(Parameter!$B$21="Ja",ISNUMBER(W1552),N(X1552)&gt;0),IFERROR(N(INDEX(Parameter!$L$5:$L$7,W1552))*INDEX(Parameter!$E$5:$E$7,W1552)*X1552/SUMIFS($X$7:$X$1843,$W$7:$W$1843,W1552),0),0)</f>
        <v>0</v>
      </c>
    </row>
    <row r="1553" customFormat="false" ht="15" hidden="false" customHeight="false" outlineLevel="0" collapsed="false">
      <c r="A1553" s="48" t="s">
        <v>2722</v>
      </c>
      <c r="B1553" s="48" t="s">
        <v>2723</v>
      </c>
      <c r="C1553" s="48" t="s">
        <v>173</v>
      </c>
      <c r="D1553" s="48" t="s">
        <v>193</v>
      </c>
      <c r="E1553" s="48" t="s">
        <v>194</v>
      </c>
      <c r="F1553" s="48"/>
      <c r="G1553" s="49" t="n">
        <v>35.4</v>
      </c>
      <c r="H1553" s="50" t="n">
        <f aca="false">MAX(0,IF(AND(Parameter!$B$21="Ja",ISNUMBER(Y1553)),Y1553,IF(Parameter!$B$20="Jahresanfang 2025 + Export",BR1553+BQ1553,BQ1553)))</f>
        <v>34</v>
      </c>
      <c r="I1553" s="50" t="n">
        <f aca="false">H1553*G1553</f>
        <v>1203.6</v>
      </c>
      <c r="J1553" s="50" t="n">
        <f aca="false">BT1553*Parameter!$B$18</f>
        <v>0</v>
      </c>
      <c r="K1553" s="51"/>
      <c r="L1553" s="52"/>
      <c r="M1553" s="50" t="n">
        <v>0</v>
      </c>
      <c r="N1553" s="50" t="n">
        <v>20</v>
      </c>
      <c r="O1553" s="53" t="n">
        <v>28</v>
      </c>
      <c r="P1553" s="48" t="s">
        <v>302</v>
      </c>
      <c r="Q1553" s="50" t="n">
        <v>34</v>
      </c>
      <c r="R1553" s="53" t="n">
        <f aca="false">IF(BZ1553=1,0,IFERROR(VLOOKUP(BX1553,'Gebinde-Kategorie'!$A$5:$N$45,13,0)+0,0))</f>
        <v>12</v>
      </c>
      <c r="S1553" s="54"/>
      <c r="T1553" s="55"/>
      <c r="U1553" s="55"/>
      <c r="V1553" s="55"/>
      <c r="W1553" s="48"/>
      <c r="X1553" s="50"/>
      <c r="Y1553" s="50"/>
      <c r="Z1553" s="48" t="n">
        <f aca="false">IF(A1553="","",IF(AND(Parameter!$B$21="Ja",ISNUMBER(W1553)),W1553,IF(CC1553="2+3",IF(ISNUMBER(SEARCH("grosser Artikel",BU1553)),2,IFERROR(VLOOKUP(BX1553,Parameter!$F$35:$G$64,2,0),2)),IF(OR(CC1553="Nein",CC1553=""),"-",CC1553))))</f>
        <v>2</v>
      </c>
      <c r="AA1553" s="55"/>
      <c r="AB1553" s="56"/>
      <c r="AC1553" s="50" t="n">
        <f aca="false">AV1553</f>
        <v>20</v>
      </c>
      <c r="AD1553" s="50" t="n">
        <f aca="false">MAX(AV1553,H1553)</f>
        <v>34</v>
      </c>
      <c r="AE1553" s="57"/>
      <c r="AF1553" s="50" t="n">
        <f aca="false">IF(LEFT(Cockpit!$C$5,1)="A",H1553,IF(Parameter!$E$30="MAX-Bestand",IF(CH1553=1,CI1553,IF(LEFT(Cockpit!$C$5,1)="B",AL1553,MAX(AL1553,H1553))),ROUNDUP(AJ1553,0)))</f>
        <v>34</v>
      </c>
      <c r="AG1553" s="50" t="n">
        <f aca="false">IF(BZ1553=1,0,ROUNDUP(AF1553/BY1553,0))</f>
        <v>1</v>
      </c>
      <c r="AH1553" s="52" t="n">
        <f aca="false">IF(CQ1553&gt;0,CQ1553*MAX(1,AF1553/X1553),IF(BZ1553=1,IF(AF1553&lt;=0,0,CD1553*MAX(1,IF(H1553&gt;0,AF1553/H1553,1))),IF(R1553&gt;0,AG1553/R1553,0))/MAX(0.1,N(Parameter!$M$21)))</f>
        <v>0.0833333333333333</v>
      </c>
      <c r="AI1553" s="50" t="n">
        <f aca="false">AH1553*CB1553</f>
        <v>20.4166666666667</v>
      </c>
      <c r="AJ1553" s="51" t="n">
        <f aca="false">IF(LEFT(Cockpit!$C$5,1)="A",H1553,IF(CH1553=1,(CK1553+CI1553)/2,IF(LEFT(Cockpit!$C$5,1)="B",(CK1553+AL1553)/2,MAX((CK1553+AL1553)/2,H1553))))</f>
        <v>34</v>
      </c>
      <c r="AK1553" s="50" t="n">
        <f aca="false">AJ1553*G1553</f>
        <v>1203.6</v>
      </c>
      <c r="AL1553" s="50" t="n">
        <f aca="false">ROUNDUP(CK1553+MAX(CL1553,2*(J1553/IF(CG1553&gt;0,CG1553,MAX(0.1,N(Cockpit!$C$6)))-CK1553)),0)</f>
        <v>20</v>
      </c>
      <c r="AM1553" s="51" t="n">
        <f aca="false">IF(AI1553&gt;0,J1553/AI1553,-1)</f>
        <v>0</v>
      </c>
      <c r="AN1553" s="51" t="n">
        <f aca="false">IF(AND(OR(CF1553="L1",CF1553="L23",CF1553="LIFT"),AI1553&gt;0),SUMIFS($AI$7:$AI$1843,$CF$7:$CF$1843,CF1553,$AM$7:$AM$1843,"&gt;"&amp;AM1553)+SUMIFS($AI$7:$AI$1843,$CF$7:$CF$1843,CF1553,$AM$7:$AM$1843,AM1553,$BW$7:$BW$1843,"&lt;="&amp;BW1553),"")</f>
        <v>30237.7439027545</v>
      </c>
      <c r="AO1553" s="58" t="n">
        <f aca="false">IF(AN1553="",0,MAX(0,MIN(1,(IF(CF1553="L1",Parameter!$H$5,IF(CF1553="L23",Parameter!$H$6+Parameter!$H$7,Parameter!$H$5+Parameter!$H$6+Parameter!$H$7))-(AN1553-AI1553))/AI1553)))</f>
        <v>1</v>
      </c>
      <c r="AP1553" s="50" t="n">
        <f aca="false">IF(LEFT(Cockpit!$I$5,1)="A",H1553,IF(Parameter!$E$30="MAX-Bestand",IF(CH1553=1,CI1553,IF(LEFT(Cockpit!$I$5,1)="B",AV1553,MAX(AV1553,H1553))),ROUNDUP(AT1553,0)))</f>
        <v>34</v>
      </c>
      <c r="AQ1553" s="50" t="n">
        <f aca="false">IF(BZ1553=1,0,ROUNDUP(AP1553/BY1553,0))</f>
        <v>1</v>
      </c>
      <c r="AR1553" s="52" t="n">
        <f aca="false">IF(CQ1553&gt;0,CQ1553*MAX(1,AP1553/X1553),IF(BZ1553=1,IF(AP1553&lt;=0,0,CD1553*MAX(1,IF(H1553&gt;0,AP1553/H1553,1))),IF(R1553&gt;0,AQ1553/R1553,0))/MAX(0.1,N(Parameter!$M$21)))</f>
        <v>0.0833333333333333</v>
      </c>
      <c r="AS1553" s="50" t="n">
        <f aca="false">AR1553*CB1553</f>
        <v>20.4166666666667</v>
      </c>
      <c r="AT1553" s="51" t="n">
        <f aca="false">IF(LEFT(Cockpit!$I$5,1)="A",H1553,IF(CH1553=1,(CK1553+CI1553)/2,IF(LEFT(Cockpit!$I$5,1)="B",(CK1553+AV1553)/2,MAX((CK1553+AV1553)/2,H1553))))</f>
        <v>34</v>
      </c>
      <c r="AU1553" s="50" t="n">
        <f aca="false">AT1553*G1553</f>
        <v>1203.6</v>
      </c>
      <c r="AV1553" s="50" t="n">
        <f aca="false">ROUNDUP(CK1553+MAX(CL1553,2*(J1553/IF(CG1553&gt;0,CG1553,MAX(0.1,N(Cockpit!$I$6)))-CK1553)),0)</f>
        <v>20</v>
      </c>
      <c r="AW1553" s="51" t="n">
        <f aca="false">IF(AS1553&gt;0,J1553/AS1553,-1)</f>
        <v>0</v>
      </c>
      <c r="AX1553" s="51" t="n">
        <f aca="false">IF(AND(OR(CF1553="L1",CF1553="L23",CF1553="LIFT"),AS1553&gt;0),SUMIFS($AS$7:$AS$1843,$CF$7:$CF$1843,CF1553,$AW$7:$AW$1843,"&gt;"&amp;AW1553)+SUMIFS($AS$7:$AS$1843,$CF$7:$CF$1843,CF1553,$AW$7:$AW$1843,AW1553,$BW$7:$BW$1843,"&lt;="&amp;BW1553),"")</f>
        <v>36557.6004195898</v>
      </c>
      <c r="AY1553" s="58" t="n">
        <f aca="false">IF(AX1553="",0,MAX(0,MIN(1,(IF(CF1553="L1",Parameter!$H$5,IF(CF1553="L23",Parameter!$H$6+Parameter!$H$7,Parameter!$H$5+Parameter!$H$6+Parameter!$H$7))-(AX1553-AS1553))/AS1553)))</f>
        <v>0</v>
      </c>
      <c r="AZ1553" s="50" t="n">
        <f aca="false">IF(LEFT(Cockpit!$O$5,1)="A",H1553,IF(Parameter!$E$30="MAX-Bestand",IF(CH1553=1,CI1553,IF(LEFT(Cockpit!$O$5,1)="B",BF1553,MAX(BF1553,H1553))),ROUNDUP(BD1553,0)))</f>
        <v>10</v>
      </c>
      <c r="BA1553" s="50" t="n">
        <f aca="false">IF(BZ1553=1,0,ROUNDUP(AZ1553/BY1553,0))</f>
        <v>1</v>
      </c>
      <c r="BB1553" s="52" t="n">
        <f aca="false">IF(CQ1553&gt;0,CQ1553*MAX(1,AZ1553/X1553),IF(BZ1553=1,IF(AZ1553&lt;=0,0,CD1553*MAX(1,IF(H1553&gt;0,AZ1553/H1553,1))),IF(R1553&gt;0,BA1553/R1553,0))/MAX(0.1,N(Parameter!$M$21)))</f>
        <v>0.0833333333333333</v>
      </c>
      <c r="BC1553" s="50" t="n">
        <f aca="false">BB1553*CB1553</f>
        <v>20.4166666666667</v>
      </c>
      <c r="BD1553" s="51" t="n">
        <f aca="false">IF(LEFT(Cockpit!$O$5,1)="A",H1553,IF(CH1553=1,(CK1553+CI1553)/2,IF(LEFT(Cockpit!$O$5,1)="B",(CK1553+BF1553)/2,MAX((CK1553+BF1553)/2,H1553))))</f>
        <v>10</v>
      </c>
      <c r="BE1553" s="50" t="n">
        <f aca="false">BD1553*G1553</f>
        <v>354</v>
      </c>
      <c r="BF1553" s="50" t="n">
        <f aca="false">ROUNDUP(CK1553+MAX(CL1553,2*(J1553/IF(CG1553&gt;0,CG1553,MAX(0.1,N(Cockpit!$O$6)))-CK1553)),0)</f>
        <v>20</v>
      </c>
      <c r="BG1553" s="51" t="n">
        <f aca="false">IF(BC1553&gt;0,J1553/BC1553,-1)</f>
        <v>0</v>
      </c>
      <c r="BH1553" s="51" t="n">
        <f aca="false">IF(AND(OR(CF1553="L1",CF1553="L23",CF1553="LIFT"),BC1553&gt;0),SUMIFS($BC$7:$BC$1843,$CF$7:$CF$1843,CF1553,$BG$7:$BG$1843,"&gt;"&amp;BG1553)+SUMIFS($BC$7:$BC$1843,$CF$7:$CF$1843,CF1553,$BG$7:$BG$1843,BG1553,$BW$7:$BW$1843,"&lt;="&amp;BW1553),"")</f>
        <v>30467.0416951222</v>
      </c>
      <c r="BI1553" s="58" t="n">
        <f aca="false">IF(BH1553="",0,MAX(0,MIN(1,(IF(CF1553="L1",Parameter!$H$5,IF(CF1553="L23",Parameter!$H$6+Parameter!$H$7,Parameter!$H$5+Parameter!$H$6+Parameter!$H$7))-(BH1553-BC1553))/BC1553)))</f>
        <v>1</v>
      </c>
      <c r="BJ1553" s="48" t="str">
        <f aca="false">IF(AI1553&lt;=0,"",IF(CF1553="Aussen","Aussenlager",IF(CF1553="-","Nicht im Lift",IF(AO1553&gt;=1,"Lift",IF(AO1553&lt;=0,"Aussenlager","teilweise")))))</f>
        <v>Lift</v>
      </c>
      <c r="BK1553" s="48" t="str">
        <f aca="false">IF(AS1553&lt;=0,"",IF(CF1553="Aussen","Aussenlager",IF(CF1553="-","Nicht im Lift",IF(AY1553&gt;=1,"Lift",IF(AY1553&lt;=0,"Aussenlager","teilweise")))))</f>
        <v>Aussenlager</v>
      </c>
      <c r="BL1553" s="48" t="str">
        <f aca="false">IF(BC1553&lt;=0,"",IF(CF1553="Aussen","Aussenlager",IF(CF1553="-","Nicht im Lift",IF(BI1553&gt;=1,"Lift",IF(BI1553&lt;=0,"Aussenlager","teilweise")))))</f>
        <v>Lift</v>
      </c>
      <c r="BM1553" s="48" t="str">
        <f aca="false">IF(A1553="","",IF(BV1553=1,"Neu; ","")&amp;IF(AND(BV1553=0,BQ1553&lt;0),"negativer Bestand (Export "&amp;BQ1553&amp;"); ","")&amp;IF(J1553&lt;=0,"Kein Verbrauch; ","")&amp;IF(CQ1553&gt;0,"Lift "&amp;W1553&amp;" lt. Liftbericht (Fach "&amp;X1553&amp;" Stk); ",IF(CA1553=1,"Gebinde geschätzt ("&amp;T1553&amp;"); ",IF(BZ1553=1,"Lose – Tablare geschätzt; ","")))&amp;IF(H1553&gt;AV1553,"Überbestand "&amp;ROUND(H1553-AV1553,0)&amp;" Stk / CHF "&amp;ROUND((H1553-AV1553)*G1553,0)&amp;"; ","")&amp;IF(AND(CH1553=1,CI1553&lt;CJ1553),"MAX &lt; MB+LG; ","")&amp;IF(AND(CP1553&gt;0,CO1553*10&gt;CP1553),"zu hoch für Tablar; ","")&amp;IF(AND(BV1553=0,OR(CH1553=1,AA1553&lt;&gt;"",U1553&lt;&gt;"",V1553&lt;&gt;"",AB1553&lt;&gt;"")),"manuell übersteuert; ","")&amp;IF(AND(BZ1553=0,R1553=0),"Gebinde unbekannt / Stellmass fehlt; ","")&amp;IF(AND(BZ1553=0,N(V1553)&lt;=0,N(Q1553)&lt;=0),"Menge pro Gebinde fehlt (Ist = 1 Gebinde); ","")&amp;BU1553)</f>
        <v>Kein Verbrauch; Überbestand 14 Stk / CHF 496; nur im Artikelstamm (Bestand 23.06.2026); Neu</v>
      </c>
      <c r="BN1553" s="48"/>
      <c r="BO1553" s="48"/>
      <c r="BP1553" s="55"/>
      <c r="BQ1553" s="50" t="n">
        <v>34</v>
      </c>
      <c r="BR1553" s="50" t="n">
        <v>0</v>
      </c>
      <c r="BS1553" s="49" t="n">
        <v>0</v>
      </c>
      <c r="BT1553" s="50" t="n">
        <v>0</v>
      </c>
      <c r="BU1553" s="48" t="s">
        <v>2676</v>
      </c>
      <c r="BV1553" s="53" t="n">
        <v>0</v>
      </c>
      <c r="BW1553" s="53" t="n">
        <v>1553</v>
      </c>
      <c r="BX1553" s="48" t="str">
        <f aca="false">IF(U1553&lt;&gt;"",UPPER(TRIM(U1553)),IF(CA1553=1,UPPER(VLOOKUP(T1553,Parameter!$I$27:$K$29,2,0)),IF(P1553="","LOSE",P1553)))</f>
        <v>S62</v>
      </c>
      <c r="BY1553" s="50" t="n">
        <f aca="false">IF(BX1553="LOSE",1,IF(N(V1553)&gt;0,V1553,IF(CA1553=1,MAX(1,N(VLOOKUP(T1553,Parameter!$I$27:$K$29,3,0)),H1553,N(N1553)),IF(N(Q1553)&gt;0,Q1553,MAX(1,H1553)))))</f>
        <v>34</v>
      </c>
      <c r="BZ1553" s="53" t="n">
        <f aca="false">IF(BX1553="LOSE",1,0)</f>
        <v>0</v>
      </c>
      <c r="CA1553" s="53" t="n">
        <f aca="false">IF(AND(U1553="",OR(P1553="",P1553="LOSE"),T1553&lt;&gt;"",N(S1553)&lt;=0,ISNUMBER(MATCH(T1553,Parameter!$I$27:$I$29,0))),1,0)</f>
        <v>0</v>
      </c>
      <c r="CB1553" s="53" t="n">
        <f aca="false">IF(CQ1553&gt;0,INDEX(Parameter!$H$5:$H$7,W1553)/INDEX(Parameter!$E$5:$E$7,W1553),IF(AND(BZ1553=0,N(IFERROR(VLOOKUP(BX1553,'Gebinde-Kategorie'!$A$5:$N$45,14,0),0))&gt;0),VLOOKUP(BX1553,'Gebinde-Kategorie'!$A$5:$N$45,14,0)*10+Parameter!$M$23,Parameter!$M$24))</f>
        <v>245</v>
      </c>
      <c r="CC1553" s="48" t="str">
        <f aca="false">IF(AND(Parameter!$B$19="Ja",E1553&lt;&gt;"",ISNUMBER(MATCH(E1553,Parameter!$I$35:$I$52,0))),VLOOKUP(E1553,Parameter!$I$35:$J$52,2,0),IFERROR(VLOOKUP(D1553,Parameter!$A$35:$C$64,2,0),"Nein"))</f>
        <v>2+3</v>
      </c>
      <c r="CD1553" s="52" t="n">
        <f aca="false">IF(BZ1553=0,0,IF(N(S1553)&gt;0,S1553,IFERROR(VLOOKUP(D1553,Parameter!$A$35:$C$64,3,0)+0,0)))</f>
        <v>0</v>
      </c>
      <c r="CE1553" s="48" t="n">
        <f aca="false">IF(AA1553&lt;&gt;"",AA1553,Z1553)</f>
        <v>2</v>
      </c>
      <c r="CF1553" s="48" t="str">
        <f aca="false">IF(OR(CE1553=1,CE1553=2,CE1553=3),IF(Parameter!$E$27="Ja","LIFT",IF(CE1553=1,"L1","L23")),IF(CE1553="Aussen","Aussen","-"))</f>
        <v>LIFT</v>
      </c>
      <c r="CG1553" s="59" t="n">
        <f aca="false">IF(N(AB1553)&gt;0,AB1553,0)</f>
        <v>0</v>
      </c>
      <c r="CH1553" s="53" t="n">
        <f aca="false">IF(ISNUMBER(AE1553),1,0)</f>
        <v>0</v>
      </c>
      <c r="CI1553" s="50" t="n">
        <f aca="false">N(AE1553)</f>
        <v>0</v>
      </c>
      <c r="CJ1553" s="50" t="n">
        <f aca="false">N(M1553)+N(N1553)</f>
        <v>20</v>
      </c>
      <c r="CK1553" s="50" t="n">
        <f aca="false">N(M1553)</f>
        <v>0</v>
      </c>
      <c r="CL1553" s="50" t="n">
        <f aca="false">N(N1553)</f>
        <v>20</v>
      </c>
      <c r="CM1553" s="50" t="n">
        <f aca="false">ROUNDUP(H1553/BY1553,0)</f>
        <v>1</v>
      </c>
      <c r="CN1553" s="50" t="n">
        <f aca="false">ROUNDUP(CI1553/BY1553,0)</f>
        <v>0</v>
      </c>
      <c r="CO1553" s="53" t="n">
        <f aca="false">IF(BZ1553=1,0,IFERROR(VLOOKUP(BX1553,'Gebinde-Kategorie'!$A$5:$N$45,5,0)+0,0))</f>
        <v>21</v>
      </c>
      <c r="CP1553" s="53" t="n">
        <f aca="false">IFERROR(IF(OR(CE1553=1,CE1553=2,CE1553=3),N(INDEX(Parameter!$I$5:$I$7,CE1553)),0),0)</f>
        <v>0</v>
      </c>
      <c r="CQ1553" s="52" t="n">
        <f aca="false">IF(AND(Parameter!$B$21="Ja",ISNUMBER(W1553),N(X1553)&gt;0),IFERROR(N(INDEX(Parameter!$L$5:$L$7,W1553))*INDEX(Parameter!$E$5:$E$7,W1553)*X1553/SUMIFS($X$7:$X$1843,$W$7:$W$1843,W1553),0),0)</f>
        <v>0</v>
      </c>
    </row>
    <row r="1554" customFormat="false" ht="15" hidden="false" customHeight="false" outlineLevel="0" collapsed="false">
      <c r="A1554" s="48" t="s">
        <v>2724</v>
      </c>
      <c r="B1554" s="48" t="s">
        <v>2725</v>
      </c>
      <c r="C1554" s="48" t="s">
        <v>173</v>
      </c>
      <c r="D1554" s="48" t="s">
        <v>193</v>
      </c>
      <c r="E1554" s="48" t="s">
        <v>194</v>
      </c>
      <c r="F1554" s="48"/>
      <c r="G1554" s="49" t="n">
        <v>45.8</v>
      </c>
      <c r="H1554" s="50" t="n">
        <f aca="false">MAX(0,IF(AND(Parameter!$B$21="Ja",ISNUMBER(Y1554)),Y1554,IF(Parameter!$B$20="Jahresanfang 2025 + Export",BR1554+BQ1554,BQ1554)))</f>
        <v>14</v>
      </c>
      <c r="I1554" s="50" t="n">
        <f aca="false">H1554*G1554</f>
        <v>641.2</v>
      </c>
      <c r="J1554" s="50" t="n">
        <f aca="false">BT1554*Parameter!$B$18</f>
        <v>0</v>
      </c>
      <c r="K1554" s="51"/>
      <c r="L1554" s="52"/>
      <c r="M1554" s="50" t="n">
        <v>0</v>
      </c>
      <c r="N1554" s="50" t="n">
        <v>10</v>
      </c>
      <c r="O1554" s="53" t="n">
        <v>0</v>
      </c>
      <c r="P1554" s="48" t="s">
        <v>311</v>
      </c>
      <c r="Q1554" s="50" t="n">
        <v>14</v>
      </c>
      <c r="R1554" s="53" t="n">
        <f aca="false">IF(BZ1554=1,0,IFERROR(VLOOKUP(BX1554,'Gebinde-Kategorie'!$A$5:$N$45,13,0)+0,0))</f>
        <v>26</v>
      </c>
      <c r="S1554" s="54"/>
      <c r="T1554" s="55"/>
      <c r="U1554" s="55"/>
      <c r="V1554" s="55"/>
      <c r="W1554" s="48"/>
      <c r="X1554" s="50"/>
      <c r="Y1554" s="50"/>
      <c r="Z1554" s="48" t="n">
        <f aca="false">IF(A1554="","",IF(AND(Parameter!$B$21="Ja",ISNUMBER(W1554)),W1554,IF(CC1554="2+3",IF(ISNUMBER(SEARCH("grosser Artikel",BU1554)),2,IFERROR(VLOOKUP(BX1554,Parameter!$F$35:$G$64,2,0),2)),IF(OR(CC1554="Nein",CC1554=""),"-",CC1554))))</f>
        <v>3</v>
      </c>
      <c r="AA1554" s="55"/>
      <c r="AB1554" s="56"/>
      <c r="AC1554" s="50" t="n">
        <f aca="false">AV1554</f>
        <v>10</v>
      </c>
      <c r="AD1554" s="50" t="n">
        <f aca="false">MAX(AV1554,H1554)</f>
        <v>14</v>
      </c>
      <c r="AE1554" s="57"/>
      <c r="AF1554" s="50" t="n">
        <f aca="false">IF(LEFT(Cockpit!$C$5,1)="A",H1554,IF(Parameter!$E$30="MAX-Bestand",IF(CH1554=1,CI1554,IF(LEFT(Cockpit!$C$5,1)="B",AL1554,MAX(AL1554,H1554))),ROUNDUP(AJ1554,0)))</f>
        <v>14</v>
      </c>
      <c r="AG1554" s="50" t="n">
        <f aca="false">IF(BZ1554=1,0,ROUNDUP(AF1554/BY1554,0))</f>
        <v>1</v>
      </c>
      <c r="AH1554" s="52" t="n">
        <f aca="false">IF(CQ1554&gt;0,CQ1554*MAX(1,AF1554/X1554),IF(BZ1554=1,IF(AF1554&lt;=0,0,CD1554*MAX(1,IF(H1554&gt;0,AF1554/H1554,1))),IF(R1554&gt;0,AG1554/R1554,0))/MAX(0.1,N(Parameter!$M$21)))</f>
        <v>0.0384615384615385</v>
      </c>
      <c r="AI1554" s="50" t="n">
        <f aca="false">AH1554*CB1554</f>
        <v>5.96153846153846</v>
      </c>
      <c r="AJ1554" s="51" t="n">
        <f aca="false">IF(LEFT(Cockpit!$C$5,1)="A",H1554,IF(CH1554=1,(CK1554+CI1554)/2,IF(LEFT(Cockpit!$C$5,1)="B",(CK1554+AL1554)/2,MAX((CK1554+AL1554)/2,H1554))))</f>
        <v>14</v>
      </c>
      <c r="AK1554" s="50" t="n">
        <f aca="false">AJ1554*G1554</f>
        <v>641.2</v>
      </c>
      <c r="AL1554" s="50" t="n">
        <f aca="false">ROUNDUP(CK1554+MAX(CL1554,2*(J1554/IF(CG1554&gt;0,CG1554,MAX(0.1,N(Cockpit!$C$6)))-CK1554)),0)</f>
        <v>10</v>
      </c>
      <c r="AM1554" s="51" t="n">
        <f aca="false">IF(AI1554&gt;0,J1554/AI1554,-1)</f>
        <v>0</v>
      </c>
      <c r="AN1554" s="51" t="n">
        <f aca="false">IF(AND(OR(CF1554="L1",CF1554="L23",CF1554="LIFT"),AI1554&gt;0),SUMIFS($AI$7:$AI$1843,$CF$7:$CF$1843,CF1554,$AM$7:$AM$1843,"&gt;"&amp;AM1554)+SUMIFS($AI$7:$AI$1843,$CF$7:$CF$1843,CF1554,$AM$7:$AM$1843,AM1554,$BW$7:$BW$1843,"&lt;="&amp;BW1554),"")</f>
        <v>30243.705441216</v>
      </c>
      <c r="AO1554" s="58" t="n">
        <f aca="false">IF(AN1554="",0,MAX(0,MIN(1,(IF(CF1554="L1",Parameter!$H$5,IF(CF1554="L23",Parameter!$H$6+Parameter!$H$7,Parameter!$H$5+Parameter!$H$6+Parameter!$H$7))-(AN1554-AI1554))/AI1554)))</f>
        <v>1</v>
      </c>
      <c r="AP1554" s="50" t="n">
        <f aca="false">IF(LEFT(Cockpit!$I$5,1)="A",H1554,IF(Parameter!$E$30="MAX-Bestand",IF(CH1554=1,CI1554,IF(LEFT(Cockpit!$I$5,1)="B",AV1554,MAX(AV1554,H1554))),ROUNDUP(AT1554,0)))</f>
        <v>14</v>
      </c>
      <c r="AQ1554" s="50" t="n">
        <f aca="false">IF(BZ1554=1,0,ROUNDUP(AP1554/BY1554,0))</f>
        <v>1</v>
      </c>
      <c r="AR1554" s="52" t="n">
        <f aca="false">IF(CQ1554&gt;0,CQ1554*MAX(1,AP1554/X1554),IF(BZ1554=1,IF(AP1554&lt;=0,0,CD1554*MAX(1,IF(H1554&gt;0,AP1554/H1554,1))),IF(R1554&gt;0,AQ1554/R1554,0))/MAX(0.1,N(Parameter!$M$21)))</f>
        <v>0.0384615384615385</v>
      </c>
      <c r="AS1554" s="50" t="n">
        <f aca="false">AR1554*CB1554</f>
        <v>5.96153846153846</v>
      </c>
      <c r="AT1554" s="51" t="n">
        <f aca="false">IF(LEFT(Cockpit!$I$5,1)="A",H1554,IF(CH1554=1,(CK1554+CI1554)/2,IF(LEFT(Cockpit!$I$5,1)="B",(CK1554+AV1554)/2,MAX((CK1554+AV1554)/2,H1554))))</f>
        <v>14</v>
      </c>
      <c r="AU1554" s="50" t="n">
        <f aca="false">AT1554*G1554</f>
        <v>641.2</v>
      </c>
      <c r="AV1554" s="50" t="n">
        <f aca="false">ROUNDUP(CK1554+MAX(CL1554,2*(J1554/IF(CG1554&gt;0,CG1554,MAX(0.1,N(Cockpit!$I$6)))-CK1554)),0)</f>
        <v>10</v>
      </c>
      <c r="AW1554" s="51" t="n">
        <f aca="false">IF(AS1554&gt;0,J1554/AS1554,-1)</f>
        <v>0</v>
      </c>
      <c r="AX1554" s="51" t="n">
        <f aca="false">IF(AND(OR(CF1554="L1",CF1554="L23",CF1554="LIFT"),AS1554&gt;0),SUMIFS($AS$7:$AS$1843,$CF$7:$CF$1843,CF1554,$AW$7:$AW$1843,"&gt;"&amp;AW1554)+SUMIFS($AS$7:$AS$1843,$CF$7:$CF$1843,CF1554,$AW$7:$AW$1843,AW1554,$BW$7:$BW$1843,"&lt;="&amp;BW1554),"")</f>
        <v>36563.5619580514</v>
      </c>
      <c r="AY1554" s="58" t="n">
        <f aca="false">IF(AX1554="",0,MAX(0,MIN(1,(IF(CF1554="L1",Parameter!$H$5,IF(CF1554="L23",Parameter!$H$6+Parameter!$H$7,Parameter!$H$5+Parameter!$H$6+Parameter!$H$7))-(AX1554-AS1554))/AS1554)))</f>
        <v>0</v>
      </c>
      <c r="AZ1554" s="50" t="n">
        <f aca="false">IF(LEFT(Cockpit!$O$5,1)="A",H1554,IF(Parameter!$E$30="MAX-Bestand",IF(CH1554=1,CI1554,IF(LEFT(Cockpit!$O$5,1)="B",BF1554,MAX(BF1554,H1554))),ROUNDUP(BD1554,0)))</f>
        <v>5</v>
      </c>
      <c r="BA1554" s="50" t="n">
        <f aca="false">IF(BZ1554=1,0,ROUNDUP(AZ1554/BY1554,0))</f>
        <v>1</v>
      </c>
      <c r="BB1554" s="52" t="n">
        <f aca="false">IF(CQ1554&gt;0,CQ1554*MAX(1,AZ1554/X1554),IF(BZ1554=1,IF(AZ1554&lt;=0,0,CD1554*MAX(1,IF(H1554&gt;0,AZ1554/H1554,1))),IF(R1554&gt;0,BA1554/R1554,0))/MAX(0.1,N(Parameter!$M$21)))</f>
        <v>0.0384615384615385</v>
      </c>
      <c r="BC1554" s="50" t="n">
        <f aca="false">BB1554*CB1554</f>
        <v>5.96153846153846</v>
      </c>
      <c r="BD1554" s="51" t="n">
        <f aca="false">IF(LEFT(Cockpit!$O$5,1)="A",H1554,IF(CH1554=1,(CK1554+CI1554)/2,IF(LEFT(Cockpit!$O$5,1)="B",(CK1554+BF1554)/2,MAX((CK1554+BF1554)/2,H1554))))</f>
        <v>5</v>
      </c>
      <c r="BE1554" s="50" t="n">
        <f aca="false">BD1554*G1554</f>
        <v>229</v>
      </c>
      <c r="BF1554" s="50" t="n">
        <f aca="false">ROUNDUP(CK1554+MAX(CL1554,2*(J1554/IF(CG1554&gt;0,CG1554,MAX(0.1,N(Cockpit!$O$6)))-CK1554)),0)</f>
        <v>10</v>
      </c>
      <c r="BG1554" s="51" t="n">
        <f aca="false">IF(BC1554&gt;0,J1554/BC1554,-1)</f>
        <v>0</v>
      </c>
      <c r="BH1554" s="51" t="n">
        <f aca="false">IF(AND(OR(CF1554="L1",CF1554="L23",CF1554="LIFT"),BC1554&gt;0),SUMIFS($BC$7:$BC$1843,$CF$7:$CF$1843,CF1554,$BG$7:$BG$1843,"&gt;"&amp;BG1554)+SUMIFS($BC$7:$BC$1843,$CF$7:$CF$1843,CF1554,$BG$7:$BG$1843,BG1554,$BW$7:$BW$1843,"&lt;="&amp;BW1554),"")</f>
        <v>30473.0032335837</v>
      </c>
      <c r="BI1554" s="58" t="n">
        <f aca="false">IF(BH1554="",0,MAX(0,MIN(1,(IF(CF1554="L1",Parameter!$H$5,IF(CF1554="L23",Parameter!$H$6+Parameter!$H$7,Parameter!$H$5+Parameter!$H$6+Parameter!$H$7))-(BH1554-BC1554))/BC1554)))</f>
        <v>1</v>
      </c>
      <c r="BJ1554" s="48" t="str">
        <f aca="false">IF(AI1554&lt;=0,"",IF(CF1554="Aussen","Aussenlager",IF(CF1554="-","Nicht im Lift",IF(AO1554&gt;=1,"Lift",IF(AO1554&lt;=0,"Aussenlager","teilweise")))))</f>
        <v>Lift</v>
      </c>
      <c r="BK1554" s="48" t="str">
        <f aca="false">IF(AS1554&lt;=0,"",IF(CF1554="Aussen","Aussenlager",IF(CF1554="-","Nicht im Lift",IF(AY1554&gt;=1,"Lift",IF(AY1554&lt;=0,"Aussenlager","teilweise")))))</f>
        <v>Aussenlager</v>
      </c>
      <c r="BL1554" s="48" t="str">
        <f aca="false">IF(BC1554&lt;=0,"",IF(CF1554="Aussen","Aussenlager",IF(CF1554="-","Nicht im Lift",IF(BI1554&gt;=1,"Lift",IF(BI1554&lt;=0,"Aussenlager","teilweise")))))</f>
        <v>Lift</v>
      </c>
      <c r="BM1554" s="48" t="str">
        <f aca="false">IF(A1554="","",IF(BV1554=1,"Neu; ","")&amp;IF(AND(BV1554=0,BQ1554&lt;0),"negativer Bestand (Export "&amp;BQ1554&amp;"); ","")&amp;IF(J1554&lt;=0,"Kein Verbrauch; ","")&amp;IF(CQ1554&gt;0,"Lift "&amp;W1554&amp;" lt. Liftbericht (Fach "&amp;X1554&amp;" Stk); ",IF(CA1554=1,"Gebinde geschätzt ("&amp;T1554&amp;"); ",IF(BZ1554=1,"Lose – Tablare geschätzt; ","")))&amp;IF(H1554&gt;AV1554,"Überbestand "&amp;ROUND(H1554-AV1554,0)&amp;" Stk / CHF "&amp;ROUND((H1554-AV1554)*G1554,0)&amp;"; ","")&amp;IF(AND(CH1554=1,CI1554&lt;CJ1554),"MAX &lt; MB+LG; ","")&amp;IF(AND(CP1554&gt;0,CO1554*10&gt;CP1554),"zu hoch für Tablar; ","")&amp;IF(AND(BV1554=0,OR(CH1554=1,AA1554&lt;&gt;"",U1554&lt;&gt;"",V1554&lt;&gt;"",AB1554&lt;&gt;"")),"manuell übersteuert; ","")&amp;IF(AND(BZ1554=0,R1554=0),"Gebinde unbekannt / Stellmass fehlt; ","")&amp;IF(AND(BZ1554=0,N(V1554)&lt;=0,N(Q1554)&lt;=0),"Menge pro Gebinde fehlt (Ist = 1 Gebinde); ","")&amp;BU1554)</f>
        <v>Kein Verbrauch; Überbestand 4 Stk / CHF 183; nur im Artikelstamm (Bestand 23.06.2026)</v>
      </c>
      <c r="BN1554" s="48"/>
      <c r="BO1554" s="48"/>
      <c r="BP1554" s="55"/>
      <c r="BQ1554" s="50" t="n">
        <v>14</v>
      </c>
      <c r="BR1554" s="50" t="n">
        <v>0</v>
      </c>
      <c r="BS1554" s="49" t="n">
        <v>0</v>
      </c>
      <c r="BT1554" s="50" t="n">
        <v>0</v>
      </c>
      <c r="BU1554" s="48" t="s">
        <v>2584</v>
      </c>
      <c r="BV1554" s="53" t="n">
        <v>0</v>
      </c>
      <c r="BW1554" s="53" t="n">
        <v>1554</v>
      </c>
      <c r="BX1554" s="48" t="str">
        <f aca="false">IF(U1554&lt;&gt;"",UPPER(TRIM(U1554)),IF(CA1554=1,UPPER(VLOOKUP(T1554,Parameter!$I$27:$K$29,2,0)),IF(P1554="","LOSE",P1554)))</f>
        <v>S51</v>
      </c>
      <c r="BY1554" s="50" t="n">
        <f aca="false">IF(BX1554="LOSE",1,IF(N(V1554)&gt;0,V1554,IF(CA1554=1,MAX(1,N(VLOOKUP(T1554,Parameter!$I$27:$K$29,3,0)),H1554,N(N1554)),IF(N(Q1554)&gt;0,Q1554,MAX(1,H1554)))))</f>
        <v>14</v>
      </c>
      <c r="BZ1554" s="53" t="n">
        <f aca="false">IF(BX1554="LOSE",1,0)</f>
        <v>0</v>
      </c>
      <c r="CA1554" s="53" t="n">
        <f aca="false">IF(AND(U1554="",OR(P1554="",P1554="LOSE"),T1554&lt;&gt;"",N(S1554)&lt;=0,ISNUMBER(MATCH(T1554,Parameter!$I$27:$I$29,0))),1,0)</f>
        <v>0</v>
      </c>
      <c r="CB1554" s="53" t="n">
        <f aca="false">IF(CQ1554&gt;0,INDEX(Parameter!$H$5:$H$7,W1554)/INDEX(Parameter!$E$5:$E$7,W1554),IF(AND(BZ1554=0,N(IFERROR(VLOOKUP(BX1554,'Gebinde-Kategorie'!$A$5:$N$45,14,0),0))&gt;0),VLOOKUP(BX1554,'Gebinde-Kategorie'!$A$5:$N$45,14,0)*10+Parameter!$M$23,Parameter!$M$24))</f>
        <v>155</v>
      </c>
      <c r="CC1554" s="48" t="str">
        <f aca="false">IF(AND(Parameter!$B$19="Ja",E1554&lt;&gt;"",ISNUMBER(MATCH(E1554,Parameter!$I$35:$I$52,0))),VLOOKUP(E1554,Parameter!$I$35:$J$52,2,0),IFERROR(VLOOKUP(D1554,Parameter!$A$35:$C$64,2,0),"Nein"))</f>
        <v>2+3</v>
      </c>
      <c r="CD1554" s="52" t="n">
        <f aca="false">IF(BZ1554=0,0,IF(N(S1554)&gt;0,S1554,IFERROR(VLOOKUP(D1554,Parameter!$A$35:$C$64,3,0)+0,0)))</f>
        <v>0</v>
      </c>
      <c r="CE1554" s="48" t="n">
        <f aca="false">IF(AA1554&lt;&gt;"",AA1554,Z1554)</f>
        <v>3</v>
      </c>
      <c r="CF1554" s="48" t="str">
        <f aca="false">IF(OR(CE1554=1,CE1554=2,CE1554=3),IF(Parameter!$E$27="Ja","LIFT",IF(CE1554=1,"L1","L23")),IF(CE1554="Aussen","Aussen","-"))</f>
        <v>LIFT</v>
      </c>
      <c r="CG1554" s="59" t="n">
        <f aca="false">IF(N(AB1554)&gt;0,AB1554,0)</f>
        <v>0</v>
      </c>
      <c r="CH1554" s="53" t="n">
        <f aca="false">IF(ISNUMBER(AE1554),1,0)</f>
        <v>0</v>
      </c>
      <c r="CI1554" s="50" t="n">
        <f aca="false">N(AE1554)</f>
        <v>0</v>
      </c>
      <c r="CJ1554" s="50" t="n">
        <f aca="false">N(M1554)+N(N1554)</f>
        <v>10</v>
      </c>
      <c r="CK1554" s="50" t="n">
        <f aca="false">N(M1554)</f>
        <v>0</v>
      </c>
      <c r="CL1554" s="50" t="n">
        <f aca="false">N(N1554)</f>
        <v>10</v>
      </c>
      <c r="CM1554" s="50" t="n">
        <f aca="false">ROUNDUP(H1554/BY1554,0)</f>
        <v>1</v>
      </c>
      <c r="CN1554" s="50" t="n">
        <f aca="false">ROUNDUP(CI1554/BY1554,0)</f>
        <v>0</v>
      </c>
      <c r="CO1554" s="53" t="n">
        <f aca="false">IF(BZ1554=1,0,IFERROR(VLOOKUP(BX1554,'Gebinde-Kategorie'!$A$5:$N$45,5,0)+0,0))</f>
        <v>11</v>
      </c>
      <c r="CP1554" s="53" t="n">
        <f aca="false">IFERROR(IF(OR(CE1554=1,CE1554=2,CE1554=3),N(INDEX(Parameter!$I$5:$I$7,CE1554)),0),0)</f>
        <v>0</v>
      </c>
      <c r="CQ1554" s="52" t="n">
        <f aca="false">IF(AND(Parameter!$B$21="Ja",ISNUMBER(W1554),N(X1554)&gt;0),IFERROR(N(INDEX(Parameter!$L$5:$L$7,W1554))*INDEX(Parameter!$E$5:$E$7,W1554)*X1554/SUMIFS($X$7:$X$1843,$W$7:$W$1843,W1554),0),0)</f>
        <v>0</v>
      </c>
    </row>
    <row r="1555" customFormat="false" ht="15" hidden="false" customHeight="false" outlineLevel="0" collapsed="false">
      <c r="A1555" s="48" t="s">
        <v>2726</v>
      </c>
      <c r="B1555" s="48" t="s">
        <v>2725</v>
      </c>
      <c r="C1555" s="48" t="s">
        <v>173</v>
      </c>
      <c r="D1555" s="48" t="s">
        <v>193</v>
      </c>
      <c r="E1555" s="48" t="s">
        <v>194</v>
      </c>
      <c r="F1555" s="48"/>
      <c r="G1555" s="49" t="n">
        <v>43.8</v>
      </c>
      <c r="H1555" s="50" t="n">
        <f aca="false">MAX(0,IF(AND(Parameter!$B$21="Ja",ISNUMBER(Y1555)),Y1555,IF(Parameter!$B$20="Jahresanfang 2025 + Export",BR1555+BQ1555,BQ1555)))</f>
        <v>9</v>
      </c>
      <c r="I1555" s="50" t="n">
        <f aca="false">H1555*G1555</f>
        <v>394.2</v>
      </c>
      <c r="J1555" s="50" t="n">
        <f aca="false">BT1555*Parameter!$B$18</f>
        <v>0</v>
      </c>
      <c r="K1555" s="51"/>
      <c r="L1555" s="52"/>
      <c r="M1555" s="50" t="n">
        <v>0</v>
      </c>
      <c r="N1555" s="50" t="n">
        <v>10</v>
      </c>
      <c r="O1555" s="53" t="n">
        <v>0</v>
      </c>
      <c r="P1555" s="48" t="s">
        <v>311</v>
      </c>
      <c r="Q1555" s="50" t="n">
        <v>9</v>
      </c>
      <c r="R1555" s="53" t="n">
        <f aca="false">IF(BZ1555=1,0,IFERROR(VLOOKUP(BX1555,'Gebinde-Kategorie'!$A$5:$N$45,13,0)+0,0))</f>
        <v>26</v>
      </c>
      <c r="S1555" s="54"/>
      <c r="T1555" s="55"/>
      <c r="U1555" s="55"/>
      <c r="V1555" s="55"/>
      <c r="W1555" s="48"/>
      <c r="X1555" s="50"/>
      <c r="Y1555" s="50"/>
      <c r="Z1555" s="48" t="n">
        <f aca="false">IF(A1555="","",IF(AND(Parameter!$B$21="Ja",ISNUMBER(W1555)),W1555,IF(CC1555="2+3",IF(ISNUMBER(SEARCH("grosser Artikel",BU1555)),2,IFERROR(VLOOKUP(BX1555,Parameter!$F$35:$G$64,2,0),2)),IF(OR(CC1555="Nein",CC1555=""),"-",CC1555))))</f>
        <v>3</v>
      </c>
      <c r="AA1555" s="55"/>
      <c r="AB1555" s="56"/>
      <c r="AC1555" s="50" t="n">
        <f aca="false">AV1555</f>
        <v>10</v>
      </c>
      <c r="AD1555" s="50" t="n">
        <f aca="false">MAX(AV1555,H1555)</f>
        <v>10</v>
      </c>
      <c r="AE1555" s="57"/>
      <c r="AF1555" s="50" t="n">
        <f aca="false">IF(LEFT(Cockpit!$C$5,1)="A",H1555,IF(Parameter!$E$30="MAX-Bestand",IF(CH1555=1,CI1555,IF(LEFT(Cockpit!$C$5,1)="B",AL1555,MAX(AL1555,H1555))),ROUNDUP(AJ1555,0)))</f>
        <v>9</v>
      </c>
      <c r="AG1555" s="50" t="n">
        <f aca="false">IF(BZ1555=1,0,ROUNDUP(AF1555/BY1555,0))</f>
        <v>1</v>
      </c>
      <c r="AH1555" s="52" t="n">
        <f aca="false">IF(CQ1555&gt;0,CQ1555*MAX(1,AF1555/X1555),IF(BZ1555=1,IF(AF1555&lt;=0,0,CD1555*MAX(1,IF(H1555&gt;0,AF1555/H1555,1))),IF(R1555&gt;0,AG1555/R1555,0))/MAX(0.1,N(Parameter!$M$21)))</f>
        <v>0.0384615384615385</v>
      </c>
      <c r="AI1555" s="50" t="n">
        <f aca="false">AH1555*CB1555</f>
        <v>5.96153846153846</v>
      </c>
      <c r="AJ1555" s="51" t="n">
        <f aca="false">IF(LEFT(Cockpit!$C$5,1)="A",H1555,IF(CH1555=1,(CK1555+CI1555)/2,IF(LEFT(Cockpit!$C$5,1)="B",(CK1555+AL1555)/2,MAX((CK1555+AL1555)/2,H1555))))</f>
        <v>9</v>
      </c>
      <c r="AK1555" s="50" t="n">
        <f aca="false">AJ1555*G1555</f>
        <v>394.2</v>
      </c>
      <c r="AL1555" s="50" t="n">
        <f aca="false">ROUNDUP(CK1555+MAX(CL1555,2*(J1555/IF(CG1555&gt;0,CG1555,MAX(0.1,N(Cockpit!$C$6)))-CK1555)),0)</f>
        <v>10</v>
      </c>
      <c r="AM1555" s="51" t="n">
        <f aca="false">IF(AI1555&gt;0,J1555/AI1555,-1)</f>
        <v>0</v>
      </c>
      <c r="AN1555" s="51" t="n">
        <f aca="false">IF(AND(OR(CF1555="L1",CF1555="L23",CF1555="LIFT"),AI1555&gt;0),SUMIFS($AI$7:$AI$1843,$CF$7:$CF$1843,CF1555,$AM$7:$AM$1843,"&gt;"&amp;AM1555)+SUMIFS($AI$7:$AI$1843,$CF$7:$CF$1843,CF1555,$AM$7:$AM$1843,AM1555,$BW$7:$BW$1843,"&lt;="&amp;BW1555),"")</f>
        <v>30249.6669796776</v>
      </c>
      <c r="AO1555" s="58" t="n">
        <f aca="false">IF(AN1555="",0,MAX(0,MIN(1,(IF(CF1555="L1",Parameter!$H$5,IF(CF1555="L23",Parameter!$H$6+Parameter!$H$7,Parameter!$H$5+Parameter!$H$6+Parameter!$H$7))-(AN1555-AI1555))/AI1555)))</f>
        <v>1</v>
      </c>
      <c r="AP1555" s="50" t="n">
        <f aca="false">IF(LEFT(Cockpit!$I$5,1)="A",H1555,IF(Parameter!$E$30="MAX-Bestand",IF(CH1555=1,CI1555,IF(LEFT(Cockpit!$I$5,1)="B",AV1555,MAX(AV1555,H1555))),ROUNDUP(AT1555,0)))</f>
        <v>9</v>
      </c>
      <c r="AQ1555" s="50" t="n">
        <f aca="false">IF(BZ1555=1,0,ROUNDUP(AP1555/BY1555,0))</f>
        <v>1</v>
      </c>
      <c r="AR1555" s="52" t="n">
        <f aca="false">IF(CQ1555&gt;0,CQ1555*MAX(1,AP1555/X1555),IF(BZ1555=1,IF(AP1555&lt;=0,0,CD1555*MAX(1,IF(H1555&gt;0,AP1555/H1555,1))),IF(R1555&gt;0,AQ1555/R1555,0))/MAX(0.1,N(Parameter!$M$21)))</f>
        <v>0.0384615384615385</v>
      </c>
      <c r="AS1555" s="50" t="n">
        <f aca="false">AR1555*CB1555</f>
        <v>5.96153846153846</v>
      </c>
      <c r="AT1555" s="51" t="n">
        <f aca="false">IF(LEFT(Cockpit!$I$5,1)="A",H1555,IF(CH1555=1,(CK1555+CI1555)/2,IF(LEFT(Cockpit!$I$5,1)="B",(CK1555+AV1555)/2,MAX((CK1555+AV1555)/2,H1555))))</f>
        <v>9</v>
      </c>
      <c r="AU1555" s="50" t="n">
        <f aca="false">AT1555*G1555</f>
        <v>394.2</v>
      </c>
      <c r="AV1555" s="50" t="n">
        <f aca="false">ROUNDUP(CK1555+MAX(CL1555,2*(J1555/IF(CG1555&gt;0,CG1555,MAX(0.1,N(Cockpit!$I$6)))-CK1555)),0)</f>
        <v>10</v>
      </c>
      <c r="AW1555" s="51" t="n">
        <f aca="false">IF(AS1555&gt;0,J1555/AS1555,-1)</f>
        <v>0</v>
      </c>
      <c r="AX1555" s="51" t="n">
        <f aca="false">IF(AND(OR(CF1555="L1",CF1555="L23",CF1555="LIFT"),AS1555&gt;0),SUMIFS($AS$7:$AS$1843,$CF$7:$CF$1843,CF1555,$AW$7:$AW$1843,"&gt;"&amp;AW1555)+SUMIFS($AS$7:$AS$1843,$CF$7:$CF$1843,CF1555,$AW$7:$AW$1843,AW1555,$BW$7:$BW$1843,"&lt;="&amp;BW1555),"")</f>
        <v>36569.5234965129</v>
      </c>
      <c r="AY1555" s="58" t="n">
        <f aca="false">IF(AX1555="",0,MAX(0,MIN(1,(IF(CF1555="L1",Parameter!$H$5,IF(CF1555="L23",Parameter!$H$6+Parameter!$H$7,Parameter!$H$5+Parameter!$H$6+Parameter!$H$7))-(AX1555-AS1555))/AS1555)))</f>
        <v>0</v>
      </c>
      <c r="AZ1555" s="50" t="n">
        <f aca="false">IF(LEFT(Cockpit!$O$5,1)="A",H1555,IF(Parameter!$E$30="MAX-Bestand",IF(CH1555=1,CI1555,IF(LEFT(Cockpit!$O$5,1)="B",BF1555,MAX(BF1555,H1555))),ROUNDUP(BD1555,0)))</f>
        <v>5</v>
      </c>
      <c r="BA1555" s="50" t="n">
        <f aca="false">IF(BZ1555=1,0,ROUNDUP(AZ1555/BY1555,0))</f>
        <v>1</v>
      </c>
      <c r="BB1555" s="52" t="n">
        <f aca="false">IF(CQ1555&gt;0,CQ1555*MAX(1,AZ1555/X1555),IF(BZ1555=1,IF(AZ1555&lt;=0,0,CD1555*MAX(1,IF(H1555&gt;0,AZ1555/H1555,1))),IF(R1555&gt;0,BA1555/R1555,0))/MAX(0.1,N(Parameter!$M$21)))</f>
        <v>0.0384615384615385</v>
      </c>
      <c r="BC1555" s="50" t="n">
        <f aca="false">BB1555*CB1555</f>
        <v>5.96153846153846</v>
      </c>
      <c r="BD1555" s="51" t="n">
        <f aca="false">IF(LEFT(Cockpit!$O$5,1)="A",H1555,IF(CH1555=1,(CK1555+CI1555)/2,IF(LEFT(Cockpit!$O$5,1)="B",(CK1555+BF1555)/2,MAX((CK1555+BF1555)/2,H1555))))</f>
        <v>5</v>
      </c>
      <c r="BE1555" s="50" t="n">
        <f aca="false">BD1555*G1555</f>
        <v>219</v>
      </c>
      <c r="BF1555" s="50" t="n">
        <f aca="false">ROUNDUP(CK1555+MAX(CL1555,2*(J1555/IF(CG1555&gt;0,CG1555,MAX(0.1,N(Cockpit!$O$6)))-CK1555)),0)</f>
        <v>10</v>
      </c>
      <c r="BG1555" s="51" t="n">
        <f aca="false">IF(BC1555&gt;0,J1555/BC1555,-1)</f>
        <v>0</v>
      </c>
      <c r="BH1555" s="51" t="n">
        <f aca="false">IF(AND(OR(CF1555="L1",CF1555="L23",CF1555="LIFT"),BC1555&gt;0),SUMIFS($BC$7:$BC$1843,$CF$7:$CF$1843,CF1555,$BG$7:$BG$1843,"&gt;"&amp;BG1555)+SUMIFS($BC$7:$BC$1843,$CF$7:$CF$1843,CF1555,$BG$7:$BG$1843,BG1555,$BW$7:$BW$1843,"&lt;="&amp;BW1555),"")</f>
        <v>30478.9647720453</v>
      </c>
      <c r="BI1555" s="58" t="n">
        <f aca="false">IF(BH1555="",0,MAX(0,MIN(1,(IF(CF1555="L1",Parameter!$H$5,IF(CF1555="L23",Parameter!$H$6+Parameter!$H$7,Parameter!$H$5+Parameter!$H$6+Parameter!$H$7))-(BH1555-BC1555))/BC1555)))</f>
        <v>1</v>
      </c>
      <c r="BJ1555" s="48" t="str">
        <f aca="false">IF(AI1555&lt;=0,"",IF(CF1555="Aussen","Aussenlager",IF(CF1555="-","Nicht im Lift",IF(AO1555&gt;=1,"Lift",IF(AO1555&lt;=0,"Aussenlager","teilweise")))))</f>
        <v>Lift</v>
      </c>
      <c r="BK1555" s="48" t="str">
        <f aca="false">IF(AS1555&lt;=0,"",IF(CF1555="Aussen","Aussenlager",IF(CF1555="-","Nicht im Lift",IF(AY1555&gt;=1,"Lift",IF(AY1555&lt;=0,"Aussenlager","teilweise")))))</f>
        <v>Aussenlager</v>
      </c>
      <c r="BL1555" s="48" t="str">
        <f aca="false">IF(BC1555&lt;=0,"",IF(CF1555="Aussen","Aussenlager",IF(CF1555="-","Nicht im Lift",IF(BI1555&gt;=1,"Lift",IF(BI1555&lt;=0,"Aussenlager","teilweise")))))</f>
        <v>Lift</v>
      </c>
      <c r="BM1555" s="48" t="str">
        <f aca="false">IF(A1555="","",IF(BV1555=1,"Neu; ","")&amp;IF(AND(BV1555=0,BQ1555&lt;0),"negativer Bestand (Export "&amp;BQ1555&amp;"); ","")&amp;IF(J1555&lt;=0,"Kein Verbrauch; ","")&amp;IF(CQ1555&gt;0,"Lift "&amp;W1555&amp;" lt. Liftbericht (Fach "&amp;X1555&amp;" Stk); ",IF(CA1555=1,"Gebinde geschätzt ("&amp;T1555&amp;"); ",IF(BZ1555=1,"Lose – Tablare geschätzt; ","")))&amp;IF(H1555&gt;AV1555,"Überbestand "&amp;ROUND(H1555-AV1555,0)&amp;" Stk / CHF "&amp;ROUND((H1555-AV1555)*G1555,0)&amp;"; ","")&amp;IF(AND(CH1555=1,CI1555&lt;CJ1555),"MAX &lt; MB+LG; ","")&amp;IF(AND(CP1555&gt;0,CO1555*10&gt;CP1555),"zu hoch für Tablar; ","")&amp;IF(AND(BV1555=0,OR(CH1555=1,AA1555&lt;&gt;"",U1555&lt;&gt;"",V1555&lt;&gt;"",AB1555&lt;&gt;"")),"manuell übersteuert; ","")&amp;IF(AND(BZ1555=0,R1555=0),"Gebinde unbekannt / Stellmass fehlt; ","")&amp;IF(AND(BZ1555=0,N(V1555)&lt;=0,N(Q1555)&lt;=0),"Menge pro Gebinde fehlt (Ist = 1 Gebinde); ","")&amp;BU1555)</f>
        <v>Kein Verbrauch; nur im Artikelstamm (Bestand 23.06.2026)</v>
      </c>
      <c r="BN1555" s="48"/>
      <c r="BO1555" s="48"/>
      <c r="BP1555" s="55"/>
      <c r="BQ1555" s="50" t="n">
        <v>9</v>
      </c>
      <c r="BR1555" s="50" t="n">
        <v>0</v>
      </c>
      <c r="BS1555" s="49" t="n">
        <v>0</v>
      </c>
      <c r="BT1555" s="50" t="n">
        <v>0</v>
      </c>
      <c r="BU1555" s="48" t="s">
        <v>2584</v>
      </c>
      <c r="BV1555" s="53" t="n">
        <v>0</v>
      </c>
      <c r="BW1555" s="53" t="n">
        <v>1555</v>
      </c>
      <c r="BX1555" s="48" t="str">
        <f aca="false">IF(U1555&lt;&gt;"",UPPER(TRIM(U1555)),IF(CA1555=1,UPPER(VLOOKUP(T1555,Parameter!$I$27:$K$29,2,0)),IF(P1555="","LOSE",P1555)))</f>
        <v>S51</v>
      </c>
      <c r="BY1555" s="50" t="n">
        <f aca="false">IF(BX1555="LOSE",1,IF(N(V1555)&gt;0,V1555,IF(CA1555=1,MAX(1,N(VLOOKUP(T1555,Parameter!$I$27:$K$29,3,0)),H1555,N(N1555)),IF(N(Q1555)&gt;0,Q1555,MAX(1,H1555)))))</f>
        <v>9</v>
      </c>
      <c r="BZ1555" s="53" t="n">
        <f aca="false">IF(BX1555="LOSE",1,0)</f>
        <v>0</v>
      </c>
      <c r="CA1555" s="53" t="n">
        <f aca="false">IF(AND(U1555="",OR(P1555="",P1555="LOSE"),T1555&lt;&gt;"",N(S1555)&lt;=0,ISNUMBER(MATCH(T1555,Parameter!$I$27:$I$29,0))),1,0)</f>
        <v>0</v>
      </c>
      <c r="CB1555" s="53" t="n">
        <f aca="false">IF(CQ1555&gt;0,INDEX(Parameter!$H$5:$H$7,W1555)/INDEX(Parameter!$E$5:$E$7,W1555),IF(AND(BZ1555=0,N(IFERROR(VLOOKUP(BX1555,'Gebinde-Kategorie'!$A$5:$N$45,14,0),0))&gt;0),VLOOKUP(BX1555,'Gebinde-Kategorie'!$A$5:$N$45,14,0)*10+Parameter!$M$23,Parameter!$M$24))</f>
        <v>155</v>
      </c>
      <c r="CC1555" s="48" t="str">
        <f aca="false">IF(AND(Parameter!$B$19="Ja",E1555&lt;&gt;"",ISNUMBER(MATCH(E1555,Parameter!$I$35:$I$52,0))),VLOOKUP(E1555,Parameter!$I$35:$J$52,2,0),IFERROR(VLOOKUP(D1555,Parameter!$A$35:$C$64,2,0),"Nein"))</f>
        <v>2+3</v>
      </c>
      <c r="CD1555" s="52" t="n">
        <f aca="false">IF(BZ1555=0,0,IF(N(S1555)&gt;0,S1555,IFERROR(VLOOKUP(D1555,Parameter!$A$35:$C$64,3,0)+0,0)))</f>
        <v>0</v>
      </c>
      <c r="CE1555" s="48" t="n">
        <f aca="false">IF(AA1555&lt;&gt;"",AA1555,Z1555)</f>
        <v>3</v>
      </c>
      <c r="CF1555" s="48" t="str">
        <f aca="false">IF(OR(CE1555=1,CE1555=2,CE1555=3),IF(Parameter!$E$27="Ja","LIFT",IF(CE1555=1,"L1","L23")),IF(CE1555="Aussen","Aussen","-"))</f>
        <v>LIFT</v>
      </c>
      <c r="CG1555" s="59" t="n">
        <f aca="false">IF(N(AB1555)&gt;0,AB1555,0)</f>
        <v>0</v>
      </c>
      <c r="CH1555" s="53" t="n">
        <f aca="false">IF(ISNUMBER(AE1555),1,0)</f>
        <v>0</v>
      </c>
      <c r="CI1555" s="50" t="n">
        <f aca="false">N(AE1555)</f>
        <v>0</v>
      </c>
      <c r="CJ1555" s="50" t="n">
        <f aca="false">N(M1555)+N(N1555)</f>
        <v>10</v>
      </c>
      <c r="CK1555" s="50" t="n">
        <f aca="false">N(M1555)</f>
        <v>0</v>
      </c>
      <c r="CL1555" s="50" t="n">
        <f aca="false">N(N1555)</f>
        <v>10</v>
      </c>
      <c r="CM1555" s="50" t="n">
        <f aca="false">ROUNDUP(H1555/BY1555,0)</f>
        <v>1</v>
      </c>
      <c r="CN1555" s="50" t="n">
        <f aca="false">ROUNDUP(CI1555/BY1555,0)</f>
        <v>0</v>
      </c>
      <c r="CO1555" s="53" t="n">
        <f aca="false">IF(BZ1555=1,0,IFERROR(VLOOKUP(BX1555,'Gebinde-Kategorie'!$A$5:$N$45,5,0)+0,0))</f>
        <v>11</v>
      </c>
      <c r="CP1555" s="53" t="n">
        <f aca="false">IFERROR(IF(OR(CE1555=1,CE1555=2,CE1555=3),N(INDEX(Parameter!$I$5:$I$7,CE1555)),0),0)</f>
        <v>0</v>
      </c>
      <c r="CQ1555" s="52" t="n">
        <f aca="false">IF(AND(Parameter!$B$21="Ja",ISNUMBER(W1555),N(X1555)&gt;0),IFERROR(N(INDEX(Parameter!$L$5:$L$7,W1555))*INDEX(Parameter!$E$5:$E$7,W1555)*X1555/SUMIFS($X$7:$X$1843,$W$7:$W$1843,W1555),0),0)</f>
        <v>0</v>
      </c>
    </row>
    <row r="1556" customFormat="false" ht="15" hidden="false" customHeight="false" outlineLevel="0" collapsed="false">
      <c r="A1556" s="48" t="s">
        <v>2727</v>
      </c>
      <c r="B1556" s="48" t="s">
        <v>529</v>
      </c>
      <c r="C1556" s="48" t="s">
        <v>173</v>
      </c>
      <c r="D1556" s="48" t="s">
        <v>193</v>
      </c>
      <c r="E1556" s="48" t="s">
        <v>194</v>
      </c>
      <c r="F1556" s="48"/>
      <c r="G1556" s="49" t="n">
        <v>27.17</v>
      </c>
      <c r="H1556" s="50" t="n">
        <f aca="false">MAX(0,IF(AND(Parameter!$B$21="Ja",ISNUMBER(Y1556)),Y1556,IF(Parameter!$B$20="Jahresanfang 2025 + Export",BR1556+BQ1556,BQ1556)))</f>
        <v>54</v>
      </c>
      <c r="I1556" s="50" t="n">
        <f aca="false">H1556*G1556</f>
        <v>1467.18</v>
      </c>
      <c r="J1556" s="50" t="n">
        <f aca="false">BT1556*Parameter!$B$18</f>
        <v>0</v>
      </c>
      <c r="K1556" s="51"/>
      <c r="L1556" s="52"/>
      <c r="M1556" s="50" t="n">
        <v>0</v>
      </c>
      <c r="N1556" s="50" t="n">
        <v>20</v>
      </c>
      <c r="O1556" s="53" t="n">
        <v>56</v>
      </c>
      <c r="P1556" s="48" t="s">
        <v>485</v>
      </c>
      <c r="Q1556" s="50" t="n">
        <v>54</v>
      </c>
      <c r="R1556" s="53" t="n">
        <f aca="false">IF(BZ1556=1,0,IFERROR(VLOOKUP(BX1556,'Gebinde-Kategorie'!$A$5:$N$45,13,0)+0,0))</f>
        <v>52</v>
      </c>
      <c r="S1556" s="54"/>
      <c r="T1556" s="55"/>
      <c r="U1556" s="55"/>
      <c r="V1556" s="55"/>
      <c r="W1556" s="48"/>
      <c r="X1556" s="50"/>
      <c r="Y1556" s="50"/>
      <c r="Z1556" s="48" t="n">
        <f aca="false">IF(A1556="","",IF(AND(Parameter!$B$21="Ja",ISNUMBER(W1556)),W1556,IF(CC1556="2+3",IF(ISNUMBER(SEARCH("grosser Artikel",BU1556)),2,IFERROR(VLOOKUP(BX1556,Parameter!$F$35:$G$64,2,0),2)),IF(OR(CC1556="Nein",CC1556=""),"-",CC1556))))</f>
        <v>3</v>
      </c>
      <c r="AA1556" s="55"/>
      <c r="AB1556" s="56"/>
      <c r="AC1556" s="50" t="n">
        <f aca="false">AV1556</f>
        <v>20</v>
      </c>
      <c r="AD1556" s="50" t="n">
        <f aca="false">MAX(AV1556,H1556)</f>
        <v>54</v>
      </c>
      <c r="AE1556" s="57"/>
      <c r="AF1556" s="50" t="n">
        <f aca="false">IF(LEFT(Cockpit!$C$5,1)="A",H1556,IF(Parameter!$E$30="MAX-Bestand",IF(CH1556=1,CI1556,IF(LEFT(Cockpit!$C$5,1)="B",AL1556,MAX(AL1556,H1556))),ROUNDUP(AJ1556,0)))</f>
        <v>54</v>
      </c>
      <c r="AG1556" s="50" t="n">
        <f aca="false">IF(BZ1556=1,0,ROUNDUP(AF1556/BY1556,0))</f>
        <v>1</v>
      </c>
      <c r="AH1556" s="52" t="n">
        <f aca="false">IF(CQ1556&gt;0,CQ1556*MAX(1,AF1556/X1556),IF(BZ1556=1,IF(AF1556&lt;=0,0,CD1556*MAX(1,IF(H1556&gt;0,AF1556/H1556,1))),IF(R1556&gt;0,AG1556/R1556,0))/MAX(0.1,N(Parameter!$M$21)))</f>
        <v>0.0192307692307692</v>
      </c>
      <c r="AI1556" s="50" t="n">
        <f aca="false">AH1556*CB1556</f>
        <v>2.98076923076923</v>
      </c>
      <c r="AJ1556" s="51" t="n">
        <f aca="false">IF(LEFT(Cockpit!$C$5,1)="A",H1556,IF(CH1556=1,(CK1556+CI1556)/2,IF(LEFT(Cockpit!$C$5,1)="B",(CK1556+AL1556)/2,MAX((CK1556+AL1556)/2,H1556))))</f>
        <v>54</v>
      </c>
      <c r="AK1556" s="50" t="n">
        <f aca="false">AJ1556*G1556</f>
        <v>1467.18</v>
      </c>
      <c r="AL1556" s="50" t="n">
        <f aca="false">ROUNDUP(CK1556+MAX(CL1556,2*(J1556/IF(CG1556&gt;0,CG1556,MAX(0.1,N(Cockpit!$C$6)))-CK1556)),0)</f>
        <v>20</v>
      </c>
      <c r="AM1556" s="51" t="n">
        <f aca="false">IF(AI1556&gt;0,J1556/AI1556,-1)</f>
        <v>0</v>
      </c>
      <c r="AN1556" s="51" t="n">
        <f aca="false">IF(AND(OR(CF1556="L1",CF1556="L23",CF1556="LIFT"),AI1556&gt;0),SUMIFS($AI$7:$AI$1843,$CF$7:$CF$1843,CF1556,$AM$7:$AM$1843,"&gt;"&amp;AM1556)+SUMIFS($AI$7:$AI$1843,$CF$7:$CF$1843,CF1556,$AM$7:$AM$1843,AM1556,$BW$7:$BW$1843,"&lt;="&amp;BW1556),"")</f>
        <v>30252.6477489083</v>
      </c>
      <c r="AO1556" s="58" t="n">
        <f aca="false">IF(AN1556="",0,MAX(0,MIN(1,(IF(CF1556="L1",Parameter!$H$5,IF(CF1556="L23",Parameter!$H$6+Parameter!$H$7,Parameter!$H$5+Parameter!$H$6+Parameter!$H$7))-(AN1556-AI1556))/AI1556)))</f>
        <v>1</v>
      </c>
      <c r="AP1556" s="50" t="n">
        <f aca="false">IF(LEFT(Cockpit!$I$5,1)="A",H1556,IF(Parameter!$E$30="MAX-Bestand",IF(CH1556=1,CI1556,IF(LEFT(Cockpit!$I$5,1)="B",AV1556,MAX(AV1556,H1556))),ROUNDUP(AT1556,0)))</f>
        <v>54</v>
      </c>
      <c r="AQ1556" s="50" t="n">
        <f aca="false">IF(BZ1556=1,0,ROUNDUP(AP1556/BY1556,0))</f>
        <v>1</v>
      </c>
      <c r="AR1556" s="52" t="n">
        <f aca="false">IF(CQ1556&gt;0,CQ1556*MAX(1,AP1556/X1556),IF(BZ1556=1,IF(AP1556&lt;=0,0,CD1556*MAX(1,IF(H1556&gt;0,AP1556/H1556,1))),IF(R1556&gt;0,AQ1556/R1556,0))/MAX(0.1,N(Parameter!$M$21)))</f>
        <v>0.0192307692307692</v>
      </c>
      <c r="AS1556" s="50" t="n">
        <f aca="false">AR1556*CB1556</f>
        <v>2.98076923076923</v>
      </c>
      <c r="AT1556" s="51" t="n">
        <f aca="false">IF(LEFT(Cockpit!$I$5,1)="A",H1556,IF(CH1556=1,(CK1556+CI1556)/2,IF(LEFT(Cockpit!$I$5,1)="B",(CK1556+AV1556)/2,MAX((CK1556+AV1556)/2,H1556))))</f>
        <v>54</v>
      </c>
      <c r="AU1556" s="50" t="n">
        <f aca="false">AT1556*G1556</f>
        <v>1467.18</v>
      </c>
      <c r="AV1556" s="50" t="n">
        <f aca="false">ROUNDUP(CK1556+MAX(CL1556,2*(J1556/IF(CG1556&gt;0,CG1556,MAX(0.1,N(Cockpit!$I$6)))-CK1556)),0)</f>
        <v>20</v>
      </c>
      <c r="AW1556" s="51" t="n">
        <f aca="false">IF(AS1556&gt;0,J1556/AS1556,-1)</f>
        <v>0</v>
      </c>
      <c r="AX1556" s="51" t="n">
        <f aca="false">IF(AND(OR(CF1556="L1",CF1556="L23",CF1556="LIFT"),AS1556&gt;0),SUMIFS($AS$7:$AS$1843,$CF$7:$CF$1843,CF1556,$AW$7:$AW$1843,"&gt;"&amp;AW1556)+SUMIFS($AS$7:$AS$1843,$CF$7:$CF$1843,CF1556,$AW$7:$AW$1843,AW1556,$BW$7:$BW$1843,"&lt;="&amp;BW1556),"")</f>
        <v>36572.5042657437</v>
      </c>
      <c r="AY1556" s="58" t="n">
        <f aca="false">IF(AX1556="",0,MAX(0,MIN(1,(IF(CF1556="L1",Parameter!$H$5,IF(CF1556="L23",Parameter!$H$6+Parameter!$H$7,Parameter!$H$5+Parameter!$H$6+Parameter!$H$7))-(AX1556-AS1556))/AS1556)))</f>
        <v>0</v>
      </c>
      <c r="AZ1556" s="50" t="n">
        <f aca="false">IF(LEFT(Cockpit!$O$5,1)="A",H1556,IF(Parameter!$E$30="MAX-Bestand",IF(CH1556=1,CI1556,IF(LEFT(Cockpit!$O$5,1)="B",BF1556,MAX(BF1556,H1556))),ROUNDUP(BD1556,0)))</f>
        <v>10</v>
      </c>
      <c r="BA1556" s="50" t="n">
        <f aca="false">IF(BZ1556=1,0,ROUNDUP(AZ1556/BY1556,0))</f>
        <v>1</v>
      </c>
      <c r="BB1556" s="52" t="n">
        <f aca="false">IF(CQ1556&gt;0,CQ1556*MAX(1,AZ1556/X1556),IF(BZ1556=1,IF(AZ1556&lt;=0,0,CD1556*MAX(1,IF(H1556&gt;0,AZ1556/H1556,1))),IF(R1556&gt;0,BA1556/R1556,0))/MAX(0.1,N(Parameter!$M$21)))</f>
        <v>0.0192307692307692</v>
      </c>
      <c r="BC1556" s="50" t="n">
        <f aca="false">BB1556*CB1556</f>
        <v>2.98076923076923</v>
      </c>
      <c r="BD1556" s="51" t="n">
        <f aca="false">IF(LEFT(Cockpit!$O$5,1)="A",H1556,IF(CH1556=1,(CK1556+CI1556)/2,IF(LEFT(Cockpit!$O$5,1)="B",(CK1556+BF1556)/2,MAX((CK1556+BF1556)/2,H1556))))</f>
        <v>10</v>
      </c>
      <c r="BE1556" s="50" t="n">
        <f aca="false">BD1556*G1556</f>
        <v>271.7</v>
      </c>
      <c r="BF1556" s="50" t="n">
        <f aca="false">ROUNDUP(CK1556+MAX(CL1556,2*(J1556/IF(CG1556&gt;0,CG1556,MAX(0.1,N(Cockpit!$O$6)))-CK1556)),0)</f>
        <v>20</v>
      </c>
      <c r="BG1556" s="51" t="n">
        <f aca="false">IF(BC1556&gt;0,J1556/BC1556,-1)</f>
        <v>0</v>
      </c>
      <c r="BH1556" s="51" t="n">
        <f aca="false">IF(AND(OR(CF1556="L1",CF1556="L23",CF1556="LIFT"),BC1556&gt;0),SUMIFS($BC$7:$BC$1843,$CF$7:$CF$1843,CF1556,$BG$7:$BG$1843,"&gt;"&amp;BG1556)+SUMIFS($BC$7:$BC$1843,$CF$7:$CF$1843,CF1556,$BG$7:$BG$1843,BG1556,$BW$7:$BW$1843,"&lt;="&amp;BW1556),"")</f>
        <v>30481.9455412761</v>
      </c>
      <c r="BI1556" s="58" t="n">
        <f aca="false">IF(BH1556="",0,MAX(0,MIN(1,(IF(CF1556="L1",Parameter!$H$5,IF(CF1556="L23",Parameter!$H$6+Parameter!$H$7,Parameter!$H$5+Parameter!$H$6+Parameter!$H$7))-(BH1556-BC1556))/BC1556)))</f>
        <v>1</v>
      </c>
      <c r="BJ1556" s="48" t="str">
        <f aca="false">IF(AI1556&lt;=0,"",IF(CF1556="Aussen","Aussenlager",IF(CF1556="-","Nicht im Lift",IF(AO1556&gt;=1,"Lift",IF(AO1556&lt;=0,"Aussenlager","teilweise")))))</f>
        <v>Lift</v>
      </c>
      <c r="BK1556" s="48" t="str">
        <f aca="false">IF(AS1556&lt;=0,"",IF(CF1556="Aussen","Aussenlager",IF(CF1556="-","Nicht im Lift",IF(AY1556&gt;=1,"Lift",IF(AY1556&lt;=0,"Aussenlager","teilweise")))))</f>
        <v>Aussenlager</v>
      </c>
      <c r="BL1556" s="48" t="str">
        <f aca="false">IF(BC1556&lt;=0,"",IF(CF1556="Aussen","Aussenlager",IF(CF1556="-","Nicht im Lift",IF(BI1556&gt;=1,"Lift",IF(BI1556&lt;=0,"Aussenlager","teilweise")))))</f>
        <v>Lift</v>
      </c>
      <c r="BM1556" s="48" t="str">
        <f aca="false">IF(A1556="","",IF(BV1556=1,"Neu; ","")&amp;IF(AND(BV1556=0,BQ1556&lt;0),"negativer Bestand (Export "&amp;BQ1556&amp;"); ","")&amp;IF(J1556&lt;=0,"Kein Verbrauch; ","")&amp;IF(CQ1556&gt;0,"Lift "&amp;W1556&amp;" lt. Liftbericht (Fach "&amp;X1556&amp;" Stk); ",IF(CA1556=1,"Gebinde geschätzt ("&amp;T1556&amp;"); ",IF(BZ1556=1,"Lose – Tablare geschätzt; ","")))&amp;IF(H1556&gt;AV1556,"Überbestand "&amp;ROUND(H1556-AV1556,0)&amp;" Stk / CHF "&amp;ROUND((H1556-AV1556)*G1556,0)&amp;"; ","")&amp;IF(AND(CH1556=1,CI1556&lt;CJ1556),"MAX &lt; MB+LG; ","")&amp;IF(AND(CP1556&gt;0,CO1556*10&gt;CP1556),"zu hoch für Tablar; ","")&amp;IF(AND(BV1556=0,OR(CH1556=1,AA1556&lt;&gt;"",U1556&lt;&gt;"",V1556&lt;&gt;"",AB1556&lt;&gt;"")),"manuell übersteuert; ","")&amp;IF(AND(BZ1556=0,R1556=0),"Gebinde unbekannt / Stellmass fehlt; ","")&amp;IF(AND(BZ1556=0,N(V1556)&lt;=0,N(Q1556)&lt;=0),"Menge pro Gebinde fehlt (Ist = 1 Gebinde); ","")&amp;BU1556)</f>
        <v>Kein Verbrauch; Überbestand 34 Stk / CHF 924; nur im Artikelstamm (Bestand 23.06.2026)</v>
      </c>
      <c r="BN1556" s="48"/>
      <c r="BO1556" s="48"/>
      <c r="BP1556" s="55"/>
      <c r="BQ1556" s="50" t="n">
        <v>54</v>
      </c>
      <c r="BR1556" s="50" t="n">
        <v>0</v>
      </c>
      <c r="BS1556" s="49" t="n">
        <v>0</v>
      </c>
      <c r="BT1556" s="50" t="n">
        <v>0</v>
      </c>
      <c r="BU1556" s="48" t="s">
        <v>2584</v>
      </c>
      <c r="BV1556" s="53" t="n">
        <v>0</v>
      </c>
      <c r="BW1556" s="53" t="n">
        <v>1556</v>
      </c>
      <c r="BX1556" s="48" t="str">
        <f aca="false">IF(U1556&lt;&gt;"",UPPER(TRIM(U1556)),IF(CA1556=1,UPPER(VLOOKUP(T1556,Parameter!$I$27:$K$29,2,0)),IF(P1556="","LOSE",P1556)))</f>
        <v>S33</v>
      </c>
      <c r="BY1556" s="50" t="n">
        <f aca="false">IF(BX1556="LOSE",1,IF(N(V1556)&gt;0,V1556,IF(CA1556=1,MAX(1,N(VLOOKUP(T1556,Parameter!$I$27:$K$29,3,0)),H1556,N(N1556)),IF(N(Q1556)&gt;0,Q1556,MAX(1,H1556)))))</f>
        <v>54</v>
      </c>
      <c r="BZ1556" s="53" t="n">
        <f aca="false">IF(BX1556="LOSE",1,0)</f>
        <v>0</v>
      </c>
      <c r="CA1556" s="53" t="n">
        <f aca="false">IF(AND(U1556="",OR(P1556="",P1556="LOSE"),T1556&lt;&gt;"",N(S1556)&lt;=0,ISNUMBER(MATCH(T1556,Parameter!$I$27:$I$29,0))),1,0)</f>
        <v>0</v>
      </c>
      <c r="CB1556" s="53" t="n">
        <f aca="false">IF(CQ1556&gt;0,INDEX(Parameter!$H$5:$H$7,W1556)/INDEX(Parameter!$E$5:$E$7,W1556),IF(AND(BZ1556=0,N(IFERROR(VLOOKUP(BX1556,'Gebinde-Kategorie'!$A$5:$N$45,14,0),0))&gt;0),VLOOKUP(BX1556,'Gebinde-Kategorie'!$A$5:$N$45,14,0)*10+Parameter!$M$23,Parameter!$M$24))</f>
        <v>155</v>
      </c>
      <c r="CC1556" s="48" t="str">
        <f aca="false">IF(AND(Parameter!$B$19="Ja",E1556&lt;&gt;"",ISNUMBER(MATCH(E1556,Parameter!$I$35:$I$52,0))),VLOOKUP(E1556,Parameter!$I$35:$J$52,2,0),IFERROR(VLOOKUP(D1556,Parameter!$A$35:$C$64,2,0),"Nein"))</f>
        <v>2+3</v>
      </c>
      <c r="CD1556" s="52" t="n">
        <f aca="false">IF(BZ1556=0,0,IF(N(S1556)&gt;0,S1556,IFERROR(VLOOKUP(D1556,Parameter!$A$35:$C$64,3,0)+0,0)))</f>
        <v>0</v>
      </c>
      <c r="CE1556" s="48" t="n">
        <f aca="false">IF(AA1556&lt;&gt;"",AA1556,Z1556)</f>
        <v>3</v>
      </c>
      <c r="CF1556" s="48" t="str">
        <f aca="false">IF(OR(CE1556=1,CE1556=2,CE1556=3),IF(Parameter!$E$27="Ja","LIFT",IF(CE1556=1,"L1","L23")),IF(CE1556="Aussen","Aussen","-"))</f>
        <v>LIFT</v>
      </c>
      <c r="CG1556" s="59" t="n">
        <f aca="false">IF(N(AB1556)&gt;0,AB1556,0)</f>
        <v>0</v>
      </c>
      <c r="CH1556" s="53" t="n">
        <f aca="false">IF(ISNUMBER(AE1556),1,0)</f>
        <v>0</v>
      </c>
      <c r="CI1556" s="50" t="n">
        <f aca="false">N(AE1556)</f>
        <v>0</v>
      </c>
      <c r="CJ1556" s="50" t="n">
        <f aca="false">N(M1556)+N(N1556)</f>
        <v>20</v>
      </c>
      <c r="CK1556" s="50" t="n">
        <f aca="false">N(M1556)</f>
        <v>0</v>
      </c>
      <c r="CL1556" s="50" t="n">
        <f aca="false">N(N1556)</f>
        <v>20</v>
      </c>
      <c r="CM1556" s="50" t="n">
        <f aca="false">ROUNDUP(H1556/BY1556,0)</f>
        <v>1</v>
      </c>
      <c r="CN1556" s="50" t="n">
        <f aca="false">ROUNDUP(CI1556/BY1556,0)</f>
        <v>0</v>
      </c>
      <c r="CO1556" s="53" t="n">
        <f aca="false">IF(BZ1556=1,0,IFERROR(VLOOKUP(BX1556,'Gebinde-Kategorie'!$A$5:$N$45,5,0)+0,0))</f>
        <v>8</v>
      </c>
      <c r="CP1556" s="53" t="n">
        <f aca="false">IFERROR(IF(OR(CE1556=1,CE1556=2,CE1556=3),N(INDEX(Parameter!$I$5:$I$7,CE1556)),0),0)</f>
        <v>0</v>
      </c>
      <c r="CQ1556" s="52" t="n">
        <f aca="false">IF(AND(Parameter!$B$21="Ja",ISNUMBER(W1556),N(X1556)&gt;0),IFERROR(N(INDEX(Parameter!$L$5:$L$7,W1556))*INDEX(Parameter!$E$5:$E$7,W1556)*X1556/SUMIFS($X$7:$X$1843,$W$7:$W$1843,W1556),0),0)</f>
        <v>0</v>
      </c>
    </row>
    <row r="1557" customFormat="false" ht="15" hidden="false" customHeight="false" outlineLevel="0" collapsed="false">
      <c r="A1557" s="48" t="s">
        <v>2728</v>
      </c>
      <c r="B1557" s="48" t="s">
        <v>2729</v>
      </c>
      <c r="C1557" s="48" t="s">
        <v>173</v>
      </c>
      <c r="D1557" s="48" t="s">
        <v>193</v>
      </c>
      <c r="E1557" s="48"/>
      <c r="F1557" s="48"/>
      <c r="G1557" s="49" t="n">
        <v>48.77</v>
      </c>
      <c r="H1557" s="50" t="n">
        <f aca="false">MAX(0,IF(AND(Parameter!$B$21="Ja",ISNUMBER(Y1557)),Y1557,IF(Parameter!$B$20="Jahresanfang 2025 + Export",BR1557+BQ1557,BQ1557)))</f>
        <v>5</v>
      </c>
      <c r="I1557" s="50" t="n">
        <f aca="false">H1557*G1557</f>
        <v>243.85</v>
      </c>
      <c r="J1557" s="50" t="n">
        <f aca="false">BT1557*Parameter!$B$18</f>
        <v>0</v>
      </c>
      <c r="K1557" s="51"/>
      <c r="L1557" s="52"/>
      <c r="M1557" s="50" t="n">
        <v>0</v>
      </c>
      <c r="N1557" s="50" t="n">
        <v>1</v>
      </c>
      <c r="O1557" s="53" t="n">
        <v>0</v>
      </c>
      <c r="P1557" s="48" t="s">
        <v>177</v>
      </c>
      <c r="Q1557" s="50"/>
      <c r="R1557" s="53" t="n">
        <f aca="false">IF(BZ1557=1,0,IFERROR(VLOOKUP(BX1557,'Gebinde-Kategorie'!$A$5:$N$45,13,0)+0,0))</f>
        <v>26</v>
      </c>
      <c r="S1557" s="54"/>
      <c r="T1557" s="55" t="s">
        <v>284</v>
      </c>
      <c r="U1557" s="55"/>
      <c r="V1557" s="55"/>
      <c r="W1557" s="48"/>
      <c r="X1557" s="50"/>
      <c r="Y1557" s="50"/>
      <c r="Z1557" s="48" t="n">
        <f aca="false">IF(A1557="","",IF(AND(Parameter!$B$21="Ja",ISNUMBER(W1557)),W1557,IF(CC1557="2+3",IF(ISNUMBER(SEARCH("grosser Artikel",BU1557)),2,IFERROR(VLOOKUP(BX1557,Parameter!$F$35:$G$64,2,0),2)),IF(OR(CC1557="Nein",CC1557=""),"-",CC1557))))</f>
        <v>3</v>
      </c>
      <c r="AA1557" s="55"/>
      <c r="AB1557" s="56"/>
      <c r="AC1557" s="50" t="n">
        <f aca="false">AV1557</f>
        <v>1</v>
      </c>
      <c r="AD1557" s="50" t="n">
        <f aca="false">MAX(AV1557,H1557)</f>
        <v>5</v>
      </c>
      <c r="AE1557" s="57"/>
      <c r="AF1557" s="50" t="n">
        <f aca="false">IF(LEFT(Cockpit!$C$5,1)="A",H1557,IF(Parameter!$E$30="MAX-Bestand",IF(CH1557=1,CI1557,IF(LEFT(Cockpit!$C$5,1)="B",AL1557,MAX(AL1557,H1557))),ROUNDUP(AJ1557,0)))</f>
        <v>5</v>
      </c>
      <c r="AG1557" s="50" t="n">
        <f aca="false">IF(BZ1557=1,0,ROUNDUP(AF1557/BY1557,0))</f>
        <v>1</v>
      </c>
      <c r="AH1557" s="52" t="n">
        <f aca="false">IF(CQ1557&gt;0,CQ1557*MAX(1,AF1557/X1557),IF(BZ1557=1,IF(AF1557&lt;=0,0,CD1557*MAX(1,IF(H1557&gt;0,AF1557/H1557,1))),IF(R1557&gt;0,AG1557/R1557,0))/MAX(0.1,N(Parameter!$M$21)))</f>
        <v>0.0384615384615385</v>
      </c>
      <c r="AI1557" s="50" t="n">
        <f aca="false">AH1557*CB1557</f>
        <v>5.96153846153846</v>
      </c>
      <c r="AJ1557" s="51" t="n">
        <f aca="false">IF(LEFT(Cockpit!$C$5,1)="A",H1557,IF(CH1557=1,(CK1557+CI1557)/2,IF(LEFT(Cockpit!$C$5,1)="B",(CK1557+AL1557)/2,MAX((CK1557+AL1557)/2,H1557))))</f>
        <v>5</v>
      </c>
      <c r="AK1557" s="50" t="n">
        <f aca="false">AJ1557*G1557</f>
        <v>243.85</v>
      </c>
      <c r="AL1557" s="50" t="n">
        <f aca="false">ROUNDUP(CK1557+MAX(CL1557,2*(J1557/IF(CG1557&gt;0,CG1557,MAX(0.1,N(Cockpit!$C$6)))-CK1557)),0)</f>
        <v>1</v>
      </c>
      <c r="AM1557" s="51" t="n">
        <f aca="false">IF(AI1557&gt;0,J1557/AI1557,-1)</f>
        <v>0</v>
      </c>
      <c r="AN1557" s="51" t="n">
        <f aca="false">IF(AND(OR(CF1557="L1",CF1557="L23",CF1557="LIFT"),AI1557&gt;0),SUMIFS($AI$7:$AI$1843,$CF$7:$CF$1843,CF1557,$AM$7:$AM$1843,"&gt;"&amp;AM1557)+SUMIFS($AI$7:$AI$1843,$CF$7:$CF$1843,CF1557,$AM$7:$AM$1843,AM1557,$BW$7:$BW$1843,"&lt;="&amp;BW1557),"")</f>
        <v>30258.6092873699</v>
      </c>
      <c r="AO1557" s="58" t="n">
        <f aca="false">IF(AN1557="",0,MAX(0,MIN(1,(IF(CF1557="L1",Parameter!$H$5,IF(CF1557="L23",Parameter!$H$6+Parameter!$H$7,Parameter!$H$5+Parameter!$H$6+Parameter!$H$7))-(AN1557-AI1557))/AI1557)))</f>
        <v>1</v>
      </c>
      <c r="AP1557" s="50" t="n">
        <f aca="false">IF(LEFT(Cockpit!$I$5,1)="A",H1557,IF(Parameter!$E$30="MAX-Bestand",IF(CH1557=1,CI1557,IF(LEFT(Cockpit!$I$5,1)="B",AV1557,MAX(AV1557,H1557))),ROUNDUP(AT1557,0)))</f>
        <v>5</v>
      </c>
      <c r="AQ1557" s="50" t="n">
        <f aca="false">IF(BZ1557=1,0,ROUNDUP(AP1557/BY1557,0))</f>
        <v>1</v>
      </c>
      <c r="AR1557" s="52" t="n">
        <f aca="false">IF(CQ1557&gt;0,CQ1557*MAX(1,AP1557/X1557),IF(BZ1557=1,IF(AP1557&lt;=0,0,CD1557*MAX(1,IF(H1557&gt;0,AP1557/H1557,1))),IF(R1557&gt;0,AQ1557/R1557,0))/MAX(0.1,N(Parameter!$M$21)))</f>
        <v>0.0384615384615385</v>
      </c>
      <c r="AS1557" s="50" t="n">
        <f aca="false">AR1557*CB1557</f>
        <v>5.96153846153846</v>
      </c>
      <c r="AT1557" s="51" t="n">
        <f aca="false">IF(LEFT(Cockpit!$I$5,1)="A",H1557,IF(CH1557=1,(CK1557+CI1557)/2,IF(LEFT(Cockpit!$I$5,1)="B",(CK1557+AV1557)/2,MAX((CK1557+AV1557)/2,H1557))))</f>
        <v>5</v>
      </c>
      <c r="AU1557" s="50" t="n">
        <f aca="false">AT1557*G1557</f>
        <v>243.85</v>
      </c>
      <c r="AV1557" s="50" t="n">
        <f aca="false">ROUNDUP(CK1557+MAX(CL1557,2*(J1557/IF(CG1557&gt;0,CG1557,MAX(0.1,N(Cockpit!$I$6)))-CK1557)),0)</f>
        <v>1</v>
      </c>
      <c r="AW1557" s="51" t="n">
        <f aca="false">IF(AS1557&gt;0,J1557/AS1557,-1)</f>
        <v>0</v>
      </c>
      <c r="AX1557" s="51" t="n">
        <f aca="false">IF(AND(OR(CF1557="L1",CF1557="L23",CF1557="LIFT"),AS1557&gt;0),SUMIFS($AS$7:$AS$1843,$CF$7:$CF$1843,CF1557,$AW$7:$AW$1843,"&gt;"&amp;AW1557)+SUMIFS($AS$7:$AS$1843,$CF$7:$CF$1843,CF1557,$AW$7:$AW$1843,AW1557,$BW$7:$BW$1843,"&lt;="&amp;BW1557),"")</f>
        <v>36578.4658042052</v>
      </c>
      <c r="AY1557" s="58" t="n">
        <f aca="false">IF(AX1557="",0,MAX(0,MIN(1,(IF(CF1557="L1",Parameter!$H$5,IF(CF1557="L23",Parameter!$H$6+Parameter!$H$7,Parameter!$H$5+Parameter!$H$6+Parameter!$H$7))-(AX1557-AS1557))/AS1557)))</f>
        <v>0</v>
      </c>
      <c r="AZ1557" s="50" t="n">
        <f aca="false">IF(LEFT(Cockpit!$O$5,1)="A",H1557,IF(Parameter!$E$30="MAX-Bestand",IF(CH1557=1,CI1557,IF(LEFT(Cockpit!$O$5,1)="B",BF1557,MAX(BF1557,H1557))),ROUNDUP(BD1557,0)))</f>
        <v>1</v>
      </c>
      <c r="BA1557" s="50" t="n">
        <f aca="false">IF(BZ1557=1,0,ROUNDUP(AZ1557/BY1557,0))</f>
        <v>1</v>
      </c>
      <c r="BB1557" s="52" t="n">
        <f aca="false">IF(CQ1557&gt;0,CQ1557*MAX(1,AZ1557/X1557),IF(BZ1557=1,IF(AZ1557&lt;=0,0,CD1557*MAX(1,IF(H1557&gt;0,AZ1557/H1557,1))),IF(R1557&gt;0,BA1557/R1557,0))/MAX(0.1,N(Parameter!$M$21)))</f>
        <v>0.0384615384615385</v>
      </c>
      <c r="BC1557" s="50" t="n">
        <f aca="false">BB1557*CB1557</f>
        <v>5.96153846153846</v>
      </c>
      <c r="BD1557" s="51" t="n">
        <f aca="false">IF(LEFT(Cockpit!$O$5,1)="A",H1557,IF(CH1557=1,(CK1557+CI1557)/2,IF(LEFT(Cockpit!$O$5,1)="B",(CK1557+BF1557)/2,MAX((CK1557+BF1557)/2,H1557))))</f>
        <v>0.5</v>
      </c>
      <c r="BE1557" s="50" t="n">
        <f aca="false">BD1557*G1557</f>
        <v>24.385</v>
      </c>
      <c r="BF1557" s="50" t="n">
        <f aca="false">ROUNDUP(CK1557+MAX(CL1557,2*(J1557/IF(CG1557&gt;0,CG1557,MAX(0.1,N(Cockpit!$O$6)))-CK1557)),0)</f>
        <v>1</v>
      </c>
      <c r="BG1557" s="51" t="n">
        <f aca="false">IF(BC1557&gt;0,J1557/BC1557,-1)</f>
        <v>0</v>
      </c>
      <c r="BH1557" s="51" t="n">
        <f aca="false">IF(AND(OR(CF1557="L1",CF1557="L23",CF1557="LIFT"),BC1557&gt;0),SUMIFS($BC$7:$BC$1843,$CF$7:$CF$1843,CF1557,$BG$7:$BG$1843,"&gt;"&amp;BG1557)+SUMIFS($BC$7:$BC$1843,$CF$7:$CF$1843,CF1557,$BG$7:$BG$1843,BG1557,$BW$7:$BW$1843,"&lt;="&amp;BW1557),"")</f>
        <v>30487.9070797376</v>
      </c>
      <c r="BI1557" s="58" t="n">
        <f aca="false">IF(BH1557="",0,MAX(0,MIN(1,(IF(CF1557="L1",Parameter!$H$5,IF(CF1557="L23",Parameter!$H$6+Parameter!$H$7,Parameter!$H$5+Parameter!$H$6+Parameter!$H$7))-(BH1557-BC1557))/BC1557)))</f>
        <v>1</v>
      </c>
      <c r="BJ1557" s="48" t="str">
        <f aca="false">IF(AI1557&lt;=0,"",IF(CF1557="Aussen","Aussenlager",IF(CF1557="-","Nicht im Lift",IF(AO1557&gt;=1,"Lift",IF(AO1557&lt;=0,"Aussenlager","teilweise")))))</f>
        <v>Lift</v>
      </c>
      <c r="BK1557" s="48" t="str">
        <f aca="false">IF(AS1557&lt;=0,"",IF(CF1557="Aussen","Aussenlager",IF(CF1557="-","Nicht im Lift",IF(AY1557&gt;=1,"Lift",IF(AY1557&lt;=0,"Aussenlager","teilweise")))))</f>
        <v>Aussenlager</v>
      </c>
      <c r="BL1557" s="48" t="str">
        <f aca="false">IF(BC1557&lt;=0,"",IF(CF1557="Aussen","Aussenlager",IF(CF1557="-","Nicht im Lift",IF(BI1557&gt;=1,"Lift",IF(BI1557&lt;=0,"Aussenlager","teilweise")))))</f>
        <v>Lift</v>
      </c>
      <c r="BM1557" s="48" t="str">
        <f aca="false">IF(A1557="","",IF(BV1557=1,"Neu; ","")&amp;IF(AND(BV1557=0,BQ1557&lt;0),"negativer Bestand (Export "&amp;BQ1557&amp;"); ","")&amp;IF(J1557&lt;=0,"Kein Verbrauch; ","")&amp;IF(CQ1557&gt;0,"Lift "&amp;W1557&amp;" lt. Liftbericht (Fach "&amp;X1557&amp;" Stk); ",IF(CA1557=1,"Gebinde geschätzt ("&amp;T1557&amp;"); ",IF(BZ1557=1,"Lose – Tablare geschätzt; ","")))&amp;IF(H1557&gt;AV1557,"Überbestand "&amp;ROUND(H1557-AV1557,0)&amp;" Stk / CHF "&amp;ROUND((H1557-AV1557)*G1557,0)&amp;"; ","")&amp;IF(AND(CH1557=1,CI1557&lt;CJ1557),"MAX &lt; MB+LG; ","")&amp;IF(AND(CP1557&gt;0,CO1557*10&gt;CP1557),"zu hoch für Tablar; ","")&amp;IF(AND(BV1557=0,OR(CH1557=1,AA1557&lt;&gt;"",U1557&lt;&gt;"",V1557&lt;&gt;"",AB1557&lt;&gt;"")),"manuell übersteuert; ","")&amp;IF(AND(BZ1557=0,R1557=0),"Gebinde unbekannt / Stellmass fehlt; ","")&amp;IF(AND(BZ1557=0,N(V1557)&lt;=0,N(Q1557)&lt;=0),"Menge pro Gebinde fehlt (Ist = 1 Gebinde); ","")&amp;BU1557)</f>
        <v>Kein Verbrauch; Gebinde geschätzt (Klein); Überbestand 4 Stk / CHF 195; Menge pro Gebinde fehlt (Ist = 1 Gebinde); nur im Artikelstamm (Bestand 23.06.2026); Verb.Lager</v>
      </c>
      <c r="BN1557" s="48"/>
      <c r="BO1557" s="48"/>
      <c r="BP1557" s="55"/>
      <c r="BQ1557" s="50" t="n">
        <v>5</v>
      </c>
      <c r="BR1557" s="50" t="n">
        <v>0</v>
      </c>
      <c r="BS1557" s="49" t="n">
        <v>0</v>
      </c>
      <c r="BT1557" s="50" t="n">
        <v>0</v>
      </c>
      <c r="BU1557" s="48" t="s">
        <v>2578</v>
      </c>
      <c r="BV1557" s="53" t="n">
        <v>0</v>
      </c>
      <c r="BW1557" s="53" t="n">
        <v>1557</v>
      </c>
      <c r="BX1557" s="48" t="str">
        <f aca="false">IF(U1557&lt;&gt;"",UPPER(TRIM(U1557)),IF(CA1557=1,UPPER(VLOOKUP(T1557,Parameter!$I$27:$K$29,2,0)),IF(P1557="","LOSE",P1557)))</f>
        <v>S51</v>
      </c>
      <c r="BY1557" s="50" t="n">
        <f aca="false">IF(BX1557="LOSE",1,IF(N(V1557)&gt;0,V1557,IF(CA1557=1,MAX(1,N(VLOOKUP(T1557,Parameter!$I$27:$K$29,3,0)),H1557,N(N1557)),IF(N(Q1557)&gt;0,Q1557,MAX(1,H1557)))))</f>
        <v>20</v>
      </c>
      <c r="BZ1557" s="53" t="n">
        <f aca="false">IF(BX1557="LOSE",1,0)</f>
        <v>0</v>
      </c>
      <c r="CA1557" s="53" t="n">
        <f aca="false">IF(AND(U1557="",OR(P1557="",P1557="LOSE"),T1557&lt;&gt;"",N(S1557)&lt;=0,ISNUMBER(MATCH(T1557,Parameter!$I$27:$I$29,0))),1,0)</f>
        <v>1</v>
      </c>
      <c r="CB1557" s="53" t="n">
        <f aca="false">IF(CQ1557&gt;0,INDEX(Parameter!$H$5:$H$7,W1557)/INDEX(Parameter!$E$5:$E$7,W1557),IF(AND(BZ1557=0,N(IFERROR(VLOOKUP(BX1557,'Gebinde-Kategorie'!$A$5:$N$45,14,0),0))&gt;0),VLOOKUP(BX1557,'Gebinde-Kategorie'!$A$5:$N$45,14,0)*10+Parameter!$M$23,Parameter!$M$24))</f>
        <v>155</v>
      </c>
      <c r="CC1557" s="48" t="str">
        <f aca="false">IF(AND(Parameter!$B$19="Ja",E1557&lt;&gt;"",ISNUMBER(MATCH(E1557,Parameter!$I$35:$I$52,0))),VLOOKUP(E1557,Parameter!$I$35:$J$52,2,0),IFERROR(VLOOKUP(D1557,Parameter!$A$35:$C$64,2,0),"Nein"))</f>
        <v>2+3</v>
      </c>
      <c r="CD1557" s="52" t="n">
        <f aca="false">IF(BZ1557=0,0,IF(N(S1557)&gt;0,S1557,IFERROR(VLOOKUP(D1557,Parameter!$A$35:$C$64,3,0)+0,0)))</f>
        <v>0</v>
      </c>
      <c r="CE1557" s="48" t="n">
        <f aca="false">IF(AA1557&lt;&gt;"",AA1557,Z1557)</f>
        <v>3</v>
      </c>
      <c r="CF1557" s="48" t="str">
        <f aca="false">IF(OR(CE1557=1,CE1557=2,CE1557=3),IF(Parameter!$E$27="Ja","LIFT",IF(CE1557=1,"L1","L23")),IF(CE1557="Aussen","Aussen","-"))</f>
        <v>LIFT</v>
      </c>
      <c r="CG1557" s="59" t="n">
        <f aca="false">IF(N(AB1557)&gt;0,AB1557,0)</f>
        <v>0</v>
      </c>
      <c r="CH1557" s="53" t="n">
        <f aca="false">IF(ISNUMBER(AE1557),1,0)</f>
        <v>0</v>
      </c>
      <c r="CI1557" s="50" t="n">
        <f aca="false">N(AE1557)</f>
        <v>0</v>
      </c>
      <c r="CJ1557" s="50" t="n">
        <f aca="false">N(M1557)+N(N1557)</f>
        <v>1</v>
      </c>
      <c r="CK1557" s="50" t="n">
        <f aca="false">N(M1557)</f>
        <v>0</v>
      </c>
      <c r="CL1557" s="50" t="n">
        <f aca="false">N(N1557)</f>
        <v>1</v>
      </c>
      <c r="CM1557" s="50" t="n">
        <f aca="false">ROUNDUP(H1557/BY1557,0)</f>
        <v>1</v>
      </c>
      <c r="CN1557" s="50" t="n">
        <f aca="false">ROUNDUP(CI1557/BY1557,0)</f>
        <v>0</v>
      </c>
      <c r="CO1557" s="53" t="n">
        <f aca="false">IF(BZ1557=1,0,IFERROR(VLOOKUP(BX1557,'Gebinde-Kategorie'!$A$5:$N$45,5,0)+0,0))</f>
        <v>11</v>
      </c>
      <c r="CP1557" s="53" t="n">
        <f aca="false">IFERROR(IF(OR(CE1557=1,CE1557=2,CE1557=3),N(INDEX(Parameter!$I$5:$I$7,CE1557)),0),0)</f>
        <v>0</v>
      </c>
      <c r="CQ1557" s="52" t="n">
        <f aca="false">IF(AND(Parameter!$B$21="Ja",ISNUMBER(W1557),N(X1557)&gt;0),IFERROR(N(INDEX(Parameter!$L$5:$L$7,W1557))*INDEX(Parameter!$E$5:$E$7,W1557)*X1557/SUMIFS($X$7:$X$1843,$W$7:$W$1843,W1557),0),0)</f>
        <v>0</v>
      </c>
    </row>
    <row r="1558" customFormat="false" ht="15" hidden="false" customHeight="false" outlineLevel="0" collapsed="false">
      <c r="A1558" s="48" t="s">
        <v>2730</v>
      </c>
      <c r="B1558" s="48" t="s">
        <v>2731</v>
      </c>
      <c r="C1558" s="48" t="s">
        <v>173</v>
      </c>
      <c r="D1558" s="48" t="s">
        <v>193</v>
      </c>
      <c r="E1558" s="48"/>
      <c r="F1558" s="48"/>
      <c r="G1558" s="49" t="n">
        <v>10.43</v>
      </c>
      <c r="H1558" s="50" t="n">
        <f aca="false">MAX(0,IF(AND(Parameter!$B$21="Ja",ISNUMBER(Y1558)),Y1558,IF(Parameter!$B$20="Jahresanfang 2025 + Export",BR1558+BQ1558,BQ1558)))</f>
        <v>2</v>
      </c>
      <c r="I1558" s="50" t="n">
        <f aca="false">H1558*G1558</f>
        <v>20.86</v>
      </c>
      <c r="J1558" s="50" t="n">
        <f aca="false">BT1558*Parameter!$B$18</f>
        <v>0</v>
      </c>
      <c r="K1558" s="51"/>
      <c r="L1558" s="52"/>
      <c r="M1558" s="50" t="n">
        <v>0</v>
      </c>
      <c r="N1558" s="50" t="n">
        <v>1</v>
      </c>
      <c r="O1558" s="53" t="n">
        <v>14</v>
      </c>
      <c r="P1558" s="48" t="s">
        <v>177</v>
      </c>
      <c r="Q1558" s="50"/>
      <c r="R1558" s="53" t="n">
        <f aca="false">IF(BZ1558=1,0,IFERROR(VLOOKUP(BX1558,'Gebinde-Kategorie'!$A$5:$N$45,13,0)+0,0))</f>
        <v>26</v>
      </c>
      <c r="S1558" s="54"/>
      <c r="T1558" s="55" t="s">
        <v>284</v>
      </c>
      <c r="U1558" s="55"/>
      <c r="V1558" s="55"/>
      <c r="W1558" s="48"/>
      <c r="X1558" s="50"/>
      <c r="Y1558" s="50"/>
      <c r="Z1558" s="48" t="n">
        <f aca="false">IF(A1558="","",IF(AND(Parameter!$B$21="Ja",ISNUMBER(W1558)),W1558,IF(CC1558="2+3",IF(ISNUMBER(SEARCH("grosser Artikel",BU1558)),2,IFERROR(VLOOKUP(BX1558,Parameter!$F$35:$G$64,2,0),2)),IF(OR(CC1558="Nein",CC1558=""),"-",CC1558))))</f>
        <v>3</v>
      </c>
      <c r="AA1558" s="55"/>
      <c r="AB1558" s="56"/>
      <c r="AC1558" s="50" t="n">
        <f aca="false">AV1558</f>
        <v>1</v>
      </c>
      <c r="AD1558" s="50" t="n">
        <f aca="false">MAX(AV1558,H1558)</f>
        <v>2</v>
      </c>
      <c r="AE1558" s="57"/>
      <c r="AF1558" s="50" t="n">
        <f aca="false">IF(LEFT(Cockpit!$C$5,1)="A",H1558,IF(Parameter!$E$30="MAX-Bestand",IF(CH1558=1,CI1558,IF(LEFT(Cockpit!$C$5,1)="B",AL1558,MAX(AL1558,H1558))),ROUNDUP(AJ1558,0)))</f>
        <v>2</v>
      </c>
      <c r="AG1558" s="50" t="n">
        <f aca="false">IF(BZ1558=1,0,ROUNDUP(AF1558/BY1558,0))</f>
        <v>1</v>
      </c>
      <c r="AH1558" s="52" t="n">
        <f aca="false">IF(CQ1558&gt;0,CQ1558*MAX(1,AF1558/X1558),IF(BZ1558=1,IF(AF1558&lt;=0,0,CD1558*MAX(1,IF(H1558&gt;0,AF1558/H1558,1))),IF(R1558&gt;0,AG1558/R1558,0))/MAX(0.1,N(Parameter!$M$21)))</f>
        <v>0.0384615384615385</v>
      </c>
      <c r="AI1558" s="50" t="n">
        <f aca="false">AH1558*CB1558</f>
        <v>5.96153846153846</v>
      </c>
      <c r="AJ1558" s="51" t="n">
        <f aca="false">IF(LEFT(Cockpit!$C$5,1)="A",H1558,IF(CH1558=1,(CK1558+CI1558)/2,IF(LEFT(Cockpit!$C$5,1)="B",(CK1558+AL1558)/2,MAX((CK1558+AL1558)/2,H1558))))</f>
        <v>2</v>
      </c>
      <c r="AK1558" s="50" t="n">
        <f aca="false">AJ1558*G1558</f>
        <v>20.86</v>
      </c>
      <c r="AL1558" s="50" t="n">
        <f aca="false">ROUNDUP(CK1558+MAX(CL1558,2*(J1558/IF(CG1558&gt;0,CG1558,MAX(0.1,N(Cockpit!$C$6)))-CK1558)),0)</f>
        <v>1</v>
      </c>
      <c r="AM1558" s="51" t="n">
        <f aca="false">IF(AI1558&gt;0,J1558/AI1558,-1)</f>
        <v>0</v>
      </c>
      <c r="AN1558" s="51" t="n">
        <f aca="false">IF(AND(OR(CF1558="L1",CF1558="L23",CF1558="LIFT"),AI1558&gt;0),SUMIFS($AI$7:$AI$1843,$CF$7:$CF$1843,CF1558,$AM$7:$AM$1843,"&gt;"&amp;AM1558)+SUMIFS($AI$7:$AI$1843,$CF$7:$CF$1843,CF1558,$AM$7:$AM$1843,AM1558,$BW$7:$BW$1843,"&lt;="&amp;BW1558),"")</f>
        <v>30264.5708258314</v>
      </c>
      <c r="AO1558" s="58" t="n">
        <f aca="false">IF(AN1558="",0,MAX(0,MIN(1,(IF(CF1558="L1",Parameter!$H$5,IF(CF1558="L23",Parameter!$H$6+Parameter!$H$7,Parameter!$H$5+Parameter!$H$6+Parameter!$H$7))-(AN1558-AI1558))/AI1558)))</f>
        <v>1</v>
      </c>
      <c r="AP1558" s="50" t="n">
        <f aca="false">IF(LEFT(Cockpit!$I$5,1)="A",H1558,IF(Parameter!$E$30="MAX-Bestand",IF(CH1558=1,CI1558,IF(LEFT(Cockpit!$I$5,1)="B",AV1558,MAX(AV1558,H1558))),ROUNDUP(AT1558,0)))</f>
        <v>2</v>
      </c>
      <c r="AQ1558" s="50" t="n">
        <f aca="false">IF(BZ1558=1,0,ROUNDUP(AP1558/BY1558,0))</f>
        <v>1</v>
      </c>
      <c r="AR1558" s="52" t="n">
        <f aca="false">IF(CQ1558&gt;0,CQ1558*MAX(1,AP1558/X1558),IF(BZ1558=1,IF(AP1558&lt;=0,0,CD1558*MAX(1,IF(H1558&gt;0,AP1558/H1558,1))),IF(R1558&gt;0,AQ1558/R1558,0))/MAX(0.1,N(Parameter!$M$21)))</f>
        <v>0.0384615384615385</v>
      </c>
      <c r="AS1558" s="50" t="n">
        <f aca="false">AR1558*CB1558</f>
        <v>5.96153846153846</v>
      </c>
      <c r="AT1558" s="51" t="n">
        <f aca="false">IF(LEFT(Cockpit!$I$5,1)="A",H1558,IF(CH1558=1,(CK1558+CI1558)/2,IF(LEFT(Cockpit!$I$5,1)="B",(CK1558+AV1558)/2,MAX((CK1558+AV1558)/2,H1558))))</f>
        <v>2</v>
      </c>
      <c r="AU1558" s="50" t="n">
        <f aca="false">AT1558*G1558</f>
        <v>20.86</v>
      </c>
      <c r="AV1558" s="50" t="n">
        <f aca="false">ROUNDUP(CK1558+MAX(CL1558,2*(J1558/IF(CG1558&gt;0,CG1558,MAX(0.1,N(Cockpit!$I$6)))-CK1558)),0)</f>
        <v>1</v>
      </c>
      <c r="AW1558" s="51" t="n">
        <f aca="false">IF(AS1558&gt;0,J1558/AS1558,-1)</f>
        <v>0</v>
      </c>
      <c r="AX1558" s="51" t="n">
        <f aca="false">IF(AND(OR(CF1558="L1",CF1558="L23",CF1558="LIFT"),AS1558&gt;0),SUMIFS($AS$7:$AS$1843,$CF$7:$CF$1843,CF1558,$AW$7:$AW$1843,"&gt;"&amp;AW1558)+SUMIFS($AS$7:$AS$1843,$CF$7:$CF$1843,CF1558,$AW$7:$AW$1843,AW1558,$BW$7:$BW$1843,"&lt;="&amp;BW1558),"")</f>
        <v>36584.4273426668</v>
      </c>
      <c r="AY1558" s="58" t="n">
        <f aca="false">IF(AX1558="",0,MAX(0,MIN(1,(IF(CF1558="L1",Parameter!$H$5,IF(CF1558="L23",Parameter!$H$6+Parameter!$H$7,Parameter!$H$5+Parameter!$H$6+Parameter!$H$7))-(AX1558-AS1558))/AS1558)))</f>
        <v>0</v>
      </c>
      <c r="AZ1558" s="50" t="n">
        <f aca="false">IF(LEFT(Cockpit!$O$5,1)="A",H1558,IF(Parameter!$E$30="MAX-Bestand",IF(CH1558=1,CI1558,IF(LEFT(Cockpit!$O$5,1)="B",BF1558,MAX(BF1558,H1558))),ROUNDUP(BD1558,0)))</f>
        <v>1</v>
      </c>
      <c r="BA1558" s="50" t="n">
        <f aca="false">IF(BZ1558=1,0,ROUNDUP(AZ1558/BY1558,0))</f>
        <v>1</v>
      </c>
      <c r="BB1558" s="52" t="n">
        <f aca="false">IF(CQ1558&gt;0,CQ1558*MAX(1,AZ1558/X1558),IF(BZ1558=1,IF(AZ1558&lt;=0,0,CD1558*MAX(1,IF(H1558&gt;0,AZ1558/H1558,1))),IF(R1558&gt;0,BA1558/R1558,0))/MAX(0.1,N(Parameter!$M$21)))</f>
        <v>0.0384615384615385</v>
      </c>
      <c r="BC1558" s="50" t="n">
        <f aca="false">BB1558*CB1558</f>
        <v>5.96153846153846</v>
      </c>
      <c r="BD1558" s="51" t="n">
        <f aca="false">IF(LEFT(Cockpit!$O$5,1)="A",H1558,IF(CH1558=1,(CK1558+CI1558)/2,IF(LEFT(Cockpit!$O$5,1)="B",(CK1558+BF1558)/2,MAX((CK1558+BF1558)/2,H1558))))</f>
        <v>0.5</v>
      </c>
      <c r="BE1558" s="50" t="n">
        <f aca="false">BD1558*G1558</f>
        <v>5.215</v>
      </c>
      <c r="BF1558" s="50" t="n">
        <f aca="false">ROUNDUP(CK1558+MAX(CL1558,2*(J1558/IF(CG1558&gt;0,CG1558,MAX(0.1,N(Cockpit!$O$6)))-CK1558)),0)</f>
        <v>1</v>
      </c>
      <c r="BG1558" s="51" t="n">
        <f aca="false">IF(BC1558&gt;0,J1558/BC1558,-1)</f>
        <v>0</v>
      </c>
      <c r="BH1558" s="51" t="n">
        <f aca="false">IF(AND(OR(CF1558="L1",CF1558="L23",CF1558="LIFT"),BC1558&gt;0),SUMIFS($BC$7:$BC$1843,$CF$7:$CF$1843,CF1558,$BG$7:$BG$1843,"&gt;"&amp;BG1558)+SUMIFS($BC$7:$BC$1843,$CF$7:$CF$1843,CF1558,$BG$7:$BG$1843,BG1558,$BW$7:$BW$1843,"&lt;="&amp;BW1558),"")</f>
        <v>30493.8686181991</v>
      </c>
      <c r="BI1558" s="58" t="n">
        <f aca="false">IF(BH1558="",0,MAX(0,MIN(1,(IF(CF1558="L1",Parameter!$H$5,IF(CF1558="L23",Parameter!$H$6+Parameter!$H$7,Parameter!$H$5+Parameter!$H$6+Parameter!$H$7))-(BH1558-BC1558))/BC1558)))</f>
        <v>1</v>
      </c>
      <c r="BJ1558" s="48" t="str">
        <f aca="false">IF(AI1558&lt;=0,"",IF(CF1558="Aussen","Aussenlager",IF(CF1558="-","Nicht im Lift",IF(AO1558&gt;=1,"Lift",IF(AO1558&lt;=0,"Aussenlager","teilweise")))))</f>
        <v>Lift</v>
      </c>
      <c r="BK1558" s="48" t="str">
        <f aca="false">IF(AS1558&lt;=0,"",IF(CF1558="Aussen","Aussenlager",IF(CF1558="-","Nicht im Lift",IF(AY1558&gt;=1,"Lift",IF(AY1558&lt;=0,"Aussenlager","teilweise")))))</f>
        <v>Aussenlager</v>
      </c>
      <c r="BL1558" s="48" t="str">
        <f aca="false">IF(BC1558&lt;=0,"",IF(CF1558="Aussen","Aussenlager",IF(CF1558="-","Nicht im Lift",IF(BI1558&gt;=1,"Lift",IF(BI1558&lt;=0,"Aussenlager","teilweise")))))</f>
        <v>Lift</v>
      </c>
      <c r="BM1558" s="48" t="str">
        <f aca="false">IF(A1558="","",IF(BV1558=1,"Neu; ","")&amp;IF(AND(BV1558=0,BQ1558&lt;0),"negativer Bestand (Export "&amp;BQ1558&amp;"); ","")&amp;IF(J1558&lt;=0,"Kein Verbrauch; ","")&amp;IF(CQ1558&gt;0,"Lift "&amp;W1558&amp;" lt. Liftbericht (Fach "&amp;X1558&amp;" Stk); ",IF(CA1558=1,"Gebinde geschätzt ("&amp;T1558&amp;"); ",IF(BZ1558=1,"Lose – Tablare geschätzt; ","")))&amp;IF(H1558&gt;AV1558,"Überbestand "&amp;ROUND(H1558-AV1558,0)&amp;" Stk / CHF "&amp;ROUND((H1558-AV1558)*G1558,0)&amp;"; ","")&amp;IF(AND(CH1558=1,CI1558&lt;CJ1558),"MAX &lt; MB+LG; ","")&amp;IF(AND(CP1558&gt;0,CO1558*10&gt;CP1558),"zu hoch für Tablar; ","")&amp;IF(AND(BV1558=0,OR(CH1558=1,AA1558&lt;&gt;"",U1558&lt;&gt;"",V1558&lt;&gt;"",AB1558&lt;&gt;"")),"manuell übersteuert; ","")&amp;IF(AND(BZ1558=0,R1558=0),"Gebinde unbekannt / Stellmass fehlt; ","")&amp;IF(AND(BZ1558=0,N(V1558)&lt;=0,N(Q1558)&lt;=0),"Menge pro Gebinde fehlt (Ist = 1 Gebinde); ","")&amp;BU1558)</f>
        <v>Kein Verbrauch; Gebinde geschätzt (Klein); Überbestand 1 Stk / CHF 10; Menge pro Gebinde fehlt (Ist = 1 Gebinde); nur im Artikelstamm (Bestand 23.06.2026)</v>
      </c>
      <c r="BN1558" s="48"/>
      <c r="BO1558" s="48"/>
      <c r="BP1558" s="55"/>
      <c r="BQ1558" s="50" t="n">
        <v>2</v>
      </c>
      <c r="BR1558" s="50" t="n">
        <v>0</v>
      </c>
      <c r="BS1558" s="49" t="n">
        <v>0</v>
      </c>
      <c r="BT1558" s="50" t="n">
        <v>0</v>
      </c>
      <c r="BU1558" s="48" t="s">
        <v>2584</v>
      </c>
      <c r="BV1558" s="53" t="n">
        <v>0</v>
      </c>
      <c r="BW1558" s="53" t="n">
        <v>1558</v>
      </c>
      <c r="BX1558" s="48" t="str">
        <f aca="false">IF(U1558&lt;&gt;"",UPPER(TRIM(U1558)),IF(CA1558=1,UPPER(VLOOKUP(T1558,Parameter!$I$27:$K$29,2,0)),IF(P1558="","LOSE",P1558)))</f>
        <v>S51</v>
      </c>
      <c r="BY1558" s="50" t="n">
        <f aca="false">IF(BX1558="LOSE",1,IF(N(V1558)&gt;0,V1558,IF(CA1558=1,MAX(1,N(VLOOKUP(T1558,Parameter!$I$27:$K$29,3,0)),H1558,N(N1558)),IF(N(Q1558)&gt;0,Q1558,MAX(1,H1558)))))</f>
        <v>20</v>
      </c>
      <c r="BZ1558" s="53" t="n">
        <f aca="false">IF(BX1558="LOSE",1,0)</f>
        <v>0</v>
      </c>
      <c r="CA1558" s="53" t="n">
        <f aca="false">IF(AND(U1558="",OR(P1558="",P1558="LOSE"),T1558&lt;&gt;"",N(S1558)&lt;=0,ISNUMBER(MATCH(T1558,Parameter!$I$27:$I$29,0))),1,0)</f>
        <v>1</v>
      </c>
      <c r="CB1558" s="53" t="n">
        <f aca="false">IF(CQ1558&gt;0,INDEX(Parameter!$H$5:$H$7,W1558)/INDEX(Parameter!$E$5:$E$7,W1558),IF(AND(BZ1558=0,N(IFERROR(VLOOKUP(BX1558,'Gebinde-Kategorie'!$A$5:$N$45,14,0),0))&gt;0),VLOOKUP(BX1558,'Gebinde-Kategorie'!$A$5:$N$45,14,0)*10+Parameter!$M$23,Parameter!$M$24))</f>
        <v>155</v>
      </c>
      <c r="CC1558" s="48" t="str">
        <f aca="false">IF(AND(Parameter!$B$19="Ja",E1558&lt;&gt;"",ISNUMBER(MATCH(E1558,Parameter!$I$35:$I$52,0))),VLOOKUP(E1558,Parameter!$I$35:$J$52,2,0),IFERROR(VLOOKUP(D1558,Parameter!$A$35:$C$64,2,0),"Nein"))</f>
        <v>2+3</v>
      </c>
      <c r="CD1558" s="52" t="n">
        <f aca="false">IF(BZ1558=0,0,IF(N(S1558)&gt;0,S1558,IFERROR(VLOOKUP(D1558,Parameter!$A$35:$C$64,3,0)+0,0)))</f>
        <v>0</v>
      </c>
      <c r="CE1558" s="48" t="n">
        <f aca="false">IF(AA1558&lt;&gt;"",AA1558,Z1558)</f>
        <v>3</v>
      </c>
      <c r="CF1558" s="48" t="str">
        <f aca="false">IF(OR(CE1558=1,CE1558=2,CE1558=3),IF(Parameter!$E$27="Ja","LIFT",IF(CE1558=1,"L1","L23")),IF(CE1558="Aussen","Aussen","-"))</f>
        <v>LIFT</v>
      </c>
      <c r="CG1558" s="59" t="n">
        <f aca="false">IF(N(AB1558)&gt;0,AB1558,0)</f>
        <v>0</v>
      </c>
      <c r="CH1558" s="53" t="n">
        <f aca="false">IF(ISNUMBER(AE1558),1,0)</f>
        <v>0</v>
      </c>
      <c r="CI1558" s="50" t="n">
        <f aca="false">N(AE1558)</f>
        <v>0</v>
      </c>
      <c r="CJ1558" s="50" t="n">
        <f aca="false">N(M1558)+N(N1558)</f>
        <v>1</v>
      </c>
      <c r="CK1558" s="50" t="n">
        <f aca="false">N(M1558)</f>
        <v>0</v>
      </c>
      <c r="CL1558" s="50" t="n">
        <f aca="false">N(N1558)</f>
        <v>1</v>
      </c>
      <c r="CM1558" s="50" t="n">
        <f aca="false">ROUNDUP(H1558/BY1558,0)</f>
        <v>1</v>
      </c>
      <c r="CN1558" s="50" t="n">
        <f aca="false">ROUNDUP(CI1558/BY1558,0)</f>
        <v>0</v>
      </c>
      <c r="CO1558" s="53" t="n">
        <f aca="false">IF(BZ1558=1,0,IFERROR(VLOOKUP(BX1558,'Gebinde-Kategorie'!$A$5:$N$45,5,0)+0,0))</f>
        <v>11</v>
      </c>
      <c r="CP1558" s="53" t="n">
        <f aca="false">IFERROR(IF(OR(CE1558=1,CE1558=2,CE1558=3),N(INDEX(Parameter!$I$5:$I$7,CE1558)),0),0)</f>
        <v>0</v>
      </c>
      <c r="CQ1558" s="52" t="n">
        <f aca="false">IF(AND(Parameter!$B$21="Ja",ISNUMBER(W1558),N(X1558)&gt;0),IFERROR(N(INDEX(Parameter!$L$5:$L$7,W1558))*INDEX(Parameter!$E$5:$E$7,W1558)*X1558/SUMIFS($X$7:$X$1843,$W$7:$W$1843,W1558),0),0)</f>
        <v>0</v>
      </c>
    </row>
    <row r="1559" customFormat="false" ht="15" hidden="false" customHeight="false" outlineLevel="0" collapsed="false">
      <c r="A1559" s="48" t="s">
        <v>2732</v>
      </c>
      <c r="B1559" s="48" t="s">
        <v>2733</v>
      </c>
      <c r="C1559" s="48" t="s">
        <v>173</v>
      </c>
      <c r="D1559" s="48" t="s">
        <v>182</v>
      </c>
      <c r="E1559" s="48" t="s">
        <v>379</v>
      </c>
      <c r="F1559" s="48"/>
      <c r="G1559" s="49" t="n">
        <v>707.5</v>
      </c>
      <c r="H1559" s="50" t="n">
        <f aca="false">MAX(0,IF(AND(Parameter!$B$21="Ja",ISNUMBER(Y1559)),Y1559,IF(Parameter!$B$20="Jahresanfang 2025 + Export",BR1559+BQ1559,BQ1559)))</f>
        <v>4</v>
      </c>
      <c r="I1559" s="50" t="n">
        <f aca="false">H1559*G1559</f>
        <v>2830</v>
      </c>
      <c r="J1559" s="50" t="n">
        <f aca="false">BT1559*Parameter!$B$18</f>
        <v>0</v>
      </c>
      <c r="K1559" s="51"/>
      <c r="L1559" s="52"/>
      <c r="M1559" s="50" t="n">
        <v>0</v>
      </c>
      <c r="N1559" s="50" t="n">
        <v>1</v>
      </c>
      <c r="O1559" s="53" t="n">
        <v>21</v>
      </c>
      <c r="P1559" s="48" t="s">
        <v>177</v>
      </c>
      <c r="Q1559" s="50"/>
      <c r="R1559" s="53" t="n">
        <f aca="false">IF(BZ1559=1,0,IFERROR(VLOOKUP(BX1559,'Gebinde-Kategorie'!$A$5:$N$45,13,0)+0,0))</f>
        <v>4</v>
      </c>
      <c r="S1559" s="54"/>
      <c r="T1559" s="55" t="s">
        <v>198</v>
      </c>
      <c r="U1559" s="55"/>
      <c r="V1559" s="55"/>
      <c r="W1559" s="48"/>
      <c r="X1559" s="50"/>
      <c r="Y1559" s="50"/>
      <c r="Z1559" s="48" t="str">
        <f aca="false">IF(A1559="","",IF(AND(Parameter!$B$21="Ja",ISNUMBER(W1559)),W1559,IF(CC1559="2+3",IF(ISNUMBER(SEARCH("grosser Artikel",BU1559)),2,IFERROR(VLOOKUP(BX1559,Parameter!$F$35:$G$64,2,0),2)),IF(OR(CC1559="Nein",CC1559=""),"-",CC1559))))</f>
        <v>-</v>
      </c>
      <c r="AA1559" s="55"/>
      <c r="AB1559" s="56"/>
      <c r="AC1559" s="50" t="n">
        <f aca="false">AV1559</f>
        <v>1</v>
      </c>
      <c r="AD1559" s="50" t="n">
        <f aca="false">MAX(AV1559,H1559)</f>
        <v>4</v>
      </c>
      <c r="AE1559" s="57"/>
      <c r="AF1559" s="50" t="n">
        <f aca="false">IF(LEFT(Cockpit!$C$5,1)="A",H1559,IF(Parameter!$E$30="MAX-Bestand",IF(CH1559=1,CI1559,IF(LEFT(Cockpit!$C$5,1)="B",AL1559,MAX(AL1559,H1559))),ROUNDUP(AJ1559,0)))</f>
        <v>4</v>
      </c>
      <c r="AG1559" s="50" t="n">
        <f aca="false">IF(BZ1559=1,0,ROUNDUP(AF1559/BY1559,0))</f>
        <v>1</v>
      </c>
      <c r="AH1559" s="52" t="n">
        <f aca="false">IF(CQ1559&gt;0,CQ1559*MAX(1,AF1559/X1559),IF(BZ1559=1,IF(AF1559&lt;=0,0,CD1559*MAX(1,IF(H1559&gt;0,AF1559/H1559,1))),IF(R1559&gt;0,AG1559/R1559,0))/MAX(0.1,N(Parameter!$M$21)))</f>
        <v>0.25</v>
      </c>
      <c r="AI1559" s="50" t="n">
        <f aca="false">AH1559*CB1559</f>
        <v>58.75</v>
      </c>
      <c r="AJ1559" s="51" t="n">
        <f aca="false">IF(LEFT(Cockpit!$C$5,1)="A",H1559,IF(CH1559=1,(CK1559+CI1559)/2,IF(LEFT(Cockpit!$C$5,1)="B",(CK1559+AL1559)/2,MAX((CK1559+AL1559)/2,H1559))))</f>
        <v>4</v>
      </c>
      <c r="AK1559" s="50" t="n">
        <f aca="false">AJ1559*G1559</f>
        <v>2830</v>
      </c>
      <c r="AL1559" s="50" t="n">
        <f aca="false">ROUNDUP(CK1559+MAX(CL1559,2*(J1559/IF(CG1559&gt;0,CG1559,MAX(0.1,N(Cockpit!$C$6)))-CK1559)),0)</f>
        <v>1</v>
      </c>
      <c r="AM1559" s="51" t="n">
        <f aca="false">IF(AI1559&gt;0,J1559/AI1559,-1)</f>
        <v>0</v>
      </c>
      <c r="AN1559" s="51" t="str">
        <f aca="false">IF(AND(OR(CF1559="L1",CF1559="L23",CF1559="LIFT"),AI1559&gt;0),SUMIFS($AI$7:$AI$1843,$CF$7:$CF$1843,CF1559,$AM$7:$AM$1843,"&gt;"&amp;AM1559)+SUMIFS($AI$7:$AI$1843,$CF$7:$CF$1843,CF1559,$AM$7:$AM$1843,AM1559,$BW$7:$BW$1843,"&lt;="&amp;BW1559),"")</f>
        <v/>
      </c>
      <c r="AO1559" s="58" t="n">
        <f aca="false">IF(AN1559="",0,MAX(0,MIN(1,(IF(CF1559="L1",Parameter!$H$5,IF(CF1559="L23",Parameter!$H$6+Parameter!$H$7,Parameter!$H$5+Parameter!$H$6+Parameter!$H$7))-(AN1559-AI1559))/AI1559)))</f>
        <v>0</v>
      </c>
      <c r="AP1559" s="50" t="n">
        <f aca="false">IF(LEFT(Cockpit!$I$5,1)="A",H1559,IF(Parameter!$E$30="MAX-Bestand",IF(CH1559=1,CI1559,IF(LEFT(Cockpit!$I$5,1)="B",AV1559,MAX(AV1559,H1559))),ROUNDUP(AT1559,0)))</f>
        <v>4</v>
      </c>
      <c r="AQ1559" s="50" t="n">
        <f aca="false">IF(BZ1559=1,0,ROUNDUP(AP1559/BY1559,0))</f>
        <v>1</v>
      </c>
      <c r="AR1559" s="52" t="n">
        <f aca="false">IF(CQ1559&gt;0,CQ1559*MAX(1,AP1559/X1559),IF(BZ1559=1,IF(AP1559&lt;=0,0,CD1559*MAX(1,IF(H1559&gt;0,AP1559/H1559,1))),IF(R1559&gt;0,AQ1559/R1559,0))/MAX(0.1,N(Parameter!$M$21)))</f>
        <v>0.25</v>
      </c>
      <c r="AS1559" s="50" t="n">
        <f aca="false">AR1559*CB1559</f>
        <v>58.75</v>
      </c>
      <c r="AT1559" s="51" t="n">
        <f aca="false">IF(LEFT(Cockpit!$I$5,1)="A",H1559,IF(CH1559=1,(CK1559+CI1559)/2,IF(LEFT(Cockpit!$I$5,1)="B",(CK1559+AV1559)/2,MAX((CK1559+AV1559)/2,H1559))))</f>
        <v>4</v>
      </c>
      <c r="AU1559" s="50" t="n">
        <f aca="false">AT1559*G1559</f>
        <v>2830</v>
      </c>
      <c r="AV1559" s="50" t="n">
        <f aca="false">ROUNDUP(CK1559+MAX(CL1559,2*(J1559/IF(CG1559&gt;0,CG1559,MAX(0.1,N(Cockpit!$I$6)))-CK1559)),0)</f>
        <v>1</v>
      </c>
      <c r="AW1559" s="51" t="n">
        <f aca="false">IF(AS1559&gt;0,J1559/AS1559,-1)</f>
        <v>0</v>
      </c>
      <c r="AX1559" s="51" t="str">
        <f aca="false">IF(AND(OR(CF1559="L1",CF1559="L23",CF1559="LIFT"),AS1559&gt;0),SUMIFS($AS$7:$AS$1843,$CF$7:$CF$1843,CF1559,$AW$7:$AW$1843,"&gt;"&amp;AW1559)+SUMIFS($AS$7:$AS$1843,$CF$7:$CF$1843,CF1559,$AW$7:$AW$1843,AW1559,$BW$7:$BW$1843,"&lt;="&amp;BW1559),"")</f>
        <v/>
      </c>
      <c r="AY1559" s="58" t="n">
        <f aca="false">IF(AX1559="",0,MAX(0,MIN(1,(IF(CF1559="L1",Parameter!$H$5,IF(CF1559="L23",Parameter!$H$6+Parameter!$H$7,Parameter!$H$5+Parameter!$H$6+Parameter!$H$7))-(AX1559-AS1559))/AS1559)))</f>
        <v>0</v>
      </c>
      <c r="AZ1559" s="50" t="n">
        <f aca="false">IF(LEFT(Cockpit!$O$5,1)="A",H1559,IF(Parameter!$E$30="MAX-Bestand",IF(CH1559=1,CI1559,IF(LEFT(Cockpit!$O$5,1)="B",BF1559,MAX(BF1559,H1559))),ROUNDUP(BD1559,0)))</f>
        <v>1</v>
      </c>
      <c r="BA1559" s="50" t="n">
        <f aca="false">IF(BZ1559=1,0,ROUNDUP(AZ1559/BY1559,0))</f>
        <v>1</v>
      </c>
      <c r="BB1559" s="52" t="n">
        <f aca="false">IF(CQ1559&gt;0,CQ1559*MAX(1,AZ1559/X1559),IF(BZ1559=1,IF(AZ1559&lt;=0,0,CD1559*MAX(1,IF(H1559&gt;0,AZ1559/H1559,1))),IF(R1559&gt;0,BA1559/R1559,0))/MAX(0.1,N(Parameter!$M$21)))</f>
        <v>0.25</v>
      </c>
      <c r="BC1559" s="50" t="n">
        <f aca="false">BB1559*CB1559</f>
        <v>58.75</v>
      </c>
      <c r="BD1559" s="51" t="n">
        <f aca="false">IF(LEFT(Cockpit!$O$5,1)="A",H1559,IF(CH1559=1,(CK1559+CI1559)/2,IF(LEFT(Cockpit!$O$5,1)="B",(CK1559+BF1559)/2,MAX((CK1559+BF1559)/2,H1559))))</f>
        <v>0.5</v>
      </c>
      <c r="BE1559" s="50" t="n">
        <f aca="false">BD1559*G1559</f>
        <v>353.75</v>
      </c>
      <c r="BF1559" s="50" t="n">
        <f aca="false">ROUNDUP(CK1559+MAX(CL1559,2*(J1559/IF(CG1559&gt;0,CG1559,MAX(0.1,N(Cockpit!$O$6)))-CK1559)),0)</f>
        <v>1</v>
      </c>
      <c r="BG1559" s="51" t="n">
        <f aca="false">IF(BC1559&gt;0,J1559/BC1559,-1)</f>
        <v>0</v>
      </c>
      <c r="BH1559" s="51" t="str">
        <f aca="false">IF(AND(OR(CF1559="L1",CF1559="L23",CF1559="LIFT"),BC1559&gt;0),SUMIFS($BC$7:$BC$1843,$CF$7:$CF$1843,CF1559,$BG$7:$BG$1843,"&gt;"&amp;BG1559)+SUMIFS($BC$7:$BC$1843,$CF$7:$CF$1843,CF1559,$BG$7:$BG$1843,BG1559,$BW$7:$BW$1843,"&lt;="&amp;BW1559),"")</f>
        <v/>
      </c>
      <c r="BI1559" s="58" t="n">
        <f aca="false">IF(BH1559="",0,MAX(0,MIN(1,(IF(CF1559="L1",Parameter!$H$5,IF(CF1559="L23",Parameter!$H$6+Parameter!$H$7,Parameter!$H$5+Parameter!$H$6+Parameter!$H$7))-(BH1559-BC1559))/BC1559)))</f>
        <v>0</v>
      </c>
      <c r="BJ1559" s="48" t="str">
        <f aca="false">IF(AI1559&lt;=0,"",IF(CF1559="Aussen","Aussenlager",IF(CF1559="-","Nicht im Lift",IF(AO1559&gt;=1,"Lift",IF(AO1559&lt;=0,"Aussenlager","teilweise")))))</f>
        <v>Nicht im Lift</v>
      </c>
      <c r="BK1559" s="48" t="str">
        <f aca="false">IF(AS1559&lt;=0,"",IF(CF1559="Aussen","Aussenlager",IF(CF1559="-","Nicht im Lift",IF(AY1559&gt;=1,"Lift",IF(AY1559&lt;=0,"Aussenlager","teilweise")))))</f>
        <v>Nicht im Lift</v>
      </c>
      <c r="BL1559" s="48" t="str">
        <f aca="false">IF(BC1559&lt;=0,"",IF(CF1559="Aussen","Aussenlager",IF(CF1559="-","Nicht im Lift",IF(BI1559&gt;=1,"Lift",IF(BI1559&lt;=0,"Aussenlager","teilweise")))))</f>
        <v>Nicht im Lift</v>
      </c>
      <c r="BM1559" s="48" t="str">
        <f aca="false">IF(A1559="","",IF(BV1559=1,"Neu; ","")&amp;IF(AND(BV1559=0,BQ1559&lt;0),"negativer Bestand (Export "&amp;BQ1559&amp;"); ","")&amp;IF(J1559&lt;=0,"Kein Verbrauch; ","")&amp;IF(CQ1559&gt;0,"Lift "&amp;W1559&amp;" lt. Liftbericht (Fach "&amp;X1559&amp;" Stk); ",IF(CA1559=1,"Gebinde geschätzt ("&amp;T1559&amp;"); ",IF(BZ1559=1,"Lose – Tablare geschätzt; ","")))&amp;IF(H1559&gt;AV1559,"Überbestand "&amp;ROUND(H1559-AV1559,0)&amp;" Stk / CHF "&amp;ROUND((H1559-AV1559)*G1559,0)&amp;"; ","")&amp;IF(AND(CH1559=1,CI1559&lt;CJ1559),"MAX &lt; MB+LG; ","")&amp;IF(AND(CP1559&gt;0,CO1559*10&gt;CP1559),"zu hoch für Tablar; ","")&amp;IF(AND(BV1559=0,OR(CH1559=1,AA1559&lt;&gt;"",U1559&lt;&gt;"",V1559&lt;&gt;"",AB1559&lt;&gt;"")),"manuell übersteuert; ","")&amp;IF(AND(BZ1559=0,R1559=0),"Gebinde unbekannt / Stellmass fehlt; ","")&amp;IF(AND(BZ1559=0,N(V1559)&lt;=0,N(Q1559)&lt;=0),"Menge pro Gebinde fehlt (Ist = 1 Gebinde); ","")&amp;BU1559)</f>
        <v>Kein Verbrauch; Gebinde geschätzt (Gross); Überbestand 3 Stk / CHF 2123; Menge pro Gebinde fehlt (Ist = 1 Gebinde); nur im Artikelstamm (Bestand 23.06.2026)</v>
      </c>
      <c r="BN1559" s="48"/>
      <c r="BO1559" s="48"/>
      <c r="BP1559" s="55"/>
      <c r="BQ1559" s="50" t="n">
        <v>4</v>
      </c>
      <c r="BR1559" s="50" t="n">
        <v>0</v>
      </c>
      <c r="BS1559" s="49" t="n">
        <v>0</v>
      </c>
      <c r="BT1559" s="50" t="n">
        <v>0</v>
      </c>
      <c r="BU1559" s="48" t="s">
        <v>2584</v>
      </c>
      <c r="BV1559" s="53" t="n">
        <v>0</v>
      </c>
      <c r="BW1559" s="53" t="n">
        <v>1559</v>
      </c>
      <c r="BX1559" s="48" t="str">
        <f aca="false">IF(U1559&lt;&gt;"",UPPER(TRIM(U1559)),IF(CA1559=1,UPPER(VLOOKUP(T1559,Parameter!$I$27:$K$29,2,0)),IF(P1559="","LOSE",P1559)))</f>
        <v>S81</v>
      </c>
      <c r="BY1559" s="50" t="n">
        <f aca="false">IF(BX1559="LOSE",1,IF(N(V1559)&gt;0,V1559,IF(CA1559=1,MAX(1,N(VLOOKUP(T1559,Parameter!$I$27:$K$29,3,0)),H1559,N(N1559)),IF(N(Q1559)&gt;0,Q1559,MAX(1,H1559)))))</f>
        <v>4</v>
      </c>
      <c r="BZ1559" s="53" t="n">
        <f aca="false">IF(BX1559="LOSE",1,0)</f>
        <v>0</v>
      </c>
      <c r="CA1559" s="53" t="n">
        <f aca="false">IF(AND(U1559="",OR(P1559="",P1559="LOSE"),T1559&lt;&gt;"",N(S1559)&lt;=0,ISNUMBER(MATCH(T1559,Parameter!$I$27:$I$29,0))),1,0)</f>
        <v>1</v>
      </c>
      <c r="CB1559" s="53" t="n">
        <f aca="false">IF(CQ1559&gt;0,INDEX(Parameter!$H$5:$H$7,W1559)/INDEX(Parameter!$E$5:$E$7,W1559),IF(AND(BZ1559=0,N(IFERROR(VLOOKUP(BX1559,'Gebinde-Kategorie'!$A$5:$N$45,14,0),0))&gt;0),VLOOKUP(BX1559,'Gebinde-Kategorie'!$A$5:$N$45,14,0)*10+Parameter!$M$23,Parameter!$M$24))</f>
        <v>235</v>
      </c>
      <c r="CC1559" s="48" t="str">
        <f aca="false">IF(AND(Parameter!$B$19="Ja",E1559&lt;&gt;"",ISNUMBER(MATCH(E1559,Parameter!$I$35:$I$52,0))),VLOOKUP(E1559,Parameter!$I$35:$J$52,2,0),IFERROR(VLOOKUP(D1559,Parameter!$A$35:$C$64,2,0),"Nein"))</f>
        <v>Nein</v>
      </c>
      <c r="CD1559" s="52" t="n">
        <f aca="false">IF(BZ1559=0,0,IF(N(S1559)&gt;0,S1559,IFERROR(VLOOKUP(D1559,Parameter!$A$35:$C$64,3,0)+0,0)))</f>
        <v>0</v>
      </c>
      <c r="CE1559" s="48" t="str">
        <f aca="false">IF(AA1559&lt;&gt;"",AA1559,Z1559)</f>
        <v>-</v>
      </c>
      <c r="CF1559" s="48" t="str">
        <f aca="false">IF(OR(CE1559=1,CE1559=2,CE1559=3),IF(Parameter!$E$27="Ja","LIFT",IF(CE1559=1,"L1","L23")),IF(CE1559="Aussen","Aussen","-"))</f>
        <v>-</v>
      </c>
      <c r="CG1559" s="59" t="n">
        <f aca="false">IF(N(AB1559)&gt;0,AB1559,0)</f>
        <v>0</v>
      </c>
      <c r="CH1559" s="53" t="n">
        <f aca="false">IF(ISNUMBER(AE1559),1,0)</f>
        <v>0</v>
      </c>
      <c r="CI1559" s="50" t="n">
        <f aca="false">N(AE1559)</f>
        <v>0</v>
      </c>
      <c r="CJ1559" s="50" t="n">
        <f aca="false">N(M1559)+N(N1559)</f>
        <v>1</v>
      </c>
      <c r="CK1559" s="50" t="n">
        <f aca="false">N(M1559)</f>
        <v>0</v>
      </c>
      <c r="CL1559" s="50" t="n">
        <f aca="false">N(N1559)</f>
        <v>1</v>
      </c>
      <c r="CM1559" s="50" t="n">
        <f aca="false">ROUNDUP(H1559/BY1559,0)</f>
        <v>1</v>
      </c>
      <c r="CN1559" s="50" t="n">
        <f aca="false">ROUNDUP(CI1559/BY1559,0)</f>
        <v>0</v>
      </c>
      <c r="CO1559" s="53" t="n">
        <f aca="false">IF(BZ1559=1,0,IFERROR(VLOOKUP(BX1559,'Gebinde-Kategorie'!$A$5:$N$45,5,0)+0,0))</f>
        <v>20</v>
      </c>
      <c r="CP1559" s="53" t="n">
        <f aca="false">IFERROR(IF(OR(CE1559=1,CE1559=2,CE1559=3),N(INDEX(Parameter!$I$5:$I$7,CE1559)),0),0)</f>
        <v>0</v>
      </c>
      <c r="CQ1559" s="52" t="n">
        <f aca="false">IF(AND(Parameter!$B$21="Ja",ISNUMBER(W1559),N(X1559)&gt;0),IFERROR(N(INDEX(Parameter!$L$5:$L$7,W1559))*INDEX(Parameter!$E$5:$E$7,W1559)*X1559/SUMIFS($X$7:$X$1843,$W$7:$W$1843,W1559),0),0)</f>
        <v>0</v>
      </c>
    </row>
    <row r="1560" customFormat="false" ht="15" hidden="false" customHeight="false" outlineLevel="0" collapsed="false">
      <c r="A1560" s="48" t="s">
        <v>2734</v>
      </c>
      <c r="B1560" s="48" t="s">
        <v>2735</v>
      </c>
      <c r="C1560" s="48" t="s">
        <v>173</v>
      </c>
      <c r="D1560" s="48" t="s">
        <v>182</v>
      </c>
      <c r="E1560" s="48" t="s">
        <v>379</v>
      </c>
      <c r="F1560" s="48"/>
      <c r="G1560" s="49" t="n">
        <v>697</v>
      </c>
      <c r="H1560" s="50" t="n">
        <f aca="false">MAX(0,IF(AND(Parameter!$B$21="Ja",ISNUMBER(Y1560)),Y1560,IF(Parameter!$B$20="Jahresanfang 2025 + Export",BR1560+BQ1560,BQ1560)))</f>
        <v>8</v>
      </c>
      <c r="I1560" s="50" t="n">
        <f aca="false">H1560*G1560</f>
        <v>5576</v>
      </c>
      <c r="J1560" s="50" t="n">
        <f aca="false">BT1560*Parameter!$B$18</f>
        <v>0</v>
      </c>
      <c r="K1560" s="51"/>
      <c r="L1560" s="52"/>
      <c r="M1560" s="50" t="n">
        <v>0</v>
      </c>
      <c r="N1560" s="50" t="n">
        <v>1</v>
      </c>
      <c r="O1560" s="53" t="n">
        <v>21</v>
      </c>
      <c r="P1560" s="48" t="s">
        <v>177</v>
      </c>
      <c r="Q1560" s="50"/>
      <c r="R1560" s="53" t="n">
        <f aca="false">IF(BZ1560=1,0,IFERROR(VLOOKUP(BX1560,'Gebinde-Kategorie'!$A$5:$N$45,13,0)+0,0))</f>
        <v>4</v>
      </c>
      <c r="S1560" s="54"/>
      <c r="T1560" s="55" t="s">
        <v>198</v>
      </c>
      <c r="U1560" s="55"/>
      <c r="V1560" s="55"/>
      <c r="W1560" s="48"/>
      <c r="X1560" s="50"/>
      <c r="Y1560" s="50"/>
      <c r="Z1560" s="48" t="str">
        <f aca="false">IF(A1560="","",IF(AND(Parameter!$B$21="Ja",ISNUMBER(W1560)),W1560,IF(CC1560="2+3",IF(ISNUMBER(SEARCH("grosser Artikel",BU1560)),2,IFERROR(VLOOKUP(BX1560,Parameter!$F$35:$G$64,2,0),2)),IF(OR(CC1560="Nein",CC1560=""),"-",CC1560))))</f>
        <v>-</v>
      </c>
      <c r="AA1560" s="55"/>
      <c r="AB1560" s="56"/>
      <c r="AC1560" s="50" t="n">
        <f aca="false">AV1560</f>
        <v>1</v>
      </c>
      <c r="AD1560" s="50" t="n">
        <f aca="false">MAX(AV1560,H1560)</f>
        <v>8</v>
      </c>
      <c r="AE1560" s="57"/>
      <c r="AF1560" s="50" t="n">
        <f aca="false">IF(LEFT(Cockpit!$C$5,1)="A",H1560,IF(Parameter!$E$30="MAX-Bestand",IF(CH1560=1,CI1560,IF(LEFT(Cockpit!$C$5,1)="B",AL1560,MAX(AL1560,H1560))),ROUNDUP(AJ1560,0)))</f>
        <v>8</v>
      </c>
      <c r="AG1560" s="50" t="n">
        <f aca="false">IF(BZ1560=1,0,ROUNDUP(AF1560/BY1560,0))</f>
        <v>1</v>
      </c>
      <c r="AH1560" s="52" t="n">
        <f aca="false">IF(CQ1560&gt;0,CQ1560*MAX(1,AF1560/X1560),IF(BZ1560=1,IF(AF1560&lt;=0,0,CD1560*MAX(1,IF(H1560&gt;0,AF1560/H1560,1))),IF(R1560&gt;0,AG1560/R1560,0))/MAX(0.1,N(Parameter!$M$21)))</f>
        <v>0.25</v>
      </c>
      <c r="AI1560" s="50" t="n">
        <f aca="false">AH1560*CB1560</f>
        <v>58.75</v>
      </c>
      <c r="AJ1560" s="51" t="n">
        <f aca="false">IF(LEFT(Cockpit!$C$5,1)="A",H1560,IF(CH1560=1,(CK1560+CI1560)/2,IF(LEFT(Cockpit!$C$5,1)="B",(CK1560+AL1560)/2,MAX((CK1560+AL1560)/2,H1560))))</f>
        <v>8</v>
      </c>
      <c r="AK1560" s="50" t="n">
        <f aca="false">AJ1560*G1560</f>
        <v>5576</v>
      </c>
      <c r="AL1560" s="50" t="n">
        <f aca="false">ROUNDUP(CK1560+MAX(CL1560,2*(J1560/IF(CG1560&gt;0,CG1560,MAX(0.1,N(Cockpit!$C$6)))-CK1560)),0)</f>
        <v>1</v>
      </c>
      <c r="AM1560" s="51" t="n">
        <f aca="false">IF(AI1560&gt;0,J1560/AI1560,-1)</f>
        <v>0</v>
      </c>
      <c r="AN1560" s="51" t="str">
        <f aca="false">IF(AND(OR(CF1560="L1",CF1560="L23",CF1560="LIFT"),AI1560&gt;0),SUMIFS($AI$7:$AI$1843,$CF$7:$CF$1843,CF1560,$AM$7:$AM$1843,"&gt;"&amp;AM1560)+SUMIFS($AI$7:$AI$1843,$CF$7:$CF$1843,CF1560,$AM$7:$AM$1843,AM1560,$BW$7:$BW$1843,"&lt;="&amp;BW1560),"")</f>
        <v/>
      </c>
      <c r="AO1560" s="58" t="n">
        <f aca="false">IF(AN1560="",0,MAX(0,MIN(1,(IF(CF1560="L1",Parameter!$H$5,IF(CF1560="L23",Parameter!$H$6+Parameter!$H$7,Parameter!$H$5+Parameter!$H$6+Parameter!$H$7))-(AN1560-AI1560))/AI1560)))</f>
        <v>0</v>
      </c>
      <c r="AP1560" s="50" t="n">
        <f aca="false">IF(LEFT(Cockpit!$I$5,1)="A",H1560,IF(Parameter!$E$30="MAX-Bestand",IF(CH1560=1,CI1560,IF(LEFT(Cockpit!$I$5,1)="B",AV1560,MAX(AV1560,H1560))),ROUNDUP(AT1560,0)))</f>
        <v>8</v>
      </c>
      <c r="AQ1560" s="50" t="n">
        <f aca="false">IF(BZ1560=1,0,ROUNDUP(AP1560/BY1560,0))</f>
        <v>1</v>
      </c>
      <c r="AR1560" s="52" t="n">
        <f aca="false">IF(CQ1560&gt;0,CQ1560*MAX(1,AP1560/X1560),IF(BZ1560=1,IF(AP1560&lt;=0,0,CD1560*MAX(1,IF(H1560&gt;0,AP1560/H1560,1))),IF(R1560&gt;0,AQ1560/R1560,0))/MAX(0.1,N(Parameter!$M$21)))</f>
        <v>0.25</v>
      </c>
      <c r="AS1560" s="50" t="n">
        <f aca="false">AR1560*CB1560</f>
        <v>58.75</v>
      </c>
      <c r="AT1560" s="51" t="n">
        <f aca="false">IF(LEFT(Cockpit!$I$5,1)="A",H1560,IF(CH1560=1,(CK1560+CI1560)/2,IF(LEFT(Cockpit!$I$5,1)="B",(CK1560+AV1560)/2,MAX((CK1560+AV1560)/2,H1560))))</f>
        <v>8</v>
      </c>
      <c r="AU1560" s="50" t="n">
        <f aca="false">AT1560*G1560</f>
        <v>5576</v>
      </c>
      <c r="AV1560" s="50" t="n">
        <f aca="false">ROUNDUP(CK1560+MAX(CL1560,2*(J1560/IF(CG1560&gt;0,CG1560,MAX(0.1,N(Cockpit!$I$6)))-CK1560)),0)</f>
        <v>1</v>
      </c>
      <c r="AW1560" s="51" t="n">
        <f aca="false">IF(AS1560&gt;0,J1560/AS1560,-1)</f>
        <v>0</v>
      </c>
      <c r="AX1560" s="51" t="str">
        <f aca="false">IF(AND(OR(CF1560="L1",CF1560="L23",CF1560="LIFT"),AS1560&gt;0),SUMIFS($AS$7:$AS$1843,$CF$7:$CF$1843,CF1560,$AW$7:$AW$1843,"&gt;"&amp;AW1560)+SUMIFS($AS$7:$AS$1843,$CF$7:$CF$1843,CF1560,$AW$7:$AW$1843,AW1560,$BW$7:$BW$1843,"&lt;="&amp;BW1560),"")</f>
        <v/>
      </c>
      <c r="AY1560" s="58" t="n">
        <f aca="false">IF(AX1560="",0,MAX(0,MIN(1,(IF(CF1560="L1",Parameter!$H$5,IF(CF1560="L23",Parameter!$H$6+Parameter!$H$7,Parameter!$H$5+Parameter!$H$6+Parameter!$H$7))-(AX1560-AS1560))/AS1560)))</f>
        <v>0</v>
      </c>
      <c r="AZ1560" s="50" t="n">
        <f aca="false">IF(LEFT(Cockpit!$O$5,1)="A",H1560,IF(Parameter!$E$30="MAX-Bestand",IF(CH1560=1,CI1560,IF(LEFT(Cockpit!$O$5,1)="B",BF1560,MAX(BF1560,H1560))),ROUNDUP(BD1560,0)))</f>
        <v>1</v>
      </c>
      <c r="BA1560" s="50" t="n">
        <f aca="false">IF(BZ1560=1,0,ROUNDUP(AZ1560/BY1560,0))</f>
        <v>1</v>
      </c>
      <c r="BB1560" s="52" t="n">
        <f aca="false">IF(CQ1560&gt;0,CQ1560*MAX(1,AZ1560/X1560),IF(BZ1560=1,IF(AZ1560&lt;=0,0,CD1560*MAX(1,IF(H1560&gt;0,AZ1560/H1560,1))),IF(R1560&gt;0,BA1560/R1560,0))/MAX(0.1,N(Parameter!$M$21)))</f>
        <v>0.25</v>
      </c>
      <c r="BC1560" s="50" t="n">
        <f aca="false">BB1560*CB1560</f>
        <v>58.75</v>
      </c>
      <c r="BD1560" s="51" t="n">
        <f aca="false">IF(LEFT(Cockpit!$O$5,1)="A",H1560,IF(CH1560=1,(CK1560+CI1560)/2,IF(LEFT(Cockpit!$O$5,1)="B",(CK1560+BF1560)/2,MAX((CK1560+BF1560)/2,H1560))))</f>
        <v>0.5</v>
      </c>
      <c r="BE1560" s="50" t="n">
        <f aca="false">BD1560*G1560</f>
        <v>348.5</v>
      </c>
      <c r="BF1560" s="50" t="n">
        <f aca="false">ROUNDUP(CK1560+MAX(CL1560,2*(J1560/IF(CG1560&gt;0,CG1560,MAX(0.1,N(Cockpit!$O$6)))-CK1560)),0)</f>
        <v>1</v>
      </c>
      <c r="BG1560" s="51" t="n">
        <f aca="false">IF(BC1560&gt;0,J1560/BC1560,-1)</f>
        <v>0</v>
      </c>
      <c r="BH1560" s="51" t="str">
        <f aca="false">IF(AND(OR(CF1560="L1",CF1560="L23",CF1560="LIFT"),BC1560&gt;0),SUMIFS($BC$7:$BC$1843,$CF$7:$CF$1843,CF1560,$BG$7:$BG$1843,"&gt;"&amp;BG1560)+SUMIFS($BC$7:$BC$1843,$CF$7:$CF$1843,CF1560,$BG$7:$BG$1843,BG1560,$BW$7:$BW$1843,"&lt;="&amp;BW1560),"")</f>
        <v/>
      </c>
      <c r="BI1560" s="58" t="n">
        <f aca="false">IF(BH1560="",0,MAX(0,MIN(1,(IF(CF1560="L1",Parameter!$H$5,IF(CF1560="L23",Parameter!$H$6+Parameter!$H$7,Parameter!$H$5+Parameter!$H$6+Parameter!$H$7))-(BH1560-BC1560))/BC1560)))</f>
        <v>0</v>
      </c>
      <c r="BJ1560" s="48" t="str">
        <f aca="false">IF(AI1560&lt;=0,"",IF(CF1560="Aussen","Aussenlager",IF(CF1560="-","Nicht im Lift",IF(AO1560&gt;=1,"Lift",IF(AO1560&lt;=0,"Aussenlager","teilweise")))))</f>
        <v>Nicht im Lift</v>
      </c>
      <c r="BK1560" s="48" t="str">
        <f aca="false">IF(AS1560&lt;=0,"",IF(CF1560="Aussen","Aussenlager",IF(CF1560="-","Nicht im Lift",IF(AY1560&gt;=1,"Lift",IF(AY1560&lt;=0,"Aussenlager","teilweise")))))</f>
        <v>Nicht im Lift</v>
      </c>
      <c r="BL1560" s="48" t="str">
        <f aca="false">IF(BC1560&lt;=0,"",IF(CF1560="Aussen","Aussenlager",IF(CF1560="-","Nicht im Lift",IF(BI1560&gt;=1,"Lift",IF(BI1560&lt;=0,"Aussenlager","teilweise")))))</f>
        <v>Nicht im Lift</v>
      </c>
      <c r="BM1560" s="48" t="str">
        <f aca="false">IF(A1560="","",IF(BV1560=1,"Neu; ","")&amp;IF(AND(BV1560=0,BQ1560&lt;0),"negativer Bestand (Export "&amp;BQ1560&amp;"); ","")&amp;IF(J1560&lt;=0,"Kein Verbrauch; ","")&amp;IF(CQ1560&gt;0,"Lift "&amp;W1560&amp;" lt. Liftbericht (Fach "&amp;X1560&amp;" Stk); ",IF(CA1560=1,"Gebinde geschätzt ("&amp;T1560&amp;"); ",IF(BZ1560=1,"Lose – Tablare geschätzt; ","")))&amp;IF(H1560&gt;AV1560,"Überbestand "&amp;ROUND(H1560-AV1560,0)&amp;" Stk / CHF "&amp;ROUND((H1560-AV1560)*G1560,0)&amp;"; ","")&amp;IF(AND(CH1560=1,CI1560&lt;CJ1560),"MAX &lt; MB+LG; ","")&amp;IF(AND(CP1560&gt;0,CO1560*10&gt;CP1560),"zu hoch für Tablar; ","")&amp;IF(AND(BV1560=0,OR(CH1560=1,AA1560&lt;&gt;"",U1560&lt;&gt;"",V1560&lt;&gt;"",AB1560&lt;&gt;"")),"manuell übersteuert; ","")&amp;IF(AND(BZ1560=0,R1560=0),"Gebinde unbekannt / Stellmass fehlt; ","")&amp;IF(AND(BZ1560=0,N(V1560)&lt;=0,N(Q1560)&lt;=0),"Menge pro Gebinde fehlt (Ist = 1 Gebinde); ","")&amp;BU1560)</f>
        <v>Kein Verbrauch; Gebinde geschätzt (Gross); Überbestand 7 Stk / CHF 4879; Menge pro Gebinde fehlt (Ist = 1 Gebinde); nur im Artikelstamm (Bestand 23.06.2026)</v>
      </c>
      <c r="BN1560" s="48"/>
      <c r="BO1560" s="48"/>
      <c r="BP1560" s="55"/>
      <c r="BQ1560" s="50" t="n">
        <v>8</v>
      </c>
      <c r="BR1560" s="50" t="n">
        <v>0</v>
      </c>
      <c r="BS1560" s="49" t="n">
        <v>0</v>
      </c>
      <c r="BT1560" s="50" t="n">
        <v>0</v>
      </c>
      <c r="BU1560" s="48" t="s">
        <v>2584</v>
      </c>
      <c r="BV1560" s="53" t="n">
        <v>0</v>
      </c>
      <c r="BW1560" s="53" t="n">
        <v>1560</v>
      </c>
      <c r="BX1560" s="48" t="str">
        <f aca="false">IF(U1560&lt;&gt;"",UPPER(TRIM(U1560)),IF(CA1560=1,UPPER(VLOOKUP(T1560,Parameter!$I$27:$K$29,2,0)),IF(P1560="","LOSE",P1560)))</f>
        <v>S81</v>
      </c>
      <c r="BY1560" s="50" t="n">
        <f aca="false">IF(BX1560="LOSE",1,IF(N(V1560)&gt;0,V1560,IF(CA1560=1,MAX(1,N(VLOOKUP(T1560,Parameter!$I$27:$K$29,3,0)),H1560,N(N1560)),IF(N(Q1560)&gt;0,Q1560,MAX(1,H1560)))))</f>
        <v>8</v>
      </c>
      <c r="BZ1560" s="53" t="n">
        <f aca="false">IF(BX1560="LOSE",1,0)</f>
        <v>0</v>
      </c>
      <c r="CA1560" s="53" t="n">
        <f aca="false">IF(AND(U1560="",OR(P1560="",P1560="LOSE"),T1560&lt;&gt;"",N(S1560)&lt;=0,ISNUMBER(MATCH(T1560,Parameter!$I$27:$I$29,0))),1,0)</f>
        <v>1</v>
      </c>
      <c r="CB1560" s="53" t="n">
        <f aca="false">IF(CQ1560&gt;0,INDEX(Parameter!$H$5:$H$7,W1560)/INDEX(Parameter!$E$5:$E$7,W1560),IF(AND(BZ1560=0,N(IFERROR(VLOOKUP(BX1560,'Gebinde-Kategorie'!$A$5:$N$45,14,0),0))&gt;0),VLOOKUP(BX1560,'Gebinde-Kategorie'!$A$5:$N$45,14,0)*10+Parameter!$M$23,Parameter!$M$24))</f>
        <v>235</v>
      </c>
      <c r="CC1560" s="48" t="str">
        <f aca="false">IF(AND(Parameter!$B$19="Ja",E1560&lt;&gt;"",ISNUMBER(MATCH(E1560,Parameter!$I$35:$I$52,0))),VLOOKUP(E1560,Parameter!$I$35:$J$52,2,0),IFERROR(VLOOKUP(D1560,Parameter!$A$35:$C$64,2,0),"Nein"))</f>
        <v>Nein</v>
      </c>
      <c r="CD1560" s="52" t="n">
        <f aca="false">IF(BZ1560=0,0,IF(N(S1560)&gt;0,S1560,IFERROR(VLOOKUP(D1560,Parameter!$A$35:$C$64,3,0)+0,0)))</f>
        <v>0</v>
      </c>
      <c r="CE1560" s="48" t="str">
        <f aca="false">IF(AA1560&lt;&gt;"",AA1560,Z1560)</f>
        <v>-</v>
      </c>
      <c r="CF1560" s="48" t="str">
        <f aca="false">IF(OR(CE1560=1,CE1560=2,CE1560=3),IF(Parameter!$E$27="Ja","LIFT",IF(CE1560=1,"L1","L23")),IF(CE1560="Aussen","Aussen","-"))</f>
        <v>-</v>
      </c>
      <c r="CG1560" s="59" t="n">
        <f aca="false">IF(N(AB1560)&gt;0,AB1560,0)</f>
        <v>0</v>
      </c>
      <c r="CH1560" s="53" t="n">
        <f aca="false">IF(ISNUMBER(AE1560),1,0)</f>
        <v>0</v>
      </c>
      <c r="CI1560" s="50" t="n">
        <f aca="false">N(AE1560)</f>
        <v>0</v>
      </c>
      <c r="CJ1560" s="50" t="n">
        <f aca="false">N(M1560)+N(N1560)</f>
        <v>1</v>
      </c>
      <c r="CK1560" s="50" t="n">
        <f aca="false">N(M1560)</f>
        <v>0</v>
      </c>
      <c r="CL1560" s="50" t="n">
        <f aca="false">N(N1560)</f>
        <v>1</v>
      </c>
      <c r="CM1560" s="50" t="n">
        <f aca="false">ROUNDUP(H1560/BY1560,0)</f>
        <v>1</v>
      </c>
      <c r="CN1560" s="50" t="n">
        <f aca="false">ROUNDUP(CI1560/BY1560,0)</f>
        <v>0</v>
      </c>
      <c r="CO1560" s="53" t="n">
        <f aca="false">IF(BZ1560=1,0,IFERROR(VLOOKUP(BX1560,'Gebinde-Kategorie'!$A$5:$N$45,5,0)+0,0))</f>
        <v>20</v>
      </c>
      <c r="CP1560" s="53" t="n">
        <f aca="false">IFERROR(IF(OR(CE1560=1,CE1560=2,CE1560=3),N(INDEX(Parameter!$I$5:$I$7,CE1560)),0),0)</f>
        <v>0</v>
      </c>
      <c r="CQ1560" s="52" t="n">
        <f aca="false">IF(AND(Parameter!$B$21="Ja",ISNUMBER(W1560),N(X1560)&gt;0),IFERROR(N(INDEX(Parameter!$L$5:$L$7,W1560))*INDEX(Parameter!$E$5:$E$7,W1560)*X1560/SUMIFS($X$7:$X$1843,$W$7:$W$1843,W1560),0),0)</f>
        <v>0</v>
      </c>
    </row>
    <row r="1561" customFormat="false" ht="15" hidden="false" customHeight="false" outlineLevel="0" collapsed="false">
      <c r="A1561" s="48" t="s">
        <v>2736</v>
      </c>
      <c r="B1561" s="48" t="s">
        <v>2737</v>
      </c>
      <c r="C1561" s="48" t="s">
        <v>173</v>
      </c>
      <c r="D1561" s="48" t="s">
        <v>193</v>
      </c>
      <c r="E1561" s="48"/>
      <c r="F1561" s="48"/>
      <c r="G1561" s="49" t="n">
        <v>40.4</v>
      </c>
      <c r="H1561" s="50" t="n">
        <f aca="false">MAX(0,IF(AND(Parameter!$B$21="Ja",ISNUMBER(Y1561)),Y1561,IF(Parameter!$B$20="Jahresanfang 2025 + Export",BR1561+BQ1561,BQ1561)))</f>
        <v>4</v>
      </c>
      <c r="I1561" s="50" t="n">
        <f aca="false">H1561*G1561</f>
        <v>161.6</v>
      </c>
      <c r="J1561" s="50" t="n">
        <f aca="false">BT1561*Parameter!$B$18</f>
        <v>0</v>
      </c>
      <c r="K1561" s="51"/>
      <c r="L1561" s="52"/>
      <c r="M1561" s="50" t="n">
        <v>0</v>
      </c>
      <c r="N1561" s="50" t="n">
        <v>1</v>
      </c>
      <c r="O1561" s="53" t="n">
        <v>21</v>
      </c>
      <c r="P1561" s="48" t="s">
        <v>177</v>
      </c>
      <c r="Q1561" s="50"/>
      <c r="R1561" s="53" t="n">
        <f aca="false">IF(BZ1561=1,0,IFERROR(VLOOKUP(BX1561,'Gebinde-Kategorie'!$A$5:$N$45,13,0)+0,0))</f>
        <v>26</v>
      </c>
      <c r="S1561" s="54"/>
      <c r="T1561" s="55" t="s">
        <v>284</v>
      </c>
      <c r="U1561" s="55"/>
      <c r="V1561" s="55"/>
      <c r="W1561" s="48"/>
      <c r="X1561" s="50"/>
      <c r="Y1561" s="50"/>
      <c r="Z1561" s="48" t="n">
        <f aca="false">IF(A1561="","",IF(AND(Parameter!$B$21="Ja",ISNUMBER(W1561)),W1561,IF(CC1561="2+3",IF(ISNUMBER(SEARCH("grosser Artikel",BU1561)),2,IFERROR(VLOOKUP(BX1561,Parameter!$F$35:$G$64,2,0),2)),IF(OR(CC1561="Nein",CC1561=""),"-",CC1561))))</f>
        <v>3</v>
      </c>
      <c r="AA1561" s="55"/>
      <c r="AB1561" s="56"/>
      <c r="AC1561" s="50" t="n">
        <f aca="false">AV1561</f>
        <v>1</v>
      </c>
      <c r="AD1561" s="50" t="n">
        <f aca="false">MAX(AV1561,H1561)</f>
        <v>4</v>
      </c>
      <c r="AE1561" s="57"/>
      <c r="AF1561" s="50" t="n">
        <f aca="false">IF(LEFT(Cockpit!$C$5,1)="A",H1561,IF(Parameter!$E$30="MAX-Bestand",IF(CH1561=1,CI1561,IF(LEFT(Cockpit!$C$5,1)="B",AL1561,MAX(AL1561,H1561))),ROUNDUP(AJ1561,0)))</f>
        <v>4</v>
      </c>
      <c r="AG1561" s="50" t="n">
        <f aca="false">IF(BZ1561=1,0,ROUNDUP(AF1561/BY1561,0))</f>
        <v>1</v>
      </c>
      <c r="AH1561" s="52" t="n">
        <f aca="false">IF(CQ1561&gt;0,CQ1561*MAX(1,AF1561/X1561),IF(BZ1561=1,IF(AF1561&lt;=0,0,CD1561*MAX(1,IF(H1561&gt;0,AF1561/H1561,1))),IF(R1561&gt;0,AG1561/R1561,0))/MAX(0.1,N(Parameter!$M$21)))</f>
        <v>0.0384615384615385</v>
      </c>
      <c r="AI1561" s="50" t="n">
        <f aca="false">AH1561*CB1561</f>
        <v>5.96153846153846</v>
      </c>
      <c r="AJ1561" s="51" t="n">
        <f aca="false">IF(LEFT(Cockpit!$C$5,1)="A",H1561,IF(CH1561=1,(CK1561+CI1561)/2,IF(LEFT(Cockpit!$C$5,1)="B",(CK1561+AL1561)/2,MAX((CK1561+AL1561)/2,H1561))))</f>
        <v>4</v>
      </c>
      <c r="AK1561" s="50" t="n">
        <f aca="false">AJ1561*G1561</f>
        <v>161.6</v>
      </c>
      <c r="AL1561" s="50" t="n">
        <f aca="false">ROUNDUP(CK1561+MAX(CL1561,2*(J1561/IF(CG1561&gt;0,CG1561,MAX(0.1,N(Cockpit!$C$6)))-CK1561)),0)</f>
        <v>1</v>
      </c>
      <c r="AM1561" s="51" t="n">
        <f aca="false">IF(AI1561&gt;0,J1561/AI1561,-1)</f>
        <v>0</v>
      </c>
      <c r="AN1561" s="51" t="n">
        <f aca="false">IF(AND(OR(CF1561="L1",CF1561="L23",CF1561="LIFT"),AI1561&gt;0),SUMIFS($AI$7:$AI$1843,$CF$7:$CF$1843,CF1561,$AM$7:$AM$1843,"&gt;"&amp;AM1561)+SUMIFS($AI$7:$AI$1843,$CF$7:$CF$1843,CF1561,$AM$7:$AM$1843,AM1561,$BW$7:$BW$1843,"&lt;="&amp;BW1561),"")</f>
        <v>30270.532364293</v>
      </c>
      <c r="AO1561" s="58" t="n">
        <f aca="false">IF(AN1561="",0,MAX(0,MIN(1,(IF(CF1561="L1",Parameter!$H$5,IF(CF1561="L23",Parameter!$H$6+Parameter!$H$7,Parameter!$H$5+Parameter!$H$6+Parameter!$H$7))-(AN1561-AI1561))/AI1561)))</f>
        <v>1</v>
      </c>
      <c r="AP1561" s="50" t="n">
        <f aca="false">IF(LEFT(Cockpit!$I$5,1)="A",H1561,IF(Parameter!$E$30="MAX-Bestand",IF(CH1561=1,CI1561,IF(LEFT(Cockpit!$I$5,1)="B",AV1561,MAX(AV1561,H1561))),ROUNDUP(AT1561,0)))</f>
        <v>4</v>
      </c>
      <c r="AQ1561" s="50" t="n">
        <f aca="false">IF(BZ1561=1,0,ROUNDUP(AP1561/BY1561,0))</f>
        <v>1</v>
      </c>
      <c r="AR1561" s="52" t="n">
        <f aca="false">IF(CQ1561&gt;0,CQ1561*MAX(1,AP1561/X1561),IF(BZ1561=1,IF(AP1561&lt;=0,0,CD1561*MAX(1,IF(H1561&gt;0,AP1561/H1561,1))),IF(R1561&gt;0,AQ1561/R1561,0))/MAX(0.1,N(Parameter!$M$21)))</f>
        <v>0.0384615384615385</v>
      </c>
      <c r="AS1561" s="50" t="n">
        <f aca="false">AR1561*CB1561</f>
        <v>5.96153846153846</v>
      </c>
      <c r="AT1561" s="51" t="n">
        <f aca="false">IF(LEFT(Cockpit!$I$5,1)="A",H1561,IF(CH1561=1,(CK1561+CI1561)/2,IF(LEFT(Cockpit!$I$5,1)="B",(CK1561+AV1561)/2,MAX((CK1561+AV1561)/2,H1561))))</f>
        <v>4</v>
      </c>
      <c r="AU1561" s="50" t="n">
        <f aca="false">AT1561*G1561</f>
        <v>161.6</v>
      </c>
      <c r="AV1561" s="50" t="n">
        <f aca="false">ROUNDUP(CK1561+MAX(CL1561,2*(J1561/IF(CG1561&gt;0,CG1561,MAX(0.1,N(Cockpit!$I$6)))-CK1561)),0)</f>
        <v>1</v>
      </c>
      <c r="AW1561" s="51" t="n">
        <f aca="false">IF(AS1561&gt;0,J1561/AS1561,-1)</f>
        <v>0</v>
      </c>
      <c r="AX1561" s="51" t="n">
        <f aca="false">IF(AND(OR(CF1561="L1",CF1561="L23",CF1561="LIFT"),AS1561&gt;0),SUMIFS($AS$7:$AS$1843,$CF$7:$CF$1843,CF1561,$AW$7:$AW$1843,"&gt;"&amp;AW1561)+SUMIFS($AS$7:$AS$1843,$CF$7:$CF$1843,CF1561,$AW$7:$AW$1843,AW1561,$BW$7:$BW$1843,"&lt;="&amp;BW1561),"")</f>
        <v>36590.3888811283</v>
      </c>
      <c r="AY1561" s="58" t="n">
        <f aca="false">IF(AX1561="",0,MAX(0,MIN(1,(IF(CF1561="L1",Parameter!$H$5,IF(CF1561="L23",Parameter!$H$6+Parameter!$H$7,Parameter!$H$5+Parameter!$H$6+Parameter!$H$7))-(AX1561-AS1561))/AS1561)))</f>
        <v>0</v>
      </c>
      <c r="AZ1561" s="50" t="n">
        <f aca="false">IF(LEFT(Cockpit!$O$5,1)="A",H1561,IF(Parameter!$E$30="MAX-Bestand",IF(CH1561=1,CI1561,IF(LEFT(Cockpit!$O$5,1)="B",BF1561,MAX(BF1561,H1561))),ROUNDUP(BD1561,0)))</f>
        <v>1</v>
      </c>
      <c r="BA1561" s="50" t="n">
        <f aca="false">IF(BZ1561=1,0,ROUNDUP(AZ1561/BY1561,0))</f>
        <v>1</v>
      </c>
      <c r="BB1561" s="52" t="n">
        <f aca="false">IF(CQ1561&gt;0,CQ1561*MAX(1,AZ1561/X1561),IF(BZ1561=1,IF(AZ1561&lt;=0,0,CD1561*MAX(1,IF(H1561&gt;0,AZ1561/H1561,1))),IF(R1561&gt;0,BA1561/R1561,0))/MAX(0.1,N(Parameter!$M$21)))</f>
        <v>0.0384615384615385</v>
      </c>
      <c r="BC1561" s="50" t="n">
        <f aca="false">BB1561*CB1561</f>
        <v>5.96153846153846</v>
      </c>
      <c r="BD1561" s="51" t="n">
        <f aca="false">IF(LEFT(Cockpit!$O$5,1)="A",H1561,IF(CH1561=1,(CK1561+CI1561)/2,IF(LEFT(Cockpit!$O$5,1)="B",(CK1561+BF1561)/2,MAX((CK1561+BF1561)/2,H1561))))</f>
        <v>0.5</v>
      </c>
      <c r="BE1561" s="50" t="n">
        <f aca="false">BD1561*G1561</f>
        <v>20.2</v>
      </c>
      <c r="BF1561" s="50" t="n">
        <f aca="false">ROUNDUP(CK1561+MAX(CL1561,2*(J1561/IF(CG1561&gt;0,CG1561,MAX(0.1,N(Cockpit!$O$6)))-CK1561)),0)</f>
        <v>1</v>
      </c>
      <c r="BG1561" s="51" t="n">
        <f aca="false">IF(BC1561&gt;0,J1561/BC1561,-1)</f>
        <v>0</v>
      </c>
      <c r="BH1561" s="51" t="n">
        <f aca="false">IF(AND(OR(CF1561="L1",CF1561="L23",CF1561="LIFT"),BC1561&gt;0),SUMIFS($BC$7:$BC$1843,$CF$7:$CF$1843,CF1561,$BG$7:$BG$1843,"&gt;"&amp;BG1561)+SUMIFS($BC$7:$BC$1843,$CF$7:$CF$1843,CF1561,$BG$7:$BG$1843,BG1561,$BW$7:$BW$1843,"&lt;="&amp;BW1561),"")</f>
        <v>30499.8301566607</v>
      </c>
      <c r="BI1561" s="58" t="n">
        <f aca="false">IF(BH1561="",0,MAX(0,MIN(1,(IF(CF1561="L1",Parameter!$H$5,IF(CF1561="L23",Parameter!$H$6+Parameter!$H$7,Parameter!$H$5+Parameter!$H$6+Parameter!$H$7))-(BH1561-BC1561))/BC1561)))</f>
        <v>1</v>
      </c>
      <c r="BJ1561" s="48" t="str">
        <f aca="false">IF(AI1561&lt;=0,"",IF(CF1561="Aussen","Aussenlager",IF(CF1561="-","Nicht im Lift",IF(AO1561&gt;=1,"Lift",IF(AO1561&lt;=0,"Aussenlager","teilweise")))))</f>
        <v>Lift</v>
      </c>
      <c r="BK1561" s="48" t="str">
        <f aca="false">IF(AS1561&lt;=0,"",IF(CF1561="Aussen","Aussenlager",IF(CF1561="-","Nicht im Lift",IF(AY1561&gt;=1,"Lift",IF(AY1561&lt;=0,"Aussenlager","teilweise")))))</f>
        <v>Aussenlager</v>
      </c>
      <c r="BL1561" s="48" t="str">
        <f aca="false">IF(BC1561&lt;=0,"",IF(CF1561="Aussen","Aussenlager",IF(CF1561="-","Nicht im Lift",IF(BI1561&gt;=1,"Lift",IF(BI1561&lt;=0,"Aussenlager","teilweise")))))</f>
        <v>Lift</v>
      </c>
      <c r="BM1561" s="48" t="str">
        <f aca="false">IF(A1561="","",IF(BV1561=1,"Neu; ","")&amp;IF(AND(BV1561=0,BQ1561&lt;0),"negativer Bestand (Export "&amp;BQ1561&amp;"); ","")&amp;IF(J1561&lt;=0,"Kein Verbrauch; ","")&amp;IF(CQ1561&gt;0,"Lift "&amp;W1561&amp;" lt. Liftbericht (Fach "&amp;X1561&amp;" Stk); ",IF(CA1561=1,"Gebinde geschätzt ("&amp;T1561&amp;"); ",IF(BZ1561=1,"Lose – Tablare geschätzt; ","")))&amp;IF(H1561&gt;AV1561,"Überbestand "&amp;ROUND(H1561-AV1561,0)&amp;" Stk / CHF "&amp;ROUND((H1561-AV1561)*G1561,0)&amp;"; ","")&amp;IF(AND(CH1561=1,CI1561&lt;CJ1561),"MAX &lt; MB+LG; ","")&amp;IF(AND(CP1561&gt;0,CO1561*10&gt;CP1561),"zu hoch für Tablar; ","")&amp;IF(AND(BV1561=0,OR(CH1561=1,AA1561&lt;&gt;"",U1561&lt;&gt;"",V1561&lt;&gt;"",AB1561&lt;&gt;"")),"manuell übersteuert; ","")&amp;IF(AND(BZ1561=0,R1561=0),"Gebinde unbekannt / Stellmass fehlt; ","")&amp;IF(AND(BZ1561=0,N(V1561)&lt;=0,N(Q1561)&lt;=0),"Menge pro Gebinde fehlt (Ist = 1 Gebinde); ","")&amp;BU1561)</f>
        <v>Kein Verbrauch; Gebinde geschätzt (Klein); Überbestand 3 Stk / CHF 121; Menge pro Gebinde fehlt (Ist = 1 Gebinde); nur im Artikelstamm (Bestand 23.06.2026)</v>
      </c>
      <c r="BN1561" s="48"/>
      <c r="BO1561" s="48"/>
      <c r="BP1561" s="55"/>
      <c r="BQ1561" s="50" t="n">
        <v>4</v>
      </c>
      <c r="BR1561" s="50" t="n">
        <v>0</v>
      </c>
      <c r="BS1561" s="49" t="n">
        <v>0</v>
      </c>
      <c r="BT1561" s="50" t="n">
        <v>0</v>
      </c>
      <c r="BU1561" s="48" t="s">
        <v>2584</v>
      </c>
      <c r="BV1561" s="53" t="n">
        <v>0</v>
      </c>
      <c r="BW1561" s="53" t="n">
        <v>1561</v>
      </c>
      <c r="BX1561" s="48" t="str">
        <f aca="false">IF(U1561&lt;&gt;"",UPPER(TRIM(U1561)),IF(CA1561=1,UPPER(VLOOKUP(T1561,Parameter!$I$27:$K$29,2,0)),IF(P1561="","LOSE",P1561)))</f>
        <v>S51</v>
      </c>
      <c r="BY1561" s="50" t="n">
        <f aca="false">IF(BX1561="LOSE",1,IF(N(V1561)&gt;0,V1561,IF(CA1561=1,MAX(1,N(VLOOKUP(T1561,Parameter!$I$27:$K$29,3,0)),H1561,N(N1561)),IF(N(Q1561)&gt;0,Q1561,MAX(1,H1561)))))</f>
        <v>20</v>
      </c>
      <c r="BZ1561" s="53" t="n">
        <f aca="false">IF(BX1561="LOSE",1,0)</f>
        <v>0</v>
      </c>
      <c r="CA1561" s="53" t="n">
        <f aca="false">IF(AND(U1561="",OR(P1561="",P1561="LOSE"),T1561&lt;&gt;"",N(S1561)&lt;=0,ISNUMBER(MATCH(T1561,Parameter!$I$27:$I$29,0))),1,0)</f>
        <v>1</v>
      </c>
      <c r="CB1561" s="53" t="n">
        <f aca="false">IF(CQ1561&gt;0,INDEX(Parameter!$H$5:$H$7,W1561)/INDEX(Parameter!$E$5:$E$7,W1561),IF(AND(BZ1561=0,N(IFERROR(VLOOKUP(BX1561,'Gebinde-Kategorie'!$A$5:$N$45,14,0),0))&gt;0),VLOOKUP(BX1561,'Gebinde-Kategorie'!$A$5:$N$45,14,0)*10+Parameter!$M$23,Parameter!$M$24))</f>
        <v>155</v>
      </c>
      <c r="CC1561" s="48" t="str">
        <f aca="false">IF(AND(Parameter!$B$19="Ja",E1561&lt;&gt;"",ISNUMBER(MATCH(E1561,Parameter!$I$35:$I$52,0))),VLOOKUP(E1561,Parameter!$I$35:$J$52,2,0),IFERROR(VLOOKUP(D1561,Parameter!$A$35:$C$64,2,0),"Nein"))</f>
        <v>2+3</v>
      </c>
      <c r="CD1561" s="52" t="n">
        <f aca="false">IF(BZ1561=0,0,IF(N(S1561)&gt;0,S1561,IFERROR(VLOOKUP(D1561,Parameter!$A$35:$C$64,3,0)+0,0)))</f>
        <v>0</v>
      </c>
      <c r="CE1561" s="48" t="n">
        <f aca="false">IF(AA1561&lt;&gt;"",AA1561,Z1561)</f>
        <v>3</v>
      </c>
      <c r="CF1561" s="48" t="str">
        <f aca="false">IF(OR(CE1561=1,CE1561=2,CE1561=3),IF(Parameter!$E$27="Ja","LIFT",IF(CE1561=1,"L1","L23")),IF(CE1561="Aussen","Aussen","-"))</f>
        <v>LIFT</v>
      </c>
      <c r="CG1561" s="59" t="n">
        <f aca="false">IF(N(AB1561)&gt;0,AB1561,0)</f>
        <v>0</v>
      </c>
      <c r="CH1561" s="53" t="n">
        <f aca="false">IF(ISNUMBER(AE1561),1,0)</f>
        <v>0</v>
      </c>
      <c r="CI1561" s="50" t="n">
        <f aca="false">N(AE1561)</f>
        <v>0</v>
      </c>
      <c r="CJ1561" s="50" t="n">
        <f aca="false">N(M1561)+N(N1561)</f>
        <v>1</v>
      </c>
      <c r="CK1561" s="50" t="n">
        <f aca="false">N(M1561)</f>
        <v>0</v>
      </c>
      <c r="CL1561" s="50" t="n">
        <f aca="false">N(N1561)</f>
        <v>1</v>
      </c>
      <c r="CM1561" s="50" t="n">
        <f aca="false">ROUNDUP(H1561/BY1561,0)</f>
        <v>1</v>
      </c>
      <c r="CN1561" s="50" t="n">
        <f aca="false">ROUNDUP(CI1561/BY1561,0)</f>
        <v>0</v>
      </c>
      <c r="CO1561" s="53" t="n">
        <f aca="false">IF(BZ1561=1,0,IFERROR(VLOOKUP(BX1561,'Gebinde-Kategorie'!$A$5:$N$45,5,0)+0,0))</f>
        <v>11</v>
      </c>
      <c r="CP1561" s="53" t="n">
        <f aca="false">IFERROR(IF(OR(CE1561=1,CE1561=2,CE1561=3),N(INDEX(Parameter!$I$5:$I$7,CE1561)),0),0)</f>
        <v>0</v>
      </c>
      <c r="CQ1561" s="52" t="n">
        <f aca="false">IF(AND(Parameter!$B$21="Ja",ISNUMBER(W1561),N(X1561)&gt;0),IFERROR(N(INDEX(Parameter!$L$5:$L$7,W1561))*INDEX(Parameter!$E$5:$E$7,W1561)*X1561/SUMIFS($X$7:$X$1843,$W$7:$W$1843,W1561),0),0)</f>
        <v>0</v>
      </c>
    </row>
    <row r="1562" customFormat="false" ht="15" hidden="false" customHeight="false" outlineLevel="0" collapsed="false">
      <c r="A1562" s="48" t="s">
        <v>2738</v>
      </c>
      <c r="B1562" s="48" t="s">
        <v>2739</v>
      </c>
      <c r="C1562" s="48" t="s">
        <v>173</v>
      </c>
      <c r="D1562" s="48" t="s">
        <v>193</v>
      </c>
      <c r="E1562" s="48"/>
      <c r="F1562" s="48"/>
      <c r="G1562" s="49" t="n">
        <v>13.75</v>
      </c>
      <c r="H1562" s="50" t="n">
        <f aca="false">MAX(0,IF(AND(Parameter!$B$21="Ja",ISNUMBER(Y1562)),Y1562,IF(Parameter!$B$20="Jahresanfang 2025 + Export",BR1562+BQ1562,BQ1562)))</f>
        <v>2</v>
      </c>
      <c r="I1562" s="50" t="n">
        <f aca="false">H1562*G1562</f>
        <v>27.5</v>
      </c>
      <c r="J1562" s="50" t="n">
        <f aca="false">BT1562*Parameter!$B$18</f>
        <v>0</v>
      </c>
      <c r="K1562" s="51"/>
      <c r="L1562" s="52"/>
      <c r="M1562" s="50" t="n">
        <v>0</v>
      </c>
      <c r="N1562" s="50" t="n">
        <v>25</v>
      </c>
      <c r="O1562" s="53" t="n">
        <v>21</v>
      </c>
      <c r="P1562" s="48" t="s">
        <v>177</v>
      </c>
      <c r="Q1562" s="50"/>
      <c r="R1562" s="53" t="n">
        <f aca="false">IF(BZ1562=1,0,IFERROR(VLOOKUP(BX1562,'Gebinde-Kategorie'!$A$5:$N$45,13,0)+0,0))</f>
        <v>26</v>
      </c>
      <c r="S1562" s="54"/>
      <c r="T1562" s="55" t="s">
        <v>284</v>
      </c>
      <c r="U1562" s="55"/>
      <c r="V1562" s="55"/>
      <c r="W1562" s="48"/>
      <c r="X1562" s="50"/>
      <c r="Y1562" s="50"/>
      <c r="Z1562" s="48" t="n">
        <f aca="false">IF(A1562="","",IF(AND(Parameter!$B$21="Ja",ISNUMBER(W1562)),W1562,IF(CC1562="2+3",IF(ISNUMBER(SEARCH("grosser Artikel",BU1562)),2,IFERROR(VLOOKUP(BX1562,Parameter!$F$35:$G$64,2,0),2)),IF(OR(CC1562="Nein",CC1562=""),"-",CC1562))))</f>
        <v>3</v>
      </c>
      <c r="AA1562" s="55"/>
      <c r="AB1562" s="56"/>
      <c r="AC1562" s="50" t="n">
        <f aca="false">AV1562</f>
        <v>25</v>
      </c>
      <c r="AD1562" s="50" t="n">
        <f aca="false">MAX(AV1562,H1562)</f>
        <v>25</v>
      </c>
      <c r="AE1562" s="57"/>
      <c r="AF1562" s="50" t="n">
        <f aca="false">IF(LEFT(Cockpit!$C$5,1)="A",H1562,IF(Parameter!$E$30="MAX-Bestand",IF(CH1562=1,CI1562,IF(LEFT(Cockpit!$C$5,1)="B",AL1562,MAX(AL1562,H1562))),ROUNDUP(AJ1562,0)))</f>
        <v>2</v>
      </c>
      <c r="AG1562" s="50" t="n">
        <f aca="false">IF(BZ1562=1,0,ROUNDUP(AF1562/BY1562,0))</f>
        <v>1</v>
      </c>
      <c r="AH1562" s="52" t="n">
        <f aca="false">IF(CQ1562&gt;0,CQ1562*MAX(1,AF1562/X1562),IF(BZ1562=1,IF(AF1562&lt;=0,0,CD1562*MAX(1,IF(H1562&gt;0,AF1562/H1562,1))),IF(R1562&gt;0,AG1562/R1562,0))/MAX(0.1,N(Parameter!$M$21)))</f>
        <v>0.0384615384615385</v>
      </c>
      <c r="AI1562" s="50" t="n">
        <f aca="false">AH1562*CB1562</f>
        <v>5.96153846153846</v>
      </c>
      <c r="AJ1562" s="51" t="n">
        <f aca="false">IF(LEFT(Cockpit!$C$5,1)="A",H1562,IF(CH1562=1,(CK1562+CI1562)/2,IF(LEFT(Cockpit!$C$5,1)="B",(CK1562+AL1562)/2,MAX((CK1562+AL1562)/2,H1562))))</f>
        <v>2</v>
      </c>
      <c r="AK1562" s="50" t="n">
        <f aca="false">AJ1562*G1562</f>
        <v>27.5</v>
      </c>
      <c r="AL1562" s="50" t="n">
        <f aca="false">ROUNDUP(CK1562+MAX(CL1562,2*(J1562/IF(CG1562&gt;0,CG1562,MAX(0.1,N(Cockpit!$C$6)))-CK1562)),0)</f>
        <v>25</v>
      </c>
      <c r="AM1562" s="51" t="n">
        <f aca="false">IF(AI1562&gt;0,J1562/AI1562,-1)</f>
        <v>0</v>
      </c>
      <c r="AN1562" s="51" t="n">
        <f aca="false">IF(AND(OR(CF1562="L1",CF1562="L23",CF1562="LIFT"),AI1562&gt;0),SUMIFS($AI$7:$AI$1843,$CF$7:$CF$1843,CF1562,$AM$7:$AM$1843,"&gt;"&amp;AM1562)+SUMIFS($AI$7:$AI$1843,$CF$7:$CF$1843,CF1562,$AM$7:$AM$1843,AM1562,$BW$7:$BW$1843,"&lt;="&amp;BW1562),"")</f>
        <v>30276.4939027545</v>
      </c>
      <c r="AO1562" s="58" t="n">
        <f aca="false">IF(AN1562="",0,MAX(0,MIN(1,(IF(CF1562="L1",Parameter!$H$5,IF(CF1562="L23",Parameter!$H$6+Parameter!$H$7,Parameter!$H$5+Parameter!$H$6+Parameter!$H$7))-(AN1562-AI1562))/AI1562)))</f>
        <v>1</v>
      </c>
      <c r="AP1562" s="50" t="n">
        <f aca="false">IF(LEFT(Cockpit!$I$5,1)="A",H1562,IF(Parameter!$E$30="MAX-Bestand",IF(CH1562=1,CI1562,IF(LEFT(Cockpit!$I$5,1)="B",AV1562,MAX(AV1562,H1562))),ROUNDUP(AT1562,0)))</f>
        <v>13</v>
      </c>
      <c r="AQ1562" s="50" t="n">
        <f aca="false">IF(BZ1562=1,0,ROUNDUP(AP1562/BY1562,0))</f>
        <v>1</v>
      </c>
      <c r="AR1562" s="52" t="n">
        <f aca="false">IF(CQ1562&gt;0,CQ1562*MAX(1,AP1562/X1562),IF(BZ1562=1,IF(AP1562&lt;=0,0,CD1562*MAX(1,IF(H1562&gt;0,AP1562/H1562,1))),IF(R1562&gt;0,AQ1562/R1562,0))/MAX(0.1,N(Parameter!$M$21)))</f>
        <v>0.0384615384615385</v>
      </c>
      <c r="AS1562" s="50" t="n">
        <f aca="false">AR1562*CB1562</f>
        <v>5.96153846153846</v>
      </c>
      <c r="AT1562" s="51" t="n">
        <f aca="false">IF(LEFT(Cockpit!$I$5,1)="A",H1562,IF(CH1562=1,(CK1562+CI1562)/2,IF(LEFT(Cockpit!$I$5,1)="B",(CK1562+AV1562)/2,MAX((CK1562+AV1562)/2,H1562))))</f>
        <v>12.5</v>
      </c>
      <c r="AU1562" s="50" t="n">
        <f aca="false">AT1562*G1562</f>
        <v>171.875</v>
      </c>
      <c r="AV1562" s="50" t="n">
        <f aca="false">ROUNDUP(CK1562+MAX(CL1562,2*(J1562/IF(CG1562&gt;0,CG1562,MAX(0.1,N(Cockpit!$I$6)))-CK1562)),0)</f>
        <v>25</v>
      </c>
      <c r="AW1562" s="51" t="n">
        <f aca="false">IF(AS1562&gt;0,J1562/AS1562,-1)</f>
        <v>0</v>
      </c>
      <c r="AX1562" s="51" t="n">
        <f aca="false">IF(AND(OR(CF1562="L1",CF1562="L23",CF1562="LIFT"),AS1562&gt;0),SUMIFS($AS$7:$AS$1843,$CF$7:$CF$1843,CF1562,$AW$7:$AW$1843,"&gt;"&amp;AW1562)+SUMIFS($AS$7:$AS$1843,$CF$7:$CF$1843,CF1562,$AW$7:$AW$1843,AW1562,$BW$7:$BW$1843,"&lt;="&amp;BW1562),"")</f>
        <v>36596.3504195898</v>
      </c>
      <c r="AY1562" s="58" t="n">
        <f aca="false">IF(AX1562="",0,MAX(0,MIN(1,(IF(CF1562="L1",Parameter!$H$5,IF(CF1562="L23",Parameter!$H$6+Parameter!$H$7,Parameter!$H$5+Parameter!$H$6+Parameter!$H$7))-(AX1562-AS1562))/AS1562)))</f>
        <v>0</v>
      </c>
      <c r="AZ1562" s="50" t="n">
        <f aca="false">IF(LEFT(Cockpit!$O$5,1)="A",H1562,IF(Parameter!$E$30="MAX-Bestand",IF(CH1562=1,CI1562,IF(LEFT(Cockpit!$O$5,1)="B",BF1562,MAX(BF1562,H1562))),ROUNDUP(BD1562,0)))</f>
        <v>13</v>
      </c>
      <c r="BA1562" s="50" t="n">
        <f aca="false">IF(BZ1562=1,0,ROUNDUP(AZ1562/BY1562,0))</f>
        <v>1</v>
      </c>
      <c r="BB1562" s="52" t="n">
        <f aca="false">IF(CQ1562&gt;0,CQ1562*MAX(1,AZ1562/X1562),IF(BZ1562=1,IF(AZ1562&lt;=0,0,CD1562*MAX(1,IF(H1562&gt;0,AZ1562/H1562,1))),IF(R1562&gt;0,BA1562/R1562,0))/MAX(0.1,N(Parameter!$M$21)))</f>
        <v>0.0384615384615385</v>
      </c>
      <c r="BC1562" s="50" t="n">
        <f aca="false">BB1562*CB1562</f>
        <v>5.96153846153846</v>
      </c>
      <c r="BD1562" s="51" t="n">
        <f aca="false">IF(LEFT(Cockpit!$O$5,1)="A",H1562,IF(CH1562=1,(CK1562+CI1562)/2,IF(LEFT(Cockpit!$O$5,1)="B",(CK1562+BF1562)/2,MAX((CK1562+BF1562)/2,H1562))))</f>
        <v>12.5</v>
      </c>
      <c r="BE1562" s="50" t="n">
        <f aca="false">BD1562*G1562</f>
        <v>171.875</v>
      </c>
      <c r="BF1562" s="50" t="n">
        <f aca="false">ROUNDUP(CK1562+MAX(CL1562,2*(J1562/IF(CG1562&gt;0,CG1562,MAX(0.1,N(Cockpit!$O$6)))-CK1562)),0)</f>
        <v>25</v>
      </c>
      <c r="BG1562" s="51" t="n">
        <f aca="false">IF(BC1562&gt;0,J1562/BC1562,-1)</f>
        <v>0</v>
      </c>
      <c r="BH1562" s="51" t="n">
        <f aca="false">IF(AND(OR(CF1562="L1",CF1562="L23",CF1562="LIFT"),BC1562&gt;0),SUMIFS($BC$7:$BC$1843,$CF$7:$CF$1843,CF1562,$BG$7:$BG$1843,"&gt;"&amp;BG1562)+SUMIFS($BC$7:$BC$1843,$CF$7:$CF$1843,CF1562,$BG$7:$BG$1843,BG1562,$BW$7:$BW$1843,"&lt;="&amp;BW1562),"")</f>
        <v>30505.7916951222</v>
      </c>
      <c r="BI1562" s="58" t="n">
        <f aca="false">IF(BH1562="",0,MAX(0,MIN(1,(IF(CF1562="L1",Parameter!$H$5,IF(CF1562="L23",Parameter!$H$6+Parameter!$H$7,Parameter!$H$5+Parameter!$H$6+Parameter!$H$7))-(BH1562-BC1562))/BC1562)))</f>
        <v>1</v>
      </c>
      <c r="BJ1562" s="48" t="str">
        <f aca="false">IF(AI1562&lt;=0,"",IF(CF1562="Aussen","Aussenlager",IF(CF1562="-","Nicht im Lift",IF(AO1562&gt;=1,"Lift",IF(AO1562&lt;=0,"Aussenlager","teilweise")))))</f>
        <v>Lift</v>
      </c>
      <c r="BK1562" s="48" t="str">
        <f aca="false">IF(AS1562&lt;=0,"",IF(CF1562="Aussen","Aussenlager",IF(CF1562="-","Nicht im Lift",IF(AY1562&gt;=1,"Lift",IF(AY1562&lt;=0,"Aussenlager","teilweise")))))</f>
        <v>Aussenlager</v>
      </c>
      <c r="BL1562" s="48" t="str">
        <f aca="false">IF(BC1562&lt;=0,"",IF(CF1562="Aussen","Aussenlager",IF(CF1562="-","Nicht im Lift",IF(BI1562&gt;=1,"Lift",IF(BI1562&lt;=0,"Aussenlager","teilweise")))))</f>
        <v>Lift</v>
      </c>
      <c r="BM1562" s="48" t="str">
        <f aca="false">IF(A1562="","",IF(BV1562=1,"Neu; ","")&amp;IF(AND(BV1562=0,BQ1562&lt;0),"negativer Bestand (Export "&amp;BQ1562&amp;"); ","")&amp;IF(J1562&lt;=0,"Kein Verbrauch; ","")&amp;IF(CQ1562&gt;0,"Lift "&amp;W1562&amp;" lt. Liftbericht (Fach "&amp;X1562&amp;" Stk); ",IF(CA1562=1,"Gebinde geschätzt ("&amp;T1562&amp;"); ",IF(BZ1562=1,"Lose – Tablare geschätzt; ","")))&amp;IF(H1562&gt;AV1562,"Überbestand "&amp;ROUND(H1562-AV1562,0)&amp;" Stk / CHF "&amp;ROUND((H1562-AV1562)*G1562,0)&amp;"; ","")&amp;IF(AND(CH1562=1,CI1562&lt;CJ1562),"MAX &lt; MB+LG; ","")&amp;IF(AND(CP1562&gt;0,CO1562*10&gt;CP1562),"zu hoch für Tablar; ","")&amp;IF(AND(BV1562=0,OR(CH1562=1,AA1562&lt;&gt;"",U1562&lt;&gt;"",V1562&lt;&gt;"",AB1562&lt;&gt;"")),"manuell übersteuert; ","")&amp;IF(AND(BZ1562=0,R1562=0),"Gebinde unbekannt / Stellmass fehlt; ","")&amp;IF(AND(BZ1562=0,N(V1562)&lt;=0,N(Q1562)&lt;=0),"Menge pro Gebinde fehlt (Ist = 1 Gebinde); ","")&amp;BU1562)</f>
        <v>Kein Verbrauch; Gebinde geschätzt (Klein); Menge pro Gebinde fehlt (Ist = 1 Gebinde); nur im Artikelstamm (Bestand 23.06.2026)</v>
      </c>
      <c r="BN1562" s="48"/>
      <c r="BO1562" s="48"/>
      <c r="BP1562" s="55"/>
      <c r="BQ1562" s="50" t="n">
        <v>2</v>
      </c>
      <c r="BR1562" s="50" t="n">
        <v>0</v>
      </c>
      <c r="BS1562" s="49" t="n">
        <v>0</v>
      </c>
      <c r="BT1562" s="50" t="n">
        <v>0</v>
      </c>
      <c r="BU1562" s="48" t="s">
        <v>2584</v>
      </c>
      <c r="BV1562" s="53" t="n">
        <v>0</v>
      </c>
      <c r="BW1562" s="53" t="n">
        <v>1562</v>
      </c>
      <c r="BX1562" s="48" t="str">
        <f aca="false">IF(U1562&lt;&gt;"",UPPER(TRIM(U1562)),IF(CA1562=1,UPPER(VLOOKUP(T1562,Parameter!$I$27:$K$29,2,0)),IF(P1562="","LOSE",P1562)))</f>
        <v>S51</v>
      </c>
      <c r="BY1562" s="50" t="n">
        <f aca="false">IF(BX1562="LOSE",1,IF(N(V1562)&gt;0,V1562,IF(CA1562=1,MAX(1,N(VLOOKUP(T1562,Parameter!$I$27:$K$29,3,0)),H1562,N(N1562)),IF(N(Q1562)&gt;0,Q1562,MAX(1,H1562)))))</f>
        <v>25</v>
      </c>
      <c r="BZ1562" s="53" t="n">
        <f aca="false">IF(BX1562="LOSE",1,0)</f>
        <v>0</v>
      </c>
      <c r="CA1562" s="53" t="n">
        <f aca="false">IF(AND(U1562="",OR(P1562="",P1562="LOSE"),T1562&lt;&gt;"",N(S1562)&lt;=0,ISNUMBER(MATCH(T1562,Parameter!$I$27:$I$29,0))),1,0)</f>
        <v>1</v>
      </c>
      <c r="CB1562" s="53" t="n">
        <f aca="false">IF(CQ1562&gt;0,INDEX(Parameter!$H$5:$H$7,W1562)/INDEX(Parameter!$E$5:$E$7,W1562),IF(AND(BZ1562=0,N(IFERROR(VLOOKUP(BX1562,'Gebinde-Kategorie'!$A$5:$N$45,14,0),0))&gt;0),VLOOKUP(BX1562,'Gebinde-Kategorie'!$A$5:$N$45,14,0)*10+Parameter!$M$23,Parameter!$M$24))</f>
        <v>155</v>
      </c>
      <c r="CC1562" s="48" t="str">
        <f aca="false">IF(AND(Parameter!$B$19="Ja",E1562&lt;&gt;"",ISNUMBER(MATCH(E1562,Parameter!$I$35:$I$52,0))),VLOOKUP(E1562,Parameter!$I$35:$J$52,2,0),IFERROR(VLOOKUP(D1562,Parameter!$A$35:$C$64,2,0),"Nein"))</f>
        <v>2+3</v>
      </c>
      <c r="CD1562" s="52" t="n">
        <f aca="false">IF(BZ1562=0,0,IF(N(S1562)&gt;0,S1562,IFERROR(VLOOKUP(D1562,Parameter!$A$35:$C$64,3,0)+0,0)))</f>
        <v>0</v>
      </c>
      <c r="CE1562" s="48" t="n">
        <f aca="false">IF(AA1562&lt;&gt;"",AA1562,Z1562)</f>
        <v>3</v>
      </c>
      <c r="CF1562" s="48" t="str">
        <f aca="false">IF(OR(CE1562=1,CE1562=2,CE1562=3),IF(Parameter!$E$27="Ja","LIFT",IF(CE1562=1,"L1","L23")),IF(CE1562="Aussen","Aussen","-"))</f>
        <v>LIFT</v>
      </c>
      <c r="CG1562" s="59" t="n">
        <f aca="false">IF(N(AB1562)&gt;0,AB1562,0)</f>
        <v>0</v>
      </c>
      <c r="CH1562" s="53" t="n">
        <f aca="false">IF(ISNUMBER(AE1562),1,0)</f>
        <v>0</v>
      </c>
      <c r="CI1562" s="50" t="n">
        <f aca="false">N(AE1562)</f>
        <v>0</v>
      </c>
      <c r="CJ1562" s="50" t="n">
        <f aca="false">N(M1562)+N(N1562)</f>
        <v>25</v>
      </c>
      <c r="CK1562" s="50" t="n">
        <f aca="false">N(M1562)</f>
        <v>0</v>
      </c>
      <c r="CL1562" s="50" t="n">
        <f aca="false">N(N1562)</f>
        <v>25</v>
      </c>
      <c r="CM1562" s="50" t="n">
        <f aca="false">ROUNDUP(H1562/BY1562,0)</f>
        <v>1</v>
      </c>
      <c r="CN1562" s="50" t="n">
        <f aca="false">ROUNDUP(CI1562/BY1562,0)</f>
        <v>0</v>
      </c>
      <c r="CO1562" s="53" t="n">
        <f aca="false">IF(BZ1562=1,0,IFERROR(VLOOKUP(BX1562,'Gebinde-Kategorie'!$A$5:$N$45,5,0)+0,0))</f>
        <v>11</v>
      </c>
      <c r="CP1562" s="53" t="n">
        <f aca="false">IFERROR(IF(OR(CE1562=1,CE1562=2,CE1562=3),N(INDEX(Parameter!$I$5:$I$7,CE1562)),0),0)</f>
        <v>0</v>
      </c>
      <c r="CQ1562" s="52" t="n">
        <f aca="false">IF(AND(Parameter!$B$21="Ja",ISNUMBER(W1562),N(X1562)&gt;0),IFERROR(N(INDEX(Parameter!$L$5:$L$7,W1562))*INDEX(Parameter!$E$5:$E$7,W1562)*X1562/SUMIFS($X$7:$X$1843,$W$7:$W$1843,W1562),0),0)</f>
        <v>0</v>
      </c>
    </row>
    <row r="1563" customFormat="false" ht="15" hidden="false" customHeight="false" outlineLevel="0" collapsed="false">
      <c r="A1563" s="48" t="s">
        <v>2740</v>
      </c>
      <c r="B1563" s="48" t="s">
        <v>2741</v>
      </c>
      <c r="C1563" s="48" t="s">
        <v>465</v>
      </c>
      <c r="D1563" s="48" t="s">
        <v>182</v>
      </c>
      <c r="E1563" s="48"/>
      <c r="F1563" s="48"/>
      <c r="G1563" s="49" t="n">
        <v>118</v>
      </c>
      <c r="H1563" s="50" t="n">
        <f aca="false">MAX(0,IF(AND(Parameter!$B$21="Ja",ISNUMBER(Y1563)),Y1563,IF(Parameter!$B$20="Jahresanfang 2025 + Export",BR1563+BQ1563,BQ1563)))</f>
        <v>6</v>
      </c>
      <c r="I1563" s="50" t="n">
        <f aca="false">H1563*G1563</f>
        <v>708</v>
      </c>
      <c r="J1563" s="50" t="n">
        <f aca="false">BT1563*Parameter!$B$18</f>
        <v>0</v>
      </c>
      <c r="K1563" s="51"/>
      <c r="L1563" s="52"/>
      <c r="M1563" s="50" t="n">
        <v>0</v>
      </c>
      <c r="N1563" s="50" t="n">
        <v>1</v>
      </c>
      <c r="O1563" s="53" t="n">
        <v>0</v>
      </c>
      <c r="P1563" s="48" t="s">
        <v>177</v>
      </c>
      <c r="Q1563" s="50"/>
      <c r="R1563" s="53" t="n">
        <f aca="false">IF(BZ1563=1,0,IFERROR(VLOOKUP(BX1563,'Gebinde-Kategorie'!$A$5:$N$45,13,0)+0,0))</f>
        <v>12</v>
      </c>
      <c r="S1563" s="54"/>
      <c r="T1563" s="55" t="s">
        <v>188</v>
      </c>
      <c r="U1563" s="55"/>
      <c r="V1563" s="55"/>
      <c r="W1563" s="48"/>
      <c r="X1563" s="50"/>
      <c r="Y1563" s="50"/>
      <c r="Z1563" s="48" t="n">
        <f aca="false">IF(A1563="","",IF(AND(Parameter!$B$21="Ja",ISNUMBER(W1563)),W1563,IF(CC1563="2+3",IF(ISNUMBER(SEARCH("grosser Artikel",BU1563)),2,IFERROR(VLOOKUP(BX1563,Parameter!$F$35:$G$64,2,0),2)),IF(OR(CC1563="Nein",CC1563=""),"-",CC1563))))</f>
        <v>2</v>
      </c>
      <c r="AA1563" s="55"/>
      <c r="AB1563" s="56"/>
      <c r="AC1563" s="50" t="n">
        <f aca="false">AV1563</f>
        <v>1</v>
      </c>
      <c r="AD1563" s="50" t="n">
        <f aca="false">MAX(AV1563,H1563)</f>
        <v>6</v>
      </c>
      <c r="AE1563" s="57"/>
      <c r="AF1563" s="50" t="n">
        <f aca="false">IF(LEFT(Cockpit!$C$5,1)="A",H1563,IF(Parameter!$E$30="MAX-Bestand",IF(CH1563=1,CI1563,IF(LEFT(Cockpit!$C$5,1)="B",AL1563,MAX(AL1563,H1563))),ROUNDUP(AJ1563,0)))</f>
        <v>6</v>
      </c>
      <c r="AG1563" s="50" t="n">
        <f aca="false">IF(BZ1563=1,0,ROUNDUP(AF1563/BY1563,0))</f>
        <v>1</v>
      </c>
      <c r="AH1563" s="52" t="n">
        <f aca="false">IF(CQ1563&gt;0,CQ1563*MAX(1,AF1563/X1563),IF(BZ1563=1,IF(AF1563&lt;=0,0,CD1563*MAX(1,IF(H1563&gt;0,AF1563/H1563,1))),IF(R1563&gt;0,AG1563/R1563,0))/MAX(0.1,N(Parameter!$M$21)))</f>
        <v>0.0833333333333333</v>
      </c>
      <c r="AI1563" s="50" t="n">
        <f aca="false">AH1563*CB1563</f>
        <v>12.0833333333333</v>
      </c>
      <c r="AJ1563" s="51" t="n">
        <f aca="false">IF(LEFT(Cockpit!$C$5,1)="A",H1563,IF(CH1563=1,(CK1563+CI1563)/2,IF(LEFT(Cockpit!$C$5,1)="B",(CK1563+AL1563)/2,MAX((CK1563+AL1563)/2,H1563))))</f>
        <v>6</v>
      </c>
      <c r="AK1563" s="50" t="n">
        <f aca="false">AJ1563*G1563</f>
        <v>708</v>
      </c>
      <c r="AL1563" s="50" t="n">
        <f aca="false">ROUNDUP(CK1563+MAX(CL1563,2*(J1563/IF(CG1563&gt;0,CG1563,MAX(0.1,N(Cockpit!$C$6)))-CK1563)),0)</f>
        <v>1</v>
      </c>
      <c r="AM1563" s="51" t="n">
        <f aca="false">IF(AI1563&gt;0,J1563/AI1563,-1)</f>
        <v>0</v>
      </c>
      <c r="AN1563" s="51" t="n">
        <f aca="false">IF(AND(OR(CF1563="L1",CF1563="L23",CF1563="LIFT"),AI1563&gt;0),SUMIFS($AI$7:$AI$1843,$CF$7:$CF$1843,CF1563,$AM$7:$AM$1843,"&gt;"&amp;AM1563)+SUMIFS($AI$7:$AI$1843,$CF$7:$CF$1843,CF1563,$AM$7:$AM$1843,AM1563,$BW$7:$BW$1843,"&lt;="&amp;BW1563),"")</f>
        <v>30288.5772360878</v>
      </c>
      <c r="AO1563" s="58" t="n">
        <f aca="false">IF(AN1563="",0,MAX(0,MIN(1,(IF(CF1563="L1",Parameter!$H$5,IF(CF1563="L23",Parameter!$H$6+Parameter!$H$7,Parameter!$H$5+Parameter!$H$6+Parameter!$H$7))-(AN1563-AI1563))/AI1563)))</f>
        <v>1</v>
      </c>
      <c r="AP1563" s="50" t="n">
        <f aca="false">IF(LEFT(Cockpit!$I$5,1)="A",H1563,IF(Parameter!$E$30="MAX-Bestand",IF(CH1563=1,CI1563,IF(LEFT(Cockpit!$I$5,1)="B",AV1563,MAX(AV1563,H1563))),ROUNDUP(AT1563,0)))</f>
        <v>6</v>
      </c>
      <c r="AQ1563" s="50" t="n">
        <f aca="false">IF(BZ1563=1,0,ROUNDUP(AP1563/BY1563,0))</f>
        <v>1</v>
      </c>
      <c r="AR1563" s="52" t="n">
        <f aca="false">IF(CQ1563&gt;0,CQ1563*MAX(1,AP1563/X1563),IF(BZ1563=1,IF(AP1563&lt;=0,0,CD1563*MAX(1,IF(H1563&gt;0,AP1563/H1563,1))),IF(R1563&gt;0,AQ1563/R1563,0))/MAX(0.1,N(Parameter!$M$21)))</f>
        <v>0.0833333333333333</v>
      </c>
      <c r="AS1563" s="50" t="n">
        <f aca="false">AR1563*CB1563</f>
        <v>12.0833333333333</v>
      </c>
      <c r="AT1563" s="51" t="n">
        <f aca="false">IF(LEFT(Cockpit!$I$5,1)="A",H1563,IF(CH1563=1,(CK1563+CI1563)/2,IF(LEFT(Cockpit!$I$5,1)="B",(CK1563+AV1563)/2,MAX((CK1563+AV1563)/2,H1563))))</f>
        <v>6</v>
      </c>
      <c r="AU1563" s="50" t="n">
        <f aca="false">AT1563*G1563</f>
        <v>708</v>
      </c>
      <c r="AV1563" s="50" t="n">
        <f aca="false">ROUNDUP(CK1563+MAX(CL1563,2*(J1563/IF(CG1563&gt;0,CG1563,MAX(0.1,N(Cockpit!$I$6)))-CK1563)),0)</f>
        <v>1</v>
      </c>
      <c r="AW1563" s="51" t="n">
        <f aca="false">IF(AS1563&gt;0,J1563/AS1563,-1)</f>
        <v>0</v>
      </c>
      <c r="AX1563" s="51" t="n">
        <f aca="false">IF(AND(OR(CF1563="L1",CF1563="L23",CF1563="LIFT"),AS1563&gt;0),SUMIFS($AS$7:$AS$1843,$CF$7:$CF$1843,CF1563,$AW$7:$AW$1843,"&gt;"&amp;AW1563)+SUMIFS($AS$7:$AS$1843,$CF$7:$CF$1843,CF1563,$AW$7:$AW$1843,AW1563,$BW$7:$BW$1843,"&lt;="&amp;BW1563),"")</f>
        <v>36608.4337529232</v>
      </c>
      <c r="AY1563" s="58" t="n">
        <f aca="false">IF(AX1563="",0,MAX(0,MIN(1,(IF(CF1563="L1",Parameter!$H$5,IF(CF1563="L23",Parameter!$H$6+Parameter!$H$7,Parameter!$H$5+Parameter!$H$6+Parameter!$H$7))-(AX1563-AS1563))/AS1563)))</f>
        <v>0</v>
      </c>
      <c r="AZ1563" s="50" t="n">
        <f aca="false">IF(LEFT(Cockpit!$O$5,1)="A",H1563,IF(Parameter!$E$30="MAX-Bestand",IF(CH1563=1,CI1563,IF(LEFT(Cockpit!$O$5,1)="B",BF1563,MAX(BF1563,H1563))),ROUNDUP(BD1563,0)))</f>
        <v>1</v>
      </c>
      <c r="BA1563" s="50" t="n">
        <f aca="false">IF(BZ1563=1,0,ROUNDUP(AZ1563/BY1563,0))</f>
        <v>1</v>
      </c>
      <c r="BB1563" s="52" t="n">
        <f aca="false">IF(CQ1563&gt;0,CQ1563*MAX(1,AZ1563/X1563),IF(BZ1563=1,IF(AZ1563&lt;=0,0,CD1563*MAX(1,IF(H1563&gt;0,AZ1563/H1563,1))),IF(R1563&gt;0,BA1563/R1563,0))/MAX(0.1,N(Parameter!$M$21)))</f>
        <v>0.0833333333333333</v>
      </c>
      <c r="BC1563" s="50" t="n">
        <f aca="false">BB1563*CB1563</f>
        <v>12.0833333333333</v>
      </c>
      <c r="BD1563" s="51" t="n">
        <f aca="false">IF(LEFT(Cockpit!$O$5,1)="A",H1563,IF(CH1563=1,(CK1563+CI1563)/2,IF(LEFT(Cockpit!$O$5,1)="B",(CK1563+BF1563)/2,MAX((CK1563+BF1563)/2,H1563))))</f>
        <v>0.5</v>
      </c>
      <c r="BE1563" s="50" t="n">
        <f aca="false">BD1563*G1563</f>
        <v>59</v>
      </c>
      <c r="BF1563" s="50" t="n">
        <f aca="false">ROUNDUP(CK1563+MAX(CL1563,2*(J1563/IF(CG1563&gt;0,CG1563,MAX(0.1,N(Cockpit!$O$6)))-CK1563)),0)</f>
        <v>1</v>
      </c>
      <c r="BG1563" s="51" t="n">
        <f aca="false">IF(BC1563&gt;0,J1563/BC1563,-1)</f>
        <v>0</v>
      </c>
      <c r="BH1563" s="51" t="n">
        <f aca="false">IF(AND(OR(CF1563="L1",CF1563="L23",CF1563="LIFT"),BC1563&gt;0),SUMIFS($BC$7:$BC$1843,$CF$7:$CF$1843,CF1563,$BG$7:$BG$1843,"&gt;"&amp;BG1563)+SUMIFS($BC$7:$BC$1843,$CF$7:$CF$1843,CF1563,$BG$7:$BG$1843,BG1563,$BW$7:$BW$1843,"&lt;="&amp;BW1563),"")</f>
        <v>30517.8750284555</v>
      </c>
      <c r="BI1563" s="58" t="n">
        <f aca="false">IF(BH1563="",0,MAX(0,MIN(1,(IF(CF1563="L1",Parameter!$H$5,IF(CF1563="L23",Parameter!$H$6+Parameter!$H$7,Parameter!$H$5+Parameter!$H$6+Parameter!$H$7))-(BH1563-BC1563))/BC1563)))</f>
        <v>1</v>
      </c>
      <c r="BJ1563" s="48" t="str">
        <f aca="false">IF(AI1563&lt;=0,"",IF(CF1563="Aussen","Aussenlager",IF(CF1563="-","Nicht im Lift",IF(AO1563&gt;=1,"Lift",IF(AO1563&lt;=0,"Aussenlager","teilweise")))))</f>
        <v>Lift</v>
      </c>
      <c r="BK1563" s="48" t="str">
        <f aca="false">IF(AS1563&lt;=0,"",IF(CF1563="Aussen","Aussenlager",IF(CF1563="-","Nicht im Lift",IF(AY1563&gt;=1,"Lift",IF(AY1563&lt;=0,"Aussenlager","teilweise")))))</f>
        <v>Aussenlager</v>
      </c>
      <c r="BL1563" s="48" t="str">
        <f aca="false">IF(BC1563&lt;=0,"",IF(CF1563="Aussen","Aussenlager",IF(CF1563="-","Nicht im Lift",IF(BI1563&gt;=1,"Lift",IF(BI1563&lt;=0,"Aussenlager","teilweise")))))</f>
        <v>Lift</v>
      </c>
      <c r="BM1563" s="48" t="str">
        <f aca="false">IF(A1563="","",IF(BV1563=1,"Neu; ","")&amp;IF(AND(BV1563=0,BQ1563&lt;0),"negativer Bestand (Export "&amp;BQ1563&amp;"); ","")&amp;IF(J1563&lt;=0,"Kein Verbrauch; ","")&amp;IF(CQ1563&gt;0,"Lift "&amp;W1563&amp;" lt. Liftbericht (Fach "&amp;X1563&amp;" Stk); ",IF(CA1563=1,"Gebinde geschätzt ("&amp;T1563&amp;"); ",IF(BZ1563=1,"Lose – Tablare geschätzt; ","")))&amp;IF(H1563&gt;AV1563,"Überbestand "&amp;ROUND(H1563-AV1563,0)&amp;" Stk / CHF "&amp;ROUND((H1563-AV1563)*G1563,0)&amp;"; ","")&amp;IF(AND(CH1563=1,CI1563&lt;CJ1563),"MAX &lt; MB+LG; ","")&amp;IF(AND(CP1563&gt;0,CO1563*10&gt;CP1563),"zu hoch für Tablar; ","")&amp;IF(AND(BV1563=0,OR(CH1563=1,AA1563&lt;&gt;"",U1563&lt;&gt;"",V1563&lt;&gt;"",AB1563&lt;&gt;"")),"manuell übersteuert; ","")&amp;IF(AND(BZ1563=0,R1563=0),"Gebinde unbekannt / Stellmass fehlt; ","")&amp;IF(AND(BZ1563=0,N(V1563)&lt;=0,N(Q1563)&lt;=0),"Menge pro Gebinde fehlt (Ist = 1 Gebinde); ","")&amp;BU1563)</f>
        <v>Kein Verbrauch; Gebinde geschätzt (Mittel); Überbestand 5 Stk / CHF 590; Menge pro Gebinde fehlt (Ist = 1 Gebinde); nur im Artikelstamm (Bestand 23.06.2026)</v>
      </c>
      <c r="BN1563" s="48"/>
      <c r="BO1563" s="48"/>
      <c r="BP1563" s="55"/>
      <c r="BQ1563" s="50" t="n">
        <v>6</v>
      </c>
      <c r="BR1563" s="50" t="n">
        <v>0</v>
      </c>
      <c r="BS1563" s="49" t="n">
        <v>0</v>
      </c>
      <c r="BT1563" s="50" t="n">
        <v>0</v>
      </c>
      <c r="BU1563" s="48" t="s">
        <v>2584</v>
      </c>
      <c r="BV1563" s="53" t="n">
        <v>0</v>
      </c>
      <c r="BW1563" s="53" t="n">
        <v>1563</v>
      </c>
      <c r="BX1563" s="48" t="str">
        <f aca="false">IF(U1563&lt;&gt;"",UPPER(TRIM(U1563)),IF(CA1563=1,UPPER(VLOOKUP(T1563,Parameter!$I$27:$K$29,2,0)),IF(P1563="","LOSE",P1563)))</f>
        <v>S61</v>
      </c>
      <c r="BY1563" s="50" t="n">
        <f aca="false">IF(BX1563="LOSE",1,IF(N(V1563)&gt;0,V1563,IF(CA1563=1,MAX(1,N(VLOOKUP(T1563,Parameter!$I$27:$K$29,3,0)),H1563,N(N1563)),IF(N(Q1563)&gt;0,Q1563,MAX(1,H1563)))))</f>
        <v>6</v>
      </c>
      <c r="BZ1563" s="53" t="n">
        <f aca="false">IF(BX1563="LOSE",1,0)</f>
        <v>0</v>
      </c>
      <c r="CA1563" s="53" t="n">
        <f aca="false">IF(AND(U1563="",OR(P1563="",P1563="LOSE"),T1563&lt;&gt;"",N(S1563)&lt;=0,ISNUMBER(MATCH(T1563,Parameter!$I$27:$I$29,0))),1,0)</f>
        <v>1</v>
      </c>
      <c r="CB1563" s="53" t="n">
        <f aca="false">IF(CQ1563&gt;0,INDEX(Parameter!$H$5:$H$7,W1563)/INDEX(Parameter!$E$5:$E$7,W1563),IF(AND(BZ1563=0,N(IFERROR(VLOOKUP(BX1563,'Gebinde-Kategorie'!$A$5:$N$45,14,0),0))&gt;0),VLOOKUP(BX1563,'Gebinde-Kategorie'!$A$5:$N$45,14,0)*10+Parameter!$M$23,Parameter!$M$24))</f>
        <v>145</v>
      </c>
      <c r="CC1563" s="48" t="str">
        <f aca="false">IF(AND(Parameter!$B$19="Ja",E1563&lt;&gt;"",ISNUMBER(MATCH(E1563,Parameter!$I$35:$I$52,0))),VLOOKUP(E1563,Parameter!$I$35:$J$52,2,0),IFERROR(VLOOKUP(D1563,Parameter!$A$35:$C$64,2,0),"Nein"))</f>
        <v>2+3</v>
      </c>
      <c r="CD1563" s="52" t="n">
        <f aca="false">IF(BZ1563=0,0,IF(N(S1563)&gt;0,S1563,IFERROR(VLOOKUP(D1563,Parameter!$A$35:$C$64,3,0)+0,0)))</f>
        <v>0</v>
      </c>
      <c r="CE1563" s="48" t="n">
        <f aca="false">IF(AA1563&lt;&gt;"",AA1563,Z1563)</f>
        <v>2</v>
      </c>
      <c r="CF1563" s="48" t="str">
        <f aca="false">IF(OR(CE1563=1,CE1563=2,CE1563=3),IF(Parameter!$E$27="Ja","LIFT",IF(CE1563=1,"L1","L23")),IF(CE1563="Aussen","Aussen","-"))</f>
        <v>LIFT</v>
      </c>
      <c r="CG1563" s="59" t="n">
        <f aca="false">IF(N(AB1563)&gt;0,AB1563,0)</f>
        <v>0</v>
      </c>
      <c r="CH1563" s="53" t="n">
        <f aca="false">IF(ISNUMBER(AE1563),1,0)</f>
        <v>0</v>
      </c>
      <c r="CI1563" s="50" t="n">
        <f aca="false">N(AE1563)</f>
        <v>0</v>
      </c>
      <c r="CJ1563" s="50" t="n">
        <f aca="false">N(M1563)+N(N1563)</f>
        <v>1</v>
      </c>
      <c r="CK1563" s="50" t="n">
        <f aca="false">N(M1563)</f>
        <v>0</v>
      </c>
      <c r="CL1563" s="50" t="n">
        <f aca="false">N(N1563)</f>
        <v>1</v>
      </c>
      <c r="CM1563" s="50" t="n">
        <f aca="false">ROUNDUP(H1563/BY1563,0)</f>
        <v>1</v>
      </c>
      <c r="CN1563" s="50" t="n">
        <f aca="false">ROUNDUP(CI1563/BY1563,0)</f>
        <v>0</v>
      </c>
      <c r="CO1563" s="53" t="n">
        <f aca="false">IF(BZ1563=1,0,IFERROR(VLOOKUP(BX1563,'Gebinde-Kategorie'!$A$5:$N$45,5,0)+0,0))</f>
        <v>11</v>
      </c>
      <c r="CP1563" s="53" t="n">
        <f aca="false">IFERROR(IF(OR(CE1563=1,CE1563=2,CE1563=3),N(INDEX(Parameter!$I$5:$I$7,CE1563)),0),0)</f>
        <v>0</v>
      </c>
      <c r="CQ1563" s="52" t="n">
        <f aca="false">IF(AND(Parameter!$B$21="Ja",ISNUMBER(W1563),N(X1563)&gt;0),IFERROR(N(INDEX(Parameter!$L$5:$L$7,W1563))*INDEX(Parameter!$E$5:$E$7,W1563)*X1563/SUMIFS($X$7:$X$1843,$W$7:$W$1843,W1563),0),0)</f>
        <v>0</v>
      </c>
    </row>
    <row r="1564" customFormat="false" ht="15" hidden="false" customHeight="false" outlineLevel="0" collapsed="false">
      <c r="A1564" s="48" t="s">
        <v>2742</v>
      </c>
      <c r="B1564" s="48" t="s">
        <v>2741</v>
      </c>
      <c r="C1564" s="48" t="s">
        <v>465</v>
      </c>
      <c r="D1564" s="48" t="s">
        <v>182</v>
      </c>
      <c r="E1564" s="48"/>
      <c r="F1564" s="48"/>
      <c r="G1564" s="49" t="n">
        <v>178</v>
      </c>
      <c r="H1564" s="50" t="n">
        <f aca="false">MAX(0,IF(AND(Parameter!$B$21="Ja",ISNUMBER(Y1564)),Y1564,IF(Parameter!$B$20="Jahresanfang 2025 + Export",BR1564+BQ1564,BQ1564)))</f>
        <v>10</v>
      </c>
      <c r="I1564" s="50" t="n">
        <f aca="false">H1564*G1564</f>
        <v>1780</v>
      </c>
      <c r="J1564" s="50" t="n">
        <f aca="false">BT1564*Parameter!$B$18</f>
        <v>0</v>
      </c>
      <c r="K1564" s="51"/>
      <c r="L1564" s="52"/>
      <c r="M1564" s="50" t="n">
        <v>0</v>
      </c>
      <c r="N1564" s="50" t="n">
        <v>1</v>
      </c>
      <c r="O1564" s="53" t="n">
        <v>0</v>
      </c>
      <c r="P1564" s="48" t="s">
        <v>177</v>
      </c>
      <c r="Q1564" s="50"/>
      <c r="R1564" s="53" t="n">
        <f aca="false">IF(BZ1564=1,0,IFERROR(VLOOKUP(BX1564,'Gebinde-Kategorie'!$A$5:$N$45,13,0)+0,0))</f>
        <v>12</v>
      </c>
      <c r="S1564" s="54"/>
      <c r="T1564" s="55" t="s">
        <v>188</v>
      </c>
      <c r="U1564" s="55"/>
      <c r="V1564" s="55"/>
      <c r="W1564" s="48"/>
      <c r="X1564" s="50"/>
      <c r="Y1564" s="50"/>
      <c r="Z1564" s="48" t="n">
        <f aca="false">IF(A1564="","",IF(AND(Parameter!$B$21="Ja",ISNUMBER(W1564)),W1564,IF(CC1564="2+3",IF(ISNUMBER(SEARCH("grosser Artikel",BU1564)),2,IFERROR(VLOOKUP(BX1564,Parameter!$F$35:$G$64,2,0),2)),IF(OR(CC1564="Nein",CC1564=""),"-",CC1564))))</f>
        <v>2</v>
      </c>
      <c r="AA1564" s="55"/>
      <c r="AB1564" s="56"/>
      <c r="AC1564" s="50" t="n">
        <f aca="false">AV1564</f>
        <v>1</v>
      </c>
      <c r="AD1564" s="50" t="n">
        <f aca="false">MAX(AV1564,H1564)</f>
        <v>10</v>
      </c>
      <c r="AE1564" s="57"/>
      <c r="AF1564" s="50" t="n">
        <f aca="false">IF(LEFT(Cockpit!$C$5,1)="A",H1564,IF(Parameter!$E$30="MAX-Bestand",IF(CH1564=1,CI1564,IF(LEFT(Cockpit!$C$5,1)="B",AL1564,MAX(AL1564,H1564))),ROUNDUP(AJ1564,0)))</f>
        <v>10</v>
      </c>
      <c r="AG1564" s="50" t="n">
        <f aca="false">IF(BZ1564=1,0,ROUNDUP(AF1564/BY1564,0))</f>
        <v>1</v>
      </c>
      <c r="AH1564" s="52" t="n">
        <f aca="false">IF(CQ1564&gt;0,CQ1564*MAX(1,AF1564/X1564),IF(BZ1564=1,IF(AF1564&lt;=0,0,CD1564*MAX(1,IF(H1564&gt;0,AF1564/H1564,1))),IF(R1564&gt;0,AG1564/R1564,0))/MAX(0.1,N(Parameter!$M$21)))</f>
        <v>0.0833333333333333</v>
      </c>
      <c r="AI1564" s="50" t="n">
        <f aca="false">AH1564*CB1564</f>
        <v>12.0833333333333</v>
      </c>
      <c r="AJ1564" s="51" t="n">
        <f aca="false">IF(LEFT(Cockpit!$C$5,1)="A",H1564,IF(CH1564=1,(CK1564+CI1564)/2,IF(LEFT(Cockpit!$C$5,1)="B",(CK1564+AL1564)/2,MAX((CK1564+AL1564)/2,H1564))))</f>
        <v>10</v>
      </c>
      <c r="AK1564" s="50" t="n">
        <f aca="false">AJ1564*G1564</f>
        <v>1780</v>
      </c>
      <c r="AL1564" s="50" t="n">
        <f aca="false">ROUNDUP(CK1564+MAX(CL1564,2*(J1564/IF(CG1564&gt;0,CG1564,MAX(0.1,N(Cockpit!$C$6)))-CK1564)),0)</f>
        <v>1</v>
      </c>
      <c r="AM1564" s="51" t="n">
        <f aca="false">IF(AI1564&gt;0,J1564/AI1564,-1)</f>
        <v>0</v>
      </c>
      <c r="AN1564" s="51" t="n">
        <f aca="false">IF(AND(OR(CF1564="L1",CF1564="L23",CF1564="LIFT"),AI1564&gt;0),SUMIFS($AI$7:$AI$1843,$CF$7:$CF$1843,CF1564,$AM$7:$AM$1843,"&gt;"&amp;AM1564)+SUMIFS($AI$7:$AI$1843,$CF$7:$CF$1843,CF1564,$AM$7:$AM$1843,AM1564,$BW$7:$BW$1843,"&lt;="&amp;BW1564),"")</f>
        <v>30300.6605694212</v>
      </c>
      <c r="AO1564" s="58" t="n">
        <f aca="false">IF(AN1564="",0,MAX(0,MIN(1,(IF(CF1564="L1",Parameter!$H$5,IF(CF1564="L23",Parameter!$H$6+Parameter!$H$7,Parameter!$H$5+Parameter!$H$6+Parameter!$H$7))-(AN1564-AI1564))/AI1564)))</f>
        <v>1</v>
      </c>
      <c r="AP1564" s="50" t="n">
        <f aca="false">IF(LEFT(Cockpit!$I$5,1)="A",H1564,IF(Parameter!$E$30="MAX-Bestand",IF(CH1564=1,CI1564,IF(LEFT(Cockpit!$I$5,1)="B",AV1564,MAX(AV1564,H1564))),ROUNDUP(AT1564,0)))</f>
        <v>10</v>
      </c>
      <c r="AQ1564" s="50" t="n">
        <f aca="false">IF(BZ1564=1,0,ROUNDUP(AP1564/BY1564,0))</f>
        <v>1</v>
      </c>
      <c r="AR1564" s="52" t="n">
        <f aca="false">IF(CQ1564&gt;0,CQ1564*MAX(1,AP1564/X1564),IF(BZ1564=1,IF(AP1564&lt;=0,0,CD1564*MAX(1,IF(H1564&gt;0,AP1564/H1564,1))),IF(R1564&gt;0,AQ1564/R1564,0))/MAX(0.1,N(Parameter!$M$21)))</f>
        <v>0.0833333333333333</v>
      </c>
      <c r="AS1564" s="50" t="n">
        <f aca="false">AR1564*CB1564</f>
        <v>12.0833333333333</v>
      </c>
      <c r="AT1564" s="51" t="n">
        <f aca="false">IF(LEFT(Cockpit!$I$5,1)="A",H1564,IF(CH1564=1,(CK1564+CI1564)/2,IF(LEFT(Cockpit!$I$5,1)="B",(CK1564+AV1564)/2,MAX((CK1564+AV1564)/2,H1564))))</f>
        <v>10</v>
      </c>
      <c r="AU1564" s="50" t="n">
        <f aca="false">AT1564*G1564</f>
        <v>1780</v>
      </c>
      <c r="AV1564" s="50" t="n">
        <f aca="false">ROUNDUP(CK1564+MAX(CL1564,2*(J1564/IF(CG1564&gt;0,CG1564,MAX(0.1,N(Cockpit!$I$6)))-CK1564)),0)</f>
        <v>1</v>
      </c>
      <c r="AW1564" s="51" t="n">
        <f aca="false">IF(AS1564&gt;0,J1564/AS1564,-1)</f>
        <v>0</v>
      </c>
      <c r="AX1564" s="51" t="n">
        <f aca="false">IF(AND(OR(CF1564="L1",CF1564="L23",CF1564="LIFT"),AS1564&gt;0),SUMIFS($AS$7:$AS$1843,$CF$7:$CF$1843,CF1564,$AW$7:$AW$1843,"&gt;"&amp;AW1564)+SUMIFS($AS$7:$AS$1843,$CF$7:$CF$1843,CF1564,$AW$7:$AW$1843,AW1564,$BW$7:$BW$1843,"&lt;="&amp;BW1564),"")</f>
        <v>36620.5170862565</v>
      </c>
      <c r="AY1564" s="58" t="n">
        <f aca="false">IF(AX1564="",0,MAX(0,MIN(1,(IF(CF1564="L1",Parameter!$H$5,IF(CF1564="L23",Parameter!$H$6+Parameter!$H$7,Parameter!$H$5+Parameter!$H$6+Parameter!$H$7))-(AX1564-AS1564))/AS1564)))</f>
        <v>0</v>
      </c>
      <c r="AZ1564" s="50" t="n">
        <f aca="false">IF(LEFT(Cockpit!$O$5,1)="A",H1564,IF(Parameter!$E$30="MAX-Bestand",IF(CH1564=1,CI1564,IF(LEFT(Cockpit!$O$5,1)="B",BF1564,MAX(BF1564,H1564))),ROUNDUP(BD1564,0)))</f>
        <v>1</v>
      </c>
      <c r="BA1564" s="50" t="n">
        <f aca="false">IF(BZ1564=1,0,ROUNDUP(AZ1564/BY1564,0))</f>
        <v>1</v>
      </c>
      <c r="BB1564" s="52" t="n">
        <f aca="false">IF(CQ1564&gt;0,CQ1564*MAX(1,AZ1564/X1564),IF(BZ1564=1,IF(AZ1564&lt;=0,0,CD1564*MAX(1,IF(H1564&gt;0,AZ1564/H1564,1))),IF(R1564&gt;0,BA1564/R1564,0))/MAX(0.1,N(Parameter!$M$21)))</f>
        <v>0.0833333333333333</v>
      </c>
      <c r="BC1564" s="50" t="n">
        <f aca="false">BB1564*CB1564</f>
        <v>12.0833333333333</v>
      </c>
      <c r="BD1564" s="51" t="n">
        <f aca="false">IF(LEFT(Cockpit!$O$5,1)="A",H1564,IF(CH1564=1,(CK1564+CI1564)/2,IF(LEFT(Cockpit!$O$5,1)="B",(CK1564+BF1564)/2,MAX((CK1564+BF1564)/2,H1564))))</f>
        <v>0.5</v>
      </c>
      <c r="BE1564" s="50" t="n">
        <f aca="false">BD1564*G1564</f>
        <v>89</v>
      </c>
      <c r="BF1564" s="50" t="n">
        <f aca="false">ROUNDUP(CK1564+MAX(CL1564,2*(J1564/IF(CG1564&gt;0,CG1564,MAX(0.1,N(Cockpit!$O$6)))-CK1564)),0)</f>
        <v>1</v>
      </c>
      <c r="BG1564" s="51" t="n">
        <f aca="false">IF(BC1564&gt;0,J1564/BC1564,-1)</f>
        <v>0</v>
      </c>
      <c r="BH1564" s="51" t="n">
        <f aca="false">IF(AND(OR(CF1564="L1",CF1564="L23",CF1564="LIFT"),BC1564&gt;0),SUMIFS($BC$7:$BC$1843,$CF$7:$CF$1843,CF1564,$BG$7:$BG$1843,"&gt;"&amp;BG1564)+SUMIFS($BC$7:$BC$1843,$CF$7:$CF$1843,CF1564,$BG$7:$BG$1843,BG1564,$BW$7:$BW$1843,"&lt;="&amp;BW1564),"")</f>
        <v>30529.9583617889</v>
      </c>
      <c r="BI1564" s="58" t="n">
        <f aca="false">IF(BH1564="",0,MAX(0,MIN(1,(IF(CF1564="L1",Parameter!$H$5,IF(CF1564="L23",Parameter!$H$6+Parameter!$H$7,Parameter!$H$5+Parameter!$H$6+Parameter!$H$7))-(BH1564-BC1564))/BC1564)))</f>
        <v>1</v>
      </c>
      <c r="BJ1564" s="48" t="str">
        <f aca="false">IF(AI1564&lt;=0,"",IF(CF1564="Aussen","Aussenlager",IF(CF1564="-","Nicht im Lift",IF(AO1564&gt;=1,"Lift",IF(AO1564&lt;=0,"Aussenlager","teilweise")))))</f>
        <v>Lift</v>
      </c>
      <c r="BK1564" s="48" t="str">
        <f aca="false">IF(AS1564&lt;=0,"",IF(CF1564="Aussen","Aussenlager",IF(CF1564="-","Nicht im Lift",IF(AY1564&gt;=1,"Lift",IF(AY1564&lt;=0,"Aussenlager","teilweise")))))</f>
        <v>Aussenlager</v>
      </c>
      <c r="BL1564" s="48" t="str">
        <f aca="false">IF(BC1564&lt;=0,"",IF(CF1564="Aussen","Aussenlager",IF(CF1564="-","Nicht im Lift",IF(BI1564&gt;=1,"Lift",IF(BI1564&lt;=0,"Aussenlager","teilweise")))))</f>
        <v>Lift</v>
      </c>
      <c r="BM1564" s="48" t="str">
        <f aca="false">IF(A1564="","",IF(BV1564=1,"Neu; ","")&amp;IF(AND(BV1564=0,BQ1564&lt;0),"negativer Bestand (Export "&amp;BQ1564&amp;"); ","")&amp;IF(J1564&lt;=0,"Kein Verbrauch; ","")&amp;IF(CQ1564&gt;0,"Lift "&amp;W1564&amp;" lt. Liftbericht (Fach "&amp;X1564&amp;" Stk); ",IF(CA1564=1,"Gebinde geschätzt ("&amp;T1564&amp;"); ",IF(BZ1564=1,"Lose – Tablare geschätzt; ","")))&amp;IF(H1564&gt;AV1564,"Überbestand "&amp;ROUND(H1564-AV1564,0)&amp;" Stk / CHF "&amp;ROUND((H1564-AV1564)*G1564,0)&amp;"; ","")&amp;IF(AND(CH1564=1,CI1564&lt;CJ1564),"MAX &lt; MB+LG; ","")&amp;IF(AND(CP1564&gt;0,CO1564*10&gt;CP1564),"zu hoch für Tablar; ","")&amp;IF(AND(BV1564=0,OR(CH1564=1,AA1564&lt;&gt;"",U1564&lt;&gt;"",V1564&lt;&gt;"",AB1564&lt;&gt;"")),"manuell übersteuert; ","")&amp;IF(AND(BZ1564=0,R1564=0),"Gebinde unbekannt / Stellmass fehlt; ","")&amp;IF(AND(BZ1564=0,N(V1564)&lt;=0,N(Q1564)&lt;=0),"Menge pro Gebinde fehlt (Ist = 1 Gebinde); ","")&amp;BU1564)</f>
        <v>Kein Verbrauch; Gebinde geschätzt (Mittel); Überbestand 9 Stk / CHF 1602; Menge pro Gebinde fehlt (Ist = 1 Gebinde); nur im Artikelstamm (Bestand 23.06.2026)</v>
      </c>
      <c r="BN1564" s="48"/>
      <c r="BO1564" s="48"/>
      <c r="BP1564" s="55"/>
      <c r="BQ1564" s="50" t="n">
        <v>10</v>
      </c>
      <c r="BR1564" s="50" t="n">
        <v>0</v>
      </c>
      <c r="BS1564" s="49" t="n">
        <v>0</v>
      </c>
      <c r="BT1564" s="50" t="n">
        <v>0</v>
      </c>
      <c r="BU1564" s="48" t="s">
        <v>2584</v>
      </c>
      <c r="BV1564" s="53" t="n">
        <v>0</v>
      </c>
      <c r="BW1564" s="53" t="n">
        <v>1564</v>
      </c>
      <c r="BX1564" s="48" t="str">
        <f aca="false">IF(U1564&lt;&gt;"",UPPER(TRIM(U1564)),IF(CA1564=1,UPPER(VLOOKUP(T1564,Parameter!$I$27:$K$29,2,0)),IF(P1564="","LOSE",P1564)))</f>
        <v>S61</v>
      </c>
      <c r="BY1564" s="50" t="n">
        <f aca="false">IF(BX1564="LOSE",1,IF(N(V1564)&gt;0,V1564,IF(CA1564=1,MAX(1,N(VLOOKUP(T1564,Parameter!$I$27:$K$29,3,0)),H1564,N(N1564)),IF(N(Q1564)&gt;0,Q1564,MAX(1,H1564)))))</f>
        <v>10</v>
      </c>
      <c r="BZ1564" s="53" t="n">
        <f aca="false">IF(BX1564="LOSE",1,0)</f>
        <v>0</v>
      </c>
      <c r="CA1564" s="53" t="n">
        <f aca="false">IF(AND(U1564="",OR(P1564="",P1564="LOSE"),T1564&lt;&gt;"",N(S1564)&lt;=0,ISNUMBER(MATCH(T1564,Parameter!$I$27:$I$29,0))),1,0)</f>
        <v>1</v>
      </c>
      <c r="CB1564" s="53" t="n">
        <f aca="false">IF(CQ1564&gt;0,INDEX(Parameter!$H$5:$H$7,W1564)/INDEX(Parameter!$E$5:$E$7,W1564),IF(AND(BZ1564=0,N(IFERROR(VLOOKUP(BX1564,'Gebinde-Kategorie'!$A$5:$N$45,14,0),0))&gt;0),VLOOKUP(BX1564,'Gebinde-Kategorie'!$A$5:$N$45,14,0)*10+Parameter!$M$23,Parameter!$M$24))</f>
        <v>145</v>
      </c>
      <c r="CC1564" s="48" t="str">
        <f aca="false">IF(AND(Parameter!$B$19="Ja",E1564&lt;&gt;"",ISNUMBER(MATCH(E1564,Parameter!$I$35:$I$52,0))),VLOOKUP(E1564,Parameter!$I$35:$J$52,2,0),IFERROR(VLOOKUP(D1564,Parameter!$A$35:$C$64,2,0),"Nein"))</f>
        <v>2+3</v>
      </c>
      <c r="CD1564" s="52" t="n">
        <f aca="false">IF(BZ1564=0,0,IF(N(S1564)&gt;0,S1564,IFERROR(VLOOKUP(D1564,Parameter!$A$35:$C$64,3,0)+0,0)))</f>
        <v>0</v>
      </c>
      <c r="CE1564" s="48" t="n">
        <f aca="false">IF(AA1564&lt;&gt;"",AA1564,Z1564)</f>
        <v>2</v>
      </c>
      <c r="CF1564" s="48" t="str">
        <f aca="false">IF(OR(CE1564=1,CE1564=2,CE1564=3),IF(Parameter!$E$27="Ja","LIFT",IF(CE1564=1,"L1","L23")),IF(CE1564="Aussen","Aussen","-"))</f>
        <v>LIFT</v>
      </c>
      <c r="CG1564" s="59" t="n">
        <f aca="false">IF(N(AB1564)&gt;0,AB1564,0)</f>
        <v>0</v>
      </c>
      <c r="CH1564" s="53" t="n">
        <f aca="false">IF(ISNUMBER(AE1564),1,0)</f>
        <v>0</v>
      </c>
      <c r="CI1564" s="50" t="n">
        <f aca="false">N(AE1564)</f>
        <v>0</v>
      </c>
      <c r="CJ1564" s="50" t="n">
        <f aca="false">N(M1564)+N(N1564)</f>
        <v>1</v>
      </c>
      <c r="CK1564" s="50" t="n">
        <f aca="false">N(M1564)</f>
        <v>0</v>
      </c>
      <c r="CL1564" s="50" t="n">
        <f aca="false">N(N1564)</f>
        <v>1</v>
      </c>
      <c r="CM1564" s="50" t="n">
        <f aca="false">ROUNDUP(H1564/BY1564,0)</f>
        <v>1</v>
      </c>
      <c r="CN1564" s="50" t="n">
        <f aca="false">ROUNDUP(CI1564/BY1564,0)</f>
        <v>0</v>
      </c>
      <c r="CO1564" s="53" t="n">
        <f aca="false">IF(BZ1564=1,0,IFERROR(VLOOKUP(BX1564,'Gebinde-Kategorie'!$A$5:$N$45,5,0)+0,0))</f>
        <v>11</v>
      </c>
      <c r="CP1564" s="53" t="n">
        <f aca="false">IFERROR(IF(OR(CE1564=1,CE1564=2,CE1564=3),N(INDEX(Parameter!$I$5:$I$7,CE1564)),0),0)</f>
        <v>0</v>
      </c>
      <c r="CQ1564" s="52" t="n">
        <f aca="false">IF(AND(Parameter!$B$21="Ja",ISNUMBER(W1564),N(X1564)&gt;0),IFERROR(N(INDEX(Parameter!$L$5:$L$7,W1564))*INDEX(Parameter!$E$5:$E$7,W1564)*X1564/SUMIFS($X$7:$X$1843,$W$7:$W$1843,W1564),0),0)</f>
        <v>0</v>
      </c>
    </row>
    <row r="1565" customFormat="false" ht="15" hidden="false" customHeight="false" outlineLevel="0" collapsed="false">
      <c r="A1565" s="48" t="s">
        <v>2743</v>
      </c>
      <c r="B1565" s="48" t="s">
        <v>1450</v>
      </c>
      <c r="C1565" s="48" t="s">
        <v>173</v>
      </c>
      <c r="D1565" s="48" t="s">
        <v>182</v>
      </c>
      <c r="E1565" s="48" t="s">
        <v>182</v>
      </c>
      <c r="F1565" s="48"/>
      <c r="G1565" s="49" t="n">
        <v>407.15</v>
      </c>
      <c r="H1565" s="50" t="n">
        <f aca="false">MAX(0,IF(AND(Parameter!$B$21="Ja",ISNUMBER(Y1565)),Y1565,IF(Parameter!$B$20="Jahresanfang 2025 + Export",BR1565+BQ1565,BQ1565)))</f>
        <v>2</v>
      </c>
      <c r="I1565" s="50" t="n">
        <f aca="false">H1565*G1565</f>
        <v>814.3</v>
      </c>
      <c r="J1565" s="50" t="n">
        <f aca="false">BT1565*Parameter!$B$18</f>
        <v>0</v>
      </c>
      <c r="K1565" s="51"/>
      <c r="L1565" s="52"/>
      <c r="M1565" s="50" t="n">
        <v>0</v>
      </c>
      <c r="N1565" s="50" t="n">
        <v>1</v>
      </c>
      <c r="O1565" s="53" t="n">
        <v>28</v>
      </c>
      <c r="P1565" s="48" t="s">
        <v>177</v>
      </c>
      <c r="Q1565" s="50"/>
      <c r="R1565" s="53" t="n">
        <f aca="false">IF(BZ1565=1,0,IFERROR(VLOOKUP(BX1565,'Gebinde-Kategorie'!$A$5:$N$45,13,0)+0,0))</f>
        <v>12</v>
      </c>
      <c r="S1565" s="54"/>
      <c r="T1565" s="55" t="s">
        <v>188</v>
      </c>
      <c r="U1565" s="55"/>
      <c r="V1565" s="55"/>
      <c r="W1565" s="48"/>
      <c r="X1565" s="50"/>
      <c r="Y1565" s="50"/>
      <c r="Z1565" s="48" t="str">
        <f aca="false">IF(A1565="","",IF(AND(Parameter!$B$21="Ja",ISNUMBER(W1565)),W1565,IF(CC1565="2+3",IF(ISNUMBER(SEARCH("grosser Artikel",BU1565)),2,IFERROR(VLOOKUP(BX1565,Parameter!$F$35:$G$64,2,0),2)),IF(OR(CC1565="Nein",CC1565=""),"-",CC1565))))</f>
        <v>-</v>
      </c>
      <c r="AA1565" s="55"/>
      <c r="AB1565" s="56"/>
      <c r="AC1565" s="50" t="n">
        <f aca="false">AV1565</f>
        <v>1</v>
      </c>
      <c r="AD1565" s="50" t="n">
        <f aca="false">MAX(AV1565,H1565)</f>
        <v>2</v>
      </c>
      <c r="AE1565" s="57"/>
      <c r="AF1565" s="50" t="n">
        <f aca="false">IF(LEFT(Cockpit!$C$5,1)="A",H1565,IF(Parameter!$E$30="MAX-Bestand",IF(CH1565=1,CI1565,IF(LEFT(Cockpit!$C$5,1)="B",AL1565,MAX(AL1565,H1565))),ROUNDUP(AJ1565,0)))</f>
        <v>2</v>
      </c>
      <c r="AG1565" s="50" t="n">
        <f aca="false">IF(BZ1565=1,0,ROUNDUP(AF1565/BY1565,0))</f>
        <v>1</v>
      </c>
      <c r="AH1565" s="52" t="n">
        <f aca="false">IF(CQ1565&gt;0,CQ1565*MAX(1,AF1565/X1565),IF(BZ1565=1,IF(AF1565&lt;=0,0,CD1565*MAX(1,IF(H1565&gt;0,AF1565/H1565,1))),IF(R1565&gt;0,AG1565/R1565,0))/MAX(0.1,N(Parameter!$M$21)))</f>
        <v>0.0833333333333333</v>
      </c>
      <c r="AI1565" s="50" t="n">
        <f aca="false">AH1565*CB1565</f>
        <v>12.0833333333333</v>
      </c>
      <c r="AJ1565" s="51" t="n">
        <f aca="false">IF(LEFT(Cockpit!$C$5,1)="A",H1565,IF(CH1565=1,(CK1565+CI1565)/2,IF(LEFT(Cockpit!$C$5,1)="B",(CK1565+AL1565)/2,MAX((CK1565+AL1565)/2,H1565))))</f>
        <v>2</v>
      </c>
      <c r="AK1565" s="50" t="n">
        <f aca="false">AJ1565*G1565</f>
        <v>814.3</v>
      </c>
      <c r="AL1565" s="50" t="n">
        <f aca="false">ROUNDUP(CK1565+MAX(CL1565,2*(J1565/IF(CG1565&gt;0,CG1565,MAX(0.1,N(Cockpit!$C$6)))-CK1565)),0)</f>
        <v>1</v>
      </c>
      <c r="AM1565" s="51" t="n">
        <f aca="false">IF(AI1565&gt;0,J1565/AI1565,-1)</f>
        <v>0</v>
      </c>
      <c r="AN1565" s="51" t="str">
        <f aca="false">IF(AND(OR(CF1565="L1",CF1565="L23",CF1565="LIFT"),AI1565&gt;0),SUMIFS($AI$7:$AI$1843,$CF$7:$CF$1843,CF1565,$AM$7:$AM$1843,"&gt;"&amp;AM1565)+SUMIFS($AI$7:$AI$1843,$CF$7:$CF$1843,CF1565,$AM$7:$AM$1843,AM1565,$BW$7:$BW$1843,"&lt;="&amp;BW1565),"")</f>
        <v/>
      </c>
      <c r="AO1565" s="58" t="n">
        <f aca="false">IF(AN1565="",0,MAX(0,MIN(1,(IF(CF1565="L1",Parameter!$H$5,IF(CF1565="L23",Parameter!$H$6+Parameter!$H$7,Parameter!$H$5+Parameter!$H$6+Parameter!$H$7))-(AN1565-AI1565))/AI1565)))</f>
        <v>0</v>
      </c>
      <c r="AP1565" s="50" t="n">
        <f aca="false">IF(LEFT(Cockpit!$I$5,1)="A",H1565,IF(Parameter!$E$30="MAX-Bestand",IF(CH1565=1,CI1565,IF(LEFT(Cockpit!$I$5,1)="B",AV1565,MAX(AV1565,H1565))),ROUNDUP(AT1565,0)))</f>
        <v>2</v>
      </c>
      <c r="AQ1565" s="50" t="n">
        <f aca="false">IF(BZ1565=1,0,ROUNDUP(AP1565/BY1565,0))</f>
        <v>1</v>
      </c>
      <c r="AR1565" s="52" t="n">
        <f aca="false">IF(CQ1565&gt;0,CQ1565*MAX(1,AP1565/X1565),IF(BZ1565=1,IF(AP1565&lt;=0,0,CD1565*MAX(1,IF(H1565&gt;0,AP1565/H1565,1))),IF(R1565&gt;0,AQ1565/R1565,0))/MAX(0.1,N(Parameter!$M$21)))</f>
        <v>0.0833333333333333</v>
      </c>
      <c r="AS1565" s="50" t="n">
        <f aca="false">AR1565*CB1565</f>
        <v>12.0833333333333</v>
      </c>
      <c r="AT1565" s="51" t="n">
        <f aca="false">IF(LEFT(Cockpit!$I$5,1)="A",H1565,IF(CH1565=1,(CK1565+CI1565)/2,IF(LEFT(Cockpit!$I$5,1)="B",(CK1565+AV1565)/2,MAX((CK1565+AV1565)/2,H1565))))</f>
        <v>2</v>
      </c>
      <c r="AU1565" s="50" t="n">
        <f aca="false">AT1565*G1565</f>
        <v>814.3</v>
      </c>
      <c r="AV1565" s="50" t="n">
        <f aca="false">ROUNDUP(CK1565+MAX(CL1565,2*(J1565/IF(CG1565&gt;0,CG1565,MAX(0.1,N(Cockpit!$I$6)))-CK1565)),0)</f>
        <v>1</v>
      </c>
      <c r="AW1565" s="51" t="n">
        <f aca="false">IF(AS1565&gt;0,J1565/AS1565,-1)</f>
        <v>0</v>
      </c>
      <c r="AX1565" s="51" t="str">
        <f aca="false">IF(AND(OR(CF1565="L1",CF1565="L23",CF1565="LIFT"),AS1565&gt;0),SUMIFS($AS$7:$AS$1843,$CF$7:$CF$1843,CF1565,$AW$7:$AW$1843,"&gt;"&amp;AW1565)+SUMIFS($AS$7:$AS$1843,$CF$7:$CF$1843,CF1565,$AW$7:$AW$1843,AW1565,$BW$7:$BW$1843,"&lt;="&amp;BW1565),"")</f>
        <v/>
      </c>
      <c r="AY1565" s="58" t="n">
        <f aca="false">IF(AX1565="",0,MAX(0,MIN(1,(IF(CF1565="L1",Parameter!$H$5,IF(CF1565="L23",Parameter!$H$6+Parameter!$H$7,Parameter!$H$5+Parameter!$H$6+Parameter!$H$7))-(AX1565-AS1565))/AS1565)))</f>
        <v>0</v>
      </c>
      <c r="AZ1565" s="50" t="n">
        <f aca="false">IF(LEFT(Cockpit!$O$5,1)="A",H1565,IF(Parameter!$E$30="MAX-Bestand",IF(CH1565=1,CI1565,IF(LEFT(Cockpit!$O$5,1)="B",BF1565,MAX(BF1565,H1565))),ROUNDUP(BD1565,0)))</f>
        <v>1</v>
      </c>
      <c r="BA1565" s="50" t="n">
        <f aca="false">IF(BZ1565=1,0,ROUNDUP(AZ1565/BY1565,0))</f>
        <v>1</v>
      </c>
      <c r="BB1565" s="52" t="n">
        <f aca="false">IF(CQ1565&gt;0,CQ1565*MAX(1,AZ1565/X1565),IF(BZ1565=1,IF(AZ1565&lt;=0,0,CD1565*MAX(1,IF(H1565&gt;0,AZ1565/H1565,1))),IF(R1565&gt;0,BA1565/R1565,0))/MAX(0.1,N(Parameter!$M$21)))</f>
        <v>0.0833333333333333</v>
      </c>
      <c r="BC1565" s="50" t="n">
        <f aca="false">BB1565*CB1565</f>
        <v>12.0833333333333</v>
      </c>
      <c r="BD1565" s="51" t="n">
        <f aca="false">IF(LEFT(Cockpit!$O$5,1)="A",H1565,IF(CH1565=1,(CK1565+CI1565)/2,IF(LEFT(Cockpit!$O$5,1)="B",(CK1565+BF1565)/2,MAX((CK1565+BF1565)/2,H1565))))</f>
        <v>0.5</v>
      </c>
      <c r="BE1565" s="50" t="n">
        <f aca="false">BD1565*G1565</f>
        <v>203.575</v>
      </c>
      <c r="BF1565" s="50" t="n">
        <f aca="false">ROUNDUP(CK1565+MAX(CL1565,2*(J1565/IF(CG1565&gt;0,CG1565,MAX(0.1,N(Cockpit!$O$6)))-CK1565)),0)</f>
        <v>1</v>
      </c>
      <c r="BG1565" s="51" t="n">
        <f aca="false">IF(BC1565&gt;0,J1565/BC1565,-1)</f>
        <v>0</v>
      </c>
      <c r="BH1565" s="51" t="str">
        <f aca="false">IF(AND(OR(CF1565="L1",CF1565="L23",CF1565="LIFT"),BC1565&gt;0),SUMIFS($BC$7:$BC$1843,$CF$7:$CF$1843,CF1565,$BG$7:$BG$1843,"&gt;"&amp;BG1565)+SUMIFS($BC$7:$BC$1843,$CF$7:$CF$1843,CF1565,$BG$7:$BG$1843,BG1565,$BW$7:$BW$1843,"&lt;="&amp;BW1565),"")</f>
        <v/>
      </c>
      <c r="BI1565" s="58" t="n">
        <f aca="false">IF(BH1565="",0,MAX(0,MIN(1,(IF(CF1565="L1",Parameter!$H$5,IF(CF1565="L23",Parameter!$H$6+Parameter!$H$7,Parameter!$H$5+Parameter!$H$6+Parameter!$H$7))-(BH1565-BC1565))/BC1565)))</f>
        <v>0</v>
      </c>
      <c r="BJ1565" s="48" t="str">
        <f aca="false">IF(AI1565&lt;=0,"",IF(CF1565="Aussen","Aussenlager",IF(CF1565="-","Nicht im Lift",IF(AO1565&gt;=1,"Lift",IF(AO1565&lt;=0,"Aussenlager","teilweise")))))</f>
        <v>Nicht im Lift</v>
      </c>
      <c r="BK1565" s="48" t="str">
        <f aca="false">IF(AS1565&lt;=0,"",IF(CF1565="Aussen","Aussenlager",IF(CF1565="-","Nicht im Lift",IF(AY1565&gt;=1,"Lift",IF(AY1565&lt;=0,"Aussenlager","teilweise")))))</f>
        <v>Nicht im Lift</v>
      </c>
      <c r="BL1565" s="48" t="str">
        <f aca="false">IF(BC1565&lt;=0,"",IF(CF1565="Aussen","Aussenlager",IF(CF1565="-","Nicht im Lift",IF(BI1565&gt;=1,"Lift",IF(BI1565&lt;=0,"Aussenlager","teilweise")))))</f>
        <v>Nicht im Lift</v>
      </c>
      <c r="BM1565" s="48" t="str">
        <f aca="false">IF(A1565="","",IF(BV1565=1,"Neu; ","")&amp;IF(AND(BV1565=0,BQ1565&lt;0),"negativer Bestand (Export "&amp;BQ1565&amp;"); ","")&amp;IF(J1565&lt;=0,"Kein Verbrauch; ","")&amp;IF(CQ1565&gt;0,"Lift "&amp;W1565&amp;" lt. Liftbericht (Fach "&amp;X1565&amp;" Stk); ",IF(CA1565=1,"Gebinde geschätzt ("&amp;T1565&amp;"); ",IF(BZ1565=1,"Lose – Tablare geschätzt; ","")))&amp;IF(H1565&gt;AV1565,"Überbestand "&amp;ROUND(H1565-AV1565,0)&amp;" Stk / CHF "&amp;ROUND((H1565-AV1565)*G1565,0)&amp;"; ","")&amp;IF(AND(CH1565=1,CI1565&lt;CJ1565),"MAX &lt; MB+LG; ","")&amp;IF(AND(CP1565&gt;0,CO1565*10&gt;CP1565),"zu hoch für Tablar; ","")&amp;IF(AND(BV1565=0,OR(CH1565=1,AA1565&lt;&gt;"",U1565&lt;&gt;"",V1565&lt;&gt;"",AB1565&lt;&gt;"")),"manuell übersteuert; ","")&amp;IF(AND(BZ1565=0,R1565=0),"Gebinde unbekannt / Stellmass fehlt; ","")&amp;IF(AND(BZ1565=0,N(V1565)&lt;=0,N(Q1565)&lt;=0),"Menge pro Gebinde fehlt (Ist = 1 Gebinde); ","")&amp;BU1565)</f>
        <v>Kein Verbrauch; Gebinde geschätzt (Mittel); Überbestand 1 Stk / CHF 407; Menge pro Gebinde fehlt (Ist = 1 Gebinde); nur im Artikelstamm (Bestand 23.06.2026)</v>
      </c>
      <c r="BN1565" s="48"/>
      <c r="BO1565" s="48"/>
      <c r="BP1565" s="55"/>
      <c r="BQ1565" s="50" t="n">
        <v>2</v>
      </c>
      <c r="BR1565" s="50" t="n">
        <v>0</v>
      </c>
      <c r="BS1565" s="49" t="n">
        <v>0</v>
      </c>
      <c r="BT1565" s="50" t="n">
        <v>0</v>
      </c>
      <c r="BU1565" s="48" t="s">
        <v>2584</v>
      </c>
      <c r="BV1565" s="53" t="n">
        <v>0</v>
      </c>
      <c r="BW1565" s="53" t="n">
        <v>1565</v>
      </c>
      <c r="BX1565" s="48" t="str">
        <f aca="false">IF(U1565&lt;&gt;"",UPPER(TRIM(U1565)),IF(CA1565=1,UPPER(VLOOKUP(T1565,Parameter!$I$27:$K$29,2,0)),IF(P1565="","LOSE",P1565)))</f>
        <v>S61</v>
      </c>
      <c r="BY1565" s="50" t="n">
        <f aca="false">IF(BX1565="LOSE",1,IF(N(V1565)&gt;0,V1565,IF(CA1565=1,MAX(1,N(VLOOKUP(T1565,Parameter!$I$27:$K$29,3,0)),H1565,N(N1565)),IF(N(Q1565)&gt;0,Q1565,MAX(1,H1565)))))</f>
        <v>4</v>
      </c>
      <c r="BZ1565" s="53" t="n">
        <f aca="false">IF(BX1565="LOSE",1,0)</f>
        <v>0</v>
      </c>
      <c r="CA1565" s="53" t="n">
        <f aca="false">IF(AND(U1565="",OR(P1565="",P1565="LOSE"),T1565&lt;&gt;"",N(S1565)&lt;=0,ISNUMBER(MATCH(T1565,Parameter!$I$27:$I$29,0))),1,0)</f>
        <v>1</v>
      </c>
      <c r="CB1565" s="53" t="n">
        <f aca="false">IF(CQ1565&gt;0,INDEX(Parameter!$H$5:$H$7,W1565)/INDEX(Parameter!$E$5:$E$7,W1565),IF(AND(BZ1565=0,N(IFERROR(VLOOKUP(BX1565,'Gebinde-Kategorie'!$A$5:$N$45,14,0),0))&gt;0),VLOOKUP(BX1565,'Gebinde-Kategorie'!$A$5:$N$45,14,0)*10+Parameter!$M$23,Parameter!$M$24))</f>
        <v>145</v>
      </c>
      <c r="CC1565" s="48" t="str">
        <f aca="false">IF(AND(Parameter!$B$19="Ja",E1565&lt;&gt;"",ISNUMBER(MATCH(E1565,Parameter!$I$35:$I$52,0))),VLOOKUP(E1565,Parameter!$I$35:$J$52,2,0),IFERROR(VLOOKUP(D1565,Parameter!$A$35:$C$64,2,0),"Nein"))</f>
        <v>Nein</v>
      </c>
      <c r="CD1565" s="52" t="n">
        <f aca="false">IF(BZ1565=0,0,IF(N(S1565)&gt;0,S1565,IFERROR(VLOOKUP(D1565,Parameter!$A$35:$C$64,3,0)+0,0)))</f>
        <v>0</v>
      </c>
      <c r="CE1565" s="48" t="str">
        <f aca="false">IF(AA1565&lt;&gt;"",AA1565,Z1565)</f>
        <v>-</v>
      </c>
      <c r="CF1565" s="48" t="str">
        <f aca="false">IF(OR(CE1565=1,CE1565=2,CE1565=3),IF(Parameter!$E$27="Ja","LIFT",IF(CE1565=1,"L1","L23")),IF(CE1565="Aussen","Aussen","-"))</f>
        <v>-</v>
      </c>
      <c r="CG1565" s="59" t="n">
        <f aca="false">IF(N(AB1565)&gt;0,AB1565,0)</f>
        <v>0</v>
      </c>
      <c r="CH1565" s="53" t="n">
        <f aca="false">IF(ISNUMBER(AE1565),1,0)</f>
        <v>0</v>
      </c>
      <c r="CI1565" s="50" t="n">
        <f aca="false">N(AE1565)</f>
        <v>0</v>
      </c>
      <c r="CJ1565" s="50" t="n">
        <f aca="false">N(M1565)+N(N1565)</f>
        <v>1</v>
      </c>
      <c r="CK1565" s="50" t="n">
        <f aca="false">N(M1565)</f>
        <v>0</v>
      </c>
      <c r="CL1565" s="50" t="n">
        <f aca="false">N(N1565)</f>
        <v>1</v>
      </c>
      <c r="CM1565" s="50" t="n">
        <f aca="false">ROUNDUP(H1565/BY1565,0)</f>
        <v>1</v>
      </c>
      <c r="CN1565" s="50" t="n">
        <f aca="false">ROUNDUP(CI1565/BY1565,0)</f>
        <v>0</v>
      </c>
      <c r="CO1565" s="53" t="n">
        <f aca="false">IF(BZ1565=1,0,IFERROR(VLOOKUP(BX1565,'Gebinde-Kategorie'!$A$5:$N$45,5,0)+0,0))</f>
        <v>11</v>
      </c>
      <c r="CP1565" s="53" t="n">
        <f aca="false">IFERROR(IF(OR(CE1565=1,CE1565=2,CE1565=3),N(INDEX(Parameter!$I$5:$I$7,CE1565)),0),0)</f>
        <v>0</v>
      </c>
      <c r="CQ1565" s="52" t="n">
        <f aca="false">IF(AND(Parameter!$B$21="Ja",ISNUMBER(W1565),N(X1565)&gt;0),IFERROR(N(INDEX(Parameter!$L$5:$L$7,W1565))*INDEX(Parameter!$E$5:$E$7,W1565)*X1565/SUMIFS($X$7:$X$1843,$W$7:$W$1843,W1565),0),0)</f>
        <v>0</v>
      </c>
    </row>
    <row r="1566" customFormat="false" ht="15" hidden="false" customHeight="false" outlineLevel="0" collapsed="false">
      <c r="A1566" s="48" t="s">
        <v>2744</v>
      </c>
      <c r="B1566" s="48" t="s">
        <v>2745</v>
      </c>
      <c r="C1566" s="48" t="s">
        <v>173</v>
      </c>
      <c r="D1566" s="48" t="s">
        <v>193</v>
      </c>
      <c r="E1566" s="48"/>
      <c r="F1566" s="48"/>
      <c r="G1566" s="49" t="n">
        <v>28</v>
      </c>
      <c r="H1566" s="50" t="n">
        <f aca="false">MAX(0,IF(AND(Parameter!$B$21="Ja",ISNUMBER(Y1566)),Y1566,IF(Parameter!$B$20="Jahresanfang 2025 + Export",BR1566+BQ1566,BQ1566)))</f>
        <v>17</v>
      </c>
      <c r="I1566" s="50" t="n">
        <f aca="false">H1566*G1566</f>
        <v>476</v>
      </c>
      <c r="J1566" s="50" t="n">
        <f aca="false">BT1566*Parameter!$B$18</f>
        <v>0</v>
      </c>
      <c r="K1566" s="51"/>
      <c r="L1566" s="52"/>
      <c r="M1566" s="50" t="n">
        <v>0</v>
      </c>
      <c r="N1566" s="50" t="n">
        <v>10</v>
      </c>
      <c r="O1566" s="53" t="n">
        <v>21</v>
      </c>
      <c r="P1566" s="48" t="s">
        <v>177</v>
      </c>
      <c r="Q1566" s="50"/>
      <c r="R1566" s="53" t="n">
        <f aca="false">IF(BZ1566=1,0,IFERROR(VLOOKUP(BX1566,'Gebinde-Kategorie'!$A$5:$N$45,13,0)+0,0))</f>
        <v>12</v>
      </c>
      <c r="S1566" s="54"/>
      <c r="T1566" s="55" t="s">
        <v>188</v>
      </c>
      <c r="U1566" s="55"/>
      <c r="V1566" s="55"/>
      <c r="W1566" s="48"/>
      <c r="X1566" s="50"/>
      <c r="Y1566" s="50"/>
      <c r="Z1566" s="48" t="n">
        <f aca="false">IF(A1566="","",IF(AND(Parameter!$B$21="Ja",ISNUMBER(W1566)),W1566,IF(CC1566="2+3",IF(ISNUMBER(SEARCH("grosser Artikel",BU1566)),2,IFERROR(VLOOKUP(BX1566,Parameter!$F$35:$G$64,2,0),2)),IF(OR(CC1566="Nein",CC1566=""),"-",CC1566))))</f>
        <v>2</v>
      </c>
      <c r="AA1566" s="55"/>
      <c r="AB1566" s="56"/>
      <c r="AC1566" s="50" t="n">
        <f aca="false">AV1566</f>
        <v>10</v>
      </c>
      <c r="AD1566" s="50" t="n">
        <f aca="false">MAX(AV1566,H1566)</f>
        <v>17</v>
      </c>
      <c r="AE1566" s="57"/>
      <c r="AF1566" s="50" t="n">
        <f aca="false">IF(LEFT(Cockpit!$C$5,1)="A",H1566,IF(Parameter!$E$30="MAX-Bestand",IF(CH1566=1,CI1566,IF(LEFT(Cockpit!$C$5,1)="B",AL1566,MAX(AL1566,H1566))),ROUNDUP(AJ1566,0)))</f>
        <v>17</v>
      </c>
      <c r="AG1566" s="50" t="n">
        <f aca="false">IF(BZ1566=1,0,ROUNDUP(AF1566/BY1566,0))</f>
        <v>1</v>
      </c>
      <c r="AH1566" s="52" t="n">
        <f aca="false">IF(CQ1566&gt;0,CQ1566*MAX(1,AF1566/X1566),IF(BZ1566=1,IF(AF1566&lt;=0,0,CD1566*MAX(1,IF(H1566&gt;0,AF1566/H1566,1))),IF(R1566&gt;0,AG1566/R1566,0))/MAX(0.1,N(Parameter!$M$21)))</f>
        <v>0.0833333333333333</v>
      </c>
      <c r="AI1566" s="50" t="n">
        <f aca="false">AH1566*CB1566</f>
        <v>12.0833333333333</v>
      </c>
      <c r="AJ1566" s="51" t="n">
        <f aca="false">IF(LEFT(Cockpit!$C$5,1)="A",H1566,IF(CH1566=1,(CK1566+CI1566)/2,IF(LEFT(Cockpit!$C$5,1)="B",(CK1566+AL1566)/2,MAX((CK1566+AL1566)/2,H1566))))</f>
        <v>17</v>
      </c>
      <c r="AK1566" s="50" t="n">
        <f aca="false">AJ1566*G1566</f>
        <v>476</v>
      </c>
      <c r="AL1566" s="50" t="n">
        <f aca="false">ROUNDUP(CK1566+MAX(CL1566,2*(J1566/IF(CG1566&gt;0,CG1566,MAX(0.1,N(Cockpit!$C$6)))-CK1566)),0)</f>
        <v>10</v>
      </c>
      <c r="AM1566" s="51" t="n">
        <f aca="false">IF(AI1566&gt;0,J1566/AI1566,-1)</f>
        <v>0</v>
      </c>
      <c r="AN1566" s="51" t="n">
        <f aca="false">IF(AND(OR(CF1566="L1",CF1566="L23",CF1566="LIFT"),AI1566&gt;0),SUMIFS($AI$7:$AI$1843,$CF$7:$CF$1843,CF1566,$AM$7:$AM$1843,"&gt;"&amp;AM1566)+SUMIFS($AI$7:$AI$1843,$CF$7:$CF$1843,CF1566,$AM$7:$AM$1843,AM1566,$BW$7:$BW$1843,"&lt;="&amp;BW1566),"")</f>
        <v>30312.7439027545</v>
      </c>
      <c r="AO1566" s="58" t="n">
        <f aca="false">IF(AN1566="",0,MAX(0,MIN(1,(IF(CF1566="L1",Parameter!$H$5,IF(CF1566="L23",Parameter!$H$6+Parameter!$H$7,Parameter!$H$5+Parameter!$H$6+Parameter!$H$7))-(AN1566-AI1566))/AI1566)))</f>
        <v>1</v>
      </c>
      <c r="AP1566" s="50" t="n">
        <f aca="false">IF(LEFT(Cockpit!$I$5,1)="A",H1566,IF(Parameter!$E$30="MAX-Bestand",IF(CH1566=1,CI1566,IF(LEFT(Cockpit!$I$5,1)="B",AV1566,MAX(AV1566,H1566))),ROUNDUP(AT1566,0)))</f>
        <v>17</v>
      </c>
      <c r="AQ1566" s="50" t="n">
        <f aca="false">IF(BZ1566=1,0,ROUNDUP(AP1566/BY1566,0))</f>
        <v>1</v>
      </c>
      <c r="AR1566" s="52" t="n">
        <f aca="false">IF(CQ1566&gt;0,CQ1566*MAX(1,AP1566/X1566),IF(BZ1566=1,IF(AP1566&lt;=0,0,CD1566*MAX(1,IF(H1566&gt;0,AP1566/H1566,1))),IF(R1566&gt;0,AQ1566/R1566,0))/MAX(0.1,N(Parameter!$M$21)))</f>
        <v>0.0833333333333333</v>
      </c>
      <c r="AS1566" s="50" t="n">
        <f aca="false">AR1566*CB1566</f>
        <v>12.0833333333333</v>
      </c>
      <c r="AT1566" s="51" t="n">
        <f aca="false">IF(LEFT(Cockpit!$I$5,1)="A",H1566,IF(CH1566=1,(CK1566+CI1566)/2,IF(LEFT(Cockpit!$I$5,1)="B",(CK1566+AV1566)/2,MAX((CK1566+AV1566)/2,H1566))))</f>
        <v>17</v>
      </c>
      <c r="AU1566" s="50" t="n">
        <f aca="false">AT1566*G1566</f>
        <v>476</v>
      </c>
      <c r="AV1566" s="50" t="n">
        <f aca="false">ROUNDUP(CK1566+MAX(CL1566,2*(J1566/IF(CG1566&gt;0,CG1566,MAX(0.1,N(Cockpit!$I$6)))-CK1566)),0)</f>
        <v>10</v>
      </c>
      <c r="AW1566" s="51" t="n">
        <f aca="false">IF(AS1566&gt;0,J1566/AS1566,-1)</f>
        <v>0</v>
      </c>
      <c r="AX1566" s="51" t="n">
        <f aca="false">IF(AND(OR(CF1566="L1",CF1566="L23",CF1566="LIFT"),AS1566&gt;0),SUMIFS($AS$7:$AS$1843,$CF$7:$CF$1843,CF1566,$AW$7:$AW$1843,"&gt;"&amp;AW1566)+SUMIFS($AS$7:$AS$1843,$CF$7:$CF$1843,CF1566,$AW$7:$AW$1843,AW1566,$BW$7:$BW$1843,"&lt;="&amp;BW1566),"")</f>
        <v>36632.6004195898</v>
      </c>
      <c r="AY1566" s="58" t="n">
        <f aca="false">IF(AX1566="",0,MAX(0,MIN(1,(IF(CF1566="L1",Parameter!$H$5,IF(CF1566="L23",Parameter!$H$6+Parameter!$H$7,Parameter!$H$5+Parameter!$H$6+Parameter!$H$7))-(AX1566-AS1566))/AS1566)))</f>
        <v>0</v>
      </c>
      <c r="AZ1566" s="50" t="n">
        <f aca="false">IF(LEFT(Cockpit!$O$5,1)="A",H1566,IF(Parameter!$E$30="MAX-Bestand",IF(CH1566=1,CI1566,IF(LEFT(Cockpit!$O$5,1)="B",BF1566,MAX(BF1566,H1566))),ROUNDUP(BD1566,0)))</f>
        <v>5</v>
      </c>
      <c r="BA1566" s="50" t="n">
        <f aca="false">IF(BZ1566=1,0,ROUNDUP(AZ1566/BY1566,0))</f>
        <v>1</v>
      </c>
      <c r="BB1566" s="52" t="n">
        <f aca="false">IF(CQ1566&gt;0,CQ1566*MAX(1,AZ1566/X1566),IF(BZ1566=1,IF(AZ1566&lt;=0,0,CD1566*MAX(1,IF(H1566&gt;0,AZ1566/H1566,1))),IF(R1566&gt;0,BA1566/R1566,0))/MAX(0.1,N(Parameter!$M$21)))</f>
        <v>0.0833333333333333</v>
      </c>
      <c r="BC1566" s="50" t="n">
        <f aca="false">BB1566*CB1566</f>
        <v>12.0833333333333</v>
      </c>
      <c r="BD1566" s="51" t="n">
        <f aca="false">IF(LEFT(Cockpit!$O$5,1)="A",H1566,IF(CH1566=1,(CK1566+CI1566)/2,IF(LEFT(Cockpit!$O$5,1)="B",(CK1566+BF1566)/2,MAX((CK1566+BF1566)/2,H1566))))</f>
        <v>5</v>
      </c>
      <c r="BE1566" s="50" t="n">
        <f aca="false">BD1566*G1566</f>
        <v>140</v>
      </c>
      <c r="BF1566" s="50" t="n">
        <f aca="false">ROUNDUP(CK1566+MAX(CL1566,2*(J1566/IF(CG1566&gt;0,CG1566,MAX(0.1,N(Cockpit!$O$6)))-CK1566)),0)</f>
        <v>10</v>
      </c>
      <c r="BG1566" s="51" t="n">
        <f aca="false">IF(BC1566&gt;0,J1566/BC1566,-1)</f>
        <v>0</v>
      </c>
      <c r="BH1566" s="51" t="n">
        <f aca="false">IF(AND(OR(CF1566="L1",CF1566="L23",CF1566="LIFT"),BC1566&gt;0),SUMIFS($BC$7:$BC$1843,$CF$7:$CF$1843,CF1566,$BG$7:$BG$1843,"&gt;"&amp;BG1566)+SUMIFS($BC$7:$BC$1843,$CF$7:$CF$1843,CF1566,$BG$7:$BG$1843,BG1566,$BW$7:$BW$1843,"&lt;="&amp;BW1566),"")</f>
        <v>30542.0416951222</v>
      </c>
      <c r="BI1566" s="58" t="n">
        <f aca="false">IF(BH1566="",0,MAX(0,MIN(1,(IF(CF1566="L1",Parameter!$H$5,IF(CF1566="L23",Parameter!$H$6+Parameter!$H$7,Parameter!$H$5+Parameter!$H$6+Parameter!$H$7))-(BH1566-BC1566))/BC1566)))</f>
        <v>1</v>
      </c>
      <c r="BJ1566" s="48" t="str">
        <f aca="false">IF(AI1566&lt;=0,"",IF(CF1566="Aussen","Aussenlager",IF(CF1566="-","Nicht im Lift",IF(AO1566&gt;=1,"Lift",IF(AO1566&lt;=0,"Aussenlager","teilweise")))))</f>
        <v>Lift</v>
      </c>
      <c r="BK1566" s="48" t="str">
        <f aca="false">IF(AS1566&lt;=0,"",IF(CF1566="Aussen","Aussenlager",IF(CF1566="-","Nicht im Lift",IF(AY1566&gt;=1,"Lift",IF(AY1566&lt;=0,"Aussenlager","teilweise")))))</f>
        <v>Aussenlager</v>
      </c>
      <c r="BL1566" s="48" t="str">
        <f aca="false">IF(BC1566&lt;=0,"",IF(CF1566="Aussen","Aussenlager",IF(CF1566="-","Nicht im Lift",IF(BI1566&gt;=1,"Lift",IF(BI1566&lt;=0,"Aussenlager","teilweise")))))</f>
        <v>Lift</v>
      </c>
      <c r="BM1566" s="48" t="str">
        <f aca="false">IF(A1566="","",IF(BV1566=1,"Neu; ","")&amp;IF(AND(BV1566=0,BQ1566&lt;0),"negativer Bestand (Export "&amp;BQ1566&amp;"); ","")&amp;IF(J1566&lt;=0,"Kein Verbrauch; ","")&amp;IF(CQ1566&gt;0,"Lift "&amp;W1566&amp;" lt. Liftbericht (Fach "&amp;X1566&amp;" Stk); ",IF(CA1566=1,"Gebinde geschätzt ("&amp;T1566&amp;"); ",IF(BZ1566=1,"Lose – Tablare geschätzt; ","")))&amp;IF(H1566&gt;AV1566,"Überbestand "&amp;ROUND(H1566-AV1566,0)&amp;" Stk / CHF "&amp;ROUND((H1566-AV1566)*G1566,0)&amp;"; ","")&amp;IF(AND(CH1566=1,CI1566&lt;CJ1566),"MAX &lt; MB+LG; ","")&amp;IF(AND(CP1566&gt;0,CO1566*10&gt;CP1566),"zu hoch für Tablar; ","")&amp;IF(AND(BV1566=0,OR(CH1566=1,AA1566&lt;&gt;"",U1566&lt;&gt;"",V1566&lt;&gt;"",AB1566&lt;&gt;"")),"manuell übersteuert; ","")&amp;IF(AND(BZ1566=0,R1566=0),"Gebinde unbekannt / Stellmass fehlt; ","")&amp;IF(AND(BZ1566=0,N(V1566)&lt;=0,N(Q1566)&lt;=0),"Menge pro Gebinde fehlt (Ist = 1 Gebinde); ","")&amp;BU1566)</f>
        <v>Kein Verbrauch; Gebinde geschätzt (Mittel); Überbestand 7 Stk / CHF 196; Menge pro Gebinde fehlt (Ist = 1 Gebinde); nur im Artikelstamm (Bestand 23.06.2026)</v>
      </c>
      <c r="BN1566" s="48"/>
      <c r="BO1566" s="48"/>
      <c r="BP1566" s="55"/>
      <c r="BQ1566" s="50" t="n">
        <v>17</v>
      </c>
      <c r="BR1566" s="50" t="n">
        <v>0</v>
      </c>
      <c r="BS1566" s="49" t="n">
        <v>0</v>
      </c>
      <c r="BT1566" s="50" t="n">
        <v>0</v>
      </c>
      <c r="BU1566" s="48" t="s">
        <v>2584</v>
      </c>
      <c r="BV1566" s="53" t="n">
        <v>0</v>
      </c>
      <c r="BW1566" s="53" t="n">
        <v>1566</v>
      </c>
      <c r="BX1566" s="48" t="str">
        <f aca="false">IF(U1566&lt;&gt;"",UPPER(TRIM(U1566)),IF(CA1566=1,UPPER(VLOOKUP(T1566,Parameter!$I$27:$K$29,2,0)),IF(P1566="","LOSE",P1566)))</f>
        <v>S61</v>
      </c>
      <c r="BY1566" s="50" t="n">
        <f aca="false">IF(BX1566="LOSE",1,IF(N(V1566)&gt;0,V1566,IF(CA1566=1,MAX(1,N(VLOOKUP(T1566,Parameter!$I$27:$K$29,3,0)),H1566,N(N1566)),IF(N(Q1566)&gt;0,Q1566,MAX(1,H1566)))))</f>
        <v>17</v>
      </c>
      <c r="BZ1566" s="53" t="n">
        <f aca="false">IF(BX1566="LOSE",1,0)</f>
        <v>0</v>
      </c>
      <c r="CA1566" s="53" t="n">
        <f aca="false">IF(AND(U1566="",OR(P1566="",P1566="LOSE"),T1566&lt;&gt;"",N(S1566)&lt;=0,ISNUMBER(MATCH(T1566,Parameter!$I$27:$I$29,0))),1,0)</f>
        <v>1</v>
      </c>
      <c r="CB1566" s="53" t="n">
        <f aca="false">IF(CQ1566&gt;0,INDEX(Parameter!$H$5:$H$7,W1566)/INDEX(Parameter!$E$5:$E$7,W1566),IF(AND(BZ1566=0,N(IFERROR(VLOOKUP(BX1566,'Gebinde-Kategorie'!$A$5:$N$45,14,0),0))&gt;0),VLOOKUP(BX1566,'Gebinde-Kategorie'!$A$5:$N$45,14,0)*10+Parameter!$M$23,Parameter!$M$24))</f>
        <v>145</v>
      </c>
      <c r="CC1566" s="48" t="str">
        <f aca="false">IF(AND(Parameter!$B$19="Ja",E1566&lt;&gt;"",ISNUMBER(MATCH(E1566,Parameter!$I$35:$I$52,0))),VLOOKUP(E1566,Parameter!$I$35:$J$52,2,0),IFERROR(VLOOKUP(D1566,Parameter!$A$35:$C$64,2,0),"Nein"))</f>
        <v>2+3</v>
      </c>
      <c r="CD1566" s="52" t="n">
        <f aca="false">IF(BZ1566=0,0,IF(N(S1566)&gt;0,S1566,IFERROR(VLOOKUP(D1566,Parameter!$A$35:$C$64,3,0)+0,0)))</f>
        <v>0</v>
      </c>
      <c r="CE1566" s="48" t="n">
        <f aca="false">IF(AA1566&lt;&gt;"",AA1566,Z1566)</f>
        <v>2</v>
      </c>
      <c r="CF1566" s="48" t="str">
        <f aca="false">IF(OR(CE1566=1,CE1566=2,CE1566=3),IF(Parameter!$E$27="Ja","LIFT",IF(CE1566=1,"L1","L23")),IF(CE1566="Aussen","Aussen","-"))</f>
        <v>LIFT</v>
      </c>
      <c r="CG1566" s="59" t="n">
        <f aca="false">IF(N(AB1566)&gt;0,AB1566,0)</f>
        <v>0</v>
      </c>
      <c r="CH1566" s="53" t="n">
        <f aca="false">IF(ISNUMBER(AE1566),1,0)</f>
        <v>0</v>
      </c>
      <c r="CI1566" s="50" t="n">
        <f aca="false">N(AE1566)</f>
        <v>0</v>
      </c>
      <c r="CJ1566" s="50" t="n">
        <f aca="false">N(M1566)+N(N1566)</f>
        <v>10</v>
      </c>
      <c r="CK1566" s="50" t="n">
        <f aca="false">N(M1566)</f>
        <v>0</v>
      </c>
      <c r="CL1566" s="50" t="n">
        <f aca="false">N(N1566)</f>
        <v>10</v>
      </c>
      <c r="CM1566" s="50" t="n">
        <f aca="false">ROUNDUP(H1566/BY1566,0)</f>
        <v>1</v>
      </c>
      <c r="CN1566" s="50" t="n">
        <f aca="false">ROUNDUP(CI1566/BY1566,0)</f>
        <v>0</v>
      </c>
      <c r="CO1566" s="53" t="n">
        <f aca="false">IF(BZ1566=1,0,IFERROR(VLOOKUP(BX1566,'Gebinde-Kategorie'!$A$5:$N$45,5,0)+0,0))</f>
        <v>11</v>
      </c>
      <c r="CP1566" s="53" t="n">
        <f aca="false">IFERROR(IF(OR(CE1566=1,CE1566=2,CE1566=3),N(INDEX(Parameter!$I$5:$I$7,CE1566)),0),0)</f>
        <v>0</v>
      </c>
      <c r="CQ1566" s="52" t="n">
        <f aca="false">IF(AND(Parameter!$B$21="Ja",ISNUMBER(W1566),N(X1566)&gt;0),IFERROR(N(INDEX(Parameter!$L$5:$L$7,W1566))*INDEX(Parameter!$E$5:$E$7,W1566)*X1566/SUMIFS($X$7:$X$1843,$W$7:$W$1843,W1566),0),0)</f>
        <v>0</v>
      </c>
    </row>
    <row r="1567" customFormat="false" ht="15" hidden="false" customHeight="false" outlineLevel="0" collapsed="false">
      <c r="A1567" s="48" t="s">
        <v>2746</v>
      </c>
      <c r="B1567" s="48" t="s">
        <v>2747</v>
      </c>
      <c r="C1567" s="48" t="s">
        <v>173</v>
      </c>
      <c r="D1567" s="48" t="s">
        <v>193</v>
      </c>
      <c r="E1567" s="48"/>
      <c r="F1567" s="48"/>
      <c r="G1567" s="49" t="n">
        <v>100</v>
      </c>
      <c r="H1567" s="50" t="n">
        <f aca="false">MAX(0,IF(AND(Parameter!$B$21="Ja",ISNUMBER(Y1567)),Y1567,IF(Parameter!$B$20="Jahresanfang 2025 + Export",BR1567+BQ1567,BQ1567)))</f>
        <v>7</v>
      </c>
      <c r="I1567" s="50" t="n">
        <f aca="false">H1567*G1567</f>
        <v>700</v>
      </c>
      <c r="J1567" s="50" t="n">
        <f aca="false">BT1567*Parameter!$B$18</f>
        <v>0</v>
      </c>
      <c r="K1567" s="51"/>
      <c r="L1567" s="52"/>
      <c r="M1567" s="50" t="n">
        <v>0</v>
      </c>
      <c r="N1567" s="50" t="n">
        <v>5</v>
      </c>
      <c r="O1567" s="53" t="n">
        <v>21</v>
      </c>
      <c r="P1567" s="48" t="s">
        <v>177</v>
      </c>
      <c r="Q1567" s="50"/>
      <c r="R1567" s="53" t="n">
        <f aca="false">IF(BZ1567=1,0,IFERROR(VLOOKUP(BX1567,'Gebinde-Kategorie'!$A$5:$N$45,13,0)+0,0))</f>
        <v>12</v>
      </c>
      <c r="S1567" s="54"/>
      <c r="T1567" s="55" t="s">
        <v>188</v>
      </c>
      <c r="U1567" s="55"/>
      <c r="V1567" s="55"/>
      <c r="W1567" s="48"/>
      <c r="X1567" s="50"/>
      <c r="Y1567" s="50"/>
      <c r="Z1567" s="48" t="n">
        <f aca="false">IF(A1567="","",IF(AND(Parameter!$B$21="Ja",ISNUMBER(W1567)),W1567,IF(CC1567="2+3",IF(ISNUMBER(SEARCH("grosser Artikel",BU1567)),2,IFERROR(VLOOKUP(BX1567,Parameter!$F$35:$G$64,2,0),2)),IF(OR(CC1567="Nein",CC1567=""),"-",CC1567))))</f>
        <v>2</v>
      </c>
      <c r="AA1567" s="55"/>
      <c r="AB1567" s="56"/>
      <c r="AC1567" s="50" t="n">
        <f aca="false">AV1567</f>
        <v>5</v>
      </c>
      <c r="AD1567" s="50" t="n">
        <f aca="false">MAX(AV1567,H1567)</f>
        <v>7</v>
      </c>
      <c r="AE1567" s="57"/>
      <c r="AF1567" s="50" t="n">
        <f aca="false">IF(LEFT(Cockpit!$C$5,1)="A",H1567,IF(Parameter!$E$30="MAX-Bestand",IF(CH1567=1,CI1567,IF(LEFT(Cockpit!$C$5,1)="B",AL1567,MAX(AL1567,H1567))),ROUNDUP(AJ1567,0)))</f>
        <v>7</v>
      </c>
      <c r="AG1567" s="50" t="n">
        <f aca="false">IF(BZ1567=1,0,ROUNDUP(AF1567/BY1567,0))</f>
        <v>1</v>
      </c>
      <c r="AH1567" s="52" t="n">
        <f aca="false">IF(CQ1567&gt;0,CQ1567*MAX(1,AF1567/X1567),IF(BZ1567=1,IF(AF1567&lt;=0,0,CD1567*MAX(1,IF(H1567&gt;0,AF1567/H1567,1))),IF(R1567&gt;0,AG1567/R1567,0))/MAX(0.1,N(Parameter!$M$21)))</f>
        <v>0.0833333333333333</v>
      </c>
      <c r="AI1567" s="50" t="n">
        <f aca="false">AH1567*CB1567</f>
        <v>12.0833333333333</v>
      </c>
      <c r="AJ1567" s="51" t="n">
        <f aca="false">IF(LEFT(Cockpit!$C$5,1)="A",H1567,IF(CH1567=1,(CK1567+CI1567)/2,IF(LEFT(Cockpit!$C$5,1)="B",(CK1567+AL1567)/2,MAX((CK1567+AL1567)/2,H1567))))</f>
        <v>7</v>
      </c>
      <c r="AK1567" s="50" t="n">
        <f aca="false">AJ1567*G1567</f>
        <v>700</v>
      </c>
      <c r="AL1567" s="50" t="n">
        <f aca="false">ROUNDUP(CK1567+MAX(CL1567,2*(J1567/IF(CG1567&gt;0,CG1567,MAX(0.1,N(Cockpit!$C$6)))-CK1567)),0)</f>
        <v>5</v>
      </c>
      <c r="AM1567" s="51" t="n">
        <f aca="false">IF(AI1567&gt;0,J1567/AI1567,-1)</f>
        <v>0</v>
      </c>
      <c r="AN1567" s="51" t="n">
        <f aca="false">IF(AND(OR(CF1567="L1",CF1567="L23",CF1567="LIFT"),AI1567&gt;0),SUMIFS($AI$7:$AI$1843,$CF$7:$CF$1843,CF1567,$AM$7:$AM$1843,"&gt;"&amp;AM1567)+SUMIFS($AI$7:$AI$1843,$CF$7:$CF$1843,CF1567,$AM$7:$AM$1843,AM1567,$BW$7:$BW$1843,"&lt;="&amp;BW1567),"")</f>
        <v>30324.8272360878</v>
      </c>
      <c r="AO1567" s="58" t="n">
        <f aca="false">IF(AN1567="",0,MAX(0,MIN(1,(IF(CF1567="L1",Parameter!$H$5,IF(CF1567="L23",Parameter!$H$6+Parameter!$H$7,Parameter!$H$5+Parameter!$H$6+Parameter!$H$7))-(AN1567-AI1567))/AI1567)))</f>
        <v>1</v>
      </c>
      <c r="AP1567" s="50" t="n">
        <f aca="false">IF(LEFT(Cockpit!$I$5,1)="A",H1567,IF(Parameter!$E$30="MAX-Bestand",IF(CH1567=1,CI1567,IF(LEFT(Cockpit!$I$5,1)="B",AV1567,MAX(AV1567,H1567))),ROUNDUP(AT1567,0)))</f>
        <v>7</v>
      </c>
      <c r="AQ1567" s="50" t="n">
        <f aca="false">IF(BZ1567=1,0,ROUNDUP(AP1567/BY1567,0))</f>
        <v>1</v>
      </c>
      <c r="AR1567" s="52" t="n">
        <f aca="false">IF(CQ1567&gt;0,CQ1567*MAX(1,AP1567/X1567),IF(BZ1567=1,IF(AP1567&lt;=0,0,CD1567*MAX(1,IF(H1567&gt;0,AP1567/H1567,1))),IF(R1567&gt;0,AQ1567/R1567,0))/MAX(0.1,N(Parameter!$M$21)))</f>
        <v>0.0833333333333333</v>
      </c>
      <c r="AS1567" s="50" t="n">
        <f aca="false">AR1567*CB1567</f>
        <v>12.0833333333333</v>
      </c>
      <c r="AT1567" s="51" t="n">
        <f aca="false">IF(LEFT(Cockpit!$I$5,1)="A",H1567,IF(CH1567=1,(CK1567+CI1567)/2,IF(LEFT(Cockpit!$I$5,1)="B",(CK1567+AV1567)/2,MAX((CK1567+AV1567)/2,H1567))))</f>
        <v>7</v>
      </c>
      <c r="AU1567" s="50" t="n">
        <f aca="false">AT1567*G1567</f>
        <v>700</v>
      </c>
      <c r="AV1567" s="50" t="n">
        <f aca="false">ROUNDUP(CK1567+MAX(CL1567,2*(J1567/IF(CG1567&gt;0,CG1567,MAX(0.1,N(Cockpit!$I$6)))-CK1567)),0)</f>
        <v>5</v>
      </c>
      <c r="AW1567" s="51" t="n">
        <f aca="false">IF(AS1567&gt;0,J1567/AS1567,-1)</f>
        <v>0</v>
      </c>
      <c r="AX1567" s="51" t="n">
        <f aca="false">IF(AND(OR(CF1567="L1",CF1567="L23",CF1567="LIFT"),AS1567&gt;0),SUMIFS($AS$7:$AS$1843,$CF$7:$CF$1843,CF1567,$AW$7:$AW$1843,"&gt;"&amp;AW1567)+SUMIFS($AS$7:$AS$1843,$CF$7:$CF$1843,CF1567,$AW$7:$AW$1843,AW1567,$BW$7:$BW$1843,"&lt;="&amp;BW1567),"")</f>
        <v>36644.6837529232</v>
      </c>
      <c r="AY1567" s="58" t="n">
        <f aca="false">IF(AX1567="",0,MAX(0,MIN(1,(IF(CF1567="L1",Parameter!$H$5,IF(CF1567="L23",Parameter!$H$6+Parameter!$H$7,Parameter!$H$5+Parameter!$H$6+Parameter!$H$7))-(AX1567-AS1567))/AS1567)))</f>
        <v>0</v>
      </c>
      <c r="AZ1567" s="50" t="n">
        <f aca="false">IF(LEFT(Cockpit!$O$5,1)="A",H1567,IF(Parameter!$E$30="MAX-Bestand",IF(CH1567=1,CI1567,IF(LEFT(Cockpit!$O$5,1)="B",BF1567,MAX(BF1567,H1567))),ROUNDUP(BD1567,0)))</f>
        <v>3</v>
      </c>
      <c r="BA1567" s="50" t="n">
        <f aca="false">IF(BZ1567=1,0,ROUNDUP(AZ1567/BY1567,0))</f>
        <v>1</v>
      </c>
      <c r="BB1567" s="52" t="n">
        <f aca="false">IF(CQ1567&gt;0,CQ1567*MAX(1,AZ1567/X1567),IF(BZ1567=1,IF(AZ1567&lt;=0,0,CD1567*MAX(1,IF(H1567&gt;0,AZ1567/H1567,1))),IF(R1567&gt;0,BA1567/R1567,0))/MAX(0.1,N(Parameter!$M$21)))</f>
        <v>0.0833333333333333</v>
      </c>
      <c r="BC1567" s="50" t="n">
        <f aca="false">BB1567*CB1567</f>
        <v>12.0833333333333</v>
      </c>
      <c r="BD1567" s="51" t="n">
        <f aca="false">IF(LEFT(Cockpit!$O$5,1)="A",H1567,IF(CH1567=1,(CK1567+CI1567)/2,IF(LEFT(Cockpit!$O$5,1)="B",(CK1567+BF1567)/2,MAX((CK1567+BF1567)/2,H1567))))</f>
        <v>2.5</v>
      </c>
      <c r="BE1567" s="50" t="n">
        <f aca="false">BD1567*G1567</f>
        <v>250</v>
      </c>
      <c r="BF1567" s="50" t="n">
        <f aca="false">ROUNDUP(CK1567+MAX(CL1567,2*(J1567/IF(CG1567&gt;0,CG1567,MAX(0.1,N(Cockpit!$O$6)))-CK1567)),0)</f>
        <v>5</v>
      </c>
      <c r="BG1567" s="51" t="n">
        <f aca="false">IF(BC1567&gt;0,J1567/BC1567,-1)</f>
        <v>0</v>
      </c>
      <c r="BH1567" s="51" t="n">
        <f aca="false">IF(AND(OR(CF1567="L1",CF1567="L23",CF1567="LIFT"),BC1567&gt;0),SUMIFS($BC$7:$BC$1843,$CF$7:$CF$1843,CF1567,$BG$7:$BG$1843,"&gt;"&amp;BG1567)+SUMIFS($BC$7:$BC$1843,$CF$7:$CF$1843,CF1567,$BG$7:$BG$1843,BG1567,$BW$7:$BW$1843,"&lt;="&amp;BW1567),"")</f>
        <v>30554.1250284555</v>
      </c>
      <c r="BI1567" s="58" t="n">
        <f aca="false">IF(BH1567="",0,MAX(0,MIN(1,(IF(CF1567="L1",Parameter!$H$5,IF(CF1567="L23",Parameter!$H$6+Parameter!$H$7,Parameter!$H$5+Parameter!$H$6+Parameter!$H$7))-(BH1567-BC1567))/BC1567)))</f>
        <v>1</v>
      </c>
      <c r="BJ1567" s="48" t="str">
        <f aca="false">IF(AI1567&lt;=0,"",IF(CF1567="Aussen","Aussenlager",IF(CF1567="-","Nicht im Lift",IF(AO1567&gt;=1,"Lift",IF(AO1567&lt;=0,"Aussenlager","teilweise")))))</f>
        <v>Lift</v>
      </c>
      <c r="BK1567" s="48" t="str">
        <f aca="false">IF(AS1567&lt;=0,"",IF(CF1567="Aussen","Aussenlager",IF(CF1567="-","Nicht im Lift",IF(AY1567&gt;=1,"Lift",IF(AY1567&lt;=0,"Aussenlager","teilweise")))))</f>
        <v>Aussenlager</v>
      </c>
      <c r="BL1567" s="48" t="str">
        <f aca="false">IF(BC1567&lt;=0,"",IF(CF1567="Aussen","Aussenlager",IF(CF1567="-","Nicht im Lift",IF(BI1567&gt;=1,"Lift",IF(BI1567&lt;=0,"Aussenlager","teilweise")))))</f>
        <v>Lift</v>
      </c>
      <c r="BM1567" s="48" t="str">
        <f aca="false">IF(A1567="","",IF(BV1567=1,"Neu; ","")&amp;IF(AND(BV1567=0,BQ1567&lt;0),"negativer Bestand (Export "&amp;BQ1567&amp;"); ","")&amp;IF(J1567&lt;=0,"Kein Verbrauch; ","")&amp;IF(CQ1567&gt;0,"Lift "&amp;W1567&amp;" lt. Liftbericht (Fach "&amp;X1567&amp;" Stk); ",IF(CA1567=1,"Gebinde geschätzt ("&amp;T1567&amp;"); ",IF(BZ1567=1,"Lose – Tablare geschätzt; ","")))&amp;IF(H1567&gt;AV1567,"Überbestand "&amp;ROUND(H1567-AV1567,0)&amp;" Stk / CHF "&amp;ROUND((H1567-AV1567)*G1567,0)&amp;"; ","")&amp;IF(AND(CH1567=1,CI1567&lt;CJ1567),"MAX &lt; MB+LG; ","")&amp;IF(AND(CP1567&gt;0,CO1567*10&gt;CP1567),"zu hoch für Tablar; ","")&amp;IF(AND(BV1567=0,OR(CH1567=1,AA1567&lt;&gt;"",U1567&lt;&gt;"",V1567&lt;&gt;"",AB1567&lt;&gt;"")),"manuell übersteuert; ","")&amp;IF(AND(BZ1567=0,R1567=0),"Gebinde unbekannt / Stellmass fehlt; ","")&amp;IF(AND(BZ1567=0,N(V1567)&lt;=0,N(Q1567)&lt;=0),"Menge pro Gebinde fehlt (Ist = 1 Gebinde); ","")&amp;BU1567)</f>
        <v>Kein Verbrauch; Gebinde geschätzt (Mittel); Überbestand 2 Stk / CHF 200; Menge pro Gebinde fehlt (Ist = 1 Gebinde); nur im Artikelstamm (Bestand 23.06.2026)</v>
      </c>
      <c r="BN1567" s="48"/>
      <c r="BO1567" s="48"/>
      <c r="BP1567" s="55"/>
      <c r="BQ1567" s="50" t="n">
        <v>7</v>
      </c>
      <c r="BR1567" s="50" t="n">
        <v>0</v>
      </c>
      <c r="BS1567" s="49" t="n">
        <v>0</v>
      </c>
      <c r="BT1567" s="50" t="n">
        <v>0</v>
      </c>
      <c r="BU1567" s="48" t="s">
        <v>2584</v>
      </c>
      <c r="BV1567" s="53" t="n">
        <v>0</v>
      </c>
      <c r="BW1567" s="53" t="n">
        <v>1567</v>
      </c>
      <c r="BX1567" s="48" t="str">
        <f aca="false">IF(U1567&lt;&gt;"",UPPER(TRIM(U1567)),IF(CA1567=1,UPPER(VLOOKUP(T1567,Parameter!$I$27:$K$29,2,0)),IF(P1567="","LOSE",P1567)))</f>
        <v>S61</v>
      </c>
      <c r="BY1567" s="50" t="n">
        <f aca="false">IF(BX1567="LOSE",1,IF(N(V1567)&gt;0,V1567,IF(CA1567=1,MAX(1,N(VLOOKUP(T1567,Parameter!$I$27:$K$29,3,0)),H1567,N(N1567)),IF(N(Q1567)&gt;0,Q1567,MAX(1,H1567)))))</f>
        <v>7</v>
      </c>
      <c r="BZ1567" s="53" t="n">
        <f aca="false">IF(BX1567="LOSE",1,0)</f>
        <v>0</v>
      </c>
      <c r="CA1567" s="53" t="n">
        <f aca="false">IF(AND(U1567="",OR(P1567="",P1567="LOSE"),T1567&lt;&gt;"",N(S1567)&lt;=0,ISNUMBER(MATCH(T1567,Parameter!$I$27:$I$29,0))),1,0)</f>
        <v>1</v>
      </c>
      <c r="CB1567" s="53" t="n">
        <f aca="false">IF(CQ1567&gt;0,INDEX(Parameter!$H$5:$H$7,W1567)/INDEX(Parameter!$E$5:$E$7,W1567),IF(AND(BZ1567=0,N(IFERROR(VLOOKUP(BX1567,'Gebinde-Kategorie'!$A$5:$N$45,14,0),0))&gt;0),VLOOKUP(BX1567,'Gebinde-Kategorie'!$A$5:$N$45,14,0)*10+Parameter!$M$23,Parameter!$M$24))</f>
        <v>145</v>
      </c>
      <c r="CC1567" s="48" t="str">
        <f aca="false">IF(AND(Parameter!$B$19="Ja",E1567&lt;&gt;"",ISNUMBER(MATCH(E1567,Parameter!$I$35:$I$52,0))),VLOOKUP(E1567,Parameter!$I$35:$J$52,2,0),IFERROR(VLOOKUP(D1567,Parameter!$A$35:$C$64,2,0),"Nein"))</f>
        <v>2+3</v>
      </c>
      <c r="CD1567" s="52" t="n">
        <f aca="false">IF(BZ1567=0,0,IF(N(S1567)&gt;0,S1567,IFERROR(VLOOKUP(D1567,Parameter!$A$35:$C$64,3,0)+0,0)))</f>
        <v>0</v>
      </c>
      <c r="CE1567" s="48" t="n">
        <f aca="false">IF(AA1567&lt;&gt;"",AA1567,Z1567)</f>
        <v>2</v>
      </c>
      <c r="CF1567" s="48" t="str">
        <f aca="false">IF(OR(CE1567=1,CE1567=2,CE1567=3),IF(Parameter!$E$27="Ja","LIFT",IF(CE1567=1,"L1","L23")),IF(CE1567="Aussen","Aussen","-"))</f>
        <v>LIFT</v>
      </c>
      <c r="CG1567" s="59" t="n">
        <f aca="false">IF(N(AB1567)&gt;0,AB1567,0)</f>
        <v>0</v>
      </c>
      <c r="CH1567" s="53" t="n">
        <f aca="false">IF(ISNUMBER(AE1567),1,0)</f>
        <v>0</v>
      </c>
      <c r="CI1567" s="50" t="n">
        <f aca="false">N(AE1567)</f>
        <v>0</v>
      </c>
      <c r="CJ1567" s="50" t="n">
        <f aca="false">N(M1567)+N(N1567)</f>
        <v>5</v>
      </c>
      <c r="CK1567" s="50" t="n">
        <f aca="false">N(M1567)</f>
        <v>0</v>
      </c>
      <c r="CL1567" s="50" t="n">
        <f aca="false">N(N1567)</f>
        <v>5</v>
      </c>
      <c r="CM1567" s="50" t="n">
        <f aca="false">ROUNDUP(H1567/BY1567,0)</f>
        <v>1</v>
      </c>
      <c r="CN1567" s="50" t="n">
        <f aca="false">ROUNDUP(CI1567/BY1567,0)</f>
        <v>0</v>
      </c>
      <c r="CO1567" s="53" t="n">
        <f aca="false">IF(BZ1567=1,0,IFERROR(VLOOKUP(BX1567,'Gebinde-Kategorie'!$A$5:$N$45,5,0)+0,0))</f>
        <v>11</v>
      </c>
      <c r="CP1567" s="53" t="n">
        <f aca="false">IFERROR(IF(OR(CE1567=1,CE1567=2,CE1567=3),N(INDEX(Parameter!$I$5:$I$7,CE1567)),0),0)</f>
        <v>0</v>
      </c>
      <c r="CQ1567" s="52" t="n">
        <f aca="false">IF(AND(Parameter!$B$21="Ja",ISNUMBER(W1567),N(X1567)&gt;0),IFERROR(N(INDEX(Parameter!$L$5:$L$7,W1567))*INDEX(Parameter!$E$5:$E$7,W1567)*X1567/SUMIFS($X$7:$X$1843,$W$7:$W$1843,W1567),0),0)</f>
        <v>0</v>
      </c>
    </row>
    <row r="1568" customFormat="false" ht="15" hidden="false" customHeight="false" outlineLevel="0" collapsed="false">
      <c r="A1568" s="48" t="s">
        <v>2748</v>
      </c>
      <c r="B1568" s="48" t="s">
        <v>2749</v>
      </c>
      <c r="C1568" s="48" t="s">
        <v>173</v>
      </c>
      <c r="D1568" s="48" t="s">
        <v>193</v>
      </c>
      <c r="E1568" s="48"/>
      <c r="F1568" s="48"/>
      <c r="G1568" s="49" t="n">
        <v>143</v>
      </c>
      <c r="H1568" s="50" t="n">
        <f aca="false">MAX(0,IF(AND(Parameter!$B$21="Ja",ISNUMBER(Y1568)),Y1568,IF(Parameter!$B$20="Jahresanfang 2025 + Export",BR1568+BQ1568,BQ1568)))</f>
        <v>2</v>
      </c>
      <c r="I1568" s="50" t="n">
        <f aca="false">H1568*G1568</f>
        <v>286</v>
      </c>
      <c r="J1568" s="50" t="n">
        <f aca="false">BT1568*Parameter!$B$18</f>
        <v>0</v>
      </c>
      <c r="K1568" s="51"/>
      <c r="L1568" s="52"/>
      <c r="M1568" s="50" t="n">
        <v>0</v>
      </c>
      <c r="N1568" s="50" t="n">
        <v>10</v>
      </c>
      <c r="O1568" s="53" t="n">
        <v>35</v>
      </c>
      <c r="P1568" s="48" t="s">
        <v>177</v>
      </c>
      <c r="Q1568" s="50"/>
      <c r="R1568" s="53" t="n">
        <f aca="false">IF(BZ1568=1,0,IFERROR(VLOOKUP(BX1568,'Gebinde-Kategorie'!$A$5:$N$45,13,0)+0,0))</f>
        <v>26</v>
      </c>
      <c r="S1568" s="54"/>
      <c r="T1568" s="55" t="s">
        <v>284</v>
      </c>
      <c r="U1568" s="55"/>
      <c r="V1568" s="55"/>
      <c r="W1568" s="48"/>
      <c r="X1568" s="50"/>
      <c r="Y1568" s="50"/>
      <c r="Z1568" s="48" t="n">
        <f aca="false">IF(A1568="","",IF(AND(Parameter!$B$21="Ja",ISNUMBER(W1568)),W1568,IF(CC1568="2+3",IF(ISNUMBER(SEARCH("grosser Artikel",BU1568)),2,IFERROR(VLOOKUP(BX1568,Parameter!$F$35:$G$64,2,0),2)),IF(OR(CC1568="Nein",CC1568=""),"-",CC1568))))</f>
        <v>3</v>
      </c>
      <c r="AA1568" s="55"/>
      <c r="AB1568" s="56"/>
      <c r="AC1568" s="50" t="n">
        <f aca="false">AV1568</f>
        <v>10</v>
      </c>
      <c r="AD1568" s="50" t="n">
        <f aca="false">MAX(AV1568,H1568)</f>
        <v>10</v>
      </c>
      <c r="AE1568" s="57"/>
      <c r="AF1568" s="50" t="n">
        <f aca="false">IF(LEFT(Cockpit!$C$5,1)="A",H1568,IF(Parameter!$E$30="MAX-Bestand",IF(CH1568=1,CI1568,IF(LEFT(Cockpit!$C$5,1)="B",AL1568,MAX(AL1568,H1568))),ROUNDUP(AJ1568,0)))</f>
        <v>2</v>
      </c>
      <c r="AG1568" s="50" t="n">
        <f aca="false">IF(BZ1568=1,0,ROUNDUP(AF1568/BY1568,0))</f>
        <v>1</v>
      </c>
      <c r="AH1568" s="52" t="n">
        <f aca="false">IF(CQ1568&gt;0,CQ1568*MAX(1,AF1568/X1568),IF(BZ1568=1,IF(AF1568&lt;=0,0,CD1568*MAX(1,IF(H1568&gt;0,AF1568/H1568,1))),IF(R1568&gt;0,AG1568/R1568,0))/MAX(0.1,N(Parameter!$M$21)))</f>
        <v>0.0384615384615385</v>
      </c>
      <c r="AI1568" s="50" t="n">
        <f aca="false">AH1568*CB1568</f>
        <v>5.96153846153846</v>
      </c>
      <c r="AJ1568" s="51" t="n">
        <f aca="false">IF(LEFT(Cockpit!$C$5,1)="A",H1568,IF(CH1568=1,(CK1568+CI1568)/2,IF(LEFT(Cockpit!$C$5,1)="B",(CK1568+AL1568)/2,MAX((CK1568+AL1568)/2,H1568))))</f>
        <v>2</v>
      </c>
      <c r="AK1568" s="50" t="n">
        <f aca="false">AJ1568*G1568</f>
        <v>286</v>
      </c>
      <c r="AL1568" s="50" t="n">
        <f aca="false">ROUNDUP(CK1568+MAX(CL1568,2*(J1568/IF(CG1568&gt;0,CG1568,MAX(0.1,N(Cockpit!$C$6)))-CK1568)),0)</f>
        <v>10</v>
      </c>
      <c r="AM1568" s="51" t="n">
        <f aca="false">IF(AI1568&gt;0,J1568/AI1568,-1)</f>
        <v>0</v>
      </c>
      <c r="AN1568" s="51" t="n">
        <f aca="false">IF(AND(OR(CF1568="L1",CF1568="L23",CF1568="LIFT"),AI1568&gt;0),SUMIFS($AI$7:$AI$1843,$CF$7:$CF$1843,CF1568,$AM$7:$AM$1843,"&gt;"&amp;AM1568)+SUMIFS($AI$7:$AI$1843,$CF$7:$CF$1843,CF1568,$AM$7:$AM$1843,AM1568,$BW$7:$BW$1843,"&lt;="&amp;BW1568),"")</f>
        <v>30330.7887745494</v>
      </c>
      <c r="AO1568" s="58" t="n">
        <f aca="false">IF(AN1568="",0,MAX(0,MIN(1,(IF(CF1568="L1",Parameter!$H$5,IF(CF1568="L23",Parameter!$H$6+Parameter!$H$7,Parameter!$H$5+Parameter!$H$6+Parameter!$H$7))-(AN1568-AI1568))/AI1568)))</f>
        <v>1</v>
      </c>
      <c r="AP1568" s="50" t="n">
        <f aca="false">IF(LEFT(Cockpit!$I$5,1)="A",H1568,IF(Parameter!$E$30="MAX-Bestand",IF(CH1568=1,CI1568,IF(LEFT(Cockpit!$I$5,1)="B",AV1568,MAX(AV1568,H1568))),ROUNDUP(AT1568,0)))</f>
        <v>5</v>
      </c>
      <c r="AQ1568" s="50" t="n">
        <f aca="false">IF(BZ1568=1,0,ROUNDUP(AP1568/BY1568,0))</f>
        <v>1</v>
      </c>
      <c r="AR1568" s="52" t="n">
        <f aca="false">IF(CQ1568&gt;0,CQ1568*MAX(1,AP1568/X1568),IF(BZ1568=1,IF(AP1568&lt;=0,0,CD1568*MAX(1,IF(H1568&gt;0,AP1568/H1568,1))),IF(R1568&gt;0,AQ1568/R1568,0))/MAX(0.1,N(Parameter!$M$21)))</f>
        <v>0.0384615384615385</v>
      </c>
      <c r="AS1568" s="50" t="n">
        <f aca="false">AR1568*CB1568</f>
        <v>5.96153846153846</v>
      </c>
      <c r="AT1568" s="51" t="n">
        <f aca="false">IF(LEFT(Cockpit!$I$5,1)="A",H1568,IF(CH1568=1,(CK1568+CI1568)/2,IF(LEFT(Cockpit!$I$5,1)="B",(CK1568+AV1568)/2,MAX((CK1568+AV1568)/2,H1568))))</f>
        <v>5</v>
      </c>
      <c r="AU1568" s="50" t="n">
        <f aca="false">AT1568*G1568</f>
        <v>715</v>
      </c>
      <c r="AV1568" s="50" t="n">
        <f aca="false">ROUNDUP(CK1568+MAX(CL1568,2*(J1568/IF(CG1568&gt;0,CG1568,MAX(0.1,N(Cockpit!$I$6)))-CK1568)),0)</f>
        <v>10</v>
      </c>
      <c r="AW1568" s="51" t="n">
        <f aca="false">IF(AS1568&gt;0,J1568/AS1568,-1)</f>
        <v>0</v>
      </c>
      <c r="AX1568" s="51" t="n">
        <f aca="false">IF(AND(OR(CF1568="L1",CF1568="L23",CF1568="LIFT"),AS1568&gt;0),SUMIFS($AS$7:$AS$1843,$CF$7:$CF$1843,CF1568,$AW$7:$AW$1843,"&gt;"&amp;AW1568)+SUMIFS($AS$7:$AS$1843,$CF$7:$CF$1843,CF1568,$AW$7:$AW$1843,AW1568,$BW$7:$BW$1843,"&lt;="&amp;BW1568),"")</f>
        <v>36650.6452913847</v>
      </c>
      <c r="AY1568" s="58" t="n">
        <f aca="false">IF(AX1568="",0,MAX(0,MIN(1,(IF(CF1568="L1",Parameter!$H$5,IF(CF1568="L23",Parameter!$H$6+Parameter!$H$7,Parameter!$H$5+Parameter!$H$6+Parameter!$H$7))-(AX1568-AS1568))/AS1568)))</f>
        <v>0</v>
      </c>
      <c r="AZ1568" s="50" t="n">
        <f aca="false">IF(LEFT(Cockpit!$O$5,1)="A",H1568,IF(Parameter!$E$30="MAX-Bestand",IF(CH1568=1,CI1568,IF(LEFT(Cockpit!$O$5,1)="B",BF1568,MAX(BF1568,H1568))),ROUNDUP(BD1568,0)))</f>
        <v>5</v>
      </c>
      <c r="BA1568" s="50" t="n">
        <f aca="false">IF(BZ1568=1,0,ROUNDUP(AZ1568/BY1568,0))</f>
        <v>1</v>
      </c>
      <c r="BB1568" s="52" t="n">
        <f aca="false">IF(CQ1568&gt;0,CQ1568*MAX(1,AZ1568/X1568),IF(BZ1568=1,IF(AZ1568&lt;=0,0,CD1568*MAX(1,IF(H1568&gt;0,AZ1568/H1568,1))),IF(R1568&gt;0,BA1568/R1568,0))/MAX(0.1,N(Parameter!$M$21)))</f>
        <v>0.0384615384615385</v>
      </c>
      <c r="BC1568" s="50" t="n">
        <f aca="false">BB1568*CB1568</f>
        <v>5.96153846153846</v>
      </c>
      <c r="BD1568" s="51" t="n">
        <f aca="false">IF(LEFT(Cockpit!$O$5,1)="A",H1568,IF(CH1568=1,(CK1568+CI1568)/2,IF(LEFT(Cockpit!$O$5,1)="B",(CK1568+BF1568)/2,MAX((CK1568+BF1568)/2,H1568))))</f>
        <v>5</v>
      </c>
      <c r="BE1568" s="50" t="n">
        <f aca="false">BD1568*G1568</f>
        <v>715</v>
      </c>
      <c r="BF1568" s="50" t="n">
        <f aca="false">ROUNDUP(CK1568+MAX(CL1568,2*(J1568/IF(CG1568&gt;0,CG1568,MAX(0.1,N(Cockpit!$O$6)))-CK1568)),0)</f>
        <v>10</v>
      </c>
      <c r="BG1568" s="51" t="n">
        <f aca="false">IF(BC1568&gt;0,J1568/BC1568,-1)</f>
        <v>0</v>
      </c>
      <c r="BH1568" s="51" t="n">
        <f aca="false">IF(AND(OR(CF1568="L1",CF1568="L23",CF1568="LIFT"),BC1568&gt;0),SUMIFS($BC$7:$BC$1843,$CF$7:$CF$1843,CF1568,$BG$7:$BG$1843,"&gt;"&amp;BG1568)+SUMIFS($BC$7:$BC$1843,$CF$7:$CF$1843,CF1568,$BG$7:$BG$1843,BG1568,$BW$7:$BW$1843,"&lt;="&amp;BW1568),"")</f>
        <v>30560.0865669171</v>
      </c>
      <c r="BI1568" s="58" t="n">
        <f aca="false">IF(BH1568="",0,MAX(0,MIN(1,(IF(CF1568="L1",Parameter!$H$5,IF(CF1568="L23",Parameter!$H$6+Parameter!$H$7,Parameter!$H$5+Parameter!$H$6+Parameter!$H$7))-(BH1568-BC1568))/BC1568)))</f>
        <v>1</v>
      </c>
      <c r="BJ1568" s="48" t="str">
        <f aca="false">IF(AI1568&lt;=0,"",IF(CF1568="Aussen","Aussenlager",IF(CF1568="-","Nicht im Lift",IF(AO1568&gt;=1,"Lift",IF(AO1568&lt;=0,"Aussenlager","teilweise")))))</f>
        <v>Lift</v>
      </c>
      <c r="BK1568" s="48" t="str">
        <f aca="false">IF(AS1568&lt;=0,"",IF(CF1568="Aussen","Aussenlager",IF(CF1568="-","Nicht im Lift",IF(AY1568&gt;=1,"Lift",IF(AY1568&lt;=0,"Aussenlager","teilweise")))))</f>
        <v>Aussenlager</v>
      </c>
      <c r="BL1568" s="48" t="str">
        <f aca="false">IF(BC1568&lt;=0,"",IF(CF1568="Aussen","Aussenlager",IF(CF1568="-","Nicht im Lift",IF(BI1568&gt;=1,"Lift",IF(BI1568&lt;=0,"Aussenlager","teilweise")))))</f>
        <v>Lift</v>
      </c>
      <c r="BM1568" s="48" t="str">
        <f aca="false">IF(A1568="","",IF(BV1568=1,"Neu; ","")&amp;IF(AND(BV1568=0,BQ1568&lt;0),"negativer Bestand (Export "&amp;BQ1568&amp;"); ","")&amp;IF(J1568&lt;=0,"Kein Verbrauch; ","")&amp;IF(CQ1568&gt;0,"Lift "&amp;W1568&amp;" lt. Liftbericht (Fach "&amp;X1568&amp;" Stk); ",IF(CA1568=1,"Gebinde geschätzt ("&amp;T1568&amp;"); ",IF(BZ1568=1,"Lose – Tablare geschätzt; ","")))&amp;IF(H1568&gt;AV1568,"Überbestand "&amp;ROUND(H1568-AV1568,0)&amp;" Stk / CHF "&amp;ROUND((H1568-AV1568)*G1568,0)&amp;"; ","")&amp;IF(AND(CH1568=1,CI1568&lt;CJ1568),"MAX &lt; MB+LG; ","")&amp;IF(AND(CP1568&gt;0,CO1568*10&gt;CP1568),"zu hoch für Tablar; ","")&amp;IF(AND(BV1568=0,OR(CH1568=1,AA1568&lt;&gt;"",U1568&lt;&gt;"",V1568&lt;&gt;"",AB1568&lt;&gt;"")),"manuell übersteuert; ","")&amp;IF(AND(BZ1568=0,R1568=0),"Gebinde unbekannt / Stellmass fehlt; ","")&amp;IF(AND(BZ1568=0,N(V1568)&lt;=0,N(Q1568)&lt;=0),"Menge pro Gebinde fehlt (Ist = 1 Gebinde); ","")&amp;BU1568)</f>
        <v>Kein Verbrauch; Gebinde geschätzt (Klein); Menge pro Gebinde fehlt (Ist = 1 Gebinde); nur im Artikelstamm (Bestand 23.06.2026)</v>
      </c>
      <c r="BN1568" s="48"/>
      <c r="BO1568" s="48"/>
      <c r="BP1568" s="55"/>
      <c r="BQ1568" s="50" t="n">
        <v>2</v>
      </c>
      <c r="BR1568" s="50" t="n">
        <v>0</v>
      </c>
      <c r="BS1568" s="49" t="n">
        <v>0</v>
      </c>
      <c r="BT1568" s="50" t="n">
        <v>0</v>
      </c>
      <c r="BU1568" s="48" t="s">
        <v>2584</v>
      </c>
      <c r="BV1568" s="53" t="n">
        <v>0</v>
      </c>
      <c r="BW1568" s="53" t="n">
        <v>1568</v>
      </c>
      <c r="BX1568" s="48" t="str">
        <f aca="false">IF(U1568&lt;&gt;"",UPPER(TRIM(U1568)),IF(CA1568=1,UPPER(VLOOKUP(T1568,Parameter!$I$27:$K$29,2,0)),IF(P1568="","LOSE",P1568)))</f>
        <v>S51</v>
      </c>
      <c r="BY1568" s="50" t="n">
        <f aca="false">IF(BX1568="LOSE",1,IF(N(V1568)&gt;0,V1568,IF(CA1568=1,MAX(1,N(VLOOKUP(T1568,Parameter!$I$27:$K$29,3,0)),H1568,N(N1568)),IF(N(Q1568)&gt;0,Q1568,MAX(1,H1568)))))</f>
        <v>20</v>
      </c>
      <c r="BZ1568" s="53" t="n">
        <f aca="false">IF(BX1568="LOSE",1,0)</f>
        <v>0</v>
      </c>
      <c r="CA1568" s="53" t="n">
        <f aca="false">IF(AND(U1568="",OR(P1568="",P1568="LOSE"),T1568&lt;&gt;"",N(S1568)&lt;=0,ISNUMBER(MATCH(T1568,Parameter!$I$27:$I$29,0))),1,0)</f>
        <v>1</v>
      </c>
      <c r="CB1568" s="53" t="n">
        <f aca="false">IF(CQ1568&gt;0,INDEX(Parameter!$H$5:$H$7,W1568)/INDEX(Parameter!$E$5:$E$7,W1568),IF(AND(BZ1568=0,N(IFERROR(VLOOKUP(BX1568,'Gebinde-Kategorie'!$A$5:$N$45,14,0),0))&gt;0),VLOOKUP(BX1568,'Gebinde-Kategorie'!$A$5:$N$45,14,0)*10+Parameter!$M$23,Parameter!$M$24))</f>
        <v>155</v>
      </c>
      <c r="CC1568" s="48" t="str">
        <f aca="false">IF(AND(Parameter!$B$19="Ja",E1568&lt;&gt;"",ISNUMBER(MATCH(E1568,Parameter!$I$35:$I$52,0))),VLOOKUP(E1568,Parameter!$I$35:$J$52,2,0),IFERROR(VLOOKUP(D1568,Parameter!$A$35:$C$64,2,0),"Nein"))</f>
        <v>2+3</v>
      </c>
      <c r="CD1568" s="52" t="n">
        <f aca="false">IF(BZ1568=0,0,IF(N(S1568)&gt;0,S1568,IFERROR(VLOOKUP(D1568,Parameter!$A$35:$C$64,3,0)+0,0)))</f>
        <v>0</v>
      </c>
      <c r="CE1568" s="48" t="n">
        <f aca="false">IF(AA1568&lt;&gt;"",AA1568,Z1568)</f>
        <v>3</v>
      </c>
      <c r="CF1568" s="48" t="str">
        <f aca="false">IF(OR(CE1568=1,CE1568=2,CE1568=3),IF(Parameter!$E$27="Ja","LIFT",IF(CE1568=1,"L1","L23")),IF(CE1568="Aussen","Aussen","-"))</f>
        <v>LIFT</v>
      </c>
      <c r="CG1568" s="59" t="n">
        <f aca="false">IF(N(AB1568)&gt;0,AB1568,0)</f>
        <v>0</v>
      </c>
      <c r="CH1568" s="53" t="n">
        <f aca="false">IF(ISNUMBER(AE1568),1,0)</f>
        <v>0</v>
      </c>
      <c r="CI1568" s="50" t="n">
        <f aca="false">N(AE1568)</f>
        <v>0</v>
      </c>
      <c r="CJ1568" s="50" t="n">
        <f aca="false">N(M1568)+N(N1568)</f>
        <v>10</v>
      </c>
      <c r="CK1568" s="50" t="n">
        <f aca="false">N(M1568)</f>
        <v>0</v>
      </c>
      <c r="CL1568" s="50" t="n">
        <f aca="false">N(N1568)</f>
        <v>10</v>
      </c>
      <c r="CM1568" s="50" t="n">
        <f aca="false">ROUNDUP(H1568/BY1568,0)</f>
        <v>1</v>
      </c>
      <c r="CN1568" s="50" t="n">
        <f aca="false">ROUNDUP(CI1568/BY1568,0)</f>
        <v>0</v>
      </c>
      <c r="CO1568" s="53" t="n">
        <f aca="false">IF(BZ1568=1,0,IFERROR(VLOOKUP(BX1568,'Gebinde-Kategorie'!$A$5:$N$45,5,0)+0,0))</f>
        <v>11</v>
      </c>
      <c r="CP1568" s="53" t="n">
        <f aca="false">IFERROR(IF(OR(CE1568=1,CE1568=2,CE1568=3),N(INDEX(Parameter!$I$5:$I$7,CE1568)),0),0)</f>
        <v>0</v>
      </c>
      <c r="CQ1568" s="52" t="n">
        <f aca="false">IF(AND(Parameter!$B$21="Ja",ISNUMBER(W1568),N(X1568)&gt;0),IFERROR(N(INDEX(Parameter!$L$5:$L$7,W1568))*INDEX(Parameter!$E$5:$E$7,W1568)*X1568/SUMIFS($X$7:$X$1843,$W$7:$W$1843,W1568),0),0)</f>
        <v>0</v>
      </c>
    </row>
    <row r="1569" customFormat="false" ht="15" hidden="false" customHeight="false" outlineLevel="0" collapsed="false">
      <c r="A1569" s="48" t="s">
        <v>2750</v>
      </c>
      <c r="B1569" s="48" t="s">
        <v>2751</v>
      </c>
      <c r="C1569" s="48" t="s">
        <v>173</v>
      </c>
      <c r="D1569" s="48" t="s">
        <v>193</v>
      </c>
      <c r="E1569" s="48"/>
      <c r="F1569" s="48"/>
      <c r="G1569" s="49" t="n">
        <v>37</v>
      </c>
      <c r="H1569" s="50" t="n">
        <f aca="false">MAX(0,IF(AND(Parameter!$B$21="Ja",ISNUMBER(Y1569)),Y1569,IF(Parameter!$B$20="Jahresanfang 2025 + Export",BR1569+BQ1569,BQ1569)))</f>
        <v>5</v>
      </c>
      <c r="I1569" s="50" t="n">
        <f aca="false">H1569*G1569</f>
        <v>185</v>
      </c>
      <c r="J1569" s="50" t="n">
        <f aca="false">BT1569*Parameter!$B$18</f>
        <v>0</v>
      </c>
      <c r="K1569" s="51"/>
      <c r="L1569" s="52"/>
      <c r="M1569" s="50" t="n">
        <v>0</v>
      </c>
      <c r="N1569" s="50" t="n">
        <v>2</v>
      </c>
      <c r="O1569" s="53" t="n">
        <v>21</v>
      </c>
      <c r="P1569" s="48" t="s">
        <v>177</v>
      </c>
      <c r="Q1569" s="50"/>
      <c r="R1569" s="53" t="n">
        <f aca="false">IF(BZ1569=1,0,IFERROR(VLOOKUP(BX1569,'Gebinde-Kategorie'!$A$5:$N$45,13,0)+0,0))</f>
        <v>12</v>
      </c>
      <c r="S1569" s="54"/>
      <c r="T1569" s="55" t="s">
        <v>188</v>
      </c>
      <c r="U1569" s="55"/>
      <c r="V1569" s="55"/>
      <c r="W1569" s="48"/>
      <c r="X1569" s="50"/>
      <c r="Y1569" s="50"/>
      <c r="Z1569" s="48" t="n">
        <f aca="false">IF(A1569="","",IF(AND(Parameter!$B$21="Ja",ISNUMBER(W1569)),W1569,IF(CC1569="2+3",IF(ISNUMBER(SEARCH("grosser Artikel",BU1569)),2,IFERROR(VLOOKUP(BX1569,Parameter!$F$35:$G$64,2,0),2)),IF(OR(CC1569="Nein",CC1569=""),"-",CC1569))))</f>
        <v>2</v>
      </c>
      <c r="AA1569" s="55"/>
      <c r="AB1569" s="56"/>
      <c r="AC1569" s="50" t="n">
        <f aca="false">AV1569</f>
        <v>2</v>
      </c>
      <c r="AD1569" s="50" t="n">
        <f aca="false">MAX(AV1569,H1569)</f>
        <v>5</v>
      </c>
      <c r="AE1569" s="57"/>
      <c r="AF1569" s="50" t="n">
        <f aca="false">IF(LEFT(Cockpit!$C$5,1)="A",H1569,IF(Parameter!$E$30="MAX-Bestand",IF(CH1569=1,CI1569,IF(LEFT(Cockpit!$C$5,1)="B",AL1569,MAX(AL1569,H1569))),ROUNDUP(AJ1569,0)))</f>
        <v>5</v>
      </c>
      <c r="AG1569" s="50" t="n">
        <f aca="false">IF(BZ1569=1,0,ROUNDUP(AF1569/BY1569,0))</f>
        <v>1</v>
      </c>
      <c r="AH1569" s="52" t="n">
        <f aca="false">IF(CQ1569&gt;0,CQ1569*MAX(1,AF1569/X1569),IF(BZ1569=1,IF(AF1569&lt;=0,0,CD1569*MAX(1,IF(H1569&gt;0,AF1569/H1569,1))),IF(R1569&gt;0,AG1569/R1569,0))/MAX(0.1,N(Parameter!$M$21)))</f>
        <v>0.0833333333333333</v>
      </c>
      <c r="AI1569" s="50" t="n">
        <f aca="false">AH1569*CB1569</f>
        <v>12.0833333333333</v>
      </c>
      <c r="AJ1569" s="51" t="n">
        <f aca="false">IF(LEFT(Cockpit!$C$5,1)="A",H1569,IF(CH1569=1,(CK1569+CI1569)/2,IF(LEFT(Cockpit!$C$5,1)="B",(CK1569+AL1569)/2,MAX((CK1569+AL1569)/2,H1569))))</f>
        <v>5</v>
      </c>
      <c r="AK1569" s="50" t="n">
        <f aca="false">AJ1569*G1569</f>
        <v>185</v>
      </c>
      <c r="AL1569" s="50" t="n">
        <f aca="false">ROUNDUP(CK1569+MAX(CL1569,2*(J1569/IF(CG1569&gt;0,CG1569,MAX(0.1,N(Cockpit!$C$6)))-CK1569)),0)</f>
        <v>2</v>
      </c>
      <c r="AM1569" s="51" t="n">
        <f aca="false">IF(AI1569&gt;0,J1569/AI1569,-1)</f>
        <v>0</v>
      </c>
      <c r="AN1569" s="51" t="n">
        <f aca="false">IF(AND(OR(CF1569="L1",CF1569="L23",CF1569="LIFT"),AI1569&gt;0),SUMIFS($AI$7:$AI$1843,$CF$7:$CF$1843,CF1569,$AM$7:$AM$1843,"&gt;"&amp;AM1569)+SUMIFS($AI$7:$AI$1843,$CF$7:$CF$1843,CF1569,$AM$7:$AM$1843,AM1569,$BW$7:$BW$1843,"&lt;="&amp;BW1569),"")</f>
        <v>30342.8721078827</v>
      </c>
      <c r="AO1569" s="58" t="n">
        <f aca="false">IF(AN1569="",0,MAX(0,MIN(1,(IF(CF1569="L1",Parameter!$H$5,IF(CF1569="L23",Parameter!$H$6+Parameter!$H$7,Parameter!$H$5+Parameter!$H$6+Parameter!$H$7))-(AN1569-AI1569))/AI1569)))</f>
        <v>1</v>
      </c>
      <c r="AP1569" s="50" t="n">
        <f aca="false">IF(LEFT(Cockpit!$I$5,1)="A",H1569,IF(Parameter!$E$30="MAX-Bestand",IF(CH1569=1,CI1569,IF(LEFT(Cockpit!$I$5,1)="B",AV1569,MAX(AV1569,H1569))),ROUNDUP(AT1569,0)))</f>
        <v>5</v>
      </c>
      <c r="AQ1569" s="50" t="n">
        <f aca="false">IF(BZ1569=1,0,ROUNDUP(AP1569/BY1569,0))</f>
        <v>1</v>
      </c>
      <c r="AR1569" s="52" t="n">
        <f aca="false">IF(CQ1569&gt;0,CQ1569*MAX(1,AP1569/X1569),IF(BZ1569=1,IF(AP1569&lt;=0,0,CD1569*MAX(1,IF(H1569&gt;0,AP1569/H1569,1))),IF(R1569&gt;0,AQ1569/R1569,0))/MAX(0.1,N(Parameter!$M$21)))</f>
        <v>0.0833333333333333</v>
      </c>
      <c r="AS1569" s="50" t="n">
        <f aca="false">AR1569*CB1569</f>
        <v>12.0833333333333</v>
      </c>
      <c r="AT1569" s="51" t="n">
        <f aca="false">IF(LEFT(Cockpit!$I$5,1)="A",H1569,IF(CH1569=1,(CK1569+CI1569)/2,IF(LEFT(Cockpit!$I$5,1)="B",(CK1569+AV1569)/2,MAX((CK1569+AV1569)/2,H1569))))</f>
        <v>5</v>
      </c>
      <c r="AU1569" s="50" t="n">
        <f aca="false">AT1569*G1569</f>
        <v>185</v>
      </c>
      <c r="AV1569" s="50" t="n">
        <f aca="false">ROUNDUP(CK1569+MAX(CL1569,2*(J1569/IF(CG1569&gt;0,CG1569,MAX(0.1,N(Cockpit!$I$6)))-CK1569)),0)</f>
        <v>2</v>
      </c>
      <c r="AW1569" s="51" t="n">
        <f aca="false">IF(AS1569&gt;0,J1569/AS1569,-1)</f>
        <v>0</v>
      </c>
      <c r="AX1569" s="51" t="n">
        <f aca="false">IF(AND(OR(CF1569="L1",CF1569="L23",CF1569="LIFT"),AS1569&gt;0),SUMIFS($AS$7:$AS$1843,$CF$7:$CF$1843,CF1569,$AW$7:$AW$1843,"&gt;"&amp;AW1569)+SUMIFS($AS$7:$AS$1843,$CF$7:$CF$1843,CF1569,$AW$7:$AW$1843,AW1569,$BW$7:$BW$1843,"&lt;="&amp;BW1569),"")</f>
        <v>36662.728624718</v>
      </c>
      <c r="AY1569" s="58" t="n">
        <f aca="false">IF(AX1569="",0,MAX(0,MIN(1,(IF(CF1569="L1",Parameter!$H$5,IF(CF1569="L23",Parameter!$H$6+Parameter!$H$7,Parameter!$H$5+Parameter!$H$6+Parameter!$H$7))-(AX1569-AS1569))/AS1569)))</f>
        <v>0</v>
      </c>
      <c r="AZ1569" s="50" t="n">
        <f aca="false">IF(LEFT(Cockpit!$O$5,1)="A",H1569,IF(Parameter!$E$30="MAX-Bestand",IF(CH1569=1,CI1569,IF(LEFT(Cockpit!$O$5,1)="B",BF1569,MAX(BF1569,H1569))),ROUNDUP(BD1569,0)))</f>
        <v>1</v>
      </c>
      <c r="BA1569" s="50" t="n">
        <f aca="false">IF(BZ1569=1,0,ROUNDUP(AZ1569/BY1569,0))</f>
        <v>1</v>
      </c>
      <c r="BB1569" s="52" t="n">
        <f aca="false">IF(CQ1569&gt;0,CQ1569*MAX(1,AZ1569/X1569),IF(BZ1569=1,IF(AZ1569&lt;=0,0,CD1569*MAX(1,IF(H1569&gt;0,AZ1569/H1569,1))),IF(R1569&gt;0,BA1569/R1569,0))/MAX(0.1,N(Parameter!$M$21)))</f>
        <v>0.0833333333333333</v>
      </c>
      <c r="BC1569" s="50" t="n">
        <f aca="false">BB1569*CB1569</f>
        <v>12.0833333333333</v>
      </c>
      <c r="BD1569" s="51" t="n">
        <f aca="false">IF(LEFT(Cockpit!$O$5,1)="A",H1569,IF(CH1569=1,(CK1569+CI1569)/2,IF(LEFT(Cockpit!$O$5,1)="B",(CK1569+BF1569)/2,MAX((CK1569+BF1569)/2,H1569))))</f>
        <v>1</v>
      </c>
      <c r="BE1569" s="50" t="n">
        <f aca="false">BD1569*G1569</f>
        <v>37</v>
      </c>
      <c r="BF1569" s="50" t="n">
        <f aca="false">ROUNDUP(CK1569+MAX(CL1569,2*(J1569/IF(CG1569&gt;0,CG1569,MAX(0.1,N(Cockpit!$O$6)))-CK1569)),0)</f>
        <v>2</v>
      </c>
      <c r="BG1569" s="51" t="n">
        <f aca="false">IF(BC1569&gt;0,J1569/BC1569,-1)</f>
        <v>0</v>
      </c>
      <c r="BH1569" s="51" t="n">
        <f aca="false">IF(AND(OR(CF1569="L1",CF1569="L23",CF1569="LIFT"),BC1569&gt;0),SUMIFS($BC$7:$BC$1843,$CF$7:$CF$1843,CF1569,$BG$7:$BG$1843,"&gt;"&amp;BG1569)+SUMIFS($BC$7:$BC$1843,$CF$7:$CF$1843,CF1569,$BG$7:$BG$1843,BG1569,$BW$7:$BW$1843,"&lt;="&amp;BW1569),"")</f>
        <v>30572.1699002504</v>
      </c>
      <c r="BI1569" s="58" t="n">
        <f aca="false">IF(BH1569="",0,MAX(0,MIN(1,(IF(CF1569="L1",Parameter!$H$5,IF(CF1569="L23",Parameter!$H$6+Parameter!$H$7,Parameter!$H$5+Parameter!$H$6+Parameter!$H$7))-(BH1569-BC1569))/BC1569)))</f>
        <v>1</v>
      </c>
      <c r="BJ1569" s="48" t="str">
        <f aca="false">IF(AI1569&lt;=0,"",IF(CF1569="Aussen","Aussenlager",IF(CF1569="-","Nicht im Lift",IF(AO1569&gt;=1,"Lift",IF(AO1569&lt;=0,"Aussenlager","teilweise")))))</f>
        <v>Lift</v>
      </c>
      <c r="BK1569" s="48" t="str">
        <f aca="false">IF(AS1569&lt;=0,"",IF(CF1569="Aussen","Aussenlager",IF(CF1569="-","Nicht im Lift",IF(AY1569&gt;=1,"Lift",IF(AY1569&lt;=0,"Aussenlager","teilweise")))))</f>
        <v>Aussenlager</v>
      </c>
      <c r="BL1569" s="48" t="str">
        <f aca="false">IF(BC1569&lt;=0,"",IF(CF1569="Aussen","Aussenlager",IF(CF1569="-","Nicht im Lift",IF(BI1569&gt;=1,"Lift",IF(BI1569&lt;=0,"Aussenlager","teilweise")))))</f>
        <v>Lift</v>
      </c>
      <c r="BM1569" s="48" t="str">
        <f aca="false">IF(A1569="","",IF(BV1569=1,"Neu; ","")&amp;IF(AND(BV1569=0,BQ1569&lt;0),"negativer Bestand (Export "&amp;BQ1569&amp;"); ","")&amp;IF(J1569&lt;=0,"Kein Verbrauch; ","")&amp;IF(CQ1569&gt;0,"Lift "&amp;W1569&amp;" lt. Liftbericht (Fach "&amp;X1569&amp;" Stk); ",IF(CA1569=1,"Gebinde geschätzt ("&amp;T1569&amp;"); ",IF(BZ1569=1,"Lose – Tablare geschätzt; ","")))&amp;IF(H1569&gt;AV1569,"Überbestand "&amp;ROUND(H1569-AV1569,0)&amp;" Stk / CHF "&amp;ROUND((H1569-AV1569)*G1569,0)&amp;"; ","")&amp;IF(AND(CH1569=1,CI1569&lt;CJ1569),"MAX &lt; MB+LG; ","")&amp;IF(AND(CP1569&gt;0,CO1569*10&gt;CP1569),"zu hoch für Tablar; ","")&amp;IF(AND(BV1569=0,OR(CH1569=1,AA1569&lt;&gt;"",U1569&lt;&gt;"",V1569&lt;&gt;"",AB1569&lt;&gt;"")),"manuell übersteuert; ","")&amp;IF(AND(BZ1569=0,R1569=0),"Gebinde unbekannt / Stellmass fehlt; ","")&amp;IF(AND(BZ1569=0,N(V1569)&lt;=0,N(Q1569)&lt;=0),"Menge pro Gebinde fehlt (Ist = 1 Gebinde); ","")&amp;BU1569)</f>
        <v>Kein Verbrauch; Gebinde geschätzt (Mittel); Überbestand 3 Stk / CHF 111; Menge pro Gebinde fehlt (Ist = 1 Gebinde); nur im Artikelstamm (Bestand 23.06.2026)</v>
      </c>
      <c r="BN1569" s="48"/>
      <c r="BO1569" s="48"/>
      <c r="BP1569" s="55"/>
      <c r="BQ1569" s="50" t="n">
        <v>5</v>
      </c>
      <c r="BR1569" s="50" t="n">
        <v>0</v>
      </c>
      <c r="BS1569" s="49" t="n">
        <v>0</v>
      </c>
      <c r="BT1569" s="50" t="n">
        <v>0</v>
      </c>
      <c r="BU1569" s="48" t="s">
        <v>2584</v>
      </c>
      <c r="BV1569" s="53" t="n">
        <v>0</v>
      </c>
      <c r="BW1569" s="53" t="n">
        <v>1569</v>
      </c>
      <c r="BX1569" s="48" t="str">
        <f aca="false">IF(U1569&lt;&gt;"",UPPER(TRIM(U1569)),IF(CA1569=1,UPPER(VLOOKUP(T1569,Parameter!$I$27:$K$29,2,0)),IF(P1569="","LOSE",P1569)))</f>
        <v>S61</v>
      </c>
      <c r="BY1569" s="50" t="n">
        <f aca="false">IF(BX1569="LOSE",1,IF(N(V1569)&gt;0,V1569,IF(CA1569=1,MAX(1,N(VLOOKUP(T1569,Parameter!$I$27:$K$29,3,0)),H1569,N(N1569)),IF(N(Q1569)&gt;0,Q1569,MAX(1,H1569)))))</f>
        <v>5</v>
      </c>
      <c r="BZ1569" s="53" t="n">
        <f aca="false">IF(BX1569="LOSE",1,0)</f>
        <v>0</v>
      </c>
      <c r="CA1569" s="53" t="n">
        <f aca="false">IF(AND(U1569="",OR(P1569="",P1569="LOSE"),T1569&lt;&gt;"",N(S1569)&lt;=0,ISNUMBER(MATCH(T1569,Parameter!$I$27:$I$29,0))),1,0)</f>
        <v>1</v>
      </c>
      <c r="CB1569" s="53" t="n">
        <f aca="false">IF(CQ1569&gt;0,INDEX(Parameter!$H$5:$H$7,W1569)/INDEX(Parameter!$E$5:$E$7,W1569),IF(AND(BZ1569=0,N(IFERROR(VLOOKUP(BX1569,'Gebinde-Kategorie'!$A$5:$N$45,14,0),0))&gt;0),VLOOKUP(BX1569,'Gebinde-Kategorie'!$A$5:$N$45,14,0)*10+Parameter!$M$23,Parameter!$M$24))</f>
        <v>145</v>
      </c>
      <c r="CC1569" s="48" t="str">
        <f aca="false">IF(AND(Parameter!$B$19="Ja",E1569&lt;&gt;"",ISNUMBER(MATCH(E1569,Parameter!$I$35:$I$52,0))),VLOOKUP(E1569,Parameter!$I$35:$J$52,2,0),IFERROR(VLOOKUP(D1569,Parameter!$A$35:$C$64,2,0),"Nein"))</f>
        <v>2+3</v>
      </c>
      <c r="CD1569" s="52" t="n">
        <f aca="false">IF(BZ1569=0,0,IF(N(S1569)&gt;0,S1569,IFERROR(VLOOKUP(D1569,Parameter!$A$35:$C$64,3,0)+0,0)))</f>
        <v>0</v>
      </c>
      <c r="CE1569" s="48" t="n">
        <f aca="false">IF(AA1569&lt;&gt;"",AA1569,Z1569)</f>
        <v>2</v>
      </c>
      <c r="CF1569" s="48" t="str">
        <f aca="false">IF(OR(CE1569=1,CE1569=2,CE1569=3),IF(Parameter!$E$27="Ja","LIFT",IF(CE1569=1,"L1","L23")),IF(CE1569="Aussen","Aussen","-"))</f>
        <v>LIFT</v>
      </c>
      <c r="CG1569" s="59" t="n">
        <f aca="false">IF(N(AB1569)&gt;0,AB1569,0)</f>
        <v>0</v>
      </c>
      <c r="CH1569" s="53" t="n">
        <f aca="false">IF(ISNUMBER(AE1569),1,0)</f>
        <v>0</v>
      </c>
      <c r="CI1569" s="50" t="n">
        <f aca="false">N(AE1569)</f>
        <v>0</v>
      </c>
      <c r="CJ1569" s="50" t="n">
        <f aca="false">N(M1569)+N(N1569)</f>
        <v>2</v>
      </c>
      <c r="CK1569" s="50" t="n">
        <f aca="false">N(M1569)</f>
        <v>0</v>
      </c>
      <c r="CL1569" s="50" t="n">
        <f aca="false">N(N1569)</f>
        <v>2</v>
      </c>
      <c r="CM1569" s="50" t="n">
        <f aca="false">ROUNDUP(H1569/BY1569,0)</f>
        <v>1</v>
      </c>
      <c r="CN1569" s="50" t="n">
        <f aca="false">ROUNDUP(CI1569/BY1569,0)</f>
        <v>0</v>
      </c>
      <c r="CO1569" s="53" t="n">
        <f aca="false">IF(BZ1569=1,0,IFERROR(VLOOKUP(BX1569,'Gebinde-Kategorie'!$A$5:$N$45,5,0)+0,0))</f>
        <v>11</v>
      </c>
      <c r="CP1569" s="53" t="n">
        <f aca="false">IFERROR(IF(OR(CE1569=1,CE1569=2,CE1569=3),N(INDEX(Parameter!$I$5:$I$7,CE1569)),0),0)</f>
        <v>0</v>
      </c>
      <c r="CQ1569" s="52" t="n">
        <f aca="false">IF(AND(Parameter!$B$21="Ja",ISNUMBER(W1569),N(X1569)&gt;0),IFERROR(N(INDEX(Parameter!$L$5:$L$7,W1569))*INDEX(Parameter!$E$5:$E$7,W1569)*X1569/SUMIFS($X$7:$X$1843,$W$7:$W$1843,W1569),0),0)</f>
        <v>0</v>
      </c>
    </row>
    <row r="1570" customFormat="false" ht="15" hidden="false" customHeight="false" outlineLevel="0" collapsed="false">
      <c r="A1570" s="48" t="s">
        <v>2752</v>
      </c>
      <c r="B1570" s="48" t="s">
        <v>2753</v>
      </c>
      <c r="C1570" s="48" t="s">
        <v>173</v>
      </c>
      <c r="D1570" s="48" t="s">
        <v>193</v>
      </c>
      <c r="E1570" s="48"/>
      <c r="F1570" s="48"/>
      <c r="G1570" s="49" t="n">
        <v>8</v>
      </c>
      <c r="H1570" s="50" t="n">
        <f aca="false">MAX(0,IF(AND(Parameter!$B$21="Ja",ISNUMBER(Y1570)),Y1570,IF(Parameter!$B$20="Jahresanfang 2025 + Export",BR1570+BQ1570,BQ1570)))</f>
        <v>10</v>
      </c>
      <c r="I1570" s="50" t="n">
        <f aca="false">H1570*G1570</f>
        <v>80</v>
      </c>
      <c r="J1570" s="50" t="n">
        <f aca="false">BT1570*Parameter!$B$18</f>
        <v>0</v>
      </c>
      <c r="K1570" s="51"/>
      <c r="L1570" s="52"/>
      <c r="M1570" s="50" t="n">
        <v>0</v>
      </c>
      <c r="N1570" s="50" t="n">
        <v>5</v>
      </c>
      <c r="O1570" s="53" t="n">
        <v>0</v>
      </c>
      <c r="P1570" s="48" t="s">
        <v>177</v>
      </c>
      <c r="Q1570" s="50"/>
      <c r="R1570" s="53" t="n">
        <f aca="false">IF(BZ1570=1,0,IFERROR(VLOOKUP(BX1570,'Gebinde-Kategorie'!$A$5:$N$45,13,0)+0,0))</f>
        <v>26</v>
      </c>
      <c r="S1570" s="54"/>
      <c r="T1570" s="55" t="s">
        <v>284</v>
      </c>
      <c r="U1570" s="55"/>
      <c r="V1570" s="55"/>
      <c r="W1570" s="48"/>
      <c r="X1570" s="50"/>
      <c r="Y1570" s="50"/>
      <c r="Z1570" s="48" t="n">
        <f aca="false">IF(A1570="","",IF(AND(Parameter!$B$21="Ja",ISNUMBER(W1570)),W1570,IF(CC1570="2+3",IF(ISNUMBER(SEARCH("grosser Artikel",BU1570)),2,IFERROR(VLOOKUP(BX1570,Parameter!$F$35:$G$64,2,0),2)),IF(OR(CC1570="Nein",CC1570=""),"-",CC1570))))</f>
        <v>3</v>
      </c>
      <c r="AA1570" s="55"/>
      <c r="AB1570" s="56"/>
      <c r="AC1570" s="50" t="n">
        <f aca="false">AV1570</f>
        <v>5</v>
      </c>
      <c r="AD1570" s="50" t="n">
        <f aca="false">MAX(AV1570,H1570)</f>
        <v>10</v>
      </c>
      <c r="AE1570" s="57"/>
      <c r="AF1570" s="50" t="n">
        <f aca="false">IF(LEFT(Cockpit!$C$5,1)="A",H1570,IF(Parameter!$E$30="MAX-Bestand",IF(CH1570=1,CI1570,IF(LEFT(Cockpit!$C$5,1)="B",AL1570,MAX(AL1570,H1570))),ROUNDUP(AJ1570,0)))</f>
        <v>10</v>
      </c>
      <c r="AG1570" s="50" t="n">
        <f aca="false">IF(BZ1570=1,0,ROUNDUP(AF1570/BY1570,0))</f>
        <v>1</v>
      </c>
      <c r="AH1570" s="52" t="n">
        <f aca="false">IF(CQ1570&gt;0,CQ1570*MAX(1,AF1570/X1570),IF(BZ1570=1,IF(AF1570&lt;=0,0,CD1570*MAX(1,IF(H1570&gt;0,AF1570/H1570,1))),IF(R1570&gt;0,AG1570/R1570,0))/MAX(0.1,N(Parameter!$M$21)))</f>
        <v>0.0384615384615385</v>
      </c>
      <c r="AI1570" s="50" t="n">
        <f aca="false">AH1570*CB1570</f>
        <v>5.96153846153846</v>
      </c>
      <c r="AJ1570" s="51" t="n">
        <f aca="false">IF(LEFT(Cockpit!$C$5,1)="A",H1570,IF(CH1570=1,(CK1570+CI1570)/2,IF(LEFT(Cockpit!$C$5,1)="B",(CK1570+AL1570)/2,MAX((CK1570+AL1570)/2,H1570))))</f>
        <v>10</v>
      </c>
      <c r="AK1570" s="50" t="n">
        <f aca="false">AJ1570*G1570</f>
        <v>80</v>
      </c>
      <c r="AL1570" s="50" t="n">
        <f aca="false">ROUNDUP(CK1570+MAX(CL1570,2*(J1570/IF(CG1570&gt;0,CG1570,MAX(0.1,N(Cockpit!$C$6)))-CK1570)),0)</f>
        <v>5</v>
      </c>
      <c r="AM1570" s="51" t="n">
        <f aca="false">IF(AI1570&gt;0,J1570/AI1570,-1)</f>
        <v>0</v>
      </c>
      <c r="AN1570" s="51" t="n">
        <f aca="false">IF(AND(OR(CF1570="L1",CF1570="L23",CF1570="LIFT"),AI1570&gt;0),SUMIFS($AI$7:$AI$1843,$CF$7:$CF$1843,CF1570,$AM$7:$AM$1843,"&gt;"&amp;AM1570)+SUMIFS($AI$7:$AI$1843,$CF$7:$CF$1843,CF1570,$AM$7:$AM$1843,AM1570,$BW$7:$BW$1843,"&lt;="&amp;BW1570),"")</f>
        <v>30348.8336463442</v>
      </c>
      <c r="AO1570" s="58" t="n">
        <f aca="false">IF(AN1570="",0,MAX(0,MIN(1,(IF(CF1570="L1",Parameter!$H$5,IF(CF1570="L23",Parameter!$H$6+Parameter!$H$7,Parameter!$H$5+Parameter!$H$6+Parameter!$H$7))-(AN1570-AI1570))/AI1570)))</f>
        <v>1</v>
      </c>
      <c r="AP1570" s="50" t="n">
        <f aca="false">IF(LEFT(Cockpit!$I$5,1)="A",H1570,IF(Parameter!$E$30="MAX-Bestand",IF(CH1570=1,CI1570,IF(LEFT(Cockpit!$I$5,1)="B",AV1570,MAX(AV1570,H1570))),ROUNDUP(AT1570,0)))</f>
        <v>10</v>
      </c>
      <c r="AQ1570" s="50" t="n">
        <f aca="false">IF(BZ1570=1,0,ROUNDUP(AP1570/BY1570,0))</f>
        <v>1</v>
      </c>
      <c r="AR1570" s="52" t="n">
        <f aca="false">IF(CQ1570&gt;0,CQ1570*MAX(1,AP1570/X1570),IF(BZ1570=1,IF(AP1570&lt;=0,0,CD1570*MAX(1,IF(H1570&gt;0,AP1570/H1570,1))),IF(R1570&gt;0,AQ1570/R1570,0))/MAX(0.1,N(Parameter!$M$21)))</f>
        <v>0.0384615384615385</v>
      </c>
      <c r="AS1570" s="50" t="n">
        <f aca="false">AR1570*CB1570</f>
        <v>5.96153846153846</v>
      </c>
      <c r="AT1570" s="51" t="n">
        <f aca="false">IF(LEFT(Cockpit!$I$5,1)="A",H1570,IF(CH1570=1,(CK1570+CI1570)/2,IF(LEFT(Cockpit!$I$5,1)="B",(CK1570+AV1570)/2,MAX((CK1570+AV1570)/2,H1570))))</f>
        <v>10</v>
      </c>
      <c r="AU1570" s="50" t="n">
        <f aca="false">AT1570*G1570</f>
        <v>80</v>
      </c>
      <c r="AV1570" s="50" t="n">
        <f aca="false">ROUNDUP(CK1570+MAX(CL1570,2*(J1570/IF(CG1570&gt;0,CG1570,MAX(0.1,N(Cockpit!$I$6)))-CK1570)),0)</f>
        <v>5</v>
      </c>
      <c r="AW1570" s="51" t="n">
        <f aca="false">IF(AS1570&gt;0,J1570/AS1570,-1)</f>
        <v>0</v>
      </c>
      <c r="AX1570" s="51" t="n">
        <f aca="false">IF(AND(OR(CF1570="L1",CF1570="L23",CF1570="LIFT"),AS1570&gt;0),SUMIFS($AS$7:$AS$1843,$CF$7:$CF$1843,CF1570,$AW$7:$AW$1843,"&gt;"&amp;AW1570)+SUMIFS($AS$7:$AS$1843,$CF$7:$CF$1843,CF1570,$AW$7:$AW$1843,AW1570,$BW$7:$BW$1843,"&lt;="&amp;BW1570),"")</f>
        <v>36668.6901631796</v>
      </c>
      <c r="AY1570" s="58" t="n">
        <f aca="false">IF(AX1570="",0,MAX(0,MIN(1,(IF(CF1570="L1",Parameter!$H$5,IF(CF1570="L23",Parameter!$H$6+Parameter!$H$7,Parameter!$H$5+Parameter!$H$6+Parameter!$H$7))-(AX1570-AS1570))/AS1570)))</f>
        <v>0</v>
      </c>
      <c r="AZ1570" s="50" t="n">
        <f aca="false">IF(LEFT(Cockpit!$O$5,1)="A",H1570,IF(Parameter!$E$30="MAX-Bestand",IF(CH1570=1,CI1570,IF(LEFT(Cockpit!$O$5,1)="B",BF1570,MAX(BF1570,H1570))),ROUNDUP(BD1570,0)))</f>
        <v>3</v>
      </c>
      <c r="BA1570" s="50" t="n">
        <f aca="false">IF(BZ1570=1,0,ROUNDUP(AZ1570/BY1570,0))</f>
        <v>1</v>
      </c>
      <c r="BB1570" s="52" t="n">
        <f aca="false">IF(CQ1570&gt;0,CQ1570*MAX(1,AZ1570/X1570),IF(BZ1570=1,IF(AZ1570&lt;=0,0,CD1570*MAX(1,IF(H1570&gt;0,AZ1570/H1570,1))),IF(R1570&gt;0,BA1570/R1570,0))/MAX(0.1,N(Parameter!$M$21)))</f>
        <v>0.0384615384615385</v>
      </c>
      <c r="BC1570" s="50" t="n">
        <f aca="false">BB1570*CB1570</f>
        <v>5.96153846153846</v>
      </c>
      <c r="BD1570" s="51" t="n">
        <f aca="false">IF(LEFT(Cockpit!$O$5,1)="A",H1570,IF(CH1570=1,(CK1570+CI1570)/2,IF(LEFT(Cockpit!$O$5,1)="B",(CK1570+BF1570)/2,MAX((CK1570+BF1570)/2,H1570))))</f>
        <v>2.5</v>
      </c>
      <c r="BE1570" s="50" t="n">
        <f aca="false">BD1570*G1570</f>
        <v>20</v>
      </c>
      <c r="BF1570" s="50" t="n">
        <f aca="false">ROUNDUP(CK1570+MAX(CL1570,2*(J1570/IF(CG1570&gt;0,CG1570,MAX(0.1,N(Cockpit!$O$6)))-CK1570)),0)</f>
        <v>5</v>
      </c>
      <c r="BG1570" s="51" t="n">
        <f aca="false">IF(BC1570&gt;0,J1570/BC1570,-1)</f>
        <v>0</v>
      </c>
      <c r="BH1570" s="51" t="n">
        <f aca="false">IF(AND(OR(CF1570="L1",CF1570="L23",CF1570="LIFT"),BC1570&gt;0),SUMIFS($BC$7:$BC$1843,$CF$7:$CF$1843,CF1570,$BG$7:$BG$1843,"&gt;"&amp;BG1570)+SUMIFS($BC$7:$BC$1843,$CF$7:$CF$1843,CF1570,$BG$7:$BG$1843,BG1570,$BW$7:$BW$1843,"&lt;="&amp;BW1570),"")</f>
        <v>30578.131438712</v>
      </c>
      <c r="BI1570" s="58" t="n">
        <f aca="false">IF(BH1570="",0,MAX(0,MIN(1,(IF(CF1570="L1",Parameter!$H$5,IF(CF1570="L23",Parameter!$H$6+Parameter!$H$7,Parameter!$H$5+Parameter!$H$6+Parameter!$H$7))-(BH1570-BC1570))/BC1570)))</f>
        <v>1</v>
      </c>
      <c r="BJ1570" s="48" t="str">
        <f aca="false">IF(AI1570&lt;=0,"",IF(CF1570="Aussen","Aussenlager",IF(CF1570="-","Nicht im Lift",IF(AO1570&gt;=1,"Lift",IF(AO1570&lt;=0,"Aussenlager","teilweise")))))</f>
        <v>Lift</v>
      </c>
      <c r="BK1570" s="48" t="str">
        <f aca="false">IF(AS1570&lt;=0,"",IF(CF1570="Aussen","Aussenlager",IF(CF1570="-","Nicht im Lift",IF(AY1570&gt;=1,"Lift",IF(AY1570&lt;=0,"Aussenlager","teilweise")))))</f>
        <v>Aussenlager</v>
      </c>
      <c r="BL1570" s="48" t="str">
        <f aca="false">IF(BC1570&lt;=0,"",IF(CF1570="Aussen","Aussenlager",IF(CF1570="-","Nicht im Lift",IF(BI1570&gt;=1,"Lift",IF(BI1570&lt;=0,"Aussenlager","teilweise")))))</f>
        <v>Lift</v>
      </c>
      <c r="BM1570" s="48" t="str">
        <f aca="false">IF(A1570="","",IF(BV1570=1,"Neu; ","")&amp;IF(AND(BV1570=0,BQ1570&lt;0),"negativer Bestand (Export "&amp;BQ1570&amp;"); ","")&amp;IF(J1570&lt;=0,"Kein Verbrauch; ","")&amp;IF(CQ1570&gt;0,"Lift "&amp;W1570&amp;" lt. Liftbericht (Fach "&amp;X1570&amp;" Stk); ",IF(CA1570=1,"Gebinde geschätzt ("&amp;T1570&amp;"); ",IF(BZ1570=1,"Lose – Tablare geschätzt; ","")))&amp;IF(H1570&gt;AV1570,"Überbestand "&amp;ROUND(H1570-AV1570,0)&amp;" Stk / CHF "&amp;ROUND((H1570-AV1570)*G1570,0)&amp;"; ","")&amp;IF(AND(CH1570=1,CI1570&lt;CJ1570),"MAX &lt; MB+LG; ","")&amp;IF(AND(CP1570&gt;0,CO1570*10&gt;CP1570),"zu hoch für Tablar; ","")&amp;IF(AND(BV1570=0,OR(CH1570=1,AA1570&lt;&gt;"",U1570&lt;&gt;"",V1570&lt;&gt;"",AB1570&lt;&gt;"")),"manuell übersteuert; ","")&amp;IF(AND(BZ1570=0,R1570=0),"Gebinde unbekannt / Stellmass fehlt; ","")&amp;IF(AND(BZ1570=0,N(V1570)&lt;=0,N(Q1570)&lt;=0),"Menge pro Gebinde fehlt (Ist = 1 Gebinde); ","")&amp;BU1570)</f>
        <v>Kein Verbrauch; Gebinde geschätzt (Klein); Überbestand 5 Stk / CHF 40; Menge pro Gebinde fehlt (Ist = 1 Gebinde); nur im Artikelstamm (Bestand 23.06.2026)</v>
      </c>
      <c r="BN1570" s="48"/>
      <c r="BO1570" s="48"/>
      <c r="BP1570" s="55"/>
      <c r="BQ1570" s="50" t="n">
        <v>10</v>
      </c>
      <c r="BR1570" s="50" t="n">
        <v>0</v>
      </c>
      <c r="BS1570" s="49" t="n">
        <v>0</v>
      </c>
      <c r="BT1570" s="50" t="n">
        <v>0</v>
      </c>
      <c r="BU1570" s="48" t="s">
        <v>2584</v>
      </c>
      <c r="BV1570" s="53" t="n">
        <v>0</v>
      </c>
      <c r="BW1570" s="53" t="n">
        <v>1570</v>
      </c>
      <c r="BX1570" s="48" t="str">
        <f aca="false">IF(U1570&lt;&gt;"",UPPER(TRIM(U1570)),IF(CA1570=1,UPPER(VLOOKUP(T1570,Parameter!$I$27:$K$29,2,0)),IF(P1570="","LOSE",P1570)))</f>
        <v>S51</v>
      </c>
      <c r="BY1570" s="50" t="n">
        <f aca="false">IF(BX1570="LOSE",1,IF(N(V1570)&gt;0,V1570,IF(CA1570=1,MAX(1,N(VLOOKUP(T1570,Parameter!$I$27:$K$29,3,0)),H1570,N(N1570)),IF(N(Q1570)&gt;0,Q1570,MAX(1,H1570)))))</f>
        <v>20</v>
      </c>
      <c r="BZ1570" s="53" t="n">
        <f aca="false">IF(BX1570="LOSE",1,0)</f>
        <v>0</v>
      </c>
      <c r="CA1570" s="53" t="n">
        <f aca="false">IF(AND(U1570="",OR(P1570="",P1570="LOSE"),T1570&lt;&gt;"",N(S1570)&lt;=0,ISNUMBER(MATCH(T1570,Parameter!$I$27:$I$29,0))),1,0)</f>
        <v>1</v>
      </c>
      <c r="CB1570" s="53" t="n">
        <f aca="false">IF(CQ1570&gt;0,INDEX(Parameter!$H$5:$H$7,W1570)/INDEX(Parameter!$E$5:$E$7,W1570),IF(AND(BZ1570=0,N(IFERROR(VLOOKUP(BX1570,'Gebinde-Kategorie'!$A$5:$N$45,14,0),0))&gt;0),VLOOKUP(BX1570,'Gebinde-Kategorie'!$A$5:$N$45,14,0)*10+Parameter!$M$23,Parameter!$M$24))</f>
        <v>155</v>
      </c>
      <c r="CC1570" s="48" t="str">
        <f aca="false">IF(AND(Parameter!$B$19="Ja",E1570&lt;&gt;"",ISNUMBER(MATCH(E1570,Parameter!$I$35:$I$52,0))),VLOOKUP(E1570,Parameter!$I$35:$J$52,2,0),IFERROR(VLOOKUP(D1570,Parameter!$A$35:$C$64,2,0),"Nein"))</f>
        <v>2+3</v>
      </c>
      <c r="CD1570" s="52" t="n">
        <f aca="false">IF(BZ1570=0,0,IF(N(S1570)&gt;0,S1570,IFERROR(VLOOKUP(D1570,Parameter!$A$35:$C$64,3,0)+0,0)))</f>
        <v>0</v>
      </c>
      <c r="CE1570" s="48" t="n">
        <f aca="false">IF(AA1570&lt;&gt;"",AA1570,Z1570)</f>
        <v>3</v>
      </c>
      <c r="CF1570" s="48" t="str">
        <f aca="false">IF(OR(CE1570=1,CE1570=2,CE1570=3),IF(Parameter!$E$27="Ja","LIFT",IF(CE1570=1,"L1","L23")),IF(CE1570="Aussen","Aussen","-"))</f>
        <v>LIFT</v>
      </c>
      <c r="CG1570" s="59" t="n">
        <f aca="false">IF(N(AB1570)&gt;0,AB1570,0)</f>
        <v>0</v>
      </c>
      <c r="CH1570" s="53" t="n">
        <f aca="false">IF(ISNUMBER(AE1570),1,0)</f>
        <v>0</v>
      </c>
      <c r="CI1570" s="50" t="n">
        <f aca="false">N(AE1570)</f>
        <v>0</v>
      </c>
      <c r="CJ1570" s="50" t="n">
        <f aca="false">N(M1570)+N(N1570)</f>
        <v>5</v>
      </c>
      <c r="CK1570" s="50" t="n">
        <f aca="false">N(M1570)</f>
        <v>0</v>
      </c>
      <c r="CL1570" s="50" t="n">
        <f aca="false">N(N1570)</f>
        <v>5</v>
      </c>
      <c r="CM1570" s="50" t="n">
        <f aca="false">ROUNDUP(H1570/BY1570,0)</f>
        <v>1</v>
      </c>
      <c r="CN1570" s="50" t="n">
        <f aca="false">ROUNDUP(CI1570/BY1570,0)</f>
        <v>0</v>
      </c>
      <c r="CO1570" s="53" t="n">
        <f aca="false">IF(BZ1570=1,0,IFERROR(VLOOKUP(BX1570,'Gebinde-Kategorie'!$A$5:$N$45,5,0)+0,0))</f>
        <v>11</v>
      </c>
      <c r="CP1570" s="53" t="n">
        <f aca="false">IFERROR(IF(OR(CE1570=1,CE1570=2,CE1570=3),N(INDEX(Parameter!$I$5:$I$7,CE1570)),0),0)</f>
        <v>0</v>
      </c>
      <c r="CQ1570" s="52" t="n">
        <f aca="false">IF(AND(Parameter!$B$21="Ja",ISNUMBER(W1570),N(X1570)&gt;0),IFERROR(N(INDEX(Parameter!$L$5:$L$7,W1570))*INDEX(Parameter!$E$5:$E$7,W1570)*X1570/SUMIFS($X$7:$X$1843,$W$7:$W$1843,W1570),0),0)</f>
        <v>0</v>
      </c>
    </row>
    <row r="1571" customFormat="false" ht="15" hidden="false" customHeight="false" outlineLevel="0" collapsed="false">
      <c r="A1571" s="48" t="s">
        <v>2754</v>
      </c>
      <c r="B1571" s="48" t="s">
        <v>2755</v>
      </c>
      <c r="C1571" s="48" t="s">
        <v>173</v>
      </c>
      <c r="D1571" s="48" t="s">
        <v>193</v>
      </c>
      <c r="E1571" s="48"/>
      <c r="F1571" s="48"/>
      <c r="G1571" s="49" t="n">
        <v>4</v>
      </c>
      <c r="H1571" s="50" t="n">
        <f aca="false">MAX(0,IF(AND(Parameter!$B$21="Ja",ISNUMBER(Y1571)),Y1571,IF(Parameter!$B$20="Jahresanfang 2025 + Export",BR1571+BQ1571,BQ1571)))</f>
        <v>75</v>
      </c>
      <c r="I1571" s="50" t="n">
        <f aca="false">H1571*G1571</f>
        <v>300</v>
      </c>
      <c r="J1571" s="50" t="n">
        <f aca="false">BT1571*Parameter!$B$18</f>
        <v>0</v>
      </c>
      <c r="K1571" s="51"/>
      <c r="L1571" s="52"/>
      <c r="M1571" s="50" t="n">
        <v>0</v>
      </c>
      <c r="N1571" s="50" t="n">
        <v>30</v>
      </c>
      <c r="O1571" s="53" t="n">
        <v>0</v>
      </c>
      <c r="P1571" s="48" t="s">
        <v>177</v>
      </c>
      <c r="Q1571" s="50"/>
      <c r="R1571" s="53" t="n">
        <f aca="false">IF(BZ1571=1,0,IFERROR(VLOOKUP(BX1571,'Gebinde-Kategorie'!$A$5:$N$45,13,0)+0,0))</f>
        <v>26</v>
      </c>
      <c r="S1571" s="54"/>
      <c r="T1571" s="55" t="s">
        <v>284</v>
      </c>
      <c r="U1571" s="55"/>
      <c r="V1571" s="55"/>
      <c r="W1571" s="48"/>
      <c r="X1571" s="50"/>
      <c r="Y1571" s="50"/>
      <c r="Z1571" s="48" t="n">
        <f aca="false">IF(A1571="","",IF(AND(Parameter!$B$21="Ja",ISNUMBER(W1571)),W1571,IF(CC1571="2+3",IF(ISNUMBER(SEARCH("grosser Artikel",BU1571)),2,IFERROR(VLOOKUP(BX1571,Parameter!$F$35:$G$64,2,0),2)),IF(OR(CC1571="Nein",CC1571=""),"-",CC1571))))</f>
        <v>3</v>
      </c>
      <c r="AA1571" s="55"/>
      <c r="AB1571" s="56"/>
      <c r="AC1571" s="50" t="n">
        <f aca="false">AV1571</f>
        <v>30</v>
      </c>
      <c r="AD1571" s="50" t="n">
        <f aca="false">MAX(AV1571,H1571)</f>
        <v>75</v>
      </c>
      <c r="AE1571" s="57"/>
      <c r="AF1571" s="50" t="n">
        <f aca="false">IF(LEFT(Cockpit!$C$5,1)="A",H1571,IF(Parameter!$E$30="MAX-Bestand",IF(CH1571=1,CI1571,IF(LEFT(Cockpit!$C$5,1)="B",AL1571,MAX(AL1571,H1571))),ROUNDUP(AJ1571,0)))</f>
        <v>75</v>
      </c>
      <c r="AG1571" s="50" t="n">
        <f aca="false">IF(BZ1571=1,0,ROUNDUP(AF1571/BY1571,0))</f>
        <v>1</v>
      </c>
      <c r="AH1571" s="52" t="n">
        <f aca="false">IF(CQ1571&gt;0,CQ1571*MAX(1,AF1571/X1571),IF(BZ1571=1,IF(AF1571&lt;=0,0,CD1571*MAX(1,IF(H1571&gt;0,AF1571/H1571,1))),IF(R1571&gt;0,AG1571/R1571,0))/MAX(0.1,N(Parameter!$M$21)))</f>
        <v>0.0384615384615385</v>
      </c>
      <c r="AI1571" s="50" t="n">
        <f aca="false">AH1571*CB1571</f>
        <v>5.96153846153846</v>
      </c>
      <c r="AJ1571" s="51" t="n">
        <f aca="false">IF(LEFT(Cockpit!$C$5,1)="A",H1571,IF(CH1571=1,(CK1571+CI1571)/2,IF(LEFT(Cockpit!$C$5,1)="B",(CK1571+AL1571)/2,MAX((CK1571+AL1571)/2,H1571))))</f>
        <v>75</v>
      </c>
      <c r="AK1571" s="50" t="n">
        <f aca="false">AJ1571*G1571</f>
        <v>300</v>
      </c>
      <c r="AL1571" s="50" t="n">
        <f aca="false">ROUNDUP(CK1571+MAX(CL1571,2*(J1571/IF(CG1571&gt;0,CG1571,MAX(0.1,N(Cockpit!$C$6)))-CK1571)),0)</f>
        <v>30</v>
      </c>
      <c r="AM1571" s="51" t="n">
        <f aca="false">IF(AI1571&gt;0,J1571/AI1571,-1)</f>
        <v>0</v>
      </c>
      <c r="AN1571" s="51" t="n">
        <f aca="false">IF(AND(OR(CF1571="L1",CF1571="L23",CF1571="LIFT"),AI1571&gt;0),SUMIFS($AI$7:$AI$1843,$CF$7:$CF$1843,CF1571,$AM$7:$AM$1843,"&gt;"&amp;AM1571)+SUMIFS($AI$7:$AI$1843,$CF$7:$CF$1843,CF1571,$AM$7:$AM$1843,AM1571,$BW$7:$BW$1843,"&lt;="&amp;BW1571),"")</f>
        <v>30354.7951848058</v>
      </c>
      <c r="AO1571" s="58" t="n">
        <f aca="false">IF(AN1571="",0,MAX(0,MIN(1,(IF(CF1571="L1",Parameter!$H$5,IF(CF1571="L23",Parameter!$H$6+Parameter!$H$7,Parameter!$H$5+Parameter!$H$6+Parameter!$H$7))-(AN1571-AI1571))/AI1571)))</f>
        <v>1</v>
      </c>
      <c r="AP1571" s="50" t="n">
        <f aca="false">IF(LEFT(Cockpit!$I$5,1)="A",H1571,IF(Parameter!$E$30="MAX-Bestand",IF(CH1571=1,CI1571,IF(LEFT(Cockpit!$I$5,1)="B",AV1571,MAX(AV1571,H1571))),ROUNDUP(AT1571,0)))</f>
        <v>75</v>
      </c>
      <c r="AQ1571" s="50" t="n">
        <f aca="false">IF(BZ1571=1,0,ROUNDUP(AP1571/BY1571,0))</f>
        <v>1</v>
      </c>
      <c r="AR1571" s="52" t="n">
        <f aca="false">IF(CQ1571&gt;0,CQ1571*MAX(1,AP1571/X1571),IF(BZ1571=1,IF(AP1571&lt;=0,0,CD1571*MAX(1,IF(H1571&gt;0,AP1571/H1571,1))),IF(R1571&gt;0,AQ1571/R1571,0))/MAX(0.1,N(Parameter!$M$21)))</f>
        <v>0.0384615384615385</v>
      </c>
      <c r="AS1571" s="50" t="n">
        <f aca="false">AR1571*CB1571</f>
        <v>5.96153846153846</v>
      </c>
      <c r="AT1571" s="51" t="n">
        <f aca="false">IF(LEFT(Cockpit!$I$5,1)="A",H1571,IF(CH1571=1,(CK1571+CI1571)/2,IF(LEFT(Cockpit!$I$5,1)="B",(CK1571+AV1571)/2,MAX((CK1571+AV1571)/2,H1571))))</f>
        <v>75</v>
      </c>
      <c r="AU1571" s="50" t="n">
        <f aca="false">AT1571*G1571</f>
        <v>300</v>
      </c>
      <c r="AV1571" s="50" t="n">
        <f aca="false">ROUNDUP(CK1571+MAX(CL1571,2*(J1571/IF(CG1571&gt;0,CG1571,MAX(0.1,N(Cockpit!$I$6)))-CK1571)),0)</f>
        <v>30</v>
      </c>
      <c r="AW1571" s="51" t="n">
        <f aca="false">IF(AS1571&gt;0,J1571/AS1571,-1)</f>
        <v>0</v>
      </c>
      <c r="AX1571" s="51" t="n">
        <f aca="false">IF(AND(OR(CF1571="L1",CF1571="L23",CF1571="LIFT"),AS1571&gt;0),SUMIFS($AS$7:$AS$1843,$CF$7:$CF$1843,CF1571,$AW$7:$AW$1843,"&gt;"&amp;AW1571)+SUMIFS($AS$7:$AS$1843,$CF$7:$CF$1843,CF1571,$AW$7:$AW$1843,AW1571,$BW$7:$BW$1843,"&lt;="&amp;BW1571),"")</f>
        <v>36674.6517016411</v>
      </c>
      <c r="AY1571" s="58" t="n">
        <f aca="false">IF(AX1571="",0,MAX(0,MIN(1,(IF(CF1571="L1",Parameter!$H$5,IF(CF1571="L23",Parameter!$H$6+Parameter!$H$7,Parameter!$H$5+Parameter!$H$6+Parameter!$H$7))-(AX1571-AS1571))/AS1571)))</f>
        <v>0</v>
      </c>
      <c r="AZ1571" s="50" t="n">
        <f aca="false">IF(LEFT(Cockpit!$O$5,1)="A",H1571,IF(Parameter!$E$30="MAX-Bestand",IF(CH1571=1,CI1571,IF(LEFT(Cockpit!$O$5,1)="B",BF1571,MAX(BF1571,H1571))),ROUNDUP(BD1571,0)))</f>
        <v>15</v>
      </c>
      <c r="BA1571" s="50" t="n">
        <f aca="false">IF(BZ1571=1,0,ROUNDUP(AZ1571/BY1571,0))</f>
        <v>1</v>
      </c>
      <c r="BB1571" s="52" t="n">
        <f aca="false">IF(CQ1571&gt;0,CQ1571*MAX(1,AZ1571/X1571),IF(BZ1571=1,IF(AZ1571&lt;=0,0,CD1571*MAX(1,IF(H1571&gt;0,AZ1571/H1571,1))),IF(R1571&gt;0,BA1571/R1571,0))/MAX(0.1,N(Parameter!$M$21)))</f>
        <v>0.0384615384615385</v>
      </c>
      <c r="BC1571" s="50" t="n">
        <f aca="false">BB1571*CB1571</f>
        <v>5.96153846153846</v>
      </c>
      <c r="BD1571" s="51" t="n">
        <f aca="false">IF(LEFT(Cockpit!$O$5,1)="A",H1571,IF(CH1571=1,(CK1571+CI1571)/2,IF(LEFT(Cockpit!$O$5,1)="B",(CK1571+BF1571)/2,MAX((CK1571+BF1571)/2,H1571))))</f>
        <v>15</v>
      </c>
      <c r="BE1571" s="50" t="n">
        <f aca="false">BD1571*G1571</f>
        <v>60</v>
      </c>
      <c r="BF1571" s="50" t="n">
        <f aca="false">ROUNDUP(CK1571+MAX(CL1571,2*(J1571/IF(CG1571&gt;0,CG1571,MAX(0.1,N(Cockpit!$O$6)))-CK1571)),0)</f>
        <v>30</v>
      </c>
      <c r="BG1571" s="51" t="n">
        <f aca="false">IF(BC1571&gt;0,J1571/BC1571,-1)</f>
        <v>0</v>
      </c>
      <c r="BH1571" s="51" t="n">
        <f aca="false">IF(AND(OR(CF1571="L1",CF1571="L23",CF1571="LIFT"),BC1571&gt;0),SUMIFS($BC$7:$BC$1843,$CF$7:$CF$1843,CF1571,$BG$7:$BG$1843,"&gt;"&amp;BG1571)+SUMIFS($BC$7:$BC$1843,$CF$7:$CF$1843,CF1571,$BG$7:$BG$1843,BG1571,$BW$7:$BW$1843,"&lt;="&amp;BW1571),"")</f>
        <v>30584.0929771735</v>
      </c>
      <c r="BI1571" s="58" t="n">
        <f aca="false">IF(BH1571="",0,MAX(0,MIN(1,(IF(CF1571="L1",Parameter!$H$5,IF(CF1571="L23",Parameter!$H$6+Parameter!$H$7,Parameter!$H$5+Parameter!$H$6+Parameter!$H$7))-(BH1571-BC1571))/BC1571)))</f>
        <v>1</v>
      </c>
      <c r="BJ1571" s="48" t="str">
        <f aca="false">IF(AI1571&lt;=0,"",IF(CF1571="Aussen","Aussenlager",IF(CF1571="-","Nicht im Lift",IF(AO1571&gt;=1,"Lift",IF(AO1571&lt;=0,"Aussenlager","teilweise")))))</f>
        <v>Lift</v>
      </c>
      <c r="BK1571" s="48" t="str">
        <f aca="false">IF(AS1571&lt;=0,"",IF(CF1571="Aussen","Aussenlager",IF(CF1571="-","Nicht im Lift",IF(AY1571&gt;=1,"Lift",IF(AY1571&lt;=0,"Aussenlager","teilweise")))))</f>
        <v>Aussenlager</v>
      </c>
      <c r="BL1571" s="48" t="str">
        <f aca="false">IF(BC1571&lt;=0,"",IF(CF1571="Aussen","Aussenlager",IF(CF1571="-","Nicht im Lift",IF(BI1571&gt;=1,"Lift",IF(BI1571&lt;=0,"Aussenlager","teilweise")))))</f>
        <v>Lift</v>
      </c>
      <c r="BM1571" s="48" t="str">
        <f aca="false">IF(A1571="","",IF(BV1571=1,"Neu; ","")&amp;IF(AND(BV1571=0,BQ1571&lt;0),"negativer Bestand (Export "&amp;BQ1571&amp;"); ","")&amp;IF(J1571&lt;=0,"Kein Verbrauch; ","")&amp;IF(CQ1571&gt;0,"Lift "&amp;W1571&amp;" lt. Liftbericht (Fach "&amp;X1571&amp;" Stk); ",IF(CA1571=1,"Gebinde geschätzt ("&amp;T1571&amp;"); ",IF(BZ1571=1,"Lose – Tablare geschätzt; ","")))&amp;IF(H1571&gt;AV1571,"Überbestand "&amp;ROUND(H1571-AV1571,0)&amp;" Stk / CHF "&amp;ROUND((H1571-AV1571)*G1571,0)&amp;"; ","")&amp;IF(AND(CH1571=1,CI1571&lt;CJ1571),"MAX &lt; MB+LG; ","")&amp;IF(AND(CP1571&gt;0,CO1571*10&gt;CP1571),"zu hoch für Tablar; ","")&amp;IF(AND(BV1571=0,OR(CH1571=1,AA1571&lt;&gt;"",U1571&lt;&gt;"",V1571&lt;&gt;"",AB1571&lt;&gt;"")),"manuell übersteuert; ","")&amp;IF(AND(BZ1571=0,R1571=0),"Gebinde unbekannt / Stellmass fehlt; ","")&amp;IF(AND(BZ1571=0,N(V1571)&lt;=0,N(Q1571)&lt;=0),"Menge pro Gebinde fehlt (Ist = 1 Gebinde); ","")&amp;BU1571)</f>
        <v>Kein Verbrauch; Gebinde geschätzt (Klein); Überbestand 45 Stk / CHF 180; Menge pro Gebinde fehlt (Ist = 1 Gebinde); nur im Artikelstamm (Bestand 23.06.2026)</v>
      </c>
      <c r="BN1571" s="48"/>
      <c r="BO1571" s="48"/>
      <c r="BP1571" s="55"/>
      <c r="BQ1571" s="50" t="n">
        <v>75</v>
      </c>
      <c r="BR1571" s="50" t="n">
        <v>0</v>
      </c>
      <c r="BS1571" s="49" t="n">
        <v>0</v>
      </c>
      <c r="BT1571" s="50" t="n">
        <v>0</v>
      </c>
      <c r="BU1571" s="48" t="s">
        <v>2584</v>
      </c>
      <c r="BV1571" s="53" t="n">
        <v>0</v>
      </c>
      <c r="BW1571" s="53" t="n">
        <v>1571</v>
      </c>
      <c r="BX1571" s="48" t="str">
        <f aca="false">IF(U1571&lt;&gt;"",UPPER(TRIM(U1571)),IF(CA1571=1,UPPER(VLOOKUP(T1571,Parameter!$I$27:$K$29,2,0)),IF(P1571="","LOSE",P1571)))</f>
        <v>S51</v>
      </c>
      <c r="BY1571" s="50" t="n">
        <f aca="false">IF(BX1571="LOSE",1,IF(N(V1571)&gt;0,V1571,IF(CA1571=1,MAX(1,N(VLOOKUP(T1571,Parameter!$I$27:$K$29,3,0)),H1571,N(N1571)),IF(N(Q1571)&gt;0,Q1571,MAX(1,H1571)))))</f>
        <v>75</v>
      </c>
      <c r="BZ1571" s="53" t="n">
        <f aca="false">IF(BX1571="LOSE",1,0)</f>
        <v>0</v>
      </c>
      <c r="CA1571" s="53" t="n">
        <f aca="false">IF(AND(U1571="",OR(P1571="",P1571="LOSE"),T1571&lt;&gt;"",N(S1571)&lt;=0,ISNUMBER(MATCH(T1571,Parameter!$I$27:$I$29,0))),1,0)</f>
        <v>1</v>
      </c>
      <c r="CB1571" s="53" t="n">
        <f aca="false">IF(CQ1571&gt;0,INDEX(Parameter!$H$5:$H$7,W1571)/INDEX(Parameter!$E$5:$E$7,W1571),IF(AND(BZ1571=0,N(IFERROR(VLOOKUP(BX1571,'Gebinde-Kategorie'!$A$5:$N$45,14,0),0))&gt;0),VLOOKUP(BX1571,'Gebinde-Kategorie'!$A$5:$N$45,14,0)*10+Parameter!$M$23,Parameter!$M$24))</f>
        <v>155</v>
      </c>
      <c r="CC1571" s="48" t="str">
        <f aca="false">IF(AND(Parameter!$B$19="Ja",E1571&lt;&gt;"",ISNUMBER(MATCH(E1571,Parameter!$I$35:$I$52,0))),VLOOKUP(E1571,Parameter!$I$35:$J$52,2,0),IFERROR(VLOOKUP(D1571,Parameter!$A$35:$C$64,2,0),"Nein"))</f>
        <v>2+3</v>
      </c>
      <c r="CD1571" s="52" t="n">
        <f aca="false">IF(BZ1571=0,0,IF(N(S1571)&gt;0,S1571,IFERROR(VLOOKUP(D1571,Parameter!$A$35:$C$64,3,0)+0,0)))</f>
        <v>0</v>
      </c>
      <c r="CE1571" s="48" t="n">
        <f aca="false">IF(AA1571&lt;&gt;"",AA1571,Z1571)</f>
        <v>3</v>
      </c>
      <c r="CF1571" s="48" t="str">
        <f aca="false">IF(OR(CE1571=1,CE1571=2,CE1571=3),IF(Parameter!$E$27="Ja","LIFT",IF(CE1571=1,"L1","L23")),IF(CE1571="Aussen","Aussen","-"))</f>
        <v>LIFT</v>
      </c>
      <c r="CG1571" s="59" t="n">
        <f aca="false">IF(N(AB1571)&gt;0,AB1571,0)</f>
        <v>0</v>
      </c>
      <c r="CH1571" s="53" t="n">
        <f aca="false">IF(ISNUMBER(AE1571),1,0)</f>
        <v>0</v>
      </c>
      <c r="CI1571" s="50" t="n">
        <f aca="false">N(AE1571)</f>
        <v>0</v>
      </c>
      <c r="CJ1571" s="50" t="n">
        <f aca="false">N(M1571)+N(N1571)</f>
        <v>30</v>
      </c>
      <c r="CK1571" s="50" t="n">
        <f aca="false">N(M1571)</f>
        <v>0</v>
      </c>
      <c r="CL1571" s="50" t="n">
        <f aca="false">N(N1571)</f>
        <v>30</v>
      </c>
      <c r="CM1571" s="50" t="n">
        <f aca="false">ROUNDUP(H1571/BY1571,0)</f>
        <v>1</v>
      </c>
      <c r="CN1571" s="50" t="n">
        <f aca="false">ROUNDUP(CI1571/BY1571,0)</f>
        <v>0</v>
      </c>
      <c r="CO1571" s="53" t="n">
        <f aca="false">IF(BZ1571=1,0,IFERROR(VLOOKUP(BX1571,'Gebinde-Kategorie'!$A$5:$N$45,5,0)+0,0))</f>
        <v>11</v>
      </c>
      <c r="CP1571" s="53" t="n">
        <f aca="false">IFERROR(IF(OR(CE1571=1,CE1571=2,CE1571=3),N(INDEX(Parameter!$I$5:$I$7,CE1571)),0),0)</f>
        <v>0</v>
      </c>
      <c r="CQ1571" s="52" t="n">
        <f aca="false">IF(AND(Parameter!$B$21="Ja",ISNUMBER(W1571),N(X1571)&gt;0),IFERROR(N(INDEX(Parameter!$L$5:$L$7,W1571))*INDEX(Parameter!$E$5:$E$7,W1571)*X1571/SUMIFS($X$7:$X$1843,$W$7:$W$1843,W1571),0),0)</f>
        <v>0</v>
      </c>
    </row>
    <row r="1572" customFormat="false" ht="15" hidden="false" customHeight="false" outlineLevel="0" collapsed="false">
      <c r="A1572" s="48" t="s">
        <v>2756</v>
      </c>
      <c r="B1572" s="48" t="s">
        <v>2757</v>
      </c>
      <c r="C1572" s="48" t="s">
        <v>173</v>
      </c>
      <c r="D1572" s="48" t="s">
        <v>193</v>
      </c>
      <c r="E1572" s="48"/>
      <c r="F1572" s="48"/>
      <c r="G1572" s="49" t="n">
        <v>0.65</v>
      </c>
      <c r="H1572" s="50" t="n">
        <f aca="false">MAX(0,IF(AND(Parameter!$B$21="Ja",ISNUMBER(Y1572)),Y1572,IF(Parameter!$B$20="Jahresanfang 2025 + Export",BR1572+BQ1572,BQ1572)))</f>
        <v>20</v>
      </c>
      <c r="I1572" s="50" t="n">
        <f aca="false">H1572*G1572</f>
        <v>13</v>
      </c>
      <c r="J1572" s="50" t="n">
        <f aca="false">BT1572*Parameter!$B$18</f>
        <v>0</v>
      </c>
      <c r="K1572" s="51"/>
      <c r="L1572" s="52"/>
      <c r="M1572" s="50" t="n">
        <v>0</v>
      </c>
      <c r="N1572" s="50" t="n">
        <v>30</v>
      </c>
      <c r="O1572" s="53" t="n">
        <v>0</v>
      </c>
      <c r="P1572" s="48" t="s">
        <v>177</v>
      </c>
      <c r="Q1572" s="50"/>
      <c r="R1572" s="53" t="n">
        <f aca="false">IF(BZ1572=1,0,IFERROR(VLOOKUP(BX1572,'Gebinde-Kategorie'!$A$5:$N$45,13,0)+0,0))</f>
        <v>26</v>
      </c>
      <c r="S1572" s="54"/>
      <c r="T1572" s="55" t="s">
        <v>284</v>
      </c>
      <c r="U1572" s="55"/>
      <c r="V1572" s="55"/>
      <c r="W1572" s="48"/>
      <c r="X1572" s="50"/>
      <c r="Y1572" s="50"/>
      <c r="Z1572" s="48" t="n">
        <f aca="false">IF(A1572="","",IF(AND(Parameter!$B$21="Ja",ISNUMBER(W1572)),W1572,IF(CC1572="2+3",IF(ISNUMBER(SEARCH("grosser Artikel",BU1572)),2,IFERROR(VLOOKUP(BX1572,Parameter!$F$35:$G$64,2,0),2)),IF(OR(CC1572="Nein",CC1572=""),"-",CC1572))))</f>
        <v>3</v>
      </c>
      <c r="AA1572" s="55"/>
      <c r="AB1572" s="56"/>
      <c r="AC1572" s="50" t="n">
        <f aca="false">AV1572</f>
        <v>30</v>
      </c>
      <c r="AD1572" s="50" t="n">
        <f aca="false">MAX(AV1572,H1572)</f>
        <v>30</v>
      </c>
      <c r="AE1572" s="57"/>
      <c r="AF1572" s="50" t="n">
        <f aca="false">IF(LEFT(Cockpit!$C$5,1)="A",H1572,IF(Parameter!$E$30="MAX-Bestand",IF(CH1572=1,CI1572,IF(LEFT(Cockpit!$C$5,1)="B",AL1572,MAX(AL1572,H1572))),ROUNDUP(AJ1572,0)))</f>
        <v>20</v>
      </c>
      <c r="AG1572" s="50" t="n">
        <f aca="false">IF(BZ1572=1,0,ROUNDUP(AF1572/BY1572,0))</f>
        <v>1</v>
      </c>
      <c r="AH1572" s="52" t="n">
        <f aca="false">IF(CQ1572&gt;0,CQ1572*MAX(1,AF1572/X1572),IF(BZ1572=1,IF(AF1572&lt;=0,0,CD1572*MAX(1,IF(H1572&gt;0,AF1572/H1572,1))),IF(R1572&gt;0,AG1572/R1572,0))/MAX(0.1,N(Parameter!$M$21)))</f>
        <v>0.0384615384615385</v>
      </c>
      <c r="AI1572" s="50" t="n">
        <f aca="false">AH1572*CB1572</f>
        <v>5.96153846153846</v>
      </c>
      <c r="AJ1572" s="51" t="n">
        <f aca="false">IF(LEFT(Cockpit!$C$5,1)="A",H1572,IF(CH1572=1,(CK1572+CI1572)/2,IF(LEFT(Cockpit!$C$5,1)="B",(CK1572+AL1572)/2,MAX((CK1572+AL1572)/2,H1572))))</f>
        <v>20</v>
      </c>
      <c r="AK1572" s="50" t="n">
        <f aca="false">AJ1572*G1572</f>
        <v>13</v>
      </c>
      <c r="AL1572" s="50" t="n">
        <f aca="false">ROUNDUP(CK1572+MAX(CL1572,2*(J1572/IF(CG1572&gt;0,CG1572,MAX(0.1,N(Cockpit!$C$6)))-CK1572)),0)</f>
        <v>30</v>
      </c>
      <c r="AM1572" s="51" t="n">
        <f aca="false">IF(AI1572&gt;0,J1572/AI1572,-1)</f>
        <v>0</v>
      </c>
      <c r="AN1572" s="51" t="n">
        <f aca="false">IF(AND(OR(CF1572="L1",CF1572="L23",CF1572="LIFT"),AI1572&gt;0),SUMIFS($AI$7:$AI$1843,$CF$7:$CF$1843,CF1572,$AM$7:$AM$1843,"&gt;"&amp;AM1572)+SUMIFS($AI$7:$AI$1843,$CF$7:$CF$1843,CF1572,$AM$7:$AM$1843,AM1572,$BW$7:$BW$1843,"&lt;="&amp;BW1572),"")</f>
        <v>30360.7567232673</v>
      </c>
      <c r="AO1572" s="58" t="n">
        <f aca="false">IF(AN1572="",0,MAX(0,MIN(1,(IF(CF1572="L1",Parameter!$H$5,IF(CF1572="L23",Parameter!$H$6+Parameter!$H$7,Parameter!$H$5+Parameter!$H$6+Parameter!$H$7))-(AN1572-AI1572))/AI1572)))</f>
        <v>1</v>
      </c>
      <c r="AP1572" s="50" t="n">
        <f aca="false">IF(LEFT(Cockpit!$I$5,1)="A",H1572,IF(Parameter!$E$30="MAX-Bestand",IF(CH1572=1,CI1572,IF(LEFT(Cockpit!$I$5,1)="B",AV1572,MAX(AV1572,H1572))),ROUNDUP(AT1572,0)))</f>
        <v>20</v>
      </c>
      <c r="AQ1572" s="50" t="n">
        <f aca="false">IF(BZ1572=1,0,ROUNDUP(AP1572/BY1572,0))</f>
        <v>1</v>
      </c>
      <c r="AR1572" s="52" t="n">
        <f aca="false">IF(CQ1572&gt;0,CQ1572*MAX(1,AP1572/X1572),IF(BZ1572=1,IF(AP1572&lt;=0,0,CD1572*MAX(1,IF(H1572&gt;0,AP1572/H1572,1))),IF(R1572&gt;0,AQ1572/R1572,0))/MAX(0.1,N(Parameter!$M$21)))</f>
        <v>0.0384615384615385</v>
      </c>
      <c r="AS1572" s="50" t="n">
        <f aca="false">AR1572*CB1572</f>
        <v>5.96153846153846</v>
      </c>
      <c r="AT1572" s="51" t="n">
        <f aca="false">IF(LEFT(Cockpit!$I$5,1)="A",H1572,IF(CH1572=1,(CK1572+CI1572)/2,IF(LEFT(Cockpit!$I$5,1)="B",(CK1572+AV1572)/2,MAX((CK1572+AV1572)/2,H1572))))</f>
        <v>20</v>
      </c>
      <c r="AU1572" s="50" t="n">
        <f aca="false">AT1572*G1572</f>
        <v>13</v>
      </c>
      <c r="AV1572" s="50" t="n">
        <f aca="false">ROUNDUP(CK1572+MAX(CL1572,2*(J1572/IF(CG1572&gt;0,CG1572,MAX(0.1,N(Cockpit!$I$6)))-CK1572)),0)</f>
        <v>30</v>
      </c>
      <c r="AW1572" s="51" t="n">
        <f aca="false">IF(AS1572&gt;0,J1572/AS1572,-1)</f>
        <v>0</v>
      </c>
      <c r="AX1572" s="51" t="n">
        <f aca="false">IF(AND(OR(CF1572="L1",CF1572="L23",CF1572="LIFT"),AS1572&gt;0),SUMIFS($AS$7:$AS$1843,$CF$7:$CF$1843,CF1572,$AW$7:$AW$1843,"&gt;"&amp;AW1572)+SUMIFS($AS$7:$AS$1843,$CF$7:$CF$1843,CF1572,$AW$7:$AW$1843,AW1572,$BW$7:$BW$1843,"&lt;="&amp;BW1572),"")</f>
        <v>36680.6132401027</v>
      </c>
      <c r="AY1572" s="58" t="n">
        <f aca="false">IF(AX1572="",0,MAX(0,MIN(1,(IF(CF1572="L1",Parameter!$H$5,IF(CF1572="L23",Parameter!$H$6+Parameter!$H$7,Parameter!$H$5+Parameter!$H$6+Parameter!$H$7))-(AX1572-AS1572))/AS1572)))</f>
        <v>0</v>
      </c>
      <c r="AZ1572" s="50" t="n">
        <f aca="false">IF(LEFT(Cockpit!$O$5,1)="A",H1572,IF(Parameter!$E$30="MAX-Bestand",IF(CH1572=1,CI1572,IF(LEFT(Cockpit!$O$5,1)="B",BF1572,MAX(BF1572,H1572))),ROUNDUP(BD1572,0)))</f>
        <v>15</v>
      </c>
      <c r="BA1572" s="50" t="n">
        <f aca="false">IF(BZ1572=1,0,ROUNDUP(AZ1572/BY1572,0))</f>
        <v>1</v>
      </c>
      <c r="BB1572" s="52" t="n">
        <f aca="false">IF(CQ1572&gt;0,CQ1572*MAX(1,AZ1572/X1572),IF(BZ1572=1,IF(AZ1572&lt;=0,0,CD1572*MAX(1,IF(H1572&gt;0,AZ1572/H1572,1))),IF(R1572&gt;0,BA1572/R1572,0))/MAX(0.1,N(Parameter!$M$21)))</f>
        <v>0.0384615384615385</v>
      </c>
      <c r="BC1572" s="50" t="n">
        <f aca="false">BB1572*CB1572</f>
        <v>5.96153846153846</v>
      </c>
      <c r="BD1572" s="51" t="n">
        <f aca="false">IF(LEFT(Cockpit!$O$5,1)="A",H1572,IF(CH1572=1,(CK1572+CI1572)/2,IF(LEFT(Cockpit!$O$5,1)="B",(CK1572+BF1572)/2,MAX((CK1572+BF1572)/2,H1572))))</f>
        <v>15</v>
      </c>
      <c r="BE1572" s="50" t="n">
        <f aca="false">BD1572*G1572</f>
        <v>9.75</v>
      </c>
      <c r="BF1572" s="50" t="n">
        <f aca="false">ROUNDUP(CK1572+MAX(CL1572,2*(J1572/IF(CG1572&gt;0,CG1572,MAX(0.1,N(Cockpit!$O$6)))-CK1572)),0)</f>
        <v>30</v>
      </c>
      <c r="BG1572" s="51" t="n">
        <f aca="false">IF(BC1572&gt;0,J1572/BC1572,-1)</f>
        <v>0</v>
      </c>
      <c r="BH1572" s="51" t="n">
        <f aca="false">IF(AND(OR(CF1572="L1",CF1572="L23",CF1572="LIFT"),BC1572&gt;0),SUMIFS($BC$7:$BC$1843,$CF$7:$CF$1843,CF1572,$BG$7:$BG$1843,"&gt;"&amp;BG1572)+SUMIFS($BC$7:$BC$1843,$CF$7:$CF$1843,CF1572,$BG$7:$BG$1843,BG1572,$BW$7:$BW$1843,"&lt;="&amp;BW1572),"")</f>
        <v>30590.054515635</v>
      </c>
      <c r="BI1572" s="58" t="n">
        <f aca="false">IF(BH1572="",0,MAX(0,MIN(1,(IF(CF1572="L1",Parameter!$H$5,IF(CF1572="L23",Parameter!$H$6+Parameter!$H$7,Parameter!$H$5+Parameter!$H$6+Parameter!$H$7))-(BH1572-BC1572))/BC1572)))</f>
        <v>1</v>
      </c>
      <c r="BJ1572" s="48" t="str">
        <f aca="false">IF(AI1572&lt;=0,"",IF(CF1572="Aussen","Aussenlager",IF(CF1572="-","Nicht im Lift",IF(AO1572&gt;=1,"Lift",IF(AO1572&lt;=0,"Aussenlager","teilweise")))))</f>
        <v>Lift</v>
      </c>
      <c r="BK1572" s="48" t="str">
        <f aca="false">IF(AS1572&lt;=0,"",IF(CF1572="Aussen","Aussenlager",IF(CF1572="-","Nicht im Lift",IF(AY1572&gt;=1,"Lift",IF(AY1572&lt;=0,"Aussenlager","teilweise")))))</f>
        <v>Aussenlager</v>
      </c>
      <c r="BL1572" s="48" t="str">
        <f aca="false">IF(BC1572&lt;=0,"",IF(CF1572="Aussen","Aussenlager",IF(CF1572="-","Nicht im Lift",IF(BI1572&gt;=1,"Lift",IF(BI1572&lt;=0,"Aussenlager","teilweise")))))</f>
        <v>Lift</v>
      </c>
      <c r="BM1572" s="48" t="str">
        <f aca="false">IF(A1572="","",IF(BV1572=1,"Neu; ","")&amp;IF(AND(BV1572=0,BQ1572&lt;0),"negativer Bestand (Export "&amp;BQ1572&amp;"); ","")&amp;IF(J1572&lt;=0,"Kein Verbrauch; ","")&amp;IF(CQ1572&gt;0,"Lift "&amp;W1572&amp;" lt. Liftbericht (Fach "&amp;X1572&amp;" Stk); ",IF(CA1572=1,"Gebinde geschätzt ("&amp;T1572&amp;"); ",IF(BZ1572=1,"Lose – Tablare geschätzt; ","")))&amp;IF(H1572&gt;AV1572,"Überbestand "&amp;ROUND(H1572-AV1572,0)&amp;" Stk / CHF "&amp;ROUND((H1572-AV1572)*G1572,0)&amp;"; ","")&amp;IF(AND(CH1572=1,CI1572&lt;CJ1572),"MAX &lt; MB+LG; ","")&amp;IF(AND(CP1572&gt;0,CO1572*10&gt;CP1572),"zu hoch für Tablar; ","")&amp;IF(AND(BV1572=0,OR(CH1572=1,AA1572&lt;&gt;"",U1572&lt;&gt;"",V1572&lt;&gt;"",AB1572&lt;&gt;"")),"manuell übersteuert; ","")&amp;IF(AND(BZ1572=0,R1572=0),"Gebinde unbekannt / Stellmass fehlt; ","")&amp;IF(AND(BZ1572=0,N(V1572)&lt;=0,N(Q1572)&lt;=0),"Menge pro Gebinde fehlt (Ist = 1 Gebinde); ","")&amp;BU1572)</f>
        <v>Kein Verbrauch; Gebinde geschätzt (Klein); Menge pro Gebinde fehlt (Ist = 1 Gebinde); nur im Artikelstamm (Bestand 23.06.2026)</v>
      </c>
      <c r="BN1572" s="48"/>
      <c r="BO1572" s="48"/>
      <c r="BP1572" s="55"/>
      <c r="BQ1572" s="50" t="n">
        <v>20</v>
      </c>
      <c r="BR1572" s="50" t="n">
        <v>0</v>
      </c>
      <c r="BS1572" s="49" t="n">
        <v>0</v>
      </c>
      <c r="BT1572" s="50" t="n">
        <v>0</v>
      </c>
      <c r="BU1572" s="48" t="s">
        <v>2584</v>
      </c>
      <c r="BV1572" s="53" t="n">
        <v>0</v>
      </c>
      <c r="BW1572" s="53" t="n">
        <v>1572</v>
      </c>
      <c r="BX1572" s="48" t="str">
        <f aca="false">IF(U1572&lt;&gt;"",UPPER(TRIM(U1572)),IF(CA1572=1,UPPER(VLOOKUP(T1572,Parameter!$I$27:$K$29,2,0)),IF(P1572="","LOSE",P1572)))</f>
        <v>S51</v>
      </c>
      <c r="BY1572" s="50" t="n">
        <f aca="false">IF(BX1572="LOSE",1,IF(N(V1572)&gt;0,V1572,IF(CA1572=1,MAX(1,N(VLOOKUP(T1572,Parameter!$I$27:$K$29,3,0)),H1572,N(N1572)),IF(N(Q1572)&gt;0,Q1572,MAX(1,H1572)))))</f>
        <v>30</v>
      </c>
      <c r="BZ1572" s="53" t="n">
        <f aca="false">IF(BX1572="LOSE",1,0)</f>
        <v>0</v>
      </c>
      <c r="CA1572" s="53" t="n">
        <f aca="false">IF(AND(U1572="",OR(P1572="",P1572="LOSE"),T1572&lt;&gt;"",N(S1572)&lt;=0,ISNUMBER(MATCH(T1572,Parameter!$I$27:$I$29,0))),1,0)</f>
        <v>1</v>
      </c>
      <c r="CB1572" s="53" t="n">
        <f aca="false">IF(CQ1572&gt;0,INDEX(Parameter!$H$5:$H$7,W1572)/INDEX(Parameter!$E$5:$E$7,W1572),IF(AND(BZ1572=0,N(IFERROR(VLOOKUP(BX1572,'Gebinde-Kategorie'!$A$5:$N$45,14,0),0))&gt;0),VLOOKUP(BX1572,'Gebinde-Kategorie'!$A$5:$N$45,14,0)*10+Parameter!$M$23,Parameter!$M$24))</f>
        <v>155</v>
      </c>
      <c r="CC1572" s="48" t="str">
        <f aca="false">IF(AND(Parameter!$B$19="Ja",E1572&lt;&gt;"",ISNUMBER(MATCH(E1572,Parameter!$I$35:$I$52,0))),VLOOKUP(E1572,Parameter!$I$35:$J$52,2,0),IFERROR(VLOOKUP(D1572,Parameter!$A$35:$C$64,2,0),"Nein"))</f>
        <v>2+3</v>
      </c>
      <c r="CD1572" s="52" t="n">
        <f aca="false">IF(BZ1572=0,0,IF(N(S1572)&gt;0,S1572,IFERROR(VLOOKUP(D1572,Parameter!$A$35:$C$64,3,0)+0,0)))</f>
        <v>0</v>
      </c>
      <c r="CE1572" s="48" t="n">
        <f aca="false">IF(AA1572&lt;&gt;"",AA1572,Z1572)</f>
        <v>3</v>
      </c>
      <c r="CF1572" s="48" t="str">
        <f aca="false">IF(OR(CE1572=1,CE1572=2,CE1572=3),IF(Parameter!$E$27="Ja","LIFT",IF(CE1572=1,"L1","L23")),IF(CE1572="Aussen","Aussen","-"))</f>
        <v>LIFT</v>
      </c>
      <c r="CG1572" s="59" t="n">
        <f aca="false">IF(N(AB1572)&gt;0,AB1572,0)</f>
        <v>0</v>
      </c>
      <c r="CH1572" s="53" t="n">
        <f aca="false">IF(ISNUMBER(AE1572),1,0)</f>
        <v>0</v>
      </c>
      <c r="CI1572" s="50" t="n">
        <f aca="false">N(AE1572)</f>
        <v>0</v>
      </c>
      <c r="CJ1572" s="50" t="n">
        <f aca="false">N(M1572)+N(N1572)</f>
        <v>30</v>
      </c>
      <c r="CK1572" s="50" t="n">
        <f aca="false">N(M1572)</f>
        <v>0</v>
      </c>
      <c r="CL1572" s="50" t="n">
        <f aca="false">N(N1572)</f>
        <v>30</v>
      </c>
      <c r="CM1572" s="50" t="n">
        <f aca="false">ROUNDUP(H1572/BY1572,0)</f>
        <v>1</v>
      </c>
      <c r="CN1572" s="50" t="n">
        <f aca="false">ROUNDUP(CI1572/BY1572,0)</f>
        <v>0</v>
      </c>
      <c r="CO1572" s="53" t="n">
        <f aca="false">IF(BZ1572=1,0,IFERROR(VLOOKUP(BX1572,'Gebinde-Kategorie'!$A$5:$N$45,5,0)+0,0))</f>
        <v>11</v>
      </c>
      <c r="CP1572" s="53" t="n">
        <f aca="false">IFERROR(IF(OR(CE1572=1,CE1572=2,CE1572=3),N(INDEX(Parameter!$I$5:$I$7,CE1572)),0),0)</f>
        <v>0</v>
      </c>
      <c r="CQ1572" s="52" t="n">
        <f aca="false">IF(AND(Parameter!$B$21="Ja",ISNUMBER(W1572),N(X1572)&gt;0),IFERROR(N(INDEX(Parameter!$L$5:$L$7,W1572))*INDEX(Parameter!$E$5:$E$7,W1572)*X1572/SUMIFS($X$7:$X$1843,$W$7:$W$1843,W1572),0),0)</f>
        <v>0</v>
      </c>
    </row>
    <row r="1573" customFormat="false" ht="15" hidden="false" customHeight="false" outlineLevel="0" collapsed="false">
      <c r="A1573" s="48" t="s">
        <v>2758</v>
      </c>
      <c r="B1573" s="48" t="s">
        <v>2747</v>
      </c>
      <c r="C1573" s="48" t="s">
        <v>173</v>
      </c>
      <c r="D1573" s="48" t="s">
        <v>193</v>
      </c>
      <c r="E1573" s="48"/>
      <c r="F1573" s="48"/>
      <c r="G1573" s="49" t="n">
        <v>486.19</v>
      </c>
      <c r="H1573" s="50" t="n">
        <f aca="false">MAX(0,IF(AND(Parameter!$B$21="Ja",ISNUMBER(Y1573)),Y1573,IF(Parameter!$B$20="Jahresanfang 2025 + Export",BR1573+BQ1573,BQ1573)))</f>
        <v>4</v>
      </c>
      <c r="I1573" s="50" t="n">
        <f aca="false">H1573*G1573</f>
        <v>1944.76</v>
      </c>
      <c r="J1573" s="50" t="n">
        <f aca="false">BT1573*Parameter!$B$18</f>
        <v>0</v>
      </c>
      <c r="K1573" s="51"/>
      <c r="L1573" s="52"/>
      <c r="M1573" s="50" t="n">
        <v>0</v>
      </c>
      <c r="N1573" s="50" t="n">
        <v>1</v>
      </c>
      <c r="O1573" s="53" t="n">
        <v>21</v>
      </c>
      <c r="P1573" s="48" t="s">
        <v>177</v>
      </c>
      <c r="Q1573" s="50"/>
      <c r="R1573" s="53" t="n">
        <f aca="false">IF(BZ1573=1,0,IFERROR(VLOOKUP(BX1573,'Gebinde-Kategorie'!$A$5:$N$45,13,0)+0,0))</f>
        <v>12</v>
      </c>
      <c r="S1573" s="54"/>
      <c r="T1573" s="55" t="s">
        <v>188</v>
      </c>
      <c r="U1573" s="55"/>
      <c r="V1573" s="55"/>
      <c r="W1573" s="48"/>
      <c r="X1573" s="50"/>
      <c r="Y1573" s="50"/>
      <c r="Z1573" s="48" t="n">
        <f aca="false">IF(A1573="","",IF(AND(Parameter!$B$21="Ja",ISNUMBER(W1573)),W1573,IF(CC1573="2+3",IF(ISNUMBER(SEARCH("grosser Artikel",BU1573)),2,IFERROR(VLOOKUP(BX1573,Parameter!$F$35:$G$64,2,0),2)),IF(OR(CC1573="Nein",CC1573=""),"-",CC1573))))</f>
        <v>2</v>
      </c>
      <c r="AA1573" s="55"/>
      <c r="AB1573" s="56"/>
      <c r="AC1573" s="50" t="n">
        <f aca="false">AV1573</f>
        <v>1</v>
      </c>
      <c r="AD1573" s="50" t="n">
        <f aca="false">MAX(AV1573,H1573)</f>
        <v>4</v>
      </c>
      <c r="AE1573" s="57"/>
      <c r="AF1573" s="50" t="n">
        <f aca="false">IF(LEFT(Cockpit!$C$5,1)="A",H1573,IF(Parameter!$E$30="MAX-Bestand",IF(CH1573=1,CI1573,IF(LEFT(Cockpit!$C$5,1)="B",AL1573,MAX(AL1573,H1573))),ROUNDUP(AJ1573,0)))</f>
        <v>4</v>
      </c>
      <c r="AG1573" s="50" t="n">
        <f aca="false">IF(BZ1573=1,0,ROUNDUP(AF1573/BY1573,0))</f>
        <v>1</v>
      </c>
      <c r="AH1573" s="52" t="n">
        <f aca="false">IF(CQ1573&gt;0,CQ1573*MAX(1,AF1573/X1573),IF(BZ1573=1,IF(AF1573&lt;=0,0,CD1573*MAX(1,IF(H1573&gt;0,AF1573/H1573,1))),IF(R1573&gt;0,AG1573/R1573,0))/MAX(0.1,N(Parameter!$M$21)))</f>
        <v>0.0833333333333333</v>
      </c>
      <c r="AI1573" s="50" t="n">
        <f aca="false">AH1573*CB1573</f>
        <v>12.0833333333333</v>
      </c>
      <c r="AJ1573" s="51" t="n">
        <f aca="false">IF(LEFT(Cockpit!$C$5,1)="A",H1573,IF(CH1573=1,(CK1573+CI1573)/2,IF(LEFT(Cockpit!$C$5,1)="B",(CK1573+AL1573)/2,MAX((CK1573+AL1573)/2,H1573))))</f>
        <v>4</v>
      </c>
      <c r="AK1573" s="50" t="n">
        <f aca="false">AJ1573*G1573</f>
        <v>1944.76</v>
      </c>
      <c r="AL1573" s="50" t="n">
        <f aca="false">ROUNDUP(CK1573+MAX(CL1573,2*(J1573/IF(CG1573&gt;0,CG1573,MAX(0.1,N(Cockpit!$C$6)))-CK1573)),0)</f>
        <v>1</v>
      </c>
      <c r="AM1573" s="51" t="n">
        <f aca="false">IF(AI1573&gt;0,J1573/AI1573,-1)</f>
        <v>0</v>
      </c>
      <c r="AN1573" s="51" t="n">
        <f aca="false">IF(AND(OR(CF1573="L1",CF1573="L23",CF1573="LIFT"),AI1573&gt;0),SUMIFS($AI$7:$AI$1843,$CF$7:$CF$1843,CF1573,$AM$7:$AM$1843,"&gt;"&amp;AM1573)+SUMIFS($AI$7:$AI$1843,$CF$7:$CF$1843,CF1573,$AM$7:$AM$1843,AM1573,$BW$7:$BW$1843,"&lt;="&amp;BW1573),"")</f>
        <v>30372.8400566007</v>
      </c>
      <c r="AO1573" s="58" t="n">
        <f aca="false">IF(AN1573="",0,MAX(0,MIN(1,(IF(CF1573="L1",Parameter!$H$5,IF(CF1573="L23",Parameter!$H$6+Parameter!$H$7,Parameter!$H$5+Parameter!$H$6+Parameter!$H$7))-(AN1573-AI1573))/AI1573)))</f>
        <v>1</v>
      </c>
      <c r="AP1573" s="50" t="n">
        <f aca="false">IF(LEFT(Cockpit!$I$5,1)="A",H1573,IF(Parameter!$E$30="MAX-Bestand",IF(CH1573=1,CI1573,IF(LEFT(Cockpit!$I$5,1)="B",AV1573,MAX(AV1573,H1573))),ROUNDUP(AT1573,0)))</f>
        <v>4</v>
      </c>
      <c r="AQ1573" s="50" t="n">
        <f aca="false">IF(BZ1573=1,0,ROUNDUP(AP1573/BY1573,0))</f>
        <v>1</v>
      </c>
      <c r="AR1573" s="52" t="n">
        <f aca="false">IF(CQ1573&gt;0,CQ1573*MAX(1,AP1573/X1573),IF(BZ1573=1,IF(AP1573&lt;=0,0,CD1573*MAX(1,IF(H1573&gt;0,AP1573/H1573,1))),IF(R1573&gt;0,AQ1573/R1573,0))/MAX(0.1,N(Parameter!$M$21)))</f>
        <v>0.0833333333333333</v>
      </c>
      <c r="AS1573" s="50" t="n">
        <f aca="false">AR1573*CB1573</f>
        <v>12.0833333333333</v>
      </c>
      <c r="AT1573" s="51" t="n">
        <f aca="false">IF(LEFT(Cockpit!$I$5,1)="A",H1573,IF(CH1573=1,(CK1573+CI1573)/2,IF(LEFT(Cockpit!$I$5,1)="B",(CK1573+AV1573)/2,MAX((CK1573+AV1573)/2,H1573))))</f>
        <v>4</v>
      </c>
      <c r="AU1573" s="50" t="n">
        <f aca="false">AT1573*G1573</f>
        <v>1944.76</v>
      </c>
      <c r="AV1573" s="50" t="n">
        <f aca="false">ROUNDUP(CK1573+MAX(CL1573,2*(J1573/IF(CG1573&gt;0,CG1573,MAX(0.1,N(Cockpit!$I$6)))-CK1573)),0)</f>
        <v>1</v>
      </c>
      <c r="AW1573" s="51" t="n">
        <f aca="false">IF(AS1573&gt;0,J1573/AS1573,-1)</f>
        <v>0</v>
      </c>
      <c r="AX1573" s="51" t="n">
        <f aca="false">IF(AND(OR(CF1573="L1",CF1573="L23",CF1573="LIFT"),AS1573&gt;0),SUMIFS($AS$7:$AS$1843,$CF$7:$CF$1843,CF1573,$AW$7:$AW$1843,"&gt;"&amp;AW1573)+SUMIFS($AS$7:$AS$1843,$CF$7:$CF$1843,CF1573,$AW$7:$AW$1843,AW1573,$BW$7:$BW$1843,"&lt;="&amp;BW1573),"")</f>
        <v>36692.696573436</v>
      </c>
      <c r="AY1573" s="58" t="n">
        <f aca="false">IF(AX1573="",0,MAX(0,MIN(1,(IF(CF1573="L1",Parameter!$H$5,IF(CF1573="L23",Parameter!$H$6+Parameter!$H$7,Parameter!$H$5+Parameter!$H$6+Parameter!$H$7))-(AX1573-AS1573))/AS1573)))</f>
        <v>0</v>
      </c>
      <c r="AZ1573" s="50" t="n">
        <f aca="false">IF(LEFT(Cockpit!$O$5,1)="A",H1573,IF(Parameter!$E$30="MAX-Bestand",IF(CH1573=1,CI1573,IF(LEFT(Cockpit!$O$5,1)="B",BF1573,MAX(BF1573,H1573))),ROUNDUP(BD1573,0)))</f>
        <v>1</v>
      </c>
      <c r="BA1573" s="50" t="n">
        <f aca="false">IF(BZ1573=1,0,ROUNDUP(AZ1573/BY1573,0))</f>
        <v>1</v>
      </c>
      <c r="BB1573" s="52" t="n">
        <f aca="false">IF(CQ1573&gt;0,CQ1573*MAX(1,AZ1573/X1573),IF(BZ1573=1,IF(AZ1573&lt;=0,0,CD1573*MAX(1,IF(H1573&gt;0,AZ1573/H1573,1))),IF(R1573&gt;0,BA1573/R1573,0))/MAX(0.1,N(Parameter!$M$21)))</f>
        <v>0.0833333333333333</v>
      </c>
      <c r="BC1573" s="50" t="n">
        <f aca="false">BB1573*CB1573</f>
        <v>12.0833333333333</v>
      </c>
      <c r="BD1573" s="51" t="n">
        <f aca="false">IF(LEFT(Cockpit!$O$5,1)="A",H1573,IF(CH1573=1,(CK1573+CI1573)/2,IF(LEFT(Cockpit!$O$5,1)="B",(CK1573+BF1573)/2,MAX((CK1573+BF1573)/2,H1573))))</f>
        <v>0.5</v>
      </c>
      <c r="BE1573" s="50" t="n">
        <f aca="false">BD1573*G1573</f>
        <v>243.095</v>
      </c>
      <c r="BF1573" s="50" t="n">
        <f aca="false">ROUNDUP(CK1573+MAX(CL1573,2*(J1573/IF(CG1573&gt;0,CG1573,MAX(0.1,N(Cockpit!$O$6)))-CK1573)),0)</f>
        <v>1</v>
      </c>
      <c r="BG1573" s="51" t="n">
        <f aca="false">IF(BC1573&gt;0,J1573/BC1573,-1)</f>
        <v>0</v>
      </c>
      <c r="BH1573" s="51" t="n">
        <f aca="false">IF(AND(OR(CF1573="L1",CF1573="L23",CF1573="LIFT"),BC1573&gt;0),SUMIFS($BC$7:$BC$1843,$CF$7:$CF$1843,CF1573,$BG$7:$BG$1843,"&gt;"&amp;BG1573)+SUMIFS($BC$7:$BC$1843,$CF$7:$CF$1843,CF1573,$BG$7:$BG$1843,BG1573,$BW$7:$BW$1843,"&lt;="&amp;BW1573),"")</f>
        <v>30602.1378489684</v>
      </c>
      <c r="BI1573" s="58" t="n">
        <f aca="false">IF(BH1573="",0,MAX(0,MIN(1,(IF(CF1573="L1",Parameter!$H$5,IF(CF1573="L23",Parameter!$H$6+Parameter!$H$7,Parameter!$H$5+Parameter!$H$6+Parameter!$H$7))-(BH1573-BC1573))/BC1573)))</f>
        <v>1</v>
      </c>
      <c r="BJ1573" s="48" t="str">
        <f aca="false">IF(AI1573&lt;=0,"",IF(CF1573="Aussen","Aussenlager",IF(CF1573="-","Nicht im Lift",IF(AO1573&gt;=1,"Lift",IF(AO1573&lt;=0,"Aussenlager","teilweise")))))</f>
        <v>Lift</v>
      </c>
      <c r="BK1573" s="48" t="str">
        <f aca="false">IF(AS1573&lt;=0,"",IF(CF1573="Aussen","Aussenlager",IF(CF1573="-","Nicht im Lift",IF(AY1573&gt;=1,"Lift",IF(AY1573&lt;=0,"Aussenlager","teilweise")))))</f>
        <v>Aussenlager</v>
      </c>
      <c r="BL1573" s="48" t="str">
        <f aca="false">IF(BC1573&lt;=0,"",IF(CF1573="Aussen","Aussenlager",IF(CF1573="-","Nicht im Lift",IF(BI1573&gt;=1,"Lift",IF(BI1573&lt;=0,"Aussenlager","teilweise")))))</f>
        <v>Lift</v>
      </c>
      <c r="BM1573" s="48" t="str">
        <f aca="false">IF(A1573="","",IF(BV1573=1,"Neu; ","")&amp;IF(AND(BV1573=0,BQ1573&lt;0),"negativer Bestand (Export "&amp;BQ1573&amp;"); ","")&amp;IF(J1573&lt;=0,"Kein Verbrauch; ","")&amp;IF(CQ1573&gt;0,"Lift "&amp;W1573&amp;" lt. Liftbericht (Fach "&amp;X1573&amp;" Stk); ",IF(CA1573=1,"Gebinde geschätzt ("&amp;T1573&amp;"); ",IF(BZ1573=1,"Lose – Tablare geschätzt; ","")))&amp;IF(H1573&gt;AV1573,"Überbestand "&amp;ROUND(H1573-AV1573,0)&amp;" Stk / CHF "&amp;ROUND((H1573-AV1573)*G1573,0)&amp;"; ","")&amp;IF(AND(CH1573=1,CI1573&lt;CJ1573),"MAX &lt; MB+LG; ","")&amp;IF(AND(CP1573&gt;0,CO1573*10&gt;CP1573),"zu hoch für Tablar; ","")&amp;IF(AND(BV1573=0,OR(CH1573=1,AA1573&lt;&gt;"",U1573&lt;&gt;"",V1573&lt;&gt;"",AB1573&lt;&gt;"")),"manuell übersteuert; ","")&amp;IF(AND(BZ1573=0,R1573=0),"Gebinde unbekannt / Stellmass fehlt; ","")&amp;IF(AND(BZ1573=0,N(V1573)&lt;=0,N(Q1573)&lt;=0),"Menge pro Gebinde fehlt (Ist = 1 Gebinde); ","")&amp;BU1573)</f>
        <v>Kein Verbrauch; Gebinde geschätzt (Mittel); Überbestand 3 Stk / CHF 1459; Menge pro Gebinde fehlt (Ist = 1 Gebinde); nur im Artikelstamm (Bestand 23.06.2026)</v>
      </c>
      <c r="BN1573" s="48"/>
      <c r="BO1573" s="48"/>
      <c r="BP1573" s="55"/>
      <c r="BQ1573" s="50" t="n">
        <v>4</v>
      </c>
      <c r="BR1573" s="50" t="n">
        <v>0</v>
      </c>
      <c r="BS1573" s="49" t="n">
        <v>0</v>
      </c>
      <c r="BT1573" s="50" t="n">
        <v>0</v>
      </c>
      <c r="BU1573" s="48" t="s">
        <v>2584</v>
      </c>
      <c r="BV1573" s="53" t="n">
        <v>0</v>
      </c>
      <c r="BW1573" s="53" t="n">
        <v>1573</v>
      </c>
      <c r="BX1573" s="48" t="str">
        <f aca="false">IF(U1573&lt;&gt;"",UPPER(TRIM(U1573)),IF(CA1573=1,UPPER(VLOOKUP(T1573,Parameter!$I$27:$K$29,2,0)),IF(P1573="","LOSE",P1573)))</f>
        <v>S61</v>
      </c>
      <c r="BY1573" s="50" t="n">
        <f aca="false">IF(BX1573="LOSE",1,IF(N(V1573)&gt;0,V1573,IF(CA1573=1,MAX(1,N(VLOOKUP(T1573,Parameter!$I$27:$K$29,3,0)),H1573,N(N1573)),IF(N(Q1573)&gt;0,Q1573,MAX(1,H1573)))))</f>
        <v>4</v>
      </c>
      <c r="BZ1573" s="53" t="n">
        <f aca="false">IF(BX1573="LOSE",1,0)</f>
        <v>0</v>
      </c>
      <c r="CA1573" s="53" t="n">
        <f aca="false">IF(AND(U1573="",OR(P1573="",P1573="LOSE"),T1573&lt;&gt;"",N(S1573)&lt;=0,ISNUMBER(MATCH(T1573,Parameter!$I$27:$I$29,0))),1,0)</f>
        <v>1</v>
      </c>
      <c r="CB1573" s="53" t="n">
        <f aca="false">IF(CQ1573&gt;0,INDEX(Parameter!$H$5:$H$7,W1573)/INDEX(Parameter!$E$5:$E$7,W1573),IF(AND(BZ1573=0,N(IFERROR(VLOOKUP(BX1573,'Gebinde-Kategorie'!$A$5:$N$45,14,0),0))&gt;0),VLOOKUP(BX1573,'Gebinde-Kategorie'!$A$5:$N$45,14,0)*10+Parameter!$M$23,Parameter!$M$24))</f>
        <v>145</v>
      </c>
      <c r="CC1573" s="48" t="str">
        <f aca="false">IF(AND(Parameter!$B$19="Ja",E1573&lt;&gt;"",ISNUMBER(MATCH(E1573,Parameter!$I$35:$I$52,0))),VLOOKUP(E1573,Parameter!$I$35:$J$52,2,0),IFERROR(VLOOKUP(D1573,Parameter!$A$35:$C$64,2,0),"Nein"))</f>
        <v>2+3</v>
      </c>
      <c r="CD1573" s="52" t="n">
        <f aca="false">IF(BZ1573=0,0,IF(N(S1573)&gt;0,S1573,IFERROR(VLOOKUP(D1573,Parameter!$A$35:$C$64,3,0)+0,0)))</f>
        <v>0</v>
      </c>
      <c r="CE1573" s="48" t="n">
        <f aca="false">IF(AA1573&lt;&gt;"",AA1573,Z1573)</f>
        <v>2</v>
      </c>
      <c r="CF1573" s="48" t="str">
        <f aca="false">IF(OR(CE1573=1,CE1573=2,CE1573=3),IF(Parameter!$E$27="Ja","LIFT",IF(CE1573=1,"L1","L23")),IF(CE1573="Aussen","Aussen","-"))</f>
        <v>LIFT</v>
      </c>
      <c r="CG1573" s="59" t="n">
        <f aca="false">IF(N(AB1573)&gt;0,AB1573,0)</f>
        <v>0</v>
      </c>
      <c r="CH1573" s="53" t="n">
        <f aca="false">IF(ISNUMBER(AE1573),1,0)</f>
        <v>0</v>
      </c>
      <c r="CI1573" s="50" t="n">
        <f aca="false">N(AE1573)</f>
        <v>0</v>
      </c>
      <c r="CJ1573" s="50" t="n">
        <f aca="false">N(M1573)+N(N1573)</f>
        <v>1</v>
      </c>
      <c r="CK1573" s="50" t="n">
        <f aca="false">N(M1573)</f>
        <v>0</v>
      </c>
      <c r="CL1573" s="50" t="n">
        <f aca="false">N(N1573)</f>
        <v>1</v>
      </c>
      <c r="CM1573" s="50" t="n">
        <f aca="false">ROUNDUP(H1573/BY1573,0)</f>
        <v>1</v>
      </c>
      <c r="CN1573" s="50" t="n">
        <f aca="false">ROUNDUP(CI1573/BY1573,0)</f>
        <v>0</v>
      </c>
      <c r="CO1573" s="53" t="n">
        <f aca="false">IF(BZ1573=1,0,IFERROR(VLOOKUP(BX1573,'Gebinde-Kategorie'!$A$5:$N$45,5,0)+0,0))</f>
        <v>11</v>
      </c>
      <c r="CP1573" s="53" t="n">
        <f aca="false">IFERROR(IF(OR(CE1573=1,CE1573=2,CE1573=3),N(INDEX(Parameter!$I$5:$I$7,CE1573)),0),0)</f>
        <v>0</v>
      </c>
      <c r="CQ1573" s="52" t="n">
        <f aca="false">IF(AND(Parameter!$B$21="Ja",ISNUMBER(W1573),N(X1573)&gt;0),IFERROR(N(INDEX(Parameter!$L$5:$L$7,W1573))*INDEX(Parameter!$E$5:$E$7,W1573)*X1573/SUMIFS($X$7:$X$1843,$W$7:$W$1843,W1573),0),0)</f>
        <v>0</v>
      </c>
    </row>
    <row r="1574" customFormat="false" ht="15" hidden="false" customHeight="false" outlineLevel="0" collapsed="false">
      <c r="A1574" s="48" t="s">
        <v>2759</v>
      </c>
      <c r="B1574" s="48" t="s">
        <v>2755</v>
      </c>
      <c r="C1574" s="48" t="s">
        <v>173</v>
      </c>
      <c r="D1574" s="48" t="s">
        <v>193</v>
      </c>
      <c r="E1574" s="48"/>
      <c r="F1574" s="48"/>
      <c r="G1574" s="49" t="n">
        <v>4.22</v>
      </c>
      <c r="H1574" s="50" t="n">
        <f aca="false">MAX(0,IF(AND(Parameter!$B$21="Ja",ISNUMBER(Y1574)),Y1574,IF(Parameter!$B$20="Jahresanfang 2025 + Export",BR1574+BQ1574,BQ1574)))</f>
        <v>45</v>
      </c>
      <c r="I1574" s="50" t="n">
        <f aca="false">H1574*G1574</f>
        <v>189.9</v>
      </c>
      <c r="J1574" s="50" t="n">
        <f aca="false">BT1574*Parameter!$B$18</f>
        <v>0</v>
      </c>
      <c r="K1574" s="51"/>
      <c r="L1574" s="52"/>
      <c r="M1574" s="50" t="n">
        <v>0</v>
      </c>
      <c r="N1574" s="50" t="n">
        <v>30</v>
      </c>
      <c r="O1574" s="53" t="n">
        <v>0</v>
      </c>
      <c r="P1574" s="48" t="s">
        <v>177</v>
      </c>
      <c r="Q1574" s="50"/>
      <c r="R1574" s="53" t="n">
        <f aca="false">IF(BZ1574=1,0,IFERROR(VLOOKUP(BX1574,'Gebinde-Kategorie'!$A$5:$N$45,13,0)+0,0))</f>
        <v>26</v>
      </c>
      <c r="S1574" s="54"/>
      <c r="T1574" s="55" t="s">
        <v>284</v>
      </c>
      <c r="U1574" s="55"/>
      <c r="V1574" s="55"/>
      <c r="W1574" s="48"/>
      <c r="X1574" s="50"/>
      <c r="Y1574" s="50"/>
      <c r="Z1574" s="48" t="n">
        <f aca="false">IF(A1574="","",IF(AND(Parameter!$B$21="Ja",ISNUMBER(W1574)),W1574,IF(CC1574="2+3",IF(ISNUMBER(SEARCH("grosser Artikel",BU1574)),2,IFERROR(VLOOKUP(BX1574,Parameter!$F$35:$G$64,2,0),2)),IF(OR(CC1574="Nein",CC1574=""),"-",CC1574))))</f>
        <v>3</v>
      </c>
      <c r="AA1574" s="55"/>
      <c r="AB1574" s="56"/>
      <c r="AC1574" s="50" t="n">
        <f aca="false">AV1574</f>
        <v>30</v>
      </c>
      <c r="AD1574" s="50" t="n">
        <f aca="false">MAX(AV1574,H1574)</f>
        <v>45</v>
      </c>
      <c r="AE1574" s="57"/>
      <c r="AF1574" s="50" t="n">
        <f aca="false">IF(LEFT(Cockpit!$C$5,1)="A",H1574,IF(Parameter!$E$30="MAX-Bestand",IF(CH1574=1,CI1574,IF(LEFT(Cockpit!$C$5,1)="B",AL1574,MAX(AL1574,H1574))),ROUNDUP(AJ1574,0)))</f>
        <v>45</v>
      </c>
      <c r="AG1574" s="50" t="n">
        <f aca="false">IF(BZ1574=1,0,ROUNDUP(AF1574/BY1574,0))</f>
        <v>1</v>
      </c>
      <c r="AH1574" s="52" t="n">
        <f aca="false">IF(CQ1574&gt;0,CQ1574*MAX(1,AF1574/X1574),IF(BZ1574=1,IF(AF1574&lt;=0,0,CD1574*MAX(1,IF(H1574&gt;0,AF1574/H1574,1))),IF(R1574&gt;0,AG1574/R1574,0))/MAX(0.1,N(Parameter!$M$21)))</f>
        <v>0.0384615384615385</v>
      </c>
      <c r="AI1574" s="50" t="n">
        <f aca="false">AH1574*CB1574</f>
        <v>5.96153846153846</v>
      </c>
      <c r="AJ1574" s="51" t="n">
        <f aca="false">IF(LEFT(Cockpit!$C$5,1)="A",H1574,IF(CH1574=1,(CK1574+CI1574)/2,IF(LEFT(Cockpit!$C$5,1)="B",(CK1574+AL1574)/2,MAX((CK1574+AL1574)/2,H1574))))</f>
        <v>45</v>
      </c>
      <c r="AK1574" s="50" t="n">
        <f aca="false">AJ1574*G1574</f>
        <v>189.9</v>
      </c>
      <c r="AL1574" s="50" t="n">
        <f aca="false">ROUNDUP(CK1574+MAX(CL1574,2*(J1574/IF(CG1574&gt;0,CG1574,MAX(0.1,N(Cockpit!$C$6)))-CK1574)),0)</f>
        <v>30</v>
      </c>
      <c r="AM1574" s="51" t="n">
        <f aca="false">IF(AI1574&gt;0,J1574/AI1574,-1)</f>
        <v>0</v>
      </c>
      <c r="AN1574" s="51" t="n">
        <f aca="false">IF(AND(OR(CF1574="L1",CF1574="L23",CF1574="LIFT"),AI1574&gt;0),SUMIFS($AI$7:$AI$1843,$CF$7:$CF$1843,CF1574,$AM$7:$AM$1843,"&gt;"&amp;AM1574)+SUMIFS($AI$7:$AI$1843,$CF$7:$CF$1843,CF1574,$AM$7:$AM$1843,AM1574,$BW$7:$BW$1843,"&lt;="&amp;BW1574),"")</f>
        <v>30378.8015950622</v>
      </c>
      <c r="AO1574" s="58" t="n">
        <f aca="false">IF(AN1574="",0,MAX(0,MIN(1,(IF(CF1574="L1",Parameter!$H$5,IF(CF1574="L23",Parameter!$H$6+Parameter!$H$7,Parameter!$H$5+Parameter!$H$6+Parameter!$H$7))-(AN1574-AI1574))/AI1574)))</f>
        <v>1</v>
      </c>
      <c r="AP1574" s="50" t="n">
        <f aca="false">IF(LEFT(Cockpit!$I$5,1)="A",H1574,IF(Parameter!$E$30="MAX-Bestand",IF(CH1574=1,CI1574,IF(LEFT(Cockpit!$I$5,1)="B",AV1574,MAX(AV1574,H1574))),ROUNDUP(AT1574,0)))</f>
        <v>45</v>
      </c>
      <c r="AQ1574" s="50" t="n">
        <f aca="false">IF(BZ1574=1,0,ROUNDUP(AP1574/BY1574,0))</f>
        <v>1</v>
      </c>
      <c r="AR1574" s="52" t="n">
        <f aca="false">IF(CQ1574&gt;0,CQ1574*MAX(1,AP1574/X1574),IF(BZ1574=1,IF(AP1574&lt;=0,0,CD1574*MAX(1,IF(H1574&gt;0,AP1574/H1574,1))),IF(R1574&gt;0,AQ1574/R1574,0))/MAX(0.1,N(Parameter!$M$21)))</f>
        <v>0.0384615384615385</v>
      </c>
      <c r="AS1574" s="50" t="n">
        <f aca="false">AR1574*CB1574</f>
        <v>5.96153846153846</v>
      </c>
      <c r="AT1574" s="51" t="n">
        <f aca="false">IF(LEFT(Cockpit!$I$5,1)="A",H1574,IF(CH1574=1,(CK1574+CI1574)/2,IF(LEFT(Cockpit!$I$5,1)="B",(CK1574+AV1574)/2,MAX((CK1574+AV1574)/2,H1574))))</f>
        <v>45</v>
      </c>
      <c r="AU1574" s="50" t="n">
        <f aca="false">AT1574*G1574</f>
        <v>189.9</v>
      </c>
      <c r="AV1574" s="50" t="n">
        <f aca="false">ROUNDUP(CK1574+MAX(CL1574,2*(J1574/IF(CG1574&gt;0,CG1574,MAX(0.1,N(Cockpit!$I$6)))-CK1574)),0)</f>
        <v>30</v>
      </c>
      <c r="AW1574" s="51" t="n">
        <f aca="false">IF(AS1574&gt;0,J1574/AS1574,-1)</f>
        <v>0</v>
      </c>
      <c r="AX1574" s="51" t="n">
        <f aca="false">IF(AND(OR(CF1574="L1",CF1574="L23",CF1574="LIFT"),AS1574&gt;0),SUMIFS($AS$7:$AS$1843,$CF$7:$CF$1843,CF1574,$AW$7:$AW$1843,"&gt;"&amp;AW1574)+SUMIFS($AS$7:$AS$1843,$CF$7:$CF$1843,CF1574,$AW$7:$AW$1843,AW1574,$BW$7:$BW$1843,"&lt;="&amp;BW1574),"")</f>
        <v>36698.6581118975</v>
      </c>
      <c r="AY1574" s="58" t="n">
        <f aca="false">IF(AX1574="",0,MAX(0,MIN(1,(IF(CF1574="L1",Parameter!$H$5,IF(CF1574="L23",Parameter!$H$6+Parameter!$H$7,Parameter!$H$5+Parameter!$H$6+Parameter!$H$7))-(AX1574-AS1574))/AS1574)))</f>
        <v>0</v>
      </c>
      <c r="AZ1574" s="50" t="n">
        <f aca="false">IF(LEFT(Cockpit!$O$5,1)="A",H1574,IF(Parameter!$E$30="MAX-Bestand",IF(CH1574=1,CI1574,IF(LEFT(Cockpit!$O$5,1)="B",BF1574,MAX(BF1574,H1574))),ROUNDUP(BD1574,0)))</f>
        <v>15</v>
      </c>
      <c r="BA1574" s="50" t="n">
        <f aca="false">IF(BZ1574=1,0,ROUNDUP(AZ1574/BY1574,0))</f>
        <v>1</v>
      </c>
      <c r="BB1574" s="52" t="n">
        <f aca="false">IF(CQ1574&gt;0,CQ1574*MAX(1,AZ1574/X1574),IF(BZ1574=1,IF(AZ1574&lt;=0,0,CD1574*MAX(1,IF(H1574&gt;0,AZ1574/H1574,1))),IF(R1574&gt;0,BA1574/R1574,0))/MAX(0.1,N(Parameter!$M$21)))</f>
        <v>0.0384615384615385</v>
      </c>
      <c r="BC1574" s="50" t="n">
        <f aca="false">BB1574*CB1574</f>
        <v>5.96153846153846</v>
      </c>
      <c r="BD1574" s="51" t="n">
        <f aca="false">IF(LEFT(Cockpit!$O$5,1)="A",H1574,IF(CH1574=1,(CK1574+CI1574)/2,IF(LEFT(Cockpit!$O$5,1)="B",(CK1574+BF1574)/2,MAX((CK1574+BF1574)/2,H1574))))</f>
        <v>15</v>
      </c>
      <c r="BE1574" s="50" t="n">
        <f aca="false">BD1574*G1574</f>
        <v>63.3</v>
      </c>
      <c r="BF1574" s="50" t="n">
        <f aca="false">ROUNDUP(CK1574+MAX(CL1574,2*(J1574/IF(CG1574&gt;0,CG1574,MAX(0.1,N(Cockpit!$O$6)))-CK1574)),0)</f>
        <v>30</v>
      </c>
      <c r="BG1574" s="51" t="n">
        <f aca="false">IF(BC1574&gt;0,J1574/BC1574,-1)</f>
        <v>0</v>
      </c>
      <c r="BH1574" s="51" t="n">
        <f aca="false">IF(AND(OR(CF1574="L1",CF1574="L23",CF1574="LIFT"),BC1574&gt;0),SUMIFS($BC$7:$BC$1843,$CF$7:$CF$1843,CF1574,$BG$7:$BG$1843,"&gt;"&amp;BG1574)+SUMIFS($BC$7:$BC$1843,$CF$7:$CF$1843,CF1574,$BG$7:$BG$1843,BG1574,$BW$7:$BW$1843,"&lt;="&amp;BW1574),"")</f>
        <v>30608.0993874299</v>
      </c>
      <c r="BI1574" s="58" t="n">
        <f aca="false">IF(BH1574="",0,MAX(0,MIN(1,(IF(CF1574="L1",Parameter!$H$5,IF(CF1574="L23",Parameter!$H$6+Parameter!$H$7,Parameter!$H$5+Parameter!$H$6+Parameter!$H$7))-(BH1574-BC1574))/BC1574)))</f>
        <v>1</v>
      </c>
      <c r="BJ1574" s="48" t="str">
        <f aca="false">IF(AI1574&lt;=0,"",IF(CF1574="Aussen","Aussenlager",IF(CF1574="-","Nicht im Lift",IF(AO1574&gt;=1,"Lift",IF(AO1574&lt;=0,"Aussenlager","teilweise")))))</f>
        <v>Lift</v>
      </c>
      <c r="BK1574" s="48" t="str">
        <f aca="false">IF(AS1574&lt;=0,"",IF(CF1574="Aussen","Aussenlager",IF(CF1574="-","Nicht im Lift",IF(AY1574&gt;=1,"Lift",IF(AY1574&lt;=0,"Aussenlager","teilweise")))))</f>
        <v>Aussenlager</v>
      </c>
      <c r="BL1574" s="48" t="str">
        <f aca="false">IF(BC1574&lt;=0,"",IF(CF1574="Aussen","Aussenlager",IF(CF1574="-","Nicht im Lift",IF(BI1574&gt;=1,"Lift",IF(BI1574&lt;=0,"Aussenlager","teilweise")))))</f>
        <v>Lift</v>
      </c>
      <c r="BM1574" s="48" t="str">
        <f aca="false">IF(A1574="","",IF(BV1574=1,"Neu; ","")&amp;IF(AND(BV1574=0,BQ1574&lt;0),"negativer Bestand (Export "&amp;BQ1574&amp;"); ","")&amp;IF(J1574&lt;=0,"Kein Verbrauch; ","")&amp;IF(CQ1574&gt;0,"Lift "&amp;W1574&amp;" lt. Liftbericht (Fach "&amp;X1574&amp;" Stk); ",IF(CA1574=1,"Gebinde geschätzt ("&amp;T1574&amp;"); ",IF(BZ1574=1,"Lose – Tablare geschätzt; ","")))&amp;IF(H1574&gt;AV1574,"Überbestand "&amp;ROUND(H1574-AV1574,0)&amp;" Stk / CHF "&amp;ROUND((H1574-AV1574)*G1574,0)&amp;"; ","")&amp;IF(AND(CH1574=1,CI1574&lt;CJ1574),"MAX &lt; MB+LG; ","")&amp;IF(AND(CP1574&gt;0,CO1574*10&gt;CP1574),"zu hoch für Tablar; ","")&amp;IF(AND(BV1574=0,OR(CH1574=1,AA1574&lt;&gt;"",U1574&lt;&gt;"",V1574&lt;&gt;"",AB1574&lt;&gt;"")),"manuell übersteuert; ","")&amp;IF(AND(BZ1574=0,R1574=0),"Gebinde unbekannt / Stellmass fehlt; ","")&amp;IF(AND(BZ1574=0,N(V1574)&lt;=0,N(Q1574)&lt;=0),"Menge pro Gebinde fehlt (Ist = 1 Gebinde); ","")&amp;BU1574)</f>
        <v>Kein Verbrauch; Gebinde geschätzt (Klein); Überbestand 15 Stk / CHF 63; Menge pro Gebinde fehlt (Ist = 1 Gebinde); nur im Artikelstamm (Bestand 23.06.2026); Überbestand</v>
      </c>
      <c r="BN1574" s="48"/>
      <c r="BO1574" s="48"/>
      <c r="BP1574" s="55"/>
      <c r="BQ1574" s="50" t="n">
        <v>45</v>
      </c>
      <c r="BR1574" s="50" t="n">
        <v>0</v>
      </c>
      <c r="BS1574" s="49" t="n">
        <v>0</v>
      </c>
      <c r="BT1574" s="50" t="n">
        <v>0</v>
      </c>
      <c r="BU1574" s="48" t="s">
        <v>2581</v>
      </c>
      <c r="BV1574" s="53" t="n">
        <v>0</v>
      </c>
      <c r="BW1574" s="53" t="n">
        <v>1574</v>
      </c>
      <c r="BX1574" s="48" t="str">
        <f aca="false">IF(U1574&lt;&gt;"",UPPER(TRIM(U1574)),IF(CA1574=1,UPPER(VLOOKUP(T1574,Parameter!$I$27:$K$29,2,0)),IF(P1574="","LOSE",P1574)))</f>
        <v>S51</v>
      </c>
      <c r="BY1574" s="50" t="n">
        <f aca="false">IF(BX1574="LOSE",1,IF(N(V1574)&gt;0,V1574,IF(CA1574=1,MAX(1,N(VLOOKUP(T1574,Parameter!$I$27:$K$29,3,0)),H1574,N(N1574)),IF(N(Q1574)&gt;0,Q1574,MAX(1,H1574)))))</f>
        <v>45</v>
      </c>
      <c r="BZ1574" s="53" t="n">
        <f aca="false">IF(BX1574="LOSE",1,0)</f>
        <v>0</v>
      </c>
      <c r="CA1574" s="53" t="n">
        <f aca="false">IF(AND(U1574="",OR(P1574="",P1574="LOSE"),T1574&lt;&gt;"",N(S1574)&lt;=0,ISNUMBER(MATCH(T1574,Parameter!$I$27:$I$29,0))),1,0)</f>
        <v>1</v>
      </c>
      <c r="CB1574" s="53" t="n">
        <f aca="false">IF(CQ1574&gt;0,INDEX(Parameter!$H$5:$H$7,W1574)/INDEX(Parameter!$E$5:$E$7,W1574),IF(AND(BZ1574=0,N(IFERROR(VLOOKUP(BX1574,'Gebinde-Kategorie'!$A$5:$N$45,14,0),0))&gt;0),VLOOKUP(BX1574,'Gebinde-Kategorie'!$A$5:$N$45,14,0)*10+Parameter!$M$23,Parameter!$M$24))</f>
        <v>155</v>
      </c>
      <c r="CC1574" s="48" t="str">
        <f aca="false">IF(AND(Parameter!$B$19="Ja",E1574&lt;&gt;"",ISNUMBER(MATCH(E1574,Parameter!$I$35:$I$52,0))),VLOOKUP(E1574,Parameter!$I$35:$J$52,2,0),IFERROR(VLOOKUP(D1574,Parameter!$A$35:$C$64,2,0),"Nein"))</f>
        <v>2+3</v>
      </c>
      <c r="CD1574" s="52" t="n">
        <f aca="false">IF(BZ1574=0,0,IF(N(S1574)&gt;0,S1574,IFERROR(VLOOKUP(D1574,Parameter!$A$35:$C$64,3,0)+0,0)))</f>
        <v>0</v>
      </c>
      <c r="CE1574" s="48" t="n">
        <f aca="false">IF(AA1574&lt;&gt;"",AA1574,Z1574)</f>
        <v>3</v>
      </c>
      <c r="CF1574" s="48" t="str">
        <f aca="false">IF(OR(CE1574=1,CE1574=2,CE1574=3),IF(Parameter!$E$27="Ja","LIFT",IF(CE1574=1,"L1","L23")),IF(CE1574="Aussen","Aussen","-"))</f>
        <v>LIFT</v>
      </c>
      <c r="CG1574" s="59" t="n">
        <f aca="false">IF(N(AB1574)&gt;0,AB1574,0)</f>
        <v>0</v>
      </c>
      <c r="CH1574" s="53" t="n">
        <f aca="false">IF(ISNUMBER(AE1574),1,0)</f>
        <v>0</v>
      </c>
      <c r="CI1574" s="50" t="n">
        <f aca="false">N(AE1574)</f>
        <v>0</v>
      </c>
      <c r="CJ1574" s="50" t="n">
        <f aca="false">N(M1574)+N(N1574)</f>
        <v>30</v>
      </c>
      <c r="CK1574" s="50" t="n">
        <f aca="false">N(M1574)</f>
        <v>0</v>
      </c>
      <c r="CL1574" s="50" t="n">
        <f aca="false">N(N1574)</f>
        <v>30</v>
      </c>
      <c r="CM1574" s="50" t="n">
        <f aca="false">ROUNDUP(H1574/BY1574,0)</f>
        <v>1</v>
      </c>
      <c r="CN1574" s="50" t="n">
        <f aca="false">ROUNDUP(CI1574/BY1574,0)</f>
        <v>0</v>
      </c>
      <c r="CO1574" s="53" t="n">
        <f aca="false">IF(BZ1574=1,0,IFERROR(VLOOKUP(BX1574,'Gebinde-Kategorie'!$A$5:$N$45,5,0)+0,0))</f>
        <v>11</v>
      </c>
      <c r="CP1574" s="53" t="n">
        <f aca="false">IFERROR(IF(OR(CE1574=1,CE1574=2,CE1574=3),N(INDEX(Parameter!$I$5:$I$7,CE1574)),0),0)</f>
        <v>0</v>
      </c>
      <c r="CQ1574" s="52" t="n">
        <f aca="false">IF(AND(Parameter!$B$21="Ja",ISNUMBER(W1574),N(X1574)&gt;0),IFERROR(N(INDEX(Parameter!$L$5:$L$7,W1574))*INDEX(Parameter!$E$5:$E$7,W1574)*X1574/SUMIFS($X$7:$X$1843,$W$7:$W$1843,W1574),0),0)</f>
        <v>0</v>
      </c>
    </row>
    <row r="1575" customFormat="false" ht="15" hidden="false" customHeight="false" outlineLevel="0" collapsed="false">
      <c r="A1575" s="48" t="s">
        <v>2760</v>
      </c>
      <c r="B1575" s="48" t="s">
        <v>414</v>
      </c>
      <c r="C1575" s="48" t="s">
        <v>173</v>
      </c>
      <c r="D1575" s="48" t="s">
        <v>193</v>
      </c>
      <c r="E1575" s="48"/>
      <c r="F1575" s="48"/>
      <c r="G1575" s="49" t="n">
        <v>0.03</v>
      </c>
      <c r="H1575" s="50" t="n">
        <f aca="false">MAX(0,IF(AND(Parameter!$B$21="Ja",ISNUMBER(Y1575)),Y1575,IF(Parameter!$B$20="Jahresanfang 2025 + Export",BR1575+BQ1575,BQ1575)))</f>
        <v>171</v>
      </c>
      <c r="I1575" s="50" t="n">
        <f aca="false">H1575*G1575</f>
        <v>5.13</v>
      </c>
      <c r="J1575" s="50" t="n">
        <f aca="false">BT1575*Parameter!$B$18</f>
        <v>0</v>
      </c>
      <c r="K1575" s="51"/>
      <c r="L1575" s="52"/>
      <c r="M1575" s="50" t="n">
        <v>0</v>
      </c>
      <c r="N1575" s="50" t="n">
        <v>100</v>
      </c>
      <c r="O1575" s="53" t="n">
        <v>0</v>
      </c>
      <c r="P1575" s="48" t="s">
        <v>177</v>
      </c>
      <c r="Q1575" s="50"/>
      <c r="R1575" s="53" t="n">
        <f aca="false">IF(BZ1575=1,0,IFERROR(VLOOKUP(BX1575,'Gebinde-Kategorie'!$A$5:$N$45,13,0)+0,0))</f>
        <v>26</v>
      </c>
      <c r="S1575" s="54"/>
      <c r="T1575" s="55" t="s">
        <v>284</v>
      </c>
      <c r="U1575" s="55"/>
      <c r="V1575" s="55"/>
      <c r="W1575" s="48"/>
      <c r="X1575" s="50"/>
      <c r="Y1575" s="50"/>
      <c r="Z1575" s="48" t="n">
        <f aca="false">IF(A1575="","",IF(AND(Parameter!$B$21="Ja",ISNUMBER(W1575)),W1575,IF(CC1575="2+3",IF(ISNUMBER(SEARCH("grosser Artikel",BU1575)),2,IFERROR(VLOOKUP(BX1575,Parameter!$F$35:$G$64,2,0),2)),IF(OR(CC1575="Nein",CC1575=""),"-",CC1575))))</f>
        <v>3</v>
      </c>
      <c r="AA1575" s="55"/>
      <c r="AB1575" s="56"/>
      <c r="AC1575" s="50" t="n">
        <f aca="false">AV1575</f>
        <v>100</v>
      </c>
      <c r="AD1575" s="50" t="n">
        <f aca="false">MAX(AV1575,H1575)</f>
        <v>171</v>
      </c>
      <c r="AE1575" s="57"/>
      <c r="AF1575" s="50" t="n">
        <f aca="false">IF(LEFT(Cockpit!$C$5,1)="A",H1575,IF(Parameter!$E$30="MAX-Bestand",IF(CH1575=1,CI1575,IF(LEFT(Cockpit!$C$5,1)="B",AL1575,MAX(AL1575,H1575))),ROUNDUP(AJ1575,0)))</f>
        <v>171</v>
      </c>
      <c r="AG1575" s="50" t="n">
        <f aca="false">IF(BZ1575=1,0,ROUNDUP(AF1575/BY1575,0))</f>
        <v>1</v>
      </c>
      <c r="AH1575" s="52" t="n">
        <f aca="false">IF(CQ1575&gt;0,CQ1575*MAX(1,AF1575/X1575),IF(BZ1575=1,IF(AF1575&lt;=0,0,CD1575*MAX(1,IF(H1575&gt;0,AF1575/H1575,1))),IF(R1575&gt;0,AG1575/R1575,0))/MAX(0.1,N(Parameter!$M$21)))</f>
        <v>0.0384615384615385</v>
      </c>
      <c r="AI1575" s="50" t="n">
        <f aca="false">AH1575*CB1575</f>
        <v>5.96153846153846</v>
      </c>
      <c r="AJ1575" s="51" t="n">
        <f aca="false">IF(LEFT(Cockpit!$C$5,1)="A",H1575,IF(CH1575=1,(CK1575+CI1575)/2,IF(LEFT(Cockpit!$C$5,1)="B",(CK1575+AL1575)/2,MAX((CK1575+AL1575)/2,H1575))))</f>
        <v>171</v>
      </c>
      <c r="AK1575" s="50" t="n">
        <f aca="false">AJ1575*G1575</f>
        <v>5.13</v>
      </c>
      <c r="AL1575" s="50" t="n">
        <f aca="false">ROUNDUP(CK1575+MAX(CL1575,2*(J1575/IF(CG1575&gt;0,CG1575,MAX(0.1,N(Cockpit!$C$6)))-CK1575)),0)</f>
        <v>100</v>
      </c>
      <c r="AM1575" s="51" t="n">
        <f aca="false">IF(AI1575&gt;0,J1575/AI1575,-1)</f>
        <v>0</v>
      </c>
      <c r="AN1575" s="51" t="n">
        <f aca="false">IF(AND(OR(CF1575="L1",CF1575="L23",CF1575="LIFT"),AI1575&gt;0),SUMIFS($AI$7:$AI$1843,$CF$7:$CF$1843,CF1575,$AM$7:$AM$1843,"&gt;"&amp;AM1575)+SUMIFS($AI$7:$AI$1843,$CF$7:$CF$1843,CF1575,$AM$7:$AM$1843,AM1575,$BW$7:$BW$1843,"&lt;="&amp;BW1575),"")</f>
        <v>30384.7631335237</v>
      </c>
      <c r="AO1575" s="58" t="n">
        <f aca="false">IF(AN1575="",0,MAX(0,MIN(1,(IF(CF1575="L1",Parameter!$H$5,IF(CF1575="L23",Parameter!$H$6+Parameter!$H$7,Parameter!$H$5+Parameter!$H$6+Parameter!$H$7))-(AN1575-AI1575))/AI1575)))</f>
        <v>1</v>
      </c>
      <c r="AP1575" s="50" t="n">
        <f aca="false">IF(LEFT(Cockpit!$I$5,1)="A",H1575,IF(Parameter!$E$30="MAX-Bestand",IF(CH1575=1,CI1575,IF(LEFT(Cockpit!$I$5,1)="B",AV1575,MAX(AV1575,H1575))),ROUNDUP(AT1575,0)))</f>
        <v>171</v>
      </c>
      <c r="AQ1575" s="50" t="n">
        <f aca="false">IF(BZ1575=1,0,ROUNDUP(AP1575/BY1575,0))</f>
        <v>1</v>
      </c>
      <c r="AR1575" s="52" t="n">
        <f aca="false">IF(CQ1575&gt;0,CQ1575*MAX(1,AP1575/X1575),IF(BZ1575=1,IF(AP1575&lt;=0,0,CD1575*MAX(1,IF(H1575&gt;0,AP1575/H1575,1))),IF(R1575&gt;0,AQ1575/R1575,0))/MAX(0.1,N(Parameter!$M$21)))</f>
        <v>0.0384615384615385</v>
      </c>
      <c r="AS1575" s="50" t="n">
        <f aca="false">AR1575*CB1575</f>
        <v>5.96153846153846</v>
      </c>
      <c r="AT1575" s="51" t="n">
        <f aca="false">IF(LEFT(Cockpit!$I$5,1)="A",H1575,IF(CH1575=1,(CK1575+CI1575)/2,IF(LEFT(Cockpit!$I$5,1)="B",(CK1575+AV1575)/2,MAX((CK1575+AV1575)/2,H1575))))</f>
        <v>171</v>
      </c>
      <c r="AU1575" s="50" t="n">
        <f aca="false">AT1575*G1575</f>
        <v>5.13</v>
      </c>
      <c r="AV1575" s="50" t="n">
        <f aca="false">ROUNDUP(CK1575+MAX(CL1575,2*(J1575/IF(CG1575&gt;0,CG1575,MAX(0.1,N(Cockpit!$I$6)))-CK1575)),0)</f>
        <v>100</v>
      </c>
      <c r="AW1575" s="51" t="n">
        <f aca="false">IF(AS1575&gt;0,J1575/AS1575,-1)</f>
        <v>0</v>
      </c>
      <c r="AX1575" s="51" t="n">
        <f aca="false">IF(AND(OR(CF1575="L1",CF1575="L23",CF1575="LIFT"),AS1575&gt;0),SUMIFS($AS$7:$AS$1843,$CF$7:$CF$1843,CF1575,$AW$7:$AW$1843,"&gt;"&amp;AW1575)+SUMIFS($AS$7:$AS$1843,$CF$7:$CF$1843,CF1575,$AW$7:$AW$1843,AW1575,$BW$7:$BW$1843,"&lt;="&amp;BW1575),"")</f>
        <v>36704.6196503591</v>
      </c>
      <c r="AY1575" s="58" t="n">
        <f aca="false">IF(AX1575="",0,MAX(0,MIN(1,(IF(CF1575="L1",Parameter!$H$5,IF(CF1575="L23",Parameter!$H$6+Parameter!$H$7,Parameter!$H$5+Parameter!$H$6+Parameter!$H$7))-(AX1575-AS1575))/AS1575)))</f>
        <v>0</v>
      </c>
      <c r="AZ1575" s="50" t="n">
        <f aca="false">IF(LEFT(Cockpit!$O$5,1)="A",H1575,IF(Parameter!$E$30="MAX-Bestand",IF(CH1575=1,CI1575,IF(LEFT(Cockpit!$O$5,1)="B",BF1575,MAX(BF1575,H1575))),ROUNDUP(BD1575,0)))</f>
        <v>50</v>
      </c>
      <c r="BA1575" s="50" t="n">
        <f aca="false">IF(BZ1575=1,0,ROUNDUP(AZ1575/BY1575,0))</f>
        <v>1</v>
      </c>
      <c r="BB1575" s="52" t="n">
        <f aca="false">IF(CQ1575&gt;0,CQ1575*MAX(1,AZ1575/X1575),IF(BZ1575=1,IF(AZ1575&lt;=0,0,CD1575*MAX(1,IF(H1575&gt;0,AZ1575/H1575,1))),IF(R1575&gt;0,BA1575/R1575,0))/MAX(0.1,N(Parameter!$M$21)))</f>
        <v>0.0384615384615385</v>
      </c>
      <c r="BC1575" s="50" t="n">
        <f aca="false">BB1575*CB1575</f>
        <v>5.96153846153846</v>
      </c>
      <c r="BD1575" s="51" t="n">
        <f aca="false">IF(LEFT(Cockpit!$O$5,1)="A",H1575,IF(CH1575=1,(CK1575+CI1575)/2,IF(LEFT(Cockpit!$O$5,1)="B",(CK1575+BF1575)/2,MAX((CK1575+BF1575)/2,H1575))))</f>
        <v>50</v>
      </c>
      <c r="BE1575" s="50" t="n">
        <f aca="false">BD1575*G1575</f>
        <v>1.5</v>
      </c>
      <c r="BF1575" s="50" t="n">
        <f aca="false">ROUNDUP(CK1575+MAX(CL1575,2*(J1575/IF(CG1575&gt;0,CG1575,MAX(0.1,N(Cockpit!$O$6)))-CK1575)),0)</f>
        <v>100</v>
      </c>
      <c r="BG1575" s="51" t="n">
        <f aca="false">IF(BC1575&gt;0,J1575/BC1575,-1)</f>
        <v>0</v>
      </c>
      <c r="BH1575" s="51" t="n">
        <f aca="false">IF(AND(OR(CF1575="L1",CF1575="L23",CF1575="LIFT"),BC1575&gt;0),SUMIFS($BC$7:$BC$1843,$CF$7:$CF$1843,CF1575,$BG$7:$BG$1843,"&gt;"&amp;BG1575)+SUMIFS($BC$7:$BC$1843,$CF$7:$CF$1843,CF1575,$BG$7:$BG$1843,BG1575,$BW$7:$BW$1843,"&lt;="&amp;BW1575),"")</f>
        <v>30614.0609258914</v>
      </c>
      <c r="BI1575" s="58" t="n">
        <f aca="false">IF(BH1575="",0,MAX(0,MIN(1,(IF(CF1575="L1",Parameter!$H$5,IF(CF1575="L23",Parameter!$H$6+Parameter!$H$7,Parameter!$H$5+Parameter!$H$6+Parameter!$H$7))-(BH1575-BC1575))/BC1575)))</f>
        <v>1</v>
      </c>
      <c r="BJ1575" s="48" t="str">
        <f aca="false">IF(AI1575&lt;=0,"",IF(CF1575="Aussen","Aussenlager",IF(CF1575="-","Nicht im Lift",IF(AO1575&gt;=1,"Lift",IF(AO1575&lt;=0,"Aussenlager","teilweise")))))</f>
        <v>Lift</v>
      </c>
      <c r="BK1575" s="48" t="str">
        <f aca="false">IF(AS1575&lt;=0,"",IF(CF1575="Aussen","Aussenlager",IF(CF1575="-","Nicht im Lift",IF(AY1575&gt;=1,"Lift",IF(AY1575&lt;=0,"Aussenlager","teilweise")))))</f>
        <v>Aussenlager</v>
      </c>
      <c r="BL1575" s="48" t="str">
        <f aca="false">IF(BC1575&lt;=0,"",IF(CF1575="Aussen","Aussenlager",IF(CF1575="-","Nicht im Lift",IF(BI1575&gt;=1,"Lift",IF(BI1575&lt;=0,"Aussenlager","teilweise")))))</f>
        <v>Lift</v>
      </c>
      <c r="BM1575" s="48" t="str">
        <f aca="false">IF(A1575="","",IF(BV1575=1,"Neu; ","")&amp;IF(AND(BV1575=0,BQ1575&lt;0),"negativer Bestand (Export "&amp;BQ1575&amp;"); ","")&amp;IF(J1575&lt;=0,"Kein Verbrauch; ","")&amp;IF(CQ1575&gt;0,"Lift "&amp;W1575&amp;" lt. Liftbericht (Fach "&amp;X1575&amp;" Stk); ",IF(CA1575=1,"Gebinde geschätzt ("&amp;T1575&amp;"); ",IF(BZ1575=1,"Lose – Tablare geschätzt; ","")))&amp;IF(H1575&gt;AV1575,"Überbestand "&amp;ROUND(H1575-AV1575,0)&amp;" Stk / CHF "&amp;ROUND((H1575-AV1575)*G1575,0)&amp;"; ","")&amp;IF(AND(CH1575=1,CI1575&lt;CJ1575),"MAX &lt; MB+LG; ","")&amp;IF(AND(CP1575&gt;0,CO1575*10&gt;CP1575),"zu hoch für Tablar; ","")&amp;IF(AND(BV1575=0,OR(CH1575=1,AA1575&lt;&gt;"",U1575&lt;&gt;"",V1575&lt;&gt;"",AB1575&lt;&gt;"")),"manuell übersteuert; ","")&amp;IF(AND(BZ1575=0,R1575=0),"Gebinde unbekannt / Stellmass fehlt; ","")&amp;IF(AND(BZ1575=0,N(V1575)&lt;=0,N(Q1575)&lt;=0),"Menge pro Gebinde fehlt (Ist = 1 Gebinde); ","")&amp;BU1575)</f>
        <v>Kein Verbrauch; Gebinde geschätzt (Klein); Überbestand 71 Stk / CHF 2; Menge pro Gebinde fehlt (Ist = 1 Gebinde); nur im Artikelstamm (Bestand 23.06.2026); Überbestand</v>
      </c>
      <c r="BN1575" s="48"/>
      <c r="BO1575" s="48"/>
      <c r="BP1575" s="55"/>
      <c r="BQ1575" s="50" t="n">
        <v>171</v>
      </c>
      <c r="BR1575" s="50" t="n">
        <v>0</v>
      </c>
      <c r="BS1575" s="49" t="n">
        <v>0</v>
      </c>
      <c r="BT1575" s="50" t="n">
        <v>0</v>
      </c>
      <c r="BU1575" s="48" t="s">
        <v>2581</v>
      </c>
      <c r="BV1575" s="53" t="n">
        <v>0</v>
      </c>
      <c r="BW1575" s="53" t="n">
        <v>1575</v>
      </c>
      <c r="BX1575" s="48" t="str">
        <f aca="false">IF(U1575&lt;&gt;"",UPPER(TRIM(U1575)),IF(CA1575=1,UPPER(VLOOKUP(T1575,Parameter!$I$27:$K$29,2,0)),IF(P1575="","LOSE",P1575)))</f>
        <v>S51</v>
      </c>
      <c r="BY1575" s="50" t="n">
        <f aca="false">IF(BX1575="LOSE",1,IF(N(V1575)&gt;0,V1575,IF(CA1575=1,MAX(1,N(VLOOKUP(T1575,Parameter!$I$27:$K$29,3,0)),H1575,N(N1575)),IF(N(Q1575)&gt;0,Q1575,MAX(1,H1575)))))</f>
        <v>171</v>
      </c>
      <c r="BZ1575" s="53" t="n">
        <f aca="false">IF(BX1575="LOSE",1,0)</f>
        <v>0</v>
      </c>
      <c r="CA1575" s="53" t="n">
        <f aca="false">IF(AND(U1575="",OR(P1575="",P1575="LOSE"),T1575&lt;&gt;"",N(S1575)&lt;=0,ISNUMBER(MATCH(T1575,Parameter!$I$27:$I$29,0))),1,0)</f>
        <v>1</v>
      </c>
      <c r="CB1575" s="53" t="n">
        <f aca="false">IF(CQ1575&gt;0,INDEX(Parameter!$H$5:$H$7,W1575)/INDEX(Parameter!$E$5:$E$7,W1575),IF(AND(BZ1575=0,N(IFERROR(VLOOKUP(BX1575,'Gebinde-Kategorie'!$A$5:$N$45,14,0),0))&gt;0),VLOOKUP(BX1575,'Gebinde-Kategorie'!$A$5:$N$45,14,0)*10+Parameter!$M$23,Parameter!$M$24))</f>
        <v>155</v>
      </c>
      <c r="CC1575" s="48" t="str">
        <f aca="false">IF(AND(Parameter!$B$19="Ja",E1575&lt;&gt;"",ISNUMBER(MATCH(E1575,Parameter!$I$35:$I$52,0))),VLOOKUP(E1575,Parameter!$I$35:$J$52,2,0),IFERROR(VLOOKUP(D1575,Parameter!$A$35:$C$64,2,0),"Nein"))</f>
        <v>2+3</v>
      </c>
      <c r="CD1575" s="52" t="n">
        <f aca="false">IF(BZ1575=0,0,IF(N(S1575)&gt;0,S1575,IFERROR(VLOOKUP(D1575,Parameter!$A$35:$C$64,3,0)+0,0)))</f>
        <v>0</v>
      </c>
      <c r="CE1575" s="48" t="n">
        <f aca="false">IF(AA1575&lt;&gt;"",AA1575,Z1575)</f>
        <v>3</v>
      </c>
      <c r="CF1575" s="48" t="str">
        <f aca="false">IF(OR(CE1575=1,CE1575=2,CE1575=3),IF(Parameter!$E$27="Ja","LIFT",IF(CE1575=1,"L1","L23")),IF(CE1575="Aussen","Aussen","-"))</f>
        <v>LIFT</v>
      </c>
      <c r="CG1575" s="59" t="n">
        <f aca="false">IF(N(AB1575)&gt;0,AB1575,0)</f>
        <v>0</v>
      </c>
      <c r="CH1575" s="53" t="n">
        <f aca="false">IF(ISNUMBER(AE1575),1,0)</f>
        <v>0</v>
      </c>
      <c r="CI1575" s="50" t="n">
        <f aca="false">N(AE1575)</f>
        <v>0</v>
      </c>
      <c r="CJ1575" s="50" t="n">
        <f aca="false">N(M1575)+N(N1575)</f>
        <v>100</v>
      </c>
      <c r="CK1575" s="50" t="n">
        <f aca="false">N(M1575)</f>
        <v>0</v>
      </c>
      <c r="CL1575" s="50" t="n">
        <f aca="false">N(N1575)</f>
        <v>100</v>
      </c>
      <c r="CM1575" s="50" t="n">
        <f aca="false">ROUNDUP(H1575/BY1575,0)</f>
        <v>1</v>
      </c>
      <c r="CN1575" s="50" t="n">
        <f aca="false">ROUNDUP(CI1575/BY1575,0)</f>
        <v>0</v>
      </c>
      <c r="CO1575" s="53" t="n">
        <f aca="false">IF(BZ1575=1,0,IFERROR(VLOOKUP(BX1575,'Gebinde-Kategorie'!$A$5:$N$45,5,0)+0,0))</f>
        <v>11</v>
      </c>
      <c r="CP1575" s="53" t="n">
        <f aca="false">IFERROR(IF(OR(CE1575=1,CE1575=2,CE1575=3),N(INDEX(Parameter!$I$5:$I$7,CE1575)),0),0)</f>
        <v>0</v>
      </c>
      <c r="CQ1575" s="52" t="n">
        <f aca="false">IF(AND(Parameter!$B$21="Ja",ISNUMBER(W1575),N(X1575)&gt;0),IFERROR(N(INDEX(Parameter!$L$5:$L$7,W1575))*INDEX(Parameter!$E$5:$E$7,W1575)*X1575/SUMIFS($X$7:$X$1843,$W$7:$W$1843,W1575),0),0)</f>
        <v>0</v>
      </c>
    </row>
    <row r="1576" customFormat="false" ht="15" hidden="false" customHeight="false" outlineLevel="0" collapsed="false">
      <c r="A1576" s="48" t="s">
        <v>2761</v>
      </c>
      <c r="B1576" s="48" t="s">
        <v>2762</v>
      </c>
      <c r="C1576" s="48" t="s">
        <v>173</v>
      </c>
      <c r="D1576" s="48" t="s">
        <v>193</v>
      </c>
      <c r="E1576" s="48"/>
      <c r="F1576" s="48"/>
      <c r="G1576" s="49" t="n">
        <v>2.05</v>
      </c>
      <c r="H1576" s="50" t="n">
        <f aca="false">MAX(0,IF(AND(Parameter!$B$21="Ja",ISNUMBER(Y1576)),Y1576,IF(Parameter!$B$20="Jahresanfang 2025 + Export",BR1576+BQ1576,BQ1576)))</f>
        <v>24</v>
      </c>
      <c r="I1576" s="50" t="n">
        <f aca="false">H1576*G1576</f>
        <v>49.2</v>
      </c>
      <c r="J1576" s="50" t="n">
        <f aca="false">BT1576*Parameter!$B$18</f>
        <v>0</v>
      </c>
      <c r="K1576" s="51"/>
      <c r="L1576" s="52"/>
      <c r="M1576" s="50" t="n">
        <v>0</v>
      </c>
      <c r="N1576" s="50" t="n">
        <v>20</v>
      </c>
      <c r="O1576" s="53" t="n">
        <v>0</v>
      </c>
      <c r="P1576" s="48" t="s">
        <v>177</v>
      </c>
      <c r="Q1576" s="50"/>
      <c r="R1576" s="53" t="n">
        <f aca="false">IF(BZ1576=1,0,IFERROR(VLOOKUP(BX1576,'Gebinde-Kategorie'!$A$5:$N$45,13,0)+0,0))</f>
        <v>12</v>
      </c>
      <c r="S1576" s="54"/>
      <c r="T1576" s="55" t="s">
        <v>188</v>
      </c>
      <c r="U1576" s="55"/>
      <c r="V1576" s="55"/>
      <c r="W1576" s="48"/>
      <c r="X1576" s="50"/>
      <c r="Y1576" s="50"/>
      <c r="Z1576" s="48" t="n">
        <f aca="false">IF(A1576="","",IF(AND(Parameter!$B$21="Ja",ISNUMBER(W1576)),W1576,IF(CC1576="2+3",IF(ISNUMBER(SEARCH("grosser Artikel",BU1576)),2,IFERROR(VLOOKUP(BX1576,Parameter!$F$35:$G$64,2,0),2)),IF(OR(CC1576="Nein",CC1576=""),"-",CC1576))))</f>
        <v>2</v>
      </c>
      <c r="AA1576" s="55"/>
      <c r="AB1576" s="56"/>
      <c r="AC1576" s="50" t="n">
        <f aca="false">AV1576</f>
        <v>20</v>
      </c>
      <c r="AD1576" s="50" t="n">
        <f aca="false">MAX(AV1576,H1576)</f>
        <v>24</v>
      </c>
      <c r="AE1576" s="57"/>
      <c r="AF1576" s="50" t="n">
        <f aca="false">IF(LEFT(Cockpit!$C$5,1)="A",H1576,IF(Parameter!$E$30="MAX-Bestand",IF(CH1576=1,CI1576,IF(LEFT(Cockpit!$C$5,1)="B",AL1576,MAX(AL1576,H1576))),ROUNDUP(AJ1576,0)))</f>
        <v>24</v>
      </c>
      <c r="AG1576" s="50" t="n">
        <f aca="false">IF(BZ1576=1,0,ROUNDUP(AF1576/BY1576,0))</f>
        <v>1</v>
      </c>
      <c r="AH1576" s="52" t="n">
        <f aca="false">IF(CQ1576&gt;0,CQ1576*MAX(1,AF1576/X1576),IF(BZ1576=1,IF(AF1576&lt;=0,0,CD1576*MAX(1,IF(H1576&gt;0,AF1576/H1576,1))),IF(R1576&gt;0,AG1576/R1576,0))/MAX(0.1,N(Parameter!$M$21)))</f>
        <v>0.0833333333333333</v>
      </c>
      <c r="AI1576" s="50" t="n">
        <f aca="false">AH1576*CB1576</f>
        <v>12.0833333333333</v>
      </c>
      <c r="AJ1576" s="51" t="n">
        <f aca="false">IF(LEFT(Cockpit!$C$5,1)="A",H1576,IF(CH1576=1,(CK1576+CI1576)/2,IF(LEFT(Cockpit!$C$5,1)="B",(CK1576+AL1576)/2,MAX((CK1576+AL1576)/2,H1576))))</f>
        <v>24</v>
      </c>
      <c r="AK1576" s="50" t="n">
        <f aca="false">AJ1576*G1576</f>
        <v>49.2</v>
      </c>
      <c r="AL1576" s="50" t="n">
        <f aca="false">ROUNDUP(CK1576+MAX(CL1576,2*(J1576/IF(CG1576&gt;0,CG1576,MAX(0.1,N(Cockpit!$C$6)))-CK1576)),0)</f>
        <v>20</v>
      </c>
      <c r="AM1576" s="51" t="n">
        <f aca="false">IF(AI1576&gt;0,J1576/AI1576,-1)</f>
        <v>0</v>
      </c>
      <c r="AN1576" s="51" t="n">
        <f aca="false">IF(AND(OR(CF1576="L1",CF1576="L23",CF1576="LIFT"),AI1576&gt;0),SUMIFS($AI$7:$AI$1843,$CF$7:$CF$1843,CF1576,$AM$7:$AM$1843,"&gt;"&amp;AM1576)+SUMIFS($AI$7:$AI$1843,$CF$7:$CF$1843,CF1576,$AM$7:$AM$1843,AM1576,$BW$7:$BW$1843,"&lt;="&amp;BW1576),"")</f>
        <v>30396.8464668571</v>
      </c>
      <c r="AO1576" s="58" t="n">
        <f aca="false">IF(AN1576="",0,MAX(0,MIN(1,(IF(CF1576="L1",Parameter!$H$5,IF(CF1576="L23",Parameter!$H$6+Parameter!$H$7,Parameter!$H$5+Parameter!$H$6+Parameter!$H$7))-(AN1576-AI1576))/AI1576)))</f>
        <v>1</v>
      </c>
      <c r="AP1576" s="50" t="n">
        <f aca="false">IF(LEFT(Cockpit!$I$5,1)="A",H1576,IF(Parameter!$E$30="MAX-Bestand",IF(CH1576=1,CI1576,IF(LEFT(Cockpit!$I$5,1)="B",AV1576,MAX(AV1576,H1576))),ROUNDUP(AT1576,0)))</f>
        <v>24</v>
      </c>
      <c r="AQ1576" s="50" t="n">
        <f aca="false">IF(BZ1576=1,0,ROUNDUP(AP1576/BY1576,0))</f>
        <v>1</v>
      </c>
      <c r="AR1576" s="52" t="n">
        <f aca="false">IF(CQ1576&gt;0,CQ1576*MAX(1,AP1576/X1576),IF(BZ1576=1,IF(AP1576&lt;=0,0,CD1576*MAX(1,IF(H1576&gt;0,AP1576/H1576,1))),IF(R1576&gt;0,AQ1576/R1576,0))/MAX(0.1,N(Parameter!$M$21)))</f>
        <v>0.0833333333333333</v>
      </c>
      <c r="AS1576" s="50" t="n">
        <f aca="false">AR1576*CB1576</f>
        <v>12.0833333333333</v>
      </c>
      <c r="AT1576" s="51" t="n">
        <f aca="false">IF(LEFT(Cockpit!$I$5,1)="A",H1576,IF(CH1576=1,(CK1576+CI1576)/2,IF(LEFT(Cockpit!$I$5,1)="B",(CK1576+AV1576)/2,MAX((CK1576+AV1576)/2,H1576))))</f>
        <v>24</v>
      </c>
      <c r="AU1576" s="50" t="n">
        <f aca="false">AT1576*G1576</f>
        <v>49.2</v>
      </c>
      <c r="AV1576" s="50" t="n">
        <f aca="false">ROUNDUP(CK1576+MAX(CL1576,2*(J1576/IF(CG1576&gt;0,CG1576,MAX(0.1,N(Cockpit!$I$6)))-CK1576)),0)</f>
        <v>20</v>
      </c>
      <c r="AW1576" s="51" t="n">
        <f aca="false">IF(AS1576&gt;0,J1576/AS1576,-1)</f>
        <v>0</v>
      </c>
      <c r="AX1576" s="51" t="n">
        <f aca="false">IF(AND(OR(CF1576="L1",CF1576="L23",CF1576="LIFT"),AS1576&gt;0),SUMIFS($AS$7:$AS$1843,$CF$7:$CF$1843,CF1576,$AW$7:$AW$1843,"&gt;"&amp;AW1576)+SUMIFS($AS$7:$AS$1843,$CF$7:$CF$1843,CF1576,$AW$7:$AW$1843,AW1576,$BW$7:$BW$1843,"&lt;="&amp;BW1576),"")</f>
        <v>36716.7029836924</v>
      </c>
      <c r="AY1576" s="58" t="n">
        <f aca="false">IF(AX1576="",0,MAX(0,MIN(1,(IF(CF1576="L1",Parameter!$H$5,IF(CF1576="L23",Parameter!$H$6+Parameter!$H$7,Parameter!$H$5+Parameter!$H$6+Parameter!$H$7))-(AX1576-AS1576))/AS1576)))</f>
        <v>0</v>
      </c>
      <c r="AZ1576" s="50" t="n">
        <f aca="false">IF(LEFT(Cockpit!$O$5,1)="A",H1576,IF(Parameter!$E$30="MAX-Bestand",IF(CH1576=1,CI1576,IF(LEFT(Cockpit!$O$5,1)="B",BF1576,MAX(BF1576,H1576))),ROUNDUP(BD1576,0)))</f>
        <v>10</v>
      </c>
      <c r="BA1576" s="50" t="n">
        <f aca="false">IF(BZ1576=1,0,ROUNDUP(AZ1576/BY1576,0))</f>
        <v>1</v>
      </c>
      <c r="BB1576" s="52" t="n">
        <f aca="false">IF(CQ1576&gt;0,CQ1576*MAX(1,AZ1576/X1576),IF(BZ1576=1,IF(AZ1576&lt;=0,0,CD1576*MAX(1,IF(H1576&gt;0,AZ1576/H1576,1))),IF(R1576&gt;0,BA1576/R1576,0))/MAX(0.1,N(Parameter!$M$21)))</f>
        <v>0.0833333333333333</v>
      </c>
      <c r="BC1576" s="50" t="n">
        <f aca="false">BB1576*CB1576</f>
        <v>12.0833333333333</v>
      </c>
      <c r="BD1576" s="51" t="n">
        <f aca="false">IF(LEFT(Cockpit!$O$5,1)="A",H1576,IF(CH1576=1,(CK1576+CI1576)/2,IF(LEFT(Cockpit!$O$5,1)="B",(CK1576+BF1576)/2,MAX((CK1576+BF1576)/2,H1576))))</f>
        <v>10</v>
      </c>
      <c r="BE1576" s="50" t="n">
        <f aca="false">BD1576*G1576</f>
        <v>20.5</v>
      </c>
      <c r="BF1576" s="50" t="n">
        <f aca="false">ROUNDUP(CK1576+MAX(CL1576,2*(J1576/IF(CG1576&gt;0,CG1576,MAX(0.1,N(Cockpit!$O$6)))-CK1576)),0)</f>
        <v>20</v>
      </c>
      <c r="BG1576" s="51" t="n">
        <f aca="false">IF(BC1576&gt;0,J1576/BC1576,-1)</f>
        <v>0</v>
      </c>
      <c r="BH1576" s="51" t="n">
        <f aca="false">IF(AND(OR(CF1576="L1",CF1576="L23",CF1576="LIFT"),BC1576&gt;0),SUMIFS($BC$7:$BC$1843,$CF$7:$CF$1843,CF1576,$BG$7:$BG$1843,"&gt;"&amp;BG1576)+SUMIFS($BC$7:$BC$1843,$CF$7:$CF$1843,CF1576,$BG$7:$BG$1843,BG1576,$BW$7:$BW$1843,"&lt;="&amp;BW1576),"")</f>
        <v>30626.1442592248</v>
      </c>
      <c r="BI1576" s="58" t="n">
        <f aca="false">IF(BH1576="",0,MAX(0,MIN(1,(IF(CF1576="L1",Parameter!$H$5,IF(CF1576="L23",Parameter!$H$6+Parameter!$H$7,Parameter!$H$5+Parameter!$H$6+Parameter!$H$7))-(BH1576-BC1576))/BC1576)))</f>
        <v>1</v>
      </c>
      <c r="BJ1576" s="48" t="str">
        <f aca="false">IF(AI1576&lt;=0,"",IF(CF1576="Aussen","Aussenlager",IF(CF1576="-","Nicht im Lift",IF(AO1576&gt;=1,"Lift",IF(AO1576&lt;=0,"Aussenlager","teilweise")))))</f>
        <v>Lift</v>
      </c>
      <c r="BK1576" s="48" t="str">
        <f aca="false">IF(AS1576&lt;=0,"",IF(CF1576="Aussen","Aussenlager",IF(CF1576="-","Nicht im Lift",IF(AY1576&gt;=1,"Lift",IF(AY1576&lt;=0,"Aussenlager","teilweise")))))</f>
        <v>Aussenlager</v>
      </c>
      <c r="BL1576" s="48" t="str">
        <f aca="false">IF(BC1576&lt;=0,"",IF(CF1576="Aussen","Aussenlager",IF(CF1576="-","Nicht im Lift",IF(BI1576&gt;=1,"Lift",IF(BI1576&lt;=0,"Aussenlager","teilweise")))))</f>
        <v>Lift</v>
      </c>
      <c r="BM1576" s="48" t="str">
        <f aca="false">IF(A1576="","",IF(BV1576=1,"Neu; ","")&amp;IF(AND(BV1576=0,BQ1576&lt;0),"negativer Bestand (Export "&amp;BQ1576&amp;"); ","")&amp;IF(J1576&lt;=0,"Kein Verbrauch; ","")&amp;IF(CQ1576&gt;0,"Lift "&amp;W1576&amp;" lt. Liftbericht (Fach "&amp;X1576&amp;" Stk); ",IF(CA1576=1,"Gebinde geschätzt ("&amp;T1576&amp;"); ",IF(BZ1576=1,"Lose – Tablare geschätzt; ","")))&amp;IF(H1576&gt;AV1576,"Überbestand "&amp;ROUND(H1576-AV1576,0)&amp;" Stk / CHF "&amp;ROUND((H1576-AV1576)*G1576,0)&amp;"; ","")&amp;IF(AND(CH1576=1,CI1576&lt;CJ1576),"MAX &lt; MB+LG; ","")&amp;IF(AND(CP1576&gt;0,CO1576*10&gt;CP1576),"zu hoch für Tablar; ","")&amp;IF(AND(BV1576=0,OR(CH1576=1,AA1576&lt;&gt;"",U1576&lt;&gt;"",V1576&lt;&gt;"",AB1576&lt;&gt;"")),"manuell übersteuert; ","")&amp;IF(AND(BZ1576=0,R1576=0),"Gebinde unbekannt / Stellmass fehlt; ","")&amp;IF(AND(BZ1576=0,N(V1576)&lt;=0,N(Q1576)&lt;=0),"Menge pro Gebinde fehlt (Ist = 1 Gebinde); ","")&amp;BU1576)</f>
        <v>Kein Verbrauch; Gebinde geschätzt (Mittel); Überbestand 4 Stk / CHF 8; Menge pro Gebinde fehlt (Ist = 1 Gebinde); nur im Artikelstamm (Bestand 23.06.2026)</v>
      </c>
      <c r="BN1576" s="48"/>
      <c r="BO1576" s="48"/>
      <c r="BP1576" s="55"/>
      <c r="BQ1576" s="50" t="n">
        <v>24</v>
      </c>
      <c r="BR1576" s="50" t="n">
        <v>0</v>
      </c>
      <c r="BS1576" s="49" t="n">
        <v>0</v>
      </c>
      <c r="BT1576" s="50" t="n">
        <v>0</v>
      </c>
      <c r="BU1576" s="48" t="s">
        <v>2584</v>
      </c>
      <c r="BV1576" s="53" t="n">
        <v>0</v>
      </c>
      <c r="BW1576" s="53" t="n">
        <v>1576</v>
      </c>
      <c r="BX1576" s="48" t="str">
        <f aca="false">IF(U1576&lt;&gt;"",UPPER(TRIM(U1576)),IF(CA1576=1,UPPER(VLOOKUP(T1576,Parameter!$I$27:$K$29,2,0)),IF(P1576="","LOSE",P1576)))</f>
        <v>S61</v>
      </c>
      <c r="BY1576" s="50" t="n">
        <f aca="false">IF(BX1576="LOSE",1,IF(N(V1576)&gt;0,V1576,IF(CA1576=1,MAX(1,N(VLOOKUP(T1576,Parameter!$I$27:$K$29,3,0)),H1576,N(N1576)),IF(N(Q1576)&gt;0,Q1576,MAX(1,H1576)))))</f>
        <v>24</v>
      </c>
      <c r="BZ1576" s="53" t="n">
        <f aca="false">IF(BX1576="LOSE",1,0)</f>
        <v>0</v>
      </c>
      <c r="CA1576" s="53" t="n">
        <f aca="false">IF(AND(U1576="",OR(P1576="",P1576="LOSE"),T1576&lt;&gt;"",N(S1576)&lt;=0,ISNUMBER(MATCH(T1576,Parameter!$I$27:$I$29,0))),1,0)</f>
        <v>1</v>
      </c>
      <c r="CB1576" s="53" t="n">
        <f aca="false">IF(CQ1576&gt;0,INDEX(Parameter!$H$5:$H$7,W1576)/INDEX(Parameter!$E$5:$E$7,W1576),IF(AND(BZ1576=0,N(IFERROR(VLOOKUP(BX1576,'Gebinde-Kategorie'!$A$5:$N$45,14,0),0))&gt;0),VLOOKUP(BX1576,'Gebinde-Kategorie'!$A$5:$N$45,14,0)*10+Parameter!$M$23,Parameter!$M$24))</f>
        <v>145</v>
      </c>
      <c r="CC1576" s="48" t="str">
        <f aca="false">IF(AND(Parameter!$B$19="Ja",E1576&lt;&gt;"",ISNUMBER(MATCH(E1576,Parameter!$I$35:$I$52,0))),VLOOKUP(E1576,Parameter!$I$35:$J$52,2,0),IFERROR(VLOOKUP(D1576,Parameter!$A$35:$C$64,2,0),"Nein"))</f>
        <v>2+3</v>
      </c>
      <c r="CD1576" s="52" t="n">
        <f aca="false">IF(BZ1576=0,0,IF(N(S1576)&gt;0,S1576,IFERROR(VLOOKUP(D1576,Parameter!$A$35:$C$64,3,0)+0,0)))</f>
        <v>0</v>
      </c>
      <c r="CE1576" s="48" t="n">
        <f aca="false">IF(AA1576&lt;&gt;"",AA1576,Z1576)</f>
        <v>2</v>
      </c>
      <c r="CF1576" s="48" t="str">
        <f aca="false">IF(OR(CE1576=1,CE1576=2,CE1576=3),IF(Parameter!$E$27="Ja","LIFT",IF(CE1576=1,"L1","L23")),IF(CE1576="Aussen","Aussen","-"))</f>
        <v>LIFT</v>
      </c>
      <c r="CG1576" s="59" t="n">
        <f aca="false">IF(N(AB1576)&gt;0,AB1576,0)</f>
        <v>0</v>
      </c>
      <c r="CH1576" s="53" t="n">
        <f aca="false">IF(ISNUMBER(AE1576),1,0)</f>
        <v>0</v>
      </c>
      <c r="CI1576" s="50" t="n">
        <f aca="false">N(AE1576)</f>
        <v>0</v>
      </c>
      <c r="CJ1576" s="50" t="n">
        <f aca="false">N(M1576)+N(N1576)</f>
        <v>20</v>
      </c>
      <c r="CK1576" s="50" t="n">
        <f aca="false">N(M1576)</f>
        <v>0</v>
      </c>
      <c r="CL1576" s="50" t="n">
        <f aca="false">N(N1576)</f>
        <v>20</v>
      </c>
      <c r="CM1576" s="50" t="n">
        <f aca="false">ROUNDUP(H1576/BY1576,0)</f>
        <v>1</v>
      </c>
      <c r="CN1576" s="50" t="n">
        <f aca="false">ROUNDUP(CI1576/BY1576,0)</f>
        <v>0</v>
      </c>
      <c r="CO1576" s="53" t="n">
        <f aca="false">IF(BZ1576=1,0,IFERROR(VLOOKUP(BX1576,'Gebinde-Kategorie'!$A$5:$N$45,5,0)+0,0))</f>
        <v>11</v>
      </c>
      <c r="CP1576" s="53" t="n">
        <f aca="false">IFERROR(IF(OR(CE1576=1,CE1576=2,CE1576=3),N(INDEX(Parameter!$I$5:$I$7,CE1576)),0),0)</f>
        <v>0</v>
      </c>
      <c r="CQ1576" s="52" t="n">
        <f aca="false">IF(AND(Parameter!$B$21="Ja",ISNUMBER(W1576),N(X1576)&gt;0),IFERROR(N(INDEX(Parameter!$L$5:$L$7,W1576))*INDEX(Parameter!$E$5:$E$7,W1576)*X1576/SUMIFS($X$7:$X$1843,$W$7:$W$1843,W1576),0),0)</f>
        <v>0</v>
      </c>
    </row>
    <row r="1577" customFormat="false" ht="15" hidden="false" customHeight="false" outlineLevel="0" collapsed="false">
      <c r="A1577" s="48" t="s">
        <v>2763</v>
      </c>
      <c r="B1577" s="48" t="s">
        <v>2764</v>
      </c>
      <c r="C1577" s="48" t="s">
        <v>173</v>
      </c>
      <c r="D1577" s="48" t="s">
        <v>182</v>
      </c>
      <c r="E1577" s="48" t="s">
        <v>194</v>
      </c>
      <c r="F1577" s="48"/>
      <c r="G1577" s="49" t="n">
        <v>1.52</v>
      </c>
      <c r="H1577" s="50" t="n">
        <f aca="false">MAX(0,IF(AND(Parameter!$B$21="Ja",ISNUMBER(Y1577)),Y1577,IF(Parameter!$B$20="Jahresanfang 2025 + Export",BR1577+BQ1577,BQ1577)))</f>
        <v>1150</v>
      </c>
      <c r="I1577" s="50" t="n">
        <f aca="false">H1577*G1577</f>
        <v>1748</v>
      </c>
      <c r="J1577" s="50" t="n">
        <f aca="false">BT1577*Parameter!$B$18</f>
        <v>0</v>
      </c>
      <c r="K1577" s="51"/>
      <c r="L1577" s="52"/>
      <c r="M1577" s="50" t="n">
        <v>0</v>
      </c>
      <c r="N1577" s="50" t="n">
        <v>1000</v>
      </c>
      <c r="O1577" s="53" t="n">
        <v>42</v>
      </c>
      <c r="P1577" s="48" t="s">
        <v>177</v>
      </c>
      <c r="Q1577" s="50"/>
      <c r="R1577" s="53" t="n">
        <f aca="false">IF(BZ1577=1,0,IFERROR(VLOOKUP(BX1577,'Gebinde-Kategorie'!$A$5:$N$45,13,0)+0,0))</f>
        <v>12</v>
      </c>
      <c r="S1577" s="54"/>
      <c r="T1577" s="55" t="s">
        <v>188</v>
      </c>
      <c r="U1577" s="55"/>
      <c r="V1577" s="55"/>
      <c r="W1577" s="48"/>
      <c r="X1577" s="50"/>
      <c r="Y1577" s="50"/>
      <c r="Z1577" s="48" t="n">
        <f aca="false">IF(A1577="","",IF(AND(Parameter!$B$21="Ja",ISNUMBER(W1577)),W1577,IF(CC1577="2+3",IF(ISNUMBER(SEARCH("grosser Artikel",BU1577)),2,IFERROR(VLOOKUP(BX1577,Parameter!$F$35:$G$64,2,0),2)),IF(OR(CC1577="Nein",CC1577=""),"-",CC1577))))</f>
        <v>2</v>
      </c>
      <c r="AA1577" s="55"/>
      <c r="AB1577" s="56"/>
      <c r="AC1577" s="50" t="n">
        <f aca="false">AV1577</f>
        <v>1000</v>
      </c>
      <c r="AD1577" s="50" t="n">
        <f aca="false">MAX(AV1577,H1577)</f>
        <v>1150</v>
      </c>
      <c r="AE1577" s="57"/>
      <c r="AF1577" s="50" t="n">
        <f aca="false">IF(LEFT(Cockpit!$C$5,1)="A",H1577,IF(Parameter!$E$30="MAX-Bestand",IF(CH1577=1,CI1577,IF(LEFT(Cockpit!$C$5,1)="B",AL1577,MAX(AL1577,H1577))),ROUNDUP(AJ1577,0)))</f>
        <v>1150</v>
      </c>
      <c r="AG1577" s="50" t="n">
        <f aca="false">IF(BZ1577=1,0,ROUNDUP(AF1577/BY1577,0))</f>
        <v>1</v>
      </c>
      <c r="AH1577" s="52" t="n">
        <f aca="false">IF(CQ1577&gt;0,CQ1577*MAX(1,AF1577/X1577),IF(BZ1577=1,IF(AF1577&lt;=0,0,CD1577*MAX(1,IF(H1577&gt;0,AF1577/H1577,1))),IF(R1577&gt;0,AG1577/R1577,0))/MAX(0.1,N(Parameter!$M$21)))</f>
        <v>0.0833333333333333</v>
      </c>
      <c r="AI1577" s="50" t="n">
        <f aca="false">AH1577*CB1577</f>
        <v>12.0833333333333</v>
      </c>
      <c r="AJ1577" s="51" t="n">
        <f aca="false">IF(LEFT(Cockpit!$C$5,1)="A",H1577,IF(CH1577=1,(CK1577+CI1577)/2,IF(LEFT(Cockpit!$C$5,1)="B",(CK1577+AL1577)/2,MAX((CK1577+AL1577)/2,H1577))))</f>
        <v>1150</v>
      </c>
      <c r="AK1577" s="50" t="n">
        <f aca="false">AJ1577*G1577</f>
        <v>1748</v>
      </c>
      <c r="AL1577" s="50" t="n">
        <f aca="false">ROUNDUP(CK1577+MAX(CL1577,2*(J1577/IF(CG1577&gt;0,CG1577,MAX(0.1,N(Cockpit!$C$6)))-CK1577)),0)</f>
        <v>1000</v>
      </c>
      <c r="AM1577" s="51" t="n">
        <f aca="false">IF(AI1577&gt;0,J1577/AI1577,-1)</f>
        <v>0</v>
      </c>
      <c r="AN1577" s="51" t="n">
        <f aca="false">IF(AND(OR(CF1577="L1",CF1577="L23",CF1577="LIFT"),AI1577&gt;0),SUMIFS($AI$7:$AI$1843,$CF$7:$CF$1843,CF1577,$AM$7:$AM$1843,"&gt;"&amp;AM1577)+SUMIFS($AI$7:$AI$1843,$CF$7:$CF$1843,CF1577,$AM$7:$AM$1843,AM1577,$BW$7:$BW$1843,"&lt;="&amp;BW1577),"")</f>
        <v>30408.9298001904</v>
      </c>
      <c r="AO1577" s="58" t="n">
        <f aca="false">IF(AN1577="",0,MAX(0,MIN(1,(IF(CF1577="L1",Parameter!$H$5,IF(CF1577="L23",Parameter!$H$6+Parameter!$H$7,Parameter!$H$5+Parameter!$H$6+Parameter!$H$7))-(AN1577-AI1577))/AI1577)))</f>
        <v>1</v>
      </c>
      <c r="AP1577" s="50" t="n">
        <f aca="false">IF(LEFT(Cockpit!$I$5,1)="A",H1577,IF(Parameter!$E$30="MAX-Bestand",IF(CH1577=1,CI1577,IF(LEFT(Cockpit!$I$5,1)="B",AV1577,MAX(AV1577,H1577))),ROUNDUP(AT1577,0)))</f>
        <v>1150</v>
      </c>
      <c r="AQ1577" s="50" t="n">
        <f aca="false">IF(BZ1577=1,0,ROUNDUP(AP1577/BY1577,0))</f>
        <v>1</v>
      </c>
      <c r="AR1577" s="52" t="n">
        <f aca="false">IF(CQ1577&gt;0,CQ1577*MAX(1,AP1577/X1577),IF(BZ1577=1,IF(AP1577&lt;=0,0,CD1577*MAX(1,IF(H1577&gt;0,AP1577/H1577,1))),IF(R1577&gt;0,AQ1577/R1577,0))/MAX(0.1,N(Parameter!$M$21)))</f>
        <v>0.0833333333333333</v>
      </c>
      <c r="AS1577" s="50" t="n">
        <f aca="false">AR1577*CB1577</f>
        <v>12.0833333333333</v>
      </c>
      <c r="AT1577" s="51" t="n">
        <f aca="false">IF(LEFT(Cockpit!$I$5,1)="A",H1577,IF(CH1577=1,(CK1577+CI1577)/2,IF(LEFT(Cockpit!$I$5,1)="B",(CK1577+AV1577)/2,MAX((CK1577+AV1577)/2,H1577))))</f>
        <v>1150</v>
      </c>
      <c r="AU1577" s="50" t="n">
        <f aca="false">AT1577*G1577</f>
        <v>1748</v>
      </c>
      <c r="AV1577" s="50" t="n">
        <f aca="false">ROUNDUP(CK1577+MAX(CL1577,2*(J1577/IF(CG1577&gt;0,CG1577,MAX(0.1,N(Cockpit!$I$6)))-CK1577)),0)</f>
        <v>1000</v>
      </c>
      <c r="AW1577" s="51" t="n">
        <f aca="false">IF(AS1577&gt;0,J1577/AS1577,-1)</f>
        <v>0</v>
      </c>
      <c r="AX1577" s="51" t="n">
        <f aca="false">IF(AND(OR(CF1577="L1",CF1577="L23",CF1577="LIFT"),AS1577&gt;0),SUMIFS($AS$7:$AS$1843,$CF$7:$CF$1843,CF1577,$AW$7:$AW$1843,"&gt;"&amp;AW1577)+SUMIFS($AS$7:$AS$1843,$CF$7:$CF$1843,CF1577,$AW$7:$AW$1843,AW1577,$BW$7:$BW$1843,"&lt;="&amp;BW1577),"")</f>
        <v>36728.7863170257</v>
      </c>
      <c r="AY1577" s="58" t="n">
        <f aca="false">IF(AX1577="",0,MAX(0,MIN(1,(IF(CF1577="L1",Parameter!$H$5,IF(CF1577="L23",Parameter!$H$6+Parameter!$H$7,Parameter!$H$5+Parameter!$H$6+Parameter!$H$7))-(AX1577-AS1577))/AS1577)))</f>
        <v>0</v>
      </c>
      <c r="AZ1577" s="50" t="n">
        <f aca="false">IF(LEFT(Cockpit!$O$5,1)="A",H1577,IF(Parameter!$E$30="MAX-Bestand",IF(CH1577=1,CI1577,IF(LEFT(Cockpit!$O$5,1)="B",BF1577,MAX(BF1577,H1577))),ROUNDUP(BD1577,0)))</f>
        <v>500</v>
      </c>
      <c r="BA1577" s="50" t="n">
        <f aca="false">IF(BZ1577=1,0,ROUNDUP(AZ1577/BY1577,0))</f>
        <v>1</v>
      </c>
      <c r="BB1577" s="52" t="n">
        <f aca="false">IF(CQ1577&gt;0,CQ1577*MAX(1,AZ1577/X1577),IF(BZ1577=1,IF(AZ1577&lt;=0,0,CD1577*MAX(1,IF(H1577&gt;0,AZ1577/H1577,1))),IF(R1577&gt;0,BA1577/R1577,0))/MAX(0.1,N(Parameter!$M$21)))</f>
        <v>0.0833333333333333</v>
      </c>
      <c r="BC1577" s="50" t="n">
        <f aca="false">BB1577*CB1577</f>
        <v>12.0833333333333</v>
      </c>
      <c r="BD1577" s="51" t="n">
        <f aca="false">IF(LEFT(Cockpit!$O$5,1)="A",H1577,IF(CH1577=1,(CK1577+CI1577)/2,IF(LEFT(Cockpit!$O$5,1)="B",(CK1577+BF1577)/2,MAX((CK1577+BF1577)/2,H1577))))</f>
        <v>500</v>
      </c>
      <c r="BE1577" s="50" t="n">
        <f aca="false">BD1577*G1577</f>
        <v>760</v>
      </c>
      <c r="BF1577" s="50" t="n">
        <f aca="false">ROUNDUP(CK1577+MAX(CL1577,2*(J1577/IF(CG1577&gt;0,CG1577,MAX(0.1,N(Cockpit!$O$6)))-CK1577)),0)</f>
        <v>1000</v>
      </c>
      <c r="BG1577" s="51" t="n">
        <f aca="false">IF(BC1577&gt;0,J1577/BC1577,-1)</f>
        <v>0</v>
      </c>
      <c r="BH1577" s="51" t="n">
        <f aca="false">IF(AND(OR(CF1577="L1",CF1577="L23",CF1577="LIFT"),BC1577&gt;0),SUMIFS($BC$7:$BC$1843,$CF$7:$CF$1843,CF1577,$BG$7:$BG$1843,"&gt;"&amp;BG1577)+SUMIFS($BC$7:$BC$1843,$CF$7:$CF$1843,CF1577,$BG$7:$BG$1843,BG1577,$BW$7:$BW$1843,"&lt;="&amp;BW1577),"")</f>
        <v>30638.2275925581</v>
      </c>
      <c r="BI1577" s="58" t="n">
        <f aca="false">IF(BH1577="",0,MAX(0,MIN(1,(IF(CF1577="L1",Parameter!$H$5,IF(CF1577="L23",Parameter!$H$6+Parameter!$H$7,Parameter!$H$5+Parameter!$H$6+Parameter!$H$7))-(BH1577-BC1577))/BC1577)))</f>
        <v>1</v>
      </c>
      <c r="BJ1577" s="48" t="str">
        <f aca="false">IF(AI1577&lt;=0,"",IF(CF1577="Aussen","Aussenlager",IF(CF1577="-","Nicht im Lift",IF(AO1577&gt;=1,"Lift",IF(AO1577&lt;=0,"Aussenlager","teilweise")))))</f>
        <v>Lift</v>
      </c>
      <c r="BK1577" s="48" t="str">
        <f aca="false">IF(AS1577&lt;=0,"",IF(CF1577="Aussen","Aussenlager",IF(CF1577="-","Nicht im Lift",IF(AY1577&gt;=1,"Lift",IF(AY1577&lt;=0,"Aussenlager","teilweise")))))</f>
        <v>Aussenlager</v>
      </c>
      <c r="BL1577" s="48" t="str">
        <f aca="false">IF(BC1577&lt;=0,"",IF(CF1577="Aussen","Aussenlager",IF(CF1577="-","Nicht im Lift",IF(BI1577&gt;=1,"Lift",IF(BI1577&lt;=0,"Aussenlager","teilweise")))))</f>
        <v>Lift</v>
      </c>
      <c r="BM1577" s="48" t="str">
        <f aca="false">IF(A1577="","",IF(BV1577=1,"Neu; ","")&amp;IF(AND(BV1577=0,BQ1577&lt;0),"negativer Bestand (Export "&amp;BQ1577&amp;"); ","")&amp;IF(J1577&lt;=0,"Kein Verbrauch; ","")&amp;IF(CQ1577&gt;0,"Lift "&amp;W1577&amp;" lt. Liftbericht (Fach "&amp;X1577&amp;" Stk); ",IF(CA1577=1,"Gebinde geschätzt ("&amp;T1577&amp;"); ",IF(BZ1577=1,"Lose – Tablare geschätzt; ","")))&amp;IF(H1577&gt;AV1577,"Überbestand "&amp;ROUND(H1577-AV1577,0)&amp;" Stk / CHF "&amp;ROUND((H1577-AV1577)*G1577,0)&amp;"; ","")&amp;IF(AND(CH1577=1,CI1577&lt;CJ1577),"MAX &lt; MB+LG; ","")&amp;IF(AND(CP1577&gt;0,CO1577*10&gt;CP1577),"zu hoch für Tablar; ","")&amp;IF(AND(BV1577=0,OR(CH1577=1,AA1577&lt;&gt;"",U1577&lt;&gt;"",V1577&lt;&gt;"",AB1577&lt;&gt;"")),"manuell übersteuert; ","")&amp;IF(AND(BZ1577=0,R1577=0),"Gebinde unbekannt / Stellmass fehlt; ","")&amp;IF(AND(BZ1577=0,N(V1577)&lt;=0,N(Q1577)&lt;=0),"Menge pro Gebinde fehlt (Ist = 1 Gebinde); ","")&amp;BU1577)</f>
        <v>Kein Verbrauch; Gebinde geschätzt (Mittel); Überbestand 150 Stk / CHF 228; Menge pro Gebinde fehlt (Ist = 1 Gebinde); nur im Artikelstamm (Bestand 23.06.2026); Überbestand; grosser Artikel &amp; nicht im KTL</v>
      </c>
      <c r="BN1577" s="48"/>
      <c r="BO1577" s="48"/>
      <c r="BP1577" s="55"/>
      <c r="BQ1577" s="50" t="n">
        <v>1150</v>
      </c>
      <c r="BR1577" s="50" t="n">
        <v>0</v>
      </c>
      <c r="BS1577" s="49" t="n">
        <v>0</v>
      </c>
      <c r="BT1577" s="50" t="n">
        <v>0</v>
      </c>
      <c r="BU1577" s="48" t="s">
        <v>2765</v>
      </c>
      <c r="BV1577" s="53" t="n">
        <v>0</v>
      </c>
      <c r="BW1577" s="53" t="n">
        <v>1577</v>
      </c>
      <c r="BX1577" s="48" t="str">
        <f aca="false">IF(U1577&lt;&gt;"",UPPER(TRIM(U1577)),IF(CA1577=1,UPPER(VLOOKUP(T1577,Parameter!$I$27:$K$29,2,0)),IF(P1577="","LOSE",P1577)))</f>
        <v>S61</v>
      </c>
      <c r="BY1577" s="50" t="n">
        <f aca="false">IF(BX1577="LOSE",1,IF(N(V1577)&gt;0,V1577,IF(CA1577=1,MAX(1,N(VLOOKUP(T1577,Parameter!$I$27:$K$29,3,0)),H1577,N(N1577)),IF(N(Q1577)&gt;0,Q1577,MAX(1,H1577)))))</f>
        <v>1150</v>
      </c>
      <c r="BZ1577" s="53" t="n">
        <f aca="false">IF(BX1577="LOSE",1,0)</f>
        <v>0</v>
      </c>
      <c r="CA1577" s="53" t="n">
        <f aca="false">IF(AND(U1577="",OR(P1577="",P1577="LOSE"),T1577&lt;&gt;"",N(S1577)&lt;=0,ISNUMBER(MATCH(T1577,Parameter!$I$27:$I$29,0))),1,0)</f>
        <v>1</v>
      </c>
      <c r="CB1577" s="53" t="n">
        <f aca="false">IF(CQ1577&gt;0,INDEX(Parameter!$H$5:$H$7,W1577)/INDEX(Parameter!$E$5:$E$7,W1577),IF(AND(BZ1577=0,N(IFERROR(VLOOKUP(BX1577,'Gebinde-Kategorie'!$A$5:$N$45,14,0),0))&gt;0),VLOOKUP(BX1577,'Gebinde-Kategorie'!$A$5:$N$45,14,0)*10+Parameter!$M$23,Parameter!$M$24))</f>
        <v>145</v>
      </c>
      <c r="CC1577" s="48" t="str">
        <f aca="false">IF(AND(Parameter!$B$19="Ja",E1577&lt;&gt;"",ISNUMBER(MATCH(E1577,Parameter!$I$35:$I$52,0))),VLOOKUP(E1577,Parameter!$I$35:$J$52,2,0),IFERROR(VLOOKUP(D1577,Parameter!$A$35:$C$64,2,0),"Nein"))</f>
        <v>2+3</v>
      </c>
      <c r="CD1577" s="52" t="n">
        <f aca="false">IF(BZ1577=0,0,IF(N(S1577)&gt;0,S1577,IFERROR(VLOOKUP(D1577,Parameter!$A$35:$C$64,3,0)+0,0)))</f>
        <v>0</v>
      </c>
      <c r="CE1577" s="48" t="n">
        <f aca="false">IF(AA1577&lt;&gt;"",AA1577,Z1577)</f>
        <v>2</v>
      </c>
      <c r="CF1577" s="48" t="str">
        <f aca="false">IF(OR(CE1577=1,CE1577=2,CE1577=3),IF(Parameter!$E$27="Ja","LIFT",IF(CE1577=1,"L1","L23")),IF(CE1577="Aussen","Aussen","-"))</f>
        <v>LIFT</v>
      </c>
      <c r="CG1577" s="59" t="n">
        <f aca="false">IF(N(AB1577)&gt;0,AB1577,0)</f>
        <v>0</v>
      </c>
      <c r="CH1577" s="53" t="n">
        <f aca="false">IF(ISNUMBER(AE1577),1,0)</f>
        <v>0</v>
      </c>
      <c r="CI1577" s="50" t="n">
        <f aca="false">N(AE1577)</f>
        <v>0</v>
      </c>
      <c r="CJ1577" s="50" t="n">
        <f aca="false">N(M1577)+N(N1577)</f>
        <v>1000</v>
      </c>
      <c r="CK1577" s="50" t="n">
        <f aca="false">N(M1577)</f>
        <v>0</v>
      </c>
      <c r="CL1577" s="50" t="n">
        <f aca="false">N(N1577)</f>
        <v>1000</v>
      </c>
      <c r="CM1577" s="50" t="n">
        <f aca="false">ROUNDUP(H1577/BY1577,0)</f>
        <v>1</v>
      </c>
      <c r="CN1577" s="50" t="n">
        <f aca="false">ROUNDUP(CI1577/BY1577,0)</f>
        <v>0</v>
      </c>
      <c r="CO1577" s="53" t="n">
        <f aca="false">IF(BZ1577=1,0,IFERROR(VLOOKUP(BX1577,'Gebinde-Kategorie'!$A$5:$N$45,5,0)+0,0))</f>
        <v>11</v>
      </c>
      <c r="CP1577" s="53" t="n">
        <f aca="false">IFERROR(IF(OR(CE1577=1,CE1577=2,CE1577=3),N(INDEX(Parameter!$I$5:$I$7,CE1577)),0),0)</f>
        <v>0</v>
      </c>
      <c r="CQ1577" s="52" t="n">
        <f aca="false">IF(AND(Parameter!$B$21="Ja",ISNUMBER(W1577),N(X1577)&gt;0),IFERROR(N(INDEX(Parameter!$L$5:$L$7,W1577))*INDEX(Parameter!$E$5:$E$7,W1577)*X1577/SUMIFS($X$7:$X$1843,$W$7:$W$1843,W1577),0),0)</f>
        <v>0</v>
      </c>
    </row>
    <row r="1578" customFormat="false" ht="15" hidden="false" customHeight="false" outlineLevel="0" collapsed="false">
      <c r="A1578" s="48" t="s">
        <v>2766</v>
      </c>
      <c r="B1578" s="48" t="s">
        <v>2433</v>
      </c>
      <c r="C1578" s="48" t="s">
        <v>173</v>
      </c>
      <c r="D1578" s="48" t="s">
        <v>182</v>
      </c>
      <c r="E1578" s="48" t="s">
        <v>175</v>
      </c>
      <c r="F1578" s="48"/>
      <c r="G1578" s="49" t="n">
        <v>1090</v>
      </c>
      <c r="H1578" s="50" t="n">
        <f aca="false">MAX(0,IF(AND(Parameter!$B$21="Ja",ISNUMBER(Y1578)),Y1578,IF(Parameter!$B$20="Jahresanfang 2025 + Export",BR1578+BQ1578,BQ1578)))</f>
        <v>2</v>
      </c>
      <c r="I1578" s="50" t="n">
        <f aca="false">H1578*G1578</f>
        <v>2180</v>
      </c>
      <c r="J1578" s="50" t="n">
        <f aca="false">BT1578*Parameter!$B$18</f>
        <v>0</v>
      </c>
      <c r="K1578" s="51"/>
      <c r="L1578" s="52"/>
      <c r="M1578" s="50" t="n">
        <v>1</v>
      </c>
      <c r="N1578" s="50" t="n">
        <v>1</v>
      </c>
      <c r="O1578" s="53" t="n">
        <v>0</v>
      </c>
      <c r="P1578" s="48" t="s">
        <v>177</v>
      </c>
      <c r="Q1578" s="50"/>
      <c r="R1578" s="53" t="n">
        <f aca="false">IF(BZ1578=1,0,IFERROR(VLOOKUP(BX1578,'Gebinde-Kategorie'!$A$5:$N$45,13,0)+0,0))</f>
        <v>0</v>
      </c>
      <c r="S1578" s="54"/>
      <c r="T1578" s="55"/>
      <c r="U1578" s="55"/>
      <c r="V1578" s="55"/>
      <c r="W1578" s="48" t="n">
        <v>1</v>
      </c>
      <c r="X1578" s="50" t="n">
        <v>2</v>
      </c>
      <c r="Y1578" s="50" t="n">
        <v>2</v>
      </c>
      <c r="Z1578" s="48" t="n">
        <f aca="false">IF(A1578="","",IF(AND(Parameter!$B$21="Ja",ISNUMBER(W1578)),W1578,IF(CC1578="2+3",IF(ISNUMBER(SEARCH("grosser Artikel",BU1578)),2,IFERROR(VLOOKUP(BX1578,Parameter!$F$35:$G$64,2,0),2)),IF(OR(CC1578="Nein",CC1578=""),"-",CC1578))))</f>
        <v>1</v>
      </c>
      <c r="AA1578" s="55"/>
      <c r="AB1578" s="56"/>
      <c r="AC1578" s="50" t="n">
        <f aca="false">AV1578</f>
        <v>2</v>
      </c>
      <c r="AD1578" s="50" t="n">
        <f aca="false">MAX(AV1578,H1578)</f>
        <v>2</v>
      </c>
      <c r="AE1578" s="57"/>
      <c r="AF1578" s="50" t="n">
        <f aca="false">IF(LEFT(Cockpit!$C$5,1)="A",H1578,IF(Parameter!$E$30="MAX-Bestand",IF(CH1578=1,CI1578,IF(LEFT(Cockpit!$C$5,1)="B",AL1578,MAX(AL1578,H1578))),ROUNDUP(AJ1578,0)))</f>
        <v>2</v>
      </c>
      <c r="AG1578" s="50" t="n">
        <f aca="false">IF(BZ1578=1,0,ROUNDUP(AF1578/BY1578,0))</f>
        <v>0</v>
      </c>
      <c r="AH1578" s="52" t="n">
        <f aca="false">IF(CQ1578&gt;0,CQ1578*MAX(1,AF1578/X1578),IF(BZ1578=1,IF(AF1578&lt;=0,0,CD1578*MAX(1,IF(H1578&gt;0,AF1578/H1578,1))),IF(R1578&gt;0,AG1578/R1578,0))/MAX(0.1,N(Parameter!$M$21)))</f>
        <v>0.160075329566855</v>
      </c>
      <c r="AI1578" s="50" t="n">
        <f aca="false">AH1578*CB1578</f>
        <v>38.0979284369115</v>
      </c>
      <c r="AJ1578" s="51" t="n">
        <f aca="false">IF(LEFT(Cockpit!$C$5,1)="A",H1578,IF(CH1578=1,(CK1578+CI1578)/2,IF(LEFT(Cockpit!$C$5,1)="B",(CK1578+AL1578)/2,MAX((CK1578+AL1578)/2,H1578))))</f>
        <v>2</v>
      </c>
      <c r="AK1578" s="50" t="n">
        <f aca="false">AJ1578*G1578</f>
        <v>2180</v>
      </c>
      <c r="AL1578" s="50" t="n">
        <f aca="false">ROUNDUP(CK1578+MAX(CL1578,2*(J1578/IF(CG1578&gt;0,CG1578,MAX(0.1,N(Cockpit!$C$6)))-CK1578)),0)</f>
        <v>2</v>
      </c>
      <c r="AM1578" s="51" t="n">
        <f aca="false">IF(AI1578&gt;0,J1578/AI1578,-1)</f>
        <v>0</v>
      </c>
      <c r="AN1578" s="51" t="n">
        <f aca="false">IF(AND(OR(CF1578="L1",CF1578="L23",CF1578="LIFT"),AI1578&gt;0),SUMIFS($AI$7:$AI$1843,$CF$7:$CF$1843,CF1578,$AM$7:$AM$1843,"&gt;"&amp;AM1578)+SUMIFS($AI$7:$AI$1843,$CF$7:$CF$1843,CF1578,$AM$7:$AM$1843,AM1578,$BW$7:$BW$1843,"&lt;="&amp;BW1578),"")</f>
        <v>30447.0277286273</v>
      </c>
      <c r="AO1578" s="58" t="n">
        <f aca="false">IF(AN1578="",0,MAX(0,MIN(1,(IF(CF1578="L1",Parameter!$H$5,IF(CF1578="L23",Parameter!$H$6+Parameter!$H$7,Parameter!$H$5+Parameter!$H$6+Parameter!$H$7))-(AN1578-AI1578))/AI1578)))</f>
        <v>1</v>
      </c>
      <c r="AP1578" s="50" t="n">
        <f aca="false">IF(LEFT(Cockpit!$I$5,1)="A",H1578,IF(Parameter!$E$30="MAX-Bestand",IF(CH1578=1,CI1578,IF(LEFT(Cockpit!$I$5,1)="B",AV1578,MAX(AV1578,H1578))),ROUNDUP(AT1578,0)))</f>
        <v>2</v>
      </c>
      <c r="AQ1578" s="50" t="n">
        <f aca="false">IF(BZ1578=1,0,ROUNDUP(AP1578/BY1578,0))</f>
        <v>0</v>
      </c>
      <c r="AR1578" s="52" t="n">
        <f aca="false">IF(CQ1578&gt;0,CQ1578*MAX(1,AP1578/X1578),IF(BZ1578=1,IF(AP1578&lt;=0,0,CD1578*MAX(1,IF(H1578&gt;0,AP1578/H1578,1))),IF(R1578&gt;0,AQ1578/R1578,0))/MAX(0.1,N(Parameter!$M$21)))</f>
        <v>0.160075329566855</v>
      </c>
      <c r="AS1578" s="50" t="n">
        <f aca="false">AR1578*CB1578</f>
        <v>38.0979284369115</v>
      </c>
      <c r="AT1578" s="51" t="n">
        <f aca="false">IF(LEFT(Cockpit!$I$5,1)="A",H1578,IF(CH1578=1,(CK1578+CI1578)/2,IF(LEFT(Cockpit!$I$5,1)="B",(CK1578+AV1578)/2,MAX((CK1578+AV1578)/2,H1578))))</f>
        <v>2</v>
      </c>
      <c r="AU1578" s="50" t="n">
        <f aca="false">AT1578*G1578</f>
        <v>2180</v>
      </c>
      <c r="AV1578" s="50" t="n">
        <f aca="false">ROUNDUP(CK1578+MAX(CL1578,2*(J1578/IF(CG1578&gt;0,CG1578,MAX(0.1,N(Cockpit!$I$6)))-CK1578)),0)</f>
        <v>2</v>
      </c>
      <c r="AW1578" s="51" t="n">
        <f aca="false">IF(AS1578&gt;0,J1578/AS1578,-1)</f>
        <v>0</v>
      </c>
      <c r="AX1578" s="51" t="n">
        <f aca="false">IF(AND(OR(CF1578="L1",CF1578="L23",CF1578="LIFT"),AS1578&gt;0),SUMIFS($AS$7:$AS$1843,$CF$7:$CF$1843,CF1578,$AW$7:$AW$1843,"&gt;"&amp;AW1578)+SUMIFS($AS$7:$AS$1843,$CF$7:$CF$1843,CF1578,$AW$7:$AW$1843,AW1578,$BW$7:$BW$1843,"&lt;="&amp;BW1578),"")</f>
        <v>36766.8842454626</v>
      </c>
      <c r="AY1578" s="58" t="n">
        <f aca="false">IF(AX1578="",0,MAX(0,MIN(1,(IF(CF1578="L1",Parameter!$H$5,IF(CF1578="L23",Parameter!$H$6+Parameter!$H$7,Parameter!$H$5+Parameter!$H$6+Parameter!$H$7))-(AX1578-AS1578))/AS1578)))</f>
        <v>0</v>
      </c>
      <c r="AZ1578" s="50" t="n">
        <f aca="false">IF(LEFT(Cockpit!$O$5,1)="A",H1578,IF(Parameter!$E$30="MAX-Bestand",IF(CH1578=1,CI1578,IF(LEFT(Cockpit!$O$5,1)="B",BF1578,MAX(BF1578,H1578))),ROUNDUP(BD1578,0)))</f>
        <v>2</v>
      </c>
      <c r="BA1578" s="50" t="n">
        <f aca="false">IF(BZ1578=1,0,ROUNDUP(AZ1578/BY1578,0))</f>
        <v>0</v>
      </c>
      <c r="BB1578" s="52" t="n">
        <f aca="false">IF(CQ1578&gt;0,CQ1578*MAX(1,AZ1578/X1578),IF(BZ1578=1,IF(AZ1578&lt;=0,0,CD1578*MAX(1,IF(H1578&gt;0,AZ1578/H1578,1))),IF(R1578&gt;0,BA1578/R1578,0))/MAX(0.1,N(Parameter!$M$21)))</f>
        <v>0.160075329566855</v>
      </c>
      <c r="BC1578" s="50" t="n">
        <f aca="false">BB1578*CB1578</f>
        <v>38.0979284369115</v>
      </c>
      <c r="BD1578" s="51" t="n">
        <f aca="false">IF(LEFT(Cockpit!$O$5,1)="A",H1578,IF(CH1578=1,(CK1578+CI1578)/2,IF(LEFT(Cockpit!$O$5,1)="B",(CK1578+BF1578)/2,MAX((CK1578+BF1578)/2,H1578))))</f>
        <v>1.5</v>
      </c>
      <c r="BE1578" s="50" t="n">
        <f aca="false">BD1578*G1578</f>
        <v>1635</v>
      </c>
      <c r="BF1578" s="50" t="n">
        <f aca="false">ROUNDUP(CK1578+MAX(CL1578,2*(J1578/IF(CG1578&gt;0,CG1578,MAX(0.1,N(Cockpit!$O$6)))-CK1578)),0)</f>
        <v>2</v>
      </c>
      <c r="BG1578" s="51" t="n">
        <f aca="false">IF(BC1578&gt;0,J1578/BC1578,-1)</f>
        <v>0</v>
      </c>
      <c r="BH1578" s="51" t="n">
        <f aca="false">IF(AND(OR(CF1578="L1",CF1578="L23",CF1578="LIFT"),BC1578&gt;0),SUMIFS($BC$7:$BC$1843,$CF$7:$CF$1843,CF1578,$BG$7:$BG$1843,"&gt;"&amp;BG1578)+SUMIFS($BC$7:$BC$1843,$CF$7:$CF$1843,CF1578,$BG$7:$BG$1843,BG1578,$BW$7:$BW$1843,"&lt;="&amp;BW1578),"")</f>
        <v>30676.325520995</v>
      </c>
      <c r="BI1578" s="58" t="n">
        <f aca="false">IF(BH1578="",0,MAX(0,MIN(1,(IF(CF1578="L1",Parameter!$H$5,IF(CF1578="L23",Parameter!$H$6+Parameter!$H$7,Parameter!$H$5+Parameter!$H$6+Parameter!$H$7))-(BH1578-BC1578))/BC1578)))</f>
        <v>1</v>
      </c>
      <c r="BJ1578" s="48" t="str">
        <f aca="false">IF(AI1578&lt;=0,"",IF(CF1578="Aussen","Aussenlager",IF(CF1578="-","Nicht im Lift",IF(AO1578&gt;=1,"Lift",IF(AO1578&lt;=0,"Aussenlager","teilweise")))))</f>
        <v>Lift</v>
      </c>
      <c r="BK1578" s="48" t="str">
        <f aca="false">IF(AS1578&lt;=0,"",IF(CF1578="Aussen","Aussenlager",IF(CF1578="-","Nicht im Lift",IF(AY1578&gt;=1,"Lift",IF(AY1578&lt;=0,"Aussenlager","teilweise")))))</f>
        <v>Aussenlager</v>
      </c>
      <c r="BL1578" s="48" t="str">
        <f aca="false">IF(BC1578&lt;=0,"",IF(CF1578="Aussen","Aussenlager",IF(CF1578="-","Nicht im Lift",IF(BI1578&gt;=1,"Lift",IF(BI1578&lt;=0,"Aussenlager","teilweise")))))</f>
        <v>Lift</v>
      </c>
      <c r="BM1578" s="48" t="str">
        <f aca="false">IF(A1578="","",IF(BV1578=1,"Neu; ","")&amp;IF(AND(BV1578=0,BQ1578&lt;0),"negativer Bestand (Export "&amp;BQ1578&amp;"); ","")&amp;IF(J1578&lt;=0,"Kein Verbrauch; ","")&amp;IF(CQ1578&gt;0,"Lift "&amp;W1578&amp;" lt. Liftbericht (Fach "&amp;X1578&amp;" Stk); ",IF(CA1578=1,"Gebinde geschätzt ("&amp;T1578&amp;"); ",IF(BZ1578=1,"Lose – Tablare geschätzt; ","")))&amp;IF(H1578&gt;AV1578,"Überbestand "&amp;ROUND(H1578-AV1578,0)&amp;" Stk / CHF "&amp;ROUND((H1578-AV1578)*G1578,0)&amp;"; ","")&amp;IF(AND(CH1578=1,CI1578&lt;CJ1578),"MAX &lt; MB+LG; ","")&amp;IF(AND(CP1578&gt;0,CO1578*10&gt;CP1578),"zu hoch für Tablar; ","")&amp;IF(AND(BV1578=0,OR(CH1578=1,AA1578&lt;&gt;"",U1578&lt;&gt;"",V1578&lt;&gt;"",AB1578&lt;&gt;"")),"manuell übersteuert; ","")&amp;IF(AND(BZ1578=0,R1578=0),"Gebinde unbekannt / Stellmass fehlt; ","")&amp;IF(AND(BZ1578=0,N(V1578)&lt;=0,N(Q1578)&lt;=0),"Menge pro Gebinde fehlt (Ist = 1 Gebinde); ","")&amp;BU1578)</f>
        <v>Kein Verbrauch; Lift 1 lt. Liftbericht (Fach 2 Stk); nur im Artikelstamm (Bestand 23.06.2026)</v>
      </c>
      <c r="BN1578" s="48"/>
      <c r="BO1578" s="48"/>
      <c r="BP1578" s="55"/>
      <c r="BQ1578" s="50" t="n">
        <v>2</v>
      </c>
      <c r="BR1578" s="50" t="n">
        <v>0</v>
      </c>
      <c r="BS1578" s="49" t="n">
        <v>0</v>
      </c>
      <c r="BT1578" s="50" t="n">
        <v>0</v>
      </c>
      <c r="BU1578" s="48" t="s">
        <v>2584</v>
      </c>
      <c r="BV1578" s="53" t="n">
        <v>0</v>
      </c>
      <c r="BW1578" s="53" t="n">
        <v>1578</v>
      </c>
      <c r="BX1578" s="48" t="str">
        <f aca="false">IF(U1578&lt;&gt;"",UPPER(TRIM(U1578)),IF(CA1578=1,UPPER(VLOOKUP(T1578,Parameter!$I$27:$K$29,2,0)),IF(P1578="","LOSE",P1578)))</f>
        <v>LOSE</v>
      </c>
      <c r="BY1578" s="50" t="n">
        <f aca="false">IF(BX1578="LOSE",1,IF(N(V1578)&gt;0,V1578,IF(CA1578=1,MAX(1,N(VLOOKUP(T1578,Parameter!$I$27:$K$29,3,0)),H1578,N(N1578)),IF(N(Q1578)&gt;0,Q1578,MAX(1,H1578)))))</f>
        <v>1</v>
      </c>
      <c r="BZ1578" s="53" t="n">
        <f aca="false">IF(BX1578="LOSE",1,0)</f>
        <v>1</v>
      </c>
      <c r="CA1578" s="53" t="n">
        <f aca="false">IF(AND(U1578="",OR(P1578="",P1578="LOSE"),T1578&lt;&gt;"",N(S1578)&lt;=0,ISNUMBER(MATCH(T1578,Parameter!$I$27:$I$29,0))),1,0)</f>
        <v>0</v>
      </c>
      <c r="CB1578" s="53" t="n">
        <f aca="false">IF(CQ1578&gt;0,INDEX(Parameter!$H$5:$H$7,W1578)/INDEX(Parameter!$E$5:$E$7,W1578),IF(AND(BZ1578=0,N(IFERROR(VLOOKUP(BX1578,'Gebinde-Kategorie'!$A$5:$N$45,14,0),0))&gt;0),VLOOKUP(BX1578,'Gebinde-Kategorie'!$A$5:$N$45,14,0)*10+Parameter!$M$23,Parameter!$M$24))</f>
        <v>238</v>
      </c>
      <c r="CC1578" s="48" t="n">
        <f aca="false">IF(AND(Parameter!$B$19="Ja",E1578&lt;&gt;"",ISNUMBER(MATCH(E1578,Parameter!$I$35:$I$52,0))),VLOOKUP(E1578,Parameter!$I$35:$J$52,2,0),IFERROR(VLOOKUP(D1578,Parameter!$A$35:$C$64,2,0),"Nein"))</f>
        <v>1</v>
      </c>
      <c r="CD1578" s="52" t="n">
        <f aca="false">IF(BZ1578=0,0,IF(N(S1578)&gt;0,S1578,IFERROR(VLOOKUP(D1578,Parameter!$A$35:$C$64,3,0)+0,0)))</f>
        <v>0.15</v>
      </c>
      <c r="CE1578" s="48" t="n">
        <f aca="false">IF(AA1578&lt;&gt;"",AA1578,Z1578)</f>
        <v>1</v>
      </c>
      <c r="CF1578" s="48" t="str">
        <f aca="false">IF(OR(CE1578=1,CE1578=2,CE1578=3),IF(Parameter!$E$27="Ja","LIFT",IF(CE1578=1,"L1","L23")),IF(CE1578="Aussen","Aussen","-"))</f>
        <v>LIFT</v>
      </c>
      <c r="CG1578" s="59" t="n">
        <f aca="false">IF(N(AB1578)&gt;0,AB1578,0)</f>
        <v>0</v>
      </c>
      <c r="CH1578" s="53" t="n">
        <f aca="false">IF(ISNUMBER(AE1578),1,0)</f>
        <v>0</v>
      </c>
      <c r="CI1578" s="50" t="n">
        <f aca="false">N(AE1578)</f>
        <v>0</v>
      </c>
      <c r="CJ1578" s="50" t="n">
        <f aca="false">N(M1578)+N(N1578)</f>
        <v>2</v>
      </c>
      <c r="CK1578" s="50" t="n">
        <f aca="false">N(M1578)</f>
        <v>1</v>
      </c>
      <c r="CL1578" s="50" t="n">
        <f aca="false">N(N1578)</f>
        <v>1</v>
      </c>
      <c r="CM1578" s="50" t="n">
        <f aca="false">ROUNDUP(H1578/BY1578,0)</f>
        <v>2</v>
      </c>
      <c r="CN1578" s="50" t="n">
        <f aca="false">ROUNDUP(CI1578/BY1578,0)</f>
        <v>0</v>
      </c>
      <c r="CO1578" s="53" t="n">
        <f aca="false">IF(BZ1578=1,0,IFERROR(VLOOKUP(BX1578,'Gebinde-Kategorie'!$A$5:$N$45,5,0)+0,0))</f>
        <v>0</v>
      </c>
      <c r="CP1578" s="53" t="n">
        <f aca="false">IFERROR(IF(OR(CE1578=1,CE1578=2,CE1578=3),N(INDEX(Parameter!$I$5:$I$7,CE1578)),0),0)</f>
        <v>0</v>
      </c>
      <c r="CQ1578" s="52" t="n">
        <f aca="false">IF(AND(Parameter!$B$21="Ja",ISNUMBER(W1578),N(X1578)&gt;0),IFERROR(N(INDEX(Parameter!$L$5:$L$7,W1578))*INDEX(Parameter!$E$5:$E$7,W1578)*X1578/SUMIFS($X$7:$X$1843,$W$7:$W$1843,W1578),0),0)</f>
        <v>0.160075329566855</v>
      </c>
    </row>
    <row r="1579" customFormat="false" ht="15" hidden="false" customHeight="false" outlineLevel="0" collapsed="false">
      <c r="A1579" s="48" t="s">
        <v>2767</v>
      </c>
      <c r="B1579" s="48" t="s">
        <v>1152</v>
      </c>
      <c r="C1579" s="48" t="s">
        <v>173</v>
      </c>
      <c r="D1579" s="48" t="s">
        <v>193</v>
      </c>
      <c r="E1579" s="48"/>
      <c r="F1579" s="48"/>
      <c r="G1579" s="49" t="n">
        <v>28.7</v>
      </c>
      <c r="H1579" s="50" t="n">
        <f aca="false">MAX(0,IF(AND(Parameter!$B$21="Ja",ISNUMBER(Y1579)),Y1579,IF(Parameter!$B$20="Jahresanfang 2025 + Export",BR1579+BQ1579,BQ1579)))</f>
        <v>6</v>
      </c>
      <c r="I1579" s="50" t="n">
        <f aca="false">H1579*G1579</f>
        <v>172.2</v>
      </c>
      <c r="J1579" s="50" t="n">
        <f aca="false">BT1579*Parameter!$B$18</f>
        <v>0</v>
      </c>
      <c r="K1579" s="51"/>
      <c r="L1579" s="52"/>
      <c r="M1579" s="50" t="n">
        <v>0</v>
      </c>
      <c r="N1579" s="50" t="n">
        <v>3</v>
      </c>
      <c r="O1579" s="53" t="n">
        <v>0</v>
      </c>
      <c r="P1579" s="48" t="s">
        <v>177</v>
      </c>
      <c r="Q1579" s="50"/>
      <c r="R1579" s="53" t="n">
        <f aca="false">IF(BZ1579=1,0,IFERROR(VLOOKUP(BX1579,'Gebinde-Kategorie'!$A$5:$N$45,13,0)+0,0))</f>
        <v>26</v>
      </c>
      <c r="S1579" s="54"/>
      <c r="T1579" s="55" t="s">
        <v>284</v>
      </c>
      <c r="U1579" s="55"/>
      <c r="V1579" s="55"/>
      <c r="W1579" s="48"/>
      <c r="X1579" s="50"/>
      <c r="Y1579" s="50"/>
      <c r="Z1579" s="48" t="n">
        <f aca="false">IF(A1579="","",IF(AND(Parameter!$B$21="Ja",ISNUMBER(W1579)),W1579,IF(CC1579="2+3",IF(ISNUMBER(SEARCH("grosser Artikel",BU1579)),2,IFERROR(VLOOKUP(BX1579,Parameter!$F$35:$G$64,2,0),2)),IF(OR(CC1579="Nein",CC1579=""),"-",CC1579))))</f>
        <v>3</v>
      </c>
      <c r="AA1579" s="55"/>
      <c r="AB1579" s="56"/>
      <c r="AC1579" s="50" t="n">
        <f aca="false">AV1579</f>
        <v>3</v>
      </c>
      <c r="AD1579" s="50" t="n">
        <f aca="false">MAX(AV1579,H1579)</f>
        <v>6</v>
      </c>
      <c r="AE1579" s="57"/>
      <c r="AF1579" s="50" t="n">
        <f aca="false">IF(LEFT(Cockpit!$C$5,1)="A",H1579,IF(Parameter!$E$30="MAX-Bestand",IF(CH1579=1,CI1579,IF(LEFT(Cockpit!$C$5,1)="B",AL1579,MAX(AL1579,H1579))),ROUNDUP(AJ1579,0)))</f>
        <v>6</v>
      </c>
      <c r="AG1579" s="50" t="n">
        <f aca="false">IF(BZ1579=1,0,ROUNDUP(AF1579/BY1579,0))</f>
        <v>1</v>
      </c>
      <c r="AH1579" s="52" t="n">
        <f aca="false">IF(CQ1579&gt;0,CQ1579*MAX(1,AF1579/X1579),IF(BZ1579=1,IF(AF1579&lt;=0,0,CD1579*MAX(1,IF(H1579&gt;0,AF1579/H1579,1))),IF(R1579&gt;0,AG1579/R1579,0))/MAX(0.1,N(Parameter!$M$21)))</f>
        <v>0.0384615384615385</v>
      </c>
      <c r="AI1579" s="50" t="n">
        <f aca="false">AH1579*CB1579</f>
        <v>5.96153846153846</v>
      </c>
      <c r="AJ1579" s="51" t="n">
        <f aca="false">IF(LEFT(Cockpit!$C$5,1)="A",H1579,IF(CH1579=1,(CK1579+CI1579)/2,IF(LEFT(Cockpit!$C$5,1)="B",(CK1579+AL1579)/2,MAX((CK1579+AL1579)/2,H1579))))</f>
        <v>6</v>
      </c>
      <c r="AK1579" s="50" t="n">
        <f aca="false">AJ1579*G1579</f>
        <v>172.2</v>
      </c>
      <c r="AL1579" s="50" t="n">
        <f aca="false">ROUNDUP(CK1579+MAX(CL1579,2*(J1579/IF(CG1579&gt;0,CG1579,MAX(0.1,N(Cockpit!$C$6)))-CK1579)),0)</f>
        <v>3</v>
      </c>
      <c r="AM1579" s="51" t="n">
        <f aca="false">IF(AI1579&gt;0,J1579/AI1579,-1)</f>
        <v>0</v>
      </c>
      <c r="AN1579" s="51" t="n">
        <f aca="false">IF(AND(OR(CF1579="L1",CF1579="L23",CF1579="LIFT"),AI1579&gt;0),SUMIFS($AI$7:$AI$1843,$CF$7:$CF$1843,CF1579,$AM$7:$AM$1843,"&gt;"&amp;AM1579)+SUMIFS($AI$7:$AI$1843,$CF$7:$CF$1843,CF1579,$AM$7:$AM$1843,AM1579,$BW$7:$BW$1843,"&lt;="&amp;BW1579),"")</f>
        <v>30452.9892670888</v>
      </c>
      <c r="AO1579" s="58" t="n">
        <f aca="false">IF(AN1579="",0,MAX(0,MIN(1,(IF(CF1579="L1",Parameter!$H$5,IF(CF1579="L23",Parameter!$H$6+Parameter!$H$7,Parameter!$H$5+Parameter!$H$6+Parameter!$H$7))-(AN1579-AI1579))/AI1579)))</f>
        <v>1</v>
      </c>
      <c r="AP1579" s="50" t="n">
        <f aca="false">IF(LEFT(Cockpit!$I$5,1)="A",H1579,IF(Parameter!$E$30="MAX-Bestand",IF(CH1579=1,CI1579,IF(LEFT(Cockpit!$I$5,1)="B",AV1579,MAX(AV1579,H1579))),ROUNDUP(AT1579,0)))</f>
        <v>6</v>
      </c>
      <c r="AQ1579" s="50" t="n">
        <f aca="false">IF(BZ1579=1,0,ROUNDUP(AP1579/BY1579,0))</f>
        <v>1</v>
      </c>
      <c r="AR1579" s="52" t="n">
        <f aca="false">IF(CQ1579&gt;0,CQ1579*MAX(1,AP1579/X1579),IF(BZ1579=1,IF(AP1579&lt;=0,0,CD1579*MAX(1,IF(H1579&gt;0,AP1579/H1579,1))),IF(R1579&gt;0,AQ1579/R1579,0))/MAX(0.1,N(Parameter!$M$21)))</f>
        <v>0.0384615384615385</v>
      </c>
      <c r="AS1579" s="50" t="n">
        <f aca="false">AR1579*CB1579</f>
        <v>5.96153846153846</v>
      </c>
      <c r="AT1579" s="51" t="n">
        <f aca="false">IF(LEFT(Cockpit!$I$5,1)="A",H1579,IF(CH1579=1,(CK1579+CI1579)/2,IF(LEFT(Cockpit!$I$5,1)="B",(CK1579+AV1579)/2,MAX((CK1579+AV1579)/2,H1579))))</f>
        <v>6</v>
      </c>
      <c r="AU1579" s="50" t="n">
        <f aca="false">AT1579*G1579</f>
        <v>172.2</v>
      </c>
      <c r="AV1579" s="50" t="n">
        <f aca="false">ROUNDUP(CK1579+MAX(CL1579,2*(J1579/IF(CG1579&gt;0,CG1579,MAX(0.1,N(Cockpit!$I$6)))-CK1579)),0)</f>
        <v>3</v>
      </c>
      <c r="AW1579" s="51" t="n">
        <f aca="false">IF(AS1579&gt;0,J1579/AS1579,-1)</f>
        <v>0</v>
      </c>
      <c r="AX1579" s="51" t="n">
        <f aca="false">IF(AND(OR(CF1579="L1",CF1579="L23",CF1579="LIFT"),AS1579&gt;0),SUMIFS($AS$7:$AS$1843,$CF$7:$CF$1843,CF1579,$AW$7:$AW$1843,"&gt;"&amp;AW1579)+SUMIFS($AS$7:$AS$1843,$CF$7:$CF$1843,CF1579,$AW$7:$AW$1843,AW1579,$BW$7:$BW$1843,"&lt;="&amp;BW1579),"")</f>
        <v>36772.8457839242</v>
      </c>
      <c r="AY1579" s="58" t="n">
        <f aca="false">IF(AX1579="",0,MAX(0,MIN(1,(IF(CF1579="L1",Parameter!$H$5,IF(CF1579="L23",Parameter!$H$6+Parameter!$H$7,Parameter!$H$5+Parameter!$H$6+Parameter!$H$7))-(AX1579-AS1579))/AS1579)))</f>
        <v>0</v>
      </c>
      <c r="AZ1579" s="50" t="n">
        <f aca="false">IF(LEFT(Cockpit!$O$5,1)="A",H1579,IF(Parameter!$E$30="MAX-Bestand",IF(CH1579=1,CI1579,IF(LEFT(Cockpit!$O$5,1)="B",BF1579,MAX(BF1579,H1579))),ROUNDUP(BD1579,0)))</f>
        <v>2</v>
      </c>
      <c r="BA1579" s="50" t="n">
        <f aca="false">IF(BZ1579=1,0,ROUNDUP(AZ1579/BY1579,0))</f>
        <v>1</v>
      </c>
      <c r="BB1579" s="52" t="n">
        <f aca="false">IF(CQ1579&gt;0,CQ1579*MAX(1,AZ1579/X1579),IF(BZ1579=1,IF(AZ1579&lt;=0,0,CD1579*MAX(1,IF(H1579&gt;0,AZ1579/H1579,1))),IF(R1579&gt;0,BA1579/R1579,0))/MAX(0.1,N(Parameter!$M$21)))</f>
        <v>0.0384615384615385</v>
      </c>
      <c r="BC1579" s="50" t="n">
        <f aca="false">BB1579*CB1579</f>
        <v>5.96153846153846</v>
      </c>
      <c r="BD1579" s="51" t="n">
        <f aca="false">IF(LEFT(Cockpit!$O$5,1)="A",H1579,IF(CH1579=1,(CK1579+CI1579)/2,IF(LEFT(Cockpit!$O$5,1)="B",(CK1579+BF1579)/2,MAX((CK1579+BF1579)/2,H1579))))</f>
        <v>1.5</v>
      </c>
      <c r="BE1579" s="50" t="n">
        <f aca="false">BD1579*G1579</f>
        <v>43.05</v>
      </c>
      <c r="BF1579" s="50" t="n">
        <f aca="false">ROUNDUP(CK1579+MAX(CL1579,2*(J1579/IF(CG1579&gt;0,CG1579,MAX(0.1,N(Cockpit!$O$6)))-CK1579)),0)</f>
        <v>3</v>
      </c>
      <c r="BG1579" s="51" t="n">
        <f aca="false">IF(BC1579&gt;0,J1579/BC1579,-1)</f>
        <v>0</v>
      </c>
      <c r="BH1579" s="51" t="n">
        <f aca="false">IF(AND(OR(CF1579="L1",CF1579="L23",CF1579="LIFT"),BC1579&gt;0),SUMIFS($BC$7:$BC$1843,$CF$7:$CF$1843,CF1579,$BG$7:$BG$1843,"&gt;"&amp;BG1579)+SUMIFS($BC$7:$BC$1843,$CF$7:$CF$1843,CF1579,$BG$7:$BG$1843,BG1579,$BW$7:$BW$1843,"&lt;="&amp;BW1579),"")</f>
        <v>30682.2870594566</v>
      </c>
      <c r="BI1579" s="58" t="n">
        <f aca="false">IF(BH1579="",0,MAX(0,MIN(1,(IF(CF1579="L1",Parameter!$H$5,IF(CF1579="L23",Parameter!$H$6+Parameter!$H$7,Parameter!$H$5+Parameter!$H$6+Parameter!$H$7))-(BH1579-BC1579))/BC1579)))</f>
        <v>1</v>
      </c>
      <c r="BJ1579" s="48" t="str">
        <f aca="false">IF(AI1579&lt;=0,"",IF(CF1579="Aussen","Aussenlager",IF(CF1579="-","Nicht im Lift",IF(AO1579&gt;=1,"Lift",IF(AO1579&lt;=0,"Aussenlager","teilweise")))))</f>
        <v>Lift</v>
      </c>
      <c r="BK1579" s="48" t="str">
        <f aca="false">IF(AS1579&lt;=0,"",IF(CF1579="Aussen","Aussenlager",IF(CF1579="-","Nicht im Lift",IF(AY1579&gt;=1,"Lift",IF(AY1579&lt;=0,"Aussenlager","teilweise")))))</f>
        <v>Aussenlager</v>
      </c>
      <c r="BL1579" s="48" t="str">
        <f aca="false">IF(BC1579&lt;=0,"",IF(CF1579="Aussen","Aussenlager",IF(CF1579="-","Nicht im Lift",IF(BI1579&gt;=1,"Lift",IF(BI1579&lt;=0,"Aussenlager","teilweise")))))</f>
        <v>Lift</v>
      </c>
      <c r="BM1579" s="48" t="str">
        <f aca="false">IF(A1579="","",IF(BV1579=1,"Neu; ","")&amp;IF(AND(BV1579=0,BQ1579&lt;0),"negativer Bestand (Export "&amp;BQ1579&amp;"); ","")&amp;IF(J1579&lt;=0,"Kein Verbrauch; ","")&amp;IF(CQ1579&gt;0,"Lift "&amp;W1579&amp;" lt. Liftbericht (Fach "&amp;X1579&amp;" Stk); ",IF(CA1579=1,"Gebinde geschätzt ("&amp;T1579&amp;"); ",IF(BZ1579=1,"Lose – Tablare geschätzt; ","")))&amp;IF(H1579&gt;AV1579,"Überbestand "&amp;ROUND(H1579-AV1579,0)&amp;" Stk / CHF "&amp;ROUND((H1579-AV1579)*G1579,0)&amp;"; ","")&amp;IF(AND(CH1579=1,CI1579&lt;CJ1579),"MAX &lt; MB+LG; ","")&amp;IF(AND(CP1579&gt;0,CO1579*10&gt;CP1579),"zu hoch für Tablar; ","")&amp;IF(AND(BV1579=0,OR(CH1579=1,AA1579&lt;&gt;"",U1579&lt;&gt;"",V1579&lt;&gt;"",AB1579&lt;&gt;"")),"manuell übersteuert; ","")&amp;IF(AND(BZ1579=0,R1579=0),"Gebinde unbekannt / Stellmass fehlt; ","")&amp;IF(AND(BZ1579=0,N(V1579)&lt;=0,N(Q1579)&lt;=0),"Menge pro Gebinde fehlt (Ist = 1 Gebinde); ","")&amp;BU1579)</f>
        <v>Kein Verbrauch; Gebinde geschätzt (Klein); Überbestand 3 Stk / CHF 86; Menge pro Gebinde fehlt (Ist = 1 Gebinde); nur im Artikelstamm (Bestand 23.06.2026)</v>
      </c>
      <c r="BN1579" s="48"/>
      <c r="BO1579" s="48"/>
      <c r="BP1579" s="55"/>
      <c r="BQ1579" s="50" t="n">
        <v>6</v>
      </c>
      <c r="BR1579" s="50" t="n">
        <v>0</v>
      </c>
      <c r="BS1579" s="49" t="n">
        <v>0</v>
      </c>
      <c r="BT1579" s="50" t="n">
        <v>0</v>
      </c>
      <c r="BU1579" s="48" t="s">
        <v>2584</v>
      </c>
      <c r="BV1579" s="53" t="n">
        <v>0</v>
      </c>
      <c r="BW1579" s="53" t="n">
        <v>1579</v>
      </c>
      <c r="BX1579" s="48" t="str">
        <f aca="false">IF(U1579&lt;&gt;"",UPPER(TRIM(U1579)),IF(CA1579=1,UPPER(VLOOKUP(T1579,Parameter!$I$27:$K$29,2,0)),IF(P1579="","LOSE",P1579)))</f>
        <v>S51</v>
      </c>
      <c r="BY1579" s="50" t="n">
        <f aca="false">IF(BX1579="LOSE",1,IF(N(V1579)&gt;0,V1579,IF(CA1579=1,MAX(1,N(VLOOKUP(T1579,Parameter!$I$27:$K$29,3,0)),H1579,N(N1579)),IF(N(Q1579)&gt;0,Q1579,MAX(1,H1579)))))</f>
        <v>20</v>
      </c>
      <c r="BZ1579" s="53" t="n">
        <f aca="false">IF(BX1579="LOSE",1,0)</f>
        <v>0</v>
      </c>
      <c r="CA1579" s="53" t="n">
        <f aca="false">IF(AND(U1579="",OR(P1579="",P1579="LOSE"),T1579&lt;&gt;"",N(S1579)&lt;=0,ISNUMBER(MATCH(T1579,Parameter!$I$27:$I$29,0))),1,0)</f>
        <v>1</v>
      </c>
      <c r="CB1579" s="53" t="n">
        <f aca="false">IF(CQ1579&gt;0,INDEX(Parameter!$H$5:$H$7,W1579)/INDEX(Parameter!$E$5:$E$7,W1579),IF(AND(BZ1579=0,N(IFERROR(VLOOKUP(BX1579,'Gebinde-Kategorie'!$A$5:$N$45,14,0),0))&gt;0),VLOOKUP(BX1579,'Gebinde-Kategorie'!$A$5:$N$45,14,0)*10+Parameter!$M$23,Parameter!$M$24))</f>
        <v>155</v>
      </c>
      <c r="CC1579" s="48" t="str">
        <f aca="false">IF(AND(Parameter!$B$19="Ja",E1579&lt;&gt;"",ISNUMBER(MATCH(E1579,Parameter!$I$35:$I$52,0))),VLOOKUP(E1579,Parameter!$I$35:$J$52,2,0),IFERROR(VLOOKUP(D1579,Parameter!$A$35:$C$64,2,0),"Nein"))</f>
        <v>2+3</v>
      </c>
      <c r="CD1579" s="52" t="n">
        <f aca="false">IF(BZ1579=0,0,IF(N(S1579)&gt;0,S1579,IFERROR(VLOOKUP(D1579,Parameter!$A$35:$C$64,3,0)+0,0)))</f>
        <v>0</v>
      </c>
      <c r="CE1579" s="48" t="n">
        <f aca="false">IF(AA1579&lt;&gt;"",AA1579,Z1579)</f>
        <v>3</v>
      </c>
      <c r="CF1579" s="48" t="str">
        <f aca="false">IF(OR(CE1579=1,CE1579=2,CE1579=3),IF(Parameter!$E$27="Ja","LIFT",IF(CE1579=1,"L1","L23")),IF(CE1579="Aussen","Aussen","-"))</f>
        <v>LIFT</v>
      </c>
      <c r="CG1579" s="59" t="n">
        <f aca="false">IF(N(AB1579)&gt;0,AB1579,0)</f>
        <v>0</v>
      </c>
      <c r="CH1579" s="53" t="n">
        <f aca="false">IF(ISNUMBER(AE1579),1,0)</f>
        <v>0</v>
      </c>
      <c r="CI1579" s="50" t="n">
        <f aca="false">N(AE1579)</f>
        <v>0</v>
      </c>
      <c r="CJ1579" s="50" t="n">
        <f aca="false">N(M1579)+N(N1579)</f>
        <v>3</v>
      </c>
      <c r="CK1579" s="50" t="n">
        <f aca="false">N(M1579)</f>
        <v>0</v>
      </c>
      <c r="CL1579" s="50" t="n">
        <f aca="false">N(N1579)</f>
        <v>3</v>
      </c>
      <c r="CM1579" s="50" t="n">
        <f aca="false">ROUNDUP(H1579/BY1579,0)</f>
        <v>1</v>
      </c>
      <c r="CN1579" s="50" t="n">
        <f aca="false">ROUNDUP(CI1579/BY1579,0)</f>
        <v>0</v>
      </c>
      <c r="CO1579" s="53" t="n">
        <f aca="false">IF(BZ1579=1,0,IFERROR(VLOOKUP(BX1579,'Gebinde-Kategorie'!$A$5:$N$45,5,0)+0,0))</f>
        <v>11</v>
      </c>
      <c r="CP1579" s="53" t="n">
        <f aca="false">IFERROR(IF(OR(CE1579=1,CE1579=2,CE1579=3),N(INDEX(Parameter!$I$5:$I$7,CE1579)),0),0)</f>
        <v>0</v>
      </c>
      <c r="CQ1579" s="52" t="n">
        <f aca="false">IF(AND(Parameter!$B$21="Ja",ISNUMBER(W1579),N(X1579)&gt;0),IFERROR(N(INDEX(Parameter!$L$5:$L$7,W1579))*INDEX(Parameter!$E$5:$E$7,W1579)*X1579/SUMIFS($X$7:$X$1843,$W$7:$W$1843,W1579),0),0)</f>
        <v>0</v>
      </c>
    </row>
    <row r="1580" customFormat="false" ht="15" hidden="false" customHeight="false" outlineLevel="0" collapsed="false">
      <c r="A1580" s="48" t="s">
        <v>2768</v>
      </c>
      <c r="B1580" s="48" t="s">
        <v>2769</v>
      </c>
      <c r="C1580" s="48" t="s">
        <v>173</v>
      </c>
      <c r="D1580" s="48" t="s">
        <v>193</v>
      </c>
      <c r="E1580" s="48"/>
      <c r="F1580" s="48"/>
      <c r="G1580" s="49" t="n">
        <v>58.6</v>
      </c>
      <c r="H1580" s="50" t="n">
        <f aca="false">MAX(0,IF(AND(Parameter!$B$21="Ja",ISNUMBER(Y1580)),Y1580,IF(Parameter!$B$20="Jahresanfang 2025 + Export",BR1580+BQ1580,BQ1580)))</f>
        <v>3</v>
      </c>
      <c r="I1580" s="50" t="n">
        <f aca="false">H1580*G1580</f>
        <v>175.8</v>
      </c>
      <c r="J1580" s="50" t="n">
        <f aca="false">BT1580*Parameter!$B$18</f>
        <v>0</v>
      </c>
      <c r="K1580" s="51"/>
      <c r="L1580" s="52"/>
      <c r="M1580" s="50" t="n">
        <v>0</v>
      </c>
      <c r="N1580" s="50" t="n">
        <v>1</v>
      </c>
      <c r="O1580" s="53" t="n">
        <v>0</v>
      </c>
      <c r="P1580" s="48" t="s">
        <v>177</v>
      </c>
      <c r="Q1580" s="50"/>
      <c r="R1580" s="53" t="n">
        <f aca="false">IF(BZ1580=1,0,IFERROR(VLOOKUP(BX1580,'Gebinde-Kategorie'!$A$5:$N$45,13,0)+0,0))</f>
        <v>26</v>
      </c>
      <c r="S1580" s="54"/>
      <c r="T1580" s="55" t="s">
        <v>284</v>
      </c>
      <c r="U1580" s="55"/>
      <c r="V1580" s="55"/>
      <c r="W1580" s="48"/>
      <c r="X1580" s="50"/>
      <c r="Y1580" s="50"/>
      <c r="Z1580" s="48" t="n">
        <f aca="false">IF(A1580="","",IF(AND(Parameter!$B$21="Ja",ISNUMBER(W1580)),W1580,IF(CC1580="2+3",IF(ISNUMBER(SEARCH("grosser Artikel",BU1580)),2,IFERROR(VLOOKUP(BX1580,Parameter!$F$35:$G$64,2,0),2)),IF(OR(CC1580="Nein",CC1580=""),"-",CC1580))))</f>
        <v>3</v>
      </c>
      <c r="AA1580" s="55"/>
      <c r="AB1580" s="56"/>
      <c r="AC1580" s="50" t="n">
        <f aca="false">AV1580</f>
        <v>1</v>
      </c>
      <c r="AD1580" s="50" t="n">
        <f aca="false">MAX(AV1580,H1580)</f>
        <v>3</v>
      </c>
      <c r="AE1580" s="57"/>
      <c r="AF1580" s="50" t="n">
        <f aca="false">IF(LEFT(Cockpit!$C$5,1)="A",H1580,IF(Parameter!$E$30="MAX-Bestand",IF(CH1580=1,CI1580,IF(LEFT(Cockpit!$C$5,1)="B",AL1580,MAX(AL1580,H1580))),ROUNDUP(AJ1580,0)))</f>
        <v>3</v>
      </c>
      <c r="AG1580" s="50" t="n">
        <f aca="false">IF(BZ1580=1,0,ROUNDUP(AF1580/BY1580,0))</f>
        <v>1</v>
      </c>
      <c r="AH1580" s="52" t="n">
        <f aca="false">IF(CQ1580&gt;0,CQ1580*MAX(1,AF1580/X1580),IF(BZ1580=1,IF(AF1580&lt;=0,0,CD1580*MAX(1,IF(H1580&gt;0,AF1580/H1580,1))),IF(R1580&gt;0,AG1580/R1580,0))/MAX(0.1,N(Parameter!$M$21)))</f>
        <v>0.0384615384615385</v>
      </c>
      <c r="AI1580" s="50" t="n">
        <f aca="false">AH1580*CB1580</f>
        <v>5.96153846153846</v>
      </c>
      <c r="AJ1580" s="51" t="n">
        <f aca="false">IF(LEFT(Cockpit!$C$5,1)="A",H1580,IF(CH1580=1,(CK1580+CI1580)/2,IF(LEFT(Cockpit!$C$5,1)="B",(CK1580+AL1580)/2,MAX((CK1580+AL1580)/2,H1580))))</f>
        <v>3</v>
      </c>
      <c r="AK1580" s="50" t="n">
        <f aca="false">AJ1580*G1580</f>
        <v>175.8</v>
      </c>
      <c r="AL1580" s="50" t="n">
        <f aca="false">ROUNDUP(CK1580+MAX(CL1580,2*(J1580/IF(CG1580&gt;0,CG1580,MAX(0.1,N(Cockpit!$C$6)))-CK1580)),0)</f>
        <v>1</v>
      </c>
      <c r="AM1580" s="51" t="n">
        <f aca="false">IF(AI1580&gt;0,J1580/AI1580,-1)</f>
        <v>0</v>
      </c>
      <c r="AN1580" s="51" t="n">
        <f aca="false">IF(AND(OR(CF1580="L1",CF1580="L23",CF1580="LIFT"),AI1580&gt;0),SUMIFS($AI$7:$AI$1843,$CF$7:$CF$1843,CF1580,$AM$7:$AM$1843,"&gt;"&amp;AM1580)+SUMIFS($AI$7:$AI$1843,$CF$7:$CF$1843,CF1580,$AM$7:$AM$1843,AM1580,$BW$7:$BW$1843,"&lt;="&amp;BW1580),"")</f>
        <v>30458.9508055504</v>
      </c>
      <c r="AO1580" s="58" t="n">
        <f aca="false">IF(AN1580="",0,MAX(0,MIN(1,(IF(CF1580="L1",Parameter!$H$5,IF(CF1580="L23",Parameter!$H$6+Parameter!$H$7,Parameter!$H$5+Parameter!$H$6+Parameter!$H$7))-(AN1580-AI1580))/AI1580)))</f>
        <v>1</v>
      </c>
      <c r="AP1580" s="50" t="n">
        <f aca="false">IF(LEFT(Cockpit!$I$5,1)="A",H1580,IF(Parameter!$E$30="MAX-Bestand",IF(CH1580=1,CI1580,IF(LEFT(Cockpit!$I$5,1)="B",AV1580,MAX(AV1580,H1580))),ROUNDUP(AT1580,0)))</f>
        <v>3</v>
      </c>
      <c r="AQ1580" s="50" t="n">
        <f aca="false">IF(BZ1580=1,0,ROUNDUP(AP1580/BY1580,0))</f>
        <v>1</v>
      </c>
      <c r="AR1580" s="52" t="n">
        <f aca="false">IF(CQ1580&gt;0,CQ1580*MAX(1,AP1580/X1580),IF(BZ1580=1,IF(AP1580&lt;=0,0,CD1580*MAX(1,IF(H1580&gt;0,AP1580/H1580,1))),IF(R1580&gt;0,AQ1580/R1580,0))/MAX(0.1,N(Parameter!$M$21)))</f>
        <v>0.0384615384615385</v>
      </c>
      <c r="AS1580" s="50" t="n">
        <f aca="false">AR1580*CB1580</f>
        <v>5.96153846153846</v>
      </c>
      <c r="AT1580" s="51" t="n">
        <f aca="false">IF(LEFT(Cockpit!$I$5,1)="A",H1580,IF(CH1580=1,(CK1580+CI1580)/2,IF(LEFT(Cockpit!$I$5,1)="B",(CK1580+AV1580)/2,MAX((CK1580+AV1580)/2,H1580))))</f>
        <v>3</v>
      </c>
      <c r="AU1580" s="50" t="n">
        <f aca="false">AT1580*G1580</f>
        <v>175.8</v>
      </c>
      <c r="AV1580" s="50" t="n">
        <f aca="false">ROUNDUP(CK1580+MAX(CL1580,2*(J1580/IF(CG1580&gt;0,CG1580,MAX(0.1,N(Cockpit!$I$6)))-CK1580)),0)</f>
        <v>1</v>
      </c>
      <c r="AW1580" s="51" t="n">
        <f aca="false">IF(AS1580&gt;0,J1580/AS1580,-1)</f>
        <v>0</v>
      </c>
      <c r="AX1580" s="51" t="n">
        <f aca="false">IF(AND(OR(CF1580="L1",CF1580="L23",CF1580="LIFT"),AS1580&gt;0),SUMIFS($AS$7:$AS$1843,$CF$7:$CF$1843,CF1580,$AW$7:$AW$1843,"&gt;"&amp;AW1580)+SUMIFS($AS$7:$AS$1843,$CF$7:$CF$1843,CF1580,$AW$7:$AW$1843,AW1580,$BW$7:$BW$1843,"&lt;="&amp;BW1580),"")</f>
        <v>36778.8073223857</v>
      </c>
      <c r="AY1580" s="58" t="n">
        <f aca="false">IF(AX1580="",0,MAX(0,MIN(1,(IF(CF1580="L1",Parameter!$H$5,IF(CF1580="L23",Parameter!$H$6+Parameter!$H$7,Parameter!$H$5+Parameter!$H$6+Parameter!$H$7))-(AX1580-AS1580))/AS1580)))</f>
        <v>0</v>
      </c>
      <c r="AZ1580" s="50" t="n">
        <f aca="false">IF(LEFT(Cockpit!$O$5,1)="A",H1580,IF(Parameter!$E$30="MAX-Bestand",IF(CH1580=1,CI1580,IF(LEFT(Cockpit!$O$5,1)="B",BF1580,MAX(BF1580,H1580))),ROUNDUP(BD1580,0)))</f>
        <v>1</v>
      </c>
      <c r="BA1580" s="50" t="n">
        <f aca="false">IF(BZ1580=1,0,ROUNDUP(AZ1580/BY1580,0))</f>
        <v>1</v>
      </c>
      <c r="BB1580" s="52" t="n">
        <f aca="false">IF(CQ1580&gt;0,CQ1580*MAX(1,AZ1580/X1580),IF(BZ1580=1,IF(AZ1580&lt;=0,0,CD1580*MAX(1,IF(H1580&gt;0,AZ1580/H1580,1))),IF(R1580&gt;0,BA1580/R1580,0))/MAX(0.1,N(Parameter!$M$21)))</f>
        <v>0.0384615384615385</v>
      </c>
      <c r="BC1580" s="50" t="n">
        <f aca="false">BB1580*CB1580</f>
        <v>5.96153846153846</v>
      </c>
      <c r="BD1580" s="51" t="n">
        <f aca="false">IF(LEFT(Cockpit!$O$5,1)="A",H1580,IF(CH1580=1,(CK1580+CI1580)/2,IF(LEFT(Cockpit!$O$5,1)="B",(CK1580+BF1580)/2,MAX((CK1580+BF1580)/2,H1580))))</f>
        <v>0.5</v>
      </c>
      <c r="BE1580" s="50" t="n">
        <f aca="false">BD1580*G1580</f>
        <v>29.3</v>
      </c>
      <c r="BF1580" s="50" t="n">
        <f aca="false">ROUNDUP(CK1580+MAX(CL1580,2*(J1580/IF(CG1580&gt;0,CG1580,MAX(0.1,N(Cockpit!$O$6)))-CK1580)),0)</f>
        <v>1</v>
      </c>
      <c r="BG1580" s="51" t="n">
        <f aca="false">IF(BC1580&gt;0,J1580/BC1580,-1)</f>
        <v>0</v>
      </c>
      <c r="BH1580" s="51" t="n">
        <f aca="false">IF(AND(OR(CF1580="L1",CF1580="L23",CF1580="LIFT"),BC1580&gt;0),SUMIFS($BC$7:$BC$1843,$CF$7:$CF$1843,CF1580,$BG$7:$BG$1843,"&gt;"&amp;BG1580)+SUMIFS($BC$7:$BC$1843,$CF$7:$CF$1843,CF1580,$BG$7:$BG$1843,BG1580,$BW$7:$BW$1843,"&lt;="&amp;BW1580),"")</f>
        <v>30688.2485979181</v>
      </c>
      <c r="BI1580" s="58" t="n">
        <f aca="false">IF(BH1580="",0,MAX(0,MIN(1,(IF(CF1580="L1",Parameter!$H$5,IF(CF1580="L23",Parameter!$H$6+Parameter!$H$7,Parameter!$H$5+Parameter!$H$6+Parameter!$H$7))-(BH1580-BC1580))/BC1580)))</f>
        <v>1</v>
      </c>
      <c r="BJ1580" s="48" t="str">
        <f aca="false">IF(AI1580&lt;=0,"",IF(CF1580="Aussen","Aussenlager",IF(CF1580="-","Nicht im Lift",IF(AO1580&gt;=1,"Lift",IF(AO1580&lt;=0,"Aussenlager","teilweise")))))</f>
        <v>Lift</v>
      </c>
      <c r="BK1580" s="48" t="str">
        <f aca="false">IF(AS1580&lt;=0,"",IF(CF1580="Aussen","Aussenlager",IF(CF1580="-","Nicht im Lift",IF(AY1580&gt;=1,"Lift",IF(AY1580&lt;=0,"Aussenlager","teilweise")))))</f>
        <v>Aussenlager</v>
      </c>
      <c r="BL1580" s="48" t="str">
        <f aca="false">IF(BC1580&lt;=0,"",IF(CF1580="Aussen","Aussenlager",IF(CF1580="-","Nicht im Lift",IF(BI1580&gt;=1,"Lift",IF(BI1580&lt;=0,"Aussenlager","teilweise")))))</f>
        <v>Lift</v>
      </c>
      <c r="BM1580" s="48" t="str">
        <f aca="false">IF(A1580="","",IF(BV1580=1,"Neu; ","")&amp;IF(AND(BV1580=0,BQ1580&lt;0),"negativer Bestand (Export "&amp;BQ1580&amp;"); ","")&amp;IF(J1580&lt;=0,"Kein Verbrauch; ","")&amp;IF(CQ1580&gt;0,"Lift "&amp;W1580&amp;" lt. Liftbericht (Fach "&amp;X1580&amp;" Stk); ",IF(CA1580=1,"Gebinde geschätzt ("&amp;T1580&amp;"); ",IF(BZ1580=1,"Lose – Tablare geschätzt; ","")))&amp;IF(H1580&gt;AV1580,"Überbestand "&amp;ROUND(H1580-AV1580,0)&amp;" Stk / CHF "&amp;ROUND((H1580-AV1580)*G1580,0)&amp;"; ","")&amp;IF(AND(CH1580=1,CI1580&lt;CJ1580),"MAX &lt; MB+LG; ","")&amp;IF(AND(CP1580&gt;0,CO1580*10&gt;CP1580),"zu hoch für Tablar; ","")&amp;IF(AND(BV1580=0,OR(CH1580=1,AA1580&lt;&gt;"",U1580&lt;&gt;"",V1580&lt;&gt;"",AB1580&lt;&gt;"")),"manuell übersteuert; ","")&amp;IF(AND(BZ1580=0,R1580=0),"Gebinde unbekannt / Stellmass fehlt; ","")&amp;IF(AND(BZ1580=0,N(V1580)&lt;=0,N(Q1580)&lt;=0),"Menge pro Gebinde fehlt (Ist = 1 Gebinde); ","")&amp;BU1580)</f>
        <v>Kein Verbrauch; Gebinde geschätzt (Klein); Überbestand 2 Stk / CHF 117; Menge pro Gebinde fehlt (Ist = 1 Gebinde); nur im Artikelstamm (Bestand 23.06.2026); Überbestand</v>
      </c>
      <c r="BN1580" s="48"/>
      <c r="BO1580" s="48"/>
      <c r="BP1580" s="55"/>
      <c r="BQ1580" s="50" t="n">
        <v>3</v>
      </c>
      <c r="BR1580" s="50" t="n">
        <v>0</v>
      </c>
      <c r="BS1580" s="49" t="n">
        <v>0</v>
      </c>
      <c r="BT1580" s="50" t="n">
        <v>0</v>
      </c>
      <c r="BU1580" s="48" t="s">
        <v>2581</v>
      </c>
      <c r="BV1580" s="53" t="n">
        <v>0</v>
      </c>
      <c r="BW1580" s="53" t="n">
        <v>1580</v>
      </c>
      <c r="BX1580" s="48" t="str">
        <f aca="false">IF(U1580&lt;&gt;"",UPPER(TRIM(U1580)),IF(CA1580=1,UPPER(VLOOKUP(T1580,Parameter!$I$27:$K$29,2,0)),IF(P1580="","LOSE",P1580)))</f>
        <v>S51</v>
      </c>
      <c r="BY1580" s="50" t="n">
        <f aca="false">IF(BX1580="LOSE",1,IF(N(V1580)&gt;0,V1580,IF(CA1580=1,MAX(1,N(VLOOKUP(T1580,Parameter!$I$27:$K$29,3,0)),H1580,N(N1580)),IF(N(Q1580)&gt;0,Q1580,MAX(1,H1580)))))</f>
        <v>20</v>
      </c>
      <c r="BZ1580" s="53" t="n">
        <f aca="false">IF(BX1580="LOSE",1,0)</f>
        <v>0</v>
      </c>
      <c r="CA1580" s="53" t="n">
        <f aca="false">IF(AND(U1580="",OR(P1580="",P1580="LOSE"),T1580&lt;&gt;"",N(S1580)&lt;=0,ISNUMBER(MATCH(T1580,Parameter!$I$27:$I$29,0))),1,0)</f>
        <v>1</v>
      </c>
      <c r="CB1580" s="53" t="n">
        <f aca="false">IF(CQ1580&gt;0,INDEX(Parameter!$H$5:$H$7,W1580)/INDEX(Parameter!$E$5:$E$7,W1580),IF(AND(BZ1580=0,N(IFERROR(VLOOKUP(BX1580,'Gebinde-Kategorie'!$A$5:$N$45,14,0),0))&gt;0),VLOOKUP(BX1580,'Gebinde-Kategorie'!$A$5:$N$45,14,0)*10+Parameter!$M$23,Parameter!$M$24))</f>
        <v>155</v>
      </c>
      <c r="CC1580" s="48" t="str">
        <f aca="false">IF(AND(Parameter!$B$19="Ja",E1580&lt;&gt;"",ISNUMBER(MATCH(E1580,Parameter!$I$35:$I$52,0))),VLOOKUP(E1580,Parameter!$I$35:$J$52,2,0),IFERROR(VLOOKUP(D1580,Parameter!$A$35:$C$64,2,0),"Nein"))</f>
        <v>2+3</v>
      </c>
      <c r="CD1580" s="52" t="n">
        <f aca="false">IF(BZ1580=0,0,IF(N(S1580)&gt;0,S1580,IFERROR(VLOOKUP(D1580,Parameter!$A$35:$C$64,3,0)+0,0)))</f>
        <v>0</v>
      </c>
      <c r="CE1580" s="48" t="n">
        <f aca="false">IF(AA1580&lt;&gt;"",AA1580,Z1580)</f>
        <v>3</v>
      </c>
      <c r="CF1580" s="48" t="str">
        <f aca="false">IF(OR(CE1580=1,CE1580=2,CE1580=3),IF(Parameter!$E$27="Ja","LIFT",IF(CE1580=1,"L1","L23")),IF(CE1580="Aussen","Aussen","-"))</f>
        <v>LIFT</v>
      </c>
      <c r="CG1580" s="59" t="n">
        <f aca="false">IF(N(AB1580)&gt;0,AB1580,0)</f>
        <v>0</v>
      </c>
      <c r="CH1580" s="53" t="n">
        <f aca="false">IF(ISNUMBER(AE1580),1,0)</f>
        <v>0</v>
      </c>
      <c r="CI1580" s="50" t="n">
        <f aca="false">N(AE1580)</f>
        <v>0</v>
      </c>
      <c r="CJ1580" s="50" t="n">
        <f aca="false">N(M1580)+N(N1580)</f>
        <v>1</v>
      </c>
      <c r="CK1580" s="50" t="n">
        <f aca="false">N(M1580)</f>
        <v>0</v>
      </c>
      <c r="CL1580" s="50" t="n">
        <f aca="false">N(N1580)</f>
        <v>1</v>
      </c>
      <c r="CM1580" s="50" t="n">
        <f aca="false">ROUNDUP(H1580/BY1580,0)</f>
        <v>1</v>
      </c>
      <c r="CN1580" s="50" t="n">
        <f aca="false">ROUNDUP(CI1580/BY1580,0)</f>
        <v>0</v>
      </c>
      <c r="CO1580" s="53" t="n">
        <f aca="false">IF(BZ1580=1,0,IFERROR(VLOOKUP(BX1580,'Gebinde-Kategorie'!$A$5:$N$45,5,0)+0,0))</f>
        <v>11</v>
      </c>
      <c r="CP1580" s="53" t="n">
        <f aca="false">IFERROR(IF(OR(CE1580=1,CE1580=2,CE1580=3),N(INDEX(Parameter!$I$5:$I$7,CE1580)),0),0)</f>
        <v>0</v>
      </c>
      <c r="CQ1580" s="52" t="n">
        <f aca="false">IF(AND(Parameter!$B$21="Ja",ISNUMBER(W1580),N(X1580)&gt;0),IFERROR(N(INDEX(Parameter!$L$5:$L$7,W1580))*INDEX(Parameter!$E$5:$E$7,W1580)*X1580/SUMIFS($X$7:$X$1843,$W$7:$W$1843,W1580),0),0)</f>
        <v>0</v>
      </c>
    </row>
    <row r="1581" customFormat="false" ht="15" hidden="false" customHeight="false" outlineLevel="0" collapsed="false">
      <c r="A1581" s="48" t="s">
        <v>2770</v>
      </c>
      <c r="B1581" s="48" t="s">
        <v>1829</v>
      </c>
      <c r="C1581" s="48" t="s">
        <v>173</v>
      </c>
      <c r="D1581" s="48" t="s">
        <v>182</v>
      </c>
      <c r="E1581" s="48"/>
      <c r="F1581" s="48"/>
      <c r="G1581" s="49" t="n">
        <v>8.7</v>
      </c>
      <c r="H1581" s="50" t="n">
        <f aca="false">MAX(0,IF(AND(Parameter!$B$21="Ja",ISNUMBER(Y1581)),Y1581,IF(Parameter!$B$20="Jahresanfang 2025 + Export",BR1581+BQ1581,BQ1581)))</f>
        <v>17</v>
      </c>
      <c r="I1581" s="50" t="n">
        <f aca="false">H1581*G1581</f>
        <v>147.9</v>
      </c>
      <c r="J1581" s="50" t="n">
        <f aca="false">BT1581*Parameter!$B$18</f>
        <v>0</v>
      </c>
      <c r="K1581" s="51"/>
      <c r="L1581" s="52"/>
      <c r="M1581" s="50" t="n">
        <v>0</v>
      </c>
      <c r="N1581" s="50" t="n">
        <v>1</v>
      </c>
      <c r="O1581" s="53" t="n">
        <v>0</v>
      </c>
      <c r="P1581" s="48" t="s">
        <v>177</v>
      </c>
      <c r="Q1581" s="50"/>
      <c r="R1581" s="53" t="n">
        <f aca="false">IF(BZ1581=1,0,IFERROR(VLOOKUP(BX1581,'Gebinde-Kategorie'!$A$5:$N$45,13,0)+0,0))</f>
        <v>12</v>
      </c>
      <c r="S1581" s="54"/>
      <c r="T1581" s="55" t="s">
        <v>188</v>
      </c>
      <c r="U1581" s="55"/>
      <c r="V1581" s="55"/>
      <c r="W1581" s="48"/>
      <c r="X1581" s="50"/>
      <c r="Y1581" s="50"/>
      <c r="Z1581" s="48" t="n">
        <f aca="false">IF(A1581="","",IF(AND(Parameter!$B$21="Ja",ISNUMBER(W1581)),W1581,IF(CC1581="2+3",IF(ISNUMBER(SEARCH("grosser Artikel",BU1581)),2,IFERROR(VLOOKUP(BX1581,Parameter!$F$35:$G$64,2,0),2)),IF(OR(CC1581="Nein",CC1581=""),"-",CC1581))))</f>
        <v>2</v>
      </c>
      <c r="AA1581" s="55"/>
      <c r="AB1581" s="56"/>
      <c r="AC1581" s="50" t="n">
        <f aca="false">AV1581</f>
        <v>1</v>
      </c>
      <c r="AD1581" s="50" t="n">
        <f aca="false">MAX(AV1581,H1581)</f>
        <v>17</v>
      </c>
      <c r="AE1581" s="57"/>
      <c r="AF1581" s="50" t="n">
        <f aca="false">IF(LEFT(Cockpit!$C$5,1)="A",H1581,IF(Parameter!$E$30="MAX-Bestand",IF(CH1581=1,CI1581,IF(LEFT(Cockpit!$C$5,1)="B",AL1581,MAX(AL1581,H1581))),ROUNDUP(AJ1581,0)))</f>
        <v>17</v>
      </c>
      <c r="AG1581" s="50" t="n">
        <f aca="false">IF(BZ1581=1,0,ROUNDUP(AF1581/BY1581,0))</f>
        <v>1</v>
      </c>
      <c r="AH1581" s="52" t="n">
        <f aca="false">IF(CQ1581&gt;0,CQ1581*MAX(1,AF1581/X1581),IF(BZ1581=1,IF(AF1581&lt;=0,0,CD1581*MAX(1,IF(H1581&gt;0,AF1581/H1581,1))),IF(R1581&gt;0,AG1581/R1581,0))/MAX(0.1,N(Parameter!$M$21)))</f>
        <v>0.0833333333333333</v>
      </c>
      <c r="AI1581" s="50" t="n">
        <f aca="false">AH1581*CB1581</f>
        <v>12.0833333333333</v>
      </c>
      <c r="AJ1581" s="51" t="n">
        <f aca="false">IF(LEFT(Cockpit!$C$5,1)="A",H1581,IF(CH1581=1,(CK1581+CI1581)/2,IF(LEFT(Cockpit!$C$5,1)="B",(CK1581+AL1581)/2,MAX((CK1581+AL1581)/2,H1581))))</f>
        <v>17</v>
      </c>
      <c r="AK1581" s="50" t="n">
        <f aca="false">AJ1581*G1581</f>
        <v>147.9</v>
      </c>
      <c r="AL1581" s="50" t="n">
        <f aca="false">ROUNDUP(CK1581+MAX(CL1581,2*(J1581/IF(CG1581&gt;0,CG1581,MAX(0.1,N(Cockpit!$C$6)))-CK1581)),0)</f>
        <v>1</v>
      </c>
      <c r="AM1581" s="51" t="n">
        <f aca="false">IF(AI1581&gt;0,J1581/AI1581,-1)</f>
        <v>0</v>
      </c>
      <c r="AN1581" s="51" t="n">
        <f aca="false">IF(AND(OR(CF1581="L1",CF1581="L23",CF1581="LIFT"),AI1581&gt;0),SUMIFS($AI$7:$AI$1843,$CF$7:$CF$1843,CF1581,$AM$7:$AM$1843,"&gt;"&amp;AM1581)+SUMIFS($AI$7:$AI$1843,$CF$7:$CF$1843,CF1581,$AM$7:$AM$1843,AM1581,$BW$7:$BW$1843,"&lt;="&amp;BW1581),"")</f>
        <v>30471.0341388837</v>
      </c>
      <c r="AO1581" s="58" t="n">
        <f aca="false">IF(AN1581="",0,MAX(0,MIN(1,(IF(CF1581="L1",Parameter!$H$5,IF(CF1581="L23",Parameter!$H$6+Parameter!$H$7,Parameter!$H$5+Parameter!$H$6+Parameter!$H$7))-(AN1581-AI1581))/AI1581)))</f>
        <v>1</v>
      </c>
      <c r="AP1581" s="50" t="n">
        <f aca="false">IF(LEFT(Cockpit!$I$5,1)="A",H1581,IF(Parameter!$E$30="MAX-Bestand",IF(CH1581=1,CI1581,IF(LEFT(Cockpit!$I$5,1)="B",AV1581,MAX(AV1581,H1581))),ROUNDUP(AT1581,0)))</f>
        <v>17</v>
      </c>
      <c r="AQ1581" s="50" t="n">
        <f aca="false">IF(BZ1581=1,0,ROUNDUP(AP1581/BY1581,0))</f>
        <v>1</v>
      </c>
      <c r="AR1581" s="52" t="n">
        <f aca="false">IF(CQ1581&gt;0,CQ1581*MAX(1,AP1581/X1581),IF(BZ1581=1,IF(AP1581&lt;=0,0,CD1581*MAX(1,IF(H1581&gt;0,AP1581/H1581,1))),IF(R1581&gt;0,AQ1581/R1581,0))/MAX(0.1,N(Parameter!$M$21)))</f>
        <v>0.0833333333333333</v>
      </c>
      <c r="AS1581" s="50" t="n">
        <f aca="false">AR1581*CB1581</f>
        <v>12.0833333333333</v>
      </c>
      <c r="AT1581" s="51" t="n">
        <f aca="false">IF(LEFT(Cockpit!$I$5,1)="A",H1581,IF(CH1581=1,(CK1581+CI1581)/2,IF(LEFT(Cockpit!$I$5,1)="B",(CK1581+AV1581)/2,MAX((CK1581+AV1581)/2,H1581))))</f>
        <v>17</v>
      </c>
      <c r="AU1581" s="50" t="n">
        <f aca="false">AT1581*G1581</f>
        <v>147.9</v>
      </c>
      <c r="AV1581" s="50" t="n">
        <f aca="false">ROUNDUP(CK1581+MAX(CL1581,2*(J1581/IF(CG1581&gt;0,CG1581,MAX(0.1,N(Cockpit!$I$6)))-CK1581)),0)</f>
        <v>1</v>
      </c>
      <c r="AW1581" s="51" t="n">
        <f aca="false">IF(AS1581&gt;0,J1581/AS1581,-1)</f>
        <v>0</v>
      </c>
      <c r="AX1581" s="51" t="n">
        <f aca="false">IF(AND(OR(CF1581="L1",CF1581="L23",CF1581="LIFT"),AS1581&gt;0),SUMIFS($AS$7:$AS$1843,$CF$7:$CF$1843,CF1581,$AW$7:$AW$1843,"&gt;"&amp;AW1581)+SUMIFS($AS$7:$AS$1843,$CF$7:$CF$1843,CF1581,$AW$7:$AW$1843,AW1581,$BW$7:$BW$1843,"&lt;="&amp;BW1581),"")</f>
        <v>36790.890655719</v>
      </c>
      <c r="AY1581" s="58" t="n">
        <f aca="false">IF(AX1581="",0,MAX(0,MIN(1,(IF(CF1581="L1",Parameter!$H$5,IF(CF1581="L23",Parameter!$H$6+Parameter!$H$7,Parameter!$H$5+Parameter!$H$6+Parameter!$H$7))-(AX1581-AS1581))/AS1581)))</f>
        <v>0</v>
      </c>
      <c r="AZ1581" s="50" t="n">
        <f aca="false">IF(LEFT(Cockpit!$O$5,1)="A",H1581,IF(Parameter!$E$30="MAX-Bestand",IF(CH1581=1,CI1581,IF(LEFT(Cockpit!$O$5,1)="B",BF1581,MAX(BF1581,H1581))),ROUNDUP(BD1581,0)))</f>
        <v>1</v>
      </c>
      <c r="BA1581" s="50" t="n">
        <f aca="false">IF(BZ1581=1,0,ROUNDUP(AZ1581/BY1581,0))</f>
        <v>1</v>
      </c>
      <c r="BB1581" s="52" t="n">
        <f aca="false">IF(CQ1581&gt;0,CQ1581*MAX(1,AZ1581/X1581),IF(BZ1581=1,IF(AZ1581&lt;=0,0,CD1581*MAX(1,IF(H1581&gt;0,AZ1581/H1581,1))),IF(R1581&gt;0,BA1581/R1581,0))/MAX(0.1,N(Parameter!$M$21)))</f>
        <v>0.0833333333333333</v>
      </c>
      <c r="BC1581" s="50" t="n">
        <f aca="false">BB1581*CB1581</f>
        <v>12.0833333333333</v>
      </c>
      <c r="BD1581" s="51" t="n">
        <f aca="false">IF(LEFT(Cockpit!$O$5,1)="A",H1581,IF(CH1581=1,(CK1581+CI1581)/2,IF(LEFT(Cockpit!$O$5,1)="B",(CK1581+BF1581)/2,MAX((CK1581+BF1581)/2,H1581))))</f>
        <v>0.5</v>
      </c>
      <c r="BE1581" s="50" t="n">
        <f aca="false">BD1581*G1581</f>
        <v>4.35</v>
      </c>
      <c r="BF1581" s="50" t="n">
        <f aca="false">ROUNDUP(CK1581+MAX(CL1581,2*(J1581/IF(CG1581&gt;0,CG1581,MAX(0.1,N(Cockpit!$O$6)))-CK1581)),0)</f>
        <v>1</v>
      </c>
      <c r="BG1581" s="51" t="n">
        <f aca="false">IF(BC1581&gt;0,J1581/BC1581,-1)</f>
        <v>0</v>
      </c>
      <c r="BH1581" s="51" t="n">
        <f aca="false">IF(AND(OR(CF1581="L1",CF1581="L23",CF1581="LIFT"),BC1581&gt;0),SUMIFS($BC$7:$BC$1843,$CF$7:$CF$1843,CF1581,$BG$7:$BG$1843,"&gt;"&amp;BG1581)+SUMIFS($BC$7:$BC$1843,$CF$7:$CF$1843,CF1581,$BG$7:$BG$1843,BG1581,$BW$7:$BW$1843,"&lt;="&amp;BW1581),"")</f>
        <v>30700.3319312514</v>
      </c>
      <c r="BI1581" s="58" t="n">
        <f aca="false">IF(BH1581="",0,MAX(0,MIN(1,(IF(CF1581="L1",Parameter!$H$5,IF(CF1581="L23",Parameter!$H$6+Parameter!$H$7,Parameter!$H$5+Parameter!$H$6+Parameter!$H$7))-(BH1581-BC1581))/BC1581)))</f>
        <v>1</v>
      </c>
      <c r="BJ1581" s="48" t="str">
        <f aca="false">IF(AI1581&lt;=0,"",IF(CF1581="Aussen","Aussenlager",IF(CF1581="-","Nicht im Lift",IF(AO1581&gt;=1,"Lift",IF(AO1581&lt;=0,"Aussenlager","teilweise")))))</f>
        <v>Lift</v>
      </c>
      <c r="BK1581" s="48" t="str">
        <f aca="false">IF(AS1581&lt;=0,"",IF(CF1581="Aussen","Aussenlager",IF(CF1581="-","Nicht im Lift",IF(AY1581&gt;=1,"Lift",IF(AY1581&lt;=0,"Aussenlager","teilweise")))))</f>
        <v>Aussenlager</v>
      </c>
      <c r="BL1581" s="48" t="str">
        <f aca="false">IF(BC1581&lt;=0,"",IF(CF1581="Aussen","Aussenlager",IF(CF1581="-","Nicht im Lift",IF(BI1581&gt;=1,"Lift",IF(BI1581&lt;=0,"Aussenlager","teilweise")))))</f>
        <v>Lift</v>
      </c>
      <c r="BM1581" s="48" t="str">
        <f aca="false">IF(A1581="","",IF(BV1581=1,"Neu; ","")&amp;IF(AND(BV1581=0,BQ1581&lt;0),"negativer Bestand (Export "&amp;BQ1581&amp;"); ","")&amp;IF(J1581&lt;=0,"Kein Verbrauch; ","")&amp;IF(CQ1581&gt;0,"Lift "&amp;W1581&amp;" lt. Liftbericht (Fach "&amp;X1581&amp;" Stk); ",IF(CA1581=1,"Gebinde geschätzt ("&amp;T1581&amp;"); ",IF(BZ1581=1,"Lose – Tablare geschätzt; ","")))&amp;IF(H1581&gt;AV1581,"Überbestand "&amp;ROUND(H1581-AV1581,0)&amp;" Stk / CHF "&amp;ROUND((H1581-AV1581)*G1581,0)&amp;"; ","")&amp;IF(AND(CH1581=1,CI1581&lt;CJ1581),"MAX &lt; MB+LG; ","")&amp;IF(AND(CP1581&gt;0,CO1581*10&gt;CP1581),"zu hoch für Tablar; ","")&amp;IF(AND(BV1581=0,OR(CH1581=1,AA1581&lt;&gt;"",U1581&lt;&gt;"",V1581&lt;&gt;"",AB1581&lt;&gt;"")),"manuell übersteuert; ","")&amp;IF(AND(BZ1581=0,R1581=0),"Gebinde unbekannt / Stellmass fehlt; ","")&amp;IF(AND(BZ1581=0,N(V1581)&lt;=0,N(Q1581)&lt;=0),"Menge pro Gebinde fehlt (Ist = 1 Gebinde); ","")&amp;BU1581)</f>
        <v>Kein Verbrauch; Gebinde geschätzt (Mittel); Überbestand 16 Stk / CHF 139; Menge pro Gebinde fehlt (Ist = 1 Gebinde); nur im Artikelstamm (Bestand 23.06.2026)</v>
      </c>
      <c r="BN1581" s="48"/>
      <c r="BO1581" s="48"/>
      <c r="BP1581" s="55"/>
      <c r="BQ1581" s="50" t="n">
        <v>17</v>
      </c>
      <c r="BR1581" s="50" t="n">
        <v>0</v>
      </c>
      <c r="BS1581" s="49" t="n">
        <v>0</v>
      </c>
      <c r="BT1581" s="50" t="n">
        <v>0</v>
      </c>
      <c r="BU1581" s="48" t="s">
        <v>2584</v>
      </c>
      <c r="BV1581" s="53" t="n">
        <v>0</v>
      </c>
      <c r="BW1581" s="53" t="n">
        <v>1581</v>
      </c>
      <c r="BX1581" s="48" t="str">
        <f aca="false">IF(U1581&lt;&gt;"",UPPER(TRIM(U1581)),IF(CA1581=1,UPPER(VLOOKUP(T1581,Parameter!$I$27:$K$29,2,0)),IF(P1581="","LOSE",P1581)))</f>
        <v>S61</v>
      </c>
      <c r="BY1581" s="50" t="n">
        <f aca="false">IF(BX1581="LOSE",1,IF(N(V1581)&gt;0,V1581,IF(CA1581=1,MAX(1,N(VLOOKUP(T1581,Parameter!$I$27:$K$29,3,0)),H1581,N(N1581)),IF(N(Q1581)&gt;0,Q1581,MAX(1,H1581)))))</f>
        <v>17</v>
      </c>
      <c r="BZ1581" s="53" t="n">
        <f aca="false">IF(BX1581="LOSE",1,0)</f>
        <v>0</v>
      </c>
      <c r="CA1581" s="53" t="n">
        <f aca="false">IF(AND(U1581="",OR(P1581="",P1581="LOSE"),T1581&lt;&gt;"",N(S1581)&lt;=0,ISNUMBER(MATCH(T1581,Parameter!$I$27:$I$29,0))),1,0)</f>
        <v>1</v>
      </c>
      <c r="CB1581" s="53" t="n">
        <f aca="false">IF(CQ1581&gt;0,INDEX(Parameter!$H$5:$H$7,W1581)/INDEX(Parameter!$E$5:$E$7,W1581),IF(AND(BZ1581=0,N(IFERROR(VLOOKUP(BX1581,'Gebinde-Kategorie'!$A$5:$N$45,14,0),0))&gt;0),VLOOKUP(BX1581,'Gebinde-Kategorie'!$A$5:$N$45,14,0)*10+Parameter!$M$23,Parameter!$M$24))</f>
        <v>145</v>
      </c>
      <c r="CC1581" s="48" t="str">
        <f aca="false">IF(AND(Parameter!$B$19="Ja",E1581&lt;&gt;"",ISNUMBER(MATCH(E1581,Parameter!$I$35:$I$52,0))),VLOOKUP(E1581,Parameter!$I$35:$J$52,2,0),IFERROR(VLOOKUP(D1581,Parameter!$A$35:$C$64,2,0),"Nein"))</f>
        <v>2+3</v>
      </c>
      <c r="CD1581" s="52" t="n">
        <f aca="false">IF(BZ1581=0,0,IF(N(S1581)&gt;0,S1581,IFERROR(VLOOKUP(D1581,Parameter!$A$35:$C$64,3,0)+0,0)))</f>
        <v>0</v>
      </c>
      <c r="CE1581" s="48" t="n">
        <f aca="false">IF(AA1581&lt;&gt;"",AA1581,Z1581)</f>
        <v>2</v>
      </c>
      <c r="CF1581" s="48" t="str">
        <f aca="false">IF(OR(CE1581=1,CE1581=2,CE1581=3),IF(Parameter!$E$27="Ja","LIFT",IF(CE1581=1,"L1","L23")),IF(CE1581="Aussen","Aussen","-"))</f>
        <v>LIFT</v>
      </c>
      <c r="CG1581" s="59" t="n">
        <f aca="false">IF(N(AB1581)&gt;0,AB1581,0)</f>
        <v>0</v>
      </c>
      <c r="CH1581" s="53" t="n">
        <f aca="false">IF(ISNUMBER(AE1581),1,0)</f>
        <v>0</v>
      </c>
      <c r="CI1581" s="50" t="n">
        <f aca="false">N(AE1581)</f>
        <v>0</v>
      </c>
      <c r="CJ1581" s="50" t="n">
        <f aca="false">N(M1581)+N(N1581)</f>
        <v>1</v>
      </c>
      <c r="CK1581" s="50" t="n">
        <f aca="false">N(M1581)</f>
        <v>0</v>
      </c>
      <c r="CL1581" s="50" t="n">
        <f aca="false">N(N1581)</f>
        <v>1</v>
      </c>
      <c r="CM1581" s="50" t="n">
        <f aca="false">ROUNDUP(H1581/BY1581,0)</f>
        <v>1</v>
      </c>
      <c r="CN1581" s="50" t="n">
        <f aca="false">ROUNDUP(CI1581/BY1581,0)</f>
        <v>0</v>
      </c>
      <c r="CO1581" s="53" t="n">
        <f aca="false">IF(BZ1581=1,0,IFERROR(VLOOKUP(BX1581,'Gebinde-Kategorie'!$A$5:$N$45,5,0)+0,0))</f>
        <v>11</v>
      </c>
      <c r="CP1581" s="53" t="n">
        <f aca="false">IFERROR(IF(OR(CE1581=1,CE1581=2,CE1581=3),N(INDEX(Parameter!$I$5:$I$7,CE1581)),0),0)</f>
        <v>0</v>
      </c>
      <c r="CQ1581" s="52" t="n">
        <f aca="false">IF(AND(Parameter!$B$21="Ja",ISNUMBER(W1581),N(X1581)&gt;0),IFERROR(N(INDEX(Parameter!$L$5:$L$7,W1581))*INDEX(Parameter!$E$5:$E$7,W1581)*X1581/SUMIFS($X$7:$X$1843,$W$7:$W$1843,W1581),0),0)</f>
        <v>0</v>
      </c>
    </row>
    <row r="1582" customFormat="false" ht="15" hidden="false" customHeight="false" outlineLevel="0" collapsed="false">
      <c r="A1582" s="48" t="s">
        <v>2771</v>
      </c>
      <c r="B1582" s="48" t="s">
        <v>2644</v>
      </c>
      <c r="C1582" s="48" t="s">
        <v>173</v>
      </c>
      <c r="D1582" s="48" t="s">
        <v>182</v>
      </c>
      <c r="E1582" s="48"/>
      <c r="F1582" s="48"/>
      <c r="G1582" s="49" t="n">
        <v>265</v>
      </c>
      <c r="H1582" s="50" t="n">
        <f aca="false">MAX(0,IF(AND(Parameter!$B$21="Ja",ISNUMBER(Y1582)),Y1582,IF(Parameter!$B$20="Jahresanfang 2025 + Export",BR1582+BQ1582,BQ1582)))</f>
        <v>12</v>
      </c>
      <c r="I1582" s="50" t="n">
        <f aca="false">H1582*G1582</f>
        <v>3180</v>
      </c>
      <c r="J1582" s="50" t="n">
        <f aca="false">BT1582*Parameter!$B$18</f>
        <v>0</v>
      </c>
      <c r="K1582" s="51"/>
      <c r="L1582" s="52"/>
      <c r="M1582" s="50" t="n">
        <v>0</v>
      </c>
      <c r="N1582" s="50" t="n">
        <v>1</v>
      </c>
      <c r="O1582" s="53" t="n">
        <v>0</v>
      </c>
      <c r="P1582" s="48" t="s">
        <v>177</v>
      </c>
      <c r="Q1582" s="50"/>
      <c r="R1582" s="53" t="n">
        <f aca="false">IF(BZ1582=1,0,IFERROR(VLOOKUP(BX1582,'Gebinde-Kategorie'!$A$5:$N$45,13,0)+0,0))</f>
        <v>12</v>
      </c>
      <c r="S1582" s="54"/>
      <c r="T1582" s="55" t="s">
        <v>188</v>
      </c>
      <c r="U1582" s="55"/>
      <c r="V1582" s="55"/>
      <c r="W1582" s="48"/>
      <c r="X1582" s="50"/>
      <c r="Y1582" s="50"/>
      <c r="Z1582" s="48" t="n">
        <f aca="false">IF(A1582="","",IF(AND(Parameter!$B$21="Ja",ISNUMBER(W1582)),W1582,IF(CC1582="2+3",IF(ISNUMBER(SEARCH("grosser Artikel",BU1582)),2,IFERROR(VLOOKUP(BX1582,Parameter!$F$35:$G$64,2,0),2)),IF(OR(CC1582="Nein",CC1582=""),"-",CC1582))))</f>
        <v>2</v>
      </c>
      <c r="AA1582" s="55"/>
      <c r="AB1582" s="56"/>
      <c r="AC1582" s="50" t="n">
        <f aca="false">AV1582</f>
        <v>1</v>
      </c>
      <c r="AD1582" s="50" t="n">
        <f aca="false">MAX(AV1582,H1582)</f>
        <v>12</v>
      </c>
      <c r="AE1582" s="57"/>
      <c r="AF1582" s="50" t="n">
        <f aca="false">IF(LEFT(Cockpit!$C$5,1)="A",H1582,IF(Parameter!$E$30="MAX-Bestand",IF(CH1582=1,CI1582,IF(LEFT(Cockpit!$C$5,1)="B",AL1582,MAX(AL1582,H1582))),ROUNDUP(AJ1582,0)))</f>
        <v>12</v>
      </c>
      <c r="AG1582" s="50" t="n">
        <f aca="false">IF(BZ1582=1,0,ROUNDUP(AF1582/BY1582,0))</f>
        <v>1</v>
      </c>
      <c r="AH1582" s="52" t="n">
        <f aca="false">IF(CQ1582&gt;0,CQ1582*MAX(1,AF1582/X1582),IF(BZ1582=1,IF(AF1582&lt;=0,0,CD1582*MAX(1,IF(H1582&gt;0,AF1582/H1582,1))),IF(R1582&gt;0,AG1582/R1582,0))/MAX(0.1,N(Parameter!$M$21)))</f>
        <v>0.0833333333333333</v>
      </c>
      <c r="AI1582" s="50" t="n">
        <f aca="false">AH1582*CB1582</f>
        <v>12.0833333333333</v>
      </c>
      <c r="AJ1582" s="51" t="n">
        <f aca="false">IF(LEFT(Cockpit!$C$5,1)="A",H1582,IF(CH1582=1,(CK1582+CI1582)/2,IF(LEFT(Cockpit!$C$5,1)="B",(CK1582+AL1582)/2,MAX((CK1582+AL1582)/2,H1582))))</f>
        <v>12</v>
      </c>
      <c r="AK1582" s="50" t="n">
        <f aca="false">AJ1582*G1582</f>
        <v>3180</v>
      </c>
      <c r="AL1582" s="50" t="n">
        <f aca="false">ROUNDUP(CK1582+MAX(CL1582,2*(J1582/IF(CG1582&gt;0,CG1582,MAX(0.1,N(Cockpit!$C$6)))-CK1582)),0)</f>
        <v>1</v>
      </c>
      <c r="AM1582" s="51" t="n">
        <f aca="false">IF(AI1582&gt;0,J1582/AI1582,-1)</f>
        <v>0</v>
      </c>
      <c r="AN1582" s="51" t="n">
        <f aca="false">IF(AND(OR(CF1582="L1",CF1582="L23",CF1582="LIFT"),AI1582&gt;0),SUMIFS($AI$7:$AI$1843,$CF$7:$CF$1843,CF1582,$AM$7:$AM$1843,"&gt;"&amp;AM1582)+SUMIFS($AI$7:$AI$1843,$CF$7:$CF$1843,CF1582,$AM$7:$AM$1843,AM1582,$BW$7:$BW$1843,"&lt;="&amp;BW1582),"")</f>
        <v>30483.117472217</v>
      </c>
      <c r="AO1582" s="58" t="n">
        <f aca="false">IF(AN1582="",0,MAX(0,MIN(1,(IF(CF1582="L1",Parameter!$H$5,IF(CF1582="L23",Parameter!$H$6+Parameter!$H$7,Parameter!$H$5+Parameter!$H$6+Parameter!$H$7))-(AN1582-AI1582))/AI1582)))</f>
        <v>1</v>
      </c>
      <c r="AP1582" s="50" t="n">
        <f aca="false">IF(LEFT(Cockpit!$I$5,1)="A",H1582,IF(Parameter!$E$30="MAX-Bestand",IF(CH1582=1,CI1582,IF(LEFT(Cockpit!$I$5,1)="B",AV1582,MAX(AV1582,H1582))),ROUNDUP(AT1582,0)))</f>
        <v>12</v>
      </c>
      <c r="AQ1582" s="50" t="n">
        <f aca="false">IF(BZ1582=1,0,ROUNDUP(AP1582/BY1582,0))</f>
        <v>1</v>
      </c>
      <c r="AR1582" s="52" t="n">
        <f aca="false">IF(CQ1582&gt;0,CQ1582*MAX(1,AP1582/X1582),IF(BZ1582=1,IF(AP1582&lt;=0,0,CD1582*MAX(1,IF(H1582&gt;0,AP1582/H1582,1))),IF(R1582&gt;0,AQ1582/R1582,0))/MAX(0.1,N(Parameter!$M$21)))</f>
        <v>0.0833333333333333</v>
      </c>
      <c r="AS1582" s="50" t="n">
        <f aca="false">AR1582*CB1582</f>
        <v>12.0833333333333</v>
      </c>
      <c r="AT1582" s="51" t="n">
        <f aca="false">IF(LEFT(Cockpit!$I$5,1)="A",H1582,IF(CH1582=1,(CK1582+CI1582)/2,IF(LEFT(Cockpit!$I$5,1)="B",(CK1582+AV1582)/2,MAX((CK1582+AV1582)/2,H1582))))</f>
        <v>12</v>
      </c>
      <c r="AU1582" s="50" t="n">
        <f aca="false">AT1582*G1582</f>
        <v>3180</v>
      </c>
      <c r="AV1582" s="50" t="n">
        <f aca="false">ROUNDUP(CK1582+MAX(CL1582,2*(J1582/IF(CG1582&gt;0,CG1582,MAX(0.1,N(Cockpit!$I$6)))-CK1582)),0)</f>
        <v>1</v>
      </c>
      <c r="AW1582" s="51" t="n">
        <f aca="false">IF(AS1582&gt;0,J1582/AS1582,-1)</f>
        <v>0</v>
      </c>
      <c r="AX1582" s="51" t="n">
        <f aca="false">IF(AND(OR(CF1582="L1",CF1582="L23",CF1582="LIFT"),AS1582&gt;0),SUMIFS($AS$7:$AS$1843,$CF$7:$CF$1843,CF1582,$AW$7:$AW$1843,"&gt;"&amp;AW1582)+SUMIFS($AS$7:$AS$1843,$CF$7:$CF$1843,CF1582,$AW$7:$AW$1843,AW1582,$BW$7:$BW$1843,"&lt;="&amp;BW1582),"")</f>
        <v>36802.9739890524</v>
      </c>
      <c r="AY1582" s="58" t="n">
        <f aca="false">IF(AX1582="",0,MAX(0,MIN(1,(IF(CF1582="L1",Parameter!$H$5,IF(CF1582="L23",Parameter!$H$6+Parameter!$H$7,Parameter!$H$5+Parameter!$H$6+Parameter!$H$7))-(AX1582-AS1582))/AS1582)))</f>
        <v>0</v>
      </c>
      <c r="AZ1582" s="50" t="n">
        <f aca="false">IF(LEFT(Cockpit!$O$5,1)="A",H1582,IF(Parameter!$E$30="MAX-Bestand",IF(CH1582=1,CI1582,IF(LEFT(Cockpit!$O$5,1)="B",BF1582,MAX(BF1582,H1582))),ROUNDUP(BD1582,0)))</f>
        <v>1</v>
      </c>
      <c r="BA1582" s="50" t="n">
        <f aca="false">IF(BZ1582=1,0,ROUNDUP(AZ1582/BY1582,0))</f>
        <v>1</v>
      </c>
      <c r="BB1582" s="52" t="n">
        <f aca="false">IF(CQ1582&gt;0,CQ1582*MAX(1,AZ1582/X1582),IF(BZ1582=1,IF(AZ1582&lt;=0,0,CD1582*MAX(1,IF(H1582&gt;0,AZ1582/H1582,1))),IF(R1582&gt;0,BA1582/R1582,0))/MAX(0.1,N(Parameter!$M$21)))</f>
        <v>0.0833333333333333</v>
      </c>
      <c r="BC1582" s="50" t="n">
        <f aca="false">BB1582*CB1582</f>
        <v>12.0833333333333</v>
      </c>
      <c r="BD1582" s="51" t="n">
        <f aca="false">IF(LEFT(Cockpit!$O$5,1)="A",H1582,IF(CH1582=1,(CK1582+CI1582)/2,IF(LEFT(Cockpit!$O$5,1)="B",(CK1582+BF1582)/2,MAX((CK1582+BF1582)/2,H1582))))</f>
        <v>0.5</v>
      </c>
      <c r="BE1582" s="50" t="n">
        <f aca="false">BD1582*G1582</f>
        <v>132.5</v>
      </c>
      <c r="BF1582" s="50" t="n">
        <f aca="false">ROUNDUP(CK1582+MAX(CL1582,2*(J1582/IF(CG1582&gt;0,CG1582,MAX(0.1,N(Cockpit!$O$6)))-CK1582)),0)</f>
        <v>1</v>
      </c>
      <c r="BG1582" s="51" t="n">
        <f aca="false">IF(BC1582&gt;0,J1582/BC1582,-1)</f>
        <v>0</v>
      </c>
      <c r="BH1582" s="51" t="n">
        <f aca="false">IF(AND(OR(CF1582="L1",CF1582="L23",CF1582="LIFT"),BC1582&gt;0),SUMIFS($BC$7:$BC$1843,$CF$7:$CF$1843,CF1582,$BG$7:$BG$1843,"&gt;"&amp;BG1582)+SUMIFS($BC$7:$BC$1843,$CF$7:$CF$1843,CF1582,$BG$7:$BG$1843,BG1582,$BW$7:$BW$1843,"&lt;="&amp;BW1582),"")</f>
        <v>30712.4152645848</v>
      </c>
      <c r="BI1582" s="58" t="n">
        <f aca="false">IF(BH1582="",0,MAX(0,MIN(1,(IF(CF1582="L1",Parameter!$H$5,IF(CF1582="L23",Parameter!$H$6+Parameter!$H$7,Parameter!$H$5+Parameter!$H$6+Parameter!$H$7))-(BH1582-BC1582))/BC1582)))</f>
        <v>1</v>
      </c>
      <c r="BJ1582" s="48" t="str">
        <f aca="false">IF(AI1582&lt;=0,"",IF(CF1582="Aussen","Aussenlager",IF(CF1582="-","Nicht im Lift",IF(AO1582&gt;=1,"Lift",IF(AO1582&lt;=0,"Aussenlager","teilweise")))))</f>
        <v>Lift</v>
      </c>
      <c r="BK1582" s="48" t="str">
        <f aca="false">IF(AS1582&lt;=0,"",IF(CF1582="Aussen","Aussenlager",IF(CF1582="-","Nicht im Lift",IF(AY1582&gt;=1,"Lift",IF(AY1582&lt;=0,"Aussenlager","teilweise")))))</f>
        <v>Aussenlager</v>
      </c>
      <c r="BL1582" s="48" t="str">
        <f aca="false">IF(BC1582&lt;=0,"",IF(CF1582="Aussen","Aussenlager",IF(CF1582="-","Nicht im Lift",IF(BI1582&gt;=1,"Lift",IF(BI1582&lt;=0,"Aussenlager","teilweise")))))</f>
        <v>Lift</v>
      </c>
      <c r="BM1582" s="48" t="str">
        <f aca="false">IF(A1582="","",IF(BV1582=1,"Neu; ","")&amp;IF(AND(BV1582=0,BQ1582&lt;0),"negativer Bestand (Export "&amp;BQ1582&amp;"); ","")&amp;IF(J1582&lt;=0,"Kein Verbrauch; ","")&amp;IF(CQ1582&gt;0,"Lift "&amp;W1582&amp;" lt. Liftbericht (Fach "&amp;X1582&amp;" Stk); ",IF(CA1582=1,"Gebinde geschätzt ("&amp;T1582&amp;"); ",IF(BZ1582=1,"Lose – Tablare geschätzt; ","")))&amp;IF(H1582&gt;AV1582,"Überbestand "&amp;ROUND(H1582-AV1582,0)&amp;" Stk / CHF "&amp;ROUND((H1582-AV1582)*G1582,0)&amp;"; ","")&amp;IF(AND(CH1582=1,CI1582&lt;CJ1582),"MAX &lt; MB+LG; ","")&amp;IF(AND(CP1582&gt;0,CO1582*10&gt;CP1582),"zu hoch für Tablar; ","")&amp;IF(AND(BV1582=0,OR(CH1582=1,AA1582&lt;&gt;"",U1582&lt;&gt;"",V1582&lt;&gt;"",AB1582&lt;&gt;"")),"manuell übersteuert; ","")&amp;IF(AND(BZ1582=0,R1582=0),"Gebinde unbekannt / Stellmass fehlt; ","")&amp;IF(AND(BZ1582=0,N(V1582)&lt;=0,N(Q1582)&lt;=0),"Menge pro Gebinde fehlt (Ist = 1 Gebinde); ","")&amp;BU1582)</f>
        <v>Kein Verbrauch; Gebinde geschätzt (Mittel); Überbestand 11 Stk / CHF 2915; Menge pro Gebinde fehlt (Ist = 1 Gebinde); nur im Artikelstamm (Bestand 23.06.2026)</v>
      </c>
      <c r="BN1582" s="48"/>
      <c r="BO1582" s="48"/>
      <c r="BP1582" s="55"/>
      <c r="BQ1582" s="50" t="n">
        <v>12</v>
      </c>
      <c r="BR1582" s="50" t="n">
        <v>0</v>
      </c>
      <c r="BS1582" s="49" t="n">
        <v>0</v>
      </c>
      <c r="BT1582" s="50" t="n">
        <v>0</v>
      </c>
      <c r="BU1582" s="48" t="s">
        <v>2584</v>
      </c>
      <c r="BV1582" s="53" t="n">
        <v>0</v>
      </c>
      <c r="BW1582" s="53" t="n">
        <v>1582</v>
      </c>
      <c r="BX1582" s="48" t="str">
        <f aca="false">IF(U1582&lt;&gt;"",UPPER(TRIM(U1582)),IF(CA1582=1,UPPER(VLOOKUP(T1582,Parameter!$I$27:$K$29,2,0)),IF(P1582="","LOSE",P1582)))</f>
        <v>S61</v>
      </c>
      <c r="BY1582" s="50" t="n">
        <f aca="false">IF(BX1582="LOSE",1,IF(N(V1582)&gt;0,V1582,IF(CA1582=1,MAX(1,N(VLOOKUP(T1582,Parameter!$I$27:$K$29,3,0)),H1582,N(N1582)),IF(N(Q1582)&gt;0,Q1582,MAX(1,H1582)))))</f>
        <v>12</v>
      </c>
      <c r="BZ1582" s="53" t="n">
        <f aca="false">IF(BX1582="LOSE",1,0)</f>
        <v>0</v>
      </c>
      <c r="CA1582" s="53" t="n">
        <f aca="false">IF(AND(U1582="",OR(P1582="",P1582="LOSE"),T1582&lt;&gt;"",N(S1582)&lt;=0,ISNUMBER(MATCH(T1582,Parameter!$I$27:$I$29,0))),1,0)</f>
        <v>1</v>
      </c>
      <c r="CB1582" s="53" t="n">
        <f aca="false">IF(CQ1582&gt;0,INDEX(Parameter!$H$5:$H$7,W1582)/INDEX(Parameter!$E$5:$E$7,W1582),IF(AND(BZ1582=0,N(IFERROR(VLOOKUP(BX1582,'Gebinde-Kategorie'!$A$5:$N$45,14,0),0))&gt;0),VLOOKUP(BX1582,'Gebinde-Kategorie'!$A$5:$N$45,14,0)*10+Parameter!$M$23,Parameter!$M$24))</f>
        <v>145</v>
      </c>
      <c r="CC1582" s="48" t="str">
        <f aca="false">IF(AND(Parameter!$B$19="Ja",E1582&lt;&gt;"",ISNUMBER(MATCH(E1582,Parameter!$I$35:$I$52,0))),VLOOKUP(E1582,Parameter!$I$35:$J$52,2,0),IFERROR(VLOOKUP(D1582,Parameter!$A$35:$C$64,2,0),"Nein"))</f>
        <v>2+3</v>
      </c>
      <c r="CD1582" s="52" t="n">
        <f aca="false">IF(BZ1582=0,0,IF(N(S1582)&gt;0,S1582,IFERROR(VLOOKUP(D1582,Parameter!$A$35:$C$64,3,0)+0,0)))</f>
        <v>0</v>
      </c>
      <c r="CE1582" s="48" t="n">
        <f aca="false">IF(AA1582&lt;&gt;"",AA1582,Z1582)</f>
        <v>2</v>
      </c>
      <c r="CF1582" s="48" t="str">
        <f aca="false">IF(OR(CE1582=1,CE1582=2,CE1582=3),IF(Parameter!$E$27="Ja","LIFT",IF(CE1582=1,"L1","L23")),IF(CE1582="Aussen","Aussen","-"))</f>
        <v>LIFT</v>
      </c>
      <c r="CG1582" s="59" t="n">
        <f aca="false">IF(N(AB1582)&gt;0,AB1582,0)</f>
        <v>0</v>
      </c>
      <c r="CH1582" s="53" t="n">
        <f aca="false">IF(ISNUMBER(AE1582),1,0)</f>
        <v>0</v>
      </c>
      <c r="CI1582" s="50" t="n">
        <f aca="false">N(AE1582)</f>
        <v>0</v>
      </c>
      <c r="CJ1582" s="50" t="n">
        <f aca="false">N(M1582)+N(N1582)</f>
        <v>1</v>
      </c>
      <c r="CK1582" s="50" t="n">
        <f aca="false">N(M1582)</f>
        <v>0</v>
      </c>
      <c r="CL1582" s="50" t="n">
        <f aca="false">N(N1582)</f>
        <v>1</v>
      </c>
      <c r="CM1582" s="50" t="n">
        <f aca="false">ROUNDUP(H1582/BY1582,0)</f>
        <v>1</v>
      </c>
      <c r="CN1582" s="50" t="n">
        <f aca="false">ROUNDUP(CI1582/BY1582,0)</f>
        <v>0</v>
      </c>
      <c r="CO1582" s="53" t="n">
        <f aca="false">IF(BZ1582=1,0,IFERROR(VLOOKUP(BX1582,'Gebinde-Kategorie'!$A$5:$N$45,5,0)+0,0))</f>
        <v>11</v>
      </c>
      <c r="CP1582" s="53" t="n">
        <f aca="false">IFERROR(IF(OR(CE1582=1,CE1582=2,CE1582=3),N(INDEX(Parameter!$I$5:$I$7,CE1582)),0),0)</f>
        <v>0</v>
      </c>
      <c r="CQ1582" s="52" t="n">
        <f aca="false">IF(AND(Parameter!$B$21="Ja",ISNUMBER(W1582),N(X1582)&gt;0),IFERROR(N(INDEX(Parameter!$L$5:$L$7,W1582))*INDEX(Parameter!$E$5:$E$7,W1582)*X1582/SUMIFS($X$7:$X$1843,$W$7:$W$1843,W1582),0),0)</f>
        <v>0</v>
      </c>
    </row>
    <row r="1583" customFormat="false" ht="15" hidden="false" customHeight="false" outlineLevel="0" collapsed="false">
      <c r="A1583" s="48" t="s">
        <v>2772</v>
      </c>
      <c r="B1583" s="48" t="s">
        <v>2773</v>
      </c>
      <c r="C1583" s="48" t="s">
        <v>173</v>
      </c>
      <c r="D1583" s="48" t="s">
        <v>182</v>
      </c>
      <c r="E1583" s="48"/>
      <c r="F1583" s="48"/>
      <c r="G1583" s="49" t="n">
        <v>323</v>
      </c>
      <c r="H1583" s="50" t="n">
        <f aca="false">MAX(0,IF(AND(Parameter!$B$21="Ja",ISNUMBER(Y1583)),Y1583,IF(Parameter!$B$20="Jahresanfang 2025 + Export",BR1583+BQ1583,BQ1583)))</f>
        <v>2</v>
      </c>
      <c r="I1583" s="50" t="n">
        <f aca="false">H1583*G1583</f>
        <v>646</v>
      </c>
      <c r="J1583" s="50" t="n">
        <f aca="false">BT1583*Parameter!$B$18</f>
        <v>0</v>
      </c>
      <c r="K1583" s="51"/>
      <c r="L1583" s="52"/>
      <c r="M1583" s="50" t="n">
        <v>0</v>
      </c>
      <c r="N1583" s="50" t="n">
        <v>1</v>
      </c>
      <c r="O1583" s="53" t="n">
        <v>0</v>
      </c>
      <c r="P1583" s="48" t="s">
        <v>177</v>
      </c>
      <c r="Q1583" s="50"/>
      <c r="R1583" s="53" t="n">
        <f aca="false">IF(BZ1583=1,0,IFERROR(VLOOKUP(BX1583,'Gebinde-Kategorie'!$A$5:$N$45,13,0)+0,0))</f>
        <v>12</v>
      </c>
      <c r="S1583" s="54"/>
      <c r="T1583" s="55" t="s">
        <v>188</v>
      </c>
      <c r="U1583" s="55"/>
      <c r="V1583" s="55"/>
      <c r="W1583" s="48"/>
      <c r="X1583" s="50"/>
      <c r="Y1583" s="50"/>
      <c r="Z1583" s="48" t="n">
        <f aca="false">IF(A1583="","",IF(AND(Parameter!$B$21="Ja",ISNUMBER(W1583)),W1583,IF(CC1583="2+3",IF(ISNUMBER(SEARCH("grosser Artikel",BU1583)),2,IFERROR(VLOOKUP(BX1583,Parameter!$F$35:$G$64,2,0),2)),IF(OR(CC1583="Nein",CC1583=""),"-",CC1583))))</f>
        <v>2</v>
      </c>
      <c r="AA1583" s="55"/>
      <c r="AB1583" s="56"/>
      <c r="AC1583" s="50" t="n">
        <f aca="false">AV1583</f>
        <v>1</v>
      </c>
      <c r="AD1583" s="50" t="n">
        <f aca="false">MAX(AV1583,H1583)</f>
        <v>2</v>
      </c>
      <c r="AE1583" s="57"/>
      <c r="AF1583" s="50" t="n">
        <f aca="false">IF(LEFT(Cockpit!$C$5,1)="A",H1583,IF(Parameter!$E$30="MAX-Bestand",IF(CH1583=1,CI1583,IF(LEFT(Cockpit!$C$5,1)="B",AL1583,MAX(AL1583,H1583))),ROUNDUP(AJ1583,0)))</f>
        <v>2</v>
      </c>
      <c r="AG1583" s="50" t="n">
        <f aca="false">IF(BZ1583=1,0,ROUNDUP(AF1583/BY1583,0))</f>
        <v>1</v>
      </c>
      <c r="AH1583" s="52" t="n">
        <f aca="false">IF(CQ1583&gt;0,CQ1583*MAX(1,AF1583/X1583),IF(BZ1583=1,IF(AF1583&lt;=0,0,CD1583*MAX(1,IF(H1583&gt;0,AF1583/H1583,1))),IF(R1583&gt;0,AG1583/R1583,0))/MAX(0.1,N(Parameter!$M$21)))</f>
        <v>0.0833333333333333</v>
      </c>
      <c r="AI1583" s="50" t="n">
        <f aca="false">AH1583*CB1583</f>
        <v>12.0833333333333</v>
      </c>
      <c r="AJ1583" s="51" t="n">
        <f aca="false">IF(LEFT(Cockpit!$C$5,1)="A",H1583,IF(CH1583=1,(CK1583+CI1583)/2,IF(LEFT(Cockpit!$C$5,1)="B",(CK1583+AL1583)/2,MAX((CK1583+AL1583)/2,H1583))))</f>
        <v>2</v>
      </c>
      <c r="AK1583" s="50" t="n">
        <f aca="false">AJ1583*G1583</f>
        <v>646</v>
      </c>
      <c r="AL1583" s="50" t="n">
        <f aca="false">ROUNDUP(CK1583+MAX(CL1583,2*(J1583/IF(CG1583&gt;0,CG1583,MAX(0.1,N(Cockpit!$C$6)))-CK1583)),0)</f>
        <v>1</v>
      </c>
      <c r="AM1583" s="51" t="n">
        <f aca="false">IF(AI1583&gt;0,J1583/AI1583,-1)</f>
        <v>0</v>
      </c>
      <c r="AN1583" s="51" t="n">
        <f aca="false">IF(AND(OR(CF1583="L1",CF1583="L23",CF1583="LIFT"),AI1583&gt;0),SUMIFS($AI$7:$AI$1843,$CF$7:$CF$1843,CF1583,$AM$7:$AM$1843,"&gt;"&amp;AM1583)+SUMIFS($AI$7:$AI$1843,$CF$7:$CF$1843,CF1583,$AM$7:$AM$1843,AM1583,$BW$7:$BW$1843,"&lt;="&amp;BW1583),"")</f>
        <v>30495.2008055504</v>
      </c>
      <c r="AO1583" s="58" t="n">
        <f aca="false">IF(AN1583="",0,MAX(0,MIN(1,(IF(CF1583="L1",Parameter!$H$5,IF(CF1583="L23",Parameter!$H$6+Parameter!$H$7,Parameter!$H$5+Parameter!$H$6+Parameter!$H$7))-(AN1583-AI1583))/AI1583)))</f>
        <v>1</v>
      </c>
      <c r="AP1583" s="50" t="n">
        <f aca="false">IF(LEFT(Cockpit!$I$5,1)="A",H1583,IF(Parameter!$E$30="MAX-Bestand",IF(CH1583=1,CI1583,IF(LEFT(Cockpit!$I$5,1)="B",AV1583,MAX(AV1583,H1583))),ROUNDUP(AT1583,0)))</f>
        <v>2</v>
      </c>
      <c r="AQ1583" s="50" t="n">
        <f aca="false">IF(BZ1583=1,0,ROUNDUP(AP1583/BY1583,0))</f>
        <v>1</v>
      </c>
      <c r="AR1583" s="52" t="n">
        <f aca="false">IF(CQ1583&gt;0,CQ1583*MAX(1,AP1583/X1583),IF(BZ1583=1,IF(AP1583&lt;=0,0,CD1583*MAX(1,IF(H1583&gt;0,AP1583/H1583,1))),IF(R1583&gt;0,AQ1583/R1583,0))/MAX(0.1,N(Parameter!$M$21)))</f>
        <v>0.0833333333333333</v>
      </c>
      <c r="AS1583" s="50" t="n">
        <f aca="false">AR1583*CB1583</f>
        <v>12.0833333333333</v>
      </c>
      <c r="AT1583" s="51" t="n">
        <f aca="false">IF(LEFT(Cockpit!$I$5,1)="A",H1583,IF(CH1583=1,(CK1583+CI1583)/2,IF(LEFT(Cockpit!$I$5,1)="B",(CK1583+AV1583)/2,MAX((CK1583+AV1583)/2,H1583))))</f>
        <v>2</v>
      </c>
      <c r="AU1583" s="50" t="n">
        <f aca="false">AT1583*G1583</f>
        <v>646</v>
      </c>
      <c r="AV1583" s="50" t="n">
        <f aca="false">ROUNDUP(CK1583+MAX(CL1583,2*(J1583/IF(CG1583&gt;0,CG1583,MAX(0.1,N(Cockpit!$I$6)))-CK1583)),0)</f>
        <v>1</v>
      </c>
      <c r="AW1583" s="51" t="n">
        <f aca="false">IF(AS1583&gt;0,J1583/AS1583,-1)</f>
        <v>0</v>
      </c>
      <c r="AX1583" s="51" t="n">
        <f aca="false">IF(AND(OR(CF1583="L1",CF1583="L23",CF1583="LIFT"),AS1583&gt;0),SUMIFS($AS$7:$AS$1843,$CF$7:$CF$1843,CF1583,$AW$7:$AW$1843,"&gt;"&amp;AW1583)+SUMIFS($AS$7:$AS$1843,$CF$7:$CF$1843,CF1583,$AW$7:$AW$1843,AW1583,$BW$7:$BW$1843,"&lt;="&amp;BW1583),"")</f>
        <v>36815.0573223857</v>
      </c>
      <c r="AY1583" s="58" t="n">
        <f aca="false">IF(AX1583="",0,MAX(0,MIN(1,(IF(CF1583="L1",Parameter!$H$5,IF(CF1583="L23",Parameter!$H$6+Parameter!$H$7,Parameter!$H$5+Parameter!$H$6+Parameter!$H$7))-(AX1583-AS1583))/AS1583)))</f>
        <v>0</v>
      </c>
      <c r="AZ1583" s="50" t="n">
        <f aca="false">IF(LEFT(Cockpit!$O$5,1)="A",H1583,IF(Parameter!$E$30="MAX-Bestand",IF(CH1583=1,CI1583,IF(LEFT(Cockpit!$O$5,1)="B",BF1583,MAX(BF1583,H1583))),ROUNDUP(BD1583,0)))</f>
        <v>1</v>
      </c>
      <c r="BA1583" s="50" t="n">
        <f aca="false">IF(BZ1583=1,0,ROUNDUP(AZ1583/BY1583,0))</f>
        <v>1</v>
      </c>
      <c r="BB1583" s="52" t="n">
        <f aca="false">IF(CQ1583&gt;0,CQ1583*MAX(1,AZ1583/X1583),IF(BZ1583=1,IF(AZ1583&lt;=0,0,CD1583*MAX(1,IF(H1583&gt;0,AZ1583/H1583,1))),IF(R1583&gt;0,BA1583/R1583,0))/MAX(0.1,N(Parameter!$M$21)))</f>
        <v>0.0833333333333333</v>
      </c>
      <c r="BC1583" s="50" t="n">
        <f aca="false">BB1583*CB1583</f>
        <v>12.0833333333333</v>
      </c>
      <c r="BD1583" s="51" t="n">
        <f aca="false">IF(LEFT(Cockpit!$O$5,1)="A",H1583,IF(CH1583=1,(CK1583+CI1583)/2,IF(LEFT(Cockpit!$O$5,1)="B",(CK1583+BF1583)/2,MAX((CK1583+BF1583)/2,H1583))))</f>
        <v>0.5</v>
      </c>
      <c r="BE1583" s="50" t="n">
        <f aca="false">BD1583*G1583</f>
        <v>161.5</v>
      </c>
      <c r="BF1583" s="50" t="n">
        <f aca="false">ROUNDUP(CK1583+MAX(CL1583,2*(J1583/IF(CG1583&gt;0,CG1583,MAX(0.1,N(Cockpit!$O$6)))-CK1583)),0)</f>
        <v>1</v>
      </c>
      <c r="BG1583" s="51" t="n">
        <f aca="false">IF(BC1583&gt;0,J1583/BC1583,-1)</f>
        <v>0</v>
      </c>
      <c r="BH1583" s="51" t="n">
        <f aca="false">IF(AND(OR(CF1583="L1",CF1583="L23",CF1583="LIFT"),BC1583&gt;0),SUMIFS($BC$7:$BC$1843,$CF$7:$CF$1843,CF1583,$BG$7:$BG$1843,"&gt;"&amp;BG1583)+SUMIFS($BC$7:$BC$1843,$CF$7:$CF$1843,CF1583,$BG$7:$BG$1843,BG1583,$BW$7:$BW$1843,"&lt;="&amp;BW1583),"")</f>
        <v>30724.4985979181</v>
      </c>
      <c r="BI1583" s="58" t="n">
        <f aca="false">IF(BH1583="",0,MAX(0,MIN(1,(IF(CF1583="L1",Parameter!$H$5,IF(CF1583="L23",Parameter!$H$6+Parameter!$H$7,Parameter!$H$5+Parameter!$H$6+Parameter!$H$7))-(BH1583-BC1583))/BC1583)))</f>
        <v>1</v>
      </c>
      <c r="BJ1583" s="48" t="str">
        <f aca="false">IF(AI1583&lt;=0,"",IF(CF1583="Aussen","Aussenlager",IF(CF1583="-","Nicht im Lift",IF(AO1583&gt;=1,"Lift",IF(AO1583&lt;=0,"Aussenlager","teilweise")))))</f>
        <v>Lift</v>
      </c>
      <c r="BK1583" s="48" t="str">
        <f aca="false">IF(AS1583&lt;=0,"",IF(CF1583="Aussen","Aussenlager",IF(CF1583="-","Nicht im Lift",IF(AY1583&gt;=1,"Lift",IF(AY1583&lt;=0,"Aussenlager","teilweise")))))</f>
        <v>Aussenlager</v>
      </c>
      <c r="BL1583" s="48" t="str">
        <f aca="false">IF(BC1583&lt;=0,"",IF(CF1583="Aussen","Aussenlager",IF(CF1583="-","Nicht im Lift",IF(BI1583&gt;=1,"Lift",IF(BI1583&lt;=0,"Aussenlager","teilweise")))))</f>
        <v>Lift</v>
      </c>
      <c r="BM1583" s="48" t="str">
        <f aca="false">IF(A1583="","",IF(BV1583=1,"Neu; ","")&amp;IF(AND(BV1583=0,BQ1583&lt;0),"negativer Bestand (Export "&amp;BQ1583&amp;"); ","")&amp;IF(J1583&lt;=0,"Kein Verbrauch; ","")&amp;IF(CQ1583&gt;0,"Lift "&amp;W1583&amp;" lt. Liftbericht (Fach "&amp;X1583&amp;" Stk); ",IF(CA1583=1,"Gebinde geschätzt ("&amp;T1583&amp;"); ",IF(BZ1583=1,"Lose – Tablare geschätzt; ","")))&amp;IF(H1583&gt;AV1583,"Überbestand "&amp;ROUND(H1583-AV1583,0)&amp;" Stk / CHF "&amp;ROUND((H1583-AV1583)*G1583,0)&amp;"; ","")&amp;IF(AND(CH1583=1,CI1583&lt;CJ1583),"MAX &lt; MB+LG; ","")&amp;IF(AND(CP1583&gt;0,CO1583*10&gt;CP1583),"zu hoch für Tablar; ","")&amp;IF(AND(BV1583=0,OR(CH1583=1,AA1583&lt;&gt;"",U1583&lt;&gt;"",V1583&lt;&gt;"",AB1583&lt;&gt;"")),"manuell übersteuert; ","")&amp;IF(AND(BZ1583=0,R1583=0),"Gebinde unbekannt / Stellmass fehlt; ","")&amp;IF(AND(BZ1583=0,N(V1583)&lt;=0,N(Q1583)&lt;=0),"Menge pro Gebinde fehlt (Ist = 1 Gebinde); ","")&amp;BU1583)</f>
        <v>Kein Verbrauch; Gebinde geschätzt (Mittel); Überbestand 1 Stk / CHF 323; Menge pro Gebinde fehlt (Ist = 1 Gebinde); nur im Artikelstamm (Bestand 23.06.2026)</v>
      </c>
      <c r="BN1583" s="48"/>
      <c r="BO1583" s="48"/>
      <c r="BP1583" s="55"/>
      <c r="BQ1583" s="50" t="n">
        <v>2</v>
      </c>
      <c r="BR1583" s="50" t="n">
        <v>0</v>
      </c>
      <c r="BS1583" s="49" t="n">
        <v>0</v>
      </c>
      <c r="BT1583" s="50" t="n">
        <v>0</v>
      </c>
      <c r="BU1583" s="48" t="s">
        <v>2584</v>
      </c>
      <c r="BV1583" s="53" t="n">
        <v>0</v>
      </c>
      <c r="BW1583" s="53" t="n">
        <v>1583</v>
      </c>
      <c r="BX1583" s="48" t="str">
        <f aca="false">IF(U1583&lt;&gt;"",UPPER(TRIM(U1583)),IF(CA1583=1,UPPER(VLOOKUP(T1583,Parameter!$I$27:$K$29,2,0)),IF(P1583="","LOSE",P1583)))</f>
        <v>S61</v>
      </c>
      <c r="BY1583" s="50" t="n">
        <f aca="false">IF(BX1583="LOSE",1,IF(N(V1583)&gt;0,V1583,IF(CA1583=1,MAX(1,N(VLOOKUP(T1583,Parameter!$I$27:$K$29,3,0)),H1583,N(N1583)),IF(N(Q1583)&gt;0,Q1583,MAX(1,H1583)))))</f>
        <v>4</v>
      </c>
      <c r="BZ1583" s="53" t="n">
        <f aca="false">IF(BX1583="LOSE",1,0)</f>
        <v>0</v>
      </c>
      <c r="CA1583" s="53" t="n">
        <f aca="false">IF(AND(U1583="",OR(P1583="",P1583="LOSE"),T1583&lt;&gt;"",N(S1583)&lt;=0,ISNUMBER(MATCH(T1583,Parameter!$I$27:$I$29,0))),1,0)</f>
        <v>1</v>
      </c>
      <c r="CB1583" s="53" t="n">
        <f aca="false">IF(CQ1583&gt;0,INDEX(Parameter!$H$5:$H$7,W1583)/INDEX(Parameter!$E$5:$E$7,W1583),IF(AND(BZ1583=0,N(IFERROR(VLOOKUP(BX1583,'Gebinde-Kategorie'!$A$5:$N$45,14,0),0))&gt;0),VLOOKUP(BX1583,'Gebinde-Kategorie'!$A$5:$N$45,14,0)*10+Parameter!$M$23,Parameter!$M$24))</f>
        <v>145</v>
      </c>
      <c r="CC1583" s="48" t="str">
        <f aca="false">IF(AND(Parameter!$B$19="Ja",E1583&lt;&gt;"",ISNUMBER(MATCH(E1583,Parameter!$I$35:$I$52,0))),VLOOKUP(E1583,Parameter!$I$35:$J$52,2,0),IFERROR(VLOOKUP(D1583,Parameter!$A$35:$C$64,2,0),"Nein"))</f>
        <v>2+3</v>
      </c>
      <c r="CD1583" s="52" t="n">
        <f aca="false">IF(BZ1583=0,0,IF(N(S1583)&gt;0,S1583,IFERROR(VLOOKUP(D1583,Parameter!$A$35:$C$64,3,0)+0,0)))</f>
        <v>0</v>
      </c>
      <c r="CE1583" s="48" t="n">
        <f aca="false">IF(AA1583&lt;&gt;"",AA1583,Z1583)</f>
        <v>2</v>
      </c>
      <c r="CF1583" s="48" t="str">
        <f aca="false">IF(OR(CE1583=1,CE1583=2,CE1583=3),IF(Parameter!$E$27="Ja","LIFT",IF(CE1583=1,"L1","L23")),IF(CE1583="Aussen","Aussen","-"))</f>
        <v>LIFT</v>
      </c>
      <c r="CG1583" s="59" t="n">
        <f aca="false">IF(N(AB1583)&gt;0,AB1583,0)</f>
        <v>0</v>
      </c>
      <c r="CH1583" s="53" t="n">
        <f aca="false">IF(ISNUMBER(AE1583),1,0)</f>
        <v>0</v>
      </c>
      <c r="CI1583" s="50" t="n">
        <f aca="false">N(AE1583)</f>
        <v>0</v>
      </c>
      <c r="CJ1583" s="50" t="n">
        <f aca="false">N(M1583)+N(N1583)</f>
        <v>1</v>
      </c>
      <c r="CK1583" s="50" t="n">
        <f aca="false">N(M1583)</f>
        <v>0</v>
      </c>
      <c r="CL1583" s="50" t="n">
        <f aca="false">N(N1583)</f>
        <v>1</v>
      </c>
      <c r="CM1583" s="50" t="n">
        <f aca="false">ROUNDUP(H1583/BY1583,0)</f>
        <v>1</v>
      </c>
      <c r="CN1583" s="50" t="n">
        <f aca="false">ROUNDUP(CI1583/BY1583,0)</f>
        <v>0</v>
      </c>
      <c r="CO1583" s="53" t="n">
        <f aca="false">IF(BZ1583=1,0,IFERROR(VLOOKUP(BX1583,'Gebinde-Kategorie'!$A$5:$N$45,5,0)+0,0))</f>
        <v>11</v>
      </c>
      <c r="CP1583" s="53" t="n">
        <f aca="false">IFERROR(IF(OR(CE1583=1,CE1583=2,CE1583=3),N(INDEX(Parameter!$I$5:$I$7,CE1583)),0),0)</f>
        <v>0</v>
      </c>
      <c r="CQ1583" s="52" t="n">
        <f aca="false">IF(AND(Parameter!$B$21="Ja",ISNUMBER(W1583),N(X1583)&gt;0),IFERROR(N(INDEX(Parameter!$L$5:$L$7,W1583))*INDEX(Parameter!$E$5:$E$7,W1583)*X1583/SUMIFS($X$7:$X$1843,$W$7:$W$1843,W1583),0),0)</f>
        <v>0</v>
      </c>
    </row>
    <row r="1584" customFormat="false" ht="15" hidden="false" customHeight="false" outlineLevel="0" collapsed="false">
      <c r="A1584" s="48" t="s">
        <v>2774</v>
      </c>
      <c r="B1584" s="48" t="s">
        <v>2773</v>
      </c>
      <c r="C1584" s="48" t="s">
        <v>173</v>
      </c>
      <c r="D1584" s="48" t="s">
        <v>182</v>
      </c>
      <c r="E1584" s="48"/>
      <c r="F1584" s="48"/>
      <c r="G1584" s="49" t="n">
        <v>323</v>
      </c>
      <c r="H1584" s="50" t="n">
        <f aca="false">MAX(0,IF(AND(Parameter!$B$21="Ja",ISNUMBER(Y1584)),Y1584,IF(Parameter!$B$20="Jahresanfang 2025 + Export",BR1584+BQ1584,BQ1584)))</f>
        <v>2</v>
      </c>
      <c r="I1584" s="50" t="n">
        <f aca="false">H1584*G1584</f>
        <v>646</v>
      </c>
      <c r="J1584" s="50" t="n">
        <f aca="false">BT1584*Parameter!$B$18</f>
        <v>0</v>
      </c>
      <c r="K1584" s="51"/>
      <c r="L1584" s="52"/>
      <c r="M1584" s="50" t="n">
        <v>0</v>
      </c>
      <c r="N1584" s="50" t="n">
        <v>1</v>
      </c>
      <c r="O1584" s="53" t="n">
        <v>0</v>
      </c>
      <c r="P1584" s="48" t="s">
        <v>177</v>
      </c>
      <c r="Q1584" s="50"/>
      <c r="R1584" s="53" t="n">
        <f aca="false">IF(BZ1584=1,0,IFERROR(VLOOKUP(BX1584,'Gebinde-Kategorie'!$A$5:$N$45,13,0)+0,0))</f>
        <v>12</v>
      </c>
      <c r="S1584" s="54"/>
      <c r="T1584" s="55" t="s">
        <v>188</v>
      </c>
      <c r="U1584" s="55"/>
      <c r="V1584" s="55"/>
      <c r="W1584" s="48"/>
      <c r="X1584" s="50"/>
      <c r="Y1584" s="50"/>
      <c r="Z1584" s="48" t="n">
        <f aca="false">IF(A1584="","",IF(AND(Parameter!$B$21="Ja",ISNUMBER(W1584)),W1584,IF(CC1584="2+3",IF(ISNUMBER(SEARCH("grosser Artikel",BU1584)),2,IFERROR(VLOOKUP(BX1584,Parameter!$F$35:$G$64,2,0),2)),IF(OR(CC1584="Nein",CC1584=""),"-",CC1584))))</f>
        <v>2</v>
      </c>
      <c r="AA1584" s="55"/>
      <c r="AB1584" s="56"/>
      <c r="AC1584" s="50" t="n">
        <f aca="false">AV1584</f>
        <v>1</v>
      </c>
      <c r="AD1584" s="50" t="n">
        <f aca="false">MAX(AV1584,H1584)</f>
        <v>2</v>
      </c>
      <c r="AE1584" s="57"/>
      <c r="AF1584" s="50" t="n">
        <f aca="false">IF(LEFT(Cockpit!$C$5,1)="A",H1584,IF(Parameter!$E$30="MAX-Bestand",IF(CH1584=1,CI1584,IF(LEFT(Cockpit!$C$5,1)="B",AL1584,MAX(AL1584,H1584))),ROUNDUP(AJ1584,0)))</f>
        <v>2</v>
      </c>
      <c r="AG1584" s="50" t="n">
        <f aca="false">IF(BZ1584=1,0,ROUNDUP(AF1584/BY1584,0))</f>
        <v>1</v>
      </c>
      <c r="AH1584" s="52" t="n">
        <f aca="false">IF(CQ1584&gt;0,CQ1584*MAX(1,AF1584/X1584),IF(BZ1584=1,IF(AF1584&lt;=0,0,CD1584*MAX(1,IF(H1584&gt;0,AF1584/H1584,1))),IF(R1584&gt;0,AG1584/R1584,0))/MAX(0.1,N(Parameter!$M$21)))</f>
        <v>0.0833333333333333</v>
      </c>
      <c r="AI1584" s="50" t="n">
        <f aca="false">AH1584*CB1584</f>
        <v>12.0833333333333</v>
      </c>
      <c r="AJ1584" s="51" t="n">
        <f aca="false">IF(LEFT(Cockpit!$C$5,1)="A",H1584,IF(CH1584=1,(CK1584+CI1584)/2,IF(LEFT(Cockpit!$C$5,1)="B",(CK1584+AL1584)/2,MAX((CK1584+AL1584)/2,H1584))))</f>
        <v>2</v>
      </c>
      <c r="AK1584" s="50" t="n">
        <f aca="false">AJ1584*G1584</f>
        <v>646</v>
      </c>
      <c r="AL1584" s="50" t="n">
        <f aca="false">ROUNDUP(CK1584+MAX(CL1584,2*(J1584/IF(CG1584&gt;0,CG1584,MAX(0.1,N(Cockpit!$C$6)))-CK1584)),0)</f>
        <v>1</v>
      </c>
      <c r="AM1584" s="51" t="n">
        <f aca="false">IF(AI1584&gt;0,J1584/AI1584,-1)</f>
        <v>0</v>
      </c>
      <c r="AN1584" s="51" t="n">
        <f aca="false">IF(AND(OR(CF1584="L1",CF1584="L23",CF1584="LIFT"),AI1584&gt;0),SUMIFS($AI$7:$AI$1843,$CF$7:$CF$1843,CF1584,$AM$7:$AM$1843,"&gt;"&amp;AM1584)+SUMIFS($AI$7:$AI$1843,$CF$7:$CF$1843,CF1584,$AM$7:$AM$1843,AM1584,$BW$7:$BW$1843,"&lt;="&amp;BW1584),"")</f>
        <v>30507.2841388837</v>
      </c>
      <c r="AO1584" s="58" t="n">
        <f aca="false">IF(AN1584="",0,MAX(0,MIN(1,(IF(CF1584="L1",Parameter!$H$5,IF(CF1584="L23",Parameter!$H$6+Parameter!$H$7,Parameter!$H$5+Parameter!$H$6+Parameter!$H$7))-(AN1584-AI1584))/AI1584)))</f>
        <v>1</v>
      </c>
      <c r="AP1584" s="50" t="n">
        <f aca="false">IF(LEFT(Cockpit!$I$5,1)="A",H1584,IF(Parameter!$E$30="MAX-Bestand",IF(CH1584=1,CI1584,IF(LEFT(Cockpit!$I$5,1)="B",AV1584,MAX(AV1584,H1584))),ROUNDUP(AT1584,0)))</f>
        <v>2</v>
      </c>
      <c r="AQ1584" s="50" t="n">
        <f aca="false">IF(BZ1584=1,0,ROUNDUP(AP1584/BY1584,0))</f>
        <v>1</v>
      </c>
      <c r="AR1584" s="52" t="n">
        <f aca="false">IF(CQ1584&gt;0,CQ1584*MAX(1,AP1584/X1584),IF(BZ1584=1,IF(AP1584&lt;=0,0,CD1584*MAX(1,IF(H1584&gt;0,AP1584/H1584,1))),IF(R1584&gt;0,AQ1584/R1584,0))/MAX(0.1,N(Parameter!$M$21)))</f>
        <v>0.0833333333333333</v>
      </c>
      <c r="AS1584" s="50" t="n">
        <f aca="false">AR1584*CB1584</f>
        <v>12.0833333333333</v>
      </c>
      <c r="AT1584" s="51" t="n">
        <f aca="false">IF(LEFT(Cockpit!$I$5,1)="A",H1584,IF(CH1584=1,(CK1584+CI1584)/2,IF(LEFT(Cockpit!$I$5,1)="B",(CK1584+AV1584)/2,MAX((CK1584+AV1584)/2,H1584))))</f>
        <v>2</v>
      </c>
      <c r="AU1584" s="50" t="n">
        <f aca="false">AT1584*G1584</f>
        <v>646</v>
      </c>
      <c r="AV1584" s="50" t="n">
        <f aca="false">ROUNDUP(CK1584+MAX(CL1584,2*(J1584/IF(CG1584&gt;0,CG1584,MAX(0.1,N(Cockpit!$I$6)))-CK1584)),0)</f>
        <v>1</v>
      </c>
      <c r="AW1584" s="51" t="n">
        <f aca="false">IF(AS1584&gt;0,J1584/AS1584,-1)</f>
        <v>0</v>
      </c>
      <c r="AX1584" s="51" t="n">
        <f aca="false">IF(AND(OR(CF1584="L1",CF1584="L23",CF1584="LIFT"),AS1584&gt;0),SUMIFS($AS$7:$AS$1843,$CF$7:$CF$1843,CF1584,$AW$7:$AW$1843,"&gt;"&amp;AW1584)+SUMIFS($AS$7:$AS$1843,$CF$7:$CF$1843,CF1584,$AW$7:$AW$1843,AW1584,$BW$7:$BW$1843,"&lt;="&amp;BW1584),"")</f>
        <v>36827.140655719</v>
      </c>
      <c r="AY1584" s="58" t="n">
        <f aca="false">IF(AX1584="",0,MAX(0,MIN(1,(IF(CF1584="L1",Parameter!$H$5,IF(CF1584="L23",Parameter!$H$6+Parameter!$H$7,Parameter!$H$5+Parameter!$H$6+Parameter!$H$7))-(AX1584-AS1584))/AS1584)))</f>
        <v>0</v>
      </c>
      <c r="AZ1584" s="50" t="n">
        <f aca="false">IF(LEFT(Cockpit!$O$5,1)="A",H1584,IF(Parameter!$E$30="MAX-Bestand",IF(CH1584=1,CI1584,IF(LEFT(Cockpit!$O$5,1)="B",BF1584,MAX(BF1584,H1584))),ROUNDUP(BD1584,0)))</f>
        <v>1</v>
      </c>
      <c r="BA1584" s="50" t="n">
        <f aca="false">IF(BZ1584=1,0,ROUNDUP(AZ1584/BY1584,0))</f>
        <v>1</v>
      </c>
      <c r="BB1584" s="52" t="n">
        <f aca="false">IF(CQ1584&gt;0,CQ1584*MAX(1,AZ1584/X1584),IF(BZ1584=1,IF(AZ1584&lt;=0,0,CD1584*MAX(1,IF(H1584&gt;0,AZ1584/H1584,1))),IF(R1584&gt;0,BA1584/R1584,0))/MAX(0.1,N(Parameter!$M$21)))</f>
        <v>0.0833333333333333</v>
      </c>
      <c r="BC1584" s="50" t="n">
        <f aca="false">BB1584*CB1584</f>
        <v>12.0833333333333</v>
      </c>
      <c r="BD1584" s="51" t="n">
        <f aca="false">IF(LEFT(Cockpit!$O$5,1)="A",H1584,IF(CH1584=1,(CK1584+CI1584)/2,IF(LEFT(Cockpit!$O$5,1)="B",(CK1584+BF1584)/2,MAX((CK1584+BF1584)/2,H1584))))</f>
        <v>0.5</v>
      </c>
      <c r="BE1584" s="50" t="n">
        <f aca="false">BD1584*G1584</f>
        <v>161.5</v>
      </c>
      <c r="BF1584" s="50" t="n">
        <f aca="false">ROUNDUP(CK1584+MAX(CL1584,2*(J1584/IF(CG1584&gt;0,CG1584,MAX(0.1,N(Cockpit!$O$6)))-CK1584)),0)</f>
        <v>1</v>
      </c>
      <c r="BG1584" s="51" t="n">
        <f aca="false">IF(BC1584&gt;0,J1584/BC1584,-1)</f>
        <v>0</v>
      </c>
      <c r="BH1584" s="51" t="n">
        <f aca="false">IF(AND(OR(CF1584="L1",CF1584="L23",CF1584="LIFT"),BC1584&gt;0),SUMIFS($BC$7:$BC$1843,$CF$7:$CF$1843,CF1584,$BG$7:$BG$1843,"&gt;"&amp;BG1584)+SUMIFS($BC$7:$BC$1843,$CF$7:$CF$1843,CF1584,$BG$7:$BG$1843,BG1584,$BW$7:$BW$1843,"&lt;="&amp;BW1584),"")</f>
        <v>30736.5819312514</v>
      </c>
      <c r="BI1584" s="58" t="n">
        <f aca="false">IF(BH1584="",0,MAX(0,MIN(1,(IF(CF1584="L1",Parameter!$H$5,IF(CF1584="L23",Parameter!$H$6+Parameter!$H$7,Parameter!$H$5+Parameter!$H$6+Parameter!$H$7))-(BH1584-BC1584))/BC1584)))</f>
        <v>1</v>
      </c>
      <c r="BJ1584" s="48" t="str">
        <f aca="false">IF(AI1584&lt;=0,"",IF(CF1584="Aussen","Aussenlager",IF(CF1584="-","Nicht im Lift",IF(AO1584&gt;=1,"Lift",IF(AO1584&lt;=0,"Aussenlager","teilweise")))))</f>
        <v>Lift</v>
      </c>
      <c r="BK1584" s="48" t="str">
        <f aca="false">IF(AS1584&lt;=0,"",IF(CF1584="Aussen","Aussenlager",IF(CF1584="-","Nicht im Lift",IF(AY1584&gt;=1,"Lift",IF(AY1584&lt;=0,"Aussenlager","teilweise")))))</f>
        <v>Aussenlager</v>
      </c>
      <c r="BL1584" s="48" t="str">
        <f aca="false">IF(BC1584&lt;=0,"",IF(CF1584="Aussen","Aussenlager",IF(CF1584="-","Nicht im Lift",IF(BI1584&gt;=1,"Lift",IF(BI1584&lt;=0,"Aussenlager","teilweise")))))</f>
        <v>Lift</v>
      </c>
      <c r="BM1584" s="48" t="str">
        <f aca="false">IF(A1584="","",IF(BV1584=1,"Neu; ","")&amp;IF(AND(BV1584=0,BQ1584&lt;0),"negativer Bestand (Export "&amp;BQ1584&amp;"); ","")&amp;IF(J1584&lt;=0,"Kein Verbrauch; ","")&amp;IF(CQ1584&gt;0,"Lift "&amp;W1584&amp;" lt. Liftbericht (Fach "&amp;X1584&amp;" Stk); ",IF(CA1584=1,"Gebinde geschätzt ("&amp;T1584&amp;"); ",IF(BZ1584=1,"Lose – Tablare geschätzt; ","")))&amp;IF(H1584&gt;AV1584,"Überbestand "&amp;ROUND(H1584-AV1584,0)&amp;" Stk / CHF "&amp;ROUND((H1584-AV1584)*G1584,0)&amp;"; ","")&amp;IF(AND(CH1584=1,CI1584&lt;CJ1584),"MAX &lt; MB+LG; ","")&amp;IF(AND(CP1584&gt;0,CO1584*10&gt;CP1584),"zu hoch für Tablar; ","")&amp;IF(AND(BV1584=0,OR(CH1584=1,AA1584&lt;&gt;"",U1584&lt;&gt;"",V1584&lt;&gt;"",AB1584&lt;&gt;"")),"manuell übersteuert; ","")&amp;IF(AND(BZ1584=0,R1584=0),"Gebinde unbekannt / Stellmass fehlt; ","")&amp;IF(AND(BZ1584=0,N(V1584)&lt;=0,N(Q1584)&lt;=0),"Menge pro Gebinde fehlt (Ist = 1 Gebinde); ","")&amp;BU1584)</f>
        <v>Kein Verbrauch; Gebinde geschätzt (Mittel); Überbestand 1 Stk / CHF 323; Menge pro Gebinde fehlt (Ist = 1 Gebinde); nur im Artikelstamm (Bestand 23.06.2026)</v>
      </c>
      <c r="BN1584" s="48"/>
      <c r="BO1584" s="48"/>
      <c r="BP1584" s="55"/>
      <c r="BQ1584" s="50" t="n">
        <v>2</v>
      </c>
      <c r="BR1584" s="50" t="n">
        <v>0</v>
      </c>
      <c r="BS1584" s="49" t="n">
        <v>0</v>
      </c>
      <c r="BT1584" s="50" t="n">
        <v>0</v>
      </c>
      <c r="BU1584" s="48" t="s">
        <v>2584</v>
      </c>
      <c r="BV1584" s="53" t="n">
        <v>0</v>
      </c>
      <c r="BW1584" s="53" t="n">
        <v>1584</v>
      </c>
      <c r="BX1584" s="48" t="str">
        <f aca="false">IF(U1584&lt;&gt;"",UPPER(TRIM(U1584)),IF(CA1584=1,UPPER(VLOOKUP(T1584,Parameter!$I$27:$K$29,2,0)),IF(P1584="","LOSE",P1584)))</f>
        <v>S61</v>
      </c>
      <c r="BY1584" s="50" t="n">
        <f aca="false">IF(BX1584="LOSE",1,IF(N(V1584)&gt;0,V1584,IF(CA1584=1,MAX(1,N(VLOOKUP(T1584,Parameter!$I$27:$K$29,3,0)),H1584,N(N1584)),IF(N(Q1584)&gt;0,Q1584,MAX(1,H1584)))))</f>
        <v>4</v>
      </c>
      <c r="BZ1584" s="53" t="n">
        <f aca="false">IF(BX1584="LOSE",1,0)</f>
        <v>0</v>
      </c>
      <c r="CA1584" s="53" t="n">
        <f aca="false">IF(AND(U1584="",OR(P1584="",P1584="LOSE"),T1584&lt;&gt;"",N(S1584)&lt;=0,ISNUMBER(MATCH(T1584,Parameter!$I$27:$I$29,0))),1,0)</f>
        <v>1</v>
      </c>
      <c r="CB1584" s="53" t="n">
        <f aca="false">IF(CQ1584&gt;0,INDEX(Parameter!$H$5:$H$7,W1584)/INDEX(Parameter!$E$5:$E$7,W1584),IF(AND(BZ1584=0,N(IFERROR(VLOOKUP(BX1584,'Gebinde-Kategorie'!$A$5:$N$45,14,0),0))&gt;0),VLOOKUP(BX1584,'Gebinde-Kategorie'!$A$5:$N$45,14,0)*10+Parameter!$M$23,Parameter!$M$24))</f>
        <v>145</v>
      </c>
      <c r="CC1584" s="48" t="str">
        <f aca="false">IF(AND(Parameter!$B$19="Ja",E1584&lt;&gt;"",ISNUMBER(MATCH(E1584,Parameter!$I$35:$I$52,0))),VLOOKUP(E1584,Parameter!$I$35:$J$52,2,0),IFERROR(VLOOKUP(D1584,Parameter!$A$35:$C$64,2,0),"Nein"))</f>
        <v>2+3</v>
      </c>
      <c r="CD1584" s="52" t="n">
        <f aca="false">IF(BZ1584=0,0,IF(N(S1584)&gt;0,S1584,IFERROR(VLOOKUP(D1584,Parameter!$A$35:$C$64,3,0)+0,0)))</f>
        <v>0</v>
      </c>
      <c r="CE1584" s="48" t="n">
        <f aca="false">IF(AA1584&lt;&gt;"",AA1584,Z1584)</f>
        <v>2</v>
      </c>
      <c r="CF1584" s="48" t="str">
        <f aca="false">IF(OR(CE1584=1,CE1584=2,CE1584=3),IF(Parameter!$E$27="Ja","LIFT",IF(CE1584=1,"L1","L23")),IF(CE1584="Aussen","Aussen","-"))</f>
        <v>LIFT</v>
      </c>
      <c r="CG1584" s="59" t="n">
        <f aca="false">IF(N(AB1584)&gt;0,AB1584,0)</f>
        <v>0</v>
      </c>
      <c r="CH1584" s="53" t="n">
        <f aca="false">IF(ISNUMBER(AE1584),1,0)</f>
        <v>0</v>
      </c>
      <c r="CI1584" s="50" t="n">
        <f aca="false">N(AE1584)</f>
        <v>0</v>
      </c>
      <c r="CJ1584" s="50" t="n">
        <f aca="false">N(M1584)+N(N1584)</f>
        <v>1</v>
      </c>
      <c r="CK1584" s="50" t="n">
        <f aca="false">N(M1584)</f>
        <v>0</v>
      </c>
      <c r="CL1584" s="50" t="n">
        <f aca="false">N(N1584)</f>
        <v>1</v>
      </c>
      <c r="CM1584" s="50" t="n">
        <f aca="false">ROUNDUP(H1584/BY1584,0)</f>
        <v>1</v>
      </c>
      <c r="CN1584" s="50" t="n">
        <f aca="false">ROUNDUP(CI1584/BY1584,0)</f>
        <v>0</v>
      </c>
      <c r="CO1584" s="53" t="n">
        <f aca="false">IF(BZ1584=1,0,IFERROR(VLOOKUP(BX1584,'Gebinde-Kategorie'!$A$5:$N$45,5,0)+0,0))</f>
        <v>11</v>
      </c>
      <c r="CP1584" s="53" t="n">
        <f aca="false">IFERROR(IF(OR(CE1584=1,CE1584=2,CE1584=3),N(INDEX(Parameter!$I$5:$I$7,CE1584)),0),0)</f>
        <v>0</v>
      </c>
      <c r="CQ1584" s="52" t="n">
        <f aca="false">IF(AND(Parameter!$B$21="Ja",ISNUMBER(W1584),N(X1584)&gt;0),IFERROR(N(INDEX(Parameter!$L$5:$L$7,W1584))*INDEX(Parameter!$E$5:$E$7,W1584)*X1584/SUMIFS($X$7:$X$1843,$W$7:$W$1843,W1584),0),0)</f>
        <v>0</v>
      </c>
    </row>
    <row r="1585" customFormat="false" ht="15" hidden="false" customHeight="false" outlineLevel="0" collapsed="false">
      <c r="A1585" s="48" t="s">
        <v>2775</v>
      </c>
      <c r="B1585" s="48" t="s">
        <v>2773</v>
      </c>
      <c r="C1585" s="48" t="s">
        <v>173</v>
      </c>
      <c r="D1585" s="48" t="s">
        <v>182</v>
      </c>
      <c r="E1585" s="48"/>
      <c r="F1585" s="48"/>
      <c r="G1585" s="49" t="n">
        <v>323</v>
      </c>
      <c r="H1585" s="50" t="n">
        <f aca="false">MAX(0,IF(AND(Parameter!$B$21="Ja",ISNUMBER(Y1585)),Y1585,IF(Parameter!$B$20="Jahresanfang 2025 + Export",BR1585+BQ1585,BQ1585)))</f>
        <v>1</v>
      </c>
      <c r="I1585" s="50" t="n">
        <f aca="false">H1585*G1585</f>
        <v>323</v>
      </c>
      <c r="J1585" s="50" t="n">
        <f aca="false">BT1585*Parameter!$B$18</f>
        <v>0</v>
      </c>
      <c r="K1585" s="51"/>
      <c r="L1585" s="52"/>
      <c r="M1585" s="50" t="n">
        <v>0</v>
      </c>
      <c r="N1585" s="50" t="n">
        <v>1</v>
      </c>
      <c r="O1585" s="53" t="n">
        <v>0</v>
      </c>
      <c r="P1585" s="48" t="s">
        <v>177</v>
      </c>
      <c r="Q1585" s="50"/>
      <c r="R1585" s="53" t="n">
        <f aca="false">IF(BZ1585=1,0,IFERROR(VLOOKUP(BX1585,'Gebinde-Kategorie'!$A$5:$N$45,13,0)+0,0))</f>
        <v>12</v>
      </c>
      <c r="S1585" s="54"/>
      <c r="T1585" s="55" t="s">
        <v>188</v>
      </c>
      <c r="U1585" s="55"/>
      <c r="V1585" s="55"/>
      <c r="W1585" s="48"/>
      <c r="X1585" s="50"/>
      <c r="Y1585" s="50"/>
      <c r="Z1585" s="48" t="n">
        <f aca="false">IF(A1585="","",IF(AND(Parameter!$B$21="Ja",ISNUMBER(W1585)),W1585,IF(CC1585="2+3",IF(ISNUMBER(SEARCH("grosser Artikel",BU1585)),2,IFERROR(VLOOKUP(BX1585,Parameter!$F$35:$G$64,2,0),2)),IF(OR(CC1585="Nein",CC1585=""),"-",CC1585))))</f>
        <v>2</v>
      </c>
      <c r="AA1585" s="55"/>
      <c r="AB1585" s="56"/>
      <c r="AC1585" s="50" t="n">
        <f aca="false">AV1585</f>
        <v>1</v>
      </c>
      <c r="AD1585" s="50" t="n">
        <f aca="false">MAX(AV1585,H1585)</f>
        <v>1</v>
      </c>
      <c r="AE1585" s="57"/>
      <c r="AF1585" s="50" t="n">
        <f aca="false">IF(LEFT(Cockpit!$C$5,1)="A",H1585,IF(Parameter!$E$30="MAX-Bestand",IF(CH1585=1,CI1585,IF(LEFT(Cockpit!$C$5,1)="B",AL1585,MAX(AL1585,H1585))),ROUNDUP(AJ1585,0)))</f>
        <v>1</v>
      </c>
      <c r="AG1585" s="50" t="n">
        <f aca="false">IF(BZ1585=1,0,ROUNDUP(AF1585/BY1585,0))</f>
        <v>1</v>
      </c>
      <c r="AH1585" s="52" t="n">
        <f aca="false">IF(CQ1585&gt;0,CQ1585*MAX(1,AF1585/X1585),IF(BZ1585=1,IF(AF1585&lt;=0,0,CD1585*MAX(1,IF(H1585&gt;0,AF1585/H1585,1))),IF(R1585&gt;0,AG1585/R1585,0))/MAX(0.1,N(Parameter!$M$21)))</f>
        <v>0.0833333333333333</v>
      </c>
      <c r="AI1585" s="50" t="n">
        <f aca="false">AH1585*CB1585</f>
        <v>12.0833333333333</v>
      </c>
      <c r="AJ1585" s="51" t="n">
        <f aca="false">IF(LEFT(Cockpit!$C$5,1)="A",H1585,IF(CH1585=1,(CK1585+CI1585)/2,IF(LEFT(Cockpit!$C$5,1)="B",(CK1585+AL1585)/2,MAX((CK1585+AL1585)/2,H1585))))</f>
        <v>1</v>
      </c>
      <c r="AK1585" s="50" t="n">
        <f aca="false">AJ1585*G1585</f>
        <v>323</v>
      </c>
      <c r="AL1585" s="50" t="n">
        <f aca="false">ROUNDUP(CK1585+MAX(CL1585,2*(J1585/IF(CG1585&gt;0,CG1585,MAX(0.1,N(Cockpit!$C$6)))-CK1585)),0)</f>
        <v>1</v>
      </c>
      <c r="AM1585" s="51" t="n">
        <f aca="false">IF(AI1585&gt;0,J1585/AI1585,-1)</f>
        <v>0</v>
      </c>
      <c r="AN1585" s="51" t="n">
        <f aca="false">IF(AND(OR(CF1585="L1",CF1585="L23",CF1585="LIFT"),AI1585&gt;0),SUMIFS($AI$7:$AI$1843,$CF$7:$CF$1843,CF1585,$AM$7:$AM$1843,"&gt;"&amp;AM1585)+SUMIFS($AI$7:$AI$1843,$CF$7:$CF$1843,CF1585,$AM$7:$AM$1843,AM1585,$BW$7:$BW$1843,"&lt;="&amp;BW1585),"")</f>
        <v>30519.367472217</v>
      </c>
      <c r="AO1585" s="58" t="n">
        <f aca="false">IF(AN1585="",0,MAX(0,MIN(1,(IF(CF1585="L1",Parameter!$H$5,IF(CF1585="L23",Parameter!$H$6+Parameter!$H$7,Parameter!$H$5+Parameter!$H$6+Parameter!$H$7))-(AN1585-AI1585))/AI1585)))</f>
        <v>1</v>
      </c>
      <c r="AP1585" s="50" t="n">
        <f aca="false">IF(LEFT(Cockpit!$I$5,1)="A",H1585,IF(Parameter!$E$30="MAX-Bestand",IF(CH1585=1,CI1585,IF(LEFT(Cockpit!$I$5,1)="B",AV1585,MAX(AV1585,H1585))),ROUNDUP(AT1585,0)))</f>
        <v>1</v>
      </c>
      <c r="AQ1585" s="50" t="n">
        <f aca="false">IF(BZ1585=1,0,ROUNDUP(AP1585/BY1585,0))</f>
        <v>1</v>
      </c>
      <c r="AR1585" s="52" t="n">
        <f aca="false">IF(CQ1585&gt;0,CQ1585*MAX(1,AP1585/X1585),IF(BZ1585=1,IF(AP1585&lt;=0,0,CD1585*MAX(1,IF(H1585&gt;0,AP1585/H1585,1))),IF(R1585&gt;0,AQ1585/R1585,0))/MAX(0.1,N(Parameter!$M$21)))</f>
        <v>0.0833333333333333</v>
      </c>
      <c r="AS1585" s="50" t="n">
        <f aca="false">AR1585*CB1585</f>
        <v>12.0833333333333</v>
      </c>
      <c r="AT1585" s="51" t="n">
        <f aca="false">IF(LEFT(Cockpit!$I$5,1)="A",H1585,IF(CH1585=1,(CK1585+CI1585)/2,IF(LEFT(Cockpit!$I$5,1)="B",(CK1585+AV1585)/2,MAX((CK1585+AV1585)/2,H1585))))</f>
        <v>1</v>
      </c>
      <c r="AU1585" s="50" t="n">
        <f aca="false">AT1585*G1585</f>
        <v>323</v>
      </c>
      <c r="AV1585" s="50" t="n">
        <f aca="false">ROUNDUP(CK1585+MAX(CL1585,2*(J1585/IF(CG1585&gt;0,CG1585,MAX(0.1,N(Cockpit!$I$6)))-CK1585)),0)</f>
        <v>1</v>
      </c>
      <c r="AW1585" s="51" t="n">
        <f aca="false">IF(AS1585&gt;0,J1585/AS1585,-1)</f>
        <v>0</v>
      </c>
      <c r="AX1585" s="51" t="n">
        <f aca="false">IF(AND(OR(CF1585="L1",CF1585="L23",CF1585="LIFT"),AS1585&gt;0),SUMIFS($AS$7:$AS$1843,$CF$7:$CF$1843,CF1585,$AW$7:$AW$1843,"&gt;"&amp;AW1585)+SUMIFS($AS$7:$AS$1843,$CF$7:$CF$1843,CF1585,$AW$7:$AW$1843,AW1585,$BW$7:$BW$1843,"&lt;="&amp;BW1585),"")</f>
        <v>36839.2239890524</v>
      </c>
      <c r="AY1585" s="58" t="n">
        <f aca="false">IF(AX1585="",0,MAX(0,MIN(1,(IF(CF1585="L1",Parameter!$H$5,IF(CF1585="L23",Parameter!$H$6+Parameter!$H$7,Parameter!$H$5+Parameter!$H$6+Parameter!$H$7))-(AX1585-AS1585))/AS1585)))</f>
        <v>0</v>
      </c>
      <c r="AZ1585" s="50" t="n">
        <f aca="false">IF(LEFT(Cockpit!$O$5,1)="A",H1585,IF(Parameter!$E$30="MAX-Bestand",IF(CH1585=1,CI1585,IF(LEFT(Cockpit!$O$5,1)="B",BF1585,MAX(BF1585,H1585))),ROUNDUP(BD1585,0)))</f>
        <v>1</v>
      </c>
      <c r="BA1585" s="50" t="n">
        <f aca="false">IF(BZ1585=1,0,ROUNDUP(AZ1585/BY1585,0))</f>
        <v>1</v>
      </c>
      <c r="BB1585" s="52" t="n">
        <f aca="false">IF(CQ1585&gt;0,CQ1585*MAX(1,AZ1585/X1585),IF(BZ1585=1,IF(AZ1585&lt;=0,0,CD1585*MAX(1,IF(H1585&gt;0,AZ1585/H1585,1))),IF(R1585&gt;0,BA1585/R1585,0))/MAX(0.1,N(Parameter!$M$21)))</f>
        <v>0.0833333333333333</v>
      </c>
      <c r="BC1585" s="50" t="n">
        <f aca="false">BB1585*CB1585</f>
        <v>12.0833333333333</v>
      </c>
      <c r="BD1585" s="51" t="n">
        <f aca="false">IF(LEFT(Cockpit!$O$5,1)="A",H1585,IF(CH1585=1,(CK1585+CI1585)/2,IF(LEFT(Cockpit!$O$5,1)="B",(CK1585+BF1585)/2,MAX((CK1585+BF1585)/2,H1585))))</f>
        <v>0.5</v>
      </c>
      <c r="BE1585" s="50" t="n">
        <f aca="false">BD1585*G1585</f>
        <v>161.5</v>
      </c>
      <c r="BF1585" s="50" t="n">
        <f aca="false">ROUNDUP(CK1585+MAX(CL1585,2*(J1585/IF(CG1585&gt;0,CG1585,MAX(0.1,N(Cockpit!$O$6)))-CK1585)),0)</f>
        <v>1</v>
      </c>
      <c r="BG1585" s="51" t="n">
        <f aca="false">IF(BC1585&gt;0,J1585/BC1585,-1)</f>
        <v>0</v>
      </c>
      <c r="BH1585" s="51" t="n">
        <f aca="false">IF(AND(OR(CF1585="L1",CF1585="L23",CF1585="LIFT"),BC1585&gt;0),SUMIFS($BC$7:$BC$1843,$CF$7:$CF$1843,CF1585,$BG$7:$BG$1843,"&gt;"&amp;BG1585)+SUMIFS($BC$7:$BC$1843,$CF$7:$CF$1843,CF1585,$BG$7:$BG$1843,BG1585,$BW$7:$BW$1843,"&lt;="&amp;BW1585),"")</f>
        <v>30748.6652645848</v>
      </c>
      <c r="BI1585" s="58" t="n">
        <f aca="false">IF(BH1585="",0,MAX(0,MIN(1,(IF(CF1585="L1",Parameter!$H$5,IF(CF1585="L23",Parameter!$H$6+Parameter!$H$7,Parameter!$H$5+Parameter!$H$6+Parameter!$H$7))-(BH1585-BC1585))/BC1585)))</f>
        <v>1</v>
      </c>
      <c r="BJ1585" s="48" t="str">
        <f aca="false">IF(AI1585&lt;=0,"",IF(CF1585="Aussen","Aussenlager",IF(CF1585="-","Nicht im Lift",IF(AO1585&gt;=1,"Lift",IF(AO1585&lt;=0,"Aussenlager","teilweise")))))</f>
        <v>Lift</v>
      </c>
      <c r="BK1585" s="48" t="str">
        <f aca="false">IF(AS1585&lt;=0,"",IF(CF1585="Aussen","Aussenlager",IF(CF1585="-","Nicht im Lift",IF(AY1585&gt;=1,"Lift",IF(AY1585&lt;=0,"Aussenlager","teilweise")))))</f>
        <v>Aussenlager</v>
      </c>
      <c r="BL1585" s="48" t="str">
        <f aca="false">IF(BC1585&lt;=0,"",IF(CF1585="Aussen","Aussenlager",IF(CF1585="-","Nicht im Lift",IF(BI1585&gt;=1,"Lift",IF(BI1585&lt;=0,"Aussenlager","teilweise")))))</f>
        <v>Lift</v>
      </c>
      <c r="BM1585" s="48" t="str">
        <f aca="false">IF(A1585="","",IF(BV1585=1,"Neu; ","")&amp;IF(AND(BV1585=0,BQ1585&lt;0),"negativer Bestand (Export "&amp;BQ1585&amp;"); ","")&amp;IF(J1585&lt;=0,"Kein Verbrauch; ","")&amp;IF(CQ1585&gt;0,"Lift "&amp;W1585&amp;" lt. Liftbericht (Fach "&amp;X1585&amp;" Stk); ",IF(CA1585=1,"Gebinde geschätzt ("&amp;T1585&amp;"); ",IF(BZ1585=1,"Lose – Tablare geschätzt; ","")))&amp;IF(H1585&gt;AV1585,"Überbestand "&amp;ROUND(H1585-AV1585,0)&amp;" Stk / CHF "&amp;ROUND((H1585-AV1585)*G1585,0)&amp;"; ","")&amp;IF(AND(CH1585=1,CI1585&lt;CJ1585),"MAX &lt; MB+LG; ","")&amp;IF(AND(CP1585&gt;0,CO1585*10&gt;CP1585),"zu hoch für Tablar; ","")&amp;IF(AND(BV1585=0,OR(CH1585=1,AA1585&lt;&gt;"",U1585&lt;&gt;"",V1585&lt;&gt;"",AB1585&lt;&gt;"")),"manuell übersteuert; ","")&amp;IF(AND(BZ1585=0,R1585=0),"Gebinde unbekannt / Stellmass fehlt; ","")&amp;IF(AND(BZ1585=0,N(V1585)&lt;=0,N(Q1585)&lt;=0),"Menge pro Gebinde fehlt (Ist = 1 Gebinde); ","")&amp;BU1585)</f>
        <v>Kein Verbrauch; Gebinde geschätzt (Mittel); Menge pro Gebinde fehlt (Ist = 1 Gebinde); nur im Artikelstamm (Bestand 23.06.2026)</v>
      </c>
      <c r="BN1585" s="48"/>
      <c r="BO1585" s="48"/>
      <c r="BP1585" s="55"/>
      <c r="BQ1585" s="50" t="n">
        <v>1</v>
      </c>
      <c r="BR1585" s="50" t="n">
        <v>0</v>
      </c>
      <c r="BS1585" s="49" t="n">
        <v>0</v>
      </c>
      <c r="BT1585" s="50" t="n">
        <v>0</v>
      </c>
      <c r="BU1585" s="48" t="s">
        <v>2584</v>
      </c>
      <c r="BV1585" s="53" t="n">
        <v>0</v>
      </c>
      <c r="BW1585" s="53" t="n">
        <v>1585</v>
      </c>
      <c r="BX1585" s="48" t="str">
        <f aca="false">IF(U1585&lt;&gt;"",UPPER(TRIM(U1585)),IF(CA1585=1,UPPER(VLOOKUP(T1585,Parameter!$I$27:$K$29,2,0)),IF(P1585="","LOSE",P1585)))</f>
        <v>S61</v>
      </c>
      <c r="BY1585" s="50" t="n">
        <f aca="false">IF(BX1585="LOSE",1,IF(N(V1585)&gt;0,V1585,IF(CA1585=1,MAX(1,N(VLOOKUP(T1585,Parameter!$I$27:$K$29,3,0)),H1585,N(N1585)),IF(N(Q1585)&gt;0,Q1585,MAX(1,H1585)))))</f>
        <v>4</v>
      </c>
      <c r="BZ1585" s="53" t="n">
        <f aca="false">IF(BX1585="LOSE",1,0)</f>
        <v>0</v>
      </c>
      <c r="CA1585" s="53" t="n">
        <f aca="false">IF(AND(U1585="",OR(P1585="",P1585="LOSE"),T1585&lt;&gt;"",N(S1585)&lt;=0,ISNUMBER(MATCH(T1585,Parameter!$I$27:$I$29,0))),1,0)</f>
        <v>1</v>
      </c>
      <c r="CB1585" s="53" t="n">
        <f aca="false">IF(CQ1585&gt;0,INDEX(Parameter!$H$5:$H$7,W1585)/INDEX(Parameter!$E$5:$E$7,W1585),IF(AND(BZ1585=0,N(IFERROR(VLOOKUP(BX1585,'Gebinde-Kategorie'!$A$5:$N$45,14,0),0))&gt;0),VLOOKUP(BX1585,'Gebinde-Kategorie'!$A$5:$N$45,14,0)*10+Parameter!$M$23,Parameter!$M$24))</f>
        <v>145</v>
      </c>
      <c r="CC1585" s="48" t="str">
        <f aca="false">IF(AND(Parameter!$B$19="Ja",E1585&lt;&gt;"",ISNUMBER(MATCH(E1585,Parameter!$I$35:$I$52,0))),VLOOKUP(E1585,Parameter!$I$35:$J$52,2,0),IFERROR(VLOOKUP(D1585,Parameter!$A$35:$C$64,2,0),"Nein"))</f>
        <v>2+3</v>
      </c>
      <c r="CD1585" s="52" t="n">
        <f aca="false">IF(BZ1585=0,0,IF(N(S1585)&gt;0,S1585,IFERROR(VLOOKUP(D1585,Parameter!$A$35:$C$64,3,0)+0,0)))</f>
        <v>0</v>
      </c>
      <c r="CE1585" s="48" t="n">
        <f aca="false">IF(AA1585&lt;&gt;"",AA1585,Z1585)</f>
        <v>2</v>
      </c>
      <c r="CF1585" s="48" t="str">
        <f aca="false">IF(OR(CE1585=1,CE1585=2,CE1585=3),IF(Parameter!$E$27="Ja","LIFT",IF(CE1585=1,"L1","L23")),IF(CE1585="Aussen","Aussen","-"))</f>
        <v>LIFT</v>
      </c>
      <c r="CG1585" s="59" t="n">
        <f aca="false">IF(N(AB1585)&gt;0,AB1585,0)</f>
        <v>0</v>
      </c>
      <c r="CH1585" s="53" t="n">
        <f aca="false">IF(ISNUMBER(AE1585),1,0)</f>
        <v>0</v>
      </c>
      <c r="CI1585" s="50" t="n">
        <f aca="false">N(AE1585)</f>
        <v>0</v>
      </c>
      <c r="CJ1585" s="50" t="n">
        <f aca="false">N(M1585)+N(N1585)</f>
        <v>1</v>
      </c>
      <c r="CK1585" s="50" t="n">
        <f aca="false">N(M1585)</f>
        <v>0</v>
      </c>
      <c r="CL1585" s="50" t="n">
        <f aca="false">N(N1585)</f>
        <v>1</v>
      </c>
      <c r="CM1585" s="50" t="n">
        <f aca="false">ROUNDUP(H1585/BY1585,0)</f>
        <v>1</v>
      </c>
      <c r="CN1585" s="50" t="n">
        <f aca="false">ROUNDUP(CI1585/BY1585,0)</f>
        <v>0</v>
      </c>
      <c r="CO1585" s="53" t="n">
        <f aca="false">IF(BZ1585=1,0,IFERROR(VLOOKUP(BX1585,'Gebinde-Kategorie'!$A$5:$N$45,5,0)+0,0))</f>
        <v>11</v>
      </c>
      <c r="CP1585" s="53" t="n">
        <f aca="false">IFERROR(IF(OR(CE1585=1,CE1585=2,CE1585=3),N(INDEX(Parameter!$I$5:$I$7,CE1585)),0),0)</f>
        <v>0</v>
      </c>
      <c r="CQ1585" s="52" t="n">
        <f aca="false">IF(AND(Parameter!$B$21="Ja",ISNUMBER(W1585),N(X1585)&gt;0),IFERROR(N(INDEX(Parameter!$L$5:$L$7,W1585))*INDEX(Parameter!$E$5:$E$7,W1585)*X1585/SUMIFS($X$7:$X$1843,$W$7:$W$1843,W1585),0),0)</f>
        <v>0</v>
      </c>
    </row>
    <row r="1586" customFormat="false" ht="15" hidden="false" customHeight="false" outlineLevel="0" collapsed="false">
      <c r="A1586" s="48" t="s">
        <v>2776</v>
      </c>
      <c r="B1586" s="48" t="s">
        <v>2773</v>
      </c>
      <c r="C1586" s="48" t="s">
        <v>173</v>
      </c>
      <c r="D1586" s="48" t="s">
        <v>182</v>
      </c>
      <c r="E1586" s="48"/>
      <c r="F1586" s="48"/>
      <c r="G1586" s="49" t="n">
        <v>323</v>
      </c>
      <c r="H1586" s="50" t="n">
        <f aca="false">MAX(0,IF(AND(Parameter!$B$21="Ja",ISNUMBER(Y1586)),Y1586,IF(Parameter!$B$20="Jahresanfang 2025 + Export",BR1586+BQ1586,BQ1586)))</f>
        <v>2</v>
      </c>
      <c r="I1586" s="50" t="n">
        <f aca="false">H1586*G1586</f>
        <v>646</v>
      </c>
      <c r="J1586" s="50" t="n">
        <f aca="false">BT1586*Parameter!$B$18</f>
        <v>0</v>
      </c>
      <c r="K1586" s="51"/>
      <c r="L1586" s="52"/>
      <c r="M1586" s="50" t="n">
        <v>0</v>
      </c>
      <c r="N1586" s="50" t="n">
        <v>1</v>
      </c>
      <c r="O1586" s="53" t="n">
        <v>0</v>
      </c>
      <c r="P1586" s="48" t="s">
        <v>177</v>
      </c>
      <c r="Q1586" s="50"/>
      <c r="R1586" s="53" t="n">
        <f aca="false">IF(BZ1586=1,0,IFERROR(VLOOKUP(BX1586,'Gebinde-Kategorie'!$A$5:$N$45,13,0)+0,0))</f>
        <v>12</v>
      </c>
      <c r="S1586" s="54"/>
      <c r="T1586" s="55" t="s">
        <v>188</v>
      </c>
      <c r="U1586" s="55"/>
      <c r="V1586" s="55"/>
      <c r="W1586" s="48"/>
      <c r="X1586" s="50"/>
      <c r="Y1586" s="50"/>
      <c r="Z1586" s="48" t="n">
        <f aca="false">IF(A1586="","",IF(AND(Parameter!$B$21="Ja",ISNUMBER(W1586)),W1586,IF(CC1586="2+3",IF(ISNUMBER(SEARCH("grosser Artikel",BU1586)),2,IFERROR(VLOOKUP(BX1586,Parameter!$F$35:$G$64,2,0),2)),IF(OR(CC1586="Nein",CC1586=""),"-",CC1586))))</f>
        <v>2</v>
      </c>
      <c r="AA1586" s="55"/>
      <c r="AB1586" s="56"/>
      <c r="AC1586" s="50" t="n">
        <f aca="false">AV1586</f>
        <v>1</v>
      </c>
      <c r="AD1586" s="50" t="n">
        <f aca="false">MAX(AV1586,H1586)</f>
        <v>2</v>
      </c>
      <c r="AE1586" s="57"/>
      <c r="AF1586" s="50" t="n">
        <f aca="false">IF(LEFT(Cockpit!$C$5,1)="A",H1586,IF(Parameter!$E$30="MAX-Bestand",IF(CH1586=1,CI1586,IF(LEFT(Cockpit!$C$5,1)="B",AL1586,MAX(AL1586,H1586))),ROUNDUP(AJ1586,0)))</f>
        <v>2</v>
      </c>
      <c r="AG1586" s="50" t="n">
        <f aca="false">IF(BZ1586=1,0,ROUNDUP(AF1586/BY1586,0))</f>
        <v>1</v>
      </c>
      <c r="AH1586" s="52" t="n">
        <f aca="false">IF(CQ1586&gt;0,CQ1586*MAX(1,AF1586/X1586),IF(BZ1586=1,IF(AF1586&lt;=0,0,CD1586*MAX(1,IF(H1586&gt;0,AF1586/H1586,1))),IF(R1586&gt;0,AG1586/R1586,0))/MAX(0.1,N(Parameter!$M$21)))</f>
        <v>0.0833333333333333</v>
      </c>
      <c r="AI1586" s="50" t="n">
        <f aca="false">AH1586*CB1586</f>
        <v>12.0833333333333</v>
      </c>
      <c r="AJ1586" s="51" t="n">
        <f aca="false">IF(LEFT(Cockpit!$C$5,1)="A",H1586,IF(CH1586=1,(CK1586+CI1586)/2,IF(LEFT(Cockpit!$C$5,1)="B",(CK1586+AL1586)/2,MAX((CK1586+AL1586)/2,H1586))))</f>
        <v>2</v>
      </c>
      <c r="AK1586" s="50" t="n">
        <f aca="false">AJ1586*G1586</f>
        <v>646</v>
      </c>
      <c r="AL1586" s="50" t="n">
        <f aca="false">ROUNDUP(CK1586+MAX(CL1586,2*(J1586/IF(CG1586&gt;0,CG1586,MAX(0.1,N(Cockpit!$C$6)))-CK1586)),0)</f>
        <v>1</v>
      </c>
      <c r="AM1586" s="51" t="n">
        <f aca="false">IF(AI1586&gt;0,J1586/AI1586,-1)</f>
        <v>0</v>
      </c>
      <c r="AN1586" s="51" t="n">
        <f aca="false">IF(AND(OR(CF1586="L1",CF1586="L23",CF1586="LIFT"),AI1586&gt;0),SUMIFS($AI$7:$AI$1843,$CF$7:$CF$1843,CF1586,$AM$7:$AM$1843,"&gt;"&amp;AM1586)+SUMIFS($AI$7:$AI$1843,$CF$7:$CF$1843,CF1586,$AM$7:$AM$1843,AM1586,$BW$7:$BW$1843,"&lt;="&amp;BW1586),"")</f>
        <v>30531.4508055504</v>
      </c>
      <c r="AO1586" s="58" t="n">
        <f aca="false">IF(AN1586="",0,MAX(0,MIN(1,(IF(CF1586="L1",Parameter!$H$5,IF(CF1586="L23",Parameter!$H$6+Parameter!$H$7,Parameter!$H$5+Parameter!$H$6+Parameter!$H$7))-(AN1586-AI1586))/AI1586)))</f>
        <v>1</v>
      </c>
      <c r="AP1586" s="50" t="n">
        <f aca="false">IF(LEFT(Cockpit!$I$5,1)="A",H1586,IF(Parameter!$E$30="MAX-Bestand",IF(CH1586=1,CI1586,IF(LEFT(Cockpit!$I$5,1)="B",AV1586,MAX(AV1586,H1586))),ROUNDUP(AT1586,0)))</f>
        <v>2</v>
      </c>
      <c r="AQ1586" s="50" t="n">
        <f aca="false">IF(BZ1586=1,0,ROUNDUP(AP1586/BY1586,0))</f>
        <v>1</v>
      </c>
      <c r="AR1586" s="52" t="n">
        <f aca="false">IF(CQ1586&gt;0,CQ1586*MAX(1,AP1586/X1586),IF(BZ1586=1,IF(AP1586&lt;=0,0,CD1586*MAX(1,IF(H1586&gt;0,AP1586/H1586,1))),IF(R1586&gt;0,AQ1586/R1586,0))/MAX(0.1,N(Parameter!$M$21)))</f>
        <v>0.0833333333333333</v>
      </c>
      <c r="AS1586" s="50" t="n">
        <f aca="false">AR1586*CB1586</f>
        <v>12.0833333333333</v>
      </c>
      <c r="AT1586" s="51" t="n">
        <f aca="false">IF(LEFT(Cockpit!$I$5,1)="A",H1586,IF(CH1586=1,(CK1586+CI1586)/2,IF(LEFT(Cockpit!$I$5,1)="B",(CK1586+AV1586)/2,MAX((CK1586+AV1586)/2,H1586))))</f>
        <v>2</v>
      </c>
      <c r="AU1586" s="50" t="n">
        <f aca="false">AT1586*G1586</f>
        <v>646</v>
      </c>
      <c r="AV1586" s="50" t="n">
        <f aca="false">ROUNDUP(CK1586+MAX(CL1586,2*(J1586/IF(CG1586&gt;0,CG1586,MAX(0.1,N(Cockpit!$I$6)))-CK1586)),0)</f>
        <v>1</v>
      </c>
      <c r="AW1586" s="51" t="n">
        <f aca="false">IF(AS1586&gt;0,J1586/AS1586,-1)</f>
        <v>0</v>
      </c>
      <c r="AX1586" s="51" t="n">
        <f aca="false">IF(AND(OR(CF1586="L1",CF1586="L23",CF1586="LIFT"),AS1586&gt;0),SUMIFS($AS$7:$AS$1843,$CF$7:$CF$1843,CF1586,$AW$7:$AW$1843,"&gt;"&amp;AW1586)+SUMIFS($AS$7:$AS$1843,$CF$7:$CF$1843,CF1586,$AW$7:$AW$1843,AW1586,$BW$7:$BW$1843,"&lt;="&amp;BW1586),"")</f>
        <v>36851.3073223857</v>
      </c>
      <c r="AY1586" s="58" t="n">
        <f aca="false">IF(AX1586="",0,MAX(0,MIN(1,(IF(CF1586="L1",Parameter!$H$5,IF(CF1586="L23",Parameter!$H$6+Parameter!$H$7,Parameter!$H$5+Parameter!$H$6+Parameter!$H$7))-(AX1586-AS1586))/AS1586)))</f>
        <v>0</v>
      </c>
      <c r="AZ1586" s="50" t="n">
        <f aca="false">IF(LEFT(Cockpit!$O$5,1)="A",H1586,IF(Parameter!$E$30="MAX-Bestand",IF(CH1586=1,CI1586,IF(LEFT(Cockpit!$O$5,1)="B",BF1586,MAX(BF1586,H1586))),ROUNDUP(BD1586,0)))</f>
        <v>1</v>
      </c>
      <c r="BA1586" s="50" t="n">
        <f aca="false">IF(BZ1586=1,0,ROUNDUP(AZ1586/BY1586,0))</f>
        <v>1</v>
      </c>
      <c r="BB1586" s="52" t="n">
        <f aca="false">IF(CQ1586&gt;0,CQ1586*MAX(1,AZ1586/X1586),IF(BZ1586=1,IF(AZ1586&lt;=0,0,CD1586*MAX(1,IF(H1586&gt;0,AZ1586/H1586,1))),IF(R1586&gt;0,BA1586/R1586,0))/MAX(0.1,N(Parameter!$M$21)))</f>
        <v>0.0833333333333333</v>
      </c>
      <c r="BC1586" s="50" t="n">
        <f aca="false">BB1586*CB1586</f>
        <v>12.0833333333333</v>
      </c>
      <c r="BD1586" s="51" t="n">
        <f aca="false">IF(LEFT(Cockpit!$O$5,1)="A",H1586,IF(CH1586=1,(CK1586+CI1586)/2,IF(LEFT(Cockpit!$O$5,1)="B",(CK1586+BF1586)/2,MAX((CK1586+BF1586)/2,H1586))))</f>
        <v>0.5</v>
      </c>
      <c r="BE1586" s="50" t="n">
        <f aca="false">BD1586*G1586</f>
        <v>161.5</v>
      </c>
      <c r="BF1586" s="50" t="n">
        <f aca="false">ROUNDUP(CK1586+MAX(CL1586,2*(J1586/IF(CG1586&gt;0,CG1586,MAX(0.1,N(Cockpit!$O$6)))-CK1586)),0)</f>
        <v>1</v>
      </c>
      <c r="BG1586" s="51" t="n">
        <f aca="false">IF(BC1586&gt;0,J1586/BC1586,-1)</f>
        <v>0</v>
      </c>
      <c r="BH1586" s="51" t="n">
        <f aca="false">IF(AND(OR(CF1586="L1",CF1586="L23",CF1586="LIFT"),BC1586&gt;0),SUMIFS($BC$7:$BC$1843,$CF$7:$CF$1843,CF1586,$BG$7:$BG$1843,"&gt;"&amp;BG1586)+SUMIFS($BC$7:$BC$1843,$CF$7:$CF$1843,CF1586,$BG$7:$BG$1843,BG1586,$BW$7:$BW$1843,"&lt;="&amp;BW1586),"")</f>
        <v>30760.7485979181</v>
      </c>
      <c r="BI1586" s="58" t="n">
        <f aca="false">IF(BH1586="",0,MAX(0,MIN(1,(IF(CF1586="L1",Parameter!$H$5,IF(CF1586="L23",Parameter!$H$6+Parameter!$H$7,Parameter!$H$5+Parameter!$H$6+Parameter!$H$7))-(BH1586-BC1586))/BC1586)))</f>
        <v>1</v>
      </c>
      <c r="BJ1586" s="48" t="str">
        <f aca="false">IF(AI1586&lt;=0,"",IF(CF1586="Aussen","Aussenlager",IF(CF1586="-","Nicht im Lift",IF(AO1586&gt;=1,"Lift",IF(AO1586&lt;=0,"Aussenlager","teilweise")))))</f>
        <v>Lift</v>
      </c>
      <c r="BK1586" s="48" t="str">
        <f aca="false">IF(AS1586&lt;=0,"",IF(CF1586="Aussen","Aussenlager",IF(CF1586="-","Nicht im Lift",IF(AY1586&gt;=1,"Lift",IF(AY1586&lt;=0,"Aussenlager","teilweise")))))</f>
        <v>Aussenlager</v>
      </c>
      <c r="BL1586" s="48" t="str">
        <f aca="false">IF(BC1586&lt;=0,"",IF(CF1586="Aussen","Aussenlager",IF(CF1586="-","Nicht im Lift",IF(BI1586&gt;=1,"Lift",IF(BI1586&lt;=0,"Aussenlager","teilweise")))))</f>
        <v>Lift</v>
      </c>
      <c r="BM1586" s="48" t="str">
        <f aca="false">IF(A1586="","",IF(BV1586=1,"Neu; ","")&amp;IF(AND(BV1586=0,BQ1586&lt;0),"negativer Bestand (Export "&amp;BQ1586&amp;"); ","")&amp;IF(J1586&lt;=0,"Kein Verbrauch; ","")&amp;IF(CQ1586&gt;0,"Lift "&amp;W1586&amp;" lt. Liftbericht (Fach "&amp;X1586&amp;" Stk); ",IF(CA1586=1,"Gebinde geschätzt ("&amp;T1586&amp;"); ",IF(BZ1586=1,"Lose – Tablare geschätzt; ","")))&amp;IF(H1586&gt;AV1586,"Überbestand "&amp;ROUND(H1586-AV1586,0)&amp;" Stk / CHF "&amp;ROUND((H1586-AV1586)*G1586,0)&amp;"; ","")&amp;IF(AND(CH1586=1,CI1586&lt;CJ1586),"MAX &lt; MB+LG; ","")&amp;IF(AND(CP1586&gt;0,CO1586*10&gt;CP1586),"zu hoch für Tablar; ","")&amp;IF(AND(BV1586=0,OR(CH1586=1,AA1586&lt;&gt;"",U1586&lt;&gt;"",V1586&lt;&gt;"",AB1586&lt;&gt;"")),"manuell übersteuert; ","")&amp;IF(AND(BZ1586=0,R1586=0),"Gebinde unbekannt / Stellmass fehlt; ","")&amp;IF(AND(BZ1586=0,N(V1586)&lt;=0,N(Q1586)&lt;=0),"Menge pro Gebinde fehlt (Ist = 1 Gebinde); ","")&amp;BU1586)</f>
        <v>Kein Verbrauch; Gebinde geschätzt (Mittel); Überbestand 1 Stk / CHF 323; Menge pro Gebinde fehlt (Ist = 1 Gebinde); nur im Artikelstamm (Bestand 23.06.2026)</v>
      </c>
      <c r="BN1586" s="48"/>
      <c r="BO1586" s="48"/>
      <c r="BP1586" s="55"/>
      <c r="BQ1586" s="50" t="n">
        <v>2</v>
      </c>
      <c r="BR1586" s="50" t="n">
        <v>0</v>
      </c>
      <c r="BS1586" s="49" t="n">
        <v>0</v>
      </c>
      <c r="BT1586" s="50" t="n">
        <v>0</v>
      </c>
      <c r="BU1586" s="48" t="s">
        <v>2584</v>
      </c>
      <c r="BV1586" s="53" t="n">
        <v>0</v>
      </c>
      <c r="BW1586" s="53" t="n">
        <v>1586</v>
      </c>
      <c r="BX1586" s="48" t="str">
        <f aca="false">IF(U1586&lt;&gt;"",UPPER(TRIM(U1586)),IF(CA1586=1,UPPER(VLOOKUP(T1586,Parameter!$I$27:$K$29,2,0)),IF(P1586="","LOSE",P1586)))</f>
        <v>S61</v>
      </c>
      <c r="BY1586" s="50" t="n">
        <f aca="false">IF(BX1586="LOSE",1,IF(N(V1586)&gt;0,V1586,IF(CA1586=1,MAX(1,N(VLOOKUP(T1586,Parameter!$I$27:$K$29,3,0)),H1586,N(N1586)),IF(N(Q1586)&gt;0,Q1586,MAX(1,H1586)))))</f>
        <v>4</v>
      </c>
      <c r="BZ1586" s="53" t="n">
        <f aca="false">IF(BX1586="LOSE",1,0)</f>
        <v>0</v>
      </c>
      <c r="CA1586" s="53" t="n">
        <f aca="false">IF(AND(U1586="",OR(P1586="",P1586="LOSE"),T1586&lt;&gt;"",N(S1586)&lt;=0,ISNUMBER(MATCH(T1586,Parameter!$I$27:$I$29,0))),1,0)</f>
        <v>1</v>
      </c>
      <c r="CB1586" s="53" t="n">
        <f aca="false">IF(CQ1586&gt;0,INDEX(Parameter!$H$5:$H$7,W1586)/INDEX(Parameter!$E$5:$E$7,W1586),IF(AND(BZ1586=0,N(IFERROR(VLOOKUP(BX1586,'Gebinde-Kategorie'!$A$5:$N$45,14,0),0))&gt;0),VLOOKUP(BX1586,'Gebinde-Kategorie'!$A$5:$N$45,14,0)*10+Parameter!$M$23,Parameter!$M$24))</f>
        <v>145</v>
      </c>
      <c r="CC1586" s="48" t="str">
        <f aca="false">IF(AND(Parameter!$B$19="Ja",E1586&lt;&gt;"",ISNUMBER(MATCH(E1586,Parameter!$I$35:$I$52,0))),VLOOKUP(E1586,Parameter!$I$35:$J$52,2,0),IFERROR(VLOOKUP(D1586,Parameter!$A$35:$C$64,2,0),"Nein"))</f>
        <v>2+3</v>
      </c>
      <c r="CD1586" s="52" t="n">
        <f aca="false">IF(BZ1586=0,0,IF(N(S1586)&gt;0,S1586,IFERROR(VLOOKUP(D1586,Parameter!$A$35:$C$64,3,0)+0,0)))</f>
        <v>0</v>
      </c>
      <c r="CE1586" s="48" t="n">
        <f aca="false">IF(AA1586&lt;&gt;"",AA1586,Z1586)</f>
        <v>2</v>
      </c>
      <c r="CF1586" s="48" t="str">
        <f aca="false">IF(OR(CE1586=1,CE1586=2,CE1586=3),IF(Parameter!$E$27="Ja","LIFT",IF(CE1586=1,"L1","L23")),IF(CE1586="Aussen","Aussen","-"))</f>
        <v>LIFT</v>
      </c>
      <c r="CG1586" s="59" t="n">
        <f aca="false">IF(N(AB1586)&gt;0,AB1586,0)</f>
        <v>0</v>
      </c>
      <c r="CH1586" s="53" t="n">
        <f aca="false">IF(ISNUMBER(AE1586),1,0)</f>
        <v>0</v>
      </c>
      <c r="CI1586" s="50" t="n">
        <f aca="false">N(AE1586)</f>
        <v>0</v>
      </c>
      <c r="CJ1586" s="50" t="n">
        <f aca="false">N(M1586)+N(N1586)</f>
        <v>1</v>
      </c>
      <c r="CK1586" s="50" t="n">
        <f aca="false">N(M1586)</f>
        <v>0</v>
      </c>
      <c r="CL1586" s="50" t="n">
        <f aca="false">N(N1586)</f>
        <v>1</v>
      </c>
      <c r="CM1586" s="50" t="n">
        <f aca="false">ROUNDUP(H1586/BY1586,0)</f>
        <v>1</v>
      </c>
      <c r="CN1586" s="50" t="n">
        <f aca="false">ROUNDUP(CI1586/BY1586,0)</f>
        <v>0</v>
      </c>
      <c r="CO1586" s="53" t="n">
        <f aca="false">IF(BZ1586=1,0,IFERROR(VLOOKUP(BX1586,'Gebinde-Kategorie'!$A$5:$N$45,5,0)+0,0))</f>
        <v>11</v>
      </c>
      <c r="CP1586" s="53" t="n">
        <f aca="false">IFERROR(IF(OR(CE1586=1,CE1586=2,CE1586=3),N(INDEX(Parameter!$I$5:$I$7,CE1586)),0),0)</f>
        <v>0</v>
      </c>
      <c r="CQ1586" s="52" t="n">
        <f aca="false">IF(AND(Parameter!$B$21="Ja",ISNUMBER(W1586),N(X1586)&gt;0),IFERROR(N(INDEX(Parameter!$L$5:$L$7,W1586))*INDEX(Parameter!$E$5:$E$7,W1586)*X1586/SUMIFS($X$7:$X$1843,$W$7:$W$1843,W1586),0),0)</f>
        <v>0</v>
      </c>
    </row>
    <row r="1587" customFormat="false" ht="15" hidden="false" customHeight="false" outlineLevel="0" collapsed="false">
      <c r="A1587" s="48" t="s">
        <v>2777</v>
      </c>
      <c r="B1587" s="48" t="s">
        <v>2773</v>
      </c>
      <c r="C1587" s="48" t="s">
        <v>173</v>
      </c>
      <c r="D1587" s="48" t="s">
        <v>182</v>
      </c>
      <c r="E1587" s="48"/>
      <c r="F1587" s="48"/>
      <c r="G1587" s="49" t="n">
        <v>323</v>
      </c>
      <c r="H1587" s="50" t="n">
        <f aca="false">MAX(0,IF(AND(Parameter!$B$21="Ja",ISNUMBER(Y1587)),Y1587,IF(Parameter!$B$20="Jahresanfang 2025 + Export",BR1587+BQ1587,BQ1587)))</f>
        <v>1</v>
      </c>
      <c r="I1587" s="50" t="n">
        <f aca="false">H1587*G1587</f>
        <v>323</v>
      </c>
      <c r="J1587" s="50" t="n">
        <f aca="false">BT1587*Parameter!$B$18</f>
        <v>0</v>
      </c>
      <c r="K1587" s="51"/>
      <c r="L1587" s="52"/>
      <c r="M1587" s="50" t="n">
        <v>0</v>
      </c>
      <c r="N1587" s="50" t="n">
        <v>1</v>
      </c>
      <c r="O1587" s="53" t="n">
        <v>0</v>
      </c>
      <c r="P1587" s="48" t="s">
        <v>177</v>
      </c>
      <c r="Q1587" s="50"/>
      <c r="R1587" s="53" t="n">
        <f aca="false">IF(BZ1587=1,0,IFERROR(VLOOKUP(BX1587,'Gebinde-Kategorie'!$A$5:$N$45,13,0)+0,0))</f>
        <v>12</v>
      </c>
      <c r="S1587" s="54"/>
      <c r="T1587" s="55" t="s">
        <v>188</v>
      </c>
      <c r="U1587" s="55"/>
      <c r="V1587" s="55"/>
      <c r="W1587" s="48"/>
      <c r="X1587" s="50"/>
      <c r="Y1587" s="50"/>
      <c r="Z1587" s="48" t="n">
        <f aca="false">IF(A1587="","",IF(AND(Parameter!$B$21="Ja",ISNUMBER(W1587)),W1587,IF(CC1587="2+3",IF(ISNUMBER(SEARCH("grosser Artikel",BU1587)),2,IFERROR(VLOOKUP(BX1587,Parameter!$F$35:$G$64,2,0),2)),IF(OR(CC1587="Nein",CC1587=""),"-",CC1587))))</f>
        <v>2</v>
      </c>
      <c r="AA1587" s="55"/>
      <c r="AB1587" s="56"/>
      <c r="AC1587" s="50" t="n">
        <f aca="false">AV1587</f>
        <v>1</v>
      </c>
      <c r="AD1587" s="50" t="n">
        <f aca="false">MAX(AV1587,H1587)</f>
        <v>1</v>
      </c>
      <c r="AE1587" s="57"/>
      <c r="AF1587" s="50" t="n">
        <f aca="false">IF(LEFT(Cockpit!$C$5,1)="A",H1587,IF(Parameter!$E$30="MAX-Bestand",IF(CH1587=1,CI1587,IF(LEFT(Cockpit!$C$5,1)="B",AL1587,MAX(AL1587,H1587))),ROUNDUP(AJ1587,0)))</f>
        <v>1</v>
      </c>
      <c r="AG1587" s="50" t="n">
        <f aca="false">IF(BZ1587=1,0,ROUNDUP(AF1587/BY1587,0))</f>
        <v>1</v>
      </c>
      <c r="AH1587" s="52" t="n">
        <f aca="false">IF(CQ1587&gt;0,CQ1587*MAX(1,AF1587/X1587),IF(BZ1587=1,IF(AF1587&lt;=0,0,CD1587*MAX(1,IF(H1587&gt;0,AF1587/H1587,1))),IF(R1587&gt;0,AG1587/R1587,0))/MAX(0.1,N(Parameter!$M$21)))</f>
        <v>0.0833333333333333</v>
      </c>
      <c r="AI1587" s="50" t="n">
        <f aca="false">AH1587*CB1587</f>
        <v>12.0833333333333</v>
      </c>
      <c r="AJ1587" s="51" t="n">
        <f aca="false">IF(LEFT(Cockpit!$C$5,1)="A",H1587,IF(CH1587=1,(CK1587+CI1587)/2,IF(LEFT(Cockpit!$C$5,1)="B",(CK1587+AL1587)/2,MAX((CK1587+AL1587)/2,H1587))))</f>
        <v>1</v>
      </c>
      <c r="AK1587" s="50" t="n">
        <f aca="false">AJ1587*G1587</f>
        <v>323</v>
      </c>
      <c r="AL1587" s="50" t="n">
        <f aca="false">ROUNDUP(CK1587+MAX(CL1587,2*(J1587/IF(CG1587&gt;0,CG1587,MAX(0.1,N(Cockpit!$C$6)))-CK1587)),0)</f>
        <v>1</v>
      </c>
      <c r="AM1587" s="51" t="n">
        <f aca="false">IF(AI1587&gt;0,J1587/AI1587,-1)</f>
        <v>0</v>
      </c>
      <c r="AN1587" s="51" t="n">
        <f aca="false">IF(AND(OR(CF1587="L1",CF1587="L23",CF1587="LIFT"),AI1587&gt;0),SUMIFS($AI$7:$AI$1843,$CF$7:$CF$1843,CF1587,$AM$7:$AM$1843,"&gt;"&amp;AM1587)+SUMIFS($AI$7:$AI$1843,$CF$7:$CF$1843,CF1587,$AM$7:$AM$1843,AM1587,$BW$7:$BW$1843,"&lt;="&amp;BW1587),"")</f>
        <v>30543.5341388837</v>
      </c>
      <c r="AO1587" s="58" t="n">
        <f aca="false">IF(AN1587="",0,MAX(0,MIN(1,(IF(CF1587="L1",Parameter!$H$5,IF(CF1587="L23",Parameter!$H$6+Parameter!$H$7,Parameter!$H$5+Parameter!$H$6+Parameter!$H$7))-(AN1587-AI1587))/AI1587)))</f>
        <v>1</v>
      </c>
      <c r="AP1587" s="50" t="n">
        <f aca="false">IF(LEFT(Cockpit!$I$5,1)="A",H1587,IF(Parameter!$E$30="MAX-Bestand",IF(CH1587=1,CI1587,IF(LEFT(Cockpit!$I$5,1)="B",AV1587,MAX(AV1587,H1587))),ROUNDUP(AT1587,0)))</f>
        <v>1</v>
      </c>
      <c r="AQ1587" s="50" t="n">
        <f aca="false">IF(BZ1587=1,0,ROUNDUP(AP1587/BY1587,0))</f>
        <v>1</v>
      </c>
      <c r="AR1587" s="52" t="n">
        <f aca="false">IF(CQ1587&gt;0,CQ1587*MAX(1,AP1587/X1587),IF(BZ1587=1,IF(AP1587&lt;=0,0,CD1587*MAX(1,IF(H1587&gt;0,AP1587/H1587,1))),IF(R1587&gt;0,AQ1587/R1587,0))/MAX(0.1,N(Parameter!$M$21)))</f>
        <v>0.0833333333333333</v>
      </c>
      <c r="AS1587" s="50" t="n">
        <f aca="false">AR1587*CB1587</f>
        <v>12.0833333333333</v>
      </c>
      <c r="AT1587" s="51" t="n">
        <f aca="false">IF(LEFT(Cockpit!$I$5,1)="A",H1587,IF(CH1587=1,(CK1587+CI1587)/2,IF(LEFT(Cockpit!$I$5,1)="B",(CK1587+AV1587)/2,MAX((CK1587+AV1587)/2,H1587))))</f>
        <v>1</v>
      </c>
      <c r="AU1587" s="50" t="n">
        <f aca="false">AT1587*G1587</f>
        <v>323</v>
      </c>
      <c r="AV1587" s="50" t="n">
        <f aca="false">ROUNDUP(CK1587+MAX(CL1587,2*(J1587/IF(CG1587&gt;0,CG1587,MAX(0.1,N(Cockpit!$I$6)))-CK1587)),0)</f>
        <v>1</v>
      </c>
      <c r="AW1587" s="51" t="n">
        <f aca="false">IF(AS1587&gt;0,J1587/AS1587,-1)</f>
        <v>0</v>
      </c>
      <c r="AX1587" s="51" t="n">
        <f aca="false">IF(AND(OR(CF1587="L1",CF1587="L23",CF1587="LIFT"),AS1587&gt;0),SUMIFS($AS$7:$AS$1843,$CF$7:$CF$1843,CF1587,$AW$7:$AW$1843,"&gt;"&amp;AW1587)+SUMIFS($AS$7:$AS$1843,$CF$7:$CF$1843,CF1587,$AW$7:$AW$1843,AW1587,$BW$7:$BW$1843,"&lt;="&amp;BW1587),"")</f>
        <v>36863.390655719</v>
      </c>
      <c r="AY1587" s="58" t="n">
        <f aca="false">IF(AX1587="",0,MAX(0,MIN(1,(IF(CF1587="L1",Parameter!$H$5,IF(CF1587="L23",Parameter!$H$6+Parameter!$H$7,Parameter!$H$5+Parameter!$H$6+Parameter!$H$7))-(AX1587-AS1587))/AS1587)))</f>
        <v>0</v>
      </c>
      <c r="AZ1587" s="50" t="n">
        <f aca="false">IF(LEFT(Cockpit!$O$5,1)="A",H1587,IF(Parameter!$E$30="MAX-Bestand",IF(CH1587=1,CI1587,IF(LEFT(Cockpit!$O$5,1)="B",BF1587,MAX(BF1587,H1587))),ROUNDUP(BD1587,0)))</f>
        <v>1</v>
      </c>
      <c r="BA1587" s="50" t="n">
        <f aca="false">IF(BZ1587=1,0,ROUNDUP(AZ1587/BY1587,0))</f>
        <v>1</v>
      </c>
      <c r="BB1587" s="52" t="n">
        <f aca="false">IF(CQ1587&gt;0,CQ1587*MAX(1,AZ1587/X1587),IF(BZ1587=1,IF(AZ1587&lt;=0,0,CD1587*MAX(1,IF(H1587&gt;0,AZ1587/H1587,1))),IF(R1587&gt;0,BA1587/R1587,0))/MAX(0.1,N(Parameter!$M$21)))</f>
        <v>0.0833333333333333</v>
      </c>
      <c r="BC1587" s="50" t="n">
        <f aca="false">BB1587*CB1587</f>
        <v>12.0833333333333</v>
      </c>
      <c r="BD1587" s="51" t="n">
        <f aca="false">IF(LEFT(Cockpit!$O$5,1)="A",H1587,IF(CH1587=1,(CK1587+CI1587)/2,IF(LEFT(Cockpit!$O$5,1)="B",(CK1587+BF1587)/2,MAX((CK1587+BF1587)/2,H1587))))</f>
        <v>0.5</v>
      </c>
      <c r="BE1587" s="50" t="n">
        <f aca="false">BD1587*G1587</f>
        <v>161.5</v>
      </c>
      <c r="BF1587" s="50" t="n">
        <f aca="false">ROUNDUP(CK1587+MAX(CL1587,2*(J1587/IF(CG1587&gt;0,CG1587,MAX(0.1,N(Cockpit!$O$6)))-CK1587)),0)</f>
        <v>1</v>
      </c>
      <c r="BG1587" s="51" t="n">
        <f aca="false">IF(BC1587&gt;0,J1587/BC1587,-1)</f>
        <v>0</v>
      </c>
      <c r="BH1587" s="51" t="n">
        <f aca="false">IF(AND(OR(CF1587="L1",CF1587="L23",CF1587="LIFT"),BC1587&gt;0),SUMIFS($BC$7:$BC$1843,$CF$7:$CF$1843,CF1587,$BG$7:$BG$1843,"&gt;"&amp;BG1587)+SUMIFS($BC$7:$BC$1843,$CF$7:$CF$1843,CF1587,$BG$7:$BG$1843,BG1587,$BW$7:$BW$1843,"&lt;="&amp;BW1587),"")</f>
        <v>30772.8319312514</v>
      </c>
      <c r="BI1587" s="58" t="n">
        <f aca="false">IF(BH1587="",0,MAX(0,MIN(1,(IF(CF1587="L1",Parameter!$H$5,IF(CF1587="L23",Parameter!$H$6+Parameter!$H$7,Parameter!$H$5+Parameter!$H$6+Parameter!$H$7))-(BH1587-BC1587))/BC1587)))</f>
        <v>1</v>
      </c>
      <c r="BJ1587" s="48" t="str">
        <f aca="false">IF(AI1587&lt;=0,"",IF(CF1587="Aussen","Aussenlager",IF(CF1587="-","Nicht im Lift",IF(AO1587&gt;=1,"Lift",IF(AO1587&lt;=0,"Aussenlager","teilweise")))))</f>
        <v>Lift</v>
      </c>
      <c r="BK1587" s="48" t="str">
        <f aca="false">IF(AS1587&lt;=0,"",IF(CF1587="Aussen","Aussenlager",IF(CF1587="-","Nicht im Lift",IF(AY1587&gt;=1,"Lift",IF(AY1587&lt;=0,"Aussenlager","teilweise")))))</f>
        <v>Aussenlager</v>
      </c>
      <c r="BL1587" s="48" t="str">
        <f aca="false">IF(BC1587&lt;=0,"",IF(CF1587="Aussen","Aussenlager",IF(CF1587="-","Nicht im Lift",IF(BI1587&gt;=1,"Lift",IF(BI1587&lt;=0,"Aussenlager","teilweise")))))</f>
        <v>Lift</v>
      </c>
      <c r="BM1587" s="48" t="str">
        <f aca="false">IF(A1587="","",IF(BV1587=1,"Neu; ","")&amp;IF(AND(BV1587=0,BQ1587&lt;0),"negativer Bestand (Export "&amp;BQ1587&amp;"); ","")&amp;IF(J1587&lt;=0,"Kein Verbrauch; ","")&amp;IF(CQ1587&gt;0,"Lift "&amp;W1587&amp;" lt. Liftbericht (Fach "&amp;X1587&amp;" Stk); ",IF(CA1587=1,"Gebinde geschätzt ("&amp;T1587&amp;"); ",IF(BZ1587=1,"Lose – Tablare geschätzt; ","")))&amp;IF(H1587&gt;AV1587,"Überbestand "&amp;ROUND(H1587-AV1587,0)&amp;" Stk / CHF "&amp;ROUND((H1587-AV1587)*G1587,0)&amp;"; ","")&amp;IF(AND(CH1587=1,CI1587&lt;CJ1587),"MAX &lt; MB+LG; ","")&amp;IF(AND(CP1587&gt;0,CO1587*10&gt;CP1587),"zu hoch für Tablar; ","")&amp;IF(AND(BV1587=0,OR(CH1587=1,AA1587&lt;&gt;"",U1587&lt;&gt;"",V1587&lt;&gt;"",AB1587&lt;&gt;"")),"manuell übersteuert; ","")&amp;IF(AND(BZ1587=0,R1587=0),"Gebinde unbekannt / Stellmass fehlt; ","")&amp;IF(AND(BZ1587=0,N(V1587)&lt;=0,N(Q1587)&lt;=0),"Menge pro Gebinde fehlt (Ist = 1 Gebinde); ","")&amp;BU1587)</f>
        <v>Kein Verbrauch; Gebinde geschätzt (Mittel); Menge pro Gebinde fehlt (Ist = 1 Gebinde); nur im Artikelstamm (Bestand 23.06.2026)</v>
      </c>
      <c r="BN1587" s="48"/>
      <c r="BO1587" s="48"/>
      <c r="BP1587" s="55"/>
      <c r="BQ1587" s="50" t="n">
        <v>1</v>
      </c>
      <c r="BR1587" s="50" t="n">
        <v>0</v>
      </c>
      <c r="BS1587" s="49" t="n">
        <v>0</v>
      </c>
      <c r="BT1587" s="50" t="n">
        <v>0</v>
      </c>
      <c r="BU1587" s="48" t="s">
        <v>2584</v>
      </c>
      <c r="BV1587" s="53" t="n">
        <v>0</v>
      </c>
      <c r="BW1587" s="53" t="n">
        <v>1587</v>
      </c>
      <c r="BX1587" s="48" t="str">
        <f aca="false">IF(U1587&lt;&gt;"",UPPER(TRIM(U1587)),IF(CA1587=1,UPPER(VLOOKUP(T1587,Parameter!$I$27:$K$29,2,0)),IF(P1587="","LOSE",P1587)))</f>
        <v>S61</v>
      </c>
      <c r="BY1587" s="50" t="n">
        <f aca="false">IF(BX1587="LOSE",1,IF(N(V1587)&gt;0,V1587,IF(CA1587=1,MAX(1,N(VLOOKUP(T1587,Parameter!$I$27:$K$29,3,0)),H1587,N(N1587)),IF(N(Q1587)&gt;0,Q1587,MAX(1,H1587)))))</f>
        <v>4</v>
      </c>
      <c r="BZ1587" s="53" t="n">
        <f aca="false">IF(BX1587="LOSE",1,0)</f>
        <v>0</v>
      </c>
      <c r="CA1587" s="53" t="n">
        <f aca="false">IF(AND(U1587="",OR(P1587="",P1587="LOSE"),T1587&lt;&gt;"",N(S1587)&lt;=0,ISNUMBER(MATCH(T1587,Parameter!$I$27:$I$29,0))),1,0)</f>
        <v>1</v>
      </c>
      <c r="CB1587" s="53" t="n">
        <f aca="false">IF(CQ1587&gt;0,INDEX(Parameter!$H$5:$H$7,W1587)/INDEX(Parameter!$E$5:$E$7,W1587),IF(AND(BZ1587=0,N(IFERROR(VLOOKUP(BX1587,'Gebinde-Kategorie'!$A$5:$N$45,14,0),0))&gt;0),VLOOKUP(BX1587,'Gebinde-Kategorie'!$A$5:$N$45,14,0)*10+Parameter!$M$23,Parameter!$M$24))</f>
        <v>145</v>
      </c>
      <c r="CC1587" s="48" t="str">
        <f aca="false">IF(AND(Parameter!$B$19="Ja",E1587&lt;&gt;"",ISNUMBER(MATCH(E1587,Parameter!$I$35:$I$52,0))),VLOOKUP(E1587,Parameter!$I$35:$J$52,2,0),IFERROR(VLOOKUP(D1587,Parameter!$A$35:$C$64,2,0),"Nein"))</f>
        <v>2+3</v>
      </c>
      <c r="CD1587" s="52" t="n">
        <f aca="false">IF(BZ1587=0,0,IF(N(S1587)&gt;0,S1587,IFERROR(VLOOKUP(D1587,Parameter!$A$35:$C$64,3,0)+0,0)))</f>
        <v>0</v>
      </c>
      <c r="CE1587" s="48" t="n">
        <f aca="false">IF(AA1587&lt;&gt;"",AA1587,Z1587)</f>
        <v>2</v>
      </c>
      <c r="CF1587" s="48" t="str">
        <f aca="false">IF(OR(CE1587=1,CE1587=2,CE1587=3),IF(Parameter!$E$27="Ja","LIFT",IF(CE1587=1,"L1","L23")),IF(CE1587="Aussen","Aussen","-"))</f>
        <v>LIFT</v>
      </c>
      <c r="CG1587" s="59" t="n">
        <f aca="false">IF(N(AB1587)&gt;0,AB1587,0)</f>
        <v>0</v>
      </c>
      <c r="CH1587" s="53" t="n">
        <f aca="false">IF(ISNUMBER(AE1587),1,0)</f>
        <v>0</v>
      </c>
      <c r="CI1587" s="50" t="n">
        <f aca="false">N(AE1587)</f>
        <v>0</v>
      </c>
      <c r="CJ1587" s="50" t="n">
        <f aca="false">N(M1587)+N(N1587)</f>
        <v>1</v>
      </c>
      <c r="CK1587" s="50" t="n">
        <f aca="false">N(M1587)</f>
        <v>0</v>
      </c>
      <c r="CL1587" s="50" t="n">
        <f aca="false">N(N1587)</f>
        <v>1</v>
      </c>
      <c r="CM1587" s="50" t="n">
        <f aca="false">ROUNDUP(H1587/BY1587,0)</f>
        <v>1</v>
      </c>
      <c r="CN1587" s="50" t="n">
        <f aca="false">ROUNDUP(CI1587/BY1587,0)</f>
        <v>0</v>
      </c>
      <c r="CO1587" s="53" t="n">
        <f aca="false">IF(BZ1587=1,0,IFERROR(VLOOKUP(BX1587,'Gebinde-Kategorie'!$A$5:$N$45,5,0)+0,0))</f>
        <v>11</v>
      </c>
      <c r="CP1587" s="53" t="n">
        <f aca="false">IFERROR(IF(OR(CE1587=1,CE1587=2,CE1587=3),N(INDEX(Parameter!$I$5:$I$7,CE1587)),0),0)</f>
        <v>0</v>
      </c>
      <c r="CQ1587" s="52" t="n">
        <f aca="false">IF(AND(Parameter!$B$21="Ja",ISNUMBER(W1587),N(X1587)&gt;0),IFERROR(N(INDEX(Parameter!$L$5:$L$7,W1587))*INDEX(Parameter!$E$5:$E$7,W1587)*X1587/SUMIFS($X$7:$X$1843,$W$7:$W$1843,W1587),0),0)</f>
        <v>0</v>
      </c>
    </row>
    <row r="1588" customFormat="false" ht="15" hidden="false" customHeight="false" outlineLevel="0" collapsed="false">
      <c r="A1588" s="48" t="s">
        <v>2778</v>
      </c>
      <c r="B1588" s="48" t="s">
        <v>2773</v>
      </c>
      <c r="C1588" s="48" t="s">
        <v>173</v>
      </c>
      <c r="D1588" s="48" t="s">
        <v>182</v>
      </c>
      <c r="E1588" s="48"/>
      <c r="F1588" s="48"/>
      <c r="G1588" s="49" t="n">
        <v>323</v>
      </c>
      <c r="H1588" s="50" t="n">
        <f aca="false">MAX(0,IF(AND(Parameter!$B$21="Ja",ISNUMBER(Y1588)),Y1588,IF(Parameter!$B$20="Jahresanfang 2025 + Export",BR1588+BQ1588,BQ1588)))</f>
        <v>2</v>
      </c>
      <c r="I1588" s="50" t="n">
        <f aca="false">H1588*G1588</f>
        <v>646</v>
      </c>
      <c r="J1588" s="50" t="n">
        <f aca="false">BT1588*Parameter!$B$18</f>
        <v>0</v>
      </c>
      <c r="K1588" s="51"/>
      <c r="L1588" s="52"/>
      <c r="M1588" s="50" t="n">
        <v>0</v>
      </c>
      <c r="N1588" s="50" t="n">
        <v>1</v>
      </c>
      <c r="O1588" s="53" t="n">
        <v>0</v>
      </c>
      <c r="P1588" s="48" t="s">
        <v>177</v>
      </c>
      <c r="Q1588" s="50"/>
      <c r="R1588" s="53" t="n">
        <f aca="false">IF(BZ1588=1,0,IFERROR(VLOOKUP(BX1588,'Gebinde-Kategorie'!$A$5:$N$45,13,0)+0,0))</f>
        <v>12</v>
      </c>
      <c r="S1588" s="54"/>
      <c r="T1588" s="55" t="s">
        <v>188</v>
      </c>
      <c r="U1588" s="55"/>
      <c r="V1588" s="55"/>
      <c r="W1588" s="48"/>
      <c r="X1588" s="50"/>
      <c r="Y1588" s="50"/>
      <c r="Z1588" s="48" t="n">
        <f aca="false">IF(A1588="","",IF(AND(Parameter!$B$21="Ja",ISNUMBER(W1588)),W1588,IF(CC1588="2+3",IF(ISNUMBER(SEARCH("grosser Artikel",BU1588)),2,IFERROR(VLOOKUP(BX1588,Parameter!$F$35:$G$64,2,0),2)),IF(OR(CC1588="Nein",CC1588=""),"-",CC1588))))</f>
        <v>2</v>
      </c>
      <c r="AA1588" s="55"/>
      <c r="AB1588" s="56"/>
      <c r="AC1588" s="50" t="n">
        <f aca="false">AV1588</f>
        <v>1</v>
      </c>
      <c r="AD1588" s="50" t="n">
        <f aca="false">MAX(AV1588,H1588)</f>
        <v>2</v>
      </c>
      <c r="AE1588" s="57"/>
      <c r="AF1588" s="50" t="n">
        <f aca="false">IF(LEFT(Cockpit!$C$5,1)="A",H1588,IF(Parameter!$E$30="MAX-Bestand",IF(CH1588=1,CI1588,IF(LEFT(Cockpit!$C$5,1)="B",AL1588,MAX(AL1588,H1588))),ROUNDUP(AJ1588,0)))</f>
        <v>2</v>
      </c>
      <c r="AG1588" s="50" t="n">
        <f aca="false">IF(BZ1588=1,0,ROUNDUP(AF1588/BY1588,0))</f>
        <v>1</v>
      </c>
      <c r="AH1588" s="52" t="n">
        <f aca="false">IF(CQ1588&gt;0,CQ1588*MAX(1,AF1588/X1588),IF(BZ1588=1,IF(AF1588&lt;=0,0,CD1588*MAX(1,IF(H1588&gt;0,AF1588/H1588,1))),IF(R1588&gt;0,AG1588/R1588,0))/MAX(0.1,N(Parameter!$M$21)))</f>
        <v>0.0833333333333333</v>
      </c>
      <c r="AI1588" s="50" t="n">
        <f aca="false">AH1588*CB1588</f>
        <v>12.0833333333333</v>
      </c>
      <c r="AJ1588" s="51" t="n">
        <f aca="false">IF(LEFT(Cockpit!$C$5,1)="A",H1588,IF(CH1588=1,(CK1588+CI1588)/2,IF(LEFT(Cockpit!$C$5,1)="B",(CK1588+AL1588)/2,MAX((CK1588+AL1588)/2,H1588))))</f>
        <v>2</v>
      </c>
      <c r="AK1588" s="50" t="n">
        <f aca="false">AJ1588*G1588</f>
        <v>646</v>
      </c>
      <c r="AL1588" s="50" t="n">
        <f aca="false">ROUNDUP(CK1588+MAX(CL1588,2*(J1588/IF(CG1588&gt;0,CG1588,MAX(0.1,N(Cockpit!$C$6)))-CK1588)),0)</f>
        <v>1</v>
      </c>
      <c r="AM1588" s="51" t="n">
        <f aca="false">IF(AI1588&gt;0,J1588/AI1588,-1)</f>
        <v>0</v>
      </c>
      <c r="AN1588" s="51" t="n">
        <f aca="false">IF(AND(OR(CF1588="L1",CF1588="L23",CF1588="LIFT"),AI1588&gt;0),SUMIFS($AI$7:$AI$1843,$CF$7:$CF$1843,CF1588,$AM$7:$AM$1843,"&gt;"&amp;AM1588)+SUMIFS($AI$7:$AI$1843,$CF$7:$CF$1843,CF1588,$AM$7:$AM$1843,AM1588,$BW$7:$BW$1843,"&lt;="&amp;BW1588),"")</f>
        <v>30555.617472217</v>
      </c>
      <c r="AO1588" s="58" t="n">
        <f aca="false">IF(AN1588="",0,MAX(0,MIN(1,(IF(CF1588="L1",Parameter!$H$5,IF(CF1588="L23",Parameter!$H$6+Parameter!$H$7,Parameter!$H$5+Parameter!$H$6+Parameter!$H$7))-(AN1588-AI1588))/AI1588)))</f>
        <v>1</v>
      </c>
      <c r="AP1588" s="50" t="n">
        <f aca="false">IF(LEFT(Cockpit!$I$5,1)="A",H1588,IF(Parameter!$E$30="MAX-Bestand",IF(CH1588=1,CI1588,IF(LEFT(Cockpit!$I$5,1)="B",AV1588,MAX(AV1588,H1588))),ROUNDUP(AT1588,0)))</f>
        <v>2</v>
      </c>
      <c r="AQ1588" s="50" t="n">
        <f aca="false">IF(BZ1588=1,0,ROUNDUP(AP1588/BY1588,0))</f>
        <v>1</v>
      </c>
      <c r="AR1588" s="52" t="n">
        <f aca="false">IF(CQ1588&gt;0,CQ1588*MAX(1,AP1588/X1588),IF(BZ1588=1,IF(AP1588&lt;=0,0,CD1588*MAX(1,IF(H1588&gt;0,AP1588/H1588,1))),IF(R1588&gt;0,AQ1588/R1588,0))/MAX(0.1,N(Parameter!$M$21)))</f>
        <v>0.0833333333333333</v>
      </c>
      <c r="AS1588" s="50" t="n">
        <f aca="false">AR1588*CB1588</f>
        <v>12.0833333333333</v>
      </c>
      <c r="AT1588" s="51" t="n">
        <f aca="false">IF(LEFT(Cockpit!$I$5,1)="A",H1588,IF(CH1588=1,(CK1588+CI1588)/2,IF(LEFT(Cockpit!$I$5,1)="B",(CK1588+AV1588)/2,MAX((CK1588+AV1588)/2,H1588))))</f>
        <v>2</v>
      </c>
      <c r="AU1588" s="50" t="n">
        <f aca="false">AT1588*G1588</f>
        <v>646</v>
      </c>
      <c r="AV1588" s="50" t="n">
        <f aca="false">ROUNDUP(CK1588+MAX(CL1588,2*(J1588/IF(CG1588&gt;0,CG1588,MAX(0.1,N(Cockpit!$I$6)))-CK1588)),0)</f>
        <v>1</v>
      </c>
      <c r="AW1588" s="51" t="n">
        <f aca="false">IF(AS1588&gt;0,J1588/AS1588,-1)</f>
        <v>0</v>
      </c>
      <c r="AX1588" s="51" t="n">
        <f aca="false">IF(AND(OR(CF1588="L1",CF1588="L23",CF1588="LIFT"),AS1588&gt;0),SUMIFS($AS$7:$AS$1843,$CF$7:$CF$1843,CF1588,$AW$7:$AW$1843,"&gt;"&amp;AW1588)+SUMIFS($AS$7:$AS$1843,$CF$7:$CF$1843,CF1588,$AW$7:$AW$1843,AW1588,$BW$7:$BW$1843,"&lt;="&amp;BW1588),"")</f>
        <v>36875.4739890524</v>
      </c>
      <c r="AY1588" s="58" t="n">
        <f aca="false">IF(AX1588="",0,MAX(0,MIN(1,(IF(CF1588="L1",Parameter!$H$5,IF(CF1588="L23",Parameter!$H$6+Parameter!$H$7,Parameter!$H$5+Parameter!$H$6+Parameter!$H$7))-(AX1588-AS1588))/AS1588)))</f>
        <v>0</v>
      </c>
      <c r="AZ1588" s="50" t="n">
        <f aca="false">IF(LEFT(Cockpit!$O$5,1)="A",H1588,IF(Parameter!$E$30="MAX-Bestand",IF(CH1588=1,CI1588,IF(LEFT(Cockpit!$O$5,1)="B",BF1588,MAX(BF1588,H1588))),ROUNDUP(BD1588,0)))</f>
        <v>1</v>
      </c>
      <c r="BA1588" s="50" t="n">
        <f aca="false">IF(BZ1588=1,0,ROUNDUP(AZ1588/BY1588,0))</f>
        <v>1</v>
      </c>
      <c r="BB1588" s="52" t="n">
        <f aca="false">IF(CQ1588&gt;0,CQ1588*MAX(1,AZ1588/X1588),IF(BZ1588=1,IF(AZ1588&lt;=0,0,CD1588*MAX(1,IF(H1588&gt;0,AZ1588/H1588,1))),IF(R1588&gt;0,BA1588/R1588,0))/MAX(0.1,N(Parameter!$M$21)))</f>
        <v>0.0833333333333333</v>
      </c>
      <c r="BC1588" s="50" t="n">
        <f aca="false">BB1588*CB1588</f>
        <v>12.0833333333333</v>
      </c>
      <c r="BD1588" s="51" t="n">
        <f aca="false">IF(LEFT(Cockpit!$O$5,1)="A",H1588,IF(CH1588=1,(CK1588+CI1588)/2,IF(LEFT(Cockpit!$O$5,1)="B",(CK1588+BF1588)/2,MAX((CK1588+BF1588)/2,H1588))))</f>
        <v>0.5</v>
      </c>
      <c r="BE1588" s="50" t="n">
        <f aca="false">BD1588*G1588</f>
        <v>161.5</v>
      </c>
      <c r="BF1588" s="50" t="n">
        <f aca="false">ROUNDUP(CK1588+MAX(CL1588,2*(J1588/IF(CG1588&gt;0,CG1588,MAX(0.1,N(Cockpit!$O$6)))-CK1588)),0)</f>
        <v>1</v>
      </c>
      <c r="BG1588" s="51" t="n">
        <f aca="false">IF(BC1588&gt;0,J1588/BC1588,-1)</f>
        <v>0</v>
      </c>
      <c r="BH1588" s="51" t="n">
        <f aca="false">IF(AND(OR(CF1588="L1",CF1588="L23",CF1588="LIFT"),BC1588&gt;0),SUMIFS($BC$7:$BC$1843,$CF$7:$CF$1843,CF1588,$BG$7:$BG$1843,"&gt;"&amp;BG1588)+SUMIFS($BC$7:$BC$1843,$CF$7:$CF$1843,CF1588,$BG$7:$BG$1843,BG1588,$BW$7:$BW$1843,"&lt;="&amp;BW1588),"")</f>
        <v>30784.9152645848</v>
      </c>
      <c r="BI1588" s="58" t="n">
        <f aca="false">IF(BH1588="",0,MAX(0,MIN(1,(IF(CF1588="L1",Parameter!$H$5,IF(CF1588="L23",Parameter!$H$6+Parameter!$H$7,Parameter!$H$5+Parameter!$H$6+Parameter!$H$7))-(BH1588-BC1588))/BC1588)))</f>
        <v>1</v>
      </c>
      <c r="BJ1588" s="48" t="str">
        <f aca="false">IF(AI1588&lt;=0,"",IF(CF1588="Aussen","Aussenlager",IF(CF1588="-","Nicht im Lift",IF(AO1588&gt;=1,"Lift",IF(AO1588&lt;=0,"Aussenlager","teilweise")))))</f>
        <v>Lift</v>
      </c>
      <c r="BK1588" s="48" t="str">
        <f aca="false">IF(AS1588&lt;=0,"",IF(CF1588="Aussen","Aussenlager",IF(CF1588="-","Nicht im Lift",IF(AY1588&gt;=1,"Lift",IF(AY1588&lt;=0,"Aussenlager","teilweise")))))</f>
        <v>Aussenlager</v>
      </c>
      <c r="BL1588" s="48" t="str">
        <f aca="false">IF(BC1588&lt;=0,"",IF(CF1588="Aussen","Aussenlager",IF(CF1588="-","Nicht im Lift",IF(BI1588&gt;=1,"Lift",IF(BI1588&lt;=0,"Aussenlager","teilweise")))))</f>
        <v>Lift</v>
      </c>
      <c r="BM1588" s="48" t="str">
        <f aca="false">IF(A1588="","",IF(BV1588=1,"Neu; ","")&amp;IF(AND(BV1588=0,BQ1588&lt;0),"negativer Bestand (Export "&amp;BQ1588&amp;"); ","")&amp;IF(J1588&lt;=0,"Kein Verbrauch; ","")&amp;IF(CQ1588&gt;0,"Lift "&amp;W1588&amp;" lt. Liftbericht (Fach "&amp;X1588&amp;" Stk); ",IF(CA1588=1,"Gebinde geschätzt ("&amp;T1588&amp;"); ",IF(BZ1588=1,"Lose – Tablare geschätzt; ","")))&amp;IF(H1588&gt;AV1588,"Überbestand "&amp;ROUND(H1588-AV1588,0)&amp;" Stk / CHF "&amp;ROUND((H1588-AV1588)*G1588,0)&amp;"; ","")&amp;IF(AND(CH1588=1,CI1588&lt;CJ1588),"MAX &lt; MB+LG; ","")&amp;IF(AND(CP1588&gt;0,CO1588*10&gt;CP1588),"zu hoch für Tablar; ","")&amp;IF(AND(BV1588=0,OR(CH1588=1,AA1588&lt;&gt;"",U1588&lt;&gt;"",V1588&lt;&gt;"",AB1588&lt;&gt;"")),"manuell übersteuert; ","")&amp;IF(AND(BZ1588=0,R1588=0),"Gebinde unbekannt / Stellmass fehlt; ","")&amp;IF(AND(BZ1588=0,N(V1588)&lt;=0,N(Q1588)&lt;=0),"Menge pro Gebinde fehlt (Ist = 1 Gebinde); ","")&amp;BU1588)</f>
        <v>Kein Verbrauch; Gebinde geschätzt (Mittel); Überbestand 1 Stk / CHF 323; Menge pro Gebinde fehlt (Ist = 1 Gebinde); nur im Artikelstamm (Bestand 23.06.2026)</v>
      </c>
      <c r="BN1588" s="48"/>
      <c r="BO1588" s="48"/>
      <c r="BP1588" s="55"/>
      <c r="BQ1588" s="50" t="n">
        <v>2</v>
      </c>
      <c r="BR1588" s="50" t="n">
        <v>0</v>
      </c>
      <c r="BS1588" s="49" t="n">
        <v>0</v>
      </c>
      <c r="BT1588" s="50" t="n">
        <v>0</v>
      </c>
      <c r="BU1588" s="48" t="s">
        <v>2584</v>
      </c>
      <c r="BV1588" s="53" t="n">
        <v>0</v>
      </c>
      <c r="BW1588" s="53" t="n">
        <v>1588</v>
      </c>
      <c r="BX1588" s="48" t="str">
        <f aca="false">IF(U1588&lt;&gt;"",UPPER(TRIM(U1588)),IF(CA1588=1,UPPER(VLOOKUP(T1588,Parameter!$I$27:$K$29,2,0)),IF(P1588="","LOSE",P1588)))</f>
        <v>S61</v>
      </c>
      <c r="BY1588" s="50" t="n">
        <f aca="false">IF(BX1588="LOSE",1,IF(N(V1588)&gt;0,V1588,IF(CA1588=1,MAX(1,N(VLOOKUP(T1588,Parameter!$I$27:$K$29,3,0)),H1588,N(N1588)),IF(N(Q1588)&gt;0,Q1588,MAX(1,H1588)))))</f>
        <v>4</v>
      </c>
      <c r="BZ1588" s="53" t="n">
        <f aca="false">IF(BX1588="LOSE",1,0)</f>
        <v>0</v>
      </c>
      <c r="CA1588" s="53" t="n">
        <f aca="false">IF(AND(U1588="",OR(P1588="",P1588="LOSE"),T1588&lt;&gt;"",N(S1588)&lt;=0,ISNUMBER(MATCH(T1588,Parameter!$I$27:$I$29,0))),1,0)</f>
        <v>1</v>
      </c>
      <c r="CB1588" s="53" t="n">
        <f aca="false">IF(CQ1588&gt;0,INDEX(Parameter!$H$5:$H$7,W1588)/INDEX(Parameter!$E$5:$E$7,W1588),IF(AND(BZ1588=0,N(IFERROR(VLOOKUP(BX1588,'Gebinde-Kategorie'!$A$5:$N$45,14,0),0))&gt;0),VLOOKUP(BX1588,'Gebinde-Kategorie'!$A$5:$N$45,14,0)*10+Parameter!$M$23,Parameter!$M$24))</f>
        <v>145</v>
      </c>
      <c r="CC1588" s="48" t="str">
        <f aca="false">IF(AND(Parameter!$B$19="Ja",E1588&lt;&gt;"",ISNUMBER(MATCH(E1588,Parameter!$I$35:$I$52,0))),VLOOKUP(E1588,Parameter!$I$35:$J$52,2,0),IFERROR(VLOOKUP(D1588,Parameter!$A$35:$C$64,2,0),"Nein"))</f>
        <v>2+3</v>
      </c>
      <c r="CD1588" s="52" t="n">
        <f aca="false">IF(BZ1588=0,0,IF(N(S1588)&gt;0,S1588,IFERROR(VLOOKUP(D1588,Parameter!$A$35:$C$64,3,0)+0,0)))</f>
        <v>0</v>
      </c>
      <c r="CE1588" s="48" t="n">
        <f aca="false">IF(AA1588&lt;&gt;"",AA1588,Z1588)</f>
        <v>2</v>
      </c>
      <c r="CF1588" s="48" t="str">
        <f aca="false">IF(OR(CE1588=1,CE1588=2,CE1588=3),IF(Parameter!$E$27="Ja","LIFT",IF(CE1588=1,"L1","L23")),IF(CE1588="Aussen","Aussen","-"))</f>
        <v>LIFT</v>
      </c>
      <c r="CG1588" s="59" t="n">
        <f aca="false">IF(N(AB1588)&gt;0,AB1588,0)</f>
        <v>0</v>
      </c>
      <c r="CH1588" s="53" t="n">
        <f aca="false">IF(ISNUMBER(AE1588),1,0)</f>
        <v>0</v>
      </c>
      <c r="CI1588" s="50" t="n">
        <f aca="false">N(AE1588)</f>
        <v>0</v>
      </c>
      <c r="CJ1588" s="50" t="n">
        <f aca="false">N(M1588)+N(N1588)</f>
        <v>1</v>
      </c>
      <c r="CK1588" s="50" t="n">
        <f aca="false">N(M1588)</f>
        <v>0</v>
      </c>
      <c r="CL1588" s="50" t="n">
        <f aca="false">N(N1588)</f>
        <v>1</v>
      </c>
      <c r="CM1588" s="50" t="n">
        <f aca="false">ROUNDUP(H1588/BY1588,0)</f>
        <v>1</v>
      </c>
      <c r="CN1588" s="50" t="n">
        <f aca="false">ROUNDUP(CI1588/BY1588,0)</f>
        <v>0</v>
      </c>
      <c r="CO1588" s="53" t="n">
        <f aca="false">IF(BZ1588=1,0,IFERROR(VLOOKUP(BX1588,'Gebinde-Kategorie'!$A$5:$N$45,5,0)+0,0))</f>
        <v>11</v>
      </c>
      <c r="CP1588" s="53" t="n">
        <f aca="false">IFERROR(IF(OR(CE1588=1,CE1588=2,CE1588=3),N(INDEX(Parameter!$I$5:$I$7,CE1588)),0),0)</f>
        <v>0</v>
      </c>
      <c r="CQ1588" s="52" t="n">
        <f aca="false">IF(AND(Parameter!$B$21="Ja",ISNUMBER(W1588),N(X1588)&gt;0),IFERROR(N(INDEX(Parameter!$L$5:$L$7,W1588))*INDEX(Parameter!$E$5:$E$7,W1588)*X1588/SUMIFS($X$7:$X$1843,$W$7:$W$1843,W1588),0),0)</f>
        <v>0</v>
      </c>
    </row>
    <row r="1589" customFormat="false" ht="15" hidden="false" customHeight="false" outlineLevel="0" collapsed="false">
      <c r="A1589" s="48" t="s">
        <v>2779</v>
      </c>
      <c r="B1589" s="48" t="s">
        <v>2780</v>
      </c>
      <c r="C1589" s="48" t="s">
        <v>173</v>
      </c>
      <c r="D1589" s="48" t="s">
        <v>182</v>
      </c>
      <c r="E1589" s="48"/>
      <c r="F1589" s="48"/>
      <c r="G1589" s="49" t="n">
        <v>78.35</v>
      </c>
      <c r="H1589" s="50" t="n">
        <f aca="false">MAX(0,IF(AND(Parameter!$B$21="Ja",ISNUMBER(Y1589)),Y1589,IF(Parameter!$B$20="Jahresanfang 2025 + Export",BR1589+BQ1589,BQ1589)))</f>
        <v>2</v>
      </c>
      <c r="I1589" s="50" t="n">
        <f aca="false">H1589*G1589</f>
        <v>156.7</v>
      </c>
      <c r="J1589" s="50" t="n">
        <f aca="false">BT1589*Parameter!$B$18</f>
        <v>0</v>
      </c>
      <c r="K1589" s="51"/>
      <c r="L1589" s="52"/>
      <c r="M1589" s="50" t="n">
        <v>0</v>
      </c>
      <c r="N1589" s="50" t="n">
        <v>1</v>
      </c>
      <c r="O1589" s="53" t="n">
        <v>0</v>
      </c>
      <c r="P1589" s="48" t="s">
        <v>177</v>
      </c>
      <c r="Q1589" s="50"/>
      <c r="R1589" s="53" t="n">
        <f aca="false">IF(BZ1589=1,0,IFERROR(VLOOKUP(BX1589,'Gebinde-Kategorie'!$A$5:$N$45,13,0)+0,0))</f>
        <v>12</v>
      </c>
      <c r="S1589" s="54"/>
      <c r="T1589" s="55" t="s">
        <v>188</v>
      </c>
      <c r="U1589" s="55"/>
      <c r="V1589" s="55"/>
      <c r="W1589" s="48"/>
      <c r="X1589" s="50"/>
      <c r="Y1589" s="50"/>
      <c r="Z1589" s="48" t="n">
        <f aca="false">IF(A1589="","",IF(AND(Parameter!$B$21="Ja",ISNUMBER(W1589)),W1589,IF(CC1589="2+3",IF(ISNUMBER(SEARCH("grosser Artikel",BU1589)),2,IFERROR(VLOOKUP(BX1589,Parameter!$F$35:$G$64,2,0),2)),IF(OR(CC1589="Nein",CC1589=""),"-",CC1589))))</f>
        <v>2</v>
      </c>
      <c r="AA1589" s="55"/>
      <c r="AB1589" s="56"/>
      <c r="AC1589" s="50" t="n">
        <f aca="false">AV1589</f>
        <v>1</v>
      </c>
      <c r="AD1589" s="50" t="n">
        <f aca="false">MAX(AV1589,H1589)</f>
        <v>2</v>
      </c>
      <c r="AE1589" s="57"/>
      <c r="AF1589" s="50" t="n">
        <f aca="false">IF(LEFT(Cockpit!$C$5,1)="A",H1589,IF(Parameter!$E$30="MAX-Bestand",IF(CH1589=1,CI1589,IF(LEFT(Cockpit!$C$5,1)="B",AL1589,MAX(AL1589,H1589))),ROUNDUP(AJ1589,0)))</f>
        <v>2</v>
      </c>
      <c r="AG1589" s="50" t="n">
        <f aca="false">IF(BZ1589=1,0,ROUNDUP(AF1589/BY1589,0))</f>
        <v>1</v>
      </c>
      <c r="AH1589" s="52" t="n">
        <f aca="false">IF(CQ1589&gt;0,CQ1589*MAX(1,AF1589/X1589),IF(BZ1589=1,IF(AF1589&lt;=0,0,CD1589*MAX(1,IF(H1589&gt;0,AF1589/H1589,1))),IF(R1589&gt;0,AG1589/R1589,0))/MAX(0.1,N(Parameter!$M$21)))</f>
        <v>0.0833333333333333</v>
      </c>
      <c r="AI1589" s="50" t="n">
        <f aca="false">AH1589*CB1589</f>
        <v>12.0833333333333</v>
      </c>
      <c r="AJ1589" s="51" t="n">
        <f aca="false">IF(LEFT(Cockpit!$C$5,1)="A",H1589,IF(CH1589=1,(CK1589+CI1589)/2,IF(LEFT(Cockpit!$C$5,1)="B",(CK1589+AL1589)/2,MAX((CK1589+AL1589)/2,H1589))))</f>
        <v>2</v>
      </c>
      <c r="AK1589" s="50" t="n">
        <f aca="false">AJ1589*G1589</f>
        <v>156.7</v>
      </c>
      <c r="AL1589" s="50" t="n">
        <f aca="false">ROUNDUP(CK1589+MAX(CL1589,2*(J1589/IF(CG1589&gt;0,CG1589,MAX(0.1,N(Cockpit!$C$6)))-CK1589)),0)</f>
        <v>1</v>
      </c>
      <c r="AM1589" s="51" t="n">
        <f aca="false">IF(AI1589&gt;0,J1589/AI1589,-1)</f>
        <v>0</v>
      </c>
      <c r="AN1589" s="51" t="n">
        <f aca="false">IF(AND(OR(CF1589="L1",CF1589="L23",CF1589="LIFT"),AI1589&gt;0),SUMIFS($AI$7:$AI$1843,$CF$7:$CF$1843,CF1589,$AM$7:$AM$1843,"&gt;"&amp;AM1589)+SUMIFS($AI$7:$AI$1843,$CF$7:$CF$1843,CF1589,$AM$7:$AM$1843,AM1589,$BW$7:$BW$1843,"&lt;="&amp;BW1589),"")</f>
        <v>30567.7008055504</v>
      </c>
      <c r="AO1589" s="58" t="n">
        <f aca="false">IF(AN1589="",0,MAX(0,MIN(1,(IF(CF1589="L1",Parameter!$H$5,IF(CF1589="L23",Parameter!$H$6+Parameter!$H$7,Parameter!$H$5+Parameter!$H$6+Parameter!$H$7))-(AN1589-AI1589))/AI1589)))</f>
        <v>1</v>
      </c>
      <c r="AP1589" s="50" t="n">
        <f aca="false">IF(LEFT(Cockpit!$I$5,1)="A",H1589,IF(Parameter!$E$30="MAX-Bestand",IF(CH1589=1,CI1589,IF(LEFT(Cockpit!$I$5,1)="B",AV1589,MAX(AV1589,H1589))),ROUNDUP(AT1589,0)))</f>
        <v>2</v>
      </c>
      <c r="AQ1589" s="50" t="n">
        <f aca="false">IF(BZ1589=1,0,ROUNDUP(AP1589/BY1589,0))</f>
        <v>1</v>
      </c>
      <c r="AR1589" s="52" t="n">
        <f aca="false">IF(CQ1589&gt;0,CQ1589*MAX(1,AP1589/X1589),IF(BZ1589=1,IF(AP1589&lt;=0,0,CD1589*MAX(1,IF(H1589&gt;0,AP1589/H1589,1))),IF(R1589&gt;0,AQ1589/R1589,0))/MAX(0.1,N(Parameter!$M$21)))</f>
        <v>0.0833333333333333</v>
      </c>
      <c r="AS1589" s="50" t="n">
        <f aca="false">AR1589*CB1589</f>
        <v>12.0833333333333</v>
      </c>
      <c r="AT1589" s="51" t="n">
        <f aca="false">IF(LEFT(Cockpit!$I$5,1)="A",H1589,IF(CH1589=1,(CK1589+CI1589)/2,IF(LEFT(Cockpit!$I$5,1)="B",(CK1589+AV1589)/2,MAX((CK1589+AV1589)/2,H1589))))</f>
        <v>2</v>
      </c>
      <c r="AU1589" s="50" t="n">
        <f aca="false">AT1589*G1589</f>
        <v>156.7</v>
      </c>
      <c r="AV1589" s="50" t="n">
        <f aca="false">ROUNDUP(CK1589+MAX(CL1589,2*(J1589/IF(CG1589&gt;0,CG1589,MAX(0.1,N(Cockpit!$I$6)))-CK1589)),0)</f>
        <v>1</v>
      </c>
      <c r="AW1589" s="51" t="n">
        <f aca="false">IF(AS1589&gt;0,J1589/AS1589,-1)</f>
        <v>0</v>
      </c>
      <c r="AX1589" s="51" t="n">
        <f aca="false">IF(AND(OR(CF1589="L1",CF1589="L23",CF1589="LIFT"),AS1589&gt;0),SUMIFS($AS$7:$AS$1843,$CF$7:$CF$1843,CF1589,$AW$7:$AW$1843,"&gt;"&amp;AW1589)+SUMIFS($AS$7:$AS$1843,$CF$7:$CF$1843,CF1589,$AW$7:$AW$1843,AW1589,$BW$7:$BW$1843,"&lt;="&amp;BW1589),"")</f>
        <v>36887.5573223857</v>
      </c>
      <c r="AY1589" s="58" t="n">
        <f aca="false">IF(AX1589="",0,MAX(0,MIN(1,(IF(CF1589="L1",Parameter!$H$5,IF(CF1589="L23",Parameter!$H$6+Parameter!$H$7,Parameter!$H$5+Parameter!$H$6+Parameter!$H$7))-(AX1589-AS1589))/AS1589)))</f>
        <v>0</v>
      </c>
      <c r="AZ1589" s="50" t="n">
        <f aca="false">IF(LEFT(Cockpit!$O$5,1)="A",H1589,IF(Parameter!$E$30="MAX-Bestand",IF(CH1589=1,CI1589,IF(LEFT(Cockpit!$O$5,1)="B",BF1589,MAX(BF1589,H1589))),ROUNDUP(BD1589,0)))</f>
        <v>1</v>
      </c>
      <c r="BA1589" s="50" t="n">
        <f aca="false">IF(BZ1589=1,0,ROUNDUP(AZ1589/BY1589,0))</f>
        <v>1</v>
      </c>
      <c r="BB1589" s="52" t="n">
        <f aca="false">IF(CQ1589&gt;0,CQ1589*MAX(1,AZ1589/X1589),IF(BZ1589=1,IF(AZ1589&lt;=0,0,CD1589*MAX(1,IF(H1589&gt;0,AZ1589/H1589,1))),IF(R1589&gt;0,BA1589/R1589,0))/MAX(0.1,N(Parameter!$M$21)))</f>
        <v>0.0833333333333333</v>
      </c>
      <c r="BC1589" s="50" t="n">
        <f aca="false">BB1589*CB1589</f>
        <v>12.0833333333333</v>
      </c>
      <c r="BD1589" s="51" t="n">
        <f aca="false">IF(LEFT(Cockpit!$O$5,1)="A",H1589,IF(CH1589=1,(CK1589+CI1589)/2,IF(LEFT(Cockpit!$O$5,1)="B",(CK1589+BF1589)/2,MAX((CK1589+BF1589)/2,H1589))))</f>
        <v>0.5</v>
      </c>
      <c r="BE1589" s="50" t="n">
        <f aca="false">BD1589*G1589</f>
        <v>39.175</v>
      </c>
      <c r="BF1589" s="50" t="n">
        <f aca="false">ROUNDUP(CK1589+MAX(CL1589,2*(J1589/IF(CG1589&gt;0,CG1589,MAX(0.1,N(Cockpit!$O$6)))-CK1589)),0)</f>
        <v>1</v>
      </c>
      <c r="BG1589" s="51" t="n">
        <f aca="false">IF(BC1589&gt;0,J1589/BC1589,-1)</f>
        <v>0</v>
      </c>
      <c r="BH1589" s="51" t="n">
        <f aca="false">IF(AND(OR(CF1589="L1",CF1589="L23",CF1589="LIFT"),BC1589&gt;0),SUMIFS($BC$7:$BC$1843,$CF$7:$CF$1843,CF1589,$BG$7:$BG$1843,"&gt;"&amp;BG1589)+SUMIFS($BC$7:$BC$1843,$CF$7:$CF$1843,CF1589,$BG$7:$BG$1843,BG1589,$BW$7:$BW$1843,"&lt;="&amp;BW1589),"")</f>
        <v>30796.9985979181</v>
      </c>
      <c r="BI1589" s="58" t="n">
        <f aca="false">IF(BH1589="",0,MAX(0,MIN(1,(IF(CF1589="L1",Parameter!$H$5,IF(CF1589="L23",Parameter!$H$6+Parameter!$H$7,Parameter!$H$5+Parameter!$H$6+Parameter!$H$7))-(BH1589-BC1589))/BC1589)))</f>
        <v>1</v>
      </c>
      <c r="BJ1589" s="48" t="str">
        <f aca="false">IF(AI1589&lt;=0,"",IF(CF1589="Aussen","Aussenlager",IF(CF1589="-","Nicht im Lift",IF(AO1589&gt;=1,"Lift",IF(AO1589&lt;=0,"Aussenlager","teilweise")))))</f>
        <v>Lift</v>
      </c>
      <c r="BK1589" s="48" t="str">
        <f aca="false">IF(AS1589&lt;=0,"",IF(CF1589="Aussen","Aussenlager",IF(CF1589="-","Nicht im Lift",IF(AY1589&gt;=1,"Lift",IF(AY1589&lt;=0,"Aussenlager","teilweise")))))</f>
        <v>Aussenlager</v>
      </c>
      <c r="BL1589" s="48" t="str">
        <f aca="false">IF(BC1589&lt;=0,"",IF(CF1589="Aussen","Aussenlager",IF(CF1589="-","Nicht im Lift",IF(BI1589&gt;=1,"Lift",IF(BI1589&lt;=0,"Aussenlager","teilweise")))))</f>
        <v>Lift</v>
      </c>
      <c r="BM1589" s="48" t="str">
        <f aca="false">IF(A1589="","",IF(BV1589=1,"Neu; ","")&amp;IF(AND(BV1589=0,BQ1589&lt;0),"negativer Bestand (Export "&amp;BQ1589&amp;"); ","")&amp;IF(J1589&lt;=0,"Kein Verbrauch; ","")&amp;IF(CQ1589&gt;0,"Lift "&amp;W1589&amp;" lt. Liftbericht (Fach "&amp;X1589&amp;" Stk); ",IF(CA1589=1,"Gebinde geschätzt ("&amp;T1589&amp;"); ",IF(BZ1589=1,"Lose – Tablare geschätzt; ","")))&amp;IF(H1589&gt;AV1589,"Überbestand "&amp;ROUND(H1589-AV1589,0)&amp;" Stk / CHF "&amp;ROUND((H1589-AV1589)*G1589,0)&amp;"; ","")&amp;IF(AND(CH1589=1,CI1589&lt;CJ1589),"MAX &lt; MB+LG; ","")&amp;IF(AND(CP1589&gt;0,CO1589*10&gt;CP1589),"zu hoch für Tablar; ","")&amp;IF(AND(BV1589=0,OR(CH1589=1,AA1589&lt;&gt;"",U1589&lt;&gt;"",V1589&lt;&gt;"",AB1589&lt;&gt;"")),"manuell übersteuert; ","")&amp;IF(AND(BZ1589=0,R1589=0),"Gebinde unbekannt / Stellmass fehlt; ","")&amp;IF(AND(BZ1589=0,N(V1589)&lt;=0,N(Q1589)&lt;=0),"Menge pro Gebinde fehlt (Ist = 1 Gebinde); ","")&amp;BU1589)</f>
        <v>Kein Verbrauch; Gebinde geschätzt (Mittel); Überbestand 1 Stk / CHF 78; Menge pro Gebinde fehlt (Ist = 1 Gebinde); nur im Artikelstamm (Bestand 23.06.2026)</v>
      </c>
      <c r="BN1589" s="48"/>
      <c r="BO1589" s="48"/>
      <c r="BP1589" s="55"/>
      <c r="BQ1589" s="50" t="n">
        <v>2</v>
      </c>
      <c r="BR1589" s="50" t="n">
        <v>0</v>
      </c>
      <c r="BS1589" s="49" t="n">
        <v>0</v>
      </c>
      <c r="BT1589" s="50" t="n">
        <v>0</v>
      </c>
      <c r="BU1589" s="48" t="s">
        <v>2584</v>
      </c>
      <c r="BV1589" s="53" t="n">
        <v>0</v>
      </c>
      <c r="BW1589" s="53" t="n">
        <v>1589</v>
      </c>
      <c r="BX1589" s="48" t="str">
        <f aca="false">IF(U1589&lt;&gt;"",UPPER(TRIM(U1589)),IF(CA1589=1,UPPER(VLOOKUP(T1589,Parameter!$I$27:$K$29,2,0)),IF(P1589="","LOSE",P1589)))</f>
        <v>S61</v>
      </c>
      <c r="BY1589" s="50" t="n">
        <f aca="false">IF(BX1589="LOSE",1,IF(N(V1589)&gt;0,V1589,IF(CA1589=1,MAX(1,N(VLOOKUP(T1589,Parameter!$I$27:$K$29,3,0)),H1589,N(N1589)),IF(N(Q1589)&gt;0,Q1589,MAX(1,H1589)))))</f>
        <v>4</v>
      </c>
      <c r="BZ1589" s="53" t="n">
        <f aca="false">IF(BX1589="LOSE",1,0)</f>
        <v>0</v>
      </c>
      <c r="CA1589" s="53" t="n">
        <f aca="false">IF(AND(U1589="",OR(P1589="",P1589="LOSE"),T1589&lt;&gt;"",N(S1589)&lt;=0,ISNUMBER(MATCH(T1589,Parameter!$I$27:$I$29,0))),1,0)</f>
        <v>1</v>
      </c>
      <c r="CB1589" s="53" t="n">
        <f aca="false">IF(CQ1589&gt;0,INDEX(Parameter!$H$5:$H$7,W1589)/INDEX(Parameter!$E$5:$E$7,W1589),IF(AND(BZ1589=0,N(IFERROR(VLOOKUP(BX1589,'Gebinde-Kategorie'!$A$5:$N$45,14,0),0))&gt;0),VLOOKUP(BX1589,'Gebinde-Kategorie'!$A$5:$N$45,14,0)*10+Parameter!$M$23,Parameter!$M$24))</f>
        <v>145</v>
      </c>
      <c r="CC1589" s="48" t="str">
        <f aca="false">IF(AND(Parameter!$B$19="Ja",E1589&lt;&gt;"",ISNUMBER(MATCH(E1589,Parameter!$I$35:$I$52,0))),VLOOKUP(E1589,Parameter!$I$35:$J$52,2,0),IFERROR(VLOOKUP(D1589,Parameter!$A$35:$C$64,2,0),"Nein"))</f>
        <v>2+3</v>
      </c>
      <c r="CD1589" s="52" t="n">
        <f aca="false">IF(BZ1589=0,0,IF(N(S1589)&gt;0,S1589,IFERROR(VLOOKUP(D1589,Parameter!$A$35:$C$64,3,0)+0,0)))</f>
        <v>0</v>
      </c>
      <c r="CE1589" s="48" t="n">
        <f aca="false">IF(AA1589&lt;&gt;"",AA1589,Z1589)</f>
        <v>2</v>
      </c>
      <c r="CF1589" s="48" t="str">
        <f aca="false">IF(OR(CE1589=1,CE1589=2,CE1589=3),IF(Parameter!$E$27="Ja","LIFT",IF(CE1589=1,"L1","L23")),IF(CE1589="Aussen","Aussen","-"))</f>
        <v>LIFT</v>
      </c>
      <c r="CG1589" s="59" t="n">
        <f aca="false">IF(N(AB1589)&gt;0,AB1589,0)</f>
        <v>0</v>
      </c>
      <c r="CH1589" s="53" t="n">
        <f aca="false">IF(ISNUMBER(AE1589),1,0)</f>
        <v>0</v>
      </c>
      <c r="CI1589" s="50" t="n">
        <f aca="false">N(AE1589)</f>
        <v>0</v>
      </c>
      <c r="CJ1589" s="50" t="n">
        <f aca="false">N(M1589)+N(N1589)</f>
        <v>1</v>
      </c>
      <c r="CK1589" s="50" t="n">
        <f aca="false">N(M1589)</f>
        <v>0</v>
      </c>
      <c r="CL1589" s="50" t="n">
        <f aca="false">N(N1589)</f>
        <v>1</v>
      </c>
      <c r="CM1589" s="50" t="n">
        <f aca="false">ROUNDUP(H1589/BY1589,0)</f>
        <v>1</v>
      </c>
      <c r="CN1589" s="50" t="n">
        <f aca="false">ROUNDUP(CI1589/BY1589,0)</f>
        <v>0</v>
      </c>
      <c r="CO1589" s="53" t="n">
        <f aca="false">IF(BZ1589=1,0,IFERROR(VLOOKUP(BX1589,'Gebinde-Kategorie'!$A$5:$N$45,5,0)+0,0))</f>
        <v>11</v>
      </c>
      <c r="CP1589" s="53" t="n">
        <f aca="false">IFERROR(IF(OR(CE1589=1,CE1589=2,CE1589=3),N(INDEX(Parameter!$I$5:$I$7,CE1589)),0),0)</f>
        <v>0</v>
      </c>
      <c r="CQ1589" s="52" t="n">
        <f aca="false">IF(AND(Parameter!$B$21="Ja",ISNUMBER(W1589),N(X1589)&gt;0),IFERROR(N(INDEX(Parameter!$L$5:$L$7,W1589))*INDEX(Parameter!$E$5:$E$7,W1589)*X1589/SUMIFS($X$7:$X$1843,$W$7:$W$1843,W1589),0),0)</f>
        <v>0</v>
      </c>
    </row>
    <row r="1590" customFormat="false" ht="15" hidden="false" customHeight="false" outlineLevel="0" collapsed="false">
      <c r="A1590" s="48" t="s">
        <v>2781</v>
      </c>
      <c r="B1590" s="48" t="s">
        <v>2782</v>
      </c>
      <c r="C1590" s="48" t="s">
        <v>173</v>
      </c>
      <c r="D1590" s="48" t="s">
        <v>182</v>
      </c>
      <c r="E1590" s="48"/>
      <c r="F1590" s="48"/>
      <c r="G1590" s="49" t="n">
        <v>78.35</v>
      </c>
      <c r="H1590" s="50" t="n">
        <f aca="false">MAX(0,IF(AND(Parameter!$B$21="Ja",ISNUMBER(Y1590)),Y1590,IF(Parameter!$B$20="Jahresanfang 2025 + Export",BR1590+BQ1590,BQ1590)))</f>
        <v>3</v>
      </c>
      <c r="I1590" s="50" t="n">
        <f aca="false">H1590*G1590</f>
        <v>235.05</v>
      </c>
      <c r="J1590" s="50" t="n">
        <f aca="false">BT1590*Parameter!$B$18</f>
        <v>0</v>
      </c>
      <c r="K1590" s="51"/>
      <c r="L1590" s="52"/>
      <c r="M1590" s="50" t="n">
        <v>0</v>
      </c>
      <c r="N1590" s="50" t="n">
        <v>1</v>
      </c>
      <c r="O1590" s="53" t="n">
        <v>0</v>
      </c>
      <c r="P1590" s="48" t="s">
        <v>177</v>
      </c>
      <c r="Q1590" s="50"/>
      <c r="R1590" s="53" t="n">
        <f aca="false">IF(BZ1590=1,0,IFERROR(VLOOKUP(BX1590,'Gebinde-Kategorie'!$A$5:$N$45,13,0)+0,0))</f>
        <v>12</v>
      </c>
      <c r="S1590" s="54"/>
      <c r="T1590" s="55" t="s">
        <v>188</v>
      </c>
      <c r="U1590" s="55"/>
      <c r="V1590" s="55"/>
      <c r="W1590" s="48"/>
      <c r="X1590" s="50"/>
      <c r="Y1590" s="50"/>
      <c r="Z1590" s="48" t="n">
        <f aca="false">IF(A1590="","",IF(AND(Parameter!$B$21="Ja",ISNUMBER(W1590)),W1590,IF(CC1590="2+3",IF(ISNUMBER(SEARCH("grosser Artikel",BU1590)),2,IFERROR(VLOOKUP(BX1590,Parameter!$F$35:$G$64,2,0),2)),IF(OR(CC1590="Nein",CC1590=""),"-",CC1590))))</f>
        <v>2</v>
      </c>
      <c r="AA1590" s="55"/>
      <c r="AB1590" s="56"/>
      <c r="AC1590" s="50" t="n">
        <f aca="false">AV1590</f>
        <v>1</v>
      </c>
      <c r="AD1590" s="50" t="n">
        <f aca="false">MAX(AV1590,H1590)</f>
        <v>3</v>
      </c>
      <c r="AE1590" s="57"/>
      <c r="AF1590" s="50" t="n">
        <f aca="false">IF(LEFT(Cockpit!$C$5,1)="A",H1590,IF(Parameter!$E$30="MAX-Bestand",IF(CH1590=1,CI1590,IF(LEFT(Cockpit!$C$5,1)="B",AL1590,MAX(AL1590,H1590))),ROUNDUP(AJ1590,0)))</f>
        <v>3</v>
      </c>
      <c r="AG1590" s="50" t="n">
        <f aca="false">IF(BZ1590=1,0,ROUNDUP(AF1590/BY1590,0))</f>
        <v>1</v>
      </c>
      <c r="AH1590" s="52" t="n">
        <f aca="false">IF(CQ1590&gt;0,CQ1590*MAX(1,AF1590/X1590),IF(BZ1590=1,IF(AF1590&lt;=0,0,CD1590*MAX(1,IF(H1590&gt;0,AF1590/H1590,1))),IF(R1590&gt;0,AG1590/R1590,0))/MAX(0.1,N(Parameter!$M$21)))</f>
        <v>0.0833333333333333</v>
      </c>
      <c r="AI1590" s="50" t="n">
        <f aca="false">AH1590*CB1590</f>
        <v>12.0833333333333</v>
      </c>
      <c r="AJ1590" s="51" t="n">
        <f aca="false">IF(LEFT(Cockpit!$C$5,1)="A",H1590,IF(CH1590=1,(CK1590+CI1590)/2,IF(LEFT(Cockpit!$C$5,1)="B",(CK1590+AL1590)/2,MAX((CK1590+AL1590)/2,H1590))))</f>
        <v>3</v>
      </c>
      <c r="AK1590" s="50" t="n">
        <f aca="false">AJ1590*G1590</f>
        <v>235.05</v>
      </c>
      <c r="AL1590" s="50" t="n">
        <f aca="false">ROUNDUP(CK1590+MAX(CL1590,2*(J1590/IF(CG1590&gt;0,CG1590,MAX(0.1,N(Cockpit!$C$6)))-CK1590)),0)</f>
        <v>1</v>
      </c>
      <c r="AM1590" s="51" t="n">
        <f aca="false">IF(AI1590&gt;0,J1590/AI1590,-1)</f>
        <v>0</v>
      </c>
      <c r="AN1590" s="51" t="n">
        <f aca="false">IF(AND(OR(CF1590="L1",CF1590="L23",CF1590="LIFT"),AI1590&gt;0),SUMIFS($AI$7:$AI$1843,$CF$7:$CF$1843,CF1590,$AM$7:$AM$1843,"&gt;"&amp;AM1590)+SUMIFS($AI$7:$AI$1843,$CF$7:$CF$1843,CF1590,$AM$7:$AM$1843,AM1590,$BW$7:$BW$1843,"&lt;="&amp;BW1590),"")</f>
        <v>30579.7841388837</v>
      </c>
      <c r="AO1590" s="58" t="n">
        <f aca="false">IF(AN1590="",0,MAX(0,MIN(1,(IF(CF1590="L1",Parameter!$H$5,IF(CF1590="L23",Parameter!$H$6+Parameter!$H$7,Parameter!$H$5+Parameter!$H$6+Parameter!$H$7))-(AN1590-AI1590))/AI1590)))</f>
        <v>1</v>
      </c>
      <c r="AP1590" s="50" t="n">
        <f aca="false">IF(LEFT(Cockpit!$I$5,1)="A",H1590,IF(Parameter!$E$30="MAX-Bestand",IF(CH1590=1,CI1590,IF(LEFT(Cockpit!$I$5,1)="B",AV1590,MAX(AV1590,H1590))),ROUNDUP(AT1590,0)))</f>
        <v>3</v>
      </c>
      <c r="AQ1590" s="50" t="n">
        <f aca="false">IF(BZ1590=1,0,ROUNDUP(AP1590/BY1590,0))</f>
        <v>1</v>
      </c>
      <c r="AR1590" s="52" t="n">
        <f aca="false">IF(CQ1590&gt;0,CQ1590*MAX(1,AP1590/X1590),IF(BZ1590=1,IF(AP1590&lt;=0,0,CD1590*MAX(1,IF(H1590&gt;0,AP1590/H1590,1))),IF(R1590&gt;0,AQ1590/R1590,0))/MAX(0.1,N(Parameter!$M$21)))</f>
        <v>0.0833333333333333</v>
      </c>
      <c r="AS1590" s="50" t="n">
        <f aca="false">AR1590*CB1590</f>
        <v>12.0833333333333</v>
      </c>
      <c r="AT1590" s="51" t="n">
        <f aca="false">IF(LEFT(Cockpit!$I$5,1)="A",H1590,IF(CH1590=1,(CK1590+CI1590)/2,IF(LEFT(Cockpit!$I$5,1)="B",(CK1590+AV1590)/2,MAX((CK1590+AV1590)/2,H1590))))</f>
        <v>3</v>
      </c>
      <c r="AU1590" s="50" t="n">
        <f aca="false">AT1590*G1590</f>
        <v>235.05</v>
      </c>
      <c r="AV1590" s="50" t="n">
        <f aca="false">ROUNDUP(CK1590+MAX(CL1590,2*(J1590/IF(CG1590&gt;0,CG1590,MAX(0.1,N(Cockpit!$I$6)))-CK1590)),0)</f>
        <v>1</v>
      </c>
      <c r="AW1590" s="51" t="n">
        <f aca="false">IF(AS1590&gt;0,J1590/AS1590,-1)</f>
        <v>0</v>
      </c>
      <c r="AX1590" s="51" t="n">
        <f aca="false">IF(AND(OR(CF1590="L1",CF1590="L23",CF1590="LIFT"),AS1590&gt;0),SUMIFS($AS$7:$AS$1843,$CF$7:$CF$1843,CF1590,$AW$7:$AW$1843,"&gt;"&amp;AW1590)+SUMIFS($AS$7:$AS$1843,$CF$7:$CF$1843,CF1590,$AW$7:$AW$1843,AW1590,$BW$7:$BW$1843,"&lt;="&amp;BW1590),"")</f>
        <v>36899.640655719</v>
      </c>
      <c r="AY1590" s="58" t="n">
        <f aca="false">IF(AX1590="",0,MAX(0,MIN(1,(IF(CF1590="L1",Parameter!$H$5,IF(CF1590="L23",Parameter!$H$6+Parameter!$H$7,Parameter!$H$5+Parameter!$H$6+Parameter!$H$7))-(AX1590-AS1590))/AS1590)))</f>
        <v>0</v>
      </c>
      <c r="AZ1590" s="50" t="n">
        <f aca="false">IF(LEFT(Cockpit!$O$5,1)="A",H1590,IF(Parameter!$E$30="MAX-Bestand",IF(CH1590=1,CI1590,IF(LEFT(Cockpit!$O$5,1)="B",BF1590,MAX(BF1590,H1590))),ROUNDUP(BD1590,0)))</f>
        <v>1</v>
      </c>
      <c r="BA1590" s="50" t="n">
        <f aca="false">IF(BZ1590=1,0,ROUNDUP(AZ1590/BY1590,0))</f>
        <v>1</v>
      </c>
      <c r="BB1590" s="52" t="n">
        <f aca="false">IF(CQ1590&gt;0,CQ1590*MAX(1,AZ1590/X1590),IF(BZ1590=1,IF(AZ1590&lt;=0,0,CD1590*MAX(1,IF(H1590&gt;0,AZ1590/H1590,1))),IF(R1590&gt;0,BA1590/R1590,0))/MAX(0.1,N(Parameter!$M$21)))</f>
        <v>0.0833333333333333</v>
      </c>
      <c r="BC1590" s="50" t="n">
        <f aca="false">BB1590*CB1590</f>
        <v>12.0833333333333</v>
      </c>
      <c r="BD1590" s="51" t="n">
        <f aca="false">IF(LEFT(Cockpit!$O$5,1)="A",H1590,IF(CH1590=1,(CK1590+CI1590)/2,IF(LEFT(Cockpit!$O$5,1)="B",(CK1590+BF1590)/2,MAX((CK1590+BF1590)/2,H1590))))</f>
        <v>0.5</v>
      </c>
      <c r="BE1590" s="50" t="n">
        <f aca="false">BD1590*G1590</f>
        <v>39.175</v>
      </c>
      <c r="BF1590" s="50" t="n">
        <f aca="false">ROUNDUP(CK1590+MAX(CL1590,2*(J1590/IF(CG1590&gt;0,CG1590,MAX(0.1,N(Cockpit!$O$6)))-CK1590)),0)</f>
        <v>1</v>
      </c>
      <c r="BG1590" s="51" t="n">
        <f aca="false">IF(BC1590&gt;0,J1590/BC1590,-1)</f>
        <v>0</v>
      </c>
      <c r="BH1590" s="51" t="n">
        <f aca="false">IF(AND(OR(CF1590="L1",CF1590="L23",CF1590="LIFT"),BC1590&gt;0),SUMIFS($BC$7:$BC$1843,$CF$7:$CF$1843,CF1590,$BG$7:$BG$1843,"&gt;"&amp;BG1590)+SUMIFS($BC$7:$BC$1843,$CF$7:$CF$1843,CF1590,$BG$7:$BG$1843,BG1590,$BW$7:$BW$1843,"&lt;="&amp;BW1590),"")</f>
        <v>30809.0819312514</v>
      </c>
      <c r="BI1590" s="58" t="n">
        <f aca="false">IF(BH1590="",0,MAX(0,MIN(1,(IF(CF1590="L1",Parameter!$H$5,IF(CF1590="L23",Parameter!$H$6+Parameter!$H$7,Parameter!$H$5+Parameter!$H$6+Parameter!$H$7))-(BH1590-BC1590))/BC1590)))</f>
        <v>1</v>
      </c>
      <c r="BJ1590" s="48" t="str">
        <f aca="false">IF(AI1590&lt;=0,"",IF(CF1590="Aussen","Aussenlager",IF(CF1590="-","Nicht im Lift",IF(AO1590&gt;=1,"Lift",IF(AO1590&lt;=0,"Aussenlager","teilweise")))))</f>
        <v>Lift</v>
      </c>
      <c r="BK1590" s="48" t="str">
        <f aca="false">IF(AS1590&lt;=0,"",IF(CF1590="Aussen","Aussenlager",IF(CF1590="-","Nicht im Lift",IF(AY1590&gt;=1,"Lift",IF(AY1590&lt;=0,"Aussenlager","teilweise")))))</f>
        <v>Aussenlager</v>
      </c>
      <c r="BL1590" s="48" t="str">
        <f aca="false">IF(BC1590&lt;=0,"",IF(CF1590="Aussen","Aussenlager",IF(CF1590="-","Nicht im Lift",IF(BI1590&gt;=1,"Lift",IF(BI1590&lt;=0,"Aussenlager","teilweise")))))</f>
        <v>Lift</v>
      </c>
      <c r="BM1590" s="48" t="str">
        <f aca="false">IF(A1590="","",IF(BV1590=1,"Neu; ","")&amp;IF(AND(BV1590=0,BQ1590&lt;0),"negativer Bestand (Export "&amp;BQ1590&amp;"); ","")&amp;IF(J1590&lt;=0,"Kein Verbrauch; ","")&amp;IF(CQ1590&gt;0,"Lift "&amp;W1590&amp;" lt. Liftbericht (Fach "&amp;X1590&amp;" Stk); ",IF(CA1590=1,"Gebinde geschätzt ("&amp;T1590&amp;"); ",IF(BZ1590=1,"Lose – Tablare geschätzt; ","")))&amp;IF(H1590&gt;AV1590,"Überbestand "&amp;ROUND(H1590-AV1590,0)&amp;" Stk / CHF "&amp;ROUND((H1590-AV1590)*G1590,0)&amp;"; ","")&amp;IF(AND(CH1590=1,CI1590&lt;CJ1590),"MAX &lt; MB+LG; ","")&amp;IF(AND(CP1590&gt;0,CO1590*10&gt;CP1590),"zu hoch für Tablar; ","")&amp;IF(AND(BV1590=0,OR(CH1590=1,AA1590&lt;&gt;"",U1590&lt;&gt;"",V1590&lt;&gt;"",AB1590&lt;&gt;"")),"manuell übersteuert; ","")&amp;IF(AND(BZ1590=0,R1590=0),"Gebinde unbekannt / Stellmass fehlt; ","")&amp;IF(AND(BZ1590=0,N(V1590)&lt;=0,N(Q1590)&lt;=0),"Menge pro Gebinde fehlt (Ist = 1 Gebinde); ","")&amp;BU1590)</f>
        <v>Kein Verbrauch; Gebinde geschätzt (Mittel); Überbestand 2 Stk / CHF 157; Menge pro Gebinde fehlt (Ist = 1 Gebinde); nur im Artikelstamm (Bestand 23.06.2026)</v>
      </c>
      <c r="BN1590" s="48"/>
      <c r="BO1590" s="48"/>
      <c r="BP1590" s="55"/>
      <c r="BQ1590" s="50" t="n">
        <v>3</v>
      </c>
      <c r="BR1590" s="50" t="n">
        <v>0</v>
      </c>
      <c r="BS1590" s="49" t="n">
        <v>0</v>
      </c>
      <c r="BT1590" s="50" t="n">
        <v>0</v>
      </c>
      <c r="BU1590" s="48" t="s">
        <v>2584</v>
      </c>
      <c r="BV1590" s="53" t="n">
        <v>0</v>
      </c>
      <c r="BW1590" s="53" t="n">
        <v>1590</v>
      </c>
      <c r="BX1590" s="48" t="str">
        <f aca="false">IF(U1590&lt;&gt;"",UPPER(TRIM(U1590)),IF(CA1590=1,UPPER(VLOOKUP(T1590,Parameter!$I$27:$K$29,2,0)),IF(P1590="","LOSE",P1590)))</f>
        <v>S61</v>
      </c>
      <c r="BY1590" s="50" t="n">
        <f aca="false">IF(BX1590="LOSE",1,IF(N(V1590)&gt;0,V1590,IF(CA1590=1,MAX(1,N(VLOOKUP(T1590,Parameter!$I$27:$K$29,3,0)),H1590,N(N1590)),IF(N(Q1590)&gt;0,Q1590,MAX(1,H1590)))))</f>
        <v>4</v>
      </c>
      <c r="BZ1590" s="53" t="n">
        <f aca="false">IF(BX1590="LOSE",1,0)</f>
        <v>0</v>
      </c>
      <c r="CA1590" s="53" t="n">
        <f aca="false">IF(AND(U1590="",OR(P1590="",P1590="LOSE"),T1590&lt;&gt;"",N(S1590)&lt;=0,ISNUMBER(MATCH(T1590,Parameter!$I$27:$I$29,0))),1,0)</f>
        <v>1</v>
      </c>
      <c r="CB1590" s="53" t="n">
        <f aca="false">IF(CQ1590&gt;0,INDEX(Parameter!$H$5:$H$7,W1590)/INDEX(Parameter!$E$5:$E$7,W1590),IF(AND(BZ1590=0,N(IFERROR(VLOOKUP(BX1590,'Gebinde-Kategorie'!$A$5:$N$45,14,0),0))&gt;0),VLOOKUP(BX1590,'Gebinde-Kategorie'!$A$5:$N$45,14,0)*10+Parameter!$M$23,Parameter!$M$24))</f>
        <v>145</v>
      </c>
      <c r="CC1590" s="48" t="str">
        <f aca="false">IF(AND(Parameter!$B$19="Ja",E1590&lt;&gt;"",ISNUMBER(MATCH(E1590,Parameter!$I$35:$I$52,0))),VLOOKUP(E1590,Parameter!$I$35:$J$52,2,0),IFERROR(VLOOKUP(D1590,Parameter!$A$35:$C$64,2,0),"Nein"))</f>
        <v>2+3</v>
      </c>
      <c r="CD1590" s="52" t="n">
        <f aca="false">IF(BZ1590=0,0,IF(N(S1590)&gt;0,S1590,IFERROR(VLOOKUP(D1590,Parameter!$A$35:$C$64,3,0)+0,0)))</f>
        <v>0</v>
      </c>
      <c r="CE1590" s="48" t="n">
        <f aca="false">IF(AA1590&lt;&gt;"",AA1590,Z1590)</f>
        <v>2</v>
      </c>
      <c r="CF1590" s="48" t="str">
        <f aca="false">IF(OR(CE1590=1,CE1590=2,CE1590=3),IF(Parameter!$E$27="Ja","LIFT",IF(CE1590=1,"L1","L23")),IF(CE1590="Aussen","Aussen","-"))</f>
        <v>LIFT</v>
      </c>
      <c r="CG1590" s="59" t="n">
        <f aca="false">IF(N(AB1590)&gt;0,AB1590,0)</f>
        <v>0</v>
      </c>
      <c r="CH1590" s="53" t="n">
        <f aca="false">IF(ISNUMBER(AE1590),1,0)</f>
        <v>0</v>
      </c>
      <c r="CI1590" s="50" t="n">
        <f aca="false">N(AE1590)</f>
        <v>0</v>
      </c>
      <c r="CJ1590" s="50" t="n">
        <f aca="false">N(M1590)+N(N1590)</f>
        <v>1</v>
      </c>
      <c r="CK1590" s="50" t="n">
        <f aca="false">N(M1590)</f>
        <v>0</v>
      </c>
      <c r="CL1590" s="50" t="n">
        <f aca="false">N(N1590)</f>
        <v>1</v>
      </c>
      <c r="CM1590" s="50" t="n">
        <f aca="false">ROUNDUP(H1590/BY1590,0)</f>
        <v>1</v>
      </c>
      <c r="CN1590" s="50" t="n">
        <f aca="false">ROUNDUP(CI1590/BY1590,0)</f>
        <v>0</v>
      </c>
      <c r="CO1590" s="53" t="n">
        <f aca="false">IF(BZ1590=1,0,IFERROR(VLOOKUP(BX1590,'Gebinde-Kategorie'!$A$5:$N$45,5,0)+0,0))</f>
        <v>11</v>
      </c>
      <c r="CP1590" s="53" t="n">
        <f aca="false">IFERROR(IF(OR(CE1590=1,CE1590=2,CE1590=3),N(INDEX(Parameter!$I$5:$I$7,CE1590)),0),0)</f>
        <v>0</v>
      </c>
      <c r="CQ1590" s="52" t="n">
        <f aca="false">IF(AND(Parameter!$B$21="Ja",ISNUMBER(W1590),N(X1590)&gt;0),IFERROR(N(INDEX(Parameter!$L$5:$L$7,W1590))*INDEX(Parameter!$E$5:$E$7,W1590)*X1590/SUMIFS($X$7:$X$1843,$W$7:$W$1843,W1590),0),0)</f>
        <v>0</v>
      </c>
    </row>
    <row r="1591" customFormat="false" ht="15" hidden="false" customHeight="false" outlineLevel="0" collapsed="false">
      <c r="A1591" s="48" t="s">
        <v>2783</v>
      </c>
      <c r="B1591" s="48" t="s">
        <v>2784</v>
      </c>
      <c r="C1591" s="48" t="s">
        <v>173</v>
      </c>
      <c r="D1591" s="48" t="s">
        <v>182</v>
      </c>
      <c r="E1591" s="48"/>
      <c r="F1591" s="48"/>
      <c r="G1591" s="49" t="n">
        <v>78.35</v>
      </c>
      <c r="H1591" s="50" t="n">
        <f aca="false">MAX(0,IF(AND(Parameter!$B$21="Ja",ISNUMBER(Y1591)),Y1591,IF(Parameter!$B$20="Jahresanfang 2025 + Export",BR1591+BQ1591,BQ1591)))</f>
        <v>5</v>
      </c>
      <c r="I1591" s="50" t="n">
        <f aca="false">H1591*G1591</f>
        <v>391.75</v>
      </c>
      <c r="J1591" s="50" t="n">
        <f aca="false">BT1591*Parameter!$B$18</f>
        <v>0</v>
      </c>
      <c r="K1591" s="51"/>
      <c r="L1591" s="52"/>
      <c r="M1591" s="50" t="n">
        <v>0</v>
      </c>
      <c r="N1591" s="50" t="n">
        <v>1</v>
      </c>
      <c r="O1591" s="53" t="n">
        <v>0</v>
      </c>
      <c r="P1591" s="48" t="s">
        <v>177</v>
      </c>
      <c r="Q1591" s="50"/>
      <c r="R1591" s="53" t="n">
        <f aca="false">IF(BZ1591=1,0,IFERROR(VLOOKUP(BX1591,'Gebinde-Kategorie'!$A$5:$N$45,13,0)+0,0))</f>
        <v>12</v>
      </c>
      <c r="S1591" s="54"/>
      <c r="T1591" s="55" t="s">
        <v>188</v>
      </c>
      <c r="U1591" s="55"/>
      <c r="V1591" s="55"/>
      <c r="W1591" s="48"/>
      <c r="X1591" s="50"/>
      <c r="Y1591" s="50"/>
      <c r="Z1591" s="48" t="n">
        <f aca="false">IF(A1591="","",IF(AND(Parameter!$B$21="Ja",ISNUMBER(W1591)),W1591,IF(CC1591="2+3",IF(ISNUMBER(SEARCH("grosser Artikel",BU1591)),2,IFERROR(VLOOKUP(BX1591,Parameter!$F$35:$G$64,2,0),2)),IF(OR(CC1591="Nein",CC1591=""),"-",CC1591))))</f>
        <v>2</v>
      </c>
      <c r="AA1591" s="55"/>
      <c r="AB1591" s="56"/>
      <c r="AC1591" s="50" t="n">
        <f aca="false">AV1591</f>
        <v>1</v>
      </c>
      <c r="AD1591" s="50" t="n">
        <f aca="false">MAX(AV1591,H1591)</f>
        <v>5</v>
      </c>
      <c r="AE1591" s="57"/>
      <c r="AF1591" s="50" t="n">
        <f aca="false">IF(LEFT(Cockpit!$C$5,1)="A",H1591,IF(Parameter!$E$30="MAX-Bestand",IF(CH1591=1,CI1591,IF(LEFT(Cockpit!$C$5,1)="B",AL1591,MAX(AL1591,H1591))),ROUNDUP(AJ1591,0)))</f>
        <v>5</v>
      </c>
      <c r="AG1591" s="50" t="n">
        <f aca="false">IF(BZ1591=1,0,ROUNDUP(AF1591/BY1591,0))</f>
        <v>1</v>
      </c>
      <c r="AH1591" s="52" t="n">
        <f aca="false">IF(CQ1591&gt;0,CQ1591*MAX(1,AF1591/X1591),IF(BZ1591=1,IF(AF1591&lt;=0,0,CD1591*MAX(1,IF(H1591&gt;0,AF1591/H1591,1))),IF(R1591&gt;0,AG1591/R1591,0))/MAX(0.1,N(Parameter!$M$21)))</f>
        <v>0.0833333333333333</v>
      </c>
      <c r="AI1591" s="50" t="n">
        <f aca="false">AH1591*CB1591</f>
        <v>12.0833333333333</v>
      </c>
      <c r="AJ1591" s="51" t="n">
        <f aca="false">IF(LEFT(Cockpit!$C$5,1)="A",H1591,IF(CH1591=1,(CK1591+CI1591)/2,IF(LEFT(Cockpit!$C$5,1)="B",(CK1591+AL1591)/2,MAX((CK1591+AL1591)/2,H1591))))</f>
        <v>5</v>
      </c>
      <c r="AK1591" s="50" t="n">
        <f aca="false">AJ1591*G1591</f>
        <v>391.75</v>
      </c>
      <c r="AL1591" s="50" t="n">
        <f aca="false">ROUNDUP(CK1591+MAX(CL1591,2*(J1591/IF(CG1591&gt;0,CG1591,MAX(0.1,N(Cockpit!$C$6)))-CK1591)),0)</f>
        <v>1</v>
      </c>
      <c r="AM1591" s="51" t="n">
        <f aca="false">IF(AI1591&gt;0,J1591/AI1591,-1)</f>
        <v>0</v>
      </c>
      <c r="AN1591" s="51" t="n">
        <f aca="false">IF(AND(OR(CF1591="L1",CF1591="L23",CF1591="LIFT"),AI1591&gt;0),SUMIFS($AI$7:$AI$1843,$CF$7:$CF$1843,CF1591,$AM$7:$AM$1843,"&gt;"&amp;AM1591)+SUMIFS($AI$7:$AI$1843,$CF$7:$CF$1843,CF1591,$AM$7:$AM$1843,AM1591,$BW$7:$BW$1843,"&lt;="&amp;BW1591),"")</f>
        <v>30591.867472217</v>
      </c>
      <c r="AO1591" s="58" t="n">
        <f aca="false">IF(AN1591="",0,MAX(0,MIN(1,(IF(CF1591="L1",Parameter!$H$5,IF(CF1591="L23",Parameter!$H$6+Parameter!$H$7,Parameter!$H$5+Parameter!$H$6+Parameter!$H$7))-(AN1591-AI1591))/AI1591)))</f>
        <v>1</v>
      </c>
      <c r="AP1591" s="50" t="n">
        <f aca="false">IF(LEFT(Cockpit!$I$5,1)="A",H1591,IF(Parameter!$E$30="MAX-Bestand",IF(CH1591=1,CI1591,IF(LEFT(Cockpit!$I$5,1)="B",AV1591,MAX(AV1591,H1591))),ROUNDUP(AT1591,0)))</f>
        <v>5</v>
      </c>
      <c r="AQ1591" s="50" t="n">
        <f aca="false">IF(BZ1591=1,0,ROUNDUP(AP1591/BY1591,0))</f>
        <v>1</v>
      </c>
      <c r="AR1591" s="52" t="n">
        <f aca="false">IF(CQ1591&gt;0,CQ1591*MAX(1,AP1591/X1591),IF(BZ1591=1,IF(AP1591&lt;=0,0,CD1591*MAX(1,IF(H1591&gt;0,AP1591/H1591,1))),IF(R1591&gt;0,AQ1591/R1591,0))/MAX(0.1,N(Parameter!$M$21)))</f>
        <v>0.0833333333333333</v>
      </c>
      <c r="AS1591" s="50" t="n">
        <f aca="false">AR1591*CB1591</f>
        <v>12.0833333333333</v>
      </c>
      <c r="AT1591" s="51" t="n">
        <f aca="false">IF(LEFT(Cockpit!$I$5,1)="A",H1591,IF(CH1591=1,(CK1591+CI1591)/2,IF(LEFT(Cockpit!$I$5,1)="B",(CK1591+AV1591)/2,MAX((CK1591+AV1591)/2,H1591))))</f>
        <v>5</v>
      </c>
      <c r="AU1591" s="50" t="n">
        <f aca="false">AT1591*G1591</f>
        <v>391.75</v>
      </c>
      <c r="AV1591" s="50" t="n">
        <f aca="false">ROUNDUP(CK1591+MAX(CL1591,2*(J1591/IF(CG1591&gt;0,CG1591,MAX(0.1,N(Cockpit!$I$6)))-CK1591)),0)</f>
        <v>1</v>
      </c>
      <c r="AW1591" s="51" t="n">
        <f aca="false">IF(AS1591&gt;0,J1591/AS1591,-1)</f>
        <v>0</v>
      </c>
      <c r="AX1591" s="51" t="n">
        <f aca="false">IF(AND(OR(CF1591="L1",CF1591="L23",CF1591="LIFT"),AS1591&gt;0),SUMIFS($AS$7:$AS$1843,$CF$7:$CF$1843,CF1591,$AW$7:$AW$1843,"&gt;"&amp;AW1591)+SUMIFS($AS$7:$AS$1843,$CF$7:$CF$1843,CF1591,$AW$7:$AW$1843,AW1591,$BW$7:$BW$1843,"&lt;="&amp;BW1591),"")</f>
        <v>36911.7239890524</v>
      </c>
      <c r="AY1591" s="58" t="n">
        <f aca="false">IF(AX1591="",0,MAX(0,MIN(1,(IF(CF1591="L1",Parameter!$H$5,IF(CF1591="L23",Parameter!$H$6+Parameter!$H$7,Parameter!$H$5+Parameter!$H$6+Parameter!$H$7))-(AX1591-AS1591))/AS1591)))</f>
        <v>0</v>
      </c>
      <c r="AZ1591" s="50" t="n">
        <f aca="false">IF(LEFT(Cockpit!$O$5,1)="A",H1591,IF(Parameter!$E$30="MAX-Bestand",IF(CH1591=1,CI1591,IF(LEFT(Cockpit!$O$5,1)="B",BF1591,MAX(BF1591,H1591))),ROUNDUP(BD1591,0)))</f>
        <v>1</v>
      </c>
      <c r="BA1591" s="50" t="n">
        <f aca="false">IF(BZ1591=1,0,ROUNDUP(AZ1591/BY1591,0))</f>
        <v>1</v>
      </c>
      <c r="BB1591" s="52" t="n">
        <f aca="false">IF(CQ1591&gt;0,CQ1591*MAX(1,AZ1591/X1591),IF(BZ1591=1,IF(AZ1591&lt;=0,0,CD1591*MAX(1,IF(H1591&gt;0,AZ1591/H1591,1))),IF(R1591&gt;0,BA1591/R1591,0))/MAX(0.1,N(Parameter!$M$21)))</f>
        <v>0.0833333333333333</v>
      </c>
      <c r="BC1591" s="50" t="n">
        <f aca="false">BB1591*CB1591</f>
        <v>12.0833333333333</v>
      </c>
      <c r="BD1591" s="51" t="n">
        <f aca="false">IF(LEFT(Cockpit!$O$5,1)="A",H1591,IF(CH1591=1,(CK1591+CI1591)/2,IF(LEFT(Cockpit!$O$5,1)="B",(CK1591+BF1591)/2,MAX((CK1591+BF1591)/2,H1591))))</f>
        <v>0.5</v>
      </c>
      <c r="BE1591" s="50" t="n">
        <f aca="false">BD1591*G1591</f>
        <v>39.175</v>
      </c>
      <c r="BF1591" s="50" t="n">
        <f aca="false">ROUNDUP(CK1591+MAX(CL1591,2*(J1591/IF(CG1591&gt;0,CG1591,MAX(0.1,N(Cockpit!$O$6)))-CK1591)),0)</f>
        <v>1</v>
      </c>
      <c r="BG1591" s="51" t="n">
        <f aca="false">IF(BC1591&gt;0,J1591/BC1591,-1)</f>
        <v>0</v>
      </c>
      <c r="BH1591" s="51" t="n">
        <f aca="false">IF(AND(OR(CF1591="L1",CF1591="L23",CF1591="LIFT"),BC1591&gt;0),SUMIFS($BC$7:$BC$1843,$CF$7:$CF$1843,CF1591,$BG$7:$BG$1843,"&gt;"&amp;BG1591)+SUMIFS($BC$7:$BC$1843,$CF$7:$CF$1843,CF1591,$BG$7:$BG$1843,BG1591,$BW$7:$BW$1843,"&lt;="&amp;BW1591),"")</f>
        <v>30821.1652645848</v>
      </c>
      <c r="BI1591" s="58" t="n">
        <f aca="false">IF(BH1591="",0,MAX(0,MIN(1,(IF(CF1591="L1",Parameter!$H$5,IF(CF1591="L23",Parameter!$H$6+Parameter!$H$7,Parameter!$H$5+Parameter!$H$6+Parameter!$H$7))-(BH1591-BC1591))/BC1591)))</f>
        <v>1</v>
      </c>
      <c r="BJ1591" s="48" t="str">
        <f aca="false">IF(AI1591&lt;=0,"",IF(CF1591="Aussen","Aussenlager",IF(CF1591="-","Nicht im Lift",IF(AO1591&gt;=1,"Lift",IF(AO1591&lt;=0,"Aussenlager","teilweise")))))</f>
        <v>Lift</v>
      </c>
      <c r="BK1591" s="48" t="str">
        <f aca="false">IF(AS1591&lt;=0,"",IF(CF1591="Aussen","Aussenlager",IF(CF1591="-","Nicht im Lift",IF(AY1591&gt;=1,"Lift",IF(AY1591&lt;=0,"Aussenlager","teilweise")))))</f>
        <v>Aussenlager</v>
      </c>
      <c r="BL1591" s="48" t="str">
        <f aca="false">IF(BC1591&lt;=0,"",IF(CF1591="Aussen","Aussenlager",IF(CF1591="-","Nicht im Lift",IF(BI1591&gt;=1,"Lift",IF(BI1591&lt;=0,"Aussenlager","teilweise")))))</f>
        <v>Lift</v>
      </c>
      <c r="BM1591" s="48" t="str">
        <f aca="false">IF(A1591="","",IF(BV1591=1,"Neu; ","")&amp;IF(AND(BV1591=0,BQ1591&lt;0),"negativer Bestand (Export "&amp;BQ1591&amp;"); ","")&amp;IF(J1591&lt;=0,"Kein Verbrauch; ","")&amp;IF(CQ1591&gt;0,"Lift "&amp;W1591&amp;" lt. Liftbericht (Fach "&amp;X1591&amp;" Stk); ",IF(CA1591=1,"Gebinde geschätzt ("&amp;T1591&amp;"); ",IF(BZ1591=1,"Lose – Tablare geschätzt; ","")))&amp;IF(H1591&gt;AV1591,"Überbestand "&amp;ROUND(H1591-AV1591,0)&amp;" Stk / CHF "&amp;ROUND((H1591-AV1591)*G1591,0)&amp;"; ","")&amp;IF(AND(CH1591=1,CI1591&lt;CJ1591),"MAX &lt; MB+LG; ","")&amp;IF(AND(CP1591&gt;0,CO1591*10&gt;CP1591),"zu hoch für Tablar; ","")&amp;IF(AND(BV1591=0,OR(CH1591=1,AA1591&lt;&gt;"",U1591&lt;&gt;"",V1591&lt;&gt;"",AB1591&lt;&gt;"")),"manuell übersteuert; ","")&amp;IF(AND(BZ1591=0,R1591=0),"Gebinde unbekannt / Stellmass fehlt; ","")&amp;IF(AND(BZ1591=0,N(V1591)&lt;=0,N(Q1591)&lt;=0),"Menge pro Gebinde fehlt (Ist = 1 Gebinde); ","")&amp;BU1591)</f>
        <v>Kein Verbrauch; Gebinde geschätzt (Mittel); Überbestand 4 Stk / CHF 313; Menge pro Gebinde fehlt (Ist = 1 Gebinde); nur im Artikelstamm (Bestand 23.06.2026)</v>
      </c>
      <c r="BN1591" s="48"/>
      <c r="BO1591" s="48"/>
      <c r="BP1591" s="55"/>
      <c r="BQ1591" s="50" t="n">
        <v>5</v>
      </c>
      <c r="BR1591" s="50" t="n">
        <v>0</v>
      </c>
      <c r="BS1591" s="49" t="n">
        <v>0</v>
      </c>
      <c r="BT1591" s="50" t="n">
        <v>0</v>
      </c>
      <c r="BU1591" s="48" t="s">
        <v>2584</v>
      </c>
      <c r="BV1591" s="53" t="n">
        <v>0</v>
      </c>
      <c r="BW1591" s="53" t="n">
        <v>1591</v>
      </c>
      <c r="BX1591" s="48" t="str">
        <f aca="false">IF(U1591&lt;&gt;"",UPPER(TRIM(U1591)),IF(CA1591=1,UPPER(VLOOKUP(T1591,Parameter!$I$27:$K$29,2,0)),IF(P1591="","LOSE",P1591)))</f>
        <v>S61</v>
      </c>
      <c r="BY1591" s="50" t="n">
        <f aca="false">IF(BX1591="LOSE",1,IF(N(V1591)&gt;0,V1591,IF(CA1591=1,MAX(1,N(VLOOKUP(T1591,Parameter!$I$27:$K$29,3,0)),H1591,N(N1591)),IF(N(Q1591)&gt;0,Q1591,MAX(1,H1591)))))</f>
        <v>5</v>
      </c>
      <c r="BZ1591" s="53" t="n">
        <f aca="false">IF(BX1591="LOSE",1,0)</f>
        <v>0</v>
      </c>
      <c r="CA1591" s="53" t="n">
        <f aca="false">IF(AND(U1591="",OR(P1591="",P1591="LOSE"),T1591&lt;&gt;"",N(S1591)&lt;=0,ISNUMBER(MATCH(T1591,Parameter!$I$27:$I$29,0))),1,0)</f>
        <v>1</v>
      </c>
      <c r="CB1591" s="53" t="n">
        <f aca="false">IF(CQ1591&gt;0,INDEX(Parameter!$H$5:$H$7,W1591)/INDEX(Parameter!$E$5:$E$7,W1591),IF(AND(BZ1591=0,N(IFERROR(VLOOKUP(BX1591,'Gebinde-Kategorie'!$A$5:$N$45,14,0),0))&gt;0),VLOOKUP(BX1591,'Gebinde-Kategorie'!$A$5:$N$45,14,0)*10+Parameter!$M$23,Parameter!$M$24))</f>
        <v>145</v>
      </c>
      <c r="CC1591" s="48" t="str">
        <f aca="false">IF(AND(Parameter!$B$19="Ja",E1591&lt;&gt;"",ISNUMBER(MATCH(E1591,Parameter!$I$35:$I$52,0))),VLOOKUP(E1591,Parameter!$I$35:$J$52,2,0),IFERROR(VLOOKUP(D1591,Parameter!$A$35:$C$64,2,0),"Nein"))</f>
        <v>2+3</v>
      </c>
      <c r="CD1591" s="52" t="n">
        <f aca="false">IF(BZ1591=0,0,IF(N(S1591)&gt;0,S1591,IFERROR(VLOOKUP(D1591,Parameter!$A$35:$C$64,3,0)+0,0)))</f>
        <v>0</v>
      </c>
      <c r="CE1591" s="48" t="n">
        <f aca="false">IF(AA1591&lt;&gt;"",AA1591,Z1591)</f>
        <v>2</v>
      </c>
      <c r="CF1591" s="48" t="str">
        <f aca="false">IF(OR(CE1591=1,CE1591=2,CE1591=3),IF(Parameter!$E$27="Ja","LIFT",IF(CE1591=1,"L1","L23")),IF(CE1591="Aussen","Aussen","-"))</f>
        <v>LIFT</v>
      </c>
      <c r="CG1591" s="59" t="n">
        <f aca="false">IF(N(AB1591)&gt;0,AB1591,0)</f>
        <v>0</v>
      </c>
      <c r="CH1591" s="53" t="n">
        <f aca="false">IF(ISNUMBER(AE1591),1,0)</f>
        <v>0</v>
      </c>
      <c r="CI1591" s="50" t="n">
        <f aca="false">N(AE1591)</f>
        <v>0</v>
      </c>
      <c r="CJ1591" s="50" t="n">
        <f aca="false">N(M1591)+N(N1591)</f>
        <v>1</v>
      </c>
      <c r="CK1591" s="50" t="n">
        <f aca="false">N(M1591)</f>
        <v>0</v>
      </c>
      <c r="CL1591" s="50" t="n">
        <f aca="false">N(N1591)</f>
        <v>1</v>
      </c>
      <c r="CM1591" s="50" t="n">
        <f aca="false">ROUNDUP(H1591/BY1591,0)</f>
        <v>1</v>
      </c>
      <c r="CN1591" s="50" t="n">
        <f aca="false">ROUNDUP(CI1591/BY1591,0)</f>
        <v>0</v>
      </c>
      <c r="CO1591" s="53" t="n">
        <f aca="false">IF(BZ1591=1,0,IFERROR(VLOOKUP(BX1591,'Gebinde-Kategorie'!$A$5:$N$45,5,0)+0,0))</f>
        <v>11</v>
      </c>
      <c r="CP1591" s="53" t="n">
        <f aca="false">IFERROR(IF(OR(CE1591=1,CE1591=2,CE1591=3),N(INDEX(Parameter!$I$5:$I$7,CE1591)),0),0)</f>
        <v>0</v>
      </c>
      <c r="CQ1591" s="52" t="n">
        <f aca="false">IF(AND(Parameter!$B$21="Ja",ISNUMBER(W1591),N(X1591)&gt;0),IFERROR(N(INDEX(Parameter!$L$5:$L$7,W1591))*INDEX(Parameter!$E$5:$E$7,W1591)*X1591/SUMIFS($X$7:$X$1843,$W$7:$W$1843,W1591),0),0)</f>
        <v>0</v>
      </c>
    </row>
    <row r="1592" customFormat="false" ht="15" hidden="false" customHeight="false" outlineLevel="0" collapsed="false">
      <c r="A1592" s="48" t="s">
        <v>2785</v>
      </c>
      <c r="B1592" s="48" t="s">
        <v>1218</v>
      </c>
      <c r="C1592" s="48" t="s">
        <v>173</v>
      </c>
      <c r="D1592" s="48" t="s">
        <v>193</v>
      </c>
      <c r="E1592" s="48"/>
      <c r="F1592" s="48"/>
      <c r="G1592" s="49" t="n">
        <v>0.05</v>
      </c>
      <c r="H1592" s="50" t="n">
        <f aca="false">MAX(0,IF(AND(Parameter!$B$21="Ja",ISNUMBER(Y1592)),Y1592,IF(Parameter!$B$20="Jahresanfang 2025 + Export",BR1592+BQ1592,BQ1592)))</f>
        <v>2406</v>
      </c>
      <c r="I1592" s="50" t="n">
        <f aca="false">H1592*G1592</f>
        <v>120.3</v>
      </c>
      <c r="J1592" s="50" t="n">
        <f aca="false">BT1592*Parameter!$B$18</f>
        <v>0</v>
      </c>
      <c r="K1592" s="51"/>
      <c r="L1592" s="52"/>
      <c r="M1592" s="50" t="n">
        <v>0</v>
      </c>
      <c r="N1592" s="50" t="n">
        <v>300</v>
      </c>
      <c r="O1592" s="53" t="n">
        <v>0</v>
      </c>
      <c r="P1592" s="48" t="s">
        <v>177</v>
      </c>
      <c r="Q1592" s="50"/>
      <c r="R1592" s="53" t="n">
        <f aca="false">IF(BZ1592=1,0,IFERROR(VLOOKUP(BX1592,'Gebinde-Kategorie'!$A$5:$N$45,13,0)+0,0))</f>
        <v>26</v>
      </c>
      <c r="S1592" s="54"/>
      <c r="T1592" s="55" t="s">
        <v>284</v>
      </c>
      <c r="U1592" s="55"/>
      <c r="V1592" s="55"/>
      <c r="W1592" s="48"/>
      <c r="X1592" s="50"/>
      <c r="Y1592" s="50"/>
      <c r="Z1592" s="48" t="n">
        <f aca="false">IF(A1592="","",IF(AND(Parameter!$B$21="Ja",ISNUMBER(W1592)),W1592,IF(CC1592="2+3",IF(ISNUMBER(SEARCH("grosser Artikel",BU1592)),2,IFERROR(VLOOKUP(BX1592,Parameter!$F$35:$G$64,2,0),2)),IF(OR(CC1592="Nein",CC1592=""),"-",CC1592))))</f>
        <v>3</v>
      </c>
      <c r="AA1592" s="55"/>
      <c r="AB1592" s="56"/>
      <c r="AC1592" s="50" t="n">
        <f aca="false">AV1592</f>
        <v>300</v>
      </c>
      <c r="AD1592" s="50" t="n">
        <f aca="false">MAX(AV1592,H1592)</f>
        <v>2406</v>
      </c>
      <c r="AE1592" s="57"/>
      <c r="AF1592" s="50" t="n">
        <f aca="false">IF(LEFT(Cockpit!$C$5,1)="A",H1592,IF(Parameter!$E$30="MAX-Bestand",IF(CH1592=1,CI1592,IF(LEFT(Cockpit!$C$5,1)="B",AL1592,MAX(AL1592,H1592))),ROUNDUP(AJ1592,0)))</f>
        <v>2406</v>
      </c>
      <c r="AG1592" s="50" t="n">
        <f aca="false">IF(BZ1592=1,0,ROUNDUP(AF1592/BY1592,0))</f>
        <v>1</v>
      </c>
      <c r="AH1592" s="52" t="n">
        <f aca="false">IF(CQ1592&gt;0,CQ1592*MAX(1,AF1592/X1592),IF(BZ1592=1,IF(AF1592&lt;=0,0,CD1592*MAX(1,IF(H1592&gt;0,AF1592/H1592,1))),IF(R1592&gt;0,AG1592/R1592,0))/MAX(0.1,N(Parameter!$M$21)))</f>
        <v>0.0384615384615385</v>
      </c>
      <c r="AI1592" s="50" t="n">
        <f aca="false">AH1592*CB1592</f>
        <v>5.96153846153846</v>
      </c>
      <c r="AJ1592" s="51" t="n">
        <f aca="false">IF(LEFT(Cockpit!$C$5,1)="A",H1592,IF(CH1592=1,(CK1592+CI1592)/2,IF(LEFT(Cockpit!$C$5,1)="B",(CK1592+AL1592)/2,MAX((CK1592+AL1592)/2,H1592))))</f>
        <v>2406</v>
      </c>
      <c r="AK1592" s="50" t="n">
        <f aca="false">AJ1592*G1592</f>
        <v>120.3</v>
      </c>
      <c r="AL1592" s="50" t="n">
        <f aca="false">ROUNDUP(CK1592+MAX(CL1592,2*(J1592/IF(CG1592&gt;0,CG1592,MAX(0.1,N(Cockpit!$C$6)))-CK1592)),0)</f>
        <v>300</v>
      </c>
      <c r="AM1592" s="51" t="n">
        <f aca="false">IF(AI1592&gt;0,J1592/AI1592,-1)</f>
        <v>0</v>
      </c>
      <c r="AN1592" s="51" t="n">
        <f aca="false">IF(AND(OR(CF1592="L1",CF1592="L23",CF1592="LIFT"),AI1592&gt;0),SUMIFS($AI$7:$AI$1843,$CF$7:$CF$1843,CF1592,$AM$7:$AM$1843,"&gt;"&amp;AM1592)+SUMIFS($AI$7:$AI$1843,$CF$7:$CF$1843,CF1592,$AM$7:$AM$1843,AM1592,$BW$7:$BW$1843,"&lt;="&amp;BW1592),"")</f>
        <v>30597.8290106786</v>
      </c>
      <c r="AO1592" s="58" t="n">
        <f aca="false">IF(AN1592="",0,MAX(0,MIN(1,(IF(CF1592="L1",Parameter!$H$5,IF(CF1592="L23",Parameter!$H$6+Parameter!$H$7,Parameter!$H$5+Parameter!$H$6+Parameter!$H$7))-(AN1592-AI1592))/AI1592)))</f>
        <v>1</v>
      </c>
      <c r="AP1592" s="50" t="n">
        <f aca="false">IF(LEFT(Cockpit!$I$5,1)="A",H1592,IF(Parameter!$E$30="MAX-Bestand",IF(CH1592=1,CI1592,IF(LEFT(Cockpit!$I$5,1)="B",AV1592,MAX(AV1592,H1592))),ROUNDUP(AT1592,0)))</f>
        <v>2406</v>
      </c>
      <c r="AQ1592" s="50" t="n">
        <f aca="false">IF(BZ1592=1,0,ROUNDUP(AP1592/BY1592,0))</f>
        <v>1</v>
      </c>
      <c r="AR1592" s="52" t="n">
        <f aca="false">IF(CQ1592&gt;0,CQ1592*MAX(1,AP1592/X1592),IF(BZ1592=1,IF(AP1592&lt;=0,0,CD1592*MAX(1,IF(H1592&gt;0,AP1592/H1592,1))),IF(R1592&gt;0,AQ1592/R1592,0))/MAX(0.1,N(Parameter!$M$21)))</f>
        <v>0.0384615384615385</v>
      </c>
      <c r="AS1592" s="50" t="n">
        <f aca="false">AR1592*CB1592</f>
        <v>5.96153846153846</v>
      </c>
      <c r="AT1592" s="51" t="n">
        <f aca="false">IF(LEFT(Cockpit!$I$5,1)="A",H1592,IF(CH1592=1,(CK1592+CI1592)/2,IF(LEFT(Cockpit!$I$5,1)="B",(CK1592+AV1592)/2,MAX((CK1592+AV1592)/2,H1592))))</f>
        <v>2406</v>
      </c>
      <c r="AU1592" s="50" t="n">
        <f aca="false">AT1592*G1592</f>
        <v>120.3</v>
      </c>
      <c r="AV1592" s="50" t="n">
        <f aca="false">ROUNDUP(CK1592+MAX(CL1592,2*(J1592/IF(CG1592&gt;0,CG1592,MAX(0.1,N(Cockpit!$I$6)))-CK1592)),0)</f>
        <v>300</v>
      </c>
      <c r="AW1592" s="51" t="n">
        <f aca="false">IF(AS1592&gt;0,J1592/AS1592,-1)</f>
        <v>0</v>
      </c>
      <c r="AX1592" s="51" t="n">
        <f aca="false">IF(AND(OR(CF1592="L1",CF1592="L23",CF1592="LIFT"),AS1592&gt;0),SUMIFS($AS$7:$AS$1843,$CF$7:$CF$1843,CF1592,$AW$7:$AW$1843,"&gt;"&amp;AW1592)+SUMIFS($AS$7:$AS$1843,$CF$7:$CF$1843,CF1592,$AW$7:$AW$1843,AW1592,$BW$7:$BW$1843,"&lt;="&amp;BW1592),"")</f>
        <v>36917.6855275139</v>
      </c>
      <c r="AY1592" s="58" t="n">
        <f aca="false">IF(AX1592="",0,MAX(0,MIN(1,(IF(CF1592="L1",Parameter!$H$5,IF(CF1592="L23",Parameter!$H$6+Parameter!$H$7,Parameter!$H$5+Parameter!$H$6+Parameter!$H$7))-(AX1592-AS1592))/AS1592)))</f>
        <v>0</v>
      </c>
      <c r="AZ1592" s="50" t="n">
        <f aca="false">IF(LEFT(Cockpit!$O$5,1)="A",H1592,IF(Parameter!$E$30="MAX-Bestand",IF(CH1592=1,CI1592,IF(LEFT(Cockpit!$O$5,1)="B",BF1592,MAX(BF1592,H1592))),ROUNDUP(BD1592,0)))</f>
        <v>150</v>
      </c>
      <c r="BA1592" s="50" t="n">
        <f aca="false">IF(BZ1592=1,0,ROUNDUP(AZ1592/BY1592,0))</f>
        <v>1</v>
      </c>
      <c r="BB1592" s="52" t="n">
        <f aca="false">IF(CQ1592&gt;0,CQ1592*MAX(1,AZ1592/X1592),IF(BZ1592=1,IF(AZ1592&lt;=0,0,CD1592*MAX(1,IF(H1592&gt;0,AZ1592/H1592,1))),IF(R1592&gt;0,BA1592/R1592,0))/MAX(0.1,N(Parameter!$M$21)))</f>
        <v>0.0384615384615385</v>
      </c>
      <c r="BC1592" s="50" t="n">
        <f aca="false">BB1592*CB1592</f>
        <v>5.96153846153846</v>
      </c>
      <c r="BD1592" s="51" t="n">
        <f aca="false">IF(LEFT(Cockpit!$O$5,1)="A",H1592,IF(CH1592=1,(CK1592+CI1592)/2,IF(LEFT(Cockpit!$O$5,1)="B",(CK1592+BF1592)/2,MAX((CK1592+BF1592)/2,H1592))))</f>
        <v>150</v>
      </c>
      <c r="BE1592" s="50" t="n">
        <f aca="false">BD1592*G1592</f>
        <v>7.5</v>
      </c>
      <c r="BF1592" s="50" t="n">
        <f aca="false">ROUNDUP(CK1592+MAX(CL1592,2*(J1592/IF(CG1592&gt;0,CG1592,MAX(0.1,N(Cockpit!$O$6)))-CK1592)),0)</f>
        <v>300</v>
      </c>
      <c r="BG1592" s="51" t="n">
        <f aca="false">IF(BC1592&gt;0,J1592/BC1592,-1)</f>
        <v>0</v>
      </c>
      <c r="BH1592" s="51" t="n">
        <f aca="false">IF(AND(OR(CF1592="L1",CF1592="L23",CF1592="LIFT"),BC1592&gt;0),SUMIFS($BC$7:$BC$1843,$CF$7:$CF$1843,CF1592,$BG$7:$BG$1843,"&gt;"&amp;BG1592)+SUMIFS($BC$7:$BC$1843,$CF$7:$CF$1843,CF1592,$BG$7:$BG$1843,BG1592,$BW$7:$BW$1843,"&lt;="&amp;BW1592),"")</f>
        <v>30827.1268030463</v>
      </c>
      <c r="BI1592" s="58" t="n">
        <f aca="false">IF(BH1592="",0,MAX(0,MIN(1,(IF(CF1592="L1",Parameter!$H$5,IF(CF1592="L23",Parameter!$H$6+Parameter!$H$7,Parameter!$H$5+Parameter!$H$6+Parameter!$H$7))-(BH1592-BC1592))/BC1592)))</f>
        <v>1</v>
      </c>
      <c r="BJ1592" s="48" t="str">
        <f aca="false">IF(AI1592&lt;=0,"",IF(CF1592="Aussen","Aussenlager",IF(CF1592="-","Nicht im Lift",IF(AO1592&gt;=1,"Lift",IF(AO1592&lt;=0,"Aussenlager","teilweise")))))</f>
        <v>Lift</v>
      </c>
      <c r="BK1592" s="48" t="str">
        <f aca="false">IF(AS1592&lt;=0,"",IF(CF1592="Aussen","Aussenlager",IF(CF1592="-","Nicht im Lift",IF(AY1592&gt;=1,"Lift",IF(AY1592&lt;=0,"Aussenlager","teilweise")))))</f>
        <v>Aussenlager</v>
      </c>
      <c r="BL1592" s="48" t="str">
        <f aca="false">IF(BC1592&lt;=0,"",IF(CF1592="Aussen","Aussenlager",IF(CF1592="-","Nicht im Lift",IF(BI1592&gt;=1,"Lift",IF(BI1592&lt;=0,"Aussenlager","teilweise")))))</f>
        <v>Lift</v>
      </c>
      <c r="BM1592" s="48" t="str">
        <f aca="false">IF(A1592="","",IF(BV1592=1,"Neu; ","")&amp;IF(AND(BV1592=0,BQ1592&lt;0),"negativer Bestand (Export "&amp;BQ1592&amp;"); ","")&amp;IF(J1592&lt;=0,"Kein Verbrauch; ","")&amp;IF(CQ1592&gt;0,"Lift "&amp;W1592&amp;" lt. Liftbericht (Fach "&amp;X1592&amp;" Stk); ",IF(CA1592=1,"Gebinde geschätzt ("&amp;T1592&amp;"); ",IF(BZ1592=1,"Lose – Tablare geschätzt; ","")))&amp;IF(H1592&gt;AV1592,"Überbestand "&amp;ROUND(H1592-AV1592,0)&amp;" Stk / CHF "&amp;ROUND((H1592-AV1592)*G1592,0)&amp;"; ","")&amp;IF(AND(CH1592=1,CI1592&lt;CJ1592),"MAX &lt; MB+LG; ","")&amp;IF(AND(CP1592&gt;0,CO1592*10&gt;CP1592),"zu hoch für Tablar; ","")&amp;IF(AND(BV1592=0,OR(CH1592=1,AA1592&lt;&gt;"",U1592&lt;&gt;"",V1592&lt;&gt;"",AB1592&lt;&gt;"")),"manuell übersteuert; ","")&amp;IF(AND(BZ1592=0,R1592=0),"Gebinde unbekannt / Stellmass fehlt; ","")&amp;IF(AND(BZ1592=0,N(V1592)&lt;=0,N(Q1592)&lt;=0),"Menge pro Gebinde fehlt (Ist = 1 Gebinde); ","")&amp;BU1592)</f>
        <v>Kein Verbrauch; Gebinde geschätzt (Klein); Überbestand 2106 Stk / CHF 105; Menge pro Gebinde fehlt (Ist = 1 Gebinde); nur im Artikelstamm (Bestand 23.06.2026)</v>
      </c>
      <c r="BN1592" s="48"/>
      <c r="BO1592" s="48"/>
      <c r="BP1592" s="55"/>
      <c r="BQ1592" s="50" t="n">
        <v>2406</v>
      </c>
      <c r="BR1592" s="50" t="n">
        <v>0</v>
      </c>
      <c r="BS1592" s="49" t="n">
        <v>0</v>
      </c>
      <c r="BT1592" s="50" t="n">
        <v>0</v>
      </c>
      <c r="BU1592" s="48" t="s">
        <v>2584</v>
      </c>
      <c r="BV1592" s="53" t="n">
        <v>0</v>
      </c>
      <c r="BW1592" s="53" t="n">
        <v>1592</v>
      </c>
      <c r="BX1592" s="48" t="str">
        <f aca="false">IF(U1592&lt;&gt;"",UPPER(TRIM(U1592)),IF(CA1592=1,UPPER(VLOOKUP(T1592,Parameter!$I$27:$K$29,2,0)),IF(P1592="","LOSE",P1592)))</f>
        <v>S51</v>
      </c>
      <c r="BY1592" s="50" t="n">
        <f aca="false">IF(BX1592="LOSE",1,IF(N(V1592)&gt;0,V1592,IF(CA1592=1,MAX(1,N(VLOOKUP(T1592,Parameter!$I$27:$K$29,3,0)),H1592,N(N1592)),IF(N(Q1592)&gt;0,Q1592,MAX(1,H1592)))))</f>
        <v>2406</v>
      </c>
      <c r="BZ1592" s="53" t="n">
        <f aca="false">IF(BX1592="LOSE",1,0)</f>
        <v>0</v>
      </c>
      <c r="CA1592" s="53" t="n">
        <f aca="false">IF(AND(U1592="",OR(P1592="",P1592="LOSE"),T1592&lt;&gt;"",N(S1592)&lt;=0,ISNUMBER(MATCH(T1592,Parameter!$I$27:$I$29,0))),1,0)</f>
        <v>1</v>
      </c>
      <c r="CB1592" s="53" t="n">
        <f aca="false">IF(CQ1592&gt;0,INDEX(Parameter!$H$5:$H$7,W1592)/INDEX(Parameter!$E$5:$E$7,W1592),IF(AND(BZ1592=0,N(IFERROR(VLOOKUP(BX1592,'Gebinde-Kategorie'!$A$5:$N$45,14,0),0))&gt;0),VLOOKUP(BX1592,'Gebinde-Kategorie'!$A$5:$N$45,14,0)*10+Parameter!$M$23,Parameter!$M$24))</f>
        <v>155</v>
      </c>
      <c r="CC1592" s="48" t="str">
        <f aca="false">IF(AND(Parameter!$B$19="Ja",E1592&lt;&gt;"",ISNUMBER(MATCH(E1592,Parameter!$I$35:$I$52,0))),VLOOKUP(E1592,Parameter!$I$35:$J$52,2,0),IFERROR(VLOOKUP(D1592,Parameter!$A$35:$C$64,2,0),"Nein"))</f>
        <v>2+3</v>
      </c>
      <c r="CD1592" s="52" t="n">
        <f aca="false">IF(BZ1592=0,0,IF(N(S1592)&gt;0,S1592,IFERROR(VLOOKUP(D1592,Parameter!$A$35:$C$64,3,0)+0,0)))</f>
        <v>0</v>
      </c>
      <c r="CE1592" s="48" t="n">
        <f aca="false">IF(AA1592&lt;&gt;"",AA1592,Z1592)</f>
        <v>3</v>
      </c>
      <c r="CF1592" s="48" t="str">
        <f aca="false">IF(OR(CE1592=1,CE1592=2,CE1592=3),IF(Parameter!$E$27="Ja","LIFT",IF(CE1592=1,"L1","L23")),IF(CE1592="Aussen","Aussen","-"))</f>
        <v>LIFT</v>
      </c>
      <c r="CG1592" s="59" t="n">
        <f aca="false">IF(N(AB1592)&gt;0,AB1592,0)</f>
        <v>0</v>
      </c>
      <c r="CH1592" s="53" t="n">
        <f aca="false">IF(ISNUMBER(AE1592),1,0)</f>
        <v>0</v>
      </c>
      <c r="CI1592" s="50" t="n">
        <f aca="false">N(AE1592)</f>
        <v>0</v>
      </c>
      <c r="CJ1592" s="50" t="n">
        <f aca="false">N(M1592)+N(N1592)</f>
        <v>300</v>
      </c>
      <c r="CK1592" s="50" t="n">
        <f aca="false">N(M1592)</f>
        <v>0</v>
      </c>
      <c r="CL1592" s="50" t="n">
        <f aca="false">N(N1592)</f>
        <v>300</v>
      </c>
      <c r="CM1592" s="50" t="n">
        <f aca="false">ROUNDUP(H1592/BY1592,0)</f>
        <v>1</v>
      </c>
      <c r="CN1592" s="50" t="n">
        <f aca="false">ROUNDUP(CI1592/BY1592,0)</f>
        <v>0</v>
      </c>
      <c r="CO1592" s="53" t="n">
        <f aca="false">IF(BZ1592=1,0,IFERROR(VLOOKUP(BX1592,'Gebinde-Kategorie'!$A$5:$N$45,5,0)+0,0))</f>
        <v>11</v>
      </c>
      <c r="CP1592" s="53" t="n">
        <f aca="false">IFERROR(IF(OR(CE1592=1,CE1592=2,CE1592=3),N(INDEX(Parameter!$I$5:$I$7,CE1592)),0),0)</f>
        <v>0</v>
      </c>
      <c r="CQ1592" s="52" t="n">
        <f aca="false">IF(AND(Parameter!$B$21="Ja",ISNUMBER(W1592),N(X1592)&gt;0),IFERROR(N(INDEX(Parameter!$L$5:$L$7,W1592))*INDEX(Parameter!$E$5:$E$7,W1592)*X1592/SUMIFS($X$7:$X$1843,$W$7:$W$1843,W1592),0),0)</f>
        <v>0</v>
      </c>
    </row>
    <row r="1593" customFormat="false" ht="15" hidden="false" customHeight="false" outlineLevel="0" collapsed="false">
      <c r="A1593" s="48" t="s">
        <v>2786</v>
      </c>
      <c r="B1593" s="48" t="s">
        <v>2787</v>
      </c>
      <c r="C1593" s="48" t="s">
        <v>173</v>
      </c>
      <c r="D1593" s="48" t="s">
        <v>182</v>
      </c>
      <c r="E1593" s="48"/>
      <c r="F1593" s="48"/>
      <c r="G1593" s="49" t="n">
        <v>2.33</v>
      </c>
      <c r="H1593" s="50" t="n">
        <f aca="false">MAX(0,IF(AND(Parameter!$B$21="Ja",ISNUMBER(Y1593)),Y1593,IF(Parameter!$B$20="Jahresanfang 2025 + Export",BR1593+BQ1593,BQ1593)))</f>
        <v>226</v>
      </c>
      <c r="I1593" s="50" t="n">
        <f aca="false">H1593*G1593</f>
        <v>526.58</v>
      </c>
      <c r="J1593" s="50" t="n">
        <f aca="false">BT1593*Parameter!$B$18</f>
        <v>0</v>
      </c>
      <c r="K1593" s="51"/>
      <c r="L1593" s="52"/>
      <c r="M1593" s="50" t="n">
        <v>0</v>
      </c>
      <c r="N1593" s="50" t="n">
        <v>100</v>
      </c>
      <c r="O1593" s="53" t="n">
        <v>56</v>
      </c>
      <c r="P1593" s="48" t="s">
        <v>177</v>
      </c>
      <c r="Q1593" s="50"/>
      <c r="R1593" s="53" t="n">
        <f aca="false">IF(BZ1593=1,0,IFERROR(VLOOKUP(BX1593,'Gebinde-Kategorie'!$A$5:$N$45,13,0)+0,0))</f>
        <v>12</v>
      </c>
      <c r="S1593" s="54"/>
      <c r="T1593" s="55" t="s">
        <v>188</v>
      </c>
      <c r="U1593" s="55"/>
      <c r="V1593" s="55"/>
      <c r="W1593" s="48"/>
      <c r="X1593" s="50"/>
      <c r="Y1593" s="50"/>
      <c r="Z1593" s="48" t="n">
        <f aca="false">IF(A1593="","",IF(AND(Parameter!$B$21="Ja",ISNUMBER(W1593)),W1593,IF(CC1593="2+3",IF(ISNUMBER(SEARCH("grosser Artikel",BU1593)),2,IFERROR(VLOOKUP(BX1593,Parameter!$F$35:$G$64,2,0),2)),IF(OR(CC1593="Nein",CC1593=""),"-",CC1593))))</f>
        <v>2</v>
      </c>
      <c r="AA1593" s="55"/>
      <c r="AB1593" s="56"/>
      <c r="AC1593" s="50" t="n">
        <f aca="false">AV1593</f>
        <v>100</v>
      </c>
      <c r="AD1593" s="50" t="n">
        <f aca="false">MAX(AV1593,H1593)</f>
        <v>226</v>
      </c>
      <c r="AE1593" s="57"/>
      <c r="AF1593" s="50" t="n">
        <f aca="false">IF(LEFT(Cockpit!$C$5,1)="A",H1593,IF(Parameter!$E$30="MAX-Bestand",IF(CH1593=1,CI1593,IF(LEFT(Cockpit!$C$5,1)="B",AL1593,MAX(AL1593,H1593))),ROUNDUP(AJ1593,0)))</f>
        <v>226</v>
      </c>
      <c r="AG1593" s="50" t="n">
        <f aca="false">IF(BZ1593=1,0,ROUNDUP(AF1593/BY1593,0))</f>
        <v>1</v>
      </c>
      <c r="AH1593" s="52" t="n">
        <f aca="false">IF(CQ1593&gt;0,CQ1593*MAX(1,AF1593/X1593),IF(BZ1593=1,IF(AF1593&lt;=0,0,CD1593*MAX(1,IF(H1593&gt;0,AF1593/H1593,1))),IF(R1593&gt;0,AG1593/R1593,0))/MAX(0.1,N(Parameter!$M$21)))</f>
        <v>0.0833333333333333</v>
      </c>
      <c r="AI1593" s="50" t="n">
        <f aca="false">AH1593*CB1593</f>
        <v>12.0833333333333</v>
      </c>
      <c r="AJ1593" s="51" t="n">
        <f aca="false">IF(LEFT(Cockpit!$C$5,1)="A",H1593,IF(CH1593=1,(CK1593+CI1593)/2,IF(LEFT(Cockpit!$C$5,1)="B",(CK1593+AL1593)/2,MAX((CK1593+AL1593)/2,H1593))))</f>
        <v>226</v>
      </c>
      <c r="AK1593" s="50" t="n">
        <f aca="false">AJ1593*G1593</f>
        <v>526.58</v>
      </c>
      <c r="AL1593" s="50" t="n">
        <f aca="false">ROUNDUP(CK1593+MAX(CL1593,2*(J1593/IF(CG1593&gt;0,CG1593,MAX(0.1,N(Cockpit!$C$6)))-CK1593)),0)</f>
        <v>100</v>
      </c>
      <c r="AM1593" s="51" t="n">
        <f aca="false">IF(AI1593&gt;0,J1593/AI1593,-1)</f>
        <v>0</v>
      </c>
      <c r="AN1593" s="51" t="n">
        <f aca="false">IF(AND(OR(CF1593="L1",CF1593="L23",CF1593="LIFT"),AI1593&gt;0),SUMIFS($AI$7:$AI$1843,$CF$7:$CF$1843,CF1593,$AM$7:$AM$1843,"&gt;"&amp;AM1593)+SUMIFS($AI$7:$AI$1843,$CF$7:$CF$1843,CF1593,$AM$7:$AM$1843,AM1593,$BW$7:$BW$1843,"&lt;="&amp;BW1593),"")</f>
        <v>30609.9123440119</v>
      </c>
      <c r="AO1593" s="58" t="n">
        <f aca="false">IF(AN1593="",0,MAX(0,MIN(1,(IF(CF1593="L1",Parameter!$H$5,IF(CF1593="L23",Parameter!$H$6+Parameter!$H$7,Parameter!$H$5+Parameter!$H$6+Parameter!$H$7))-(AN1593-AI1593))/AI1593)))</f>
        <v>1</v>
      </c>
      <c r="AP1593" s="50" t="n">
        <f aca="false">IF(LEFT(Cockpit!$I$5,1)="A",H1593,IF(Parameter!$E$30="MAX-Bestand",IF(CH1593=1,CI1593,IF(LEFT(Cockpit!$I$5,1)="B",AV1593,MAX(AV1593,H1593))),ROUNDUP(AT1593,0)))</f>
        <v>226</v>
      </c>
      <c r="AQ1593" s="50" t="n">
        <f aca="false">IF(BZ1593=1,0,ROUNDUP(AP1593/BY1593,0))</f>
        <v>1</v>
      </c>
      <c r="AR1593" s="52" t="n">
        <f aca="false">IF(CQ1593&gt;0,CQ1593*MAX(1,AP1593/X1593),IF(BZ1593=1,IF(AP1593&lt;=0,0,CD1593*MAX(1,IF(H1593&gt;0,AP1593/H1593,1))),IF(R1593&gt;0,AQ1593/R1593,0))/MAX(0.1,N(Parameter!$M$21)))</f>
        <v>0.0833333333333333</v>
      </c>
      <c r="AS1593" s="50" t="n">
        <f aca="false">AR1593*CB1593</f>
        <v>12.0833333333333</v>
      </c>
      <c r="AT1593" s="51" t="n">
        <f aca="false">IF(LEFT(Cockpit!$I$5,1)="A",H1593,IF(CH1593=1,(CK1593+CI1593)/2,IF(LEFT(Cockpit!$I$5,1)="B",(CK1593+AV1593)/2,MAX((CK1593+AV1593)/2,H1593))))</f>
        <v>226</v>
      </c>
      <c r="AU1593" s="50" t="n">
        <f aca="false">AT1593*G1593</f>
        <v>526.58</v>
      </c>
      <c r="AV1593" s="50" t="n">
        <f aca="false">ROUNDUP(CK1593+MAX(CL1593,2*(J1593/IF(CG1593&gt;0,CG1593,MAX(0.1,N(Cockpit!$I$6)))-CK1593)),0)</f>
        <v>100</v>
      </c>
      <c r="AW1593" s="51" t="n">
        <f aca="false">IF(AS1593&gt;0,J1593/AS1593,-1)</f>
        <v>0</v>
      </c>
      <c r="AX1593" s="51" t="n">
        <f aca="false">IF(AND(OR(CF1593="L1",CF1593="L23",CF1593="LIFT"),AS1593&gt;0),SUMIFS($AS$7:$AS$1843,$CF$7:$CF$1843,CF1593,$AW$7:$AW$1843,"&gt;"&amp;AW1593)+SUMIFS($AS$7:$AS$1843,$CF$7:$CF$1843,CF1593,$AW$7:$AW$1843,AW1593,$BW$7:$BW$1843,"&lt;="&amp;BW1593),"")</f>
        <v>36929.7688608473</v>
      </c>
      <c r="AY1593" s="58" t="n">
        <f aca="false">IF(AX1593="",0,MAX(0,MIN(1,(IF(CF1593="L1",Parameter!$H$5,IF(CF1593="L23",Parameter!$H$6+Parameter!$H$7,Parameter!$H$5+Parameter!$H$6+Parameter!$H$7))-(AX1593-AS1593))/AS1593)))</f>
        <v>0</v>
      </c>
      <c r="AZ1593" s="50" t="n">
        <f aca="false">IF(LEFT(Cockpit!$O$5,1)="A",H1593,IF(Parameter!$E$30="MAX-Bestand",IF(CH1593=1,CI1593,IF(LEFT(Cockpit!$O$5,1)="B",BF1593,MAX(BF1593,H1593))),ROUNDUP(BD1593,0)))</f>
        <v>50</v>
      </c>
      <c r="BA1593" s="50" t="n">
        <f aca="false">IF(BZ1593=1,0,ROUNDUP(AZ1593/BY1593,0))</f>
        <v>1</v>
      </c>
      <c r="BB1593" s="52" t="n">
        <f aca="false">IF(CQ1593&gt;0,CQ1593*MAX(1,AZ1593/X1593),IF(BZ1593=1,IF(AZ1593&lt;=0,0,CD1593*MAX(1,IF(H1593&gt;0,AZ1593/H1593,1))),IF(R1593&gt;0,BA1593/R1593,0))/MAX(0.1,N(Parameter!$M$21)))</f>
        <v>0.0833333333333333</v>
      </c>
      <c r="BC1593" s="50" t="n">
        <f aca="false">BB1593*CB1593</f>
        <v>12.0833333333333</v>
      </c>
      <c r="BD1593" s="51" t="n">
        <f aca="false">IF(LEFT(Cockpit!$O$5,1)="A",H1593,IF(CH1593=1,(CK1593+CI1593)/2,IF(LEFT(Cockpit!$O$5,1)="B",(CK1593+BF1593)/2,MAX((CK1593+BF1593)/2,H1593))))</f>
        <v>50</v>
      </c>
      <c r="BE1593" s="50" t="n">
        <f aca="false">BD1593*G1593</f>
        <v>116.5</v>
      </c>
      <c r="BF1593" s="50" t="n">
        <f aca="false">ROUNDUP(CK1593+MAX(CL1593,2*(J1593/IF(CG1593&gt;0,CG1593,MAX(0.1,N(Cockpit!$O$6)))-CK1593)),0)</f>
        <v>100</v>
      </c>
      <c r="BG1593" s="51" t="n">
        <f aca="false">IF(BC1593&gt;0,J1593/BC1593,-1)</f>
        <v>0</v>
      </c>
      <c r="BH1593" s="51" t="n">
        <f aca="false">IF(AND(OR(CF1593="L1",CF1593="L23",CF1593="LIFT"),BC1593&gt;0),SUMIFS($BC$7:$BC$1843,$CF$7:$CF$1843,CF1593,$BG$7:$BG$1843,"&gt;"&amp;BG1593)+SUMIFS($BC$7:$BC$1843,$CF$7:$CF$1843,CF1593,$BG$7:$BG$1843,BG1593,$BW$7:$BW$1843,"&lt;="&amp;BW1593),"")</f>
        <v>30839.2101363796</v>
      </c>
      <c r="BI1593" s="58" t="n">
        <f aca="false">IF(BH1593="",0,MAX(0,MIN(1,(IF(CF1593="L1",Parameter!$H$5,IF(CF1593="L23",Parameter!$H$6+Parameter!$H$7,Parameter!$H$5+Parameter!$H$6+Parameter!$H$7))-(BH1593-BC1593))/BC1593)))</f>
        <v>1</v>
      </c>
      <c r="BJ1593" s="48" t="str">
        <f aca="false">IF(AI1593&lt;=0,"",IF(CF1593="Aussen","Aussenlager",IF(CF1593="-","Nicht im Lift",IF(AO1593&gt;=1,"Lift",IF(AO1593&lt;=0,"Aussenlager","teilweise")))))</f>
        <v>Lift</v>
      </c>
      <c r="BK1593" s="48" t="str">
        <f aca="false">IF(AS1593&lt;=0,"",IF(CF1593="Aussen","Aussenlager",IF(CF1593="-","Nicht im Lift",IF(AY1593&gt;=1,"Lift",IF(AY1593&lt;=0,"Aussenlager","teilweise")))))</f>
        <v>Aussenlager</v>
      </c>
      <c r="BL1593" s="48" t="str">
        <f aca="false">IF(BC1593&lt;=0,"",IF(CF1593="Aussen","Aussenlager",IF(CF1593="-","Nicht im Lift",IF(BI1593&gt;=1,"Lift",IF(BI1593&lt;=0,"Aussenlager","teilweise")))))</f>
        <v>Lift</v>
      </c>
      <c r="BM1593" s="48" t="str">
        <f aca="false">IF(A1593="","",IF(BV1593=1,"Neu; ","")&amp;IF(AND(BV1593=0,BQ1593&lt;0),"negativer Bestand (Export "&amp;BQ1593&amp;"); ","")&amp;IF(J1593&lt;=0,"Kein Verbrauch; ","")&amp;IF(CQ1593&gt;0,"Lift "&amp;W1593&amp;" lt. Liftbericht (Fach "&amp;X1593&amp;" Stk); ",IF(CA1593=1,"Gebinde geschätzt ("&amp;T1593&amp;"); ",IF(BZ1593=1,"Lose – Tablare geschätzt; ","")))&amp;IF(H1593&gt;AV1593,"Überbestand "&amp;ROUND(H1593-AV1593,0)&amp;" Stk / CHF "&amp;ROUND((H1593-AV1593)*G1593,0)&amp;"; ","")&amp;IF(AND(CH1593=1,CI1593&lt;CJ1593),"MAX &lt; MB+LG; ","")&amp;IF(AND(CP1593&gt;0,CO1593*10&gt;CP1593),"zu hoch für Tablar; ","")&amp;IF(AND(BV1593=0,OR(CH1593=1,AA1593&lt;&gt;"",U1593&lt;&gt;"",V1593&lt;&gt;"",AB1593&lt;&gt;"")),"manuell übersteuert; ","")&amp;IF(AND(BZ1593=0,R1593=0),"Gebinde unbekannt / Stellmass fehlt; ","")&amp;IF(AND(BZ1593=0,N(V1593)&lt;=0,N(Q1593)&lt;=0),"Menge pro Gebinde fehlt (Ist = 1 Gebinde); ","")&amp;BU1593)</f>
        <v>Kein Verbrauch; Gebinde geschätzt (Mittel); Überbestand 126 Stk / CHF 294; Menge pro Gebinde fehlt (Ist = 1 Gebinde); nur im Artikelstamm (Bestand 23.06.2026)</v>
      </c>
      <c r="BN1593" s="48"/>
      <c r="BO1593" s="48"/>
      <c r="BP1593" s="55"/>
      <c r="BQ1593" s="50" t="n">
        <v>226</v>
      </c>
      <c r="BR1593" s="50" t="n">
        <v>0</v>
      </c>
      <c r="BS1593" s="49" t="n">
        <v>0</v>
      </c>
      <c r="BT1593" s="50" t="n">
        <v>0</v>
      </c>
      <c r="BU1593" s="48" t="s">
        <v>2584</v>
      </c>
      <c r="BV1593" s="53" t="n">
        <v>0</v>
      </c>
      <c r="BW1593" s="53" t="n">
        <v>1593</v>
      </c>
      <c r="BX1593" s="48" t="str">
        <f aca="false">IF(U1593&lt;&gt;"",UPPER(TRIM(U1593)),IF(CA1593=1,UPPER(VLOOKUP(T1593,Parameter!$I$27:$K$29,2,0)),IF(P1593="","LOSE",P1593)))</f>
        <v>S61</v>
      </c>
      <c r="BY1593" s="50" t="n">
        <f aca="false">IF(BX1593="LOSE",1,IF(N(V1593)&gt;0,V1593,IF(CA1593=1,MAX(1,N(VLOOKUP(T1593,Parameter!$I$27:$K$29,3,0)),H1593,N(N1593)),IF(N(Q1593)&gt;0,Q1593,MAX(1,H1593)))))</f>
        <v>226</v>
      </c>
      <c r="BZ1593" s="53" t="n">
        <f aca="false">IF(BX1593="LOSE",1,0)</f>
        <v>0</v>
      </c>
      <c r="CA1593" s="53" t="n">
        <f aca="false">IF(AND(U1593="",OR(P1593="",P1593="LOSE"),T1593&lt;&gt;"",N(S1593)&lt;=0,ISNUMBER(MATCH(T1593,Parameter!$I$27:$I$29,0))),1,0)</f>
        <v>1</v>
      </c>
      <c r="CB1593" s="53" t="n">
        <f aca="false">IF(CQ1593&gt;0,INDEX(Parameter!$H$5:$H$7,W1593)/INDEX(Parameter!$E$5:$E$7,W1593),IF(AND(BZ1593=0,N(IFERROR(VLOOKUP(BX1593,'Gebinde-Kategorie'!$A$5:$N$45,14,0),0))&gt;0),VLOOKUP(BX1593,'Gebinde-Kategorie'!$A$5:$N$45,14,0)*10+Parameter!$M$23,Parameter!$M$24))</f>
        <v>145</v>
      </c>
      <c r="CC1593" s="48" t="str">
        <f aca="false">IF(AND(Parameter!$B$19="Ja",E1593&lt;&gt;"",ISNUMBER(MATCH(E1593,Parameter!$I$35:$I$52,0))),VLOOKUP(E1593,Parameter!$I$35:$J$52,2,0),IFERROR(VLOOKUP(D1593,Parameter!$A$35:$C$64,2,0),"Nein"))</f>
        <v>2+3</v>
      </c>
      <c r="CD1593" s="52" t="n">
        <f aca="false">IF(BZ1593=0,0,IF(N(S1593)&gt;0,S1593,IFERROR(VLOOKUP(D1593,Parameter!$A$35:$C$64,3,0)+0,0)))</f>
        <v>0</v>
      </c>
      <c r="CE1593" s="48" t="n">
        <f aca="false">IF(AA1593&lt;&gt;"",AA1593,Z1593)</f>
        <v>2</v>
      </c>
      <c r="CF1593" s="48" t="str">
        <f aca="false">IF(OR(CE1593=1,CE1593=2,CE1593=3),IF(Parameter!$E$27="Ja","LIFT",IF(CE1593=1,"L1","L23")),IF(CE1593="Aussen","Aussen","-"))</f>
        <v>LIFT</v>
      </c>
      <c r="CG1593" s="59" t="n">
        <f aca="false">IF(N(AB1593)&gt;0,AB1593,0)</f>
        <v>0</v>
      </c>
      <c r="CH1593" s="53" t="n">
        <f aca="false">IF(ISNUMBER(AE1593),1,0)</f>
        <v>0</v>
      </c>
      <c r="CI1593" s="50" t="n">
        <f aca="false">N(AE1593)</f>
        <v>0</v>
      </c>
      <c r="CJ1593" s="50" t="n">
        <f aca="false">N(M1593)+N(N1593)</f>
        <v>100</v>
      </c>
      <c r="CK1593" s="50" t="n">
        <f aca="false">N(M1593)</f>
        <v>0</v>
      </c>
      <c r="CL1593" s="50" t="n">
        <f aca="false">N(N1593)</f>
        <v>100</v>
      </c>
      <c r="CM1593" s="50" t="n">
        <f aca="false">ROUNDUP(H1593/BY1593,0)</f>
        <v>1</v>
      </c>
      <c r="CN1593" s="50" t="n">
        <f aca="false">ROUNDUP(CI1593/BY1593,0)</f>
        <v>0</v>
      </c>
      <c r="CO1593" s="53" t="n">
        <f aca="false">IF(BZ1593=1,0,IFERROR(VLOOKUP(BX1593,'Gebinde-Kategorie'!$A$5:$N$45,5,0)+0,0))</f>
        <v>11</v>
      </c>
      <c r="CP1593" s="53" t="n">
        <f aca="false">IFERROR(IF(OR(CE1593=1,CE1593=2,CE1593=3),N(INDEX(Parameter!$I$5:$I$7,CE1593)),0),0)</f>
        <v>0</v>
      </c>
      <c r="CQ1593" s="52" t="n">
        <f aca="false">IF(AND(Parameter!$B$21="Ja",ISNUMBER(W1593),N(X1593)&gt;0),IFERROR(N(INDEX(Parameter!$L$5:$L$7,W1593))*INDEX(Parameter!$E$5:$E$7,W1593)*X1593/SUMIFS($X$7:$X$1843,$W$7:$W$1843,W1593),0),0)</f>
        <v>0</v>
      </c>
    </row>
    <row r="1594" customFormat="false" ht="15" hidden="false" customHeight="false" outlineLevel="0" collapsed="false">
      <c r="A1594" s="48" t="s">
        <v>2788</v>
      </c>
      <c r="B1594" s="48" t="s">
        <v>2789</v>
      </c>
      <c r="C1594" s="48" t="s">
        <v>173</v>
      </c>
      <c r="D1594" s="48" t="s">
        <v>182</v>
      </c>
      <c r="E1594" s="48"/>
      <c r="F1594" s="48"/>
      <c r="G1594" s="49" t="n">
        <v>1.67</v>
      </c>
      <c r="H1594" s="50" t="n">
        <f aca="false">MAX(0,IF(AND(Parameter!$B$21="Ja",ISNUMBER(Y1594)),Y1594,IF(Parameter!$B$20="Jahresanfang 2025 + Export",BR1594+BQ1594,BQ1594)))</f>
        <v>800</v>
      </c>
      <c r="I1594" s="50" t="n">
        <f aca="false">H1594*G1594</f>
        <v>1336</v>
      </c>
      <c r="J1594" s="50" t="n">
        <f aca="false">BT1594*Parameter!$B$18</f>
        <v>0</v>
      </c>
      <c r="K1594" s="51"/>
      <c r="L1594" s="52"/>
      <c r="M1594" s="50" t="n">
        <v>0</v>
      </c>
      <c r="N1594" s="50" t="n">
        <v>100</v>
      </c>
      <c r="O1594" s="53" t="n">
        <v>35</v>
      </c>
      <c r="P1594" s="48" t="s">
        <v>177</v>
      </c>
      <c r="Q1594" s="50"/>
      <c r="R1594" s="53" t="n">
        <f aca="false">IF(BZ1594=1,0,IFERROR(VLOOKUP(BX1594,'Gebinde-Kategorie'!$A$5:$N$45,13,0)+0,0))</f>
        <v>12</v>
      </c>
      <c r="S1594" s="54"/>
      <c r="T1594" s="55" t="s">
        <v>188</v>
      </c>
      <c r="U1594" s="55"/>
      <c r="V1594" s="55"/>
      <c r="W1594" s="48"/>
      <c r="X1594" s="50"/>
      <c r="Y1594" s="50"/>
      <c r="Z1594" s="48" t="n">
        <f aca="false">IF(A1594="","",IF(AND(Parameter!$B$21="Ja",ISNUMBER(W1594)),W1594,IF(CC1594="2+3",IF(ISNUMBER(SEARCH("grosser Artikel",BU1594)),2,IFERROR(VLOOKUP(BX1594,Parameter!$F$35:$G$64,2,0),2)),IF(OR(CC1594="Nein",CC1594=""),"-",CC1594))))</f>
        <v>2</v>
      </c>
      <c r="AA1594" s="55"/>
      <c r="AB1594" s="56"/>
      <c r="AC1594" s="50" t="n">
        <f aca="false">AV1594</f>
        <v>100</v>
      </c>
      <c r="AD1594" s="50" t="n">
        <f aca="false">MAX(AV1594,H1594)</f>
        <v>800</v>
      </c>
      <c r="AE1594" s="57"/>
      <c r="AF1594" s="50" t="n">
        <f aca="false">IF(LEFT(Cockpit!$C$5,1)="A",H1594,IF(Parameter!$E$30="MAX-Bestand",IF(CH1594=1,CI1594,IF(LEFT(Cockpit!$C$5,1)="B",AL1594,MAX(AL1594,H1594))),ROUNDUP(AJ1594,0)))</f>
        <v>800</v>
      </c>
      <c r="AG1594" s="50" t="n">
        <f aca="false">IF(BZ1594=1,0,ROUNDUP(AF1594/BY1594,0))</f>
        <v>1</v>
      </c>
      <c r="AH1594" s="52" t="n">
        <f aca="false">IF(CQ1594&gt;0,CQ1594*MAX(1,AF1594/X1594),IF(BZ1594=1,IF(AF1594&lt;=0,0,CD1594*MAX(1,IF(H1594&gt;0,AF1594/H1594,1))),IF(R1594&gt;0,AG1594/R1594,0))/MAX(0.1,N(Parameter!$M$21)))</f>
        <v>0.0833333333333333</v>
      </c>
      <c r="AI1594" s="50" t="n">
        <f aca="false">AH1594*CB1594</f>
        <v>12.0833333333333</v>
      </c>
      <c r="AJ1594" s="51" t="n">
        <f aca="false">IF(LEFT(Cockpit!$C$5,1)="A",H1594,IF(CH1594=1,(CK1594+CI1594)/2,IF(LEFT(Cockpit!$C$5,1)="B",(CK1594+AL1594)/2,MAX((CK1594+AL1594)/2,H1594))))</f>
        <v>800</v>
      </c>
      <c r="AK1594" s="50" t="n">
        <f aca="false">AJ1594*G1594</f>
        <v>1336</v>
      </c>
      <c r="AL1594" s="50" t="n">
        <f aca="false">ROUNDUP(CK1594+MAX(CL1594,2*(J1594/IF(CG1594&gt;0,CG1594,MAX(0.1,N(Cockpit!$C$6)))-CK1594)),0)</f>
        <v>100</v>
      </c>
      <c r="AM1594" s="51" t="n">
        <f aca="false">IF(AI1594&gt;0,J1594/AI1594,-1)</f>
        <v>0</v>
      </c>
      <c r="AN1594" s="51" t="n">
        <f aca="false">IF(AND(OR(CF1594="L1",CF1594="L23",CF1594="LIFT"),AI1594&gt;0),SUMIFS($AI$7:$AI$1843,$CF$7:$CF$1843,CF1594,$AM$7:$AM$1843,"&gt;"&amp;AM1594)+SUMIFS($AI$7:$AI$1843,$CF$7:$CF$1843,CF1594,$AM$7:$AM$1843,AM1594,$BW$7:$BW$1843,"&lt;="&amp;BW1594),"")</f>
        <v>30621.9956773453</v>
      </c>
      <c r="AO1594" s="58" t="n">
        <f aca="false">IF(AN1594="",0,MAX(0,MIN(1,(IF(CF1594="L1",Parameter!$H$5,IF(CF1594="L23",Parameter!$H$6+Parameter!$H$7,Parameter!$H$5+Parameter!$H$6+Parameter!$H$7))-(AN1594-AI1594))/AI1594)))</f>
        <v>1</v>
      </c>
      <c r="AP1594" s="50" t="n">
        <f aca="false">IF(LEFT(Cockpit!$I$5,1)="A",H1594,IF(Parameter!$E$30="MAX-Bestand",IF(CH1594=1,CI1594,IF(LEFT(Cockpit!$I$5,1)="B",AV1594,MAX(AV1594,H1594))),ROUNDUP(AT1594,0)))</f>
        <v>800</v>
      </c>
      <c r="AQ1594" s="50" t="n">
        <f aca="false">IF(BZ1594=1,0,ROUNDUP(AP1594/BY1594,0))</f>
        <v>1</v>
      </c>
      <c r="AR1594" s="52" t="n">
        <f aca="false">IF(CQ1594&gt;0,CQ1594*MAX(1,AP1594/X1594),IF(BZ1594=1,IF(AP1594&lt;=0,0,CD1594*MAX(1,IF(H1594&gt;0,AP1594/H1594,1))),IF(R1594&gt;0,AQ1594/R1594,0))/MAX(0.1,N(Parameter!$M$21)))</f>
        <v>0.0833333333333333</v>
      </c>
      <c r="AS1594" s="50" t="n">
        <f aca="false">AR1594*CB1594</f>
        <v>12.0833333333333</v>
      </c>
      <c r="AT1594" s="51" t="n">
        <f aca="false">IF(LEFT(Cockpit!$I$5,1)="A",H1594,IF(CH1594=1,(CK1594+CI1594)/2,IF(LEFT(Cockpit!$I$5,1)="B",(CK1594+AV1594)/2,MAX((CK1594+AV1594)/2,H1594))))</f>
        <v>800</v>
      </c>
      <c r="AU1594" s="50" t="n">
        <f aca="false">AT1594*G1594</f>
        <v>1336</v>
      </c>
      <c r="AV1594" s="50" t="n">
        <f aca="false">ROUNDUP(CK1594+MAX(CL1594,2*(J1594/IF(CG1594&gt;0,CG1594,MAX(0.1,N(Cockpit!$I$6)))-CK1594)),0)</f>
        <v>100</v>
      </c>
      <c r="AW1594" s="51" t="n">
        <f aca="false">IF(AS1594&gt;0,J1594/AS1594,-1)</f>
        <v>0</v>
      </c>
      <c r="AX1594" s="51" t="n">
        <f aca="false">IF(AND(OR(CF1594="L1",CF1594="L23",CF1594="LIFT"),AS1594&gt;0),SUMIFS($AS$7:$AS$1843,$CF$7:$CF$1843,CF1594,$AW$7:$AW$1843,"&gt;"&amp;AW1594)+SUMIFS($AS$7:$AS$1843,$CF$7:$CF$1843,CF1594,$AW$7:$AW$1843,AW1594,$BW$7:$BW$1843,"&lt;="&amp;BW1594),"")</f>
        <v>36941.8521941806</v>
      </c>
      <c r="AY1594" s="58" t="n">
        <f aca="false">IF(AX1594="",0,MAX(0,MIN(1,(IF(CF1594="L1",Parameter!$H$5,IF(CF1594="L23",Parameter!$H$6+Parameter!$H$7,Parameter!$H$5+Parameter!$H$6+Parameter!$H$7))-(AX1594-AS1594))/AS1594)))</f>
        <v>0</v>
      </c>
      <c r="AZ1594" s="50" t="n">
        <f aca="false">IF(LEFT(Cockpit!$O$5,1)="A",H1594,IF(Parameter!$E$30="MAX-Bestand",IF(CH1594=1,CI1594,IF(LEFT(Cockpit!$O$5,1)="B",BF1594,MAX(BF1594,H1594))),ROUNDUP(BD1594,0)))</f>
        <v>50</v>
      </c>
      <c r="BA1594" s="50" t="n">
        <f aca="false">IF(BZ1594=1,0,ROUNDUP(AZ1594/BY1594,0))</f>
        <v>1</v>
      </c>
      <c r="BB1594" s="52" t="n">
        <f aca="false">IF(CQ1594&gt;0,CQ1594*MAX(1,AZ1594/X1594),IF(BZ1594=1,IF(AZ1594&lt;=0,0,CD1594*MAX(1,IF(H1594&gt;0,AZ1594/H1594,1))),IF(R1594&gt;0,BA1594/R1594,0))/MAX(0.1,N(Parameter!$M$21)))</f>
        <v>0.0833333333333333</v>
      </c>
      <c r="BC1594" s="50" t="n">
        <f aca="false">BB1594*CB1594</f>
        <v>12.0833333333333</v>
      </c>
      <c r="BD1594" s="51" t="n">
        <f aca="false">IF(LEFT(Cockpit!$O$5,1)="A",H1594,IF(CH1594=1,(CK1594+CI1594)/2,IF(LEFT(Cockpit!$O$5,1)="B",(CK1594+BF1594)/2,MAX((CK1594+BF1594)/2,H1594))))</f>
        <v>50</v>
      </c>
      <c r="BE1594" s="50" t="n">
        <f aca="false">BD1594*G1594</f>
        <v>83.5</v>
      </c>
      <c r="BF1594" s="50" t="n">
        <f aca="false">ROUNDUP(CK1594+MAX(CL1594,2*(J1594/IF(CG1594&gt;0,CG1594,MAX(0.1,N(Cockpit!$O$6)))-CK1594)),0)</f>
        <v>100</v>
      </c>
      <c r="BG1594" s="51" t="n">
        <f aca="false">IF(BC1594&gt;0,J1594/BC1594,-1)</f>
        <v>0</v>
      </c>
      <c r="BH1594" s="51" t="n">
        <f aca="false">IF(AND(OR(CF1594="L1",CF1594="L23",CF1594="LIFT"),BC1594&gt;0),SUMIFS($BC$7:$BC$1843,$CF$7:$CF$1843,CF1594,$BG$7:$BG$1843,"&gt;"&amp;BG1594)+SUMIFS($BC$7:$BC$1843,$CF$7:$CF$1843,CF1594,$BG$7:$BG$1843,BG1594,$BW$7:$BW$1843,"&lt;="&amp;BW1594),"")</f>
        <v>30851.293469713</v>
      </c>
      <c r="BI1594" s="58" t="n">
        <f aca="false">IF(BH1594="",0,MAX(0,MIN(1,(IF(CF1594="L1",Parameter!$H$5,IF(CF1594="L23",Parameter!$H$6+Parameter!$H$7,Parameter!$H$5+Parameter!$H$6+Parameter!$H$7))-(BH1594-BC1594))/BC1594)))</f>
        <v>1</v>
      </c>
      <c r="BJ1594" s="48" t="str">
        <f aca="false">IF(AI1594&lt;=0,"",IF(CF1594="Aussen","Aussenlager",IF(CF1594="-","Nicht im Lift",IF(AO1594&gt;=1,"Lift",IF(AO1594&lt;=0,"Aussenlager","teilweise")))))</f>
        <v>Lift</v>
      </c>
      <c r="BK1594" s="48" t="str">
        <f aca="false">IF(AS1594&lt;=0,"",IF(CF1594="Aussen","Aussenlager",IF(CF1594="-","Nicht im Lift",IF(AY1594&gt;=1,"Lift",IF(AY1594&lt;=0,"Aussenlager","teilweise")))))</f>
        <v>Aussenlager</v>
      </c>
      <c r="BL1594" s="48" t="str">
        <f aca="false">IF(BC1594&lt;=0,"",IF(CF1594="Aussen","Aussenlager",IF(CF1594="-","Nicht im Lift",IF(BI1594&gt;=1,"Lift",IF(BI1594&lt;=0,"Aussenlager","teilweise")))))</f>
        <v>Lift</v>
      </c>
      <c r="BM1594" s="48" t="str">
        <f aca="false">IF(A1594="","",IF(BV1594=1,"Neu; ","")&amp;IF(AND(BV1594=0,BQ1594&lt;0),"negativer Bestand (Export "&amp;BQ1594&amp;"); ","")&amp;IF(J1594&lt;=0,"Kein Verbrauch; ","")&amp;IF(CQ1594&gt;0,"Lift "&amp;W1594&amp;" lt. Liftbericht (Fach "&amp;X1594&amp;" Stk); ",IF(CA1594=1,"Gebinde geschätzt ("&amp;T1594&amp;"); ",IF(BZ1594=1,"Lose – Tablare geschätzt; ","")))&amp;IF(H1594&gt;AV1594,"Überbestand "&amp;ROUND(H1594-AV1594,0)&amp;" Stk / CHF "&amp;ROUND((H1594-AV1594)*G1594,0)&amp;"; ","")&amp;IF(AND(CH1594=1,CI1594&lt;CJ1594),"MAX &lt; MB+LG; ","")&amp;IF(AND(CP1594&gt;0,CO1594*10&gt;CP1594),"zu hoch für Tablar; ","")&amp;IF(AND(BV1594=0,OR(CH1594=1,AA1594&lt;&gt;"",U1594&lt;&gt;"",V1594&lt;&gt;"",AB1594&lt;&gt;"")),"manuell übersteuert; ","")&amp;IF(AND(BZ1594=0,R1594=0),"Gebinde unbekannt / Stellmass fehlt; ","")&amp;IF(AND(BZ1594=0,N(V1594)&lt;=0,N(Q1594)&lt;=0),"Menge pro Gebinde fehlt (Ist = 1 Gebinde); ","")&amp;BU1594)</f>
        <v>Kein Verbrauch; Gebinde geschätzt (Mittel); Überbestand 700 Stk / CHF 1169; Menge pro Gebinde fehlt (Ist = 1 Gebinde); nur im Artikelstamm (Bestand 23.06.2026)</v>
      </c>
      <c r="BN1594" s="48"/>
      <c r="BO1594" s="48"/>
      <c r="BP1594" s="55"/>
      <c r="BQ1594" s="50" t="n">
        <v>800</v>
      </c>
      <c r="BR1594" s="50" t="n">
        <v>0</v>
      </c>
      <c r="BS1594" s="49" t="n">
        <v>0</v>
      </c>
      <c r="BT1594" s="50" t="n">
        <v>0</v>
      </c>
      <c r="BU1594" s="48" t="s">
        <v>2584</v>
      </c>
      <c r="BV1594" s="53" t="n">
        <v>0</v>
      </c>
      <c r="BW1594" s="53" t="n">
        <v>1594</v>
      </c>
      <c r="BX1594" s="48" t="str">
        <f aca="false">IF(U1594&lt;&gt;"",UPPER(TRIM(U1594)),IF(CA1594=1,UPPER(VLOOKUP(T1594,Parameter!$I$27:$K$29,2,0)),IF(P1594="","LOSE",P1594)))</f>
        <v>S61</v>
      </c>
      <c r="BY1594" s="50" t="n">
        <f aca="false">IF(BX1594="LOSE",1,IF(N(V1594)&gt;0,V1594,IF(CA1594=1,MAX(1,N(VLOOKUP(T1594,Parameter!$I$27:$K$29,3,0)),H1594,N(N1594)),IF(N(Q1594)&gt;0,Q1594,MAX(1,H1594)))))</f>
        <v>800</v>
      </c>
      <c r="BZ1594" s="53" t="n">
        <f aca="false">IF(BX1594="LOSE",1,0)</f>
        <v>0</v>
      </c>
      <c r="CA1594" s="53" t="n">
        <f aca="false">IF(AND(U1594="",OR(P1594="",P1594="LOSE"),T1594&lt;&gt;"",N(S1594)&lt;=0,ISNUMBER(MATCH(T1594,Parameter!$I$27:$I$29,0))),1,0)</f>
        <v>1</v>
      </c>
      <c r="CB1594" s="53" t="n">
        <f aca="false">IF(CQ1594&gt;0,INDEX(Parameter!$H$5:$H$7,W1594)/INDEX(Parameter!$E$5:$E$7,W1594),IF(AND(BZ1594=0,N(IFERROR(VLOOKUP(BX1594,'Gebinde-Kategorie'!$A$5:$N$45,14,0),0))&gt;0),VLOOKUP(BX1594,'Gebinde-Kategorie'!$A$5:$N$45,14,0)*10+Parameter!$M$23,Parameter!$M$24))</f>
        <v>145</v>
      </c>
      <c r="CC1594" s="48" t="str">
        <f aca="false">IF(AND(Parameter!$B$19="Ja",E1594&lt;&gt;"",ISNUMBER(MATCH(E1594,Parameter!$I$35:$I$52,0))),VLOOKUP(E1594,Parameter!$I$35:$J$52,2,0),IFERROR(VLOOKUP(D1594,Parameter!$A$35:$C$64,2,0),"Nein"))</f>
        <v>2+3</v>
      </c>
      <c r="CD1594" s="52" t="n">
        <f aca="false">IF(BZ1594=0,0,IF(N(S1594)&gt;0,S1594,IFERROR(VLOOKUP(D1594,Parameter!$A$35:$C$64,3,0)+0,0)))</f>
        <v>0</v>
      </c>
      <c r="CE1594" s="48" t="n">
        <f aca="false">IF(AA1594&lt;&gt;"",AA1594,Z1594)</f>
        <v>2</v>
      </c>
      <c r="CF1594" s="48" t="str">
        <f aca="false">IF(OR(CE1594=1,CE1594=2,CE1594=3),IF(Parameter!$E$27="Ja","LIFT",IF(CE1594=1,"L1","L23")),IF(CE1594="Aussen","Aussen","-"))</f>
        <v>LIFT</v>
      </c>
      <c r="CG1594" s="59" t="n">
        <f aca="false">IF(N(AB1594)&gt;0,AB1594,0)</f>
        <v>0</v>
      </c>
      <c r="CH1594" s="53" t="n">
        <f aca="false">IF(ISNUMBER(AE1594),1,0)</f>
        <v>0</v>
      </c>
      <c r="CI1594" s="50" t="n">
        <f aca="false">N(AE1594)</f>
        <v>0</v>
      </c>
      <c r="CJ1594" s="50" t="n">
        <f aca="false">N(M1594)+N(N1594)</f>
        <v>100</v>
      </c>
      <c r="CK1594" s="50" t="n">
        <f aca="false">N(M1594)</f>
        <v>0</v>
      </c>
      <c r="CL1594" s="50" t="n">
        <f aca="false">N(N1594)</f>
        <v>100</v>
      </c>
      <c r="CM1594" s="50" t="n">
        <f aca="false">ROUNDUP(H1594/BY1594,0)</f>
        <v>1</v>
      </c>
      <c r="CN1594" s="50" t="n">
        <f aca="false">ROUNDUP(CI1594/BY1594,0)</f>
        <v>0</v>
      </c>
      <c r="CO1594" s="53" t="n">
        <f aca="false">IF(BZ1594=1,0,IFERROR(VLOOKUP(BX1594,'Gebinde-Kategorie'!$A$5:$N$45,5,0)+0,0))</f>
        <v>11</v>
      </c>
      <c r="CP1594" s="53" t="n">
        <f aca="false">IFERROR(IF(OR(CE1594=1,CE1594=2,CE1594=3),N(INDEX(Parameter!$I$5:$I$7,CE1594)),0),0)</f>
        <v>0</v>
      </c>
      <c r="CQ1594" s="52" t="n">
        <f aca="false">IF(AND(Parameter!$B$21="Ja",ISNUMBER(W1594),N(X1594)&gt;0),IFERROR(N(INDEX(Parameter!$L$5:$L$7,W1594))*INDEX(Parameter!$E$5:$E$7,W1594)*X1594/SUMIFS($X$7:$X$1843,$W$7:$W$1843,W1594),0),0)</f>
        <v>0</v>
      </c>
    </row>
    <row r="1595" customFormat="false" ht="15" hidden="false" customHeight="false" outlineLevel="0" collapsed="false">
      <c r="A1595" s="48" t="s">
        <v>2790</v>
      </c>
      <c r="B1595" s="48" t="s">
        <v>518</v>
      </c>
      <c r="C1595" s="48" t="s">
        <v>173</v>
      </c>
      <c r="D1595" s="48" t="s">
        <v>182</v>
      </c>
      <c r="E1595" s="48" t="s">
        <v>182</v>
      </c>
      <c r="F1595" s="48"/>
      <c r="G1595" s="49" t="n">
        <v>444.6</v>
      </c>
      <c r="H1595" s="50" t="n">
        <f aca="false">MAX(0,IF(AND(Parameter!$B$21="Ja",ISNUMBER(Y1595)),Y1595,IF(Parameter!$B$20="Jahresanfang 2025 + Export",BR1595+BQ1595,BQ1595)))</f>
        <v>1</v>
      </c>
      <c r="I1595" s="50" t="n">
        <f aca="false">H1595*G1595</f>
        <v>444.6</v>
      </c>
      <c r="J1595" s="50" t="n">
        <f aca="false">BT1595*Parameter!$B$18</f>
        <v>0</v>
      </c>
      <c r="K1595" s="51"/>
      <c r="L1595" s="52"/>
      <c r="M1595" s="50" t="n">
        <v>0</v>
      </c>
      <c r="N1595" s="50" t="n">
        <v>1</v>
      </c>
      <c r="O1595" s="53" t="n">
        <v>28</v>
      </c>
      <c r="P1595" s="48" t="s">
        <v>177</v>
      </c>
      <c r="Q1595" s="50"/>
      <c r="R1595" s="53" t="n">
        <f aca="false">IF(BZ1595=1,0,IFERROR(VLOOKUP(BX1595,'Gebinde-Kategorie'!$A$5:$N$45,13,0)+0,0))</f>
        <v>12</v>
      </c>
      <c r="S1595" s="54"/>
      <c r="T1595" s="55" t="s">
        <v>188</v>
      </c>
      <c r="U1595" s="55"/>
      <c r="V1595" s="55"/>
      <c r="W1595" s="48"/>
      <c r="X1595" s="50"/>
      <c r="Y1595" s="50"/>
      <c r="Z1595" s="48" t="str">
        <f aca="false">IF(A1595="","",IF(AND(Parameter!$B$21="Ja",ISNUMBER(W1595)),W1595,IF(CC1595="2+3",IF(ISNUMBER(SEARCH("grosser Artikel",BU1595)),2,IFERROR(VLOOKUP(BX1595,Parameter!$F$35:$G$64,2,0),2)),IF(OR(CC1595="Nein",CC1595=""),"-",CC1595))))</f>
        <v>-</v>
      </c>
      <c r="AA1595" s="55"/>
      <c r="AB1595" s="56"/>
      <c r="AC1595" s="50" t="n">
        <f aca="false">AV1595</f>
        <v>1</v>
      </c>
      <c r="AD1595" s="50" t="n">
        <f aca="false">MAX(AV1595,H1595)</f>
        <v>1</v>
      </c>
      <c r="AE1595" s="57"/>
      <c r="AF1595" s="50" t="n">
        <f aca="false">IF(LEFT(Cockpit!$C$5,1)="A",H1595,IF(Parameter!$E$30="MAX-Bestand",IF(CH1595=1,CI1595,IF(LEFT(Cockpit!$C$5,1)="B",AL1595,MAX(AL1595,H1595))),ROUNDUP(AJ1595,0)))</f>
        <v>1</v>
      </c>
      <c r="AG1595" s="50" t="n">
        <f aca="false">IF(BZ1595=1,0,ROUNDUP(AF1595/BY1595,0))</f>
        <v>1</v>
      </c>
      <c r="AH1595" s="52" t="n">
        <f aca="false">IF(CQ1595&gt;0,CQ1595*MAX(1,AF1595/X1595),IF(BZ1595=1,IF(AF1595&lt;=0,0,CD1595*MAX(1,IF(H1595&gt;0,AF1595/H1595,1))),IF(R1595&gt;0,AG1595/R1595,0))/MAX(0.1,N(Parameter!$M$21)))</f>
        <v>0.0833333333333333</v>
      </c>
      <c r="AI1595" s="50" t="n">
        <f aca="false">AH1595*CB1595</f>
        <v>12.0833333333333</v>
      </c>
      <c r="AJ1595" s="51" t="n">
        <f aca="false">IF(LEFT(Cockpit!$C$5,1)="A",H1595,IF(CH1595=1,(CK1595+CI1595)/2,IF(LEFT(Cockpit!$C$5,1)="B",(CK1595+AL1595)/2,MAX((CK1595+AL1595)/2,H1595))))</f>
        <v>1</v>
      </c>
      <c r="AK1595" s="50" t="n">
        <f aca="false">AJ1595*G1595</f>
        <v>444.6</v>
      </c>
      <c r="AL1595" s="50" t="n">
        <f aca="false">ROUNDUP(CK1595+MAX(CL1595,2*(J1595/IF(CG1595&gt;0,CG1595,MAX(0.1,N(Cockpit!$C$6)))-CK1595)),0)</f>
        <v>1</v>
      </c>
      <c r="AM1595" s="51" t="n">
        <f aca="false">IF(AI1595&gt;0,J1595/AI1595,-1)</f>
        <v>0</v>
      </c>
      <c r="AN1595" s="51" t="str">
        <f aca="false">IF(AND(OR(CF1595="L1",CF1595="L23",CF1595="LIFT"),AI1595&gt;0),SUMIFS($AI$7:$AI$1843,$CF$7:$CF$1843,CF1595,$AM$7:$AM$1843,"&gt;"&amp;AM1595)+SUMIFS($AI$7:$AI$1843,$CF$7:$CF$1843,CF1595,$AM$7:$AM$1843,AM1595,$BW$7:$BW$1843,"&lt;="&amp;BW1595),"")</f>
        <v/>
      </c>
      <c r="AO1595" s="58" t="n">
        <f aca="false">IF(AN1595="",0,MAX(0,MIN(1,(IF(CF1595="L1",Parameter!$H$5,IF(CF1595="L23",Parameter!$H$6+Parameter!$H$7,Parameter!$H$5+Parameter!$H$6+Parameter!$H$7))-(AN1595-AI1595))/AI1595)))</f>
        <v>0</v>
      </c>
      <c r="AP1595" s="50" t="n">
        <f aca="false">IF(LEFT(Cockpit!$I$5,1)="A",H1595,IF(Parameter!$E$30="MAX-Bestand",IF(CH1595=1,CI1595,IF(LEFT(Cockpit!$I$5,1)="B",AV1595,MAX(AV1595,H1595))),ROUNDUP(AT1595,0)))</f>
        <v>1</v>
      </c>
      <c r="AQ1595" s="50" t="n">
        <f aca="false">IF(BZ1595=1,0,ROUNDUP(AP1595/BY1595,0))</f>
        <v>1</v>
      </c>
      <c r="AR1595" s="52" t="n">
        <f aca="false">IF(CQ1595&gt;0,CQ1595*MAX(1,AP1595/X1595),IF(BZ1595=1,IF(AP1595&lt;=0,0,CD1595*MAX(1,IF(H1595&gt;0,AP1595/H1595,1))),IF(R1595&gt;0,AQ1595/R1595,0))/MAX(0.1,N(Parameter!$M$21)))</f>
        <v>0.0833333333333333</v>
      </c>
      <c r="AS1595" s="50" t="n">
        <f aca="false">AR1595*CB1595</f>
        <v>12.0833333333333</v>
      </c>
      <c r="AT1595" s="51" t="n">
        <f aca="false">IF(LEFT(Cockpit!$I$5,1)="A",H1595,IF(CH1595=1,(CK1595+CI1595)/2,IF(LEFT(Cockpit!$I$5,1)="B",(CK1595+AV1595)/2,MAX((CK1595+AV1595)/2,H1595))))</f>
        <v>1</v>
      </c>
      <c r="AU1595" s="50" t="n">
        <f aca="false">AT1595*G1595</f>
        <v>444.6</v>
      </c>
      <c r="AV1595" s="50" t="n">
        <f aca="false">ROUNDUP(CK1595+MAX(CL1595,2*(J1595/IF(CG1595&gt;0,CG1595,MAX(0.1,N(Cockpit!$I$6)))-CK1595)),0)</f>
        <v>1</v>
      </c>
      <c r="AW1595" s="51" t="n">
        <f aca="false">IF(AS1595&gt;0,J1595/AS1595,-1)</f>
        <v>0</v>
      </c>
      <c r="AX1595" s="51" t="str">
        <f aca="false">IF(AND(OR(CF1595="L1",CF1595="L23",CF1595="LIFT"),AS1595&gt;0),SUMIFS($AS$7:$AS$1843,$CF$7:$CF$1843,CF1595,$AW$7:$AW$1843,"&gt;"&amp;AW1595)+SUMIFS($AS$7:$AS$1843,$CF$7:$CF$1843,CF1595,$AW$7:$AW$1843,AW1595,$BW$7:$BW$1843,"&lt;="&amp;BW1595),"")</f>
        <v/>
      </c>
      <c r="AY1595" s="58" t="n">
        <f aca="false">IF(AX1595="",0,MAX(0,MIN(1,(IF(CF1595="L1",Parameter!$H$5,IF(CF1595="L23",Parameter!$H$6+Parameter!$H$7,Parameter!$H$5+Parameter!$H$6+Parameter!$H$7))-(AX1595-AS1595))/AS1595)))</f>
        <v>0</v>
      </c>
      <c r="AZ1595" s="50" t="n">
        <f aca="false">IF(LEFT(Cockpit!$O$5,1)="A",H1595,IF(Parameter!$E$30="MAX-Bestand",IF(CH1595=1,CI1595,IF(LEFT(Cockpit!$O$5,1)="B",BF1595,MAX(BF1595,H1595))),ROUNDUP(BD1595,0)))</f>
        <v>1</v>
      </c>
      <c r="BA1595" s="50" t="n">
        <f aca="false">IF(BZ1595=1,0,ROUNDUP(AZ1595/BY1595,0))</f>
        <v>1</v>
      </c>
      <c r="BB1595" s="52" t="n">
        <f aca="false">IF(CQ1595&gt;0,CQ1595*MAX(1,AZ1595/X1595),IF(BZ1595=1,IF(AZ1595&lt;=0,0,CD1595*MAX(1,IF(H1595&gt;0,AZ1595/H1595,1))),IF(R1595&gt;0,BA1595/R1595,0))/MAX(0.1,N(Parameter!$M$21)))</f>
        <v>0.0833333333333333</v>
      </c>
      <c r="BC1595" s="50" t="n">
        <f aca="false">BB1595*CB1595</f>
        <v>12.0833333333333</v>
      </c>
      <c r="BD1595" s="51" t="n">
        <f aca="false">IF(LEFT(Cockpit!$O$5,1)="A",H1595,IF(CH1595=1,(CK1595+CI1595)/2,IF(LEFT(Cockpit!$O$5,1)="B",(CK1595+BF1595)/2,MAX((CK1595+BF1595)/2,H1595))))</f>
        <v>0.5</v>
      </c>
      <c r="BE1595" s="50" t="n">
        <f aca="false">BD1595*G1595</f>
        <v>222.3</v>
      </c>
      <c r="BF1595" s="50" t="n">
        <f aca="false">ROUNDUP(CK1595+MAX(CL1595,2*(J1595/IF(CG1595&gt;0,CG1595,MAX(0.1,N(Cockpit!$O$6)))-CK1595)),0)</f>
        <v>1</v>
      </c>
      <c r="BG1595" s="51" t="n">
        <f aca="false">IF(BC1595&gt;0,J1595/BC1595,-1)</f>
        <v>0</v>
      </c>
      <c r="BH1595" s="51" t="str">
        <f aca="false">IF(AND(OR(CF1595="L1",CF1595="L23",CF1595="LIFT"),BC1595&gt;0),SUMIFS($BC$7:$BC$1843,$CF$7:$CF$1843,CF1595,$BG$7:$BG$1843,"&gt;"&amp;BG1595)+SUMIFS($BC$7:$BC$1843,$CF$7:$CF$1843,CF1595,$BG$7:$BG$1843,BG1595,$BW$7:$BW$1843,"&lt;="&amp;BW1595),"")</f>
        <v/>
      </c>
      <c r="BI1595" s="58" t="n">
        <f aca="false">IF(BH1595="",0,MAX(0,MIN(1,(IF(CF1595="L1",Parameter!$H$5,IF(CF1595="L23",Parameter!$H$6+Parameter!$H$7,Parameter!$H$5+Parameter!$H$6+Parameter!$H$7))-(BH1595-BC1595))/BC1595)))</f>
        <v>0</v>
      </c>
      <c r="BJ1595" s="48" t="str">
        <f aca="false">IF(AI1595&lt;=0,"",IF(CF1595="Aussen","Aussenlager",IF(CF1595="-","Nicht im Lift",IF(AO1595&gt;=1,"Lift",IF(AO1595&lt;=0,"Aussenlager","teilweise")))))</f>
        <v>Nicht im Lift</v>
      </c>
      <c r="BK1595" s="48" t="str">
        <f aca="false">IF(AS1595&lt;=0,"",IF(CF1595="Aussen","Aussenlager",IF(CF1595="-","Nicht im Lift",IF(AY1595&gt;=1,"Lift",IF(AY1595&lt;=0,"Aussenlager","teilweise")))))</f>
        <v>Nicht im Lift</v>
      </c>
      <c r="BL1595" s="48" t="str">
        <f aca="false">IF(BC1595&lt;=0,"",IF(CF1595="Aussen","Aussenlager",IF(CF1595="-","Nicht im Lift",IF(BI1595&gt;=1,"Lift",IF(BI1595&lt;=0,"Aussenlager","teilweise")))))</f>
        <v>Nicht im Lift</v>
      </c>
      <c r="BM1595" s="48" t="str">
        <f aca="false">IF(A1595="","",IF(BV1595=1,"Neu; ","")&amp;IF(AND(BV1595=0,BQ1595&lt;0),"negativer Bestand (Export "&amp;BQ1595&amp;"); ","")&amp;IF(J1595&lt;=0,"Kein Verbrauch; ","")&amp;IF(CQ1595&gt;0,"Lift "&amp;W1595&amp;" lt. Liftbericht (Fach "&amp;X1595&amp;" Stk); ",IF(CA1595=1,"Gebinde geschätzt ("&amp;T1595&amp;"); ",IF(BZ1595=1,"Lose – Tablare geschätzt; ","")))&amp;IF(H1595&gt;AV1595,"Überbestand "&amp;ROUND(H1595-AV1595,0)&amp;" Stk / CHF "&amp;ROUND((H1595-AV1595)*G1595,0)&amp;"; ","")&amp;IF(AND(CH1595=1,CI1595&lt;CJ1595),"MAX &lt; MB+LG; ","")&amp;IF(AND(CP1595&gt;0,CO1595*10&gt;CP1595),"zu hoch für Tablar; ","")&amp;IF(AND(BV1595=0,OR(CH1595=1,AA1595&lt;&gt;"",U1595&lt;&gt;"",V1595&lt;&gt;"",AB1595&lt;&gt;"")),"manuell übersteuert; ","")&amp;IF(AND(BZ1595=0,R1595=0),"Gebinde unbekannt / Stellmass fehlt; ","")&amp;IF(AND(BZ1595=0,N(V1595)&lt;=0,N(Q1595)&lt;=0),"Menge pro Gebinde fehlt (Ist = 1 Gebinde); ","")&amp;BU1595)</f>
        <v>Kein Verbrauch; Gebinde geschätzt (Mittel); Menge pro Gebinde fehlt (Ist = 1 Gebinde); nur im Artikelstamm (Bestand 23.06.2026)</v>
      </c>
      <c r="BN1595" s="48"/>
      <c r="BO1595" s="48"/>
      <c r="BP1595" s="55"/>
      <c r="BQ1595" s="50" t="n">
        <v>1</v>
      </c>
      <c r="BR1595" s="50" t="n">
        <v>0</v>
      </c>
      <c r="BS1595" s="49" t="n">
        <v>0</v>
      </c>
      <c r="BT1595" s="50" t="n">
        <v>0</v>
      </c>
      <c r="BU1595" s="48" t="s">
        <v>2584</v>
      </c>
      <c r="BV1595" s="53" t="n">
        <v>0</v>
      </c>
      <c r="BW1595" s="53" t="n">
        <v>1595</v>
      </c>
      <c r="BX1595" s="48" t="str">
        <f aca="false">IF(U1595&lt;&gt;"",UPPER(TRIM(U1595)),IF(CA1595=1,UPPER(VLOOKUP(T1595,Parameter!$I$27:$K$29,2,0)),IF(P1595="","LOSE",P1595)))</f>
        <v>S61</v>
      </c>
      <c r="BY1595" s="50" t="n">
        <f aca="false">IF(BX1595="LOSE",1,IF(N(V1595)&gt;0,V1595,IF(CA1595=1,MAX(1,N(VLOOKUP(T1595,Parameter!$I$27:$K$29,3,0)),H1595,N(N1595)),IF(N(Q1595)&gt;0,Q1595,MAX(1,H1595)))))</f>
        <v>4</v>
      </c>
      <c r="BZ1595" s="53" t="n">
        <f aca="false">IF(BX1595="LOSE",1,0)</f>
        <v>0</v>
      </c>
      <c r="CA1595" s="53" t="n">
        <f aca="false">IF(AND(U1595="",OR(P1595="",P1595="LOSE"),T1595&lt;&gt;"",N(S1595)&lt;=0,ISNUMBER(MATCH(T1595,Parameter!$I$27:$I$29,0))),1,0)</f>
        <v>1</v>
      </c>
      <c r="CB1595" s="53" t="n">
        <f aca="false">IF(CQ1595&gt;0,INDEX(Parameter!$H$5:$H$7,W1595)/INDEX(Parameter!$E$5:$E$7,W1595),IF(AND(BZ1595=0,N(IFERROR(VLOOKUP(BX1595,'Gebinde-Kategorie'!$A$5:$N$45,14,0),0))&gt;0),VLOOKUP(BX1595,'Gebinde-Kategorie'!$A$5:$N$45,14,0)*10+Parameter!$M$23,Parameter!$M$24))</f>
        <v>145</v>
      </c>
      <c r="CC1595" s="48" t="str">
        <f aca="false">IF(AND(Parameter!$B$19="Ja",E1595&lt;&gt;"",ISNUMBER(MATCH(E1595,Parameter!$I$35:$I$52,0))),VLOOKUP(E1595,Parameter!$I$35:$J$52,2,0),IFERROR(VLOOKUP(D1595,Parameter!$A$35:$C$64,2,0),"Nein"))</f>
        <v>Nein</v>
      </c>
      <c r="CD1595" s="52" t="n">
        <f aca="false">IF(BZ1595=0,0,IF(N(S1595)&gt;0,S1595,IFERROR(VLOOKUP(D1595,Parameter!$A$35:$C$64,3,0)+0,0)))</f>
        <v>0</v>
      </c>
      <c r="CE1595" s="48" t="str">
        <f aca="false">IF(AA1595&lt;&gt;"",AA1595,Z1595)</f>
        <v>-</v>
      </c>
      <c r="CF1595" s="48" t="str">
        <f aca="false">IF(OR(CE1595=1,CE1595=2,CE1595=3),IF(Parameter!$E$27="Ja","LIFT",IF(CE1595=1,"L1","L23")),IF(CE1595="Aussen","Aussen","-"))</f>
        <v>-</v>
      </c>
      <c r="CG1595" s="59" t="n">
        <f aca="false">IF(N(AB1595)&gt;0,AB1595,0)</f>
        <v>0</v>
      </c>
      <c r="CH1595" s="53" t="n">
        <f aca="false">IF(ISNUMBER(AE1595),1,0)</f>
        <v>0</v>
      </c>
      <c r="CI1595" s="50" t="n">
        <f aca="false">N(AE1595)</f>
        <v>0</v>
      </c>
      <c r="CJ1595" s="50" t="n">
        <f aca="false">N(M1595)+N(N1595)</f>
        <v>1</v>
      </c>
      <c r="CK1595" s="50" t="n">
        <f aca="false">N(M1595)</f>
        <v>0</v>
      </c>
      <c r="CL1595" s="50" t="n">
        <f aca="false">N(N1595)</f>
        <v>1</v>
      </c>
      <c r="CM1595" s="50" t="n">
        <f aca="false">ROUNDUP(H1595/BY1595,0)</f>
        <v>1</v>
      </c>
      <c r="CN1595" s="50" t="n">
        <f aca="false">ROUNDUP(CI1595/BY1595,0)</f>
        <v>0</v>
      </c>
      <c r="CO1595" s="53" t="n">
        <f aca="false">IF(BZ1595=1,0,IFERROR(VLOOKUP(BX1595,'Gebinde-Kategorie'!$A$5:$N$45,5,0)+0,0))</f>
        <v>11</v>
      </c>
      <c r="CP1595" s="53" t="n">
        <f aca="false">IFERROR(IF(OR(CE1595=1,CE1595=2,CE1595=3),N(INDEX(Parameter!$I$5:$I$7,CE1595)),0),0)</f>
        <v>0</v>
      </c>
      <c r="CQ1595" s="52" t="n">
        <f aca="false">IF(AND(Parameter!$B$21="Ja",ISNUMBER(W1595),N(X1595)&gt;0),IFERROR(N(INDEX(Parameter!$L$5:$L$7,W1595))*INDEX(Parameter!$E$5:$E$7,W1595)*X1595/SUMIFS($X$7:$X$1843,$W$7:$W$1843,W1595),0),0)</f>
        <v>0</v>
      </c>
    </row>
    <row r="1596" customFormat="false" ht="15" hidden="false" customHeight="false" outlineLevel="0" collapsed="false">
      <c r="A1596" s="48" t="s">
        <v>2791</v>
      </c>
      <c r="B1596" s="48" t="s">
        <v>707</v>
      </c>
      <c r="C1596" s="48" t="s">
        <v>173</v>
      </c>
      <c r="D1596" s="48" t="s">
        <v>182</v>
      </c>
      <c r="E1596" s="48" t="s">
        <v>182</v>
      </c>
      <c r="F1596" s="48"/>
      <c r="G1596" s="49" t="n">
        <v>444.6</v>
      </c>
      <c r="H1596" s="50" t="n">
        <f aca="false">MAX(0,IF(AND(Parameter!$B$21="Ja",ISNUMBER(Y1596)),Y1596,IF(Parameter!$B$20="Jahresanfang 2025 + Export",BR1596+BQ1596,BQ1596)))</f>
        <v>1</v>
      </c>
      <c r="I1596" s="50" t="n">
        <f aca="false">H1596*G1596</f>
        <v>444.6</v>
      </c>
      <c r="J1596" s="50" t="n">
        <f aca="false">BT1596*Parameter!$B$18</f>
        <v>0</v>
      </c>
      <c r="K1596" s="51"/>
      <c r="L1596" s="52"/>
      <c r="M1596" s="50" t="n">
        <v>0</v>
      </c>
      <c r="N1596" s="50" t="n">
        <v>1</v>
      </c>
      <c r="O1596" s="53" t="n">
        <v>28</v>
      </c>
      <c r="P1596" s="48" t="s">
        <v>177</v>
      </c>
      <c r="Q1596" s="50"/>
      <c r="R1596" s="53" t="n">
        <f aca="false">IF(BZ1596=1,0,IFERROR(VLOOKUP(BX1596,'Gebinde-Kategorie'!$A$5:$N$45,13,0)+0,0))</f>
        <v>12</v>
      </c>
      <c r="S1596" s="54"/>
      <c r="T1596" s="55" t="s">
        <v>188</v>
      </c>
      <c r="U1596" s="55"/>
      <c r="V1596" s="55"/>
      <c r="W1596" s="48"/>
      <c r="X1596" s="50"/>
      <c r="Y1596" s="50"/>
      <c r="Z1596" s="48" t="str">
        <f aca="false">IF(A1596="","",IF(AND(Parameter!$B$21="Ja",ISNUMBER(W1596)),W1596,IF(CC1596="2+3",IF(ISNUMBER(SEARCH("grosser Artikel",BU1596)),2,IFERROR(VLOOKUP(BX1596,Parameter!$F$35:$G$64,2,0),2)),IF(OR(CC1596="Nein",CC1596=""),"-",CC1596))))</f>
        <v>-</v>
      </c>
      <c r="AA1596" s="55"/>
      <c r="AB1596" s="56"/>
      <c r="AC1596" s="50" t="n">
        <f aca="false">AV1596</f>
        <v>1</v>
      </c>
      <c r="AD1596" s="50" t="n">
        <f aca="false">MAX(AV1596,H1596)</f>
        <v>1</v>
      </c>
      <c r="AE1596" s="57"/>
      <c r="AF1596" s="50" t="n">
        <f aca="false">IF(LEFT(Cockpit!$C$5,1)="A",H1596,IF(Parameter!$E$30="MAX-Bestand",IF(CH1596=1,CI1596,IF(LEFT(Cockpit!$C$5,1)="B",AL1596,MAX(AL1596,H1596))),ROUNDUP(AJ1596,0)))</f>
        <v>1</v>
      </c>
      <c r="AG1596" s="50" t="n">
        <f aca="false">IF(BZ1596=1,0,ROUNDUP(AF1596/BY1596,0))</f>
        <v>1</v>
      </c>
      <c r="AH1596" s="52" t="n">
        <f aca="false">IF(CQ1596&gt;0,CQ1596*MAX(1,AF1596/X1596),IF(BZ1596=1,IF(AF1596&lt;=0,0,CD1596*MAX(1,IF(H1596&gt;0,AF1596/H1596,1))),IF(R1596&gt;0,AG1596/R1596,0))/MAX(0.1,N(Parameter!$M$21)))</f>
        <v>0.0833333333333333</v>
      </c>
      <c r="AI1596" s="50" t="n">
        <f aca="false">AH1596*CB1596</f>
        <v>12.0833333333333</v>
      </c>
      <c r="AJ1596" s="51" t="n">
        <f aca="false">IF(LEFT(Cockpit!$C$5,1)="A",H1596,IF(CH1596=1,(CK1596+CI1596)/2,IF(LEFT(Cockpit!$C$5,1)="B",(CK1596+AL1596)/2,MAX((CK1596+AL1596)/2,H1596))))</f>
        <v>1</v>
      </c>
      <c r="AK1596" s="50" t="n">
        <f aca="false">AJ1596*G1596</f>
        <v>444.6</v>
      </c>
      <c r="AL1596" s="50" t="n">
        <f aca="false">ROUNDUP(CK1596+MAX(CL1596,2*(J1596/IF(CG1596&gt;0,CG1596,MAX(0.1,N(Cockpit!$C$6)))-CK1596)),0)</f>
        <v>1</v>
      </c>
      <c r="AM1596" s="51" t="n">
        <f aca="false">IF(AI1596&gt;0,J1596/AI1596,-1)</f>
        <v>0</v>
      </c>
      <c r="AN1596" s="51" t="str">
        <f aca="false">IF(AND(OR(CF1596="L1",CF1596="L23",CF1596="LIFT"),AI1596&gt;0),SUMIFS($AI$7:$AI$1843,$CF$7:$CF$1843,CF1596,$AM$7:$AM$1843,"&gt;"&amp;AM1596)+SUMIFS($AI$7:$AI$1843,$CF$7:$CF$1843,CF1596,$AM$7:$AM$1843,AM1596,$BW$7:$BW$1843,"&lt;="&amp;BW1596),"")</f>
        <v/>
      </c>
      <c r="AO1596" s="58" t="n">
        <f aca="false">IF(AN1596="",0,MAX(0,MIN(1,(IF(CF1596="L1",Parameter!$H$5,IF(CF1596="L23",Parameter!$H$6+Parameter!$H$7,Parameter!$H$5+Parameter!$H$6+Parameter!$H$7))-(AN1596-AI1596))/AI1596)))</f>
        <v>0</v>
      </c>
      <c r="AP1596" s="50" t="n">
        <f aca="false">IF(LEFT(Cockpit!$I$5,1)="A",H1596,IF(Parameter!$E$30="MAX-Bestand",IF(CH1596=1,CI1596,IF(LEFT(Cockpit!$I$5,1)="B",AV1596,MAX(AV1596,H1596))),ROUNDUP(AT1596,0)))</f>
        <v>1</v>
      </c>
      <c r="AQ1596" s="50" t="n">
        <f aca="false">IF(BZ1596=1,0,ROUNDUP(AP1596/BY1596,0))</f>
        <v>1</v>
      </c>
      <c r="AR1596" s="52" t="n">
        <f aca="false">IF(CQ1596&gt;0,CQ1596*MAX(1,AP1596/X1596),IF(BZ1596=1,IF(AP1596&lt;=0,0,CD1596*MAX(1,IF(H1596&gt;0,AP1596/H1596,1))),IF(R1596&gt;0,AQ1596/R1596,0))/MAX(0.1,N(Parameter!$M$21)))</f>
        <v>0.0833333333333333</v>
      </c>
      <c r="AS1596" s="50" t="n">
        <f aca="false">AR1596*CB1596</f>
        <v>12.0833333333333</v>
      </c>
      <c r="AT1596" s="51" t="n">
        <f aca="false">IF(LEFT(Cockpit!$I$5,1)="A",H1596,IF(CH1596=1,(CK1596+CI1596)/2,IF(LEFT(Cockpit!$I$5,1)="B",(CK1596+AV1596)/2,MAX((CK1596+AV1596)/2,H1596))))</f>
        <v>1</v>
      </c>
      <c r="AU1596" s="50" t="n">
        <f aca="false">AT1596*G1596</f>
        <v>444.6</v>
      </c>
      <c r="AV1596" s="50" t="n">
        <f aca="false">ROUNDUP(CK1596+MAX(CL1596,2*(J1596/IF(CG1596&gt;0,CG1596,MAX(0.1,N(Cockpit!$I$6)))-CK1596)),0)</f>
        <v>1</v>
      </c>
      <c r="AW1596" s="51" t="n">
        <f aca="false">IF(AS1596&gt;0,J1596/AS1596,-1)</f>
        <v>0</v>
      </c>
      <c r="AX1596" s="51" t="str">
        <f aca="false">IF(AND(OR(CF1596="L1",CF1596="L23",CF1596="LIFT"),AS1596&gt;0),SUMIFS($AS$7:$AS$1843,$CF$7:$CF$1843,CF1596,$AW$7:$AW$1843,"&gt;"&amp;AW1596)+SUMIFS($AS$7:$AS$1843,$CF$7:$CF$1843,CF1596,$AW$7:$AW$1843,AW1596,$BW$7:$BW$1843,"&lt;="&amp;BW1596),"")</f>
        <v/>
      </c>
      <c r="AY1596" s="58" t="n">
        <f aca="false">IF(AX1596="",0,MAX(0,MIN(1,(IF(CF1596="L1",Parameter!$H$5,IF(CF1596="L23",Parameter!$H$6+Parameter!$H$7,Parameter!$H$5+Parameter!$H$6+Parameter!$H$7))-(AX1596-AS1596))/AS1596)))</f>
        <v>0</v>
      </c>
      <c r="AZ1596" s="50" t="n">
        <f aca="false">IF(LEFT(Cockpit!$O$5,1)="A",H1596,IF(Parameter!$E$30="MAX-Bestand",IF(CH1596=1,CI1596,IF(LEFT(Cockpit!$O$5,1)="B",BF1596,MAX(BF1596,H1596))),ROUNDUP(BD1596,0)))</f>
        <v>1</v>
      </c>
      <c r="BA1596" s="50" t="n">
        <f aca="false">IF(BZ1596=1,0,ROUNDUP(AZ1596/BY1596,0))</f>
        <v>1</v>
      </c>
      <c r="BB1596" s="52" t="n">
        <f aca="false">IF(CQ1596&gt;0,CQ1596*MAX(1,AZ1596/X1596),IF(BZ1596=1,IF(AZ1596&lt;=0,0,CD1596*MAX(1,IF(H1596&gt;0,AZ1596/H1596,1))),IF(R1596&gt;0,BA1596/R1596,0))/MAX(0.1,N(Parameter!$M$21)))</f>
        <v>0.0833333333333333</v>
      </c>
      <c r="BC1596" s="50" t="n">
        <f aca="false">BB1596*CB1596</f>
        <v>12.0833333333333</v>
      </c>
      <c r="BD1596" s="51" t="n">
        <f aca="false">IF(LEFT(Cockpit!$O$5,1)="A",H1596,IF(CH1596=1,(CK1596+CI1596)/2,IF(LEFT(Cockpit!$O$5,1)="B",(CK1596+BF1596)/2,MAX((CK1596+BF1596)/2,H1596))))</f>
        <v>0.5</v>
      </c>
      <c r="BE1596" s="50" t="n">
        <f aca="false">BD1596*G1596</f>
        <v>222.3</v>
      </c>
      <c r="BF1596" s="50" t="n">
        <f aca="false">ROUNDUP(CK1596+MAX(CL1596,2*(J1596/IF(CG1596&gt;0,CG1596,MAX(0.1,N(Cockpit!$O$6)))-CK1596)),0)</f>
        <v>1</v>
      </c>
      <c r="BG1596" s="51" t="n">
        <f aca="false">IF(BC1596&gt;0,J1596/BC1596,-1)</f>
        <v>0</v>
      </c>
      <c r="BH1596" s="51" t="str">
        <f aca="false">IF(AND(OR(CF1596="L1",CF1596="L23",CF1596="LIFT"),BC1596&gt;0),SUMIFS($BC$7:$BC$1843,$CF$7:$CF$1843,CF1596,$BG$7:$BG$1843,"&gt;"&amp;BG1596)+SUMIFS($BC$7:$BC$1843,$CF$7:$CF$1843,CF1596,$BG$7:$BG$1843,BG1596,$BW$7:$BW$1843,"&lt;="&amp;BW1596),"")</f>
        <v/>
      </c>
      <c r="BI1596" s="58" t="n">
        <f aca="false">IF(BH1596="",0,MAX(0,MIN(1,(IF(CF1596="L1",Parameter!$H$5,IF(CF1596="L23",Parameter!$H$6+Parameter!$H$7,Parameter!$H$5+Parameter!$H$6+Parameter!$H$7))-(BH1596-BC1596))/BC1596)))</f>
        <v>0</v>
      </c>
      <c r="BJ1596" s="48" t="str">
        <f aca="false">IF(AI1596&lt;=0,"",IF(CF1596="Aussen","Aussenlager",IF(CF1596="-","Nicht im Lift",IF(AO1596&gt;=1,"Lift",IF(AO1596&lt;=0,"Aussenlager","teilweise")))))</f>
        <v>Nicht im Lift</v>
      </c>
      <c r="BK1596" s="48" t="str">
        <f aca="false">IF(AS1596&lt;=0,"",IF(CF1596="Aussen","Aussenlager",IF(CF1596="-","Nicht im Lift",IF(AY1596&gt;=1,"Lift",IF(AY1596&lt;=0,"Aussenlager","teilweise")))))</f>
        <v>Nicht im Lift</v>
      </c>
      <c r="BL1596" s="48" t="str">
        <f aca="false">IF(BC1596&lt;=0,"",IF(CF1596="Aussen","Aussenlager",IF(CF1596="-","Nicht im Lift",IF(BI1596&gt;=1,"Lift",IF(BI1596&lt;=0,"Aussenlager","teilweise")))))</f>
        <v>Nicht im Lift</v>
      </c>
      <c r="BM1596" s="48" t="str">
        <f aca="false">IF(A1596="","",IF(BV1596=1,"Neu; ","")&amp;IF(AND(BV1596=0,BQ1596&lt;0),"negativer Bestand (Export "&amp;BQ1596&amp;"); ","")&amp;IF(J1596&lt;=0,"Kein Verbrauch; ","")&amp;IF(CQ1596&gt;0,"Lift "&amp;W1596&amp;" lt. Liftbericht (Fach "&amp;X1596&amp;" Stk); ",IF(CA1596=1,"Gebinde geschätzt ("&amp;T1596&amp;"); ",IF(BZ1596=1,"Lose – Tablare geschätzt; ","")))&amp;IF(H1596&gt;AV1596,"Überbestand "&amp;ROUND(H1596-AV1596,0)&amp;" Stk / CHF "&amp;ROUND((H1596-AV1596)*G1596,0)&amp;"; ","")&amp;IF(AND(CH1596=1,CI1596&lt;CJ1596),"MAX &lt; MB+LG; ","")&amp;IF(AND(CP1596&gt;0,CO1596*10&gt;CP1596),"zu hoch für Tablar; ","")&amp;IF(AND(BV1596=0,OR(CH1596=1,AA1596&lt;&gt;"",U1596&lt;&gt;"",V1596&lt;&gt;"",AB1596&lt;&gt;"")),"manuell übersteuert; ","")&amp;IF(AND(BZ1596=0,R1596=0),"Gebinde unbekannt / Stellmass fehlt; ","")&amp;IF(AND(BZ1596=0,N(V1596)&lt;=0,N(Q1596)&lt;=0),"Menge pro Gebinde fehlt (Ist = 1 Gebinde); ","")&amp;BU1596)</f>
        <v>Kein Verbrauch; Gebinde geschätzt (Mittel); Menge pro Gebinde fehlt (Ist = 1 Gebinde); nur im Artikelstamm (Bestand 23.06.2026)</v>
      </c>
      <c r="BN1596" s="48"/>
      <c r="BO1596" s="48"/>
      <c r="BP1596" s="55"/>
      <c r="BQ1596" s="50" t="n">
        <v>1</v>
      </c>
      <c r="BR1596" s="50" t="n">
        <v>0</v>
      </c>
      <c r="BS1596" s="49" t="n">
        <v>0</v>
      </c>
      <c r="BT1596" s="50" t="n">
        <v>0</v>
      </c>
      <c r="BU1596" s="48" t="s">
        <v>2584</v>
      </c>
      <c r="BV1596" s="53" t="n">
        <v>0</v>
      </c>
      <c r="BW1596" s="53" t="n">
        <v>1596</v>
      </c>
      <c r="BX1596" s="48" t="str">
        <f aca="false">IF(U1596&lt;&gt;"",UPPER(TRIM(U1596)),IF(CA1596=1,UPPER(VLOOKUP(T1596,Parameter!$I$27:$K$29,2,0)),IF(P1596="","LOSE",P1596)))</f>
        <v>S61</v>
      </c>
      <c r="BY1596" s="50" t="n">
        <f aca="false">IF(BX1596="LOSE",1,IF(N(V1596)&gt;0,V1596,IF(CA1596=1,MAX(1,N(VLOOKUP(T1596,Parameter!$I$27:$K$29,3,0)),H1596,N(N1596)),IF(N(Q1596)&gt;0,Q1596,MAX(1,H1596)))))</f>
        <v>4</v>
      </c>
      <c r="BZ1596" s="53" t="n">
        <f aca="false">IF(BX1596="LOSE",1,0)</f>
        <v>0</v>
      </c>
      <c r="CA1596" s="53" t="n">
        <f aca="false">IF(AND(U1596="",OR(P1596="",P1596="LOSE"),T1596&lt;&gt;"",N(S1596)&lt;=0,ISNUMBER(MATCH(T1596,Parameter!$I$27:$I$29,0))),1,0)</f>
        <v>1</v>
      </c>
      <c r="CB1596" s="53" t="n">
        <f aca="false">IF(CQ1596&gt;0,INDEX(Parameter!$H$5:$H$7,W1596)/INDEX(Parameter!$E$5:$E$7,W1596),IF(AND(BZ1596=0,N(IFERROR(VLOOKUP(BX1596,'Gebinde-Kategorie'!$A$5:$N$45,14,0),0))&gt;0),VLOOKUP(BX1596,'Gebinde-Kategorie'!$A$5:$N$45,14,0)*10+Parameter!$M$23,Parameter!$M$24))</f>
        <v>145</v>
      </c>
      <c r="CC1596" s="48" t="str">
        <f aca="false">IF(AND(Parameter!$B$19="Ja",E1596&lt;&gt;"",ISNUMBER(MATCH(E1596,Parameter!$I$35:$I$52,0))),VLOOKUP(E1596,Parameter!$I$35:$J$52,2,0),IFERROR(VLOOKUP(D1596,Parameter!$A$35:$C$64,2,0),"Nein"))</f>
        <v>Nein</v>
      </c>
      <c r="CD1596" s="52" t="n">
        <f aca="false">IF(BZ1596=0,0,IF(N(S1596)&gt;0,S1596,IFERROR(VLOOKUP(D1596,Parameter!$A$35:$C$64,3,0)+0,0)))</f>
        <v>0</v>
      </c>
      <c r="CE1596" s="48" t="str">
        <f aca="false">IF(AA1596&lt;&gt;"",AA1596,Z1596)</f>
        <v>-</v>
      </c>
      <c r="CF1596" s="48" t="str">
        <f aca="false">IF(OR(CE1596=1,CE1596=2,CE1596=3),IF(Parameter!$E$27="Ja","LIFT",IF(CE1596=1,"L1","L23")),IF(CE1596="Aussen","Aussen","-"))</f>
        <v>-</v>
      </c>
      <c r="CG1596" s="59" t="n">
        <f aca="false">IF(N(AB1596)&gt;0,AB1596,0)</f>
        <v>0</v>
      </c>
      <c r="CH1596" s="53" t="n">
        <f aca="false">IF(ISNUMBER(AE1596),1,0)</f>
        <v>0</v>
      </c>
      <c r="CI1596" s="50" t="n">
        <f aca="false">N(AE1596)</f>
        <v>0</v>
      </c>
      <c r="CJ1596" s="50" t="n">
        <f aca="false">N(M1596)+N(N1596)</f>
        <v>1</v>
      </c>
      <c r="CK1596" s="50" t="n">
        <f aca="false">N(M1596)</f>
        <v>0</v>
      </c>
      <c r="CL1596" s="50" t="n">
        <f aca="false">N(N1596)</f>
        <v>1</v>
      </c>
      <c r="CM1596" s="50" t="n">
        <f aca="false">ROUNDUP(H1596/BY1596,0)</f>
        <v>1</v>
      </c>
      <c r="CN1596" s="50" t="n">
        <f aca="false">ROUNDUP(CI1596/BY1596,0)</f>
        <v>0</v>
      </c>
      <c r="CO1596" s="53" t="n">
        <f aca="false">IF(BZ1596=1,0,IFERROR(VLOOKUP(BX1596,'Gebinde-Kategorie'!$A$5:$N$45,5,0)+0,0))</f>
        <v>11</v>
      </c>
      <c r="CP1596" s="53" t="n">
        <f aca="false">IFERROR(IF(OR(CE1596=1,CE1596=2,CE1596=3),N(INDEX(Parameter!$I$5:$I$7,CE1596)),0),0)</f>
        <v>0</v>
      </c>
      <c r="CQ1596" s="52" t="n">
        <f aca="false">IF(AND(Parameter!$B$21="Ja",ISNUMBER(W1596),N(X1596)&gt;0),IFERROR(N(INDEX(Parameter!$L$5:$L$7,W1596))*INDEX(Parameter!$E$5:$E$7,W1596)*X1596/SUMIFS($X$7:$X$1843,$W$7:$W$1843,W1596),0),0)</f>
        <v>0</v>
      </c>
    </row>
    <row r="1597" customFormat="false" ht="15" hidden="false" customHeight="false" outlineLevel="0" collapsed="false">
      <c r="A1597" s="48" t="s">
        <v>2792</v>
      </c>
      <c r="B1597" s="48" t="s">
        <v>2793</v>
      </c>
      <c r="C1597" s="48" t="s">
        <v>173</v>
      </c>
      <c r="D1597" s="48" t="s">
        <v>193</v>
      </c>
      <c r="E1597" s="48"/>
      <c r="F1597" s="48"/>
      <c r="G1597" s="49" t="n">
        <v>356.24</v>
      </c>
      <c r="H1597" s="50" t="n">
        <f aca="false">MAX(0,IF(AND(Parameter!$B$21="Ja",ISNUMBER(Y1597)),Y1597,IF(Parameter!$B$20="Jahresanfang 2025 + Export",BR1597+BQ1597,BQ1597)))</f>
        <v>2</v>
      </c>
      <c r="I1597" s="50" t="n">
        <f aca="false">H1597*G1597</f>
        <v>712.48</v>
      </c>
      <c r="J1597" s="50" t="n">
        <f aca="false">BT1597*Parameter!$B$18</f>
        <v>0</v>
      </c>
      <c r="K1597" s="51"/>
      <c r="L1597" s="52"/>
      <c r="M1597" s="50" t="n">
        <v>0</v>
      </c>
      <c r="N1597" s="50" t="n">
        <v>1</v>
      </c>
      <c r="O1597" s="53" t="n">
        <v>35</v>
      </c>
      <c r="P1597" s="48" t="s">
        <v>177</v>
      </c>
      <c r="Q1597" s="50"/>
      <c r="R1597" s="53" t="n">
        <f aca="false">IF(BZ1597=1,0,IFERROR(VLOOKUP(BX1597,'Gebinde-Kategorie'!$A$5:$N$45,13,0)+0,0))</f>
        <v>26</v>
      </c>
      <c r="S1597" s="54"/>
      <c r="T1597" s="55" t="s">
        <v>284</v>
      </c>
      <c r="U1597" s="55"/>
      <c r="V1597" s="55"/>
      <c r="W1597" s="48"/>
      <c r="X1597" s="50"/>
      <c r="Y1597" s="50"/>
      <c r="Z1597" s="48" t="n">
        <f aca="false">IF(A1597="","",IF(AND(Parameter!$B$21="Ja",ISNUMBER(W1597)),W1597,IF(CC1597="2+3",IF(ISNUMBER(SEARCH("grosser Artikel",BU1597)),2,IFERROR(VLOOKUP(BX1597,Parameter!$F$35:$G$64,2,0),2)),IF(OR(CC1597="Nein",CC1597=""),"-",CC1597))))</f>
        <v>3</v>
      </c>
      <c r="AA1597" s="55"/>
      <c r="AB1597" s="56"/>
      <c r="AC1597" s="50" t="n">
        <f aca="false">AV1597</f>
        <v>1</v>
      </c>
      <c r="AD1597" s="50" t="n">
        <f aca="false">MAX(AV1597,H1597)</f>
        <v>2</v>
      </c>
      <c r="AE1597" s="57"/>
      <c r="AF1597" s="50" t="n">
        <f aca="false">IF(LEFT(Cockpit!$C$5,1)="A",H1597,IF(Parameter!$E$30="MAX-Bestand",IF(CH1597=1,CI1597,IF(LEFT(Cockpit!$C$5,1)="B",AL1597,MAX(AL1597,H1597))),ROUNDUP(AJ1597,0)))</f>
        <v>2</v>
      </c>
      <c r="AG1597" s="50" t="n">
        <f aca="false">IF(BZ1597=1,0,ROUNDUP(AF1597/BY1597,0))</f>
        <v>1</v>
      </c>
      <c r="AH1597" s="52" t="n">
        <f aca="false">IF(CQ1597&gt;0,CQ1597*MAX(1,AF1597/X1597),IF(BZ1597=1,IF(AF1597&lt;=0,0,CD1597*MAX(1,IF(H1597&gt;0,AF1597/H1597,1))),IF(R1597&gt;0,AG1597/R1597,0))/MAX(0.1,N(Parameter!$M$21)))</f>
        <v>0.0384615384615385</v>
      </c>
      <c r="AI1597" s="50" t="n">
        <f aca="false">AH1597*CB1597</f>
        <v>5.96153846153846</v>
      </c>
      <c r="AJ1597" s="51" t="n">
        <f aca="false">IF(LEFT(Cockpit!$C$5,1)="A",H1597,IF(CH1597=1,(CK1597+CI1597)/2,IF(LEFT(Cockpit!$C$5,1)="B",(CK1597+AL1597)/2,MAX((CK1597+AL1597)/2,H1597))))</f>
        <v>2</v>
      </c>
      <c r="AK1597" s="50" t="n">
        <f aca="false">AJ1597*G1597</f>
        <v>712.48</v>
      </c>
      <c r="AL1597" s="50" t="n">
        <f aca="false">ROUNDUP(CK1597+MAX(CL1597,2*(J1597/IF(CG1597&gt;0,CG1597,MAX(0.1,N(Cockpit!$C$6)))-CK1597)),0)</f>
        <v>1</v>
      </c>
      <c r="AM1597" s="51" t="n">
        <f aca="false">IF(AI1597&gt;0,J1597/AI1597,-1)</f>
        <v>0</v>
      </c>
      <c r="AN1597" s="51" t="n">
        <f aca="false">IF(AND(OR(CF1597="L1",CF1597="L23",CF1597="LIFT"),AI1597&gt;0),SUMIFS($AI$7:$AI$1843,$CF$7:$CF$1843,CF1597,$AM$7:$AM$1843,"&gt;"&amp;AM1597)+SUMIFS($AI$7:$AI$1843,$CF$7:$CF$1843,CF1597,$AM$7:$AM$1843,AM1597,$BW$7:$BW$1843,"&lt;="&amp;BW1597),"")</f>
        <v>30627.9572158068</v>
      </c>
      <c r="AO1597" s="58" t="n">
        <f aca="false">IF(AN1597="",0,MAX(0,MIN(1,(IF(CF1597="L1",Parameter!$H$5,IF(CF1597="L23",Parameter!$H$6+Parameter!$H$7,Parameter!$H$5+Parameter!$H$6+Parameter!$H$7))-(AN1597-AI1597))/AI1597)))</f>
        <v>1</v>
      </c>
      <c r="AP1597" s="50" t="n">
        <f aca="false">IF(LEFT(Cockpit!$I$5,1)="A",H1597,IF(Parameter!$E$30="MAX-Bestand",IF(CH1597=1,CI1597,IF(LEFT(Cockpit!$I$5,1)="B",AV1597,MAX(AV1597,H1597))),ROUNDUP(AT1597,0)))</f>
        <v>2</v>
      </c>
      <c r="AQ1597" s="50" t="n">
        <f aca="false">IF(BZ1597=1,0,ROUNDUP(AP1597/BY1597,0))</f>
        <v>1</v>
      </c>
      <c r="AR1597" s="52" t="n">
        <f aca="false">IF(CQ1597&gt;0,CQ1597*MAX(1,AP1597/X1597),IF(BZ1597=1,IF(AP1597&lt;=0,0,CD1597*MAX(1,IF(H1597&gt;0,AP1597/H1597,1))),IF(R1597&gt;0,AQ1597/R1597,0))/MAX(0.1,N(Parameter!$M$21)))</f>
        <v>0.0384615384615385</v>
      </c>
      <c r="AS1597" s="50" t="n">
        <f aca="false">AR1597*CB1597</f>
        <v>5.96153846153846</v>
      </c>
      <c r="AT1597" s="51" t="n">
        <f aca="false">IF(LEFT(Cockpit!$I$5,1)="A",H1597,IF(CH1597=1,(CK1597+CI1597)/2,IF(LEFT(Cockpit!$I$5,1)="B",(CK1597+AV1597)/2,MAX((CK1597+AV1597)/2,H1597))))</f>
        <v>2</v>
      </c>
      <c r="AU1597" s="50" t="n">
        <f aca="false">AT1597*G1597</f>
        <v>712.48</v>
      </c>
      <c r="AV1597" s="50" t="n">
        <f aca="false">ROUNDUP(CK1597+MAX(CL1597,2*(J1597/IF(CG1597&gt;0,CG1597,MAX(0.1,N(Cockpit!$I$6)))-CK1597)),0)</f>
        <v>1</v>
      </c>
      <c r="AW1597" s="51" t="n">
        <f aca="false">IF(AS1597&gt;0,J1597/AS1597,-1)</f>
        <v>0</v>
      </c>
      <c r="AX1597" s="51" t="n">
        <f aca="false">IF(AND(OR(CF1597="L1",CF1597="L23",CF1597="LIFT"),AS1597&gt;0),SUMIFS($AS$7:$AS$1843,$CF$7:$CF$1843,CF1597,$AW$7:$AW$1843,"&gt;"&amp;AW1597)+SUMIFS($AS$7:$AS$1843,$CF$7:$CF$1843,CF1597,$AW$7:$AW$1843,AW1597,$BW$7:$BW$1843,"&lt;="&amp;BW1597),"")</f>
        <v>36947.8137326421</v>
      </c>
      <c r="AY1597" s="58" t="n">
        <f aca="false">IF(AX1597="",0,MAX(0,MIN(1,(IF(CF1597="L1",Parameter!$H$5,IF(CF1597="L23",Parameter!$H$6+Parameter!$H$7,Parameter!$H$5+Parameter!$H$6+Parameter!$H$7))-(AX1597-AS1597))/AS1597)))</f>
        <v>0</v>
      </c>
      <c r="AZ1597" s="50" t="n">
        <f aca="false">IF(LEFT(Cockpit!$O$5,1)="A",H1597,IF(Parameter!$E$30="MAX-Bestand",IF(CH1597=1,CI1597,IF(LEFT(Cockpit!$O$5,1)="B",BF1597,MAX(BF1597,H1597))),ROUNDUP(BD1597,0)))</f>
        <v>1</v>
      </c>
      <c r="BA1597" s="50" t="n">
        <f aca="false">IF(BZ1597=1,0,ROUNDUP(AZ1597/BY1597,0))</f>
        <v>1</v>
      </c>
      <c r="BB1597" s="52" t="n">
        <f aca="false">IF(CQ1597&gt;0,CQ1597*MAX(1,AZ1597/X1597),IF(BZ1597=1,IF(AZ1597&lt;=0,0,CD1597*MAX(1,IF(H1597&gt;0,AZ1597/H1597,1))),IF(R1597&gt;0,BA1597/R1597,0))/MAX(0.1,N(Parameter!$M$21)))</f>
        <v>0.0384615384615385</v>
      </c>
      <c r="BC1597" s="50" t="n">
        <f aca="false">BB1597*CB1597</f>
        <v>5.96153846153846</v>
      </c>
      <c r="BD1597" s="51" t="n">
        <f aca="false">IF(LEFT(Cockpit!$O$5,1)="A",H1597,IF(CH1597=1,(CK1597+CI1597)/2,IF(LEFT(Cockpit!$O$5,1)="B",(CK1597+BF1597)/2,MAX((CK1597+BF1597)/2,H1597))))</f>
        <v>0.5</v>
      </c>
      <c r="BE1597" s="50" t="n">
        <f aca="false">BD1597*G1597</f>
        <v>178.12</v>
      </c>
      <c r="BF1597" s="50" t="n">
        <f aca="false">ROUNDUP(CK1597+MAX(CL1597,2*(J1597/IF(CG1597&gt;0,CG1597,MAX(0.1,N(Cockpit!$O$6)))-CK1597)),0)</f>
        <v>1</v>
      </c>
      <c r="BG1597" s="51" t="n">
        <f aca="false">IF(BC1597&gt;0,J1597/BC1597,-1)</f>
        <v>0</v>
      </c>
      <c r="BH1597" s="51" t="n">
        <f aca="false">IF(AND(OR(CF1597="L1",CF1597="L23",CF1597="LIFT"),BC1597&gt;0),SUMIFS($BC$7:$BC$1843,$CF$7:$CF$1843,CF1597,$BG$7:$BG$1843,"&gt;"&amp;BG1597)+SUMIFS($BC$7:$BC$1843,$CF$7:$CF$1843,CF1597,$BG$7:$BG$1843,BG1597,$BW$7:$BW$1843,"&lt;="&amp;BW1597),"")</f>
        <v>30857.2550081745</v>
      </c>
      <c r="BI1597" s="58" t="n">
        <f aca="false">IF(BH1597="",0,MAX(0,MIN(1,(IF(CF1597="L1",Parameter!$H$5,IF(CF1597="L23",Parameter!$H$6+Parameter!$H$7,Parameter!$H$5+Parameter!$H$6+Parameter!$H$7))-(BH1597-BC1597))/BC1597)))</f>
        <v>1</v>
      </c>
      <c r="BJ1597" s="48" t="str">
        <f aca="false">IF(AI1597&lt;=0,"",IF(CF1597="Aussen","Aussenlager",IF(CF1597="-","Nicht im Lift",IF(AO1597&gt;=1,"Lift",IF(AO1597&lt;=0,"Aussenlager","teilweise")))))</f>
        <v>Lift</v>
      </c>
      <c r="BK1597" s="48" t="str">
        <f aca="false">IF(AS1597&lt;=0,"",IF(CF1597="Aussen","Aussenlager",IF(CF1597="-","Nicht im Lift",IF(AY1597&gt;=1,"Lift",IF(AY1597&lt;=0,"Aussenlager","teilweise")))))</f>
        <v>Aussenlager</v>
      </c>
      <c r="BL1597" s="48" t="str">
        <f aca="false">IF(BC1597&lt;=0,"",IF(CF1597="Aussen","Aussenlager",IF(CF1597="-","Nicht im Lift",IF(BI1597&gt;=1,"Lift",IF(BI1597&lt;=0,"Aussenlager","teilweise")))))</f>
        <v>Lift</v>
      </c>
      <c r="BM1597" s="48" t="str">
        <f aca="false">IF(A1597="","",IF(BV1597=1,"Neu; ","")&amp;IF(AND(BV1597=0,BQ1597&lt;0),"negativer Bestand (Export "&amp;BQ1597&amp;"); ","")&amp;IF(J1597&lt;=0,"Kein Verbrauch; ","")&amp;IF(CQ1597&gt;0,"Lift "&amp;W1597&amp;" lt. Liftbericht (Fach "&amp;X1597&amp;" Stk); ",IF(CA1597=1,"Gebinde geschätzt ("&amp;T1597&amp;"); ",IF(BZ1597=1,"Lose – Tablare geschätzt; ","")))&amp;IF(H1597&gt;AV1597,"Überbestand "&amp;ROUND(H1597-AV1597,0)&amp;" Stk / CHF "&amp;ROUND((H1597-AV1597)*G1597,0)&amp;"; ","")&amp;IF(AND(CH1597=1,CI1597&lt;CJ1597),"MAX &lt; MB+LG; ","")&amp;IF(AND(CP1597&gt;0,CO1597*10&gt;CP1597),"zu hoch für Tablar; ","")&amp;IF(AND(BV1597=0,OR(CH1597=1,AA1597&lt;&gt;"",U1597&lt;&gt;"",V1597&lt;&gt;"",AB1597&lt;&gt;"")),"manuell übersteuert; ","")&amp;IF(AND(BZ1597=0,R1597=0),"Gebinde unbekannt / Stellmass fehlt; ","")&amp;IF(AND(BZ1597=0,N(V1597)&lt;=0,N(Q1597)&lt;=0),"Menge pro Gebinde fehlt (Ist = 1 Gebinde); ","")&amp;BU1597)</f>
        <v>Kein Verbrauch; Gebinde geschätzt (Klein); Überbestand 1 Stk / CHF 356; Menge pro Gebinde fehlt (Ist = 1 Gebinde); nur im Artikelstamm (Bestand 23.06.2026)</v>
      </c>
      <c r="BN1597" s="48"/>
      <c r="BO1597" s="48"/>
      <c r="BP1597" s="55"/>
      <c r="BQ1597" s="50" t="n">
        <v>2</v>
      </c>
      <c r="BR1597" s="50" t="n">
        <v>0</v>
      </c>
      <c r="BS1597" s="49" t="n">
        <v>0</v>
      </c>
      <c r="BT1597" s="50" t="n">
        <v>0</v>
      </c>
      <c r="BU1597" s="48" t="s">
        <v>2584</v>
      </c>
      <c r="BV1597" s="53" t="n">
        <v>0</v>
      </c>
      <c r="BW1597" s="53" t="n">
        <v>1597</v>
      </c>
      <c r="BX1597" s="48" t="str">
        <f aca="false">IF(U1597&lt;&gt;"",UPPER(TRIM(U1597)),IF(CA1597=1,UPPER(VLOOKUP(T1597,Parameter!$I$27:$K$29,2,0)),IF(P1597="","LOSE",P1597)))</f>
        <v>S51</v>
      </c>
      <c r="BY1597" s="50" t="n">
        <f aca="false">IF(BX1597="LOSE",1,IF(N(V1597)&gt;0,V1597,IF(CA1597=1,MAX(1,N(VLOOKUP(T1597,Parameter!$I$27:$K$29,3,0)),H1597,N(N1597)),IF(N(Q1597)&gt;0,Q1597,MAX(1,H1597)))))</f>
        <v>20</v>
      </c>
      <c r="BZ1597" s="53" t="n">
        <f aca="false">IF(BX1597="LOSE",1,0)</f>
        <v>0</v>
      </c>
      <c r="CA1597" s="53" t="n">
        <f aca="false">IF(AND(U1597="",OR(P1597="",P1597="LOSE"),T1597&lt;&gt;"",N(S1597)&lt;=0,ISNUMBER(MATCH(T1597,Parameter!$I$27:$I$29,0))),1,0)</f>
        <v>1</v>
      </c>
      <c r="CB1597" s="53" t="n">
        <f aca="false">IF(CQ1597&gt;0,INDEX(Parameter!$H$5:$H$7,W1597)/INDEX(Parameter!$E$5:$E$7,W1597),IF(AND(BZ1597=0,N(IFERROR(VLOOKUP(BX1597,'Gebinde-Kategorie'!$A$5:$N$45,14,0),0))&gt;0),VLOOKUP(BX1597,'Gebinde-Kategorie'!$A$5:$N$45,14,0)*10+Parameter!$M$23,Parameter!$M$24))</f>
        <v>155</v>
      </c>
      <c r="CC1597" s="48" t="str">
        <f aca="false">IF(AND(Parameter!$B$19="Ja",E1597&lt;&gt;"",ISNUMBER(MATCH(E1597,Parameter!$I$35:$I$52,0))),VLOOKUP(E1597,Parameter!$I$35:$J$52,2,0),IFERROR(VLOOKUP(D1597,Parameter!$A$35:$C$64,2,0),"Nein"))</f>
        <v>2+3</v>
      </c>
      <c r="CD1597" s="52" t="n">
        <f aca="false">IF(BZ1597=0,0,IF(N(S1597)&gt;0,S1597,IFERROR(VLOOKUP(D1597,Parameter!$A$35:$C$64,3,0)+0,0)))</f>
        <v>0</v>
      </c>
      <c r="CE1597" s="48" t="n">
        <f aca="false">IF(AA1597&lt;&gt;"",AA1597,Z1597)</f>
        <v>3</v>
      </c>
      <c r="CF1597" s="48" t="str">
        <f aca="false">IF(OR(CE1597=1,CE1597=2,CE1597=3),IF(Parameter!$E$27="Ja","LIFT",IF(CE1597=1,"L1","L23")),IF(CE1597="Aussen","Aussen","-"))</f>
        <v>LIFT</v>
      </c>
      <c r="CG1597" s="59" t="n">
        <f aca="false">IF(N(AB1597)&gt;0,AB1597,0)</f>
        <v>0</v>
      </c>
      <c r="CH1597" s="53" t="n">
        <f aca="false">IF(ISNUMBER(AE1597),1,0)</f>
        <v>0</v>
      </c>
      <c r="CI1597" s="50" t="n">
        <f aca="false">N(AE1597)</f>
        <v>0</v>
      </c>
      <c r="CJ1597" s="50" t="n">
        <f aca="false">N(M1597)+N(N1597)</f>
        <v>1</v>
      </c>
      <c r="CK1597" s="50" t="n">
        <f aca="false">N(M1597)</f>
        <v>0</v>
      </c>
      <c r="CL1597" s="50" t="n">
        <f aca="false">N(N1597)</f>
        <v>1</v>
      </c>
      <c r="CM1597" s="50" t="n">
        <f aca="false">ROUNDUP(H1597/BY1597,0)</f>
        <v>1</v>
      </c>
      <c r="CN1597" s="50" t="n">
        <f aca="false">ROUNDUP(CI1597/BY1597,0)</f>
        <v>0</v>
      </c>
      <c r="CO1597" s="53" t="n">
        <f aca="false">IF(BZ1597=1,0,IFERROR(VLOOKUP(BX1597,'Gebinde-Kategorie'!$A$5:$N$45,5,0)+0,0))</f>
        <v>11</v>
      </c>
      <c r="CP1597" s="53" t="n">
        <f aca="false">IFERROR(IF(OR(CE1597=1,CE1597=2,CE1597=3),N(INDEX(Parameter!$I$5:$I$7,CE1597)),0),0)</f>
        <v>0</v>
      </c>
      <c r="CQ1597" s="52" t="n">
        <f aca="false">IF(AND(Parameter!$B$21="Ja",ISNUMBER(W1597),N(X1597)&gt;0),IFERROR(N(INDEX(Parameter!$L$5:$L$7,W1597))*INDEX(Parameter!$E$5:$E$7,W1597)*X1597/SUMIFS($X$7:$X$1843,$W$7:$W$1843,W1597),0),0)</f>
        <v>0</v>
      </c>
    </row>
    <row r="1598" customFormat="false" ht="15" hidden="false" customHeight="false" outlineLevel="0" collapsed="false">
      <c r="A1598" s="48" t="s">
        <v>2794</v>
      </c>
      <c r="B1598" s="48" t="s">
        <v>2795</v>
      </c>
      <c r="C1598" s="48" t="s">
        <v>173</v>
      </c>
      <c r="D1598" s="48" t="s">
        <v>193</v>
      </c>
      <c r="E1598" s="48"/>
      <c r="F1598" s="48"/>
      <c r="G1598" s="49" t="n">
        <v>7</v>
      </c>
      <c r="H1598" s="50" t="n">
        <f aca="false">MAX(0,IF(AND(Parameter!$B$21="Ja",ISNUMBER(Y1598)),Y1598,IF(Parameter!$B$20="Jahresanfang 2025 + Export",BR1598+BQ1598,BQ1598)))</f>
        <v>25</v>
      </c>
      <c r="I1598" s="50" t="n">
        <f aca="false">H1598*G1598</f>
        <v>175</v>
      </c>
      <c r="J1598" s="50" t="n">
        <f aca="false">BT1598*Parameter!$B$18</f>
        <v>0</v>
      </c>
      <c r="K1598" s="51"/>
      <c r="L1598" s="52"/>
      <c r="M1598" s="50" t="n">
        <v>0</v>
      </c>
      <c r="N1598" s="50" t="n">
        <v>3</v>
      </c>
      <c r="O1598" s="53" t="n">
        <v>14</v>
      </c>
      <c r="P1598" s="48" t="s">
        <v>177</v>
      </c>
      <c r="Q1598" s="50"/>
      <c r="R1598" s="53" t="n">
        <f aca="false">IF(BZ1598=1,0,IFERROR(VLOOKUP(BX1598,'Gebinde-Kategorie'!$A$5:$N$45,13,0)+0,0))</f>
        <v>26</v>
      </c>
      <c r="S1598" s="54"/>
      <c r="T1598" s="55" t="s">
        <v>284</v>
      </c>
      <c r="U1598" s="55"/>
      <c r="V1598" s="55"/>
      <c r="W1598" s="48"/>
      <c r="X1598" s="50"/>
      <c r="Y1598" s="50"/>
      <c r="Z1598" s="48" t="n">
        <f aca="false">IF(A1598="","",IF(AND(Parameter!$B$21="Ja",ISNUMBER(W1598)),W1598,IF(CC1598="2+3",IF(ISNUMBER(SEARCH("grosser Artikel",BU1598)),2,IFERROR(VLOOKUP(BX1598,Parameter!$F$35:$G$64,2,0),2)),IF(OR(CC1598="Nein",CC1598=""),"-",CC1598))))</f>
        <v>3</v>
      </c>
      <c r="AA1598" s="55"/>
      <c r="AB1598" s="56"/>
      <c r="AC1598" s="50" t="n">
        <f aca="false">AV1598</f>
        <v>3</v>
      </c>
      <c r="AD1598" s="50" t="n">
        <f aca="false">MAX(AV1598,H1598)</f>
        <v>25</v>
      </c>
      <c r="AE1598" s="57"/>
      <c r="AF1598" s="50" t="n">
        <f aca="false">IF(LEFT(Cockpit!$C$5,1)="A",H1598,IF(Parameter!$E$30="MAX-Bestand",IF(CH1598=1,CI1598,IF(LEFT(Cockpit!$C$5,1)="B",AL1598,MAX(AL1598,H1598))),ROUNDUP(AJ1598,0)))</f>
        <v>25</v>
      </c>
      <c r="AG1598" s="50" t="n">
        <f aca="false">IF(BZ1598=1,0,ROUNDUP(AF1598/BY1598,0))</f>
        <v>1</v>
      </c>
      <c r="AH1598" s="52" t="n">
        <f aca="false">IF(CQ1598&gt;0,CQ1598*MAX(1,AF1598/X1598),IF(BZ1598=1,IF(AF1598&lt;=0,0,CD1598*MAX(1,IF(H1598&gt;0,AF1598/H1598,1))),IF(R1598&gt;0,AG1598/R1598,0))/MAX(0.1,N(Parameter!$M$21)))</f>
        <v>0.0384615384615385</v>
      </c>
      <c r="AI1598" s="50" t="n">
        <f aca="false">AH1598*CB1598</f>
        <v>5.96153846153846</v>
      </c>
      <c r="AJ1598" s="51" t="n">
        <f aca="false">IF(LEFT(Cockpit!$C$5,1)="A",H1598,IF(CH1598=1,(CK1598+CI1598)/2,IF(LEFT(Cockpit!$C$5,1)="B",(CK1598+AL1598)/2,MAX((CK1598+AL1598)/2,H1598))))</f>
        <v>25</v>
      </c>
      <c r="AK1598" s="50" t="n">
        <f aca="false">AJ1598*G1598</f>
        <v>175</v>
      </c>
      <c r="AL1598" s="50" t="n">
        <f aca="false">ROUNDUP(CK1598+MAX(CL1598,2*(J1598/IF(CG1598&gt;0,CG1598,MAX(0.1,N(Cockpit!$C$6)))-CK1598)),0)</f>
        <v>3</v>
      </c>
      <c r="AM1598" s="51" t="n">
        <f aca="false">IF(AI1598&gt;0,J1598/AI1598,-1)</f>
        <v>0</v>
      </c>
      <c r="AN1598" s="51" t="n">
        <f aca="false">IF(AND(OR(CF1598="L1",CF1598="L23",CF1598="LIFT"),AI1598&gt;0),SUMIFS($AI$7:$AI$1843,$CF$7:$CF$1843,CF1598,$AM$7:$AM$1843,"&gt;"&amp;AM1598)+SUMIFS($AI$7:$AI$1843,$CF$7:$CF$1843,CF1598,$AM$7:$AM$1843,AM1598,$BW$7:$BW$1843,"&lt;="&amp;BW1598),"")</f>
        <v>30633.9187542683</v>
      </c>
      <c r="AO1598" s="58" t="n">
        <f aca="false">IF(AN1598="",0,MAX(0,MIN(1,(IF(CF1598="L1",Parameter!$H$5,IF(CF1598="L23",Parameter!$H$6+Parameter!$H$7,Parameter!$H$5+Parameter!$H$6+Parameter!$H$7))-(AN1598-AI1598))/AI1598)))</f>
        <v>1</v>
      </c>
      <c r="AP1598" s="50" t="n">
        <f aca="false">IF(LEFT(Cockpit!$I$5,1)="A",H1598,IF(Parameter!$E$30="MAX-Bestand",IF(CH1598=1,CI1598,IF(LEFT(Cockpit!$I$5,1)="B",AV1598,MAX(AV1598,H1598))),ROUNDUP(AT1598,0)))</f>
        <v>25</v>
      </c>
      <c r="AQ1598" s="50" t="n">
        <f aca="false">IF(BZ1598=1,0,ROUNDUP(AP1598/BY1598,0))</f>
        <v>1</v>
      </c>
      <c r="AR1598" s="52" t="n">
        <f aca="false">IF(CQ1598&gt;0,CQ1598*MAX(1,AP1598/X1598),IF(BZ1598=1,IF(AP1598&lt;=0,0,CD1598*MAX(1,IF(H1598&gt;0,AP1598/H1598,1))),IF(R1598&gt;0,AQ1598/R1598,0))/MAX(0.1,N(Parameter!$M$21)))</f>
        <v>0.0384615384615385</v>
      </c>
      <c r="AS1598" s="50" t="n">
        <f aca="false">AR1598*CB1598</f>
        <v>5.96153846153846</v>
      </c>
      <c r="AT1598" s="51" t="n">
        <f aca="false">IF(LEFT(Cockpit!$I$5,1)="A",H1598,IF(CH1598=1,(CK1598+CI1598)/2,IF(LEFT(Cockpit!$I$5,1)="B",(CK1598+AV1598)/2,MAX((CK1598+AV1598)/2,H1598))))</f>
        <v>25</v>
      </c>
      <c r="AU1598" s="50" t="n">
        <f aca="false">AT1598*G1598</f>
        <v>175</v>
      </c>
      <c r="AV1598" s="50" t="n">
        <f aca="false">ROUNDUP(CK1598+MAX(CL1598,2*(J1598/IF(CG1598&gt;0,CG1598,MAX(0.1,N(Cockpit!$I$6)))-CK1598)),0)</f>
        <v>3</v>
      </c>
      <c r="AW1598" s="51" t="n">
        <f aca="false">IF(AS1598&gt;0,J1598/AS1598,-1)</f>
        <v>0</v>
      </c>
      <c r="AX1598" s="51" t="n">
        <f aca="false">IF(AND(OR(CF1598="L1",CF1598="L23",CF1598="LIFT"),AS1598&gt;0),SUMIFS($AS$7:$AS$1843,$CF$7:$CF$1843,CF1598,$AW$7:$AW$1843,"&gt;"&amp;AW1598)+SUMIFS($AS$7:$AS$1843,$CF$7:$CF$1843,CF1598,$AW$7:$AW$1843,AW1598,$BW$7:$BW$1843,"&lt;="&amp;BW1598),"")</f>
        <v>36953.7752711037</v>
      </c>
      <c r="AY1598" s="58" t="n">
        <f aca="false">IF(AX1598="",0,MAX(0,MIN(1,(IF(CF1598="L1",Parameter!$H$5,IF(CF1598="L23",Parameter!$H$6+Parameter!$H$7,Parameter!$H$5+Parameter!$H$6+Parameter!$H$7))-(AX1598-AS1598))/AS1598)))</f>
        <v>0</v>
      </c>
      <c r="AZ1598" s="50" t="n">
        <f aca="false">IF(LEFT(Cockpit!$O$5,1)="A",H1598,IF(Parameter!$E$30="MAX-Bestand",IF(CH1598=1,CI1598,IF(LEFT(Cockpit!$O$5,1)="B",BF1598,MAX(BF1598,H1598))),ROUNDUP(BD1598,0)))</f>
        <v>2</v>
      </c>
      <c r="BA1598" s="50" t="n">
        <f aca="false">IF(BZ1598=1,0,ROUNDUP(AZ1598/BY1598,0))</f>
        <v>1</v>
      </c>
      <c r="BB1598" s="52" t="n">
        <f aca="false">IF(CQ1598&gt;0,CQ1598*MAX(1,AZ1598/X1598),IF(BZ1598=1,IF(AZ1598&lt;=0,0,CD1598*MAX(1,IF(H1598&gt;0,AZ1598/H1598,1))),IF(R1598&gt;0,BA1598/R1598,0))/MAX(0.1,N(Parameter!$M$21)))</f>
        <v>0.0384615384615385</v>
      </c>
      <c r="BC1598" s="50" t="n">
        <f aca="false">BB1598*CB1598</f>
        <v>5.96153846153846</v>
      </c>
      <c r="BD1598" s="51" t="n">
        <f aca="false">IF(LEFT(Cockpit!$O$5,1)="A",H1598,IF(CH1598=1,(CK1598+CI1598)/2,IF(LEFT(Cockpit!$O$5,1)="B",(CK1598+BF1598)/2,MAX((CK1598+BF1598)/2,H1598))))</f>
        <v>1.5</v>
      </c>
      <c r="BE1598" s="50" t="n">
        <f aca="false">BD1598*G1598</f>
        <v>10.5</v>
      </c>
      <c r="BF1598" s="50" t="n">
        <f aca="false">ROUNDUP(CK1598+MAX(CL1598,2*(J1598/IF(CG1598&gt;0,CG1598,MAX(0.1,N(Cockpit!$O$6)))-CK1598)),0)</f>
        <v>3</v>
      </c>
      <c r="BG1598" s="51" t="n">
        <f aca="false">IF(BC1598&gt;0,J1598/BC1598,-1)</f>
        <v>0</v>
      </c>
      <c r="BH1598" s="51" t="n">
        <f aca="false">IF(AND(OR(CF1598="L1",CF1598="L23",CF1598="LIFT"),BC1598&gt;0),SUMIFS($BC$7:$BC$1843,$CF$7:$CF$1843,CF1598,$BG$7:$BG$1843,"&gt;"&amp;BG1598)+SUMIFS($BC$7:$BC$1843,$CF$7:$CF$1843,CF1598,$BG$7:$BG$1843,BG1598,$BW$7:$BW$1843,"&lt;="&amp;BW1598),"")</f>
        <v>30863.216546636</v>
      </c>
      <c r="BI1598" s="58" t="n">
        <f aca="false">IF(BH1598="",0,MAX(0,MIN(1,(IF(CF1598="L1",Parameter!$H$5,IF(CF1598="L23",Parameter!$H$6+Parameter!$H$7,Parameter!$H$5+Parameter!$H$6+Parameter!$H$7))-(BH1598-BC1598))/BC1598)))</f>
        <v>1</v>
      </c>
      <c r="BJ1598" s="48" t="str">
        <f aca="false">IF(AI1598&lt;=0,"",IF(CF1598="Aussen","Aussenlager",IF(CF1598="-","Nicht im Lift",IF(AO1598&gt;=1,"Lift",IF(AO1598&lt;=0,"Aussenlager","teilweise")))))</f>
        <v>Lift</v>
      </c>
      <c r="BK1598" s="48" t="str">
        <f aca="false">IF(AS1598&lt;=0,"",IF(CF1598="Aussen","Aussenlager",IF(CF1598="-","Nicht im Lift",IF(AY1598&gt;=1,"Lift",IF(AY1598&lt;=0,"Aussenlager","teilweise")))))</f>
        <v>Aussenlager</v>
      </c>
      <c r="BL1598" s="48" t="str">
        <f aca="false">IF(BC1598&lt;=0,"",IF(CF1598="Aussen","Aussenlager",IF(CF1598="-","Nicht im Lift",IF(BI1598&gt;=1,"Lift",IF(BI1598&lt;=0,"Aussenlager","teilweise")))))</f>
        <v>Lift</v>
      </c>
      <c r="BM1598" s="48" t="str">
        <f aca="false">IF(A1598="","",IF(BV1598=1,"Neu; ","")&amp;IF(AND(BV1598=0,BQ1598&lt;0),"negativer Bestand (Export "&amp;BQ1598&amp;"); ","")&amp;IF(J1598&lt;=0,"Kein Verbrauch; ","")&amp;IF(CQ1598&gt;0,"Lift "&amp;W1598&amp;" lt. Liftbericht (Fach "&amp;X1598&amp;" Stk); ",IF(CA1598=1,"Gebinde geschätzt ("&amp;T1598&amp;"); ",IF(BZ1598=1,"Lose – Tablare geschätzt; ","")))&amp;IF(H1598&gt;AV1598,"Überbestand "&amp;ROUND(H1598-AV1598,0)&amp;" Stk / CHF "&amp;ROUND((H1598-AV1598)*G1598,0)&amp;"; ","")&amp;IF(AND(CH1598=1,CI1598&lt;CJ1598),"MAX &lt; MB+LG; ","")&amp;IF(AND(CP1598&gt;0,CO1598*10&gt;CP1598),"zu hoch für Tablar; ","")&amp;IF(AND(BV1598=0,OR(CH1598=1,AA1598&lt;&gt;"",U1598&lt;&gt;"",V1598&lt;&gt;"",AB1598&lt;&gt;"")),"manuell übersteuert; ","")&amp;IF(AND(BZ1598=0,R1598=0),"Gebinde unbekannt / Stellmass fehlt; ","")&amp;IF(AND(BZ1598=0,N(V1598)&lt;=0,N(Q1598)&lt;=0),"Menge pro Gebinde fehlt (Ist = 1 Gebinde); ","")&amp;BU1598)</f>
        <v>Kein Verbrauch; Gebinde geschätzt (Klein); Überbestand 22 Stk / CHF 154; Menge pro Gebinde fehlt (Ist = 1 Gebinde); nur im Artikelstamm (Bestand 23.06.2026)</v>
      </c>
      <c r="BN1598" s="48"/>
      <c r="BO1598" s="48"/>
      <c r="BP1598" s="55"/>
      <c r="BQ1598" s="50" t="n">
        <v>25</v>
      </c>
      <c r="BR1598" s="50" t="n">
        <v>0</v>
      </c>
      <c r="BS1598" s="49" t="n">
        <v>0</v>
      </c>
      <c r="BT1598" s="50" t="n">
        <v>0</v>
      </c>
      <c r="BU1598" s="48" t="s">
        <v>2584</v>
      </c>
      <c r="BV1598" s="53" t="n">
        <v>0</v>
      </c>
      <c r="BW1598" s="53" t="n">
        <v>1598</v>
      </c>
      <c r="BX1598" s="48" t="str">
        <f aca="false">IF(U1598&lt;&gt;"",UPPER(TRIM(U1598)),IF(CA1598=1,UPPER(VLOOKUP(T1598,Parameter!$I$27:$K$29,2,0)),IF(P1598="","LOSE",P1598)))</f>
        <v>S51</v>
      </c>
      <c r="BY1598" s="50" t="n">
        <f aca="false">IF(BX1598="LOSE",1,IF(N(V1598)&gt;0,V1598,IF(CA1598=1,MAX(1,N(VLOOKUP(T1598,Parameter!$I$27:$K$29,3,0)),H1598,N(N1598)),IF(N(Q1598)&gt;0,Q1598,MAX(1,H1598)))))</f>
        <v>25</v>
      </c>
      <c r="BZ1598" s="53" t="n">
        <f aca="false">IF(BX1598="LOSE",1,0)</f>
        <v>0</v>
      </c>
      <c r="CA1598" s="53" t="n">
        <f aca="false">IF(AND(U1598="",OR(P1598="",P1598="LOSE"),T1598&lt;&gt;"",N(S1598)&lt;=0,ISNUMBER(MATCH(T1598,Parameter!$I$27:$I$29,0))),1,0)</f>
        <v>1</v>
      </c>
      <c r="CB1598" s="53" t="n">
        <f aca="false">IF(CQ1598&gt;0,INDEX(Parameter!$H$5:$H$7,W1598)/INDEX(Parameter!$E$5:$E$7,W1598),IF(AND(BZ1598=0,N(IFERROR(VLOOKUP(BX1598,'Gebinde-Kategorie'!$A$5:$N$45,14,0),0))&gt;0),VLOOKUP(BX1598,'Gebinde-Kategorie'!$A$5:$N$45,14,0)*10+Parameter!$M$23,Parameter!$M$24))</f>
        <v>155</v>
      </c>
      <c r="CC1598" s="48" t="str">
        <f aca="false">IF(AND(Parameter!$B$19="Ja",E1598&lt;&gt;"",ISNUMBER(MATCH(E1598,Parameter!$I$35:$I$52,0))),VLOOKUP(E1598,Parameter!$I$35:$J$52,2,0),IFERROR(VLOOKUP(D1598,Parameter!$A$35:$C$64,2,0),"Nein"))</f>
        <v>2+3</v>
      </c>
      <c r="CD1598" s="52" t="n">
        <f aca="false">IF(BZ1598=0,0,IF(N(S1598)&gt;0,S1598,IFERROR(VLOOKUP(D1598,Parameter!$A$35:$C$64,3,0)+0,0)))</f>
        <v>0</v>
      </c>
      <c r="CE1598" s="48" t="n">
        <f aca="false">IF(AA1598&lt;&gt;"",AA1598,Z1598)</f>
        <v>3</v>
      </c>
      <c r="CF1598" s="48" t="str">
        <f aca="false">IF(OR(CE1598=1,CE1598=2,CE1598=3),IF(Parameter!$E$27="Ja","LIFT",IF(CE1598=1,"L1","L23")),IF(CE1598="Aussen","Aussen","-"))</f>
        <v>LIFT</v>
      </c>
      <c r="CG1598" s="59" t="n">
        <f aca="false">IF(N(AB1598)&gt;0,AB1598,0)</f>
        <v>0</v>
      </c>
      <c r="CH1598" s="53" t="n">
        <f aca="false">IF(ISNUMBER(AE1598),1,0)</f>
        <v>0</v>
      </c>
      <c r="CI1598" s="50" t="n">
        <f aca="false">N(AE1598)</f>
        <v>0</v>
      </c>
      <c r="CJ1598" s="50" t="n">
        <f aca="false">N(M1598)+N(N1598)</f>
        <v>3</v>
      </c>
      <c r="CK1598" s="50" t="n">
        <f aca="false">N(M1598)</f>
        <v>0</v>
      </c>
      <c r="CL1598" s="50" t="n">
        <f aca="false">N(N1598)</f>
        <v>3</v>
      </c>
      <c r="CM1598" s="50" t="n">
        <f aca="false">ROUNDUP(H1598/BY1598,0)</f>
        <v>1</v>
      </c>
      <c r="CN1598" s="50" t="n">
        <f aca="false">ROUNDUP(CI1598/BY1598,0)</f>
        <v>0</v>
      </c>
      <c r="CO1598" s="53" t="n">
        <f aca="false">IF(BZ1598=1,0,IFERROR(VLOOKUP(BX1598,'Gebinde-Kategorie'!$A$5:$N$45,5,0)+0,0))</f>
        <v>11</v>
      </c>
      <c r="CP1598" s="53" t="n">
        <f aca="false">IFERROR(IF(OR(CE1598=1,CE1598=2,CE1598=3),N(INDEX(Parameter!$I$5:$I$7,CE1598)),0),0)</f>
        <v>0</v>
      </c>
      <c r="CQ1598" s="52" t="n">
        <f aca="false">IF(AND(Parameter!$B$21="Ja",ISNUMBER(W1598),N(X1598)&gt;0),IFERROR(N(INDEX(Parameter!$L$5:$L$7,W1598))*INDEX(Parameter!$E$5:$E$7,W1598)*X1598/SUMIFS($X$7:$X$1843,$W$7:$W$1843,W1598),0),0)</f>
        <v>0</v>
      </c>
    </row>
    <row r="1599" customFormat="false" ht="15" hidden="false" customHeight="false" outlineLevel="0" collapsed="false">
      <c r="A1599" s="48" t="s">
        <v>2796</v>
      </c>
      <c r="B1599" s="48" t="s">
        <v>2797</v>
      </c>
      <c r="C1599" s="48" t="s">
        <v>173</v>
      </c>
      <c r="D1599" s="48" t="s">
        <v>193</v>
      </c>
      <c r="E1599" s="48"/>
      <c r="F1599" s="48"/>
      <c r="G1599" s="49" t="n">
        <v>397.38</v>
      </c>
      <c r="H1599" s="50" t="n">
        <f aca="false">MAX(0,IF(AND(Parameter!$B$21="Ja",ISNUMBER(Y1599)),Y1599,IF(Parameter!$B$20="Jahresanfang 2025 + Export",BR1599+BQ1599,BQ1599)))</f>
        <v>2</v>
      </c>
      <c r="I1599" s="50" t="n">
        <f aca="false">H1599*G1599</f>
        <v>794.76</v>
      </c>
      <c r="J1599" s="50" t="n">
        <f aca="false">BT1599*Parameter!$B$18</f>
        <v>0</v>
      </c>
      <c r="K1599" s="51"/>
      <c r="L1599" s="52"/>
      <c r="M1599" s="50" t="n">
        <v>0</v>
      </c>
      <c r="N1599" s="50" t="n">
        <v>1</v>
      </c>
      <c r="O1599" s="53" t="n">
        <v>35</v>
      </c>
      <c r="P1599" s="48" t="s">
        <v>177</v>
      </c>
      <c r="Q1599" s="50"/>
      <c r="R1599" s="53" t="n">
        <f aca="false">IF(BZ1599=1,0,IFERROR(VLOOKUP(BX1599,'Gebinde-Kategorie'!$A$5:$N$45,13,0)+0,0))</f>
        <v>26</v>
      </c>
      <c r="S1599" s="54"/>
      <c r="T1599" s="55" t="s">
        <v>284</v>
      </c>
      <c r="U1599" s="55"/>
      <c r="V1599" s="55"/>
      <c r="W1599" s="48"/>
      <c r="X1599" s="50"/>
      <c r="Y1599" s="50"/>
      <c r="Z1599" s="48" t="n">
        <f aca="false">IF(A1599="","",IF(AND(Parameter!$B$21="Ja",ISNUMBER(W1599)),W1599,IF(CC1599="2+3",IF(ISNUMBER(SEARCH("grosser Artikel",BU1599)),2,IFERROR(VLOOKUP(BX1599,Parameter!$F$35:$G$64,2,0),2)),IF(OR(CC1599="Nein",CC1599=""),"-",CC1599))))</f>
        <v>3</v>
      </c>
      <c r="AA1599" s="55"/>
      <c r="AB1599" s="56"/>
      <c r="AC1599" s="50" t="n">
        <f aca="false">AV1599</f>
        <v>1</v>
      </c>
      <c r="AD1599" s="50" t="n">
        <f aca="false">MAX(AV1599,H1599)</f>
        <v>2</v>
      </c>
      <c r="AE1599" s="57"/>
      <c r="AF1599" s="50" t="n">
        <f aca="false">IF(LEFT(Cockpit!$C$5,1)="A",H1599,IF(Parameter!$E$30="MAX-Bestand",IF(CH1599=1,CI1599,IF(LEFT(Cockpit!$C$5,1)="B",AL1599,MAX(AL1599,H1599))),ROUNDUP(AJ1599,0)))</f>
        <v>2</v>
      </c>
      <c r="AG1599" s="50" t="n">
        <f aca="false">IF(BZ1599=1,0,ROUNDUP(AF1599/BY1599,0))</f>
        <v>1</v>
      </c>
      <c r="AH1599" s="52" t="n">
        <f aca="false">IF(CQ1599&gt;0,CQ1599*MAX(1,AF1599/X1599),IF(BZ1599=1,IF(AF1599&lt;=0,0,CD1599*MAX(1,IF(H1599&gt;0,AF1599/H1599,1))),IF(R1599&gt;0,AG1599/R1599,0))/MAX(0.1,N(Parameter!$M$21)))</f>
        <v>0.0384615384615385</v>
      </c>
      <c r="AI1599" s="50" t="n">
        <f aca="false">AH1599*CB1599</f>
        <v>5.96153846153846</v>
      </c>
      <c r="AJ1599" s="51" t="n">
        <f aca="false">IF(LEFT(Cockpit!$C$5,1)="A",H1599,IF(CH1599=1,(CK1599+CI1599)/2,IF(LEFT(Cockpit!$C$5,1)="B",(CK1599+AL1599)/2,MAX((CK1599+AL1599)/2,H1599))))</f>
        <v>2</v>
      </c>
      <c r="AK1599" s="50" t="n">
        <f aca="false">AJ1599*G1599</f>
        <v>794.76</v>
      </c>
      <c r="AL1599" s="50" t="n">
        <f aca="false">ROUNDUP(CK1599+MAX(CL1599,2*(J1599/IF(CG1599&gt;0,CG1599,MAX(0.1,N(Cockpit!$C$6)))-CK1599)),0)</f>
        <v>1</v>
      </c>
      <c r="AM1599" s="51" t="n">
        <f aca="false">IF(AI1599&gt;0,J1599/AI1599,-1)</f>
        <v>0</v>
      </c>
      <c r="AN1599" s="51" t="n">
        <f aca="false">IF(AND(OR(CF1599="L1",CF1599="L23",CF1599="LIFT"),AI1599&gt;0),SUMIFS($AI$7:$AI$1843,$CF$7:$CF$1843,CF1599,$AM$7:$AM$1843,"&gt;"&amp;AM1599)+SUMIFS($AI$7:$AI$1843,$CF$7:$CF$1843,CF1599,$AM$7:$AM$1843,AM1599,$BW$7:$BW$1843,"&lt;="&amp;BW1599),"")</f>
        <v>30639.8802927299</v>
      </c>
      <c r="AO1599" s="58" t="n">
        <f aca="false">IF(AN1599="",0,MAX(0,MIN(1,(IF(CF1599="L1",Parameter!$H$5,IF(CF1599="L23",Parameter!$H$6+Parameter!$H$7,Parameter!$H$5+Parameter!$H$6+Parameter!$H$7))-(AN1599-AI1599))/AI1599)))</f>
        <v>1</v>
      </c>
      <c r="AP1599" s="50" t="n">
        <f aca="false">IF(LEFT(Cockpit!$I$5,1)="A",H1599,IF(Parameter!$E$30="MAX-Bestand",IF(CH1599=1,CI1599,IF(LEFT(Cockpit!$I$5,1)="B",AV1599,MAX(AV1599,H1599))),ROUNDUP(AT1599,0)))</f>
        <v>2</v>
      </c>
      <c r="AQ1599" s="50" t="n">
        <f aca="false">IF(BZ1599=1,0,ROUNDUP(AP1599/BY1599,0))</f>
        <v>1</v>
      </c>
      <c r="AR1599" s="52" t="n">
        <f aca="false">IF(CQ1599&gt;0,CQ1599*MAX(1,AP1599/X1599),IF(BZ1599=1,IF(AP1599&lt;=0,0,CD1599*MAX(1,IF(H1599&gt;0,AP1599/H1599,1))),IF(R1599&gt;0,AQ1599/R1599,0))/MAX(0.1,N(Parameter!$M$21)))</f>
        <v>0.0384615384615385</v>
      </c>
      <c r="AS1599" s="50" t="n">
        <f aca="false">AR1599*CB1599</f>
        <v>5.96153846153846</v>
      </c>
      <c r="AT1599" s="51" t="n">
        <f aca="false">IF(LEFT(Cockpit!$I$5,1)="A",H1599,IF(CH1599=1,(CK1599+CI1599)/2,IF(LEFT(Cockpit!$I$5,1)="B",(CK1599+AV1599)/2,MAX((CK1599+AV1599)/2,H1599))))</f>
        <v>2</v>
      </c>
      <c r="AU1599" s="50" t="n">
        <f aca="false">AT1599*G1599</f>
        <v>794.76</v>
      </c>
      <c r="AV1599" s="50" t="n">
        <f aca="false">ROUNDUP(CK1599+MAX(CL1599,2*(J1599/IF(CG1599&gt;0,CG1599,MAX(0.1,N(Cockpit!$I$6)))-CK1599)),0)</f>
        <v>1</v>
      </c>
      <c r="AW1599" s="51" t="n">
        <f aca="false">IF(AS1599&gt;0,J1599/AS1599,-1)</f>
        <v>0</v>
      </c>
      <c r="AX1599" s="51" t="n">
        <f aca="false">IF(AND(OR(CF1599="L1",CF1599="L23",CF1599="LIFT"),AS1599&gt;0),SUMIFS($AS$7:$AS$1843,$CF$7:$CF$1843,CF1599,$AW$7:$AW$1843,"&gt;"&amp;AW1599)+SUMIFS($AS$7:$AS$1843,$CF$7:$CF$1843,CF1599,$AW$7:$AW$1843,AW1599,$BW$7:$BW$1843,"&lt;="&amp;BW1599),"")</f>
        <v>36959.7368095652</v>
      </c>
      <c r="AY1599" s="58" t="n">
        <f aca="false">IF(AX1599="",0,MAX(0,MIN(1,(IF(CF1599="L1",Parameter!$H$5,IF(CF1599="L23",Parameter!$H$6+Parameter!$H$7,Parameter!$H$5+Parameter!$H$6+Parameter!$H$7))-(AX1599-AS1599))/AS1599)))</f>
        <v>0</v>
      </c>
      <c r="AZ1599" s="50" t="n">
        <f aca="false">IF(LEFT(Cockpit!$O$5,1)="A",H1599,IF(Parameter!$E$30="MAX-Bestand",IF(CH1599=1,CI1599,IF(LEFT(Cockpit!$O$5,1)="B",BF1599,MAX(BF1599,H1599))),ROUNDUP(BD1599,0)))</f>
        <v>1</v>
      </c>
      <c r="BA1599" s="50" t="n">
        <f aca="false">IF(BZ1599=1,0,ROUNDUP(AZ1599/BY1599,0))</f>
        <v>1</v>
      </c>
      <c r="BB1599" s="52" t="n">
        <f aca="false">IF(CQ1599&gt;0,CQ1599*MAX(1,AZ1599/X1599),IF(BZ1599=1,IF(AZ1599&lt;=0,0,CD1599*MAX(1,IF(H1599&gt;0,AZ1599/H1599,1))),IF(R1599&gt;0,BA1599/R1599,0))/MAX(0.1,N(Parameter!$M$21)))</f>
        <v>0.0384615384615385</v>
      </c>
      <c r="BC1599" s="50" t="n">
        <f aca="false">BB1599*CB1599</f>
        <v>5.96153846153846</v>
      </c>
      <c r="BD1599" s="51" t="n">
        <f aca="false">IF(LEFT(Cockpit!$O$5,1)="A",H1599,IF(CH1599=1,(CK1599+CI1599)/2,IF(LEFT(Cockpit!$O$5,1)="B",(CK1599+BF1599)/2,MAX((CK1599+BF1599)/2,H1599))))</f>
        <v>0.5</v>
      </c>
      <c r="BE1599" s="50" t="n">
        <f aca="false">BD1599*G1599</f>
        <v>198.69</v>
      </c>
      <c r="BF1599" s="50" t="n">
        <f aca="false">ROUNDUP(CK1599+MAX(CL1599,2*(J1599/IF(CG1599&gt;0,CG1599,MAX(0.1,N(Cockpit!$O$6)))-CK1599)),0)</f>
        <v>1</v>
      </c>
      <c r="BG1599" s="51" t="n">
        <f aca="false">IF(BC1599&gt;0,J1599/BC1599,-1)</f>
        <v>0</v>
      </c>
      <c r="BH1599" s="51" t="n">
        <f aca="false">IF(AND(OR(CF1599="L1",CF1599="L23",CF1599="LIFT"),BC1599&gt;0),SUMIFS($BC$7:$BC$1843,$CF$7:$CF$1843,CF1599,$BG$7:$BG$1843,"&gt;"&amp;BG1599)+SUMIFS($BC$7:$BC$1843,$CF$7:$CF$1843,CF1599,$BG$7:$BG$1843,BG1599,$BW$7:$BW$1843,"&lt;="&amp;BW1599),"")</f>
        <v>30869.1780850976</v>
      </c>
      <c r="BI1599" s="58" t="n">
        <f aca="false">IF(BH1599="",0,MAX(0,MIN(1,(IF(CF1599="L1",Parameter!$H$5,IF(CF1599="L23",Parameter!$H$6+Parameter!$H$7,Parameter!$H$5+Parameter!$H$6+Parameter!$H$7))-(BH1599-BC1599))/BC1599)))</f>
        <v>1</v>
      </c>
      <c r="BJ1599" s="48" t="str">
        <f aca="false">IF(AI1599&lt;=0,"",IF(CF1599="Aussen","Aussenlager",IF(CF1599="-","Nicht im Lift",IF(AO1599&gt;=1,"Lift",IF(AO1599&lt;=0,"Aussenlager","teilweise")))))</f>
        <v>Lift</v>
      </c>
      <c r="BK1599" s="48" t="str">
        <f aca="false">IF(AS1599&lt;=0,"",IF(CF1599="Aussen","Aussenlager",IF(CF1599="-","Nicht im Lift",IF(AY1599&gt;=1,"Lift",IF(AY1599&lt;=0,"Aussenlager","teilweise")))))</f>
        <v>Aussenlager</v>
      </c>
      <c r="BL1599" s="48" t="str">
        <f aca="false">IF(BC1599&lt;=0,"",IF(CF1599="Aussen","Aussenlager",IF(CF1599="-","Nicht im Lift",IF(BI1599&gt;=1,"Lift",IF(BI1599&lt;=0,"Aussenlager","teilweise")))))</f>
        <v>Lift</v>
      </c>
      <c r="BM1599" s="48" t="str">
        <f aca="false">IF(A1599="","",IF(BV1599=1,"Neu; ","")&amp;IF(AND(BV1599=0,BQ1599&lt;0),"negativer Bestand (Export "&amp;BQ1599&amp;"); ","")&amp;IF(J1599&lt;=0,"Kein Verbrauch; ","")&amp;IF(CQ1599&gt;0,"Lift "&amp;W1599&amp;" lt. Liftbericht (Fach "&amp;X1599&amp;" Stk); ",IF(CA1599=1,"Gebinde geschätzt ("&amp;T1599&amp;"); ",IF(BZ1599=1,"Lose – Tablare geschätzt; ","")))&amp;IF(H1599&gt;AV1599,"Überbestand "&amp;ROUND(H1599-AV1599,0)&amp;" Stk / CHF "&amp;ROUND((H1599-AV1599)*G1599,0)&amp;"; ","")&amp;IF(AND(CH1599=1,CI1599&lt;CJ1599),"MAX &lt; MB+LG; ","")&amp;IF(AND(CP1599&gt;0,CO1599*10&gt;CP1599),"zu hoch für Tablar; ","")&amp;IF(AND(BV1599=0,OR(CH1599=1,AA1599&lt;&gt;"",U1599&lt;&gt;"",V1599&lt;&gt;"",AB1599&lt;&gt;"")),"manuell übersteuert; ","")&amp;IF(AND(BZ1599=0,R1599=0),"Gebinde unbekannt / Stellmass fehlt; ","")&amp;IF(AND(BZ1599=0,N(V1599)&lt;=0,N(Q1599)&lt;=0),"Menge pro Gebinde fehlt (Ist = 1 Gebinde); ","")&amp;BU1599)</f>
        <v>Kein Verbrauch; Gebinde geschätzt (Klein); Überbestand 1 Stk / CHF 397; Menge pro Gebinde fehlt (Ist = 1 Gebinde); nur im Artikelstamm (Bestand 23.06.2026)</v>
      </c>
      <c r="BN1599" s="48"/>
      <c r="BO1599" s="48"/>
      <c r="BP1599" s="55"/>
      <c r="BQ1599" s="50" t="n">
        <v>2</v>
      </c>
      <c r="BR1599" s="50" t="n">
        <v>0</v>
      </c>
      <c r="BS1599" s="49" t="n">
        <v>0</v>
      </c>
      <c r="BT1599" s="50" t="n">
        <v>0</v>
      </c>
      <c r="BU1599" s="48" t="s">
        <v>2584</v>
      </c>
      <c r="BV1599" s="53" t="n">
        <v>0</v>
      </c>
      <c r="BW1599" s="53" t="n">
        <v>1599</v>
      </c>
      <c r="BX1599" s="48" t="str">
        <f aca="false">IF(U1599&lt;&gt;"",UPPER(TRIM(U1599)),IF(CA1599=1,UPPER(VLOOKUP(T1599,Parameter!$I$27:$K$29,2,0)),IF(P1599="","LOSE",P1599)))</f>
        <v>S51</v>
      </c>
      <c r="BY1599" s="50" t="n">
        <f aca="false">IF(BX1599="LOSE",1,IF(N(V1599)&gt;0,V1599,IF(CA1599=1,MAX(1,N(VLOOKUP(T1599,Parameter!$I$27:$K$29,3,0)),H1599,N(N1599)),IF(N(Q1599)&gt;0,Q1599,MAX(1,H1599)))))</f>
        <v>20</v>
      </c>
      <c r="BZ1599" s="53" t="n">
        <f aca="false">IF(BX1599="LOSE",1,0)</f>
        <v>0</v>
      </c>
      <c r="CA1599" s="53" t="n">
        <f aca="false">IF(AND(U1599="",OR(P1599="",P1599="LOSE"),T1599&lt;&gt;"",N(S1599)&lt;=0,ISNUMBER(MATCH(T1599,Parameter!$I$27:$I$29,0))),1,0)</f>
        <v>1</v>
      </c>
      <c r="CB1599" s="53" t="n">
        <f aca="false">IF(CQ1599&gt;0,INDEX(Parameter!$H$5:$H$7,W1599)/INDEX(Parameter!$E$5:$E$7,W1599),IF(AND(BZ1599=0,N(IFERROR(VLOOKUP(BX1599,'Gebinde-Kategorie'!$A$5:$N$45,14,0),0))&gt;0),VLOOKUP(BX1599,'Gebinde-Kategorie'!$A$5:$N$45,14,0)*10+Parameter!$M$23,Parameter!$M$24))</f>
        <v>155</v>
      </c>
      <c r="CC1599" s="48" t="str">
        <f aca="false">IF(AND(Parameter!$B$19="Ja",E1599&lt;&gt;"",ISNUMBER(MATCH(E1599,Parameter!$I$35:$I$52,0))),VLOOKUP(E1599,Parameter!$I$35:$J$52,2,0),IFERROR(VLOOKUP(D1599,Parameter!$A$35:$C$64,2,0),"Nein"))</f>
        <v>2+3</v>
      </c>
      <c r="CD1599" s="52" t="n">
        <f aca="false">IF(BZ1599=0,0,IF(N(S1599)&gt;0,S1599,IFERROR(VLOOKUP(D1599,Parameter!$A$35:$C$64,3,0)+0,0)))</f>
        <v>0</v>
      </c>
      <c r="CE1599" s="48" t="n">
        <f aca="false">IF(AA1599&lt;&gt;"",AA1599,Z1599)</f>
        <v>3</v>
      </c>
      <c r="CF1599" s="48" t="str">
        <f aca="false">IF(OR(CE1599=1,CE1599=2,CE1599=3),IF(Parameter!$E$27="Ja","LIFT",IF(CE1599=1,"L1","L23")),IF(CE1599="Aussen","Aussen","-"))</f>
        <v>LIFT</v>
      </c>
      <c r="CG1599" s="59" t="n">
        <f aca="false">IF(N(AB1599)&gt;0,AB1599,0)</f>
        <v>0</v>
      </c>
      <c r="CH1599" s="53" t="n">
        <f aca="false">IF(ISNUMBER(AE1599),1,0)</f>
        <v>0</v>
      </c>
      <c r="CI1599" s="50" t="n">
        <f aca="false">N(AE1599)</f>
        <v>0</v>
      </c>
      <c r="CJ1599" s="50" t="n">
        <f aca="false">N(M1599)+N(N1599)</f>
        <v>1</v>
      </c>
      <c r="CK1599" s="50" t="n">
        <f aca="false">N(M1599)</f>
        <v>0</v>
      </c>
      <c r="CL1599" s="50" t="n">
        <f aca="false">N(N1599)</f>
        <v>1</v>
      </c>
      <c r="CM1599" s="50" t="n">
        <f aca="false">ROUNDUP(H1599/BY1599,0)</f>
        <v>1</v>
      </c>
      <c r="CN1599" s="50" t="n">
        <f aca="false">ROUNDUP(CI1599/BY1599,0)</f>
        <v>0</v>
      </c>
      <c r="CO1599" s="53" t="n">
        <f aca="false">IF(BZ1599=1,0,IFERROR(VLOOKUP(BX1599,'Gebinde-Kategorie'!$A$5:$N$45,5,0)+0,0))</f>
        <v>11</v>
      </c>
      <c r="CP1599" s="53" t="n">
        <f aca="false">IFERROR(IF(OR(CE1599=1,CE1599=2,CE1599=3),N(INDEX(Parameter!$I$5:$I$7,CE1599)),0),0)</f>
        <v>0</v>
      </c>
      <c r="CQ1599" s="52" t="n">
        <f aca="false">IF(AND(Parameter!$B$21="Ja",ISNUMBER(W1599),N(X1599)&gt;0),IFERROR(N(INDEX(Parameter!$L$5:$L$7,W1599))*INDEX(Parameter!$E$5:$E$7,W1599)*X1599/SUMIFS($X$7:$X$1843,$W$7:$W$1843,W1599),0),0)</f>
        <v>0</v>
      </c>
    </row>
    <row r="1600" customFormat="false" ht="15" hidden="false" customHeight="false" outlineLevel="0" collapsed="false">
      <c r="A1600" s="48" t="s">
        <v>2798</v>
      </c>
      <c r="B1600" s="48" t="s">
        <v>2799</v>
      </c>
      <c r="C1600" s="48" t="s">
        <v>173</v>
      </c>
      <c r="D1600" s="48" t="s">
        <v>193</v>
      </c>
      <c r="E1600" s="48"/>
      <c r="F1600" s="48"/>
      <c r="G1600" s="49" t="n">
        <v>356.21</v>
      </c>
      <c r="H1600" s="50" t="n">
        <f aca="false">MAX(0,IF(AND(Parameter!$B$21="Ja",ISNUMBER(Y1600)),Y1600,IF(Parameter!$B$20="Jahresanfang 2025 + Export",BR1600+BQ1600,BQ1600)))</f>
        <v>2</v>
      </c>
      <c r="I1600" s="50" t="n">
        <f aca="false">H1600*G1600</f>
        <v>712.42</v>
      </c>
      <c r="J1600" s="50" t="n">
        <f aca="false">BT1600*Parameter!$B$18</f>
        <v>0</v>
      </c>
      <c r="K1600" s="51"/>
      <c r="L1600" s="52"/>
      <c r="M1600" s="50" t="n">
        <v>0</v>
      </c>
      <c r="N1600" s="50" t="n">
        <v>1</v>
      </c>
      <c r="O1600" s="53" t="n">
        <v>35</v>
      </c>
      <c r="P1600" s="48" t="s">
        <v>177</v>
      </c>
      <c r="Q1600" s="50"/>
      <c r="R1600" s="53" t="n">
        <f aca="false">IF(BZ1600=1,0,IFERROR(VLOOKUP(BX1600,'Gebinde-Kategorie'!$A$5:$N$45,13,0)+0,0))</f>
        <v>26</v>
      </c>
      <c r="S1600" s="54"/>
      <c r="T1600" s="55" t="s">
        <v>284</v>
      </c>
      <c r="U1600" s="55"/>
      <c r="V1600" s="55"/>
      <c r="W1600" s="48"/>
      <c r="X1600" s="50"/>
      <c r="Y1600" s="50"/>
      <c r="Z1600" s="48" t="n">
        <f aca="false">IF(A1600="","",IF(AND(Parameter!$B$21="Ja",ISNUMBER(W1600)),W1600,IF(CC1600="2+3",IF(ISNUMBER(SEARCH("grosser Artikel",BU1600)),2,IFERROR(VLOOKUP(BX1600,Parameter!$F$35:$G$64,2,0),2)),IF(OR(CC1600="Nein",CC1600=""),"-",CC1600))))</f>
        <v>3</v>
      </c>
      <c r="AA1600" s="55"/>
      <c r="AB1600" s="56"/>
      <c r="AC1600" s="50" t="n">
        <f aca="false">AV1600</f>
        <v>1</v>
      </c>
      <c r="AD1600" s="50" t="n">
        <f aca="false">MAX(AV1600,H1600)</f>
        <v>2</v>
      </c>
      <c r="AE1600" s="57"/>
      <c r="AF1600" s="50" t="n">
        <f aca="false">IF(LEFT(Cockpit!$C$5,1)="A",H1600,IF(Parameter!$E$30="MAX-Bestand",IF(CH1600=1,CI1600,IF(LEFT(Cockpit!$C$5,1)="B",AL1600,MAX(AL1600,H1600))),ROUNDUP(AJ1600,0)))</f>
        <v>2</v>
      </c>
      <c r="AG1600" s="50" t="n">
        <f aca="false">IF(BZ1600=1,0,ROUNDUP(AF1600/BY1600,0))</f>
        <v>1</v>
      </c>
      <c r="AH1600" s="52" t="n">
        <f aca="false">IF(CQ1600&gt;0,CQ1600*MAX(1,AF1600/X1600),IF(BZ1600=1,IF(AF1600&lt;=0,0,CD1600*MAX(1,IF(H1600&gt;0,AF1600/H1600,1))),IF(R1600&gt;0,AG1600/R1600,0))/MAX(0.1,N(Parameter!$M$21)))</f>
        <v>0.0384615384615385</v>
      </c>
      <c r="AI1600" s="50" t="n">
        <f aca="false">AH1600*CB1600</f>
        <v>5.96153846153846</v>
      </c>
      <c r="AJ1600" s="51" t="n">
        <f aca="false">IF(LEFT(Cockpit!$C$5,1)="A",H1600,IF(CH1600=1,(CK1600+CI1600)/2,IF(LEFT(Cockpit!$C$5,1)="B",(CK1600+AL1600)/2,MAX((CK1600+AL1600)/2,H1600))))</f>
        <v>2</v>
      </c>
      <c r="AK1600" s="50" t="n">
        <f aca="false">AJ1600*G1600</f>
        <v>712.42</v>
      </c>
      <c r="AL1600" s="50" t="n">
        <f aca="false">ROUNDUP(CK1600+MAX(CL1600,2*(J1600/IF(CG1600&gt;0,CG1600,MAX(0.1,N(Cockpit!$C$6)))-CK1600)),0)</f>
        <v>1</v>
      </c>
      <c r="AM1600" s="51" t="n">
        <f aca="false">IF(AI1600&gt;0,J1600/AI1600,-1)</f>
        <v>0</v>
      </c>
      <c r="AN1600" s="51" t="n">
        <f aca="false">IF(AND(OR(CF1600="L1",CF1600="L23",CF1600="LIFT"),AI1600&gt;0),SUMIFS($AI$7:$AI$1843,$CF$7:$CF$1843,CF1600,$AM$7:$AM$1843,"&gt;"&amp;AM1600)+SUMIFS($AI$7:$AI$1843,$CF$7:$CF$1843,CF1600,$AM$7:$AM$1843,AM1600,$BW$7:$BW$1843,"&lt;="&amp;BW1600),"")</f>
        <v>30645.8418311914</v>
      </c>
      <c r="AO1600" s="58" t="n">
        <f aca="false">IF(AN1600="",0,MAX(0,MIN(1,(IF(CF1600="L1",Parameter!$H$5,IF(CF1600="L23",Parameter!$H$6+Parameter!$H$7,Parameter!$H$5+Parameter!$H$6+Parameter!$H$7))-(AN1600-AI1600))/AI1600)))</f>
        <v>1</v>
      </c>
      <c r="AP1600" s="50" t="n">
        <f aca="false">IF(LEFT(Cockpit!$I$5,1)="A",H1600,IF(Parameter!$E$30="MAX-Bestand",IF(CH1600=1,CI1600,IF(LEFT(Cockpit!$I$5,1)="B",AV1600,MAX(AV1600,H1600))),ROUNDUP(AT1600,0)))</f>
        <v>2</v>
      </c>
      <c r="AQ1600" s="50" t="n">
        <f aca="false">IF(BZ1600=1,0,ROUNDUP(AP1600/BY1600,0))</f>
        <v>1</v>
      </c>
      <c r="AR1600" s="52" t="n">
        <f aca="false">IF(CQ1600&gt;0,CQ1600*MAX(1,AP1600/X1600),IF(BZ1600=1,IF(AP1600&lt;=0,0,CD1600*MAX(1,IF(H1600&gt;0,AP1600/H1600,1))),IF(R1600&gt;0,AQ1600/R1600,0))/MAX(0.1,N(Parameter!$M$21)))</f>
        <v>0.0384615384615385</v>
      </c>
      <c r="AS1600" s="50" t="n">
        <f aca="false">AR1600*CB1600</f>
        <v>5.96153846153846</v>
      </c>
      <c r="AT1600" s="51" t="n">
        <f aca="false">IF(LEFT(Cockpit!$I$5,1)="A",H1600,IF(CH1600=1,(CK1600+CI1600)/2,IF(LEFT(Cockpit!$I$5,1)="B",(CK1600+AV1600)/2,MAX((CK1600+AV1600)/2,H1600))))</f>
        <v>2</v>
      </c>
      <c r="AU1600" s="50" t="n">
        <f aca="false">AT1600*G1600</f>
        <v>712.42</v>
      </c>
      <c r="AV1600" s="50" t="n">
        <f aca="false">ROUNDUP(CK1600+MAX(CL1600,2*(J1600/IF(CG1600&gt;0,CG1600,MAX(0.1,N(Cockpit!$I$6)))-CK1600)),0)</f>
        <v>1</v>
      </c>
      <c r="AW1600" s="51" t="n">
        <f aca="false">IF(AS1600&gt;0,J1600/AS1600,-1)</f>
        <v>0</v>
      </c>
      <c r="AX1600" s="51" t="n">
        <f aca="false">IF(AND(OR(CF1600="L1",CF1600="L23",CF1600="LIFT"),AS1600&gt;0),SUMIFS($AS$7:$AS$1843,$CF$7:$CF$1843,CF1600,$AW$7:$AW$1843,"&gt;"&amp;AW1600)+SUMIFS($AS$7:$AS$1843,$CF$7:$CF$1843,CF1600,$AW$7:$AW$1843,AW1600,$BW$7:$BW$1843,"&lt;="&amp;BW1600),"")</f>
        <v>36965.6983480267</v>
      </c>
      <c r="AY1600" s="58" t="n">
        <f aca="false">IF(AX1600="",0,MAX(0,MIN(1,(IF(CF1600="L1",Parameter!$H$5,IF(CF1600="L23",Parameter!$H$6+Parameter!$H$7,Parameter!$H$5+Parameter!$H$6+Parameter!$H$7))-(AX1600-AS1600))/AS1600)))</f>
        <v>0</v>
      </c>
      <c r="AZ1600" s="50" t="n">
        <f aca="false">IF(LEFT(Cockpit!$O$5,1)="A",H1600,IF(Parameter!$E$30="MAX-Bestand",IF(CH1600=1,CI1600,IF(LEFT(Cockpit!$O$5,1)="B",BF1600,MAX(BF1600,H1600))),ROUNDUP(BD1600,0)))</f>
        <v>1</v>
      </c>
      <c r="BA1600" s="50" t="n">
        <f aca="false">IF(BZ1600=1,0,ROUNDUP(AZ1600/BY1600,0))</f>
        <v>1</v>
      </c>
      <c r="BB1600" s="52" t="n">
        <f aca="false">IF(CQ1600&gt;0,CQ1600*MAX(1,AZ1600/X1600),IF(BZ1600=1,IF(AZ1600&lt;=0,0,CD1600*MAX(1,IF(H1600&gt;0,AZ1600/H1600,1))),IF(R1600&gt;0,BA1600/R1600,0))/MAX(0.1,N(Parameter!$M$21)))</f>
        <v>0.0384615384615385</v>
      </c>
      <c r="BC1600" s="50" t="n">
        <f aca="false">BB1600*CB1600</f>
        <v>5.96153846153846</v>
      </c>
      <c r="BD1600" s="51" t="n">
        <f aca="false">IF(LEFT(Cockpit!$O$5,1)="A",H1600,IF(CH1600=1,(CK1600+CI1600)/2,IF(LEFT(Cockpit!$O$5,1)="B",(CK1600+BF1600)/2,MAX((CK1600+BF1600)/2,H1600))))</f>
        <v>0.5</v>
      </c>
      <c r="BE1600" s="50" t="n">
        <f aca="false">BD1600*G1600</f>
        <v>178.105</v>
      </c>
      <c r="BF1600" s="50" t="n">
        <f aca="false">ROUNDUP(CK1600+MAX(CL1600,2*(J1600/IF(CG1600&gt;0,CG1600,MAX(0.1,N(Cockpit!$O$6)))-CK1600)),0)</f>
        <v>1</v>
      </c>
      <c r="BG1600" s="51" t="n">
        <f aca="false">IF(BC1600&gt;0,J1600/BC1600,-1)</f>
        <v>0</v>
      </c>
      <c r="BH1600" s="51" t="n">
        <f aca="false">IF(AND(OR(CF1600="L1",CF1600="L23",CF1600="LIFT"),BC1600&gt;0),SUMIFS($BC$7:$BC$1843,$CF$7:$CF$1843,CF1600,$BG$7:$BG$1843,"&gt;"&amp;BG1600)+SUMIFS($BC$7:$BC$1843,$CF$7:$CF$1843,CF1600,$BG$7:$BG$1843,BG1600,$BW$7:$BW$1843,"&lt;="&amp;BW1600),"")</f>
        <v>30875.1396235591</v>
      </c>
      <c r="BI1600" s="58" t="n">
        <f aca="false">IF(BH1600="",0,MAX(0,MIN(1,(IF(CF1600="L1",Parameter!$H$5,IF(CF1600="L23",Parameter!$H$6+Parameter!$H$7,Parameter!$H$5+Parameter!$H$6+Parameter!$H$7))-(BH1600-BC1600))/BC1600)))</f>
        <v>1</v>
      </c>
      <c r="BJ1600" s="48" t="str">
        <f aca="false">IF(AI1600&lt;=0,"",IF(CF1600="Aussen","Aussenlager",IF(CF1600="-","Nicht im Lift",IF(AO1600&gt;=1,"Lift",IF(AO1600&lt;=0,"Aussenlager","teilweise")))))</f>
        <v>Lift</v>
      </c>
      <c r="BK1600" s="48" t="str">
        <f aca="false">IF(AS1600&lt;=0,"",IF(CF1600="Aussen","Aussenlager",IF(CF1600="-","Nicht im Lift",IF(AY1600&gt;=1,"Lift",IF(AY1600&lt;=0,"Aussenlager","teilweise")))))</f>
        <v>Aussenlager</v>
      </c>
      <c r="BL1600" s="48" t="str">
        <f aca="false">IF(BC1600&lt;=0,"",IF(CF1600="Aussen","Aussenlager",IF(CF1600="-","Nicht im Lift",IF(BI1600&gt;=1,"Lift",IF(BI1600&lt;=0,"Aussenlager","teilweise")))))</f>
        <v>Lift</v>
      </c>
      <c r="BM1600" s="48" t="str">
        <f aca="false">IF(A1600="","",IF(BV1600=1,"Neu; ","")&amp;IF(AND(BV1600=0,BQ1600&lt;0),"negativer Bestand (Export "&amp;BQ1600&amp;"); ","")&amp;IF(J1600&lt;=0,"Kein Verbrauch; ","")&amp;IF(CQ1600&gt;0,"Lift "&amp;W1600&amp;" lt. Liftbericht (Fach "&amp;X1600&amp;" Stk); ",IF(CA1600=1,"Gebinde geschätzt ("&amp;T1600&amp;"); ",IF(BZ1600=1,"Lose – Tablare geschätzt; ","")))&amp;IF(H1600&gt;AV1600,"Überbestand "&amp;ROUND(H1600-AV1600,0)&amp;" Stk / CHF "&amp;ROUND((H1600-AV1600)*G1600,0)&amp;"; ","")&amp;IF(AND(CH1600=1,CI1600&lt;CJ1600),"MAX &lt; MB+LG; ","")&amp;IF(AND(CP1600&gt;0,CO1600*10&gt;CP1600),"zu hoch für Tablar; ","")&amp;IF(AND(BV1600=0,OR(CH1600=1,AA1600&lt;&gt;"",U1600&lt;&gt;"",V1600&lt;&gt;"",AB1600&lt;&gt;"")),"manuell übersteuert; ","")&amp;IF(AND(BZ1600=0,R1600=0),"Gebinde unbekannt / Stellmass fehlt; ","")&amp;IF(AND(BZ1600=0,N(V1600)&lt;=0,N(Q1600)&lt;=0),"Menge pro Gebinde fehlt (Ist = 1 Gebinde); ","")&amp;BU1600)</f>
        <v>Kein Verbrauch; Gebinde geschätzt (Klein); Überbestand 1 Stk / CHF 356; Menge pro Gebinde fehlt (Ist = 1 Gebinde); nur im Artikelstamm (Bestand 23.06.2026)</v>
      </c>
      <c r="BN1600" s="48"/>
      <c r="BO1600" s="48"/>
      <c r="BP1600" s="55"/>
      <c r="BQ1600" s="50" t="n">
        <v>2</v>
      </c>
      <c r="BR1600" s="50" t="n">
        <v>0</v>
      </c>
      <c r="BS1600" s="49" t="n">
        <v>0</v>
      </c>
      <c r="BT1600" s="50" t="n">
        <v>0</v>
      </c>
      <c r="BU1600" s="48" t="s">
        <v>2584</v>
      </c>
      <c r="BV1600" s="53" t="n">
        <v>0</v>
      </c>
      <c r="BW1600" s="53" t="n">
        <v>1600</v>
      </c>
      <c r="BX1600" s="48" t="str">
        <f aca="false">IF(U1600&lt;&gt;"",UPPER(TRIM(U1600)),IF(CA1600=1,UPPER(VLOOKUP(T1600,Parameter!$I$27:$K$29,2,0)),IF(P1600="","LOSE",P1600)))</f>
        <v>S51</v>
      </c>
      <c r="BY1600" s="50" t="n">
        <f aca="false">IF(BX1600="LOSE",1,IF(N(V1600)&gt;0,V1600,IF(CA1600=1,MAX(1,N(VLOOKUP(T1600,Parameter!$I$27:$K$29,3,0)),H1600,N(N1600)),IF(N(Q1600)&gt;0,Q1600,MAX(1,H1600)))))</f>
        <v>20</v>
      </c>
      <c r="BZ1600" s="53" t="n">
        <f aca="false">IF(BX1600="LOSE",1,0)</f>
        <v>0</v>
      </c>
      <c r="CA1600" s="53" t="n">
        <f aca="false">IF(AND(U1600="",OR(P1600="",P1600="LOSE"),T1600&lt;&gt;"",N(S1600)&lt;=0,ISNUMBER(MATCH(T1600,Parameter!$I$27:$I$29,0))),1,0)</f>
        <v>1</v>
      </c>
      <c r="CB1600" s="53" t="n">
        <f aca="false">IF(CQ1600&gt;0,INDEX(Parameter!$H$5:$H$7,W1600)/INDEX(Parameter!$E$5:$E$7,W1600),IF(AND(BZ1600=0,N(IFERROR(VLOOKUP(BX1600,'Gebinde-Kategorie'!$A$5:$N$45,14,0),0))&gt;0),VLOOKUP(BX1600,'Gebinde-Kategorie'!$A$5:$N$45,14,0)*10+Parameter!$M$23,Parameter!$M$24))</f>
        <v>155</v>
      </c>
      <c r="CC1600" s="48" t="str">
        <f aca="false">IF(AND(Parameter!$B$19="Ja",E1600&lt;&gt;"",ISNUMBER(MATCH(E1600,Parameter!$I$35:$I$52,0))),VLOOKUP(E1600,Parameter!$I$35:$J$52,2,0),IFERROR(VLOOKUP(D1600,Parameter!$A$35:$C$64,2,0),"Nein"))</f>
        <v>2+3</v>
      </c>
      <c r="CD1600" s="52" t="n">
        <f aca="false">IF(BZ1600=0,0,IF(N(S1600)&gt;0,S1600,IFERROR(VLOOKUP(D1600,Parameter!$A$35:$C$64,3,0)+0,0)))</f>
        <v>0</v>
      </c>
      <c r="CE1600" s="48" t="n">
        <f aca="false">IF(AA1600&lt;&gt;"",AA1600,Z1600)</f>
        <v>3</v>
      </c>
      <c r="CF1600" s="48" t="str">
        <f aca="false">IF(OR(CE1600=1,CE1600=2,CE1600=3),IF(Parameter!$E$27="Ja","LIFT",IF(CE1600=1,"L1","L23")),IF(CE1600="Aussen","Aussen","-"))</f>
        <v>LIFT</v>
      </c>
      <c r="CG1600" s="59" t="n">
        <f aca="false">IF(N(AB1600)&gt;0,AB1600,0)</f>
        <v>0</v>
      </c>
      <c r="CH1600" s="53" t="n">
        <f aca="false">IF(ISNUMBER(AE1600),1,0)</f>
        <v>0</v>
      </c>
      <c r="CI1600" s="50" t="n">
        <f aca="false">N(AE1600)</f>
        <v>0</v>
      </c>
      <c r="CJ1600" s="50" t="n">
        <f aca="false">N(M1600)+N(N1600)</f>
        <v>1</v>
      </c>
      <c r="CK1600" s="50" t="n">
        <f aca="false">N(M1600)</f>
        <v>0</v>
      </c>
      <c r="CL1600" s="50" t="n">
        <f aca="false">N(N1600)</f>
        <v>1</v>
      </c>
      <c r="CM1600" s="50" t="n">
        <f aca="false">ROUNDUP(H1600/BY1600,0)</f>
        <v>1</v>
      </c>
      <c r="CN1600" s="50" t="n">
        <f aca="false">ROUNDUP(CI1600/BY1600,0)</f>
        <v>0</v>
      </c>
      <c r="CO1600" s="53" t="n">
        <f aca="false">IF(BZ1600=1,0,IFERROR(VLOOKUP(BX1600,'Gebinde-Kategorie'!$A$5:$N$45,5,0)+0,0))</f>
        <v>11</v>
      </c>
      <c r="CP1600" s="53" t="n">
        <f aca="false">IFERROR(IF(OR(CE1600=1,CE1600=2,CE1600=3),N(INDEX(Parameter!$I$5:$I$7,CE1600)),0),0)</f>
        <v>0</v>
      </c>
      <c r="CQ1600" s="52" t="n">
        <f aca="false">IF(AND(Parameter!$B$21="Ja",ISNUMBER(W1600),N(X1600)&gt;0),IFERROR(N(INDEX(Parameter!$L$5:$L$7,W1600))*INDEX(Parameter!$E$5:$E$7,W1600)*X1600/SUMIFS($X$7:$X$1843,$W$7:$W$1843,W1600),0),0)</f>
        <v>0</v>
      </c>
    </row>
    <row r="1601" customFormat="false" ht="15" hidden="false" customHeight="false" outlineLevel="0" collapsed="false">
      <c r="A1601" s="48" t="s">
        <v>2800</v>
      </c>
      <c r="B1601" s="48" t="s">
        <v>2799</v>
      </c>
      <c r="C1601" s="48" t="s">
        <v>173</v>
      </c>
      <c r="D1601" s="48" t="s">
        <v>193</v>
      </c>
      <c r="E1601" s="48"/>
      <c r="F1601" s="48"/>
      <c r="G1601" s="49" t="n">
        <v>556.97</v>
      </c>
      <c r="H1601" s="50" t="n">
        <f aca="false">MAX(0,IF(AND(Parameter!$B$21="Ja",ISNUMBER(Y1601)),Y1601,IF(Parameter!$B$20="Jahresanfang 2025 + Export",BR1601+BQ1601,BQ1601)))</f>
        <v>2</v>
      </c>
      <c r="I1601" s="50" t="n">
        <f aca="false">H1601*G1601</f>
        <v>1113.94</v>
      </c>
      <c r="J1601" s="50" t="n">
        <f aca="false">BT1601*Parameter!$B$18</f>
        <v>0</v>
      </c>
      <c r="K1601" s="51"/>
      <c r="L1601" s="52"/>
      <c r="M1601" s="50" t="n">
        <v>0</v>
      </c>
      <c r="N1601" s="50" t="n">
        <v>1</v>
      </c>
      <c r="O1601" s="53" t="n">
        <v>35</v>
      </c>
      <c r="P1601" s="48" t="s">
        <v>177</v>
      </c>
      <c r="Q1601" s="50"/>
      <c r="R1601" s="53" t="n">
        <f aca="false">IF(BZ1601=1,0,IFERROR(VLOOKUP(BX1601,'Gebinde-Kategorie'!$A$5:$N$45,13,0)+0,0))</f>
        <v>26</v>
      </c>
      <c r="S1601" s="54"/>
      <c r="T1601" s="55" t="s">
        <v>284</v>
      </c>
      <c r="U1601" s="55"/>
      <c r="V1601" s="55"/>
      <c r="W1601" s="48"/>
      <c r="X1601" s="50"/>
      <c r="Y1601" s="50"/>
      <c r="Z1601" s="48" t="n">
        <f aca="false">IF(A1601="","",IF(AND(Parameter!$B$21="Ja",ISNUMBER(W1601)),W1601,IF(CC1601="2+3",IF(ISNUMBER(SEARCH("grosser Artikel",BU1601)),2,IFERROR(VLOOKUP(BX1601,Parameter!$F$35:$G$64,2,0),2)),IF(OR(CC1601="Nein",CC1601=""),"-",CC1601))))</f>
        <v>3</v>
      </c>
      <c r="AA1601" s="55"/>
      <c r="AB1601" s="56"/>
      <c r="AC1601" s="50" t="n">
        <f aca="false">AV1601</f>
        <v>1</v>
      </c>
      <c r="AD1601" s="50" t="n">
        <f aca="false">MAX(AV1601,H1601)</f>
        <v>2</v>
      </c>
      <c r="AE1601" s="57"/>
      <c r="AF1601" s="50" t="n">
        <f aca="false">IF(LEFT(Cockpit!$C$5,1)="A",H1601,IF(Parameter!$E$30="MAX-Bestand",IF(CH1601=1,CI1601,IF(LEFT(Cockpit!$C$5,1)="B",AL1601,MAX(AL1601,H1601))),ROUNDUP(AJ1601,0)))</f>
        <v>2</v>
      </c>
      <c r="AG1601" s="50" t="n">
        <f aca="false">IF(BZ1601=1,0,ROUNDUP(AF1601/BY1601,0))</f>
        <v>1</v>
      </c>
      <c r="AH1601" s="52" t="n">
        <f aca="false">IF(CQ1601&gt;0,CQ1601*MAX(1,AF1601/X1601),IF(BZ1601=1,IF(AF1601&lt;=0,0,CD1601*MAX(1,IF(H1601&gt;0,AF1601/H1601,1))),IF(R1601&gt;0,AG1601/R1601,0))/MAX(0.1,N(Parameter!$M$21)))</f>
        <v>0.0384615384615385</v>
      </c>
      <c r="AI1601" s="50" t="n">
        <f aca="false">AH1601*CB1601</f>
        <v>5.96153846153846</v>
      </c>
      <c r="AJ1601" s="51" t="n">
        <f aca="false">IF(LEFT(Cockpit!$C$5,1)="A",H1601,IF(CH1601=1,(CK1601+CI1601)/2,IF(LEFT(Cockpit!$C$5,1)="B",(CK1601+AL1601)/2,MAX((CK1601+AL1601)/2,H1601))))</f>
        <v>2</v>
      </c>
      <c r="AK1601" s="50" t="n">
        <f aca="false">AJ1601*G1601</f>
        <v>1113.94</v>
      </c>
      <c r="AL1601" s="50" t="n">
        <f aca="false">ROUNDUP(CK1601+MAX(CL1601,2*(J1601/IF(CG1601&gt;0,CG1601,MAX(0.1,N(Cockpit!$C$6)))-CK1601)),0)</f>
        <v>1</v>
      </c>
      <c r="AM1601" s="51" t="n">
        <f aca="false">IF(AI1601&gt;0,J1601/AI1601,-1)</f>
        <v>0</v>
      </c>
      <c r="AN1601" s="51" t="n">
        <f aca="false">IF(AND(OR(CF1601="L1",CF1601="L23",CF1601="LIFT"),AI1601&gt;0),SUMIFS($AI$7:$AI$1843,$CF$7:$CF$1843,CF1601,$AM$7:$AM$1843,"&gt;"&amp;AM1601)+SUMIFS($AI$7:$AI$1843,$CF$7:$CF$1843,CF1601,$AM$7:$AM$1843,AM1601,$BW$7:$BW$1843,"&lt;="&amp;BW1601),"")</f>
        <v>30651.8033696529</v>
      </c>
      <c r="AO1601" s="58" t="n">
        <f aca="false">IF(AN1601="",0,MAX(0,MIN(1,(IF(CF1601="L1",Parameter!$H$5,IF(CF1601="L23",Parameter!$H$6+Parameter!$H$7,Parameter!$H$5+Parameter!$H$6+Parameter!$H$7))-(AN1601-AI1601))/AI1601)))</f>
        <v>1</v>
      </c>
      <c r="AP1601" s="50" t="n">
        <f aca="false">IF(LEFT(Cockpit!$I$5,1)="A",H1601,IF(Parameter!$E$30="MAX-Bestand",IF(CH1601=1,CI1601,IF(LEFT(Cockpit!$I$5,1)="B",AV1601,MAX(AV1601,H1601))),ROUNDUP(AT1601,0)))</f>
        <v>2</v>
      </c>
      <c r="AQ1601" s="50" t="n">
        <f aca="false">IF(BZ1601=1,0,ROUNDUP(AP1601/BY1601,0))</f>
        <v>1</v>
      </c>
      <c r="AR1601" s="52" t="n">
        <f aca="false">IF(CQ1601&gt;0,CQ1601*MAX(1,AP1601/X1601),IF(BZ1601=1,IF(AP1601&lt;=0,0,CD1601*MAX(1,IF(H1601&gt;0,AP1601/H1601,1))),IF(R1601&gt;0,AQ1601/R1601,0))/MAX(0.1,N(Parameter!$M$21)))</f>
        <v>0.0384615384615385</v>
      </c>
      <c r="AS1601" s="50" t="n">
        <f aca="false">AR1601*CB1601</f>
        <v>5.96153846153846</v>
      </c>
      <c r="AT1601" s="51" t="n">
        <f aca="false">IF(LEFT(Cockpit!$I$5,1)="A",H1601,IF(CH1601=1,(CK1601+CI1601)/2,IF(LEFT(Cockpit!$I$5,1)="B",(CK1601+AV1601)/2,MAX((CK1601+AV1601)/2,H1601))))</f>
        <v>2</v>
      </c>
      <c r="AU1601" s="50" t="n">
        <f aca="false">AT1601*G1601</f>
        <v>1113.94</v>
      </c>
      <c r="AV1601" s="50" t="n">
        <f aca="false">ROUNDUP(CK1601+MAX(CL1601,2*(J1601/IF(CG1601&gt;0,CG1601,MAX(0.1,N(Cockpit!$I$6)))-CK1601)),0)</f>
        <v>1</v>
      </c>
      <c r="AW1601" s="51" t="n">
        <f aca="false">IF(AS1601&gt;0,J1601/AS1601,-1)</f>
        <v>0</v>
      </c>
      <c r="AX1601" s="51" t="n">
        <f aca="false">IF(AND(OR(CF1601="L1",CF1601="L23",CF1601="LIFT"),AS1601&gt;0),SUMIFS($AS$7:$AS$1843,$CF$7:$CF$1843,CF1601,$AW$7:$AW$1843,"&gt;"&amp;AW1601)+SUMIFS($AS$7:$AS$1843,$CF$7:$CF$1843,CF1601,$AW$7:$AW$1843,AW1601,$BW$7:$BW$1843,"&lt;="&amp;BW1601),"")</f>
        <v>36971.6598864883</v>
      </c>
      <c r="AY1601" s="58" t="n">
        <f aca="false">IF(AX1601="",0,MAX(0,MIN(1,(IF(CF1601="L1",Parameter!$H$5,IF(CF1601="L23",Parameter!$H$6+Parameter!$H$7,Parameter!$H$5+Parameter!$H$6+Parameter!$H$7))-(AX1601-AS1601))/AS1601)))</f>
        <v>0</v>
      </c>
      <c r="AZ1601" s="50" t="n">
        <f aca="false">IF(LEFT(Cockpit!$O$5,1)="A",H1601,IF(Parameter!$E$30="MAX-Bestand",IF(CH1601=1,CI1601,IF(LEFT(Cockpit!$O$5,1)="B",BF1601,MAX(BF1601,H1601))),ROUNDUP(BD1601,0)))</f>
        <v>1</v>
      </c>
      <c r="BA1601" s="50" t="n">
        <f aca="false">IF(BZ1601=1,0,ROUNDUP(AZ1601/BY1601,0))</f>
        <v>1</v>
      </c>
      <c r="BB1601" s="52" t="n">
        <f aca="false">IF(CQ1601&gt;0,CQ1601*MAX(1,AZ1601/X1601),IF(BZ1601=1,IF(AZ1601&lt;=0,0,CD1601*MAX(1,IF(H1601&gt;0,AZ1601/H1601,1))),IF(R1601&gt;0,BA1601/R1601,0))/MAX(0.1,N(Parameter!$M$21)))</f>
        <v>0.0384615384615385</v>
      </c>
      <c r="BC1601" s="50" t="n">
        <f aca="false">BB1601*CB1601</f>
        <v>5.96153846153846</v>
      </c>
      <c r="BD1601" s="51" t="n">
        <f aca="false">IF(LEFT(Cockpit!$O$5,1)="A",H1601,IF(CH1601=1,(CK1601+CI1601)/2,IF(LEFT(Cockpit!$O$5,1)="B",(CK1601+BF1601)/2,MAX((CK1601+BF1601)/2,H1601))))</f>
        <v>0.5</v>
      </c>
      <c r="BE1601" s="50" t="n">
        <f aca="false">BD1601*G1601</f>
        <v>278.485</v>
      </c>
      <c r="BF1601" s="50" t="n">
        <f aca="false">ROUNDUP(CK1601+MAX(CL1601,2*(J1601/IF(CG1601&gt;0,CG1601,MAX(0.1,N(Cockpit!$O$6)))-CK1601)),0)</f>
        <v>1</v>
      </c>
      <c r="BG1601" s="51" t="n">
        <f aca="false">IF(BC1601&gt;0,J1601/BC1601,-1)</f>
        <v>0</v>
      </c>
      <c r="BH1601" s="51" t="n">
        <f aca="false">IF(AND(OR(CF1601="L1",CF1601="L23",CF1601="LIFT"),BC1601&gt;0),SUMIFS($BC$7:$BC$1843,$CF$7:$CF$1843,CF1601,$BG$7:$BG$1843,"&gt;"&amp;BG1601)+SUMIFS($BC$7:$BC$1843,$CF$7:$CF$1843,CF1601,$BG$7:$BG$1843,BG1601,$BW$7:$BW$1843,"&lt;="&amp;BW1601),"")</f>
        <v>30881.1011620207</v>
      </c>
      <c r="BI1601" s="58" t="n">
        <f aca="false">IF(BH1601="",0,MAX(0,MIN(1,(IF(CF1601="L1",Parameter!$H$5,IF(CF1601="L23",Parameter!$H$6+Parameter!$H$7,Parameter!$H$5+Parameter!$H$6+Parameter!$H$7))-(BH1601-BC1601))/BC1601)))</f>
        <v>1</v>
      </c>
      <c r="BJ1601" s="48" t="str">
        <f aca="false">IF(AI1601&lt;=0,"",IF(CF1601="Aussen","Aussenlager",IF(CF1601="-","Nicht im Lift",IF(AO1601&gt;=1,"Lift",IF(AO1601&lt;=0,"Aussenlager","teilweise")))))</f>
        <v>Lift</v>
      </c>
      <c r="BK1601" s="48" t="str">
        <f aca="false">IF(AS1601&lt;=0,"",IF(CF1601="Aussen","Aussenlager",IF(CF1601="-","Nicht im Lift",IF(AY1601&gt;=1,"Lift",IF(AY1601&lt;=0,"Aussenlager","teilweise")))))</f>
        <v>Aussenlager</v>
      </c>
      <c r="BL1601" s="48" t="str">
        <f aca="false">IF(BC1601&lt;=0,"",IF(CF1601="Aussen","Aussenlager",IF(CF1601="-","Nicht im Lift",IF(BI1601&gt;=1,"Lift",IF(BI1601&lt;=0,"Aussenlager","teilweise")))))</f>
        <v>Lift</v>
      </c>
      <c r="BM1601" s="48" t="str">
        <f aca="false">IF(A1601="","",IF(BV1601=1,"Neu; ","")&amp;IF(AND(BV1601=0,BQ1601&lt;0),"negativer Bestand (Export "&amp;BQ1601&amp;"); ","")&amp;IF(J1601&lt;=0,"Kein Verbrauch; ","")&amp;IF(CQ1601&gt;0,"Lift "&amp;W1601&amp;" lt. Liftbericht (Fach "&amp;X1601&amp;" Stk); ",IF(CA1601=1,"Gebinde geschätzt ("&amp;T1601&amp;"); ",IF(BZ1601=1,"Lose – Tablare geschätzt; ","")))&amp;IF(H1601&gt;AV1601,"Überbestand "&amp;ROUND(H1601-AV1601,0)&amp;" Stk / CHF "&amp;ROUND((H1601-AV1601)*G1601,0)&amp;"; ","")&amp;IF(AND(CH1601=1,CI1601&lt;CJ1601),"MAX &lt; MB+LG; ","")&amp;IF(AND(CP1601&gt;0,CO1601*10&gt;CP1601),"zu hoch für Tablar; ","")&amp;IF(AND(BV1601=0,OR(CH1601=1,AA1601&lt;&gt;"",U1601&lt;&gt;"",V1601&lt;&gt;"",AB1601&lt;&gt;"")),"manuell übersteuert; ","")&amp;IF(AND(BZ1601=0,R1601=0),"Gebinde unbekannt / Stellmass fehlt; ","")&amp;IF(AND(BZ1601=0,N(V1601)&lt;=0,N(Q1601)&lt;=0),"Menge pro Gebinde fehlt (Ist = 1 Gebinde); ","")&amp;BU1601)</f>
        <v>Kein Verbrauch; Gebinde geschätzt (Klein); Überbestand 1 Stk / CHF 557; Menge pro Gebinde fehlt (Ist = 1 Gebinde); nur im Artikelstamm (Bestand 23.06.2026)</v>
      </c>
      <c r="BN1601" s="48"/>
      <c r="BO1601" s="48"/>
      <c r="BP1601" s="55"/>
      <c r="BQ1601" s="50" t="n">
        <v>2</v>
      </c>
      <c r="BR1601" s="50" t="n">
        <v>0</v>
      </c>
      <c r="BS1601" s="49" t="n">
        <v>0</v>
      </c>
      <c r="BT1601" s="50" t="n">
        <v>0</v>
      </c>
      <c r="BU1601" s="48" t="s">
        <v>2584</v>
      </c>
      <c r="BV1601" s="53" t="n">
        <v>0</v>
      </c>
      <c r="BW1601" s="53" t="n">
        <v>1601</v>
      </c>
      <c r="BX1601" s="48" t="str">
        <f aca="false">IF(U1601&lt;&gt;"",UPPER(TRIM(U1601)),IF(CA1601=1,UPPER(VLOOKUP(T1601,Parameter!$I$27:$K$29,2,0)),IF(P1601="","LOSE",P1601)))</f>
        <v>S51</v>
      </c>
      <c r="BY1601" s="50" t="n">
        <f aca="false">IF(BX1601="LOSE",1,IF(N(V1601)&gt;0,V1601,IF(CA1601=1,MAX(1,N(VLOOKUP(T1601,Parameter!$I$27:$K$29,3,0)),H1601,N(N1601)),IF(N(Q1601)&gt;0,Q1601,MAX(1,H1601)))))</f>
        <v>20</v>
      </c>
      <c r="BZ1601" s="53" t="n">
        <f aca="false">IF(BX1601="LOSE",1,0)</f>
        <v>0</v>
      </c>
      <c r="CA1601" s="53" t="n">
        <f aca="false">IF(AND(U1601="",OR(P1601="",P1601="LOSE"),T1601&lt;&gt;"",N(S1601)&lt;=0,ISNUMBER(MATCH(T1601,Parameter!$I$27:$I$29,0))),1,0)</f>
        <v>1</v>
      </c>
      <c r="CB1601" s="53" t="n">
        <f aca="false">IF(CQ1601&gt;0,INDEX(Parameter!$H$5:$H$7,W1601)/INDEX(Parameter!$E$5:$E$7,W1601),IF(AND(BZ1601=0,N(IFERROR(VLOOKUP(BX1601,'Gebinde-Kategorie'!$A$5:$N$45,14,0),0))&gt;0),VLOOKUP(BX1601,'Gebinde-Kategorie'!$A$5:$N$45,14,0)*10+Parameter!$M$23,Parameter!$M$24))</f>
        <v>155</v>
      </c>
      <c r="CC1601" s="48" t="str">
        <f aca="false">IF(AND(Parameter!$B$19="Ja",E1601&lt;&gt;"",ISNUMBER(MATCH(E1601,Parameter!$I$35:$I$52,0))),VLOOKUP(E1601,Parameter!$I$35:$J$52,2,0),IFERROR(VLOOKUP(D1601,Parameter!$A$35:$C$64,2,0),"Nein"))</f>
        <v>2+3</v>
      </c>
      <c r="CD1601" s="52" t="n">
        <f aca="false">IF(BZ1601=0,0,IF(N(S1601)&gt;0,S1601,IFERROR(VLOOKUP(D1601,Parameter!$A$35:$C$64,3,0)+0,0)))</f>
        <v>0</v>
      </c>
      <c r="CE1601" s="48" t="n">
        <f aca="false">IF(AA1601&lt;&gt;"",AA1601,Z1601)</f>
        <v>3</v>
      </c>
      <c r="CF1601" s="48" t="str">
        <f aca="false">IF(OR(CE1601=1,CE1601=2,CE1601=3),IF(Parameter!$E$27="Ja","LIFT",IF(CE1601=1,"L1","L23")),IF(CE1601="Aussen","Aussen","-"))</f>
        <v>LIFT</v>
      </c>
      <c r="CG1601" s="59" t="n">
        <f aca="false">IF(N(AB1601)&gt;0,AB1601,0)</f>
        <v>0</v>
      </c>
      <c r="CH1601" s="53" t="n">
        <f aca="false">IF(ISNUMBER(AE1601),1,0)</f>
        <v>0</v>
      </c>
      <c r="CI1601" s="50" t="n">
        <f aca="false">N(AE1601)</f>
        <v>0</v>
      </c>
      <c r="CJ1601" s="50" t="n">
        <f aca="false">N(M1601)+N(N1601)</f>
        <v>1</v>
      </c>
      <c r="CK1601" s="50" t="n">
        <f aca="false">N(M1601)</f>
        <v>0</v>
      </c>
      <c r="CL1601" s="50" t="n">
        <f aca="false">N(N1601)</f>
        <v>1</v>
      </c>
      <c r="CM1601" s="50" t="n">
        <f aca="false">ROUNDUP(H1601/BY1601,0)</f>
        <v>1</v>
      </c>
      <c r="CN1601" s="50" t="n">
        <f aca="false">ROUNDUP(CI1601/BY1601,0)</f>
        <v>0</v>
      </c>
      <c r="CO1601" s="53" t="n">
        <f aca="false">IF(BZ1601=1,0,IFERROR(VLOOKUP(BX1601,'Gebinde-Kategorie'!$A$5:$N$45,5,0)+0,0))</f>
        <v>11</v>
      </c>
      <c r="CP1601" s="53" t="n">
        <f aca="false">IFERROR(IF(OR(CE1601=1,CE1601=2,CE1601=3),N(INDEX(Parameter!$I$5:$I$7,CE1601)),0),0)</f>
        <v>0</v>
      </c>
      <c r="CQ1601" s="52" t="n">
        <f aca="false">IF(AND(Parameter!$B$21="Ja",ISNUMBER(W1601),N(X1601)&gt;0),IFERROR(N(INDEX(Parameter!$L$5:$L$7,W1601))*INDEX(Parameter!$E$5:$E$7,W1601)*X1601/SUMIFS($X$7:$X$1843,$W$7:$W$1843,W1601),0),0)</f>
        <v>0</v>
      </c>
    </row>
    <row r="1602" customFormat="false" ht="15" hidden="false" customHeight="false" outlineLevel="0" collapsed="false">
      <c r="A1602" s="48" t="s">
        <v>2801</v>
      </c>
      <c r="B1602" s="48" t="s">
        <v>956</v>
      </c>
      <c r="C1602" s="48" t="s">
        <v>173</v>
      </c>
      <c r="D1602" s="48" t="s">
        <v>193</v>
      </c>
      <c r="E1602" s="48"/>
      <c r="F1602" s="48"/>
      <c r="G1602" s="49" t="n">
        <v>1.84</v>
      </c>
      <c r="H1602" s="50" t="n">
        <f aca="false">MAX(0,IF(AND(Parameter!$B$21="Ja",ISNUMBER(Y1602)),Y1602,IF(Parameter!$B$20="Jahresanfang 2025 + Export",BR1602+BQ1602,BQ1602)))</f>
        <v>45</v>
      </c>
      <c r="I1602" s="50" t="n">
        <f aca="false">H1602*G1602</f>
        <v>82.8</v>
      </c>
      <c r="J1602" s="50" t="n">
        <f aca="false">BT1602*Parameter!$B$18</f>
        <v>0</v>
      </c>
      <c r="K1602" s="51"/>
      <c r="L1602" s="52"/>
      <c r="M1602" s="50" t="n">
        <v>0</v>
      </c>
      <c r="N1602" s="50" t="n">
        <v>1</v>
      </c>
      <c r="O1602" s="53" t="n">
        <v>28</v>
      </c>
      <c r="P1602" s="48" t="s">
        <v>177</v>
      </c>
      <c r="Q1602" s="50"/>
      <c r="R1602" s="53" t="n">
        <f aca="false">IF(BZ1602=1,0,IFERROR(VLOOKUP(BX1602,'Gebinde-Kategorie'!$A$5:$N$45,13,0)+0,0))</f>
        <v>26</v>
      </c>
      <c r="S1602" s="54"/>
      <c r="T1602" s="55" t="s">
        <v>284</v>
      </c>
      <c r="U1602" s="55"/>
      <c r="V1602" s="55"/>
      <c r="W1602" s="48"/>
      <c r="X1602" s="50"/>
      <c r="Y1602" s="50"/>
      <c r="Z1602" s="48" t="n">
        <f aca="false">IF(A1602="","",IF(AND(Parameter!$B$21="Ja",ISNUMBER(W1602)),W1602,IF(CC1602="2+3",IF(ISNUMBER(SEARCH("grosser Artikel",BU1602)),2,IFERROR(VLOOKUP(BX1602,Parameter!$F$35:$G$64,2,0),2)),IF(OR(CC1602="Nein",CC1602=""),"-",CC1602))))</f>
        <v>3</v>
      </c>
      <c r="AA1602" s="55"/>
      <c r="AB1602" s="56"/>
      <c r="AC1602" s="50" t="n">
        <f aca="false">AV1602</f>
        <v>1</v>
      </c>
      <c r="AD1602" s="50" t="n">
        <f aca="false">MAX(AV1602,H1602)</f>
        <v>45</v>
      </c>
      <c r="AE1602" s="57"/>
      <c r="AF1602" s="50" t="n">
        <f aca="false">IF(LEFT(Cockpit!$C$5,1)="A",H1602,IF(Parameter!$E$30="MAX-Bestand",IF(CH1602=1,CI1602,IF(LEFT(Cockpit!$C$5,1)="B",AL1602,MAX(AL1602,H1602))),ROUNDUP(AJ1602,0)))</f>
        <v>45</v>
      </c>
      <c r="AG1602" s="50" t="n">
        <f aca="false">IF(BZ1602=1,0,ROUNDUP(AF1602/BY1602,0))</f>
        <v>1</v>
      </c>
      <c r="AH1602" s="52" t="n">
        <f aca="false">IF(CQ1602&gt;0,CQ1602*MAX(1,AF1602/X1602),IF(BZ1602=1,IF(AF1602&lt;=0,0,CD1602*MAX(1,IF(H1602&gt;0,AF1602/H1602,1))),IF(R1602&gt;0,AG1602/R1602,0))/MAX(0.1,N(Parameter!$M$21)))</f>
        <v>0.0384615384615385</v>
      </c>
      <c r="AI1602" s="50" t="n">
        <f aca="false">AH1602*CB1602</f>
        <v>5.96153846153846</v>
      </c>
      <c r="AJ1602" s="51" t="n">
        <f aca="false">IF(LEFT(Cockpit!$C$5,1)="A",H1602,IF(CH1602=1,(CK1602+CI1602)/2,IF(LEFT(Cockpit!$C$5,1)="B",(CK1602+AL1602)/2,MAX((CK1602+AL1602)/2,H1602))))</f>
        <v>45</v>
      </c>
      <c r="AK1602" s="50" t="n">
        <f aca="false">AJ1602*G1602</f>
        <v>82.8</v>
      </c>
      <c r="AL1602" s="50" t="n">
        <f aca="false">ROUNDUP(CK1602+MAX(CL1602,2*(J1602/IF(CG1602&gt;0,CG1602,MAX(0.1,N(Cockpit!$C$6)))-CK1602)),0)</f>
        <v>1</v>
      </c>
      <c r="AM1602" s="51" t="n">
        <f aca="false">IF(AI1602&gt;0,J1602/AI1602,-1)</f>
        <v>0</v>
      </c>
      <c r="AN1602" s="51" t="n">
        <f aca="false">IF(AND(OR(CF1602="L1",CF1602="L23",CF1602="LIFT"),AI1602&gt;0),SUMIFS($AI$7:$AI$1843,$CF$7:$CF$1843,CF1602,$AM$7:$AM$1843,"&gt;"&amp;AM1602)+SUMIFS($AI$7:$AI$1843,$CF$7:$CF$1843,CF1602,$AM$7:$AM$1843,AM1602,$BW$7:$BW$1843,"&lt;="&amp;BW1602),"")</f>
        <v>30657.7649081145</v>
      </c>
      <c r="AO1602" s="58" t="n">
        <f aca="false">IF(AN1602="",0,MAX(0,MIN(1,(IF(CF1602="L1",Parameter!$H$5,IF(CF1602="L23",Parameter!$H$6+Parameter!$H$7,Parameter!$H$5+Parameter!$H$6+Parameter!$H$7))-(AN1602-AI1602))/AI1602)))</f>
        <v>1</v>
      </c>
      <c r="AP1602" s="50" t="n">
        <f aca="false">IF(LEFT(Cockpit!$I$5,1)="A",H1602,IF(Parameter!$E$30="MAX-Bestand",IF(CH1602=1,CI1602,IF(LEFT(Cockpit!$I$5,1)="B",AV1602,MAX(AV1602,H1602))),ROUNDUP(AT1602,0)))</f>
        <v>45</v>
      </c>
      <c r="AQ1602" s="50" t="n">
        <f aca="false">IF(BZ1602=1,0,ROUNDUP(AP1602/BY1602,0))</f>
        <v>1</v>
      </c>
      <c r="AR1602" s="52" t="n">
        <f aca="false">IF(CQ1602&gt;0,CQ1602*MAX(1,AP1602/X1602),IF(BZ1602=1,IF(AP1602&lt;=0,0,CD1602*MAX(1,IF(H1602&gt;0,AP1602/H1602,1))),IF(R1602&gt;0,AQ1602/R1602,0))/MAX(0.1,N(Parameter!$M$21)))</f>
        <v>0.0384615384615385</v>
      </c>
      <c r="AS1602" s="50" t="n">
        <f aca="false">AR1602*CB1602</f>
        <v>5.96153846153846</v>
      </c>
      <c r="AT1602" s="51" t="n">
        <f aca="false">IF(LEFT(Cockpit!$I$5,1)="A",H1602,IF(CH1602=1,(CK1602+CI1602)/2,IF(LEFT(Cockpit!$I$5,1)="B",(CK1602+AV1602)/2,MAX((CK1602+AV1602)/2,H1602))))</f>
        <v>45</v>
      </c>
      <c r="AU1602" s="50" t="n">
        <f aca="false">AT1602*G1602</f>
        <v>82.8</v>
      </c>
      <c r="AV1602" s="50" t="n">
        <f aca="false">ROUNDUP(CK1602+MAX(CL1602,2*(J1602/IF(CG1602&gt;0,CG1602,MAX(0.1,N(Cockpit!$I$6)))-CK1602)),0)</f>
        <v>1</v>
      </c>
      <c r="AW1602" s="51" t="n">
        <f aca="false">IF(AS1602&gt;0,J1602/AS1602,-1)</f>
        <v>0</v>
      </c>
      <c r="AX1602" s="51" t="n">
        <f aca="false">IF(AND(OR(CF1602="L1",CF1602="L23",CF1602="LIFT"),AS1602&gt;0),SUMIFS($AS$7:$AS$1843,$CF$7:$CF$1843,CF1602,$AW$7:$AW$1843,"&gt;"&amp;AW1602)+SUMIFS($AS$7:$AS$1843,$CF$7:$CF$1843,CF1602,$AW$7:$AW$1843,AW1602,$BW$7:$BW$1843,"&lt;="&amp;BW1602),"")</f>
        <v>36977.6214249498</v>
      </c>
      <c r="AY1602" s="58" t="n">
        <f aca="false">IF(AX1602="",0,MAX(0,MIN(1,(IF(CF1602="L1",Parameter!$H$5,IF(CF1602="L23",Parameter!$H$6+Parameter!$H$7,Parameter!$H$5+Parameter!$H$6+Parameter!$H$7))-(AX1602-AS1602))/AS1602)))</f>
        <v>0</v>
      </c>
      <c r="AZ1602" s="50" t="n">
        <f aca="false">IF(LEFT(Cockpit!$O$5,1)="A",H1602,IF(Parameter!$E$30="MAX-Bestand",IF(CH1602=1,CI1602,IF(LEFT(Cockpit!$O$5,1)="B",BF1602,MAX(BF1602,H1602))),ROUNDUP(BD1602,0)))</f>
        <v>1</v>
      </c>
      <c r="BA1602" s="50" t="n">
        <f aca="false">IF(BZ1602=1,0,ROUNDUP(AZ1602/BY1602,0))</f>
        <v>1</v>
      </c>
      <c r="BB1602" s="52" t="n">
        <f aca="false">IF(CQ1602&gt;0,CQ1602*MAX(1,AZ1602/X1602),IF(BZ1602=1,IF(AZ1602&lt;=0,0,CD1602*MAX(1,IF(H1602&gt;0,AZ1602/H1602,1))),IF(R1602&gt;0,BA1602/R1602,0))/MAX(0.1,N(Parameter!$M$21)))</f>
        <v>0.0384615384615385</v>
      </c>
      <c r="BC1602" s="50" t="n">
        <f aca="false">BB1602*CB1602</f>
        <v>5.96153846153846</v>
      </c>
      <c r="BD1602" s="51" t="n">
        <f aca="false">IF(LEFT(Cockpit!$O$5,1)="A",H1602,IF(CH1602=1,(CK1602+CI1602)/2,IF(LEFT(Cockpit!$O$5,1)="B",(CK1602+BF1602)/2,MAX((CK1602+BF1602)/2,H1602))))</f>
        <v>0.5</v>
      </c>
      <c r="BE1602" s="50" t="n">
        <f aca="false">BD1602*G1602</f>
        <v>0.92</v>
      </c>
      <c r="BF1602" s="50" t="n">
        <f aca="false">ROUNDUP(CK1602+MAX(CL1602,2*(J1602/IF(CG1602&gt;0,CG1602,MAX(0.1,N(Cockpit!$O$6)))-CK1602)),0)</f>
        <v>1</v>
      </c>
      <c r="BG1602" s="51" t="n">
        <f aca="false">IF(BC1602&gt;0,J1602/BC1602,-1)</f>
        <v>0</v>
      </c>
      <c r="BH1602" s="51" t="n">
        <f aca="false">IF(AND(OR(CF1602="L1",CF1602="L23",CF1602="LIFT"),BC1602&gt;0),SUMIFS($BC$7:$BC$1843,$CF$7:$CF$1843,CF1602,$BG$7:$BG$1843,"&gt;"&amp;BG1602)+SUMIFS($BC$7:$BC$1843,$CF$7:$CF$1843,CF1602,$BG$7:$BG$1843,BG1602,$BW$7:$BW$1843,"&lt;="&amp;BW1602),"")</f>
        <v>30887.0627004822</v>
      </c>
      <c r="BI1602" s="58" t="n">
        <f aca="false">IF(BH1602="",0,MAX(0,MIN(1,(IF(CF1602="L1",Parameter!$H$5,IF(CF1602="L23",Parameter!$H$6+Parameter!$H$7,Parameter!$H$5+Parameter!$H$6+Parameter!$H$7))-(BH1602-BC1602))/BC1602)))</f>
        <v>1</v>
      </c>
      <c r="BJ1602" s="48" t="str">
        <f aca="false">IF(AI1602&lt;=0,"",IF(CF1602="Aussen","Aussenlager",IF(CF1602="-","Nicht im Lift",IF(AO1602&gt;=1,"Lift",IF(AO1602&lt;=0,"Aussenlager","teilweise")))))</f>
        <v>Lift</v>
      </c>
      <c r="BK1602" s="48" t="str">
        <f aca="false">IF(AS1602&lt;=0,"",IF(CF1602="Aussen","Aussenlager",IF(CF1602="-","Nicht im Lift",IF(AY1602&gt;=1,"Lift",IF(AY1602&lt;=0,"Aussenlager","teilweise")))))</f>
        <v>Aussenlager</v>
      </c>
      <c r="BL1602" s="48" t="str">
        <f aca="false">IF(BC1602&lt;=0,"",IF(CF1602="Aussen","Aussenlager",IF(CF1602="-","Nicht im Lift",IF(BI1602&gt;=1,"Lift",IF(BI1602&lt;=0,"Aussenlager","teilweise")))))</f>
        <v>Lift</v>
      </c>
      <c r="BM1602" s="48" t="str">
        <f aca="false">IF(A1602="","",IF(BV1602=1,"Neu; ","")&amp;IF(AND(BV1602=0,BQ1602&lt;0),"negativer Bestand (Export "&amp;BQ1602&amp;"); ","")&amp;IF(J1602&lt;=0,"Kein Verbrauch; ","")&amp;IF(CQ1602&gt;0,"Lift "&amp;W1602&amp;" lt. Liftbericht (Fach "&amp;X1602&amp;" Stk); ",IF(CA1602=1,"Gebinde geschätzt ("&amp;T1602&amp;"); ",IF(BZ1602=1,"Lose – Tablare geschätzt; ","")))&amp;IF(H1602&gt;AV1602,"Überbestand "&amp;ROUND(H1602-AV1602,0)&amp;" Stk / CHF "&amp;ROUND((H1602-AV1602)*G1602,0)&amp;"; ","")&amp;IF(AND(CH1602=1,CI1602&lt;CJ1602),"MAX &lt; MB+LG; ","")&amp;IF(AND(CP1602&gt;0,CO1602*10&gt;CP1602),"zu hoch für Tablar; ","")&amp;IF(AND(BV1602=0,OR(CH1602=1,AA1602&lt;&gt;"",U1602&lt;&gt;"",V1602&lt;&gt;"",AB1602&lt;&gt;"")),"manuell übersteuert; ","")&amp;IF(AND(BZ1602=0,R1602=0),"Gebinde unbekannt / Stellmass fehlt; ","")&amp;IF(AND(BZ1602=0,N(V1602)&lt;=0,N(Q1602)&lt;=0),"Menge pro Gebinde fehlt (Ist = 1 Gebinde); ","")&amp;BU1602)</f>
        <v>Kein Verbrauch; Gebinde geschätzt (Klein); Überbestand 44 Stk / CHF 81; Menge pro Gebinde fehlt (Ist = 1 Gebinde); nur im Artikelstamm (Bestand 23.06.2026)</v>
      </c>
      <c r="BN1602" s="48"/>
      <c r="BO1602" s="48"/>
      <c r="BP1602" s="55"/>
      <c r="BQ1602" s="50" t="n">
        <v>45</v>
      </c>
      <c r="BR1602" s="50" t="n">
        <v>0</v>
      </c>
      <c r="BS1602" s="49" t="n">
        <v>0</v>
      </c>
      <c r="BT1602" s="50" t="n">
        <v>0</v>
      </c>
      <c r="BU1602" s="48" t="s">
        <v>2584</v>
      </c>
      <c r="BV1602" s="53" t="n">
        <v>0</v>
      </c>
      <c r="BW1602" s="53" t="n">
        <v>1602</v>
      </c>
      <c r="BX1602" s="48" t="str">
        <f aca="false">IF(U1602&lt;&gt;"",UPPER(TRIM(U1602)),IF(CA1602=1,UPPER(VLOOKUP(T1602,Parameter!$I$27:$K$29,2,0)),IF(P1602="","LOSE",P1602)))</f>
        <v>S51</v>
      </c>
      <c r="BY1602" s="50" t="n">
        <f aca="false">IF(BX1602="LOSE",1,IF(N(V1602)&gt;0,V1602,IF(CA1602=1,MAX(1,N(VLOOKUP(T1602,Parameter!$I$27:$K$29,3,0)),H1602,N(N1602)),IF(N(Q1602)&gt;0,Q1602,MAX(1,H1602)))))</f>
        <v>45</v>
      </c>
      <c r="BZ1602" s="53" t="n">
        <f aca="false">IF(BX1602="LOSE",1,0)</f>
        <v>0</v>
      </c>
      <c r="CA1602" s="53" t="n">
        <f aca="false">IF(AND(U1602="",OR(P1602="",P1602="LOSE"),T1602&lt;&gt;"",N(S1602)&lt;=0,ISNUMBER(MATCH(T1602,Parameter!$I$27:$I$29,0))),1,0)</f>
        <v>1</v>
      </c>
      <c r="CB1602" s="53" t="n">
        <f aca="false">IF(CQ1602&gt;0,INDEX(Parameter!$H$5:$H$7,W1602)/INDEX(Parameter!$E$5:$E$7,W1602),IF(AND(BZ1602=0,N(IFERROR(VLOOKUP(BX1602,'Gebinde-Kategorie'!$A$5:$N$45,14,0),0))&gt;0),VLOOKUP(BX1602,'Gebinde-Kategorie'!$A$5:$N$45,14,0)*10+Parameter!$M$23,Parameter!$M$24))</f>
        <v>155</v>
      </c>
      <c r="CC1602" s="48" t="str">
        <f aca="false">IF(AND(Parameter!$B$19="Ja",E1602&lt;&gt;"",ISNUMBER(MATCH(E1602,Parameter!$I$35:$I$52,0))),VLOOKUP(E1602,Parameter!$I$35:$J$52,2,0),IFERROR(VLOOKUP(D1602,Parameter!$A$35:$C$64,2,0),"Nein"))</f>
        <v>2+3</v>
      </c>
      <c r="CD1602" s="52" t="n">
        <f aca="false">IF(BZ1602=0,0,IF(N(S1602)&gt;0,S1602,IFERROR(VLOOKUP(D1602,Parameter!$A$35:$C$64,3,0)+0,0)))</f>
        <v>0</v>
      </c>
      <c r="CE1602" s="48" t="n">
        <f aca="false">IF(AA1602&lt;&gt;"",AA1602,Z1602)</f>
        <v>3</v>
      </c>
      <c r="CF1602" s="48" t="str">
        <f aca="false">IF(OR(CE1602=1,CE1602=2,CE1602=3),IF(Parameter!$E$27="Ja","LIFT",IF(CE1602=1,"L1","L23")),IF(CE1602="Aussen","Aussen","-"))</f>
        <v>LIFT</v>
      </c>
      <c r="CG1602" s="59" t="n">
        <f aca="false">IF(N(AB1602)&gt;0,AB1602,0)</f>
        <v>0</v>
      </c>
      <c r="CH1602" s="53" t="n">
        <f aca="false">IF(ISNUMBER(AE1602),1,0)</f>
        <v>0</v>
      </c>
      <c r="CI1602" s="50" t="n">
        <f aca="false">N(AE1602)</f>
        <v>0</v>
      </c>
      <c r="CJ1602" s="50" t="n">
        <f aca="false">N(M1602)+N(N1602)</f>
        <v>1</v>
      </c>
      <c r="CK1602" s="50" t="n">
        <f aca="false">N(M1602)</f>
        <v>0</v>
      </c>
      <c r="CL1602" s="50" t="n">
        <f aca="false">N(N1602)</f>
        <v>1</v>
      </c>
      <c r="CM1602" s="50" t="n">
        <f aca="false">ROUNDUP(H1602/BY1602,0)</f>
        <v>1</v>
      </c>
      <c r="CN1602" s="50" t="n">
        <f aca="false">ROUNDUP(CI1602/BY1602,0)</f>
        <v>0</v>
      </c>
      <c r="CO1602" s="53" t="n">
        <f aca="false">IF(BZ1602=1,0,IFERROR(VLOOKUP(BX1602,'Gebinde-Kategorie'!$A$5:$N$45,5,0)+0,0))</f>
        <v>11</v>
      </c>
      <c r="CP1602" s="53" t="n">
        <f aca="false">IFERROR(IF(OR(CE1602=1,CE1602=2,CE1602=3),N(INDEX(Parameter!$I$5:$I$7,CE1602)),0),0)</f>
        <v>0</v>
      </c>
      <c r="CQ1602" s="52" t="n">
        <f aca="false">IF(AND(Parameter!$B$21="Ja",ISNUMBER(W1602),N(X1602)&gt;0),IFERROR(N(INDEX(Parameter!$L$5:$L$7,W1602))*INDEX(Parameter!$E$5:$E$7,W1602)*X1602/SUMIFS($X$7:$X$1843,$W$7:$W$1843,W1602),0),0)</f>
        <v>0</v>
      </c>
    </row>
    <row r="1603" customFormat="false" ht="15" hidden="false" customHeight="false" outlineLevel="0" collapsed="false">
      <c r="A1603" s="48" t="s">
        <v>2802</v>
      </c>
      <c r="B1603" s="48" t="s">
        <v>2803</v>
      </c>
      <c r="C1603" s="48" t="s">
        <v>173</v>
      </c>
      <c r="D1603" s="48" t="s">
        <v>193</v>
      </c>
      <c r="E1603" s="48"/>
      <c r="F1603" s="48"/>
      <c r="G1603" s="49" t="n">
        <v>28.6</v>
      </c>
      <c r="H1603" s="50" t="n">
        <f aca="false">MAX(0,IF(AND(Parameter!$B$21="Ja",ISNUMBER(Y1603)),Y1603,IF(Parameter!$B$20="Jahresanfang 2025 + Export",BR1603+BQ1603,BQ1603)))</f>
        <v>6</v>
      </c>
      <c r="I1603" s="50" t="n">
        <f aca="false">H1603*G1603</f>
        <v>171.6</v>
      </c>
      <c r="J1603" s="50" t="n">
        <f aca="false">BT1603*Parameter!$B$18</f>
        <v>0</v>
      </c>
      <c r="K1603" s="51"/>
      <c r="L1603" s="52"/>
      <c r="M1603" s="50" t="n">
        <v>0</v>
      </c>
      <c r="N1603" s="50" t="n">
        <v>10</v>
      </c>
      <c r="O1603" s="53" t="n">
        <v>14</v>
      </c>
      <c r="P1603" s="48" t="s">
        <v>177</v>
      </c>
      <c r="Q1603" s="50"/>
      <c r="R1603" s="53" t="n">
        <f aca="false">IF(BZ1603=1,0,IFERROR(VLOOKUP(BX1603,'Gebinde-Kategorie'!$A$5:$N$45,13,0)+0,0))</f>
        <v>26</v>
      </c>
      <c r="S1603" s="54"/>
      <c r="T1603" s="55" t="s">
        <v>284</v>
      </c>
      <c r="U1603" s="55"/>
      <c r="V1603" s="55"/>
      <c r="W1603" s="48"/>
      <c r="X1603" s="50"/>
      <c r="Y1603" s="50"/>
      <c r="Z1603" s="48" t="n">
        <f aca="false">IF(A1603="","",IF(AND(Parameter!$B$21="Ja",ISNUMBER(W1603)),W1603,IF(CC1603="2+3",IF(ISNUMBER(SEARCH("grosser Artikel",BU1603)),2,IFERROR(VLOOKUP(BX1603,Parameter!$F$35:$G$64,2,0),2)),IF(OR(CC1603="Nein",CC1603=""),"-",CC1603))))</f>
        <v>3</v>
      </c>
      <c r="AA1603" s="55"/>
      <c r="AB1603" s="56"/>
      <c r="AC1603" s="50" t="n">
        <f aca="false">AV1603</f>
        <v>10</v>
      </c>
      <c r="AD1603" s="50" t="n">
        <f aca="false">MAX(AV1603,H1603)</f>
        <v>10</v>
      </c>
      <c r="AE1603" s="57"/>
      <c r="AF1603" s="50" t="n">
        <f aca="false">IF(LEFT(Cockpit!$C$5,1)="A",H1603,IF(Parameter!$E$30="MAX-Bestand",IF(CH1603=1,CI1603,IF(LEFT(Cockpit!$C$5,1)="B",AL1603,MAX(AL1603,H1603))),ROUNDUP(AJ1603,0)))</f>
        <v>6</v>
      </c>
      <c r="AG1603" s="50" t="n">
        <f aca="false">IF(BZ1603=1,0,ROUNDUP(AF1603/BY1603,0))</f>
        <v>1</v>
      </c>
      <c r="AH1603" s="52" t="n">
        <f aca="false">IF(CQ1603&gt;0,CQ1603*MAX(1,AF1603/X1603),IF(BZ1603=1,IF(AF1603&lt;=0,0,CD1603*MAX(1,IF(H1603&gt;0,AF1603/H1603,1))),IF(R1603&gt;0,AG1603/R1603,0))/MAX(0.1,N(Parameter!$M$21)))</f>
        <v>0.0384615384615385</v>
      </c>
      <c r="AI1603" s="50" t="n">
        <f aca="false">AH1603*CB1603</f>
        <v>5.96153846153846</v>
      </c>
      <c r="AJ1603" s="51" t="n">
        <f aca="false">IF(LEFT(Cockpit!$C$5,1)="A",H1603,IF(CH1603=1,(CK1603+CI1603)/2,IF(LEFT(Cockpit!$C$5,1)="B",(CK1603+AL1603)/2,MAX((CK1603+AL1603)/2,H1603))))</f>
        <v>6</v>
      </c>
      <c r="AK1603" s="50" t="n">
        <f aca="false">AJ1603*G1603</f>
        <v>171.6</v>
      </c>
      <c r="AL1603" s="50" t="n">
        <f aca="false">ROUNDUP(CK1603+MAX(CL1603,2*(J1603/IF(CG1603&gt;0,CG1603,MAX(0.1,N(Cockpit!$C$6)))-CK1603)),0)</f>
        <v>10</v>
      </c>
      <c r="AM1603" s="51" t="n">
        <f aca="false">IF(AI1603&gt;0,J1603/AI1603,-1)</f>
        <v>0</v>
      </c>
      <c r="AN1603" s="51" t="n">
        <f aca="false">IF(AND(OR(CF1603="L1",CF1603="L23",CF1603="LIFT"),AI1603&gt;0),SUMIFS($AI$7:$AI$1843,$CF$7:$CF$1843,CF1603,$AM$7:$AM$1843,"&gt;"&amp;AM1603)+SUMIFS($AI$7:$AI$1843,$CF$7:$CF$1843,CF1603,$AM$7:$AM$1843,AM1603,$BW$7:$BW$1843,"&lt;="&amp;BW1603),"")</f>
        <v>30663.726446576</v>
      </c>
      <c r="AO1603" s="58" t="n">
        <f aca="false">IF(AN1603="",0,MAX(0,MIN(1,(IF(CF1603="L1",Parameter!$H$5,IF(CF1603="L23",Parameter!$H$6+Parameter!$H$7,Parameter!$H$5+Parameter!$H$6+Parameter!$H$7))-(AN1603-AI1603))/AI1603)))</f>
        <v>1</v>
      </c>
      <c r="AP1603" s="50" t="n">
        <f aca="false">IF(LEFT(Cockpit!$I$5,1)="A",H1603,IF(Parameter!$E$30="MAX-Bestand",IF(CH1603=1,CI1603,IF(LEFT(Cockpit!$I$5,1)="B",AV1603,MAX(AV1603,H1603))),ROUNDUP(AT1603,0)))</f>
        <v>6</v>
      </c>
      <c r="AQ1603" s="50" t="n">
        <f aca="false">IF(BZ1603=1,0,ROUNDUP(AP1603/BY1603,0))</f>
        <v>1</v>
      </c>
      <c r="AR1603" s="52" t="n">
        <f aca="false">IF(CQ1603&gt;0,CQ1603*MAX(1,AP1603/X1603),IF(BZ1603=1,IF(AP1603&lt;=0,0,CD1603*MAX(1,IF(H1603&gt;0,AP1603/H1603,1))),IF(R1603&gt;0,AQ1603/R1603,0))/MAX(0.1,N(Parameter!$M$21)))</f>
        <v>0.0384615384615385</v>
      </c>
      <c r="AS1603" s="50" t="n">
        <f aca="false">AR1603*CB1603</f>
        <v>5.96153846153846</v>
      </c>
      <c r="AT1603" s="51" t="n">
        <f aca="false">IF(LEFT(Cockpit!$I$5,1)="A",H1603,IF(CH1603=1,(CK1603+CI1603)/2,IF(LEFT(Cockpit!$I$5,1)="B",(CK1603+AV1603)/2,MAX((CK1603+AV1603)/2,H1603))))</f>
        <v>6</v>
      </c>
      <c r="AU1603" s="50" t="n">
        <f aca="false">AT1603*G1603</f>
        <v>171.6</v>
      </c>
      <c r="AV1603" s="50" t="n">
        <f aca="false">ROUNDUP(CK1603+MAX(CL1603,2*(J1603/IF(CG1603&gt;0,CG1603,MAX(0.1,N(Cockpit!$I$6)))-CK1603)),0)</f>
        <v>10</v>
      </c>
      <c r="AW1603" s="51" t="n">
        <f aca="false">IF(AS1603&gt;0,J1603/AS1603,-1)</f>
        <v>0</v>
      </c>
      <c r="AX1603" s="51" t="n">
        <f aca="false">IF(AND(OR(CF1603="L1",CF1603="L23",CF1603="LIFT"),AS1603&gt;0),SUMIFS($AS$7:$AS$1843,$CF$7:$CF$1843,CF1603,$AW$7:$AW$1843,"&gt;"&amp;AW1603)+SUMIFS($AS$7:$AS$1843,$CF$7:$CF$1843,CF1603,$AW$7:$AW$1843,AW1603,$BW$7:$BW$1843,"&lt;="&amp;BW1603),"")</f>
        <v>36983.5829634114</v>
      </c>
      <c r="AY1603" s="58" t="n">
        <f aca="false">IF(AX1603="",0,MAX(0,MIN(1,(IF(CF1603="L1",Parameter!$H$5,IF(CF1603="L23",Parameter!$H$6+Parameter!$H$7,Parameter!$H$5+Parameter!$H$6+Parameter!$H$7))-(AX1603-AS1603))/AS1603)))</f>
        <v>0</v>
      </c>
      <c r="AZ1603" s="50" t="n">
        <f aca="false">IF(LEFT(Cockpit!$O$5,1)="A",H1603,IF(Parameter!$E$30="MAX-Bestand",IF(CH1603=1,CI1603,IF(LEFT(Cockpit!$O$5,1)="B",BF1603,MAX(BF1603,H1603))),ROUNDUP(BD1603,0)))</f>
        <v>5</v>
      </c>
      <c r="BA1603" s="50" t="n">
        <f aca="false">IF(BZ1603=1,0,ROUNDUP(AZ1603/BY1603,0))</f>
        <v>1</v>
      </c>
      <c r="BB1603" s="52" t="n">
        <f aca="false">IF(CQ1603&gt;0,CQ1603*MAX(1,AZ1603/X1603),IF(BZ1603=1,IF(AZ1603&lt;=0,0,CD1603*MAX(1,IF(H1603&gt;0,AZ1603/H1603,1))),IF(R1603&gt;0,BA1603/R1603,0))/MAX(0.1,N(Parameter!$M$21)))</f>
        <v>0.0384615384615385</v>
      </c>
      <c r="BC1603" s="50" t="n">
        <f aca="false">BB1603*CB1603</f>
        <v>5.96153846153846</v>
      </c>
      <c r="BD1603" s="51" t="n">
        <f aca="false">IF(LEFT(Cockpit!$O$5,1)="A",H1603,IF(CH1603=1,(CK1603+CI1603)/2,IF(LEFT(Cockpit!$O$5,1)="B",(CK1603+BF1603)/2,MAX((CK1603+BF1603)/2,H1603))))</f>
        <v>5</v>
      </c>
      <c r="BE1603" s="50" t="n">
        <f aca="false">BD1603*G1603</f>
        <v>143</v>
      </c>
      <c r="BF1603" s="50" t="n">
        <f aca="false">ROUNDUP(CK1603+MAX(CL1603,2*(J1603/IF(CG1603&gt;0,CG1603,MAX(0.1,N(Cockpit!$O$6)))-CK1603)),0)</f>
        <v>10</v>
      </c>
      <c r="BG1603" s="51" t="n">
        <f aca="false">IF(BC1603&gt;0,J1603/BC1603,-1)</f>
        <v>0</v>
      </c>
      <c r="BH1603" s="51" t="n">
        <f aca="false">IF(AND(OR(CF1603="L1",CF1603="L23",CF1603="LIFT"),BC1603&gt;0),SUMIFS($BC$7:$BC$1843,$CF$7:$CF$1843,CF1603,$BG$7:$BG$1843,"&gt;"&amp;BG1603)+SUMIFS($BC$7:$BC$1843,$CF$7:$CF$1843,CF1603,$BG$7:$BG$1843,BG1603,$BW$7:$BW$1843,"&lt;="&amp;BW1603),"")</f>
        <v>30893.0242389437</v>
      </c>
      <c r="BI1603" s="58" t="n">
        <f aca="false">IF(BH1603="",0,MAX(0,MIN(1,(IF(CF1603="L1",Parameter!$H$5,IF(CF1603="L23",Parameter!$H$6+Parameter!$H$7,Parameter!$H$5+Parameter!$H$6+Parameter!$H$7))-(BH1603-BC1603))/BC1603)))</f>
        <v>1</v>
      </c>
      <c r="BJ1603" s="48" t="str">
        <f aca="false">IF(AI1603&lt;=0,"",IF(CF1603="Aussen","Aussenlager",IF(CF1603="-","Nicht im Lift",IF(AO1603&gt;=1,"Lift",IF(AO1603&lt;=0,"Aussenlager","teilweise")))))</f>
        <v>Lift</v>
      </c>
      <c r="BK1603" s="48" t="str">
        <f aca="false">IF(AS1603&lt;=0,"",IF(CF1603="Aussen","Aussenlager",IF(CF1603="-","Nicht im Lift",IF(AY1603&gt;=1,"Lift",IF(AY1603&lt;=0,"Aussenlager","teilweise")))))</f>
        <v>Aussenlager</v>
      </c>
      <c r="BL1603" s="48" t="str">
        <f aca="false">IF(BC1603&lt;=0,"",IF(CF1603="Aussen","Aussenlager",IF(CF1603="-","Nicht im Lift",IF(BI1603&gt;=1,"Lift",IF(BI1603&lt;=0,"Aussenlager","teilweise")))))</f>
        <v>Lift</v>
      </c>
      <c r="BM1603" s="48" t="str">
        <f aca="false">IF(A1603="","",IF(BV1603=1,"Neu; ","")&amp;IF(AND(BV1603=0,BQ1603&lt;0),"negativer Bestand (Export "&amp;BQ1603&amp;"); ","")&amp;IF(J1603&lt;=0,"Kein Verbrauch; ","")&amp;IF(CQ1603&gt;0,"Lift "&amp;W1603&amp;" lt. Liftbericht (Fach "&amp;X1603&amp;" Stk); ",IF(CA1603=1,"Gebinde geschätzt ("&amp;T1603&amp;"); ",IF(BZ1603=1,"Lose – Tablare geschätzt; ","")))&amp;IF(H1603&gt;AV1603,"Überbestand "&amp;ROUND(H1603-AV1603,0)&amp;" Stk / CHF "&amp;ROUND((H1603-AV1603)*G1603,0)&amp;"; ","")&amp;IF(AND(CH1603=1,CI1603&lt;CJ1603),"MAX &lt; MB+LG; ","")&amp;IF(AND(CP1603&gt;0,CO1603*10&gt;CP1603),"zu hoch für Tablar; ","")&amp;IF(AND(BV1603=0,OR(CH1603=1,AA1603&lt;&gt;"",U1603&lt;&gt;"",V1603&lt;&gt;"",AB1603&lt;&gt;"")),"manuell übersteuert; ","")&amp;IF(AND(BZ1603=0,R1603=0),"Gebinde unbekannt / Stellmass fehlt; ","")&amp;IF(AND(BZ1603=0,N(V1603)&lt;=0,N(Q1603)&lt;=0),"Menge pro Gebinde fehlt (Ist = 1 Gebinde); ","")&amp;BU1603)</f>
        <v>Kein Verbrauch; Gebinde geschätzt (Klein); Menge pro Gebinde fehlt (Ist = 1 Gebinde); nur im Artikelstamm (Bestand 23.06.2026)</v>
      </c>
      <c r="BN1603" s="48"/>
      <c r="BO1603" s="48"/>
      <c r="BP1603" s="55"/>
      <c r="BQ1603" s="50" t="n">
        <v>6</v>
      </c>
      <c r="BR1603" s="50" t="n">
        <v>0</v>
      </c>
      <c r="BS1603" s="49" t="n">
        <v>0</v>
      </c>
      <c r="BT1603" s="50" t="n">
        <v>0</v>
      </c>
      <c r="BU1603" s="48" t="s">
        <v>2584</v>
      </c>
      <c r="BV1603" s="53" t="n">
        <v>0</v>
      </c>
      <c r="BW1603" s="53" t="n">
        <v>1603</v>
      </c>
      <c r="BX1603" s="48" t="str">
        <f aca="false">IF(U1603&lt;&gt;"",UPPER(TRIM(U1603)),IF(CA1603=1,UPPER(VLOOKUP(T1603,Parameter!$I$27:$K$29,2,0)),IF(P1603="","LOSE",P1603)))</f>
        <v>S51</v>
      </c>
      <c r="BY1603" s="50" t="n">
        <f aca="false">IF(BX1603="LOSE",1,IF(N(V1603)&gt;0,V1603,IF(CA1603=1,MAX(1,N(VLOOKUP(T1603,Parameter!$I$27:$K$29,3,0)),H1603,N(N1603)),IF(N(Q1603)&gt;0,Q1603,MAX(1,H1603)))))</f>
        <v>20</v>
      </c>
      <c r="BZ1603" s="53" t="n">
        <f aca="false">IF(BX1603="LOSE",1,0)</f>
        <v>0</v>
      </c>
      <c r="CA1603" s="53" t="n">
        <f aca="false">IF(AND(U1603="",OR(P1603="",P1603="LOSE"),T1603&lt;&gt;"",N(S1603)&lt;=0,ISNUMBER(MATCH(T1603,Parameter!$I$27:$I$29,0))),1,0)</f>
        <v>1</v>
      </c>
      <c r="CB1603" s="53" t="n">
        <f aca="false">IF(CQ1603&gt;0,INDEX(Parameter!$H$5:$H$7,W1603)/INDEX(Parameter!$E$5:$E$7,W1603),IF(AND(BZ1603=0,N(IFERROR(VLOOKUP(BX1603,'Gebinde-Kategorie'!$A$5:$N$45,14,0),0))&gt;0),VLOOKUP(BX1603,'Gebinde-Kategorie'!$A$5:$N$45,14,0)*10+Parameter!$M$23,Parameter!$M$24))</f>
        <v>155</v>
      </c>
      <c r="CC1603" s="48" t="str">
        <f aca="false">IF(AND(Parameter!$B$19="Ja",E1603&lt;&gt;"",ISNUMBER(MATCH(E1603,Parameter!$I$35:$I$52,0))),VLOOKUP(E1603,Parameter!$I$35:$J$52,2,0),IFERROR(VLOOKUP(D1603,Parameter!$A$35:$C$64,2,0),"Nein"))</f>
        <v>2+3</v>
      </c>
      <c r="CD1603" s="52" t="n">
        <f aca="false">IF(BZ1603=0,0,IF(N(S1603)&gt;0,S1603,IFERROR(VLOOKUP(D1603,Parameter!$A$35:$C$64,3,0)+0,0)))</f>
        <v>0</v>
      </c>
      <c r="CE1603" s="48" t="n">
        <f aca="false">IF(AA1603&lt;&gt;"",AA1603,Z1603)</f>
        <v>3</v>
      </c>
      <c r="CF1603" s="48" t="str">
        <f aca="false">IF(OR(CE1603=1,CE1603=2,CE1603=3),IF(Parameter!$E$27="Ja","LIFT",IF(CE1603=1,"L1","L23")),IF(CE1603="Aussen","Aussen","-"))</f>
        <v>LIFT</v>
      </c>
      <c r="CG1603" s="59" t="n">
        <f aca="false">IF(N(AB1603)&gt;0,AB1603,0)</f>
        <v>0</v>
      </c>
      <c r="CH1603" s="53" t="n">
        <f aca="false">IF(ISNUMBER(AE1603),1,0)</f>
        <v>0</v>
      </c>
      <c r="CI1603" s="50" t="n">
        <f aca="false">N(AE1603)</f>
        <v>0</v>
      </c>
      <c r="CJ1603" s="50" t="n">
        <f aca="false">N(M1603)+N(N1603)</f>
        <v>10</v>
      </c>
      <c r="CK1603" s="50" t="n">
        <f aca="false">N(M1603)</f>
        <v>0</v>
      </c>
      <c r="CL1603" s="50" t="n">
        <f aca="false">N(N1603)</f>
        <v>10</v>
      </c>
      <c r="CM1603" s="50" t="n">
        <f aca="false">ROUNDUP(H1603/BY1603,0)</f>
        <v>1</v>
      </c>
      <c r="CN1603" s="50" t="n">
        <f aca="false">ROUNDUP(CI1603/BY1603,0)</f>
        <v>0</v>
      </c>
      <c r="CO1603" s="53" t="n">
        <f aca="false">IF(BZ1603=1,0,IFERROR(VLOOKUP(BX1603,'Gebinde-Kategorie'!$A$5:$N$45,5,0)+0,0))</f>
        <v>11</v>
      </c>
      <c r="CP1603" s="53" t="n">
        <f aca="false">IFERROR(IF(OR(CE1603=1,CE1603=2,CE1603=3),N(INDEX(Parameter!$I$5:$I$7,CE1603)),0),0)</f>
        <v>0</v>
      </c>
      <c r="CQ1603" s="52" t="n">
        <f aca="false">IF(AND(Parameter!$B$21="Ja",ISNUMBER(W1603),N(X1603)&gt;0),IFERROR(N(INDEX(Parameter!$L$5:$L$7,W1603))*INDEX(Parameter!$E$5:$E$7,W1603)*X1603/SUMIFS($X$7:$X$1843,$W$7:$W$1843,W1603),0),0)</f>
        <v>0</v>
      </c>
    </row>
    <row r="1604" customFormat="false" ht="15" hidden="false" customHeight="false" outlineLevel="0" collapsed="false">
      <c r="A1604" s="48" t="s">
        <v>2804</v>
      </c>
      <c r="B1604" s="48" t="s">
        <v>2805</v>
      </c>
      <c r="C1604" s="48" t="s">
        <v>173</v>
      </c>
      <c r="D1604" s="48" t="s">
        <v>193</v>
      </c>
      <c r="E1604" s="48"/>
      <c r="F1604" s="48"/>
      <c r="G1604" s="49" t="n">
        <v>0.08</v>
      </c>
      <c r="H1604" s="50" t="n">
        <f aca="false">MAX(0,IF(AND(Parameter!$B$21="Ja",ISNUMBER(Y1604)),Y1604,IF(Parameter!$B$20="Jahresanfang 2025 + Export",BR1604+BQ1604,BQ1604)))</f>
        <v>1700</v>
      </c>
      <c r="I1604" s="50" t="n">
        <f aca="false">H1604*G1604</f>
        <v>136</v>
      </c>
      <c r="J1604" s="50" t="n">
        <f aca="false">BT1604*Parameter!$B$18</f>
        <v>0</v>
      </c>
      <c r="K1604" s="51"/>
      <c r="L1604" s="52"/>
      <c r="M1604" s="50" t="n">
        <v>0</v>
      </c>
      <c r="N1604" s="50" t="n">
        <v>100</v>
      </c>
      <c r="O1604" s="53" t="n">
        <v>14</v>
      </c>
      <c r="P1604" s="48" t="s">
        <v>177</v>
      </c>
      <c r="Q1604" s="50"/>
      <c r="R1604" s="53" t="n">
        <f aca="false">IF(BZ1604=1,0,IFERROR(VLOOKUP(BX1604,'Gebinde-Kategorie'!$A$5:$N$45,13,0)+0,0))</f>
        <v>26</v>
      </c>
      <c r="S1604" s="54"/>
      <c r="T1604" s="55" t="s">
        <v>284</v>
      </c>
      <c r="U1604" s="55"/>
      <c r="V1604" s="55"/>
      <c r="W1604" s="48"/>
      <c r="X1604" s="50"/>
      <c r="Y1604" s="50"/>
      <c r="Z1604" s="48" t="n">
        <f aca="false">IF(A1604="","",IF(AND(Parameter!$B$21="Ja",ISNUMBER(W1604)),W1604,IF(CC1604="2+3",IF(ISNUMBER(SEARCH("grosser Artikel",BU1604)),2,IFERROR(VLOOKUP(BX1604,Parameter!$F$35:$G$64,2,0),2)),IF(OR(CC1604="Nein",CC1604=""),"-",CC1604))))</f>
        <v>3</v>
      </c>
      <c r="AA1604" s="55"/>
      <c r="AB1604" s="56"/>
      <c r="AC1604" s="50" t="n">
        <f aca="false">AV1604</f>
        <v>100</v>
      </c>
      <c r="AD1604" s="50" t="n">
        <f aca="false">MAX(AV1604,H1604)</f>
        <v>1700</v>
      </c>
      <c r="AE1604" s="57"/>
      <c r="AF1604" s="50" t="n">
        <f aca="false">IF(LEFT(Cockpit!$C$5,1)="A",H1604,IF(Parameter!$E$30="MAX-Bestand",IF(CH1604=1,CI1604,IF(LEFT(Cockpit!$C$5,1)="B",AL1604,MAX(AL1604,H1604))),ROUNDUP(AJ1604,0)))</f>
        <v>1700</v>
      </c>
      <c r="AG1604" s="50" t="n">
        <f aca="false">IF(BZ1604=1,0,ROUNDUP(AF1604/BY1604,0))</f>
        <v>1</v>
      </c>
      <c r="AH1604" s="52" t="n">
        <f aca="false">IF(CQ1604&gt;0,CQ1604*MAX(1,AF1604/X1604),IF(BZ1604=1,IF(AF1604&lt;=0,0,CD1604*MAX(1,IF(H1604&gt;0,AF1604/H1604,1))),IF(R1604&gt;0,AG1604/R1604,0))/MAX(0.1,N(Parameter!$M$21)))</f>
        <v>0.0384615384615385</v>
      </c>
      <c r="AI1604" s="50" t="n">
        <f aca="false">AH1604*CB1604</f>
        <v>5.96153846153846</v>
      </c>
      <c r="AJ1604" s="51" t="n">
        <f aca="false">IF(LEFT(Cockpit!$C$5,1)="A",H1604,IF(CH1604=1,(CK1604+CI1604)/2,IF(LEFT(Cockpit!$C$5,1)="B",(CK1604+AL1604)/2,MAX((CK1604+AL1604)/2,H1604))))</f>
        <v>1700</v>
      </c>
      <c r="AK1604" s="50" t="n">
        <f aca="false">AJ1604*G1604</f>
        <v>136</v>
      </c>
      <c r="AL1604" s="50" t="n">
        <f aca="false">ROUNDUP(CK1604+MAX(CL1604,2*(J1604/IF(CG1604&gt;0,CG1604,MAX(0.1,N(Cockpit!$C$6)))-CK1604)),0)</f>
        <v>100</v>
      </c>
      <c r="AM1604" s="51" t="n">
        <f aca="false">IF(AI1604&gt;0,J1604/AI1604,-1)</f>
        <v>0</v>
      </c>
      <c r="AN1604" s="51" t="n">
        <f aca="false">IF(AND(OR(CF1604="L1",CF1604="L23",CF1604="LIFT"),AI1604&gt;0),SUMIFS($AI$7:$AI$1843,$CF$7:$CF$1843,CF1604,$AM$7:$AM$1843,"&gt;"&amp;AM1604)+SUMIFS($AI$7:$AI$1843,$CF$7:$CF$1843,CF1604,$AM$7:$AM$1843,AM1604,$BW$7:$BW$1843,"&lt;="&amp;BW1604),"")</f>
        <v>30669.6879850376</v>
      </c>
      <c r="AO1604" s="58" t="n">
        <f aca="false">IF(AN1604="",0,MAX(0,MIN(1,(IF(CF1604="L1",Parameter!$H$5,IF(CF1604="L23",Parameter!$H$6+Parameter!$H$7,Parameter!$H$5+Parameter!$H$6+Parameter!$H$7))-(AN1604-AI1604))/AI1604)))</f>
        <v>1</v>
      </c>
      <c r="AP1604" s="50" t="n">
        <f aca="false">IF(LEFT(Cockpit!$I$5,1)="A",H1604,IF(Parameter!$E$30="MAX-Bestand",IF(CH1604=1,CI1604,IF(LEFT(Cockpit!$I$5,1)="B",AV1604,MAX(AV1604,H1604))),ROUNDUP(AT1604,0)))</f>
        <v>1700</v>
      </c>
      <c r="AQ1604" s="50" t="n">
        <f aca="false">IF(BZ1604=1,0,ROUNDUP(AP1604/BY1604,0))</f>
        <v>1</v>
      </c>
      <c r="AR1604" s="52" t="n">
        <f aca="false">IF(CQ1604&gt;0,CQ1604*MAX(1,AP1604/X1604),IF(BZ1604=1,IF(AP1604&lt;=0,0,CD1604*MAX(1,IF(H1604&gt;0,AP1604/H1604,1))),IF(R1604&gt;0,AQ1604/R1604,0))/MAX(0.1,N(Parameter!$M$21)))</f>
        <v>0.0384615384615385</v>
      </c>
      <c r="AS1604" s="50" t="n">
        <f aca="false">AR1604*CB1604</f>
        <v>5.96153846153846</v>
      </c>
      <c r="AT1604" s="51" t="n">
        <f aca="false">IF(LEFT(Cockpit!$I$5,1)="A",H1604,IF(CH1604=1,(CK1604+CI1604)/2,IF(LEFT(Cockpit!$I$5,1)="B",(CK1604+AV1604)/2,MAX((CK1604+AV1604)/2,H1604))))</f>
        <v>1700</v>
      </c>
      <c r="AU1604" s="50" t="n">
        <f aca="false">AT1604*G1604</f>
        <v>136</v>
      </c>
      <c r="AV1604" s="50" t="n">
        <f aca="false">ROUNDUP(CK1604+MAX(CL1604,2*(J1604/IF(CG1604&gt;0,CG1604,MAX(0.1,N(Cockpit!$I$6)))-CK1604)),0)</f>
        <v>100</v>
      </c>
      <c r="AW1604" s="51" t="n">
        <f aca="false">IF(AS1604&gt;0,J1604/AS1604,-1)</f>
        <v>0</v>
      </c>
      <c r="AX1604" s="51" t="n">
        <f aca="false">IF(AND(OR(CF1604="L1",CF1604="L23",CF1604="LIFT"),AS1604&gt;0),SUMIFS($AS$7:$AS$1843,$CF$7:$CF$1843,CF1604,$AW$7:$AW$1843,"&gt;"&amp;AW1604)+SUMIFS($AS$7:$AS$1843,$CF$7:$CF$1843,CF1604,$AW$7:$AW$1843,AW1604,$BW$7:$BW$1843,"&lt;="&amp;BW1604),"")</f>
        <v>36989.5445018729</v>
      </c>
      <c r="AY1604" s="58" t="n">
        <f aca="false">IF(AX1604="",0,MAX(0,MIN(1,(IF(CF1604="L1",Parameter!$H$5,IF(CF1604="L23",Parameter!$H$6+Parameter!$H$7,Parameter!$H$5+Parameter!$H$6+Parameter!$H$7))-(AX1604-AS1604))/AS1604)))</f>
        <v>0</v>
      </c>
      <c r="AZ1604" s="50" t="n">
        <f aca="false">IF(LEFT(Cockpit!$O$5,1)="A",H1604,IF(Parameter!$E$30="MAX-Bestand",IF(CH1604=1,CI1604,IF(LEFT(Cockpit!$O$5,1)="B",BF1604,MAX(BF1604,H1604))),ROUNDUP(BD1604,0)))</f>
        <v>50</v>
      </c>
      <c r="BA1604" s="50" t="n">
        <f aca="false">IF(BZ1604=1,0,ROUNDUP(AZ1604/BY1604,0))</f>
        <v>1</v>
      </c>
      <c r="BB1604" s="52" t="n">
        <f aca="false">IF(CQ1604&gt;0,CQ1604*MAX(1,AZ1604/X1604),IF(BZ1604=1,IF(AZ1604&lt;=0,0,CD1604*MAX(1,IF(H1604&gt;0,AZ1604/H1604,1))),IF(R1604&gt;0,BA1604/R1604,0))/MAX(0.1,N(Parameter!$M$21)))</f>
        <v>0.0384615384615385</v>
      </c>
      <c r="BC1604" s="50" t="n">
        <f aca="false">BB1604*CB1604</f>
        <v>5.96153846153846</v>
      </c>
      <c r="BD1604" s="51" t="n">
        <f aca="false">IF(LEFT(Cockpit!$O$5,1)="A",H1604,IF(CH1604=1,(CK1604+CI1604)/2,IF(LEFT(Cockpit!$O$5,1)="B",(CK1604+BF1604)/2,MAX((CK1604+BF1604)/2,H1604))))</f>
        <v>50</v>
      </c>
      <c r="BE1604" s="50" t="n">
        <f aca="false">BD1604*G1604</f>
        <v>4</v>
      </c>
      <c r="BF1604" s="50" t="n">
        <f aca="false">ROUNDUP(CK1604+MAX(CL1604,2*(J1604/IF(CG1604&gt;0,CG1604,MAX(0.1,N(Cockpit!$O$6)))-CK1604)),0)</f>
        <v>100</v>
      </c>
      <c r="BG1604" s="51" t="n">
        <f aca="false">IF(BC1604&gt;0,J1604/BC1604,-1)</f>
        <v>0</v>
      </c>
      <c r="BH1604" s="51" t="n">
        <f aca="false">IF(AND(OR(CF1604="L1",CF1604="L23",CF1604="LIFT"),BC1604&gt;0),SUMIFS($BC$7:$BC$1843,$CF$7:$CF$1843,CF1604,$BG$7:$BG$1843,"&gt;"&amp;BG1604)+SUMIFS($BC$7:$BC$1843,$CF$7:$CF$1843,CF1604,$BG$7:$BG$1843,BG1604,$BW$7:$BW$1843,"&lt;="&amp;BW1604),"")</f>
        <v>30898.9857774053</v>
      </c>
      <c r="BI1604" s="58" t="n">
        <f aca="false">IF(BH1604="",0,MAX(0,MIN(1,(IF(CF1604="L1",Parameter!$H$5,IF(CF1604="L23",Parameter!$H$6+Parameter!$H$7,Parameter!$H$5+Parameter!$H$6+Parameter!$H$7))-(BH1604-BC1604))/BC1604)))</f>
        <v>1</v>
      </c>
      <c r="BJ1604" s="48" t="str">
        <f aca="false">IF(AI1604&lt;=0,"",IF(CF1604="Aussen","Aussenlager",IF(CF1604="-","Nicht im Lift",IF(AO1604&gt;=1,"Lift",IF(AO1604&lt;=0,"Aussenlager","teilweise")))))</f>
        <v>Lift</v>
      </c>
      <c r="BK1604" s="48" t="str">
        <f aca="false">IF(AS1604&lt;=0,"",IF(CF1604="Aussen","Aussenlager",IF(CF1604="-","Nicht im Lift",IF(AY1604&gt;=1,"Lift",IF(AY1604&lt;=0,"Aussenlager","teilweise")))))</f>
        <v>Aussenlager</v>
      </c>
      <c r="BL1604" s="48" t="str">
        <f aca="false">IF(BC1604&lt;=0,"",IF(CF1604="Aussen","Aussenlager",IF(CF1604="-","Nicht im Lift",IF(BI1604&gt;=1,"Lift",IF(BI1604&lt;=0,"Aussenlager","teilweise")))))</f>
        <v>Lift</v>
      </c>
      <c r="BM1604" s="48" t="str">
        <f aca="false">IF(A1604="","",IF(BV1604=1,"Neu; ","")&amp;IF(AND(BV1604=0,BQ1604&lt;0),"negativer Bestand (Export "&amp;BQ1604&amp;"); ","")&amp;IF(J1604&lt;=0,"Kein Verbrauch; ","")&amp;IF(CQ1604&gt;0,"Lift "&amp;W1604&amp;" lt. Liftbericht (Fach "&amp;X1604&amp;" Stk); ",IF(CA1604=1,"Gebinde geschätzt ("&amp;T1604&amp;"); ",IF(BZ1604=1,"Lose – Tablare geschätzt; ","")))&amp;IF(H1604&gt;AV1604,"Überbestand "&amp;ROUND(H1604-AV1604,0)&amp;" Stk / CHF "&amp;ROUND((H1604-AV1604)*G1604,0)&amp;"; ","")&amp;IF(AND(CH1604=1,CI1604&lt;CJ1604),"MAX &lt; MB+LG; ","")&amp;IF(AND(CP1604&gt;0,CO1604*10&gt;CP1604),"zu hoch für Tablar; ","")&amp;IF(AND(BV1604=0,OR(CH1604=1,AA1604&lt;&gt;"",U1604&lt;&gt;"",V1604&lt;&gt;"",AB1604&lt;&gt;"")),"manuell übersteuert; ","")&amp;IF(AND(BZ1604=0,R1604=0),"Gebinde unbekannt / Stellmass fehlt; ","")&amp;IF(AND(BZ1604=0,N(V1604)&lt;=0,N(Q1604)&lt;=0),"Menge pro Gebinde fehlt (Ist = 1 Gebinde); ","")&amp;BU1604)</f>
        <v>Kein Verbrauch; Gebinde geschätzt (Klein); Überbestand 1600 Stk / CHF 128; Menge pro Gebinde fehlt (Ist = 1 Gebinde); nur im Artikelstamm (Bestand 23.06.2026)</v>
      </c>
      <c r="BN1604" s="48"/>
      <c r="BO1604" s="48"/>
      <c r="BP1604" s="55"/>
      <c r="BQ1604" s="50" t="n">
        <v>1700</v>
      </c>
      <c r="BR1604" s="50" t="n">
        <v>0</v>
      </c>
      <c r="BS1604" s="49" t="n">
        <v>0</v>
      </c>
      <c r="BT1604" s="50" t="n">
        <v>0</v>
      </c>
      <c r="BU1604" s="48" t="s">
        <v>2584</v>
      </c>
      <c r="BV1604" s="53" t="n">
        <v>0</v>
      </c>
      <c r="BW1604" s="53" t="n">
        <v>1604</v>
      </c>
      <c r="BX1604" s="48" t="str">
        <f aca="false">IF(U1604&lt;&gt;"",UPPER(TRIM(U1604)),IF(CA1604=1,UPPER(VLOOKUP(T1604,Parameter!$I$27:$K$29,2,0)),IF(P1604="","LOSE",P1604)))</f>
        <v>S51</v>
      </c>
      <c r="BY1604" s="50" t="n">
        <f aca="false">IF(BX1604="LOSE",1,IF(N(V1604)&gt;0,V1604,IF(CA1604=1,MAX(1,N(VLOOKUP(T1604,Parameter!$I$27:$K$29,3,0)),H1604,N(N1604)),IF(N(Q1604)&gt;0,Q1604,MAX(1,H1604)))))</f>
        <v>1700</v>
      </c>
      <c r="BZ1604" s="53" t="n">
        <f aca="false">IF(BX1604="LOSE",1,0)</f>
        <v>0</v>
      </c>
      <c r="CA1604" s="53" t="n">
        <f aca="false">IF(AND(U1604="",OR(P1604="",P1604="LOSE"),T1604&lt;&gt;"",N(S1604)&lt;=0,ISNUMBER(MATCH(T1604,Parameter!$I$27:$I$29,0))),1,0)</f>
        <v>1</v>
      </c>
      <c r="CB1604" s="53" t="n">
        <f aca="false">IF(CQ1604&gt;0,INDEX(Parameter!$H$5:$H$7,W1604)/INDEX(Parameter!$E$5:$E$7,W1604),IF(AND(BZ1604=0,N(IFERROR(VLOOKUP(BX1604,'Gebinde-Kategorie'!$A$5:$N$45,14,0),0))&gt;0),VLOOKUP(BX1604,'Gebinde-Kategorie'!$A$5:$N$45,14,0)*10+Parameter!$M$23,Parameter!$M$24))</f>
        <v>155</v>
      </c>
      <c r="CC1604" s="48" t="str">
        <f aca="false">IF(AND(Parameter!$B$19="Ja",E1604&lt;&gt;"",ISNUMBER(MATCH(E1604,Parameter!$I$35:$I$52,0))),VLOOKUP(E1604,Parameter!$I$35:$J$52,2,0),IFERROR(VLOOKUP(D1604,Parameter!$A$35:$C$64,2,0),"Nein"))</f>
        <v>2+3</v>
      </c>
      <c r="CD1604" s="52" t="n">
        <f aca="false">IF(BZ1604=0,0,IF(N(S1604)&gt;0,S1604,IFERROR(VLOOKUP(D1604,Parameter!$A$35:$C$64,3,0)+0,0)))</f>
        <v>0</v>
      </c>
      <c r="CE1604" s="48" t="n">
        <f aca="false">IF(AA1604&lt;&gt;"",AA1604,Z1604)</f>
        <v>3</v>
      </c>
      <c r="CF1604" s="48" t="str">
        <f aca="false">IF(OR(CE1604=1,CE1604=2,CE1604=3),IF(Parameter!$E$27="Ja","LIFT",IF(CE1604=1,"L1","L23")),IF(CE1604="Aussen","Aussen","-"))</f>
        <v>LIFT</v>
      </c>
      <c r="CG1604" s="59" t="n">
        <f aca="false">IF(N(AB1604)&gt;0,AB1604,0)</f>
        <v>0</v>
      </c>
      <c r="CH1604" s="53" t="n">
        <f aca="false">IF(ISNUMBER(AE1604),1,0)</f>
        <v>0</v>
      </c>
      <c r="CI1604" s="50" t="n">
        <f aca="false">N(AE1604)</f>
        <v>0</v>
      </c>
      <c r="CJ1604" s="50" t="n">
        <f aca="false">N(M1604)+N(N1604)</f>
        <v>100</v>
      </c>
      <c r="CK1604" s="50" t="n">
        <f aca="false">N(M1604)</f>
        <v>0</v>
      </c>
      <c r="CL1604" s="50" t="n">
        <f aca="false">N(N1604)</f>
        <v>100</v>
      </c>
      <c r="CM1604" s="50" t="n">
        <f aca="false">ROUNDUP(H1604/BY1604,0)</f>
        <v>1</v>
      </c>
      <c r="CN1604" s="50" t="n">
        <f aca="false">ROUNDUP(CI1604/BY1604,0)</f>
        <v>0</v>
      </c>
      <c r="CO1604" s="53" t="n">
        <f aca="false">IF(BZ1604=1,0,IFERROR(VLOOKUP(BX1604,'Gebinde-Kategorie'!$A$5:$N$45,5,0)+0,0))</f>
        <v>11</v>
      </c>
      <c r="CP1604" s="53" t="n">
        <f aca="false">IFERROR(IF(OR(CE1604=1,CE1604=2,CE1604=3),N(INDEX(Parameter!$I$5:$I$7,CE1604)),0),0)</f>
        <v>0</v>
      </c>
      <c r="CQ1604" s="52" t="n">
        <f aca="false">IF(AND(Parameter!$B$21="Ja",ISNUMBER(W1604),N(X1604)&gt;0),IFERROR(N(INDEX(Parameter!$L$5:$L$7,W1604))*INDEX(Parameter!$E$5:$E$7,W1604)*X1604/SUMIFS($X$7:$X$1843,$W$7:$W$1843,W1604),0),0)</f>
        <v>0</v>
      </c>
    </row>
    <row r="1605" customFormat="false" ht="15" hidden="false" customHeight="false" outlineLevel="0" collapsed="false">
      <c r="A1605" s="48" t="s">
        <v>2806</v>
      </c>
      <c r="B1605" s="48" t="s">
        <v>2807</v>
      </c>
      <c r="C1605" s="48" t="s">
        <v>173</v>
      </c>
      <c r="D1605" s="48" t="s">
        <v>182</v>
      </c>
      <c r="E1605" s="48"/>
      <c r="F1605" s="48"/>
      <c r="G1605" s="49" t="n">
        <v>0.4</v>
      </c>
      <c r="H1605" s="50" t="n">
        <f aca="false">MAX(0,IF(AND(Parameter!$B$21="Ja",ISNUMBER(Y1605)),Y1605,IF(Parameter!$B$20="Jahresanfang 2025 + Export",BR1605+BQ1605,BQ1605)))</f>
        <v>30</v>
      </c>
      <c r="I1605" s="50" t="n">
        <f aca="false">H1605*G1605</f>
        <v>12</v>
      </c>
      <c r="J1605" s="50" t="n">
        <f aca="false">BT1605*Parameter!$B$18</f>
        <v>0</v>
      </c>
      <c r="K1605" s="51"/>
      <c r="L1605" s="52"/>
      <c r="M1605" s="50" t="n">
        <v>0</v>
      </c>
      <c r="N1605" s="50" t="n">
        <v>1</v>
      </c>
      <c r="O1605" s="53" t="n">
        <v>14</v>
      </c>
      <c r="P1605" s="48" t="s">
        <v>177</v>
      </c>
      <c r="Q1605" s="50"/>
      <c r="R1605" s="53" t="n">
        <f aca="false">IF(BZ1605=1,0,IFERROR(VLOOKUP(BX1605,'Gebinde-Kategorie'!$A$5:$N$45,13,0)+0,0))</f>
        <v>12</v>
      </c>
      <c r="S1605" s="54"/>
      <c r="T1605" s="55" t="s">
        <v>188</v>
      </c>
      <c r="U1605" s="55"/>
      <c r="V1605" s="55"/>
      <c r="W1605" s="48"/>
      <c r="X1605" s="50"/>
      <c r="Y1605" s="50"/>
      <c r="Z1605" s="48" t="n">
        <f aca="false">IF(A1605="","",IF(AND(Parameter!$B$21="Ja",ISNUMBER(W1605)),W1605,IF(CC1605="2+3",IF(ISNUMBER(SEARCH("grosser Artikel",BU1605)),2,IFERROR(VLOOKUP(BX1605,Parameter!$F$35:$G$64,2,0),2)),IF(OR(CC1605="Nein",CC1605=""),"-",CC1605))))</f>
        <v>2</v>
      </c>
      <c r="AA1605" s="55"/>
      <c r="AB1605" s="56"/>
      <c r="AC1605" s="50" t="n">
        <f aca="false">AV1605</f>
        <v>1</v>
      </c>
      <c r="AD1605" s="50" t="n">
        <f aca="false">MAX(AV1605,H1605)</f>
        <v>30</v>
      </c>
      <c r="AE1605" s="57"/>
      <c r="AF1605" s="50" t="n">
        <f aca="false">IF(LEFT(Cockpit!$C$5,1)="A",H1605,IF(Parameter!$E$30="MAX-Bestand",IF(CH1605=1,CI1605,IF(LEFT(Cockpit!$C$5,1)="B",AL1605,MAX(AL1605,H1605))),ROUNDUP(AJ1605,0)))</f>
        <v>30</v>
      </c>
      <c r="AG1605" s="50" t="n">
        <f aca="false">IF(BZ1605=1,0,ROUNDUP(AF1605/BY1605,0))</f>
        <v>1</v>
      </c>
      <c r="AH1605" s="52" t="n">
        <f aca="false">IF(CQ1605&gt;0,CQ1605*MAX(1,AF1605/X1605),IF(BZ1605=1,IF(AF1605&lt;=0,0,CD1605*MAX(1,IF(H1605&gt;0,AF1605/H1605,1))),IF(R1605&gt;0,AG1605/R1605,0))/MAX(0.1,N(Parameter!$M$21)))</f>
        <v>0.0833333333333333</v>
      </c>
      <c r="AI1605" s="50" t="n">
        <f aca="false">AH1605*CB1605</f>
        <v>12.0833333333333</v>
      </c>
      <c r="AJ1605" s="51" t="n">
        <f aca="false">IF(LEFT(Cockpit!$C$5,1)="A",H1605,IF(CH1605=1,(CK1605+CI1605)/2,IF(LEFT(Cockpit!$C$5,1)="B",(CK1605+AL1605)/2,MAX((CK1605+AL1605)/2,H1605))))</f>
        <v>30</v>
      </c>
      <c r="AK1605" s="50" t="n">
        <f aca="false">AJ1605*G1605</f>
        <v>12</v>
      </c>
      <c r="AL1605" s="50" t="n">
        <f aca="false">ROUNDUP(CK1605+MAX(CL1605,2*(J1605/IF(CG1605&gt;0,CG1605,MAX(0.1,N(Cockpit!$C$6)))-CK1605)),0)</f>
        <v>1</v>
      </c>
      <c r="AM1605" s="51" t="n">
        <f aca="false">IF(AI1605&gt;0,J1605/AI1605,-1)</f>
        <v>0</v>
      </c>
      <c r="AN1605" s="51" t="n">
        <f aca="false">IF(AND(OR(CF1605="L1",CF1605="L23",CF1605="LIFT"),AI1605&gt;0),SUMIFS($AI$7:$AI$1843,$CF$7:$CF$1843,CF1605,$AM$7:$AM$1843,"&gt;"&amp;AM1605)+SUMIFS($AI$7:$AI$1843,$CF$7:$CF$1843,CF1605,$AM$7:$AM$1843,AM1605,$BW$7:$BW$1843,"&lt;="&amp;BW1605),"")</f>
        <v>30681.7713183709</v>
      </c>
      <c r="AO1605" s="58" t="n">
        <f aca="false">IF(AN1605="",0,MAX(0,MIN(1,(IF(CF1605="L1",Parameter!$H$5,IF(CF1605="L23",Parameter!$H$6+Parameter!$H$7,Parameter!$H$5+Parameter!$H$6+Parameter!$H$7))-(AN1605-AI1605))/AI1605)))</f>
        <v>1</v>
      </c>
      <c r="AP1605" s="50" t="n">
        <f aca="false">IF(LEFT(Cockpit!$I$5,1)="A",H1605,IF(Parameter!$E$30="MAX-Bestand",IF(CH1605=1,CI1605,IF(LEFT(Cockpit!$I$5,1)="B",AV1605,MAX(AV1605,H1605))),ROUNDUP(AT1605,0)))</f>
        <v>30</v>
      </c>
      <c r="AQ1605" s="50" t="n">
        <f aca="false">IF(BZ1605=1,0,ROUNDUP(AP1605/BY1605,0))</f>
        <v>1</v>
      </c>
      <c r="AR1605" s="52" t="n">
        <f aca="false">IF(CQ1605&gt;0,CQ1605*MAX(1,AP1605/X1605),IF(BZ1605=1,IF(AP1605&lt;=0,0,CD1605*MAX(1,IF(H1605&gt;0,AP1605/H1605,1))),IF(R1605&gt;0,AQ1605/R1605,0))/MAX(0.1,N(Parameter!$M$21)))</f>
        <v>0.0833333333333333</v>
      </c>
      <c r="AS1605" s="50" t="n">
        <f aca="false">AR1605*CB1605</f>
        <v>12.0833333333333</v>
      </c>
      <c r="AT1605" s="51" t="n">
        <f aca="false">IF(LEFT(Cockpit!$I$5,1)="A",H1605,IF(CH1605=1,(CK1605+CI1605)/2,IF(LEFT(Cockpit!$I$5,1)="B",(CK1605+AV1605)/2,MAX((CK1605+AV1605)/2,H1605))))</f>
        <v>30</v>
      </c>
      <c r="AU1605" s="50" t="n">
        <f aca="false">AT1605*G1605</f>
        <v>12</v>
      </c>
      <c r="AV1605" s="50" t="n">
        <f aca="false">ROUNDUP(CK1605+MAX(CL1605,2*(J1605/IF(CG1605&gt;0,CG1605,MAX(0.1,N(Cockpit!$I$6)))-CK1605)),0)</f>
        <v>1</v>
      </c>
      <c r="AW1605" s="51" t="n">
        <f aca="false">IF(AS1605&gt;0,J1605/AS1605,-1)</f>
        <v>0</v>
      </c>
      <c r="AX1605" s="51" t="n">
        <f aca="false">IF(AND(OR(CF1605="L1",CF1605="L23",CF1605="LIFT"),AS1605&gt;0),SUMIFS($AS$7:$AS$1843,$CF$7:$CF$1843,CF1605,$AW$7:$AW$1843,"&gt;"&amp;AW1605)+SUMIFS($AS$7:$AS$1843,$CF$7:$CF$1843,CF1605,$AW$7:$AW$1843,AW1605,$BW$7:$BW$1843,"&lt;="&amp;BW1605),"")</f>
        <v>37001.6278352062</v>
      </c>
      <c r="AY1605" s="58" t="n">
        <f aca="false">IF(AX1605="",0,MAX(0,MIN(1,(IF(CF1605="L1",Parameter!$H$5,IF(CF1605="L23",Parameter!$H$6+Parameter!$H$7,Parameter!$H$5+Parameter!$H$6+Parameter!$H$7))-(AX1605-AS1605))/AS1605)))</f>
        <v>0</v>
      </c>
      <c r="AZ1605" s="50" t="n">
        <f aca="false">IF(LEFT(Cockpit!$O$5,1)="A",H1605,IF(Parameter!$E$30="MAX-Bestand",IF(CH1605=1,CI1605,IF(LEFT(Cockpit!$O$5,1)="B",BF1605,MAX(BF1605,H1605))),ROUNDUP(BD1605,0)))</f>
        <v>1</v>
      </c>
      <c r="BA1605" s="50" t="n">
        <f aca="false">IF(BZ1605=1,0,ROUNDUP(AZ1605/BY1605,0))</f>
        <v>1</v>
      </c>
      <c r="BB1605" s="52" t="n">
        <f aca="false">IF(CQ1605&gt;0,CQ1605*MAX(1,AZ1605/X1605),IF(BZ1605=1,IF(AZ1605&lt;=0,0,CD1605*MAX(1,IF(H1605&gt;0,AZ1605/H1605,1))),IF(R1605&gt;0,BA1605/R1605,0))/MAX(0.1,N(Parameter!$M$21)))</f>
        <v>0.0833333333333333</v>
      </c>
      <c r="BC1605" s="50" t="n">
        <f aca="false">BB1605*CB1605</f>
        <v>12.0833333333333</v>
      </c>
      <c r="BD1605" s="51" t="n">
        <f aca="false">IF(LEFT(Cockpit!$O$5,1)="A",H1605,IF(CH1605=1,(CK1605+CI1605)/2,IF(LEFT(Cockpit!$O$5,1)="B",(CK1605+BF1605)/2,MAX((CK1605+BF1605)/2,H1605))))</f>
        <v>0.5</v>
      </c>
      <c r="BE1605" s="50" t="n">
        <f aca="false">BD1605*G1605</f>
        <v>0.2</v>
      </c>
      <c r="BF1605" s="50" t="n">
        <f aca="false">ROUNDUP(CK1605+MAX(CL1605,2*(J1605/IF(CG1605&gt;0,CG1605,MAX(0.1,N(Cockpit!$O$6)))-CK1605)),0)</f>
        <v>1</v>
      </c>
      <c r="BG1605" s="51" t="n">
        <f aca="false">IF(BC1605&gt;0,J1605/BC1605,-1)</f>
        <v>0</v>
      </c>
      <c r="BH1605" s="51" t="n">
        <f aca="false">IF(AND(OR(CF1605="L1",CF1605="L23",CF1605="LIFT"),BC1605&gt;0),SUMIFS($BC$7:$BC$1843,$CF$7:$CF$1843,CF1605,$BG$7:$BG$1843,"&gt;"&amp;BG1605)+SUMIFS($BC$7:$BC$1843,$CF$7:$CF$1843,CF1605,$BG$7:$BG$1843,BG1605,$BW$7:$BW$1843,"&lt;="&amp;BW1605),"")</f>
        <v>30911.0691107386</v>
      </c>
      <c r="BI1605" s="58" t="n">
        <f aca="false">IF(BH1605="",0,MAX(0,MIN(1,(IF(CF1605="L1",Parameter!$H$5,IF(CF1605="L23",Parameter!$H$6+Parameter!$H$7,Parameter!$H$5+Parameter!$H$6+Parameter!$H$7))-(BH1605-BC1605))/BC1605)))</f>
        <v>1</v>
      </c>
      <c r="BJ1605" s="48" t="str">
        <f aca="false">IF(AI1605&lt;=0,"",IF(CF1605="Aussen","Aussenlager",IF(CF1605="-","Nicht im Lift",IF(AO1605&gt;=1,"Lift",IF(AO1605&lt;=0,"Aussenlager","teilweise")))))</f>
        <v>Lift</v>
      </c>
      <c r="BK1605" s="48" t="str">
        <f aca="false">IF(AS1605&lt;=0,"",IF(CF1605="Aussen","Aussenlager",IF(CF1605="-","Nicht im Lift",IF(AY1605&gt;=1,"Lift",IF(AY1605&lt;=0,"Aussenlager","teilweise")))))</f>
        <v>Aussenlager</v>
      </c>
      <c r="BL1605" s="48" t="str">
        <f aca="false">IF(BC1605&lt;=0,"",IF(CF1605="Aussen","Aussenlager",IF(CF1605="-","Nicht im Lift",IF(BI1605&gt;=1,"Lift",IF(BI1605&lt;=0,"Aussenlager","teilweise")))))</f>
        <v>Lift</v>
      </c>
      <c r="BM1605" s="48" t="str">
        <f aca="false">IF(A1605="","",IF(BV1605=1,"Neu; ","")&amp;IF(AND(BV1605=0,BQ1605&lt;0),"negativer Bestand (Export "&amp;BQ1605&amp;"); ","")&amp;IF(J1605&lt;=0,"Kein Verbrauch; ","")&amp;IF(CQ1605&gt;0,"Lift "&amp;W1605&amp;" lt. Liftbericht (Fach "&amp;X1605&amp;" Stk); ",IF(CA1605=1,"Gebinde geschätzt ("&amp;T1605&amp;"); ",IF(BZ1605=1,"Lose – Tablare geschätzt; ","")))&amp;IF(H1605&gt;AV1605,"Überbestand "&amp;ROUND(H1605-AV1605,0)&amp;" Stk / CHF "&amp;ROUND((H1605-AV1605)*G1605,0)&amp;"; ","")&amp;IF(AND(CH1605=1,CI1605&lt;CJ1605),"MAX &lt; MB+LG; ","")&amp;IF(AND(CP1605&gt;0,CO1605*10&gt;CP1605),"zu hoch für Tablar; ","")&amp;IF(AND(BV1605=0,OR(CH1605=1,AA1605&lt;&gt;"",U1605&lt;&gt;"",V1605&lt;&gt;"",AB1605&lt;&gt;"")),"manuell übersteuert; ","")&amp;IF(AND(BZ1605=0,R1605=0),"Gebinde unbekannt / Stellmass fehlt; ","")&amp;IF(AND(BZ1605=0,N(V1605)&lt;=0,N(Q1605)&lt;=0),"Menge pro Gebinde fehlt (Ist = 1 Gebinde); ","")&amp;BU1605)</f>
        <v>Kein Verbrauch; Gebinde geschätzt (Mittel); Überbestand 29 Stk / CHF 12; Menge pro Gebinde fehlt (Ist = 1 Gebinde); nur im Artikelstamm (Bestand 23.06.2026)</v>
      </c>
      <c r="BN1605" s="48"/>
      <c r="BO1605" s="48"/>
      <c r="BP1605" s="55"/>
      <c r="BQ1605" s="50" t="n">
        <v>30</v>
      </c>
      <c r="BR1605" s="50" t="n">
        <v>0</v>
      </c>
      <c r="BS1605" s="49" t="n">
        <v>0</v>
      </c>
      <c r="BT1605" s="50" t="n">
        <v>0</v>
      </c>
      <c r="BU1605" s="48" t="s">
        <v>2584</v>
      </c>
      <c r="BV1605" s="53" t="n">
        <v>0</v>
      </c>
      <c r="BW1605" s="53" t="n">
        <v>1605</v>
      </c>
      <c r="BX1605" s="48" t="str">
        <f aca="false">IF(U1605&lt;&gt;"",UPPER(TRIM(U1605)),IF(CA1605=1,UPPER(VLOOKUP(T1605,Parameter!$I$27:$K$29,2,0)),IF(P1605="","LOSE",P1605)))</f>
        <v>S61</v>
      </c>
      <c r="BY1605" s="50" t="n">
        <f aca="false">IF(BX1605="LOSE",1,IF(N(V1605)&gt;0,V1605,IF(CA1605=1,MAX(1,N(VLOOKUP(T1605,Parameter!$I$27:$K$29,3,0)),H1605,N(N1605)),IF(N(Q1605)&gt;0,Q1605,MAX(1,H1605)))))</f>
        <v>30</v>
      </c>
      <c r="BZ1605" s="53" t="n">
        <f aca="false">IF(BX1605="LOSE",1,0)</f>
        <v>0</v>
      </c>
      <c r="CA1605" s="53" t="n">
        <f aca="false">IF(AND(U1605="",OR(P1605="",P1605="LOSE"),T1605&lt;&gt;"",N(S1605)&lt;=0,ISNUMBER(MATCH(T1605,Parameter!$I$27:$I$29,0))),1,0)</f>
        <v>1</v>
      </c>
      <c r="CB1605" s="53" t="n">
        <f aca="false">IF(CQ1605&gt;0,INDEX(Parameter!$H$5:$H$7,W1605)/INDEX(Parameter!$E$5:$E$7,W1605),IF(AND(BZ1605=0,N(IFERROR(VLOOKUP(BX1605,'Gebinde-Kategorie'!$A$5:$N$45,14,0),0))&gt;0),VLOOKUP(BX1605,'Gebinde-Kategorie'!$A$5:$N$45,14,0)*10+Parameter!$M$23,Parameter!$M$24))</f>
        <v>145</v>
      </c>
      <c r="CC1605" s="48" t="str">
        <f aca="false">IF(AND(Parameter!$B$19="Ja",E1605&lt;&gt;"",ISNUMBER(MATCH(E1605,Parameter!$I$35:$I$52,0))),VLOOKUP(E1605,Parameter!$I$35:$J$52,2,0),IFERROR(VLOOKUP(D1605,Parameter!$A$35:$C$64,2,0),"Nein"))</f>
        <v>2+3</v>
      </c>
      <c r="CD1605" s="52" t="n">
        <f aca="false">IF(BZ1605=0,0,IF(N(S1605)&gt;0,S1605,IFERROR(VLOOKUP(D1605,Parameter!$A$35:$C$64,3,0)+0,0)))</f>
        <v>0</v>
      </c>
      <c r="CE1605" s="48" t="n">
        <f aca="false">IF(AA1605&lt;&gt;"",AA1605,Z1605)</f>
        <v>2</v>
      </c>
      <c r="CF1605" s="48" t="str">
        <f aca="false">IF(OR(CE1605=1,CE1605=2,CE1605=3),IF(Parameter!$E$27="Ja","LIFT",IF(CE1605=1,"L1","L23")),IF(CE1605="Aussen","Aussen","-"))</f>
        <v>LIFT</v>
      </c>
      <c r="CG1605" s="59" t="n">
        <f aca="false">IF(N(AB1605)&gt;0,AB1605,0)</f>
        <v>0</v>
      </c>
      <c r="CH1605" s="53" t="n">
        <f aca="false">IF(ISNUMBER(AE1605),1,0)</f>
        <v>0</v>
      </c>
      <c r="CI1605" s="50" t="n">
        <f aca="false">N(AE1605)</f>
        <v>0</v>
      </c>
      <c r="CJ1605" s="50" t="n">
        <f aca="false">N(M1605)+N(N1605)</f>
        <v>1</v>
      </c>
      <c r="CK1605" s="50" t="n">
        <f aca="false">N(M1605)</f>
        <v>0</v>
      </c>
      <c r="CL1605" s="50" t="n">
        <f aca="false">N(N1605)</f>
        <v>1</v>
      </c>
      <c r="CM1605" s="50" t="n">
        <f aca="false">ROUNDUP(H1605/BY1605,0)</f>
        <v>1</v>
      </c>
      <c r="CN1605" s="50" t="n">
        <f aca="false">ROUNDUP(CI1605/BY1605,0)</f>
        <v>0</v>
      </c>
      <c r="CO1605" s="53" t="n">
        <f aca="false">IF(BZ1605=1,0,IFERROR(VLOOKUP(BX1605,'Gebinde-Kategorie'!$A$5:$N$45,5,0)+0,0))</f>
        <v>11</v>
      </c>
      <c r="CP1605" s="53" t="n">
        <f aca="false">IFERROR(IF(OR(CE1605=1,CE1605=2,CE1605=3),N(INDEX(Parameter!$I$5:$I$7,CE1605)),0),0)</f>
        <v>0</v>
      </c>
      <c r="CQ1605" s="52" t="n">
        <f aca="false">IF(AND(Parameter!$B$21="Ja",ISNUMBER(W1605),N(X1605)&gt;0),IFERROR(N(INDEX(Parameter!$L$5:$L$7,W1605))*INDEX(Parameter!$E$5:$E$7,W1605)*X1605/SUMIFS($X$7:$X$1843,$W$7:$W$1843,W1605),0),0)</f>
        <v>0</v>
      </c>
    </row>
    <row r="1606" customFormat="false" ht="15" hidden="false" customHeight="false" outlineLevel="0" collapsed="false">
      <c r="A1606" s="48" t="s">
        <v>2808</v>
      </c>
      <c r="B1606" s="48" t="s">
        <v>2809</v>
      </c>
      <c r="C1606" s="48" t="s">
        <v>173</v>
      </c>
      <c r="D1606" s="48" t="s">
        <v>193</v>
      </c>
      <c r="E1606" s="48"/>
      <c r="F1606" s="48"/>
      <c r="G1606" s="49" t="n">
        <v>14.58</v>
      </c>
      <c r="H1606" s="50" t="n">
        <f aca="false">MAX(0,IF(AND(Parameter!$B$21="Ja",ISNUMBER(Y1606)),Y1606,IF(Parameter!$B$20="Jahresanfang 2025 + Export",BR1606+BQ1606,BQ1606)))</f>
        <v>4</v>
      </c>
      <c r="I1606" s="50" t="n">
        <f aca="false">H1606*G1606</f>
        <v>58.32</v>
      </c>
      <c r="J1606" s="50" t="n">
        <f aca="false">BT1606*Parameter!$B$18</f>
        <v>0</v>
      </c>
      <c r="K1606" s="51"/>
      <c r="L1606" s="52"/>
      <c r="M1606" s="50" t="n">
        <v>0</v>
      </c>
      <c r="N1606" s="50" t="n">
        <v>5</v>
      </c>
      <c r="O1606" s="53" t="n">
        <v>14</v>
      </c>
      <c r="P1606" s="48" t="s">
        <v>177</v>
      </c>
      <c r="Q1606" s="50"/>
      <c r="R1606" s="53" t="n">
        <f aca="false">IF(BZ1606=1,0,IFERROR(VLOOKUP(BX1606,'Gebinde-Kategorie'!$A$5:$N$45,13,0)+0,0))</f>
        <v>26</v>
      </c>
      <c r="S1606" s="54"/>
      <c r="T1606" s="55" t="s">
        <v>284</v>
      </c>
      <c r="U1606" s="55"/>
      <c r="V1606" s="55"/>
      <c r="W1606" s="48"/>
      <c r="X1606" s="50"/>
      <c r="Y1606" s="50"/>
      <c r="Z1606" s="48" t="n">
        <f aca="false">IF(A1606="","",IF(AND(Parameter!$B$21="Ja",ISNUMBER(W1606)),W1606,IF(CC1606="2+3",IF(ISNUMBER(SEARCH("grosser Artikel",BU1606)),2,IFERROR(VLOOKUP(BX1606,Parameter!$F$35:$G$64,2,0),2)),IF(OR(CC1606="Nein",CC1606=""),"-",CC1606))))</f>
        <v>3</v>
      </c>
      <c r="AA1606" s="55"/>
      <c r="AB1606" s="56"/>
      <c r="AC1606" s="50" t="n">
        <f aca="false">AV1606</f>
        <v>5</v>
      </c>
      <c r="AD1606" s="50" t="n">
        <f aca="false">MAX(AV1606,H1606)</f>
        <v>5</v>
      </c>
      <c r="AE1606" s="57"/>
      <c r="AF1606" s="50" t="n">
        <f aca="false">IF(LEFT(Cockpit!$C$5,1)="A",H1606,IF(Parameter!$E$30="MAX-Bestand",IF(CH1606=1,CI1606,IF(LEFT(Cockpit!$C$5,1)="B",AL1606,MAX(AL1606,H1606))),ROUNDUP(AJ1606,0)))</f>
        <v>4</v>
      </c>
      <c r="AG1606" s="50" t="n">
        <f aca="false">IF(BZ1606=1,0,ROUNDUP(AF1606/BY1606,0))</f>
        <v>1</v>
      </c>
      <c r="AH1606" s="52" t="n">
        <f aca="false">IF(CQ1606&gt;0,CQ1606*MAX(1,AF1606/X1606),IF(BZ1606=1,IF(AF1606&lt;=0,0,CD1606*MAX(1,IF(H1606&gt;0,AF1606/H1606,1))),IF(R1606&gt;0,AG1606/R1606,0))/MAX(0.1,N(Parameter!$M$21)))</f>
        <v>0.0384615384615385</v>
      </c>
      <c r="AI1606" s="50" t="n">
        <f aca="false">AH1606*CB1606</f>
        <v>5.96153846153846</v>
      </c>
      <c r="AJ1606" s="51" t="n">
        <f aca="false">IF(LEFT(Cockpit!$C$5,1)="A",H1606,IF(CH1606=1,(CK1606+CI1606)/2,IF(LEFT(Cockpit!$C$5,1)="B",(CK1606+AL1606)/2,MAX((CK1606+AL1606)/2,H1606))))</f>
        <v>4</v>
      </c>
      <c r="AK1606" s="50" t="n">
        <f aca="false">AJ1606*G1606</f>
        <v>58.32</v>
      </c>
      <c r="AL1606" s="50" t="n">
        <f aca="false">ROUNDUP(CK1606+MAX(CL1606,2*(J1606/IF(CG1606&gt;0,CG1606,MAX(0.1,N(Cockpit!$C$6)))-CK1606)),0)</f>
        <v>5</v>
      </c>
      <c r="AM1606" s="51" t="n">
        <f aca="false">IF(AI1606&gt;0,J1606/AI1606,-1)</f>
        <v>0</v>
      </c>
      <c r="AN1606" s="51" t="n">
        <f aca="false">IF(AND(OR(CF1606="L1",CF1606="L23",CF1606="LIFT"),AI1606&gt;0),SUMIFS($AI$7:$AI$1843,$CF$7:$CF$1843,CF1606,$AM$7:$AM$1843,"&gt;"&amp;AM1606)+SUMIFS($AI$7:$AI$1843,$CF$7:$CF$1843,CF1606,$AM$7:$AM$1843,AM1606,$BW$7:$BW$1843,"&lt;="&amp;BW1606),"")</f>
        <v>30687.7328568324</v>
      </c>
      <c r="AO1606" s="58" t="n">
        <f aca="false">IF(AN1606="",0,MAX(0,MIN(1,(IF(CF1606="L1",Parameter!$H$5,IF(CF1606="L23",Parameter!$H$6+Parameter!$H$7,Parameter!$H$5+Parameter!$H$6+Parameter!$H$7))-(AN1606-AI1606))/AI1606)))</f>
        <v>1</v>
      </c>
      <c r="AP1606" s="50" t="n">
        <f aca="false">IF(LEFT(Cockpit!$I$5,1)="A",H1606,IF(Parameter!$E$30="MAX-Bestand",IF(CH1606=1,CI1606,IF(LEFT(Cockpit!$I$5,1)="B",AV1606,MAX(AV1606,H1606))),ROUNDUP(AT1606,0)))</f>
        <v>4</v>
      </c>
      <c r="AQ1606" s="50" t="n">
        <f aca="false">IF(BZ1606=1,0,ROUNDUP(AP1606/BY1606,0))</f>
        <v>1</v>
      </c>
      <c r="AR1606" s="52" t="n">
        <f aca="false">IF(CQ1606&gt;0,CQ1606*MAX(1,AP1606/X1606),IF(BZ1606=1,IF(AP1606&lt;=0,0,CD1606*MAX(1,IF(H1606&gt;0,AP1606/H1606,1))),IF(R1606&gt;0,AQ1606/R1606,0))/MAX(0.1,N(Parameter!$M$21)))</f>
        <v>0.0384615384615385</v>
      </c>
      <c r="AS1606" s="50" t="n">
        <f aca="false">AR1606*CB1606</f>
        <v>5.96153846153846</v>
      </c>
      <c r="AT1606" s="51" t="n">
        <f aca="false">IF(LEFT(Cockpit!$I$5,1)="A",H1606,IF(CH1606=1,(CK1606+CI1606)/2,IF(LEFT(Cockpit!$I$5,1)="B",(CK1606+AV1606)/2,MAX((CK1606+AV1606)/2,H1606))))</f>
        <v>4</v>
      </c>
      <c r="AU1606" s="50" t="n">
        <f aca="false">AT1606*G1606</f>
        <v>58.32</v>
      </c>
      <c r="AV1606" s="50" t="n">
        <f aca="false">ROUNDUP(CK1606+MAX(CL1606,2*(J1606/IF(CG1606&gt;0,CG1606,MAX(0.1,N(Cockpit!$I$6)))-CK1606)),0)</f>
        <v>5</v>
      </c>
      <c r="AW1606" s="51" t="n">
        <f aca="false">IF(AS1606&gt;0,J1606/AS1606,-1)</f>
        <v>0</v>
      </c>
      <c r="AX1606" s="51" t="n">
        <f aca="false">IF(AND(OR(CF1606="L1",CF1606="L23",CF1606="LIFT"),AS1606&gt;0),SUMIFS($AS$7:$AS$1843,$CF$7:$CF$1843,CF1606,$AW$7:$AW$1843,"&gt;"&amp;AW1606)+SUMIFS($AS$7:$AS$1843,$CF$7:$CF$1843,CF1606,$AW$7:$AW$1843,AW1606,$BW$7:$BW$1843,"&lt;="&amp;BW1606),"")</f>
        <v>37007.5893736678</v>
      </c>
      <c r="AY1606" s="58" t="n">
        <f aca="false">IF(AX1606="",0,MAX(0,MIN(1,(IF(CF1606="L1",Parameter!$H$5,IF(CF1606="L23",Parameter!$H$6+Parameter!$H$7,Parameter!$H$5+Parameter!$H$6+Parameter!$H$7))-(AX1606-AS1606))/AS1606)))</f>
        <v>0</v>
      </c>
      <c r="AZ1606" s="50" t="n">
        <f aca="false">IF(LEFT(Cockpit!$O$5,1)="A",H1606,IF(Parameter!$E$30="MAX-Bestand",IF(CH1606=1,CI1606,IF(LEFT(Cockpit!$O$5,1)="B",BF1606,MAX(BF1606,H1606))),ROUNDUP(BD1606,0)))</f>
        <v>3</v>
      </c>
      <c r="BA1606" s="50" t="n">
        <f aca="false">IF(BZ1606=1,0,ROUNDUP(AZ1606/BY1606,0))</f>
        <v>1</v>
      </c>
      <c r="BB1606" s="52" t="n">
        <f aca="false">IF(CQ1606&gt;0,CQ1606*MAX(1,AZ1606/X1606),IF(BZ1606=1,IF(AZ1606&lt;=0,0,CD1606*MAX(1,IF(H1606&gt;0,AZ1606/H1606,1))),IF(R1606&gt;0,BA1606/R1606,0))/MAX(0.1,N(Parameter!$M$21)))</f>
        <v>0.0384615384615385</v>
      </c>
      <c r="BC1606" s="50" t="n">
        <f aca="false">BB1606*CB1606</f>
        <v>5.96153846153846</v>
      </c>
      <c r="BD1606" s="51" t="n">
        <f aca="false">IF(LEFT(Cockpit!$O$5,1)="A",H1606,IF(CH1606=1,(CK1606+CI1606)/2,IF(LEFT(Cockpit!$O$5,1)="B",(CK1606+BF1606)/2,MAX((CK1606+BF1606)/2,H1606))))</f>
        <v>2.5</v>
      </c>
      <c r="BE1606" s="50" t="n">
        <f aca="false">BD1606*G1606</f>
        <v>36.45</v>
      </c>
      <c r="BF1606" s="50" t="n">
        <f aca="false">ROUNDUP(CK1606+MAX(CL1606,2*(J1606/IF(CG1606&gt;0,CG1606,MAX(0.1,N(Cockpit!$O$6)))-CK1606)),0)</f>
        <v>5</v>
      </c>
      <c r="BG1606" s="51" t="n">
        <f aca="false">IF(BC1606&gt;0,J1606/BC1606,-1)</f>
        <v>0</v>
      </c>
      <c r="BH1606" s="51" t="n">
        <f aca="false">IF(AND(OR(CF1606="L1",CF1606="L23",CF1606="LIFT"),BC1606&gt;0),SUMIFS($BC$7:$BC$1843,$CF$7:$CF$1843,CF1606,$BG$7:$BG$1843,"&gt;"&amp;BG1606)+SUMIFS($BC$7:$BC$1843,$CF$7:$CF$1843,CF1606,$BG$7:$BG$1843,BG1606,$BW$7:$BW$1843,"&lt;="&amp;BW1606),"")</f>
        <v>30917.0306492001</v>
      </c>
      <c r="BI1606" s="58" t="n">
        <f aca="false">IF(BH1606="",0,MAX(0,MIN(1,(IF(CF1606="L1",Parameter!$H$5,IF(CF1606="L23",Parameter!$H$6+Parameter!$H$7,Parameter!$H$5+Parameter!$H$6+Parameter!$H$7))-(BH1606-BC1606))/BC1606)))</f>
        <v>1</v>
      </c>
      <c r="BJ1606" s="48" t="str">
        <f aca="false">IF(AI1606&lt;=0,"",IF(CF1606="Aussen","Aussenlager",IF(CF1606="-","Nicht im Lift",IF(AO1606&gt;=1,"Lift",IF(AO1606&lt;=0,"Aussenlager","teilweise")))))</f>
        <v>Lift</v>
      </c>
      <c r="BK1606" s="48" t="str">
        <f aca="false">IF(AS1606&lt;=0,"",IF(CF1606="Aussen","Aussenlager",IF(CF1606="-","Nicht im Lift",IF(AY1606&gt;=1,"Lift",IF(AY1606&lt;=0,"Aussenlager","teilweise")))))</f>
        <v>Aussenlager</v>
      </c>
      <c r="BL1606" s="48" t="str">
        <f aca="false">IF(BC1606&lt;=0,"",IF(CF1606="Aussen","Aussenlager",IF(CF1606="-","Nicht im Lift",IF(BI1606&gt;=1,"Lift",IF(BI1606&lt;=0,"Aussenlager","teilweise")))))</f>
        <v>Lift</v>
      </c>
      <c r="BM1606" s="48" t="str">
        <f aca="false">IF(A1606="","",IF(BV1606=1,"Neu; ","")&amp;IF(AND(BV1606=0,BQ1606&lt;0),"negativer Bestand (Export "&amp;BQ1606&amp;"); ","")&amp;IF(J1606&lt;=0,"Kein Verbrauch; ","")&amp;IF(CQ1606&gt;0,"Lift "&amp;W1606&amp;" lt. Liftbericht (Fach "&amp;X1606&amp;" Stk); ",IF(CA1606=1,"Gebinde geschätzt ("&amp;T1606&amp;"); ",IF(BZ1606=1,"Lose – Tablare geschätzt; ","")))&amp;IF(H1606&gt;AV1606,"Überbestand "&amp;ROUND(H1606-AV1606,0)&amp;" Stk / CHF "&amp;ROUND((H1606-AV1606)*G1606,0)&amp;"; ","")&amp;IF(AND(CH1606=1,CI1606&lt;CJ1606),"MAX &lt; MB+LG; ","")&amp;IF(AND(CP1606&gt;0,CO1606*10&gt;CP1606),"zu hoch für Tablar; ","")&amp;IF(AND(BV1606=0,OR(CH1606=1,AA1606&lt;&gt;"",U1606&lt;&gt;"",V1606&lt;&gt;"",AB1606&lt;&gt;"")),"manuell übersteuert; ","")&amp;IF(AND(BZ1606=0,R1606=0),"Gebinde unbekannt / Stellmass fehlt; ","")&amp;IF(AND(BZ1606=0,N(V1606)&lt;=0,N(Q1606)&lt;=0),"Menge pro Gebinde fehlt (Ist = 1 Gebinde); ","")&amp;BU1606)</f>
        <v>Kein Verbrauch; Gebinde geschätzt (Klein); Menge pro Gebinde fehlt (Ist = 1 Gebinde); nur im Artikelstamm (Bestand 23.06.2026)</v>
      </c>
      <c r="BN1606" s="48"/>
      <c r="BO1606" s="48"/>
      <c r="BP1606" s="55"/>
      <c r="BQ1606" s="50" t="n">
        <v>4</v>
      </c>
      <c r="BR1606" s="50" t="n">
        <v>0</v>
      </c>
      <c r="BS1606" s="49" t="n">
        <v>0</v>
      </c>
      <c r="BT1606" s="50" t="n">
        <v>0</v>
      </c>
      <c r="BU1606" s="48" t="s">
        <v>2584</v>
      </c>
      <c r="BV1606" s="53" t="n">
        <v>0</v>
      </c>
      <c r="BW1606" s="53" t="n">
        <v>1606</v>
      </c>
      <c r="BX1606" s="48" t="str">
        <f aca="false">IF(U1606&lt;&gt;"",UPPER(TRIM(U1606)),IF(CA1606=1,UPPER(VLOOKUP(T1606,Parameter!$I$27:$K$29,2,0)),IF(P1606="","LOSE",P1606)))</f>
        <v>S51</v>
      </c>
      <c r="BY1606" s="50" t="n">
        <f aca="false">IF(BX1606="LOSE",1,IF(N(V1606)&gt;0,V1606,IF(CA1606=1,MAX(1,N(VLOOKUP(T1606,Parameter!$I$27:$K$29,3,0)),H1606,N(N1606)),IF(N(Q1606)&gt;0,Q1606,MAX(1,H1606)))))</f>
        <v>20</v>
      </c>
      <c r="BZ1606" s="53" t="n">
        <f aca="false">IF(BX1606="LOSE",1,0)</f>
        <v>0</v>
      </c>
      <c r="CA1606" s="53" t="n">
        <f aca="false">IF(AND(U1606="",OR(P1606="",P1606="LOSE"),T1606&lt;&gt;"",N(S1606)&lt;=0,ISNUMBER(MATCH(T1606,Parameter!$I$27:$I$29,0))),1,0)</f>
        <v>1</v>
      </c>
      <c r="CB1606" s="53" t="n">
        <f aca="false">IF(CQ1606&gt;0,INDEX(Parameter!$H$5:$H$7,W1606)/INDEX(Parameter!$E$5:$E$7,W1606),IF(AND(BZ1606=0,N(IFERROR(VLOOKUP(BX1606,'Gebinde-Kategorie'!$A$5:$N$45,14,0),0))&gt;0),VLOOKUP(BX1606,'Gebinde-Kategorie'!$A$5:$N$45,14,0)*10+Parameter!$M$23,Parameter!$M$24))</f>
        <v>155</v>
      </c>
      <c r="CC1606" s="48" t="str">
        <f aca="false">IF(AND(Parameter!$B$19="Ja",E1606&lt;&gt;"",ISNUMBER(MATCH(E1606,Parameter!$I$35:$I$52,0))),VLOOKUP(E1606,Parameter!$I$35:$J$52,2,0),IFERROR(VLOOKUP(D1606,Parameter!$A$35:$C$64,2,0),"Nein"))</f>
        <v>2+3</v>
      </c>
      <c r="CD1606" s="52" t="n">
        <f aca="false">IF(BZ1606=0,0,IF(N(S1606)&gt;0,S1606,IFERROR(VLOOKUP(D1606,Parameter!$A$35:$C$64,3,0)+0,0)))</f>
        <v>0</v>
      </c>
      <c r="CE1606" s="48" t="n">
        <f aca="false">IF(AA1606&lt;&gt;"",AA1606,Z1606)</f>
        <v>3</v>
      </c>
      <c r="CF1606" s="48" t="str">
        <f aca="false">IF(OR(CE1606=1,CE1606=2,CE1606=3),IF(Parameter!$E$27="Ja","LIFT",IF(CE1606=1,"L1","L23")),IF(CE1606="Aussen","Aussen","-"))</f>
        <v>LIFT</v>
      </c>
      <c r="CG1606" s="59" t="n">
        <f aca="false">IF(N(AB1606)&gt;0,AB1606,0)</f>
        <v>0</v>
      </c>
      <c r="CH1606" s="53" t="n">
        <f aca="false">IF(ISNUMBER(AE1606),1,0)</f>
        <v>0</v>
      </c>
      <c r="CI1606" s="50" t="n">
        <f aca="false">N(AE1606)</f>
        <v>0</v>
      </c>
      <c r="CJ1606" s="50" t="n">
        <f aca="false">N(M1606)+N(N1606)</f>
        <v>5</v>
      </c>
      <c r="CK1606" s="50" t="n">
        <f aca="false">N(M1606)</f>
        <v>0</v>
      </c>
      <c r="CL1606" s="50" t="n">
        <f aca="false">N(N1606)</f>
        <v>5</v>
      </c>
      <c r="CM1606" s="50" t="n">
        <f aca="false">ROUNDUP(H1606/BY1606,0)</f>
        <v>1</v>
      </c>
      <c r="CN1606" s="50" t="n">
        <f aca="false">ROUNDUP(CI1606/BY1606,0)</f>
        <v>0</v>
      </c>
      <c r="CO1606" s="53" t="n">
        <f aca="false">IF(BZ1606=1,0,IFERROR(VLOOKUP(BX1606,'Gebinde-Kategorie'!$A$5:$N$45,5,0)+0,0))</f>
        <v>11</v>
      </c>
      <c r="CP1606" s="53" t="n">
        <f aca="false">IFERROR(IF(OR(CE1606=1,CE1606=2,CE1606=3),N(INDEX(Parameter!$I$5:$I$7,CE1606)),0),0)</f>
        <v>0</v>
      </c>
      <c r="CQ1606" s="52" t="n">
        <f aca="false">IF(AND(Parameter!$B$21="Ja",ISNUMBER(W1606),N(X1606)&gt;0),IFERROR(N(INDEX(Parameter!$L$5:$L$7,W1606))*INDEX(Parameter!$E$5:$E$7,W1606)*X1606/SUMIFS($X$7:$X$1843,$W$7:$W$1843,W1606),0),0)</f>
        <v>0</v>
      </c>
    </row>
    <row r="1607" customFormat="false" ht="15" hidden="false" customHeight="false" outlineLevel="0" collapsed="false">
      <c r="A1607" s="48" t="s">
        <v>2810</v>
      </c>
      <c r="B1607" s="48" t="s">
        <v>2811</v>
      </c>
      <c r="C1607" s="48" t="s">
        <v>173</v>
      </c>
      <c r="D1607" s="48" t="s">
        <v>193</v>
      </c>
      <c r="E1607" s="48"/>
      <c r="F1607" s="48"/>
      <c r="G1607" s="49" t="n">
        <v>2.17</v>
      </c>
      <c r="H1607" s="50" t="n">
        <f aca="false">MAX(0,IF(AND(Parameter!$B$21="Ja",ISNUMBER(Y1607)),Y1607,IF(Parameter!$B$20="Jahresanfang 2025 + Export",BR1607+BQ1607,BQ1607)))</f>
        <v>89</v>
      </c>
      <c r="I1607" s="50" t="n">
        <f aca="false">H1607*G1607</f>
        <v>193.13</v>
      </c>
      <c r="J1607" s="50" t="n">
        <f aca="false">BT1607*Parameter!$B$18</f>
        <v>0</v>
      </c>
      <c r="K1607" s="51"/>
      <c r="L1607" s="52"/>
      <c r="M1607" s="50" t="n">
        <v>0</v>
      </c>
      <c r="N1607" s="50" t="n">
        <v>40</v>
      </c>
      <c r="O1607" s="53" t="n">
        <v>28</v>
      </c>
      <c r="P1607" s="48" t="s">
        <v>177</v>
      </c>
      <c r="Q1607" s="50"/>
      <c r="R1607" s="53" t="n">
        <f aca="false">IF(BZ1607=1,0,IFERROR(VLOOKUP(BX1607,'Gebinde-Kategorie'!$A$5:$N$45,13,0)+0,0))</f>
        <v>26</v>
      </c>
      <c r="S1607" s="54"/>
      <c r="T1607" s="55" t="s">
        <v>284</v>
      </c>
      <c r="U1607" s="55"/>
      <c r="V1607" s="55"/>
      <c r="W1607" s="48"/>
      <c r="X1607" s="50"/>
      <c r="Y1607" s="50"/>
      <c r="Z1607" s="48" t="n">
        <f aca="false">IF(A1607="","",IF(AND(Parameter!$B$21="Ja",ISNUMBER(W1607)),W1607,IF(CC1607="2+3",IF(ISNUMBER(SEARCH("grosser Artikel",BU1607)),2,IFERROR(VLOOKUP(BX1607,Parameter!$F$35:$G$64,2,0),2)),IF(OR(CC1607="Nein",CC1607=""),"-",CC1607))))</f>
        <v>3</v>
      </c>
      <c r="AA1607" s="55"/>
      <c r="AB1607" s="56"/>
      <c r="AC1607" s="50" t="n">
        <f aca="false">AV1607</f>
        <v>40</v>
      </c>
      <c r="AD1607" s="50" t="n">
        <f aca="false">MAX(AV1607,H1607)</f>
        <v>89</v>
      </c>
      <c r="AE1607" s="57"/>
      <c r="AF1607" s="50" t="n">
        <f aca="false">IF(LEFT(Cockpit!$C$5,1)="A",H1607,IF(Parameter!$E$30="MAX-Bestand",IF(CH1607=1,CI1607,IF(LEFT(Cockpit!$C$5,1)="B",AL1607,MAX(AL1607,H1607))),ROUNDUP(AJ1607,0)))</f>
        <v>89</v>
      </c>
      <c r="AG1607" s="50" t="n">
        <f aca="false">IF(BZ1607=1,0,ROUNDUP(AF1607/BY1607,0))</f>
        <v>1</v>
      </c>
      <c r="AH1607" s="52" t="n">
        <f aca="false">IF(CQ1607&gt;0,CQ1607*MAX(1,AF1607/X1607),IF(BZ1607=1,IF(AF1607&lt;=0,0,CD1607*MAX(1,IF(H1607&gt;0,AF1607/H1607,1))),IF(R1607&gt;0,AG1607/R1607,0))/MAX(0.1,N(Parameter!$M$21)))</f>
        <v>0.0384615384615385</v>
      </c>
      <c r="AI1607" s="50" t="n">
        <f aca="false">AH1607*CB1607</f>
        <v>5.96153846153846</v>
      </c>
      <c r="AJ1607" s="51" t="n">
        <f aca="false">IF(LEFT(Cockpit!$C$5,1)="A",H1607,IF(CH1607=1,(CK1607+CI1607)/2,IF(LEFT(Cockpit!$C$5,1)="B",(CK1607+AL1607)/2,MAX((CK1607+AL1607)/2,H1607))))</f>
        <v>89</v>
      </c>
      <c r="AK1607" s="50" t="n">
        <f aca="false">AJ1607*G1607</f>
        <v>193.13</v>
      </c>
      <c r="AL1607" s="50" t="n">
        <f aca="false">ROUNDUP(CK1607+MAX(CL1607,2*(J1607/IF(CG1607&gt;0,CG1607,MAX(0.1,N(Cockpit!$C$6)))-CK1607)),0)</f>
        <v>40</v>
      </c>
      <c r="AM1607" s="51" t="n">
        <f aca="false">IF(AI1607&gt;0,J1607/AI1607,-1)</f>
        <v>0</v>
      </c>
      <c r="AN1607" s="51" t="n">
        <f aca="false">IF(AND(OR(CF1607="L1",CF1607="L23",CF1607="LIFT"),AI1607&gt;0),SUMIFS($AI$7:$AI$1843,$CF$7:$CF$1843,CF1607,$AM$7:$AM$1843,"&gt;"&amp;AM1607)+SUMIFS($AI$7:$AI$1843,$CF$7:$CF$1843,CF1607,$AM$7:$AM$1843,AM1607,$BW$7:$BW$1843,"&lt;="&amp;BW1607),"")</f>
        <v>30693.694395294</v>
      </c>
      <c r="AO1607" s="58" t="n">
        <f aca="false">IF(AN1607="",0,MAX(0,MIN(1,(IF(CF1607="L1",Parameter!$H$5,IF(CF1607="L23",Parameter!$H$6+Parameter!$H$7,Parameter!$H$5+Parameter!$H$6+Parameter!$H$7))-(AN1607-AI1607))/AI1607)))</f>
        <v>1</v>
      </c>
      <c r="AP1607" s="50" t="n">
        <f aca="false">IF(LEFT(Cockpit!$I$5,1)="A",H1607,IF(Parameter!$E$30="MAX-Bestand",IF(CH1607=1,CI1607,IF(LEFT(Cockpit!$I$5,1)="B",AV1607,MAX(AV1607,H1607))),ROUNDUP(AT1607,0)))</f>
        <v>89</v>
      </c>
      <c r="AQ1607" s="50" t="n">
        <f aca="false">IF(BZ1607=1,0,ROUNDUP(AP1607/BY1607,0))</f>
        <v>1</v>
      </c>
      <c r="AR1607" s="52" t="n">
        <f aca="false">IF(CQ1607&gt;0,CQ1607*MAX(1,AP1607/X1607),IF(BZ1607=1,IF(AP1607&lt;=0,0,CD1607*MAX(1,IF(H1607&gt;0,AP1607/H1607,1))),IF(R1607&gt;0,AQ1607/R1607,0))/MAX(0.1,N(Parameter!$M$21)))</f>
        <v>0.0384615384615385</v>
      </c>
      <c r="AS1607" s="50" t="n">
        <f aca="false">AR1607*CB1607</f>
        <v>5.96153846153846</v>
      </c>
      <c r="AT1607" s="51" t="n">
        <f aca="false">IF(LEFT(Cockpit!$I$5,1)="A",H1607,IF(CH1607=1,(CK1607+CI1607)/2,IF(LEFT(Cockpit!$I$5,1)="B",(CK1607+AV1607)/2,MAX((CK1607+AV1607)/2,H1607))))</f>
        <v>89</v>
      </c>
      <c r="AU1607" s="50" t="n">
        <f aca="false">AT1607*G1607</f>
        <v>193.13</v>
      </c>
      <c r="AV1607" s="50" t="n">
        <f aca="false">ROUNDUP(CK1607+MAX(CL1607,2*(J1607/IF(CG1607&gt;0,CG1607,MAX(0.1,N(Cockpit!$I$6)))-CK1607)),0)</f>
        <v>40</v>
      </c>
      <c r="AW1607" s="51" t="n">
        <f aca="false">IF(AS1607&gt;0,J1607/AS1607,-1)</f>
        <v>0</v>
      </c>
      <c r="AX1607" s="51" t="n">
        <f aca="false">IF(AND(OR(CF1607="L1",CF1607="L23",CF1607="LIFT"),AS1607&gt;0),SUMIFS($AS$7:$AS$1843,$CF$7:$CF$1843,CF1607,$AW$7:$AW$1843,"&gt;"&amp;AW1607)+SUMIFS($AS$7:$AS$1843,$CF$7:$CF$1843,CF1607,$AW$7:$AW$1843,AW1607,$BW$7:$BW$1843,"&lt;="&amp;BW1607),"")</f>
        <v>37013.5509121293</v>
      </c>
      <c r="AY1607" s="58" t="n">
        <f aca="false">IF(AX1607="",0,MAX(0,MIN(1,(IF(CF1607="L1",Parameter!$H$5,IF(CF1607="L23",Parameter!$H$6+Parameter!$H$7,Parameter!$H$5+Parameter!$H$6+Parameter!$H$7))-(AX1607-AS1607))/AS1607)))</f>
        <v>0</v>
      </c>
      <c r="AZ1607" s="50" t="n">
        <f aca="false">IF(LEFT(Cockpit!$O$5,1)="A",H1607,IF(Parameter!$E$30="MAX-Bestand",IF(CH1607=1,CI1607,IF(LEFT(Cockpit!$O$5,1)="B",BF1607,MAX(BF1607,H1607))),ROUNDUP(BD1607,0)))</f>
        <v>20</v>
      </c>
      <c r="BA1607" s="50" t="n">
        <f aca="false">IF(BZ1607=1,0,ROUNDUP(AZ1607/BY1607,0))</f>
        <v>1</v>
      </c>
      <c r="BB1607" s="52" t="n">
        <f aca="false">IF(CQ1607&gt;0,CQ1607*MAX(1,AZ1607/X1607),IF(BZ1607=1,IF(AZ1607&lt;=0,0,CD1607*MAX(1,IF(H1607&gt;0,AZ1607/H1607,1))),IF(R1607&gt;0,BA1607/R1607,0))/MAX(0.1,N(Parameter!$M$21)))</f>
        <v>0.0384615384615385</v>
      </c>
      <c r="BC1607" s="50" t="n">
        <f aca="false">BB1607*CB1607</f>
        <v>5.96153846153846</v>
      </c>
      <c r="BD1607" s="51" t="n">
        <f aca="false">IF(LEFT(Cockpit!$O$5,1)="A",H1607,IF(CH1607=1,(CK1607+CI1607)/2,IF(LEFT(Cockpit!$O$5,1)="B",(CK1607+BF1607)/2,MAX((CK1607+BF1607)/2,H1607))))</f>
        <v>20</v>
      </c>
      <c r="BE1607" s="50" t="n">
        <f aca="false">BD1607*G1607</f>
        <v>43.4</v>
      </c>
      <c r="BF1607" s="50" t="n">
        <f aca="false">ROUNDUP(CK1607+MAX(CL1607,2*(J1607/IF(CG1607&gt;0,CG1607,MAX(0.1,N(Cockpit!$O$6)))-CK1607)),0)</f>
        <v>40</v>
      </c>
      <c r="BG1607" s="51" t="n">
        <f aca="false">IF(BC1607&gt;0,J1607/BC1607,-1)</f>
        <v>0</v>
      </c>
      <c r="BH1607" s="51" t="n">
        <f aca="false">IF(AND(OR(CF1607="L1",CF1607="L23",CF1607="LIFT"),BC1607&gt;0),SUMIFS($BC$7:$BC$1843,$CF$7:$CF$1843,CF1607,$BG$7:$BG$1843,"&gt;"&amp;BG1607)+SUMIFS($BC$7:$BC$1843,$CF$7:$CF$1843,CF1607,$BG$7:$BG$1843,BG1607,$BW$7:$BW$1843,"&lt;="&amp;BW1607),"")</f>
        <v>30922.9921876617</v>
      </c>
      <c r="BI1607" s="58" t="n">
        <f aca="false">IF(BH1607="",0,MAX(0,MIN(1,(IF(CF1607="L1",Parameter!$H$5,IF(CF1607="L23",Parameter!$H$6+Parameter!$H$7,Parameter!$H$5+Parameter!$H$6+Parameter!$H$7))-(BH1607-BC1607))/BC1607)))</f>
        <v>1</v>
      </c>
      <c r="BJ1607" s="48" t="str">
        <f aca="false">IF(AI1607&lt;=0,"",IF(CF1607="Aussen","Aussenlager",IF(CF1607="-","Nicht im Lift",IF(AO1607&gt;=1,"Lift",IF(AO1607&lt;=0,"Aussenlager","teilweise")))))</f>
        <v>Lift</v>
      </c>
      <c r="BK1607" s="48" t="str">
        <f aca="false">IF(AS1607&lt;=0,"",IF(CF1607="Aussen","Aussenlager",IF(CF1607="-","Nicht im Lift",IF(AY1607&gt;=1,"Lift",IF(AY1607&lt;=0,"Aussenlager","teilweise")))))</f>
        <v>Aussenlager</v>
      </c>
      <c r="BL1607" s="48" t="str">
        <f aca="false">IF(BC1607&lt;=0,"",IF(CF1607="Aussen","Aussenlager",IF(CF1607="-","Nicht im Lift",IF(BI1607&gt;=1,"Lift",IF(BI1607&lt;=0,"Aussenlager","teilweise")))))</f>
        <v>Lift</v>
      </c>
      <c r="BM1607" s="48" t="str">
        <f aca="false">IF(A1607="","",IF(BV1607=1,"Neu; ","")&amp;IF(AND(BV1607=0,BQ1607&lt;0),"negativer Bestand (Export "&amp;BQ1607&amp;"); ","")&amp;IF(J1607&lt;=0,"Kein Verbrauch; ","")&amp;IF(CQ1607&gt;0,"Lift "&amp;W1607&amp;" lt. Liftbericht (Fach "&amp;X1607&amp;" Stk); ",IF(CA1607=1,"Gebinde geschätzt ("&amp;T1607&amp;"); ",IF(BZ1607=1,"Lose – Tablare geschätzt; ","")))&amp;IF(H1607&gt;AV1607,"Überbestand "&amp;ROUND(H1607-AV1607,0)&amp;" Stk / CHF "&amp;ROUND((H1607-AV1607)*G1607,0)&amp;"; ","")&amp;IF(AND(CH1607=1,CI1607&lt;CJ1607),"MAX &lt; MB+LG; ","")&amp;IF(AND(CP1607&gt;0,CO1607*10&gt;CP1607),"zu hoch für Tablar; ","")&amp;IF(AND(BV1607=0,OR(CH1607=1,AA1607&lt;&gt;"",U1607&lt;&gt;"",V1607&lt;&gt;"",AB1607&lt;&gt;"")),"manuell übersteuert; ","")&amp;IF(AND(BZ1607=0,R1607=0),"Gebinde unbekannt / Stellmass fehlt; ","")&amp;IF(AND(BZ1607=0,N(V1607)&lt;=0,N(Q1607)&lt;=0),"Menge pro Gebinde fehlt (Ist = 1 Gebinde); ","")&amp;BU1607)</f>
        <v>Kein Verbrauch; Gebinde geschätzt (Klein); Überbestand 49 Stk / CHF 106; Menge pro Gebinde fehlt (Ist = 1 Gebinde); nur im Artikelstamm (Bestand 23.06.2026)</v>
      </c>
      <c r="BN1607" s="48"/>
      <c r="BO1607" s="48"/>
      <c r="BP1607" s="55"/>
      <c r="BQ1607" s="50" t="n">
        <v>89</v>
      </c>
      <c r="BR1607" s="50" t="n">
        <v>0</v>
      </c>
      <c r="BS1607" s="49" t="n">
        <v>0</v>
      </c>
      <c r="BT1607" s="50" t="n">
        <v>0</v>
      </c>
      <c r="BU1607" s="48" t="s">
        <v>2584</v>
      </c>
      <c r="BV1607" s="53" t="n">
        <v>0</v>
      </c>
      <c r="BW1607" s="53" t="n">
        <v>1607</v>
      </c>
      <c r="BX1607" s="48" t="str">
        <f aca="false">IF(U1607&lt;&gt;"",UPPER(TRIM(U1607)),IF(CA1607=1,UPPER(VLOOKUP(T1607,Parameter!$I$27:$K$29,2,0)),IF(P1607="","LOSE",P1607)))</f>
        <v>S51</v>
      </c>
      <c r="BY1607" s="50" t="n">
        <f aca="false">IF(BX1607="LOSE",1,IF(N(V1607)&gt;0,V1607,IF(CA1607=1,MAX(1,N(VLOOKUP(T1607,Parameter!$I$27:$K$29,3,0)),H1607,N(N1607)),IF(N(Q1607)&gt;0,Q1607,MAX(1,H1607)))))</f>
        <v>89</v>
      </c>
      <c r="BZ1607" s="53" t="n">
        <f aca="false">IF(BX1607="LOSE",1,0)</f>
        <v>0</v>
      </c>
      <c r="CA1607" s="53" t="n">
        <f aca="false">IF(AND(U1607="",OR(P1607="",P1607="LOSE"),T1607&lt;&gt;"",N(S1607)&lt;=0,ISNUMBER(MATCH(T1607,Parameter!$I$27:$I$29,0))),1,0)</f>
        <v>1</v>
      </c>
      <c r="CB1607" s="53" t="n">
        <f aca="false">IF(CQ1607&gt;0,INDEX(Parameter!$H$5:$H$7,W1607)/INDEX(Parameter!$E$5:$E$7,W1607),IF(AND(BZ1607=0,N(IFERROR(VLOOKUP(BX1607,'Gebinde-Kategorie'!$A$5:$N$45,14,0),0))&gt;0),VLOOKUP(BX1607,'Gebinde-Kategorie'!$A$5:$N$45,14,0)*10+Parameter!$M$23,Parameter!$M$24))</f>
        <v>155</v>
      </c>
      <c r="CC1607" s="48" t="str">
        <f aca="false">IF(AND(Parameter!$B$19="Ja",E1607&lt;&gt;"",ISNUMBER(MATCH(E1607,Parameter!$I$35:$I$52,0))),VLOOKUP(E1607,Parameter!$I$35:$J$52,2,0),IFERROR(VLOOKUP(D1607,Parameter!$A$35:$C$64,2,0),"Nein"))</f>
        <v>2+3</v>
      </c>
      <c r="CD1607" s="52" t="n">
        <f aca="false">IF(BZ1607=0,0,IF(N(S1607)&gt;0,S1607,IFERROR(VLOOKUP(D1607,Parameter!$A$35:$C$64,3,0)+0,0)))</f>
        <v>0</v>
      </c>
      <c r="CE1607" s="48" t="n">
        <f aca="false">IF(AA1607&lt;&gt;"",AA1607,Z1607)</f>
        <v>3</v>
      </c>
      <c r="CF1607" s="48" t="str">
        <f aca="false">IF(OR(CE1607=1,CE1607=2,CE1607=3),IF(Parameter!$E$27="Ja","LIFT",IF(CE1607=1,"L1","L23")),IF(CE1607="Aussen","Aussen","-"))</f>
        <v>LIFT</v>
      </c>
      <c r="CG1607" s="59" t="n">
        <f aca="false">IF(N(AB1607)&gt;0,AB1607,0)</f>
        <v>0</v>
      </c>
      <c r="CH1607" s="53" t="n">
        <f aca="false">IF(ISNUMBER(AE1607),1,0)</f>
        <v>0</v>
      </c>
      <c r="CI1607" s="50" t="n">
        <f aca="false">N(AE1607)</f>
        <v>0</v>
      </c>
      <c r="CJ1607" s="50" t="n">
        <f aca="false">N(M1607)+N(N1607)</f>
        <v>40</v>
      </c>
      <c r="CK1607" s="50" t="n">
        <f aca="false">N(M1607)</f>
        <v>0</v>
      </c>
      <c r="CL1607" s="50" t="n">
        <f aca="false">N(N1607)</f>
        <v>40</v>
      </c>
      <c r="CM1607" s="50" t="n">
        <f aca="false">ROUNDUP(H1607/BY1607,0)</f>
        <v>1</v>
      </c>
      <c r="CN1607" s="50" t="n">
        <f aca="false">ROUNDUP(CI1607/BY1607,0)</f>
        <v>0</v>
      </c>
      <c r="CO1607" s="53" t="n">
        <f aca="false">IF(BZ1607=1,0,IFERROR(VLOOKUP(BX1607,'Gebinde-Kategorie'!$A$5:$N$45,5,0)+0,0))</f>
        <v>11</v>
      </c>
      <c r="CP1607" s="53" t="n">
        <f aca="false">IFERROR(IF(OR(CE1607=1,CE1607=2,CE1607=3),N(INDEX(Parameter!$I$5:$I$7,CE1607)),0),0)</f>
        <v>0</v>
      </c>
      <c r="CQ1607" s="52" t="n">
        <f aca="false">IF(AND(Parameter!$B$21="Ja",ISNUMBER(W1607),N(X1607)&gt;0),IFERROR(N(INDEX(Parameter!$L$5:$L$7,W1607))*INDEX(Parameter!$E$5:$E$7,W1607)*X1607/SUMIFS($X$7:$X$1843,$W$7:$W$1843,W1607),0),0)</f>
        <v>0</v>
      </c>
    </row>
    <row r="1608" customFormat="false" ht="15" hidden="false" customHeight="false" outlineLevel="0" collapsed="false">
      <c r="A1608" s="48" t="s">
        <v>2812</v>
      </c>
      <c r="B1608" s="48" t="s">
        <v>2813</v>
      </c>
      <c r="C1608" s="48" t="s">
        <v>173</v>
      </c>
      <c r="D1608" s="48" t="s">
        <v>193</v>
      </c>
      <c r="E1608" s="48"/>
      <c r="F1608" s="48"/>
      <c r="G1608" s="49" t="n">
        <v>1.95</v>
      </c>
      <c r="H1608" s="50" t="n">
        <f aca="false">MAX(0,IF(AND(Parameter!$B$21="Ja",ISNUMBER(Y1608)),Y1608,IF(Parameter!$B$20="Jahresanfang 2025 + Export",BR1608+BQ1608,BQ1608)))</f>
        <v>44</v>
      </c>
      <c r="I1608" s="50" t="n">
        <f aca="false">H1608*G1608</f>
        <v>85.8</v>
      </c>
      <c r="J1608" s="50" t="n">
        <f aca="false">BT1608*Parameter!$B$18</f>
        <v>0</v>
      </c>
      <c r="K1608" s="51"/>
      <c r="L1608" s="52"/>
      <c r="M1608" s="50" t="n">
        <v>0</v>
      </c>
      <c r="N1608" s="50" t="n">
        <v>40</v>
      </c>
      <c r="O1608" s="53" t="n">
        <v>28</v>
      </c>
      <c r="P1608" s="48" t="s">
        <v>177</v>
      </c>
      <c r="Q1608" s="50"/>
      <c r="R1608" s="53" t="n">
        <f aca="false">IF(BZ1608=1,0,IFERROR(VLOOKUP(BX1608,'Gebinde-Kategorie'!$A$5:$N$45,13,0)+0,0))</f>
        <v>26</v>
      </c>
      <c r="S1608" s="54"/>
      <c r="T1608" s="55" t="s">
        <v>284</v>
      </c>
      <c r="U1608" s="55"/>
      <c r="V1608" s="55"/>
      <c r="W1608" s="48"/>
      <c r="X1608" s="50"/>
      <c r="Y1608" s="50"/>
      <c r="Z1608" s="48" t="n">
        <f aca="false">IF(A1608="","",IF(AND(Parameter!$B$21="Ja",ISNUMBER(W1608)),W1608,IF(CC1608="2+3",IF(ISNUMBER(SEARCH("grosser Artikel",BU1608)),2,IFERROR(VLOOKUP(BX1608,Parameter!$F$35:$G$64,2,0),2)),IF(OR(CC1608="Nein",CC1608=""),"-",CC1608))))</f>
        <v>3</v>
      </c>
      <c r="AA1608" s="55"/>
      <c r="AB1608" s="56"/>
      <c r="AC1608" s="50" t="n">
        <f aca="false">AV1608</f>
        <v>40</v>
      </c>
      <c r="AD1608" s="50" t="n">
        <f aca="false">MAX(AV1608,H1608)</f>
        <v>44</v>
      </c>
      <c r="AE1608" s="57"/>
      <c r="AF1608" s="50" t="n">
        <f aca="false">IF(LEFT(Cockpit!$C$5,1)="A",H1608,IF(Parameter!$E$30="MAX-Bestand",IF(CH1608=1,CI1608,IF(LEFT(Cockpit!$C$5,1)="B",AL1608,MAX(AL1608,H1608))),ROUNDUP(AJ1608,0)))</f>
        <v>44</v>
      </c>
      <c r="AG1608" s="50" t="n">
        <f aca="false">IF(BZ1608=1,0,ROUNDUP(AF1608/BY1608,0))</f>
        <v>1</v>
      </c>
      <c r="AH1608" s="52" t="n">
        <f aca="false">IF(CQ1608&gt;0,CQ1608*MAX(1,AF1608/X1608),IF(BZ1608=1,IF(AF1608&lt;=0,0,CD1608*MAX(1,IF(H1608&gt;0,AF1608/H1608,1))),IF(R1608&gt;0,AG1608/R1608,0))/MAX(0.1,N(Parameter!$M$21)))</f>
        <v>0.0384615384615385</v>
      </c>
      <c r="AI1608" s="50" t="n">
        <f aca="false">AH1608*CB1608</f>
        <v>5.96153846153846</v>
      </c>
      <c r="AJ1608" s="51" t="n">
        <f aca="false">IF(LEFT(Cockpit!$C$5,1)="A",H1608,IF(CH1608=1,(CK1608+CI1608)/2,IF(LEFT(Cockpit!$C$5,1)="B",(CK1608+AL1608)/2,MAX((CK1608+AL1608)/2,H1608))))</f>
        <v>44</v>
      </c>
      <c r="AK1608" s="50" t="n">
        <f aca="false">AJ1608*G1608</f>
        <v>85.8</v>
      </c>
      <c r="AL1608" s="50" t="n">
        <f aca="false">ROUNDUP(CK1608+MAX(CL1608,2*(J1608/IF(CG1608&gt;0,CG1608,MAX(0.1,N(Cockpit!$C$6)))-CK1608)),0)</f>
        <v>40</v>
      </c>
      <c r="AM1608" s="51" t="n">
        <f aca="false">IF(AI1608&gt;0,J1608/AI1608,-1)</f>
        <v>0</v>
      </c>
      <c r="AN1608" s="51" t="n">
        <f aca="false">IF(AND(OR(CF1608="L1",CF1608="L23",CF1608="LIFT"),AI1608&gt;0),SUMIFS($AI$7:$AI$1843,$CF$7:$CF$1843,CF1608,$AM$7:$AM$1843,"&gt;"&amp;AM1608)+SUMIFS($AI$7:$AI$1843,$CF$7:$CF$1843,CF1608,$AM$7:$AM$1843,AM1608,$BW$7:$BW$1843,"&lt;="&amp;BW1608),"")</f>
        <v>30699.6559337555</v>
      </c>
      <c r="AO1608" s="58" t="n">
        <f aca="false">IF(AN1608="",0,MAX(0,MIN(1,(IF(CF1608="L1",Parameter!$H$5,IF(CF1608="L23",Parameter!$H$6+Parameter!$H$7,Parameter!$H$5+Parameter!$H$6+Parameter!$H$7))-(AN1608-AI1608))/AI1608)))</f>
        <v>1</v>
      </c>
      <c r="AP1608" s="50" t="n">
        <f aca="false">IF(LEFT(Cockpit!$I$5,1)="A",H1608,IF(Parameter!$E$30="MAX-Bestand",IF(CH1608=1,CI1608,IF(LEFT(Cockpit!$I$5,1)="B",AV1608,MAX(AV1608,H1608))),ROUNDUP(AT1608,0)))</f>
        <v>44</v>
      </c>
      <c r="AQ1608" s="50" t="n">
        <f aca="false">IF(BZ1608=1,0,ROUNDUP(AP1608/BY1608,0))</f>
        <v>1</v>
      </c>
      <c r="AR1608" s="52" t="n">
        <f aca="false">IF(CQ1608&gt;0,CQ1608*MAX(1,AP1608/X1608),IF(BZ1608=1,IF(AP1608&lt;=0,0,CD1608*MAX(1,IF(H1608&gt;0,AP1608/H1608,1))),IF(R1608&gt;0,AQ1608/R1608,0))/MAX(0.1,N(Parameter!$M$21)))</f>
        <v>0.0384615384615385</v>
      </c>
      <c r="AS1608" s="50" t="n">
        <f aca="false">AR1608*CB1608</f>
        <v>5.96153846153846</v>
      </c>
      <c r="AT1608" s="51" t="n">
        <f aca="false">IF(LEFT(Cockpit!$I$5,1)="A",H1608,IF(CH1608=1,(CK1608+CI1608)/2,IF(LEFT(Cockpit!$I$5,1)="B",(CK1608+AV1608)/2,MAX((CK1608+AV1608)/2,H1608))))</f>
        <v>44</v>
      </c>
      <c r="AU1608" s="50" t="n">
        <f aca="false">AT1608*G1608</f>
        <v>85.8</v>
      </c>
      <c r="AV1608" s="50" t="n">
        <f aca="false">ROUNDUP(CK1608+MAX(CL1608,2*(J1608/IF(CG1608&gt;0,CG1608,MAX(0.1,N(Cockpit!$I$6)))-CK1608)),0)</f>
        <v>40</v>
      </c>
      <c r="AW1608" s="51" t="n">
        <f aca="false">IF(AS1608&gt;0,J1608/AS1608,-1)</f>
        <v>0</v>
      </c>
      <c r="AX1608" s="51" t="n">
        <f aca="false">IF(AND(OR(CF1608="L1",CF1608="L23",CF1608="LIFT"),AS1608&gt;0),SUMIFS($AS$7:$AS$1843,$CF$7:$CF$1843,CF1608,$AW$7:$AW$1843,"&gt;"&amp;AW1608)+SUMIFS($AS$7:$AS$1843,$CF$7:$CF$1843,CF1608,$AW$7:$AW$1843,AW1608,$BW$7:$BW$1843,"&lt;="&amp;BW1608),"")</f>
        <v>37019.5124505908</v>
      </c>
      <c r="AY1608" s="58" t="n">
        <f aca="false">IF(AX1608="",0,MAX(0,MIN(1,(IF(CF1608="L1",Parameter!$H$5,IF(CF1608="L23",Parameter!$H$6+Parameter!$H$7,Parameter!$H$5+Parameter!$H$6+Parameter!$H$7))-(AX1608-AS1608))/AS1608)))</f>
        <v>0</v>
      </c>
      <c r="AZ1608" s="50" t="n">
        <f aca="false">IF(LEFT(Cockpit!$O$5,1)="A",H1608,IF(Parameter!$E$30="MAX-Bestand",IF(CH1608=1,CI1608,IF(LEFT(Cockpit!$O$5,1)="B",BF1608,MAX(BF1608,H1608))),ROUNDUP(BD1608,0)))</f>
        <v>20</v>
      </c>
      <c r="BA1608" s="50" t="n">
        <f aca="false">IF(BZ1608=1,0,ROUNDUP(AZ1608/BY1608,0))</f>
        <v>1</v>
      </c>
      <c r="BB1608" s="52" t="n">
        <f aca="false">IF(CQ1608&gt;0,CQ1608*MAX(1,AZ1608/X1608),IF(BZ1608=1,IF(AZ1608&lt;=0,0,CD1608*MAX(1,IF(H1608&gt;0,AZ1608/H1608,1))),IF(R1608&gt;0,BA1608/R1608,0))/MAX(0.1,N(Parameter!$M$21)))</f>
        <v>0.0384615384615385</v>
      </c>
      <c r="BC1608" s="50" t="n">
        <f aca="false">BB1608*CB1608</f>
        <v>5.96153846153846</v>
      </c>
      <c r="BD1608" s="51" t="n">
        <f aca="false">IF(LEFT(Cockpit!$O$5,1)="A",H1608,IF(CH1608=1,(CK1608+CI1608)/2,IF(LEFT(Cockpit!$O$5,1)="B",(CK1608+BF1608)/2,MAX((CK1608+BF1608)/2,H1608))))</f>
        <v>20</v>
      </c>
      <c r="BE1608" s="50" t="n">
        <f aca="false">BD1608*G1608</f>
        <v>39</v>
      </c>
      <c r="BF1608" s="50" t="n">
        <f aca="false">ROUNDUP(CK1608+MAX(CL1608,2*(J1608/IF(CG1608&gt;0,CG1608,MAX(0.1,N(Cockpit!$O$6)))-CK1608)),0)</f>
        <v>40</v>
      </c>
      <c r="BG1608" s="51" t="n">
        <f aca="false">IF(BC1608&gt;0,J1608/BC1608,-1)</f>
        <v>0</v>
      </c>
      <c r="BH1608" s="51" t="n">
        <f aca="false">IF(AND(OR(CF1608="L1",CF1608="L23",CF1608="LIFT"),BC1608&gt;0),SUMIFS($BC$7:$BC$1843,$CF$7:$CF$1843,CF1608,$BG$7:$BG$1843,"&gt;"&amp;BG1608)+SUMIFS($BC$7:$BC$1843,$CF$7:$CF$1843,CF1608,$BG$7:$BG$1843,BG1608,$BW$7:$BW$1843,"&lt;="&amp;BW1608),"")</f>
        <v>30928.9537261232</v>
      </c>
      <c r="BI1608" s="58" t="n">
        <f aca="false">IF(BH1608="",0,MAX(0,MIN(1,(IF(CF1608="L1",Parameter!$H$5,IF(CF1608="L23",Parameter!$H$6+Parameter!$H$7,Parameter!$H$5+Parameter!$H$6+Parameter!$H$7))-(BH1608-BC1608))/BC1608)))</f>
        <v>1</v>
      </c>
      <c r="BJ1608" s="48" t="str">
        <f aca="false">IF(AI1608&lt;=0,"",IF(CF1608="Aussen","Aussenlager",IF(CF1608="-","Nicht im Lift",IF(AO1608&gt;=1,"Lift",IF(AO1608&lt;=0,"Aussenlager","teilweise")))))</f>
        <v>Lift</v>
      </c>
      <c r="BK1608" s="48" t="str">
        <f aca="false">IF(AS1608&lt;=0,"",IF(CF1608="Aussen","Aussenlager",IF(CF1608="-","Nicht im Lift",IF(AY1608&gt;=1,"Lift",IF(AY1608&lt;=0,"Aussenlager","teilweise")))))</f>
        <v>Aussenlager</v>
      </c>
      <c r="BL1608" s="48" t="str">
        <f aca="false">IF(BC1608&lt;=0,"",IF(CF1608="Aussen","Aussenlager",IF(CF1608="-","Nicht im Lift",IF(BI1608&gt;=1,"Lift",IF(BI1608&lt;=0,"Aussenlager","teilweise")))))</f>
        <v>Lift</v>
      </c>
      <c r="BM1608" s="48" t="str">
        <f aca="false">IF(A1608="","",IF(BV1608=1,"Neu; ","")&amp;IF(AND(BV1608=0,BQ1608&lt;0),"negativer Bestand (Export "&amp;BQ1608&amp;"); ","")&amp;IF(J1608&lt;=0,"Kein Verbrauch; ","")&amp;IF(CQ1608&gt;0,"Lift "&amp;W1608&amp;" lt. Liftbericht (Fach "&amp;X1608&amp;" Stk); ",IF(CA1608=1,"Gebinde geschätzt ("&amp;T1608&amp;"); ",IF(BZ1608=1,"Lose – Tablare geschätzt; ","")))&amp;IF(H1608&gt;AV1608,"Überbestand "&amp;ROUND(H1608-AV1608,0)&amp;" Stk / CHF "&amp;ROUND((H1608-AV1608)*G1608,0)&amp;"; ","")&amp;IF(AND(CH1608=1,CI1608&lt;CJ1608),"MAX &lt; MB+LG; ","")&amp;IF(AND(CP1608&gt;0,CO1608*10&gt;CP1608),"zu hoch für Tablar; ","")&amp;IF(AND(BV1608=0,OR(CH1608=1,AA1608&lt;&gt;"",U1608&lt;&gt;"",V1608&lt;&gt;"",AB1608&lt;&gt;"")),"manuell übersteuert; ","")&amp;IF(AND(BZ1608=0,R1608=0),"Gebinde unbekannt / Stellmass fehlt; ","")&amp;IF(AND(BZ1608=0,N(V1608)&lt;=0,N(Q1608)&lt;=0),"Menge pro Gebinde fehlt (Ist = 1 Gebinde); ","")&amp;BU1608)</f>
        <v>Kein Verbrauch; Gebinde geschätzt (Klein); Überbestand 4 Stk / CHF 8; Menge pro Gebinde fehlt (Ist = 1 Gebinde); nur im Artikelstamm (Bestand 23.06.2026)</v>
      </c>
      <c r="BN1608" s="48"/>
      <c r="BO1608" s="48"/>
      <c r="BP1608" s="55"/>
      <c r="BQ1608" s="50" t="n">
        <v>44</v>
      </c>
      <c r="BR1608" s="50" t="n">
        <v>0</v>
      </c>
      <c r="BS1608" s="49" t="n">
        <v>0</v>
      </c>
      <c r="BT1608" s="50" t="n">
        <v>0</v>
      </c>
      <c r="BU1608" s="48" t="s">
        <v>2584</v>
      </c>
      <c r="BV1608" s="53" t="n">
        <v>0</v>
      </c>
      <c r="BW1608" s="53" t="n">
        <v>1608</v>
      </c>
      <c r="BX1608" s="48" t="str">
        <f aca="false">IF(U1608&lt;&gt;"",UPPER(TRIM(U1608)),IF(CA1608=1,UPPER(VLOOKUP(T1608,Parameter!$I$27:$K$29,2,0)),IF(P1608="","LOSE",P1608)))</f>
        <v>S51</v>
      </c>
      <c r="BY1608" s="50" t="n">
        <f aca="false">IF(BX1608="LOSE",1,IF(N(V1608)&gt;0,V1608,IF(CA1608=1,MAX(1,N(VLOOKUP(T1608,Parameter!$I$27:$K$29,3,0)),H1608,N(N1608)),IF(N(Q1608)&gt;0,Q1608,MAX(1,H1608)))))</f>
        <v>44</v>
      </c>
      <c r="BZ1608" s="53" t="n">
        <f aca="false">IF(BX1608="LOSE",1,0)</f>
        <v>0</v>
      </c>
      <c r="CA1608" s="53" t="n">
        <f aca="false">IF(AND(U1608="",OR(P1608="",P1608="LOSE"),T1608&lt;&gt;"",N(S1608)&lt;=0,ISNUMBER(MATCH(T1608,Parameter!$I$27:$I$29,0))),1,0)</f>
        <v>1</v>
      </c>
      <c r="CB1608" s="53" t="n">
        <f aca="false">IF(CQ1608&gt;0,INDEX(Parameter!$H$5:$H$7,W1608)/INDEX(Parameter!$E$5:$E$7,W1608),IF(AND(BZ1608=0,N(IFERROR(VLOOKUP(BX1608,'Gebinde-Kategorie'!$A$5:$N$45,14,0),0))&gt;0),VLOOKUP(BX1608,'Gebinde-Kategorie'!$A$5:$N$45,14,0)*10+Parameter!$M$23,Parameter!$M$24))</f>
        <v>155</v>
      </c>
      <c r="CC1608" s="48" t="str">
        <f aca="false">IF(AND(Parameter!$B$19="Ja",E1608&lt;&gt;"",ISNUMBER(MATCH(E1608,Parameter!$I$35:$I$52,0))),VLOOKUP(E1608,Parameter!$I$35:$J$52,2,0),IFERROR(VLOOKUP(D1608,Parameter!$A$35:$C$64,2,0),"Nein"))</f>
        <v>2+3</v>
      </c>
      <c r="CD1608" s="52" t="n">
        <f aca="false">IF(BZ1608=0,0,IF(N(S1608)&gt;0,S1608,IFERROR(VLOOKUP(D1608,Parameter!$A$35:$C$64,3,0)+0,0)))</f>
        <v>0</v>
      </c>
      <c r="CE1608" s="48" t="n">
        <f aca="false">IF(AA1608&lt;&gt;"",AA1608,Z1608)</f>
        <v>3</v>
      </c>
      <c r="CF1608" s="48" t="str">
        <f aca="false">IF(OR(CE1608=1,CE1608=2,CE1608=3),IF(Parameter!$E$27="Ja","LIFT",IF(CE1608=1,"L1","L23")),IF(CE1608="Aussen","Aussen","-"))</f>
        <v>LIFT</v>
      </c>
      <c r="CG1608" s="59" t="n">
        <f aca="false">IF(N(AB1608)&gt;0,AB1608,0)</f>
        <v>0</v>
      </c>
      <c r="CH1608" s="53" t="n">
        <f aca="false">IF(ISNUMBER(AE1608),1,0)</f>
        <v>0</v>
      </c>
      <c r="CI1608" s="50" t="n">
        <f aca="false">N(AE1608)</f>
        <v>0</v>
      </c>
      <c r="CJ1608" s="50" t="n">
        <f aca="false">N(M1608)+N(N1608)</f>
        <v>40</v>
      </c>
      <c r="CK1608" s="50" t="n">
        <f aca="false">N(M1608)</f>
        <v>0</v>
      </c>
      <c r="CL1608" s="50" t="n">
        <f aca="false">N(N1608)</f>
        <v>40</v>
      </c>
      <c r="CM1608" s="50" t="n">
        <f aca="false">ROUNDUP(H1608/BY1608,0)</f>
        <v>1</v>
      </c>
      <c r="CN1608" s="50" t="n">
        <f aca="false">ROUNDUP(CI1608/BY1608,0)</f>
        <v>0</v>
      </c>
      <c r="CO1608" s="53" t="n">
        <f aca="false">IF(BZ1608=1,0,IFERROR(VLOOKUP(BX1608,'Gebinde-Kategorie'!$A$5:$N$45,5,0)+0,0))</f>
        <v>11</v>
      </c>
      <c r="CP1608" s="53" t="n">
        <f aca="false">IFERROR(IF(OR(CE1608=1,CE1608=2,CE1608=3),N(INDEX(Parameter!$I$5:$I$7,CE1608)),0),0)</f>
        <v>0</v>
      </c>
      <c r="CQ1608" s="52" t="n">
        <f aca="false">IF(AND(Parameter!$B$21="Ja",ISNUMBER(W1608),N(X1608)&gt;0),IFERROR(N(INDEX(Parameter!$L$5:$L$7,W1608))*INDEX(Parameter!$E$5:$E$7,W1608)*X1608/SUMIFS($X$7:$X$1843,$W$7:$W$1843,W1608),0),0)</f>
        <v>0</v>
      </c>
    </row>
    <row r="1609" customFormat="false" ht="15" hidden="false" customHeight="false" outlineLevel="0" collapsed="false">
      <c r="A1609" s="48" t="s">
        <v>2814</v>
      </c>
      <c r="B1609" s="48" t="s">
        <v>2813</v>
      </c>
      <c r="C1609" s="48" t="s">
        <v>173</v>
      </c>
      <c r="D1609" s="48" t="s">
        <v>193</v>
      </c>
      <c r="E1609" s="48"/>
      <c r="F1609" s="48"/>
      <c r="G1609" s="49" t="n">
        <v>2.24</v>
      </c>
      <c r="H1609" s="50" t="n">
        <f aca="false">MAX(0,IF(AND(Parameter!$B$21="Ja",ISNUMBER(Y1609)),Y1609,IF(Parameter!$B$20="Jahresanfang 2025 + Export",BR1609+BQ1609,BQ1609)))</f>
        <v>9</v>
      </c>
      <c r="I1609" s="50" t="n">
        <f aca="false">H1609*G1609</f>
        <v>20.16</v>
      </c>
      <c r="J1609" s="50" t="n">
        <f aca="false">BT1609*Parameter!$B$18</f>
        <v>0</v>
      </c>
      <c r="K1609" s="51"/>
      <c r="L1609" s="52"/>
      <c r="M1609" s="50" t="n">
        <v>0</v>
      </c>
      <c r="N1609" s="50" t="n">
        <v>40</v>
      </c>
      <c r="O1609" s="53" t="n">
        <v>28</v>
      </c>
      <c r="P1609" s="48" t="s">
        <v>177</v>
      </c>
      <c r="Q1609" s="50"/>
      <c r="R1609" s="53" t="n">
        <f aca="false">IF(BZ1609=1,0,IFERROR(VLOOKUP(BX1609,'Gebinde-Kategorie'!$A$5:$N$45,13,0)+0,0))</f>
        <v>26</v>
      </c>
      <c r="S1609" s="54"/>
      <c r="T1609" s="55" t="s">
        <v>284</v>
      </c>
      <c r="U1609" s="55"/>
      <c r="V1609" s="55"/>
      <c r="W1609" s="48"/>
      <c r="X1609" s="50"/>
      <c r="Y1609" s="50"/>
      <c r="Z1609" s="48" t="n">
        <f aca="false">IF(A1609="","",IF(AND(Parameter!$B$21="Ja",ISNUMBER(W1609)),W1609,IF(CC1609="2+3",IF(ISNUMBER(SEARCH("grosser Artikel",BU1609)),2,IFERROR(VLOOKUP(BX1609,Parameter!$F$35:$G$64,2,0),2)),IF(OR(CC1609="Nein",CC1609=""),"-",CC1609))))</f>
        <v>3</v>
      </c>
      <c r="AA1609" s="55"/>
      <c r="AB1609" s="56"/>
      <c r="AC1609" s="50" t="n">
        <f aca="false">AV1609</f>
        <v>40</v>
      </c>
      <c r="AD1609" s="50" t="n">
        <f aca="false">MAX(AV1609,H1609)</f>
        <v>40</v>
      </c>
      <c r="AE1609" s="57"/>
      <c r="AF1609" s="50" t="n">
        <f aca="false">IF(LEFT(Cockpit!$C$5,1)="A",H1609,IF(Parameter!$E$30="MAX-Bestand",IF(CH1609=1,CI1609,IF(LEFT(Cockpit!$C$5,1)="B",AL1609,MAX(AL1609,H1609))),ROUNDUP(AJ1609,0)))</f>
        <v>9</v>
      </c>
      <c r="AG1609" s="50" t="n">
        <f aca="false">IF(BZ1609=1,0,ROUNDUP(AF1609/BY1609,0))</f>
        <v>1</v>
      </c>
      <c r="AH1609" s="52" t="n">
        <f aca="false">IF(CQ1609&gt;0,CQ1609*MAX(1,AF1609/X1609),IF(BZ1609=1,IF(AF1609&lt;=0,0,CD1609*MAX(1,IF(H1609&gt;0,AF1609/H1609,1))),IF(R1609&gt;0,AG1609/R1609,0))/MAX(0.1,N(Parameter!$M$21)))</f>
        <v>0.0384615384615385</v>
      </c>
      <c r="AI1609" s="50" t="n">
        <f aca="false">AH1609*CB1609</f>
        <v>5.96153846153846</v>
      </c>
      <c r="AJ1609" s="51" t="n">
        <f aca="false">IF(LEFT(Cockpit!$C$5,1)="A",H1609,IF(CH1609=1,(CK1609+CI1609)/2,IF(LEFT(Cockpit!$C$5,1)="B",(CK1609+AL1609)/2,MAX((CK1609+AL1609)/2,H1609))))</f>
        <v>9</v>
      </c>
      <c r="AK1609" s="50" t="n">
        <f aca="false">AJ1609*G1609</f>
        <v>20.16</v>
      </c>
      <c r="AL1609" s="50" t="n">
        <f aca="false">ROUNDUP(CK1609+MAX(CL1609,2*(J1609/IF(CG1609&gt;0,CG1609,MAX(0.1,N(Cockpit!$C$6)))-CK1609)),0)</f>
        <v>40</v>
      </c>
      <c r="AM1609" s="51" t="n">
        <f aca="false">IF(AI1609&gt;0,J1609/AI1609,-1)</f>
        <v>0</v>
      </c>
      <c r="AN1609" s="51" t="n">
        <f aca="false">IF(AND(OR(CF1609="L1",CF1609="L23",CF1609="LIFT"),AI1609&gt;0),SUMIFS($AI$7:$AI$1843,$CF$7:$CF$1843,CF1609,$AM$7:$AM$1843,"&gt;"&amp;AM1609)+SUMIFS($AI$7:$AI$1843,$CF$7:$CF$1843,CF1609,$AM$7:$AM$1843,AM1609,$BW$7:$BW$1843,"&lt;="&amp;BW1609),"")</f>
        <v>30705.617472217</v>
      </c>
      <c r="AO1609" s="58" t="n">
        <f aca="false">IF(AN1609="",0,MAX(0,MIN(1,(IF(CF1609="L1",Parameter!$H$5,IF(CF1609="L23",Parameter!$H$6+Parameter!$H$7,Parameter!$H$5+Parameter!$H$6+Parameter!$H$7))-(AN1609-AI1609))/AI1609)))</f>
        <v>1</v>
      </c>
      <c r="AP1609" s="50" t="n">
        <f aca="false">IF(LEFT(Cockpit!$I$5,1)="A",H1609,IF(Parameter!$E$30="MAX-Bestand",IF(CH1609=1,CI1609,IF(LEFT(Cockpit!$I$5,1)="B",AV1609,MAX(AV1609,H1609))),ROUNDUP(AT1609,0)))</f>
        <v>20</v>
      </c>
      <c r="AQ1609" s="50" t="n">
        <f aca="false">IF(BZ1609=1,0,ROUNDUP(AP1609/BY1609,0))</f>
        <v>1</v>
      </c>
      <c r="AR1609" s="52" t="n">
        <f aca="false">IF(CQ1609&gt;0,CQ1609*MAX(1,AP1609/X1609),IF(BZ1609=1,IF(AP1609&lt;=0,0,CD1609*MAX(1,IF(H1609&gt;0,AP1609/H1609,1))),IF(R1609&gt;0,AQ1609/R1609,0))/MAX(0.1,N(Parameter!$M$21)))</f>
        <v>0.0384615384615385</v>
      </c>
      <c r="AS1609" s="50" t="n">
        <f aca="false">AR1609*CB1609</f>
        <v>5.96153846153846</v>
      </c>
      <c r="AT1609" s="51" t="n">
        <f aca="false">IF(LEFT(Cockpit!$I$5,1)="A",H1609,IF(CH1609=1,(CK1609+CI1609)/2,IF(LEFT(Cockpit!$I$5,1)="B",(CK1609+AV1609)/2,MAX((CK1609+AV1609)/2,H1609))))</f>
        <v>20</v>
      </c>
      <c r="AU1609" s="50" t="n">
        <f aca="false">AT1609*G1609</f>
        <v>44.8</v>
      </c>
      <c r="AV1609" s="50" t="n">
        <f aca="false">ROUNDUP(CK1609+MAX(CL1609,2*(J1609/IF(CG1609&gt;0,CG1609,MAX(0.1,N(Cockpit!$I$6)))-CK1609)),0)</f>
        <v>40</v>
      </c>
      <c r="AW1609" s="51" t="n">
        <f aca="false">IF(AS1609&gt;0,J1609/AS1609,-1)</f>
        <v>0</v>
      </c>
      <c r="AX1609" s="51" t="n">
        <f aca="false">IF(AND(OR(CF1609="L1",CF1609="L23",CF1609="LIFT"),AS1609&gt;0),SUMIFS($AS$7:$AS$1843,$CF$7:$CF$1843,CF1609,$AW$7:$AW$1843,"&gt;"&amp;AW1609)+SUMIFS($AS$7:$AS$1843,$CF$7:$CF$1843,CF1609,$AW$7:$AW$1843,AW1609,$BW$7:$BW$1843,"&lt;="&amp;BW1609),"")</f>
        <v>37025.4739890524</v>
      </c>
      <c r="AY1609" s="58" t="n">
        <f aca="false">IF(AX1609="",0,MAX(0,MIN(1,(IF(CF1609="L1",Parameter!$H$5,IF(CF1609="L23",Parameter!$H$6+Parameter!$H$7,Parameter!$H$5+Parameter!$H$6+Parameter!$H$7))-(AX1609-AS1609))/AS1609)))</f>
        <v>0</v>
      </c>
      <c r="AZ1609" s="50" t="n">
        <f aca="false">IF(LEFT(Cockpit!$O$5,1)="A",H1609,IF(Parameter!$E$30="MAX-Bestand",IF(CH1609=1,CI1609,IF(LEFT(Cockpit!$O$5,1)="B",BF1609,MAX(BF1609,H1609))),ROUNDUP(BD1609,0)))</f>
        <v>20</v>
      </c>
      <c r="BA1609" s="50" t="n">
        <f aca="false">IF(BZ1609=1,0,ROUNDUP(AZ1609/BY1609,0))</f>
        <v>1</v>
      </c>
      <c r="BB1609" s="52" t="n">
        <f aca="false">IF(CQ1609&gt;0,CQ1609*MAX(1,AZ1609/X1609),IF(BZ1609=1,IF(AZ1609&lt;=0,0,CD1609*MAX(1,IF(H1609&gt;0,AZ1609/H1609,1))),IF(R1609&gt;0,BA1609/R1609,0))/MAX(0.1,N(Parameter!$M$21)))</f>
        <v>0.0384615384615385</v>
      </c>
      <c r="BC1609" s="50" t="n">
        <f aca="false">BB1609*CB1609</f>
        <v>5.96153846153846</v>
      </c>
      <c r="BD1609" s="51" t="n">
        <f aca="false">IF(LEFT(Cockpit!$O$5,1)="A",H1609,IF(CH1609=1,(CK1609+CI1609)/2,IF(LEFT(Cockpit!$O$5,1)="B",(CK1609+BF1609)/2,MAX((CK1609+BF1609)/2,H1609))))</f>
        <v>20</v>
      </c>
      <c r="BE1609" s="50" t="n">
        <f aca="false">BD1609*G1609</f>
        <v>44.8</v>
      </c>
      <c r="BF1609" s="50" t="n">
        <f aca="false">ROUNDUP(CK1609+MAX(CL1609,2*(J1609/IF(CG1609&gt;0,CG1609,MAX(0.1,N(Cockpit!$O$6)))-CK1609)),0)</f>
        <v>40</v>
      </c>
      <c r="BG1609" s="51" t="n">
        <f aca="false">IF(BC1609&gt;0,J1609/BC1609,-1)</f>
        <v>0</v>
      </c>
      <c r="BH1609" s="51" t="n">
        <f aca="false">IF(AND(OR(CF1609="L1",CF1609="L23",CF1609="LIFT"),BC1609&gt;0),SUMIFS($BC$7:$BC$1843,$CF$7:$CF$1843,CF1609,$BG$7:$BG$1843,"&gt;"&amp;BG1609)+SUMIFS($BC$7:$BC$1843,$CF$7:$CF$1843,CF1609,$BG$7:$BG$1843,BG1609,$BW$7:$BW$1843,"&lt;="&amp;BW1609),"")</f>
        <v>30934.9152645848</v>
      </c>
      <c r="BI1609" s="58" t="n">
        <f aca="false">IF(BH1609="",0,MAX(0,MIN(1,(IF(CF1609="L1",Parameter!$H$5,IF(CF1609="L23",Parameter!$H$6+Parameter!$H$7,Parameter!$H$5+Parameter!$H$6+Parameter!$H$7))-(BH1609-BC1609))/BC1609)))</f>
        <v>1</v>
      </c>
      <c r="BJ1609" s="48" t="str">
        <f aca="false">IF(AI1609&lt;=0,"",IF(CF1609="Aussen","Aussenlager",IF(CF1609="-","Nicht im Lift",IF(AO1609&gt;=1,"Lift",IF(AO1609&lt;=0,"Aussenlager","teilweise")))))</f>
        <v>Lift</v>
      </c>
      <c r="BK1609" s="48" t="str">
        <f aca="false">IF(AS1609&lt;=0,"",IF(CF1609="Aussen","Aussenlager",IF(CF1609="-","Nicht im Lift",IF(AY1609&gt;=1,"Lift",IF(AY1609&lt;=0,"Aussenlager","teilweise")))))</f>
        <v>Aussenlager</v>
      </c>
      <c r="BL1609" s="48" t="str">
        <f aca="false">IF(BC1609&lt;=0,"",IF(CF1609="Aussen","Aussenlager",IF(CF1609="-","Nicht im Lift",IF(BI1609&gt;=1,"Lift",IF(BI1609&lt;=0,"Aussenlager","teilweise")))))</f>
        <v>Lift</v>
      </c>
      <c r="BM1609" s="48" t="str">
        <f aca="false">IF(A1609="","",IF(BV1609=1,"Neu; ","")&amp;IF(AND(BV1609=0,BQ1609&lt;0),"negativer Bestand (Export "&amp;BQ1609&amp;"); ","")&amp;IF(J1609&lt;=0,"Kein Verbrauch; ","")&amp;IF(CQ1609&gt;0,"Lift "&amp;W1609&amp;" lt. Liftbericht (Fach "&amp;X1609&amp;" Stk); ",IF(CA1609=1,"Gebinde geschätzt ("&amp;T1609&amp;"); ",IF(BZ1609=1,"Lose – Tablare geschätzt; ","")))&amp;IF(H1609&gt;AV1609,"Überbestand "&amp;ROUND(H1609-AV1609,0)&amp;" Stk / CHF "&amp;ROUND((H1609-AV1609)*G1609,0)&amp;"; ","")&amp;IF(AND(CH1609=1,CI1609&lt;CJ1609),"MAX &lt; MB+LG; ","")&amp;IF(AND(CP1609&gt;0,CO1609*10&gt;CP1609),"zu hoch für Tablar; ","")&amp;IF(AND(BV1609=0,OR(CH1609=1,AA1609&lt;&gt;"",U1609&lt;&gt;"",V1609&lt;&gt;"",AB1609&lt;&gt;"")),"manuell übersteuert; ","")&amp;IF(AND(BZ1609=0,R1609=0),"Gebinde unbekannt / Stellmass fehlt; ","")&amp;IF(AND(BZ1609=0,N(V1609)&lt;=0,N(Q1609)&lt;=0),"Menge pro Gebinde fehlt (Ist = 1 Gebinde); ","")&amp;BU1609)</f>
        <v>Kein Verbrauch; Gebinde geschätzt (Klein); Menge pro Gebinde fehlt (Ist = 1 Gebinde); nur im Artikelstamm (Bestand 23.06.2026)</v>
      </c>
      <c r="BN1609" s="48"/>
      <c r="BO1609" s="48"/>
      <c r="BP1609" s="55"/>
      <c r="BQ1609" s="50" t="n">
        <v>9</v>
      </c>
      <c r="BR1609" s="50" t="n">
        <v>0</v>
      </c>
      <c r="BS1609" s="49" t="n">
        <v>0</v>
      </c>
      <c r="BT1609" s="50" t="n">
        <v>0</v>
      </c>
      <c r="BU1609" s="48" t="s">
        <v>2584</v>
      </c>
      <c r="BV1609" s="53" t="n">
        <v>0</v>
      </c>
      <c r="BW1609" s="53" t="n">
        <v>1609</v>
      </c>
      <c r="BX1609" s="48" t="str">
        <f aca="false">IF(U1609&lt;&gt;"",UPPER(TRIM(U1609)),IF(CA1609=1,UPPER(VLOOKUP(T1609,Parameter!$I$27:$K$29,2,0)),IF(P1609="","LOSE",P1609)))</f>
        <v>S51</v>
      </c>
      <c r="BY1609" s="50" t="n">
        <f aca="false">IF(BX1609="LOSE",1,IF(N(V1609)&gt;0,V1609,IF(CA1609=1,MAX(1,N(VLOOKUP(T1609,Parameter!$I$27:$K$29,3,0)),H1609,N(N1609)),IF(N(Q1609)&gt;0,Q1609,MAX(1,H1609)))))</f>
        <v>40</v>
      </c>
      <c r="BZ1609" s="53" t="n">
        <f aca="false">IF(BX1609="LOSE",1,0)</f>
        <v>0</v>
      </c>
      <c r="CA1609" s="53" t="n">
        <f aca="false">IF(AND(U1609="",OR(P1609="",P1609="LOSE"),T1609&lt;&gt;"",N(S1609)&lt;=0,ISNUMBER(MATCH(T1609,Parameter!$I$27:$I$29,0))),1,0)</f>
        <v>1</v>
      </c>
      <c r="CB1609" s="53" t="n">
        <f aca="false">IF(CQ1609&gt;0,INDEX(Parameter!$H$5:$H$7,W1609)/INDEX(Parameter!$E$5:$E$7,W1609),IF(AND(BZ1609=0,N(IFERROR(VLOOKUP(BX1609,'Gebinde-Kategorie'!$A$5:$N$45,14,0),0))&gt;0),VLOOKUP(BX1609,'Gebinde-Kategorie'!$A$5:$N$45,14,0)*10+Parameter!$M$23,Parameter!$M$24))</f>
        <v>155</v>
      </c>
      <c r="CC1609" s="48" t="str">
        <f aca="false">IF(AND(Parameter!$B$19="Ja",E1609&lt;&gt;"",ISNUMBER(MATCH(E1609,Parameter!$I$35:$I$52,0))),VLOOKUP(E1609,Parameter!$I$35:$J$52,2,0),IFERROR(VLOOKUP(D1609,Parameter!$A$35:$C$64,2,0),"Nein"))</f>
        <v>2+3</v>
      </c>
      <c r="CD1609" s="52" t="n">
        <f aca="false">IF(BZ1609=0,0,IF(N(S1609)&gt;0,S1609,IFERROR(VLOOKUP(D1609,Parameter!$A$35:$C$64,3,0)+0,0)))</f>
        <v>0</v>
      </c>
      <c r="CE1609" s="48" t="n">
        <f aca="false">IF(AA1609&lt;&gt;"",AA1609,Z1609)</f>
        <v>3</v>
      </c>
      <c r="CF1609" s="48" t="str">
        <f aca="false">IF(OR(CE1609=1,CE1609=2,CE1609=3),IF(Parameter!$E$27="Ja","LIFT",IF(CE1609=1,"L1","L23")),IF(CE1609="Aussen","Aussen","-"))</f>
        <v>LIFT</v>
      </c>
      <c r="CG1609" s="59" t="n">
        <f aca="false">IF(N(AB1609)&gt;0,AB1609,0)</f>
        <v>0</v>
      </c>
      <c r="CH1609" s="53" t="n">
        <f aca="false">IF(ISNUMBER(AE1609),1,0)</f>
        <v>0</v>
      </c>
      <c r="CI1609" s="50" t="n">
        <f aca="false">N(AE1609)</f>
        <v>0</v>
      </c>
      <c r="CJ1609" s="50" t="n">
        <f aca="false">N(M1609)+N(N1609)</f>
        <v>40</v>
      </c>
      <c r="CK1609" s="50" t="n">
        <f aca="false">N(M1609)</f>
        <v>0</v>
      </c>
      <c r="CL1609" s="50" t="n">
        <f aca="false">N(N1609)</f>
        <v>40</v>
      </c>
      <c r="CM1609" s="50" t="n">
        <f aca="false">ROUNDUP(H1609/BY1609,0)</f>
        <v>1</v>
      </c>
      <c r="CN1609" s="50" t="n">
        <f aca="false">ROUNDUP(CI1609/BY1609,0)</f>
        <v>0</v>
      </c>
      <c r="CO1609" s="53" t="n">
        <f aca="false">IF(BZ1609=1,0,IFERROR(VLOOKUP(BX1609,'Gebinde-Kategorie'!$A$5:$N$45,5,0)+0,0))</f>
        <v>11</v>
      </c>
      <c r="CP1609" s="53" t="n">
        <f aca="false">IFERROR(IF(OR(CE1609=1,CE1609=2,CE1609=3),N(INDEX(Parameter!$I$5:$I$7,CE1609)),0),0)</f>
        <v>0</v>
      </c>
      <c r="CQ1609" s="52" t="n">
        <f aca="false">IF(AND(Parameter!$B$21="Ja",ISNUMBER(W1609),N(X1609)&gt;0),IFERROR(N(INDEX(Parameter!$L$5:$L$7,W1609))*INDEX(Parameter!$E$5:$E$7,W1609)*X1609/SUMIFS($X$7:$X$1843,$W$7:$W$1843,W1609),0),0)</f>
        <v>0</v>
      </c>
    </row>
    <row r="1610" customFormat="false" ht="15" hidden="false" customHeight="false" outlineLevel="0" collapsed="false">
      <c r="A1610" s="48" t="s">
        <v>2815</v>
      </c>
      <c r="B1610" s="48" t="s">
        <v>1450</v>
      </c>
      <c r="C1610" s="48" t="s">
        <v>173</v>
      </c>
      <c r="D1610" s="48" t="s">
        <v>182</v>
      </c>
      <c r="E1610" s="48"/>
      <c r="F1610" s="48"/>
      <c r="G1610" s="49" t="n">
        <v>603.2</v>
      </c>
      <c r="H1610" s="50" t="n">
        <f aca="false">MAX(0,IF(AND(Parameter!$B$21="Ja",ISNUMBER(Y1610)),Y1610,IF(Parameter!$B$20="Jahresanfang 2025 + Export",BR1610+BQ1610,BQ1610)))</f>
        <v>2</v>
      </c>
      <c r="I1610" s="50" t="n">
        <f aca="false">H1610*G1610</f>
        <v>1206.4</v>
      </c>
      <c r="J1610" s="50" t="n">
        <f aca="false">BT1610*Parameter!$B$18</f>
        <v>0</v>
      </c>
      <c r="K1610" s="51"/>
      <c r="L1610" s="52"/>
      <c r="M1610" s="50" t="n">
        <v>0</v>
      </c>
      <c r="N1610" s="50" t="n">
        <v>1</v>
      </c>
      <c r="O1610" s="53" t="n">
        <v>28</v>
      </c>
      <c r="P1610" s="48" t="s">
        <v>177</v>
      </c>
      <c r="Q1610" s="50"/>
      <c r="R1610" s="53" t="n">
        <f aca="false">IF(BZ1610=1,0,IFERROR(VLOOKUP(BX1610,'Gebinde-Kategorie'!$A$5:$N$45,13,0)+0,0))</f>
        <v>12</v>
      </c>
      <c r="S1610" s="54"/>
      <c r="T1610" s="55" t="s">
        <v>188</v>
      </c>
      <c r="U1610" s="55"/>
      <c r="V1610" s="55"/>
      <c r="W1610" s="48"/>
      <c r="X1610" s="50"/>
      <c r="Y1610" s="50"/>
      <c r="Z1610" s="48" t="n">
        <f aca="false">IF(A1610="","",IF(AND(Parameter!$B$21="Ja",ISNUMBER(W1610)),W1610,IF(CC1610="2+3",IF(ISNUMBER(SEARCH("grosser Artikel",BU1610)),2,IFERROR(VLOOKUP(BX1610,Parameter!$F$35:$G$64,2,0),2)),IF(OR(CC1610="Nein",CC1610=""),"-",CC1610))))</f>
        <v>2</v>
      </c>
      <c r="AA1610" s="55"/>
      <c r="AB1610" s="56"/>
      <c r="AC1610" s="50" t="n">
        <f aca="false">AV1610</f>
        <v>1</v>
      </c>
      <c r="AD1610" s="50" t="n">
        <f aca="false">MAX(AV1610,H1610)</f>
        <v>2</v>
      </c>
      <c r="AE1610" s="57"/>
      <c r="AF1610" s="50" t="n">
        <f aca="false">IF(LEFT(Cockpit!$C$5,1)="A",H1610,IF(Parameter!$E$30="MAX-Bestand",IF(CH1610=1,CI1610,IF(LEFT(Cockpit!$C$5,1)="B",AL1610,MAX(AL1610,H1610))),ROUNDUP(AJ1610,0)))</f>
        <v>2</v>
      </c>
      <c r="AG1610" s="50" t="n">
        <f aca="false">IF(BZ1610=1,0,ROUNDUP(AF1610/BY1610,0))</f>
        <v>1</v>
      </c>
      <c r="AH1610" s="52" t="n">
        <f aca="false">IF(CQ1610&gt;0,CQ1610*MAX(1,AF1610/X1610),IF(BZ1610=1,IF(AF1610&lt;=0,0,CD1610*MAX(1,IF(H1610&gt;0,AF1610/H1610,1))),IF(R1610&gt;0,AG1610/R1610,0))/MAX(0.1,N(Parameter!$M$21)))</f>
        <v>0.0833333333333333</v>
      </c>
      <c r="AI1610" s="50" t="n">
        <f aca="false">AH1610*CB1610</f>
        <v>12.0833333333333</v>
      </c>
      <c r="AJ1610" s="51" t="n">
        <f aca="false">IF(LEFT(Cockpit!$C$5,1)="A",H1610,IF(CH1610=1,(CK1610+CI1610)/2,IF(LEFT(Cockpit!$C$5,1)="B",(CK1610+AL1610)/2,MAX((CK1610+AL1610)/2,H1610))))</f>
        <v>2</v>
      </c>
      <c r="AK1610" s="50" t="n">
        <f aca="false">AJ1610*G1610</f>
        <v>1206.4</v>
      </c>
      <c r="AL1610" s="50" t="n">
        <f aca="false">ROUNDUP(CK1610+MAX(CL1610,2*(J1610/IF(CG1610&gt;0,CG1610,MAX(0.1,N(Cockpit!$C$6)))-CK1610)),0)</f>
        <v>1</v>
      </c>
      <c r="AM1610" s="51" t="n">
        <f aca="false">IF(AI1610&gt;0,J1610/AI1610,-1)</f>
        <v>0</v>
      </c>
      <c r="AN1610" s="51" t="n">
        <f aca="false">IF(AND(OR(CF1610="L1",CF1610="L23",CF1610="LIFT"),AI1610&gt;0),SUMIFS($AI$7:$AI$1843,$CF$7:$CF$1843,CF1610,$AM$7:$AM$1843,"&gt;"&amp;AM1610)+SUMIFS($AI$7:$AI$1843,$CF$7:$CF$1843,CF1610,$AM$7:$AM$1843,AM1610,$BW$7:$BW$1843,"&lt;="&amp;BW1610),"")</f>
        <v>30717.7008055504</v>
      </c>
      <c r="AO1610" s="58" t="n">
        <f aca="false">IF(AN1610="",0,MAX(0,MIN(1,(IF(CF1610="L1",Parameter!$H$5,IF(CF1610="L23",Parameter!$H$6+Parameter!$H$7,Parameter!$H$5+Parameter!$H$6+Parameter!$H$7))-(AN1610-AI1610))/AI1610)))</f>
        <v>1</v>
      </c>
      <c r="AP1610" s="50" t="n">
        <f aca="false">IF(LEFT(Cockpit!$I$5,1)="A",H1610,IF(Parameter!$E$30="MAX-Bestand",IF(CH1610=1,CI1610,IF(LEFT(Cockpit!$I$5,1)="B",AV1610,MAX(AV1610,H1610))),ROUNDUP(AT1610,0)))</f>
        <v>2</v>
      </c>
      <c r="AQ1610" s="50" t="n">
        <f aca="false">IF(BZ1610=1,0,ROUNDUP(AP1610/BY1610,0))</f>
        <v>1</v>
      </c>
      <c r="AR1610" s="52" t="n">
        <f aca="false">IF(CQ1610&gt;0,CQ1610*MAX(1,AP1610/X1610),IF(BZ1610=1,IF(AP1610&lt;=0,0,CD1610*MAX(1,IF(H1610&gt;0,AP1610/H1610,1))),IF(R1610&gt;0,AQ1610/R1610,0))/MAX(0.1,N(Parameter!$M$21)))</f>
        <v>0.0833333333333333</v>
      </c>
      <c r="AS1610" s="50" t="n">
        <f aca="false">AR1610*CB1610</f>
        <v>12.0833333333333</v>
      </c>
      <c r="AT1610" s="51" t="n">
        <f aca="false">IF(LEFT(Cockpit!$I$5,1)="A",H1610,IF(CH1610=1,(CK1610+CI1610)/2,IF(LEFT(Cockpit!$I$5,1)="B",(CK1610+AV1610)/2,MAX((CK1610+AV1610)/2,H1610))))</f>
        <v>2</v>
      </c>
      <c r="AU1610" s="50" t="n">
        <f aca="false">AT1610*G1610</f>
        <v>1206.4</v>
      </c>
      <c r="AV1610" s="50" t="n">
        <f aca="false">ROUNDUP(CK1610+MAX(CL1610,2*(J1610/IF(CG1610&gt;0,CG1610,MAX(0.1,N(Cockpit!$I$6)))-CK1610)),0)</f>
        <v>1</v>
      </c>
      <c r="AW1610" s="51" t="n">
        <f aca="false">IF(AS1610&gt;0,J1610/AS1610,-1)</f>
        <v>0</v>
      </c>
      <c r="AX1610" s="51" t="n">
        <f aca="false">IF(AND(OR(CF1610="L1",CF1610="L23",CF1610="LIFT"),AS1610&gt;0),SUMIFS($AS$7:$AS$1843,$CF$7:$CF$1843,CF1610,$AW$7:$AW$1843,"&gt;"&amp;AW1610)+SUMIFS($AS$7:$AS$1843,$CF$7:$CF$1843,CF1610,$AW$7:$AW$1843,AW1610,$BW$7:$BW$1843,"&lt;="&amp;BW1610),"")</f>
        <v>37037.5573223857</v>
      </c>
      <c r="AY1610" s="58" t="n">
        <f aca="false">IF(AX1610="",0,MAX(0,MIN(1,(IF(CF1610="L1",Parameter!$H$5,IF(CF1610="L23",Parameter!$H$6+Parameter!$H$7,Parameter!$H$5+Parameter!$H$6+Parameter!$H$7))-(AX1610-AS1610))/AS1610)))</f>
        <v>0</v>
      </c>
      <c r="AZ1610" s="50" t="n">
        <f aca="false">IF(LEFT(Cockpit!$O$5,1)="A",H1610,IF(Parameter!$E$30="MAX-Bestand",IF(CH1610=1,CI1610,IF(LEFT(Cockpit!$O$5,1)="B",BF1610,MAX(BF1610,H1610))),ROUNDUP(BD1610,0)))</f>
        <v>1</v>
      </c>
      <c r="BA1610" s="50" t="n">
        <f aca="false">IF(BZ1610=1,0,ROUNDUP(AZ1610/BY1610,0))</f>
        <v>1</v>
      </c>
      <c r="BB1610" s="52" t="n">
        <f aca="false">IF(CQ1610&gt;0,CQ1610*MAX(1,AZ1610/X1610),IF(BZ1610=1,IF(AZ1610&lt;=0,0,CD1610*MAX(1,IF(H1610&gt;0,AZ1610/H1610,1))),IF(R1610&gt;0,BA1610/R1610,0))/MAX(0.1,N(Parameter!$M$21)))</f>
        <v>0.0833333333333333</v>
      </c>
      <c r="BC1610" s="50" t="n">
        <f aca="false">BB1610*CB1610</f>
        <v>12.0833333333333</v>
      </c>
      <c r="BD1610" s="51" t="n">
        <f aca="false">IF(LEFT(Cockpit!$O$5,1)="A",H1610,IF(CH1610=1,(CK1610+CI1610)/2,IF(LEFT(Cockpit!$O$5,1)="B",(CK1610+BF1610)/2,MAX((CK1610+BF1610)/2,H1610))))</f>
        <v>0.5</v>
      </c>
      <c r="BE1610" s="50" t="n">
        <f aca="false">BD1610*G1610</f>
        <v>301.6</v>
      </c>
      <c r="BF1610" s="50" t="n">
        <f aca="false">ROUNDUP(CK1610+MAX(CL1610,2*(J1610/IF(CG1610&gt;0,CG1610,MAX(0.1,N(Cockpit!$O$6)))-CK1610)),0)</f>
        <v>1</v>
      </c>
      <c r="BG1610" s="51" t="n">
        <f aca="false">IF(BC1610&gt;0,J1610/BC1610,-1)</f>
        <v>0</v>
      </c>
      <c r="BH1610" s="51" t="n">
        <f aca="false">IF(AND(OR(CF1610="L1",CF1610="L23",CF1610="LIFT"),BC1610&gt;0),SUMIFS($BC$7:$BC$1843,$CF$7:$CF$1843,CF1610,$BG$7:$BG$1843,"&gt;"&amp;BG1610)+SUMIFS($BC$7:$BC$1843,$CF$7:$CF$1843,CF1610,$BG$7:$BG$1843,BG1610,$BW$7:$BW$1843,"&lt;="&amp;BW1610),"")</f>
        <v>30946.9985979181</v>
      </c>
      <c r="BI1610" s="58" t="n">
        <f aca="false">IF(BH1610="",0,MAX(0,MIN(1,(IF(CF1610="L1",Parameter!$H$5,IF(CF1610="L23",Parameter!$H$6+Parameter!$H$7,Parameter!$H$5+Parameter!$H$6+Parameter!$H$7))-(BH1610-BC1610))/BC1610)))</f>
        <v>1</v>
      </c>
      <c r="BJ1610" s="48" t="str">
        <f aca="false">IF(AI1610&lt;=0,"",IF(CF1610="Aussen","Aussenlager",IF(CF1610="-","Nicht im Lift",IF(AO1610&gt;=1,"Lift",IF(AO1610&lt;=0,"Aussenlager","teilweise")))))</f>
        <v>Lift</v>
      </c>
      <c r="BK1610" s="48" t="str">
        <f aca="false">IF(AS1610&lt;=0,"",IF(CF1610="Aussen","Aussenlager",IF(CF1610="-","Nicht im Lift",IF(AY1610&gt;=1,"Lift",IF(AY1610&lt;=0,"Aussenlager","teilweise")))))</f>
        <v>Aussenlager</v>
      </c>
      <c r="BL1610" s="48" t="str">
        <f aca="false">IF(BC1610&lt;=0,"",IF(CF1610="Aussen","Aussenlager",IF(CF1610="-","Nicht im Lift",IF(BI1610&gt;=1,"Lift",IF(BI1610&lt;=0,"Aussenlager","teilweise")))))</f>
        <v>Lift</v>
      </c>
      <c r="BM1610" s="48" t="str">
        <f aca="false">IF(A1610="","",IF(BV1610=1,"Neu; ","")&amp;IF(AND(BV1610=0,BQ1610&lt;0),"negativer Bestand (Export "&amp;BQ1610&amp;"); ","")&amp;IF(J1610&lt;=0,"Kein Verbrauch; ","")&amp;IF(CQ1610&gt;0,"Lift "&amp;W1610&amp;" lt. Liftbericht (Fach "&amp;X1610&amp;" Stk); ",IF(CA1610=1,"Gebinde geschätzt ("&amp;T1610&amp;"); ",IF(BZ1610=1,"Lose – Tablare geschätzt; ","")))&amp;IF(H1610&gt;AV1610,"Überbestand "&amp;ROUND(H1610-AV1610,0)&amp;" Stk / CHF "&amp;ROUND((H1610-AV1610)*G1610,0)&amp;"; ","")&amp;IF(AND(CH1610=1,CI1610&lt;CJ1610),"MAX &lt; MB+LG; ","")&amp;IF(AND(CP1610&gt;0,CO1610*10&gt;CP1610),"zu hoch für Tablar; ","")&amp;IF(AND(BV1610=0,OR(CH1610=1,AA1610&lt;&gt;"",U1610&lt;&gt;"",V1610&lt;&gt;"",AB1610&lt;&gt;"")),"manuell übersteuert; ","")&amp;IF(AND(BZ1610=0,R1610=0),"Gebinde unbekannt / Stellmass fehlt; ","")&amp;IF(AND(BZ1610=0,N(V1610)&lt;=0,N(Q1610)&lt;=0),"Menge pro Gebinde fehlt (Ist = 1 Gebinde); ","")&amp;BU1610)</f>
        <v>Kein Verbrauch; Gebinde geschätzt (Mittel); Überbestand 1 Stk / CHF 603; Menge pro Gebinde fehlt (Ist = 1 Gebinde); nur im Artikelstamm (Bestand 23.06.2026)</v>
      </c>
      <c r="BN1610" s="48"/>
      <c r="BO1610" s="48"/>
      <c r="BP1610" s="55"/>
      <c r="BQ1610" s="50" t="n">
        <v>2</v>
      </c>
      <c r="BR1610" s="50" t="n">
        <v>0</v>
      </c>
      <c r="BS1610" s="49" t="n">
        <v>0</v>
      </c>
      <c r="BT1610" s="50" t="n">
        <v>0</v>
      </c>
      <c r="BU1610" s="48" t="s">
        <v>2584</v>
      </c>
      <c r="BV1610" s="53" t="n">
        <v>0</v>
      </c>
      <c r="BW1610" s="53" t="n">
        <v>1610</v>
      </c>
      <c r="BX1610" s="48" t="str">
        <f aca="false">IF(U1610&lt;&gt;"",UPPER(TRIM(U1610)),IF(CA1610=1,UPPER(VLOOKUP(T1610,Parameter!$I$27:$K$29,2,0)),IF(P1610="","LOSE",P1610)))</f>
        <v>S61</v>
      </c>
      <c r="BY1610" s="50" t="n">
        <f aca="false">IF(BX1610="LOSE",1,IF(N(V1610)&gt;0,V1610,IF(CA1610=1,MAX(1,N(VLOOKUP(T1610,Parameter!$I$27:$K$29,3,0)),H1610,N(N1610)),IF(N(Q1610)&gt;0,Q1610,MAX(1,H1610)))))</f>
        <v>4</v>
      </c>
      <c r="BZ1610" s="53" t="n">
        <f aca="false">IF(BX1610="LOSE",1,0)</f>
        <v>0</v>
      </c>
      <c r="CA1610" s="53" t="n">
        <f aca="false">IF(AND(U1610="",OR(P1610="",P1610="LOSE"),T1610&lt;&gt;"",N(S1610)&lt;=0,ISNUMBER(MATCH(T1610,Parameter!$I$27:$I$29,0))),1,0)</f>
        <v>1</v>
      </c>
      <c r="CB1610" s="53" t="n">
        <f aca="false">IF(CQ1610&gt;0,INDEX(Parameter!$H$5:$H$7,W1610)/INDEX(Parameter!$E$5:$E$7,W1610),IF(AND(BZ1610=0,N(IFERROR(VLOOKUP(BX1610,'Gebinde-Kategorie'!$A$5:$N$45,14,0),0))&gt;0),VLOOKUP(BX1610,'Gebinde-Kategorie'!$A$5:$N$45,14,0)*10+Parameter!$M$23,Parameter!$M$24))</f>
        <v>145</v>
      </c>
      <c r="CC1610" s="48" t="str">
        <f aca="false">IF(AND(Parameter!$B$19="Ja",E1610&lt;&gt;"",ISNUMBER(MATCH(E1610,Parameter!$I$35:$I$52,0))),VLOOKUP(E1610,Parameter!$I$35:$J$52,2,0),IFERROR(VLOOKUP(D1610,Parameter!$A$35:$C$64,2,0),"Nein"))</f>
        <v>2+3</v>
      </c>
      <c r="CD1610" s="52" t="n">
        <f aca="false">IF(BZ1610=0,0,IF(N(S1610)&gt;0,S1610,IFERROR(VLOOKUP(D1610,Parameter!$A$35:$C$64,3,0)+0,0)))</f>
        <v>0</v>
      </c>
      <c r="CE1610" s="48" t="n">
        <f aca="false">IF(AA1610&lt;&gt;"",AA1610,Z1610)</f>
        <v>2</v>
      </c>
      <c r="CF1610" s="48" t="str">
        <f aca="false">IF(OR(CE1610=1,CE1610=2,CE1610=3),IF(Parameter!$E$27="Ja","LIFT",IF(CE1610=1,"L1","L23")),IF(CE1610="Aussen","Aussen","-"))</f>
        <v>LIFT</v>
      </c>
      <c r="CG1610" s="59" t="n">
        <f aca="false">IF(N(AB1610)&gt;0,AB1610,0)</f>
        <v>0</v>
      </c>
      <c r="CH1610" s="53" t="n">
        <f aca="false">IF(ISNUMBER(AE1610),1,0)</f>
        <v>0</v>
      </c>
      <c r="CI1610" s="50" t="n">
        <f aca="false">N(AE1610)</f>
        <v>0</v>
      </c>
      <c r="CJ1610" s="50" t="n">
        <f aca="false">N(M1610)+N(N1610)</f>
        <v>1</v>
      </c>
      <c r="CK1610" s="50" t="n">
        <f aca="false">N(M1610)</f>
        <v>0</v>
      </c>
      <c r="CL1610" s="50" t="n">
        <f aca="false">N(N1610)</f>
        <v>1</v>
      </c>
      <c r="CM1610" s="50" t="n">
        <f aca="false">ROUNDUP(H1610/BY1610,0)</f>
        <v>1</v>
      </c>
      <c r="CN1610" s="50" t="n">
        <f aca="false">ROUNDUP(CI1610/BY1610,0)</f>
        <v>0</v>
      </c>
      <c r="CO1610" s="53" t="n">
        <f aca="false">IF(BZ1610=1,0,IFERROR(VLOOKUP(BX1610,'Gebinde-Kategorie'!$A$5:$N$45,5,0)+0,0))</f>
        <v>11</v>
      </c>
      <c r="CP1610" s="53" t="n">
        <f aca="false">IFERROR(IF(OR(CE1610=1,CE1610=2,CE1610=3),N(INDEX(Parameter!$I$5:$I$7,CE1610)),0),0)</f>
        <v>0</v>
      </c>
      <c r="CQ1610" s="52" t="n">
        <f aca="false">IF(AND(Parameter!$B$21="Ja",ISNUMBER(W1610),N(X1610)&gt;0),IFERROR(N(INDEX(Parameter!$L$5:$L$7,W1610))*INDEX(Parameter!$E$5:$E$7,W1610)*X1610/SUMIFS($X$7:$X$1843,$W$7:$W$1843,W1610),0),0)</f>
        <v>0</v>
      </c>
    </row>
    <row r="1611" customFormat="false" ht="15" hidden="false" customHeight="false" outlineLevel="0" collapsed="false">
      <c r="A1611" s="48" t="s">
        <v>2816</v>
      </c>
      <c r="B1611" s="48" t="s">
        <v>707</v>
      </c>
      <c r="C1611" s="48" t="s">
        <v>173</v>
      </c>
      <c r="D1611" s="48" t="s">
        <v>182</v>
      </c>
      <c r="E1611" s="48"/>
      <c r="F1611" s="48"/>
      <c r="G1611" s="49" t="n">
        <v>649</v>
      </c>
      <c r="H1611" s="50" t="n">
        <f aca="false">MAX(0,IF(AND(Parameter!$B$21="Ja",ISNUMBER(Y1611)),Y1611,IF(Parameter!$B$20="Jahresanfang 2025 + Export",BR1611+BQ1611,BQ1611)))</f>
        <v>2</v>
      </c>
      <c r="I1611" s="50" t="n">
        <f aca="false">H1611*G1611</f>
        <v>1298</v>
      </c>
      <c r="J1611" s="50" t="n">
        <f aca="false">BT1611*Parameter!$B$18</f>
        <v>0</v>
      </c>
      <c r="K1611" s="51"/>
      <c r="L1611" s="52"/>
      <c r="M1611" s="50" t="n">
        <v>0</v>
      </c>
      <c r="N1611" s="50" t="n">
        <v>1</v>
      </c>
      <c r="O1611" s="53" t="n">
        <v>28</v>
      </c>
      <c r="P1611" s="48" t="s">
        <v>177</v>
      </c>
      <c r="Q1611" s="50"/>
      <c r="R1611" s="53" t="n">
        <f aca="false">IF(BZ1611=1,0,IFERROR(VLOOKUP(BX1611,'Gebinde-Kategorie'!$A$5:$N$45,13,0)+0,0))</f>
        <v>12</v>
      </c>
      <c r="S1611" s="54"/>
      <c r="T1611" s="55" t="s">
        <v>188</v>
      </c>
      <c r="U1611" s="55"/>
      <c r="V1611" s="55"/>
      <c r="W1611" s="48"/>
      <c r="X1611" s="50"/>
      <c r="Y1611" s="50"/>
      <c r="Z1611" s="48" t="n">
        <f aca="false">IF(A1611="","",IF(AND(Parameter!$B$21="Ja",ISNUMBER(W1611)),W1611,IF(CC1611="2+3",IF(ISNUMBER(SEARCH("grosser Artikel",BU1611)),2,IFERROR(VLOOKUP(BX1611,Parameter!$F$35:$G$64,2,0),2)),IF(OR(CC1611="Nein",CC1611=""),"-",CC1611))))</f>
        <v>2</v>
      </c>
      <c r="AA1611" s="55"/>
      <c r="AB1611" s="56"/>
      <c r="AC1611" s="50" t="n">
        <f aca="false">AV1611</f>
        <v>1</v>
      </c>
      <c r="AD1611" s="50" t="n">
        <f aca="false">MAX(AV1611,H1611)</f>
        <v>2</v>
      </c>
      <c r="AE1611" s="57"/>
      <c r="AF1611" s="50" t="n">
        <f aca="false">IF(LEFT(Cockpit!$C$5,1)="A",H1611,IF(Parameter!$E$30="MAX-Bestand",IF(CH1611=1,CI1611,IF(LEFT(Cockpit!$C$5,1)="B",AL1611,MAX(AL1611,H1611))),ROUNDUP(AJ1611,0)))</f>
        <v>2</v>
      </c>
      <c r="AG1611" s="50" t="n">
        <f aca="false">IF(BZ1611=1,0,ROUNDUP(AF1611/BY1611,0))</f>
        <v>1</v>
      </c>
      <c r="AH1611" s="52" t="n">
        <f aca="false">IF(CQ1611&gt;0,CQ1611*MAX(1,AF1611/X1611),IF(BZ1611=1,IF(AF1611&lt;=0,0,CD1611*MAX(1,IF(H1611&gt;0,AF1611/H1611,1))),IF(R1611&gt;0,AG1611/R1611,0))/MAX(0.1,N(Parameter!$M$21)))</f>
        <v>0.0833333333333333</v>
      </c>
      <c r="AI1611" s="50" t="n">
        <f aca="false">AH1611*CB1611</f>
        <v>12.0833333333333</v>
      </c>
      <c r="AJ1611" s="51" t="n">
        <f aca="false">IF(LEFT(Cockpit!$C$5,1)="A",H1611,IF(CH1611=1,(CK1611+CI1611)/2,IF(LEFT(Cockpit!$C$5,1)="B",(CK1611+AL1611)/2,MAX((CK1611+AL1611)/2,H1611))))</f>
        <v>2</v>
      </c>
      <c r="AK1611" s="50" t="n">
        <f aca="false">AJ1611*G1611</f>
        <v>1298</v>
      </c>
      <c r="AL1611" s="50" t="n">
        <f aca="false">ROUNDUP(CK1611+MAX(CL1611,2*(J1611/IF(CG1611&gt;0,CG1611,MAX(0.1,N(Cockpit!$C$6)))-CK1611)),0)</f>
        <v>1</v>
      </c>
      <c r="AM1611" s="51" t="n">
        <f aca="false">IF(AI1611&gt;0,J1611/AI1611,-1)</f>
        <v>0</v>
      </c>
      <c r="AN1611" s="51" t="n">
        <f aca="false">IF(AND(OR(CF1611="L1",CF1611="L23",CF1611="LIFT"),AI1611&gt;0),SUMIFS($AI$7:$AI$1843,$CF$7:$CF$1843,CF1611,$AM$7:$AM$1843,"&gt;"&amp;AM1611)+SUMIFS($AI$7:$AI$1843,$CF$7:$CF$1843,CF1611,$AM$7:$AM$1843,AM1611,$BW$7:$BW$1843,"&lt;="&amp;BW1611),"")</f>
        <v>30729.7841388837</v>
      </c>
      <c r="AO1611" s="58" t="n">
        <f aca="false">IF(AN1611="",0,MAX(0,MIN(1,(IF(CF1611="L1",Parameter!$H$5,IF(CF1611="L23",Parameter!$H$6+Parameter!$H$7,Parameter!$H$5+Parameter!$H$6+Parameter!$H$7))-(AN1611-AI1611))/AI1611)))</f>
        <v>1</v>
      </c>
      <c r="AP1611" s="50" t="n">
        <f aca="false">IF(LEFT(Cockpit!$I$5,1)="A",H1611,IF(Parameter!$E$30="MAX-Bestand",IF(CH1611=1,CI1611,IF(LEFT(Cockpit!$I$5,1)="B",AV1611,MAX(AV1611,H1611))),ROUNDUP(AT1611,0)))</f>
        <v>2</v>
      </c>
      <c r="AQ1611" s="50" t="n">
        <f aca="false">IF(BZ1611=1,0,ROUNDUP(AP1611/BY1611,0))</f>
        <v>1</v>
      </c>
      <c r="AR1611" s="52" t="n">
        <f aca="false">IF(CQ1611&gt;0,CQ1611*MAX(1,AP1611/X1611),IF(BZ1611=1,IF(AP1611&lt;=0,0,CD1611*MAX(1,IF(H1611&gt;0,AP1611/H1611,1))),IF(R1611&gt;0,AQ1611/R1611,0))/MAX(0.1,N(Parameter!$M$21)))</f>
        <v>0.0833333333333333</v>
      </c>
      <c r="AS1611" s="50" t="n">
        <f aca="false">AR1611*CB1611</f>
        <v>12.0833333333333</v>
      </c>
      <c r="AT1611" s="51" t="n">
        <f aca="false">IF(LEFT(Cockpit!$I$5,1)="A",H1611,IF(CH1611=1,(CK1611+CI1611)/2,IF(LEFT(Cockpit!$I$5,1)="B",(CK1611+AV1611)/2,MAX((CK1611+AV1611)/2,H1611))))</f>
        <v>2</v>
      </c>
      <c r="AU1611" s="50" t="n">
        <f aca="false">AT1611*G1611</f>
        <v>1298</v>
      </c>
      <c r="AV1611" s="50" t="n">
        <f aca="false">ROUNDUP(CK1611+MAX(CL1611,2*(J1611/IF(CG1611&gt;0,CG1611,MAX(0.1,N(Cockpit!$I$6)))-CK1611)),0)</f>
        <v>1</v>
      </c>
      <c r="AW1611" s="51" t="n">
        <f aca="false">IF(AS1611&gt;0,J1611/AS1611,-1)</f>
        <v>0</v>
      </c>
      <c r="AX1611" s="51" t="n">
        <f aca="false">IF(AND(OR(CF1611="L1",CF1611="L23",CF1611="LIFT"),AS1611&gt;0),SUMIFS($AS$7:$AS$1843,$CF$7:$CF$1843,CF1611,$AW$7:$AW$1843,"&gt;"&amp;AW1611)+SUMIFS($AS$7:$AS$1843,$CF$7:$CF$1843,CF1611,$AW$7:$AW$1843,AW1611,$BW$7:$BW$1843,"&lt;="&amp;BW1611),"")</f>
        <v>37049.640655719</v>
      </c>
      <c r="AY1611" s="58" t="n">
        <f aca="false">IF(AX1611="",0,MAX(0,MIN(1,(IF(CF1611="L1",Parameter!$H$5,IF(CF1611="L23",Parameter!$H$6+Parameter!$H$7,Parameter!$H$5+Parameter!$H$6+Parameter!$H$7))-(AX1611-AS1611))/AS1611)))</f>
        <v>0</v>
      </c>
      <c r="AZ1611" s="50" t="n">
        <f aca="false">IF(LEFT(Cockpit!$O$5,1)="A",H1611,IF(Parameter!$E$30="MAX-Bestand",IF(CH1611=1,CI1611,IF(LEFT(Cockpit!$O$5,1)="B",BF1611,MAX(BF1611,H1611))),ROUNDUP(BD1611,0)))</f>
        <v>1</v>
      </c>
      <c r="BA1611" s="50" t="n">
        <f aca="false">IF(BZ1611=1,0,ROUNDUP(AZ1611/BY1611,0))</f>
        <v>1</v>
      </c>
      <c r="BB1611" s="52" t="n">
        <f aca="false">IF(CQ1611&gt;0,CQ1611*MAX(1,AZ1611/X1611),IF(BZ1611=1,IF(AZ1611&lt;=0,0,CD1611*MAX(1,IF(H1611&gt;0,AZ1611/H1611,1))),IF(R1611&gt;0,BA1611/R1611,0))/MAX(0.1,N(Parameter!$M$21)))</f>
        <v>0.0833333333333333</v>
      </c>
      <c r="BC1611" s="50" t="n">
        <f aca="false">BB1611*CB1611</f>
        <v>12.0833333333333</v>
      </c>
      <c r="BD1611" s="51" t="n">
        <f aca="false">IF(LEFT(Cockpit!$O$5,1)="A",H1611,IF(CH1611=1,(CK1611+CI1611)/2,IF(LEFT(Cockpit!$O$5,1)="B",(CK1611+BF1611)/2,MAX((CK1611+BF1611)/2,H1611))))</f>
        <v>0.5</v>
      </c>
      <c r="BE1611" s="50" t="n">
        <f aca="false">BD1611*G1611</f>
        <v>324.5</v>
      </c>
      <c r="BF1611" s="50" t="n">
        <f aca="false">ROUNDUP(CK1611+MAX(CL1611,2*(J1611/IF(CG1611&gt;0,CG1611,MAX(0.1,N(Cockpit!$O$6)))-CK1611)),0)</f>
        <v>1</v>
      </c>
      <c r="BG1611" s="51" t="n">
        <f aca="false">IF(BC1611&gt;0,J1611/BC1611,-1)</f>
        <v>0</v>
      </c>
      <c r="BH1611" s="51" t="n">
        <f aca="false">IF(AND(OR(CF1611="L1",CF1611="L23",CF1611="LIFT"),BC1611&gt;0),SUMIFS($BC$7:$BC$1843,$CF$7:$CF$1843,CF1611,$BG$7:$BG$1843,"&gt;"&amp;BG1611)+SUMIFS($BC$7:$BC$1843,$CF$7:$CF$1843,CF1611,$BG$7:$BG$1843,BG1611,$BW$7:$BW$1843,"&lt;="&amp;BW1611),"")</f>
        <v>30959.0819312514</v>
      </c>
      <c r="BI1611" s="58" t="n">
        <f aca="false">IF(BH1611="",0,MAX(0,MIN(1,(IF(CF1611="L1",Parameter!$H$5,IF(CF1611="L23",Parameter!$H$6+Parameter!$H$7,Parameter!$H$5+Parameter!$H$6+Parameter!$H$7))-(BH1611-BC1611))/BC1611)))</f>
        <v>1</v>
      </c>
      <c r="BJ1611" s="48" t="str">
        <f aca="false">IF(AI1611&lt;=0,"",IF(CF1611="Aussen","Aussenlager",IF(CF1611="-","Nicht im Lift",IF(AO1611&gt;=1,"Lift",IF(AO1611&lt;=0,"Aussenlager","teilweise")))))</f>
        <v>Lift</v>
      </c>
      <c r="BK1611" s="48" t="str">
        <f aca="false">IF(AS1611&lt;=0,"",IF(CF1611="Aussen","Aussenlager",IF(CF1611="-","Nicht im Lift",IF(AY1611&gt;=1,"Lift",IF(AY1611&lt;=0,"Aussenlager","teilweise")))))</f>
        <v>Aussenlager</v>
      </c>
      <c r="BL1611" s="48" t="str">
        <f aca="false">IF(BC1611&lt;=0,"",IF(CF1611="Aussen","Aussenlager",IF(CF1611="-","Nicht im Lift",IF(BI1611&gt;=1,"Lift",IF(BI1611&lt;=0,"Aussenlager","teilweise")))))</f>
        <v>Lift</v>
      </c>
      <c r="BM1611" s="48" t="str">
        <f aca="false">IF(A1611="","",IF(BV1611=1,"Neu; ","")&amp;IF(AND(BV1611=0,BQ1611&lt;0),"negativer Bestand (Export "&amp;BQ1611&amp;"); ","")&amp;IF(J1611&lt;=0,"Kein Verbrauch; ","")&amp;IF(CQ1611&gt;0,"Lift "&amp;W1611&amp;" lt. Liftbericht (Fach "&amp;X1611&amp;" Stk); ",IF(CA1611=1,"Gebinde geschätzt ("&amp;T1611&amp;"); ",IF(BZ1611=1,"Lose – Tablare geschätzt; ","")))&amp;IF(H1611&gt;AV1611,"Überbestand "&amp;ROUND(H1611-AV1611,0)&amp;" Stk / CHF "&amp;ROUND((H1611-AV1611)*G1611,0)&amp;"; ","")&amp;IF(AND(CH1611=1,CI1611&lt;CJ1611),"MAX &lt; MB+LG; ","")&amp;IF(AND(CP1611&gt;0,CO1611*10&gt;CP1611),"zu hoch für Tablar; ","")&amp;IF(AND(BV1611=0,OR(CH1611=1,AA1611&lt;&gt;"",U1611&lt;&gt;"",V1611&lt;&gt;"",AB1611&lt;&gt;"")),"manuell übersteuert; ","")&amp;IF(AND(BZ1611=0,R1611=0),"Gebinde unbekannt / Stellmass fehlt; ","")&amp;IF(AND(BZ1611=0,N(V1611)&lt;=0,N(Q1611)&lt;=0),"Menge pro Gebinde fehlt (Ist = 1 Gebinde); ","")&amp;BU1611)</f>
        <v>Kein Verbrauch; Gebinde geschätzt (Mittel); Überbestand 1 Stk / CHF 649; Menge pro Gebinde fehlt (Ist = 1 Gebinde); nur im Artikelstamm (Bestand 23.06.2026); Überbestand</v>
      </c>
      <c r="BN1611" s="48"/>
      <c r="BO1611" s="48"/>
      <c r="BP1611" s="55"/>
      <c r="BQ1611" s="50" t="n">
        <v>2</v>
      </c>
      <c r="BR1611" s="50" t="n">
        <v>0</v>
      </c>
      <c r="BS1611" s="49" t="n">
        <v>0</v>
      </c>
      <c r="BT1611" s="50" t="n">
        <v>0</v>
      </c>
      <c r="BU1611" s="48" t="s">
        <v>2581</v>
      </c>
      <c r="BV1611" s="53" t="n">
        <v>0</v>
      </c>
      <c r="BW1611" s="53" t="n">
        <v>1611</v>
      </c>
      <c r="BX1611" s="48" t="str">
        <f aca="false">IF(U1611&lt;&gt;"",UPPER(TRIM(U1611)),IF(CA1611=1,UPPER(VLOOKUP(T1611,Parameter!$I$27:$K$29,2,0)),IF(P1611="","LOSE",P1611)))</f>
        <v>S61</v>
      </c>
      <c r="BY1611" s="50" t="n">
        <f aca="false">IF(BX1611="LOSE",1,IF(N(V1611)&gt;0,V1611,IF(CA1611=1,MAX(1,N(VLOOKUP(T1611,Parameter!$I$27:$K$29,3,0)),H1611,N(N1611)),IF(N(Q1611)&gt;0,Q1611,MAX(1,H1611)))))</f>
        <v>4</v>
      </c>
      <c r="BZ1611" s="53" t="n">
        <f aca="false">IF(BX1611="LOSE",1,0)</f>
        <v>0</v>
      </c>
      <c r="CA1611" s="53" t="n">
        <f aca="false">IF(AND(U1611="",OR(P1611="",P1611="LOSE"),T1611&lt;&gt;"",N(S1611)&lt;=0,ISNUMBER(MATCH(T1611,Parameter!$I$27:$I$29,0))),1,0)</f>
        <v>1</v>
      </c>
      <c r="CB1611" s="53" t="n">
        <f aca="false">IF(CQ1611&gt;0,INDEX(Parameter!$H$5:$H$7,W1611)/INDEX(Parameter!$E$5:$E$7,W1611),IF(AND(BZ1611=0,N(IFERROR(VLOOKUP(BX1611,'Gebinde-Kategorie'!$A$5:$N$45,14,0),0))&gt;0),VLOOKUP(BX1611,'Gebinde-Kategorie'!$A$5:$N$45,14,0)*10+Parameter!$M$23,Parameter!$M$24))</f>
        <v>145</v>
      </c>
      <c r="CC1611" s="48" t="str">
        <f aca="false">IF(AND(Parameter!$B$19="Ja",E1611&lt;&gt;"",ISNUMBER(MATCH(E1611,Parameter!$I$35:$I$52,0))),VLOOKUP(E1611,Parameter!$I$35:$J$52,2,0),IFERROR(VLOOKUP(D1611,Parameter!$A$35:$C$64,2,0),"Nein"))</f>
        <v>2+3</v>
      </c>
      <c r="CD1611" s="52" t="n">
        <f aca="false">IF(BZ1611=0,0,IF(N(S1611)&gt;0,S1611,IFERROR(VLOOKUP(D1611,Parameter!$A$35:$C$64,3,0)+0,0)))</f>
        <v>0</v>
      </c>
      <c r="CE1611" s="48" t="n">
        <f aca="false">IF(AA1611&lt;&gt;"",AA1611,Z1611)</f>
        <v>2</v>
      </c>
      <c r="CF1611" s="48" t="str">
        <f aca="false">IF(OR(CE1611=1,CE1611=2,CE1611=3),IF(Parameter!$E$27="Ja","LIFT",IF(CE1611=1,"L1","L23")),IF(CE1611="Aussen","Aussen","-"))</f>
        <v>LIFT</v>
      </c>
      <c r="CG1611" s="59" t="n">
        <f aca="false">IF(N(AB1611)&gt;0,AB1611,0)</f>
        <v>0</v>
      </c>
      <c r="CH1611" s="53" t="n">
        <f aca="false">IF(ISNUMBER(AE1611),1,0)</f>
        <v>0</v>
      </c>
      <c r="CI1611" s="50" t="n">
        <f aca="false">N(AE1611)</f>
        <v>0</v>
      </c>
      <c r="CJ1611" s="50" t="n">
        <f aca="false">N(M1611)+N(N1611)</f>
        <v>1</v>
      </c>
      <c r="CK1611" s="50" t="n">
        <f aca="false">N(M1611)</f>
        <v>0</v>
      </c>
      <c r="CL1611" s="50" t="n">
        <f aca="false">N(N1611)</f>
        <v>1</v>
      </c>
      <c r="CM1611" s="50" t="n">
        <f aca="false">ROUNDUP(H1611/BY1611,0)</f>
        <v>1</v>
      </c>
      <c r="CN1611" s="50" t="n">
        <f aca="false">ROUNDUP(CI1611/BY1611,0)</f>
        <v>0</v>
      </c>
      <c r="CO1611" s="53" t="n">
        <f aca="false">IF(BZ1611=1,0,IFERROR(VLOOKUP(BX1611,'Gebinde-Kategorie'!$A$5:$N$45,5,0)+0,0))</f>
        <v>11</v>
      </c>
      <c r="CP1611" s="53" t="n">
        <f aca="false">IFERROR(IF(OR(CE1611=1,CE1611=2,CE1611=3),N(INDEX(Parameter!$I$5:$I$7,CE1611)),0),0)</f>
        <v>0</v>
      </c>
      <c r="CQ1611" s="52" t="n">
        <f aca="false">IF(AND(Parameter!$B$21="Ja",ISNUMBER(W1611),N(X1611)&gt;0),IFERROR(N(INDEX(Parameter!$L$5:$L$7,W1611))*INDEX(Parameter!$E$5:$E$7,W1611)*X1611/SUMIFS($X$7:$X$1843,$W$7:$W$1843,W1611),0),0)</f>
        <v>0</v>
      </c>
    </row>
    <row r="1612" customFormat="false" ht="15" hidden="false" customHeight="false" outlineLevel="0" collapsed="false">
      <c r="A1612" s="48" t="s">
        <v>2817</v>
      </c>
      <c r="B1612" s="48" t="s">
        <v>2818</v>
      </c>
      <c r="C1612" s="48" t="s">
        <v>173</v>
      </c>
      <c r="D1612" s="48" t="s">
        <v>193</v>
      </c>
      <c r="E1612" s="48"/>
      <c r="F1612" s="48"/>
      <c r="G1612" s="49" t="n">
        <v>23</v>
      </c>
      <c r="H1612" s="50" t="n">
        <f aca="false">MAX(0,IF(AND(Parameter!$B$21="Ja",ISNUMBER(Y1612)),Y1612,IF(Parameter!$B$20="Jahresanfang 2025 + Export",BR1612+BQ1612,BQ1612)))</f>
        <v>6</v>
      </c>
      <c r="I1612" s="50" t="n">
        <f aca="false">H1612*G1612</f>
        <v>138</v>
      </c>
      <c r="J1612" s="50" t="n">
        <f aca="false">BT1612*Parameter!$B$18</f>
        <v>0</v>
      </c>
      <c r="K1612" s="51"/>
      <c r="L1612" s="52"/>
      <c r="M1612" s="50" t="n">
        <v>0</v>
      </c>
      <c r="N1612" s="50" t="n">
        <v>20</v>
      </c>
      <c r="O1612" s="53" t="n">
        <v>21</v>
      </c>
      <c r="P1612" s="48" t="s">
        <v>177</v>
      </c>
      <c r="Q1612" s="50"/>
      <c r="R1612" s="53" t="n">
        <f aca="false">IF(BZ1612=1,0,IFERROR(VLOOKUP(BX1612,'Gebinde-Kategorie'!$A$5:$N$45,13,0)+0,0))</f>
        <v>4</v>
      </c>
      <c r="S1612" s="54"/>
      <c r="T1612" s="55" t="s">
        <v>198</v>
      </c>
      <c r="U1612" s="55"/>
      <c r="V1612" s="55"/>
      <c r="W1612" s="48"/>
      <c r="X1612" s="50"/>
      <c r="Y1612" s="50"/>
      <c r="Z1612" s="48" t="n">
        <f aca="false">IF(A1612="","",IF(AND(Parameter!$B$21="Ja",ISNUMBER(W1612)),W1612,IF(CC1612="2+3",IF(ISNUMBER(SEARCH("grosser Artikel",BU1612)),2,IFERROR(VLOOKUP(BX1612,Parameter!$F$35:$G$64,2,0),2)),IF(OR(CC1612="Nein",CC1612=""),"-",CC1612))))</f>
        <v>2</v>
      </c>
      <c r="AA1612" s="55"/>
      <c r="AB1612" s="56"/>
      <c r="AC1612" s="50" t="n">
        <f aca="false">AV1612</f>
        <v>20</v>
      </c>
      <c r="AD1612" s="50" t="n">
        <f aca="false">MAX(AV1612,H1612)</f>
        <v>20</v>
      </c>
      <c r="AE1612" s="57"/>
      <c r="AF1612" s="50" t="n">
        <f aca="false">IF(LEFT(Cockpit!$C$5,1)="A",H1612,IF(Parameter!$E$30="MAX-Bestand",IF(CH1612=1,CI1612,IF(LEFT(Cockpit!$C$5,1)="B",AL1612,MAX(AL1612,H1612))),ROUNDUP(AJ1612,0)))</f>
        <v>6</v>
      </c>
      <c r="AG1612" s="50" t="n">
        <f aca="false">IF(BZ1612=1,0,ROUNDUP(AF1612/BY1612,0))</f>
        <v>1</v>
      </c>
      <c r="AH1612" s="52" t="n">
        <f aca="false">IF(CQ1612&gt;0,CQ1612*MAX(1,AF1612/X1612),IF(BZ1612=1,IF(AF1612&lt;=0,0,CD1612*MAX(1,IF(H1612&gt;0,AF1612/H1612,1))),IF(R1612&gt;0,AG1612/R1612,0))/MAX(0.1,N(Parameter!$M$21)))</f>
        <v>0.25</v>
      </c>
      <c r="AI1612" s="50" t="n">
        <f aca="false">AH1612*CB1612</f>
        <v>58.75</v>
      </c>
      <c r="AJ1612" s="51" t="n">
        <f aca="false">IF(LEFT(Cockpit!$C$5,1)="A",H1612,IF(CH1612=1,(CK1612+CI1612)/2,IF(LEFT(Cockpit!$C$5,1)="B",(CK1612+AL1612)/2,MAX((CK1612+AL1612)/2,H1612))))</f>
        <v>6</v>
      </c>
      <c r="AK1612" s="50" t="n">
        <f aca="false">AJ1612*G1612</f>
        <v>138</v>
      </c>
      <c r="AL1612" s="50" t="n">
        <f aca="false">ROUNDUP(CK1612+MAX(CL1612,2*(J1612/IF(CG1612&gt;0,CG1612,MAX(0.1,N(Cockpit!$C$6)))-CK1612)),0)</f>
        <v>20</v>
      </c>
      <c r="AM1612" s="51" t="n">
        <f aca="false">IF(AI1612&gt;0,J1612/AI1612,-1)</f>
        <v>0</v>
      </c>
      <c r="AN1612" s="51" t="n">
        <f aca="false">IF(AND(OR(CF1612="L1",CF1612="L23",CF1612="LIFT"),AI1612&gt;0),SUMIFS($AI$7:$AI$1843,$CF$7:$CF$1843,CF1612,$AM$7:$AM$1843,"&gt;"&amp;AM1612)+SUMIFS($AI$7:$AI$1843,$CF$7:$CF$1843,CF1612,$AM$7:$AM$1843,AM1612,$BW$7:$BW$1843,"&lt;="&amp;BW1612),"")</f>
        <v>30788.5341388837</v>
      </c>
      <c r="AO1612" s="58" t="n">
        <f aca="false">IF(AN1612="",0,MAX(0,MIN(1,(IF(CF1612="L1",Parameter!$H$5,IF(CF1612="L23",Parameter!$H$6+Parameter!$H$7,Parameter!$H$5+Parameter!$H$6+Parameter!$H$7))-(AN1612-AI1612))/AI1612)))</f>
        <v>1</v>
      </c>
      <c r="AP1612" s="50" t="n">
        <f aca="false">IF(LEFT(Cockpit!$I$5,1)="A",H1612,IF(Parameter!$E$30="MAX-Bestand",IF(CH1612=1,CI1612,IF(LEFT(Cockpit!$I$5,1)="B",AV1612,MAX(AV1612,H1612))),ROUNDUP(AT1612,0)))</f>
        <v>10</v>
      </c>
      <c r="AQ1612" s="50" t="n">
        <f aca="false">IF(BZ1612=1,0,ROUNDUP(AP1612/BY1612,0))</f>
        <v>1</v>
      </c>
      <c r="AR1612" s="52" t="n">
        <f aca="false">IF(CQ1612&gt;0,CQ1612*MAX(1,AP1612/X1612),IF(BZ1612=1,IF(AP1612&lt;=0,0,CD1612*MAX(1,IF(H1612&gt;0,AP1612/H1612,1))),IF(R1612&gt;0,AQ1612/R1612,0))/MAX(0.1,N(Parameter!$M$21)))</f>
        <v>0.25</v>
      </c>
      <c r="AS1612" s="50" t="n">
        <f aca="false">AR1612*CB1612</f>
        <v>58.75</v>
      </c>
      <c r="AT1612" s="51" t="n">
        <f aca="false">IF(LEFT(Cockpit!$I$5,1)="A",H1612,IF(CH1612=1,(CK1612+CI1612)/2,IF(LEFT(Cockpit!$I$5,1)="B",(CK1612+AV1612)/2,MAX((CK1612+AV1612)/2,H1612))))</f>
        <v>10</v>
      </c>
      <c r="AU1612" s="50" t="n">
        <f aca="false">AT1612*G1612</f>
        <v>230</v>
      </c>
      <c r="AV1612" s="50" t="n">
        <f aca="false">ROUNDUP(CK1612+MAX(CL1612,2*(J1612/IF(CG1612&gt;0,CG1612,MAX(0.1,N(Cockpit!$I$6)))-CK1612)),0)</f>
        <v>20</v>
      </c>
      <c r="AW1612" s="51" t="n">
        <f aca="false">IF(AS1612&gt;0,J1612/AS1612,-1)</f>
        <v>0</v>
      </c>
      <c r="AX1612" s="51" t="n">
        <f aca="false">IF(AND(OR(CF1612="L1",CF1612="L23",CF1612="LIFT"),AS1612&gt;0),SUMIFS($AS$7:$AS$1843,$CF$7:$CF$1843,CF1612,$AW$7:$AW$1843,"&gt;"&amp;AW1612)+SUMIFS($AS$7:$AS$1843,$CF$7:$CF$1843,CF1612,$AW$7:$AW$1843,AW1612,$BW$7:$BW$1843,"&lt;="&amp;BW1612),"")</f>
        <v>37108.390655719</v>
      </c>
      <c r="AY1612" s="58" t="n">
        <f aca="false">IF(AX1612="",0,MAX(0,MIN(1,(IF(CF1612="L1",Parameter!$H$5,IF(CF1612="L23",Parameter!$H$6+Parameter!$H$7,Parameter!$H$5+Parameter!$H$6+Parameter!$H$7))-(AX1612-AS1612))/AS1612)))</f>
        <v>0</v>
      </c>
      <c r="AZ1612" s="50" t="n">
        <f aca="false">IF(LEFT(Cockpit!$O$5,1)="A",H1612,IF(Parameter!$E$30="MAX-Bestand",IF(CH1612=1,CI1612,IF(LEFT(Cockpit!$O$5,1)="B",BF1612,MAX(BF1612,H1612))),ROUNDUP(BD1612,0)))</f>
        <v>10</v>
      </c>
      <c r="BA1612" s="50" t="n">
        <f aca="false">IF(BZ1612=1,0,ROUNDUP(AZ1612/BY1612,0))</f>
        <v>1</v>
      </c>
      <c r="BB1612" s="52" t="n">
        <f aca="false">IF(CQ1612&gt;0,CQ1612*MAX(1,AZ1612/X1612),IF(BZ1612=1,IF(AZ1612&lt;=0,0,CD1612*MAX(1,IF(H1612&gt;0,AZ1612/H1612,1))),IF(R1612&gt;0,BA1612/R1612,0))/MAX(0.1,N(Parameter!$M$21)))</f>
        <v>0.25</v>
      </c>
      <c r="BC1612" s="50" t="n">
        <f aca="false">BB1612*CB1612</f>
        <v>58.75</v>
      </c>
      <c r="BD1612" s="51" t="n">
        <f aca="false">IF(LEFT(Cockpit!$O$5,1)="A",H1612,IF(CH1612=1,(CK1612+CI1612)/2,IF(LEFT(Cockpit!$O$5,1)="B",(CK1612+BF1612)/2,MAX((CK1612+BF1612)/2,H1612))))</f>
        <v>10</v>
      </c>
      <c r="BE1612" s="50" t="n">
        <f aca="false">BD1612*G1612</f>
        <v>230</v>
      </c>
      <c r="BF1612" s="50" t="n">
        <f aca="false">ROUNDUP(CK1612+MAX(CL1612,2*(J1612/IF(CG1612&gt;0,CG1612,MAX(0.1,N(Cockpit!$O$6)))-CK1612)),0)</f>
        <v>20</v>
      </c>
      <c r="BG1612" s="51" t="n">
        <f aca="false">IF(BC1612&gt;0,J1612/BC1612,-1)</f>
        <v>0</v>
      </c>
      <c r="BH1612" s="51" t="n">
        <f aca="false">IF(AND(OR(CF1612="L1",CF1612="L23",CF1612="LIFT"),BC1612&gt;0),SUMIFS($BC$7:$BC$1843,$CF$7:$CF$1843,CF1612,$BG$7:$BG$1843,"&gt;"&amp;BG1612)+SUMIFS($BC$7:$BC$1843,$CF$7:$CF$1843,CF1612,$BG$7:$BG$1843,BG1612,$BW$7:$BW$1843,"&lt;="&amp;BW1612),"")</f>
        <v>31017.8319312514</v>
      </c>
      <c r="BI1612" s="58" t="n">
        <f aca="false">IF(BH1612="",0,MAX(0,MIN(1,(IF(CF1612="L1",Parameter!$H$5,IF(CF1612="L23",Parameter!$H$6+Parameter!$H$7,Parameter!$H$5+Parameter!$H$6+Parameter!$H$7))-(BH1612-BC1612))/BC1612)))</f>
        <v>1</v>
      </c>
      <c r="BJ1612" s="48" t="str">
        <f aca="false">IF(AI1612&lt;=0,"",IF(CF1612="Aussen","Aussenlager",IF(CF1612="-","Nicht im Lift",IF(AO1612&gt;=1,"Lift",IF(AO1612&lt;=0,"Aussenlager","teilweise")))))</f>
        <v>Lift</v>
      </c>
      <c r="BK1612" s="48" t="str">
        <f aca="false">IF(AS1612&lt;=0,"",IF(CF1612="Aussen","Aussenlager",IF(CF1612="-","Nicht im Lift",IF(AY1612&gt;=1,"Lift",IF(AY1612&lt;=0,"Aussenlager","teilweise")))))</f>
        <v>Aussenlager</v>
      </c>
      <c r="BL1612" s="48" t="str">
        <f aca="false">IF(BC1612&lt;=0,"",IF(CF1612="Aussen","Aussenlager",IF(CF1612="-","Nicht im Lift",IF(BI1612&gt;=1,"Lift",IF(BI1612&lt;=0,"Aussenlager","teilweise")))))</f>
        <v>Lift</v>
      </c>
      <c r="BM1612" s="48" t="str">
        <f aca="false">IF(A1612="","",IF(BV1612=1,"Neu; ","")&amp;IF(AND(BV1612=0,BQ1612&lt;0),"negativer Bestand (Export "&amp;BQ1612&amp;"); ","")&amp;IF(J1612&lt;=0,"Kein Verbrauch; ","")&amp;IF(CQ1612&gt;0,"Lift "&amp;W1612&amp;" lt. Liftbericht (Fach "&amp;X1612&amp;" Stk); ",IF(CA1612=1,"Gebinde geschätzt ("&amp;T1612&amp;"); ",IF(BZ1612=1,"Lose – Tablare geschätzt; ","")))&amp;IF(H1612&gt;AV1612,"Überbestand "&amp;ROUND(H1612-AV1612,0)&amp;" Stk / CHF "&amp;ROUND((H1612-AV1612)*G1612,0)&amp;"; ","")&amp;IF(AND(CH1612=1,CI1612&lt;CJ1612),"MAX &lt; MB+LG; ","")&amp;IF(AND(CP1612&gt;0,CO1612*10&gt;CP1612),"zu hoch für Tablar; ","")&amp;IF(AND(BV1612=0,OR(CH1612=1,AA1612&lt;&gt;"",U1612&lt;&gt;"",V1612&lt;&gt;"",AB1612&lt;&gt;"")),"manuell übersteuert; ","")&amp;IF(AND(BZ1612=0,R1612=0),"Gebinde unbekannt / Stellmass fehlt; ","")&amp;IF(AND(BZ1612=0,N(V1612)&lt;=0,N(Q1612)&lt;=0),"Menge pro Gebinde fehlt (Ist = 1 Gebinde); ","")&amp;BU1612)</f>
        <v>Kein Verbrauch; Gebinde geschätzt (Gross); Menge pro Gebinde fehlt (Ist = 1 Gebinde); nur im Artikelstamm (Bestand 23.06.2026)</v>
      </c>
      <c r="BN1612" s="48"/>
      <c r="BO1612" s="48"/>
      <c r="BP1612" s="55"/>
      <c r="BQ1612" s="50" t="n">
        <v>6</v>
      </c>
      <c r="BR1612" s="50" t="n">
        <v>0</v>
      </c>
      <c r="BS1612" s="49" t="n">
        <v>0</v>
      </c>
      <c r="BT1612" s="50" t="n">
        <v>0</v>
      </c>
      <c r="BU1612" s="48" t="s">
        <v>2584</v>
      </c>
      <c r="BV1612" s="53" t="n">
        <v>0</v>
      </c>
      <c r="BW1612" s="53" t="n">
        <v>1612</v>
      </c>
      <c r="BX1612" s="48" t="str">
        <f aca="false">IF(U1612&lt;&gt;"",UPPER(TRIM(U1612)),IF(CA1612=1,UPPER(VLOOKUP(T1612,Parameter!$I$27:$K$29,2,0)),IF(P1612="","LOSE",P1612)))</f>
        <v>S81</v>
      </c>
      <c r="BY1612" s="50" t="n">
        <f aca="false">IF(BX1612="LOSE",1,IF(N(V1612)&gt;0,V1612,IF(CA1612=1,MAX(1,N(VLOOKUP(T1612,Parameter!$I$27:$K$29,3,0)),H1612,N(N1612)),IF(N(Q1612)&gt;0,Q1612,MAX(1,H1612)))))</f>
        <v>20</v>
      </c>
      <c r="BZ1612" s="53" t="n">
        <f aca="false">IF(BX1612="LOSE",1,0)</f>
        <v>0</v>
      </c>
      <c r="CA1612" s="53" t="n">
        <f aca="false">IF(AND(U1612="",OR(P1612="",P1612="LOSE"),T1612&lt;&gt;"",N(S1612)&lt;=0,ISNUMBER(MATCH(T1612,Parameter!$I$27:$I$29,0))),1,0)</f>
        <v>1</v>
      </c>
      <c r="CB1612" s="53" t="n">
        <f aca="false">IF(CQ1612&gt;0,INDEX(Parameter!$H$5:$H$7,W1612)/INDEX(Parameter!$E$5:$E$7,W1612),IF(AND(BZ1612=0,N(IFERROR(VLOOKUP(BX1612,'Gebinde-Kategorie'!$A$5:$N$45,14,0),0))&gt;0),VLOOKUP(BX1612,'Gebinde-Kategorie'!$A$5:$N$45,14,0)*10+Parameter!$M$23,Parameter!$M$24))</f>
        <v>235</v>
      </c>
      <c r="CC1612" s="48" t="str">
        <f aca="false">IF(AND(Parameter!$B$19="Ja",E1612&lt;&gt;"",ISNUMBER(MATCH(E1612,Parameter!$I$35:$I$52,0))),VLOOKUP(E1612,Parameter!$I$35:$J$52,2,0),IFERROR(VLOOKUP(D1612,Parameter!$A$35:$C$64,2,0),"Nein"))</f>
        <v>2+3</v>
      </c>
      <c r="CD1612" s="52" t="n">
        <f aca="false">IF(BZ1612=0,0,IF(N(S1612)&gt;0,S1612,IFERROR(VLOOKUP(D1612,Parameter!$A$35:$C$64,3,0)+0,0)))</f>
        <v>0</v>
      </c>
      <c r="CE1612" s="48" t="n">
        <f aca="false">IF(AA1612&lt;&gt;"",AA1612,Z1612)</f>
        <v>2</v>
      </c>
      <c r="CF1612" s="48" t="str">
        <f aca="false">IF(OR(CE1612=1,CE1612=2,CE1612=3),IF(Parameter!$E$27="Ja","LIFT",IF(CE1612=1,"L1","L23")),IF(CE1612="Aussen","Aussen","-"))</f>
        <v>LIFT</v>
      </c>
      <c r="CG1612" s="59" t="n">
        <f aca="false">IF(N(AB1612)&gt;0,AB1612,0)</f>
        <v>0</v>
      </c>
      <c r="CH1612" s="53" t="n">
        <f aca="false">IF(ISNUMBER(AE1612),1,0)</f>
        <v>0</v>
      </c>
      <c r="CI1612" s="50" t="n">
        <f aca="false">N(AE1612)</f>
        <v>0</v>
      </c>
      <c r="CJ1612" s="50" t="n">
        <f aca="false">N(M1612)+N(N1612)</f>
        <v>20</v>
      </c>
      <c r="CK1612" s="50" t="n">
        <f aca="false">N(M1612)</f>
        <v>0</v>
      </c>
      <c r="CL1612" s="50" t="n">
        <f aca="false">N(N1612)</f>
        <v>20</v>
      </c>
      <c r="CM1612" s="50" t="n">
        <f aca="false">ROUNDUP(H1612/BY1612,0)</f>
        <v>1</v>
      </c>
      <c r="CN1612" s="50" t="n">
        <f aca="false">ROUNDUP(CI1612/BY1612,0)</f>
        <v>0</v>
      </c>
      <c r="CO1612" s="53" t="n">
        <f aca="false">IF(BZ1612=1,0,IFERROR(VLOOKUP(BX1612,'Gebinde-Kategorie'!$A$5:$N$45,5,0)+0,0))</f>
        <v>20</v>
      </c>
      <c r="CP1612" s="53" t="n">
        <f aca="false">IFERROR(IF(OR(CE1612=1,CE1612=2,CE1612=3),N(INDEX(Parameter!$I$5:$I$7,CE1612)),0),0)</f>
        <v>0</v>
      </c>
      <c r="CQ1612" s="52" t="n">
        <f aca="false">IF(AND(Parameter!$B$21="Ja",ISNUMBER(W1612),N(X1612)&gt;0),IFERROR(N(INDEX(Parameter!$L$5:$L$7,W1612))*INDEX(Parameter!$E$5:$E$7,W1612)*X1612/SUMIFS($X$7:$X$1843,$W$7:$W$1843,W1612),0),0)</f>
        <v>0</v>
      </c>
    </row>
    <row r="1613" customFormat="false" ht="15" hidden="false" customHeight="false" outlineLevel="0" collapsed="false">
      <c r="A1613" s="48" t="s">
        <v>2819</v>
      </c>
      <c r="B1613" s="48" t="s">
        <v>2820</v>
      </c>
      <c r="C1613" s="48" t="s">
        <v>173</v>
      </c>
      <c r="D1613" s="48" t="s">
        <v>193</v>
      </c>
      <c r="E1613" s="48"/>
      <c r="F1613" s="48"/>
      <c r="G1613" s="49" t="n">
        <v>59.27</v>
      </c>
      <c r="H1613" s="50" t="n">
        <f aca="false">MAX(0,IF(AND(Parameter!$B$21="Ja",ISNUMBER(Y1613)),Y1613,IF(Parameter!$B$20="Jahresanfang 2025 + Export",BR1613+BQ1613,BQ1613)))</f>
        <v>1</v>
      </c>
      <c r="I1613" s="50" t="n">
        <f aca="false">H1613*G1613</f>
        <v>59.27</v>
      </c>
      <c r="J1613" s="50" t="n">
        <f aca="false">BT1613*Parameter!$B$18</f>
        <v>0</v>
      </c>
      <c r="K1613" s="51"/>
      <c r="L1613" s="52"/>
      <c r="M1613" s="50" t="n">
        <v>0</v>
      </c>
      <c r="N1613" s="50" t="n">
        <v>1</v>
      </c>
      <c r="O1613" s="53" t="n">
        <v>0</v>
      </c>
      <c r="P1613" s="48" t="s">
        <v>177</v>
      </c>
      <c r="Q1613" s="50"/>
      <c r="R1613" s="53" t="n">
        <f aca="false">IF(BZ1613=1,0,IFERROR(VLOOKUP(BX1613,'Gebinde-Kategorie'!$A$5:$N$45,13,0)+0,0))</f>
        <v>12</v>
      </c>
      <c r="S1613" s="54"/>
      <c r="T1613" s="55" t="s">
        <v>188</v>
      </c>
      <c r="U1613" s="55"/>
      <c r="V1613" s="55"/>
      <c r="W1613" s="48"/>
      <c r="X1613" s="50"/>
      <c r="Y1613" s="50"/>
      <c r="Z1613" s="48" t="n">
        <f aca="false">IF(A1613="","",IF(AND(Parameter!$B$21="Ja",ISNUMBER(W1613)),W1613,IF(CC1613="2+3",IF(ISNUMBER(SEARCH("grosser Artikel",BU1613)),2,IFERROR(VLOOKUP(BX1613,Parameter!$F$35:$G$64,2,0),2)),IF(OR(CC1613="Nein",CC1613=""),"-",CC1613))))</f>
        <v>2</v>
      </c>
      <c r="AA1613" s="55"/>
      <c r="AB1613" s="56"/>
      <c r="AC1613" s="50" t="n">
        <f aca="false">AV1613</f>
        <v>1</v>
      </c>
      <c r="AD1613" s="50" t="n">
        <f aca="false">MAX(AV1613,H1613)</f>
        <v>1</v>
      </c>
      <c r="AE1613" s="57"/>
      <c r="AF1613" s="50" t="n">
        <f aca="false">IF(LEFT(Cockpit!$C$5,1)="A",H1613,IF(Parameter!$E$30="MAX-Bestand",IF(CH1613=1,CI1613,IF(LEFT(Cockpit!$C$5,1)="B",AL1613,MAX(AL1613,H1613))),ROUNDUP(AJ1613,0)))</f>
        <v>1</v>
      </c>
      <c r="AG1613" s="50" t="n">
        <f aca="false">IF(BZ1613=1,0,ROUNDUP(AF1613/BY1613,0))</f>
        <v>1</v>
      </c>
      <c r="AH1613" s="52" t="n">
        <f aca="false">IF(CQ1613&gt;0,CQ1613*MAX(1,AF1613/X1613),IF(BZ1613=1,IF(AF1613&lt;=0,0,CD1613*MAX(1,IF(H1613&gt;0,AF1613/H1613,1))),IF(R1613&gt;0,AG1613/R1613,0))/MAX(0.1,N(Parameter!$M$21)))</f>
        <v>0.0833333333333333</v>
      </c>
      <c r="AI1613" s="50" t="n">
        <f aca="false">AH1613*CB1613</f>
        <v>12.0833333333333</v>
      </c>
      <c r="AJ1613" s="51" t="n">
        <f aca="false">IF(LEFT(Cockpit!$C$5,1)="A",H1613,IF(CH1613=1,(CK1613+CI1613)/2,IF(LEFT(Cockpit!$C$5,1)="B",(CK1613+AL1613)/2,MAX((CK1613+AL1613)/2,H1613))))</f>
        <v>1</v>
      </c>
      <c r="AK1613" s="50" t="n">
        <f aca="false">AJ1613*G1613</f>
        <v>59.27</v>
      </c>
      <c r="AL1613" s="50" t="n">
        <f aca="false">ROUNDUP(CK1613+MAX(CL1613,2*(J1613/IF(CG1613&gt;0,CG1613,MAX(0.1,N(Cockpit!$C$6)))-CK1613)),0)</f>
        <v>1</v>
      </c>
      <c r="AM1613" s="51" t="n">
        <f aca="false">IF(AI1613&gt;0,J1613/AI1613,-1)</f>
        <v>0</v>
      </c>
      <c r="AN1613" s="51" t="n">
        <f aca="false">IF(AND(OR(CF1613="L1",CF1613="L23",CF1613="LIFT"),AI1613&gt;0),SUMIFS($AI$7:$AI$1843,$CF$7:$CF$1843,CF1613,$AM$7:$AM$1843,"&gt;"&amp;AM1613)+SUMIFS($AI$7:$AI$1843,$CF$7:$CF$1843,CF1613,$AM$7:$AM$1843,AM1613,$BW$7:$BW$1843,"&lt;="&amp;BW1613),"")</f>
        <v>30800.617472217</v>
      </c>
      <c r="AO1613" s="58" t="n">
        <f aca="false">IF(AN1613="",0,MAX(0,MIN(1,(IF(CF1613="L1",Parameter!$H$5,IF(CF1613="L23",Parameter!$H$6+Parameter!$H$7,Parameter!$H$5+Parameter!$H$6+Parameter!$H$7))-(AN1613-AI1613))/AI1613)))</f>
        <v>1</v>
      </c>
      <c r="AP1613" s="50" t="n">
        <f aca="false">IF(LEFT(Cockpit!$I$5,1)="A",H1613,IF(Parameter!$E$30="MAX-Bestand",IF(CH1613=1,CI1613,IF(LEFT(Cockpit!$I$5,1)="B",AV1613,MAX(AV1613,H1613))),ROUNDUP(AT1613,0)))</f>
        <v>1</v>
      </c>
      <c r="AQ1613" s="50" t="n">
        <f aca="false">IF(BZ1613=1,0,ROUNDUP(AP1613/BY1613,0))</f>
        <v>1</v>
      </c>
      <c r="AR1613" s="52" t="n">
        <f aca="false">IF(CQ1613&gt;0,CQ1613*MAX(1,AP1613/X1613),IF(BZ1613=1,IF(AP1613&lt;=0,0,CD1613*MAX(1,IF(H1613&gt;0,AP1613/H1613,1))),IF(R1613&gt;0,AQ1613/R1613,0))/MAX(0.1,N(Parameter!$M$21)))</f>
        <v>0.0833333333333333</v>
      </c>
      <c r="AS1613" s="50" t="n">
        <f aca="false">AR1613*CB1613</f>
        <v>12.0833333333333</v>
      </c>
      <c r="AT1613" s="51" t="n">
        <f aca="false">IF(LEFT(Cockpit!$I$5,1)="A",H1613,IF(CH1613=1,(CK1613+CI1613)/2,IF(LEFT(Cockpit!$I$5,1)="B",(CK1613+AV1613)/2,MAX((CK1613+AV1613)/2,H1613))))</f>
        <v>1</v>
      </c>
      <c r="AU1613" s="50" t="n">
        <f aca="false">AT1613*G1613</f>
        <v>59.27</v>
      </c>
      <c r="AV1613" s="50" t="n">
        <f aca="false">ROUNDUP(CK1613+MAX(CL1613,2*(J1613/IF(CG1613&gt;0,CG1613,MAX(0.1,N(Cockpit!$I$6)))-CK1613)),0)</f>
        <v>1</v>
      </c>
      <c r="AW1613" s="51" t="n">
        <f aca="false">IF(AS1613&gt;0,J1613/AS1613,-1)</f>
        <v>0</v>
      </c>
      <c r="AX1613" s="51" t="n">
        <f aca="false">IF(AND(OR(CF1613="L1",CF1613="L23",CF1613="LIFT"),AS1613&gt;0),SUMIFS($AS$7:$AS$1843,$CF$7:$CF$1843,CF1613,$AW$7:$AW$1843,"&gt;"&amp;AW1613)+SUMIFS($AS$7:$AS$1843,$CF$7:$CF$1843,CF1613,$AW$7:$AW$1843,AW1613,$BW$7:$BW$1843,"&lt;="&amp;BW1613),"")</f>
        <v>37120.4739890524</v>
      </c>
      <c r="AY1613" s="58" t="n">
        <f aca="false">IF(AX1613="",0,MAX(0,MIN(1,(IF(CF1613="L1",Parameter!$H$5,IF(CF1613="L23",Parameter!$H$6+Parameter!$H$7,Parameter!$H$5+Parameter!$H$6+Parameter!$H$7))-(AX1613-AS1613))/AS1613)))</f>
        <v>0</v>
      </c>
      <c r="AZ1613" s="50" t="n">
        <f aca="false">IF(LEFT(Cockpit!$O$5,1)="A",H1613,IF(Parameter!$E$30="MAX-Bestand",IF(CH1613=1,CI1613,IF(LEFT(Cockpit!$O$5,1)="B",BF1613,MAX(BF1613,H1613))),ROUNDUP(BD1613,0)))</f>
        <v>1</v>
      </c>
      <c r="BA1613" s="50" t="n">
        <f aca="false">IF(BZ1613=1,0,ROUNDUP(AZ1613/BY1613,0))</f>
        <v>1</v>
      </c>
      <c r="BB1613" s="52" t="n">
        <f aca="false">IF(CQ1613&gt;0,CQ1613*MAX(1,AZ1613/X1613),IF(BZ1613=1,IF(AZ1613&lt;=0,0,CD1613*MAX(1,IF(H1613&gt;0,AZ1613/H1613,1))),IF(R1613&gt;0,BA1613/R1613,0))/MAX(0.1,N(Parameter!$M$21)))</f>
        <v>0.0833333333333333</v>
      </c>
      <c r="BC1613" s="50" t="n">
        <f aca="false">BB1613*CB1613</f>
        <v>12.0833333333333</v>
      </c>
      <c r="BD1613" s="51" t="n">
        <f aca="false">IF(LEFT(Cockpit!$O$5,1)="A",H1613,IF(CH1613=1,(CK1613+CI1613)/2,IF(LEFT(Cockpit!$O$5,1)="B",(CK1613+BF1613)/2,MAX((CK1613+BF1613)/2,H1613))))</f>
        <v>0.5</v>
      </c>
      <c r="BE1613" s="50" t="n">
        <f aca="false">BD1613*G1613</f>
        <v>29.635</v>
      </c>
      <c r="BF1613" s="50" t="n">
        <f aca="false">ROUNDUP(CK1613+MAX(CL1613,2*(J1613/IF(CG1613&gt;0,CG1613,MAX(0.1,N(Cockpit!$O$6)))-CK1613)),0)</f>
        <v>1</v>
      </c>
      <c r="BG1613" s="51" t="n">
        <f aca="false">IF(BC1613&gt;0,J1613/BC1613,-1)</f>
        <v>0</v>
      </c>
      <c r="BH1613" s="51" t="n">
        <f aca="false">IF(AND(OR(CF1613="L1",CF1613="L23",CF1613="LIFT"),BC1613&gt;0),SUMIFS($BC$7:$BC$1843,$CF$7:$CF$1843,CF1613,$BG$7:$BG$1843,"&gt;"&amp;BG1613)+SUMIFS($BC$7:$BC$1843,$CF$7:$CF$1843,CF1613,$BG$7:$BG$1843,BG1613,$BW$7:$BW$1843,"&lt;="&amp;BW1613),"")</f>
        <v>31029.9152645848</v>
      </c>
      <c r="BI1613" s="58" t="n">
        <f aca="false">IF(BH1613="",0,MAX(0,MIN(1,(IF(CF1613="L1",Parameter!$H$5,IF(CF1613="L23",Parameter!$H$6+Parameter!$H$7,Parameter!$H$5+Parameter!$H$6+Parameter!$H$7))-(BH1613-BC1613))/BC1613)))</f>
        <v>1</v>
      </c>
      <c r="BJ1613" s="48" t="str">
        <f aca="false">IF(AI1613&lt;=0,"",IF(CF1613="Aussen","Aussenlager",IF(CF1613="-","Nicht im Lift",IF(AO1613&gt;=1,"Lift",IF(AO1613&lt;=0,"Aussenlager","teilweise")))))</f>
        <v>Lift</v>
      </c>
      <c r="BK1613" s="48" t="str">
        <f aca="false">IF(AS1613&lt;=0,"",IF(CF1613="Aussen","Aussenlager",IF(CF1613="-","Nicht im Lift",IF(AY1613&gt;=1,"Lift",IF(AY1613&lt;=0,"Aussenlager","teilweise")))))</f>
        <v>Aussenlager</v>
      </c>
      <c r="BL1613" s="48" t="str">
        <f aca="false">IF(BC1613&lt;=0,"",IF(CF1613="Aussen","Aussenlager",IF(CF1613="-","Nicht im Lift",IF(BI1613&gt;=1,"Lift",IF(BI1613&lt;=0,"Aussenlager","teilweise")))))</f>
        <v>Lift</v>
      </c>
      <c r="BM1613" s="48" t="str">
        <f aca="false">IF(A1613="","",IF(BV1613=1,"Neu; ","")&amp;IF(AND(BV1613=0,BQ1613&lt;0),"negativer Bestand (Export "&amp;BQ1613&amp;"); ","")&amp;IF(J1613&lt;=0,"Kein Verbrauch; ","")&amp;IF(CQ1613&gt;0,"Lift "&amp;W1613&amp;" lt. Liftbericht (Fach "&amp;X1613&amp;" Stk); ",IF(CA1613=1,"Gebinde geschätzt ("&amp;T1613&amp;"); ",IF(BZ1613=1,"Lose – Tablare geschätzt; ","")))&amp;IF(H1613&gt;AV1613,"Überbestand "&amp;ROUND(H1613-AV1613,0)&amp;" Stk / CHF "&amp;ROUND((H1613-AV1613)*G1613,0)&amp;"; ","")&amp;IF(AND(CH1613=1,CI1613&lt;CJ1613),"MAX &lt; MB+LG; ","")&amp;IF(AND(CP1613&gt;0,CO1613*10&gt;CP1613),"zu hoch für Tablar; ","")&amp;IF(AND(BV1613=0,OR(CH1613=1,AA1613&lt;&gt;"",U1613&lt;&gt;"",V1613&lt;&gt;"",AB1613&lt;&gt;"")),"manuell übersteuert; ","")&amp;IF(AND(BZ1613=0,R1613=0),"Gebinde unbekannt / Stellmass fehlt; ","")&amp;IF(AND(BZ1613=0,N(V1613)&lt;=0,N(Q1613)&lt;=0),"Menge pro Gebinde fehlt (Ist = 1 Gebinde); ","")&amp;BU1613)</f>
        <v>Kein Verbrauch; Gebinde geschätzt (Mittel); Menge pro Gebinde fehlt (Ist = 1 Gebinde); nur im Artikelstamm (Bestand 23.06.2026)</v>
      </c>
      <c r="BN1613" s="48"/>
      <c r="BO1613" s="48"/>
      <c r="BP1613" s="55"/>
      <c r="BQ1613" s="50" t="n">
        <v>1</v>
      </c>
      <c r="BR1613" s="50" t="n">
        <v>0</v>
      </c>
      <c r="BS1613" s="49" t="n">
        <v>0</v>
      </c>
      <c r="BT1613" s="50" t="n">
        <v>0</v>
      </c>
      <c r="BU1613" s="48" t="s">
        <v>2584</v>
      </c>
      <c r="BV1613" s="53" t="n">
        <v>0</v>
      </c>
      <c r="BW1613" s="53" t="n">
        <v>1613</v>
      </c>
      <c r="BX1613" s="48" t="str">
        <f aca="false">IF(U1613&lt;&gt;"",UPPER(TRIM(U1613)),IF(CA1613=1,UPPER(VLOOKUP(T1613,Parameter!$I$27:$K$29,2,0)),IF(P1613="","LOSE",P1613)))</f>
        <v>S61</v>
      </c>
      <c r="BY1613" s="50" t="n">
        <f aca="false">IF(BX1613="LOSE",1,IF(N(V1613)&gt;0,V1613,IF(CA1613=1,MAX(1,N(VLOOKUP(T1613,Parameter!$I$27:$K$29,3,0)),H1613,N(N1613)),IF(N(Q1613)&gt;0,Q1613,MAX(1,H1613)))))</f>
        <v>4</v>
      </c>
      <c r="BZ1613" s="53" t="n">
        <f aca="false">IF(BX1613="LOSE",1,0)</f>
        <v>0</v>
      </c>
      <c r="CA1613" s="53" t="n">
        <f aca="false">IF(AND(U1613="",OR(P1613="",P1613="LOSE"),T1613&lt;&gt;"",N(S1613)&lt;=0,ISNUMBER(MATCH(T1613,Parameter!$I$27:$I$29,0))),1,0)</f>
        <v>1</v>
      </c>
      <c r="CB1613" s="53" t="n">
        <f aca="false">IF(CQ1613&gt;0,INDEX(Parameter!$H$5:$H$7,W1613)/INDEX(Parameter!$E$5:$E$7,W1613),IF(AND(BZ1613=0,N(IFERROR(VLOOKUP(BX1613,'Gebinde-Kategorie'!$A$5:$N$45,14,0),0))&gt;0),VLOOKUP(BX1613,'Gebinde-Kategorie'!$A$5:$N$45,14,0)*10+Parameter!$M$23,Parameter!$M$24))</f>
        <v>145</v>
      </c>
      <c r="CC1613" s="48" t="str">
        <f aca="false">IF(AND(Parameter!$B$19="Ja",E1613&lt;&gt;"",ISNUMBER(MATCH(E1613,Parameter!$I$35:$I$52,0))),VLOOKUP(E1613,Parameter!$I$35:$J$52,2,0),IFERROR(VLOOKUP(D1613,Parameter!$A$35:$C$64,2,0),"Nein"))</f>
        <v>2+3</v>
      </c>
      <c r="CD1613" s="52" t="n">
        <f aca="false">IF(BZ1613=0,0,IF(N(S1613)&gt;0,S1613,IFERROR(VLOOKUP(D1613,Parameter!$A$35:$C$64,3,0)+0,0)))</f>
        <v>0</v>
      </c>
      <c r="CE1613" s="48" t="n">
        <f aca="false">IF(AA1613&lt;&gt;"",AA1613,Z1613)</f>
        <v>2</v>
      </c>
      <c r="CF1613" s="48" t="str">
        <f aca="false">IF(OR(CE1613=1,CE1613=2,CE1613=3),IF(Parameter!$E$27="Ja","LIFT",IF(CE1613=1,"L1","L23")),IF(CE1613="Aussen","Aussen","-"))</f>
        <v>LIFT</v>
      </c>
      <c r="CG1613" s="59" t="n">
        <f aca="false">IF(N(AB1613)&gt;0,AB1613,0)</f>
        <v>0</v>
      </c>
      <c r="CH1613" s="53" t="n">
        <f aca="false">IF(ISNUMBER(AE1613),1,0)</f>
        <v>0</v>
      </c>
      <c r="CI1613" s="50" t="n">
        <f aca="false">N(AE1613)</f>
        <v>0</v>
      </c>
      <c r="CJ1613" s="50" t="n">
        <f aca="false">N(M1613)+N(N1613)</f>
        <v>1</v>
      </c>
      <c r="CK1613" s="50" t="n">
        <f aca="false">N(M1613)</f>
        <v>0</v>
      </c>
      <c r="CL1613" s="50" t="n">
        <f aca="false">N(N1613)</f>
        <v>1</v>
      </c>
      <c r="CM1613" s="50" t="n">
        <f aca="false">ROUNDUP(H1613/BY1613,0)</f>
        <v>1</v>
      </c>
      <c r="CN1613" s="50" t="n">
        <f aca="false">ROUNDUP(CI1613/BY1613,0)</f>
        <v>0</v>
      </c>
      <c r="CO1613" s="53" t="n">
        <f aca="false">IF(BZ1613=1,0,IFERROR(VLOOKUP(BX1613,'Gebinde-Kategorie'!$A$5:$N$45,5,0)+0,0))</f>
        <v>11</v>
      </c>
      <c r="CP1613" s="53" t="n">
        <f aca="false">IFERROR(IF(OR(CE1613=1,CE1613=2,CE1613=3),N(INDEX(Parameter!$I$5:$I$7,CE1613)),0),0)</f>
        <v>0</v>
      </c>
      <c r="CQ1613" s="52" t="n">
        <f aca="false">IF(AND(Parameter!$B$21="Ja",ISNUMBER(W1613),N(X1613)&gt;0),IFERROR(N(INDEX(Parameter!$L$5:$L$7,W1613))*INDEX(Parameter!$E$5:$E$7,W1613)*X1613/SUMIFS($X$7:$X$1843,$W$7:$W$1843,W1613),0),0)</f>
        <v>0</v>
      </c>
    </row>
    <row r="1614" customFormat="false" ht="15" hidden="false" customHeight="false" outlineLevel="0" collapsed="false">
      <c r="A1614" s="48" t="s">
        <v>2821</v>
      </c>
      <c r="B1614" s="48" t="s">
        <v>2822</v>
      </c>
      <c r="C1614" s="48" t="s">
        <v>173</v>
      </c>
      <c r="D1614" s="48" t="s">
        <v>193</v>
      </c>
      <c r="E1614" s="48"/>
      <c r="F1614" s="48"/>
      <c r="G1614" s="49" t="n">
        <v>7.56</v>
      </c>
      <c r="H1614" s="50" t="n">
        <f aca="false">MAX(0,IF(AND(Parameter!$B$21="Ja",ISNUMBER(Y1614)),Y1614,IF(Parameter!$B$20="Jahresanfang 2025 + Export",BR1614+BQ1614,BQ1614)))</f>
        <v>3</v>
      </c>
      <c r="I1614" s="50" t="n">
        <f aca="false">H1614*G1614</f>
        <v>22.68</v>
      </c>
      <c r="J1614" s="50" t="n">
        <f aca="false">BT1614*Parameter!$B$18</f>
        <v>0</v>
      </c>
      <c r="K1614" s="51"/>
      <c r="L1614" s="52"/>
      <c r="M1614" s="50" t="n">
        <v>0</v>
      </c>
      <c r="N1614" s="50" t="n">
        <v>1</v>
      </c>
      <c r="O1614" s="53" t="n">
        <v>0</v>
      </c>
      <c r="P1614" s="48" t="s">
        <v>177</v>
      </c>
      <c r="Q1614" s="50"/>
      <c r="R1614" s="53" t="n">
        <f aca="false">IF(BZ1614=1,0,IFERROR(VLOOKUP(BX1614,'Gebinde-Kategorie'!$A$5:$N$45,13,0)+0,0))</f>
        <v>26</v>
      </c>
      <c r="S1614" s="54"/>
      <c r="T1614" s="55" t="s">
        <v>284</v>
      </c>
      <c r="U1614" s="55"/>
      <c r="V1614" s="55"/>
      <c r="W1614" s="48"/>
      <c r="X1614" s="50"/>
      <c r="Y1614" s="50"/>
      <c r="Z1614" s="48" t="n">
        <f aca="false">IF(A1614="","",IF(AND(Parameter!$B$21="Ja",ISNUMBER(W1614)),W1614,IF(CC1614="2+3",IF(ISNUMBER(SEARCH("grosser Artikel",BU1614)),2,IFERROR(VLOOKUP(BX1614,Parameter!$F$35:$G$64,2,0),2)),IF(OR(CC1614="Nein",CC1614=""),"-",CC1614))))</f>
        <v>3</v>
      </c>
      <c r="AA1614" s="55"/>
      <c r="AB1614" s="56"/>
      <c r="AC1614" s="50" t="n">
        <f aca="false">AV1614</f>
        <v>1</v>
      </c>
      <c r="AD1614" s="50" t="n">
        <f aca="false">MAX(AV1614,H1614)</f>
        <v>3</v>
      </c>
      <c r="AE1614" s="57"/>
      <c r="AF1614" s="50" t="n">
        <f aca="false">IF(LEFT(Cockpit!$C$5,1)="A",H1614,IF(Parameter!$E$30="MAX-Bestand",IF(CH1614=1,CI1614,IF(LEFT(Cockpit!$C$5,1)="B",AL1614,MAX(AL1614,H1614))),ROUNDUP(AJ1614,0)))</f>
        <v>3</v>
      </c>
      <c r="AG1614" s="50" t="n">
        <f aca="false">IF(BZ1614=1,0,ROUNDUP(AF1614/BY1614,0))</f>
        <v>1</v>
      </c>
      <c r="AH1614" s="52" t="n">
        <f aca="false">IF(CQ1614&gt;0,CQ1614*MAX(1,AF1614/X1614),IF(BZ1614=1,IF(AF1614&lt;=0,0,CD1614*MAX(1,IF(H1614&gt;0,AF1614/H1614,1))),IF(R1614&gt;0,AG1614/R1614,0))/MAX(0.1,N(Parameter!$M$21)))</f>
        <v>0.0384615384615385</v>
      </c>
      <c r="AI1614" s="50" t="n">
        <f aca="false">AH1614*CB1614</f>
        <v>5.96153846153846</v>
      </c>
      <c r="AJ1614" s="51" t="n">
        <f aca="false">IF(LEFT(Cockpit!$C$5,1)="A",H1614,IF(CH1614=1,(CK1614+CI1614)/2,IF(LEFT(Cockpit!$C$5,1)="B",(CK1614+AL1614)/2,MAX((CK1614+AL1614)/2,H1614))))</f>
        <v>3</v>
      </c>
      <c r="AK1614" s="50" t="n">
        <f aca="false">AJ1614*G1614</f>
        <v>22.68</v>
      </c>
      <c r="AL1614" s="50" t="n">
        <f aca="false">ROUNDUP(CK1614+MAX(CL1614,2*(J1614/IF(CG1614&gt;0,CG1614,MAX(0.1,N(Cockpit!$C$6)))-CK1614)),0)</f>
        <v>1</v>
      </c>
      <c r="AM1614" s="51" t="n">
        <f aca="false">IF(AI1614&gt;0,J1614/AI1614,-1)</f>
        <v>0</v>
      </c>
      <c r="AN1614" s="51" t="n">
        <f aca="false">IF(AND(OR(CF1614="L1",CF1614="L23",CF1614="LIFT"),AI1614&gt;0),SUMIFS($AI$7:$AI$1843,$CF$7:$CF$1843,CF1614,$AM$7:$AM$1843,"&gt;"&amp;AM1614)+SUMIFS($AI$7:$AI$1843,$CF$7:$CF$1843,CF1614,$AM$7:$AM$1843,AM1614,$BW$7:$BW$1843,"&lt;="&amp;BW1614),"")</f>
        <v>30806.5790106786</v>
      </c>
      <c r="AO1614" s="58" t="n">
        <f aca="false">IF(AN1614="",0,MAX(0,MIN(1,(IF(CF1614="L1",Parameter!$H$5,IF(CF1614="L23",Parameter!$H$6+Parameter!$H$7,Parameter!$H$5+Parameter!$H$6+Parameter!$H$7))-(AN1614-AI1614))/AI1614)))</f>
        <v>1</v>
      </c>
      <c r="AP1614" s="50" t="n">
        <f aca="false">IF(LEFT(Cockpit!$I$5,1)="A",H1614,IF(Parameter!$E$30="MAX-Bestand",IF(CH1614=1,CI1614,IF(LEFT(Cockpit!$I$5,1)="B",AV1614,MAX(AV1614,H1614))),ROUNDUP(AT1614,0)))</f>
        <v>3</v>
      </c>
      <c r="AQ1614" s="50" t="n">
        <f aca="false">IF(BZ1614=1,0,ROUNDUP(AP1614/BY1614,0))</f>
        <v>1</v>
      </c>
      <c r="AR1614" s="52" t="n">
        <f aca="false">IF(CQ1614&gt;0,CQ1614*MAX(1,AP1614/X1614),IF(BZ1614=1,IF(AP1614&lt;=0,0,CD1614*MAX(1,IF(H1614&gt;0,AP1614/H1614,1))),IF(R1614&gt;0,AQ1614/R1614,0))/MAX(0.1,N(Parameter!$M$21)))</f>
        <v>0.0384615384615385</v>
      </c>
      <c r="AS1614" s="50" t="n">
        <f aca="false">AR1614*CB1614</f>
        <v>5.96153846153846</v>
      </c>
      <c r="AT1614" s="51" t="n">
        <f aca="false">IF(LEFT(Cockpit!$I$5,1)="A",H1614,IF(CH1614=1,(CK1614+CI1614)/2,IF(LEFT(Cockpit!$I$5,1)="B",(CK1614+AV1614)/2,MAX((CK1614+AV1614)/2,H1614))))</f>
        <v>3</v>
      </c>
      <c r="AU1614" s="50" t="n">
        <f aca="false">AT1614*G1614</f>
        <v>22.68</v>
      </c>
      <c r="AV1614" s="50" t="n">
        <f aca="false">ROUNDUP(CK1614+MAX(CL1614,2*(J1614/IF(CG1614&gt;0,CG1614,MAX(0.1,N(Cockpit!$I$6)))-CK1614)),0)</f>
        <v>1</v>
      </c>
      <c r="AW1614" s="51" t="n">
        <f aca="false">IF(AS1614&gt;0,J1614/AS1614,-1)</f>
        <v>0</v>
      </c>
      <c r="AX1614" s="51" t="n">
        <f aca="false">IF(AND(OR(CF1614="L1",CF1614="L23",CF1614="LIFT"),AS1614&gt;0),SUMIFS($AS$7:$AS$1843,$CF$7:$CF$1843,CF1614,$AW$7:$AW$1843,"&gt;"&amp;AW1614)+SUMIFS($AS$7:$AS$1843,$CF$7:$CF$1843,CF1614,$AW$7:$AW$1843,AW1614,$BW$7:$BW$1843,"&lt;="&amp;BW1614),"")</f>
        <v>37126.4355275139</v>
      </c>
      <c r="AY1614" s="58" t="n">
        <f aca="false">IF(AX1614="",0,MAX(0,MIN(1,(IF(CF1614="L1",Parameter!$H$5,IF(CF1614="L23",Parameter!$H$6+Parameter!$H$7,Parameter!$H$5+Parameter!$H$6+Parameter!$H$7))-(AX1614-AS1614))/AS1614)))</f>
        <v>0</v>
      </c>
      <c r="AZ1614" s="50" t="n">
        <f aca="false">IF(LEFT(Cockpit!$O$5,1)="A",H1614,IF(Parameter!$E$30="MAX-Bestand",IF(CH1614=1,CI1614,IF(LEFT(Cockpit!$O$5,1)="B",BF1614,MAX(BF1614,H1614))),ROUNDUP(BD1614,0)))</f>
        <v>1</v>
      </c>
      <c r="BA1614" s="50" t="n">
        <f aca="false">IF(BZ1614=1,0,ROUNDUP(AZ1614/BY1614,0))</f>
        <v>1</v>
      </c>
      <c r="BB1614" s="52" t="n">
        <f aca="false">IF(CQ1614&gt;0,CQ1614*MAX(1,AZ1614/X1614),IF(BZ1614=1,IF(AZ1614&lt;=0,0,CD1614*MAX(1,IF(H1614&gt;0,AZ1614/H1614,1))),IF(R1614&gt;0,BA1614/R1614,0))/MAX(0.1,N(Parameter!$M$21)))</f>
        <v>0.0384615384615385</v>
      </c>
      <c r="BC1614" s="50" t="n">
        <f aca="false">BB1614*CB1614</f>
        <v>5.96153846153846</v>
      </c>
      <c r="BD1614" s="51" t="n">
        <f aca="false">IF(LEFT(Cockpit!$O$5,1)="A",H1614,IF(CH1614=1,(CK1614+CI1614)/2,IF(LEFT(Cockpit!$O$5,1)="B",(CK1614+BF1614)/2,MAX((CK1614+BF1614)/2,H1614))))</f>
        <v>0.5</v>
      </c>
      <c r="BE1614" s="50" t="n">
        <f aca="false">BD1614*G1614</f>
        <v>3.78</v>
      </c>
      <c r="BF1614" s="50" t="n">
        <f aca="false">ROUNDUP(CK1614+MAX(CL1614,2*(J1614/IF(CG1614&gt;0,CG1614,MAX(0.1,N(Cockpit!$O$6)))-CK1614)),0)</f>
        <v>1</v>
      </c>
      <c r="BG1614" s="51" t="n">
        <f aca="false">IF(BC1614&gt;0,J1614/BC1614,-1)</f>
        <v>0</v>
      </c>
      <c r="BH1614" s="51" t="n">
        <f aca="false">IF(AND(OR(CF1614="L1",CF1614="L23",CF1614="LIFT"),BC1614&gt;0),SUMIFS($BC$7:$BC$1843,$CF$7:$CF$1843,CF1614,$BG$7:$BG$1843,"&gt;"&amp;BG1614)+SUMIFS($BC$7:$BC$1843,$CF$7:$CF$1843,CF1614,$BG$7:$BG$1843,BG1614,$BW$7:$BW$1843,"&lt;="&amp;BW1614),"")</f>
        <v>31035.8768030463</v>
      </c>
      <c r="BI1614" s="58" t="n">
        <f aca="false">IF(BH1614="",0,MAX(0,MIN(1,(IF(CF1614="L1",Parameter!$H$5,IF(CF1614="L23",Parameter!$H$6+Parameter!$H$7,Parameter!$H$5+Parameter!$H$6+Parameter!$H$7))-(BH1614-BC1614))/BC1614)))</f>
        <v>1</v>
      </c>
      <c r="BJ1614" s="48" t="str">
        <f aca="false">IF(AI1614&lt;=0,"",IF(CF1614="Aussen","Aussenlager",IF(CF1614="-","Nicht im Lift",IF(AO1614&gt;=1,"Lift",IF(AO1614&lt;=0,"Aussenlager","teilweise")))))</f>
        <v>Lift</v>
      </c>
      <c r="BK1614" s="48" t="str">
        <f aca="false">IF(AS1614&lt;=0,"",IF(CF1614="Aussen","Aussenlager",IF(CF1614="-","Nicht im Lift",IF(AY1614&gt;=1,"Lift",IF(AY1614&lt;=0,"Aussenlager","teilweise")))))</f>
        <v>Aussenlager</v>
      </c>
      <c r="BL1614" s="48" t="str">
        <f aca="false">IF(BC1614&lt;=0,"",IF(CF1614="Aussen","Aussenlager",IF(CF1614="-","Nicht im Lift",IF(BI1614&gt;=1,"Lift",IF(BI1614&lt;=0,"Aussenlager","teilweise")))))</f>
        <v>Lift</v>
      </c>
      <c r="BM1614" s="48" t="str">
        <f aca="false">IF(A1614="","",IF(BV1614=1,"Neu; ","")&amp;IF(AND(BV1614=0,BQ1614&lt;0),"negativer Bestand (Export "&amp;BQ1614&amp;"); ","")&amp;IF(J1614&lt;=0,"Kein Verbrauch; ","")&amp;IF(CQ1614&gt;0,"Lift "&amp;W1614&amp;" lt. Liftbericht (Fach "&amp;X1614&amp;" Stk); ",IF(CA1614=1,"Gebinde geschätzt ("&amp;T1614&amp;"); ",IF(BZ1614=1,"Lose – Tablare geschätzt; ","")))&amp;IF(H1614&gt;AV1614,"Überbestand "&amp;ROUND(H1614-AV1614,0)&amp;" Stk / CHF "&amp;ROUND((H1614-AV1614)*G1614,0)&amp;"; ","")&amp;IF(AND(CH1614=1,CI1614&lt;CJ1614),"MAX &lt; MB+LG; ","")&amp;IF(AND(CP1614&gt;0,CO1614*10&gt;CP1614),"zu hoch für Tablar; ","")&amp;IF(AND(BV1614=0,OR(CH1614=1,AA1614&lt;&gt;"",U1614&lt;&gt;"",V1614&lt;&gt;"",AB1614&lt;&gt;"")),"manuell übersteuert; ","")&amp;IF(AND(BZ1614=0,R1614=0),"Gebinde unbekannt / Stellmass fehlt; ","")&amp;IF(AND(BZ1614=0,N(V1614)&lt;=0,N(Q1614)&lt;=0),"Menge pro Gebinde fehlt (Ist = 1 Gebinde); ","")&amp;BU1614)</f>
        <v>Kein Verbrauch; Gebinde geschätzt (Klein); Überbestand 2 Stk / CHF 15; Menge pro Gebinde fehlt (Ist = 1 Gebinde); nur im Artikelstamm (Bestand 23.06.2026)</v>
      </c>
      <c r="BN1614" s="48"/>
      <c r="BO1614" s="48"/>
      <c r="BP1614" s="55"/>
      <c r="BQ1614" s="50" t="n">
        <v>3</v>
      </c>
      <c r="BR1614" s="50" t="n">
        <v>0</v>
      </c>
      <c r="BS1614" s="49" t="n">
        <v>0</v>
      </c>
      <c r="BT1614" s="50" t="n">
        <v>0</v>
      </c>
      <c r="BU1614" s="48" t="s">
        <v>2584</v>
      </c>
      <c r="BV1614" s="53" t="n">
        <v>0</v>
      </c>
      <c r="BW1614" s="53" t="n">
        <v>1614</v>
      </c>
      <c r="BX1614" s="48" t="str">
        <f aca="false">IF(U1614&lt;&gt;"",UPPER(TRIM(U1614)),IF(CA1614=1,UPPER(VLOOKUP(T1614,Parameter!$I$27:$K$29,2,0)),IF(P1614="","LOSE",P1614)))</f>
        <v>S51</v>
      </c>
      <c r="BY1614" s="50" t="n">
        <f aca="false">IF(BX1614="LOSE",1,IF(N(V1614)&gt;0,V1614,IF(CA1614=1,MAX(1,N(VLOOKUP(T1614,Parameter!$I$27:$K$29,3,0)),H1614,N(N1614)),IF(N(Q1614)&gt;0,Q1614,MAX(1,H1614)))))</f>
        <v>20</v>
      </c>
      <c r="BZ1614" s="53" t="n">
        <f aca="false">IF(BX1614="LOSE",1,0)</f>
        <v>0</v>
      </c>
      <c r="CA1614" s="53" t="n">
        <f aca="false">IF(AND(U1614="",OR(P1614="",P1614="LOSE"),T1614&lt;&gt;"",N(S1614)&lt;=0,ISNUMBER(MATCH(T1614,Parameter!$I$27:$I$29,0))),1,0)</f>
        <v>1</v>
      </c>
      <c r="CB1614" s="53" t="n">
        <f aca="false">IF(CQ1614&gt;0,INDEX(Parameter!$H$5:$H$7,W1614)/INDEX(Parameter!$E$5:$E$7,W1614),IF(AND(BZ1614=0,N(IFERROR(VLOOKUP(BX1614,'Gebinde-Kategorie'!$A$5:$N$45,14,0),0))&gt;0),VLOOKUP(BX1614,'Gebinde-Kategorie'!$A$5:$N$45,14,0)*10+Parameter!$M$23,Parameter!$M$24))</f>
        <v>155</v>
      </c>
      <c r="CC1614" s="48" t="str">
        <f aca="false">IF(AND(Parameter!$B$19="Ja",E1614&lt;&gt;"",ISNUMBER(MATCH(E1614,Parameter!$I$35:$I$52,0))),VLOOKUP(E1614,Parameter!$I$35:$J$52,2,0),IFERROR(VLOOKUP(D1614,Parameter!$A$35:$C$64,2,0),"Nein"))</f>
        <v>2+3</v>
      </c>
      <c r="CD1614" s="52" t="n">
        <f aca="false">IF(BZ1614=0,0,IF(N(S1614)&gt;0,S1614,IFERROR(VLOOKUP(D1614,Parameter!$A$35:$C$64,3,0)+0,0)))</f>
        <v>0</v>
      </c>
      <c r="CE1614" s="48" t="n">
        <f aca="false">IF(AA1614&lt;&gt;"",AA1614,Z1614)</f>
        <v>3</v>
      </c>
      <c r="CF1614" s="48" t="str">
        <f aca="false">IF(OR(CE1614=1,CE1614=2,CE1614=3),IF(Parameter!$E$27="Ja","LIFT",IF(CE1614=1,"L1","L23")),IF(CE1614="Aussen","Aussen","-"))</f>
        <v>LIFT</v>
      </c>
      <c r="CG1614" s="59" t="n">
        <f aca="false">IF(N(AB1614)&gt;0,AB1614,0)</f>
        <v>0</v>
      </c>
      <c r="CH1614" s="53" t="n">
        <f aca="false">IF(ISNUMBER(AE1614),1,0)</f>
        <v>0</v>
      </c>
      <c r="CI1614" s="50" t="n">
        <f aca="false">N(AE1614)</f>
        <v>0</v>
      </c>
      <c r="CJ1614" s="50" t="n">
        <f aca="false">N(M1614)+N(N1614)</f>
        <v>1</v>
      </c>
      <c r="CK1614" s="50" t="n">
        <f aca="false">N(M1614)</f>
        <v>0</v>
      </c>
      <c r="CL1614" s="50" t="n">
        <f aca="false">N(N1614)</f>
        <v>1</v>
      </c>
      <c r="CM1614" s="50" t="n">
        <f aca="false">ROUNDUP(H1614/BY1614,0)</f>
        <v>1</v>
      </c>
      <c r="CN1614" s="50" t="n">
        <f aca="false">ROUNDUP(CI1614/BY1614,0)</f>
        <v>0</v>
      </c>
      <c r="CO1614" s="53" t="n">
        <f aca="false">IF(BZ1614=1,0,IFERROR(VLOOKUP(BX1614,'Gebinde-Kategorie'!$A$5:$N$45,5,0)+0,0))</f>
        <v>11</v>
      </c>
      <c r="CP1614" s="53" t="n">
        <f aca="false">IFERROR(IF(OR(CE1614=1,CE1614=2,CE1614=3),N(INDEX(Parameter!$I$5:$I$7,CE1614)),0),0)</f>
        <v>0</v>
      </c>
      <c r="CQ1614" s="52" t="n">
        <f aca="false">IF(AND(Parameter!$B$21="Ja",ISNUMBER(W1614),N(X1614)&gt;0),IFERROR(N(INDEX(Parameter!$L$5:$L$7,W1614))*INDEX(Parameter!$E$5:$E$7,W1614)*X1614/SUMIFS($X$7:$X$1843,$W$7:$W$1843,W1614),0),0)</f>
        <v>0</v>
      </c>
    </row>
    <row r="1615" customFormat="false" ht="15" hidden="false" customHeight="false" outlineLevel="0" collapsed="false">
      <c r="A1615" s="48" t="s">
        <v>2823</v>
      </c>
      <c r="B1615" s="48" t="s">
        <v>1457</v>
      </c>
      <c r="C1615" s="48" t="s">
        <v>173</v>
      </c>
      <c r="D1615" s="48" t="s">
        <v>193</v>
      </c>
      <c r="E1615" s="48"/>
      <c r="F1615" s="48"/>
      <c r="G1615" s="49" t="n">
        <v>35.5</v>
      </c>
      <c r="H1615" s="50" t="n">
        <f aca="false">MAX(0,IF(AND(Parameter!$B$21="Ja",ISNUMBER(Y1615)),Y1615,IF(Parameter!$B$20="Jahresanfang 2025 + Export",BR1615+BQ1615,BQ1615)))</f>
        <v>2</v>
      </c>
      <c r="I1615" s="50" t="n">
        <f aca="false">H1615*G1615</f>
        <v>71</v>
      </c>
      <c r="J1615" s="50" t="n">
        <f aca="false">BT1615*Parameter!$B$18</f>
        <v>0</v>
      </c>
      <c r="K1615" s="51"/>
      <c r="L1615" s="52"/>
      <c r="M1615" s="50" t="n">
        <v>0</v>
      </c>
      <c r="N1615" s="50" t="n">
        <v>10</v>
      </c>
      <c r="O1615" s="53" t="n">
        <v>112</v>
      </c>
      <c r="P1615" s="48" t="s">
        <v>177</v>
      </c>
      <c r="Q1615" s="50"/>
      <c r="R1615" s="53" t="n">
        <f aca="false">IF(BZ1615=1,0,IFERROR(VLOOKUP(BX1615,'Gebinde-Kategorie'!$A$5:$N$45,13,0)+0,0))</f>
        <v>26</v>
      </c>
      <c r="S1615" s="54"/>
      <c r="T1615" s="55" t="s">
        <v>284</v>
      </c>
      <c r="U1615" s="55"/>
      <c r="V1615" s="55"/>
      <c r="W1615" s="48"/>
      <c r="X1615" s="50"/>
      <c r="Y1615" s="50"/>
      <c r="Z1615" s="48" t="n">
        <f aca="false">IF(A1615="","",IF(AND(Parameter!$B$21="Ja",ISNUMBER(W1615)),W1615,IF(CC1615="2+3",IF(ISNUMBER(SEARCH("grosser Artikel",BU1615)),2,IFERROR(VLOOKUP(BX1615,Parameter!$F$35:$G$64,2,0),2)),IF(OR(CC1615="Nein",CC1615=""),"-",CC1615))))</f>
        <v>3</v>
      </c>
      <c r="AA1615" s="55"/>
      <c r="AB1615" s="56"/>
      <c r="AC1615" s="50" t="n">
        <f aca="false">AV1615</f>
        <v>10</v>
      </c>
      <c r="AD1615" s="50" t="n">
        <f aca="false">MAX(AV1615,H1615)</f>
        <v>10</v>
      </c>
      <c r="AE1615" s="57"/>
      <c r="AF1615" s="50" t="n">
        <f aca="false">IF(LEFT(Cockpit!$C$5,1)="A",H1615,IF(Parameter!$E$30="MAX-Bestand",IF(CH1615=1,CI1615,IF(LEFT(Cockpit!$C$5,1)="B",AL1615,MAX(AL1615,H1615))),ROUNDUP(AJ1615,0)))</f>
        <v>2</v>
      </c>
      <c r="AG1615" s="50" t="n">
        <f aca="false">IF(BZ1615=1,0,ROUNDUP(AF1615/BY1615,0))</f>
        <v>1</v>
      </c>
      <c r="AH1615" s="52" t="n">
        <f aca="false">IF(CQ1615&gt;0,CQ1615*MAX(1,AF1615/X1615),IF(BZ1615=1,IF(AF1615&lt;=0,0,CD1615*MAX(1,IF(H1615&gt;0,AF1615/H1615,1))),IF(R1615&gt;0,AG1615/R1615,0))/MAX(0.1,N(Parameter!$M$21)))</f>
        <v>0.0384615384615385</v>
      </c>
      <c r="AI1615" s="50" t="n">
        <f aca="false">AH1615*CB1615</f>
        <v>5.96153846153846</v>
      </c>
      <c r="AJ1615" s="51" t="n">
        <f aca="false">IF(LEFT(Cockpit!$C$5,1)="A",H1615,IF(CH1615=1,(CK1615+CI1615)/2,IF(LEFT(Cockpit!$C$5,1)="B",(CK1615+AL1615)/2,MAX((CK1615+AL1615)/2,H1615))))</f>
        <v>2</v>
      </c>
      <c r="AK1615" s="50" t="n">
        <f aca="false">AJ1615*G1615</f>
        <v>71</v>
      </c>
      <c r="AL1615" s="50" t="n">
        <f aca="false">ROUNDUP(CK1615+MAX(CL1615,2*(J1615/IF(CG1615&gt;0,CG1615,MAX(0.1,N(Cockpit!$C$6)))-CK1615)),0)</f>
        <v>10</v>
      </c>
      <c r="AM1615" s="51" t="n">
        <f aca="false">IF(AI1615&gt;0,J1615/AI1615,-1)</f>
        <v>0</v>
      </c>
      <c r="AN1615" s="51" t="n">
        <f aca="false">IF(AND(OR(CF1615="L1",CF1615="L23",CF1615="LIFT"),AI1615&gt;0),SUMIFS($AI$7:$AI$1843,$CF$7:$CF$1843,CF1615,$AM$7:$AM$1843,"&gt;"&amp;AM1615)+SUMIFS($AI$7:$AI$1843,$CF$7:$CF$1843,CF1615,$AM$7:$AM$1843,AM1615,$BW$7:$BW$1843,"&lt;="&amp;BW1615),"")</f>
        <v>30812.5405491401</v>
      </c>
      <c r="AO1615" s="58" t="n">
        <f aca="false">IF(AN1615="",0,MAX(0,MIN(1,(IF(CF1615="L1",Parameter!$H$5,IF(CF1615="L23",Parameter!$H$6+Parameter!$H$7,Parameter!$H$5+Parameter!$H$6+Parameter!$H$7))-(AN1615-AI1615))/AI1615)))</f>
        <v>1</v>
      </c>
      <c r="AP1615" s="50" t="n">
        <f aca="false">IF(LEFT(Cockpit!$I$5,1)="A",H1615,IF(Parameter!$E$30="MAX-Bestand",IF(CH1615=1,CI1615,IF(LEFT(Cockpit!$I$5,1)="B",AV1615,MAX(AV1615,H1615))),ROUNDUP(AT1615,0)))</f>
        <v>5</v>
      </c>
      <c r="AQ1615" s="50" t="n">
        <f aca="false">IF(BZ1615=1,0,ROUNDUP(AP1615/BY1615,0))</f>
        <v>1</v>
      </c>
      <c r="AR1615" s="52" t="n">
        <f aca="false">IF(CQ1615&gt;0,CQ1615*MAX(1,AP1615/X1615),IF(BZ1615=1,IF(AP1615&lt;=0,0,CD1615*MAX(1,IF(H1615&gt;0,AP1615/H1615,1))),IF(R1615&gt;0,AQ1615/R1615,0))/MAX(0.1,N(Parameter!$M$21)))</f>
        <v>0.0384615384615385</v>
      </c>
      <c r="AS1615" s="50" t="n">
        <f aca="false">AR1615*CB1615</f>
        <v>5.96153846153846</v>
      </c>
      <c r="AT1615" s="51" t="n">
        <f aca="false">IF(LEFT(Cockpit!$I$5,1)="A",H1615,IF(CH1615=1,(CK1615+CI1615)/2,IF(LEFT(Cockpit!$I$5,1)="B",(CK1615+AV1615)/2,MAX((CK1615+AV1615)/2,H1615))))</f>
        <v>5</v>
      </c>
      <c r="AU1615" s="50" t="n">
        <f aca="false">AT1615*G1615</f>
        <v>177.5</v>
      </c>
      <c r="AV1615" s="50" t="n">
        <f aca="false">ROUNDUP(CK1615+MAX(CL1615,2*(J1615/IF(CG1615&gt;0,CG1615,MAX(0.1,N(Cockpit!$I$6)))-CK1615)),0)</f>
        <v>10</v>
      </c>
      <c r="AW1615" s="51" t="n">
        <f aca="false">IF(AS1615&gt;0,J1615/AS1615,-1)</f>
        <v>0</v>
      </c>
      <c r="AX1615" s="51" t="n">
        <f aca="false">IF(AND(OR(CF1615="L1",CF1615="L23",CF1615="LIFT"),AS1615&gt;0),SUMIFS($AS$7:$AS$1843,$CF$7:$CF$1843,CF1615,$AW$7:$AW$1843,"&gt;"&amp;AW1615)+SUMIFS($AS$7:$AS$1843,$CF$7:$CF$1843,CF1615,$AW$7:$AW$1843,AW1615,$BW$7:$BW$1843,"&lt;="&amp;BW1615),"")</f>
        <v>37132.3970659755</v>
      </c>
      <c r="AY1615" s="58" t="n">
        <f aca="false">IF(AX1615="",0,MAX(0,MIN(1,(IF(CF1615="L1",Parameter!$H$5,IF(CF1615="L23",Parameter!$H$6+Parameter!$H$7,Parameter!$H$5+Parameter!$H$6+Parameter!$H$7))-(AX1615-AS1615))/AS1615)))</f>
        <v>0</v>
      </c>
      <c r="AZ1615" s="50" t="n">
        <f aca="false">IF(LEFT(Cockpit!$O$5,1)="A",H1615,IF(Parameter!$E$30="MAX-Bestand",IF(CH1615=1,CI1615,IF(LEFT(Cockpit!$O$5,1)="B",BF1615,MAX(BF1615,H1615))),ROUNDUP(BD1615,0)))</f>
        <v>5</v>
      </c>
      <c r="BA1615" s="50" t="n">
        <f aca="false">IF(BZ1615=1,0,ROUNDUP(AZ1615/BY1615,0))</f>
        <v>1</v>
      </c>
      <c r="BB1615" s="52" t="n">
        <f aca="false">IF(CQ1615&gt;0,CQ1615*MAX(1,AZ1615/X1615),IF(BZ1615=1,IF(AZ1615&lt;=0,0,CD1615*MAX(1,IF(H1615&gt;0,AZ1615/H1615,1))),IF(R1615&gt;0,BA1615/R1615,0))/MAX(0.1,N(Parameter!$M$21)))</f>
        <v>0.0384615384615385</v>
      </c>
      <c r="BC1615" s="50" t="n">
        <f aca="false">BB1615*CB1615</f>
        <v>5.96153846153846</v>
      </c>
      <c r="BD1615" s="51" t="n">
        <f aca="false">IF(LEFT(Cockpit!$O$5,1)="A",H1615,IF(CH1615=1,(CK1615+CI1615)/2,IF(LEFT(Cockpit!$O$5,1)="B",(CK1615+BF1615)/2,MAX((CK1615+BF1615)/2,H1615))))</f>
        <v>5</v>
      </c>
      <c r="BE1615" s="50" t="n">
        <f aca="false">BD1615*G1615</f>
        <v>177.5</v>
      </c>
      <c r="BF1615" s="50" t="n">
        <f aca="false">ROUNDUP(CK1615+MAX(CL1615,2*(J1615/IF(CG1615&gt;0,CG1615,MAX(0.1,N(Cockpit!$O$6)))-CK1615)),0)</f>
        <v>10</v>
      </c>
      <c r="BG1615" s="51" t="n">
        <f aca="false">IF(BC1615&gt;0,J1615/BC1615,-1)</f>
        <v>0</v>
      </c>
      <c r="BH1615" s="51" t="n">
        <f aca="false">IF(AND(OR(CF1615="L1",CF1615="L23",CF1615="LIFT"),BC1615&gt;0),SUMIFS($BC$7:$BC$1843,$CF$7:$CF$1843,CF1615,$BG$7:$BG$1843,"&gt;"&amp;BG1615)+SUMIFS($BC$7:$BC$1843,$CF$7:$CF$1843,CF1615,$BG$7:$BG$1843,BG1615,$BW$7:$BW$1843,"&lt;="&amp;BW1615),"")</f>
        <v>31041.8383415078</v>
      </c>
      <c r="BI1615" s="58" t="n">
        <f aca="false">IF(BH1615="",0,MAX(0,MIN(1,(IF(CF1615="L1",Parameter!$H$5,IF(CF1615="L23",Parameter!$H$6+Parameter!$H$7,Parameter!$H$5+Parameter!$H$6+Parameter!$H$7))-(BH1615-BC1615))/BC1615)))</f>
        <v>1</v>
      </c>
      <c r="BJ1615" s="48" t="str">
        <f aca="false">IF(AI1615&lt;=0,"",IF(CF1615="Aussen","Aussenlager",IF(CF1615="-","Nicht im Lift",IF(AO1615&gt;=1,"Lift",IF(AO1615&lt;=0,"Aussenlager","teilweise")))))</f>
        <v>Lift</v>
      </c>
      <c r="BK1615" s="48" t="str">
        <f aca="false">IF(AS1615&lt;=0,"",IF(CF1615="Aussen","Aussenlager",IF(CF1615="-","Nicht im Lift",IF(AY1615&gt;=1,"Lift",IF(AY1615&lt;=0,"Aussenlager","teilweise")))))</f>
        <v>Aussenlager</v>
      </c>
      <c r="BL1615" s="48" t="str">
        <f aca="false">IF(BC1615&lt;=0,"",IF(CF1615="Aussen","Aussenlager",IF(CF1615="-","Nicht im Lift",IF(BI1615&gt;=1,"Lift",IF(BI1615&lt;=0,"Aussenlager","teilweise")))))</f>
        <v>Lift</v>
      </c>
      <c r="BM1615" s="48" t="str">
        <f aca="false">IF(A1615="","",IF(BV1615=1,"Neu; ","")&amp;IF(AND(BV1615=0,BQ1615&lt;0),"negativer Bestand (Export "&amp;BQ1615&amp;"); ","")&amp;IF(J1615&lt;=0,"Kein Verbrauch; ","")&amp;IF(CQ1615&gt;0,"Lift "&amp;W1615&amp;" lt. Liftbericht (Fach "&amp;X1615&amp;" Stk); ",IF(CA1615=1,"Gebinde geschätzt ("&amp;T1615&amp;"); ",IF(BZ1615=1,"Lose – Tablare geschätzt; ","")))&amp;IF(H1615&gt;AV1615,"Überbestand "&amp;ROUND(H1615-AV1615,0)&amp;" Stk / CHF "&amp;ROUND((H1615-AV1615)*G1615,0)&amp;"; ","")&amp;IF(AND(CH1615=1,CI1615&lt;CJ1615),"MAX &lt; MB+LG; ","")&amp;IF(AND(CP1615&gt;0,CO1615*10&gt;CP1615),"zu hoch für Tablar; ","")&amp;IF(AND(BV1615=0,OR(CH1615=1,AA1615&lt;&gt;"",U1615&lt;&gt;"",V1615&lt;&gt;"",AB1615&lt;&gt;"")),"manuell übersteuert; ","")&amp;IF(AND(BZ1615=0,R1615=0),"Gebinde unbekannt / Stellmass fehlt; ","")&amp;IF(AND(BZ1615=0,N(V1615)&lt;=0,N(Q1615)&lt;=0),"Menge pro Gebinde fehlt (Ist = 1 Gebinde); ","")&amp;BU1615)</f>
        <v>Kein Verbrauch; Gebinde geschätzt (Klein); Menge pro Gebinde fehlt (Ist = 1 Gebinde); nur im Artikelstamm (Bestand 23.06.2026)</v>
      </c>
      <c r="BN1615" s="48"/>
      <c r="BO1615" s="48"/>
      <c r="BP1615" s="55"/>
      <c r="BQ1615" s="50" t="n">
        <v>2</v>
      </c>
      <c r="BR1615" s="50" t="n">
        <v>0</v>
      </c>
      <c r="BS1615" s="49" t="n">
        <v>0</v>
      </c>
      <c r="BT1615" s="50" t="n">
        <v>0</v>
      </c>
      <c r="BU1615" s="48" t="s">
        <v>2584</v>
      </c>
      <c r="BV1615" s="53" t="n">
        <v>0</v>
      </c>
      <c r="BW1615" s="53" t="n">
        <v>1615</v>
      </c>
      <c r="BX1615" s="48" t="str">
        <f aca="false">IF(U1615&lt;&gt;"",UPPER(TRIM(U1615)),IF(CA1615=1,UPPER(VLOOKUP(T1615,Parameter!$I$27:$K$29,2,0)),IF(P1615="","LOSE",P1615)))</f>
        <v>S51</v>
      </c>
      <c r="BY1615" s="50" t="n">
        <f aca="false">IF(BX1615="LOSE",1,IF(N(V1615)&gt;0,V1615,IF(CA1615=1,MAX(1,N(VLOOKUP(T1615,Parameter!$I$27:$K$29,3,0)),H1615,N(N1615)),IF(N(Q1615)&gt;0,Q1615,MAX(1,H1615)))))</f>
        <v>20</v>
      </c>
      <c r="BZ1615" s="53" t="n">
        <f aca="false">IF(BX1615="LOSE",1,0)</f>
        <v>0</v>
      </c>
      <c r="CA1615" s="53" t="n">
        <f aca="false">IF(AND(U1615="",OR(P1615="",P1615="LOSE"),T1615&lt;&gt;"",N(S1615)&lt;=0,ISNUMBER(MATCH(T1615,Parameter!$I$27:$I$29,0))),1,0)</f>
        <v>1</v>
      </c>
      <c r="CB1615" s="53" t="n">
        <f aca="false">IF(CQ1615&gt;0,INDEX(Parameter!$H$5:$H$7,W1615)/INDEX(Parameter!$E$5:$E$7,W1615),IF(AND(BZ1615=0,N(IFERROR(VLOOKUP(BX1615,'Gebinde-Kategorie'!$A$5:$N$45,14,0),0))&gt;0),VLOOKUP(BX1615,'Gebinde-Kategorie'!$A$5:$N$45,14,0)*10+Parameter!$M$23,Parameter!$M$24))</f>
        <v>155</v>
      </c>
      <c r="CC1615" s="48" t="str">
        <f aca="false">IF(AND(Parameter!$B$19="Ja",E1615&lt;&gt;"",ISNUMBER(MATCH(E1615,Parameter!$I$35:$I$52,0))),VLOOKUP(E1615,Parameter!$I$35:$J$52,2,0),IFERROR(VLOOKUP(D1615,Parameter!$A$35:$C$64,2,0),"Nein"))</f>
        <v>2+3</v>
      </c>
      <c r="CD1615" s="52" t="n">
        <f aca="false">IF(BZ1615=0,0,IF(N(S1615)&gt;0,S1615,IFERROR(VLOOKUP(D1615,Parameter!$A$35:$C$64,3,0)+0,0)))</f>
        <v>0</v>
      </c>
      <c r="CE1615" s="48" t="n">
        <f aca="false">IF(AA1615&lt;&gt;"",AA1615,Z1615)</f>
        <v>3</v>
      </c>
      <c r="CF1615" s="48" t="str">
        <f aca="false">IF(OR(CE1615=1,CE1615=2,CE1615=3),IF(Parameter!$E$27="Ja","LIFT",IF(CE1615=1,"L1","L23")),IF(CE1615="Aussen","Aussen","-"))</f>
        <v>LIFT</v>
      </c>
      <c r="CG1615" s="59" t="n">
        <f aca="false">IF(N(AB1615)&gt;0,AB1615,0)</f>
        <v>0</v>
      </c>
      <c r="CH1615" s="53" t="n">
        <f aca="false">IF(ISNUMBER(AE1615),1,0)</f>
        <v>0</v>
      </c>
      <c r="CI1615" s="50" t="n">
        <f aca="false">N(AE1615)</f>
        <v>0</v>
      </c>
      <c r="CJ1615" s="50" t="n">
        <f aca="false">N(M1615)+N(N1615)</f>
        <v>10</v>
      </c>
      <c r="CK1615" s="50" t="n">
        <f aca="false">N(M1615)</f>
        <v>0</v>
      </c>
      <c r="CL1615" s="50" t="n">
        <f aca="false">N(N1615)</f>
        <v>10</v>
      </c>
      <c r="CM1615" s="50" t="n">
        <f aca="false">ROUNDUP(H1615/BY1615,0)</f>
        <v>1</v>
      </c>
      <c r="CN1615" s="50" t="n">
        <f aca="false">ROUNDUP(CI1615/BY1615,0)</f>
        <v>0</v>
      </c>
      <c r="CO1615" s="53" t="n">
        <f aca="false">IF(BZ1615=1,0,IFERROR(VLOOKUP(BX1615,'Gebinde-Kategorie'!$A$5:$N$45,5,0)+0,0))</f>
        <v>11</v>
      </c>
      <c r="CP1615" s="53" t="n">
        <f aca="false">IFERROR(IF(OR(CE1615=1,CE1615=2,CE1615=3),N(INDEX(Parameter!$I$5:$I$7,CE1615)),0),0)</f>
        <v>0</v>
      </c>
      <c r="CQ1615" s="52" t="n">
        <f aca="false">IF(AND(Parameter!$B$21="Ja",ISNUMBER(W1615),N(X1615)&gt;0),IFERROR(N(INDEX(Parameter!$L$5:$L$7,W1615))*INDEX(Parameter!$E$5:$E$7,W1615)*X1615/SUMIFS($X$7:$X$1843,$W$7:$W$1843,W1615),0),0)</f>
        <v>0</v>
      </c>
    </row>
    <row r="1616" customFormat="false" ht="15" hidden="false" customHeight="false" outlineLevel="0" collapsed="false">
      <c r="A1616" s="48" t="s">
        <v>2824</v>
      </c>
      <c r="B1616" s="48" t="s">
        <v>2825</v>
      </c>
      <c r="C1616" s="48" t="s">
        <v>173</v>
      </c>
      <c r="D1616" s="48" t="s">
        <v>193</v>
      </c>
      <c r="E1616" s="48"/>
      <c r="F1616" s="48"/>
      <c r="G1616" s="49" t="n">
        <v>15</v>
      </c>
      <c r="H1616" s="50" t="n">
        <f aca="false">MAX(0,IF(AND(Parameter!$B$21="Ja",ISNUMBER(Y1616)),Y1616,IF(Parameter!$B$20="Jahresanfang 2025 + Export",BR1616+BQ1616,BQ1616)))</f>
        <v>100</v>
      </c>
      <c r="I1616" s="50" t="n">
        <f aca="false">H1616*G1616</f>
        <v>1500</v>
      </c>
      <c r="J1616" s="50" t="n">
        <f aca="false">BT1616*Parameter!$B$18</f>
        <v>0</v>
      </c>
      <c r="K1616" s="51"/>
      <c r="L1616" s="52"/>
      <c r="M1616" s="50" t="n">
        <v>0</v>
      </c>
      <c r="N1616" s="50" t="n">
        <v>1</v>
      </c>
      <c r="O1616" s="53" t="n">
        <v>0</v>
      </c>
      <c r="P1616" s="48" t="s">
        <v>177</v>
      </c>
      <c r="Q1616" s="50"/>
      <c r="R1616" s="53" t="n">
        <f aca="false">IF(BZ1616=1,0,IFERROR(VLOOKUP(BX1616,'Gebinde-Kategorie'!$A$5:$N$45,13,0)+0,0))</f>
        <v>26</v>
      </c>
      <c r="S1616" s="54"/>
      <c r="T1616" s="55" t="s">
        <v>284</v>
      </c>
      <c r="U1616" s="55"/>
      <c r="V1616" s="55"/>
      <c r="W1616" s="48"/>
      <c r="X1616" s="50"/>
      <c r="Y1616" s="50"/>
      <c r="Z1616" s="48" t="n">
        <f aca="false">IF(A1616="","",IF(AND(Parameter!$B$21="Ja",ISNUMBER(W1616)),W1616,IF(CC1616="2+3",IF(ISNUMBER(SEARCH("grosser Artikel",BU1616)),2,IFERROR(VLOOKUP(BX1616,Parameter!$F$35:$G$64,2,0),2)),IF(OR(CC1616="Nein",CC1616=""),"-",CC1616))))</f>
        <v>3</v>
      </c>
      <c r="AA1616" s="55"/>
      <c r="AB1616" s="56"/>
      <c r="AC1616" s="50" t="n">
        <f aca="false">AV1616</f>
        <v>1</v>
      </c>
      <c r="AD1616" s="50" t="n">
        <f aca="false">MAX(AV1616,H1616)</f>
        <v>100</v>
      </c>
      <c r="AE1616" s="57"/>
      <c r="AF1616" s="50" t="n">
        <f aca="false">IF(LEFT(Cockpit!$C$5,1)="A",H1616,IF(Parameter!$E$30="MAX-Bestand",IF(CH1616=1,CI1616,IF(LEFT(Cockpit!$C$5,1)="B",AL1616,MAX(AL1616,H1616))),ROUNDUP(AJ1616,0)))</f>
        <v>100</v>
      </c>
      <c r="AG1616" s="50" t="n">
        <f aca="false">IF(BZ1616=1,0,ROUNDUP(AF1616/BY1616,0))</f>
        <v>1</v>
      </c>
      <c r="AH1616" s="52" t="n">
        <f aca="false">IF(CQ1616&gt;0,CQ1616*MAX(1,AF1616/X1616),IF(BZ1616=1,IF(AF1616&lt;=0,0,CD1616*MAX(1,IF(H1616&gt;0,AF1616/H1616,1))),IF(R1616&gt;0,AG1616/R1616,0))/MAX(0.1,N(Parameter!$M$21)))</f>
        <v>0.0384615384615385</v>
      </c>
      <c r="AI1616" s="50" t="n">
        <f aca="false">AH1616*CB1616</f>
        <v>5.96153846153846</v>
      </c>
      <c r="AJ1616" s="51" t="n">
        <f aca="false">IF(LEFT(Cockpit!$C$5,1)="A",H1616,IF(CH1616=1,(CK1616+CI1616)/2,IF(LEFT(Cockpit!$C$5,1)="B",(CK1616+AL1616)/2,MAX((CK1616+AL1616)/2,H1616))))</f>
        <v>100</v>
      </c>
      <c r="AK1616" s="50" t="n">
        <f aca="false">AJ1616*G1616</f>
        <v>1500</v>
      </c>
      <c r="AL1616" s="50" t="n">
        <f aca="false">ROUNDUP(CK1616+MAX(CL1616,2*(J1616/IF(CG1616&gt;0,CG1616,MAX(0.1,N(Cockpit!$C$6)))-CK1616)),0)</f>
        <v>1</v>
      </c>
      <c r="AM1616" s="51" t="n">
        <f aca="false">IF(AI1616&gt;0,J1616/AI1616,-1)</f>
        <v>0</v>
      </c>
      <c r="AN1616" s="51" t="n">
        <f aca="false">IF(AND(OR(CF1616="L1",CF1616="L23",CF1616="LIFT"),AI1616&gt;0),SUMIFS($AI$7:$AI$1843,$CF$7:$CF$1843,CF1616,$AM$7:$AM$1843,"&gt;"&amp;AM1616)+SUMIFS($AI$7:$AI$1843,$CF$7:$CF$1843,CF1616,$AM$7:$AM$1843,AM1616,$BW$7:$BW$1843,"&lt;="&amp;BW1616),"")</f>
        <v>30818.5020876017</v>
      </c>
      <c r="AO1616" s="58" t="n">
        <f aca="false">IF(AN1616="",0,MAX(0,MIN(1,(IF(CF1616="L1",Parameter!$H$5,IF(CF1616="L23",Parameter!$H$6+Parameter!$H$7,Parameter!$H$5+Parameter!$H$6+Parameter!$H$7))-(AN1616-AI1616))/AI1616)))</f>
        <v>1</v>
      </c>
      <c r="AP1616" s="50" t="n">
        <f aca="false">IF(LEFT(Cockpit!$I$5,1)="A",H1616,IF(Parameter!$E$30="MAX-Bestand",IF(CH1616=1,CI1616,IF(LEFT(Cockpit!$I$5,1)="B",AV1616,MAX(AV1616,H1616))),ROUNDUP(AT1616,0)))</f>
        <v>100</v>
      </c>
      <c r="AQ1616" s="50" t="n">
        <f aca="false">IF(BZ1616=1,0,ROUNDUP(AP1616/BY1616,0))</f>
        <v>1</v>
      </c>
      <c r="AR1616" s="52" t="n">
        <f aca="false">IF(CQ1616&gt;0,CQ1616*MAX(1,AP1616/X1616),IF(BZ1616=1,IF(AP1616&lt;=0,0,CD1616*MAX(1,IF(H1616&gt;0,AP1616/H1616,1))),IF(R1616&gt;0,AQ1616/R1616,0))/MAX(0.1,N(Parameter!$M$21)))</f>
        <v>0.0384615384615385</v>
      </c>
      <c r="AS1616" s="50" t="n">
        <f aca="false">AR1616*CB1616</f>
        <v>5.96153846153846</v>
      </c>
      <c r="AT1616" s="51" t="n">
        <f aca="false">IF(LEFT(Cockpit!$I$5,1)="A",H1616,IF(CH1616=1,(CK1616+CI1616)/2,IF(LEFT(Cockpit!$I$5,1)="B",(CK1616+AV1616)/2,MAX((CK1616+AV1616)/2,H1616))))</f>
        <v>100</v>
      </c>
      <c r="AU1616" s="50" t="n">
        <f aca="false">AT1616*G1616</f>
        <v>1500</v>
      </c>
      <c r="AV1616" s="50" t="n">
        <f aca="false">ROUNDUP(CK1616+MAX(CL1616,2*(J1616/IF(CG1616&gt;0,CG1616,MAX(0.1,N(Cockpit!$I$6)))-CK1616)),0)</f>
        <v>1</v>
      </c>
      <c r="AW1616" s="51" t="n">
        <f aca="false">IF(AS1616&gt;0,J1616/AS1616,-1)</f>
        <v>0</v>
      </c>
      <c r="AX1616" s="51" t="n">
        <f aca="false">IF(AND(OR(CF1616="L1",CF1616="L23",CF1616="LIFT"),AS1616&gt;0),SUMIFS($AS$7:$AS$1843,$CF$7:$CF$1843,CF1616,$AW$7:$AW$1843,"&gt;"&amp;AW1616)+SUMIFS($AS$7:$AS$1843,$CF$7:$CF$1843,CF1616,$AW$7:$AW$1843,AW1616,$BW$7:$BW$1843,"&lt;="&amp;BW1616),"")</f>
        <v>37138.358604437</v>
      </c>
      <c r="AY1616" s="58" t="n">
        <f aca="false">IF(AX1616="",0,MAX(0,MIN(1,(IF(CF1616="L1",Parameter!$H$5,IF(CF1616="L23",Parameter!$H$6+Parameter!$H$7,Parameter!$H$5+Parameter!$H$6+Parameter!$H$7))-(AX1616-AS1616))/AS1616)))</f>
        <v>0</v>
      </c>
      <c r="AZ1616" s="50" t="n">
        <f aca="false">IF(LEFT(Cockpit!$O$5,1)="A",H1616,IF(Parameter!$E$30="MAX-Bestand",IF(CH1616=1,CI1616,IF(LEFT(Cockpit!$O$5,1)="B",BF1616,MAX(BF1616,H1616))),ROUNDUP(BD1616,0)))</f>
        <v>1</v>
      </c>
      <c r="BA1616" s="50" t="n">
        <f aca="false">IF(BZ1616=1,0,ROUNDUP(AZ1616/BY1616,0))</f>
        <v>1</v>
      </c>
      <c r="BB1616" s="52" t="n">
        <f aca="false">IF(CQ1616&gt;0,CQ1616*MAX(1,AZ1616/X1616),IF(BZ1616=1,IF(AZ1616&lt;=0,0,CD1616*MAX(1,IF(H1616&gt;0,AZ1616/H1616,1))),IF(R1616&gt;0,BA1616/R1616,0))/MAX(0.1,N(Parameter!$M$21)))</f>
        <v>0.0384615384615385</v>
      </c>
      <c r="BC1616" s="50" t="n">
        <f aca="false">BB1616*CB1616</f>
        <v>5.96153846153846</v>
      </c>
      <c r="BD1616" s="51" t="n">
        <f aca="false">IF(LEFT(Cockpit!$O$5,1)="A",H1616,IF(CH1616=1,(CK1616+CI1616)/2,IF(LEFT(Cockpit!$O$5,1)="B",(CK1616+BF1616)/2,MAX((CK1616+BF1616)/2,H1616))))</f>
        <v>0.5</v>
      </c>
      <c r="BE1616" s="50" t="n">
        <f aca="false">BD1616*G1616</f>
        <v>7.5</v>
      </c>
      <c r="BF1616" s="50" t="n">
        <f aca="false">ROUNDUP(CK1616+MAX(CL1616,2*(J1616/IF(CG1616&gt;0,CG1616,MAX(0.1,N(Cockpit!$O$6)))-CK1616)),0)</f>
        <v>1</v>
      </c>
      <c r="BG1616" s="51" t="n">
        <f aca="false">IF(BC1616&gt;0,J1616/BC1616,-1)</f>
        <v>0</v>
      </c>
      <c r="BH1616" s="51" t="n">
        <f aca="false">IF(AND(OR(CF1616="L1",CF1616="L23",CF1616="LIFT"),BC1616&gt;0),SUMIFS($BC$7:$BC$1843,$CF$7:$CF$1843,CF1616,$BG$7:$BG$1843,"&gt;"&amp;BG1616)+SUMIFS($BC$7:$BC$1843,$CF$7:$CF$1843,CF1616,$BG$7:$BG$1843,BG1616,$BW$7:$BW$1843,"&lt;="&amp;BW1616),"")</f>
        <v>31047.7998799694</v>
      </c>
      <c r="BI1616" s="58" t="n">
        <f aca="false">IF(BH1616="",0,MAX(0,MIN(1,(IF(CF1616="L1",Parameter!$H$5,IF(CF1616="L23",Parameter!$H$6+Parameter!$H$7,Parameter!$H$5+Parameter!$H$6+Parameter!$H$7))-(BH1616-BC1616))/BC1616)))</f>
        <v>1</v>
      </c>
      <c r="BJ1616" s="48" t="str">
        <f aca="false">IF(AI1616&lt;=0,"",IF(CF1616="Aussen","Aussenlager",IF(CF1616="-","Nicht im Lift",IF(AO1616&gt;=1,"Lift",IF(AO1616&lt;=0,"Aussenlager","teilweise")))))</f>
        <v>Lift</v>
      </c>
      <c r="BK1616" s="48" t="str">
        <f aca="false">IF(AS1616&lt;=0,"",IF(CF1616="Aussen","Aussenlager",IF(CF1616="-","Nicht im Lift",IF(AY1616&gt;=1,"Lift",IF(AY1616&lt;=0,"Aussenlager","teilweise")))))</f>
        <v>Aussenlager</v>
      </c>
      <c r="BL1616" s="48" t="str">
        <f aca="false">IF(BC1616&lt;=0,"",IF(CF1616="Aussen","Aussenlager",IF(CF1616="-","Nicht im Lift",IF(BI1616&gt;=1,"Lift",IF(BI1616&lt;=0,"Aussenlager","teilweise")))))</f>
        <v>Lift</v>
      </c>
      <c r="BM1616" s="48" t="str">
        <f aca="false">IF(A1616="","",IF(BV1616=1,"Neu; ","")&amp;IF(AND(BV1616=0,BQ1616&lt;0),"negativer Bestand (Export "&amp;BQ1616&amp;"); ","")&amp;IF(J1616&lt;=0,"Kein Verbrauch; ","")&amp;IF(CQ1616&gt;0,"Lift "&amp;W1616&amp;" lt. Liftbericht (Fach "&amp;X1616&amp;" Stk); ",IF(CA1616=1,"Gebinde geschätzt ("&amp;T1616&amp;"); ",IF(BZ1616=1,"Lose – Tablare geschätzt; ","")))&amp;IF(H1616&gt;AV1616,"Überbestand "&amp;ROUND(H1616-AV1616,0)&amp;" Stk / CHF "&amp;ROUND((H1616-AV1616)*G1616,0)&amp;"; ","")&amp;IF(AND(CH1616=1,CI1616&lt;CJ1616),"MAX &lt; MB+LG; ","")&amp;IF(AND(CP1616&gt;0,CO1616*10&gt;CP1616),"zu hoch für Tablar; ","")&amp;IF(AND(BV1616=0,OR(CH1616=1,AA1616&lt;&gt;"",U1616&lt;&gt;"",V1616&lt;&gt;"",AB1616&lt;&gt;"")),"manuell übersteuert; ","")&amp;IF(AND(BZ1616=0,R1616=0),"Gebinde unbekannt / Stellmass fehlt; ","")&amp;IF(AND(BZ1616=0,N(V1616)&lt;=0,N(Q1616)&lt;=0),"Menge pro Gebinde fehlt (Ist = 1 Gebinde); ","")&amp;BU1616)</f>
        <v>Kein Verbrauch; Gebinde geschätzt (Klein); Überbestand 99 Stk / CHF 1485; Menge pro Gebinde fehlt (Ist = 1 Gebinde); nur im Artikelstamm (Bestand 23.06.2026)</v>
      </c>
      <c r="BN1616" s="48"/>
      <c r="BO1616" s="48"/>
      <c r="BP1616" s="55"/>
      <c r="BQ1616" s="50" t="n">
        <v>100</v>
      </c>
      <c r="BR1616" s="50" t="n">
        <v>0</v>
      </c>
      <c r="BS1616" s="49" t="n">
        <v>0</v>
      </c>
      <c r="BT1616" s="50" t="n">
        <v>0</v>
      </c>
      <c r="BU1616" s="48" t="s">
        <v>2584</v>
      </c>
      <c r="BV1616" s="53" t="n">
        <v>0</v>
      </c>
      <c r="BW1616" s="53" t="n">
        <v>1616</v>
      </c>
      <c r="BX1616" s="48" t="str">
        <f aca="false">IF(U1616&lt;&gt;"",UPPER(TRIM(U1616)),IF(CA1616=1,UPPER(VLOOKUP(T1616,Parameter!$I$27:$K$29,2,0)),IF(P1616="","LOSE",P1616)))</f>
        <v>S51</v>
      </c>
      <c r="BY1616" s="50" t="n">
        <f aca="false">IF(BX1616="LOSE",1,IF(N(V1616)&gt;0,V1616,IF(CA1616=1,MAX(1,N(VLOOKUP(T1616,Parameter!$I$27:$K$29,3,0)),H1616,N(N1616)),IF(N(Q1616)&gt;0,Q1616,MAX(1,H1616)))))</f>
        <v>100</v>
      </c>
      <c r="BZ1616" s="53" t="n">
        <f aca="false">IF(BX1616="LOSE",1,0)</f>
        <v>0</v>
      </c>
      <c r="CA1616" s="53" t="n">
        <f aca="false">IF(AND(U1616="",OR(P1616="",P1616="LOSE"),T1616&lt;&gt;"",N(S1616)&lt;=0,ISNUMBER(MATCH(T1616,Parameter!$I$27:$I$29,0))),1,0)</f>
        <v>1</v>
      </c>
      <c r="CB1616" s="53" t="n">
        <f aca="false">IF(CQ1616&gt;0,INDEX(Parameter!$H$5:$H$7,W1616)/INDEX(Parameter!$E$5:$E$7,W1616),IF(AND(BZ1616=0,N(IFERROR(VLOOKUP(BX1616,'Gebinde-Kategorie'!$A$5:$N$45,14,0),0))&gt;0),VLOOKUP(BX1616,'Gebinde-Kategorie'!$A$5:$N$45,14,0)*10+Parameter!$M$23,Parameter!$M$24))</f>
        <v>155</v>
      </c>
      <c r="CC1616" s="48" t="str">
        <f aca="false">IF(AND(Parameter!$B$19="Ja",E1616&lt;&gt;"",ISNUMBER(MATCH(E1616,Parameter!$I$35:$I$52,0))),VLOOKUP(E1616,Parameter!$I$35:$J$52,2,0),IFERROR(VLOOKUP(D1616,Parameter!$A$35:$C$64,2,0),"Nein"))</f>
        <v>2+3</v>
      </c>
      <c r="CD1616" s="52" t="n">
        <f aca="false">IF(BZ1616=0,0,IF(N(S1616)&gt;0,S1616,IFERROR(VLOOKUP(D1616,Parameter!$A$35:$C$64,3,0)+0,0)))</f>
        <v>0</v>
      </c>
      <c r="CE1616" s="48" t="n">
        <f aca="false">IF(AA1616&lt;&gt;"",AA1616,Z1616)</f>
        <v>3</v>
      </c>
      <c r="CF1616" s="48" t="str">
        <f aca="false">IF(OR(CE1616=1,CE1616=2,CE1616=3),IF(Parameter!$E$27="Ja","LIFT",IF(CE1616=1,"L1","L23")),IF(CE1616="Aussen","Aussen","-"))</f>
        <v>LIFT</v>
      </c>
      <c r="CG1616" s="59" t="n">
        <f aca="false">IF(N(AB1616)&gt;0,AB1616,0)</f>
        <v>0</v>
      </c>
      <c r="CH1616" s="53" t="n">
        <f aca="false">IF(ISNUMBER(AE1616),1,0)</f>
        <v>0</v>
      </c>
      <c r="CI1616" s="50" t="n">
        <f aca="false">N(AE1616)</f>
        <v>0</v>
      </c>
      <c r="CJ1616" s="50" t="n">
        <f aca="false">N(M1616)+N(N1616)</f>
        <v>1</v>
      </c>
      <c r="CK1616" s="50" t="n">
        <f aca="false">N(M1616)</f>
        <v>0</v>
      </c>
      <c r="CL1616" s="50" t="n">
        <f aca="false">N(N1616)</f>
        <v>1</v>
      </c>
      <c r="CM1616" s="50" t="n">
        <f aca="false">ROUNDUP(H1616/BY1616,0)</f>
        <v>1</v>
      </c>
      <c r="CN1616" s="50" t="n">
        <f aca="false">ROUNDUP(CI1616/BY1616,0)</f>
        <v>0</v>
      </c>
      <c r="CO1616" s="53" t="n">
        <f aca="false">IF(BZ1616=1,0,IFERROR(VLOOKUP(BX1616,'Gebinde-Kategorie'!$A$5:$N$45,5,0)+0,0))</f>
        <v>11</v>
      </c>
      <c r="CP1616" s="53" t="n">
        <f aca="false">IFERROR(IF(OR(CE1616=1,CE1616=2,CE1616=3),N(INDEX(Parameter!$I$5:$I$7,CE1616)),0),0)</f>
        <v>0</v>
      </c>
      <c r="CQ1616" s="52" t="n">
        <f aca="false">IF(AND(Parameter!$B$21="Ja",ISNUMBER(W1616),N(X1616)&gt;0),IFERROR(N(INDEX(Parameter!$L$5:$L$7,W1616))*INDEX(Parameter!$E$5:$E$7,W1616)*X1616/SUMIFS($X$7:$X$1843,$W$7:$W$1843,W1616),0),0)</f>
        <v>0</v>
      </c>
    </row>
    <row r="1617" customFormat="false" ht="15" hidden="false" customHeight="false" outlineLevel="0" collapsed="false">
      <c r="A1617" s="48" t="s">
        <v>2826</v>
      </c>
      <c r="B1617" s="48" t="s">
        <v>2827</v>
      </c>
      <c r="C1617" s="48" t="s">
        <v>173</v>
      </c>
      <c r="D1617" s="48" t="s">
        <v>193</v>
      </c>
      <c r="E1617" s="48"/>
      <c r="F1617" s="48"/>
      <c r="G1617" s="49" t="n">
        <v>28.4</v>
      </c>
      <c r="H1617" s="50" t="n">
        <f aca="false">MAX(0,IF(AND(Parameter!$B$21="Ja",ISNUMBER(Y1617)),Y1617,IF(Parameter!$B$20="Jahresanfang 2025 + Export",BR1617+BQ1617,BQ1617)))</f>
        <v>1</v>
      </c>
      <c r="I1617" s="50" t="n">
        <f aca="false">H1617*G1617</f>
        <v>28.4</v>
      </c>
      <c r="J1617" s="50" t="n">
        <f aca="false">BT1617*Parameter!$B$18</f>
        <v>0</v>
      </c>
      <c r="K1617" s="51"/>
      <c r="L1617" s="52"/>
      <c r="M1617" s="50" t="n">
        <v>0</v>
      </c>
      <c r="N1617" s="50" t="n">
        <v>5</v>
      </c>
      <c r="O1617" s="53" t="n">
        <v>14</v>
      </c>
      <c r="P1617" s="48" t="s">
        <v>177</v>
      </c>
      <c r="Q1617" s="50"/>
      <c r="R1617" s="53" t="n">
        <f aca="false">IF(BZ1617=1,0,IFERROR(VLOOKUP(BX1617,'Gebinde-Kategorie'!$A$5:$N$45,13,0)+0,0))</f>
        <v>26</v>
      </c>
      <c r="S1617" s="54"/>
      <c r="T1617" s="55" t="s">
        <v>284</v>
      </c>
      <c r="U1617" s="55"/>
      <c r="V1617" s="55"/>
      <c r="W1617" s="48"/>
      <c r="X1617" s="50"/>
      <c r="Y1617" s="50"/>
      <c r="Z1617" s="48" t="n">
        <f aca="false">IF(A1617="","",IF(AND(Parameter!$B$21="Ja",ISNUMBER(W1617)),W1617,IF(CC1617="2+3",IF(ISNUMBER(SEARCH("grosser Artikel",BU1617)),2,IFERROR(VLOOKUP(BX1617,Parameter!$F$35:$G$64,2,0),2)),IF(OR(CC1617="Nein",CC1617=""),"-",CC1617))))</f>
        <v>3</v>
      </c>
      <c r="AA1617" s="55"/>
      <c r="AB1617" s="56"/>
      <c r="AC1617" s="50" t="n">
        <f aca="false">AV1617</f>
        <v>5</v>
      </c>
      <c r="AD1617" s="50" t="n">
        <f aca="false">MAX(AV1617,H1617)</f>
        <v>5</v>
      </c>
      <c r="AE1617" s="57"/>
      <c r="AF1617" s="50" t="n">
        <f aca="false">IF(LEFT(Cockpit!$C$5,1)="A",H1617,IF(Parameter!$E$30="MAX-Bestand",IF(CH1617=1,CI1617,IF(LEFT(Cockpit!$C$5,1)="B",AL1617,MAX(AL1617,H1617))),ROUNDUP(AJ1617,0)))</f>
        <v>1</v>
      </c>
      <c r="AG1617" s="50" t="n">
        <f aca="false">IF(BZ1617=1,0,ROUNDUP(AF1617/BY1617,0))</f>
        <v>1</v>
      </c>
      <c r="AH1617" s="52" t="n">
        <f aca="false">IF(CQ1617&gt;0,CQ1617*MAX(1,AF1617/X1617),IF(BZ1617=1,IF(AF1617&lt;=0,0,CD1617*MAX(1,IF(H1617&gt;0,AF1617/H1617,1))),IF(R1617&gt;0,AG1617/R1617,0))/MAX(0.1,N(Parameter!$M$21)))</f>
        <v>0.0384615384615385</v>
      </c>
      <c r="AI1617" s="50" t="n">
        <f aca="false">AH1617*CB1617</f>
        <v>5.96153846153846</v>
      </c>
      <c r="AJ1617" s="51" t="n">
        <f aca="false">IF(LEFT(Cockpit!$C$5,1)="A",H1617,IF(CH1617=1,(CK1617+CI1617)/2,IF(LEFT(Cockpit!$C$5,1)="B",(CK1617+AL1617)/2,MAX((CK1617+AL1617)/2,H1617))))</f>
        <v>1</v>
      </c>
      <c r="AK1617" s="50" t="n">
        <f aca="false">AJ1617*G1617</f>
        <v>28.4</v>
      </c>
      <c r="AL1617" s="50" t="n">
        <f aca="false">ROUNDUP(CK1617+MAX(CL1617,2*(J1617/IF(CG1617&gt;0,CG1617,MAX(0.1,N(Cockpit!$C$6)))-CK1617)),0)</f>
        <v>5</v>
      </c>
      <c r="AM1617" s="51" t="n">
        <f aca="false">IF(AI1617&gt;0,J1617/AI1617,-1)</f>
        <v>0</v>
      </c>
      <c r="AN1617" s="51" t="n">
        <f aca="false">IF(AND(OR(CF1617="L1",CF1617="L23",CF1617="LIFT"),AI1617&gt;0),SUMIFS($AI$7:$AI$1843,$CF$7:$CF$1843,CF1617,$AM$7:$AM$1843,"&gt;"&amp;AM1617)+SUMIFS($AI$7:$AI$1843,$CF$7:$CF$1843,CF1617,$AM$7:$AM$1843,AM1617,$BW$7:$BW$1843,"&lt;="&amp;BW1617),"")</f>
        <v>30824.4636260632</v>
      </c>
      <c r="AO1617" s="58" t="n">
        <f aca="false">IF(AN1617="",0,MAX(0,MIN(1,(IF(CF1617="L1",Parameter!$H$5,IF(CF1617="L23",Parameter!$H$6+Parameter!$H$7,Parameter!$H$5+Parameter!$H$6+Parameter!$H$7))-(AN1617-AI1617))/AI1617)))</f>
        <v>1</v>
      </c>
      <c r="AP1617" s="50" t="n">
        <f aca="false">IF(LEFT(Cockpit!$I$5,1)="A",H1617,IF(Parameter!$E$30="MAX-Bestand",IF(CH1617=1,CI1617,IF(LEFT(Cockpit!$I$5,1)="B",AV1617,MAX(AV1617,H1617))),ROUNDUP(AT1617,0)))</f>
        <v>3</v>
      </c>
      <c r="AQ1617" s="50" t="n">
        <f aca="false">IF(BZ1617=1,0,ROUNDUP(AP1617/BY1617,0))</f>
        <v>1</v>
      </c>
      <c r="AR1617" s="52" t="n">
        <f aca="false">IF(CQ1617&gt;0,CQ1617*MAX(1,AP1617/X1617),IF(BZ1617=1,IF(AP1617&lt;=0,0,CD1617*MAX(1,IF(H1617&gt;0,AP1617/H1617,1))),IF(R1617&gt;0,AQ1617/R1617,0))/MAX(0.1,N(Parameter!$M$21)))</f>
        <v>0.0384615384615385</v>
      </c>
      <c r="AS1617" s="50" t="n">
        <f aca="false">AR1617*CB1617</f>
        <v>5.96153846153846</v>
      </c>
      <c r="AT1617" s="51" t="n">
        <f aca="false">IF(LEFT(Cockpit!$I$5,1)="A",H1617,IF(CH1617=1,(CK1617+CI1617)/2,IF(LEFT(Cockpit!$I$5,1)="B",(CK1617+AV1617)/2,MAX((CK1617+AV1617)/2,H1617))))</f>
        <v>2.5</v>
      </c>
      <c r="AU1617" s="50" t="n">
        <f aca="false">AT1617*G1617</f>
        <v>71</v>
      </c>
      <c r="AV1617" s="50" t="n">
        <f aca="false">ROUNDUP(CK1617+MAX(CL1617,2*(J1617/IF(CG1617&gt;0,CG1617,MAX(0.1,N(Cockpit!$I$6)))-CK1617)),0)</f>
        <v>5</v>
      </c>
      <c r="AW1617" s="51" t="n">
        <f aca="false">IF(AS1617&gt;0,J1617/AS1617,-1)</f>
        <v>0</v>
      </c>
      <c r="AX1617" s="51" t="n">
        <f aca="false">IF(AND(OR(CF1617="L1",CF1617="L23",CF1617="LIFT"),AS1617&gt;0),SUMIFS($AS$7:$AS$1843,$CF$7:$CF$1843,CF1617,$AW$7:$AW$1843,"&gt;"&amp;AW1617)+SUMIFS($AS$7:$AS$1843,$CF$7:$CF$1843,CF1617,$AW$7:$AW$1843,AW1617,$BW$7:$BW$1843,"&lt;="&amp;BW1617),"")</f>
        <v>37144.3201428985</v>
      </c>
      <c r="AY1617" s="58" t="n">
        <f aca="false">IF(AX1617="",0,MAX(0,MIN(1,(IF(CF1617="L1",Parameter!$H$5,IF(CF1617="L23",Parameter!$H$6+Parameter!$H$7,Parameter!$H$5+Parameter!$H$6+Parameter!$H$7))-(AX1617-AS1617))/AS1617)))</f>
        <v>0</v>
      </c>
      <c r="AZ1617" s="50" t="n">
        <f aca="false">IF(LEFT(Cockpit!$O$5,1)="A",H1617,IF(Parameter!$E$30="MAX-Bestand",IF(CH1617=1,CI1617,IF(LEFT(Cockpit!$O$5,1)="B",BF1617,MAX(BF1617,H1617))),ROUNDUP(BD1617,0)))</f>
        <v>3</v>
      </c>
      <c r="BA1617" s="50" t="n">
        <f aca="false">IF(BZ1617=1,0,ROUNDUP(AZ1617/BY1617,0))</f>
        <v>1</v>
      </c>
      <c r="BB1617" s="52" t="n">
        <f aca="false">IF(CQ1617&gt;0,CQ1617*MAX(1,AZ1617/X1617),IF(BZ1617=1,IF(AZ1617&lt;=0,0,CD1617*MAX(1,IF(H1617&gt;0,AZ1617/H1617,1))),IF(R1617&gt;0,BA1617/R1617,0))/MAX(0.1,N(Parameter!$M$21)))</f>
        <v>0.0384615384615385</v>
      </c>
      <c r="BC1617" s="50" t="n">
        <f aca="false">BB1617*CB1617</f>
        <v>5.96153846153846</v>
      </c>
      <c r="BD1617" s="51" t="n">
        <f aca="false">IF(LEFT(Cockpit!$O$5,1)="A",H1617,IF(CH1617=1,(CK1617+CI1617)/2,IF(LEFT(Cockpit!$O$5,1)="B",(CK1617+BF1617)/2,MAX((CK1617+BF1617)/2,H1617))))</f>
        <v>2.5</v>
      </c>
      <c r="BE1617" s="50" t="n">
        <f aca="false">BD1617*G1617</f>
        <v>71</v>
      </c>
      <c r="BF1617" s="50" t="n">
        <f aca="false">ROUNDUP(CK1617+MAX(CL1617,2*(J1617/IF(CG1617&gt;0,CG1617,MAX(0.1,N(Cockpit!$O$6)))-CK1617)),0)</f>
        <v>5</v>
      </c>
      <c r="BG1617" s="51" t="n">
        <f aca="false">IF(BC1617&gt;0,J1617/BC1617,-1)</f>
        <v>0</v>
      </c>
      <c r="BH1617" s="51" t="n">
        <f aca="false">IF(AND(OR(CF1617="L1",CF1617="L23",CF1617="LIFT"),BC1617&gt;0),SUMIFS($BC$7:$BC$1843,$CF$7:$CF$1843,CF1617,$BG$7:$BG$1843,"&gt;"&amp;BG1617)+SUMIFS($BC$7:$BC$1843,$CF$7:$CF$1843,CF1617,$BG$7:$BG$1843,BG1617,$BW$7:$BW$1843,"&lt;="&amp;BW1617),"")</f>
        <v>31053.7614184309</v>
      </c>
      <c r="BI1617" s="58" t="n">
        <f aca="false">IF(BH1617="",0,MAX(0,MIN(1,(IF(CF1617="L1",Parameter!$H$5,IF(CF1617="L23",Parameter!$H$6+Parameter!$H$7,Parameter!$H$5+Parameter!$H$6+Parameter!$H$7))-(BH1617-BC1617))/BC1617)))</f>
        <v>1</v>
      </c>
      <c r="BJ1617" s="48" t="str">
        <f aca="false">IF(AI1617&lt;=0,"",IF(CF1617="Aussen","Aussenlager",IF(CF1617="-","Nicht im Lift",IF(AO1617&gt;=1,"Lift",IF(AO1617&lt;=0,"Aussenlager","teilweise")))))</f>
        <v>Lift</v>
      </c>
      <c r="BK1617" s="48" t="str">
        <f aca="false">IF(AS1617&lt;=0,"",IF(CF1617="Aussen","Aussenlager",IF(CF1617="-","Nicht im Lift",IF(AY1617&gt;=1,"Lift",IF(AY1617&lt;=0,"Aussenlager","teilweise")))))</f>
        <v>Aussenlager</v>
      </c>
      <c r="BL1617" s="48" t="str">
        <f aca="false">IF(BC1617&lt;=0,"",IF(CF1617="Aussen","Aussenlager",IF(CF1617="-","Nicht im Lift",IF(BI1617&gt;=1,"Lift",IF(BI1617&lt;=0,"Aussenlager","teilweise")))))</f>
        <v>Lift</v>
      </c>
      <c r="BM1617" s="48" t="str">
        <f aca="false">IF(A1617="","",IF(BV1617=1,"Neu; ","")&amp;IF(AND(BV1617=0,BQ1617&lt;0),"negativer Bestand (Export "&amp;BQ1617&amp;"); ","")&amp;IF(J1617&lt;=0,"Kein Verbrauch; ","")&amp;IF(CQ1617&gt;0,"Lift "&amp;W1617&amp;" lt. Liftbericht (Fach "&amp;X1617&amp;" Stk); ",IF(CA1617=1,"Gebinde geschätzt ("&amp;T1617&amp;"); ",IF(BZ1617=1,"Lose – Tablare geschätzt; ","")))&amp;IF(H1617&gt;AV1617,"Überbestand "&amp;ROUND(H1617-AV1617,0)&amp;" Stk / CHF "&amp;ROUND((H1617-AV1617)*G1617,0)&amp;"; ","")&amp;IF(AND(CH1617=1,CI1617&lt;CJ1617),"MAX &lt; MB+LG; ","")&amp;IF(AND(CP1617&gt;0,CO1617*10&gt;CP1617),"zu hoch für Tablar; ","")&amp;IF(AND(BV1617=0,OR(CH1617=1,AA1617&lt;&gt;"",U1617&lt;&gt;"",V1617&lt;&gt;"",AB1617&lt;&gt;"")),"manuell übersteuert; ","")&amp;IF(AND(BZ1617=0,R1617=0),"Gebinde unbekannt / Stellmass fehlt; ","")&amp;IF(AND(BZ1617=0,N(V1617)&lt;=0,N(Q1617)&lt;=0),"Menge pro Gebinde fehlt (Ist = 1 Gebinde); ","")&amp;BU1617)</f>
        <v>Kein Verbrauch; Gebinde geschätzt (Klein); Menge pro Gebinde fehlt (Ist = 1 Gebinde); nur im Artikelstamm (Bestand 23.06.2026)</v>
      </c>
      <c r="BN1617" s="48"/>
      <c r="BO1617" s="48"/>
      <c r="BP1617" s="55"/>
      <c r="BQ1617" s="50" t="n">
        <v>1</v>
      </c>
      <c r="BR1617" s="50" t="n">
        <v>0</v>
      </c>
      <c r="BS1617" s="49" t="n">
        <v>0</v>
      </c>
      <c r="BT1617" s="50" t="n">
        <v>0</v>
      </c>
      <c r="BU1617" s="48" t="s">
        <v>2584</v>
      </c>
      <c r="BV1617" s="53" t="n">
        <v>0</v>
      </c>
      <c r="BW1617" s="53" t="n">
        <v>1617</v>
      </c>
      <c r="BX1617" s="48" t="str">
        <f aca="false">IF(U1617&lt;&gt;"",UPPER(TRIM(U1617)),IF(CA1617=1,UPPER(VLOOKUP(T1617,Parameter!$I$27:$K$29,2,0)),IF(P1617="","LOSE",P1617)))</f>
        <v>S51</v>
      </c>
      <c r="BY1617" s="50" t="n">
        <f aca="false">IF(BX1617="LOSE",1,IF(N(V1617)&gt;0,V1617,IF(CA1617=1,MAX(1,N(VLOOKUP(T1617,Parameter!$I$27:$K$29,3,0)),H1617,N(N1617)),IF(N(Q1617)&gt;0,Q1617,MAX(1,H1617)))))</f>
        <v>20</v>
      </c>
      <c r="BZ1617" s="53" t="n">
        <f aca="false">IF(BX1617="LOSE",1,0)</f>
        <v>0</v>
      </c>
      <c r="CA1617" s="53" t="n">
        <f aca="false">IF(AND(U1617="",OR(P1617="",P1617="LOSE"),T1617&lt;&gt;"",N(S1617)&lt;=0,ISNUMBER(MATCH(T1617,Parameter!$I$27:$I$29,0))),1,0)</f>
        <v>1</v>
      </c>
      <c r="CB1617" s="53" t="n">
        <f aca="false">IF(CQ1617&gt;0,INDEX(Parameter!$H$5:$H$7,W1617)/INDEX(Parameter!$E$5:$E$7,W1617),IF(AND(BZ1617=0,N(IFERROR(VLOOKUP(BX1617,'Gebinde-Kategorie'!$A$5:$N$45,14,0),0))&gt;0),VLOOKUP(BX1617,'Gebinde-Kategorie'!$A$5:$N$45,14,0)*10+Parameter!$M$23,Parameter!$M$24))</f>
        <v>155</v>
      </c>
      <c r="CC1617" s="48" t="str">
        <f aca="false">IF(AND(Parameter!$B$19="Ja",E1617&lt;&gt;"",ISNUMBER(MATCH(E1617,Parameter!$I$35:$I$52,0))),VLOOKUP(E1617,Parameter!$I$35:$J$52,2,0),IFERROR(VLOOKUP(D1617,Parameter!$A$35:$C$64,2,0),"Nein"))</f>
        <v>2+3</v>
      </c>
      <c r="CD1617" s="52" t="n">
        <f aca="false">IF(BZ1617=0,0,IF(N(S1617)&gt;0,S1617,IFERROR(VLOOKUP(D1617,Parameter!$A$35:$C$64,3,0)+0,0)))</f>
        <v>0</v>
      </c>
      <c r="CE1617" s="48" t="n">
        <f aca="false">IF(AA1617&lt;&gt;"",AA1617,Z1617)</f>
        <v>3</v>
      </c>
      <c r="CF1617" s="48" t="str">
        <f aca="false">IF(OR(CE1617=1,CE1617=2,CE1617=3),IF(Parameter!$E$27="Ja","LIFT",IF(CE1617=1,"L1","L23")),IF(CE1617="Aussen","Aussen","-"))</f>
        <v>LIFT</v>
      </c>
      <c r="CG1617" s="59" t="n">
        <f aca="false">IF(N(AB1617)&gt;0,AB1617,0)</f>
        <v>0</v>
      </c>
      <c r="CH1617" s="53" t="n">
        <f aca="false">IF(ISNUMBER(AE1617),1,0)</f>
        <v>0</v>
      </c>
      <c r="CI1617" s="50" t="n">
        <f aca="false">N(AE1617)</f>
        <v>0</v>
      </c>
      <c r="CJ1617" s="50" t="n">
        <f aca="false">N(M1617)+N(N1617)</f>
        <v>5</v>
      </c>
      <c r="CK1617" s="50" t="n">
        <f aca="false">N(M1617)</f>
        <v>0</v>
      </c>
      <c r="CL1617" s="50" t="n">
        <f aca="false">N(N1617)</f>
        <v>5</v>
      </c>
      <c r="CM1617" s="50" t="n">
        <f aca="false">ROUNDUP(H1617/BY1617,0)</f>
        <v>1</v>
      </c>
      <c r="CN1617" s="50" t="n">
        <f aca="false">ROUNDUP(CI1617/BY1617,0)</f>
        <v>0</v>
      </c>
      <c r="CO1617" s="53" t="n">
        <f aca="false">IF(BZ1617=1,0,IFERROR(VLOOKUP(BX1617,'Gebinde-Kategorie'!$A$5:$N$45,5,0)+0,0))</f>
        <v>11</v>
      </c>
      <c r="CP1617" s="53" t="n">
        <f aca="false">IFERROR(IF(OR(CE1617=1,CE1617=2,CE1617=3),N(INDEX(Parameter!$I$5:$I$7,CE1617)),0),0)</f>
        <v>0</v>
      </c>
      <c r="CQ1617" s="52" t="n">
        <f aca="false">IF(AND(Parameter!$B$21="Ja",ISNUMBER(W1617),N(X1617)&gt;0),IFERROR(N(INDEX(Parameter!$L$5:$L$7,W1617))*INDEX(Parameter!$E$5:$E$7,W1617)*X1617/SUMIFS($X$7:$X$1843,$W$7:$W$1843,W1617),0),0)</f>
        <v>0</v>
      </c>
    </row>
    <row r="1618" customFormat="false" ht="15" hidden="false" customHeight="false" outlineLevel="0" collapsed="false">
      <c r="A1618" s="48" t="s">
        <v>2828</v>
      </c>
      <c r="B1618" s="48" t="s">
        <v>2825</v>
      </c>
      <c r="C1618" s="48" t="s">
        <v>173</v>
      </c>
      <c r="D1618" s="48" t="s">
        <v>193</v>
      </c>
      <c r="E1618" s="48"/>
      <c r="F1618" s="48"/>
      <c r="G1618" s="49" t="n">
        <v>15</v>
      </c>
      <c r="H1618" s="50" t="n">
        <f aca="false">MAX(0,IF(AND(Parameter!$B$21="Ja",ISNUMBER(Y1618)),Y1618,IF(Parameter!$B$20="Jahresanfang 2025 + Export",BR1618+BQ1618,BQ1618)))</f>
        <v>32</v>
      </c>
      <c r="I1618" s="50" t="n">
        <f aca="false">H1618*G1618</f>
        <v>480</v>
      </c>
      <c r="J1618" s="50" t="n">
        <f aca="false">BT1618*Parameter!$B$18</f>
        <v>0</v>
      </c>
      <c r="K1618" s="51"/>
      <c r="L1618" s="52"/>
      <c r="M1618" s="50" t="n">
        <v>0</v>
      </c>
      <c r="N1618" s="50" t="n">
        <v>1</v>
      </c>
      <c r="O1618" s="53" t="n">
        <v>0</v>
      </c>
      <c r="P1618" s="48" t="s">
        <v>177</v>
      </c>
      <c r="Q1618" s="50"/>
      <c r="R1618" s="53" t="n">
        <f aca="false">IF(BZ1618=1,0,IFERROR(VLOOKUP(BX1618,'Gebinde-Kategorie'!$A$5:$N$45,13,0)+0,0))</f>
        <v>26</v>
      </c>
      <c r="S1618" s="54"/>
      <c r="T1618" s="55" t="s">
        <v>284</v>
      </c>
      <c r="U1618" s="55"/>
      <c r="V1618" s="55"/>
      <c r="W1618" s="48"/>
      <c r="X1618" s="50"/>
      <c r="Y1618" s="50"/>
      <c r="Z1618" s="48" t="n">
        <f aca="false">IF(A1618="","",IF(AND(Parameter!$B$21="Ja",ISNUMBER(W1618)),W1618,IF(CC1618="2+3",IF(ISNUMBER(SEARCH("grosser Artikel",BU1618)),2,IFERROR(VLOOKUP(BX1618,Parameter!$F$35:$G$64,2,0),2)),IF(OR(CC1618="Nein",CC1618=""),"-",CC1618))))</f>
        <v>3</v>
      </c>
      <c r="AA1618" s="55"/>
      <c r="AB1618" s="56"/>
      <c r="AC1618" s="50" t="n">
        <f aca="false">AV1618</f>
        <v>1</v>
      </c>
      <c r="AD1618" s="50" t="n">
        <f aca="false">MAX(AV1618,H1618)</f>
        <v>32</v>
      </c>
      <c r="AE1618" s="57"/>
      <c r="AF1618" s="50" t="n">
        <f aca="false">IF(LEFT(Cockpit!$C$5,1)="A",H1618,IF(Parameter!$E$30="MAX-Bestand",IF(CH1618=1,CI1618,IF(LEFT(Cockpit!$C$5,1)="B",AL1618,MAX(AL1618,H1618))),ROUNDUP(AJ1618,0)))</f>
        <v>32</v>
      </c>
      <c r="AG1618" s="50" t="n">
        <f aca="false">IF(BZ1618=1,0,ROUNDUP(AF1618/BY1618,0))</f>
        <v>1</v>
      </c>
      <c r="AH1618" s="52" t="n">
        <f aca="false">IF(CQ1618&gt;0,CQ1618*MAX(1,AF1618/X1618),IF(BZ1618=1,IF(AF1618&lt;=0,0,CD1618*MAX(1,IF(H1618&gt;0,AF1618/H1618,1))),IF(R1618&gt;0,AG1618/R1618,0))/MAX(0.1,N(Parameter!$M$21)))</f>
        <v>0.0384615384615385</v>
      </c>
      <c r="AI1618" s="50" t="n">
        <f aca="false">AH1618*CB1618</f>
        <v>5.96153846153846</v>
      </c>
      <c r="AJ1618" s="51" t="n">
        <f aca="false">IF(LEFT(Cockpit!$C$5,1)="A",H1618,IF(CH1618=1,(CK1618+CI1618)/2,IF(LEFT(Cockpit!$C$5,1)="B",(CK1618+AL1618)/2,MAX((CK1618+AL1618)/2,H1618))))</f>
        <v>32</v>
      </c>
      <c r="AK1618" s="50" t="n">
        <f aca="false">AJ1618*G1618</f>
        <v>480</v>
      </c>
      <c r="AL1618" s="50" t="n">
        <f aca="false">ROUNDUP(CK1618+MAX(CL1618,2*(J1618/IF(CG1618&gt;0,CG1618,MAX(0.1,N(Cockpit!$C$6)))-CK1618)),0)</f>
        <v>1</v>
      </c>
      <c r="AM1618" s="51" t="n">
        <f aca="false">IF(AI1618&gt;0,J1618/AI1618,-1)</f>
        <v>0</v>
      </c>
      <c r="AN1618" s="51" t="n">
        <f aca="false">IF(AND(OR(CF1618="L1",CF1618="L23",CF1618="LIFT"),AI1618&gt;0),SUMIFS($AI$7:$AI$1843,$CF$7:$CF$1843,CF1618,$AM$7:$AM$1843,"&gt;"&amp;AM1618)+SUMIFS($AI$7:$AI$1843,$CF$7:$CF$1843,CF1618,$AM$7:$AM$1843,AM1618,$BW$7:$BW$1843,"&lt;="&amp;BW1618),"")</f>
        <v>30830.4251645247</v>
      </c>
      <c r="AO1618" s="58" t="n">
        <f aca="false">IF(AN1618="",0,MAX(0,MIN(1,(IF(CF1618="L1",Parameter!$H$5,IF(CF1618="L23",Parameter!$H$6+Parameter!$H$7,Parameter!$H$5+Parameter!$H$6+Parameter!$H$7))-(AN1618-AI1618))/AI1618)))</f>
        <v>1</v>
      </c>
      <c r="AP1618" s="50" t="n">
        <f aca="false">IF(LEFT(Cockpit!$I$5,1)="A",H1618,IF(Parameter!$E$30="MAX-Bestand",IF(CH1618=1,CI1618,IF(LEFT(Cockpit!$I$5,1)="B",AV1618,MAX(AV1618,H1618))),ROUNDUP(AT1618,0)))</f>
        <v>32</v>
      </c>
      <c r="AQ1618" s="50" t="n">
        <f aca="false">IF(BZ1618=1,0,ROUNDUP(AP1618/BY1618,0))</f>
        <v>1</v>
      </c>
      <c r="AR1618" s="52" t="n">
        <f aca="false">IF(CQ1618&gt;0,CQ1618*MAX(1,AP1618/X1618),IF(BZ1618=1,IF(AP1618&lt;=0,0,CD1618*MAX(1,IF(H1618&gt;0,AP1618/H1618,1))),IF(R1618&gt;0,AQ1618/R1618,0))/MAX(0.1,N(Parameter!$M$21)))</f>
        <v>0.0384615384615385</v>
      </c>
      <c r="AS1618" s="50" t="n">
        <f aca="false">AR1618*CB1618</f>
        <v>5.96153846153846</v>
      </c>
      <c r="AT1618" s="51" t="n">
        <f aca="false">IF(LEFT(Cockpit!$I$5,1)="A",H1618,IF(CH1618=1,(CK1618+CI1618)/2,IF(LEFT(Cockpit!$I$5,1)="B",(CK1618+AV1618)/2,MAX((CK1618+AV1618)/2,H1618))))</f>
        <v>32</v>
      </c>
      <c r="AU1618" s="50" t="n">
        <f aca="false">AT1618*G1618</f>
        <v>480</v>
      </c>
      <c r="AV1618" s="50" t="n">
        <f aca="false">ROUNDUP(CK1618+MAX(CL1618,2*(J1618/IF(CG1618&gt;0,CG1618,MAX(0.1,N(Cockpit!$I$6)))-CK1618)),0)</f>
        <v>1</v>
      </c>
      <c r="AW1618" s="51" t="n">
        <f aca="false">IF(AS1618&gt;0,J1618/AS1618,-1)</f>
        <v>0</v>
      </c>
      <c r="AX1618" s="51" t="n">
        <f aca="false">IF(AND(OR(CF1618="L1",CF1618="L23",CF1618="LIFT"),AS1618&gt;0),SUMIFS($AS$7:$AS$1843,$CF$7:$CF$1843,CF1618,$AW$7:$AW$1843,"&gt;"&amp;AW1618)+SUMIFS($AS$7:$AS$1843,$CF$7:$CF$1843,CF1618,$AW$7:$AW$1843,AW1618,$BW$7:$BW$1843,"&lt;="&amp;BW1618),"")</f>
        <v>37150.2816813601</v>
      </c>
      <c r="AY1618" s="58" t="n">
        <f aca="false">IF(AX1618="",0,MAX(0,MIN(1,(IF(CF1618="L1",Parameter!$H$5,IF(CF1618="L23",Parameter!$H$6+Parameter!$H$7,Parameter!$H$5+Parameter!$H$6+Parameter!$H$7))-(AX1618-AS1618))/AS1618)))</f>
        <v>0</v>
      </c>
      <c r="AZ1618" s="50" t="n">
        <f aca="false">IF(LEFT(Cockpit!$O$5,1)="A",H1618,IF(Parameter!$E$30="MAX-Bestand",IF(CH1618=1,CI1618,IF(LEFT(Cockpit!$O$5,1)="B",BF1618,MAX(BF1618,H1618))),ROUNDUP(BD1618,0)))</f>
        <v>1</v>
      </c>
      <c r="BA1618" s="50" t="n">
        <f aca="false">IF(BZ1618=1,0,ROUNDUP(AZ1618/BY1618,0))</f>
        <v>1</v>
      </c>
      <c r="BB1618" s="52" t="n">
        <f aca="false">IF(CQ1618&gt;0,CQ1618*MAX(1,AZ1618/X1618),IF(BZ1618=1,IF(AZ1618&lt;=0,0,CD1618*MAX(1,IF(H1618&gt;0,AZ1618/H1618,1))),IF(R1618&gt;0,BA1618/R1618,0))/MAX(0.1,N(Parameter!$M$21)))</f>
        <v>0.0384615384615385</v>
      </c>
      <c r="BC1618" s="50" t="n">
        <f aca="false">BB1618*CB1618</f>
        <v>5.96153846153846</v>
      </c>
      <c r="BD1618" s="51" t="n">
        <f aca="false">IF(LEFT(Cockpit!$O$5,1)="A",H1618,IF(CH1618=1,(CK1618+CI1618)/2,IF(LEFT(Cockpit!$O$5,1)="B",(CK1618+BF1618)/2,MAX((CK1618+BF1618)/2,H1618))))</f>
        <v>0.5</v>
      </c>
      <c r="BE1618" s="50" t="n">
        <f aca="false">BD1618*G1618</f>
        <v>7.5</v>
      </c>
      <c r="BF1618" s="50" t="n">
        <f aca="false">ROUNDUP(CK1618+MAX(CL1618,2*(J1618/IF(CG1618&gt;0,CG1618,MAX(0.1,N(Cockpit!$O$6)))-CK1618)),0)</f>
        <v>1</v>
      </c>
      <c r="BG1618" s="51" t="n">
        <f aca="false">IF(BC1618&gt;0,J1618/BC1618,-1)</f>
        <v>0</v>
      </c>
      <c r="BH1618" s="51" t="n">
        <f aca="false">IF(AND(OR(CF1618="L1",CF1618="L23",CF1618="LIFT"),BC1618&gt;0),SUMIFS($BC$7:$BC$1843,$CF$7:$CF$1843,CF1618,$BG$7:$BG$1843,"&gt;"&amp;BG1618)+SUMIFS($BC$7:$BC$1843,$CF$7:$CF$1843,CF1618,$BG$7:$BG$1843,BG1618,$BW$7:$BW$1843,"&lt;="&amp;BW1618),"")</f>
        <v>31059.7229568925</v>
      </c>
      <c r="BI1618" s="58" t="n">
        <f aca="false">IF(BH1618="",0,MAX(0,MIN(1,(IF(CF1618="L1",Parameter!$H$5,IF(CF1618="L23",Parameter!$H$6+Parameter!$H$7,Parameter!$H$5+Parameter!$H$6+Parameter!$H$7))-(BH1618-BC1618))/BC1618)))</f>
        <v>1</v>
      </c>
      <c r="BJ1618" s="48" t="str">
        <f aca="false">IF(AI1618&lt;=0,"",IF(CF1618="Aussen","Aussenlager",IF(CF1618="-","Nicht im Lift",IF(AO1618&gt;=1,"Lift",IF(AO1618&lt;=0,"Aussenlager","teilweise")))))</f>
        <v>Lift</v>
      </c>
      <c r="BK1618" s="48" t="str">
        <f aca="false">IF(AS1618&lt;=0,"",IF(CF1618="Aussen","Aussenlager",IF(CF1618="-","Nicht im Lift",IF(AY1618&gt;=1,"Lift",IF(AY1618&lt;=0,"Aussenlager","teilweise")))))</f>
        <v>Aussenlager</v>
      </c>
      <c r="BL1618" s="48" t="str">
        <f aca="false">IF(BC1618&lt;=0,"",IF(CF1618="Aussen","Aussenlager",IF(CF1618="-","Nicht im Lift",IF(BI1618&gt;=1,"Lift",IF(BI1618&lt;=0,"Aussenlager","teilweise")))))</f>
        <v>Lift</v>
      </c>
      <c r="BM1618" s="48" t="str">
        <f aca="false">IF(A1618="","",IF(BV1618=1,"Neu; ","")&amp;IF(AND(BV1618=0,BQ1618&lt;0),"negativer Bestand (Export "&amp;BQ1618&amp;"); ","")&amp;IF(J1618&lt;=0,"Kein Verbrauch; ","")&amp;IF(CQ1618&gt;0,"Lift "&amp;W1618&amp;" lt. Liftbericht (Fach "&amp;X1618&amp;" Stk); ",IF(CA1618=1,"Gebinde geschätzt ("&amp;T1618&amp;"); ",IF(BZ1618=1,"Lose – Tablare geschätzt; ","")))&amp;IF(H1618&gt;AV1618,"Überbestand "&amp;ROUND(H1618-AV1618,0)&amp;" Stk / CHF "&amp;ROUND((H1618-AV1618)*G1618,0)&amp;"; ","")&amp;IF(AND(CH1618=1,CI1618&lt;CJ1618),"MAX &lt; MB+LG; ","")&amp;IF(AND(CP1618&gt;0,CO1618*10&gt;CP1618),"zu hoch für Tablar; ","")&amp;IF(AND(BV1618=0,OR(CH1618=1,AA1618&lt;&gt;"",U1618&lt;&gt;"",V1618&lt;&gt;"",AB1618&lt;&gt;"")),"manuell übersteuert; ","")&amp;IF(AND(BZ1618=0,R1618=0),"Gebinde unbekannt / Stellmass fehlt; ","")&amp;IF(AND(BZ1618=0,N(V1618)&lt;=0,N(Q1618)&lt;=0),"Menge pro Gebinde fehlt (Ist = 1 Gebinde); ","")&amp;BU1618)</f>
        <v>Kein Verbrauch; Gebinde geschätzt (Klein); Überbestand 31 Stk / CHF 465; Menge pro Gebinde fehlt (Ist = 1 Gebinde); nur im Artikelstamm (Bestand 23.06.2026)</v>
      </c>
      <c r="BN1618" s="48"/>
      <c r="BO1618" s="48"/>
      <c r="BP1618" s="55"/>
      <c r="BQ1618" s="50" t="n">
        <v>32</v>
      </c>
      <c r="BR1618" s="50" t="n">
        <v>0</v>
      </c>
      <c r="BS1618" s="49" t="n">
        <v>0</v>
      </c>
      <c r="BT1618" s="50" t="n">
        <v>0</v>
      </c>
      <c r="BU1618" s="48" t="s">
        <v>2584</v>
      </c>
      <c r="BV1618" s="53" t="n">
        <v>0</v>
      </c>
      <c r="BW1618" s="53" t="n">
        <v>1618</v>
      </c>
      <c r="BX1618" s="48" t="str">
        <f aca="false">IF(U1618&lt;&gt;"",UPPER(TRIM(U1618)),IF(CA1618=1,UPPER(VLOOKUP(T1618,Parameter!$I$27:$K$29,2,0)),IF(P1618="","LOSE",P1618)))</f>
        <v>S51</v>
      </c>
      <c r="BY1618" s="50" t="n">
        <f aca="false">IF(BX1618="LOSE",1,IF(N(V1618)&gt;0,V1618,IF(CA1618=1,MAX(1,N(VLOOKUP(T1618,Parameter!$I$27:$K$29,3,0)),H1618,N(N1618)),IF(N(Q1618)&gt;0,Q1618,MAX(1,H1618)))))</f>
        <v>32</v>
      </c>
      <c r="BZ1618" s="53" t="n">
        <f aca="false">IF(BX1618="LOSE",1,0)</f>
        <v>0</v>
      </c>
      <c r="CA1618" s="53" t="n">
        <f aca="false">IF(AND(U1618="",OR(P1618="",P1618="LOSE"),T1618&lt;&gt;"",N(S1618)&lt;=0,ISNUMBER(MATCH(T1618,Parameter!$I$27:$I$29,0))),1,0)</f>
        <v>1</v>
      </c>
      <c r="CB1618" s="53" t="n">
        <f aca="false">IF(CQ1618&gt;0,INDEX(Parameter!$H$5:$H$7,W1618)/INDEX(Parameter!$E$5:$E$7,W1618),IF(AND(BZ1618=0,N(IFERROR(VLOOKUP(BX1618,'Gebinde-Kategorie'!$A$5:$N$45,14,0),0))&gt;0),VLOOKUP(BX1618,'Gebinde-Kategorie'!$A$5:$N$45,14,0)*10+Parameter!$M$23,Parameter!$M$24))</f>
        <v>155</v>
      </c>
      <c r="CC1618" s="48" t="str">
        <f aca="false">IF(AND(Parameter!$B$19="Ja",E1618&lt;&gt;"",ISNUMBER(MATCH(E1618,Parameter!$I$35:$I$52,0))),VLOOKUP(E1618,Parameter!$I$35:$J$52,2,0),IFERROR(VLOOKUP(D1618,Parameter!$A$35:$C$64,2,0),"Nein"))</f>
        <v>2+3</v>
      </c>
      <c r="CD1618" s="52" t="n">
        <f aca="false">IF(BZ1618=0,0,IF(N(S1618)&gt;0,S1618,IFERROR(VLOOKUP(D1618,Parameter!$A$35:$C$64,3,0)+0,0)))</f>
        <v>0</v>
      </c>
      <c r="CE1618" s="48" t="n">
        <f aca="false">IF(AA1618&lt;&gt;"",AA1618,Z1618)</f>
        <v>3</v>
      </c>
      <c r="CF1618" s="48" t="str">
        <f aca="false">IF(OR(CE1618=1,CE1618=2,CE1618=3),IF(Parameter!$E$27="Ja","LIFT",IF(CE1618=1,"L1","L23")),IF(CE1618="Aussen","Aussen","-"))</f>
        <v>LIFT</v>
      </c>
      <c r="CG1618" s="59" t="n">
        <f aca="false">IF(N(AB1618)&gt;0,AB1618,0)</f>
        <v>0</v>
      </c>
      <c r="CH1618" s="53" t="n">
        <f aca="false">IF(ISNUMBER(AE1618),1,0)</f>
        <v>0</v>
      </c>
      <c r="CI1618" s="50" t="n">
        <f aca="false">N(AE1618)</f>
        <v>0</v>
      </c>
      <c r="CJ1618" s="50" t="n">
        <f aca="false">N(M1618)+N(N1618)</f>
        <v>1</v>
      </c>
      <c r="CK1618" s="50" t="n">
        <f aca="false">N(M1618)</f>
        <v>0</v>
      </c>
      <c r="CL1618" s="50" t="n">
        <f aca="false">N(N1618)</f>
        <v>1</v>
      </c>
      <c r="CM1618" s="50" t="n">
        <f aca="false">ROUNDUP(H1618/BY1618,0)</f>
        <v>1</v>
      </c>
      <c r="CN1618" s="50" t="n">
        <f aca="false">ROUNDUP(CI1618/BY1618,0)</f>
        <v>0</v>
      </c>
      <c r="CO1618" s="53" t="n">
        <f aca="false">IF(BZ1618=1,0,IFERROR(VLOOKUP(BX1618,'Gebinde-Kategorie'!$A$5:$N$45,5,0)+0,0))</f>
        <v>11</v>
      </c>
      <c r="CP1618" s="53" t="n">
        <f aca="false">IFERROR(IF(OR(CE1618=1,CE1618=2,CE1618=3),N(INDEX(Parameter!$I$5:$I$7,CE1618)),0),0)</f>
        <v>0</v>
      </c>
      <c r="CQ1618" s="52" t="n">
        <f aca="false">IF(AND(Parameter!$B$21="Ja",ISNUMBER(W1618),N(X1618)&gt;0),IFERROR(N(INDEX(Parameter!$L$5:$L$7,W1618))*INDEX(Parameter!$E$5:$E$7,W1618)*X1618/SUMIFS($X$7:$X$1843,$W$7:$W$1843,W1618),0),0)</f>
        <v>0</v>
      </c>
    </row>
    <row r="1619" customFormat="false" ht="15" hidden="false" customHeight="false" outlineLevel="0" collapsed="false">
      <c r="A1619" s="48" t="s">
        <v>2829</v>
      </c>
      <c r="B1619" s="48" t="s">
        <v>2825</v>
      </c>
      <c r="C1619" s="48" t="s">
        <v>173</v>
      </c>
      <c r="D1619" s="48" t="s">
        <v>193</v>
      </c>
      <c r="E1619" s="48"/>
      <c r="F1619" s="48"/>
      <c r="G1619" s="49" t="n">
        <v>15</v>
      </c>
      <c r="H1619" s="50" t="n">
        <f aca="false">MAX(0,IF(AND(Parameter!$B$21="Ja",ISNUMBER(Y1619)),Y1619,IF(Parameter!$B$20="Jahresanfang 2025 + Export",BR1619+BQ1619,BQ1619)))</f>
        <v>231</v>
      </c>
      <c r="I1619" s="50" t="n">
        <f aca="false">H1619*G1619</f>
        <v>3465</v>
      </c>
      <c r="J1619" s="50" t="n">
        <f aca="false">BT1619*Parameter!$B$18</f>
        <v>0</v>
      </c>
      <c r="K1619" s="51"/>
      <c r="L1619" s="52"/>
      <c r="M1619" s="50" t="n">
        <v>0</v>
      </c>
      <c r="N1619" s="50" t="n">
        <v>1</v>
      </c>
      <c r="O1619" s="53" t="n">
        <v>0</v>
      </c>
      <c r="P1619" s="48" t="s">
        <v>177</v>
      </c>
      <c r="Q1619" s="50"/>
      <c r="R1619" s="53" t="n">
        <f aca="false">IF(BZ1619=1,0,IFERROR(VLOOKUP(BX1619,'Gebinde-Kategorie'!$A$5:$N$45,13,0)+0,0))</f>
        <v>26</v>
      </c>
      <c r="S1619" s="54"/>
      <c r="T1619" s="55" t="s">
        <v>284</v>
      </c>
      <c r="U1619" s="55"/>
      <c r="V1619" s="55"/>
      <c r="W1619" s="48"/>
      <c r="X1619" s="50"/>
      <c r="Y1619" s="50"/>
      <c r="Z1619" s="48" t="n">
        <f aca="false">IF(A1619="","",IF(AND(Parameter!$B$21="Ja",ISNUMBER(W1619)),W1619,IF(CC1619="2+3",IF(ISNUMBER(SEARCH("grosser Artikel",BU1619)),2,IFERROR(VLOOKUP(BX1619,Parameter!$F$35:$G$64,2,0),2)),IF(OR(CC1619="Nein",CC1619=""),"-",CC1619))))</f>
        <v>3</v>
      </c>
      <c r="AA1619" s="55"/>
      <c r="AB1619" s="56"/>
      <c r="AC1619" s="50" t="n">
        <f aca="false">AV1619</f>
        <v>1</v>
      </c>
      <c r="AD1619" s="50" t="n">
        <f aca="false">MAX(AV1619,H1619)</f>
        <v>231</v>
      </c>
      <c r="AE1619" s="57"/>
      <c r="AF1619" s="50" t="n">
        <f aca="false">IF(LEFT(Cockpit!$C$5,1)="A",H1619,IF(Parameter!$E$30="MAX-Bestand",IF(CH1619=1,CI1619,IF(LEFT(Cockpit!$C$5,1)="B",AL1619,MAX(AL1619,H1619))),ROUNDUP(AJ1619,0)))</f>
        <v>231</v>
      </c>
      <c r="AG1619" s="50" t="n">
        <f aca="false">IF(BZ1619=1,0,ROUNDUP(AF1619/BY1619,0))</f>
        <v>1</v>
      </c>
      <c r="AH1619" s="52" t="n">
        <f aca="false">IF(CQ1619&gt;0,CQ1619*MAX(1,AF1619/X1619),IF(BZ1619=1,IF(AF1619&lt;=0,0,CD1619*MAX(1,IF(H1619&gt;0,AF1619/H1619,1))),IF(R1619&gt;0,AG1619/R1619,0))/MAX(0.1,N(Parameter!$M$21)))</f>
        <v>0.0384615384615385</v>
      </c>
      <c r="AI1619" s="50" t="n">
        <f aca="false">AH1619*CB1619</f>
        <v>5.96153846153846</v>
      </c>
      <c r="AJ1619" s="51" t="n">
        <f aca="false">IF(LEFT(Cockpit!$C$5,1)="A",H1619,IF(CH1619=1,(CK1619+CI1619)/2,IF(LEFT(Cockpit!$C$5,1)="B",(CK1619+AL1619)/2,MAX((CK1619+AL1619)/2,H1619))))</f>
        <v>231</v>
      </c>
      <c r="AK1619" s="50" t="n">
        <f aca="false">AJ1619*G1619</f>
        <v>3465</v>
      </c>
      <c r="AL1619" s="50" t="n">
        <f aca="false">ROUNDUP(CK1619+MAX(CL1619,2*(J1619/IF(CG1619&gt;0,CG1619,MAX(0.1,N(Cockpit!$C$6)))-CK1619)),0)</f>
        <v>1</v>
      </c>
      <c r="AM1619" s="51" t="n">
        <f aca="false">IF(AI1619&gt;0,J1619/AI1619,-1)</f>
        <v>0</v>
      </c>
      <c r="AN1619" s="51" t="n">
        <f aca="false">IF(AND(OR(CF1619="L1",CF1619="L23",CF1619="LIFT"),AI1619&gt;0),SUMIFS($AI$7:$AI$1843,$CF$7:$CF$1843,CF1619,$AM$7:$AM$1843,"&gt;"&amp;AM1619)+SUMIFS($AI$7:$AI$1843,$CF$7:$CF$1843,CF1619,$AM$7:$AM$1843,AM1619,$BW$7:$BW$1843,"&lt;="&amp;BW1619),"")</f>
        <v>30836.3867029863</v>
      </c>
      <c r="AO1619" s="58" t="n">
        <f aca="false">IF(AN1619="",0,MAX(0,MIN(1,(IF(CF1619="L1",Parameter!$H$5,IF(CF1619="L23",Parameter!$H$6+Parameter!$H$7,Parameter!$H$5+Parameter!$H$6+Parameter!$H$7))-(AN1619-AI1619))/AI1619)))</f>
        <v>1</v>
      </c>
      <c r="AP1619" s="50" t="n">
        <f aca="false">IF(LEFT(Cockpit!$I$5,1)="A",H1619,IF(Parameter!$E$30="MAX-Bestand",IF(CH1619=1,CI1619,IF(LEFT(Cockpit!$I$5,1)="B",AV1619,MAX(AV1619,H1619))),ROUNDUP(AT1619,0)))</f>
        <v>231</v>
      </c>
      <c r="AQ1619" s="50" t="n">
        <f aca="false">IF(BZ1619=1,0,ROUNDUP(AP1619/BY1619,0))</f>
        <v>1</v>
      </c>
      <c r="AR1619" s="52" t="n">
        <f aca="false">IF(CQ1619&gt;0,CQ1619*MAX(1,AP1619/X1619),IF(BZ1619=1,IF(AP1619&lt;=0,0,CD1619*MAX(1,IF(H1619&gt;0,AP1619/H1619,1))),IF(R1619&gt;0,AQ1619/R1619,0))/MAX(0.1,N(Parameter!$M$21)))</f>
        <v>0.0384615384615385</v>
      </c>
      <c r="AS1619" s="50" t="n">
        <f aca="false">AR1619*CB1619</f>
        <v>5.96153846153846</v>
      </c>
      <c r="AT1619" s="51" t="n">
        <f aca="false">IF(LEFT(Cockpit!$I$5,1)="A",H1619,IF(CH1619=1,(CK1619+CI1619)/2,IF(LEFT(Cockpit!$I$5,1)="B",(CK1619+AV1619)/2,MAX((CK1619+AV1619)/2,H1619))))</f>
        <v>231</v>
      </c>
      <c r="AU1619" s="50" t="n">
        <f aca="false">AT1619*G1619</f>
        <v>3465</v>
      </c>
      <c r="AV1619" s="50" t="n">
        <f aca="false">ROUNDUP(CK1619+MAX(CL1619,2*(J1619/IF(CG1619&gt;0,CG1619,MAX(0.1,N(Cockpit!$I$6)))-CK1619)),0)</f>
        <v>1</v>
      </c>
      <c r="AW1619" s="51" t="n">
        <f aca="false">IF(AS1619&gt;0,J1619/AS1619,-1)</f>
        <v>0</v>
      </c>
      <c r="AX1619" s="51" t="n">
        <f aca="false">IF(AND(OR(CF1619="L1",CF1619="L23",CF1619="LIFT"),AS1619&gt;0),SUMIFS($AS$7:$AS$1843,$CF$7:$CF$1843,CF1619,$AW$7:$AW$1843,"&gt;"&amp;AW1619)+SUMIFS($AS$7:$AS$1843,$CF$7:$CF$1843,CF1619,$AW$7:$AW$1843,AW1619,$BW$7:$BW$1843,"&lt;="&amp;BW1619),"")</f>
        <v>37156.2432198216</v>
      </c>
      <c r="AY1619" s="58" t="n">
        <f aca="false">IF(AX1619="",0,MAX(0,MIN(1,(IF(CF1619="L1",Parameter!$H$5,IF(CF1619="L23",Parameter!$H$6+Parameter!$H$7,Parameter!$H$5+Parameter!$H$6+Parameter!$H$7))-(AX1619-AS1619))/AS1619)))</f>
        <v>0</v>
      </c>
      <c r="AZ1619" s="50" t="n">
        <f aca="false">IF(LEFT(Cockpit!$O$5,1)="A",H1619,IF(Parameter!$E$30="MAX-Bestand",IF(CH1619=1,CI1619,IF(LEFT(Cockpit!$O$5,1)="B",BF1619,MAX(BF1619,H1619))),ROUNDUP(BD1619,0)))</f>
        <v>1</v>
      </c>
      <c r="BA1619" s="50" t="n">
        <f aca="false">IF(BZ1619=1,0,ROUNDUP(AZ1619/BY1619,0))</f>
        <v>1</v>
      </c>
      <c r="BB1619" s="52" t="n">
        <f aca="false">IF(CQ1619&gt;0,CQ1619*MAX(1,AZ1619/X1619),IF(BZ1619=1,IF(AZ1619&lt;=0,0,CD1619*MAX(1,IF(H1619&gt;0,AZ1619/H1619,1))),IF(R1619&gt;0,BA1619/R1619,0))/MAX(0.1,N(Parameter!$M$21)))</f>
        <v>0.0384615384615385</v>
      </c>
      <c r="BC1619" s="50" t="n">
        <f aca="false">BB1619*CB1619</f>
        <v>5.96153846153846</v>
      </c>
      <c r="BD1619" s="51" t="n">
        <f aca="false">IF(LEFT(Cockpit!$O$5,1)="A",H1619,IF(CH1619=1,(CK1619+CI1619)/2,IF(LEFT(Cockpit!$O$5,1)="B",(CK1619+BF1619)/2,MAX((CK1619+BF1619)/2,H1619))))</f>
        <v>0.5</v>
      </c>
      <c r="BE1619" s="50" t="n">
        <f aca="false">BD1619*G1619</f>
        <v>7.5</v>
      </c>
      <c r="BF1619" s="50" t="n">
        <f aca="false">ROUNDUP(CK1619+MAX(CL1619,2*(J1619/IF(CG1619&gt;0,CG1619,MAX(0.1,N(Cockpit!$O$6)))-CK1619)),0)</f>
        <v>1</v>
      </c>
      <c r="BG1619" s="51" t="n">
        <f aca="false">IF(BC1619&gt;0,J1619/BC1619,-1)</f>
        <v>0</v>
      </c>
      <c r="BH1619" s="51" t="n">
        <f aca="false">IF(AND(OR(CF1619="L1",CF1619="L23",CF1619="LIFT"),BC1619&gt;0),SUMIFS($BC$7:$BC$1843,$CF$7:$CF$1843,CF1619,$BG$7:$BG$1843,"&gt;"&amp;BG1619)+SUMIFS($BC$7:$BC$1843,$CF$7:$CF$1843,CF1619,$BG$7:$BG$1843,BG1619,$BW$7:$BW$1843,"&lt;="&amp;BW1619),"")</f>
        <v>31065.684495354</v>
      </c>
      <c r="BI1619" s="58" t="n">
        <f aca="false">IF(BH1619="",0,MAX(0,MIN(1,(IF(CF1619="L1",Parameter!$H$5,IF(CF1619="L23",Parameter!$H$6+Parameter!$H$7,Parameter!$H$5+Parameter!$H$6+Parameter!$H$7))-(BH1619-BC1619))/BC1619)))</f>
        <v>1</v>
      </c>
      <c r="BJ1619" s="48" t="str">
        <f aca="false">IF(AI1619&lt;=0,"",IF(CF1619="Aussen","Aussenlager",IF(CF1619="-","Nicht im Lift",IF(AO1619&gt;=1,"Lift",IF(AO1619&lt;=0,"Aussenlager","teilweise")))))</f>
        <v>Lift</v>
      </c>
      <c r="BK1619" s="48" t="str">
        <f aca="false">IF(AS1619&lt;=0,"",IF(CF1619="Aussen","Aussenlager",IF(CF1619="-","Nicht im Lift",IF(AY1619&gt;=1,"Lift",IF(AY1619&lt;=0,"Aussenlager","teilweise")))))</f>
        <v>Aussenlager</v>
      </c>
      <c r="BL1619" s="48" t="str">
        <f aca="false">IF(BC1619&lt;=0,"",IF(CF1619="Aussen","Aussenlager",IF(CF1619="-","Nicht im Lift",IF(BI1619&gt;=1,"Lift",IF(BI1619&lt;=0,"Aussenlager","teilweise")))))</f>
        <v>Lift</v>
      </c>
      <c r="BM1619" s="48" t="str">
        <f aca="false">IF(A1619="","",IF(BV1619=1,"Neu; ","")&amp;IF(AND(BV1619=0,BQ1619&lt;0),"negativer Bestand (Export "&amp;BQ1619&amp;"); ","")&amp;IF(J1619&lt;=0,"Kein Verbrauch; ","")&amp;IF(CQ1619&gt;0,"Lift "&amp;W1619&amp;" lt. Liftbericht (Fach "&amp;X1619&amp;" Stk); ",IF(CA1619=1,"Gebinde geschätzt ("&amp;T1619&amp;"); ",IF(BZ1619=1,"Lose – Tablare geschätzt; ","")))&amp;IF(H1619&gt;AV1619,"Überbestand "&amp;ROUND(H1619-AV1619,0)&amp;" Stk / CHF "&amp;ROUND((H1619-AV1619)*G1619,0)&amp;"; ","")&amp;IF(AND(CH1619=1,CI1619&lt;CJ1619),"MAX &lt; MB+LG; ","")&amp;IF(AND(CP1619&gt;0,CO1619*10&gt;CP1619),"zu hoch für Tablar; ","")&amp;IF(AND(BV1619=0,OR(CH1619=1,AA1619&lt;&gt;"",U1619&lt;&gt;"",V1619&lt;&gt;"",AB1619&lt;&gt;"")),"manuell übersteuert; ","")&amp;IF(AND(BZ1619=0,R1619=0),"Gebinde unbekannt / Stellmass fehlt; ","")&amp;IF(AND(BZ1619=0,N(V1619)&lt;=0,N(Q1619)&lt;=0),"Menge pro Gebinde fehlt (Ist = 1 Gebinde); ","")&amp;BU1619)</f>
        <v>Kein Verbrauch; Gebinde geschätzt (Klein); Überbestand 230 Stk / CHF 3450; Menge pro Gebinde fehlt (Ist = 1 Gebinde); nur im Artikelstamm (Bestand 23.06.2026)</v>
      </c>
      <c r="BN1619" s="48"/>
      <c r="BO1619" s="48"/>
      <c r="BP1619" s="55"/>
      <c r="BQ1619" s="50" t="n">
        <v>231</v>
      </c>
      <c r="BR1619" s="50" t="n">
        <v>0</v>
      </c>
      <c r="BS1619" s="49" t="n">
        <v>0</v>
      </c>
      <c r="BT1619" s="50" t="n">
        <v>0</v>
      </c>
      <c r="BU1619" s="48" t="s">
        <v>2584</v>
      </c>
      <c r="BV1619" s="53" t="n">
        <v>0</v>
      </c>
      <c r="BW1619" s="53" t="n">
        <v>1619</v>
      </c>
      <c r="BX1619" s="48" t="str">
        <f aca="false">IF(U1619&lt;&gt;"",UPPER(TRIM(U1619)),IF(CA1619=1,UPPER(VLOOKUP(T1619,Parameter!$I$27:$K$29,2,0)),IF(P1619="","LOSE",P1619)))</f>
        <v>S51</v>
      </c>
      <c r="BY1619" s="50" t="n">
        <f aca="false">IF(BX1619="LOSE",1,IF(N(V1619)&gt;0,V1619,IF(CA1619=1,MAX(1,N(VLOOKUP(T1619,Parameter!$I$27:$K$29,3,0)),H1619,N(N1619)),IF(N(Q1619)&gt;0,Q1619,MAX(1,H1619)))))</f>
        <v>231</v>
      </c>
      <c r="BZ1619" s="53" t="n">
        <f aca="false">IF(BX1619="LOSE",1,0)</f>
        <v>0</v>
      </c>
      <c r="CA1619" s="53" t="n">
        <f aca="false">IF(AND(U1619="",OR(P1619="",P1619="LOSE"),T1619&lt;&gt;"",N(S1619)&lt;=0,ISNUMBER(MATCH(T1619,Parameter!$I$27:$I$29,0))),1,0)</f>
        <v>1</v>
      </c>
      <c r="CB1619" s="53" t="n">
        <f aca="false">IF(CQ1619&gt;0,INDEX(Parameter!$H$5:$H$7,W1619)/INDEX(Parameter!$E$5:$E$7,W1619),IF(AND(BZ1619=0,N(IFERROR(VLOOKUP(BX1619,'Gebinde-Kategorie'!$A$5:$N$45,14,0),0))&gt;0),VLOOKUP(BX1619,'Gebinde-Kategorie'!$A$5:$N$45,14,0)*10+Parameter!$M$23,Parameter!$M$24))</f>
        <v>155</v>
      </c>
      <c r="CC1619" s="48" t="str">
        <f aca="false">IF(AND(Parameter!$B$19="Ja",E1619&lt;&gt;"",ISNUMBER(MATCH(E1619,Parameter!$I$35:$I$52,0))),VLOOKUP(E1619,Parameter!$I$35:$J$52,2,0),IFERROR(VLOOKUP(D1619,Parameter!$A$35:$C$64,2,0),"Nein"))</f>
        <v>2+3</v>
      </c>
      <c r="CD1619" s="52" t="n">
        <f aca="false">IF(BZ1619=0,0,IF(N(S1619)&gt;0,S1619,IFERROR(VLOOKUP(D1619,Parameter!$A$35:$C$64,3,0)+0,0)))</f>
        <v>0</v>
      </c>
      <c r="CE1619" s="48" t="n">
        <f aca="false">IF(AA1619&lt;&gt;"",AA1619,Z1619)</f>
        <v>3</v>
      </c>
      <c r="CF1619" s="48" t="str">
        <f aca="false">IF(OR(CE1619=1,CE1619=2,CE1619=3),IF(Parameter!$E$27="Ja","LIFT",IF(CE1619=1,"L1","L23")),IF(CE1619="Aussen","Aussen","-"))</f>
        <v>LIFT</v>
      </c>
      <c r="CG1619" s="59" t="n">
        <f aca="false">IF(N(AB1619)&gt;0,AB1619,0)</f>
        <v>0</v>
      </c>
      <c r="CH1619" s="53" t="n">
        <f aca="false">IF(ISNUMBER(AE1619),1,0)</f>
        <v>0</v>
      </c>
      <c r="CI1619" s="50" t="n">
        <f aca="false">N(AE1619)</f>
        <v>0</v>
      </c>
      <c r="CJ1619" s="50" t="n">
        <f aca="false">N(M1619)+N(N1619)</f>
        <v>1</v>
      </c>
      <c r="CK1619" s="50" t="n">
        <f aca="false">N(M1619)</f>
        <v>0</v>
      </c>
      <c r="CL1619" s="50" t="n">
        <f aca="false">N(N1619)</f>
        <v>1</v>
      </c>
      <c r="CM1619" s="50" t="n">
        <f aca="false">ROUNDUP(H1619/BY1619,0)</f>
        <v>1</v>
      </c>
      <c r="CN1619" s="50" t="n">
        <f aca="false">ROUNDUP(CI1619/BY1619,0)</f>
        <v>0</v>
      </c>
      <c r="CO1619" s="53" t="n">
        <f aca="false">IF(BZ1619=1,0,IFERROR(VLOOKUP(BX1619,'Gebinde-Kategorie'!$A$5:$N$45,5,0)+0,0))</f>
        <v>11</v>
      </c>
      <c r="CP1619" s="53" t="n">
        <f aca="false">IFERROR(IF(OR(CE1619=1,CE1619=2,CE1619=3),N(INDEX(Parameter!$I$5:$I$7,CE1619)),0),0)</f>
        <v>0</v>
      </c>
      <c r="CQ1619" s="52" t="n">
        <f aca="false">IF(AND(Parameter!$B$21="Ja",ISNUMBER(W1619),N(X1619)&gt;0),IFERROR(N(INDEX(Parameter!$L$5:$L$7,W1619))*INDEX(Parameter!$E$5:$E$7,W1619)*X1619/SUMIFS($X$7:$X$1843,$W$7:$W$1843,W1619),0),0)</f>
        <v>0</v>
      </c>
    </row>
    <row r="1620" customFormat="false" ht="15" hidden="false" customHeight="false" outlineLevel="0" collapsed="false">
      <c r="A1620" s="48" t="s">
        <v>2830</v>
      </c>
      <c r="B1620" s="48" t="s">
        <v>1275</v>
      </c>
      <c r="C1620" s="48" t="s">
        <v>173</v>
      </c>
      <c r="D1620" s="48" t="s">
        <v>193</v>
      </c>
      <c r="E1620" s="48"/>
      <c r="F1620" s="48"/>
      <c r="G1620" s="49" t="n">
        <v>0.07</v>
      </c>
      <c r="H1620" s="50" t="n">
        <f aca="false">MAX(0,IF(AND(Parameter!$B$21="Ja",ISNUMBER(Y1620)),Y1620,IF(Parameter!$B$20="Jahresanfang 2025 + Export",BR1620+BQ1620,BQ1620)))</f>
        <v>452</v>
      </c>
      <c r="I1620" s="50" t="n">
        <f aca="false">H1620*G1620</f>
        <v>31.64</v>
      </c>
      <c r="J1620" s="50" t="n">
        <f aca="false">BT1620*Parameter!$B$18</f>
        <v>0</v>
      </c>
      <c r="K1620" s="51"/>
      <c r="L1620" s="52"/>
      <c r="M1620" s="50" t="n">
        <v>0</v>
      </c>
      <c r="N1620" s="50" t="n">
        <v>200</v>
      </c>
      <c r="O1620" s="53" t="n">
        <v>0</v>
      </c>
      <c r="P1620" s="48" t="s">
        <v>177</v>
      </c>
      <c r="Q1620" s="50"/>
      <c r="R1620" s="53" t="n">
        <f aca="false">IF(BZ1620=1,0,IFERROR(VLOOKUP(BX1620,'Gebinde-Kategorie'!$A$5:$N$45,13,0)+0,0))</f>
        <v>26</v>
      </c>
      <c r="S1620" s="54"/>
      <c r="T1620" s="55" t="s">
        <v>284</v>
      </c>
      <c r="U1620" s="55"/>
      <c r="V1620" s="55"/>
      <c r="W1620" s="48"/>
      <c r="X1620" s="50"/>
      <c r="Y1620" s="50"/>
      <c r="Z1620" s="48" t="n">
        <f aca="false">IF(A1620="","",IF(AND(Parameter!$B$21="Ja",ISNUMBER(W1620)),W1620,IF(CC1620="2+3",IF(ISNUMBER(SEARCH("grosser Artikel",BU1620)),2,IFERROR(VLOOKUP(BX1620,Parameter!$F$35:$G$64,2,0),2)),IF(OR(CC1620="Nein",CC1620=""),"-",CC1620))))</f>
        <v>3</v>
      </c>
      <c r="AA1620" s="55"/>
      <c r="AB1620" s="56"/>
      <c r="AC1620" s="50" t="n">
        <f aca="false">AV1620</f>
        <v>200</v>
      </c>
      <c r="AD1620" s="50" t="n">
        <f aca="false">MAX(AV1620,H1620)</f>
        <v>452</v>
      </c>
      <c r="AE1620" s="57"/>
      <c r="AF1620" s="50" t="n">
        <f aca="false">IF(LEFT(Cockpit!$C$5,1)="A",H1620,IF(Parameter!$E$30="MAX-Bestand",IF(CH1620=1,CI1620,IF(LEFT(Cockpit!$C$5,1)="B",AL1620,MAX(AL1620,H1620))),ROUNDUP(AJ1620,0)))</f>
        <v>452</v>
      </c>
      <c r="AG1620" s="50" t="n">
        <f aca="false">IF(BZ1620=1,0,ROUNDUP(AF1620/BY1620,0))</f>
        <v>1</v>
      </c>
      <c r="AH1620" s="52" t="n">
        <f aca="false">IF(CQ1620&gt;0,CQ1620*MAX(1,AF1620/X1620),IF(BZ1620=1,IF(AF1620&lt;=0,0,CD1620*MAX(1,IF(H1620&gt;0,AF1620/H1620,1))),IF(R1620&gt;0,AG1620/R1620,0))/MAX(0.1,N(Parameter!$M$21)))</f>
        <v>0.0384615384615385</v>
      </c>
      <c r="AI1620" s="50" t="n">
        <f aca="false">AH1620*CB1620</f>
        <v>5.96153846153846</v>
      </c>
      <c r="AJ1620" s="51" t="n">
        <f aca="false">IF(LEFT(Cockpit!$C$5,1)="A",H1620,IF(CH1620=1,(CK1620+CI1620)/2,IF(LEFT(Cockpit!$C$5,1)="B",(CK1620+AL1620)/2,MAX((CK1620+AL1620)/2,H1620))))</f>
        <v>452</v>
      </c>
      <c r="AK1620" s="50" t="n">
        <f aca="false">AJ1620*G1620</f>
        <v>31.64</v>
      </c>
      <c r="AL1620" s="50" t="n">
        <f aca="false">ROUNDUP(CK1620+MAX(CL1620,2*(J1620/IF(CG1620&gt;0,CG1620,MAX(0.1,N(Cockpit!$C$6)))-CK1620)),0)</f>
        <v>200</v>
      </c>
      <c r="AM1620" s="51" t="n">
        <f aca="false">IF(AI1620&gt;0,J1620/AI1620,-1)</f>
        <v>0</v>
      </c>
      <c r="AN1620" s="51" t="n">
        <f aca="false">IF(AND(OR(CF1620="L1",CF1620="L23",CF1620="LIFT"),AI1620&gt;0),SUMIFS($AI$7:$AI$1843,$CF$7:$CF$1843,CF1620,$AM$7:$AM$1843,"&gt;"&amp;AM1620)+SUMIFS($AI$7:$AI$1843,$CF$7:$CF$1843,CF1620,$AM$7:$AM$1843,AM1620,$BW$7:$BW$1843,"&lt;="&amp;BW1620),"")</f>
        <v>30842.3482414478</v>
      </c>
      <c r="AO1620" s="58" t="n">
        <f aca="false">IF(AN1620="",0,MAX(0,MIN(1,(IF(CF1620="L1",Parameter!$H$5,IF(CF1620="L23",Parameter!$H$6+Parameter!$H$7,Parameter!$H$5+Parameter!$H$6+Parameter!$H$7))-(AN1620-AI1620))/AI1620)))</f>
        <v>1</v>
      </c>
      <c r="AP1620" s="50" t="n">
        <f aca="false">IF(LEFT(Cockpit!$I$5,1)="A",H1620,IF(Parameter!$E$30="MAX-Bestand",IF(CH1620=1,CI1620,IF(LEFT(Cockpit!$I$5,1)="B",AV1620,MAX(AV1620,H1620))),ROUNDUP(AT1620,0)))</f>
        <v>452</v>
      </c>
      <c r="AQ1620" s="50" t="n">
        <f aca="false">IF(BZ1620=1,0,ROUNDUP(AP1620/BY1620,0))</f>
        <v>1</v>
      </c>
      <c r="AR1620" s="52" t="n">
        <f aca="false">IF(CQ1620&gt;0,CQ1620*MAX(1,AP1620/X1620),IF(BZ1620=1,IF(AP1620&lt;=0,0,CD1620*MAX(1,IF(H1620&gt;0,AP1620/H1620,1))),IF(R1620&gt;0,AQ1620/R1620,0))/MAX(0.1,N(Parameter!$M$21)))</f>
        <v>0.0384615384615385</v>
      </c>
      <c r="AS1620" s="50" t="n">
        <f aca="false">AR1620*CB1620</f>
        <v>5.96153846153846</v>
      </c>
      <c r="AT1620" s="51" t="n">
        <f aca="false">IF(LEFT(Cockpit!$I$5,1)="A",H1620,IF(CH1620=1,(CK1620+CI1620)/2,IF(LEFT(Cockpit!$I$5,1)="B",(CK1620+AV1620)/2,MAX((CK1620+AV1620)/2,H1620))))</f>
        <v>452</v>
      </c>
      <c r="AU1620" s="50" t="n">
        <f aca="false">AT1620*G1620</f>
        <v>31.64</v>
      </c>
      <c r="AV1620" s="50" t="n">
        <f aca="false">ROUNDUP(CK1620+MAX(CL1620,2*(J1620/IF(CG1620&gt;0,CG1620,MAX(0.1,N(Cockpit!$I$6)))-CK1620)),0)</f>
        <v>200</v>
      </c>
      <c r="AW1620" s="51" t="n">
        <f aca="false">IF(AS1620&gt;0,J1620/AS1620,-1)</f>
        <v>0</v>
      </c>
      <c r="AX1620" s="51" t="n">
        <f aca="false">IF(AND(OR(CF1620="L1",CF1620="L23",CF1620="LIFT"),AS1620&gt;0),SUMIFS($AS$7:$AS$1843,$CF$7:$CF$1843,CF1620,$AW$7:$AW$1843,"&gt;"&amp;AW1620)+SUMIFS($AS$7:$AS$1843,$CF$7:$CF$1843,CF1620,$AW$7:$AW$1843,AW1620,$BW$7:$BW$1843,"&lt;="&amp;BW1620),"")</f>
        <v>37162.2047582831</v>
      </c>
      <c r="AY1620" s="58" t="n">
        <f aca="false">IF(AX1620="",0,MAX(0,MIN(1,(IF(CF1620="L1",Parameter!$H$5,IF(CF1620="L23",Parameter!$H$6+Parameter!$H$7,Parameter!$H$5+Parameter!$H$6+Parameter!$H$7))-(AX1620-AS1620))/AS1620)))</f>
        <v>0</v>
      </c>
      <c r="AZ1620" s="50" t="n">
        <f aca="false">IF(LEFT(Cockpit!$O$5,1)="A",H1620,IF(Parameter!$E$30="MAX-Bestand",IF(CH1620=1,CI1620,IF(LEFT(Cockpit!$O$5,1)="B",BF1620,MAX(BF1620,H1620))),ROUNDUP(BD1620,0)))</f>
        <v>100</v>
      </c>
      <c r="BA1620" s="50" t="n">
        <f aca="false">IF(BZ1620=1,0,ROUNDUP(AZ1620/BY1620,0))</f>
        <v>1</v>
      </c>
      <c r="BB1620" s="52" t="n">
        <f aca="false">IF(CQ1620&gt;0,CQ1620*MAX(1,AZ1620/X1620),IF(BZ1620=1,IF(AZ1620&lt;=0,0,CD1620*MAX(1,IF(H1620&gt;0,AZ1620/H1620,1))),IF(R1620&gt;0,BA1620/R1620,0))/MAX(0.1,N(Parameter!$M$21)))</f>
        <v>0.0384615384615385</v>
      </c>
      <c r="BC1620" s="50" t="n">
        <f aca="false">BB1620*CB1620</f>
        <v>5.96153846153846</v>
      </c>
      <c r="BD1620" s="51" t="n">
        <f aca="false">IF(LEFT(Cockpit!$O$5,1)="A",H1620,IF(CH1620=1,(CK1620+CI1620)/2,IF(LEFT(Cockpit!$O$5,1)="B",(CK1620+BF1620)/2,MAX((CK1620+BF1620)/2,H1620))))</f>
        <v>100</v>
      </c>
      <c r="BE1620" s="50" t="n">
        <f aca="false">BD1620*G1620</f>
        <v>7</v>
      </c>
      <c r="BF1620" s="50" t="n">
        <f aca="false">ROUNDUP(CK1620+MAX(CL1620,2*(J1620/IF(CG1620&gt;0,CG1620,MAX(0.1,N(Cockpit!$O$6)))-CK1620)),0)</f>
        <v>200</v>
      </c>
      <c r="BG1620" s="51" t="n">
        <f aca="false">IF(BC1620&gt;0,J1620/BC1620,-1)</f>
        <v>0</v>
      </c>
      <c r="BH1620" s="51" t="n">
        <f aca="false">IF(AND(OR(CF1620="L1",CF1620="L23",CF1620="LIFT"),BC1620&gt;0),SUMIFS($BC$7:$BC$1843,$CF$7:$CF$1843,CF1620,$BG$7:$BG$1843,"&gt;"&amp;BG1620)+SUMIFS($BC$7:$BC$1843,$CF$7:$CF$1843,CF1620,$BG$7:$BG$1843,BG1620,$BW$7:$BW$1843,"&lt;="&amp;BW1620),"")</f>
        <v>31071.6460338155</v>
      </c>
      <c r="BI1620" s="58" t="n">
        <f aca="false">IF(BH1620="",0,MAX(0,MIN(1,(IF(CF1620="L1",Parameter!$H$5,IF(CF1620="L23",Parameter!$H$6+Parameter!$H$7,Parameter!$H$5+Parameter!$H$6+Parameter!$H$7))-(BH1620-BC1620))/BC1620)))</f>
        <v>1</v>
      </c>
      <c r="BJ1620" s="48" t="str">
        <f aca="false">IF(AI1620&lt;=0,"",IF(CF1620="Aussen","Aussenlager",IF(CF1620="-","Nicht im Lift",IF(AO1620&gt;=1,"Lift",IF(AO1620&lt;=0,"Aussenlager","teilweise")))))</f>
        <v>Lift</v>
      </c>
      <c r="BK1620" s="48" t="str">
        <f aca="false">IF(AS1620&lt;=0,"",IF(CF1620="Aussen","Aussenlager",IF(CF1620="-","Nicht im Lift",IF(AY1620&gt;=1,"Lift",IF(AY1620&lt;=0,"Aussenlager","teilweise")))))</f>
        <v>Aussenlager</v>
      </c>
      <c r="BL1620" s="48" t="str">
        <f aca="false">IF(BC1620&lt;=0,"",IF(CF1620="Aussen","Aussenlager",IF(CF1620="-","Nicht im Lift",IF(BI1620&gt;=1,"Lift",IF(BI1620&lt;=0,"Aussenlager","teilweise")))))</f>
        <v>Lift</v>
      </c>
      <c r="BM1620" s="48" t="str">
        <f aca="false">IF(A1620="","",IF(BV1620=1,"Neu; ","")&amp;IF(AND(BV1620=0,BQ1620&lt;0),"negativer Bestand (Export "&amp;BQ1620&amp;"); ","")&amp;IF(J1620&lt;=0,"Kein Verbrauch; ","")&amp;IF(CQ1620&gt;0,"Lift "&amp;W1620&amp;" lt. Liftbericht (Fach "&amp;X1620&amp;" Stk); ",IF(CA1620=1,"Gebinde geschätzt ("&amp;T1620&amp;"); ",IF(BZ1620=1,"Lose – Tablare geschätzt; ","")))&amp;IF(H1620&gt;AV1620,"Überbestand "&amp;ROUND(H1620-AV1620,0)&amp;" Stk / CHF "&amp;ROUND((H1620-AV1620)*G1620,0)&amp;"; ","")&amp;IF(AND(CH1620=1,CI1620&lt;CJ1620),"MAX &lt; MB+LG; ","")&amp;IF(AND(CP1620&gt;0,CO1620*10&gt;CP1620),"zu hoch für Tablar; ","")&amp;IF(AND(BV1620=0,OR(CH1620=1,AA1620&lt;&gt;"",U1620&lt;&gt;"",V1620&lt;&gt;"",AB1620&lt;&gt;"")),"manuell übersteuert; ","")&amp;IF(AND(BZ1620=0,R1620=0),"Gebinde unbekannt / Stellmass fehlt; ","")&amp;IF(AND(BZ1620=0,N(V1620)&lt;=0,N(Q1620)&lt;=0),"Menge pro Gebinde fehlt (Ist = 1 Gebinde); ","")&amp;BU1620)</f>
        <v>Kein Verbrauch; Gebinde geschätzt (Klein); Überbestand 252 Stk / CHF 18; Menge pro Gebinde fehlt (Ist = 1 Gebinde); nur im Artikelstamm (Bestand 23.06.2026)</v>
      </c>
      <c r="BN1620" s="48"/>
      <c r="BO1620" s="48"/>
      <c r="BP1620" s="55"/>
      <c r="BQ1620" s="50" t="n">
        <v>452</v>
      </c>
      <c r="BR1620" s="50" t="n">
        <v>0</v>
      </c>
      <c r="BS1620" s="49" t="n">
        <v>0</v>
      </c>
      <c r="BT1620" s="50" t="n">
        <v>0</v>
      </c>
      <c r="BU1620" s="48" t="s">
        <v>2584</v>
      </c>
      <c r="BV1620" s="53" t="n">
        <v>0</v>
      </c>
      <c r="BW1620" s="53" t="n">
        <v>1620</v>
      </c>
      <c r="BX1620" s="48" t="str">
        <f aca="false">IF(U1620&lt;&gt;"",UPPER(TRIM(U1620)),IF(CA1620=1,UPPER(VLOOKUP(T1620,Parameter!$I$27:$K$29,2,0)),IF(P1620="","LOSE",P1620)))</f>
        <v>S51</v>
      </c>
      <c r="BY1620" s="50" t="n">
        <f aca="false">IF(BX1620="LOSE",1,IF(N(V1620)&gt;0,V1620,IF(CA1620=1,MAX(1,N(VLOOKUP(T1620,Parameter!$I$27:$K$29,3,0)),H1620,N(N1620)),IF(N(Q1620)&gt;0,Q1620,MAX(1,H1620)))))</f>
        <v>452</v>
      </c>
      <c r="BZ1620" s="53" t="n">
        <f aca="false">IF(BX1620="LOSE",1,0)</f>
        <v>0</v>
      </c>
      <c r="CA1620" s="53" t="n">
        <f aca="false">IF(AND(U1620="",OR(P1620="",P1620="LOSE"),T1620&lt;&gt;"",N(S1620)&lt;=0,ISNUMBER(MATCH(T1620,Parameter!$I$27:$I$29,0))),1,0)</f>
        <v>1</v>
      </c>
      <c r="CB1620" s="53" t="n">
        <f aca="false">IF(CQ1620&gt;0,INDEX(Parameter!$H$5:$H$7,W1620)/INDEX(Parameter!$E$5:$E$7,W1620),IF(AND(BZ1620=0,N(IFERROR(VLOOKUP(BX1620,'Gebinde-Kategorie'!$A$5:$N$45,14,0),0))&gt;0),VLOOKUP(BX1620,'Gebinde-Kategorie'!$A$5:$N$45,14,0)*10+Parameter!$M$23,Parameter!$M$24))</f>
        <v>155</v>
      </c>
      <c r="CC1620" s="48" t="str">
        <f aca="false">IF(AND(Parameter!$B$19="Ja",E1620&lt;&gt;"",ISNUMBER(MATCH(E1620,Parameter!$I$35:$I$52,0))),VLOOKUP(E1620,Parameter!$I$35:$J$52,2,0),IFERROR(VLOOKUP(D1620,Parameter!$A$35:$C$64,2,0),"Nein"))</f>
        <v>2+3</v>
      </c>
      <c r="CD1620" s="52" t="n">
        <f aca="false">IF(BZ1620=0,0,IF(N(S1620)&gt;0,S1620,IFERROR(VLOOKUP(D1620,Parameter!$A$35:$C$64,3,0)+0,0)))</f>
        <v>0</v>
      </c>
      <c r="CE1620" s="48" t="n">
        <f aca="false">IF(AA1620&lt;&gt;"",AA1620,Z1620)</f>
        <v>3</v>
      </c>
      <c r="CF1620" s="48" t="str">
        <f aca="false">IF(OR(CE1620=1,CE1620=2,CE1620=3),IF(Parameter!$E$27="Ja","LIFT",IF(CE1620=1,"L1","L23")),IF(CE1620="Aussen","Aussen","-"))</f>
        <v>LIFT</v>
      </c>
      <c r="CG1620" s="59" t="n">
        <f aca="false">IF(N(AB1620)&gt;0,AB1620,0)</f>
        <v>0</v>
      </c>
      <c r="CH1620" s="53" t="n">
        <f aca="false">IF(ISNUMBER(AE1620),1,0)</f>
        <v>0</v>
      </c>
      <c r="CI1620" s="50" t="n">
        <f aca="false">N(AE1620)</f>
        <v>0</v>
      </c>
      <c r="CJ1620" s="50" t="n">
        <f aca="false">N(M1620)+N(N1620)</f>
        <v>200</v>
      </c>
      <c r="CK1620" s="50" t="n">
        <f aca="false">N(M1620)</f>
        <v>0</v>
      </c>
      <c r="CL1620" s="50" t="n">
        <f aca="false">N(N1620)</f>
        <v>200</v>
      </c>
      <c r="CM1620" s="50" t="n">
        <f aca="false">ROUNDUP(H1620/BY1620,0)</f>
        <v>1</v>
      </c>
      <c r="CN1620" s="50" t="n">
        <f aca="false">ROUNDUP(CI1620/BY1620,0)</f>
        <v>0</v>
      </c>
      <c r="CO1620" s="53" t="n">
        <f aca="false">IF(BZ1620=1,0,IFERROR(VLOOKUP(BX1620,'Gebinde-Kategorie'!$A$5:$N$45,5,0)+0,0))</f>
        <v>11</v>
      </c>
      <c r="CP1620" s="53" t="n">
        <f aca="false">IFERROR(IF(OR(CE1620=1,CE1620=2,CE1620=3),N(INDEX(Parameter!$I$5:$I$7,CE1620)),0),0)</f>
        <v>0</v>
      </c>
      <c r="CQ1620" s="52" t="n">
        <f aca="false">IF(AND(Parameter!$B$21="Ja",ISNUMBER(W1620),N(X1620)&gt;0),IFERROR(N(INDEX(Parameter!$L$5:$L$7,W1620))*INDEX(Parameter!$E$5:$E$7,W1620)*X1620/SUMIFS($X$7:$X$1843,$W$7:$W$1843,W1620),0),0)</f>
        <v>0</v>
      </c>
    </row>
    <row r="1621" customFormat="false" ht="15" hidden="false" customHeight="false" outlineLevel="0" collapsed="false">
      <c r="A1621" s="48" t="s">
        <v>2831</v>
      </c>
      <c r="B1621" s="48" t="s">
        <v>2832</v>
      </c>
      <c r="C1621" s="48" t="s">
        <v>173</v>
      </c>
      <c r="D1621" s="48" t="s">
        <v>193</v>
      </c>
      <c r="E1621" s="48"/>
      <c r="F1621" s="48"/>
      <c r="G1621" s="49" t="n">
        <v>8.1</v>
      </c>
      <c r="H1621" s="50" t="n">
        <f aca="false">MAX(0,IF(AND(Parameter!$B$21="Ja",ISNUMBER(Y1621)),Y1621,IF(Parameter!$B$20="Jahresanfang 2025 + Export",BR1621+BQ1621,BQ1621)))</f>
        <v>15</v>
      </c>
      <c r="I1621" s="50" t="n">
        <f aca="false">H1621*G1621</f>
        <v>121.5</v>
      </c>
      <c r="J1621" s="50" t="n">
        <f aca="false">BT1621*Parameter!$B$18</f>
        <v>0</v>
      </c>
      <c r="K1621" s="51"/>
      <c r="L1621" s="52"/>
      <c r="M1621" s="50" t="n">
        <v>0</v>
      </c>
      <c r="N1621" s="50" t="n">
        <v>1</v>
      </c>
      <c r="O1621" s="53" t="n">
        <v>0</v>
      </c>
      <c r="P1621" s="48" t="s">
        <v>177</v>
      </c>
      <c r="Q1621" s="50"/>
      <c r="R1621" s="53" t="n">
        <f aca="false">IF(BZ1621=1,0,IFERROR(VLOOKUP(BX1621,'Gebinde-Kategorie'!$A$5:$N$45,13,0)+0,0))</f>
        <v>26</v>
      </c>
      <c r="S1621" s="54"/>
      <c r="T1621" s="55" t="s">
        <v>284</v>
      </c>
      <c r="U1621" s="55"/>
      <c r="V1621" s="55"/>
      <c r="W1621" s="48"/>
      <c r="X1621" s="50"/>
      <c r="Y1621" s="50"/>
      <c r="Z1621" s="48" t="n">
        <f aca="false">IF(A1621="","",IF(AND(Parameter!$B$21="Ja",ISNUMBER(W1621)),W1621,IF(CC1621="2+3",IF(ISNUMBER(SEARCH("grosser Artikel",BU1621)),2,IFERROR(VLOOKUP(BX1621,Parameter!$F$35:$G$64,2,0),2)),IF(OR(CC1621="Nein",CC1621=""),"-",CC1621))))</f>
        <v>3</v>
      </c>
      <c r="AA1621" s="55"/>
      <c r="AB1621" s="56"/>
      <c r="AC1621" s="50" t="n">
        <f aca="false">AV1621</f>
        <v>1</v>
      </c>
      <c r="AD1621" s="50" t="n">
        <f aca="false">MAX(AV1621,H1621)</f>
        <v>15</v>
      </c>
      <c r="AE1621" s="57"/>
      <c r="AF1621" s="50" t="n">
        <f aca="false">IF(LEFT(Cockpit!$C$5,1)="A",H1621,IF(Parameter!$E$30="MAX-Bestand",IF(CH1621=1,CI1621,IF(LEFT(Cockpit!$C$5,1)="B",AL1621,MAX(AL1621,H1621))),ROUNDUP(AJ1621,0)))</f>
        <v>15</v>
      </c>
      <c r="AG1621" s="50" t="n">
        <f aca="false">IF(BZ1621=1,0,ROUNDUP(AF1621/BY1621,0))</f>
        <v>1</v>
      </c>
      <c r="AH1621" s="52" t="n">
        <f aca="false">IF(CQ1621&gt;0,CQ1621*MAX(1,AF1621/X1621),IF(BZ1621=1,IF(AF1621&lt;=0,0,CD1621*MAX(1,IF(H1621&gt;0,AF1621/H1621,1))),IF(R1621&gt;0,AG1621/R1621,0))/MAX(0.1,N(Parameter!$M$21)))</f>
        <v>0.0384615384615385</v>
      </c>
      <c r="AI1621" s="50" t="n">
        <f aca="false">AH1621*CB1621</f>
        <v>5.96153846153846</v>
      </c>
      <c r="AJ1621" s="51" t="n">
        <f aca="false">IF(LEFT(Cockpit!$C$5,1)="A",H1621,IF(CH1621=1,(CK1621+CI1621)/2,IF(LEFT(Cockpit!$C$5,1)="B",(CK1621+AL1621)/2,MAX((CK1621+AL1621)/2,H1621))))</f>
        <v>15</v>
      </c>
      <c r="AK1621" s="50" t="n">
        <f aca="false">AJ1621*G1621</f>
        <v>121.5</v>
      </c>
      <c r="AL1621" s="50" t="n">
        <f aca="false">ROUNDUP(CK1621+MAX(CL1621,2*(J1621/IF(CG1621&gt;0,CG1621,MAX(0.1,N(Cockpit!$C$6)))-CK1621)),0)</f>
        <v>1</v>
      </c>
      <c r="AM1621" s="51" t="n">
        <f aca="false">IF(AI1621&gt;0,J1621/AI1621,-1)</f>
        <v>0</v>
      </c>
      <c r="AN1621" s="51" t="n">
        <f aca="false">IF(AND(OR(CF1621="L1",CF1621="L23",CF1621="LIFT"),AI1621&gt;0),SUMIFS($AI$7:$AI$1843,$CF$7:$CF$1843,CF1621,$AM$7:$AM$1843,"&gt;"&amp;AM1621)+SUMIFS($AI$7:$AI$1843,$CF$7:$CF$1843,CF1621,$AM$7:$AM$1843,AM1621,$BW$7:$BW$1843,"&lt;="&amp;BW1621),"")</f>
        <v>30848.3097799094</v>
      </c>
      <c r="AO1621" s="58" t="n">
        <f aca="false">IF(AN1621="",0,MAX(0,MIN(1,(IF(CF1621="L1",Parameter!$H$5,IF(CF1621="L23",Parameter!$H$6+Parameter!$H$7,Parameter!$H$5+Parameter!$H$6+Parameter!$H$7))-(AN1621-AI1621))/AI1621)))</f>
        <v>1</v>
      </c>
      <c r="AP1621" s="50" t="n">
        <f aca="false">IF(LEFT(Cockpit!$I$5,1)="A",H1621,IF(Parameter!$E$30="MAX-Bestand",IF(CH1621=1,CI1621,IF(LEFT(Cockpit!$I$5,1)="B",AV1621,MAX(AV1621,H1621))),ROUNDUP(AT1621,0)))</f>
        <v>15</v>
      </c>
      <c r="AQ1621" s="50" t="n">
        <f aca="false">IF(BZ1621=1,0,ROUNDUP(AP1621/BY1621,0))</f>
        <v>1</v>
      </c>
      <c r="AR1621" s="52" t="n">
        <f aca="false">IF(CQ1621&gt;0,CQ1621*MAX(1,AP1621/X1621),IF(BZ1621=1,IF(AP1621&lt;=0,0,CD1621*MAX(1,IF(H1621&gt;0,AP1621/H1621,1))),IF(R1621&gt;0,AQ1621/R1621,0))/MAX(0.1,N(Parameter!$M$21)))</f>
        <v>0.0384615384615385</v>
      </c>
      <c r="AS1621" s="50" t="n">
        <f aca="false">AR1621*CB1621</f>
        <v>5.96153846153846</v>
      </c>
      <c r="AT1621" s="51" t="n">
        <f aca="false">IF(LEFT(Cockpit!$I$5,1)="A",H1621,IF(CH1621=1,(CK1621+CI1621)/2,IF(LEFT(Cockpit!$I$5,1)="B",(CK1621+AV1621)/2,MAX((CK1621+AV1621)/2,H1621))))</f>
        <v>15</v>
      </c>
      <c r="AU1621" s="50" t="n">
        <f aca="false">AT1621*G1621</f>
        <v>121.5</v>
      </c>
      <c r="AV1621" s="50" t="n">
        <f aca="false">ROUNDUP(CK1621+MAX(CL1621,2*(J1621/IF(CG1621&gt;0,CG1621,MAX(0.1,N(Cockpit!$I$6)))-CK1621)),0)</f>
        <v>1</v>
      </c>
      <c r="AW1621" s="51" t="n">
        <f aca="false">IF(AS1621&gt;0,J1621/AS1621,-1)</f>
        <v>0</v>
      </c>
      <c r="AX1621" s="51" t="n">
        <f aca="false">IF(AND(OR(CF1621="L1",CF1621="L23",CF1621="LIFT"),AS1621&gt;0),SUMIFS($AS$7:$AS$1843,$CF$7:$CF$1843,CF1621,$AW$7:$AW$1843,"&gt;"&amp;AW1621)+SUMIFS($AS$7:$AS$1843,$CF$7:$CF$1843,CF1621,$AW$7:$AW$1843,AW1621,$BW$7:$BW$1843,"&lt;="&amp;BW1621),"")</f>
        <v>37168.1662967447</v>
      </c>
      <c r="AY1621" s="58" t="n">
        <f aca="false">IF(AX1621="",0,MAX(0,MIN(1,(IF(CF1621="L1",Parameter!$H$5,IF(CF1621="L23",Parameter!$H$6+Parameter!$H$7,Parameter!$H$5+Parameter!$H$6+Parameter!$H$7))-(AX1621-AS1621))/AS1621)))</f>
        <v>0</v>
      </c>
      <c r="AZ1621" s="50" t="n">
        <f aca="false">IF(LEFT(Cockpit!$O$5,1)="A",H1621,IF(Parameter!$E$30="MAX-Bestand",IF(CH1621=1,CI1621,IF(LEFT(Cockpit!$O$5,1)="B",BF1621,MAX(BF1621,H1621))),ROUNDUP(BD1621,0)))</f>
        <v>1</v>
      </c>
      <c r="BA1621" s="50" t="n">
        <f aca="false">IF(BZ1621=1,0,ROUNDUP(AZ1621/BY1621,0))</f>
        <v>1</v>
      </c>
      <c r="BB1621" s="52" t="n">
        <f aca="false">IF(CQ1621&gt;0,CQ1621*MAX(1,AZ1621/X1621),IF(BZ1621=1,IF(AZ1621&lt;=0,0,CD1621*MAX(1,IF(H1621&gt;0,AZ1621/H1621,1))),IF(R1621&gt;0,BA1621/R1621,0))/MAX(0.1,N(Parameter!$M$21)))</f>
        <v>0.0384615384615385</v>
      </c>
      <c r="BC1621" s="50" t="n">
        <f aca="false">BB1621*CB1621</f>
        <v>5.96153846153846</v>
      </c>
      <c r="BD1621" s="51" t="n">
        <f aca="false">IF(LEFT(Cockpit!$O$5,1)="A",H1621,IF(CH1621=1,(CK1621+CI1621)/2,IF(LEFT(Cockpit!$O$5,1)="B",(CK1621+BF1621)/2,MAX((CK1621+BF1621)/2,H1621))))</f>
        <v>0.5</v>
      </c>
      <c r="BE1621" s="50" t="n">
        <f aca="false">BD1621*G1621</f>
        <v>4.05</v>
      </c>
      <c r="BF1621" s="50" t="n">
        <f aca="false">ROUNDUP(CK1621+MAX(CL1621,2*(J1621/IF(CG1621&gt;0,CG1621,MAX(0.1,N(Cockpit!$O$6)))-CK1621)),0)</f>
        <v>1</v>
      </c>
      <c r="BG1621" s="51" t="n">
        <f aca="false">IF(BC1621&gt;0,J1621/BC1621,-1)</f>
        <v>0</v>
      </c>
      <c r="BH1621" s="51" t="n">
        <f aca="false">IF(AND(OR(CF1621="L1",CF1621="L23",CF1621="LIFT"),BC1621&gt;0),SUMIFS($BC$7:$BC$1843,$CF$7:$CF$1843,CF1621,$BG$7:$BG$1843,"&gt;"&amp;BG1621)+SUMIFS($BC$7:$BC$1843,$CF$7:$CF$1843,CF1621,$BG$7:$BG$1843,BG1621,$BW$7:$BW$1843,"&lt;="&amp;BW1621),"")</f>
        <v>31077.6075722771</v>
      </c>
      <c r="BI1621" s="58" t="n">
        <f aca="false">IF(BH1621="",0,MAX(0,MIN(1,(IF(CF1621="L1",Parameter!$H$5,IF(CF1621="L23",Parameter!$H$6+Parameter!$H$7,Parameter!$H$5+Parameter!$H$6+Parameter!$H$7))-(BH1621-BC1621))/BC1621)))</f>
        <v>1</v>
      </c>
      <c r="BJ1621" s="48" t="str">
        <f aca="false">IF(AI1621&lt;=0,"",IF(CF1621="Aussen","Aussenlager",IF(CF1621="-","Nicht im Lift",IF(AO1621&gt;=1,"Lift",IF(AO1621&lt;=0,"Aussenlager","teilweise")))))</f>
        <v>Lift</v>
      </c>
      <c r="BK1621" s="48" t="str">
        <f aca="false">IF(AS1621&lt;=0,"",IF(CF1621="Aussen","Aussenlager",IF(CF1621="-","Nicht im Lift",IF(AY1621&gt;=1,"Lift",IF(AY1621&lt;=0,"Aussenlager","teilweise")))))</f>
        <v>Aussenlager</v>
      </c>
      <c r="BL1621" s="48" t="str">
        <f aca="false">IF(BC1621&lt;=0,"",IF(CF1621="Aussen","Aussenlager",IF(CF1621="-","Nicht im Lift",IF(BI1621&gt;=1,"Lift",IF(BI1621&lt;=0,"Aussenlager","teilweise")))))</f>
        <v>Lift</v>
      </c>
      <c r="BM1621" s="48" t="str">
        <f aca="false">IF(A1621="","",IF(BV1621=1,"Neu; ","")&amp;IF(AND(BV1621=0,BQ1621&lt;0),"negativer Bestand (Export "&amp;BQ1621&amp;"); ","")&amp;IF(J1621&lt;=0,"Kein Verbrauch; ","")&amp;IF(CQ1621&gt;0,"Lift "&amp;W1621&amp;" lt. Liftbericht (Fach "&amp;X1621&amp;" Stk); ",IF(CA1621=1,"Gebinde geschätzt ("&amp;T1621&amp;"); ",IF(BZ1621=1,"Lose – Tablare geschätzt; ","")))&amp;IF(H1621&gt;AV1621,"Überbestand "&amp;ROUND(H1621-AV1621,0)&amp;" Stk / CHF "&amp;ROUND((H1621-AV1621)*G1621,0)&amp;"; ","")&amp;IF(AND(CH1621=1,CI1621&lt;CJ1621),"MAX &lt; MB+LG; ","")&amp;IF(AND(CP1621&gt;0,CO1621*10&gt;CP1621),"zu hoch für Tablar; ","")&amp;IF(AND(BV1621=0,OR(CH1621=1,AA1621&lt;&gt;"",U1621&lt;&gt;"",V1621&lt;&gt;"",AB1621&lt;&gt;"")),"manuell übersteuert; ","")&amp;IF(AND(BZ1621=0,R1621=0),"Gebinde unbekannt / Stellmass fehlt; ","")&amp;IF(AND(BZ1621=0,N(V1621)&lt;=0,N(Q1621)&lt;=0),"Menge pro Gebinde fehlt (Ist = 1 Gebinde); ","")&amp;BU1621)</f>
        <v>Kein Verbrauch; Gebinde geschätzt (Klein); Überbestand 14 Stk / CHF 113; Menge pro Gebinde fehlt (Ist = 1 Gebinde); nur im Artikelstamm (Bestand 23.06.2026)</v>
      </c>
      <c r="BN1621" s="48"/>
      <c r="BO1621" s="48"/>
      <c r="BP1621" s="55"/>
      <c r="BQ1621" s="50" t="n">
        <v>15</v>
      </c>
      <c r="BR1621" s="50" t="n">
        <v>0</v>
      </c>
      <c r="BS1621" s="49" t="n">
        <v>0</v>
      </c>
      <c r="BT1621" s="50" t="n">
        <v>0</v>
      </c>
      <c r="BU1621" s="48" t="s">
        <v>2584</v>
      </c>
      <c r="BV1621" s="53" t="n">
        <v>0</v>
      </c>
      <c r="BW1621" s="53" t="n">
        <v>1621</v>
      </c>
      <c r="BX1621" s="48" t="str">
        <f aca="false">IF(U1621&lt;&gt;"",UPPER(TRIM(U1621)),IF(CA1621=1,UPPER(VLOOKUP(T1621,Parameter!$I$27:$K$29,2,0)),IF(P1621="","LOSE",P1621)))</f>
        <v>S51</v>
      </c>
      <c r="BY1621" s="50" t="n">
        <f aca="false">IF(BX1621="LOSE",1,IF(N(V1621)&gt;0,V1621,IF(CA1621=1,MAX(1,N(VLOOKUP(T1621,Parameter!$I$27:$K$29,3,0)),H1621,N(N1621)),IF(N(Q1621)&gt;0,Q1621,MAX(1,H1621)))))</f>
        <v>20</v>
      </c>
      <c r="BZ1621" s="53" t="n">
        <f aca="false">IF(BX1621="LOSE",1,0)</f>
        <v>0</v>
      </c>
      <c r="CA1621" s="53" t="n">
        <f aca="false">IF(AND(U1621="",OR(P1621="",P1621="LOSE"),T1621&lt;&gt;"",N(S1621)&lt;=0,ISNUMBER(MATCH(T1621,Parameter!$I$27:$I$29,0))),1,0)</f>
        <v>1</v>
      </c>
      <c r="CB1621" s="53" t="n">
        <f aca="false">IF(CQ1621&gt;0,INDEX(Parameter!$H$5:$H$7,W1621)/INDEX(Parameter!$E$5:$E$7,W1621),IF(AND(BZ1621=0,N(IFERROR(VLOOKUP(BX1621,'Gebinde-Kategorie'!$A$5:$N$45,14,0),0))&gt;0),VLOOKUP(BX1621,'Gebinde-Kategorie'!$A$5:$N$45,14,0)*10+Parameter!$M$23,Parameter!$M$24))</f>
        <v>155</v>
      </c>
      <c r="CC1621" s="48" t="str">
        <f aca="false">IF(AND(Parameter!$B$19="Ja",E1621&lt;&gt;"",ISNUMBER(MATCH(E1621,Parameter!$I$35:$I$52,0))),VLOOKUP(E1621,Parameter!$I$35:$J$52,2,0),IFERROR(VLOOKUP(D1621,Parameter!$A$35:$C$64,2,0),"Nein"))</f>
        <v>2+3</v>
      </c>
      <c r="CD1621" s="52" t="n">
        <f aca="false">IF(BZ1621=0,0,IF(N(S1621)&gt;0,S1621,IFERROR(VLOOKUP(D1621,Parameter!$A$35:$C$64,3,0)+0,0)))</f>
        <v>0</v>
      </c>
      <c r="CE1621" s="48" t="n">
        <f aca="false">IF(AA1621&lt;&gt;"",AA1621,Z1621)</f>
        <v>3</v>
      </c>
      <c r="CF1621" s="48" t="str">
        <f aca="false">IF(OR(CE1621=1,CE1621=2,CE1621=3),IF(Parameter!$E$27="Ja","LIFT",IF(CE1621=1,"L1","L23")),IF(CE1621="Aussen","Aussen","-"))</f>
        <v>LIFT</v>
      </c>
      <c r="CG1621" s="59" t="n">
        <f aca="false">IF(N(AB1621)&gt;0,AB1621,0)</f>
        <v>0</v>
      </c>
      <c r="CH1621" s="53" t="n">
        <f aca="false">IF(ISNUMBER(AE1621),1,0)</f>
        <v>0</v>
      </c>
      <c r="CI1621" s="50" t="n">
        <f aca="false">N(AE1621)</f>
        <v>0</v>
      </c>
      <c r="CJ1621" s="50" t="n">
        <f aca="false">N(M1621)+N(N1621)</f>
        <v>1</v>
      </c>
      <c r="CK1621" s="50" t="n">
        <f aca="false">N(M1621)</f>
        <v>0</v>
      </c>
      <c r="CL1621" s="50" t="n">
        <f aca="false">N(N1621)</f>
        <v>1</v>
      </c>
      <c r="CM1621" s="50" t="n">
        <f aca="false">ROUNDUP(H1621/BY1621,0)</f>
        <v>1</v>
      </c>
      <c r="CN1621" s="50" t="n">
        <f aca="false">ROUNDUP(CI1621/BY1621,0)</f>
        <v>0</v>
      </c>
      <c r="CO1621" s="53" t="n">
        <f aca="false">IF(BZ1621=1,0,IFERROR(VLOOKUP(BX1621,'Gebinde-Kategorie'!$A$5:$N$45,5,0)+0,0))</f>
        <v>11</v>
      </c>
      <c r="CP1621" s="53" t="n">
        <f aca="false">IFERROR(IF(OR(CE1621=1,CE1621=2,CE1621=3),N(INDEX(Parameter!$I$5:$I$7,CE1621)),0),0)</f>
        <v>0</v>
      </c>
      <c r="CQ1621" s="52" t="n">
        <f aca="false">IF(AND(Parameter!$B$21="Ja",ISNUMBER(W1621),N(X1621)&gt;0),IFERROR(N(INDEX(Parameter!$L$5:$L$7,W1621))*INDEX(Parameter!$E$5:$E$7,W1621)*X1621/SUMIFS($X$7:$X$1843,$W$7:$W$1843,W1621),0),0)</f>
        <v>0</v>
      </c>
    </row>
    <row r="1622" customFormat="false" ht="15" hidden="false" customHeight="false" outlineLevel="0" collapsed="false">
      <c r="A1622" s="48" t="s">
        <v>2833</v>
      </c>
      <c r="B1622" s="48" t="s">
        <v>414</v>
      </c>
      <c r="C1622" s="48" t="s">
        <v>173</v>
      </c>
      <c r="D1622" s="48" t="s">
        <v>193</v>
      </c>
      <c r="E1622" s="48"/>
      <c r="F1622" s="48"/>
      <c r="G1622" s="49" t="n">
        <v>0.08</v>
      </c>
      <c r="H1622" s="50" t="n">
        <f aca="false">MAX(0,IF(AND(Parameter!$B$21="Ja",ISNUMBER(Y1622)),Y1622,IF(Parameter!$B$20="Jahresanfang 2025 + Export",BR1622+BQ1622,BQ1622)))</f>
        <v>1143</v>
      </c>
      <c r="I1622" s="50" t="n">
        <f aca="false">H1622*G1622</f>
        <v>91.44</v>
      </c>
      <c r="J1622" s="50" t="n">
        <f aca="false">BT1622*Parameter!$B$18</f>
        <v>0</v>
      </c>
      <c r="K1622" s="51"/>
      <c r="L1622" s="52"/>
      <c r="M1622" s="50" t="n">
        <v>0</v>
      </c>
      <c r="N1622" s="50" t="n">
        <v>200</v>
      </c>
      <c r="O1622" s="53" t="n">
        <v>14</v>
      </c>
      <c r="P1622" s="48" t="s">
        <v>177</v>
      </c>
      <c r="Q1622" s="50"/>
      <c r="R1622" s="53" t="n">
        <f aca="false">IF(BZ1622=1,0,IFERROR(VLOOKUP(BX1622,'Gebinde-Kategorie'!$A$5:$N$45,13,0)+0,0))</f>
        <v>26</v>
      </c>
      <c r="S1622" s="54"/>
      <c r="T1622" s="55" t="s">
        <v>284</v>
      </c>
      <c r="U1622" s="55"/>
      <c r="V1622" s="55"/>
      <c r="W1622" s="48"/>
      <c r="X1622" s="50"/>
      <c r="Y1622" s="50"/>
      <c r="Z1622" s="48" t="n">
        <f aca="false">IF(A1622="","",IF(AND(Parameter!$B$21="Ja",ISNUMBER(W1622)),W1622,IF(CC1622="2+3",IF(ISNUMBER(SEARCH("grosser Artikel",BU1622)),2,IFERROR(VLOOKUP(BX1622,Parameter!$F$35:$G$64,2,0),2)),IF(OR(CC1622="Nein",CC1622=""),"-",CC1622))))</f>
        <v>3</v>
      </c>
      <c r="AA1622" s="55"/>
      <c r="AB1622" s="56"/>
      <c r="AC1622" s="50" t="n">
        <f aca="false">AV1622</f>
        <v>200</v>
      </c>
      <c r="AD1622" s="50" t="n">
        <f aca="false">MAX(AV1622,H1622)</f>
        <v>1143</v>
      </c>
      <c r="AE1622" s="57"/>
      <c r="AF1622" s="50" t="n">
        <f aca="false">IF(LEFT(Cockpit!$C$5,1)="A",H1622,IF(Parameter!$E$30="MAX-Bestand",IF(CH1622=1,CI1622,IF(LEFT(Cockpit!$C$5,1)="B",AL1622,MAX(AL1622,H1622))),ROUNDUP(AJ1622,0)))</f>
        <v>1143</v>
      </c>
      <c r="AG1622" s="50" t="n">
        <f aca="false">IF(BZ1622=1,0,ROUNDUP(AF1622/BY1622,0))</f>
        <v>1</v>
      </c>
      <c r="AH1622" s="52" t="n">
        <f aca="false">IF(CQ1622&gt;0,CQ1622*MAX(1,AF1622/X1622),IF(BZ1622=1,IF(AF1622&lt;=0,0,CD1622*MAX(1,IF(H1622&gt;0,AF1622/H1622,1))),IF(R1622&gt;0,AG1622/R1622,0))/MAX(0.1,N(Parameter!$M$21)))</f>
        <v>0.0384615384615385</v>
      </c>
      <c r="AI1622" s="50" t="n">
        <f aca="false">AH1622*CB1622</f>
        <v>5.96153846153846</v>
      </c>
      <c r="AJ1622" s="51" t="n">
        <f aca="false">IF(LEFT(Cockpit!$C$5,1)="A",H1622,IF(CH1622=1,(CK1622+CI1622)/2,IF(LEFT(Cockpit!$C$5,1)="B",(CK1622+AL1622)/2,MAX((CK1622+AL1622)/2,H1622))))</f>
        <v>1143</v>
      </c>
      <c r="AK1622" s="50" t="n">
        <f aca="false">AJ1622*G1622</f>
        <v>91.44</v>
      </c>
      <c r="AL1622" s="50" t="n">
        <f aca="false">ROUNDUP(CK1622+MAX(CL1622,2*(J1622/IF(CG1622&gt;0,CG1622,MAX(0.1,N(Cockpit!$C$6)))-CK1622)),0)</f>
        <v>200</v>
      </c>
      <c r="AM1622" s="51" t="n">
        <f aca="false">IF(AI1622&gt;0,J1622/AI1622,-1)</f>
        <v>0</v>
      </c>
      <c r="AN1622" s="51" t="n">
        <f aca="false">IF(AND(OR(CF1622="L1",CF1622="L23",CF1622="LIFT"),AI1622&gt;0),SUMIFS($AI$7:$AI$1843,$CF$7:$CF$1843,CF1622,$AM$7:$AM$1843,"&gt;"&amp;AM1622)+SUMIFS($AI$7:$AI$1843,$CF$7:$CF$1843,CF1622,$AM$7:$AM$1843,AM1622,$BW$7:$BW$1843,"&lt;="&amp;BW1622),"")</f>
        <v>30854.2713183709</v>
      </c>
      <c r="AO1622" s="58" t="n">
        <f aca="false">IF(AN1622="",0,MAX(0,MIN(1,(IF(CF1622="L1",Parameter!$H$5,IF(CF1622="L23",Parameter!$H$6+Parameter!$H$7,Parameter!$H$5+Parameter!$H$6+Parameter!$H$7))-(AN1622-AI1622))/AI1622)))</f>
        <v>1</v>
      </c>
      <c r="AP1622" s="50" t="n">
        <f aca="false">IF(LEFT(Cockpit!$I$5,1)="A",H1622,IF(Parameter!$E$30="MAX-Bestand",IF(CH1622=1,CI1622,IF(LEFT(Cockpit!$I$5,1)="B",AV1622,MAX(AV1622,H1622))),ROUNDUP(AT1622,0)))</f>
        <v>1143</v>
      </c>
      <c r="AQ1622" s="50" t="n">
        <f aca="false">IF(BZ1622=1,0,ROUNDUP(AP1622/BY1622,0))</f>
        <v>1</v>
      </c>
      <c r="AR1622" s="52" t="n">
        <f aca="false">IF(CQ1622&gt;0,CQ1622*MAX(1,AP1622/X1622),IF(BZ1622=1,IF(AP1622&lt;=0,0,CD1622*MAX(1,IF(H1622&gt;0,AP1622/H1622,1))),IF(R1622&gt;0,AQ1622/R1622,0))/MAX(0.1,N(Parameter!$M$21)))</f>
        <v>0.0384615384615385</v>
      </c>
      <c r="AS1622" s="50" t="n">
        <f aca="false">AR1622*CB1622</f>
        <v>5.96153846153846</v>
      </c>
      <c r="AT1622" s="51" t="n">
        <f aca="false">IF(LEFT(Cockpit!$I$5,1)="A",H1622,IF(CH1622=1,(CK1622+CI1622)/2,IF(LEFT(Cockpit!$I$5,1)="B",(CK1622+AV1622)/2,MAX((CK1622+AV1622)/2,H1622))))</f>
        <v>1143</v>
      </c>
      <c r="AU1622" s="50" t="n">
        <f aca="false">AT1622*G1622</f>
        <v>91.44</v>
      </c>
      <c r="AV1622" s="50" t="n">
        <f aca="false">ROUNDUP(CK1622+MAX(CL1622,2*(J1622/IF(CG1622&gt;0,CG1622,MAX(0.1,N(Cockpit!$I$6)))-CK1622)),0)</f>
        <v>200</v>
      </c>
      <c r="AW1622" s="51" t="n">
        <f aca="false">IF(AS1622&gt;0,J1622/AS1622,-1)</f>
        <v>0</v>
      </c>
      <c r="AX1622" s="51" t="n">
        <f aca="false">IF(AND(OR(CF1622="L1",CF1622="L23",CF1622="LIFT"),AS1622&gt;0),SUMIFS($AS$7:$AS$1843,$CF$7:$CF$1843,CF1622,$AW$7:$AW$1843,"&gt;"&amp;AW1622)+SUMIFS($AS$7:$AS$1843,$CF$7:$CF$1843,CF1622,$AW$7:$AW$1843,AW1622,$BW$7:$BW$1843,"&lt;="&amp;BW1622),"")</f>
        <v>37174.1278352062</v>
      </c>
      <c r="AY1622" s="58" t="n">
        <f aca="false">IF(AX1622="",0,MAX(0,MIN(1,(IF(CF1622="L1",Parameter!$H$5,IF(CF1622="L23",Parameter!$H$6+Parameter!$H$7,Parameter!$H$5+Parameter!$H$6+Parameter!$H$7))-(AX1622-AS1622))/AS1622)))</f>
        <v>0</v>
      </c>
      <c r="AZ1622" s="50" t="n">
        <f aca="false">IF(LEFT(Cockpit!$O$5,1)="A",H1622,IF(Parameter!$E$30="MAX-Bestand",IF(CH1622=1,CI1622,IF(LEFT(Cockpit!$O$5,1)="B",BF1622,MAX(BF1622,H1622))),ROUNDUP(BD1622,0)))</f>
        <v>100</v>
      </c>
      <c r="BA1622" s="50" t="n">
        <f aca="false">IF(BZ1622=1,0,ROUNDUP(AZ1622/BY1622,0))</f>
        <v>1</v>
      </c>
      <c r="BB1622" s="52" t="n">
        <f aca="false">IF(CQ1622&gt;0,CQ1622*MAX(1,AZ1622/X1622),IF(BZ1622=1,IF(AZ1622&lt;=0,0,CD1622*MAX(1,IF(H1622&gt;0,AZ1622/H1622,1))),IF(R1622&gt;0,BA1622/R1622,0))/MAX(0.1,N(Parameter!$M$21)))</f>
        <v>0.0384615384615385</v>
      </c>
      <c r="BC1622" s="50" t="n">
        <f aca="false">BB1622*CB1622</f>
        <v>5.96153846153846</v>
      </c>
      <c r="BD1622" s="51" t="n">
        <f aca="false">IF(LEFT(Cockpit!$O$5,1)="A",H1622,IF(CH1622=1,(CK1622+CI1622)/2,IF(LEFT(Cockpit!$O$5,1)="B",(CK1622+BF1622)/2,MAX((CK1622+BF1622)/2,H1622))))</f>
        <v>100</v>
      </c>
      <c r="BE1622" s="50" t="n">
        <f aca="false">BD1622*G1622</f>
        <v>8</v>
      </c>
      <c r="BF1622" s="50" t="n">
        <f aca="false">ROUNDUP(CK1622+MAX(CL1622,2*(J1622/IF(CG1622&gt;0,CG1622,MAX(0.1,N(Cockpit!$O$6)))-CK1622)),0)</f>
        <v>200</v>
      </c>
      <c r="BG1622" s="51" t="n">
        <f aca="false">IF(BC1622&gt;0,J1622/BC1622,-1)</f>
        <v>0</v>
      </c>
      <c r="BH1622" s="51" t="n">
        <f aca="false">IF(AND(OR(CF1622="L1",CF1622="L23",CF1622="LIFT"),BC1622&gt;0),SUMIFS($BC$7:$BC$1843,$CF$7:$CF$1843,CF1622,$BG$7:$BG$1843,"&gt;"&amp;BG1622)+SUMIFS($BC$7:$BC$1843,$CF$7:$CF$1843,CF1622,$BG$7:$BG$1843,BG1622,$BW$7:$BW$1843,"&lt;="&amp;BW1622),"")</f>
        <v>31083.5691107386</v>
      </c>
      <c r="BI1622" s="58" t="n">
        <f aca="false">IF(BH1622="",0,MAX(0,MIN(1,(IF(CF1622="L1",Parameter!$H$5,IF(CF1622="L23",Parameter!$H$6+Parameter!$H$7,Parameter!$H$5+Parameter!$H$6+Parameter!$H$7))-(BH1622-BC1622))/BC1622)))</f>
        <v>1</v>
      </c>
      <c r="BJ1622" s="48" t="str">
        <f aca="false">IF(AI1622&lt;=0,"",IF(CF1622="Aussen","Aussenlager",IF(CF1622="-","Nicht im Lift",IF(AO1622&gt;=1,"Lift",IF(AO1622&lt;=0,"Aussenlager","teilweise")))))</f>
        <v>Lift</v>
      </c>
      <c r="BK1622" s="48" t="str">
        <f aca="false">IF(AS1622&lt;=0,"",IF(CF1622="Aussen","Aussenlager",IF(CF1622="-","Nicht im Lift",IF(AY1622&gt;=1,"Lift",IF(AY1622&lt;=0,"Aussenlager","teilweise")))))</f>
        <v>Aussenlager</v>
      </c>
      <c r="BL1622" s="48" t="str">
        <f aca="false">IF(BC1622&lt;=0,"",IF(CF1622="Aussen","Aussenlager",IF(CF1622="-","Nicht im Lift",IF(BI1622&gt;=1,"Lift",IF(BI1622&lt;=0,"Aussenlager","teilweise")))))</f>
        <v>Lift</v>
      </c>
      <c r="BM1622" s="48" t="str">
        <f aca="false">IF(A1622="","",IF(BV1622=1,"Neu; ","")&amp;IF(AND(BV1622=0,BQ1622&lt;0),"negativer Bestand (Export "&amp;BQ1622&amp;"); ","")&amp;IF(J1622&lt;=0,"Kein Verbrauch; ","")&amp;IF(CQ1622&gt;0,"Lift "&amp;W1622&amp;" lt. Liftbericht (Fach "&amp;X1622&amp;" Stk); ",IF(CA1622=1,"Gebinde geschätzt ("&amp;T1622&amp;"); ",IF(BZ1622=1,"Lose – Tablare geschätzt; ","")))&amp;IF(H1622&gt;AV1622,"Überbestand "&amp;ROUND(H1622-AV1622,0)&amp;" Stk / CHF "&amp;ROUND((H1622-AV1622)*G1622,0)&amp;"; ","")&amp;IF(AND(CH1622=1,CI1622&lt;CJ1622),"MAX &lt; MB+LG; ","")&amp;IF(AND(CP1622&gt;0,CO1622*10&gt;CP1622),"zu hoch für Tablar; ","")&amp;IF(AND(BV1622=0,OR(CH1622=1,AA1622&lt;&gt;"",U1622&lt;&gt;"",V1622&lt;&gt;"",AB1622&lt;&gt;"")),"manuell übersteuert; ","")&amp;IF(AND(BZ1622=0,R1622=0),"Gebinde unbekannt / Stellmass fehlt; ","")&amp;IF(AND(BZ1622=0,N(V1622)&lt;=0,N(Q1622)&lt;=0),"Menge pro Gebinde fehlt (Ist = 1 Gebinde); ","")&amp;BU1622)</f>
        <v>Kein Verbrauch; Gebinde geschätzt (Klein); Überbestand 943 Stk / CHF 75; Menge pro Gebinde fehlt (Ist = 1 Gebinde); nur im Artikelstamm (Bestand 23.06.2026)</v>
      </c>
      <c r="BN1622" s="48"/>
      <c r="BO1622" s="48"/>
      <c r="BP1622" s="55"/>
      <c r="BQ1622" s="50" t="n">
        <v>1143</v>
      </c>
      <c r="BR1622" s="50" t="n">
        <v>0</v>
      </c>
      <c r="BS1622" s="49" t="n">
        <v>0</v>
      </c>
      <c r="BT1622" s="50" t="n">
        <v>0</v>
      </c>
      <c r="BU1622" s="48" t="s">
        <v>2584</v>
      </c>
      <c r="BV1622" s="53" t="n">
        <v>0</v>
      </c>
      <c r="BW1622" s="53" t="n">
        <v>1622</v>
      </c>
      <c r="BX1622" s="48" t="str">
        <f aca="false">IF(U1622&lt;&gt;"",UPPER(TRIM(U1622)),IF(CA1622=1,UPPER(VLOOKUP(T1622,Parameter!$I$27:$K$29,2,0)),IF(P1622="","LOSE",P1622)))</f>
        <v>S51</v>
      </c>
      <c r="BY1622" s="50" t="n">
        <f aca="false">IF(BX1622="LOSE",1,IF(N(V1622)&gt;0,V1622,IF(CA1622=1,MAX(1,N(VLOOKUP(T1622,Parameter!$I$27:$K$29,3,0)),H1622,N(N1622)),IF(N(Q1622)&gt;0,Q1622,MAX(1,H1622)))))</f>
        <v>1143</v>
      </c>
      <c r="BZ1622" s="53" t="n">
        <f aca="false">IF(BX1622="LOSE",1,0)</f>
        <v>0</v>
      </c>
      <c r="CA1622" s="53" t="n">
        <f aca="false">IF(AND(U1622="",OR(P1622="",P1622="LOSE"),T1622&lt;&gt;"",N(S1622)&lt;=0,ISNUMBER(MATCH(T1622,Parameter!$I$27:$I$29,0))),1,0)</f>
        <v>1</v>
      </c>
      <c r="CB1622" s="53" t="n">
        <f aca="false">IF(CQ1622&gt;0,INDEX(Parameter!$H$5:$H$7,W1622)/INDEX(Parameter!$E$5:$E$7,W1622),IF(AND(BZ1622=0,N(IFERROR(VLOOKUP(BX1622,'Gebinde-Kategorie'!$A$5:$N$45,14,0),0))&gt;0),VLOOKUP(BX1622,'Gebinde-Kategorie'!$A$5:$N$45,14,0)*10+Parameter!$M$23,Parameter!$M$24))</f>
        <v>155</v>
      </c>
      <c r="CC1622" s="48" t="str">
        <f aca="false">IF(AND(Parameter!$B$19="Ja",E1622&lt;&gt;"",ISNUMBER(MATCH(E1622,Parameter!$I$35:$I$52,0))),VLOOKUP(E1622,Parameter!$I$35:$J$52,2,0),IFERROR(VLOOKUP(D1622,Parameter!$A$35:$C$64,2,0),"Nein"))</f>
        <v>2+3</v>
      </c>
      <c r="CD1622" s="52" t="n">
        <f aca="false">IF(BZ1622=0,0,IF(N(S1622)&gt;0,S1622,IFERROR(VLOOKUP(D1622,Parameter!$A$35:$C$64,3,0)+0,0)))</f>
        <v>0</v>
      </c>
      <c r="CE1622" s="48" t="n">
        <f aca="false">IF(AA1622&lt;&gt;"",AA1622,Z1622)</f>
        <v>3</v>
      </c>
      <c r="CF1622" s="48" t="str">
        <f aca="false">IF(OR(CE1622=1,CE1622=2,CE1622=3),IF(Parameter!$E$27="Ja","LIFT",IF(CE1622=1,"L1","L23")),IF(CE1622="Aussen","Aussen","-"))</f>
        <v>LIFT</v>
      </c>
      <c r="CG1622" s="59" t="n">
        <f aca="false">IF(N(AB1622)&gt;0,AB1622,0)</f>
        <v>0</v>
      </c>
      <c r="CH1622" s="53" t="n">
        <f aca="false">IF(ISNUMBER(AE1622),1,0)</f>
        <v>0</v>
      </c>
      <c r="CI1622" s="50" t="n">
        <f aca="false">N(AE1622)</f>
        <v>0</v>
      </c>
      <c r="CJ1622" s="50" t="n">
        <f aca="false">N(M1622)+N(N1622)</f>
        <v>200</v>
      </c>
      <c r="CK1622" s="50" t="n">
        <f aca="false">N(M1622)</f>
        <v>0</v>
      </c>
      <c r="CL1622" s="50" t="n">
        <f aca="false">N(N1622)</f>
        <v>200</v>
      </c>
      <c r="CM1622" s="50" t="n">
        <f aca="false">ROUNDUP(H1622/BY1622,0)</f>
        <v>1</v>
      </c>
      <c r="CN1622" s="50" t="n">
        <f aca="false">ROUNDUP(CI1622/BY1622,0)</f>
        <v>0</v>
      </c>
      <c r="CO1622" s="53" t="n">
        <f aca="false">IF(BZ1622=1,0,IFERROR(VLOOKUP(BX1622,'Gebinde-Kategorie'!$A$5:$N$45,5,0)+0,0))</f>
        <v>11</v>
      </c>
      <c r="CP1622" s="53" t="n">
        <f aca="false">IFERROR(IF(OR(CE1622=1,CE1622=2,CE1622=3),N(INDEX(Parameter!$I$5:$I$7,CE1622)),0),0)</f>
        <v>0</v>
      </c>
      <c r="CQ1622" s="52" t="n">
        <f aca="false">IF(AND(Parameter!$B$21="Ja",ISNUMBER(W1622),N(X1622)&gt;0),IFERROR(N(INDEX(Parameter!$L$5:$L$7,W1622))*INDEX(Parameter!$E$5:$E$7,W1622)*X1622/SUMIFS($X$7:$X$1843,$W$7:$W$1843,W1622),0),0)</f>
        <v>0</v>
      </c>
    </row>
    <row r="1623" customFormat="false" ht="15" hidden="false" customHeight="false" outlineLevel="0" collapsed="false">
      <c r="A1623" s="48" t="s">
        <v>2834</v>
      </c>
      <c r="B1623" s="48" t="s">
        <v>2340</v>
      </c>
      <c r="C1623" s="48" t="s">
        <v>173</v>
      </c>
      <c r="D1623" s="48" t="s">
        <v>182</v>
      </c>
      <c r="E1623" s="48" t="s">
        <v>182</v>
      </c>
      <c r="F1623" s="48"/>
      <c r="G1623" s="49" t="n">
        <v>3273.53</v>
      </c>
      <c r="H1623" s="50" t="n">
        <f aca="false">MAX(0,IF(AND(Parameter!$B$21="Ja",ISNUMBER(Y1623)),Y1623,IF(Parameter!$B$20="Jahresanfang 2025 + Export",BR1623+BQ1623,BQ1623)))</f>
        <v>12</v>
      </c>
      <c r="I1623" s="50" t="n">
        <f aca="false">H1623*G1623</f>
        <v>39282.36</v>
      </c>
      <c r="J1623" s="50" t="n">
        <f aca="false">BT1623*Parameter!$B$18</f>
        <v>0</v>
      </c>
      <c r="K1623" s="51"/>
      <c r="L1623" s="52"/>
      <c r="M1623" s="50" t="n">
        <v>0</v>
      </c>
      <c r="N1623" s="50" t="n">
        <v>1</v>
      </c>
      <c r="O1623" s="53" t="n">
        <v>77</v>
      </c>
      <c r="P1623" s="48" t="s">
        <v>177</v>
      </c>
      <c r="Q1623" s="50"/>
      <c r="R1623" s="53" t="n">
        <f aca="false">IF(BZ1623=1,0,IFERROR(VLOOKUP(BX1623,'Gebinde-Kategorie'!$A$5:$N$45,13,0)+0,0))</f>
        <v>12</v>
      </c>
      <c r="S1623" s="54"/>
      <c r="T1623" s="55" t="s">
        <v>188</v>
      </c>
      <c r="U1623" s="55"/>
      <c r="V1623" s="55"/>
      <c r="W1623" s="48"/>
      <c r="X1623" s="50"/>
      <c r="Y1623" s="50"/>
      <c r="Z1623" s="48" t="str">
        <f aca="false">IF(A1623="","",IF(AND(Parameter!$B$21="Ja",ISNUMBER(W1623)),W1623,IF(CC1623="2+3",IF(ISNUMBER(SEARCH("grosser Artikel",BU1623)),2,IFERROR(VLOOKUP(BX1623,Parameter!$F$35:$G$64,2,0),2)),IF(OR(CC1623="Nein",CC1623=""),"-",CC1623))))</f>
        <v>-</v>
      </c>
      <c r="AA1623" s="55"/>
      <c r="AB1623" s="56"/>
      <c r="AC1623" s="50" t="n">
        <f aca="false">AV1623</f>
        <v>1</v>
      </c>
      <c r="AD1623" s="50" t="n">
        <f aca="false">MAX(AV1623,H1623)</f>
        <v>12</v>
      </c>
      <c r="AE1623" s="57"/>
      <c r="AF1623" s="50" t="n">
        <f aca="false">IF(LEFT(Cockpit!$C$5,1)="A",H1623,IF(Parameter!$E$30="MAX-Bestand",IF(CH1623=1,CI1623,IF(LEFT(Cockpit!$C$5,1)="B",AL1623,MAX(AL1623,H1623))),ROUNDUP(AJ1623,0)))</f>
        <v>12</v>
      </c>
      <c r="AG1623" s="50" t="n">
        <f aca="false">IF(BZ1623=1,0,ROUNDUP(AF1623/BY1623,0))</f>
        <v>1</v>
      </c>
      <c r="AH1623" s="52" t="n">
        <f aca="false">IF(CQ1623&gt;0,CQ1623*MAX(1,AF1623/X1623),IF(BZ1623=1,IF(AF1623&lt;=0,0,CD1623*MAX(1,IF(H1623&gt;0,AF1623/H1623,1))),IF(R1623&gt;0,AG1623/R1623,0))/MAX(0.1,N(Parameter!$M$21)))</f>
        <v>0.0833333333333333</v>
      </c>
      <c r="AI1623" s="50" t="n">
        <f aca="false">AH1623*CB1623</f>
        <v>12.0833333333333</v>
      </c>
      <c r="AJ1623" s="51" t="n">
        <f aca="false">IF(LEFT(Cockpit!$C$5,1)="A",H1623,IF(CH1623=1,(CK1623+CI1623)/2,IF(LEFT(Cockpit!$C$5,1)="B",(CK1623+AL1623)/2,MAX((CK1623+AL1623)/2,H1623))))</f>
        <v>12</v>
      </c>
      <c r="AK1623" s="50" t="n">
        <f aca="false">AJ1623*G1623</f>
        <v>39282.36</v>
      </c>
      <c r="AL1623" s="50" t="n">
        <f aca="false">ROUNDUP(CK1623+MAX(CL1623,2*(J1623/IF(CG1623&gt;0,CG1623,MAX(0.1,N(Cockpit!$C$6)))-CK1623)),0)</f>
        <v>1</v>
      </c>
      <c r="AM1623" s="51" t="n">
        <f aca="false">IF(AI1623&gt;0,J1623/AI1623,-1)</f>
        <v>0</v>
      </c>
      <c r="AN1623" s="51" t="str">
        <f aca="false">IF(AND(OR(CF1623="L1",CF1623="L23",CF1623="LIFT"),AI1623&gt;0),SUMIFS($AI$7:$AI$1843,$CF$7:$CF$1843,CF1623,$AM$7:$AM$1843,"&gt;"&amp;AM1623)+SUMIFS($AI$7:$AI$1843,$CF$7:$CF$1843,CF1623,$AM$7:$AM$1843,AM1623,$BW$7:$BW$1843,"&lt;="&amp;BW1623),"")</f>
        <v/>
      </c>
      <c r="AO1623" s="58" t="n">
        <f aca="false">IF(AN1623="",0,MAX(0,MIN(1,(IF(CF1623="L1",Parameter!$H$5,IF(CF1623="L23",Parameter!$H$6+Parameter!$H$7,Parameter!$H$5+Parameter!$H$6+Parameter!$H$7))-(AN1623-AI1623))/AI1623)))</f>
        <v>0</v>
      </c>
      <c r="AP1623" s="50" t="n">
        <f aca="false">IF(LEFT(Cockpit!$I$5,1)="A",H1623,IF(Parameter!$E$30="MAX-Bestand",IF(CH1623=1,CI1623,IF(LEFT(Cockpit!$I$5,1)="B",AV1623,MAX(AV1623,H1623))),ROUNDUP(AT1623,0)))</f>
        <v>12</v>
      </c>
      <c r="AQ1623" s="50" t="n">
        <f aca="false">IF(BZ1623=1,0,ROUNDUP(AP1623/BY1623,0))</f>
        <v>1</v>
      </c>
      <c r="AR1623" s="52" t="n">
        <f aca="false">IF(CQ1623&gt;0,CQ1623*MAX(1,AP1623/X1623),IF(BZ1623=1,IF(AP1623&lt;=0,0,CD1623*MAX(1,IF(H1623&gt;0,AP1623/H1623,1))),IF(R1623&gt;0,AQ1623/R1623,0))/MAX(0.1,N(Parameter!$M$21)))</f>
        <v>0.0833333333333333</v>
      </c>
      <c r="AS1623" s="50" t="n">
        <f aca="false">AR1623*CB1623</f>
        <v>12.0833333333333</v>
      </c>
      <c r="AT1623" s="51" t="n">
        <f aca="false">IF(LEFT(Cockpit!$I$5,1)="A",H1623,IF(CH1623=1,(CK1623+CI1623)/2,IF(LEFT(Cockpit!$I$5,1)="B",(CK1623+AV1623)/2,MAX((CK1623+AV1623)/2,H1623))))</f>
        <v>12</v>
      </c>
      <c r="AU1623" s="50" t="n">
        <f aca="false">AT1623*G1623</f>
        <v>39282.36</v>
      </c>
      <c r="AV1623" s="50" t="n">
        <f aca="false">ROUNDUP(CK1623+MAX(CL1623,2*(J1623/IF(CG1623&gt;0,CG1623,MAX(0.1,N(Cockpit!$I$6)))-CK1623)),0)</f>
        <v>1</v>
      </c>
      <c r="AW1623" s="51" t="n">
        <f aca="false">IF(AS1623&gt;0,J1623/AS1623,-1)</f>
        <v>0</v>
      </c>
      <c r="AX1623" s="51" t="str">
        <f aca="false">IF(AND(OR(CF1623="L1",CF1623="L23",CF1623="LIFT"),AS1623&gt;0),SUMIFS($AS$7:$AS$1843,$CF$7:$CF$1843,CF1623,$AW$7:$AW$1843,"&gt;"&amp;AW1623)+SUMIFS($AS$7:$AS$1843,$CF$7:$CF$1843,CF1623,$AW$7:$AW$1843,AW1623,$BW$7:$BW$1843,"&lt;="&amp;BW1623),"")</f>
        <v/>
      </c>
      <c r="AY1623" s="58" t="n">
        <f aca="false">IF(AX1623="",0,MAX(0,MIN(1,(IF(CF1623="L1",Parameter!$H$5,IF(CF1623="L23",Parameter!$H$6+Parameter!$H$7,Parameter!$H$5+Parameter!$H$6+Parameter!$H$7))-(AX1623-AS1623))/AS1623)))</f>
        <v>0</v>
      </c>
      <c r="AZ1623" s="50" t="n">
        <f aca="false">IF(LEFT(Cockpit!$O$5,1)="A",H1623,IF(Parameter!$E$30="MAX-Bestand",IF(CH1623=1,CI1623,IF(LEFT(Cockpit!$O$5,1)="B",BF1623,MAX(BF1623,H1623))),ROUNDUP(BD1623,0)))</f>
        <v>1</v>
      </c>
      <c r="BA1623" s="50" t="n">
        <f aca="false">IF(BZ1623=1,0,ROUNDUP(AZ1623/BY1623,0))</f>
        <v>1</v>
      </c>
      <c r="BB1623" s="52" t="n">
        <f aca="false">IF(CQ1623&gt;0,CQ1623*MAX(1,AZ1623/X1623),IF(BZ1623=1,IF(AZ1623&lt;=0,0,CD1623*MAX(1,IF(H1623&gt;0,AZ1623/H1623,1))),IF(R1623&gt;0,BA1623/R1623,0))/MAX(0.1,N(Parameter!$M$21)))</f>
        <v>0.0833333333333333</v>
      </c>
      <c r="BC1623" s="50" t="n">
        <f aca="false">BB1623*CB1623</f>
        <v>12.0833333333333</v>
      </c>
      <c r="BD1623" s="51" t="n">
        <f aca="false">IF(LEFT(Cockpit!$O$5,1)="A",H1623,IF(CH1623=1,(CK1623+CI1623)/2,IF(LEFT(Cockpit!$O$5,1)="B",(CK1623+BF1623)/2,MAX((CK1623+BF1623)/2,H1623))))</f>
        <v>0.5</v>
      </c>
      <c r="BE1623" s="50" t="n">
        <f aca="false">BD1623*G1623</f>
        <v>1636.765</v>
      </c>
      <c r="BF1623" s="50" t="n">
        <f aca="false">ROUNDUP(CK1623+MAX(CL1623,2*(J1623/IF(CG1623&gt;0,CG1623,MAX(0.1,N(Cockpit!$O$6)))-CK1623)),0)</f>
        <v>1</v>
      </c>
      <c r="BG1623" s="51" t="n">
        <f aca="false">IF(BC1623&gt;0,J1623/BC1623,-1)</f>
        <v>0</v>
      </c>
      <c r="BH1623" s="51" t="str">
        <f aca="false">IF(AND(OR(CF1623="L1",CF1623="L23",CF1623="LIFT"),BC1623&gt;0),SUMIFS($BC$7:$BC$1843,$CF$7:$CF$1843,CF1623,$BG$7:$BG$1843,"&gt;"&amp;BG1623)+SUMIFS($BC$7:$BC$1843,$CF$7:$CF$1843,CF1623,$BG$7:$BG$1843,BG1623,$BW$7:$BW$1843,"&lt;="&amp;BW1623),"")</f>
        <v/>
      </c>
      <c r="BI1623" s="58" t="n">
        <f aca="false">IF(BH1623="",0,MAX(0,MIN(1,(IF(CF1623="L1",Parameter!$H$5,IF(CF1623="L23",Parameter!$H$6+Parameter!$H$7,Parameter!$H$5+Parameter!$H$6+Parameter!$H$7))-(BH1623-BC1623))/BC1623)))</f>
        <v>0</v>
      </c>
      <c r="BJ1623" s="48" t="str">
        <f aca="false">IF(AI1623&lt;=0,"",IF(CF1623="Aussen","Aussenlager",IF(CF1623="-","Nicht im Lift",IF(AO1623&gt;=1,"Lift",IF(AO1623&lt;=0,"Aussenlager","teilweise")))))</f>
        <v>Nicht im Lift</v>
      </c>
      <c r="BK1623" s="48" t="str">
        <f aca="false">IF(AS1623&lt;=0,"",IF(CF1623="Aussen","Aussenlager",IF(CF1623="-","Nicht im Lift",IF(AY1623&gt;=1,"Lift",IF(AY1623&lt;=0,"Aussenlager","teilweise")))))</f>
        <v>Nicht im Lift</v>
      </c>
      <c r="BL1623" s="48" t="str">
        <f aca="false">IF(BC1623&lt;=0,"",IF(CF1623="Aussen","Aussenlager",IF(CF1623="-","Nicht im Lift",IF(BI1623&gt;=1,"Lift",IF(BI1623&lt;=0,"Aussenlager","teilweise")))))</f>
        <v>Nicht im Lift</v>
      </c>
      <c r="BM1623" s="48" t="str">
        <f aca="false">IF(A1623="","",IF(BV1623=1,"Neu; ","")&amp;IF(AND(BV1623=0,BQ1623&lt;0),"negativer Bestand (Export "&amp;BQ1623&amp;"); ","")&amp;IF(J1623&lt;=0,"Kein Verbrauch; ","")&amp;IF(CQ1623&gt;0,"Lift "&amp;W1623&amp;" lt. Liftbericht (Fach "&amp;X1623&amp;" Stk); ",IF(CA1623=1,"Gebinde geschätzt ("&amp;T1623&amp;"); ",IF(BZ1623=1,"Lose – Tablare geschätzt; ","")))&amp;IF(H1623&gt;AV1623,"Überbestand "&amp;ROUND(H1623-AV1623,0)&amp;" Stk / CHF "&amp;ROUND((H1623-AV1623)*G1623,0)&amp;"; ","")&amp;IF(AND(CH1623=1,CI1623&lt;CJ1623),"MAX &lt; MB+LG; ","")&amp;IF(AND(CP1623&gt;0,CO1623*10&gt;CP1623),"zu hoch für Tablar; ","")&amp;IF(AND(BV1623=0,OR(CH1623=1,AA1623&lt;&gt;"",U1623&lt;&gt;"",V1623&lt;&gt;"",AB1623&lt;&gt;"")),"manuell übersteuert; ","")&amp;IF(AND(BZ1623=0,R1623=0),"Gebinde unbekannt / Stellmass fehlt; ","")&amp;IF(AND(BZ1623=0,N(V1623)&lt;=0,N(Q1623)&lt;=0),"Menge pro Gebinde fehlt (Ist = 1 Gebinde); ","")&amp;BU1623)</f>
        <v>Kein Verbrauch; Gebinde geschätzt (Mittel); Überbestand 11 Stk / CHF 36009; Menge pro Gebinde fehlt (Ist = 1 Gebinde); nur im Artikelstamm (Bestand 23.06.2026)</v>
      </c>
      <c r="BN1623" s="48"/>
      <c r="BO1623" s="48"/>
      <c r="BP1623" s="55"/>
      <c r="BQ1623" s="50" t="n">
        <v>12</v>
      </c>
      <c r="BR1623" s="50" t="n">
        <v>0</v>
      </c>
      <c r="BS1623" s="49" t="n">
        <v>0</v>
      </c>
      <c r="BT1623" s="50" t="n">
        <v>0</v>
      </c>
      <c r="BU1623" s="48" t="s">
        <v>2584</v>
      </c>
      <c r="BV1623" s="53" t="n">
        <v>0</v>
      </c>
      <c r="BW1623" s="53" t="n">
        <v>1623</v>
      </c>
      <c r="BX1623" s="48" t="str">
        <f aca="false">IF(U1623&lt;&gt;"",UPPER(TRIM(U1623)),IF(CA1623=1,UPPER(VLOOKUP(T1623,Parameter!$I$27:$K$29,2,0)),IF(P1623="","LOSE",P1623)))</f>
        <v>S61</v>
      </c>
      <c r="BY1623" s="50" t="n">
        <f aca="false">IF(BX1623="LOSE",1,IF(N(V1623)&gt;0,V1623,IF(CA1623=1,MAX(1,N(VLOOKUP(T1623,Parameter!$I$27:$K$29,3,0)),H1623,N(N1623)),IF(N(Q1623)&gt;0,Q1623,MAX(1,H1623)))))</f>
        <v>12</v>
      </c>
      <c r="BZ1623" s="53" t="n">
        <f aca="false">IF(BX1623="LOSE",1,0)</f>
        <v>0</v>
      </c>
      <c r="CA1623" s="53" t="n">
        <f aca="false">IF(AND(U1623="",OR(P1623="",P1623="LOSE"),T1623&lt;&gt;"",N(S1623)&lt;=0,ISNUMBER(MATCH(T1623,Parameter!$I$27:$I$29,0))),1,0)</f>
        <v>1</v>
      </c>
      <c r="CB1623" s="53" t="n">
        <f aca="false">IF(CQ1623&gt;0,INDEX(Parameter!$H$5:$H$7,W1623)/INDEX(Parameter!$E$5:$E$7,W1623),IF(AND(BZ1623=0,N(IFERROR(VLOOKUP(BX1623,'Gebinde-Kategorie'!$A$5:$N$45,14,0),0))&gt;0),VLOOKUP(BX1623,'Gebinde-Kategorie'!$A$5:$N$45,14,0)*10+Parameter!$M$23,Parameter!$M$24))</f>
        <v>145</v>
      </c>
      <c r="CC1623" s="48" t="str">
        <f aca="false">IF(AND(Parameter!$B$19="Ja",E1623&lt;&gt;"",ISNUMBER(MATCH(E1623,Parameter!$I$35:$I$52,0))),VLOOKUP(E1623,Parameter!$I$35:$J$52,2,0),IFERROR(VLOOKUP(D1623,Parameter!$A$35:$C$64,2,0),"Nein"))</f>
        <v>Nein</v>
      </c>
      <c r="CD1623" s="52" t="n">
        <f aca="false">IF(BZ1623=0,0,IF(N(S1623)&gt;0,S1623,IFERROR(VLOOKUP(D1623,Parameter!$A$35:$C$64,3,0)+0,0)))</f>
        <v>0</v>
      </c>
      <c r="CE1623" s="48" t="str">
        <f aca="false">IF(AA1623&lt;&gt;"",AA1623,Z1623)</f>
        <v>-</v>
      </c>
      <c r="CF1623" s="48" t="str">
        <f aca="false">IF(OR(CE1623=1,CE1623=2,CE1623=3),IF(Parameter!$E$27="Ja","LIFT",IF(CE1623=1,"L1","L23")),IF(CE1623="Aussen","Aussen","-"))</f>
        <v>-</v>
      </c>
      <c r="CG1623" s="59" t="n">
        <f aca="false">IF(N(AB1623)&gt;0,AB1623,0)</f>
        <v>0</v>
      </c>
      <c r="CH1623" s="53" t="n">
        <f aca="false">IF(ISNUMBER(AE1623),1,0)</f>
        <v>0</v>
      </c>
      <c r="CI1623" s="50" t="n">
        <f aca="false">N(AE1623)</f>
        <v>0</v>
      </c>
      <c r="CJ1623" s="50" t="n">
        <f aca="false">N(M1623)+N(N1623)</f>
        <v>1</v>
      </c>
      <c r="CK1623" s="50" t="n">
        <f aca="false">N(M1623)</f>
        <v>0</v>
      </c>
      <c r="CL1623" s="50" t="n">
        <f aca="false">N(N1623)</f>
        <v>1</v>
      </c>
      <c r="CM1623" s="50" t="n">
        <f aca="false">ROUNDUP(H1623/BY1623,0)</f>
        <v>1</v>
      </c>
      <c r="CN1623" s="50" t="n">
        <f aca="false">ROUNDUP(CI1623/BY1623,0)</f>
        <v>0</v>
      </c>
      <c r="CO1623" s="53" t="n">
        <f aca="false">IF(BZ1623=1,0,IFERROR(VLOOKUP(BX1623,'Gebinde-Kategorie'!$A$5:$N$45,5,0)+0,0))</f>
        <v>11</v>
      </c>
      <c r="CP1623" s="53" t="n">
        <f aca="false">IFERROR(IF(OR(CE1623=1,CE1623=2,CE1623=3),N(INDEX(Parameter!$I$5:$I$7,CE1623)),0),0)</f>
        <v>0</v>
      </c>
      <c r="CQ1623" s="52" t="n">
        <f aca="false">IF(AND(Parameter!$B$21="Ja",ISNUMBER(W1623),N(X1623)&gt;0),IFERROR(N(INDEX(Parameter!$L$5:$L$7,W1623))*INDEX(Parameter!$E$5:$E$7,W1623)*X1623/SUMIFS($X$7:$X$1843,$W$7:$W$1843,W1623),0),0)</f>
        <v>0</v>
      </c>
    </row>
    <row r="1624" customFormat="false" ht="15" hidden="false" customHeight="false" outlineLevel="0" collapsed="false">
      <c r="A1624" s="48" t="s">
        <v>2835</v>
      </c>
      <c r="B1624" s="48" t="s">
        <v>1859</v>
      </c>
      <c r="C1624" s="48" t="s">
        <v>173</v>
      </c>
      <c r="D1624" s="48" t="s">
        <v>182</v>
      </c>
      <c r="E1624" s="48"/>
      <c r="F1624" s="48"/>
      <c r="G1624" s="49" t="n">
        <v>92.44</v>
      </c>
      <c r="H1624" s="50" t="n">
        <f aca="false">MAX(0,IF(AND(Parameter!$B$21="Ja",ISNUMBER(Y1624)),Y1624,IF(Parameter!$B$20="Jahresanfang 2025 + Export",BR1624+BQ1624,BQ1624)))</f>
        <v>12</v>
      </c>
      <c r="I1624" s="50" t="n">
        <f aca="false">H1624*G1624</f>
        <v>1109.28</v>
      </c>
      <c r="J1624" s="50" t="n">
        <f aca="false">BT1624*Parameter!$B$18</f>
        <v>0</v>
      </c>
      <c r="K1624" s="51"/>
      <c r="L1624" s="52"/>
      <c r="M1624" s="50" t="n">
        <v>0</v>
      </c>
      <c r="N1624" s="50" t="n">
        <v>1</v>
      </c>
      <c r="O1624" s="53" t="n">
        <v>28</v>
      </c>
      <c r="P1624" s="48" t="s">
        <v>177</v>
      </c>
      <c r="Q1624" s="50"/>
      <c r="R1624" s="53" t="n">
        <f aca="false">IF(BZ1624=1,0,IFERROR(VLOOKUP(BX1624,'Gebinde-Kategorie'!$A$5:$N$45,13,0)+0,0))</f>
        <v>12</v>
      </c>
      <c r="S1624" s="54"/>
      <c r="T1624" s="55" t="s">
        <v>188</v>
      </c>
      <c r="U1624" s="55"/>
      <c r="V1624" s="55"/>
      <c r="W1624" s="48"/>
      <c r="X1624" s="50"/>
      <c r="Y1624" s="50"/>
      <c r="Z1624" s="48" t="n">
        <f aca="false">IF(A1624="","",IF(AND(Parameter!$B$21="Ja",ISNUMBER(W1624)),W1624,IF(CC1624="2+3",IF(ISNUMBER(SEARCH("grosser Artikel",BU1624)),2,IFERROR(VLOOKUP(BX1624,Parameter!$F$35:$G$64,2,0),2)),IF(OR(CC1624="Nein",CC1624=""),"-",CC1624))))</f>
        <v>2</v>
      </c>
      <c r="AA1624" s="55"/>
      <c r="AB1624" s="56"/>
      <c r="AC1624" s="50" t="n">
        <f aca="false">AV1624</f>
        <v>1</v>
      </c>
      <c r="AD1624" s="50" t="n">
        <f aca="false">MAX(AV1624,H1624)</f>
        <v>12</v>
      </c>
      <c r="AE1624" s="57"/>
      <c r="AF1624" s="50" t="n">
        <f aca="false">IF(LEFT(Cockpit!$C$5,1)="A",H1624,IF(Parameter!$E$30="MAX-Bestand",IF(CH1624=1,CI1624,IF(LEFT(Cockpit!$C$5,1)="B",AL1624,MAX(AL1624,H1624))),ROUNDUP(AJ1624,0)))</f>
        <v>12</v>
      </c>
      <c r="AG1624" s="50" t="n">
        <f aca="false">IF(BZ1624=1,0,ROUNDUP(AF1624/BY1624,0))</f>
        <v>1</v>
      </c>
      <c r="AH1624" s="52" t="n">
        <f aca="false">IF(CQ1624&gt;0,CQ1624*MAX(1,AF1624/X1624),IF(BZ1624=1,IF(AF1624&lt;=0,0,CD1624*MAX(1,IF(H1624&gt;0,AF1624/H1624,1))),IF(R1624&gt;0,AG1624/R1624,0))/MAX(0.1,N(Parameter!$M$21)))</f>
        <v>0.0833333333333333</v>
      </c>
      <c r="AI1624" s="50" t="n">
        <f aca="false">AH1624*CB1624</f>
        <v>12.0833333333333</v>
      </c>
      <c r="AJ1624" s="51" t="n">
        <f aca="false">IF(LEFT(Cockpit!$C$5,1)="A",H1624,IF(CH1624=1,(CK1624+CI1624)/2,IF(LEFT(Cockpit!$C$5,1)="B",(CK1624+AL1624)/2,MAX((CK1624+AL1624)/2,H1624))))</f>
        <v>12</v>
      </c>
      <c r="AK1624" s="50" t="n">
        <f aca="false">AJ1624*G1624</f>
        <v>1109.28</v>
      </c>
      <c r="AL1624" s="50" t="n">
        <f aca="false">ROUNDUP(CK1624+MAX(CL1624,2*(J1624/IF(CG1624&gt;0,CG1624,MAX(0.1,N(Cockpit!$C$6)))-CK1624)),0)</f>
        <v>1</v>
      </c>
      <c r="AM1624" s="51" t="n">
        <f aca="false">IF(AI1624&gt;0,J1624/AI1624,-1)</f>
        <v>0</v>
      </c>
      <c r="AN1624" s="51" t="n">
        <f aca="false">IF(AND(OR(CF1624="L1",CF1624="L23",CF1624="LIFT"),AI1624&gt;0),SUMIFS($AI$7:$AI$1843,$CF$7:$CF$1843,CF1624,$AM$7:$AM$1843,"&gt;"&amp;AM1624)+SUMIFS($AI$7:$AI$1843,$CF$7:$CF$1843,CF1624,$AM$7:$AM$1843,AM1624,$BW$7:$BW$1843,"&lt;="&amp;BW1624),"")</f>
        <v>30866.3546517042</v>
      </c>
      <c r="AO1624" s="58" t="n">
        <f aca="false">IF(AN1624="",0,MAX(0,MIN(1,(IF(CF1624="L1",Parameter!$H$5,IF(CF1624="L23",Parameter!$H$6+Parameter!$H$7,Parameter!$H$5+Parameter!$H$6+Parameter!$H$7))-(AN1624-AI1624))/AI1624)))</f>
        <v>1</v>
      </c>
      <c r="AP1624" s="50" t="n">
        <f aca="false">IF(LEFT(Cockpit!$I$5,1)="A",H1624,IF(Parameter!$E$30="MAX-Bestand",IF(CH1624=1,CI1624,IF(LEFT(Cockpit!$I$5,1)="B",AV1624,MAX(AV1624,H1624))),ROUNDUP(AT1624,0)))</f>
        <v>12</v>
      </c>
      <c r="AQ1624" s="50" t="n">
        <f aca="false">IF(BZ1624=1,0,ROUNDUP(AP1624/BY1624,0))</f>
        <v>1</v>
      </c>
      <c r="AR1624" s="52" t="n">
        <f aca="false">IF(CQ1624&gt;0,CQ1624*MAX(1,AP1624/X1624),IF(BZ1624=1,IF(AP1624&lt;=0,0,CD1624*MAX(1,IF(H1624&gt;0,AP1624/H1624,1))),IF(R1624&gt;0,AQ1624/R1624,0))/MAX(0.1,N(Parameter!$M$21)))</f>
        <v>0.0833333333333333</v>
      </c>
      <c r="AS1624" s="50" t="n">
        <f aca="false">AR1624*CB1624</f>
        <v>12.0833333333333</v>
      </c>
      <c r="AT1624" s="51" t="n">
        <f aca="false">IF(LEFT(Cockpit!$I$5,1)="A",H1624,IF(CH1624=1,(CK1624+CI1624)/2,IF(LEFT(Cockpit!$I$5,1)="B",(CK1624+AV1624)/2,MAX((CK1624+AV1624)/2,H1624))))</f>
        <v>12</v>
      </c>
      <c r="AU1624" s="50" t="n">
        <f aca="false">AT1624*G1624</f>
        <v>1109.28</v>
      </c>
      <c r="AV1624" s="50" t="n">
        <f aca="false">ROUNDUP(CK1624+MAX(CL1624,2*(J1624/IF(CG1624&gt;0,CG1624,MAX(0.1,N(Cockpit!$I$6)))-CK1624)),0)</f>
        <v>1</v>
      </c>
      <c r="AW1624" s="51" t="n">
        <f aca="false">IF(AS1624&gt;0,J1624/AS1624,-1)</f>
        <v>0</v>
      </c>
      <c r="AX1624" s="51" t="n">
        <f aca="false">IF(AND(OR(CF1624="L1",CF1624="L23",CF1624="LIFT"),AS1624&gt;0),SUMIFS($AS$7:$AS$1843,$CF$7:$CF$1843,CF1624,$AW$7:$AW$1843,"&gt;"&amp;AW1624)+SUMIFS($AS$7:$AS$1843,$CF$7:$CF$1843,CF1624,$AW$7:$AW$1843,AW1624,$BW$7:$BW$1843,"&lt;="&amp;BW1624),"")</f>
        <v>37186.2111685396</v>
      </c>
      <c r="AY1624" s="58" t="n">
        <f aca="false">IF(AX1624="",0,MAX(0,MIN(1,(IF(CF1624="L1",Parameter!$H$5,IF(CF1624="L23",Parameter!$H$6+Parameter!$H$7,Parameter!$H$5+Parameter!$H$6+Parameter!$H$7))-(AX1624-AS1624))/AS1624)))</f>
        <v>0</v>
      </c>
      <c r="AZ1624" s="50" t="n">
        <f aca="false">IF(LEFT(Cockpit!$O$5,1)="A",H1624,IF(Parameter!$E$30="MAX-Bestand",IF(CH1624=1,CI1624,IF(LEFT(Cockpit!$O$5,1)="B",BF1624,MAX(BF1624,H1624))),ROUNDUP(BD1624,0)))</f>
        <v>1</v>
      </c>
      <c r="BA1624" s="50" t="n">
        <f aca="false">IF(BZ1624=1,0,ROUNDUP(AZ1624/BY1624,0))</f>
        <v>1</v>
      </c>
      <c r="BB1624" s="52" t="n">
        <f aca="false">IF(CQ1624&gt;0,CQ1624*MAX(1,AZ1624/X1624),IF(BZ1624=1,IF(AZ1624&lt;=0,0,CD1624*MAX(1,IF(H1624&gt;0,AZ1624/H1624,1))),IF(R1624&gt;0,BA1624/R1624,0))/MAX(0.1,N(Parameter!$M$21)))</f>
        <v>0.0833333333333333</v>
      </c>
      <c r="BC1624" s="50" t="n">
        <f aca="false">BB1624*CB1624</f>
        <v>12.0833333333333</v>
      </c>
      <c r="BD1624" s="51" t="n">
        <f aca="false">IF(LEFT(Cockpit!$O$5,1)="A",H1624,IF(CH1624=1,(CK1624+CI1624)/2,IF(LEFT(Cockpit!$O$5,1)="B",(CK1624+BF1624)/2,MAX((CK1624+BF1624)/2,H1624))))</f>
        <v>0.5</v>
      </c>
      <c r="BE1624" s="50" t="n">
        <f aca="false">BD1624*G1624</f>
        <v>46.22</v>
      </c>
      <c r="BF1624" s="50" t="n">
        <f aca="false">ROUNDUP(CK1624+MAX(CL1624,2*(J1624/IF(CG1624&gt;0,CG1624,MAX(0.1,N(Cockpit!$O$6)))-CK1624)),0)</f>
        <v>1</v>
      </c>
      <c r="BG1624" s="51" t="n">
        <f aca="false">IF(BC1624&gt;0,J1624/BC1624,-1)</f>
        <v>0</v>
      </c>
      <c r="BH1624" s="51" t="n">
        <f aca="false">IF(AND(OR(CF1624="L1",CF1624="L23",CF1624="LIFT"),BC1624&gt;0),SUMIFS($BC$7:$BC$1843,$CF$7:$CF$1843,CF1624,$BG$7:$BG$1843,"&gt;"&amp;BG1624)+SUMIFS($BC$7:$BC$1843,$CF$7:$CF$1843,CF1624,$BG$7:$BG$1843,BG1624,$BW$7:$BW$1843,"&lt;="&amp;BW1624),"")</f>
        <v>31095.6524440719</v>
      </c>
      <c r="BI1624" s="58" t="n">
        <f aca="false">IF(BH1624="",0,MAX(0,MIN(1,(IF(CF1624="L1",Parameter!$H$5,IF(CF1624="L23",Parameter!$H$6+Parameter!$H$7,Parameter!$H$5+Parameter!$H$6+Parameter!$H$7))-(BH1624-BC1624))/BC1624)))</f>
        <v>1</v>
      </c>
      <c r="BJ1624" s="48" t="str">
        <f aca="false">IF(AI1624&lt;=0,"",IF(CF1624="Aussen","Aussenlager",IF(CF1624="-","Nicht im Lift",IF(AO1624&gt;=1,"Lift",IF(AO1624&lt;=0,"Aussenlager","teilweise")))))</f>
        <v>Lift</v>
      </c>
      <c r="BK1624" s="48" t="str">
        <f aca="false">IF(AS1624&lt;=0,"",IF(CF1624="Aussen","Aussenlager",IF(CF1624="-","Nicht im Lift",IF(AY1624&gt;=1,"Lift",IF(AY1624&lt;=0,"Aussenlager","teilweise")))))</f>
        <v>Aussenlager</v>
      </c>
      <c r="BL1624" s="48" t="str">
        <f aca="false">IF(BC1624&lt;=0,"",IF(CF1624="Aussen","Aussenlager",IF(CF1624="-","Nicht im Lift",IF(BI1624&gt;=1,"Lift",IF(BI1624&lt;=0,"Aussenlager","teilweise")))))</f>
        <v>Lift</v>
      </c>
      <c r="BM1624" s="48" t="str">
        <f aca="false">IF(A1624="","",IF(BV1624=1,"Neu; ","")&amp;IF(AND(BV1624=0,BQ1624&lt;0),"negativer Bestand (Export "&amp;BQ1624&amp;"); ","")&amp;IF(J1624&lt;=0,"Kein Verbrauch; ","")&amp;IF(CQ1624&gt;0,"Lift "&amp;W1624&amp;" lt. Liftbericht (Fach "&amp;X1624&amp;" Stk); ",IF(CA1624=1,"Gebinde geschätzt ("&amp;T1624&amp;"); ",IF(BZ1624=1,"Lose – Tablare geschätzt; ","")))&amp;IF(H1624&gt;AV1624,"Überbestand "&amp;ROUND(H1624-AV1624,0)&amp;" Stk / CHF "&amp;ROUND((H1624-AV1624)*G1624,0)&amp;"; ","")&amp;IF(AND(CH1624=1,CI1624&lt;CJ1624),"MAX &lt; MB+LG; ","")&amp;IF(AND(CP1624&gt;0,CO1624*10&gt;CP1624),"zu hoch für Tablar; ","")&amp;IF(AND(BV1624=0,OR(CH1624=1,AA1624&lt;&gt;"",U1624&lt;&gt;"",V1624&lt;&gt;"",AB1624&lt;&gt;"")),"manuell übersteuert; ","")&amp;IF(AND(BZ1624=0,R1624=0),"Gebinde unbekannt / Stellmass fehlt; ","")&amp;IF(AND(BZ1624=0,N(V1624)&lt;=0,N(Q1624)&lt;=0),"Menge pro Gebinde fehlt (Ist = 1 Gebinde); ","")&amp;BU1624)</f>
        <v>Kein Verbrauch; Gebinde geschätzt (Mittel); Überbestand 11 Stk / CHF 1017; Menge pro Gebinde fehlt (Ist = 1 Gebinde); nur im Artikelstamm (Bestand 23.06.2026)</v>
      </c>
      <c r="BN1624" s="48"/>
      <c r="BO1624" s="48"/>
      <c r="BP1624" s="55"/>
      <c r="BQ1624" s="50" t="n">
        <v>12</v>
      </c>
      <c r="BR1624" s="50" t="n">
        <v>0</v>
      </c>
      <c r="BS1624" s="49" t="n">
        <v>0</v>
      </c>
      <c r="BT1624" s="50" t="n">
        <v>0</v>
      </c>
      <c r="BU1624" s="48" t="s">
        <v>2584</v>
      </c>
      <c r="BV1624" s="53" t="n">
        <v>0</v>
      </c>
      <c r="BW1624" s="53" t="n">
        <v>1624</v>
      </c>
      <c r="BX1624" s="48" t="str">
        <f aca="false">IF(U1624&lt;&gt;"",UPPER(TRIM(U1624)),IF(CA1624=1,UPPER(VLOOKUP(T1624,Parameter!$I$27:$K$29,2,0)),IF(P1624="","LOSE",P1624)))</f>
        <v>S61</v>
      </c>
      <c r="BY1624" s="50" t="n">
        <f aca="false">IF(BX1624="LOSE",1,IF(N(V1624)&gt;0,V1624,IF(CA1624=1,MAX(1,N(VLOOKUP(T1624,Parameter!$I$27:$K$29,3,0)),H1624,N(N1624)),IF(N(Q1624)&gt;0,Q1624,MAX(1,H1624)))))</f>
        <v>12</v>
      </c>
      <c r="BZ1624" s="53" t="n">
        <f aca="false">IF(BX1624="LOSE",1,0)</f>
        <v>0</v>
      </c>
      <c r="CA1624" s="53" t="n">
        <f aca="false">IF(AND(U1624="",OR(P1624="",P1624="LOSE"),T1624&lt;&gt;"",N(S1624)&lt;=0,ISNUMBER(MATCH(T1624,Parameter!$I$27:$I$29,0))),1,0)</f>
        <v>1</v>
      </c>
      <c r="CB1624" s="53" t="n">
        <f aca="false">IF(CQ1624&gt;0,INDEX(Parameter!$H$5:$H$7,W1624)/INDEX(Parameter!$E$5:$E$7,W1624),IF(AND(BZ1624=0,N(IFERROR(VLOOKUP(BX1624,'Gebinde-Kategorie'!$A$5:$N$45,14,0),0))&gt;0),VLOOKUP(BX1624,'Gebinde-Kategorie'!$A$5:$N$45,14,0)*10+Parameter!$M$23,Parameter!$M$24))</f>
        <v>145</v>
      </c>
      <c r="CC1624" s="48" t="str">
        <f aca="false">IF(AND(Parameter!$B$19="Ja",E1624&lt;&gt;"",ISNUMBER(MATCH(E1624,Parameter!$I$35:$I$52,0))),VLOOKUP(E1624,Parameter!$I$35:$J$52,2,0),IFERROR(VLOOKUP(D1624,Parameter!$A$35:$C$64,2,0),"Nein"))</f>
        <v>2+3</v>
      </c>
      <c r="CD1624" s="52" t="n">
        <f aca="false">IF(BZ1624=0,0,IF(N(S1624)&gt;0,S1624,IFERROR(VLOOKUP(D1624,Parameter!$A$35:$C$64,3,0)+0,0)))</f>
        <v>0</v>
      </c>
      <c r="CE1624" s="48" t="n">
        <f aca="false">IF(AA1624&lt;&gt;"",AA1624,Z1624)</f>
        <v>2</v>
      </c>
      <c r="CF1624" s="48" t="str">
        <f aca="false">IF(OR(CE1624=1,CE1624=2,CE1624=3),IF(Parameter!$E$27="Ja","LIFT",IF(CE1624=1,"L1","L23")),IF(CE1624="Aussen","Aussen","-"))</f>
        <v>LIFT</v>
      </c>
      <c r="CG1624" s="59" t="n">
        <f aca="false">IF(N(AB1624)&gt;0,AB1624,0)</f>
        <v>0</v>
      </c>
      <c r="CH1624" s="53" t="n">
        <f aca="false">IF(ISNUMBER(AE1624),1,0)</f>
        <v>0</v>
      </c>
      <c r="CI1624" s="50" t="n">
        <f aca="false">N(AE1624)</f>
        <v>0</v>
      </c>
      <c r="CJ1624" s="50" t="n">
        <f aca="false">N(M1624)+N(N1624)</f>
        <v>1</v>
      </c>
      <c r="CK1624" s="50" t="n">
        <f aca="false">N(M1624)</f>
        <v>0</v>
      </c>
      <c r="CL1624" s="50" t="n">
        <f aca="false">N(N1624)</f>
        <v>1</v>
      </c>
      <c r="CM1624" s="50" t="n">
        <f aca="false">ROUNDUP(H1624/BY1624,0)</f>
        <v>1</v>
      </c>
      <c r="CN1624" s="50" t="n">
        <f aca="false">ROUNDUP(CI1624/BY1624,0)</f>
        <v>0</v>
      </c>
      <c r="CO1624" s="53" t="n">
        <f aca="false">IF(BZ1624=1,0,IFERROR(VLOOKUP(BX1624,'Gebinde-Kategorie'!$A$5:$N$45,5,0)+0,0))</f>
        <v>11</v>
      </c>
      <c r="CP1624" s="53" t="n">
        <f aca="false">IFERROR(IF(OR(CE1624=1,CE1624=2,CE1624=3),N(INDEX(Parameter!$I$5:$I$7,CE1624)),0),0)</f>
        <v>0</v>
      </c>
      <c r="CQ1624" s="52" t="n">
        <f aca="false">IF(AND(Parameter!$B$21="Ja",ISNUMBER(W1624),N(X1624)&gt;0),IFERROR(N(INDEX(Parameter!$L$5:$L$7,W1624))*INDEX(Parameter!$E$5:$E$7,W1624)*X1624/SUMIFS($X$7:$X$1843,$W$7:$W$1843,W1624),0),0)</f>
        <v>0</v>
      </c>
    </row>
    <row r="1625" customFormat="false" ht="15" hidden="false" customHeight="false" outlineLevel="0" collapsed="false">
      <c r="A1625" s="48" t="s">
        <v>2836</v>
      </c>
      <c r="B1625" s="48" t="s">
        <v>1859</v>
      </c>
      <c r="C1625" s="48" t="s">
        <v>465</v>
      </c>
      <c r="D1625" s="48" t="s">
        <v>182</v>
      </c>
      <c r="E1625" s="48"/>
      <c r="F1625" s="48"/>
      <c r="G1625" s="49" t="n">
        <v>103.75</v>
      </c>
      <c r="H1625" s="50" t="n">
        <f aca="false">MAX(0,IF(AND(Parameter!$B$21="Ja",ISNUMBER(Y1625)),Y1625,IF(Parameter!$B$20="Jahresanfang 2025 + Export",BR1625+BQ1625,BQ1625)))</f>
        <v>9</v>
      </c>
      <c r="I1625" s="50" t="n">
        <f aca="false">H1625*G1625</f>
        <v>933.75</v>
      </c>
      <c r="J1625" s="50" t="n">
        <f aca="false">BT1625*Parameter!$B$18</f>
        <v>0</v>
      </c>
      <c r="K1625" s="51"/>
      <c r="L1625" s="52"/>
      <c r="M1625" s="50" t="n">
        <v>0</v>
      </c>
      <c r="N1625" s="50" t="n">
        <v>1</v>
      </c>
      <c r="O1625" s="53" t="n">
        <v>14</v>
      </c>
      <c r="P1625" s="48" t="s">
        <v>177</v>
      </c>
      <c r="Q1625" s="50"/>
      <c r="R1625" s="53" t="n">
        <f aca="false">IF(BZ1625=1,0,IFERROR(VLOOKUP(BX1625,'Gebinde-Kategorie'!$A$5:$N$45,13,0)+0,0))</f>
        <v>12</v>
      </c>
      <c r="S1625" s="54"/>
      <c r="T1625" s="55" t="s">
        <v>188</v>
      </c>
      <c r="U1625" s="55"/>
      <c r="V1625" s="55"/>
      <c r="W1625" s="48"/>
      <c r="X1625" s="50"/>
      <c r="Y1625" s="50"/>
      <c r="Z1625" s="48" t="n">
        <f aca="false">IF(A1625="","",IF(AND(Parameter!$B$21="Ja",ISNUMBER(W1625)),W1625,IF(CC1625="2+3",IF(ISNUMBER(SEARCH("grosser Artikel",BU1625)),2,IFERROR(VLOOKUP(BX1625,Parameter!$F$35:$G$64,2,0),2)),IF(OR(CC1625="Nein",CC1625=""),"-",CC1625))))</f>
        <v>2</v>
      </c>
      <c r="AA1625" s="55"/>
      <c r="AB1625" s="56"/>
      <c r="AC1625" s="50" t="n">
        <f aca="false">AV1625</f>
        <v>1</v>
      </c>
      <c r="AD1625" s="50" t="n">
        <f aca="false">MAX(AV1625,H1625)</f>
        <v>9</v>
      </c>
      <c r="AE1625" s="57"/>
      <c r="AF1625" s="50" t="n">
        <f aca="false">IF(LEFT(Cockpit!$C$5,1)="A",H1625,IF(Parameter!$E$30="MAX-Bestand",IF(CH1625=1,CI1625,IF(LEFT(Cockpit!$C$5,1)="B",AL1625,MAX(AL1625,H1625))),ROUNDUP(AJ1625,0)))</f>
        <v>9</v>
      </c>
      <c r="AG1625" s="50" t="n">
        <f aca="false">IF(BZ1625=1,0,ROUNDUP(AF1625/BY1625,0))</f>
        <v>1</v>
      </c>
      <c r="AH1625" s="52" t="n">
        <f aca="false">IF(CQ1625&gt;0,CQ1625*MAX(1,AF1625/X1625),IF(BZ1625=1,IF(AF1625&lt;=0,0,CD1625*MAX(1,IF(H1625&gt;0,AF1625/H1625,1))),IF(R1625&gt;0,AG1625/R1625,0))/MAX(0.1,N(Parameter!$M$21)))</f>
        <v>0.0833333333333333</v>
      </c>
      <c r="AI1625" s="50" t="n">
        <f aca="false">AH1625*CB1625</f>
        <v>12.0833333333333</v>
      </c>
      <c r="AJ1625" s="51" t="n">
        <f aca="false">IF(LEFT(Cockpit!$C$5,1)="A",H1625,IF(CH1625=1,(CK1625+CI1625)/2,IF(LEFT(Cockpit!$C$5,1)="B",(CK1625+AL1625)/2,MAX((CK1625+AL1625)/2,H1625))))</f>
        <v>9</v>
      </c>
      <c r="AK1625" s="50" t="n">
        <f aca="false">AJ1625*G1625</f>
        <v>933.75</v>
      </c>
      <c r="AL1625" s="50" t="n">
        <f aca="false">ROUNDUP(CK1625+MAX(CL1625,2*(J1625/IF(CG1625&gt;0,CG1625,MAX(0.1,N(Cockpit!$C$6)))-CK1625)),0)</f>
        <v>1</v>
      </c>
      <c r="AM1625" s="51" t="n">
        <f aca="false">IF(AI1625&gt;0,J1625/AI1625,-1)</f>
        <v>0</v>
      </c>
      <c r="AN1625" s="51" t="n">
        <f aca="false">IF(AND(OR(CF1625="L1",CF1625="L23",CF1625="LIFT"),AI1625&gt;0),SUMIFS($AI$7:$AI$1843,$CF$7:$CF$1843,CF1625,$AM$7:$AM$1843,"&gt;"&amp;AM1625)+SUMIFS($AI$7:$AI$1843,$CF$7:$CF$1843,CF1625,$AM$7:$AM$1843,AM1625,$BW$7:$BW$1843,"&lt;="&amp;BW1625),"")</f>
        <v>30878.4379850376</v>
      </c>
      <c r="AO1625" s="58" t="n">
        <f aca="false">IF(AN1625="",0,MAX(0,MIN(1,(IF(CF1625="L1",Parameter!$H$5,IF(CF1625="L23",Parameter!$H$6+Parameter!$H$7,Parameter!$H$5+Parameter!$H$6+Parameter!$H$7))-(AN1625-AI1625))/AI1625)))</f>
        <v>1</v>
      </c>
      <c r="AP1625" s="50" t="n">
        <f aca="false">IF(LEFT(Cockpit!$I$5,1)="A",H1625,IF(Parameter!$E$30="MAX-Bestand",IF(CH1625=1,CI1625,IF(LEFT(Cockpit!$I$5,1)="B",AV1625,MAX(AV1625,H1625))),ROUNDUP(AT1625,0)))</f>
        <v>9</v>
      </c>
      <c r="AQ1625" s="50" t="n">
        <f aca="false">IF(BZ1625=1,0,ROUNDUP(AP1625/BY1625,0))</f>
        <v>1</v>
      </c>
      <c r="AR1625" s="52" t="n">
        <f aca="false">IF(CQ1625&gt;0,CQ1625*MAX(1,AP1625/X1625),IF(BZ1625=1,IF(AP1625&lt;=0,0,CD1625*MAX(1,IF(H1625&gt;0,AP1625/H1625,1))),IF(R1625&gt;0,AQ1625/R1625,0))/MAX(0.1,N(Parameter!$M$21)))</f>
        <v>0.0833333333333333</v>
      </c>
      <c r="AS1625" s="50" t="n">
        <f aca="false">AR1625*CB1625</f>
        <v>12.0833333333333</v>
      </c>
      <c r="AT1625" s="51" t="n">
        <f aca="false">IF(LEFT(Cockpit!$I$5,1)="A",H1625,IF(CH1625=1,(CK1625+CI1625)/2,IF(LEFT(Cockpit!$I$5,1)="B",(CK1625+AV1625)/2,MAX((CK1625+AV1625)/2,H1625))))</f>
        <v>9</v>
      </c>
      <c r="AU1625" s="50" t="n">
        <f aca="false">AT1625*G1625</f>
        <v>933.75</v>
      </c>
      <c r="AV1625" s="50" t="n">
        <f aca="false">ROUNDUP(CK1625+MAX(CL1625,2*(J1625/IF(CG1625&gt;0,CG1625,MAX(0.1,N(Cockpit!$I$6)))-CK1625)),0)</f>
        <v>1</v>
      </c>
      <c r="AW1625" s="51" t="n">
        <f aca="false">IF(AS1625&gt;0,J1625/AS1625,-1)</f>
        <v>0</v>
      </c>
      <c r="AX1625" s="51" t="n">
        <f aca="false">IF(AND(OR(CF1625="L1",CF1625="L23",CF1625="LIFT"),AS1625&gt;0),SUMIFS($AS$7:$AS$1843,$CF$7:$CF$1843,CF1625,$AW$7:$AW$1843,"&gt;"&amp;AW1625)+SUMIFS($AS$7:$AS$1843,$CF$7:$CF$1843,CF1625,$AW$7:$AW$1843,AW1625,$BW$7:$BW$1843,"&lt;="&amp;BW1625),"")</f>
        <v>37198.2945018729</v>
      </c>
      <c r="AY1625" s="58" t="n">
        <f aca="false">IF(AX1625="",0,MAX(0,MIN(1,(IF(CF1625="L1",Parameter!$H$5,IF(CF1625="L23",Parameter!$H$6+Parameter!$H$7,Parameter!$H$5+Parameter!$H$6+Parameter!$H$7))-(AX1625-AS1625))/AS1625)))</f>
        <v>0</v>
      </c>
      <c r="AZ1625" s="50" t="n">
        <f aca="false">IF(LEFT(Cockpit!$O$5,1)="A",H1625,IF(Parameter!$E$30="MAX-Bestand",IF(CH1625=1,CI1625,IF(LEFT(Cockpit!$O$5,1)="B",BF1625,MAX(BF1625,H1625))),ROUNDUP(BD1625,0)))</f>
        <v>1</v>
      </c>
      <c r="BA1625" s="50" t="n">
        <f aca="false">IF(BZ1625=1,0,ROUNDUP(AZ1625/BY1625,0))</f>
        <v>1</v>
      </c>
      <c r="BB1625" s="52" t="n">
        <f aca="false">IF(CQ1625&gt;0,CQ1625*MAX(1,AZ1625/X1625),IF(BZ1625=1,IF(AZ1625&lt;=0,0,CD1625*MAX(1,IF(H1625&gt;0,AZ1625/H1625,1))),IF(R1625&gt;0,BA1625/R1625,0))/MAX(0.1,N(Parameter!$M$21)))</f>
        <v>0.0833333333333333</v>
      </c>
      <c r="BC1625" s="50" t="n">
        <f aca="false">BB1625*CB1625</f>
        <v>12.0833333333333</v>
      </c>
      <c r="BD1625" s="51" t="n">
        <f aca="false">IF(LEFT(Cockpit!$O$5,1)="A",H1625,IF(CH1625=1,(CK1625+CI1625)/2,IF(LEFT(Cockpit!$O$5,1)="B",(CK1625+BF1625)/2,MAX((CK1625+BF1625)/2,H1625))))</f>
        <v>0.5</v>
      </c>
      <c r="BE1625" s="50" t="n">
        <f aca="false">BD1625*G1625</f>
        <v>51.875</v>
      </c>
      <c r="BF1625" s="50" t="n">
        <f aca="false">ROUNDUP(CK1625+MAX(CL1625,2*(J1625/IF(CG1625&gt;0,CG1625,MAX(0.1,N(Cockpit!$O$6)))-CK1625)),0)</f>
        <v>1</v>
      </c>
      <c r="BG1625" s="51" t="n">
        <f aca="false">IF(BC1625&gt;0,J1625/BC1625,-1)</f>
        <v>0</v>
      </c>
      <c r="BH1625" s="51" t="n">
        <f aca="false">IF(AND(OR(CF1625="L1",CF1625="L23",CF1625="LIFT"),BC1625&gt;0),SUMIFS($BC$7:$BC$1843,$CF$7:$CF$1843,CF1625,$BG$7:$BG$1843,"&gt;"&amp;BG1625)+SUMIFS($BC$7:$BC$1843,$CF$7:$CF$1843,CF1625,$BG$7:$BG$1843,BG1625,$BW$7:$BW$1843,"&lt;="&amp;BW1625),"")</f>
        <v>31107.7357774053</v>
      </c>
      <c r="BI1625" s="58" t="n">
        <f aca="false">IF(BH1625="",0,MAX(0,MIN(1,(IF(CF1625="L1",Parameter!$H$5,IF(CF1625="L23",Parameter!$H$6+Parameter!$H$7,Parameter!$H$5+Parameter!$H$6+Parameter!$H$7))-(BH1625-BC1625))/BC1625)))</f>
        <v>1</v>
      </c>
      <c r="BJ1625" s="48" t="str">
        <f aca="false">IF(AI1625&lt;=0,"",IF(CF1625="Aussen","Aussenlager",IF(CF1625="-","Nicht im Lift",IF(AO1625&gt;=1,"Lift",IF(AO1625&lt;=0,"Aussenlager","teilweise")))))</f>
        <v>Lift</v>
      </c>
      <c r="BK1625" s="48" t="str">
        <f aca="false">IF(AS1625&lt;=0,"",IF(CF1625="Aussen","Aussenlager",IF(CF1625="-","Nicht im Lift",IF(AY1625&gt;=1,"Lift",IF(AY1625&lt;=0,"Aussenlager","teilweise")))))</f>
        <v>Aussenlager</v>
      </c>
      <c r="BL1625" s="48" t="str">
        <f aca="false">IF(BC1625&lt;=0,"",IF(CF1625="Aussen","Aussenlager",IF(CF1625="-","Nicht im Lift",IF(BI1625&gt;=1,"Lift",IF(BI1625&lt;=0,"Aussenlager","teilweise")))))</f>
        <v>Lift</v>
      </c>
      <c r="BM1625" s="48" t="str">
        <f aca="false">IF(A1625="","",IF(BV1625=1,"Neu; ","")&amp;IF(AND(BV1625=0,BQ1625&lt;0),"negativer Bestand (Export "&amp;BQ1625&amp;"); ","")&amp;IF(J1625&lt;=0,"Kein Verbrauch; ","")&amp;IF(CQ1625&gt;0,"Lift "&amp;W1625&amp;" lt. Liftbericht (Fach "&amp;X1625&amp;" Stk); ",IF(CA1625=1,"Gebinde geschätzt ("&amp;T1625&amp;"); ",IF(BZ1625=1,"Lose – Tablare geschätzt; ","")))&amp;IF(H1625&gt;AV1625,"Überbestand "&amp;ROUND(H1625-AV1625,0)&amp;" Stk / CHF "&amp;ROUND((H1625-AV1625)*G1625,0)&amp;"; ","")&amp;IF(AND(CH1625=1,CI1625&lt;CJ1625),"MAX &lt; MB+LG; ","")&amp;IF(AND(CP1625&gt;0,CO1625*10&gt;CP1625),"zu hoch für Tablar; ","")&amp;IF(AND(BV1625=0,OR(CH1625=1,AA1625&lt;&gt;"",U1625&lt;&gt;"",V1625&lt;&gt;"",AB1625&lt;&gt;"")),"manuell übersteuert; ","")&amp;IF(AND(BZ1625=0,R1625=0),"Gebinde unbekannt / Stellmass fehlt; ","")&amp;IF(AND(BZ1625=0,N(V1625)&lt;=0,N(Q1625)&lt;=0),"Menge pro Gebinde fehlt (Ist = 1 Gebinde); ","")&amp;BU1625)</f>
        <v>Kein Verbrauch; Gebinde geschätzt (Mittel); Überbestand 8 Stk / CHF 830; Menge pro Gebinde fehlt (Ist = 1 Gebinde); nur im Artikelstamm (Bestand 23.06.2026)</v>
      </c>
      <c r="BN1625" s="48"/>
      <c r="BO1625" s="48"/>
      <c r="BP1625" s="55"/>
      <c r="BQ1625" s="50" t="n">
        <v>9</v>
      </c>
      <c r="BR1625" s="50" t="n">
        <v>0</v>
      </c>
      <c r="BS1625" s="49" t="n">
        <v>0</v>
      </c>
      <c r="BT1625" s="50" t="n">
        <v>0</v>
      </c>
      <c r="BU1625" s="48" t="s">
        <v>2584</v>
      </c>
      <c r="BV1625" s="53" t="n">
        <v>0</v>
      </c>
      <c r="BW1625" s="53" t="n">
        <v>1625</v>
      </c>
      <c r="BX1625" s="48" t="str">
        <f aca="false">IF(U1625&lt;&gt;"",UPPER(TRIM(U1625)),IF(CA1625=1,UPPER(VLOOKUP(T1625,Parameter!$I$27:$K$29,2,0)),IF(P1625="","LOSE",P1625)))</f>
        <v>S61</v>
      </c>
      <c r="BY1625" s="50" t="n">
        <f aca="false">IF(BX1625="LOSE",1,IF(N(V1625)&gt;0,V1625,IF(CA1625=1,MAX(1,N(VLOOKUP(T1625,Parameter!$I$27:$K$29,3,0)),H1625,N(N1625)),IF(N(Q1625)&gt;0,Q1625,MAX(1,H1625)))))</f>
        <v>9</v>
      </c>
      <c r="BZ1625" s="53" t="n">
        <f aca="false">IF(BX1625="LOSE",1,0)</f>
        <v>0</v>
      </c>
      <c r="CA1625" s="53" t="n">
        <f aca="false">IF(AND(U1625="",OR(P1625="",P1625="LOSE"),T1625&lt;&gt;"",N(S1625)&lt;=0,ISNUMBER(MATCH(T1625,Parameter!$I$27:$I$29,0))),1,0)</f>
        <v>1</v>
      </c>
      <c r="CB1625" s="53" t="n">
        <f aca="false">IF(CQ1625&gt;0,INDEX(Parameter!$H$5:$H$7,W1625)/INDEX(Parameter!$E$5:$E$7,W1625),IF(AND(BZ1625=0,N(IFERROR(VLOOKUP(BX1625,'Gebinde-Kategorie'!$A$5:$N$45,14,0),0))&gt;0),VLOOKUP(BX1625,'Gebinde-Kategorie'!$A$5:$N$45,14,0)*10+Parameter!$M$23,Parameter!$M$24))</f>
        <v>145</v>
      </c>
      <c r="CC1625" s="48" t="str">
        <f aca="false">IF(AND(Parameter!$B$19="Ja",E1625&lt;&gt;"",ISNUMBER(MATCH(E1625,Parameter!$I$35:$I$52,0))),VLOOKUP(E1625,Parameter!$I$35:$J$52,2,0),IFERROR(VLOOKUP(D1625,Parameter!$A$35:$C$64,2,0),"Nein"))</f>
        <v>2+3</v>
      </c>
      <c r="CD1625" s="52" t="n">
        <f aca="false">IF(BZ1625=0,0,IF(N(S1625)&gt;0,S1625,IFERROR(VLOOKUP(D1625,Parameter!$A$35:$C$64,3,0)+0,0)))</f>
        <v>0</v>
      </c>
      <c r="CE1625" s="48" t="n">
        <f aca="false">IF(AA1625&lt;&gt;"",AA1625,Z1625)</f>
        <v>2</v>
      </c>
      <c r="CF1625" s="48" t="str">
        <f aca="false">IF(OR(CE1625=1,CE1625=2,CE1625=3),IF(Parameter!$E$27="Ja","LIFT",IF(CE1625=1,"L1","L23")),IF(CE1625="Aussen","Aussen","-"))</f>
        <v>LIFT</v>
      </c>
      <c r="CG1625" s="59" t="n">
        <f aca="false">IF(N(AB1625)&gt;0,AB1625,0)</f>
        <v>0</v>
      </c>
      <c r="CH1625" s="53" t="n">
        <f aca="false">IF(ISNUMBER(AE1625),1,0)</f>
        <v>0</v>
      </c>
      <c r="CI1625" s="50" t="n">
        <f aca="false">N(AE1625)</f>
        <v>0</v>
      </c>
      <c r="CJ1625" s="50" t="n">
        <f aca="false">N(M1625)+N(N1625)</f>
        <v>1</v>
      </c>
      <c r="CK1625" s="50" t="n">
        <f aca="false">N(M1625)</f>
        <v>0</v>
      </c>
      <c r="CL1625" s="50" t="n">
        <f aca="false">N(N1625)</f>
        <v>1</v>
      </c>
      <c r="CM1625" s="50" t="n">
        <f aca="false">ROUNDUP(H1625/BY1625,0)</f>
        <v>1</v>
      </c>
      <c r="CN1625" s="50" t="n">
        <f aca="false">ROUNDUP(CI1625/BY1625,0)</f>
        <v>0</v>
      </c>
      <c r="CO1625" s="53" t="n">
        <f aca="false">IF(BZ1625=1,0,IFERROR(VLOOKUP(BX1625,'Gebinde-Kategorie'!$A$5:$N$45,5,0)+0,0))</f>
        <v>11</v>
      </c>
      <c r="CP1625" s="53" t="n">
        <f aca="false">IFERROR(IF(OR(CE1625=1,CE1625=2,CE1625=3),N(INDEX(Parameter!$I$5:$I$7,CE1625)),0),0)</f>
        <v>0</v>
      </c>
      <c r="CQ1625" s="52" t="n">
        <f aca="false">IF(AND(Parameter!$B$21="Ja",ISNUMBER(W1625),N(X1625)&gt;0),IFERROR(N(INDEX(Parameter!$L$5:$L$7,W1625))*INDEX(Parameter!$E$5:$E$7,W1625)*X1625/SUMIFS($X$7:$X$1843,$W$7:$W$1843,W1625),0),0)</f>
        <v>0</v>
      </c>
    </row>
    <row r="1626" customFormat="false" ht="15" hidden="false" customHeight="false" outlineLevel="0" collapsed="false">
      <c r="A1626" s="48" t="s">
        <v>2837</v>
      </c>
      <c r="B1626" s="48" t="s">
        <v>2838</v>
      </c>
      <c r="C1626" s="48" t="s">
        <v>173</v>
      </c>
      <c r="D1626" s="48" t="s">
        <v>182</v>
      </c>
      <c r="E1626" s="48"/>
      <c r="F1626" s="48"/>
      <c r="G1626" s="49" t="n">
        <v>49.21</v>
      </c>
      <c r="H1626" s="50" t="n">
        <f aca="false">MAX(0,IF(AND(Parameter!$B$21="Ja",ISNUMBER(Y1626)),Y1626,IF(Parameter!$B$20="Jahresanfang 2025 + Export",BR1626+BQ1626,BQ1626)))</f>
        <v>37</v>
      </c>
      <c r="I1626" s="50" t="n">
        <f aca="false">H1626*G1626</f>
        <v>1820.77</v>
      </c>
      <c r="J1626" s="50" t="n">
        <f aca="false">BT1626*Parameter!$B$18</f>
        <v>0</v>
      </c>
      <c r="K1626" s="51"/>
      <c r="L1626" s="52"/>
      <c r="M1626" s="50" t="n">
        <v>0</v>
      </c>
      <c r="N1626" s="50" t="n">
        <v>40</v>
      </c>
      <c r="O1626" s="53" t="n">
        <v>35</v>
      </c>
      <c r="P1626" s="48" t="s">
        <v>177</v>
      </c>
      <c r="Q1626" s="50"/>
      <c r="R1626" s="53" t="n">
        <f aca="false">IF(BZ1626=1,0,IFERROR(VLOOKUP(BX1626,'Gebinde-Kategorie'!$A$5:$N$45,13,0)+0,0))</f>
        <v>26</v>
      </c>
      <c r="S1626" s="54"/>
      <c r="T1626" s="55" t="s">
        <v>284</v>
      </c>
      <c r="U1626" s="55"/>
      <c r="V1626" s="55"/>
      <c r="W1626" s="48"/>
      <c r="X1626" s="50"/>
      <c r="Y1626" s="50"/>
      <c r="Z1626" s="48" t="n">
        <f aca="false">IF(A1626="","",IF(AND(Parameter!$B$21="Ja",ISNUMBER(W1626)),W1626,IF(CC1626="2+3",IF(ISNUMBER(SEARCH("grosser Artikel",BU1626)),2,IFERROR(VLOOKUP(BX1626,Parameter!$F$35:$G$64,2,0),2)),IF(OR(CC1626="Nein",CC1626=""),"-",CC1626))))</f>
        <v>3</v>
      </c>
      <c r="AA1626" s="55"/>
      <c r="AB1626" s="56"/>
      <c r="AC1626" s="50" t="n">
        <f aca="false">AV1626</f>
        <v>40</v>
      </c>
      <c r="AD1626" s="50" t="n">
        <f aca="false">MAX(AV1626,H1626)</f>
        <v>40</v>
      </c>
      <c r="AE1626" s="57"/>
      <c r="AF1626" s="50" t="n">
        <f aca="false">IF(LEFT(Cockpit!$C$5,1)="A",H1626,IF(Parameter!$E$30="MAX-Bestand",IF(CH1626=1,CI1626,IF(LEFT(Cockpit!$C$5,1)="B",AL1626,MAX(AL1626,H1626))),ROUNDUP(AJ1626,0)))</f>
        <v>37</v>
      </c>
      <c r="AG1626" s="50" t="n">
        <f aca="false">IF(BZ1626=1,0,ROUNDUP(AF1626/BY1626,0))</f>
        <v>1</v>
      </c>
      <c r="AH1626" s="52" t="n">
        <f aca="false">IF(CQ1626&gt;0,CQ1626*MAX(1,AF1626/X1626),IF(BZ1626=1,IF(AF1626&lt;=0,0,CD1626*MAX(1,IF(H1626&gt;0,AF1626/H1626,1))),IF(R1626&gt;0,AG1626/R1626,0))/MAX(0.1,N(Parameter!$M$21)))</f>
        <v>0.0384615384615385</v>
      </c>
      <c r="AI1626" s="50" t="n">
        <f aca="false">AH1626*CB1626</f>
        <v>5.96153846153846</v>
      </c>
      <c r="AJ1626" s="51" t="n">
        <f aca="false">IF(LEFT(Cockpit!$C$5,1)="A",H1626,IF(CH1626=1,(CK1626+CI1626)/2,IF(LEFT(Cockpit!$C$5,1)="B",(CK1626+AL1626)/2,MAX((CK1626+AL1626)/2,H1626))))</f>
        <v>37</v>
      </c>
      <c r="AK1626" s="50" t="n">
        <f aca="false">AJ1626*G1626</f>
        <v>1820.77</v>
      </c>
      <c r="AL1626" s="50" t="n">
        <f aca="false">ROUNDUP(CK1626+MAX(CL1626,2*(J1626/IF(CG1626&gt;0,CG1626,MAX(0.1,N(Cockpit!$C$6)))-CK1626)),0)</f>
        <v>40</v>
      </c>
      <c r="AM1626" s="51" t="n">
        <f aca="false">IF(AI1626&gt;0,J1626/AI1626,-1)</f>
        <v>0</v>
      </c>
      <c r="AN1626" s="51" t="n">
        <f aca="false">IF(AND(OR(CF1626="L1",CF1626="L23",CF1626="LIFT"),AI1626&gt;0),SUMIFS($AI$7:$AI$1843,$CF$7:$CF$1843,CF1626,$AM$7:$AM$1843,"&gt;"&amp;AM1626)+SUMIFS($AI$7:$AI$1843,$CF$7:$CF$1843,CF1626,$AM$7:$AM$1843,AM1626,$BW$7:$BW$1843,"&lt;="&amp;BW1626),"")</f>
        <v>30884.3995234991</v>
      </c>
      <c r="AO1626" s="58" t="n">
        <f aca="false">IF(AN1626="",0,MAX(0,MIN(1,(IF(CF1626="L1",Parameter!$H$5,IF(CF1626="L23",Parameter!$H$6+Parameter!$H$7,Parameter!$H$5+Parameter!$H$6+Parameter!$H$7))-(AN1626-AI1626))/AI1626)))</f>
        <v>1</v>
      </c>
      <c r="AP1626" s="50" t="n">
        <f aca="false">IF(LEFT(Cockpit!$I$5,1)="A",H1626,IF(Parameter!$E$30="MAX-Bestand",IF(CH1626=1,CI1626,IF(LEFT(Cockpit!$I$5,1)="B",AV1626,MAX(AV1626,H1626))),ROUNDUP(AT1626,0)))</f>
        <v>37</v>
      </c>
      <c r="AQ1626" s="50" t="n">
        <f aca="false">IF(BZ1626=1,0,ROUNDUP(AP1626/BY1626,0))</f>
        <v>1</v>
      </c>
      <c r="AR1626" s="52" t="n">
        <f aca="false">IF(CQ1626&gt;0,CQ1626*MAX(1,AP1626/X1626),IF(BZ1626=1,IF(AP1626&lt;=0,0,CD1626*MAX(1,IF(H1626&gt;0,AP1626/H1626,1))),IF(R1626&gt;0,AQ1626/R1626,0))/MAX(0.1,N(Parameter!$M$21)))</f>
        <v>0.0384615384615385</v>
      </c>
      <c r="AS1626" s="50" t="n">
        <f aca="false">AR1626*CB1626</f>
        <v>5.96153846153846</v>
      </c>
      <c r="AT1626" s="51" t="n">
        <f aca="false">IF(LEFT(Cockpit!$I$5,1)="A",H1626,IF(CH1626=1,(CK1626+CI1626)/2,IF(LEFT(Cockpit!$I$5,1)="B",(CK1626+AV1626)/2,MAX((CK1626+AV1626)/2,H1626))))</f>
        <v>37</v>
      </c>
      <c r="AU1626" s="50" t="n">
        <f aca="false">AT1626*G1626</f>
        <v>1820.77</v>
      </c>
      <c r="AV1626" s="50" t="n">
        <f aca="false">ROUNDUP(CK1626+MAX(CL1626,2*(J1626/IF(CG1626&gt;0,CG1626,MAX(0.1,N(Cockpit!$I$6)))-CK1626)),0)</f>
        <v>40</v>
      </c>
      <c r="AW1626" s="51" t="n">
        <f aca="false">IF(AS1626&gt;0,J1626/AS1626,-1)</f>
        <v>0</v>
      </c>
      <c r="AX1626" s="51" t="n">
        <f aca="false">IF(AND(OR(CF1626="L1",CF1626="L23",CF1626="LIFT"),AS1626&gt;0),SUMIFS($AS$7:$AS$1843,$CF$7:$CF$1843,CF1626,$AW$7:$AW$1843,"&gt;"&amp;AW1626)+SUMIFS($AS$7:$AS$1843,$CF$7:$CF$1843,CF1626,$AW$7:$AW$1843,AW1626,$BW$7:$BW$1843,"&lt;="&amp;BW1626),"")</f>
        <v>37204.2560403344</v>
      </c>
      <c r="AY1626" s="58" t="n">
        <f aca="false">IF(AX1626="",0,MAX(0,MIN(1,(IF(CF1626="L1",Parameter!$H$5,IF(CF1626="L23",Parameter!$H$6+Parameter!$H$7,Parameter!$H$5+Parameter!$H$6+Parameter!$H$7))-(AX1626-AS1626))/AS1626)))</f>
        <v>0</v>
      </c>
      <c r="AZ1626" s="50" t="n">
        <f aca="false">IF(LEFT(Cockpit!$O$5,1)="A",H1626,IF(Parameter!$E$30="MAX-Bestand",IF(CH1626=1,CI1626,IF(LEFT(Cockpit!$O$5,1)="B",BF1626,MAX(BF1626,H1626))),ROUNDUP(BD1626,0)))</f>
        <v>20</v>
      </c>
      <c r="BA1626" s="50" t="n">
        <f aca="false">IF(BZ1626=1,0,ROUNDUP(AZ1626/BY1626,0))</f>
        <v>1</v>
      </c>
      <c r="BB1626" s="52" t="n">
        <f aca="false">IF(CQ1626&gt;0,CQ1626*MAX(1,AZ1626/X1626),IF(BZ1626=1,IF(AZ1626&lt;=0,0,CD1626*MAX(1,IF(H1626&gt;0,AZ1626/H1626,1))),IF(R1626&gt;0,BA1626/R1626,0))/MAX(0.1,N(Parameter!$M$21)))</f>
        <v>0.0384615384615385</v>
      </c>
      <c r="BC1626" s="50" t="n">
        <f aca="false">BB1626*CB1626</f>
        <v>5.96153846153846</v>
      </c>
      <c r="BD1626" s="51" t="n">
        <f aca="false">IF(LEFT(Cockpit!$O$5,1)="A",H1626,IF(CH1626=1,(CK1626+CI1626)/2,IF(LEFT(Cockpit!$O$5,1)="B",(CK1626+BF1626)/2,MAX((CK1626+BF1626)/2,H1626))))</f>
        <v>20</v>
      </c>
      <c r="BE1626" s="50" t="n">
        <f aca="false">BD1626*G1626</f>
        <v>984.2</v>
      </c>
      <c r="BF1626" s="50" t="n">
        <f aca="false">ROUNDUP(CK1626+MAX(CL1626,2*(J1626/IF(CG1626&gt;0,CG1626,MAX(0.1,N(Cockpit!$O$6)))-CK1626)),0)</f>
        <v>40</v>
      </c>
      <c r="BG1626" s="51" t="n">
        <f aca="false">IF(BC1626&gt;0,J1626/BC1626,-1)</f>
        <v>0</v>
      </c>
      <c r="BH1626" s="51" t="n">
        <f aca="false">IF(AND(OR(CF1626="L1",CF1626="L23",CF1626="LIFT"),BC1626&gt;0),SUMIFS($BC$7:$BC$1843,$CF$7:$CF$1843,CF1626,$BG$7:$BG$1843,"&gt;"&amp;BG1626)+SUMIFS($BC$7:$BC$1843,$CF$7:$CF$1843,CF1626,$BG$7:$BG$1843,BG1626,$BW$7:$BW$1843,"&lt;="&amp;BW1626),"")</f>
        <v>31113.6973158668</v>
      </c>
      <c r="BI1626" s="58" t="n">
        <f aca="false">IF(BH1626="",0,MAX(0,MIN(1,(IF(CF1626="L1",Parameter!$H$5,IF(CF1626="L23",Parameter!$H$6+Parameter!$H$7,Parameter!$H$5+Parameter!$H$6+Parameter!$H$7))-(BH1626-BC1626))/BC1626)))</f>
        <v>1</v>
      </c>
      <c r="BJ1626" s="48" t="str">
        <f aca="false">IF(AI1626&lt;=0,"",IF(CF1626="Aussen","Aussenlager",IF(CF1626="-","Nicht im Lift",IF(AO1626&gt;=1,"Lift",IF(AO1626&lt;=0,"Aussenlager","teilweise")))))</f>
        <v>Lift</v>
      </c>
      <c r="BK1626" s="48" t="str">
        <f aca="false">IF(AS1626&lt;=0,"",IF(CF1626="Aussen","Aussenlager",IF(CF1626="-","Nicht im Lift",IF(AY1626&gt;=1,"Lift",IF(AY1626&lt;=0,"Aussenlager","teilweise")))))</f>
        <v>Aussenlager</v>
      </c>
      <c r="BL1626" s="48" t="str">
        <f aca="false">IF(BC1626&lt;=0,"",IF(CF1626="Aussen","Aussenlager",IF(CF1626="-","Nicht im Lift",IF(BI1626&gt;=1,"Lift",IF(BI1626&lt;=0,"Aussenlager","teilweise")))))</f>
        <v>Lift</v>
      </c>
      <c r="BM1626" s="48" t="str">
        <f aca="false">IF(A1626="","",IF(BV1626=1,"Neu; ","")&amp;IF(AND(BV1626=0,BQ1626&lt;0),"negativer Bestand (Export "&amp;BQ1626&amp;"); ","")&amp;IF(J1626&lt;=0,"Kein Verbrauch; ","")&amp;IF(CQ1626&gt;0,"Lift "&amp;W1626&amp;" lt. Liftbericht (Fach "&amp;X1626&amp;" Stk); ",IF(CA1626=1,"Gebinde geschätzt ("&amp;T1626&amp;"); ",IF(BZ1626=1,"Lose – Tablare geschätzt; ","")))&amp;IF(H1626&gt;AV1626,"Überbestand "&amp;ROUND(H1626-AV1626,0)&amp;" Stk / CHF "&amp;ROUND((H1626-AV1626)*G1626,0)&amp;"; ","")&amp;IF(AND(CH1626=1,CI1626&lt;CJ1626),"MAX &lt; MB+LG; ","")&amp;IF(AND(CP1626&gt;0,CO1626*10&gt;CP1626),"zu hoch für Tablar; ","")&amp;IF(AND(BV1626=0,OR(CH1626=1,AA1626&lt;&gt;"",U1626&lt;&gt;"",V1626&lt;&gt;"",AB1626&lt;&gt;"")),"manuell übersteuert; ","")&amp;IF(AND(BZ1626=0,R1626=0),"Gebinde unbekannt / Stellmass fehlt; ","")&amp;IF(AND(BZ1626=0,N(V1626)&lt;=0,N(Q1626)&lt;=0),"Menge pro Gebinde fehlt (Ist = 1 Gebinde); ","")&amp;BU1626)</f>
        <v>Kein Verbrauch; Gebinde geschätzt (Klein); Menge pro Gebinde fehlt (Ist = 1 Gebinde); nur im Artikelstamm (Bestand 23.06.2026)</v>
      </c>
      <c r="BN1626" s="48"/>
      <c r="BO1626" s="48"/>
      <c r="BP1626" s="55"/>
      <c r="BQ1626" s="50" t="n">
        <v>37</v>
      </c>
      <c r="BR1626" s="50" t="n">
        <v>0</v>
      </c>
      <c r="BS1626" s="49" t="n">
        <v>0</v>
      </c>
      <c r="BT1626" s="50" t="n">
        <v>0</v>
      </c>
      <c r="BU1626" s="48" t="s">
        <v>2584</v>
      </c>
      <c r="BV1626" s="53" t="n">
        <v>0</v>
      </c>
      <c r="BW1626" s="53" t="n">
        <v>1626</v>
      </c>
      <c r="BX1626" s="48" t="str">
        <f aca="false">IF(U1626&lt;&gt;"",UPPER(TRIM(U1626)),IF(CA1626=1,UPPER(VLOOKUP(T1626,Parameter!$I$27:$K$29,2,0)),IF(P1626="","LOSE",P1626)))</f>
        <v>S51</v>
      </c>
      <c r="BY1626" s="50" t="n">
        <f aca="false">IF(BX1626="LOSE",1,IF(N(V1626)&gt;0,V1626,IF(CA1626=1,MAX(1,N(VLOOKUP(T1626,Parameter!$I$27:$K$29,3,0)),H1626,N(N1626)),IF(N(Q1626)&gt;0,Q1626,MAX(1,H1626)))))</f>
        <v>40</v>
      </c>
      <c r="BZ1626" s="53" t="n">
        <f aca="false">IF(BX1626="LOSE",1,0)</f>
        <v>0</v>
      </c>
      <c r="CA1626" s="53" t="n">
        <f aca="false">IF(AND(U1626="",OR(P1626="",P1626="LOSE"),T1626&lt;&gt;"",N(S1626)&lt;=0,ISNUMBER(MATCH(T1626,Parameter!$I$27:$I$29,0))),1,0)</f>
        <v>1</v>
      </c>
      <c r="CB1626" s="53" t="n">
        <f aca="false">IF(CQ1626&gt;0,INDEX(Parameter!$H$5:$H$7,W1626)/INDEX(Parameter!$E$5:$E$7,W1626),IF(AND(BZ1626=0,N(IFERROR(VLOOKUP(BX1626,'Gebinde-Kategorie'!$A$5:$N$45,14,0),0))&gt;0),VLOOKUP(BX1626,'Gebinde-Kategorie'!$A$5:$N$45,14,0)*10+Parameter!$M$23,Parameter!$M$24))</f>
        <v>155</v>
      </c>
      <c r="CC1626" s="48" t="str">
        <f aca="false">IF(AND(Parameter!$B$19="Ja",E1626&lt;&gt;"",ISNUMBER(MATCH(E1626,Parameter!$I$35:$I$52,0))),VLOOKUP(E1626,Parameter!$I$35:$J$52,2,0),IFERROR(VLOOKUP(D1626,Parameter!$A$35:$C$64,2,0),"Nein"))</f>
        <v>2+3</v>
      </c>
      <c r="CD1626" s="52" t="n">
        <f aca="false">IF(BZ1626=0,0,IF(N(S1626)&gt;0,S1626,IFERROR(VLOOKUP(D1626,Parameter!$A$35:$C$64,3,0)+0,0)))</f>
        <v>0</v>
      </c>
      <c r="CE1626" s="48" t="n">
        <f aca="false">IF(AA1626&lt;&gt;"",AA1626,Z1626)</f>
        <v>3</v>
      </c>
      <c r="CF1626" s="48" t="str">
        <f aca="false">IF(OR(CE1626=1,CE1626=2,CE1626=3),IF(Parameter!$E$27="Ja","LIFT",IF(CE1626=1,"L1","L23")),IF(CE1626="Aussen","Aussen","-"))</f>
        <v>LIFT</v>
      </c>
      <c r="CG1626" s="59" t="n">
        <f aca="false">IF(N(AB1626)&gt;0,AB1626,0)</f>
        <v>0</v>
      </c>
      <c r="CH1626" s="53" t="n">
        <f aca="false">IF(ISNUMBER(AE1626),1,0)</f>
        <v>0</v>
      </c>
      <c r="CI1626" s="50" t="n">
        <f aca="false">N(AE1626)</f>
        <v>0</v>
      </c>
      <c r="CJ1626" s="50" t="n">
        <f aca="false">N(M1626)+N(N1626)</f>
        <v>40</v>
      </c>
      <c r="CK1626" s="50" t="n">
        <f aca="false">N(M1626)</f>
        <v>0</v>
      </c>
      <c r="CL1626" s="50" t="n">
        <f aca="false">N(N1626)</f>
        <v>40</v>
      </c>
      <c r="CM1626" s="50" t="n">
        <f aca="false">ROUNDUP(H1626/BY1626,0)</f>
        <v>1</v>
      </c>
      <c r="CN1626" s="50" t="n">
        <f aca="false">ROUNDUP(CI1626/BY1626,0)</f>
        <v>0</v>
      </c>
      <c r="CO1626" s="53" t="n">
        <f aca="false">IF(BZ1626=1,0,IFERROR(VLOOKUP(BX1626,'Gebinde-Kategorie'!$A$5:$N$45,5,0)+0,0))</f>
        <v>11</v>
      </c>
      <c r="CP1626" s="53" t="n">
        <f aca="false">IFERROR(IF(OR(CE1626=1,CE1626=2,CE1626=3),N(INDEX(Parameter!$I$5:$I$7,CE1626)),0),0)</f>
        <v>0</v>
      </c>
      <c r="CQ1626" s="52" t="n">
        <f aca="false">IF(AND(Parameter!$B$21="Ja",ISNUMBER(W1626),N(X1626)&gt;0),IFERROR(N(INDEX(Parameter!$L$5:$L$7,W1626))*INDEX(Parameter!$E$5:$E$7,W1626)*X1626/SUMIFS($X$7:$X$1843,$W$7:$W$1843,W1626),0),0)</f>
        <v>0</v>
      </c>
    </row>
    <row r="1627" customFormat="false" ht="15" hidden="false" customHeight="false" outlineLevel="0" collapsed="false">
      <c r="A1627" s="48" t="s">
        <v>2839</v>
      </c>
      <c r="B1627" s="48" t="s">
        <v>2840</v>
      </c>
      <c r="C1627" s="48" t="s">
        <v>173</v>
      </c>
      <c r="D1627" s="48" t="s">
        <v>193</v>
      </c>
      <c r="E1627" s="48"/>
      <c r="F1627" s="48"/>
      <c r="G1627" s="49" t="n">
        <v>25.71</v>
      </c>
      <c r="H1627" s="50" t="n">
        <f aca="false">MAX(0,IF(AND(Parameter!$B$21="Ja",ISNUMBER(Y1627)),Y1627,IF(Parameter!$B$20="Jahresanfang 2025 + Export",BR1627+BQ1627,BQ1627)))</f>
        <v>37</v>
      </c>
      <c r="I1627" s="50" t="n">
        <f aca="false">H1627*G1627</f>
        <v>951.27</v>
      </c>
      <c r="J1627" s="50" t="n">
        <f aca="false">BT1627*Parameter!$B$18</f>
        <v>0</v>
      </c>
      <c r="K1627" s="51"/>
      <c r="L1627" s="52"/>
      <c r="M1627" s="50" t="n">
        <v>0</v>
      </c>
      <c r="N1627" s="50" t="n">
        <v>40</v>
      </c>
      <c r="O1627" s="53" t="n">
        <v>35</v>
      </c>
      <c r="P1627" s="48" t="s">
        <v>177</v>
      </c>
      <c r="Q1627" s="50"/>
      <c r="R1627" s="53" t="n">
        <f aca="false">IF(BZ1627=1,0,IFERROR(VLOOKUP(BX1627,'Gebinde-Kategorie'!$A$5:$N$45,13,0)+0,0))</f>
        <v>26</v>
      </c>
      <c r="S1627" s="54"/>
      <c r="T1627" s="55" t="s">
        <v>284</v>
      </c>
      <c r="U1627" s="55"/>
      <c r="V1627" s="55"/>
      <c r="W1627" s="48"/>
      <c r="X1627" s="50"/>
      <c r="Y1627" s="50"/>
      <c r="Z1627" s="48" t="n">
        <f aca="false">IF(A1627="","",IF(AND(Parameter!$B$21="Ja",ISNUMBER(W1627)),W1627,IF(CC1627="2+3",IF(ISNUMBER(SEARCH("grosser Artikel",BU1627)),2,IFERROR(VLOOKUP(BX1627,Parameter!$F$35:$G$64,2,0),2)),IF(OR(CC1627="Nein",CC1627=""),"-",CC1627))))</f>
        <v>3</v>
      </c>
      <c r="AA1627" s="55"/>
      <c r="AB1627" s="56"/>
      <c r="AC1627" s="50" t="n">
        <f aca="false">AV1627</f>
        <v>40</v>
      </c>
      <c r="AD1627" s="50" t="n">
        <f aca="false">MAX(AV1627,H1627)</f>
        <v>40</v>
      </c>
      <c r="AE1627" s="57"/>
      <c r="AF1627" s="50" t="n">
        <f aca="false">IF(LEFT(Cockpit!$C$5,1)="A",H1627,IF(Parameter!$E$30="MAX-Bestand",IF(CH1627=1,CI1627,IF(LEFT(Cockpit!$C$5,1)="B",AL1627,MAX(AL1627,H1627))),ROUNDUP(AJ1627,0)))</f>
        <v>37</v>
      </c>
      <c r="AG1627" s="50" t="n">
        <f aca="false">IF(BZ1627=1,0,ROUNDUP(AF1627/BY1627,0))</f>
        <v>1</v>
      </c>
      <c r="AH1627" s="52" t="n">
        <f aca="false">IF(CQ1627&gt;0,CQ1627*MAX(1,AF1627/X1627),IF(BZ1627=1,IF(AF1627&lt;=0,0,CD1627*MAX(1,IF(H1627&gt;0,AF1627/H1627,1))),IF(R1627&gt;0,AG1627/R1627,0))/MAX(0.1,N(Parameter!$M$21)))</f>
        <v>0.0384615384615385</v>
      </c>
      <c r="AI1627" s="50" t="n">
        <f aca="false">AH1627*CB1627</f>
        <v>5.96153846153846</v>
      </c>
      <c r="AJ1627" s="51" t="n">
        <f aca="false">IF(LEFT(Cockpit!$C$5,1)="A",H1627,IF(CH1627=1,(CK1627+CI1627)/2,IF(LEFT(Cockpit!$C$5,1)="B",(CK1627+AL1627)/2,MAX((CK1627+AL1627)/2,H1627))))</f>
        <v>37</v>
      </c>
      <c r="AK1627" s="50" t="n">
        <f aca="false">AJ1627*G1627</f>
        <v>951.27</v>
      </c>
      <c r="AL1627" s="50" t="n">
        <f aca="false">ROUNDUP(CK1627+MAX(CL1627,2*(J1627/IF(CG1627&gt;0,CG1627,MAX(0.1,N(Cockpit!$C$6)))-CK1627)),0)</f>
        <v>40</v>
      </c>
      <c r="AM1627" s="51" t="n">
        <f aca="false">IF(AI1627&gt;0,J1627/AI1627,-1)</f>
        <v>0</v>
      </c>
      <c r="AN1627" s="51" t="n">
        <f aca="false">IF(AND(OR(CF1627="L1",CF1627="L23",CF1627="LIFT"),AI1627&gt;0),SUMIFS($AI$7:$AI$1843,$CF$7:$CF$1843,CF1627,$AM$7:$AM$1843,"&gt;"&amp;AM1627)+SUMIFS($AI$7:$AI$1843,$CF$7:$CF$1843,CF1627,$AM$7:$AM$1843,AM1627,$BW$7:$BW$1843,"&lt;="&amp;BW1627),"")</f>
        <v>30890.3610619606</v>
      </c>
      <c r="AO1627" s="58" t="n">
        <f aca="false">IF(AN1627="",0,MAX(0,MIN(1,(IF(CF1627="L1",Parameter!$H$5,IF(CF1627="L23",Parameter!$H$6+Parameter!$H$7,Parameter!$H$5+Parameter!$H$6+Parameter!$H$7))-(AN1627-AI1627))/AI1627)))</f>
        <v>1</v>
      </c>
      <c r="AP1627" s="50" t="n">
        <f aca="false">IF(LEFT(Cockpit!$I$5,1)="A",H1627,IF(Parameter!$E$30="MAX-Bestand",IF(CH1627=1,CI1627,IF(LEFT(Cockpit!$I$5,1)="B",AV1627,MAX(AV1627,H1627))),ROUNDUP(AT1627,0)))</f>
        <v>37</v>
      </c>
      <c r="AQ1627" s="50" t="n">
        <f aca="false">IF(BZ1627=1,0,ROUNDUP(AP1627/BY1627,0))</f>
        <v>1</v>
      </c>
      <c r="AR1627" s="52" t="n">
        <f aca="false">IF(CQ1627&gt;0,CQ1627*MAX(1,AP1627/X1627),IF(BZ1627=1,IF(AP1627&lt;=0,0,CD1627*MAX(1,IF(H1627&gt;0,AP1627/H1627,1))),IF(R1627&gt;0,AQ1627/R1627,0))/MAX(0.1,N(Parameter!$M$21)))</f>
        <v>0.0384615384615385</v>
      </c>
      <c r="AS1627" s="50" t="n">
        <f aca="false">AR1627*CB1627</f>
        <v>5.96153846153846</v>
      </c>
      <c r="AT1627" s="51" t="n">
        <f aca="false">IF(LEFT(Cockpit!$I$5,1)="A",H1627,IF(CH1627=1,(CK1627+CI1627)/2,IF(LEFT(Cockpit!$I$5,1)="B",(CK1627+AV1627)/2,MAX((CK1627+AV1627)/2,H1627))))</f>
        <v>37</v>
      </c>
      <c r="AU1627" s="50" t="n">
        <f aca="false">AT1627*G1627</f>
        <v>951.27</v>
      </c>
      <c r="AV1627" s="50" t="n">
        <f aca="false">ROUNDUP(CK1627+MAX(CL1627,2*(J1627/IF(CG1627&gt;0,CG1627,MAX(0.1,N(Cockpit!$I$6)))-CK1627)),0)</f>
        <v>40</v>
      </c>
      <c r="AW1627" s="51" t="n">
        <f aca="false">IF(AS1627&gt;0,J1627/AS1627,-1)</f>
        <v>0</v>
      </c>
      <c r="AX1627" s="51" t="n">
        <f aca="false">IF(AND(OR(CF1627="L1",CF1627="L23",CF1627="LIFT"),AS1627&gt;0),SUMIFS($AS$7:$AS$1843,$CF$7:$CF$1843,CF1627,$AW$7:$AW$1843,"&gt;"&amp;AW1627)+SUMIFS($AS$7:$AS$1843,$CF$7:$CF$1843,CF1627,$AW$7:$AW$1843,AW1627,$BW$7:$BW$1843,"&lt;="&amp;BW1627),"")</f>
        <v>37210.217578796</v>
      </c>
      <c r="AY1627" s="58" t="n">
        <f aca="false">IF(AX1627="",0,MAX(0,MIN(1,(IF(CF1627="L1",Parameter!$H$5,IF(CF1627="L23",Parameter!$H$6+Parameter!$H$7,Parameter!$H$5+Parameter!$H$6+Parameter!$H$7))-(AX1627-AS1627))/AS1627)))</f>
        <v>0</v>
      </c>
      <c r="AZ1627" s="50" t="n">
        <f aca="false">IF(LEFT(Cockpit!$O$5,1)="A",H1627,IF(Parameter!$E$30="MAX-Bestand",IF(CH1627=1,CI1627,IF(LEFT(Cockpit!$O$5,1)="B",BF1627,MAX(BF1627,H1627))),ROUNDUP(BD1627,0)))</f>
        <v>20</v>
      </c>
      <c r="BA1627" s="50" t="n">
        <f aca="false">IF(BZ1627=1,0,ROUNDUP(AZ1627/BY1627,0))</f>
        <v>1</v>
      </c>
      <c r="BB1627" s="52" t="n">
        <f aca="false">IF(CQ1627&gt;0,CQ1627*MAX(1,AZ1627/X1627),IF(BZ1627=1,IF(AZ1627&lt;=0,0,CD1627*MAX(1,IF(H1627&gt;0,AZ1627/H1627,1))),IF(R1627&gt;0,BA1627/R1627,0))/MAX(0.1,N(Parameter!$M$21)))</f>
        <v>0.0384615384615385</v>
      </c>
      <c r="BC1627" s="50" t="n">
        <f aca="false">BB1627*CB1627</f>
        <v>5.96153846153846</v>
      </c>
      <c r="BD1627" s="51" t="n">
        <f aca="false">IF(LEFT(Cockpit!$O$5,1)="A",H1627,IF(CH1627=1,(CK1627+CI1627)/2,IF(LEFT(Cockpit!$O$5,1)="B",(CK1627+BF1627)/2,MAX((CK1627+BF1627)/2,H1627))))</f>
        <v>20</v>
      </c>
      <c r="BE1627" s="50" t="n">
        <f aca="false">BD1627*G1627</f>
        <v>514.2</v>
      </c>
      <c r="BF1627" s="50" t="n">
        <f aca="false">ROUNDUP(CK1627+MAX(CL1627,2*(J1627/IF(CG1627&gt;0,CG1627,MAX(0.1,N(Cockpit!$O$6)))-CK1627)),0)</f>
        <v>40</v>
      </c>
      <c r="BG1627" s="51" t="n">
        <f aca="false">IF(BC1627&gt;0,J1627/BC1627,-1)</f>
        <v>0</v>
      </c>
      <c r="BH1627" s="51" t="n">
        <f aca="false">IF(AND(OR(CF1627="L1",CF1627="L23",CF1627="LIFT"),BC1627&gt;0),SUMIFS($BC$7:$BC$1843,$CF$7:$CF$1843,CF1627,$BG$7:$BG$1843,"&gt;"&amp;BG1627)+SUMIFS($BC$7:$BC$1843,$CF$7:$CF$1843,CF1627,$BG$7:$BG$1843,BG1627,$BW$7:$BW$1843,"&lt;="&amp;BW1627),"")</f>
        <v>31119.6588543283</v>
      </c>
      <c r="BI1627" s="58" t="n">
        <f aca="false">IF(BH1627="",0,MAX(0,MIN(1,(IF(CF1627="L1",Parameter!$H$5,IF(CF1627="L23",Parameter!$H$6+Parameter!$H$7,Parameter!$H$5+Parameter!$H$6+Parameter!$H$7))-(BH1627-BC1627))/BC1627)))</f>
        <v>1</v>
      </c>
      <c r="BJ1627" s="48" t="str">
        <f aca="false">IF(AI1627&lt;=0,"",IF(CF1627="Aussen","Aussenlager",IF(CF1627="-","Nicht im Lift",IF(AO1627&gt;=1,"Lift",IF(AO1627&lt;=0,"Aussenlager","teilweise")))))</f>
        <v>Lift</v>
      </c>
      <c r="BK1627" s="48" t="str">
        <f aca="false">IF(AS1627&lt;=0,"",IF(CF1627="Aussen","Aussenlager",IF(CF1627="-","Nicht im Lift",IF(AY1627&gt;=1,"Lift",IF(AY1627&lt;=0,"Aussenlager","teilweise")))))</f>
        <v>Aussenlager</v>
      </c>
      <c r="BL1627" s="48" t="str">
        <f aca="false">IF(BC1627&lt;=0,"",IF(CF1627="Aussen","Aussenlager",IF(CF1627="-","Nicht im Lift",IF(BI1627&gt;=1,"Lift",IF(BI1627&lt;=0,"Aussenlager","teilweise")))))</f>
        <v>Lift</v>
      </c>
      <c r="BM1627" s="48" t="str">
        <f aca="false">IF(A1627="","",IF(BV1627=1,"Neu; ","")&amp;IF(AND(BV1627=0,BQ1627&lt;0),"negativer Bestand (Export "&amp;BQ1627&amp;"); ","")&amp;IF(J1627&lt;=0,"Kein Verbrauch; ","")&amp;IF(CQ1627&gt;0,"Lift "&amp;W1627&amp;" lt. Liftbericht (Fach "&amp;X1627&amp;" Stk); ",IF(CA1627=1,"Gebinde geschätzt ("&amp;T1627&amp;"); ",IF(BZ1627=1,"Lose – Tablare geschätzt; ","")))&amp;IF(H1627&gt;AV1627,"Überbestand "&amp;ROUND(H1627-AV1627,0)&amp;" Stk / CHF "&amp;ROUND((H1627-AV1627)*G1627,0)&amp;"; ","")&amp;IF(AND(CH1627=1,CI1627&lt;CJ1627),"MAX &lt; MB+LG; ","")&amp;IF(AND(CP1627&gt;0,CO1627*10&gt;CP1627),"zu hoch für Tablar; ","")&amp;IF(AND(BV1627=0,OR(CH1627=1,AA1627&lt;&gt;"",U1627&lt;&gt;"",V1627&lt;&gt;"",AB1627&lt;&gt;"")),"manuell übersteuert; ","")&amp;IF(AND(BZ1627=0,R1627=0),"Gebinde unbekannt / Stellmass fehlt; ","")&amp;IF(AND(BZ1627=0,N(V1627)&lt;=0,N(Q1627)&lt;=0),"Menge pro Gebinde fehlt (Ist = 1 Gebinde); ","")&amp;BU1627)</f>
        <v>Kein Verbrauch; Gebinde geschätzt (Klein); Menge pro Gebinde fehlt (Ist = 1 Gebinde); nur im Artikelstamm (Bestand 23.06.2026)</v>
      </c>
      <c r="BN1627" s="48"/>
      <c r="BO1627" s="48"/>
      <c r="BP1627" s="55"/>
      <c r="BQ1627" s="50" t="n">
        <v>37</v>
      </c>
      <c r="BR1627" s="50" t="n">
        <v>0</v>
      </c>
      <c r="BS1627" s="49" t="n">
        <v>0</v>
      </c>
      <c r="BT1627" s="50" t="n">
        <v>0</v>
      </c>
      <c r="BU1627" s="48" t="s">
        <v>2584</v>
      </c>
      <c r="BV1627" s="53" t="n">
        <v>0</v>
      </c>
      <c r="BW1627" s="53" t="n">
        <v>1627</v>
      </c>
      <c r="BX1627" s="48" t="str">
        <f aca="false">IF(U1627&lt;&gt;"",UPPER(TRIM(U1627)),IF(CA1627=1,UPPER(VLOOKUP(T1627,Parameter!$I$27:$K$29,2,0)),IF(P1627="","LOSE",P1627)))</f>
        <v>S51</v>
      </c>
      <c r="BY1627" s="50" t="n">
        <f aca="false">IF(BX1627="LOSE",1,IF(N(V1627)&gt;0,V1627,IF(CA1627=1,MAX(1,N(VLOOKUP(T1627,Parameter!$I$27:$K$29,3,0)),H1627,N(N1627)),IF(N(Q1627)&gt;0,Q1627,MAX(1,H1627)))))</f>
        <v>40</v>
      </c>
      <c r="BZ1627" s="53" t="n">
        <f aca="false">IF(BX1627="LOSE",1,0)</f>
        <v>0</v>
      </c>
      <c r="CA1627" s="53" t="n">
        <f aca="false">IF(AND(U1627="",OR(P1627="",P1627="LOSE"),T1627&lt;&gt;"",N(S1627)&lt;=0,ISNUMBER(MATCH(T1627,Parameter!$I$27:$I$29,0))),1,0)</f>
        <v>1</v>
      </c>
      <c r="CB1627" s="53" t="n">
        <f aca="false">IF(CQ1627&gt;0,INDEX(Parameter!$H$5:$H$7,W1627)/INDEX(Parameter!$E$5:$E$7,W1627),IF(AND(BZ1627=0,N(IFERROR(VLOOKUP(BX1627,'Gebinde-Kategorie'!$A$5:$N$45,14,0),0))&gt;0),VLOOKUP(BX1627,'Gebinde-Kategorie'!$A$5:$N$45,14,0)*10+Parameter!$M$23,Parameter!$M$24))</f>
        <v>155</v>
      </c>
      <c r="CC1627" s="48" t="str">
        <f aca="false">IF(AND(Parameter!$B$19="Ja",E1627&lt;&gt;"",ISNUMBER(MATCH(E1627,Parameter!$I$35:$I$52,0))),VLOOKUP(E1627,Parameter!$I$35:$J$52,2,0),IFERROR(VLOOKUP(D1627,Parameter!$A$35:$C$64,2,0),"Nein"))</f>
        <v>2+3</v>
      </c>
      <c r="CD1627" s="52" t="n">
        <f aca="false">IF(BZ1627=0,0,IF(N(S1627)&gt;0,S1627,IFERROR(VLOOKUP(D1627,Parameter!$A$35:$C$64,3,0)+0,0)))</f>
        <v>0</v>
      </c>
      <c r="CE1627" s="48" t="n">
        <f aca="false">IF(AA1627&lt;&gt;"",AA1627,Z1627)</f>
        <v>3</v>
      </c>
      <c r="CF1627" s="48" t="str">
        <f aca="false">IF(OR(CE1627=1,CE1627=2,CE1627=3),IF(Parameter!$E$27="Ja","LIFT",IF(CE1627=1,"L1","L23")),IF(CE1627="Aussen","Aussen","-"))</f>
        <v>LIFT</v>
      </c>
      <c r="CG1627" s="59" t="n">
        <f aca="false">IF(N(AB1627)&gt;0,AB1627,0)</f>
        <v>0</v>
      </c>
      <c r="CH1627" s="53" t="n">
        <f aca="false">IF(ISNUMBER(AE1627),1,0)</f>
        <v>0</v>
      </c>
      <c r="CI1627" s="50" t="n">
        <f aca="false">N(AE1627)</f>
        <v>0</v>
      </c>
      <c r="CJ1627" s="50" t="n">
        <f aca="false">N(M1627)+N(N1627)</f>
        <v>40</v>
      </c>
      <c r="CK1627" s="50" t="n">
        <f aca="false">N(M1627)</f>
        <v>0</v>
      </c>
      <c r="CL1627" s="50" t="n">
        <f aca="false">N(N1627)</f>
        <v>40</v>
      </c>
      <c r="CM1627" s="50" t="n">
        <f aca="false">ROUNDUP(H1627/BY1627,0)</f>
        <v>1</v>
      </c>
      <c r="CN1627" s="50" t="n">
        <f aca="false">ROUNDUP(CI1627/BY1627,0)</f>
        <v>0</v>
      </c>
      <c r="CO1627" s="53" t="n">
        <f aca="false">IF(BZ1627=1,0,IFERROR(VLOOKUP(BX1627,'Gebinde-Kategorie'!$A$5:$N$45,5,0)+0,0))</f>
        <v>11</v>
      </c>
      <c r="CP1627" s="53" t="n">
        <f aca="false">IFERROR(IF(OR(CE1627=1,CE1627=2,CE1627=3),N(INDEX(Parameter!$I$5:$I$7,CE1627)),0),0)</f>
        <v>0</v>
      </c>
      <c r="CQ1627" s="52" t="n">
        <f aca="false">IF(AND(Parameter!$B$21="Ja",ISNUMBER(W1627),N(X1627)&gt;0),IFERROR(N(INDEX(Parameter!$L$5:$L$7,W1627))*INDEX(Parameter!$E$5:$E$7,W1627)*X1627/SUMIFS($X$7:$X$1843,$W$7:$W$1843,W1627),0),0)</f>
        <v>0</v>
      </c>
    </row>
    <row r="1628" customFormat="false" ht="15" hidden="false" customHeight="false" outlineLevel="0" collapsed="false">
      <c r="A1628" s="48" t="s">
        <v>2841</v>
      </c>
      <c r="B1628" s="48" t="s">
        <v>2842</v>
      </c>
      <c r="C1628" s="48" t="s">
        <v>173</v>
      </c>
      <c r="D1628" s="48" t="s">
        <v>193</v>
      </c>
      <c r="E1628" s="48"/>
      <c r="F1628" s="48"/>
      <c r="G1628" s="49" t="n">
        <v>10.99</v>
      </c>
      <c r="H1628" s="50" t="n">
        <f aca="false">MAX(0,IF(AND(Parameter!$B$21="Ja",ISNUMBER(Y1628)),Y1628,IF(Parameter!$B$20="Jahresanfang 2025 + Export",BR1628+BQ1628,BQ1628)))</f>
        <v>74</v>
      </c>
      <c r="I1628" s="50" t="n">
        <f aca="false">H1628*G1628</f>
        <v>813.26</v>
      </c>
      <c r="J1628" s="50" t="n">
        <f aca="false">BT1628*Parameter!$B$18</f>
        <v>0</v>
      </c>
      <c r="K1628" s="51"/>
      <c r="L1628" s="52"/>
      <c r="M1628" s="50" t="n">
        <v>0</v>
      </c>
      <c r="N1628" s="50" t="n">
        <v>50</v>
      </c>
      <c r="O1628" s="53" t="n">
        <v>14</v>
      </c>
      <c r="P1628" s="48" t="s">
        <v>177</v>
      </c>
      <c r="Q1628" s="50"/>
      <c r="R1628" s="53" t="n">
        <f aca="false">IF(BZ1628=1,0,IFERROR(VLOOKUP(BX1628,'Gebinde-Kategorie'!$A$5:$N$45,13,0)+0,0))</f>
        <v>26</v>
      </c>
      <c r="S1628" s="54"/>
      <c r="T1628" s="55" t="s">
        <v>284</v>
      </c>
      <c r="U1628" s="55"/>
      <c r="V1628" s="55"/>
      <c r="W1628" s="48"/>
      <c r="X1628" s="50"/>
      <c r="Y1628" s="50"/>
      <c r="Z1628" s="48" t="n">
        <f aca="false">IF(A1628="","",IF(AND(Parameter!$B$21="Ja",ISNUMBER(W1628)),W1628,IF(CC1628="2+3",IF(ISNUMBER(SEARCH("grosser Artikel",BU1628)),2,IFERROR(VLOOKUP(BX1628,Parameter!$F$35:$G$64,2,0),2)),IF(OR(CC1628="Nein",CC1628=""),"-",CC1628))))</f>
        <v>3</v>
      </c>
      <c r="AA1628" s="55"/>
      <c r="AB1628" s="56"/>
      <c r="AC1628" s="50" t="n">
        <f aca="false">AV1628</f>
        <v>50</v>
      </c>
      <c r="AD1628" s="50" t="n">
        <f aca="false">MAX(AV1628,H1628)</f>
        <v>74</v>
      </c>
      <c r="AE1628" s="57"/>
      <c r="AF1628" s="50" t="n">
        <f aca="false">IF(LEFT(Cockpit!$C$5,1)="A",H1628,IF(Parameter!$E$30="MAX-Bestand",IF(CH1628=1,CI1628,IF(LEFT(Cockpit!$C$5,1)="B",AL1628,MAX(AL1628,H1628))),ROUNDUP(AJ1628,0)))</f>
        <v>74</v>
      </c>
      <c r="AG1628" s="50" t="n">
        <f aca="false">IF(BZ1628=1,0,ROUNDUP(AF1628/BY1628,0))</f>
        <v>1</v>
      </c>
      <c r="AH1628" s="52" t="n">
        <f aca="false">IF(CQ1628&gt;0,CQ1628*MAX(1,AF1628/X1628),IF(BZ1628=1,IF(AF1628&lt;=0,0,CD1628*MAX(1,IF(H1628&gt;0,AF1628/H1628,1))),IF(R1628&gt;0,AG1628/R1628,0))/MAX(0.1,N(Parameter!$M$21)))</f>
        <v>0.0384615384615385</v>
      </c>
      <c r="AI1628" s="50" t="n">
        <f aca="false">AH1628*CB1628</f>
        <v>5.96153846153846</v>
      </c>
      <c r="AJ1628" s="51" t="n">
        <f aca="false">IF(LEFT(Cockpit!$C$5,1)="A",H1628,IF(CH1628=1,(CK1628+CI1628)/2,IF(LEFT(Cockpit!$C$5,1)="B",(CK1628+AL1628)/2,MAX((CK1628+AL1628)/2,H1628))))</f>
        <v>74</v>
      </c>
      <c r="AK1628" s="50" t="n">
        <f aca="false">AJ1628*G1628</f>
        <v>813.26</v>
      </c>
      <c r="AL1628" s="50" t="n">
        <f aca="false">ROUNDUP(CK1628+MAX(CL1628,2*(J1628/IF(CG1628&gt;0,CG1628,MAX(0.1,N(Cockpit!$C$6)))-CK1628)),0)</f>
        <v>50</v>
      </c>
      <c r="AM1628" s="51" t="n">
        <f aca="false">IF(AI1628&gt;0,J1628/AI1628,-1)</f>
        <v>0</v>
      </c>
      <c r="AN1628" s="51" t="n">
        <f aca="false">IF(AND(OR(CF1628="L1",CF1628="L23",CF1628="LIFT"),AI1628&gt;0),SUMIFS($AI$7:$AI$1843,$CF$7:$CF$1843,CF1628,$AM$7:$AM$1843,"&gt;"&amp;AM1628)+SUMIFS($AI$7:$AI$1843,$CF$7:$CF$1843,CF1628,$AM$7:$AM$1843,AM1628,$BW$7:$BW$1843,"&lt;="&amp;BW1628),"")</f>
        <v>30896.3226004222</v>
      </c>
      <c r="AO1628" s="58" t="n">
        <f aca="false">IF(AN1628="",0,MAX(0,MIN(1,(IF(CF1628="L1",Parameter!$H$5,IF(CF1628="L23",Parameter!$H$6+Parameter!$H$7,Parameter!$H$5+Parameter!$H$6+Parameter!$H$7))-(AN1628-AI1628))/AI1628)))</f>
        <v>1</v>
      </c>
      <c r="AP1628" s="50" t="n">
        <f aca="false">IF(LEFT(Cockpit!$I$5,1)="A",H1628,IF(Parameter!$E$30="MAX-Bestand",IF(CH1628=1,CI1628,IF(LEFT(Cockpit!$I$5,1)="B",AV1628,MAX(AV1628,H1628))),ROUNDUP(AT1628,0)))</f>
        <v>74</v>
      </c>
      <c r="AQ1628" s="50" t="n">
        <f aca="false">IF(BZ1628=1,0,ROUNDUP(AP1628/BY1628,0))</f>
        <v>1</v>
      </c>
      <c r="AR1628" s="52" t="n">
        <f aca="false">IF(CQ1628&gt;0,CQ1628*MAX(1,AP1628/X1628),IF(BZ1628=1,IF(AP1628&lt;=0,0,CD1628*MAX(1,IF(H1628&gt;0,AP1628/H1628,1))),IF(R1628&gt;0,AQ1628/R1628,0))/MAX(0.1,N(Parameter!$M$21)))</f>
        <v>0.0384615384615385</v>
      </c>
      <c r="AS1628" s="50" t="n">
        <f aca="false">AR1628*CB1628</f>
        <v>5.96153846153846</v>
      </c>
      <c r="AT1628" s="51" t="n">
        <f aca="false">IF(LEFT(Cockpit!$I$5,1)="A",H1628,IF(CH1628=1,(CK1628+CI1628)/2,IF(LEFT(Cockpit!$I$5,1)="B",(CK1628+AV1628)/2,MAX((CK1628+AV1628)/2,H1628))))</f>
        <v>74</v>
      </c>
      <c r="AU1628" s="50" t="n">
        <f aca="false">AT1628*G1628</f>
        <v>813.26</v>
      </c>
      <c r="AV1628" s="50" t="n">
        <f aca="false">ROUNDUP(CK1628+MAX(CL1628,2*(J1628/IF(CG1628&gt;0,CG1628,MAX(0.1,N(Cockpit!$I$6)))-CK1628)),0)</f>
        <v>50</v>
      </c>
      <c r="AW1628" s="51" t="n">
        <f aca="false">IF(AS1628&gt;0,J1628/AS1628,-1)</f>
        <v>0</v>
      </c>
      <c r="AX1628" s="51" t="n">
        <f aca="false">IF(AND(OR(CF1628="L1",CF1628="L23",CF1628="LIFT"),AS1628&gt;0),SUMIFS($AS$7:$AS$1843,$CF$7:$CF$1843,CF1628,$AW$7:$AW$1843,"&gt;"&amp;AW1628)+SUMIFS($AS$7:$AS$1843,$CF$7:$CF$1843,CF1628,$AW$7:$AW$1843,AW1628,$BW$7:$BW$1843,"&lt;="&amp;BW1628),"")</f>
        <v>37216.1791172575</v>
      </c>
      <c r="AY1628" s="58" t="n">
        <f aca="false">IF(AX1628="",0,MAX(0,MIN(1,(IF(CF1628="L1",Parameter!$H$5,IF(CF1628="L23",Parameter!$H$6+Parameter!$H$7,Parameter!$H$5+Parameter!$H$6+Parameter!$H$7))-(AX1628-AS1628))/AS1628)))</f>
        <v>0</v>
      </c>
      <c r="AZ1628" s="50" t="n">
        <f aca="false">IF(LEFT(Cockpit!$O$5,1)="A",H1628,IF(Parameter!$E$30="MAX-Bestand",IF(CH1628=1,CI1628,IF(LEFT(Cockpit!$O$5,1)="B",BF1628,MAX(BF1628,H1628))),ROUNDUP(BD1628,0)))</f>
        <v>25</v>
      </c>
      <c r="BA1628" s="50" t="n">
        <f aca="false">IF(BZ1628=1,0,ROUNDUP(AZ1628/BY1628,0))</f>
        <v>1</v>
      </c>
      <c r="BB1628" s="52" t="n">
        <f aca="false">IF(CQ1628&gt;0,CQ1628*MAX(1,AZ1628/X1628),IF(BZ1628=1,IF(AZ1628&lt;=0,0,CD1628*MAX(1,IF(H1628&gt;0,AZ1628/H1628,1))),IF(R1628&gt;0,BA1628/R1628,0))/MAX(0.1,N(Parameter!$M$21)))</f>
        <v>0.0384615384615385</v>
      </c>
      <c r="BC1628" s="50" t="n">
        <f aca="false">BB1628*CB1628</f>
        <v>5.96153846153846</v>
      </c>
      <c r="BD1628" s="51" t="n">
        <f aca="false">IF(LEFT(Cockpit!$O$5,1)="A",H1628,IF(CH1628=1,(CK1628+CI1628)/2,IF(LEFT(Cockpit!$O$5,1)="B",(CK1628+BF1628)/2,MAX((CK1628+BF1628)/2,H1628))))</f>
        <v>25</v>
      </c>
      <c r="BE1628" s="50" t="n">
        <f aca="false">BD1628*G1628</f>
        <v>274.75</v>
      </c>
      <c r="BF1628" s="50" t="n">
        <f aca="false">ROUNDUP(CK1628+MAX(CL1628,2*(J1628/IF(CG1628&gt;0,CG1628,MAX(0.1,N(Cockpit!$O$6)))-CK1628)),0)</f>
        <v>50</v>
      </c>
      <c r="BG1628" s="51" t="n">
        <f aca="false">IF(BC1628&gt;0,J1628/BC1628,-1)</f>
        <v>0</v>
      </c>
      <c r="BH1628" s="51" t="n">
        <f aca="false">IF(AND(OR(CF1628="L1",CF1628="L23",CF1628="LIFT"),BC1628&gt;0),SUMIFS($BC$7:$BC$1843,$CF$7:$CF$1843,CF1628,$BG$7:$BG$1843,"&gt;"&amp;BG1628)+SUMIFS($BC$7:$BC$1843,$CF$7:$CF$1843,CF1628,$BG$7:$BG$1843,BG1628,$BW$7:$BW$1843,"&lt;="&amp;BW1628),"")</f>
        <v>31125.6203927899</v>
      </c>
      <c r="BI1628" s="58" t="n">
        <f aca="false">IF(BH1628="",0,MAX(0,MIN(1,(IF(CF1628="L1",Parameter!$H$5,IF(CF1628="L23",Parameter!$H$6+Parameter!$H$7,Parameter!$H$5+Parameter!$H$6+Parameter!$H$7))-(BH1628-BC1628))/BC1628)))</f>
        <v>1</v>
      </c>
      <c r="BJ1628" s="48" t="str">
        <f aca="false">IF(AI1628&lt;=0,"",IF(CF1628="Aussen","Aussenlager",IF(CF1628="-","Nicht im Lift",IF(AO1628&gt;=1,"Lift",IF(AO1628&lt;=0,"Aussenlager","teilweise")))))</f>
        <v>Lift</v>
      </c>
      <c r="BK1628" s="48" t="str">
        <f aca="false">IF(AS1628&lt;=0,"",IF(CF1628="Aussen","Aussenlager",IF(CF1628="-","Nicht im Lift",IF(AY1628&gt;=1,"Lift",IF(AY1628&lt;=0,"Aussenlager","teilweise")))))</f>
        <v>Aussenlager</v>
      </c>
      <c r="BL1628" s="48" t="str">
        <f aca="false">IF(BC1628&lt;=0,"",IF(CF1628="Aussen","Aussenlager",IF(CF1628="-","Nicht im Lift",IF(BI1628&gt;=1,"Lift",IF(BI1628&lt;=0,"Aussenlager","teilweise")))))</f>
        <v>Lift</v>
      </c>
      <c r="BM1628" s="48" t="str">
        <f aca="false">IF(A1628="","",IF(BV1628=1,"Neu; ","")&amp;IF(AND(BV1628=0,BQ1628&lt;0),"negativer Bestand (Export "&amp;BQ1628&amp;"); ","")&amp;IF(J1628&lt;=0,"Kein Verbrauch; ","")&amp;IF(CQ1628&gt;0,"Lift "&amp;W1628&amp;" lt. Liftbericht (Fach "&amp;X1628&amp;" Stk); ",IF(CA1628=1,"Gebinde geschätzt ("&amp;T1628&amp;"); ",IF(BZ1628=1,"Lose – Tablare geschätzt; ","")))&amp;IF(H1628&gt;AV1628,"Überbestand "&amp;ROUND(H1628-AV1628,0)&amp;" Stk / CHF "&amp;ROUND((H1628-AV1628)*G1628,0)&amp;"; ","")&amp;IF(AND(CH1628=1,CI1628&lt;CJ1628),"MAX &lt; MB+LG; ","")&amp;IF(AND(CP1628&gt;0,CO1628*10&gt;CP1628),"zu hoch für Tablar; ","")&amp;IF(AND(BV1628=0,OR(CH1628=1,AA1628&lt;&gt;"",U1628&lt;&gt;"",V1628&lt;&gt;"",AB1628&lt;&gt;"")),"manuell übersteuert; ","")&amp;IF(AND(BZ1628=0,R1628=0),"Gebinde unbekannt / Stellmass fehlt; ","")&amp;IF(AND(BZ1628=0,N(V1628)&lt;=0,N(Q1628)&lt;=0),"Menge pro Gebinde fehlt (Ist = 1 Gebinde); ","")&amp;BU1628)</f>
        <v>Kein Verbrauch; Gebinde geschätzt (Klein); Überbestand 24 Stk / CHF 264; Menge pro Gebinde fehlt (Ist = 1 Gebinde); nur im Artikelstamm (Bestand 23.06.2026)</v>
      </c>
      <c r="BN1628" s="48"/>
      <c r="BO1628" s="48"/>
      <c r="BP1628" s="55"/>
      <c r="BQ1628" s="50" t="n">
        <v>74</v>
      </c>
      <c r="BR1628" s="50" t="n">
        <v>0</v>
      </c>
      <c r="BS1628" s="49" t="n">
        <v>0</v>
      </c>
      <c r="BT1628" s="50" t="n">
        <v>0</v>
      </c>
      <c r="BU1628" s="48" t="s">
        <v>2584</v>
      </c>
      <c r="BV1628" s="53" t="n">
        <v>0</v>
      </c>
      <c r="BW1628" s="53" t="n">
        <v>1628</v>
      </c>
      <c r="BX1628" s="48" t="str">
        <f aca="false">IF(U1628&lt;&gt;"",UPPER(TRIM(U1628)),IF(CA1628=1,UPPER(VLOOKUP(T1628,Parameter!$I$27:$K$29,2,0)),IF(P1628="","LOSE",P1628)))</f>
        <v>S51</v>
      </c>
      <c r="BY1628" s="50" t="n">
        <f aca="false">IF(BX1628="LOSE",1,IF(N(V1628)&gt;0,V1628,IF(CA1628=1,MAX(1,N(VLOOKUP(T1628,Parameter!$I$27:$K$29,3,0)),H1628,N(N1628)),IF(N(Q1628)&gt;0,Q1628,MAX(1,H1628)))))</f>
        <v>74</v>
      </c>
      <c r="BZ1628" s="53" t="n">
        <f aca="false">IF(BX1628="LOSE",1,0)</f>
        <v>0</v>
      </c>
      <c r="CA1628" s="53" t="n">
        <f aca="false">IF(AND(U1628="",OR(P1628="",P1628="LOSE"),T1628&lt;&gt;"",N(S1628)&lt;=0,ISNUMBER(MATCH(T1628,Parameter!$I$27:$I$29,0))),1,0)</f>
        <v>1</v>
      </c>
      <c r="CB1628" s="53" t="n">
        <f aca="false">IF(CQ1628&gt;0,INDEX(Parameter!$H$5:$H$7,W1628)/INDEX(Parameter!$E$5:$E$7,W1628),IF(AND(BZ1628=0,N(IFERROR(VLOOKUP(BX1628,'Gebinde-Kategorie'!$A$5:$N$45,14,0),0))&gt;0),VLOOKUP(BX1628,'Gebinde-Kategorie'!$A$5:$N$45,14,0)*10+Parameter!$M$23,Parameter!$M$24))</f>
        <v>155</v>
      </c>
      <c r="CC1628" s="48" t="str">
        <f aca="false">IF(AND(Parameter!$B$19="Ja",E1628&lt;&gt;"",ISNUMBER(MATCH(E1628,Parameter!$I$35:$I$52,0))),VLOOKUP(E1628,Parameter!$I$35:$J$52,2,0),IFERROR(VLOOKUP(D1628,Parameter!$A$35:$C$64,2,0),"Nein"))</f>
        <v>2+3</v>
      </c>
      <c r="CD1628" s="52" t="n">
        <f aca="false">IF(BZ1628=0,0,IF(N(S1628)&gt;0,S1628,IFERROR(VLOOKUP(D1628,Parameter!$A$35:$C$64,3,0)+0,0)))</f>
        <v>0</v>
      </c>
      <c r="CE1628" s="48" t="n">
        <f aca="false">IF(AA1628&lt;&gt;"",AA1628,Z1628)</f>
        <v>3</v>
      </c>
      <c r="CF1628" s="48" t="str">
        <f aca="false">IF(OR(CE1628=1,CE1628=2,CE1628=3),IF(Parameter!$E$27="Ja","LIFT",IF(CE1628=1,"L1","L23")),IF(CE1628="Aussen","Aussen","-"))</f>
        <v>LIFT</v>
      </c>
      <c r="CG1628" s="59" t="n">
        <f aca="false">IF(N(AB1628)&gt;0,AB1628,0)</f>
        <v>0</v>
      </c>
      <c r="CH1628" s="53" t="n">
        <f aca="false">IF(ISNUMBER(AE1628),1,0)</f>
        <v>0</v>
      </c>
      <c r="CI1628" s="50" t="n">
        <f aca="false">N(AE1628)</f>
        <v>0</v>
      </c>
      <c r="CJ1628" s="50" t="n">
        <f aca="false">N(M1628)+N(N1628)</f>
        <v>50</v>
      </c>
      <c r="CK1628" s="50" t="n">
        <f aca="false">N(M1628)</f>
        <v>0</v>
      </c>
      <c r="CL1628" s="50" t="n">
        <f aca="false">N(N1628)</f>
        <v>50</v>
      </c>
      <c r="CM1628" s="50" t="n">
        <f aca="false">ROUNDUP(H1628/BY1628,0)</f>
        <v>1</v>
      </c>
      <c r="CN1628" s="50" t="n">
        <f aca="false">ROUNDUP(CI1628/BY1628,0)</f>
        <v>0</v>
      </c>
      <c r="CO1628" s="53" t="n">
        <f aca="false">IF(BZ1628=1,0,IFERROR(VLOOKUP(BX1628,'Gebinde-Kategorie'!$A$5:$N$45,5,0)+0,0))</f>
        <v>11</v>
      </c>
      <c r="CP1628" s="53" t="n">
        <f aca="false">IFERROR(IF(OR(CE1628=1,CE1628=2,CE1628=3),N(INDEX(Parameter!$I$5:$I$7,CE1628)),0),0)</f>
        <v>0</v>
      </c>
      <c r="CQ1628" s="52" t="n">
        <f aca="false">IF(AND(Parameter!$B$21="Ja",ISNUMBER(W1628),N(X1628)&gt;0),IFERROR(N(INDEX(Parameter!$L$5:$L$7,W1628))*INDEX(Parameter!$E$5:$E$7,W1628)*X1628/SUMIFS($X$7:$X$1843,$W$7:$W$1843,W1628),0),0)</f>
        <v>0</v>
      </c>
    </row>
    <row r="1629" customFormat="false" ht="15" hidden="false" customHeight="false" outlineLevel="0" collapsed="false">
      <c r="A1629" s="48" t="s">
        <v>2843</v>
      </c>
      <c r="B1629" s="48" t="s">
        <v>2844</v>
      </c>
      <c r="C1629" s="48" t="s">
        <v>173</v>
      </c>
      <c r="D1629" s="48" t="s">
        <v>182</v>
      </c>
      <c r="E1629" s="48" t="s">
        <v>182</v>
      </c>
      <c r="F1629" s="48"/>
      <c r="G1629" s="49" t="n">
        <v>960</v>
      </c>
      <c r="H1629" s="50" t="n">
        <f aca="false">MAX(0,IF(AND(Parameter!$B$21="Ja",ISNUMBER(Y1629)),Y1629,IF(Parameter!$B$20="Jahresanfang 2025 + Export",BR1629+BQ1629,BQ1629)))</f>
        <v>7</v>
      </c>
      <c r="I1629" s="50" t="n">
        <f aca="false">H1629*G1629</f>
        <v>6720</v>
      </c>
      <c r="J1629" s="50" t="n">
        <f aca="false">BT1629*Parameter!$B$18</f>
        <v>0</v>
      </c>
      <c r="K1629" s="51"/>
      <c r="L1629" s="52"/>
      <c r="M1629" s="50" t="n">
        <v>0</v>
      </c>
      <c r="N1629" s="50" t="n">
        <v>3</v>
      </c>
      <c r="O1629" s="53" t="n">
        <v>28</v>
      </c>
      <c r="P1629" s="48" t="s">
        <v>177</v>
      </c>
      <c r="Q1629" s="50"/>
      <c r="R1629" s="53" t="n">
        <f aca="false">IF(BZ1629=1,0,IFERROR(VLOOKUP(BX1629,'Gebinde-Kategorie'!$A$5:$N$45,13,0)+0,0))</f>
        <v>4</v>
      </c>
      <c r="S1629" s="54"/>
      <c r="T1629" s="55" t="s">
        <v>198</v>
      </c>
      <c r="U1629" s="55"/>
      <c r="V1629" s="55"/>
      <c r="W1629" s="48"/>
      <c r="X1629" s="50"/>
      <c r="Y1629" s="50"/>
      <c r="Z1629" s="48" t="str">
        <f aca="false">IF(A1629="","",IF(AND(Parameter!$B$21="Ja",ISNUMBER(W1629)),W1629,IF(CC1629="2+3",IF(ISNUMBER(SEARCH("grosser Artikel",BU1629)),2,IFERROR(VLOOKUP(BX1629,Parameter!$F$35:$G$64,2,0),2)),IF(OR(CC1629="Nein",CC1629=""),"-",CC1629))))</f>
        <v>-</v>
      </c>
      <c r="AA1629" s="55"/>
      <c r="AB1629" s="56"/>
      <c r="AC1629" s="50" t="n">
        <f aca="false">AV1629</f>
        <v>3</v>
      </c>
      <c r="AD1629" s="50" t="n">
        <f aca="false">MAX(AV1629,H1629)</f>
        <v>7</v>
      </c>
      <c r="AE1629" s="57"/>
      <c r="AF1629" s="50" t="n">
        <f aca="false">IF(LEFT(Cockpit!$C$5,1)="A",H1629,IF(Parameter!$E$30="MAX-Bestand",IF(CH1629=1,CI1629,IF(LEFT(Cockpit!$C$5,1)="B",AL1629,MAX(AL1629,H1629))),ROUNDUP(AJ1629,0)))</f>
        <v>7</v>
      </c>
      <c r="AG1629" s="50" t="n">
        <f aca="false">IF(BZ1629=1,0,ROUNDUP(AF1629/BY1629,0))</f>
        <v>1</v>
      </c>
      <c r="AH1629" s="52" t="n">
        <f aca="false">IF(CQ1629&gt;0,CQ1629*MAX(1,AF1629/X1629),IF(BZ1629=1,IF(AF1629&lt;=0,0,CD1629*MAX(1,IF(H1629&gt;0,AF1629/H1629,1))),IF(R1629&gt;0,AG1629/R1629,0))/MAX(0.1,N(Parameter!$M$21)))</f>
        <v>0.25</v>
      </c>
      <c r="AI1629" s="50" t="n">
        <f aca="false">AH1629*CB1629</f>
        <v>58.75</v>
      </c>
      <c r="AJ1629" s="51" t="n">
        <f aca="false">IF(LEFT(Cockpit!$C$5,1)="A",H1629,IF(CH1629=1,(CK1629+CI1629)/2,IF(LEFT(Cockpit!$C$5,1)="B",(CK1629+AL1629)/2,MAX((CK1629+AL1629)/2,H1629))))</f>
        <v>7</v>
      </c>
      <c r="AK1629" s="50" t="n">
        <f aca="false">AJ1629*G1629</f>
        <v>6720</v>
      </c>
      <c r="AL1629" s="50" t="n">
        <f aca="false">ROUNDUP(CK1629+MAX(CL1629,2*(J1629/IF(CG1629&gt;0,CG1629,MAX(0.1,N(Cockpit!$C$6)))-CK1629)),0)</f>
        <v>3</v>
      </c>
      <c r="AM1629" s="51" t="n">
        <f aca="false">IF(AI1629&gt;0,J1629/AI1629,-1)</f>
        <v>0</v>
      </c>
      <c r="AN1629" s="51" t="str">
        <f aca="false">IF(AND(OR(CF1629="L1",CF1629="L23",CF1629="LIFT"),AI1629&gt;0),SUMIFS($AI$7:$AI$1843,$CF$7:$CF$1843,CF1629,$AM$7:$AM$1843,"&gt;"&amp;AM1629)+SUMIFS($AI$7:$AI$1843,$CF$7:$CF$1843,CF1629,$AM$7:$AM$1843,AM1629,$BW$7:$BW$1843,"&lt;="&amp;BW1629),"")</f>
        <v/>
      </c>
      <c r="AO1629" s="58" t="n">
        <f aca="false">IF(AN1629="",0,MAX(0,MIN(1,(IF(CF1629="L1",Parameter!$H$5,IF(CF1629="L23",Parameter!$H$6+Parameter!$H$7,Parameter!$H$5+Parameter!$H$6+Parameter!$H$7))-(AN1629-AI1629))/AI1629)))</f>
        <v>0</v>
      </c>
      <c r="AP1629" s="50" t="n">
        <f aca="false">IF(LEFT(Cockpit!$I$5,1)="A",H1629,IF(Parameter!$E$30="MAX-Bestand",IF(CH1629=1,CI1629,IF(LEFT(Cockpit!$I$5,1)="B",AV1629,MAX(AV1629,H1629))),ROUNDUP(AT1629,0)))</f>
        <v>7</v>
      </c>
      <c r="AQ1629" s="50" t="n">
        <f aca="false">IF(BZ1629=1,0,ROUNDUP(AP1629/BY1629,0))</f>
        <v>1</v>
      </c>
      <c r="AR1629" s="52" t="n">
        <f aca="false">IF(CQ1629&gt;0,CQ1629*MAX(1,AP1629/X1629),IF(BZ1629=1,IF(AP1629&lt;=0,0,CD1629*MAX(1,IF(H1629&gt;0,AP1629/H1629,1))),IF(R1629&gt;0,AQ1629/R1629,0))/MAX(0.1,N(Parameter!$M$21)))</f>
        <v>0.25</v>
      </c>
      <c r="AS1629" s="50" t="n">
        <f aca="false">AR1629*CB1629</f>
        <v>58.75</v>
      </c>
      <c r="AT1629" s="51" t="n">
        <f aca="false">IF(LEFT(Cockpit!$I$5,1)="A",H1629,IF(CH1629=1,(CK1629+CI1629)/2,IF(LEFT(Cockpit!$I$5,1)="B",(CK1629+AV1629)/2,MAX((CK1629+AV1629)/2,H1629))))</f>
        <v>7</v>
      </c>
      <c r="AU1629" s="50" t="n">
        <f aca="false">AT1629*G1629</f>
        <v>6720</v>
      </c>
      <c r="AV1629" s="50" t="n">
        <f aca="false">ROUNDUP(CK1629+MAX(CL1629,2*(J1629/IF(CG1629&gt;0,CG1629,MAX(0.1,N(Cockpit!$I$6)))-CK1629)),0)</f>
        <v>3</v>
      </c>
      <c r="AW1629" s="51" t="n">
        <f aca="false">IF(AS1629&gt;0,J1629/AS1629,-1)</f>
        <v>0</v>
      </c>
      <c r="AX1629" s="51" t="str">
        <f aca="false">IF(AND(OR(CF1629="L1",CF1629="L23",CF1629="LIFT"),AS1629&gt;0),SUMIFS($AS$7:$AS$1843,$CF$7:$CF$1843,CF1629,$AW$7:$AW$1843,"&gt;"&amp;AW1629)+SUMIFS($AS$7:$AS$1843,$CF$7:$CF$1843,CF1629,$AW$7:$AW$1843,AW1629,$BW$7:$BW$1843,"&lt;="&amp;BW1629),"")</f>
        <v/>
      </c>
      <c r="AY1629" s="58" t="n">
        <f aca="false">IF(AX1629="",0,MAX(0,MIN(1,(IF(CF1629="L1",Parameter!$H$5,IF(CF1629="L23",Parameter!$H$6+Parameter!$H$7,Parameter!$H$5+Parameter!$H$6+Parameter!$H$7))-(AX1629-AS1629))/AS1629)))</f>
        <v>0</v>
      </c>
      <c r="AZ1629" s="50" t="n">
        <f aca="false">IF(LEFT(Cockpit!$O$5,1)="A",H1629,IF(Parameter!$E$30="MAX-Bestand",IF(CH1629=1,CI1629,IF(LEFT(Cockpit!$O$5,1)="B",BF1629,MAX(BF1629,H1629))),ROUNDUP(BD1629,0)))</f>
        <v>2</v>
      </c>
      <c r="BA1629" s="50" t="n">
        <f aca="false">IF(BZ1629=1,0,ROUNDUP(AZ1629/BY1629,0))</f>
        <v>1</v>
      </c>
      <c r="BB1629" s="52" t="n">
        <f aca="false">IF(CQ1629&gt;0,CQ1629*MAX(1,AZ1629/X1629),IF(BZ1629=1,IF(AZ1629&lt;=0,0,CD1629*MAX(1,IF(H1629&gt;0,AZ1629/H1629,1))),IF(R1629&gt;0,BA1629/R1629,0))/MAX(0.1,N(Parameter!$M$21)))</f>
        <v>0.25</v>
      </c>
      <c r="BC1629" s="50" t="n">
        <f aca="false">BB1629*CB1629</f>
        <v>58.75</v>
      </c>
      <c r="BD1629" s="51" t="n">
        <f aca="false">IF(LEFT(Cockpit!$O$5,1)="A",H1629,IF(CH1629=1,(CK1629+CI1629)/2,IF(LEFT(Cockpit!$O$5,1)="B",(CK1629+BF1629)/2,MAX((CK1629+BF1629)/2,H1629))))</f>
        <v>1.5</v>
      </c>
      <c r="BE1629" s="50" t="n">
        <f aca="false">BD1629*G1629</f>
        <v>1440</v>
      </c>
      <c r="BF1629" s="50" t="n">
        <f aca="false">ROUNDUP(CK1629+MAX(CL1629,2*(J1629/IF(CG1629&gt;0,CG1629,MAX(0.1,N(Cockpit!$O$6)))-CK1629)),0)</f>
        <v>3</v>
      </c>
      <c r="BG1629" s="51" t="n">
        <f aca="false">IF(BC1629&gt;0,J1629/BC1629,-1)</f>
        <v>0</v>
      </c>
      <c r="BH1629" s="51" t="str">
        <f aca="false">IF(AND(OR(CF1629="L1",CF1629="L23",CF1629="LIFT"),BC1629&gt;0),SUMIFS($BC$7:$BC$1843,$CF$7:$CF$1843,CF1629,$BG$7:$BG$1843,"&gt;"&amp;BG1629)+SUMIFS($BC$7:$BC$1843,$CF$7:$CF$1843,CF1629,$BG$7:$BG$1843,BG1629,$BW$7:$BW$1843,"&lt;="&amp;BW1629),"")</f>
        <v/>
      </c>
      <c r="BI1629" s="58" t="n">
        <f aca="false">IF(BH1629="",0,MAX(0,MIN(1,(IF(CF1629="L1",Parameter!$H$5,IF(CF1629="L23",Parameter!$H$6+Parameter!$H$7,Parameter!$H$5+Parameter!$H$6+Parameter!$H$7))-(BH1629-BC1629))/BC1629)))</f>
        <v>0</v>
      </c>
      <c r="BJ1629" s="48" t="str">
        <f aca="false">IF(AI1629&lt;=0,"",IF(CF1629="Aussen","Aussenlager",IF(CF1629="-","Nicht im Lift",IF(AO1629&gt;=1,"Lift",IF(AO1629&lt;=0,"Aussenlager","teilweise")))))</f>
        <v>Nicht im Lift</v>
      </c>
      <c r="BK1629" s="48" t="str">
        <f aca="false">IF(AS1629&lt;=0,"",IF(CF1629="Aussen","Aussenlager",IF(CF1629="-","Nicht im Lift",IF(AY1629&gt;=1,"Lift",IF(AY1629&lt;=0,"Aussenlager","teilweise")))))</f>
        <v>Nicht im Lift</v>
      </c>
      <c r="BL1629" s="48" t="str">
        <f aca="false">IF(BC1629&lt;=0,"",IF(CF1629="Aussen","Aussenlager",IF(CF1629="-","Nicht im Lift",IF(BI1629&gt;=1,"Lift",IF(BI1629&lt;=0,"Aussenlager","teilweise")))))</f>
        <v>Nicht im Lift</v>
      </c>
      <c r="BM1629" s="48" t="str">
        <f aca="false">IF(A1629="","",IF(BV1629=1,"Neu; ","")&amp;IF(AND(BV1629=0,BQ1629&lt;0),"negativer Bestand (Export "&amp;BQ1629&amp;"); ","")&amp;IF(J1629&lt;=0,"Kein Verbrauch; ","")&amp;IF(CQ1629&gt;0,"Lift "&amp;W1629&amp;" lt. Liftbericht (Fach "&amp;X1629&amp;" Stk); ",IF(CA1629=1,"Gebinde geschätzt ("&amp;T1629&amp;"); ",IF(BZ1629=1,"Lose – Tablare geschätzt; ","")))&amp;IF(H1629&gt;AV1629,"Überbestand "&amp;ROUND(H1629-AV1629,0)&amp;" Stk / CHF "&amp;ROUND((H1629-AV1629)*G1629,0)&amp;"; ","")&amp;IF(AND(CH1629=1,CI1629&lt;CJ1629),"MAX &lt; MB+LG; ","")&amp;IF(AND(CP1629&gt;0,CO1629*10&gt;CP1629),"zu hoch für Tablar; ","")&amp;IF(AND(BV1629=0,OR(CH1629=1,AA1629&lt;&gt;"",U1629&lt;&gt;"",V1629&lt;&gt;"",AB1629&lt;&gt;"")),"manuell übersteuert; ","")&amp;IF(AND(BZ1629=0,R1629=0),"Gebinde unbekannt / Stellmass fehlt; ","")&amp;IF(AND(BZ1629=0,N(V1629)&lt;=0,N(Q1629)&lt;=0),"Menge pro Gebinde fehlt (Ist = 1 Gebinde); ","")&amp;BU1629)</f>
        <v>Kein Verbrauch; Gebinde geschätzt (Gross); Überbestand 4 Stk / CHF 3840; Menge pro Gebinde fehlt (Ist = 1 Gebinde); nur im Artikelstamm (Bestand 23.06.2026)</v>
      </c>
      <c r="BN1629" s="48"/>
      <c r="BO1629" s="48"/>
      <c r="BP1629" s="55"/>
      <c r="BQ1629" s="50" t="n">
        <v>7</v>
      </c>
      <c r="BR1629" s="50" t="n">
        <v>0</v>
      </c>
      <c r="BS1629" s="49" t="n">
        <v>0</v>
      </c>
      <c r="BT1629" s="50" t="n">
        <v>0</v>
      </c>
      <c r="BU1629" s="48" t="s">
        <v>2584</v>
      </c>
      <c r="BV1629" s="53" t="n">
        <v>0</v>
      </c>
      <c r="BW1629" s="53" t="n">
        <v>1629</v>
      </c>
      <c r="BX1629" s="48" t="str">
        <f aca="false">IF(U1629&lt;&gt;"",UPPER(TRIM(U1629)),IF(CA1629=1,UPPER(VLOOKUP(T1629,Parameter!$I$27:$K$29,2,0)),IF(P1629="","LOSE",P1629)))</f>
        <v>S81</v>
      </c>
      <c r="BY1629" s="50" t="n">
        <f aca="false">IF(BX1629="LOSE",1,IF(N(V1629)&gt;0,V1629,IF(CA1629=1,MAX(1,N(VLOOKUP(T1629,Parameter!$I$27:$K$29,3,0)),H1629,N(N1629)),IF(N(Q1629)&gt;0,Q1629,MAX(1,H1629)))))</f>
        <v>7</v>
      </c>
      <c r="BZ1629" s="53" t="n">
        <f aca="false">IF(BX1629="LOSE",1,0)</f>
        <v>0</v>
      </c>
      <c r="CA1629" s="53" t="n">
        <f aca="false">IF(AND(U1629="",OR(P1629="",P1629="LOSE"),T1629&lt;&gt;"",N(S1629)&lt;=0,ISNUMBER(MATCH(T1629,Parameter!$I$27:$I$29,0))),1,0)</f>
        <v>1</v>
      </c>
      <c r="CB1629" s="53" t="n">
        <f aca="false">IF(CQ1629&gt;0,INDEX(Parameter!$H$5:$H$7,W1629)/INDEX(Parameter!$E$5:$E$7,W1629),IF(AND(BZ1629=0,N(IFERROR(VLOOKUP(BX1629,'Gebinde-Kategorie'!$A$5:$N$45,14,0),0))&gt;0),VLOOKUP(BX1629,'Gebinde-Kategorie'!$A$5:$N$45,14,0)*10+Parameter!$M$23,Parameter!$M$24))</f>
        <v>235</v>
      </c>
      <c r="CC1629" s="48" t="str">
        <f aca="false">IF(AND(Parameter!$B$19="Ja",E1629&lt;&gt;"",ISNUMBER(MATCH(E1629,Parameter!$I$35:$I$52,0))),VLOOKUP(E1629,Parameter!$I$35:$J$52,2,0),IFERROR(VLOOKUP(D1629,Parameter!$A$35:$C$64,2,0),"Nein"))</f>
        <v>Nein</v>
      </c>
      <c r="CD1629" s="52" t="n">
        <f aca="false">IF(BZ1629=0,0,IF(N(S1629)&gt;0,S1629,IFERROR(VLOOKUP(D1629,Parameter!$A$35:$C$64,3,0)+0,0)))</f>
        <v>0</v>
      </c>
      <c r="CE1629" s="48" t="str">
        <f aca="false">IF(AA1629&lt;&gt;"",AA1629,Z1629)</f>
        <v>-</v>
      </c>
      <c r="CF1629" s="48" t="str">
        <f aca="false">IF(OR(CE1629=1,CE1629=2,CE1629=3),IF(Parameter!$E$27="Ja","LIFT",IF(CE1629=1,"L1","L23")),IF(CE1629="Aussen","Aussen","-"))</f>
        <v>-</v>
      </c>
      <c r="CG1629" s="59" t="n">
        <f aca="false">IF(N(AB1629)&gt;0,AB1629,0)</f>
        <v>0</v>
      </c>
      <c r="CH1629" s="53" t="n">
        <f aca="false">IF(ISNUMBER(AE1629),1,0)</f>
        <v>0</v>
      </c>
      <c r="CI1629" s="50" t="n">
        <f aca="false">N(AE1629)</f>
        <v>0</v>
      </c>
      <c r="CJ1629" s="50" t="n">
        <f aca="false">N(M1629)+N(N1629)</f>
        <v>3</v>
      </c>
      <c r="CK1629" s="50" t="n">
        <f aca="false">N(M1629)</f>
        <v>0</v>
      </c>
      <c r="CL1629" s="50" t="n">
        <f aca="false">N(N1629)</f>
        <v>3</v>
      </c>
      <c r="CM1629" s="50" t="n">
        <f aca="false">ROUNDUP(H1629/BY1629,0)</f>
        <v>1</v>
      </c>
      <c r="CN1629" s="50" t="n">
        <f aca="false">ROUNDUP(CI1629/BY1629,0)</f>
        <v>0</v>
      </c>
      <c r="CO1629" s="53" t="n">
        <f aca="false">IF(BZ1629=1,0,IFERROR(VLOOKUP(BX1629,'Gebinde-Kategorie'!$A$5:$N$45,5,0)+0,0))</f>
        <v>20</v>
      </c>
      <c r="CP1629" s="53" t="n">
        <f aca="false">IFERROR(IF(OR(CE1629=1,CE1629=2,CE1629=3),N(INDEX(Parameter!$I$5:$I$7,CE1629)),0),0)</f>
        <v>0</v>
      </c>
      <c r="CQ1629" s="52" t="n">
        <f aca="false">IF(AND(Parameter!$B$21="Ja",ISNUMBER(W1629),N(X1629)&gt;0),IFERROR(N(INDEX(Parameter!$L$5:$L$7,W1629))*INDEX(Parameter!$E$5:$E$7,W1629)*X1629/SUMIFS($X$7:$X$1843,$W$7:$W$1843,W1629),0),0)</f>
        <v>0</v>
      </c>
    </row>
    <row r="1630" customFormat="false" ht="15" hidden="false" customHeight="false" outlineLevel="0" collapsed="false">
      <c r="A1630" s="48" t="s">
        <v>2845</v>
      </c>
      <c r="B1630" s="48" t="s">
        <v>2846</v>
      </c>
      <c r="C1630" s="48" t="s">
        <v>465</v>
      </c>
      <c r="D1630" s="48" t="s">
        <v>182</v>
      </c>
      <c r="E1630" s="48"/>
      <c r="F1630" s="48"/>
      <c r="G1630" s="49" t="n">
        <v>918.55</v>
      </c>
      <c r="H1630" s="50" t="n">
        <f aca="false">MAX(0,IF(AND(Parameter!$B$21="Ja",ISNUMBER(Y1630)),Y1630,IF(Parameter!$B$20="Jahresanfang 2025 + Export",BR1630+BQ1630,BQ1630)))</f>
        <v>4</v>
      </c>
      <c r="I1630" s="50" t="n">
        <f aca="false">H1630*G1630</f>
        <v>3674.2</v>
      </c>
      <c r="J1630" s="50" t="n">
        <f aca="false">BT1630*Parameter!$B$18</f>
        <v>0</v>
      </c>
      <c r="K1630" s="51"/>
      <c r="L1630" s="52"/>
      <c r="M1630" s="50" t="n">
        <v>0</v>
      </c>
      <c r="N1630" s="50" t="n">
        <v>4</v>
      </c>
      <c r="O1630" s="53" t="n">
        <v>84</v>
      </c>
      <c r="P1630" s="48" t="s">
        <v>177</v>
      </c>
      <c r="Q1630" s="50"/>
      <c r="R1630" s="53" t="n">
        <f aca="false">IF(BZ1630=1,0,IFERROR(VLOOKUP(BX1630,'Gebinde-Kategorie'!$A$5:$N$45,13,0)+0,0))</f>
        <v>12</v>
      </c>
      <c r="S1630" s="54"/>
      <c r="T1630" s="55" t="s">
        <v>188</v>
      </c>
      <c r="U1630" s="55"/>
      <c r="V1630" s="55"/>
      <c r="W1630" s="48"/>
      <c r="X1630" s="50"/>
      <c r="Y1630" s="50"/>
      <c r="Z1630" s="48" t="n">
        <f aca="false">IF(A1630="","",IF(AND(Parameter!$B$21="Ja",ISNUMBER(W1630)),W1630,IF(CC1630="2+3",IF(ISNUMBER(SEARCH("grosser Artikel",BU1630)),2,IFERROR(VLOOKUP(BX1630,Parameter!$F$35:$G$64,2,0),2)),IF(OR(CC1630="Nein",CC1630=""),"-",CC1630))))</f>
        <v>2</v>
      </c>
      <c r="AA1630" s="55"/>
      <c r="AB1630" s="56"/>
      <c r="AC1630" s="50" t="n">
        <f aca="false">AV1630</f>
        <v>4</v>
      </c>
      <c r="AD1630" s="50" t="n">
        <f aca="false">MAX(AV1630,H1630)</f>
        <v>4</v>
      </c>
      <c r="AE1630" s="57"/>
      <c r="AF1630" s="50" t="n">
        <f aca="false">IF(LEFT(Cockpit!$C$5,1)="A",H1630,IF(Parameter!$E$30="MAX-Bestand",IF(CH1630=1,CI1630,IF(LEFT(Cockpit!$C$5,1)="B",AL1630,MAX(AL1630,H1630))),ROUNDUP(AJ1630,0)))</f>
        <v>4</v>
      </c>
      <c r="AG1630" s="50" t="n">
        <f aca="false">IF(BZ1630=1,0,ROUNDUP(AF1630/BY1630,0))</f>
        <v>1</v>
      </c>
      <c r="AH1630" s="52" t="n">
        <f aca="false">IF(CQ1630&gt;0,CQ1630*MAX(1,AF1630/X1630),IF(BZ1630=1,IF(AF1630&lt;=0,0,CD1630*MAX(1,IF(H1630&gt;0,AF1630/H1630,1))),IF(R1630&gt;0,AG1630/R1630,0))/MAX(0.1,N(Parameter!$M$21)))</f>
        <v>0.0833333333333333</v>
      </c>
      <c r="AI1630" s="50" t="n">
        <f aca="false">AH1630*CB1630</f>
        <v>12.0833333333333</v>
      </c>
      <c r="AJ1630" s="51" t="n">
        <f aca="false">IF(LEFT(Cockpit!$C$5,1)="A",H1630,IF(CH1630=1,(CK1630+CI1630)/2,IF(LEFT(Cockpit!$C$5,1)="B",(CK1630+AL1630)/2,MAX((CK1630+AL1630)/2,H1630))))</f>
        <v>4</v>
      </c>
      <c r="AK1630" s="50" t="n">
        <f aca="false">AJ1630*G1630</f>
        <v>3674.2</v>
      </c>
      <c r="AL1630" s="50" t="n">
        <f aca="false">ROUNDUP(CK1630+MAX(CL1630,2*(J1630/IF(CG1630&gt;0,CG1630,MAX(0.1,N(Cockpit!$C$6)))-CK1630)),0)</f>
        <v>4</v>
      </c>
      <c r="AM1630" s="51" t="n">
        <f aca="false">IF(AI1630&gt;0,J1630/AI1630,-1)</f>
        <v>0</v>
      </c>
      <c r="AN1630" s="51" t="n">
        <f aca="false">IF(AND(OR(CF1630="L1",CF1630="L23",CF1630="LIFT"),AI1630&gt;0),SUMIFS($AI$7:$AI$1843,$CF$7:$CF$1843,CF1630,$AM$7:$AM$1843,"&gt;"&amp;AM1630)+SUMIFS($AI$7:$AI$1843,$CF$7:$CF$1843,CF1630,$AM$7:$AM$1843,AM1630,$BW$7:$BW$1843,"&lt;="&amp;BW1630),"")</f>
        <v>30908.4059337555</v>
      </c>
      <c r="AO1630" s="58" t="n">
        <f aca="false">IF(AN1630="",0,MAX(0,MIN(1,(IF(CF1630="L1",Parameter!$H$5,IF(CF1630="L23",Parameter!$H$6+Parameter!$H$7,Parameter!$H$5+Parameter!$H$6+Parameter!$H$7))-(AN1630-AI1630))/AI1630)))</f>
        <v>1</v>
      </c>
      <c r="AP1630" s="50" t="n">
        <f aca="false">IF(LEFT(Cockpit!$I$5,1)="A",H1630,IF(Parameter!$E$30="MAX-Bestand",IF(CH1630=1,CI1630,IF(LEFT(Cockpit!$I$5,1)="B",AV1630,MAX(AV1630,H1630))),ROUNDUP(AT1630,0)))</f>
        <v>4</v>
      </c>
      <c r="AQ1630" s="50" t="n">
        <f aca="false">IF(BZ1630=1,0,ROUNDUP(AP1630/BY1630,0))</f>
        <v>1</v>
      </c>
      <c r="AR1630" s="52" t="n">
        <f aca="false">IF(CQ1630&gt;0,CQ1630*MAX(1,AP1630/X1630),IF(BZ1630=1,IF(AP1630&lt;=0,0,CD1630*MAX(1,IF(H1630&gt;0,AP1630/H1630,1))),IF(R1630&gt;0,AQ1630/R1630,0))/MAX(0.1,N(Parameter!$M$21)))</f>
        <v>0.0833333333333333</v>
      </c>
      <c r="AS1630" s="50" t="n">
        <f aca="false">AR1630*CB1630</f>
        <v>12.0833333333333</v>
      </c>
      <c r="AT1630" s="51" t="n">
        <f aca="false">IF(LEFT(Cockpit!$I$5,1)="A",H1630,IF(CH1630=1,(CK1630+CI1630)/2,IF(LEFT(Cockpit!$I$5,1)="B",(CK1630+AV1630)/2,MAX((CK1630+AV1630)/2,H1630))))</f>
        <v>4</v>
      </c>
      <c r="AU1630" s="50" t="n">
        <f aca="false">AT1630*G1630</f>
        <v>3674.2</v>
      </c>
      <c r="AV1630" s="50" t="n">
        <f aca="false">ROUNDUP(CK1630+MAX(CL1630,2*(J1630/IF(CG1630&gt;0,CG1630,MAX(0.1,N(Cockpit!$I$6)))-CK1630)),0)</f>
        <v>4</v>
      </c>
      <c r="AW1630" s="51" t="n">
        <f aca="false">IF(AS1630&gt;0,J1630/AS1630,-1)</f>
        <v>0</v>
      </c>
      <c r="AX1630" s="51" t="n">
        <f aca="false">IF(AND(OR(CF1630="L1",CF1630="L23",CF1630="LIFT"),AS1630&gt;0),SUMIFS($AS$7:$AS$1843,$CF$7:$CF$1843,CF1630,$AW$7:$AW$1843,"&gt;"&amp;AW1630)+SUMIFS($AS$7:$AS$1843,$CF$7:$CF$1843,CF1630,$AW$7:$AW$1843,AW1630,$BW$7:$BW$1843,"&lt;="&amp;BW1630),"")</f>
        <v>37228.2624505908</v>
      </c>
      <c r="AY1630" s="58" t="n">
        <f aca="false">IF(AX1630="",0,MAX(0,MIN(1,(IF(CF1630="L1",Parameter!$H$5,IF(CF1630="L23",Parameter!$H$6+Parameter!$H$7,Parameter!$H$5+Parameter!$H$6+Parameter!$H$7))-(AX1630-AS1630))/AS1630)))</f>
        <v>0</v>
      </c>
      <c r="AZ1630" s="50" t="n">
        <f aca="false">IF(LEFT(Cockpit!$O$5,1)="A",H1630,IF(Parameter!$E$30="MAX-Bestand",IF(CH1630=1,CI1630,IF(LEFT(Cockpit!$O$5,1)="B",BF1630,MAX(BF1630,H1630))),ROUNDUP(BD1630,0)))</f>
        <v>2</v>
      </c>
      <c r="BA1630" s="50" t="n">
        <f aca="false">IF(BZ1630=1,0,ROUNDUP(AZ1630/BY1630,0))</f>
        <v>1</v>
      </c>
      <c r="BB1630" s="52" t="n">
        <f aca="false">IF(CQ1630&gt;0,CQ1630*MAX(1,AZ1630/X1630),IF(BZ1630=1,IF(AZ1630&lt;=0,0,CD1630*MAX(1,IF(H1630&gt;0,AZ1630/H1630,1))),IF(R1630&gt;0,BA1630/R1630,0))/MAX(0.1,N(Parameter!$M$21)))</f>
        <v>0.0833333333333333</v>
      </c>
      <c r="BC1630" s="50" t="n">
        <f aca="false">BB1630*CB1630</f>
        <v>12.0833333333333</v>
      </c>
      <c r="BD1630" s="51" t="n">
        <f aca="false">IF(LEFT(Cockpit!$O$5,1)="A",H1630,IF(CH1630=1,(CK1630+CI1630)/2,IF(LEFT(Cockpit!$O$5,1)="B",(CK1630+BF1630)/2,MAX((CK1630+BF1630)/2,H1630))))</f>
        <v>2</v>
      </c>
      <c r="BE1630" s="50" t="n">
        <f aca="false">BD1630*G1630</f>
        <v>1837.1</v>
      </c>
      <c r="BF1630" s="50" t="n">
        <f aca="false">ROUNDUP(CK1630+MAX(CL1630,2*(J1630/IF(CG1630&gt;0,CG1630,MAX(0.1,N(Cockpit!$O$6)))-CK1630)),0)</f>
        <v>4</v>
      </c>
      <c r="BG1630" s="51" t="n">
        <f aca="false">IF(BC1630&gt;0,J1630/BC1630,-1)</f>
        <v>0</v>
      </c>
      <c r="BH1630" s="51" t="n">
        <f aca="false">IF(AND(OR(CF1630="L1",CF1630="L23",CF1630="LIFT"),BC1630&gt;0),SUMIFS($BC$7:$BC$1843,$CF$7:$CF$1843,CF1630,$BG$7:$BG$1843,"&gt;"&amp;BG1630)+SUMIFS($BC$7:$BC$1843,$CF$7:$CF$1843,CF1630,$BG$7:$BG$1843,BG1630,$BW$7:$BW$1843,"&lt;="&amp;BW1630),"")</f>
        <v>31137.7037261232</v>
      </c>
      <c r="BI1630" s="58" t="n">
        <f aca="false">IF(BH1630="",0,MAX(0,MIN(1,(IF(CF1630="L1",Parameter!$H$5,IF(CF1630="L23",Parameter!$H$6+Parameter!$H$7,Parameter!$H$5+Parameter!$H$6+Parameter!$H$7))-(BH1630-BC1630))/BC1630)))</f>
        <v>1</v>
      </c>
      <c r="BJ1630" s="48" t="str">
        <f aca="false">IF(AI1630&lt;=0,"",IF(CF1630="Aussen","Aussenlager",IF(CF1630="-","Nicht im Lift",IF(AO1630&gt;=1,"Lift",IF(AO1630&lt;=0,"Aussenlager","teilweise")))))</f>
        <v>Lift</v>
      </c>
      <c r="BK1630" s="48" t="str">
        <f aca="false">IF(AS1630&lt;=0,"",IF(CF1630="Aussen","Aussenlager",IF(CF1630="-","Nicht im Lift",IF(AY1630&gt;=1,"Lift",IF(AY1630&lt;=0,"Aussenlager","teilweise")))))</f>
        <v>Aussenlager</v>
      </c>
      <c r="BL1630" s="48" t="str">
        <f aca="false">IF(BC1630&lt;=0,"",IF(CF1630="Aussen","Aussenlager",IF(CF1630="-","Nicht im Lift",IF(BI1630&gt;=1,"Lift",IF(BI1630&lt;=0,"Aussenlager","teilweise")))))</f>
        <v>Lift</v>
      </c>
      <c r="BM1630" s="48" t="str">
        <f aca="false">IF(A1630="","",IF(BV1630=1,"Neu; ","")&amp;IF(AND(BV1630=0,BQ1630&lt;0),"negativer Bestand (Export "&amp;BQ1630&amp;"); ","")&amp;IF(J1630&lt;=0,"Kein Verbrauch; ","")&amp;IF(CQ1630&gt;0,"Lift "&amp;W1630&amp;" lt. Liftbericht (Fach "&amp;X1630&amp;" Stk); ",IF(CA1630=1,"Gebinde geschätzt ("&amp;T1630&amp;"); ",IF(BZ1630=1,"Lose – Tablare geschätzt; ","")))&amp;IF(H1630&gt;AV1630,"Überbestand "&amp;ROUND(H1630-AV1630,0)&amp;" Stk / CHF "&amp;ROUND((H1630-AV1630)*G1630,0)&amp;"; ","")&amp;IF(AND(CH1630=1,CI1630&lt;CJ1630),"MAX &lt; MB+LG; ","")&amp;IF(AND(CP1630&gt;0,CO1630*10&gt;CP1630),"zu hoch für Tablar; ","")&amp;IF(AND(BV1630=0,OR(CH1630=1,AA1630&lt;&gt;"",U1630&lt;&gt;"",V1630&lt;&gt;"",AB1630&lt;&gt;"")),"manuell übersteuert; ","")&amp;IF(AND(BZ1630=0,R1630=0),"Gebinde unbekannt / Stellmass fehlt; ","")&amp;IF(AND(BZ1630=0,N(V1630)&lt;=0,N(Q1630)&lt;=0),"Menge pro Gebinde fehlt (Ist = 1 Gebinde); ","")&amp;BU1630)</f>
        <v>Kein Verbrauch; Gebinde geschätzt (Mittel); Menge pro Gebinde fehlt (Ist = 1 Gebinde); nur im Artikelstamm (Bestand 23.06.2026)</v>
      </c>
      <c r="BN1630" s="48"/>
      <c r="BO1630" s="48"/>
      <c r="BP1630" s="55"/>
      <c r="BQ1630" s="50" t="n">
        <v>4</v>
      </c>
      <c r="BR1630" s="50" t="n">
        <v>0</v>
      </c>
      <c r="BS1630" s="49" t="n">
        <v>0</v>
      </c>
      <c r="BT1630" s="50" t="n">
        <v>0</v>
      </c>
      <c r="BU1630" s="48" t="s">
        <v>2584</v>
      </c>
      <c r="BV1630" s="53" t="n">
        <v>0</v>
      </c>
      <c r="BW1630" s="53" t="n">
        <v>1630</v>
      </c>
      <c r="BX1630" s="48" t="str">
        <f aca="false">IF(U1630&lt;&gt;"",UPPER(TRIM(U1630)),IF(CA1630=1,UPPER(VLOOKUP(T1630,Parameter!$I$27:$K$29,2,0)),IF(P1630="","LOSE",P1630)))</f>
        <v>S61</v>
      </c>
      <c r="BY1630" s="50" t="n">
        <f aca="false">IF(BX1630="LOSE",1,IF(N(V1630)&gt;0,V1630,IF(CA1630=1,MAX(1,N(VLOOKUP(T1630,Parameter!$I$27:$K$29,3,0)),H1630,N(N1630)),IF(N(Q1630)&gt;0,Q1630,MAX(1,H1630)))))</f>
        <v>4</v>
      </c>
      <c r="BZ1630" s="53" t="n">
        <f aca="false">IF(BX1630="LOSE",1,0)</f>
        <v>0</v>
      </c>
      <c r="CA1630" s="53" t="n">
        <f aca="false">IF(AND(U1630="",OR(P1630="",P1630="LOSE"),T1630&lt;&gt;"",N(S1630)&lt;=0,ISNUMBER(MATCH(T1630,Parameter!$I$27:$I$29,0))),1,0)</f>
        <v>1</v>
      </c>
      <c r="CB1630" s="53" t="n">
        <f aca="false">IF(CQ1630&gt;0,INDEX(Parameter!$H$5:$H$7,W1630)/INDEX(Parameter!$E$5:$E$7,W1630),IF(AND(BZ1630=0,N(IFERROR(VLOOKUP(BX1630,'Gebinde-Kategorie'!$A$5:$N$45,14,0),0))&gt;0),VLOOKUP(BX1630,'Gebinde-Kategorie'!$A$5:$N$45,14,0)*10+Parameter!$M$23,Parameter!$M$24))</f>
        <v>145</v>
      </c>
      <c r="CC1630" s="48" t="str">
        <f aca="false">IF(AND(Parameter!$B$19="Ja",E1630&lt;&gt;"",ISNUMBER(MATCH(E1630,Parameter!$I$35:$I$52,0))),VLOOKUP(E1630,Parameter!$I$35:$J$52,2,0),IFERROR(VLOOKUP(D1630,Parameter!$A$35:$C$64,2,0),"Nein"))</f>
        <v>2+3</v>
      </c>
      <c r="CD1630" s="52" t="n">
        <f aca="false">IF(BZ1630=0,0,IF(N(S1630)&gt;0,S1630,IFERROR(VLOOKUP(D1630,Parameter!$A$35:$C$64,3,0)+0,0)))</f>
        <v>0</v>
      </c>
      <c r="CE1630" s="48" t="n">
        <f aca="false">IF(AA1630&lt;&gt;"",AA1630,Z1630)</f>
        <v>2</v>
      </c>
      <c r="CF1630" s="48" t="str">
        <f aca="false">IF(OR(CE1630=1,CE1630=2,CE1630=3),IF(Parameter!$E$27="Ja","LIFT",IF(CE1630=1,"L1","L23")),IF(CE1630="Aussen","Aussen","-"))</f>
        <v>LIFT</v>
      </c>
      <c r="CG1630" s="59" t="n">
        <f aca="false">IF(N(AB1630)&gt;0,AB1630,0)</f>
        <v>0</v>
      </c>
      <c r="CH1630" s="53" t="n">
        <f aca="false">IF(ISNUMBER(AE1630),1,0)</f>
        <v>0</v>
      </c>
      <c r="CI1630" s="50" t="n">
        <f aca="false">N(AE1630)</f>
        <v>0</v>
      </c>
      <c r="CJ1630" s="50" t="n">
        <f aca="false">N(M1630)+N(N1630)</f>
        <v>4</v>
      </c>
      <c r="CK1630" s="50" t="n">
        <f aca="false">N(M1630)</f>
        <v>0</v>
      </c>
      <c r="CL1630" s="50" t="n">
        <f aca="false">N(N1630)</f>
        <v>4</v>
      </c>
      <c r="CM1630" s="50" t="n">
        <f aca="false">ROUNDUP(H1630/BY1630,0)</f>
        <v>1</v>
      </c>
      <c r="CN1630" s="50" t="n">
        <f aca="false">ROUNDUP(CI1630/BY1630,0)</f>
        <v>0</v>
      </c>
      <c r="CO1630" s="53" t="n">
        <f aca="false">IF(BZ1630=1,0,IFERROR(VLOOKUP(BX1630,'Gebinde-Kategorie'!$A$5:$N$45,5,0)+0,0))</f>
        <v>11</v>
      </c>
      <c r="CP1630" s="53" t="n">
        <f aca="false">IFERROR(IF(OR(CE1630=1,CE1630=2,CE1630=3),N(INDEX(Parameter!$I$5:$I$7,CE1630)),0),0)</f>
        <v>0</v>
      </c>
      <c r="CQ1630" s="52" t="n">
        <f aca="false">IF(AND(Parameter!$B$21="Ja",ISNUMBER(W1630),N(X1630)&gt;0),IFERROR(N(INDEX(Parameter!$L$5:$L$7,W1630))*INDEX(Parameter!$E$5:$E$7,W1630)*X1630/SUMIFS($X$7:$X$1843,$W$7:$W$1843,W1630),0),0)</f>
        <v>0</v>
      </c>
    </row>
    <row r="1631" customFormat="false" ht="15" hidden="false" customHeight="false" outlineLevel="0" collapsed="false">
      <c r="A1631" s="48" t="s">
        <v>2847</v>
      </c>
      <c r="B1631" s="48" t="s">
        <v>2848</v>
      </c>
      <c r="C1631" s="48" t="s">
        <v>173</v>
      </c>
      <c r="D1631" s="48" t="s">
        <v>182</v>
      </c>
      <c r="E1631" s="48" t="s">
        <v>175</v>
      </c>
      <c r="F1631" s="48"/>
      <c r="G1631" s="49" t="n">
        <v>132.8</v>
      </c>
      <c r="H1631" s="50" t="n">
        <f aca="false">MAX(0,IF(AND(Parameter!$B$21="Ja",ISNUMBER(Y1631)),Y1631,IF(Parameter!$B$20="Jahresanfang 2025 + Export",BR1631+BQ1631,BQ1631)))</f>
        <v>1</v>
      </c>
      <c r="I1631" s="50" t="n">
        <f aca="false">H1631*G1631</f>
        <v>132.8</v>
      </c>
      <c r="J1631" s="50" t="n">
        <f aca="false">BT1631*Parameter!$B$18</f>
        <v>0</v>
      </c>
      <c r="K1631" s="51"/>
      <c r="L1631" s="52"/>
      <c r="M1631" s="50" t="n">
        <v>0</v>
      </c>
      <c r="N1631" s="50" t="n">
        <v>1</v>
      </c>
      <c r="O1631" s="53" t="n">
        <v>21</v>
      </c>
      <c r="P1631" s="48" t="s">
        <v>177</v>
      </c>
      <c r="Q1631" s="50"/>
      <c r="R1631" s="53" t="n">
        <f aca="false">IF(BZ1631=1,0,IFERROR(VLOOKUP(BX1631,'Gebinde-Kategorie'!$A$5:$N$45,13,0)+0,0))</f>
        <v>0</v>
      </c>
      <c r="S1631" s="54"/>
      <c r="T1631" s="55"/>
      <c r="U1631" s="55"/>
      <c r="V1631" s="55"/>
      <c r="W1631" s="48" t="n">
        <v>1</v>
      </c>
      <c r="X1631" s="50" t="n">
        <v>1</v>
      </c>
      <c r="Y1631" s="50" t="n">
        <v>1</v>
      </c>
      <c r="Z1631" s="48" t="n">
        <f aca="false">IF(A1631="","",IF(AND(Parameter!$B$21="Ja",ISNUMBER(W1631)),W1631,IF(CC1631="2+3",IF(ISNUMBER(SEARCH("grosser Artikel",BU1631)),2,IFERROR(VLOOKUP(BX1631,Parameter!$F$35:$G$64,2,0),2)),IF(OR(CC1631="Nein",CC1631=""),"-",CC1631))))</f>
        <v>1</v>
      </c>
      <c r="AA1631" s="55"/>
      <c r="AB1631" s="56"/>
      <c r="AC1631" s="50" t="n">
        <f aca="false">AV1631</f>
        <v>1</v>
      </c>
      <c r="AD1631" s="50" t="n">
        <f aca="false">MAX(AV1631,H1631)</f>
        <v>1</v>
      </c>
      <c r="AE1631" s="57"/>
      <c r="AF1631" s="50" t="n">
        <f aca="false">IF(LEFT(Cockpit!$C$5,1)="A",H1631,IF(Parameter!$E$30="MAX-Bestand",IF(CH1631=1,CI1631,IF(LEFT(Cockpit!$C$5,1)="B",AL1631,MAX(AL1631,H1631))),ROUNDUP(AJ1631,0)))</f>
        <v>1</v>
      </c>
      <c r="AG1631" s="50" t="n">
        <f aca="false">IF(BZ1631=1,0,ROUNDUP(AF1631/BY1631,0))</f>
        <v>0</v>
      </c>
      <c r="AH1631" s="52" t="n">
        <f aca="false">IF(CQ1631&gt;0,CQ1631*MAX(1,AF1631/X1631),IF(BZ1631=1,IF(AF1631&lt;=0,0,CD1631*MAX(1,IF(H1631&gt;0,AF1631/H1631,1))),IF(R1631&gt;0,AG1631/R1631,0))/MAX(0.1,N(Parameter!$M$21)))</f>
        <v>0.0800376647834275</v>
      </c>
      <c r="AI1631" s="50" t="n">
        <f aca="false">AH1631*CB1631</f>
        <v>19.0489642184557</v>
      </c>
      <c r="AJ1631" s="51" t="n">
        <f aca="false">IF(LEFT(Cockpit!$C$5,1)="A",H1631,IF(CH1631=1,(CK1631+CI1631)/2,IF(LEFT(Cockpit!$C$5,1)="B",(CK1631+AL1631)/2,MAX((CK1631+AL1631)/2,H1631))))</f>
        <v>1</v>
      </c>
      <c r="AK1631" s="50" t="n">
        <f aca="false">AJ1631*G1631</f>
        <v>132.8</v>
      </c>
      <c r="AL1631" s="50" t="n">
        <f aca="false">ROUNDUP(CK1631+MAX(CL1631,2*(J1631/IF(CG1631&gt;0,CG1631,MAX(0.1,N(Cockpit!$C$6)))-CK1631)),0)</f>
        <v>1</v>
      </c>
      <c r="AM1631" s="51" t="n">
        <f aca="false">IF(AI1631&gt;0,J1631/AI1631,-1)</f>
        <v>0</v>
      </c>
      <c r="AN1631" s="51" t="n">
        <f aca="false">IF(AND(OR(CF1631="L1",CF1631="L23",CF1631="LIFT"),AI1631&gt;0),SUMIFS($AI$7:$AI$1843,$CF$7:$CF$1843,CF1631,$AM$7:$AM$1843,"&gt;"&amp;AM1631)+SUMIFS($AI$7:$AI$1843,$CF$7:$CF$1843,CF1631,$AM$7:$AM$1843,AM1631,$BW$7:$BW$1843,"&lt;="&amp;BW1631),"")</f>
        <v>30927.454897974</v>
      </c>
      <c r="AO1631" s="58" t="n">
        <f aca="false">IF(AN1631="",0,MAX(0,MIN(1,(IF(CF1631="L1",Parameter!$H$5,IF(CF1631="L23",Parameter!$H$6+Parameter!$H$7,Parameter!$H$5+Parameter!$H$6+Parameter!$H$7))-(AN1631-AI1631))/AI1631)))</f>
        <v>1</v>
      </c>
      <c r="AP1631" s="50" t="n">
        <f aca="false">IF(LEFT(Cockpit!$I$5,1)="A",H1631,IF(Parameter!$E$30="MAX-Bestand",IF(CH1631=1,CI1631,IF(LEFT(Cockpit!$I$5,1)="B",AV1631,MAX(AV1631,H1631))),ROUNDUP(AT1631,0)))</f>
        <v>1</v>
      </c>
      <c r="AQ1631" s="50" t="n">
        <f aca="false">IF(BZ1631=1,0,ROUNDUP(AP1631/BY1631,0))</f>
        <v>0</v>
      </c>
      <c r="AR1631" s="52" t="n">
        <f aca="false">IF(CQ1631&gt;0,CQ1631*MAX(1,AP1631/X1631),IF(BZ1631=1,IF(AP1631&lt;=0,0,CD1631*MAX(1,IF(H1631&gt;0,AP1631/H1631,1))),IF(R1631&gt;0,AQ1631/R1631,0))/MAX(0.1,N(Parameter!$M$21)))</f>
        <v>0.0800376647834275</v>
      </c>
      <c r="AS1631" s="50" t="n">
        <f aca="false">AR1631*CB1631</f>
        <v>19.0489642184557</v>
      </c>
      <c r="AT1631" s="51" t="n">
        <f aca="false">IF(LEFT(Cockpit!$I$5,1)="A",H1631,IF(CH1631=1,(CK1631+CI1631)/2,IF(LEFT(Cockpit!$I$5,1)="B",(CK1631+AV1631)/2,MAX((CK1631+AV1631)/2,H1631))))</f>
        <v>1</v>
      </c>
      <c r="AU1631" s="50" t="n">
        <f aca="false">AT1631*G1631</f>
        <v>132.8</v>
      </c>
      <c r="AV1631" s="50" t="n">
        <f aca="false">ROUNDUP(CK1631+MAX(CL1631,2*(J1631/IF(CG1631&gt;0,CG1631,MAX(0.1,N(Cockpit!$I$6)))-CK1631)),0)</f>
        <v>1</v>
      </c>
      <c r="AW1631" s="51" t="n">
        <f aca="false">IF(AS1631&gt;0,J1631/AS1631,-1)</f>
        <v>0</v>
      </c>
      <c r="AX1631" s="51" t="n">
        <f aca="false">IF(AND(OR(CF1631="L1",CF1631="L23",CF1631="LIFT"),AS1631&gt;0),SUMIFS($AS$7:$AS$1843,$CF$7:$CF$1843,CF1631,$AW$7:$AW$1843,"&gt;"&amp;AW1631)+SUMIFS($AS$7:$AS$1843,$CF$7:$CF$1843,CF1631,$AW$7:$AW$1843,AW1631,$BW$7:$BW$1843,"&lt;="&amp;BW1631),"")</f>
        <v>37247.3114148093</v>
      </c>
      <c r="AY1631" s="58" t="n">
        <f aca="false">IF(AX1631="",0,MAX(0,MIN(1,(IF(CF1631="L1",Parameter!$H$5,IF(CF1631="L23",Parameter!$H$6+Parameter!$H$7,Parameter!$H$5+Parameter!$H$6+Parameter!$H$7))-(AX1631-AS1631))/AS1631)))</f>
        <v>0</v>
      </c>
      <c r="AZ1631" s="50" t="n">
        <f aca="false">IF(LEFT(Cockpit!$O$5,1)="A",H1631,IF(Parameter!$E$30="MAX-Bestand",IF(CH1631=1,CI1631,IF(LEFT(Cockpit!$O$5,1)="B",BF1631,MAX(BF1631,H1631))),ROUNDUP(BD1631,0)))</f>
        <v>1</v>
      </c>
      <c r="BA1631" s="50" t="n">
        <f aca="false">IF(BZ1631=1,0,ROUNDUP(AZ1631/BY1631,0))</f>
        <v>0</v>
      </c>
      <c r="BB1631" s="52" t="n">
        <f aca="false">IF(CQ1631&gt;0,CQ1631*MAX(1,AZ1631/X1631),IF(BZ1631=1,IF(AZ1631&lt;=0,0,CD1631*MAX(1,IF(H1631&gt;0,AZ1631/H1631,1))),IF(R1631&gt;0,BA1631/R1631,0))/MAX(0.1,N(Parameter!$M$21)))</f>
        <v>0.0800376647834275</v>
      </c>
      <c r="BC1631" s="50" t="n">
        <f aca="false">BB1631*CB1631</f>
        <v>19.0489642184557</v>
      </c>
      <c r="BD1631" s="51" t="n">
        <f aca="false">IF(LEFT(Cockpit!$O$5,1)="A",H1631,IF(CH1631=1,(CK1631+CI1631)/2,IF(LEFT(Cockpit!$O$5,1)="B",(CK1631+BF1631)/2,MAX((CK1631+BF1631)/2,H1631))))</f>
        <v>0.5</v>
      </c>
      <c r="BE1631" s="50" t="n">
        <f aca="false">BD1631*G1631</f>
        <v>66.4</v>
      </c>
      <c r="BF1631" s="50" t="n">
        <f aca="false">ROUNDUP(CK1631+MAX(CL1631,2*(J1631/IF(CG1631&gt;0,CG1631,MAX(0.1,N(Cockpit!$O$6)))-CK1631)),0)</f>
        <v>1</v>
      </c>
      <c r="BG1631" s="51" t="n">
        <f aca="false">IF(BC1631&gt;0,J1631/BC1631,-1)</f>
        <v>0</v>
      </c>
      <c r="BH1631" s="51" t="n">
        <f aca="false">IF(AND(OR(CF1631="L1",CF1631="L23",CF1631="LIFT"),BC1631&gt;0),SUMIFS($BC$7:$BC$1843,$CF$7:$CF$1843,CF1631,$BG$7:$BG$1843,"&gt;"&amp;BG1631)+SUMIFS($BC$7:$BC$1843,$CF$7:$CF$1843,CF1631,$BG$7:$BG$1843,BG1631,$BW$7:$BW$1843,"&lt;="&amp;BW1631),"")</f>
        <v>31156.7526903417</v>
      </c>
      <c r="BI1631" s="58" t="n">
        <f aca="false">IF(BH1631="",0,MAX(0,MIN(1,(IF(CF1631="L1",Parameter!$H$5,IF(CF1631="L23",Parameter!$H$6+Parameter!$H$7,Parameter!$H$5+Parameter!$H$6+Parameter!$H$7))-(BH1631-BC1631))/BC1631)))</f>
        <v>1</v>
      </c>
      <c r="BJ1631" s="48" t="str">
        <f aca="false">IF(AI1631&lt;=0,"",IF(CF1631="Aussen","Aussenlager",IF(CF1631="-","Nicht im Lift",IF(AO1631&gt;=1,"Lift",IF(AO1631&lt;=0,"Aussenlager","teilweise")))))</f>
        <v>Lift</v>
      </c>
      <c r="BK1631" s="48" t="str">
        <f aca="false">IF(AS1631&lt;=0,"",IF(CF1631="Aussen","Aussenlager",IF(CF1631="-","Nicht im Lift",IF(AY1631&gt;=1,"Lift",IF(AY1631&lt;=0,"Aussenlager","teilweise")))))</f>
        <v>Aussenlager</v>
      </c>
      <c r="BL1631" s="48" t="str">
        <f aca="false">IF(BC1631&lt;=0,"",IF(CF1631="Aussen","Aussenlager",IF(CF1631="-","Nicht im Lift",IF(BI1631&gt;=1,"Lift",IF(BI1631&lt;=0,"Aussenlager","teilweise")))))</f>
        <v>Lift</v>
      </c>
      <c r="BM1631" s="48" t="str">
        <f aca="false">IF(A1631="","",IF(BV1631=1,"Neu; ","")&amp;IF(AND(BV1631=0,BQ1631&lt;0),"negativer Bestand (Export "&amp;BQ1631&amp;"); ","")&amp;IF(J1631&lt;=0,"Kein Verbrauch; ","")&amp;IF(CQ1631&gt;0,"Lift "&amp;W1631&amp;" lt. Liftbericht (Fach "&amp;X1631&amp;" Stk); ",IF(CA1631=1,"Gebinde geschätzt ("&amp;T1631&amp;"); ",IF(BZ1631=1,"Lose – Tablare geschätzt; ","")))&amp;IF(H1631&gt;AV1631,"Überbestand "&amp;ROUND(H1631-AV1631,0)&amp;" Stk / CHF "&amp;ROUND((H1631-AV1631)*G1631,0)&amp;"; ","")&amp;IF(AND(CH1631=1,CI1631&lt;CJ1631),"MAX &lt; MB+LG; ","")&amp;IF(AND(CP1631&gt;0,CO1631*10&gt;CP1631),"zu hoch für Tablar; ","")&amp;IF(AND(BV1631=0,OR(CH1631=1,AA1631&lt;&gt;"",U1631&lt;&gt;"",V1631&lt;&gt;"",AB1631&lt;&gt;"")),"manuell übersteuert; ","")&amp;IF(AND(BZ1631=0,R1631=0),"Gebinde unbekannt / Stellmass fehlt; ","")&amp;IF(AND(BZ1631=0,N(V1631)&lt;=0,N(Q1631)&lt;=0),"Menge pro Gebinde fehlt (Ist = 1 Gebinde); ","")&amp;BU1631)</f>
        <v>Kein Verbrauch; Lift 1 lt. Liftbericht (Fach 1 Stk); nur im Artikelstamm (Bestand 23.06.2026)</v>
      </c>
      <c r="BN1631" s="48"/>
      <c r="BO1631" s="48"/>
      <c r="BP1631" s="55"/>
      <c r="BQ1631" s="50" t="n">
        <v>1</v>
      </c>
      <c r="BR1631" s="50" t="n">
        <v>0</v>
      </c>
      <c r="BS1631" s="49" t="n">
        <v>0</v>
      </c>
      <c r="BT1631" s="50" t="n">
        <v>0</v>
      </c>
      <c r="BU1631" s="48" t="s">
        <v>2584</v>
      </c>
      <c r="BV1631" s="53" t="n">
        <v>0</v>
      </c>
      <c r="BW1631" s="53" t="n">
        <v>1631</v>
      </c>
      <c r="BX1631" s="48" t="str">
        <f aca="false">IF(U1631&lt;&gt;"",UPPER(TRIM(U1631)),IF(CA1631=1,UPPER(VLOOKUP(T1631,Parameter!$I$27:$K$29,2,0)),IF(P1631="","LOSE",P1631)))</f>
        <v>LOSE</v>
      </c>
      <c r="BY1631" s="50" t="n">
        <f aca="false">IF(BX1631="LOSE",1,IF(N(V1631)&gt;0,V1631,IF(CA1631=1,MAX(1,N(VLOOKUP(T1631,Parameter!$I$27:$K$29,3,0)),H1631,N(N1631)),IF(N(Q1631)&gt;0,Q1631,MAX(1,H1631)))))</f>
        <v>1</v>
      </c>
      <c r="BZ1631" s="53" t="n">
        <f aca="false">IF(BX1631="LOSE",1,0)</f>
        <v>1</v>
      </c>
      <c r="CA1631" s="53" t="n">
        <f aca="false">IF(AND(U1631="",OR(P1631="",P1631="LOSE"),T1631&lt;&gt;"",N(S1631)&lt;=0,ISNUMBER(MATCH(T1631,Parameter!$I$27:$I$29,0))),1,0)</f>
        <v>0</v>
      </c>
      <c r="CB1631" s="53" t="n">
        <f aca="false">IF(CQ1631&gt;0,INDEX(Parameter!$H$5:$H$7,W1631)/INDEX(Parameter!$E$5:$E$7,W1631),IF(AND(BZ1631=0,N(IFERROR(VLOOKUP(BX1631,'Gebinde-Kategorie'!$A$5:$N$45,14,0),0))&gt;0),VLOOKUP(BX1631,'Gebinde-Kategorie'!$A$5:$N$45,14,0)*10+Parameter!$M$23,Parameter!$M$24))</f>
        <v>238</v>
      </c>
      <c r="CC1631" s="48" t="n">
        <f aca="false">IF(AND(Parameter!$B$19="Ja",E1631&lt;&gt;"",ISNUMBER(MATCH(E1631,Parameter!$I$35:$I$52,0))),VLOOKUP(E1631,Parameter!$I$35:$J$52,2,0),IFERROR(VLOOKUP(D1631,Parameter!$A$35:$C$64,2,0),"Nein"))</f>
        <v>1</v>
      </c>
      <c r="CD1631" s="52" t="n">
        <f aca="false">IF(BZ1631=0,0,IF(N(S1631)&gt;0,S1631,IFERROR(VLOOKUP(D1631,Parameter!$A$35:$C$64,3,0)+0,0)))</f>
        <v>0.15</v>
      </c>
      <c r="CE1631" s="48" t="n">
        <f aca="false">IF(AA1631&lt;&gt;"",AA1631,Z1631)</f>
        <v>1</v>
      </c>
      <c r="CF1631" s="48" t="str">
        <f aca="false">IF(OR(CE1631=1,CE1631=2,CE1631=3),IF(Parameter!$E$27="Ja","LIFT",IF(CE1631=1,"L1","L23")),IF(CE1631="Aussen","Aussen","-"))</f>
        <v>LIFT</v>
      </c>
      <c r="CG1631" s="59" t="n">
        <f aca="false">IF(N(AB1631)&gt;0,AB1631,0)</f>
        <v>0</v>
      </c>
      <c r="CH1631" s="53" t="n">
        <f aca="false">IF(ISNUMBER(AE1631),1,0)</f>
        <v>0</v>
      </c>
      <c r="CI1631" s="50" t="n">
        <f aca="false">N(AE1631)</f>
        <v>0</v>
      </c>
      <c r="CJ1631" s="50" t="n">
        <f aca="false">N(M1631)+N(N1631)</f>
        <v>1</v>
      </c>
      <c r="CK1631" s="50" t="n">
        <f aca="false">N(M1631)</f>
        <v>0</v>
      </c>
      <c r="CL1631" s="50" t="n">
        <f aca="false">N(N1631)</f>
        <v>1</v>
      </c>
      <c r="CM1631" s="50" t="n">
        <f aca="false">ROUNDUP(H1631/BY1631,0)</f>
        <v>1</v>
      </c>
      <c r="CN1631" s="50" t="n">
        <f aca="false">ROUNDUP(CI1631/BY1631,0)</f>
        <v>0</v>
      </c>
      <c r="CO1631" s="53" t="n">
        <f aca="false">IF(BZ1631=1,0,IFERROR(VLOOKUP(BX1631,'Gebinde-Kategorie'!$A$5:$N$45,5,0)+0,0))</f>
        <v>0</v>
      </c>
      <c r="CP1631" s="53" t="n">
        <f aca="false">IFERROR(IF(OR(CE1631=1,CE1631=2,CE1631=3),N(INDEX(Parameter!$I$5:$I$7,CE1631)),0),0)</f>
        <v>0</v>
      </c>
      <c r="CQ1631" s="52" t="n">
        <f aca="false">IF(AND(Parameter!$B$21="Ja",ISNUMBER(W1631),N(X1631)&gt;0),IFERROR(N(INDEX(Parameter!$L$5:$L$7,W1631))*INDEX(Parameter!$E$5:$E$7,W1631)*X1631/SUMIFS($X$7:$X$1843,$W$7:$W$1843,W1631),0),0)</f>
        <v>0.0800376647834275</v>
      </c>
    </row>
    <row r="1632" customFormat="false" ht="15" hidden="false" customHeight="false" outlineLevel="0" collapsed="false">
      <c r="A1632" s="48" t="s">
        <v>2849</v>
      </c>
      <c r="B1632" s="48" t="s">
        <v>477</v>
      </c>
      <c r="C1632" s="48" t="s">
        <v>173</v>
      </c>
      <c r="D1632" s="48" t="s">
        <v>193</v>
      </c>
      <c r="E1632" s="48"/>
      <c r="F1632" s="48"/>
      <c r="G1632" s="49" t="n">
        <v>6</v>
      </c>
      <c r="H1632" s="50" t="n">
        <f aca="false">MAX(0,IF(AND(Parameter!$B$21="Ja",ISNUMBER(Y1632)),Y1632,IF(Parameter!$B$20="Jahresanfang 2025 + Export",BR1632+BQ1632,BQ1632)))</f>
        <v>37</v>
      </c>
      <c r="I1632" s="50" t="n">
        <f aca="false">H1632*G1632</f>
        <v>222</v>
      </c>
      <c r="J1632" s="50" t="n">
        <f aca="false">BT1632*Parameter!$B$18</f>
        <v>0</v>
      </c>
      <c r="K1632" s="51"/>
      <c r="L1632" s="52"/>
      <c r="M1632" s="50" t="n">
        <v>0</v>
      </c>
      <c r="N1632" s="50" t="n">
        <v>20</v>
      </c>
      <c r="O1632" s="53" t="n">
        <v>14</v>
      </c>
      <c r="P1632" s="48" t="s">
        <v>177</v>
      </c>
      <c r="Q1632" s="50"/>
      <c r="R1632" s="53" t="n">
        <f aca="false">IF(BZ1632=1,0,IFERROR(VLOOKUP(BX1632,'Gebinde-Kategorie'!$A$5:$N$45,13,0)+0,0))</f>
        <v>26</v>
      </c>
      <c r="S1632" s="54"/>
      <c r="T1632" s="55" t="s">
        <v>284</v>
      </c>
      <c r="U1632" s="55"/>
      <c r="V1632" s="55"/>
      <c r="W1632" s="48"/>
      <c r="X1632" s="50"/>
      <c r="Y1632" s="50"/>
      <c r="Z1632" s="48" t="n">
        <f aca="false">IF(A1632="","",IF(AND(Parameter!$B$21="Ja",ISNUMBER(W1632)),W1632,IF(CC1632="2+3",IF(ISNUMBER(SEARCH("grosser Artikel",BU1632)),2,IFERROR(VLOOKUP(BX1632,Parameter!$F$35:$G$64,2,0),2)),IF(OR(CC1632="Nein",CC1632=""),"-",CC1632))))</f>
        <v>3</v>
      </c>
      <c r="AA1632" s="55"/>
      <c r="AB1632" s="56"/>
      <c r="AC1632" s="50" t="n">
        <f aca="false">AV1632</f>
        <v>20</v>
      </c>
      <c r="AD1632" s="50" t="n">
        <f aca="false">MAX(AV1632,H1632)</f>
        <v>37</v>
      </c>
      <c r="AE1632" s="57"/>
      <c r="AF1632" s="50" t="n">
        <f aca="false">IF(LEFT(Cockpit!$C$5,1)="A",H1632,IF(Parameter!$E$30="MAX-Bestand",IF(CH1632=1,CI1632,IF(LEFT(Cockpit!$C$5,1)="B",AL1632,MAX(AL1632,H1632))),ROUNDUP(AJ1632,0)))</f>
        <v>37</v>
      </c>
      <c r="AG1632" s="50" t="n">
        <f aca="false">IF(BZ1632=1,0,ROUNDUP(AF1632/BY1632,0))</f>
        <v>1</v>
      </c>
      <c r="AH1632" s="52" t="n">
        <f aca="false">IF(CQ1632&gt;0,CQ1632*MAX(1,AF1632/X1632),IF(BZ1632=1,IF(AF1632&lt;=0,0,CD1632*MAX(1,IF(H1632&gt;0,AF1632/H1632,1))),IF(R1632&gt;0,AG1632/R1632,0))/MAX(0.1,N(Parameter!$M$21)))</f>
        <v>0.0384615384615385</v>
      </c>
      <c r="AI1632" s="50" t="n">
        <f aca="false">AH1632*CB1632</f>
        <v>5.96153846153846</v>
      </c>
      <c r="AJ1632" s="51" t="n">
        <f aca="false">IF(LEFT(Cockpit!$C$5,1)="A",H1632,IF(CH1632=1,(CK1632+CI1632)/2,IF(LEFT(Cockpit!$C$5,1)="B",(CK1632+AL1632)/2,MAX((CK1632+AL1632)/2,H1632))))</f>
        <v>37</v>
      </c>
      <c r="AK1632" s="50" t="n">
        <f aca="false">AJ1632*G1632</f>
        <v>222</v>
      </c>
      <c r="AL1632" s="50" t="n">
        <f aca="false">ROUNDUP(CK1632+MAX(CL1632,2*(J1632/IF(CG1632&gt;0,CG1632,MAX(0.1,N(Cockpit!$C$6)))-CK1632)),0)</f>
        <v>20</v>
      </c>
      <c r="AM1632" s="51" t="n">
        <f aca="false">IF(AI1632&gt;0,J1632/AI1632,-1)</f>
        <v>0</v>
      </c>
      <c r="AN1632" s="51" t="n">
        <f aca="false">IF(AND(OR(CF1632="L1",CF1632="L23",CF1632="LIFT"),AI1632&gt;0),SUMIFS($AI$7:$AI$1843,$CF$7:$CF$1843,CF1632,$AM$7:$AM$1843,"&gt;"&amp;AM1632)+SUMIFS($AI$7:$AI$1843,$CF$7:$CF$1843,CF1632,$AM$7:$AM$1843,AM1632,$BW$7:$BW$1843,"&lt;="&amp;BW1632),"")</f>
        <v>30933.4164364355</v>
      </c>
      <c r="AO1632" s="58" t="n">
        <f aca="false">IF(AN1632="",0,MAX(0,MIN(1,(IF(CF1632="L1",Parameter!$H$5,IF(CF1632="L23",Parameter!$H$6+Parameter!$H$7,Parameter!$H$5+Parameter!$H$6+Parameter!$H$7))-(AN1632-AI1632))/AI1632)))</f>
        <v>1</v>
      </c>
      <c r="AP1632" s="50" t="n">
        <f aca="false">IF(LEFT(Cockpit!$I$5,1)="A",H1632,IF(Parameter!$E$30="MAX-Bestand",IF(CH1632=1,CI1632,IF(LEFT(Cockpit!$I$5,1)="B",AV1632,MAX(AV1632,H1632))),ROUNDUP(AT1632,0)))</f>
        <v>37</v>
      </c>
      <c r="AQ1632" s="50" t="n">
        <f aca="false">IF(BZ1632=1,0,ROUNDUP(AP1632/BY1632,0))</f>
        <v>1</v>
      </c>
      <c r="AR1632" s="52" t="n">
        <f aca="false">IF(CQ1632&gt;0,CQ1632*MAX(1,AP1632/X1632),IF(BZ1632=1,IF(AP1632&lt;=0,0,CD1632*MAX(1,IF(H1632&gt;0,AP1632/H1632,1))),IF(R1632&gt;0,AQ1632/R1632,0))/MAX(0.1,N(Parameter!$M$21)))</f>
        <v>0.0384615384615385</v>
      </c>
      <c r="AS1632" s="50" t="n">
        <f aca="false">AR1632*CB1632</f>
        <v>5.96153846153846</v>
      </c>
      <c r="AT1632" s="51" t="n">
        <f aca="false">IF(LEFT(Cockpit!$I$5,1)="A",H1632,IF(CH1632=1,(CK1632+CI1632)/2,IF(LEFT(Cockpit!$I$5,1)="B",(CK1632+AV1632)/2,MAX((CK1632+AV1632)/2,H1632))))</f>
        <v>37</v>
      </c>
      <c r="AU1632" s="50" t="n">
        <f aca="false">AT1632*G1632</f>
        <v>222</v>
      </c>
      <c r="AV1632" s="50" t="n">
        <f aca="false">ROUNDUP(CK1632+MAX(CL1632,2*(J1632/IF(CG1632&gt;0,CG1632,MAX(0.1,N(Cockpit!$I$6)))-CK1632)),0)</f>
        <v>20</v>
      </c>
      <c r="AW1632" s="51" t="n">
        <f aca="false">IF(AS1632&gt;0,J1632/AS1632,-1)</f>
        <v>0</v>
      </c>
      <c r="AX1632" s="51" t="n">
        <f aca="false">IF(AND(OR(CF1632="L1",CF1632="L23",CF1632="LIFT"),AS1632&gt;0),SUMIFS($AS$7:$AS$1843,$CF$7:$CF$1843,CF1632,$AW$7:$AW$1843,"&gt;"&amp;AW1632)+SUMIFS($AS$7:$AS$1843,$CF$7:$CF$1843,CF1632,$AW$7:$AW$1843,AW1632,$BW$7:$BW$1843,"&lt;="&amp;BW1632),"")</f>
        <v>37253.2729532708</v>
      </c>
      <c r="AY1632" s="58" t="n">
        <f aca="false">IF(AX1632="",0,MAX(0,MIN(1,(IF(CF1632="L1",Parameter!$H$5,IF(CF1632="L23",Parameter!$H$6+Parameter!$H$7,Parameter!$H$5+Parameter!$H$6+Parameter!$H$7))-(AX1632-AS1632))/AS1632)))</f>
        <v>0</v>
      </c>
      <c r="AZ1632" s="50" t="n">
        <f aca="false">IF(LEFT(Cockpit!$O$5,1)="A",H1632,IF(Parameter!$E$30="MAX-Bestand",IF(CH1632=1,CI1632,IF(LEFT(Cockpit!$O$5,1)="B",BF1632,MAX(BF1632,H1632))),ROUNDUP(BD1632,0)))</f>
        <v>10</v>
      </c>
      <c r="BA1632" s="50" t="n">
        <f aca="false">IF(BZ1632=1,0,ROUNDUP(AZ1632/BY1632,0))</f>
        <v>1</v>
      </c>
      <c r="BB1632" s="52" t="n">
        <f aca="false">IF(CQ1632&gt;0,CQ1632*MAX(1,AZ1632/X1632),IF(BZ1632=1,IF(AZ1632&lt;=0,0,CD1632*MAX(1,IF(H1632&gt;0,AZ1632/H1632,1))),IF(R1632&gt;0,BA1632/R1632,0))/MAX(0.1,N(Parameter!$M$21)))</f>
        <v>0.0384615384615385</v>
      </c>
      <c r="BC1632" s="50" t="n">
        <f aca="false">BB1632*CB1632</f>
        <v>5.96153846153846</v>
      </c>
      <c r="BD1632" s="51" t="n">
        <f aca="false">IF(LEFT(Cockpit!$O$5,1)="A",H1632,IF(CH1632=1,(CK1632+CI1632)/2,IF(LEFT(Cockpit!$O$5,1)="B",(CK1632+BF1632)/2,MAX((CK1632+BF1632)/2,H1632))))</f>
        <v>10</v>
      </c>
      <c r="BE1632" s="50" t="n">
        <f aca="false">BD1632*G1632</f>
        <v>60</v>
      </c>
      <c r="BF1632" s="50" t="n">
        <f aca="false">ROUNDUP(CK1632+MAX(CL1632,2*(J1632/IF(CG1632&gt;0,CG1632,MAX(0.1,N(Cockpit!$O$6)))-CK1632)),0)</f>
        <v>20</v>
      </c>
      <c r="BG1632" s="51" t="n">
        <f aca="false">IF(BC1632&gt;0,J1632/BC1632,-1)</f>
        <v>0</v>
      </c>
      <c r="BH1632" s="51" t="n">
        <f aca="false">IF(AND(OR(CF1632="L1",CF1632="L23",CF1632="LIFT"),BC1632&gt;0),SUMIFS($BC$7:$BC$1843,$CF$7:$CF$1843,CF1632,$BG$7:$BG$1843,"&gt;"&amp;BG1632)+SUMIFS($BC$7:$BC$1843,$CF$7:$CF$1843,CF1632,$BG$7:$BG$1843,BG1632,$BW$7:$BW$1843,"&lt;="&amp;BW1632),"")</f>
        <v>31162.7142288032</v>
      </c>
      <c r="BI1632" s="58" t="n">
        <f aca="false">IF(BH1632="",0,MAX(0,MIN(1,(IF(CF1632="L1",Parameter!$H$5,IF(CF1632="L23",Parameter!$H$6+Parameter!$H$7,Parameter!$H$5+Parameter!$H$6+Parameter!$H$7))-(BH1632-BC1632))/BC1632)))</f>
        <v>1</v>
      </c>
      <c r="BJ1632" s="48" t="str">
        <f aca="false">IF(AI1632&lt;=0,"",IF(CF1632="Aussen","Aussenlager",IF(CF1632="-","Nicht im Lift",IF(AO1632&gt;=1,"Lift",IF(AO1632&lt;=0,"Aussenlager","teilweise")))))</f>
        <v>Lift</v>
      </c>
      <c r="BK1632" s="48" t="str">
        <f aca="false">IF(AS1632&lt;=0,"",IF(CF1632="Aussen","Aussenlager",IF(CF1632="-","Nicht im Lift",IF(AY1632&gt;=1,"Lift",IF(AY1632&lt;=0,"Aussenlager","teilweise")))))</f>
        <v>Aussenlager</v>
      </c>
      <c r="BL1632" s="48" t="str">
        <f aca="false">IF(BC1632&lt;=0,"",IF(CF1632="Aussen","Aussenlager",IF(CF1632="-","Nicht im Lift",IF(BI1632&gt;=1,"Lift",IF(BI1632&lt;=0,"Aussenlager","teilweise")))))</f>
        <v>Lift</v>
      </c>
      <c r="BM1632" s="48" t="str">
        <f aca="false">IF(A1632="","",IF(BV1632=1,"Neu; ","")&amp;IF(AND(BV1632=0,BQ1632&lt;0),"negativer Bestand (Export "&amp;BQ1632&amp;"); ","")&amp;IF(J1632&lt;=0,"Kein Verbrauch; ","")&amp;IF(CQ1632&gt;0,"Lift "&amp;W1632&amp;" lt. Liftbericht (Fach "&amp;X1632&amp;" Stk); ",IF(CA1632=1,"Gebinde geschätzt ("&amp;T1632&amp;"); ",IF(BZ1632=1,"Lose – Tablare geschätzt; ","")))&amp;IF(H1632&gt;AV1632,"Überbestand "&amp;ROUND(H1632-AV1632,0)&amp;" Stk / CHF "&amp;ROUND((H1632-AV1632)*G1632,0)&amp;"; ","")&amp;IF(AND(CH1632=1,CI1632&lt;CJ1632),"MAX &lt; MB+LG; ","")&amp;IF(AND(CP1632&gt;0,CO1632*10&gt;CP1632),"zu hoch für Tablar; ","")&amp;IF(AND(BV1632=0,OR(CH1632=1,AA1632&lt;&gt;"",U1632&lt;&gt;"",V1632&lt;&gt;"",AB1632&lt;&gt;"")),"manuell übersteuert; ","")&amp;IF(AND(BZ1632=0,R1632=0),"Gebinde unbekannt / Stellmass fehlt; ","")&amp;IF(AND(BZ1632=0,N(V1632)&lt;=0,N(Q1632)&lt;=0),"Menge pro Gebinde fehlt (Ist = 1 Gebinde); ","")&amp;BU1632)</f>
        <v>Kein Verbrauch; Gebinde geschätzt (Klein); Überbestand 17 Stk / CHF 102; Menge pro Gebinde fehlt (Ist = 1 Gebinde); nur im Artikelstamm (Bestand 23.06.2026)</v>
      </c>
      <c r="BN1632" s="48"/>
      <c r="BO1632" s="48"/>
      <c r="BP1632" s="55"/>
      <c r="BQ1632" s="50" t="n">
        <v>37</v>
      </c>
      <c r="BR1632" s="50" t="n">
        <v>0</v>
      </c>
      <c r="BS1632" s="49" t="n">
        <v>0</v>
      </c>
      <c r="BT1632" s="50" t="n">
        <v>0</v>
      </c>
      <c r="BU1632" s="48" t="s">
        <v>2584</v>
      </c>
      <c r="BV1632" s="53" t="n">
        <v>0</v>
      </c>
      <c r="BW1632" s="53" t="n">
        <v>1632</v>
      </c>
      <c r="BX1632" s="48" t="str">
        <f aca="false">IF(U1632&lt;&gt;"",UPPER(TRIM(U1632)),IF(CA1632=1,UPPER(VLOOKUP(T1632,Parameter!$I$27:$K$29,2,0)),IF(P1632="","LOSE",P1632)))</f>
        <v>S51</v>
      </c>
      <c r="BY1632" s="50" t="n">
        <f aca="false">IF(BX1632="LOSE",1,IF(N(V1632)&gt;0,V1632,IF(CA1632=1,MAX(1,N(VLOOKUP(T1632,Parameter!$I$27:$K$29,3,0)),H1632,N(N1632)),IF(N(Q1632)&gt;0,Q1632,MAX(1,H1632)))))</f>
        <v>37</v>
      </c>
      <c r="BZ1632" s="53" t="n">
        <f aca="false">IF(BX1632="LOSE",1,0)</f>
        <v>0</v>
      </c>
      <c r="CA1632" s="53" t="n">
        <f aca="false">IF(AND(U1632="",OR(P1632="",P1632="LOSE"),T1632&lt;&gt;"",N(S1632)&lt;=0,ISNUMBER(MATCH(T1632,Parameter!$I$27:$I$29,0))),1,0)</f>
        <v>1</v>
      </c>
      <c r="CB1632" s="53" t="n">
        <f aca="false">IF(CQ1632&gt;0,INDEX(Parameter!$H$5:$H$7,W1632)/INDEX(Parameter!$E$5:$E$7,W1632),IF(AND(BZ1632=0,N(IFERROR(VLOOKUP(BX1632,'Gebinde-Kategorie'!$A$5:$N$45,14,0),0))&gt;0),VLOOKUP(BX1632,'Gebinde-Kategorie'!$A$5:$N$45,14,0)*10+Parameter!$M$23,Parameter!$M$24))</f>
        <v>155</v>
      </c>
      <c r="CC1632" s="48" t="str">
        <f aca="false">IF(AND(Parameter!$B$19="Ja",E1632&lt;&gt;"",ISNUMBER(MATCH(E1632,Parameter!$I$35:$I$52,0))),VLOOKUP(E1632,Parameter!$I$35:$J$52,2,0),IFERROR(VLOOKUP(D1632,Parameter!$A$35:$C$64,2,0),"Nein"))</f>
        <v>2+3</v>
      </c>
      <c r="CD1632" s="52" t="n">
        <f aca="false">IF(BZ1632=0,0,IF(N(S1632)&gt;0,S1632,IFERROR(VLOOKUP(D1632,Parameter!$A$35:$C$64,3,0)+0,0)))</f>
        <v>0</v>
      </c>
      <c r="CE1632" s="48" t="n">
        <f aca="false">IF(AA1632&lt;&gt;"",AA1632,Z1632)</f>
        <v>3</v>
      </c>
      <c r="CF1632" s="48" t="str">
        <f aca="false">IF(OR(CE1632=1,CE1632=2,CE1632=3),IF(Parameter!$E$27="Ja","LIFT",IF(CE1632=1,"L1","L23")),IF(CE1632="Aussen","Aussen","-"))</f>
        <v>LIFT</v>
      </c>
      <c r="CG1632" s="59" t="n">
        <f aca="false">IF(N(AB1632)&gt;0,AB1632,0)</f>
        <v>0</v>
      </c>
      <c r="CH1632" s="53" t="n">
        <f aca="false">IF(ISNUMBER(AE1632),1,0)</f>
        <v>0</v>
      </c>
      <c r="CI1632" s="50" t="n">
        <f aca="false">N(AE1632)</f>
        <v>0</v>
      </c>
      <c r="CJ1632" s="50" t="n">
        <f aca="false">N(M1632)+N(N1632)</f>
        <v>20</v>
      </c>
      <c r="CK1632" s="50" t="n">
        <f aca="false">N(M1632)</f>
        <v>0</v>
      </c>
      <c r="CL1632" s="50" t="n">
        <f aca="false">N(N1632)</f>
        <v>20</v>
      </c>
      <c r="CM1632" s="50" t="n">
        <f aca="false">ROUNDUP(H1632/BY1632,0)</f>
        <v>1</v>
      </c>
      <c r="CN1632" s="50" t="n">
        <f aca="false">ROUNDUP(CI1632/BY1632,0)</f>
        <v>0</v>
      </c>
      <c r="CO1632" s="53" t="n">
        <f aca="false">IF(BZ1632=1,0,IFERROR(VLOOKUP(BX1632,'Gebinde-Kategorie'!$A$5:$N$45,5,0)+0,0))</f>
        <v>11</v>
      </c>
      <c r="CP1632" s="53" t="n">
        <f aca="false">IFERROR(IF(OR(CE1632=1,CE1632=2,CE1632=3),N(INDEX(Parameter!$I$5:$I$7,CE1632)),0),0)</f>
        <v>0</v>
      </c>
      <c r="CQ1632" s="52" t="n">
        <f aca="false">IF(AND(Parameter!$B$21="Ja",ISNUMBER(W1632),N(X1632)&gt;0),IFERROR(N(INDEX(Parameter!$L$5:$L$7,W1632))*INDEX(Parameter!$E$5:$E$7,W1632)*X1632/SUMIFS($X$7:$X$1843,$W$7:$W$1843,W1632),0),0)</f>
        <v>0</v>
      </c>
    </row>
    <row r="1633" customFormat="false" ht="15" hidden="false" customHeight="false" outlineLevel="0" collapsed="false">
      <c r="A1633" s="48" t="s">
        <v>2850</v>
      </c>
      <c r="B1633" s="48" t="s">
        <v>477</v>
      </c>
      <c r="C1633" s="48" t="s">
        <v>173</v>
      </c>
      <c r="D1633" s="48" t="s">
        <v>193</v>
      </c>
      <c r="E1633" s="48"/>
      <c r="F1633" s="48"/>
      <c r="G1633" s="49" t="n">
        <v>3.1</v>
      </c>
      <c r="H1633" s="50" t="n">
        <f aca="false">MAX(0,IF(AND(Parameter!$B$21="Ja",ISNUMBER(Y1633)),Y1633,IF(Parameter!$B$20="Jahresanfang 2025 + Export",BR1633+BQ1633,BQ1633)))</f>
        <v>7</v>
      </c>
      <c r="I1633" s="50" t="n">
        <f aca="false">H1633*G1633</f>
        <v>21.7</v>
      </c>
      <c r="J1633" s="50" t="n">
        <f aca="false">BT1633*Parameter!$B$18</f>
        <v>0</v>
      </c>
      <c r="K1633" s="51"/>
      <c r="L1633" s="52"/>
      <c r="M1633" s="50" t="n">
        <v>0</v>
      </c>
      <c r="N1633" s="50" t="n">
        <v>20</v>
      </c>
      <c r="O1633" s="53" t="n">
        <v>14</v>
      </c>
      <c r="P1633" s="48" t="s">
        <v>177</v>
      </c>
      <c r="Q1633" s="50"/>
      <c r="R1633" s="53" t="n">
        <f aca="false">IF(BZ1633=1,0,IFERROR(VLOOKUP(BX1633,'Gebinde-Kategorie'!$A$5:$N$45,13,0)+0,0))</f>
        <v>26</v>
      </c>
      <c r="S1633" s="54"/>
      <c r="T1633" s="55" t="s">
        <v>284</v>
      </c>
      <c r="U1633" s="55"/>
      <c r="V1633" s="55"/>
      <c r="W1633" s="48"/>
      <c r="X1633" s="50"/>
      <c r="Y1633" s="50"/>
      <c r="Z1633" s="48" t="n">
        <f aca="false">IF(A1633="","",IF(AND(Parameter!$B$21="Ja",ISNUMBER(W1633)),W1633,IF(CC1633="2+3",IF(ISNUMBER(SEARCH("grosser Artikel",BU1633)),2,IFERROR(VLOOKUP(BX1633,Parameter!$F$35:$G$64,2,0),2)),IF(OR(CC1633="Nein",CC1633=""),"-",CC1633))))</f>
        <v>3</v>
      </c>
      <c r="AA1633" s="55"/>
      <c r="AB1633" s="56"/>
      <c r="AC1633" s="50" t="n">
        <f aca="false">AV1633</f>
        <v>20</v>
      </c>
      <c r="AD1633" s="50" t="n">
        <f aca="false">MAX(AV1633,H1633)</f>
        <v>20</v>
      </c>
      <c r="AE1633" s="57"/>
      <c r="AF1633" s="50" t="n">
        <f aca="false">IF(LEFT(Cockpit!$C$5,1)="A",H1633,IF(Parameter!$E$30="MAX-Bestand",IF(CH1633=1,CI1633,IF(LEFT(Cockpit!$C$5,1)="B",AL1633,MAX(AL1633,H1633))),ROUNDUP(AJ1633,0)))</f>
        <v>7</v>
      </c>
      <c r="AG1633" s="50" t="n">
        <f aca="false">IF(BZ1633=1,0,ROUNDUP(AF1633/BY1633,0))</f>
        <v>1</v>
      </c>
      <c r="AH1633" s="52" t="n">
        <f aca="false">IF(CQ1633&gt;0,CQ1633*MAX(1,AF1633/X1633),IF(BZ1633=1,IF(AF1633&lt;=0,0,CD1633*MAX(1,IF(H1633&gt;0,AF1633/H1633,1))),IF(R1633&gt;0,AG1633/R1633,0))/MAX(0.1,N(Parameter!$M$21)))</f>
        <v>0.0384615384615385</v>
      </c>
      <c r="AI1633" s="50" t="n">
        <f aca="false">AH1633*CB1633</f>
        <v>5.96153846153846</v>
      </c>
      <c r="AJ1633" s="51" t="n">
        <f aca="false">IF(LEFT(Cockpit!$C$5,1)="A",H1633,IF(CH1633=1,(CK1633+CI1633)/2,IF(LEFT(Cockpit!$C$5,1)="B",(CK1633+AL1633)/2,MAX((CK1633+AL1633)/2,H1633))))</f>
        <v>7</v>
      </c>
      <c r="AK1633" s="50" t="n">
        <f aca="false">AJ1633*G1633</f>
        <v>21.7</v>
      </c>
      <c r="AL1633" s="50" t="n">
        <f aca="false">ROUNDUP(CK1633+MAX(CL1633,2*(J1633/IF(CG1633&gt;0,CG1633,MAX(0.1,N(Cockpit!$C$6)))-CK1633)),0)</f>
        <v>20</v>
      </c>
      <c r="AM1633" s="51" t="n">
        <f aca="false">IF(AI1633&gt;0,J1633/AI1633,-1)</f>
        <v>0</v>
      </c>
      <c r="AN1633" s="51" t="n">
        <f aca="false">IF(AND(OR(CF1633="L1",CF1633="L23",CF1633="LIFT"),AI1633&gt;0),SUMIFS($AI$7:$AI$1843,$CF$7:$CF$1843,CF1633,$AM$7:$AM$1843,"&gt;"&amp;AM1633)+SUMIFS($AI$7:$AI$1843,$CF$7:$CF$1843,CF1633,$AM$7:$AM$1843,AM1633,$BW$7:$BW$1843,"&lt;="&amp;BW1633),"")</f>
        <v>30939.377974897</v>
      </c>
      <c r="AO1633" s="58" t="n">
        <f aca="false">IF(AN1633="",0,MAX(0,MIN(1,(IF(CF1633="L1",Parameter!$H$5,IF(CF1633="L23",Parameter!$H$6+Parameter!$H$7,Parameter!$H$5+Parameter!$H$6+Parameter!$H$7))-(AN1633-AI1633))/AI1633)))</f>
        <v>1</v>
      </c>
      <c r="AP1633" s="50" t="n">
        <f aca="false">IF(LEFT(Cockpit!$I$5,1)="A",H1633,IF(Parameter!$E$30="MAX-Bestand",IF(CH1633=1,CI1633,IF(LEFT(Cockpit!$I$5,1)="B",AV1633,MAX(AV1633,H1633))),ROUNDUP(AT1633,0)))</f>
        <v>10</v>
      </c>
      <c r="AQ1633" s="50" t="n">
        <f aca="false">IF(BZ1633=1,0,ROUNDUP(AP1633/BY1633,0))</f>
        <v>1</v>
      </c>
      <c r="AR1633" s="52" t="n">
        <f aca="false">IF(CQ1633&gt;0,CQ1633*MAX(1,AP1633/X1633),IF(BZ1633=1,IF(AP1633&lt;=0,0,CD1633*MAX(1,IF(H1633&gt;0,AP1633/H1633,1))),IF(R1633&gt;0,AQ1633/R1633,0))/MAX(0.1,N(Parameter!$M$21)))</f>
        <v>0.0384615384615385</v>
      </c>
      <c r="AS1633" s="50" t="n">
        <f aca="false">AR1633*CB1633</f>
        <v>5.96153846153846</v>
      </c>
      <c r="AT1633" s="51" t="n">
        <f aca="false">IF(LEFT(Cockpit!$I$5,1)="A",H1633,IF(CH1633=1,(CK1633+CI1633)/2,IF(LEFT(Cockpit!$I$5,1)="B",(CK1633+AV1633)/2,MAX((CK1633+AV1633)/2,H1633))))</f>
        <v>10</v>
      </c>
      <c r="AU1633" s="50" t="n">
        <f aca="false">AT1633*G1633</f>
        <v>31</v>
      </c>
      <c r="AV1633" s="50" t="n">
        <f aca="false">ROUNDUP(CK1633+MAX(CL1633,2*(J1633/IF(CG1633&gt;0,CG1633,MAX(0.1,N(Cockpit!$I$6)))-CK1633)),0)</f>
        <v>20</v>
      </c>
      <c r="AW1633" s="51" t="n">
        <f aca="false">IF(AS1633&gt;0,J1633/AS1633,-1)</f>
        <v>0</v>
      </c>
      <c r="AX1633" s="51" t="n">
        <f aca="false">IF(AND(OR(CF1633="L1",CF1633="L23",CF1633="LIFT"),AS1633&gt;0),SUMIFS($AS$7:$AS$1843,$CF$7:$CF$1843,CF1633,$AW$7:$AW$1843,"&gt;"&amp;AW1633)+SUMIFS($AS$7:$AS$1843,$CF$7:$CF$1843,CF1633,$AW$7:$AW$1843,AW1633,$BW$7:$BW$1843,"&lt;="&amp;BW1633),"")</f>
        <v>37259.2344917324</v>
      </c>
      <c r="AY1633" s="58" t="n">
        <f aca="false">IF(AX1633="",0,MAX(0,MIN(1,(IF(CF1633="L1",Parameter!$H$5,IF(CF1633="L23",Parameter!$H$6+Parameter!$H$7,Parameter!$H$5+Parameter!$H$6+Parameter!$H$7))-(AX1633-AS1633))/AS1633)))</f>
        <v>0</v>
      </c>
      <c r="AZ1633" s="50" t="n">
        <f aca="false">IF(LEFT(Cockpit!$O$5,1)="A",H1633,IF(Parameter!$E$30="MAX-Bestand",IF(CH1633=1,CI1633,IF(LEFT(Cockpit!$O$5,1)="B",BF1633,MAX(BF1633,H1633))),ROUNDUP(BD1633,0)))</f>
        <v>10</v>
      </c>
      <c r="BA1633" s="50" t="n">
        <f aca="false">IF(BZ1633=1,0,ROUNDUP(AZ1633/BY1633,0))</f>
        <v>1</v>
      </c>
      <c r="BB1633" s="52" t="n">
        <f aca="false">IF(CQ1633&gt;0,CQ1633*MAX(1,AZ1633/X1633),IF(BZ1633=1,IF(AZ1633&lt;=0,0,CD1633*MAX(1,IF(H1633&gt;0,AZ1633/H1633,1))),IF(R1633&gt;0,BA1633/R1633,0))/MAX(0.1,N(Parameter!$M$21)))</f>
        <v>0.0384615384615385</v>
      </c>
      <c r="BC1633" s="50" t="n">
        <f aca="false">BB1633*CB1633</f>
        <v>5.96153846153846</v>
      </c>
      <c r="BD1633" s="51" t="n">
        <f aca="false">IF(LEFT(Cockpit!$O$5,1)="A",H1633,IF(CH1633=1,(CK1633+CI1633)/2,IF(LEFT(Cockpit!$O$5,1)="B",(CK1633+BF1633)/2,MAX((CK1633+BF1633)/2,H1633))))</f>
        <v>10</v>
      </c>
      <c r="BE1633" s="50" t="n">
        <f aca="false">BD1633*G1633</f>
        <v>31</v>
      </c>
      <c r="BF1633" s="50" t="n">
        <f aca="false">ROUNDUP(CK1633+MAX(CL1633,2*(J1633/IF(CG1633&gt;0,CG1633,MAX(0.1,N(Cockpit!$O$6)))-CK1633)),0)</f>
        <v>20</v>
      </c>
      <c r="BG1633" s="51" t="n">
        <f aca="false">IF(BC1633&gt;0,J1633/BC1633,-1)</f>
        <v>0</v>
      </c>
      <c r="BH1633" s="51" t="n">
        <f aca="false">IF(AND(OR(CF1633="L1",CF1633="L23",CF1633="LIFT"),BC1633&gt;0),SUMIFS($BC$7:$BC$1843,$CF$7:$CF$1843,CF1633,$BG$7:$BG$1843,"&gt;"&amp;BG1633)+SUMIFS($BC$7:$BC$1843,$CF$7:$CF$1843,CF1633,$BG$7:$BG$1843,BG1633,$BW$7:$BW$1843,"&lt;="&amp;BW1633),"")</f>
        <v>31168.6757672648</v>
      </c>
      <c r="BI1633" s="58" t="n">
        <f aca="false">IF(BH1633="",0,MAX(0,MIN(1,(IF(CF1633="L1",Parameter!$H$5,IF(CF1633="L23",Parameter!$H$6+Parameter!$H$7,Parameter!$H$5+Parameter!$H$6+Parameter!$H$7))-(BH1633-BC1633))/BC1633)))</f>
        <v>1</v>
      </c>
      <c r="BJ1633" s="48" t="str">
        <f aca="false">IF(AI1633&lt;=0,"",IF(CF1633="Aussen","Aussenlager",IF(CF1633="-","Nicht im Lift",IF(AO1633&gt;=1,"Lift",IF(AO1633&lt;=0,"Aussenlager","teilweise")))))</f>
        <v>Lift</v>
      </c>
      <c r="BK1633" s="48" t="str">
        <f aca="false">IF(AS1633&lt;=0,"",IF(CF1633="Aussen","Aussenlager",IF(CF1633="-","Nicht im Lift",IF(AY1633&gt;=1,"Lift",IF(AY1633&lt;=0,"Aussenlager","teilweise")))))</f>
        <v>Aussenlager</v>
      </c>
      <c r="BL1633" s="48" t="str">
        <f aca="false">IF(BC1633&lt;=0,"",IF(CF1633="Aussen","Aussenlager",IF(CF1633="-","Nicht im Lift",IF(BI1633&gt;=1,"Lift",IF(BI1633&lt;=0,"Aussenlager","teilweise")))))</f>
        <v>Lift</v>
      </c>
      <c r="BM1633" s="48" t="str">
        <f aca="false">IF(A1633="","",IF(BV1633=1,"Neu; ","")&amp;IF(AND(BV1633=0,BQ1633&lt;0),"negativer Bestand (Export "&amp;BQ1633&amp;"); ","")&amp;IF(J1633&lt;=0,"Kein Verbrauch; ","")&amp;IF(CQ1633&gt;0,"Lift "&amp;W1633&amp;" lt. Liftbericht (Fach "&amp;X1633&amp;" Stk); ",IF(CA1633=1,"Gebinde geschätzt ("&amp;T1633&amp;"); ",IF(BZ1633=1,"Lose – Tablare geschätzt; ","")))&amp;IF(H1633&gt;AV1633,"Überbestand "&amp;ROUND(H1633-AV1633,0)&amp;" Stk / CHF "&amp;ROUND((H1633-AV1633)*G1633,0)&amp;"; ","")&amp;IF(AND(CH1633=1,CI1633&lt;CJ1633),"MAX &lt; MB+LG; ","")&amp;IF(AND(CP1633&gt;0,CO1633*10&gt;CP1633),"zu hoch für Tablar; ","")&amp;IF(AND(BV1633=0,OR(CH1633=1,AA1633&lt;&gt;"",U1633&lt;&gt;"",V1633&lt;&gt;"",AB1633&lt;&gt;"")),"manuell übersteuert; ","")&amp;IF(AND(BZ1633=0,R1633=0),"Gebinde unbekannt / Stellmass fehlt; ","")&amp;IF(AND(BZ1633=0,N(V1633)&lt;=0,N(Q1633)&lt;=0),"Menge pro Gebinde fehlt (Ist = 1 Gebinde); ","")&amp;BU1633)</f>
        <v>Kein Verbrauch; Gebinde geschätzt (Klein); Menge pro Gebinde fehlt (Ist = 1 Gebinde); nur im Artikelstamm (Bestand 23.06.2026)</v>
      </c>
      <c r="BN1633" s="48"/>
      <c r="BO1633" s="48"/>
      <c r="BP1633" s="55"/>
      <c r="BQ1633" s="50" t="n">
        <v>7</v>
      </c>
      <c r="BR1633" s="50" t="n">
        <v>0</v>
      </c>
      <c r="BS1633" s="49" t="n">
        <v>0</v>
      </c>
      <c r="BT1633" s="50" t="n">
        <v>0</v>
      </c>
      <c r="BU1633" s="48" t="s">
        <v>2584</v>
      </c>
      <c r="BV1633" s="53" t="n">
        <v>0</v>
      </c>
      <c r="BW1633" s="53" t="n">
        <v>1633</v>
      </c>
      <c r="BX1633" s="48" t="str">
        <f aca="false">IF(U1633&lt;&gt;"",UPPER(TRIM(U1633)),IF(CA1633=1,UPPER(VLOOKUP(T1633,Parameter!$I$27:$K$29,2,0)),IF(P1633="","LOSE",P1633)))</f>
        <v>S51</v>
      </c>
      <c r="BY1633" s="50" t="n">
        <f aca="false">IF(BX1633="LOSE",1,IF(N(V1633)&gt;0,V1633,IF(CA1633=1,MAX(1,N(VLOOKUP(T1633,Parameter!$I$27:$K$29,3,0)),H1633,N(N1633)),IF(N(Q1633)&gt;0,Q1633,MAX(1,H1633)))))</f>
        <v>20</v>
      </c>
      <c r="BZ1633" s="53" t="n">
        <f aca="false">IF(BX1633="LOSE",1,0)</f>
        <v>0</v>
      </c>
      <c r="CA1633" s="53" t="n">
        <f aca="false">IF(AND(U1633="",OR(P1633="",P1633="LOSE"),T1633&lt;&gt;"",N(S1633)&lt;=0,ISNUMBER(MATCH(T1633,Parameter!$I$27:$I$29,0))),1,0)</f>
        <v>1</v>
      </c>
      <c r="CB1633" s="53" t="n">
        <f aca="false">IF(CQ1633&gt;0,INDEX(Parameter!$H$5:$H$7,W1633)/INDEX(Parameter!$E$5:$E$7,W1633),IF(AND(BZ1633=0,N(IFERROR(VLOOKUP(BX1633,'Gebinde-Kategorie'!$A$5:$N$45,14,0),0))&gt;0),VLOOKUP(BX1633,'Gebinde-Kategorie'!$A$5:$N$45,14,0)*10+Parameter!$M$23,Parameter!$M$24))</f>
        <v>155</v>
      </c>
      <c r="CC1633" s="48" t="str">
        <f aca="false">IF(AND(Parameter!$B$19="Ja",E1633&lt;&gt;"",ISNUMBER(MATCH(E1633,Parameter!$I$35:$I$52,0))),VLOOKUP(E1633,Parameter!$I$35:$J$52,2,0),IFERROR(VLOOKUP(D1633,Parameter!$A$35:$C$64,2,0),"Nein"))</f>
        <v>2+3</v>
      </c>
      <c r="CD1633" s="52" t="n">
        <f aca="false">IF(BZ1633=0,0,IF(N(S1633)&gt;0,S1633,IFERROR(VLOOKUP(D1633,Parameter!$A$35:$C$64,3,0)+0,0)))</f>
        <v>0</v>
      </c>
      <c r="CE1633" s="48" t="n">
        <f aca="false">IF(AA1633&lt;&gt;"",AA1633,Z1633)</f>
        <v>3</v>
      </c>
      <c r="CF1633" s="48" t="str">
        <f aca="false">IF(OR(CE1633=1,CE1633=2,CE1633=3),IF(Parameter!$E$27="Ja","LIFT",IF(CE1633=1,"L1","L23")),IF(CE1633="Aussen","Aussen","-"))</f>
        <v>LIFT</v>
      </c>
      <c r="CG1633" s="59" t="n">
        <f aca="false">IF(N(AB1633)&gt;0,AB1633,0)</f>
        <v>0</v>
      </c>
      <c r="CH1633" s="53" t="n">
        <f aca="false">IF(ISNUMBER(AE1633),1,0)</f>
        <v>0</v>
      </c>
      <c r="CI1633" s="50" t="n">
        <f aca="false">N(AE1633)</f>
        <v>0</v>
      </c>
      <c r="CJ1633" s="50" t="n">
        <f aca="false">N(M1633)+N(N1633)</f>
        <v>20</v>
      </c>
      <c r="CK1633" s="50" t="n">
        <f aca="false">N(M1633)</f>
        <v>0</v>
      </c>
      <c r="CL1633" s="50" t="n">
        <f aca="false">N(N1633)</f>
        <v>20</v>
      </c>
      <c r="CM1633" s="50" t="n">
        <f aca="false">ROUNDUP(H1633/BY1633,0)</f>
        <v>1</v>
      </c>
      <c r="CN1633" s="50" t="n">
        <f aca="false">ROUNDUP(CI1633/BY1633,0)</f>
        <v>0</v>
      </c>
      <c r="CO1633" s="53" t="n">
        <f aca="false">IF(BZ1633=1,0,IFERROR(VLOOKUP(BX1633,'Gebinde-Kategorie'!$A$5:$N$45,5,0)+0,0))</f>
        <v>11</v>
      </c>
      <c r="CP1633" s="53" t="n">
        <f aca="false">IFERROR(IF(OR(CE1633=1,CE1633=2,CE1633=3),N(INDEX(Parameter!$I$5:$I$7,CE1633)),0),0)</f>
        <v>0</v>
      </c>
      <c r="CQ1633" s="52" t="n">
        <f aca="false">IF(AND(Parameter!$B$21="Ja",ISNUMBER(W1633),N(X1633)&gt;0),IFERROR(N(INDEX(Parameter!$L$5:$L$7,W1633))*INDEX(Parameter!$E$5:$E$7,W1633)*X1633/SUMIFS($X$7:$X$1843,$W$7:$W$1843,W1633),0),0)</f>
        <v>0</v>
      </c>
    </row>
    <row r="1634" customFormat="false" ht="15" hidden="false" customHeight="false" outlineLevel="0" collapsed="false">
      <c r="A1634" s="48" t="s">
        <v>2851</v>
      </c>
      <c r="B1634" s="48" t="s">
        <v>2852</v>
      </c>
      <c r="C1634" s="48" t="s">
        <v>173</v>
      </c>
      <c r="D1634" s="48" t="s">
        <v>193</v>
      </c>
      <c r="E1634" s="48"/>
      <c r="F1634" s="48"/>
      <c r="G1634" s="49" t="n">
        <v>26.1</v>
      </c>
      <c r="H1634" s="50" t="n">
        <f aca="false">MAX(0,IF(AND(Parameter!$B$21="Ja",ISNUMBER(Y1634)),Y1634,IF(Parameter!$B$20="Jahresanfang 2025 + Export",BR1634+BQ1634,BQ1634)))</f>
        <v>12</v>
      </c>
      <c r="I1634" s="50" t="n">
        <f aca="false">H1634*G1634</f>
        <v>313.2</v>
      </c>
      <c r="J1634" s="50" t="n">
        <f aca="false">BT1634*Parameter!$B$18</f>
        <v>0</v>
      </c>
      <c r="K1634" s="51"/>
      <c r="L1634" s="52"/>
      <c r="M1634" s="50" t="n">
        <v>0</v>
      </c>
      <c r="N1634" s="50" t="n">
        <v>10</v>
      </c>
      <c r="O1634" s="53" t="n">
        <v>14</v>
      </c>
      <c r="P1634" s="48" t="s">
        <v>177</v>
      </c>
      <c r="Q1634" s="50"/>
      <c r="R1634" s="53" t="n">
        <f aca="false">IF(BZ1634=1,0,IFERROR(VLOOKUP(BX1634,'Gebinde-Kategorie'!$A$5:$N$45,13,0)+0,0))</f>
        <v>26</v>
      </c>
      <c r="S1634" s="54"/>
      <c r="T1634" s="55" t="s">
        <v>284</v>
      </c>
      <c r="U1634" s="55"/>
      <c r="V1634" s="55"/>
      <c r="W1634" s="48"/>
      <c r="X1634" s="50"/>
      <c r="Y1634" s="50"/>
      <c r="Z1634" s="48" t="n">
        <f aca="false">IF(A1634="","",IF(AND(Parameter!$B$21="Ja",ISNUMBER(W1634)),W1634,IF(CC1634="2+3",IF(ISNUMBER(SEARCH("grosser Artikel",BU1634)),2,IFERROR(VLOOKUP(BX1634,Parameter!$F$35:$G$64,2,0),2)),IF(OR(CC1634="Nein",CC1634=""),"-",CC1634))))</f>
        <v>3</v>
      </c>
      <c r="AA1634" s="55"/>
      <c r="AB1634" s="56"/>
      <c r="AC1634" s="50" t="n">
        <f aca="false">AV1634</f>
        <v>10</v>
      </c>
      <c r="AD1634" s="50" t="n">
        <f aca="false">MAX(AV1634,H1634)</f>
        <v>12</v>
      </c>
      <c r="AE1634" s="57"/>
      <c r="AF1634" s="50" t="n">
        <f aca="false">IF(LEFT(Cockpit!$C$5,1)="A",H1634,IF(Parameter!$E$30="MAX-Bestand",IF(CH1634=1,CI1634,IF(LEFT(Cockpit!$C$5,1)="B",AL1634,MAX(AL1634,H1634))),ROUNDUP(AJ1634,0)))</f>
        <v>12</v>
      </c>
      <c r="AG1634" s="50" t="n">
        <f aca="false">IF(BZ1634=1,0,ROUNDUP(AF1634/BY1634,0))</f>
        <v>1</v>
      </c>
      <c r="AH1634" s="52" t="n">
        <f aca="false">IF(CQ1634&gt;0,CQ1634*MAX(1,AF1634/X1634),IF(BZ1634=1,IF(AF1634&lt;=0,0,CD1634*MAX(1,IF(H1634&gt;0,AF1634/H1634,1))),IF(R1634&gt;0,AG1634/R1634,0))/MAX(0.1,N(Parameter!$M$21)))</f>
        <v>0.0384615384615385</v>
      </c>
      <c r="AI1634" s="50" t="n">
        <f aca="false">AH1634*CB1634</f>
        <v>5.96153846153846</v>
      </c>
      <c r="AJ1634" s="51" t="n">
        <f aca="false">IF(LEFT(Cockpit!$C$5,1)="A",H1634,IF(CH1634=1,(CK1634+CI1634)/2,IF(LEFT(Cockpit!$C$5,1)="B",(CK1634+AL1634)/2,MAX((CK1634+AL1634)/2,H1634))))</f>
        <v>12</v>
      </c>
      <c r="AK1634" s="50" t="n">
        <f aca="false">AJ1634*G1634</f>
        <v>313.2</v>
      </c>
      <c r="AL1634" s="50" t="n">
        <f aca="false">ROUNDUP(CK1634+MAX(CL1634,2*(J1634/IF(CG1634&gt;0,CG1634,MAX(0.1,N(Cockpit!$C$6)))-CK1634)),0)</f>
        <v>10</v>
      </c>
      <c r="AM1634" s="51" t="n">
        <f aca="false">IF(AI1634&gt;0,J1634/AI1634,-1)</f>
        <v>0</v>
      </c>
      <c r="AN1634" s="51" t="n">
        <f aca="false">IF(AND(OR(CF1634="L1",CF1634="L23",CF1634="LIFT"),AI1634&gt;0),SUMIFS($AI$7:$AI$1843,$CF$7:$CF$1843,CF1634,$AM$7:$AM$1843,"&gt;"&amp;AM1634)+SUMIFS($AI$7:$AI$1843,$CF$7:$CF$1843,CF1634,$AM$7:$AM$1843,AM1634,$BW$7:$BW$1843,"&lt;="&amp;BW1634),"")</f>
        <v>30945.3395133586</v>
      </c>
      <c r="AO1634" s="58" t="n">
        <f aca="false">IF(AN1634="",0,MAX(0,MIN(1,(IF(CF1634="L1",Parameter!$H$5,IF(CF1634="L23",Parameter!$H$6+Parameter!$H$7,Parameter!$H$5+Parameter!$H$6+Parameter!$H$7))-(AN1634-AI1634))/AI1634)))</f>
        <v>1</v>
      </c>
      <c r="AP1634" s="50" t="n">
        <f aca="false">IF(LEFT(Cockpit!$I$5,1)="A",H1634,IF(Parameter!$E$30="MAX-Bestand",IF(CH1634=1,CI1634,IF(LEFT(Cockpit!$I$5,1)="B",AV1634,MAX(AV1634,H1634))),ROUNDUP(AT1634,0)))</f>
        <v>12</v>
      </c>
      <c r="AQ1634" s="50" t="n">
        <f aca="false">IF(BZ1634=1,0,ROUNDUP(AP1634/BY1634,0))</f>
        <v>1</v>
      </c>
      <c r="AR1634" s="52" t="n">
        <f aca="false">IF(CQ1634&gt;0,CQ1634*MAX(1,AP1634/X1634),IF(BZ1634=1,IF(AP1634&lt;=0,0,CD1634*MAX(1,IF(H1634&gt;0,AP1634/H1634,1))),IF(R1634&gt;0,AQ1634/R1634,0))/MAX(0.1,N(Parameter!$M$21)))</f>
        <v>0.0384615384615385</v>
      </c>
      <c r="AS1634" s="50" t="n">
        <f aca="false">AR1634*CB1634</f>
        <v>5.96153846153846</v>
      </c>
      <c r="AT1634" s="51" t="n">
        <f aca="false">IF(LEFT(Cockpit!$I$5,1)="A",H1634,IF(CH1634=1,(CK1634+CI1634)/2,IF(LEFT(Cockpit!$I$5,1)="B",(CK1634+AV1634)/2,MAX((CK1634+AV1634)/2,H1634))))</f>
        <v>12</v>
      </c>
      <c r="AU1634" s="50" t="n">
        <f aca="false">AT1634*G1634</f>
        <v>313.2</v>
      </c>
      <c r="AV1634" s="50" t="n">
        <f aca="false">ROUNDUP(CK1634+MAX(CL1634,2*(J1634/IF(CG1634&gt;0,CG1634,MAX(0.1,N(Cockpit!$I$6)))-CK1634)),0)</f>
        <v>10</v>
      </c>
      <c r="AW1634" s="51" t="n">
        <f aca="false">IF(AS1634&gt;0,J1634/AS1634,-1)</f>
        <v>0</v>
      </c>
      <c r="AX1634" s="51" t="n">
        <f aca="false">IF(AND(OR(CF1634="L1",CF1634="L23",CF1634="LIFT"),AS1634&gt;0),SUMIFS($AS$7:$AS$1843,$CF$7:$CF$1843,CF1634,$AW$7:$AW$1843,"&gt;"&amp;AW1634)+SUMIFS($AS$7:$AS$1843,$CF$7:$CF$1843,CF1634,$AW$7:$AW$1843,AW1634,$BW$7:$BW$1843,"&lt;="&amp;BW1634),"")</f>
        <v>37265.1960301939</v>
      </c>
      <c r="AY1634" s="58" t="n">
        <f aca="false">IF(AX1634="",0,MAX(0,MIN(1,(IF(CF1634="L1",Parameter!$H$5,IF(CF1634="L23",Parameter!$H$6+Parameter!$H$7,Parameter!$H$5+Parameter!$H$6+Parameter!$H$7))-(AX1634-AS1634))/AS1634)))</f>
        <v>0</v>
      </c>
      <c r="AZ1634" s="50" t="n">
        <f aca="false">IF(LEFT(Cockpit!$O$5,1)="A",H1634,IF(Parameter!$E$30="MAX-Bestand",IF(CH1634=1,CI1634,IF(LEFT(Cockpit!$O$5,1)="B",BF1634,MAX(BF1634,H1634))),ROUNDUP(BD1634,0)))</f>
        <v>5</v>
      </c>
      <c r="BA1634" s="50" t="n">
        <f aca="false">IF(BZ1634=1,0,ROUNDUP(AZ1634/BY1634,0))</f>
        <v>1</v>
      </c>
      <c r="BB1634" s="52" t="n">
        <f aca="false">IF(CQ1634&gt;0,CQ1634*MAX(1,AZ1634/X1634),IF(BZ1634=1,IF(AZ1634&lt;=0,0,CD1634*MAX(1,IF(H1634&gt;0,AZ1634/H1634,1))),IF(R1634&gt;0,BA1634/R1634,0))/MAX(0.1,N(Parameter!$M$21)))</f>
        <v>0.0384615384615385</v>
      </c>
      <c r="BC1634" s="50" t="n">
        <f aca="false">BB1634*CB1634</f>
        <v>5.96153846153846</v>
      </c>
      <c r="BD1634" s="51" t="n">
        <f aca="false">IF(LEFT(Cockpit!$O$5,1)="A",H1634,IF(CH1634=1,(CK1634+CI1634)/2,IF(LEFT(Cockpit!$O$5,1)="B",(CK1634+BF1634)/2,MAX((CK1634+BF1634)/2,H1634))))</f>
        <v>5</v>
      </c>
      <c r="BE1634" s="50" t="n">
        <f aca="false">BD1634*G1634</f>
        <v>130.5</v>
      </c>
      <c r="BF1634" s="50" t="n">
        <f aca="false">ROUNDUP(CK1634+MAX(CL1634,2*(J1634/IF(CG1634&gt;0,CG1634,MAX(0.1,N(Cockpit!$O$6)))-CK1634)),0)</f>
        <v>10</v>
      </c>
      <c r="BG1634" s="51" t="n">
        <f aca="false">IF(BC1634&gt;0,J1634/BC1634,-1)</f>
        <v>0</v>
      </c>
      <c r="BH1634" s="51" t="n">
        <f aca="false">IF(AND(OR(CF1634="L1",CF1634="L23",CF1634="LIFT"),BC1634&gt;0),SUMIFS($BC$7:$BC$1843,$CF$7:$CF$1843,CF1634,$BG$7:$BG$1843,"&gt;"&amp;BG1634)+SUMIFS($BC$7:$BC$1843,$CF$7:$CF$1843,CF1634,$BG$7:$BG$1843,BG1634,$BW$7:$BW$1843,"&lt;="&amp;BW1634),"")</f>
        <v>31174.6373057263</v>
      </c>
      <c r="BI1634" s="58" t="n">
        <f aca="false">IF(BH1634="",0,MAX(0,MIN(1,(IF(CF1634="L1",Parameter!$H$5,IF(CF1634="L23",Parameter!$H$6+Parameter!$H$7,Parameter!$H$5+Parameter!$H$6+Parameter!$H$7))-(BH1634-BC1634))/BC1634)))</f>
        <v>1</v>
      </c>
      <c r="BJ1634" s="48" t="str">
        <f aca="false">IF(AI1634&lt;=0,"",IF(CF1634="Aussen","Aussenlager",IF(CF1634="-","Nicht im Lift",IF(AO1634&gt;=1,"Lift",IF(AO1634&lt;=0,"Aussenlager","teilweise")))))</f>
        <v>Lift</v>
      </c>
      <c r="BK1634" s="48" t="str">
        <f aca="false">IF(AS1634&lt;=0,"",IF(CF1634="Aussen","Aussenlager",IF(CF1634="-","Nicht im Lift",IF(AY1634&gt;=1,"Lift",IF(AY1634&lt;=0,"Aussenlager","teilweise")))))</f>
        <v>Aussenlager</v>
      </c>
      <c r="BL1634" s="48" t="str">
        <f aca="false">IF(BC1634&lt;=0,"",IF(CF1634="Aussen","Aussenlager",IF(CF1634="-","Nicht im Lift",IF(BI1634&gt;=1,"Lift",IF(BI1634&lt;=0,"Aussenlager","teilweise")))))</f>
        <v>Lift</v>
      </c>
      <c r="BM1634" s="48" t="str">
        <f aca="false">IF(A1634="","",IF(BV1634=1,"Neu; ","")&amp;IF(AND(BV1634=0,BQ1634&lt;0),"negativer Bestand (Export "&amp;BQ1634&amp;"); ","")&amp;IF(J1634&lt;=0,"Kein Verbrauch; ","")&amp;IF(CQ1634&gt;0,"Lift "&amp;W1634&amp;" lt. Liftbericht (Fach "&amp;X1634&amp;" Stk); ",IF(CA1634=1,"Gebinde geschätzt ("&amp;T1634&amp;"); ",IF(BZ1634=1,"Lose – Tablare geschätzt; ","")))&amp;IF(H1634&gt;AV1634,"Überbestand "&amp;ROUND(H1634-AV1634,0)&amp;" Stk / CHF "&amp;ROUND((H1634-AV1634)*G1634,0)&amp;"; ","")&amp;IF(AND(CH1634=1,CI1634&lt;CJ1634),"MAX &lt; MB+LG; ","")&amp;IF(AND(CP1634&gt;0,CO1634*10&gt;CP1634),"zu hoch für Tablar; ","")&amp;IF(AND(BV1634=0,OR(CH1634=1,AA1634&lt;&gt;"",U1634&lt;&gt;"",V1634&lt;&gt;"",AB1634&lt;&gt;"")),"manuell übersteuert; ","")&amp;IF(AND(BZ1634=0,R1634=0),"Gebinde unbekannt / Stellmass fehlt; ","")&amp;IF(AND(BZ1634=0,N(V1634)&lt;=0,N(Q1634)&lt;=0),"Menge pro Gebinde fehlt (Ist = 1 Gebinde); ","")&amp;BU1634)</f>
        <v>Kein Verbrauch; Gebinde geschätzt (Klein); Überbestand 2 Stk / CHF 52; Menge pro Gebinde fehlt (Ist = 1 Gebinde); nur im Artikelstamm (Bestand 23.06.2026)</v>
      </c>
      <c r="BN1634" s="48"/>
      <c r="BO1634" s="48"/>
      <c r="BP1634" s="55"/>
      <c r="BQ1634" s="50" t="n">
        <v>12</v>
      </c>
      <c r="BR1634" s="50" t="n">
        <v>0</v>
      </c>
      <c r="BS1634" s="49" t="n">
        <v>0</v>
      </c>
      <c r="BT1634" s="50" t="n">
        <v>0</v>
      </c>
      <c r="BU1634" s="48" t="s">
        <v>2584</v>
      </c>
      <c r="BV1634" s="53" t="n">
        <v>0</v>
      </c>
      <c r="BW1634" s="53" t="n">
        <v>1634</v>
      </c>
      <c r="BX1634" s="48" t="str">
        <f aca="false">IF(U1634&lt;&gt;"",UPPER(TRIM(U1634)),IF(CA1634=1,UPPER(VLOOKUP(T1634,Parameter!$I$27:$K$29,2,0)),IF(P1634="","LOSE",P1634)))</f>
        <v>S51</v>
      </c>
      <c r="BY1634" s="50" t="n">
        <f aca="false">IF(BX1634="LOSE",1,IF(N(V1634)&gt;0,V1634,IF(CA1634=1,MAX(1,N(VLOOKUP(T1634,Parameter!$I$27:$K$29,3,0)),H1634,N(N1634)),IF(N(Q1634)&gt;0,Q1634,MAX(1,H1634)))))</f>
        <v>20</v>
      </c>
      <c r="BZ1634" s="53" t="n">
        <f aca="false">IF(BX1634="LOSE",1,0)</f>
        <v>0</v>
      </c>
      <c r="CA1634" s="53" t="n">
        <f aca="false">IF(AND(U1634="",OR(P1634="",P1634="LOSE"),T1634&lt;&gt;"",N(S1634)&lt;=0,ISNUMBER(MATCH(T1634,Parameter!$I$27:$I$29,0))),1,0)</f>
        <v>1</v>
      </c>
      <c r="CB1634" s="53" t="n">
        <f aca="false">IF(CQ1634&gt;0,INDEX(Parameter!$H$5:$H$7,W1634)/INDEX(Parameter!$E$5:$E$7,W1634),IF(AND(BZ1634=0,N(IFERROR(VLOOKUP(BX1634,'Gebinde-Kategorie'!$A$5:$N$45,14,0),0))&gt;0),VLOOKUP(BX1634,'Gebinde-Kategorie'!$A$5:$N$45,14,0)*10+Parameter!$M$23,Parameter!$M$24))</f>
        <v>155</v>
      </c>
      <c r="CC1634" s="48" t="str">
        <f aca="false">IF(AND(Parameter!$B$19="Ja",E1634&lt;&gt;"",ISNUMBER(MATCH(E1634,Parameter!$I$35:$I$52,0))),VLOOKUP(E1634,Parameter!$I$35:$J$52,2,0),IFERROR(VLOOKUP(D1634,Parameter!$A$35:$C$64,2,0),"Nein"))</f>
        <v>2+3</v>
      </c>
      <c r="CD1634" s="52" t="n">
        <f aca="false">IF(BZ1634=0,0,IF(N(S1634)&gt;0,S1634,IFERROR(VLOOKUP(D1634,Parameter!$A$35:$C$64,3,0)+0,0)))</f>
        <v>0</v>
      </c>
      <c r="CE1634" s="48" t="n">
        <f aca="false">IF(AA1634&lt;&gt;"",AA1634,Z1634)</f>
        <v>3</v>
      </c>
      <c r="CF1634" s="48" t="str">
        <f aca="false">IF(OR(CE1634=1,CE1634=2,CE1634=3),IF(Parameter!$E$27="Ja","LIFT",IF(CE1634=1,"L1","L23")),IF(CE1634="Aussen","Aussen","-"))</f>
        <v>LIFT</v>
      </c>
      <c r="CG1634" s="59" t="n">
        <f aca="false">IF(N(AB1634)&gt;0,AB1634,0)</f>
        <v>0</v>
      </c>
      <c r="CH1634" s="53" t="n">
        <f aca="false">IF(ISNUMBER(AE1634),1,0)</f>
        <v>0</v>
      </c>
      <c r="CI1634" s="50" t="n">
        <f aca="false">N(AE1634)</f>
        <v>0</v>
      </c>
      <c r="CJ1634" s="50" t="n">
        <f aca="false">N(M1634)+N(N1634)</f>
        <v>10</v>
      </c>
      <c r="CK1634" s="50" t="n">
        <f aca="false">N(M1634)</f>
        <v>0</v>
      </c>
      <c r="CL1634" s="50" t="n">
        <f aca="false">N(N1634)</f>
        <v>10</v>
      </c>
      <c r="CM1634" s="50" t="n">
        <f aca="false">ROUNDUP(H1634/BY1634,0)</f>
        <v>1</v>
      </c>
      <c r="CN1634" s="50" t="n">
        <f aca="false">ROUNDUP(CI1634/BY1634,0)</f>
        <v>0</v>
      </c>
      <c r="CO1634" s="53" t="n">
        <f aca="false">IF(BZ1634=1,0,IFERROR(VLOOKUP(BX1634,'Gebinde-Kategorie'!$A$5:$N$45,5,0)+0,0))</f>
        <v>11</v>
      </c>
      <c r="CP1634" s="53" t="n">
        <f aca="false">IFERROR(IF(OR(CE1634=1,CE1634=2,CE1634=3),N(INDEX(Parameter!$I$5:$I$7,CE1634)),0),0)</f>
        <v>0</v>
      </c>
      <c r="CQ1634" s="52" t="n">
        <f aca="false">IF(AND(Parameter!$B$21="Ja",ISNUMBER(W1634),N(X1634)&gt;0),IFERROR(N(INDEX(Parameter!$L$5:$L$7,W1634))*INDEX(Parameter!$E$5:$E$7,W1634)*X1634/SUMIFS($X$7:$X$1843,$W$7:$W$1843,W1634),0),0)</f>
        <v>0</v>
      </c>
    </row>
    <row r="1635" customFormat="false" ht="15" hidden="false" customHeight="false" outlineLevel="0" collapsed="false">
      <c r="A1635" s="48" t="s">
        <v>2853</v>
      </c>
      <c r="B1635" s="48" t="s">
        <v>2854</v>
      </c>
      <c r="C1635" s="48" t="s">
        <v>173</v>
      </c>
      <c r="D1635" s="48" t="s">
        <v>182</v>
      </c>
      <c r="E1635" s="48"/>
      <c r="F1635" s="48"/>
      <c r="G1635" s="49" t="n">
        <v>3705</v>
      </c>
      <c r="H1635" s="50" t="n">
        <f aca="false">MAX(0,IF(AND(Parameter!$B$21="Ja",ISNUMBER(Y1635)),Y1635,IF(Parameter!$B$20="Jahresanfang 2025 + Export",BR1635+BQ1635,BQ1635)))</f>
        <v>1</v>
      </c>
      <c r="I1635" s="50" t="n">
        <f aca="false">H1635*G1635</f>
        <v>3705</v>
      </c>
      <c r="J1635" s="50" t="n">
        <f aca="false">BT1635*Parameter!$B$18</f>
        <v>0</v>
      </c>
      <c r="K1635" s="51"/>
      <c r="L1635" s="52"/>
      <c r="M1635" s="50" t="n">
        <v>0</v>
      </c>
      <c r="N1635" s="50" t="n">
        <v>5</v>
      </c>
      <c r="O1635" s="53" t="n">
        <v>28</v>
      </c>
      <c r="P1635" s="48" t="s">
        <v>177</v>
      </c>
      <c r="Q1635" s="50"/>
      <c r="R1635" s="53" t="n">
        <f aca="false">IF(BZ1635=1,0,IFERROR(VLOOKUP(BX1635,'Gebinde-Kategorie'!$A$5:$N$45,13,0)+0,0))</f>
        <v>12</v>
      </c>
      <c r="S1635" s="54"/>
      <c r="T1635" s="55" t="s">
        <v>188</v>
      </c>
      <c r="U1635" s="55"/>
      <c r="V1635" s="55"/>
      <c r="W1635" s="48"/>
      <c r="X1635" s="50"/>
      <c r="Y1635" s="50"/>
      <c r="Z1635" s="48" t="n">
        <f aca="false">IF(A1635="","",IF(AND(Parameter!$B$21="Ja",ISNUMBER(W1635)),W1635,IF(CC1635="2+3",IF(ISNUMBER(SEARCH("grosser Artikel",BU1635)),2,IFERROR(VLOOKUP(BX1635,Parameter!$F$35:$G$64,2,0),2)),IF(OR(CC1635="Nein",CC1635=""),"-",CC1635))))</f>
        <v>2</v>
      </c>
      <c r="AA1635" s="55"/>
      <c r="AB1635" s="56"/>
      <c r="AC1635" s="50" t="n">
        <f aca="false">AV1635</f>
        <v>5</v>
      </c>
      <c r="AD1635" s="50" t="n">
        <f aca="false">MAX(AV1635,H1635)</f>
        <v>5</v>
      </c>
      <c r="AE1635" s="57"/>
      <c r="AF1635" s="50" t="n">
        <f aca="false">IF(LEFT(Cockpit!$C$5,1)="A",H1635,IF(Parameter!$E$30="MAX-Bestand",IF(CH1635=1,CI1635,IF(LEFT(Cockpit!$C$5,1)="B",AL1635,MAX(AL1635,H1635))),ROUNDUP(AJ1635,0)))</f>
        <v>1</v>
      </c>
      <c r="AG1635" s="50" t="n">
        <f aca="false">IF(BZ1635=1,0,ROUNDUP(AF1635/BY1635,0))</f>
        <v>1</v>
      </c>
      <c r="AH1635" s="52" t="n">
        <f aca="false">IF(CQ1635&gt;0,CQ1635*MAX(1,AF1635/X1635),IF(BZ1635=1,IF(AF1635&lt;=0,0,CD1635*MAX(1,IF(H1635&gt;0,AF1635/H1635,1))),IF(R1635&gt;0,AG1635/R1635,0))/MAX(0.1,N(Parameter!$M$21)))</f>
        <v>0.0833333333333333</v>
      </c>
      <c r="AI1635" s="50" t="n">
        <f aca="false">AH1635*CB1635</f>
        <v>12.0833333333333</v>
      </c>
      <c r="AJ1635" s="51" t="n">
        <f aca="false">IF(LEFT(Cockpit!$C$5,1)="A",H1635,IF(CH1635=1,(CK1635+CI1635)/2,IF(LEFT(Cockpit!$C$5,1)="B",(CK1635+AL1635)/2,MAX((CK1635+AL1635)/2,H1635))))</f>
        <v>1</v>
      </c>
      <c r="AK1635" s="50" t="n">
        <f aca="false">AJ1635*G1635</f>
        <v>3705</v>
      </c>
      <c r="AL1635" s="50" t="n">
        <f aca="false">ROUNDUP(CK1635+MAX(CL1635,2*(J1635/IF(CG1635&gt;0,CG1635,MAX(0.1,N(Cockpit!$C$6)))-CK1635)),0)</f>
        <v>5</v>
      </c>
      <c r="AM1635" s="51" t="n">
        <f aca="false">IF(AI1635&gt;0,J1635/AI1635,-1)</f>
        <v>0</v>
      </c>
      <c r="AN1635" s="51" t="n">
        <f aca="false">IF(AND(OR(CF1635="L1",CF1635="L23",CF1635="LIFT"),AI1635&gt;0),SUMIFS($AI$7:$AI$1843,$CF$7:$CF$1843,CF1635,$AM$7:$AM$1843,"&gt;"&amp;AM1635)+SUMIFS($AI$7:$AI$1843,$CF$7:$CF$1843,CF1635,$AM$7:$AM$1843,AM1635,$BW$7:$BW$1843,"&lt;="&amp;BW1635),"")</f>
        <v>30957.4228466919</v>
      </c>
      <c r="AO1635" s="58" t="n">
        <f aca="false">IF(AN1635="",0,MAX(0,MIN(1,(IF(CF1635="L1",Parameter!$H$5,IF(CF1635="L23",Parameter!$H$6+Parameter!$H$7,Parameter!$H$5+Parameter!$H$6+Parameter!$H$7))-(AN1635-AI1635))/AI1635)))</f>
        <v>1</v>
      </c>
      <c r="AP1635" s="50" t="n">
        <f aca="false">IF(LEFT(Cockpit!$I$5,1)="A",H1635,IF(Parameter!$E$30="MAX-Bestand",IF(CH1635=1,CI1635,IF(LEFT(Cockpit!$I$5,1)="B",AV1635,MAX(AV1635,H1635))),ROUNDUP(AT1635,0)))</f>
        <v>3</v>
      </c>
      <c r="AQ1635" s="50" t="n">
        <f aca="false">IF(BZ1635=1,0,ROUNDUP(AP1635/BY1635,0))</f>
        <v>1</v>
      </c>
      <c r="AR1635" s="52" t="n">
        <f aca="false">IF(CQ1635&gt;0,CQ1635*MAX(1,AP1635/X1635),IF(BZ1635=1,IF(AP1635&lt;=0,0,CD1635*MAX(1,IF(H1635&gt;0,AP1635/H1635,1))),IF(R1635&gt;0,AQ1635/R1635,0))/MAX(0.1,N(Parameter!$M$21)))</f>
        <v>0.0833333333333333</v>
      </c>
      <c r="AS1635" s="50" t="n">
        <f aca="false">AR1635*CB1635</f>
        <v>12.0833333333333</v>
      </c>
      <c r="AT1635" s="51" t="n">
        <f aca="false">IF(LEFT(Cockpit!$I$5,1)="A",H1635,IF(CH1635=1,(CK1635+CI1635)/2,IF(LEFT(Cockpit!$I$5,1)="B",(CK1635+AV1635)/2,MAX((CK1635+AV1635)/2,H1635))))</f>
        <v>2.5</v>
      </c>
      <c r="AU1635" s="50" t="n">
        <f aca="false">AT1635*G1635</f>
        <v>9262.5</v>
      </c>
      <c r="AV1635" s="50" t="n">
        <f aca="false">ROUNDUP(CK1635+MAX(CL1635,2*(J1635/IF(CG1635&gt;0,CG1635,MAX(0.1,N(Cockpit!$I$6)))-CK1635)),0)</f>
        <v>5</v>
      </c>
      <c r="AW1635" s="51" t="n">
        <f aca="false">IF(AS1635&gt;0,J1635/AS1635,-1)</f>
        <v>0</v>
      </c>
      <c r="AX1635" s="51" t="n">
        <f aca="false">IF(AND(OR(CF1635="L1",CF1635="L23",CF1635="LIFT"),AS1635&gt;0),SUMIFS($AS$7:$AS$1843,$CF$7:$CF$1843,CF1635,$AW$7:$AW$1843,"&gt;"&amp;AW1635)+SUMIFS($AS$7:$AS$1843,$CF$7:$CF$1843,CF1635,$AW$7:$AW$1843,AW1635,$BW$7:$BW$1843,"&lt;="&amp;BW1635),"")</f>
        <v>37277.2793635273</v>
      </c>
      <c r="AY1635" s="58" t="n">
        <f aca="false">IF(AX1635="",0,MAX(0,MIN(1,(IF(CF1635="L1",Parameter!$H$5,IF(CF1635="L23",Parameter!$H$6+Parameter!$H$7,Parameter!$H$5+Parameter!$H$6+Parameter!$H$7))-(AX1635-AS1635))/AS1635)))</f>
        <v>0</v>
      </c>
      <c r="AZ1635" s="50" t="n">
        <f aca="false">IF(LEFT(Cockpit!$O$5,1)="A",H1635,IF(Parameter!$E$30="MAX-Bestand",IF(CH1635=1,CI1635,IF(LEFT(Cockpit!$O$5,1)="B",BF1635,MAX(BF1635,H1635))),ROUNDUP(BD1635,0)))</f>
        <v>3</v>
      </c>
      <c r="BA1635" s="50" t="n">
        <f aca="false">IF(BZ1635=1,0,ROUNDUP(AZ1635/BY1635,0))</f>
        <v>1</v>
      </c>
      <c r="BB1635" s="52" t="n">
        <f aca="false">IF(CQ1635&gt;0,CQ1635*MAX(1,AZ1635/X1635),IF(BZ1635=1,IF(AZ1635&lt;=0,0,CD1635*MAX(1,IF(H1635&gt;0,AZ1635/H1635,1))),IF(R1635&gt;0,BA1635/R1635,0))/MAX(0.1,N(Parameter!$M$21)))</f>
        <v>0.0833333333333333</v>
      </c>
      <c r="BC1635" s="50" t="n">
        <f aca="false">BB1635*CB1635</f>
        <v>12.0833333333333</v>
      </c>
      <c r="BD1635" s="51" t="n">
        <f aca="false">IF(LEFT(Cockpit!$O$5,1)="A",H1635,IF(CH1635=1,(CK1635+CI1635)/2,IF(LEFT(Cockpit!$O$5,1)="B",(CK1635+BF1635)/2,MAX((CK1635+BF1635)/2,H1635))))</f>
        <v>2.5</v>
      </c>
      <c r="BE1635" s="50" t="n">
        <f aca="false">BD1635*G1635</f>
        <v>9262.5</v>
      </c>
      <c r="BF1635" s="50" t="n">
        <f aca="false">ROUNDUP(CK1635+MAX(CL1635,2*(J1635/IF(CG1635&gt;0,CG1635,MAX(0.1,N(Cockpit!$O$6)))-CK1635)),0)</f>
        <v>5</v>
      </c>
      <c r="BG1635" s="51" t="n">
        <f aca="false">IF(BC1635&gt;0,J1635/BC1635,-1)</f>
        <v>0</v>
      </c>
      <c r="BH1635" s="51" t="n">
        <f aca="false">IF(AND(OR(CF1635="L1",CF1635="L23",CF1635="LIFT"),BC1635&gt;0),SUMIFS($BC$7:$BC$1843,$CF$7:$CF$1843,CF1635,$BG$7:$BG$1843,"&gt;"&amp;BG1635)+SUMIFS($BC$7:$BC$1843,$CF$7:$CF$1843,CF1635,$BG$7:$BG$1843,BG1635,$BW$7:$BW$1843,"&lt;="&amp;BW1635),"")</f>
        <v>31186.7206390596</v>
      </c>
      <c r="BI1635" s="58" t="n">
        <f aca="false">IF(BH1635="",0,MAX(0,MIN(1,(IF(CF1635="L1",Parameter!$H$5,IF(CF1635="L23",Parameter!$H$6+Parameter!$H$7,Parameter!$H$5+Parameter!$H$6+Parameter!$H$7))-(BH1635-BC1635))/BC1635)))</f>
        <v>1</v>
      </c>
      <c r="BJ1635" s="48" t="str">
        <f aca="false">IF(AI1635&lt;=0,"",IF(CF1635="Aussen","Aussenlager",IF(CF1635="-","Nicht im Lift",IF(AO1635&gt;=1,"Lift",IF(AO1635&lt;=0,"Aussenlager","teilweise")))))</f>
        <v>Lift</v>
      </c>
      <c r="BK1635" s="48" t="str">
        <f aca="false">IF(AS1635&lt;=0,"",IF(CF1635="Aussen","Aussenlager",IF(CF1635="-","Nicht im Lift",IF(AY1635&gt;=1,"Lift",IF(AY1635&lt;=0,"Aussenlager","teilweise")))))</f>
        <v>Aussenlager</v>
      </c>
      <c r="BL1635" s="48" t="str">
        <f aca="false">IF(BC1635&lt;=0,"",IF(CF1635="Aussen","Aussenlager",IF(CF1635="-","Nicht im Lift",IF(BI1635&gt;=1,"Lift",IF(BI1635&lt;=0,"Aussenlager","teilweise")))))</f>
        <v>Lift</v>
      </c>
      <c r="BM1635" s="48" t="str">
        <f aca="false">IF(A1635="","",IF(BV1635=1,"Neu; ","")&amp;IF(AND(BV1635=0,BQ1635&lt;0),"negativer Bestand (Export "&amp;BQ1635&amp;"); ","")&amp;IF(J1635&lt;=0,"Kein Verbrauch; ","")&amp;IF(CQ1635&gt;0,"Lift "&amp;W1635&amp;" lt. Liftbericht (Fach "&amp;X1635&amp;" Stk); ",IF(CA1635=1,"Gebinde geschätzt ("&amp;T1635&amp;"); ",IF(BZ1635=1,"Lose – Tablare geschätzt; ","")))&amp;IF(H1635&gt;AV1635,"Überbestand "&amp;ROUND(H1635-AV1635,0)&amp;" Stk / CHF "&amp;ROUND((H1635-AV1635)*G1635,0)&amp;"; ","")&amp;IF(AND(CH1635=1,CI1635&lt;CJ1635),"MAX &lt; MB+LG; ","")&amp;IF(AND(CP1635&gt;0,CO1635*10&gt;CP1635),"zu hoch für Tablar; ","")&amp;IF(AND(BV1635=0,OR(CH1635=1,AA1635&lt;&gt;"",U1635&lt;&gt;"",V1635&lt;&gt;"",AB1635&lt;&gt;"")),"manuell übersteuert; ","")&amp;IF(AND(BZ1635=0,R1635=0),"Gebinde unbekannt / Stellmass fehlt; ","")&amp;IF(AND(BZ1635=0,N(V1635)&lt;=0,N(Q1635)&lt;=0),"Menge pro Gebinde fehlt (Ist = 1 Gebinde); ","")&amp;BU1635)</f>
        <v>Kein Verbrauch; Gebinde geschätzt (Mittel); Menge pro Gebinde fehlt (Ist = 1 Gebinde); nur im Artikelstamm (Bestand 23.06.2026)</v>
      </c>
      <c r="BN1635" s="48"/>
      <c r="BO1635" s="48"/>
      <c r="BP1635" s="55"/>
      <c r="BQ1635" s="50" t="n">
        <v>1</v>
      </c>
      <c r="BR1635" s="50" t="n">
        <v>0</v>
      </c>
      <c r="BS1635" s="49" t="n">
        <v>0</v>
      </c>
      <c r="BT1635" s="50" t="n">
        <v>0</v>
      </c>
      <c r="BU1635" s="48" t="s">
        <v>2584</v>
      </c>
      <c r="BV1635" s="53" t="n">
        <v>0</v>
      </c>
      <c r="BW1635" s="53" t="n">
        <v>1635</v>
      </c>
      <c r="BX1635" s="48" t="str">
        <f aca="false">IF(U1635&lt;&gt;"",UPPER(TRIM(U1635)),IF(CA1635=1,UPPER(VLOOKUP(T1635,Parameter!$I$27:$K$29,2,0)),IF(P1635="","LOSE",P1635)))</f>
        <v>S61</v>
      </c>
      <c r="BY1635" s="50" t="n">
        <f aca="false">IF(BX1635="LOSE",1,IF(N(V1635)&gt;0,V1635,IF(CA1635=1,MAX(1,N(VLOOKUP(T1635,Parameter!$I$27:$K$29,3,0)),H1635,N(N1635)),IF(N(Q1635)&gt;0,Q1635,MAX(1,H1635)))))</f>
        <v>5</v>
      </c>
      <c r="BZ1635" s="53" t="n">
        <f aca="false">IF(BX1635="LOSE",1,0)</f>
        <v>0</v>
      </c>
      <c r="CA1635" s="53" t="n">
        <f aca="false">IF(AND(U1635="",OR(P1635="",P1635="LOSE"),T1635&lt;&gt;"",N(S1635)&lt;=0,ISNUMBER(MATCH(T1635,Parameter!$I$27:$I$29,0))),1,0)</f>
        <v>1</v>
      </c>
      <c r="CB1635" s="53" t="n">
        <f aca="false">IF(CQ1635&gt;0,INDEX(Parameter!$H$5:$H$7,W1635)/INDEX(Parameter!$E$5:$E$7,W1635),IF(AND(BZ1635=0,N(IFERROR(VLOOKUP(BX1635,'Gebinde-Kategorie'!$A$5:$N$45,14,0),0))&gt;0),VLOOKUP(BX1635,'Gebinde-Kategorie'!$A$5:$N$45,14,0)*10+Parameter!$M$23,Parameter!$M$24))</f>
        <v>145</v>
      </c>
      <c r="CC1635" s="48" t="str">
        <f aca="false">IF(AND(Parameter!$B$19="Ja",E1635&lt;&gt;"",ISNUMBER(MATCH(E1635,Parameter!$I$35:$I$52,0))),VLOOKUP(E1635,Parameter!$I$35:$J$52,2,0),IFERROR(VLOOKUP(D1635,Parameter!$A$35:$C$64,2,0),"Nein"))</f>
        <v>2+3</v>
      </c>
      <c r="CD1635" s="52" t="n">
        <f aca="false">IF(BZ1635=0,0,IF(N(S1635)&gt;0,S1635,IFERROR(VLOOKUP(D1635,Parameter!$A$35:$C$64,3,0)+0,0)))</f>
        <v>0</v>
      </c>
      <c r="CE1635" s="48" t="n">
        <f aca="false">IF(AA1635&lt;&gt;"",AA1635,Z1635)</f>
        <v>2</v>
      </c>
      <c r="CF1635" s="48" t="str">
        <f aca="false">IF(OR(CE1635=1,CE1635=2,CE1635=3),IF(Parameter!$E$27="Ja","LIFT",IF(CE1635=1,"L1","L23")),IF(CE1635="Aussen","Aussen","-"))</f>
        <v>LIFT</v>
      </c>
      <c r="CG1635" s="59" t="n">
        <f aca="false">IF(N(AB1635)&gt;0,AB1635,0)</f>
        <v>0</v>
      </c>
      <c r="CH1635" s="53" t="n">
        <f aca="false">IF(ISNUMBER(AE1635),1,0)</f>
        <v>0</v>
      </c>
      <c r="CI1635" s="50" t="n">
        <f aca="false">N(AE1635)</f>
        <v>0</v>
      </c>
      <c r="CJ1635" s="50" t="n">
        <f aca="false">N(M1635)+N(N1635)</f>
        <v>5</v>
      </c>
      <c r="CK1635" s="50" t="n">
        <f aca="false">N(M1635)</f>
        <v>0</v>
      </c>
      <c r="CL1635" s="50" t="n">
        <f aca="false">N(N1635)</f>
        <v>5</v>
      </c>
      <c r="CM1635" s="50" t="n">
        <f aca="false">ROUNDUP(H1635/BY1635,0)</f>
        <v>1</v>
      </c>
      <c r="CN1635" s="50" t="n">
        <f aca="false">ROUNDUP(CI1635/BY1635,0)</f>
        <v>0</v>
      </c>
      <c r="CO1635" s="53" t="n">
        <f aca="false">IF(BZ1635=1,0,IFERROR(VLOOKUP(BX1635,'Gebinde-Kategorie'!$A$5:$N$45,5,0)+0,0))</f>
        <v>11</v>
      </c>
      <c r="CP1635" s="53" t="n">
        <f aca="false">IFERROR(IF(OR(CE1635=1,CE1635=2,CE1635=3),N(INDEX(Parameter!$I$5:$I$7,CE1635)),0),0)</f>
        <v>0</v>
      </c>
      <c r="CQ1635" s="52" t="n">
        <f aca="false">IF(AND(Parameter!$B$21="Ja",ISNUMBER(W1635),N(X1635)&gt;0),IFERROR(N(INDEX(Parameter!$L$5:$L$7,W1635))*INDEX(Parameter!$E$5:$E$7,W1635)*X1635/SUMIFS($X$7:$X$1843,$W$7:$W$1843,W1635),0),0)</f>
        <v>0</v>
      </c>
    </row>
    <row r="1636" customFormat="false" ht="15" hidden="false" customHeight="false" outlineLevel="0" collapsed="false">
      <c r="A1636" s="48" t="s">
        <v>2855</v>
      </c>
      <c r="B1636" s="48" t="s">
        <v>2856</v>
      </c>
      <c r="C1636" s="48" t="s">
        <v>173</v>
      </c>
      <c r="D1636" s="48" t="s">
        <v>193</v>
      </c>
      <c r="E1636" s="48"/>
      <c r="F1636" s="48"/>
      <c r="G1636" s="49" t="n">
        <v>350</v>
      </c>
      <c r="H1636" s="50" t="n">
        <f aca="false">MAX(0,IF(AND(Parameter!$B$21="Ja",ISNUMBER(Y1636)),Y1636,IF(Parameter!$B$20="Jahresanfang 2025 + Export",BR1636+BQ1636,BQ1636)))</f>
        <v>4</v>
      </c>
      <c r="I1636" s="50" t="n">
        <f aca="false">H1636*G1636</f>
        <v>1400</v>
      </c>
      <c r="J1636" s="50" t="n">
        <f aca="false">BT1636*Parameter!$B$18</f>
        <v>0</v>
      </c>
      <c r="K1636" s="51"/>
      <c r="L1636" s="52"/>
      <c r="M1636" s="50" t="n">
        <v>0</v>
      </c>
      <c r="N1636" s="50" t="n">
        <v>1</v>
      </c>
      <c r="O1636" s="53" t="n">
        <v>0</v>
      </c>
      <c r="P1636" s="48" t="s">
        <v>177</v>
      </c>
      <c r="Q1636" s="50"/>
      <c r="R1636" s="53" t="n">
        <f aca="false">IF(BZ1636=1,0,IFERROR(VLOOKUP(BX1636,'Gebinde-Kategorie'!$A$5:$N$45,13,0)+0,0))</f>
        <v>26</v>
      </c>
      <c r="S1636" s="54"/>
      <c r="T1636" s="55" t="s">
        <v>284</v>
      </c>
      <c r="U1636" s="55"/>
      <c r="V1636" s="55"/>
      <c r="W1636" s="48"/>
      <c r="X1636" s="50"/>
      <c r="Y1636" s="50"/>
      <c r="Z1636" s="48" t="n">
        <f aca="false">IF(A1636="","",IF(AND(Parameter!$B$21="Ja",ISNUMBER(W1636)),W1636,IF(CC1636="2+3",IF(ISNUMBER(SEARCH("grosser Artikel",BU1636)),2,IFERROR(VLOOKUP(BX1636,Parameter!$F$35:$G$64,2,0),2)),IF(OR(CC1636="Nein",CC1636=""),"-",CC1636))))</f>
        <v>3</v>
      </c>
      <c r="AA1636" s="55"/>
      <c r="AB1636" s="56"/>
      <c r="AC1636" s="50" t="n">
        <f aca="false">AV1636</f>
        <v>1</v>
      </c>
      <c r="AD1636" s="50" t="n">
        <f aca="false">MAX(AV1636,H1636)</f>
        <v>4</v>
      </c>
      <c r="AE1636" s="57"/>
      <c r="AF1636" s="50" t="n">
        <f aca="false">IF(LEFT(Cockpit!$C$5,1)="A",H1636,IF(Parameter!$E$30="MAX-Bestand",IF(CH1636=1,CI1636,IF(LEFT(Cockpit!$C$5,1)="B",AL1636,MAX(AL1636,H1636))),ROUNDUP(AJ1636,0)))</f>
        <v>4</v>
      </c>
      <c r="AG1636" s="50" t="n">
        <f aca="false">IF(BZ1636=1,0,ROUNDUP(AF1636/BY1636,0))</f>
        <v>1</v>
      </c>
      <c r="AH1636" s="52" t="n">
        <f aca="false">IF(CQ1636&gt;0,CQ1636*MAX(1,AF1636/X1636),IF(BZ1636=1,IF(AF1636&lt;=0,0,CD1636*MAX(1,IF(H1636&gt;0,AF1636/H1636,1))),IF(R1636&gt;0,AG1636/R1636,0))/MAX(0.1,N(Parameter!$M$21)))</f>
        <v>0.0384615384615385</v>
      </c>
      <c r="AI1636" s="50" t="n">
        <f aca="false">AH1636*CB1636</f>
        <v>5.96153846153846</v>
      </c>
      <c r="AJ1636" s="51" t="n">
        <f aca="false">IF(LEFT(Cockpit!$C$5,1)="A",H1636,IF(CH1636=1,(CK1636+CI1636)/2,IF(LEFT(Cockpit!$C$5,1)="B",(CK1636+AL1636)/2,MAX((CK1636+AL1636)/2,H1636))))</f>
        <v>4</v>
      </c>
      <c r="AK1636" s="50" t="n">
        <f aca="false">AJ1636*G1636</f>
        <v>1400</v>
      </c>
      <c r="AL1636" s="50" t="n">
        <f aca="false">ROUNDUP(CK1636+MAX(CL1636,2*(J1636/IF(CG1636&gt;0,CG1636,MAX(0.1,N(Cockpit!$C$6)))-CK1636)),0)</f>
        <v>1</v>
      </c>
      <c r="AM1636" s="51" t="n">
        <f aca="false">IF(AI1636&gt;0,J1636/AI1636,-1)</f>
        <v>0</v>
      </c>
      <c r="AN1636" s="51" t="n">
        <f aca="false">IF(AND(OR(CF1636="L1",CF1636="L23",CF1636="LIFT"),AI1636&gt;0),SUMIFS($AI$7:$AI$1843,$CF$7:$CF$1843,CF1636,$AM$7:$AM$1843,"&gt;"&amp;AM1636)+SUMIFS($AI$7:$AI$1843,$CF$7:$CF$1843,CF1636,$AM$7:$AM$1843,AM1636,$BW$7:$BW$1843,"&lt;="&amp;BW1636),"")</f>
        <v>30963.3843851535</v>
      </c>
      <c r="AO1636" s="58" t="n">
        <f aca="false">IF(AN1636="",0,MAX(0,MIN(1,(IF(CF1636="L1",Parameter!$H$5,IF(CF1636="L23",Parameter!$H$6+Parameter!$H$7,Parameter!$H$5+Parameter!$H$6+Parameter!$H$7))-(AN1636-AI1636))/AI1636)))</f>
        <v>1</v>
      </c>
      <c r="AP1636" s="50" t="n">
        <f aca="false">IF(LEFT(Cockpit!$I$5,1)="A",H1636,IF(Parameter!$E$30="MAX-Bestand",IF(CH1636=1,CI1636,IF(LEFT(Cockpit!$I$5,1)="B",AV1636,MAX(AV1636,H1636))),ROUNDUP(AT1636,0)))</f>
        <v>4</v>
      </c>
      <c r="AQ1636" s="50" t="n">
        <f aca="false">IF(BZ1636=1,0,ROUNDUP(AP1636/BY1636,0))</f>
        <v>1</v>
      </c>
      <c r="AR1636" s="52" t="n">
        <f aca="false">IF(CQ1636&gt;0,CQ1636*MAX(1,AP1636/X1636),IF(BZ1636=1,IF(AP1636&lt;=0,0,CD1636*MAX(1,IF(H1636&gt;0,AP1636/H1636,1))),IF(R1636&gt;0,AQ1636/R1636,0))/MAX(0.1,N(Parameter!$M$21)))</f>
        <v>0.0384615384615385</v>
      </c>
      <c r="AS1636" s="50" t="n">
        <f aca="false">AR1636*CB1636</f>
        <v>5.96153846153846</v>
      </c>
      <c r="AT1636" s="51" t="n">
        <f aca="false">IF(LEFT(Cockpit!$I$5,1)="A",H1636,IF(CH1636=1,(CK1636+CI1636)/2,IF(LEFT(Cockpit!$I$5,1)="B",(CK1636+AV1636)/2,MAX((CK1636+AV1636)/2,H1636))))</f>
        <v>4</v>
      </c>
      <c r="AU1636" s="50" t="n">
        <f aca="false">AT1636*G1636</f>
        <v>1400</v>
      </c>
      <c r="AV1636" s="50" t="n">
        <f aca="false">ROUNDUP(CK1636+MAX(CL1636,2*(J1636/IF(CG1636&gt;0,CG1636,MAX(0.1,N(Cockpit!$I$6)))-CK1636)),0)</f>
        <v>1</v>
      </c>
      <c r="AW1636" s="51" t="n">
        <f aca="false">IF(AS1636&gt;0,J1636/AS1636,-1)</f>
        <v>0</v>
      </c>
      <c r="AX1636" s="51" t="n">
        <f aca="false">IF(AND(OR(CF1636="L1",CF1636="L23",CF1636="LIFT"),AS1636&gt;0),SUMIFS($AS$7:$AS$1843,$CF$7:$CF$1843,CF1636,$AW$7:$AW$1843,"&gt;"&amp;AW1636)+SUMIFS($AS$7:$AS$1843,$CF$7:$CF$1843,CF1636,$AW$7:$AW$1843,AW1636,$BW$7:$BW$1843,"&lt;="&amp;BW1636),"")</f>
        <v>37283.2409019888</v>
      </c>
      <c r="AY1636" s="58" t="n">
        <f aca="false">IF(AX1636="",0,MAX(0,MIN(1,(IF(CF1636="L1",Parameter!$H$5,IF(CF1636="L23",Parameter!$H$6+Parameter!$H$7,Parameter!$H$5+Parameter!$H$6+Parameter!$H$7))-(AX1636-AS1636))/AS1636)))</f>
        <v>0</v>
      </c>
      <c r="AZ1636" s="50" t="n">
        <f aca="false">IF(LEFT(Cockpit!$O$5,1)="A",H1636,IF(Parameter!$E$30="MAX-Bestand",IF(CH1636=1,CI1636,IF(LEFT(Cockpit!$O$5,1)="B",BF1636,MAX(BF1636,H1636))),ROUNDUP(BD1636,0)))</f>
        <v>1</v>
      </c>
      <c r="BA1636" s="50" t="n">
        <f aca="false">IF(BZ1636=1,0,ROUNDUP(AZ1636/BY1636,0))</f>
        <v>1</v>
      </c>
      <c r="BB1636" s="52" t="n">
        <f aca="false">IF(CQ1636&gt;0,CQ1636*MAX(1,AZ1636/X1636),IF(BZ1636=1,IF(AZ1636&lt;=0,0,CD1636*MAX(1,IF(H1636&gt;0,AZ1636/H1636,1))),IF(R1636&gt;0,BA1636/R1636,0))/MAX(0.1,N(Parameter!$M$21)))</f>
        <v>0.0384615384615385</v>
      </c>
      <c r="BC1636" s="50" t="n">
        <f aca="false">BB1636*CB1636</f>
        <v>5.96153846153846</v>
      </c>
      <c r="BD1636" s="51" t="n">
        <f aca="false">IF(LEFT(Cockpit!$O$5,1)="A",H1636,IF(CH1636=1,(CK1636+CI1636)/2,IF(LEFT(Cockpit!$O$5,1)="B",(CK1636+BF1636)/2,MAX((CK1636+BF1636)/2,H1636))))</f>
        <v>0.5</v>
      </c>
      <c r="BE1636" s="50" t="n">
        <f aca="false">BD1636*G1636</f>
        <v>175</v>
      </c>
      <c r="BF1636" s="50" t="n">
        <f aca="false">ROUNDUP(CK1636+MAX(CL1636,2*(J1636/IF(CG1636&gt;0,CG1636,MAX(0.1,N(Cockpit!$O$6)))-CK1636)),0)</f>
        <v>1</v>
      </c>
      <c r="BG1636" s="51" t="n">
        <f aca="false">IF(BC1636&gt;0,J1636/BC1636,-1)</f>
        <v>0</v>
      </c>
      <c r="BH1636" s="51" t="n">
        <f aca="false">IF(AND(OR(CF1636="L1",CF1636="L23",CF1636="LIFT"),BC1636&gt;0),SUMIFS($BC$7:$BC$1843,$CF$7:$CF$1843,CF1636,$BG$7:$BG$1843,"&gt;"&amp;BG1636)+SUMIFS($BC$7:$BC$1843,$CF$7:$CF$1843,CF1636,$BG$7:$BG$1843,BG1636,$BW$7:$BW$1843,"&lt;="&amp;BW1636),"")</f>
        <v>31192.6821775212</v>
      </c>
      <c r="BI1636" s="58" t="n">
        <f aca="false">IF(BH1636="",0,MAX(0,MIN(1,(IF(CF1636="L1",Parameter!$H$5,IF(CF1636="L23",Parameter!$H$6+Parameter!$H$7,Parameter!$H$5+Parameter!$H$6+Parameter!$H$7))-(BH1636-BC1636))/BC1636)))</f>
        <v>1</v>
      </c>
      <c r="BJ1636" s="48" t="str">
        <f aca="false">IF(AI1636&lt;=0,"",IF(CF1636="Aussen","Aussenlager",IF(CF1636="-","Nicht im Lift",IF(AO1636&gt;=1,"Lift",IF(AO1636&lt;=0,"Aussenlager","teilweise")))))</f>
        <v>Lift</v>
      </c>
      <c r="BK1636" s="48" t="str">
        <f aca="false">IF(AS1636&lt;=0,"",IF(CF1636="Aussen","Aussenlager",IF(CF1636="-","Nicht im Lift",IF(AY1636&gt;=1,"Lift",IF(AY1636&lt;=0,"Aussenlager","teilweise")))))</f>
        <v>Aussenlager</v>
      </c>
      <c r="BL1636" s="48" t="str">
        <f aca="false">IF(BC1636&lt;=0,"",IF(CF1636="Aussen","Aussenlager",IF(CF1636="-","Nicht im Lift",IF(BI1636&gt;=1,"Lift",IF(BI1636&lt;=0,"Aussenlager","teilweise")))))</f>
        <v>Lift</v>
      </c>
      <c r="BM1636" s="48" t="str">
        <f aca="false">IF(A1636="","",IF(BV1636=1,"Neu; ","")&amp;IF(AND(BV1636=0,BQ1636&lt;0),"negativer Bestand (Export "&amp;BQ1636&amp;"); ","")&amp;IF(J1636&lt;=0,"Kein Verbrauch; ","")&amp;IF(CQ1636&gt;0,"Lift "&amp;W1636&amp;" lt. Liftbericht (Fach "&amp;X1636&amp;" Stk); ",IF(CA1636=1,"Gebinde geschätzt ("&amp;T1636&amp;"); ",IF(BZ1636=1,"Lose – Tablare geschätzt; ","")))&amp;IF(H1636&gt;AV1636,"Überbestand "&amp;ROUND(H1636-AV1636,0)&amp;" Stk / CHF "&amp;ROUND((H1636-AV1636)*G1636,0)&amp;"; ","")&amp;IF(AND(CH1636=1,CI1636&lt;CJ1636),"MAX &lt; MB+LG; ","")&amp;IF(AND(CP1636&gt;0,CO1636*10&gt;CP1636),"zu hoch für Tablar; ","")&amp;IF(AND(BV1636=0,OR(CH1636=1,AA1636&lt;&gt;"",U1636&lt;&gt;"",V1636&lt;&gt;"",AB1636&lt;&gt;"")),"manuell übersteuert; ","")&amp;IF(AND(BZ1636=0,R1636=0),"Gebinde unbekannt / Stellmass fehlt; ","")&amp;IF(AND(BZ1636=0,N(V1636)&lt;=0,N(Q1636)&lt;=0),"Menge pro Gebinde fehlt (Ist = 1 Gebinde); ","")&amp;BU1636)</f>
        <v>Kein Verbrauch; Gebinde geschätzt (Klein); Überbestand 3 Stk / CHF 1050; Menge pro Gebinde fehlt (Ist = 1 Gebinde); nur im Artikelstamm (Bestand 23.06.2026)</v>
      </c>
      <c r="BN1636" s="48"/>
      <c r="BO1636" s="48"/>
      <c r="BP1636" s="55"/>
      <c r="BQ1636" s="50" t="n">
        <v>4</v>
      </c>
      <c r="BR1636" s="50" t="n">
        <v>0</v>
      </c>
      <c r="BS1636" s="49" t="n">
        <v>0</v>
      </c>
      <c r="BT1636" s="50" t="n">
        <v>0</v>
      </c>
      <c r="BU1636" s="48" t="s">
        <v>2584</v>
      </c>
      <c r="BV1636" s="53" t="n">
        <v>0</v>
      </c>
      <c r="BW1636" s="53" t="n">
        <v>1636</v>
      </c>
      <c r="BX1636" s="48" t="str">
        <f aca="false">IF(U1636&lt;&gt;"",UPPER(TRIM(U1636)),IF(CA1636=1,UPPER(VLOOKUP(T1636,Parameter!$I$27:$K$29,2,0)),IF(P1636="","LOSE",P1636)))</f>
        <v>S51</v>
      </c>
      <c r="BY1636" s="50" t="n">
        <f aca="false">IF(BX1636="LOSE",1,IF(N(V1636)&gt;0,V1636,IF(CA1636=1,MAX(1,N(VLOOKUP(T1636,Parameter!$I$27:$K$29,3,0)),H1636,N(N1636)),IF(N(Q1636)&gt;0,Q1636,MAX(1,H1636)))))</f>
        <v>20</v>
      </c>
      <c r="BZ1636" s="53" t="n">
        <f aca="false">IF(BX1636="LOSE",1,0)</f>
        <v>0</v>
      </c>
      <c r="CA1636" s="53" t="n">
        <f aca="false">IF(AND(U1636="",OR(P1636="",P1636="LOSE"),T1636&lt;&gt;"",N(S1636)&lt;=0,ISNUMBER(MATCH(T1636,Parameter!$I$27:$I$29,0))),1,0)</f>
        <v>1</v>
      </c>
      <c r="CB1636" s="53" t="n">
        <f aca="false">IF(CQ1636&gt;0,INDEX(Parameter!$H$5:$H$7,W1636)/INDEX(Parameter!$E$5:$E$7,W1636),IF(AND(BZ1636=0,N(IFERROR(VLOOKUP(BX1636,'Gebinde-Kategorie'!$A$5:$N$45,14,0),0))&gt;0),VLOOKUP(BX1636,'Gebinde-Kategorie'!$A$5:$N$45,14,0)*10+Parameter!$M$23,Parameter!$M$24))</f>
        <v>155</v>
      </c>
      <c r="CC1636" s="48" t="str">
        <f aca="false">IF(AND(Parameter!$B$19="Ja",E1636&lt;&gt;"",ISNUMBER(MATCH(E1636,Parameter!$I$35:$I$52,0))),VLOOKUP(E1636,Parameter!$I$35:$J$52,2,0),IFERROR(VLOOKUP(D1636,Parameter!$A$35:$C$64,2,0),"Nein"))</f>
        <v>2+3</v>
      </c>
      <c r="CD1636" s="52" t="n">
        <f aca="false">IF(BZ1636=0,0,IF(N(S1636)&gt;0,S1636,IFERROR(VLOOKUP(D1636,Parameter!$A$35:$C$64,3,0)+0,0)))</f>
        <v>0</v>
      </c>
      <c r="CE1636" s="48" t="n">
        <f aca="false">IF(AA1636&lt;&gt;"",AA1636,Z1636)</f>
        <v>3</v>
      </c>
      <c r="CF1636" s="48" t="str">
        <f aca="false">IF(OR(CE1636=1,CE1636=2,CE1636=3),IF(Parameter!$E$27="Ja","LIFT",IF(CE1636=1,"L1","L23")),IF(CE1636="Aussen","Aussen","-"))</f>
        <v>LIFT</v>
      </c>
      <c r="CG1636" s="59" t="n">
        <f aca="false">IF(N(AB1636)&gt;0,AB1636,0)</f>
        <v>0</v>
      </c>
      <c r="CH1636" s="53" t="n">
        <f aca="false">IF(ISNUMBER(AE1636),1,0)</f>
        <v>0</v>
      </c>
      <c r="CI1636" s="50" t="n">
        <f aca="false">N(AE1636)</f>
        <v>0</v>
      </c>
      <c r="CJ1636" s="50" t="n">
        <f aca="false">N(M1636)+N(N1636)</f>
        <v>1</v>
      </c>
      <c r="CK1636" s="50" t="n">
        <f aca="false">N(M1636)</f>
        <v>0</v>
      </c>
      <c r="CL1636" s="50" t="n">
        <f aca="false">N(N1636)</f>
        <v>1</v>
      </c>
      <c r="CM1636" s="50" t="n">
        <f aca="false">ROUNDUP(H1636/BY1636,0)</f>
        <v>1</v>
      </c>
      <c r="CN1636" s="50" t="n">
        <f aca="false">ROUNDUP(CI1636/BY1636,0)</f>
        <v>0</v>
      </c>
      <c r="CO1636" s="53" t="n">
        <f aca="false">IF(BZ1636=1,0,IFERROR(VLOOKUP(BX1636,'Gebinde-Kategorie'!$A$5:$N$45,5,0)+0,0))</f>
        <v>11</v>
      </c>
      <c r="CP1636" s="53" t="n">
        <f aca="false">IFERROR(IF(OR(CE1636=1,CE1636=2,CE1636=3),N(INDEX(Parameter!$I$5:$I$7,CE1636)),0),0)</f>
        <v>0</v>
      </c>
      <c r="CQ1636" s="52" t="n">
        <f aca="false">IF(AND(Parameter!$B$21="Ja",ISNUMBER(W1636),N(X1636)&gt;0),IFERROR(N(INDEX(Parameter!$L$5:$L$7,W1636))*INDEX(Parameter!$E$5:$E$7,W1636)*X1636/SUMIFS($X$7:$X$1843,$W$7:$W$1843,W1636),0),0)</f>
        <v>0</v>
      </c>
    </row>
    <row r="1637" customFormat="false" ht="15" hidden="false" customHeight="false" outlineLevel="0" collapsed="false">
      <c r="A1637" s="48" t="s">
        <v>2857</v>
      </c>
      <c r="B1637" s="48" t="s">
        <v>383</v>
      </c>
      <c r="C1637" s="48" t="s">
        <v>173</v>
      </c>
      <c r="D1637" s="48" t="s">
        <v>193</v>
      </c>
      <c r="E1637" s="48"/>
      <c r="F1637" s="48"/>
      <c r="G1637" s="49" t="n">
        <v>100</v>
      </c>
      <c r="H1637" s="50" t="n">
        <f aca="false">MAX(0,IF(AND(Parameter!$B$21="Ja",ISNUMBER(Y1637)),Y1637,IF(Parameter!$B$20="Jahresanfang 2025 + Export",BR1637+BQ1637,BQ1637)))</f>
        <v>10</v>
      </c>
      <c r="I1637" s="50" t="n">
        <f aca="false">H1637*G1637</f>
        <v>1000</v>
      </c>
      <c r="J1637" s="50" t="n">
        <f aca="false">BT1637*Parameter!$B$18</f>
        <v>0</v>
      </c>
      <c r="K1637" s="51"/>
      <c r="L1637" s="52"/>
      <c r="M1637" s="50" t="n">
        <v>0</v>
      </c>
      <c r="N1637" s="50" t="n">
        <v>4</v>
      </c>
      <c r="O1637" s="53" t="n">
        <v>35</v>
      </c>
      <c r="P1637" s="48" t="s">
        <v>177</v>
      </c>
      <c r="Q1637" s="50"/>
      <c r="R1637" s="53" t="n">
        <f aca="false">IF(BZ1637=1,0,IFERROR(VLOOKUP(BX1637,'Gebinde-Kategorie'!$A$5:$N$45,13,0)+0,0))</f>
        <v>26</v>
      </c>
      <c r="S1637" s="54"/>
      <c r="T1637" s="55" t="s">
        <v>284</v>
      </c>
      <c r="U1637" s="55"/>
      <c r="V1637" s="55"/>
      <c r="W1637" s="48"/>
      <c r="X1637" s="50"/>
      <c r="Y1637" s="50"/>
      <c r="Z1637" s="48" t="n">
        <f aca="false">IF(A1637="","",IF(AND(Parameter!$B$21="Ja",ISNUMBER(W1637)),W1637,IF(CC1637="2+3",IF(ISNUMBER(SEARCH("grosser Artikel",BU1637)),2,IFERROR(VLOOKUP(BX1637,Parameter!$F$35:$G$64,2,0),2)),IF(OR(CC1637="Nein",CC1637=""),"-",CC1637))))</f>
        <v>3</v>
      </c>
      <c r="AA1637" s="55"/>
      <c r="AB1637" s="56"/>
      <c r="AC1637" s="50" t="n">
        <f aca="false">AV1637</f>
        <v>4</v>
      </c>
      <c r="AD1637" s="50" t="n">
        <f aca="false">MAX(AV1637,H1637)</f>
        <v>10</v>
      </c>
      <c r="AE1637" s="57"/>
      <c r="AF1637" s="50" t="n">
        <f aca="false">IF(LEFT(Cockpit!$C$5,1)="A",H1637,IF(Parameter!$E$30="MAX-Bestand",IF(CH1637=1,CI1637,IF(LEFT(Cockpit!$C$5,1)="B",AL1637,MAX(AL1637,H1637))),ROUNDUP(AJ1637,0)))</f>
        <v>10</v>
      </c>
      <c r="AG1637" s="50" t="n">
        <f aca="false">IF(BZ1637=1,0,ROUNDUP(AF1637/BY1637,0))</f>
        <v>1</v>
      </c>
      <c r="AH1637" s="52" t="n">
        <f aca="false">IF(CQ1637&gt;0,CQ1637*MAX(1,AF1637/X1637),IF(BZ1637=1,IF(AF1637&lt;=0,0,CD1637*MAX(1,IF(H1637&gt;0,AF1637/H1637,1))),IF(R1637&gt;0,AG1637/R1637,0))/MAX(0.1,N(Parameter!$M$21)))</f>
        <v>0.0384615384615385</v>
      </c>
      <c r="AI1637" s="50" t="n">
        <f aca="false">AH1637*CB1637</f>
        <v>5.96153846153846</v>
      </c>
      <c r="AJ1637" s="51" t="n">
        <f aca="false">IF(LEFT(Cockpit!$C$5,1)="A",H1637,IF(CH1637=1,(CK1637+CI1637)/2,IF(LEFT(Cockpit!$C$5,1)="B",(CK1637+AL1637)/2,MAX((CK1637+AL1637)/2,H1637))))</f>
        <v>10</v>
      </c>
      <c r="AK1637" s="50" t="n">
        <f aca="false">AJ1637*G1637</f>
        <v>1000</v>
      </c>
      <c r="AL1637" s="50" t="n">
        <f aca="false">ROUNDUP(CK1637+MAX(CL1637,2*(J1637/IF(CG1637&gt;0,CG1637,MAX(0.1,N(Cockpit!$C$6)))-CK1637)),0)</f>
        <v>4</v>
      </c>
      <c r="AM1637" s="51" t="n">
        <f aca="false">IF(AI1637&gt;0,J1637/AI1637,-1)</f>
        <v>0</v>
      </c>
      <c r="AN1637" s="51" t="n">
        <f aca="false">IF(AND(OR(CF1637="L1",CF1637="L23",CF1637="LIFT"),AI1637&gt;0),SUMIFS($AI$7:$AI$1843,$CF$7:$CF$1843,CF1637,$AM$7:$AM$1843,"&gt;"&amp;AM1637)+SUMIFS($AI$7:$AI$1843,$CF$7:$CF$1843,CF1637,$AM$7:$AM$1843,AM1637,$BW$7:$BW$1843,"&lt;="&amp;BW1637),"")</f>
        <v>30969.345923615</v>
      </c>
      <c r="AO1637" s="58" t="n">
        <f aca="false">IF(AN1637="",0,MAX(0,MIN(1,(IF(CF1637="L1",Parameter!$H$5,IF(CF1637="L23",Parameter!$H$6+Parameter!$H$7,Parameter!$H$5+Parameter!$H$6+Parameter!$H$7))-(AN1637-AI1637))/AI1637)))</f>
        <v>1</v>
      </c>
      <c r="AP1637" s="50" t="n">
        <f aca="false">IF(LEFT(Cockpit!$I$5,1)="A",H1637,IF(Parameter!$E$30="MAX-Bestand",IF(CH1637=1,CI1637,IF(LEFT(Cockpit!$I$5,1)="B",AV1637,MAX(AV1637,H1637))),ROUNDUP(AT1637,0)))</f>
        <v>10</v>
      </c>
      <c r="AQ1637" s="50" t="n">
        <f aca="false">IF(BZ1637=1,0,ROUNDUP(AP1637/BY1637,0))</f>
        <v>1</v>
      </c>
      <c r="AR1637" s="52" t="n">
        <f aca="false">IF(CQ1637&gt;0,CQ1637*MAX(1,AP1637/X1637),IF(BZ1637=1,IF(AP1637&lt;=0,0,CD1637*MAX(1,IF(H1637&gt;0,AP1637/H1637,1))),IF(R1637&gt;0,AQ1637/R1637,0))/MAX(0.1,N(Parameter!$M$21)))</f>
        <v>0.0384615384615385</v>
      </c>
      <c r="AS1637" s="50" t="n">
        <f aca="false">AR1637*CB1637</f>
        <v>5.96153846153846</v>
      </c>
      <c r="AT1637" s="51" t="n">
        <f aca="false">IF(LEFT(Cockpit!$I$5,1)="A",H1637,IF(CH1637=1,(CK1637+CI1637)/2,IF(LEFT(Cockpit!$I$5,1)="B",(CK1637+AV1637)/2,MAX((CK1637+AV1637)/2,H1637))))</f>
        <v>10</v>
      </c>
      <c r="AU1637" s="50" t="n">
        <f aca="false">AT1637*G1637</f>
        <v>1000</v>
      </c>
      <c r="AV1637" s="50" t="n">
        <f aca="false">ROUNDUP(CK1637+MAX(CL1637,2*(J1637/IF(CG1637&gt;0,CG1637,MAX(0.1,N(Cockpit!$I$6)))-CK1637)),0)</f>
        <v>4</v>
      </c>
      <c r="AW1637" s="51" t="n">
        <f aca="false">IF(AS1637&gt;0,J1637/AS1637,-1)</f>
        <v>0</v>
      </c>
      <c r="AX1637" s="51" t="n">
        <f aca="false">IF(AND(OR(CF1637="L1",CF1637="L23",CF1637="LIFT"),AS1637&gt;0),SUMIFS($AS$7:$AS$1843,$CF$7:$CF$1843,CF1637,$AW$7:$AW$1843,"&gt;"&amp;AW1637)+SUMIFS($AS$7:$AS$1843,$CF$7:$CF$1843,CF1637,$AW$7:$AW$1843,AW1637,$BW$7:$BW$1843,"&lt;="&amp;BW1637),"")</f>
        <v>37289.2024404503</v>
      </c>
      <c r="AY1637" s="58" t="n">
        <f aca="false">IF(AX1637="",0,MAX(0,MIN(1,(IF(CF1637="L1",Parameter!$H$5,IF(CF1637="L23",Parameter!$H$6+Parameter!$H$7,Parameter!$H$5+Parameter!$H$6+Parameter!$H$7))-(AX1637-AS1637))/AS1637)))</f>
        <v>0</v>
      </c>
      <c r="AZ1637" s="50" t="n">
        <f aca="false">IF(LEFT(Cockpit!$O$5,1)="A",H1637,IF(Parameter!$E$30="MAX-Bestand",IF(CH1637=1,CI1637,IF(LEFT(Cockpit!$O$5,1)="B",BF1637,MAX(BF1637,H1637))),ROUNDUP(BD1637,0)))</f>
        <v>2</v>
      </c>
      <c r="BA1637" s="50" t="n">
        <f aca="false">IF(BZ1637=1,0,ROUNDUP(AZ1637/BY1637,0))</f>
        <v>1</v>
      </c>
      <c r="BB1637" s="52" t="n">
        <f aca="false">IF(CQ1637&gt;0,CQ1637*MAX(1,AZ1637/X1637),IF(BZ1637=1,IF(AZ1637&lt;=0,0,CD1637*MAX(1,IF(H1637&gt;0,AZ1637/H1637,1))),IF(R1637&gt;0,BA1637/R1637,0))/MAX(0.1,N(Parameter!$M$21)))</f>
        <v>0.0384615384615385</v>
      </c>
      <c r="BC1637" s="50" t="n">
        <f aca="false">BB1637*CB1637</f>
        <v>5.96153846153846</v>
      </c>
      <c r="BD1637" s="51" t="n">
        <f aca="false">IF(LEFT(Cockpit!$O$5,1)="A",H1637,IF(CH1637=1,(CK1637+CI1637)/2,IF(LEFT(Cockpit!$O$5,1)="B",(CK1637+BF1637)/2,MAX((CK1637+BF1637)/2,H1637))))</f>
        <v>2</v>
      </c>
      <c r="BE1637" s="50" t="n">
        <f aca="false">BD1637*G1637</f>
        <v>200</v>
      </c>
      <c r="BF1637" s="50" t="n">
        <f aca="false">ROUNDUP(CK1637+MAX(CL1637,2*(J1637/IF(CG1637&gt;0,CG1637,MAX(0.1,N(Cockpit!$O$6)))-CK1637)),0)</f>
        <v>4</v>
      </c>
      <c r="BG1637" s="51" t="n">
        <f aca="false">IF(BC1637&gt;0,J1637/BC1637,-1)</f>
        <v>0</v>
      </c>
      <c r="BH1637" s="51" t="n">
        <f aca="false">IF(AND(OR(CF1637="L1",CF1637="L23",CF1637="LIFT"),BC1637&gt;0),SUMIFS($BC$7:$BC$1843,$CF$7:$CF$1843,CF1637,$BG$7:$BG$1843,"&gt;"&amp;BG1637)+SUMIFS($BC$7:$BC$1843,$CF$7:$CF$1843,CF1637,$BG$7:$BG$1843,BG1637,$BW$7:$BW$1843,"&lt;="&amp;BW1637),"")</f>
        <v>31198.6437159827</v>
      </c>
      <c r="BI1637" s="58" t="n">
        <f aca="false">IF(BH1637="",0,MAX(0,MIN(1,(IF(CF1637="L1",Parameter!$H$5,IF(CF1637="L23",Parameter!$H$6+Parameter!$H$7,Parameter!$H$5+Parameter!$H$6+Parameter!$H$7))-(BH1637-BC1637))/BC1637)))</f>
        <v>1</v>
      </c>
      <c r="BJ1637" s="48" t="str">
        <f aca="false">IF(AI1637&lt;=0,"",IF(CF1637="Aussen","Aussenlager",IF(CF1637="-","Nicht im Lift",IF(AO1637&gt;=1,"Lift",IF(AO1637&lt;=0,"Aussenlager","teilweise")))))</f>
        <v>Lift</v>
      </c>
      <c r="BK1637" s="48" t="str">
        <f aca="false">IF(AS1637&lt;=0,"",IF(CF1637="Aussen","Aussenlager",IF(CF1637="-","Nicht im Lift",IF(AY1637&gt;=1,"Lift",IF(AY1637&lt;=0,"Aussenlager","teilweise")))))</f>
        <v>Aussenlager</v>
      </c>
      <c r="BL1637" s="48" t="str">
        <f aca="false">IF(BC1637&lt;=0,"",IF(CF1637="Aussen","Aussenlager",IF(CF1637="-","Nicht im Lift",IF(BI1637&gt;=1,"Lift",IF(BI1637&lt;=0,"Aussenlager","teilweise")))))</f>
        <v>Lift</v>
      </c>
      <c r="BM1637" s="48" t="str">
        <f aca="false">IF(A1637="","",IF(BV1637=1,"Neu; ","")&amp;IF(AND(BV1637=0,BQ1637&lt;0),"negativer Bestand (Export "&amp;BQ1637&amp;"); ","")&amp;IF(J1637&lt;=0,"Kein Verbrauch; ","")&amp;IF(CQ1637&gt;0,"Lift "&amp;W1637&amp;" lt. Liftbericht (Fach "&amp;X1637&amp;" Stk); ",IF(CA1637=1,"Gebinde geschätzt ("&amp;T1637&amp;"); ",IF(BZ1637=1,"Lose – Tablare geschätzt; ","")))&amp;IF(H1637&gt;AV1637,"Überbestand "&amp;ROUND(H1637-AV1637,0)&amp;" Stk / CHF "&amp;ROUND((H1637-AV1637)*G1637,0)&amp;"; ","")&amp;IF(AND(CH1637=1,CI1637&lt;CJ1637),"MAX &lt; MB+LG; ","")&amp;IF(AND(CP1637&gt;0,CO1637*10&gt;CP1637),"zu hoch für Tablar; ","")&amp;IF(AND(BV1637=0,OR(CH1637=1,AA1637&lt;&gt;"",U1637&lt;&gt;"",V1637&lt;&gt;"",AB1637&lt;&gt;"")),"manuell übersteuert; ","")&amp;IF(AND(BZ1637=0,R1637=0),"Gebinde unbekannt / Stellmass fehlt; ","")&amp;IF(AND(BZ1637=0,N(V1637)&lt;=0,N(Q1637)&lt;=0),"Menge pro Gebinde fehlt (Ist = 1 Gebinde); ","")&amp;BU1637)</f>
        <v>Kein Verbrauch; Gebinde geschätzt (Klein); Überbestand 6 Stk / CHF 600; Menge pro Gebinde fehlt (Ist = 1 Gebinde); nur im Artikelstamm (Bestand 23.06.2026)</v>
      </c>
      <c r="BN1637" s="48"/>
      <c r="BO1637" s="48"/>
      <c r="BP1637" s="55"/>
      <c r="BQ1637" s="50" t="n">
        <v>10</v>
      </c>
      <c r="BR1637" s="50" t="n">
        <v>0</v>
      </c>
      <c r="BS1637" s="49" t="n">
        <v>0</v>
      </c>
      <c r="BT1637" s="50" t="n">
        <v>0</v>
      </c>
      <c r="BU1637" s="48" t="s">
        <v>2584</v>
      </c>
      <c r="BV1637" s="53" t="n">
        <v>0</v>
      </c>
      <c r="BW1637" s="53" t="n">
        <v>1637</v>
      </c>
      <c r="BX1637" s="48" t="str">
        <f aca="false">IF(U1637&lt;&gt;"",UPPER(TRIM(U1637)),IF(CA1637=1,UPPER(VLOOKUP(T1637,Parameter!$I$27:$K$29,2,0)),IF(P1637="","LOSE",P1637)))</f>
        <v>S51</v>
      </c>
      <c r="BY1637" s="50" t="n">
        <f aca="false">IF(BX1637="LOSE",1,IF(N(V1637)&gt;0,V1637,IF(CA1637=1,MAX(1,N(VLOOKUP(T1637,Parameter!$I$27:$K$29,3,0)),H1637,N(N1637)),IF(N(Q1637)&gt;0,Q1637,MAX(1,H1637)))))</f>
        <v>20</v>
      </c>
      <c r="BZ1637" s="53" t="n">
        <f aca="false">IF(BX1637="LOSE",1,0)</f>
        <v>0</v>
      </c>
      <c r="CA1637" s="53" t="n">
        <f aca="false">IF(AND(U1637="",OR(P1637="",P1637="LOSE"),T1637&lt;&gt;"",N(S1637)&lt;=0,ISNUMBER(MATCH(T1637,Parameter!$I$27:$I$29,0))),1,0)</f>
        <v>1</v>
      </c>
      <c r="CB1637" s="53" t="n">
        <f aca="false">IF(CQ1637&gt;0,INDEX(Parameter!$H$5:$H$7,W1637)/INDEX(Parameter!$E$5:$E$7,W1637),IF(AND(BZ1637=0,N(IFERROR(VLOOKUP(BX1637,'Gebinde-Kategorie'!$A$5:$N$45,14,0),0))&gt;0),VLOOKUP(BX1637,'Gebinde-Kategorie'!$A$5:$N$45,14,0)*10+Parameter!$M$23,Parameter!$M$24))</f>
        <v>155</v>
      </c>
      <c r="CC1637" s="48" t="str">
        <f aca="false">IF(AND(Parameter!$B$19="Ja",E1637&lt;&gt;"",ISNUMBER(MATCH(E1637,Parameter!$I$35:$I$52,0))),VLOOKUP(E1637,Parameter!$I$35:$J$52,2,0),IFERROR(VLOOKUP(D1637,Parameter!$A$35:$C$64,2,0),"Nein"))</f>
        <v>2+3</v>
      </c>
      <c r="CD1637" s="52" t="n">
        <f aca="false">IF(BZ1637=0,0,IF(N(S1637)&gt;0,S1637,IFERROR(VLOOKUP(D1637,Parameter!$A$35:$C$64,3,0)+0,0)))</f>
        <v>0</v>
      </c>
      <c r="CE1637" s="48" t="n">
        <f aca="false">IF(AA1637&lt;&gt;"",AA1637,Z1637)</f>
        <v>3</v>
      </c>
      <c r="CF1637" s="48" t="str">
        <f aca="false">IF(OR(CE1637=1,CE1637=2,CE1637=3),IF(Parameter!$E$27="Ja","LIFT",IF(CE1637=1,"L1","L23")),IF(CE1637="Aussen","Aussen","-"))</f>
        <v>LIFT</v>
      </c>
      <c r="CG1637" s="59" t="n">
        <f aca="false">IF(N(AB1637)&gt;0,AB1637,0)</f>
        <v>0</v>
      </c>
      <c r="CH1637" s="53" t="n">
        <f aca="false">IF(ISNUMBER(AE1637),1,0)</f>
        <v>0</v>
      </c>
      <c r="CI1637" s="50" t="n">
        <f aca="false">N(AE1637)</f>
        <v>0</v>
      </c>
      <c r="CJ1637" s="50" t="n">
        <f aca="false">N(M1637)+N(N1637)</f>
        <v>4</v>
      </c>
      <c r="CK1637" s="50" t="n">
        <f aca="false">N(M1637)</f>
        <v>0</v>
      </c>
      <c r="CL1637" s="50" t="n">
        <f aca="false">N(N1637)</f>
        <v>4</v>
      </c>
      <c r="CM1637" s="50" t="n">
        <f aca="false">ROUNDUP(H1637/BY1637,0)</f>
        <v>1</v>
      </c>
      <c r="CN1637" s="50" t="n">
        <f aca="false">ROUNDUP(CI1637/BY1637,0)</f>
        <v>0</v>
      </c>
      <c r="CO1637" s="53" t="n">
        <f aca="false">IF(BZ1637=1,0,IFERROR(VLOOKUP(BX1637,'Gebinde-Kategorie'!$A$5:$N$45,5,0)+0,0))</f>
        <v>11</v>
      </c>
      <c r="CP1637" s="53" t="n">
        <f aca="false">IFERROR(IF(OR(CE1637=1,CE1637=2,CE1637=3),N(INDEX(Parameter!$I$5:$I$7,CE1637)),0),0)</f>
        <v>0</v>
      </c>
      <c r="CQ1637" s="52" t="n">
        <f aca="false">IF(AND(Parameter!$B$21="Ja",ISNUMBER(W1637),N(X1637)&gt;0),IFERROR(N(INDEX(Parameter!$L$5:$L$7,W1637))*INDEX(Parameter!$E$5:$E$7,W1637)*X1637/SUMIFS($X$7:$X$1843,$W$7:$W$1843,W1637),0),0)</f>
        <v>0</v>
      </c>
    </row>
    <row r="1638" customFormat="false" ht="15" hidden="false" customHeight="false" outlineLevel="0" collapsed="false">
      <c r="A1638" s="48" t="s">
        <v>2858</v>
      </c>
      <c r="B1638" s="48" t="s">
        <v>414</v>
      </c>
      <c r="C1638" s="48" t="s">
        <v>173</v>
      </c>
      <c r="D1638" s="48" t="s">
        <v>193</v>
      </c>
      <c r="E1638" s="48"/>
      <c r="F1638" s="48"/>
      <c r="G1638" s="49" t="n">
        <v>0.67</v>
      </c>
      <c r="H1638" s="50" t="n">
        <f aca="false">MAX(0,IF(AND(Parameter!$B$21="Ja",ISNUMBER(Y1638)),Y1638,IF(Parameter!$B$20="Jahresanfang 2025 + Export",BR1638+BQ1638,BQ1638)))</f>
        <v>500</v>
      </c>
      <c r="I1638" s="50" t="n">
        <f aca="false">H1638*G1638</f>
        <v>335</v>
      </c>
      <c r="J1638" s="50" t="n">
        <f aca="false">BT1638*Parameter!$B$18</f>
        <v>0</v>
      </c>
      <c r="K1638" s="51"/>
      <c r="L1638" s="52"/>
      <c r="M1638" s="50" t="n">
        <v>0</v>
      </c>
      <c r="N1638" s="50" t="n">
        <v>100</v>
      </c>
      <c r="O1638" s="53" t="n">
        <v>28</v>
      </c>
      <c r="P1638" s="48" t="s">
        <v>177</v>
      </c>
      <c r="Q1638" s="50"/>
      <c r="R1638" s="53" t="n">
        <f aca="false">IF(BZ1638=1,0,IFERROR(VLOOKUP(BX1638,'Gebinde-Kategorie'!$A$5:$N$45,13,0)+0,0))</f>
        <v>26</v>
      </c>
      <c r="S1638" s="54"/>
      <c r="T1638" s="55" t="s">
        <v>284</v>
      </c>
      <c r="U1638" s="55"/>
      <c r="V1638" s="55"/>
      <c r="W1638" s="48"/>
      <c r="X1638" s="50"/>
      <c r="Y1638" s="50"/>
      <c r="Z1638" s="48" t="n">
        <f aca="false">IF(A1638="","",IF(AND(Parameter!$B$21="Ja",ISNUMBER(W1638)),W1638,IF(CC1638="2+3",IF(ISNUMBER(SEARCH("grosser Artikel",BU1638)),2,IFERROR(VLOOKUP(BX1638,Parameter!$F$35:$G$64,2,0),2)),IF(OR(CC1638="Nein",CC1638=""),"-",CC1638))))</f>
        <v>3</v>
      </c>
      <c r="AA1638" s="55"/>
      <c r="AB1638" s="56"/>
      <c r="AC1638" s="50" t="n">
        <f aca="false">AV1638</f>
        <v>100</v>
      </c>
      <c r="AD1638" s="50" t="n">
        <f aca="false">MAX(AV1638,H1638)</f>
        <v>500</v>
      </c>
      <c r="AE1638" s="57"/>
      <c r="AF1638" s="50" t="n">
        <f aca="false">IF(LEFT(Cockpit!$C$5,1)="A",H1638,IF(Parameter!$E$30="MAX-Bestand",IF(CH1638=1,CI1638,IF(LEFT(Cockpit!$C$5,1)="B",AL1638,MAX(AL1638,H1638))),ROUNDUP(AJ1638,0)))</f>
        <v>500</v>
      </c>
      <c r="AG1638" s="50" t="n">
        <f aca="false">IF(BZ1638=1,0,ROUNDUP(AF1638/BY1638,0))</f>
        <v>1</v>
      </c>
      <c r="AH1638" s="52" t="n">
        <f aca="false">IF(CQ1638&gt;0,CQ1638*MAX(1,AF1638/X1638),IF(BZ1638=1,IF(AF1638&lt;=0,0,CD1638*MAX(1,IF(H1638&gt;0,AF1638/H1638,1))),IF(R1638&gt;0,AG1638/R1638,0))/MAX(0.1,N(Parameter!$M$21)))</f>
        <v>0.0384615384615385</v>
      </c>
      <c r="AI1638" s="50" t="n">
        <f aca="false">AH1638*CB1638</f>
        <v>5.96153846153846</v>
      </c>
      <c r="AJ1638" s="51" t="n">
        <f aca="false">IF(LEFT(Cockpit!$C$5,1)="A",H1638,IF(CH1638=1,(CK1638+CI1638)/2,IF(LEFT(Cockpit!$C$5,1)="B",(CK1638+AL1638)/2,MAX((CK1638+AL1638)/2,H1638))))</f>
        <v>500</v>
      </c>
      <c r="AK1638" s="50" t="n">
        <f aca="false">AJ1638*G1638</f>
        <v>335</v>
      </c>
      <c r="AL1638" s="50" t="n">
        <f aca="false">ROUNDUP(CK1638+MAX(CL1638,2*(J1638/IF(CG1638&gt;0,CG1638,MAX(0.1,N(Cockpit!$C$6)))-CK1638)),0)</f>
        <v>100</v>
      </c>
      <c r="AM1638" s="51" t="n">
        <f aca="false">IF(AI1638&gt;0,J1638/AI1638,-1)</f>
        <v>0</v>
      </c>
      <c r="AN1638" s="51" t="n">
        <f aca="false">IF(AND(OR(CF1638="L1",CF1638="L23",CF1638="LIFT"),AI1638&gt;0),SUMIFS($AI$7:$AI$1843,$CF$7:$CF$1843,CF1638,$AM$7:$AM$1843,"&gt;"&amp;AM1638)+SUMIFS($AI$7:$AI$1843,$CF$7:$CF$1843,CF1638,$AM$7:$AM$1843,AM1638,$BW$7:$BW$1843,"&lt;="&amp;BW1638),"")</f>
        <v>30975.3074620765</v>
      </c>
      <c r="AO1638" s="58" t="n">
        <f aca="false">IF(AN1638="",0,MAX(0,MIN(1,(IF(CF1638="L1",Parameter!$H$5,IF(CF1638="L23",Parameter!$H$6+Parameter!$H$7,Parameter!$H$5+Parameter!$H$6+Parameter!$H$7))-(AN1638-AI1638))/AI1638)))</f>
        <v>1</v>
      </c>
      <c r="AP1638" s="50" t="n">
        <f aca="false">IF(LEFT(Cockpit!$I$5,1)="A",H1638,IF(Parameter!$E$30="MAX-Bestand",IF(CH1638=1,CI1638,IF(LEFT(Cockpit!$I$5,1)="B",AV1638,MAX(AV1638,H1638))),ROUNDUP(AT1638,0)))</f>
        <v>500</v>
      </c>
      <c r="AQ1638" s="50" t="n">
        <f aca="false">IF(BZ1638=1,0,ROUNDUP(AP1638/BY1638,0))</f>
        <v>1</v>
      </c>
      <c r="AR1638" s="52" t="n">
        <f aca="false">IF(CQ1638&gt;0,CQ1638*MAX(1,AP1638/X1638),IF(BZ1638=1,IF(AP1638&lt;=0,0,CD1638*MAX(1,IF(H1638&gt;0,AP1638/H1638,1))),IF(R1638&gt;0,AQ1638/R1638,0))/MAX(0.1,N(Parameter!$M$21)))</f>
        <v>0.0384615384615385</v>
      </c>
      <c r="AS1638" s="50" t="n">
        <f aca="false">AR1638*CB1638</f>
        <v>5.96153846153846</v>
      </c>
      <c r="AT1638" s="51" t="n">
        <f aca="false">IF(LEFT(Cockpit!$I$5,1)="A",H1638,IF(CH1638=1,(CK1638+CI1638)/2,IF(LEFT(Cockpit!$I$5,1)="B",(CK1638+AV1638)/2,MAX((CK1638+AV1638)/2,H1638))))</f>
        <v>500</v>
      </c>
      <c r="AU1638" s="50" t="n">
        <f aca="false">AT1638*G1638</f>
        <v>335</v>
      </c>
      <c r="AV1638" s="50" t="n">
        <f aca="false">ROUNDUP(CK1638+MAX(CL1638,2*(J1638/IF(CG1638&gt;0,CG1638,MAX(0.1,N(Cockpit!$I$6)))-CK1638)),0)</f>
        <v>100</v>
      </c>
      <c r="AW1638" s="51" t="n">
        <f aca="false">IF(AS1638&gt;0,J1638/AS1638,-1)</f>
        <v>0</v>
      </c>
      <c r="AX1638" s="51" t="n">
        <f aca="false">IF(AND(OR(CF1638="L1",CF1638="L23",CF1638="LIFT"),AS1638&gt;0),SUMIFS($AS$7:$AS$1843,$CF$7:$CF$1843,CF1638,$AW$7:$AW$1843,"&gt;"&amp;AW1638)+SUMIFS($AS$7:$AS$1843,$CF$7:$CF$1843,CF1638,$AW$7:$AW$1843,AW1638,$BW$7:$BW$1843,"&lt;="&amp;BW1638),"")</f>
        <v>37295.1639789119</v>
      </c>
      <c r="AY1638" s="58" t="n">
        <f aca="false">IF(AX1638="",0,MAX(0,MIN(1,(IF(CF1638="L1",Parameter!$H$5,IF(CF1638="L23",Parameter!$H$6+Parameter!$H$7,Parameter!$H$5+Parameter!$H$6+Parameter!$H$7))-(AX1638-AS1638))/AS1638)))</f>
        <v>0</v>
      </c>
      <c r="AZ1638" s="50" t="n">
        <f aca="false">IF(LEFT(Cockpit!$O$5,1)="A",H1638,IF(Parameter!$E$30="MAX-Bestand",IF(CH1638=1,CI1638,IF(LEFT(Cockpit!$O$5,1)="B",BF1638,MAX(BF1638,H1638))),ROUNDUP(BD1638,0)))</f>
        <v>50</v>
      </c>
      <c r="BA1638" s="50" t="n">
        <f aca="false">IF(BZ1638=1,0,ROUNDUP(AZ1638/BY1638,0))</f>
        <v>1</v>
      </c>
      <c r="BB1638" s="52" t="n">
        <f aca="false">IF(CQ1638&gt;0,CQ1638*MAX(1,AZ1638/X1638),IF(BZ1638=1,IF(AZ1638&lt;=0,0,CD1638*MAX(1,IF(H1638&gt;0,AZ1638/H1638,1))),IF(R1638&gt;0,BA1638/R1638,0))/MAX(0.1,N(Parameter!$M$21)))</f>
        <v>0.0384615384615385</v>
      </c>
      <c r="BC1638" s="50" t="n">
        <f aca="false">BB1638*CB1638</f>
        <v>5.96153846153846</v>
      </c>
      <c r="BD1638" s="51" t="n">
        <f aca="false">IF(LEFT(Cockpit!$O$5,1)="A",H1638,IF(CH1638=1,(CK1638+CI1638)/2,IF(LEFT(Cockpit!$O$5,1)="B",(CK1638+BF1638)/2,MAX((CK1638+BF1638)/2,H1638))))</f>
        <v>50</v>
      </c>
      <c r="BE1638" s="50" t="n">
        <f aca="false">BD1638*G1638</f>
        <v>33.5</v>
      </c>
      <c r="BF1638" s="50" t="n">
        <f aca="false">ROUNDUP(CK1638+MAX(CL1638,2*(J1638/IF(CG1638&gt;0,CG1638,MAX(0.1,N(Cockpit!$O$6)))-CK1638)),0)</f>
        <v>100</v>
      </c>
      <c r="BG1638" s="51" t="n">
        <f aca="false">IF(BC1638&gt;0,J1638/BC1638,-1)</f>
        <v>0</v>
      </c>
      <c r="BH1638" s="51" t="n">
        <f aca="false">IF(AND(OR(CF1638="L1",CF1638="L23",CF1638="LIFT"),BC1638&gt;0),SUMIFS($BC$7:$BC$1843,$CF$7:$CF$1843,CF1638,$BG$7:$BG$1843,"&gt;"&amp;BG1638)+SUMIFS($BC$7:$BC$1843,$CF$7:$CF$1843,CF1638,$BG$7:$BG$1843,BG1638,$BW$7:$BW$1843,"&lt;="&amp;BW1638),"")</f>
        <v>31204.6052544442</v>
      </c>
      <c r="BI1638" s="58" t="n">
        <f aca="false">IF(BH1638="",0,MAX(0,MIN(1,(IF(CF1638="L1",Parameter!$H$5,IF(CF1638="L23",Parameter!$H$6+Parameter!$H$7,Parameter!$H$5+Parameter!$H$6+Parameter!$H$7))-(BH1638-BC1638))/BC1638)))</f>
        <v>1</v>
      </c>
      <c r="BJ1638" s="48" t="str">
        <f aca="false">IF(AI1638&lt;=0,"",IF(CF1638="Aussen","Aussenlager",IF(CF1638="-","Nicht im Lift",IF(AO1638&gt;=1,"Lift",IF(AO1638&lt;=0,"Aussenlager","teilweise")))))</f>
        <v>Lift</v>
      </c>
      <c r="BK1638" s="48" t="str">
        <f aca="false">IF(AS1638&lt;=0,"",IF(CF1638="Aussen","Aussenlager",IF(CF1638="-","Nicht im Lift",IF(AY1638&gt;=1,"Lift",IF(AY1638&lt;=0,"Aussenlager","teilweise")))))</f>
        <v>Aussenlager</v>
      </c>
      <c r="BL1638" s="48" t="str">
        <f aca="false">IF(BC1638&lt;=0,"",IF(CF1638="Aussen","Aussenlager",IF(CF1638="-","Nicht im Lift",IF(BI1638&gt;=1,"Lift",IF(BI1638&lt;=0,"Aussenlager","teilweise")))))</f>
        <v>Lift</v>
      </c>
      <c r="BM1638" s="48" t="str">
        <f aca="false">IF(A1638="","",IF(BV1638=1,"Neu; ","")&amp;IF(AND(BV1638=0,BQ1638&lt;0),"negativer Bestand (Export "&amp;BQ1638&amp;"); ","")&amp;IF(J1638&lt;=0,"Kein Verbrauch; ","")&amp;IF(CQ1638&gt;0,"Lift "&amp;W1638&amp;" lt. Liftbericht (Fach "&amp;X1638&amp;" Stk); ",IF(CA1638=1,"Gebinde geschätzt ("&amp;T1638&amp;"); ",IF(BZ1638=1,"Lose – Tablare geschätzt; ","")))&amp;IF(H1638&gt;AV1638,"Überbestand "&amp;ROUND(H1638-AV1638,0)&amp;" Stk / CHF "&amp;ROUND((H1638-AV1638)*G1638,0)&amp;"; ","")&amp;IF(AND(CH1638=1,CI1638&lt;CJ1638),"MAX &lt; MB+LG; ","")&amp;IF(AND(CP1638&gt;0,CO1638*10&gt;CP1638),"zu hoch für Tablar; ","")&amp;IF(AND(BV1638=0,OR(CH1638=1,AA1638&lt;&gt;"",U1638&lt;&gt;"",V1638&lt;&gt;"",AB1638&lt;&gt;"")),"manuell übersteuert; ","")&amp;IF(AND(BZ1638=0,R1638=0),"Gebinde unbekannt / Stellmass fehlt; ","")&amp;IF(AND(BZ1638=0,N(V1638)&lt;=0,N(Q1638)&lt;=0),"Menge pro Gebinde fehlt (Ist = 1 Gebinde); ","")&amp;BU1638)</f>
        <v>Kein Verbrauch; Gebinde geschätzt (Klein); Überbestand 400 Stk / CHF 268; Menge pro Gebinde fehlt (Ist = 1 Gebinde); nur im Artikelstamm (Bestand 23.06.2026)</v>
      </c>
      <c r="BN1638" s="48"/>
      <c r="BO1638" s="48"/>
      <c r="BP1638" s="55"/>
      <c r="BQ1638" s="50" t="n">
        <v>500</v>
      </c>
      <c r="BR1638" s="50" t="n">
        <v>0</v>
      </c>
      <c r="BS1638" s="49" t="n">
        <v>0</v>
      </c>
      <c r="BT1638" s="50" t="n">
        <v>0</v>
      </c>
      <c r="BU1638" s="48" t="s">
        <v>2584</v>
      </c>
      <c r="BV1638" s="53" t="n">
        <v>0</v>
      </c>
      <c r="BW1638" s="53" t="n">
        <v>1638</v>
      </c>
      <c r="BX1638" s="48" t="str">
        <f aca="false">IF(U1638&lt;&gt;"",UPPER(TRIM(U1638)),IF(CA1638=1,UPPER(VLOOKUP(T1638,Parameter!$I$27:$K$29,2,0)),IF(P1638="","LOSE",P1638)))</f>
        <v>S51</v>
      </c>
      <c r="BY1638" s="50" t="n">
        <f aca="false">IF(BX1638="LOSE",1,IF(N(V1638)&gt;0,V1638,IF(CA1638=1,MAX(1,N(VLOOKUP(T1638,Parameter!$I$27:$K$29,3,0)),H1638,N(N1638)),IF(N(Q1638)&gt;0,Q1638,MAX(1,H1638)))))</f>
        <v>500</v>
      </c>
      <c r="BZ1638" s="53" t="n">
        <f aca="false">IF(BX1638="LOSE",1,0)</f>
        <v>0</v>
      </c>
      <c r="CA1638" s="53" t="n">
        <f aca="false">IF(AND(U1638="",OR(P1638="",P1638="LOSE"),T1638&lt;&gt;"",N(S1638)&lt;=0,ISNUMBER(MATCH(T1638,Parameter!$I$27:$I$29,0))),1,0)</f>
        <v>1</v>
      </c>
      <c r="CB1638" s="53" t="n">
        <f aca="false">IF(CQ1638&gt;0,INDEX(Parameter!$H$5:$H$7,W1638)/INDEX(Parameter!$E$5:$E$7,W1638),IF(AND(BZ1638=0,N(IFERROR(VLOOKUP(BX1638,'Gebinde-Kategorie'!$A$5:$N$45,14,0),0))&gt;0),VLOOKUP(BX1638,'Gebinde-Kategorie'!$A$5:$N$45,14,0)*10+Parameter!$M$23,Parameter!$M$24))</f>
        <v>155</v>
      </c>
      <c r="CC1638" s="48" t="str">
        <f aca="false">IF(AND(Parameter!$B$19="Ja",E1638&lt;&gt;"",ISNUMBER(MATCH(E1638,Parameter!$I$35:$I$52,0))),VLOOKUP(E1638,Parameter!$I$35:$J$52,2,0),IFERROR(VLOOKUP(D1638,Parameter!$A$35:$C$64,2,0),"Nein"))</f>
        <v>2+3</v>
      </c>
      <c r="CD1638" s="52" t="n">
        <f aca="false">IF(BZ1638=0,0,IF(N(S1638)&gt;0,S1638,IFERROR(VLOOKUP(D1638,Parameter!$A$35:$C$64,3,0)+0,0)))</f>
        <v>0</v>
      </c>
      <c r="CE1638" s="48" t="n">
        <f aca="false">IF(AA1638&lt;&gt;"",AA1638,Z1638)</f>
        <v>3</v>
      </c>
      <c r="CF1638" s="48" t="str">
        <f aca="false">IF(OR(CE1638=1,CE1638=2,CE1638=3),IF(Parameter!$E$27="Ja","LIFT",IF(CE1638=1,"L1","L23")),IF(CE1638="Aussen","Aussen","-"))</f>
        <v>LIFT</v>
      </c>
      <c r="CG1638" s="59" t="n">
        <f aca="false">IF(N(AB1638)&gt;0,AB1638,0)</f>
        <v>0</v>
      </c>
      <c r="CH1638" s="53" t="n">
        <f aca="false">IF(ISNUMBER(AE1638),1,0)</f>
        <v>0</v>
      </c>
      <c r="CI1638" s="50" t="n">
        <f aca="false">N(AE1638)</f>
        <v>0</v>
      </c>
      <c r="CJ1638" s="50" t="n">
        <f aca="false">N(M1638)+N(N1638)</f>
        <v>100</v>
      </c>
      <c r="CK1638" s="50" t="n">
        <f aca="false">N(M1638)</f>
        <v>0</v>
      </c>
      <c r="CL1638" s="50" t="n">
        <f aca="false">N(N1638)</f>
        <v>100</v>
      </c>
      <c r="CM1638" s="50" t="n">
        <f aca="false">ROUNDUP(H1638/BY1638,0)</f>
        <v>1</v>
      </c>
      <c r="CN1638" s="50" t="n">
        <f aca="false">ROUNDUP(CI1638/BY1638,0)</f>
        <v>0</v>
      </c>
      <c r="CO1638" s="53" t="n">
        <f aca="false">IF(BZ1638=1,0,IFERROR(VLOOKUP(BX1638,'Gebinde-Kategorie'!$A$5:$N$45,5,0)+0,0))</f>
        <v>11</v>
      </c>
      <c r="CP1638" s="53" t="n">
        <f aca="false">IFERROR(IF(OR(CE1638=1,CE1638=2,CE1638=3),N(INDEX(Parameter!$I$5:$I$7,CE1638)),0),0)</f>
        <v>0</v>
      </c>
      <c r="CQ1638" s="52" t="n">
        <f aca="false">IF(AND(Parameter!$B$21="Ja",ISNUMBER(W1638),N(X1638)&gt;0),IFERROR(N(INDEX(Parameter!$L$5:$L$7,W1638))*INDEX(Parameter!$E$5:$E$7,W1638)*X1638/SUMIFS($X$7:$X$1843,$W$7:$W$1843,W1638),0),0)</f>
        <v>0</v>
      </c>
    </row>
    <row r="1639" customFormat="false" ht="15" hidden="false" customHeight="false" outlineLevel="0" collapsed="false">
      <c r="A1639" s="48" t="s">
        <v>2859</v>
      </c>
      <c r="B1639" s="48" t="s">
        <v>2860</v>
      </c>
      <c r="C1639" s="48" t="s">
        <v>173</v>
      </c>
      <c r="D1639" s="48" t="s">
        <v>193</v>
      </c>
      <c r="E1639" s="48"/>
      <c r="F1639" s="48"/>
      <c r="G1639" s="49" t="n">
        <v>1.5</v>
      </c>
      <c r="H1639" s="50" t="n">
        <f aca="false">MAX(0,IF(AND(Parameter!$B$21="Ja",ISNUMBER(Y1639)),Y1639,IF(Parameter!$B$20="Jahresanfang 2025 + Export",BR1639+BQ1639,BQ1639)))</f>
        <v>83</v>
      </c>
      <c r="I1639" s="50" t="n">
        <f aca="false">H1639*G1639</f>
        <v>124.5</v>
      </c>
      <c r="J1639" s="50" t="n">
        <f aca="false">BT1639*Parameter!$B$18</f>
        <v>0</v>
      </c>
      <c r="K1639" s="51"/>
      <c r="L1639" s="52"/>
      <c r="M1639" s="50" t="n">
        <v>0</v>
      </c>
      <c r="N1639" s="50" t="n">
        <v>50</v>
      </c>
      <c r="O1639" s="53" t="n">
        <v>14</v>
      </c>
      <c r="P1639" s="48" t="s">
        <v>177</v>
      </c>
      <c r="Q1639" s="50"/>
      <c r="R1639" s="53" t="n">
        <f aca="false">IF(BZ1639=1,0,IFERROR(VLOOKUP(BX1639,'Gebinde-Kategorie'!$A$5:$N$45,13,0)+0,0))</f>
        <v>26</v>
      </c>
      <c r="S1639" s="54"/>
      <c r="T1639" s="55" t="s">
        <v>284</v>
      </c>
      <c r="U1639" s="55"/>
      <c r="V1639" s="55"/>
      <c r="W1639" s="48"/>
      <c r="X1639" s="50"/>
      <c r="Y1639" s="50"/>
      <c r="Z1639" s="48" t="n">
        <f aca="false">IF(A1639="","",IF(AND(Parameter!$B$21="Ja",ISNUMBER(W1639)),W1639,IF(CC1639="2+3",IF(ISNUMBER(SEARCH("grosser Artikel",BU1639)),2,IFERROR(VLOOKUP(BX1639,Parameter!$F$35:$G$64,2,0),2)),IF(OR(CC1639="Nein",CC1639=""),"-",CC1639))))</f>
        <v>3</v>
      </c>
      <c r="AA1639" s="55"/>
      <c r="AB1639" s="56"/>
      <c r="AC1639" s="50" t="n">
        <f aca="false">AV1639</f>
        <v>50</v>
      </c>
      <c r="AD1639" s="50" t="n">
        <f aca="false">MAX(AV1639,H1639)</f>
        <v>83</v>
      </c>
      <c r="AE1639" s="57"/>
      <c r="AF1639" s="50" t="n">
        <f aca="false">IF(LEFT(Cockpit!$C$5,1)="A",H1639,IF(Parameter!$E$30="MAX-Bestand",IF(CH1639=1,CI1639,IF(LEFT(Cockpit!$C$5,1)="B",AL1639,MAX(AL1639,H1639))),ROUNDUP(AJ1639,0)))</f>
        <v>83</v>
      </c>
      <c r="AG1639" s="50" t="n">
        <f aca="false">IF(BZ1639=1,0,ROUNDUP(AF1639/BY1639,0))</f>
        <v>1</v>
      </c>
      <c r="AH1639" s="52" t="n">
        <f aca="false">IF(CQ1639&gt;0,CQ1639*MAX(1,AF1639/X1639),IF(BZ1639=1,IF(AF1639&lt;=0,0,CD1639*MAX(1,IF(H1639&gt;0,AF1639/H1639,1))),IF(R1639&gt;0,AG1639/R1639,0))/MAX(0.1,N(Parameter!$M$21)))</f>
        <v>0.0384615384615385</v>
      </c>
      <c r="AI1639" s="50" t="n">
        <f aca="false">AH1639*CB1639</f>
        <v>5.96153846153846</v>
      </c>
      <c r="AJ1639" s="51" t="n">
        <f aca="false">IF(LEFT(Cockpit!$C$5,1)="A",H1639,IF(CH1639=1,(CK1639+CI1639)/2,IF(LEFT(Cockpit!$C$5,1)="B",(CK1639+AL1639)/2,MAX((CK1639+AL1639)/2,H1639))))</f>
        <v>83</v>
      </c>
      <c r="AK1639" s="50" t="n">
        <f aca="false">AJ1639*G1639</f>
        <v>124.5</v>
      </c>
      <c r="AL1639" s="50" t="n">
        <f aca="false">ROUNDUP(CK1639+MAX(CL1639,2*(J1639/IF(CG1639&gt;0,CG1639,MAX(0.1,N(Cockpit!$C$6)))-CK1639)),0)</f>
        <v>50</v>
      </c>
      <c r="AM1639" s="51" t="n">
        <f aca="false">IF(AI1639&gt;0,J1639/AI1639,-1)</f>
        <v>0</v>
      </c>
      <c r="AN1639" s="51" t="n">
        <f aca="false">IF(AND(OR(CF1639="L1",CF1639="L23",CF1639="LIFT"),AI1639&gt;0),SUMIFS($AI$7:$AI$1843,$CF$7:$CF$1843,CF1639,$AM$7:$AM$1843,"&gt;"&amp;AM1639)+SUMIFS($AI$7:$AI$1843,$CF$7:$CF$1843,CF1639,$AM$7:$AM$1843,AM1639,$BW$7:$BW$1843,"&lt;="&amp;BW1639),"")</f>
        <v>30981.2690005381</v>
      </c>
      <c r="AO1639" s="58" t="n">
        <f aca="false">IF(AN1639="",0,MAX(0,MIN(1,(IF(CF1639="L1",Parameter!$H$5,IF(CF1639="L23",Parameter!$H$6+Parameter!$H$7,Parameter!$H$5+Parameter!$H$6+Parameter!$H$7))-(AN1639-AI1639))/AI1639)))</f>
        <v>1</v>
      </c>
      <c r="AP1639" s="50" t="n">
        <f aca="false">IF(LEFT(Cockpit!$I$5,1)="A",H1639,IF(Parameter!$E$30="MAX-Bestand",IF(CH1639=1,CI1639,IF(LEFT(Cockpit!$I$5,1)="B",AV1639,MAX(AV1639,H1639))),ROUNDUP(AT1639,0)))</f>
        <v>83</v>
      </c>
      <c r="AQ1639" s="50" t="n">
        <f aca="false">IF(BZ1639=1,0,ROUNDUP(AP1639/BY1639,0))</f>
        <v>1</v>
      </c>
      <c r="AR1639" s="52" t="n">
        <f aca="false">IF(CQ1639&gt;0,CQ1639*MAX(1,AP1639/X1639),IF(BZ1639=1,IF(AP1639&lt;=0,0,CD1639*MAX(1,IF(H1639&gt;0,AP1639/H1639,1))),IF(R1639&gt;0,AQ1639/R1639,0))/MAX(0.1,N(Parameter!$M$21)))</f>
        <v>0.0384615384615385</v>
      </c>
      <c r="AS1639" s="50" t="n">
        <f aca="false">AR1639*CB1639</f>
        <v>5.96153846153846</v>
      </c>
      <c r="AT1639" s="51" t="n">
        <f aca="false">IF(LEFT(Cockpit!$I$5,1)="A",H1639,IF(CH1639=1,(CK1639+CI1639)/2,IF(LEFT(Cockpit!$I$5,1)="B",(CK1639+AV1639)/2,MAX((CK1639+AV1639)/2,H1639))))</f>
        <v>83</v>
      </c>
      <c r="AU1639" s="50" t="n">
        <f aca="false">AT1639*G1639</f>
        <v>124.5</v>
      </c>
      <c r="AV1639" s="50" t="n">
        <f aca="false">ROUNDUP(CK1639+MAX(CL1639,2*(J1639/IF(CG1639&gt;0,CG1639,MAX(0.1,N(Cockpit!$I$6)))-CK1639)),0)</f>
        <v>50</v>
      </c>
      <c r="AW1639" s="51" t="n">
        <f aca="false">IF(AS1639&gt;0,J1639/AS1639,-1)</f>
        <v>0</v>
      </c>
      <c r="AX1639" s="51" t="n">
        <f aca="false">IF(AND(OR(CF1639="L1",CF1639="L23",CF1639="LIFT"),AS1639&gt;0),SUMIFS($AS$7:$AS$1843,$CF$7:$CF$1843,CF1639,$AW$7:$AW$1843,"&gt;"&amp;AW1639)+SUMIFS($AS$7:$AS$1843,$CF$7:$CF$1843,CF1639,$AW$7:$AW$1843,AW1639,$BW$7:$BW$1843,"&lt;="&amp;BW1639),"")</f>
        <v>37301.1255173734</v>
      </c>
      <c r="AY1639" s="58" t="n">
        <f aca="false">IF(AX1639="",0,MAX(0,MIN(1,(IF(CF1639="L1",Parameter!$H$5,IF(CF1639="L23",Parameter!$H$6+Parameter!$H$7,Parameter!$H$5+Parameter!$H$6+Parameter!$H$7))-(AX1639-AS1639))/AS1639)))</f>
        <v>0</v>
      </c>
      <c r="AZ1639" s="50" t="n">
        <f aca="false">IF(LEFT(Cockpit!$O$5,1)="A",H1639,IF(Parameter!$E$30="MAX-Bestand",IF(CH1639=1,CI1639,IF(LEFT(Cockpit!$O$5,1)="B",BF1639,MAX(BF1639,H1639))),ROUNDUP(BD1639,0)))</f>
        <v>25</v>
      </c>
      <c r="BA1639" s="50" t="n">
        <f aca="false">IF(BZ1639=1,0,ROUNDUP(AZ1639/BY1639,0))</f>
        <v>1</v>
      </c>
      <c r="BB1639" s="52" t="n">
        <f aca="false">IF(CQ1639&gt;0,CQ1639*MAX(1,AZ1639/X1639),IF(BZ1639=1,IF(AZ1639&lt;=0,0,CD1639*MAX(1,IF(H1639&gt;0,AZ1639/H1639,1))),IF(R1639&gt;0,BA1639/R1639,0))/MAX(0.1,N(Parameter!$M$21)))</f>
        <v>0.0384615384615385</v>
      </c>
      <c r="BC1639" s="50" t="n">
        <f aca="false">BB1639*CB1639</f>
        <v>5.96153846153846</v>
      </c>
      <c r="BD1639" s="51" t="n">
        <f aca="false">IF(LEFT(Cockpit!$O$5,1)="A",H1639,IF(CH1639=1,(CK1639+CI1639)/2,IF(LEFT(Cockpit!$O$5,1)="B",(CK1639+BF1639)/2,MAX((CK1639+BF1639)/2,H1639))))</f>
        <v>25</v>
      </c>
      <c r="BE1639" s="50" t="n">
        <f aca="false">BD1639*G1639</f>
        <v>37.5</v>
      </c>
      <c r="BF1639" s="50" t="n">
        <f aca="false">ROUNDUP(CK1639+MAX(CL1639,2*(J1639/IF(CG1639&gt;0,CG1639,MAX(0.1,N(Cockpit!$O$6)))-CK1639)),0)</f>
        <v>50</v>
      </c>
      <c r="BG1639" s="51" t="n">
        <f aca="false">IF(BC1639&gt;0,J1639/BC1639,-1)</f>
        <v>0</v>
      </c>
      <c r="BH1639" s="51" t="n">
        <f aca="false">IF(AND(OR(CF1639="L1",CF1639="L23",CF1639="LIFT"),BC1639&gt;0),SUMIFS($BC$7:$BC$1843,$CF$7:$CF$1843,CF1639,$BG$7:$BG$1843,"&gt;"&amp;BG1639)+SUMIFS($BC$7:$BC$1843,$CF$7:$CF$1843,CF1639,$BG$7:$BG$1843,BG1639,$BW$7:$BW$1843,"&lt;="&amp;BW1639),"")</f>
        <v>31210.5667929058</v>
      </c>
      <c r="BI1639" s="58" t="n">
        <f aca="false">IF(BH1639="",0,MAX(0,MIN(1,(IF(CF1639="L1",Parameter!$H$5,IF(CF1639="L23",Parameter!$H$6+Parameter!$H$7,Parameter!$H$5+Parameter!$H$6+Parameter!$H$7))-(BH1639-BC1639))/BC1639)))</f>
        <v>1</v>
      </c>
      <c r="BJ1639" s="48" t="str">
        <f aca="false">IF(AI1639&lt;=0,"",IF(CF1639="Aussen","Aussenlager",IF(CF1639="-","Nicht im Lift",IF(AO1639&gt;=1,"Lift",IF(AO1639&lt;=0,"Aussenlager","teilweise")))))</f>
        <v>Lift</v>
      </c>
      <c r="BK1639" s="48" t="str">
        <f aca="false">IF(AS1639&lt;=0,"",IF(CF1639="Aussen","Aussenlager",IF(CF1639="-","Nicht im Lift",IF(AY1639&gt;=1,"Lift",IF(AY1639&lt;=0,"Aussenlager","teilweise")))))</f>
        <v>Aussenlager</v>
      </c>
      <c r="BL1639" s="48" t="str">
        <f aca="false">IF(BC1639&lt;=0,"",IF(CF1639="Aussen","Aussenlager",IF(CF1639="-","Nicht im Lift",IF(BI1639&gt;=1,"Lift",IF(BI1639&lt;=0,"Aussenlager","teilweise")))))</f>
        <v>Lift</v>
      </c>
      <c r="BM1639" s="48" t="str">
        <f aca="false">IF(A1639="","",IF(BV1639=1,"Neu; ","")&amp;IF(AND(BV1639=0,BQ1639&lt;0),"negativer Bestand (Export "&amp;BQ1639&amp;"); ","")&amp;IF(J1639&lt;=0,"Kein Verbrauch; ","")&amp;IF(CQ1639&gt;0,"Lift "&amp;W1639&amp;" lt. Liftbericht (Fach "&amp;X1639&amp;" Stk); ",IF(CA1639=1,"Gebinde geschätzt ("&amp;T1639&amp;"); ",IF(BZ1639=1,"Lose – Tablare geschätzt; ","")))&amp;IF(H1639&gt;AV1639,"Überbestand "&amp;ROUND(H1639-AV1639,0)&amp;" Stk / CHF "&amp;ROUND((H1639-AV1639)*G1639,0)&amp;"; ","")&amp;IF(AND(CH1639=1,CI1639&lt;CJ1639),"MAX &lt; MB+LG; ","")&amp;IF(AND(CP1639&gt;0,CO1639*10&gt;CP1639),"zu hoch für Tablar; ","")&amp;IF(AND(BV1639=0,OR(CH1639=1,AA1639&lt;&gt;"",U1639&lt;&gt;"",V1639&lt;&gt;"",AB1639&lt;&gt;"")),"manuell übersteuert; ","")&amp;IF(AND(BZ1639=0,R1639=0),"Gebinde unbekannt / Stellmass fehlt; ","")&amp;IF(AND(BZ1639=0,N(V1639)&lt;=0,N(Q1639)&lt;=0),"Menge pro Gebinde fehlt (Ist = 1 Gebinde); ","")&amp;BU1639)</f>
        <v>Kein Verbrauch; Gebinde geschätzt (Klein); Überbestand 33 Stk / CHF 50; Menge pro Gebinde fehlt (Ist = 1 Gebinde); nur im Artikelstamm (Bestand 23.06.2026)</v>
      </c>
      <c r="BN1639" s="48"/>
      <c r="BO1639" s="48"/>
      <c r="BP1639" s="55"/>
      <c r="BQ1639" s="50" t="n">
        <v>83</v>
      </c>
      <c r="BR1639" s="50" t="n">
        <v>0</v>
      </c>
      <c r="BS1639" s="49" t="n">
        <v>0</v>
      </c>
      <c r="BT1639" s="50" t="n">
        <v>0</v>
      </c>
      <c r="BU1639" s="48" t="s">
        <v>2584</v>
      </c>
      <c r="BV1639" s="53" t="n">
        <v>0</v>
      </c>
      <c r="BW1639" s="53" t="n">
        <v>1639</v>
      </c>
      <c r="BX1639" s="48" t="str">
        <f aca="false">IF(U1639&lt;&gt;"",UPPER(TRIM(U1639)),IF(CA1639=1,UPPER(VLOOKUP(T1639,Parameter!$I$27:$K$29,2,0)),IF(P1639="","LOSE",P1639)))</f>
        <v>S51</v>
      </c>
      <c r="BY1639" s="50" t="n">
        <f aca="false">IF(BX1639="LOSE",1,IF(N(V1639)&gt;0,V1639,IF(CA1639=1,MAX(1,N(VLOOKUP(T1639,Parameter!$I$27:$K$29,3,0)),H1639,N(N1639)),IF(N(Q1639)&gt;0,Q1639,MAX(1,H1639)))))</f>
        <v>83</v>
      </c>
      <c r="BZ1639" s="53" t="n">
        <f aca="false">IF(BX1639="LOSE",1,0)</f>
        <v>0</v>
      </c>
      <c r="CA1639" s="53" t="n">
        <f aca="false">IF(AND(U1639="",OR(P1639="",P1639="LOSE"),T1639&lt;&gt;"",N(S1639)&lt;=0,ISNUMBER(MATCH(T1639,Parameter!$I$27:$I$29,0))),1,0)</f>
        <v>1</v>
      </c>
      <c r="CB1639" s="53" t="n">
        <f aca="false">IF(CQ1639&gt;0,INDEX(Parameter!$H$5:$H$7,W1639)/INDEX(Parameter!$E$5:$E$7,W1639),IF(AND(BZ1639=0,N(IFERROR(VLOOKUP(BX1639,'Gebinde-Kategorie'!$A$5:$N$45,14,0),0))&gt;0),VLOOKUP(BX1639,'Gebinde-Kategorie'!$A$5:$N$45,14,0)*10+Parameter!$M$23,Parameter!$M$24))</f>
        <v>155</v>
      </c>
      <c r="CC1639" s="48" t="str">
        <f aca="false">IF(AND(Parameter!$B$19="Ja",E1639&lt;&gt;"",ISNUMBER(MATCH(E1639,Parameter!$I$35:$I$52,0))),VLOOKUP(E1639,Parameter!$I$35:$J$52,2,0),IFERROR(VLOOKUP(D1639,Parameter!$A$35:$C$64,2,0),"Nein"))</f>
        <v>2+3</v>
      </c>
      <c r="CD1639" s="52" t="n">
        <f aca="false">IF(BZ1639=0,0,IF(N(S1639)&gt;0,S1639,IFERROR(VLOOKUP(D1639,Parameter!$A$35:$C$64,3,0)+0,0)))</f>
        <v>0</v>
      </c>
      <c r="CE1639" s="48" t="n">
        <f aca="false">IF(AA1639&lt;&gt;"",AA1639,Z1639)</f>
        <v>3</v>
      </c>
      <c r="CF1639" s="48" t="str">
        <f aca="false">IF(OR(CE1639=1,CE1639=2,CE1639=3),IF(Parameter!$E$27="Ja","LIFT",IF(CE1639=1,"L1","L23")),IF(CE1639="Aussen","Aussen","-"))</f>
        <v>LIFT</v>
      </c>
      <c r="CG1639" s="59" t="n">
        <f aca="false">IF(N(AB1639)&gt;0,AB1639,0)</f>
        <v>0</v>
      </c>
      <c r="CH1639" s="53" t="n">
        <f aca="false">IF(ISNUMBER(AE1639),1,0)</f>
        <v>0</v>
      </c>
      <c r="CI1639" s="50" t="n">
        <f aca="false">N(AE1639)</f>
        <v>0</v>
      </c>
      <c r="CJ1639" s="50" t="n">
        <f aca="false">N(M1639)+N(N1639)</f>
        <v>50</v>
      </c>
      <c r="CK1639" s="50" t="n">
        <f aca="false">N(M1639)</f>
        <v>0</v>
      </c>
      <c r="CL1639" s="50" t="n">
        <f aca="false">N(N1639)</f>
        <v>50</v>
      </c>
      <c r="CM1639" s="50" t="n">
        <f aca="false">ROUNDUP(H1639/BY1639,0)</f>
        <v>1</v>
      </c>
      <c r="CN1639" s="50" t="n">
        <f aca="false">ROUNDUP(CI1639/BY1639,0)</f>
        <v>0</v>
      </c>
      <c r="CO1639" s="53" t="n">
        <f aca="false">IF(BZ1639=1,0,IFERROR(VLOOKUP(BX1639,'Gebinde-Kategorie'!$A$5:$N$45,5,0)+0,0))</f>
        <v>11</v>
      </c>
      <c r="CP1639" s="53" t="n">
        <f aca="false">IFERROR(IF(OR(CE1639=1,CE1639=2,CE1639=3),N(INDEX(Parameter!$I$5:$I$7,CE1639)),0),0)</f>
        <v>0</v>
      </c>
      <c r="CQ1639" s="52" t="n">
        <f aca="false">IF(AND(Parameter!$B$21="Ja",ISNUMBER(W1639),N(X1639)&gt;0),IFERROR(N(INDEX(Parameter!$L$5:$L$7,W1639))*INDEX(Parameter!$E$5:$E$7,W1639)*X1639/SUMIFS($X$7:$X$1843,$W$7:$W$1843,W1639),0),0)</f>
        <v>0</v>
      </c>
    </row>
    <row r="1640" customFormat="false" ht="15" hidden="false" customHeight="false" outlineLevel="0" collapsed="false">
      <c r="A1640" s="48" t="s">
        <v>2861</v>
      </c>
      <c r="B1640" s="48" t="s">
        <v>2862</v>
      </c>
      <c r="C1640" s="48" t="s">
        <v>176</v>
      </c>
      <c r="D1640" s="48" t="s">
        <v>182</v>
      </c>
      <c r="E1640" s="48" t="s">
        <v>175</v>
      </c>
      <c r="F1640" s="48"/>
      <c r="G1640" s="49" t="n">
        <v>165.63</v>
      </c>
      <c r="H1640" s="50" t="n">
        <f aca="false">MAX(0,IF(AND(Parameter!$B$21="Ja",ISNUMBER(Y1640)),Y1640,IF(Parameter!$B$20="Jahresanfang 2025 + Export",BR1640+BQ1640,BQ1640)))</f>
        <v>53</v>
      </c>
      <c r="I1640" s="50" t="n">
        <f aca="false">H1640*G1640</f>
        <v>8778.39</v>
      </c>
      <c r="J1640" s="50" t="n">
        <f aca="false">BT1640*Parameter!$B$18</f>
        <v>0</v>
      </c>
      <c r="K1640" s="51"/>
      <c r="L1640" s="52"/>
      <c r="M1640" s="50" t="n">
        <v>0</v>
      </c>
      <c r="N1640" s="50" t="n">
        <v>25</v>
      </c>
      <c r="O1640" s="53" t="n">
        <v>105</v>
      </c>
      <c r="P1640" s="48" t="s">
        <v>177</v>
      </c>
      <c r="Q1640" s="50"/>
      <c r="R1640" s="53" t="n">
        <f aca="false">IF(BZ1640=1,0,IFERROR(VLOOKUP(BX1640,'Gebinde-Kategorie'!$A$5:$N$45,13,0)+0,0))</f>
        <v>12</v>
      </c>
      <c r="S1640" s="54"/>
      <c r="T1640" s="55" t="s">
        <v>188</v>
      </c>
      <c r="U1640" s="55"/>
      <c r="V1640" s="55"/>
      <c r="W1640" s="48"/>
      <c r="X1640" s="50"/>
      <c r="Y1640" s="50"/>
      <c r="Z1640" s="48" t="n">
        <f aca="false">IF(A1640="","",IF(AND(Parameter!$B$21="Ja",ISNUMBER(W1640)),W1640,IF(CC1640="2+3",IF(ISNUMBER(SEARCH("grosser Artikel",BU1640)),2,IFERROR(VLOOKUP(BX1640,Parameter!$F$35:$G$64,2,0),2)),IF(OR(CC1640="Nein",CC1640=""),"-",CC1640))))</f>
        <v>1</v>
      </c>
      <c r="AA1640" s="55"/>
      <c r="AB1640" s="56"/>
      <c r="AC1640" s="50" t="n">
        <f aca="false">AV1640</f>
        <v>25</v>
      </c>
      <c r="AD1640" s="50" t="n">
        <f aca="false">MAX(AV1640,H1640)</f>
        <v>53</v>
      </c>
      <c r="AE1640" s="57"/>
      <c r="AF1640" s="50" t="n">
        <f aca="false">IF(LEFT(Cockpit!$C$5,1)="A",H1640,IF(Parameter!$E$30="MAX-Bestand",IF(CH1640=1,CI1640,IF(LEFT(Cockpit!$C$5,1)="B",AL1640,MAX(AL1640,H1640))),ROUNDUP(AJ1640,0)))</f>
        <v>53</v>
      </c>
      <c r="AG1640" s="50" t="n">
        <f aca="false">IF(BZ1640=1,0,ROUNDUP(AF1640/BY1640,0))</f>
        <v>1</v>
      </c>
      <c r="AH1640" s="52" t="n">
        <f aca="false">IF(CQ1640&gt;0,CQ1640*MAX(1,AF1640/X1640),IF(BZ1640=1,IF(AF1640&lt;=0,0,CD1640*MAX(1,IF(H1640&gt;0,AF1640/H1640,1))),IF(R1640&gt;0,AG1640/R1640,0))/MAX(0.1,N(Parameter!$M$21)))</f>
        <v>0.0833333333333333</v>
      </c>
      <c r="AI1640" s="50" t="n">
        <f aca="false">AH1640*CB1640</f>
        <v>12.0833333333333</v>
      </c>
      <c r="AJ1640" s="51" t="n">
        <f aca="false">IF(LEFT(Cockpit!$C$5,1)="A",H1640,IF(CH1640=1,(CK1640+CI1640)/2,IF(LEFT(Cockpit!$C$5,1)="B",(CK1640+AL1640)/2,MAX((CK1640+AL1640)/2,H1640))))</f>
        <v>53</v>
      </c>
      <c r="AK1640" s="50" t="n">
        <f aca="false">AJ1640*G1640</f>
        <v>8778.39</v>
      </c>
      <c r="AL1640" s="50" t="n">
        <f aca="false">ROUNDUP(CK1640+MAX(CL1640,2*(J1640/IF(CG1640&gt;0,CG1640,MAX(0.1,N(Cockpit!$C$6)))-CK1640)),0)</f>
        <v>25</v>
      </c>
      <c r="AM1640" s="51" t="n">
        <f aca="false">IF(AI1640&gt;0,J1640/AI1640,-1)</f>
        <v>0</v>
      </c>
      <c r="AN1640" s="51" t="n">
        <f aca="false">IF(AND(OR(CF1640="L1",CF1640="L23",CF1640="LIFT"),AI1640&gt;0),SUMIFS($AI$7:$AI$1843,$CF$7:$CF$1843,CF1640,$AM$7:$AM$1843,"&gt;"&amp;AM1640)+SUMIFS($AI$7:$AI$1843,$CF$7:$CF$1843,CF1640,$AM$7:$AM$1843,AM1640,$BW$7:$BW$1843,"&lt;="&amp;BW1640),"")</f>
        <v>30993.3523338714</v>
      </c>
      <c r="AO1640" s="58" t="n">
        <f aca="false">IF(AN1640="",0,MAX(0,MIN(1,(IF(CF1640="L1",Parameter!$H$5,IF(CF1640="L23",Parameter!$H$6+Parameter!$H$7,Parameter!$H$5+Parameter!$H$6+Parameter!$H$7))-(AN1640-AI1640))/AI1640)))</f>
        <v>1</v>
      </c>
      <c r="AP1640" s="50" t="n">
        <f aca="false">IF(LEFT(Cockpit!$I$5,1)="A",H1640,IF(Parameter!$E$30="MAX-Bestand",IF(CH1640=1,CI1640,IF(LEFT(Cockpit!$I$5,1)="B",AV1640,MAX(AV1640,H1640))),ROUNDUP(AT1640,0)))</f>
        <v>53</v>
      </c>
      <c r="AQ1640" s="50" t="n">
        <f aca="false">IF(BZ1640=1,0,ROUNDUP(AP1640/BY1640,0))</f>
        <v>1</v>
      </c>
      <c r="AR1640" s="52" t="n">
        <f aca="false">IF(CQ1640&gt;0,CQ1640*MAX(1,AP1640/X1640),IF(BZ1640=1,IF(AP1640&lt;=0,0,CD1640*MAX(1,IF(H1640&gt;0,AP1640/H1640,1))),IF(R1640&gt;0,AQ1640/R1640,0))/MAX(0.1,N(Parameter!$M$21)))</f>
        <v>0.0833333333333333</v>
      </c>
      <c r="AS1640" s="50" t="n">
        <f aca="false">AR1640*CB1640</f>
        <v>12.0833333333333</v>
      </c>
      <c r="AT1640" s="51" t="n">
        <f aca="false">IF(LEFT(Cockpit!$I$5,1)="A",H1640,IF(CH1640=1,(CK1640+CI1640)/2,IF(LEFT(Cockpit!$I$5,1)="B",(CK1640+AV1640)/2,MAX((CK1640+AV1640)/2,H1640))))</f>
        <v>53</v>
      </c>
      <c r="AU1640" s="50" t="n">
        <f aca="false">AT1640*G1640</f>
        <v>8778.39</v>
      </c>
      <c r="AV1640" s="50" t="n">
        <f aca="false">ROUNDUP(CK1640+MAX(CL1640,2*(J1640/IF(CG1640&gt;0,CG1640,MAX(0.1,N(Cockpit!$I$6)))-CK1640)),0)</f>
        <v>25</v>
      </c>
      <c r="AW1640" s="51" t="n">
        <f aca="false">IF(AS1640&gt;0,J1640/AS1640,-1)</f>
        <v>0</v>
      </c>
      <c r="AX1640" s="51" t="n">
        <f aca="false">IF(AND(OR(CF1640="L1",CF1640="L23",CF1640="LIFT"),AS1640&gt;0),SUMIFS($AS$7:$AS$1843,$CF$7:$CF$1843,CF1640,$AW$7:$AW$1843,"&gt;"&amp;AW1640)+SUMIFS($AS$7:$AS$1843,$CF$7:$CF$1843,CF1640,$AW$7:$AW$1843,AW1640,$BW$7:$BW$1843,"&lt;="&amp;BW1640),"")</f>
        <v>37313.2088507067</v>
      </c>
      <c r="AY1640" s="58" t="n">
        <f aca="false">IF(AX1640="",0,MAX(0,MIN(1,(IF(CF1640="L1",Parameter!$H$5,IF(CF1640="L23",Parameter!$H$6+Parameter!$H$7,Parameter!$H$5+Parameter!$H$6+Parameter!$H$7))-(AX1640-AS1640))/AS1640)))</f>
        <v>0</v>
      </c>
      <c r="AZ1640" s="50" t="n">
        <f aca="false">IF(LEFT(Cockpit!$O$5,1)="A",H1640,IF(Parameter!$E$30="MAX-Bestand",IF(CH1640=1,CI1640,IF(LEFT(Cockpit!$O$5,1)="B",BF1640,MAX(BF1640,H1640))),ROUNDUP(BD1640,0)))</f>
        <v>13</v>
      </c>
      <c r="BA1640" s="50" t="n">
        <f aca="false">IF(BZ1640=1,0,ROUNDUP(AZ1640/BY1640,0))</f>
        <v>1</v>
      </c>
      <c r="BB1640" s="52" t="n">
        <f aca="false">IF(CQ1640&gt;0,CQ1640*MAX(1,AZ1640/X1640),IF(BZ1640=1,IF(AZ1640&lt;=0,0,CD1640*MAX(1,IF(H1640&gt;0,AZ1640/H1640,1))),IF(R1640&gt;0,BA1640/R1640,0))/MAX(0.1,N(Parameter!$M$21)))</f>
        <v>0.0833333333333333</v>
      </c>
      <c r="BC1640" s="50" t="n">
        <f aca="false">BB1640*CB1640</f>
        <v>12.0833333333333</v>
      </c>
      <c r="BD1640" s="51" t="n">
        <f aca="false">IF(LEFT(Cockpit!$O$5,1)="A",H1640,IF(CH1640=1,(CK1640+CI1640)/2,IF(LEFT(Cockpit!$O$5,1)="B",(CK1640+BF1640)/2,MAX((CK1640+BF1640)/2,H1640))))</f>
        <v>12.5</v>
      </c>
      <c r="BE1640" s="50" t="n">
        <f aca="false">BD1640*G1640</f>
        <v>2070.375</v>
      </c>
      <c r="BF1640" s="50" t="n">
        <f aca="false">ROUNDUP(CK1640+MAX(CL1640,2*(J1640/IF(CG1640&gt;0,CG1640,MAX(0.1,N(Cockpit!$O$6)))-CK1640)),0)</f>
        <v>25</v>
      </c>
      <c r="BG1640" s="51" t="n">
        <f aca="false">IF(BC1640&gt;0,J1640/BC1640,-1)</f>
        <v>0</v>
      </c>
      <c r="BH1640" s="51" t="n">
        <f aca="false">IF(AND(OR(CF1640="L1",CF1640="L23",CF1640="LIFT"),BC1640&gt;0),SUMIFS($BC$7:$BC$1843,$CF$7:$CF$1843,CF1640,$BG$7:$BG$1843,"&gt;"&amp;BG1640)+SUMIFS($BC$7:$BC$1843,$CF$7:$CF$1843,CF1640,$BG$7:$BG$1843,BG1640,$BW$7:$BW$1843,"&lt;="&amp;BW1640),"")</f>
        <v>31222.6501262391</v>
      </c>
      <c r="BI1640" s="58" t="n">
        <f aca="false">IF(BH1640="",0,MAX(0,MIN(1,(IF(CF1640="L1",Parameter!$H$5,IF(CF1640="L23",Parameter!$H$6+Parameter!$H$7,Parameter!$H$5+Parameter!$H$6+Parameter!$H$7))-(BH1640-BC1640))/BC1640)))</f>
        <v>1</v>
      </c>
      <c r="BJ1640" s="48" t="str">
        <f aca="false">IF(AI1640&lt;=0,"",IF(CF1640="Aussen","Aussenlager",IF(CF1640="-","Nicht im Lift",IF(AO1640&gt;=1,"Lift",IF(AO1640&lt;=0,"Aussenlager","teilweise")))))</f>
        <v>Lift</v>
      </c>
      <c r="BK1640" s="48" t="str">
        <f aca="false">IF(AS1640&lt;=0,"",IF(CF1640="Aussen","Aussenlager",IF(CF1640="-","Nicht im Lift",IF(AY1640&gt;=1,"Lift",IF(AY1640&lt;=0,"Aussenlager","teilweise")))))</f>
        <v>Aussenlager</v>
      </c>
      <c r="BL1640" s="48" t="str">
        <f aca="false">IF(BC1640&lt;=0,"",IF(CF1640="Aussen","Aussenlager",IF(CF1640="-","Nicht im Lift",IF(BI1640&gt;=1,"Lift",IF(BI1640&lt;=0,"Aussenlager","teilweise")))))</f>
        <v>Lift</v>
      </c>
      <c r="BM1640" s="48" t="str">
        <f aca="false">IF(A1640="","",IF(BV1640=1,"Neu; ","")&amp;IF(AND(BV1640=0,BQ1640&lt;0),"negativer Bestand (Export "&amp;BQ1640&amp;"); ","")&amp;IF(J1640&lt;=0,"Kein Verbrauch; ","")&amp;IF(CQ1640&gt;0,"Lift "&amp;W1640&amp;" lt. Liftbericht (Fach "&amp;X1640&amp;" Stk); ",IF(CA1640=1,"Gebinde geschätzt ("&amp;T1640&amp;"); ",IF(BZ1640=1,"Lose – Tablare geschätzt; ","")))&amp;IF(H1640&gt;AV1640,"Überbestand "&amp;ROUND(H1640-AV1640,0)&amp;" Stk / CHF "&amp;ROUND((H1640-AV1640)*G1640,0)&amp;"; ","")&amp;IF(AND(CH1640=1,CI1640&lt;CJ1640),"MAX &lt; MB+LG; ","")&amp;IF(AND(CP1640&gt;0,CO1640*10&gt;CP1640),"zu hoch für Tablar; ","")&amp;IF(AND(BV1640=0,OR(CH1640=1,AA1640&lt;&gt;"",U1640&lt;&gt;"",V1640&lt;&gt;"",AB1640&lt;&gt;"")),"manuell übersteuert; ","")&amp;IF(AND(BZ1640=0,R1640=0),"Gebinde unbekannt / Stellmass fehlt; ","")&amp;IF(AND(BZ1640=0,N(V1640)&lt;=0,N(Q1640)&lt;=0),"Menge pro Gebinde fehlt (Ist = 1 Gebinde); ","")&amp;BU1640)</f>
        <v>Kein Verbrauch; Gebinde geschätzt (Mittel); Überbestand 28 Stk / CHF 4638; Menge pro Gebinde fehlt (Ist = 1 Gebinde); nur im Artikelstamm (Bestand 23.06.2026)</v>
      </c>
      <c r="BN1640" s="48"/>
      <c r="BO1640" s="48"/>
      <c r="BP1640" s="55"/>
      <c r="BQ1640" s="50" t="n">
        <v>53</v>
      </c>
      <c r="BR1640" s="50" t="n">
        <v>0</v>
      </c>
      <c r="BS1640" s="49" t="n">
        <v>0</v>
      </c>
      <c r="BT1640" s="50" t="n">
        <v>0</v>
      </c>
      <c r="BU1640" s="48" t="s">
        <v>2584</v>
      </c>
      <c r="BV1640" s="53" t="n">
        <v>0</v>
      </c>
      <c r="BW1640" s="53" t="n">
        <v>1640</v>
      </c>
      <c r="BX1640" s="48" t="str">
        <f aca="false">IF(U1640&lt;&gt;"",UPPER(TRIM(U1640)),IF(CA1640=1,UPPER(VLOOKUP(T1640,Parameter!$I$27:$K$29,2,0)),IF(P1640="","LOSE",P1640)))</f>
        <v>S61</v>
      </c>
      <c r="BY1640" s="50" t="n">
        <f aca="false">IF(BX1640="LOSE",1,IF(N(V1640)&gt;0,V1640,IF(CA1640=1,MAX(1,N(VLOOKUP(T1640,Parameter!$I$27:$K$29,3,0)),H1640,N(N1640)),IF(N(Q1640)&gt;0,Q1640,MAX(1,H1640)))))</f>
        <v>53</v>
      </c>
      <c r="BZ1640" s="53" t="n">
        <f aca="false">IF(BX1640="LOSE",1,0)</f>
        <v>0</v>
      </c>
      <c r="CA1640" s="53" t="n">
        <f aca="false">IF(AND(U1640="",OR(P1640="",P1640="LOSE"),T1640&lt;&gt;"",N(S1640)&lt;=0,ISNUMBER(MATCH(T1640,Parameter!$I$27:$I$29,0))),1,0)</f>
        <v>1</v>
      </c>
      <c r="CB1640" s="53" t="n">
        <f aca="false">IF(CQ1640&gt;0,INDEX(Parameter!$H$5:$H$7,W1640)/INDEX(Parameter!$E$5:$E$7,W1640),IF(AND(BZ1640=0,N(IFERROR(VLOOKUP(BX1640,'Gebinde-Kategorie'!$A$5:$N$45,14,0),0))&gt;0),VLOOKUP(BX1640,'Gebinde-Kategorie'!$A$5:$N$45,14,0)*10+Parameter!$M$23,Parameter!$M$24))</f>
        <v>145</v>
      </c>
      <c r="CC1640" s="48" t="n">
        <f aca="false">IF(AND(Parameter!$B$19="Ja",E1640&lt;&gt;"",ISNUMBER(MATCH(E1640,Parameter!$I$35:$I$52,0))),VLOOKUP(E1640,Parameter!$I$35:$J$52,2,0),IFERROR(VLOOKUP(D1640,Parameter!$A$35:$C$64,2,0),"Nein"))</f>
        <v>1</v>
      </c>
      <c r="CD1640" s="52" t="n">
        <f aca="false">IF(BZ1640=0,0,IF(N(S1640)&gt;0,S1640,IFERROR(VLOOKUP(D1640,Parameter!$A$35:$C$64,3,0)+0,0)))</f>
        <v>0</v>
      </c>
      <c r="CE1640" s="48" t="n">
        <f aca="false">IF(AA1640&lt;&gt;"",AA1640,Z1640)</f>
        <v>1</v>
      </c>
      <c r="CF1640" s="48" t="str">
        <f aca="false">IF(OR(CE1640=1,CE1640=2,CE1640=3),IF(Parameter!$E$27="Ja","LIFT",IF(CE1640=1,"L1","L23")),IF(CE1640="Aussen","Aussen","-"))</f>
        <v>LIFT</v>
      </c>
      <c r="CG1640" s="59" t="n">
        <f aca="false">IF(N(AB1640)&gt;0,AB1640,0)</f>
        <v>0</v>
      </c>
      <c r="CH1640" s="53" t="n">
        <f aca="false">IF(ISNUMBER(AE1640),1,0)</f>
        <v>0</v>
      </c>
      <c r="CI1640" s="50" t="n">
        <f aca="false">N(AE1640)</f>
        <v>0</v>
      </c>
      <c r="CJ1640" s="50" t="n">
        <f aca="false">N(M1640)+N(N1640)</f>
        <v>25</v>
      </c>
      <c r="CK1640" s="50" t="n">
        <f aca="false">N(M1640)</f>
        <v>0</v>
      </c>
      <c r="CL1640" s="50" t="n">
        <f aca="false">N(N1640)</f>
        <v>25</v>
      </c>
      <c r="CM1640" s="50" t="n">
        <f aca="false">ROUNDUP(H1640/BY1640,0)</f>
        <v>1</v>
      </c>
      <c r="CN1640" s="50" t="n">
        <f aca="false">ROUNDUP(CI1640/BY1640,0)</f>
        <v>0</v>
      </c>
      <c r="CO1640" s="53" t="n">
        <f aca="false">IF(BZ1640=1,0,IFERROR(VLOOKUP(BX1640,'Gebinde-Kategorie'!$A$5:$N$45,5,0)+0,0))</f>
        <v>11</v>
      </c>
      <c r="CP1640" s="53" t="n">
        <f aca="false">IFERROR(IF(OR(CE1640=1,CE1640=2,CE1640=3),N(INDEX(Parameter!$I$5:$I$7,CE1640)),0),0)</f>
        <v>0</v>
      </c>
      <c r="CQ1640" s="52" t="n">
        <f aca="false">IF(AND(Parameter!$B$21="Ja",ISNUMBER(W1640),N(X1640)&gt;0),IFERROR(N(INDEX(Parameter!$L$5:$L$7,W1640))*INDEX(Parameter!$E$5:$E$7,W1640)*X1640/SUMIFS($X$7:$X$1843,$W$7:$W$1843,W1640),0),0)</f>
        <v>0</v>
      </c>
    </row>
    <row r="1641" customFormat="false" ht="15" hidden="false" customHeight="false" outlineLevel="0" collapsed="false">
      <c r="A1641" s="48" t="s">
        <v>2863</v>
      </c>
      <c r="B1641" s="48" t="s">
        <v>2864</v>
      </c>
      <c r="C1641" s="48" t="s">
        <v>176</v>
      </c>
      <c r="D1641" s="48" t="s">
        <v>182</v>
      </c>
      <c r="E1641" s="48" t="s">
        <v>175</v>
      </c>
      <c r="F1641" s="48"/>
      <c r="G1641" s="49" t="n">
        <v>242.48</v>
      </c>
      <c r="H1641" s="50" t="n">
        <f aca="false">MAX(0,IF(AND(Parameter!$B$21="Ja",ISNUMBER(Y1641)),Y1641,IF(Parameter!$B$20="Jahresanfang 2025 + Export",BR1641+BQ1641,BQ1641)))</f>
        <v>48</v>
      </c>
      <c r="I1641" s="50" t="n">
        <f aca="false">H1641*G1641</f>
        <v>11639.04</v>
      </c>
      <c r="J1641" s="50" t="n">
        <f aca="false">BT1641*Parameter!$B$18</f>
        <v>0</v>
      </c>
      <c r="K1641" s="51"/>
      <c r="L1641" s="52"/>
      <c r="M1641" s="50" t="n">
        <v>0</v>
      </c>
      <c r="N1641" s="50" t="n">
        <v>15</v>
      </c>
      <c r="O1641" s="53" t="n">
        <v>105</v>
      </c>
      <c r="P1641" s="48" t="s">
        <v>177</v>
      </c>
      <c r="Q1641" s="50"/>
      <c r="R1641" s="53" t="n">
        <f aca="false">IF(BZ1641=1,0,IFERROR(VLOOKUP(BX1641,'Gebinde-Kategorie'!$A$5:$N$45,13,0)+0,0))</f>
        <v>12</v>
      </c>
      <c r="S1641" s="54"/>
      <c r="T1641" s="55" t="s">
        <v>188</v>
      </c>
      <c r="U1641" s="55"/>
      <c r="V1641" s="55"/>
      <c r="W1641" s="48"/>
      <c r="X1641" s="50"/>
      <c r="Y1641" s="50"/>
      <c r="Z1641" s="48" t="n">
        <f aca="false">IF(A1641="","",IF(AND(Parameter!$B$21="Ja",ISNUMBER(W1641)),W1641,IF(CC1641="2+3",IF(ISNUMBER(SEARCH("grosser Artikel",BU1641)),2,IFERROR(VLOOKUP(BX1641,Parameter!$F$35:$G$64,2,0),2)),IF(OR(CC1641="Nein",CC1641=""),"-",CC1641))))</f>
        <v>1</v>
      </c>
      <c r="AA1641" s="55"/>
      <c r="AB1641" s="56"/>
      <c r="AC1641" s="50" t="n">
        <f aca="false">AV1641</f>
        <v>15</v>
      </c>
      <c r="AD1641" s="50" t="n">
        <f aca="false">MAX(AV1641,H1641)</f>
        <v>48</v>
      </c>
      <c r="AE1641" s="57"/>
      <c r="AF1641" s="50" t="n">
        <f aca="false">IF(LEFT(Cockpit!$C$5,1)="A",H1641,IF(Parameter!$E$30="MAX-Bestand",IF(CH1641=1,CI1641,IF(LEFT(Cockpit!$C$5,1)="B",AL1641,MAX(AL1641,H1641))),ROUNDUP(AJ1641,0)))</f>
        <v>48</v>
      </c>
      <c r="AG1641" s="50" t="n">
        <f aca="false">IF(BZ1641=1,0,ROUNDUP(AF1641/BY1641,0))</f>
        <v>1</v>
      </c>
      <c r="AH1641" s="52" t="n">
        <f aca="false">IF(CQ1641&gt;0,CQ1641*MAX(1,AF1641/X1641),IF(BZ1641=1,IF(AF1641&lt;=0,0,CD1641*MAX(1,IF(H1641&gt;0,AF1641/H1641,1))),IF(R1641&gt;0,AG1641/R1641,0))/MAX(0.1,N(Parameter!$M$21)))</f>
        <v>0.0833333333333333</v>
      </c>
      <c r="AI1641" s="50" t="n">
        <f aca="false">AH1641*CB1641</f>
        <v>12.0833333333333</v>
      </c>
      <c r="AJ1641" s="51" t="n">
        <f aca="false">IF(LEFT(Cockpit!$C$5,1)="A",H1641,IF(CH1641=1,(CK1641+CI1641)/2,IF(LEFT(Cockpit!$C$5,1)="B",(CK1641+AL1641)/2,MAX((CK1641+AL1641)/2,H1641))))</f>
        <v>48</v>
      </c>
      <c r="AK1641" s="50" t="n">
        <f aca="false">AJ1641*G1641</f>
        <v>11639.04</v>
      </c>
      <c r="AL1641" s="50" t="n">
        <f aca="false">ROUNDUP(CK1641+MAX(CL1641,2*(J1641/IF(CG1641&gt;0,CG1641,MAX(0.1,N(Cockpit!$C$6)))-CK1641)),0)</f>
        <v>15</v>
      </c>
      <c r="AM1641" s="51" t="n">
        <f aca="false">IF(AI1641&gt;0,J1641/AI1641,-1)</f>
        <v>0</v>
      </c>
      <c r="AN1641" s="51" t="n">
        <f aca="false">IF(AND(OR(CF1641="L1",CF1641="L23",CF1641="LIFT"),AI1641&gt;0),SUMIFS($AI$7:$AI$1843,$CF$7:$CF$1843,CF1641,$AM$7:$AM$1843,"&gt;"&amp;AM1641)+SUMIFS($AI$7:$AI$1843,$CF$7:$CF$1843,CF1641,$AM$7:$AM$1843,AM1641,$BW$7:$BW$1843,"&lt;="&amp;BW1641),"")</f>
        <v>31005.4356672047</v>
      </c>
      <c r="AO1641" s="58" t="n">
        <f aca="false">IF(AN1641="",0,MAX(0,MIN(1,(IF(CF1641="L1",Parameter!$H$5,IF(CF1641="L23",Parameter!$H$6+Parameter!$H$7,Parameter!$H$5+Parameter!$H$6+Parameter!$H$7))-(AN1641-AI1641))/AI1641)))</f>
        <v>1</v>
      </c>
      <c r="AP1641" s="50" t="n">
        <f aca="false">IF(LEFT(Cockpit!$I$5,1)="A",H1641,IF(Parameter!$E$30="MAX-Bestand",IF(CH1641=1,CI1641,IF(LEFT(Cockpit!$I$5,1)="B",AV1641,MAX(AV1641,H1641))),ROUNDUP(AT1641,0)))</f>
        <v>48</v>
      </c>
      <c r="AQ1641" s="50" t="n">
        <f aca="false">IF(BZ1641=1,0,ROUNDUP(AP1641/BY1641,0))</f>
        <v>1</v>
      </c>
      <c r="AR1641" s="52" t="n">
        <f aca="false">IF(CQ1641&gt;0,CQ1641*MAX(1,AP1641/X1641),IF(BZ1641=1,IF(AP1641&lt;=0,0,CD1641*MAX(1,IF(H1641&gt;0,AP1641/H1641,1))),IF(R1641&gt;0,AQ1641/R1641,0))/MAX(0.1,N(Parameter!$M$21)))</f>
        <v>0.0833333333333333</v>
      </c>
      <c r="AS1641" s="50" t="n">
        <f aca="false">AR1641*CB1641</f>
        <v>12.0833333333333</v>
      </c>
      <c r="AT1641" s="51" t="n">
        <f aca="false">IF(LEFT(Cockpit!$I$5,1)="A",H1641,IF(CH1641=1,(CK1641+CI1641)/2,IF(LEFT(Cockpit!$I$5,1)="B",(CK1641+AV1641)/2,MAX((CK1641+AV1641)/2,H1641))))</f>
        <v>48</v>
      </c>
      <c r="AU1641" s="50" t="n">
        <f aca="false">AT1641*G1641</f>
        <v>11639.04</v>
      </c>
      <c r="AV1641" s="50" t="n">
        <f aca="false">ROUNDUP(CK1641+MAX(CL1641,2*(J1641/IF(CG1641&gt;0,CG1641,MAX(0.1,N(Cockpit!$I$6)))-CK1641)),0)</f>
        <v>15</v>
      </c>
      <c r="AW1641" s="51" t="n">
        <f aca="false">IF(AS1641&gt;0,J1641/AS1641,-1)</f>
        <v>0</v>
      </c>
      <c r="AX1641" s="51" t="n">
        <f aca="false">IF(AND(OR(CF1641="L1",CF1641="L23",CF1641="LIFT"),AS1641&gt;0),SUMIFS($AS$7:$AS$1843,$CF$7:$CF$1843,CF1641,$AW$7:$AW$1843,"&gt;"&amp;AW1641)+SUMIFS($AS$7:$AS$1843,$CF$7:$CF$1843,CF1641,$AW$7:$AW$1843,AW1641,$BW$7:$BW$1843,"&lt;="&amp;BW1641),"")</f>
        <v>37325.2921840401</v>
      </c>
      <c r="AY1641" s="58" t="n">
        <f aca="false">IF(AX1641="",0,MAX(0,MIN(1,(IF(CF1641="L1",Parameter!$H$5,IF(CF1641="L23",Parameter!$H$6+Parameter!$H$7,Parameter!$H$5+Parameter!$H$6+Parameter!$H$7))-(AX1641-AS1641))/AS1641)))</f>
        <v>0</v>
      </c>
      <c r="AZ1641" s="50" t="n">
        <f aca="false">IF(LEFT(Cockpit!$O$5,1)="A",H1641,IF(Parameter!$E$30="MAX-Bestand",IF(CH1641=1,CI1641,IF(LEFT(Cockpit!$O$5,1)="B",BF1641,MAX(BF1641,H1641))),ROUNDUP(BD1641,0)))</f>
        <v>8</v>
      </c>
      <c r="BA1641" s="50" t="n">
        <f aca="false">IF(BZ1641=1,0,ROUNDUP(AZ1641/BY1641,0))</f>
        <v>1</v>
      </c>
      <c r="BB1641" s="52" t="n">
        <f aca="false">IF(CQ1641&gt;0,CQ1641*MAX(1,AZ1641/X1641),IF(BZ1641=1,IF(AZ1641&lt;=0,0,CD1641*MAX(1,IF(H1641&gt;0,AZ1641/H1641,1))),IF(R1641&gt;0,BA1641/R1641,0))/MAX(0.1,N(Parameter!$M$21)))</f>
        <v>0.0833333333333333</v>
      </c>
      <c r="BC1641" s="50" t="n">
        <f aca="false">BB1641*CB1641</f>
        <v>12.0833333333333</v>
      </c>
      <c r="BD1641" s="51" t="n">
        <f aca="false">IF(LEFT(Cockpit!$O$5,1)="A",H1641,IF(CH1641=1,(CK1641+CI1641)/2,IF(LEFT(Cockpit!$O$5,1)="B",(CK1641+BF1641)/2,MAX((CK1641+BF1641)/2,H1641))))</f>
        <v>7.5</v>
      </c>
      <c r="BE1641" s="50" t="n">
        <f aca="false">BD1641*G1641</f>
        <v>1818.6</v>
      </c>
      <c r="BF1641" s="50" t="n">
        <f aca="false">ROUNDUP(CK1641+MAX(CL1641,2*(J1641/IF(CG1641&gt;0,CG1641,MAX(0.1,N(Cockpit!$O$6)))-CK1641)),0)</f>
        <v>15</v>
      </c>
      <c r="BG1641" s="51" t="n">
        <f aca="false">IF(BC1641&gt;0,J1641/BC1641,-1)</f>
        <v>0</v>
      </c>
      <c r="BH1641" s="51" t="n">
        <f aca="false">IF(AND(OR(CF1641="L1",CF1641="L23",CF1641="LIFT"),BC1641&gt;0),SUMIFS($BC$7:$BC$1843,$CF$7:$CF$1843,CF1641,$BG$7:$BG$1843,"&gt;"&amp;BG1641)+SUMIFS($BC$7:$BC$1843,$CF$7:$CF$1843,CF1641,$BG$7:$BG$1843,BG1641,$BW$7:$BW$1843,"&lt;="&amp;BW1641),"")</f>
        <v>31234.7334595724</v>
      </c>
      <c r="BI1641" s="58" t="n">
        <f aca="false">IF(BH1641="",0,MAX(0,MIN(1,(IF(CF1641="L1",Parameter!$H$5,IF(CF1641="L23",Parameter!$H$6+Parameter!$H$7,Parameter!$H$5+Parameter!$H$6+Parameter!$H$7))-(BH1641-BC1641))/BC1641)))</f>
        <v>1</v>
      </c>
      <c r="BJ1641" s="48" t="str">
        <f aca="false">IF(AI1641&lt;=0,"",IF(CF1641="Aussen","Aussenlager",IF(CF1641="-","Nicht im Lift",IF(AO1641&gt;=1,"Lift",IF(AO1641&lt;=0,"Aussenlager","teilweise")))))</f>
        <v>Lift</v>
      </c>
      <c r="BK1641" s="48" t="str">
        <f aca="false">IF(AS1641&lt;=0,"",IF(CF1641="Aussen","Aussenlager",IF(CF1641="-","Nicht im Lift",IF(AY1641&gt;=1,"Lift",IF(AY1641&lt;=0,"Aussenlager","teilweise")))))</f>
        <v>Aussenlager</v>
      </c>
      <c r="BL1641" s="48" t="str">
        <f aca="false">IF(BC1641&lt;=0,"",IF(CF1641="Aussen","Aussenlager",IF(CF1641="-","Nicht im Lift",IF(BI1641&gt;=1,"Lift",IF(BI1641&lt;=0,"Aussenlager","teilweise")))))</f>
        <v>Lift</v>
      </c>
      <c r="BM1641" s="48" t="str">
        <f aca="false">IF(A1641="","",IF(BV1641=1,"Neu; ","")&amp;IF(AND(BV1641=0,BQ1641&lt;0),"negativer Bestand (Export "&amp;BQ1641&amp;"); ","")&amp;IF(J1641&lt;=0,"Kein Verbrauch; ","")&amp;IF(CQ1641&gt;0,"Lift "&amp;W1641&amp;" lt. Liftbericht (Fach "&amp;X1641&amp;" Stk); ",IF(CA1641=1,"Gebinde geschätzt ("&amp;T1641&amp;"); ",IF(BZ1641=1,"Lose – Tablare geschätzt; ","")))&amp;IF(H1641&gt;AV1641,"Überbestand "&amp;ROUND(H1641-AV1641,0)&amp;" Stk / CHF "&amp;ROUND((H1641-AV1641)*G1641,0)&amp;"; ","")&amp;IF(AND(CH1641=1,CI1641&lt;CJ1641),"MAX &lt; MB+LG; ","")&amp;IF(AND(CP1641&gt;0,CO1641*10&gt;CP1641),"zu hoch für Tablar; ","")&amp;IF(AND(BV1641=0,OR(CH1641=1,AA1641&lt;&gt;"",U1641&lt;&gt;"",V1641&lt;&gt;"",AB1641&lt;&gt;"")),"manuell übersteuert; ","")&amp;IF(AND(BZ1641=0,R1641=0),"Gebinde unbekannt / Stellmass fehlt; ","")&amp;IF(AND(BZ1641=0,N(V1641)&lt;=0,N(Q1641)&lt;=0),"Menge pro Gebinde fehlt (Ist = 1 Gebinde); ","")&amp;BU1641)</f>
        <v>Kein Verbrauch; Gebinde geschätzt (Mittel); Überbestand 33 Stk / CHF 8002; Menge pro Gebinde fehlt (Ist = 1 Gebinde); nur im Artikelstamm (Bestand 23.06.2026)</v>
      </c>
      <c r="BN1641" s="48"/>
      <c r="BO1641" s="48"/>
      <c r="BP1641" s="55"/>
      <c r="BQ1641" s="50" t="n">
        <v>48</v>
      </c>
      <c r="BR1641" s="50" t="n">
        <v>0</v>
      </c>
      <c r="BS1641" s="49" t="n">
        <v>0</v>
      </c>
      <c r="BT1641" s="50" t="n">
        <v>0</v>
      </c>
      <c r="BU1641" s="48" t="s">
        <v>2584</v>
      </c>
      <c r="BV1641" s="53" t="n">
        <v>0</v>
      </c>
      <c r="BW1641" s="53" t="n">
        <v>1641</v>
      </c>
      <c r="BX1641" s="48" t="str">
        <f aca="false">IF(U1641&lt;&gt;"",UPPER(TRIM(U1641)),IF(CA1641=1,UPPER(VLOOKUP(T1641,Parameter!$I$27:$K$29,2,0)),IF(P1641="","LOSE",P1641)))</f>
        <v>S61</v>
      </c>
      <c r="BY1641" s="50" t="n">
        <f aca="false">IF(BX1641="LOSE",1,IF(N(V1641)&gt;0,V1641,IF(CA1641=1,MAX(1,N(VLOOKUP(T1641,Parameter!$I$27:$K$29,3,0)),H1641,N(N1641)),IF(N(Q1641)&gt;0,Q1641,MAX(1,H1641)))))</f>
        <v>48</v>
      </c>
      <c r="BZ1641" s="53" t="n">
        <f aca="false">IF(BX1641="LOSE",1,0)</f>
        <v>0</v>
      </c>
      <c r="CA1641" s="53" t="n">
        <f aca="false">IF(AND(U1641="",OR(P1641="",P1641="LOSE"),T1641&lt;&gt;"",N(S1641)&lt;=0,ISNUMBER(MATCH(T1641,Parameter!$I$27:$I$29,0))),1,0)</f>
        <v>1</v>
      </c>
      <c r="CB1641" s="53" t="n">
        <f aca="false">IF(CQ1641&gt;0,INDEX(Parameter!$H$5:$H$7,W1641)/INDEX(Parameter!$E$5:$E$7,W1641),IF(AND(BZ1641=0,N(IFERROR(VLOOKUP(BX1641,'Gebinde-Kategorie'!$A$5:$N$45,14,0),0))&gt;0),VLOOKUP(BX1641,'Gebinde-Kategorie'!$A$5:$N$45,14,0)*10+Parameter!$M$23,Parameter!$M$24))</f>
        <v>145</v>
      </c>
      <c r="CC1641" s="48" t="n">
        <f aca="false">IF(AND(Parameter!$B$19="Ja",E1641&lt;&gt;"",ISNUMBER(MATCH(E1641,Parameter!$I$35:$I$52,0))),VLOOKUP(E1641,Parameter!$I$35:$J$52,2,0),IFERROR(VLOOKUP(D1641,Parameter!$A$35:$C$64,2,0),"Nein"))</f>
        <v>1</v>
      </c>
      <c r="CD1641" s="52" t="n">
        <f aca="false">IF(BZ1641=0,0,IF(N(S1641)&gt;0,S1641,IFERROR(VLOOKUP(D1641,Parameter!$A$35:$C$64,3,0)+0,0)))</f>
        <v>0</v>
      </c>
      <c r="CE1641" s="48" t="n">
        <f aca="false">IF(AA1641&lt;&gt;"",AA1641,Z1641)</f>
        <v>1</v>
      </c>
      <c r="CF1641" s="48" t="str">
        <f aca="false">IF(OR(CE1641=1,CE1641=2,CE1641=3),IF(Parameter!$E$27="Ja","LIFT",IF(CE1641=1,"L1","L23")),IF(CE1641="Aussen","Aussen","-"))</f>
        <v>LIFT</v>
      </c>
      <c r="CG1641" s="59" t="n">
        <f aca="false">IF(N(AB1641)&gt;0,AB1641,0)</f>
        <v>0</v>
      </c>
      <c r="CH1641" s="53" t="n">
        <f aca="false">IF(ISNUMBER(AE1641),1,0)</f>
        <v>0</v>
      </c>
      <c r="CI1641" s="50" t="n">
        <f aca="false">N(AE1641)</f>
        <v>0</v>
      </c>
      <c r="CJ1641" s="50" t="n">
        <f aca="false">N(M1641)+N(N1641)</f>
        <v>15</v>
      </c>
      <c r="CK1641" s="50" t="n">
        <f aca="false">N(M1641)</f>
        <v>0</v>
      </c>
      <c r="CL1641" s="50" t="n">
        <f aca="false">N(N1641)</f>
        <v>15</v>
      </c>
      <c r="CM1641" s="50" t="n">
        <f aca="false">ROUNDUP(H1641/BY1641,0)</f>
        <v>1</v>
      </c>
      <c r="CN1641" s="50" t="n">
        <f aca="false">ROUNDUP(CI1641/BY1641,0)</f>
        <v>0</v>
      </c>
      <c r="CO1641" s="53" t="n">
        <f aca="false">IF(BZ1641=1,0,IFERROR(VLOOKUP(BX1641,'Gebinde-Kategorie'!$A$5:$N$45,5,0)+0,0))</f>
        <v>11</v>
      </c>
      <c r="CP1641" s="53" t="n">
        <f aca="false">IFERROR(IF(OR(CE1641=1,CE1641=2,CE1641=3),N(INDEX(Parameter!$I$5:$I$7,CE1641)),0),0)</f>
        <v>0</v>
      </c>
      <c r="CQ1641" s="52" t="n">
        <f aca="false">IF(AND(Parameter!$B$21="Ja",ISNUMBER(W1641),N(X1641)&gt;0),IFERROR(N(INDEX(Parameter!$L$5:$L$7,W1641))*INDEX(Parameter!$E$5:$E$7,W1641)*X1641/SUMIFS($X$7:$X$1843,$W$7:$W$1843,W1641),0),0)</f>
        <v>0</v>
      </c>
    </row>
    <row r="1642" customFormat="false" ht="15" hidden="false" customHeight="false" outlineLevel="0" collapsed="false">
      <c r="A1642" s="48" t="s">
        <v>2865</v>
      </c>
      <c r="B1642" s="48" t="s">
        <v>2866</v>
      </c>
      <c r="C1642" s="48" t="s">
        <v>173</v>
      </c>
      <c r="D1642" s="48" t="s">
        <v>182</v>
      </c>
      <c r="E1642" s="48"/>
      <c r="F1642" s="48"/>
      <c r="G1642" s="49" t="n">
        <v>11054.86</v>
      </c>
      <c r="H1642" s="50" t="n">
        <f aca="false">MAX(0,IF(AND(Parameter!$B$21="Ja",ISNUMBER(Y1642)),Y1642,IF(Parameter!$B$20="Jahresanfang 2025 + Export",BR1642+BQ1642,BQ1642)))</f>
        <v>1</v>
      </c>
      <c r="I1642" s="50" t="n">
        <f aca="false">H1642*G1642</f>
        <v>11054.86</v>
      </c>
      <c r="J1642" s="50" t="n">
        <f aca="false">BT1642*Parameter!$B$18</f>
        <v>0</v>
      </c>
      <c r="K1642" s="51"/>
      <c r="L1642" s="52"/>
      <c r="M1642" s="50" t="n">
        <v>0</v>
      </c>
      <c r="N1642" s="50" t="n">
        <v>1</v>
      </c>
      <c r="O1642" s="53" t="n">
        <v>0</v>
      </c>
      <c r="P1642" s="48" t="s">
        <v>177</v>
      </c>
      <c r="Q1642" s="50"/>
      <c r="R1642" s="53" t="n">
        <f aca="false">IF(BZ1642=1,0,IFERROR(VLOOKUP(BX1642,'Gebinde-Kategorie'!$A$5:$N$45,13,0)+0,0))</f>
        <v>12</v>
      </c>
      <c r="S1642" s="54"/>
      <c r="T1642" s="55" t="s">
        <v>188</v>
      </c>
      <c r="U1642" s="55"/>
      <c r="V1642" s="55"/>
      <c r="W1642" s="48"/>
      <c r="X1642" s="50"/>
      <c r="Y1642" s="50"/>
      <c r="Z1642" s="48" t="n">
        <f aca="false">IF(A1642="","",IF(AND(Parameter!$B$21="Ja",ISNUMBER(W1642)),W1642,IF(CC1642="2+3",IF(ISNUMBER(SEARCH("grosser Artikel",BU1642)),2,IFERROR(VLOOKUP(BX1642,Parameter!$F$35:$G$64,2,0),2)),IF(OR(CC1642="Nein",CC1642=""),"-",CC1642))))</f>
        <v>2</v>
      </c>
      <c r="AA1642" s="55"/>
      <c r="AB1642" s="56"/>
      <c r="AC1642" s="50" t="n">
        <f aca="false">AV1642</f>
        <v>1</v>
      </c>
      <c r="AD1642" s="50" t="n">
        <f aca="false">MAX(AV1642,H1642)</f>
        <v>1</v>
      </c>
      <c r="AE1642" s="57"/>
      <c r="AF1642" s="50" t="n">
        <f aca="false">IF(LEFT(Cockpit!$C$5,1)="A",H1642,IF(Parameter!$E$30="MAX-Bestand",IF(CH1642=1,CI1642,IF(LEFT(Cockpit!$C$5,1)="B",AL1642,MAX(AL1642,H1642))),ROUNDUP(AJ1642,0)))</f>
        <v>1</v>
      </c>
      <c r="AG1642" s="50" t="n">
        <f aca="false">IF(BZ1642=1,0,ROUNDUP(AF1642/BY1642,0))</f>
        <v>1</v>
      </c>
      <c r="AH1642" s="52" t="n">
        <f aca="false">IF(CQ1642&gt;0,CQ1642*MAX(1,AF1642/X1642),IF(BZ1642=1,IF(AF1642&lt;=0,0,CD1642*MAX(1,IF(H1642&gt;0,AF1642/H1642,1))),IF(R1642&gt;0,AG1642/R1642,0))/MAX(0.1,N(Parameter!$M$21)))</f>
        <v>0.0833333333333333</v>
      </c>
      <c r="AI1642" s="50" t="n">
        <f aca="false">AH1642*CB1642</f>
        <v>12.0833333333333</v>
      </c>
      <c r="AJ1642" s="51" t="n">
        <f aca="false">IF(LEFT(Cockpit!$C$5,1)="A",H1642,IF(CH1642=1,(CK1642+CI1642)/2,IF(LEFT(Cockpit!$C$5,1)="B",(CK1642+AL1642)/2,MAX((CK1642+AL1642)/2,H1642))))</f>
        <v>1</v>
      </c>
      <c r="AK1642" s="50" t="n">
        <f aca="false">AJ1642*G1642</f>
        <v>11054.86</v>
      </c>
      <c r="AL1642" s="50" t="n">
        <f aca="false">ROUNDUP(CK1642+MAX(CL1642,2*(J1642/IF(CG1642&gt;0,CG1642,MAX(0.1,N(Cockpit!$C$6)))-CK1642)),0)</f>
        <v>1</v>
      </c>
      <c r="AM1642" s="51" t="n">
        <f aca="false">IF(AI1642&gt;0,J1642/AI1642,-1)</f>
        <v>0</v>
      </c>
      <c r="AN1642" s="51" t="n">
        <f aca="false">IF(AND(OR(CF1642="L1",CF1642="L23",CF1642="LIFT"),AI1642&gt;0),SUMIFS($AI$7:$AI$1843,$CF$7:$CF$1843,CF1642,$AM$7:$AM$1843,"&gt;"&amp;AM1642)+SUMIFS($AI$7:$AI$1843,$CF$7:$CF$1843,CF1642,$AM$7:$AM$1843,AM1642,$BW$7:$BW$1843,"&lt;="&amp;BW1642),"")</f>
        <v>31017.5190005381</v>
      </c>
      <c r="AO1642" s="58" t="n">
        <f aca="false">IF(AN1642="",0,MAX(0,MIN(1,(IF(CF1642="L1",Parameter!$H$5,IF(CF1642="L23",Parameter!$H$6+Parameter!$H$7,Parameter!$H$5+Parameter!$H$6+Parameter!$H$7))-(AN1642-AI1642))/AI1642)))</f>
        <v>1</v>
      </c>
      <c r="AP1642" s="50" t="n">
        <f aca="false">IF(LEFT(Cockpit!$I$5,1)="A",H1642,IF(Parameter!$E$30="MAX-Bestand",IF(CH1642=1,CI1642,IF(LEFT(Cockpit!$I$5,1)="B",AV1642,MAX(AV1642,H1642))),ROUNDUP(AT1642,0)))</f>
        <v>1</v>
      </c>
      <c r="AQ1642" s="50" t="n">
        <f aca="false">IF(BZ1642=1,0,ROUNDUP(AP1642/BY1642,0))</f>
        <v>1</v>
      </c>
      <c r="AR1642" s="52" t="n">
        <f aca="false">IF(CQ1642&gt;0,CQ1642*MAX(1,AP1642/X1642),IF(BZ1642=1,IF(AP1642&lt;=0,0,CD1642*MAX(1,IF(H1642&gt;0,AP1642/H1642,1))),IF(R1642&gt;0,AQ1642/R1642,0))/MAX(0.1,N(Parameter!$M$21)))</f>
        <v>0.0833333333333333</v>
      </c>
      <c r="AS1642" s="50" t="n">
        <f aca="false">AR1642*CB1642</f>
        <v>12.0833333333333</v>
      </c>
      <c r="AT1642" s="51" t="n">
        <f aca="false">IF(LEFT(Cockpit!$I$5,1)="A",H1642,IF(CH1642=1,(CK1642+CI1642)/2,IF(LEFT(Cockpit!$I$5,1)="B",(CK1642+AV1642)/2,MAX((CK1642+AV1642)/2,H1642))))</f>
        <v>1</v>
      </c>
      <c r="AU1642" s="50" t="n">
        <f aca="false">AT1642*G1642</f>
        <v>11054.86</v>
      </c>
      <c r="AV1642" s="50" t="n">
        <f aca="false">ROUNDUP(CK1642+MAX(CL1642,2*(J1642/IF(CG1642&gt;0,CG1642,MAX(0.1,N(Cockpit!$I$6)))-CK1642)),0)</f>
        <v>1</v>
      </c>
      <c r="AW1642" s="51" t="n">
        <f aca="false">IF(AS1642&gt;0,J1642/AS1642,-1)</f>
        <v>0</v>
      </c>
      <c r="AX1642" s="51" t="n">
        <f aca="false">IF(AND(OR(CF1642="L1",CF1642="L23",CF1642="LIFT"),AS1642&gt;0),SUMIFS($AS$7:$AS$1843,$CF$7:$CF$1843,CF1642,$AW$7:$AW$1843,"&gt;"&amp;AW1642)+SUMIFS($AS$7:$AS$1843,$CF$7:$CF$1843,CF1642,$AW$7:$AW$1843,AW1642,$BW$7:$BW$1843,"&lt;="&amp;BW1642),"")</f>
        <v>37337.3755173734</v>
      </c>
      <c r="AY1642" s="58" t="n">
        <f aca="false">IF(AX1642="",0,MAX(0,MIN(1,(IF(CF1642="L1",Parameter!$H$5,IF(CF1642="L23",Parameter!$H$6+Parameter!$H$7,Parameter!$H$5+Parameter!$H$6+Parameter!$H$7))-(AX1642-AS1642))/AS1642)))</f>
        <v>0</v>
      </c>
      <c r="AZ1642" s="50" t="n">
        <f aca="false">IF(LEFT(Cockpit!$O$5,1)="A",H1642,IF(Parameter!$E$30="MAX-Bestand",IF(CH1642=1,CI1642,IF(LEFT(Cockpit!$O$5,1)="B",BF1642,MAX(BF1642,H1642))),ROUNDUP(BD1642,0)))</f>
        <v>1</v>
      </c>
      <c r="BA1642" s="50" t="n">
        <f aca="false">IF(BZ1642=1,0,ROUNDUP(AZ1642/BY1642,0))</f>
        <v>1</v>
      </c>
      <c r="BB1642" s="52" t="n">
        <f aca="false">IF(CQ1642&gt;0,CQ1642*MAX(1,AZ1642/X1642),IF(BZ1642=1,IF(AZ1642&lt;=0,0,CD1642*MAX(1,IF(H1642&gt;0,AZ1642/H1642,1))),IF(R1642&gt;0,BA1642/R1642,0))/MAX(0.1,N(Parameter!$M$21)))</f>
        <v>0.0833333333333333</v>
      </c>
      <c r="BC1642" s="50" t="n">
        <f aca="false">BB1642*CB1642</f>
        <v>12.0833333333333</v>
      </c>
      <c r="BD1642" s="51" t="n">
        <f aca="false">IF(LEFT(Cockpit!$O$5,1)="A",H1642,IF(CH1642=1,(CK1642+CI1642)/2,IF(LEFT(Cockpit!$O$5,1)="B",(CK1642+BF1642)/2,MAX((CK1642+BF1642)/2,H1642))))</f>
        <v>0.5</v>
      </c>
      <c r="BE1642" s="50" t="n">
        <f aca="false">BD1642*G1642</f>
        <v>5527.43</v>
      </c>
      <c r="BF1642" s="50" t="n">
        <f aca="false">ROUNDUP(CK1642+MAX(CL1642,2*(J1642/IF(CG1642&gt;0,CG1642,MAX(0.1,N(Cockpit!$O$6)))-CK1642)),0)</f>
        <v>1</v>
      </c>
      <c r="BG1642" s="51" t="n">
        <f aca="false">IF(BC1642&gt;0,J1642/BC1642,-1)</f>
        <v>0</v>
      </c>
      <c r="BH1642" s="51" t="n">
        <f aca="false">IF(AND(OR(CF1642="L1",CF1642="L23",CF1642="LIFT"),BC1642&gt;0),SUMIFS($BC$7:$BC$1843,$CF$7:$CF$1843,CF1642,$BG$7:$BG$1843,"&gt;"&amp;BG1642)+SUMIFS($BC$7:$BC$1843,$CF$7:$CF$1843,CF1642,$BG$7:$BG$1843,BG1642,$BW$7:$BW$1843,"&lt;="&amp;BW1642),"")</f>
        <v>31246.8167929058</v>
      </c>
      <c r="BI1642" s="58" t="n">
        <f aca="false">IF(BH1642="",0,MAX(0,MIN(1,(IF(CF1642="L1",Parameter!$H$5,IF(CF1642="L23",Parameter!$H$6+Parameter!$H$7,Parameter!$H$5+Parameter!$H$6+Parameter!$H$7))-(BH1642-BC1642))/BC1642)))</f>
        <v>1</v>
      </c>
      <c r="BJ1642" s="48" t="str">
        <f aca="false">IF(AI1642&lt;=0,"",IF(CF1642="Aussen","Aussenlager",IF(CF1642="-","Nicht im Lift",IF(AO1642&gt;=1,"Lift",IF(AO1642&lt;=0,"Aussenlager","teilweise")))))</f>
        <v>Lift</v>
      </c>
      <c r="BK1642" s="48" t="str">
        <f aca="false">IF(AS1642&lt;=0,"",IF(CF1642="Aussen","Aussenlager",IF(CF1642="-","Nicht im Lift",IF(AY1642&gt;=1,"Lift",IF(AY1642&lt;=0,"Aussenlager","teilweise")))))</f>
        <v>Aussenlager</v>
      </c>
      <c r="BL1642" s="48" t="str">
        <f aca="false">IF(BC1642&lt;=0,"",IF(CF1642="Aussen","Aussenlager",IF(CF1642="-","Nicht im Lift",IF(BI1642&gt;=1,"Lift",IF(BI1642&lt;=0,"Aussenlager","teilweise")))))</f>
        <v>Lift</v>
      </c>
      <c r="BM1642" s="48" t="str">
        <f aca="false">IF(A1642="","",IF(BV1642=1,"Neu; ","")&amp;IF(AND(BV1642=0,BQ1642&lt;0),"negativer Bestand (Export "&amp;BQ1642&amp;"); ","")&amp;IF(J1642&lt;=0,"Kein Verbrauch; ","")&amp;IF(CQ1642&gt;0,"Lift "&amp;W1642&amp;" lt. Liftbericht (Fach "&amp;X1642&amp;" Stk); ",IF(CA1642=1,"Gebinde geschätzt ("&amp;T1642&amp;"); ",IF(BZ1642=1,"Lose – Tablare geschätzt; ","")))&amp;IF(H1642&gt;AV1642,"Überbestand "&amp;ROUND(H1642-AV1642,0)&amp;" Stk / CHF "&amp;ROUND((H1642-AV1642)*G1642,0)&amp;"; ","")&amp;IF(AND(CH1642=1,CI1642&lt;CJ1642),"MAX &lt; MB+LG; ","")&amp;IF(AND(CP1642&gt;0,CO1642*10&gt;CP1642),"zu hoch für Tablar; ","")&amp;IF(AND(BV1642=0,OR(CH1642=1,AA1642&lt;&gt;"",U1642&lt;&gt;"",V1642&lt;&gt;"",AB1642&lt;&gt;"")),"manuell übersteuert; ","")&amp;IF(AND(BZ1642=0,R1642=0),"Gebinde unbekannt / Stellmass fehlt; ","")&amp;IF(AND(BZ1642=0,N(V1642)&lt;=0,N(Q1642)&lt;=0),"Menge pro Gebinde fehlt (Ist = 1 Gebinde); ","")&amp;BU1642)</f>
        <v>Kein Verbrauch; Gebinde geschätzt (Mittel); Menge pro Gebinde fehlt (Ist = 1 Gebinde); nur im Artikelstamm (Bestand 23.06.2026)</v>
      </c>
      <c r="BN1642" s="48"/>
      <c r="BO1642" s="48"/>
      <c r="BP1642" s="55"/>
      <c r="BQ1642" s="50" t="n">
        <v>1</v>
      </c>
      <c r="BR1642" s="50" t="n">
        <v>0</v>
      </c>
      <c r="BS1642" s="49" t="n">
        <v>0</v>
      </c>
      <c r="BT1642" s="50" t="n">
        <v>0</v>
      </c>
      <c r="BU1642" s="48" t="s">
        <v>2584</v>
      </c>
      <c r="BV1642" s="53" t="n">
        <v>0</v>
      </c>
      <c r="BW1642" s="53" t="n">
        <v>1642</v>
      </c>
      <c r="BX1642" s="48" t="str">
        <f aca="false">IF(U1642&lt;&gt;"",UPPER(TRIM(U1642)),IF(CA1642=1,UPPER(VLOOKUP(T1642,Parameter!$I$27:$K$29,2,0)),IF(P1642="","LOSE",P1642)))</f>
        <v>S61</v>
      </c>
      <c r="BY1642" s="50" t="n">
        <f aca="false">IF(BX1642="LOSE",1,IF(N(V1642)&gt;0,V1642,IF(CA1642=1,MAX(1,N(VLOOKUP(T1642,Parameter!$I$27:$K$29,3,0)),H1642,N(N1642)),IF(N(Q1642)&gt;0,Q1642,MAX(1,H1642)))))</f>
        <v>4</v>
      </c>
      <c r="BZ1642" s="53" t="n">
        <f aca="false">IF(BX1642="LOSE",1,0)</f>
        <v>0</v>
      </c>
      <c r="CA1642" s="53" t="n">
        <f aca="false">IF(AND(U1642="",OR(P1642="",P1642="LOSE"),T1642&lt;&gt;"",N(S1642)&lt;=0,ISNUMBER(MATCH(T1642,Parameter!$I$27:$I$29,0))),1,0)</f>
        <v>1</v>
      </c>
      <c r="CB1642" s="53" t="n">
        <f aca="false">IF(CQ1642&gt;0,INDEX(Parameter!$H$5:$H$7,W1642)/INDEX(Parameter!$E$5:$E$7,W1642),IF(AND(BZ1642=0,N(IFERROR(VLOOKUP(BX1642,'Gebinde-Kategorie'!$A$5:$N$45,14,0),0))&gt;0),VLOOKUP(BX1642,'Gebinde-Kategorie'!$A$5:$N$45,14,0)*10+Parameter!$M$23,Parameter!$M$24))</f>
        <v>145</v>
      </c>
      <c r="CC1642" s="48" t="str">
        <f aca="false">IF(AND(Parameter!$B$19="Ja",E1642&lt;&gt;"",ISNUMBER(MATCH(E1642,Parameter!$I$35:$I$52,0))),VLOOKUP(E1642,Parameter!$I$35:$J$52,2,0),IFERROR(VLOOKUP(D1642,Parameter!$A$35:$C$64,2,0),"Nein"))</f>
        <v>2+3</v>
      </c>
      <c r="CD1642" s="52" t="n">
        <f aca="false">IF(BZ1642=0,0,IF(N(S1642)&gt;0,S1642,IFERROR(VLOOKUP(D1642,Parameter!$A$35:$C$64,3,0)+0,0)))</f>
        <v>0</v>
      </c>
      <c r="CE1642" s="48" t="n">
        <f aca="false">IF(AA1642&lt;&gt;"",AA1642,Z1642)</f>
        <v>2</v>
      </c>
      <c r="CF1642" s="48" t="str">
        <f aca="false">IF(OR(CE1642=1,CE1642=2,CE1642=3),IF(Parameter!$E$27="Ja","LIFT",IF(CE1642=1,"L1","L23")),IF(CE1642="Aussen","Aussen","-"))</f>
        <v>LIFT</v>
      </c>
      <c r="CG1642" s="59" t="n">
        <f aca="false">IF(N(AB1642)&gt;0,AB1642,0)</f>
        <v>0</v>
      </c>
      <c r="CH1642" s="53" t="n">
        <f aca="false">IF(ISNUMBER(AE1642),1,0)</f>
        <v>0</v>
      </c>
      <c r="CI1642" s="50" t="n">
        <f aca="false">N(AE1642)</f>
        <v>0</v>
      </c>
      <c r="CJ1642" s="50" t="n">
        <f aca="false">N(M1642)+N(N1642)</f>
        <v>1</v>
      </c>
      <c r="CK1642" s="50" t="n">
        <f aca="false">N(M1642)</f>
        <v>0</v>
      </c>
      <c r="CL1642" s="50" t="n">
        <f aca="false">N(N1642)</f>
        <v>1</v>
      </c>
      <c r="CM1642" s="50" t="n">
        <f aca="false">ROUNDUP(H1642/BY1642,0)</f>
        <v>1</v>
      </c>
      <c r="CN1642" s="50" t="n">
        <f aca="false">ROUNDUP(CI1642/BY1642,0)</f>
        <v>0</v>
      </c>
      <c r="CO1642" s="53" t="n">
        <f aca="false">IF(BZ1642=1,0,IFERROR(VLOOKUP(BX1642,'Gebinde-Kategorie'!$A$5:$N$45,5,0)+0,0))</f>
        <v>11</v>
      </c>
      <c r="CP1642" s="53" t="n">
        <f aca="false">IFERROR(IF(OR(CE1642=1,CE1642=2,CE1642=3),N(INDEX(Parameter!$I$5:$I$7,CE1642)),0),0)</f>
        <v>0</v>
      </c>
      <c r="CQ1642" s="52" t="n">
        <f aca="false">IF(AND(Parameter!$B$21="Ja",ISNUMBER(W1642),N(X1642)&gt;0),IFERROR(N(INDEX(Parameter!$L$5:$L$7,W1642))*INDEX(Parameter!$E$5:$E$7,W1642)*X1642/SUMIFS($X$7:$X$1843,$W$7:$W$1843,W1642),0),0)</f>
        <v>0</v>
      </c>
    </row>
    <row r="1643" customFormat="false" ht="15" hidden="false" customHeight="false" outlineLevel="0" collapsed="false">
      <c r="A1643" s="48" t="s">
        <v>2867</v>
      </c>
      <c r="B1643" s="48" t="s">
        <v>2393</v>
      </c>
      <c r="C1643" s="48" t="s">
        <v>176</v>
      </c>
      <c r="D1643" s="48" t="s">
        <v>182</v>
      </c>
      <c r="E1643" s="48" t="s">
        <v>194</v>
      </c>
      <c r="F1643" s="48"/>
      <c r="G1643" s="49" t="n">
        <v>2289.27</v>
      </c>
      <c r="H1643" s="50" t="n">
        <f aca="false">MAX(0,IF(AND(Parameter!$B$21="Ja",ISNUMBER(Y1643)),Y1643,IF(Parameter!$B$20="Jahresanfang 2025 + Export",BR1643+BQ1643,BQ1643)))</f>
        <v>3</v>
      </c>
      <c r="I1643" s="50" t="n">
        <f aca="false">H1643*G1643</f>
        <v>6867.81</v>
      </c>
      <c r="J1643" s="50" t="n">
        <f aca="false">BT1643*Parameter!$B$18</f>
        <v>0</v>
      </c>
      <c r="K1643" s="51"/>
      <c r="L1643" s="52"/>
      <c r="M1643" s="50" t="n">
        <v>0</v>
      </c>
      <c r="N1643" s="50" t="n">
        <v>6</v>
      </c>
      <c r="O1643" s="53" t="n">
        <v>70</v>
      </c>
      <c r="P1643" s="48" t="s">
        <v>177</v>
      </c>
      <c r="Q1643" s="50"/>
      <c r="R1643" s="53" t="n">
        <f aca="false">IF(BZ1643=1,0,IFERROR(VLOOKUP(BX1643,'Gebinde-Kategorie'!$A$5:$N$45,13,0)+0,0))</f>
        <v>0</v>
      </c>
      <c r="S1643" s="54"/>
      <c r="T1643" s="55"/>
      <c r="U1643" s="55"/>
      <c r="V1643" s="55"/>
      <c r="W1643" s="48" t="n">
        <v>1</v>
      </c>
      <c r="X1643" s="50" t="n">
        <v>4</v>
      </c>
      <c r="Y1643" s="50" t="n">
        <v>3</v>
      </c>
      <c r="Z1643" s="48" t="n">
        <f aca="false">IF(A1643="","",IF(AND(Parameter!$B$21="Ja",ISNUMBER(W1643)),W1643,IF(CC1643="2+3",IF(ISNUMBER(SEARCH("grosser Artikel",BU1643)),2,IFERROR(VLOOKUP(BX1643,Parameter!$F$35:$G$64,2,0),2)),IF(OR(CC1643="Nein",CC1643=""),"-",CC1643))))</f>
        <v>1</v>
      </c>
      <c r="AA1643" s="55"/>
      <c r="AB1643" s="56"/>
      <c r="AC1643" s="50" t="n">
        <f aca="false">AV1643</f>
        <v>6</v>
      </c>
      <c r="AD1643" s="50" t="n">
        <f aca="false">MAX(AV1643,H1643)</f>
        <v>6</v>
      </c>
      <c r="AE1643" s="57"/>
      <c r="AF1643" s="50" t="n">
        <f aca="false">IF(LEFT(Cockpit!$C$5,1)="A",H1643,IF(Parameter!$E$30="MAX-Bestand",IF(CH1643=1,CI1643,IF(LEFT(Cockpit!$C$5,1)="B",AL1643,MAX(AL1643,H1643))),ROUNDUP(AJ1643,0)))</f>
        <v>3</v>
      </c>
      <c r="AG1643" s="50" t="n">
        <f aca="false">IF(BZ1643=1,0,ROUNDUP(AF1643/BY1643,0))</f>
        <v>0</v>
      </c>
      <c r="AH1643" s="52" t="n">
        <f aca="false">IF(CQ1643&gt;0,CQ1643*MAX(1,AF1643/X1643),IF(BZ1643=1,IF(AF1643&lt;=0,0,CD1643*MAX(1,IF(H1643&gt;0,AF1643/H1643,1))),IF(R1643&gt;0,AG1643/R1643,0))/MAX(0.1,N(Parameter!$M$21)))</f>
        <v>0.32015065913371</v>
      </c>
      <c r="AI1643" s="50" t="n">
        <f aca="false">AH1643*CB1643</f>
        <v>76.195856873823</v>
      </c>
      <c r="AJ1643" s="51" t="n">
        <f aca="false">IF(LEFT(Cockpit!$C$5,1)="A",H1643,IF(CH1643=1,(CK1643+CI1643)/2,IF(LEFT(Cockpit!$C$5,1)="B",(CK1643+AL1643)/2,MAX((CK1643+AL1643)/2,H1643))))</f>
        <v>3</v>
      </c>
      <c r="AK1643" s="50" t="n">
        <f aca="false">AJ1643*G1643</f>
        <v>6867.81</v>
      </c>
      <c r="AL1643" s="50" t="n">
        <f aca="false">ROUNDUP(CK1643+MAX(CL1643,2*(J1643/IF(CG1643&gt;0,CG1643,MAX(0.1,N(Cockpit!$C$6)))-CK1643)),0)</f>
        <v>6</v>
      </c>
      <c r="AM1643" s="51" t="n">
        <f aca="false">IF(AI1643&gt;0,J1643/AI1643,-1)</f>
        <v>0</v>
      </c>
      <c r="AN1643" s="51" t="n">
        <f aca="false">IF(AND(OR(CF1643="L1",CF1643="L23",CF1643="LIFT"),AI1643&gt;0),SUMIFS($AI$7:$AI$1843,$CF$7:$CF$1843,CF1643,$AM$7:$AM$1843,"&gt;"&amp;AM1643)+SUMIFS($AI$7:$AI$1843,$CF$7:$CF$1843,CF1643,$AM$7:$AM$1843,AM1643,$BW$7:$BW$1843,"&lt;="&amp;BW1643),"")</f>
        <v>31093.7148574119</v>
      </c>
      <c r="AO1643" s="58" t="n">
        <f aca="false">IF(AN1643="",0,MAX(0,MIN(1,(IF(CF1643="L1",Parameter!$H$5,IF(CF1643="L23",Parameter!$H$6+Parameter!$H$7,Parameter!$H$5+Parameter!$H$6+Parameter!$H$7))-(AN1643-AI1643))/AI1643)))</f>
        <v>1</v>
      </c>
      <c r="AP1643" s="50" t="n">
        <f aca="false">IF(LEFT(Cockpit!$I$5,1)="A",H1643,IF(Parameter!$E$30="MAX-Bestand",IF(CH1643=1,CI1643,IF(LEFT(Cockpit!$I$5,1)="B",AV1643,MAX(AV1643,H1643))),ROUNDUP(AT1643,0)))</f>
        <v>3</v>
      </c>
      <c r="AQ1643" s="50" t="n">
        <f aca="false">IF(BZ1643=1,0,ROUNDUP(AP1643/BY1643,0))</f>
        <v>0</v>
      </c>
      <c r="AR1643" s="52" t="n">
        <f aca="false">IF(CQ1643&gt;0,CQ1643*MAX(1,AP1643/X1643),IF(BZ1643=1,IF(AP1643&lt;=0,0,CD1643*MAX(1,IF(H1643&gt;0,AP1643/H1643,1))),IF(R1643&gt;0,AQ1643/R1643,0))/MAX(0.1,N(Parameter!$M$21)))</f>
        <v>0.32015065913371</v>
      </c>
      <c r="AS1643" s="50" t="n">
        <f aca="false">AR1643*CB1643</f>
        <v>76.195856873823</v>
      </c>
      <c r="AT1643" s="51" t="n">
        <f aca="false">IF(LEFT(Cockpit!$I$5,1)="A",H1643,IF(CH1643=1,(CK1643+CI1643)/2,IF(LEFT(Cockpit!$I$5,1)="B",(CK1643+AV1643)/2,MAX((CK1643+AV1643)/2,H1643))))</f>
        <v>3</v>
      </c>
      <c r="AU1643" s="50" t="n">
        <f aca="false">AT1643*G1643</f>
        <v>6867.81</v>
      </c>
      <c r="AV1643" s="50" t="n">
        <f aca="false">ROUNDUP(CK1643+MAX(CL1643,2*(J1643/IF(CG1643&gt;0,CG1643,MAX(0.1,N(Cockpit!$I$6)))-CK1643)),0)</f>
        <v>6</v>
      </c>
      <c r="AW1643" s="51" t="n">
        <f aca="false">IF(AS1643&gt;0,J1643/AS1643,-1)</f>
        <v>0</v>
      </c>
      <c r="AX1643" s="51" t="n">
        <f aca="false">IF(AND(OR(CF1643="L1",CF1643="L23",CF1643="LIFT"),AS1643&gt;0),SUMIFS($AS$7:$AS$1843,$CF$7:$CF$1843,CF1643,$AW$7:$AW$1843,"&gt;"&amp;AW1643)+SUMIFS($AS$7:$AS$1843,$CF$7:$CF$1843,CF1643,$AW$7:$AW$1843,AW1643,$BW$7:$BW$1843,"&lt;="&amp;BW1643),"")</f>
        <v>37413.5713742472</v>
      </c>
      <c r="AY1643" s="58" t="n">
        <f aca="false">IF(AX1643="",0,MAX(0,MIN(1,(IF(CF1643="L1",Parameter!$H$5,IF(CF1643="L23",Parameter!$H$6+Parameter!$H$7,Parameter!$H$5+Parameter!$H$6+Parameter!$H$7))-(AX1643-AS1643))/AS1643)))</f>
        <v>0</v>
      </c>
      <c r="AZ1643" s="50" t="n">
        <f aca="false">IF(LEFT(Cockpit!$O$5,1)="A",H1643,IF(Parameter!$E$30="MAX-Bestand",IF(CH1643=1,CI1643,IF(LEFT(Cockpit!$O$5,1)="B",BF1643,MAX(BF1643,H1643))),ROUNDUP(BD1643,0)))</f>
        <v>3</v>
      </c>
      <c r="BA1643" s="50" t="n">
        <f aca="false">IF(BZ1643=1,0,ROUNDUP(AZ1643/BY1643,0))</f>
        <v>0</v>
      </c>
      <c r="BB1643" s="52" t="n">
        <f aca="false">IF(CQ1643&gt;0,CQ1643*MAX(1,AZ1643/X1643),IF(BZ1643=1,IF(AZ1643&lt;=0,0,CD1643*MAX(1,IF(H1643&gt;0,AZ1643/H1643,1))),IF(R1643&gt;0,BA1643/R1643,0))/MAX(0.1,N(Parameter!$M$21)))</f>
        <v>0.32015065913371</v>
      </c>
      <c r="BC1643" s="50" t="n">
        <f aca="false">BB1643*CB1643</f>
        <v>76.195856873823</v>
      </c>
      <c r="BD1643" s="51" t="n">
        <f aca="false">IF(LEFT(Cockpit!$O$5,1)="A",H1643,IF(CH1643=1,(CK1643+CI1643)/2,IF(LEFT(Cockpit!$O$5,1)="B",(CK1643+BF1643)/2,MAX((CK1643+BF1643)/2,H1643))))</f>
        <v>3</v>
      </c>
      <c r="BE1643" s="50" t="n">
        <f aca="false">BD1643*G1643</f>
        <v>6867.81</v>
      </c>
      <c r="BF1643" s="50" t="n">
        <f aca="false">ROUNDUP(CK1643+MAX(CL1643,2*(J1643/IF(CG1643&gt;0,CG1643,MAX(0.1,N(Cockpit!$O$6)))-CK1643)),0)</f>
        <v>6</v>
      </c>
      <c r="BG1643" s="51" t="n">
        <f aca="false">IF(BC1643&gt;0,J1643/BC1643,-1)</f>
        <v>0</v>
      </c>
      <c r="BH1643" s="51" t="n">
        <f aca="false">IF(AND(OR(CF1643="L1",CF1643="L23",CF1643="LIFT"),BC1643&gt;0),SUMIFS($BC$7:$BC$1843,$CF$7:$CF$1843,CF1643,$BG$7:$BG$1843,"&gt;"&amp;BG1643)+SUMIFS($BC$7:$BC$1843,$CF$7:$CF$1843,CF1643,$BG$7:$BG$1843,BG1643,$BW$7:$BW$1843,"&lt;="&amp;BW1643),"")</f>
        <v>31323.0126497796</v>
      </c>
      <c r="BI1643" s="58" t="n">
        <f aca="false">IF(BH1643="",0,MAX(0,MIN(1,(IF(CF1643="L1",Parameter!$H$5,IF(CF1643="L23",Parameter!$H$6+Parameter!$H$7,Parameter!$H$5+Parameter!$H$6+Parameter!$H$7))-(BH1643-BC1643))/BC1643)))</f>
        <v>1</v>
      </c>
      <c r="BJ1643" s="48" t="str">
        <f aca="false">IF(AI1643&lt;=0,"",IF(CF1643="Aussen","Aussenlager",IF(CF1643="-","Nicht im Lift",IF(AO1643&gt;=1,"Lift",IF(AO1643&lt;=0,"Aussenlager","teilweise")))))</f>
        <v>Lift</v>
      </c>
      <c r="BK1643" s="48" t="str">
        <f aca="false">IF(AS1643&lt;=0,"",IF(CF1643="Aussen","Aussenlager",IF(CF1643="-","Nicht im Lift",IF(AY1643&gt;=1,"Lift",IF(AY1643&lt;=0,"Aussenlager","teilweise")))))</f>
        <v>Aussenlager</v>
      </c>
      <c r="BL1643" s="48" t="str">
        <f aca="false">IF(BC1643&lt;=0,"",IF(CF1643="Aussen","Aussenlager",IF(CF1643="-","Nicht im Lift",IF(BI1643&gt;=1,"Lift",IF(BI1643&lt;=0,"Aussenlager","teilweise")))))</f>
        <v>Lift</v>
      </c>
      <c r="BM1643" s="48" t="str">
        <f aca="false">IF(A1643="","",IF(BV1643=1,"Neu; ","")&amp;IF(AND(BV1643=0,BQ1643&lt;0),"negativer Bestand (Export "&amp;BQ1643&amp;"); ","")&amp;IF(J1643&lt;=0,"Kein Verbrauch; ","")&amp;IF(CQ1643&gt;0,"Lift "&amp;W1643&amp;" lt. Liftbericht (Fach "&amp;X1643&amp;" Stk); ",IF(CA1643=1,"Gebinde geschätzt ("&amp;T1643&amp;"); ",IF(BZ1643=1,"Lose – Tablare geschätzt; ","")))&amp;IF(H1643&gt;AV1643,"Überbestand "&amp;ROUND(H1643-AV1643,0)&amp;" Stk / CHF "&amp;ROUND((H1643-AV1643)*G1643,0)&amp;"; ","")&amp;IF(AND(CH1643=1,CI1643&lt;CJ1643),"MAX &lt; MB+LG; ","")&amp;IF(AND(CP1643&gt;0,CO1643*10&gt;CP1643),"zu hoch für Tablar; ","")&amp;IF(AND(BV1643=0,OR(CH1643=1,AA1643&lt;&gt;"",U1643&lt;&gt;"",V1643&lt;&gt;"",AB1643&lt;&gt;"")),"manuell übersteuert; ","")&amp;IF(AND(BZ1643=0,R1643=0),"Gebinde unbekannt / Stellmass fehlt; ","")&amp;IF(AND(BZ1643=0,N(V1643)&lt;=0,N(Q1643)&lt;=0),"Menge pro Gebinde fehlt (Ist = 1 Gebinde); ","")&amp;BU1643)</f>
        <v>Kein Verbrauch; Lift 1 lt. Liftbericht (Fach 4 Stk); nur im Artikelstamm (Bestand 23.06.2026); grosser Artikel &amp; nicht im KTL</v>
      </c>
      <c r="BN1643" s="48"/>
      <c r="BO1643" s="48"/>
      <c r="BP1643" s="55"/>
      <c r="BQ1643" s="50" t="n">
        <v>8</v>
      </c>
      <c r="BR1643" s="50" t="n">
        <v>0</v>
      </c>
      <c r="BS1643" s="49" t="n">
        <v>0</v>
      </c>
      <c r="BT1643" s="50" t="n">
        <v>0</v>
      </c>
      <c r="BU1643" s="48" t="s">
        <v>2868</v>
      </c>
      <c r="BV1643" s="53" t="n">
        <v>0</v>
      </c>
      <c r="BW1643" s="53" t="n">
        <v>1643</v>
      </c>
      <c r="BX1643" s="48" t="str">
        <f aca="false">IF(U1643&lt;&gt;"",UPPER(TRIM(U1643)),IF(CA1643=1,UPPER(VLOOKUP(T1643,Parameter!$I$27:$K$29,2,0)),IF(P1643="","LOSE",P1643)))</f>
        <v>LOSE</v>
      </c>
      <c r="BY1643" s="50" t="n">
        <f aca="false">IF(BX1643="LOSE",1,IF(N(V1643)&gt;0,V1643,IF(CA1643=1,MAX(1,N(VLOOKUP(T1643,Parameter!$I$27:$K$29,3,0)),H1643,N(N1643)),IF(N(Q1643)&gt;0,Q1643,MAX(1,H1643)))))</f>
        <v>1</v>
      </c>
      <c r="BZ1643" s="53" t="n">
        <f aca="false">IF(BX1643="LOSE",1,0)</f>
        <v>1</v>
      </c>
      <c r="CA1643" s="53" t="n">
        <f aca="false">IF(AND(U1643="",OR(P1643="",P1643="LOSE"),T1643&lt;&gt;"",N(S1643)&lt;=0,ISNUMBER(MATCH(T1643,Parameter!$I$27:$I$29,0))),1,0)</f>
        <v>0</v>
      </c>
      <c r="CB1643" s="53" t="n">
        <f aca="false">IF(CQ1643&gt;0,INDEX(Parameter!$H$5:$H$7,W1643)/INDEX(Parameter!$E$5:$E$7,W1643),IF(AND(BZ1643=0,N(IFERROR(VLOOKUP(BX1643,'Gebinde-Kategorie'!$A$5:$N$45,14,0),0))&gt;0),VLOOKUP(BX1643,'Gebinde-Kategorie'!$A$5:$N$45,14,0)*10+Parameter!$M$23,Parameter!$M$24))</f>
        <v>238</v>
      </c>
      <c r="CC1643" s="48" t="str">
        <f aca="false">IF(AND(Parameter!$B$19="Ja",E1643&lt;&gt;"",ISNUMBER(MATCH(E1643,Parameter!$I$35:$I$52,0))),VLOOKUP(E1643,Parameter!$I$35:$J$52,2,0),IFERROR(VLOOKUP(D1643,Parameter!$A$35:$C$64,2,0),"Nein"))</f>
        <v>2+3</v>
      </c>
      <c r="CD1643" s="52" t="n">
        <f aca="false">IF(BZ1643=0,0,IF(N(S1643)&gt;0,S1643,IFERROR(VLOOKUP(D1643,Parameter!$A$35:$C$64,3,0)+0,0)))</f>
        <v>0.15</v>
      </c>
      <c r="CE1643" s="48" t="n">
        <f aca="false">IF(AA1643&lt;&gt;"",AA1643,Z1643)</f>
        <v>1</v>
      </c>
      <c r="CF1643" s="48" t="str">
        <f aca="false">IF(OR(CE1643=1,CE1643=2,CE1643=3),IF(Parameter!$E$27="Ja","LIFT",IF(CE1643=1,"L1","L23")),IF(CE1643="Aussen","Aussen","-"))</f>
        <v>LIFT</v>
      </c>
      <c r="CG1643" s="59" t="n">
        <f aca="false">IF(N(AB1643)&gt;0,AB1643,0)</f>
        <v>0</v>
      </c>
      <c r="CH1643" s="53" t="n">
        <f aca="false">IF(ISNUMBER(AE1643),1,0)</f>
        <v>0</v>
      </c>
      <c r="CI1643" s="50" t="n">
        <f aca="false">N(AE1643)</f>
        <v>0</v>
      </c>
      <c r="CJ1643" s="50" t="n">
        <f aca="false">N(M1643)+N(N1643)</f>
        <v>6</v>
      </c>
      <c r="CK1643" s="50" t="n">
        <f aca="false">N(M1643)</f>
        <v>0</v>
      </c>
      <c r="CL1643" s="50" t="n">
        <f aca="false">N(N1643)</f>
        <v>6</v>
      </c>
      <c r="CM1643" s="50" t="n">
        <f aca="false">ROUNDUP(H1643/BY1643,0)</f>
        <v>3</v>
      </c>
      <c r="CN1643" s="50" t="n">
        <f aca="false">ROUNDUP(CI1643/BY1643,0)</f>
        <v>0</v>
      </c>
      <c r="CO1643" s="53" t="n">
        <f aca="false">IF(BZ1643=1,0,IFERROR(VLOOKUP(BX1643,'Gebinde-Kategorie'!$A$5:$N$45,5,0)+0,0))</f>
        <v>0</v>
      </c>
      <c r="CP1643" s="53" t="n">
        <f aca="false">IFERROR(IF(OR(CE1643=1,CE1643=2,CE1643=3),N(INDEX(Parameter!$I$5:$I$7,CE1643)),0),0)</f>
        <v>0</v>
      </c>
      <c r="CQ1643" s="52" t="n">
        <f aca="false">IF(AND(Parameter!$B$21="Ja",ISNUMBER(W1643),N(X1643)&gt;0),IFERROR(N(INDEX(Parameter!$L$5:$L$7,W1643))*INDEX(Parameter!$E$5:$E$7,W1643)*X1643/SUMIFS($X$7:$X$1843,$W$7:$W$1843,W1643),0),0)</f>
        <v>0.32015065913371</v>
      </c>
    </row>
    <row r="1644" customFormat="false" ht="15" hidden="false" customHeight="false" outlineLevel="0" collapsed="false">
      <c r="A1644" s="48" t="s">
        <v>2869</v>
      </c>
      <c r="B1644" s="48" t="s">
        <v>726</v>
      </c>
      <c r="C1644" s="48" t="s">
        <v>173</v>
      </c>
      <c r="D1644" s="48" t="s">
        <v>182</v>
      </c>
      <c r="E1644" s="48" t="s">
        <v>175</v>
      </c>
      <c r="F1644" s="48"/>
      <c r="G1644" s="49" t="n">
        <v>60.43</v>
      </c>
      <c r="H1644" s="50" t="n">
        <f aca="false">MAX(0,IF(AND(Parameter!$B$21="Ja",ISNUMBER(Y1644)),Y1644,IF(Parameter!$B$20="Jahresanfang 2025 + Export",BR1644+BQ1644,BQ1644)))</f>
        <v>13</v>
      </c>
      <c r="I1644" s="50" t="n">
        <f aca="false">H1644*G1644</f>
        <v>785.59</v>
      </c>
      <c r="J1644" s="50" t="n">
        <f aca="false">BT1644*Parameter!$B$18</f>
        <v>0</v>
      </c>
      <c r="K1644" s="51"/>
      <c r="L1644" s="52"/>
      <c r="M1644" s="50" t="n">
        <v>0</v>
      </c>
      <c r="N1644" s="50" t="n">
        <v>10</v>
      </c>
      <c r="O1644" s="53" t="n">
        <v>28</v>
      </c>
      <c r="P1644" s="48" t="s">
        <v>177</v>
      </c>
      <c r="Q1644" s="50"/>
      <c r="R1644" s="53" t="n">
        <f aca="false">IF(BZ1644=1,0,IFERROR(VLOOKUP(BX1644,'Gebinde-Kategorie'!$A$5:$N$45,13,0)+0,0))</f>
        <v>12</v>
      </c>
      <c r="S1644" s="54"/>
      <c r="T1644" s="55" t="s">
        <v>188</v>
      </c>
      <c r="U1644" s="55"/>
      <c r="V1644" s="55"/>
      <c r="W1644" s="48"/>
      <c r="X1644" s="50"/>
      <c r="Y1644" s="50"/>
      <c r="Z1644" s="48" t="n">
        <f aca="false">IF(A1644="","",IF(AND(Parameter!$B$21="Ja",ISNUMBER(W1644)),W1644,IF(CC1644="2+3",IF(ISNUMBER(SEARCH("grosser Artikel",BU1644)),2,IFERROR(VLOOKUP(BX1644,Parameter!$F$35:$G$64,2,0),2)),IF(OR(CC1644="Nein",CC1644=""),"-",CC1644))))</f>
        <v>1</v>
      </c>
      <c r="AA1644" s="55"/>
      <c r="AB1644" s="56"/>
      <c r="AC1644" s="50" t="n">
        <f aca="false">AV1644</f>
        <v>10</v>
      </c>
      <c r="AD1644" s="50" t="n">
        <f aca="false">MAX(AV1644,H1644)</f>
        <v>13</v>
      </c>
      <c r="AE1644" s="57"/>
      <c r="AF1644" s="50" t="n">
        <f aca="false">IF(LEFT(Cockpit!$C$5,1)="A",H1644,IF(Parameter!$E$30="MAX-Bestand",IF(CH1644=1,CI1644,IF(LEFT(Cockpit!$C$5,1)="B",AL1644,MAX(AL1644,H1644))),ROUNDUP(AJ1644,0)))</f>
        <v>13</v>
      </c>
      <c r="AG1644" s="50" t="n">
        <f aca="false">IF(BZ1644=1,0,ROUNDUP(AF1644/BY1644,0))</f>
        <v>1</v>
      </c>
      <c r="AH1644" s="52" t="n">
        <f aca="false">IF(CQ1644&gt;0,CQ1644*MAX(1,AF1644/X1644),IF(BZ1644=1,IF(AF1644&lt;=0,0,CD1644*MAX(1,IF(H1644&gt;0,AF1644/H1644,1))),IF(R1644&gt;0,AG1644/R1644,0))/MAX(0.1,N(Parameter!$M$21)))</f>
        <v>0.0833333333333333</v>
      </c>
      <c r="AI1644" s="50" t="n">
        <f aca="false">AH1644*CB1644</f>
        <v>12.0833333333333</v>
      </c>
      <c r="AJ1644" s="51" t="n">
        <f aca="false">IF(LEFT(Cockpit!$C$5,1)="A",H1644,IF(CH1644=1,(CK1644+CI1644)/2,IF(LEFT(Cockpit!$C$5,1)="B",(CK1644+AL1644)/2,MAX((CK1644+AL1644)/2,H1644))))</f>
        <v>13</v>
      </c>
      <c r="AK1644" s="50" t="n">
        <f aca="false">AJ1644*G1644</f>
        <v>785.59</v>
      </c>
      <c r="AL1644" s="50" t="n">
        <f aca="false">ROUNDUP(CK1644+MAX(CL1644,2*(J1644/IF(CG1644&gt;0,CG1644,MAX(0.1,N(Cockpit!$C$6)))-CK1644)),0)</f>
        <v>10</v>
      </c>
      <c r="AM1644" s="51" t="n">
        <f aca="false">IF(AI1644&gt;0,J1644/AI1644,-1)</f>
        <v>0</v>
      </c>
      <c r="AN1644" s="51" t="n">
        <f aca="false">IF(AND(OR(CF1644="L1",CF1644="L23",CF1644="LIFT"),AI1644&gt;0),SUMIFS($AI$7:$AI$1843,$CF$7:$CF$1843,CF1644,$AM$7:$AM$1843,"&gt;"&amp;AM1644)+SUMIFS($AI$7:$AI$1843,$CF$7:$CF$1843,CF1644,$AM$7:$AM$1843,AM1644,$BW$7:$BW$1843,"&lt;="&amp;BW1644),"")</f>
        <v>31105.7981907452</v>
      </c>
      <c r="AO1644" s="58" t="n">
        <f aca="false">IF(AN1644="",0,MAX(0,MIN(1,(IF(CF1644="L1",Parameter!$H$5,IF(CF1644="L23",Parameter!$H$6+Parameter!$H$7,Parameter!$H$5+Parameter!$H$6+Parameter!$H$7))-(AN1644-AI1644))/AI1644)))</f>
        <v>1</v>
      </c>
      <c r="AP1644" s="50" t="n">
        <f aca="false">IF(LEFT(Cockpit!$I$5,1)="A",H1644,IF(Parameter!$E$30="MAX-Bestand",IF(CH1644=1,CI1644,IF(LEFT(Cockpit!$I$5,1)="B",AV1644,MAX(AV1644,H1644))),ROUNDUP(AT1644,0)))</f>
        <v>13</v>
      </c>
      <c r="AQ1644" s="50" t="n">
        <f aca="false">IF(BZ1644=1,0,ROUNDUP(AP1644/BY1644,0))</f>
        <v>1</v>
      </c>
      <c r="AR1644" s="52" t="n">
        <f aca="false">IF(CQ1644&gt;0,CQ1644*MAX(1,AP1644/X1644),IF(BZ1644=1,IF(AP1644&lt;=0,0,CD1644*MAX(1,IF(H1644&gt;0,AP1644/H1644,1))),IF(R1644&gt;0,AQ1644/R1644,0))/MAX(0.1,N(Parameter!$M$21)))</f>
        <v>0.0833333333333333</v>
      </c>
      <c r="AS1644" s="50" t="n">
        <f aca="false">AR1644*CB1644</f>
        <v>12.0833333333333</v>
      </c>
      <c r="AT1644" s="51" t="n">
        <f aca="false">IF(LEFT(Cockpit!$I$5,1)="A",H1644,IF(CH1644=1,(CK1644+CI1644)/2,IF(LEFT(Cockpit!$I$5,1)="B",(CK1644+AV1644)/2,MAX((CK1644+AV1644)/2,H1644))))</f>
        <v>13</v>
      </c>
      <c r="AU1644" s="50" t="n">
        <f aca="false">AT1644*G1644</f>
        <v>785.59</v>
      </c>
      <c r="AV1644" s="50" t="n">
        <f aca="false">ROUNDUP(CK1644+MAX(CL1644,2*(J1644/IF(CG1644&gt;0,CG1644,MAX(0.1,N(Cockpit!$I$6)))-CK1644)),0)</f>
        <v>10</v>
      </c>
      <c r="AW1644" s="51" t="n">
        <f aca="false">IF(AS1644&gt;0,J1644/AS1644,-1)</f>
        <v>0</v>
      </c>
      <c r="AX1644" s="51" t="n">
        <f aca="false">IF(AND(OR(CF1644="L1",CF1644="L23",CF1644="LIFT"),AS1644&gt;0),SUMIFS($AS$7:$AS$1843,$CF$7:$CF$1843,CF1644,$AW$7:$AW$1843,"&gt;"&amp;AW1644)+SUMIFS($AS$7:$AS$1843,$CF$7:$CF$1843,CF1644,$AW$7:$AW$1843,AW1644,$BW$7:$BW$1843,"&lt;="&amp;BW1644),"")</f>
        <v>37425.6547075806</v>
      </c>
      <c r="AY1644" s="58" t="n">
        <f aca="false">IF(AX1644="",0,MAX(0,MIN(1,(IF(CF1644="L1",Parameter!$H$5,IF(CF1644="L23",Parameter!$H$6+Parameter!$H$7,Parameter!$H$5+Parameter!$H$6+Parameter!$H$7))-(AX1644-AS1644))/AS1644)))</f>
        <v>0</v>
      </c>
      <c r="AZ1644" s="50" t="n">
        <f aca="false">IF(LEFT(Cockpit!$O$5,1)="A",H1644,IF(Parameter!$E$30="MAX-Bestand",IF(CH1644=1,CI1644,IF(LEFT(Cockpit!$O$5,1)="B",BF1644,MAX(BF1644,H1644))),ROUNDUP(BD1644,0)))</f>
        <v>5</v>
      </c>
      <c r="BA1644" s="50" t="n">
        <f aca="false">IF(BZ1644=1,0,ROUNDUP(AZ1644/BY1644,0))</f>
        <v>1</v>
      </c>
      <c r="BB1644" s="52" t="n">
        <f aca="false">IF(CQ1644&gt;0,CQ1644*MAX(1,AZ1644/X1644),IF(BZ1644=1,IF(AZ1644&lt;=0,0,CD1644*MAX(1,IF(H1644&gt;0,AZ1644/H1644,1))),IF(R1644&gt;0,BA1644/R1644,0))/MAX(0.1,N(Parameter!$M$21)))</f>
        <v>0.0833333333333333</v>
      </c>
      <c r="BC1644" s="50" t="n">
        <f aca="false">BB1644*CB1644</f>
        <v>12.0833333333333</v>
      </c>
      <c r="BD1644" s="51" t="n">
        <f aca="false">IF(LEFT(Cockpit!$O$5,1)="A",H1644,IF(CH1644=1,(CK1644+CI1644)/2,IF(LEFT(Cockpit!$O$5,1)="B",(CK1644+BF1644)/2,MAX((CK1644+BF1644)/2,H1644))))</f>
        <v>5</v>
      </c>
      <c r="BE1644" s="50" t="n">
        <f aca="false">BD1644*G1644</f>
        <v>302.15</v>
      </c>
      <c r="BF1644" s="50" t="n">
        <f aca="false">ROUNDUP(CK1644+MAX(CL1644,2*(J1644/IF(CG1644&gt;0,CG1644,MAX(0.1,N(Cockpit!$O$6)))-CK1644)),0)</f>
        <v>10</v>
      </c>
      <c r="BG1644" s="51" t="n">
        <f aca="false">IF(BC1644&gt;0,J1644/BC1644,-1)</f>
        <v>0</v>
      </c>
      <c r="BH1644" s="51" t="n">
        <f aca="false">IF(AND(OR(CF1644="L1",CF1644="L23",CF1644="LIFT"),BC1644&gt;0),SUMIFS($BC$7:$BC$1843,$CF$7:$CF$1843,CF1644,$BG$7:$BG$1843,"&gt;"&amp;BG1644)+SUMIFS($BC$7:$BC$1843,$CF$7:$CF$1843,CF1644,$BG$7:$BG$1843,BG1644,$BW$7:$BW$1843,"&lt;="&amp;BW1644),"")</f>
        <v>31335.0959831129</v>
      </c>
      <c r="BI1644" s="58" t="n">
        <f aca="false">IF(BH1644="",0,MAX(0,MIN(1,(IF(CF1644="L1",Parameter!$H$5,IF(CF1644="L23",Parameter!$H$6+Parameter!$H$7,Parameter!$H$5+Parameter!$H$6+Parameter!$H$7))-(BH1644-BC1644))/BC1644)))</f>
        <v>1</v>
      </c>
      <c r="BJ1644" s="48" t="str">
        <f aca="false">IF(AI1644&lt;=0,"",IF(CF1644="Aussen","Aussenlager",IF(CF1644="-","Nicht im Lift",IF(AO1644&gt;=1,"Lift",IF(AO1644&lt;=0,"Aussenlager","teilweise")))))</f>
        <v>Lift</v>
      </c>
      <c r="BK1644" s="48" t="str">
        <f aca="false">IF(AS1644&lt;=0,"",IF(CF1644="Aussen","Aussenlager",IF(CF1644="-","Nicht im Lift",IF(AY1644&gt;=1,"Lift",IF(AY1644&lt;=0,"Aussenlager","teilweise")))))</f>
        <v>Aussenlager</v>
      </c>
      <c r="BL1644" s="48" t="str">
        <f aca="false">IF(BC1644&lt;=0,"",IF(CF1644="Aussen","Aussenlager",IF(CF1644="-","Nicht im Lift",IF(BI1644&gt;=1,"Lift",IF(BI1644&lt;=0,"Aussenlager","teilweise")))))</f>
        <v>Lift</v>
      </c>
      <c r="BM1644" s="48" t="str">
        <f aca="false">IF(A1644="","",IF(BV1644=1,"Neu; ","")&amp;IF(AND(BV1644=0,BQ1644&lt;0),"negativer Bestand (Export "&amp;BQ1644&amp;"); ","")&amp;IF(J1644&lt;=0,"Kein Verbrauch; ","")&amp;IF(CQ1644&gt;0,"Lift "&amp;W1644&amp;" lt. Liftbericht (Fach "&amp;X1644&amp;" Stk); ",IF(CA1644=1,"Gebinde geschätzt ("&amp;T1644&amp;"); ",IF(BZ1644=1,"Lose – Tablare geschätzt; ","")))&amp;IF(H1644&gt;AV1644,"Überbestand "&amp;ROUND(H1644-AV1644,0)&amp;" Stk / CHF "&amp;ROUND((H1644-AV1644)*G1644,0)&amp;"; ","")&amp;IF(AND(CH1644=1,CI1644&lt;CJ1644),"MAX &lt; MB+LG; ","")&amp;IF(AND(CP1644&gt;0,CO1644*10&gt;CP1644),"zu hoch für Tablar; ","")&amp;IF(AND(BV1644=0,OR(CH1644=1,AA1644&lt;&gt;"",U1644&lt;&gt;"",V1644&lt;&gt;"",AB1644&lt;&gt;"")),"manuell übersteuert; ","")&amp;IF(AND(BZ1644=0,R1644=0),"Gebinde unbekannt / Stellmass fehlt; ","")&amp;IF(AND(BZ1644=0,N(V1644)&lt;=0,N(Q1644)&lt;=0),"Menge pro Gebinde fehlt (Ist = 1 Gebinde); ","")&amp;BU1644)</f>
        <v>Kein Verbrauch; Gebinde geschätzt (Mittel); Überbestand 3 Stk / CHF 181; Menge pro Gebinde fehlt (Ist = 1 Gebinde); nur im Artikelstamm (Bestand 23.06.2026); Überbestand</v>
      </c>
      <c r="BN1644" s="48"/>
      <c r="BO1644" s="48"/>
      <c r="BP1644" s="55"/>
      <c r="BQ1644" s="50" t="n">
        <v>13</v>
      </c>
      <c r="BR1644" s="50" t="n">
        <v>0</v>
      </c>
      <c r="BS1644" s="49" t="n">
        <v>0</v>
      </c>
      <c r="BT1644" s="50" t="n">
        <v>0</v>
      </c>
      <c r="BU1644" s="48" t="s">
        <v>2581</v>
      </c>
      <c r="BV1644" s="53" t="n">
        <v>0</v>
      </c>
      <c r="BW1644" s="53" t="n">
        <v>1644</v>
      </c>
      <c r="BX1644" s="48" t="str">
        <f aca="false">IF(U1644&lt;&gt;"",UPPER(TRIM(U1644)),IF(CA1644=1,UPPER(VLOOKUP(T1644,Parameter!$I$27:$K$29,2,0)),IF(P1644="","LOSE",P1644)))</f>
        <v>S61</v>
      </c>
      <c r="BY1644" s="50" t="n">
        <f aca="false">IF(BX1644="LOSE",1,IF(N(V1644)&gt;0,V1644,IF(CA1644=1,MAX(1,N(VLOOKUP(T1644,Parameter!$I$27:$K$29,3,0)),H1644,N(N1644)),IF(N(Q1644)&gt;0,Q1644,MAX(1,H1644)))))</f>
        <v>13</v>
      </c>
      <c r="BZ1644" s="53" t="n">
        <f aca="false">IF(BX1644="LOSE",1,0)</f>
        <v>0</v>
      </c>
      <c r="CA1644" s="53" t="n">
        <f aca="false">IF(AND(U1644="",OR(P1644="",P1644="LOSE"),T1644&lt;&gt;"",N(S1644)&lt;=0,ISNUMBER(MATCH(T1644,Parameter!$I$27:$I$29,0))),1,0)</f>
        <v>1</v>
      </c>
      <c r="CB1644" s="53" t="n">
        <f aca="false">IF(CQ1644&gt;0,INDEX(Parameter!$H$5:$H$7,W1644)/INDEX(Parameter!$E$5:$E$7,W1644),IF(AND(BZ1644=0,N(IFERROR(VLOOKUP(BX1644,'Gebinde-Kategorie'!$A$5:$N$45,14,0),0))&gt;0),VLOOKUP(BX1644,'Gebinde-Kategorie'!$A$5:$N$45,14,0)*10+Parameter!$M$23,Parameter!$M$24))</f>
        <v>145</v>
      </c>
      <c r="CC1644" s="48" t="n">
        <f aca="false">IF(AND(Parameter!$B$19="Ja",E1644&lt;&gt;"",ISNUMBER(MATCH(E1644,Parameter!$I$35:$I$52,0))),VLOOKUP(E1644,Parameter!$I$35:$J$52,2,0),IFERROR(VLOOKUP(D1644,Parameter!$A$35:$C$64,2,0),"Nein"))</f>
        <v>1</v>
      </c>
      <c r="CD1644" s="52" t="n">
        <f aca="false">IF(BZ1644=0,0,IF(N(S1644)&gt;0,S1644,IFERROR(VLOOKUP(D1644,Parameter!$A$35:$C$64,3,0)+0,0)))</f>
        <v>0</v>
      </c>
      <c r="CE1644" s="48" t="n">
        <f aca="false">IF(AA1644&lt;&gt;"",AA1644,Z1644)</f>
        <v>1</v>
      </c>
      <c r="CF1644" s="48" t="str">
        <f aca="false">IF(OR(CE1644=1,CE1644=2,CE1644=3),IF(Parameter!$E$27="Ja","LIFT",IF(CE1644=1,"L1","L23")),IF(CE1644="Aussen","Aussen","-"))</f>
        <v>LIFT</v>
      </c>
      <c r="CG1644" s="59" t="n">
        <f aca="false">IF(N(AB1644)&gt;0,AB1644,0)</f>
        <v>0</v>
      </c>
      <c r="CH1644" s="53" t="n">
        <f aca="false">IF(ISNUMBER(AE1644),1,0)</f>
        <v>0</v>
      </c>
      <c r="CI1644" s="50" t="n">
        <f aca="false">N(AE1644)</f>
        <v>0</v>
      </c>
      <c r="CJ1644" s="50" t="n">
        <f aca="false">N(M1644)+N(N1644)</f>
        <v>10</v>
      </c>
      <c r="CK1644" s="50" t="n">
        <f aca="false">N(M1644)</f>
        <v>0</v>
      </c>
      <c r="CL1644" s="50" t="n">
        <f aca="false">N(N1644)</f>
        <v>10</v>
      </c>
      <c r="CM1644" s="50" t="n">
        <f aca="false">ROUNDUP(H1644/BY1644,0)</f>
        <v>1</v>
      </c>
      <c r="CN1644" s="50" t="n">
        <f aca="false">ROUNDUP(CI1644/BY1644,0)</f>
        <v>0</v>
      </c>
      <c r="CO1644" s="53" t="n">
        <f aca="false">IF(BZ1644=1,0,IFERROR(VLOOKUP(BX1644,'Gebinde-Kategorie'!$A$5:$N$45,5,0)+0,0))</f>
        <v>11</v>
      </c>
      <c r="CP1644" s="53" t="n">
        <f aca="false">IFERROR(IF(OR(CE1644=1,CE1644=2,CE1644=3),N(INDEX(Parameter!$I$5:$I$7,CE1644)),0),0)</f>
        <v>0</v>
      </c>
      <c r="CQ1644" s="52" t="n">
        <f aca="false">IF(AND(Parameter!$B$21="Ja",ISNUMBER(W1644),N(X1644)&gt;0),IFERROR(N(INDEX(Parameter!$L$5:$L$7,W1644))*INDEX(Parameter!$E$5:$E$7,W1644)*X1644/SUMIFS($X$7:$X$1843,$W$7:$W$1843,W1644),0),0)</f>
        <v>0</v>
      </c>
    </row>
    <row r="1645" customFormat="false" ht="15" hidden="false" customHeight="false" outlineLevel="0" collapsed="false">
      <c r="A1645" s="48" t="s">
        <v>2870</v>
      </c>
      <c r="B1645" s="48" t="s">
        <v>2871</v>
      </c>
      <c r="C1645" s="48" t="s">
        <v>465</v>
      </c>
      <c r="D1645" s="48" t="s">
        <v>193</v>
      </c>
      <c r="E1645" s="48"/>
      <c r="F1645" s="48"/>
      <c r="G1645" s="49" t="n">
        <v>10.35</v>
      </c>
      <c r="H1645" s="50" t="n">
        <f aca="false">MAX(0,IF(AND(Parameter!$B$21="Ja",ISNUMBER(Y1645)),Y1645,IF(Parameter!$B$20="Jahresanfang 2025 + Export",BR1645+BQ1645,BQ1645)))</f>
        <v>2</v>
      </c>
      <c r="I1645" s="50" t="n">
        <f aca="false">H1645*G1645</f>
        <v>20.7</v>
      </c>
      <c r="J1645" s="50" t="n">
        <f aca="false">BT1645*Parameter!$B$18</f>
        <v>0</v>
      </c>
      <c r="K1645" s="51"/>
      <c r="L1645" s="52"/>
      <c r="M1645" s="50" t="n">
        <v>0</v>
      </c>
      <c r="N1645" s="50" t="n">
        <v>1</v>
      </c>
      <c r="O1645" s="53" t="n">
        <v>97</v>
      </c>
      <c r="P1645" s="48" t="s">
        <v>177</v>
      </c>
      <c r="Q1645" s="50"/>
      <c r="R1645" s="53" t="n">
        <f aca="false">IF(BZ1645=1,0,IFERROR(VLOOKUP(BX1645,'Gebinde-Kategorie'!$A$5:$N$45,13,0)+0,0))</f>
        <v>26</v>
      </c>
      <c r="S1645" s="54"/>
      <c r="T1645" s="55" t="s">
        <v>284</v>
      </c>
      <c r="U1645" s="55"/>
      <c r="V1645" s="55"/>
      <c r="W1645" s="48"/>
      <c r="X1645" s="50"/>
      <c r="Y1645" s="50"/>
      <c r="Z1645" s="48" t="n">
        <f aca="false">IF(A1645="","",IF(AND(Parameter!$B$21="Ja",ISNUMBER(W1645)),W1645,IF(CC1645="2+3",IF(ISNUMBER(SEARCH("grosser Artikel",BU1645)),2,IFERROR(VLOOKUP(BX1645,Parameter!$F$35:$G$64,2,0),2)),IF(OR(CC1645="Nein",CC1645=""),"-",CC1645))))</f>
        <v>3</v>
      </c>
      <c r="AA1645" s="55"/>
      <c r="AB1645" s="56"/>
      <c r="AC1645" s="50" t="n">
        <f aca="false">AV1645</f>
        <v>1</v>
      </c>
      <c r="AD1645" s="50" t="n">
        <f aca="false">MAX(AV1645,H1645)</f>
        <v>2</v>
      </c>
      <c r="AE1645" s="57"/>
      <c r="AF1645" s="50" t="n">
        <f aca="false">IF(LEFT(Cockpit!$C$5,1)="A",H1645,IF(Parameter!$E$30="MAX-Bestand",IF(CH1645=1,CI1645,IF(LEFT(Cockpit!$C$5,1)="B",AL1645,MAX(AL1645,H1645))),ROUNDUP(AJ1645,0)))</f>
        <v>2</v>
      </c>
      <c r="AG1645" s="50" t="n">
        <f aca="false">IF(BZ1645=1,0,ROUNDUP(AF1645/BY1645,0))</f>
        <v>1</v>
      </c>
      <c r="AH1645" s="52" t="n">
        <f aca="false">IF(CQ1645&gt;0,CQ1645*MAX(1,AF1645/X1645),IF(BZ1645=1,IF(AF1645&lt;=0,0,CD1645*MAX(1,IF(H1645&gt;0,AF1645/H1645,1))),IF(R1645&gt;0,AG1645/R1645,0))/MAX(0.1,N(Parameter!$M$21)))</f>
        <v>0.0384615384615385</v>
      </c>
      <c r="AI1645" s="50" t="n">
        <f aca="false">AH1645*CB1645</f>
        <v>5.96153846153846</v>
      </c>
      <c r="AJ1645" s="51" t="n">
        <f aca="false">IF(LEFT(Cockpit!$C$5,1)="A",H1645,IF(CH1645=1,(CK1645+CI1645)/2,IF(LEFT(Cockpit!$C$5,1)="B",(CK1645+AL1645)/2,MAX((CK1645+AL1645)/2,H1645))))</f>
        <v>2</v>
      </c>
      <c r="AK1645" s="50" t="n">
        <f aca="false">AJ1645*G1645</f>
        <v>20.7</v>
      </c>
      <c r="AL1645" s="50" t="n">
        <f aca="false">ROUNDUP(CK1645+MAX(CL1645,2*(J1645/IF(CG1645&gt;0,CG1645,MAX(0.1,N(Cockpit!$C$6)))-CK1645)),0)</f>
        <v>1</v>
      </c>
      <c r="AM1645" s="51" t="n">
        <f aca="false">IF(AI1645&gt;0,J1645/AI1645,-1)</f>
        <v>0</v>
      </c>
      <c r="AN1645" s="51" t="n">
        <f aca="false">IF(AND(OR(CF1645="L1",CF1645="L23",CF1645="LIFT"),AI1645&gt;0),SUMIFS($AI$7:$AI$1843,$CF$7:$CF$1843,CF1645,$AM$7:$AM$1843,"&gt;"&amp;AM1645)+SUMIFS($AI$7:$AI$1843,$CF$7:$CF$1843,CF1645,$AM$7:$AM$1843,AM1645,$BW$7:$BW$1843,"&lt;="&amp;BW1645),"")</f>
        <v>31111.7597292068</v>
      </c>
      <c r="AO1645" s="58" t="n">
        <f aca="false">IF(AN1645="",0,MAX(0,MIN(1,(IF(CF1645="L1",Parameter!$H$5,IF(CF1645="L23",Parameter!$H$6+Parameter!$H$7,Parameter!$H$5+Parameter!$H$6+Parameter!$H$7))-(AN1645-AI1645))/AI1645)))</f>
        <v>1</v>
      </c>
      <c r="AP1645" s="50" t="n">
        <f aca="false">IF(LEFT(Cockpit!$I$5,1)="A",H1645,IF(Parameter!$E$30="MAX-Bestand",IF(CH1645=1,CI1645,IF(LEFT(Cockpit!$I$5,1)="B",AV1645,MAX(AV1645,H1645))),ROUNDUP(AT1645,0)))</f>
        <v>2</v>
      </c>
      <c r="AQ1645" s="50" t="n">
        <f aca="false">IF(BZ1645=1,0,ROUNDUP(AP1645/BY1645,0))</f>
        <v>1</v>
      </c>
      <c r="AR1645" s="52" t="n">
        <f aca="false">IF(CQ1645&gt;0,CQ1645*MAX(1,AP1645/X1645),IF(BZ1645=1,IF(AP1645&lt;=0,0,CD1645*MAX(1,IF(H1645&gt;0,AP1645/H1645,1))),IF(R1645&gt;0,AQ1645/R1645,0))/MAX(0.1,N(Parameter!$M$21)))</f>
        <v>0.0384615384615385</v>
      </c>
      <c r="AS1645" s="50" t="n">
        <f aca="false">AR1645*CB1645</f>
        <v>5.96153846153846</v>
      </c>
      <c r="AT1645" s="51" t="n">
        <f aca="false">IF(LEFT(Cockpit!$I$5,1)="A",H1645,IF(CH1645=1,(CK1645+CI1645)/2,IF(LEFT(Cockpit!$I$5,1)="B",(CK1645+AV1645)/2,MAX((CK1645+AV1645)/2,H1645))))</f>
        <v>2</v>
      </c>
      <c r="AU1645" s="50" t="n">
        <f aca="false">AT1645*G1645</f>
        <v>20.7</v>
      </c>
      <c r="AV1645" s="50" t="n">
        <f aca="false">ROUNDUP(CK1645+MAX(CL1645,2*(J1645/IF(CG1645&gt;0,CG1645,MAX(0.1,N(Cockpit!$I$6)))-CK1645)),0)</f>
        <v>1</v>
      </c>
      <c r="AW1645" s="51" t="n">
        <f aca="false">IF(AS1645&gt;0,J1645/AS1645,-1)</f>
        <v>0</v>
      </c>
      <c r="AX1645" s="51" t="n">
        <f aca="false">IF(AND(OR(CF1645="L1",CF1645="L23",CF1645="LIFT"),AS1645&gt;0),SUMIFS($AS$7:$AS$1843,$CF$7:$CF$1843,CF1645,$AW$7:$AW$1843,"&gt;"&amp;AW1645)+SUMIFS($AS$7:$AS$1843,$CF$7:$CF$1843,CF1645,$AW$7:$AW$1843,AW1645,$BW$7:$BW$1843,"&lt;="&amp;BW1645),"")</f>
        <v>37431.6162460421</v>
      </c>
      <c r="AY1645" s="58" t="n">
        <f aca="false">IF(AX1645="",0,MAX(0,MIN(1,(IF(CF1645="L1",Parameter!$H$5,IF(CF1645="L23",Parameter!$H$6+Parameter!$H$7,Parameter!$H$5+Parameter!$H$6+Parameter!$H$7))-(AX1645-AS1645))/AS1645)))</f>
        <v>0</v>
      </c>
      <c r="AZ1645" s="50" t="n">
        <f aca="false">IF(LEFT(Cockpit!$O$5,1)="A",H1645,IF(Parameter!$E$30="MAX-Bestand",IF(CH1645=1,CI1645,IF(LEFT(Cockpit!$O$5,1)="B",BF1645,MAX(BF1645,H1645))),ROUNDUP(BD1645,0)))</f>
        <v>1</v>
      </c>
      <c r="BA1645" s="50" t="n">
        <f aca="false">IF(BZ1645=1,0,ROUNDUP(AZ1645/BY1645,0))</f>
        <v>1</v>
      </c>
      <c r="BB1645" s="52" t="n">
        <f aca="false">IF(CQ1645&gt;0,CQ1645*MAX(1,AZ1645/X1645),IF(BZ1645=1,IF(AZ1645&lt;=0,0,CD1645*MAX(1,IF(H1645&gt;0,AZ1645/H1645,1))),IF(R1645&gt;0,BA1645/R1645,0))/MAX(0.1,N(Parameter!$M$21)))</f>
        <v>0.0384615384615385</v>
      </c>
      <c r="BC1645" s="50" t="n">
        <f aca="false">BB1645*CB1645</f>
        <v>5.96153846153846</v>
      </c>
      <c r="BD1645" s="51" t="n">
        <f aca="false">IF(LEFT(Cockpit!$O$5,1)="A",H1645,IF(CH1645=1,(CK1645+CI1645)/2,IF(LEFT(Cockpit!$O$5,1)="B",(CK1645+BF1645)/2,MAX((CK1645+BF1645)/2,H1645))))</f>
        <v>0.5</v>
      </c>
      <c r="BE1645" s="50" t="n">
        <f aca="false">BD1645*G1645</f>
        <v>5.175</v>
      </c>
      <c r="BF1645" s="50" t="n">
        <f aca="false">ROUNDUP(CK1645+MAX(CL1645,2*(J1645/IF(CG1645&gt;0,CG1645,MAX(0.1,N(Cockpit!$O$6)))-CK1645)),0)</f>
        <v>1</v>
      </c>
      <c r="BG1645" s="51" t="n">
        <f aca="false">IF(BC1645&gt;0,J1645/BC1645,-1)</f>
        <v>0</v>
      </c>
      <c r="BH1645" s="51" t="n">
        <f aca="false">IF(AND(OR(CF1645="L1",CF1645="L23",CF1645="LIFT"),BC1645&gt;0),SUMIFS($BC$7:$BC$1843,$CF$7:$CF$1843,CF1645,$BG$7:$BG$1843,"&gt;"&amp;BG1645)+SUMIFS($BC$7:$BC$1843,$CF$7:$CF$1843,CF1645,$BG$7:$BG$1843,BG1645,$BW$7:$BW$1843,"&lt;="&amp;BW1645),"")</f>
        <v>31341.0575215745</v>
      </c>
      <c r="BI1645" s="58" t="n">
        <f aca="false">IF(BH1645="",0,MAX(0,MIN(1,(IF(CF1645="L1",Parameter!$H$5,IF(CF1645="L23",Parameter!$H$6+Parameter!$H$7,Parameter!$H$5+Parameter!$H$6+Parameter!$H$7))-(BH1645-BC1645))/BC1645)))</f>
        <v>1</v>
      </c>
      <c r="BJ1645" s="48" t="str">
        <f aca="false">IF(AI1645&lt;=0,"",IF(CF1645="Aussen","Aussenlager",IF(CF1645="-","Nicht im Lift",IF(AO1645&gt;=1,"Lift",IF(AO1645&lt;=0,"Aussenlager","teilweise")))))</f>
        <v>Lift</v>
      </c>
      <c r="BK1645" s="48" t="str">
        <f aca="false">IF(AS1645&lt;=0,"",IF(CF1645="Aussen","Aussenlager",IF(CF1645="-","Nicht im Lift",IF(AY1645&gt;=1,"Lift",IF(AY1645&lt;=0,"Aussenlager","teilweise")))))</f>
        <v>Aussenlager</v>
      </c>
      <c r="BL1645" s="48" t="str">
        <f aca="false">IF(BC1645&lt;=0,"",IF(CF1645="Aussen","Aussenlager",IF(CF1645="-","Nicht im Lift",IF(BI1645&gt;=1,"Lift",IF(BI1645&lt;=0,"Aussenlager","teilweise")))))</f>
        <v>Lift</v>
      </c>
      <c r="BM1645" s="48" t="str">
        <f aca="false">IF(A1645="","",IF(BV1645=1,"Neu; ","")&amp;IF(AND(BV1645=0,BQ1645&lt;0),"negativer Bestand (Export "&amp;BQ1645&amp;"); ","")&amp;IF(J1645&lt;=0,"Kein Verbrauch; ","")&amp;IF(CQ1645&gt;0,"Lift "&amp;W1645&amp;" lt. Liftbericht (Fach "&amp;X1645&amp;" Stk); ",IF(CA1645=1,"Gebinde geschätzt ("&amp;T1645&amp;"); ",IF(BZ1645=1,"Lose – Tablare geschätzt; ","")))&amp;IF(H1645&gt;AV1645,"Überbestand "&amp;ROUND(H1645-AV1645,0)&amp;" Stk / CHF "&amp;ROUND((H1645-AV1645)*G1645,0)&amp;"; ","")&amp;IF(AND(CH1645=1,CI1645&lt;CJ1645),"MAX &lt; MB+LG; ","")&amp;IF(AND(CP1645&gt;0,CO1645*10&gt;CP1645),"zu hoch für Tablar; ","")&amp;IF(AND(BV1645=0,OR(CH1645=1,AA1645&lt;&gt;"",U1645&lt;&gt;"",V1645&lt;&gt;"",AB1645&lt;&gt;"")),"manuell übersteuert; ","")&amp;IF(AND(BZ1645=0,R1645=0),"Gebinde unbekannt / Stellmass fehlt; ","")&amp;IF(AND(BZ1645=0,N(V1645)&lt;=0,N(Q1645)&lt;=0),"Menge pro Gebinde fehlt (Ist = 1 Gebinde); ","")&amp;BU1645)</f>
        <v>Kein Verbrauch; Gebinde geschätzt (Klein); Überbestand 1 Stk / CHF 10; Menge pro Gebinde fehlt (Ist = 1 Gebinde); nur im Artikelstamm (Bestand 23.06.2026)</v>
      </c>
      <c r="BN1645" s="48"/>
      <c r="BO1645" s="48"/>
      <c r="BP1645" s="55"/>
      <c r="BQ1645" s="50" t="n">
        <v>2</v>
      </c>
      <c r="BR1645" s="50" t="n">
        <v>0</v>
      </c>
      <c r="BS1645" s="49" t="n">
        <v>0</v>
      </c>
      <c r="BT1645" s="50" t="n">
        <v>0</v>
      </c>
      <c r="BU1645" s="48" t="s">
        <v>2584</v>
      </c>
      <c r="BV1645" s="53" t="n">
        <v>0</v>
      </c>
      <c r="BW1645" s="53" t="n">
        <v>1645</v>
      </c>
      <c r="BX1645" s="48" t="str">
        <f aca="false">IF(U1645&lt;&gt;"",UPPER(TRIM(U1645)),IF(CA1645=1,UPPER(VLOOKUP(T1645,Parameter!$I$27:$K$29,2,0)),IF(P1645="","LOSE",P1645)))</f>
        <v>S51</v>
      </c>
      <c r="BY1645" s="50" t="n">
        <f aca="false">IF(BX1645="LOSE",1,IF(N(V1645)&gt;0,V1645,IF(CA1645=1,MAX(1,N(VLOOKUP(T1645,Parameter!$I$27:$K$29,3,0)),H1645,N(N1645)),IF(N(Q1645)&gt;0,Q1645,MAX(1,H1645)))))</f>
        <v>20</v>
      </c>
      <c r="BZ1645" s="53" t="n">
        <f aca="false">IF(BX1645="LOSE",1,0)</f>
        <v>0</v>
      </c>
      <c r="CA1645" s="53" t="n">
        <f aca="false">IF(AND(U1645="",OR(P1645="",P1645="LOSE"),T1645&lt;&gt;"",N(S1645)&lt;=0,ISNUMBER(MATCH(T1645,Parameter!$I$27:$I$29,0))),1,0)</f>
        <v>1</v>
      </c>
      <c r="CB1645" s="53" t="n">
        <f aca="false">IF(CQ1645&gt;0,INDEX(Parameter!$H$5:$H$7,W1645)/INDEX(Parameter!$E$5:$E$7,W1645),IF(AND(BZ1645=0,N(IFERROR(VLOOKUP(BX1645,'Gebinde-Kategorie'!$A$5:$N$45,14,0),0))&gt;0),VLOOKUP(BX1645,'Gebinde-Kategorie'!$A$5:$N$45,14,0)*10+Parameter!$M$23,Parameter!$M$24))</f>
        <v>155</v>
      </c>
      <c r="CC1645" s="48" t="str">
        <f aca="false">IF(AND(Parameter!$B$19="Ja",E1645&lt;&gt;"",ISNUMBER(MATCH(E1645,Parameter!$I$35:$I$52,0))),VLOOKUP(E1645,Parameter!$I$35:$J$52,2,0),IFERROR(VLOOKUP(D1645,Parameter!$A$35:$C$64,2,0),"Nein"))</f>
        <v>2+3</v>
      </c>
      <c r="CD1645" s="52" t="n">
        <f aca="false">IF(BZ1645=0,0,IF(N(S1645)&gt;0,S1645,IFERROR(VLOOKUP(D1645,Parameter!$A$35:$C$64,3,0)+0,0)))</f>
        <v>0</v>
      </c>
      <c r="CE1645" s="48" t="n">
        <f aca="false">IF(AA1645&lt;&gt;"",AA1645,Z1645)</f>
        <v>3</v>
      </c>
      <c r="CF1645" s="48" t="str">
        <f aca="false">IF(OR(CE1645=1,CE1645=2,CE1645=3),IF(Parameter!$E$27="Ja","LIFT",IF(CE1645=1,"L1","L23")),IF(CE1645="Aussen","Aussen","-"))</f>
        <v>LIFT</v>
      </c>
      <c r="CG1645" s="59" t="n">
        <f aca="false">IF(N(AB1645)&gt;0,AB1645,0)</f>
        <v>0</v>
      </c>
      <c r="CH1645" s="53" t="n">
        <f aca="false">IF(ISNUMBER(AE1645),1,0)</f>
        <v>0</v>
      </c>
      <c r="CI1645" s="50" t="n">
        <f aca="false">N(AE1645)</f>
        <v>0</v>
      </c>
      <c r="CJ1645" s="50" t="n">
        <f aca="false">N(M1645)+N(N1645)</f>
        <v>1</v>
      </c>
      <c r="CK1645" s="50" t="n">
        <f aca="false">N(M1645)</f>
        <v>0</v>
      </c>
      <c r="CL1645" s="50" t="n">
        <f aca="false">N(N1645)</f>
        <v>1</v>
      </c>
      <c r="CM1645" s="50" t="n">
        <f aca="false">ROUNDUP(H1645/BY1645,0)</f>
        <v>1</v>
      </c>
      <c r="CN1645" s="50" t="n">
        <f aca="false">ROUNDUP(CI1645/BY1645,0)</f>
        <v>0</v>
      </c>
      <c r="CO1645" s="53" t="n">
        <f aca="false">IF(BZ1645=1,0,IFERROR(VLOOKUP(BX1645,'Gebinde-Kategorie'!$A$5:$N$45,5,0)+0,0))</f>
        <v>11</v>
      </c>
      <c r="CP1645" s="53" t="n">
        <f aca="false">IFERROR(IF(OR(CE1645=1,CE1645=2,CE1645=3),N(INDEX(Parameter!$I$5:$I$7,CE1645)),0),0)</f>
        <v>0</v>
      </c>
      <c r="CQ1645" s="52" t="n">
        <f aca="false">IF(AND(Parameter!$B$21="Ja",ISNUMBER(W1645),N(X1645)&gt;0),IFERROR(N(INDEX(Parameter!$L$5:$L$7,W1645))*INDEX(Parameter!$E$5:$E$7,W1645)*X1645/SUMIFS($X$7:$X$1843,$W$7:$W$1843,W1645),0),0)</f>
        <v>0</v>
      </c>
    </row>
    <row r="1646" customFormat="false" ht="15" hidden="false" customHeight="false" outlineLevel="0" collapsed="false">
      <c r="A1646" s="48" t="s">
        <v>2872</v>
      </c>
      <c r="B1646" s="48" t="s">
        <v>2464</v>
      </c>
      <c r="C1646" s="48" t="s">
        <v>173</v>
      </c>
      <c r="D1646" s="48" t="s">
        <v>182</v>
      </c>
      <c r="E1646" s="48"/>
      <c r="F1646" s="48"/>
      <c r="G1646" s="49" t="n">
        <v>600</v>
      </c>
      <c r="H1646" s="50" t="n">
        <f aca="false">MAX(0,IF(AND(Parameter!$B$21="Ja",ISNUMBER(Y1646)),Y1646,IF(Parameter!$B$20="Jahresanfang 2025 + Export",BR1646+BQ1646,BQ1646)))</f>
        <v>1</v>
      </c>
      <c r="I1646" s="50" t="n">
        <f aca="false">H1646*G1646</f>
        <v>600</v>
      </c>
      <c r="J1646" s="50" t="n">
        <f aca="false">BT1646*Parameter!$B$18</f>
        <v>0</v>
      </c>
      <c r="K1646" s="51"/>
      <c r="L1646" s="52"/>
      <c r="M1646" s="50" t="n">
        <v>0</v>
      </c>
      <c r="N1646" s="50" t="n">
        <v>1</v>
      </c>
      <c r="O1646" s="53" t="n">
        <v>0</v>
      </c>
      <c r="P1646" s="48" t="s">
        <v>177</v>
      </c>
      <c r="Q1646" s="50"/>
      <c r="R1646" s="53" t="n">
        <f aca="false">IF(BZ1646=1,0,IFERROR(VLOOKUP(BX1646,'Gebinde-Kategorie'!$A$5:$N$45,13,0)+0,0))</f>
        <v>4</v>
      </c>
      <c r="S1646" s="54"/>
      <c r="T1646" s="55" t="s">
        <v>198</v>
      </c>
      <c r="U1646" s="55"/>
      <c r="V1646" s="55"/>
      <c r="W1646" s="48"/>
      <c r="X1646" s="50"/>
      <c r="Y1646" s="50"/>
      <c r="Z1646" s="48" t="n">
        <f aca="false">IF(A1646="","",IF(AND(Parameter!$B$21="Ja",ISNUMBER(W1646)),W1646,IF(CC1646="2+3",IF(ISNUMBER(SEARCH("grosser Artikel",BU1646)),2,IFERROR(VLOOKUP(BX1646,Parameter!$F$35:$G$64,2,0),2)),IF(OR(CC1646="Nein",CC1646=""),"-",CC1646))))</f>
        <v>2</v>
      </c>
      <c r="AA1646" s="55"/>
      <c r="AB1646" s="56"/>
      <c r="AC1646" s="50" t="n">
        <f aca="false">AV1646</f>
        <v>1</v>
      </c>
      <c r="AD1646" s="50" t="n">
        <f aca="false">MAX(AV1646,H1646)</f>
        <v>1</v>
      </c>
      <c r="AE1646" s="57"/>
      <c r="AF1646" s="50" t="n">
        <f aca="false">IF(LEFT(Cockpit!$C$5,1)="A",H1646,IF(Parameter!$E$30="MAX-Bestand",IF(CH1646=1,CI1646,IF(LEFT(Cockpit!$C$5,1)="B",AL1646,MAX(AL1646,H1646))),ROUNDUP(AJ1646,0)))</f>
        <v>1</v>
      </c>
      <c r="AG1646" s="50" t="n">
        <f aca="false">IF(BZ1646=1,0,ROUNDUP(AF1646/BY1646,0))</f>
        <v>1</v>
      </c>
      <c r="AH1646" s="52" t="n">
        <f aca="false">IF(CQ1646&gt;0,CQ1646*MAX(1,AF1646/X1646),IF(BZ1646=1,IF(AF1646&lt;=0,0,CD1646*MAX(1,IF(H1646&gt;0,AF1646/H1646,1))),IF(R1646&gt;0,AG1646/R1646,0))/MAX(0.1,N(Parameter!$M$21)))</f>
        <v>0.25</v>
      </c>
      <c r="AI1646" s="50" t="n">
        <f aca="false">AH1646*CB1646</f>
        <v>58.75</v>
      </c>
      <c r="AJ1646" s="51" t="n">
        <f aca="false">IF(LEFT(Cockpit!$C$5,1)="A",H1646,IF(CH1646=1,(CK1646+CI1646)/2,IF(LEFT(Cockpit!$C$5,1)="B",(CK1646+AL1646)/2,MAX((CK1646+AL1646)/2,H1646))))</f>
        <v>1</v>
      </c>
      <c r="AK1646" s="50" t="n">
        <f aca="false">AJ1646*G1646</f>
        <v>600</v>
      </c>
      <c r="AL1646" s="50" t="n">
        <f aca="false">ROUNDUP(CK1646+MAX(CL1646,2*(J1646/IF(CG1646&gt;0,CG1646,MAX(0.1,N(Cockpit!$C$6)))-CK1646)),0)</f>
        <v>1</v>
      </c>
      <c r="AM1646" s="51" t="n">
        <f aca="false">IF(AI1646&gt;0,J1646/AI1646,-1)</f>
        <v>0</v>
      </c>
      <c r="AN1646" s="51" t="n">
        <f aca="false">IF(AND(OR(CF1646="L1",CF1646="L23",CF1646="LIFT"),AI1646&gt;0),SUMIFS($AI$7:$AI$1843,$CF$7:$CF$1843,CF1646,$AM$7:$AM$1843,"&gt;"&amp;AM1646)+SUMIFS($AI$7:$AI$1843,$CF$7:$CF$1843,CF1646,$AM$7:$AM$1843,AM1646,$BW$7:$BW$1843,"&lt;="&amp;BW1646),"")</f>
        <v>31170.5097292068</v>
      </c>
      <c r="AO1646" s="58" t="n">
        <f aca="false">IF(AN1646="",0,MAX(0,MIN(1,(IF(CF1646="L1",Parameter!$H$5,IF(CF1646="L23",Parameter!$H$6+Parameter!$H$7,Parameter!$H$5+Parameter!$H$6+Parameter!$H$7))-(AN1646-AI1646))/AI1646)))</f>
        <v>1</v>
      </c>
      <c r="AP1646" s="50" t="n">
        <f aca="false">IF(LEFT(Cockpit!$I$5,1)="A",H1646,IF(Parameter!$E$30="MAX-Bestand",IF(CH1646=1,CI1646,IF(LEFT(Cockpit!$I$5,1)="B",AV1646,MAX(AV1646,H1646))),ROUNDUP(AT1646,0)))</f>
        <v>1</v>
      </c>
      <c r="AQ1646" s="50" t="n">
        <f aca="false">IF(BZ1646=1,0,ROUNDUP(AP1646/BY1646,0))</f>
        <v>1</v>
      </c>
      <c r="AR1646" s="52" t="n">
        <f aca="false">IF(CQ1646&gt;0,CQ1646*MAX(1,AP1646/X1646),IF(BZ1646=1,IF(AP1646&lt;=0,0,CD1646*MAX(1,IF(H1646&gt;0,AP1646/H1646,1))),IF(R1646&gt;0,AQ1646/R1646,0))/MAX(0.1,N(Parameter!$M$21)))</f>
        <v>0.25</v>
      </c>
      <c r="AS1646" s="50" t="n">
        <f aca="false">AR1646*CB1646</f>
        <v>58.75</v>
      </c>
      <c r="AT1646" s="51" t="n">
        <f aca="false">IF(LEFT(Cockpit!$I$5,1)="A",H1646,IF(CH1646=1,(CK1646+CI1646)/2,IF(LEFT(Cockpit!$I$5,1)="B",(CK1646+AV1646)/2,MAX((CK1646+AV1646)/2,H1646))))</f>
        <v>1</v>
      </c>
      <c r="AU1646" s="50" t="n">
        <f aca="false">AT1646*G1646</f>
        <v>600</v>
      </c>
      <c r="AV1646" s="50" t="n">
        <f aca="false">ROUNDUP(CK1646+MAX(CL1646,2*(J1646/IF(CG1646&gt;0,CG1646,MAX(0.1,N(Cockpit!$I$6)))-CK1646)),0)</f>
        <v>1</v>
      </c>
      <c r="AW1646" s="51" t="n">
        <f aca="false">IF(AS1646&gt;0,J1646/AS1646,-1)</f>
        <v>0</v>
      </c>
      <c r="AX1646" s="51" t="n">
        <f aca="false">IF(AND(OR(CF1646="L1",CF1646="L23",CF1646="LIFT"),AS1646&gt;0),SUMIFS($AS$7:$AS$1843,$CF$7:$CF$1843,CF1646,$AW$7:$AW$1843,"&gt;"&amp;AW1646)+SUMIFS($AS$7:$AS$1843,$CF$7:$CF$1843,CF1646,$AW$7:$AW$1843,AW1646,$BW$7:$BW$1843,"&lt;="&amp;BW1646),"")</f>
        <v>37490.3662460421</v>
      </c>
      <c r="AY1646" s="58" t="n">
        <f aca="false">IF(AX1646="",0,MAX(0,MIN(1,(IF(CF1646="L1",Parameter!$H$5,IF(CF1646="L23",Parameter!$H$6+Parameter!$H$7,Parameter!$H$5+Parameter!$H$6+Parameter!$H$7))-(AX1646-AS1646))/AS1646)))</f>
        <v>0</v>
      </c>
      <c r="AZ1646" s="50" t="n">
        <f aca="false">IF(LEFT(Cockpit!$O$5,1)="A",H1646,IF(Parameter!$E$30="MAX-Bestand",IF(CH1646=1,CI1646,IF(LEFT(Cockpit!$O$5,1)="B",BF1646,MAX(BF1646,H1646))),ROUNDUP(BD1646,0)))</f>
        <v>1</v>
      </c>
      <c r="BA1646" s="50" t="n">
        <f aca="false">IF(BZ1646=1,0,ROUNDUP(AZ1646/BY1646,0))</f>
        <v>1</v>
      </c>
      <c r="BB1646" s="52" t="n">
        <f aca="false">IF(CQ1646&gt;0,CQ1646*MAX(1,AZ1646/X1646),IF(BZ1646=1,IF(AZ1646&lt;=0,0,CD1646*MAX(1,IF(H1646&gt;0,AZ1646/H1646,1))),IF(R1646&gt;0,BA1646/R1646,0))/MAX(0.1,N(Parameter!$M$21)))</f>
        <v>0.25</v>
      </c>
      <c r="BC1646" s="50" t="n">
        <f aca="false">BB1646*CB1646</f>
        <v>58.75</v>
      </c>
      <c r="BD1646" s="51" t="n">
        <f aca="false">IF(LEFT(Cockpit!$O$5,1)="A",H1646,IF(CH1646=1,(CK1646+CI1646)/2,IF(LEFT(Cockpit!$O$5,1)="B",(CK1646+BF1646)/2,MAX((CK1646+BF1646)/2,H1646))))</f>
        <v>0.5</v>
      </c>
      <c r="BE1646" s="50" t="n">
        <f aca="false">BD1646*G1646</f>
        <v>300</v>
      </c>
      <c r="BF1646" s="50" t="n">
        <f aca="false">ROUNDUP(CK1646+MAX(CL1646,2*(J1646/IF(CG1646&gt;0,CG1646,MAX(0.1,N(Cockpit!$O$6)))-CK1646)),0)</f>
        <v>1</v>
      </c>
      <c r="BG1646" s="51" t="n">
        <f aca="false">IF(BC1646&gt;0,J1646/BC1646,-1)</f>
        <v>0</v>
      </c>
      <c r="BH1646" s="51" t="n">
        <f aca="false">IF(AND(OR(CF1646="L1",CF1646="L23",CF1646="LIFT"),BC1646&gt;0),SUMIFS($BC$7:$BC$1843,$CF$7:$CF$1843,CF1646,$BG$7:$BG$1843,"&gt;"&amp;BG1646)+SUMIFS($BC$7:$BC$1843,$CF$7:$CF$1843,CF1646,$BG$7:$BG$1843,BG1646,$BW$7:$BW$1843,"&lt;="&amp;BW1646),"")</f>
        <v>31399.8075215745</v>
      </c>
      <c r="BI1646" s="58" t="n">
        <f aca="false">IF(BH1646="",0,MAX(0,MIN(1,(IF(CF1646="L1",Parameter!$H$5,IF(CF1646="L23",Parameter!$H$6+Parameter!$H$7,Parameter!$H$5+Parameter!$H$6+Parameter!$H$7))-(BH1646-BC1646))/BC1646)))</f>
        <v>1</v>
      </c>
      <c r="BJ1646" s="48" t="str">
        <f aca="false">IF(AI1646&lt;=0,"",IF(CF1646="Aussen","Aussenlager",IF(CF1646="-","Nicht im Lift",IF(AO1646&gt;=1,"Lift",IF(AO1646&lt;=0,"Aussenlager","teilweise")))))</f>
        <v>Lift</v>
      </c>
      <c r="BK1646" s="48" t="str">
        <f aca="false">IF(AS1646&lt;=0,"",IF(CF1646="Aussen","Aussenlager",IF(CF1646="-","Nicht im Lift",IF(AY1646&gt;=1,"Lift",IF(AY1646&lt;=0,"Aussenlager","teilweise")))))</f>
        <v>Aussenlager</v>
      </c>
      <c r="BL1646" s="48" t="str">
        <f aca="false">IF(BC1646&lt;=0,"",IF(CF1646="Aussen","Aussenlager",IF(CF1646="-","Nicht im Lift",IF(BI1646&gt;=1,"Lift",IF(BI1646&lt;=0,"Aussenlager","teilweise")))))</f>
        <v>Lift</v>
      </c>
      <c r="BM1646" s="48" t="str">
        <f aca="false">IF(A1646="","",IF(BV1646=1,"Neu; ","")&amp;IF(AND(BV1646=0,BQ1646&lt;0),"negativer Bestand (Export "&amp;BQ1646&amp;"); ","")&amp;IF(J1646&lt;=0,"Kein Verbrauch; ","")&amp;IF(CQ1646&gt;0,"Lift "&amp;W1646&amp;" lt. Liftbericht (Fach "&amp;X1646&amp;" Stk); ",IF(CA1646=1,"Gebinde geschätzt ("&amp;T1646&amp;"); ",IF(BZ1646=1,"Lose – Tablare geschätzt; ","")))&amp;IF(H1646&gt;AV1646,"Überbestand "&amp;ROUND(H1646-AV1646,0)&amp;" Stk / CHF "&amp;ROUND((H1646-AV1646)*G1646,0)&amp;"; ","")&amp;IF(AND(CH1646=1,CI1646&lt;CJ1646),"MAX &lt; MB+LG; ","")&amp;IF(AND(CP1646&gt;0,CO1646*10&gt;CP1646),"zu hoch für Tablar; ","")&amp;IF(AND(BV1646=0,OR(CH1646=1,AA1646&lt;&gt;"",U1646&lt;&gt;"",V1646&lt;&gt;"",AB1646&lt;&gt;"")),"manuell übersteuert; ","")&amp;IF(AND(BZ1646=0,R1646=0),"Gebinde unbekannt / Stellmass fehlt; ","")&amp;IF(AND(BZ1646=0,N(V1646)&lt;=0,N(Q1646)&lt;=0),"Menge pro Gebinde fehlt (Ist = 1 Gebinde); ","")&amp;BU1646)</f>
        <v>Kein Verbrauch; Gebinde geschätzt (Gross); Menge pro Gebinde fehlt (Ist = 1 Gebinde); nur im Artikelstamm (Bestand 23.06.2026)</v>
      </c>
      <c r="BN1646" s="48"/>
      <c r="BO1646" s="48"/>
      <c r="BP1646" s="55"/>
      <c r="BQ1646" s="50" t="n">
        <v>1</v>
      </c>
      <c r="BR1646" s="50" t="n">
        <v>0</v>
      </c>
      <c r="BS1646" s="49" t="n">
        <v>0</v>
      </c>
      <c r="BT1646" s="50" t="n">
        <v>0</v>
      </c>
      <c r="BU1646" s="48" t="s">
        <v>2584</v>
      </c>
      <c r="BV1646" s="53" t="n">
        <v>0</v>
      </c>
      <c r="BW1646" s="53" t="n">
        <v>1646</v>
      </c>
      <c r="BX1646" s="48" t="str">
        <f aca="false">IF(U1646&lt;&gt;"",UPPER(TRIM(U1646)),IF(CA1646=1,UPPER(VLOOKUP(T1646,Parameter!$I$27:$K$29,2,0)),IF(P1646="","LOSE",P1646)))</f>
        <v>S81</v>
      </c>
      <c r="BY1646" s="50" t="n">
        <f aca="false">IF(BX1646="LOSE",1,IF(N(V1646)&gt;0,V1646,IF(CA1646=1,MAX(1,N(VLOOKUP(T1646,Parameter!$I$27:$K$29,3,0)),H1646,N(N1646)),IF(N(Q1646)&gt;0,Q1646,MAX(1,H1646)))))</f>
        <v>2</v>
      </c>
      <c r="BZ1646" s="53" t="n">
        <f aca="false">IF(BX1646="LOSE",1,0)</f>
        <v>0</v>
      </c>
      <c r="CA1646" s="53" t="n">
        <f aca="false">IF(AND(U1646="",OR(P1646="",P1646="LOSE"),T1646&lt;&gt;"",N(S1646)&lt;=0,ISNUMBER(MATCH(T1646,Parameter!$I$27:$I$29,0))),1,0)</f>
        <v>1</v>
      </c>
      <c r="CB1646" s="53" t="n">
        <f aca="false">IF(CQ1646&gt;0,INDEX(Parameter!$H$5:$H$7,W1646)/INDEX(Parameter!$E$5:$E$7,W1646),IF(AND(BZ1646=0,N(IFERROR(VLOOKUP(BX1646,'Gebinde-Kategorie'!$A$5:$N$45,14,0),0))&gt;0),VLOOKUP(BX1646,'Gebinde-Kategorie'!$A$5:$N$45,14,0)*10+Parameter!$M$23,Parameter!$M$24))</f>
        <v>235</v>
      </c>
      <c r="CC1646" s="48" t="str">
        <f aca="false">IF(AND(Parameter!$B$19="Ja",E1646&lt;&gt;"",ISNUMBER(MATCH(E1646,Parameter!$I$35:$I$52,0))),VLOOKUP(E1646,Parameter!$I$35:$J$52,2,0),IFERROR(VLOOKUP(D1646,Parameter!$A$35:$C$64,2,0),"Nein"))</f>
        <v>2+3</v>
      </c>
      <c r="CD1646" s="52" t="n">
        <f aca="false">IF(BZ1646=0,0,IF(N(S1646)&gt;0,S1646,IFERROR(VLOOKUP(D1646,Parameter!$A$35:$C$64,3,0)+0,0)))</f>
        <v>0</v>
      </c>
      <c r="CE1646" s="48" t="n">
        <f aca="false">IF(AA1646&lt;&gt;"",AA1646,Z1646)</f>
        <v>2</v>
      </c>
      <c r="CF1646" s="48" t="str">
        <f aca="false">IF(OR(CE1646=1,CE1646=2,CE1646=3),IF(Parameter!$E$27="Ja","LIFT",IF(CE1646=1,"L1","L23")),IF(CE1646="Aussen","Aussen","-"))</f>
        <v>LIFT</v>
      </c>
      <c r="CG1646" s="59" t="n">
        <f aca="false">IF(N(AB1646)&gt;0,AB1646,0)</f>
        <v>0</v>
      </c>
      <c r="CH1646" s="53" t="n">
        <f aca="false">IF(ISNUMBER(AE1646),1,0)</f>
        <v>0</v>
      </c>
      <c r="CI1646" s="50" t="n">
        <f aca="false">N(AE1646)</f>
        <v>0</v>
      </c>
      <c r="CJ1646" s="50" t="n">
        <f aca="false">N(M1646)+N(N1646)</f>
        <v>1</v>
      </c>
      <c r="CK1646" s="50" t="n">
        <f aca="false">N(M1646)</f>
        <v>0</v>
      </c>
      <c r="CL1646" s="50" t="n">
        <f aca="false">N(N1646)</f>
        <v>1</v>
      </c>
      <c r="CM1646" s="50" t="n">
        <f aca="false">ROUNDUP(H1646/BY1646,0)</f>
        <v>1</v>
      </c>
      <c r="CN1646" s="50" t="n">
        <f aca="false">ROUNDUP(CI1646/BY1646,0)</f>
        <v>0</v>
      </c>
      <c r="CO1646" s="53" t="n">
        <f aca="false">IF(BZ1646=1,0,IFERROR(VLOOKUP(BX1646,'Gebinde-Kategorie'!$A$5:$N$45,5,0)+0,0))</f>
        <v>20</v>
      </c>
      <c r="CP1646" s="53" t="n">
        <f aca="false">IFERROR(IF(OR(CE1646=1,CE1646=2,CE1646=3),N(INDEX(Parameter!$I$5:$I$7,CE1646)),0),0)</f>
        <v>0</v>
      </c>
      <c r="CQ1646" s="52" t="n">
        <f aca="false">IF(AND(Parameter!$B$21="Ja",ISNUMBER(W1646),N(X1646)&gt;0),IFERROR(N(INDEX(Parameter!$L$5:$L$7,W1646))*INDEX(Parameter!$E$5:$E$7,W1646)*X1646/SUMIFS($X$7:$X$1843,$W$7:$W$1843,W1646),0),0)</f>
        <v>0</v>
      </c>
    </row>
    <row r="1647" customFormat="false" ht="15" hidden="false" customHeight="false" outlineLevel="0" collapsed="false">
      <c r="A1647" s="48" t="s">
        <v>2873</v>
      </c>
      <c r="B1647" s="48" t="s">
        <v>2874</v>
      </c>
      <c r="C1647" s="48" t="s">
        <v>173</v>
      </c>
      <c r="D1647" s="48" t="s">
        <v>182</v>
      </c>
      <c r="E1647" s="48" t="s">
        <v>194</v>
      </c>
      <c r="F1647" s="48"/>
      <c r="G1647" s="49" t="n">
        <v>5.42</v>
      </c>
      <c r="H1647" s="50" t="n">
        <f aca="false">MAX(0,IF(AND(Parameter!$B$21="Ja",ISNUMBER(Y1647)),Y1647,IF(Parameter!$B$20="Jahresanfang 2025 + Export",BR1647+BQ1647,BQ1647)))</f>
        <v>203</v>
      </c>
      <c r="I1647" s="50" t="n">
        <f aca="false">H1647*G1647</f>
        <v>1100.26</v>
      </c>
      <c r="J1647" s="50" t="n">
        <f aca="false">BT1647*Parameter!$B$18</f>
        <v>0</v>
      </c>
      <c r="K1647" s="51"/>
      <c r="L1647" s="52"/>
      <c r="M1647" s="50" t="n">
        <v>0</v>
      </c>
      <c r="N1647" s="50" t="n">
        <v>50</v>
      </c>
      <c r="O1647" s="53" t="n">
        <v>14</v>
      </c>
      <c r="P1647" s="48" t="s">
        <v>177</v>
      </c>
      <c r="Q1647" s="50"/>
      <c r="R1647" s="53" t="n">
        <f aca="false">IF(BZ1647=1,0,IFERROR(VLOOKUP(BX1647,'Gebinde-Kategorie'!$A$5:$N$45,13,0)+0,0))</f>
        <v>12</v>
      </c>
      <c r="S1647" s="54"/>
      <c r="T1647" s="55" t="s">
        <v>188</v>
      </c>
      <c r="U1647" s="55"/>
      <c r="V1647" s="55"/>
      <c r="W1647" s="48"/>
      <c r="X1647" s="50"/>
      <c r="Y1647" s="50"/>
      <c r="Z1647" s="48" t="n">
        <f aca="false">IF(A1647="","",IF(AND(Parameter!$B$21="Ja",ISNUMBER(W1647)),W1647,IF(CC1647="2+3",IF(ISNUMBER(SEARCH("grosser Artikel",BU1647)),2,IFERROR(VLOOKUP(BX1647,Parameter!$F$35:$G$64,2,0),2)),IF(OR(CC1647="Nein",CC1647=""),"-",CC1647))))</f>
        <v>2</v>
      </c>
      <c r="AA1647" s="55"/>
      <c r="AB1647" s="56"/>
      <c r="AC1647" s="50" t="n">
        <f aca="false">AV1647</f>
        <v>50</v>
      </c>
      <c r="AD1647" s="50" t="n">
        <f aca="false">MAX(AV1647,H1647)</f>
        <v>203</v>
      </c>
      <c r="AE1647" s="57"/>
      <c r="AF1647" s="50" t="n">
        <f aca="false">IF(LEFT(Cockpit!$C$5,1)="A",H1647,IF(Parameter!$E$30="MAX-Bestand",IF(CH1647=1,CI1647,IF(LEFT(Cockpit!$C$5,1)="B",AL1647,MAX(AL1647,H1647))),ROUNDUP(AJ1647,0)))</f>
        <v>203</v>
      </c>
      <c r="AG1647" s="50" t="n">
        <f aca="false">IF(BZ1647=1,0,ROUNDUP(AF1647/BY1647,0))</f>
        <v>1</v>
      </c>
      <c r="AH1647" s="52" t="n">
        <f aca="false">IF(CQ1647&gt;0,CQ1647*MAX(1,AF1647/X1647),IF(BZ1647=1,IF(AF1647&lt;=0,0,CD1647*MAX(1,IF(H1647&gt;0,AF1647/H1647,1))),IF(R1647&gt;0,AG1647/R1647,0))/MAX(0.1,N(Parameter!$M$21)))</f>
        <v>0.0833333333333333</v>
      </c>
      <c r="AI1647" s="50" t="n">
        <f aca="false">AH1647*CB1647</f>
        <v>12.0833333333333</v>
      </c>
      <c r="AJ1647" s="51" t="n">
        <f aca="false">IF(LEFT(Cockpit!$C$5,1)="A",H1647,IF(CH1647=1,(CK1647+CI1647)/2,IF(LEFT(Cockpit!$C$5,1)="B",(CK1647+AL1647)/2,MAX((CK1647+AL1647)/2,H1647))))</f>
        <v>203</v>
      </c>
      <c r="AK1647" s="50" t="n">
        <f aca="false">AJ1647*G1647</f>
        <v>1100.26</v>
      </c>
      <c r="AL1647" s="50" t="n">
        <f aca="false">ROUNDUP(CK1647+MAX(CL1647,2*(J1647/IF(CG1647&gt;0,CG1647,MAX(0.1,N(Cockpit!$C$6)))-CK1647)),0)</f>
        <v>50</v>
      </c>
      <c r="AM1647" s="51" t="n">
        <f aca="false">IF(AI1647&gt;0,J1647/AI1647,-1)</f>
        <v>0</v>
      </c>
      <c r="AN1647" s="51" t="n">
        <f aca="false">IF(AND(OR(CF1647="L1",CF1647="L23",CF1647="LIFT"),AI1647&gt;0),SUMIFS($AI$7:$AI$1843,$CF$7:$CF$1843,CF1647,$AM$7:$AM$1843,"&gt;"&amp;AM1647)+SUMIFS($AI$7:$AI$1843,$CF$7:$CF$1843,CF1647,$AM$7:$AM$1843,AM1647,$BW$7:$BW$1843,"&lt;="&amp;BW1647),"")</f>
        <v>31182.5930625401</v>
      </c>
      <c r="AO1647" s="58" t="n">
        <f aca="false">IF(AN1647="",0,MAX(0,MIN(1,(IF(CF1647="L1",Parameter!$H$5,IF(CF1647="L23",Parameter!$H$6+Parameter!$H$7,Parameter!$H$5+Parameter!$H$6+Parameter!$H$7))-(AN1647-AI1647))/AI1647)))</f>
        <v>1</v>
      </c>
      <c r="AP1647" s="50" t="n">
        <f aca="false">IF(LEFT(Cockpit!$I$5,1)="A",H1647,IF(Parameter!$E$30="MAX-Bestand",IF(CH1647=1,CI1647,IF(LEFT(Cockpit!$I$5,1)="B",AV1647,MAX(AV1647,H1647))),ROUNDUP(AT1647,0)))</f>
        <v>203</v>
      </c>
      <c r="AQ1647" s="50" t="n">
        <f aca="false">IF(BZ1647=1,0,ROUNDUP(AP1647/BY1647,0))</f>
        <v>1</v>
      </c>
      <c r="AR1647" s="52" t="n">
        <f aca="false">IF(CQ1647&gt;0,CQ1647*MAX(1,AP1647/X1647),IF(BZ1647=1,IF(AP1647&lt;=0,0,CD1647*MAX(1,IF(H1647&gt;0,AP1647/H1647,1))),IF(R1647&gt;0,AQ1647/R1647,0))/MAX(0.1,N(Parameter!$M$21)))</f>
        <v>0.0833333333333333</v>
      </c>
      <c r="AS1647" s="50" t="n">
        <f aca="false">AR1647*CB1647</f>
        <v>12.0833333333333</v>
      </c>
      <c r="AT1647" s="51" t="n">
        <f aca="false">IF(LEFT(Cockpit!$I$5,1)="A",H1647,IF(CH1647=1,(CK1647+CI1647)/2,IF(LEFT(Cockpit!$I$5,1)="B",(CK1647+AV1647)/2,MAX((CK1647+AV1647)/2,H1647))))</f>
        <v>203</v>
      </c>
      <c r="AU1647" s="50" t="n">
        <f aca="false">AT1647*G1647</f>
        <v>1100.26</v>
      </c>
      <c r="AV1647" s="50" t="n">
        <f aca="false">ROUNDUP(CK1647+MAX(CL1647,2*(J1647/IF(CG1647&gt;0,CG1647,MAX(0.1,N(Cockpit!$I$6)))-CK1647)),0)</f>
        <v>50</v>
      </c>
      <c r="AW1647" s="51" t="n">
        <f aca="false">IF(AS1647&gt;0,J1647/AS1647,-1)</f>
        <v>0</v>
      </c>
      <c r="AX1647" s="51" t="n">
        <f aca="false">IF(AND(OR(CF1647="L1",CF1647="L23",CF1647="LIFT"),AS1647&gt;0),SUMIFS($AS$7:$AS$1843,$CF$7:$CF$1843,CF1647,$AW$7:$AW$1843,"&gt;"&amp;AW1647)+SUMIFS($AS$7:$AS$1843,$CF$7:$CF$1843,CF1647,$AW$7:$AW$1843,AW1647,$BW$7:$BW$1843,"&lt;="&amp;BW1647),"")</f>
        <v>37502.4495793754</v>
      </c>
      <c r="AY1647" s="58" t="n">
        <f aca="false">IF(AX1647="",0,MAX(0,MIN(1,(IF(CF1647="L1",Parameter!$H$5,IF(CF1647="L23",Parameter!$H$6+Parameter!$H$7,Parameter!$H$5+Parameter!$H$6+Parameter!$H$7))-(AX1647-AS1647))/AS1647)))</f>
        <v>0</v>
      </c>
      <c r="AZ1647" s="50" t="n">
        <f aca="false">IF(LEFT(Cockpit!$O$5,1)="A",H1647,IF(Parameter!$E$30="MAX-Bestand",IF(CH1647=1,CI1647,IF(LEFT(Cockpit!$O$5,1)="B",BF1647,MAX(BF1647,H1647))),ROUNDUP(BD1647,0)))</f>
        <v>25</v>
      </c>
      <c r="BA1647" s="50" t="n">
        <f aca="false">IF(BZ1647=1,0,ROUNDUP(AZ1647/BY1647,0))</f>
        <v>1</v>
      </c>
      <c r="BB1647" s="52" t="n">
        <f aca="false">IF(CQ1647&gt;0,CQ1647*MAX(1,AZ1647/X1647),IF(BZ1647=1,IF(AZ1647&lt;=0,0,CD1647*MAX(1,IF(H1647&gt;0,AZ1647/H1647,1))),IF(R1647&gt;0,BA1647/R1647,0))/MAX(0.1,N(Parameter!$M$21)))</f>
        <v>0.0833333333333333</v>
      </c>
      <c r="BC1647" s="50" t="n">
        <f aca="false">BB1647*CB1647</f>
        <v>12.0833333333333</v>
      </c>
      <c r="BD1647" s="51" t="n">
        <f aca="false">IF(LEFT(Cockpit!$O$5,1)="A",H1647,IF(CH1647=1,(CK1647+CI1647)/2,IF(LEFT(Cockpit!$O$5,1)="B",(CK1647+BF1647)/2,MAX((CK1647+BF1647)/2,H1647))))</f>
        <v>25</v>
      </c>
      <c r="BE1647" s="50" t="n">
        <f aca="false">BD1647*G1647</f>
        <v>135.5</v>
      </c>
      <c r="BF1647" s="50" t="n">
        <f aca="false">ROUNDUP(CK1647+MAX(CL1647,2*(J1647/IF(CG1647&gt;0,CG1647,MAX(0.1,N(Cockpit!$O$6)))-CK1647)),0)</f>
        <v>50</v>
      </c>
      <c r="BG1647" s="51" t="n">
        <f aca="false">IF(BC1647&gt;0,J1647/BC1647,-1)</f>
        <v>0</v>
      </c>
      <c r="BH1647" s="51" t="n">
        <f aca="false">IF(AND(OR(CF1647="L1",CF1647="L23",CF1647="LIFT"),BC1647&gt;0),SUMIFS($BC$7:$BC$1843,$CF$7:$CF$1843,CF1647,$BG$7:$BG$1843,"&gt;"&amp;BG1647)+SUMIFS($BC$7:$BC$1843,$CF$7:$CF$1843,CF1647,$BG$7:$BG$1843,BG1647,$BW$7:$BW$1843,"&lt;="&amp;BW1647),"")</f>
        <v>31411.8908549078</v>
      </c>
      <c r="BI1647" s="58" t="n">
        <f aca="false">IF(BH1647="",0,MAX(0,MIN(1,(IF(CF1647="L1",Parameter!$H$5,IF(CF1647="L23",Parameter!$H$6+Parameter!$H$7,Parameter!$H$5+Parameter!$H$6+Parameter!$H$7))-(BH1647-BC1647))/BC1647)))</f>
        <v>1</v>
      </c>
      <c r="BJ1647" s="48" t="str">
        <f aca="false">IF(AI1647&lt;=0,"",IF(CF1647="Aussen","Aussenlager",IF(CF1647="-","Nicht im Lift",IF(AO1647&gt;=1,"Lift",IF(AO1647&lt;=0,"Aussenlager","teilweise")))))</f>
        <v>Lift</v>
      </c>
      <c r="BK1647" s="48" t="str">
        <f aca="false">IF(AS1647&lt;=0,"",IF(CF1647="Aussen","Aussenlager",IF(CF1647="-","Nicht im Lift",IF(AY1647&gt;=1,"Lift",IF(AY1647&lt;=0,"Aussenlager","teilweise")))))</f>
        <v>Aussenlager</v>
      </c>
      <c r="BL1647" s="48" t="str">
        <f aca="false">IF(BC1647&lt;=0,"",IF(CF1647="Aussen","Aussenlager",IF(CF1647="-","Nicht im Lift",IF(BI1647&gt;=1,"Lift",IF(BI1647&lt;=0,"Aussenlager","teilweise")))))</f>
        <v>Lift</v>
      </c>
      <c r="BM1647" s="48" t="str">
        <f aca="false">IF(A1647="","",IF(BV1647=1,"Neu; ","")&amp;IF(AND(BV1647=0,BQ1647&lt;0),"negativer Bestand (Export "&amp;BQ1647&amp;"); ","")&amp;IF(J1647&lt;=0,"Kein Verbrauch; ","")&amp;IF(CQ1647&gt;0,"Lift "&amp;W1647&amp;" lt. Liftbericht (Fach "&amp;X1647&amp;" Stk); ",IF(CA1647=1,"Gebinde geschätzt ("&amp;T1647&amp;"); ",IF(BZ1647=1,"Lose – Tablare geschätzt; ","")))&amp;IF(H1647&gt;AV1647,"Überbestand "&amp;ROUND(H1647-AV1647,0)&amp;" Stk / CHF "&amp;ROUND((H1647-AV1647)*G1647,0)&amp;"; ","")&amp;IF(AND(CH1647=1,CI1647&lt;CJ1647),"MAX &lt; MB+LG; ","")&amp;IF(AND(CP1647&gt;0,CO1647*10&gt;CP1647),"zu hoch für Tablar; ","")&amp;IF(AND(BV1647=0,OR(CH1647=1,AA1647&lt;&gt;"",U1647&lt;&gt;"",V1647&lt;&gt;"",AB1647&lt;&gt;"")),"manuell übersteuert; ","")&amp;IF(AND(BZ1647=0,R1647=0),"Gebinde unbekannt / Stellmass fehlt; ","")&amp;IF(AND(BZ1647=0,N(V1647)&lt;=0,N(Q1647)&lt;=0),"Menge pro Gebinde fehlt (Ist = 1 Gebinde); ","")&amp;BU1647)</f>
        <v>Kein Verbrauch; Gebinde geschätzt (Mittel); Überbestand 153 Stk / CHF 829; Menge pro Gebinde fehlt (Ist = 1 Gebinde); nur im Artikelstamm (Bestand 23.06.2026); Neu; nicht im KTL vorhanden</v>
      </c>
      <c r="BN1647" s="48"/>
      <c r="BO1647" s="48"/>
      <c r="BP1647" s="55"/>
      <c r="BQ1647" s="50" t="n">
        <v>203</v>
      </c>
      <c r="BR1647" s="50" t="n">
        <v>0</v>
      </c>
      <c r="BS1647" s="49" t="n">
        <v>0</v>
      </c>
      <c r="BT1647" s="50" t="n">
        <v>0</v>
      </c>
      <c r="BU1647" s="48" t="s">
        <v>2875</v>
      </c>
      <c r="BV1647" s="53" t="n">
        <v>0</v>
      </c>
      <c r="BW1647" s="53" t="n">
        <v>1647</v>
      </c>
      <c r="BX1647" s="48" t="str">
        <f aca="false">IF(U1647&lt;&gt;"",UPPER(TRIM(U1647)),IF(CA1647=1,UPPER(VLOOKUP(T1647,Parameter!$I$27:$K$29,2,0)),IF(P1647="","LOSE",P1647)))</f>
        <v>S61</v>
      </c>
      <c r="BY1647" s="50" t="n">
        <f aca="false">IF(BX1647="LOSE",1,IF(N(V1647)&gt;0,V1647,IF(CA1647=1,MAX(1,N(VLOOKUP(T1647,Parameter!$I$27:$K$29,3,0)),H1647,N(N1647)),IF(N(Q1647)&gt;0,Q1647,MAX(1,H1647)))))</f>
        <v>203</v>
      </c>
      <c r="BZ1647" s="53" t="n">
        <f aca="false">IF(BX1647="LOSE",1,0)</f>
        <v>0</v>
      </c>
      <c r="CA1647" s="53" t="n">
        <f aca="false">IF(AND(U1647="",OR(P1647="",P1647="LOSE"),T1647&lt;&gt;"",N(S1647)&lt;=0,ISNUMBER(MATCH(T1647,Parameter!$I$27:$I$29,0))),1,0)</f>
        <v>1</v>
      </c>
      <c r="CB1647" s="53" t="n">
        <f aca="false">IF(CQ1647&gt;0,INDEX(Parameter!$H$5:$H$7,W1647)/INDEX(Parameter!$E$5:$E$7,W1647),IF(AND(BZ1647=0,N(IFERROR(VLOOKUP(BX1647,'Gebinde-Kategorie'!$A$5:$N$45,14,0),0))&gt;0),VLOOKUP(BX1647,'Gebinde-Kategorie'!$A$5:$N$45,14,0)*10+Parameter!$M$23,Parameter!$M$24))</f>
        <v>145</v>
      </c>
      <c r="CC1647" s="48" t="str">
        <f aca="false">IF(AND(Parameter!$B$19="Ja",E1647&lt;&gt;"",ISNUMBER(MATCH(E1647,Parameter!$I$35:$I$52,0))),VLOOKUP(E1647,Parameter!$I$35:$J$52,2,0),IFERROR(VLOOKUP(D1647,Parameter!$A$35:$C$64,2,0),"Nein"))</f>
        <v>2+3</v>
      </c>
      <c r="CD1647" s="52" t="n">
        <f aca="false">IF(BZ1647=0,0,IF(N(S1647)&gt;0,S1647,IFERROR(VLOOKUP(D1647,Parameter!$A$35:$C$64,3,0)+0,0)))</f>
        <v>0</v>
      </c>
      <c r="CE1647" s="48" t="n">
        <f aca="false">IF(AA1647&lt;&gt;"",AA1647,Z1647)</f>
        <v>2</v>
      </c>
      <c r="CF1647" s="48" t="str">
        <f aca="false">IF(OR(CE1647=1,CE1647=2,CE1647=3),IF(Parameter!$E$27="Ja","LIFT",IF(CE1647=1,"L1","L23")),IF(CE1647="Aussen","Aussen","-"))</f>
        <v>LIFT</v>
      </c>
      <c r="CG1647" s="59" t="n">
        <f aca="false">IF(N(AB1647)&gt;0,AB1647,0)</f>
        <v>0</v>
      </c>
      <c r="CH1647" s="53" t="n">
        <f aca="false">IF(ISNUMBER(AE1647),1,0)</f>
        <v>0</v>
      </c>
      <c r="CI1647" s="50" t="n">
        <f aca="false">N(AE1647)</f>
        <v>0</v>
      </c>
      <c r="CJ1647" s="50" t="n">
        <f aca="false">N(M1647)+N(N1647)</f>
        <v>50</v>
      </c>
      <c r="CK1647" s="50" t="n">
        <f aca="false">N(M1647)</f>
        <v>0</v>
      </c>
      <c r="CL1647" s="50" t="n">
        <f aca="false">N(N1647)</f>
        <v>50</v>
      </c>
      <c r="CM1647" s="50" t="n">
        <f aca="false">ROUNDUP(H1647/BY1647,0)</f>
        <v>1</v>
      </c>
      <c r="CN1647" s="50" t="n">
        <f aca="false">ROUNDUP(CI1647/BY1647,0)</f>
        <v>0</v>
      </c>
      <c r="CO1647" s="53" t="n">
        <f aca="false">IF(BZ1647=1,0,IFERROR(VLOOKUP(BX1647,'Gebinde-Kategorie'!$A$5:$N$45,5,0)+0,0))</f>
        <v>11</v>
      </c>
      <c r="CP1647" s="53" t="n">
        <f aca="false">IFERROR(IF(OR(CE1647=1,CE1647=2,CE1647=3),N(INDEX(Parameter!$I$5:$I$7,CE1647)),0),0)</f>
        <v>0</v>
      </c>
      <c r="CQ1647" s="52" t="n">
        <f aca="false">IF(AND(Parameter!$B$21="Ja",ISNUMBER(W1647),N(X1647)&gt;0),IFERROR(N(INDEX(Parameter!$L$5:$L$7,W1647))*INDEX(Parameter!$E$5:$E$7,W1647)*X1647/SUMIFS($X$7:$X$1843,$W$7:$W$1843,W1647),0),0)</f>
        <v>0</v>
      </c>
    </row>
    <row r="1648" customFormat="false" ht="15" hidden="false" customHeight="false" outlineLevel="0" collapsed="false">
      <c r="A1648" s="48" t="s">
        <v>2876</v>
      </c>
      <c r="B1648" s="48" t="s">
        <v>2877</v>
      </c>
      <c r="C1648" s="48" t="s">
        <v>173</v>
      </c>
      <c r="D1648" s="48" t="s">
        <v>193</v>
      </c>
      <c r="E1648" s="48"/>
      <c r="F1648" s="48"/>
      <c r="G1648" s="49" t="n">
        <v>1.87</v>
      </c>
      <c r="H1648" s="50" t="n">
        <f aca="false">MAX(0,IF(AND(Parameter!$B$21="Ja",ISNUMBER(Y1648)),Y1648,IF(Parameter!$B$20="Jahresanfang 2025 + Export",BR1648+BQ1648,BQ1648)))</f>
        <v>44</v>
      </c>
      <c r="I1648" s="50" t="n">
        <f aca="false">H1648*G1648</f>
        <v>82.28</v>
      </c>
      <c r="J1648" s="50" t="n">
        <f aca="false">BT1648*Parameter!$B$18</f>
        <v>0</v>
      </c>
      <c r="K1648" s="51"/>
      <c r="L1648" s="52"/>
      <c r="M1648" s="50" t="n">
        <v>0</v>
      </c>
      <c r="N1648" s="50" t="n">
        <v>25</v>
      </c>
      <c r="O1648" s="53" t="n">
        <v>42</v>
      </c>
      <c r="P1648" s="48" t="s">
        <v>177</v>
      </c>
      <c r="Q1648" s="50"/>
      <c r="R1648" s="53" t="n">
        <f aca="false">IF(BZ1648=1,0,IFERROR(VLOOKUP(BX1648,'Gebinde-Kategorie'!$A$5:$N$45,13,0)+0,0))</f>
        <v>26</v>
      </c>
      <c r="S1648" s="54"/>
      <c r="T1648" s="55" t="s">
        <v>284</v>
      </c>
      <c r="U1648" s="55"/>
      <c r="V1648" s="55"/>
      <c r="W1648" s="48"/>
      <c r="X1648" s="50"/>
      <c r="Y1648" s="50"/>
      <c r="Z1648" s="48" t="n">
        <f aca="false">IF(A1648="","",IF(AND(Parameter!$B$21="Ja",ISNUMBER(W1648)),W1648,IF(CC1648="2+3",IF(ISNUMBER(SEARCH("grosser Artikel",BU1648)),2,IFERROR(VLOOKUP(BX1648,Parameter!$F$35:$G$64,2,0),2)),IF(OR(CC1648="Nein",CC1648=""),"-",CC1648))))</f>
        <v>3</v>
      </c>
      <c r="AA1648" s="55"/>
      <c r="AB1648" s="56"/>
      <c r="AC1648" s="50" t="n">
        <f aca="false">AV1648</f>
        <v>25</v>
      </c>
      <c r="AD1648" s="50" t="n">
        <f aca="false">MAX(AV1648,H1648)</f>
        <v>44</v>
      </c>
      <c r="AE1648" s="57"/>
      <c r="AF1648" s="50" t="n">
        <f aca="false">IF(LEFT(Cockpit!$C$5,1)="A",H1648,IF(Parameter!$E$30="MAX-Bestand",IF(CH1648=1,CI1648,IF(LEFT(Cockpit!$C$5,1)="B",AL1648,MAX(AL1648,H1648))),ROUNDUP(AJ1648,0)))</f>
        <v>44</v>
      </c>
      <c r="AG1648" s="50" t="n">
        <f aca="false">IF(BZ1648=1,0,ROUNDUP(AF1648/BY1648,0))</f>
        <v>1</v>
      </c>
      <c r="AH1648" s="52" t="n">
        <f aca="false">IF(CQ1648&gt;0,CQ1648*MAX(1,AF1648/X1648),IF(BZ1648=1,IF(AF1648&lt;=0,0,CD1648*MAX(1,IF(H1648&gt;0,AF1648/H1648,1))),IF(R1648&gt;0,AG1648/R1648,0))/MAX(0.1,N(Parameter!$M$21)))</f>
        <v>0.0384615384615385</v>
      </c>
      <c r="AI1648" s="50" t="n">
        <f aca="false">AH1648*CB1648</f>
        <v>5.96153846153846</v>
      </c>
      <c r="AJ1648" s="51" t="n">
        <f aca="false">IF(LEFT(Cockpit!$C$5,1)="A",H1648,IF(CH1648=1,(CK1648+CI1648)/2,IF(LEFT(Cockpit!$C$5,1)="B",(CK1648+AL1648)/2,MAX((CK1648+AL1648)/2,H1648))))</f>
        <v>44</v>
      </c>
      <c r="AK1648" s="50" t="n">
        <f aca="false">AJ1648*G1648</f>
        <v>82.28</v>
      </c>
      <c r="AL1648" s="50" t="n">
        <f aca="false">ROUNDUP(CK1648+MAX(CL1648,2*(J1648/IF(CG1648&gt;0,CG1648,MAX(0.1,N(Cockpit!$C$6)))-CK1648)),0)</f>
        <v>25</v>
      </c>
      <c r="AM1648" s="51" t="n">
        <f aca="false">IF(AI1648&gt;0,J1648/AI1648,-1)</f>
        <v>0</v>
      </c>
      <c r="AN1648" s="51" t="n">
        <f aca="false">IF(AND(OR(CF1648="L1",CF1648="L23",CF1648="LIFT"),AI1648&gt;0),SUMIFS($AI$7:$AI$1843,$CF$7:$CF$1843,CF1648,$AM$7:$AM$1843,"&gt;"&amp;AM1648)+SUMIFS($AI$7:$AI$1843,$CF$7:$CF$1843,CF1648,$AM$7:$AM$1843,AM1648,$BW$7:$BW$1843,"&lt;="&amp;BW1648),"")</f>
        <v>31188.5546010016</v>
      </c>
      <c r="AO1648" s="58" t="n">
        <f aca="false">IF(AN1648="",0,MAX(0,MIN(1,(IF(CF1648="L1",Parameter!$H$5,IF(CF1648="L23",Parameter!$H$6+Parameter!$H$7,Parameter!$H$5+Parameter!$H$6+Parameter!$H$7))-(AN1648-AI1648))/AI1648)))</f>
        <v>1</v>
      </c>
      <c r="AP1648" s="50" t="n">
        <f aca="false">IF(LEFT(Cockpit!$I$5,1)="A",H1648,IF(Parameter!$E$30="MAX-Bestand",IF(CH1648=1,CI1648,IF(LEFT(Cockpit!$I$5,1)="B",AV1648,MAX(AV1648,H1648))),ROUNDUP(AT1648,0)))</f>
        <v>44</v>
      </c>
      <c r="AQ1648" s="50" t="n">
        <f aca="false">IF(BZ1648=1,0,ROUNDUP(AP1648/BY1648,0))</f>
        <v>1</v>
      </c>
      <c r="AR1648" s="52" t="n">
        <f aca="false">IF(CQ1648&gt;0,CQ1648*MAX(1,AP1648/X1648),IF(BZ1648=1,IF(AP1648&lt;=0,0,CD1648*MAX(1,IF(H1648&gt;0,AP1648/H1648,1))),IF(R1648&gt;0,AQ1648/R1648,0))/MAX(0.1,N(Parameter!$M$21)))</f>
        <v>0.0384615384615385</v>
      </c>
      <c r="AS1648" s="50" t="n">
        <f aca="false">AR1648*CB1648</f>
        <v>5.96153846153846</v>
      </c>
      <c r="AT1648" s="51" t="n">
        <f aca="false">IF(LEFT(Cockpit!$I$5,1)="A",H1648,IF(CH1648=1,(CK1648+CI1648)/2,IF(LEFT(Cockpit!$I$5,1)="B",(CK1648+AV1648)/2,MAX((CK1648+AV1648)/2,H1648))))</f>
        <v>44</v>
      </c>
      <c r="AU1648" s="50" t="n">
        <f aca="false">AT1648*G1648</f>
        <v>82.28</v>
      </c>
      <c r="AV1648" s="50" t="n">
        <f aca="false">ROUNDUP(CK1648+MAX(CL1648,2*(J1648/IF(CG1648&gt;0,CG1648,MAX(0.1,N(Cockpit!$I$6)))-CK1648)),0)</f>
        <v>25</v>
      </c>
      <c r="AW1648" s="51" t="n">
        <f aca="false">IF(AS1648&gt;0,J1648/AS1648,-1)</f>
        <v>0</v>
      </c>
      <c r="AX1648" s="51" t="n">
        <f aca="false">IF(AND(OR(CF1648="L1",CF1648="L23",CF1648="LIFT"),AS1648&gt;0),SUMIFS($AS$7:$AS$1843,$CF$7:$CF$1843,CF1648,$AW$7:$AW$1843,"&gt;"&amp;AW1648)+SUMIFS($AS$7:$AS$1843,$CF$7:$CF$1843,CF1648,$AW$7:$AW$1843,AW1648,$BW$7:$BW$1843,"&lt;="&amp;BW1648),"")</f>
        <v>37508.411117837</v>
      </c>
      <c r="AY1648" s="58" t="n">
        <f aca="false">IF(AX1648="",0,MAX(0,MIN(1,(IF(CF1648="L1",Parameter!$H$5,IF(CF1648="L23",Parameter!$H$6+Parameter!$H$7,Parameter!$H$5+Parameter!$H$6+Parameter!$H$7))-(AX1648-AS1648))/AS1648)))</f>
        <v>0</v>
      </c>
      <c r="AZ1648" s="50" t="n">
        <f aca="false">IF(LEFT(Cockpit!$O$5,1)="A",H1648,IF(Parameter!$E$30="MAX-Bestand",IF(CH1648=1,CI1648,IF(LEFT(Cockpit!$O$5,1)="B",BF1648,MAX(BF1648,H1648))),ROUNDUP(BD1648,0)))</f>
        <v>13</v>
      </c>
      <c r="BA1648" s="50" t="n">
        <f aca="false">IF(BZ1648=1,0,ROUNDUP(AZ1648/BY1648,0))</f>
        <v>1</v>
      </c>
      <c r="BB1648" s="52" t="n">
        <f aca="false">IF(CQ1648&gt;0,CQ1648*MAX(1,AZ1648/X1648),IF(BZ1648=1,IF(AZ1648&lt;=0,0,CD1648*MAX(1,IF(H1648&gt;0,AZ1648/H1648,1))),IF(R1648&gt;0,BA1648/R1648,0))/MAX(0.1,N(Parameter!$M$21)))</f>
        <v>0.0384615384615385</v>
      </c>
      <c r="BC1648" s="50" t="n">
        <f aca="false">BB1648*CB1648</f>
        <v>5.96153846153846</v>
      </c>
      <c r="BD1648" s="51" t="n">
        <f aca="false">IF(LEFT(Cockpit!$O$5,1)="A",H1648,IF(CH1648=1,(CK1648+CI1648)/2,IF(LEFT(Cockpit!$O$5,1)="B",(CK1648+BF1648)/2,MAX((CK1648+BF1648)/2,H1648))))</f>
        <v>12.5</v>
      </c>
      <c r="BE1648" s="50" t="n">
        <f aca="false">BD1648*G1648</f>
        <v>23.375</v>
      </c>
      <c r="BF1648" s="50" t="n">
        <f aca="false">ROUNDUP(CK1648+MAX(CL1648,2*(J1648/IF(CG1648&gt;0,CG1648,MAX(0.1,N(Cockpit!$O$6)))-CK1648)),0)</f>
        <v>25</v>
      </c>
      <c r="BG1648" s="51" t="n">
        <f aca="false">IF(BC1648&gt;0,J1648/BC1648,-1)</f>
        <v>0</v>
      </c>
      <c r="BH1648" s="51" t="n">
        <f aca="false">IF(AND(OR(CF1648="L1",CF1648="L23",CF1648="LIFT"),BC1648&gt;0),SUMIFS($BC$7:$BC$1843,$CF$7:$CF$1843,CF1648,$BG$7:$BG$1843,"&gt;"&amp;BG1648)+SUMIFS($BC$7:$BC$1843,$CF$7:$CF$1843,CF1648,$BG$7:$BG$1843,BG1648,$BW$7:$BW$1843,"&lt;="&amp;BW1648),"")</f>
        <v>31417.8523933693</v>
      </c>
      <c r="BI1648" s="58" t="n">
        <f aca="false">IF(BH1648="",0,MAX(0,MIN(1,(IF(CF1648="L1",Parameter!$H$5,IF(CF1648="L23",Parameter!$H$6+Parameter!$H$7,Parameter!$H$5+Parameter!$H$6+Parameter!$H$7))-(BH1648-BC1648))/BC1648)))</f>
        <v>1</v>
      </c>
      <c r="BJ1648" s="48" t="str">
        <f aca="false">IF(AI1648&lt;=0,"",IF(CF1648="Aussen","Aussenlager",IF(CF1648="-","Nicht im Lift",IF(AO1648&gt;=1,"Lift",IF(AO1648&lt;=0,"Aussenlager","teilweise")))))</f>
        <v>Lift</v>
      </c>
      <c r="BK1648" s="48" t="str">
        <f aca="false">IF(AS1648&lt;=0,"",IF(CF1648="Aussen","Aussenlager",IF(CF1648="-","Nicht im Lift",IF(AY1648&gt;=1,"Lift",IF(AY1648&lt;=0,"Aussenlager","teilweise")))))</f>
        <v>Aussenlager</v>
      </c>
      <c r="BL1648" s="48" t="str">
        <f aca="false">IF(BC1648&lt;=0,"",IF(CF1648="Aussen","Aussenlager",IF(CF1648="-","Nicht im Lift",IF(BI1648&gt;=1,"Lift",IF(BI1648&lt;=0,"Aussenlager","teilweise")))))</f>
        <v>Lift</v>
      </c>
      <c r="BM1648" s="48" t="str">
        <f aca="false">IF(A1648="","",IF(BV1648=1,"Neu; ","")&amp;IF(AND(BV1648=0,BQ1648&lt;0),"negativer Bestand (Export "&amp;BQ1648&amp;"); ","")&amp;IF(J1648&lt;=0,"Kein Verbrauch; ","")&amp;IF(CQ1648&gt;0,"Lift "&amp;W1648&amp;" lt. Liftbericht (Fach "&amp;X1648&amp;" Stk); ",IF(CA1648=1,"Gebinde geschätzt ("&amp;T1648&amp;"); ",IF(BZ1648=1,"Lose – Tablare geschätzt; ","")))&amp;IF(H1648&gt;AV1648,"Überbestand "&amp;ROUND(H1648-AV1648,0)&amp;" Stk / CHF "&amp;ROUND((H1648-AV1648)*G1648,0)&amp;"; ","")&amp;IF(AND(CH1648=1,CI1648&lt;CJ1648),"MAX &lt; MB+LG; ","")&amp;IF(AND(CP1648&gt;0,CO1648*10&gt;CP1648),"zu hoch für Tablar; ","")&amp;IF(AND(BV1648=0,OR(CH1648=1,AA1648&lt;&gt;"",U1648&lt;&gt;"",V1648&lt;&gt;"",AB1648&lt;&gt;"")),"manuell übersteuert; ","")&amp;IF(AND(BZ1648=0,R1648=0),"Gebinde unbekannt / Stellmass fehlt; ","")&amp;IF(AND(BZ1648=0,N(V1648)&lt;=0,N(Q1648)&lt;=0),"Menge pro Gebinde fehlt (Ist = 1 Gebinde); ","")&amp;BU1648)</f>
        <v>Kein Verbrauch; Gebinde geschätzt (Klein); Überbestand 19 Stk / CHF 36; Menge pro Gebinde fehlt (Ist = 1 Gebinde); nur im Artikelstamm (Bestand 23.06.2026)</v>
      </c>
      <c r="BN1648" s="48"/>
      <c r="BO1648" s="48"/>
      <c r="BP1648" s="55"/>
      <c r="BQ1648" s="50" t="n">
        <v>44</v>
      </c>
      <c r="BR1648" s="50" t="n">
        <v>0</v>
      </c>
      <c r="BS1648" s="49" t="n">
        <v>0</v>
      </c>
      <c r="BT1648" s="50" t="n">
        <v>0</v>
      </c>
      <c r="BU1648" s="48" t="s">
        <v>2584</v>
      </c>
      <c r="BV1648" s="53" t="n">
        <v>0</v>
      </c>
      <c r="BW1648" s="53" t="n">
        <v>1648</v>
      </c>
      <c r="BX1648" s="48" t="str">
        <f aca="false">IF(U1648&lt;&gt;"",UPPER(TRIM(U1648)),IF(CA1648=1,UPPER(VLOOKUP(T1648,Parameter!$I$27:$K$29,2,0)),IF(P1648="","LOSE",P1648)))</f>
        <v>S51</v>
      </c>
      <c r="BY1648" s="50" t="n">
        <f aca="false">IF(BX1648="LOSE",1,IF(N(V1648)&gt;0,V1648,IF(CA1648=1,MAX(1,N(VLOOKUP(T1648,Parameter!$I$27:$K$29,3,0)),H1648,N(N1648)),IF(N(Q1648)&gt;0,Q1648,MAX(1,H1648)))))</f>
        <v>44</v>
      </c>
      <c r="BZ1648" s="53" t="n">
        <f aca="false">IF(BX1648="LOSE",1,0)</f>
        <v>0</v>
      </c>
      <c r="CA1648" s="53" t="n">
        <f aca="false">IF(AND(U1648="",OR(P1648="",P1648="LOSE"),T1648&lt;&gt;"",N(S1648)&lt;=0,ISNUMBER(MATCH(T1648,Parameter!$I$27:$I$29,0))),1,0)</f>
        <v>1</v>
      </c>
      <c r="CB1648" s="53" t="n">
        <f aca="false">IF(CQ1648&gt;0,INDEX(Parameter!$H$5:$H$7,W1648)/INDEX(Parameter!$E$5:$E$7,W1648),IF(AND(BZ1648=0,N(IFERROR(VLOOKUP(BX1648,'Gebinde-Kategorie'!$A$5:$N$45,14,0),0))&gt;0),VLOOKUP(BX1648,'Gebinde-Kategorie'!$A$5:$N$45,14,0)*10+Parameter!$M$23,Parameter!$M$24))</f>
        <v>155</v>
      </c>
      <c r="CC1648" s="48" t="str">
        <f aca="false">IF(AND(Parameter!$B$19="Ja",E1648&lt;&gt;"",ISNUMBER(MATCH(E1648,Parameter!$I$35:$I$52,0))),VLOOKUP(E1648,Parameter!$I$35:$J$52,2,0),IFERROR(VLOOKUP(D1648,Parameter!$A$35:$C$64,2,0),"Nein"))</f>
        <v>2+3</v>
      </c>
      <c r="CD1648" s="52" t="n">
        <f aca="false">IF(BZ1648=0,0,IF(N(S1648)&gt;0,S1648,IFERROR(VLOOKUP(D1648,Parameter!$A$35:$C$64,3,0)+0,0)))</f>
        <v>0</v>
      </c>
      <c r="CE1648" s="48" t="n">
        <f aca="false">IF(AA1648&lt;&gt;"",AA1648,Z1648)</f>
        <v>3</v>
      </c>
      <c r="CF1648" s="48" t="str">
        <f aca="false">IF(OR(CE1648=1,CE1648=2,CE1648=3),IF(Parameter!$E$27="Ja","LIFT",IF(CE1648=1,"L1","L23")),IF(CE1648="Aussen","Aussen","-"))</f>
        <v>LIFT</v>
      </c>
      <c r="CG1648" s="59" t="n">
        <f aca="false">IF(N(AB1648)&gt;0,AB1648,0)</f>
        <v>0</v>
      </c>
      <c r="CH1648" s="53" t="n">
        <f aca="false">IF(ISNUMBER(AE1648),1,0)</f>
        <v>0</v>
      </c>
      <c r="CI1648" s="50" t="n">
        <f aca="false">N(AE1648)</f>
        <v>0</v>
      </c>
      <c r="CJ1648" s="50" t="n">
        <f aca="false">N(M1648)+N(N1648)</f>
        <v>25</v>
      </c>
      <c r="CK1648" s="50" t="n">
        <f aca="false">N(M1648)</f>
        <v>0</v>
      </c>
      <c r="CL1648" s="50" t="n">
        <f aca="false">N(N1648)</f>
        <v>25</v>
      </c>
      <c r="CM1648" s="50" t="n">
        <f aca="false">ROUNDUP(H1648/BY1648,0)</f>
        <v>1</v>
      </c>
      <c r="CN1648" s="50" t="n">
        <f aca="false">ROUNDUP(CI1648/BY1648,0)</f>
        <v>0</v>
      </c>
      <c r="CO1648" s="53" t="n">
        <f aca="false">IF(BZ1648=1,0,IFERROR(VLOOKUP(BX1648,'Gebinde-Kategorie'!$A$5:$N$45,5,0)+0,0))</f>
        <v>11</v>
      </c>
      <c r="CP1648" s="53" t="n">
        <f aca="false">IFERROR(IF(OR(CE1648=1,CE1648=2,CE1648=3),N(INDEX(Parameter!$I$5:$I$7,CE1648)),0),0)</f>
        <v>0</v>
      </c>
      <c r="CQ1648" s="52" t="n">
        <f aca="false">IF(AND(Parameter!$B$21="Ja",ISNUMBER(W1648),N(X1648)&gt;0),IFERROR(N(INDEX(Parameter!$L$5:$L$7,W1648))*INDEX(Parameter!$E$5:$E$7,W1648)*X1648/SUMIFS($X$7:$X$1843,$W$7:$W$1843,W1648),0),0)</f>
        <v>0</v>
      </c>
    </row>
    <row r="1649" customFormat="false" ht="15" hidden="false" customHeight="false" outlineLevel="0" collapsed="false">
      <c r="A1649" s="48" t="s">
        <v>2878</v>
      </c>
      <c r="B1649" s="48" t="s">
        <v>2433</v>
      </c>
      <c r="C1649" s="48" t="s">
        <v>173</v>
      </c>
      <c r="D1649" s="48" t="s">
        <v>182</v>
      </c>
      <c r="E1649" s="48"/>
      <c r="F1649" s="48"/>
      <c r="G1649" s="49" t="n">
        <v>341</v>
      </c>
      <c r="H1649" s="50" t="n">
        <f aca="false">MAX(0,IF(AND(Parameter!$B$21="Ja",ISNUMBER(Y1649)),Y1649,IF(Parameter!$B$20="Jahresanfang 2025 + Export",BR1649+BQ1649,BQ1649)))</f>
        <v>1</v>
      </c>
      <c r="I1649" s="50" t="n">
        <f aca="false">H1649*G1649</f>
        <v>341</v>
      </c>
      <c r="J1649" s="50" t="n">
        <f aca="false">BT1649*Parameter!$B$18</f>
        <v>0</v>
      </c>
      <c r="K1649" s="51"/>
      <c r="L1649" s="52"/>
      <c r="M1649" s="50" t="n">
        <v>1</v>
      </c>
      <c r="N1649" s="50" t="n">
        <v>7</v>
      </c>
      <c r="O1649" s="53" t="n">
        <v>56</v>
      </c>
      <c r="P1649" s="48" t="s">
        <v>177</v>
      </c>
      <c r="Q1649" s="50"/>
      <c r="R1649" s="53" t="n">
        <f aca="false">IF(BZ1649=1,0,IFERROR(VLOOKUP(BX1649,'Gebinde-Kategorie'!$A$5:$N$45,13,0)+0,0))</f>
        <v>0</v>
      </c>
      <c r="S1649" s="54"/>
      <c r="T1649" s="55"/>
      <c r="U1649" s="55"/>
      <c r="V1649" s="55"/>
      <c r="W1649" s="48" t="n">
        <v>1</v>
      </c>
      <c r="X1649" s="50" t="n">
        <v>1</v>
      </c>
      <c r="Y1649" s="50" t="n">
        <v>1</v>
      </c>
      <c r="Z1649" s="48" t="n">
        <f aca="false">IF(A1649="","",IF(AND(Parameter!$B$21="Ja",ISNUMBER(W1649)),W1649,IF(CC1649="2+3",IF(ISNUMBER(SEARCH("grosser Artikel",BU1649)),2,IFERROR(VLOOKUP(BX1649,Parameter!$F$35:$G$64,2,0),2)),IF(OR(CC1649="Nein",CC1649=""),"-",CC1649))))</f>
        <v>1</v>
      </c>
      <c r="AA1649" s="55"/>
      <c r="AB1649" s="56"/>
      <c r="AC1649" s="50" t="n">
        <f aca="false">AV1649</f>
        <v>8</v>
      </c>
      <c r="AD1649" s="50" t="n">
        <f aca="false">MAX(AV1649,H1649)</f>
        <v>8</v>
      </c>
      <c r="AE1649" s="57"/>
      <c r="AF1649" s="50" t="n">
        <f aca="false">IF(LEFT(Cockpit!$C$5,1)="A",H1649,IF(Parameter!$E$30="MAX-Bestand",IF(CH1649=1,CI1649,IF(LEFT(Cockpit!$C$5,1)="B",AL1649,MAX(AL1649,H1649))),ROUNDUP(AJ1649,0)))</f>
        <v>1</v>
      </c>
      <c r="AG1649" s="50" t="n">
        <f aca="false">IF(BZ1649=1,0,ROUNDUP(AF1649/BY1649,0))</f>
        <v>0</v>
      </c>
      <c r="AH1649" s="52" t="n">
        <f aca="false">IF(CQ1649&gt;0,CQ1649*MAX(1,AF1649/X1649),IF(BZ1649=1,IF(AF1649&lt;=0,0,CD1649*MAX(1,IF(H1649&gt;0,AF1649/H1649,1))),IF(R1649&gt;0,AG1649/R1649,0))/MAX(0.1,N(Parameter!$M$21)))</f>
        <v>0.0800376647834275</v>
      </c>
      <c r="AI1649" s="50" t="n">
        <f aca="false">AH1649*CB1649</f>
        <v>19.0489642184557</v>
      </c>
      <c r="AJ1649" s="51" t="n">
        <f aca="false">IF(LEFT(Cockpit!$C$5,1)="A",H1649,IF(CH1649=1,(CK1649+CI1649)/2,IF(LEFT(Cockpit!$C$5,1)="B",(CK1649+AL1649)/2,MAX((CK1649+AL1649)/2,H1649))))</f>
        <v>1</v>
      </c>
      <c r="AK1649" s="50" t="n">
        <f aca="false">AJ1649*G1649</f>
        <v>341</v>
      </c>
      <c r="AL1649" s="50" t="n">
        <f aca="false">ROUNDUP(CK1649+MAX(CL1649,2*(J1649/IF(CG1649&gt;0,CG1649,MAX(0.1,N(Cockpit!$C$6)))-CK1649)),0)</f>
        <v>8</v>
      </c>
      <c r="AM1649" s="51" t="n">
        <f aca="false">IF(AI1649&gt;0,J1649/AI1649,-1)</f>
        <v>0</v>
      </c>
      <c r="AN1649" s="51" t="n">
        <f aca="false">IF(AND(OR(CF1649="L1",CF1649="L23",CF1649="LIFT"),AI1649&gt;0),SUMIFS($AI$7:$AI$1843,$CF$7:$CF$1843,CF1649,$AM$7:$AM$1843,"&gt;"&amp;AM1649)+SUMIFS($AI$7:$AI$1843,$CF$7:$CF$1843,CF1649,$AM$7:$AM$1843,AM1649,$BW$7:$BW$1843,"&lt;="&amp;BW1649),"")</f>
        <v>31207.6035652201</v>
      </c>
      <c r="AO1649" s="58" t="n">
        <f aca="false">IF(AN1649="",0,MAX(0,MIN(1,(IF(CF1649="L1",Parameter!$H$5,IF(CF1649="L23",Parameter!$H$6+Parameter!$H$7,Parameter!$H$5+Parameter!$H$6+Parameter!$H$7))-(AN1649-AI1649))/AI1649)))</f>
        <v>1</v>
      </c>
      <c r="AP1649" s="50" t="n">
        <f aca="false">IF(LEFT(Cockpit!$I$5,1)="A",H1649,IF(Parameter!$E$30="MAX-Bestand",IF(CH1649=1,CI1649,IF(LEFT(Cockpit!$I$5,1)="B",AV1649,MAX(AV1649,H1649))),ROUNDUP(AT1649,0)))</f>
        <v>5</v>
      </c>
      <c r="AQ1649" s="50" t="n">
        <f aca="false">IF(BZ1649=1,0,ROUNDUP(AP1649/BY1649,0))</f>
        <v>0</v>
      </c>
      <c r="AR1649" s="52" t="n">
        <f aca="false">IF(CQ1649&gt;0,CQ1649*MAX(1,AP1649/X1649),IF(BZ1649=1,IF(AP1649&lt;=0,0,CD1649*MAX(1,IF(H1649&gt;0,AP1649/H1649,1))),IF(R1649&gt;0,AQ1649/R1649,0))/MAX(0.1,N(Parameter!$M$21)))</f>
        <v>0.400188323917138</v>
      </c>
      <c r="AS1649" s="50" t="n">
        <f aca="false">AR1649*CB1649</f>
        <v>95.2448210922787</v>
      </c>
      <c r="AT1649" s="51" t="n">
        <f aca="false">IF(LEFT(Cockpit!$I$5,1)="A",H1649,IF(CH1649=1,(CK1649+CI1649)/2,IF(LEFT(Cockpit!$I$5,1)="B",(CK1649+AV1649)/2,MAX((CK1649+AV1649)/2,H1649))))</f>
        <v>4.5</v>
      </c>
      <c r="AU1649" s="50" t="n">
        <f aca="false">AT1649*G1649</f>
        <v>1534.5</v>
      </c>
      <c r="AV1649" s="50" t="n">
        <f aca="false">ROUNDUP(CK1649+MAX(CL1649,2*(J1649/IF(CG1649&gt;0,CG1649,MAX(0.1,N(Cockpit!$I$6)))-CK1649)),0)</f>
        <v>8</v>
      </c>
      <c r="AW1649" s="51" t="n">
        <f aca="false">IF(AS1649&gt;0,J1649/AS1649,-1)</f>
        <v>0</v>
      </c>
      <c r="AX1649" s="51" t="n">
        <f aca="false">IF(AND(OR(CF1649="L1",CF1649="L23",CF1649="LIFT"),AS1649&gt;0),SUMIFS($AS$7:$AS$1843,$CF$7:$CF$1843,CF1649,$AW$7:$AW$1843,"&gt;"&amp;AW1649)+SUMIFS($AS$7:$AS$1843,$CF$7:$CF$1843,CF1649,$AW$7:$AW$1843,AW1649,$BW$7:$BW$1843,"&lt;="&amp;BW1649),"")</f>
        <v>37603.6559389292</v>
      </c>
      <c r="AY1649" s="58" t="n">
        <f aca="false">IF(AX1649="",0,MAX(0,MIN(1,(IF(CF1649="L1",Parameter!$H$5,IF(CF1649="L23",Parameter!$H$6+Parameter!$H$7,Parameter!$H$5+Parameter!$H$6+Parameter!$H$7))-(AX1649-AS1649))/AS1649)))</f>
        <v>0</v>
      </c>
      <c r="AZ1649" s="50" t="n">
        <f aca="false">IF(LEFT(Cockpit!$O$5,1)="A",H1649,IF(Parameter!$E$30="MAX-Bestand",IF(CH1649=1,CI1649,IF(LEFT(Cockpit!$O$5,1)="B",BF1649,MAX(BF1649,H1649))),ROUNDUP(BD1649,0)))</f>
        <v>5</v>
      </c>
      <c r="BA1649" s="50" t="n">
        <f aca="false">IF(BZ1649=1,0,ROUNDUP(AZ1649/BY1649,0))</f>
        <v>0</v>
      </c>
      <c r="BB1649" s="52" t="n">
        <f aca="false">IF(CQ1649&gt;0,CQ1649*MAX(1,AZ1649/X1649),IF(BZ1649=1,IF(AZ1649&lt;=0,0,CD1649*MAX(1,IF(H1649&gt;0,AZ1649/H1649,1))),IF(R1649&gt;0,BA1649/R1649,0))/MAX(0.1,N(Parameter!$M$21)))</f>
        <v>0.400188323917138</v>
      </c>
      <c r="BC1649" s="50" t="n">
        <f aca="false">BB1649*CB1649</f>
        <v>95.2448210922787</v>
      </c>
      <c r="BD1649" s="51" t="n">
        <f aca="false">IF(LEFT(Cockpit!$O$5,1)="A",H1649,IF(CH1649=1,(CK1649+CI1649)/2,IF(LEFT(Cockpit!$O$5,1)="B",(CK1649+BF1649)/2,MAX((CK1649+BF1649)/2,H1649))))</f>
        <v>4.5</v>
      </c>
      <c r="BE1649" s="50" t="n">
        <f aca="false">BD1649*G1649</f>
        <v>1534.5</v>
      </c>
      <c r="BF1649" s="50" t="n">
        <f aca="false">ROUNDUP(CK1649+MAX(CL1649,2*(J1649/IF(CG1649&gt;0,CG1649,MAX(0.1,N(Cockpit!$O$6)))-CK1649)),0)</f>
        <v>8</v>
      </c>
      <c r="BG1649" s="51" t="n">
        <f aca="false">IF(BC1649&gt;0,J1649/BC1649,-1)</f>
        <v>0</v>
      </c>
      <c r="BH1649" s="51" t="n">
        <f aca="false">IF(AND(OR(CF1649="L1",CF1649="L23",CF1649="LIFT"),BC1649&gt;0),SUMIFS($BC$7:$BC$1843,$CF$7:$CF$1843,CF1649,$BG$7:$BG$1843,"&gt;"&amp;BG1649)+SUMIFS($BC$7:$BC$1843,$CF$7:$CF$1843,CF1649,$BG$7:$BG$1843,BG1649,$BW$7:$BW$1843,"&lt;="&amp;BW1649),"")</f>
        <v>31513.0972144616</v>
      </c>
      <c r="BI1649" s="58" t="n">
        <f aca="false">IF(BH1649="",0,MAX(0,MIN(1,(IF(CF1649="L1",Parameter!$H$5,IF(CF1649="L23",Parameter!$H$6+Parameter!$H$7,Parameter!$H$5+Parameter!$H$6+Parameter!$H$7))-(BH1649-BC1649))/BC1649)))</f>
        <v>1</v>
      </c>
      <c r="BJ1649" s="48" t="str">
        <f aca="false">IF(AI1649&lt;=0,"",IF(CF1649="Aussen","Aussenlager",IF(CF1649="-","Nicht im Lift",IF(AO1649&gt;=1,"Lift",IF(AO1649&lt;=0,"Aussenlager","teilweise")))))</f>
        <v>Lift</v>
      </c>
      <c r="BK1649" s="48" t="str">
        <f aca="false">IF(AS1649&lt;=0,"",IF(CF1649="Aussen","Aussenlager",IF(CF1649="-","Nicht im Lift",IF(AY1649&gt;=1,"Lift",IF(AY1649&lt;=0,"Aussenlager","teilweise")))))</f>
        <v>Aussenlager</v>
      </c>
      <c r="BL1649" s="48" t="str">
        <f aca="false">IF(BC1649&lt;=0,"",IF(CF1649="Aussen","Aussenlager",IF(CF1649="-","Nicht im Lift",IF(BI1649&gt;=1,"Lift",IF(BI1649&lt;=0,"Aussenlager","teilweise")))))</f>
        <v>Lift</v>
      </c>
      <c r="BM1649" s="48" t="str">
        <f aca="false">IF(A1649="","",IF(BV1649=1,"Neu; ","")&amp;IF(AND(BV1649=0,BQ1649&lt;0),"negativer Bestand (Export "&amp;BQ1649&amp;"); ","")&amp;IF(J1649&lt;=0,"Kein Verbrauch; ","")&amp;IF(CQ1649&gt;0,"Lift "&amp;W1649&amp;" lt. Liftbericht (Fach "&amp;X1649&amp;" Stk); ",IF(CA1649=1,"Gebinde geschätzt ("&amp;T1649&amp;"); ",IF(BZ1649=1,"Lose – Tablare geschätzt; ","")))&amp;IF(H1649&gt;AV1649,"Überbestand "&amp;ROUND(H1649-AV1649,0)&amp;" Stk / CHF "&amp;ROUND((H1649-AV1649)*G1649,0)&amp;"; ","")&amp;IF(AND(CH1649=1,CI1649&lt;CJ1649),"MAX &lt; MB+LG; ","")&amp;IF(AND(CP1649&gt;0,CO1649*10&gt;CP1649),"zu hoch für Tablar; ","")&amp;IF(AND(BV1649=0,OR(CH1649=1,AA1649&lt;&gt;"",U1649&lt;&gt;"",V1649&lt;&gt;"",AB1649&lt;&gt;"")),"manuell übersteuert; ","")&amp;IF(AND(BZ1649=0,R1649=0),"Gebinde unbekannt / Stellmass fehlt; ","")&amp;IF(AND(BZ1649=0,N(V1649)&lt;=0,N(Q1649)&lt;=0),"Menge pro Gebinde fehlt (Ist = 1 Gebinde); ","")&amp;BU1649)</f>
        <v>Kein Verbrauch; Lift 1 lt. Liftbericht (Fach 1 Stk); nur im Artikelstamm (Bestand 23.06.2026)</v>
      </c>
      <c r="BN1649" s="48"/>
      <c r="BO1649" s="48"/>
      <c r="BP1649" s="55"/>
      <c r="BQ1649" s="50" t="n">
        <v>1</v>
      </c>
      <c r="BR1649" s="50" t="n">
        <v>0</v>
      </c>
      <c r="BS1649" s="49" t="n">
        <v>0</v>
      </c>
      <c r="BT1649" s="50" t="n">
        <v>0</v>
      </c>
      <c r="BU1649" s="48" t="s">
        <v>2584</v>
      </c>
      <c r="BV1649" s="53" t="n">
        <v>0</v>
      </c>
      <c r="BW1649" s="53" t="n">
        <v>1649</v>
      </c>
      <c r="BX1649" s="48" t="str">
        <f aca="false">IF(U1649&lt;&gt;"",UPPER(TRIM(U1649)),IF(CA1649=1,UPPER(VLOOKUP(T1649,Parameter!$I$27:$K$29,2,0)),IF(P1649="","LOSE",P1649)))</f>
        <v>LOSE</v>
      </c>
      <c r="BY1649" s="50" t="n">
        <f aca="false">IF(BX1649="LOSE",1,IF(N(V1649)&gt;0,V1649,IF(CA1649=1,MAX(1,N(VLOOKUP(T1649,Parameter!$I$27:$K$29,3,0)),H1649,N(N1649)),IF(N(Q1649)&gt;0,Q1649,MAX(1,H1649)))))</f>
        <v>1</v>
      </c>
      <c r="BZ1649" s="53" t="n">
        <f aca="false">IF(BX1649="LOSE",1,0)</f>
        <v>1</v>
      </c>
      <c r="CA1649" s="53" t="n">
        <f aca="false">IF(AND(U1649="",OR(P1649="",P1649="LOSE"),T1649&lt;&gt;"",N(S1649)&lt;=0,ISNUMBER(MATCH(T1649,Parameter!$I$27:$I$29,0))),1,0)</f>
        <v>0</v>
      </c>
      <c r="CB1649" s="53" t="n">
        <f aca="false">IF(CQ1649&gt;0,INDEX(Parameter!$H$5:$H$7,W1649)/INDEX(Parameter!$E$5:$E$7,W1649),IF(AND(BZ1649=0,N(IFERROR(VLOOKUP(BX1649,'Gebinde-Kategorie'!$A$5:$N$45,14,0),0))&gt;0),VLOOKUP(BX1649,'Gebinde-Kategorie'!$A$5:$N$45,14,0)*10+Parameter!$M$23,Parameter!$M$24))</f>
        <v>238</v>
      </c>
      <c r="CC1649" s="48" t="str">
        <f aca="false">IF(AND(Parameter!$B$19="Ja",E1649&lt;&gt;"",ISNUMBER(MATCH(E1649,Parameter!$I$35:$I$52,0))),VLOOKUP(E1649,Parameter!$I$35:$J$52,2,0),IFERROR(VLOOKUP(D1649,Parameter!$A$35:$C$64,2,0),"Nein"))</f>
        <v>2+3</v>
      </c>
      <c r="CD1649" s="52" t="n">
        <f aca="false">IF(BZ1649=0,0,IF(N(S1649)&gt;0,S1649,IFERROR(VLOOKUP(D1649,Parameter!$A$35:$C$64,3,0)+0,0)))</f>
        <v>0.15</v>
      </c>
      <c r="CE1649" s="48" t="n">
        <f aca="false">IF(AA1649&lt;&gt;"",AA1649,Z1649)</f>
        <v>1</v>
      </c>
      <c r="CF1649" s="48" t="str">
        <f aca="false">IF(OR(CE1649=1,CE1649=2,CE1649=3),IF(Parameter!$E$27="Ja","LIFT",IF(CE1649=1,"L1","L23")),IF(CE1649="Aussen","Aussen","-"))</f>
        <v>LIFT</v>
      </c>
      <c r="CG1649" s="59" t="n">
        <f aca="false">IF(N(AB1649)&gt;0,AB1649,0)</f>
        <v>0</v>
      </c>
      <c r="CH1649" s="53" t="n">
        <f aca="false">IF(ISNUMBER(AE1649),1,0)</f>
        <v>0</v>
      </c>
      <c r="CI1649" s="50" t="n">
        <f aca="false">N(AE1649)</f>
        <v>0</v>
      </c>
      <c r="CJ1649" s="50" t="n">
        <f aca="false">N(M1649)+N(N1649)</f>
        <v>8</v>
      </c>
      <c r="CK1649" s="50" t="n">
        <f aca="false">N(M1649)</f>
        <v>1</v>
      </c>
      <c r="CL1649" s="50" t="n">
        <f aca="false">N(N1649)</f>
        <v>7</v>
      </c>
      <c r="CM1649" s="50" t="n">
        <f aca="false">ROUNDUP(H1649/BY1649,0)</f>
        <v>1</v>
      </c>
      <c r="CN1649" s="50" t="n">
        <f aca="false">ROUNDUP(CI1649/BY1649,0)</f>
        <v>0</v>
      </c>
      <c r="CO1649" s="53" t="n">
        <f aca="false">IF(BZ1649=1,0,IFERROR(VLOOKUP(BX1649,'Gebinde-Kategorie'!$A$5:$N$45,5,0)+0,0))</f>
        <v>0</v>
      </c>
      <c r="CP1649" s="53" t="n">
        <f aca="false">IFERROR(IF(OR(CE1649=1,CE1649=2,CE1649=3),N(INDEX(Parameter!$I$5:$I$7,CE1649)),0),0)</f>
        <v>0</v>
      </c>
      <c r="CQ1649" s="52" t="n">
        <f aca="false">IF(AND(Parameter!$B$21="Ja",ISNUMBER(W1649),N(X1649)&gt;0),IFERROR(N(INDEX(Parameter!$L$5:$L$7,W1649))*INDEX(Parameter!$E$5:$E$7,W1649)*X1649/SUMIFS($X$7:$X$1843,$W$7:$W$1843,W1649),0),0)</f>
        <v>0.0800376647834275</v>
      </c>
    </row>
    <row r="1650" customFormat="false" ht="15" hidden="false" customHeight="false" outlineLevel="0" collapsed="false">
      <c r="A1650" s="48" t="s">
        <v>2879</v>
      </c>
      <c r="B1650" s="48" t="s">
        <v>2433</v>
      </c>
      <c r="C1650" s="48" t="s">
        <v>173</v>
      </c>
      <c r="D1650" s="48" t="s">
        <v>182</v>
      </c>
      <c r="E1650" s="48"/>
      <c r="F1650" s="48"/>
      <c r="G1650" s="49" t="n">
        <v>463.5</v>
      </c>
      <c r="H1650" s="50" t="n">
        <f aca="false">MAX(0,IF(AND(Parameter!$B$21="Ja",ISNUMBER(Y1650)),Y1650,IF(Parameter!$B$20="Jahresanfang 2025 + Export",BR1650+BQ1650,BQ1650)))</f>
        <v>1</v>
      </c>
      <c r="I1650" s="50" t="n">
        <f aca="false">H1650*G1650</f>
        <v>463.5</v>
      </c>
      <c r="J1650" s="50" t="n">
        <f aca="false">BT1650*Parameter!$B$18</f>
        <v>0</v>
      </c>
      <c r="K1650" s="51"/>
      <c r="L1650" s="52"/>
      <c r="M1650" s="50" t="n">
        <v>1</v>
      </c>
      <c r="N1650" s="50" t="n">
        <v>7</v>
      </c>
      <c r="O1650" s="53" t="n">
        <v>56</v>
      </c>
      <c r="P1650" s="48" t="s">
        <v>177</v>
      </c>
      <c r="Q1650" s="50"/>
      <c r="R1650" s="53" t="n">
        <f aca="false">IF(BZ1650=1,0,IFERROR(VLOOKUP(BX1650,'Gebinde-Kategorie'!$A$5:$N$45,13,0)+0,0))</f>
        <v>0</v>
      </c>
      <c r="S1650" s="54"/>
      <c r="T1650" s="55"/>
      <c r="U1650" s="55"/>
      <c r="V1650" s="55"/>
      <c r="W1650" s="48" t="n">
        <v>1</v>
      </c>
      <c r="X1650" s="50" t="n">
        <v>1</v>
      </c>
      <c r="Y1650" s="50" t="n">
        <v>1</v>
      </c>
      <c r="Z1650" s="48" t="n">
        <f aca="false">IF(A1650="","",IF(AND(Parameter!$B$21="Ja",ISNUMBER(W1650)),W1650,IF(CC1650="2+3",IF(ISNUMBER(SEARCH("grosser Artikel",BU1650)),2,IFERROR(VLOOKUP(BX1650,Parameter!$F$35:$G$64,2,0),2)),IF(OR(CC1650="Nein",CC1650=""),"-",CC1650))))</f>
        <v>1</v>
      </c>
      <c r="AA1650" s="55"/>
      <c r="AB1650" s="56"/>
      <c r="AC1650" s="50" t="n">
        <f aca="false">AV1650</f>
        <v>8</v>
      </c>
      <c r="AD1650" s="50" t="n">
        <f aca="false">MAX(AV1650,H1650)</f>
        <v>8</v>
      </c>
      <c r="AE1650" s="57"/>
      <c r="AF1650" s="50" t="n">
        <f aca="false">IF(LEFT(Cockpit!$C$5,1)="A",H1650,IF(Parameter!$E$30="MAX-Bestand",IF(CH1650=1,CI1650,IF(LEFT(Cockpit!$C$5,1)="B",AL1650,MAX(AL1650,H1650))),ROUNDUP(AJ1650,0)))</f>
        <v>1</v>
      </c>
      <c r="AG1650" s="50" t="n">
        <f aca="false">IF(BZ1650=1,0,ROUNDUP(AF1650/BY1650,0))</f>
        <v>0</v>
      </c>
      <c r="AH1650" s="52" t="n">
        <f aca="false">IF(CQ1650&gt;0,CQ1650*MAX(1,AF1650/X1650),IF(BZ1650=1,IF(AF1650&lt;=0,0,CD1650*MAX(1,IF(H1650&gt;0,AF1650/H1650,1))),IF(R1650&gt;0,AG1650/R1650,0))/MAX(0.1,N(Parameter!$M$21)))</f>
        <v>0.0800376647834275</v>
      </c>
      <c r="AI1650" s="50" t="n">
        <f aca="false">AH1650*CB1650</f>
        <v>19.0489642184557</v>
      </c>
      <c r="AJ1650" s="51" t="n">
        <f aca="false">IF(LEFT(Cockpit!$C$5,1)="A",H1650,IF(CH1650=1,(CK1650+CI1650)/2,IF(LEFT(Cockpit!$C$5,1)="B",(CK1650+AL1650)/2,MAX((CK1650+AL1650)/2,H1650))))</f>
        <v>1</v>
      </c>
      <c r="AK1650" s="50" t="n">
        <f aca="false">AJ1650*G1650</f>
        <v>463.5</v>
      </c>
      <c r="AL1650" s="50" t="n">
        <f aca="false">ROUNDUP(CK1650+MAX(CL1650,2*(J1650/IF(CG1650&gt;0,CG1650,MAX(0.1,N(Cockpit!$C$6)))-CK1650)),0)</f>
        <v>8</v>
      </c>
      <c r="AM1650" s="51" t="n">
        <f aca="false">IF(AI1650&gt;0,J1650/AI1650,-1)</f>
        <v>0</v>
      </c>
      <c r="AN1650" s="51" t="n">
        <f aca="false">IF(AND(OR(CF1650="L1",CF1650="L23",CF1650="LIFT"),AI1650&gt;0),SUMIFS($AI$7:$AI$1843,$CF$7:$CF$1843,CF1650,$AM$7:$AM$1843,"&gt;"&amp;AM1650)+SUMIFS($AI$7:$AI$1843,$CF$7:$CF$1843,CF1650,$AM$7:$AM$1843,AM1650,$BW$7:$BW$1843,"&lt;="&amp;BW1650),"")</f>
        <v>31226.6525294385</v>
      </c>
      <c r="AO1650" s="58" t="n">
        <f aca="false">IF(AN1650="",0,MAX(0,MIN(1,(IF(CF1650="L1",Parameter!$H$5,IF(CF1650="L23",Parameter!$H$6+Parameter!$H$7,Parameter!$H$5+Parameter!$H$6+Parameter!$H$7))-(AN1650-AI1650))/AI1650)))</f>
        <v>1</v>
      </c>
      <c r="AP1650" s="50" t="n">
        <f aca="false">IF(LEFT(Cockpit!$I$5,1)="A",H1650,IF(Parameter!$E$30="MAX-Bestand",IF(CH1650=1,CI1650,IF(LEFT(Cockpit!$I$5,1)="B",AV1650,MAX(AV1650,H1650))),ROUNDUP(AT1650,0)))</f>
        <v>5</v>
      </c>
      <c r="AQ1650" s="50" t="n">
        <f aca="false">IF(BZ1650=1,0,ROUNDUP(AP1650/BY1650,0))</f>
        <v>0</v>
      </c>
      <c r="AR1650" s="52" t="n">
        <f aca="false">IF(CQ1650&gt;0,CQ1650*MAX(1,AP1650/X1650),IF(BZ1650=1,IF(AP1650&lt;=0,0,CD1650*MAX(1,IF(H1650&gt;0,AP1650/H1650,1))),IF(R1650&gt;0,AQ1650/R1650,0))/MAX(0.1,N(Parameter!$M$21)))</f>
        <v>0.400188323917138</v>
      </c>
      <c r="AS1650" s="50" t="n">
        <f aca="false">AR1650*CB1650</f>
        <v>95.2448210922787</v>
      </c>
      <c r="AT1650" s="51" t="n">
        <f aca="false">IF(LEFT(Cockpit!$I$5,1)="A",H1650,IF(CH1650=1,(CK1650+CI1650)/2,IF(LEFT(Cockpit!$I$5,1)="B",(CK1650+AV1650)/2,MAX((CK1650+AV1650)/2,H1650))))</f>
        <v>4.5</v>
      </c>
      <c r="AU1650" s="50" t="n">
        <f aca="false">AT1650*G1650</f>
        <v>2085.75</v>
      </c>
      <c r="AV1650" s="50" t="n">
        <f aca="false">ROUNDUP(CK1650+MAX(CL1650,2*(J1650/IF(CG1650&gt;0,CG1650,MAX(0.1,N(Cockpit!$I$6)))-CK1650)),0)</f>
        <v>8</v>
      </c>
      <c r="AW1650" s="51" t="n">
        <f aca="false">IF(AS1650&gt;0,J1650/AS1650,-1)</f>
        <v>0</v>
      </c>
      <c r="AX1650" s="51" t="n">
        <f aca="false">IF(AND(OR(CF1650="L1",CF1650="L23",CF1650="LIFT"),AS1650&gt;0),SUMIFS($AS$7:$AS$1843,$CF$7:$CF$1843,CF1650,$AW$7:$AW$1843,"&gt;"&amp;AW1650)+SUMIFS($AS$7:$AS$1843,$CF$7:$CF$1843,CF1650,$AW$7:$AW$1843,AW1650,$BW$7:$BW$1843,"&lt;="&amp;BW1650),"")</f>
        <v>37698.9007600215</v>
      </c>
      <c r="AY1650" s="58" t="n">
        <f aca="false">IF(AX1650="",0,MAX(0,MIN(1,(IF(CF1650="L1",Parameter!$H$5,IF(CF1650="L23",Parameter!$H$6+Parameter!$H$7,Parameter!$H$5+Parameter!$H$6+Parameter!$H$7))-(AX1650-AS1650))/AS1650)))</f>
        <v>0</v>
      </c>
      <c r="AZ1650" s="50" t="n">
        <f aca="false">IF(LEFT(Cockpit!$O$5,1)="A",H1650,IF(Parameter!$E$30="MAX-Bestand",IF(CH1650=1,CI1650,IF(LEFT(Cockpit!$O$5,1)="B",BF1650,MAX(BF1650,H1650))),ROUNDUP(BD1650,0)))</f>
        <v>5</v>
      </c>
      <c r="BA1650" s="50" t="n">
        <f aca="false">IF(BZ1650=1,0,ROUNDUP(AZ1650/BY1650,0))</f>
        <v>0</v>
      </c>
      <c r="BB1650" s="52" t="n">
        <f aca="false">IF(CQ1650&gt;0,CQ1650*MAX(1,AZ1650/X1650),IF(BZ1650=1,IF(AZ1650&lt;=0,0,CD1650*MAX(1,IF(H1650&gt;0,AZ1650/H1650,1))),IF(R1650&gt;0,BA1650/R1650,0))/MAX(0.1,N(Parameter!$M$21)))</f>
        <v>0.400188323917138</v>
      </c>
      <c r="BC1650" s="50" t="n">
        <f aca="false">BB1650*CB1650</f>
        <v>95.2448210922787</v>
      </c>
      <c r="BD1650" s="51" t="n">
        <f aca="false">IF(LEFT(Cockpit!$O$5,1)="A",H1650,IF(CH1650=1,(CK1650+CI1650)/2,IF(LEFT(Cockpit!$O$5,1)="B",(CK1650+BF1650)/2,MAX((CK1650+BF1650)/2,H1650))))</f>
        <v>4.5</v>
      </c>
      <c r="BE1650" s="50" t="n">
        <f aca="false">BD1650*G1650</f>
        <v>2085.75</v>
      </c>
      <c r="BF1650" s="50" t="n">
        <f aca="false">ROUNDUP(CK1650+MAX(CL1650,2*(J1650/IF(CG1650&gt;0,CG1650,MAX(0.1,N(Cockpit!$O$6)))-CK1650)),0)</f>
        <v>8</v>
      </c>
      <c r="BG1650" s="51" t="n">
        <f aca="false">IF(BC1650&gt;0,J1650/BC1650,-1)</f>
        <v>0</v>
      </c>
      <c r="BH1650" s="51" t="n">
        <f aca="false">IF(AND(OR(CF1650="L1",CF1650="L23",CF1650="LIFT"),BC1650&gt;0),SUMIFS($BC$7:$BC$1843,$CF$7:$CF$1843,CF1650,$BG$7:$BG$1843,"&gt;"&amp;BG1650)+SUMIFS($BC$7:$BC$1843,$CF$7:$CF$1843,CF1650,$BG$7:$BG$1843,BG1650,$BW$7:$BW$1843,"&lt;="&amp;BW1650),"")</f>
        <v>31608.3420355539</v>
      </c>
      <c r="BI1650" s="58" t="n">
        <f aca="false">IF(BH1650="",0,MAX(0,MIN(1,(IF(CF1650="L1",Parameter!$H$5,IF(CF1650="L23",Parameter!$H$6+Parameter!$H$7,Parameter!$H$5+Parameter!$H$6+Parameter!$H$7))-(BH1650-BC1650))/BC1650)))</f>
        <v>1</v>
      </c>
      <c r="BJ1650" s="48" t="str">
        <f aca="false">IF(AI1650&lt;=0,"",IF(CF1650="Aussen","Aussenlager",IF(CF1650="-","Nicht im Lift",IF(AO1650&gt;=1,"Lift",IF(AO1650&lt;=0,"Aussenlager","teilweise")))))</f>
        <v>Lift</v>
      </c>
      <c r="BK1650" s="48" t="str">
        <f aca="false">IF(AS1650&lt;=0,"",IF(CF1650="Aussen","Aussenlager",IF(CF1650="-","Nicht im Lift",IF(AY1650&gt;=1,"Lift",IF(AY1650&lt;=0,"Aussenlager","teilweise")))))</f>
        <v>Aussenlager</v>
      </c>
      <c r="BL1650" s="48" t="str">
        <f aca="false">IF(BC1650&lt;=0,"",IF(CF1650="Aussen","Aussenlager",IF(CF1650="-","Nicht im Lift",IF(BI1650&gt;=1,"Lift",IF(BI1650&lt;=0,"Aussenlager","teilweise")))))</f>
        <v>Lift</v>
      </c>
      <c r="BM1650" s="48" t="str">
        <f aca="false">IF(A1650="","",IF(BV1650=1,"Neu; ","")&amp;IF(AND(BV1650=0,BQ1650&lt;0),"negativer Bestand (Export "&amp;BQ1650&amp;"); ","")&amp;IF(J1650&lt;=0,"Kein Verbrauch; ","")&amp;IF(CQ1650&gt;0,"Lift "&amp;W1650&amp;" lt. Liftbericht (Fach "&amp;X1650&amp;" Stk); ",IF(CA1650=1,"Gebinde geschätzt ("&amp;T1650&amp;"); ",IF(BZ1650=1,"Lose – Tablare geschätzt; ","")))&amp;IF(H1650&gt;AV1650,"Überbestand "&amp;ROUND(H1650-AV1650,0)&amp;" Stk / CHF "&amp;ROUND((H1650-AV1650)*G1650,0)&amp;"; ","")&amp;IF(AND(CH1650=1,CI1650&lt;CJ1650),"MAX &lt; MB+LG; ","")&amp;IF(AND(CP1650&gt;0,CO1650*10&gt;CP1650),"zu hoch für Tablar; ","")&amp;IF(AND(BV1650=0,OR(CH1650=1,AA1650&lt;&gt;"",U1650&lt;&gt;"",V1650&lt;&gt;"",AB1650&lt;&gt;"")),"manuell übersteuert; ","")&amp;IF(AND(BZ1650=0,R1650=0),"Gebinde unbekannt / Stellmass fehlt; ","")&amp;IF(AND(BZ1650=0,N(V1650)&lt;=0,N(Q1650)&lt;=0),"Menge pro Gebinde fehlt (Ist = 1 Gebinde); ","")&amp;BU1650)</f>
        <v>Kein Verbrauch; Lift 1 lt. Liftbericht (Fach 1 Stk); nur im Artikelstamm (Bestand 23.06.2026)</v>
      </c>
      <c r="BN1650" s="48"/>
      <c r="BO1650" s="48"/>
      <c r="BP1650" s="55"/>
      <c r="BQ1650" s="50" t="n">
        <v>1</v>
      </c>
      <c r="BR1650" s="50" t="n">
        <v>0</v>
      </c>
      <c r="BS1650" s="49" t="n">
        <v>0</v>
      </c>
      <c r="BT1650" s="50" t="n">
        <v>0</v>
      </c>
      <c r="BU1650" s="48" t="s">
        <v>2584</v>
      </c>
      <c r="BV1650" s="53" t="n">
        <v>0</v>
      </c>
      <c r="BW1650" s="53" t="n">
        <v>1650</v>
      </c>
      <c r="BX1650" s="48" t="str">
        <f aca="false">IF(U1650&lt;&gt;"",UPPER(TRIM(U1650)),IF(CA1650=1,UPPER(VLOOKUP(T1650,Parameter!$I$27:$K$29,2,0)),IF(P1650="","LOSE",P1650)))</f>
        <v>LOSE</v>
      </c>
      <c r="BY1650" s="50" t="n">
        <f aca="false">IF(BX1650="LOSE",1,IF(N(V1650)&gt;0,V1650,IF(CA1650=1,MAX(1,N(VLOOKUP(T1650,Parameter!$I$27:$K$29,3,0)),H1650,N(N1650)),IF(N(Q1650)&gt;0,Q1650,MAX(1,H1650)))))</f>
        <v>1</v>
      </c>
      <c r="BZ1650" s="53" t="n">
        <f aca="false">IF(BX1650="LOSE",1,0)</f>
        <v>1</v>
      </c>
      <c r="CA1650" s="53" t="n">
        <f aca="false">IF(AND(U1650="",OR(P1650="",P1650="LOSE"),T1650&lt;&gt;"",N(S1650)&lt;=0,ISNUMBER(MATCH(T1650,Parameter!$I$27:$I$29,0))),1,0)</f>
        <v>0</v>
      </c>
      <c r="CB1650" s="53" t="n">
        <f aca="false">IF(CQ1650&gt;0,INDEX(Parameter!$H$5:$H$7,W1650)/INDEX(Parameter!$E$5:$E$7,W1650),IF(AND(BZ1650=0,N(IFERROR(VLOOKUP(BX1650,'Gebinde-Kategorie'!$A$5:$N$45,14,0),0))&gt;0),VLOOKUP(BX1650,'Gebinde-Kategorie'!$A$5:$N$45,14,0)*10+Parameter!$M$23,Parameter!$M$24))</f>
        <v>238</v>
      </c>
      <c r="CC1650" s="48" t="str">
        <f aca="false">IF(AND(Parameter!$B$19="Ja",E1650&lt;&gt;"",ISNUMBER(MATCH(E1650,Parameter!$I$35:$I$52,0))),VLOOKUP(E1650,Parameter!$I$35:$J$52,2,0),IFERROR(VLOOKUP(D1650,Parameter!$A$35:$C$64,2,0),"Nein"))</f>
        <v>2+3</v>
      </c>
      <c r="CD1650" s="52" t="n">
        <f aca="false">IF(BZ1650=0,0,IF(N(S1650)&gt;0,S1650,IFERROR(VLOOKUP(D1650,Parameter!$A$35:$C$64,3,0)+0,0)))</f>
        <v>0.15</v>
      </c>
      <c r="CE1650" s="48" t="n">
        <f aca="false">IF(AA1650&lt;&gt;"",AA1650,Z1650)</f>
        <v>1</v>
      </c>
      <c r="CF1650" s="48" t="str">
        <f aca="false">IF(OR(CE1650=1,CE1650=2,CE1650=3),IF(Parameter!$E$27="Ja","LIFT",IF(CE1650=1,"L1","L23")),IF(CE1650="Aussen","Aussen","-"))</f>
        <v>LIFT</v>
      </c>
      <c r="CG1650" s="59" t="n">
        <f aca="false">IF(N(AB1650)&gt;0,AB1650,0)</f>
        <v>0</v>
      </c>
      <c r="CH1650" s="53" t="n">
        <f aca="false">IF(ISNUMBER(AE1650),1,0)</f>
        <v>0</v>
      </c>
      <c r="CI1650" s="50" t="n">
        <f aca="false">N(AE1650)</f>
        <v>0</v>
      </c>
      <c r="CJ1650" s="50" t="n">
        <f aca="false">N(M1650)+N(N1650)</f>
        <v>8</v>
      </c>
      <c r="CK1650" s="50" t="n">
        <f aca="false">N(M1650)</f>
        <v>1</v>
      </c>
      <c r="CL1650" s="50" t="n">
        <f aca="false">N(N1650)</f>
        <v>7</v>
      </c>
      <c r="CM1650" s="50" t="n">
        <f aca="false">ROUNDUP(H1650/BY1650,0)</f>
        <v>1</v>
      </c>
      <c r="CN1650" s="50" t="n">
        <f aca="false">ROUNDUP(CI1650/BY1650,0)</f>
        <v>0</v>
      </c>
      <c r="CO1650" s="53" t="n">
        <f aca="false">IF(BZ1650=1,0,IFERROR(VLOOKUP(BX1650,'Gebinde-Kategorie'!$A$5:$N$45,5,0)+0,0))</f>
        <v>0</v>
      </c>
      <c r="CP1650" s="53" t="n">
        <f aca="false">IFERROR(IF(OR(CE1650=1,CE1650=2,CE1650=3),N(INDEX(Parameter!$I$5:$I$7,CE1650)),0),0)</f>
        <v>0</v>
      </c>
      <c r="CQ1650" s="52" t="n">
        <f aca="false">IF(AND(Parameter!$B$21="Ja",ISNUMBER(W1650),N(X1650)&gt;0),IFERROR(N(INDEX(Parameter!$L$5:$L$7,W1650))*INDEX(Parameter!$E$5:$E$7,W1650)*X1650/SUMIFS($X$7:$X$1843,$W$7:$W$1843,W1650),0),0)</f>
        <v>0.0800376647834275</v>
      </c>
    </row>
    <row r="1651" customFormat="false" ht="15" hidden="false" customHeight="false" outlineLevel="0" collapsed="false">
      <c r="A1651" s="48" t="s">
        <v>2880</v>
      </c>
      <c r="B1651" s="48" t="s">
        <v>348</v>
      </c>
      <c r="C1651" s="48" t="s">
        <v>173</v>
      </c>
      <c r="D1651" s="48" t="s">
        <v>182</v>
      </c>
      <c r="E1651" s="48"/>
      <c r="F1651" s="48"/>
      <c r="G1651" s="49" t="n">
        <v>368</v>
      </c>
      <c r="H1651" s="50" t="n">
        <f aca="false">MAX(0,IF(AND(Parameter!$B$21="Ja",ISNUMBER(Y1651)),Y1651,IF(Parameter!$B$20="Jahresanfang 2025 + Export",BR1651+BQ1651,BQ1651)))</f>
        <v>8</v>
      </c>
      <c r="I1651" s="50" t="n">
        <f aca="false">H1651*G1651</f>
        <v>2944</v>
      </c>
      <c r="J1651" s="50" t="n">
        <f aca="false">BT1651*Parameter!$B$18</f>
        <v>0</v>
      </c>
      <c r="K1651" s="51"/>
      <c r="L1651" s="52"/>
      <c r="M1651" s="50" t="n">
        <v>0</v>
      </c>
      <c r="N1651" s="50" t="n">
        <v>5</v>
      </c>
      <c r="O1651" s="53" t="n">
        <v>42</v>
      </c>
      <c r="P1651" s="48" t="s">
        <v>177</v>
      </c>
      <c r="Q1651" s="50"/>
      <c r="R1651" s="53" t="n">
        <f aca="false">IF(BZ1651=1,0,IFERROR(VLOOKUP(BX1651,'Gebinde-Kategorie'!$A$5:$N$45,13,0)+0,0))</f>
        <v>26</v>
      </c>
      <c r="S1651" s="54"/>
      <c r="T1651" s="55" t="s">
        <v>284</v>
      </c>
      <c r="U1651" s="55"/>
      <c r="V1651" s="55"/>
      <c r="W1651" s="48"/>
      <c r="X1651" s="50"/>
      <c r="Y1651" s="50"/>
      <c r="Z1651" s="48" t="n">
        <f aca="false">IF(A1651="","",IF(AND(Parameter!$B$21="Ja",ISNUMBER(W1651)),W1651,IF(CC1651="2+3",IF(ISNUMBER(SEARCH("grosser Artikel",BU1651)),2,IFERROR(VLOOKUP(BX1651,Parameter!$F$35:$G$64,2,0),2)),IF(OR(CC1651="Nein",CC1651=""),"-",CC1651))))</f>
        <v>3</v>
      </c>
      <c r="AA1651" s="55"/>
      <c r="AB1651" s="56"/>
      <c r="AC1651" s="50" t="n">
        <f aca="false">AV1651</f>
        <v>5</v>
      </c>
      <c r="AD1651" s="50" t="n">
        <f aca="false">MAX(AV1651,H1651)</f>
        <v>8</v>
      </c>
      <c r="AE1651" s="57"/>
      <c r="AF1651" s="50" t="n">
        <f aca="false">IF(LEFT(Cockpit!$C$5,1)="A",H1651,IF(Parameter!$E$30="MAX-Bestand",IF(CH1651=1,CI1651,IF(LEFT(Cockpit!$C$5,1)="B",AL1651,MAX(AL1651,H1651))),ROUNDUP(AJ1651,0)))</f>
        <v>8</v>
      </c>
      <c r="AG1651" s="50" t="n">
        <f aca="false">IF(BZ1651=1,0,ROUNDUP(AF1651/BY1651,0))</f>
        <v>1</v>
      </c>
      <c r="AH1651" s="52" t="n">
        <f aca="false">IF(CQ1651&gt;0,CQ1651*MAX(1,AF1651/X1651),IF(BZ1651=1,IF(AF1651&lt;=0,0,CD1651*MAX(1,IF(H1651&gt;0,AF1651/H1651,1))),IF(R1651&gt;0,AG1651/R1651,0))/MAX(0.1,N(Parameter!$M$21)))</f>
        <v>0.0384615384615385</v>
      </c>
      <c r="AI1651" s="50" t="n">
        <f aca="false">AH1651*CB1651</f>
        <v>5.96153846153846</v>
      </c>
      <c r="AJ1651" s="51" t="n">
        <f aca="false">IF(LEFT(Cockpit!$C$5,1)="A",H1651,IF(CH1651=1,(CK1651+CI1651)/2,IF(LEFT(Cockpit!$C$5,1)="B",(CK1651+AL1651)/2,MAX((CK1651+AL1651)/2,H1651))))</f>
        <v>8</v>
      </c>
      <c r="AK1651" s="50" t="n">
        <f aca="false">AJ1651*G1651</f>
        <v>2944</v>
      </c>
      <c r="AL1651" s="50" t="n">
        <f aca="false">ROUNDUP(CK1651+MAX(CL1651,2*(J1651/IF(CG1651&gt;0,CG1651,MAX(0.1,N(Cockpit!$C$6)))-CK1651)),0)</f>
        <v>5</v>
      </c>
      <c r="AM1651" s="51" t="n">
        <f aca="false">IF(AI1651&gt;0,J1651/AI1651,-1)</f>
        <v>0</v>
      </c>
      <c r="AN1651" s="51" t="n">
        <f aca="false">IF(AND(OR(CF1651="L1",CF1651="L23",CF1651="LIFT"),AI1651&gt;0),SUMIFS($AI$7:$AI$1843,$CF$7:$CF$1843,CF1651,$AM$7:$AM$1843,"&gt;"&amp;AM1651)+SUMIFS($AI$7:$AI$1843,$CF$7:$CF$1843,CF1651,$AM$7:$AM$1843,AM1651,$BW$7:$BW$1843,"&lt;="&amp;BW1651),"")</f>
        <v>31232.6140679001</v>
      </c>
      <c r="AO1651" s="58" t="n">
        <f aca="false">IF(AN1651="",0,MAX(0,MIN(1,(IF(CF1651="L1",Parameter!$H$5,IF(CF1651="L23",Parameter!$H$6+Parameter!$H$7,Parameter!$H$5+Parameter!$H$6+Parameter!$H$7))-(AN1651-AI1651))/AI1651)))</f>
        <v>1</v>
      </c>
      <c r="AP1651" s="50" t="n">
        <f aca="false">IF(LEFT(Cockpit!$I$5,1)="A",H1651,IF(Parameter!$E$30="MAX-Bestand",IF(CH1651=1,CI1651,IF(LEFT(Cockpit!$I$5,1)="B",AV1651,MAX(AV1651,H1651))),ROUNDUP(AT1651,0)))</f>
        <v>8</v>
      </c>
      <c r="AQ1651" s="50" t="n">
        <f aca="false">IF(BZ1651=1,0,ROUNDUP(AP1651/BY1651,0))</f>
        <v>1</v>
      </c>
      <c r="AR1651" s="52" t="n">
        <f aca="false">IF(CQ1651&gt;0,CQ1651*MAX(1,AP1651/X1651),IF(BZ1651=1,IF(AP1651&lt;=0,0,CD1651*MAX(1,IF(H1651&gt;0,AP1651/H1651,1))),IF(R1651&gt;0,AQ1651/R1651,0))/MAX(0.1,N(Parameter!$M$21)))</f>
        <v>0.0384615384615385</v>
      </c>
      <c r="AS1651" s="50" t="n">
        <f aca="false">AR1651*CB1651</f>
        <v>5.96153846153846</v>
      </c>
      <c r="AT1651" s="51" t="n">
        <f aca="false">IF(LEFT(Cockpit!$I$5,1)="A",H1651,IF(CH1651=1,(CK1651+CI1651)/2,IF(LEFT(Cockpit!$I$5,1)="B",(CK1651+AV1651)/2,MAX((CK1651+AV1651)/2,H1651))))</f>
        <v>8</v>
      </c>
      <c r="AU1651" s="50" t="n">
        <f aca="false">AT1651*G1651</f>
        <v>2944</v>
      </c>
      <c r="AV1651" s="50" t="n">
        <f aca="false">ROUNDUP(CK1651+MAX(CL1651,2*(J1651/IF(CG1651&gt;0,CG1651,MAX(0.1,N(Cockpit!$I$6)))-CK1651)),0)</f>
        <v>5</v>
      </c>
      <c r="AW1651" s="51" t="n">
        <f aca="false">IF(AS1651&gt;0,J1651/AS1651,-1)</f>
        <v>0</v>
      </c>
      <c r="AX1651" s="51" t="n">
        <f aca="false">IF(AND(OR(CF1651="L1",CF1651="L23",CF1651="LIFT"),AS1651&gt;0),SUMIFS($AS$7:$AS$1843,$CF$7:$CF$1843,CF1651,$AW$7:$AW$1843,"&gt;"&amp;AW1651)+SUMIFS($AS$7:$AS$1843,$CF$7:$CF$1843,CF1651,$AW$7:$AW$1843,AW1651,$BW$7:$BW$1843,"&lt;="&amp;BW1651),"")</f>
        <v>37704.8622984831</v>
      </c>
      <c r="AY1651" s="58" t="n">
        <f aca="false">IF(AX1651="",0,MAX(0,MIN(1,(IF(CF1651="L1",Parameter!$H$5,IF(CF1651="L23",Parameter!$H$6+Parameter!$H$7,Parameter!$H$5+Parameter!$H$6+Parameter!$H$7))-(AX1651-AS1651))/AS1651)))</f>
        <v>0</v>
      </c>
      <c r="AZ1651" s="50" t="n">
        <f aca="false">IF(LEFT(Cockpit!$O$5,1)="A",H1651,IF(Parameter!$E$30="MAX-Bestand",IF(CH1651=1,CI1651,IF(LEFT(Cockpit!$O$5,1)="B",BF1651,MAX(BF1651,H1651))),ROUNDUP(BD1651,0)))</f>
        <v>3</v>
      </c>
      <c r="BA1651" s="50" t="n">
        <f aca="false">IF(BZ1651=1,0,ROUNDUP(AZ1651/BY1651,0))</f>
        <v>1</v>
      </c>
      <c r="BB1651" s="52" t="n">
        <f aca="false">IF(CQ1651&gt;0,CQ1651*MAX(1,AZ1651/X1651),IF(BZ1651=1,IF(AZ1651&lt;=0,0,CD1651*MAX(1,IF(H1651&gt;0,AZ1651/H1651,1))),IF(R1651&gt;0,BA1651/R1651,0))/MAX(0.1,N(Parameter!$M$21)))</f>
        <v>0.0384615384615385</v>
      </c>
      <c r="BC1651" s="50" t="n">
        <f aca="false">BB1651*CB1651</f>
        <v>5.96153846153846</v>
      </c>
      <c r="BD1651" s="51" t="n">
        <f aca="false">IF(LEFT(Cockpit!$O$5,1)="A",H1651,IF(CH1651=1,(CK1651+CI1651)/2,IF(LEFT(Cockpit!$O$5,1)="B",(CK1651+BF1651)/2,MAX((CK1651+BF1651)/2,H1651))))</f>
        <v>2.5</v>
      </c>
      <c r="BE1651" s="50" t="n">
        <f aca="false">BD1651*G1651</f>
        <v>920</v>
      </c>
      <c r="BF1651" s="50" t="n">
        <f aca="false">ROUNDUP(CK1651+MAX(CL1651,2*(J1651/IF(CG1651&gt;0,CG1651,MAX(0.1,N(Cockpit!$O$6)))-CK1651)),0)</f>
        <v>5</v>
      </c>
      <c r="BG1651" s="51" t="n">
        <f aca="false">IF(BC1651&gt;0,J1651/BC1651,-1)</f>
        <v>0</v>
      </c>
      <c r="BH1651" s="51" t="n">
        <f aca="false">IF(AND(OR(CF1651="L1",CF1651="L23",CF1651="LIFT"),BC1651&gt;0),SUMIFS($BC$7:$BC$1843,$CF$7:$CF$1843,CF1651,$BG$7:$BG$1843,"&gt;"&amp;BG1651)+SUMIFS($BC$7:$BC$1843,$CF$7:$CF$1843,CF1651,$BG$7:$BG$1843,BG1651,$BW$7:$BW$1843,"&lt;="&amp;BW1651),"")</f>
        <v>31614.3035740154</v>
      </c>
      <c r="BI1651" s="58" t="n">
        <f aca="false">IF(BH1651="",0,MAX(0,MIN(1,(IF(CF1651="L1",Parameter!$H$5,IF(CF1651="L23",Parameter!$H$6+Parameter!$H$7,Parameter!$H$5+Parameter!$H$6+Parameter!$H$7))-(BH1651-BC1651))/BC1651)))</f>
        <v>1</v>
      </c>
      <c r="BJ1651" s="48" t="str">
        <f aca="false">IF(AI1651&lt;=0,"",IF(CF1651="Aussen","Aussenlager",IF(CF1651="-","Nicht im Lift",IF(AO1651&gt;=1,"Lift",IF(AO1651&lt;=0,"Aussenlager","teilweise")))))</f>
        <v>Lift</v>
      </c>
      <c r="BK1651" s="48" t="str">
        <f aca="false">IF(AS1651&lt;=0,"",IF(CF1651="Aussen","Aussenlager",IF(CF1651="-","Nicht im Lift",IF(AY1651&gt;=1,"Lift",IF(AY1651&lt;=0,"Aussenlager","teilweise")))))</f>
        <v>Aussenlager</v>
      </c>
      <c r="BL1651" s="48" t="str">
        <f aca="false">IF(BC1651&lt;=0,"",IF(CF1651="Aussen","Aussenlager",IF(CF1651="-","Nicht im Lift",IF(BI1651&gt;=1,"Lift",IF(BI1651&lt;=0,"Aussenlager","teilweise")))))</f>
        <v>Lift</v>
      </c>
      <c r="BM1651" s="48" t="str">
        <f aca="false">IF(A1651="","",IF(BV1651=1,"Neu; ","")&amp;IF(AND(BV1651=0,BQ1651&lt;0),"negativer Bestand (Export "&amp;BQ1651&amp;"); ","")&amp;IF(J1651&lt;=0,"Kein Verbrauch; ","")&amp;IF(CQ1651&gt;0,"Lift "&amp;W1651&amp;" lt. Liftbericht (Fach "&amp;X1651&amp;" Stk); ",IF(CA1651=1,"Gebinde geschätzt ("&amp;T1651&amp;"); ",IF(BZ1651=1,"Lose – Tablare geschätzt; ","")))&amp;IF(H1651&gt;AV1651,"Überbestand "&amp;ROUND(H1651-AV1651,0)&amp;" Stk / CHF "&amp;ROUND((H1651-AV1651)*G1651,0)&amp;"; ","")&amp;IF(AND(CH1651=1,CI1651&lt;CJ1651),"MAX &lt; MB+LG; ","")&amp;IF(AND(CP1651&gt;0,CO1651*10&gt;CP1651),"zu hoch für Tablar; ","")&amp;IF(AND(BV1651=0,OR(CH1651=1,AA1651&lt;&gt;"",U1651&lt;&gt;"",V1651&lt;&gt;"",AB1651&lt;&gt;"")),"manuell übersteuert; ","")&amp;IF(AND(BZ1651=0,R1651=0),"Gebinde unbekannt / Stellmass fehlt; ","")&amp;IF(AND(BZ1651=0,N(V1651)&lt;=0,N(Q1651)&lt;=0),"Menge pro Gebinde fehlt (Ist = 1 Gebinde); ","")&amp;BU1651)</f>
        <v>Kein Verbrauch; Gebinde geschätzt (Klein); Überbestand 3 Stk / CHF 1104; Menge pro Gebinde fehlt (Ist = 1 Gebinde); nur im Artikelstamm (Bestand 23.06.2026)</v>
      </c>
      <c r="BN1651" s="48"/>
      <c r="BO1651" s="48"/>
      <c r="BP1651" s="55"/>
      <c r="BQ1651" s="50" t="n">
        <v>8</v>
      </c>
      <c r="BR1651" s="50" t="n">
        <v>0</v>
      </c>
      <c r="BS1651" s="49" t="n">
        <v>0</v>
      </c>
      <c r="BT1651" s="50" t="n">
        <v>0</v>
      </c>
      <c r="BU1651" s="48" t="s">
        <v>2584</v>
      </c>
      <c r="BV1651" s="53" t="n">
        <v>0</v>
      </c>
      <c r="BW1651" s="53" t="n">
        <v>1651</v>
      </c>
      <c r="BX1651" s="48" t="str">
        <f aca="false">IF(U1651&lt;&gt;"",UPPER(TRIM(U1651)),IF(CA1651=1,UPPER(VLOOKUP(T1651,Parameter!$I$27:$K$29,2,0)),IF(P1651="","LOSE",P1651)))</f>
        <v>S51</v>
      </c>
      <c r="BY1651" s="50" t="n">
        <f aca="false">IF(BX1651="LOSE",1,IF(N(V1651)&gt;0,V1651,IF(CA1651=1,MAX(1,N(VLOOKUP(T1651,Parameter!$I$27:$K$29,3,0)),H1651,N(N1651)),IF(N(Q1651)&gt;0,Q1651,MAX(1,H1651)))))</f>
        <v>20</v>
      </c>
      <c r="BZ1651" s="53" t="n">
        <f aca="false">IF(BX1651="LOSE",1,0)</f>
        <v>0</v>
      </c>
      <c r="CA1651" s="53" t="n">
        <f aca="false">IF(AND(U1651="",OR(P1651="",P1651="LOSE"),T1651&lt;&gt;"",N(S1651)&lt;=0,ISNUMBER(MATCH(T1651,Parameter!$I$27:$I$29,0))),1,0)</f>
        <v>1</v>
      </c>
      <c r="CB1651" s="53" t="n">
        <f aca="false">IF(CQ1651&gt;0,INDEX(Parameter!$H$5:$H$7,W1651)/INDEX(Parameter!$E$5:$E$7,W1651),IF(AND(BZ1651=0,N(IFERROR(VLOOKUP(BX1651,'Gebinde-Kategorie'!$A$5:$N$45,14,0),0))&gt;0),VLOOKUP(BX1651,'Gebinde-Kategorie'!$A$5:$N$45,14,0)*10+Parameter!$M$23,Parameter!$M$24))</f>
        <v>155</v>
      </c>
      <c r="CC1651" s="48" t="str">
        <f aca="false">IF(AND(Parameter!$B$19="Ja",E1651&lt;&gt;"",ISNUMBER(MATCH(E1651,Parameter!$I$35:$I$52,0))),VLOOKUP(E1651,Parameter!$I$35:$J$52,2,0),IFERROR(VLOOKUP(D1651,Parameter!$A$35:$C$64,2,0),"Nein"))</f>
        <v>2+3</v>
      </c>
      <c r="CD1651" s="52" t="n">
        <f aca="false">IF(BZ1651=0,0,IF(N(S1651)&gt;0,S1651,IFERROR(VLOOKUP(D1651,Parameter!$A$35:$C$64,3,0)+0,0)))</f>
        <v>0</v>
      </c>
      <c r="CE1651" s="48" t="n">
        <f aca="false">IF(AA1651&lt;&gt;"",AA1651,Z1651)</f>
        <v>3</v>
      </c>
      <c r="CF1651" s="48" t="str">
        <f aca="false">IF(OR(CE1651=1,CE1651=2,CE1651=3),IF(Parameter!$E$27="Ja","LIFT",IF(CE1651=1,"L1","L23")),IF(CE1651="Aussen","Aussen","-"))</f>
        <v>LIFT</v>
      </c>
      <c r="CG1651" s="59" t="n">
        <f aca="false">IF(N(AB1651)&gt;0,AB1651,0)</f>
        <v>0</v>
      </c>
      <c r="CH1651" s="53" t="n">
        <f aca="false">IF(ISNUMBER(AE1651),1,0)</f>
        <v>0</v>
      </c>
      <c r="CI1651" s="50" t="n">
        <f aca="false">N(AE1651)</f>
        <v>0</v>
      </c>
      <c r="CJ1651" s="50" t="n">
        <f aca="false">N(M1651)+N(N1651)</f>
        <v>5</v>
      </c>
      <c r="CK1651" s="50" t="n">
        <f aca="false">N(M1651)</f>
        <v>0</v>
      </c>
      <c r="CL1651" s="50" t="n">
        <f aca="false">N(N1651)</f>
        <v>5</v>
      </c>
      <c r="CM1651" s="50" t="n">
        <f aca="false">ROUNDUP(H1651/BY1651,0)</f>
        <v>1</v>
      </c>
      <c r="CN1651" s="50" t="n">
        <f aca="false">ROUNDUP(CI1651/BY1651,0)</f>
        <v>0</v>
      </c>
      <c r="CO1651" s="53" t="n">
        <f aca="false">IF(BZ1651=1,0,IFERROR(VLOOKUP(BX1651,'Gebinde-Kategorie'!$A$5:$N$45,5,0)+0,0))</f>
        <v>11</v>
      </c>
      <c r="CP1651" s="53" t="n">
        <f aca="false">IFERROR(IF(OR(CE1651=1,CE1651=2,CE1651=3),N(INDEX(Parameter!$I$5:$I$7,CE1651)),0),0)</f>
        <v>0</v>
      </c>
      <c r="CQ1651" s="52" t="n">
        <f aca="false">IF(AND(Parameter!$B$21="Ja",ISNUMBER(W1651),N(X1651)&gt;0),IFERROR(N(INDEX(Parameter!$L$5:$L$7,W1651))*INDEX(Parameter!$E$5:$E$7,W1651)*X1651/SUMIFS($X$7:$X$1843,$W$7:$W$1843,W1651),0),0)</f>
        <v>0</v>
      </c>
    </row>
    <row r="1652" customFormat="false" ht="15" hidden="false" customHeight="false" outlineLevel="0" collapsed="false">
      <c r="A1652" s="48" t="s">
        <v>2881</v>
      </c>
      <c r="B1652" s="48" t="s">
        <v>215</v>
      </c>
      <c r="C1652" s="48" t="s">
        <v>176</v>
      </c>
      <c r="D1652" s="48" t="s">
        <v>182</v>
      </c>
      <c r="E1652" s="48"/>
      <c r="F1652" s="48"/>
      <c r="G1652" s="49" t="n">
        <v>1370</v>
      </c>
      <c r="H1652" s="50" t="n">
        <f aca="false">MAX(0,IF(AND(Parameter!$B$21="Ja",ISNUMBER(Y1652)),Y1652,IF(Parameter!$B$20="Jahresanfang 2025 + Export",BR1652+BQ1652,BQ1652)))</f>
        <v>1</v>
      </c>
      <c r="I1652" s="50" t="n">
        <f aca="false">H1652*G1652</f>
        <v>1370</v>
      </c>
      <c r="J1652" s="50" t="n">
        <f aca="false">BT1652*Parameter!$B$18</f>
        <v>0</v>
      </c>
      <c r="K1652" s="51"/>
      <c r="L1652" s="52"/>
      <c r="M1652" s="50" t="n">
        <v>0</v>
      </c>
      <c r="N1652" s="50" t="n">
        <v>5</v>
      </c>
      <c r="O1652" s="53" t="n">
        <v>35</v>
      </c>
      <c r="P1652" s="48" t="s">
        <v>177</v>
      </c>
      <c r="Q1652" s="50"/>
      <c r="R1652" s="53" t="n">
        <f aca="false">IF(BZ1652=1,0,IFERROR(VLOOKUP(BX1652,'Gebinde-Kategorie'!$A$5:$N$45,13,0)+0,0))</f>
        <v>12</v>
      </c>
      <c r="S1652" s="54"/>
      <c r="T1652" s="55" t="s">
        <v>188</v>
      </c>
      <c r="U1652" s="55"/>
      <c r="V1652" s="55"/>
      <c r="W1652" s="48"/>
      <c r="X1652" s="50"/>
      <c r="Y1652" s="50"/>
      <c r="Z1652" s="48" t="n">
        <f aca="false">IF(A1652="","",IF(AND(Parameter!$B$21="Ja",ISNUMBER(W1652)),W1652,IF(CC1652="2+3",IF(ISNUMBER(SEARCH("grosser Artikel",BU1652)),2,IFERROR(VLOOKUP(BX1652,Parameter!$F$35:$G$64,2,0),2)),IF(OR(CC1652="Nein",CC1652=""),"-",CC1652))))</f>
        <v>2</v>
      </c>
      <c r="AA1652" s="55"/>
      <c r="AB1652" s="56"/>
      <c r="AC1652" s="50" t="n">
        <f aca="false">AV1652</f>
        <v>5</v>
      </c>
      <c r="AD1652" s="50" t="n">
        <f aca="false">MAX(AV1652,H1652)</f>
        <v>5</v>
      </c>
      <c r="AE1652" s="57"/>
      <c r="AF1652" s="50" t="n">
        <f aca="false">IF(LEFT(Cockpit!$C$5,1)="A",H1652,IF(Parameter!$E$30="MAX-Bestand",IF(CH1652=1,CI1652,IF(LEFT(Cockpit!$C$5,1)="B",AL1652,MAX(AL1652,H1652))),ROUNDUP(AJ1652,0)))</f>
        <v>1</v>
      </c>
      <c r="AG1652" s="50" t="n">
        <f aca="false">IF(BZ1652=1,0,ROUNDUP(AF1652/BY1652,0))</f>
        <v>1</v>
      </c>
      <c r="AH1652" s="52" t="n">
        <f aca="false">IF(CQ1652&gt;0,CQ1652*MAX(1,AF1652/X1652),IF(BZ1652=1,IF(AF1652&lt;=0,0,CD1652*MAX(1,IF(H1652&gt;0,AF1652/H1652,1))),IF(R1652&gt;0,AG1652/R1652,0))/MAX(0.1,N(Parameter!$M$21)))</f>
        <v>0.0833333333333333</v>
      </c>
      <c r="AI1652" s="50" t="n">
        <f aca="false">AH1652*CB1652</f>
        <v>12.0833333333333</v>
      </c>
      <c r="AJ1652" s="51" t="n">
        <f aca="false">IF(LEFT(Cockpit!$C$5,1)="A",H1652,IF(CH1652=1,(CK1652+CI1652)/2,IF(LEFT(Cockpit!$C$5,1)="B",(CK1652+AL1652)/2,MAX((CK1652+AL1652)/2,H1652))))</f>
        <v>1</v>
      </c>
      <c r="AK1652" s="50" t="n">
        <f aca="false">AJ1652*G1652</f>
        <v>1370</v>
      </c>
      <c r="AL1652" s="50" t="n">
        <f aca="false">ROUNDUP(CK1652+MAX(CL1652,2*(J1652/IF(CG1652&gt;0,CG1652,MAX(0.1,N(Cockpit!$C$6)))-CK1652)),0)</f>
        <v>5</v>
      </c>
      <c r="AM1652" s="51" t="n">
        <f aca="false">IF(AI1652&gt;0,J1652/AI1652,-1)</f>
        <v>0</v>
      </c>
      <c r="AN1652" s="51" t="n">
        <f aca="false">IF(AND(OR(CF1652="L1",CF1652="L23",CF1652="LIFT"),AI1652&gt;0),SUMIFS($AI$7:$AI$1843,$CF$7:$CF$1843,CF1652,$AM$7:$AM$1843,"&gt;"&amp;AM1652)+SUMIFS($AI$7:$AI$1843,$CF$7:$CF$1843,CF1652,$AM$7:$AM$1843,AM1652,$BW$7:$BW$1843,"&lt;="&amp;BW1652),"")</f>
        <v>31244.6974012334</v>
      </c>
      <c r="AO1652" s="58" t="n">
        <f aca="false">IF(AN1652="",0,MAX(0,MIN(1,(IF(CF1652="L1",Parameter!$H$5,IF(CF1652="L23",Parameter!$H$6+Parameter!$H$7,Parameter!$H$5+Parameter!$H$6+Parameter!$H$7))-(AN1652-AI1652))/AI1652)))</f>
        <v>1</v>
      </c>
      <c r="AP1652" s="50" t="n">
        <f aca="false">IF(LEFT(Cockpit!$I$5,1)="A",H1652,IF(Parameter!$E$30="MAX-Bestand",IF(CH1652=1,CI1652,IF(LEFT(Cockpit!$I$5,1)="B",AV1652,MAX(AV1652,H1652))),ROUNDUP(AT1652,0)))</f>
        <v>3</v>
      </c>
      <c r="AQ1652" s="50" t="n">
        <f aca="false">IF(BZ1652=1,0,ROUNDUP(AP1652/BY1652,0))</f>
        <v>1</v>
      </c>
      <c r="AR1652" s="52" t="n">
        <f aca="false">IF(CQ1652&gt;0,CQ1652*MAX(1,AP1652/X1652),IF(BZ1652=1,IF(AP1652&lt;=0,0,CD1652*MAX(1,IF(H1652&gt;0,AP1652/H1652,1))),IF(R1652&gt;0,AQ1652/R1652,0))/MAX(0.1,N(Parameter!$M$21)))</f>
        <v>0.0833333333333333</v>
      </c>
      <c r="AS1652" s="50" t="n">
        <f aca="false">AR1652*CB1652</f>
        <v>12.0833333333333</v>
      </c>
      <c r="AT1652" s="51" t="n">
        <f aca="false">IF(LEFT(Cockpit!$I$5,1)="A",H1652,IF(CH1652=1,(CK1652+CI1652)/2,IF(LEFT(Cockpit!$I$5,1)="B",(CK1652+AV1652)/2,MAX((CK1652+AV1652)/2,H1652))))</f>
        <v>2.5</v>
      </c>
      <c r="AU1652" s="50" t="n">
        <f aca="false">AT1652*G1652</f>
        <v>3425</v>
      </c>
      <c r="AV1652" s="50" t="n">
        <f aca="false">ROUNDUP(CK1652+MAX(CL1652,2*(J1652/IF(CG1652&gt;0,CG1652,MAX(0.1,N(Cockpit!$I$6)))-CK1652)),0)</f>
        <v>5</v>
      </c>
      <c r="AW1652" s="51" t="n">
        <f aca="false">IF(AS1652&gt;0,J1652/AS1652,-1)</f>
        <v>0</v>
      </c>
      <c r="AX1652" s="51" t="n">
        <f aca="false">IF(AND(OR(CF1652="L1",CF1652="L23",CF1652="LIFT"),AS1652&gt;0),SUMIFS($AS$7:$AS$1843,$CF$7:$CF$1843,CF1652,$AW$7:$AW$1843,"&gt;"&amp;AW1652)+SUMIFS($AS$7:$AS$1843,$CF$7:$CF$1843,CF1652,$AW$7:$AW$1843,AW1652,$BW$7:$BW$1843,"&lt;="&amp;BW1652),"")</f>
        <v>37716.9456318164</v>
      </c>
      <c r="AY1652" s="58" t="n">
        <f aca="false">IF(AX1652="",0,MAX(0,MIN(1,(IF(CF1652="L1",Parameter!$H$5,IF(CF1652="L23",Parameter!$H$6+Parameter!$H$7,Parameter!$H$5+Parameter!$H$6+Parameter!$H$7))-(AX1652-AS1652))/AS1652)))</f>
        <v>0</v>
      </c>
      <c r="AZ1652" s="50" t="n">
        <f aca="false">IF(LEFT(Cockpit!$O$5,1)="A",H1652,IF(Parameter!$E$30="MAX-Bestand",IF(CH1652=1,CI1652,IF(LEFT(Cockpit!$O$5,1)="B",BF1652,MAX(BF1652,H1652))),ROUNDUP(BD1652,0)))</f>
        <v>3</v>
      </c>
      <c r="BA1652" s="50" t="n">
        <f aca="false">IF(BZ1652=1,0,ROUNDUP(AZ1652/BY1652,0))</f>
        <v>1</v>
      </c>
      <c r="BB1652" s="52" t="n">
        <f aca="false">IF(CQ1652&gt;0,CQ1652*MAX(1,AZ1652/X1652),IF(BZ1652=1,IF(AZ1652&lt;=0,0,CD1652*MAX(1,IF(H1652&gt;0,AZ1652/H1652,1))),IF(R1652&gt;0,BA1652/R1652,0))/MAX(0.1,N(Parameter!$M$21)))</f>
        <v>0.0833333333333333</v>
      </c>
      <c r="BC1652" s="50" t="n">
        <f aca="false">BB1652*CB1652</f>
        <v>12.0833333333333</v>
      </c>
      <c r="BD1652" s="51" t="n">
        <f aca="false">IF(LEFT(Cockpit!$O$5,1)="A",H1652,IF(CH1652=1,(CK1652+CI1652)/2,IF(LEFT(Cockpit!$O$5,1)="B",(CK1652+BF1652)/2,MAX((CK1652+BF1652)/2,H1652))))</f>
        <v>2.5</v>
      </c>
      <c r="BE1652" s="50" t="n">
        <f aca="false">BD1652*G1652</f>
        <v>3425</v>
      </c>
      <c r="BF1652" s="50" t="n">
        <f aca="false">ROUNDUP(CK1652+MAX(CL1652,2*(J1652/IF(CG1652&gt;0,CG1652,MAX(0.1,N(Cockpit!$O$6)))-CK1652)),0)</f>
        <v>5</v>
      </c>
      <c r="BG1652" s="51" t="n">
        <f aca="false">IF(BC1652&gt;0,J1652/BC1652,-1)</f>
        <v>0</v>
      </c>
      <c r="BH1652" s="51" t="n">
        <f aca="false">IF(AND(OR(CF1652="L1",CF1652="L23",CF1652="LIFT"),BC1652&gt;0),SUMIFS($BC$7:$BC$1843,$CF$7:$CF$1843,CF1652,$BG$7:$BG$1843,"&gt;"&amp;BG1652)+SUMIFS($BC$7:$BC$1843,$CF$7:$CF$1843,CF1652,$BG$7:$BG$1843,BG1652,$BW$7:$BW$1843,"&lt;="&amp;BW1652),"")</f>
        <v>31626.3869073488</v>
      </c>
      <c r="BI1652" s="58" t="n">
        <f aca="false">IF(BH1652="",0,MAX(0,MIN(1,(IF(CF1652="L1",Parameter!$H$5,IF(CF1652="L23",Parameter!$H$6+Parameter!$H$7,Parameter!$H$5+Parameter!$H$6+Parameter!$H$7))-(BH1652-BC1652))/BC1652)))</f>
        <v>1</v>
      </c>
      <c r="BJ1652" s="48" t="str">
        <f aca="false">IF(AI1652&lt;=0,"",IF(CF1652="Aussen","Aussenlager",IF(CF1652="-","Nicht im Lift",IF(AO1652&gt;=1,"Lift",IF(AO1652&lt;=0,"Aussenlager","teilweise")))))</f>
        <v>Lift</v>
      </c>
      <c r="BK1652" s="48" t="str">
        <f aca="false">IF(AS1652&lt;=0,"",IF(CF1652="Aussen","Aussenlager",IF(CF1652="-","Nicht im Lift",IF(AY1652&gt;=1,"Lift",IF(AY1652&lt;=0,"Aussenlager","teilweise")))))</f>
        <v>Aussenlager</v>
      </c>
      <c r="BL1652" s="48" t="str">
        <f aca="false">IF(BC1652&lt;=0,"",IF(CF1652="Aussen","Aussenlager",IF(CF1652="-","Nicht im Lift",IF(BI1652&gt;=1,"Lift",IF(BI1652&lt;=0,"Aussenlager","teilweise")))))</f>
        <v>Lift</v>
      </c>
      <c r="BM1652" s="48" t="str">
        <f aca="false">IF(A1652="","",IF(BV1652=1,"Neu; ","")&amp;IF(AND(BV1652=0,BQ1652&lt;0),"negativer Bestand (Export "&amp;BQ1652&amp;"); ","")&amp;IF(J1652&lt;=0,"Kein Verbrauch; ","")&amp;IF(CQ1652&gt;0,"Lift "&amp;W1652&amp;" lt. Liftbericht (Fach "&amp;X1652&amp;" Stk); ",IF(CA1652=1,"Gebinde geschätzt ("&amp;T1652&amp;"); ",IF(BZ1652=1,"Lose – Tablare geschätzt; ","")))&amp;IF(H1652&gt;AV1652,"Überbestand "&amp;ROUND(H1652-AV1652,0)&amp;" Stk / CHF "&amp;ROUND((H1652-AV1652)*G1652,0)&amp;"; ","")&amp;IF(AND(CH1652=1,CI1652&lt;CJ1652),"MAX &lt; MB+LG; ","")&amp;IF(AND(CP1652&gt;0,CO1652*10&gt;CP1652),"zu hoch für Tablar; ","")&amp;IF(AND(BV1652=0,OR(CH1652=1,AA1652&lt;&gt;"",U1652&lt;&gt;"",V1652&lt;&gt;"",AB1652&lt;&gt;"")),"manuell übersteuert; ","")&amp;IF(AND(BZ1652=0,R1652=0),"Gebinde unbekannt / Stellmass fehlt; ","")&amp;IF(AND(BZ1652=0,N(V1652)&lt;=0,N(Q1652)&lt;=0),"Menge pro Gebinde fehlt (Ist = 1 Gebinde); ","")&amp;BU1652)</f>
        <v>Kein Verbrauch; Gebinde geschätzt (Mittel); Menge pro Gebinde fehlt (Ist = 1 Gebinde); nur im Artikelstamm (Bestand 23.06.2026); Neuer Art.</v>
      </c>
      <c r="BN1652" s="48"/>
      <c r="BO1652" s="48"/>
      <c r="BP1652" s="55"/>
      <c r="BQ1652" s="50" t="n">
        <v>1</v>
      </c>
      <c r="BR1652" s="50" t="n">
        <v>0</v>
      </c>
      <c r="BS1652" s="49" t="n">
        <v>0</v>
      </c>
      <c r="BT1652" s="50" t="n">
        <v>0</v>
      </c>
      <c r="BU1652" s="48" t="s">
        <v>2882</v>
      </c>
      <c r="BV1652" s="53" t="n">
        <v>0</v>
      </c>
      <c r="BW1652" s="53" t="n">
        <v>1652</v>
      </c>
      <c r="BX1652" s="48" t="str">
        <f aca="false">IF(U1652&lt;&gt;"",UPPER(TRIM(U1652)),IF(CA1652=1,UPPER(VLOOKUP(T1652,Parameter!$I$27:$K$29,2,0)),IF(P1652="","LOSE",P1652)))</f>
        <v>S61</v>
      </c>
      <c r="BY1652" s="50" t="n">
        <f aca="false">IF(BX1652="LOSE",1,IF(N(V1652)&gt;0,V1652,IF(CA1652=1,MAX(1,N(VLOOKUP(T1652,Parameter!$I$27:$K$29,3,0)),H1652,N(N1652)),IF(N(Q1652)&gt;0,Q1652,MAX(1,H1652)))))</f>
        <v>5</v>
      </c>
      <c r="BZ1652" s="53" t="n">
        <f aca="false">IF(BX1652="LOSE",1,0)</f>
        <v>0</v>
      </c>
      <c r="CA1652" s="53" t="n">
        <f aca="false">IF(AND(U1652="",OR(P1652="",P1652="LOSE"),T1652&lt;&gt;"",N(S1652)&lt;=0,ISNUMBER(MATCH(T1652,Parameter!$I$27:$I$29,0))),1,0)</f>
        <v>1</v>
      </c>
      <c r="CB1652" s="53" t="n">
        <f aca="false">IF(CQ1652&gt;0,INDEX(Parameter!$H$5:$H$7,W1652)/INDEX(Parameter!$E$5:$E$7,W1652),IF(AND(BZ1652=0,N(IFERROR(VLOOKUP(BX1652,'Gebinde-Kategorie'!$A$5:$N$45,14,0),0))&gt;0),VLOOKUP(BX1652,'Gebinde-Kategorie'!$A$5:$N$45,14,0)*10+Parameter!$M$23,Parameter!$M$24))</f>
        <v>145</v>
      </c>
      <c r="CC1652" s="48" t="str">
        <f aca="false">IF(AND(Parameter!$B$19="Ja",E1652&lt;&gt;"",ISNUMBER(MATCH(E1652,Parameter!$I$35:$I$52,0))),VLOOKUP(E1652,Parameter!$I$35:$J$52,2,0),IFERROR(VLOOKUP(D1652,Parameter!$A$35:$C$64,2,0),"Nein"))</f>
        <v>2+3</v>
      </c>
      <c r="CD1652" s="52" t="n">
        <f aca="false">IF(BZ1652=0,0,IF(N(S1652)&gt;0,S1652,IFERROR(VLOOKUP(D1652,Parameter!$A$35:$C$64,3,0)+0,0)))</f>
        <v>0</v>
      </c>
      <c r="CE1652" s="48" t="n">
        <f aca="false">IF(AA1652&lt;&gt;"",AA1652,Z1652)</f>
        <v>2</v>
      </c>
      <c r="CF1652" s="48" t="str">
        <f aca="false">IF(OR(CE1652=1,CE1652=2,CE1652=3),IF(Parameter!$E$27="Ja","LIFT",IF(CE1652=1,"L1","L23")),IF(CE1652="Aussen","Aussen","-"))</f>
        <v>LIFT</v>
      </c>
      <c r="CG1652" s="59" t="n">
        <f aca="false">IF(N(AB1652)&gt;0,AB1652,0)</f>
        <v>0</v>
      </c>
      <c r="CH1652" s="53" t="n">
        <f aca="false">IF(ISNUMBER(AE1652),1,0)</f>
        <v>0</v>
      </c>
      <c r="CI1652" s="50" t="n">
        <f aca="false">N(AE1652)</f>
        <v>0</v>
      </c>
      <c r="CJ1652" s="50" t="n">
        <f aca="false">N(M1652)+N(N1652)</f>
        <v>5</v>
      </c>
      <c r="CK1652" s="50" t="n">
        <f aca="false">N(M1652)</f>
        <v>0</v>
      </c>
      <c r="CL1652" s="50" t="n">
        <f aca="false">N(N1652)</f>
        <v>5</v>
      </c>
      <c r="CM1652" s="50" t="n">
        <f aca="false">ROUNDUP(H1652/BY1652,0)</f>
        <v>1</v>
      </c>
      <c r="CN1652" s="50" t="n">
        <f aca="false">ROUNDUP(CI1652/BY1652,0)</f>
        <v>0</v>
      </c>
      <c r="CO1652" s="53" t="n">
        <f aca="false">IF(BZ1652=1,0,IFERROR(VLOOKUP(BX1652,'Gebinde-Kategorie'!$A$5:$N$45,5,0)+0,0))</f>
        <v>11</v>
      </c>
      <c r="CP1652" s="53" t="n">
        <f aca="false">IFERROR(IF(OR(CE1652=1,CE1652=2,CE1652=3),N(INDEX(Parameter!$I$5:$I$7,CE1652)),0),0)</f>
        <v>0</v>
      </c>
      <c r="CQ1652" s="52" t="n">
        <f aca="false">IF(AND(Parameter!$B$21="Ja",ISNUMBER(W1652),N(X1652)&gt;0),IFERROR(N(INDEX(Parameter!$L$5:$L$7,W1652))*INDEX(Parameter!$E$5:$E$7,W1652)*X1652/SUMIFS($X$7:$X$1843,$W$7:$W$1843,W1652),0),0)</f>
        <v>0</v>
      </c>
    </row>
    <row r="1653" customFormat="false" ht="15" hidden="false" customHeight="false" outlineLevel="0" collapsed="false">
      <c r="A1653" s="48" t="s">
        <v>2883</v>
      </c>
      <c r="B1653" s="48" t="s">
        <v>2884</v>
      </c>
      <c r="C1653" s="48" t="s">
        <v>173</v>
      </c>
      <c r="D1653" s="48" t="s">
        <v>182</v>
      </c>
      <c r="E1653" s="48" t="s">
        <v>182</v>
      </c>
      <c r="F1653" s="48"/>
      <c r="G1653" s="49" t="n">
        <v>444.6</v>
      </c>
      <c r="H1653" s="50" t="n">
        <f aca="false">MAX(0,IF(AND(Parameter!$B$21="Ja",ISNUMBER(Y1653)),Y1653,IF(Parameter!$B$20="Jahresanfang 2025 + Export",BR1653+BQ1653,BQ1653)))</f>
        <v>1</v>
      </c>
      <c r="I1653" s="50" t="n">
        <f aca="false">H1653*G1653</f>
        <v>444.6</v>
      </c>
      <c r="J1653" s="50" t="n">
        <f aca="false">BT1653*Parameter!$B$18</f>
        <v>0</v>
      </c>
      <c r="K1653" s="51"/>
      <c r="L1653" s="52"/>
      <c r="M1653" s="50" t="n">
        <v>0</v>
      </c>
      <c r="N1653" s="50" t="n">
        <v>1</v>
      </c>
      <c r="O1653" s="53" t="n">
        <v>28</v>
      </c>
      <c r="P1653" s="48" t="s">
        <v>177</v>
      </c>
      <c r="Q1653" s="50"/>
      <c r="R1653" s="53" t="n">
        <f aca="false">IF(BZ1653=1,0,IFERROR(VLOOKUP(BX1653,'Gebinde-Kategorie'!$A$5:$N$45,13,0)+0,0))</f>
        <v>12</v>
      </c>
      <c r="S1653" s="54"/>
      <c r="T1653" s="55" t="s">
        <v>188</v>
      </c>
      <c r="U1653" s="55"/>
      <c r="V1653" s="55"/>
      <c r="W1653" s="48"/>
      <c r="X1653" s="50"/>
      <c r="Y1653" s="50"/>
      <c r="Z1653" s="48" t="str">
        <f aca="false">IF(A1653="","",IF(AND(Parameter!$B$21="Ja",ISNUMBER(W1653)),W1653,IF(CC1653="2+3",IF(ISNUMBER(SEARCH("grosser Artikel",BU1653)),2,IFERROR(VLOOKUP(BX1653,Parameter!$F$35:$G$64,2,0),2)),IF(OR(CC1653="Nein",CC1653=""),"-",CC1653))))</f>
        <v>-</v>
      </c>
      <c r="AA1653" s="55"/>
      <c r="AB1653" s="56"/>
      <c r="AC1653" s="50" t="n">
        <f aca="false">AV1653</f>
        <v>1</v>
      </c>
      <c r="AD1653" s="50" t="n">
        <f aca="false">MAX(AV1653,H1653)</f>
        <v>1</v>
      </c>
      <c r="AE1653" s="57"/>
      <c r="AF1653" s="50" t="n">
        <f aca="false">IF(LEFT(Cockpit!$C$5,1)="A",H1653,IF(Parameter!$E$30="MAX-Bestand",IF(CH1653=1,CI1653,IF(LEFT(Cockpit!$C$5,1)="B",AL1653,MAX(AL1653,H1653))),ROUNDUP(AJ1653,0)))</f>
        <v>1</v>
      </c>
      <c r="AG1653" s="50" t="n">
        <f aca="false">IF(BZ1653=1,0,ROUNDUP(AF1653/BY1653,0))</f>
        <v>1</v>
      </c>
      <c r="AH1653" s="52" t="n">
        <f aca="false">IF(CQ1653&gt;0,CQ1653*MAX(1,AF1653/X1653),IF(BZ1653=1,IF(AF1653&lt;=0,0,CD1653*MAX(1,IF(H1653&gt;0,AF1653/H1653,1))),IF(R1653&gt;0,AG1653/R1653,0))/MAX(0.1,N(Parameter!$M$21)))</f>
        <v>0.0833333333333333</v>
      </c>
      <c r="AI1653" s="50" t="n">
        <f aca="false">AH1653*CB1653</f>
        <v>12.0833333333333</v>
      </c>
      <c r="AJ1653" s="51" t="n">
        <f aca="false">IF(LEFT(Cockpit!$C$5,1)="A",H1653,IF(CH1653=1,(CK1653+CI1653)/2,IF(LEFT(Cockpit!$C$5,1)="B",(CK1653+AL1653)/2,MAX((CK1653+AL1653)/2,H1653))))</f>
        <v>1</v>
      </c>
      <c r="AK1653" s="50" t="n">
        <f aca="false">AJ1653*G1653</f>
        <v>444.6</v>
      </c>
      <c r="AL1653" s="50" t="n">
        <f aca="false">ROUNDUP(CK1653+MAX(CL1653,2*(J1653/IF(CG1653&gt;0,CG1653,MAX(0.1,N(Cockpit!$C$6)))-CK1653)),0)</f>
        <v>1</v>
      </c>
      <c r="AM1653" s="51" t="n">
        <f aca="false">IF(AI1653&gt;0,J1653/AI1653,-1)</f>
        <v>0</v>
      </c>
      <c r="AN1653" s="51" t="str">
        <f aca="false">IF(AND(OR(CF1653="L1",CF1653="L23",CF1653="LIFT"),AI1653&gt;0),SUMIFS($AI$7:$AI$1843,$CF$7:$CF$1843,CF1653,$AM$7:$AM$1843,"&gt;"&amp;AM1653)+SUMIFS($AI$7:$AI$1843,$CF$7:$CF$1843,CF1653,$AM$7:$AM$1843,AM1653,$BW$7:$BW$1843,"&lt;="&amp;BW1653),"")</f>
        <v/>
      </c>
      <c r="AO1653" s="58" t="n">
        <f aca="false">IF(AN1653="",0,MAX(0,MIN(1,(IF(CF1653="L1",Parameter!$H$5,IF(CF1653="L23",Parameter!$H$6+Parameter!$H$7,Parameter!$H$5+Parameter!$H$6+Parameter!$H$7))-(AN1653-AI1653))/AI1653)))</f>
        <v>0</v>
      </c>
      <c r="AP1653" s="50" t="n">
        <f aca="false">IF(LEFT(Cockpit!$I$5,1)="A",H1653,IF(Parameter!$E$30="MAX-Bestand",IF(CH1653=1,CI1653,IF(LEFT(Cockpit!$I$5,1)="B",AV1653,MAX(AV1653,H1653))),ROUNDUP(AT1653,0)))</f>
        <v>1</v>
      </c>
      <c r="AQ1653" s="50" t="n">
        <f aca="false">IF(BZ1653=1,0,ROUNDUP(AP1653/BY1653,0))</f>
        <v>1</v>
      </c>
      <c r="AR1653" s="52" t="n">
        <f aca="false">IF(CQ1653&gt;0,CQ1653*MAX(1,AP1653/X1653),IF(BZ1653=1,IF(AP1653&lt;=0,0,CD1653*MAX(1,IF(H1653&gt;0,AP1653/H1653,1))),IF(R1653&gt;0,AQ1653/R1653,0))/MAX(0.1,N(Parameter!$M$21)))</f>
        <v>0.0833333333333333</v>
      </c>
      <c r="AS1653" s="50" t="n">
        <f aca="false">AR1653*CB1653</f>
        <v>12.0833333333333</v>
      </c>
      <c r="AT1653" s="51" t="n">
        <f aca="false">IF(LEFT(Cockpit!$I$5,1)="A",H1653,IF(CH1653=1,(CK1653+CI1653)/2,IF(LEFT(Cockpit!$I$5,1)="B",(CK1653+AV1653)/2,MAX((CK1653+AV1653)/2,H1653))))</f>
        <v>1</v>
      </c>
      <c r="AU1653" s="50" t="n">
        <f aca="false">AT1653*G1653</f>
        <v>444.6</v>
      </c>
      <c r="AV1653" s="50" t="n">
        <f aca="false">ROUNDUP(CK1653+MAX(CL1653,2*(J1653/IF(CG1653&gt;0,CG1653,MAX(0.1,N(Cockpit!$I$6)))-CK1653)),0)</f>
        <v>1</v>
      </c>
      <c r="AW1653" s="51" t="n">
        <f aca="false">IF(AS1653&gt;0,J1653/AS1653,-1)</f>
        <v>0</v>
      </c>
      <c r="AX1653" s="51" t="str">
        <f aca="false">IF(AND(OR(CF1653="L1",CF1653="L23",CF1653="LIFT"),AS1653&gt;0),SUMIFS($AS$7:$AS$1843,$CF$7:$CF$1843,CF1653,$AW$7:$AW$1843,"&gt;"&amp;AW1653)+SUMIFS($AS$7:$AS$1843,$CF$7:$CF$1843,CF1653,$AW$7:$AW$1843,AW1653,$BW$7:$BW$1843,"&lt;="&amp;BW1653),"")</f>
        <v/>
      </c>
      <c r="AY1653" s="58" t="n">
        <f aca="false">IF(AX1653="",0,MAX(0,MIN(1,(IF(CF1653="L1",Parameter!$H$5,IF(CF1653="L23",Parameter!$H$6+Parameter!$H$7,Parameter!$H$5+Parameter!$H$6+Parameter!$H$7))-(AX1653-AS1653))/AS1653)))</f>
        <v>0</v>
      </c>
      <c r="AZ1653" s="50" t="n">
        <f aca="false">IF(LEFT(Cockpit!$O$5,1)="A",H1653,IF(Parameter!$E$30="MAX-Bestand",IF(CH1653=1,CI1653,IF(LEFT(Cockpit!$O$5,1)="B",BF1653,MAX(BF1653,H1653))),ROUNDUP(BD1653,0)))</f>
        <v>1</v>
      </c>
      <c r="BA1653" s="50" t="n">
        <f aca="false">IF(BZ1653=1,0,ROUNDUP(AZ1653/BY1653,0))</f>
        <v>1</v>
      </c>
      <c r="BB1653" s="52" t="n">
        <f aca="false">IF(CQ1653&gt;0,CQ1653*MAX(1,AZ1653/X1653),IF(BZ1653=1,IF(AZ1653&lt;=0,0,CD1653*MAX(1,IF(H1653&gt;0,AZ1653/H1653,1))),IF(R1653&gt;0,BA1653/R1653,0))/MAX(0.1,N(Parameter!$M$21)))</f>
        <v>0.0833333333333333</v>
      </c>
      <c r="BC1653" s="50" t="n">
        <f aca="false">BB1653*CB1653</f>
        <v>12.0833333333333</v>
      </c>
      <c r="BD1653" s="51" t="n">
        <f aca="false">IF(LEFT(Cockpit!$O$5,1)="A",H1653,IF(CH1653=1,(CK1653+CI1653)/2,IF(LEFT(Cockpit!$O$5,1)="B",(CK1653+BF1653)/2,MAX((CK1653+BF1653)/2,H1653))))</f>
        <v>0.5</v>
      </c>
      <c r="BE1653" s="50" t="n">
        <f aca="false">BD1653*G1653</f>
        <v>222.3</v>
      </c>
      <c r="BF1653" s="50" t="n">
        <f aca="false">ROUNDUP(CK1653+MAX(CL1653,2*(J1653/IF(CG1653&gt;0,CG1653,MAX(0.1,N(Cockpit!$O$6)))-CK1653)),0)</f>
        <v>1</v>
      </c>
      <c r="BG1653" s="51" t="n">
        <f aca="false">IF(BC1653&gt;0,J1653/BC1653,-1)</f>
        <v>0</v>
      </c>
      <c r="BH1653" s="51" t="str">
        <f aca="false">IF(AND(OR(CF1653="L1",CF1653="L23",CF1653="LIFT"),BC1653&gt;0),SUMIFS($BC$7:$BC$1843,$CF$7:$CF$1843,CF1653,$BG$7:$BG$1843,"&gt;"&amp;BG1653)+SUMIFS($BC$7:$BC$1843,$CF$7:$CF$1843,CF1653,$BG$7:$BG$1843,BG1653,$BW$7:$BW$1843,"&lt;="&amp;BW1653),"")</f>
        <v/>
      </c>
      <c r="BI1653" s="58" t="n">
        <f aca="false">IF(BH1653="",0,MAX(0,MIN(1,(IF(CF1653="L1",Parameter!$H$5,IF(CF1653="L23",Parameter!$H$6+Parameter!$H$7,Parameter!$H$5+Parameter!$H$6+Parameter!$H$7))-(BH1653-BC1653))/BC1653)))</f>
        <v>0</v>
      </c>
      <c r="BJ1653" s="48" t="str">
        <f aca="false">IF(AI1653&lt;=0,"",IF(CF1653="Aussen","Aussenlager",IF(CF1653="-","Nicht im Lift",IF(AO1653&gt;=1,"Lift",IF(AO1653&lt;=0,"Aussenlager","teilweise")))))</f>
        <v>Nicht im Lift</v>
      </c>
      <c r="BK1653" s="48" t="str">
        <f aca="false">IF(AS1653&lt;=0,"",IF(CF1653="Aussen","Aussenlager",IF(CF1653="-","Nicht im Lift",IF(AY1653&gt;=1,"Lift",IF(AY1653&lt;=0,"Aussenlager","teilweise")))))</f>
        <v>Nicht im Lift</v>
      </c>
      <c r="BL1653" s="48" t="str">
        <f aca="false">IF(BC1653&lt;=0,"",IF(CF1653="Aussen","Aussenlager",IF(CF1653="-","Nicht im Lift",IF(BI1653&gt;=1,"Lift",IF(BI1653&lt;=0,"Aussenlager","teilweise")))))</f>
        <v>Nicht im Lift</v>
      </c>
      <c r="BM1653" s="48" t="str">
        <f aca="false">IF(A1653="","",IF(BV1653=1,"Neu; ","")&amp;IF(AND(BV1653=0,BQ1653&lt;0),"negativer Bestand (Export "&amp;BQ1653&amp;"); ","")&amp;IF(J1653&lt;=0,"Kein Verbrauch; ","")&amp;IF(CQ1653&gt;0,"Lift "&amp;W1653&amp;" lt. Liftbericht (Fach "&amp;X1653&amp;" Stk); ",IF(CA1653=1,"Gebinde geschätzt ("&amp;T1653&amp;"); ",IF(BZ1653=1,"Lose – Tablare geschätzt; ","")))&amp;IF(H1653&gt;AV1653,"Überbestand "&amp;ROUND(H1653-AV1653,0)&amp;" Stk / CHF "&amp;ROUND((H1653-AV1653)*G1653,0)&amp;"; ","")&amp;IF(AND(CH1653=1,CI1653&lt;CJ1653),"MAX &lt; MB+LG; ","")&amp;IF(AND(CP1653&gt;0,CO1653*10&gt;CP1653),"zu hoch für Tablar; ","")&amp;IF(AND(BV1653=0,OR(CH1653=1,AA1653&lt;&gt;"",U1653&lt;&gt;"",V1653&lt;&gt;"",AB1653&lt;&gt;"")),"manuell übersteuert; ","")&amp;IF(AND(BZ1653=0,R1653=0),"Gebinde unbekannt / Stellmass fehlt; ","")&amp;IF(AND(BZ1653=0,N(V1653)&lt;=0,N(Q1653)&lt;=0),"Menge pro Gebinde fehlt (Ist = 1 Gebinde); ","")&amp;BU1653)</f>
        <v>Kein Verbrauch; Gebinde geschätzt (Mittel); Menge pro Gebinde fehlt (Ist = 1 Gebinde); nur im Artikelstamm (Bestand 23.06.2026)</v>
      </c>
      <c r="BN1653" s="48"/>
      <c r="BO1653" s="48"/>
      <c r="BP1653" s="55"/>
      <c r="BQ1653" s="50" t="n">
        <v>1</v>
      </c>
      <c r="BR1653" s="50" t="n">
        <v>0</v>
      </c>
      <c r="BS1653" s="49" t="n">
        <v>0</v>
      </c>
      <c r="BT1653" s="50" t="n">
        <v>0</v>
      </c>
      <c r="BU1653" s="48" t="s">
        <v>2584</v>
      </c>
      <c r="BV1653" s="53" t="n">
        <v>0</v>
      </c>
      <c r="BW1653" s="53" t="n">
        <v>1653</v>
      </c>
      <c r="BX1653" s="48" t="str">
        <f aca="false">IF(U1653&lt;&gt;"",UPPER(TRIM(U1653)),IF(CA1653=1,UPPER(VLOOKUP(T1653,Parameter!$I$27:$K$29,2,0)),IF(P1653="","LOSE",P1653)))</f>
        <v>S61</v>
      </c>
      <c r="BY1653" s="50" t="n">
        <f aca="false">IF(BX1653="LOSE",1,IF(N(V1653)&gt;0,V1653,IF(CA1653=1,MAX(1,N(VLOOKUP(T1653,Parameter!$I$27:$K$29,3,0)),H1653,N(N1653)),IF(N(Q1653)&gt;0,Q1653,MAX(1,H1653)))))</f>
        <v>4</v>
      </c>
      <c r="BZ1653" s="53" t="n">
        <f aca="false">IF(BX1653="LOSE",1,0)</f>
        <v>0</v>
      </c>
      <c r="CA1653" s="53" t="n">
        <f aca="false">IF(AND(U1653="",OR(P1653="",P1653="LOSE"),T1653&lt;&gt;"",N(S1653)&lt;=0,ISNUMBER(MATCH(T1653,Parameter!$I$27:$I$29,0))),1,0)</f>
        <v>1</v>
      </c>
      <c r="CB1653" s="53" t="n">
        <f aca="false">IF(CQ1653&gt;0,INDEX(Parameter!$H$5:$H$7,W1653)/INDEX(Parameter!$E$5:$E$7,W1653),IF(AND(BZ1653=0,N(IFERROR(VLOOKUP(BX1653,'Gebinde-Kategorie'!$A$5:$N$45,14,0),0))&gt;0),VLOOKUP(BX1653,'Gebinde-Kategorie'!$A$5:$N$45,14,0)*10+Parameter!$M$23,Parameter!$M$24))</f>
        <v>145</v>
      </c>
      <c r="CC1653" s="48" t="str">
        <f aca="false">IF(AND(Parameter!$B$19="Ja",E1653&lt;&gt;"",ISNUMBER(MATCH(E1653,Parameter!$I$35:$I$52,0))),VLOOKUP(E1653,Parameter!$I$35:$J$52,2,0),IFERROR(VLOOKUP(D1653,Parameter!$A$35:$C$64,2,0),"Nein"))</f>
        <v>Nein</v>
      </c>
      <c r="CD1653" s="52" t="n">
        <f aca="false">IF(BZ1653=0,0,IF(N(S1653)&gt;0,S1653,IFERROR(VLOOKUP(D1653,Parameter!$A$35:$C$64,3,0)+0,0)))</f>
        <v>0</v>
      </c>
      <c r="CE1653" s="48" t="str">
        <f aca="false">IF(AA1653&lt;&gt;"",AA1653,Z1653)</f>
        <v>-</v>
      </c>
      <c r="CF1653" s="48" t="str">
        <f aca="false">IF(OR(CE1653=1,CE1653=2,CE1653=3),IF(Parameter!$E$27="Ja","LIFT",IF(CE1653=1,"L1","L23")),IF(CE1653="Aussen","Aussen","-"))</f>
        <v>-</v>
      </c>
      <c r="CG1653" s="59" t="n">
        <f aca="false">IF(N(AB1653)&gt;0,AB1653,0)</f>
        <v>0</v>
      </c>
      <c r="CH1653" s="53" t="n">
        <f aca="false">IF(ISNUMBER(AE1653),1,0)</f>
        <v>0</v>
      </c>
      <c r="CI1653" s="50" t="n">
        <f aca="false">N(AE1653)</f>
        <v>0</v>
      </c>
      <c r="CJ1653" s="50" t="n">
        <f aca="false">N(M1653)+N(N1653)</f>
        <v>1</v>
      </c>
      <c r="CK1653" s="50" t="n">
        <f aca="false">N(M1653)</f>
        <v>0</v>
      </c>
      <c r="CL1653" s="50" t="n">
        <f aca="false">N(N1653)</f>
        <v>1</v>
      </c>
      <c r="CM1653" s="50" t="n">
        <f aca="false">ROUNDUP(H1653/BY1653,0)</f>
        <v>1</v>
      </c>
      <c r="CN1653" s="50" t="n">
        <f aca="false">ROUNDUP(CI1653/BY1653,0)</f>
        <v>0</v>
      </c>
      <c r="CO1653" s="53" t="n">
        <f aca="false">IF(BZ1653=1,0,IFERROR(VLOOKUP(BX1653,'Gebinde-Kategorie'!$A$5:$N$45,5,0)+0,0))</f>
        <v>11</v>
      </c>
      <c r="CP1653" s="53" t="n">
        <f aca="false">IFERROR(IF(OR(CE1653=1,CE1653=2,CE1653=3),N(INDEX(Parameter!$I$5:$I$7,CE1653)),0),0)</f>
        <v>0</v>
      </c>
      <c r="CQ1653" s="52" t="n">
        <f aca="false">IF(AND(Parameter!$B$21="Ja",ISNUMBER(W1653),N(X1653)&gt;0),IFERROR(N(INDEX(Parameter!$L$5:$L$7,W1653))*INDEX(Parameter!$E$5:$E$7,W1653)*X1653/SUMIFS($X$7:$X$1843,$W$7:$W$1843,W1653),0),0)</f>
        <v>0</v>
      </c>
    </row>
    <row r="1654" customFormat="false" ht="15" hidden="false" customHeight="false" outlineLevel="0" collapsed="false">
      <c r="A1654" s="48" t="s">
        <v>2885</v>
      </c>
      <c r="B1654" s="48" t="s">
        <v>2886</v>
      </c>
      <c r="C1654" s="48" t="s">
        <v>173</v>
      </c>
      <c r="D1654" s="48" t="s">
        <v>193</v>
      </c>
      <c r="E1654" s="48" t="s">
        <v>194</v>
      </c>
      <c r="F1654" s="48"/>
      <c r="G1654" s="49" t="n">
        <v>19</v>
      </c>
      <c r="H1654" s="50" t="n">
        <f aca="false">MAX(0,IF(AND(Parameter!$B$21="Ja",ISNUMBER(Y1654)),Y1654,IF(Parameter!$B$20="Jahresanfang 2025 + Export",BR1654+BQ1654,BQ1654)))</f>
        <v>45</v>
      </c>
      <c r="I1654" s="50" t="n">
        <f aca="false">H1654*G1654</f>
        <v>855</v>
      </c>
      <c r="J1654" s="50" t="n">
        <f aca="false">BT1654*Parameter!$B$18</f>
        <v>0</v>
      </c>
      <c r="K1654" s="51"/>
      <c r="L1654" s="52"/>
      <c r="M1654" s="50" t="n">
        <v>0</v>
      </c>
      <c r="N1654" s="50" t="n">
        <v>20</v>
      </c>
      <c r="O1654" s="53" t="n">
        <v>28</v>
      </c>
      <c r="P1654" s="48" t="s">
        <v>177</v>
      </c>
      <c r="Q1654" s="50"/>
      <c r="R1654" s="53" t="n">
        <f aca="false">IF(BZ1654=1,0,IFERROR(VLOOKUP(BX1654,'Gebinde-Kategorie'!$A$5:$N$45,13,0)+0,0))</f>
        <v>26</v>
      </c>
      <c r="S1654" s="54"/>
      <c r="T1654" s="55" t="s">
        <v>284</v>
      </c>
      <c r="U1654" s="55"/>
      <c r="V1654" s="55"/>
      <c r="W1654" s="48"/>
      <c r="X1654" s="50"/>
      <c r="Y1654" s="50"/>
      <c r="Z1654" s="48" t="n">
        <f aca="false">IF(A1654="","",IF(AND(Parameter!$B$21="Ja",ISNUMBER(W1654)),W1654,IF(CC1654="2+3",IF(ISNUMBER(SEARCH("grosser Artikel",BU1654)),2,IFERROR(VLOOKUP(BX1654,Parameter!$F$35:$G$64,2,0),2)),IF(OR(CC1654="Nein",CC1654=""),"-",CC1654))))</f>
        <v>3</v>
      </c>
      <c r="AA1654" s="55"/>
      <c r="AB1654" s="56"/>
      <c r="AC1654" s="50" t="n">
        <f aca="false">AV1654</f>
        <v>20</v>
      </c>
      <c r="AD1654" s="50" t="n">
        <f aca="false">MAX(AV1654,H1654)</f>
        <v>45</v>
      </c>
      <c r="AE1654" s="57"/>
      <c r="AF1654" s="50" t="n">
        <f aca="false">IF(LEFT(Cockpit!$C$5,1)="A",H1654,IF(Parameter!$E$30="MAX-Bestand",IF(CH1654=1,CI1654,IF(LEFT(Cockpit!$C$5,1)="B",AL1654,MAX(AL1654,H1654))),ROUNDUP(AJ1654,0)))</f>
        <v>45</v>
      </c>
      <c r="AG1654" s="50" t="n">
        <f aca="false">IF(BZ1654=1,0,ROUNDUP(AF1654/BY1654,0))</f>
        <v>1</v>
      </c>
      <c r="AH1654" s="52" t="n">
        <f aca="false">IF(CQ1654&gt;0,CQ1654*MAX(1,AF1654/X1654),IF(BZ1654=1,IF(AF1654&lt;=0,0,CD1654*MAX(1,IF(H1654&gt;0,AF1654/H1654,1))),IF(R1654&gt;0,AG1654/R1654,0))/MAX(0.1,N(Parameter!$M$21)))</f>
        <v>0.0384615384615385</v>
      </c>
      <c r="AI1654" s="50" t="n">
        <f aca="false">AH1654*CB1654</f>
        <v>5.96153846153846</v>
      </c>
      <c r="AJ1654" s="51" t="n">
        <f aca="false">IF(LEFT(Cockpit!$C$5,1)="A",H1654,IF(CH1654=1,(CK1654+CI1654)/2,IF(LEFT(Cockpit!$C$5,1)="B",(CK1654+AL1654)/2,MAX((CK1654+AL1654)/2,H1654))))</f>
        <v>45</v>
      </c>
      <c r="AK1654" s="50" t="n">
        <f aca="false">AJ1654*G1654</f>
        <v>855</v>
      </c>
      <c r="AL1654" s="50" t="n">
        <f aca="false">ROUNDUP(CK1654+MAX(CL1654,2*(J1654/IF(CG1654&gt;0,CG1654,MAX(0.1,N(Cockpit!$C$6)))-CK1654)),0)</f>
        <v>20</v>
      </c>
      <c r="AM1654" s="51" t="n">
        <f aca="false">IF(AI1654&gt;0,J1654/AI1654,-1)</f>
        <v>0</v>
      </c>
      <c r="AN1654" s="51" t="n">
        <f aca="false">IF(AND(OR(CF1654="L1",CF1654="L23",CF1654="LIFT"),AI1654&gt;0),SUMIFS($AI$7:$AI$1843,$CF$7:$CF$1843,CF1654,$AM$7:$AM$1843,"&gt;"&amp;AM1654)+SUMIFS($AI$7:$AI$1843,$CF$7:$CF$1843,CF1654,$AM$7:$AM$1843,AM1654,$BW$7:$BW$1843,"&lt;="&amp;BW1654),"")</f>
        <v>31250.658939695</v>
      </c>
      <c r="AO1654" s="58" t="n">
        <f aca="false">IF(AN1654="",0,MAX(0,MIN(1,(IF(CF1654="L1",Parameter!$H$5,IF(CF1654="L23",Parameter!$H$6+Parameter!$H$7,Parameter!$H$5+Parameter!$H$6+Parameter!$H$7))-(AN1654-AI1654))/AI1654)))</f>
        <v>1</v>
      </c>
      <c r="AP1654" s="50" t="n">
        <f aca="false">IF(LEFT(Cockpit!$I$5,1)="A",H1654,IF(Parameter!$E$30="MAX-Bestand",IF(CH1654=1,CI1654,IF(LEFT(Cockpit!$I$5,1)="B",AV1654,MAX(AV1654,H1654))),ROUNDUP(AT1654,0)))</f>
        <v>45</v>
      </c>
      <c r="AQ1654" s="50" t="n">
        <f aca="false">IF(BZ1654=1,0,ROUNDUP(AP1654/BY1654,0))</f>
        <v>1</v>
      </c>
      <c r="AR1654" s="52" t="n">
        <f aca="false">IF(CQ1654&gt;0,CQ1654*MAX(1,AP1654/X1654),IF(BZ1654=1,IF(AP1654&lt;=0,0,CD1654*MAX(1,IF(H1654&gt;0,AP1654/H1654,1))),IF(R1654&gt;0,AQ1654/R1654,0))/MAX(0.1,N(Parameter!$M$21)))</f>
        <v>0.0384615384615385</v>
      </c>
      <c r="AS1654" s="50" t="n">
        <f aca="false">AR1654*CB1654</f>
        <v>5.96153846153846</v>
      </c>
      <c r="AT1654" s="51" t="n">
        <f aca="false">IF(LEFT(Cockpit!$I$5,1)="A",H1654,IF(CH1654=1,(CK1654+CI1654)/2,IF(LEFT(Cockpit!$I$5,1)="B",(CK1654+AV1654)/2,MAX((CK1654+AV1654)/2,H1654))))</f>
        <v>45</v>
      </c>
      <c r="AU1654" s="50" t="n">
        <f aca="false">AT1654*G1654</f>
        <v>855</v>
      </c>
      <c r="AV1654" s="50" t="n">
        <f aca="false">ROUNDUP(CK1654+MAX(CL1654,2*(J1654/IF(CG1654&gt;0,CG1654,MAX(0.1,N(Cockpit!$I$6)))-CK1654)),0)</f>
        <v>20</v>
      </c>
      <c r="AW1654" s="51" t="n">
        <f aca="false">IF(AS1654&gt;0,J1654/AS1654,-1)</f>
        <v>0</v>
      </c>
      <c r="AX1654" s="51" t="n">
        <f aca="false">IF(AND(OR(CF1654="L1",CF1654="L23",CF1654="LIFT"),AS1654&gt;0),SUMIFS($AS$7:$AS$1843,$CF$7:$CF$1843,CF1654,$AW$7:$AW$1843,"&gt;"&amp;AW1654)+SUMIFS($AS$7:$AS$1843,$CF$7:$CF$1843,CF1654,$AW$7:$AW$1843,AW1654,$BW$7:$BW$1843,"&lt;="&amp;BW1654),"")</f>
        <v>37722.9071702779</v>
      </c>
      <c r="AY1654" s="58" t="n">
        <f aca="false">IF(AX1654="",0,MAX(0,MIN(1,(IF(CF1654="L1",Parameter!$H$5,IF(CF1654="L23",Parameter!$H$6+Parameter!$H$7,Parameter!$H$5+Parameter!$H$6+Parameter!$H$7))-(AX1654-AS1654))/AS1654)))</f>
        <v>0</v>
      </c>
      <c r="AZ1654" s="50" t="n">
        <f aca="false">IF(LEFT(Cockpit!$O$5,1)="A",H1654,IF(Parameter!$E$30="MAX-Bestand",IF(CH1654=1,CI1654,IF(LEFT(Cockpit!$O$5,1)="B",BF1654,MAX(BF1654,H1654))),ROUNDUP(BD1654,0)))</f>
        <v>10</v>
      </c>
      <c r="BA1654" s="50" t="n">
        <f aca="false">IF(BZ1654=1,0,ROUNDUP(AZ1654/BY1654,0))</f>
        <v>1</v>
      </c>
      <c r="BB1654" s="52" t="n">
        <f aca="false">IF(CQ1654&gt;0,CQ1654*MAX(1,AZ1654/X1654),IF(BZ1654=1,IF(AZ1654&lt;=0,0,CD1654*MAX(1,IF(H1654&gt;0,AZ1654/H1654,1))),IF(R1654&gt;0,BA1654/R1654,0))/MAX(0.1,N(Parameter!$M$21)))</f>
        <v>0.0384615384615385</v>
      </c>
      <c r="BC1654" s="50" t="n">
        <f aca="false">BB1654*CB1654</f>
        <v>5.96153846153846</v>
      </c>
      <c r="BD1654" s="51" t="n">
        <f aca="false">IF(LEFT(Cockpit!$O$5,1)="A",H1654,IF(CH1654=1,(CK1654+CI1654)/2,IF(LEFT(Cockpit!$O$5,1)="B",(CK1654+BF1654)/2,MAX((CK1654+BF1654)/2,H1654))))</f>
        <v>10</v>
      </c>
      <c r="BE1654" s="50" t="n">
        <f aca="false">BD1654*G1654</f>
        <v>190</v>
      </c>
      <c r="BF1654" s="50" t="n">
        <f aca="false">ROUNDUP(CK1654+MAX(CL1654,2*(J1654/IF(CG1654&gt;0,CG1654,MAX(0.1,N(Cockpit!$O$6)))-CK1654)),0)</f>
        <v>20</v>
      </c>
      <c r="BG1654" s="51" t="n">
        <f aca="false">IF(BC1654&gt;0,J1654/BC1654,-1)</f>
        <v>0</v>
      </c>
      <c r="BH1654" s="51" t="n">
        <f aca="false">IF(AND(OR(CF1654="L1",CF1654="L23",CF1654="LIFT"),BC1654&gt;0),SUMIFS($BC$7:$BC$1843,$CF$7:$CF$1843,CF1654,$BG$7:$BG$1843,"&gt;"&amp;BG1654)+SUMIFS($BC$7:$BC$1843,$CF$7:$CF$1843,CF1654,$BG$7:$BG$1843,BG1654,$BW$7:$BW$1843,"&lt;="&amp;BW1654),"")</f>
        <v>31632.3484458103</v>
      </c>
      <c r="BI1654" s="58" t="n">
        <f aca="false">IF(BH1654="",0,MAX(0,MIN(1,(IF(CF1654="L1",Parameter!$H$5,IF(CF1654="L23",Parameter!$H$6+Parameter!$H$7,Parameter!$H$5+Parameter!$H$6+Parameter!$H$7))-(BH1654-BC1654))/BC1654)))</f>
        <v>1</v>
      </c>
      <c r="BJ1654" s="48" t="str">
        <f aca="false">IF(AI1654&lt;=0,"",IF(CF1654="Aussen","Aussenlager",IF(CF1654="-","Nicht im Lift",IF(AO1654&gt;=1,"Lift",IF(AO1654&lt;=0,"Aussenlager","teilweise")))))</f>
        <v>Lift</v>
      </c>
      <c r="BK1654" s="48" t="str">
        <f aca="false">IF(AS1654&lt;=0,"",IF(CF1654="Aussen","Aussenlager",IF(CF1654="-","Nicht im Lift",IF(AY1654&gt;=1,"Lift",IF(AY1654&lt;=0,"Aussenlager","teilweise")))))</f>
        <v>Aussenlager</v>
      </c>
      <c r="BL1654" s="48" t="str">
        <f aca="false">IF(BC1654&lt;=0,"",IF(CF1654="Aussen","Aussenlager",IF(CF1654="-","Nicht im Lift",IF(BI1654&gt;=1,"Lift",IF(BI1654&lt;=0,"Aussenlager","teilweise")))))</f>
        <v>Lift</v>
      </c>
      <c r="BM1654" s="48" t="str">
        <f aca="false">IF(A1654="","",IF(BV1654=1,"Neu; ","")&amp;IF(AND(BV1654=0,BQ1654&lt;0),"negativer Bestand (Export "&amp;BQ1654&amp;"); ","")&amp;IF(J1654&lt;=0,"Kein Verbrauch; ","")&amp;IF(CQ1654&gt;0,"Lift "&amp;W1654&amp;" lt. Liftbericht (Fach "&amp;X1654&amp;" Stk); ",IF(CA1654=1,"Gebinde geschätzt ("&amp;T1654&amp;"); ",IF(BZ1654=1,"Lose – Tablare geschätzt; ","")))&amp;IF(H1654&gt;AV1654,"Überbestand "&amp;ROUND(H1654-AV1654,0)&amp;" Stk / CHF "&amp;ROUND((H1654-AV1654)*G1654,0)&amp;"; ","")&amp;IF(AND(CH1654=1,CI1654&lt;CJ1654),"MAX &lt; MB+LG; ","")&amp;IF(AND(CP1654&gt;0,CO1654*10&gt;CP1654),"zu hoch für Tablar; ","")&amp;IF(AND(BV1654=0,OR(CH1654=1,AA1654&lt;&gt;"",U1654&lt;&gt;"",V1654&lt;&gt;"",AB1654&lt;&gt;"")),"manuell übersteuert; ","")&amp;IF(AND(BZ1654=0,R1654=0),"Gebinde unbekannt / Stellmass fehlt; ","")&amp;IF(AND(BZ1654=0,N(V1654)&lt;=0,N(Q1654)&lt;=0),"Menge pro Gebinde fehlt (Ist = 1 Gebinde); ","")&amp;BU1654)</f>
        <v>Kein Verbrauch; Gebinde geschätzt (Klein); Überbestand 25 Stk / CHF 475; Menge pro Gebinde fehlt (Ist = 1 Gebinde); nur im Artikelstamm (Bestand 23.06.2026); nicht im KTL vorhanden</v>
      </c>
      <c r="BN1654" s="48"/>
      <c r="BO1654" s="48"/>
      <c r="BP1654" s="55"/>
      <c r="BQ1654" s="50" t="n">
        <v>45</v>
      </c>
      <c r="BR1654" s="50" t="n">
        <v>0</v>
      </c>
      <c r="BS1654" s="49" t="n">
        <v>0</v>
      </c>
      <c r="BT1654" s="50" t="n">
        <v>0</v>
      </c>
      <c r="BU1654" s="48" t="s">
        <v>2887</v>
      </c>
      <c r="BV1654" s="53" t="n">
        <v>0</v>
      </c>
      <c r="BW1654" s="53" t="n">
        <v>1654</v>
      </c>
      <c r="BX1654" s="48" t="str">
        <f aca="false">IF(U1654&lt;&gt;"",UPPER(TRIM(U1654)),IF(CA1654=1,UPPER(VLOOKUP(T1654,Parameter!$I$27:$K$29,2,0)),IF(P1654="","LOSE",P1654)))</f>
        <v>S51</v>
      </c>
      <c r="BY1654" s="50" t="n">
        <f aca="false">IF(BX1654="LOSE",1,IF(N(V1654)&gt;0,V1654,IF(CA1654=1,MAX(1,N(VLOOKUP(T1654,Parameter!$I$27:$K$29,3,0)),H1654,N(N1654)),IF(N(Q1654)&gt;0,Q1654,MAX(1,H1654)))))</f>
        <v>45</v>
      </c>
      <c r="BZ1654" s="53" t="n">
        <f aca="false">IF(BX1654="LOSE",1,0)</f>
        <v>0</v>
      </c>
      <c r="CA1654" s="53" t="n">
        <f aca="false">IF(AND(U1654="",OR(P1654="",P1654="LOSE"),T1654&lt;&gt;"",N(S1654)&lt;=0,ISNUMBER(MATCH(T1654,Parameter!$I$27:$I$29,0))),1,0)</f>
        <v>1</v>
      </c>
      <c r="CB1654" s="53" t="n">
        <f aca="false">IF(CQ1654&gt;0,INDEX(Parameter!$H$5:$H$7,W1654)/INDEX(Parameter!$E$5:$E$7,W1654),IF(AND(BZ1654=0,N(IFERROR(VLOOKUP(BX1654,'Gebinde-Kategorie'!$A$5:$N$45,14,0),0))&gt;0),VLOOKUP(BX1654,'Gebinde-Kategorie'!$A$5:$N$45,14,0)*10+Parameter!$M$23,Parameter!$M$24))</f>
        <v>155</v>
      </c>
      <c r="CC1654" s="48" t="str">
        <f aca="false">IF(AND(Parameter!$B$19="Ja",E1654&lt;&gt;"",ISNUMBER(MATCH(E1654,Parameter!$I$35:$I$52,0))),VLOOKUP(E1654,Parameter!$I$35:$J$52,2,0),IFERROR(VLOOKUP(D1654,Parameter!$A$35:$C$64,2,0),"Nein"))</f>
        <v>2+3</v>
      </c>
      <c r="CD1654" s="52" t="n">
        <f aca="false">IF(BZ1654=0,0,IF(N(S1654)&gt;0,S1654,IFERROR(VLOOKUP(D1654,Parameter!$A$35:$C$64,3,0)+0,0)))</f>
        <v>0</v>
      </c>
      <c r="CE1654" s="48" t="n">
        <f aca="false">IF(AA1654&lt;&gt;"",AA1654,Z1654)</f>
        <v>3</v>
      </c>
      <c r="CF1654" s="48" t="str">
        <f aca="false">IF(OR(CE1654=1,CE1654=2,CE1654=3),IF(Parameter!$E$27="Ja","LIFT",IF(CE1654=1,"L1","L23")),IF(CE1654="Aussen","Aussen","-"))</f>
        <v>LIFT</v>
      </c>
      <c r="CG1654" s="59" t="n">
        <f aca="false">IF(N(AB1654)&gt;0,AB1654,0)</f>
        <v>0</v>
      </c>
      <c r="CH1654" s="53" t="n">
        <f aca="false">IF(ISNUMBER(AE1654),1,0)</f>
        <v>0</v>
      </c>
      <c r="CI1654" s="50" t="n">
        <f aca="false">N(AE1654)</f>
        <v>0</v>
      </c>
      <c r="CJ1654" s="50" t="n">
        <f aca="false">N(M1654)+N(N1654)</f>
        <v>20</v>
      </c>
      <c r="CK1654" s="50" t="n">
        <f aca="false">N(M1654)</f>
        <v>0</v>
      </c>
      <c r="CL1654" s="50" t="n">
        <f aca="false">N(N1654)</f>
        <v>20</v>
      </c>
      <c r="CM1654" s="50" t="n">
        <f aca="false">ROUNDUP(H1654/BY1654,0)</f>
        <v>1</v>
      </c>
      <c r="CN1654" s="50" t="n">
        <f aca="false">ROUNDUP(CI1654/BY1654,0)</f>
        <v>0</v>
      </c>
      <c r="CO1654" s="53" t="n">
        <f aca="false">IF(BZ1654=1,0,IFERROR(VLOOKUP(BX1654,'Gebinde-Kategorie'!$A$5:$N$45,5,0)+0,0))</f>
        <v>11</v>
      </c>
      <c r="CP1654" s="53" t="n">
        <f aca="false">IFERROR(IF(OR(CE1654=1,CE1654=2,CE1654=3),N(INDEX(Parameter!$I$5:$I$7,CE1654)),0),0)</f>
        <v>0</v>
      </c>
      <c r="CQ1654" s="52" t="n">
        <f aca="false">IF(AND(Parameter!$B$21="Ja",ISNUMBER(W1654),N(X1654)&gt;0),IFERROR(N(INDEX(Parameter!$L$5:$L$7,W1654))*INDEX(Parameter!$E$5:$E$7,W1654)*X1654/SUMIFS($X$7:$X$1843,$W$7:$W$1843,W1654),0),0)</f>
        <v>0</v>
      </c>
    </row>
    <row r="1655" customFormat="false" ht="15" hidden="false" customHeight="false" outlineLevel="0" collapsed="false">
      <c r="A1655" s="48" t="s">
        <v>2888</v>
      </c>
      <c r="B1655" s="48" t="s">
        <v>296</v>
      </c>
      <c r="C1655" s="48" t="s">
        <v>173</v>
      </c>
      <c r="D1655" s="48" t="s">
        <v>182</v>
      </c>
      <c r="E1655" s="48"/>
      <c r="F1655" s="48"/>
      <c r="G1655" s="49" t="n">
        <v>1770</v>
      </c>
      <c r="H1655" s="50" t="n">
        <f aca="false">MAX(0,IF(AND(Parameter!$B$21="Ja",ISNUMBER(Y1655)),Y1655,IF(Parameter!$B$20="Jahresanfang 2025 + Export",BR1655+BQ1655,BQ1655)))</f>
        <v>1</v>
      </c>
      <c r="I1655" s="50" t="n">
        <f aca="false">H1655*G1655</f>
        <v>1770</v>
      </c>
      <c r="J1655" s="50" t="n">
        <f aca="false">BT1655*Parameter!$B$18</f>
        <v>0</v>
      </c>
      <c r="K1655" s="51"/>
      <c r="L1655" s="52"/>
      <c r="M1655" s="50" t="n">
        <v>0</v>
      </c>
      <c r="N1655" s="50" t="n">
        <v>1</v>
      </c>
      <c r="O1655" s="53" t="n">
        <v>35</v>
      </c>
      <c r="P1655" s="48" t="s">
        <v>177</v>
      </c>
      <c r="Q1655" s="50"/>
      <c r="R1655" s="53" t="n">
        <f aca="false">IF(BZ1655=1,0,IFERROR(VLOOKUP(BX1655,'Gebinde-Kategorie'!$A$5:$N$45,13,0)+0,0))</f>
        <v>12</v>
      </c>
      <c r="S1655" s="54"/>
      <c r="T1655" s="55" t="s">
        <v>188</v>
      </c>
      <c r="U1655" s="55"/>
      <c r="V1655" s="55"/>
      <c r="W1655" s="48"/>
      <c r="X1655" s="50"/>
      <c r="Y1655" s="50"/>
      <c r="Z1655" s="48" t="n">
        <f aca="false">IF(A1655="","",IF(AND(Parameter!$B$21="Ja",ISNUMBER(W1655)),W1655,IF(CC1655="2+3",IF(ISNUMBER(SEARCH("grosser Artikel",BU1655)),2,IFERROR(VLOOKUP(BX1655,Parameter!$F$35:$G$64,2,0),2)),IF(OR(CC1655="Nein",CC1655=""),"-",CC1655))))</f>
        <v>2</v>
      </c>
      <c r="AA1655" s="55"/>
      <c r="AB1655" s="56"/>
      <c r="AC1655" s="50" t="n">
        <f aca="false">AV1655</f>
        <v>1</v>
      </c>
      <c r="AD1655" s="50" t="n">
        <f aca="false">MAX(AV1655,H1655)</f>
        <v>1</v>
      </c>
      <c r="AE1655" s="57"/>
      <c r="AF1655" s="50" t="n">
        <f aca="false">IF(LEFT(Cockpit!$C$5,1)="A",H1655,IF(Parameter!$E$30="MAX-Bestand",IF(CH1655=1,CI1655,IF(LEFT(Cockpit!$C$5,1)="B",AL1655,MAX(AL1655,H1655))),ROUNDUP(AJ1655,0)))</f>
        <v>1</v>
      </c>
      <c r="AG1655" s="50" t="n">
        <f aca="false">IF(BZ1655=1,0,ROUNDUP(AF1655/BY1655,0))</f>
        <v>1</v>
      </c>
      <c r="AH1655" s="52" t="n">
        <f aca="false">IF(CQ1655&gt;0,CQ1655*MAX(1,AF1655/X1655),IF(BZ1655=1,IF(AF1655&lt;=0,0,CD1655*MAX(1,IF(H1655&gt;0,AF1655/H1655,1))),IF(R1655&gt;0,AG1655/R1655,0))/MAX(0.1,N(Parameter!$M$21)))</f>
        <v>0.0833333333333333</v>
      </c>
      <c r="AI1655" s="50" t="n">
        <f aca="false">AH1655*CB1655</f>
        <v>12.0833333333333</v>
      </c>
      <c r="AJ1655" s="51" t="n">
        <f aca="false">IF(LEFT(Cockpit!$C$5,1)="A",H1655,IF(CH1655=1,(CK1655+CI1655)/2,IF(LEFT(Cockpit!$C$5,1)="B",(CK1655+AL1655)/2,MAX((CK1655+AL1655)/2,H1655))))</f>
        <v>1</v>
      </c>
      <c r="AK1655" s="50" t="n">
        <f aca="false">AJ1655*G1655</f>
        <v>1770</v>
      </c>
      <c r="AL1655" s="50" t="n">
        <f aca="false">ROUNDUP(CK1655+MAX(CL1655,2*(J1655/IF(CG1655&gt;0,CG1655,MAX(0.1,N(Cockpit!$C$6)))-CK1655)),0)</f>
        <v>1</v>
      </c>
      <c r="AM1655" s="51" t="n">
        <f aca="false">IF(AI1655&gt;0,J1655/AI1655,-1)</f>
        <v>0</v>
      </c>
      <c r="AN1655" s="51" t="n">
        <f aca="false">IF(AND(OR(CF1655="L1",CF1655="L23",CF1655="LIFT"),AI1655&gt;0),SUMIFS($AI$7:$AI$1843,$CF$7:$CF$1843,CF1655,$AM$7:$AM$1843,"&gt;"&amp;AM1655)+SUMIFS($AI$7:$AI$1843,$CF$7:$CF$1843,CF1655,$AM$7:$AM$1843,AM1655,$BW$7:$BW$1843,"&lt;="&amp;BW1655),"")</f>
        <v>31262.7422730283</v>
      </c>
      <c r="AO1655" s="58" t="n">
        <f aca="false">IF(AN1655="",0,MAX(0,MIN(1,(IF(CF1655="L1",Parameter!$H$5,IF(CF1655="L23",Parameter!$H$6+Parameter!$H$7,Parameter!$H$5+Parameter!$H$6+Parameter!$H$7))-(AN1655-AI1655))/AI1655)))</f>
        <v>1</v>
      </c>
      <c r="AP1655" s="50" t="n">
        <f aca="false">IF(LEFT(Cockpit!$I$5,1)="A",H1655,IF(Parameter!$E$30="MAX-Bestand",IF(CH1655=1,CI1655,IF(LEFT(Cockpit!$I$5,1)="B",AV1655,MAX(AV1655,H1655))),ROUNDUP(AT1655,0)))</f>
        <v>1</v>
      </c>
      <c r="AQ1655" s="50" t="n">
        <f aca="false">IF(BZ1655=1,0,ROUNDUP(AP1655/BY1655,0))</f>
        <v>1</v>
      </c>
      <c r="AR1655" s="52" t="n">
        <f aca="false">IF(CQ1655&gt;0,CQ1655*MAX(1,AP1655/X1655),IF(BZ1655=1,IF(AP1655&lt;=0,0,CD1655*MAX(1,IF(H1655&gt;0,AP1655/H1655,1))),IF(R1655&gt;0,AQ1655/R1655,0))/MAX(0.1,N(Parameter!$M$21)))</f>
        <v>0.0833333333333333</v>
      </c>
      <c r="AS1655" s="50" t="n">
        <f aca="false">AR1655*CB1655</f>
        <v>12.0833333333333</v>
      </c>
      <c r="AT1655" s="51" t="n">
        <f aca="false">IF(LEFT(Cockpit!$I$5,1)="A",H1655,IF(CH1655=1,(CK1655+CI1655)/2,IF(LEFT(Cockpit!$I$5,1)="B",(CK1655+AV1655)/2,MAX((CK1655+AV1655)/2,H1655))))</f>
        <v>1</v>
      </c>
      <c r="AU1655" s="50" t="n">
        <f aca="false">AT1655*G1655</f>
        <v>1770</v>
      </c>
      <c r="AV1655" s="50" t="n">
        <f aca="false">ROUNDUP(CK1655+MAX(CL1655,2*(J1655/IF(CG1655&gt;0,CG1655,MAX(0.1,N(Cockpit!$I$6)))-CK1655)),0)</f>
        <v>1</v>
      </c>
      <c r="AW1655" s="51" t="n">
        <f aca="false">IF(AS1655&gt;0,J1655/AS1655,-1)</f>
        <v>0</v>
      </c>
      <c r="AX1655" s="51" t="n">
        <f aca="false">IF(AND(OR(CF1655="L1",CF1655="L23",CF1655="LIFT"),AS1655&gt;0),SUMIFS($AS$7:$AS$1843,$CF$7:$CF$1843,CF1655,$AW$7:$AW$1843,"&gt;"&amp;AW1655)+SUMIFS($AS$7:$AS$1843,$CF$7:$CF$1843,CF1655,$AW$7:$AW$1843,AW1655,$BW$7:$BW$1843,"&lt;="&amp;BW1655),"")</f>
        <v>37734.9905036113</v>
      </c>
      <c r="AY1655" s="58" t="n">
        <f aca="false">IF(AX1655="",0,MAX(0,MIN(1,(IF(CF1655="L1",Parameter!$H$5,IF(CF1655="L23",Parameter!$H$6+Parameter!$H$7,Parameter!$H$5+Parameter!$H$6+Parameter!$H$7))-(AX1655-AS1655))/AS1655)))</f>
        <v>0</v>
      </c>
      <c r="AZ1655" s="50" t="n">
        <f aca="false">IF(LEFT(Cockpit!$O$5,1)="A",H1655,IF(Parameter!$E$30="MAX-Bestand",IF(CH1655=1,CI1655,IF(LEFT(Cockpit!$O$5,1)="B",BF1655,MAX(BF1655,H1655))),ROUNDUP(BD1655,0)))</f>
        <v>1</v>
      </c>
      <c r="BA1655" s="50" t="n">
        <f aca="false">IF(BZ1655=1,0,ROUNDUP(AZ1655/BY1655,0))</f>
        <v>1</v>
      </c>
      <c r="BB1655" s="52" t="n">
        <f aca="false">IF(CQ1655&gt;0,CQ1655*MAX(1,AZ1655/X1655),IF(BZ1655=1,IF(AZ1655&lt;=0,0,CD1655*MAX(1,IF(H1655&gt;0,AZ1655/H1655,1))),IF(R1655&gt;0,BA1655/R1655,0))/MAX(0.1,N(Parameter!$M$21)))</f>
        <v>0.0833333333333333</v>
      </c>
      <c r="BC1655" s="50" t="n">
        <f aca="false">BB1655*CB1655</f>
        <v>12.0833333333333</v>
      </c>
      <c r="BD1655" s="51" t="n">
        <f aca="false">IF(LEFT(Cockpit!$O$5,1)="A",H1655,IF(CH1655=1,(CK1655+CI1655)/2,IF(LEFT(Cockpit!$O$5,1)="B",(CK1655+BF1655)/2,MAX((CK1655+BF1655)/2,H1655))))</f>
        <v>0.5</v>
      </c>
      <c r="BE1655" s="50" t="n">
        <f aca="false">BD1655*G1655</f>
        <v>885</v>
      </c>
      <c r="BF1655" s="50" t="n">
        <f aca="false">ROUNDUP(CK1655+MAX(CL1655,2*(J1655/IF(CG1655&gt;0,CG1655,MAX(0.1,N(Cockpit!$O$6)))-CK1655)),0)</f>
        <v>1</v>
      </c>
      <c r="BG1655" s="51" t="n">
        <f aca="false">IF(BC1655&gt;0,J1655/BC1655,-1)</f>
        <v>0</v>
      </c>
      <c r="BH1655" s="51" t="n">
        <f aca="false">IF(AND(OR(CF1655="L1",CF1655="L23",CF1655="LIFT"),BC1655&gt;0),SUMIFS($BC$7:$BC$1843,$CF$7:$CF$1843,CF1655,$BG$7:$BG$1843,"&gt;"&amp;BG1655)+SUMIFS($BC$7:$BC$1843,$CF$7:$CF$1843,CF1655,$BG$7:$BG$1843,BG1655,$BW$7:$BW$1843,"&lt;="&amp;BW1655),"")</f>
        <v>31644.4317791436</v>
      </c>
      <c r="BI1655" s="58" t="n">
        <f aca="false">IF(BH1655="",0,MAX(0,MIN(1,(IF(CF1655="L1",Parameter!$H$5,IF(CF1655="L23",Parameter!$H$6+Parameter!$H$7,Parameter!$H$5+Parameter!$H$6+Parameter!$H$7))-(BH1655-BC1655))/BC1655)))</f>
        <v>1</v>
      </c>
      <c r="BJ1655" s="48" t="str">
        <f aca="false">IF(AI1655&lt;=0,"",IF(CF1655="Aussen","Aussenlager",IF(CF1655="-","Nicht im Lift",IF(AO1655&gt;=1,"Lift",IF(AO1655&lt;=0,"Aussenlager","teilweise")))))</f>
        <v>Lift</v>
      </c>
      <c r="BK1655" s="48" t="str">
        <f aca="false">IF(AS1655&lt;=0,"",IF(CF1655="Aussen","Aussenlager",IF(CF1655="-","Nicht im Lift",IF(AY1655&gt;=1,"Lift",IF(AY1655&lt;=0,"Aussenlager","teilweise")))))</f>
        <v>Aussenlager</v>
      </c>
      <c r="BL1655" s="48" t="str">
        <f aca="false">IF(BC1655&lt;=0,"",IF(CF1655="Aussen","Aussenlager",IF(CF1655="-","Nicht im Lift",IF(BI1655&gt;=1,"Lift",IF(BI1655&lt;=0,"Aussenlager","teilweise")))))</f>
        <v>Lift</v>
      </c>
      <c r="BM1655" s="48" t="str">
        <f aca="false">IF(A1655="","",IF(BV1655=1,"Neu; ","")&amp;IF(AND(BV1655=0,BQ1655&lt;0),"negativer Bestand (Export "&amp;BQ1655&amp;"); ","")&amp;IF(J1655&lt;=0,"Kein Verbrauch; ","")&amp;IF(CQ1655&gt;0,"Lift "&amp;W1655&amp;" lt. Liftbericht (Fach "&amp;X1655&amp;" Stk); ",IF(CA1655=1,"Gebinde geschätzt ("&amp;T1655&amp;"); ",IF(BZ1655=1,"Lose – Tablare geschätzt; ","")))&amp;IF(H1655&gt;AV1655,"Überbestand "&amp;ROUND(H1655-AV1655,0)&amp;" Stk / CHF "&amp;ROUND((H1655-AV1655)*G1655,0)&amp;"; ","")&amp;IF(AND(CH1655=1,CI1655&lt;CJ1655),"MAX &lt; MB+LG; ","")&amp;IF(AND(CP1655&gt;0,CO1655*10&gt;CP1655),"zu hoch für Tablar; ","")&amp;IF(AND(BV1655=0,OR(CH1655=1,AA1655&lt;&gt;"",U1655&lt;&gt;"",V1655&lt;&gt;"",AB1655&lt;&gt;"")),"manuell übersteuert; ","")&amp;IF(AND(BZ1655=0,R1655=0),"Gebinde unbekannt / Stellmass fehlt; ","")&amp;IF(AND(BZ1655=0,N(V1655)&lt;=0,N(Q1655)&lt;=0),"Menge pro Gebinde fehlt (Ist = 1 Gebinde); ","")&amp;BU1655)</f>
        <v>Kein Verbrauch; Gebinde geschätzt (Mittel); Menge pro Gebinde fehlt (Ist = 1 Gebinde); nur im Artikelstamm (Bestand 23.06.2026)</v>
      </c>
      <c r="BN1655" s="48"/>
      <c r="BO1655" s="48"/>
      <c r="BP1655" s="55"/>
      <c r="BQ1655" s="50" t="n">
        <v>1</v>
      </c>
      <c r="BR1655" s="50" t="n">
        <v>0</v>
      </c>
      <c r="BS1655" s="49" t="n">
        <v>0</v>
      </c>
      <c r="BT1655" s="50" t="n">
        <v>0</v>
      </c>
      <c r="BU1655" s="48" t="s">
        <v>2584</v>
      </c>
      <c r="BV1655" s="53" t="n">
        <v>0</v>
      </c>
      <c r="BW1655" s="53" t="n">
        <v>1655</v>
      </c>
      <c r="BX1655" s="48" t="str">
        <f aca="false">IF(U1655&lt;&gt;"",UPPER(TRIM(U1655)),IF(CA1655=1,UPPER(VLOOKUP(T1655,Parameter!$I$27:$K$29,2,0)),IF(P1655="","LOSE",P1655)))</f>
        <v>S61</v>
      </c>
      <c r="BY1655" s="50" t="n">
        <f aca="false">IF(BX1655="LOSE",1,IF(N(V1655)&gt;0,V1655,IF(CA1655=1,MAX(1,N(VLOOKUP(T1655,Parameter!$I$27:$K$29,3,0)),H1655,N(N1655)),IF(N(Q1655)&gt;0,Q1655,MAX(1,H1655)))))</f>
        <v>4</v>
      </c>
      <c r="BZ1655" s="53" t="n">
        <f aca="false">IF(BX1655="LOSE",1,0)</f>
        <v>0</v>
      </c>
      <c r="CA1655" s="53" t="n">
        <f aca="false">IF(AND(U1655="",OR(P1655="",P1655="LOSE"),T1655&lt;&gt;"",N(S1655)&lt;=0,ISNUMBER(MATCH(T1655,Parameter!$I$27:$I$29,0))),1,0)</f>
        <v>1</v>
      </c>
      <c r="CB1655" s="53" t="n">
        <f aca="false">IF(CQ1655&gt;0,INDEX(Parameter!$H$5:$H$7,W1655)/INDEX(Parameter!$E$5:$E$7,W1655),IF(AND(BZ1655=0,N(IFERROR(VLOOKUP(BX1655,'Gebinde-Kategorie'!$A$5:$N$45,14,0),0))&gt;0),VLOOKUP(BX1655,'Gebinde-Kategorie'!$A$5:$N$45,14,0)*10+Parameter!$M$23,Parameter!$M$24))</f>
        <v>145</v>
      </c>
      <c r="CC1655" s="48" t="str">
        <f aca="false">IF(AND(Parameter!$B$19="Ja",E1655&lt;&gt;"",ISNUMBER(MATCH(E1655,Parameter!$I$35:$I$52,0))),VLOOKUP(E1655,Parameter!$I$35:$J$52,2,0),IFERROR(VLOOKUP(D1655,Parameter!$A$35:$C$64,2,0),"Nein"))</f>
        <v>2+3</v>
      </c>
      <c r="CD1655" s="52" t="n">
        <f aca="false">IF(BZ1655=0,0,IF(N(S1655)&gt;0,S1655,IFERROR(VLOOKUP(D1655,Parameter!$A$35:$C$64,3,0)+0,0)))</f>
        <v>0</v>
      </c>
      <c r="CE1655" s="48" t="n">
        <f aca="false">IF(AA1655&lt;&gt;"",AA1655,Z1655)</f>
        <v>2</v>
      </c>
      <c r="CF1655" s="48" t="str">
        <f aca="false">IF(OR(CE1655=1,CE1655=2,CE1655=3),IF(Parameter!$E$27="Ja","LIFT",IF(CE1655=1,"L1","L23")),IF(CE1655="Aussen","Aussen","-"))</f>
        <v>LIFT</v>
      </c>
      <c r="CG1655" s="59" t="n">
        <f aca="false">IF(N(AB1655)&gt;0,AB1655,0)</f>
        <v>0</v>
      </c>
      <c r="CH1655" s="53" t="n">
        <f aca="false">IF(ISNUMBER(AE1655),1,0)</f>
        <v>0</v>
      </c>
      <c r="CI1655" s="50" t="n">
        <f aca="false">N(AE1655)</f>
        <v>0</v>
      </c>
      <c r="CJ1655" s="50" t="n">
        <f aca="false">N(M1655)+N(N1655)</f>
        <v>1</v>
      </c>
      <c r="CK1655" s="50" t="n">
        <f aca="false">N(M1655)</f>
        <v>0</v>
      </c>
      <c r="CL1655" s="50" t="n">
        <f aca="false">N(N1655)</f>
        <v>1</v>
      </c>
      <c r="CM1655" s="50" t="n">
        <f aca="false">ROUNDUP(H1655/BY1655,0)</f>
        <v>1</v>
      </c>
      <c r="CN1655" s="50" t="n">
        <f aca="false">ROUNDUP(CI1655/BY1655,0)</f>
        <v>0</v>
      </c>
      <c r="CO1655" s="53" t="n">
        <f aca="false">IF(BZ1655=1,0,IFERROR(VLOOKUP(BX1655,'Gebinde-Kategorie'!$A$5:$N$45,5,0)+0,0))</f>
        <v>11</v>
      </c>
      <c r="CP1655" s="53" t="n">
        <f aca="false">IFERROR(IF(OR(CE1655=1,CE1655=2,CE1655=3),N(INDEX(Parameter!$I$5:$I$7,CE1655)),0),0)</f>
        <v>0</v>
      </c>
      <c r="CQ1655" s="52" t="n">
        <f aca="false">IF(AND(Parameter!$B$21="Ja",ISNUMBER(W1655),N(X1655)&gt;0),IFERROR(N(INDEX(Parameter!$L$5:$L$7,W1655))*INDEX(Parameter!$E$5:$E$7,W1655)*X1655/SUMIFS($X$7:$X$1843,$W$7:$W$1843,W1655),0),0)</f>
        <v>0</v>
      </c>
    </row>
    <row r="1656" customFormat="false" ht="15" hidden="false" customHeight="false" outlineLevel="0" collapsed="false">
      <c r="A1656" s="48" t="s">
        <v>2889</v>
      </c>
      <c r="B1656" s="48" t="s">
        <v>2678</v>
      </c>
      <c r="C1656" s="48" t="s">
        <v>173</v>
      </c>
      <c r="D1656" s="48" t="s">
        <v>193</v>
      </c>
      <c r="E1656" s="48"/>
      <c r="F1656" s="48"/>
      <c r="G1656" s="49" t="n">
        <v>66.7</v>
      </c>
      <c r="H1656" s="50" t="n">
        <f aca="false">MAX(0,IF(AND(Parameter!$B$21="Ja",ISNUMBER(Y1656)),Y1656,IF(Parameter!$B$20="Jahresanfang 2025 + Export",BR1656+BQ1656,BQ1656)))</f>
        <v>32</v>
      </c>
      <c r="I1656" s="50" t="n">
        <f aca="false">H1656*G1656</f>
        <v>2134.4</v>
      </c>
      <c r="J1656" s="50" t="n">
        <f aca="false">BT1656*Parameter!$B$18</f>
        <v>0</v>
      </c>
      <c r="K1656" s="51"/>
      <c r="L1656" s="52"/>
      <c r="M1656" s="50" t="n">
        <v>0</v>
      </c>
      <c r="N1656" s="50" t="n">
        <v>8</v>
      </c>
      <c r="O1656" s="53" t="n">
        <v>42</v>
      </c>
      <c r="P1656" s="48" t="s">
        <v>177</v>
      </c>
      <c r="Q1656" s="50"/>
      <c r="R1656" s="53" t="n">
        <f aca="false">IF(BZ1656=1,0,IFERROR(VLOOKUP(BX1656,'Gebinde-Kategorie'!$A$5:$N$45,13,0)+0,0))</f>
        <v>26</v>
      </c>
      <c r="S1656" s="54"/>
      <c r="T1656" s="55" t="s">
        <v>284</v>
      </c>
      <c r="U1656" s="55"/>
      <c r="V1656" s="55"/>
      <c r="W1656" s="48"/>
      <c r="X1656" s="50"/>
      <c r="Y1656" s="50"/>
      <c r="Z1656" s="48" t="n">
        <f aca="false">IF(A1656="","",IF(AND(Parameter!$B$21="Ja",ISNUMBER(W1656)),W1656,IF(CC1656="2+3",IF(ISNUMBER(SEARCH("grosser Artikel",BU1656)),2,IFERROR(VLOOKUP(BX1656,Parameter!$F$35:$G$64,2,0),2)),IF(OR(CC1656="Nein",CC1656=""),"-",CC1656))))</f>
        <v>3</v>
      </c>
      <c r="AA1656" s="55"/>
      <c r="AB1656" s="56"/>
      <c r="AC1656" s="50" t="n">
        <f aca="false">AV1656</f>
        <v>8</v>
      </c>
      <c r="AD1656" s="50" t="n">
        <f aca="false">MAX(AV1656,H1656)</f>
        <v>32</v>
      </c>
      <c r="AE1656" s="57"/>
      <c r="AF1656" s="50" t="n">
        <f aca="false">IF(LEFT(Cockpit!$C$5,1)="A",H1656,IF(Parameter!$E$30="MAX-Bestand",IF(CH1656=1,CI1656,IF(LEFT(Cockpit!$C$5,1)="B",AL1656,MAX(AL1656,H1656))),ROUNDUP(AJ1656,0)))</f>
        <v>32</v>
      </c>
      <c r="AG1656" s="50" t="n">
        <f aca="false">IF(BZ1656=1,0,ROUNDUP(AF1656/BY1656,0))</f>
        <v>1</v>
      </c>
      <c r="AH1656" s="52" t="n">
        <f aca="false">IF(CQ1656&gt;0,CQ1656*MAX(1,AF1656/X1656),IF(BZ1656=1,IF(AF1656&lt;=0,0,CD1656*MAX(1,IF(H1656&gt;0,AF1656/H1656,1))),IF(R1656&gt;0,AG1656/R1656,0))/MAX(0.1,N(Parameter!$M$21)))</f>
        <v>0.0384615384615385</v>
      </c>
      <c r="AI1656" s="50" t="n">
        <f aca="false">AH1656*CB1656</f>
        <v>5.96153846153846</v>
      </c>
      <c r="AJ1656" s="51" t="n">
        <f aca="false">IF(LEFT(Cockpit!$C$5,1)="A",H1656,IF(CH1656=1,(CK1656+CI1656)/2,IF(LEFT(Cockpit!$C$5,1)="B",(CK1656+AL1656)/2,MAX((CK1656+AL1656)/2,H1656))))</f>
        <v>32</v>
      </c>
      <c r="AK1656" s="50" t="n">
        <f aca="false">AJ1656*G1656</f>
        <v>2134.4</v>
      </c>
      <c r="AL1656" s="50" t="n">
        <f aca="false">ROUNDUP(CK1656+MAX(CL1656,2*(J1656/IF(CG1656&gt;0,CG1656,MAX(0.1,N(Cockpit!$C$6)))-CK1656)),0)</f>
        <v>8</v>
      </c>
      <c r="AM1656" s="51" t="n">
        <f aca="false">IF(AI1656&gt;0,J1656/AI1656,-1)</f>
        <v>0</v>
      </c>
      <c r="AN1656" s="51" t="n">
        <f aca="false">IF(AND(OR(CF1656="L1",CF1656="L23",CF1656="LIFT"),AI1656&gt;0),SUMIFS($AI$7:$AI$1843,$CF$7:$CF$1843,CF1656,$AM$7:$AM$1843,"&gt;"&amp;AM1656)+SUMIFS($AI$7:$AI$1843,$CF$7:$CF$1843,CF1656,$AM$7:$AM$1843,AM1656,$BW$7:$BW$1843,"&lt;="&amp;BW1656),"")</f>
        <v>31268.7038114898</v>
      </c>
      <c r="AO1656" s="58" t="n">
        <f aca="false">IF(AN1656="",0,MAX(0,MIN(1,(IF(CF1656="L1",Parameter!$H$5,IF(CF1656="L23",Parameter!$H$6+Parameter!$H$7,Parameter!$H$5+Parameter!$H$6+Parameter!$H$7))-(AN1656-AI1656))/AI1656)))</f>
        <v>1</v>
      </c>
      <c r="AP1656" s="50" t="n">
        <f aca="false">IF(LEFT(Cockpit!$I$5,1)="A",H1656,IF(Parameter!$E$30="MAX-Bestand",IF(CH1656=1,CI1656,IF(LEFT(Cockpit!$I$5,1)="B",AV1656,MAX(AV1656,H1656))),ROUNDUP(AT1656,0)))</f>
        <v>32</v>
      </c>
      <c r="AQ1656" s="50" t="n">
        <f aca="false">IF(BZ1656=1,0,ROUNDUP(AP1656/BY1656,0))</f>
        <v>1</v>
      </c>
      <c r="AR1656" s="52" t="n">
        <f aca="false">IF(CQ1656&gt;0,CQ1656*MAX(1,AP1656/X1656),IF(BZ1656=1,IF(AP1656&lt;=0,0,CD1656*MAX(1,IF(H1656&gt;0,AP1656/H1656,1))),IF(R1656&gt;0,AQ1656/R1656,0))/MAX(0.1,N(Parameter!$M$21)))</f>
        <v>0.0384615384615385</v>
      </c>
      <c r="AS1656" s="50" t="n">
        <f aca="false">AR1656*CB1656</f>
        <v>5.96153846153846</v>
      </c>
      <c r="AT1656" s="51" t="n">
        <f aca="false">IF(LEFT(Cockpit!$I$5,1)="A",H1656,IF(CH1656=1,(CK1656+CI1656)/2,IF(LEFT(Cockpit!$I$5,1)="B",(CK1656+AV1656)/2,MAX((CK1656+AV1656)/2,H1656))))</f>
        <v>32</v>
      </c>
      <c r="AU1656" s="50" t="n">
        <f aca="false">AT1656*G1656</f>
        <v>2134.4</v>
      </c>
      <c r="AV1656" s="50" t="n">
        <f aca="false">ROUNDUP(CK1656+MAX(CL1656,2*(J1656/IF(CG1656&gt;0,CG1656,MAX(0.1,N(Cockpit!$I$6)))-CK1656)),0)</f>
        <v>8</v>
      </c>
      <c r="AW1656" s="51" t="n">
        <f aca="false">IF(AS1656&gt;0,J1656/AS1656,-1)</f>
        <v>0</v>
      </c>
      <c r="AX1656" s="51" t="n">
        <f aca="false">IF(AND(OR(CF1656="L1",CF1656="L23",CF1656="LIFT"),AS1656&gt;0),SUMIFS($AS$7:$AS$1843,$CF$7:$CF$1843,CF1656,$AW$7:$AW$1843,"&gt;"&amp;AW1656)+SUMIFS($AS$7:$AS$1843,$CF$7:$CF$1843,CF1656,$AW$7:$AW$1843,AW1656,$BW$7:$BW$1843,"&lt;="&amp;BW1656),"")</f>
        <v>37740.9520420728</v>
      </c>
      <c r="AY1656" s="58" t="n">
        <f aca="false">IF(AX1656="",0,MAX(0,MIN(1,(IF(CF1656="L1",Parameter!$H$5,IF(CF1656="L23",Parameter!$H$6+Parameter!$H$7,Parameter!$H$5+Parameter!$H$6+Parameter!$H$7))-(AX1656-AS1656))/AS1656)))</f>
        <v>0</v>
      </c>
      <c r="AZ1656" s="50" t="n">
        <f aca="false">IF(LEFT(Cockpit!$O$5,1)="A",H1656,IF(Parameter!$E$30="MAX-Bestand",IF(CH1656=1,CI1656,IF(LEFT(Cockpit!$O$5,1)="B",BF1656,MAX(BF1656,H1656))),ROUNDUP(BD1656,0)))</f>
        <v>4</v>
      </c>
      <c r="BA1656" s="50" t="n">
        <f aca="false">IF(BZ1656=1,0,ROUNDUP(AZ1656/BY1656,0))</f>
        <v>1</v>
      </c>
      <c r="BB1656" s="52" t="n">
        <f aca="false">IF(CQ1656&gt;0,CQ1656*MAX(1,AZ1656/X1656),IF(BZ1656=1,IF(AZ1656&lt;=0,0,CD1656*MAX(1,IF(H1656&gt;0,AZ1656/H1656,1))),IF(R1656&gt;0,BA1656/R1656,0))/MAX(0.1,N(Parameter!$M$21)))</f>
        <v>0.0384615384615385</v>
      </c>
      <c r="BC1656" s="50" t="n">
        <f aca="false">BB1656*CB1656</f>
        <v>5.96153846153846</v>
      </c>
      <c r="BD1656" s="51" t="n">
        <f aca="false">IF(LEFT(Cockpit!$O$5,1)="A",H1656,IF(CH1656=1,(CK1656+CI1656)/2,IF(LEFT(Cockpit!$O$5,1)="B",(CK1656+BF1656)/2,MAX((CK1656+BF1656)/2,H1656))))</f>
        <v>4</v>
      </c>
      <c r="BE1656" s="50" t="n">
        <f aca="false">BD1656*G1656</f>
        <v>266.8</v>
      </c>
      <c r="BF1656" s="50" t="n">
        <f aca="false">ROUNDUP(CK1656+MAX(CL1656,2*(J1656/IF(CG1656&gt;0,CG1656,MAX(0.1,N(Cockpit!$O$6)))-CK1656)),0)</f>
        <v>8</v>
      </c>
      <c r="BG1656" s="51" t="n">
        <f aca="false">IF(BC1656&gt;0,J1656/BC1656,-1)</f>
        <v>0</v>
      </c>
      <c r="BH1656" s="51" t="n">
        <f aca="false">IF(AND(OR(CF1656="L1",CF1656="L23",CF1656="LIFT"),BC1656&gt;0),SUMIFS($BC$7:$BC$1843,$CF$7:$CF$1843,CF1656,$BG$7:$BG$1843,"&gt;"&amp;BG1656)+SUMIFS($BC$7:$BC$1843,$CF$7:$CF$1843,CF1656,$BG$7:$BG$1843,BG1656,$BW$7:$BW$1843,"&lt;="&amp;BW1656),"")</f>
        <v>31650.3933176052</v>
      </c>
      <c r="BI1656" s="58" t="n">
        <f aca="false">IF(BH1656="",0,MAX(0,MIN(1,(IF(CF1656="L1",Parameter!$H$5,IF(CF1656="L23",Parameter!$H$6+Parameter!$H$7,Parameter!$H$5+Parameter!$H$6+Parameter!$H$7))-(BH1656-BC1656))/BC1656)))</f>
        <v>1</v>
      </c>
      <c r="BJ1656" s="48" t="str">
        <f aca="false">IF(AI1656&lt;=0,"",IF(CF1656="Aussen","Aussenlager",IF(CF1656="-","Nicht im Lift",IF(AO1656&gt;=1,"Lift",IF(AO1656&lt;=0,"Aussenlager","teilweise")))))</f>
        <v>Lift</v>
      </c>
      <c r="BK1656" s="48" t="str">
        <f aca="false">IF(AS1656&lt;=0,"",IF(CF1656="Aussen","Aussenlager",IF(CF1656="-","Nicht im Lift",IF(AY1656&gt;=1,"Lift",IF(AY1656&lt;=0,"Aussenlager","teilweise")))))</f>
        <v>Aussenlager</v>
      </c>
      <c r="BL1656" s="48" t="str">
        <f aca="false">IF(BC1656&lt;=0,"",IF(CF1656="Aussen","Aussenlager",IF(CF1656="-","Nicht im Lift",IF(BI1656&gt;=1,"Lift",IF(BI1656&lt;=0,"Aussenlager","teilweise")))))</f>
        <v>Lift</v>
      </c>
      <c r="BM1656" s="48" t="str">
        <f aca="false">IF(A1656="","",IF(BV1656=1,"Neu; ","")&amp;IF(AND(BV1656=0,BQ1656&lt;0),"negativer Bestand (Export "&amp;BQ1656&amp;"); ","")&amp;IF(J1656&lt;=0,"Kein Verbrauch; ","")&amp;IF(CQ1656&gt;0,"Lift "&amp;W1656&amp;" lt. Liftbericht (Fach "&amp;X1656&amp;" Stk); ",IF(CA1656=1,"Gebinde geschätzt ("&amp;T1656&amp;"); ",IF(BZ1656=1,"Lose – Tablare geschätzt; ","")))&amp;IF(H1656&gt;AV1656,"Überbestand "&amp;ROUND(H1656-AV1656,0)&amp;" Stk / CHF "&amp;ROUND((H1656-AV1656)*G1656,0)&amp;"; ","")&amp;IF(AND(CH1656=1,CI1656&lt;CJ1656),"MAX &lt; MB+LG; ","")&amp;IF(AND(CP1656&gt;0,CO1656*10&gt;CP1656),"zu hoch für Tablar; ","")&amp;IF(AND(BV1656=0,OR(CH1656=1,AA1656&lt;&gt;"",U1656&lt;&gt;"",V1656&lt;&gt;"",AB1656&lt;&gt;"")),"manuell übersteuert; ","")&amp;IF(AND(BZ1656=0,R1656=0),"Gebinde unbekannt / Stellmass fehlt; ","")&amp;IF(AND(BZ1656=0,N(V1656)&lt;=0,N(Q1656)&lt;=0),"Menge pro Gebinde fehlt (Ist = 1 Gebinde); ","")&amp;BU1656)</f>
        <v>Kein Verbrauch; Gebinde geschätzt (Klein); Überbestand 24 Stk / CHF 1601; Menge pro Gebinde fehlt (Ist = 1 Gebinde); nur im Artikelstamm (Bestand 23.06.2026)</v>
      </c>
      <c r="BN1656" s="48"/>
      <c r="BO1656" s="48"/>
      <c r="BP1656" s="55"/>
      <c r="BQ1656" s="50" t="n">
        <v>32</v>
      </c>
      <c r="BR1656" s="50" t="n">
        <v>0</v>
      </c>
      <c r="BS1656" s="49" t="n">
        <v>0</v>
      </c>
      <c r="BT1656" s="50" t="n">
        <v>0</v>
      </c>
      <c r="BU1656" s="48" t="s">
        <v>2584</v>
      </c>
      <c r="BV1656" s="53" t="n">
        <v>0</v>
      </c>
      <c r="BW1656" s="53" t="n">
        <v>1656</v>
      </c>
      <c r="BX1656" s="48" t="str">
        <f aca="false">IF(U1656&lt;&gt;"",UPPER(TRIM(U1656)),IF(CA1656=1,UPPER(VLOOKUP(T1656,Parameter!$I$27:$K$29,2,0)),IF(P1656="","LOSE",P1656)))</f>
        <v>S51</v>
      </c>
      <c r="BY1656" s="50" t="n">
        <f aca="false">IF(BX1656="LOSE",1,IF(N(V1656)&gt;0,V1656,IF(CA1656=1,MAX(1,N(VLOOKUP(T1656,Parameter!$I$27:$K$29,3,0)),H1656,N(N1656)),IF(N(Q1656)&gt;0,Q1656,MAX(1,H1656)))))</f>
        <v>32</v>
      </c>
      <c r="BZ1656" s="53" t="n">
        <f aca="false">IF(BX1656="LOSE",1,0)</f>
        <v>0</v>
      </c>
      <c r="CA1656" s="53" t="n">
        <f aca="false">IF(AND(U1656="",OR(P1656="",P1656="LOSE"),T1656&lt;&gt;"",N(S1656)&lt;=0,ISNUMBER(MATCH(T1656,Parameter!$I$27:$I$29,0))),1,0)</f>
        <v>1</v>
      </c>
      <c r="CB1656" s="53" t="n">
        <f aca="false">IF(CQ1656&gt;0,INDEX(Parameter!$H$5:$H$7,W1656)/INDEX(Parameter!$E$5:$E$7,W1656),IF(AND(BZ1656=0,N(IFERROR(VLOOKUP(BX1656,'Gebinde-Kategorie'!$A$5:$N$45,14,0),0))&gt;0),VLOOKUP(BX1656,'Gebinde-Kategorie'!$A$5:$N$45,14,0)*10+Parameter!$M$23,Parameter!$M$24))</f>
        <v>155</v>
      </c>
      <c r="CC1656" s="48" t="str">
        <f aca="false">IF(AND(Parameter!$B$19="Ja",E1656&lt;&gt;"",ISNUMBER(MATCH(E1656,Parameter!$I$35:$I$52,0))),VLOOKUP(E1656,Parameter!$I$35:$J$52,2,0),IFERROR(VLOOKUP(D1656,Parameter!$A$35:$C$64,2,0),"Nein"))</f>
        <v>2+3</v>
      </c>
      <c r="CD1656" s="52" t="n">
        <f aca="false">IF(BZ1656=0,0,IF(N(S1656)&gt;0,S1656,IFERROR(VLOOKUP(D1656,Parameter!$A$35:$C$64,3,0)+0,0)))</f>
        <v>0</v>
      </c>
      <c r="CE1656" s="48" t="n">
        <f aca="false">IF(AA1656&lt;&gt;"",AA1656,Z1656)</f>
        <v>3</v>
      </c>
      <c r="CF1656" s="48" t="str">
        <f aca="false">IF(OR(CE1656=1,CE1656=2,CE1656=3),IF(Parameter!$E$27="Ja","LIFT",IF(CE1656=1,"L1","L23")),IF(CE1656="Aussen","Aussen","-"))</f>
        <v>LIFT</v>
      </c>
      <c r="CG1656" s="59" t="n">
        <f aca="false">IF(N(AB1656)&gt;0,AB1656,0)</f>
        <v>0</v>
      </c>
      <c r="CH1656" s="53" t="n">
        <f aca="false">IF(ISNUMBER(AE1656),1,0)</f>
        <v>0</v>
      </c>
      <c r="CI1656" s="50" t="n">
        <f aca="false">N(AE1656)</f>
        <v>0</v>
      </c>
      <c r="CJ1656" s="50" t="n">
        <f aca="false">N(M1656)+N(N1656)</f>
        <v>8</v>
      </c>
      <c r="CK1656" s="50" t="n">
        <f aca="false">N(M1656)</f>
        <v>0</v>
      </c>
      <c r="CL1656" s="50" t="n">
        <f aca="false">N(N1656)</f>
        <v>8</v>
      </c>
      <c r="CM1656" s="50" t="n">
        <f aca="false">ROUNDUP(H1656/BY1656,0)</f>
        <v>1</v>
      </c>
      <c r="CN1656" s="50" t="n">
        <f aca="false">ROUNDUP(CI1656/BY1656,0)</f>
        <v>0</v>
      </c>
      <c r="CO1656" s="53" t="n">
        <f aca="false">IF(BZ1656=1,0,IFERROR(VLOOKUP(BX1656,'Gebinde-Kategorie'!$A$5:$N$45,5,0)+0,0))</f>
        <v>11</v>
      </c>
      <c r="CP1656" s="53" t="n">
        <f aca="false">IFERROR(IF(OR(CE1656=1,CE1656=2,CE1656=3),N(INDEX(Parameter!$I$5:$I$7,CE1656)),0),0)</f>
        <v>0</v>
      </c>
      <c r="CQ1656" s="52" t="n">
        <f aca="false">IF(AND(Parameter!$B$21="Ja",ISNUMBER(W1656),N(X1656)&gt;0),IFERROR(N(INDEX(Parameter!$L$5:$L$7,W1656))*INDEX(Parameter!$E$5:$E$7,W1656)*X1656/SUMIFS($X$7:$X$1843,$W$7:$W$1843,W1656),0),0)</f>
        <v>0</v>
      </c>
    </row>
    <row r="1657" customFormat="false" ht="15" hidden="false" customHeight="false" outlineLevel="0" collapsed="false">
      <c r="A1657" s="48" t="s">
        <v>2890</v>
      </c>
      <c r="B1657" s="48" t="s">
        <v>323</v>
      </c>
      <c r="C1657" s="48" t="s">
        <v>173</v>
      </c>
      <c r="D1657" s="48" t="s">
        <v>182</v>
      </c>
      <c r="E1657" s="48"/>
      <c r="F1657" s="48"/>
      <c r="G1657" s="49" t="n">
        <v>1596</v>
      </c>
      <c r="H1657" s="50" t="n">
        <f aca="false">MAX(0,IF(AND(Parameter!$B$21="Ja",ISNUMBER(Y1657)),Y1657,IF(Parameter!$B$20="Jahresanfang 2025 + Export",BR1657+BQ1657,BQ1657)))</f>
        <v>1</v>
      </c>
      <c r="I1657" s="50" t="n">
        <f aca="false">H1657*G1657</f>
        <v>1596</v>
      </c>
      <c r="J1657" s="50" t="n">
        <f aca="false">BT1657*Parameter!$B$18</f>
        <v>0</v>
      </c>
      <c r="K1657" s="51"/>
      <c r="L1657" s="52"/>
      <c r="M1657" s="50" t="n">
        <v>0</v>
      </c>
      <c r="N1657" s="50" t="n">
        <v>1</v>
      </c>
      <c r="O1657" s="53" t="n">
        <v>35</v>
      </c>
      <c r="P1657" s="48" t="s">
        <v>177</v>
      </c>
      <c r="Q1657" s="50"/>
      <c r="R1657" s="53" t="n">
        <f aca="false">IF(BZ1657=1,0,IFERROR(VLOOKUP(BX1657,'Gebinde-Kategorie'!$A$5:$N$45,13,0)+0,0))</f>
        <v>12</v>
      </c>
      <c r="S1657" s="54"/>
      <c r="T1657" s="55" t="s">
        <v>188</v>
      </c>
      <c r="U1657" s="55"/>
      <c r="V1657" s="55"/>
      <c r="W1657" s="48"/>
      <c r="X1657" s="50"/>
      <c r="Y1657" s="50"/>
      <c r="Z1657" s="48" t="n">
        <f aca="false">IF(A1657="","",IF(AND(Parameter!$B$21="Ja",ISNUMBER(W1657)),W1657,IF(CC1657="2+3",IF(ISNUMBER(SEARCH("grosser Artikel",BU1657)),2,IFERROR(VLOOKUP(BX1657,Parameter!$F$35:$G$64,2,0),2)),IF(OR(CC1657="Nein",CC1657=""),"-",CC1657))))</f>
        <v>2</v>
      </c>
      <c r="AA1657" s="55"/>
      <c r="AB1657" s="56"/>
      <c r="AC1657" s="50" t="n">
        <f aca="false">AV1657</f>
        <v>1</v>
      </c>
      <c r="AD1657" s="50" t="n">
        <f aca="false">MAX(AV1657,H1657)</f>
        <v>1</v>
      </c>
      <c r="AE1657" s="57"/>
      <c r="AF1657" s="50" t="n">
        <f aca="false">IF(LEFT(Cockpit!$C$5,1)="A",H1657,IF(Parameter!$E$30="MAX-Bestand",IF(CH1657=1,CI1657,IF(LEFT(Cockpit!$C$5,1)="B",AL1657,MAX(AL1657,H1657))),ROUNDUP(AJ1657,0)))</f>
        <v>1</v>
      </c>
      <c r="AG1657" s="50" t="n">
        <f aca="false">IF(BZ1657=1,0,ROUNDUP(AF1657/BY1657,0))</f>
        <v>1</v>
      </c>
      <c r="AH1657" s="52" t="n">
        <f aca="false">IF(CQ1657&gt;0,CQ1657*MAX(1,AF1657/X1657),IF(BZ1657=1,IF(AF1657&lt;=0,0,CD1657*MAX(1,IF(H1657&gt;0,AF1657/H1657,1))),IF(R1657&gt;0,AG1657/R1657,0))/MAX(0.1,N(Parameter!$M$21)))</f>
        <v>0.0833333333333333</v>
      </c>
      <c r="AI1657" s="50" t="n">
        <f aca="false">AH1657*CB1657</f>
        <v>12.0833333333333</v>
      </c>
      <c r="AJ1657" s="51" t="n">
        <f aca="false">IF(LEFT(Cockpit!$C$5,1)="A",H1657,IF(CH1657=1,(CK1657+CI1657)/2,IF(LEFT(Cockpit!$C$5,1)="B",(CK1657+AL1657)/2,MAX((CK1657+AL1657)/2,H1657))))</f>
        <v>1</v>
      </c>
      <c r="AK1657" s="50" t="n">
        <f aca="false">AJ1657*G1657</f>
        <v>1596</v>
      </c>
      <c r="AL1657" s="50" t="n">
        <f aca="false">ROUNDUP(CK1657+MAX(CL1657,2*(J1657/IF(CG1657&gt;0,CG1657,MAX(0.1,N(Cockpit!$C$6)))-CK1657)),0)</f>
        <v>1</v>
      </c>
      <c r="AM1657" s="51" t="n">
        <f aca="false">IF(AI1657&gt;0,J1657/AI1657,-1)</f>
        <v>0</v>
      </c>
      <c r="AN1657" s="51" t="n">
        <f aca="false">IF(AND(OR(CF1657="L1",CF1657="L23",CF1657="LIFT"),AI1657&gt;0),SUMIFS($AI$7:$AI$1843,$CF$7:$CF$1843,CF1657,$AM$7:$AM$1843,"&gt;"&amp;AM1657)+SUMIFS($AI$7:$AI$1843,$CF$7:$CF$1843,CF1657,$AM$7:$AM$1843,AM1657,$BW$7:$BW$1843,"&lt;="&amp;BW1657),"")</f>
        <v>31280.7871448232</v>
      </c>
      <c r="AO1657" s="58" t="n">
        <f aca="false">IF(AN1657="",0,MAX(0,MIN(1,(IF(CF1657="L1",Parameter!$H$5,IF(CF1657="L23",Parameter!$H$6+Parameter!$H$7,Parameter!$H$5+Parameter!$H$6+Parameter!$H$7))-(AN1657-AI1657))/AI1657)))</f>
        <v>1</v>
      </c>
      <c r="AP1657" s="50" t="n">
        <f aca="false">IF(LEFT(Cockpit!$I$5,1)="A",H1657,IF(Parameter!$E$30="MAX-Bestand",IF(CH1657=1,CI1657,IF(LEFT(Cockpit!$I$5,1)="B",AV1657,MAX(AV1657,H1657))),ROUNDUP(AT1657,0)))</f>
        <v>1</v>
      </c>
      <c r="AQ1657" s="50" t="n">
        <f aca="false">IF(BZ1657=1,0,ROUNDUP(AP1657/BY1657,0))</f>
        <v>1</v>
      </c>
      <c r="AR1657" s="52" t="n">
        <f aca="false">IF(CQ1657&gt;0,CQ1657*MAX(1,AP1657/X1657),IF(BZ1657=1,IF(AP1657&lt;=0,0,CD1657*MAX(1,IF(H1657&gt;0,AP1657/H1657,1))),IF(R1657&gt;0,AQ1657/R1657,0))/MAX(0.1,N(Parameter!$M$21)))</f>
        <v>0.0833333333333333</v>
      </c>
      <c r="AS1657" s="50" t="n">
        <f aca="false">AR1657*CB1657</f>
        <v>12.0833333333333</v>
      </c>
      <c r="AT1657" s="51" t="n">
        <f aca="false">IF(LEFT(Cockpit!$I$5,1)="A",H1657,IF(CH1657=1,(CK1657+CI1657)/2,IF(LEFT(Cockpit!$I$5,1)="B",(CK1657+AV1657)/2,MAX((CK1657+AV1657)/2,H1657))))</f>
        <v>1</v>
      </c>
      <c r="AU1657" s="50" t="n">
        <f aca="false">AT1657*G1657</f>
        <v>1596</v>
      </c>
      <c r="AV1657" s="50" t="n">
        <f aca="false">ROUNDUP(CK1657+MAX(CL1657,2*(J1657/IF(CG1657&gt;0,CG1657,MAX(0.1,N(Cockpit!$I$6)))-CK1657)),0)</f>
        <v>1</v>
      </c>
      <c r="AW1657" s="51" t="n">
        <f aca="false">IF(AS1657&gt;0,J1657/AS1657,-1)</f>
        <v>0</v>
      </c>
      <c r="AX1657" s="51" t="n">
        <f aca="false">IF(AND(OR(CF1657="L1",CF1657="L23",CF1657="LIFT"),AS1657&gt;0),SUMIFS($AS$7:$AS$1843,$CF$7:$CF$1843,CF1657,$AW$7:$AW$1843,"&gt;"&amp;AW1657)+SUMIFS($AS$7:$AS$1843,$CF$7:$CF$1843,CF1657,$AW$7:$AW$1843,AW1657,$BW$7:$BW$1843,"&lt;="&amp;BW1657),"")</f>
        <v>37753.0353754061</v>
      </c>
      <c r="AY1657" s="58" t="n">
        <f aca="false">IF(AX1657="",0,MAX(0,MIN(1,(IF(CF1657="L1",Parameter!$H$5,IF(CF1657="L23",Parameter!$H$6+Parameter!$H$7,Parameter!$H$5+Parameter!$H$6+Parameter!$H$7))-(AX1657-AS1657))/AS1657)))</f>
        <v>0</v>
      </c>
      <c r="AZ1657" s="50" t="n">
        <f aca="false">IF(LEFT(Cockpit!$O$5,1)="A",H1657,IF(Parameter!$E$30="MAX-Bestand",IF(CH1657=1,CI1657,IF(LEFT(Cockpit!$O$5,1)="B",BF1657,MAX(BF1657,H1657))),ROUNDUP(BD1657,0)))</f>
        <v>1</v>
      </c>
      <c r="BA1657" s="50" t="n">
        <f aca="false">IF(BZ1657=1,0,ROUNDUP(AZ1657/BY1657,0))</f>
        <v>1</v>
      </c>
      <c r="BB1657" s="52" t="n">
        <f aca="false">IF(CQ1657&gt;0,CQ1657*MAX(1,AZ1657/X1657),IF(BZ1657=1,IF(AZ1657&lt;=0,0,CD1657*MAX(1,IF(H1657&gt;0,AZ1657/H1657,1))),IF(R1657&gt;0,BA1657/R1657,0))/MAX(0.1,N(Parameter!$M$21)))</f>
        <v>0.0833333333333333</v>
      </c>
      <c r="BC1657" s="50" t="n">
        <f aca="false">BB1657*CB1657</f>
        <v>12.0833333333333</v>
      </c>
      <c r="BD1657" s="51" t="n">
        <f aca="false">IF(LEFT(Cockpit!$O$5,1)="A",H1657,IF(CH1657=1,(CK1657+CI1657)/2,IF(LEFT(Cockpit!$O$5,1)="B",(CK1657+BF1657)/2,MAX((CK1657+BF1657)/2,H1657))))</f>
        <v>0.5</v>
      </c>
      <c r="BE1657" s="50" t="n">
        <f aca="false">BD1657*G1657</f>
        <v>798</v>
      </c>
      <c r="BF1657" s="50" t="n">
        <f aca="false">ROUNDUP(CK1657+MAX(CL1657,2*(J1657/IF(CG1657&gt;0,CG1657,MAX(0.1,N(Cockpit!$O$6)))-CK1657)),0)</f>
        <v>1</v>
      </c>
      <c r="BG1657" s="51" t="n">
        <f aca="false">IF(BC1657&gt;0,J1657/BC1657,-1)</f>
        <v>0</v>
      </c>
      <c r="BH1657" s="51" t="n">
        <f aca="false">IF(AND(OR(CF1657="L1",CF1657="L23",CF1657="LIFT"),BC1657&gt;0),SUMIFS($BC$7:$BC$1843,$CF$7:$CF$1843,CF1657,$BG$7:$BG$1843,"&gt;"&amp;BG1657)+SUMIFS($BC$7:$BC$1843,$CF$7:$CF$1843,CF1657,$BG$7:$BG$1843,BG1657,$BW$7:$BW$1843,"&lt;="&amp;BW1657),"")</f>
        <v>31662.4766509385</v>
      </c>
      <c r="BI1657" s="58" t="n">
        <f aca="false">IF(BH1657="",0,MAX(0,MIN(1,(IF(CF1657="L1",Parameter!$H$5,IF(CF1657="L23",Parameter!$H$6+Parameter!$H$7,Parameter!$H$5+Parameter!$H$6+Parameter!$H$7))-(BH1657-BC1657))/BC1657)))</f>
        <v>1</v>
      </c>
      <c r="BJ1657" s="48" t="str">
        <f aca="false">IF(AI1657&lt;=0,"",IF(CF1657="Aussen","Aussenlager",IF(CF1657="-","Nicht im Lift",IF(AO1657&gt;=1,"Lift",IF(AO1657&lt;=0,"Aussenlager","teilweise")))))</f>
        <v>Lift</v>
      </c>
      <c r="BK1657" s="48" t="str">
        <f aca="false">IF(AS1657&lt;=0,"",IF(CF1657="Aussen","Aussenlager",IF(CF1657="-","Nicht im Lift",IF(AY1657&gt;=1,"Lift",IF(AY1657&lt;=0,"Aussenlager","teilweise")))))</f>
        <v>Aussenlager</v>
      </c>
      <c r="BL1657" s="48" t="str">
        <f aca="false">IF(BC1657&lt;=0,"",IF(CF1657="Aussen","Aussenlager",IF(CF1657="-","Nicht im Lift",IF(BI1657&gt;=1,"Lift",IF(BI1657&lt;=0,"Aussenlager","teilweise")))))</f>
        <v>Lift</v>
      </c>
      <c r="BM1657" s="48" t="str">
        <f aca="false">IF(A1657="","",IF(BV1657=1,"Neu; ","")&amp;IF(AND(BV1657=0,BQ1657&lt;0),"negativer Bestand (Export "&amp;BQ1657&amp;"); ","")&amp;IF(J1657&lt;=0,"Kein Verbrauch; ","")&amp;IF(CQ1657&gt;0,"Lift "&amp;W1657&amp;" lt. Liftbericht (Fach "&amp;X1657&amp;" Stk); ",IF(CA1657=1,"Gebinde geschätzt ("&amp;T1657&amp;"); ",IF(BZ1657=1,"Lose – Tablare geschätzt; ","")))&amp;IF(H1657&gt;AV1657,"Überbestand "&amp;ROUND(H1657-AV1657,0)&amp;" Stk / CHF "&amp;ROUND((H1657-AV1657)*G1657,0)&amp;"; ","")&amp;IF(AND(CH1657=1,CI1657&lt;CJ1657),"MAX &lt; MB+LG; ","")&amp;IF(AND(CP1657&gt;0,CO1657*10&gt;CP1657),"zu hoch für Tablar; ","")&amp;IF(AND(BV1657=0,OR(CH1657=1,AA1657&lt;&gt;"",U1657&lt;&gt;"",V1657&lt;&gt;"",AB1657&lt;&gt;"")),"manuell übersteuert; ","")&amp;IF(AND(BZ1657=0,R1657=0),"Gebinde unbekannt / Stellmass fehlt; ","")&amp;IF(AND(BZ1657=0,N(V1657)&lt;=0,N(Q1657)&lt;=0),"Menge pro Gebinde fehlt (Ist = 1 Gebinde); ","")&amp;BU1657)</f>
        <v>Kein Verbrauch; Gebinde geschätzt (Mittel); Menge pro Gebinde fehlt (Ist = 1 Gebinde); nur im Artikelstamm (Bestand 23.06.2026)</v>
      </c>
      <c r="BN1657" s="48"/>
      <c r="BO1657" s="48"/>
      <c r="BP1657" s="55"/>
      <c r="BQ1657" s="50" t="n">
        <v>1</v>
      </c>
      <c r="BR1657" s="50" t="n">
        <v>0</v>
      </c>
      <c r="BS1657" s="49" t="n">
        <v>0</v>
      </c>
      <c r="BT1657" s="50" t="n">
        <v>0</v>
      </c>
      <c r="BU1657" s="48" t="s">
        <v>2584</v>
      </c>
      <c r="BV1657" s="53" t="n">
        <v>0</v>
      </c>
      <c r="BW1657" s="53" t="n">
        <v>1657</v>
      </c>
      <c r="BX1657" s="48" t="str">
        <f aca="false">IF(U1657&lt;&gt;"",UPPER(TRIM(U1657)),IF(CA1657=1,UPPER(VLOOKUP(T1657,Parameter!$I$27:$K$29,2,0)),IF(P1657="","LOSE",P1657)))</f>
        <v>S61</v>
      </c>
      <c r="BY1657" s="50" t="n">
        <f aca="false">IF(BX1657="LOSE",1,IF(N(V1657)&gt;0,V1657,IF(CA1657=1,MAX(1,N(VLOOKUP(T1657,Parameter!$I$27:$K$29,3,0)),H1657,N(N1657)),IF(N(Q1657)&gt;0,Q1657,MAX(1,H1657)))))</f>
        <v>4</v>
      </c>
      <c r="BZ1657" s="53" t="n">
        <f aca="false">IF(BX1657="LOSE",1,0)</f>
        <v>0</v>
      </c>
      <c r="CA1657" s="53" t="n">
        <f aca="false">IF(AND(U1657="",OR(P1657="",P1657="LOSE"),T1657&lt;&gt;"",N(S1657)&lt;=0,ISNUMBER(MATCH(T1657,Parameter!$I$27:$I$29,0))),1,0)</f>
        <v>1</v>
      </c>
      <c r="CB1657" s="53" t="n">
        <f aca="false">IF(CQ1657&gt;0,INDEX(Parameter!$H$5:$H$7,W1657)/INDEX(Parameter!$E$5:$E$7,W1657),IF(AND(BZ1657=0,N(IFERROR(VLOOKUP(BX1657,'Gebinde-Kategorie'!$A$5:$N$45,14,0),0))&gt;0),VLOOKUP(BX1657,'Gebinde-Kategorie'!$A$5:$N$45,14,0)*10+Parameter!$M$23,Parameter!$M$24))</f>
        <v>145</v>
      </c>
      <c r="CC1657" s="48" t="str">
        <f aca="false">IF(AND(Parameter!$B$19="Ja",E1657&lt;&gt;"",ISNUMBER(MATCH(E1657,Parameter!$I$35:$I$52,0))),VLOOKUP(E1657,Parameter!$I$35:$J$52,2,0),IFERROR(VLOOKUP(D1657,Parameter!$A$35:$C$64,2,0),"Nein"))</f>
        <v>2+3</v>
      </c>
      <c r="CD1657" s="52" t="n">
        <f aca="false">IF(BZ1657=0,0,IF(N(S1657)&gt;0,S1657,IFERROR(VLOOKUP(D1657,Parameter!$A$35:$C$64,3,0)+0,0)))</f>
        <v>0</v>
      </c>
      <c r="CE1657" s="48" t="n">
        <f aca="false">IF(AA1657&lt;&gt;"",AA1657,Z1657)</f>
        <v>2</v>
      </c>
      <c r="CF1657" s="48" t="str">
        <f aca="false">IF(OR(CE1657=1,CE1657=2,CE1657=3),IF(Parameter!$E$27="Ja","LIFT",IF(CE1657=1,"L1","L23")),IF(CE1657="Aussen","Aussen","-"))</f>
        <v>LIFT</v>
      </c>
      <c r="CG1657" s="59" t="n">
        <f aca="false">IF(N(AB1657)&gt;0,AB1657,0)</f>
        <v>0</v>
      </c>
      <c r="CH1657" s="53" t="n">
        <f aca="false">IF(ISNUMBER(AE1657),1,0)</f>
        <v>0</v>
      </c>
      <c r="CI1657" s="50" t="n">
        <f aca="false">N(AE1657)</f>
        <v>0</v>
      </c>
      <c r="CJ1657" s="50" t="n">
        <f aca="false">N(M1657)+N(N1657)</f>
        <v>1</v>
      </c>
      <c r="CK1657" s="50" t="n">
        <f aca="false">N(M1657)</f>
        <v>0</v>
      </c>
      <c r="CL1657" s="50" t="n">
        <f aca="false">N(N1657)</f>
        <v>1</v>
      </c>
      <c r="CM1657" s="50" t="n">
        <f aca="false">ROUNDUP(H1657/BY1657,0)</f>
        <v>1</v>
      </c>
      <c r="CN1657" s="50" t="n">
        <f aca="false">ROUNDUP(CI1657/BY1657,0)</f>
        <v>0</v>
      </c>
      <c r="CO1657" s="53" t="n">
        <f aca="false">IF(BZ1657=1,0,IFERROR(VLOOKUP(BX1657,'Gebinde-Kategorie'!$A$5:$N$45,5,0)+0,0))</f>
        <v>11</v>
      </c>
      <c r="CP1657" s="53" t="n">
        <f aca="false">IFERROR(IF(OR(CE1657=1,CE1657=2,CE1657=3),N(INDEX(Parameter!$I$5:$I$7,CE1657)),0),0)</f>
        <v>0</v>
      </c>
      <c r="CQ1657" s="52" t="n">
        <f aca="false">IF(AND(Parameter!$B$21="Ja",ISNUMBER(W1657),N(X1657)&gt;0),IFERROR(N(INDEX(Parameter!$L$5:$L$7,W1657))*INDEX(Parameter!$E$5:$E$7,W1657)*X1657/SUMIFS($X$7:$X$1843,$W$7:$W$1843,W1657),0),0)</f>
        <v>0</v>
      </c>
    </row>
    <row r="1658" customFormat="false" ht="15" hidden="false" customHeight="false" outlineLevel="0" collapsed="false">
      <c r="A1658" s="48" t="s">
        <v>2891</v>
      </c>
      <c r="B1658" s="48" t="s">
        <v>2892</v>
      </c>
      <c r="C1658" s="48" t="s">
        <v>176</v>
      </c>
      <c r="D1658" s="48" t="s">
        <v>182</v>
      </c>
      <c r="E1658" s="48"/>
      <c r="F1658" s="48"/>
      <c r="G1658" s="49" t="n">
        <v>65.21</v>
      </c>
      <c r="H1658" s="50" t="n">
        <f aca="false">MAX(0,IF(AND(Parameter!$B$21="Ja",ISNUMBER(Y1658)),Y1658,IF(Parameter!$B$20="Jahresanfang 2025 + Export",BR1658+BQ1658,BQ1658)))</f>
        <v>10</v>
      </c>
      <c r="I1658" s="50" t="n">
        <f aca="false">H1658*G1658</f>
        <v>652.1</v>
      </c>
      <c r="J1658" s="50" t="n">
        <f aca="false">BT1658*Parameter!$B$18</f>
        <v>0</v>
      </c>
      <c r="K1658" s="51"/>
      <c r="L1658" s="52"/>
      <c r="M1658" s="50" t="n">
        <v>0</v>
      </c>
      <c r="N1658" s="50" t="n">
        <v>10</v>
      </c>
      <c r="O1658" s="53" t="n">
        <v>150</v>
      </c>
      <c r="P1658" s="48" t="s">
        <v>177</v>
      </c>
      <c r="Q1658" s="50"/>
      <c r="R1658" s="53" t="n">
        <f aca="false">IF(BZ1658=1,0,IFERROR(VLOOKUP(BX1658,'Gebinde-Kategorie'!$A$5:$N$45,13,0)+0,0))</f>
        <v>12</v>
      </c>
      <c r="S1658" s="54"/>
      <c r="T1658" s="55" t="s">
        <v>188</v>
      </c>
      <c r="U1658" s="55"/>
      <c r="V1658" s="55"/>
      <c r="W1658" s="48"/>
      <c r="X1658" s="50"/>
      <c r="Y1658" s="50"/>
      <c r="Z1658" s="48" t="n">
        <f aca="false">IF(A1658="","",IF(AND(Parameter!$B$21="Ja",ISNUMBER(W1658)),W1658,IF(CC1658="2+3",IF(ISNUMBER(SEARCH("grosser Artikel",BU1658)),2,IFERROR(VLOOKUP(BX1658,Parameter!$F$35:$G$64,2,0),2)),IF(OR(CC1658="Nein",CC1658=""),"-",CC1658))))</f>
        <v>2</v>
      </c>
      <c r="AA1658" s="55"/>
      <c r="AB1658" s="56"/>
      <c r="AC1658" s="50" t="n">
        <f aca="false">AV1658</f>
        <v>10</v>
      </c>
      <c r="AD1658" s="50" t="n">
        <f aca="false">MAX(AV1658,H1658)</f>
        <v>10</v>
      </c>
      <c r="AE1658" s="57"/>
      <c r="AF1658" s="50" t="n">
        <f aca="false">IF(LEFT(Cockpit!$C$5,1)="A",H1658,IF(Parameter!$E$30="MAX-Bestand",IF(CH1658=1,CI1658,IF(LEFT(Cockpit!$C$5,1)="B",AL1658,MAX(AL1658,H1658))),ROUNDUP(AJ1658,0)))</f>
        <v>10</v>
      </c>
      <c r="AG1658" s="50" t="n">
        <f aca="false">IF(BZ1658=1,0,ROUNDUP(AF1658/BY1658,0))</f>
        <v>1</v>
      </c>
      <c r="AH1658" s="52" t="n">
        <f aca="false">IF(CQ1658&gt;0,CQ1658*MAX(1,AF1658/X1658),IF(BZ1658=1,IF(AF1658&lt;=0,0,CD1658*MAX(1,IF(H1658&gt;0,AF1658/H1658,1))),IF(R1658&gt;0,AG1658/R1658,0))/MAX(0.1,N(Parameter!$M$21)))</f>
        <v>0.0833333333333333</v>
      </c>
      <c r="AI1658" s="50" t="n">
        <f aca="false">AH1658*CB1658</f>
        <v>12.0833333333333</v>
      </c>
      <c r="AJ1658" s="51" t="n">
        <f aca="false">IF(LEFT(Cockpit!$C$5,1)="A",H1658,IF(CH1658=1,(CK1658+CI1658)/2,IF(LEFT(Cockpit!$C$5,1)="B",(CK1658+AL1658)/2,MAX((CK1658+AL1658)/2,H1658))))</f>
        <v>10</v>
      </c>
      <c r="AK1658" s="50" t="n">
        <f aca="false">AJ1658*G1658</f>
        <v>652.1</v>
      </c>
      <c r="AL1658" s="50" t="n">
        <f aca="false">ROUNDUP(CK1658+MAX(CL1658,2*(J1658/IF(CG1658&gt;0,CG1658,MAX(0.1,N(Cockpit!$C$6)))-CK1658)),0)</f>
        <v>10</v>
      </c>
      <c r="AM1658" s="51" t="n">
        <f aca="false">IF(AI1658&gt;0,J1658/AI1658,-1)</f>
        <v>0</v>
      </c>
      <c r="AN1658" s="51" t="n">
        <f aca="false">IF(AND(OR(CF1658="L1",CF1658="L23",CF1658="LIFT"),AI1658&gt;0),SUMIFS($AI$7:$AI$1843,$CF$7:$CF$1843,CF1658,$AM$7:$AM$1843,"&gt;"&amp;AM1658)+SUMIFS($AI$7:$AI$1843,$CF$7:$CF$1843,CF1658,$AM$7:$AM$1843,AM1658,$BW$7:$BW$1843,"&lt;="&amp;BW1658),"")</f>
        <v>31292.8704781565</v>
      </c>
      <c r="AO1658" s="58" t="n">
        <f aca="false">IF(AN1658="",0,MAX(0,MIN(1,(IF(CF1658="L1",Parameter!$H$5,IF(CF1658="L23",Parameter!$H$6+Parameter!$H$7,Parameter!$H$5+Parameter!$H$6+Parameter!$H$7))-(AN1658-AI1658))/AI1658)))</f>
        <v>1</v>
      </c>
      <c r="AP1658" s="50" t="n">
        <f aca="false">IF(LEFT(Cockpit!$I$5,1)="A",H1658,IF(Parameter!$E$30="MAX-Bestand",IF(CH1658=1,CI1658,IF(LEFT(Cockpit!$I$5,1)="B",AV1658,MAX(AV1658,H1658))),ROUNDUP(AT1658,0)))</f>
        <v>10</v>
      </c>
      <c r="AQ1658" s="50" t="n">
        <f aca="false">IF(BZ1658=1,0,ROUNDUP(AP1658/BY1658,0))</f>
        <v>1</v>
      </c>
      <c r="AR1658" s="52" t="n">
        <f aca="false">IF(CQ1658&gt;0,CQ1658*MAX(1,AP1658/X1658),IF(BZ1658=1,IF(AP1658&lt;=0,0,CD1658*MAX(1,IF(H1658&gt;0,AP1658/H1658,1))),IF(R1658&gt;0,AQ1658/R1658,0))/MAX(0.1,N(Parameter!$M$21)))</f>
        <v>0.0833333333333333</v>
      </c>
      <c r="AS1658" s="50" t="n">
        <f aca="false">AR1658*CB1658</f>
        <v>12.0833333333333</v>
      </c>
      <c r="AT1658" s="51" t="n">
        <f aca="false">IF(LEFT(Cockpit!$I$5,1)="A",H1658,IF(CH1658=1,(CK1658+CI1658)/2,IF(LEFT(Cockpit!$I$5,1)="B",(CK1658+AV1658)/2,MAX((CK1658+AV1658)/2,H1658))))</f>
        <v>10</v>
      </c>
      <c r="AU1658" s="50" t="n">
        <f aca="false">AT1658*G1658</f>
        <v>652.1</v>
      </c>
      <c r="AV1658" s="50" t="n">
        <f aca="false">ROUNDUP(CK1658+MAX(CL1658,2*(J1658/IF(CG1658&gt;0,CG1658,MAX(0.1,N(Cockpit!$I$6)))-CK1658)),0)</f>
        <v>10</v>
      </c>
      <c r="AW1658" s="51" t="n">
        <f aca="false">IF(AS1658&gt;0,J1658/AS1658,-1)</f>
        <v>0</v>
      </c>
      <c r="AX1658" s="51" t="n">
        <f aca="false">IF(AND(OR(CF1658="L1",CF1658="L23",CF1658="LIFT"),AS1658&gt;0),SUMIFS($AS$7:$AS$1843,$CF$7:$CF$1843,CF1658,$AW$7:$AW$1843,"&gt;"&amp;AW1658)+SUMIFS($AS$7:$AS$1843,$CF$7:$CF$1843,CF1658,$AW$7:$AW$1843,AW1658,$BW$7:$BW$1843,"&lt;="&amp;BW1658),"")</f>
        <v>37765.1187087395</v>
      </c>
      <c r="AY1658" s="58" t="n">
        <f aca="false">IF(AX1658="",0,MAX(0,MIN(1,(IF(CF1658="L1",Parameter!$H$5,IF(CF1658="L23",Parameter!$H$6+Parameter!$H$7,Parameter!$H$5+Parameter!$H$6+Parameter!$H$7))-(AX1658-AS1658))/AS1658)))</f>
        <v>0</v>
      </c>
      <c r="AZ1658" s="50" t="n">
        <f aca="false">IF(LEFT(Cockpit!$O$5,1)="A",H1658,IF(Parameter!$E$30="MAX-Bestand",IF(CH1658=1,CI1658,IF(LEFT(Cockpit!$O$5,1)="B",BF1658,MAX(BF1658,H1658))),ROUNDUP(BD1658,0)))</f>
        <v>5</v>
      </c>
      <c r="BA1658" s="50" t="n">
        <f aca="false">IF(BZ1658=1,0,ROUNDUP(AZ1658/BY1658,0))</f>
        <v>1</v>
      </c>
      <c r="BB1658" s="52" t="n">
        <f aca="false">IF(CQ1658&gt;0,CQ1658*MAX(1,AZ1658/X1658),IF(BZ1658=1,IF(AZ1658&lt;=0,0,CD1658*MAX(1,IF(H1658&gt;0,AZ1658/H1658,1))),IF(R1658&gt;0,BA1658/R1658,0))/MAX(0.1,N(Parameter!$M$21)))</f>
        <v>0.0833333333333333</v>
      </c>
      <c r="BC1658" s="50" t="n">
        <f aca="false">BB1658*CB1658</f>
        <v>12.0833333333333</v>
      </c>
      <c r="BD1658" s="51" t="n">
        <f aca="false">IF(LEFT(Cockpit!$O$5,1)="A",H1658,IF(CH1658=1,(CK1658+CI1658)/2,IF(LEFT(Cockpit!$O$5,1)="B",(CK1658+BF1658)/2,MAX((CK1658+BF1658)/2,H1658))))</f>
        <v>5</v>
      </c>
      <c r="BE1658" s="50" t="n">
        <f aca="false">BD1658*G1658</f>
        <v>326.05</v>
      </c>
      <c r="BF1658" s="50" t="n">
        <f aca="false">ROUNDUP(CK1658+MAX(CL1658,2*(J1658/IF(CG1658&gt;0,CG1658,MAX(0.1,N(Cockpit!$O$6)))-CK1658)),0)</f>
        <v>10</v>
      </c>
      <c r="BG1658" s="51" t="n">
        <f aca="false">IF(BC1658&gt;0,J1658/BC1658,-1)</f>
        <v>0</v>
      </c>
      <c r="BH1658" s="51" t="n">
        <f aca="false">IF(AND(OR(CF1658="L1",CF1658="L23",CF1658="LIFT"),BC1658&gt;0),SUMIFS($BC$7:$BC$1843,$CF$7:$CF$1843,CF1658,$BG$7:$BG$1843,"&gt;"&amp;BG1658)+SUMIFS($BC$7:$BC$1843,$CF$7:$CF$1843,CF1658,$BG$7:$BG$1843,BG1658,$BW$7:$BW$1843,"&lt;="&amp;BW1658),"")</f>
        <v>31674.5599842719</v>
      </c>
      <c r="BI1658" s="58" t="n">
        <f aca="false">IF(BH1658="",0,MAX(0,MIN(1,(IF(CF1658="L1",Parameter!$H$5,IF(CF1658="L23",Parameter!$H$6+Parameter!$H$7,Parameter!$H$5+Parameter!$H$6+Parameter!$H$7))-(BH1658-BC1658))/BC1658)))</f>
        <v>1</v>
      </c>
      <c r="BJ1658" s="48" t="str">
        <f aca="false">IF(AI1658&lt;=0,"",IF(CF1658="Aussen","Aussenlager",IF(CF1658="-","Nicht im Lift",IF(AO1658&gt;=1,"Lift",IF(AO1658&lt;=0,"Aussenlager","teilweise")))))</f>
        <v>Lift</v>
      </c>
      <c r="BK1658" s="48" t="str">
        <f aca="false">IF(AS1658&lt;=0,"",IF(CF1658="Aussen","Aussenlager",IF(CF1658="-","Nicht im Lift",IF(AY1658&gt;=1,"Lift",IF(AY1658&lt;=0,"Aussenlager","teilweise")))))</f>
        <v>Aussenlager</v>
      </c>
      <c r="BL1658" s="48" t="str">
        <f aca="false">IF(BC1658&lt;=0,"",IF(CF1658="Aussen","Aussenlager",IF(CF1658="-","Nicht im Lift",IF(BI1658&gt;=1,"Lift",IF(BI1658&lt;=0,"Aussenlager","teilweise")))))</f>
        <v>Lift</v>
      </c>
      <c r="BM1658" s="48" t="str">
        <f aca="false">IF(A1658="","",IF(BV1658=1,"Neu; ","")&amp;IF(AND(BV1658=0,BQ1658&lt;0),"negativer Bestand (Export "&amp;BQ1658&amp;"); ","")&amp;IF(J1658&lt;=0,"Kein Verbrauch; ","")&amp;IF(CQ1658&gt;0,"Lift "&amp;W1658&amp;" lt. Liftbericht (Fach "&amp;X1658&amp;" Stk); ",IF(CA1658=1,"Gebinde geschätzt ("&amp;T1658&amp;"); ",IF(BZ1658=1,"Lose – Tablare geschätzt; ","")))&amp;IF(H1658&gt;AV1658,"Überbestand "&amp;ROUND(H1658-AV1658,0)&amp;" Stk / CHF "&amp;ROUND((H1658-AV1658)*G1658,0)&amp;"; ","")&amp;IF(AND(CH1658=1,CI1658&lt;CJ1658),"MAX &lt; MB+LG; ","")&amp;IF(AND(CP1658&gt;0,CO1658*10&gt;CP1658),"zu hoch für Tablar; ","")&amp;IF(AND(BV1658=0,OR(CH1658=1,AA1658&lt;&gt;"",U1658&lt;&gt;"",V1658&lt;&gt;"",AB1658&lt;&gt;"")),"manuell übersteuert; ","")&amp;IF(AND(BZ1658=0,R1658=0),"Gebinde unbekannt / Stellmass fehlt; ","")&amp;IF(AND(BZ1658=0,N(V1658)&lt;=0,N(Q1658)&lt;=0),"Menge pro Gebinde fehlt (Ist = 1 Gebinde); ","")&amp;BU1658)</f>
        <v>Kein Verbrauch; Gebinde geschätzt (Mittel); Menge pro Gebinde fehlt (Ist = 1 Gebinde); nur im Artikelstamm (Bestand 23.06.2026)</v>
      </c>
      <c r="BN1658" s="48"/>
      <c r="BO1658" s="48"/>
      <c r="BP1658" s="55"/>
      <c r="BQ1658" s="50" t="n">
        <v>10</v>
      </c>
      <c r="BR1658" s="50" t="n">
        <v>0</v>
      </c>
      <c r="BS1658" s="49" t="n">
        <v>0</v>
      </c>
      <c r="BT1658" s="50" t="n">
        <v>0</v>
      </c>
      <c r="BU1658" s="48" t="s">
        <v>2584</v>
      </c>
      <c r="BV1658" s="53" t="n">
        <v>0</v>
      </c>
      <c r="BW1658" s="53" t="n">
        <v>1658</v>
      </c>
      <c r="BX1658" s="48" t="str">
        <f aca="false">IF(U1658&lt;&gt;"",UPPER(TRIM(U1658)),IF(CA1658=1,UPPER(VLOOKUP(T1658,Parameter!$I$27:$K$29,2,0)),IF(P1658="","LOSE",P1658)))</f>
        <v>S61</v>
      </c>
      <c r="BY1658" s="50" t="n">
        <f aca="false">IF(BX1658="LOSE",1,IF(N(V1658)&gt;0,V1658,IF(CA1658=1,MAX(1,N(VLOOKUP(T1658,Parameter!$I$27:$K$29,3,0)),H1658,N(N1658)),IF(N(Q1658)&gt;0,Q1658,MAX(1,H1658)))))</f>
        <v>10</v>
      </c>
      <c r="BZ1658" s="53" t="n">
        <f aca="false">IF(BX1658="LOSE",1,0)</f>
        <v>0</v>
      </c>
      <c r="CA1658" s="53" t="n">
        <f aca="false">IF(AND(U1658="",OR(P1658="",P1658="LOSE"),T1658&lt;&gt;"",N(S1658)&lt;=0,ISNUMBER(MATCH(T1658,Parameter!$I$27:$I$29,0))),1,0)</f>
        <v>1</v>
      </c>
      <c r="CB1658" s="53" t="n">
        <f aca="false">IF(CQ1658&gt;0,INDEX(Parameter!$H$5:$H$7,W1658)/INDEX(Parameter!$E$5:$E$7,W1658),IF(AND(BZ1658=0,N(IFERROR(VLOOKUP(BX1658,'Gebinde-Kategorie'!$A$5:$N$45,14,0),0))&gt;0),VLOOKUP(BX1658,'Gebinde-Kategorie'!$A$5:$N$45,14,0)*10+Parameter!$M$23,Parameter!$M$24))</f>
        <v>145</v>
      </c>
      <c r="CC1658" s="48" t="str">
        <f aca="false">IF(AND(Parameter!$B$19="Ja",E1658&lt;&gt;"",ISNUMBER(MATCH(E1658,Parameter!$I$35:$I$52,0))),VLOOKUP(E1658,Parameter!$I$35:$J$52,2,0),IFERROR(VLOOKUP(D1658,Parameter!$A$35:$C$64,2,0),"Nein"))</f>
        <v>2+3</v>
      </c>
      <c r="CD1658" s="52" t="n">
        <f aca="false">IF(BZ1658=0,0,IF(N(S1658)&gt;0,S1658,IFERROR(VLOOKUP(D1658,Parameter!$A$35:$C$64,3,0)+0,0)))</f>
        <v>0</v>
      </c>
      <c r="CE1658" s="48" t="n">
        <f aca="false">IF(AA1658&lt;&gt;"",AA1658,Z1658)</f>
        <v>2</v>
      </c>
      <c r="CF1658" s="48" t="str">
        <f aca="false">IF(OR(CE1658=1,CE1658=2,CE1658=3),IF(Parameter!$E$27="Ja","LIFT",IF(CE1658=1,"L1","L23")),IF(CE1658="Aussen","Aussen","-"))</f>
        <v>LIFT</v>
      </c>
      <c r="CG1658" s="59" t="n">
        <f aca="false">IF(N(AB1658)&gt;0,AB1658,0)</f>
        <v>0</v>
      </c>
      <c r="CH1658" s="53" t="n">
        <f aca="false">IF(ISNUMBER(AE1658),1,0)</f>
        <v>0</v>
      </c>
      <c r="CI1658" s="50" t="n">
        <f aca="false">N(AE1658)</f>
        <v>0</v>
      </c>
      <c r="CJ1658" s="50" t="n">
        <f aca="false">N(M1658)+N(N1658)</f>
        <v>10</v>
      </c>
      <c r="CK1658" s="50" t="n">
        <f aca="false">N(M1658)</f>
        <v>0</v>
      </c>
      <c r="CL1658" s="50" t="n">
        <f aca="false">N(N1658)</f>
        <v>10</v>
      </c>
      <c r="CM1658" s="50" t="n">
        <f aca="false">ROUNDUP(H1658/BY1658,0)</f>
        <v>1</v>
      </c>
      <c r="CN1658" s="50" t="n">
        <f aca="false">ROUNDUP(CI1658/BY1658,0)</f>
        <v>0</v>
      </c>
      <c r="CO1658" s="53" t="n">
        <f aca="false">IF(BZ1658=1,0,IFERROR(VLOOKUP(BX1658,'Gebinde-Kategorie'!$A$5:$N$45,5,0)+0,0))</f>
        <v>11</v>
      </c>
      <c r="CP1658" s="53" t="n">
        <f aca="false">IFERROR(IF(OR(CE1658=1,CE1658=2,CE1658=3),N(INDEX(Parameter!$I$5:$I$7,CE1658)),0),0)</f>
        <v>0</v>
      </c>
      <c r="CQ1658" s="52" t="n">
        <f aca="false">IF(AND(Parameter!$B$21="Ja",ISNUMBER(W1658),N(X1658)&gt;0),IFERROR(N(INDEX(Parameter!$L$5:$L$7,W1658))*INDEX(Parameter!$E$5:$E$7,W1658)*X1658/SUMIFS($X$7:$X$1843,$W$7:$W$1843,W1658),0),0)</f>
        <v>0</v>
      </c>
    </row>
    <row r="1659" customFormat="false" ht="15" hidden="false" customHeight="false" outlineLevel="0" collapsed="false">
      <c r="A1659" s="48" t="s">
        <v>2893</v>
      </c>
      <c r="B1659" s="48" t="s">
        <v>2433</v>
      </c>
      <c r="C1659" s="48" t="s">
        <v>173</v>
      </c>
      <c r="D1659" s="48" t="s">
        <v>182</v>
      </c>
      <c r="E1659" s="48"/>
      <c r="F1659" s="48"/>
      <c r="G1659" s="49" t="n">
        <v>607.5</v>
      </c>
      <c r="H1659" s="50" t="n">
        <f aca="false">MAX(0,IF(AND(Parameter!$B$21="Ja",ISNUMBER(Y1659)),Y1659,IF(Parameter!$B$20="Jahresanfang 2025 + Export",BR1659+BQ1659,BQ1659)))</f>
        <v>1</v>
      </c>
      <c r="I1659" s="50" t="n">
        <f aca="false">H1659*G1659</f>
        <v>607.5</v>
      </c>
      <c r="J1659" s="50" t="n">
        <f aca="false">BT1659*Parameter!$B$18</f>
        <v>0</v>
      </c>
      <c r="K1659" s="51"/>
      <c r="L1659" s="52"/>
      <c r="M1659" s="50" t="n">
        <v>1</v>
      </c>
      <c r="N1659" s="50" t="n">
        <v>1</v>
      </c>
      <c r="O1659" s="53" t="n">
        <v>42</v>
      </c>
      <c r="P1659" s="48" t="s">
        <v>177</v>
      </c>
      <c r="Q1659" s="50"/>
      <c r="R1659" s="53" t="n">
        <f aca="false">IF(BZ1659=1,0,IFERROR(VLOOKUP(BX1659,'Gebinde-Kategorie'!$A$5:$N$45,13,0)+0,0))</f>
        <v>4</v>
      </c>
      <c r="S1659" s="54"/>
      <c r="T1659" s="55" t="s">
        <v>198</v>
      </c>
      <c r="U1659" s="55"/>
      <c r="V1659" s="55"/>
      <c r="W1659" s="48"/>
      <c r="X1659" s="50"/>
      <c r="Y1659" s="50"/>
      <c r="Z1659" s="48" t="n">
        <f aca="false">IF(A1659="","",IF(AND(Parameter!$B$21="Ja",ISNUMBER(W1659)),W1659,IF(CC1659="2+3",IF(ISNUMBER(SEARCH("grosser Artikel",BU1659)),2,IFERROR(VLOOKUP(BX1659,Parameter!$F$35:$G$64,2,0),2)),IF(OR(CC1659="Nein",CC1659=""),"-",CC1659))))</f>
        <v>2</v>
      </c>
      <c r="AA1659" s="55"/>
      <c r="AB1659" s="56"/>
      <c r="AC1659" s="50" t="n">
        <f aca="false">AV1659</f>
        <v>2</v>
      </c>
      <c r="AD1659" s="50" t="n">
        <f aca="false">MAX(AV1659,H1659)</f>
        <v>2</v>
      </c>
      <c r="AE1659" s="57"/>
      <c r="AF1659" s="50" t="n">
        <f aca="false">IF(LEFT(Cockpit!$C$5,1)="A",H1659,IF(Parameter!$E$30="MAX-Bestand",IF(CH1659=1,CI1659,IF(LEFT(Cockpit!$C$5,1)="B",AL1659,MAX(AL1659,H1659))),ROUNDUP(AJ1659,0)))</f>
        <v>1</v>
      </c>
      <c r="AG1659" s="50" t="n">
        <f aca="false">IF(BZ1659=1,0,ROUNDUP(AF1659/BY1659,0))</f>
        <v>1</v>
      </c>
      <c r="AH1659" s="52" t="n">
        <f aca="false">IF(CQ1659&gt;0,CQ1659*MAX(1,AF1659/X1659),IF(BZ1659=1,IF(AF1659&lt;=0,0,CD1659*MAX(1,IF(H1659&gt;0,AF1659/H1659,1))),IF(R1659&gt;0,AG1659/R1659,0))/MAX(0.1,N(Parameter!$M$21)))</f>
        <v>0.25</v>
      </c>
      <c r="AI1659" s="50" t="n">
        <f aca="false">AH1659*CB1659</f>
        <v>58.75</v>
      </c>
      <c r="AJ1659" s="51" t="n">
        <f aca="false">IF(LEFT(Cockpit!$C$5,1)="A",H1659,IF(CH1659=1,(CK1659+CI1659)/2,IF(LEFT(Cockpit!$C$5,1)="B",(CK1659+AL1659)/2,MAX((CK1659+AL1659)/2,H1659))))</f>
        <v>1</v>
      </c>
      <c r="AK1659" s="50" t="n">
        <f aca="false">AJ1659*G1659</f>
        <v>607.5</v>
      </c>
      <c r="AL1659" s="50" t="n">
        <f aca="false">ROUNDUP(CK1659+MAX(CL1659,2*(J1659/IF(CG1659&gt;0,CG1659,MAX(0.1,N(Cockpit!$C$6)))-CK1659)),0)</f>
        <v>2</v>
      </c>
      <c r="AM1659" s="51" t="n">
        <f aca="false">IF(AI1659&gt;0,J1659/AI1659,-1)</f>
        <v>0</v>
      </c>
      <c r="AN1659" s="51" t="n">
        <f aca="false">IF(AND(OR(CF1659="L1",CF1659="L23",CF1659="LIFT"),AI1659&gt;0),SUMIFS($AI$7:$AI$1843,$CF$7:$CF$1843,CF1659,$AM$7:$AM$1843,"&gt;"&amp;AM1659)+SUMIFS($AI$7:$AI$1843,$CF$7:$CF$1843,CF1659,$AM$7:$AM$1843,AM1659,$BW$7:$BW$1843,"&lt;="&amp;BW1659),"")</f>
        <v>31351.6204781565</v>
      </c>
      <c r="AO1659" s="58" t="n">
        <f aca="false">IF(AN1659="",0,MAX(0,MIN(1,(IF(CF1659="L1",Parameter!$H$5,IF(CF1659="L23",Parameter!$H$6+Parameter!$H$7,Parameter!$H$5+Parameter!$H$6+Parameter!$H$7))-(AN1659-AI1659))/AI1659)))</f>
        <v>1</v>
      </c>
      <c r="AP1659" s="50" t="n">
        <f aca="false">IF(LEFT(Cockpit!$I$5,1)="A",H1659,IF(Parameter!$E$30="MAX-Bestand",IF(CH1659=1,CI1659,IF(LEFT(Cockpit!$I$5,1)="B",AV1659,MAX(AV1659,H1659))),ROUNDUP(AT1659,0)))</f>
        <v>2</v>
      </c>
      <c r="AQ1659" s="50" t="n">
        <f aca="false">IF(BZ1659=1,0,ROUNDUP(AP1659/BY1659,0))</f>
        <v>1</v>
      </c>
      <c r="AR1659" s="52" t="n">
        <f aca="false">IF(CQ1659&gt;0,CQ1659*MAX(1,AP1659/X1659),IF(BZ1659=1,IF(AP1659&lt;=0,0,CD1659*MAX(1,IF(H1659&gt;0,AP1659/H1659,1))),IF(R1659&gt;0,AQ1659/R1659,0))/MAX(0.1,N(Parameter!$M$21)))</f>
        <v>0.25</v>
      </c>
      <c r="AS1659" s="50" t="n">
        <f aca="false">AR1659*CB1659</f>
        <v>58.75</v>
      </c>
      <c r="AT1659" s="51" t="n">
        <f aca="false">IF(LEFT(Cockpit!$I$5,1)="A",H1659,IF(CH1659=1,(CK1659+CI1659)/2,IF(LEFT(Cockpit!$I$5,1)="B",(CK1659+AV1659)/2,MAX((CK1659+AV1659)/2,H1659))))</f>
        <v>1.5</v>
      </c>
      <c r="AU1659" s="50" t="n">
        <f aca="false">AT1659*G1659</f>
        <v>911.25</v>
      </c>
      <c r="AV1659" s="50" t="n">
        <f aca="false">ROUNDUP(CK1659+MAX(CL1659,2*(J1659/IF(CG1659&gt;0,CG1659,MAX(0.1,N(Cockpit!$I$6)))-CK1659)),0)</f>
        <v>2</v>
      </c>
      <c r="AW1659" s="51" t="n">
        <f aca="false">IF(AS1659&gt;0,J1659/AS1659,-1)</f>
        <v>0</v>
      </c>
      <c r="AX1659" s="51" t="n">
        <f aca="false">IF(AND(OR(CF1659="L1",CF1659="L23",CF1659="LIFT"),AS1659&gt;0),SUMIFS($AS$7:$AS$1843,$CF$7:$CF$1843,CF1659,$AW$7:$AW$1843,"&gt;"&amp;AW1659)+SUMIFS($AS$7:$AS$1843,$CF$7:$CF$1843,CF1659,$AW$7:$AW$1843,AW1659,$BW$7:$BW$1843,"&lt;="&amp;BW1659),"")</f>
        <v>37823.8687087395</v>
      </c>
      <c r="AY1659" s="58" t="n">
        <f aca="false">IF(AX1659="",0,MAX(0,MIN(1,(IF(CF1659="L1",Parameter!$H$5,IF(CF1659="L23",Parameter!$H$6+Parameter!$H$7,Parameter!$H$5+Parameter!$H$6+Parameter!$H$7))-(AX1659-AS1659))/AS1659)))</f>
        <v>0</v>
      </c>
      <c r="AZ1659" s="50" t="n">
        <f aca="false">IF(LEFT(Cockpit!$O$5,1)="A",H1659,IF(Parameter!$E$30="MAX-Bestand",IF(CH1659=1,CI1659,IF(LEFT(Cockpit!$O$5,1)="B",BF1659,MAX(BF1659,H1659))),ROUNDUP(BD1659,0)))</f>
        <v>2</v>
      </c>
      <c r="BA1659" s="50" t="n">
        <f aca="false">IF(BZ1659=1,0,ROUNDUP(AZ1659/BY1659,0))</f>
        <v>1</v>
      </c>
      <c r="BB1659" s="52" t="n">
        <f aca="false">IF(CQ1659&gt;0,CQ1659*MAX(1,AZ1659/X1659),IF(BZ1659=1,IF(AZ1659&lt;=0,0,CD1659*MAX(1,IF(H1659&gt;0,AZ1659/H1659,1))),IF(R1659&gt;0,BA1659/R1659,0))/MAX(0.1,N(Parameter!$M$21)))</f>
        <v>0.25</v>
      </c>
      <c r="BC1659" s="50" t="n">
        <f aca="false">BB1659*CB1659</f>
        <v>58.75</v>
      </c>
      <c r="BD1659" s="51" t="n">
        <f aca="false">IF(LEFT(Cockpit!$O$5,1)="A",H1659,IF(CH1659=1,(CK1659+CI1659)/2,IF(LEFT(Cockpit!$O$5,1)="B",(CK1659+BF1659)/2,MAX((CK1659+BF1659)/2,H1659))))</f>
        <v>1.5</v>
      </c>
      <c r="BE1659" s="50" t="n">
        <f aca="false">BD1659*G1659</f>
        <v>911.25</v>
      </c>
      <c r="BF1659" s="50" t="n">
        <f aca="false">ROUNDUP(CK1659+MAX(CL1659,2*(J1659/IF(CG1659&gt;0,CG1659,MAX(0.1,N(Cockpit!$O$6)))-CK1659)),0)</f>
        <v>2</v>
      </c>
      <c r="BG1659" s="51" t="n">
        <f aca="false">IF(BC1659&gt;0,J1659/BC1659,-1)</f>
        <v>0</v>
      </c>
      <c r="BH1659" s="51" t="n">
        <f aca="false">IF(AND(OR(CF1659="L1",CF1659="L23",CF1659="LIFT"),BC1659&gt;0),SUMIFS($BC$7:$BC$1843,$CF$7:$CF$1843,CF1659,$BG$7:$BG$1843,"&gt;"&amp;BG1659)+SUMIFS($BC$7:$BC$1843,$CF$7:$CF$1843,CF1659,$BG$7:$BG$1843,BG1659,$BW$7:$BW$1843,"&lt;="&amp;BW1659),"")</f>
        <v>31733.3099842719</v>
      </c>
      <c r="BI1659" s="58" t="n">
        <f aca="false">IF(BH1659="",0,MAX(0,MIN(1,(IF(CF1659="L1",Parameter!$H$5,IF(CF1659="L23",Parameter!$H$6+Parameter!$H$7,Parameter!$H$5+Parameter!$H$6+Parameter!$H$7))-(BH1659-BC1659))/BC1659)))</f>
        <v>1</v>
      </c>
      <c r="BJ1659" s="48" t="str">
        <f aca="false">IF(AI1659&lt;=0,"",IF(CF1659="Aussen","Aussenlager",IF(CF1659="-","Nicht im Lift",IF(AO1659&gt;=1,"Lift",IF(AO1659&lt;=0,"Aussenlager","teilweise")))))</f>
        <v>Lift</v>
      </c>
      <c r="BK1659" s="48" t="str">
        <f aca="false">IF(AS1659&lt;=0,"",IF(CF1659="Aussen","Aussenlager",IF(CF1659="-","Nicht im Lift",IF(AY1659&gt;=1,"Lift",IF(AY1659&lt;=0,"Aussenlager","teilweise")))))</f>
        <v>Aussenlager</v>
      </c>
      <c r="BL1659" s="48" t="str">
        <f aca="false">IF(BC1659&lt;=0,"",IF(CF1659="Aussen","Aussenlager",IF(CF1659="-","Nicht im Lift",IF(BI1659&gt;=1,"Lift",IF(BI1659&lt;=0,"Aussenlager","teilweise")))))</f>
        <v>Lift</v>
      </c>
      <c r="BM1659" s="48" t="str">
        <f aca="false">IF(A1659="","",IF(BV1659=1,"Neu; ","")&amp;IF(AND(BV1659=0,BQ1659&lt;0),"negativer Bestand (Export "&amp;BQ1659&amp;"); ","")&amp;IF(J1659&lt;=0,"Kein Verbrauch; ","")&amp;IF(CQ1659&gt;0,"Lift "&amp;W1659&amp;" lt. Liftbericht (Fach "&amp;X1659&amp;" Stk); ",IF(CA1659=1,"Gebinde geschätzt ("&amp;T1659&amp;"); ",IF(BZ1659=1,"Lose – Tablare geschätzt; ","")))&amp;IF(H1659&gt;AV1659,"Überbestand "&amp;ROUND(H1659-AV1659,0)&amp;" Stk / CHF "&amp;ROUND((H1659-AV1659)*G1659,0)&amp;"; ","")&amp;IF(AND(CH1659=1,CI1659&lt;CJ1659),"MAX &lt; MB+LG; ","")&amp;IF(AND(CP1659&gt;0,CO1659*10&gt;CP1659),"zu hoch für Tablar; ","")&amp;IF(AND(BV1659=0,OR(CH1659=1,AA1659&lt;&gt;"",U1659&lt;&gt;"",V1659&lt;&gt;"",AB1659&lt;&gt;"")),"manuell übersteuert; ","")&amp;IF(AND(BZ1659=0,R1659=0),"Gebinde unbekannt / Stellmass fehlt; ","")&amp;IF(AND(BZ1659=0,N(V1659)&lt;=0,N(Q1659)&lt;=0),"Menge pro Gebinde fehlt (Ist = 1 Gebinde); ","")&amp;BU1659)</f>
        <v>Kein Verbrauch; Gebinde geschätzt (Gross); Menge pro Gebinde fehlt (Ist = 1 Gebinde); nur im Artikelstamm (Bestand 23.06.2026)</v>
      </c>
      <c r="BN1659" s="48"/>
      <c r="BO1659" s="48"/>
      <c r="BP1659" s="55"/>
      <c r="BQ1659" s="50" t="n">
        <v>1</v>
      </c>
      <c r="BR1659" s="50" t="n">
        <v>0</v>
      </c>
      <c r="BS1659" s="49" t="n">
        <v>0</v>
      </c>
      <c r="BT1659" s="50" t="n">
        <v>0</v>
      </c>
      <c r="BU1659" s="48" t="s">
        <v>2584</v>
      </c>
      <c r="BV1659" s="53" t="n">
        <v>0</v>
      </c>
      <c r="BW1659" s="53" t="n">
        <v>1659</v>
      </c>
      <c r="BX1659" s="48" t="str">
        <f aca="false">IF(U1659&lt;&gt;"",UPPER(TRIM(U1659)),IF(CA1659=1,UPPER(VLOOKUP(T1659,Parameter!$I$27:$K$29,2,0)),IF(P1659="","LOSE",P1659)))</f>
        <v>S81</v>
      </c>
      <c r="BY1659" s="50" t="n">
        <f aca="false">IF(BX1659="LOSE",1,IF(N(V1659)&gt;0,V1659,IF(CA1659=1,MAX(1,N(VLOOKUP(T1659,Parameter!$I$27:$K$29,3,0)),H1659,N(N1659)),IF(N(Q1659)&gt;0,Q1659,MAX(1,H1659)))))</f>
        <v>2</v>
      </c>
      <c r="BZ1659" s="53" t="n">
        <f aca="false">IF(BX1659="LOSE",1,0)</f>
        <v>0</v>
      </c>
      <c r="CA1659" s="53" t="n">
        <f aca="false">IF(AND(U1659="",OR(P1659="",P1659="LOSE"),T1659&lt;&gt;"",N(S1659)&lt;=0,ISNUMBER(MATCH(T1659,Parameter!$I$27:$I$29,0))),1,0)</f>
        <v>1</v>
      </c>
      <c r="CB1659" s="53" t="n">
        <f aca="false">IF(CQ1659&gt;0,INDEX(Parameter!$H$5:$H$7,W1659)/INDEX(Parameter!$E$5:$E$7,W1659),IF(AND(BZ1659=0,N(IFERROR(VLOOKUP(BX1659,'Gebinde-Kategorie'!$A$5:$N$45,14,0),0))&gt;0),VLOOKUP(BX1659,'Gebinde-Kategorie'!$A$5:$N$45,14,0)*10+Parameter!$M$23,Parameter!$M$24))</f>
        <v>235</v>
      </c>
      <c r="CC1659" s="48" t="str">
        <f aca="false">IF(AND(Parameter!$B$19="Ja",E1659&lt;&gt;"",ISNUMBER(MATCH(E1659,Parameter!$I$35:$I$52,0))),VLOOKUP(E1659,Parameter!$I$35:$J$52,2,0),IFERROR(VLOOKUP(D1659,Parameter!$A$35:$C$64,2,0),"Nein"))</f>
        <v>2+3</v>
      </c>
      <c r="CD1659" s="52" t="n">
        <f aca="false">IF(BZ1659=0,0,IF(N(S1659)&gt;0,S1659,IFERROR(VLOOKUP(D1659,Parameter!$A$35:$C$64,3,0)+0,0)))</f>
        <v>0</v>
      </c>
      <c r="CE1659" s="48" t="n">
        <f aca="false">IF(AA1659&lt;&gt;"",AA1659,Z1659)</f>
        <v>2</v>
      </c>
      <c r="CF1659" s="48" t="str">
        <f aca="false">IF(OR(CE1659=1,CE1659=2,CE1659=3),IF(Parameter!$E$27="Ja","LIFT",IF(CE1659=1,"L1","L23")),IF(CE1659="Aussen","Aussen","-"))</f>
        <v>LIFT</v>
      </c>
      <c r="CG1659" s="59" t="n">
        <f aca="false">IF(N(AB1659)&gt;0,AB1659,0)</f>
        <v>0</v>
      </c>
      <c r="CH1659" s="53" t="n">
        <f aca="false">IF(ISNUMBER(AE1659),1,0)</f>
        <v>0</v>
      </c>
      <c r="CI1659" s="50" t="n">
        <f aca="false">N(AE1659)</f>
        <v>0</v>
      </c>
      <c r="CJ1659" s="50" t="n">
        <f aca="false">N(M1659)+N(N1659)</f>
        <v>2</v>
      </c>
      <c r="CK1659" s="50" t="n">
        <f aca="false">N(M1659)</f>
        <v>1</v>
      </c>
      <c r="CL1659" s="50" t="n">
        <f aca="false">N(N1659)</f>
        <v>1</v>
      </c>
      <c r="CM1659" s="50" t="n">
        <f aca="false">ROUNDUP(H1659/BY1659,0)</f>
        <v>1</v>
      </c>
      <c r="CN1659" s="50" t="n">
        <f aca="false">ROUNDUP(CI1659/BY1659,0)</f>
        <v>0</v>
      </c>
      <c r="CO1659" s="53" t="n">
        <f aca="false">IF(BZ1659=1,0,IFERROR(VLOOKUP(BX1659,'Gebinde-Kategorie'!$A$5:$N$45,5,0)+0,0))</f>
        <v>20</v>
      </c>
      <c r="CP1659" s="53" t="n">
        <f aca="false">IFERROR(IF(OR(CE1659=1,CE1659=2,CE1659=3),N(INDEX(Parameter!$I$5:$I$7,CE1659)),0),0)</f>
        <v>0</v>
      </c>
      <c r="CQ1659" s="52" t="n">
        <f aca="false">IF(AND(Parameter!$B$21="Ja",ISNUMBER(W1659),N(X1659)&gt;0),IFERROR(N(INDEX(Parameter!$L$5:$L$7,W1659))*INDEX(Parameter!$E$5:$E$7,W1659)*X1659/SUMIFS($X$7:$X$1843,$W$7:$W$1843,W1659),0),0)</f>
        <v>0</v>
      </c>
    </row>
    <row r="1660" customFormat="false" ht="15" hidden="false" customHeight="false" outlineLevel="0" collapsed="false">
      <c r="A1660" s="48" t="s">
        <v>2894</v>
      </c>
      <c r="B1660" s="48" t="s">
        <v>190</v>
      </c>
      <c r="C1660" s="48" t="s">
        <v>176</v>
      </c>
      <c r="D1660" s="48" t="s">
        <v>182</v>
      </c>
      <c r="E1660" s="48" t="s">
        <v>175</v>
      </c>
      <c r="F1660" s="48"/>
      <c r="G1660" s="49" t="n">
        <v>5331</v>
      </c>
      <c r="H1660" s="50" t="n">
        <f aca="false">MAX(0,IF(AND(Parameter!$B$21="Ja",ISNUMBER(Y1660)),Y1660,IF(Parameter!$B$20="Jahresanfang 2025 + Export",BR1660+BQ1660,BQ1660)))</f>
        <v>6</v>
      </c>
      <c r="I1660" s="50" t="n">
        <f aca="false">H1660*G1660</f>
        <v>31986</v>
      </c>
      <c r="J1660" s="50" t="n">
        <f aca="false">BT1660*Parameter!$B$18</f>
        <v>0</v>
      </c>
      <c r="K1660" s="51"/>
      <c r="L1660" s="52"/>
      <c r="M1660" s="50" t="n">
        <v>0</v>
      </c>
      <c r="N1660" s="50" t="n">
        <v>1</v>
      </c>
      <c r="O1660" s="53" t="n">
        <v>42</v>
      </c>
      <c r="P1660" s="48" t="s">
        <v>177</v>
      </c>
      <c r="Q1660" s="50"/>
      <c r="R1660" s="53" t="n">
        <f aca="false">IF(BZ1660=1,0,IFERROR(VLOOKUP(BX1660,'Gebinde-Kategorie'!$A$5:$N$45,13,0)+0,0))</f>
        <v>12</v>
      </c>
      <c r="S1660" s="54"/>
      <c r="T1660" s="55" t="s">
        <v>188</v>
      </c>
      <c r="U1660" s="55"/>
      <c r="V1660" s="55"/>
      <c r="W1660" s="48"/>
      <c r="X1660" s="50"/>
      <c r="Y1660" s="50"/>
      <c r="Z1660" s="48" t="n">
        <f aca="false">IF(A1660="","",IF(AND(Parameter!$B$21="Ja",ISNUMBER(W1660)),W1660,IF(CC1660="2+3",IF(ISNUMBER(SEARCH("grosser Artikel",BU1660)),2,IFERROR(VLOOKUP(BX1660,Parameter!$F$35:$G$64,2,0),2)),IF(OR(CC1660="Nein",CC1660=""),"-",CC1660))))</f>
        <v>1</v>
      </c>
      <c r="AA1660" s="55"/>
      <c r="AB1660" s="56"/>
      <c r="AC1660" s="50" t="n">
        <f aca="false">AV1660</f>
        <v>1</v>
      </c>
      <c r="AD1660" s="50" t="n">
        <f aca="false">MAX(AV1660,H1660)</f>
        <v>6</v>
      </c>
      <c r="AE1660" s="57"/>
      <c r="AF1660" s="50" t="n">
        <f aca="false">IF(LEFT(Cockpit!$C$5,1)="A",H1660,IF(Parameter!$E$30="MAX-Bestand",IF(CH1660=1,CI1660,IF(LEFT(Cockpit!$C$5,1)="B",AL1660,MAX(AL1660,H1660))),ROUNDUP(AJ1660,0)))</f>
        <v>6</v>
      </c>
      <c r="AG1660" s="50" t="n">
        <f aca="false">IF(BZ1660=1,0,ROUNDUP(AF1660/BY1660,0))</f>
        <v>1</v>
      </c>
      <c r="AH1660" s="52" t="n">
        <f aca="false">IF(CQ1660&gt;0,CQ1660*MAX(1,AF1660/X1660),IF(BZ1660=1,IF(AF1660&lt;=0,0,CD1660*MAX(1,IF(H1660&gt;0,AF1660/H1660,1))),IF(R1660&gt;0,AG1660/R1660,0))/MAX(0.1,N(Parameter!$M$21)))</f>
        <v>0.0833333333333333</v>
      </c>
      <c r="AI1660" s="50" t="n">
        <f aca="false">AH1660*CB1660</f>
        <v>12.0833333333333</v>
      </c>
      <c r="AJ1660" s="51" t="n">
        <f aca="false">IF(LEFT(Cockpit!$C$5,1)="A",H1660,IF(CH1660=1,(CK1660+CI1660)/2,IF(LEFT(Cockpit!$C$5,1)="B",(CK1660+AL1660)/2,MAX((CK1660+AL1660)/2,H1660))))</f>
        <v>6</v>
      </c>
      <c r="AK1660" s="50" t="n">
        <f aca="false">AJ1660*G1660</f>
        <v>31986</v>
      </c>
      <c r="AL1660" s="50" t="n">
        <f aca="false">ROUNDUP(CK1660+MAX(CL1660,2*(J1660/IF(CG1660&gt;0,CG1660,MAX(0.1,N(Cockpit!$C$6)))-CK1660)),0)</f>
        <v>1</v>
      </c>
      <c r="AM1660" s="51" t="n">
        <f aca="false">IF(AI1660&gt;0,J1660/AI1660,-1)</f>
        <v>0</v>
      </c>
      <c r="AN1660" s="51" t="n">
        <f aca="false">IF(AND(OR(CF1660="L1",CF1660="L23",CF1660="LIFT"),AI1660&gt;0),SUMIFS($AI$7:$AI$1843,$CF$7:$CF$1843,CF1660,$AM$7:$AM$1843,"&gt;"&amp;AM1660)+SUMIFS($AI$7:$AI$1843,$CF$7:$CF$1843,CF1660,$AM$7:$AM$1843,AM1660,$BW$7:$BW$1843,"&lt;="&amp;BW1660),"")</f>
        <v>31363.7038114898</v>
      </c>
      <c r="AO1660" s="58" t="n">
        <f aca="false">IF(AN1660="",0,MAX(0,MIN(1,(IF(CF1660="L1",Parameter!$H$5,IF(CF1660="L23",Parameter!$H$6+Parameter!$H$7,Parameter!$H$5+Parameter!$H$6+Parameter!$H$7))-(AN1660-AI1660))/AI1660)))</f>
        <v>1</v>
      </c>
      <c r="AP1660" s="50" t="n">
        <f aca="false">IF(LEFT(Cockpit!$I$5,1)="A",H1660,IF(Parameter!$E$30="MAX-Bestand",IF(CH1660=1,CI1660,IF(LEFT(Cockpit!$I$5,1)="B",AV1660,MAX(AV1660,H1660))),ROUNDUP(AT1660,0)))</f>
        <v>6</v>
      </c>
      <c r="AQ1660" s="50" t="n">
        <f aca="false">IF(BZ1660=1,0,ROUNDUP(AP1660/BY1660,0))</f>
        <v>1</v>
      </c>
      <c r="AR1660" s="52" t="n">
        <f aca="false">IF(CQ1660&gt;0,CQ1660*MAX(1,AP1660/X1660),IF(BZ1660=1,IF(AP1660&lt;=0,0,CD1660*MAX(1,IF(H1660&gt;0,AP1660/H1660,1))),IF(R1660&gt;0,AQ1660/R1660,0))/MAX(0.1,N(Parameter!$M$21)))</f>
        <v>0.0833333333333333</v>
      </c>
      <c r="AS1660" s="50" t="n">
        <f aca="false">AR1660*CB1660</f>
        <v>12.0833333333333</v>
      </c>
      <c r="AT1660" s="51" t="n">
        <f aca="false">IF(LEFT(Cockpit!$I$5,1)="A",H1660,IF(CH1660=1,(CK1660+CI1660)/2,IF(LEFT(Cockpit!$I$5,1)="B",(CK1660+AV1660)/2,MAX((CK1660+AV1660)/2,H1660))))</f>
        <v>6</v>
      </c>
      <c r="AU1660" s="50" t="n">
        <f aca="false">AT1660*G1660</f>
        <v>31986</v>
      </c>
      <c r="AV1660" s="50" t="n">
        <f aca="false">ROUNDUP(CK1660+MAX(CL1660,2*(J1660/IF(CG1660&gt;0,CG1660,MAX(0.1,N(Cockpit!$I$6)))-CK1660)),0)</f>
        <v>1</v>
      </c>
      <c r="AW1660" s="51" t="n">
        <f aca="false">IF(AS1660&gt;0,J1660/AS1660,-1)</f>
        <v>0</v>
      </c>
      <c r="AX1660" s="51" t="n">
        <f aca="false">IF(AND(OR(CF1660="L1",CF1660="L23",CF1660="LIFT"),AS1660&gt;0),SUMIFS($AS$7:$AS$1843,$CF$7:$CF$1843,CF1660,$AW$7:$AW$1843,"&gt;"&amp;AW1660)+SUMIFS($AS$7:$AS$1843,$CF$7:$CF$1843,CF1660,$AW$7:$AW$1843,AW1660,$BW$7:$BW$1843,"&lt;="&amp;BW1660),"")</f>
        <v>37835.9520420728</v>
      </c>
      <c r="AY1660" s="58" t="n">
        <f aca="false">IF(AX1660="",0,MAX(0,MIN(1,(IF(CF1660="L1",Parameter!$H$5,IF(CF1660="L23",Parameter!$H$6+Parameter!$H$7,Parameter!$H$5+Parameter!$H$6+Parameter!$H$7))-(AX1660-AS1660))/AS1660)))</f>
        <v>0</v>
      </c>
      <c r="AZ1660" s="50" t="n">
        <f aca="false">IF(LEFT(Cockpit!$O$5,1)="A",H1660,IF(Parameter!$E$30="MAX-Bestand",IF(CH1660=1,CI1660,IF(LEFT(Cockpit!$O$5,1)="B",BF1660,MAX(BF1660,H1660))),ROUNDUP(BD1660,0)))</f>
        <v>1</v>
      </c>
      <c r="BA1660" s="50" t="n">
        <f aca="false">IF(BZ1660=1,0,ROUNDUP(AZ1660/BY1660,0))</f>
        <v>1</v>
      </c>
      <c r="BB1660" s="52" t="n">
        <f aca="false">IF(CQ1660&gt;0,CQ1660*MAX(1,AZ1660/X1660),IF(BZ1660=1,IF(AZ1660&lt;=0,0,CD1660*MAX(1,IF(H1660&gt;0,AZ1660/H1660,1))),IF(R1660&gt;0,BA1660/R1660,0))/MAX(0.1,N(Parameter!$M$21)))</f>
        <v>0.0833333333333333</v>
      </c>
      <c r="BC1660" s="50" t="n">
        <f aca="false">BB1660*CB1660</f>
        <v>12.0833333333333</v>
      </c>
      <c r="BD1660" s="51" t="n">
        <f aca="false">IF(LEFT(Cockpit!$O$5,1)="A",H1660,IF(CH1660=1,(CK1660+CI1660)/2,IF(LEFT(Cockpit!$O$5,1)="B",(CK1660+BF1660)/2,MAX((CK1660+BF1660)/2,H1660))))</f>
        <v>0.5</v>
      </c>
      <c r="BE1660" s="50" t="n">
        <f aca="false">BD1660*G1660</f>
        <v>2665.5</v>
      </c>
      <c r="BF1660" s="50" t="n">
        <f aca="false">ROUNDUP(CK1660+MAX(CL1660,2*(J1660/IF(CG1660&gt;0,CG1660,MAX(0.1,N(Cockpit!$O$6)))-CK1660)),0)</f>
        <v>1</v>
      </c>
      <c r="BG1660" s="51" t="n">
        <f aca="false">IF(BC1660&gt;0,J1660/BC1660,-1)</f>
        <v>0</v>
      </c>
      <c r="BH1660" s="51" t="n">
        <f aca="false">IF(AND(OR(CF1660="L1",CF1660="L23",CF1660="LIFT"),BC1660&gt;0),SUMIFS($BC$7:$BC$1843,$CF$7:$CF$1843,CF1660,$BG$7:$BG$1843,"&gt;"&amp;BG1660)+SUMIFS($BC$7:$BC$1843,$CF$7:$CF$1843,CF1660,$BG$7:$BG$1843,BG1660,$BW$7:$BW$1843,"&lt;="&amp;BW1660),"")</f>
        <v>31745.3933176052</v>
      </c>
      <c r="BI1660" s="58" t="n">
        <f aca="false">IF(BH1660="",0,MAX(0,MIN(1,(IF(CF1660="L1",Parameter!$H$5,IF(CF1660="L23",Parameter!$H$6+Parameter!$H$7,Parameter!$H$5+Parameter!$H$6+Parameter!$H$7))-(BH1660-BC1660))/BC1660)))</f>
        <v>1</v>
      </c>
      <c r="BJ1660" s="48" t="str">
        <f aca="false">IF(AI1660&lt;=0,"",IF(CF1660="Aussen","Aussenlager",IF(CF1660="-","Nicht im Lift",IF(AO1660&gt;=1,"Lift",IF(AO1660&lt;=0,"Aussenlager","teilweise")))))</f>
        <v>Lift</v>
      </c>
      <c r="BK1660" s="48" t="str">
        <f aca="false">IF(AS1660&lt;=0,"",IF(CF1660="Aussen","Aussenlager",IF(CF1660="-","Nicht im Lift",IF(AY1660&gt;=1,"Lift",IF(AY1660&lt;=0,"Aussenlager","teilweise")))))</f>
        <v>Aussenlager</v>
      </c>
      <c r="BL1660" s="48" t="str">
        <f aca="false">IF(BC1660&lt;=0,"",IF(CF1660="Aussen","Aussenlager",IF(CF1660="-","Nicht im Lift",IF(BI1660&gt;=1,"Lift",IF(BI1660&lt;=0,"Aussenlager","teilweise")))))</f>
        <v>Lift</v>
      </c>
      <c r="BM1660" s="48" t="str">
        <f aca="false">IF(A1660="","",IF(BV1660=1,"Neu; ","")&amp;IF(AND(BV1660=0,BQ1660&lt;0),"negativer Bestand (Export "&amp;BQ1660&amp;"); ","")&amp;IF(J1660&lt;=0,"Kein Verbrauch; ","")&amp;IF(CQ1660&gt;0,"Lift "&amp;W1660&amp;" lt. Liftbericht (Fach "&amp;X1660&amp;" Stk); ",IF(CA1660=1,"Gebinde geschätzt ("&amp;T1660&amp;"); ",IF(BZ1660=1,"Lose – Tablare geschätzt; ","")))&amp;IF(H1660&gt;AV1660,"Überbestand "&amp;ROUND(H1660-AV1660,0)&amp;" Stk / CHF "&amp;ROUND((H1660-AV1660)*G1660,0)&amp;"; ","")&amp;IF(AND(CH1660=1,CI1660&lt;CJ1660),"MAX &lt; MB+LG; ","")&amp;IF(AND(CP1660&gt;0,CO1660*10&gt;CP1660),"zu hoch für Tablar; ","")&amp;IF(AND(BV1660=0,OR(CH1660=1,AA1660&lt;&gt;"",U1660&lt;&gt;"",V1660&lt;&gt;"",AB1660&lt;&gt;"")),"manuell übersteuert; ","")&amp;IF(AND(BZ1660=0,R1660=0),"Gebinde unbekannt / Stellmass fehlt; ","")&amp;IF(AND(BZ1660=0,N(V1660)&lt;=0,N(Q1660)&lt;=0),"Menge pro Gebinde fehlt (Ist = 1 Gebinde); ","")&amp;BU1660)</f>
        <v>Kein Verbrauch; Gebinde geschätzt (Mittel); Überbestand 5 Stk / CHF 26655; Menge pro Gebinde fehlt (Ist = 1 Gebinde); nur im Artikelstamm (Bestand 23.06.2026)</v>
      </c>
      <c r="BN1660" s="48"/>
      <c r="BO1660" s="48"/>
      <c r="BP1660" s="55"/>
      <c r="BQ1660" s="50" t="n">
        <v>6</v>
      </c>
      <c r="BR1660" s="50" t="n">
        <v>0</v>
      </c>
      <c r="BS1660" s="49" t="n">
        <v>0</v>
      </c>
      <c r="BT1660" s="50" t="n">
        <v>0</v>
      </c>
      <c r="BU1660" s="48" t="s">
        <v>2584</v>
      </c>
      <c r="BV1660" s="53" t="n">
        <v>0</v>
      </c>
      <c r="BW1660" s="53" t="n">
        <v>1660</v>
      </c>
      <c r="BX1660" s="48" t="str">
        <f aca="false">IF(U1660&lt;&gt;"",UPPER(TRIM(U1660)),IF(CA1660=1,UPPER(VLOOKUP(T1660,Parameter!$I$27:$K$29,2,0)),IF(P1660="","LOSE",P1660)))</f>
        <v>S61</v>
      </c>
      <c r="BY1660" s="50" t="n">
        <f aca="false">IF(BX1660="LOSE",1,IF(N(V1660)&gt;0,V1660,IF(CA1660=1,MAX(1,N(VLOOKUP(T1660,Parameter!$I$27:$K$29,3,0)),H1660,N(N1660)),IF(N(Q1660)&gt;0,Q1660,MAX(1,H1660)))))</f>
        <v>6</v>
      </c>
      <c r="BZ1660" s="53" t="n">
        <f aca="false">IF(BX1660="LOSE",1,0)</f>
        <v>0</v>
      </c>
      <c r="CA1660" s="53" t="n">
        <f aca="false">IF(AND(U1660="",OR(P1660="",P1660="LOSE"),T1660&lt;&gt;"",N(S1660)&lt;=0,ISNUMBER(MATCH(T1660,Parameter!$I$27:$I$29,0))),1,0)</f>
        <v>1</v>
      </c>
      <c r="CB1660" s="53" t="n">
        <f aca="false">IF(CQ1660&gt;0,INDEX(Parameter!$H$5:$H$7,W1660)/INDEX(Parameter!$E$5:$E$7,W1660),IF(AND(BZ1660=0,N(IFERROR(VLOOKUP(BX1660,'Gebinde-Kategorie'!$A$5:$N$45,14,0),0))&gt;0),VLOOKUP(BX1660,'Gebinde-Kategorie'!$A$5:$N$45,14,0)*10+Parameter!$M$23,Parameter!$M$24))</f>
        <v>145</v>
      </c>
      <c r="CC1660" s="48" t="n">
        <f aca="false">IF(AND(Parameter!$B$19="Ja",E1660&lt;&gt;"",ISNUMBER(MATCH(E1660,Parameter!$I$35:$I$52,0))),VLOOKUP(E1660,Parameter!$I$35:$J$52,2,0),IFERROR(VLOOKUP(D1660,Parameter!$A$35:$C$64,2,0),"Nein"))</f>
        <v>1</v>
      </c>
      <c r="CD1660" s="52" t="n">
        <f aca="false">IF(BZ1660=0,0,IF(N(S1660)&gt;0,S1660,IFERROR(VLOOKUP(D1660,Parameter!$A$35:$C$64,3,0)+0,0)))</f>
        <v>0</v>
      </c>
      <c r="CE1660" s="48" t="n">
        <f aca="false">IF(AA1660&lt;&gt;"",AA1660,Z1660)</f>
        <v>1</v>
      </c>
      <c r="CF1660" s="48" t="str">
        <f aca="false">IF(OR(CE1660=1,CE1660=2,CE1660=3),IF(Parameter!$E$27="Ja","LIFT",IF(CE1660=1,"L1","L23")),IF(CE1660="Aussen","Aussen","-"))</f>
        <v>LIFT</v>
      </c>
      <c r="CG1660" s="59" t="n">
        <f aca="false">IF(N(AB1660)&gt;0,AB1660,0)</f>
        <v>0</v>
      </c>
      <c r="CH1660" s="53" t="n">
        <f aca="false">IF(ISNUMBER(AE1660),1,0)</f>
        <v>0</v>
      </c>
      <c r="CI1660" s="50" t="n">
        <f aca="false">N(AE1660)</f>
        <v>0</v>
      </c>
      <c r="CJ1660" s="50" t="n">
        <f aca="false">N(M1660)+N(N1660)</f>
        <v>1</v>
      </c>
      <c r="CK1660" s="50" t="n">
        <f aca="false">N(M1660)</f>
        <v>0</v>
      </c>
      <c r="CL1660" s="50" t="n">
        <f aca="false">N(N1660)</f>
        <v>1</v>
      </c>
      <c r="CM1660" s="50" t="n">
        <f aca="false">ROUNDUP(H1660/BY1660,0)</f>
        <v>1</v>
      </c>
      <c r="CN1660" s="50" t="n">
        <f aca="false">ROUNDUP(CI1660/BY1660,0)</f>
        <v>0</v>
      </c>
      <c r="CO1660" s="53" t="n">
        <f aca="false">IF(BZ1660=1,0,IFERROR(VLOOKUP(BX1660,'Gebinde-Kategorie'!$A$5:$N$45,5,0)+0,0))</f>
        <v>11</v>
      </c>
      <c r="CP1660" s="53" t="n">
        <f aca="false">IFERROR(IF(OR(CE1660=1,CE1660=2,CE1660=3),N(INDEX(Parameter!$I$5:$I$7,CE1660)),0),0)</f>
        <v>0</v>
      </c>
      <c r="CQ1660" s="52" t="n">
        <f aca="false">IF(AND(Parameter!$B$21="Ja",ISNUMBER(W1660),N(X1660)&gt;0),IFERROR(N(INDEX(Parameter!$L$5:$L$7,W1660))*INDEX(Parameter!$E$5:$E$7,W1660)*X1660/SUMIFS($X$7:$X$1843,$W$7:$W$1843,W1660),0),0)</f>
        <v>0</v>
      </c>
    </row>
    <row r="1661" customFormat="false" ht="15" hidden="false" customHeight="false" outlineLevel="0" collapsed="false">
      <c r="A1661" s="48" t="s">
        <v>2895</v>
      </c>
      <c r="B1661" s="48" t="s">
        <v>205</v>
      </c>
      <c r="C1661" s="48" t="s">
        <v>176</v>
      </c>
      <c r="D1661" s="48" t="s">
        <v>182</v>
      </c>
      <c r="E1661" s="48" t="s">
        <v>175</v>
      </c>
      <c r="F1661" s="48"/>
      <c r="G1661" s="49" t="n">
        <v>4983</v>
      </c>
      <c r="H1661" s="50" t="n">
        <f aca="false">MAX(0,IF(AND(Parameter!$B$21="Ja",ISNUMBER(Y1661)),Y1661,IF(Parameter!$B$20="Jahresanfang 2025 + Export",BR1661+BQ1661,BQ1661)))</f>
        <v>1</v>
      </c>
      <c r="I1661" s="50" t="n">
        <f aca="false">H1661*G1661</f>
        <v>4983</v>
      </c>
      <c r="J1661" s="50" t="n">
        <f aca="false">BT1661*Parameter!$B$18</f>
        <v>0</v>
      </c>
      <c r="K1661" s="51"/>
      <c r="L1661" s="52"/>
      <c r="M1661" s="50" t="n">
        <v>0</v>
      </c>
      <c r="N1661" s="50" t="n">
        <v>1</v>
      </c>
      <c r="O1661" s="53" t="n">
        <v>42</v>
      </c>
      <c r="P1661" s="48" t="s">
        <v>177</v>
      </c>
      <c r="Q1661" s="50"/>
      <c r="R1661" s="53" t="n">
        <f aca="false">IF(BZ1661=1,0,IFERROR(VLOOKUP(BX1661,'Gebinde-Kategorie'!$A$5:$N$45,13,0)+0,0))</f>
        <v>12</v>
      </c>
      <c r="S1661" s="54"/>
      <c r="T1661" s="55" t="s">
        <v>188</v>
      </c>
      <c r="U1661" s="55"/>
      <c r="V1661" s="55"/>
      <c r="W1661" s="48"/>
      <c r="X1661" s="50"/>
      <c r="Y1661" s="50"/>
      <c r="Z1661" s="48" t="n">
        <f aca="false">IF(A1661="","",IF(AND(Parameter!$B$21="Ja",ISNUMBER(W1661)),W1661,IF(CC1661="2+3",IF(ISNUMBER(SEARCH("grosser Artikel",BU1661)),2,IFERROR(VLOOKUP(BX1661,Parameter!$F$35:$G$64,2,0),2)),IF(OR(CC1661="Nein",CC1661=""),"-",CC1661))))</f>
        <v>1</v>
      </c>
      <c r="AA1661" s="55"/>
      <c r="AB1661" s="56"/>
      <c r="AC1661" s="50" t="n">
        <f aca="false">AV1661</f>
        <v>1</v>
      </c>
      <c r="AD1661" s="50" t="n">
        <f aca="false">MAX(AV1661,H1661)</f>
        <v>1</v>
      </c>
      <c r="AE1661" s="57"/>
      <c r="AF1661" s="50" t="n">
        <f aca="false">IF(LEFT(Cockpit!$C$5,1)="A",H1661,IF(Parameter!$E$30="MAX-Bestand",IF(CH1661=1,CI1661,IF(LEFT(Cockpit!$C$5,1)="B",AL1661,MAX(AL1661,H1661))),ROUNDUP(AJ1661,0)))</f>
        <v>1</v>
      </c>
      <c r="AG1661" s="50" t="n">
        <f aca="false">IF(BZ1661=1,0,ROUNDUP(AF1661/BY1661,0))</f>
        <v>1</v>
      </c>
      <c r="AH1661" s="52" t="n">
        <f aca="false">IF(CQ1661&gt;0,CQ1661*MAX(1,AF1661/X1661),IF(BZ1661=1,IF(AF1661&lt;=0,0,CD1661*MAX(1,IF(H1661&gt;0,AF1661/H1661,1))),IF(R1661&gt;0,AG1661/R1661,0))/MAX(0.1,N(Parameter!$M$21)))</f>
        <v>0.0833333333333333</v>
      </c>
      <c r="AI1661" s="50" t="n">
        <f aca="false">AH1661*CB1661</f>
        <v>12.0833333333333</v>
      </c>
      <c r="AJ1661" s="51" t="n">
        <f aca="false">IF(LEFT(Cockpit!$C$5,1)="A",H1661,IF(CH1661=1,(CK1661+CI1661)/2,IF(LEFT(Cockpit!$C$5,1)="B",(CK1661+AL1661)/2,MAX((CK1661+AL1661)/2,H1661))))</f>
        <v>1</v>
      </c>
      <c r="AK1661" s="50" t="n">
        <f aca="false">AJ1661*G1661</f>
        <v>4983</v>
      </c>
      <c r="AL1661" s="50" t="n">
        <f aca="false">ROUNDUP(CK1661+MAX(CL1661,2*(J1661/IF(CG1661&gt;0,CG1661,MAX(0.1,N(Cockpit!$C$6)))-CK1661)),0)</f>
        <v>1</v>
      </c>
      <c r="AM1661" s="51" t="n">
        <f aca="false">IF(AI1661&gt;0,J1661/AI1661,-1)</f>
        <v>0</v>
      </c>
      <c r="AN1661" s="51" t="n">
        <f aca="false">IF(AND(OR(CF1661="L1",CF1661="L23",CF1661="LIFT"),AI1661&gt;0),SUMIFS($AI$7:$AI$1843,$CF$7:$CF$1843,CF1661,$AM$7:$AM$1843,"&gt;"&amp;AM1661)+SUMIFS($AI$7:$AI$1843,$CF$7:$CF$1843,CF1661,$AM$7:$AM$1843,AM1661,$BW$7:$BW$1843,"&lt;="&amp;BW1661),"")</f>
        <v>31375.7871448232</v>
      </c>
      <c r="AO1661" s="58" t="n">
        <f aca="false">IF(AN1661="",0,MAX(0,MIN(1,(IF(CF1661="L1",Parameter!$H$5,IF(CF1661="L23",Parameter!$H$6+Parameter!$H$7,Parameter!$H$5+Parameter!$H$6+Parameter!$H$7))-(AN1661-AI1661))/AI1661)))</f>
        <v>1</v>
      </c>
      <c r="AP1661" s="50" t="n">
        <f aca="false">IF(LEFT(Cockpit!$I$5,1)="A",H1661,IF(Parameter!$E$30="MAX-Bestand",IF(CH1661=1,CI1661,IF(LEFT(Cockpit!$I$5,1)="B",AV1661,MAX(AV1661,H1661))),ROUNDUP(AT1661,0)))</f>
        <v>1</v>
      </c>
      <c r="AQ1661" s="50" t="n">
        <f aca="false">IF(BZ1661=1,0,ROUNDUP(AP1661/BY1661,0))</f>
        <v>1</v>
      </c>
      <c r="AR1661" s="52" t="n">
        <f aca="false">IF(CQ1661&gt;0,CQ1661*MAX(1,AP1661/X1661),IF(BZ1661=1,IF(AP1661&lt;=0,0,CD1661*MAX(1,IF(H1661&gt;0,AP1661/H1661,1))),IF(R1661&gt;0,AQ1661/R1661,0))/MAX(0.1,N(Parameter!$M$21)))</f>
        <v>0.0833333333333333</v>
      </c>
      <c r="AS1661" s="50" t="n">
        <f aca="false">AR1661*CB1661</f>
        <v>12.0833333333333</v>
      </c>
      <c r="AT1661" s="51" t="n">
        <f aca="false">IF(LEFT(Cockpit!$I$5,1)="A",H1661,IF(CH1661=1,(CK1661+CI1661)/2,IF(LEFT(Cockpit!$I$5,1)="B",(CK1661+AV1661)/2,MAX((CK1661+AV1661)/2,H1661))))</f>
        <v>1</v>
      </c>
      <c r="AU1661" s="50" t="n">
        <f aca="false">AT1661*G1661</f>
        <v>4983</v>
      </c>
      <c r="AV1661" s="50" t="n">
        <f aca="false">ROUNDUP(CK1661+MAX(CL1661,2*(J1661/IF(CG1661&gt;0,CG1661,MAX(0.1,N(Cockpit!$I$6)))-CK1661)),0)</f>
        <v>1</v>
      </c>
      <c r="AW1661" s="51" t="n">
        <f aca="false">IF(AS1661&gt;0,J1661/AS1661,-1)</f>
        <v>0</v>
      </c>
      <c r="AX1661" s="51" t="n">
        <f aca="false">IF(AND(OR(CF1661="L1",CF1661="L23",CF1661="LIFT"),AS1661&gt;0),SUMIFS($AS$7:$AS$1843,$CF$7:$CF$1843,CF1661,$AW$7:$AW$1843,"&gt;"&amp;AW1661)+SUMIFS($AS$7:$AS$1843,$CF$7:$CF$1843,CF1661,$AW$7:$AW$1843,AW1661,$BW$7:$BW$1843,"&lt;="&amp;BW1661),"")</f>
        <v>37848.0353754061</v>
      </c>
      <c r="AY1661" s="58" t="n">
        <f aca="false">IF(AX1661="",0,MAX(0,MIN(1,(IF(CF1661="L1",Parameter!$H$5,IF(CF1661="L23",Parameter!$H$6+Parameter!$H$7,Parameter!$H$5+Parameter!$H$6+Parameter!$H$7))-(AX1661-AS1661))/AS1661)))</f>
        <v>0</v>
      </c>
      <c r="AZ1661" s="50" t="n">
        <f aca="false">IF(LEFT(Cockpit!$O$5,1)="A",H1661,IF(Parameter!$E$30="MAX-Bestand",IF(CH1661=1,CI1661,IF(LEFT(Cockpit!$O$5,1)="B",BF1661,MAX(BF1661,H1661))),ROUNDUP(BD1661,0)))</f>
        <v>1</v>
      </c>
      <c r="BA1661" s="50" t="n">
        <f aca="false">IF(BZ1661=1,0,ROUNDUP(AZ1661/BY1661,0))</f>
        <v>1</v>
      </c>
      <c r="BB1661" s="52" t="n">
        <f aca="false">IF(CQ1661&gt;0,CQ1661*MAX(1,AZ1661/X1661),IF(BZ1661=1,IF(AZ1661&lt;=0,0,CD1661*MAX(1,IF(H1661&gt;0,AZ1661/H1661,1))),IF(R1661&gt;0,BA1661/R1661,0))/MAX(0.1,N(Parameter!$M$21)))</f>
        <v>0.0833333333333333</v>
      </c>
      <c r="BC1661" s="50" t="n">
        <f aca="false">BB1661*CB1661</f>
        <v>12.0833333333333</v>
      </c>
      <c r="BD1661" s="51" t="n">
        <f aca="false">IF(LEFT(Cockpit!$O$5,1)="A",H1661,IF(CH1661=1,(CK1661+CI1661)/2,IF(LEFT(Cockpit!$O$5,1)="B",(CK1661+BF1661)/2,MAX((CK1661+BF1661)/2,H1661))))</f>
        <v>0.5</v>
      </c>
      <c r="BE1661" s="50" t="n">
        <f aca="false">BD1661*G1661</f>
        <v>2491.5</v>
      </c>
      <c r="BF1661" s="50" t="n">
        <f aca="false">ROUNDUP(CK1661+MAX(CL1661,2*(J1661/IF(CG1661&gt;0,CG1661,MAX(0.1,N(Cockpit!$O$6)))-CK1661)),0)</f>
        <v>1</v>
      </c>
      <c r="BG1661" s="51" t="n">
        <f aca="false">IF(BC1661&gt;0,J1661/BC1661,-1)</f>
        <v>0</v>
      </c>
      <c r="BH1661" s="51" t="n">
        <f aca="false">IF(AND(OR(CF1661="L1",CF1661="L23",CF1661="LIFT"),BC1661&gt;0),SUMIFS($BC$7:$BC$1843,$CF$7:$CF$1843,CF1661,$BG$7:$BG$1843,"&gt;"&amp;BG1661)+SUMIFS($BC$7:$BC$1843,$CF$7:$CF$1843,CF1661,$BG$7:$BG$1843,BG1661,$BW$7:$BW$1843,"&lt;="&amp;BW1661),"")</f>
        <v>31757.4766509385</v>
      </c>
      <c r="BI1661" s="58" t="n">
        <f aca="false">IF(BH1661="",0,MAX(0,MIN(1,(IF(CF1661="L1",Parameter!$H$5,IF(CF1661="L23",Parameter!$H$6+Parameter!$H$7,Parameter!$H$5+Parameter!$H$6+Parameter!$H$7))-(BH1661-BC1661))/BC1661)))</f>
        <v>1</v>
      </c>
      <c r="BJ1661" s="48" t="str">
        <f aca="false">IF(AI1661&lt;=0,"",IF(CF1661="Aussen","Aussenlager",IF(CF1661="-","Nicht im Lift",IF(AO1661&gt;=1,"Lift",IF(AO1661&lt;=0,"Aussenlager","teilweise")))))</f>
        <v>Lift</v>
      </c>
      <c r="BK1661" s="48" t="str">
        <f aca="false">IF(AS1661&lt;=0,"",IF(CF1661="Aussen","Aussenlager",IF(CF1661="-","Nicht im Lift",IF(AY1661&gt;=1,"Lift",IF(AY1661&lt;=0,"Aussenlager","teilweise")))))</f>
        <v>Aussenlager</v>
      </c>
      <c r="BL1661" s="48" t="str">
        <f aca="false">IF(BC1661&lt;=0,"",IF(CF1661="Aussen","Aussenlager",IF(CF1661="-","Nicht im Lift",IF(BI1661&gt;=1,"Lift",IF(BI1661&lt;=0,"Aussenlager","teilweise")))))</f>
        <v>Lift</v>
      </c>
      <c r="BM1661" s="48" t="str">
        <f aca="false">IF(A1661="","",IF(BV1661=1,"Neu; ","")&amp;IF(AND(BV1661=0,BQ1661&lt;0),"negativer Bestand (Export "&amp;BQ1661&amp;"); ","")&amp;IF(J1661&lt;=0,"Kein Verbrauch; ","")&amp;IF(CQ1661&gt;0,"Lift "&amp;W1661&amp;" lt. Liftbericht (Fach "&amp;X1661&amp;" Stk); ",IF(CA1661=1,"Gebinde geschätzt ("&amp;T1661&amp;"); ",IF(BZ1661=1,"Lose – Tablare geschätzt; ","")))&amp;IF(H1661&gt;AV1661,"Überbestand "&amp;ROUND(H1661-AV1661,0)&amp;" Stk / CHF "&amp;ROUND((H1661-AV1661)*G1661,0)&amp;"; ","")&amp;IF(AND(CH1661=1,CI1661&lt;CJ1661),"MAX &lt; MB+LG; ","")&amp;IF(AND(CP1661&gt;0,CO1661*10&gt;CP1661),"zu hoch für Tablar; ","")&amp;IF(AND(BV1661=0,OR(CH1661=1,AA1661&lt;&gt;"",U1661&lt;&gt;"",V1661&lt;&gt;"",AB1661&lt;&gt;"")),"manuell übersteuert; ","")&amp;IF(AND(BZ1661=0,R1661=0),"Gebinde unbekannt / Stellmass fehlt; ","")&amp;IF(AND(BZ1661=0,N(V1661)&lt;=0,N(Q1661)&lt;=0),"Menge pro Gebinde fehlt (Ist = 1 Gebinde); ","")&amp;BU1661)</f>
        <v>Kein Verbrauch; Gebinde geschätzt (Mittel); Menge pro Gebinde fehlt (Ist = 1 Gebinde); nur im Artikelstamm (Bestand 23.06.2026)</v>
      </c>
      <c r="BN1661" s="48"/>
      <c r="BO1661" s="48"/>
      <c r="BP1661" s="55"/>
      <c r="BQ1661" s="50" t="n">
        <v>1</v>
      </c>
      <c r="BR1661" s="50" t="n">
        <v>0</v>
      </c>
      <c r="BS1661" s="49" t="n">
        <v>0</v>
      </c>
      <c r="BT1661" s="50" t="n">
        <v>0</v>
      </c>
      <c r="BU1661" s="48" t="s">
        <v>2584</v>
      </c>
      <c r="BV1661" s="53" t="n">
        <v>0</v>
      </c>
      <c r="BW1661" s="53" t="n">
        <v>1661</v>
      </c>
      <c r="BX1661" s="48" t="str">
        <f aca="false">IF(U1661&lt;&gt;"",UPPER(TRIM(U1661)),IF(CA1661=1,UPPER(VLOOKUP(T1661,Parameter!$I$27:$K$29,2,0)),IF(P1661="","LOSE",P1661)))</f>
        <v>S61</v>
      </c>
      <c r="BY1661" s="50" t="n">
        <f aca="false">IF(BX1661="LOSE",1,IF(N(V1661)&gt;0,V1661,IF(CA1661=1,MAX(1,N(VLOOKUP(T1661,Parameter!$I$27:$K$29,3,0)),H1661,N(N1661)),IF(N(Q1661)&gt;0,Q1661,MAX(1,H1661)))))</f>
        <v>4</v>
      </c>
      <c r="BZ1661" s="53" t="n">
        <f aca="false">IF(BX1661="LOSE",1,0)</f>
        <v>0</v>
      </c>
      <c r="CA1661" s="53" t="n">
        <f aca="false">IF(AND(U1661="",OR(P1661="",P1661="LOSE"),T1661&lt;&gt;"",N(S1661)&lt;=0,ISNUMBER(MATCH(T1661,Parameter!$I$27:$I$29,0))),1,0)</f>
        <v>1</v>
      </c>
      <c r="CB1661" s="53" t="n">
        <f aca="false">IF(CQ1661&gt;0,INDEX(Parameter!$H$5:$H$7,W1661)/INDEX(Parameter!$E$5:$E$7,W1661),IF(AND(BZ1661=0,N(IFERROR(VLOOKUP(BX1661,'Gebinde-Kategorie'!$A$5:$N$45,14,0),0))&gt;0),VLOOKUP(BX1661,'Gebinde-Kategorie'!$A$5:$N$45,14,0)*10+Parameter!$M$23,Parameter!$M$24))</f>
        <v>145</v>
      </c>
      <c r="CC1661" s="48" t="n">
        <f aca="false">IF(AND(Parameter!$B$19="Ja",E1661&lt;&gt;"",ISNUMBER(MATCH(E1661,Parameter!$I$35:$I$52,0))),VLOOKUP(E1661,Parameter!$I$35:$J$52,2,0),IFERROR(VLOOKUP(D1661,Parameter!$A$35:$C$64,2,0),"Nein"))</f>
        <v>1</v>
      </c>
      <c r="CD1661" s="52" t="n">
        <f aca="false">IF(BZ1661=0,0,IF(N(S1661)&gt;0,S1661,IFERROR(VLOOKUP(D1661,Parameter!$A$35:$C$64,3,0)+0,0)))</f>
        <v>0</v>
      </c>
      <c r="CE1661" s="48" t="n">
        <f aca="false">IF(AA1661&lt;&gt;"",AA1661,Z1661)</f>
        <v>1</v>
      </c>
      <c r="CF1661" s="48" t="str">
        <f aca="false">IF(OR(CE1661=1,CE1661=2,CE1661=3),IF(Parameter!$E$27="Ja","LIFT",IF(CE1661=1,"L1","L23")),IF(CE1661="Aussen","Aussen","-"))</f>
        <v>LIFT</v>
      </c>
      <c r="CG1661" s="59" t="n">
        <f aca="false">IF(N(AB1661)&gt;0,AB1661,0)</f>
        <v>0</v>
      </c>
      <c r="CH1661" s="53" t="n">
        <f aca="false">IF(ISNUMBER(AE1661),1,0)</f>
        <v>0</v>
      </c>
      <c r="CI1661" s="50" t="n">
        <f aca="false">N(AE1661)</f>
        <v>0</v>
      </c>
      <c r="CJ1661" s="50" t="n">
        <f aca="false">N(M1661)+N(N1661)</f>
        <v>1</v>
      </c>
      <c r="CK1661" s="50" t="n">
        <f aca="false">N(M1661)</f>
        <v>0</v>
      </c>
      <c r="CL1661" s="50" t="n">
        <f aca="false">N(N1661)</f>
        <v>1</v>
      </c>
      <c r="CM1661" s="50" t="n">
        <f aca="false">ROUNDUP(H1661/BY1661,0)</f>
        <v>1</v>
      </c>
      <c r="CN1661" s="50" t="n">
        <f aca="false">ROUNDUP(CI1661/BY1661,0)</f>
        <v>0</v>
      </c>
      <c r="CO1661" s="53" t="n">
        <f aca="false">IF(BZ1661=1,0,IFERROR(VLOOKUP(BX1661,'Gebinde-Kategorie'!$A$5:$N$45,5,0)+0,0))</f>
        <v>11</v>
      </c>
      <c r="CP1661" s="53" t="n">
        <f aca="false">IFERROR(IF(OR(CE1661=1,CE1661=2,CE1661=3),N(INDEX(Parameter!$I$5:$I$7,CE1661)),0),0)</f>
        <v>0</v>
      </c>
      <c r="CQ1661" s="52" t="n">
        <f aca="false">IF(AND(Parameter!$B$21="Ja",ISNUMBER(W1661),N(X1661)&gt;0),IFERROR(N(INDEX(Parameter!$L$5:$L$7,W1661))*INDEX(Parameter!$E$5:$E$7,W1661)*X1661/SUMIFS($X$7:$X$1843,$W$7:$W$1843,W1661),0),0)</f>
        <v>0</v>
      </c>
    </row>
    <row r="1662" customFormat="false" ht="15" hidden="false" customHeight="false" outlineLevel="0" collapsed="false">
      <c r="A1662" s="48" t="s">
        <v>2896</v>
      </c>
      <c r="B1662" s="48" t="s">
        <v>2043</v>
      </c>
      <c r="C1662" s="48" t="s">
        <v>465</v>
      </c>
      <c r="D1662" s="48" t="s">
        <v>193</v>
      </c>
      <c r="E1662" s="48" t="s">
        <v>194</v>
      </c>
      <c r="F1662" s="48"/>
      <c r="G1662" s="49" t="n">
        <v>72.8</v>
      </c>
      <c r="H1662" s="50" t="n">
        <f aca="false">MAX(0,IF(AND(Parameter!$B$21="Ja",ISNUMBER(Y1662)),Y1662,IF(Parameter!$B$20="Jahresanfang 2025 + Export",BR1662+BQ1662,BQ1662)))</f>
        <v>10</v>
      </c>
      <c r="I1662" s="50" t="n">
        <f aca="false">H1662*G1662</f>
        <v>728</v>
      </c>
      <c r="J1662" s="50" t="n">
        <f aca="false">BT1662*Parameter!$B$18</f>
        <v>0</v>
      </c>
      <c r="K1662" s="51"/>
      <c r="L1662" s="52"/>
      <c r="M1662" s="50" t="n">
        <v>0</v>
      </c>
      <c r="N1662" s="50" t="n">
        <v>1</v>
      </c>
      <c r="O1662" s="53" t="n">
        <v>0</v>
      </c>
      <c r="P1662" s="48" t="s">
        <v>177</v>
      </c>
      <c r="Q1662" s="50"/>
      <c r="R1662" s="53" t="n">
        <f aca="false">IF(BZ1662=1,0,IFERROR(VLOOKUP(BX1662,'Gebinde-Kategorie'!$A$5:$N$45,13,0)+0,0))</f>
        <v>26</v>
      </c>
      <c r="S1662" s="54"/>
      <c r="T1662" s="55" t="s">
        <v>284</v>
      </c>
      <c r="U1662" s="55"/>
      <c r="V1662" s="55"/>
      <c r="W1662" s="48"/>
      <c r="X1662" s="50"/>
      <c r="Y1662" s="50"/>
      <c r="Z1662" s="48" t="n">
        <f aca="false">IF(A1662="","",IF(AND(Parameter!$B$21="Ja",ISNUMBER(W1662)),W1662,IF(CC1662="2+3",IF(ISNUMBER(SEARCH("grosser Artikel",BU1662)),2,IFERROR(VLOOKUP(BX1662,Parameter!$F$35:$G$64,2,0),2)),IF(OR(CC1662="Nein",CC1662=""),"-",CC1662))))</f>
        <v>3</v>
      </c>
      <c r="AA1662" s="55"/>
      <c r="AB1662" s="56"/>
      <c r="AC1662" s="50" t="n">
        <f aca="false">AV1662</f>
        <v>1</v>
      </c>
      <c r="AD1662" s="50" t="n">
        <f aca="false">MAX(AV1662,H1662)</f>
        <v>10</v>
      </c>
      <c r="AE1662" s="57"/>
      <c r="AF1662" s="50" t="n">
        <f aca="false">IF(LEFT(Cockpit!$C$5,1)="A",H1662,IF(Parameter!$E$30="MAX-Bestand",IF(CH1662=1,CI1662,IF(LEFT(Cockpit!$C$5,1)="B",AL1662,MAX(AL1662,H1662))),ROUNDUP(AJ1662,0)))</f>
        <v>10</v>
      </c>
      <c r="AG1662" s="50" t="n">
        <f aca="false">IF(BZ1662=1,0,ROUNDUP(AF1662/BY1662,0))</f>
        <v>1</v>
      </c>
      <c r="AH1662" s="52" t="n">
        <f aca="false">IF(CQ1662&gt;0,CQ1662*MAX(1,AF1662/X1662),IF(BZ1662=1,IF(AF1662&lt;=0,0,CD1662*MAX(1,IF(H1662&gt;0,AF1662/H1662,1))),IF(R1662&gt;0,AG1662/R1662,0))/MAX(0.1,N(Parameter!$M$21)))</f>
        <v>0.0384615384615385</v>
      </c>
      <c r="AI1662" s="50" t="n">
        <f aca="false">AH1662*CB1662</f>
        <v>5.96153846153846</v>
      </c>
      <c r="AJ1662" s="51" t="n">
        <f aca="false">IF(LEFT(Cockpit!$C$5,1)="A",H1662,IF(CH1662=1,(CK1662+CI1662)/2,IF(LEFT(Cockpit!$C$5,1)="B",(CK1662+AL1662)/2,MAX((CK1662+AL1662)/2,H1662))))</f>
        <v>10</v>
      </c>
      <c r="AK1662" s="50" t="n">
        <f aca="false">AJ1662*G1662</f>
        <v>728</v>
      </c>
      <c r="AL1662" s="50" t="n">
        <f aca="false">ROUNDUP(CK1662+MAX(CL1662,2*(J1662/IF(CG1662&gt;0,CG1662,MAX(0.1,N(Cockpit!$C$6)))-CK1662)),0)</f>
        <v>1</v>
      </c>
      <c r="AM1662" s="51" t="n">
        <f aca="false">IF(AI1662&gt;0,J1662/AI1662,-1)</f>
        <v>0</v>
      </c>
      <c r="AN1662" s="51" t="n">
        <f aca="false">IF(AND(OR(CF1662="L1",CF1662="L23",CF1662="LIFT"),AI1662&gt;0),SUMIFS($AI$7:$AI$1843,$CF$7:$CF$1843,CF1662,$AM$7:$AM$1843,"&gt;"&amp;AM1662)+SUMIFS($AI$7:$AI$1843,$CF$7:$CF$1843,CF1662,$AM$7:$AM$1843,AM1662,$BW$7:$BW$1843,"&lt;="&amp;BW1662),"")</f>
        <v>31381.7486832847</v>
      </c>
      <c r="AO1662" s="58" t="n">
        <f aca="false">IF(AN1662="",0,MAX(0,MIN(1,(IF(CF1662="L1",Parameter!$H$5,IF(CF1662="L23",Parameter!$H$6+Parameter!$H$7,Parameter!$H$5+Parameter!$H$6+Parameter!$H$7))-(AN1662-AI1662))/AI1662)))</f>
        <v>1</v>
      </c>
      <c r="AP1662" s="50" t="n">
        <f aca="false">IF(LEFT(Cockpit!$I$5,1)="A",H1662,IF(Parameter!$E$30="MAX-Bestand",IF(CH1662=1,CI1662,IF(LEFT(Cockpit!$I$5,1)="B",AV1662,MAX(AV1662,H1662))),ROUNDUP(AT1662,0)))</f>
        <v>10</v>
      </c>
      <c r="AQ1662" s="50" t="n">
        <f aca="false">IF(BZ1662=1,0,ROUNDUP(AP1662/BY1662,0))</f>
        <v>1</v>
      </c>
      <c r="AR1662" s="52" t="n">
        <f aca="false">IF(CQ1662&gt;0,CQ1662*MAX(1,AP1662/X1662),IF(BZ1662=1,IF(AP1662&lt;=0,0,CD1662*MAX(1,IF(H1662&gt;0,AP1662/H1662,1))),IF(R1662&gt;0,AQ1662/R1662,0))/MAX(0.1,N(Parameter!$M$21)))</f>
        <v>0.0384615384615385</v>
      </c>
      <c r="AS1662" s="50" t="n">
        <f aca="false">AR1662*CB1662</f>
        <v>5.96153846153846</v>
      </c>
      <c r="AT1662" s="51" t="n">
        <f aca="false">IF(LEFT(Cockpit!$I$5,1)="A",H1662,IF(CH1662=1,(CK1662+CI1662)/2,IF(LEFT(Cockpit!$I$5,1)="B",(CK1662+AV1662)/2,MAX((CK1662+AV1662)/2,H1662))))</f>
        <v>10</v>
      </c>
      <c r="AU1662" s="50" t="n">
        <f aca="false">AT1662*G1662</f>
        <v>728</v>
      </c>
      <c r="AV1662" s="50" t="n">
        <f aca="false">ROUNDUP(CK1662+MAX(CL1662,2*(J1662/IF(CG1662&gt;0,CG1662,MAX(0.1,N(Cockpit!$I$6)))-CK1662)),0)</f>
        <v>1</v>
      </c>
      <c r="AW1662" s="51" t="n">
        <f aca="false">IF(AS1662&gt;0,J1662/AS1662,-1)</f>
        <v>0</v>
      </c>
      <c r="AX1662" s="51" t="n">
        <f aca="false">IF(AND(OR(CF1662="L1",CF1662="L23",CF1662="LIFT"),AS1662&gt;0),SUMIFS($AS$7:$AS$1843,$CF$7:$CF$1843,CF1662,$AW$7:$AW$1843,"&gt;"&amp;AW1662)+SUMIFS($AS$7:$AS$1843,$CF$7:$CF$1843,CF1662,$AW$7:$AW$1843,AW1662,$BW$7:$BW$1843,"&lt;="&amp;BW1662),"")</f>
        <v>37853.9969138677</v>
      </c>
      <c r="AY1662" s="58" t="n">
        <f aca="false">IF(AX1662="",0,MAX(0,MIN(1,(IF(CF1662="L1",Parameter!$H$5,IF(CF1662="L23",Parameter!$H$6+Parameter!$H$7,Parameter!$H$5+Parameter!$H$6+Parameter!$H$7))-(AX1662-AS1662))/AS1662)))</f>
        <v>0</v>
      </c>
      <c r="AZ1662" s="50" t="n">
        <f aca="false">IF(LEFT(Cockpit!$O$5,1)="A",H1662,IF(Parameter!$E$30="MAX-Bestand",IF(CH1662=1,CI1662,IF(LEFT(Cockpit!$O$5,1)="B",BF1662,MAX(BF1662,H1662))),ROUNDUP(BD1662,0)))</f>
        <v>1</v>
      </c>
      <c r="BA1662" s="50" t="n">
        <f aca="false">IF(BZ1662=1,0,ROUNDUP(AZ1662/BY1662,0))</f>
        <v>1</v>
      </c>
      <c r="BB1662" s="52" t="n">
        <f aca="false">IF(CQ1662&gt;0,CQ1662*MAX(1,AZ1662/X1662),IF(BZ1662=1,IF(AZ1662&lt;=0,0,CD1662*MAX(1,IF(H1662&gt;0,AZ1662/H1662,1))),IF(R1662&gt;0,BA1662/R1662,0))/MAX(0.1,N(Parameter!$M$21)))</f>
        <v>0.0384615384615385</v>
      </c>
      <c r="BC1662" s="50" t="n">
        <f aca="false">BB1662*CB1662</f>
        <v>5.96153846153846</v>
      </c>
      <c r="BD1662" s="51" t="n">
        <f aca="false">IF(LEFT(Cockpit!$O$5,1)="A",H1662,IF(CH1662=1,(CK1662+CI1662)/2,IF(LEFT(Cockpit!$O$5,1)="B",(CK1662+BF1662)/2,MAX((CK1662+BF1662)/2,H1662))))</f>
        <v>0.5</v>
      </c>
      <c r="BE1662" s="50" t="n">
        <f aca="false">BD1662*G1662</f>
        <v>36.4</v>
      </c>
      <c r="BF1662" s="50" t="n">
        <f aca="false">ROUNDUP(CK1662+MAX(CL1662,2*(J1662/IF(CG1662&gt;0,CG1662,MAX(0.1,N(Cockpit!$O$6)))-CK1662)),0)</f>
        <v>1</v>
      </c>
      <c r="BG1662" s="51" t="n">
        <f aca="false">IF(BC1662&gt;0,J1662/BC1662,-1)</f>
        <v>0</v>
      </c>
      <c r="BH1662" s="51" t="n">
        <f aca="false">IF(AND(OR(CF1662="L1",CF1662="L23",CF1662="LIFT"),BC1662&gt;0),SUMIFS($BC$7:$BC$1843,$CF$7:$CF$1843,CF1662,$BG$7:$BG$1843,"&gt;"&amp;BG1662)+SUMIFS($BC$7:$BC$1843,$CF$7:$CF$1843,CF1662,$BG$7:$BG$1843,BG1662,$BW$7:$BW$1843,"&lt;="&amp;BW1662),"")</f>
        <v>31763.4381894001</v>
      </c>
      <c r="BI1662" s="58" t="n">
        <f aca="false">IF(BH1662="",0,MAX(0,MIN(1,(IF(CF1662="L1",Parameter!$H$5,IF(CF1662="L23",Parameter!$H$6+Parameter!$H$7,Parameter!$H$5+Parameter!$H$6+Parameter!$H$7))-(BH1662-BC1662))/BC1662)))</f>
        <v>1</v>
      </c>
      <c r="BJ1662" s="48" t="str">
        <f aca="false">IF(AI1662&lt;=0,"",IF(CF1662="Aussen","Aussenlager",IF(CF1662="-","Nicht im Lift",IF(AO1662&gt;=1,"Lift",IF(AO1662&lt;=0,"Aussenlager","teilweise")))))</f>
        <v>Lift</v>
      </c>
      <c r="BK1662" s="48" t="str">
        <f aca="false">IF(AS1662&lt;=0,"",IF(CF1662="Aussen","Aussenlager",IF(CF1662="-","Nicht im Lift",IF(AY1662&gt;=1,"Lift",IF(AY1662&lt;=0,"Aussenlager","teilweise")))))</f>
        <v>Aussenlager</v>
      </c>
      <c r="BL1662" s="48" t="str">
        <f aca="false">IF(BC1662&lt;=0,"",IF(CF1662="Aussen","Aussenlager",IF(CF1662="-","Nicht im Lift",IF(BI1662&gt;=1,"Lift",IF(BI1662&lt;=0,"Aussenlager","teilweise")))))</f>
        <v>Lift</v>
      </c>
      <c r="BM1662" s="48" t="str">
        <f aca="false">IF(A1662="","",IF(BV1662=1,"Neu; ","")&amp;IF(AND(BV1662=0,BQ1662&lt;0),"negativer Bestand (Export "&amp;BQ1662&amp;"); ","")&amp;IF(J1662&lt;=0,"Kein Verbrauch; ","")&amp;IF(CQ1662&gt;0,"Lift "&amp;W1662&amp;" lt. Liftbericht (Fach "&amp;X1662&amp;" Stk); ",IF(CA1662=1,"Gebinde geschätzt ("&amp;T1662&amp;"); ",IF(BZ1662=1,"Lose – Tablare geschätzt; ","")))&amp;IF(H1662&gt;AV1662,"Überbestand "&amp;ROUND(H1662-AV1662,0)&amp;" Stk / CHF "&amp;ROUND((H1662-AV1662)*G1662,0)&amp;"; ","")&amp;IF(AND(CH1662=1,CI1662&lt;CJ1662),"MAX &lt; MB+LG; ","")&amp;IF(AND(CP1662&gt;0,CO1662*10&gt;CP1662),"zu hoch für Tablar; ","")&amp;IF(AND(BV1662=0,OR(CH1662=1,AA1662&lt;&gt;"",U1662&lt;&gt;"",V1662&lt;&gt;"",AB1662&lt;&gt;"")),"manuell übersteuert; ","")&amp;IF(AND(BZ1662=0,R1662=0),"Gebinde unbekannt / Stellmass fehlt; ","")&amp;IF(AND(BZ1662=0,N(V1662)&lt;=0,N(Q1662)&lt;=0),"Menge pro Gebinde fehlt (Ist = 1 Gebinde); ","")&amp;BU1662)</f>
        <v>Kein Verbrauch; Gebinde geschätzt (Klein); Überbestand 9 Stk / CHF 655; Menge pro Gebinde fehlt (Ist = 1 Gebinde); nur im Artikelstamm (Bestand 23.06.2026); nicht im KTL vorhanden</v>
      </c>
      <c r="BN1662" s="48"/>
      <c r="BO1662" s="48"/>
      <c r="BP1662" s="55"/>
      <c r="BQ1662" s="50" t="n">
        <v>10</v>
      </c>
      <c r="BR1662" s="50" t="n">
        <v>0</v>
      </c>
      <c r="BS1662" s="49" t="n">
        <v>0</v>
      </c>
      <c r="BT1662" s="50" t="n">
        <v>0</v>
      </c>
      <c r="BU1662" s="48" t="s">
        <v>2887</v>
      </c>
      <c r="BV1662" s="53" t="n">
        <v>0</v>
      </c>
      <c r="BW1662" s="53" t="n">
        <v>1662</v>
      </c>
      <c r="BX1662" s="48" t="str">
        <f aca="false">IF(U1662&lt;&gt;"",UPPER(TRIM(U1662)),IF(CA1662=1,UPPER(VLOOKUP(T1662,Parameter!$I$27:$K$29,2,0)),IF(P1662="","LOSE",P1662)))</f>
        <v>S51</v>
      </c>
      <c r="BY1662" s="50" t="n">
        <f aca="false">IF(BX1662="LOSE",1,IF(N(V1662)&gt;0,V1662,IF(CA1662=1,MAX(1,N(VLOOKUP(T1662,Parameter!$I$27:$K$29,3,0)),H1662,N(N1662)),IF(N(Q1662)&gt;0,Q1662,MAX(1,H1662)))))</f>
        <v>20</v>
      </c>
      <c r="BZ1662" s="53" t="n">
        <f aca="false">IF(BX1662="LOSE",1,0)</f>
        <v>0</v>
      </c>
      <c r="CA1662" s="53" t="n">
        <f aca="false">IF(AND(U1662="",OR(P1662="",P1662="LOSE"),T1662&lt;&gt;"",N(S1662)&lt;=0,ISNUMBER(MATCH(T1662,Parameter!$I$27:$I$29,0))),1,0)</f>
        <v>1</v>
      </c>
      <c r="CB1662" s="53" t="n">
        <f aca="false">IF(CQ1662&gt;0,INDEX(Parameter!$H$5:$H$7,W1662)/INDEX(Parameter!$E$5:$E$7,W1662),IF(AND(BZ1662=0,N(IFERROR(VLOOKUP(BX1662,'Gebinde-Kategorie'!$A$5:$N$45,14,0),0))&gt;0),VLOOKUP(BX1662,'Gebinde-Kategorie'!$A$5:$N$45,14,0)*10+Parameter!$M$23,Parameter!$M$24))</f>
        <v>155</v>
      </c>
      <c r="CC1662" s="48" t="str">
        <f aca="false">IF(AND(Parameter!$B$19="Ja",E1662&lt;&gt;"",ISNUMBER(MATCH(E1662,Parameter!$I$35:$I$52,0))),VLOOKUP(E1662,Parameter!$I$35:$J$52,2,0),IFERROR(VLOOKUP(D1662,Parameter!$A$35:$C$64,2,0),"Nein"))</f>
        <v>2+3</v>
      </c>
      <c r="CD1662" s="52" t="n">
        <f aca="false">IF(BZ1662=0,0,IF(N(S1662)&gt;0,S1662,IFERROR(VLOOKUP(D1662,Parameter!$A$35:$C$64,3,0)+0,0)))</f>
        <v>0</v>
      </c>
      <c r="CE1662" s="48" t="n">
        <f aca="false">IF(AA1662&lt;&gt;"",AA1662,Z1662)</f>
        <v>3</v>
      </c>
      <c r="CF1662" s="48" t="str">
        <f aca="false">IF(OR(CE1662=1,CE1662=2,CE1662=3),IF(Parameter!$E$27="Ja","LIFT",IF(CE1662=1,"L1","L23")),IF(CE1662="Aussen","Aussen","-"))</f>
        <v>LIFT</v>
      </c>
      <c r="CG1662" s="59" t="n">
        <f aca="false">IF(N(AB1662)&gt;0,AB1662,0)</f>
        <v>0</v>
      </c>
      <c r="CH1662" s="53" t="n">
        <f aca="false">IF(ISNUMBER(AE1662),1,0)</f>
        <v>0</v>
      </c>
      <c r="CI1662" s="50" t="n">
        <f aca="false">N(AE1662)</f>
        <v>0</v>
      </c>
      <c r="CJ1662" s="50" t="n">
        <f aca="false">N(M1662)+N(N1662)</f>
        <v>1</v>
      </c>
      <c r="CK1662" s="50" t="n">
        <f aca="false">N(M1662)</f>
        <v>0</v>
      </c>
      <c r="CL1662" s="50" t="n">
        <f aca="false">N(N1662)</f>
        <v>1</v>
      </c>
      <c r="CM1662" s="50" t="n">
        <f aca="false">ROUNDUP(H1662/BY1662,0)</f>
        <v>1</v>
      </c>
      <c r="CN1662" s="50" t="n">
        <f aca="false">ROUNDUP(CI1662/BY1662,0)</f>
        <v>0</v>
      </c>
      <c r="CO1662" s="53" t="n">
        <f aca="false">IF(BZ1662=1,0,IFERROR(VLOOKUP(BX1662,'Gebinde-Kategorie'!$A$5:$N$45,5,0)+0,0))</f>
        <v>11</v>
      </c>
      <c r="CP1662" s="53" t="n">
        <f aca="false">IFERROR(IF(OR(CE1662=1,CE1662=2,CE1662=3),N(INDEX(Parameter!$I$5:$I$7,CE1662)),0),0)</f>
        <v>0</v>
      </c>
      <c r="CQ1662" s="52" t="n">
        <f aca="false">IF(AND(Parameter!$B$21="Ja",ISNUMBER(W1662),N(X1662)&gt;0),IFERROR(N(INDEX(Parameter!$L$5:$L$7,W1662))*INDEX(Parameter!$E$5:$E$7,W1662)*X1662/SUMIFS($X$7:$X$1843,$W$7:$W$1843,W1662),0),0)</f>
        <v>0</v>
      </c>
    </row>
    <row r="1663" customFormat="false" ht="15" hidden="false" customHeight="false" outlineLevel="0" collapsed="false">
      <c r="A1663" s="48" t="s">
        <v>2897</v>
      </c>
      <c r="B1663" s="48" t="s">
        <v>518</v>
      </c>
      <c r="C1663" s="48" t="s">
        <v>173</v>
      </c>
      <c r="D1663" s="48" t="s">
        <v>182</v>
      </c>
      <c r="E1663" s="48"/>
      <c r="F1663" s="48"/>
      <c r="G1663" s="49" t="n">
        <v>648.9</v>
      </c>
      <c r="H1663" s="50" t="n">
        <f aca="false">MAX(0,IF(AND(Parameter!$B$21="Ja",ISNUMBER(Y1663)),Y1663,IF(Parameter!$B$20="Jahresanfang 2025 + Export",BR1663+BQ1663,BQ1663)))</f>
        <v>1</v>
      </c>
      <c r="I1663" s="50" t="n">
        <f aca="false">H1663*G1663</f>
        <v>648.9</v>
      </c>
      <c r="J1663" s="50" t="n">
        <f aca="false">BT1663*Parameter!$B$18</f>
        <v>0</v>
      </c>
      <c r="K1663" s="51"/>
      <c r="L1663" s="52"/>
      <c r="M1663" s="50" t="n">
        <v>0</v>
      </c>
      <c r="N1663" s="50" t="n">
        <v>1</v>
      </c>
      <c r="O1663" s="53" t="n">
        <v>42</v>
      </c>
      <c r="P1663" s="48" t="s">
        <v>177</v>
      </c>
      <c r="Q1663" s="50"/>
      <c r="R1663" s="53" t="n">
        <f aca="false">IF(BZ1663=1,0,IFERROR(VLOOKUP(BX1663,'Gebinde-Kategorie'!$A$5:$N$45,13,0)+0,0))</f>
        <v>12</v>
      </c>
      <c r="S1663" s="54"/>
      <c r="T1663" s="55" t="s">
        <v>188</v>
      </c>
      <c r="U1663" s="55"/>
      <c r="V1663" s="55"/>
      <c r="W1663" s="48"/>
      <c r="X1663" s="50"/>
      <c r="Y1663" s="50"/>
      <c r="Z1663" s="48" t="n">
        <f aca="false">IF(A1663="","",IF(AND(Parameter!$B$21="Ja",ISNUMBER(W1663)),W1663,IF(CC1663="2+3",IF(ISNUMBER(SEARCH("grosser Artikel",BU1663)),2,IFERROR(VLOOKUP(BX1663,Parameter!$F$35:$G$64,2,0),2)),IF(OR(CC1663="Nein",CC1663=""),"-",CC1663))))</f>
        <v>2</v>
      </c>
      <c r="AA1663" s="55"/>
      <c r="AB1663" s="56"/>
      <c r="AC1663" s="50" t="n">
        <f aca="false">AV1663</f>
        <v>1</v>
      </c>
      <c r="AD1663" s="50" t="n">
        <f aca="false">MAX(AV1663,H1663)</f>
        <v>1</v>
      </c>
      <c r="AE1663" s="57"/>
      <c r="AF1663" s="50" t="n">
        <f aca="false">IF(LEFT(Cockpit!$C$5,1)="A",H1663,IF(Parameter!$E$30="MAX-Bestand",IF(CH1663=1,CI1663,IF(LEFT(Cockpit!$C$5,1)="B",AL1663,MAX(AL1663,H1663))),ROUNDUP(AJ1663,0)))</f>
        <v>1</v>
      </c>
      <c r="AG1663" s="50" t="n">
        <f aca="false">IF(BZ1663=1,0,ROUNDUP(AF1663/BY1663,0))</f>
        <v>1</v>
      </c>
      <c r="AH1663" s="52" t="n">
        <f aca="false">IF(CQ1663&gt;0,CQ1663*MAX(1,AF1663/X1663),IF(BZ1663=1,IF(AF1663&lt;=0,0,CD1663*MAX(1,IF(H1663&gt;0,AF1663/H1663,1))),IF(R1663&gt;0,AG1663/R1663,0))/MAX(0.1,N(Parameter!$M$21)))</f>
        <v>0.0833333333333333</v>
      </c>
      <c r="AI1663" s="50" t="n">
        <f aca="false">AH1663*CB1663</f>
        <v>12.0833333333333</v>
      </c>
      <c r="AJ1663" s="51" t="n">
        <f aca="false">IF(LEFT(Cockpit!$C$5,1)="A",H1663,IF(CH1663=1,(CK1663+CI1663)/2,IF(LEFT(Cockpit!$C$5,1)="B",(CK1663+AL1663)/2,MAX((CK1663+AL1663)/2,H1663))))</f>
        <v>1</v>
      </c>
      <c r="AK1663" s="50" t="n">
        <f aca="false">AJ1663*G1663</f>
        <v>648.9</v>
      </c>
      <c r="AL1663" s="50" t="n">
        <f aca="false">ROUNDUP(CK1663+MAX(CL1663,2*(J1663/IF(CG1663&gt;0,CG1663,MAX(0.1,N(Cockpit!$C$6)))-CK1663)),0)</f>
        <v>1</v>
      </c>
      <c r="AM1663" s="51" t="n">
        <f aca="false">IF(AI1663&gt;0,J1663/AI1663,-1)</f>
        <v>0</v>
      </c>
      <c r="AN1663" s="51" t="n">
        <f aca="false">IF(AND(OR(CF1663="L1",CF1663="L23",CF1663="LIFT"),AI1663&gt;0),SUMIFS($AI$7:$AI$1843,$CF$7:$CF$1843,CF1663,$AM$7:$AM$1843,"&gt;"&amp;AM1663)+SUMIFS($AI$7:$AI$1843,$CF$7:$CF$1843,CF1663,$AM$7:$AM$1843,AM1663,$BW$7:$BW$1843,"&lt;="&amp;BW1663),"")</f>
        <v>31393.832016618</v>
      </c>
      <c r="AO1663" s="58" t="n">
        <f aca="false">IF(AN1663="",0,MAX(0,MIN(1,(IF(CF1663="L1",Parameter!$H$5,IF(CF1663="L23",Parameter!$H$6+Parameter!$H$7,Parameter!$H$5+Parameter!$H$6+Parameter!$H$7))-(AN1663-AI1663))/AI1663)))</f>
        <v>1</v>
      </c>
      <c r="AP1663" s="50" t="n">
        <f aca="false">IF(LEFT(Cockpit!$I$5,1)="A",H1663,IF(Parameter!$E$30="MAX-Bestand",IF(CH1663=1,CI1663,IF(LEFT(Cockpit!$I$5,1)="B",AV1663,MAX(AV1663,H1663))),ROUNDUP(AT1663,0)))</f>
        <v>1</v>
      </c>
      <c r="AQ1663" s="50" t="n">
        <f aca="false">IF(BZ1663=1,0,ROUNDUP(AP1663/BY1663,0))</f>
        <v>1</v>
      </c>
      <c r="AR1663" s="52" t="n">
        <f aca="false">IF(CQ1663&gt;0,CQ1663*MAX(1,AP1663/X1663),IF(BZ1663=1,IF(AP1663&lt;=0,0,CD1663*MAX(1,IF(H1663&gt;0,AP1663/H1663,1))),IF(R1663&gt;0,AQ1663/R1663,0))/MAX(0.1,N(Parameter!$M$21)))</f>
        <v>0.0833333333333333</v>
      </c>
      <c r="AS1663" s="50" t="n">
        <f aca="false">AR1663*CB1663</f>
        <v>12.0833333333333</v>
      </c>
      <c r="AT1663" s="51" t="n">
        <f aca="false">IF(LEFT(Cockpit!$I$5,1)="A",H1663,IF(CH1663=1,(CK1663+CI1663)/2,IF(LEFT(Cockpit!$I$5,1)="B",(CK1663+AV1663)/2,MAX((CK1663+AV1663)/2,H1663))))</f>
        <v>1</v>
      </c>
      <c r="AU1663" s="50" t="n">
        <f aca="false">AT1663*G1663</f>
        <v>648.9</v>
      </c>
      <c r="AV1663" s="50" t="n">
        <f aca="false">ROUNDUP(CK1663+MAX(CL1663,2*(J1663/IF(CG1663&gt;0,CG1663,MAX(0.1,N(Cockpit!$I$6)))-CK1663)),0)</f>
        <v>1</v>
      </c>
      <c r="AW1663" s="51" t="n">
        <f aca="false">IF(AS1663&gt;0,J1663/AS1663,-1)</f>
        <v>0</v>
      </c>
      <c r="AX1663" s="51" t="n">
        <f aca="false">IF(AND(OR(CF1663="L1",CF1663="L23",CF1663="LIFT"),AS1663&gt;0),SUMIFS($AS$7:$AS$1843,$CF$7:$CF$1843,CF1663,$AW$7:$AW$1843,"&gt;"&amp;AW1663)+SUMIFS($AS$7:$AS$1843,$CF$7:$CF$1843,CF1663,$AW$7:$AW$1843,AW1663,$BW$7:$BW$1843,"&lt;="&amp;BW1663),"")</f>
        <v>37866.080247201</v>
      </c>
      <c r="AY1663" s="58" t="n">
        <f aca="false">IF(AX1663="",0,MAX(0,MIN(1,(IF(CF1663="L1",Parameter!$H$5,IF(CF1663="L23",Parameter!$H$6+Parameter!$H$7,Parameter!$H$5+Parameter!$H$6+Parameter!$H$7))-(AX1663-AS1663))/AS1663)))</f>
        <v>0</v>
      </c>
      <c r="AZ1663" s="50" t="n">
        <f aca="false">IF(LEFT(Cockpit!$O$5,1)="A",H1663,IF(Parameter!$E$30="MAX-Bestand",IF(CH1663=1,CI1663,IF(LEFT(Cockpit!$O$5,1)="B",BF1663,MAX(BF1663,H1663))),ROUNDUP(BD1663,0)))</f>
        <v>1</v>
      </c>
      <c r="BA1663" s="50" t="n">
        <f aca="false">IF(BZ1663=1,0,ROUNDUP(AZ1663/BY1663,0))</f>
        <v>1</v>
      </c>
      <c r="BB1663" s="52" t="n">
        <f aca="false">IF(CQ1663&gt;0,CQ1663*MAX(1,AZ1663/X1663),IF(BZ1663=1,IF(AZ1663&lt;=0,0,CD1663*MAX(1,IF(H1663&gt;0,AZ1663/H1663,1))),IF(R1663&gt;0,BA1663/R1663,0))/MAX(0.1,N(Parameter!$M$21)))</f>
        <v>0.0833333333333333</v>
      </c>
      <c r="BC1663" s="50" t="n">
        <f aca="false">BB1663*CB1663</f>
        <v>12.0833333333333</v>
      </c>
      <c r="BD1663" s="51" t="n">
        <f aca="false">IF(LEFT(Cockpit!$O$5,1)="A",H1663,IF(CH1663=1,(CK1663+CI1663)/2,IF(LEFT(Cockpit!$O$5,1)="B",(CK1663+BF1663)/2,MAX((CK1663+BF1663)/2,H1663))))</f>
        <v>0.5</v>
      </c>
      <c r="BE1663" s="50" t="n">
        <f aca="false">BD1663*G1663</f>
        <v>324.45</v>
      </c>
      <c r="BF1663" s="50" t="n">
        <f aca="false">ROUNDUP(CK1663+MAX(CL1663,2*(J1663/IF(CG1663&gt;0,CG1663,MAX(0.1,N(Cockpit!$O$6)))-CK1663)),0)</f>
        <v>1</v>
      </c>
      <c r="BG1663" s="51" t="n">
        <f aca="false">IF(BC1663&gt;0,J1663/BC1663,-1)</f>
        <v>0</v>
      </c>
      <c r="BH1663" s="51" t="n">
        <f aca="false">IF(AND(OR(CF1663="L1",CF1663="L23",CF1663="LIFT"),BC1663&gt;0),SUMIFS($BC$7:$BC$1843,$CF$7:$CF$1843,CF1663,$BG$7:$BG$1843,"&gt;"&amp;BG1663)+SUMIFS($BC$7:$BC$1843,$CF$7:$CF$1843,CF1663,$BG$7:$BG$1843,BG1663,$BW$7:$BW$1843,"&lt;="&amp;BW1663),"")</f>
        <v>31775.5215227334</v>
      </c>
      <c r="BI1663" s="58" t="n">
        <f aca="false">IF(BH1663="",0,MAX(0,MIN(1,(IF(CF1663="L1",Parameter!$H$5,IF(CF1663="L23",Parameter!$H$6+Parameter!$H$7,Parameter!$H$5+Parameter!$H$6+Parameter!$H$7))-(BH1663-BC1663))/BC1663)))</f>
        <v>1</v>
      </c>
      <c r="BJ1663" s="48" t="str">
        <f aca="false">IF(AI1663&lt;=0,"",IF(CF1663="Aussen","Aussenlager",IF(CF1663="-","Nicht im Lift",IF(AO1663&gt;=1,"Lift",IF(AO1663&lt;=0,"Aussenlager","teilweise")))))</f>
        <v>Lift</v>
      </c>
      <c r="BK1663" s="48" t="str">
        <f aca="false">IF(AS1663&lt;=0,"",IF(CF1663="Aussen","Aussenlager",IF(CF1663="-","Nicht im Lift",IF(AY1663&gt;=1,"Lift",IF(AY1663&lt;=0,"Aussenlager","teilweise")))))</f>
        <v>Aussenlager</v>
      </c>
      <c r="BL1663" s="48" t="str">
        <f aca="false">IF(BC1663&lt;=0,"",IF(CF1663="Aussen","Aussenlager",IF(CF1663="-","Nicht im Lift",IF(BI1663&gt;=1,"Lift",IF(BI1663&lt;=0,"Aussenlager","teilweise")))))</f>
        <v>Lift</v>
      </c>
      <c r="BM1663" s="48" t="str">
        <f aca="false">IF(A1663="","",IF(BV1663=1,"Neu; ","")&amp;IF(AND(BV1663=0,BQ1663&lt;0),"negativer Bestand (Export "&amp;BQ1663&amp;"); ","")&amp;IF(J1663&lt;=0,"Kein Verbrauch; ","")&amp;IF(CQ1663&gt;0,"Lift "&amp;W1663&amp;" lt. Liftbericht (Fach "&amp;X1663&amp;" Stk); ",IF(CA1663=1,"Gebinde geschätzt ("&amp;T1663&amp;"); ",IF(BZ1663=1,"Lose – Tablare geschätzt; ","")))&amp;IF(H1663&gt;AV1663,"Überbestand "&amp;ROUND(H1663-AV1663,0)&amp;" Stk / CHF "&amp;ROUND((H1663-AV1663)*G1663,0)&amp;"; ","")&amp;IF(AND(CH1663=1,CI1663&lt;CJ1663),"MAX &lt; MB+LG; ","")&amp;IF(AND(CP1663&gt;0,CO1663*10&gt;CP1663),"zu hoch für Tablar; ","")&amp;IF(AND(BV1663=0,OR(CH1663=1,AA1663&lt;&gt;"",U1663&lt;&gt;"",V1663&lt;&gt;"",AB1663&lt;&gt;"")),"manuell übersteuert; ","")&amp;IF(AND(BZ1663=0,R1663=0),"Gebinde unbekannt / Stellmass fehlt; ","")&amp;IF(AND(BZ1663=0,N(V1663)&lt;=0,N(Q1663)&lt;=0),"Menge pro Gebinde fehlt (Ist = 1 Gebinde); ","")&amp;BU1663)</f>
        <v>Kein Verbrauch; Gebinde geschätzt (Mittel); Menge pro Gebinde fehlt (Ist = 1 Gebinde); nur im Artikelstamm (Bestand 23.06.2026); Neuer Art.</v>
      </c>
      <c r="BN1663" s="48"/>
      <c r="BO1663" s="48"/>
      <c r="BP1663" s="55"/>
      <c r="BQ1663" s="50" t="n">
        <v>1</v>
      </c>
      <c r="BR1663" s="50" t="n">
        <v>0</v>
      </c>
      <c r="BS1663" s="49" t="n">
        <v>0</v>
      </c>
      <c r="BT1663" s="50" t="n">
        <v>0</v>
      </c>
      <c r="BU1663" s="48" t="s">
        <v>2882</v>
      </c>
      <c r="BV1663" s="53" t="n">
        <v>0</v>
      </c>
      <c r="BW1663" s="53" t="n">
        <v>1663</v>
      </c>
      <c r="BX1663" s="48" t="str">
        <f aca="false">IF(U1663&lt;&gt;"",UPPER(TRIM(U1663)),IF(CA1663=1,UPPER(VLOOKUP(T1663,Parameter!$I$27:$K$29,2,0)),IF(P1663="","LOSE",P1663)))</f>
        <v>S61</v>
      </c>
      <c r="BY1663" s="50" t="n">
        <f aca="false">IF(BX1663="LOSE",1,IF(N(V1663)&gt;0,V1663,IF(CA1663=1,MAX(1,N(VLOOKUP(T1663,Parameter!$I$27:$K$29,3,0)),H1663,N(N1663)),IF(N(Q1663)&gt;0,Q1663,MAX(1,H1663)))))</f>
        <v>4</v>
      </c>
      <c r="BZ1663" s="53" t="n">
        <f aca="false">IF(BX1663="LOSE",1,0)</f>
        <v>0</v>
      </c>
      <c r="CA1663" s="53" t="n">
        <f aca="false">IF(AND(U1663="",OR(P1663="",P1663="LOSE"),T1663&lt;&gt;"",N(S1663)&lt;=0,ISNUMBER(MATCH(T1663,Parameter!$I$27:$I$29,0))),1,0)</f>
        <v>1</v>
      </c>
      <c r="CB1663" s="53" t="n">
        <f aca="false">IF(CQ1663&gt;0,INDEX(Parameter!$H$5:$H$7,W1663)/INDEX(Parameter!$E$5:$E$7,W1663),IF(AND(BZ1663=0,N(IFERROR(VLOOKUP(BX1663,'Gebinde-Kategorie'!$A$5:$N$45,14,0),0))&gt;0),VLOOKUP(BX1663,'Gebinde-Kategorie'!$A$5:$N$45,14,0)*10+Parameter!$M$23,Parameter!$M$24))</f>
        <v>145</v>
      </c>
      <c r="CC1663" s="48" t="str">
        <f aca="false">IF(AND(Parameter!$B$19="Ja",E1663&lt;&gt;"",ISNUMBER(MATCH(E1663,Parameter!$I$35:$I$52,0))),VLOOKUP(E1663,Parameter!$I$35:$J$52,2,0),IFERROR(VLOOKUP(D1663,Parameter!$A$35:$C$64,2,0),"Nein"))</f>
        <v>2+3</v>
      </c>
      <c r="CD1663" s="52" t="n">
        <f aca="false">IF(BZ1663=0,0,IF(N(S1663)&gt;0,S1663,IFERROR(VLOOKUP(D1663,Parameter!$A$35:$C$64,3,0)+0,0)))</f>
        <v>0</v>
      </c>
      <c r="CE1663" s="48" t="n">
        <f aca="false">IF(AA1663&lt;&gt;"",AA1663,Z1663)</f>
        <v>2</v>
      </c>
      <c r="CF1663" s="48" t="str">
        <f aca="false">IF(OR(CE1663=1,CE1663=2,CE1663=3),IF(Parameter!$E$27="Ja","LIFT",IF(CE1663=1,"L1","L23")),IF(CE1663="Aussen","Aussen","-"))</f>
        <v>LIFT</v>
      </c>
      <c r="CG1663" s="59" t="n">
        <f aca="false">IF(N(AB1663)&gt;0,AB1663,0)</f>
        <v>0</v>
      </c>
      <c r="CH1663" s="53" t="n">
        <f aca="false">IF(ISNUMBER(AE1663),1,0)</f>
        <v>0</v>
      </c>
      <c r="CI1663" s="50" t="n">
        <f aca="false">N(AE1663)</f>
        <v>0</v>
      </c>
      <c r="CJ1663" s="50" t="n">
        <f aca="false">N(M1663)+N(N1663)</f>
        <v>1</v>
      </c>
      <c r="CK1663" s="50" t="n">
        <f aca="false">N(M1663)</f>
        <v>0</v>
      </c>
      <c r="CL1663" s="50" t="n">
        <f aca="false">N(N1663)</f>
        <v>1</v>
      </c>
      <c r="CM1663" s="50" t="n">
        <f aca="false">ROUNDUP(H1663/BY1663,0)</f>
        <v>1</v>
      </c>
      <c r="CN1663" s="50" t="n">
        <f aca="false">ROUNDUP(CI1663/BY1663,0)</f>
        <v>0</v>
      </c>
      <c r="CO1663" s="53" t="n">
        <f aca="false">IF(BZ1663=1,0,IFERROR(VLOOKUP(BX1663,'Gebinde-Kategorie'!$A$5:$N$45,5,0)+0,0))</f>
        <v>11</v>
      </c>
      <c r="CP1663" s="53" t="n">
        <f aca="false">IFERROR(IF(OR(CE1663=1,CE1663=2,CE1663=3),N(INDEX(Parameter!$I$5:$I$7,CE1663)),0),0)</f>
        <v>0</v>
      </c>
      <c r="CQ1663" s="52" t="n">
        <f aca="false">IF(AND(Parameter!$B$21="Ja",ISNUMBER(W1663),N(X1663)&gt;0),IFERROR(N(INDEX(Parameter!$L$5:$L$7,W1663))*INDEX(Parameter!$E$5:$E$7,W1663)*X1663/SUMIFS($X$7:$X$1843,$W$7:$W$1843,W1663),0),0)</f>
        <v>0</v>
      </c>
    </row>
    <row r="1664" customFormat="false" ht="15" hidden="false" customHeight="false" outlineLevel="0" collapsed="false">
      <c r="A1664" s="48" t="s">
        <v>2898</v>
      </c>
      <c r="B1664" s="48" t="s">
        <v>707</v>
      </c>
      <c r="C1664" s="48" t="s">
        <v>173</v>
      </c>
      <c r="D1664" s="48" t="s">
        <v>182</v>
      </c>
      <c r="E1664" s="48"/>
      <c r="F1664" s="48"/>
      <c r="G1664" s="49" t="n">
        <v>648.9</v>
      </c>
      <c r="H1664" s="50" t="n">
        <f aca="false">MAX(0,IF(AND(Parameter!$B$21="Ja",ISNUMBER(Y1664)),Y1664,IF(Parameter!$B$20="Jahresanfang 2025 + Export",BR1664+BQ1664,BQ1664)))</f>
        <v>1</v>
      </c>
      <c r="I1664" s="50" t="n">
        <f aca="false">H1664*G1664</f>
        <v>648.9</v>
      </c>
      <c r="J1664" s="50" t="n">
        <f aca="false">BT1664*Parameter!$B$18</f>
        <v>0</v>
      </c>
      <c r="K1664" s="51"/>
      <c r="L1664" s="52"/>
      <c r="M1664" s="50" t="n">
        <v>0</v>
      </c>
      <c r="N1664" s="50" t="n">
        <v>1</v>
      </c>
      <c r="O1664" s="53" t="n">
        <v>42</v>
      </c>
      <c r="P1664" s="48" t="s">
        <v>177</v>
      </c>
      <c r="Q1664" s="50"/>
      <c r="R1664" s="53" t="n">
        <f aca="false">IF(BZ1664=1,0,IFERROR(VLOOKUP(BX1664,'Gebinde-Kategorie'!$A$5:$N$45,13,0)+0,0))</f>
        <v>12</v>
      </c>
      <c r="S1664" s="54"/>
      <c r="T1664" s="55" t="s">
        <v>188</v>
      </c>
      <c r="U1664" s="55"/>
      <c r="V1664" s="55"/>
      <c r="W1664" s="48"/>
      <c r="X1664" s="50"/>
      <c r="Y1664" s="50"/>
      <c r="Z1664" s="48" t="n">
        <f aca="false">IF(A1664="","",IF(AND(Parameter!$B$21="Ja",ISNUMBER(W1664)),W1664,IF(CC1664="2+3",IF(ISNUMBER(SEARCH("grosser Artikel",BU1664)),2,IFERROR(VLOOKUP(BX1664,Parameter!$F$35:$G$64,2,0),2)),IF(OR(CC1664="Nein",CC1664=""),"-",CC1664))))</f>
        <v>2</v>
      </c>
      <c r="AA1664" s="55"/>
      <c r="AB1664" s="56"/>
      <c r="AC1664" s="50" t="n">
        <f aca="false">AV1664</f>
        <v>1</v>
      </c>
      <c r="AD1664" s="50" t="n">
        <f aca="false">MAX(AV1664,H1664)</f>
        <v>1</v>
      </c>
      <c r="AE1664" s="57"/>
      <c r="AF1664" s="50" t="n">
        <f aca="false">IF(LEFT(Cockpit!$C$5,1)="A",H1664,IF(Parameter!$E$30="MAX-Bestand",IF(CH1664=1,CI1664,IF(LEFT(Cockpit!$C$5,1)="B",AL1664,MAX(AL1664,H1664))),ROUNDUP(AJ1664,0)))</f>
        <v>1</v>
      </c>
      <c r="AG1664" s="50" t="n">
        <f aca="false">IF(BZ1664=1,0,ROUNDUP(AF1664/BY1664,0))</f>
        <v>1</v>
      </c>
      <c r="AH1664" s="52" t="n">
        <f aca="false">IF(CQ1664&gt;0,CQ1664*MAX(1,AF1664/X1664),IF(BZ1664=1,IF(AF1664&lt;=0,0,CD1664*MAX(1,IF(H1664&gt;0,AF1664/H1664,1))),IF(R1664&gt;0,AG1664/R1664,0))/MAX(0.1,N(Parameter!$M$21)))</f>
        <v>0.0833333333333333</v>
      </c>
      <c r="AI1664" s="50" t="n">
        <f aca="false">AH1664*CB1664</f>
        <v>12.0833333333333</v>
      </c>
      <c r="AJ1664" s="51" t="n">
        <f aca="false">IF(LEFT(Cockpit!$C$5,1)="A",H1664,IF(CH1664=1,(CK1664+CI1664)/2,IF(LEFT(Cockpit!$C$5,1)="B",(CK1664+AL1664)/2,MAX((CK1664+AL1664)/2,H1664))))</f>
        <v>1</v>
      </c>
      <c r="AK1664" s="50" t="n">
        <f aca="false">AJ1664*G1664</f>
        <v>648.9</v>
      </c>
      <c r="AL1664" s="50" t="n">
        <f aca="false">ROUNDUP(CK1664+MAX(CL1664,2*(J1664/IF(CG1664&gt;0,CG1664,MAX(0.1,N(Cockpit!$C$6)))-CK1664)),0)</f>
        <v>1</v>
      </c>
      <c r="AM1664" s="51" t="n">
        <f aca="false">IF(AI1664&gt;0,J1664/AI1664,-1)</f>
        <v>0</v>
      </c>
      <c r="AN1664" s="51" t="n">
        <f aca="false">IF(AND(OR(CF1664="L1",CF1664="L23",CF1664="LIFT"),AI1664&gt;0),SUMIFS($AI$7:$AI$1843,$CF$7:$CF$1843,CF1664,$AM$7:$AM$1843,"&gt;"&amp;AM1664)+SUMIFS($AI$7:$AI$1843,$CF$7:$CF$1843,CF1664,$AM$7:$AM$1843,AM1664,$BW$7:$BW$1843,"&lt;="&amp;BW1664),"")</f>
        <v>31405.9153499514</v>
      </c>
      <c r="AO1664" s="58" t="n">
        <f aca="false">IF(AN1664="",0,MAX(0,MIN(1,(IF(CF1664="L1",Parameter!$H$5,IF(CF1664="L23",Parameter!$H$6+Parameter!$H$7,Parameter!$H$5+Parameter!$H$6+Parameter!$H$7))-(AN1664-AI1664))/AI1664)))</f>
        <v>1</v>
      </c>
      <c r="AP1664" s="50" t="n">
        <f aca="false">IF(LEFT(Cockpit!$I$5,1)="A",H1664,IF(Parameter!$E$30="MAX-Bestand",IF(CH1664=1,CI1664,IF(LEFT(Cockpit!$I$5,1)="B",AV1664,MAX(AV1664,H1664))),ROUNDUP(AT1664,0)))</f>
        <v>1</v>
      </c>
      <c r="AQ1664" s="50" t="n">
        <f aca="false">IF(BZ1664=1,0,ROUNDUP(AP1664/BY1664,0))</f>
        <v>1</v>
      </c>
      <c r="AR1664" s="52" t="n">
        <f aca="false">IF(CQ1664&gt;0,CQ1664*MAX(1,AP1664/X1664),IF(BZ1664=1,IF(AP1664&lt;=0,0,CD1664*MAX(1,IF(H1664&gt;0,AP1664/H1664,1))),IF(R1664&gt;0,AQ1664/R1664,0))/MAX(0.1,N(Parameter!$M$21)))</f>
        <v>0.0833333333333333</v>
      </c>
      <c r="AS1664" s="50" t="n">
        <f aca="false">AR1664*CB1664</f>
        <v>12.0833333333333</v>
      </c>
      <c r="AT1664" s="51" t="n">
        <f aca="false">IF(LEFT(Cockpit!$I$5,1)="A",H1664,IF(CH1664=1,(CK1664+CI1664)/2,IF(LEFT(Cockpit!$I$5,1)="B",(CK1664+AV1664)/2,MAX((CK1664+AV1664)/2,H1664))))</f>
        <v>1</v>
      </c>
      <c r="AU1664" s="50" t="n">
        <f aca="false">AT1664*G1664</f>
        <v>648.9</v>
      </c>
      <c r="AV1664" s="50" t="n">
        <f aca="false">ROUNDUP(CK1664+MAX(CL1664,2*(J1664/IF(CG1664&gt;0,CG1664,MAX(0.1,N(Cockpit!$I$6)))-CK1664)),0)</f>
        <v>1</v>
      </c>
      <c r="AW1664" s="51" t="n">
        <f aca="false">IF(AS1664&gt;0,J1664/AS1664,-1)</f>
        <v>0</v>
      </c>
      <c r="AX1664" s="51" t="n">
        <f aca="false">IF(AND(OR(CF1664="L1",CF1664="L23",CF1664="LIFT"),AS1664&gt;0),SUMIFS($AS$7:$AS$1843,$CF$7:$CF$1843,CF1664,$AW$7:$AW$1843,"&gt;"&amp;AW1664)+SUMIFS($AS$7:$AS$1843,$CF$7:$CF$1843,CF1664,$AW$7:$AW$1843,AW1664,$BW$7:$BW$1843,"&lt;="&amp;BW1664),"")</f>
        <v>37878.1635805343</v>
      </c>
      <c r="AY1664" s="58" t="n">
        <f aca="false">IF(AX1664="",0,MAX(0,MIN(1,(IF(CF1664="L1",Parameter!$H$5,IF(CF1664="L23",Parameter!$H$6+Parameter!$H$7,Parameter!$H$5+Parameter!$H$6+Parameter!$H$7))-(AX1664-AS1664))/AS1664)))</f>
        <v>0</v>
      </c>
      <c r="AZ1664" s="50" t="n">
        <f aca="false">IF(LEFT(Cockpit!$O$5,1)="A",H1664,IF(Parameter!$E$30="MAX-Bestand",IF(CH1664=1,CI1664,IF(LEFT(Cockpit!$O$5,1)="B",BF1664,MAX(BF1664,H1664))),ROUNDUP(BD1664,0)))</f>
        <v>1</v>
      </c>
      <c r="BA1664" s="50" t="n">
        <f aca="false">IF(BZ1664=1,0,ROUNDUP(AZ1664/BY1664,0))</f>
        <v>1</v>
      </c>
      <c r="BB1664" s="52" t="n">
        <f aca="false">IF(CQ1664&gt;0,CQ1664*MAX(1,AZ1664/X1664),IF(BZ1664=1,IF(AZ1664&lt;=0,0,CD1664*MAX(1,IF(H1664&gt;0,AZ1664/H1664,1))),IF(R1664&gt;0,BA1664/R1664,0))/MAX(0.1,N(Parameter!$M$21)))</f>
        <v>0.0833333333333333</v>
      </c>
      <c r="BC1664" s="50" t="n">
        <f aca="false">BB1664*CB1664</f>
        <v>12.0833333333333</v>
      </c>
      <c r="BD1664" s="51" t="n">
        <f aca="false">IF(LEFT(Cockpit!$O$5,1)="A",H1664,IF(CH1664=1,(CK1664+CI1664)/2,IF(LEFT(Cockpit!$O$5,1)="B",(CK1664+BF1664)/2,MAX((CK1664+BF1664)/2,H1664))))</f>
        <v>0.5</v>
      </c>
      <c r="BE1664" s="50" t="n">
        <f aca="false">BD1664*G1664</f>
        <v>324.45</v>
      </c>
      <c r="BF1664" s="50" t="n">
        <f aca="false">ROUNDUP(CK1664+MAX(CL1664,2*(J1664/IF(CG1664&gt;0,CG1664,MAX(0.1,N(Cockpit!$O$6)))-CK1664)),0)</f>
        <v>1</v>
      </c>
      <c r="BG1664" s="51" t="n">
        <f aca="false">IF(BC1664&gt;0,J1664/BC1664,-1)</f>
        <v>0</v>
      </c>
      <c r="BH1664" s="51" t="n">
        <f aca="false">IF(AND(OR(CF1664="L1",CF1664="L23",CF1664="LIFT"),BC1664&gt;0),SUMIFS($BC$7:$BC$1843,$CF$7:$CF$1843,CF1664,$BG$7:$BG$1843,"&gt;"&amp;BG1664)+SUMIFS($BC$7:$BC$1843,$CF$7:$CF$1843,CF1664,$BG$7:$BG$1843,BG1664,$BW$7:$BW$1843,"&lt;="&amp;BW1664),"")</f>
        <v>31787.6048560667</v>
      </c>
      <c r="BI1664" s="58" t="n">
        <f aca="false">IF(BH1664="",0,MAX(0,MIN(1,(IF(CF1664="L1",Parameter!$H$5,IF(CF1664="L23",Parameter!$H$6+Parameter!$H$7,Parameter!$H$5+Parameter!$H$6+Parameter!$H$7))-(BH1664-BC1664))/BC1664)))</f>
        <v>1</v>
      </c>
      <c r="BJ1664" s="48" t="str">
        <f aca="false">IF(AI1664&lt;=0,"",IF(CF1664="Aussen","Aussenlager",IF(CF1664="-","Nicht im Lift",IF(AO1664&gt;=1,"Lift",IF(AO1664&lt;=0,"Aussenlager","teilweise")))))</f>
        <v>Lift</v>
      </c>
      <c r="BK1664" s="48" t="str">
        <f aca="false">IF(AS1664&lt;=0,"",IF(CF1664="Aussen","Aussenlager",IF(CF1664="-","Nicht im Lift",IF(AY1664&gt;=1,"Lift",IF(AY1664&lt;=0,"Aussenlager","teilweise")))))</f>
        <v>Aussenlager</v>
      </c>
      <c r="BL1664" s="48" t="str">
        <f aca="false">IF(BC1664&lt;=0,"",IF(CF1664="Aussen","Aussenlager",IF(CF1664="-","Nicht im Lift",IF(BI1664&gt;=1,"Lift",IF(BI1664&lt;=0,"Aussenlager","teilweise")))))</f>
        <v>Lift</v>
      </c>
      <c r="BM1664" s="48" t="str">
        <f aca="false">IF(A1664="","",IF(BV1664=1,"Neu; ","")&amp;IF(AND(BV1664=0,BQ1664&lt;0),"negativer Bestand (Export "&amp;BQ1664&amp;"); ","")&amp;IF(J1664&lt;=0,"Kein Verbrauch; ","")&amp;IF(CQ1664&gt;0,"Lift "&amp;W1664&amp;" lt. Liftbericht (Fach "&amp;X1664&amp;" Stk); ",IF(CA1664=1,"Gebinde geschätzt ("&amp;T1664&amp;"); ",IF(BZ1664=1,"Lose – Tablare geschätzt; ","")))&amp;IF(H1664&gt;AV1664,"Überbestand "&amp;ROUND(H1664-AV1664,0)&amp;" Stk / CHF "&amp;ROUND((H1664-AV1664)*G1664,0)&amp;"; ","")&amp;IF(AND(CH1664=1,CI1664&lt;CJ1664),"MAX &lt; MB+LG; ","")&amp;IF(AND(CP1664&gt;0,CO1664*10&gt;CP1664),"zu hoch für Tablar; ","")&amp;IF(AND(BV1664=0,OR(CH1664=1,AA1664&lt;&gt;"",U1664&lt;&gt;"",V1664&lt;&gt;"",AB1664&lt;&gt;"")),"manuell übersteuert; ","")&amp;IF(AND(BZ1664=0,R1664=0),"Gebinde unbekannt / Stellmass fehlt; ","")&amp;IF(AND(BZ1664=0,N(V1664)&lt;=0,N(Q1664)&lt;=0),"Menge pro Gebinde fehlt (Ist = 1 Gebinde); ","")&amp;BU1664)</f>
        <v>Kein Verbrauch; Gebinde geschätzt (Mittel); Menge pro Gebinde fehlt (Ist = 1 Gebinde); nur im Artikelstamm (Bestand 23.06.2026); Neuer Art.</v>
      </c>
      <c r="BN1664" s="48"/>
      <c r="BO1664" s="48"/>
      <c r="BP1664" s="55"/>
      <c r="BQ1664" s="50" t="n">
        <v>1</v>
      </c>
      <c r="BR1664" s="50" t="n">
        <v>0</v>
      </c>
      <c r="BS1664" s="49" t="n">
        <v>0</v>
      </c>
      <c r="BT1664" s="50" t="n">
        <v>0</v>
      </c>
      <c r="BU1664" s="48" t="s">
        <v>2882</v>
      </c>
      <c r="BV1664" s="53" t="n">
        <v>0</v>
      </c>
      <c r="BW1664" s="53" t="n">
        <v>1664</v>
      </c>
      <c r="BX1664" s="48" t="str">
        <f aca="false">IF(U1664&lt;&gt;"",UPPER(TRIM(U1664)),IF(CA1664=1,UPPER(VLOOKUP(T1664,Parameter!$I$27:$K$29,2,0)),IF(P1664="","LOSE",P1664)))</f>
        <v>S61</v>
      </c>
      <c r="BY1664" s="50" t="n">
        <f aca="false">IF(BX1664="LOSE",1,IF(N(V1664)&gt;0,V1664,IF(CA1664=1,MAX(1,N(VLOOKUP(T1664,Parameter!$I$27:$K$29,3,0)),H1664,N(N1664)),IF(N(Q1664)&gt;0,Q1664,MAX(1,H1664)))))</f>
        <v>4</v>
      </c>
      <c r="BZ1664" s="53" t="n">
        <f aca="false">IF(BX1664="LOSE",1,0)</f>
        <v>0</v>
      </c>
      <c r="CA1664" s="53" t="n">
        <f aca="false">IF(AND(U1664="",OR(P1664="",P1664="LOSE"),T1664&lt;&gt;"",N(S1664)&lt;=0,ISNUMBER(MATCH(T1664,Parameter!$I$27:$I$29,0))),1,0)</f>
        <v>1</v>
      </c>
      <c r="CB1664" s="53" t="n">
        <f aca="false">IF(CQ1664&gt;0,INDEX(Parameter!$H$5:$H$7,W1664)/INDEX(Parameter!$E$5:$E$7,W1664),IF(AND(BZ1664=0,N(IFERROR(VLOOKUP(BX1664,'Gebinde-Kategorie'!$A$5:$N$45,14,0),0))&gt;0),VLOOKUP(BX1664,'Gebinde-Kategorie'!$A$5:$N$45,14,0)*10+Parameter!$M$23,Parameter!$M$24))</f>
        <v>145</v>
      </c>
      <c r="CC1664" s="48" t="str">
        <f aca="false">IF(AND(Parameter!$B$19="Ja",E1664&lt;&gt;"",ISNUMBER(MATCH(E1664,Parameter!$I$35:$I$52,0))),VLOOKUP(E1664,Parameter!$I$35:$J$52,2,0),IFERROR(VLOOKUP(D1664,Parameter!$A$35:$C$64,2,0),"Nein"))</f>
        <v>2+3</v>
      </c>
      <c r="CD1664" s="52" t="n">
        <f aca="false">IF(BZ1664=0,0,IF(N(S1664)&gt;0,S1664,IFERROR(VLOOKUP(D1664,Parameter!$A$35:$C$64,3,0)+0,0)))</f>
        <v>0</v>
      </c>
      <c r="CE1664" s="48" t="n">
        <f aca="false">IF(AA1664&lt;&gt;"",AA1664,Z1664)</f>
        <v>2</v>
      </c>
      <c r="CF1664" s="48" t="str">
        <f aca="false">IF(OR(CE1664=1,CE1664=2,CE1664=3),IF(Parameter!$E$27="Ja","LIFT",IF(CE1664=1,"L1","L23")),IF(CE1664="Aussen","Aussen","-"))</f>
        <v>LIFT</v>
      </c>
      <c r="CG1664" s="59" t="n">
        <f aca="false">IF(N(AB1664)&gt;0,AB1664,0)</f>
        <v>0</v>
      </c>
      <c r="CH1664" s="53" t="n">
        <f aca="false">IF(ISNUMBER(AE1664),1,0)</f>
        <v>0</v>
      </c>
      <c r="CI1664" s="50" t="n">
        <f aca="false">N(AE1664)</f>
        <v>0</v>
      </c>
      <c r="CJ1664" s="50" t="n">
        <f aca="false">N(M1664)+N(N1664)</f>
        <v>1</v>
      </c>
      <c r="CK1664" s="50" t="n">
        <f aca="false">N(M1664)</f>
        <v>0</v>
      </c>
      <c r="CL1664" s="50" t="n">
        <f aca="false">N(N1664)</f>
        <v>1</v>
      </c>
      <c r="CM1664" s="50" t="n">
        <f aca="false">ROUNDUP(H1664/BY1664,0)</f>
        <v>1</v>
      </c>
      <c r="CN1664" s="50" t="n">
        <f aca="false">ROUNDUP(CI1664/BY1664,0)</f>
        <v>0</v>
      </c>
      <c r="CO1664" s="53" t="n">
        <f aca="false">IF(BZ1664=1,0,IFERROR(VLOOKUP(BX1664,'Gebinde-Kategorie'!$A$5:$N$45,5,0)+0,0))</f>
        <v>11</v>
      </c>
      <c r="CP1664" s="53" t="n">
        <f aca="false">IFERROR(IF(OR(CE1664=1,CE1664=2,CE1664=3),N(INDEX(Parameter!$I$5:$I$7,CE1664)),0),0)</f>
        <v>0</v>
      </c>
      <c r="CQ1664" s="52" t="n">
        <f aca="false">IF(AND(Parameter!$B$21="Ja",ISNUMBER(W1664),N(X1664)&gt;0),IFERROR(N(INDEX(Parameter!$L$5:$L$7,W1664))*INDEX(Parameter!$E$5:$E$7,W1664)*X1664/SUMIFS($X$7:$X$1843,$W$7:$W$1843,W1664),0),0)</f>
        <v>0</v>
      </c>
    </row>
    <row r="1665" customFormat="false" ht="15" hidden="false" customHeight="false" outlineLevel="0" collapsed="false">
      <c r="A1665" s="48" t="s">
        <v>2899</v>
      </c>
      <c r="B1665" s="48" t="s">
        <v>348</v>
      </c>
      <c r="C1665" s="48" t="s">
        <v>465</v>
      </c>
      <c r="D1665" s="48" t="s">
        <v>182</v>
      </c>
      <c r="E1665" s="48"/>
      <c r="F1665" s="48"/>
      <c r="G1665" s="49" t="n">
        <v>338</v>
      </c>
      <c r="H1665" s="50" t="n">
        <f aca="false">MAX(0,IF(AND(Parameter!$B$21="Ja",ISNUMBER(Y1665)),Y1665,IF(Parameter!$B$20="Jahresanfang 2025 + Export",BR1665+BQ1665,BQ1665)))</f>
        <v>2</v>
      </c>
      <c r="I1665" s="50" t="n">
        <f aca="false">H1665*G1665</f>
        <v>676</v>
      </c>
      <c r="J1665" s="50" t="n">
        <f aca="false">BT1665*Parameter!$B$18</f>
        <v>0</v>
      </c>
      <c r="K1665" s="51"/>
      <c r="L1665" s="52"/>
      <c r="M1665" s="50" t="n">
        <v>0</v>
      </c>
      <c r="N1665" s="50" t="n">
        <v>2</v>
      </c>
      <c r="O1665" s="53" t="n">
        <v>21</v>
      </c>
      <c r="P1665" s="48" t="s">
        <v>177</v>
      </c>
      <c r="Q1665" s="50"/>
      <c r="R1665" s="53" t="n">
        <f aca="false">IF(BZ1665=1,0,IFERROR(VLOOKUP(BX1665,'Gebinde-Kategorie'!$A$5:$N$45,13,0)+0,0))</f>
        <v>26</v>
      </c>
      <c r="S1665" s="54"/>
      <c r="T1665" s="55" t="s">
        <v>284</v>
      </c>
      <c r="U1665" s="55"/>
      <c r="V1665" s="55"/>
      <c r="W1665" s="48"/>
      <c r="X1665" s="50"/>
      <c r="Y1665" s="50"/>
      <c r="Z1665" s="48" t="n">
        <f aca="false">IF(A1665="","",IF(AND(Parameter!$B$21="Ja",ISNUMBER(W1665)),W1665,IF(CC1665="2+3",IF(ISNUMBER(SEARCH("grosser Artikel",BU1665)),2,IFERROR(VLOOKUP(BX1665,Parameter!$F$35:$G$64,2,0),2)),IF(OR(CC1665="Nein",CC1665=""),"-",CC1665))))</f>
        <v>3</v>
      </c>
      <c r="AA1665" s="55"/>
      <c r="AB1665" s="56"/>
      <c r="AC1665" s="50" t="n">
        <f aca="false">AV1665</f>
        <v>2</v>
      </c>
      <c r="AD1665" s="50" t="n">
        <f aca="false">MAX(AV1665,H1665)</f>
        <v>2</v>
      </c>
      <c r="AE1665" s="57"/>
      <c r="AF1665" s="50" t="n">
        <f aca="false">IF(LEFT(Cockpit!$C$5,1)="A",H1665,IF(Parameter!$E$30="MAX-Bestand",IF(CH1665=1,CI1665,IF(LEFT(Cockpit!$C$5,1)="B",AL1665,MAX(AL1665,H1665))),ROUNDUP(AJ1665,0)))</f>
        <v>2</v>
      </c>
      <c r="AG1665" s="50" t="n">
        <f aca="false">IF(BZ1665=1,0,ROUNDUP(AF1665/BY1665,0))</f>
        <v>1</v>
      </c>
      <c r="AH1665" s="52" t="n">
        <f aca="false">IF(CQ1665&gt;0,CQ1665*MAX(1,AF1665/X1665),IF(BZ1665=1,IF(AF1665&lt;=0,0,CD1665*MAX(1,IF(H1665&gt;0,AF1665/H1665,1))),IF(R1665&gt;0,AG1665/R1665,0))/MAX(0.1,N(Parameter!$M$21)))</f>
        <v>0.0384615384615385</v>
      </c>
      <c r="AI1665" s="50" t="n">
        <f aca="false">AH1665*CB1665</f>
        <v>5.96153846153846</v>
      </c>
      <c r="AJ1665" s="51" t="n">
        <f aca="false">IF(LEFT(Cockpit!$C$5,1)="A",H1665,IF(CH1665=1,(CK1665+CI1665)/2,IF(LEFT(Cockpit!$C$5,1)="B",(CK1665+AL1665)/2,MAX((CK1665+AL1665)/2,H1665))))</f>
        <v>2</v>
      </c>
      <c r="AK1665" s="50" t="n">
        <f aca="false">AJ1665*G1665</f>
        <v>676</v>
      </c>
      <c r="AL1665" s="50" t="n">
        <f aca="false">ROUNDUP(CK1665+MAX(CL1665,2*(J1665/IF(CG1665&gt;0,CG1665,MAX(0.1,N(Cockpit!$C$6)))-CK1665)),0)</f>
        <v>2</v>
      </c>
      <c r="AM1665" s="51" t="n">
        <f aca="false">IF(AI1665&gt;0,J1665/AI1665,-1)</f>
        <v>0</v>
      </c>
      <c r="AN1665" s="51" t="n">
        <f aca="false">IF(AND(OR(CF1665="L1",CF1665="L23",CF1665="LIFT"),AI1665&gt;0),SUMIFS($AI$7:$AI$1843,$CF$7:$CF$1843,CF1665,$AM$7:$AM$1843,"&gt;"&amp;AM1665)+SUMIFS($AI$7:$AI$1843,$CF$7:$CF$1843,CF1665,$AM$7:$AM$1843,AM1665,$BW$7:$BW$1843,"&lt;="&amp;BW1665),"")</f>
        <v>31411.8768884129</v>
      </c>
      <c r="AO1665" s="58" t="n">
        <f aca="false">IF(AN1665="",0,MAX(0,MIN(1,(IF(CF1665="L1",Parameter!$H$5,IF(CF1665="L23",Parameter!$H$6+Parameter!$H$7,Parameter!$H$5+Parameter!$H$6+Parameter!$H$7))-(AN1665-AI1665))/AI1665)))</f>
        <v>1</v>
      </c>
      <c r="AP1665" s="50" t="n">
        <f aca="false">IF(LEFT(Cockpit!$I$5,1)="A",H1665,IF(Parameter!$E$30="MAX-Bestand",IF(CH1665=1,CI1665,IF(LEFT(Cockpit!$I$5,1)="B",AV1665,MAX(AV1665,H1665))),ROUNDUP(AT1665,0)))</f>
        <v>2</v>
      </c>
      <c r="AQ1665" s="50" t="n">
        <f aca="false">IF(BZ1665=1,0,ROUNDUP(AP1665/BY1665,0))</f>
        <v>1</v>
      </c>
      <c r="AR1665" s="52" t="n">
        <f aca="false">IF(CQ1665&gt;0,CQ1665*MAX(1,AP1665/X1665),IF(BZ1665=1,IF(AP1665&lt;=0,0,CD1665*MAX(1,IF(H1665&gt;0,AP1665/H1665,1))),IF(R1665&gt;0,AQ1665/R1665,0))/MAX(0.1,N(Parameter!$M$21)))</f>
        <v>0.0384615384615385</v>
      </c>
      <c r="AS1665" s="50" t="n">
        <f aca="false">AR1665*CB1665</f>
        <v>5.96153846153846</v>
      </c>
      <c r="AT1665" s="51" t="n">
        <f aca="false">IF(LEFT(Cockpit!$I$5,1)="A",H1665,IF(CH1665=1,(CK1665+CI1665)/2,IF(LEFT(Cockpit!$I$5,1)="B",(CK1665+AV1665)/2,MAX((CK1665+AV1665)/2,H1665))))</f>
        <v>2</v>
      </c>
      <c r="AU1665" s="50" t="n">
        <f aca="false">AT1665*G1665</f>
        <v>676</v>
      </c>
      <c r="AV1665" s="50" t="n">
        <f aca="false">ROUNDUP(CK1665+MAX(CL1665,2*(J1665/IF(CG1665&gt;0,CG1665,MAX(0.1,N(Cockpit!$I$6)))-CK1665)),0)</f>
        <v>2</v>
      </c>
      <c r="AW1665" s="51" t="n">
        <f aca="false">IF(AS1665&gt;0,J1665/AS1665,-1)</f>
        <v>0</v>
      </c>
      <c r="AX1665" s="51" t="n">
        <f aca="false">IF(AND(OR(CF1665="L1",CF1665="L23",CF1665="LIFT"),AS1665&gt;0),SUMIFS($AS$7:$AS$1843,$CF$7:$CF$1843,CF1665,$AW$7:$AW$1843,"&gt;"&amp;AW1665)+SUMIFS($AS$7:$AS$1843,$CF$7:$CF$1843,CF1665,$AW$7:$AW$1843,AW1665,$BW$7:$BW$1843,"&lt;="&amp;BW1665),"")</f>
        <v>37884.1251189959</v>
      </c>
      <c r="AY1665" s="58" t="n">
        <f aca="false">IF(AX1665="",0,MAX(0,MIN(1,(IF(CF1665="L1",Parameter!$H$5,IF(CF1665="L23",Parameter!$H$6+Parameter!$H$7,Parameter!$H$5+Parameter!$H$6+Parameter!$H$7))-(AX1665-AS1665))/AS1665)))</f>
        <v>0</v>
      </c>
      <c r="AZ1665" s="50" t="n">
        <f aca="false">IF(LEFT(Cockpit!$O$5,1)="A",H1665,IF(Parameter!$E$30="MAX-Bestand",IF(CH1665=1,CI1665,IF(LEFT(Cockpit!$O$5,1)="B",BF1665,MAX(BF1665,H1665))),ROUNDUP(BD1665,0)))</f>
        <v>1</v>
      </c>
      <c r="BA1665" s="50" t="n">
        <f aca="false">IF(BZ1665=1,0,ROUNDUP(AZ1665/BY1665,0))</f>
        <v>1</v>
      </c>
      <c r="BB1665" s="52" t="n">
        <f aca="false">IF(CQ1665&gt;0,CQ1665*MAX(1,AZ1665/X1665),IF(BZ1665=1,IF(AZ1665&lt;=0,0,CD1665*MAX(1,IF(H1665&gt;0,AZ1665/H1665,1))),IF(R1665&gt;0,BA1665/R1665,0))/MAX(0.1,N(Parameter!$M$21)))</f>
        <v>0.0384615384615385</v>
      </c>
      <c r="BC1665" s="50" t="n">
        <f aca="false">BB1665*CB1665</f>
        <v>5.96153846153846</v>
      </c>
      <c r="BD1665" s="51" t="n">
        <f aca="false">IF(LEFT(Cockpit!$O$5,1)="A",H1665,IF(CH1665=1,(CK1665+CI1665)/2,IF(LEFT(Cockpit!$O$5,1)="B",(CK1665+BF1665)/2,MAX((CK1665+BF1665)/2,H1665))))</f>
        <v>1</v>
      </c>
      <c r="BE1665" s="50" t="n">
        <f aca="false">BD1665*G1665</f>
        <v>338</v>
      </c>
      <c r="BF1665" s="50" t="n">
        <f aca="false">ROUNDUP(CK1665+MAX(CL1665,2*(J1665/IF(CG1665&gt;0,CG1665,MAX(0.1,N(Cockpit!$O$6)))-CK1665)),0)</f>
        <v>2</v>
      </c>
      <c r="BG1665" s="51" t="n">
        <f aca="false">IF(BC1665&gt;0,J1665/BC1665,-1)</f>
        <v>0</v>
      </c>
      <c r="BH1665" s="51" t="n">
        <f aca="false">IF(AND(OR(CF1665="L1",CF1665="L23",CF1665="LIFT"),BC1665&gt;0),SUMIFS($BC$7:$BC$1843,$CF$7:$CF$1843,CF1665,$BG$7:$BG$1843,"&gt;"&amp;BG1665)+SUMIFS($BC$7:$BC$1843,$CF$7:$CF$1843,CF1665,$BG$7:$BG$1843,BG1665,$BW$7:$BW$1843,"&lt;="&amp;BW1665),"")</f>
        <v>31793.5663945283</v>
      </c>
      <c r="BI1665" s="58" t="n">
        <f aca="false">IF(BH1665="",0,MAX(0,MIN(1,(IF(CF1665="L1",Parameter!$H$5,IF(CF1665="L23",Parameter!$H$6+Parameter!$H$7,Parameter!$H$5+Parameter!$H$6+Parameter!$H$7))-(BH1665-BC1665))/BC1665)))</f>
        <v>1</v>
      </c>
      <c r="BJ1665" s="48" t="str">
        <f aca="false">IF(AI1665&lt;=0,"",IF(CF1665="Aussen","Aussenlager",IF(CF1665="-","Nicht im Lift",IF(AO1665&gt;=1,"Lift",IF(AO1665&lt;=0,"Aussenlager","teilweise")))))</f>
        <v>Lift</v>
      </c>
      <c r="BK1665" s="48" t="str">
        <f aca="false">IF(AS1665&lt;=0,"",IF(CF1665="Aussen","Aussenlager",IF(CF1665="-","Nicht im Lift",IF(AY1665&gt;=1,"Lift",IF(AY1665&lt;=0,"Aussenlager","teilweise")))))</f>
        <v>Aussenlager</v>
      </c>
      <c r="BL1665" s="48" t="str">
        <f aca="false">IF(BC1665&lt;=0,"",IF(CF1665="Aussen","Aussenlager",IF(CF1665="-","Nicht im Lift",IF(BI1665&gt;=1,"Lift",IF(BI1665&lt;=0,"Aussenlager","teilweise")))))</f>
        <v>Lift</v>
      </c>
      <c r="BM1665" s="48" t="str">
        <f aca="false">IF(A1665="","",IF(BV1665=1,"Neu; ","")&amp;IF(AND(BV1665=0,BQ1665&lt;0),"negativer Bestand (Export "&amp;BQ1665&amp;"); ","")&amp;IF(J1665&lt;=0,"Kein Verbrauch; ","")&amp;IF(CQ1665&gt;0,"Lift "&amp;W1665&amp;" lt. Liftbericht (Fach "&amp;X1665&amp;" Stk); ",IF(CA1665=1,"Gebinde geschätzt ("&amp;T1665&amp;"); ",IF(BZ1665=1,"Lose – Tablare geschätzt; ","")))&amp;IF(H1665&gt;AV1665,"Überbestand "&amp;ROUND(H1665-AV1665,0)&amp;" Stk / CHF "&amp;ROUND((H1665-AV1665)*G1665,0)&amp;"; ","")&amp;IF(AND(CH1665=1,CI1665&lt;CJ1665),"MAX &lt; MB+LG; ","")&amp;IF(AND(CP1665&gt;0,CO1665*10&gt;CP1665),"zu hoch für Tablar; ","")&amp;IF(AND(BV1665=0,OR(CH1665=1,AA1665&lt;&gt;"",U1665&lt;&gt;"",V1665&lt;&gt;"",AB1665&lt;&gt;"")),"manuell übersteuert; ","")&amp;IF(AND(BZ1665=0,R1665=0),"Gebinde unbekannt / Stellmass fehlt; ","")&amp;IF(AND(BZ1665=0,N(V1665)&lt;=0,N(Q1665)&lt;=0),"Menge pro Gebinde fehlt (Ist = 1 Gebinde); ","")&amp;BU1665)</f>
        <v>Kein Verbrauch; Gebinde geschätzt (Klein); Menge pro Gebinde fehlt (Ist = 1 Gebinde); nur im Artikelstamm (Bestand 23.06.2026)</v>
      </c>
      <c r="BN1665" s="48"/>
      <c r="BO1665" s="48"/>
      <c r="BP1665" s="55"/>
      <c r="BQ1665" s="50" t="n">
        <v>2</v>
      </c>
      <c r="BR1665" s="50" t="n">
        <v>0</v>
      </c>
      <c r="BS1665" s="49" t="n">
        <v>0</v>
      </c>
      <c r="BT1665" s="50" t="n">
        <v>0</v>
      </c>
      <c r="BU1665" s="48" t="s">
        <v>2584</v>
      </c>
      <c r="BV1665" s="53" t="n">
        <v>0</v>
      </c>
      <c r="BW1665" s="53" t="n">
        <v>1665</v>
      </c>
      <c r="BX1665" s="48" t="str">
        <f aca="false">IF(U1665&lt;&gt;"",UPPER(TRIM(U1665)),IF(CA1665=1,UPPER(VLOOKUP(T1665,Parameter!$I$27:$K$29,2,0)),IF(P1665="","LOSE",P1665)))</f>
        <v>S51</v>
      </c>
      <c r="BY1665" s="50" t="n">
        <f aca="false">IF(BX1665="LOSE",1,IF(N(V1665)&gt;0,V1665,IF(CA1665=1,MAX(1,N(VLOOKUP(T1665,Parameter!$I$27:$K$29,3,0)),H1665,N(N1665)),IF(N(Q1665)&gt;0,Q1665,MAX(1,H1665)))))</f>
        <v>20</v>
      </c>
      <c r="BZ1665" s="53" t="n">
        <f aca="false">IF(BX1665="LOSE",1,0)</f>
        <v>0</v>
      </c>
      <c r="CA1665" s="53" t="n">
        <f aca="false">IF(AND(U1665="",OR(P1665="",P1665="LOSE"),T1665&lt;&gt;"",N(S1665)&lt;=0,ISNUMBER(MATCH(T1665,Parameter!$I$27:$I$29,0))),1,0)</f>
        <v>1</v>
      </c>
      <c r="CB1665" s="53" t="n">
        <f aca="false">IF(CQ1665&gt;0,INDEX(Parameter!$H$5:$H$7,W1665)/INDEX(Parameter!$E$5:$E$7,W1665),IF(AND(BZ1665=0,N(IFERROR(VLOOKUP(BX1665,'Gebinde-Kategorie'!$A$5:$N$45,14,0),0))&gt;0),VLOOKUP(BX1665,'Gebinde-Kategorie'!$A$5:$N$45,14,0)*10+Parameter!$M$23,Parameter!$M$24))</f>
        <v>155</v>
      </c>
      <c r="CC1665" s="48" t="str">
        <f aca="false">IF(AND(Parameter!$B$19="Ja",E1665&lt;&gt;"",ISNUMBER(MATCH(E1665,Parameter!$I$35:$I$52,0))),VLOOKUP(E1665,Parameter!$I$35:$J$52,2,0),IFERROR(VLOOKUP(D1665,Parameter!$A$35:$C$64,2,0),"Nein"))</f>
        <v>2+3</v>
      </c>
      <c r="CD1665" s="52" t="n">
        <f aca="false">IF(BZ1665=0,0,IF(N(S1665)&gt;0,S1665,IFERROR(VLOOKUP(D1665,Parameter!$A$35:$C$64,3,0)+0,0)))</f>
        <v>0</v>
      </c>
      <c r="CE1665" s="48" t="n">
        <f aca="false">IF(AA1665&lt;&gt;"",AA1665,Z1665)</f>
        <v>3</v>
      </c>
      <c r="CF1665" s="48" t="str">
        <f aca="false">IF(OR(CE1665=1,CE1665=2,CE1665=3),IF(Parameter!$E$27="Ja","LIFT",IF(CE1665=1,"L1","L23")),IF(CE1665="Aussen","Aussen","-"))</f>
        <v>LIFT</v>
      </c>
      <c r="CG1665" s="59" t="n">
        <f aca="false">IF(N(AB1665)&gt;0,AB1665,0)</f>
        <v>0</v>
      </c>
      <c r="CH1665" s="53" t="n">
        <f aca="false">IF(ISNUMBER(AE1665),1,0)</f>
        <v>0</v>
      </c>
      <c r="CI1665" s="50" t="n">
        <f aca="false">N(AE1665)</f>
        <v>0</v>
      </c>
      <c r="CJ1665" s="50" t="n">
        <f aca="false">N(M1665)+N(N1665)</f>
        <v>2</v>
      </c>
      <c r="CK1665" s="50" t="n">
        <f aca="false">N(M1665)</f>
        <v>0</v>
      </c>
      <c r="CL1665" s="50" t="n">
        <f aca="false">N(N1665)</f>
        <v>2</v>
      </c>
      <c r="CM1665" s="50" t="n">
        <f aca="false">ROUNDUP(H1665/BY1665,0)</f>
        <v>1</v>
      </c>
      <c r="CN1665" s="50" t="n">
        <f aca="false">ROUNDUP(CI1665/BY1665,0)</f>
        <v>0</v>
      </c>
      <c r="CO1665" s="53" t="n">
        <f aca="false">IF(BZ1665=1,0,IFERROR(VLOOKUP(BX1665,'Gebinde-Kategorie'!$A$5:$N$45,5,0)+0,0))</f>
        <v>11</v>
      </c>
      <c r="CP1665" s="53" t="n">
        <f aca="false">IFERROR(IF(OR(CE1665=1,CE1665=2,CE1665=3),N(INDEX(Parameter!$I$5:$I$7,CE1665)),0),0)</f>
        <v>0</v>
      </c>
      <c r="CQ1665" s="52" t="n">
        <f aca="false">IF(AND(Parameter!$B$21="Ja",ISNUMBER(W1665),N(X1665)&gt;0),IFERROR(N(INDEX(Parameter!$L$5:$L$7,W1665))*INDEX(Parameter!$E$5:$E$7,W1665)*X1665/SUMIFS($X$7:$X$1843,$W$7:$W$1843,W1665),0),0)</f>
        <v>0</v>
      </c>
    </row>
    <row r="1666" customFormat="false" ht="15" hidden="false" customHeight="false" outlineLevel="0" collapsed="false">
      <c r="A1666" s="48" t="s">
        <v>2900</v>
      </c>
      <c r="B1666" s="48" t="s">
        <v>348</v>
      </c>
      <c r="C1666" s="48" t="s">
        <v>465</v>
      </c>
      <c r="D1666" s="48" t="s">
        <v>182</v>
      </c>
      <c r="E1666" s="48"/>
      <c r="F1666" s="48"/>
      <c r="G1666" s="49" t="n">
        <v>465</v>
      </c>
      <c r="H1666" s="50" t="n">
        <f aca="false">MAX(0,IF(AND(Parameter!$B$21="Ja",ISNUMBER(Y1666)),Y1666,IF(Parameter!$B$20="Jahresanfang 2025 + Export",BR1666+BQ1666,BQ1666)))</f>
        <v>7</v>
      </c>
      <c r="I1666" s="50" t="n">
        <f aca="false">H1666*G1666</f>
        <v>3255</v>
      </c>
      <c r="J1666" s="50" t="n">
        <f aca="false">BT1666*Parameter!$B$18</f>
        <v>0</v>
      </c>
      <c r="K1666" s="51"/>
      <c r="L1666" s="52"/>
      <c r="M1666" s="50" t="n">
        <v>0</v>
      </c>
      <c r="N1666" s="50" t="n">
        <v>3</v>
      </c>
      <c r="O1666" s="53" t="n">
        <v>14</v>
      </c>
      <c r="P1666" s="48" t="s">
        <v>177</v>
      </c>
      <c r="Q1666" s="50"/>
      <c r="R1666" s="53" t="n">
        <f aca="false">IF(BZ1666=1,0,IFERROR(VLOOKUP(BX1666,'Gebinde-Kategorie'!$A$5:$N$45,13,0)+0,0))</f>
        <v>26</v>
      </c>
      <c r="S1666" s="54"/>
      <c r="T1666" s="55" t="s">
        <v>284</v>
      </c>
      <c r="U1666" s="55"/>
      <c r="V1666" s="55"/>
      <c r="W1666" s="48"/>
      <c r="X1666" s="50"/>
      <c r="Y1666" s="50"/>
      <c r="Z1666" s="48" t="n">
        <f aca="false">IF(A1666="","",IF(AND(Parameter!$B$21="Ja",ISNUMBER(W1666)),W1666,IF(CC1666="2+3",IF(ISNUMBER(SEARCH("grosser Artikel",BU1666)),2,IFERROR(VLOOKUP(BX1666,Parameter!$F$35:$G$64,2,0),2)),IF(OR(CC1666="Nein",CC1666=""),"-",CC1666))))</f>
        <v>3</v>
      </c>
      <c r="AA1666" s="55"/>
      <c r="AB1666" s="56"/>
      <c r="AC1666" s="50" t="n">
        <f aca="false">AV1666</f>
        <v>3</v>
      </c>
      <c r="AD1666" s="50" t="n">
        <f aca="false">MAX(AV1666,H1666)</f>
        <v>7</v>
      </c>
      <c r="AE1666" s="57"/>
      <c r="AF1666" s="50" t="n">
        <f aca="false">IF(LEFT(Cockpit!$C$5,1)="A",H1666,IF(Parameter!$E$30="MAX-Bestand",IF(CH1666=1,CI1666,IF(LEFT(Cockpit!$C$5,1)="B",AL1666,MAX(AL1666,H1666))),ROUNDUP(AJ1666,0)))</f>
        <v>7</v>
      </c>
      <c r="AG1666" s="50" t="n">
        <f aca="false">IF(BZ1666=1,0,ROUNDUP(AF1666/BY1666,0))</f>
        <v>1</v>
      </c>
      <c r="AH1666" s="52" t="n">
        <f aca="false">IF(CQ1666&gt;0,CQ1666*MAX(1,AF1666/X1666),IF(BZ1666=1,IF(AF1666&lt;=0,0,CD1666*MAX(1,IF(H1666&gt;0,AF1666/H1666,1))),IF(R1666&gt;0,AG1666/R1666,0))/MAX(0.1,N(Parameter!$M$21)))</f>
        <v>0.0384615384615385</v>
      </c>
      <c r="AI1666" s="50" t="n">
        <f aca="false">AH1666*CB1666</f>
        <v>5.96153846153846</v>
      </c>
      <c r="AJ1666" s="51" t="n">
        <f aca="false">IF(LEFT(Cockpit!$C$5,1)="A",H1666,IF(CH1666=1,(CK1666+CI1666)/2,IF(LEFT(Cockpit!$C$5,1)="B",(CK1666+AL1666)/2,MAX((CK1666+AL1666)/2,H1666))))</f>
        <v>7</v>
      </c>
      <c r="AK1666" s="50" t="n">
        <f aca="false">AJ1666*G1666</f>
        <v>3255</v>
      </c>
      <c r="AL1666" s="50" t="n">
        <f aca="false">ROUNDUP(CK1666+MAX(CL1666,2*(J1666/IF(CG1666&gt;0,CG1666,MAX(0.1,N(Cockpit!$C$6)))-CK1666)),0)</f>
        <v>3</v>
      </c>
      <c r="AM1666" s="51" t="n">
        <f aca="false">IF(AI1666&gt;0,J1666/AI1666,-1)</f>
        <v>0</v>
      </c>
      <c r="AN1666" s="51" t="n">
        <f aca="false">IF(AND(OR(CF1666="L1",CF1666="L23",CF1666="LIFT"),AI1666&gt;0),SUMIFS($AI$7:$AI$1843,$CF$7:$CF$1843,CF1666,$AM$7:$AM$1843,"&gt;"&amp;AM1666)+SUMIFS($AI$7:$AI$1843,$CF$7:$CF$1843,CF1666,$AM$7:$AM$1843,AM1666,$BW$7:$BW$1843,"&lt;="&amp;BW1666),"")</f>
        <v>31417.8384268744</v>
      </c>
      <c r="AO1666" s="58" t="n">
        <f aca="false">IF(AN1666="",0,MAX(0,MIN(1,(IF(CF1666="L1",Parameter!$H$5,IF(CF1666="L23",Parameter!$H$6+Parameter!$H$7,Parameter!$H$5+Parameter!$H$6+Parameter!$H$7))-(AN1666-AI1666))/AI1666)))</f>
        <v>1</v>
      </c>
      <c r="AP1666" s="50" t="n">
        <f aca="false">IF(LEFT(Cockpit!$I$5,1)="A",H1666,IF(Parameter!$E$30="MAX-Bestand",IF(CH1666=1,CI1666,IF(LEFT(Cockpit!$I$5,1)="B",AV1666,MAX(AV1666,H1666))),ROUNDUP(AT1666,0)))</f>
        <v>7</v>
      </c>
      <c r="AQ1666" s="50" t="n">
        <f aca="false">IF(BZ1666=1,0,ROUNDUP(AP1666/BY1666,0))</f>
        <v>1</v>
      </c>
      <c r="AR1666" s="52" t="n">
        <f aca="false">IF(CQ1666&gt;0,CQ1666*MAX(1,AP1666/X1666),IF(BZ1666=1,IF(AP1666&lt;=0,0,CD1666*MAX(1,IF(H1666&gt;0,AP1666/H1666,1))),IF(R1666&gt;0,AQ1666/R1666,0))/MAX(0.1,N(Parameter!$M$21)))</f>
        <v>0.0384615384615385</v>
      </c>
      <c r="AS1666" s="50" t="n">
        <f aca="false">AR1666*CB1666</f>
        <v>5.96153846153846</v>
      </c>
      <c r="AT1666" s="51" t="n">
        <f aca="false">IF(LEFT(Cockpit!$I$5,1)="A",H1666,IF(CH1666=1,(CK1666+CI1666)/2,IF(LEFT(Cockpit!$I$5,1)="B",(CK1666+AV1666)/2,MAX((CK1666+AV1666)/2,H1666))))</f>
        <v>7</v>
      </c>
      <c r="AU1666" s="50" t="n">
        <f aca="false">AT1666*G1666</f>
        <v>3255</v>
      </c>
      <c r="AV1666" s="50" t="n">
        <f aca="false">ROUNDUP(CK1666+MAX(CL1666,2*(J1666/IF(CG1666&gt;0,CG1666,MAX(0.1,N(Cockpit!$I$6)))-CK1666)),0)</f>
        <v>3</v>
      </c>
      <c r="AW1666" s="51" t="n">
        <f aca="false">IF(AS1666&gt;0,J1666/AS1666,-1)</f>
        <v>0</v>
      </c>
      <c r="AX1666" s="51" t="n">
        <f aca="false">IF(AND(OR(CF1666="L1",CF1666="L23",CF1666="LIFT"),AS1666&gt;0),SUMIFS($AS$7:$AS$1843,$CF$7:$CF$1843,CF1666,$AW$7:$AW$1843,"&gt;"&amp;AW1666)+SUMIFS($AS$7:$AS$1843,$CF$7:$CF$1843,CF1666,$AW$7:$AW$1843,AW1666,$BW$7:$BW$1843,"&lt;="&amp;BW1666),"")</f>
        <v>37890.0866574574</v>
      </c>
      <c r="AY1666" s="58" t="n">
        <f aca="false">IF(AX1666="",0,MAX(0,MIN(1,(IF(CF1666="L1",Parameter!$H$5,IF(CF1666="L23",Parameter!$H$6+Parameter!$H$7,Parameter!$H$5+Parameter!$H$6+Parameter!$H$7))-(AX1666-AS1666))/AS1666)))</f>
        <v>0</v>
      </c>
      <c r="AZ1666" s="50" t="n">
        <f aca="false">IF(LEFT(Cockpit!$O$5,1)="A",H1666,IF(Parameter!$E$30="MAX-Bestand",IF(CH1666=1,CI1666,IF(LEFT(Cockpit!$O$5,1)="B",BF1666,MAX(BF1666,H1666))),ROUNDUP(BD1666,0)))</f>
        <v>2</v>
      </c>
      <c r="BA1666" s="50" t="n">
        <f aca="false">IF(BZ1666=1,0,ROUNDUP(AZ1666/BY1666,0))</f>
        <v>1</v>
      </c>
      <c r="BB1666" s="52" t="n">
        <f aca="false">IF(CQ1666&gt;0,CQ1666*MAX(1,AZ1666/X1666),IF(BZ1666=1,IF(AZ1666&lt;=0,0,CD1666*MAX(1,IF(H1666&gt;0,AZ1666/H1666,1))),IF(R1666&gt;0,BA1666/R1666,0))/MAX(0.1,N(Parameter!$M$21)))</f>
        <v>0.0384615384615385</v>
      </c>
      <c r="BC1666" s="50" t="n">
        <f aca="false">BB1666*CB1666</f>
        <v>5.96153846153846</v>
      </c>
      <c r="BD1666" s="51" t="n">
        <f aca="false">IF(LEFT(Cockpit!$O$5,1)="A",H1666,IF(CH1666=1,(CK1666+CI1666)/2,IF(LEFT(Cockpit!$O$5,1)="B",(CK1666+BF1666)/2,MAX((CK1666+BF1666)/2,H1666))))</f>
        <v>1.5</v>
      </c>
      <c r="BE1666" s="50" t="n">
        <f aca="false">BD1666*G1666</f>
        <v>697.5</v>
      </c>
      <c r="BF1666" s="50" t="n">
        <f aca="false">ROUNDUP(CK1666+MAX(CL1666,2*(J1666/IF(CG1666&gt;0,CG1666,MAX(0.1,N(Cockpit!$O$6)))-CK1666)),0)</f>
        <v>3</v>
      </c>
      <c r="BG1666" s="51" t="n">
        <f aca="false">IF(BC1666&gt;0,J1666/BC1666,-1)</f>
        <v>0</v>
      </c>
      <c r="BH1666" s="51" t="n">
        <f aca="false">IF(AND(OR(CF1666="L1",CF1666="L23",CF1666="LIFT"),BC1666&gt;0),SUMIFS($BC$7:$BC$1843,$CF$7:$CF$1843,CF1666,$BG$7:$BG$1843,"&gt;"&amp;BG1666)+SUMIFS($BC$7:$BC$1843,$CF$7:$CF$1843,CF1666,$BG$7:$BG$1843,BG1666,$BW$7:$BW$1843,"&lt;="&amp;BW1666),"")</f>
        <v>31799.5279329898</v>
      </c>
      <c r="BI1666" s="58" t="n">
        <f aca="false">IF(BH1666="",0,MAX(0,MIN(1,(IF(CF1666="L1",Parameter!$H$5,IF(CF1666="L23",Parameter!$H$6+Parameter!$H$7,Parameter!$H$5+Parameter!$H$6+Parameter!$H$7))-(BH1666-BC1666))/BC1666)))</f>
        <v>1</v>
      </c>
      <c r="BJ1666" s="48" t="str">
        <f aca="false">IF(AI1666&lt;=0,"",IF(CF1666="Aussen","Aussenlager",IF(CF1666="-","Nicht im Lift",IF(AO1666&gt;=1,"Lift",IF(AO1666&lt;=0,"Aussenlager","teilweise")))))</f>
        <v>Lift</v>
      </c>
      <c r="BK1666" s="48" t="str">
        <f aca="false">IF(AS1666&lt;=0,"",IF(CF1666="Aussen","Aussenlager",IF(CF1666="-","Nicht im Lift",IF(AY1666&gt;=1,"Lift",IF(AY1666&lt;=0,"Aussenlager","teilweise")))))</f>
        <v>Aussenlager</v>
      </c>
      <c r="BL1666" s="48" t="str">
        <f aca="false">IF(BC1666&lt;=0,"",IF(CF1666="Aussen","Aussenlager",IF(CF1666="-","Nicht im Lift",IF(BI1666&gt;=1,"Lift",IF(BI1666&lt;=0,"Aussenlager","teilweise")))))</f>
        <v>Lift</v>
      </c>
      <c r="BM1666" s="48" t="str">
        <f aca="false">IF(A1666="","",IF(BV1666=1,"Neu; ","")&amp;IF(AND(BV1666=0,BQ1666&lt;0),"negativer Bestand (Export "&amp;BQ1666&amp;"); ","")&amp;IF(J1666&lt;=0,"Kein Verbrauch; ","")&amp;IF(CQ1666&gt;0,"Lift "&amp;W1666&amp;" lt. Liftbericht (Fach "&amp;X1666&amp;" Stk); ",IF(CA1666=1,"Gebinde geschätzt ("&amp;T1666&amp;"); ",IF(BZ1666=1,"Lose – Tablare geschätzt; ","")))&amp;IF(H1666&gt;AV1666,"Überbestand "&amp;ROUND(H1666-AV1666,0)&amp;" Stk / CHF "&amp;ROUND((H1666-AV1666)*G1666,0)&amp;"; ","")&amp;IF(AND(CH1666=1,CI1666&lt;CJ1666),"MAX &lt; MB+LG; ","")&amp;IF(AND(CP1666&gt;0,CO1666*10&gt;CP1666),"zu hoch für Tablar; ","")&amp;IF(AND(BV1666=0,OR(CH1666=1,AA1666&lt;&gt;"",U1666&lt;&gt;"",V1666&lt;&gt;"",AB1666&lt;&gt;"")),"manuell übersteuert; ","")&amp;IF(AND(BZ1666=0,R1666=0),"Gebinde unbekannt / Stellmass fehlt; ","")&amp;IF(AND(BZ1666=0,N(V1666)&lt;=0,N(Q1666)&lt;=0),"Menge pro Gebinde fehlt (Ist = 1 Gebinde); ","")&amp;BU1666)</f>
        <v>Kein Verbrauch; Gebinde geschätzt (Klein); Überbestand 4 Stk / CHF 1860; Menge pro Gebinde fehlt (Ist = 1 Gebinde); nur im Artikelstamm (Bestand 23.06.2026)</v>
      </c>
      <c r="BN1666" s="48"/>
      <c r="BO1666" s="48"/>
      <c r="BP1666" s="55"/>
      <c r="BQ1666" s="50" t="n">
        <v>7</v>
      </c>
      <c r="BR1666" s="50" t="n">
        <v>0</v>
      </c>
      <c r="BS1666" s="49" t="n">
        <v>0</v>
      </c>
      <c r="BT1666" s="50" t="n">
        <v>0</v>
      </c>
      <c r="BU1666" s="48" t="s">
        <v>2584</v>
      </c>
      <c r="BV1666" s="53" t="n">
        <v>0</v>
      </c>
      <c r="BW1666" s="53" t="n">
        <v>1666</v>
      </c>
      <c r="BX1666" s="48" t="str">
        <f aca="false">IF(U1666&lt;&gt;"",UPPER(TRIM(U1666)),IF(CA1666=1,UPPER(VLOOKUP(T1666,Parameter!$I$27:$K$29,2,0)),IF(P1666="","LOSE",P1666)))</f>
        <v>S51</v>
      </c>
      <c r="BY1666" s="50" t="n">
        <f aca="false">IF(BX1666="LOSE",1,IF(N(V1666)&gt;0,V1666,IF(CA1666=1,MAX(1,N(VLOOKUP(T1666,Parameter!$I$27:$K$29,3,0)),H1666,N(N1666)),IF(N(Q1666)&gt;0,Q1666,MAX(1,H1666)))))</f>
        <v>20</v>
      </c>
      <c r="BZ1666" s="53" t="n">
        <f aca="false">IF(BX1666="LOSE",1,0)</f>
        <v>0</v>
      </c>
      <c r="CA1666" s="53" t="n">
        <f aca="false">IF(AND(U1666="",OR(P1666="",P1666="LOSE"),T1666&lt;&gt;"",N(S1666)&lt;=0,ISNUMBER(MATCH(T1666,Parameter!$I$27:$I$29,0))),1,0)</f>
        <v>1</v>
      </c>
      <c r="CB1666" s="53" t="n">
        <f aca="false">IF(CQ1666&gt;0,INDEX(Parameter!$H$5:$H$7,W1666)/INDEX(Parameter!$E$5:$E$7,W1666),IF(AND(BZ1666=0,N(IFERROR(VLOOKUP(BX1666,'Gebinde-Kategorie'!$A$5:$N$45,14,0),0))&gt;0),VLOOKUP(BX1666,'Gebinde-Kategorie'!$A$5:$N$45,14,0)*10+Parameter!$M$23,Parameter!$M$24))</f>
        <v>155</v>
      </c>
      <c r="CC1666" s="48" t="str">
        <f aca="false">IF(AND(Parameter!$B$19="Ja",E1666&lt;&gt;"",ISNUMBER(MATCH(E1666,Parameter!$I$35:$I$52,0))),VLOOKUP(E1666,Parameter!$I$35:$J$52,2,0),IFERROR(VLOOKUP(D1666,Parameter!$A$35:$C$64,2,0),"Nein"))</f>
        <v>2+3</v>
      </c>
      <c r="CD1666" s="52" t="n">
        <f aca="false">IF(BZ1666=0,0,IF(N(S1666)&gt;0,S1666,IFERROR(VLOOKUP(D1666,Parameter!$A$35:$C$64,3,0)+0,0)))</f>
        <v>0</v>
      </c>
      <c r="CE1666" s="48" t="n">
        <f aca="false">IF(AA1666&lt;&gt;"",AA1666,Z1666)</f>
        <v>3</v>
      </c>
      <c r="CF1666" s="48" t="str">
        <f aca="false">IF(OR(CE1666=1,CE1666=2,CE1666=3),IF(Parameter!$E$27="Ja","LIFT",IF(CE1666=1,"L1","L23")),IF(CE1666="Aussen","Aussen","-"))</f>
        <v>LIFT</v>
      </c>
      <c r="CG1666" s="59" t="n">
        <f aca="false">IF(N(AB1666)&gt;0,AB1666,0)</f>
        <v>0</v>
      </c>
      <c r="CH1666" s="53" t="n">
        <f aca="false">IF(ISNUMBER(AE1666),1,0)</f>
        <v>0</v>
      </c>
      <c r="CI1666" s="50" t="n">
        <f aca="false">N(AE1666)</f>
        <v>0</v>
      </c>
      <c r="CJ1666" s="50" t="n">
        <f aca="false">N(M1666)+N(N1666)</f>
        <v>3</v>
      </c>
      <c r="CK1666" s="50" t="n">
        <f aca="false">N(M1666)</f>
        <v>0</v>
      </c>
      <c r="CL1666" s="50" t="n">
        <f aca="false">N(N1666)</f>
        <v>3</v>
      </c>
      <c r="CM1666" s="50" t="n">
        <f aca="false">ROUNDUP(H1666/BY1666,0)</f>
        <v>1</v>
      </c>
      <c r="CN1666" s="50" t="n">
        <f aca="false">ROUNDUP(CI1666/BY1666,0)</f>
        <v>0</v>
      </c>
      <c r="CO1666" s="53" t="n">
        <f aca="false">IF(BZ1666=1,0,IFERROR(VLOOKUP(BX1666,'Gebinde-Kategorie'!$A$5:$N$45,5,0)+0,0))</f>
        <v>11</v>
      </c>
      <c r="CP1666" s="53" t="n">
        <f aca="false">IFERROR(IF(OR(CE1666=1,CE1666=2,CE1666=3),N(INDEX(Parameter!$I$5:$I$7,CE1666)),0),0)</f>
        <v>0</v>
      </c>
      <c r="CQ1666" s="52" t="n">
        <f aca="false">IF(AND(Parameter!$B$21="Ja",ISNUMBER(W1666),N(X1666)&gt;0),IFERROR(N(INDEX(Parameter!$L$5:$L$7,W1666))*INDEX(Parameter!$E$5:$E$7,W1666)*X1666/SUMIFS($X$7:$X$1843,$W$7:$W$1843,W1666),0),0)</f>
        <v>0</v>
      </c>
    </row>
    <row r="1667" customFormat="false" ht="15" hidden="false" customHeight="false" outlineLevel="0" collapsed="false">
      <c r="A1667" s="48" t="s">
        <v>2901</v>
      </c>
      <c r="B1667" s="48" t="s">
        <v>2902</v>
      </c>
      <c r="C1667" s="48" t="s">
        <v>173</v>
      </c>
      <c r="D1667" s="48" t="s">
        <v>182</v>
      </c>
      <c r="E1667" s="48"/>
      <c r="F1667" s="48"/>
      <c r="G1667" s="49" t="n">
        <v>17553.7</v>
      </c>
      <c r="H1667" s="50" t="n">
        <f aca="false">MAX(0,IF(AND(Parameter!$B$21="Ja",ISNUMBER(Y1667)),Y1667,IF(Parameter!$B$20="Jahresanfang 2025 + Export",BR1667+BQ1667,BQ1667)))</f>
        <v>1</v>
      </c>
      <c r="I1667" s="50" t="n">
        <f aca="false">H1667*G1667</f>
        <v>17553.7</v>
      </c>
      <c r="J1667" s="50" t="n">
        <f aca="false">BT1667*Parameter!$B$18</f>
        <v>0</v>
      </c>
      <c r="K1667" s="51"/>
      <c r="L1667" s="52"/>
      <c r="M1667" s="50" t="n">
        <v>0</v>
      </c>
      <c r="N1667" s="50" t="n">
        <v>1</v>
      </c>
      <c r="O1667" s="53" t="n">
        <v>7</v>
      </c>
      <c r="P1667" s="48" t="s">
        <v>177</v>
      </c>
      <c r="Q1667" s="50"/>
      <c r="R1667" s="53" t="n">
        <f aca="false">IF(BZ1667=1,0,IFERROR(VLOOKUP(BX1667,'Gebinde-Kategorie'!$A$5:$N$45,13,0)+0,0))</f>
        <v>12</v>
      </c>
      <c r="S1667" s="54"/>
      <c r="T1667" s="55" t="s">
        <v>188</v>
      </c>
      <c r="U1667" s="55"/>
      <c r="V1667" s="55"/>
      <c r="W1667" s="48"/>
      <c r="X1667" s="50"/>
      <c r="Y1667" s="50"/>
      <c r="Z1667" s="48" t="n">
        <f aca="false">IF(A1667="","",IF(AND(Parameter!$B$21="Ja",ISNUMBER(W1667)),W1667,IF(CC1667="2+3",IF(ISNUMBER(SEARCH("grosser Artikel",BU1667)),2,IFERROR(VLOOKUP(BX1667,Parameter!$F$35:$G$64,2,0),2)),IF(OR(CC1667="Nein",CC1667=""),"-",CC1667))))</f>
        <v>2</v>
      </c>
      <c r="AA1667" s="55"/>
      <c r="AB1667" s="56"/>
      <c r="AC1667" s="50" t="n">
        <f aca="false">AV1667</f>
        <v>1</v>
      </c>
      <c r="AD1667" s="50" t="n">
        <f aca="false">MAX(AV1667,H1667)</f>
        <v>1</v>
      </c>
      <c r="AE1667" s="57"/>
      <c r="AF1667" s="50" t="n">
        <f aca="false">IF(LEFT(Cockpit!$C$5,1)="A",H1667,IF(Parameter!$E$30="MAX-Bestand",IF(CH1667=1,CI1667,IF(LEFT(Cockpit!$C$5,1)="B",AL1667,MAX(AL1667,H1667))),ROUNDUP(AJ1667,0)))</f>
        <v>1</v>
      </c>
      <c r="AG1667" s="50" t="n">
        <f aca="false">IF(BZ1667=1,0,ROUNDUP(AF1667/BY1667,0))</f>
        <v>1</v>
      </c>
      <c r="AH1667" s="52" t="n">
        <f aca="false">IF(CQ1667&gt;0,CQ1667*MAX(1,AF1667/X1667),IF(BZ1667=1,IF(AF1667&lt;=0,0,CD1667*MAX(1,IF(H1667&gt;0,AF1667/H1667,1))),IF(R1667&gt;0,AG1667/R1667,0))/MAX(0.1,N(Parameter!$M$21)))</f>
        <v>0.0833333333333333</v>
      </c>
      <c r="AI1667" s="50" t="n">
        <f aca="false">AH1667*CB1667</f>
        <v>12.0833333333333</v>
      </c>
      <c r="AJ1667" s="51" t="n">
        <f aca="false">IF(LEFT(Cockpit!$C$5,1)="A",H1667,IF(CH1667=1,(CK1667+CI1667)/2,IF(LEFT(Cockpit!$C$5,1)="B",(CK1667+AL1667)/2,MAX((CK1667+AL1667)/2,H1667))))</f>
        <v>1</v>
      </c>
      <c r="AK1667" s="50" t="n">
        <f aca="false">AJ1667*G1667</f>
        <v>17553.7</v>
      </c>
      <c r="AL1667" s="50" t="n">
        <f aca="false">ROUNDUP(CK1667+MAX(CL1667,2*(J1667/IF(CG1667&gt;0,CG1667,MAX(0.1,N(Cockpit!$C$6)))-CK1667)),0)</f>
        <v>1</v>
      </c>
      <c r="AM1667" s="51" t="n">
        <f aca="false">IF(AI1667&gt;0,J1667/AI1667,-1)</f>
        <v>0</v>
      </c>
      <c r="AN1667" s="51" t="n">
        <f aca="false">IF(AND(OR(CF1667="L1",CF1667="L23",CF1667="LIFT"),AI1667&gt;0),SUMIFS($AI$7:$AI$1843,$CF$7:$CF$1843,CF1667,$AM$7:$AM$1843,"&gt;"&amp;AM1667)+SUMIFS($AI$7:$AI$1843,$CF$7:$CF$1843,CF1667,$AM$7:$AM$1843,AM1667,$BW$7:$BW$1843,"&lt;="&amp;BW1667),"")</f>
        <v>31429.9217602078</v>
      </c>
      <c r="AO1667" s="58" t="n">
        <f aca="false">IF(AN1667="",0,MAX(0,MIN(1,(IF(CF1667="L1",Parameter!$H$5,IF(CF1667="L23",Parameter!$H$6+Parameter!$H$7,Parameter!$H$5+Parameter!$H$6+Parameter!$H$7))-(AN1667-AI1667))/AI1667)))</f>
        <v>1</v>
      </c>
      <c r="AP1667" s="50" t="n">
        <f aca="false">IF(LEFT(Cockpit!$I$5,1)="A",H1667,IF(Parameter!$E$30="MAX-Bestand",IF(CH1667=1,CI1667,IF(LEFT(Cockpit!$I$5,1)="B",AV1667,MAX(AV1667,H1667))),ROUNDUP(AT1667,0)))</f>
        <v>1</v>
      </c>
      <c r="AQ1667" s="50" t="n">
        <f aca="false">IF(BZ1667=1,0,ROUNDUP(AP1667/BY1667,0))</f>
        <v>1</v>
      </c>
      <c r="AR1667" s="52" t="n">
        <f aca="false">IF(CQ1667&gt;0,CQ1667*MAX(1,AP1667/X1667),IF(BZ1667=1,IF(AP1667&lt;=0,0,CD1667*MAX(1,IF(H1667&gt;0,AP1667/H1667,1))),IF(R1667&gt;0,AQ1667/R1667,0))/MAX(0.1,N(Parameter!$M$21)))</f>
        <v>0.0833333333333333</v>
      </c>
      <c r="AS1667" s="50" t="n">
        <f aca="false">AR1667*CB1667</f>
        <v>12.0833333333333</v>
      </c>
      <c r="AT1667" s="51" t="n">
        <f aca="false">IF(LEFT(Cockpit!$I$5,1)="A",H1667,IF(CH1667=1,(CK1667+CI1667)/2,IF(LEFT(Cockpit!$I$5,1)="B",(CK1667+AV1667)/2,MAX((CK1667+AV1667)/2,H1667))))</f>
        <v>1</v>
      </c>
      <c r="AU1667" s="50" t="n">
        <f aca="false">AT1667*G1667</f>
        <v>17553.7</v>
      </c>
      <c r="AV1667" s="50" t="n">
        <f aca="false">ROUNDUP(CK1667+MAX(CL1667,2*(J1667/IF(CG1667&gt;0,CG1667,MAX(0.1,N(Cockpit!$I$6)))-CK1667)),0)</f>
        <v>1</v>
      </c>
      <c r="AW1667" s="51" t="n">
        <f aca="false">IF(AS1667&gt;0,J1667/AS1667,-1)</f>
        <v>0</v>
      </c>
      <c r="AX1667" s="51" t="n">
        <f aca="false">IF(AND(OR(CF1667="L1",CF1667="L23",CF1667="LIFT"),AS1667&gt;0),SUMIFS($AS$7:$AS$1843,$CF$7:$CF$1843,CF1667,$AW$7:$AW$1843,"&gt;"&amp;AW1667)+SUMIFS($AS$7:$AS$1843,$CF$7:$CF$1843,CF1667,$AW$7:$AW$1843,AW1667,$BW$7:$BW$1843,"&lt;="&amp;BW1667),"")</f>
        <v>37902.1699907908</v>
      </c>
      <c r="AY1667" s="58" t="n">
        <f aca="false">IF(AX1667="",0,MAX(0,MIN(1,(IF(CF1667="L1",Parameter!$H$5,IF(CF1667="L23",Parameter!$H$6+Parameter!$H$7,Parameter!$H$5+Parameter!$H$6+Parameter!$H$7))-(AX1667-AS1667))/AS1667)))</f>
        <v>0</v>
      </c>
      <c r="AZ1667" s="50" t="n">
        <f aca="false">IF(LEFT(Cockpit!$O$5,1)="A",H1667,IF(Parameter!$E$30="MAX-Bestand",IF(CH1667=1,CI1667,IF(LEFT(Cockpit!$O$5,1)="B",BF1667,MAX(BF1667,H1667))),ROUNDUP(BD1667,0)))</f>
        <v>1</v>
      </c>
      <c r="BA1667" s="50" t="n">
        <f aca="false">IF(BZ1667=1,0,ROUNDUP(AZ1667/BY1667,0))</f>
        <v>1</v>
      </c>
      <c r="BB1667" s="52" t="n">
        <f aca="false">IF(CQ1667&gt;0,CQ1667*MAX(1,AZ1667/X1667),IF(BZ1667=1,IF(AZ1667&lt;=0,0,CD1667*MAX(1,IF(H1667&gt;0,AZ1667/H1667,1))),IF(R1667&gt;0,BA1667/R1667,0))/MAX(0.1,N(Parameter!$M$21)))</f>
        <v>0.0833333333333333</v>
      </c>
      <c r="BC1667" s="50" t="n">
        <f aca="false">BB1667*CB1667</f>
        <v>12.0833333333333</v>
      </c>
      <c r="BD1667" s="51" t="n">
        <f aca="false">IF(LEFT(Cockpit!$O$5,1)="A",H1667,IF(CH1667=1,(CK1667+CI1667)/2,IF(LEFT(Cockpit!$O$5,1)="B",(CK1667+BF1667)/2,MAX((CK1667+BF1667)/2,H1667))))</f>
        <v>0.5</v>
      </c>
      <c r="BE1667" s="50" t="n">
        <f aca="false">BD1667*G1667</f>
        <v>8776.85</v>
      </c>
      <c r="BF1667" s="50" t="n">
        <f aca="false">ROUNDUP(CK1667+MAX(CL1667,2*(J1667/IF(CG1667&gt;0,CG1667,MAX(0.1,N(Cockpit!$O$6)))-CK1667)),0)</f>
        <v>1</v>
      </c>
      <c r="BG1667" s="51" t="n">
        <f aca="false">IF(BC1667&gt;0,J1667/BC1667,-1)</f>
        <v>0</v>
      </c>
      <c r="BH1667" s="51" t="n">
        <f aca="false">IF(AND(OR(CF1667="L1",CF1667="L23",CF1667="LIFT"),BC1667&gt;0),SUMIFS($BC$7:$BC$1843,$CF$7:$CF$1843,CF1667,$BG$7:$BG$1843,"&gt;"&amp;BG1667)+SUMIFS($BC$7:$BC$1843,$CF$7:$CF$1843,CF1667,$BG$7:$BG$1843,BG1667,$BW$7:$BW$1843,"&lt;="&amp;BW1667),"")</f>
        <v>31811.6112663231</v>
      </c>
      <c r="BI1667" s="58" t="n">
        <f aca="false">IF(BH1667="",0,MAX(0,MIN(1,(IF(CF1667="L1",Parameter!$H$5,IF(CF1667="L23",Parameter!$H$6+Parameter!$H$7,Parameter!$H$5+Parameter!$H$6+Parameter!$H$7))-(BH1667-BC1667))/BC1667)))</f>
        <v>1</v>
      </c>
      <c r="BJ1667" s="48" t="str">
        <f aca="false">IF(AI1667&lt;=0,"",IF(CF1667="Aussen","Aussenlager",IF(CF1667="-","Nicht im Lift",IF(AO1667&gt;=1,"Lift",IF(AO1667&lt;=0,"Aussenlager","teilweise")))))</f>
        <v>Lift</v>
      </c>
      <c r="BK1667" s="48" t="str">
        <f aca="false">IF(AS1667&lt;=0,"",IF(CF1667="Aussen","Aussenlager",IF(CF1667="-","Nicht im Lift",IF(AY1667&gt;=1,"Lift",IF(AY1667&lt;=0,"Aussenlager","teilweise")))))</f>
        <v>Aussenlager</v>
      </c>
      <c r="BL1667" s="48" t="str">
        <f aca="false">IF(BC1667&lt;=0,"",IF(CF1667="Aussen","Aussenlager",IF(CF1667="-","Nicht im Lift",IF(BI1667&gt;=1,"Lift",IF(BI1667&lt;=0,"Aussenlager","teilweise")))))</f>
        <v>Lift</v>
      </c>
      <c r="BM1667" s="48" t="str">
        <f aca="false">IF(A1667="","",IF(BV1667=1,"Neu; ","")&amp;IF(AND(BV1667=0,BQ1667&lt;0),"negativer Bestand (Export "&amp;BQ1667&amp;"); ","")&amp;IF(J1667&lt;=0,"Kein Verbrauch; ","")&amp;IF(CQ1667&gt;0,"Lift "&amp;W1667&amp;" lt. Liftbericht (Fach "&amp;X1667&amp;" Stk); ",IF(CA1667=1,"Gebinde geschätzt ("&amp;T1667&amp;"); ",IF(BZ1667=1,"Lose – Tablare geschätzt; ","")))&amp;IF(H1667&gt;AV1667,"Überbestand "&amp;ROUND(H1667-AV1667,0)&amp;" Stk / CHF "&amp;ROUND((H1667-AV1667)*G1667,0)&amp;"; ","")&amp;IF(AND(CH1667=1,CI1667&lt;CJ1667),"MAX &lt; MB+LG; ","")&amp;IF(AND(CP1667&gt;0,CO1667*10&gt;CP1667),"zu hoch für Tablar; ","")&amp;IF(AND(BV1667=0,OR(CH1667=1,AA1667&lt;&gt;"",U1667&lt;&gt;"",V1667&lt;&gt;"",AB1667&lt;&gt;"")),"manuell übersteuert; ","")&amp;IF(AND(BZ1667=0,R1667=0),"Gebinde unbekannt / Stellmass fehlt; ","")&amp;IF(AND(BZ1667=0,N(V1667)&lt;=0,N(Q1667)&lt;=0),"Menge pro Gebinde fehlt (Ist = 1 Gebinde); ","")&amp;BU1667)</f>
        <v>Kein Verbrauch; Gebinde geschätzt (Mittel); Menge pro Gebinde fehlt (Ist = 1 Gebinde); nur im Artikelstamm (Bestand 23.06.2026)</v>
      </c>
      <c r="BN1667" s="48"/>
      <c r="BO1667" s="48"/>
      <c r="BP1667" s="55"/>
      <c r="BQ1667" s="50" t="n">
        <v>1</v>
      </c>
      <c r="BR1667" s="50" t="n">
        <v>0</v>
      </c>
      <c r="BS1667" s="49" t="n">
        <v>0</v>
      </c>
      <c r="BT1667" s="50" t="n">
        <v>0</v>
      </c>
      <c r="BU1667" s="48" t="s">
        <v>2584</v>
      </c>
      <c r="BV1667" s="53" t="n">
        <v>0</v>
      </c>
      <c r="BW1667" s="53" t="n">
        <v>1667</v>
      </c>
      <c r="BX1667" s="48" t="str">
        <f aca="false">IF(U1667&lt;&gt;"",UPPER(TRIM(U1667)),IF(CA1667=1,UPPER(VLOOKUP(T1667,Parameter!$I$27:$K$29,2,0)),IF(P1667="","LOSE",P1667)))</f>
        <v>S61</v>
      </c>
      <c r="BY1667" s="50" t="n">
        <f aca="false">IF(BX1667="LOSE",1,IF(N(V1667)&gt;0,V1667,IF(CA1667=1,MAX(1,N(VLOOKUP(T1667,Parameter!$I$27:$K$29,3,0)),H1667,N(N1667)),IF(N(Q1667)&gt;0,Q1667,MAX(1,H1667)))))</f>
        <v>4</v>
      </c>
      <c r="BZ1667" s="53" t="n">
        <f aca="false">IF(BX1667="LOSE",1,0)</f>
        <v>0</v>
      </c>
      <c r="CA1667" s="53" t="n">
        <f aca="false">IF(AND(U1667="",OR(P1667="",P1667="LOSE"),T1667&lt;&gt;"",N(S1667)&lt;=0,ISNUMBER(MATCH(T1667,Parameter!$I$27:$I$29,0))),1,0)</f>
        <v>1</v>
      </c>
      <c r="CB1667" s="53" t="n">
        <f aca="false">IF(CQ1667&gt;0,INDEX(Parameter!$H$5:$H$7,W1667)/INDEX(Parameter!$E$5:$E$7,W1667),IF(AND(BZ1667=0,N(IFERROR(VLOOKUP(BX1667,'Gebinde-Kategorie'!$A$5:$N$45,14,0),0))&gt;0),VLOOKUP(BX1667,'Gebinde-Kategorie'!$A$5:$N$45,14,0)*10+Parameter!$M$23,Parameter!$M$24))</f>
        <v>145</v>
      </c>
      <c r="CC1667" s="48" t="str">
        <f aca="false">IF(AND(Parameter!$B$19="Ja",E1667&lt;&gt;"",ISNUMBER(MATCH(E1667,Parameter!$I$35:$I$52,0))),VLOOKUP(E1667,Parameter!$I$35:$J$52,2,0),IFERROR(VLOOKUP(D1667,Parameter!$A$35:$C$64,2,0),"Nein"))</f>
        <v>2+3</v>
      </c>
      <c r="CD1667" s="52" t="n">
        <f aca="false">IF(BZ1667=0,0,IF(N(S1667)&gt;0,S1667,IFERROR(VLOOKUP(D1667,Parameter!$A$35:$C$64,3,0)+0,0)))</f>
        <v>0</v>
      </c>
      <c r="CE1667" s="48" t="n">
        <f aca="false">IF(AA1667&lt;&gt;"",AA1667,Z1667)</f>
        <v>2</v>
      </c>
      <c r="CF1667" s="48" t="str">
        <f aca="false">IF(OR(CE1667=1,CE1667=2,CE1667=3),IF(Parameter!$E$27="Ja","LIFT",IF(CE1667=1,"L1","L23")),IF(CE1667="Aussen","Aussen","-"))</f>
        <v>LIFT</v>
      </c>
      <c r="CG1667" s="59" t="n">
        <f aca="false">IF(N(AB1667)&gt;0,AB1667,0)</f>
        <v>0</v>
      </c>
      <c r="CH1667" s="53" t="n">
        <f aca="false">IF(ISNUMBER(AE1667),1,0)</f>
        <v>0</v>
      </c>
      <c r="CI1667" s="50" t="n">
        <f aca="false">N(AE1667)</f>
        <v>0</v>
      </c>
      <c r="CJ1667" s="50" t="n">
        <f aca="false">N(M1667)+N(N1667)</f>
        <v>1</v>
      </c>
      <c r="CK1667" s="50" t="n">
        <f aca="false">N(M1667)</f>
        <v>0</v>
      </c>
      <c r="CL1667" s="50" t="n">
        <f aca="false">N(N1667)</f>
        <v>1</v>
      </c>
      <c r="CM1667" s="50" t="n">
        <f aca="false">ROUNDUP(H1667/BY1667,0)</f>
        <v>1</v>
      </c>
      <c r="CN1667" s="50" t="n">
        <f aca="false">ROUNDUP(CI1667/BY1667,0)</f>
        <v>0</v>
      </c>
      <c r="CO1667" s="53" t="n">
        <f aca="false">IF(BZ1667=1,0,IFERROR(VLOOKUP(BX1667,'Gebinde-Kategorie'!$A$5:$N$45,5,0)+0,0))</f>
        <v>11</v>
      </c>
      <c r="CP1667" s="53" t="n">
        <f aca="false">IFERROR(IF(OR(CE1667=1,CE1667=2,CE1667=3),N(INDEX(Parameter!$I$5:$I$7,CE1667)),0),0)</f>
        <v>0</v>
      </c>
      <c r="CQ1667" s="52" t="n">
        <f aca="false">IF(AND(Parameter!$B$21="Ja",ISNUMBER(W1667),N(X1667)&gt;0),IFERROR(N(INDEX(Parameter!$L$5:$L$7,W1667))*INDEX(Parameter!$E$5:$E$7,W1667)*X1667/SUMIFS($X$7:$X$1843,$W$7:$W$1843,W1667),0),0)</f>
        <v>0</v>
      </c>
    </row>
    <row r="1668" customFormat="false" ht="15" hidden="false" customHeight="false" outlineLevel="0" collapsed="false">
      <c r="A1668" s="48" t="s">
        <v>2903</v>
      </c>
      <c r="B1668" s="48" t="s">
        <v>2904</v>
      </c>
      <c r="C1668" s="48" t="s">
        <v>173</v>
      </c>
      <c r="D1668" s="48" t="s">
        <v>182</v>
      </c>
      <c r="E1668" s="48" t="s">
        <v>194</v>
      </c>
      <c r="F1668" s="48"/>
      <c r="G1668" s="49" t="n">
        <v>168</v>
      </c>
      <c r="H1668" s="50" t="n">
        <f aca="false">MAX(0,IF(AND(Parameter!$B$21="Ja",ISNUMBER(Y1668)),Y1668,IF(Parameter!$B$20="Jahresanfang 2025 + Export",BR1668+BQ1668,BQ1668)))</f>
        <v>23</v>
      </c>
      <c r="I1668" s="50" t="n">
        <f aca="false">H1668*G1668</f>
        <v>3864</v>
      </c>
      <c r="J1668" s="50" t="n">
        <f aca="false">BT1668*Parameter!$B$18</f>
        <v>0</v>
      </c>
      <c r="K1668" s="51"/>
      <c r="L1668" s="52"/>
      <c r="M1668" s="50" t="n">
        <v>0</v>
      </c>
      <c r="N1668" s="50" t="n">
        <v>10</v>
      </c>
      <c r="O1668" s="53" t="n">
        <v>84</v>
      </c>
      <c r="P1668" s="48" t="s">
        <v>183</v>
      </c>
      <c r="Q1668" s="50" t="n">
        <v>9</v>
      </c>
      <c r="R1668" s="53" t="n">
        <f aca="false">IF(BZ1668=1,0,IFERROR(VLOOKUP(BX1668,'Gebinde-Kategorie'!$A$5:$N$45,13,0)+0,0))</f>
        <v>6</v>
      </c>
      <c r="S1668" s="54"/>
      <c r="T1668" s="55"/>
      <c r="U1668" s="55"/>
      <c r="V1668" s="55"/>
      <c r="W1668" s="48"/>
      <c r="X1668" s="50"/>
      <c r="Y1668" s="50"/>
      <c r="Z1668" s="48" t="n">
        <f aca="false">IF(A1668="","",IF(AND(Parameter!$B$21="Ja",ISNUMBER(W1668)),W1668,IF(CC1668="2+3",IF(ISNUMBER(SEARCH("grosser Artikel",BU1668)),2,IFERROR(VLOOKUP(BX1668,Parameter!$F$35:$G$64,2,0),2)),IF(OR(CC1668="Nein",CC1668=""),"-",CC1668))))</f>
        <v>2</v>
      </c>
      <c r="AA1668" s="55"/>
      <c r="AB1668" s="56"/>
      <c r="AC1668" s="50" t="n">
        <f aca="false">AV1668</f>
        <v>10</v>
      </c>
      <c r="AD1668" s="50" t="n">
        <f aca="false">MAX(AV1668,H1668)</f>
        <v>23</v>
      </c>
      <c r="AE1668" s="57"/>
      <c r="AF1668" s="50" t="n">
        <f aca="false">IF(LEFT(Cockpit!$C$5,1)="A",H1668,IF(Parameter!$E$30="MAX-Bestand",IF(CH1668=1,CI1668,IF(LEFT(Cockpit!$C$5,1)="B",AL1668,MAX(AL1668,H1668))),ROUNDUP(AJ1668,0)))</f>
        <v>23</v>
      </c>
      <c r="AG1668" s="50" t="n">
        <f aca="false">IF(BZ1668=1,0,ROUNDUP(AF1668/BY1668,0))</f>
        <v>3</v>
      </c>
      <c r="AH1668" s="52" t="n">
        <f aca="false">IF(CQ1668&gt;0,CQ1668*MAX(1,AF1668/X1668),IF(BZ1668=1,IF(AF1668&lt;=0,0,CD1668*MAX(1,IF(H1668&gt;0,AF1668/H1668,1))),IF(R1668&gt;0,AG1668/R1668,0))/MAX(0.1,N(Parameter!$M$21)))</f>
        <v>0.5</v>
      </c>
      <c r="AI1668" s="50" t="n">
        <f aca="false">AH1668*CB1668</f>
        <v>117.5</v>
      </c>
      <c r="AJ1668" s="51" t="n">
        <f aca="false">IF(LEFT(Cockpit!$C$5,1)="A",H1668,IF(CH1668=1,(CK1668+CI1668)/2,IF(LEFT(Cockpit!$C$5,1)="B",(CK1668+AL1668)/2,MAX((CK1668+AL1668)/2,H1668))))</f>
        <v>23</v>
      </c>
      <c r="AK1668" s="50" t="n">
        <f aca="false">AJ1668*G1668</f>
        <v>3864</v>
      </c>
      <c r="AL1668" s="50" t="n">
        <f aca="false">ROUNDUP(CK1668+MAX(CL1668,2*(J1668/IF(CG1668&gt;0,CG1668,MAX(0.1,N(Cockpit!$C$6)))-CK1668)),0)</f>
        <v>10</v>
      </c>
      <c r="AM1668" s="51" t="n">
        <f aca="false">IF(AI1668&gt;0,J1668/AI1668,-1)</f>
        <v>0</v>
      </c>
      <c r="AN1668" s="51" t="n">
        <f aca="false">IF(AND(OR(CF1668="L1",CF1668="L23",CF1668="LIFT"),AI1668&gt;0),SUMIFS($AI$7:$AI$1843,$CF$7:$CF$1843,CF1668,$AM$7:$AM$1843,"&gt;"&amp;AM1668)+SUMIFS($AI$7:$AI$1843,$CF$7:$CF$1843,CF1668,$AM$7:$AM$1843,AM1668,$BW$7:$BW$1843,"&lt;="&amp;BW1668),"")</f>
        <v>31547.4217602078</v>
      </c>
      <c r="AO1668" s="58" t="n">
        <f aca="false">IF(AN1668="",0,MAX(0,MIN(1,(IF(CF1668="L1",Parameter!$H$5,IF(CF1668="L23",Parameter!$H$6+Parameter!$H$7,Parameter!$H$5+Parameter!$H$6+Parameter!$H$7))-(AN1668-AI1668))/AI1668)))</f>
        <v>1</v>
      </c>
      <c r="AP1668" s="50" t="n">
        <f aca="false">IF(LEFT(Cockpit!$I$5,1)="A",H1668,IF(Parameter!$E$30="MAX-Bestand",IF(CH1668=1,CI1668,IF(LEFT(Cockpit!$I$5,1)="B",AV1668,MAX(AV1668,H1668))),ROUNDUP(AT1668,0)))</f>
        <v>23</v>
      </c>
      <c r="AQ1668" s="50" t="n">
        <f aca="false">IF(BZ1668=1,0,ROUNDUP(AP1668/BY1668,0))</f>
        <v>3</v>
      </c>
      <c r="AR1668" s="52" t="n">
        <f aca="false">IF(CQ1668&gt;0,CQ1668*MAX(1,AP1668/X1668),IF(BZ1668=1,IF(AP1668&lt;=0,0,CD1668*MAX(1,IF(H1668&gt;0,AP1668/H1668,1))),IF(R1668&gt;0,AQ1668/R1668,0))/MAX(0.1,N(Parameter!$M$21)))</f>
        <v>0.5</v>
      </c>
      <c r="AS1668" s="50" t="n">
        <f aca="false">AR1668*CB1668</f>
        <v>117.5</v>
      </c>
      <c r="AT1668" s="51" t="n">
        <f aca="false">IF(LEFT(Cockpit!$I$5,1)="A",H1668,IF(CH1668=1,(CK1668+CI1668)/2,IF(LEFT(Cockpit!$I$5,1)="B",(CK1668+AV1668)/2,MAX((CK1668+AV1668)/2,H1668))))</f>
        <v>23</v>
      </c>
      <c r="AU1668" s="50" t="n">
        <f aca="false">AT1668*G1668</f>
        <v>3864</v>
      </c>
      <c r="AV1668" s="50" t="n">
        <f aca="false">ROUNDUP(CK1668+MAX(CL1668,2*(J1668/IF(CG1668&gt;0,CG1668,MAX(0.1,N(Cockpit!$I$6)))-CK1668)),0)</f>
        <v>10</v>
      </c>
      <c r="AW1668" s="51" t="n">
        <f aca="false">IF(AS1668&gt;0,J1668/AS1668,-1)</f>
        <v>0</v>
      </c>
      <c r="AX1668" s="51" t="n">
        <f aca="false">IF(AND(OR(CF1668="L1",CF1668="L23",CF1668="LIFT"),AS1668&gt;0),SUMIFS($AS$7:$AS$1843,$CF$7:$CF$1843,CF1668,$AW$7:$AW$1843,"&gt;"&amp;AW1668)+SUMIFS($AS$7:$AS$1843,$CF$7:$CF$1843,CF1668,$AW$7:$AW$1843,AW1668,$BW$7:$BW$1843,"&lt;="&amp;BW1668),"")</f>
        <v>38019.6699907908</v>
      </c>
      <c r="AY1668" s="58" t="n">
        <f aca="false">IF(AX1668="",0,MAX(0,MIN(1,(IF(CF1668="L1",Parameter!$H$5,IF(CF1668="L23",Parameter!$H$6+Parameter!$H$7,Parameter!$H$5+Parameter!$H$6+Parameter!$H$7))-(AX1668-AS1668))/AS1668)))</f>
        <v>0</v>
      </c>
      <c r="AZ1668" s="50" t="n">
        <f aca="false">IF(LEFT(Cockpit!$O$5,1)="A",H1668,IF(Parameter!$E$30="MAX-Bestand",IF(CH1668=1,CI1668,IF(LEFT(Cockpit!$O$5,1)="B",BF1668,MAX(BF1668,H1668))),ROUNDUP(BD1668,0)))</f>
        <v>5</v>
      </c>
      <c r="BA1668" s="50" t="n">
        <f aca="false">IF(BZ1668=1,0,ROUNDUP(AZ1668/BY1668,0))</f>
        <v>1</v>
      </c>
      <c r="BB1668" s="52" t="n">
        <f aca="false">IF(CQ1668&gt;0,CQ1668*MAX(1,AZ1668/X1668),IF(BZ1668=1,IF(AZ1668&lt;=0,0,CD1668*MAX(1,IF(H1668&gt;0,AZ1668/H1668,1))),IF(R1668&gt;0,BA1668/R1668,0))/MAX(0.1,N(Parameter!$M$21)))</f>
        <v>0.166666666666667</v>
      </c>
      <c r="BC1668" s="50" t="n">
        <f aca="false">BB1668*CB1668</f>
        <v>39.1666666666667</v>
      </c>
      <c r="BD1668" s="51" t="n">
        <f aca="false">IF(LEFT(Cockpit!$O$5,1)="A",H1668,IF(CH1668=1,(CK1668+CI1668)/2,IF(LEFT(Cockpit!$O$5,1)="B",(CK1668+BF1668)/2,MAX((CK1668+BF1668)/2,H1668))))</f>
        <v>5</v>
      </c>
      <c r="BE1668" s="50" t="n">
        <f aca="false">BD1668*G1668</f>
        <v>840</v>
      </c>
      <c r="BF1668" s="50" t="n">
        <f aca="false">ROUNDUP(CK1668+MAX(CL1668,2*(J1668/IF(CG1668&gt;0,CG1668,MAX(0.1,N(Cockpit!$O$6)))-CK1668)),0)</f>
        <v>10</v>
      </c>
      <c r="BG1668" s="51" t="n">
        <f aca="false">IF(BC1668&gt;0,J1668/BC1668,-1)</f>
        <v>0</v>
      </c>
      <c r="BH1668" s="51" t="n">
        <f aca="false">IF(AND(OR(CF1668="L1",CF1668="L23",CF1668="LIFT"),BC1668&gt;0),SUMIFS($BC$7:$BC$1843,$CF$7:$CF$1843,CF1668,$BG$7:$BG$1843,"&gt;"&amp;BG1668)+SUMIFS($BC$7:$BC$1843,$CF$7:$CF$1843,CF1668,$BG$7:$BG$1843,BG1668,$BW$7:$BW$1843,"&lt;="&amp;BW1668),"")</f>
        <v>31850.7779329898</v>
      </c>
      <c r="BI1668" s="58" t="n">
        <f aca="false">IF(BH1668="",0,MAX(0,MIN(1,(IF(CF1668="L1",Parameter!$H$5,IF(CF1668="L23",Parameter!$H$6+Parameter!$H$7,Parameter!$H$5+Parameter!$H$6+Parameter!$H$7))-(BH1668-BC1668))/BC1668)))</f>
        <v>1</v>
      </c>
      <c r="BJ1668" s="48" t="str">
        <f aca="false">IF(AI1668&lt;=0,"",IF(CF1668="Aussen","Aussenlager",IF(CF1668="-","Nicht im Lift",IF(AO1668&gt;=1,"Lift",IF(AO1668&lt;=0,"Aussenlager","teilweise")))))</f>
        <v>Lift</v>
      </c>
      <c r="BK1668" s="48" t="str">
        <f aca="false">IF(AS1668&lt;=0,"",IF(CF1668="Aussen","Aussenlager",IF(CF1668="-","Nicht im Lift",IF(AY1668&gt;=1,"Lift",IF(AY1668&lt;=0,"Aussenlager","teilweise")))))</f>
        <v>Aussenlager</v>
      </c>
      <c r="BL1668" s="48" t="str">
        <f aca="false">IF(BC1668&lt;=0,"",IF(CF1668="Aussen","Aussenlager",IF(CF1668="-","Nicht im Lift",IF(BI1668&gt;=1,"Lift",IF(BI1668&lt;=0,"Aussenlager","teilweise")))))</f>
        <v>Lift</v>
      </c>
      <c r="BM1668" s="48" t="str">
        <f aca="false">IF(A1668="","",IF(BV1668=1,"Neu; ","")&amp;IF(AND(BV1668=0,BQ1668&lt;0),"negativer Bestand (Export "&amp;BQ1668&amp;"); ","")&amp;IF(J1668&lt;=0,"Kein Verbrauch; ","")&amp;IF(CQ1668&gt;0,"Lift "&amp;W1668&amp;" lt. Liftbericht (Fach "&amp;X1668&amp;" Stk); ",IF(CA1668=1,"Gebinde geschätzt ("&amp;T1668&amp;"); ",IF(BZ1668=1,"Lose – Tablare geschätzt; ","")))&amp;IF(H1668&gt;AV1668,"Überbestand "&amp;ROUND(H1668-AV1668,0)&amp;" Stk / CHF "&amp;ROUND((H1668-AV1668)*G1668,0)&amp;"; ","")&amp;IF(AND(CH1668=1,CI1668&lt;CJ1668),"MAX &lt; MB+LG; ","")&amp;IF(AND(CP1668&gt;0,CO1668*10&gt;CP1668),"zu hoch für Tablar; ","")&amp;IF(AND(BV1668=0,OR(CH1668=1,AA1668&lt;&gt;"",U1668&lt;&gt;"",V1668&lt;&gt;"",AB1668&lt;&gt;"")),"manuell übersteuert; ","")&amp;IF(AND(BZ1668=0,R1668=0),"Gebinde unbekannt / Stellmass fehlt; ","")&amp;IF(AND(BZ1668=0,N(V1668)&lt;=0,N(Q1668)&lt;=0),"Menge pro Gebinde fehlt (Ist = 1 Gebinde); ","")&amp;BU1668)</f>
        <v>Kein Verbrauch; Überbestand 13 Stk / CHF 2184; nur im Artikelstamm (Bestand 23.06.2026); Überbestand; grosser Artikel &amp; nicht im KTL</v>
      </c>
      <c r="BN1668" s="48"/>
      <c r="BO1668" s="48"/>
      <c r="BP1668" s="55"/>
      <c r="BQ1668" s="50" t="n">
        <v>23</v>
      </c>
      <c r="BR1668" s="50" t="n">
        <v>0</v>
      </c>
      <c r="BS1668" s="49" t="n">
        <v>0</v>
      </c>
      <c r="BT1668" s="50" t="n">
        <v>0</v>
      </c>
      <c r="BU1668" s="48" t="s">
        <v>2765</v>
      </c>
      <c r="BV1668" s="53" t="n">
        <v>0</v>
      </c>
      <c r="BW1668" s="53" t="n">
        <v>1668</v>
      </c>
      <c r="BX1668" s="48" t="str">
        <f aca="false">IF(U1668&lt;&gt;"",UPPER(TRIM(U1668)),IF(CA1668=1,UPPER(VLOOKUP(T1668,Parameter!$I$27:$K$29,2,0)),IF(P1668="","LOSE",P1668)))</f>
        <v>S71</v>
      </c>
      <c r="BY1668" s="50" t="n">
        <f aca="false">IF(BX1668="LOSE",1,IF(N(V1668)&gt;0,V1668,IF(CA1668=1,MAX(1,N(VLOOKUP(T1668,Parameter!$I$27:$K$29,3,0)),H1668,N(N1668)),IF(N(Q1668)&gt;0,Q1668,MAX(1,H1668)))))</f>
        <v>9</v>
      </c>
      <c r="BZ1668" s="53" t="n">
        <f aca="false">IF(BX1668="LOSE",1,0)</f>
        <v>0</v>
      </c>
      <c r="CA1668" s="53" t="n">
        <f aca="false">IF(AND(U1668="",OR(P1668="",P1668="LOSE"),T1668&lt;&gt;"",N(S1668)&lt;=0,ISNUMBER(MATCH(T1668,Parameter!$I$27:$I$29,0))),1,0)</f>
        <v>0</v>
      </c>
      <c r="CB1668" s="53" t="n">
        <f aca="false">IF(CQ1668&gt;0,INDEX(Parameter!$H$5:$H$7,W1668)/INDEX(Parameter!$E$5:$E$7,W1668),IF(AND(BZ1668=0,N(IFERROR(VLOOKUP(BX1668,'Gebinde-Kategorie'!$A$5:$N$45,14,0),0))&gt;0),VLOOKUP(BX1668,'Gebinde-Kategorie'!$A$5:$N$45,14,0)*10+Parameter!$M$23,Parameter!$M$24))</f>
        <v>235</v>
      </c>
      <c r="CC1668" s="48" t="str">
        <f aca="false">IF(AND(Parameter!$B$19="Ja",E1668&lt;&gt;"",ISNUMBER(MATCH(E1668,Parameter!$I$35:$I$52,0))),VLOOKUP(E1668,Parameter!$I$35:$J$52,2,0),IFERROR(VLOOKUP(D1668,Parameter!$A$35:$C$64,2,0),"Nein"))</f>
        <v>2+3</v>
      </c>
      <c r="CD1668" s="52" t="n">
        <f aca="false">IF(BZ1668=0,0,IF(N(S1668)&gt;0,S1668,IFERROR(VLOOKUP(D1668,Parameter!$A$35:$C$64,3,0)+0,0)))</f>
        <v>0</v>
      </c>
      <c r="CE1668" s="48" t="n">
        <f aca="false">IF(AA1668&lt;&gt;"",AA1668,Z1668)</f>
        <v>2</v>
      </c>
      <c r="CF1668" s="48" t="str">
        <f aca="false">IF(OR(CE1668=1,CE1668=2,CE1668=3),IF(Parameter!$E$27="Ja","LIFT",IF(CE1668=1,"L1","L23")),IF(CE1668="Aussen","Aussen","-"))</f>
        <v>LIFT</v>
      </c>
      <c r="CG1668" s="59" t="n">
        <f aca="false">IF(N(AB1668)&gt;0,AB1668,0)</f>
        <v>0</v>
      </c>
      <c r="CH1668" s="53" t="n">
        <f aca="false">IF(ISNUMBER(AE1668),1,0)</f>
        <v>0</v>
      </c>
      <c r="CI1668" s="50" t="n">
        <f aca="false">N(AE1668)</f>
        <v>0</v>
      </c>
      <c r="CJ1668" s="50" t="n">
        <f aca="false">N(M1668)+N(N1668)</f>
        <v>10</v>
      </c>
      <c r="CK1668" s="50" t="n">
        <f aca="false">N(M1668)</f>
        <v>0</v>
      </c>
      <c r="CL1668" s="50" t="n">
        <f aca="false">N(N1668)</f>
        <v>10</v>
      </c>
      <c r="CM1668" s="50" t="n">
        <f aca="false">ROUNDUP(H1668/BY1668,0)</f>
        <v>3</v>
      </c>
      <c r="CN1668" s="50" t="n">
        <f aca="false">ROUNDUP(CI1668/BY1668,0)</f>
        <v>0</v>
      </c>
      <c r="CO1668" s="53" t="n">
        <f aca="false">IF(BZ1668=1,0,IFERROR(VLOOKUP(BX1668,'Gebinde-Kategorie'!$A$5:$N$45,5,0)+0,0))</f>
        <v>20</v>
      </c>
      <c r="CP1668" s="53" t="n">
        <f aca="false">IFERROR(IF(OR(CE1668=1,CE1668=2,CE1668=3),N(INDEX(Parameter!$I$5:$I$7,CE1668)),0),0)</f>
        <v>0</v>
      </c>
      <c r="CQ1668" s="52" t="n">
        <f aca="false">IF(AND(Parameter!$B$21="Ja",ISNUMBER(W1668),N(X1668)&gt;0),IFERROR(N(INDEX(Parameter!$L$5:$L$7,W1668))*INDEX(Parameter!$E$5:$E$7,W1668)*X1668/SUMIFS($X$7:$X$1843,$W$7:$W$1843,W1668),0),0)</f>
        <v>0</v>
      </c>
    </row>
    <row r="1669" customFormat="false" ht="15" hidden="false" customHeight="false" outlineLevel="0" collapsed="false">
      <c r="A1669" s="48" t="s">
        <v>2905</v>
      </c>
      <c r="B1669" s="48" t="s">
        <v>2906</v>
      </c>
      <c r="C1669" s="48" t="s">
        <v>173</v>
      </c>
      <c r="D1669" s="48" t="s">
        <v>182</v>
      </c>
      <c r="E1669" s="48" t="s">
        <v>194</v>
      </c>
      <c r="F1669" s="48"/>
      <c r="G1669" s="49" t="n">
        <v>291.88</v>
      </c>
      <c r="H1669" s="50" t="n">
        <f aca="false">MAX(0,IF(AND(Parameter!$B$21="Ja",ISNUMBER(Y1669)),Y1669,IF(Parameter!$B$20="Jahresanfang 2025 + Export",BR1669+BQ1669,BQ1669)))</f>
        <v>16</v>
      </c>
      <c r="I1669" s="50" t="n">
        <f aca="false">H1669*G1669</f>
        <v>4670.08</v>
      </c>
      <c r="J1669" s="50" t="n">
        <f aca="false">BT1669*Parameter!$B$18</f>
        <v>0</v>
      </c>
      <c r="K1669" s="51"/>
      <c r="L1669" s="52"/>
      <c r="M1669" s="50" t="n">
        <v>0</v>
      </c>
      <c r="N1669" s="50" t="n">
        <v>5</v>
      </c>
      <c r="O1669" s="53" t="n">
        <v>84</v>
      </c>
      <c r="P1669" s="48" t="s">
        <v>183</v>
      </c>
      <c r="Q1669" s="50" t="n">
        <v>6</v>
      </c>
      <c r="R1669" s="53" t="n">
        <f aca="false">IF(BZ1669=1,0,IFERROR(VLOOKUP(BX1669,'Gebinde-Kategorie'!$A$5:$N$45,13,0)+0,0))</f>
        <v>6</v>
      </c>
      <c r="S1669" s="54"/>
      <c r="T1669" s="55"/>
      <c r="U1669" s="55"/>
      <c r="V1669" s="55"/>
      <c r="W1669" s="48"/>
      <c r="X1669" s="50"/>
      <c r="Y1669" s="50"/>
      <c r="Z1669" s="48" t="n">
        <f aca="false">IF(A1669="","",IF(AND(Parameter!$B$21="Ja",ISNUMBER(W1669)),W1669,IF(CC1669="2+3",IF(ISNUMBER(SEARCH("grosser Artikel",BU1669)),2,IFERROR(VLOOKUP(BX1669,Parameter!$F$35:$G$64,2,0),2)),IF(OR(CC1669="Nein",CC1669=""),"-",CC1669))))</f>
        <v>2</v>
      </c>
      <c r="AA1669" s="55"/>
      <c r="AB1669" s="56"/>
      <c r="AC1669" s="50" t="n">
        <f aca="false">AV1669</f>
        <v>5</v>
      </c>
      <c r="AD1669" s="50" t="n">
        <f aca="false">MAX(AV1669,H1669)</f>
        <v>16</v>
      </c>
      <c r="AE1669" s="57"/>
      <c r="AF1669" s="50" t="n">
        <f aca="false">IF(LEFT(Cockpit!$C$5,1)="A",H1669,IF(Parameter!$E$30="MAX-Bestand",IF(CH1669=1,CI1669,IF(LEFT(Cockpit!$C$5,1)="B",AL1669,MAX(AL1669,H1669))),ROUNDUP(AJ1669,0)))</f>
        <v>16</v>
      </c>
      <c r="AG1669" s="50" t="n">
        <f aca="false">IF(BZ1669=1,0,ROUNDUP(AF1669/BY1669,0))</f>
        <v>3</v>
      </c>
      <c r="AH1669" s="52" t="n">
        <f aca="false">IF(CQ1669&gt;0,CQ1669*MAX(1,AF1669/X1669),IF(BZ1669=1,IF(AF1669&lt;=0,0,CD1669*MAX(1,IF(H1669&gt;0,AF1669/H1669,1))),IF(R1669&gt;0,AG1669/R1669,0))/MAX(0.1,N(Parameter!$M$21)))</f>
        <v>0.5</v>
      </c>
      <c r="AI1669" s="50" t="n">
        <f aca="false">AH1669*CB1669</f>
        <v>117.5</v>
      </c>
      <c r="AJ1669" s="51" t="n">
        <f aca="false">IF(LEFT(Cockpit!$C$5,1)="A",H1669,IF(CH1669=1,(CK1669+CI1669)/2,IF(LEFT(Cockpit!$C$5,1)="B",(CK1669+AL1669)/2,MAX((CK1669+AL1669)/2,H1669))))</f>
        <v>16</v>
      </c>
      <c r="AK1669" s="50" t="n">
        <f aca="false">AJ1669*G1669</f>
        <v>4670.08</v>
      </c>
      <c r="AL1669" s="50" t="n">
        <f aca="false">ROUNDUP(CK1669+MAX(CL1669,2*(J1669/IF(CG1669&gt;0,CG1669,MAX(0.1,N(Cockpit!$C$6)))-CK1669)),0)</f>
        <v>5</v>
      </c>
      <c r="AM1669" s="51" t="n">
        <f aca="false">IF(AI1669&gt;0,J1669/AI1669,-1)</f>
        <v>0</v>
      </c>
      <c r="AN1669" s="51" t="n">
        <f aca="false">IF(AND(OR(CF1669="L1",CF1669="L23",CF1669="LIFT"),AI1669&gt;0),SUMIFS($AI$7:$AI$1843,$CF$7:$CF$1843,CF1669,$AM$7:$AM$1843,"&gt;"&amp;AM1669)+SUMIFS($AI$7:$AI$1843,$CF$7:$CF$1843,CF1669,$AM$7:$AM$1843,AM1669,$BW$7:$BW$1843,"&lt;="&amp;BW1669),"")</f>
        <v>31664.9217602078</v>
      </c>
      <c r="AO1669" s="58" t="n">
        <f aca="false">IF(AN1669="",0,MAX(0,MIN(1,(IF(CF1669="L1",Parameter!$H$5,IF(CF1669="L23",Parameter!$H$6+Parameter!$H$7,Parameter!$H$5+Parameter!$H$6+Parameter!$H$7))-(AN1669-AI1669))/AI1669)))</f>
        <v>1</v>
      </c>
      <c r="AP1669" s="50" t="n">
        <f aca="false">IF(LEFT(Cockpit!$I$5,1)="A",H1669,IF(Parameter!$E$30="MAX-Bestand",IF(CH1669=1,CI1669,IF(LEFT(Cockpit!$I$5,1)="B",AV1669,MAX(AV1669,H1669))),ROUNDUP(AT1669,0)))</f>
        <v>16</v>
      </c>
      <c r="AQ1669" s="50" t="n">
        <f aca="false">IF(BZ1669=1,0,ROUNDUP(AP1669/BY1669,0))</f>
        <v>3</v>
      </c>
      <c r="AR1669" s="52" t="n">
        <f aca="false">IF(CQ1669&gt;0,CQ1669*MAX(1,AP1669/X1669),IF(BZ1669=1,IF(AP1669&lt;=0,0,CD1669*MAX(1,IF(H1669&gt;0,AP1669/H1669,1))),IF(R1669&gt;0,AQ1669/R1669,0))/MAX(0.1,N(Parameter!$M$21)))</f>
        <v>0.5</v>
      </c>
      <c r="AS1669" s="50" t="n">
        <f aca="false">AR1669*CB1669</f>
        <v>117.5</v>
      </c>
      <c r="AT1669" s="51" t="n">
        <f aca="false">IF(LEFT(Cockpit!$I$5,1)="A",H1669,IF(CH1669=1,(CK1669+CI1669)/2,IF(LEFT(Cockpit!$I$5,1)="B",(CK1669+AV1669)/2,MAX((CK1669+AV1669)/2,H1669))))</f>
        <v>16</v>
      </c>
      <c r="AU1669" s="50" t="n">
        <f aca="false">AT1669*G1669</f>
        <v>4670.08</v>
      </c>
      <c r="AV1669" s="50" t="n">
        <f aca="false">ROUNDUP(CK1669+MAX(CL1669,2*(J1669/IF(CG1669&gt;0,CG1669,MAX(0.1,N(Cockpit!$I$6)))-CK1669)),0)</f>
        <v>5</v>
      </c>
      <c r="AW1669" s="51" t="n">
        <f aca="false">IF(AS1669&gt;0,J1669/AS1669,-1)</f>
        <v>0</v>
      </c>
      <c r="AX1669" s="51" t="n">
        <f aca="false">IF(AND(OR(CF1669="L1",CF1669="L23",CF1669="LIFT"),AS1669&gt;0),SUMIFS($AS$7:$AS$1843,$CF$7:$CF$1843,CF1669,$AW$7:$AW$1843,"&gt;"&amp;AW1669)+SUMIFS($AS$7:$AS$1843,$CF$7:$CF$1843,CF1669,$AW$7:$AW$1843,AW1669,$BW$7:$BW$1843,"&lt;="&amp;BW1669),"")</f>
        <v>38137.1699907908</v>
      </c>
      <c r="AY1669" s="58" t="n">
        <f aca="false">IF(AX1669="",0,MAX(0,MIN(1,(IF(CF1669="L1",Parameter!$H$5,IF(CF1669="L23",Parameter!$H$6+Parameter!$H$7,Parameter!$H$5+Parameter!$H$6+Parameter!$H$7))-(AX1669-AS1669))/AS1669)))</f>
        <v>0</v>
      </c>
      <c r="AZ1669" s="50" t="n">
        <f aca="false">IF(LEFT(Cockpit!$O$5,1)="A",H1669,IF(Parameter!$E$30="MAX-Bestand",IF(CH1669=1,CI1669,IF(LEFT(Cockpit!$O$5,1)="B",BF1669,MAX(BF1669,H1669))),ROUNDUP(BD1669,0)))</f>
        <v>3</v>
      </c>
      <c r="BA1669" s="50" t="n">
        <f aca="false">IF(BZ1669=1,0,ROUNDUP(AZ1669/BY1669,0))</f>
        <v>1</v>
      </c>
      <c r="BB1669" s="52" t="n">
        <f aca="false">IF(CQ1669&gt;0,CQ1669*MAX(1,AZ1669/X1669),IF(BZ1669=1,IF(AZ1669&lt;=0,0,CD1669*MAX(1,IF(H1669&gt;0,AZ1669/H1669,1))),IF(R1669&gt;0,BA1669/R1669,0))/MAX(0.1,N(Parameter!$M$21)))</f>
        <v>0.166666666666667</v>
      </c>
      <c r="BC1669" s="50" t="n">
        <f aca="false">BB1669*CB1669</f>
        <v>39.1666666666667</v>
      </c>
      <c r="BD1669" s="51" t="n">
        <f aca="false">IF(LEFT(Cockpit!$O$5,1)="A",H1669,IF(CH1669=1,(CK1669+CI1669)/2,IF(LEFT(Cockpit!$O$5,1)="B",(CK1669+BF1669)/2,MAX((CK1669+BF1669)/2,H1669))))</f>
        <v>2.5</v>
      </c>
      <c r="BE1669" s="50" t="n">
        <f aca="false">BD1669*G1669</f>
        <v>729.7</v>
      </c>
      <c r="BF1669" s="50" t="n">
        <f aca="false">ROUNDUP(CK1669+MAX(CL1669,2*(J1669/IF(CG1669&gt;0,CG1669,MAX(0.1,N(Cockpit!$O$6)))-CK1669)),0)</f>
        <v>5</v>
      </c>
      <c r="BG1669" s="51" t="n">
        <f aca="false">IF(BC1669&gt;0,J1669/BC1669,-1)</f>
        <v>0</v>
      </c>
      <c r="BH1669" s="51" t="n">
        <f aca="false">IF(AND(OR(CF1669="L1",CF1669="L23",CF1669="LIFT"),BC1669&gt;0),SUMIFS($BC$7:$BC$1843,$CF$7:$CF$1843,CF1669,$BG$7:$BG$1843,"&gt;"&amp;BG1669)+SUMIFS($BC$7:$BC$1843,$CF$7:$CF$1843,CF1669,$BG$7:$BG$1843,BG1669,$BW$7:$BW$1843,"&lt;="&amp;BW1669),"")</f>
        <v>31889.9445996565</v>
      </c>
      <c r="BI1669" s="58" t="n">
        <f aca="false">IF(BH1669="",0,MAX(0,MIN(1,(IF(CF1669="L1",Parameter!$H$5,IF(CF1669="L23",Parameter!$H$6+Parameter!$H$7,Parameter!$H$5+Parameter!$H$6+Parameter!$H$7))-(BH1669-BC1669))/BC1669)))</f>
        <v>1</v>
      </c>
      <c r="BJ1669" s="48" t="str">
        <f aca="false">IF(AI1669&lt;=0,"",IF(CF1669="Aussen","Aussenlager",IF(CF1669="-","Nicht im Lift",IF(AO1669&gt;=1,"Lift",IF(AO1669&lt;=0,"Aussenlager","teilweise")))))</f>
        <v>Lift</v>
      </c>
      <c r="BK1669" s="48" t="str">
        <f aca="false">IF(AS1669&lt;=0,"",IF(CF1669="Aussen","Aussenlager",IF(CF1669="-","Nicht im Lift",IF(AY1669&gt;=1,"Lift",IF(AY1669&lt;=0,"Aussenlager","teilweise")))))</f>
        <v>Aussenlager</v>
      </c>
      <c r="BL1669" s="48" t="str">
        <f aca="false">IF(BC1669&lt;=0,"",IF(CF1669="Aussen","Aussenlager",IF(CF1669="-","Nicht im Lift",IF(BI1669&gt;=1,"Lift",IF(BI1669&lt;=0,"Aussenlager","teilweise")))))</f>
        <v>Lift</v>
      </c>
      <c r="BM1669" s="48" t="str">
        <f aca="false">IF(A1669="","",IF(BV1669=1,"Neu; ","")&amp;IF(AND(BV1669=0,BQ1669&lt;0),"negativer Bestand (Export "&amp;BQ1669&amp;"); ","")&amp;IF(J1669&lt;=0,"Kein Verbrauch; ","")&amp;IF(CQ1669&gt;0,"Lift "&amp;W1669&amp;" lt. Liftbericht (Fach "&amp;X1669&amp;" Stk); ",IF(CA1669=1,"Gebinde geschätzt ("&amp;T1669&amp;"); ",IF(BZ1669=1,"Lose – Tablare geschätzt; ","")))&amp;IF(H1669&gt;AV1669,"Überbestand "&amp;ROUND(H1669-AV1669,0)&amp;" Stk / CHF "&amp;ROUND((H1669-AV1669)*G1669,0)&amp;"; ","")&amp;IF(AND(CH1669=1,CI1669&lt;CJ1669),"MAX &lt; MB+LG; ","")&amp;IF(AND(CP1669&gt;0,CO1669*10&gt;CP1669),"zu hoch für Tablar; ","")&amp;IF(AND(BV1669=0,OR(CH1669=1,AA1669&lt;&gt;"",U1669&lt;&gt;"",V1669&lt;&gt;"",AB1669&lt;&gt;"")),"manuell übersteuert; ","")&amp;IF(AND(BZ1669=0,R1669=0),"Gebinde unbekannt / Stellmass fehlt; ","")&amp;IF(AND(BZ1669=0,N(V1669)&lt;=0,N(Q1669)&lt;=0),"Menge pro Gebinde fehlt (Ist = 1 Gebinde); ","")&amp;BU1669)</f>
        <v>Kein Verbrauch; Überbestand 11 Stk / CHF 3211; nur im Artikelstamm (Bestand 23.06.2026); Überbestand; grosser Artikel &amp; nicht im KTL</v>
      </c>
      <c r="BN1669" s="48"/>
      <c r="BO1669" s="48"/>
      <c r="BP1669" s="55"/>
      <c r="BQ1669" s="50" t="n">
        <v>16</v>
      </c>
      <c r="BR1669" s="50" t="n">
        <v>0</v>
      </c>
      <c r="BS1669" s="49" t="n">
        <v>0</v>
      </c>
      <c r="BT1669" s="50" t="n">
        <v>0</v>
      </c>
      <c r="BU1669" s="48" t="s">
        <v>2765</v>
      </c>
      <c r="BV1669" s="53" t="n">
        <v>0</v>
      </c>
      <c r="BW1669" s="53" t="n">
        <v>1669</v>
      </c>
      <c r="BX1669" s="48" t="str">
        <f aca="false">IF(U1669&lt;&gt;"",UPPER(TRIM(U1669)),IF(CA1669=1,UPPER(VLOOKUP(T1669,Parameter!$I$27:$K$29,2,0)),IF(P1669="","LOSE",P1669)))</f>
        <v>S71</v>
      </c>
      <c r="BY1669" s="50" t="n">
        <f aca="false">IF(BX1669="LOSE",1,IF(N(V1669)&gt;0,V1669,IF(CA1669=1,MAX(1,N(VLOOKUP(T1669,Parameter!$I$27:$K$29,3,0)),H1669,N(N1669)),IF(N(Q1669)&gt;0,Q1669,MAX(1,H1669)))))</f>
        <v>6</v>
      </c>
      <c r="BZ1669" s="53" t="n">
        <f aca="false">IF(BX1669="LOSE",1,0)</f>
        <v>0</v>
      </c>
      <c r="CA1669" s="53" t="n">
        <f aca="false">IF(AND(U1669="",OR(P1669="",P1669="LOSE"),T1669&lt;&gt;"",N(S1669)&lt;=0,ISNUMBER(MATCH(T1669,Parameter!$I$27:$I$29,0))),1,0)</f>
        <v>0</v>
      </c>
      <c r="CB1669" s="53" t="n">
        <f aca="false">IF(CQ1669&gt;0,INDEX(Parameter!$H$5:$H$7,W1669)/INDEX(Parameter!$E$5:$E$7,W1669),IF(AND(BZ1669=0,N(IFERROR(VLOOKUP(BX1669,'Gebinde-Kategorie'!$A$5:$N$45,14,0),0))&gt;0),VLOOKUP(BX1669,'Gebinde-Kategorie'!$A$5:$N$45,14,0)*10+Parameter!$M$23,Parameter!$M$24))</f>
        <v>235</v>
      </c>
      <c r="CC1669" s="48" t="str">
        <f aca="false">IF(AND(Parameter!$B$19="Ja",E1669&lt;&gt;"",ISNUMBER(MATCH(E1669,Parameter!$I$35:$I$52,0))),VLOOKUP(E1669,Parameter!$I$35:$J$52,2,0),IFERROR(VLOOKUP(D1669,Parameter!$A$35:$C$64,2,0),"Nein"))</f>
        <v>2+3</v>
      </c>
      <c r="CD1669" s="52" t="n">
        <f aca="false">IF(BZ1669=0,0,IF(N(S1669)&gt;0,S1669,IFERROR(VLOOKUP(D1669,Parameter!$A$35:$C$64,3,0)+0,0)))</f>
        <v>0</v>
      </c>
      <c r="CE1669" s="48" t="n">
        <f aca="false">IF(AA1669&lt;&gt;"",AA1669,Z1669)</f>
        <v>2</v>
      </c>
      <c r="CF1669" s="48" t="str">
        <f aca="false">IF(OR(CE1669=1,CE1669=2,CE1669=3),IF(Parameter!$E$27="Ja","LIFT",IF(CE1669=1,"L1","L23")),IF(CE1669="Aussen","Aussen","-"))</f>
        <v>LIFT</v>
      </c>
      <c r="CG1669" s="59" t="n">
        <f aca="false">IF(N(AB1669)&gt;0,AB1669,0)</f>
        <v>0</v>
      </c>
      <c r="CH1669" s="53" t="n">
        <f aca="false">IF(ISNUMBER(AE1669),1,0)</f>
        <v>0</v>
      </c>
      <c r="CI1669" s="50" t="n">
        <f aca="false">N(AE1669)</f>
        <v>0</v>
      </c>
      <c r="CJ1669" s="50" t="n">
        <f aca="false">N(M1669)+N(N1669)</f>
        <v>5</v>
      </c>
      <c r="CK1669" s="50" t="n">
        <f aca="false">N(M1669)</f>
        <v>0</v>
      </c>
      <c r="CL1669" s="50" t="n">
        <f aca="false">N(N1669)</f>
        <v>5</v>
      </c>
      <c r="CM1669" s="50" t="n">
        <f aca="false">ROUNDUP(H1669/BY1669,0)</f>
        <v>3</v>
      </c>
      <c r="CN1669" s="50" t="n">
        <f aca="false">ROUNDUP(CI1669/BY1669,0)</f>
        <v>0</v>
      </c>
      <c r="CO1669" s="53" t="n">
        <f aca="false">IF(BZ1669=1,0,IFERROR(VLOOKUP(BX1669,'Gebinde-Kategorie'!$A$5:$N$45,5,0)+0,0))</f>
        <v>20</v>
      </c>
      <c r="CP1669" s="53" t="n">
        <f aca="false">IFERROR(IF(OR(CE1669=1,CE1669=2,CE1669=3),N(INDEX(Parameter!$I$5:$I$7,CE1669)),0),0)</f>
        <v>0</v>
      </c>
      <c r="CQ1669" s="52" t="n">
        <f aca="false">IF(AND(Parameter!$B$21="Ja",ISNUMBER(W1669),N(X1669)&gt;0),IFERROR(N(INDEX(Parameter!$L$5:$L$7,W1669))*INDEX(Parameter!$E$5:$E$7,W1669)*X1669/SUMIFS($X$7:$X$1843,$W$7:$W$1843,W1669),0),0)</f>
        <v>0</v>
      </c>
    </row>
    <row r="1670" customFormat="false" ht="15" hidden="false" customHeight="false" outlineLevel="0" collapsed="false">
      <c r="A1670" s="48" t="s">
        <v>2907</v>
      </c>
      <c r="B1670" s="48" t="s">
        <v>2904</v>
      </c>
      <c r="C1670" s="48" t="s">
        <v>173</v>
      </c>
      <c r="D1670" s="48" t="s">
        <v>182</v>
      </c>
      <c r="E1670" s="48" t="s">
        <v>194</v>
      </c>
      <c r="F1670" s="48"/>
      <c r="G1670" s="49" t="n">
        <v>292.31</v>
      </c>
      <c r="H1670" s="50" t="n">
        <f aca="false">MAX(0,IF(AND(Parameter!$B$21="Ja",ISNUMBER(Y1670)),Y1670,IF(Parameter!$B$20="Jahresanfang 2025 + Export",BR1670+BQ1670,BQ1670)))</f>
        <v>11</v>
      </c>
      <c r="I1670" s="50" t="n">
        <f aca="false">H1670*G1670</f>
        <v>3215.41</v>
      </c>
      <c r="J1670" s="50" t="n">
        <f aca="false">BT1670*Parameter!$B$18</f>
        <v>0</v>
      </c>
      <c r="K1670" s="51"/>
      <c r="L1670" s="52"/>
      <c r="M1670" s="50" t="n">
        <v>0</v>
      </c>
      <c r="N1670" s="50" t="n">
        <v>5</v>
      </c>
      <c r="O1670" s="53" t="n">
        <v>84</v>
      </c>
      <c r="P1670" s="48" t="s">
        <v>183</v>
      </c>
      <c r="Q1670" s="50" t="n">
        <v>5</v>
      </c>
      <c r="R1670" s="53" t="n">
        <f aca="false">IF(BZ1670=1,0,IFERROR(VLOOKUP(BX1670,'Gebinde-Kategorie'!$A$5:$N$45,13,0)+0,0))</f>
        <v>6</v>
      </c>
      <c r="S1670" s="54"/>
      <c r="T1670" s="55"/>
      <c r="U1670" s="55"/>
      <c r="V1670" s="55"/>
      <c r="W1670" s="48"/>
      <c r="X1670" s="50"/>
      <c r="Y1670" s="50"/>
      <c r="Z1670" s="48" t="n">
        <f aca="false">IF(A1670="","",IF(AND(Parameter!$B$21="Ja",ISNUMBER(W1670)),W1670,IF(CC1670="2+3",IF(ISNUMBER(SEARCH("grosser Artikel",BU1670)),2,IFERROR(VLOOKUP(BX1670,Parameter!$F$35:$G$64,2,0),2)),IF(OR(CC1670="Nein",CC1670=""),"-",CC1670))))</f>
        <v>2</v>
      </c>
      <c r="AA1670" s="55"/>
      <c r="AB1670" s="56"/>
      <c r="AC1670" s="50" t="n">
        <f aca="false">AV1670</f>
        <v>5</v>
      </c>
      <c r="AD1670" s="50" t="n">
        <f aca="false">MAX(AV1670,H1670)</f>
        <v>11</v>
      </c>
      <c r="AE1670" s="57"/>
      <c r="AF1670" s="50" t="n">
        <f aca="false">IF(LEFT(Cockpit!$C$5,1)="A",H1670,IF(Parameter!$E$30="MAX-Bestand",IF(CH1670=1,CI1670,IF(LEFT(Cockpit!$C$5,1)="B",AL1670,MAX(AL1670,H1670))),ROUNDUP(AJ1670,0)))</f>
        <v>11</v>
      </c>
      <c r="AG1670" s="50" t="n">
        <f aca="false">IF(BZ1670=1,0,ROUNDUP(AF1670/BY1670,0))</f>
        <v>3</v>
      </c>
      <c r="AH1670" s="52" t="n">
        <f aca="false">IF(CQ1670&gt;0,CQ1670*MAX(1,AF1670/X1670),IF(BZ1670=1,IF(AF1670&lt;=0,0,CD1670*MAX(1,IF(H1670&gt;0,AF1670/H1670,1))),IF(R1670&gt;0,AG1670/R1670,0))/MAX(0.1,N(Parameter!$M$21)))</f>
        <v>0.5</v>
      </c>
      <c r="AI1670" s="50" t="n">
        <f aca="false">AH1670*CB1670</f>
        <v>117.5</v>
      </c>
      <c r="AJ1670" s="51" t="n">
        <f aca="false">IF(LEFT(Cockpit!$C$5,1)="A",H1670,IF(CH1670=1,(CK1670+CI1670)/2,IF(LEFT(Cockpit!$C$5,1)="B",(CK1670+AL1670)/2,MAX((CK1670+AL1670)/2,H1670))))</f>
        <v>11</v>
      </c>
      <c r="AK1670" s="50" t="n">
        <f aca="false">AJ1670*G1670</f>
        <v>3215.41</v>
      </c>
      <c r="AL1670" s="50" t="n">
        <f aca="false">ROUNDUP(CK1670+MAX(CL1670,2*(J1670/IF(CG1670&gt;0,CG1670,MAX(0.1,N(Cockpit!$C$6)))-CK1670)),0)</f>
        <v>5</v>
      </c>
      <c r="AM1670" s="51" t="n">
        <f aca="false">IF(AI1670&gt;0,J1670/AI1670,-1)</f>
        <v>0</v>
      </c>
      <c r="AN1670" s="51" t="n">
        <f aca="false">IF(AND(OR(CF1670="L1",CF1670="L23",CF1670="LIFT"),AI1670&gt;0),SUMIFS($AI$7:$AI$1843,$CF$7:$CF$1843,CF1670,$AM$7:$AM$1843,"&gt;"&amp;AM1670)+SUMIFS($AI$7:$AI$1843,$CF$7:$CF$1843,CF1670,$AM$7:$AM$1843,AM1670,$BW$7:$BW$1843,"&lt;="&amp;BW1670),"")</f>
        <v>31782.4217602078</v>
      </c>
      <c r="AO1670" s="58" t="n">
        <f aca="false">IF(AN1670="",0,MAX(0,MIN(1,(IF(CF1670="L1",Parameter!$H$5,IF(CF1670="L23",Parameter!$H$6+Parameter!$H$7,Parameter!$H$5+Parameter!$H$6+Parameter!$H$7))-(AN1670-AI1670))/AI1670)))</f>
        <v>1</v>
      </c>
      <c r="AP1670" s="50" t="n">
        <f aca="false">IF(LEFT(Cockpit!$I$5,1)="A",H1670,IF(Parameter!$E$30="MAX-Bestand",IF(CH1670=1,CI1670,IF(LEFT(Cockpit!$I$5,1)="B",AV1670,MAX(AV1670,H1670))),ROUNDUP(AT1670,0)))</f>
        <v>11</v>
      </c>
      <c r="AQ1670" s="50" t="n">
        <f aca="false">IF(BZ1670=1,0,ROUNDUP(AP1670/BY1670,0))</f>
        <v>3</v>
      </c>
      <c r="AR1670" s="52" t="n">
        <f aca="false">IF(CQ1670&gt;0,CQ1670*MAX(1,AP1670/X1670),IF(BZ1670=1,IF(AP1670&lt;=0,0,CD1670*MAX(1,IF(H1670&gt;0,AP1670/H1670,1))),IF(R1670&gt;0,AQ1670/R1670,0))/MAX(0.1,N(Parameter!$M$21)))</f>
        <v>0.5</v>
      </c>
      <c r="AS1670" s="50" t="n">
        <f aca="false">AR1670*CB1670</f>
        <v>117.5</v>
      </c>
      <c r="AT1670" s="51" t="n">
        <f aca="false">IF(LEFT(Cockpit!$I$5,1)="A",H1670,IF(CH1670=1,(CK1670+CI1670)/2,IF(LEFT(Cockpit!$I$5,1)="B",(CK1670+AV1670)/2,MAX((CK1670+AV1670)/2,H1670))))</f>
        <v>11</v>
      </c>
      <c r="AU1670" s="50" t="n">
        <f aca="false">AT1670*G1670</f>
        <v>3215.41</v>
      </c>
      <c r="AV1670" s="50" t="n">
        <f aca="false">ROUNDUP(CK1670+MAX(CL1670,2*(J1670/IF(CG1670&gt;0,CG1670,MAX(0.1,N(Cockpit!$I$6)))-CK1670)),0)</f>
        <v>5</v>
      </c>
      <c r="AW1670" s="51" t="n">
        <f aca="false">IF(AS1670&gt;0,J1670/AS1670,-1)</f>
        <v>0</v>
      </c>
      <c r="AX1670" s="51" t="n">
        <f aca="false">IF(AND(OR(CF1670="L1",CF1670="L23",CF1670="LIFT"),AS1670&gt;0),SUMIFS($AS$7:$AS$1843,$CF$7:$CF$1843,CF1670,$AW$7:$AW$1843,"&gt;"&amp;AW1670)+SUMIFS($AS$7:$AS$1843,$CF$7:$CF$1843,CF1670,$AW$7:$AW$1843,AW1670,$BW$7:$BW$1843,"&lt;="&amp;BW1670),"")</f>
        <v>38254.6699907908</v>
      </c>
      <c r="AY1670" s="58" t="n">
        <f aca="false">IF(AX1670="",0,MAX(0,MIN(1,(IF(CF1670="L1",Parameter!$H$5,IF(CF1670="L23",Parameter!$H$6+Parameter!$H$7,Parameter!$H$5+Parameter!$H$6+Parameter!$H$7))-(AX1670-AS1670))/AS1670)))</f>
        <v>0</v>
      </c>
      <c r="AZ1670" s="50" t="n">
        <f aca="false">IF(LEFT(Cockpit!$O$5,1)="A",H1670,IF(Parameter!$E$30="MAX-Bestand",IF(CH1670=1,CI1670,IF(LEFT(Cockpit!$O$5,1)="B",BF1670,MAX(BF1670,H1670))),ROUNDUP(BD1670,0)))</f>
        <v>3</v>
      </c>
      <c r="BA1670" s="50" t="n">
        <f aca="false">IF(BZ1670=1,0,ROUNDUP(AZ1670/BY1670,0))</f>
        <v>1</v>
      </c>
      <c r="BB1670" s="52" t="n">
        <f aca="false">IF(CQ1670&gt;0,CQ1670*MAX(1,AZ1670/X1670),IF(BZ1670=1,IF(AZ1670&lt;=0,0,CD1670*MAX(1,IF(H1670&gt;0,AZ1670/H1670,1))),IF(R1670&gt;0,BA1670/R1670,0))/MAX(0.1,N(Parameter!$M$21)))</f>
        <v>0.166666666666667</v>
      </c>
      <c r="BC1670" s="50" t="n">
        <f aca="false">BB1670*CB1670</f>
        <v>39.1666666666667</v>
      </c>
      <c r="BD1670" s="51" t="n">
        <f aca="false">IF(LEFT(Cockpit!$O$5,1)="A",H1670,IF(CH1670=1,(CK1670+CI1670)/2,IF(LEFT(Cockpit!$O$5,1)="B",(CK1670+BF1670)/2,MAX((CK1670+BF1670)/2,H1670))))</f>
        <v>2.5</v>
      </c>
      <c r="BE1670" s="50" t="n">
        <f aca="false">BD1670*G1670</f>
        <v>730.775</v>
      </c>
      <c r="BF1670" s="50" t="n">
        <f aca="false">ROUNDUP(CK1670+MAX(CL1670,2*(J1670/IF(CG1670&gt;0,CG1670,MAX(0.1,N(Cockpit!$O$6)))-CK1670)),0)</f>
        <v>5</v>
      </c>
      <c r="BG1670" s="51" t="n">
        <f aca="false">IF(BC1670&gt;0,J1670/BC1670,-1)</f>
        <v>0</v>
      </c>
      <c r="BH1670" s="51" t="n">
        <f aca="false">IF(AND(OR(CF1670="L1",CF1670="L23",CF1670="LIFT"),BC1670&gt;0),SUMIFS($BC$7:$BC$1843,$CF$7:$CF$1843,CF1670,$BG$7:$BG$1843,"&gt;"&amp;BG1670)+SUMIFS($BC$7:$BC$1843,$CF$7:$CF$1843,CF1670,$BG$7:$BG$1843,BG1670,$BW$7:$BW$1843,"&lt;="&amp;BW1670),"")</f>
        <v>31929.1112663231</v>
      </c>
      <c r="BI1670" s="58" t="n">
        <f aca="false">IF(BH1670="",0,MAX(0,MIN(1,(IF(CF1670="L1",Parameter!$H$5,IF(CF1670="L23",Parameter!$H$6+Parameter!$H$7,Parameter!$H$5+Parameter!$H$6+Parameter!$H$7))-(BH1670-BC1670))/BC1670)))</f>
        <v>1</v>
      </c>
      <c r="BJ1670" s="48" t="str">
        <f aca="false">IF(AI1670&lt;=0,"",IF(CF1670="Aussen","Aussenlager",IF(CF1670="-","Nicht im Lift",IF(AO1670&gt;=1,"Lift",IF(AO1670&lt;=0,"Aussenlager","teilweise")))))</f>
        <v>Lift</v>
      </c>
      <c r="BK1670" s="48" t="str">
        <f aca="false">IF(AS1670&lt;=0,"",IF(CF1670="Aussen","Aussenlager",IF(CF1670="-","Nicht im Lift",IF(AY1670&gt;=1,"Lift",IF(AY1670&lt;=0,"Aussenlager","teilweise")))))</f>
        <v>Aussenlager</v>
      </c>
      <c r="BL1670" s="48" t="str">
        <f aca="false">IF(BC1670&lt;=0,"",IF(CF1670="Aussen","Aussenlager",IF(CF1670="-","Nicht im Lift",IF(BI1670&gt;=1,"Lift",IF(BI1670&lt;=0,"Aussenlager","teilweise")))))</f>
        <v>Lift</v>
      </c>
      <c r="BM1670" s="48" t="str">
        <f aca="false">IF(A1670="","",IF(BV1670=1,"Neu; ","")&amp;IF(AND(BV1670=0,BQ1670&lt;0),"negativer Bestand (Export "&amp;BQ1670&amp;"); ","")&amp;IF(J1670&lt;=0,"Kein Verbrauch; ","")&amp;IF(CQ1670&gt;0,"Lift "&amp;W1670&amp;" lt. Liftbericht (Fach "&amp;X1670&amp;" Stk); ",IF(CA1670=1,"Gebinde geschätzt ("&amp;T1670&amp;"); ",IF(BZ1670=1,"Lose – Tablare geschätzt; ","")))&amp;IF(H1670&gt;AV1670,"Überbestand "&amp;ROUND(H1670-AV1670,0)&amp;" Stk / CHF "&amp;ROUND((H1670-AV1670)*G1670,0)&amp;"; ","")&amp;IF(AND(CH1670=1,CI1670&lt;CJ1670),"MAX &lt; MB+LG; ","")&amp;IF(AND(CP1670&gt;0,CO1670*10&gt;CP1670),"zu hoch für Tablar; ","")&amp;IF(AND(BV1670=0,OR(CH1670=1,AA1670&lt;&gt;"",U1670&lt;&gt;"",V1670&lt;&gt;"",AB1670&lt;&gt;"")),"manuell übersteuert; ","")&amp;IF(AND(BZ1670=0,R1670=0),"Gebinde unbekannt / Stellmass fehlt; ","")&amp;IF(AND(BZ1670=0,N(V1670)&lt;=0,N(Q1670)&lt;=0),"Menge pro Gebinde fehlt (Ist = 1 Gebinde); ","")&amp;BU1670)</f>
        <v>Kein Verbrauch; Überbestand 6 Stk / CHF 1754; nur im Artikelstamm (Bestand 23.06.2026); Überbestand; grosser Artikel &amp; nicht im KTL</v>
      </c>
      <c r="BN1670" s="48"/>
      <c r="BO1670" s="48"/>
      <c r="BP1670" s="55"/>
      <c r="BQ1670" s="50" t="n">
        <v>11</v>
      </c>
      <c r="BR1670" s="50" t="n">
        <v>0</v>
      </c>
      <c r="BS1670" s="49" t="n">
        <v>0</v>
      </c>
      <c r="BT1670" s="50" t="n">
        <v>0</v>
      </c>
      <c r="BU1670" s="48" t="s">
        <v>2765</v>
      </c>
      <c r="BV1670" s="53" t="n">
        <v>0</v>
      </c>
      <c r="BW1670" s="53" t="n">
        <v>1670</v>
      </c>
      <c r="BX1670" s="48" t="str">
        <f aca="false">IF(U1670&lt;&gt;"",UPPER(TRIM(U1670)),IF(CA1670=1,UPPER(VLOOKUP(T1670,Parameter!$I$27:$K$29,2,0)),IF(P1670="","LOSE",P1670)))</f>
        <v>S71</v>
      </c>
      <c r="BY1670" s="50" t="n">
        <f aca="false">IF(BX1670="LOSE",1,IF(N(V1670)&gt;0,V1670,IF(CA1670=1,MAX(1,N(VLOOKUP(T1670,Parameter!$I$27:$K$29,3,0)),H1670,N(N1670)),IF(N(Q1670)&gt;0,Q1670,MAX(1,H1670)))))</f>
        <v>5</v>
      </c>
      <c r="BZ1670" s="53" t="n">
        <f aca="false">IF(BX1670="LOSE",1,0)</f>
        <v>0</v>
      </c>
      <c r="CA1670" s="53" t="n">
        <f aca="false">IF(AND(U1670="",OR(P1670="",P1670="LOSE"),T1670&lt;&gt;"",N(S1670)&lt;=0,ISNUMBER(MATCH(T1670,Parameter!$I$27:$I$29,0))),1,0)</f>
        <v>0</v>
      </c>
      <c r="CB1670" s="53" t="n">
        <f aca="false">IF(CQ1670&gt;0,INDEX(Parameter!$H$5:$H$7,W1670)/INDEX(Parameter!$E$5:$E$7,W1670),IF(AND(BZ1670=0,N(IFERROR(VLOOKUP(BX1670,'Gebinde-Kategorie'!$A$5:$N$45,14,0),0))&gt;0),VLOOKUP(BX1670,'Gebinde-Kategorie'!$A$5:$N$45,14,0)*10+Parameter!$M$23,Parameter!$M$24))</f>
        <v>235</v>
      </c>
      <c r="CC1670" s="48" t="str">
        <f aca="false">IF(AND(Parameter!$B$19="Ja",E1670&lt;&gt;"",ISNUMBER(MATCH(E1670,Parameter!$I$35:$I$52,0))),VLOOKUP(E1670,Parameter!$I$35:$J$52,2,0),IFERROR(VLOOKUP(D1670,Parameter!$A$35:$C$64,2,0),"Nein"))</f>
        <v>2+3</v>
      </c>
      <c r="CD1670" s="52" t="n">
        <f aca="false">IF(BZ1670=0,0,IF(N(S1670)&gt;0,S1670,IFERROR(VLOOKUP(D1670,Parameter!$A$35:$C$64,3,0)+0,0)))</f>
        <v>0</v>
      </c>
      <c r="CE1670" s="48" t="n">
        <f aca="false">IF(AA1670&lt;&gt;"",AA1670,Z1670)</f>
        <v>2</v>
      </c>
      <c r="CF1670" s="48" t="str">
        <f aca="false">IF(OR(CE1670=1,CE1670=2,CE1670=3),IF(Parameter!$E$27="Ja","LIFT",IF(CE1670=1,"L1","L23")),IF(CE1670="Aussen","Aussen","-"))</f>
        <v>LIFT</v>
      </c>
      <c r="CG1670" s="59" t="n">
        <f aca="false">IF(N(AB1670)&gt;0,AB1670,0)</f>
        <v>0</v>
      </c>
      <c r="CH1670" s="53" t="n">
        <f aca="false">IF(ISNUMBER(AE1670),1,0)</f>
        <v>0</v>
      </c>
      <c r="CI1670" s="50" t="n">
        <f aca="false">N(AE1670)</f>
        <v>0</v>
      </c>
      <c r="CJ1670" s="50" t="n">
        <f aca="false">N(M1670)+N(N1670)</f>
        <v>5</v>
      </c>
      <c r="CK1670" s="50" t="n">
        <f aca="false">N(M1670)</f>
        <v>0</v>
      </c>
      <c r="CL1670" s="50" t="n">
        <f aca="false">N(N1670)</f>
        <v>5</v>
      </c>
      <c r="CM1670" s="50" t="n">
        <f aca="false">ROUNDUP(H1670/BY1670,0)</f>
        <v>3</v>
      </c>
      <c r="CN1670" s="50" t="n">
        <f aca="false">ROUNDUP(CI1670/BY1670,0)</f>
        <v>0</v>
      </c>
      <c r="CO1670" s="53" t="n">
        <f aca="false">IF(BZ1670=1,0,IFERROR(VLOOKUP(BX1670,'Gebinde-Kategorie'!$A$5:$N$45,5,0)+0,0))</f>
        <v>20</v>
      </c>
      <c r="CP1670" s="53" t="n">
        <f aca="false">IFERROR(IF(OR(CE1670=1,CE1670=2,CE1670=3),N(INDEX(Parameter!$I$5:$I$7,CE1670)),0),0)</f>
        <v>0</v>
      </c>
      <c r="CQ1670" s="52" t="n">
        <f aca="false">IF(AND(Parameter!$B$21="Ja",ISNUMBER(W1670),N(X1670)&gt;0),IFERROR(N(INDEX(Parameter!$L$5:$L$7,W1670))*INDEX(Parameter!$E$5:$E$7,W1670)*X1670/SUMIFS($X$7:$X$1843,$W$7:$W$1843,W1670),0),0)</f>
        <v>0</v>
      </c>
    </row>
    <row r="1671" customFormat="false" ht="15" hidden="false" customHeight="false" outlineLevel="0" collapsed="false">
      <c r="A1671" s="48" t="s">
        <v>2908</v>
      </c>
      <c r="B1671" s="48" t="s">
        <v>2909</v>
      </c>
      <c r="C1671" s="48" t="s">
        <v>173</v>
      </c>
      <c r="D1671" s="48" t="s">
        <v>182</v>
      </c>
      <c r="E1671" s="48"/>
      <c r="F1671" s="48"/>
      <c r="G1671" s="49" t="n">
        <v>0</v>
      </c>
      <c r="H1671" s="50" t="n">
        <f aca="false">MAX(0,IF(AND(Parameter!$B$21="Ja",ISNUMBER(Y1671)),Y1671,IF(Parameter!$B$20="Jahresanfang 2025 + Export",BR1671+BQ1671,BQ1671)))</f>
        <v>2</v>
      </c>
      <c r="I1671" s="50" t="n">
        <f aca="false">H1671*G1671</f>
        <v>0</v>
      </c>
      <c r="J1671" s="50" t="n">
        <f aca="false">BT1671*Parameter!$B$18</f>
        <v>0</v>
      </c>
      <c r="K1671" s="51"/>
      <c r="L1671" s="52"/>
      <c r="M1671" s="50" t="n">
        <v>0</v>
      </c>
      <c r="N1671" s="50" t="n">
        <v>1</v>
      </c>
      <c r="O1671" s="53" t="n">
        <v>0</v>
      </c>
      <c r="P1671" s="48" t="s">
        <v>232</v>
      </c>
      <c r="Q1671" s="50" t="n">
        <v>10</v>
      </c>
      <c r="R1671" s="53" t="n">
        <f aca="false">IF(BZ1671=1,0,IFERROR(VLOOKUP(BX1671,'Gebinde-Kategorie'!$A$5:$N$45,13,0)+0,0))</f>
        <v>4</v>
      </c>
      <c r="S1671" s="54"/>
      <c r="T1671" s="55"/>
      <c r="U1671" s="55"/>
      <c r="V1671" s="55"/>
      <c r="W1671" s="48"/>
      <c r="X1671" s="50"/>
      <c r="Y1671" s="50"/>
      <c r="Z1671" s="48" t="n">
        <f aca="false">IF(A1671="","",IF(AND(Parameter!$B$21="Ja",ISNUMBER(W1671)),W1671,IF(CC1671="2+3",IF(ISNUMBER(SEARCH("grosser Artikel",BU1671)),2,IFERROR(VLOOKUP(BX1671,Parameter!$F$35:$G$64,2,0),2)),IF(OR(CC1671="Nein",CC1671=""),"-",CC1671))))</f>
        <v>2</v>
      </c>
      <c r="AA1671" s="55"/>
      <c r="AB1671" s="56"/>
      <c r="AC1671" s="50" t="n">
        <f aca="false">AV1671</f>
        <v>1</v>
      </c>
      <c r="AD1671" s="50" t="n">
        <f aca="false">MAX(AV1671,H1671)</f>
        <v>2</v>
      </c>
      <c r="AE1671" s="57"/>
      <c r="AF1671" s="50" t="n">
        <f aca="false">IF(LEFT(Cockpit!$C$5,1)="A",H1671,IF(Parameter!$E$30="MAX-Bestand",IF(CH1671=1,CI1671,IF(LEFT(Cockpit!$C$5,1)="B",AL1671,MAX(AL1671,H1671))),ROUNDUP(AJ1671,0)))</f>
        <v>2</v>
      </c>
      <c r="AG1671" s="50" t="n">
        <f aca="false">IF(BZ1671=1,0,ROUNDUP(AF1671/BY1671,0))</f>
        <v>1</v>
      </c>
      <c r="AH1671" s="52" t="n">
        <f aca="false">IF(CQ1671&gt;0,CQ1671*MAX(1,AF1671/X1671),IF(BZ1671=1,IF(AF1671&lt;=0,0,CD1671*MAX(1,IF(H1671&gt;0,AF1671/H1671,1))),IF(R1671&gt;0,AG1671/R1671,0))/MAX(0.1,N(Parameter!$M$21)))</f>
        <v>0.25</v>
      </c>
      <c r="AI1671" s="50" t="n">
        <f aca="false">AH1671*CB1671</f>
        <v>58.75</v>
      </c>
      <c r="AJ1671" s="51" t="n">
        <f aca="false">IF(LEFT(Cockpit!$C$5,1)="A",H1671,IF(CH1671=1,(CK1671+CI1671)/2,IF(LEFT(Cockpit!$C$5,1)="B",(CK1671+AL1671)/2,MAX((CK1671+AL1671)/2,H1671))))</f>
        <v>2</v>
      </c>
      <c r="AK1671" s="50" t="n">
        <f aca="false">AJ1671*G1671</f>
        <v>0</v>
      </c>
      <c r="AL1671" s="50" t="n">
        <f aca="false">ROUNDUP(CK1671+MAX(CL1671,2*(J1671/IF(CG1671&gt;0,CG1671,MAX(0.1,N(Cockpit!$C$6)))-CK1671)),0)</f>
        <v>1</v>
      </c>
      <c r="AM1671" s="51" t="n">
        <f aca="false">IF(AI1671&gt;0,J1671/AI1671,-1)</f>
        <v>0</v>
      </c>
      <c r="AN1671" s="51" t="n">
        <f aca="false">IF(AND(OR(CF1671="L1",CF1671="L23",CF1671="LIFT"),AI1671&gt;0),SUMIFS($AI$7:$AI$1843,$CF$7:$CF$1843,CF1671,$AM$7:$AM$1843,"&gt;"&amp;AM1671)+SUMIFS($AI$7:$AI$1843,$CF$7:$CF$1843,CF1671,$AM$7:$AM$1843,AM1671,$BW$7:$BW$1843,"&lt;="&amp;BW1671),"")</f>
        <v>31841.1717602078</v>
      </c>
      <c r="AO1671" s="58" t="n">
        <f aca="false">IF(AN1671="",0,MAX(0,MIN(1,(IF(CF1671="L1",Parameter!$H$5,IF(CF1671="L23",Parameter!$H$6+Parameter!$H$7,Parameter!$H$5+Parameter!$H$6+Parameter!$H$7))-(AN1671-AI1671))/AI1671)))</f>
        <v>1</v>
      </c>
      <c r="AP1671" s="50" t="n">
        <f aca="false">IF(LEFT(Cockpit!$I$5,1)="A",H1671,IF(Parameter!$E$30="MAX-Bestand",IF(CH1671=1,CI1671,IF(LEFT(Cockpit!$I$5,1)="B",AV1671,MAX(AV1671,H1671))),ROUNDUP(AT1671,0)))</f>
        <v>2</v>
      </c>
      <c r="AQ1671" s="50" t="n">
        <f aca="false">IF(BZ1671=1,0,ROUNDUP(AP1671/BY1671,0))</f>
        <v>1</v>
      </c>
      <c r="AR1671" s="52" t="n">
        <f aca="false">IF(CQ1671&gt;0,CQ1671*MAX(1,AP1671/X1671),IF(BZ1671=1,IF(AP1671&lt;=0,0,CD1671*MAX(1,IF(H1671&gt;0,AP1671/H1671,1))),IF(R1671&gt;0,AQ1671/R1671,0))/MAX(0.1,N(Parameter!$M$21)))</f>
        <v>0.25</v>
      </c>
      <c r="AS1671" s="50" t="n">
        <f aca="false">AR1671*CB1671</f>
        <v>58.75</v>
      </c>
      <c r="AT1671" s="51" t="n">
        <f aca="false">IF(LEFT(Cockpit!$I$5,1)="A",H1671,IF(CH1671=1,(CK1671+CI1671)/2,IF(LEFT(Cockpit!$I$5,1)="B",(CK1671+AV1671)/2,MAX((CK1671+AV1671)/2,H1671))))</f>
        <v>2</v>
      </c>
      <c r="AU1671" s="50" t="n">
        <f aca="false">AT1671*G1671</f>
        <v>0</v>
      </c>
      <c r="AV1671" s="50" t="n">
        <f aca="false">ROUNDUP(CK1671+MAX(CL1671,2*(J1671/IF(CG1671&gt;0,CG1671,MAX(0.1,N(Cockpit!$I$6)))-CK1671)),0)</f>
        <v>1</v>
      </c>
      <c r="AW1671" s="51" t="n">
        <f aca="false">IF(AS1671&gt;0,J1671/AS1671,-1)</f>
        <v>0</v>
      </c>
      <c r="AX1671" s="51" t="n">
        <f aca="false">IF(AND(OR(CF1671="L1",CF1671="L23",CF1671="LIFT"),AS1671&gt;0),SUMIFS($AS$7:$AS$1843,$CF$7:$CF$1843,CF1671,$AW$7:$AW$1843,"&gt;"&amp;AW1671)+SUMIFS($AS$7:$AS$1843,$CF$7:$CF$1843,CF1671,$AW$7:$AW$1843,AW1671,$BW$7:$BW$1843,"&lt;="&amp;BW1671),"")</f>
        <v>38313.4199907908</v>
      </c>
      <c r="AY1671" s="58" t="n">
        <f aca="false">IF(AX1671="",0,MAX(0,MIN(1,(IF(CF1671="L1",Parameter!$H$5,IF(CF1671="L23",Parameter!$H$6+Parameter!$H$7,Parameter!$H$5+Parameter!$H$6+Parameter!$H$7))-(AX1671-AS1671))/AS1671)))</f>
        <v>0</v>
      </c>
      <c r="AZ1671" s="50" t="n">
        <f aca="false">IF(LEFT(Cockpit!$O$5,1)="A",H1671,IF(Parameter!$E$30="MAX-Bestand",IF(CH1671=1,CI1671,IF(LEFT(Cockpit!$O$5,1)="B",BF1671,MAX(BF1671,H1671))),ROUNDUP(BD1671,0)))</f>
        <v>1</v>
      </c>
      <c r="BA1671" s="50" t="n">
        <f aca="false">IF(BZ1671=1,0,ROUNDUP(AZ1671/BY1671,0))</f>
        <v>1</v>
      </c>
      <c r="BB1671" s="52" t="n">
        <f aca="false">IF(CQ1671&gt;0,CQ1671*MAX(1,AZ1671/X1671),IF(BZ1671=1,IF(AZ1671&lt;=0,0,CD1671*MAX(1,IF(H1671&gt;0,AZ1671/H1671,1))),IF(R1671&gt;0,BA1671/R1671,0))/MAX(0.1,N(Parameter!$M$21)))</f>
        <v>0.25</v>
      </c>
      <c r="BC1671" s="50" t="n">
        <f aca="false">BB1671*CB1671</f>
        <v>58.75</v>
      </c>
      <c r="BD1671" s="51" t="n">
        <f aca="false">IF(LEFT(Cockpit!$O$5,1)="A",H1671,IF(CH1671=1,(CK1671+CI1671)/2,IF(LEFT(Cockpit!$O$5,1)="B",(CK1671+BF1671)/2,MAX((CK1671+BF1671)/2,H1671))))</f>
        <v>0.5</v>
      </c>
      <c r="BE1671" s="50" t="n">
        <f aca="false">BD1671*G1671</f>
        <v>0</v>
      </c>
      <c r="BF1671" s="50" t="n">
        <f aca="false">ROUNDUP(CK1671+MAX(CL1671,2*(J1671/IF(CG1671&gt;0,CG1671,MAX(0.1,N(Cockpit!$O$6)))-CK1671)),0)</f>
        <v>1</v>
      </c>
      <c r="BG1671" s="51" t="n">
        <f aca="false">IF(BC1671&gt;0,J1671/BC1671,-1)</f>
        <v>0</v>
      </c>
      <c r="BH1671" s="51" t="n">
        <f aca="false">IF(AND(OR(CF1671="L1",CF1671="L23",CF1671="LIFT"),BC1671&gt;0),SUMIFS($BC$7:$BC$1843,$CF$7:$CF$1843,CF1671,$BG$7:$BG$1843,"&gt;"&amp;BG1671)+SUMIFS($BC$7:$BC$1843,$CF$7:$CF$1843,CF1671,$BG$7:$BG$1843,BG1671,$BW$7:$BW$1843,"&lt;="&amp;BW1671),"")</f>
        <v>31987.8612663231</v>
      </c>
      <c r="BI1671" s="58" t="n">
        <f aca="false">IF(BH1671="",0,MAX(0,MIN(1,(IF(CF1671="L1",Parameter!$H$5,IF(CF1671="L23",Parameter!$H$6+Parameter!$H$7,Parameter!$H$5+Parameter!$H$6+Parameter!$H$7))-(BH1671-BC1671))/BC1671)))</f>
        <v>1</v>
      </c>
      <c r="BJ1671" s="48" t="str">
        <f aca="false">IF(AI1671&lt;=0,"",IF(CF1671="Aussen","Aussenlager",IF(CF1671="-","Nicht im Lift",IF(AO1671&gt;=1,"Lift",IF(AO1671&lt;=0,"Aussenlager","teilweise")))))</f>
        <v>Lift</v>
      </c>
      <c r="BK1671" s="48" t="str">
        <f aca="false">IF(AS1671&lt;=0,"",IF(CF1671="Aussen","Aussenlager",IF(CF1671="-","Nicht im Lift",IF(AY1671&gt;=1,"Lift",IF(AY1671&lt;=0,"Aussenlager","teilweise")))))</f>
        <v>Aussenlager</v>
      </c>
      <c r="BL1671" s="48" t="str">
        <f aca="false">IF(BC1671&lt;=0,"",IF(CF1671="Aussen","Aussenlager",IF(CF1671="-","Nicht im Lift",IF(BI1671&gt;=1,"Lift",IF(BI1671&lt;=0,"Aussenlager","teilweise")))))</f>
        <v>Lift</v>
      </c>
      <c r="BM1671" s="48" t="str">
        <f aca="false">IF(A1671="","",IF(BV1671=1,"Neu; ","")&amp;IF(AND(BV1671=0,BQ1671&lt;0),"negativer Bestand (Export "&amp;BQ1671&amp;"); ","")&amp;IF(J1671&lt;=0,"Kein Verbrauch; ","")&amp;IF(CQ1671&gt;0,"Lift "&amp;W1671&amp;" lt. Liftbericht (Fach "&amp;X1671&amp;" Stk); ",IF(CA1671=1,"Gebinde geschätzt ("&amp;T1671&amp;"); ",IF(BZ1671=1,"Lose – Tablare geschätzt; ","")))&amp;IF(H1671&gt;AV1671,"Überbestand "&amp;ROUND(H1671-AV1671,0)&amp;" Stk / CHF "&amp;ROUND((H1671-AV1671)*G1671,0)&amp;"; ","")&amp;IF(AND(CH1671=1,CI1671&lt;CJ1671),"MAX &lt; MB+LG; ","")&amp;IF(AND(CP1671&gt;0,CO1671*10&gt;CP1671),"zu hoch für Tablar; ","")&amp;IF(AND(BV1671=0,OR(CH1671=1,AA1671&lt;&gt;"",U1671&lt;&gt;"",V1671&lt;&gt;"",AB1671&lt;&gt;"")),"manuell übersteuert; ","")&amp;IF(AND(BZ1671=0,R1671=0),"Gebinde unbekannt / Stellmass fehlt; ","")&amp;IF(AND(BZ1671=0,N(V1671)&lt;=0,N(Q1671)&lt;=0),"Menge pro Gebinde fehlt (Ist = 1 Gebinde); ","")&amp;BU1671)</f>
        <v>Kein Verbrauch; Überbestand 1 Stk / CHF 0; nur im Artikelstamm (Bestand 23.06.2026)</v>
      </c>
      <c r="BN1671" s="48"/>
      <c r="BO1671" s="48"/>
      <c r="BP1671" s="55"/>
      <c r="BQ1671" s="50" t="n">
        <v>2</v>
      </c>
      <c r="BR1671" s="50" t="n">
        <v>0</v>
      </c>
      <c r="BS1671" s="49" t="n">
        <v>0</v>
      </c>
      <c r="BT1671" s="50" t="n">
        <v>0</v>
      </c>
      <c r="BU1671" s="48" t="s">
        <v>2584</v>
      </c>
      <c r="BV1671" s="53" t="n">
        <v>0</v>
      </c>
      <c r="BW1671" s="53" t="n">
        <v>1671</v>
      </c>
      <c r="BX1671" s="48" t="str">
        <f aca="false">IF(U1671&lt;&gt;"",UPPER(TRIM(U1671)),IF(CA1671=1,UPPER(VLOOKUP(T1671,Parameter!$I$27:$K$29,2,0)),IF(P1671="","LOSE",P1671)))</f>
        <v>S81</v>
      </c>
      <c r="BY1671" s="50" t="n">
        <f aca="false">IF(BX1671="LOSE",1,IF(N(V1671)&gt;0,V1671,IF(CA1671=1,MAX(1,N(VLOOKUP(T1671,Parameter!$I$27:$K$29,3,0)),H1671,N(N1671)),IF(N(Q1671)&gt;0,Q1671,MAX(1,H1671)))))</f>
        <v>10</v>
      </c>
      <c r="BZ1671" s="53" t="n">
        <f aca="false">IF(BX1671="LOSE",1,0)</f>
        <v>0</v>
      </c>
      <c r="CA1671" s="53" t="n">
        <f aca="false">IF(AND(U1671="",OR(P1671="",P1671="LOSE"),T1671&lt;&gt;"",N(S1671)&lt;=0,ISNUMBER(MATCH(T1671,Parameter!$I$27:$I$29,0))),1,0)</f>
        <v>0</v>
      </c>
      <c r="CB1671" s="53" t="n">
        <f aca="false">IF(CQ1671&gt;0,INDEX(Parameter!$H$5:$H$7,W1671)/INDEX(Parameter!$E$5:$E$7,W1671),IF(AND(BZ1671=0,N(IFERROR(VLOOKUP(BX1671,'Gebinde-Kategorie'!$A$5:$N$45,14,0),0))&gt;0),VLOOKUP(BX1671,'Gebinde-Kategorie'!$A$5:$N$45,14,0)*10+Parameter!$M$23,Parameter!$M$24))</f>
        <v>235</v>
      </c>
      <c r="CC1671" s="48" t="str">
        <f aca="false">IF(AND(Parameter!$B$19="Ja",E1671&lt;&gt;"",ISNUMBER(MATCH(E1671,Parameter!$I$35:$I$52,0))),VLOOKUP(E1671,Parameter!$I$35:$J$52,2,0),IFERROR(VLOOKUP(D1671,Parameter!$A$35:$C$64,2,0),"Nein"))</f>
        <v>2+3</v>
      </c>
      <c r="CD1671" s="52" t="n">
        <f aca="false">IF(BZ1671=0,0,IF(N(S1671)&gt;0,S1671,IFERROR(VLOOKUP(D1671,Parameter!$A$35:$C$64,3,0)+0,0)))</f>
        <v>0</v>
      </c>
      <c r="CE1671" s="48" t="n">
        <f aca="false">IF(AA1671&lt;&gt;"",AA1671,Z1671)</f>
        <v>2</v>
      </c>
      <c r="CF1671" s="48" t="str">
        <f aca="false">IF(OR(CE1671=1,CE1671=2,CE1671=3),IF(Parameter!$E$27="Ja","LIFT",IF(CE1671=1,"L1","L23")),IF(CE1671="Aussen","Aussen","-"))</f>
        <v>LIFT</v>
      </c>
      <c r="CG1671" s="59" t="n">
        <f aca="false">IF(N(AB1671)&gt;0,AB1671,0)</f>
        <v>0</v>
      </c>
      <c r="CH1671" s="53" t="n">
        <f aca="false">IF(ISNUMBER(AE1671),1,0)</f>
        <v>0</v>
      </c>
      <c r="CI1671" s="50" t="n">
        <f aca="false">N(AE1671)</f>
        <v>0</v>
      </c>
      <c r="CJ1671" s="50" t="n">
        <f aca="false">N(M1671)+N(N1671)</f>
        <v>1</v>
      </c>
      <c r="CK1671" s="50" t="n">
        <f aca="false">N(M1671)</f>
        <v>0</v>
      </c>
      <c r="CL1671" s="50" t="n">
        <f aca="false">N(N1671)</f>
        <v>1</v>
      </c>
      <c r="CM1671" s="50" t="n">
        <f aca="false">ROUNDUP(H1671/BY1671,0)</f>
        <v>1</v>
      </c>
      <c r="CN1671" s="50" t="n">
        <f aca="false">ROUNDUP(CI1671/BY1671,0)</f>
        <v>0</v>
      </c>
      <c r="CO1671" s="53" t="n">
        <f aca="false">IF(BZ1671=1,0,IFERROR(VLOOKUP(BX1671,'Gebinde-Kategorie'!$A$5:$N$45,5,0)+0,0))</f>
        <v>20</v>
      </c>
      <c r="CP1671" s="53" t="n">
        <f aca="false">IFERROR(IF(OR(CE1671=1,CE1671=2,CE1671=3),N(INDEX(Parameter!$I$5:$I$7,CE1671)),0),0)</f>
        <v>0</v>
      </c>
      <c r="CQ1671" s="52" t="n">
        <f aca="false">IF(AND(Parameter!$B$21="Ja",ISNUMBER(W1671),N(X1671)&gt;0),IFERROR(N(INDEX(Parameter!$L$5:$L$7,W1671))*INDEX(Parameter!$E$5:$E$7,W1671)*X1671/SUMIFS($X$7:$X$1843,$W$7:$W$1843,W1671),0),0)</f>
        <v>0</v>
      </c>
    </row>
    <row r="1672" customFormat="false" ht="15" hidden="false" customHeight="false" outlineLevel="0" collapsed="false">
      <c r="A1672" s="48" t="s">
        <v>2910</v>
      </c>
      <c r="B1672" s="48" t="s">
        <v>2911</v>
      </c>
      <c r="C1672" s="48" t="s">
        <v>173</v>
      </c>
      <c r="D1672" s="48" t="s">
        <v>182</v>
      </c>
      <c r="E1672" s="48"/>
      <c r="F1672" s="48"/>
      <c r="G1672" s="49" t="n">
        <v>1426.13</v>
      </c>
      <c r="H1672" s="50" t="n">
        <f aca="false">MAX(0,IF(AND(Parameter!$B$21="Ja",ISNUMBER(Y1672)),Y1672,IF(Parameter!$B$20="Jahresanfang 2025 + Export",BR1672+BQ1672,BQ1672)))</f>
        <v>7</v>
      </c>
      <c r="I1672" s="50" t="n">
        <f aca="false">H1672*G1672</f>
        <v>9982.91</v>
      </c>
      <c r="J1672" s="50" t="n">
        <f aca="false">BT1672*Parameter!$B$18</f>
        <v>0</v>
      </c>
      <c r="K1672" s="51"/>
      <c r="L1672" s="52"/>
      <c r="M1672" s="50" t="n">
        <v>0</v>
      </c>
      <c r="N1672" s="50" t="n">
        <v>1</v>
      </c>
      <c r="O1672" s="53" t="n">
        <v>35</v>
      </c>
      <c r="P1672" s="48" t="s">
        <v>232</v>
      </c>
      <c r="Q1672" s="50" t="n">
        <v>10</v>
      </c>
      <c r="R1672" s="53" t="n">
        <f aca="false">IF(BZ1672=1,0,IFERROR(VLOOKUP(BX1672,'Gebinde-Kategorie'!$A$5:$N$45,13,0)+0,0))</f>
        <v>4</v>
      </c>
      <c r="S1672" s="54"/>
      <c r="T1672" s="55"/>
      <c r="U1672" s="55"/>
      <c r="V1672" s="55"/>
      <c r="W1672" s="48"/>
      <c r="X1672" s="50"/>
      <c r="Y1672" s="50"/>
      <c r="Z1672" s="48" t="n">
        <f aca="false">IF(A1672="","",IF(AND(Parameter!$B$21="Ja",ISNUMBER(W1672)),W1672,IF(CC1672="2+3",IF(ISNUMBER(SEARCH("grosser Artikel",BU1672)),2,IFERROR(VLOOKUP(BX1672,Parameter!$F$35:$G$64,2,0),2)),IF(OR(CC1672="Nein",CC1672=""),"-",CC1672))))</f>
        <v>2</v>
      </c>
      <c r="AA1672" s="55"/>
      <c r="AB1672" s="56"/>
      <c r="AC1672" s="50" t="n">
        <f aca="false">AV1672</f>
        <v>1</v>
      </c>
      <c r="AD1672" s="50" t="n">
        <f aca="false">MAX(AV1672,H1672)</f>
        <v>7</v>
      </c>
      <c r="AE1672" s="57"/>
      <c r="AF1672" s="50" t="n">
        <f aca="false">IF(LEFT(Cockpit!$C$5,1)="A",H1672,IF(Parameter!$E$30="MAX-Bestand",IF(CH1672=1,CI1672,IF(LEFT(Cockpit!$C$5,1)="B",AL1672,MAX(AL1672,H1672))),ROUNDUP(AJ1672,0)))</f>
        <v>7</v>
      </c>
      <c r="AG1672" s="50" t="n">
        <f aca="false">IF(BZ1672=1,0,ROUNDUP(AF1672/BY1672,0))</f>
        <v>1</v>
      </c>
      <c r="AH1672" s="52" t="n">
        <f aca="false">IF(CQ1672&gt;0,CQ1672*MAX(1,AF1672/X1672),IF(BZ1672=1,IF(AF1672&lt;=0,0,CD1672*MAX(1,IF(H1672&gt;0,AF1672/H1672,1))),IF(R1672&gt;0,AG1672/R1672,0))/MAX(0.1,N(Parameter!$M$21)))</f>
        <v>0.25</v>
      </c>
      <c r="AI1672" s="50" t="n">
        <f aca="false">AH1672*CB1672</f>
        <v>58.75</v>
      </c>
      <c r="AJ1672" s="51" t="n">
        <f aca="false">IF(LEFT(Cockpit!$C$5,1)="A",H1672,IF(CH1672=1,(CK1672+CI1672)/2,IF(LEFT(Cockpit!$C$5,1)="B",(CK1672+AL1672)/2,MAX((CK1672+AL1672)/2,H1672))))</f>
        <v>7</v>
      </c>
      <c r="AK1672" s="50" t="n">
        <f aca="false">AJ1672*G1672</f>
        <v>9982.91</v>
      </c>
      <c r="AL1672" s="50" t="n">
        <f aca="false">ROUNDUP(CK1672+MAX(CL1672,2*(J1672/IF(CG1672&gt;0,CG1672,MAX(0.1,N(Cockpit!$C$6)))-CK1672)),0)</f>
        <v>1</v>
      </c>
      <c r="AM1672" s="51" t="n">
        <f aca="false">IF(AI1672&gt;0,J1672/AI1672,-1)</f>
        <v>0</v>
      </c>
      <c r="AN1672" s="51" t="n">
        <f aca="false">IF(AND(OR(CF1672="L1",CF1672="L23",CF1672="LIFT"),AI1672&gt;0),SUMIFS($AI$7:$AI$1843,$CF$7:$CF$1843,CF1672,$AM$7:$AM$1843,"&gt;"&amp;AM1672)+SUMIFS($AI$7:$AI$1843,$CF$7:$CF$1843,CF1672,$AM$7:$AM$1843,AM1672,$BW$7:$BW$1843,"&lt;="&amp;BW1672),"")</f>
        <v>31899.9217602078</v>
      </c>
      <c r="AO1672" s="58" t="n">
        <f aca="false">IF(AN1672="",0,MAX(0,MIN(1,(IF(CF1672="L1",Parameter!$H$5,IF(CF1672="L23",Parameter!$H$6+Parameter!$H$7,Parameter!$H$5+Parameter!$H$6+Parameter!$H$7))-(AN1672-AI1672))/AI1672)))</f>
        <v>1</v>
      </c>
      <c r="AP1672" s="50" t="n">
        <f aca="false">IF(LEFT(Cockpit!$I$5,1)="A",H1672,IF(Parameter!$E$30="MAX-Bestand",IF(CH1672=1,CI1672,IF(LEFT(Cockpit!$I$5,1)="B",AV1672,MAX(AV1672,H1672))),ROUNDUP(AT1672,0)))</f>
        <v>7</v>
      </c>
      <c r="AQ1672" s="50" t="n">
        <f aca="false">IF(BZ1672=1,0,ROUNDUP(AP1672/BY1672,0))</f>
        <v>1</v>
      </c>
      <c r="AR1672" s="52" t="n">
        <f aca="false">IF(CQ1672&gt;0,CQ1672*MAX(1,AP1672/X1672),IF(BZ1672=1,IF(AP1672&lt;=0,0,CD1672*MAX(1,IF(H1672&gt;0,AP1672/H1672,1))),IF(R1672&gt;0,AQ1672/R1672,0))/MAX(0.1,N(Parameter!$M$21)))</f>
        <v>0.25</v>
      </c>
      <c r="AS1672" s="50" t="n">
        <f aca="false">AR1672*CB1672</f>
        <v>58.75</v>
      </c>
      <c r="AT1672" s="51" t="n">
        <f aca="false">IF(LEFT(Cockpit!$I$5,1)="A",H1672,IF(CH1672=1,(CK1672+CI1672)/2,IF(LEFT(Cockpit!$I$5,1)="B",(CK1672+AV1672)/2,MAX((CK1672+AV1672)/2,H1672))))</f>
        <v>7</v>
      </c>
      <c r="AU1672" s="50" t="n">
        <f aca="false">AT1672*G1672</f>
        <v>9982.91</v>
      </c>
      <c r="AV1672" s="50" t="n">
        <f aca="false">ROUNDUP(CK1672+MAX(CL1672,2*(J1672/IF(CG1672&gt;0,CG1672,MAX(0.1,N(Cockpit!$I$6)))-CK1672)),0)</f>
        <v>1</v>
      </c>
      <c r="AW1672" s="51" t="n">
        <f aca="false">IF(AS1672&gt;0,J1672/AS1672,-1)</f>
        <v>0</v>
      </c>
      <c r="AX1672" s="51" t="n">
        <f aca="false">IF(AND(OR(CF1672="L1",CF1672="L23",CF1672="LIFT"),AS1672&gt;0),SUMIFS($AS$7:$AS$1843,$CF$7:$CF$1843,CF1672,$AW$7:$AW$1843,"&gt;"&amp;AW1672)+SUMIFS($AS$7:$AS$1843,$CF$7:$CF$1843,CF1672,$AW$7:$AW$1843,AW1672,$BW$7:$BW$1843,"&lt;="&amp;BW1672),"")</f>
        <v>38372.1699907908</v>
      </c>
      <c r="AY1672" s="58" t="n">
        <f aca="false">IF(AX1672="",0,MAX(0,MIN(1,(IF(CF1672="L1",Parameter!$H$5,IF(CF1672="L23",Parameter!$H$6+Parameter!$H$7,Parameter!$H$5+Parameter!$H$6+Parameter!$H$7))-(AX1672-AS1672))/AS1672)))</f>
        <v>0</v>
      </c>
      <c r="AZ1672" s="50" t="n">
        <f aca="false">IF(LEFT(Cockpit!$O$5,1)="A",H1672,IF(Parameter!$E$30="MAX-Bestand",IF(CH1672=1,CI1672,IF(LEFT(Cockpit!$O$5,1)="B",BF1672,MAX(BF1672,H1672))),ROUNDUP(BD1672,0)))</f>
        <v>1</v>
      </c>
      <c r="BA1672" s="50" t="n">
        <f aca="false">IF(BZ1672=1,0,ROUNDUP(AZ1672/BY1672,0))</f>
        <v>1</v>
      </c>
      <c r="BB1672" s="52" t="n">
        <f aca="false">IF(CQ1672&gt;0,CQ1672*MAX(1,AZ1672/X1672),IF(BZ1672=1,IF(AZ1672&lt;=0,0,CD1672*MAX(1,IF(H1672&gt;0,AZ1672/H1672,1))),IF(R1672&gt;0,BA1672/R1672,0))/MAX(0.1,N(Parameter!$M$21)))</f>
        <v>0.25</v>
      </c>
      <c r="BC1672" s="50" t="n">
        <f aca="false">BB1672*CB1672</f>
        <v>58.75</v>
      </c>
      <c r="BD1672" s="51" t="n">
        <f aca="false">IF(LEFT(Cockpit!$O$5,1)="A",H1672,IF(CH1672=1,(CK1672+CI1672)/2,IF(LEFT(Cockpit!$O$5,1)="B",(CK1672+BF1672)/2,MAX((CK1672+BF1672)/2,H1672))))</f>
        <v>0.5</v>
      </c>
      <c r="BE1672" s="50" t="n">
        <f aca="false">BD1672*G1672</f>
        <v>713.065</v>
      </c>
      <c r="BF1672" s="50" t="n">
        <f aca="false">ROUNDUP(CK1672+MAX(CL1672,2*(J1672/IF(CG1672&gt;0,CG1672,MAX(0.1,N(Cockpit!$O$6)))-CK1672)),0)</f>
        <v>1</v>
      </c>
      <c r="BG1672" s="51" t="n">
        <f aca="false">IF(BC1672&gt;0,J1672/BC1672,-1)</f>
        <v>0</v>
      </c>
      <c r="BH1672" s="51" t="n">
        <f aca="false">IF(AND(OR(CF1672="L1",CF1672="L23",CF1672="LIFT"),BC1672&gt;0),SUMIFS($BC$7:$BC$1843,$CF$7:$CF$1843,CF1672,$BG$7:$BG$1843,"&gt;"&amp;BG1672)+SUMIFS($BC$7:$BC$1843,$CF$7:$CF$1843,CF1672,$BG$7:$BG$1843,BG1672,$BW$7:$BW$1843,"&lt;="&amp;BW1672),"")</f>
        <v>32046.6112663231</v>
      </c>
      <c r="BI1672" s="58" t="n">
        <f aca="false">IF(BH1672="",0,MAX(0,MIN(1,(IF(CF1672="L1",Parameter!$H$5,IF(CF1672="L23",Parameter!$H$6+Parameter!$H$7,Parameter!$H$5+Parameter!$H$6+Parameter!$H$7))-(BH1672-BC1672))/BC1672)))</f>
        <v>1</v>
      </c>
      <c r="BJ1672" s="48" t="str">
        <f aca="false">IF(AI1672&lt;=0,"",IF(CF1672="Aussen","Aussenlager",IF(CF1672="-","Nicht im Lift",IF(AO1672&gt;=1,"Lift",IF(AO1672&lt;=0,"Aussenlager","teilweise")))))</f>
        <v>Lift</v>
      </c>
      <c r="BK1672" s="48" t="str">
        <f aca="false">IF(AS1672&lt;=0,"",IF(CF1672="Aussen","Aussenlager",IF(CF1672="-","Nicht im Lift",IF(AY1672&gt;=1,"Lift",IF(AY1672&lt;=0,"Aussenlager","teilweise")))))</f>
        <v>Aussenlager</v>
      </c>
      <c r="BL1672" s="48" t="str">
        <f aca="false">IF(BC1672&lt;=0,"",IF(CF1672="Aussen","Aussenlager",IF(CF1672="-","Nicht im Lift",IF(BI1672&gt;=1,"Lift",IF(BI1672&lt;=0,"Aussenlager","teilweise")))))</f>
        <v>Lift</v>
      </c>
      <c r="BM1672" s="48" t="str">
        <f aca="false">IF(A1672="","",IF(BV1672=1,"Neu; ","")&amp;IF(AND(BV1672=0,BQ1672&lt;0),"negativer Bestand (Export "&amp;BQ1672&amp;"); ","")&amp;IF(J1672&lt;=0,"Kein Verbrauch; ","")&amp;IF(CQ1672&gt;0,"Lift "&amp;W1672&amp;" lt. Liftbericht (Fach "&amp;X1672&amp;" Stk); ",IF(CA1672=1,"Gebinde geschätzt ("&amp;T1672&amp;"); ",IF(BZ1672=1,"Lose – Tablare geschätzt; ","")))&amp;IF(H1672&gt;AV1672,"Überbestand "&amp;ROUND(H1672-AV1672,0)&amp;" Stk / CHF "&amp;ROUND((H1672-AV1672)*G1672,0)&amp;"; ","")&amp;IF(AND(CH1672=1,CI1672&lt;CJ1672),"MAX &lt; MB+LG; ","")&amp;IF(AND(CP1672&gt;0,CO1672*10&gt;CP1672),"zu hoch für Tablar; ","")&amp;IF(AND(BV1672=0,OR(CH1672=1,AA1672&lt;&gt;"",U1672&lt;&gt;"",V1672&lt;&gt;"",AB1672&lt;&gt;"")),"manuell übersteuert; ","")&amp;IF(AND(BZ1672=0,R1672=0),"Gebinde unbekannt / Stellmass fehlt; ","")&amp;IF(AND(BZ1672=0,N(V1672)&lt;=0,N(Q1672)&lt;=0),"Menge pro Gebinde fehlt (Ist = 1 Gebinde); ","")&amp;BU1672)</f>
        <v>Kein Verbrauch; Überbestand 6 Stk / CHF 8557; nur im Artikelstamm (Bestand 23.06.2026)</v>
      </c>
      <c r="BN1672" s="48"/>
      <c r="BO1672" s="48"/>
      <c r="BP1672" s="55"/>
      <c r="BQ1672" s="50" t="n">
        <v>7</v>
      </c>
      <c r="BR1672" s="50" t="n">
        <v>0</v>
      </c>
      <c r="BS1672" s="49" t="n">
        <v>0</v>
      </c>
      <c r="BT1672" s="50" t="n">
        <v>0</v>
      </c>
      <c r="BU1672" s="48" t="s">
        <v>2584</v>
      </c>
      <c r="BV1672" s="53" t="n">
        <v>0</v>
      </c>
      <c r="BW1672" s="53" t="n">
        <v>1672</v>
      </c>
      <c r="BX1672" s="48" t="str">
        <f aca="false">IF(U1672&lt;&gt;"",UPPER(TRIM(U1672)),IF(CA1672=1,UPPER(VLOOKUP(T1672,Parameter!$I$27:$K$29,2,0)),IF(P1672="","LOSE",P1672)))</f>
        <v>S81</v>
      </c>
      <c r="BY1672" s="50" t="n">
        <f aca="false">IF(BX1672="LOSE",1,IF(N(V1672)&gt;0,V1672,IF(CA1672=1,MAX(1,N(VLOOKUP(T1672,Parameter!$I$27:$K$29,3,0)),H1672,N(N1672)),IF(N(Q1672)&gt;0,Q1672,MAX(1,H1672)))))</f>
        <v>10</v>
      </c>
      <c r="BZ1672" s="53" t="n">
        <f aca="false">IF(BX1672="LOSE",1,0)</f>
        <v>0</v>
      </c>
      <c r="CA1672" s="53" t="n">
        <f aca="false">IF(AND(U1672="",OR(P1672="",P1672="LOSE"),T1672&lt;&gt;"",N(S1672)&lt;=0,ISNUMBER(MATCH(T1672,Parameter!$I$27:$I$29,0))),1,0)</f>
        <v>0</v>
      </c>
      <c r="CB1672" s="53" t="n">
        <f aca="false">IF(CQ1672&gt;0,INDEX(Parameter!$H$5:$H$7,W1672)/INDEX(Parameter!$E$5:$E$7,W1672),IF(AND(BZ1672=0,N(IFERROR(VLOOKUP(BX1672,'Gebinde-Kategorie'!$A$5:$N$45,14,0),0))&gt;0),VLOOKUP(BX1672,'Gebinde-Kategorie'!$A$5:$N$45,14,0)*10+Parameter!$M$23,Parameter!$M$24))</f>
        <v>235</v>
      </c>
      <c r="CC1672" s="48" t="str">
        <f aca="false">IF(AND(Parameter!$B$19="Ja",E1672&lt;&gt;"",ISNUMBER(MATCH(E1672,Parameter!$I$35:$I$52,0))),VLOOKUP(E1672,Parameter!$I$35:$J$52,2,0),IFERROR(VLOOKUP(D1672,Parameter!$A$35:$C$64,2,0),"Nein"))</f>
        <v>2+3</v>
      </c>
      <c r="CD1672" s="52" t="n">
        <f aca="false">IF(BZ1672=0,0,IF(N(S1672)&gt;0,S1672,IFERROR(VLOOKUP(D1672,Parameter!$A$35:$C$64,3,0)+0,0)))</f>
        <v>0</v>
      </c>
      <c r="CE1672" s="48" t="n">
        <f aca="false">IF(AA1672&lt;&gt;"",AA1672,Z1672)</f>
        <v>2</v>
      </c>
      <c r="CF1672" s="48" t="str">
        <f aca="false">IF(OR(CE1672=1,CE1672=2,CE1672=3),IF(Parameter!$E$27="Ja","LIFT",IF(CE1672=1,"L1","L23")),IF(CE1672="Aussen","Aussen","-"))</f>
        <v>LIFT</v>
      </c>
      <c r="CG1672" s="59" t="n">
        <f aca="false">IF(N(AB1672)&gt;0,AB1672,0)</f>
        <v>0</v>
      </c>
      <c r="CH1672" s="53" t="n">
        <f aca="false">IF(ISNUMBER(AE1672),1,0)</f>
        <v>0</v>
      </c>
      <c r="CI1672" s="50" t="n">
        <f aca="false">N(AE1672)</f>
        <v>0</v>
      </c>
      <c r="CJ1672" s="50" t="n">
        <f aca="false">N(M1672)+N(N1672)</f>
        <v>1</v>
      </c>
      <c r="CK1672" s="50" t="n">
        <f aca="false">N(M1672)</f>
        <v>0</v>
      </c>
      <c r="CL1672" s="50" t="n">
        <f aca="false">N(N1672)</f>
        <v>1</v>
      </c>
      <c r="CM1672" s="50" t="n">
        <f aca="false">ROUNDUP(H1672/BY1672,0)</f>
        <v>1</v>
      </c>
      <c r="CN1672" s="50" t="n">
        <f aca="false">ROUNDUP(CI1672/BY1672,0)</f>
        <v>0</v>
      </c>
      <c r="CO1672" s="53" t="n">
        <f aca="false">IF(BZ1672=1,0,IFERROR(VLOOKUP(BX1672,'Gebinde-Kategorie'!$A$5:$N$45,5,0)+0,0))</f>
        <v>20</v>
      </c>
      <c r="CP1672" s="53" t="n">
        <f aca="false">IFERROR(IF(OR(CE1672=1,CE1672=2,CE1672=3),N(INDEX(Parameter!$I$5:$I$7,CE1672)),0),0)</f>
        <v>0</v>
      </c>
      <c r="CQ1672" s="52" t="n">
        <f aca="false">IF(AND(Parameter!$B$21="Ja",ISNUMBER(W1672),N(X1672)&gt;0),IFERROR(N(INDEX(Parameter!$L$5:$L$7,W1672))*INDEX(Parameter!$E$5:$E$7,W1672)*X1672/SUMIFS($X$7:$X$1843,$W$7:$W$1843,W1672),0),0)</f>
        <v>0</v>
      </c>
    </row>
    <row r="1673" customFormat="false" ht="15" hidden="false" customHeight="false" outlineLevel="0" collapsed="false">
      <c r="A1673" s="48" t="s">
        <v>2912</v>
      </c>
      <c r="B1673" s="48" t="s">
        <v>306</v>
      </c>
      <c r="C1673" s="48" t="s">
        <v>173</v>
      </c>
      <c r="D1673" s="48" t="s">
        <v>182</v>
      </c>
      <c r="E1673" s="48"/>
      <c r="F1673" s="48"/>
      <c r="G1673" s="49" t="n">
        <v>330.76</v>
      </c>
      <c r="H1673" s="50" t="n">
        <f aca="false">MAX(0,IF(AND(Parameter!$B$21="Ja",ISNUMBER(Y1673)),Y1673,IF(Parameter!$B$20="Jahresanfang 2025 + Export",BR1673+BQ1673,BQ1673)))</f>
        <v>8</v>
      </c>
      <c r="I1673" s="50" t="n">
        <f aca="false">H1673*G1673</f>
        <v>2646.08</v>
      </c>
      <c r="J1673" s="50" t="n">
        <f aca="false">BT1673*Parameter!$B$18</f>
        <v>0</v>
      </c>
      <c r="K1673" s="51"/>
      <c r="L1673" s="52"/>
      <c r="M1673" s="50" t="n">
        <v>0</v>
      </c>
      <c r="N1673" s="50" t="n">
        <v>1</v>
      </c>
      <c r="O1673" s="53" t="n">
        <v>21</v>
      </c>
      <c r="P1673" s="48" t="s">
        <v>232</v>
      </c>
      <c r="Q1673" s="50" t="n">
        <v>7</v>
      </c>
      <c r="R1673" s="53" t="n">
        <f aca="false">IF(BZ1673=1,0,IFERROR(VLOOKUP(BX1673,'Gebinde-Kategorie'!$A$5:$N$45,13,0)+0,0))</f>
        <v>4</v>
      </c>
      <c r="S1673" s="54"/>
      <c r="T1673" s="55"/>
      <c r="U1673" s="55"/>
      <c r="V1673" s="55"/>
      <c r="W1673" s="48"/>
      <c r="X1673" s="50"/>
      <c r="Y1673" s="50"/>
      <c r="Z1673" s="48" t="n">
        <f aca="false">IF(A1673="","",IF(AND(Parameter!$B$21="Ja",ISNUMBER(W1673)),W1673,IF(CC1673="2+3",IF(ISNUMBER(SEARCH("grosser Artikel",BU1673)),2,IFERROR(VLOOKUP(BX1673,Parameter!$F$35:$G$64,2,0),2)),IF(OR(CC1673="Nein",CC1673=""),"-",CC1673))))</f>
        <v>2</v>
      </c>
      <c r="AA1673" s="55"/>
      <c r="AB1673" s="56"/>
      <c r="AC1673" s="50" t="n">
        <f aca="false">AV1673</f>
        <v>1</v>
      </c>
      <c r="AD1673" s="50" t="n">
        <f aca="false">MAX(AV1673,H1673)</f>
        <v>8</v>
      </c>
      <c r="AE1673" s="57"/>
      <c r="AF1673" s="50" t="n">
        <f aca="false">IF(LEFT(Cockpit!$C$5,1)="A",H1673,IF(Parameter!$E$30="MAX-Bestand",IF(CH1673=1,CI1673,IF(LEFT(Cockpit!$C$5,1)="B",AL1673,MAX(AL1673,H1673))),ROUNDUP(AJ1673,0)))</f>
        <v>8</v>
      </c>
      <c r="AG1673" s="50" t="n">
        <f aca="false">IF(BZ1673=1,0,ROUNDUP(AF1673/BY1673,0))</f>
        <v>2</v>
      </c>
      <c r="AH1673" s="52" t="n">
        <f aca="false">IF(CQ1673&gt;0,CQ1673*MAX(1,AF1673/X1673),IF(BZ1673=1,IF(AF1673&lt;=0,0,CD1673*MAX(1,IF(H1673&gt;0,AF1673/H1673,1))),IF(R1673&gt;0,AG1673/R1673,0))/MAX(0.1,N(Parameter!$M$21)))</f>
        <v>0.5</v>
      </c>
      <c r="AI1673" s="50" t="n">
        <f aca="false">AH1673*CB1673</f>
        <v>117.5</v>
      </c>
      <c r="AJ1673" s="51" t="n">
        <f aca="false">IF(LEFT(Cockpit!$C$5,1)="A",H1673,IF(CH1673=1,(CK1673+CI1673)/2,IF(LEFT(Cockpit!$C$5,1)="B",(CK1673+AL1673)/2,MAX((CK1673+AL1673)/2,H1673))))</f>
        <v>8</v>
      </c>
      <c r="AK1673" s="50" t="n">
        <f aca="false">AJ1673*G1673</f>
        <v>2646.08</v>
      </c>
      <c r="AL1673" s="50" t="n">
        <f aca="false">ROUNDUP(CK1673+MAX(CL1673,2*(J1673/IF(CG1673&gt;0,CG1673,MAX(0.1,N(Cockpit!$C$6)))-CK1673)),0)</f>
        <v>1</v>
      </c>
      <c r="AM1673" s="51" t="n">
        <f aca="false">IF(AI1673&gt;0,J1673/AI1673,-1)</f>
        <v>0</v>
      </c>
      <c r="AN1673" s="51" t="n">
        <f aca="false">IF(AND(OR(CF1673="L1",CF1673="L23",CF1673="LIFT"),AI1673&gt;0),SUMIFS($AI$7:$AI$1843,$CF$7:$CF$1843,CF1673,$AM$7:$AM$1843,"&gt;"&amp;AM1673)+SUMIFS($AI$7:$AI$1843,$CF$7:$CF$1843,CF1673,$AM$7:$AM$1843,AM1673,$BW$7:$BW$1843,"&lt;="&amp;BW1673),"")</f>
        <v>32017.4217602078</v>
      </c>
      <c r="AO1673" s="58" t="n">
        <f aca="false">IF(AN1673="",0,MAX(0,MIN(1,(IF(CF1673="L1",Parameter!$H$5,IF(CF1673="L23",Parameter!$H$6+Parameter!$H$7,Parameter!$H$5+Parameter!$H$6+Parameter!$H$7))-(AN1673-AI1673))/AI1673)))</f>
        <v>1</v>
      </c>
      <c r="AP1673" s="50" t="n">
        <f aca="false">IF(LEFT(Cockpit!$I$5,1)="A",H1673,IF(Parameter!$E$30="MAX-Bestand",IF(CH1673=1,CI1673,IF(LEFT(Cockpit!$I$5,1)="B",AV1673,MAX(AV1673,H1673))),ROUNDUP(AT1673,0)))</f>
        <v>8</v>
      </c>
      <c r="AQ1673" s="50" t="n">
        <f aca="false">IF(BZ1673=1,0,ROUNDUP(AP1673/BY1673,0))</f>
        <v>2</v>
      </c>
      <c r="AR1673" s="52" t="n">
        <f aca="false">IF(CQ1673&gt;0,CQ1673*MAX(1,AP1673/X1673),IF(BZ1673=1,IF(AP1673&lt;=0,0,CD1673*MAX(1,IF(H1673&gt;0,AP1673/H1673,1))),IF(R1673&gt;0,AQ1673/R1673,0))/MAX(0.1,N(Parameter!$M$21)))</f>
        <v>0.5</v>
      </c>
      <c r="AS1673" s="50" t="n">
        <f aca="false">AR1673*CB1673</f>
        <v>117.5</v>
      </c>
      <c r="AT1673" s="51" t="n">
        <f aca="false">IF(LEFT(Cockpit!$I$5,1)="A",H1673,IF(CH1673=1,(CK1673+CI1673)/2,IF(LEFT(Cockpit!$I$5,1)="B",(CK1673+AV1673)/2,MAX((CK1673+AV1673)/2,H1673))))</f>
        <v>8</v>
      </c>
      <c r="AU1673" s="50" t="n">
        <f aca="false">AT1673*G1673</f>
        <v>2646.08</v>
      </c>
      <c r="AV1673" s="50" t="n">
        <f aca="false">ROUNDUP(CK1673+MAX(CL1673,2*(J1673/IF(CG1673&gt;0,CG1673,MAX(0.1,N(Cockpit!$I$6)))-CK1673)),0)</f>
        <v>1</v>
      </c>
      <c r="AW1673" s="51" t="n">
        <f aca="false">IF(AS1673&gt;0,J1673/AS1673,-1)</f>
        <v>0</v>
      </c>
      <c r="AX1673" s="51" t="n">
        <f aca="false">IF(AND(OR(CF1673="L1",CF1673="L23",CF1673="LIFT"),AS1673&gt;0),SUMIFS($AS$7:$AS$1843,$CF$7:$CF$1843,CF1673,$AW$7:$AW$1843,"&gt;"&amp;AW1673)+SUMIFS($AS$7:$AS$1843,$CF$7:$CF$1843,CF1673,$AW$7:$AW$1843,AW1673,$BW$7:$BW$1843,"&lt;="&amp;BW1673),"")</f>
        <v>38489.6699907908</v>
      </c>
      <c r="AY1673" s="58" t="n">
        <f aca="false">IF(AX1673="",0,MAX(0,MIN(1,(IF(CF1673="L1",Parameter!$H$5,IF(CF1673="L23",Parameter!$H$6+Parameter!$H$7,Parameter!$H$5+Parameter!$H$6+Parameter!$H$7))-(AX1673-AS1673))/AS1673)))</f>
        <v>0</v>
      </c>
      <c r="AZ1673" s="50" t="n">
        <f aca="false">IF(LEFT(Cockpit!$O$5,1)="A",H1673,IF(Parameter!$E$30="MAX-Bestand",IF(CH1673=1,CI1673,IF(LEFT(Cockpit!$O$5,1)="B",BF1673,MAX(BF1673,H1673))),ROUNDUP(BD1673,0)))</f>
        <v>1</v>
      </c>
      <c r="BA1673" s="50" t="n">
        <f aca="false">IF(BZ1673=1,0,ROUNDUP(AZ1673/BY1673,0))</f>
        <v>1</v>
      </c>
      <c r="BB1673" s="52" t="n">
        <f aca="false">IF(CQ1673&gt;0,CQ1673*MAX(1,AZ1673/X1673),IF(BZ1673=1,IF(AZ1673&lt;=0,0,CD1673*MAX(1,IF(H1673&gt;0,AZ1673/H1673,1))),IF(R1673&gt;0,BA1673/R1673,0))/MAX(0.1,N(Parameter!$M$21)))</f>
        <v>0.25</v>
      </c>
      <c r="BC1673" s="50" t="n">
        <f aca="false">BB1673*CB1673</f>
        <v>58.75</v>
      </c>
      <c r="BD1673" s="51" t="n">
        <f aca="false">IF(LEFT(Cockpit!$O$5,1)="A",H1673,IF(CH1673=1,(CK1673+CI1673)/2,IF(LEFT(Cockpit!$O$5,1)="B",(CK1673+BF1673)/2,MAX((CK1673+BF1673)/2,H1673))))</f>
        <v>0.5</v>
      </c>
      <c r="BE1673" s="50" t="n">
        <f aca="false">BD1673*G1673</f>
        <v>165.38</v>
      </c>
      <c r="BF1673" s="50" t="n">
        <f aca="false">ROUNDUP(CK1673+MAX(CL1673,2*(J1673/IF(CG1673&gt;0,CG1673,MAX(0.1,N(Cockpit!$O$6)))-CK1673)),0)</f>
        <v>1</v>
      </c>
      <c r="BG1673" s="51" t="n">
        <f aca="false">IF(BC1673&gt;0,J1673/BC1673,-1)</f>
        <v>0</v>
      </c>
      <c r="BH1673" s="51" t="n">
        <f aca="false">IF(AND(OR(CF1673="L1",CF1673="L23",CF1673="LIFT"),BC1673&gt;0),SUMIFS($BC$7:$BC$1843,$CF$7:$CF$1843,CF1673,$BG$7:$BG$1843,"&gt;"&amp;BG1673)+SUMIFS($BC$7:$BC$1843,$CF$7:$CF$1843,CF1673,$BG$7:$BG$1843,BG1673,$BW$7:$BW$1843,"&lt;="&amp;BW1673),"")</f>
        <v>32105.3612663231</v>
      </c>
      <c r="BI1673" s="58" t="n">
        <f aca="false">IF(BH1673="",0,MAX(0,MIN(1,(IF(CF1673="L1",Parameter!$H$5,IF(CF1673="L23",Parameter!$H$6+Parameter!$H$7,Parameter!$H$5+Parameter!$H$6+Parameter!$H$7))-(BH1673-BC1673))/BC1673)))</f>
        <v>1</v>
      </c>
      <c r="BJ1673" s="48" t="str">
        <f aca="false">IF(AI1673&lt;=0,"",IF(CF1673="Aussen","Aussenlager",IF(CF1673="-","Nicht im Lift",IF(AO1673&gt;=1,"Lift",IF(AO1673&lt;=0,"Aussenlager","teilweise")))))</f>
        <v>Lift</v>
      </c>
      <c r="BK1673" s="48" t="str">
        <f aca="false">IF(AS1673&lt;=0,"",IF(CF1673="Aussen","Aussenlager",IF(CF1673="-","Nicht im Lift",IF(AY1673&gt;=1,"Lift",IF(AY1673&lt;=0,"Aussenlager","teilweise")))))</f>
        <v>Aussenlager</v>
      </c>
      <c r="BL1673" s="48" t="str">
        <f aca="false">IF(BC1673&lt;=0,"",IF(CF1673="Aussen","Aussenlager",IF(CF1673="-","Nicht im Lift",IF(BI1673&gt;=1,"Lift",IF(BI1673&lt;=0,"Aussenlager","teilweise")))))</f>
        <v>Lift</v>
      </c>
      <c r="BM1673" s="48" t="str">
        <f aca="false">IF(A1673="","",IF(BV1673=1,"Neu; ","")&amp;IF(AND(BV1673=0,BQ1673&lt;0),"negativer Bestand (Export "&amp;BQ1673&amp;"); ","")&amp;IF(J1673&lt;=0,"Kein Verbrauch; ","")&amp;IF(CQ1673&gt;0,"Lift "&amp;W1673&amp;" lt. Liftbericht (Fach "&amp;X1673&amp;" Stk); ",IF(CA1673=1,"Gebinde geschätzt ("&amp;T1673&amp;"); ",IF(BZ1673=1,"Lose – Tablare geschätzt; ","")))&amp;IF(H1673&gt;AV1673,"Überbestand "&amp;ROUND(H1673-AV1673,0)&amp;" Stk / CHF "&amp;ROUND((H1673-AV1673)*G1673,0)&amp;"; ","")&amp;IF(AND(CH1673=1,CI1673&lt;CJ1673),"MAX &lt; MB+LG; ","")&amp;IF(AND(CP1673&gt;0,CO1673*10&gt;CP1673),"zu hoch für Tablar; ","")&amp;IF(AND(BV1673=0,OR(CH1673=1,AA1673&lt;&gt;"",U1673&lt;&gt;"",V1673&lt;&gt;"",AB1673&lt;&gt;"")),"manuell übersteuert; ","")&amp;IF(AND(BZ1673=0,R1673=0),"Gebinde unbekannt / Stellmass fehlt; ","")&amp;IF(AND(BZ1673=0,N(V1673)&lt;=0,N(Q1673)&lt;=0),"Menge pro Gebinde fehlt (Ist = 1 Gebinde); ","")&amp;BU1673)</f>
        <v>Kein Verbrauch; Überbestand 7 Stk / CHF 2315; nur im Artikelstamm (Bestand 23.06.2026)</v>
      </c>
      <c r="BN1673" s="48"/>
      <c r="BO1673" s="48"/>
      <c r="BP1673" s="55"/>
      <c r="BQ1673" s="50" t="n">
        <v>8</v>
      </c>
      <c r="BR1673" s="50" t="n">
        <v>0</v>
      </c>
      <c r="BS1673" s="49" t="n">
        <v>0</v>
      </c>
      <c r="BT1673" s="50" t="n">
        <v>0</v>
      </c>
      <c r="BU1673" s="48" t="s">
        <v>2584</v>
      </c>
      <c r="BV1673" s="53" t="n">
        <v>0</v>
      </c>
      <c r="BW1673" s="53" t="n">
        <v>1673</v>
      </c>
      <c r="BX1673" s="48" t="str">
        <f aca="false">IF(U1673&lt;&gt;"",UPPER(TRIM(U1673)),IF(CA1673=1,UPPER(VLOOKUP(T1673,Parameter!$I$27:$K$29,2,0)),IF(P1673="","LOSE",P1673)))</f>
        <v>S81</v>
      </c>
      <c r="BY1673" s="50" t="n">
        <f aca="false">IF(BX1673="LOSE",1,IF(N(V1673)&gt;0,V1673,IF(CA1673=1,MAX(1,N(VLOOKUP(T1673,Parameter!$I$27:$K$29,3,0)),H1673,N(N1673)),IF(N(Q1673)&gt;0,Q1673,MAX(1,H1673)))))</f>
        <v>7</v>
      </c>
      <c r="BZ1673" s="53" t="n">
        <f aca="false">IF(BX1673="LOSE",1,0)</f>
        <v>0</v>
      </c>
      <c r="CA1673" s="53" t="n">
        <f aca="false">IF(AND(U1673="",OR(P1673="",P1673="LOSE"),T1673&lt;&gt;"",N(S1673)&lt;=0,ISNUMBER(MATCH(T1673,Parameter!$I$27:$I$29,0))),1,0)</f>
        <v>0</v>
      </c>
      <c r="CB1673" s="53" t="n">
        <f aca="false">IF(CQ1673&gt;0,INDEX(Parameter!$H$5:$H$7,W1673)/INDEX(Parameter!$E$5:$E$7,W1673),IF(AND(BZ1673=0,N(IFERROR(VLOOKUP(BX1673,'Gebinde-Kategorie'!$A$5:$N$45,14,0),0))&gt;0),VLOOKUP(BX1673,'Gebinde-Kategorie'!$A$5:$N$45,14,0)*10+Parameter!$M$23,Parameter!$M$24))</f>
        <v>235</v>
      </c>
      <c r="CC1673" s="48" t="str">
        <f aca="false">IF(AND(Parameter!$B$19="Ja",E1673&lt;&gt;"",ISNUMBER(MATCH(E1673,Parameter!$I$35:$I$52,0))),VLOOKUP(E1673,Parameter!$I$35:$J$52,2,0),IFERROR(VLOOKUP(D1673,Parameter!$A$35:$C$64,2,0),"Nein"))</f>
        <v>2+3</v>
      </c>
      <c r="CD1673" s="52" t="n">
        <f aca="false">IF(BZ1673=0,0,IF(N(S1673)&gt;0,S1673,IFERROR(VLOOKUP(D1673,Parameter!$A$35:$C$64,3,0)+0,0)))</f>
        <v>0</v>
      </c>
      <c r="CE1673" s="48" t="n">
        <f aca="false">IF(AA1673&lt;&gt;"",AA1673,Z1673)</f>
        <v>2</v>
      </c>
      <c r="CF1673" s="48" t="str">
        <f aca="false">IF(OR(CE1673=1,CE1673=2,CE1673=3),IF(Parameter!$E$27="Ja","LIFT",IF(CE1673=1,"L1","L23")),IF(CE1673="Aussen","Aussen","-"))</f>
        <v>LIFT</v>
      </c>
      <c r="CG1673" s="59" t="n">
        <f aca="false">IF(N(AB1673)&gt;0,AB1673,0)</f>
        <v>0</v>
      </c>
      <c r="CH1673" s="53" t="n">
        <f aca="false">IF(ISNUMBER(AE1673),1,0)</f>
        <v>0</v>
      </c>
      <c r="CI1673" s="50" t="n">
        <f aca="false">N(AE1673)</f>
        <v>0</v>
      </c>
      <c r="CJ1673" s="50" t="n">
        <f aca="false">N(M1673)+N(N1673)</f>
        <v>1</v>
      </c>
      <c r="CK1673" s="50" t="n">
        <f aca="false">N(M1673)</f>
        <v>0</v>
      </c>
      <c r="CL1673" s="50" t="n">
        <f aca="false">N(N1673)</f>
        <v>1</v>
      </c>
      <c r="CM1673" s="50" t="n">
        <f aca="false">ROUNDUP(H1673/BY1673,0)</f>
        <v>2</v>
      </c>
      <c r="CN1673" s="50" t="n">
        <f aca="false">ROUNDUP(CI1673/BY1673,0)</f>
        <v>0</v>
      </c>
      <c r="CO1673" s="53" t="n">
        <f aca="false">IF(BZ1673=1,0,IFERROR(VLOOKUP(BX1673,'Gebinde-Kategorie'!$A$5:$N$45,5,0)+0,0))</f>
        <v>20</v>
      </c>
      <c r="CP1673" s="53" t="n">
        <f aca="false">IFERROR(IF(OR(CE1673=1,CE1673=2,CE1673=3),N(INDEX(Parameter!$I$5:$I$7,CE1673)),0),0)</f>
        <v>0</v>
      </c>
      <c r="CQ1673" s="52" t="n">
        <f aca="false">IF(AND(Parameter!$B$21="Ja",ISNUMBER(W1673),N(X1673)&gt;0),IFERROR(N(INDEX(Parameter!$L$5:$L$7,W1673))*INDEX(Parameter!$E$5:$E$7,W1673)*X1673/SUMIFS($X$7:$X$1843,$W$7:$W$1843,W1673),0),0)</f>
        <v>0</v>
      </c>
    </row>
    <row r="1674" customFormat="false" ht="15" hidden="false" customHeight="false" outlineLevel="0" collapsed="false">
      <c r="A1674" s="48" t="s">
        <v>2913</v>
      </c>
      <c r="B1674" s="48" t="s">
        <v>1431</v>
      </c>
      <c r="C1674" s="48" t="s">
        <v>173</v>
      </c>
      <c r="D1674" s="48" t="s">
        <v>182</v>
      </c>
      <c r="E1674" s="48"/>
      <c r="F1674" s="48"/>
      <c r="G1674" s="49" t="n">
        <v>785</v>
      </c>
      <c r="H1674" s="50" t="n">
        <f aca="false">MAX(0,IF(AND(Parameter!$B$21="Ja",ISNUMBER(Y1674)),Y1674,IF(Parameter!$B$20="Jahresanfang 2025 + Export",BR1674+BQ1674,BQ1674)))</f>
        <v>26</v>
      </c>
      <c r="I1674" s="50" t="n">
        <f aca="false">H1674*G1674</f>
        <v>20410</v>
      </c>
      <c r="J1674" s="50" t="n">
        <f aca="false">BT1674*Parameter!$B$18</f>
        <v>0</v>
      </c>
      <c r="K1674" s="51"/>
      <c r="L1674" s="52"/>
      <c r="M1674" s="50" t="n">
        <v>0</v>
      </c>
      <c r="N1674" s="50" t="n">
        <v>1</v>
      </c>
      <c r="O1674" s="53" t="n">
        <v>0</v>
      </c>
      <c r="P1674" s="48" t="s">
        <v>232</v>
      </c>
      <c r="Q1674" s="50" t="n">
        <v>5</v>
      </c>
      <c r="R1674" s="53" t="n">
        <f aca="false">IF(BZ1674=1,0,IFERROR(VLOOKUP(BX1674,'Gebinde-Kategorie'!$A$5:$N$45,13,0)+0,0))</f>
        <v>4</v>
      </c>
      <c r="S1674" s="54"/>
      <c r="T1674" s="55"/>
      <c r="U1674" s="55"/>
      <c r="V1674" s="55"/>
      <c r="W1674" s="48"/>
      <c r="X1674" s="50"/>
      <c r="Y1674" s="50"/>
      <c r="Z1674" s="48" t="n">
        <f aca="false">IF(A1674="","",IF(AND(Parameter!$B$21="Ja",ISNUMBER(W1674)),W1674,IF(CC1674="2+3",IF(ISNUMBER(SEARCH("grosser Artikel",BU1674)),2,IFERROR(VLOOKUP(BX1674,Parameter!$F$35:$G$64,2,0),2)),IF(OR(CC1674="Nein",CC1674=""),"-",CC1674))))</f>
        <v>2</v>
      </c>
      <c r="AA1674" s="55"/>
      <c r="AB1674" s="56"/>
      <c r="AC1674" s="50" t="n">
        <f aca="false">AV1674</f>
        <v>1</v>
      </c>
      <c r="AD1674" s="50" t="n">
        <f aca="false">MAX(AV1674,H1674)</f>
        <v>26</v>
      </c>
      <c r="AE1674" s="57"/>
      <c r="AF1674" s="50" t="n">
        <f aca="false">IF(LEFT(Cockpit!$C$5,1)="A",H1674,IF(Parameter!$E$30="MAX-Bestand",IF(CH1674=1,CI1674,IF(LEFT(Cockpit!$C$5,1)="B",AL1674,MAX(AL1674,H1674))),ROUNDUP(AJ1674,0)))</f>
        <v>26</v>
      </c>
      <c r="AG1674" s="50" t="n">
        <f aca="false">IF(BZ1674=1,0,ROUNDUP(AF1674/BY1674,0))</f>
        <v>6</v>
      </c>
      <c r="AH1674" s="52" t="n">
        <f aca="false">IF(CQ1674&gt;0,CQ1674*MAX(1,AF1674/X1674),IF(BZ1674=1,IF(AF1674&lt;=0,0,CD1674*MAX(1,IF(H1674&gt;0,AF1674/H1674,1))),IF(R1674&gt;0,AG1674/R1674,0))/MAX(0.1,N(Parameter!$M$21)))</f>
        <v>1.5</v>
      </c>
      <c r="AI1674" s="50" t="n">
        <f aca="false">AH1674*CB1674</f>
        <v>352.5</v>
      </c>
      <c r="AJ1674" s="51" t="n">
        <f aca="false">IF(LEFT(Cockpit!$C$5,1)="A",H1674,IF(CH1674=1,(CK1674+CI1674)/2,IF(LEFT(Cockpit!$C$5,1)="B",(CK1674+AL1674)/2,MAX((CK1674+AL1674)/2,H1674))))</f>
        <v>26</v>
      </c>
      <c r="AK1674" s="50" t="n">
        <f aca="false">AJ1674*G1674</f>
        <v>20410</v>
      </c>
      <c r="AL1674" s="50" t="n">
        <f aca="false">ROUNDUP(CK1674+MAX(CL1674,2*(J1674/IF(CG1674&gt;0,CG1674,MAX(0.1,N(Cockpit!$C$6)))-CK1674)),0)</f>
        <v>1</v>
      </c>
      <c r="AM1674" s="51" t="n">
        <f aca="false">IF(AI1674&gt;0,J1674/AI1674,-1)</f>
        <v>0</v>
      </c>
      <c r="AN1674" s="51" t="n">
        <f aca="false">IF(AND(OR(CF1674="L1",CF1674="L23",CF1674="LIFT"),AI1674&gt;0),SUMIFS($AI$7:$AI$1843,$CF$7:$CF$1843,CF1674,$AM$7:$AM$1843,"&gt;"&amp;AM1674)+SUMIFS($AI$7:$AI$1843,$CF$7:$CF$1843,CF1674,$AM$7:$AM$1843,AM1674,$BW$7:$BW$1843,"&lt;="&amp;BW1674),"")</f>
        <v>32369.9217602078</v>
      </c>
      <c r="AO1674" s="58" t="n">
        <f aca="false">IF(AN1674="",0,MAX(0,MIN(1,(IF(CF1674="L1",Parameter!$H$5,IF(CF1674="L23",Parameter!$H$6+Parameter!$H$7,Parameter!$H$5+Parameter!$H$6+Parameter!$H$7))-(AN1674-AI1674))/AI1674)))</f>
        <v>1</v>
      </c>
      <c r="AP1674" s="50" t="n">
        <f aca="false">IF(LEFT(Cockpit!$I$5,1)="A",H1674,IF(Parameter!$E$30="MAX-Bestand",IF(CH1674=1,CI1674,IF(LEFT(Cockpit!$I$5,1)="B",AV1674,MAX(AV1674,H1674))),ROUNDUP(AT1674,0)))</f>
        <v>26</v>
      </c>
      <c r="AQ1674" s="50" t="n">
        <f aca="false">IF(BZ1674=1,0,ROUNDUP(AP1674/BY1674,0))</f>
        <v>6</v>
      </c>
      <c r="AR1674" s="52" t="n">
        <f aca="false">IF(CQ1674&gt;0,CQ1674*MAX(1,AP1674/X1674),IF(BZ1674=1,IF(AP1674&lt;=0,0,CD1674*MAX(1,IF(H1674&gt;0,AP1674/H1674,1))),IF(R1674&gt;0,AQ1674/R1674,0))/MAX(0.1,N(Parameter!$M$21)))</f>
        <v>1.5</v>
      </c>
      <c r="AS1674" s="50" t="n">
        <f aca="false">AR1674*CB1674</f>
        <v>352.5</v>
      </c>
      <c r="AT1674" s="51" t="n">
        <f aca="false">IF(LEFT(Cockpit!$I$5,1)="A",H1674,IF(CH1674=1,(CK1674+CI1674)/2,IF(LEFT(Cockpit!$I$5,1)="B",(CK1674+AV1674)/2,MAX((CK1674+AV1674)/2,H1674))))</f>
        <v>26</v>
      </c>
      <c r="AU1674" s="50" t="n">
        <f aca="false">AT1674*G1674</f>
        <v>20410</v>
      </c>
      <c r="AV1674" s="50" t="n">
        <f aca="false">ROUNDUP(CK1674+MAX(CL1674,2*(J1674/IF(CG1674&gt;0,CG1674,MAX(0.1,N(Cockpit!$I$6)))-CK1674)),0)</f>
        <v>1</v>
      </c>
      <c r="AW1674" s="51" t="n">
        <f aca="false">IF(AS1674&gt;0,J1674/AS1674,-1)</f>
        <v>0</v>
      </c>
      <c r="AX1674" s="51" t="n">
        <f aca="false">IF(AND(OR(CF1674="L1",CF1674="L23",CF1674="LIFT"),AS1674&gt;0),SUMIFS($AS$7:$AS$1843,$CF$7:$CF$1843,CF1674,$AW$7:$AW$1843,"&gt;"&amp;AW1674)+SUMIFS($AS$7:$AS$1843,$CF$7:$CF$1843,CF1674,$AW$7:$AW$1843,AW1674,$BW$7:$BW$1843,"&lt;="&amp;BW1674),"")</f>
        <v>38842.1699907908</v>
      </c>
      <c r="AY1674" s="58" t="n">
        <f aca="false">IF(AX1674="",0,MAX(0,MIN(1,(IF(CF1674="L1",Parameter!$H$5,IF(CF1674="L23",Parameter!$H$6+Parameter!$H$7,Parameter!$H$5+Parameter!$H$6+Parameter!$H$7))-(AX1674-AS1674))/AS1674)))</f>
        <v>0</v>
      </c>
      <c r="AZ1674" s="50" t="n">
        <f aca="false">IF(LEFT(Cockpit!$O$5,1)="A",H1674,IF(Parameter!$E$30="MAX-Bestand",IF(CH1674=1,CI1674,IF(LEFT(Cockpit!$O$5,1)="B",BF1674,MAX(BF1674,H1674))),ROUNDUP(BD1674,0)))</f>
        <v>1</v>
      </c>
      <c r="BA1674" s="50" t="n">
        <f aca="false">IF(BZ1674=1,0,ROUNDUP(AZ1674/BY1674,0))</f>
        <v>1</v>
      </c>
      <c r="BB1674" s="52" t="n">
        <f aca="false">IF(CQ1674&gt;0,CQ1674*MAX(1,AZ1674/X1674),IF(BZ1674=1,IF(AZ1674&lt;=0,0,CD1674*MAX(1,IF(H1674&gt;0,AZ1674/H1674,1))),IF(R1674&gt;0,BA1674/R1674,0))/MAX(0.1,N(Parameter!$M$21)))</f>
        <v>0.25</v>
      </c>
      <c r="BC1674" s="50" t="n">
        <f aca="false">BB1674*CB1674</f>
        <v>58.75</v>
      </c>
      <c r="BD1674" s="51" t="n">
        <f aca="false">IF(LEFT(Cockpit!$O$5,1)="A",H1674,IF(CH1674=1,(CK1674+CI1674)/2,IF(LEFT(Cockpit!$O$5,1)="B",(CK1674+BF1674)/2,MAX((CK1674+BF1674)/2,H1674))))</f>
        <v>0.5</v>
      </c>
      <c r="BE1674" s="50" t="n">
        <f aca="false">BD1674*G1674</f>
        <v>392.5</v>
      </c>
      <c r="BF1674" s="50" t="n">
        <f aca="false">ROUNDUP(CK1674+MAX(CL1674,2*(J1674/IF(CG1674&gt;0,CG1674,MAX(0.1,N(Cockpit!$O$6)))-CK1674)),0)</f>
        <v>1</v>
      </c>
      <c r="BG1674" s="51" t="n">
        <f aca="false">IF(BC1674&gt;0,J1674/BC1674,-1)</f>
        <v>0</v>
      </c>
      <c r="BH1674" s="51" t="n">
        <f aca="false">IF(AND(OR(CF1674="L1",CF1674="L23",CF1674="LIFT"),BC1674&gt;0),SUMIFS($BC$7:$BC$1843,$CF$7:$CF$1843,CF1674,$BG$7:$BG$1843,"&gt;"&amp;BG1674)+SUMIFS($BC$7:$BC$1843,$CF$7:$CF$1843,CF1674,$BG$7:$BG$1843,BG1674,$BW$7:$BW$1843,"&lt;="&amp;BW1674),"")</f>
        <v>32164.1112663231</v>
      </c>
      <c r="BI1674" s="58" t="n">
        <f aca="false">IF(BH1674="",0,MAX(0,MIN(1,(IF(CF1674="L1",Parameter!$H$5,IF(CF1674="L23",Parameter!$H$6+Parameter!$H$7,Parameter!$H$5+Parameter!$H$6+Parameter!$H$7))-(BH1674-BC1674))/BC1674)))</f>
        <v>1</v>
      </c>
      <c r="BJ1674" s="48" t="str">
        <f aca="false">IF(AI1674&lt;=0,"",IF(CF1674="Aussen","Aussenlager",IF(CF1674="-","Nicht im Lift",IF(AO1674&gt;=1,"Lift",IF(AO1674&lt;=0,"Aussenlager","teilweise")))))</f>
        <v>Lift</v>
      </c>
      <c r="BK1674" s="48" t="str">
        <f aca="false">IF(AS1674&lt;=0,"",IF(CF1674="Aussen","Aussenlager",IF(CF1674="-","Nicht im Lift",IF(AY1674&gt;=1,"Lift",IF(AY1674&lt;=0,"Aussenlager","teilweise")))))</f>
        <v>Aussenlager</v>
      </c>
      <c r="BL1674" s="48" t="str">
        <f aca="false">IF(BC1674&lt;=0,"",IF(CF1674="Aussen","Aussenlager",IF(CF1674="-","Nicht im Lift",IF(BI1674&gt;=1,"Lift",IF(BI1674&lt;=0,"Aussenlager","teilweise")))))</f>
        <v>Lift</v>
      </c>
      <c r="BM1674" s="48" t="str">
        <f aca="false">IF(A1674="","",IF(BV1674=1,"Neu; ","")&amp;IF(AND(BV1674=0,BQ1674&lt;0),"negativer Bestand (Export "&amp;BQ1674&amp;"); ","")&amp;IF(J1674&lt;=0,"Kein Verbrauch; ","")&amp;IF(CQ1674&gt;0,"Lift "&amp;W1674&amp;" lt. Liftbericht (Fach "&amp;X1674&amp;" Stk); ",IF(CA1674=1,"Gebinde geschätzt ("&amp;T1674&amp;"); ",IF(BZ1674=1,"Lose – Tablare geschätzt; ","")))&amp;IF(H1674&gt;AV1674,"Überbestand "&amp;ROUND(H1674-AV1674,0)&amp;" Stk / CHF "&amp;ROUND((H1674-AV1674)*G1674,0)&amp;"; ","")&amp;IF(AND(CH1674=1,CI1674&lt;CJ1674),"MAX &lt; MB+LG; ","")&amp;IF(AND(CP1674&gt;0,CO1674*10&gt;CP1674),"zu hoch für Tablar; ","")&amp;IF(AND(BV1674=0,OR(CH1674=1,AA1674&lt;&gt;"",U1674&lt;&gt;"",V1674&lt;&gt;"",AB1674&lt;&gt;"")),"manuell übersteuert; ","")&amp;IF(AND(BZ1674=0,R1674=0),"Gebinde unbekannt / Stellmass fehlt; ","")&amp;IF(AND(BZ1674=0,N(V1674)&lt;=0,N(Q1674)&lt;=0),"Menge pro Gebinde fehlt (Ist = 1 Gebinde); ","")&amp;BU1674)</f>
        <v>Kein Verbrauch; Überbestand 25 Stk / CHF 19625; nur im Artikelstamm (Bestand 23.06.2026)</v>
      </c>
      <c r="BN1674" s="48"/>
      <c r="BO1674" s="48"/>
      <c r="BP1674" s="55"/>
      <c r="BQ1674" s="50" t="n">
        <v>26</v>
      </c>
      <c r="BR1674" s="50" t="n">
        <v>0</v>
      </c>
      <c r="BS1674" s="49" t="n">
        <v>0</v>
      </c>
      <c r="BT1674" s="50" t="n">
        <v>0</v>
      </c>
      <c r="BU1674" s="48" t="s">
        <v>2584</v>
      </c>
      <c r="BV1674" s="53" t="n">
        <v>0</v>
      </c>
      <c r="BW1674" s="53" t="n">
        <v>1674</v>
      </c>
      <c r="BX1674" s="48" t="str">
        <f aca="false">IF(U1674&lt;&gt;"",UPPER(TRIM(U1674)),IF(CA1674=1,UPPER(VLOOKUP(T1674,Parameter!$I$27:$K$29,2,0)),IF(P1674="","LOSE",P1674)))</f>
        <v>S81</v>
      </c>
      <c r="BY1674" s="50" t="n">
        <f aca="false">IF(BX1674="LOSE",1,IF(N(V1674)&gt;0,V1674,IF(CA1674=1,MAX(1,N(VLOOKUP(T1674,Parameter!$I$27:$K$29,3,0)),H1674,N(N1674)),IF(N(Q1674)&gt;0,Q1674,MAX(1,H1674)))))</f>
        <v>5</v>
      </c>
      <c r="BZ1674" s="53" t="n">
        <f aca="false">IF(BX1674="LOSE",1,0)</f>
        <v>0</v>
      </c>
      <c r="CA1674" s="53" t="n">
        <f aca="false">IF(AND(U1674="",OR(P1674="",P1674="LOSE"),T1674&lt;&gt;"",N(S1674)&lt;=0,ISNUMBER(MATCH(T1674,Parameter!$I$27:$I$29,0))),1,0)</f>
        <v>0</v>
      </c>
      <c r="CB1674" s="53" t="n">
        <f aca="false">IF(CQ1674&gt;0,INDEX(Parameter!$H$5:$H$7,W1674)/INDEX(Parameter!$E$5:$E$7,W1674),IF(AND(BZ1674=0,N(IFERROR(VLOOKUP(BX1674,'Gebinde-Kategorie'!$A$5:$N$45,14,0),0))&gt;0),VLOOKUP(BX1674,'Gebinde-Kategorie'!$A$5:$N$45,14,0)*10+Parameter!$M$23,Parameter!$M$24))</f>
        <v>235</v>
      </c>
      <c r="CC1674" s="48" t="str">
        <f aca="false">IF(AND(Parameter!$B$19="Ja",E1674&lt;&gt;"",ISNUMBER(MATCH(E1674,Parameter!$I$35:$I$52,0))),VLOOKUP(E1674,Parameter!$I$35:$J$52,2,0),IFERROR(VLOOKUP(D1674,Parameter!$A$35:$C$64,2,0),"Nein"))</f>
        <v>2+3</v>
      </c>
      <c r="CD1674" s="52" t="n">
        <f aca="false">IF(BZ1674=0,0,IF(N(S1674)&gt;0,S1674,IFERROR(VLOOKUP(D1674,Parameter!$A$35:$C$64,3,0)+0,0)))</f>
        <v>0</v>
      </c>
      <c r="CE1674" s="48" t="n">
        <f aca="false">IF(AA1674&lt;&gt;"",AA1674,Z1674)</f>
        <v>2</v>
      </c>
      <c r="CF1674" s="48" t="str">
        <f aca="false">IF(OR(CE1674=1,CE1674=2,CE1674=3),IF(Parameter!$E$27="Ja","LIFT",IF(CE1674=1,"L1","L23")),IF(CE1674="Aussen","Aussen","-"))</f>
        <v>LIFT</v>
      </c>
      <c r="CG1674" s="59" t="n">
        <f aca="false">IF(N(AB1674)&gt;0,AB1674,0)</f>
        <v>0</v>
      </c>
      <c r="CH1674" s="53" t="n">
        <f aca="false">IF(ISNUMBER(AE1674),1,0)</f>
        <v>0</v>
      </c>
      <c r="CI1674" s="50" t="n">
        <f aca="false">N(AE1674)</f>
        <v>0</v>
      </c>
      <c r="CJ1674" s="50" t="n">
        <f aca="false">N(M1674)+N(N1674)</f>
        <v>1</v>
      </c>
      <c r="CK1674" s="50" t="n">
        <f aca="false">N(M1674)</f>
        <v>0</v>
      </c>
      <c r="CL1674" s="50" t="n">
        <f aca="false">N(N1674)</f>
        <v>1</v>
      </c>
      <c r="CM1674" s="50" t="n">
        <f aca="false">ROUNDUP(H1674/BY1674,0)</f>
        <v>6</v>
      </c>
      <c r="CN1674" s="50" t="n">
        <f aca="false">ROUNDUP(CI1674/BY1674,0)</f>
        <v>0</v>
      </c>
      <c r="CO1674" s="53" t="n">
        <f aca="false">IF(BZ1674=1,0,IFERROR(VLOOKUP(BX1674,'Gebinde-Kategorie'!$A$5:$N$45,5,0)+0,0))</f>
        <v>20</v>
      </c>
      <c r="CP1674" s="53" t="n">
        <f aca="false">IFERROR(IF(OR(CE1674=1,CE1674=2,CE1674=3),N(INDEX(Parameter!$I$5:$I$7,CE1674)),0),0)</f>
        <v>0</v>
      </c>
      <c r="CQ1674" s="52" t="n">
        <f aca="false">IF(AND(Parameter!$B$21="Ja",ISNUMBER(W1674),N(X1674)&gt;0),IFERROR(N(INDEX(Parameter!$L$5:$L$7,W1674))*INDEX(Parameter!$E$5:$E$7,W1674)*X1674/SUMIFS($X$7:$X$1843,$W$7:$W$1843,W1674),0),0)</f>
        <v>0</v>
      </c>
    </row>
    <row r="1675" customFormat="false" ht="15" hidden="false" customHeight="false" outlineLevel="0" collapsed="false">
      <c r="A1675" s="48" t="s">
        <v>2914</v>
      </c>
      <c r="B1675" s="48" t="s">
        <v>2915</v>
      </c>
      <c r="C1675" s="48" t="s">
        <v>173</v>
      </c>
      <c r="D1675" s="48" t="s">
        <v>182</v>
      </c>
      <c r="E1675" s="48"/>
      <c r="F1675" s="48"/>
      <c r="G1675" s="49" t="n">
        <v>288.29</v>
      </c>
      <c r="H1675" s="50" t="n">
        <f aca="false">MAX(0,IF(AND(Parameter!$B$21="Ja",ISNUMBER(Y1675)),Y1675,IF(Parameter!$B$20="Jahresanfang 2025 + Export",BR1675+BQ1675,BQ1675)))</f>
        <v>13</v>
      </c>
      <c r="I1675" s="50" t="n">
        <f aca="false">H1675*G1675</f>
        <v>3747.77</v>
      </c>
      <c r="J1675" s="50" t="n">
        <f aca="false">BT1675*Parameter!$B$18</f>
        <v>0</v>
      </c>
      <c r="K1675" s="51"/>
      <c r="L1675" s="52"/>
      <c r="M1675" s="50" t="n">
        <v>0</v>
      </c>
      <c r="N1675" s="50" t="n">
        <v>5</v>
      </c>
      <c r="O1675" s="53" t="n">
        <v>84</v>
      </c>
      <c r="P1675" s="48" t="s">
        <v>183</v>
      </c>
      <c r="Q1675" s="50" t="n">
        <v>15</v>
      </c>
      <c r="R1675" s="53" t="n">
        <f aca="false">IF(BZ1675=1,0,IFERROR(VLOOKUP(BX1675,'Gebinde-Kategorie'!$A$5:$N$45,13,0)+0,0))</f>
        <v>6</v>
      </c>
      <c r="S1675" s="54"/>
      <c r="T1675" s="55"/>
      <c r="U1675" s="55"/>
      <c r="V1675" s="55"/>
      <c r="W1675" s="48"/>
      <c r="X1675" s="50"/>
      <c r="Y1675" s="50"/>
      <c r="Z1675" s="48" t="n">
        <f aca="false">IF(A1675="","",IF(AND(Parameter!$B$21="Ja",ISNUMBER(W1675)),W1675,IF(CC1675="2+3",IF(ISNUMBER(SEARCH("grosser Artikel",BU1675)),2,IFERROR(VLOOKUP(BX1675,Parameter!$F$35:$G$64,2,0),2)),IF(OR(CC1675="Nein",CC1675=""),"-",CC1675))))</f>
        <v>2</v>
      </c>
      <c r="AA1675" s="55"/>
      <c r="AB1675" s="56"/>
      <c r="AC1675" s="50" t="n">
        <f aca="false">AV1675</f>
        <v>5</v>
      </c>
      <c r="AD1675" s="50" t="n">
        <f aca="false">MAX(AV1675,H1675)</f>
        <v>13</v>
      </c>
      <c r="AE1675" s="57"/>
      <c r="AF1675" s="50" t="n">
        <f aca="false">IF(LEFT(Cockpit!$C$5,1)="A",H1675,IF(Parameter!$E$30="MAX-Bestand",IF(CH1675=1,CI1675,IF(LEFT(Cockpit!$C$5,1)="B",AL1675,MAX(AL1675,H1675))),ROUNDUP(AJ1675,0)))</f>
        <v>13</v>
      </c>
      <c r="AG1675" s="50" t="n">
        <f aca="false">IF(BZ1675=1,0,ROUNDUP(AF1675/BY1675,0))</f>
        <v>1</v>
      </c>
      <c r="AH1675" s="52" t="n">
        <f aca="false">IF(CQ1675&gt;0,CQ1675*MAX(1,AF1675/X1675),IF(BZ1675=1,IF(AF1675&lt;=0,0,CD1675*MAX(1,IF(H1675&gt;0,AF1675/H1675,1))),IF(R1675&gt;0,AG1675/R1675,0))/MAX(0.1,N(Parameter!$M$21)))</f>
        <v>0.166666666666667</v>
      </c>
      <c r="AI1675" s="50" t="n">
        <f aca="false">AH1675*CB1675</f>
        <v>39.1666666666667</v>
      </c>
      <c r="AJ1675" s="51" t="n">
        <f aca="false">IF(LEFT(Cockpit!$C$5,1)="A",H1675,IF(CH1675=1,(CK1675+CI1675)/2,IF(LEFT(Cockpit!$C$5,1)="B",(CK1675+AL1675)/2,MAX((CK1675+AL1675)/2,H1675))))</f>
        <v>13</v>
      </c>
      <c r="AK1675" s="50" t="n">
        <f aca="false">AJ1675*G1675</f>
        <v>3747.77</v>
      </c>
      <c r="AL1675" s="50" t="n">
        <f aca="false">ROUNDUP(CK1675+MAX(CL1675,2*(J1675/IF(CG1675&gt;0,CG1675,MAX(0.1,N(Cockpit!$C$6)))-CK1675)),0)</f>
        <v>5</v>
      </c>
      <c r="AM1675" s="51" t="n">
        <f aca="false">IF(AI1675&gt;0,J1675/AI1675,-1)</f>
        <v>0</v>
      </c>
      <c r="AN1675" s="51" t="n">
        <f aca="false">IF(AND(OR(CF1675="L1",CF1675="L23",CF1675="LIFT"),AI1675&gt;0),SUMIFS($AI$7:$AI$1843,$CF$7:$CF$1843,CF1675,$AM$7:$AM$1843,"&gt;"&amp;AM1675)+SUMIFS($AI$7:$AI$1843,$CF$7:$CF$1843,CF1675,$AM$7:$AM$1843,AM1675,$BW$7:$BW$1843,"&lt;="&amp;BW1675),"")</f>
        <v>32409.0884268744</v>
      </c>
      <c r="AO1675" s="58" t="n">
        <f aca="false">IF(AN1675="",0,MAX(0,MIN(1,(IF(CF1675="L1",Parameter!$H$5,IF(CF1675="L23",Parameter!$H$6+Parameter!$H$7,Parameter!$H$5+Parameter!$H$6+Parameter!$H$7))-(AN1675-AI1675))/AI1675)))</f>
        <v>1</v>
      </c>
      <c r="AP1675" s="50" t="n">
        <f aca="false">IF(LEFT(Cockpit!$I$5,1)="A",H1675,IF(Parameter!$E$30="MAX-Bestand",IF(CH1675=1,CI1675,IF(LEFT(Cockpit!$I$5,1)="B",AV1675,MAX(AV1675,H1675))),ROUNDUP(AT1675,0)))</f>
        <v>13</v>
      </c>
      <c r="AQ1675" s="50" t="n">
        <f aca="false">IF(BZ1675=1,0,ROUNDUP(AP1675/BY1675,0))</f>
        <v>1</v>
      </c>
      <c r="AR1675" s="52" t="n">
        <f aca="false">IF(CQ1675&gt;0,CQ1675*MAX(1,AP1675/X1675),IF(BZ1675=1,IF(AP1675&lt;=0,0,CD1675*MAX(1,IF(H1675&gt;0,AP1675/H1675,1))),IF(R1675&gt;0,AQ1675/R1675,0))/MAX(0.1,N(Parameter!$M$21)))</f>
        <v>0.166666666666667</v>
      </c>
      <c r="AS1675" s="50" t="n">
        <f aca="false">AR1675*CB1675</f>
        <v>39.1666666666667</v>
      </c>
      <c r="AT1675" s="51" t="n">
        <f aca="false">IF(LEFT(Cockpit!$I$5,1)="A",H1675,IF(CH1675=1,(CK1675+CI1675)/2,IF(LEFT(Cockpit!$I$5,1)="B",(CK1675+AV1675)/2,MAX((CK1675+AV1675)/2,H1675))))</f>
        <v>13</v>
      </c>
      <c r="AU1675" s="50" t="n">
        <f aca="false">AT1675*G1675</f>
        <v>3747.77</v>
      </c>
      <c r="AV1675" s="50" t="n">
        <f aca="false">ROUNDUP(CK1675+MAX(CL1675,2*(J1675/IF(CG1675&gt;0,CG1675,MAX(0.1,N(Cockpit!$I$6)))-CK1675)),0)</f>
        <v>5</v>
      </c>
      <c r="AW1675" s="51" t="n">
        <f aca="false">IF(AS1675&gt;0,J1675/AS1675,-1)</f>
        <v>0</v>
      </c>
      <c r="AX1675" s="51" t="n">
        <f aca="false">IF(AND(OR(CF1675="L1",CF1675="L23",CF1675="LIFT"),AS1675&gt;0),SUMIFS($AS$7:$AS$1843,$CF$7:$CF$1843,CF1675,$AW$7:$AW$1843,"&gt;"&amp;AW1675)+SUMIFS($AS$7:$AS$1843,$CF$7:$CF$1843,CF1675,$AW$7:$AW$1843,AW1675,$BW$7:$BW$1843,"&lt;="&amp;BW1675),"")</f>
        <v>38881.3366574574</v>
      </c>
      <c r="AY1675" s="58" t="n">
        <f aca="false">IF(AX1675="",0,MAX(0,MIN(1,(IF(CF1675="L1",Parameter!$H$5,IF(CF1675="L23",Parameter!$H$6+Parameter!$H$7,Parameter!$H$5+Parameter!$H$6+Parameter!$H$7))-(AX1675-AS1675))/AS1675)))</f>
        <v>0</v>
      </c>
      <c r="AZ1675" s="50" t="n">
        <f aca="false">IF(LEFT(Cockpit!$O$5,1)="A",H1675,IF(Parameter!$E$30="MAX-Bestand",IF(CH1675=1,CI1675,IF(LEFT(Cockpit!$O$5,1)="B",BF1675,MAX(BF1675,H1675))),ROUNDUP(BD1675,0)))</f>
        <v>3</v>
      </c>
      <c r="BA1675" s="50" t="n">
        <f aca="false">IF(BZ1675=1,0,ROUNDUP(AZ1675/BY1675,0))</f>
        <v>1</v>
      </c>
      <c r="BB1675" s="52" t="n">
        <f aca="false">IF(CQ1675&gt;0,CQ1675*MAX(1,AZ1675/X1675),IF(BZ1675=1,IF(AZ1675&lt;=0,0,CD1675*MAX(1,IF(H1675&gt;0,AZ1675/H1675,1))),IF(R1675&gt;0,BA1675/R1675,0))/MAX(0.1,N(Parameter!$M$21)))</f>
        <v>0.166666666666667</v>
      </c>
      <c r="BC1675" s="50" t="n">
        <f aca="false">BB1675*CB1675</f>
        <v>39.1666666666667</v>
      </c>
      <c r="BD1675" s="51" t="n">
        <f aca="false">IF(LEFT(Cockpit!$O$5,1)="A",H1675,IF(CH1675=1,(CK1675+CI1675)/2,IF(LEFT(Cockpit!$O$5,1)="B",(CK1675+BF1675)/2,MAX((CK1675+BF1675)/2,H1675))))</f>
        <v>2.5</v>
      </c>
      <c r="BE1675" s="50" t="n">
        <f aca="false">BD1675*G1675</f>
        <v>720.725</v>
      </c>
      <c r="BF1675" s="50" t="n">
        <f aca="false">ROUNDUP(CK1675+MAX(CL1675,2*(J1675/IF(CG1675&gt;0,CG1675,MAX(0.1,N(Cockpit!$O$6)))-CK1675)),0)</f>
        <v>5</v>
      </c>
      <c r="BG1675" s="51" t="n">
        <f aca="false">IF(BC1675&gt;0,J1675/BC1675,-1)</f>
        <v>0</v>
      </c>
      <c r="BH1675" s="51" t="n">
        <f aca="false">IF(AND(OR(CF1675="L1",CF1675="L23",CF1675="LIFT"),BC1675&gt;0),SUMIFS($BC$7:$BC$1843,$CF$7:$CF$1843,CF1675,$BG$7:$BG$1843,"&gt;"&amp;BG1675)+SUMIFS($BC$7:$BC$1843,$CF$7:$CF$1843,CF1675,$BG$7:$BG$1843,BG1675,$BW$7:$BW$1843,"&lt;="&amp;BW1675),"")</f>
        <v>32203.2779329898</v>
      </c>
      <c r="BI1675" s="58" t="n">
        <f aca="false">IF(BH1675="",0,MAX(0,MIN(1,(IF(CF1675="L1",Parameter!$H$5,IF(CF1675="L23",Parameter!$H$6+Parameter!$H$7,Parameter!$H$5+Parameter!$H$6+Parameter!$H$7))-(BH1675-BC1675))/BC1675)))</f>
        <v>1</v>
      </c>
      <c r="BJ1675" s="48" t="str">
        <f aca="false">IF(AI1675&lt;=0,"",IF(CF1675="Aussen","Aussenlager",IF(CF1675="-","Nicht im Lift",IF(AO1675&gt;=1,"Lift",IF(AO1675&lt;=0,"Aussenlager","teilweise")))))</f>
        <v>Lift</v>
      </c>
      <c r="BK1675" s="48" t="str">
        <f aca="false">IF(AS1675&lt;=0,"",IF(CF1675="Aussen","Aussenlager",IF(CF1675="-","Nicht im Lift",IF(AY1675&gt;=1,"Lift",IF(AY1675&lt;=0,"Aussenlager","teilweise")))))</f>
        <v>Aussenlager</v>
      </c>
      <c r="BL1675" s="48" t="str">
        <f aca="false">IF(BC1675&lt;=0,"",IF(CF1675="Aussen","Aussenlager",IF(CF1675="-","Nicht im Lift",IF(BI1675&gt;=1,"Lift",IF(BI1675&lt;=0,"Aussenlager","teilweise")))))</f>
        <v>Lift</v>
      </c>
      <c r="BM1675" s="48" t="str">
        <f aca="false">IF(A1675="","",IF(BV1675=1,"Neu; ","")&amp;IF(AND(BV1675=0,BQ1675&lt;0),"negativer Bestand (Export "&amp;BQ1675&amp;"); ","")&amp;IF(J1675&lt;=0,"Kein Verbrauch; ","")&amp;IF(CQ1675&gt;0,"Lift "&amp;W1675&amp;" lt. Liftbericht (Fach "&amp;X1675&amp;" Stk); ",IF(CA1675=1,"Gebinde geschätzt ("&amp;T1675&amp;"); ",IF(BZ1675=1,"Lose – Tablare geschätzt; ","")))&amp;IF(H1675&gt;AV1675,"Überbestand "&amp;ROUND(H1675-AV1675,0)&amp;" Stk / CHF "&amp;ROUND((H1675-AV1675)*G1675,0)&amp;"; ","")&amp;IF(AND(CH1675=1,CI1675&lt;CJ1675),"MAX &lt; MB+LG; ","")&amp;IF(AND(CP1675&gt;0,CO1675*10&gt;CP1675),"zu hoch für Tablar; ","")&amp;IF(AND(BV1675=0,OR(CH1675=1,AA1675&lt;&gt;"",U1675&lt;&gt;"",V1675&lt;&gt;"",AB1675&lt;&gt;"")),"manuell übersteuert; ","")&amp;IF(AND(BZ1675=0,R1675=0),"Gebinde unbekannt / Stellmass fehlt; ","")&amp;IF(AND(BZ1675=0,N(V1675)&lt;=0,N(Q1675)&lt;=0),"Menge pro Gebinde fehlt (Ist = 1 Gebinde); ","")&amp;BU1675)</f>
        <v>Kein Verbrauch; Überbestand 8 Stk / CHF 2306; nur im Artikelstamm (Bestand 23.06.2026); Überbestand</v>
      </c>
      <c r="BN1675" s="48"/>
      <c r="BO1675" s="48"/>
      <c r="BP1675" s="55"/>
      <c r="BQ1675" s="50" t="n">
        <v>13</v>
      </c>
      <c r="BR1675" s="50" t="n">
        <v>0</v>
      </c>
      <c r="BS1675" s="49" t="n">
        <v>0</v>
      </c>
      <c r="BT1675" s="50" t="n">
        <v>0</v>
      </c>
      <c r="BU1675" s="48" t="s">
        <v>2581</v>
      </c>
      <c r="BV1675" s="53" t="n">
        <v>0</v>
      </c>
      <c r="BW1675" s="53" t="n">
        <v>1675</v>
      </c>
      <c r="BX1675" s="48" t="str">
        <f aca="false">IF(U1675&lt;&gt;"",UPPER(TRIM(U1675)),IF(CA1675=1,UPPER(VLOOKUP(T1675,Parameter!$I$27:$K$29,2,0)),IF(P1675="","LOSE",P1675)))</f>
        <v>S71</v>
      </c>
      <c r="BY1675" s="50" t="n">
        <f aca="false">IF(BX1675="LOSE",1,IF(N(V1675)&gt;0,V1675,IF(CA1675=1,MAX(1,N(VLOOKUP(T1675,Parameter!$I$27:$K$29,3,0)),H1675,N(N1675)),IF(N(Q1675)&gt;0,Q1675,MAX(1,H1675)))))</f>
        <v>15</v>
      </c>
      <c r="BZ1675" s="53" t="n">
        <f aca="false">IF(BX1675="LOSE",1,0)</f>
        <v>0</v>
      </c>
      <c r="CA1675" s="53" t="n">
        <f aca="false">IF(AND(U1675="",OR(P1675="",P1675="LOSE"),T1675&lt;&gt;"",N(S1675)&lt;=0,ISNUMBER(MATCH(T1675,Parameter!$I$27:$I$29,0))),1,0)</f>
        <v>0</v>
      </c>
      <c r="CB1675" s="53" t="n">
        <f aca="false">IF(CQ1675&gt;0,INDEX(Parameter!$H$5:$H$7,W1675)/INDEX(Parameter!$E$5:$E$7,W1675),IF(AND(BZ1675=0,N(IFERROR(VLOOKUP(BX1675,'Gebinde-Kategorie'!$A$5:$N$45,14,0),0))&gt;0),VLOOKUP(BX1675,'Gebinde-Kategorie'!$A$5:$N$45,14,0)*10+Parameter!$M$23,Parameter!$M$24))</f>
        <v>235</v>
      </c>
      <c r="CC1675" s="48" t="str">
        <f aca="false">IF(AND(Parameter!$B$19="Ja",E1675&lt;&gt;"",ISNUMBER(MATCH(E1675,Parameter!$I$35:$I$52,0))),VLOOKUP(E1675,Parameter!$I$35:$J$52,2,0),IFERROR(VLOOKUP(D1675,Parameter!$A$35:$C$64,2,0),"Nein"))</f>
        <v>2+3</v>
      </c>
      <c r="CD1675" s="52" t="n">
        <f aca="false">IF(BZ1675=0,0,IF(N(S1675)&gt;0,S1675,IFERROR(VLOOKUP(D1675,Parameter!$A$35:$C$64,3,0)+0,0)))</f>
        <v>0</v>
      </c>
      <c r="CE1675" s="48" t="n">
        <f aca="false">IF(AA1675&lt;&gt;"",AA1675,Z1675)</f>
        <v>2</v>
      </c>
      <c r="CF1675" s="48" t="str">
        <f aca="false">IF(OR(CE1675=1,CE1675=2,CE1675=3),IF(Parameter!$E$27="Ja","LIFT",IF(CE1675=1,"L1","L23")),IF(CE1675="Aussen","Aussen","-"))</f>
        <v>LIFT</v>
      </c>
      <c r="CG1675" s="59" t="n">
        <f aca="false">IF(N(AB1675)&gt;0,AB1675,0)</f>
        <v>0</v>
      </c>
      <c r="CH1675" s="53" t="n">
        <f aca="false">IF(ISNUMBER(AE1675),1,0)</f>
        <v>0</v>
      </c>
      <c r="CI1675" s="50" t="n">
        <f aca="false">N(AE1675)</f>
        <v>0</v>
      </c>
      <c r="CJ1675" s="50" t="n">
        <f aca="false">N(M1675)+N(N1675)</f>
        <v>5</v>
      </c>
      <c r="CK1675" s="50" t="n">
        <f aca="false">N(M1675)</f>
        <v>0</v>
      </c>
      <c r="CL1675" s="50" t="n">
        <f aca="false">N(N1675)</f>
        <v>5</v>
      </c>
      <c r="CM1675" s="50" t="n">
        <f aca="false">ROUNDUP(H1675/BY1675,0)</f>
        <v>1</v>
      </c>
      <c r="CN1675" s="50" t="n">
        <f aca="false">ROUNDUP(CI1675/BY1675,0)</f>
        <v>0</v>
      </c>
      <c r="CO1675" s="53" t="n">
        <f aca="false">IF(BZ1675=1,0,IFERROR(VLOOKUP(BX1675,'Gebinde-Kategorie'!$A$5:$N$45,5,0)+0,0))</f>
        <v>20</v>
      </c>
      <c r="CP1675" s="53" t="n">
        <f aca="false">IFERROR(IF(OR(CE1675=1,CE1675=2,CE1675=3),N(INDEX(Parameter!$I$5:$I$7,CE1675)),0),0)</f>
        <v>0</v>
      </c>
      <c r="CQ1675" s="52" t="n">
        <f aca="false">IF(AND(Parameter!$B$21="Ja",ISNUMBER(W1675),N(X1675)&gt;0),IFERROR(N(INDEX(Parameter!$L$5:$L$7,W1675))*INDEX(Parameter!$E$5:$E$7,W1675)*X1675/SUMIFS($X$7:$X$1843,$W$7:$W$1843,W1675),0),0)</f>
        <v>0</v>
      </c>
    </row>
    <row r="1676" customFormat="false" ht="15" hidden="false" customHeight="false" outlineLevel="0" collapsed="false">
      <c r="A1676" s="48" t="s">
        <v>2916</v>
      </c>
      <c r="B1676" s="48" t="s">
        <v>531</v>
      </c>
      <c r="C1676" s="48" t="s">
        <v>173</v>
      </c>
      <c r="D1676" s="48" t="s">
        <v>182</v>
      </c>
      <c r="E1676" s="48" t="s">
        <v>194</v>
      </c>
      <c r="F1676" s="48"/>
      <c r="G1676" s="49" t="n">
        <v>486.67</v>
      </c>
      <c r="H1676" s="50" t="n">
        <f aca="false">MAX(0,IF(AND(Parameter!$B$21="Ja",ISNUMBER(Y1676)),Y1676,IF(Parameter!$B$20="Jahresanfang 2025 + Export",BR1676+BQ1676,BQ1676)))</f>
        <v>2</v>
      </c>
      <c r="I1676" s="50" t="n">
        <f aca="false">H1676*G1676</f>
        <v>973.34</v>
      </c>
      <c r="J1676" s="50" t="n">
        <f aca="false">BT1676*Parameter!$B$18</f>
        <v>0</v>
      </c>
      <c r="K1676" s="51"/>
      <c r="L1676" s="52"/>
      <c r="M1676" s="50" t="n">
        <v>0</v>
      </c>
      <c r="N1676" s="50" t="n">
        <v>1</v>
      </c>
      <c r="O1676" s="53" t="n">
        <v>56</v>
      </c>
      <c r="P1676" s="48" t="s">
        <v>183</v>
      </c>
      <c r="Q1676" s="50" t="n">
        <v>7</v>
      </c>
      <c r="R1676" s="53" t="n">
        <f aca="false">IF(BZ1676=1,0,IFERROR(VLOOKUP(BX1676,'Gebinde-Kategorie'!$A$5:$N$45,13,0)+0,0))</f>
        <v>6</v>
      </c>
      <c r="S1676" s="54"/>
      <c r="T1676" s="55"/>
      <c r="U1676" s="55"/>
      <c r="V1676" s="55"/>
      <c r="W1676" s="48"/>
      <c r="X1676" s="50"/>
      <c r="Y1676" s="50"/>
      <c r="Z1676" s="48" t="n">
        <f aca="false">IF(A1676="","",IF(AND(Parameter!$B$21="Ja",ISNUMBER(W1676)),W1676,IF(CC1676="2+3",IF(ISNUMBER(SEARCH("grosser Artikel",BU1676)),2,IFERROR(VLOOKUP(BX1676,Parameter!$F$35:$G$64,2,0),2)),IF(OR(CC1676="Nein",CC1676=""),"-",CC1676))))</f>
        <v>2</v>
      </c>
      <c r="AA1676" s="55"/>
      <c r="AB1676" s="56"/>
      <c r="AC1676" s="50" t="n">
        <f aca="false">AV1676</f>
        <v>1</v>
      </c>
      <c r="AD1676" s="50" t="n">
        <f aca="false">MAX(AV1676,H1676)</f>
        <v>2</v>
      </c>
      <c r="AE1676" s="57"/>
      <c r="AF1676" s="50" t="n">
        <f aca="false">IF(LEFT(Cockpit!$C$5,1)="A",H1676,IF(Parameter!$E$30="MAX-Bestand",IF(CH1676=1,CI1676,IF(LEFT(Cockpit!$C$5,1)="B",AL1676,MAX(AL1676,H1676))),ROUNDUP(AJ1676,0)))</f>
        <v>2</v>
      </c>
      <c r="AG1676" s="50" t="n">
        <f aca="false">IF(BZ1676=1,0,ROUNDUP(AF1676/BY1676,0))</f>
        <v>1</v>
      </c>
      <c r="AH1676" s="52" t="n">
        <f aca="false">IF(CQ1676&gt;0,CQ1676*MAX(1,AF1676/X1676),IF(BZ1676=1,IF(AF1676&lt;=0,0,CD1676*MAX(1,IF(H1676&gt;0,AF1676/H1676,1))),IF(R1676&gt;0,AG1676/R1676,0))/MAX(0.1,N(Parameter!$M$21)))</f>
        <v>0.166666666666667</v>
      </c>
      <c r="AI1676" s="50" t="n">
        <f aca="false">AH1676*CB1676</f>
        <v>39.1666666666667</v>
      </c>
      <c r="AJ1676" s="51" t="n">
        <f aca="false">IF(LEFT(Cockpit!$C$5,1)="A",H1676,IF(CH1676=1,(CK1676+CI1676)/2,IF(LEFT(Cockpit!$C$5,1)="B",(CK1676+AL1676)/2,MAX((CK1676+AL1676)/2,H1676))))</f>
        <v>2</v>
      </c>
      <c r="AK1676" s="50" t="n">
        <f aca="false">AJ1676*G1676</f>
        <v>973.34</v>
      </c>
      <c r="AL1676" s="50" t="n">
        <f aca="false">ROUNDUP(CK1676+MAX(CL1676,2*(J1676/IF(CG1676&gt;0,CG1676,MAX(0.1,N(Cockpit!$C$6)))-CK1676)),0)</f>
        <v>1</v>
      </c>
      <c r="AM1676" s="51" t="n">
        <f aca="false">IF(AI1676&gt;0,J1676/AI1676,-1)</f>
        <v>0</v>
      </c>
      <c r="AN1676" s="51" t="n">
        <f aca="false">IF(AND(OR(CF1676="L1",CF1676="L23",CF1676="LIFT"),AI1676&gt;0),SUMIFS($AI$7:$AI$1843,$CF$7:$CF$1843,CF1676,$AM$7:$AM$1843,"&gt;"&amp;AM1676)+SUMIFS($AI$7:$AI$1843,$CF$7:$CF$1843,CF1676,$AM$7:$AM$1843,AM1676,$BW$7:$BW$1843,"&lt;="&amp;BW1676),"")</f>
        <v>32448.2550935411</v>
      </c>
      <c r="AO1676" s="58" t="n">
        <f aca="false">IF(AN1676="",0,MAX(0,MIN(1,(IF(CF1676="L1",Parameter!$H$5,IF(CF1676="L23",Parameter!$H$6+Parameter!$H$7,Parameter!$H$5+Parameter!$H$6+Parameter!$H$7))-(AN1676-AI1676))/AI1676)))</f>
        <v>1</v>
      </c>
      <c r="AP1676" s="50" t="n">
        <f aca="false">IF(LEFT(Cockpit!$I$5,1)="A",H1676,IF(Parameter!$E$30="MAX-Bestand",IF(CH1676=1,CI1676,IF(LEFT(Cockpit!$I$5,1)="B",AV1676,MAX(AV1676,H1676))),ROUNDUP(AT1676,0)))</f>
        <v>2</v>
      </c>
      <c r="AQ1676" s="50" t="n">
        <f aca="false">IF(BZ1676=1,0,ROUNDUP(AP1676/BY1676,0))</f>
        <v>1</v>
      </c>
      <c r="AR1676" s="52" t="n">
        <f aca="false">IF(CQ1676&gt;0,CQ1676*MAX(1,AP1676/X1676),IF(BZ1676=1,IF(AP1676&lt;=0,0,CD1676*MAX(1,IF(H1676&gt;0,AP1676/H1676,1))),IF(R1676&gt;0,AQ1676/R1676,0))/MAX(0.1,N(Parameter!$M$21)))</f>
        <v>0.166666666666667</v>
      </c>
      <c r="AS1676" s="50" t="n">
        <f aca="false">AR1676*CB1676</f>
        <v>39.1666666666667</v>
      </c>
      <c r="AT1676" s="51" t="n">
        <f aca="false">IF(LEFT(Cockpit!$I$5,1)="A",H1676,IF(CH1676=1,(CK1676+CI1676)/2,IF(LEFT(Cockpit!$I$5,1)="B",(CK1676+AV1676)/2,MAX((CK1676+AV1676)/2,H1676))))</f>
        <v>2</v>
      </c>
      <c r="AU1676" s="50" t="n">
        <f aca="false">AT1676*G1676</f>
        <v>973.34</v>
      </c>
      <c r="AV1676" s="50" t="n">
        <f aca="false">ROUNDUP(CK1676+MAX(CL1676,2*(J1676/IF(CG1676&gt;0,CG1676,MAX(0.1,N(Cockpit!$I$6)))-CK1676)),0)</f>
        <v>1</v>
      </c>
      <c r="AW1676" s="51" t="n">
        <f aca="false">IF(AS1676&gt;0,J1676/AS1676,-1)</f>
        <v>0</v>
      </c>
      <c r="AX1676" s="51" t="n">
        <f aca="false">IF(AND(OR(CF1676="L1",CF1676="L23",CF1676="LIFT"),AS1676&gt;0),SUMIFS($AS$7:$AS$1843,$CF$7:$CF$1843,CF1676,$AW$7:$AW$1843,"&gt;"&amp;AW1676)+SUMIFS($AS$7:$AS$1843,$CF$7:$CF$1843,CF1676,$AW$7:$AW$1843,AW1676,$BW$7:$BW$1843,"&lt;="&amp;BW1676),"")</f>
        <v>38920.5033241241</v>
      </c>
      <c r="AY1676" s="58" t="n">
        <f aca="false">IF(AX1676="",0,MAX(0,MIN(1,(IF(CF1676="L1",Parameter!$H$5,IF(CF1676="L23",Parameter!$H$6+Parameter!$H$7,Parameter!$H$5+Parameter!$H$6+Parameter!$H$7))-(AX1676-AS1676))/AS1676)))</f>
        <v>0</v>
      </c>
      <c r="AZ1676" s="50" t="n">
        <f aca="false">IF(LEFT(Cockpit!$O$5,1)="A",H1676,IF(Parameter!$E$30="MAX-Bestand",IF(CH1676=1,CI1676,IF(LEFT(Cockpit!$O$5,1)="B",BF1676,MAX(BF1676,H1676))),ROUNDUP(BD1676,0)))</f>
        <v>1</v>
      </c>
      <c r="BA1676" s="50" t="n">
        <f aca="false">IF(BZ1676=1,0,ROUNDUP(AZ1676/BY1676,0))</f>
        <v>1</v>
      </c>
      <c r="BB1676" s="52" t="n">
        <f aca="false">IF(CQ1676&gt;0,CQ1676*MAX(1,AZ1676/X1676),IF(BZ1676=1,IF(AZ1676&lt;=0,0,CD1676*MAX(1,IF(H1676&gt;0,AZ1676/H1676,1))),IF(R1676&gt;0,BA1676/R1676,0))/MAX(0.1,N(Parameter!$M$21)))</f>
        <v>0.166666666666667</v>
      </c>
      <c r="BC1676" s="50" t="n">
        <f aca="false">BB1676*CB1676</f>
        <v>39.1666666666667</v>
      </c>
      <c r="BD1676" s="51" t="n">
        <f aca="false">IF(LEFT(Cockpit!$O$5,1)="A",H1676,IF(CH1676=1,(CK1676+CI1676)/2,IF(LEFT(Cockpit!$O$5,1)="B",(CK1676+BF1676)/2,MAX((CK1676+BF1676)/2,H1676))))</f>
        <v>0.5</v>
      </c>
      <c r="BE1676" s="50" t="n">
        <f aca="false">BD1676*G1676</f>
        <v>243.335</v>
      </c>
      <c r="BF1676" s="50" t="n">
        <f aca="false">ROUNDUP(CK1676+MAX(CL1676,2*(J1676/IF(CG1676&gt;0,CG1676,MAX(0.1,N(Cockpit!$O$6)))-CK1676)),0)</f>
        <v>1</v>
      </c>
      <c r="BG1676" s="51" t="n">
        <f aca="false">IF(BC1676&gt;0,J1676/BC1676,-1)</f>
        <v>0</v>
      </c>
      <c r="BH1676" s="51" t="n">
        <f aca="false">IF(AND(OR(CF1676="L1",CF1676="L23",CF1676="LIFT"),BC1676&gt;0),SUMIFS($BC$7:$BC$1843,$CF$7:$CF$1843,CF1676,$BG$7:$BG$1843,"&gt;"&amp;BG1676)+SUMIFS($BC$7:$BC$1843,$CF$7:$CF$1843,CF1676,$BG$7:$BG$1843,BG1676,$BW$7:$BW$1843,"&lt;="&amp;BW1676),"")</f>
        <v>32242.4445996565</v>
      </c>
      <c r="BI1676" s="58" t="n">
        <f aca="false">IF(BH1676="",0,MAX(0,MIN(1,(IF(CF1676="L1",Parameter!$H$5,IF(CF1676="L23",Parameter!$H$6+Parameter!$H$7,Parameter!$H$5+Parameter!$H$6+Parameter!$H$7))-(BH1676-BC1676))/BC1676)))</f>
        <v>1</v>
      </c>
      <c r="BJ1676" s="48" t="str">
        <f aca="false">IF(AI1676&lt;=0,"",IF(CF1676="Aussen","Aussenlager",IF(CF1676="-","Nicht im Lift",IF(AO1676&gt;=1,"Lift",IF(AO1676&lt;=0,"Aussenlager","teilweise")))))</f>
        <v>Lift</v>
      </c>
      <c r="BK1676" s="48" t="str">
        <f aca="false">IF(AS1676&lt;=0,"",IF(CF1676="Aussen","Aussenlager",IF(CF1676="-","Nicht im Lift",IF(AY1676&gt;=1,"Lift",IF(AY1676&lt;=0,"Aussenlager","teilweise")))))</f>
        <v>Aussenlager</v>
      </c>
      <c r="BL1676" s="48" t="str">
        <f aca="false">IF(BC1676&lt;=0,"",IF(CF1676="Aussen","Aussenlager",IF(CF1676="-","Nicht im Lift",IF(BI1676&gt;=1,"Lift",IF(BI1676&lt;=0,"Aussenlager","teilweise")))))</f>
        <v>Lift</v>
      </c>
      <c r="BM1676" s="48" t="str">
        <f aca="false">IF(A1676="","",IF(BV1676=1,"Neu; ","")&amp;IF(AND(BV1676=0,BQ1676&lt;0),"negativer Bestand (Export "&amp;BQ1676&amp;"); ","")&amp;IF(J1676&lt;=0,"Kein Verbrauch; ","")&amp;IF(CQ1676&gt;0,"Lift "&amp;W1676&amp;" lt. Liftbericht (Fach "&amp;X1676&amp;" Stk); ",IF(CA1676=1,"Gebinde geschätzt ("&amp;T1676&amp;"); ",IF(BZ1676=1,"Lose – Tablare geschätzt; ","")))&amp;IF(H1676&gt;AV1676,"Überbestand "&amp;ROUND(H1676-AV1676,0)&amp;" Stk / CHF "&amp;ROUND((H1676-AV1676)*G1676,0)&amp;"; ","")&amp;IF(AND(CH1676=1,CI1676&lt;CJ1676),"MAX &lt; MB+LG; ","")&amp;IF(AND(CP1676&gt;0,CO1676*10&gt;CP1676),"zu hoch für Tablar; ","")&amp;IF(AND(BV1676=0,OR(CH1676=1,AA1676&lt;&gt;"",U1676&lt;&gt;"",V1676&lt;&gt;"",AB1676&lt;&gt;"")),"manuell übersteuert; ","")&amp;IF(AND(BZ1676=0,R1676=0),"Gebinde unbekannt / Stellmass fehlt; ","")&amp;IF(AND(BZ1676=0,N(V1676)&lt;=0,N(Q1676)&lt;=0),"Menge pro Gebinde fehlt (Ist = 1 Gebinde); ","")&amp;BU1676)</f>
        <v>Kein Verbrauch; Überbestand 1 Stk / CHF 487; nur im Artikelstamm (Bestand 23.06.2026); grosser Artikel &amp; nicht im KTL</v>
      </c>
      <c r="BN1676" s="48"/>
      <c r="BO1676" s="48"/>
      <c r="BP1676" s="55"/>
      <c r="BQ1676" s="50" t="n">
        <v>2</v>
      </c>
      <c r="BR1676" s="50" t="n">
        <v>0</v>
      </c>
      <c r="BS1676" s="49" t="n">
        <v>0</v>
      </c>
      <c r="BT1676" s="50" t="n">
        <v>0</v>
      </c>
      <c r="BU1676" s="48" t="s">
        <v>2868</v>
      </c>
      <c r="BV1676" s="53" t="n">
        <v>0</v>
      </c>
      <c r="BW1676" s="53" t="n">
        <v>1676</v>
      </c>
      <c r="BX1676" s="48" t="str">
        <f aca="false">IF(U1676&lt;&gt;"",UPPER(TRIM(U1676)),IF(CA1676=1,UPPER(VLOOKUP(T1676,Parameter!$I$27:$K$29,2,0)),IF(P1676="","LOSE",P1676)))</f>
        <v>S71</v>
      </c>
      <c r="BY1676" s="50" t="n">
        <f aca="false">IF(BX1676="LOSE",1,IF(N(V1676)&gt;0,V1676,IF(CA1676=1,MAX(1,N(VLOOKUP(T1676,Parameter!$I$27:$K$29,3,0)),H1676,N(N1676)),IF(N(Q1676)&gt;0,Q1676,MAX(1,H1676)))))</f>
        <v>7</v>
      </c>
      <c r="BZ1676" s="53" t="n">
        <f aca="false">IF(BX1676="LOSE",1,0)</f>
        <v>0</v>
      </c>
      <c r="CA1676" s="53" t="n">
        <f aca="false">IF(AND(U1676="",OR(P1676="",P1676="LOSE"),T1676&lt;&gt;"",N(S1676)&lt;=0,ISNUMBER(MATCH(T1676,Parameter!$I$27:$I$29,0))),1,0)</f>
        <v>0</v>
      </c>
      <c r="CB1676" s="53" t="n">
        <f aca="false">IF(CQ1676&gt;0,INDEX(Parameter!$H$5:$H$7,W1676)/INDEX(Parameter!$E$5:$E$7,W1676),IF(AND(BZ1676=0,N(IFERROR(VLOOKUP(BX1676,'Gebinde-Kategorie'!$A$5:$N$45,14,0),0))&gt;0),VLOOKUP(BX1676,'Gebinde-Kategorie'!$A$5:$N$45,14,0)*10+Parameter!$M$23,Parameter!$M$24))</f>
        <v>235</v>
      </c>
      <c r="CC1676" s="48" t="str">
        <f aca="false">IF(AND(Parameter!$B$19="Ja",E1676&lt;&gt;"",ISNUMBER(MATCH(E1676,Parameter!$I$35:$I$52,0))),VLOOKUP(E1676,Parameter!$I$35:$J$52,2,0),IFERROR(VLOOKUP(D1676,Parameter!$A$35:$C$64,2,0),"Nein"))</f>
        <v>2+3</v>
      </c>
      <c r="CD1676" s="52" t="n">
        <f aca="false">IF(BZ1676=0,0,IF(N(S1676)&gt;0,S1676,IFERROR(VLOOKUP(D1676,Parameter!$A$35:$C$64,3,0)+0,0)))</f>
        <v>0</v>
      </c>
      <c r="CE1676" s="48" t="n">
        <f aca="false">IF(AA1676&lt;&gt;"",AA1676,Z1676)</f>
        <v>2</v>
      </c>
      <c r="CF1676" s="48" t="str">
        <f aca="false">IF(OR(CE1676=1,CE1676=2,CE1676=3),IF(Parameter!$E$27="Ja","LIFT",IF(CE1676=1,"L1","L23")),IF(CE1676="Aussen","Aussen","-"))</f>
        <v>LIFT</v>
      </c>
      <c r="CG1676" s="59" t="n">
        <f aca="false">IF(N(AB1676)&gt;0,AB1676,0)</f>
        <v>0</v>
      </c>
      <c r="CH1676" s="53" t="n">
        <f aca="false">IF(ISNUMBER(AE1676),1,0)</f>
        <v>0</v>
      </c>
      <c r="CI1676" s="50" t="n">
        <f aca="false">N(AE1676)</f>
        <v>0</v>
      </c>
      <c r="CJ1676" s="50" t="n">
        <f aca="false">N(M1676)+N(N1676)</f>
        <v>1</v>
      </c>
      <c r="CK1676" s="50" t="n">
        <f aca="false">N(M1676)</f>
        <v>0</v>
      </c>
      <c r="CL1676" s="50" t="n">
        <f aca="false">N(N1676)</f>
        <v>1</v>
      </c>
      <c r="CM1676" s="50" t="n">
        <f aca="false">ROUNDUP(H1676/BY1676,0)</f>
        <v>1</v>
      </c>
      <c r="CN1676" s="50" t="n">
        <f aca="false">ROUNDUP(CI1676/BY1676,0)</f>
        <v>0</v>
      </c>
      <c r="CO1676" s="53" t="n">
        <f aca="false">IF(BZ1676=1,0,IFERROR(VLOOKUP(BX1676,'Gebinde-Kategorie'!$A$5:$N$45,5,0)+0,0))</f>
        <v>20</v>
      </c>
      <c r="CP1676" s="53" t="n">
        <f aca="false">IFERROR(IF(OR(CE1676=1,CE1676=2,CE1676=3),N(INDEX(Parameter!$I$5:$I$7,CE1676)),0),0)</f>
        <v>0</v>
      </c>
      <c r="CQ1676" s="52" t="n">
        <f aca="false">IF(AND(Parameter!$B$21="Ja",ISNUMBER(W1676),N(X1676)&gt;0),IFERROR(N(INDEX(Parameter!$L$5:$L$7,W1676))*INDEX(Parameter!$E$5:$E$7,W1676)*X1676/SUMIFS($X$7:$X$1843,$W$7:$W$1843,W1676),0),0)</f>
        <v>0</v>
      </c>
    </row>
    <row r="1677" customFormat="false" ht="15" hidden="false" customHeight="false" outlineLevel="0" collapsed="false">
      <c r="A1677" s="48" t="s">
        <v>2917</v>
      </c>
      <c r="B1677" s="48" t="s">
        <v>1431</v>
      </c>
      <c r="C1677" s="48" t="s">
        <v>173</v>
      </c>
      <c r="D1677" s="48" t="s">
        <v>182</v>
      </c>
      <c r="E1677" s="48"/>
      <c r="F1677" s="48"/>
      <c r="G1677" s="49" t="n">
        <v>550</v>
      </c>
      <c r="H1677" s="50" t="n">
        <f aca="false">MAX(0,IF(AND(Parameter!$B$21="Ja",ISNUMBER(Y1677)),Y1677,IF(Parameter!$B$20="Jahresanfang 2025 + Export",BR1677+BQ1677,BQ1677)))</f>
        <v>10</v>
      </c>
      <c r="I1677" s="50" t="n">
        <f aca="false">H1677*G1677</f>
        <v>5500</v>
      </c>
      <c r="J1677" s="50" t="n">
        <f aca="false">BT1677*Parameter!$B$18</f>
        <v>0</v>
      </c>
      <c r="K1677" s="51"/>
      <c r="L1677" s="52"/>
      <c r="M1677" s="50" t="n">
        <v>0</v>
      </c>
      <c r="N1677" s="50" t="n">
        <v>1</v>
      </c>
      <c r="O1677" s="53" t="n">
        <v>0</v>
      </c>
      <c r="P1677" s="48" t="s">
        <v>183</v>
      </c>
      <c r="Q1677" s="50" t="n">
        <v>6</v>
      </c>
      <c r="R1677" s="53" t="n">
        <f aca="false">IF(BZ1677=1,0,IFERROR(VLOOKUP(BX1677,'Gebinde-Kategorie'!$A$5:$N$45,13,0)+0,0))</f>
        <v>6</v>
      </c>
      <c r="S1677" s="54"/>
      <c r="T1677" s="55"/>
      <c r="U1677" s="55"/>
      <c r="V1677" s="55"/>
      <c r="W1677" s="48"/>
      <c r="X1677" s="50"/>
      <c r="Y1677" s="50"/>
      <c r="Z1677" s="48" t="n">
        <f aca="false">IF(A1677="","",IF(AND(Parameter!$B$21="Ja",ISNUMBER(W1677)),W1677,IF(CC1677="2+3",IF(ISNUMBER(SEARCH("grosser Artikel",BU1677)),2,IFERROR(VLOOKUP(BX1677,Parameter!$F$35:$G$64,2,0),2)),IF(OR(CC1677="Nein",CC1677=""),"-",CC1677))))</f>
        <v>2</v>
      </c>
      <c r="AA1677" s="55"/>
      <c r="AB1677" s="56"/>
      <c r="AC1677" s="50" t="n">
        <f aca="false">AV1677</f>
        <v>1</v>
      </c>
      <c r="AD1677" s="50" t="n">
        <f aca="false">MAX(AV1677,H1677)</f>
        <v>10</v>
      </c>
      <c r="AE1677" s="57"/>
      <c r="AF1677" s="50" t="n">
        <f aca="false">IF(LEFT(Cockpit!$C$5,1)="A",H1677,IF(Parameter!$E$30="MAX-Bestand",IF(CH1677=1,CI1677,IF(LEFT(Cockpit!$C$5,1)="B",AL1677,MAX(AL1677,H1677))),ROUNDUP(AJ1677,0)))</f>
        <v>10</v>
      </c>
      <c r="AG1677" s="50" t="n">
        <f aca="false">IF(BZ1677=1,0,ROUNDUP(AF1677/BY1677,0))</f>
        <v>2</v>
      </c>
      <c r="AH1677" s="52" t="n">
        <f aca="false">IF(CQ1677&gt;0,CQ1677*MAX(1,AF1677/X1677),IF(BZ1677=1,IF(AF1677&lt;=0,0,CD1677*MAX(1,IF(H1677&gt;0,AF1677/H1677,1))),IF(R1677&gt;0,AG1677/R1677,0))/MAX(0.1,N(Parameter!$M$21)))</f>
        <v>0.333333333333333</v>
      </c>
      <c r="AI1677" s="50" t="n">
        <f aca="false">AH1677*CB1677</f>
        <v>78.3333333333333</v>
      </c>
      <c r="AJ1677" s="51" t="n">
        <f aca="false">IF(LEFT(Cockpit!$C$5,1)="A",H1677,IF(CH1677=1,(CK1677+CI1677)/2,IF(LEFT(Cockpit!$C$5,1)="B",(CK1677+AL1677)/2,MAX((CK1677+AL1677)/2,H1677))))</f>
        <v>10</v>
      </c>
      <c r="AK1677" s="50" t="n">
        <f aca="false">AJ1677*G1677</f>
        <v>5500</v>
      </c>
      <c r="AL1677" s="50" t="n">
        <f aca="false">ROUNDUP(CK1677+MAX(CL1677,2*(J1677/IF(CG1677&gt;0,CG1677,MAX(0.1,N(Cockpit!$C$6)))-CK1677)),0)</f>
        <v>1</v>
      </c>
      <c r="AM1677" s="51" t="n">
        <f aca="false">IF(AI1677&gt;0,J1677/AI1677,-1)</f>
        <v>0</v>
      </c>
      <c r="AN1677" s="51" t="n">
        <f aca="false">IF(AND(OR(CF1677="L1",CF1677="L23",CF1677="LIFT"),AI1677&gt;0),SUMIFS($AI$7:$AI$1843,$CF$7:$CF$1843,CF1677,$AM$7:$AM$1843,"&gt;"&amp;AM1677)+SUMIFS($AI$7:$AI$1843,$CF$7:$CF$1843,CF1677,$AM$7:$AM$1843,AM1677,$BW$7:$BW$1843,"&lt;="&amp;BW1677),"")</f>
        <v>32526.5884268744</v>
      </c>
      <c r="AO1677" s="58" t="n">
        <f aca="false">IF(AN1677="",0,MAX(0,MIN(1,(IF(CF1677="L1",Parameter!$H$5,IF(CF1677="L23",Parameter!$H$6+Parameter!$H$7,Parameter!$H$5+Parameter!$H$6+Parameter!$H$7))-(AN1677-AI1677))/AI1677)))</f>
        <v>1</v>
      </c>
      <c r="AP1677" s="50" t="n">
        <f aca="false">IF(LEFT(Cockpit!$I$5,1)="A",H1677,IF(Parameter!$E$30="MAX-Bestand",IF(CH1677=1,CI1677,IF(LEFT(Cockpit!$I$5,1)="B",AV1677,MAX(AV1677,H1677))),ROUNDUP(AT1677,0)))</f>
        <v>10</v>
      </c>
      <c r="AQ1677" s="50" t="n">
        <f aca="false">IF(BZ1677=1,0,ROUNDUP(AP1677/BY1677,0))</f>
        <v>2</v>
      </c>
      <c r="AR1677" s="52" t="n">
        <f aca="false">IF(CQ1677&gt;0,CQ1677*MAX(1,AP1677/X1677),IF(BZ1677=1,IF(AP1677&lt;=0,0,CD1677*MAX(1,IF(H1677&gt;0,AP1677/H1677,1))),IF(R1677&gt;0,AQ1677/R1677,0))/MAX(0.1,N(Parameter!$M$21)))</f>
        <v>0.333333333333333</v>
      </c>
      <c r="AS1677" s="50" t="n">
        <f aca="false">AR1677*CB1677</f>
        <v>78.3333333333333</v>
      </c>
      <c r="AT1677" s="51" t="n">
        <f aca="false">IF(LEFT(Cockpit!$I$5,1)="A",H1677,IF(CH1677=1,(CK1677+CI1677)/2,IF(LEFT(Cockpit!$I$5,1)="B",(CK1677+AV1677)/2,MAX((CK1677+AV1677)/2,H1677))))</f>
        <v>10</v>
      </c>
      <c r="AU1677" s="50" t="n">
        <f aca="false">AT1677*G1677</f>
        <v>5500</v>
      </c>
      <c r="AV1677" s="50" t="n">
        <f aca="false">ROUNDUP(CK1677+MAX(CL1677,2*(J1677/IF(CG1677&gt;0,CG1677,MAX(0.1,N(Cockpit!$I$6)))-CK1677)),0)</f>
        <v>1</v>
      </c>
      <c r="AW1677" s="51" t="n">
        <f aca="false">IF(AS1677&gt;0,J1677/AS1677,-1)</f>
        <v>0</v>
      </c>
      <c r="AX1677" s="51" t="n">
        <f aca="false">IF(AND(OR(CF1677="L1",CF1677="L23",CF1677="LIFT"),AS1677&gt;0),SUMIFS($AS$7:$AS$1843,$CF$7:$CF$1843,CF1677,$AW$7:$AW$1843,"&gt;"&amp;AW1677)+SUMIFS($AS$7:$AS$1843,$CF$7:$CF$1843,CF1677,$AW$7:$AW$1843,AW1677,$BW$7:$BW$1843,"&lt;="&amp;BW1677),"")</f>
        <v>38998.8366574574</v>
      </c>
      <c r="AY1677" s="58" t="n">
        <f aca="false">IF(AX1677="",0,MAX(0,MIN(1,(IF(CF1677="L1",Parameter!$H$5,IF(CF1677="L23",Parameter!$H$6+Parameter!$H$7,Parameter!$H$5+Parameter!$H$6+Parameter!$H$7))-(AX1677-AS1677))/AS1677)))</f>
        <v>0</v>
      </c>
      <c r="AZ1677" s="50" t="n">
        <f aca="false">IF(LEFT(Cockpit!$O$5,1)="A",H1677,IF(Parameter!$E$30="MAX-Bestand",IF(CH1677=1,CI1677,IF(LEFT(Cockpit!$O$5,1)="B",BF1677,MAX(BF1677,H1677))),ROUNDUP(BD1677,0)))</f>
        <v>1</v>
      </c>
      <c r="BA1677" s="50" t="n">
        <f aca="false">IF(BZ1677=1,0,ROUNDUP(AZ1677/BY1677,0))</f>
        <v>1</v>
      </c>
      <c r="BB1677" s="52" t="n">
        <f aca="false">IF(CQ1677&gt;0,CQ1677*MAX(1,AZ1677/X1677),IF(BZ1677=1,IF(AZ1677&lt;=0,0,CD1677*MAX(1,IF(H1677&gt;0,AZ1677/H1677,1))),IF(R1677&gt;0,BA1677/R1677,0))/MAX(0.1,N(Parameter!$M$21)))</f>
        <v>0.166666666666667</v>
      </c>
      <c r="BC1677" s="50" t="n">
        <f aca="false">BB1677*CB1677</f>
        <v>39.1666666666667</v>
      </c>
      <c r="BD1677" s="51" t="n">
        <f aca="false">IF(LEFT(Cockpit!$O$5,1)="A",H1677,IF(CH1677=1,(CK1677+CI1677)/2,IF(LEFT(Cockpit!$O$5,1)="B",(CK1677+BF1677)/2,MAX((CK1677+BF1677)/2,H1677))))</f>
        <v>0.5</v>
      </c>
      <c r="BE1677" s="50" t="n">
        <f aca="false">BD1677*G1677</f>
        <v>275</v>
      </c>
      <c r="BF1677" s="50" t="n">
        <f aca="false">ROUNDUP(CK1677+MAX(CL1677,2*(J1677/IF(CG1677&gt;0,CG1677,MAX(0.1,N(Cockpit!$O$6)))-CK1677)),0)</f>
        <v>1</v>
      </c>
      <c r="BG1677" s="51" t="n">
        <f aca="false">IF(BC1677&gt;0,J1677/BC1677,-1)</f>
        <v>0</v>
      </c>
      <c r="BH1677" s="51" t="n">
        <f aca="false">IF(AND(OR(CF1677="L1",CF1677="L23",CF1677="LIFT"),BC1677&gt;0),SUMIFS($BC$7:$BC$1843,$CF$7:$CF$1843,CF1677,$BG$7:$BG$1843,"&gt;"&amp;BG1677)+SUMIFS($BC$7:$BC$1843,$CF$7:$CF$1843,CF1677,$BG$7:$BG$1843,BG1677,$BW$7:$BW$1843,"&lt;="&amp;BW1677),"")</f>
        <v>32281.6112663231</v>
      </c>
      <c r="BI1677" s="58" t="n">
        <f aca="false">IF(BH1677="",0,MAX(0,MIN(1,(IF(CF1677="L1",Parameter!$H$5,IF(CF1677="L23",Parameter!$H$6+Parameter!$H$7,Parameter!$H$5+Parameter!$H$6+Parameter!$H$7))-(BH1677-BC1677))/BC1677)))</f>
        <v>1</v>
      </c>
      <c r="BJ1677" s="48" t="str">
        <f aca="false">IF(AI1677&lt;=0,"",IF(CF1677="Aussen","Aussenlager",IF(CF1677="-","Nicht im Lift",IF(AO1677&gt;=1,"Lift",IF(AO1677&lt;=0,"Aussenlager","teilweise")))))</f>
        <v>Lift</v>
      </c>
      <c r="BK1677" s="48" t="str">
        <f aca="false">IF(AS1677&lt;=0,"",IF(CF1677="Aussen","Aussenlager",IF(CF1677="-","Nicht im Lift",IF(AY1677&gt;=1,"Lift",IF(AY1677&lt;=0,"Aussenlager","teilweise")))))</f>
        <v>Aussenlager</v>
      </c>
      <c r="BL1677" s="48" t="str">
        <f aca="false">IF(BC1677&lt;=0,"",IF(CF1677="Aussen","Aussenlager",IF(CF1677="-","Nicht im Lift",IF(BI1677&gt;=1,"Lift",IF(BI1677&lt;=0,"Aussenlager","teilweise")))))</f>
        <v>Lift</v>
      </c>
      <c r="BM1677" s="48" t="str">
        <f aca="false">IF(A1677="","",IF(BV1677=1,"Neu; ","")&amp;IF(AND(BV1677=0,BQ1677&lt;0),"negativer Bestand (Export "&amp;BQ1677&amp;"); ","")&amp;IF(J1677&lt;=0,"Kein Verbrauch; ","")&amp;IF(CQ1677&gt;0,"Lift "&amp;W1677&amp;" lt. Liftbericht (Fach "&amp;X1677&amp;" Stk); ",IF(CA1677=1,"Gebinde geschätzt ("&amp;T1677&amp;"); ",IF(BZ1677=1,"Lose – Tablare geschätzt; ","")))&amp;IF(H1677&gt;AV1677,"Überbestand "&amp;ROUND(H1677-AV1677,0)&amp;" Stk / CHF "&amp;ROUND((H1677-AV1677)*G1677,0)&amp;"; ","")&amp;IF(AND(CH1677=1,CI1677&lt;CJ1677),"MAX &lt; MB+LG; ","")&amp;IF(AND(CP1677&gt;0,CO1677*10&gt;CP1677),"zu hoch für Tablar; ","")&amp;IF(AND(BV1677=0,OR(CH1677=1,AA1677&lt;&gt;"",U1677&lt;&gt;"",V1677&lt;&gt;"",AB1677&lt;&gt;"")),"manuell übersteuert; ","")&amp;IF(AND(BZ1677=0,R1677=0),"Gebinde unbekannt / Stellmass fehlt; ","")&amp;IF(AND(BZ1677=0,N(V1677)&lt;=0,N(Q1677)&lt;=0),"Menge pro Gebinde fehlt (Ist = 1 Gebinde); ","")&amp;BU1677)</f>
        <v>Kein Verbrauch; Überbestand 9 Stk / CHF 4950; nur im Artikelstamm (Bestand 23.06.2026)</v>
      </c>
      <c r="BN1677" s="48"/>
      <c r="BO1677" s="48"/>
      <c r="BP1677" s="55"/>
      <c r="BQ1677" s="50" t="n">
        <v>10</v>
      </c>
      <c r="BR1677" s="50" t="n">
        <v>0</v>
      </c>
      <c r="BS1677" s="49" t="n">
        <v>0</v>
      </c>
      <c r="BT1677" s="50" t="n">
        <v>0</v>
      </c>
      <c r="BU1677" s="48" t="s">
        <v>2584</v>
      </c>
      <c r="BV1677" s="53" t="n">
        <v>0</v>
      </c>
      <c r="BW1677" s="53" t="n">
        <v>1677</v>
      </c>
      <c r="BX1677" s="48" t="str">
        <f aca="false">IF(U1677&lt;&gt;"",UPPER(TRIM(U1677)),IF(CA1677=1,UPPER(VLOOKUP(T1677,Parameter!$I$27:$K$29,2,0)),IF(P1677="","LOSE",P1677)))</f>
        <v>S71</v>
      </c>
      <c r="BY1677" s="50" t="n">
        <f aca="false">IF(BX1677="LOSE",1,IF(N(V1677)&gt;0,V1677,IF(CA1677=1,MAX(1,N(VLOOKUP(T1677,Parameter!$I$27:$K$29,3,0)),H1677,N(N1677)),IF(N(Q1677)&gt;0,Q1677,MAX(1,H1677)))))</f>
        <v>6</v>
      </c>
      <c r="BZ1677" s="53" t="n">
        <f aca="false">IF(BX1677="LOSE",1,0)</f>
        <v>0</v>
      </c>
      <c r="CA1677" s="53" t="n">
        <f aca="false">IF(AND(U1677="",OR(P1677="",P1677="LOSE"),T1677&lt;&gt;"",N(S1677)&lt;=0,ISNUMBER(MATCH(T1677,Parameter!$I$27:$I$29,0))),1,0)</f>
        <v>0</v>
      </c>
      <c r="CB1677" s="53" t="n">
        <f aca="false">IF(CQ1677&gt;0,INDEX(Parameter!$H$5:$H$7,W1677)/INDEX(Parameter!$E$5:$E$7,W1677),IF(AND(BZ1677=0,N(IFERROR(VLOOKUP(BX1677,'Gebinde-Kategorie'!$A$5:$N$45,14,0),0))&gt;0),VLOOKUP(BX1677,'Gebinde-Kategorie'!$A$5:$N$45,14,0)*10+Parameter!$M$23,Parameter!$M$24))</f>
        <v>235</v>
      </c>
      <c r="CC1677" s="48" t="str">
        <f aca="false">IF(AND(Parameter!$B$19="Ja",E1677&lt;&gt;"",ISNUMBER(MATCH(E1677,Parameter!$I$35:$I$52,0))),VLOOKUP(E1677,Parameter!$I$35:$J$52,2,0),IFERROR(VLOOKUP(D1677,Parameter!$A$35:$C$64,2,0),"Nein"))</f>
        <v>2+3</v>
      </c>
      <c r="CD1677" s="52" t="n">
        <f aca="false">IF(BZ1677=0,0,IF(N(S1677)&gt;0,S1677,IFERROR(VLOOKUP(D1677,Parameter!$A$35:$C$64,3,0)+0,0)))</f>
        <v>0</v>
      </c>
      <c r="CE1677" s="48" t="n">
        <f aca="false">IF(AA1677&lt;&gt;"",AA1677,Z1677)</f>
        <v>2</v>
      </c>
      <c r="CF1677" s="48" t="str">
        <f aca="false">IF(OR(CE1677=1,CE1677=2,CE1677=3),IF(Parameter!$E$27="Ja","LIFT",IF(CE1677=1,"L1","L23")),IF(CE1677="Aussen","Aussen","-"))</f>
        <v>LIFT</v>
      </c>
      <c r="CG1677" s="59" t="n">
        <f aca="false">IF(N(AB1677)&gt;0,AB1677,0)</f>
        <v>0</v>
      </c>
      <c r="CH1677" s="53" t="n">
        <f aca="false">IF(ISNUMBER(AE1677),1,0)</f>
        <v>0</v>
      </c>
      <c r="CI1677" s="50" t="n">
        <f aca="false">N(AE1677)</f>
        <v>0</v>
      </c>
      <c r="CJ1677" s="50" t="n">
        <f aca="false">N(M1677)+N(N1677)</f>
        <v>1</v>
      </c>
      <c r="CK1677" s="50" t="n">
        <f aca="false">N(M1677)</f>
        <v>0</v>
      </c>
      <c r="CL1677" s="50" t="n">
        <f aca="false">N(N1677)</f>
        <v>1</v>
      </c>
      <c r="CM1677" s="50" t="n">
        <f aca="false">ROUNDUP(H1677/BY1677,0)</f>
        <v>2</v>
      </c>
      <c r="CN1677" s="50" t="n">
        <f aca="false">ROUNDUP(CI1677/BY1677,0)</f>
        <v>0</v>
      </c>
      <c r="CO1677" s="53" t="n">
        <f aca="false">IF(BZ1677=1,0,IFERROR(VLOOKUP(BX1677,'Gebinde-Kategorie'!$A$5:$N$45,5,0)+0,0))</f>
        <v>20</v>
      </c>
      <c r="CP1677" s="53" t="n">
        <f aca="false">IFERROR(IF(OR(CE1677=1,CE1677=2,CE1677=3),N(INDEX(Parameter!$I$5:$I$7,CE1677)),0),0)</f>
        <v>0</v>
      </c>
      <c r="CQ1677" s="52" t="n">
        <f aca="false">IF(AND(Parameter!$B$21="Ja",ISNUMBER(W1677),N(X1677)&gt;0),IFERROR(N(INDEX(Parameter!$L$5:$L$7,W1677))*INDEX(Parameter!$E$5:$E$7,W1677)*X1677/SUMIFS($X$7:$X$1843,$W$7:$W$1843,W1677),0),0)</f>
        <v>0</v>
      </c>
    </row>
    <row r="1678" customFormat="false" ht="15" hidden="false" customHeight="false" outlineLevel="0" collapsed="false">
      <c r="A1678" s="48" t="s">
        <v>2918</v>
      </c>
      <c r="B1678" s="48" t="s">
        <v>356</v>
      </c>
      <c r="C1678" s="48" t="s">
        <v>173</v>
      </c>
      <c r="D1678" s="48" t="s">
        <v>182</v>
      </c>
      <c r="E1678" s="48" t="s">
        <v>182</v>
      </c>
      <c r="F1678" s="48"/>
      <c r="G1678" s="49" t="n">
        <v>100.12</v>
      </c>
      <c r="H1678" s="50" t="n">
        <f aca="false">MAX(0,IF(AND(Parameter!$B$21="Ja",ISNUMBER(Y1678)),Y1678,IF(Parameter!$B$20="Jahresanfang 2025 + Export",BR1678+BQ1678,BQ1678)))</f>
        <v>25</v>
      </c>
      <c r="I1678" s="50" t="n">
        <f aca="false">H1678*G1678</f>
        <v>2503</v>
      </c>
      <c r="J1678" s="50" t="n">
        <f aca="false">BT1678*Parameter!$B$18</f>
        <v>0</v>
      </c>
      <c r="K1678" s="51"/>
      <c r="L1678" s="52"/>
      <c r="M1678" s="50" t="n">
        <v>0</v>
      </c>
      <c r="N1678" s="50" t="n">
        <v>10</v>
      </c>
      <c r="O1678" s="53" t="n">
        <v>77</v>
      </c>
      <c r="P1678" s="48" t="s">
        <v>302</v>
      </c>
      <c r="Q1678" s="50" t="n">
        <v>25</v>
      </c>
      <c r="R1678" s="53" t="n">
        <f aca="false">IF(BZ1678=1,0,IFERROR(VLOOKUP(BX1678,'Gebinde-Kategorie'!$A$5:$N$45,13,0)+0,0))</f>
        <v>12</v>
      </c>
      <c r="S1678" s="54"/>
      <c r="T1678" s="55"/>
      <c r="U1678" s="55"/>
      <c r="V1678" s="55"/>
      <c r="W1678" s="48"/>
      <c r="X1678" s="50"/>
      <c r="Y1678" s="50"/>
      <c r="Z1678" s="48" t="str">
        <f aca="false">IF(A1678="","",IF(AND(Parameter!$B$21="Ja",ISNUMBER(W1678)),W1678,IF(CC1678="2+3",IF(ISNUMBER(SEARCH("grosser Artikel",BU1678)),2,IFERROR(VLOOKUP(BX1678,Parameter!$F$35:$G$64,2,0),2)),IF(OR(CC1678="Nein",CC1678=""),"-",CC1678))))</f>
        <v>-</v>
      </c>
      <c r="AA1678" s="55"/>
      <c r="AB1678" s="56"/>
      <c r="AC1678" s="50" t="n">
        <f aca="false">AV1678</f>
        <v>10</v>
      </c>
      <c r="AD1678" s="50" t="n">
        <f aca="false">MAX(AV1678,H1678)</f>
        <v>25</v>
      </c>
      <c r="AE1678" s="57"/>
      <c r="AF1678" s="50" t="n">
        <f aca="false">IF(LEFT(Cockpit!$C$5,1)="A",H1678,IF(Parameter!$E$30="MAX-Bestand",IF(CH1678=1,CI1678,IF(LEFT(Cockpit!$C$5,1)="B",AL1678,MAX(AL1678,H1678))),ROUNDUP(AJ1678,0)))</f>
        <v>25</v>
      </c>
      <c r="AG1678" s="50" t="n">
        <f aca="false">IF(BZ1678=1,0,ROUNDUP(AF1678/BY1678,0))</f>
        <v>1</v>
      </c>
      <c r="AH1678" s="52" t="n">
        <f aca="false">IF(CQ1678&gt;0,CQ1678*MAX(1,AF1678/X1678),IF(BZ1678=1,IF(AF1678&lt;=0,0,CD1678*MAX(1,IF(H1678&gt;0,AF1678/H1678,1))),IF(R1678&gt;0,AG1678/R1678,0))/MAX(0.1,N(Parameter!$M$21)))</f>
        <v>0.0833333333333333</v>
      </c>
      <c r="AI1678" s="50" t="n">
        <f aca="false">AH1678*CB1678</f>
        <v>20.4166666666667</v>
      </c>
      <c r="AJ1678" s="51" t="n">
        <f aca="false">IF(LEFT(Cockpit!$C$5,1)="A",H1678,IF(CH1678=1,(CK1678+CI1678)/2,IF(LEFT(Cockpit!$C$5,1)="B",(CK1678+AL1678)/2,MAX((CK1678+AL1678)/2,H1678))))</f>
        <v>25</v>
      </c>
      <c r="AK1678" s="50" t="n">
        <f aca="false">AJ1678*G1678</f>
        <v>2503</v>
      </c>
      <c r="AL1678" s="50" t="n">
        <f aca="false">ROUNDUP(CK1678+MAX(CL1678,2*(J1678/IF(CG1678&gt;0,CG1678,MAX(0.1,N(Cockpit!$C$6)))-CK1678)),0)</f>
        <v>10</v>
      </c>
      <c r="AM1678" s="51" t="n">
        <f aca="false">IF(AI1678&gt;0,J1678/AI1678,-1)</f>
        <v>0</v>
      </c>
      <c r="AN1678" s="51" t="str">
        <f aca="false">IF(AND(OR(CF1678="L1",CF1678="L23",CF1678="LIFT"),AI1678&gt;0),SUMIFS($AI$7:$AI$1843,$CF$7:$CF$1843,CF1678,$AM$7:$AM$1843,"&gt;"&amp;AM1678)+SUMIFS($AI$7:$AI$1843,$CF$7:$CF$1843,CF1678,$AM$7:$AM$1843,AM1678,$BW$7:$BW$1843,"&lt;="&amp;BW1678),"")</f>
        <v/>
      </c>
      <c r="AO1678" s="58" t="n">
        <f aca="false">IF(AN1678="",0,MAX(0,MIN(1,(IF(CF1678="L1",Parameter!$H$5,IF(CF1678="L23",Parameter!$H$6+Parameter!$H$7,Parameter!$H$5+Parameter!$H$6+Parameter!$H$7))-(AN1678-AI1678))/AI1678)))</f>
        <v>0</v>
      </c>
      <c r="AP1678" s="50" t="n">
        <f aca="false">IF(LEFT(Cockpit!$I$5,1)="A",H1678,IF(Parameter!$E$30="MAX-Bestand",IF(CH1678=1,CI1678,IF(LEFT(Cockpit!$I$5,1)="B",AV1678,MAX(AV1678,H1678))),ROUNDUP(AT1678,0)))</f>
        <v>25</v>
      </c>
      <c r="AQ1678" s="50" t="n">
        <f aca="false">IF(BZ1678=1,0,ROUNDUP(AP1678/BY1678,0))</f>
        <v>1</v>
      </c>
      <c r="AR1678" s="52" t="n">
        <f aca="false">IF(CQ1678&gt;0,CQ1678*MAX(1,AP1678/X1678),IF(BZ1678=1,IF(AP1678&lt;=0,0,CD1678*MAX(1,IF(H1678&gt;0,AP1678/H1678,1))),IF(R1678&gt;0,AQ1678/R1678,0))/MAX(0.1,N(Parameter!$M$21)))</f>
        <v>0.0833333333333333</v>
      </c>
      <c r="AS1678" s="50" t="n">
        <f aca="false">AR1678*CB1678</f>
        <v>20.4166666666667</v>
      </c>
      <c r="AT1678" s="51" t="n">
        <f aca="false">IF(LEFT(Cockpit!$I$5,1)="A",H1678,IF(CH1678=1,(CK1678+CI1678)/2,IF(LEFT(Cockpit!$I$5,1)="B",(CK1678+AV1678)/2,MAX((CK1678+AV1678)/2,H1678))))</f>
        <v>25</v>
      </c>
      <c r="AU1678" s="50" t="n">
        <f aca="false">AT1678*G1678</f>
        <v>2503</v>
      </c>
      <c r="AV1678" s="50" t="n">
        <f aca="false">ROUNDUP(CK1678+MAX(CL1678,2*(J1678/IF(CG1678&gt;0,CG1678,MAX(0.1,N(Cockpit!$I$6)))-CK1678)),0)</f>
        <v>10</v>
      </c>
      <c r="AW1678" s="51" t="n">
        <f aca="false">IF(AS1678&gt;0,J1678/AS1678,-1)</f>
        <v>0</v>
      </c>
      <c r="AX1678" s="51" t="str">
        <f aca="false">IF(AND(OR(CF1678="L1",CF1678="L23",CF1678="LIFT"),AS1678&gt;0),SUMIFS($AS$7:$AS$1843,$CF$7:$CF$1843,CF1678,$AW$7:$AW$1843,"&gt;"&amp;AW1678)+SUMIFS($AS$7:$AS$1843,$CF$7:$CF$1843,CF1678,$AW$7:$AW$1843,AW1678,$BW$7:$BW$1843,"&lt;="&amp;BW1678),"")</f>
        <v/>
      </c>
      <c r="AY1678" s="58" t="n">
        <f aca="false">IF(AX1678="",0,MAX(0,MIN(1,(IF(CF1678="L1",Parameter!$H$5,IF(CF1678="L23",Parameter!$H$6+Parameter!$H$7,Parameter!$H$5+Parameter!$H$6+Parameter!$H$7))-(AX1678-AS1678))/AS1678)))</f>
        <v>0</v>
      </c>
      <c r="AZ1678" s="50" t="n">
        <f aca="false">IF(LEFT(Cockpit!$O$5,1)="A",H1678,IF(Parameter!$E$30="MAX-Bestand",IF(CH1678=1,CI1678,IF(LEFT(Cockpit!$O$5,1)="B",BF1678,MAX(BF1678,H1678))),ROUNDUP(BD1678,0)))</f>
        <v>5</v>
      </c>
      <c r="BA1678" s="50" t="n">
        <f aca="false">IF(BZ1678=1,0,ROUNDUP(AZ1678/BY1678,0))</f>
        <v>1</v>
      </c>
      <c r="BB1678" s="52" t="n">
        <f aca="false">IF(CQ1678&gt;0,CQ1678*MAX(1,AZ1678/X1678),IF(BZ1678=1,IF(AZ1678&lt;=0,0,CD1678*MAX(1,IF(H1678&gt;0,AZ1678/H1678,1))),IF(R1678&gt;0,BA1678/R1678,0))/MAX(0.1,N(Parameter!$M$21)))</f>
        <v>0.0833333333333333</v>
      </c>
      <c r="BC1678" s="50" t="n">
        <f aca="false">BB1678*CB1678</f>
        <v>20.4166666666667</v>
      </c>
      <c r="BD1678" s="51" t="n">
        <f aca="false">IF(LEFT(Cockpit!$O$5,1)="A",H1678,IF(CH1678=1,(CK1678+CI1678)/2,IF(LEFT(Cockpit!$O$5,1)="B",(CK1678+BF1678)/2,MAX((CK1678+BF1678)/2,H1678))))</f>
        <v>5</v>
      </c>
      <c r="BE1678" s="50" t="n">
        <f aca="false">BD1678*G1678</f>
        <v>500.6</v>
      </c>
      <c r="BF1678" s="50" t="n">
        <f aca="false">ROUNDUP(CK1678+MAX(CL1678,2*(J1678/IF(CG1678&gt;0,CG1678,MAX(0.1,N(Cockpit!$O$6)))-CK1678)),0)</f>
        <v>10</v>
      </c>
      <c r="BG1678" s="51" t="n">
        <f aca="false">IF(BC1678&gt;0,J1678/BC1678,-1)</f>
        <v>0</v>
      </c>
      <c r="BH1678" s="51" t="str">
        <f aca="false">IF(AND(OR(CF1678="L1",CF1678="L23",CF1678="LIFT"),BC1678&gt;0),SUMIFS($BC$7:$BC$1843,$CF$7:$CF$1843,CF1678,$BG$7:$BG$1843,"&gt;"&amp;BG1678)+SUMIFS($BC$7:$BC$1843,$CF$7:$CF$1843,CF1678,$BG$7:$BG$1843,BG1678,$BW$7:$BW$1843,"&lt;="&amp;BW1678),"")</f>
        <v/>
      </c>
      <c r="BI1678" s="58" t="n">
        <f aca="false">IF(BH1678="",0,MAX(0,MIN(1,(IF(CF1678="L1",Parameter!$H$5,IF(CF1678="L23",Parameter!$H$6+Parameter!$H$7,Parameter!$H$5+Parameter!$H$6+Parameter!$H$7))-(BH1678-BC1678))/BC1678)))</f>
        <v>0</v>
      </c>
      <c r="BJ1678" s="48" t="str">
        <f aca="false">IF(AI1678&lt;=0,"",IF(CF1678="Aussen","Aussenlager",IF(CF1678="-","Nicht im Lift",IF(AO1678&gt;=1,"Lift",IF(AO1678&lt;=0,"Aussenlager","teilweise")))))</f>
        <v>Nicht im Lift</v>
      </c>
      <c r="BK1678" s="48" t="str">
        <f aca="false">IF(AS1678&lt;=0,"",IF(CF1678="Aussen","Aussenlager",IF(CF1678="-","Nicht im Lift",IF(AY1678&gt;=1,"Lift",IF(AY1678&lt;=0,"Aussenlager","teilweise")))))</f>
        <v>Nicht im Lift</v>
      </c>
      <c r="BL1678" s="48" t="str">
        <f aca="false">IF(BC1678&lt;=0,"",IF(CF1678="Aussen","Aussenlager",IF(CF1678="-","Nicht im Lift",IF(BI1678&gt;=1,"Lift",IF(BI1678&lt;=0,"Aussenlager","teilweise")))))</f>
        <v>Nicht im Lift</v>
      </c>
      <c r="BM1678" s="48" t="str">
        <f aca="false">IF(A1678="","",IF(BV1678=1,"Neu; ","")&amp;IF(AND(BV1678=0,BQ1678&lt;0),"negativer Bestand (Export "&amp;BQ1678&amp;"); ","")&amp;IF(J1678&lt;=0,"Kein Verbrauch; ","")&amp;IF(CQ1678&gt;0,"Lift "&amp;W1678&amp;" lt. Liftbericht (Fach "&amp;X1678&amp;" Stk); ",IF(CA1678=1,"Gebinde geschätzt ("&amp;T1678&amp;"); ",IF(BZ1678=1,"Lose – Tablare geschätzt; ","")))&amp;IF(H1678&gt;AV1678,"Überbestand "&amp;ROUND(H1678-AV1678,0)&amp;" Stk / CHF "&amp;ROUND((H1678-AV1678)*G1678,0)&amp;"; ","")&amp;IF(AND(CH1678=1,CI1678&lt;CJ1678),"MAX &lt; MB+LG; ","")&amp;IF(AND(CP1678&gt;0,CO1678*10&gt;CP1678),"zu hoch für Tablar; ","")&amp;IF(AND(BV1678=0,OR(CH1678=1,AA1678&lt;&gt;"",U1678&lt;&gt;"",V1678&lt;&gt;"",AB1678&lt;&gt;"")),"manuell übersteuert; ","")&amp;IF(AND(BZ1678=0,R1678=0),"Gebinde unbekannt / Stellmass fehlt; ","")&amp;IF(AND(BZ1678=0,N(V1678)&lt;=0,N(Q1678)&lt;=0),"Menge pro Gebinde fehlt (Ist = 1 Gebinde); ","")&amp;BU1678)</f>
        <v>Kein Verbrauch; Überbestand 15 Stk / CHF 1502; nur im Artikelstamm (Bestand 23.06.2026); Überbestand</v>
      </c>
      <c r="BN1678" s="48"/>
      <c r="BO1678" s="48"/>
      <c r="BP1678" s="55"/>
      <c r="BQ1678" s="50" t="n">
        <v>25</v>
      </c>
      <c r="BR1678" s="50" t="n">
        <v>0</v>
      </c>
      <c r="BS1678" s="49" t="n">
        <v>0</v>
      </c>
      <c r="BT1678" s="50" t="n">
        <v>0</v>
      </c>
      <c r="BU1678" s="48" t="s">
        <v>2581</v>
      </c>
      <c r="BV1678" s="53" t="n">
        <v>0</v>
      </c>
      <c r="BW1678" s="53" t="n">
        <v>1678</v>
      </c>
      <c r="BX1678" s="48" t="str">
        <f aca="false">IF(U1678&lt;&gt;"",UPPER(TRIM(U1678)),IF(CA1678=1,UPPER(VLOOKUP(T1678,Parameter!$I$27:$K$29,2,0)),IF(P1678="","LOSE",P1678)))</f>
        <v>S62</v>
      </c>
      <c r="BY1678" s="50" t="n">
        <f aca="false">IF(BX1678="LOSE",1,IF(N(V1678)&gt;0,V1678,IF(CA1678=1,MAX(1,N(VLOOKUP(T1678,Parameter!$I$27:$K$29,3,0)),H1678,N(N1678)),IF(N(Q1678)&gt;0,Q1678,MAX(1,H1678)))))</f>
        <v>25</v>
      </c>
      <c r="BZ1678" s="53" t="n">
        <f aca="false">IF(BX1678="LOSE",1,0)</f>
        <v>0</v>
      </c>
      <c r="CA1678" s="53" t="n">
        <f aca="false">IF(AND(U1678="",OR(P1678="",P1678="LOSE"),T1678&lt;&gt;"",N(S1678)&lt;=0,ISNUMBER(MATCH(T1678,Parameter!$I$27:$I$29,0))),1,0)</f>
        <v>0</v>
      </c>
      <c r="CB1678" s="53" t="n">
        <f aca="false">IF(CQ1678&gt;0,INDEX(Parameter!$H$5:$H$7,W1678)/INDEX(Parameter!$E$5:$E$7,W1678),IF(AND(BZ1678=0,N(IFERROR(VLOOKUP(BX1678,'Gebinde-Kategorie'!$A$5:$N$45,14,0),0))&gt;0),VLOOKUP(BX1678,'Gebinde-Kategorie'!$A$5:$N$45,14,0)*10+Parameter!$M$23,Parameter!$M$24))</f>
        <v>245</v>
      </c>
      <c r="CC1678" s="48" t="str">
        <f aca="false">IF(AND(Parameter!$B$19="Ja",E1678&lt;&gt;"",ISNUMBER(MATCH(E1678,Parameter!$I$35:$I$52,0))),VLOOKUP(E1678,Parameter!$I$35:$J$52,2,0),IFERROR(VLOOKUP(D1678,Parameter!$A$35:$C$64,2,0),"Nein"))</f>
        <v>Nein</v>
      </c>
      <c r="CD1678" s="52" t="n">
        <f aca="false">IF(BZ1678=0,0,IF(N(S1678)&gt;0,S1678,IFERROR(VLOOKUP(D1678,Parameter!$A$35:$C$64,3,0)+0,0)))</f>
        <v>0</v>
      </c>
      <c r="CE1678" s="48" t="str">
        <f aca="false">IF(AA1678&lt;&gt;"",AA1678,Z1678)</f>
        <v>-</v>
      </c>
      <c r="CF1678" s="48" t="str">
        <f aca="false">IF(OR(CE1678=1,CE1678=2,CE1678=3),IF(Parameter!$E$27="Ja","LIFT",IF(CE1678=1,"L1","L23")),IF(CE1678="Aussen","Aussen","-"))</f>
        <v>-</v>
      </c>
      <c r="CG1678" s="59" t="n">
        <f aca="false">IF(N(AB1678)&gt;0,AB1678,0)</f>
        <v>0</v>
      </c>
      <c r="CH1678" s="53" t="n">
        <f aca="false">IF(ISNUMBER(AE1678),1,0)</f>
        <v>0</v>
      </c>
      <c r="CI1678" s="50" t="n">
        <f aca="false">N(AE1678)</f>
        <v>0</v>
      </c>
      <c r="CJ1678" s="50" t="n">
        <f aca="false">N(M1678)+N(N1678)</f>
        <v>10</v>
      </c>
      <c r="CK1678" s="50" t="n">
        <f aca="false">N(M1678)</f>
        <v>0</v>
      </c>
      <c r="CL1678" s="50" t="n">
        <f aca="false">N(N1678)</f>
        <v>10</v>
      </c>
      <c r="CM1678" s="50" t="n">
        <f aca="false">ROUNDUP(H1678/BY1678,0)</f>
        <v>1</v>
      </c>
      <c r="CN1678" s="50" t="n">
        <f aca="false">ROUNDUP(CI1678/BY1678,0)</f>
        <v>0</v>
      </c>
      <c r="CO1678" s="53" t="n">
        <f aca="false">IF(BZ1678=1,0,IFERROR(VLOOKUP(BX1678,'Gebinde-Kategorie'!$A$5:$N$45,5,0)+0,0))</f>
        <v>21</v>
      </c>
      <c r="CP1678" s="53" t="n">
        <f aca="false">IFERROR(IF(OR(CE1678=1,CE1678=2,CE1678=3),N(INDEX(Parameter!$I$5:$I$7,CE1678)),0),0)</f>
        <v>0</v>
      </c>
      <c r="CQ1678" s="52" t="n">
        <f aca="false">IF(AND(Parameter!$B$21="Ja",ISNUMBER(W1678),N(X1678)&gt;0),IFERROR(N(INDEX(Parameter!$L$5:$L$7,W1678))*INDEX(Parameter!$E$5:$E$7,W1678)*X1678/SUMIFS($X$7:$X$1843,$W$7:$W$1843,W1678),0),0)</f>
        <v>0</v>
      </c>
    </row>
    <row r="1679" customFormat="false" ht="15" hidden="false" customHeight="false" outlineLevel="0" collapsed="false">
      <c r="A1679" s="48" t="s">
        <v>2919</v>
      </c>
      <c r="B1679" s="48" t="s">
        <v>2723</v>
      </c>
      <c r="C1679" s="48" t="s">
        <v>173</v>
      </c>
      <c r="D1679" s="48" t="s">
        <v>193</v>
      </c>
      <c r="E1679" s="48"/>
      <c r="F1679" s="48"/>
      <c r="G1679" s="49" t="n">
        <v>14.43</v>
      </c>
      <c r="H1679" s="50" t="n">
        <f aca="false">MAX(0,IF(AND(Parameter!$B$21="Ja",ISNUMBER(Y1679)),Y1679,IF(Parameter!$B$20="Jahresanfang 2025 + Export",BR1679+BQ1679,BQ1679)))</f>
        <v>20</v>
      </c>
      <c r="I1679" s="50" t="n">
        <f aca="false">H1679*G1679</f>
        <v>288.6</v>
      </c>
      <c r="J1679" s="50" t="n">
        <f aca="false">BT1679*Parameter!$B$18</f>
        <v>0</v>
      </c>
      <c r="K1679" s="51"/>
      <c r="L1679" s="52"/>
      <c r="M1679" s="50" t="n">
        <v>0</v>
      </c>
      <c r="N1679" s="50" t="n">
        <v>20</v>
      </c>
      <c r="O1679" s="53" t="n">
        <v>28</v>
      </c>
      <c r="P1679" s="48" t="s">
        <v>302</v>
      </c>
      <c r="Q1679" s="50" t="n">
        <v>19</v>
      </c>
      <c r="R1679" s="53" t="n">
        <f aca="false">IF(BZ1679=1,0,IFERROR(VLOOKUP(BX1679,'Gebinde-Kategorie'!$A$5:$N$45,13,0)+0,0))</f>
        <v>12</v>
      </c>
      <c r="S1679" s="54"/>
      <c r="T1679" s="55"/>
      <c r="U1679" s="55"/>
      <c r="V1679" s="55"/>
      <c r="W1679" s="48"/>
      <c r="X1679" s="50"/>
      <c r="Y1679" s="50"/>
      <c r="Z1679" s="48" t="n">
        <f aca="false">IF(A1679="","",IF(AND(Parameter!$B$21="Ja",ISNUMBER(W1679)),W1679,IF(CC1679="2+3",IF(ISNUMBER(SEARCH("grosser Artikel",BU1679)),2,IFERROR(VLOOKUP(BX1679,Parameter!$F$35:$G$64,2,0),2)),IF(OR(CC1679="Nein",CC1679=""),"-",CC1679))))</f>
        <v>2</v>
      </c>
      <c r="AA1679" s="55"/>
      <c r="AB1679" s="56"/>
      <c r="AC1679" s="50" t="n">
        <f aca="false">AV1679</f>
        <v>20</v>
      </c>
      <c r="AD1679" s="50" t="n">
        <f aca="false">MAX(AV1679,H1679)</f>
        <v>20</v>
      </c>
      <c r="AE1679" s="57"/>
      <c r="AF1679" s="50" t="n">
        <f aca="false">IF(LEFT(Cockpit!$C$5,1)="A",H1679,IF(Parameter!$E$30="MAX-Bestand",IF(CH1679=1,CI1679,IF(LEFT(Cockpit!$C$5,1)="B",AL1679,MAX(AL1679,H1679))),ROUNDUP(AJ1679,0)))</f>
        <v>20</v>
      </c>
      <c r="AG1679" s="50" t="n">
        <f aca="false">IF(BZ1679=1,0,ROUNDUP(AF1679/BY1679,0))</f>
        <v>2</v>
      </c>
      <c r="AH1679" s="52" t="n">
        <f aca="false">IF(CQ1679&gt;0,CQ1679*MAX(1,AF1679/X1679),IF(BZ1679=1,IF(AF1679&lt;=0,0,CD1679*MAX(1,IF(H1679&gt;0,AF1679/H1679,1))),IF(R1679&gt;0,AG1679/R1679,0))/MAX(0.1,N(Parameter!$M$21)))</f>
        <v>0.166666666666667</v>
      </c>
      <c r="AI1679" s="50" t="n">
        <f aca="false">AH1679*CB1679</f>
        <v>40.8333333333333</v>
      </c>
      <c r="AJ1679" s="51" t="n">
        <f aca="false">IF(LEFT(Cockpit!$C$5,1)="A",H1679,IF(CH1679=1,(CK1679+CI1679)/2,IF(LEFT(Cockpit!$C$5,1)="B",(CK1679+AL1679)/2,MAX((CK1679+AL1679)/2,H1679))))</f>
        <v>20</v>
      </c>
      <c r="AK1679" s="50" t="n">
        <f aca="false">AJ1679*G1679</f>
        <v>288.6</v>
      </c>
      <c r="AL1679" s="50" t="n">
        <f aca="false">ROUNDUP(CK1679+MAX(CL1679,2*(J1679/IF(CG1679&gt;0,CG1679,MAX(0.1,N(Cockpit!$C$6)))-CK1679)),0)</f>
        <v>20</v>
      </c>
      <c r="AM1679" s="51" t="n">
        <f aca="false">IF(AI1679&gt;0,J1679/AI1679,-1)</f>
        <v>0</v>
      </c>
      <c r="AN1679" s="51" t="n">
        <f aca="false">IF(AND(OR(CF1679="L1",CF1679="L23",CF1679="LIFT"),AI1679&gt;0),SUMIFS($AI$7:$AI$1843,$CF$7:$CF$1843,CF1679,$AM$7:$AM$1843,"&gt;"&amp;AM1679)+SUMIFS($AI$7:$AI$1843,$CF$7:$CF$1843,CF1679,$AM$7:$AM$1843,AM1679,$BW$7:$BW$1843,"&lt;="&amp;BW1679),"")</f>
        <v>32567.4217602078</v>
      </c>
      <c r="AO1679" s="58" t="n">
        <f aca="false">IF(AN1679="",0,MAX(0,MIN(1,(IF(CF1679="L1",Parameter!$H$5,IF(CF1679="L23",Parameter!$H$6+Parameter!$H$7,Parameter!$H$5+Parameter!$H$6+Parameter!$H$7))-(AN1679-AI1679))/AI1679)))</f>
        <v>1</v>
      </c>
      <c r="AP1679" s="50" t="n">
        <f aca="false">IF(LEFT(Cockpit!$I$5,1)="A",H1679,IF(Parameter!$E$30="MAX-Bestand",IF(CH1679=1,CI1679,IF(LEFT(Cockpit!$I$5,1)="B",AV1679,MAX(AV1679,H1679))),ROUNDUP(AT1679,0)))</f>
        <v>20</v>
      </c>
      <c r="AQ1679" s="50" t="n">
        <f aca="false">IF(BZ1679=1,0,ROUNDUP(AP1679/BY1679,0))</f>
        <v>2</v>
      </c>
      <c r="AR1679" s="52" t="n">
        <f aca="false">IF(CQ1679&gt;0,CQ1679*MAX(1,AP1679/X1679),IF(BZ1679=1,IF(AP1679&lt;=0,0,CD1679*MAX(1,IF(H1679&gt;0,AP1679/H1679,1))),IF(R1679&gt;0,AQ1679/R1679,0))/MAX(0.1,N(Parameter!$M$21)))</f>
        <v>0.166666666666667</v>
      </c>
      <c r="AS1679" s="50" t="n">
        <f aca="false">AR1679*CB1679</f>
        <v>40.8333333333333</v>
      </c>
      <c r="AT1679" s="51" t="n">
        <f aca="false">IF(LEFT(Cockpit!$I$5,1)="A",H1679,IF(CH1679=1,(CK1679+CI1679)/2,IF(LEFT(Cockpit!$I$5,1)="B",(CK1679+AV1679)/2,MAX((CK1679+AV1679)/2,H1679))))</f>
        <v>20</v>
      </c>
      <c r="AU1679" s="50" t="n">
        <f aca="false">AT1679*G1679</f>
        <v>288.6</v>
      </c>
      <c r="AV1679" s="50" t="n">
        <f aca="false">ROUNDUP(CK1679+MAX(CL1679,2*(J1679/IF(CG1679&gt;0,CG1679,MAX(0.1,N(Cockpit!$I$6)))-CK1679)),0)</f>
        <v>20</v>
      </c>
      <c r="AW1679" s="51" t="n">
        <f aca="false">IF(AS1679&gt;0,J1679/AS1679,-1)</f>
        <v>0</v>
      </c>
      <c r="AX1679" s="51" t="n">
        <f aca="false">IF(AND(OR(CF1679="L1",CF1679="L23",CF1679="LIFT"),AS1679&gt;0),SUMIFS($AS$7:$AS$1843,$CF$7:$CF$1843,CF1679,$AW$7:$AW$1843,"&gt;"&amp;AW1679)+SUMIFS($AS$7:$AS$1843,$CF$7:$CF$1843,CF1679,$AW$7:$AW$1843,AW1679,$BW$7:$BW$1843,"&lt;="&amp;BW1679),"")</f>
        <v>39039.6699907908</v>
      </c>
      <c r="AY1679" s="58" t="n">
        <f aca="false">IF(AX1679="",0,MAX(0,MIN(1,(IF(CF1679="L1",Parameter!$H$5,IF(CF1679="L23",Parameter!$H$6+Parameter!$H$7,Parameter!$H$5+Parameter!$H$6+Parameter!$H$7))-(AX1679-AS1679))/AS1679)))</f>
        <v>0</v>
      </c>
      <c r="AZ1679" s="50" t="n">
        <f aca="false">IF(LEFT(Cockpit!$O$5,1)="A",H1679,IF(Parameter!$E$30="MAX-Bestand",IF(CH1679=1,CI1679,IF(LEFT(Cockpit!$O$5,1)="B",BF1679,MAX(BF1679,H1679))),ROUNDUP(BD1679,0)))</f>
        <v>10</v>
      </c>
      <c r="BA1679" s="50" t="n">
        <f aca="false">IF(BZ1679=1,0,ROUNDUP(AZ1679/BY1679,0))</f>
        <v>1</v>
      </c>
      <c r="BB1679" s="52" t="n">
        <f aca="false">IF(CQ1679&gt;0,CQ1679*MAX(1,AZ1679/X1679),IF(BZ1679=1,IF(AZ1679&lt;=0,0,CD1679*MAX(1,IF(H1679&gt;0,AZ1679/H1679,1))),IF(R1679&gt;0,BA1679/R1679,0))/MAX(0.1,N(Parameter!$M$21)))</f>
        <v>0.0833333333333333</v>
      </c>
      <c r="BC1679" s="50" t="n">
        <f aca="false">BB1679*CB1679</f>
        <v>20.4166666666667</v>
      </c>
      <c r="BD1679" s="51" t="n">
        <f aca="false">IF(LEFT(Cockpit!$O$5,1)="A",H1679,IF(CH1679=1,(CK1679+CI1679)/2,IF(LEFT(Cockpit!$O$5,1)="B",(CK1679+BF1679)/2,MAX((CK1679+BF1679)/2,H1679))))</f>
        <v>10</v>
      </c>
      <c r="BE1679" s="50" t="n">
        <f aca="false">BD1679*G1679</f>
        <v>144.3</v>
      </c>
      <c r="BF1679" s="50" t="n">
        <f aca="false">ROUNDUP(CK1679+MAX(CL1679,2*(J1679/IF(CG1679&gt;0,CG1679,MAX(0.1,N(Cockpit!$O$6)))-CK1679)),0)</f>
        <v>20</v>
      </c>
      <c r="BG1679" s="51" t="n">
        <f aca="false">IF(BC1679&gt;0,J1679/BC1679,-1)</f>
        <v>0</v>
      </c>
      <c r="BH1679" s="51" t="n">
        <f aca="false">IF(AND(OR(CF1679="L1",CF1679="L23",CF1679="LIFT"),BC1679&gt;0),SUMIFS($BC$7:$BC$1843,$CF$7:$CF$1843,CF1679,$BG$7:$BG$1843,"&gt;"&amp;BG1679)+SUMIFS($BC$7:$BC$1843,$CF$7:$CF$1843,CF1679,$BG$7:$BG$1843,BG1679,$BW$7:$BW$1843,"&lt;="&amp;BW1679),"")</f>
        <v>32302.0279329898</v>
      </c>
      <c r="BI1679" s="58" t="n">
        <f aca="false">IF(BH1679="",0,MAX(0,MIN(1,(IF(CF1679="L1",Parameter!$H$5,IF(CF1679="L23",Parameter!$H$6+Parameter!$H$7,Parameter!$H$5+Parameter!$H$6+Parameter!$H$7))-(BH1679-BC1679))/BC1679)))</f>
        <v>1</v>
      </c>
      <c r="BJ1679" s="48" t="str">
        <f aca="false">IF(AI1679&lt;=0,"",IF(CF1679="Aussen","Aussenlager",IF(CF1679="-","Nicht im Lift",IF(AO1679&gt;=1,"Lift",IF(AO1679&lt;=0,"Aussenlager","teilweise")))))</f>
        <v>Lift</v>
      </c>
      <c r="BK1679" s="48" t="str">
        <f aca="false">IF(AS1679&lt;=0,"",IF(CF1679="Aussen","Aussenlager",IF(CF1679="-","Nicht im Lift",IF(AY1679&gt;=1,"Lift",IF(AY1679&lt;=0,"Aussenlager","teilweise")))))</f>
        <v>Aussenlager</v>
      </c>
      <c r="BL1679" s="48" t="str">
        <f aca="false">IF(BC1679&lt;=0,"",IF(CF1679="Aussen","Aussenlager",IF(CF1679="-","Nicht im Lift",IF(BI1679&gt;=1,"Lift",IF(BI1679&lt;=0,"Aussenlager","teilweise")))))</f>
        <v>Lift</v>
      </c>
      <c r="BM1679" s="48" t="str">
        <f aca="false">IF(A1679="","",IF(BV1679=1,"Neu; ","")&amp;IF(AND(BV1679=0,BQ1679&lt;0),"negativer Bestand (Export "&amp;BQ1679&amp;"); ","")&amp;IF(J1679&lt;=0,"Kein Verbrauch; ","")&amp;IF(CQ1679&gt;0,"Lift "&amp;W1679&amp;" lt. Liftbericht (Fach "&amp;X1679&amp;" Stk); ",IF(CA1679=1,"Gebinde geschätzt ("&amp;T1679&amp;"); ",IF(BZ1679=1,"Lose – Tablare geschätzt; ","")))&amp;IF(H1679&gt;AV1679,"Überbestand "&amp;ROUND(H1679-AV1679,0)&amp;" Stk / CHF "&amp;ROUND((H1679-AV1679)*G1679,0)&amp;"; ","")&amp;IF(AND(CH1679=1,CI1679&lt;CJ1679),"MAX &lt; MB+LG; ","")&amp;IF(AND(CP1679&gt;0,CO1679*10&gt;CP1679),"zu hoch für Tablar; ","")&amp;IF(AND(BV1679=0,OR(CH1679=1,AA1679&lt;&gt;"",U1679&lt;&gt;"",V1679&lt;&gt;"",AB1679&lt;&gt;"")),"manuell übersteuert; ","")&amp;IF(AND(BZ1679=0,R1679=0),"Gebinde unbekannt / Stellmass fehlt; ","")&amp;IF(AND(BZ1679=0,N(V1679)&lt;=0,N(Q1679)&lt;=0),"Menge pro Gebinde fehlt (Ist = 1 Gebinde); ","")&amp;BU1679)</f>
        <v>Kein Verbrauch; nur im Artikelstamm (Bestand 23.06.2026)</v>
      </c>
      <c r="BN1679" s="48"/>
      <c r="BO1679" s="48"/>
      <c r="BP1679" s="55"/>
      <c r="BQ1679" s="50" t="n">
        <v>20</v>
      </c>
      <c r="BR1679" s="50" t="n">
        <v>0</v>
      </c>
      <c r="BS1679" s="49" t="n">
        <v>0</v>
      </c>
      <c r="BT1679" s="50" t="n">
        <v>0</v>
      </c>
      <c r="BU1679" s="48" t="s">
        <v>2584</v>
      </c>
      <c r="BV1679" s="53" t="n">
        <v>0</v>
      </c>
      <c r="BW1679" s="53" t="n">
        <v>1679</v>
      </c>
      <c r="BX1679" s="48" t="str">
        <f aca="false">IF(U1679&lt;&gt;"",UPPER(TRIM(U1679)),IF(CA1679=1,UPPER(VLOOKUP(T1679,Parameter!$I$27:$K$29,2,0)),IF(P1679="","LOSE",P1679)))</f>
        <v>S62</v>
      </c>
      <c r="BY1679" s="50" t="n">
        <f aca="false">IF(BX1679="LOSE",1,IF(N(V1679)&gt;0,V1679,IF(CA1679=1,MAX(1,N(VLOOKUP(T1679,Parameter!$I$27:$K$29,3,0)),H1679,N(N1679)),IF(N(Q1679)&gt;0,Q1679,MAX(1,H1679)))))</f>
        <v>19</v>
      </c>
      <c r="BZ1679" s="53" t="n">
        <f aca="false">IF(BX1679="LOSE",1,0)</f>
        <v>0</v>
      </c>
      <c r="CA1679" s="53" t="n">
        <f aca="false">IF(AND(U1679="",OR(P1679="",P1679="LOSE"),T1679&lt;&gt;"",N(S1679)&lt;=0,ISNUMBER(MATCH(T1679,Parameter!$I$27:$I$29,0))),1,0)</f>
        <v>0</v>
      </c>
      <c r="CB1679" s="53" t="n">
        <f aca="false">IF(CQ1679&gt;0,INDEX(Parameter!$H$5:$H$7,W1679)/INDEX(Parameter!$E$5:$E$7,W1679),IF(AND(BZ1679=0,N(IFERROR(VLOOKUP(BX1679,'Gebinde-Kategorie'!$A$5:$N$45,14,0),0))&gt;0),VLOOKUP(BX1679,'Gebinde-Kategorie'!$A$5:$N$45,14,0)*10+Parameter!$M$23,Parameter!$M$24))</f>
        <v>245</v>
      </c>
      <c r="CC1679" s="48" t="str">
        <f aca="false">IF(AND(Parameter!$B$19="Ja",E1679&lt;&gt;"",ISNUMBER(MATCH(E1679,Parameter!$I$35:$I$52,0))),VLOOKUP(E1679,Parameter!$I$35:$J$52,2,0),IFERROR(VLOOKUP(D1679,Parameter!$A$35:$C$64,2,0),"Nein"))</f>
        <v>2+3</v>
      </c>
      <c r="CD1679" s="52" t="n">
        <f aca="false">IF(BZ1679=0,0,IF(N(S1679)&gt;0,S1679,IFERROR(VLOOKUP(D1679,Parameter!$A$35:$C$64,3,0)+0,0)))</f>
        <v>0</v>
      </c>
      <c r="CE1679" s="48" t="n">
        <f aca="false">IF(AA1679&lt;&gt;"",AA1679,Z1679)</f>
        <v>2</v>
      </c>
      <c r="CF1679" s="48" t="str">
        <f aca="false">IF(OR(CE1679=1,CE1679=2,CE1679=3),IF(Parameter!$E$27="Ja","LIFT",IF(CE1679=1,"L1","L23")),IF(CE1679="Aussen","Aussen","-"))</f>
        <v>LIFT</v>
      </c>
      <c r="CG1679" s="59" t="n">
        <f aca="false">IF(N(AB1679)&gt;0,AB1679,0)</f>
        <v>0</v>
      </c>
      <c r="CH1679" s="53" t="n">
        <f aca="false">IF(ISNUMBER(AE1679),1,0)</f>
        <v>0</v>
      </c>
      <c r="CI1679" s="50" t="n">
        <f aca="false">N(AE1679)</f>
        <v>0</v>
      </c>
      <c r="CJ1679" s="50" t="n">
        <f aca="false">N(M1679)+N(N1679)</f>
        <v>20</v>
      </c>
      <c r="CK1679" s="50" t="n">
        <f aca="false">N(M1679)</f>
        <v>0</v>
      </c>
      <c r="CL1679" s="50" t="n">
        <f aca="false">N(N1679)</f>
        <v>20</v>
      </c>
      <c r="CM1679" s="50" t="n">
        <f aca="false">ROUNDUP(H1679/BY1679,0)</f>
        <v>2</v>
      </c>
      <c r="CN1679" s="50" t="n">
        <f aca="false">ROUNDUP(CI1679/BY1679,0)</f>
        <v>0</v>
      </c>
      <c r="CO1679" s="53" t="n">
        <f aca="false">IF(BZ1679=1,0,IFERROR(VLOOKUP(BX1679,'Gebinde-Kategorie'!$A$5:$N$45,5,0)+0,0))</f>
        <v>21</v>
      </c>
      <c r="CP1679" s="53" t="n">
        <f aca="false">IFERROR(IF(OR(CE1679=1,CE1679=2,CE1679=3),N(INDEX(Parameter!$I$5:$I$7,CE1679)),0),0)</f>
        <v>0</v>
      </c>
      <c r="CQ1679" s="52" t="n">
        <f aca="false">IF(AND(Parameter!$B$21="Ja",ISNUMBER(W1679),N(X1679)&gt;0),IFERROR(N(INDEX(Parameter!$L$5:$L$7,W1679))*INDEX(Parameter!$E$5:$E$7,W1679)*X1679/SUMIFS($X$7:$X$1843,$W$7:$W$1843,W1679),0),0)</f>
        <v>0</v>
      </c>
    </row>
    <row r="1680" customFormat="false" ht="15" hidden="false" customHeight="false" outlineLevel="0" collapsed="false">
      <c r="A1680" s="48" t="s">
        <v>2920</v>
      </c>
      <c r="B1680" s="48" t="s">
        <v>2921</v>
      </c>
      <c r="C1680" s="48" t="s">
        <v>173</v>
      </c>
      <c r="D1680" s="48" t="s">
        <v>182</v>
      </c>
      <c r="E1680" s="48"/>
      <c r="F1680" s="48"/>
      <c r="G1680" s="49" t="n">
        <v>434.06</v>
      </c>
      <c r="H1680" s="50" t="n">
        <f aca="false">MAX(0,IF(AND(Parameter!$B$21="Ja",ISNUMBER(Y1680)),Y1680,IF(Parameter!$B$20="Jahresanfang 2025 + Export",BR1680+BQ1680,BQ1680)))</f>
        <v>16</v>
      </c>
      <c r="I1680" s="50" t="n">
        <f aca="false">H1680*G1680</f>
        <v>6944.96</v>
      </c>
      <c r="J1680" s="50" t="n">
        <f aca="false">BT1680*Parameter!$B$18</f>
        <v>0</v>
      </c>
      <c r="K1680" s="51"/>
      <c r="L1680" s="52"/>
      <c r="M1680" s="50" t="n">
        <v>0</v>
      </c>
      <c r="N1680" s="50" t="n">
        <v>10</v>
      </c>
      <c r="O1680" s="53" t="n">
        <v>70</v>
      </c>
      <c r="P1680" s="48" t="s">
        <v>302</v>
      </c>
      <c r="Q1680" s="50" t="n">
        <v>16</v>
      </c>
      <c r="R1680" s="53" t="n">
        <f aca="false">IF(BZ1680=1,0,IFERROR(VLOOKUP(BX1680,'Gebinde-Kategorie'!$A$5:$N$45,13,0)+0,0))</f>
        <v>12</v>
      </c>
      <c r="S1680" s="54"/>
      <c r="T1680" s="55"/>
      <c r="U1680" s="55"/>
      <c r="V1680" s="55"/>
      <c r="W1680" s="48"/>
      <c r="X1680" s="50"/>
      <c r="Y1680" s="50"/>
      <c r="Z1680" s="48" t="n">
        <f aca="false">IF(A1680="","",IF(AND(Parameter!$B$21="Ja",ISNUMBER(W1680)),W1680,IF(CC1680="2+3",IF(ISNUMBER(SEARCH("grosser Artikel",BU1680)),2,IFERROR(VLOOKUP(BX1680,Parameter!$F$35:$G$64,2,0),2)),IF(OR(CC1680="Nein",CC1680=""),"-",CC1680))))</f>
        <v>2</v>
      </c>
      <c r="AA1680" s="55"/>
      <c r="AB1680" s="56"/>
      <c r="AC1680" s="50" t="n">
        <f aca="false">AV1680</f>
        <v>10</v>
      </c>
      <c r="AD1680" s="50" t="n">
        <f aca="false">MAX(AV1680,H1680)</f>
        <v>16</v>
      </c>
      <c r="AE1680" s="57"/>
      <c r="AF1680" s="50" t="n">
        <f aca="false">IF(LEFT(Cockpit!$C$5,1)="A",H1680,IF(Parameter!$E$30="MAX-Bestand",IF(CH1680=1,CI1680,IF(LEFT(Cockpit!$C$5,1)="B",AL1680,MAX(AL1680,H1680))),ROUNDUP(AJ1680,0)))</f>
        <v>16</v>
      </c>
      <c r="AG1680" s="50" t="n">
        <f aca="false">IF(BZ1680=1,0,ROUNDUP(AF1680/BY1680,0))</f>
        <v>1</v>
      </c>
      <c r="AH1680" s="52" t="n">
        <f aca="false">IF(CQ1680&gt;0,CQ1680*MAX(1,AF1680/X1680),IF(BZ1680=1,IF(AF1680&lt;=0,0,CD1680*MAX(1,IF(H1680&gt;0,AF1680/H1680,1))),IF(R1680&gt;0,AG1680/R1680,0))/MAX(0.1,N(Parameter!$M$21)))</f>
        <v>0.0833333333333333</v>
      </c>
      <c r="AI1680" s="50" t="n">
        <f aca="false">AH1680*CB1680</f>
        <v>20.4166666666667</v>
      </c>
      <c r="AJ1680" s="51" t="n">
        <f aca="false">IF(LEFT(Cockpit!$C$5,1)="A",H1680,IF(CH1680=1,(CK1680+CI1680)/2,IF(LEFT(Cockpit!$C$5,1)="B",(CK1680+AL1680)/2,MAX((CK1680+AL1680)/2,H1680))))</f>
        <v>16</v>
      </c>
      <c r="AK1680" s="50" t="n">
        <f aca="false">AJ1680*G1680</f>
        <v>6944.96</v>
      </c>
      <c r="AL1680" s="50" t="n">
        <f aca="false">ROUNDUP(CK1680+MAX(CL1680,2*(J1680/IF(CG1680&gt;0,CG1680,MAX(0.1,N(Cockpit!$C$6)))-CK1680)),0)</f>
        <v>10</v>
      </c>
      <c r="AM1680" s="51" t="n">
        <f aca="false">IF(AI1680&gt;0,J1680/AI1680,-1)</f>
        <v>0</v>
      </c>
      <c r="AN1680" s="51" t="n">
        <f aca="false">IF(AND(OR(CF1680="L1",CF1680="L23",CF1680="LIFT"),AI1680&gt;0),SUMIFS($AI$7:$AI$1843,$CF$7:$CF$1843,CF1680,$AM$7:$AM$1843,"&gt;"&amp;AM1680)+SUMIFS($AI$7:$AI$1843,$CF$7:$CF$1843,CF1680,$AM$7:$AM$1843,AM1680,$BW$7:$BW$1843,"&lt;="&amp;BW1680),"")</f>
        <v>32587.8384268744</v>
      </c>
      <c r="AO1680" s="58" t="n">
        <f aca="false">IF(AN1680="",0,MAX(0,MIN(1,(IF(CF1680="L1",Parameter!$H$5,IF(CF1680="L23",Parameter!$H$6+Parameter!$H$7,Parameter!$H$5+Parameter!$H$6+Parameter!$H$7))-(AN1680-AI1680))/AI1680)))</f>
        <v>1</v>
      </c>
      <c r="AP1680" s="50" t="n">
        <f aca="false">IF(LEFT(Cockpit!$I$5,1)="A",H1680,IF(Parameter!$E$30="MAX-Bestand",IF(CH1680=1,CI1680,IF(LEFT(Cockpit!$I$5,1)="B",AV1680,MAX(AV1680,H1680))),ROUNDUP(AT1680,0)))</f>
        <v>16</v>
      </c>
      <c r="AQ1680" s="50" t="n">
        <f aca="false">IF(BZ1680=1,0,ROUNDUP(AP1680/BY1680,0))</f>
        <v>1</v>
      </c>
      <c r="AR1680" s="52" t="n">
        <f aca="false">IF(CQ1680&gt;0,CQ1680*MAX(1,AP1680/X1680),IF(BZ1680=1,IF(AP1680&lt;=0,0,CD1680*MAX(1,IF(H1680&gt;0,AP1680/H1680,1))),IF(R1680&gt;0,AQ1680/R1680,0))/MAX(0.1,N(Parameter!$M$21)))</f>
        <v>0.0833333333333333</v>
      </c>
      <c r="AS1680" s="50" t="n">
        <f aca="false">AR1680*CB1680</f>
        <v>20.4166666666667</v>
      </c>
      <c r="AT1680" s="51" t="n">
        <f aca="false">IF(LEFT(Cockpit!$I$5,1)="A",H1680,IF(CH1680=1,(CK1680+CI1680)/2,IF(LEFT(Cockpit!$I$5,1)="B",(CK1680+AV1680)/2,MAX((CK1680+AV1680)/2,H1680))))</f>
        <v>16</v>
      </c>
      <c r="AU1680" s="50" t="n">
        <f aca="false">AT1680*G1680</f>
        <v>6944.96</v>
      </c>
      <c r="AV1680" s="50" t="n">
        <f aca="false">ROUNDUP(CK1680+MAX(CL1680,2*(J1680/IF(CG1680&gt;0,CG1680,MAX(0.1,N(Cockpit!$I$6)))-CK1680)),0)</f>
        <v>10</v>
      </c>
      <c r="AW1680" s="51" t="n">
        <f aca="false">IF(AS1680&gt;0,J1680/AS1680,-1)</f>
        <v>0</v>
      </c>
      <c r="AX1680" s="51" t="n">
        <f aca="false">IF(AND(OR(CF1680="L1",CF1680="L23",CF1680="LIFT"),AS1680&gt;0),SUMIFS($AS$7:$AS$1843,$CF$7:$CF$1843,CF1680,$AW$7:$AW$1843,"&gt;"&amp;AW1680)+SUMIFS($AS$7:$AS$1843,$CF$7:$CF$1843,CF1680,$AW$7:$AW$1843,AW1680,$BW$7:$BW$1843,"&lt;="&amp;BW1680),"")</f>
        <v>39060.0866574574</v>
      </c>
      <c r="AY1680" s="58" t="n">
        <f aca="false">IF(AX1680="",0,MAX(0,MIN(1,(IF(CF1680="L1",Parameter!$H$5,IF(CF1680="L23",Parameter!$H$6+Parameter!$H$7,Parameter!$H$5+Parameter!$H$6+Parameter!$H$7))-(AX1680-AS1680))/AS1680)))</f>
        <v>0</v>
      </c>
      <c r="AZ1680" s="50" t="n">
        <f aca="false">IF(LEFT(Cockpit!$O$5,1)="A",H1680,IF(Parameter!$E$30="MAX-Bestand",IF(CH1680=1,CI1680,IF(LEFT(Cockpit!$O$5,1)="B",BF1680,MAX(BF1680,H1680))),ROUNDUP(BD1680,0)))</f>
        <v>5</v>
      </c>
      <c r="BA1680" s="50" t="n">
        <f aca="false">IF(BZ1680=1,0,ROUNDUP(AZ1680/BY1680,0))</f>
        <v>1</v>
      </c>
      <c r="BB1680" s="52" t="n">
        <f aca="false">IF(CQ1680&gt;0,CQ1680*MAX(1,AZ1680/X1680),IF(BZ1680=1,IF(AZ1680&lt;=0,0,CD1680*MAX(1,IF(H1680&gt;0,AZ1680/H1680,1))),IF(R1680&gt;0,BA1680/R1680,0))/MAX(0.1,N(Parameter!$M$21)))</f>
        <v>0.0833333333333333</v>
      </c>
      <c r="BC1680" s="50" t="n">
        <f aca="false">BB1680*CB1680</f>
        <v>20.4166666666667</v>
      </c>
      <c r="BD1680" s="51" t="n">
        <f aca="false">IF(LEFT(Cockpit!$O$5,1)="A",H1680,IF(CH1680=1,(CK1680+CI1680)/2,IF(LEFT(Cockpit!$O$5,1)="B",(CK1680+BF1680)/2,MAX((CK1680+BF1680)/2,H1680))))</f>
        <v>5</v>
      </c>
      <c r="BE1680" s="50" t="n">
        <f aca="false">BD1680*G1680</f>
        <v>2170.3</v>
      </c>
      <c r="BF1680" s="50" t="n">
        <f aca="false">ROUNDUP(CK1680+MAX(CL1680,2*(J1680/IF(CG1680&gt;0,CG1680,MAX(0.1,N(Cockpit!$O$6)))-CK1680)),0)</f>
        <v>10</v>
      </c>
      <c r="BG1680" s="51" t="n">
        <f aca="false">IF(BC1680&gt;0,J1680/BC1680,-1)</f>
        <v>0</v>
      </c>
      <c r="BH1680" s="51" t="n">
        <f aca="false">IF(AND(OR(CF1680="L1",CF1680="L23",CF1680="LIFT"),BC1680&gt;0),SUMIFS($BC$7:$BC$1843,$CF$7:$CF$1843,CF1680,$BG$7:$BG$1843,"&gt;"&amp;BG1680)+SUMIFS($BC$7:$BC$1843,$CF$7:$CF$1843,CF1680,$BG$7:$BG$1843,BG1680,$BW$7:$BW$1843,"&lt;="&amp;BW1680),"")</f>
        <v>32322.4445996565</v>
      </c>
      <c r="BI1680" s="58" t="n">
        <f aca="false">IF(BH1680="",0,MAX(0,MIN(1,(IF(CF1680="L1",Parameter!$H$5,IF(CF1680="L23",Parameter!$H$6+Parameter!$H$7,Parameter!$H$5+Parameter!$H$6+Parameter!$H$7))-(BH1680-BC1680))/BC1680)))</f>
        <v>1</v>
      </c>
      <c r="BJ1680" s="48" t="str">
        <f aca="false">IF(AI1680&lt;=0,"",IF(CF1680="Aussen","Aussenlager",IF(CF1680="-","Nicht im Lift",IF(AO1680&gt;=1,"Lift",IF(AO1680&lt;=0,"Aussenlager","teilweise")))))</f>
        <v>Lift</v>
      </c>
      <c r="BK1680" s="48" t="str">
        <f aca="false">IF(AS1680&lt;=0,"",IF(CF1680="Aussen","Aussenlager",IF(CF1680="-","Nicht im Lift",IF(AY1680&gt;=1,"Lift",IF(AY1680&lt;=0,"Aussenlager","teilweise")))))</f>
        <v>Aussenlager</v>
      </c>
      <c r="BL1680" s="48" t="str">
        <f aca="false">IF(BC1680&lt;=0,"",IF(CF1680="Aussen","Aussenlager",IF(CF1680="-","Nicht im Lift",IF(BI1680&gt;=1,"Lift",IF(BI1680&lt;=0,"Aussenlager","teilweise")))))</f>
        <v>Lift</v>
      </c>
      <c r="BM1680" s="48" t="str">
        <f aca="false">IF(A1680="","",IF(BV1680=1,"Neu; ","")&amp;IF(AND(BV1680=0,BQ1680&lt;0),"negativer Bestand (Export "&amp;BQ1680&amp;"); ","")&amp;IF(J1680&lt;=0,"Kein Verbrauch; ","")&amp;IF(CQ1680&gt;0,"Lift "&amp;W1680&amp;" lt. Liftbericht (Fach "&amp;X1680&amp;" Stk); ",IF(CA1680=1,"Gebinde geschätzt ("&amp;T1680&amp;"); ",IF(BZ1680=1,"Lose – Tablare geschätzt; ","")))&amp;IF(H1680&gt;AV1680,"Überbestand "&amp;ROUND(H1680-AV1680,0)&amp;" Stk / CHF "&amp;ROUND((H1680-AV1680)*G1680,0)&amp;"; ","")&amp;IF(AND(CH1680=1,CI1680&lt;CJ1680),"MAX &lt; MB+LG; ","")&amp;IF(AND(CP1680&gt;0,CO1680*10&gt;CP1680),"zu hoch für Tablar; ","")&amp;IF(AND(BV1680=0,OR(CH1680=1,AA1680&lt;&gt;"",U1680&lt;&gt;"",V1680&lt;&gt;"",AB1680&lt;&gt;"")),"manuell übersteuert; ","")&amp;IF(AND(BZ1680=0,R1680=0),"Gebinde unbekannt / Stellmass fehlt; ","")&amp;IF(AND(BZ1680=0,N(V1680)&lt;=0,N(Q1680)&lt;=0),"Menge pro Gebinde fehlt (Ist = 1 Gebinde); ","")&amp;BU1680)</f>
        <v>Kein Verbrauch; Überbestand 6 Stk / CHF 2604; nur im Artikelstamm (Bestand 23.06.2026)</v>
      </c>
      <c r="BN1680" s="48"/>
      <c r="BO1680" s="48"/>
      <c r="BP1680" s="55"/>
      <c r="BQ1680" s="50" t="n">
        <v>16</v>
      </c>
      <c r="BR1680" s="50" t="n">
        <v>0</v>
      </c>
      <c r="BS1680" s="49" t="n">
        <v>0</v>
      </c>
      <c r="BT1680" s="50" t="n">
        <v>0</v>
      </c>
      <c r="BU1680" s="48" t="s">
        <v>2584</v>
      </c>
      <c r="BV1680" s="53" t="n">
        <v>0</v>
      </c>
      <c r="BW1680" s="53" t="n">
        <v>1680</v>
      </c>
      <c r="BX1680" s="48" t="str">
        <f aca="false">IF(U1680&lt;&gt;"",UPPER(TRIM(U1680)),IF(CA1680=1,UPPER(VLOOKUP(T1680,Parameter!$I$27:$K$29,2,0)),IF(P1680="","LOSE",P1680)))</f>
        <v>S62</v>
      </c>
      <c r="BY1680" s="50" t="n">
        <f aca="false">IF(BX1680="LOSE",1,IF(N(V1680)&gt;0,V1680,IF(CA1680=1,MAX(1,N(VLOOKUP(T1680,Parameter!$I$27:$K$29,3,0)),H1680,N(N1680)),IF(N(Q1680)&gt;0,Q1680,MAX(1,H1680)))))</f>
        <v>16</v>
      </c>
      <c r="BZ1680" s="53" t="n">
        <f aca="false">IF(BX1680="LOSE",1,0)</f>
        <v>0</v>
      </c>
      <c r="CA1680" s="53" t="n">
        <f aca="false">IF(AND(U1680="",OR(P1680="",P1680="LOSE"),T1680&lt;&gt;"",N(S1680)&lt;=0,ISNUMBER(MATCH(T1680,Parameter!$I$27:$I$29,0))),1,0)</f>
        <v>0</v>
      </c>
      <c r="CB1680" s="53" t="n">
        <f aca="false">IF(CQ1680&gt;0,INDEX(Parameter!$H$5:$H$7,W1680)/INDEX(Parameter!$E$5:$E$7,W1680),IF(AND(BZ1680=0,N(IFERROR(VLOOKUP(BX1680,'Gebinde-Kategorie'!$A$5:$N$45,14,0),0))&gt;0),VLOOKUP(BX1680,'Gebinde-Kategorie'!$A$5:$N$45,14,0)*10+Parameter!$M$23,Parameter!$M$24))</f>
        <v>245</v>
      </c>
      <c r="CC1680" s="48" t="str">
        <f aca="false">IF(AND(Parameter!$B$19="Ja",E1680&lt;&gt;"",ISNUMBER(MATCH(E1680,Parameter!$I$35:$I$52,0))),VLOOKUP(E1680,Parameter!$I$35:$J$52,2,0),IFERROR(VLOOKUP(D1680,Parameter!$A$35:$C$64,2,0),"Nein"))</f>
        <v>2+3</v>
      </c>
      <c r="CD1680" s="52" t="n">
        <f aca="false">IF(BZ1680=0,0,IF(N(S1680)&gt;0,S1680,IFERROR(VLOOKUP(D1680,Parameter!$A$35:$C$64,3,0)+0,0)))</f>
        <v>0</v>
      </c>
      <c r="CE1680" s="48" t="n">
        <f aca="false">IF(AA1680&lt;&gt;"",AA1680,Z1680)</f>
        <v>2</v>
      </c>
      <c r="CF1680" s="48" t="str">
        <f aca="false">IF(OR(CE1680=1,CE1680=2,CE1680=3),IF(Parameter!$E$27="Ja","LIFT",IF(CE1680=1,"L1","L23")),IF(CE1680="Aussen","Aussen","-"))</f>
        <v>LIFT</v>
      </c>
      <c r="CG1680" s="59" t="n">
        <f aca="false">IF(N(AB1680)&gt;0,AB1680,0)</f>
        <v>0</v>
      </c>
      <c r="CH1680" s="53" t="n">
        <f aca="false">IF(ISNUMBER(AE1680),1,0)</f>
        <v>0</v>
      </c>
      <c r="CI1680" s="50" t="n">
        <f aca="false">N(AE1680)</f>
        <v>0</v>
      </c>
      <c r="CJ1680" s="50" t="n">
        <f aca="false">N(M1680)+N(N1680)</f>
        <v>10</v>
      </c>
      <c r="CK1680" s="50" t="n">
        <f aca="false">N(M1680)</f>
        <v>0</v>
      </c>
      <c r="CL1680" s="50" t="n">
        <f aca="false">N(N1680)</f>
        <v>10</v>
      </c>
      <c r="CM1680" s="50" t="n">
        <f aca="false">ROUNDUP(H1680/BY1680,0)</f>
        <v>1</v>
      </c>
      <c r="CN1680" s="50" t="n">
        <f aca="false">ROUNDUP(CI1680/BY1680,0)</f>
        <v>0</v>
      </c>
      <c r="CO1680" s="53" t="n">
        <f aca="false">IF(BZ1680=1,0,IFERROR(VLOOKUP(BX1680,'Gebinde-Kategorie'!$A$5:$N$45,5,0)+0,0))</f>
        <v>21</v>
      </c>
      <c r="CP1680" s="53" t="n">
        <f aca="false">IFERROR(IF(OR(CE1680=1,CE1680=2,CE1680=3),N(INDEX(Parameter!$I$5:$I$7,CE1680)),0),0)</f>
        <v>0</v>
      </c>
      <c r="CQ1680" s="52" t="n">
        <f aca="false">IF(AND(Parameter!$B$21="Ja",ISNUMBER(W1680),N(X1680)&gt;0),IFERROR(N(INDEX(Parameter!$L$5:$L$7,W1680))*INDEX(Parameter!$E$5:$E$7,W1680)*X1680/SUMIFS($X$7:$X$1843,$W$7:$W$1843,W1680),0),0)</f>
        <v>0</v>
      </c>
    </row>
    <row r="1681" customFormat="false" ht="15" hidden="false" customHeight="false" outlineLevel="0" collapsed="false">
      <c r="A1681" s="48" t="s">
        <v>2922</v>
      </c>
      <c r="B1681" s="48" t="s">
        <v>2120</v>
      </c>
      <c r="C1681" s="48" t="s">
        <v>173</v>
      </c>
      <c r="D1681" s="48" t="s">
        <v>182</v>
      </c>
      <c r="E1681" s="48" t="s">
        <v>175</v>
      </c>
      <c r="F1681" s="48"/>
      <c r="G1681" s="49" t="n">
        <v>377.25</v>
      </c>
      <c r="H1681" s="50" t="n">
        <f aca="false">MAX(0,IF(AND(Parameter!$B$21="Ja",ISNUMBER(Y1681)),Y1681,IF(Parameter!$B$20="Jahresanfang 2025 + Export",BR1681+BQ1681,BQ1681)))</f>
        <v>14</v>
      </c>
      <c r="I1681" s="50" t="n">
        <f aca="false">H1681*G1681</f>
        <v>5281.5</v>
      </c>
      <c r="J1681" s="50" t="n">
        <f aca="false">BT1681*Parameter!$B$18</f>
        <v>0</v>
      </c>
      <c r="K1681" s="51"/>
      <c r="L1681" s="52"/>
      <c r="M1681" s="50" t="n">
        <v>0</v>
      </c>
      <c r="N1681" s="50" t="n">
        <v>10</v>
      </c>
      <c r="O1681" s="53" t="n">
        <v>35</v>
      </c>
      <c r="P1681" s="48" t="s">
        <v>302</v>
      </c>
      <c r="Q1681" s="50" t="n">
        <v>15</v>
      </c>
      <c r="R1681" s="53" t="n">
        <f aca="false">IF(BZ1681=1,0,IFERROR(VLOOKUP(BX1681,'Gebinde-Kategorie'!$A$5:$N$45,13,0)+0,0))</f>
        <v>12</v>
      </c>
      <c r="S1681" s="54"/>
      <c r="T1681" s="55"/>
      <c r="U1681" s="55"/>
      <c r="V1681" s="55"/>
      <c r="W1681" s="48"/>
      <c r="X1681" s="50"/>
      <c r="Y1681" s="50"/>
      <c r="Z1681" s="48" t="n">
        <f aca="false">IF(A1681="","",IF(AND(Parameter!$B$21="Ja",ISNUMBER(W1681)),W1681,IF(CC1681="2+3",IF(ISNUMBER(SEARCH("grosser Artikel",BU1681)),2,IFERROR(VLOOKUP(BX1681,Parameter!$F$35:$G$64,2,0),2)),IF(OR(CC1681="Nein",CC1681=""),"-",CC1681))))</f>
        <v>1</v>
      </c>
      <c r="AA1681" s="55"/>
      <c r="AB1681" s="56"/>
      <c r="AC1681" s="50" t="n">
        <f aca="false">AV1681</f>
        <v>10</v>
      </c>
      <c r="AD1681" s="50" t="n">
        <f aca="false">MAX(AV1681,H1681)</f>
        <v>14</v>
      </c>
      <c r="AE1681" s="57"/>
      <c r="AF1681" s="50" t="n">
        <f aca="false">IF(LEFT(Cockpit!$C$5,1)="A",H1681,IF(Parameter!$E$30="MAX-Bestand",IF(CH1681=1,CI1681,IF(LEFT(Cockpit!$C$5,1)="B",AL1681,MAX(AL1681,H1681))),ROUNDUP(AJ1681,0)))</f>
        <v>14</v>
      </c>
      <c r="AG1681" s="50" t="n">
        <f aca="false">IF(BZ1681=1,0,ROUNDUP(AF1681/BY1681,0))</f>
        <v>1</v>
      </c>
      <c r="AH1681" s="52" t="n">
        <f aca="false">IF(CQ1681&gt;0,CQ1681*MAX(1,AF1681/X1681),IF(BZ1681=1,IF(AF1681&lt;=0,0,CD1681*MAX(1,IF(H1681&gt;0,AF1681/H1681,1))),IF(R1681&gt;0,AG1681/R1681,0))/MAX(0.1,N(Parameter!$M$21)))</f>
        <v>0.0833333333333333</v>
      </c>
      <c r="AI1681" s="50" t="n">
        <f aca="false">AH1681*CB1681</f>
        <v>20.4166666666667</v>
      </c>
      <c r="AJ1681" s="51" t="n">
        <f aca="false">IF(LEFT(Cockpit!$C$5,1)="A",H1681,IF(CH1681=1,(CK1681+CI1681)/2,IF(LEFT(Cockpit!$C$5,1)="B",(CK1681+AL1681)/2,MAX((CK1681+AL1681)/2,H1681))))</f>
        <v>14</v>
      </c>
      <c r="AK1681" s="50" t="n">
        <f aca="false">AJ1681*G1681</f>
        <v>5281.5</v>
      </c>
      <c r="AL1681" s="50" t="n">
        <f aca="false">ROUNDUP(CK1681+MAX(CL1681,2*(J1681/IF(CG1681&gt;0,CG1681,MAX(0.1,N(Cockpit!$C$6)))-CK1681)),0)</f>
        <v>10</v>
      </c>
      <c r="AM1681" s="51" t="n">
        <f aca="false">IF(AI1681&gt;0,J1681/AI1681,-1)</f>
        <v>0</v>
      </c>
      <c r="AN1681" s="51" t="n">
        <f aca="false">IF(AND(OR(CF1681="L1",CF1681="L23",CF1681="LIFT"),AI1681&gt;0),SUMIFS($AI$7:$AI$1843,$CF$7:$CF$1843,CF1681,$AM$7:$AM$1843,"&gt;"&amp;AM1681)+SUMIFS($AI$7:$AI$1843,$CF$7:$CF$1843,CF1681,$AM$7:$AM$1843,AM1681,$BW$7:$BW$1843,"&lt;="&amp;BW1681),"")</f>
        <v>32608.2550935411</v>
      </c>
      <c r="AO1681" s="58" t="n">
        <f aca="false">IF(AN1681="",0,MAX(0,MIN(1,(IF(CF1681="L1",Parameter!$H$5,IF(CF1681="L23",Parameter!$H$6+Parameter!$H$7,Parameter!$H$5+Parameter!$H$6+Parameter!$H$7))-(AN1681-AI1681))/AI1681)))</f>
        <v>1</v>
      </c>
      <c r="AP1681" s="50" t="n">
        <f aca="false">IF(LEFT(Cockpit!$I$5,1)="A",H1681,IF(Parameter!$E$30="MAX-Bestand",IF(CH1681=1,CI1681,IF(LEFT(Cockpit!$I$5,1)="B",AV1681,MAX(AV1681,H1681))),ROUNDUP(AT1681,0)))</f>
        <v>14</v>
      </c>
      <c r="AQ1681" s="50" t="n">
        <f aca="false">IF(BZ1681=1,0,ROUNDUP(AP1681/BY1681,0))</f>
        <v>1</v>
      </c>
      <c r="AR1681" s="52" t="n">
        <f aca="false">IF(CQ1681&gt;0,CQ1681*MAX(1,AP1681/X1681),IF(BZ1681=1,IF(AP1681&lt;=0,0,CD1681*MAX(1,IF(H1681&gt;0,AP1681/H1681,1))),IF(R1681&gt;0,AQ1681/R1681,0))/MAX(0.1,N(Parameter!$M$21)))</f>
        <v>0.0833333333333333</v>
      </c>
      <c r="AS1681" s="50" t="n">
        <f aca="false">AR1681*CB1681</f>
        <v>20.4166666666667</v>
      </c>
      <c r="AT1681" s="51" t="n">
        <f aca="false">IF(LEFT(Cockpit!$I$5,1)="A",H1681,IF(CH1681=1,(CK1681+CI1681)/2,IF(LEFT(Cockpit!$I$5,1)="B",(CK1681+AV1681)/2,MAX((CK1681+AV1681)/2,H1681))))</f>
        <v>14</v>
      </c>
      <c r="AU1681" s="50" t="n">
        <f aca="false">AT1681*G1681</f>
        <v>5281.5</v>
      </c>
      <c r="AV1681" s="50" t="n">
        <f aca="false">ROUNDUP(CK1681+MAX(CL1681,2*(J1681/IF(CG1681&gt;0,CG1681,MAX(0.1,N(Cockpit!$I$6)))-CK1681)),0)</f>
        <v>10</v>
      </c>
      <c r="AW1681" s="51" t="n">
        <f aca="false">IF(AS1681&gt;0,J1681/AS1681,-1)</f>
        <v>0</v>
      </c>
      <c r="AX1681" s="51" t="n">
        <f aca="false">IF(AND(OR(CF1681="L1",CF1681="L23",CF1681="LIFT"),AS1681&gt;0),SUMIFS($AS$7:$AS$1843,$CF$7:$CF$1843,CF1681,$AW$7:$AW$1843,"&gt;"&amp;AW1681)+SUMIFS($AS$7:$AS$1843,$CF$7:$CF$1843,CF1681,$AW$7:$AW$1843,AW1681,$BW$7:$BW$1843,"&lt;="&amp;BW1681),"")</f>
        <v>39080.5033241241</v>
      </c>
      <c r="AY1681" s="58" t="n">
        <f aca="false">IF(AX1681="",0,MAX(0,MIN(1,(IF(CF1681="L1",Parameter!$H$5,IF(CF1681="L23",Parameter!$H$6+Parameter!$H$7,Parameter!$H$5+Parameter!$H$6+Parameter!$H$7))-(AX1681-AS1681))/AS1681)))</f>
        <v>0</v>
      </c>
      <c r="AZ1681" s="50" t="n">
        <f aca="false">IF(LEFT(Cockpit!$O$5,1)="A",H1681,IF(Parameter!$E$30="MAX-Bestand",IF(CH1681=1,CI1681,IF(LEFT(Cockpit!$O$5,1)="B",BF1681,MAX(BF1681,H1681))),ROUNDUP(BD1681,0)))</f>
        <v>5</v>
      </c>
      <c r="BA1681" s="50" t="n">
        <f aca="false">IF(BZ1681=1,0,ROUNDUP(AZ1681/BY1681,0))</f>
        <v>1</v>
      </c>
      <c r="BB1681" s="52" t="n">
        <f aca="false">IF(CQ1681&gt;0,CQ1681*MAX(1,AZ1681/X1681),IF(BZ1681=1,IF(AZ1681&lt;=0,0,CD1681*MAX(1,IF(H1681&gt;0,AZ1681/H1681,1))),IF(R1681&gt;0,BA1681/R1681,0))/MAX(0.1,N(Parameter!$M$21)))</f>
        <v>0.0833333333333333</v>
      </c>
      <c r="BC1681" s="50" t="n">
        <f aca="false">BB1681*CB1681</f>
        <v>20.4166666666667</v>
      </c>
      <c r="BD1681" s="51" t="n">
        <f aca="false">IF(LEFT(Cockpit!$O$5,1)="A",H1681,IF(CH1681=1,(CK1681+CI1681)/2,IF(LEFT(Cockpit!$O$5,1)="B",(CK1681+BF1681)/2,MAX((CK1681+BF1681)/2,H1681))))</f>
        <v>5</v>
      </c>
      <c r="BE1681" s="50" t="n">
        <f aca="false">BD1681*G1681</f>
        <v>1886.25</v>
      </c>
      <c r="BF1681" s="50" t="n">
        <f aca="false">ROUNDUP(CK1681+MAX(CL1681,2*(J1681/IF(CG1681&gt;0,CG1681,MAX(0.1,N(Cockpit!$O$6)))-CK1681)),0)</f>
        <v>10</v>
      </c>
      <c r="BG1681" s="51" t="n">
        <f aca="false">IF(BC1681&gt;0,J1681/BC1681,-1)</f>
        <v>0</v>
      </c>
      <c r="BH1681" s="51" t="n">
        <f aca="false">IF(AND(OR(CF1681="L1",CF1681="L23",CF1681="LIFT"),BC1681&gt;0),SUMIFS($BC$7:$BC$1843,$CF$7:$CF$1843,CF1681,$BG$7:$BG$1843,"&gt;"&amp;BG1681)+SUMIFS($BC$7:$BC$1843,$CF$7:$CF$1843,CF1681,$BG$7:$BG$1843,BG1681,$BW$7:$BW$1843,"&lt;="&amp;BW1681),"")</f>
        <v>32342.8612663231</v>
      </c>
      <c r="BI1681" s="58" t="n">
        <f aca="false">IF(BH1681="",0,MAX(0,MIN(1,(IF(CF1681="L1",Parameter!$H$5,IF(CF1681="L23",Parameter!$H$6+Parameter!$H$7,Parameter!$H$5+Parameter!$H$6+Parameter!$H$7))-(BH1681-BC1681))/BC1681)))</f>
        <v>1</v>
      </c>
      <c r="BJ1681" s="48" t="str">
        <f aca="false">IF(AI1681&lt;=0,"",IF(CF1681="Aussen","Aussenlager",IF(CF1681="-","Nicht im Lift",IF(AO1681&gt;=1,"Lift",IF(AO1681&lt;=0,"Aussenlager","teilweise")))))</f>
        <v>Lift</v>
      </c>
      <c r="BK1681" s="48" t="str">
        <f aca="false">IF(AS1681&lt;=0,"",IF(CF1681="Aussen","Aussenlager",IF(CF1681="-","Nicht im Lift",IF(AY1681&gt;=1,"Lift",IF(AY1681&lt;=0,"Aussenlager","teilweise")))))</f>
        <v>Aussenlager</v>
      </c>
      <c r="BL1681" s="48" t="str">
        <f aca="false">IF(BC1681&lt;=0,"",IF(CF1681="Aussen","Aussenlager",IF(CF1681="-","Nicht im Lift",IF(BI1681&gt;=1,"Lift",IF(BI1681&lt;=0,"Aussenlager","teilweise")))))</f>
        <v>Lift</v>
      </c>
      <c r="BM1681" s="48" t="str">
        <f aca="false">IF(A1681="","",IF(BV1681=1,"Neu; ","")&amp;IF(AND(BV1681=0,BQ1681&lt;0),"negativer Bestand (Export "&amp;BQ1681&amp;"); ","")&amp;IF(J1681&lt;=0,"Kein Verbrauch; ","")&amp;IF(CQ1681&gt;0,"Lift "&amp;W1681&amp;" lt. Liftbericht (Fach "&amp;X1681&amp;" Stk); ",IF(CA1681=1,"Gebinde geschätzt ("&amp;T1681&amp;"); ",IF(BZ1681=1,"Lose – Tablare geschätzt; ","")))&amp;IF(H1681&gt;AV1681,"Überbestand "&amp;ROUND(H1681-AV1681,0)&amp;" Stk / CHF "&amp;ROUND((H1681-AV1681)*G1681,0)&amp;"; ","")&amp;IF(AND(CH1681=1,CI1681&lt;CJ1681),"MAX &lt; MB+LG; ","")&amp;IF(AND(CP1681&gt;0,CO1681*10&gt;CP1681),"zu hoch für Tablar; ","")&amp;IF(AND(BV1681=0,OR(CH1681=1,AA1681&lt;&gt;"",U1681&lt;&gt;"",V1681&lt;&gt;"",AB1681&lt;&gt;"")),"manuell übersteuert; ","")&amp;IF(AND(BZ1681=0,R1681=0),"Gebinde unbekannt / Stellmass fehlt; ","")&amp;IF(AND(BZ1681=0,N(V1681)&lt;=0,N(Q1681)&lt;=0),"Menge pro Gebinde fehlt (Ist = 1 Gebinde); ","")&amp;BU1681)</f>
        <v>Kein Verbrauch; Überbestand 4 Stk / CHF 1509; nur im Artikelstamm (Bestand 23.06.2026)</v>
      </c>
      <c r="BN1681" s="48"/>
      <c r="BO1681" s="48"/>
      <c r="BP1681" s="55"/>
      <c r="BQ1681" s="50" t="n">
        <v>14</v>
      </c>
      <c r="BR1681" s="50" t="n">
        <v>0</v>
      </c>
      <c r="BS1681" s="49" t="n">
        <v>0</v>
      </c>
      <c r="BT1681" s="50" t="n">
        <v>0</v>
      </c>
      <c r="BU1681" s="48" t="s">
        <v>2584</v>
      </c>
      <c r="BV1681" s="53" t="n">
        <v>0</v>
      </c>
      <c r="BW1681" s="53" t="n">
        <v>1681</v>
      </c>
      <c r="BX1681" s="48" t="str">
        <f aca="false">IF(U1681&lt;&gt;"",UPPER(TRIM(U1681)),IF(CA1681=1,UPPER(VLOOKUP(T1681,Parameter!$I$27:$K$29,2,0)),IF(P1681="","LOSE",P1681)))</f>
        <v>S62</v>
      </c>
      <c r="BY1681" s="50" t="n">
        <f aca="false">IF(BX1681="LOSE",1,IF(N(V1681)&gt;0,V1681,IF(CA1681=1,MAX(1,N(VLOOKUP(T1681,Parameter!$I$27:$K$29,3,0)),H1681,N(N1681)),IF(N(Q1681)&gt;0,Q1681,MAX(1,H1681)))))</f>
        <v>15</v>
      </c>
      <c r="BZ1681" s="53" t="n">
        <f aca="false">IF(BX1681="LOSE",1,0)</f>
        <v>0</v>
      </c>
      <c r="CA1681" s="53" t="n">
        <f aca="false">IF(AND(U1681="",OR(P1681="",P1681="LOSE"),T1681&lt;&gt;"",N(S1681)&lt;=0,ISNUMBER(MATCH(T1681,Parameter!$I$27:$I$29,0))),1,0)</f>
        <v>0</v>
      </c>
      <c r="CB1681" s="53" t="n">
        <f aca="false">IF(CQ1681&gt;0,INDEX(Parameter!$H$5:$H$7,W1681)/INDEX(Parameter!$E$5:$E$7,W1681),IF(AND(BZ1681=0,N(IFERROR(VLOOKUP(BX1681,'Gebinde-Kategorie'!$A$5:$N$45,14,0),0))&gt;0),VLOOKUP(BX1681,'Gebinde-Kategorie'!$A$5:$N$45,14,0)*10+Parameter!$M$23,Parameter!$M$24))</f>
        <v>245</v>
      </c>
      <c r="CC1681" s="48" t="n">
        <f aca="false">IF(AND(Parameter!$B$19="Ja",E1681&lt;&gt;"",ISNUMBER(MATCH(E1681,Parameter!$I$35:$I$52,0))),VLOOKUP(E1681,Parameter!$I$35:$J$52,2,0),IFERROR(VLOOKUP(D1681,Parameter!$A$35:$C$64,2,0),"Nein"))</f>
        <v>1</v>
      </c>
      <c r="CD1681" s="52" t="n">
        <f aca="false">IF(BZ1681=0,0,IF(N(S1681)&gt;0,S1681,IFERROR(VLOOKUP(D1681,Parameter!$A$35:$C$64,3,0)+0,0)))</f>
        <v>0</v>
      </c>
      <c r="CE1681" s="48" t="n">
        <f aca="false">IF(AA1681&lt;&gt;"",AA1681,Z1681)</f>
        <v>1</v>
      </c>
      <c r="CF1681" s="48" t="str">
        <f aca="false">IF(OR(CE1681=1,CE1681=2,CE1681=3),IF(Parameter!$E$27="Ja","LIFT",IF(CE1681=1,"L1","L23")),IF(CE1681="Aussen","Aussen","-"))</f>
        <v>LIFT</v>
      </c>
      <c r="CG1681" s="59" t="n">
        <f aca="false">IF(N(AB1681)&gt;0,AB1681,0)</f>
        <v>0</v>
      </c>
      <c r="CH1681" s="53" t="n">
        <f aca="false">IF(ISNUMBER(AE1681),1,0)</f>
        <v>0</v>
      </c>
      <c r="CI1681" s="50" t="n">
        <f aca="false">N(AE1681)</f>
        <v>0</v>
      </c>
      <c r="CJ1681" s="50" t="n">
        <f aca="false">N(M1681)+N(N1681)</f>
        <v>10</v>
      </c>
      <c r="CK1681" s="50" t="n">
        <f aca="false">N(M1681)</f>
        <v>0</v>
      </c>
      <c r="CL1681" s="50" t="n">
        <f aca="false">N(N1681)</f>
        <v>10</v>
      </c>
      <c r="CM1681" s="50" t="n">
        <f aca="false">ROUNDUP(H1681/BY1681,0)</f>
        <v>1</v>
      </c>
      <c r="CN1681" s="50" t="n">
        <f aca="false">ROUNDUP(CI1681/BY1681,0)</f>
        <v>0</v>
      </c>
      <c r="CO1681" s="53" t="n">
        <f aca="false">IF(BZ1681=1,0,IFERROR(VLOOKUP(BX1681,'Gebinde-Kategorie'!$A$5:$N$45,5,0)+0,0))</f>
        <v>21</v>
      </c>
      <c r="CP1681" s="53" t="n">
        <f aca="false">IFERROR(IF(OR(CE1681=1,CE1681=2,CE1681=3),N(INDEX(Parameter!$I$5:$I$7,CE1681)),0),0)</f>
        <v>0</v>
      </c>
      <c r="CQ1681" s="52" t="n">
        <f aca="false">IF(AND(Parameter!$B$21="Ja",ISNUMBER(W1681),N(X1681)&gt;0),IFERROR(N(INDEX(Parameter!$L$5:$L$7,W1681))*INDEX(Parameter!$E$5:$E$7,W1681)*X1681/SUMIFS($X$7:$X$1843,$W$7:$W$1843,W1681),0),0)</f>
        <v>0</v>
      </c>
    </row>
    <row r="1682" customFormat="false" ht="15" hidden="false" customHeight="false" outlineLevel="0" collapsed="false">
      <c r="A1682" s="48" t="s">
        <v>2923</v>
      </c>
      <c r="B1682" s="48" t="s">
        <v>2909</v>
      </c>
      <c r="C1682" s="48" t="s">
        <v>173</v>
      </c>
      <c r="D1682" s="48" t="s">
        <v>182</v>
      </c>
      <c r="E1682" s="48"/>
      <c r="F1682" s="48"/>
      <c r="G1682" s="49" t="n">
        <v>0</v>
      </c>
      <c r="H1682" s="50" t="n">
        <f aca="false">MAX(0,IF(AND(Parameter!$B$21="Ja",ISNUMBER(Y1682)),Y1682,IF(Parameter!$B$20="Jahresanfang 2025 + Export",BR1682+BQ1682,BQ1682)))</f>
        <v>4</v>
      </c>
      <c r="I1682" s="50" t="n">
        <f aca="false">H1682*G1682</f>
        <v>0</v>
      </c>
      <c r="J1682" s="50" t="n">
        <f aca="false">BT1682*Parameter!$B$18</f>
        <v>0</v>
      </c>
      <c r="K1682" s="51"/>
      <c r="L1682" s="52"/>
      <c r="M1682" s="50" t="n">
        <v>0</v>
      </c>
      <c r="N1682" s="50" t="n">
        <v>1</v>
      </c>
      <c r="O1682" s="53" t="n">
        <v>0</v>
      </c>
      <c r="P1682" s="48" t="s">
        <v>302</v>
      </c>
      <c r="Q1682" s="50" t="n">
        <v>5</v>
      </c>
      <c r="R1682" s="53" t="n">
        <f aca="false">IF(BZ1682=1,0,IFERROR(VLOOKUP(BX1682,'Gebinde-Kategorie'!$A$5:$N$45,13,0)+0,0))</f>
        <v>12</v>
      </c>
      <c r="S1682" s="54"/>
      <c r="T1682" s="55"/>
      <c r="U1682" s="55"/>
      <c r="V1682" s="55"/>
      <c r="W1682" s="48"/>
      <c r="X1682" s="50"/>
      <c r="Y1682" s="50"/>
      <c r="Z1682" s="48" t="n">
        <f aca="false">IF(A1682="","",IF(AND(Parameter!$B$21="Ja",ISNUMBER(W1682)),W1682,IF(CC1682="2+3",IF(ISNUMBER(SEARCH("grosser Artikel",BU1682)),2,IFERROR(VLOOKUP(BX1682,Parameter!$F$35:$G$64,2,0),2)),IF(OR(CC1682="Nein",CC1682=""),"-",CC1682))))</f>
        <v>2</v>
      </c>
      <c r="AA1682" s="55"/>
      <c r="AB1682" s="56"/>
      <c r="AC1682" s="50" t="n">
        <f aca="false">AV1682</f>
        <v>1</v>
      </c>
      <c r="AD1682" s="50" t="n">
        <f aca="false">MAX(AV1682,H1682)</f>
        <v>4</v>
      </c>
      <c r="AE1682" s="57"/>
      <c r="AF1682" s="50" t="n">
        <f aca="false">IF(LEFT(Cockpit!$C$5,1)="A",H1682,IF(Parameter!$E$30="MAX-Bestand",IF(CH1682=1,CI1682,IF(LEFT(Cockpit!$C$5,1)="B",AL1682,MAX(AL1682,H1682))),ROUNDUP(AJ1682,0)))</f>
        <v>4</v>
      </c>
      <c r="AG1682" s="50" t="n">
        <f aca="false">IF(BZ1682=1,0,ROUNDUP(AF1682/BY1682,0))</f>
        <v>1</v>
      </c>
      <c r="AH1682" s="52" t="n">
        <f aca="false">IF(CQ1682&gt;0,CQ1682*MAX(1,AF1682/X1682),IF(BZ1682=1,IF(AF1682&lt;=0,0,CD1682*MAX(1,IF(H1682&gt;0,AF1682/H1682,1))),IF(R1682&gt;0,AG1682/R1682,0))/MAX(0.1,N(Parameter!$M$21)))</f>
        <v>0.0833333333333333</v>
      </c>
      <c r="AI1682" s="50" t="n">
        <f aca="false">AH1682*CB1682</f>
        <v>20.4166666666667</v>
      </c>
      <c r="AJ1682" s="51" t="n">
        <f aca="false">IF(LEFT(Cockpit!$C$5,1)="A",H1682,IF(CH1682=1,(CK1682+CI1682)/2,IF(LEFT(Cockpit!$C$5,1)="B",(CK1682+AL1682)/2,MAX((CK1682+AL1682)/2,H1682))))</f>
        <v>4</v>
      </c>
      <c r="AK1682" s="50" t="n">
        <f aca="false">AJ1682*G1682</f>
        <v>0</v>
      </c>
      <c r="AL1682" s="50" t="n">
        <f aca="false">ROUNDUP(CK1682+MAX(CL1682,2*(J1682/IF(CG1682&gt;0,CG1682,MAX(0.1,N(Cockpit!$C$6)))-CK1682)),0)</f>
        <v>1</v>
      </c>
      <c r="AM1682" s="51" t="n">
        <f aca="false">IF(AI1682&gt;0,J1682/AI1682,-1)</f>
        <v>0</v>
      </c>
      <c r="AN1682" s="51" t="n">
        <f aca="false">IF(AND(OR(CF1682="L1",CF1682="L23",CF1682="LIFT"),AI1682&gt;0),SUMIFS($AI$7:$AI$1843,$CF$7:$CF$1843,CF1682,$AM$7:$AM$1843,"&gt;"&amp;AM1682)+SUMIFS($AI$7:$AI$1843,$CF$7:$CF$1843,CF1682,$AM$7:$AM$1843,AM1682,$BW$7:$BW$1843,"&lt;="&amp;BW1682),"")</f>
        <v>32628.6717602078</v>
      </c>
      <c r="AO1682" s="58" t="n">
        <f aca="false">IF(AN1682="",0,MAX(0,MIN(1,(IF(CF1682="L1",Parameter!$H$5,IF(CF1682="L23",Parameter!$H$6+Parameter!$H$7,Parameter!$H$5+Parameter!$H$6+Parameter!$H$7))-(AN1682-AI1682))/AI1682)))</f>
        <v>1</v>
      </c>
      <c r="AP1682" s="50" t="n">
        <f aca="false">IF(LEFT(Cockpit!$I$5,1)="A",H1682,IF(Parameter!$E$30="MAX-Bestand",IF(CH1682=1,CI1682,IF(LEFT(Cockpit!$I$5,1)="B",AV1682,MAX(AV1682,H1682))),ROUNDUP(AT1682,0)))</f>
        <v>4</v>
      </c>
      <c r="AQ1682" s="50" t="n">
        <f aca="false">IF(BZ1682=1,0,ROUNDUP(AP1682/BY1682,0))</f>
        <v>1</v>
      </c>
      <c r="AR1682" s="52" t="n">
        <f aca="false">IF(CQ1682&gt;0,CQ1682*MAX(1,AP1682/X1682),IF(BZ1682=1,IF(AP1682&lt;=0,0,CD1682*MAX(1,IF(H1682&gt;0,AP1682/H1682,1))),IF(R1682&gt;0,AQ1682/R1682,0))/MAX(0.1,N(Parameter!$M$21)))</f>
        <v>0.0833333333333333</v>
      </c>
      <c r="AS1682" s="50" t="n">
        <f aca="false">AR1682*CB1682</f>
        <v>20.4166666666667</v>
      </c>
      <c r="AT1682" s="51" t="n">
        <f aca="false">IF(LEFT(Cockpit!$I$5,1)="A",H1682,IF(CH1682=1,(CK1682+CI1682)/2,IF(LEFT(Cockpit!$I$5,1)="B",(CK1682+AV1682)/2,MAX((CK1682+AV1682)/2,H1682))))</f>
        <v>4</v>
      </c>
      <c r="AU1682" s="50" t="n">
        <f aca="false">AT1682*G1682</f>
        <v>0</v>
      </c>
      <c r="AV1682" s="50" t="n">
        <f aca="false">ROUNDUP(CK1682+MAX(CL1682,2*(J1682/IF(CG1682&gt;0,CG1682,MAX(0.1,N(Cockpit!$I$6)))-CK1682)),0)</f>
        <v>1</v>
      </c>
      <c r="AW1682" s="51" t="n">
        <f aca="false">IF(AS1682&gt;0,J1682/AS1682,-1)</f>
        <v>0</v>
      </c>
      <c r="AX1682" s="51" t="n">
        <f aca="false">IF(AND(OR(CF1682="L1",CF1682="L23",CF1682="LIFT"),AS1682&gt;0),SUMIFS($AS$7:$AS$1843,$CF$7:$CF$1843,CF1682,$AW$7:$AW$1843,"&gt;"&amp;AW1682)+SUMIFS($AS$7:$AS$1843,$CF$7:$CF$1843,CF1682,$AW$7:$AW$1843,AW1682,$BW$7:$BW$1843,"&lt;="&amp;BW1682),"")</f>
        <v>39100.9199907908</v>
      </c>
      <c r="AY1682" s="58" t="n">
        <f aca="false">IF(AX1682="",0,MAX(0,MIN(1,(IF(CF1682="L1",Parameter!$H$5,IF(CF1682="L23",Parameter!$H$6+Parameter!$H$7,Parameter!$H$5+Parameter!$H$6+Parameter!$H$7))-(AX1682-AS1682))/AS1682)))</f>
        <v>0</v>
      </c>
      <c r="AZ1682" s="50" t="n">
        <f aca="false">IF(LEFT(Cockpit!$O$5,1)="A",H1682,IF(Parameter!$E$30="MAX-Bestand",IF(CH1682=1,CI1682,IF(LEFT(Cockpit!$O$5,1)="B",BF1682,MAX(BF1682,H1682))),ROUNDUP(BD1682,0)))</f>
        <v>1</v>
      </c>
      <c r="BA1682" s="50" t="n">
        <f aca="false">IF(BZ1682=1,0,ROUNDUP(AZ1682/BY1682,0))</f>
        <v>1</v>
      </c>
      <c r="BB1682" s="52" t="n">
        <f aca="false">IF(CQ1682&gt;0,CQ1682*MAX(1,AZ1682/X1682),IF(BZ1682=1,IF(AZ1682&lt;=0,0,CD1682*MAX(1,IF(H1682&gt;0,AZ1682/H1682,1))),IF(R1682&gt;0,BA1682/R1682,0))/MAX(0.1,N(Parameter!$M$21)))</f>
        <v>0.0833333333333333</v>
      </c>
      <c r="BC1682" s="50" t="n">
        <f aca="false">BB1682*CB1682</f>
        <v>20.4166666666667</v>
      </c>
      <c r="BD1682" s="51" t="n">
        <f aca="false">IF(LEFT(Cockpit!$O$5,1)="A",H1682,IF(CH1682=1,(CK1682+CI1682)/2,IF(LEFT(Cockpit!$O$5,1)="B",(CK1682+BF1682)/2,MAX((CK1682+BF1682)/2,H1682))))</f>
        <v>0.5</v>
      </c>
      <c r="BE1682" s="50" t="n">
        <f aca="false">BD1682*G1682</f>
        <v>0</v>
      </c>
      <c r="BF1682" s="50" t="n">
        <f aca="false">ROUNDUP(CK1682+MAX(CL1682,2*(J1682/IF(CG1682&gt;0,CG1682,MAX(0.1,N(Cockpit!$O$6)))-CK1682)),0)</f>
        <v>1</v>
      </c>
      <c r="BG1682" s="51" t="n">
        <f aca="false">IF(BC1682&gt;0,J1682/BC1682,-1)</f>
        <v>0</v>
      </c>
      <c r="BH1682" s="51" t="n">
        <f aca="false">IF(AND(OR(CF1682="L1",CF1682="L23",CF1682="LIFT"),BC1682&gt;0),SUMIFS($BC$7:$BC$1843,$CF$7:$CF$1843,CF1682,$BG$7:$BG$1843,"&gt;"&amp;BG1682)+SUMIFS($BC$7:$BC$1843,$CF$7:$CF$1843,CF1682,$BG$7:$BG$1843,BG1682,$BW$7:$BW$1843,"&lt;="&amp;BW1682),"")</f>
        <v>32363.2779329898</v>
      </c>
      <c r="BI1682" s="58" t="n">
        <f aca="false">IF(BH1682="",0,MAX(0,MIN(1,(IF(CF1682="L1",Parameter!$H$5,IF(CF1682="L23",Parameter!$H$6+Parameter!$H$7,Parameter!$H$5+Parameter!$H$6+Parameter!$H$7))-(BH1682-BC1682))/BC1682)))</f>
        <v>1</v>
      </c>
      <c r="BJ1682" s="48" t="str">
        <f aca="false">IF(AI1682&lt;=0,"",IF(CF1682="Aussen","Aussenlager",IF(CF1682="-","Nicht im Lift",IF(AO1682&gt;=1,"Lift",IF(AO1682&lt;=0,"Aussenlager","teilweise")))))</f>
        <v>Lift</v>
      </c>
      <c r="BK1682" s="48" t="str">
        <f aca="false">IF(AS1682&lt;=0,"",IF(CF1682="Aussen","Aussenlager",IF(CF1682="-","Nicht im Lift",IF(AY1682&gt;=1,"Lift",IF(AY1682&lt;=0,"Aussenlager","teilweise")))))</f>
        <v>Aussenlager</v>
      </c>
      <c r="BL1682" s="48" t="str">
        <f aca="false">IF(BC1682&lt;=0,"",IF(CF1682="Aussen","Aussenlager",IF(CF1682="-","Nicht im Lift",IF(BI1682&gt;=1,"Lift",IF(BI1682&lt;=0,"Aussenlager","teilweise")))))</f>
        <v>Lift</v>
      </c>
      <c r="BM1682" s="48" t="str">
        <f aca="false">IF(A1682="","",IF(BV1682=1,"Neu; ","")&amp;IF(AND(BV1682=0,BQ1682&lt;0),"negativer Bestand (Export "&amp;BQ1682&amp;"); ","")&amp;IF(J1682&lt;=0,"Kein Verbrauch; ","")&amp;IF(CQ1682&gt;0,"Lift "&amp;W1682&amp;" lt. Liftbericht (Fach "&amp;X1682&amp;" Stk); ",IF(CA1682=1,"Gebinde geschätzt ("&amp;T1682&amp;"); ",IF(BZ1682=1,"Lose – Tablare geschätzt; ","")))&amp;IF(H1682&gt;AV1682,"Überbestand "&amp;ROUND(H1682-AV1682,0)&amp;" Stk / CHF "&amp;ROUND((H1682-AV1682)*G1682,0)&amp;"; ","")&amp;IF(AND(CH1682=1,CI1682&lt;CJ1682),"MAX &lt; MB+LG; ","")&amp;IF(AND(CP1682&gt;0,CO1682*10&gt;CP1682),"zu hoch für Tablar; ","")&amp;IF(AND(BV1682=0,OR(CH1682=1,AA1682&lt;&gt;"",U1682&lt;&gt;"",V1682&lt;&gt;"",AB1682&lt;&gt;"")),"manuell übersteuert; ","")&amp;IF(AND(BZ1682=0,R1682=0),"Gebinde unbekannt / Stellmass fehlt; ","")&amp;IF(AND(BZ1682=0,N(V1682)&lt;=0,N(Q1682)&lt;=0),"Menge pro Gebinde fehlt (Ist = 1 Gebinde); ","")&amp;BU1682)</f>
        <v>Kein Verbrauch; Überbestand 3 Stk / CHF 0; nur im Artikelstamm (Bestand 23.06.2026)</v>
      </c>
      <c r="BN1682" s="48"/>
      <c r="BO1682" s="48"/>
      <c r="BP1682" s="55"/>
      <c r="BQ1682" s="50" t="n">
        <v>4</v>
      </c>
      <c r="BR1682" s="50" t="n">
        <v>0</v>
      </c>
      <c r="BS1682" s="49" t="n">
        <v>0</v>
      </c>
      <c r="BT1682" s="50" t="n">
        <v>0</v>
      </c>
      <c r="BU1682" s="48" t="s">
        <v>2584</v>
      </c>
      <c r="BV1682" s="53" t="n">
        <v>0</v>
      </c>
      <c r="BW1682" s="53" t="n">
        <v>1682</v>
      </c>
      <c r="BX1682" s="48" t="str">
        <f aca="false">IF(U1682&lt;&gt;"",UPPER(TRIM(U1682)),IF(CA1682=1,UPPER(VLOOKUP(T1682,Parameter!$I$27:$K$29,2,0)),IF(P1682="","LOSE",P1682)))</f>
        <v>S62</v>
      </c>
      <c r="BY1682" s="50" t="n">
        <f aca="false">IF(BX1682="LOSE",1,IF(N(V1682)&gt;0,V1682,IF(CA1682=1,MAX(1,N(VLOOKUP(T1682,Parameter!$I$27:$K$29,3,0)),H1682,N(N1682)),IF(N(Q1682)&gt;0,Q1682,MAX(1,H1682)))))</f>
        <v>5</v>
      </c>
      <c r="BZ1682" s="53" t="n">
        <f aca="false">IF(BX1682="LOSE",1,0)</f>
        <v>0</v>
      </c>
      <c r="CA1682" s="53" t="n">
        <f aca="false">IF(AND(U1682="",OR(P1682="",P1682="LOSE"),T1682&lt;&gt;"",N(S1682)&lt;=0,ISNUMBER(MATCH(T1682,Parameter!$I$27:$I$29,0))),1,0)</f>
        <v>0</v>
      </c>
      <c r="CB1682" s="53" t="n">
        <f aca="false">IF(CQ1682&gt;0,INDEX(Parameter!$H$5:$H$7,W1682)/INDEX(Parameter!$E$5:$E$7,W1682),IF(AND(BZ1682=0,N(IFERROR(VLOOKUP(BX1682,'Gebinde-Kategorie'!$A$5:$N$45,14,0),0))&gt;0),VLOOKUP(BX1682,'Gebinde-Kategorie'!$A$5:$N$45,14,0)*10+Parameter!$M$23,Parameter!$M$24))</f>
        <v>245</v>
      </c>
      <c r="CC1682" s="48" t="str">
        <f aca="false">IF(AND(Parameter!$B$19="Ja",E1682&lt;&gt;"",ISNUMBER(MATCH(E1682,Parameter!$I$35:$I$52,0))),VLOOKUP(E1682,Parameter!$I$35:$J$52,2,0),IFERROR(VLOOKUP(D1682,Parameter!$A$35:$C$64,2,0),"Nein"))</f>
        <v>2+3</v>
      </c>
      <c r="CD1682" s="52" t="n">
        <f aca="false">IF(BZ1682=0,0,IF(N(S1682)&gt;0,S1682,IFERROR(VLOOKUP(D1682,Parameter!$A$35:$C$64,3,0)+0,0)))</f>
        <v>0</v>
      </c>
      <c r="CE1682" s="48" t="n">
        <f aca="false">IF(AA1682&lt;&gt;"",AA1682,Z1682)</f>
        <v>2</v>
      </c>
      <c r="CF1682" s="48" t="str">
        <f aca="false">IF(OR(CE1682=1,CE1682=2,CE1682=3),IF(Parameter!$E$27="Ja","LIFT",IF(CE1682=1,"L1","L23")),IF(CE1682="Aussen","Aussen","-"))</f>
        <v>LIFT</v>
      </c>
      <c r="CG1682" s="59" t="n">
        <f aca="false">IF(N(AB1682)&gt;0,AB1682,0)</f>
        <v>0</v>
      </c>
      <c r="CH1682" s="53" t="n">
        <f aca="false">IF(ISNUMBER(AE1682),1,0)</f>
        <v>0</v>
      </c>
      <c r="CI1682" s="50" t="n">
        <f aca="false">N(AE1682)</f>
        <v>0</v>
      </c>
      <c r="CJ1682" s="50" t="n">
        <f aca="false">N(M1682)+N(N1682)</f>
        <v>1</v>
      </c>
      <c r="CK1682" s="50" t="n">
        <f aca="false">N(M1682)</f>
        <v>0</v>
      </c>
      <c r="CL1682" s="50" t="n">
        <f aca="false">N(N1682)</f>
        <v>1</v>
      </c>
      <c r="CM1682" s="50" t="n">
        <f aca="false">ROUNDUP(H1682/BY1682,0)</f>
        <v>1</v>
      </c>
      <c r="CN1682" s="50" t="n">
        <f aca="false">ROUNDUP(CI1682/BY1682,0)</f>
        <v>0</v>
      </c>
      <c r="CO1682" s="53" t="n">
        <f aca="false">IF(BZ1682=1,0,IFERROR(VLOOKUP(BX1682,'Gebinde-Kategorie'!$A$5:$N$45,5,0)+0,0))</f>
        <v>21</v>
      </c>
      <c r="CP1682" s="53" t="n">
        <f aca="false">IFERROR(IF(OR(CE1682=1,CE1682=2,CE1682=3),N(INDEX(Parameter!$I$5:$I$7,CE1682)),0),0)</f>
        <v>0</v>
      </c>
      <c r="CQ1682" s="52" t="n">
        <f aca="false">IF(AND(Parameter!$B$21="Ja",ISNUMBER(W1682),N(X1682)&gt;0),IFERROR(N(INDEX(Parameter!$L$5:$L$7,W1682))*INDEX(Parameter!$E$5:$E$7,W1682)*X1682/SUMIFS($X$7:$X$1843,$W$7:$W$1843,W1682),0),0)</f>
        <v>0</v>
      </c>
    </row>
    <row r="1683" customFormat="false" ht="15" hidden="false" customHeight="false" outlineLevel="0" collapsed="false">
      <c r="A1683" s="48" t="s">
        <v>2924</v>
      </c>
      <c r="B1683" s="48" t="s">
        <v>2384</v>
      </c>
      <c r="C1683" s="48" t="s">
        <v>173</v>
      </c>
      <c r="D1683" s="48" t="s">
        <v>193</v>
      </c>
      <c r="E1683" s="48"/>
      <c r="F1683" s="48"/>
      <c r="G1683" s="49" t="n">
        <v>26.76</v>
      </c>
      <c r="H1683" s="50" t="n">
        <f aca="false">MAX(0,IF(AND(Parameter!$B$21="Ja",ISNUMBER(Y1683)),Y1683,IF(Parameter!$B$20="Jahresanfang 2025 + Export",BR1683+BQ1683,BQ1683)))</f>
        <v>1</v>
      </c>
      <c r="I1683" s="50" t="n">
        <f aca="false">H1683*G1683</f>
        <v>26.76</v>
      </c>
      <c r="J1683" s="50" t="n">
        <f aca="false">BT1683*Parameter!$B$18</f>
        <v>0</v>
      </c>
      <c r="K1683" s="51"/>
      <c r="L1683" s="52"/>
      <c r="M1683" s="50" t="n">
        <v>0</v>
      </c>
      <c r="N1683" s="50" t="n">
        <v>1</v>
      </c>
      <c r="O1683" s="53" t="n">
        <v>224</v>
      </c>
      <c r="P1683" s="48" t="s">
        <v>195</v>
      </c>
      <c r="Q1683" s="50" t="n">
        <v>65</v>
      </c>
      <c r="R1683" s="53" t="n">
        <f aca="false">IF(BZ1683=1,0,IFERROR(VLOOKUP(BX1683,'Gebinde-Kategorie'!$A$5:$N$45,13,0)+0,0))</f>
        <v>12</v>
      </c>
      <c r="S1683" s="54"/>
      <c r="T1683" s="55"/>
      <c r="U1683" s="55"/>
      <c r="V1683" s="55"/>
      <c r="W1683" s="48"/>
      <c r="X1683" s="50"/>
      <c r="Y1683" s="50"/>
      <c r="Z1683" s="48" t="n">
        <f aca="false">IF(A1683="","",IF(AND(Parameter!$B$21="Ja",ISNUMBER(W1683)),W1683,IF(CC1683="2+3",IF(ISNUMBER(SEARCH("grosser Artikel",BU1683)),2,IFERROR(VLOOKUP(BX1683,Parameter!$F$35:$G$64,2,0),2)),IF(OR(CC1683="Nein",CC1683=""),"-",CC1683))))</f>
        <v>2</v>
      </c>
      <c r="AA1683" s="55"/>
      <c r="AB1683" s="56"/>
      <c r="AC1683" s="50" t="n">
        <f aca="false">AV1683</f>
        <v>1</v>
      </c>
      <c r="AD1683" s="50" t="n">
        <f aca="false">MAX(AV1683,H1683)</f>
        <v>1</v>
      </c>
      <c r="AE1683" s="57"/>
      <c r="AF1683" s="50" t="n">
        <f aca="false">IF(LEFT(Cockpit!$C$5,1)="A",H1683,IF(Parameter!$E$30="MAX-Bestand",IF(CH1683=1,CI1683,IF(LEFT(Cockpit!$C$5,1)="B",AL1683,MAX(AL1683,H1683))),ROUNDUP(AJ1683,0)))</f>
        <v>1</v>
      </c>
      <c r="AG1683" s="50" t="n">
        <f aca="false">IF(BZ1683=1,0,ROUNDUP(AF1683/BY1683,0))</f>
        <v>1</v>
      </c>
      <c r="AH1683" s="52" t="n">
        <f aca="false">IF(CQ1683&gt;0,CQ1683*MAX(1,AF1683/X1683),IF(BZ1683=1,IF(AF1683&lt;=0,0,CD1683*MAX(1,IF(H1683&gt;0,AF1683/H1683,1))),IF(R1683&gt;0,AG1683/R1683,0))/MAX(0.1,N(Parameter!$M$21)))</f>
        <v>0.0833333333333333</v>
      </c>
      <c r="AI1683" s="50" t="n">
        <f aca="false">AH1683*CB1683</f>
        <v>12.0833333333333</v>
      </c>
      <c r="AJ1683" s="51" t="n">
        <f aca="false">IF(LEFT(Cockpit!$C$5,1)="A",H1683,IF(CH1683=1,(CK1683+CI1683)/2,IF(LEFT(Cockpit!$C$5,1)="B",(CK1683+AL1683)/2,MAX((CK1683+AL1683)/2,H1683))))</f>
        <v>1</v>
      </c>
      <c r="AK1683" s="50" t="n">
        <f aca="false">AJ1683*G1683</f>
        <v>26.76</v>
      </c>
      <c r="AL1683" s="50" t="n">
        <f aca="false">ROUNDUP(CK1683+MAX(CL1683,2*(J1683/IF(CG1683&gt;0,CG1683,MAX(0.1,N(Cockpit!$C$6)))-CK1683)),0)</f>
        <v>1</v>
      </c>
      <c r="AM1683" s="51" t="n">
        <f aca="false">IF(AI1683&gt;0,J1683/AI1683,-1)</f>
        <v>0</v>
      </c>
      <c r="AN1683" s="51" t="n">
        <f aca="false">IF(AND(OR(CF1683="L1",CF1683="L23",CF1683="LIFT"),AI1683&gt;0),SUMIFS($AI$7:$AI$1843,$CF$7:$CF$1843,CF1683,$AM$7:$AM$1843,"&gt;"&amp;AM1683)+SUMIFS($AI$7:$AI$1843,$CF$7:$CF$1843,CF1683,$AM$7:$AM$1843,AM1683,$BW$7:$BW$1843,"&lt;="&amp;BW1683),"")</f>
        <v>32640.7550935411</v>
      </c>
      <c r="AO1683" s="58" t="n">
        <f aca="false">IF(AN1683="",0,MAX(0,MIN(1,(IF(CF1683="L1",Parameter!$H$5,IF(CF1683="L23",Parameter!$H$6+Parameter!$H$7,Parameter!$H$5+Parameter!$H$6+Parameter!$H$7))-(AN1683-AI1683))/AI1683)))</f>
        <v>1</v>
      </c>
      <c r="AP1683" s="50" t="n">
        <f aca="false">IF(LEFT(Cockpit!$I$5,1)="A",H1683,IF(Parameter!$E$30="MAX-Bestand",IF(CH1683=1,CI1683,IF(LEFT(Cockpit!$I$5,1)="B",AV1683,MAX(AV1683,H1683))),ROUNDUP(AT1683,0)))</f>
        <v>1</v>
      </c>
      <c r="AQ1683" s="50" t="n">
        <f aca="false">IF(BZ1683=1,0,ROUNDUP(AP1683/BY1683,0))</f>
        <v>1</v>
      </c>
      <c r="AR1683" s="52" t="n">
        <f aca="false">IF(CQ1683&gt;0,CQ1683*MAX(1,AP1683/X1683),IF(BZ1683=1,IF(AP1683&lt;=0,0,CD1683*MAX(1,IF(H1683&gt;0,AP1683/H1683,1))),IF(R1683&gt;0,AQ1683/R1683,0))/MAX(0.1,N(Parameter!$M$21)))</f>
        <v>0.0833333333333333</v>
      </c>
      <c r="AS1683" s="50" t="n">
        <f aca="false">AR1683*CB1683</f>
        <v>12.0833333333333</v>
      </c>
      <c r="AT1683" s="51" t="n">
        <f aca="false">IF(LEFT(Cockpit!$I$5,1)="A",H1683,IF(CH1683=1,(CK1683+CI1683)/2,IF(LEFT(Cockpit!$I$5,1)="B",(CK1683+AV1683)/2,MAX((CK1683+AV1683)/2,H1683))))</f>
        <v>1</v>
      </c>
      <c r="AU1683" s="50" t="n">
        <f aca="false">AT1683*G1683</f>
        <v>26.76</v>
      </c>
      <c r="AV1683" s="50" t="n">
        <f aca="false">ROUNDUP(CK1683+MAX(CL1683,2*(J1683/IF(CG1683&gt;0,CG1683,MAX(0.1,N(Cockpit!$I$6)))-CK1683)),0)</f>
        <v>1</v>
      </c>
      <c r="AW1683" s="51" t="n">
        <f aca="false">IF(AS1683&gt;0,J1683/AS1683,-1)</f>
        <v>0</v>
      </c>
      <c r="AX1683" s="51" t="n">
        <f aca="false">IF(AND(OR(CF1683="L1",CF1683="L23",CF1683="LIFT"),AS1683&gt;0),SUMIFS($AS$7:$AS$1843,$CF$7:$CF$1843,CF1683,$AW$7:$AW$1843,"&gt;"&amp;AW1683)+SUMIFS($AS$7:$AS$1843,$CF$7:$CF$1843,CF1683,$AW$7:$AW$1843,AW1683,$BW$7:$BW$1843,"&lt;="&amp;BW1683),"")</f>
        <v>39113.0033241241</v>
      </c>
      <c r="AY1683" s="58" t="n">
        <f aca="false">IF(AX1683="",0,MAX(0,MIN(1,(IF(CF1683="L1",Parameter!$H$5,IF(CF1683="L23",Parameter!$H$6+Parameter!$H$7,Parameter!$H$5+Parameter!$H$6+Parameter!$H$7))-(AX1683-AS1683))/AS1683)))</f>
        <v>0</v>
      </c>
      <c r="AZ1683" s="50" t="n">
        <f aca="false">IF(LEFT(Cockpit!$O$5,1)="A",H1683,IF(Parameter!$E$30="MAX-Bestand",IF(CH1683=1,CI1683,IF(LEFT(Cockpit!$O$5,1)="B",BF1683,MAX(BF1683,H1683))),ROUNDUP(BD1683,0)))</f>
        <v>1</v>
      </c>
      <c r="BA1683" s="50" t="n">
        <f aca="false">IF(BZ1683=1,0,ROUNDUP(AZ1683/BY1683,0))</f>
        <v>1</v>
      </c>
      <c r="BB1683" s="52" t="n">
        <f aca="false">IF(CQ1683&gt;0,CQ1683*MAX(1,AZ1683/X1683),IF(BZ1683=1,IF(AZ1683&lt;=0,0,CD1683*MAX(1,IF(H1683&gt;0,AZ1683/H1683,1))),IF(R1683&gt;0,BA1683/R1683,0))/MAX(0.1,N(Parameter!$M$21)))</f>
        <v>0.0833333333333333</v>
      </c>
      <c r="BC1683" s="50" t="n">
        <f aca="false">BB1683*CB1683</f>
        <v>12.0833333333333</v>
      </c>
      <c r="BD1683" s="51" t="n">
        <f aca="false">IF(LEFT(Cockpit!$O$5,1)="A",H1683,IF(CH1683=1,(CK1683+CI1683)/2,IF(LEFT(Cockpit!$O$5,1)="B",(CK1683+BF1683)/2,MAX((CK1683+BF1683)/2,H1683))))</f>
        <v>0.5</v>
      </c>
      <c r="BE1683" s="50" t="n">
        <f aca="false">BD1683*G1683</f>
        <v>13.38</v>
      </c>
      <c r="BF1683" s="50" t="n">
        <f aca="false">ROUNDUP(CK1683+MAX(CL1683,2*(J1683/IF(CG1683&gt;0,CG1683,MAX(0.1,N(Cockpit!$O$6)))-CK1683)),0)</f>
        <v>1</v>
      </c>
      <c r="BG1683" s="51" t="n">
        <f aca="false">IF(BC1683&gt;0,J1683/BC1683,-1)</f>
        <v>0</v>
      </c>
      <c r="BH1683" s="51" t="n">
        <f aca="false">IF(AND(OR(CF1683="L1",CF1683="L23",CF1683="LIFT"),BC1683&gt;0),SUMIFS($BC$7:$BC$1843,$CF$7:$CF$1843,CF1683,$BG$7:$BG$1843,"&gt;"&amp;BG1683)+SUMIFS($BC$7:$BC$1843,$CF$7:$CF$1843,CF1683,$BG$7:$BG$1843,BG1683,$BW$7:$BW$1843,"&lt;="&amp;BW1683),"")</f>
        <v>32375.3612663231</v>
      </c>
      <c r="BI1683" s="58" t="n">
        <f aca="false">IF(BH1683="",0,MAX(0,MIN(1,(IF(CF1683="L1",Parameter!$H$5,IF(CF1683="L23",Parameter!$H$6+Parameter!$H$7,Parameter!$H$5+Parameter!$H$6+Parameter!$H$7))-(BH1683-BC1683))/BC1683)))</f>
        <v>1</v>
      </c>
      <c r="BJ1683" s="48" t="str">
        <f aca="false">IF(AI1683&lt;=0,"",IF(CF1683="Aussen","Aussenlager",IF(CF1683="-","Nicht im Lift",IF(AO1683&gt;=1,"Lift",IF(AO1683&lt;=0,"Aussenlager","teilweise")))))</f>
        <v>Lift</v>
      </c>
      <c r="BK1683" s="48" t="str">
        <f aca="false">IF(AS1683&lt;=0,"",IF(CF1683="Aussen","Aussenlager",IF(CF1683="-","Nicht im Lift",IF(AY1683&gt;=1,"Lift",IF(AY1683&lt;=0,"Aussenlager","teilweise")))))</f>
        <v>Aussenlager</v>
      </c>
      <c r="BL1683" s="48" t="str">
        <f aca="false">IF(BC1683&lt;=0,"",IF(CF1683="Aussen","Aussenlager",IF(CF1683="-","Nicht im Lift",IF(BI1683&gt;=1,"Lift",IF(BI1683&lt;=0,"Aussenlager","teilweise")))))</f>
        <v>Lift</v>
      </c>
      <c r="BM1683" s="48" t="str">
        <f aca="false">IF(A1683="","",IF(BV1683=1,"Neu; ","")&amp;IF(AND(BV1683=0,BQ1683&lt;0),"negativer Bestand (Export "&amp;BQ1683&amp;"); ","")&amp;IF(J1683&lt;=0,"Kein Verbrauch; ","")&amp;IF(CQ1683&gt;0,"Lift "&amp;W1683&amp;" lt. Liftbericht (Fach "&amp;X1683&amp;" Stk); ",IF(CA1683=1,"Gebinde geschätzt ("&amp;T1683&amp;"); ",IF(BZ1683=1,"Lose – Tablare geschätzt; ","")))&amp;IF(H1683&gt;AV1683,"Überbestand "&amp;ROUND(H1683-AV1683,0)&amp;" Stk / CHF "&amp;ROUND((H1683-AV1683)*G1683,0)&amp;"; ","")&amp;IF(AND(CH1683=1,CI1683&lt;CJ1683),"MAX &lt; MB+LG; ","")&amp;IF(AND(CP1683&gt;0,CO1683*10&gt;CP1683),"zu hoch für Tablar; ","")&amp;IF(AND(BV1683=0,OR(CH1683=1,AA1683&lt;&gt;"",U1683&lt;&gt;"",V1683&lt;&gt;"",AB1683&lt;&gt;"")),"manuell übersteuert; ","")&amp;IF(AND(BZ1683=0,R1683=0),"Gebinde unbekannt / Stellmass fehlt; ","")&amp;IF(AND(BZ1683=0,N(V1683)&lt;=0,N(Q1683)&lt;=0),"Menge pro Gebinde fehlt (Ist = 1 Gebinde); ","")&amp;BU1683)</f>
        <v>Kein Verbrauch; nur im Artikelstamm (Bestand 23.06.2026)</v>
      </c>
      <c r="BN1683" s="48"/>
      <c r="BO1683" s="48"/>
      <c r="BP1683" s="55"/>
      <c r="BQ1683" s="50" t="n">
        <v>1</v>
      </c>
      <c r="BR1683" s="50" t="n">
        <v>0</v>
      </c>
      <c r="BS1683" s="49" t="n">
        <v>0</v>
      </c>
      <c r="BT1683" s="50" t="n">
        <v>0</v>
      </c>
      <c r="BU1683" s="48" t="s">
        <v>2584</v>
      </c>
      <c r="BV1683" s="53" t="n">
        <v>0</v>
      </c>
      <c r="BW1683" s="53" t="n">
        <v>1683</v>
      </c>
      <c r="BX1683" s="48" t="str">
        <f aca="false">IF(U1683&lt;&gt;"",UPPER(TRIM(U1683)),IF(CA1683=1,UPPER(VLOOKUP(T1683,Parameter!$I$27:$K$29,2,0)),IF(P1683="","LOSE",P1683)))</f>
        <v>S61</v>
      </c>
      <c r="BY1683" s="50" t="n">
        <f aca="false">IF(BX1683="LOSE",1,IF(N(V1683)&gt;0,V1683,IF(CA1683=1,MAX(1,N(VLOOKUP(T1683,Parameter!$I$27:$K$29,3,0)),H1683,N(N1683)),IF(N(Q1683)&gt;0,Q1683,MAX(1,H1683)))))</f>
        <v>65</v>
      </c>
      <c r="BZ1683" s="53" t="n">
        <f aca="false">IF(BX1683="LOSE",1,0)</f>
        <v>0</v>
      </c>
      <c r="CA1683" s="53" t="n">
        <f aca="false">IF(AND(U1683="",OR(P1683="",P1683="LOSE"),T1683&lt;&gt;"",N(S1683)&lt;=0,ISNUMBER(MATCH(T1683,Parameter!$I$27:$I$29,0))),1,0)</f>
        <v>0</v>
      </c>
      <c r="CB1683" s="53" t="n">
        <f aca="false">IF(CQ1683&gt;0,INDEX(Parameter!$H$5:$H$7,W1683)/INDEX(Parameter!$E$5:$E$7,W1683),IF(AND(BZ1683=0,N(IFERROR(VLOOKUP(BX1683,'Gebinde-Kategorie'!$A$5:$N$45,14,0),0))&gt;0),VLOOKUP(BX1683,'Gebinde-Kategorie'!$A$5:$N$45,14,0)*10+Parameter!$M$23,Parameter!$M$24))</f>
        <v>145</v>
      </c>
      <c r="CC1683" s="48" t="str">
        <f aca="false">IF(AND(Parameter!$B$19="Ja",E1683&lt;&gt;"",ISNUMBER(MATCH(E1683,Parameter!$I$35:$I$52,0))),VLOOKUP(E1683,Parameter!$I$35:$J$52,2,0),IFERROR(VLOOKUP(D1683,Parameter!$A$35:$C$64,2,0),"Nein"))</f>
        <v>2+3</v>
      </c>
      <c r="CD1683" s="52" t="n">
        <f aca="false">IF(BZ1683=0,0,IF(N(S1683)&gt;0,S1683,IFERROR(VLOOKUP(D1683,Parameter!$A$35:$C$64,3,0)+0,0)))</f>
        <v>0</v>
      </c>
      <c r="CE1683" s="48" t="n">
        <f aca="false">IF(AA1683&lt;&gt;"",AA1683,Z1683)</f>
        <v>2</v>
      </c>
      <c r="CF1683" s="48" t="str">
        <f aca="false">IF(OR(CE1683=1,CE1683=2,CE1683=3),IF(Parameter!$E$27="Ja","LIFT",IF(CE1683=1,"L1","L23")),IF(CE1683="Aussen","Aussen","-"))</f>
        <v>LIFT</v>
      </c>
      <c r="CG1683" s="59" t="n">
        <f aca="false">IF(N(AB1683)&gt;0,AB1683,0)</f>
        <v>0</v>
      </c>
      <c r="CH1683" s="53" t="n">
        <f aca="false">IF(ISNUMBER(AE1683),1,0)</f>
        <v>0</v>
      </c>
      <c r="CI1683" s="50" t="n">
        <f aca="false">N(AE1683)</f>
        <v>0</v>
      </c>
      <c r="CJ1683" s="50" t="n">
        <f aca="false">N(M1683)+N(N1683)</f>
        <v>1</v>
      </c>
      <c r="CK1683" s="50" t="n">
        <f aca="false">N(M1683)</f>
        <v>0</v>
      </c>
      <c r="CL1683" s="50" t="n">
        <f aca="false">N(N1683)</f>
        <v>1</v>
      </c>
      <c r="CM1683" s="50" t="n">
        <f aca="false">ROUNDUP(H1683/BY1683,0)</f>
        <v>1</v>
      </c>
      <c r="CN1683" s="50" t="n">
        <f aca="false">ROUNDUP(CI1683/BY1683,0)</f>
        <v>0</v>
      </c>
      <c r="CO1683" s="53" t="n">
        <f aca="false">IF(BZ1683=1,0,IFERROR(VLOOKUP(BX1683,'Gebinde-Kategorie'!$A$5:$N$45,5,0)+0,0))</f>
        <v>11</v>
      </c>
      <c r="CP1683" s="53" t="n">
        <f aca="false">IFERROR(IF(OR(CE1683=1,CE1683=2,CE1683=3),N(INDEX(Parameter!$I$5:$I$7,CE1683)),0),0)</f>
        <v>0</v>
      </c>
      <c r="CQ1683" s="52" t="n">
        <f aca="false">IF(AND(Parameter!$B$21="Ja",ISNUMBER(W1683),N(X1683)&gt;0),IFERROR(N(INDEX(Parameter!$L$5:$L$7,W1683))*INDEX(Parameter!$E$5:$E$7,W1683)*X1683/SUMIFS($X$7:$X$1843,$W$7:$W$1843,W1683),0),0)</f>
        <v>0</v>
      </c>
    </row>
    <row r="1684" customFormat="false" ht="15" hidden="false" customHeight="false" outlineLevel="0" collapsed="false">
      <c r="A1684" s="48" t="s">
        <v>2925</v>
      </c>
      <c r="B1684" s="48" t="s">
        <v>2926</v>
      </c>
      <c r="C1684" s="48" t="s">
        <v>173</v>
      </c>
      <c r="D1684" s="48" t="s">
        <v>182</v>
      </c>
      <c r="E1684" s="48"/>
      <c r="F1684" s="48"/>
      <c r="G1684" s="49" t="n">
        <v>180</v>
      </c>
      <c r="H1684" s="50" t="n">
        <f aca="false">MAX(0,IF(AND(Parameter!$B$21="Ja",ISNUMBER(Y1684)),Y1684,IF(Parameter!$B$20="Jahresanfang 2025 + Export",BR1684+BQ1684,BQ1684)))</f>
        <v>6</v>
      </c>
      <c r="I1684" s="50" t="n">
        <f aca="false">H1684*G1684</f>
        <v>1080</v>
      </c>
      <c r="J1684" s="50" t="n">
        <f aca="false">BT1684*Parameter!$B$18</f>
        <v>0</v>
      </c>
      <c r="K1684" s="51"/>
      <c r="L1684" s="52"/>
      <c r="M1684" s="50" t="n">
        <v>0</v>
      </c>
      <c r="N1684" s="50" t="n">
        <v>6</v>
      </c>
      <c r="O1684" s="53" t="n">
        <v>35</v>
      </c>
      <c r="P1684" s="48" t="s">
        <v>195</v>
      </c>
      <c r="Q1684" s="50" t="n">
        <v>6</v>
      </c>
      <c r="R1684" s="53" t="n">
        <f aca="false">IF(BZ1684=1,0,IFERROR(VLOOKUP(BX1684,'Gebinde-Kategorie'!$A$5:$N$45,13,0)+0,0))</f>
        <v>12</v>
      </c>
      <c r="S1684" s="54"/>
      <c r="T1684" s="55"/>
      <c r="U1684" s="55"/>
      <c r="V1684" s="55"/>
      <c r="W1684" s="48"/>
      <c r="X1684" s="50"/>
      <c r="Y1684" s="50"/>
      <c r="Z1684" s="48" t="n">
        <f aca="false">IF(A1684="","",IF(AND(Parameter!$B$21="Ja",ISNUMBER(W1684)),W1684,IF(CC1684="2+3",IF(ISNUMBER(SEARCH("grosser Artikel",BU1684)),2,IFERROR(VLOOKUP(BX1684,Parameter!$F$35:$G$64,2,0),2)),IF(OR(CC1684="Nein",CC1684=""),"-",CC1684))))</f>
        <v>2</v>
      </c>
      <c r="AA1684" s="55"/>
      <c r="AB1684" s="56"/>
      <c r="AC1684" s="50" t="n">
        <f aca="false">AV1684</f>
        <v>6</v>
      </c>
      <c r="AD1684" s="50" t="n">
        <f aca="false">MAX(AV1684,H1684)</f>
        <v>6</v>
      </c>
      <c r="AE1684" s="57"/>
      <c r="AF1684" s="50" t="n">
        <f aca="false">IF(LEFT(Cockpit!$C$5,1)="A",H1684,IF(Parameter!$E$30="MAX-Bestand",IF(CH1684=1,CI1684,IF(LEFT(Cockpit!$C$5,1)="B",AL1684,MAX(AL1684,H1684))),ROUNDUP(AJ1684,0)))</f>
        <v>6</v>
      </c>
      <c r="AG1684" s="50" t="n">
        <f aca="false">IF(BZ1684=1,0,ROUNDUP(AF1684/BY1684,0))</f>
        <v>1</v>
      </c>
      <c r="AH1684" s="52" t="n">
        <f aca="false">IF(CQ1684&gt;0,CQ1684*MAX(1,AF1684/X1684),IF(BZ1684=1,IF(AF1684&lt;=0,0,CD1684*MAX(1,IF(H1684&gt;0,AF1684/H1684,1))),IF(R1684&gt;0,AG1684/R1684,0))/MAX(0.1,N(Parameter!$M$21)))</f>
        <v>0.0833333333333333</v>
      </c>
      <c r="AI1684" s="50" t="n">
        <f aca="false">AH1684*CB1684</f>
        <v>12.0833333333333</v>
      </c>
      <c r="AJ1684" s="51" t="n">
        <f aca="false">IF(LEFT(Cockpit!$C$5,1)="A",H1684,IF(CH1684=1,(CK1684+CI1684)/2,IF(LEFT(Cockpit!$C$5,1)="B",(CK1684+AL1684)/2,MAX((CK1684+AL1684)/2,H1684))))</f>
        <v>6</v>
      </c>
      <c r="AK1684" s="50" t="n">
        <f aca="false">AJ1684*G1684</f>
        <v>1080</v>
      </c>
      <c r="AL1684" s="50" t="n">
        <f aca="false">ROUNDUP(CK1684+MAX(CL1684,2*(J1684/IF(CG1684&gt;0,CG1684,MAX(0.1,N(Cockpit!$C$6)))-CK1684)),0)</f>
        <v>6</v>
      </c>
      <c r="AM1684" s="51" t="n">
        <f aca="false">IF(AI1684&gt;0,J1684/AI1684,-1)</f>
        <v>0</v>
      </c>
      <c r="AN1684" s="51" t="n">
        <f aca="false">IF(AND(OR(CF1684="L1",CF1684="L23",CF1684="LIFT"),AI1684&gt;0),SUMIFS($AI$7:$AI$1843,$CF$7:$CF$1843,CF1684,$AM$7:$AM$1843,"&gt;"&amp;AM1684)+SUMIFS($AI$7:$AI$1843,$CF$7:$CF$1843,CF1684,$AM$7:$AM$1843,AM1684,$BW$7:$BW$1843,"&lt;="&amp;BW1684),"")</f>
        <v>32652.8384268744</v>
      </c>
      <c r="AO1684" s="58" t="n">
        <f aca="false">IF(AN1684="",0,MAX(0,MIN(1,(IF(CF1684="L1",Parameter!$H$5,IF(CF1684="L23",Parameter!$H$6+Parameter!$H$7,Parameter!$H$5+Parameter!$H$6+Parameter!$H$7))-(AN1684-AI1684))/AI1684)))</f>
        <v>1</v>
      </c>
      <c r="AP1684" s="50" t="n">
        <f aca="false">IF(LEFT(Cockpit!$I$5,1)="A",H1684,IF(Parameter!$E$30="MAX-Bestand",IF(CH1684=1,CI1684,IF(LEFT(Cockpit!$I$5,1)="B",AV1684,MAX(AV1684,H1684))),ROUNDUP(AT1684,0)))</f>
        <v>6</v>
      </c>
      <c r="AQ1684" s="50" t="n">
        <f aca="false">IF(BZ1684=1,0,ROUNDUP(AP1684/BY1684,0))</f>
        <v>1</v>
      </c>
      <c r="AR1684" s="52" t="n">
        <f aca="false">IF(CQ1684&gt;0,CQ1684*MAX(1,AP1684/X1684),IF(BZ1684=1,IF(AP1684&lt;=0,0,CD1684*MAX(1,IF(H1684&gt;0,AP1684/H1684,1))),IF(R1684&gt;0,AQ1684/R1684,0))/MAX(0.1,N(Parameter!$M$21)))</f>
        <v>0.0833333333333333</v>
      </c>
      <c r="AS1684" s="50" t="n">
        <f aca="false">AR1684*CB1684</f>
        <v>12.0833333333333</v>
      </c>
      <c r="AT1684" s="51" t="n">
        <f aca="false">IF(LEFT(Cockpit!$I$5,1)="A",H1684,IF(CH1684=1,(CK1684+CI1684)/2,IF(LEFT(Cockpit!$I$5,1)="B",(CK1684+AV1684)/2,MAX((CK1684+AV1684)/2,H1684))))</f>
        <v>6</v>
      </c>
      <c r="AU1684" s="50" t="n">
        <f aca="false">AT1684*G1684</f>
        <v>1080</v>
      </c>
      <c r="AV1684" s="50" t="n">
        <f aca="false">ROUNDUP(CK1684+MAX(CL1684,2*(J1684/IF(CG1684&gt;0,CG1684,MAX(0.1,N(Cockpit!$I$6)))-CK1684)),0)</f>
        <v>6</v>
      </c>
      <c r="AW1684" s="51" t="n">
        <f aca="false">IF(AS1684&gt;0,J1684/AS1684,-1)</f>
        <v>0</v>
      </c>
      <c r="AX1684" s="51" t="n">
        <f aca="false">IF(AND(OR(CF1684="L1",CF1684="L23",CF1684="LIFT"),AS1684&gt;0),SUMIFS($AS$7:$AS$1843,$CF$7:$CF$1843,CF1684,$AW$7:$AW$1843,"&gt;"&amp;AW1684)+SUMIFS($AS$7:$AS$1843,$CF$7:$CF$1843,CF1684,$AW$7:$AW$1843,AW1684,$BW$7:$BW$1843,"&lt;="&amp;BW1684),"")</f>
        <v>39125.0866574574</v>
      </c>
      <c r="AY1684" s="58" t="n">
        <f aca="false">IF(AX1684="",0,MAX(0,MIN(1,(IF(CF1684="L1",Parameter!$H$5,IF(CF1684="L23",Parameter!$H$6+Parameter!$H$7,Parameter!$H$5+Parameter!$H$6+Parameter!$H$7))-(AX1684-AS1684))/AS1684)))</f>
        <v>0</v>
      </c>
      <c r="AZ1684" s="50" t="n">
        <f aca="false">IF(LEFT(Cockpit!$O$5,1)="A",H1684,IF(Parameter!$E$30="MAX-Bestand",IF(CH1684=1,CI1684,IF(LEFT(Cockpit!$O$5,1)="B",BF1684,MAX(BF1684,H1684))),ROUNDUP(BD1684,0)))</f>
        <v>3</v>
      </c>
      <c r="BA1684" s="50" t="n">
        <f aca="false">IF(BZ1684=1,0,ROUNDUP(AZ1684/BY1684,0))</f>
        <v>1</v>
      </c>
      <c r="BB1684" s="52" t="n">
        <f aca="false">IF(CQ1684&gt;0,CQ1684*MAX(1,AZ1684/X1684),IF(BZ1684=1,IF(AZ1684&lt;=0,0,CD1684*MAX(1,IF(H1684&gt;0,AZ1684/H1684,1))),IF(R1684&gt;0,BA1684/R1684,0))/MAX(0.1,N(Parameter!$M$21)))</f>
        <v>0.0833333333333333</v>
      </c>
      <c r="BC1684" s="50" t="n">
        <f aca="false">BB1684*CB1684</f>
        <v>12.0833333333333</v>
      </c>
      <c r="BD1684" s="51" t="n">
        <f aca="false">IF(LEFT(Cockpit!$O$5,1)="A",H1684,IF(CH1684=1,(CK1684+CI1684)/2,IF(LEFT(Cockpit!$O$5,1)="B",(CK1684+BF1684)/2,MAX((CK1684+BF1684)/2,H1684))))</f>
        <v>3</v>
      </c>
      <c r="BE1684" s="50" t="n">
        <f aca="false">BD1684*G1684</f>
        <v>540</v>
      </c>
      <c r="BF1684" s="50" t="n">
        <f aca="false">ROUNDUP(CK1684+MAX(CL1684,2*(J1684/IF(CG1684&gt;0,CG1684,MAX(0.1,N(Cockpit!$O$6)))-CK1684)),0)</f>
        <v>6</v>
      </c>
      <c r="BG1684" s="51" t="n">
        <f aca="false">IF(BC1684&gt;0,J1684/BC1684,-1)</f>
        <v>0</v>
      </c>
      <c r="BH1684" s="51" t="n">
        <f aca="false">IF(AND(OR(CF1684="L1",CF1684="L23",CF1684="LIFT"),BC1684&gt;0),SUMIFS($BC$7:$BC$1843,$CF$7:$CF$1843,CF1684,$BG$7:$BG$1843,"&gt;"&amp;BG1684)+SUMIFS($BC$7:$BC$1843,$CF$7:$CF$1843,CF1684,$BG$7:$BG$1843,BG1684,$BW$7:$BW$1843,"&lt;="&amp;BW1684),"")</f>
        <v>32387.4445996565</v>
      </c>
      <c r="BI1684" s="58" t="n">
        <f aca="false">IF(BH1684="",0,MAX(0,MIN(1,(IF(CF1684="L1",Parameter!$H$5,IF(CF1684="L23",Parameter!$H$6+Parameter!$H$7,Parameter!$H$5+Parameter!$H$6+Parameter!$H$7))-(BH1684-BC1684))/BC1684)))</f>
        <v>1</v>
      </c>
      <c r="BJ1684" s="48" t="str">
        <f aca="false">IF(AI1684&lt;=0,"",IF(CF1684="Aussen","Aussenlager",IF(CF1684="-","Nicht im Lift",IF(AO1684&gt;=1,"Lift",IF(AO1684&lt;=0,"Aussenlager","teilweise")))))</f>
        <v>Lift</v>
      </c>
      <c r="BK1684" s="48" t="str">
        <f aca="false">IF(AS1684&lt;=0,"",IF(CF1684="Aussen","Aussenlager",IF(CF1684="-","Nicht im Lift",IF(AY1684&gt;=1,"Lift",IF(AY1684&lt;=0,"Aussenlager","teilweise")))))</f>
        <v>Aussenlager</v>
      </c>
      <c r="BL1684" s="48" t="str">
        <f aca="false">IF(BC1684&lt;=0,"",IF(CF1684="Aussen","Aussenlager",IF(CF1684="-","Nicht im Lift",IF(BI1684&gt;=1,"Lift",IF(BI1684&lt;=0,"Aussenlager","teilweise")))))</f>
        <v>Lift</v>
      </c>
      <c r="BM1684" s="48" t="str">
        <f aca="false">IF(A1684="","",IF(BV1684=1,"Neu; ","")&amp;IF(AND(BV1684=0,BQ1684&lt;0),"negativer Bestand (Export "&amp;BQ1684&amp;"); ","")&amp;IF(J1684&lt;=0,"Kein Verbrauch; ","")&amp;IF(CQ1684&gt;0,"Lift "&amp;W1684&amp;" lt. Liftbericht (Fach "&amp;X1684&amp;" Stk); ",IF(CA1684=1,"Gebinde geschätzt ("&amp;T1684&amp;"); ",IF(BZ1684=1,"Lose – Tablare geschätzt; ","")))&amp;IF(H1684&gt;AV1684,"Überbestand "&amp;ROUND(H1684-AV1684,0)&amp;" Stk / CHF "&amp;ROUND((H1684-AV1684)*G1684,0)&amp;"; ","")&amp;IF(AND(CH1684=1,CI1684&lt;CJ1684),"MAX &lt; MB+LG; ","")&amp;IF(AND(CP1684&gt;0,CO1684*10&gt;CP1684),"zu hoch für Tablar; ","")&amp;IF(AND(BV1684=0,OR(CH1684=1,AA1684&lt;&gt;"",U1684&lt;&gt;"",V1684&lt;&gt;"",AB1684&lt;&gt;"")),"manuell übersteuert; ","")&amp;IF(AND(BZ1684=0,R1684=0),"Gebinde unbekannt / Stellmass fehlt; ","")&amp;IF(AND(BZ1684=0,N(V1684)&lt;=0,N(Q1684)&lt;=0),"Menge pro Gebinde fehlt (Ist = 1 Gebinde); ","")&amp;BU1684)</f>
        <v>Kein Verbrauch; nur im Artikelstamm (Bestand 23.06.2026); Neuer Art.</v>
      </c>
      <c r="BN1684" s="48"/>
      <c r="BO1684" s="48"/>
      <c r="BP1684" s="55"/>
      <c r="BQ1684" s="50" t="n">
        <v>6</v>
      </c>
      <c r="BR1684" s="50" t="n">
        <v>0</v>
      </c>
      <c r="BS1684" s="49" t="n">
        <v>0</v>
      </c>
      <c r="BT1684" s="50" t="n">
        <v>0</v>
      </c>
      <c r="BU1684" s="48" t="s">
        <v>2882</v>
      </c>
      <c r="BV1684" s="53" t="n">
        <v>0</v>
      </c>
      <c r="BW1684" s="53" t="n">
        <v>1684</v>
      </c>
      <c r="BX1684" s="48" t="str">
        <f aca="false">IF(U1684&lt;&gt;"",UPPER(TRIM(U1684)),IF(CA1684=1,UPPER(VLOOKUP(T1684,Parameter!$I$27:$K$29,2,0)),IF(P1684="","LOSE",P1684)))</f>
        <v>S61</v>
      </c>
      <c r="BY1684" s="50" t="n">
        <f aca="false">IF(BX1684="LOSE",1,IF(N(V1684)&gt;0,V1684,IF(CA1684=1,MAX(1,N(VLOOKUP(T1684,Parameter!$I$27:$K$29,3,0)),H1684,N(N1684)),IF(N(Q1684)&gt;0,Q1684,MAX(1,H1684)))))</f>
        <v>6</v>
      </c>
      <c r="BZ1684" s="53" t="n">
        <f aca="false">IF(BX1684="LOSE",1,0)</f>
        <v>0</v>
      </c>
      <c r="CA1684" s="53" t="n">
        <f aca="false">IF(AND(U1684="",OR(P1684="",P1684="LOSE"),T1684&lt;&gt;"",N(S1684)&lt;=0,ISNUMBER(MATCH(T1684,Parameter!$I$27:$I$29,0))),1,0)</f>
        <v>0</v>
      </c>
      <c r="CB1684" s="53" t="n">
        <f aca="false">IF(CQ1684&gt;0,INDEX(Parameter!$H$5:$H$7,W1684)/INDEX(Parameter!$E$5:$E$7,W1684),IF(AND(BZ1684=0,N(IFERROR(VLOOKUP(BX1684,'Gebinde-Kategorie'!$A$5:$N$45,14,0),0))&gt;0),VLOOKUP(BX1684,'Gebinde-Kategorie'!$A$5:$N$45,14,0)*10+Parameter!$M$23,Parameter!$M$24))</f>
        <v>145</v>
      </c>
      <c r="CC1684" s="48" t="str">
        <f aca="false">IF(AND(Parameter!$B$19="Ja",E1684&lt;&gt;"",ISNUMBER(MATCH(E1684,Parameter!$I$35:$I$52,0))),VLOOKUP(E1684,Parameter!$I$35:$J$52,2,0),IFERROR(VLOOKUP(D1684,Parameter!$A$35:$C$64,2,0),"Nein"))</f>
        <v>2+3</v>
      </c>
      <c r="CD1684" s="52" t="n">
        <f aca="false">IF(BZ1684=0,0,IF(N(S1684)&gt;0,S1684,IFERROR(VLOOKUP(D1684,Parameter!$A$35:$C$64,3,0)+0,0)))</f>
        <v>0</v>
      </c>
      <c r="CE1684" s="48" t="n">
        <f aca="false">IF(AA1684&lt;&gt;"",AA1684,Z1684)</f>
        <v>2</v>
      </c>
      <c r="CF1684" s="48" t="str">
        <f aca="false">IF(OR(CE1684=1,CE1684=2,CE1684=3),IF(Parameter!$E$27="Ja","LIFT",IF(CE1684=1,"L1","L23")),IF(CE1684="Aussen","Aussen","-"))</f>
        <v>LIFT</v>
      </c>
      <c r="CG1684" s="59" t="n">
        <f aca="false">IF(N(AB1684)&gt;0,AB1684,0)</f>
        <v>0</v>
      </c>
      <c r="CH1684" s="53" t="n">
        <f aca="false">IF(ISNUMBER(AE1684),1,0)</f>
        <v>0</v>
      </c>
      <c r="CI1684" s="50" t="n">
        <f aca="false">N(AE1684)</f>
        <v>0</v>
      </c>
      <c r="CJ1684" s="50" t="n">
        <f aca="false">N(M1684)+N(N1684)</f>
        <v>6</v>
      </c>
      <c r="CK1684" s="50" t="n">
        <f aca="false">N(M1684)</f>
        <v>0</v>
      </c>
      <c r="CL1684" s="50" t="n">
        <f aca="false">N(N1684)</f>
        <v>6</v>
      </c>
      <c r="CM1684" s="50" t="n">
        <f aca="false">ROUNDUP(H1684/BY1684,0)</f>
        <v>1</v>
      </c>
      <c r="CN1684" s="50" t="n">
        <f aca="false">ROUNDUP(CI1684/BY1684,0)</f>
        <v>0</v>
      </c>
      <c r="CO1684" s="53" t="n">
        <f aca="false">IF(BZ1684=1,0,IFERROR(VLOOKUP(BX1684,'Gebinde-Kategorie'!$A$5:$N$45,5,0)+0,0))</f>
        <v>11</v>
      </c>
      <c r="CP1684" s="53" t="n">
        <f aca="false">IFERROR(IF(OR(CE1684=1,CE1684=2,CE1684=3),N(INDEX(Parameter!$I$5:$I$7,CE1684)),0),0)</f>
        <v>0</v>
      </c>
      <c r="CQ1684" s="52" t="n">
        <f aca="false">IF(AND(Parameter!$B$21="Ja",ISNUMBER(W1684),N(X1684)&gt;0),IFERROR(N(INDEX(Parameter!$L$5:$L$7,W1684))*INDEX(Parameter!$E$5:$E$7,W1684)*X1684/SUMIFS($X$7:$X$1843,$W$7:$W$1843,W1684),0),0)</f>
        <v>0</v>
      </c>
    </row>
    <row r="1685" customFormat="false" ht="15" hidden="false" customHeight="false" outlineLevel="0" collapsed="false">
      <c r="A1685" s="48" t="s">
        <v>2927</v>
      </c>
      <c r="B1685" s="48" t="s">
        <v>2928</v>
      </c>
      <c r="C1685" s="48" t="s">
        <v>173</v>
      </c>
      <c r="D1685" s="48" t="s">
        <v>182</v>
      </c>
      <c r="E1685" s="48"/>
      <c r="F1685" s="48"/>
      <c r="G1685" s="49" t="n">
        <v>95.8</v>
      </c>
      <c r="H1685" s="50" t="n">
        <f aca="false">MAX(0,IF(AND(Parameter!$B$21="Ja",ISNUMBER(Y1685)),Y1685,IF(Parameter!$B$20="Jahresanfang 2025 + Export",BR1685+BQ1685,BQ1685)))</f>
        <v>5</v>
      </c>
      <c r="I1685" s="50" t="n">
        <f aca="false">H1685*G1685</f>
        <v>479</v>
      </c>
      <c r="J1685" s="50" t="n">
        <f aca="false">BT1685*Parameter!$B$18</f>
        <v>0</v>
      </c>
      <c r="K1685" s="51"/>
      <c r="L1685" s="52"/>
      <c r="M1685" s="50" t="n">
        <v>0</v>
      </c>
      <c r="N1685" s="50" t="n">
        <v>5</v>
      </c>
      <c r="O1685" s="53" t="n">
        <v>21</v>
      </c>
      <c r="P1685" s="48" t="s">
        <v>195</v>
      </c>
      <c r="Q1685" s="50" t="n">
        <v>5</v>
      </c>
      <c r="R1685" s="53" t="n">
        <f aca="false">IF(BZ1685=1,0,IFERROR(VLOOKUP(BX1685,'Gebinde-Kategorie'!$A$5:$N$45,13,0)+0,0))</f>
        <v>12</v>
      </c>
      <c r="S1685" s="54"/>
      <c r="T1685" s="55"/>
      <c r="U1685" s="55"/>
      <c r="V1685" s="55"/>
      <c r="W1685" s="48"/>
      <c r="X1685" s="50"/>
      <c r="Y1685" s="50"/>
      <c r="Z1685" s="48" t="n">
        <f aca="false">IF(A1685="","",IF(AND(Parameter!$B$21="Ja",ISNUMBER(W1685)),W1685,IF(CC1685="2+3",IF(ISNUMBER(SEARCH("grosser Artikel",BU1685)),2,IFERROR(VLOOKUP(BX1685,Parameter!$F$35:$G$64,2,0),2)),IF(OR(CC1685="Nein",CC1685=""),"-",CC1685))))</f>
        <v>2</v>
      </c>
      <c r="AA1685" s="55"/>
      <c r="AB1685" s="56"/>
      <c r="AC1685" s="50" t="n">
        <f aca="false">AV1685</f>
        <v>5</v>
      </c>
      <c r="AD1685" s="50" t="n">
        <f aca="false">MAX(AV1685,H1685)</f>
        <v>5</v>
      </c>
      <c r="AE1685" s="57"/>
      <c r="AF1685" s="50" t="n">
        <f aca="false">IF(LEFT(Cockpit!$C$5,1)="A",H1685,IF(Parameter!$E$30="MAX-Bestand",IF(CH1685=1,CI1685,IF(LEFT(Cockpit!$C$5,1)="B",AL1685,MAX(AL1685,H1685))),ROUNDUP(AJ1685,0)))</f>
        <v>5</v>
      </c>
      <c r="AG1685" s="50" t="n">
        <f aca="false">IF(BZ1685=1,0,ROUNDUP(AF1685/BY1685,0))</f>
        <v>1</v>
      </c>
      <c r="AH1685" s="52" t="n">
        <f aca="false">IF(CQ1685&gt;0,CQ1685*MAX(1,AF1685/X1685),IF(BZ1685=1,IF(AF1685&lt;=0,0,CD1685*MAX(1,IF(H1685&gt;0,AF1685/H1685,1))),IF(R1685&gt;0,AG1685/R1685,0))/MAX(0.1,N(Parameter!$M$21)))</f>
        <v>0.0833333333333333</v>
      </c>
      <c r="AI1685" s="50" t="n">
        <f aca="false">AH1685*CB1685</f>
        <v>12.0833333333333</v>
      </c>
      <c r="AJ1685" s="51" t="n">
        <f aca="false">IF(LEFT(Cockpit!$C$5,1)="A",H1685,IF(CH1685=1,(CK1685+CI1685)/2,IF(LEFT(Cockpit!$C$5,1)="B",(CK1685+AL1685)/2,MAX((CK1685+AL1685)/2,H1685))))</f>
        <v>5</v>
      </c>
      <c r="AK1685" s="50" t="n">
        <f aca="false">AJ1685*G1685</f>
        <v>479</v>
      </c>
      <c r="AL1685" s="50" t="n">
        <f aca="false">ROUNDUP(CK1685+MAX(CL1685,2*(J1685/IF(CG1685&gt;0,CG1685,MAX(0.1,N(Cockpit!$C$6)))-CK1685)),0)</f>
        <v>5</v>
      </c>
      <c r="AM1685" s="51" t="n">
        <f aca="false">IF(AI1685&gt;0,J1685/AI1685,-1)</f>
        <v>0</v>
      </c>
      <c r="AN1685" s="51" t="n">
        <f aca="false">IF(AND(OR(CF1685="L1",CF1685="L23",CF1685="LIFT"),AI1685&gt;0),SUMIFS($AI$7:$AI$1843,$CF$7:$CF$1843,CF1685,$AM$7:$AM$1843,"&gt;"&amp;AM1685)+SUMIFS($AI$7:$AI$1843,$CF$7:$CF$1843,CF1685,$AM$7:$AM$1843,AM1685,$BW$7:$BW$1843,"&lt;="&amp;BW1685),"")</f>
        <v>32664.9217602078</v>
      </c>
      <c r="AO1685" s="58" t="n">
        <f aca="false">IF(AN1685="",0,MAX(0,MIN(1,(IF(CF1685="L1",Parameter!$H$5,IF(CF1685="L23",Parameter!$H$6+Parameter!$H$7,Parameter!$H$5+Parameter!$H$6+Parameter!$H$7))-(AN1685-AI1685))/AI1685)))</f>
        <v>1</v>
      </c>
      <c r="AP1685" s="50" t="n">
        <f aca="false">IF(LEFT(Cockpit!$I$5,1)="A",H1685,IF(Parameter!$E$30="MAX-Bestand",IF(CH1685=1,CI1685,IF(LEFT(Cockpit!$I$5,1)="B",AV1685,MAX(AV1685,H1685))),ROUNDUP(AT1685,0)))</f>
        <v>5</v>
      </c>
      <c r="AQ1685" s="50" t="n">
        <f aca="false">IF(BZ1685=1,0,ROUNDUP(AP1685/BY1685,0))</f>
        <v>1</v>
      </c>
      <c r="AR1685" s="52" t="n">
        <f aca="false">IF(CQ1685&gt;0,CQ1685*MAX(1,AP1685/X1685),IF(BZ1685=1,IF(AP1685&lt;=0,0,CD1685*MAX(1,IF(H1685&gt;0,AP1685/H1685,1))),IF(R1685&gt;0,AQ1685/R1685,0))/MAX(0.1,N(Parameter!$M$21)))</f>
        <v>0.0833333333333333</v>
      </c>
      <c r="AS1685" s="50" t="n">
        <f aca="false">AR1685*CB1685</f>
        <v>12.0833333333333</v>
      </c>
      <c r="AT1685" s="51" t="n">
        <f aca="false">IF(LEFT(Cockpit!$I$5,1)="A",H1685,IF(CH1685=1,(CK1685+CI1685)/2,IF(LEFT(Cockpit!$I$5,1)="B",(CK1685+AV1685)/2,MAX((CK1685+AV1685)/2,H1685))))</f>
        <v>5</v>
      </c>
      <c r="AU1685" s="50" t="n">
        <f aca="false">AT1685*G1685</f>
        <v>479</v>
      </c>
      <c r="AV1685" s="50" t="n">
        <f aca="false">ROUNDUP(CK1685+MAX(CL1685,2*(J1685/IF(CG1685&gt;0,CG1685,MAX(0.1,N(Cockpit!$I$6)))-CK1685)),0)</f>
        <v>5</v>
      </c>
      <c r="AW1685" s="51" t="n">
        <f aca="false">IF(AS1685&gt;0,J1685/AS1685,-1)</f>
        <v>0</v>
      </c>
      <c r="AX1685" s="51" t="n">
        <f aca="false">IF(AND(OR(CF1685="L1",CF1685="L23",CF1685="LIFT"),AS1685&gt;0),SUMIFS($AS$7:$AS$1843,$CF$7:$CF$1843,CF1685,$AW$7:$AW$1843,"&gt;"&amp;AW1685)+SUMIFS($AS$7:$AS$1843,$CF$7:$CF$1843,CF1685,$AW$7:$AW$1843,AW1685,$BW$7:$BW$1843,"&lt;="&amp;BW1685),"")</f>
        <v>39137.1699907908</v>
      </c>
      <c r="AY1685" s="58" t="n">
        <f aca="false">IF(AX1685="",0,MAX(0,MIN(1,(IF(CF1685="L1",Parameter!$H$5,IF(CF1685="L23",Parameter!$H$6+Parameter!$H$7,Parameter!$H$5+Parameter!$H$6+Parameter!$H$7))-(AX1685-AS1685))/AS1685)))</f>
        <v>0</v>
      </c>
      <c r="AZ1685" s="50" t="n">
        <f aca="false">IF(LEFT(Cockpit!$O$5,1)="A",H1685,IF(Parameter!$E$30="MAX-Bestand",IF(CH1685=1,CI1685,IF(LEFT(Cockpit!$O$5,1)="B",BF1685,MAX(BF1685,H1685))),ROUNDUP(BD1685,0)))</f>
        <v>3</v>
      </c>
      <c r="BA1685" s="50" t="n">
        <f aca="false">IF(BZ1685=1,0,ROUNDUP(AZ1685/BY1685,0))</f>
        <v>1</v>
      </c>
      <c r="BB1685" s="52" t="n">
        <f aca="false">IF(CQ1685&gt;0,CQ1685*MAX(1,AZ1685/X1685),IF(BZ1685=1,IF(AZ1685&lt;=0,0,CD1685*MAX(1,IF(H1685&gt;0,AZ1685/H1685,1))),IF(R1685&gt;0,BA1685/R1685,0))/MAX(0.1,N(Parameter!$M$21)))</f>
        <v>0.0833333333333333</v>
      </c>
      <c r="BC1685" s="50" t="n">
        <f aca="false">BB1685*CB1685</f>
        <v>12.0833333333333</v>
      </c>
      <c r="BD1685" s="51" t="n">
        <f aca="false">IF(LEFT(Cockpit!$O$5,1)="A",H1685,IF(CH1685=1,(CK1685+CI1685)/2,IF(LEFT(Cockpit!$O$5,1)="B",(CK1685+BF1685)/2,MAX((CK1685+BF1685)/2,H1685))))</f>
        <v>2.5</v>
      </c>
      <c r="BE1685" s="50" t="n">
        <f aca="false">BD1685*G1685</f>
        <v>239.5</v>
      </c>
      <c r="BF1685" s="50" t="n">
        <f aca="false">ROUNDUP(CK1685+MAX(CL1685,2*(J1685/IF(CG1685&gt;0,CG1685,MAX(0.1,N(Cockpit!$O$6)))-CK1685)),0)</f>
        <v>5</v>
      </c>
      <c r="BG1685" s="51" t="n">
        <f aca="false">IF(BC1685&gt;0,J1685/BC1685,-1)</f>
        <v>0</v>
      </c>
      <c r="BH1685" s="51" t="n">
        <f aca="false">IF(AND(OR(CF1685="L1",CF1685="L23",CF1685="LIFT"),BC1685&gt;0),SUMIFS($BC$7:$BC$1843,$CF$7:$CF$1843,CF1685,$BG$7:$BG$1843,"&gt;"&amp;BG1685)+SUMIFS($BC$7:$BC$1843,$CF$7:$CF$1843,CF1685,$BG$7:$BG$1843,BG1685,$BW$7:$BW$1843,"&lt;="&amp;BW1685),"")</f>
        <v>32399.5279329898</v>
      </c>
      <c r="BI1685" s="58" t="n">
        <f aca="false">IF(BH1685="",0,MAX(0,MIN(1,(IF(CF1685="L1",Parameter!$H$5,IF(CF1685="L23",Parameter!$H$6+Parameter!$H$7,Parameter!$H$5+Parameter!$H$6+Parameter!$H$7))-(BH1685-BC1685))/BC1685)))</f>
        <v>1</v>
      </c>
      <c r="BJ1685" s="48" t="str">
        <f aca="false">IF(AI1685&lt;=0,"",IF(CF1685="Aussen","Aussenlager",IF(CF1685="-","Nicht im Lift",IF(AO1685&gt;=1,"Lift",IF(AO1685&lt;=0,"Aussenlager","teilweise")))))</f>
        <v>Lift</v>
      </c>
      <c r="BK1685" s="48" t="str">
        <f aca="false">IF(AS1685&lt;=0,"",IF(CF1685="Aussen","Aussenlager",IF(CF1685="-","Nicht im Lift",IF(AY1685&gt;=1,"Lift",IF(AY1685&lt;=0,"Aussenlager","teilweise")))))</f>
        <v>Aussenlager</v>
      </c>
      <c r="BL1685" s="48" t="str">
        <f aca="false">IF(BC1685&lt;=0,"",IF(CF1685="Aussen","Aussenlager",IF(CF1685="-","Nicht im Lift",IF(BI1685&gt;=1,"Lift",IF(BI1685&lt;=0,"Aussenlager","teilweise")))))</f>
        <v>Lift</v>
      </c>
      <c r="BM1685" s="48" t="str">
        <f aca="false">IF(A1685="","",IF(BV1685=1,"Neu; ","")&amp;IF(AND(BV1685=0,BQ1685&lt;0),"negativer Bestand (Export "&amp;BQ1685&amp;"); ","")&amp;IF(J1685&lt;=0,"Kein Verbrauch; ","")&amp;IF(CQ1685&gt;0,"Lift "&amp;W1685&amp;" lt. Liftbericht (Fach "&amp;X1685&amp;" Stk); ",IF(CA1685=1,"Gebinde geschätzt ("&amp;T1685&amp;"); ",IF(BZ1685=1,"Lose – Tablare geschätzt; ","")))&amp;IF(H1685&gt;AV1685,"Überbestand "&amp;ROUND(H1685-AV1685,0)&amp;" Stk / CHF "&amp;ROUND((H1685-AV1685)*G1685,0)&amp;"; ","")&amp;IF(AND(CH1685=1,CI1685&lt;CJ1685),"MAX &lt; MB+LG; ","")&amp;IF(AND(CP1685&gt;0,CO1685*10&gt;CP1685),"zu hoch für Tablar; ","")&amp;IF(AND(BV1685=0,OR(CH1685=1,AA1685&lt;&gt;"",U1685&lt;&gt;"",V1685&lt;&gt;"",AB1685&lt;&gt;"")),"manuell übersteuert; ","")&amp;IF(AND(BZ1685=0,R1685=0),"Gebinde unbekannt / Stellmass fehlt; ","")&amp;IF(AND(BZ1685=0,N(V1685)&lt;=0,N(Q1685)&lt;=0),"Menge pro Gebinde fehlt (Ist = 1 Gebinde); ","")&amp;BU1685)</f>
        <v>Kein Verbrauch; nur im Artikelstamm (Bestand 23.06.2026)</v>
      </c>
      <c r="BN1685" s="48"/>
      <c r="BO1685" s="48"/>
      <c r="BP1685" s="55"/>
      <c r="BQ1685" s="50" t="n">
        <v>5</v>
      </c>
      <c r="BR1685" s="50" t="n">
        <v>0</v>
      </c>
      <c r="BS1685" s="49" t="n">
        <v>0</v>
      </c>
      <c r="BT1685" s="50" t="n">
        <v>0</v>
      </c>
      <c r="BU1685" s="48" t="s">
        <v>2584</v>
      </c>
      <c r="BV1685" s="53" t="n">
        <v>0</v>
      </c>
      <c r="BW1685" s="53" t="n">
        <v>1685</v>
      </c>
      <c r="BX1685" s="48" t="str">
        <f aca="false">IF(U1685&lt;&gt;"",UPPER(TRIM(U1685)),IF(CA1685=1,UPPER(VLOOKUP(T1685,Parameter!$I$27:$K$29,2,0)),IF(P1685="","LOSE",P1685)))</f>
        <v>S61</v>
      </c>
      <c r="BY1685" s="50" t="n">
        <f aca="false">IF(BX1685="LOSE",1,IF(N(V1685)&gt;0,V1685,IF(CA1685=1,MAX(1,N(VLOOKUP(T1685,Parameter!$I$27:$K$29,3,0)),H1685,N(N1685)),IF(N(Q1685)&gt;0,Q1685,MAX(1,H1685)))))</f>
        <v>5</v>
      </c>
      <c r="BZ1685" s="53" t="n">
        <f aca="false">IF(BX1685="LOSE",1,0)</f>
        <v>0</v>
      </c>
      <c r="CA1685" s="53" t="n">
        <f aca="false">IF(AND(U1685="",OR(P1685="",P1685="LOSE"),T1685&lt;&gt;"",N(S1685)&lt;=0,ISNUMBER(MATCH(T1685,Parameter!$I$27:$I$29,0))),1,0)</f>
        <v>0</v>
      </c>
      <c r="CB1685" s="53" t="n">
        <f aca="false">IF(CQ1685&gt;0,INDEX(Parameter!$H$5:$H$7,W1685)/INDEX(Parameter!$E$5:$E$7,W1685),IF(AND(BZ1685=0,N(IFERROR(VLOOKUP(BX1685,'Gebinde-Kategorie'!$A$5:$N$45,14,0),0))&gt;0),VLOOKUP(BX1685,'Gebinde-Kategorie'!$A$5:$N$45,14,0)*10+Parameter!$M$23,Parameter!$M$24))</f>
        <v>145</v>
      </c>
      <c r="CC1685" s="48" t="str">
        <f aca="false">IF(AND(Parameter!$B$19="Ja",E1685&lt;&gt;"",ISNUMBER(MATCH(E1685,Parameter!$I$35:$I$52,0))),VLOOKUP(E1685,Parameter!$I$35:$J$52,2,0),IFERROR(VLOOKUP(D1685,Parameter!$A$35:$C$64,2,0),"Nein"))</f>
        <v>2+3</v>
      </c>
      <c r="CD1685" s="52" t="n">
        <f aca="false">IF(BZ1685=0,0,IF(N(S1685)&gt;0,S1685,IFERROR(VLOOKUP(D1685,Parameter!$A$35:$C$64,3,0)+0,0)))</f>
        <v>0</v>
      </c>
      <c r="CE1685" s="48" t="n">
        <f aca="false">IF(AA1685&lt;&gt;"",AA1685,Z1685)</f>
        <v>2</v>
      </c>
      <c r="CF1685" s="48" t="str">
        <f aca="false">IF(OR(CE1685=1,CE1685=2,CE1685=3),IF(Parameter!$E$27="Ja","LIFT",IF(CE1685=1,"L1","L23")),IF(CE1685="Aussen","Aussen","-"))</f>
        <v>LIFT</v>
      </c>
      <c r="CG1685" s="59" t="n">
        <f aca="false">IF(N(AB1685)&gt;0,AB1685,0)</f>
        <v>0</v>
      </c>
      <c r="CH1685" s="53" t="n">
        <f aca="false">IF(ISNUMBER(AE1685),1,0)</f>
        <v>0</v>
      </c>
      <c r="CI1685" s="50" t="n">
        <f aca="false">N(AE1685)</f>
        <v>0</v>
      </c>
      <c r="CJ1685" s="50" t="n">
        <f aca="false">N(M1685)+N(N1685)</f>
        <v>5</v>
      </c>
      <c r="CK1685" s="50" t="n">
        <f aca="false">N(M1685)</f>
        <v>0</v>
      </c>
      <c r="CL1685" s="50" t="n">
        <f aca="false">N(N1685)</f>
        <v>5</v>
      </c>
      <c r="CM1685" s="50" t="n">
        <f aca="false">ROUNDUP(H1685/BY1685,0)</f>
        <v>1</v>
      </c>
      <c r="CN1685" s="50" t="n">
        <f aca="false">ROUNDUP(CI1685/BY1685,0)</f>
        <v>0</v>
      </c>
      <c r="CO1685" s="53" t="n">
        <f aca="false">IF(BZ1685=1,0,IFERROR(VLOOKUP(BX1685,'Gebinde-Kategorie'!$A$5:$N$45,5,0)+0,0))</f>
        <v>11</v>
      </c>
      <c r="CP1685" s="53" t="n">
        <f aca="false">IFERROR(IF(OR(CE1685=1,CE1685=2,CE1685=3),N(INDEX(Parameter!$I$5:$I$7,CE1685)),0),0)</f>
        <v>0</v>
      </c>
      <c r="CQ1685" s="52" t="n">
        <f aca="false">IF(AND(Parameter!$B$21="Ja",ISNUMBER(W1685),N(X1685)&gt;0),IFERROR(N(INDEX(Parameter!$L$5:$L$7,W1685))*INDEX(Parameter!$E$5:$E$7,W1685)*X1685/SUMIFS($X$7:$X$1843,$W$7:$W$1843,W1685),0),0)</f>
        <v>0</v>
      </c>
    </row>
    <row r="1686" customFormat="false" ht="15" hidden="false" customHeight="false" outlineLevel="0" collapsed="false">
      <c r="A1686" s="48" t="s">
        <v>2929</v>
      </c>
      <c r="B1686" s="48" t="s">
        <v>2930</v>
      </c>
      <c r="C1686" s="48" t="s">
        <v>173</v>
      </c>
      <c r="D1686" s="48" t="s">
        <v>193</v>
      </c>
      <c r="E1686" s="48"/>
      <c r="F1686" s="48"/>
      <c r="G1686" s="49" t="n">
        <v>198.07</v>
      </c>
      <c r="H1686" s="50" t="n">
        <f aca="false">MAX(0,IF(AND(Parameter!$B$21="Ja",ISNUMBER(Y1686)),Y1686,IF(Parameter!$B$20="Jahresanfang 2025 + Export",BR1686+BQ1686,BQ1686)))</f>
        <v>3</v>
      </c>
      <c r="I1686" s="50" t="n">
        <f aca="false">H1686*G1686</f>
        <v>594.21</v>
      </c>
      <c r="J1686" s="50" t="n">
        <f aca="false">BT1686*Parameter!$B$18</f>
        <v>0</v>
      </c>
      <c r="K1686" s="51"/>
      <c r="L1686" s="52"/>
      <c r="M1686" s="50" t="n">
        <v>0</v>
      </c>
      <c r="N1686" s="50" t="n">
        <v>2</v>
      </c>
      <c r="O1686" s="53" t="n">
        <v>21</v>
      </c>
      <c r="P1686" s="48" t="s">
        <v>195</v>
      </c>
      <c r="Q1686" s="50" t="n">
        <v>5</v>
      </c>
      <c r="R1686" s="53" t="n">
        <f aca="false">IF(BZ1686=1,0,IFERROR(VLOOKUP(BX1686,'Gebinde-Kategorie'!$A$5:$N$45,13,0)+0,0))</f>
        <v>12</v>
      </c>
      <c r="S1686" s="54"/>
      <c r="T1686" s="55"/>
      <c r="U1686" s="55"/>
      <c r="V1686" s="55"/>
      <c r="W1686" s="48"/>
      <c r="X1686" s="50"/>
      <c r="Y1686" s="50"/>
      <c r="Z1686" s="48" t="n">
        <f aca="false">IF(A1686="","",IF(AND(Parameter!$B$21="Ja",ISNUMBER(W1686)),W1686,IF(CC1686="2+3",IF(ISNUMBER(SEARCH("grosser Artikel",BU1686)),2,IFERROR(VLOOKUP(BX1686,Parameter!$F$35:$G$64,2,0),2)),IF(OR(CC1686="Nein",CC1686=""),"-",CC1686))))</f>
        <v>2</v>
      </c>
      <c r="AA1686" s="55"/>
      <c r="AB1686" s="56"/>
      <c r="AC1686" s="50" t="n">
        <f aca="false">AV1686</f>
        <v>2</v>
      </c>
      <c r="AD1686" s="50" t="n">
        <f aca="false">MAX(AV1686,H1686)</f>
        <v>3</v>
      </c>
      <c r="AE1686" s="57"/>
      <c r="AF1686" s="50" t="n">
        <f aca="false">IF(LEFT(Cockpit!$C$5,1)="A",H1686,IF(Parameter!$E$30="MAX-Bestand",IF(CH1686=1,CI1686,IF(LEFT(Cockpit!$C$5,1)="B",AL1686,MAX(AL1686,H1686))),ROUNDUP(AJ1686,0)))</f>
        <v>3</v>
      </c>
      <c r="AG1686" s="50" t="n">
        <f aca="false">IF(BZ1686=1,0,ROUNDUP(AF1686/BY1686,0))</f>
        <v>1</v>
      </c>
      <c r="AH1686" s="52" t="n">
        <f aca="false">IF(CQ1686&gt;0,CQ1686*MAX(1,AF1686/X1686),IF(BZ1686=1,IF(AF1686&lt;=0,0,CD1686*MAX(1,IF(H1686&gt;0,AF1686/H1686,1))),IF(R1686&gt;0,AG1686/R1686,0))/MAX(0.1,N(Parameter!$M$21)))</f>
        <v>0.0833333333333333</v>
      </c>
      <c r="AI1686" s="50" t="n">
        <f aca="false">AH1686*CB1686</f>
        <v>12.0833333333333</v>
      </c>
      <c r="AJ1686" s="51" t="n">
        <f aca="false">IF(LEFT(Cockpit!$C$5,1)="A",H1686,IF(CH1686=1,(CK1686+CI1686)/2,IF(LEFT(Cockpit!$C$5,1)="B",(CK1686+AL1686)/2,MAX((CK1686+AL1686)/2,H1686))))</f>
        <v>3</v>
      </c>
      <c r="AK1686" s="50" t="n">
        <f aca="false">AJ1686*G1686</f>
        <v>594.21</v>
      </c>
      <c r="AL1686" s="50" t="n">
        <f aca="false">ROUNDUP(CK1686+MAX(CL1686,2*(J1686/IF(CG1686&gt;0,CG1686,MAX(0.1,N(Cockpit!$C$6)))-CK1686)),0)</f>
        <v>2</v>
      </c>
      <c r="AM1686" s="51" t="n">
        <f aca="false">IF(AI1686&gt;0,J1686/AI1686,-1)</f>
        <v>0</v>
      </c>
      <c r="AN1686" s="51" t="n">
        <f aca="false">IF(AND(OR(CF1686="L1",CF1686="L23",CF1686="LIFT"),AI1686&gt;0),SUMIFS($AI$7:$AI$1843,$CF$7:$CF$1843,CF1686,$AM$7:$AM$1843,"&gt;"&amp;AM1686)+SUMIFS($AI$7:$AI$1843,$CF$7:$CF$1843,CF1686,$AM$7:$AM$1843,AM1686,$BW$7:$BW$1843,"&lt;="&amp;BW1686),"")</f>
        <v>32677.0050935411</v>
      </c>
      <c r="AO1686" s="58" t="n">
        <f aca="false">IF(AN1686="",0,MAX(0,MIN(1,(IF(CF1686="L1",Parameter!$H$5,IF(CF1686="L23",Parameter!$H$6+Parameter!$H$7,Parameter!$H$5+Parameter!$H$6+Parameter!$H$7))-(AN1686-AI1686))/AI1686)))</f>
        <v>1</v>
      </c>
      <c r="AP1686" s="50" t="n">
        <f aca="false">IF(LEFT(Cockpit!$I$5,1)="A",H1686,IF(Parameter!$E$30="MAX-Bestand",IF(CH1686=1,CI1686,IF(LEFT(Cockpit!$I$5,1)="B",AV1686,MAX(AV1686,H1686))),ROUNDUP(AT1686,0)))</f>
        <v>3</v>
      </c>
      <c r="AQ1686" s="50" t="n">
        <f aca="false">IF(BZ1686=1,0,ROUNDUP(AP1686/BY1686,0))</f>
        <v>1</v>
      </c>
      <c r="AR1686" s="52" t="n">
        <f aca="false">IF(CQ1686&gt;0,CQ1686*MAX(1,AP1686/X1686),IF(BZ1686=1,IF(AP1686&lt;=0,0,CD1686*MAX(1,IF(H1686&gt;0,AP1686/H1686,1))),IF(R1686&gt;0,AQ1686/R1686,0))/MAX(0.1,N(Parameter!$M$21)))</f>
        <v>0.0833333333333333</v>
      </c>
      <c r="AS1686" s="50" t="n">
        <f aca="false">AR1686*CB1686</f>
        <v>12.0833333333333</v>
      </c>
      <c r="AT1686" s="51" t="n">
        <f aca="false">IF(LEFT(Cockpit!$I$5,1)="A",H1686,IF(CH1686=1,(CK1686+CI1686)/2,IF(LEFT(Cockpit!$I$5,1)="B",(CK1686+AV1686)/2,MAX((CK1686+AV1686)/2,H1686))))</f>
        <v>3</v>
      </c>
      <c r="AU1686" s="50" t="n">
        <f aca="false">AT1686*G1686</f>
        <v>594.21</v>
      </c>
      <c r="AV1686" s="50" t="n">
        <f aca="false">ROUNDUP(CK1686+MAX(CL1686,2*(J1686/IF(CG1686&gt;0,CG1686,MAX(0.1,N(Cockpit!$I$6)))-CK1686)),0)</f>
        <v>2</v>
      </c>
      <c r="AW1686" s="51" t="n">
        <f aca="false">IF(AS1686&gt;0,J1686/AS1686,-1)</f>
        <v>0</v>
      </c>
      <c r="AX1686" s="51" t="n">
        <f aca="false">IF(AND(OR(CF1686="L1",CF1686="L23",CF1686="LIFT"),AS1686&gt;0),SUMIFS($AS$7:$AS$1843,$CF$7:$CF$1843,CF1686,$AW$7:$AW$1843,"&gt;"&amp;AW1686)+SUMIFS($AS$7:$AS$1843,$CF$7:$CF$1843,CF1686,$AW$7:$AW$1843,AW1686,$BW$7:$BW$1843,"&lt;="&amp;BW1686),"")</f>
        <v>39149.2533241241</v>
      </c>
      <c r="AY1686" s="58" t="n">
        <f aca="false">IF(AX1686="",0,MAX(0,MIN(1,(IF(CF1686="L1",Parameter!$H$5,IF(CF1686="L23",Parameter!$H$6+Parameter!$H$7,Parameter!$H$5+Parameter!$H$6+Parameter!$H$7))-(AX1686-AS1686))/AS1686)))</f>
        <v>0</v>
      </c>
      <c r="AZ1686" s="50" t="n">
        <f aca="false">IF(LEFT(Cockpit!$O$5,1)="A",H1686,IF(Parameter!$E$30="MAX-Bestand",IF(CH1686=1,CI1686,IF(LEFT(Cockpit!$O$5,1)="B",BF1686,MAX(BF1686,H1686))),ROUNDUP(BD1686,0)))</f>
        <v>1</v>
      </c>
      <c r="BA1686" s="50" t="n">
        <f aca="false">IF(BZ1686=1,0,ROUNDUP(AZ1686/BY1686,0))</f>
        <v>1</v>
      </c>
      <c r="BB1686" s="52" t="n">
        <f aca="false">IF(CQ1686&gt;0,CQ1686*MAX(1,AZ1686/X1686),IF(BZ1686=1,IF(AZ1686&lt;=0,0,CD1686*MAX(1,IF(H1686&gt;0,AZ1686/H1686,1))),IF(R1686&gt;0,BA1686/R1686,0))/MAX(0.1,N(Parameter!$M$21)))</f>
        <v>0.0833333333333333</v>
      </c>
      <c r="BC1686" s="50" t="n">
        <f aca="false">BB1686*CB1686</f>
        <v>12.0833333333333</v>
      </c>
      <c r="BD1686" s="51" t="n">
        <f aca="false">IF(LEFT(Cockpit!$O$5,1)="A",H1686,IF(CH1686=1,(CK1686+CI1686)/2,IF(LEFT(Cockpit!$O$5,1)="B",(CK1686+BF1686)/2,MAX((CK1686+BF1686)/2,H1686))))</f>
        <v>1</v>
      </c>
      <c r="BE1686" s="50" t="n">
        <f aca="false">BD1686*G1686</f>
        <v>198.07</v>
      </c>
      <c r="BF1686" s="50" t="n">
        <f aca="false">ROUNDUP(CK1686+MAX(CL1686,2*(J1686/IF(CG1686&gt;0,CG1686,MAX(0.1,N(Cockpit!$O$6)))-CK1686)),0)</f>
        <v>2</v>
      </c>
      <c r="BG1686" s="51" t="n">
        <f aca="false">IF(BC1686&gt;0,J1686/BC1686,-1)</f>
        <v>0</v>
      </c>
      <c r="BH1686" s="51" t="n">
        <f aca="false">IF(AND(OR(CF1686="L1",CF1686="L23",CF1686="LIFT"),BC1686&gt;0),SUMIFS($BC$7:$BC$1843,$CF$7:$CF$1843,CF1686,$BG$7:$BG$1843,"&gt;"&amp;BG1686)+SUMIFS($BC$7:$BC$1843,$CF$7:$CF$1843,CF1686,$BG$7:$BG$1843,BG1686,$BW$7:$BW$1843,"&lt;="&amp;BW1686),"")</f>
        <v>32411.6112663231</v>
      </c>
      <c r="BI1686" s="58" t="n">
        <f aca="false">IF(BH1686="",0,MAX(0,MIN(1,(IF(CF1686="L1",Parameter!$H$5,IF(CF1686="L23",Parameter!$H$6+Parameter!$H$7,Parameter!$H$5+Parameter!$H$6+Parameter!$H$7))-(BH1686-BC1686))/BC1686)))</f>
        <v>1</v>
      </c>
      <c r="BJ1686" s="48" t="str">
        <f aca="false">IF(AI1686&lt;=0,"",IF(CF1686="Aussen","Aussenlager",IF(CF1686="-","Nicht im Lift",IF(AO1686&gt;=1,"Lift",IF(AO1686&lt;=0,"Aussenlager","teilweise")))))</f>
        <v>Lift</v>
      </c>
      <c r="BK1686" s="48" t="str">
        <f aca="false">IF(AS1686&lt;=0,"",IF(CF1686="Aussen","Aussenlager",IF(CF1686="-","Nicht im Lift",IF(AY1686&gt;=1,"Lift",IF(AY1686&lt;=0,"Aussenlager","teilweise")))))</f>
        <v>Aussenlager</v>
      </c>
      <c r="BL1686" s="48" t="str">
        <f aca="false">IF(BC1686&lt;=0,"",IF(CF1686="Aussen","Aussenlager",IF(CF1686="-","Nicht im Lift",IF(BI1686&gt;=1,"Lift",IF(BI1686&lt;=0,"Aussenlager","teilweise")))))</f>
        <v>Lift</v>
      </c>
      <c r="BM1686" s="48" t="str">
        <f aca="false">IF(A1686="","",IF(BV1686=1,"Neu; ","")&amp;IF(AND(BV1686=0,BQ1686&lt;0),"negativer Bestand (Export "&amp;BQ1686&amp;"); ","")&amp;IF(J1686&lt;=0,"Kein Verbrauch; ","")&amp;IF(CQ1686&gt;0,"Lift "&amp;W1686&amp;" lt. Liftbericht (Fach "&amp;X1686&amp;" Stk); ",IF(CA1686=1,"Gebinde geschätzt ("&amp;T1686&amp;"); ",IF(BZ1686=1,"Lose – Tablare geschätzt; ","")))&amp;IF(H1686&gt;AV1686,"Überbestand "&amp;ROUND(H1686-AV1686,0)&amp;" Stk / CHF "&amp;ROUND((H1686-AV1686)*G1686,0)&amp;"; ","")&amp;IF(AND(CH1686=1,CI1686&lt;CJ1686),"MAX &lt; MB+LG; ","")&amp;IF(AND(CP1686&gt;0,CO1686*10&gt;CP1686),"zu hoch für Tablar; ","")&amp;IF(AND(BV1686=0,OR(CH1686=1,AA1686&lt;&gt;"",U1686&lt;&gt;"",V1686&lt;&gt;"",AB1686&lt;&gt;"")),"manuell übersteuert; ","")&amp;IF(AND(BZ1686=0,R1686=0),"Gebinde unbekannt / Stellmass fehlt; ","")&amp;IF(AND(BZ1686=0,N(V1686)&lt;=0,N(Q1686)&lt;=0),"Menge pro Gebinde fehlt (Ist = 1 Gebinde); ","")&amp;BU1686)</f>
        <v>Kein Verbrauch; Überbestand 1 Stk / CHF 198; nur im Artikelstamm (Bestand 23.06.2026); Neuer Art.</v>
      </c>
      <c r="BN1686" s="48"/>
      <c r="BO1686" s="48"/>
      <c r="BP1686" s="55"/>
      <c r="BQ1686" s="50" t="n">
        <v>3</v>
      </c>
      <c r="BR1686" s="50" t="n">
        <v>0</v>
      </c>
      <c r="BS1686" s="49" t="n">
        <v>0</v>
      </c>
      <c r="BT1686" s="50" t="n">
        <v>0</v>
      </c>
      <c r="BU1686" s="48" t="s">
        <v>2882</v>
      </c>
      <c r="BV1686" s="53" t="n">
        <v>0</v>
      </c>
      <c r="BW1686" s="53" t="n">
        <v>1686</v>
      </c>
      <c r="BX1686" s="48" t="str">
        <f aca="false">IF(U1686&lt;&gt;"",UPPER(TRIM(U1686)),IF(CA1686=1,UPPER(VLOOKUP(T1686,Parameter!$I$27:$K$29,2,0)),IF(P1686="","LOSE",P1686)))</f>
        <v>S61</v>
      </c>
      <c r="BY1686" s="50" t="n">
        <f aca="false">IF(BX1686="LOSE",1,IF(N(V1686)&gt;0,V1686,IF(CA1686=1,MAX(1,N(VLOOKUP(T1686,Parameter!$I$27:$K$29,3,0)),H1686,N(N1686)),IF(N(Q1686)&gt;0,Q1686,MAX(1,H1686)))))</f>
        <v>5</v>
      </c>
      <c r="BZ1686" s="53" t="n">
        <f aca="false">IF(BX1686="LOSE",1,0)</f>
        <v>0</v>
      </c>
      <c r="CA1686" s="53" t="n">
        <f aca="false">IF(AND(U1686="",OR(P1686="",P1686="LOSE"),T1686&lt;&gt;"",N(S1686)&lt;=0,ISNUMBER(MATCH(T1686,Parameter!$I$27:$I$29,0))),1,0)</f>
        <v>0</v>
      </c>
      <c r="CB1686" s="53" t="n">
        <f aca="false">IF(CQ1686&gt;0,INDEX(Parameter!$H$5:$H$7,W1686)/INDEX(Parameter!$E$5:$E$7,W1686),IF(AND(BZ1686=0,N(IFERROR(VLOOKUP(BX1686,'Gebinde-Kategorie'!$A$5:$N$45,14,0),0))&gt;0),VLOOKUP(BX1686,'Gebinde-Kategorie'!$A$5:$N$45,14,0)*10+Parameter!$M$23,Parameter!$M$24))</f>
        <v>145</v>
      </c>
      <c r="CC1686" s="48" t="str">
        <f aca="false">IF(AND(Parameter!$B$19="Ja",E1686&lt;&gt;"",ISNUMBER(MATCH(E1686,Parameter!$I$35:$I$52,0))),VLOOKUP(E1686,Parameter!$I$35:$J$52,2,0),IFERROR(VLOOKUP(D1686,Parameter!$A$35:$C$64,2,0),"Nein"))</f>
        <v>2+3</v>
      </c>
      <c r="CD1686" s="52" t="n">
        <f aca="false">IF(BZ1686=0,0,IF(N(S1686)&gt;0,S1686,IFERROR(VLOOKUP(D1686,Parameter!$A$35:$C$64,3,0)+0,0)))</f>
        <v>0</v>
      </c>
      <c r="CE1686" s="48" t="n">
        <f aca="false">IF(AA1686&lt;&gt;"",AA1686,Z1686)</f>
        <v>2</v>
      </c>
      <c r="CF1686" s="48" t="str">
        <f aca="false">IF(OR(CE1686=1,CE1686=2,CE1686=3),IF(Parameter!$E$27="Ja","LIFT",IF(CE1686=1,"L1","L23")),IF(CE1686="Aussen","Aussen","-"))</f>
        <v>LIFT</v>
      </c>
      <c r="CG1686" s="59" t="n">
        <f aca="false">IF(N(AB1686)&gt;0,AB1686,0)</f>
        <v>0</v>
      </c>
      <c r="CH1686" s="53" t="n">
        <f aca="false">IF(ISNUMBER(AE1686),1,0)</f>
        <v>0</v>
      </c>
      <c r="CI1686" s="50" t="n">
        <f aca="false">N(AE1686)</f>
        <v>0</v>
      </c>
      <c r="CJ1686" s="50" t="n">
        <f aca="false">N(M1686)+N(N1686)</f>
        <v>2</v>
      </c>
      <c r="CK1686" s="50" t="n">
        <f aca="false">N(M1686)</f>
        <v>0</v>
      </c>
      <c r="CL1686" s="50" t="n">
        <f aca="false">N(N1686)</f>
        <v>2</v>
      </c>
      <c r="CM1686" s="50" t="n">
        <f aca="false">ROUNDUP(H1686/BY1686,0)</f>
        <v>1</v>
      </c>
      <c r="CN1686" s="50" t="n">
        <f aca="false">ROUNDUP(CI1686/BY1686,0)</f>
        <v>0</v>
      </c>
      <c r="CO1686" s="53" t="n">
        <f aca="false">IF(BZ1686=1,0,IFERROR(VLOOKUP(BX1686,'Gebinde-Kategorie'!$A$5:$N$45,5,0)+0,0))</f>
        <v>11</v>
      </c>
      <c r="CP1686" s="53" t="n">
        <f aca="false">IFERROR(IF(OR(CE1686=1,CE1686=2,CE1686=3),N(INDEX(Parameter!$I$5:$I$7,CE1686)),0),0)</f>
        <v>0</v>
      </c>
      <c r="CQ1686" s="52" t="n">
        <f aca="false">IF(AND(Parameter!$B$21="Ja",ISNUMBER(W1686),N(X1686)&gt;0),IFERROR(N(INDEX(Parameter!$L$5:$L$7,W1686))*INDEX(Parameter!$E$5:$E$7,W1686)*X1686/SUMIFS($X$7:$X$1843,$W$7:$W$1843,W1686),0),0)</f>
        <v>0</v>
      </c>
    </row>
    <row r="1687" customFormat="false" ht="15" hidden="false" customHeight="false" outlineLevel="0" collapsed="false">
      <c r="A1687" s="48" t="s">
        <v>2931</v>
      </c>
      <c r="B1687" s="48" t="s">
        <v>2932</v>
      </c>
      <c r="C1687" s="48" t="s">
        <v>173</v>
      </c>
      <c r="D1687" s="48" t="s">
        <v>182</v>
      </c>
      <c r="E1687" s="48"/>
      <c r="F1687" s="48"/>
      <c r="G1687" s="49" t="n">
        <v>230</v>
      </c>
      <c r="H1687" s="50" t="n">
        <f aca="false">MAX(0,IF(AND(Parameter!$B$21="Ja",ISNUMBER(Y1687)),Y1687,IF(Parameter!$B$20="Jahresanfang 2025 + Export",BR1687+BQ1687,BQ1687)))</f>
        <v>6</v>
      </c>
      <c r="I1687" s="50" t="n">
        <f aca="false">H1687*G1687</f>
        <v>1380</v>
      </c>
      <c r="J1687" s="50" t="n">
        <f aca="false">BT1687*Parameter!$B$18</f>
        <v>0</v>
      </c>
      <c r="K1687" s="51"/>
      <c r="L1687" s="52"/>
      <c r="M1687" s="50" t="n">
        <v>0</v>
      </c>
      <c r="N1687" s="50" t="n">
        <v>6</v>
      </c>
      <c r="O1687" s="53" t="n">
        <v>49</v>
      </c>
      <c r="P1687" s="48" t="s">
        <v>195</v>
      </c>
      <c r="Q1687" s="50" t="n">
        <v>5</v>
      </c>
      <c r="R1687" s="53" t="n">
        <f aca="false">IF(BZ1687=1,0,IFERROR(VLOOKUP(BX1687,'Gebinde-Kategorie'!$A$5:$N$45,13,0)+0,0))</f>
        <v>12</v>
      </c>
      <c r="S1687" s="54"/>
      <c r="T1687" s="55"/>
      <c r="U1687" s="55"/>
      <c r="V1687" s="55"/>
      <c r="W1687" s="48"/>
      <c r="X1687" s="50"/>
      <c r="Y1687" s="50"/>
      <c r="Z1687" s="48" t="n">
        <f aca="false">IF(A1687="","",IF(AND(Parameter!$B$21="Ja",ISNUMBER(W1687)),W1687,IF(CC1687="2+3",IF(ISNUMBER(SEARCH("grosser Artikel",BU1687)),2,IFERROR(VLOOKUP(BX1687,Parameter!$F$35:$G$64,2,0),2)),IF(OR(CC1687="Nein",CC1687=""),"-",CC1687))))</f>
        <v>2</v>
      </c>
      <c r="AA1687" s="55"/>
      <c r="AB1687" s="56"/>
      <c r="AC1687" s="50" t="n">
        <f aca="false">AV1687</f>
        <v>6</v>
      </c>
      <c r="AD1687" s="50" t="n">
        <f aca="false">MAX(AV1687,H1687)</f>
        <v>6</v>
      </c>
      <c r="AE1687" s="57"/>
      <c r="AF1687" s="50" t="n">
        <f aca="false">IF(LEFT(Cockpit!$C$5,1)="A",H1687,IF(Parameter!$E$30="MAX-Bestand",IF(CH1687=1,CI1687,IF(LEFT(Cockpit!$C$5,1)="B",AL1687,MAX(AL1687,H1687))),ROUNDUP(AJ1687,0)))</f>
        <v>6</v>
      </c>
      <c r="AG1687" s="50" t="n">
        <f aca="false">IF(BZ1687=1,0,ROUNDUP(AF1687/BY1687,0))</f>
        <v>2</v>
      </c>
      <c r="AH1687" s="52" t="n">
        <f aca="false">IF(CQ1687&gt;0,CQ1687*MAX(1,AF1687/X1687),IF(BZ1687=1,IF(AF1687&lt;=0,0,CD1687*MAX(1,IF(H1687&gt;0,AF1687/H1687,1))),IF(R1687&gt;0,AG1687/R1687,0))/MAX(0.1,N(Parameter!$M$21)))</f>
        <v>0.166666666666667</v>
      </c>
      <c r="AI1687" s="50" t="n">
        <f aca="false">AH1687*CB1687</f>
        <v>24.1666666666667</v>
      </c>
      <c r="AJ1687" s="51" t="n">
        <f aca="false">IF(LEFT(Cockpit!$C$5,1)="A",H1687,IF(CH1687=1,(CK1687+CI1687)/2,IF(LEFT(Cockpit!$C$5,1)="B",(CK1687+AL1687)/2,MAX((CK1687+AL1687)/2,H1687))))</f>
        <v>6</v>
      </c>
      <c r="AK1687" s="50" t="n">
        <f aca="false">AJ1687*G1687</f>
        <v>1380</v>
      </c>
      <c r="AL1687" s="50" t="n">
        <f aca="false">ROUNDUP(CK1687+MAX(CL1687,2*(J1687/IF(CG1687&gt;0,CG1687,MAX(0.1,N(Cockpit!$C$6)))-CK1687)),0)</f>
        <v>6</v>
      </c>
      <c r="AM1687" s="51" t="n">
        <f aca="false">IF(AI1687&gt;0,J1687/AI1687,-1)</f>
        <v>0</v>
      </c>
      <c r="AN1687" s="51" t="n">
        <f aca="false">IF(AND(OR(CF1687="L1",CF1687="L23",CF1687="LIFT"),AI1687&gt;0),SUMIFS($AI$7:$AI$1843,$CF$7:$CF$1843,CF1687,$AM$7:$AM$1843,"&gt;"&amp;AM1687)+SUMIFS($AI$7:$AI$1843,$CF$7:$CF$1843,CF1687,$AM$7:$AM$1843,AM1687,$BW$7:$BW$1843,"&lt;="&amp;BW1687),"")</f>
        <v>32701.1717602078</v>
      </c>
      <c r="AO1687" s="58" t="n">
        <f aca="false">IF(AN1687="",0,MAX(0,MIN(1,(IF(CF1687="L1",Parameter!$H$5,IF(CF1687="L23",Parameter!$H$6+Parameter!$H$7,Parameter!$H$5+Parameter!$H$6+Parameter!$H$7))-(AN1687-AI1687))/AI1687)))</f>
        <v>1</v>
      </c>
      <c r="AP1687" s="50" t="n">
        <f aca="false">IF(LEFT(Cockpit!$I$5,1)="A",H1687,IF(Parameter!$E$30="MAX-Bestand",IF(CH1687=1,CI1687,IF(LEFT(Cockpit!$I$5,1)="B",AV1687,MAX(AV1687,H1687))),ROUNDUP(AT1687,0)))</f>
        <v>6</v>
      </c>
      <c r="AQ1687" s="50" t="n">
        <f aca="false">IF(BZ1687=1,0,ROUNDUP(AP1687/BY1687,0))</f>
        <v>2</v>
      </c>
      <c r="AR1687" s="52" t="n">
        <f aca="false">IF(CQ1687&gt;0,CQ1687*MAX(1,AP1687/X1687),IF(BZ1687=1,IF(AP1687&lt;=0,0,CD1687*MAX(1,IF(H1687&gt;0,AP1687/H1687,1))),IF(R1687&gt;0,AQ1687/R1687,0))/MAX(0.1,N(Parameter!$M$21)))</f>
        <v>0.166666666666667</v>
      </c>
      <c r="AS1687" s="50" t="n">
        <f aca="false">AR1687*CB1687</f>
        <v>24.1666666666667</v>
      </c>
      <c r="AT1687" s="51" t="n">
        <f aca="false">IF(LEFT(Cockpit!$I$5,1)="A",H1687,IF(CH1687=1,(CK1687+CI1687)/2,IF(LEFT(Cockpit!$I$5,1)="B",(CK1687+AV1687)/2,MAX((CK1687+AV1687)/2,H1687))))</f>
        <v>6</v>
      </c>
      <c r="AU1687" s="50" t="n">
        <f aca="false">AT1687*G1687</f>
        <v>1380</v>
      </c>
      <c r="AV1687" s="50" t="n">
        <f aca="false">ROUNDUP(CK1687+MAX(CL1687,2*(J1687/IF(CG1687&gt;0,CG1687,MAX(0.1,N(Cockpit!$I$6)))-CK1687)),0)</f>
        <v>6</v>
      </c>
      <c r="AW1687" s="51" t="n">
        <f aca="false">IF(AS1687&gt;0,J1687/AS1687,-1)</f>
        <v>0</v>
      </c>
      <c r="AX1687" s="51" t="n">
        <f aca="false">IF(AND(OR(CF1687="L1",CF1687="L23",CF1687="LIFT"),AS1687&gt;0),SUMIFS($AS$7:$AS$1843,$CF$7:$CF$1843,CF1687,$AW$7:$AW$1843,"&gt;"&amp;AW1687)+SUMIFS($AS$7:$AS$1843,$CF$7:$CF$1843,CF1687,$AW$7:$AW$1843,AW1687,$BW$7:$BW$1843,"&lt;="&amp;BW1687),"")</f>
        <v>39173.4199907908</v>
      </c>
      <c r="AY1687" s="58" t="n">
        <f aca="false">IF(AX1687="",0,MAX(0,MIN(1,(IF(CF1687="L1",Parameter!$H$5,IF(CF1687="L23",Parameter!$H$6+Parameter!$H$7,Parameter!$H$5+Parameter!$H$6+Parameter!$H$7))-(AX1687-AS1687))/AS1687)))</f>
        <v>0</v>
      </c>
      <c r="AZ1687" s="50" t="n">
        <f aca="false">IF(LEFT(Cockpit!$O$5,1)="A",H1687,IF(Parameter!$E$30="MAX-Bestand",IF(CH1687=1,CI1687,IF(LEFT(Cockpit!$O$5,1)="B",BF1687,MAX(BF1687,H1687))),ROUNDUP(BD1687,0)))</f>
        <v>3</v>
      </c>
      <c r="BA1687" s="50" t="n">
        <f aca="false">IF(BZ1687=1,0,ROUNDUP(AZ1687/BY1687,0))</f>
        <v>1</v>
      </c>
      <c r="BB1687" s="52" t="n">
        <f aca="false">IF(CQ1687&gt;0,CQ1687*MAX(1,AZ1687/X1687),IF(BZ1687=1,IF(AZ1687&lt;=0,0,CD1687*MAX(1,IF(H1687&gt;0,AZ1687/H1687,1))),IF(R1687&gt;0,BA1687/R1687,0))/MAX(0.1,N(Parameter!$M$21)))</f>
        <v>0.0833333333333333</v>
      </c>
      <c r="BC1687" s="50" t="n">
        <f aca="false">BB1687*CB1687</f>
        <v>12.0833333333333</v>
      </c>
      <c r="BD1687" s="51" t="n">
        <f aca="false">IF(LEFT(Cockpit!$O$5,1)="A",H1687,IF(CH1687=1,(CK1687+CI1687)/2,IF(LEFT(Cockpit!$O$5,1)="B",(CK1687+BF1687)/2,MAX((CK1687+BF1687)/2,H1687))))</f>
        <v>3</v>
      </c>
      <c r="BE1687" s="50" t="n">
        <f aca="false">BD1687*G1687</f>
        <v>690</v>
      </c>
      <c r="BF1687" s="50" t="n">
        <f aca="false">ROUNDUP(CK1687+MAX(CL1687,2*(J1687/IF(CG1687&gt;0,CG1687,MAX(0.1,N(Cockpit!$O$6)))-CK1687)),0)</f>
        <v>6</v>
      </c>
      <c r="BG1687" s="51" t="n">
        <f aca="false">IF(BC1687&gt;0,J1687/BC1687,-1)</f>
        <v>0</v>
      </c>
      <c r="BH1687" s="51" t="n">
        <f aca="false">IF(AND(OR(CF1687="L1",CF1687="L23",CF1687="LIFT"),BC1687&gt;0),SUMIFS($BC$7:$BC$1843,$CF$7:$CF$1843,CF1687,$BG$7:$BG$1843,"&gt;"&amp;BG1687)+SUMIFS($BC$7:$BC$1843,$CF$7:$CF$1843,CF1687,$BG$7:$BG$1843,BG1687,$BW$7:$BW$1843,"&lt;="&amp;BW1687),"")</f>
        <v>32423.6945996565</v>
      </c>
      <c r="BI1687" s="58" t="n">
        <f aca="false">IF(BH1687="",0,MAX(0,MIN(1,(IF(CF1687="L1",Parameter!$H$5,IF(CF1687="L23",Parameter!$H$6+Parameter!$H$7,Parameter!$H$5+Parameter!$H$6+Parameter!$H$7))-(BH1687-BC1687))/BC1687)))</f>
        <v>1</v>
      </c>
      <c r="BJ1687" s="48" t="str">
        <f aca="false">IF(AI1687&lt;=0,"",IF(CF1687="Aussen","Aussenlager",IF(CF1687="-","Nicht im Lift",IF(AO1687&gt;=1,"Lift",IF(AO1687&lt;=0,"Aussenlager","teilweise")))))</f>
        <v>Lift</v>
      </c>
      <c r="BK1687" s="48" t="str">
        <f aca="false">IF(AS1687&lt;=0,"",IF(CF1687="Aussen","Aussenlager",IF(CF1687="-","Nicht im Lift",IF(AY1687&gt;=1,"Lift",IF(AY1687&lt;=0,"Aussenlager","teilweise")))))</f>
        <v>Aussenlager</v>
      </c>
      <c r="BL1687" s="48" t="str">
        <f aca="false">IF(BC1687&lt;=0,"",IF(CF1687="Aussen","Aussenlager",IF(CF1687="-","Nicht im Lift",IF(BI1687&gt;=1,"Lift",IF(BI1687&lt;=0,"Aussenlager","teilweise")))))</f>
        <v>Lift</v>
      </c>
      <c r="BM1687" s="48" t="str">
        <f aca="false">IF(A1687="","",IF(BV1687=1,"Neu; ","")&amp;IF(AND(BV1687=0,BQ1687&lt;0),"negativer Bestand (Export "&amp;BQ1687&amp;"); ","")&amp;IF(J1687&lt;=0,"Kein Verbrauch; ","")&amp;IF(CQ1687&gt;0,"Lift "&amp;W1687&amp;" lt. Liftbericht (Fach "&amp;X1687&amp;" Stk); ",IF(CA1687=1,"Gebinde geschätzt ("&amp;T1687&amp;"); ",IF(BZ1687=1,"Lose – Tablare geschätzt; ","")))&amp;IF(H1687&gt;AV1687,"Überbestand "&amp;ROUND(H1687-AV1687,0)&amp;" Stk / CHF "&amp;ROUND((H1687-AV1687)*G1687,0)&amp;"; ","")&amp;IF(AND(CH1687=1,CI1687&lt;CJ1687),"MAX &lt; MB+LG; ","")&amp;IF(AND(CP1687&gt;0,CO1687*10&gt;CP1687),"zu hoch für Tablar; ","")&amp;IF(AND(BV1687=0,OR(CH1687=1,AA1687&lt;&gt;"",U1687&lt;&gt;"",V1687&lt;&gt;"",AB1687&lt;&gt;"")),"manuell übersteuert; ","")&amp;IF(AND(BZ1687=0,R1687=0),"Gebinde unbekannt / Stellmass fehlt; ","")&amp;IF(AND(BZ1687=0,N(V1687)&lt;=0,N(Q1687)&lt;=0),"Menge pro Gebinde fehlt (Ist = 1 Gebinde); ","")&amp;BU1687)</f>
        <v>Kein Verbrauch; nur im Artikelstamm (Bestand 23.06.2026)</v>
      </c>
      <c r="BN1687" s="48"/>
      <c r="BO1687" s="48"/>
      <c r="BP1687" s="55"/>
      <c r="BQ1687" s="50" t="n">
        <v>6</v>
      </c>
      <c r="BR1687" s="50" t="n">
        <v>0</v>
      </c>
      <c r="BS1687" s="49" t="n">
        <v>0</v>
      </c>
      <c r="BT1687" s="50" t="n">
        <v>0</v>
      </c>
      <c r="BU1687" s="48" t="s">
        <v>2584</v>
      </c>
      <c r="BV1687" s="53" t="n">
        <v>0</v>
      </c>
      <c r="BW1687" s="53" t="n">
        <v>1687</v>
      </c>
      <c r="BX1687" s="48" t="str">
        <f aca="false">IF(U1687&lt;&gt;"",UPPER(TRIM(U1687)),IF(CA1687=1,UPPER(VLOOKUP(T1687,Parameter!$I$27:$K$29,2,0)),IF(P1687="","LOSE",P1687)))</f>
        <v>S61</v>
      </c>
      <c r="BY1687" s="50" t="n">
        <f aca="false">IF(BX1687="LOSE",1,IF(N(V1687)&gt;0,V1687,IF(CA1687=1,MAX(1,N(VLOOKUP(T1687,Parameter!$I$27:$K$29,3,0)),H1687,N(N1687)),IF(N(Q1687)&gt;0,Q1687,MAX(1,H1687)))))</f>
        <v>5</v>
      </c>
      <c r="BZ1687" s="53" t="n">
        <f aca="false">IF(BX1687="LOSE",1,0)</f>
        <v>0</v>
      </c>
      <c r="CA1687" s="53" t="n">
        <f aca="false">IF(AND(U1687="",OR(P1687="",P1687="LOSE"),T1687&lt;&gt;"",N(S1687)&lt;=0,ISNUMBER(MATCH(T1687,Parameter!$I$27:$I$29,0))),1,0)</f>
        <v>0</v>
      </c>
      <c r="CB1687" s="53" t="n">
        <f aca="false">IF(CQ1687&gt;0,INDEX(Parameter!$H$5:$H$7,W1687)/INDEX(Parameter!$E$5:$E$7,W1687),IF(AND(BZ1687=0,N(IFERROR(VLOOKUP(BX1687,'Gebinde-Kategorie'!$A$5:$N$45,14,0),0))&gt;0),VLOOKUP(BX1687,'Gebinde-Kategorie'!$A$5:$N$45,14,0)*10+Parameter!$M$23,Parameter!$M$24))</f>
        <v>145</v>
      </c>
      <c r="CC1687" s="48" t="str">
        <f aca="false">IF(AND(Parameter!$B$19="Ja",E1687&lt;&gt;"",ISNUMBER(MATCH(E1687,Parameter!$I$35:$I$52,0))),VLOOKUP(E1687,Parameter!$I$35:$J$52,2,0),IFERROR(VLOOKUP(D1687,Parameter!$A$35:$C$64,2,0),"Nein"))</f>
        <v>2+3</v>
      </c>
      <c r="CD1687" s="52" t="n">
        <f aca="false">IF(BZ1687=0,0,IF(N(S1687)&gt;0,S1687,IFERROR(VLOOKUP(D1687,Parameter!$A$35:$C$64,3,0)+0,0)))</f>
        <v>0</v>
      </c>
      <c r="CE1687" s="48" t="n">
        <f aca="false">IF(AA1687&lt;&gt;"",AA1687,Z1687)</f>
        <v>2</v>
      </c>
      <c r="CF1687" s="48" t="str">
        <f aca="false">IF(OR(CE1687=1,CE1687=2,CE1687=3),IF(Parameter!$E$27="Ja","LIFT",IF(CE1687=1,"L1","L23")),IF(CE1687="Aussen","Aussen","-"))</f>
        <v>LIFT</v>
      </c>
      <c r="CG1687" s="59" t="n">
        <f aca="false">IF(N(AB1687)&gt;0,AB1687,0)</f>
        <v>0</v>
      </c>
      <c r="CH1687" s="53" t="n">
        <f aca="false">IF(ISNUMBER(AE1687),1,0)</f>
        <v>0</v>
      </c>
      <c r="CI1687" s="50" t="n">
        <f aca="false">N(AE1687)</f>
        <v>0</v>
      </c>
      <c r="CJ1687" s="50" t="n">
        <f aca="false">N(M1687)+N(N1687)</f>
        <v>6</v>
      </c>
      <c r="CK1687" s="50" t="n">
        <f aca="false">N(M1687)</f>
        <v>0</v>
      </c>
      <c r="CL1687" s="50" t="n">
        <f aca="false">N(N1687)</f>
        <v>6</v>
      </c>
      <c r="CM1687" s="50" t="n">
        <f aca="false">ROUNDUP(H1687/BY1687,0)</f>
        <v>2</v>
      </c>
      <c r="CN1687" s="50" t="n">
        <f aca="false">ROUNDUP(CI1687/BY1687,0)</f>
        <v>0</v>
      </c>
      <c r="CO1687" s="53" t="n">
        <f aca="false">IF(BZ1687=1,0,IFERROR(VLOOKUP(BX1687,'Gebinde-Kategorie'!$A$5:$N$45,5,0)+0,0))</f>
        <v>11</v>
      </c>
      <c r="CP1687" s="53" t="n">
        <f aca="false">IFERROR(IF(OR(CE1687=1,CE1687=2,CE1687=3),N(INDEX(Parameter!$I$5:$I$7,CE1687)),0),0)</f>
        <v>0</v>
      </c>
      <c r="CQ1687" s="52" t="n">
        <f aca="false">IF(AND(Parameter!$B$21="Ja",ISNUMBER(W1687),N(X1687)&gt;0),IFERROR(N(INDEX(Parameter!$L$5:$L$7,W1687))*INDEX(Parameter!$E$5:$E$7,W1687)*X1687/SUMIFS($X$7:$X$1843,$W$7:$W$1843,W1687),0),0)</f>
        <v>0</v>
      </c>
    </row>
    <row r="1688" customFormat="false" ht="15" hidden="false" customHeight="false" outlineLevel="0" collapsed="false">
      <c r="A1688" s="48" t="s">
        <v>2933</v>
      </c>
      <c r="B1688" s="48" t="s">
        <v>2934</v>
      </c>
      <c r="C1688" s="48" t="s">
        <v>173</v>
      </c>
      <c r="D1688" s="48" t="s">
        <v>182</v>
      </c>
      <c r="E1688" s="48"/>
      <c r="F1688" s="48"/>
      <c r="G1688" s="49" t="n">
        <v>250</v>
      </c>
      <c r="H1688" s="50" t="n">
        <f aca="false">MAX(0,IF(AND(Parameter!$B$21="Ja",ISNUMBER(Y1688)),Y1688,IF(Parameter!$B$20="Jahresanfang 2025 + Export",BR1688+BQ1688,BQ1688)))</f>
        <v>3</v>
      </c>
      <c r="I1688" s="50" t="n">
        <f aca="false">H1688*G1688</f>
        <v>750</v>
      </c>
      <c r="J1688" s="50" t="n">
        <f aca="false">BT1688*Parameter!$B$18</f>
        <v>0</v>
      </c>
      <c r="K1688" s="51"/>
      <c r="L1688" s="52"/>
      <c r="M1688" s="50" t="n">
        <v>0</v>
      </c>
      <c r="N1688" s="50" t="n">
        <v>3</v>
      </c>
      <c r="O1688" s="53" t="n">
        <v>49</v>
      </c>
      <c r="P1688" s="48" t="s">
        <v>195</v>
      </c>
      <c r="Q1688" s="50" t="n">
        <v>5</v>
      </c>
      <c r="R1688" s="53" t="n">
        <f aca="false">IF(BZ1688=1,0,IFERROR(VLOOKUP(BX1688,'Gebinde-Kategorie'!$A$5:$N$45,13,0)+0,0))</f>
        <v>12</v>
      </c>
      <c r="S1688" s="54"/>
      <c r="T1688" s="55"/>
      <c r="U1688" s="55"/>
      <c r="V1688" s="55"/>
      <c r="W1688" s="48"/>
      <c r="X1688" s="50"/>
      <c r="Y1688" s="50"/>
      <c r="Z1688" s="48" t="n">
        <f aca="false">IF(A1688="","",IF(AND(Parameter!$B$21="Ja",ISNUMBER(W1688)),W1688,IF(CC1688="2+3",IF(ISNUMBER(SEARCH("grosser Artikel",BU1688)),2,IFERROR(VLOOKUP(BX1688,Parameter!$F$35:$G$64,2,0),2)),IF(OR(CC1688="Nein",CC1688=""),"-",CC1688))))</f>
        <v>2</v>
      </c>
      <c r="AA1688" s="55"/>
      <c r="AB1688" s="56"/>
      <c r="AC1688" s="50" t="n">
        <f aca="false">AV1688</f>
        <v>3</v>
      </c>
      <c r="AD1688" s="50" t="n">
        <f aca="false">MAX(AV1688,H1688)</f>
        <v>3</v>
      </c>
      <c r="AE1688" s="57"/>
      <c r="AF1688" s="50" t="n">
        <f aca="false">IF(LEFT(Cockpit!$C$5,1)="A",H1688,IF(Parameter!$E$30="MAX-Bestand",IF(CH1688=1,CI1688,IF(LEFT(Cockpit!$C$5,1)="B",AL1688,MAX(AL1688,H1688))),ROUNDUP(AJ1688,0)))</f>
        <v>3</v>
      </c>
      <c r="AG1688" s="50" t="n">
        <f aca="false">IF(BZ1688=1,0,ROUNDUP(AF1688/BY1688,0))</f>
        <v>1</v>
      </c>
      <c r="AH1688" s="52" t="n">
        <f aca="false">IF(CQ1688&gt;0,CQ1688*MAX(1,AF1688/X1688),IF(BZ1688=1,IF(AF1688&lt;=0,0,CD1688*MAX(1,IF(H1688&gt;0,AF1688/H1688,1))),IF(R1688&gt;0,AG1688/R1688,0))/MAX(0.1,N(Parameter!$M$21)))</f>
        <v>0.0833333333333333</v>
      </c>
      <c r="AI1688" s="50" t="n">
        <f aca="false">AH1688*CB1688</f>
        <v>12.0833333333333</v>
      </c>
      <c r="AJ1688" s="51" t="n">
        <f aca="false">IF(LEFT(Cockpit!$C$5,1)="A",H1688,IF(CH1688=1,(CK1688+CI1688)/2,IF(LEFT(Cockpit!$C$5,1)="B",(CK1688+AL1688)/2,MAX((CK1688+AL1688)/2,H1688))))</f>
        <v>3</v>
      </c>
      <c r="AK1688" s="50" t="n">
        <f aca="false">AJ1688*G1688</f>
        <v>750</v>
      </c>
      <c r="AL1688" s="50" t="n">
        <f aca="false">ROUNDUP(CK1688+MAX(CL1688,2*(J1688/IF(CG1688&gt;0,CG1688,MAX(0.1,N(Cockpit!$C$6)))-CK1688)),0)</f>
        <v>3</v>
      </c>
      <c r="AM1688" s="51" t="n">
        <f aca="false">IF(AI1688&gt;0,J1688/AI1688,-1)</f>
        <v>0</v>
      </c>
      <c r="AN1688" s="51" t="n">
        <f aca="false">IF(AND(OR(CF1688="L1",CF1688="L23",CF1688="LIFT"),AI1688&gt;0),SUMIFS($AI$7:$AI$1843,$CF$7:$CF$1843,CF1688,$AM$7:$AM$1843,"&gt;"&amp;AM1688)+SUMIFS($AI$7:$AI$1843,$CF$7:$CF$1843,CF1688,$AM$7:$AM$1843,AM1688,$BW$7:$BW$1843,"&lt;="&amp;BW1688),"")</f>
        <v>32713.2550935411</v>
      </c>
      <c r="AO1688" s="58" t="n">
        <f aca="false">IF(AN1688="",0,MAX(0,MIN(1,(IF(CF1688="L1",Parameter!$H$5,IF(CF1688="L23",Parameter!$H$6+Parameter!$H$7,Parameter!$H$5+Parameter!$H$6+Parameter!$H$7))-(AN1688-AI1688))/AI1688)))</f>
        <v>1</v>
      </c>
      <c r="AP1688" s="50" t="n">
        <f aca="false">IF(LEFT(Cockpit!$I$5,1)="A",H1688,IF(Parameter!$E$30="MAX-Bestand",IF(CH1688=1,CI1688,IF(LEFT(Cockpit!$I$5,1)="B",AV1688,MAX(AV1688,H1688))),ROUNDUP(AT1688,0)))</f>
        <v>3</v>
      </c>
      <c r="AQ1688" s="50" t="n">
        <f aca="false">IF(BZ1688=1,0,ROUNDUP(AP1688/BY1688,0))</f>
        <v>1</v>
      </c>
      <c r="AR1688" s="52" t="n">
        <f aca="false">IF(CQ1688&gt;0,CQ1688*MAX(1,AP1688/X1688),IF(BZ1688=1,IF(AP1688&lt;=0,0,CD1688*MAX(1,IF(H1688&gt;0,AP1688/H1688,1))),IF(R1688&gt;0,AQ1688/R1688,0))/MAX(0.1,N(Parameter!$M$21)))</f>
        <v>0.0833333333333333</v>
      </c>
      <c r="AS1688" s="50" t="n">
        <f aca="false">AR1688*CB1688</f>
        <v>12.0833333333333</v>
      </c>
      <c r="AT1688" s="51" t="n">
        <f aca="false">IF(LEFT(Cockpit!$I$5,1)="A",H1688,IF(CH1688=1,(CK1688+CI1688)/2,IF(LEFT(Cockpit!$I$5,1)="B",(CK1688+AV1688)/2,MAX((CK1688+AV1688)/2,H1688))))</f>
        <v>3</v>
      </c>
      <c r="AU1688" s="50" t="n">
        <f aca="false">AT1688*G1688</f>
        <v>750</v>
      </c>
      <c r="AV1688" s="50" t="n">
        <f aca="false">ROUNDUP(CK1688+MAX(CL1688,2*(J1688/IF(CG1688&gt;0,CG1688,MAX(0.1,N(Cockpit!$I$6)))-CK1688)),0)</f>
        <v>3</v>
      </c>
      <c r="AW1688" s="51" t="n">
        <f aca="false">IF(AS1688&gt;0,J1688/AS1688,-1)</f>
        <v>0</v>
      </c>
      <c r="AX1688" s="51" t="n">
        <f aca="false">IF(AND(OR(CF1688="L1",CF1688="L23",CF1688="LIFT"),AS1688&gt;0),SUMIFS($AS$7:$AS$1843,$CF$7:$CF$1843,CF1688,$AW$7:$AW$1843,"&gt;"&amp;AW1688)+SUMIFS($AS$7:$AS$1843,$CF$7:$CF$1843,CF1688,$AW$7:$AW$1843,AW1688,$BW$7:$BW$1843,"&lt;="&amp;BW1688),"")</f>
        <v>39185.5033241241</v>
      </c>
      <c r="AY1688" s="58" t="n">
        <f aca="false">IF(AX1688="",0,MAX(0,MIN(1,(IF(CF1688="L1",Parameter!$H$5,IF(CF1688="L23",Parameter!$H$6+Parameter!$H$7,Parameter!$H$5+Parameter!$H$6+Parameter!$H$7))-(AX1688-AS1688))/AS1688)))</f>
        <v>0</v>
      </c>
      <c r="AZ1688" s="50" t="n">
        <f aca="false">IF(LEFT(Cockpit!$O$5,1)="A",H1688,IF(Parameter!$E$30="MAX-Bestand",IF(CH1688=1,CI1688,IF(LEFT(Cockpit!$O$5,1)="B",BF1688,MAX(BF1688,H1688))),ROUNDUP(BD1688,0)))</f>
        <v>2</v>
      </c>
      <c r="BA1688" s="50" t="n">
        <f aca="false">IF(BZ1688=1,0,ROUNDUP(AZ1688/BY1688,0))</f>
        <v>1</v>
      </c>
      <c r="BB1688" s="52" t="n">
        <f aca="false">IF(CQ1688&gt;0,CQ1688*MAX(1,AZ1688/X1688),IF(BZ1688=1,IF(AZ1688&lt;=0,0,CD1688*MAX(1,IF(H1688&gt;0,AZ1688/H1688,1))),IF(R1688&gt;0,BA1688/R1688,0))/MAX(0.1,N(Parameter!$M$21)))</f>
        <v>0.0833333333333333</v>
      </c>
      <c r="BC1688" s="50" t="n">
        <f aca="false">BB1688*CB1688</f>
        <v>12.0833333333333</v>
      </c>
      <c r="BD1688" s="51" t="n">
        <f aca="false">IF(LEFT(Cockpit!$O$5,1)="A",H1688,IF(CH1688=1,(CK1688+CI1688)/2,IF(LEFT(Cockpit!$O$5,1)="B",(CK1688+BF1688)/2,MAX((CK1688+BF1688)/2,H1688))))</f>
        <v>1.5</v>
      </c>
      <c r="BE1688" s="50" t="n">
        <f aca="false">BD1688*G1688</f>
        <v>375</v>
      </c>
      <c r="BF1688" s="50" t="n">
        <f aca="false">ROUNDUP(CK1688+MAX(CL1688,2*(J1688/IF(CG1688&gt;0,CG1688,MAX(0.1,N(Cockpit!$O$6)))-CK1688)),0)</f>
        <v>3</v>
      </c>
      <c r="BG1688" s="51" t="n">
        <f aca="false">IF(BC1688&gt;0,J1688/BC1688,-1)</f>
        <v>0</v>
      </c>
      <c r="BH1688" s="51" t="n">
        <f aca="false">IF(AND(OR(CF1688="L1",CF1688="L23",CF1688="LIFT"),BC1688&gt;0),SUMIFS($BC$7:$BC$1843,$CF$7:$CF$1843,CF1688,$BG$7:$BG$1843,"&gt;"&amp;BG1688)+SUMIFS($BC$7:$BC$1843,$CF$7:$CF$1843,CF1688,$BG$7:$BG$1843,BG1688,$BW$7:$BW$1843,"&lt;="&amp;BW1688),"")</f>
        <v>32435.7779329898</v>
      </c>
      <c r="BI1688" s="58" t="n">
        <f aca="false">IF(BH1688="",0,MAX(0,MIN(1,(IF(CF1688="L1",Parameter!$H$5,IF(CF1688="L23",Parameter!$H$6+Parameter!$H$7,Parameter!$H$5+Parameter!$H$6+Parameter!$H$7))-(BH1688-BC1688))/BC1688)))</f>
        <v>1</v>
      </c>
      <c r="BJ1688" s="48" t="str">
        <f aca="false">IF(AI1688&lt;=0,"",IF(CF1688="Aussen","Aussenlager",IF(CF1688="-","Nicht im Lift",IF(AO1688&gt;=1,"Lift",IF(AO1688&lt;=0,"Aussenlager","teilweise")))))</f>
        <v>Lift</v>
      </c>
      <c r="BK1688" s="48" t="str">
        <f aca="false">IF(AS1688&lt;=0,"",IF(CF1688="Aussen","Aussenlager",IF(CF1688="-","Nicht im Lift",IF(AY1688&gt;=1,"Lift",IF(AY1688&lt;=0,"Aussenlager","teilweise")))))</f>
        <v>Aussenlager</v>
      </c>
      <c r="BL1688" s="48" t="str">
        <f aca="false">IF(BC1688&lt;=0,"",IF(CF1688="Aussen","Aussenlager",IF(CF1688="-","Nicht im Lift",IF(BI1688&gt;=1,"Lift",IF(BI1688&lt;=0,"Aussenlager","teilweise")))))</f>
        <v>Lift</v>
      </c>
      <c r="BM1688" s="48" t="str">
        <f aca="false">IF(A1688="","",IF(BV1688=1,"Neu; ","")&amp;IF(AND(BV1688=0,BQ1688&lt;0),"negativer Bestand (Export "&amp;BQ1688&amp;"); ","")&amp;IF(J1688&lt;=0,"Kein Verbrauch; ","")&amp;IF(CQ1688&gt;0,"Lift "&amp;W1688&amp;" lt. Liftbericht (Fach "&amp;X1688&amp;" Stk); ",IF(CA1688=1,"Gebinde geschätzt ("&amp;T1688&amp;"); ",IF(BZ1688=1,"Lose – Tablare geschätzt; ","")))&amp;IF(H1688&gt;AV1688,"Überbestand "&amp;ROUND(H1688-AV1688,0)&amp;" Stk / CHF "&amp;ROUND((H1688-AV1688)*G1688,0)&amp;"; ","")&amp;IF(AND(CH1688=1,CI1688&lt;CJ1688),"MAX &lt; MB+LG; ","")&amp;IF(AND(CP1688&gt;0,CO1688*10&gt;CP1688),"zu hoch für Tablar; ","")&amp;IF(AND(BV1688=0,OR(CH1688=1,AA1688&lt;&gt;"",U1688&lt;&gt;"",V1688&lt;&gt;"",AB1688&lt;&gt;"")),"manuell übersteuert; ","")&amp;IF(AND(BZ1688=0,R1688=0),"Gebinde unbekannt / Stellmass fehlt; ","")&amp;IF(AND(BZ1688=0,N(V1688)&lt;=0,N(Q1688)&lt;=0),"Menge pro Gebinde fehlt (Ist = 1 Gebinde); ","")&amp;BU1688)</f>
        <v>Kein Verbrauch; nur im Artikelstamm (Bestand 23.06.2026)</v>
      </c>
      <c r="BN1688" s="48"/>
      <c r="BO1688" s="48"/>
      <c r="BP1688" s="55"/>
      <c r="BQ1688" s="50" t="n">
        <v>3</v>
      </c>
      <c r="BR1688" s="50" t="n">
        <v>0</v>
      </c>
      <c r="BS1688" s="49" t="n">
        <v>0</v>
      </c>
      <c r="BT1688" s="50" t="n">
        <v>0</v>
      </c>
      <c r="BU1688" s="48" t="s">
        <v>2584</v>
      </c>
      <c r="BV1688" s="53" t="n">
        <v>0</v>
      </c>
      <c r="BW1688" s="53" t="n">
        <v>1688</v>
      </c>
      <c r="BX1688" s="48" t="str">
        <f aca="false">IF(U1688&lt;&gt;"",UPPER(TRIM(U1688)),IF(CA1688=1,UPPER(VLOOKUP(T1688,Parameter!$I$27:$K$29,2,0)),IF(P1688="","LOSE",P1688)))</f>
        <v>S61</v>
      </c>
      <c r="BY1688" s="50" t="n">
        <f aca="false">IF(BX1688="LOSE",1,IF(N(V1688)&gt;0,V1688,IF(CA1688=1,MAX(1,N(VLOOKUP(T1688,Parameter!$I$27:$K$29,3,0)),H1688,N(N1688)),IF(N(Q1688)&gt;0,Q1688,MAX(1,H1688)))))</f>
        <v>5</v>
      </c>
      <c r="BZ1688" s="53" t="n">
        <f aca="false">IF(BX1688="LOSE",1,0)</f>
        <v>0</v>
      </c>
      <c r="CA1688" s="53" t="n">
        <f aca="false">IF(AND(U1688="",OR(P1688="",P1688="LOSE"),T1688&lt;&gt;"",N(S1688)&lt;=0,ISNUMBER(MATCH(T1688,Parameter!$I$27:$I$29,0))),1,0)</f>
        <v>0</v>
      </c>
      <c r="CB1688" s="53" t="n">
        <f aca="false">IF(CQ1688&gt;0,INDEX(Parameter!$H$5:$H$7,W1688)/INDEX(Parameter!$E$5:$E$7,W1688),IF(AND(BZ1688=0,N(IFERROR(VLOOKUP(BX1688,'Gebinde-Kategorie'!$A$5:$N$45,14,0),0))&gt;0),VLOOKUP(BX1688,'Gebinde-Kategorie'!$A$5:$N$45,14,0)*10+Parameter!$M$23,Parameter!$M$24))</f>
        <v>145</v>
      </c>
      <c r="CC1688" s="48" t="str">
        <f aca="false">IF(AND(Parameter!$B$19="Ja",E1688&lt;&gt;"",ISNUMBER(MATCH(E1688,Parameter!$I$35:$I$52,0))),VLOOKUP(E1688,Parameter!$I$35:$J$52,2,0),IFERROR(VLOOKUP(D1688,Parameter!$A$35:$C$64,2,0),"Nein"))</f>
        <v>2+3</v>
      </c>
      <c r="CD1688" s="52" t="n">
        <f aca="false">IF(BZ1688=0,0,IF(N(S1688)&gt;0,S1688,IFERROR(VLOOKUP(D1688,Parameter!$A$35:$C$64,3,0)+0,0)))</f>
        <v>0</v>
      </c>
      <c r="CE1688" s="48" t="n">
        <f aca="false">IF(AA1688&lt;&gt;"",AA1688,Z1688)</f>
        <v>2</v>
      </c>
      <c r="CF1688" s="48" t="str">
        <f aca="false">IF(OR(CE1688=1,CE1688=2,CE1688=3),IF(Parameter!$E$27="Ja","LIFT",IF(CE1688=1,"L1","L23")),IF(CE1688="Aussen","Aussen","-"))</f>
        <v>LIFT</v>
      </c>
      <c r="CG1688" s="59" t="n">
        <f aca="false">IF(N(AB1688)&gt;0,AB1688,0)</f>
        <v>0</v>
      </c>
      <c r="CH1688" s="53" t="n">
        <f aca="false">IF(ISNUMBER(AE1688),1,0)</f>
        <v>0</v>
      </c>
      <c r="CI1688" s="50" t="n">
        <f aca="false">N(AE1688)</f>
        <v>0</v>
      </c>
      <c r="CJ1688" s="50" t="n">
        <f aca="false">N(M1688)+N(N1688)</f>
        <v>3</v>
      </c>
      <c r="CK1688" s="50" t="n">
        <f aca="false">N(M1688)</f>
        <v>0</v>
      </c>
      <c r="CL1688" s="50" t="n">
        <f aca="false">N(N1688)</f>
        <v>3</v>
      </c>
      <c r="CM1688" s="50" t="n">
        <f aca="false">ROUNDUP(H1688/BY1688,0)</f>
        <v>1</v>
      </c>
      <c r="CN1688" s="50" t="n">
        <f aca="false">ROUNDUP(CI1688/BY1688,0)</f>
        <v>0</v>
      </c>
      <c r="CO1688" s="53" t="n">
        <f aca="false">IF(BZ1688=1,0,IFERROR(VLOOKUP(BX1688,'Gebinde-Kategorie'!$A$5:$N$45,5,0)+0,0))</f>
        <v>11</v>
      </c>
      <c r="CP1688" s="53" t="n">
        <f aca="false">IFERROR(IF(OR(CE1688=1,CE1688=2,CE1688=3),N(INDEX(Parameter!$I$5:$I$7,CE1688)),0),0)</f>
        <v>0</v>
      </c>
      <c r="CQ1688" s="52" t="n">
        <f aca="false">IF(AND(Parameter!$B$21="Ja",ISNUMBER(W1688),N(X1688)&gt;0),IFERROR(N(INDEX(Parameter!$L$5:$L$7,W1688))*INDEX(Parameter!$E$5:$E$7,W1688)*X1688/SUMIFS($X$7:$X$1843,$W$7:$W$1843,W1688),0),0)</f>
        <v>0</v>
      </c>
    </row>
    <row r="1689" customFormat="false" ht="15" hidden="false" customHeight="false" outlineLevel="0" collapsed="false">
      <c r="A1689" s="48" t="s">
        <v>2935</v>
      </c>
      <c r="B1689" s="48" t="s">
        <v>2936</v>
      </c>
      <c r="C1689" s="48" t="s">
        <v>173</v>
      </c>
      <c r="D1689" s="48" t="s">
        <v>182</v>
      </c>
      <c r="E1689" s="48"/>
      <c r="F1689" s="48"/>
      <c r="G1689" s="49" t="n">
        <v>170.2</v>
      </c>
      <c r="H1689" s="50" t="n">
        <f aca="false">MAX(0,IF(AND(Parameter!$B$21="Ja",ISNUMBER(Y1689)),Y1689,IF(Parameter!$B$20="Jahresanfang 2025 + Export",BR1689+BQ1689,BQ1689)))</f>
        <v>4</v>
      </c>
      <c r="I1689" s="50" t="n">
        <f aca="false">H1689*G1689</f>
        <v>680.8</v>
      </c>
      <c r="J1689" s="50" t="n">
        <f aca="false">BT1689*Parameter!$B$18</f>
        <v>0</v>
      </c>
      <c r="K1689" s="51"/>
      <c r="L1689" s="52"/>
      <c r="M1689" s="50" t="n">
        <v>0</v>
      </c>
      <c r="N1689" s="50" t="n">
        <v>5</v>
      </c>
      <c r="O1689" s="53" t="n">
        <v>21</v>
      </c>
      <c r="P1689" s="48" t="s">
        <v>195</v>
      </c>
      <c r="Q1689" s="50" t="n">
        <v>4</v>
      </c>
      <c r="R1689" s="53" t="n">
        <f aca="false">IF(BZ1689=1,0,IFERROR(VLOOKUP(BX1689,'Gebinde-Kategorie'!$A$5:$N$45,13,0)+0,0))</f>
        <v>12</v>
      </c>
      <c r="S1689" s="54"/>
      <c r="T1689" s="55"/>
      <c r="U1689" s="55"/>
      <c r="V1689" s="55"/>
      <c r="W1689" s="48"/>
      <c r="X1689" s="50"/>
      <c r="Y1689" s="50"/>
      <c r="Z1689" s="48" t="n">
        <f aca="false">IF(A1689="","",IF(AND(Parameter!$B$21="Ja",ISNUMBER(W1689)),W1689,IF(CC1689="2+3",IF(ISNUMBER(SEARCH("grosser Artikel",BU1689)),2,IFERROR(VLOOKUP(BX1689,Parameter!$F$35:$G$64,2,0),2)),IF(OR(CC1689="Nein",CC1689=""),"-",CC1689))))</f>
        <v>2</v>
      </c>
      <c r="AA1689" s="55"/>
      <c r="AB1689" s="56"/>
      <c r="AC1689" s="50" t="n">
        <f aca="false">AV1689</f>
        <v>5</v>
      </c>
      <c r="AD1689" s="50" t="n">
        <f aca="false">MAX(AV1689,H1689)</f>
        <v>5</v>
      </c>
      <c r="AE1689" s="57"/>
      <c r="AF1689" s="50" t="n">
        <f aca="false">IF(LEFT(Cockpit!$C$5,1)="A",H1689,IF(Parameter!$E$30="MAX-Bestand",IF(CH1689=1,CI1689,IF(LEFT(Cockpit!$C$5,1)="B",AL1689,MAX(AL1689,H1689))),ROUNDUP(AJ1689,0)))</f>
        <v>4</v>
      </c>
      <c r="AG1689" s="50" t="n">
        <f aca="false">IF(BZ1689=1,0,ROUNDUP(AF1689/BY1689,0))</f>
        <v>1</v>
      </c>
      <c r="AH1689" s="52" t="n">
        <f aca="false">IF(CQ1689&gt;0,CQ1689*MAX(1,AF1689/X1689),IF(BZ1689=1,IF(AF1689&lt;=0,0,CD1689*MAX(1,IF(H1689&gt;0,AF1689/H1689,1))),IF(R1689&gt;0,AG1689/R1689,0))/MAX(0.1,N(Parameter!$M$21)))</f>
        <v>0.0833333333333333</v>
      </c>
      <c r="AI1689" s="50" t="n">
        <f aca="false">AH1689*CB1689</f>
        <v>12.0833333333333</v>
      </c>
      <c r="AJ1689" s="51" t="n">
        <f aca="false">IF(LEFT(Cockpit!$C$5,1)="A",H1689,IF(CH1689=1,(CK1689+CI1689)/2,IF(LEFT(Cockpit!$C$5,1)="B",(CK1689+AL1689)/2,MAX((CK1689+AL1689)/2,H1689))))</f>
        <v>4</v>
      </c>
      <c r="AK1689" s="50" t="n">
        <f aca="false">AJ1689*G1689</f>
        <v>680.8</v>
      </c>
      <c r="AL1689" s="50" t="n">
        <f aca="false">ROUNDUP(CK1689+MAX(CL1689,2*(J1689/IF(CG1689&gt;0,CG1689,MAX(0.1,N(Cockpit!$C$6)))-CK1689)),0)</f>
        <v>5</v>
      </c>
      <c r="AM1689" s="51" t="n">
        <f aca="false">IF(AI1689&gt;0,J1689/AI1689,-1)</f>
        <v>0</v>
      </c>
      <c r="AN1689" s="51" t="n">
        <f aca="false">IF(AND(OR(CF1689="L1",CF1689="L23",CF1689="LIFT"),AI1689&gt;0),SUMIFS($AI$7:$AI$1843,$CF$7:$CF$1843,CF1689,$AM$7:$AM$1843,"&gt;"&amp;AM1689)+SUMIFS($AI$7:$AI$1843,$CF$7:$CF$1843,CF1689,$AM$7:$AM$1843,AM1689,$BW$7:$BW$1843,"&lt;="&amp;BW1689),"")</f>
        <v>32725.3384268744</v>
      </c>
      <c r="AO1689" s="58" t="n">
        <f aca="false">IF(AN1689="",0,MAX(0,MIN(1,(IF(CF1689="L1",Parameter!$H$5,IF(CF1689="L23",Parameter!$H$6+Parameter!$H$7,Parameter!$H$5+Parameter!$H$6+Parameter!$H$7))-(AN1689-AI1689))/AI1689)))</f>
        <v>1</v>
      </c>
      <c r="AP1689" s="50" t="n">
        <f aca="false">IF(LEFT(Cockpit!$I$5,1)="A",H1689,IF(Parameter!$E$30="MAX-Bestand",IF(CH1689=1,CI1689,IF(LEFT(Cockpit!$I$5,1)="B",AV1689,MAX(AV1689,H1689))),ROUNDUP(AT1689,0)))</f>
        <v>4</v>
      </c>
      <c r="AQ1689" s="50" t="n">
        <f aca="false">IF(BZ1689=1,0,ROUNDUP(AP1689/BY1689,0))</f>
        <v>1</v>
      </c>
      <c r="AR1689" s="52" t="n">
        <f aca="false">IF(CQ1689&gt;0,CQ1689*MAX(1,AP1689/X1689),IF(BZ1689=1,IF(AP1689&lt;=0,0,CD1689*MAX(1,IF(H1689&gt;0,AP1689/H1689,1))),IF(R1689&gt;0,AQ1689/R1689,0))/MAX(0.1,N(Parameter!$M$21)))</f>
        <v>0.0833333333333333</v>
      </c>
      <c r="AS1689" s="50" t="n">
        <f aca="false">AR1689*CB1689</f>
        <v>12.0833333333333</v>
      </c>
      <c r="AT1689" s="51" t="n">
        <f aca="false">IF(LEFT(Cockpit!$I$5,1)="A",H1689,IF(CH1689=1,(CK1689+CI1689)/2,IF(LEFT(Cockpit!$I$5,1)="B",(CK1689+AV1689)/2,MAX((CK1689+AV1689)/2,H1689))))</f>
        <v>4</v>
      </c>
      <c r="AU1689" s="50" t="n">
        <f aca="false">AT1689*G1689</f>
        <v>680.8</v>
      </c>
      <c r="AV1689" s="50" t="n">
        <f aca="false">ROUNDUP(CK1689+MAX(CL1689,2*(J1689/IF(CG1689&gt;0,CG1689,MAX(0.1,N(Cockpit!$I$6)))-CK1689)),0)</f>
        <v>5</v>
      </c>
      <c r="AW1689" s="51" t="n">
        <f aca="false">IF(AS1689&gt;0,J1689/AS1689,-1)</f>
        <v>0</v>
      </c>
      <c r="AX1689" s="51" t="n">
        <f aca="false">IF(AND(OR(CF1689="L1",CF1689="L23",CF1689="LIFT"),AS1689&gt;0),SUMIFS($AS$7:$AS$1843,$CF$7:$CF$1843,CF1689,$AW$7:$AW$1843,"&gt;"&amp;AW1689)+SUMIFS($AS$7:$AS$1843,$CF$7:$CF$1843,CF1689,$AW$7:$AW$1843,AW1689,$BW$7:$BW$1843,"&lt;="&amp;BW1689),"")</f>
        <v>39197.5866574574</v>
      </c>
      <c r="AY1689" s="58" t="n">
        <f aca="false">IF(AX1689="",0,MAX(0,MIN(1,(IF(CF1689="L1",Parameter!$H$5,IF(CF1689="L23",Parameter!$H$6+Parameter!$H$7,Parameter!$H$5+Parameter!$H$6+Parameter!$H$7))-(AX1689-AS1689))/AS1689)))</f>
        <v>0</v>
      </c>
      <c r="AZ1689" s="50" t="n">
        <f aca="false">IF(LEFT(Cockpit!$O$5,1)="A",H1689,IF(Parameter!$E$30="MAX-Bestand",IF(CH1689=1,CI1689,IF(LEFT(Cockpit!$O$5,1)="B",BF1689,MAX(BF1689,H1689))),ROUNDUP(BD1689,0)))</f>
        <v>3</v>
      </c>
      <c r="BA1689" s="50" t="n">
        <f aca="false">IF(BZ1689=1,0,ROUNDUP(AZ1689/BY1689,0))</f>
        <v>1</v>
      </c>
      <c r="BB1689" s="52" t="n">
        <f aca="false">IF(CQ1689&gt;0,CQ1689*MAX(1,AZ1689/X1689),IF(BZ1689=1,IF(AZ1689&lt;=0,0,CD1689*MAX(1,IF(H1689&gt;0,AZ1689/H1689,1))),IF(R1689&gt;0,BA1689/R1689,0))/MAX(0.1,N(Parameter!$M$21)))</f>
        <v>0.0833333333333333</v>
      </c>
      <c r="BC1689" s="50" t="n">
        <f aca="false">BB1689*CB1689</f>
        <v>12.0833333333333</v>
      </c>
      <c r="BD1689" s="51" t="n">
        <f aca="false">IF(LEFT(Cockpit!$O$5,1)="A",H1689,IF(CH1689=1,(CK1689+CI1689)/2,IF(LEFT(Cockpit!$O$5,1)="B",(CK1689+BF1689)/2,MAX((CK1689+BF1689)/2,H1689))))</f>
        <v>2.5</v>
      </c>
      <c r="BE1689" s="50" t="n">
        <f aca="false">BD1689*G1689</f>
        <v>425.5</v>
      </c>
      <c r="BF1689" s="50" t="n">
        <f aca="false">ROUNDUP(CK1689+MAX(CL1689,2*(J1689/IF(CG1689&gt;0,CG1689,MAX(0.1,N(Cockpit!$O$6)))-CK1689)),0)</f>
        <v>5</v>
      </c>
      <c r="BG1689" s="51" t="n">
        <f aca="false">IF(BC1689&gt;0,J1689/BC1689,-1)</f>
        <v>0</v>
      </c>
      <c r="BH1689" s="51" t="n">
        <f aca="false">IF(AND(OR(CF1689="L1",CF1689="L23",CF1689="LIFT"),BC1689&gt;0),SUMIFS($BC$7:$BC$1843,$CF$7:$CF$1843,CF1689,$BG$7:$BG$1843,"&gt;"&amp;BG1689)+SUMIFS($BC$7:$BC$1843,$CF$7:$CF$1843,CF1689,$BG$7:$BG$1843,BG1689,$BW$7:$BW$1843,"&lt;="&amp;BW1689),"")</f>
        <v>32447.8612663231</v>
      </c>
      <c r="BI1689" s="58" t="n">
        <f aca="false">IF(BH1689="",0,MAX(0,MIN(1,(IF(CF1689="L1",Parameter!$H$5,IF(CF1689="L23",Parameter!$H$6+Parameter!$H$7,Parameter!$H$5+Parameter!$H$6+Parameter!$H$7))-(BH1689-BC1689))/BC1689)))</f>
        <v>1</v>
      </c>
      <c r="BJ1689" s="48" t="str">
        <f aca="false">IF(AI1689&lt;=0,"",IF(CF1689="Aussen","Aussenlager",IF(CF1689="-","Nicht im Lift",IF(AO1689&gt;=1,"Lift",IF(AO1689&lt;=0,"Aussenlager","teilweise")))))</f>
        <v>Lift</v>
      </c>
      <c r="BK1689" s="48" t="str">
        <f aca="false">IF(AS1689&lt;=0,"",IF(CF1689="Aussen","Aussenlager",IF(CF1689="-","Nicht im Lift",IF(AY1689&gt;=1,"Lift",IF(AY1689&lt;=0,"Aussenlager","teilweise")))))</f>
        <v>Aussenlager</v>
      </c>
      <c r="BL1689" s="48" t="str">
        <f aca="false">IF(BC1689&lt;=0,"",IF(CF1689="Aussen","Aussenlager",IF(CF1689="-","Nicht im Lift",IF(BI1689&gt;=1,"Lift",IF(BI1689&lt;=0,"Aussenlager","teilweise")))))</f>
        <v>Lift</v>
      </c>
      <c r="BM1689" s="48" t="str">
        <f aca="false">IF(A1689="","",IF(BV1689=1,"Neu; ","")&amp;IF(AND(BV1689=0,BQ1689&lt;0),"negativer Bestand (Export "&amp;BQ1689&amp;"); ","")&amp;IF(J1689&lt;=0,"Kein Verbrauch; ","")&amp;IF(CQ1689&gt;0,"Lift "&amp;W1689&amp;" lt. Liftbericht (Fach "&amp;X1689&amp;" Stk); ",IF(CA1689=1,"Gebinde geschätzt ("&amp;T1689&amp;"); ",IF(BZ1689=1,"Lose – Tablare geschätzt; ","")))&amp;IF(H1689&gt;AV1689,"Überbestand "&amp;ROUND(H1689-AV1689,0)&amp;" Stk / CHF "&amp;ROUND((H1689-AV1689)*G1689,0)&amp;"; ","")&amp;IF(AND(CH1689=1,CI1689&lt;CJ1689),"MAX &lt; MB+LG; ","")&amp;IF(AND(CP1689&gt;0,CO1689*10&gt;CP1689),"zu hoch für Tablar; ","")&amp;IF(AND(BV1689=0,OR(CH1689=1,AA1689&lt;&gt;"",U1689&lt;&gt;"",V1689&lt;&gt;"",AB1689&lt;&gt;"")),"manuell übersteuert; ","")&amp;IF(AND(BZ1689=0,R1689=0),"Gebinde unbekannt / Stellmass fehlt; ","")&amp;IF(AND(BZ1689=0,N(V1689)&lt;=0,N(Q1689)&lt;=0),"Menge pro Gebinde fehlt (Ist = 1 Gebinde); ","")&amp;BU1689)</f>
        <v>Kein Verbrauch; nur im Artikelstamm (Bestand 23.06.2026)</v>
      </c>
      <c r="BN1689" s="48"/>
      <c r="BO1689" s="48"/>
      <c r="BP1689" s="55"/>
      <c r="BQ1689" s="50" t="n">
        <v>4</v>
      </c>
      <c r="BR1689" s="50" t="n">
        <v>0</v>
      </c>
      <c r="BS1689" s="49" t="n">
        <v>0</v>
      </c>
      <c r="BT1689" s="50" t="n">
        <v>0</v>
      </c>
      <c r="BU1689" s="48" t="s">
        <v>2584</v>
      </c>
      <c r="BV1689" s="53" t="n">
        <v>0</v>
      </c>
      <c r="BW1689" s="53" t="n">
        <v>1689</v>
      </c>
      <c r="BX1689" s="48" t="str">
        <f aca="false">IF(U1689&lt;&gt;"",UPPER(TRIM(U1689)),IF(CA1689=1,UPPER(VLOOKUP(T1689,Parameter!$I$27:$K$29,2,0)),IF(P1689="","LOSE",P1689)))</f>
        <v>S61</v>
      </c>
      <c r="BY1689" s="50" t="n">
        <f aca="false">IF(BX1689="LOSE",1,IF(N(V1689)&gt;0,V1689,IF(CA1689=1,MAX(1,N(VLOOKUP(T1689,Parameter!$I$27:$K$29,3,0)),H1689,N(N1689)),IF(N(Q1689)&gt;0,Q1689,MAX(1,H1689)))))</f>
        <v>4</v>
      </c>
      <c r="BZ1689" s="53" t="n">
        <f aca="false">IF(BX1689="LOSE",1,0)</f>
        <v>0</v>
      </c>
      <c r="CA1689" s="53" t="n">
        <f aca="false">IF(AND(U1689="",OR(P1689="",P1689="LOSE"),T1689&lt;&gt;"",N(S1689)&lt;=0,ISNUMBER(MATCH(T1689,Parameter!$I$27:$I$29,0))),1,0)</f>
        <v>0</v>
      </c>
      <c r="CB1689" s="53" t="n">
        <f aca="false">IF(CQ1689&gt;0,INDEX(Parameter!$H$5:$H$7,W1689)/INDEX(Parameter!$E$5:$E$7,W1689),IF(AND(BZ1689=0,N(IFERROR(VLOOKUP(BX1689,'Gebinde-Kategorie'!$A$5:$N$45,14,0),0))&gt;0),VLOOKUP(BX1689,'Gebinde-Kategorie'!$A$5:$N$45,14,0)*10+Parameter!$M$23,Parameter!$M$24))</f>
        <v>145</v>
      </c>
      <c r="CC1689" s="48" t="str">
        <f aca="false">IF(AND(Parameter!$B$19="Ja",E1689&lt;&gt;"",ISNUMBER(MATCH(E1689,Parameter!$I$35:$I$52,0))),VLOOKUP(E1689,Parameter!$I$35:$J$52,2,0),IFERROR(VLOOKUP(D1689,Parameter!$A$35:$C$64,2,0),"Nein"))</f>
        <v>2+3</v>
      </c>
      <c r="CD1689" s="52" t="n">
        <f aca="false">IF(BZ1689=0,0,IF(N(S1689)&gt;0,S1689,IFERROR(VLOOKUP(D1689,Parameter!$A$35:$C$64,3,0)+0,0)))</f>
        <v>0</v>
      </c>
      <c r="CE1689" s="48" t="n">
        <f aca="false">IF(AA1689&lt;&gt;"",AA1689,Z1689)</f>
        <v>2</v>
      </c>
      <c r="CF1689" s="48" t="str">
        <f aca="false">IF(OR(CE1689=1,CE1689=2,CE1689=3),IF(Parameter!$E$27="Ja","LIFT",IF(CE1689=1,"L1","L23")),IF(CE1689="Aussen","Aussen","-"))</f>
        <v>LIFT</v>
      </c>
      <c r="CG1689" s="59" t="n">
        <f aca="false">IF(N(AB1689)&gt;0,AB1689,0)</f>
        <v>0</v>
      </c>
      <c r="CH1689" s="53" t="n">
        <f aca="false">IF(ISNUMBER(AE1689),1,0)</f>
        <v>0</v>
      </c>
      <c r="CI1689" s="50" t="n">
        <f aca="false">N(AE1689)</f>
        <v>0</v>
      </c>
      <c r="CJ1689" s="50" t="n">
        <f aca="false">N(M1689)+N(N1689)</f>
        <v>5</v>
      </c>
      <c r="CK1689" s="50" t="n">
        <f aca="false">N(M1689)</f>
        <v>0</v>
      </c>
      <c r="CL1689" s="50" t="n">
        <f aca="false">N(N1689)</f>
        <v>5</v>
      </c>
      <c r="CM1689" s="50" t="n">
        <f aca="false">ROUNDUP(H1689/BY1689,0)</f>
        <v>1</v>
      </c>
      <c r="CN1689" s="50" t="n">
        <f aca="false">ROUNDUP(CI1689/BY1689,0)</f>
        <v>0</v>
      </c>
      <c r="CO1689" s="53" t="n">
        <f aca="false">IF(BZ1689=1,0,IFERROR(VLOOKUP(BX1689,'Gebinde-Kategorie'!$A$5:$N$45,5,0)+0,0))</f>
        <v>11</v>
      </c>
      <c r="CP1689" s="53" t="n">
        <f aca="false">IFERROR(IF(OR(CE1689=1,CE1689=2,CE1689=3),N(INDEX(Parameter!$I$5:$I$7,CE1689)),0),0)</f>
        <v>0</v>
      </c>
      <c r="CQ1689" s="52" t="n">
        <f aca="false">IF(AND(Parameter!$B$21="Ja",ISNUMBER(W1689),N(X1689)&gt;0),IFERROR(N(INDEX(Parameter!$L$5:$L$7,W1689))*INDEX(Parameter!$E$5:$E$7,W1689)*X1689/SUMIFS($X$7:$X$1843,$W$7:$W$1843,W1689),0),0)</f>
        <v>0</v>
      </c>
    </row>
    <row r="1690" customFormat="false" ht="15" hidden="false" customHeight="false" outlineLevel="0" collapsed="false">
      <c r="A1690" s="48" t="s">
        <v>2937</v>
      </c>
      <c r="B1690" s="48" t="s">
        <v>2938</v>
      </c>
      <c r="C1690" s="48" t="s">
        <v>173</v>
      </c>
      <c r="D1690" s="48" t="s">
        <v>182</v>
      </c>
      <c r="E1690" s="48"/>
      <c r="F1690" s="48"/>
      <c r="G1690" s="49" t="n">
        <v>295</v>
      </c>
      <c r="H1690" s="50" t="n">
        <f aca="false">MAX(0,IF(AND(Parameter!$B$21="Ja",ISNUMBER(Y1690)),Y1690,IF(Parameter!$B$20="Jahresanfang 2025 + Export",BR1690+BQ1690,BQ1690)))</f>
        <v>3</v>
      </c>
      <c r="I1690" s="50" t="n">
        <f aca="false">H1690*G1690</f>
        <v>885</v>
      </c>
      <c r="J1690" s="50" t="n">
        <f aca="false">BT1690*Parameter!$B$18</f>
        <v>0</v>
      </c>
      <c r="K1690" s="51"/>
      <c r="L1690" s="52"/>
      <c r="M1690" s="50" t="n">
        <v>0</v>
      </c>
      <c r="N1690" s="50" t="n">
        <v>3</v>
      </c>
      <c r="O1690" s="53" t="n">
        <v>35</v>
      </c>
      <c r="P1690" s="48" t="s">
        <v>195</v>
      </c>
      <c r="Q1690" s="50" t="n">
        <v>3</v>
      </c>
      <c r="R1690" s="53" t="n">
        <f aca="false">IF(BZ1690=1,0,IFERROR(VLOOKUP(BX1690,'Gebinde-Kategorie'!$A$5:$N$45,13,0)+0,0))</f>
        <v>12</v>
      </c>
      <c r="S1690" s="54"/>
      <c r="T1690" s="55"/>
      <c r="U1690" s="55"/>
      <c r="V1690" s="55"/>
      <c r="W1690" s="48"/>
      <c r="X1690" s="50"/>
      <c r="Y1690" s="50"/>
      <c r="Z1690" s="48" t="n">
        <f aca="false">IF(A1690="","",IF(AND(Parameter!$B$21="Ja",ISNUMBER(W1690)),W1690,IF(CC1690="2+3",IF(ISNUMBER(SEARCH("grosser Artikel",BU1690)),2,IFERROR(VLOOKUP(BX1690,Parameter!$F$35:$G$64,2,0),2)),IF(OR(CC1690="Nein",CC1690=""),"-",CC1690))))</f>
        <v>2</v>
      </c>
      <c r="AA1690" s="55"/>
      <c r="AB1690" s="56"/>
      <c r="AC1690" s="50" t="n">
        <f aca="false">AV1690</f>
        <v>3</v>
      </c>
      <c r="AD1690" s="50" t="n">
        <f aca="false">MAX(AV1690,H1690)</f>
        <v>3</v>
      </c>
      <c r="AE1690" s="57"/>
      <c r="AF1690" s="50" t="n">
        <f aca="false">IF(LEFT(Cockpit!$C$5,1)="A",H1690,IF(Parameter!$E$30="MAX-Bestand",IF(CH1690=1,CI1690,IF(LEFT(Cockpit!$C$5,1)="B",AL1690,MAX(AL1690,H1690))),ROUNDUP(AJ1690,0)))</f>
        <v>3</v>
      </c>
      <c r="AG1690" s="50" t="n">
        <f aca="false">IF(BZ1690=1,0,ROUNDUP(AF1690/BY1690,0))</f>
        <v>1</v>
      </c>
      <c r="AH1690" s="52" t="n">
        <f aca="false">IF(CQ1690&gt;0,CQ1690*MAX(1,AF1690/X1690),IF(BZ1690=1,IF(AF1690&lt;=0,0,CD1690*MAX(1,IF(H1690&gt;0,AF1690/H1690,1))),IF(R1690&gt;0,AG1690/R1690,0))/MAX(0.1,N(Parameter!$M$21)))</f>
        <v>0.0833333333333333</v>
      </c>
      <c r="AI1690" s="50" t="n">
        <f aca="false">AH1690*CB1690</f>
        <v>12.0833333333333</v>
      </c>
      <c r="AJ1690" s="51" t="n">
        <f aca="false">IF(LEFT(Cockpit!$C$5,1)="A",H1690,IF(CH1690=1,(CK1690+CI1690)/2,IF(LEFT(Cockpit!$C$5,1)="B",(CK1690+AL1690)/2,MAX((CK1690+AL1690)/2,H1690))))</f>
        <v>3</v>
      </c>
      <c r="AK1690" s="50" t="n">
        <f aca="false">AJ1690*G1690</f>
        <v>885</v>
      </c>
      <c r="AL1690" s="50" t="n">
        <f aca="false">ROUNDUP(CK1690+MAX(CL1690,2*(J1690/IF(CG1690&gt;0,CG1690,MAX(0.1,N(Cockpit!$C$6)))-CK1690)),0)</f>
        <v>3</v>
      </c>
      <c r="AM1690" s="51" t="n">
        <f aca="false">IF(AI1690&gt;0,J1690/AI1690,-1)</f>
        <v>0</v>
      </c>
      <c r="AN1690" s="51" t="n">
        <f aca="false">IF(AND(OR(CF1690="L1",CF1690="L23",CF1690="LIFT"),AI1690&gt;0),SUMIFS($AI$7:$AI$1843,$CF$7:$CF$1843,CF1690,$AM$7:$AM$1843,"&gt;"&amp;AM1690)+SUMIFS($AI$7:$AI$1843,$CF$7:$CF$1843,CF1690,$AM$7:$AM$1843,AM1690,$BW$7:$BW$1843,"&lt;="&amp;BW1690),"")</f>
        <v>32737.4217602078</v>
      </c>
      <c r="AO1690" s="58" t="n">
        <f aca="false">IF(AN1690="",0,MAX(0,MIN(1,(IF(CF1690="L1",Parameter!$H$5,IF(CF1690="L23",Parameter!$H$6+Parameter!$H$7,Parameter!$H$5+Parameter!$H$6+Parameter!$H$7))-(AN1690-AI1690))/AI1690)))</f>
        <v>1</v>
      </c>
      <c r="AP1690" s="50" t="n">
        <f aca="false">IF(LEFT(Cockpit!$I$5,1)="A",H1690,IF(Parameter!$E$30="MAX-Bestand",IF(CH1690=1,CI1690,IF(LEFT(Cockpit!$I$5,1)="B",AV1690,MAX(AV1690,H1690))),ROUNDUP(AT1690,0)))</f>
        <v>3</v>
      </c>
      <c r="AQ1690" s="50" t="n">
        <f aca="false">IF(BZ1690=1,0,ROUNDUP(AP1690/BY1690,0))</f>
        <v>1</v>
      </c>
      <c r="AR1690" s="52" t="n">
        <f aca="false">IF(CQ1690&gt;0,CQ1690*MAX(1,AP1690/X1690),IF(BZ1690=1,IF(AP1690&lt;=0,0,CD1690*MAX(1,IF(H1690&gt;0,AP1690/H1690,1))),IF(R1690&gt;0,AQ1690/R1690,0))/MAX(0.1,N(Parameter!$M$21)))</f>
        <v>0.0833333333333333</v>
      </c>
      <c r="AS1690" s="50" t="n">
        <f aca="false">AR1690*CB1690</f>
        <v>12.0833333333333</v>
      </c>
      <c r="AT1690" s="51" t="n">
        <f aca="false">IF(LEFT(Cockpit!$I$5,1)="A",H1690,IF(CH1690=1,(CK1690+CI1690)/2,IF(LEFT(Cockpit!$I$5,1)="B",(CK1690+AV1690)/2,MAX((CK1690+AV1690)/2,H1690))))</f>
        <v>3</v>
      </c>
      <c r="AU1690" s="50" t="n">
        <f aca="false">AT1690*G1690</f>
        <v>885</v>
      </c>
      <c r="AV1690" s="50" t="n">
        <f aca="false">ROUNDUP(CK1690+MAX(CL1690,2*(J1690/IF(CG1690&gt;0,CG1690,MAX(0.1,N(Cockpit!$I$6)))-CK1690)),0)</f>
        <v>3</v>
      </c>
      <c r="AW1690" s="51" t="n">
        <f aca="false">IF(AS1690&gt;0,J1690/AS1690,-1)</f>
        <v>0</v>
      </c>
      <c r="AX1690" s="51" t="n">
        <f aca="false">IF(AND(OR(CF1690="L1",CF1690="L23",CF1690="LIFT"),AS1690&gt;0),SUMIFS($AS$7:$AS$1843,$CF$7:$CF$1843,CF1690,$AW$7:$AW$1843,"&gt;"&amp;AW1690)+SUMIFS($AS$7:$AS$1843,$CF$7:$CF$1843,CF1690,$AW$7:$AW$1843,AW1690,$BW$7:$BW$1843,"&lt;="&amp;BW1690),"")</f>
        <v>39209.6699907908</v>
      </c>
      <c r="AY1690" s="58" t="n">
        <f aca="false">IF(AX1690="",0,MAX(0,MIN(1,(IF(CF1690="L1",Parameter!$H$5,IF(CF1690="L23",Parameter!$H$6+Parameter!$H$7,Parameter!$H$5+Parameter!$H$6+Parameter!$H$7))-(AX1690-AS1690))/AS1690)))</f>
        <v>0</v>
      </c>
      <c r="AZ1690" s="50" t="n">
        <f aca="false">IF(LEFT(Cockpit!$O$5,1)="A",H1690,IF(Parameter!$E$30="MAX-Bestand",IF(CH1690=1,CI1690,IF(LEFT(Cockpit!$O$5,1)="B",BF1690,MAX(BF1690,H1690))),ROUNDUP(BD1690,0)))</f>
        <v>2</v>
      </c>
      <c r="BA1690" s="50" t="n">
        <f aca="false">IF(BZ1690=1,0,ROUNDUP(AZ1690/BY1690,0))</f>
        <v>1</v>
      </c>
      <c r="BB1690" s="52" t="n">
        <f aca="false">IF(CQ1690&gt;0,CQ1690*MAX(1,AZ1690/X1690),IF(BZ1690=1,IF(AZ1690&lt;=0,0,CD1690*MAX(1,IF(H1690&gt;0,AZ1690/H1690,1))),IF(R1690&gt;0,BA1690/R1690,0))/MAX(0.1,N(Parameter!$M$21)))</f>
        <v>0.0833333333333333</v>
      </c>
      <c r="BC1690" s="50" t="n">
        <f aca="false">BB1690*CB1690</f>
        <v>12.0833333333333</v>
      </c>
      <c r="BD1690" s="51" t="n">
        <f aca="false">IF(LEFT(Cockpit!$O$5,1)="A",H1690,IF(CH1690=1,(CK1690+CI1690)/2,IF(LEFT(Cockpit!$O$5,1)="B",(CK1690+BF1690)/2,MAX((CK1690+BF1690)/2,H1690))))</f>
        <v>1.5</v>
      </c>
      <c r="BE1690" s="50" t="n">
        <f aca="false">BD1690*G1690</f>
        <v>442.5</v>
      </c>
      <c r="BF1690" s="50" t="n">
        <f aca="false">ROUNDUP(CK1690+MAX(CL1690,2*(J1690/IF(CG1690&gt;0,CG1690,MAX(0.1,N(Cockpit!$O$6)))-CK1690)),0)</f>
        <v>3</v>
      </c>
      <c r="BG1690" s="51" t="n">
        <f aca="false">IF(BC1690&gt;0,J1690/BC1690,-1)</f>
        <v>0</v>
      </c>
      <c r="BH1690" s="51" t="n">
        <f aca="false">IF(AND(OR(CF1690="L1",CF1690="L23",CF1690="LIFT"),BC1690&gt;0),SUMIFS($BC$7:$BC$1843,$CF$7:$CF$1843,CF1690,$BG$7:$BG$1843,"&gt;"&amp;BG1690)+SUMIFS($BC$7:$BC$1843,$CF$7:$CF$1843,CF1690,$BG$7:$BG$1843,BG1690,$BW$7:$BW$1843,"&lt;="&amp;BW1690),"")</f>
        <v>32459.9445996565</v>
      </c>
      <c r="BI1690" s="58" t="n">
        <f aca="false">IF(BH1690="",0,MAX(0,MIN(1,(IF(CF1690="L1",Parameter!$H$5,IF(CF1690="L23",Parameter!$H$6+Parameter!$H$7,Parameter!$H$5+Parameter!$H$6+Parameter!$H$7))-(BH1690-BC1690))/BC1690)))</f>
        <v>1</v>
      </c>
      <c r="BJ1690" s="48" t="str">
        <f aca="false">IF(AI1690&lt;=0,"",IF(CF1690="Aussen","Aussenlager",IF(CF1690="-","Nicht im Lift",IF(AO1690&gt;=1,"Lift",IF(AO1690&lt;=0,"Aussenlager","teilweise")))))</f>
        <v>Lift</v>
      </c>
      <c r="BK1690" s="48" t="str">
        <f aca="false">IF(AS1690&lt;=0,"",IF(CF1690="Aussen","Aussenlager",IF(CF1690="-","Nicht im Lift",IF(AY1690&gt;=1,"Lift",IF(AY1690&lt;=0,"Aussenlager","teilweise")))))</f>
        <v>Aussenlager</v>
      </c>
      <c r="BL1690" s="48" t="str">
        <f aca="false">IF(BC1690&lt;=0,"",IF(CF1690="Aussen","Aussenlager",IF(CF1690="-","Nicht im Lift",IF(BI1690&gt;=1,"Lift",IF(BI1690&lt;=0,"Aussenlager","teilweise")))))</f>
        <v>Lift</v>
      </c>
      <c r="BM1690" s="48" t="str">
        <f aca="false">IF(A1690="","",IF(BV1690=1,"Neu; ","")&amp;IF(AND(BV1690=0,BQ1690&lt;0),"negativer Bestand (Export "&amp;BQ1690&amp;"); ","")&amp;IF(J1690&lt;=0,"Kein Verbrauch; ","")&amp;IF(CQ1690&gt;0,"Lift "&amp;W1690&amp;" lt. Liftbericht (Fach "&amp;X1690&amp;" Stk); ",IF(CA1690=1,"Gebinde geschätzt ("&amp;T1690&amp;"); ",IF(BZ1690=1,"Lose – Tablare geschätzt; ","")))&amp;IF(H1690&gt;AV1690,"Überbestand "&amp;ROUND(H1690-AV1690,0)&amp;" Stk / CHF "&amp;ROUND((H1690-AV1690)*G1690,0)&amp;"; ","")&amp;IF(AND(CH1690=1,CI1690&lt;CJ1690),"MAX &lt; MB+LG; ","")&amp;IF(AND(CP1690&gt;0,CO1690*10&gt;CP1690),"zu hoch für Tablar; ","")&amp;IF(AND(BV1690=0,OR(CH1690=1,AA1690&lt;&gt;"",U1690&lt;&gt;"",V1690&lt;&gt;"",AB1690&lt;&gt;"")),"manuell übersteuert; ","")&amp;IF(AND(BZ1690=0,R1690=0),"Gebinde unbekannt / Stellmass fehlt; ","")&amp;IF(AND(BZ1690=0,N(V1690)&lt;=0,N(Q1690)&lt;=0),"Menge pro Gebinde fehlt (Ist = 1 Gebinde); ","")&amp;BU1690)</f>
        <v>Kein Verbrauch; nur im Artikelstamm (Bestand 23.06.2026); Neuer Art.</v>
      </c>
      <c r="BN1690" s="48"/>
      <c r="BO1690" s="48"/>
      <c r="BP1690" s="55"/>
      <c r="BQ1690" s="50" t="n">
        <v>3</v>
      </c>
      <c r="BR1690" s="50" t="n">
        <v>0</v>
      </c>
      <c r="BS1690" s="49" t="n">
        <v>0</v>
      </c>
      <c r="BT1690" s="50" t="n">
        <v>0</v>
      </c>
      <c r="BU1690" s="48" t="s">
        <v>2882</v>
      </c>
      <c r="BV1690" s="53" t="n">
        <v>0</v>
      </c>
      <c r="BW1690" s="53" t="n">
        <v>1690</v>
      </c>
      <c r="BX1690" s="48" t="str">
        <f aca="false">IF(U1690&lt;&gt;"",UPPER(TRIM(U1690)),IF(CA1690=1,UPPER(VLOOKUP(T1690,Parameter!$I$27:$K$29,2,0)),IF(P1690="","LOSE",P1690)))</f>
        <v>S61</v>
      </c>
      <c r="BY1690" s="50" t="n">
        <f aca="false">IF(BX1690="LOSE",1,IF(N(V1690)&gt;0,V1690,IF(CA1690=1,MAX(1,N(VLOOKUP(T1690,Parameter!$I$27:$K$29,3,0)),H1690,N(N1690)),IF(N(Q1690)&gt;0,Q1690,MAX(1,H1690)))))</f>
        <v>3</v>
      </c>
      <c r="BZ1690" s="53" t="n">
        <f aca="false">IF(BX1690="LOSE",1,0)</f>
        <v>0</v>
      </c>
      <c r="CA1690" s="53" t="n">
        <f aca="false">IF(AND(U1690="",OR(P1690="",P1690="LOSE"),T1690&lt;&gt;"",N(S1690)&lt;=0,ISNUMBER(MATCH(T1690,Parameter!$I$27:$I$29,0))),1,0)</f>
        <v>0</v>
      </c>
      <c r="CB1690" s="53" t="n">
        <f aca="false">IF(CQ1690&gt;0,INDEX(Parameter!$H$5:$H$7,W1690)/INDEX(Parameter!$E$5:$E$7,W1690),IF(AND(BZ1690=0,N(IFERROR(VLOOKUP(BX1690,'Gebinde-Kategorie'!$A$5:$N$45,14,0),0))&gt;0),VLOOKUP(BX1690,'Gebinde-Kategorie'!$A$5:$N$45,14,0)*10+Parameter!$M$23,Parameter!$M$24))</f>
        <v>145</v>
      </c>
      <c r="CC1690" s="48" t="str">
        <f aca="false">IF(AND(Parameter!$B$19="Ja",E1690&lt;&gt;"",ISNUMBER(MATCH(E1690,Parameter!$I$35:$I$52,0))),VLOOKUP(E1690,Parameter!$I$35:$J$52,2,0),IFERROR(VLOOKUP(D1690,Parameter!$A$35:$C$64,2,0),"Nein"))</f>
        <v>2+3</v>
      </c>
      <c r="CD1690" s="52" t="n">
        <f aca="false">IF(BZ1690=0,0,IF(N(S1690)&gt;0,S1690,IFERROR(VLOOKUP(D1690,Parameter!$A$35:$C$64,3,0)+0,0)))</f>
        <v>0</v>
      </c>
      <c r="CE1690" s="48" t="n">
        <f aca="false">IF(AA1690&lt;&gt;"",AA1690,Z1690)</f>
        <v>2</v>
      </c>
      <c r="CF1690" s="48" t="str">
        <f aca="false">IF(OR(CE1690=1,CE1690=2,CE1690=3),IF(Parameter!$E$27="Ja","LIFT",IF(CE1690=1,"L1","L23")),IF(CE1690="Aussen","Aussen","-"))</f>
        <v>LIFT</v>
      </c>
      <c r="CG1690" s="59" t="n">
        <f aca="false">IF(N(AB1690)&gt;0,AB1690,0)</f>
        <v>0</v>
      </c>
      <c r="CH1690" s="53" t="n">
        <f aca="false">IF(ISNUMBER(AE1690),1,0)</f>
        <v>0</v>
      </c>
      <c r="CI1690" s="50" t="n">
        <f aca="false">N(AE1690)</f>
        <v>0</v>
      </c>
      <c r="CJ1690" s="50" t="n">
        <f aca="false">N(M1690)+N(N1690)</f>
        <v>3</v>
      </c>
      <c r="CK1690" s="50" t="n">
        <f aca="false">N(M1690)</f>
        <v>0</v>
      </c>
      <c r="CL1690" s="50" t="n">
        <f aca="false">N(N1690)</f>
        <v>3</v>
      </c>
      <c r="CM1690" s="50" t="n">
        <f aca="false">ROUNDUP(H1690/BY1690,0)</f>
        <v>1</v>
      </c>
      <c r="CN1690" s="50" t="n">
        <f aca="false">ROUNDUP(CI1690/BY1690,0)</f>
        <v>0</v>
      </c>
      <c r="CO1690" s="53" t="n">
        <f aca="false">IF(BZ1690=1,0,IFERROR(VLOOKUP(BX1690,'Gebinde-Kategorie'!$A$5:$N$45,5,0)+0,0))</f>
        <v>11</v>
      </c>
      <c r="CP1690" s="53" t="n">
        <f aca="false">IFERROR(IF(OR(CE1690=1,CE1690=2,CE1690=3),N(INDEX(Parameter!$I$5:$I$7,CE1690)),0),0)</f>
        <v>0</v>
      </c>
      <c r="CQ1690" s="52" t="n">
        <f aca="false">IF(AND(Parameter!$B$21="Ja",ISNUMBER(W1690),N(X1690)&gt;0),IFERROR(N(INDEX(Parameter!$L$5:$L$7,W1690))*INDEX(Parameter!$E$5:$E$7,W1690)*X1690/SUMIFS($X$7:$X$1843,$W$7:$W$1843,W1690),0),0)</f>
        <v>0</v>
      </c>
    </row>
    <row r="1691" customFormat="false" ht="15" hidden="false" customHeight="false" outlineLevel="0" collapsed="false">
      <c r="A1691" s="48" t="s">
        <v>2939</v>
      </c>
      <c r="B1691" s="48" t="s">
        <v>571</v>
      </c>
      <c r="C1691" s="48" t="s">
        <v>173</v>
      </c>
      <c r="D1691" s="48" t="s">
        <v>193</v>
      </c>
      <c r="E1691" s="48"/>
      <c r="F1691" s="48"/>
      <c r="G1691" s="49" t="n">
        <v>127</v>
      </c>
      <c r="H1691" s="50" t="n">
        <f aca="false">MAX(0,IF(AND(Parameter!$B$21="Ja",ISNUMBER(Y1691)),Y1691,IF(Parameter!$B$20="Jahresanfang 2025 + Export",BR1691+BQ1691,BQ1691)))</f>
        <v>23</v>
      </c>
      <c r="I1691" s="50" t="n">
        <f aca="false">H1691*G1691</f>
        <v>2921</v>
      </c>
      <c r="J1691" s="50" t="n">
        <f aca="false">BT1691*Parameter!$B$18</f>
        <v>0</v>
      </c>
      <c r="K1691" s="51"/>
      <c r="L1691" s="52"/>
      <c r="M1691" s="50" t="n">
        <v>0</v>
      </c>
      <c r="N1691" s="50" t="n">
        <v>1</v>
      </c>
      <c r="O1691" s="53" t="n">
        <v>35</v>
      </c>
      <c r="P1691" s="48" t="s">
        <v>311</v>
      </c>
      <c r="Q1691" s="50" t="n">
        <v>20</v>
      </c>
      <c r="R1691" s="53" t="n">
        <f aca="false">IF(BZ1691=1,0,IFERROR(VLOOKUP(BX1691,'Gebinde-Kategorie'!$A$5:$N$45,13,0)+0,0))</f>
        <v>26</v>
      </c>
      <c r="S1691" s="54"/>
      <c r="T1691" s="55"/>
      <c r="U1691" s="55"/>
      <c r="V1691" s="55"/>
      <c r="W1691" s="48"/>
      <c r="X1691" s="50"/>
      <c r="Y1691" s="50"/>
      <c r="Z1691" s="48" t="n">
        <f aca="false">IF(A1691="","",IF(AND(Parameter!$B$21="Ja",ISNUMBER(W1691)),W1691,IF(CC1691="2+3",IF(ISNUMBER(SEARCH("grosser Artikel",BU1691)),2,IFERROR(VLOOKUP(BX1691,Parameter!$F$35:$G$64,2,0),2)),IF(OR(CC1691="Nein",CC1691=""),"-",CC1691))))</f>
        <v>3</v>
      </c>
      <c r="AA1691" s="55"/>
      <c r="AB1691" s="56"/>
      <c r="AC1691" s="50" t="n">
        <f aca="false">AV1691</f>
        <v>1</v>
      </c>
      <c r="AD1691" s="50" t="n">
        <f aca="false">MAX(AV1691,H1691)</f>
        <v>23</v>
      </c>
      <c r="AE1691" s="57"/>
      <c r="AF1691" s="50" t="n">
        <f aca="false">IF(LEFT(Cockpit!$C$5,1)="A",H1691,IF(Parameter!$E$30="MAX-Bestand",IF(CH1691=1,CI1691,IF(LEFT(Cockpit!$C$5,1)="B",AL1691,MAX(AL1691,H1691))),ROUNDUP(AJ1691,0)))</f>
        <v>23</v>
      </c>
      <c r="AG1691" s="50" t="n">
        <f aca="false">IF(BZ1691=1,0,ROUNDUP(AF1691/BY1691,0))</f>
        <v>2</v>
      </c>
      <c r="AH1691" s="52" t="n">
        <f aca="false">IF(CQ1691&gt;0,CQ1691*MAX(1,AF1691/X1691),IF(BZ1691=1,IF(AF1691&lt;=0,0,CD1691*MAX(1,IF(H1691&gt;0,AF1691/H1691,1))),IF(R1691&gt;0,AG1691/R1691,0))/MAX(0.1,N(Parameter!$M$21)))</f>
        <v>0.0769230769230769</v>
      </c>
      <c r="AI1691" s="50" t="n">
        <f aca="false">AH1691*CB1691</f>
        <v>11.9230769230769</v>
      </c>
      <c r="AJ1691" s="51" t="n">
        <f aca="false">IF(LEFT(Cockpit!$C$5,1)="A",H1691,IF(CH1691=1,(CK1691+CI1691)/2,IF(LEFT(Cockpit!$C$5,1)="B",(CK1691+AL1691)/2,MAX((CK1691+AL1691)/2,H1691))))</f>
        <v>23</v>
      </c>
      <c r="AK1691" s="50" t="n">
        <f aca="false">AJ1691*G1691</f>
        <v>2921</v>
      </c>
      <c r="AL1691" s="50" t="n">
        <f aca="false">ROUNDUP(CK1691+MAX(CL1691,2*(J1691/IF(CG1691&gt;0,CG1691,MAX(0.1,N(Cockpit!$C$6)))-CK1691)),0)</f>
        <v>1</v>
      </c>
      <c r="AM1691" s="51" t="n">
        <f aca="false">IF(AI1691&gt;0,J1691/AI1691,-1)</f>
        <v>0</v>
      </c>
      <c r="AN1691" s="51" t="n">
        <f aca="false">IF(AND(OR(CF1691="L1",CF1691="L23",CF1691="LIFT"),AI1691&gt;0),SUMIFS($AI$7:$AI$1843,$CF$7:$CF$1843,CF1691,$AM$7:$AM$1843,"&gt;"&amp;AM1691)+SUMIFS($AI$7:$AI$1843,$CF$7:$CF$1843,CF1691,$AM$7:$AM$1843,AM1691,$BW$7:$BW$1843,"&lt;="&amp;BW1691),"")</f>
        <v>32749.3448371309</v>
      </c>
      <c r="AO1691" s="58" t="n">
        <f aca="false">IF(AN1691="",0,MAX(0,MIN(1,(IF(CF1691="L1",Parameter!$H$5,IF(CF1691="L23",Parameter!$H$6+Parameter!$H$7,Parameter!$H$5+Parameter!$H$6+Parameter!$H$7))-(AN1691-AI1691))/AI1691)))</f>
        <v>1</v>
      </c>
      <c r="AP1691" s="50" t="n">
        <f aca="false">IF(LEFT(Cockpit!$I$5,1)="A",H1691,IF(Parameter!$E$30="MAX-Bestand",IF(CH1691=1,CI1691,IF(LEFT(Cockpit!$I$5,1)="B",AV1691,MAX(AV1691,H1691))),ROUNDUP(AT1691,0)))</f>
        <v>23</v>
      </c>
      <c r="AQ1691" s="50" t="n">
        <f aca="false">IF(BZ1691=1,0,ROUNDUP(AP1691/BY1691,0))</f>
        <v>2</v>
      </c>
      <c r="AR1691" s="52" t="n">
        <f aca="false">IF(CQ1691&gt;0,CQ1691*MAX(1,AP1691/X1691),IF(BZ1691=1,IF(AP1691&lt;=0,0,CD1691*MAX(1,IF(H1691&gt;0,AP1691/H1691,1))),IF(R1691&gt;0,AQ1691/R1691,0))/MAX(0.1,N(Parameter!$M$21)))</f>
        <v>0.0769230769230769</v>
      </c>
      <c r="AS1691" s="50" t="n">
        <f aca="false">AR1691*CB1691</f>
        <v>11.9230769230769</v>
      </c>
      <c r="AT1691" s="51" t="n">
        <f aca="false">IF(LEFT(Cockpit!$I$5,1)="A",H1691,IF(CH1691=1,(CK1691+CI1691)/2,IF(LEFT(Cockpit!$I$5,1)="B",(CK1691+AV1691)/2,MAX((CK1691+AV1691)/2,H1691))))</f>
        <v>23</v>
      </c>
      <c r="AU1691" s="50" t="n">
        <f aca="false">AT1691*G1691</f>
        <v>2921</v>
      </c>
      <c r="AV1691" s="50" t="n">
        <f aca="false">ROUNDUP(CK1691+MAX(CL1691,2*(J1691/IF(CG1691&gt;0,CG1691,MAX(0.1,N(Cockpit!$I$6)))-CK1691)),0)</f>
        <v>1</v>
      </c>
      <c r="AW1691" s="51" t="n">
        <f aca="false">IF(AS1691&gt;0,J1691/AS1691,-1)</f>
        <v>0</v>
      </c>
      <c r="AX1691" s="51" t="n">
        <f aca="false">IF(AND(OR(CF1691="L1",CF1691="L23",CF1691="LIFT"),AS1691&gt;0),SUMIFS($AS$7:$AS$1843,$CF$7:$CF$1843,CF1691,$AW$7:$AW$1843,"&gt;"&amp;AW1691)+SUMIFS($AS$7:$AS$1843,$CF$7:$CF$1843,CF1691,$AW$7:$AW$1843,AW1691,$BW$7:$BW$1843,"&lt;="&amp;BW1691),"")</f>
        <v>39221.5930677138</v>
      </c>
      <c r="AY1691" s="58" t="n">
        <f aca="false">IF(AX1691="",0,MAX(0,MIN(1,(IF(CF1691="L1",Parameter!$H$5,IF(CF1691="L23",Parameter!$H$6+Parameter!$H$7,Parameter!$H$5+Parameter!$H$6+Parameter!$H$7))-(AX1691-AS1691))/AS1691)))</f>
        <v>0</v>
      </c>
      <c r="AZ1691" s="50" t="n">
        <f aca="false">IF(LEFT(Cockpit!$O$5,1)="A",H1691,IF(Parameter!$E$30="MAX-Bestand",IF(CH1691=1,CI1691,IF(LEFT(Cockpit!$O$5,1)="B",BF1691,MAX(BF1691,H1691))),ROUNDUP(BD1691,0)))</f>
        <v>1</v>
      </c>
      <c r="BA1691" s="50" t="n">
        <f aca="false">IF(BZ1691=1,0,ROUNDUP(AZ1691/BY1691,0))</f>
        <v>1</v>
      </c>
      <c r="BB1691" s="52" t="n">
        <f aca="false">IF(CQ1691&gt;0,CQ1691*MAX(1,AZ1691/X1691),IF(BZ1691=1,IF(AZ1691&lt;=0,0,CD1691*MAX(1,IF(H1691&gt;0,AZ1691/H1691,1))),IF(R1691&gt;0,BA1691/R1691,0))/MAX(0.1,N(Parameter!$M$21)))</f>
        <v>0.0384615384615385</v>
      </c>
      <c r="BC1691" s="50" t="n">
        <f aca="false">BB1691*CB1691</f>
        <v>5.96153846153846</v>
      </c>
      <c r="BD1691" s="51" t="n">
        <f aca="false">IF(LEFT(Cockpit!$O$5,1)="A",H1691,IF(CH1691=1,(CK1691+CI1691)/2,IF(LEFT(Cockpit!$O$5,1)="B",(CK1691+BF1691)/2,MAX((CK1691+BF1691)/2,H1691))))</f>
        <v>0.5</v>
      </c>
      <c r="BE1691" s="50" t="n">
        <f aca="false">BD1691*G1691</f>
        <v>63.5</v>
      </c>
      <c r="BF1691" s="50" t="n">
        <f aca="false">ROUNDUP(CK1691+MAX(CL1691,2*(J1691/IF(CG1691&gt;0,CG1691,MAX(0.1,N(Cockpit!$O$6)))-CK1691)),0)</f>
        <v>1</v>
      </c>
      <c r="BG1691" s="51" t="n">
        <f aca="false">IF(BC1691&gt;0,J1691/BC1691,-1)</f>
        <v>0</v>
      </c>
      <c r="BH1691" s="51" t="n">
        <f aca="false">IF(AND(OR(CF1691="L1",CF1691="L23",CF1691="LIFT"),BC1691&gt;0),SUMIFS($BC$7:$BC$1843,$CF$7:$CF$1843,CF1691,$BG$7:$BG$1843,"&gt;"&amp;BG1691)+SUMIFS($BC$7:$BC$1843,$CF$7:$CF$1843,CF1691,$BG$7:$BG$1843,BG1691,$BW$7:$BW$1843,"&lt;="&amp;BW1691),"")</f>
        <v>32465.906138118</v>
      </c>
      <c r="BI1691" s="58" t="n">
        <f aca="false">IF(BH1691="",0,MAX(0,MIN(1,(IF(CF1691="L1",Parameter!$H$5,IF(CF1691="L23",Parameter!$H$6+Parameter!$H$7,Parameter!$H$5+Parameter!$H$6+Parameter!$H$7))-(BH1691-BC1691))/BC1691)))</f>
        <v>1</v>
      </c>
      <c r="BJ1691" s="48" t="str">
        <f aca="false">IF(AI1691&lt;=0,"",IF(CF1691="Aussen","Aussenlager",IF(CF1691="-","Nicht im Lift",IF(AO1691&gt;=1,"Lift",IF(AO1691&lt;=0,"Aussenlager","teilweise")))))</f>
        <v>Lift</v>
      </c>
      <c r="BK1691" s="48" t="str">
        <f aca="false">IF(AS1691&lt;=0,"",IF(CF1691="Aussen","Aussenlager",IF(CF1691="-","Nicht im Lift",IF(AY1691&gt;=1,"Lift",IF(AY1691&lt;=0,"Aussenlager","teilweise")))))</f>
        <v>Aussenlager</v>
      </c>
      <c r="BL1691" s="48" t="str">
        <f aca="false">IF(BC1691&lt;=0,"",IF(CF1691="Aussen","Aussenlager",IF(CF1691="-","Nicht im Lift",IF(BI1691&gt;=1,"Lift",IF(BI1691&lt;=0,"Aussenlager","teilweise")))))</f>
        <v>Lift</v>
      </c>
      <c r="BM1691" s="48" t="str">
        <f aca="false">IF(A1691="","",IF(BV1691=1,"Neu; ","")&amp;IF(AND(BV1691=0,BQ1691&lt;0),"negativer Bestand (Export "&amp;BQ1691&amp;"); ","")&amp;IF(J1691&lt;=0,"Kein Verbrauch; ","")&amp;IF(CQ1691&gt;0,"Lift "&amp;W1691&amp;" lt. Liftbericht (Fach "&amp;X1691&amp;" Stk); ",IF(CA1691=1,"Gebinde geschätzt ("&amp;T1691&amp;"); ",IF(BZ1691=1,"Lose – Tablare geschätzt; ","")))&amp;IF(H1691&gt;AV1691,"Überbestand "&amp;ROUND(H1691-AV1691,0)&amp;" Stk / CHF "&amp;ROUND((H1691-AV1691)*G1691,0)&amp;"; ","")&amp;IF(AND(CH1691=1,CI1691&lt;CJ1691),"MAX &lt; MB+LG; ","")&amp;IF(AND(CP1691&gt;0,CO1691*10&gt;CP1691),"zu hoch für Tablar; ","")&amp;IF(AND(BV1691=0,OR(CH1691=1,AA1691&lt;&gt;"",U1691&lt;&gt;"",V1691&lt;&gt;"",AB1691&lt;&gt;"")),"manuell übersteuert; ","")&amp;IF(AND(BZ1691=0,R1691=0),"Gebinde unbekannt / Stellmass fehlt; ","")&amp;IF(AND(BZ1691=0,N(V1691)&lt;=0,N(Q1691)&lt;=0),"Menge pro Gebinde fehlt (Ist = 1 Gebinde); ","")&amp;BU1691)</f>
        <v>Kein Verbrauch; Überbestand 22 Stk / CHF 2794; nur im Artikelstamm (Bestand 23.06.2026)</v>
      </c>
      <c r="BN1691" s="48"/>
      <c r="BO1691" s="48"/>
      <c r="BP1691" s="55"/>
      <c r="BQ1691" s="50" t="n">
        <v>23</v>
      </c>
      <c r="BR1691" s="50" t="n">
        <v>0</v>
      </c>
      <c r="BS1691" s="49" t="n">
        <v>0</v>
      </c>
      <c r="BT1691" s="50" t="n">
        <v>0</v>
      </c>
      <c r="BU1691" s="48" t="s">
        <v>2584</v>
      </c>
      <c r="BV1691" s="53" t="n">
        <v>0</v>
      </c>
      <c r="BW1691" s="53" t="n">
        <v>1691</v>
      </c>
      <c r="BX1691" s="48" t="str">
        <f aca="false">IF(U1691&lt;&gt;"",UPPER(TRIM(U1691)),IF(CA1691=1,UPPER(VLOOKUP(T1691,Parameter!$I$27:$K$29,2,0)),IF(P1691="","LOSE",P1691)))</f>
        <v>S51</v>
      </c>
      <c r="BY1691" s="50" t="n">
        <f aca="false">IF(BX1691="LOSE",1,IF(N(V1691)&gt;0,V1691,IF(CA1691=1,MAX(1,N(VLOOKUP(T1691,Parameter!$I$27:$K$29,3,0)),H1691,N(N1691)),IF(N(Q1691)&gt;0,Q1691,MAX(1,H1691)))))</f>
        <v>20</v>
      </c>
      <c r="BZ1691" s="53" t="n">
        <f aca="false">IF(BX1691="LOSE",1,0)</f>
        <v>0</v>
      </c>
      <c r="CA1691" s="53" t="n">
        <f aca="false">IF(AND(U1691="",OR(P1691="",P1691="LOSE"),T1691&lt;&gt;"",N(S1691)&lt;=0,ISNUMBER(MATCH(T1691,Parameter!$I$27:$I$29,0))),1,0)</f>
        <v>0</v>
      </c>
      <c r="CB1691" s="53" t="n">
        <f aca="false">IF(CQ1691&gt;0,INDEX(Parameter!$H$5:$H$7,W1691)/INDEX(Parameter!$E$5:$E$7,W1691),IF(AND(BZ1691=0,N(IFERROR(VLOOKUP(BX1691,'Gebinde-Kategorie'!$A$5:$N$45,14,0),0))&gt;0),VLOOKUP(BX1691,'Gebinde-Kategorie'!$A$5:$N$45,14,0)*10+Parameter!$M$23,Parameter!$M$24))</f>
        <v>155</v>
      </c>
      <c r="CC1691" s="48" t="str">
        <f aca="false">IF(AND(Parameter!$B$19="Ja",E1691&lt;&gt;"",ISNUMBER(MATCH(E1691,Parameter!$I$35:$I$52,0))),VLOOKUP(E1691,Parameter!$I$35:$J$52,2,0),IFERROR(VLOOKUP(D1691,Parameter!$A$35:$C$64,2,0),"Nein"))</f>
        <v>2+3</v>
      </c>
      <c r="CD1691" s="52" t="n">
        <f aca="false">IF(BZ1691=0,0,IF(N(S1691)&gt;0,S1691,IFERROR(VLOOKUP(D1691,Parameter!$A$35:$C$64,3,0)+0,0)))</f>
        <v>0</v>
      </c>
      <c r="CE1691" s="48" t="n">
        <f aca="false">IF(AA1691&lt;&gt;"",AA1691,Z1691)</f>
        <v>3</v>
      </c>
      <c r="CF1691" s="48" t="str">
        <f aca="false">IF(OR(CE1691=1,CE1691=2,CE1691=3),IF(Parameter!$E$27="Ja","LIFT",IF(CE1691=1,"L1","L23")),IF(CE1691="Aussen","Aussen","-"))</f>
        <v>LIFT</v>
      </c>
      <c r="CG1691" s="59" t="n">
        <f aca="false">IF(N(AB1691)&gt;0,AB1691,0)</f>
        <v>0</v>
      </c>
      <c r="CH1691" s="53" t="n">
        <f aca="false">IF(ISNUMBER(AE1691),1,0)</f>
        <v>0</v>
      </c>
      <c r="CI1691" s="50" t="n">
        <f aca="false">N(AE1691)</f>
        <v>0</v>
      </c>
      <c r="CJ1691" s="50" t="n">
        <f aca="false">N(M1691)+N(N1691)</f>
        <v>1</v>
      </c>
      <c r="CK1691" s="50" t="n">
        <f aca="false">N(M1691)</f>
        <v>0</v>
      </c>
      <c r="CL1691" s="50" t="n">
        <f aca="false">N(N1691)</f>
        <v>1</v>
      </c>
      <c r="CM1691" s="50" t="n">
        <f aca="false">ROUNDUP(H1691/BY1691,0)</f>
        <v>2</v>
      </c>
      <c r="CN1691" s="50" t="n">
        <f aca="false">ROUNDUP(CI1691/BY1691,0)</f>
        <v>0</v>
      </c>
      <c r="CO1691" s="53" t="n">
        <f aca="false">IF(BZ1691=1,0,IFERROR(VLOOKUP(BX1691,'Gebinde-Kategorie'!$A$5:$N$45,5,0)+0,0))</f>
        <v>11</v>
      </c>
      <c r="CP1691" s="53" t="n">
        <f aca="false">IFERROR(IF(OR(CE1691=1,CE1691=2,CE1691=3),N(INDEX(Parameter!$I$5:$I$7,CE1691)),0),0)</f>
        <v>0</v>
      </c>
      <c r="CQ1691" s="52" t="n">
        <f aca="false">IF(AND(Parameter!$B$21="Ja",ISNUMBER(W1691),N(X1691)&gt;0),IFERROR(N(INDEX(Parameter!$L$5:$L$7,W1691))*INDEX(Parameter!$E$5:$E$7,W1691)*X1691/SUMIFS($X$7:$X$1843,$W$7:$W$1843,W1691),0),0)</f>
        <v>0</v>
      </c>
    </row>
    <row r="1692" customFormat="false" ht="15" hidden="false" customHeight="false" outlineLevel="0" collapsed="false">
      <c r="A1692" s="48" t="s">
        <v>2940</v>
      </c>
      <c r="B1692" s="48" t="s">
        <v>541</v>
      </c>
      <c r="C1692" s="48" t="s">
        <v>173</v>
      </c>
      <c r="D1692" s="48" t="s">
        <v>193</v>
      </c>
      <c r="E1692" s="48"/>
      <c r="F1692" s="48"/>
      <c r="G1692" s="49" t="n">
        <v>15.36</v>
      </c>
      <c r="H1692" s="50" t="n">
        <f aca="false">MAX(0,IF(AND(Parameter!$B$21="Ja",ISNUMBER(Y1692)),Y1692,IF(Parameter!$B$20="Jahresanfang 2025 + Export",BR1692+BQ1692,BQ1692)))</f>
        <v>11</v>
      </c>
      <c r="I1692" s="50" t="n">
        <f aca="false">H1692*G1692</f>
        <v>168.96</v>
      </c>
      <c r="J1692" s="50" t="n">
        <f aca="false">BT1692*Parameter!$B$18</f>
        <v>0</v>
      </c>
      <c r="K1692" s="51"/>
      <c r="L1692" s="52"/>
      <c r="M1692" s="50" t="n">
        <v>0</v>
      </c>
      <c r="N1692" s="50" t="n">
        <v>1</v>
      </c>
      <c r="O1692" s="53" t="n">
        <v>97</v>
      </c>
      <c r="P1692" s="48" t="s">
        <v>311</v>
      </c>
      <c r="Q1692" s="50" t="n">
        <v>17</v>
      </c>
      <c r="R1692" s="53" t="n">
        <f aca="false">IF(BZ1692=1,0,IFERROR(VLOOKUP(BX1692,'Gebinde-Kategorie'!$A$5:$N$45,13,0)+0,0))</f>
        <v>26</v>
      </c>
      <c r="S1692" s="54"/>
      <c r="T1692" s="55"/>
      <c r="U1692" s="55"/>
      <c r="V1692" s="55"/>
      <c r="W1692" s="48"/>
      <c r="X1692" s="50"/>
      <c r="Y1692" s="50"/>
      <c r="Z1692" s="48" t="n">
        <f aca="false">IF(A1692="","",IF(AND(Parameter!$B$21="Ja",ISNUMBER(W1692)),W1692,IF(CC1692="2+3",IF(ISNUMBER(SEARCH("grosser Artikel",BU1692)),2,IFERROR(VLOOKUP(BX1692,Parameter!$F$35:$G$64,2,0),2)),IF(OR(CC1692="Nein",CC1692=""),"-",CC1692))))</f>
        <v>3</v>
      </c>
      <c r="AA1692" s="55"/>
      <c r="AB1692" s="56"/>
      <c r="AC1692" s="50" t="n">
        <f aca="false">AV1692</f>
        <v>1</v>
      </c>
      <c r="AD1692" s="50" t="n">
        <f aca="false">MAX(AV1692,H1692)</f>
        <v>11</v>
      </c>
      <c r="AE1692" s="57"/>
      <c r="AF1692" s="50" t="n">
        <f aca="false">IF(LEFT(Cockpit!$C$5,1)="A",H1692,IF(Parameter!$E$30="MAX-Bestand",IF(CH1692=1,CI1692,IF(LEFT(Cockpit!$C$5,1)="B",AL1692,MAX(AL1692,H1692))),ROUNDUP(AJ1692,0)))</f>
        <v>11</v>
      </c>
      <c r="AG1692" s="50" t="n">
        <f aca="false">IF(BZ1692=1,0,ROUNDUP(AF1692/BY1692,0))</f>
        <v>1</v>
      </c>
      <c r="AH1692" s="52" t="n">
        <f aca="false">IF(CQ1692&gt;0,CQ1692*MAX(1,AF1692/X1692),IF(BZ1692=1,IF(AF1692&lt;=0,0,CD1692*MAX(1,IF(H1692&gt;0,AF1692/H1692,1))),IF(R1692&gt;0,AG1692/R1692,0))/MAX(0.1,N(Parameter!$M$21)))</f>
        <v>0.0384615384615385</v>
      </c>
      <c r="AI1692" s="50" t="n">
        <f aca="false">AH1692*CB1692</f>
        <v>5.96153846153846</v>
      </c>
      <c r="AJ1692" s="51" t="n">
        <f aca="false">IF(LEFT(Cockpit!$C$5,1)="A",H1692,IF(CH1692=1,(CK1692+CI1692)/2,IF(LEFT(Cockpit!$C$5,1)="B",(CK1692+AL1692)/2,MAX((CK1692+AL1692)/2,H1692))))</f>
        <v>11</v>
      </c>
      <c r="AK1692" s="50" t="n">
        <f aca="false">AJ1692*G1692</f>
        <v>168.96</v>
      </c>
      <c r="AL1692" s="50" t="n">
        <f aca="false">ROUNDUP(CK1692+MAX(CL1692,2*(J1692/IF(CG1692&gt;0,CG1692,MAX(0.1,N(Cockpit!$C$6)))-CK1692)),0)</f>
        <v>1</v>
      </c>
      <c r="AM1692" s="51" t="n">
        <f aca="false">IF(AI1692&gt;0,J1692/AI1692,-1)</f>
        <v>0</v>
      </c>
      <c r="AN1692" s="51" t="n">
        <f aca="false">IF(AND(OR(CF1692="L1",CF1692="L23",CF1692="LIFT"),AI1692&gt;0),SUMIFS($AI$7:$AI$1843,$CF$7:$CF$1843,CF1692,$AM$7:$AM$1843,"&gt;"&amp;AM1692)+SUMIFS($AI$7:$AI$1843,$CF$7:$CF$1843,CF1692,$AM$7:$AM$1843,AM1692,$BW$7:$BW$1843,"&lt;="&amp;BW1692),"")</f>
        <v>32755.3063755924</v>
      </c>
      <c r="AO1692" s="58" t="n">
        <f aca="false">IF(AN1692="",0,MAX(0,MIN(1,(IF(CF1692="L1",Parameter!$H$5,IF(CF1692="L23",Parameter!$H$6+Parameter!$H$7,Parameter!$H$5+Parameter!$H$6+Parameter!$H$7))-(AN1692-AI1692))/AI1692)))</f>
        <v>1</v>
      </c>
      <c r="AP1692" s="50" t="n">
        <f aca="false">IF(LEFT(Cockpit!$I$5,1)="A",H1692,IF(Parameter!$E$30="MAX-Bestand",IF(CH1692=1,CI1692,IF(LEFT(Cockpit!$I$5,1)="B",AV1692,MAX(AV1692,H1692))),ROUNDUP(AT1692,0)))</f>
        <v>11</v>
      </c>
      <c r="AQ1692" s="50" t="n">
        <f aca="false">IF(BZ1692=1,0,ROUNDUP(AP1692/BY1692,0))</f>
        <v>1</v>
      </c>
      <c r="AR1692" s="52" t="n">
        <f aca="false">IF(CQ1692&gt;0,CQ1692*MAX(1,AP1692/X1692),IF(BZ1692=1,IF(AP1692&lt;=0,0,CD1692*MAX(1,IF(H1692&gt;0,AP1692/H1692,1))),IF(R1692&gt;0,AQ1692/R1692,0))/MAX(0.1,N(Parameter!$M$21)))</f>
        <v>0.0384615384615385</v>
      </c>
      <c r="AS1692" s="50" t="n">
        <f aca="false">AR1692*CB1692</f>
        <v>5.96153846153846</v>
      </c>
      <c r="AT1692" s="51" t="n">
        <f aca="false">IF(LEFT(Cockpit!$I$5,1)="A",H1692,IF(CH1692=1,(CK1692+CI1692)/2,IF(LEFT(Cockpit!$I$5,1)="B",(CK1692+AV1692)/2,MAX((CK1692+AV1692)/2,H1692))))</f>
        <v>11</v>
      </c>
      <c r="AU1692" s="50" t="n">
        <f aca="false">AT1692*G1692</f>
        <v>168.96</v>
      </c>
      <c r="AV1692" s="50" t="n">
        <f aca="false">ROUNDUP(CK1692+MAX(CL1692,2*(J1692/IF(CG1692&gt;0,CG1692,MAX(0.1,N(Cockpit!$I$6)))-CK1692)),0)</f>
        <v>1</v>
      </c>
      <c r="AW1692" s="51" t="n">
        <f aca="false">IF(AS1692&gt;0,J1692/AS1692,-1)</f>
        <v>0</v>
      </c>
      <c r="AX1692" s="51" t="n">
        <f aca="false">IF(AND(OR(CF1692="L1",CF1692="L23",CF1692="LIFT"),AS1692&gt;0),SUMIFS($AS$7:$AS$1843,$CF$7:$CF$1843,CF1692,$AW$7:$AW$1843,"&gt;"&amp;AW1692)+SUMIFS($AS$7:$AS$1843,$CF$7:$CF$1843,CF1692,$AW$7:$AW$1843,AW1692,$BW$7:$BW$1843,"&lt;="&amp;BW1692),"")</f>
        <v>39227.5546061754</v>
      </c>
      <c r="AY1692" s="58" t="n">
        <f aca="false">IF(AX1692="",0,MAX(0,MIN(1,(IF(CF1692="L1",Parameter!$H$5,IF(CF1692="L23",Parameter!$H$6+Parameter!$H$7,Parameter!$H$5+Parameter!$H$6+Parameter!$H$7))-(AX1692-AS1692))/AS1692)))</f>
        <v>0</v>
      </c>
      <c r="AZ1692" s="50" t="n">
        <f aca="false">IF(LEFT(Cockpit!$O$5,1)="A",H1692,IF(Parameter!$E$30="MAX-Bestand",IF(CH1692=1,CI1692,IF(LEFT(Cockpit!$O$5,1)="B",BF1692,MAX(BF1692,H1692))),ROUNDUP(BD1692,0)))</f>
        <v>1</v>
      </c>
      <c r="BA1692" s="50" t="n">
        <f aca="false">IF(BZ1692=1,0,ROUNDUP(AZ1692/BY1692,0))</f>
        <v>1</v>
      </c>
      <c r="BB1692" s="52" t="n">
        <f aca="false">IF(CQ1692&gt;0,CQ1692*MAX(1,AZ1692/X1692),IF(BZ1692=1,IF(AZ1692&lt;=0,0,CD1692*MAX(1,IF(H1692&gt;0,AZ1692/H1692,1))),IF(R1692&gt;0,BA1692/R1692,0))/MAX(0.1,N(Parameter!$M$21)))</f>
        <v>0.0384615384615385</v>
      </c>
      <c r="BC1692" s="50" t="n">
        <f aca="false">BB1692*CB1692</f>
        <v>5.96153846153846</v>
      </c>
      <c r="BD1692" s="51" t="n">
        <f aca="false">IF(LEFT(Cockpit!$O$5,1)="A",H1692,IF(CH1692=1,(CK1692+CI1692)/2,IF(LEFT(Cockpit!$O$5,1)="B",(CK1692+BF1692)/2,MAX((CK1692+BF1692)/2,H1692))))</f>
        <v>0.5</v>
      </c>
      <c r="BE1692" s="50" t="n">
        <f aca="false">BD1692*G1692</f>
        <v>7.68</v>
      </c>
      <c r="BF1692" s="50" t="n">
        <f aca="false">ROUNDUP(CK1692+MAX(CL1692,2*(J1692/IF(CG1692&gt;0,CG1692,MAX(0.1,N(Cockpit!$O$6)))-CK1692)),0)</f>
        <v>1</v>
      </c>
      <c r="BG1692" s="51" t="n">
        <f aca="false">IF(BC1692&gt;0,J1692/BC1692,-1)</f>
        <v>0</v>
      </c>
      <c r="BH1692" s="51" t="n">
        <f aca="false">IF(AND(OR(CF1692="L1",CF1692="L23",CF1692="LIFT"),BC1692&gt;0),SUMIFS($BC$7:$BC$1843,$CF$7:$CF$1843,CF1692,$BG$7:$BG$1843,"&gt;"&amp;BG1692)+SUMIFS($BC$7:$BC$1843,$CF$7:$CF$1843,CF1692,$BG$7:$BG$1843,BG1692,$BW$7:$BW$1843,"&lt;="&amp;BW1692),"")</f>
        <v>32471.8676765795</v>
      </c>
      <c r="BI1692" s="58" t="n">
        <f aca="false">IF(BH1692="",0,MAX(0,MIN(1,(IF(CF1692="L1",Parameter!$H$5,IF(CF1692="L23",Parameter!$H$6+Parameter!$H$7,Parameter!$H$5+Parameter!$H$6+Parameter!$H$7))-(BH1692-BC1692))/BC1692)))</f>
        <v>1</v>
      </c>
      <c r="BJ1692" s="48" t="str">
        <f aca="false">IF(AI1692&lt;=0,"",IF(CF1692="Aussen","Aussenlager",IF(CF1692="-","Nicht im Lift",IF(AO1692&gt;=1,"Lift",IF(AO1692&lt;=0,"Aussenlager","teilweise")))))</f>
        <v>Lift</v>
      </c>
      <c r="BK1692" s="48" t="str">
        <f aca="false">IF(AS1692&lt;=0,"",IF(CF1692="Aussen","Aussenlager",IF(CF1692="-","Nicht im Lift",IF(AY1692&gt;=1,"Lift",IF(AY1692&lt;=0,"Aussenlager","teilweise")))))</f>
        <v>Aussenlager</v>
      </c>
      <c r="BL1692" s="48" t="str">
        <f aca="false">IF(BC1692&lt;=0,"",IF(CF1692="Aussen","Aussenlager",IF(CF1692="-","Nicht im Lift",IF(BI1692&gt;=1,"Lift",IF(BI1692&lt;=0,"Aussenlager","teilweise")))))</f>
        <v>Lift</v>
      </c>
      <c r="BM1692" s="48" t="str">
        <f aca="false">IF(A1692="","",IF(BV1692=1,"Neu; ","")&amp;IF(AND(BV1692=0,BQ1692&lt;0),"negativer Bestand (Export "&amp;BQ1692&amp;"); ","")&amp;IF(J1692&lt;=0,"Kein Verbrauch; ","")&amp;IF(CQ1692&gt;0,"Lift "&amp;W1692&amp;" lt. Liftbericht (Fach "&amp;X1692&amp;" Stk); ",IF(CA1692=1,"Gebinde geschätzt ("&amp;T1692&amp;"); ",IF(BZ1692=1,"Lose – Tablare geschätzt; ","")))&amp;IF(H1692&gt;AV1692,"Überbestand "&amp;ROUND(H1692-AV1692,0)&amp;" Stk / CHF "&amp;ROUND((H1692-AV1692)*G1692,0)&amp;"; ","")&amp;IF(AND(CH1692=1,CI1692&lt;CJ1692),"MAX &lt; MB+LG; ","")&amp;IF(AND(CP1692&gt;0,CO1692*10&gt;CP1692),"zu hoch für Tablar; ","")&amp;IF(AND(BV1692=0,OR(CH1692=1,AA1692&lt;&gt;"",U1692&lt;&gt;"",V1692&lt;&gt;"",AB1692&lt;&gt;"")),"manuell übersteuert; ","")&amp;IF(AND(BZ1692=0,R1692=0),"Gebinde unbekannt / Stellmass fehlt; ","")&amp;IF(AND(BZ1692=0,N(V1692)&lt;=0,N(Q1692)&lt;=0),"Menge pro Gebinde fehlt (Ist = 1 Gebinde); ","")&amp;BU1692)</f>
        <v>Kein Verbrauch; Überbestand 10 Stk / CHF 154; nur im Artikelstamm (Bestand 23.06.2026); Überbestand</v>
      </c>
      <c r="BN1692" s="48"/>
      <c r="BO1692" s="48"/>
      <c r="BP1692" s="55"/>
      <c r="BQ1692" s="50" t="n">
        <v>11</v>
      </c>
      <c r="BR1692" s="50" t="n">
        <v>0</v>
      </c>
      <c r="BS1692" s="49" t="n">
        <v>0</v>
      </c>
      <c r="BT1692" s="50" t="n">
        <v>0</v>
      </c>
      <c r="BU1692" s="48" t="s">
        <v>2581</v>
      </c>
      <c r="BV1692" s="53" t="n">
        <v>0</v>
      </c>
      <c r="BW1692" s="53" t="n">
        <v>1692</v>
      </c>
      <c r="BX1692" s="48" t="str">
        <f aca="false">IF(U1692&lt;&gt;"",UPPER(TRIM(U1692)),IF(CA1692=1,UPPER(VLOOKUP(T1692,Parameter!$I$27:$K$29,2,0)),IF(P1692="","LOSE",P1692)))</f>
        <v>S51</v>
      </c>
      <c r="BY1692" s="50" t="n">
        <f aca="false">IF(BX1692="LOSE",1,IF(N(V1692)&gt;0,V1692,IF(CA1692=1,MAX(1,N(VLOOKUP(T1692,Parameter!$I$27:$K$29,3,0)),H1692,N(N1692)),IF(N(Q1692)&gt;0,Q1692,MAX(1,H1692)))))</f>
        <v>17</v>
      </c>
      <c r="BZ1692" s="53" t="n">
        <f aca="false">IF(BX1692="LOSE",1,0)</f>
        <v>0</v>
      </c>
      <c r="CA1692" s="53" t="n">
        <f aca="false">IF(AND(U1692="",OR(P1692="",P1692="LOSE"),T1692&lt;&gt;"",N(S1692)&lt;=0,ISNUMBER(MATCH(T1692,Parameter!$I$27:$I$29,0))),1,0)</f>
        <v>0</v>
      </c>
      <c r="CB1692" s="53" t="n">
        <f aca="false">IF(CQ1692&gt;0,INDEX(Parameter!$H$5:$H$7,W1692)/INDEX(Parameter!$E$5:$E$7,W1692),IF(AND(BZ1692=0,N(IFERROR(VLOOKUP(BX1692,'Gebinde-Kategorie'!$A$5:$N$45,14,0),0))&gt;0),VLOOKUP(BX1692,'Gebinde-Kategorie'!$A$5:$N$45,14,0)*10+Parameter!$M$23,Parameter!$M$24))</f>
        <v>155</v>
      </c>
      <c r="CC1692" s="48" t="str">
        <f aca="false">IF(AND(Parameter!$B$19="Ja",E1692&lt;&gt;"",ISNUMBER(MATCH(E1692,Parameter!$I$35:$I$52,0))),VLOOKUP(E1692,Parameter!$I$35:$J$52,2,0),IFERROR(VLOOKUP(D1692,Parameter!$A$35:$C$64,2,0),"Nein"))</f>
        <v>2+3</v>
      </c>
      <c r="CD1692" s="52" t="n">
        <f aca="false">IF(BZ1692=0,0,IF(N(S1692)&gt;0,S1692,IFERROR(VLOOKUP(D1692,Parameter!$A$35:$C$64,3,0)+0,0)))</f>
        <v>0</v>
      </c>
      <c r="CE1692" s="48" t="n">
        <f aca="false">IF(AA1692&lt;&gt;"",AA1692,Z1692)</f>
        <v>3</v>
      </c>
      <c r="CF1692" s="48" t="str">
        <f aca="false">IF(OR(CE1692=1,CE1692=2,CE1692=3),IF(Parameter!$E$27="Ja","LIFT",IF(CE1692=1,"L1","L23")),IF(CE1692="Aussen","Aussen","-"))</f>
        <v>LIFT</v>
      </c>
      <c r="CG1692" s="59" t="n">
        <f aca="false">IF(N(AB1692)&gt;0,AB1692,0)</f>
        <v>0</v>
      </c>
      <c r="CH1692" s="53" t="n">
        <f aca="false">IF(ISNUMBER(AE1692),1,0)</f>
        <v>0</v>
      </c>
      <c r="CI1692" s="50" t="n">
        <f aca="false">N(AE1692)</f>
        <v>0</v>
      </c>
      <c r="CJ1692" s="50" t="n">
        <f aca="false">N(M1692)+N(N1692)</f>
        <v>1</v>
      </c>
      <c r="CK1692" s="50" t="n">
        <f aca="false">N(M1692)</f>
        <v>0</v>
      </c>
      <c r="CL1692" s="50" t="n">
        <f aca="false">N(N1692)</f>
        <v>1</v>
      </c>
      <c r="CM1692" s="50" t="n">
        <f aca="false">ROUNDUP(H1692/BY1692,0)</f>
        <v>1</v>
      </c>
      <c r="CN1692" s="50" t="n">
        <f aca="false">ROUNDUP(CI1692/BY1692,0)</f>
        <v>0</v>
      </c>
      <c r="CO1692" s="53" t="n">
        <f aca="false">IF(BZ1692=1,0,IFERROR(VLOOKUP(BX1692,'Gebinde-Kategorie'!$A$5:$N$45,5,0)+0,0))</f>
        <v>11</v>
      </c>
      <c r="CP1692" s="53" t="n">
        <f aca="false">IFERROR(IF(OR(CE1692=1,CE1692=2,CE1692=3),N(INDEX(Parameter!$I$5:$I$7,CE1692)),0),0)</f>
        <v>0</v>
      </c>
      <c r="CQ1692" s="52" t="n">
        <f aca="false">IF(AND(Parameter!$B$21="Ja",ISNUMBER(W1692),N(X1692)&gt;0),IFERROR(N(INDEX(Parameter!$L$5:$L$7,W1692))*INDEX(Parameter!$E$5:$E$7,W1692)*X1692/SUMIFS($X$7:$X$1843,$W$7:$W$1843,W1692),0),0)</f>
        <v>0</v>
      </c>
    </row>
    <row r="1693" customFormat="false" ht="15" hidden="false" customHeight="false" outlineLevel="0" collapsed="false">
      <c r="A1693" s="48" t="s">
        <v>2941</v>
      </c>
      <c r="B1693" s="48" t="s">
        <v>726</v>
      </c>
      <c r="C1693" s="48" t="s">
        <v>173</v>
      </c>
      <c r="D1693" s="48" t="s">
        <v>182</v>
      </c>
      <c r="E1693" s="48" t="s">
        <v>175</v>
      </c>
      <c r="F1693" s="48"/>
      <c r="G1693" s="49" t="n">
        <v>69</v>
      </c>
      <c r="H1693" s="50" t="n">
        <f aca="false">MAX(0,IF(AND(Parameter!$B$21="Ja",ISNUMBER(Y1693)),Y1693,IF(Parameter!$B$20="Jahresanfang 2025 + Export",BR1693+BQ1693,BQ1693)))</f>
        <v>4</v>
      </c>
      <c r="I1693" s="50" t="n">
        <f aca="false">H1693*G1693</f>
        <v>276</v>
      </c>
      <c r="J1693" s="50" t="n">
        <f aca="false">BT1693*Parameter!$B$18</f>
        <v>0</v>
      </c>
      <c r="K1693" s="51"/>
      <c r="L1693" s="52"/>
      <c r="M1693" s="50" t="n">
        <v>0</v>
      </c>
      <c r="N1693" s="50" t="n">
        <v>10</v>
      </c>
      <c r="O1693" s="53" t="n">
        <v>56</v>
      </c>
      <c r="P1693" s="48" t="s">
        <v>311</v>
      </c>
      <c r="Q1693" s="50" t="n">
        <v>15</v>
      </c>
      <c r="R1693" s="53" t="n">
        <f aca="false">IF(BZ1693=1,0,IFERROR(VLOOKUP(BX1693,'Gebinde-Kategorie'!$A$5:$N$45,13,0)+0,0))</f>
        <v>26</v>
      </c>
      <c r="S1693" s="54"/>
      <c r="T1693" s="55"/>
      <c r="U1693" s="55"/>
      <c r="V1693" s="55"/>
      <c r="W1693" s="48"/>
      <c r="X1693" s="50"/>
      <c r="Y1693" s="50"/>
      <c r="Z1693" s="48" t="n">
        <f aca="false">IF(A1693="","",IF(AND(Parameter!$B$21="Ja",ISNUMBER(W1693)),W1693,IF(CC1693="2+3",IF(ISNUMBER(SEARCH("grosser Artikel",BU1693)),2,IFERROR(VLOOKUP(BX1693,Parameter!$F$35:$G$64,2,0),2)),IF(OR(CC1693="Nein",CC1693=""),"-",CC1693))))</f>
        <v>1</v>
      </c>
      <c r="AA1693" s="55"/>
      <c r="AB1693" s="56"/>
      <c r="AC1693" s="50" t="n">
        <f aca="false">AV1693</f>
        <v>10</v>
      </c>
      <c r="AD1693" s="50" t="n">
        <f aca="false">MAX(AV1693,H1693)</f>
        <v>10</v>
      </c>
      <c r="AE1693" s="57"/>
      <c r="AF1693" s="50" t="n">
        <f aca="false">IF(LEFT(Cockpit!$C$5,1)="A",H1693,IF(Parameter!$E$30="MAX-Bestand",IF(CH1693=1,CI1693,IF(LEFT(Cockpit!$C$5,1)="B",AL1693,MAX(AL1693,H1693))),ROUNDUP(AJ1693,0)))</f>
        <v>4</v>
      </c>
      <c r="AG1693" s="50" t="n">
        <f aca="false">IF(BZ1693=1,0,ROUNDUP(AF1693/BY1693,0))</f>
        <v>1</v>
      </c>
      <c r="AH1693" s="52" t="n">
        <f aca="false">IF(CQ1693&gt;0,CQ1693*MAX(1,AF1693/X1693),IF(BZ1693=1,IF(AF1693&lt;=0,0,CD1693*MAX(1,IF(H1693&gt;0,AF1693/H1693,1))),IF(R1693&gt;0,AG1693/R1693,0))/MAX(0.1,N(Parameter!$M$21)))</f>
        <v>0.0384615384615385</v>
      </c>
      <c r="AI1693" s="50" t="n">
        <f aca="false">AH1693*CB1693</f>
        <v>5.96153846153846</v>
      </c>
      <c r="AJ1693" s="51" t="n">
        <f aca="false">IF(LEFT(Cockpit!$C$5,1)="A",H1693,IF(CH1693=1,(CK1693+CI1693)/2,IF(LEFT(Cockpit!$C$5,1)="B",(CK1693+AL1693)/2,MAX((CK1693+AL1693)/2,H1693))))</f>
        <v>4</v>
      </c>
      <c r="AK1693" s="50" t="n">
        <f aca="false">AJ1693*G1693</f>
        <v>276</v>
      </c>
      <c r="AL1693" s="50" t="n">
        <f aca="false">ROUNDUP(CK1693+MAX(CL1693,2*(J1693/IF(CG1693&gt;0,CG1693,MAX(0.1,N(Cockpit!$C$6)))-CK1693)),0)</f>
        <v>10</v>
      </c>
      <c r="AM1693" s="51" t="n">
        <f aca="false">IF(AI1693&gt;0,J1693/AI1693,-1)</f>
        <v>0</v>
      </c>
      <c r="AN1693" s="51" t="n">
        <f aca="false">IF(AND(OR(CF1693="L1",CF1693="L23",CF1693="LIFT"),AI1693&gt;0),SUMIFS($AI$7:$AI$1843,$CF$7:$CF$1843,CF1693,$AM$7:$AM$1843,"&gt;"&amp;AM1693)+SUMIFS($AI$7:$AI$1843,$CF$7:$CF$1843,CF1693,$AM$7:$AM$1843,AM1693,$BW$7:$BW$1843,"&lt;="&amp;BW1693),"")</f>
        <v>32761.2679140539</v>
      </c>
      <c r="AO1693" s="58" t="n">
        <f aca="false">IF(AN1693="",0,MAX(0,MIN(1,(IF(CF1693="L1",Parameter!$H$5,IF(CF1693="L23",Parameter!$H$6+Parameter!$H$7,Parameter!$H$5+Parameter!$H$6+Parameter!$H$7))-(AN1693-AI1693))/AI1693)))</f>
        <v>1</v>
      </c>
      <c r="AP1693" s="50" t="n">
        <f aca="false">IF(LEFT(Cockpit!$I$5,1)="A",H1693,IF(Parameter!$E$30="MAX-Bestand",IF(CH1693=1,CI1693,IF(LEFT(Cockpit!$I$5,1)="B",AV1693,MAX(AV1693,H1693))),ROUNDUP(AT1693,0)))</f>
        <v>5</v>
      </c>
      <c r="AQ1693" s="50" t="n">
        <f aca="false">IF(BZ1693=1,0,ROUNDUP(AP1693/BY1693,0))</f>
        <v>1</v>
      </c>
      <c r="AR1693" s="52" t="n">
        <f aca="false">IF(CQ1693&gt;0,CQ1693*MAX(1,AP1693/X1693),IF(BZ1693=1,IF(AP1693&lt;=0,0,CD1693*MAX(1,IF(H1693&gt;0,AP1693/H1693,1))),IF(R1693&gt;0,AQ1693/R1693,0))/MAX(0.1,N(Parameter!$M$21)))</f>
        <v>0.0384615384615385</v>
      </c>
      <c r="AS1693" s="50" t="n">
        <f aca="false">AR1693*CB1693</f>
        <v>5.96153846153846</v>
      </c>
      <c r="AT1693" s="51" t="n">
        <f aca="false">IF(LEFT(Cockpit!$I$5,1)="A",H1693,IF(CH1693=1,(CK1693+CI1693)/2,IF(LEFT(Cockpit!$I$5,1)="B",(CK1693+AV1693)/2,MAX((CK1693+AV1693)/2,H1693))))</f>
        <v>5</v>
      </c>
      <c r="AU1693" s="50" t="n">
        <f aca="false">AT1693*G1693</f>
        <v>345</v>
      </c>
      <c r="AV1693" s="50" t="n">
        <f aca="false">ROUNDUP(CK1693+MAX(CL1693,2*(J1693/IF(CG1693&gt;0,CG1693,MAX(0.1,N(Cockpit!$I$6)))-CK1693)),0)</f>
        <v>10</v>
      </c>
      <c r="AW1693" s="51" t="n">
        <f aca="false">IF(AS1693&gt;0,J1693/AS1693,-1)</f>
        <v>0</v>
      </c>
      <c r="AX1693" s="51" t="n">
        <f aca="false">IF(AND(OR(CF1693="L1",CF1693="L23",CF1693="LIFT"),AS1693&gt;0),SUMIFS($AS$7:$AS$1843,$CF$7:$CF$1843,CF1693,$AW$7:$AW$1843,"&gt;"&amp;AW1693)+SUMIFS($AS$7:$AS$1843,$CF$7:$CF$1843,CF1693,$AW$7:$AW$1843,AW1693,$BW$7:$BW$1843,"&lt;="&amp;BW1693),"")</f>
        <v>39233.5161446369</v>
      </c>
      <c r="AY1693" s="58" t="n">
        <f aca="false">IF(AX1693="",0,MAX(0,MIN(1,(IF(CF1693="L1",Parameter!$H$5,IF(CF1693="L23",Parameter!$H$6+Parameter!$H$7,Parameter!$H$5+Parameter!$H$6+Parameter!$H$7))-(AX1693-AS1693))/AS1693)))</f>
        <v>0</v>
      </c>
      <c r="AZ1693" s="50" t="n">
        <f aca="false">IF(LEFT(Cockpit!$O$5,1)="A",H1693,IF(Parameter!$E$30="MAX-Bestand",IF(CH1693=1,CI1693,IF(LEFT(Cockpit!$O$5,1)="B",BF1693,MAX(BF1693,H1693))),ROUNDUP(BD1693,0)))</f>
        <v>5</v>
      </c>
      <c r="BA1693" s="50" t="n">
        <f aca="false">IF(BZ1693=1,0,ROUNDUP(AZ1693/BY1693,0))</f>
        <v>1</v>
      </c>
      <c r="BB1693" s="52" t="n">
        <f aca="false">IF(CQ1693&gt;0,CQ1693*MAX(1,AZ1693/X1693),IF(BZ1693=1,IF(AZ1693&lt;=0,0,CD1693*MAX(1,IF(H1693&gt;0,AZ1693/H1693,1))),IF(R1693&gt;0,BA1693/R1693,0))/MAX(0.1,N(Parameter!$M$21)))</f>
        <v>0.0384615384615385</v>
      </c>
      <c r="BC1693" s="50" t="n">
        <f aca="false">BB1693*CB1693</f>
        <v>5.96153846153846</v>
      </c>
      <c r="BD1693" s="51" t="n">
        <f aca="false">IF(LEFT(Cockpit!$O$5,1)="A",H1693,IF(CH1693=1,(CK1693+CI1693)/2,IF(LEFT(Cockpit!$O$5,1)="B",(CK1693+BF1693)/2,MAX((CK1693+BF1693)/2,H1693))))</f>
        <v>5</v>
      </c>
      <c r="BE1693" s="50" t="n">
        <f aca="false">BD1693*G1693</f>
        <v>345</v>
      </c>
      <c r="BF1693" s="50" t="n">
        <f aca="false">ROUNDUP(CK1693+MAX(CL1693,2*(J1693/IF(CG1693&gt;0,CG1693,MAX(0.1,N(Cockpit!$O$6)))-CK1693)),0)</f>
        <v>10</v>
      </c>
      <c r="BG1693" s="51" t="n">
        <f aca="false">IF(BC1693&gt;0,J1693/BC1693,-1)</f>
        <v>0</v>
      </c>
      <c r="BH1693" s="51" t="n">
        <f aca="false">IF(AND(OR(CF1693="L1",CF1693="L23",CF1693="LIFT"),BC1693&gt;0),SUMIFS($BC$7:$BC$1843,$CF$7:$CF$1843,CF1693,$BG$7:$BG$1843,"&gt;"&amp;BG1693)+SUMIFS($BC$7:$BC$1843,$CF$7:$CF$1843,CF1693,$BG$7:$BG$1843,BG1693,$BW$7:$BW$1843,"&lt;="&amp;BW1693),"")</f>
        <v>32477.8292150411</v>
      </c>
      <c r="BI1693" s="58" t="n">
        <f aca="false">IF(BH1693="",0,MAX(0,MIN(1,(IF(CF1693="L1",Parameter!$H$5,IF(CF1693="L23",Parameter!$H$6+Parameter!$H$7,Parameter!$H$5+Parameter!$H$6+Parameter!$H$7))-(BH1693-BC1693))/BC1693)))</f>
        <v>1</v>
      </c>
      <c r="BJ1693" s="48" t="str">
        <f aca="false">IF(AI1693&lt;=0,"",IF(CF1693="Aussen","Aussenlager",IF(CF1693="-","Nicht im Lift",IF(AO1693&gt;=1,"Lift",IF(AO1693&lt;=0,"Aussenlager","teilweise")))))</f>
        <v>Lift</v>
      </c>
      <c r="BK1693" s="48" t="str">
        <f aca="false">IF(AS1693&lt;=0,"",IF(CF1693="Aussen","Aussenlager",IF(CF1693="-","Nicht im Lift",IF(AY1693&gt;=1,"Lift",IF(AY1693&lt;=0,"Aussenlager","teilweise")))))</f>
        <v>Aussenlager</v>
      </c>
      <c r="BL1693" s="48" t="str">
        <f aca="false">IF(BC1693&lt;=0,"",IF(CF1693="Aussen","Aussenlager",IF(CF1693="-","Nicht im Lift",IF(BI1693&gt;=1,"Lift",IF(BI1693&lt;=0,"Aussenlager","teilweise")))))</f>
        <v>Lift</v>
      </c>
      <c r="BM1693" s="48" t="str">
        <f aca="false">IF(A1693="","",IF(BV1693=1,"Neu; ","")&amp;IF(AND(BV1693=0,BQ1693&lt;0),"negativer Bestand (Export "&amp;BQ1693&amp;"); ","")&amp;IF(J1693&lt;=0,"Kein Verbrauch; ","")&amp;IF(CQ1693&gt;0,"Lift "&amp;W1693&amp;" lt. Liftbericht (Fach "&amp;X1693&amp;" Stk); ",IF(CA1693=1,"Gebinde geschätzt ("&amp;T1693&amp;"); ",IF(BZ1693=1,"Lose – Tablare geschätzt; ","")))&amp;IF(H1693&gt;AV1693,"Überbestand "&amp;ROUND(H1693-AV1693,0)&amp;" Stk / CHF "&amp;ROUND((H1693-AV1693)*G1693,0)&amp;"; ","")&amp;IF(AND(CH1693=1,CI1693&lt;CJ1693),"MAX &lt; MB+LG; ","")&amp;IF(AND(CP1693&gt;0,CO1693*10&gt;CP1693),"zu hoch für Tablar; ","")&amp;IF(AND(BV1693=0,OR(CH1693=1,AA1693&lt;&gt;"",U1693&lt;&gt;"",V1693&lt;&gt;"",AB1693&lt;&gt;"")),"manuell übersteuert; ","")&amp;IF(AND(BZ1693=0,R1693=0),"Gebinde unbekannt / Stellmass fehlt; ","")&amp;IF(AND(BZ1693=0,N(V1693)&lt;=0,N(Q1693)&lt;=0),"Menge pro Gebinde fehlt (Ist = 1 Gebinde); ","")&amp;BU1693)</f>
        <v>Kein Verbrauch; nur im Artikelstamm (Bestand 23.06.2026)</v>
      </c>
      <c r="BN1693" s="48"/>
      <c r="BO1693" s="48"/>
      <c r="BP1693" s="55"/>
      <c r="BQ1693" s="50" t="n">
        <v>4</v>
      </c>
      <c r="BR1693" s="50" t="n">
        <v>0</v>
      </c>
      <c r="BS1693" s="49" t="n">
        <v>0</v>
      </c>
      <c r="BT1693" s="50" t="n">
        <v>0</v>
      </c>
      <c r="BU1693" s="48" t="s">
        <v>2584</v>
      </c>
      <c r="BV1693" s="53" t="n">
        <v>0</v>
      </c>
      <c r="BW1693" s="53" t="n">
        <v>1693</v>
      </c>
      <c r="BX1693" s="48" t="str">
        <f aca="false">IF(U1693&lt;&gt;"",UPPER(TRIM(U1693)),IF(CA1693=1,UPPER(VLOOKUP(T1693,Parameter!$I$27:$K$29,2,0)),IF(P1693="","LOSE",P1693)))</f>
        <v>S51</v>
      </c>
      <c r="BY1693" s="50" t="n">
        <f aca="false">IF(BX1693="LOSE",1,IF(N(V1693)&gt;0,V1693,IF(CA1693=1,MAX(1,N(VLOOKUP(T1693,Parameter!$I$27:$K$29,3,0)),H1693,N(N1693)),IF(N(Q1693)&gt;0,Q1693,MAX(1,H1693)))))</f>
        <v>15</v>
      </c>
      <c r="BZ1693" s="53" t="n">
        <f aca="false">IF(BX1693="LOSE",1,0)</f>
        <v>0</v>
      </c>
      <c r="CA1693" s="53" t="n">
        <f aca="false">IF(AND(U1693="",OR(P1693="",P1693="LOSE"),T1693&lt;&gt;"",N(S1693)&lt;=0,ISNUMBER(MATCH(T1693,Parameter!$I$27:$I$29,0))),1,0)</f>
        <v>0</v>
      </c>
      <c r="CB1693" s="53" t="n">
        <f aca="false">IF(CQ1693&gt;0,INDEX(Parameter!$H$5:$H$7,W1693)/INDEX(Parameter!$E$5:$E$7,W1693),IF(AND(BZ1693=0,N(IFERROR(VLOOKUP(BX1693,'Gebinde-Kategorie'!$A$5:$N$45,14,0),0))&gt;0),VLOOKUP(BX1693,'Gebinde-Kategorie'!$A$5:$N$45,14,0)*10+Parameter!$M$23,Parameter!$M$24))</f>
        <v>155</v>
      </c>
      <c r="CC1693" s="48" t="n">
        <f aca="false">IF(AND(Parameter!$B$19="Ja",E1693&lt;&gt;"",ISNUMBER(MATCH(E1693,Parameter!$I$35:$I$52,0))),VLOOKUP(E1693,Parameter!$I$35:$J$52,2,0),IFERROR(VLOOKUP(D1693,Parameter!$A$35:$C$64,2,0),"Nein"))</f>
        <v>1</v>
      </c>
      <c r="CD1693" s="52" t="n">
        <f aca="false">IF(BZ1693=0,0,IF(N(S1693)&gt;0,S1693,IFERROR(VLOOKUP(D1693,Parameter!$A$35:$C$64,3,0)+0,0)))</f>
        <v>0</v>
      </c>
      <c r="CE1693" s="48" t="n">
        <f aca="false">IF(AA1693&lt;&gt;"",AA1693,Z1693)</f>
        <v>1</v>
      </c>
      <c r="CF1693" s="48" t="str">
        <f aca="false">IF(OR(CE1693=1,CE1693=2,CE1693=3),IF(Parameter!$E$27="Ja","LIFT",IF(CE1693=1,"L1","L23")),IF(CE1693="Aussen","Aussen","-"))</f>
        <v>LIFT</v>
      </c>
      <c r="CG1693" s="59" t="n">
        <f aca="false">IF(N(AB1693)&gt;0,AB1693,0)</f>
        <v>0</v>
      </c>
      <c r="CH1693" s="53" t="n">
        <f aca="false">IF(ISNUMBER(AE1693),1,0)</f>
        <v>0</v>
      </c>
      <c r="CI1693" s="50" t="n">
        <f aca="false">N(AE1693)</f>
        <v>0</v>
      </c>
      <c r="CJ1693" s="50" t="n">
        <f aca="false">N(M1693)+N(N1693)</f>
        <v>10</v>
      </c>
      <c r="CK1693" s="50" t="n">
        <f aca="false">N(M1693)</f>
        <v>0</v>
      </c>
      <c r="CL1693" s="50" t="n">
        <f aca="false">N(N1693)</f>
        <v>10</v>
      </c>
      <c r="CM1693" s="50" t="n">
        <f aca="false">ROUNDUP(H1693/BY1693,0)</f>
        <v>1</v>
      </c>
      <c r="CN1693" s="50" t="n">
        <f aca="false">ROUNDUP(CI1693/BY1693,0)</f>
        <v>0</v>
      </c>
      <c r="CO1693" s="53" t="n">
        <f aca="false">IF(BZ1693=1,0,IFERROR(VLOOKUP(BX1693,'Gebinde-Kategorie'!$A$5:$N$45,5,0)+0,0))</f>
        <v>11</v>
      </c>
      <c r="CP1693" s="53" t="n">
        <f aca="false">IFERROR(IF(OR(CE1693=1,CE1693=2,CE1693=3),N(INDEX(Parameter!$I$5:$I$7,CE1693)),0),0)</f>
        <v>0</v>
      </c>
      <c r="CQ1693" s="52" t="n">
        <f aca="false">IF(AND(Parameter!$B$21="Ja",ISNUMBER(W1693),N(X1693)&gt;0),IFERROR(N(INDEX(Parameter!$L$5:$L$7,W1693))*INDEX(Parameter!$E$5:$E$7,W1693)*X1693/SUMIFS($X$7:$X$1843,$W$7:$W$1843,W1693),0),0)</f>
        <v>0</v>
      </c>
    </row>
    <row r="1694" customFormat="false" ht="15" hidden="false" customHeight="false" outlineLevel="0" collapsed="false">
      <c r="A1694" s="48" t="s">
        <v>2942</v>
      </c>
      <c r="B1694" s="48" t="s">
        <v>2943</v>
      </c>
      <c r="C1694" s="48" t="s">
        <v>173</v>
      </c>
      <c r="D1694" s="48" t="s">
        <v>193</v>
      </c>
      <c r="E1694" s="48"/>
      <c r="F1694" s="48"/>
      <c r="G1694" s="49" t="n">
        <v>195.58</v>
      </c>
      <c r="H1694" s="50" t="n">
        <f aca="false">MAX(0,IF(AND(Parameter!$B$21="Ja",ISNUMBER(Y1694)),Y1694,IF(Parameter!$B$20="Jahresanfang 2025 + Export",BR1694+BQ1694,BQ1694)))</f>
        <v>4</v>
      </c>
      <c r="I1694" s="50" t="n">
        <f aca="false">H1694*G1694</f>
        <v>782.32</v>
      </c>
      <c r="J1694" s="50" t="n">
        <f aca="false">BT1694*Parameter!$B$18</f>
        <v>0</v>
      </c>
      <c r="K1694" s="51"/>
      <c r="L1694" s="52"/>
      <c r="M1694" s="50" t="n">
        <v>0</v>
      </c>
      <c r="N1694" s="50" t="n">
        <v>5</v>
      </c>
      <c r="O1694" s="53" t="n">
        <v>14</v>
      </c>
      <c r="P1694" s="48" t="s">
        <v>311</v>
      </c>
      <c r="Q1694" s="50" t="n">
        <v>6</v>
      </c>
      <c r="R1694" s="53" t="n">
        <f aca="false">IF(BZ1694=1,0,IFERROR(VLOOKUP(BX1694,'Gebinde-Kategorie'!$A$5:$N$45,13,0)+0,0))</f>
        <v>26</v>
      </c>
      <c r="S1694" s="54"/>
      <c r="T1694" s="55"/>
      <c r="U1694" s="55"/>
      <c r="V1694" s="55"/>
      <c r="W1694" s="48"/>
      <c r="X1694" s="50"/>
      <c r="Y1694" s="50"/>
      <c r="Z1694" s="48" t="n">
        <f aca="false">IF(A1694="","",IF(AND(Parameter!$B$21="Ja",ISNUMBER(W1694)),W1694,IF(CC1694="2+3",IF(ISNUMBER(SEARCH("grosser Artikel",BU1694)),2,IFERROR(VLOOKUP(BX1694,Parameter!$F$35:$G$64,2,0),2)),IF(OR(CC1694="Nein",CC1694=""),"-",CC1694))))</f>
        <v>3</v>
      </c>
      <c r="AA1694" s="55"/>
      <c r="AB1694" s="56"/>
      <c r="AC1694" s="50" t="n">
        <f aca="false">AV1694</f>
        <v>5</v>
      </c>
      <c r="AD1694" s="50" t="n">
        <f aca="false">MAX(AV1694,H1694)</f>
        <v>5</v>
      </c>
      <c r="AE1694" s="57"/>
      <c r="AF1694" s="50" t="n">
        <f aca="false">IF(LEFT(Cockpit!$C$5,1)="A",H1694,IF(Parameter!$E$30="MAX-Bestand",IF(CH1694=1,CI1694,IF(LEFT(Cockpit!$C$5,1)="B",AL1694,MAX(AL1694,H1694))),ROUNDUP(AJ1694,0)))</f>
        <v>4</v>
      </c>
      <c r="AG1694" s="50" t="n">
        <f aca="false">IF(BZ1694=1,0,ROUNDUP(AF1694/BY1694,0))</f>
        <v>1</v>
      </c>
      <c r="AH1694" s="52" t="n">
        <f aca="false">IF(CQ1694&gt;0,CQ1694*MAX(1,AF1694/X1694),IF(BZ1694=1,IF(AF1694&lt;=0,0,CD1694*MAX(1,IF(H1694&gt;0,AF1694/H1694,1))),IF(R1694&gt;0,AG1694/R1694,0))/MAX(0.1,N(Parameter!$M$21)))</f>
        <v>0.0384615384615385</v>
      </c>
      <c r="AI1694" s="50" t="n">
        <f aca="false">AH1694*CB1694</f>
        <v>5.96153846153846</v>
      </c>
      <c r="AJ1694" s="51" t="n">
        <f aca="false">IF(LEFT(Cockpit!$C$5,1)="A",H1694,IF(CH1694=1,(CK1694+CI1694)/2,IF(LEFT(Cockpit!$C$5,1)="B",(CK1694+AL1694)/2,MAX((CK1694+AL1694)/2,H1694))))</f>
        <v>4</v>
      </c>
      <c r="AK1694" s="50" t="n">
        <f aca="false">AJ1694*G1694</f>
        <v>782.32</v>
      </c>
      <c r="AL1694" s="50" t="n">
        <f aca="false">ROUNDUP(CK1694+MAX(CL1694,2*(J1694/IF(CG1694&gt;0,CG1694,MAX(0.1,N(Cockpit!$C$6)))-CK1694)),0)</f>
        <v>5</v>
      </c>
      <c r="AM1694" s="51" t="n">
        <f aca="false">IF(AI1694&gt;0,J1694/AI1694,-1)</f>
        <v>0</v>
      </c>
      <c r="AN1694" s="51" t="n">
        <f aca="false">IF(AND(OR(CF1694="L1",CF1694="L23",CF1694="LIFT"),AI1694&gt;0),SUMIFS($AI$7:$AI$1843,$CF$7:$CF$1843,CF1694,$AM$7:$AM$1843,"&gt;"&amp;AM1694)+SUMIFS($AI$7:$AI$1843,$CF$7:$CF$1843,CF1694,$AM$7:$AM$1843,AM1694,$BW$7:$BW$1843,"&lt;="&amp;BW1694),"")</f>
        <v>32767.2294525155</v>
      </c>
      <c r="AO1694" s="58" t="n">
        <f aca="false">IF(AN1694="",0,MAX(0,MIN(1,(IF(CF1694="L1",Parameter!$H$5,IF(CF1694="L23",Parameter!$H$6+Parameter!$H$7,Parameter!$H$5+Parameter!$H$6+Parameter!$H$7))-(AN1694-AI1694))/AI1694)))</f>
        <v>1</v>
      </c>
      <c r="AP1694" s="50" t="n">
        <f aca="false">IF(LEFT(Cockpit!$I$5,1)="A",H1694,IF(Parameter!$E$30="MAX-Bestand",IF(CH1694=1,CI1694,IF(LEFT(Cockpit!$I$5,1)="B",AV1694,MAX(AV1694,H1694))),ROUNDUP(AT1694,0)))</f>
        <v>4</v>
      </c>
      <c r="AQ1694" s="50" t="n">
        <f aca="false">IF(BZ1694=1,0,ROUNDUP(AP1694/BY1694,0))</f>
        <v>1</v>
      </c>
      <c r="AR1694" s="52" t="n">
        <f aca="false">IF(CQ1694&gt;0,CQ1694*MAX(1,AP1694/X1694),IF(BZ1694=1,IF(AP1694&lt;=0,0,CD1694*MAX(1,IF(H1694&gt;0,AP1694/H1694,1))),IF(R1694&gt;0,AQ1694/R1694,0))/MAX(0.1,N(Parameter!$M$21)))</f>
        <v>0.0384615384615385</v>
      </c>
      <c r="AS1694" s="50" t="n">
        <f aca="false">AR1694*CB1694</f>
        <v>5.96153846153846</v>
      </c>
      <c r="AT1694" s="51" t="n">
        <f aca="false">IF(LEFT(Cockpit!$I$5,1)="A",H1694,IF(CH1694=1,(CK1694+CI1694)/2,IF(LEFT(Cockpit!$I$5,1)="B",(CK1694+AV1694)/2,MAX((CK1694+AV1694)/2,H1694))))</f>
        <v>4</v>
      </c>
      <c r="AU1694" s="50" t="n">
        <f aca="false">AT1694*G1694</f>
        <v>782.32</v>
      </c>
      <c r="AV1694" s="50" t="n">
        <f aca="false">ROUNDUP(CK1694+MAX(CL1694,2*(J1694/IF(CG1694&gt;0,CG1694,MAX(0.1,N(Cockpit!$I$6)))-CK1694)),0)</f>
        <v>5</v>
      </c>
      <c r="AW1694" s="51" t="n">
        <f aca="false">IF(AS1694&gt;0,J1694/AS1694,-1)</f>
        <v>0</v>
      </c>
      <c r="AX1694" s="51" t="n">
        <f aca="false">IF(AND(OR(CF1694="L1",CF1694="L23",CF1694="LIFT"),AS1694&gt;0),SUMIFS($AS$7:$AS$1843,$CF$7:$CF$1843,CF1694,$AW$7:$AW$1843,"&gt;"&amp;AW1694)+SUMIFS($AS$7:$AS$1843,$CF$7:$CF$1843,CF1694,$AW$7:$AW$1843,AW1694,$BW$7:$BW$1843,"&lt;="&amp;BW1694),"")</f>
        <v>39239.4776830985</v>
      </c>
      <c r="AY1694" s="58" t="n">
        <f aca="false">IF(AX1694="",0,MAX(0,MIN(1,(IF(CF1694="L1",Parameter!$H$5,IF(CF1694="L23",Parameter!$H$6+Parameter!$H$7,Parameter!$H$5+Parameter!$H$6+Parameter!$H$7))-(AX1694-AS1694))/AS1694)))</f>
        <v>0</v>
      </c>
      <c r="AZ1694" s="50" t="n">
        <f aca="false">IF(LEFT(Cockpit!$O$5,1)="A",H1694,IF(Parameter!$E$30="MAX-Bestand",IF(CH1694=1,CI1694,IF(LEFT(Cockpit!$O$5,1)="B",BF1694,MAX(BF1694,H1694))),ROUNDUP(BD1694,0)))</f>
        <v>3</v>
      </c>
      <c r="BA1694" s="50" t="n">
        <f aca="false">IF(BZ1694=1,0,ROUNDUP(AZ1694/BY1694,0))</f>
        <v>1</v>
      </c>
      <c r="BB1694" s="52" t="n">
        <f aca="false">IF(CQ1694&gt;0,CQ1694*MAX(1,AZ1694/X1694),IF(BZ1694=1,IF(AZ1694&lt;=0,0,CD1694*MAX(1,IF(H1694&gt;0,AZ1694/H1694,1))),IF(R1694&gt;0,BA1694/R1694,0))/MAX(0.1,N(Parameter!$M$21)))</f>
        <v>0.0384615384615385</v>
      </c>
      <c r="BC1694" s="50" t="n">
        <f aca="false">BB1694*CB1694</f>
        <v>5.96153846153846</v>
      </c>
      <c r="BD1694" s="51" t="n">
        <f aca="false">IF(LEFT(Cockpit!$O$5,1)="A",H1694,IF(CH1694=1,(CK1694+CI1694)/2,IF(LEFT(Cockpit!$O$5,1)="B",(CK1694+BF1694)/2,MAX((CK1694+BF1694)/2,H1694))))</f>
        <v>2.5</v>
      </c>
      <c r="BE1694" s="50" t="n">
        <f aca="false">BD1694*G1694</f>
        <v>488.95</v>
      </c>
      <c r="BF1694" s="50" t="n">
        <f aca="false">ROUNDUP(CK1694+MAX(CL1694,2*(J1694/IF(CG1694&gt;0,CG1694,MAX(0.1,N(Cockpit!$O$6)))-CK1694)),0)</f>
        <v>5</v>
      </c>
      <c r="BG1694" s="51" t="n">
        <f aca="false">IF(BC1694&gt;0,J1694/BC1694,-1)</f>
        <v>0</v>
      </c>
      <c r="BH1694" s="51" t="n">
        <f aca="false">IF(AND(OR(CF1694="L1",CF1694="L23",CF1694="LIFT"),BC1694&gt;0),SUMIFS($BC$7:$BC$1843,$CF$7:$CF$1843,CF1694,$BG$7:$BG$1843,"&gt;"&amp;BG1694)+SUMIFS($BC$7:$BC$1843,$CF$7:$CF$1843,CF1694,$BG$7:$BG$1843,BG1694,$BW$7:$BW$1843,"&lt;="&amp;BW1694),"")</f>
        <v>32483.7907535026</v>
      </c>
      <c r="BI1694" s="58" t="n">
        <f aca="false">IF(BH1694="",0,MAX(0,MIN(1,(IF(CF1694="L1",Parameter!$H$5,IF(CF1694="L23",Parameter!$H$6+Parameter!$H$7,Parameter!$H$5+Parameter!$H$6+Parameter!$H$7))-(BH1694-BC1694))/BC1694)))</f>
        <v>1</v>
      </c>
      <c r="BJ1694" s="48" t="str">
        <f aca="false">IF(AI1694&lt;=0,"",IF(CF1694="Aussen","Aussenlager",IF(CF1694="-","Nicht im Lift",IF(AO1694&gt;=1,"Lift",IF(AO1694&lt;=0,"Aussenlager","teilweise")))))</f>
        <v>Lift</v>
      </c>
      <c r="BK1694" s="48" t="str">
        <f aca="false">IF(AS1694&lt;=0,"",IF(CF1694="Aussen","Aussenlager",IF(CF1694="-","Nicht im Lift",IF(AY1694&gt;=1,"Lift",IF(AY1694&lt;=0,"Aussenlager","teilweise")))))</f>
        <v>Aussenlager</v>
      </c>
      <c r="BL1694" s="48" t="str">
        <f aca="false">IF(BC1694&lt;=0,"",IF(CF1694="Aussen","Aussenlager",IF(CF1694="-","Nicht im Lift",IF(BI1694&gt;=1,"Lift",IF(BI1694&lt;=0,"Aussenlager","teilweise")))))</f>
        <v>Lift</v>
      </c>
      <c r="BM1694" s="48" t="str">
        <f aca="false">IF(A1694="","",IF(BV1694=1,"Neu; ","")&amp;IF(AND(BV1694=0,BQ1694&lt;0),"negativer Bestand (Export "&amp;BQ1694&amp;"); ","")&amp;IF(J1694&lt;=0,"Kein Verbrauch; ","")&amp;IF(CQ1694&gt;0,"Lift "&amp;W1694&amp;" lt. Liftbericht (Fach "&amp;X1694&amp;" Stk); ",IF(CA1694=1,"Gebinde geschätzt ("&amp;T1694&amp;"); ",IF(BZ1694=1,"Lose – Tablare geschätzt; ","")))&amp;IF(H1694&gt;AV1694,"Überbestand "&amp;ROUND(H1694-AV1694,0)&amp;" Stk / CHF "&amp;ROUND((H1694-AV1694)*G1694,0)&amp;"; ","")&amp;IF(AND(CH1694=1,CI1694&lt;CJ1694),"MAX &lt; MB+LG; ","")&amp;IF(AND(CP1694&gt;0,CO1694*10&gt;CP1694),"zu hoch für Tablar; ","")&amp;IF(AND(BV1694=0,OR(CH1694=1,AA1694&lt;&gt;"",U1694&lt;&gt;"",V1694&lt;&gt;"",AB1694&lt;&gt;"")),"manuell übersteuert; ","")&amp;IF(AND(BZ1694=0,R1694=0),"Gebinde unbekannt / Stellmass fehlt; ","")&amp;IF(AND(BZ1694=0,N(V1694)&lt;=0,N(Q1694)&lt;=0),"Menge pro Gebinde fehlt (Ist = 1 Gebinde); ","")&amp;BU1694)</f>
        <v>Kein Verbrauch; nur im Artikelstamm (Bestand 23.06.2026)</v>
      </c>
      <c r="BN1694" s="48"/>
      <c r="BO1694" s="48"/>
      <c r="BP1694" s="55"/>
      <c r="BQ1694" s="50" t="n">
        <v>4</v>
      </c>
      <c r="BR1694" s="50" t="n">
        <v>0</v>
      </c>
      <c r="BS1694" s="49" t="n">
        <v>0</v>
      </c>
      <c r="BT1694" s="50" t="n">
        <v>0</v>
      </c>
      <c r="BU1694" s="48" t="s">
        <v>2584</v>
      </c>
      <c r="BV1694" s="53" t="n">
        <v>0</v>
      </c>
      <c r="BW1694" s="53" t="n">
        <v>1694</v>
      </c>
      <c r="BX1694" s="48" t="str">
        <f aca="false">IF(U1694&lt;&gt;"",UPPER(TRIM(U1694)),IF(CA1694=1,UPPER(VLOOKUP(T1694,Parameter!$I$27:$K$29,2,0)),IF(P1694="","LOSE",P1694)))</f>
        <v>S51</v>
      </c>
      <c r="BY1694" s="50" t="n">
        <f aca="false">IF(BX1694="LOSE",1,IF(N(V1694)&gt;0,V1694,IF(CA1694=1,MAX(1,N(VLOOKUP(T1694,Parameter!$I$27:$K$29,3,0)),H1694,N(N1694)),IF(N(Q1694)&gt;0,Q1694,MAX(1,H1694)))))</f>
        <v>6</v>
      </c>
      <c r="BZ1694" s="53" t="n">
        <f aca="false">IF(BX1694="LOSE",1,0)</f>
        <v>0</v>
      </c>
      <c r="CA1694" s="53" t="n">
        <f aca="false">IF(AND(U1694="",OR(P1694="",P1694="LOSE"),T1694&lt;&gt;"",N(S1694)&lt;=0,ISNUMBER(MATCH(T1694,Parameter!$I$27:$I$29,0))),1,0)</f>
        <v>0</v>
      </c>
      <c r="CB1694" s="53" t="n">
        <f aca="false">IF(CQ1694&gt;0,INDEX(Parameter!$H$5:$H$7,W1694)/INDEX(Parameter!$E$5:$E$7,W1694),IF(AND(BZ1694=0,N(IFERROR(VLOOKUP(BX1694,'Gebinde-Kategorie'!$A$5:$N$45,14,0),0))&gt;0),VLOOKUP(BX1694,'Gebinde-Kategorie'!$A$5:$N$45,14,0)*10+Parameter!$M$23,Parameter!$M$24))</f>
        <v>155</v>
      </c>
      <c r="CC1694" s="48" t="str">
        <f aca="false">IF(AND(Parameter!$B$19="Ja",E1694&lt;&gt;"",ISNUMBER(MATCH(E1694,Parameter!$I$35:$I$52,0))),VLOOKUP(E1694,Parameter!$I$35:$J$52,2,0),IFERROR(VLOOKUP(D1694,Parameter!$A$35:$C$64,2,0),"Nein"))</f>
        <v>2+3</v>
      </c>
      <c r="CD1694" s="52" t="n">
        <f aca="false">IF(BZ1694=0,0,IF(N(S1694)&gt;0,S1694,IFERROR(VLOOKUP(D1694,Parameter!$A$35:$C$64,3,0)+0,0)))</f>
        <v>0</v>
      </c>
      <c r="CE1694" s="48" t="n">
        <f aca="false">IF(AA1694&lt;&gt;"",AA1694,Z1694)</f>
        <v>3</v>
      </c>
      <c r="CF1694" s="48" t="str">
        <f aca="false">IF(OR(CE1694=1,CE1694=2,CE1694=3),IF(Parameter!$E$27="Ja","LIFT",IF(CE1694=1,"L1","L23")),IF(CE1694="Aussen","Aussen","-"))</f>
        <v>LIFT</v>
      </c>
      <c r="CG1694" s="59" t="n">
        <f aca="false">IF(N(AB1694)&gt;0,AB1694,0)</f>
        <v>0</v>
      </c>
      <c r="CH1694" s="53" t="n">
        <f aca="false">IF(ISNUMBER(AE1694),1,0)</f>
        <v>0</v>
      </c>
      <c r="CI1694" s="50" t="n">
        <f aca="false">N(AE1694)</f>
        <v>0</v>
      </c>
      <c r="CJ1694" s="50" t="n">
        <f aca="false">N(M1694)+N(N1694)</f>
        <v>5</v>
      </c>
      <c r="CK1694" s="50" t="n">
        <f aca="false">N(M1694)</f>
        <v>0</v>
      </c>
      <c r="CL1694" s="50" t="n">
        <f aca="false">N(N1694)</f>
        <v>5</v>
      </c>
      <c r="CM1694" s="50" t="n">
        <f aca="false">ROUNDUP(H1694/BY1694,0)</f>
        <v>1</v>
      </c>
      <c r="CN1694" s="50" t="n">
        <f aca="false">ROUNDUP(CI1694/BY1694,0)</f>
        <v>0</v>
      </c>
      <c r="CO1694" s="53" t="n">
        <f aca="false">IF(BZ1694=1,0,IFERROR(VLOOKUP(BX1694,'Gebinde-Kategorie'!$A$5:$N$45,5,0)+0,0))</f>
        <v>11</v>
      </c>
      <c r="CP1694" s="53" t="n">
        <f aca="false">IFERROR(IF(OR(CE1694=1,CE1694=2,CE1694=3),N(INDEX(Parameter!$I$5:$I$7,CE1694)),0),0)</f>
        <v>0</v>
      </c>
      <c r="CQ1694" s="52" t="n">
        <f aca="false">IF(AND(Parameter!$B$21="Ja",ISNUMBER(W1694),N(X1694)&gt;0),IFERROR(N(INDEX(Parameter!$L$5:$L$7,W1694))*INDEX(Parameter!$E$5:$E$7,W1694)*X1694/SUMIFS($X$7:$X$1843,$W$7:$W$1843,W1694),0),0)</f>
        <v>0</v>
      </c>
    </row>
    <row r="1695" customFormat="false" ht="15" hidden="false" customHeight="false" outlineLevel="0" collapsed="false">
      <c r="A1695" s="48" t="s">
        <v>2944</v>
      </c>
      <c r="B1695" s="48" t="s">
        <v>2945</v>
      </c>
      <c r="C1695" s="48" t="s">
        <v>173</v>
      </c>
      <c r="D1695" s="48" t="s">
        <v>193</v>
      </c>
      <c r="E1695" s="48" t="s">
        <v>175</v>
      </c>
      <c r="F1695" s="48"/>
      <c r="G1695" s="49" t="n">
        <v>29</v>
      </c>
      <c r="H1695" s="50" t="n">
        <f aca="false">MAX(0,IF(AND(Parameter!$B$21="Ja",ISNUMBER(Y1695)),Y1695,IF(Parameter!$B$20="Jahresanfang 2025 + Export",BR1695+BQ1695,BQ1695)))</f>
        <v>3</v>
      </c>
      <c r="I1695" s="50" t="n">
        <f aca="false">H1695*G1695</f>
        <v>87</v>
      </c>
      <c r="J1695" s="50" t="n">
        <f aca="false">BT1695*Parameter!$B$18</f>
        <v>0</v>
      </c>
      <c r="K1695" s="51"/>
      <c r="L1695" s="52"/>
      <c r="M1695" s="50" t="n">
        <v>0</v>
      </c>
      <c r="N1695" s="50" t="n">
        <v>3</v>
      </c>
      <c r="O1695" s="53" t="n">
        <v>35</v>
      </c>
      <c r="P1695" s="48" t="s">
        <v>311</v>
      </c>
      <c r="Q1695" s="50" t="n">
        <v>5</v>
      </c>
      <c r="R1695" s="53" t="n">
        <f aca="false">IF(BZ1695=1,0,IFERROR(VLOOKUP(BX1695,'Gebinde-Kategorie'!$A$5:$N$45,13,0)+0,0))</f>
        <v>26</v>
      </c>
      <c r="S1695" s="54"/>
      <c r="T1695" s="55"/>
      <c r="U1695" s="55"/>
      <c r="V1695" s="55"/>
      <c r="W1695" s="48"/>
      <c r="X1695" s="50"/>
      <c r="Y1695" s="50"/>
      <c r="Z1695" s="48" t="n">
        <f aca="false">IF(A1695="","",IF(AND(Parameter!$B$21="Ja",ISNUMBER(W1695)),W1695,IF(CC1695="2+3",IF(ISNUMBER(SEARCH("grosser Artikel",BU1695)),2,IFERROR(VLOOKUP(BX1695,Parameter!$F$35:$G$64,2,0),2)),IF(OR(CC1695="Nein",CC1695=""),"-",CC1695))))</f>
        <v>1</v>
      </c>
      <c r="AA1695" s="55"/>
      <c r="AB1695" s="56"/>
      <c r="AC1695" s="50" t="n">
        <f aca="false">AV1695</f>
        <v>3</v>
      </c>
      <c r="AD1695" s="50" t="n">
        <f aca="false">MAX(AV1695,H1695)</f>
        <v>3</v>
      </c>
      <c r="AE1695" s="57"/>
      <c r="AF1695" s="50" t="n">
        <f aca="false">IF(LEFT(Cockpit!$C$5,1)="A",H1695,IF(Parameter!$E$30="MAX-Bestand",IF(CH1695=1,CI1695,IF(LEFT(Cockpit!$C$5,1)="B",AL1695,MAX(AL1695,H1695))),ROUNDUP(AJ1695,0)))</f>
        <v>3</v>
      </c>
      <c r="AG1695" s="50" t="n">
        <f aca="false">IF(BZ1695=1,0,ROUNDUP(AF1695/BY1695,0))</f>
        <v>1</v>
      </c>
      <c r="AH1695" s="52" t="n">
        <f aca="false">IF(CQ1695&gt;0,CQ1695*MAX(1,AF1695/X1695),IF(BZ1695=1,IF(AF1695&lt;=0,0,CD1695*MAX(1,IF(H1695&gt;0,AF1695/H1695,1))),IF(R1695&gt;0,AG1695/R1695,0))/MAX(0.1,N(Parameter!$M$21)))</f>
        <v>0.0384615384615385</v>
      </c>
      <c r="AI1695" s="50" t="n">
        <f aca="false">AH1695*CB1695</f>
        <v>5.96153846153846</v>
      </c>
      <c r="AJ1695" s="51" t="n">
        <f aca="false">IF(LEFT(Cockpit!$C$5,1)="A",H1695,IF(CH1695=1,(CK1695+CI1695)/2,IF(LEFT(Cockpit!$C$5,1)="B",(CK1695+AL1695)/2,MAX((CK1695+AL1695)/2,H1695))))</f>
        <v>3</v>
      </c>
      <c r="AK1695" s="50" t="n">
        <f aca="false">AJ1695*G1695</f>
        <v>87</v>
      </c>
      <c r="AL1695" s="50" t="n">
        <f aca="false">ROUNDUP(CK1695+MAX(CL1695,2*(J1695/IF(CG1695&gt;0,CG1695,MAX(0.1,N(Cockpit!$C$6)))-CK1695)),0)</f>
        <v>3</v>
      </c>
      <c r="AM1695" s="51" t="n">
        <f aca="false">IF(AI1695&gt;0,J1695/AI1695,-1)</f>
        <v>0</v>
      </c>
      <c r="AN1695" s="51" t="n">
        <f aca="false">IF(AND(OR(CF1695="L1",CF1695="L23",CF1695="LIFT"),AI1695&gt;0),SUMIFS($AI$7:$AI$1843,$CF$7:$CF$1843,CF1695,$AM$7:$AM$1843,"&gt;"&amp;AM1695)+SUMIFS($AI$7:$AI$1843,$CF$7:$CF$1843,CF1695,$AM$7:$AM$1843,AM1695,$BW$7:$BW$1843,"&lt;="&amp;BW1695),"")</f>
        <v>32773.190990977</v>
      </c>
      <c r="AO1695" s="58" t="n">
        <f aca="false">IF(AN1695="",0,MAX(0,MIN(1,(IF(CF1695="L1",Parameter!$H$5,IF(CF1695="L23",Parameter!$H$6+Parameter!$H$7,Parameter!$H$5+Parameter!$H$6+Parameter!$H$7))-(AN1695-AI1695))/AI1695)))</f>
        <v>1</v>
      </c>
      <c r="AP1695" s="50" t="n">
        <f aca="false">IF(LEFT(Cockpit!$I$5,1)="A",H1695,IF(Parameter!$E$30="MAX-Bestand",IF(CH1695=1,CI1695,IF(LEFT(Cockpit!$I$5,1)="B",AV1695,MAX(AV1695,H1695))),ROUNDUP(AT1695,0)))</f>
        <v>3</v>
      </c>
      <c r="AQ1695" s="50" t="n">
        <f aca="false">IF(BZ1695=1,0,ROUNDUP(AP1695/BY1695,0))</f>
        <v>1</v>
      </c>
      <c r="AR1695" s="52" t="n">
        <f aca="false">IF(CQ1695&gt;0,CQ1695*MAX(1,AP1695/X1695),IF(BZ1695=1,IF(AP1695&lt;=0,0,CD1695*MAX(1,IF(H1695&gt;0,AP1695/H1695,1))),IF(R1695&gt;0,AQ1695/R1695,0))/MAX(0.1,N(Parameter!$M$21)))</f>
        <v>0.0384615384615385</v>
      </c>
      <c r="AS1695" s="50" t="n">
        <f aca="false">AR1695*CB1695</f>
        <v>5.96153846153846</v>
      </c>
      <c r="AT1695" s="51" t="n">
        <f aca="false">IF(LEFT(Cockpit!$I$5,1)="A",H1695,IF(CH1695=1,(CK1695+CI1695)/2,IF(LEFT(Cockpit!$I$5,1)="B",(CK1695+AV1695)/2,MAX((CK1695+AV1695)/2,H1695))))</f>
        <v>3</v>
      </c>
      <c r="AU1695" s="50" t="n">
        <f aca="false">AT1695*G1695</f>
        <v>87</v>
      </c>
      <c r="AV1695" s="50" t="n">
        <f aca="false">ROUNDUP(CK1695+MAX(CL1695,2*(J1695/IF(CG1695&gt;0,CG1695,MAX(0.1,N(Cockpit!$I$6)))-CK1695)),0)</f>
        <v>3</v>
      </c>
      <c r="AW1695" s="51" t="n">
        <f aca="false">IF(AS1695&gt;0,J1695/AS1695,-1)</f>
        <v>0</v>
      </c>
      <c r="AX1695" s="51" t="n">
        <f aca="false">IF(AND(OR(CF1695="L1",CF1695="L23",CF1695="LIFT"),AS1695&gt;0),SUMIFS($AS$7:$AS$1843,$CF$7:$CF$1843,CF1695,$AW$7:$AW$1843,"&gt;"&amp;AW1695)+SUMIFS($AS$7:$AS$1843,$CF$7:$CF$1843,CF1695,$AW$7:$AW$1843,AW1695,$BW$7:$BW$1843,"&lt;="&amp;BW1695),"")</f>
        <v>39245.43922156</v>
      </c>
      <c r="AY1695" s="58" t="n">
        <f aca="false">IF(AX1695="",0,MAX(0,MIN(1,(IF(CF1695="L1",Parameter!$H$5,IF(CF1695="L23",Parameter!$H$6+Parameter!$H$7,Parameter!$H$5+Parameter!$H$6+Parameter!$H$7))-(AX1695-AS1695))/AS1695)))</f>
        <v>0</v>
      </c>
      <c r="AZ1695" s="50" t="n">
        <f aca="false">IF(LEFT(Cockpit!$O$5,1)="A",H1695,IF(Parameter!$E$30="MAX-Bestand",IF(CH1695=1,CI1695,IF(LEFT(Cockpit!$O$5,1)="B",BF1695,MAX(BF1695,H1695))),ROUNDUP(BD1695,0)))</f>
        <v>2</v>
      </c>
      <c r="BA1695" s="50" t="n">
        <f aca="false">IF(BZ1695=1,0,ROUNDUP(AZ1695/BY1695,0))</f>
        <v>1</v>
      </c>
      <c r="BB1695" s="52" t="n">
        <f aca="false">IF(CQ1695&gt;0,CQ1695*MAX(1,AZ1695/X1695),IF(BZ1695=1,IF(AZ1695&lt;=0,0,CD1695*MAX(1,IF(H1695&gt;0,AZ1695/H1695,1))),IF(R1695&gt;0,BA1695/R1695,0))/MAX(0.1,N(Parameter!$M$21)))</f>
        <v>0.0384615384615385</v>
      </c>
      <c r="BC1695" s="50" t="n">
        <f aca="false">BB1695*CB1695</f>
        <v>5.96153846153846</v>
      </c>
      <c r="BD1695" s="51" t="n">
        <f aca="false">IF(LEFT(Cockpit!$O$5,1)="A",H1695,IF(CH1695=1,(CK1695+CI1695)/2,IF(LEFT(Cockpit!$O$5,1)="B",(CK1695+BF1695)/2,MAX((CK1695+BF1695)/2,H1695))))</f>
        <v>1.5</v>
      </c>
      <c r="BE1695" s="50" t="n">
        <f aca="false">BD1695*G1695</f>
        <v>43.5</v>
      </c>
      <c r="BF1695" s="50" t="n">
        <f aca="false">ROUNDUP(CK1695+MAX(CL1695,2*(J1695/IF(CG1695&gt;0,CG1695,MAX(0.1,N(Cockpit!$O$6)))-CK1695)),0)</f>
        <v>3</v>
      </c>
      <c r="BG1695" s="51" t="n">
        <f aca="false">IF(BC1695&gt;0,J1695/BC1695,-1)</f>
        <v>0</v>
      </c>
      <c r="BH1695" s="51" t="n">
        <f aca="false">IF(AND(OR(CF1695="L1",CF1695="L23",CF1695="LIFT"),BC1695&gt;0),SUMIFS($BC$7:$BC$1843,$CF$7:$CF$1843,CF1695,$BG$7:$BG$1843,"&gt;"&amp;BG1695)+SUMIFS($BC$7:$BC$1843,$CF$7:$CF$1843,CF1695,$BG$7:$BG$1843,BG1695,$BW$7:$BW$1843,"&lt;="&amp;BW1695),"")</f>
        <v>32489.7522919642</v>
      </c>
      <c r="BI1695" s="58" t="n">
        <f aca="false">IF(BH1695="",0,MAX(0,MIN(1,(IF(CF1695="L1",Parameter!$H$5,IF(CF1695="L23",Parameter!$H$6+Parameter!$H$7,Parameter!$H$5+Parameter!$H$6+Parameter!$H$7))-(BH1695-BC1695))/BC1695)))</f>
        <v>1</v>
      </c>
      <c r="BJ1695" s="48" t="str">
        <f aca="false">IF(AI1695&lt;=0,"",IF(CF1695="Aussen","Aussenlager",IF(CF1695="-","Nicht im Lift",IF(AO1695&gt;=1,"Lift",IF(AO1695&lt;=0,"Aussenlager","teilweise")))))</f>
        <v>Lift</v>
      </c>
      <c r="BK1695" s="48" t="str">
        <f aca="false">IF(AS1695&lt;=0,"",IF(CF1695="Aussen","Aussenlager",IF(CF1695="-","Nicht im Lift",IF(AY1695&gt;=1,"Lift",IF(AY1695&lt;=0,"Aussenlager","teilweise")))))</f>
        <v>Aussenlager</v>
      </c>
      <c r="BL1695" s="48" t="str">
        <f aca="false">IF(BC1695&lt;=0,"",IF(CF1695="Aussen","Aussenlager",IF(CF1695="-","Nicht im Lift",IF(BI1695&gt;=1,"Lift",IF(BI1695&lt;=0,"Aussenlager","teilweise")))))</f>
        <v>Lift</v>
      </c>
      <c r="BM1695" s="48" t="str">
        <f aca="false">IF(A1695="","",IF(BV1695=1,"Neu; ","")&amp;IF(AND(BV1695=0,BQ1695&lt;0),"negativer Bestand (Export "&amp;BQ1695&amp;"); ","")&amp;IF(J1695&lt;=0,"Kein Verbrauch; ","")&amp;IF(CQ1695&gt;0,"Lift "&amp;W1695&amp;" lt. Liftbericht (Fach "&amp;X1695&amp;" Stk); ",IF(CA1695=1,"Gebinde geschätzt ("&amp;T1695&amp;"); ",IF(BZ1695=1,"Lose – Tablare geschätzt; ","")))&amp;IF(H1695&gt;AV1695,"Überbestand "&amp;ROUND(H1695-AV1695,0)&amp;" Stk / CHF "&amp;ROUND((H1695-AV1695)*G1695,0)&amp;"; ","")&amp;IF(AND(CH1695=1,CI1695&lt;CJ1695),"MAX &lt; MB+LG; ","")&amp;IF(AND(CP1695&gt;0,CO1695*10&gt;CP1695),"zu hoch für Tablar; ","")&amp;IF(AND(BV1695=0,OR(CH1695=1,AA1695&lt;&gt;"",U1695&lt;&gt;"",V1695&lt;&gt;"",AB1695&lt;&gt;"")),"manuell übersteuert; ","")&amp;IF(AND(BZ1695=0,R1695=0),"Gebinde unbekannt / Stellmass fehlt; ","")&amp;IF(AND(BZ1695=0,N(V1695)&lt;=0,N(Q1695)&lt;=0),"Menge pro Gebinde fehlt (Ist = 1 Gebinde); ","")&amp;BU1695)</f>
        <v>Kein Verbrauch; nur im Artikelstamm (Bestand 23.06.2026)</v>
      </c>
      <c r="BN1695" s="48"/>
      <c r="BO1695" s="48"/>
      <c r="BP1695" s="55"/>
      <c r="BQ1695" s="50" t="n">
        <v>3</v>
      </c>
      <c r="BR1695" s="50" t="n">
        <v>0</v>
      </c>
      <c r="BS1695" s="49" t="n">
        <v>0</v>
      </c>
      <c r="BT1695" s="50" t="n">
        <v>0</v>
      </c>
      <c r="BU1695" s="48" t="s">
        <v>2584</v>
      </c>
      <c r="BV1695" s="53" t="n">
        <v>0</v>
      </c>
      <c r="BW1695" s="53" t="n">
        <v>1695</v>
      </c>
      <c r="BX1695" s="48" t="str">
        <f aca="false">IF(U1695&lt;&gt;"",UPPER(TRIM(U1695)),IF(CA1695=1,UPPER(VLOOKUP(T1695,Parameter!$I$27:$K$29,2,0)),IF(P1695="","LOSE",P1695)))</f>
        <v>S51</v>
      </c>
      <c r="BY1695" s="50" t="n">
        <f aca="false">IF(BX1695="LOSE",1,IF(N(V1695)&gt;0,V1695,IF(CA1695=1,MAX(1,N(VLOOKUP(T1695,Parameter!$I$27:$K$29,3,0)),H1695,N(N1695)),IF(N(Q1695)&gt;0,Q1695,MAX(1,H1695)))))</f>
        <v>5</v>
      </c>
      <c r="BZ1695" s="53" t="n">
        <f aca="false">IF(BX1695="LOSE",1,0)</f>
        <v>0</v>
      </c>
      <c r="CA1695" s="53" t="n">
        <f aca="false">IF(AND(U1695="",OR(P1695="",P1695="LOSE"),T1695&lt;&gt;"",N(S1695)&lt;=0,ISNUMBER(MATCH(T1695,Parameter!$I$27:$I$29,0))),1,0)</f>
        <v>0</v>
      </c>
      <c r="CB1695" s="53" t="n">
        <f aca="false">IF(CQ1695&gt;0,INDEX(Parameter!$H$5:$H$7,W1695)/INDEX(Parameter!$E$5:$E$7,W1695),IF(AND(BZ1695=0,N(IFERROR(VLOOKUP(BX1695,'Gebinde-Kategorie'!$A$5:$N$45,14,0),0))&gt;0),VLOOKUP(BX1695,'Gebinde-Kategorie'!$A$5:$N$45,14,0)*10+Parameter!$M$23,Parameter!$M$24))</f>
        <v>155</v>
      </c>
      <c r="CC1695" s="48" t="n">
        <f aca="false">IF(AND(Parameter!$B$19="Ja",E1695&lt;&gt;"",ISNUMBER(MATCH(E1695,Parameter!$I$35:$I$52,0))),VLOOKUP(E1695,Parameter!$I$35:$J$52,2,0),IFERROR(VLOOKUP(D1695,Parameter!$A$35:$C$64,2,0),"Nein"))</f>
        <v>1</v>
      </c>
      <c r="CD1695" s="52" t="n">
        <f aca="false">IF(BZ1695=0,0,IF(N(S1695)&gt;0,S1695,IFERROR(VLOOKUP(D1695,Parameter!$A$35:$C$64,3,0)+0,0)))</f>
        <v>0</v>
      </c>
      <c r="CE1695" s="48" t="n">
        <f aca="false">IF(AA1695&lt;&gt;"",AA1695,Z1695)</f>
        <v>1</v>
      </c>
      <c r="CF1695" s="48" t="str">
        <f aca="false">IF(OR(CE1695=1,CE1695=2,CE1695=3),IF(Parameter!$E$27="Ja","LIFT",IF(CE1695=1,"L1","L23")),IF(CE1695="Aussen","Aussen","-"))</f>
        <v>LIFT</v>
      </c>
      <c r="CG1695" s="59" t="n">
        <f aca="false">IF(N(AB1695)&gt;0,AB1695,0)</f>
        <v>0</v>
      </c>
      <c r="CH1695" s="53" t="n">
        <f aca="false">IF(ISNUMBER(AE1695),1,0)</f>
        <v>0</v>
      </c>
      <c r="CI1695" s="50" t="n">
        <f aca="false">N(AE1695)</f>
        <v>0</v>
      </c>
      <c r="CJ1695" s="50" t="n">
        <f aca="false">N(M1695)+N(N1695)</f>
        <v>3</v>
      </c>
      <c r="CK1695" s="50" t="n">
        <f aca="false">N(M1695)</f>
        <v>0</v>
      </c>
      <c r="CL1695" s="50" t="n">
        <f aca="false">N(N1695)</f>
        <v>3</v>
      </c>
      <c r="CM1695" s="50" t="n">
        <f aca="false">ROUNDUP(H1695/BY1695,0)</f>
        <v>1</v>
      </c>
      <c r="CN1695" s="50" t="n">
        <f aca="false">ROUNDUP(CI1695/BY1695,0)</f>
        <v>0</v>
      </c>
      <c r="CO1695" s="53" t="n">
        <f aca="false">IF(BZ1695=1,0,IFERROR(VLOOKUP(BX1695,'Gebinde-Kategorie'!$A$5:$N$45,5,0)+0,0))</f>
        <v>11</v>
      </c>
      <c r="CP1695" s="53" t="n">
        <f aca="false">IFERROR(IF(OR(CE1695=1,CE1695=2,CE1695=3),N(INDEX(Parameter!$I$5:$I$7,CE1695)),0),0)</f>
        <v>0</v>
      </c>
      <c r="CQ1695" s="52" t="n">
        <f aca="false">IF(AND(Parameter!$B$21="Ja",ISNUMBER(W1695),N(X1695)&gt;0),IFERROR(N(INDEX(Parameter!$L$5:$L$7,W1695))*INDEX(Parameter!$E$5:$E$7,W1695)*X1695/SUMIFS($X$7:$X$1843,$W$7:$W$1843,W1695),0),0)</f>
        <v>0</v>
      </c>
    </row>
    <row r="1696" customFormat="false" ht="15" hidden="false" customHeight="false" outlineLevel="0" collapsed="false">
      <c r="A1696" s="48" t="s">
        <v>2946</v>
      </c>
      <c r="B1696" s="48" t="s">
        <v>831</v>
      </c>
      <c r="C1696" s="48" t="s">
        <v>173</v>
      </c>
      <c r="D1696" s="48" t="s">
        <v>193</v>
      </c>
      <c r="E1696" s="48"/>
      <c r="F1696" s="48"/>
      <c r="G1696" s="49" t="n">
        <v>34</v>
      </c>
      <c r="H1696" s="50" t="n">
        <f aca="false">MAX(0,IF(AND(Parameter!$B$21="Ja",ISNUMBER(Y1696)),Y1696,IF(Parameter!$B$20="Jahresanfang 2025 + Export",BR1696+BQ1696,BQ1696)))</f>
        <v>3</v>
      </c>
      <c r="I1696" s="50" t="n">
        <f aca="false">H1696*G1696</f>
        <v>102</v>
      </c>
      <c r="J1696" s="50" t="n">
        <f aca="false">BT1696*Parameter!$B$18</f>
        <v>0</v>
      </c>
      <c r="K1696" s="51"/>
      <c r="L1696" s="52"/>
      <c r="M1696" s="50" t="n">
        <v>0</v>
      </c>
      <c r="N1696" s="50" t="n">
        <v>3</v>
      </c>
      <c r="O1696" s="53" t="n">
        <v>35</v>
      </c>
      <c r="P1696" s="48" t="s">
        <v>311</v>
      </c>
      <c r="Q1696" s="50" t="n">
        <v>5</v>
      </c>
      <c r="R1696" s="53" t="n">
        <f aca="false">IF(BZ1696=1,0,IFERROR(VLOOKUP(BX1696,'Gebinde-Kategorie'!$A$5:$N$45,13,0)+0,0))</f>
        <v>26</v>
      </c>
      <c r="S1696" s="54"/>
      <c r="T1696" s="55"/>
      <c r="U1696" s="55"/>
      <c r="V1696" s="55"/>
      <c r="W1696" s="48"/>
      <c r="X1696" s="50"/>
      <c r="Y1696" s="50"/>
      <c r="Z1696" s="48" t="n">
        <f aca="false">IF(A1696="","",IF(AND(Parameter!$B$21="Ja",ISNUMBER(W1696)),W1696,IF(CC1696="2+3",IF(ISNUMBER(SEARCH("grosser Artikel",BU1696)),2,IFERROR(VLOOKUP(BX1696,Parameter!$F$35:$G$64,2,0),2)),IF(OR(CC1696="Nein",CC1696=""),"-",CC1696))))</f>
        <v>3</v>
      </c>
      <c r="AA1696" s="55"/>
      <c r="AB1696" s="56"/>
      <c r="AC1696" s="50" t="n">
        <f aca="false">AV1696</f>
        <v>3</v>
      </c>
      <c r="AD1696" s="50" t="n">
        <f aca="false">MAX(AV1696,H1696)</f>
        <v>3</v>
      </c>
      <c r="AE1696" s="57"/>
      <c r="AF1696" s="50" t="n">
        <f aca="false">IF(LEFT(Cockpit!$C$5,1)="A",H1696,IF(Parameter!$E$30="MAX-Bestand",IF(CH1696=1,CI1696,IF(LEFT(Cockpit!$C$5,1)="B",AL1696,MAX(AL1696,H1696))),ROUNDUP(AJ1696,0)))</f>
        <v>3</v>
      </c>
      <c r="AG1696" s="50" t="n">
        <f aca="false">IF(BZ1696=1,0,ROUNDUP(AF1696/BY1696,0))</f>
        <v>1</v>
      </c>
      <c r="AH1696" s="52" t="n">
        <f aca="false">IF(CQ1696&gt;0,CQ1696*MAX(1,AF1696/X1696),IF(BZ1696=1,IF(AF1696&lt;=0,0,CD1696*MAX(1,IF(H1696&gt;0,AF1696/H1696,1))),IF(R1696&gt;0,AG1696/R1696,0))/MAX(0.1,N(Parameter!$M$21)))</f>
        <v>0.0384615384615385</v>
      </c>
      <c r="AI1696" s="50" t="n">
        <f aca="false">AH1696*CB1696</f>
        <v>5.96153846153846</v>
      </c>
      <c r="AJ1696" s="51" t="n">
        <f aca="false">IF(LEFT(Cockpit!$C$5,1)="A",H1696,IF(CH1696=1,(CK1696+CI1696)/2,IF(LEFT(Cockpit!$C$5,1)="B",(CK1696+AL1696)/2,MAX((CK1696+AL1696)/2,H1696))))</f>
        <v>3</v>
      </c>
      <c r="AK1696" s="50" t="n">
        <f aca="false">AJ1696*G1696</f>
        <v>102</v>
      </c>
      <c r="AL1696" s="50" t="n">
        <f aca="false">ROUNDUP(CK1696+MAX(CL1696,2*(J1696/IF(CG1696&gt;0,CG1696,MAX(0.1,N(Cockpit!$C$6)))-CK1696)),0)</f>
        <v>3</v>
      </c>
      <c r="AM1696" s="51" t="n">
        <f aca="false">IF(AI1696&gt;0,J1696/AI1696,-1)</f>
        <v>0</v>
      </c>
      <c r="AN1696" s="51" t="n">
        <f aca="false">IF(AND(OR(CF1696="L1",CF1696="L23",CF1696="LIFT"),AI1696&gt;0),SUMIFS($AI$7:$AI$1843,$CF$7:$CF$1843,CF1696,$AM$7:$AM$1843,"&gt;"&amp;AM1696)+SUMIFS($AI$7:$AI$1843,$CF$7:$CF$1843,CF1696,$AM$7:$AM$1843,AM1696,$BW$7:$BW$1843,"&lt;="&amp;BW1696),"")</f>
        <v>32779.1525294385</v>
      </c>
      <c r="AO1696" s="58" t="n">
        <f aca="false">IF(AN1696="",0,MAX(0,MIN(1,(IF(CF1696="L1",Parameter!$H$5,IF(CF1696="L23",Parameter!$H$6+Parameter!$H$7,Parameter!$H$5+Parameter!$H$6+Parameter!$H$7))-(AN1696-AI1696))/AI1696)))</f>
        <v>1</v>
      </c>
      <c r="AP1696" s="50" t="n">
        <f aca="false">IF(LEFT(Cockpit!$I$5,1)="A",H1696,IF(Parameter!$E$30="MAX-Bestand",IF(CH1696=1,CI1696,IF(LEFT(Cockpit!$I$5,1)="B",AV1696,MAX(AV1696,H1696))),ROUNDUP(AT1696,0)))</f>
        <v>3</v>
      </c>
      <c r="AQ1696" s="50" t="n">
        <f aca="false">IF(BZ1696=1,0,ROUNDUP(AP1696/BY1696,0))</f>
        <v>1</v>
      </c>
      <c r="AR1696" s="52" t="n">
        <f aca="false">IF(CQ1696&gt;0,CQ1696*MAX(1,AP1696/X1696),IF(BZ1696=1,IF(AP1696&lt;=0,0,CD1696*MAX(1,IF(H1696&gt;0,AP1696/H1696,1))),IF(R1696&gt;0,AQ1696/R1696,0))/MAX(0.1,N(Parameter!$M$21)))</f>
        <v>0.0384615384615385</v>
      </c>
      <c r="AS1696" s="50" t="n">
        <f aca="false">AR1696*CB1696</f>
        <v>5.96153846153846</v>
      </c>
      <c r="AT1696" s="51" t="n">
        <f aca="false">IF(LEFT(Cockpit!$I$5,1)="A",H1696,IF(CH1696=1,(CK1696+CI1696)/2,IF(LEFT(Cockpit!$I$5,1)="B",(CK1696+AV1696)/2,MAX((CK1696+AV1696)/2,H1696))))</f>
        <v>3</v>
      </c>
      <c r="AU1696" s="50" t="n">
        <f aca="false">AT1696*G1696</f>
        <v>102</v>
      </c>
      <c r="AV1696" s="50" t="n">
        <f aca="false">ROUNDUP(CK1696+MAX(CL1696,2*(J1696/IF(CG1696&gt;0,CG1696,MAX(0.1,N(Cockpit!$I$6)))-CK1696)),0)</f>
        <v>3</v>
      </c>
      <c r="AW1696" s="51" t="n">
        <f aca="false">IF(AS1696&gt;0,J1696/AS1696,-1)</f>
        <v>0</v>
      </c>
      <c r="AX1696" s="51" t="n">
        <f aca="false">IF(AND(OR(CF1696="L1",CF1696="L23",CF1696="LIFT"),AS1696&gt;0),SUMIFS($AS$7:$AS$1843,$CF$7:$CF$1843,CF1696,$AW$7:$AW$1843,"&gt;"&amp;AW1696)+SUMIFS($AS$7:$AS$1843,$CF$7:$CF$1843,CF1696,$AW$7:$AW$1843,AW1696,$BW$7:$BW$1843,"&lt;="&amp;BW1696),"")</f>
        <v>39251.4007600215</v>
      </c>
      <c r="AY1696" s="58" t="n">
        <f aca="false">IF(AX1696="",0,MAX(0,MIN(1,(IF(CF1696="L1",Parameter!$H$5,IF(CF1696="L23",Parameter!$H$6+Parameter!$H$7,Parameter!$H$5+Parameter!$H$6+Parameter!$H$7))-(AX1696-AS1696))/AS1696)))</f>
        <v>0</v>
      </c>
      <c r="AZ1696" s="50" t="n">
        <f aca="false">IF(LEFT(Cockpit!$O$5,1)="A",H1696,IF(Parameter!$E$30="MAX-Bestand",IF(CH1696=1,CI1696,IF(LEFT(Cockpit!$O$5,1)="B",BF1696,MAX(BF1696,H1696))),ROUNDUP(BD1696,0)))</f>
        <v>2</v>
      </c>
      <c r="BA1696" s="50" t="n">
        <f aca="false">IF(BZ1696=1,0,ROUNDUP(AZ1696/BY1696,0))</f>
        <v>1</v>
      </c>
      <c r="BB1696" s="52" t="n">
        <f aca="false">IF(CQ1696&gt;0,CQ1696*MAX(1,AZ1696/X1696),IF(BZ1696=1,IF(AZ1696&lt;=0,0,CD1696*MAX(1,IF(H1696&gt;0,AZ1696/H1696,1))),IF(R1696&gt;0,BA1696/R1696,0))/MAX(0.1,N(Parameter!$M$21)))</f>
        <v>0.0384615384615385</v>
      </c>
      <c r="BC1696" s="50" t="n">
        <f aca="false">BB1696*CB1696</f>
        <v>5.96153846153846</v>
      </c>
      <c r="BD1696" s="51" t="n">
        <f aca="false">IF(LEFT(Cockpit!$O$5,1)="A",H1696,IF(CH1696=1,(CK1696+CI1696)/2,IF(LEFT(Cockpit!$O$5,1)="B",(CK1696+BF1696)/2,MAX((CK1696+BF1696)/2,H1696))))</f>
        <v>1.5</v>
      </c>
      <c r="BE1696" s="50" t="n">
        <f aca="false">BD1696*G1696</f>
        <v>51</v>
      </c>
      <c r="BF1696" s="50" t="n">
        <f aca="false">ROUNDUP(CK1696+MAX(CL1696,2*(J1696/IF(CG1696&gt;0,CG1696,MAX(0.1,N(Cockpit!$O$6)))-CK1696)),0)</f>
        <v>3</v>
      </c>
      <c r="BG1696" s="51" t="n">
        <f aca="false">IF(BC1696&gt;0,J1696/BC1696,-1)</f>
        <v>0</v>
      </c>
      <c r="BH1696" s="51" t="n">
        <f aca="false">IF(AND(OR(CF1696="L1",CF1696="L23",CF1696="LIFT"),BC1696&gt;0),SUMIFS($BC$7:$BC$1843,$CF$7:$CF$1843,CF1696,$BG$7:$BG$1843,"&gt;"&amp;BG1696)+SUMIFS($BC$7:$BC$1843,$CF$7:$CF$1843,CF1696,$BG$7:$BG$1843,BG1696,$BW$7:$BW$1843,"&lt;="&amp;BW1696),"")</f>
        <v>32495.7138304257</v>
      </c>
      <c r="BI1696" s="58" t="n">
        <f aca="false">IF(BH1696="",0,MAX(0,MIN(1,(IF(CF1696="L1",Parameter!$H$5,IF(CF1696="L23",Parameter!$H$6+Parameter!$H$7,Parameter!$H$5+Parameter!$H$6+Parameter!$H$7))-(BH1696-BC1696))/BC1696)))</f>
        <v>1</v>
      </c>
      <c r="BJ1696" s="48" t="str">
        <f aca="false">IF(AI1696&lt;=0,"",IF(CF1696="Aussen","Aussenlager",IF(CF1696="-","Nicht im Lift",IF(AO1696&gt;=1,"Lift",IF(AO1696&lt;=0,"Aussenlager","teilweise")))))</f>
        <v>Lift</v>
      </c>
      <c r="BK1696" s="48" t="str">
        <f aca="false">IF(AS1696&lt;=0,"",IF(CF1696="Aussen","Aussenlager",IF(CF1696="-","Nicht im Lift",IF(AY1696&gt;=1,"Lift",IF(AY1696&lt;=0,"Aussenlager","teilweise")))))</f>
        <v>Aussenlager</v>
      </c>
      <c r="BL1696" s="48" t="str">
        <f aca="false">IF(BC1696&lt;=0,"",IF(CF1696="Aussen","Aussenlager",IF(CF1696="-","Nicht im Lift",IF(BI1696&gt;=1,"Lift",IF(BI1696&lt;=0,"Aussenlager","teilweise")))))</f>
        <v>Lift</v>
      </c>
      <c r="BM1696" s="48" t="str">
        <f aca="false">IF(A1696="","",IF(BV1696=1,"Neu; ","")&amp;IF(AND(BV1696=0,BQ1696&lt;0),"negativer Bestand (Export "&amp;BQ1696&amp;"); ","")&amp;IF(J1696&lt;=0,"Kein Verbrauch; ","")&amp;IF(CQ1696&gt;0,"Lift "&amp;W1696&amp;" lt. Liftbericht (Fach "&amp;X1696&amp;" Stk); ",IF(CA1696=1,"Gebinde geschätzt ("&amp;T1696&amp;"); ",IF(BZ1696=1,"Lose – Tablare geschätzt; ","")))&amp;IF(H1696&gt;AV1696,"Überbestand "&amp;ROUND(H1696-AV1696,0)&amp;" Stk / CHF "&amp;ROUND((H1696-AV1696)*G1696,0)&amp;"; ","")&amp;IF(AND(CH1696=1,CI1696&lt;CJ1696),"MAX &lt; MB+LG; ","")&amp;IF(AND(CP1696&gt;0,CO1696*10&gt;CP1696),"zu hoch für Tablar; ","")&amp;IF(AND(BV1696=0,OR(CH1696=1,AA1696&lt;&gt;"",U1696&lt;&gt;"",V1696&lt;&gt;"",AB1696&lt;&gt;"")),"manuell übersteuert; ","")&amp;IF(AND(BZ1696=0,R1696=0),"Gebinde unbekannt / Stellmass fehlt; ","")&amp;IF(AND(BZ1696=0,N(V1696)&lt;=0,N(Q1696)&lt;=0),"Menge pro Gebinde fehlt (Ist = 1 Gebinde); ","")&amp;BU1696)</f>
        <v>Kein Verbrauch; nur im Artikelstamm (Bestand 23.06.2026)</v>
      </c>
      <c r="BN1696" s="48"/>
      <c r="BO1696" s="48"/>
      <c r="BP1696" s="55"/>
      <c r="BQ1696" s="50" t="n">
        <v>3</v>
      </c>
      <c r="BR1696" s="50" t="n">
        <v>0</v>
      </c>
      <c r="BS1696" s="49" t="n">
        <v>0</v>
      </c>
      <c r="BT1696" s="50" t="n">
        <v>0</v>
      </c>
      <c r="BU1696" s="48" t="s">
        <v>2584</v>
      </c>
      <c r="BV1696" s="53" t="n">
        <v>0</v>
      </c>
      <c r="BW1696" s="53" t="n">
        <v>1696</v>
      </c>
      <c r="BX1696" s="48" t="str">
        <f aca="false">IF(U1696&lt;&gt;"",UPPER(TRIM(U1696)),IF(CA1696=1,UPPER(VLOOKUP(T1696,Parameter!$I$27:$K$29,2,0)),IF(P1696="","LOSE",P1696)))</f>
        <v>S51</v>
      </c>
      <c r="BY1696" s="50" t="n">
        <f aca="false">IF(BX1696="LOSE",1,IF(N(V1696)&gt;0,V1696,IF(CA1696=1,MAX(1,N(VLOOKUP(T1696,Parameter!$I$27:$K$29,3,0)),H1696,N(N1696)),IF(N(Q1696)&gt;0,Q1696,MAX(1,H1696)))))</f>
        <v>5</v>
      </c>
      <c r="BZ1696" s="53" t="n">
        <f aca="false">IF(BX1696="LOSE",1,0)</f>
        <v>0</v>
      </c>
      <c r="CA1696" s="53" t="n">
        <f aca="false">IF(AND(U1696="",OR(P1696="",P1696="LOSE"),T1696&lt;&gt;"",N(S1696)&lt;=0,ISNUMBER(MATCH(T1696,Parameter!$I$27:$I$29,0))),1,0)</f>
        <v>0</v>
      </c>
      <c r="CB1696" s="53" t="n">
        <f aca="false">IF(CQ1696&gt;0,INDEX(Parameter!$H$5:$H$7,W1696)/INDEX(Parameter!$E$5:$E$7,W1696),IF(AND(BZ1696=0,N(IFERROR(VLOOKUP(BX1696,'Gebinde-Kategorie'!$A$5:$N$45,14,0),0))&gt;0),VLOOKUP(BX1696,'Gebinde-Kategorie'!$A$5:$N$45,14,0)*10+Parameter!$M$23,Parameter!$M$24))</f>
        <v>155</v>
      </c>
      <c r="CC1696" s="48" t="str">
        <f aca="false">IF(AND(Parameter!$B$19="Ja",E1696&lt;&gt;"",ISNUMBER(MATCH(E1696,Parameter!$I$35:$I$52,0))),VLOOKUP(E1696,Parameter!$I$35:$J$52,2,0),IFERROR(VLOOKUP(D1696,Parameter!$A$35:$C$64,2,0),"Nein"))</f>
        <v>2+3</v>
      </c>
      <c r="CD1696" s="52" t="n">
        <f aca="false">IF(BZ1696=0,0,IF(N(S1696)&gt;0,S1696,IFERROR(VLOOKUP(D1696,Parameter!$A$35:$C$64,3,0)+0,0)))</f>
        <v>0</v>
      </c>
      <c r="CE1696" s="48" t="n">
        <f aca="false">IF(AA1696&lt;&gt;"",AA1696,Z1696)</f>
        <v>3</v>
      </c>
      <c r="CF1696" s="48" t="str">
        <f aca="false">IF(OR(CE1696=1,CE1696=2,CE1696=3),IF(Parameter!$E$27="Ja","LIFT",IF(CE1696=1,"L1","L23")),IF(CE1696="Aussen","Aussen","-"))</f>
        <v>LIFT</v>
      </c>
      <c r="CG1696" s="59" t="n">
        <f aca="false">IF(N(AB1696)&gt;0,AB1696,0)</f>
        <v>0</v>
      </c>
      <c r="CH1696" s="53" t="n">
        <f aca="false">IF(ISNUMBER(AE1696),1,0)</f>
        <v>0</v>
      </c>
      <c r="CI1696" s="50" t="n">
        <f aca="false">N(AE1696)</f>
        <v>0</v>
      </c>
      <c r="CJ1696" s="50" t="n">
        <f aca="false">N(M1696)+N(N1696)</f>
        <v>3</v>
      </c>
      <c r="CK1696" s="50" t="n">
        <f aca="false">N(M1696)</f>
        <v>0</v>
      </c>
      <c r="CL1696" s="50" t="n">
        <f aca="false">N(N1696)</f>
        <v>3</v>
      </c>
      <c r="CM1696" s="50" t="n">
        <f aca="false">ROUNDUP(H1696/BY1696,0)</f>
        <v>1</v>
      </c>
      <c r="CN1696" s="50" t="n">
        <f aca="false">ROUNDUP(CI1696/BY1696,0)</f>
        <v>0</v>
      </c>
      <c r="CO1696" s="53" t="n">
        <f aca="false">IF(BZ1696=1,0,IFERROR(VLOOKUP(BX1696,'Gebinde-Kategorie'!$A$5:$N$45,5,0)+0,0))</f>
        <v>11</v>
      </c>
      <c r="CP1696" s="53" t="n">
        <f aca="false">IFERROR(IF(OR(CE1696=1,CE1696=2,CE1696=3),N(INDEX(Parameter!$I$5:$I$7,CE1696)),0),0)</f>
        <v>0</v>
      </c>
      <c r="CQ1696" s="52" t="n">
        <f aca="false">IF(AND(Parameter!$B$21="Ja",ISNUMBER(W1696),N(X1696)&gt;0),IFERROR(N(INDEX(Parameter!$L$5:$L$7,W1696))*INDEX(Parameter!$E$5:$E$7,W1696)*X1696/SUMIFS($X$7:$X$1843,$W$7:$W$1843,W1696),0),0)</f>
        <v>0</v>
      </c>
    </row>
    <row r="1697" customFormat="false" ht="15" hidden="false" customHeight="false" outlineLevel="0" collapsed="false">
      <c r="A1697" s="48" t="s">
        <v>2947</v>
      </c>
      <c r="B1697" s="48" t="s">
        <v>1145</v>
      </c>
      <c r="C1697" s="48" t="s">
        <v>173</v>
      </c>
      <c r="D1697" s="48" t="s">
        <v>193</v>
      </c>
      <c r="E1697" s="48"/>
      <c r="F1697" s="48"/>
      <c r="G1697" s="49" t="n">
        <v>4.6</v>
      </c>
      <c r="H1697" s="50" t="n">
        <f aca="false">MAX(0,IF(AND(Parameter!$B$21="Ja",ISNUMBER(Y1697)),Y1697,IF(Parameter!$B$20="Jahresanfang 2025 + Export",BR1697+BQ1697,BQ1697)))</f>
        <v>10</v>
      </c>
      <c r="I1697" s="50" t="n">
        <f aca="false">H1697*G1697</f>
        <v>46</v>
      </c>
      <c r="J1697" s="50" t="n">
        <f aca="false">BT1697*Parameter!$B$18</f>
        <v>0</v>
      </c>
      <c r="K1697" s="51"/>
      <c r="L1697" s="52"/>
      <c r="M1697" s="50" t="n">
        <v>0</v>
      </c>
      <c r="N1697" s="50" t="n">
        <v>1</v>
      </c>
      <c r="O1697" s="53" t="n">
        <v>28</v>
      </c>
      <c r="P1697" s="48" t="s">
        <v>337</v>
      </c>
      <c r="Q1697" s="50" t="n">
        <v>9</v>
      </c>
      <c r="R1697" s="53" t="n">
        <f aca="false">IF(BZ1697=1,0,IFERROR(VLOOKUP(BX1697,'Gebinde-Kategorie'!$A$5:$N$45,13,0)+0,0))</f>
        <v>52</v>
      </c>
      <c r="S1697" s="54"/>
      <c r="T1697" s="55"/>
      <c r="U1697" s="55"/>
      <c r="V1697" s="55"/>
      <c r="W1697" s="48"/>
      <c r="X1697" s="50"/>
      <c r="Y1697" s="50"/>
      <c r="Z1697" s="48" t="n">
        <f aca="false">IF(A1697="","",IF(AND(Parameter!$B$21="Ja",ISNUMBER(W1697)),W1697,IF(CC1697="2+3",IF(ISNUMBER(SEARCH("grosser Artikel",BU1697)),2,IFERROR(VLOOKUP(BX1697,Parameter!$F$35:$G$64,2,0),2)),IF(OR(CC1697="Nein",CC1697=""),"-",CC1697))))</f>
        <v>3</v>
      </c>
      <c r="AA1697" s="55"/>
      <c r="AB1697" s="56"/>
      <c r="AC1697" s="50" t="n">
        <f aca="false">AV1697</f>
        <v>1</v>
      </c>
      <c r="AD1697" s="50" t="n">
        <f aca="false">MAX(AV1697,H1697)</f>
        <v>10</v>
      </c>
      <c r="AE1697" s="57"/>
      <c r="AF1697" s="50" t="n">
        <f aca="false">IF(LEFT(Cockpit!$C$5,1)="A",H1697,IF(Parameter!$E$30="MAX-Bestand",IF(CH1697=1,CI1697,IF(LEFT(Cockpit!$C$5,1)="B",AL1697,MAX(AL1697,H1697))),ROUNDUP(AJ1697,0)))</f>
        <v>10</v>
      </c>
      <c r="AG1697" s="50" t="n">
        <f aca="false">IF(BZ1697=1,0,ROUNDUP(AF1697/BY1697,0))</f>
        <v>2</v>
      </c>
      <c r="AH1697" s="52" t="n">
        <f aca="false">IF(CQ1697&gt;0,CQ1697*MAX(1,AF1697/X1697),IF(BZ1697=1,IF(AF1697&lt;=0,0,CD1697*MAX(1,IF(H1697&gt;0,AF1697/H1697,1))),IF(R1697&gt;0,AG1697/R1697,0))/MAX(0.1,N(Parameter!$M$21)))</f>
        <v>0.0384615384615385</v>
      </c>
      <c r="AI1697" s="50" t="n">
        <f aca="false">AH1697*CB1697</f>
        <v>5.96153846153846</v>
      </c>
      <c r="AJ1697" s="51" t="n">
        <f aca="false">IF(LEFT(Cockpit!$C$5,1)="A",H1697,IF(CH1697=1,(CK1697+CI1697)/2,IF(LEFT(Cockpit!$C$5,1)="B",(CK1697+AL1697)/2,MAX((CK1697+AL1697)/2,H1697))))</f>
        <v>10</v>
      </c>
      <c r="AK1697" s="50" t="n">
        <f aca="false">AJ1697*G1697</f>
        <v>46</v>
      </c>
      <c r="AL1697" s="50" t="n">
        <f aca="false">ROUNDUP(CK1697+MAX(CL1697,2*(J1697/IF(CG1697&gt;0,CG1697,MAX(0.1,N(Cockpit!$C$6)))-CK1697)),0)</f>
        <v>1</v>
      </c>
      <c r="AM1697" s="51" t="n">
        <f aca="false">IF(AI1697&gt;0,J1697/AI1697,-1)</f>
        <v>0</v>
      </c>
      <c r="AN1697" s="51" t="n">
        <f aca="false">IF(AND(OR(CF1697="L1",CF1697="L23",CF1697="LIFT"),AI1697&gt;0),SUMIFS($AI$7:$AI$1843,$CF$7:$CF$1843,CF1697,$AM$7:$AM$1843,"&gt;"&amp;AM1697)+SUMIFS($AI$7:$AI$1843,$CF$7:$CF$1843,CF1697,$AM$7:$AM$1843,AM1697,$BW$7:$BW$1843,"&lt;="&amp;BW1697),"")</f>
        <v>32785.1140679001</v>
      </c>
      <c r="AO1697" s="58" t="n">
        <f aca="false">IF(AN1697="",0,MAX(0,MIN(1,(IF(CF1697="L1",Parameter!$H$5,IF(CF1697="L23",Parameter!$H$6+Parameter!$H$7,Parameter!$H$5+Parameter!$H$6+Parameter!$H$7))-(AN1697-AI1697))/AI1697)))</f>
        <v>1</v>
      </c>
      <c r="AP1697" s="50" t="n">
        <f aca="false">IF(LEFT(Cockpit!$I$5,1)="A",H1697,IF(Parameter!$E$30="MAX-Bestand",IF(CH1697=1,CI1697,IF(LEFT(Cockpit!$I$5,1)="B",AV1697,MAX(AV1697,H1697))),ROUNDUP(AT1697,0)))</f>
        <v>10</v>
      </c>
      <c r="AQ1697" s="50" t="n">
        <f aca="false">IF(BZ1697=1,0,ROUNDUP(AP1697/BY1697,0))</f>
        <v>2</v>
      </c>
      <c r="AR1697" s="52" t="n">
        <f aca="false">IF(CQ1697&gt;0,CQ1697*MAX(1,AP1697/X1697),IF(BZ1697=1,IF(AP1697&lt;=0,0,CD1697*MAX(1,IF(H1697&gt;0,AP1697/H1697,1))),IF(R1697&gt;0,AQ1697/R1697,0))/MAX(0.1,N(Parameter!$M$21)))</f>
        <v>0.0384615384615385</v>
      </c>
      <c r="AS1697" s="50" t="n">
        <f aca="false">AR1697*CB1697</f>
        <v>5.96153846153846</v>
      </c>
      <c r="AT1697" s="51" t="n">
        <f aca="false">IF(LEFT(Cockpit!$I$5,1)="A",H1697,IF(CH1697=1,(CK1697+CI1697)/2,IF(LEFT(Cockpit!$I$5,1)="B",(CK1697+AV1697)/2,MAX((CK1697+AV1697)/2,H1697))))</f>
        <v>10</v>
      </c>
      <c r="AU1697" s="50" t="n">
        <f aca="false">AT1697*G1697</f>
        <v>46</v>
      </c>
      <c r="AV1697" s="50" t="n">
        <f aca="false">ROUNDUP(CK1697+MAX(CL1697,2*(J1697/IF(CG1697&gt;0,CG1697,MAX(0.1,N(Cockpit!$I$6)))-CK1697)),0)</f>
        <v>1</v>
      </c>
      <c r="AW1697" s="51" t="n">
        <f aca="false">IF(AS1697&gt;0,J1697/AS1697,-1)</f>
        <v>0</v>
      </c>
      <c r="AX1697" s="51" t="n">
        <f aca="false">IF(AND(OR(CF1697="L1",CF1697="L23",CF1697="LIFT"),AS1697&gt;0),SUMIFS($AS$7:$AS$1843,$CF$7:$CF$1843,CF1697,$AW$7:$AW$1843,"&gt;"&amp;AW1697)+SUMIFS($AS$7:$AS$1843,$CF$7:$CF$1843,CF1697,$AW$7:$AW$1843,AW1697,$BW$7:$BW$1843,"&lt;="&amp;BW1697),"")</f>
        <v>39257.3622984831</v>
      </c>
      <c r="AY1697" s="58" t="n">
        <f aca="false">IF(AX1697="",0,MAX(0,MIN(1,(IF(CF1697="L1",Parameter!$H$5,IF(CF1697="L23",Parameter!$H$6+Parameter!$H$7,Parameter!$H$5+Parameter!$H$6+Parameter!$H$7))-(AX1697-AS1697))/AS1697)))</f>
        <v>0</v>
      </c>
      <c r="AZ1697" s="50" t="n">
        <f aca="false">IF(LEFT(Cockpit!$O$5,1)="A",H1697,IF(Parameter!$E$30="MAX-Bestand",IF(CH1697=1,CI1697,IF(LEFT(Cockpit!$O$5,1)="B",BF1697,MAX(BF1697,H1697))),ROUNDUP(BD1697,0)))</f>
        <v>1</v>
      </c>
      <c r="BA1697" s="50" t="n">
        <f aca="false">IF(BZ1697=1,0,ROUNDUP(AZ1697/BY1697,0))</f>
        <v>1</v>
      </c>
      <c r="BB1697" s="52" t="n">
        <f aca="false">IF(CQ1697&gt;0,CQ1697*MAX(1,AZ1697/X1697),IF(BZ1697=1,IF(AZ1697&lt;=0,0,CD1697*MAX(1,IF(H1697&gt;0,AZ1697/H1697,1))),IF(R1697&gt;0,BA1697/R1697,0))/MAX(0.1,N(Parameter!$M$21)))</f>
        <v>0.0192307692307692</v>
      </c>
      <c r="BC1697" s="50" t="n">
        <f aca="false">BB1697*CB1697</f>
        <v>2.98076923076923</v>
      </c>
      <c r="BD1697" s="51" t="n">
        <f aca="false">IF(LEFT(Cockpit!$O$5,1)="A",H1697,IF(CH1697=1,(CK1697+CI1697)/2,IF(LEFT(Cockpit!$O$5,1)="B",(CK1697+BF1697)/2,MAX((CK1697+BF1697)/2,H1697))))</f>
        <v>0.5</v>
      </c>
      <c r="BE1697" s="50" t="n">
        <f aca="false">BD1697*G1697</f>
        <v>2.3</v>
      </c>
      <c r="BF1697" s="50" t="n">
        <f aca="false">ROUNDUP(CK1697+MAX(CL1697,2*(J1697/IF(CG1697&gt;0,CG1697,MAX(0.1,N(Cockpit!$O$6)))-CK1697)),0)</f>
        <v>1</v>
      </c>
      <c r="BG1697" s="51" t="n">
        <f aca="false">IF(BC1697&gt;0,J1697/BC1697,-1)</f>
        <v>0</v>
      </c>
      <c r="BH1697" s="51" t="n">
        <f aca="false">IF(AND(OR(CF1697="L1",CF1697="L23",CF1697="LIFT"),BC1697&gt;0),SUMIFS($BC$7:$BC$1843,$CF$7:$CF$1843,CF1697,$BG$7:$BG$1843,"&gt;"&amp;BG1697)+SUMIFS($BC$7:$BC$1843,$CF$7:$CF$1843,CF1697,$BG$7:$BG$1843,BG1697,$BW$7:$BW$1843,"&lt;="&amp;BW1697),"")</f>
        <v>32498.6945996565</v>
      </c>
      <c r="BI1697" s="58" t="n">
        <f aca="false">IF(BH1697="",0,MAX(0,MIN(1,(IF(CF1697="L1",Parameter!$H$5,IF(CF1697="L23",Parameter!$H$6+Parameter!$H$7,Parameter!$H$5+Parameter!$H$6+Parameter!$H$7))-(BH1697-BC1697))/BC1697)))</f>
        <v>1</v>
      </c>
      <c r="BJ1697" s="48" t="str">
        <f aca="false">IF(AI1697&lt;=0,"",IF(CF1697="Aussen","Aussenlager",IF(CF1697="-","Nicht im Lift",IF(AO1697&gt;=1,"Lift",IF(AO1697&lt;=0,"Aussenlager","teilweise")))))</f>
        <v>Lift</v>
      </c>
      <c r="BK1697" s="48" t="str">
        <f aca="false">IF(AS1697&lt;=0,"",IF(CF1697="Aussen","Aussenlager",IF(CF1697="-","Nicht im Lift",IF(AY1697&gt;=1,"Lift",IF(AY1697&lt;=0,"Aussenlager","teilweise")))))</f>
        <v>Aussenlager</v>
      </c>
      <c r="BL1697" s="48" t="str">
        <f aca="false">IF(BC1697&lt;=0,"",IF(CF1697="Aussen","Aussenlager",IF(CF1697="-","Nicht im Lift",IF(BI1697&gt;=1,"Lift",IF(BI1697&lt;=0,"Aussenlager","teilweise")))))</f>
        <v>Lift</v>
      </c>
      <c r="BM1697" s="48" t="str">
        <f aca="false">IF(A1697="","",IF(BV1697=1,"Neu; ","")&amp;IF(AND(BV1697=0,BQ1697&lt;0),"negativer Bestand (Export "&amp;BQ1697&amp;"); ","")&amp;IF(J1697&lt;=0,"Kein Verbrauch; ","")&amp;IF(CQ1697&gt;0,"Lift "&amp;W1697&amp;" lt. Liftbericht (Fach "&amp;X1697&amp;" Stk); ",IF(CA1697=1,"Gebinde geschätzt ("&amp;T1697&amp;"); ",IF(BZ1697=1,"Lose – Tablare geschätzt; ","")))&amp;IF(H1697&gt;AV1697,"Überbestand "&amp;ROUND(H1697-AV1697,0)&amp;" Stk / CHF "&amp;ROUND((H1697-AV1697)*G1697,0)&amp;"; ","")&amp;IF(AND(CH1697=1,CI1697&lt;CJ1697),"MAX &lt; MB+LG; ","")&amp;IF(AND(CP1697&gt;0,CO1697*10&gt;CP1697),"zu hoch für Tablar; ","")&amp;IF(AND(BV1697=0,OR(CH1697=1,AA1697&lt;&gt;"",U1697&lt;&gt;"",V1697&lt;&gt;"",AB1697&lt;&gt;"")),"manuell übersteuert; ","")&amp;IF(AND(BZ1697=0,R1697=0),"Gebinde unbekannt / Stellmass fehlt; ","")&amp;IF(AND(BZ1697=0,N(V1697)&lt;=0,N(Q1697)&lt;=0),"Menge pro Gebinde fehlt (Ist = 1 Gebinde); ","")&amp;BU1697)</f>
        <v>Kein Verbrauch; Überbestand 9 Stk / CHF 41; nur im Artikelstamm (Bestand 23.06.2026)</v>
      </c>
      <c r="BN1697" s="48"/>
      <c r="BO1697" s="48"/>
      <c r="BP1697" s="55"/>
      <c r="BQ1697" s="50" t="n">
        <v>10</v>
      </c>
      <c r="BR1697" s="50" t="n">
        <v>0</v>
      </c>
      <c r="BS1697" s="49" t="n">
        <v>0</v>
      </c>
      <c r="BT1697" s="50" t="n">
        <v>0</v>
      </c>
      <c r="BU1697" s="48" t="s">
        <v>2584</v>
      </c>
      <c r="BV1697" s="53" t="n">
        <v>0</v>
      </c>
      <c r="BW1697" s="53" t="n">
        <v>1697</v>
      </c>
      <c r="BX1697" s="48" t="str">
        <f aca="false">IF(U1697&lt;&gt;"",UPPER(TRIM(U1697)),IF(CA1697=1,UPPER(VLOOKUP(T1697,Parameter!$I$27:$K$29,2,0)),IF(P1697="","LOSE",P1697)))</f>
        <v>S41</v>
      </c>
      <c r="BY1697" s="50" t="n">
        <f aca="false">IF(BX1697="LOSE",1,IF(N(V1697)&gt;0,V1697,IF(CA1697=1,MAX(1,N(VLOOKUP(T1697,Parameter!$I$27:$K$29,3,0)),H1697,N(N1697)),IF(N(Q1697)&gt;0,Q1697,MAX(1,H1697)))))</f>
        <v>9</v>
      </c>
      <c r="BZ1697" s="53" t="n">
        <f aca="false">IF(BX1697="LOSE",1,0)</f>
        <v>0</v>
      </c>
      <c r="CA1697" s="53" t="n">
        <f aca="false">IF(AND(U1697="",OR(P1697="",P1697="LOSE"),T1697&lt;&gt;"",N(S1697)&lt;=0,ISNUMBER(MATCH(T1697,Parameter!$I$27:$I$29,0))),1,0)</f>
        <v>0</v>
      </c>
      <c r="CB1697" s="53" t="n">
        <f aca="false">IF(CQ1697&gt;0,INDEX(Parameter!$H$5:$H$7,W1697)/INDEX(Parameter!$E$5:$E$7,W1697),IF(AND(BZ1697=0,N(IFERROR(VLOOKUP(BX1697,'Gebinde-Kategorie'!$A$5:$N$45,14,0),0))&gt;0),VLOOKUP(BX1697,'Gebinde-Kategorie'!$A$5:$N$45,14,0)*10+Parameter!$M$23,Parameter!$M$24))</f>
        <v>155</v>
      </c>
      <c r="CC1697" s="48" t="str">
        <f aca="false">IF(AND(Parameter!$B$19="Ja",E1697&lt;&gt;"",ISNUMBER(MATCH(E1697,Parameter!$I$35:$I$52,0))),VLOOKUP(E1697,Parameter!$I$35:$J$52,2,0),IFERROR(VLOOKUP(D1697,Parameter!$A$35:$C$64,2,0),"Nein"))</f>
        <v>2+3</v>
      </c>
      <c r="CD1697" s="52" t="n">
        <f aca="false">IF(BZ1697=0,0,IF(N(S1697)&gt;0,S1697,IFERROR(VLOOKUP(D1697,Parameter!$A$35:$C$64,3,0)+0,0)))</f>
        <v>0</v>
      </c>
      <c r="CE1697" s="48" t="n">
        <f aca="false">IF(AA1697&lt;&gt;"",AA1697,Z1697)</f>
        <v>3</v>
      </c>
      <c r="CF1697" s="48" t="str">
        <f aca="false">IF(OR(CE1697=1,CE1697=2,CE1697=3),IF(Parameter!$E$27="Ja","LIFT",IF(CE1697=1,"L1","L23")),IF(CE1697="Aussen","Aussen","-"))</f>
        <v>LIFT</v>
      </c>
      <c r="CG1697" s="59" t="n">
        <f aca="false">IF(N(AB1697)&gt;0,AB1697,0)</f>
        <v>0</v>
      </c>
      <c r="CH1697" s="53" t="n">
        <f aca="false">IF(ISNUMBER(AE1697),1,0)</f>
        <v>0</v>
      </c>
      <c r="CI1697" s="50" t="n">
        <f aca="false">N(AE1697)</f>
        <v>0</v>
      </c>
      <c r="CJ1697" s="50" t="n">
        <f aca="false">N(M1697)+N(N1697)</f>
        <v>1</v>
      </c>
      <c r="CK1697" s="50" t="n">
        <f aca="false">N(M1697)</f>
        <v>0</v>
      </c>
      <c r="CL1697" s="50" t="n">
        <f aca="false">N(N1697)</f>
        <v>1</v>
      </c>
      <c r="CM1697" s="50" t="n">
        <f aca="false">ROUNDUP(H1697/BY1697,0)</f>
        <v>2</v>
      </c>
      <c r="CN1697" s="50" t="n">
        <f aca="false">ROUNDUP(CI1697/BY1697,0)</f>
        <v>0</v>
      </c>
      <c r="CO1697" s="53" t="n">
        <f aca="false">IF(BZ1697=1,0,IFERROR(VLOOKUP(BX1697,'Gebinde-Kategorie'!$A$5:$N$45,5,0)+0,0))</f>
        <v>11</v>
      </c>
      <c r="CP1697" s="53" t="n">
        <f aca="false">IFERROR(IF(OR(CE1697=1,CE1697=2,CE1697=3),N(INDEX(Parameter!$I$5:$I$7,CE1697)),0),0)</f>
        <v>0</v>
      </c>
      <c r="CQ1697" s="52" t="n">
        <f aca="false">IF(AND(Parameter!$B$21="Ja",ISNUMBER(W1697),N(X1697)&gt;0),IFERROR(N(INDEX(Parameter!$L$5:$L$7,W1697))*INDEX(Parameter!$E$5:$E$7,W1697)*X1697/SUMIFS($X$7:$X$1843,$W$7:$W$1843,W1697),0),0)</f>
        <v>0</v>
      </c>
    </row>
    <row r="1698" customFormat="false" ht="15" hidden="false" customHeight="false" outlineLevel="0" collapsed="false">
      <c r="A1698" s="48" t="s">
        <v>2948</v>
      </c>
      <c r="B1698" s="48" t="s">
        <v>2949</v>
      </c>
      <c r="C1698" s="48" t="s">
        <v>173</v>
      </c>
      <c r="D1698" s="48" t="s">
        <v>193</v>
      </c>
      <c r="E1698" s="48"/>
      <c r="F1698" s="48"/>
      <c r="G1698" s="49" t="n">
        <v>285.5</v>
      </c>
      <c r="H1698" s="50" t="n">
        <f aca="false">MAX(0,IF(AND(Parameter!$B$21="Ja",ISNUMBER(Y1698)),Y1698,IF(Parameter!$B$20="Jahresanfang 2025 + Export",BR1698+BQ1698,BQ1698)))</f>
        <v>2</v>
      </c>
      <c r="I1698" s="50" t="n">
        <f aca="false">H1698*G1698</f>
        <v>571</v>
      </c>
      <c r="J1698" s="50" t="n">
        <f aca="false">BT1698*Parameter!$B$18</f>
        <v>0</v>
      </c>
      <c r="K1698" s="51"/>
      <c r="L1698" s="52"/>
      <c r="M1698" s="50" t="n">
        <v>0</v>
      </c>
      <c r="N1698" s="50" t="n">
        <v>1</v>
      </c>
      <c r="O1698" s="53" t="n">
        <v>0</v>
      </c>
      <c r="P1698" s="48" t="s">
        <v>337</v>
      </c>
      <c r="Q1698" s="50" t="n">
        <v>4</v>
      </c>
      <c r="R1698" s="53" t="n">
        <f aca="false">IF(BZ1698=1,0,IFERROR(VLOOKUP(BX1698,'Gebinde-Kategorie'!$A$5:$N$45,13,0)+0,0))</f>
        <v>52</v>
      </c>
      <c r="S1698" s="54"/>
      <c r="T1698" s="55"/>
      <c r="U1698" s="55"/>
      <c r="V1698" s="55"/>
      <c r="W1698" s="48"/>
      <c r="X1698" s="50"/>
      <c r="Y1698" s="50"/>
      <c r="Z1698" s="48" t="n">
        <f aca="false">IF(A1698="","",IF(AND(Parameter!$B$21="Ja",ISNUMBER(W1698)),W1698,IF(CC1698="2+3",IF(ISNUMBER(SEARCH("grosser Artikel",BU1698)),2,IFERROR(VLOOKUP(BX1698,Parameter!$F$35:$G$64,2,0),2)),IF(OR(CC1698="Nein",CC1698=""),"-",CC1698))))</f>
        <v>3</v>
      </c>
      <c r="AA1698" s="55"/>
      <c r="AB1698" s="56"/>
      <c r="AC1698" s="50" t="n">
        <f aca="false">AV1698</f>
        <v>1</v>
      </c>
      <c r="AD1698" s="50" t="n">
        <f aca="false">MAX(AV1698,H1698)</f>
        <v>2</v>
      </c>
      <c r="AE1698" s="57"/>
      <c r="AF1698" s="50" t="n">
        <f aca="false">IF(LEFT(Cockpit!$C$5,1)="A",H1698,IF(Parameter!$E$30="MAX-Bestand",IF(CH1698=1,CI1698,IF(LEFT(Cockpit!$C$5,1)="B",AL1698,MAX(AL1698,H1698))),ROUNDUP(AJ1698,0)))</f>
        <v>2</v>
      </c>
      <c r="AG1698" s="50" t="n">
        <f aca="false">IF(BZ1698=1,0,ROUNDUP(AF1698/BY1698,0))</f>
        <v>1</v>
      </c>
      <c r="AH1698" s="52" t="n">
        <f aca="false">IF(CQ1698&gt;0,CQ1698*MAX(1,AF1698/X1698),IF(BZ1698=1,IF(AF1698&lt;=0,0,CD1698*MAX(1,IF(H1698&gt;0,AF1698/H1698,1))),IF(R1698&gt;0,AG1698/R1698,0))/MAX(0.1,N(Parameter!$M$21)))</f>
        <v>0.0192307692307692</v>
      </c>
      <c r="AI1698" s="50" t="n">
        <f aca="false">AH1698*CB1698</f>
        <v>2.98076923076923</v>
      </c>
      <c r="AJ1698" s="51" t="n">
        <f aca="false">IF(LEFT(Cockpit!$C$5,1)="A",H1698,IF(CH1698=1,(CK1698+CI1698)/2,IF(LEFT(Cockpit!$C$5,1)="B",(CK1698+AL1698)/2,MAX((CK1698+AL1698)/2,H1698))))</f>
        <v>2</v>
      </c>
      <c r="AK1698" s="50" t="n">
        <f aca="false">AJ1698*G1698</f>
        <v>571</v>
      </c>
      <c r="AL1698" s="50" t="n">
        <f aca="false">ROUNDUP(CK1698+MAX(CL1698,2*(J1698/IF(CG1698&gt;0,CG1698,MAX(0.1,N(Cockpit!$C$6)))-CK1698)),0)</f>
        <v>1</v>
      </c>
      <c r="AM1698" s="51" t="n">
        <f aca="false">IF(AI1698&gt;0,J1698/AI1698,-1)</f>
        <v>0</v>
      </c>
      <c r="AN1698" s="51" t="n">
        <f aca="false">IF(AND(OR(CF1698="L1",CF1698="L23",CF1698="LIFT"),AI1698&gt;0),SUMIFS($AI$7:$AI$1843,$CF$7:$CF$1843,CF1698,$AM$7:$AM$1843,"&gt;"&amp;AM1698)+SUMIFS($AI$7:$AI$1843,$CF$7:$CF$1843,CF1698,$AM$7:$AM$1843,AM1698,$BW$7:$BW$1843,"&lt;="&amp;BW1698),"")</f>
        <v>32788.0948371309</v>
      </c>
      <c r="AO1698" s="58" t="n">
        <f aca="false">IF(AN1698="",0,MAX(0,MIN(1,(IF(CF1698="L1",Parameter!$H$5,IF(CF1698="L23",Parameter!$H$6+Parameter!$H$7,Parameter!$H$5+Parameter!$H$6+Parameter!$H$7))-(AN1698-AI1698))/AI1698)))</f>
        <v>1</v>
      </c>
      <c r="AP1698" s="50" t="n">
        <f aca="false">IF(LEFT(Cockpit!$I$5,1)="A",H1698,IF(Parameter!$E$30="MAX-Bestand",IF(CH1698=1,CI1698,IF(LEFT(Cockpit!$I$5,1)="B",AV1698,MAX(AV1698,H1698))),ROUNDUP(AT1698,0)))</f>
        <v>2</v>
      </c>
      <c r="AQ1698" s="50" t="n">
        <f aca="false">IF(BZ1698=1,0,ROUNDUP(AP1698/BY1698,0))</f>
        <v>1</v>
      </c>
      <c r="AR1698" s="52" t="n">
        <f aca="false">IF(CQ1698&gt;0,CQ1698*MAX(1,AP1698/X1698),IF(BZ1698=1,IF(AP1698&lt;=0,0,CD1698*MAX(1,IF(H1698&gt;0,AP1698/H1698,1))),IF(R1698&gt;0,AQ1698/R1698,0))/MAX(0.1,N(Parameter!$M$21)))</f>
        <v>0.0192307692307692</v>
      </c>
      <c r="AS1698" s="50" t="n">
        <f aca="false">AR1698*CB1698</f>
        <v>2.98076923076923</v>
      </c>
      <c r="AT1698" s="51" t="n">
        <f aca="false">IF(LEFT(Cockpit!$I$5,1)="A",H1698,IF(CH1698=1,(CK1698+CI1698)/2,IF(LEFT(Cockpit!$I$5,1)="B",(CK1698+AV1698)/2,MAX((CK1698+AV1698)/2,H1698))))</f>
        <v>2</v>
      </c>
      <c r="AU1698" s="50" t="n">
        <f aca="false">AT1698*G1698</f>
        <v>571</v>
      </c>
      <c r="AV1698" s="50" t="n">
        <f aca="false">ROUNDUP(CK1698+MAX(CL1698,2*(J1698/IF(CG1698&gt;0,CG1698,MAX(0.1,N(Cockpit!$I$6)))-CK1698)),0)</f>
        <v>1</v>
      </c>
      <c r="AW1698" s="51" t="n">
        <f aca="false">IF(AS1698&gt;0,J1698/AS1698,-1)</f>
        <v>0</v>
      </c>
      <c r="AX1698" s="51" t="n">
        <f aca="false">IF(AND(OR(CF1698="L1",CF1698="L23",CF1698="LIFT"),AS1698&gt;0),SUMIFS($AS$7:$AS$1843,$CF$7:$CF$1843,CF1698,$AW$7:$AW$1843,"&gt;"&amp;AW1698)+SUMIFS($AS$7:$AS$1843,$CF$7:$CF$1843,CF1698,$AW$7:$AW$1843,AW1698,$BW$7:$BW$1843,"&lt;="&amp;BW1698),"")</f>
        <v>39260.3430677138</v>
      </c>
      <c r="AY1698" s="58" t="n">
        <f aca="false">IF(AX1698="",0,MAX(0,MIN(1,(IF(CF1698="L1",Parameter!$H$5,IF(CF1698="L23",Parameter!$H$6+Parameter!$H$7,Parameter!$H$5+Parameter!$H$6+Parameter!$H$7))-(AX1698-AS1698))/AS1698)))</f>
        <v>0</v>
      </c>
      <c r="AZ1698" s="50" t="n">
        <f aca="false">IF(LEFT(Cockpit!$O$5,1)="A",H1698,IF(Parameter!$E$30="MAX-Bestand",IF(CH1698=1,CI1698,IF(LEFT(Cockpit!$O$5,1)="B",BF1698,MAX(BF1698,H1698))),ROUNDUP(BD1698,0)))</f>
        <v>1</v>
      </c>
      <c r="BA1698" s="50" t="n">
        <f aca="false">IF(BZ1698=1,0,ROUNDUP(AZ1698/BY1698,0))</f>
        <v>1</v>
      </c>
      <c r="BB1698" s="52" t="n">
        <f aca="false">IF(CQ1698&gt;0,CQ1698*MAX(1,AZ1698/X1698),IF(BZ1698=1,IF(AZ1698&lt;=0,0,CD1698*MAX(1,IF(H1698&gt;0,AZ1698/H1698,1))),IF(R1698&gt;0,BA1698/R1698,0))/MAX(0.1,N(Parameter!$M$21)))</f>
        <v>0.0192307692307692</v>
      </c>
      <c r="BC1698" s="50" t="n">
        <f aca="false">BB1698*CB1698</f>
        <v>2.98076923076923</v>
      </c>
      <c r="BD1698" s="51" t="n">
        <f aca="false">IF(LEFT(Cockpit!$O$5,1)="A",H1698,IF(CH1698=1,(CK1698+CI1698)/2,IF(LEFT(Cockpit!$O$5,1)="B",(CK1698+BF1698)/2,MAX((CK1698+BF1698)/2,H1698))))</f>
        <v>0.5</v>
      </c>
      <c r="BE1698" s="50" t="n">
        <f aca="false">BD1698*G1698</f>
        <v>142.75</v>
      </c>
      <c r="BF1698" s="50" t="n">
        <f aca="false">ROUNDUP(CK1698+MAX(CL1698,2*(J1698/IF(CG1698&gt;0,CG1698,MAX(0.1,N(Cockpit!$O$6)))-CK1698)),0)</f>
        <v>1</v>
      </c>
      <c r="BG1698" s="51" t="n">
        <f aca="false">IF(BC1698&gt;0,J1698/BC1698,-1)</f>
        <v>0</v>
      </c>
      <c r="BH1698" s="51" t="n">
        <f aca="false">IF(AND(OR(CF1698="L1",CF1698="L23",CF1698="LIFT"),BC1698&gt;0),SUMIFS($BC$7:$BC$1843,$CF$7:$CF$1843,CF1698,$BG$7:$BG$1843,"&gt;"&amp;BG1698)+SUMIFS($BC$7:$BC$1843,$CF$7:$CF$1843,CF1698,$BG$7:$BG$1843,BG1698,$BW$7:$BW$1843,"&lt;="&amp;BW1698),"")</f>
        <v>32501.6753688872</v>
      </c>
      <c r="BI1698" s="58" t="n">
        <f aca="false">IF(BH1698="",0,MAX(0,MIN(1,(IF(CF1698="L1",Parameter!$H$5,IF(CF1698="L23",Parameter!$H$6+Parameter!$H$7,Parameter!$H$5+Parameter!$H$6+Parameter!$H$7))-(BH1698-BC1698))/BC1698)))</f>
        <v>1</v>
      </c>
      <c r="BJ1698" s="48" t="str">
        <f aca="false">IF(AI1698&lt;=0,"",IF(CF1698="Aussen","Aussenlager",IF(CF1698="-","Nicht im Lift",IF(AO1698&gt;=1,"Lift",IF(AO1698&lt;=0,"Aussenlager","teilweise")))))</f>
        <v>Lift</v>
      </c>
      <c r="BK1698" s="48" t="str">
        <f aca="false">IF(AS1698&lt;=0,"",IF(CF1698="Aussen","Aussenlager",IF(CF1698="-","Nicht im Lift",IF(AY1698&gt;=1,"Lift",IF(AY1698&lt;=0,"Aussenlager","teilweise")))))</f>
        <v>Aussenlager</v>
      </c>
      <c r="BL1698" s="48" t="str">
        <f aca="false">IF(BC1698&lt;=0,"",IF(CF1698="Aussen","Aussenlager",IF(CF1698="-","Nicht im Lift",IF(BI1698&gt;=1,"Lift",IF(BI1698&lt;=0,"Aussenlager","teilweise")))))</f>
        <v>Lift</v>
      </c>
      <c r="BM1698" s="48" t="str">
        <f aca="false">IF(A1698="","",IF(BV1698=1,"Neu; ","")&amp;IF(AND(BV1698=0,BQ1698&lt;0),"negativer Bestand (Export "&amp;BQ1698&amp;"); ","")&amp;IF(J1698&lt;=0,"Kein Verbrauch; ","")&amp;IF(CQ1698&gt;0,"Lift "&amp;W1698&amp;" lt. Liftbericht (Fach "&amp;X1698&amp;" Stk); ",IF(CA1698=1,"Gebinde geschätzt ("&amp;T1698&amp;"); ",IF(BZ1698=1,"Lose – Tablare geschätzt; ","")))&amp;IF(H1698&gt;AV1698,"Überbestand "&amp;ROUND(H1698-AV1698,0)&amp;" Stk / CHF "&amp;ROUND((H1698-AV1698)*G1698,0)&amp;"; ","")&amp;IF(AND(CH1698=1,CI1698&lt;CJ1698),"MAX &lt; MB+LG; ","")&amp;IF(AND(CP1698&gt;0,CO1698*10&gt;CP1698),"zu hoch für Tablar; ","")&amp;IF(AND(BV1698=0,OR(CH1698=1,AA1698&lt;&gt;"",U1698&lt;&gt;"",V1698&lt;&gt;"",AB1698&lt;&gt;"")),"manuell übersteuert; ","")&amp;IF(AND(BZ1698=0,R1698=0),"Gebinde unbekannt / Stellmass fehlt; ","")&amp;IF(AND(BZ1698=0,N(V1698)&lt;=0,N(Q1698)&lt;=0),"Menge pro Gebinde fehlt (Ist = 1 Gebinde); ","")&amp;BU1698)</f>
        <v>Kein Verbrauch; Überbestand 1 Stk / CHF 286; nur im Artikelstamm (Bestand 23.06.2026)</v>
      </c>
      <c r="BN1698" s="48"/>
      <c r="BO1698" s="48"/>
      <c r="BP1698" s="55"/>
      <c r="BQ1698" s="50" t="n">
        <v>2</v>
      </c>
      <c r="BR1698" s="50" t="n">
        <v>0</v>
      </c>
      <c r="BS1698" s="49" t="n">
        <v>0</v>
      </c>
      <c r="BT1698" s="50" t="n">
        <v>0</v>
      </c>
      <c r="BU1698" s="48" t="s">
        <v>2584</v>
      </c>
      <c r="BV1698" s="53" t="n">
        <v>0</v>
      </c>
      <c r="BW1698" s="53" t="n">
        <v>1698</v>
      </c>
      <c r="BX1698" s="48" t="str">
        <f aca="false">IF(U1698&lt;&gt;"",UPPER(TRIM(U1698)),IF(CA1698=1,UPPER(VLOOKUP(T1698,Parameter!$I$27:$K$29,2,0)),IF(P1698="","LOSE",P1698)))</f>
        <v>S41</v>
      </c>
      <c r="BY1698" s="50" t="n">
        <f aca="false">IF(BX1698="LOSE",1,IF(N(V1698)&gt;0,V1698,IF(CA1698=1,MAX(1,N(VLOOKUP(T1698,Parameter!$I$27:$K$29,3,0)),H1698,N(N1698)),IF(N(Q1698)&gt;0,Q1698,MAX(1,H1698)))))</f>
        <v>4</v>
      </c>
      <c r="BZ1698" s="53" t="n">
        <f aca="false">IF(BX1698="LOSE",1,0)</f>
        <v>0</v>
      </c>
      <c r="CA1698" s="53" t="n">
        <f aca="false">IF(AND(U1698="",OR(P1698="",P1698="LOSE"),T1698&lt;&gt;"",N(S1698)&lt;=0,ISNUMBER(MATCH(T1698,Parameter!$I$27:$I$29,0))),1,0)</f>
        <v>0</v>
      </c>
      <c r="CB1698" s="53" t="n">
        <f aca="false">IF(CQ1698&gt;0,INDEX(Parameter!$H$5:$H$7,W1698)/INDEX(Parameter!$E$5:$E$7,W1698),IF(AND(BZ1698=0,N(IFERROR(VLOOKUP(BX1698,'Gebinde-Kategorie'!$A$5:$N$45,14,0),0))&gt;0),VLOOKUP(BX1698,'Gebinde-Kategorie'!$A$5:$N$45,14,0)*10+Parameter!$M$23,Parameter!$M$24))</f>
        <v>155</v>
      </c>
      <c r="CC1698" s="48" t="str">
        <f aca="false">IF(AND(Parameter!$B$19="Ja",E1698&lt;&gt;"",ISNUMBER(MATCH(E1698,Parameter!$I$35:$I$52,0))),VLOOKUP(E1698,Parameter!$I$35:$J$52,2,0),IFERROR(VLOOKUP(D1698,Parameter!$A$35:$C$64,2,0),"Nein"))</f>
        <v>2+3</v>
      </c>
      <c r="CD1698" s="52" t="n">
        <f aca="false">IF(BZ1698=0,0,IF(N(S1698)&gt;0,S1698,IFERROR(VLOOKUP(D1698,Parameter!$A$35:$C$64,3,0)+0,0)))</f>
        <v>0</v>
      </c>
      <c r="CE1698" s="48" t="n">
        <f aca="false">IF(AA1698&lt;&gt;"",AA1698,Z1698)</f>
        <v>3</v>
      </c>
      <c r="CF1698" s="48" t="str">
        <f aca="false">IF(OR(CE1698=1,CE1698=2,CE1698=3),IF(Parameter!$E$27="Ja","LIFT",IF(CE1698=1,"L1","L23")),IF(CE1698="Aussen","Aussen","-"))</f>
        <v>LIFT</v>
      </c>
      <c r="CG1698" s="59" t="n">
        <f aca="false">IF(N(AB1698)&gt;0,AB1698,0)</f>
        <v>0</v>
      </c>
      <c r="CH1698" s="53" t="n">
        <f aca="false">IF(ISNUMBER(AE1698),1,0)</f>
        <v>0</v>
      </c>
      <c r="CI1698" s="50" t="n">
        <f aca="false">N(AE1698)</f>
        <v>0</v>
      </c>
      <c r="CJ1698" s="50" t="n">
        <f aca="false">N(M1698)+N(N1698)</f>
        <v>1</v>
      </c>
      <c r="CK1698" s="50" t="n">
        <f aca="false">N(M1698)</f>
        <v>0</v>
      </c>
      <c r="CL1698" s="50" t="n">
        <f aca="false">N(N1698)</f>
        <v>1</v>
      </c>
      <c r="CM1698" s="50" t="n">
        <f aca="false">ROUNDUP(H1698/BY1698,0)</f>
        <v>1</v>
      </c>
      <c r="CN1698" s="50" t="n">
        <f aca="false">ROUNDUP(CI1698/BY1698,0)</f>
        <v>0</v>
      </c>
      <c r="CO1698" s="53" t="n">
        <f aca="false">IF(BZ1698=1,0,IFERROR(VLOOKUP(BX1698,'Gebinde-Kategorie'!$A$5:$N$45,5,0)+0,0))</f>
        <v>11</v>
      </c>
      <c r="CP1698" s="53" t="n">
        <f aca="false">IFERROR(IF(OR(CE1698=1,CE1698=2,CE1698=3),N(INDEX(Parameter!$I$5:$I$7,CE1698)),0),0)</f>
        <v>0</v>
      </c>
      <c r="CQ1698" s="52" t="n">
        <f aca="false">IF(AND(Parameter!$B$21="Ja",ISNUMBER(W1698),N(X1698)&gt;0),IFERROR(N(INDEX(Parameter!$L$5:$L$7,W1698))*INDEX(Parameter!$E$5:$E$7,W1698)*X1698/SUMIFS($X$7:$X$1843,$W$7:$W$1843,W1698),0),0)</f>
        <v>0</v>
      </c>
    </row>
    <row r="1699" customFormat="false" ht="15" hidden="false" customHeight="false" outlineLevel="0" collapsed="false">
      <c r="A1699" s="48" t="s">
        <v>2950</v>
      </c>
      <c r="B1699" s="48" t="s">
        <v>2951</v>
      </c>
      <c r="C1699" s="48" t="s">
        <v>173</v>
      </c>
      <c r="D1699" s="48" t="s">
        <v>193</v>
      </c>
      <c r="E1699" s="48"/>
      <c r="F1699" s="48"/>
      <c r="G1699" s="49" t="n">
        <v>41.3</v>
      </c>
      <c r="H1699" s="50" t="n">
        <f aca="false">MAX(0,IF(AND(Parameter!$B$21="Ja",ISNUMBER(Y1699)),Y1699,IF(Parameter!$B$20="Jahresanfang 2025 + Export",BR1699+BQ1699,BQ1699)))</f>
        <v>3</v>
      </c>
      <c r="I1699" s="50" t="n">
        <f aca="false">H1699*G1699</f>
        <v>123.9</v>
      </c>
      <c r="J1699" s="50" t="n">
        <f aca="false">BT1699*Parameter!$B$18</f>
        <v>0</v>
      </c>
      <c r="K1699" s="51"/>
      <c r="L1699" s="52"/>
      <c r="M1699" s="50" t="n">
        <v>0</v>
      </c>
      <c r="N1699" s="50" t="n">
        <v>3</v>
      </c>
      <c r="O1699" s="53" t="n">
        <v>42</v>
      </c>
      <c r="P1699" s="48" t="s">
        <v>337</v>
      </c>
      <c r="Q1699" s="50" t="n">
        <v>3</v>
      </c>
      <c r="R1699" s="53" t="n">
        <f aca="false">IF(BZ1699=1,0,IFERROR(VLOOKUP(BX1699,'Gebinde-Kategorie'!$A$5:$N$45,13,0)+0,0))</f>
        <v>52</v>
      </c>
      <c r="S1699" s="54"/>
      <c r="T1699" s="55"/>
      <c r="U1699" s="55"/>
      <c r="V1699" s="55"/>
      <c r="W1699" s="48"/>
      <c r="X1699" s="50"/>
      <c r="Y1699" s="50"/>
      <c r="Z1699" s="48" t="n">
        <f aca="false">IF(A1699="","",IF(AND(Parameter!$B$21="Ja",ISNUMBER(W1699)),W1699,IF(CC1699="2+3",IF(ISNUMBER(SEARCH("grosser Artikel",BU1699)),2,IFERROR(VLOOKUP(BX1699,Parameter!$F$35:$G$64,2,0),2)),IF(OR(CC1699="Nein",CC1699=""),"-",CC1699))))</f>
        <v>3</v>
      </c>
      <c r="AA1699" s="55"/>
      <c r="AB1699" s="56"/>
      <c r="AC1699" s="50" t="n">
        <f aca="false">AV1699</f>
        <v>3</v>
      </c>
      <c r="AD1699" s="50" t="n">
        <f aca="false">MAX(AV1699,H1699)</f>
        <v>3</v>
      </c>
      <c r="AE1699" s="57"/>
      <c r="AF1699" s="50" t="n">
        <f aca="false">IF(LEFT(Cockpit!$C$5,1)="A",H1699,IF(Parameter!$E$30="MAX-Bestand",IF(CH1699=1,CI1699,IF(LEFT(Cockpit!$C$5,1)="B",AL1699,MAX(AL1699,H1699))),ROUNDUP(AJ1699,0)))</f>
        <v>3</v>
      </c>
      <c r="AG1699" s="50" t="n">
        <f aca="false">IF(BZ1699=1,0,ROUNDUP(AF1699/BY1699,0))</f>
        <v>1</v>
      </c>
      <c r="AH1699" s="52" t="n">
        <f aca="false">IF(CQ1699&gt;0,CQ1699*MAX(1,AF1699/X1699),IF(BZ1699=1,IF(AF1699&lt;=0,0,CD1699*MAX(1,IF(H1699&gt;0,AF1699/H1699,1))),IF(R1699&gt;0,AG1699/R1699,0))/MAX(0.1,N(Parameter!$M$21)))</f>
        <v>0.0192307692307692</v>
      </c>
      <c r="AI1699" s="50" t="n">
        <f aca="false">AH1699*CB1699</f>
        <v>2.98076923076923</v>
      </c>
      <c r="AJ1699" s="51" t="n">
        <f aca="false">IF(LEFT(Cockpit!$C$5,1)="A",H1699,IF(CH1699=1,(CK1699+CI1699)/2,IF(LEFT(Cockpit!$C$5,1)="B",(CK1699+AL1699)/2,MAX((CK1699+AL1699)/2,H1699))))</f>
        <v>3</v>
      </c>
      <c r="AK1699" s="50" t="n">
        <f aca="false">AJ1699*G1699</f>
        <v>123.9</v>
      </c>
      <c r="AL1699" s="50" t="n">
        <f aca="false">ROUNDUP(CK1699+MAX(CL1699,2*(J1699/IF(CG1699&gt;0,CG1699,MAX(0.1,N(Cockpit!$C$6)))-CK1699)),0)</f>
        <v>3</v>
      </c>
      <c r="AM1699" s="51" t="n">
        <f aca="false">IF(AI1699&gt;0,J1699/AI1699,-1)</f>
        <v>0</v>
      </c>
      <c r="AN1699" s="51" t="n">
        <f aca="false">IF(AND(OR(CF1699="L1",CF1699="L23",CF1699="LIFT"),AI1699&gt;0),SUMIFS($AI$7:$AI$1843,$CF$7:$CF$1843,CF1699,$AM$7:$AM$1843,"&gt;"&amp;AM1699)+SUMIFS($AI$7:$AI$1843,$CF$7:$CF$1843,CF1699,$AM$7:$AM$1843,AM1699,$BW$7:$BW$1843,"&lt;="&amp;BW1699),"")</f>
        <v>32791.0756063616</v>
      </c>
      <c r="AO1699" s="58" t="n">
        <f aca="false">IF(AN1699="",0,MAX(0,MIN(1,(IF(CF1699="L1",Parameter!$H$5,IF(CF1699="L23",Parameter!$H$6+Parameter!$H$7,Parameter!$H$5+Parameter!$H$6+Parameter!$H$7))-(AN1699-AI1699))/AI1699)))</f>
        <v>1</v>
      </c>
      <c r="AP1699" s="50" t="n">
        <f aca="false">IF(LEFT(Cockpit!$I$5,1)="A",H1699,IF(Parameter!$E$30="MAX-Bestand",IF(CH1699=1,CI1699,IF(LEFT(Cockpit!$I$5,1)="B",AV1699,MAX(AV1699,H1699))),ROUNDUP(AT1699,0)))</f>
        <v>3</v>
      </c>
      <c r="AQ1699" s="50" t="n">
        <f aca="false">IF(BZ1699=1,0,ROUNDUP(AP1699/BY1699,0))</f>
        <v>1</v>
      </c>
      <c r="AR1699" s="52" t="n">
        <f aca="false">IF(CQ1699&gt;0,CQ1699*MAX(1,AP1699/X1699),IF(BZ1699=1,IF(AP1699&lt;=0,0,CD1699*MAX(1,IF(H1699&gt;0,AP1699/H1699,1))),IF(R1699&gt;0,AQ1699/R1699,0))/MAX(0.1,N(Parameter!$M$21)))</f>
        <v>0.0192307692307692</v>
      </c>
      <c r="AS1699" s="50" t="n">
        <f aca="false">AR1699*CB1699</f>
        <v>2.98076923076923</v>
      </c>
      <c r="AT1699" s="51" t="n">
        <f aca="false">IF(LEFT(Cockpit!$I$5,1)="A",H1699,IF(CH1699=1,(CK1699+CI1699)/2,IF(LEFT(Cockpit!$I$5,1)="B",(CK1699+AV1699)/2,MAX((CK1699+AV1699)/2,H1699))))</f>
        <v>3</v>
      </c>
      <c r="AU1699" s="50" t="n">
        <f aca="false">AT1699*G1699</f>
        <v>123.9</v>
      </c>
      <c r="AV1699" s="50" t="n">
        <f aca="false">ROUNDUP(CK1699+MAX(CL1699,2*(J1699/IF(CG1699&gt;0,CG1699,MAX(0.1,N(Cockpit!$I$6)))-CK1699)),0)</f>
        <v>3</v>
      </c>
      <c r="AW1699" s="51" t="n">
        <f aca="false">IF(AS1699&gt;0,J1699/AS1699,-1)</f>
        <v>0</v>
      </c>
      <c r="AX1699" s="51" t="n">
        <f aca="false">IF(AND(OR(CF1699="L1",CF1699="L23",CF1699="LIFT"),AS1699&gt;0),SUMIFS($AS$7:$AS$1843,$CF$7:$CF$1843,CF1699,$AW$7:$AW$1843,"&gt;"&amp;AW1699)+SUMIFS($AS$7:$AS$1843,$CF$7:$CF$1843,CF1699,$AW$7:$AW$1843,AW1699,$BW$7:$BW$1843,"&lt;="&amp;BW1699),"")</f>
        <v>39263.3238369446</v>
      </c>
      <c r="AY1699" s="58" t="n">
        <f aca="false">IF(AX1699="",0,MAX(0,MIN(1,(IF(CF1699="L1",Parameter!$H$5,IF(CF1699="L23",Parameter!$H$6+Parameter!$H$7,Parameter!$H$5+Parameter!$H$6+Parameter!$H$7))-(AX1699-AS1699))/AS1699)))</f>
        <v>0</v>
      </c>
      <c r="AZ1699" s="50" t="n">
        <f aca="false">IF(LEFT(Cockpit!$O$5,1)="A",H1699,IF(Parameter!$E$30="MAX-Bestand",IF(CH1699=1,CI1699,IF(LEFT(Cockpit!$O$5,1)="B",BF1699,MAX(BF1699,H1699))),ROUNDUP(BD1699,0)))</f>
        <v>2</v>
      </c>
      <c r="BA1699" s="50" t="n">
        <f aca="false">IF(BZ1699=1,0,ROUNDUP(AZ1699/BY1699,0))</f>
        <v>1</v>
      </c>
      <c r="BB1699" s="52" t="n">
        <f aca="false">IF(CQ1699&gt;0,CQ1699*MAX(1,AZ1699/X1699),IF(BZ1699=1,IF(AZ1699&lt;=0,0,CD1699*MAX(1,IF(H1699&gt;0,AZ1699/H1699,1))),IF(R1699&gt;0,BA1699/R1699,0))/MAX(0.1,N(Parameter!$M$21)))</f>
        <v>0.0192307692307692</v>
      </c>
      <c r="BC1699" s="50" t="n">
        <f aca="false">BB1699*CB1699</f>
        <v>2.98076923076923</v>
      </c>
      <c r="BD1699" s="51" t="n">
        <f aca="false">IF(LEFT(Cockpit!$O$5,1)="A",H1699,IF(CH1699=1,(CK1699+CI1699)/2,IF(LEFT(Cockpit!$O$5,1)="B",(CK1699+BF1699)/2,MAX((CK1699+BF1699)/2,H1699))))</f>
        <v>1.5</v>
      </c>
      <c r="BE1699" s="50" t="n">
        <f aca="false">BD1699*G1699</f>
        <v>61.95</v>
      </c>
      <c r="BF1699" s="50" t="n">
        <f aca="false">ROUNDUP(CK1699+MAX(CL1699,2*(J1699/IF(CG1699&gt;0,CG1699,MAX(0.1,N(Cockpit!$O$6)))-CK1699)),0)</f>
        <v>3</v>
      </c>
      <c r="BG1699" s="51" t="n">
        <f aca="false">IF(BC1699&gt;0,J1699/BC1699,-1)</f>
        <v>0</v>
      </c>
      <c r="BH1699" s="51" t="n">
        <f aca="false">IF(AND(OR(CF1699="L1",CF1699="L23",CF1699="LIFT"),BC1699&gt;0),SUMIFS($BC$7:$BC$1843,$CF$7:$CF$1843,CF1699,$BG$7:$BG$1843,"&gt;"&amp;BG1699)+SUMIFS($BC$7:$BC$1843,$CF$7:$CF$1843,CF1699,$BG$7:$BG$1843,BG1699,$BW$7:$BW$1843,"&lt;="&amp;BW1699),"")</f>
        <v>32504.656138118</v>
      </c>
      <c r="BI1699" s="58" t="n">
        <f aca="false">IF(BH1699="",0,MAX(0,MIN(1,(IF(CF1699="L1",Parameter!$H$5,IF(CF1699="L23",Parameter!$H$6+Parameter!$H$7,Parameter!$H$5+Parameter!$H$6+Parameter!$H$7))-(BH1699-BC1699))/BC1699)))</f>
        <v>1</v>
      </c>
      <c r="BJ1699" s="48" t="str">
        <f aca="false">IF(AI1699&lt;=0,"",IF(CF1699="Aussen","Aussenlager",IF(CF1699="-","Nicht im Lift",IF(AO1699&gt;=1,"Lift",IF(AO1699&lt;=0,"Aussenlager","teilweise")))))</f>
        <v>Lift</v>
      </c>
      <c r="BK1699" s="48" t="str">
        <f aca="false">IF(AS1699&lt;=0,"",IF(CF1699="Aussen","Aussenlager",IF(CF1699="-","Nicht im Lift",IF(AY1699&gt;=1,"Lift",IF(AY1699&lt;=0,"Aussenlager","teilweise")))))</f>
        <v>Aussenlager</v>
      </c>
      <c r="BL1699" s="48" t="str">
        <f aca="false">IF(BC1699&lt;=0,"",IF(CF1699="Aussen","Aussenlager",IF(CF1699="-","Nicht im Lift",IF(BI1699&gt;=1,"Lift",IF(BI1699&lt;=0,"Aussenlager","teilweise")))))</f>
        <v>Lift</v>
      </c>
      <c r="BM1699" s="48" t="str">
        <f aca="false">IF(A1699="","",IF(BV1699=1,"Neu; ","")&amp;IF(AND(BV1699=0,BQ1699&lt;0),"negativer Bestand (Export "&amp;BQ1699&amp;"); ","")&amp;IF(J1699&lt;=0,"Kein Verbrauch; ","")&amp;IF(CQ1699&gt;0,"Lift "&amp;W1699&amp;" lt. Liftbericht (Fach "&amp;X1699&amp;" Stk); ",IF(CA1699=1,"Gebinde geschätzt ("&amp;T1699&amp;"); ",IF(BZ1699=1,"Lose – Tablare geschätzt; ","")))&amp;IF(H1699&gt;AV1699,"Überbestand "&amp;ROUND(H1699-AV1699,0)&amp;" Stk / CHF "&amp;ROUND((H1699-AV1699)*G1699,0)&amp;"; ","")&amp;IF(AND(CH1699=1,CI1699&lt;CJ1699),"MAX &lt; MB+LG; ","")&amp;IF(AND(CP1699&gt;0,CO1699*10&gt;CP1699),"zu hoch für Tablar; ","")&amp;IF(AND(BV1699=0,OR(CH1699=1,AA1699&lt;&gt;"",U1699&lt;&gt;"",V1699&lt;&gt;"",AB1699&lt;&gt;"")),"manuell übersteuert; ","")&amp;IF(AND(BZ1699=0,R1699=0),"Gebinde unbekannt / Stellmass fehlt; ","")&amp;IF(AND(BZ1699=0,N(V1699)&lt;=0,N(Q1699)&lt;=0),"Menge pro Gebinde fehlt (Ist = 1 Gebinde); ","")&amp;BU1699)</f>
        <v>Kein Verbrauch; nur im Artikelstamm (Bestand 23.06.2026)</v>
      </c>
      <c r="BN1699" s="48"/>
      <c r="BO1699" s="48"/>
      <c r="BP1699" s="55"/>
      <c r="BQ1699" s="50" t="n">
        <v>3</v>
      </c>
      <c r="BR1699" s="50" t="n">
        <v>0</v>
      </c>
      <c r="BS1699" s="49" t="n">
        <v>0</v>
      </c>
      <c r="BT1699" s="50" t="n">
        <v>0</v>
      </c>
      <c r="BU1699" s="48" t="s">
        <v>2584</v>
      </c>
      <c r="BV1699" s="53" t="n">
        <v>0</v>
      </c>
      <c r="BW1699" s="53" t="n">
        <v>1699</v>
      </c>
      <c r="BX1699" s="48" t="str">
        <f aca="false">IF(U1699&lt;&gt;"",UPPER(TRIM(U1699)),IF(CA1699=1,UPPER(VLOOKUP(T1699,Parameter!$I$27:$K$29,2,0)),IF(P1699="","LOSE",P1699)))</f>
        <v>S41</v>
      </c>
      <c r="BY1699" s="50" t="n">
        <f aca="false">IF(BX1699="LOSE",1,IF(N(V1699)&gt;0,V1699,IF(CA1699=1,MAX(1,N(VLOOKUP(T1699,Parameter!$I$27:$K$29,3,0)),H1699,N(N1699)),IF(N(Q1699)&gt;0,Q1699,MAX(1,H1699)))))</f>
        <v>3</v>
      </c>
      <c r="BZ1699" s="53" t="n">
        <f aca="false">IF(BX1699="LOSE",1,0)</f>
        <v>0</v>
      </c>
      <c r="CA1699" s="53" t="n">
        <f aca="false">IF(AND(U1699="",OR(P1699="",P1699="LOSE"),T1699&lt;&gt;"",N(S1699)&lt;=0,ISNUMBER(MATCH(T1699,Parameter!$I$27:$I$29,0))),1,0)</f>
        <v>0</v>
      </c>
      <c r="CB1699" s="53" t="n">
        <f aca="false">IF(CQ1699&gt;0,INDEX(Parameter!$H$5:$H$7,W1699)/INDEX(Parameter!$E$5:$E$7,W1699),IF(AND(BZ1699=0,N(IFERROR(VLOOKUP(BX1699,'Gebinde-Kategorie'!$A$5:$N$45,14,0),0))&gt;0),VLOOKUP(BX1699,'Gebinde-Kategorie'!$A$5:$N$45,14,0)*10+Parameter!$M$23,Parameter!$M$24))</f>
        <v>155</v>
      </c>
      <c r="CC1699" s="48" t="str">
        <f aca="false">IF(AND(Parameter!$B$19="Ja",E1699&lt;&gt;"",ISNUMBER(MATCH(E1699,Parameter!$I$35:$I$52,0))),VLOOKUP(E1699,Parameter!$I$35:$J$52,2,0),IFERROR(VLOOKUP(D1699,Parameter!$A$35:$C$64,2,0),"Nein"))</f>
        <v>2+3</v>
      </c>
      <c r="CD1699" s="52" t="n">
        <f aca="false">IF(BZ1699=0,0,IF(N(S1699)&gt;0,S1699,IFERROR(VLOOKUP(D1699,Parameter!$A$35:$C$64,3,0)+0,0)))</f>
        <v>0</v>
      </c>
      <c r="CE1699" s="48" t="n">
        <f aca="false">IF(AA1699&lt;&gt;"",AA1699,Z1699)</f>
        <v>3</v>
      </c>
      <c r="CF1699" s="48" t="str">
        <f aca="false">IF(OR(CE1699=1,CE1699=2,CE1699=3),IF(Parameter!$E$27="Ja","LIFT",IF(CE1699=1,"L1","L23")),IF(CE1699="Aussen","Aussen","-"))</f>
        <v>LIFT</v>
      </c>
      <c r="CG1699" s="59" t="n">
        <f aca="false">IF(N(AB1699)&gt;0,AB1699,0)</f>
        <v>0</v>
      </c>
      <c r="CH1699" s="53" t="n">
        <f aca="false">IF(ISNUMBER(AE1699),1,0)</f>
        <v>0</v>
      </c>
      <c r="CI1699" s="50" t="n">
        <f aca="false">N(AE1699)</f>
        <v>0</v>
      </c>
      <c r="CJ1699" s="50" t="n">
        <f aca="false">N(M1699)+N(N1699)</f>
        <v>3</v>
      </c>
      <c r="CK1699" s="50" t="n">
        <f aca="false">N(M1699)</f>
        <v>0</v>
      </c>
      <c r="CL1699" s="50" t="n">
        <f aca="false">N(N1699)</f>
        <v>3</v>
      </c>
      <c r="CM1699" s="50" t="n">
        <f aca="false">ROUNDUP(H1699/BY1699,0)</f>
        <v>1</v>
      </c>
      <c r="CN1699" s="50" t="n">
        <f aca="false">ROUNDUP(CI1699/BY1699,0)</f>
        <v>0</v>
      </c>
      <c r="CO1699" s="53" t="n">
        <f aca="false">IF(BZ1699=1,0,IFERROR(VLOOKUP(BX1699,'Gebinde-Kategorie'!$A$5:$N$45,5,0)+0,0))</f>
        <v>11</v>
      </c>
      <c r="CP1699" s="53" t="n">
        <f aca="false">IFERROR(IF(OR(CE1699=1,CE1699=2,CE1699=3),N(INDEX(Parameter!$I$5:$I$7,CE1699)),0),0)</f>
        <v>0</v>
      </c>
      <c r="CQ1699" s="52" t="n">
        <f aca="false">IF(AND(Parameter!$B$21="Ja",ISNUMBER(W1699),N(X1699)&gt;0),IFERROR(N(INDEX(Parameter!$L$5:$L$7,W1699))*INDEX(Parameter!$E$5:$E$7,W1699)*X1699/SUMIFS($X$7:$X$1843,$W$7:$W$1843,W1699),0),0)</f>
        <v>0</v>
      </c>
    </row>
    <row r="1700" customFormat="false" ht="15" hidden="false" customHeight="false" outlineLevel="0" collapsed="false">
      <c r="A1700" s="48" t="s">
        <v>2952</v>
      </c>
      <c r="B1700" s="48" t="s">
        <v>2953</v>
      </c>
      <c r="C1700" s="48" t="s">
        <v>173</v>
      </c>
      <c r="D1700" s="48" t="s">
        <v>193</v>
      </c>
      <c r="E1700" s="48"/>
      <c r="F1700" s="48"/>
      <c r="G1700" s="49" t="n">
        <v>99.94</v>
      </c>
      <c r="H1700" s="50" t="n">
        <f aca="false">MAX(0,IF(AND(Parameter!$B$21="Ja",ISNUMBER(Y1700)),Y1700,IF(Parameter!$B$20="Jahresanfang 2025 + Export",BR1700+BQ1700,BQ1700)))</f>
        <v>3</v>
      </c>
      <c r="I1700" s="50" t="n">
        <f aca="false">H1700*G1700</f>
        <v>299.82</v>
      </c>
      <c r="J1700" s="50" t="n">
        <f aca="false">BT1700*Parameter!$B$18</f>
        <v>0</v>
      </c>
      <c r="K1700" s="51"/>
      <c r="L1700" s="52"/>
      <c r="M1700" s="50" t="n">
        <v>0</v>
      </c>
      <c r="N1700" s="50" t="n">
        <v>3</v>
      </c>
      <c r="O1700" s="53" t="n">
        <v>42</v>
      </c>
      <c r="P1700" s="48" t="s">
        <v>337</v>
      </c>
      <c r="Q1700" s="50" t="n">
        <v>3</v>
      </c>
      <c r="R1700" s="53" t="n">
        <f aca="false">IF(BZ1700=1,0,IFERROR(VLOOKUP(BX1700,'Gebinde-Kategorie'!$A$5:$N$45,13,0)+0,0))</f>
        <v>52</v>
      </c>
      <c r="S1700" s="54"/>
      <c r="T1700" s="55"/>
      <c r="U1700" s="55"/>
      <c r="V1700" s="55"/>
      <c r="W1700" s="48"/>
      <c r="X1700" s="50"/>
      <c r="Y1700" s="50"/>
      <c r="Z1700" s="48" t="n">
        <f aca="false">IF(A1700="","",IF(AND(Parameter!$B$21="Ja",ISNUMBER(W1700)),W1700,IF(CC1700="2+3",IF(ISNUMBER(SEARCH("grosser Artikel",BU1700)),2,IFERROR(VLOOKUP(BX1700,Parameter!$F$35:$G$64,2,0),2)),IF(OR(CC1700="Nein",CC1700=""),"-",CC1700))))</f>
        <v>3</v>
      </c>
      <c r="AA1700" s="55"/>
      <c r="AB1700" s="56"/>
      <c r="AC1700" s="50" t="n">
        <f aca="false">AV1700</f>
        <v>3</v>
      </c>
      <c r="AD1700" s="50" t="n">
        <f aca="false">MAX(AV1700,H1700)</f>
        <v>3</v>
      </c>
      <c r="AE1700" s="57"/>
      <c r="AF1700" s="50" t="n">
        <f aca="false">IF(LEFT(Cockpit!$C$5,1)="A",H1700,IF(Parameter!$E$30="MAX-Bestand",IF(CH1700=1,CI1700,IF(LEFT(Cockpit!$C$5,1)="B",AL1700,MAX(AL1700,H1700))),ROUNDUP(AJ1700,0)))</f>
        <v>3</v>
      </c>
      <c r="AG1700" s="50" t="n">
        <f aca="false">IF(BZ1700=1,0,ROUNDUP(AF1700/BY1700,0))</f>
        <v>1</v>
      </c>
      <c r="AH1700" s="52" t="n">
        <f aca="false">IF(CQ1700&gt;0,CQ1700*MAX(1,AF1700/X1700),IF(BZ1700=1,IF(AF1700&lt;=0,0,CD1700*MAX(1,IF(H1700&gt;0,AF1700/H1700,1))),IF(R1700&gt;0,AG1700/R1700,0))/MAX(0.1,N(Parameter!$M$21)))</f>
        <v>0.0192307692307692</v>
      </c>
      <c r="AI1700" s="50" t="n">
        <f aca="false">AH1700*CB1700</f>
        <v>2.98076923076923</v>
      </c>
      <c r="AJ1700" s="51" t="n">
        <f aca="false">IF(LEFT(Cockpit!$C$5,1)="A",H1700,IF(CH1700=1,(CK1700+CI1700)/2,IF(LEFT(Cockpit!$C$5,1)="B",(CK1700+AL1700)/2,MAX((CK1700+AL1700)/2,H1700))))</f>
        <v>3</v>
      </c>
      <c r="AK1700" s="50" t="n">
        <f aca="false">AJ1700*G1700</f>
        <v>299.82</v>
      </c>
      <c r="AL1700" s="50" t="n">
        <f aca="false">ROUNDUP(CK1700+MAX(CL1700,2*(J1700/IF(CG1700&gt;0,CG1700,MAX(0.1,N(Cockpit!$C$6)))-CK1700)),0)</f>
        <v>3</v>
      </c>
      <c r="AM1700" s="51" t="n">
        <f aca="false">IF(AI1700&gt;0,J1700/AI1700,-1)</f>
        <v>0</v>
      </c>
      <c r="AN1700" s="51" t="n">
        <f aca="false">IF(AND(OR(CF1700="L1",CF1700="L23",CF1700="LIFT"),AI1700&gt;0),SUMIFS($AI$7:$AI$1843,$CF$7:$CF$1843,CF1700,$AM$7:$AM$1843,"&gt;"&amp;AM1700)+SUMIFS($AI$7:$AI$1843,$CF$7:$CF$1843,CF1700,$AM$7:$AM$1843,AM1700,$BW$7:$BW$1843,"&lt;="&amp;BW1700),"")</f>
        <v>32794.0563755924</v>
      </c>
      <c r="AO1700" s="58" t="n">
        <f aca="false">IF(AN1700="",0,MAX(0,MIN(1,(IF(CF1700="L1",Parameter!$H$5,IF(CF1700="L23",Parameter!$H$6+Parameter!$H$7,Parameter!$H$5+Parameter!$H$6+Parameter!$H$7))-(AN1700-AI1700))/AI1700)))</f>
        <v>1</v>
      </c>
      <c r="AP1700" s="50" t="n">
        <f aca="false">IF(LEFT(Cockpit!$I$5,1)="A",H1700,IF(Parameter!$E$30="MAX-Bestand",IF(CH1700=1,CI1700,IF(LEFT(Cockpit!$I$5,1)="B",AV1700,MAX(AV1700,H1700))),ROUNDUP(AT1700,0)))</f>
        <v>3</v>
      </c>
      <c r="AQ1700" s="50" t="n">
        <f aca="false">IF(BZ1700=1,0,ROUNDUP(AP1700/BY1700,0))</f>
        <v>1</v>
      </c>
      <c r="AR1700" s="52" t="n">
        <f aca="false">IF(CQ1700&gt;0,CQ1700*MAX(1,AP1700/X1700),IF(BZ1700=1,IF(AP1700&lt;=0,0,CD1700*MAX(1,IF(H1700&gt;0,AP1700/H1700,1))),IF(R1700&gt;0,AQ1700/R1700,0))/MAX(0.1,N(Parameter!$M$21)))</f>
        <v>0.0192307692307692</v>
      </c>
      <c r="AS1700" s="50" t="n">
        <f aca="false">AR1700*CB1700</f>
        <v>2.98076923076923</v>
      </c>
      <c r="AT1700" s="51" t="n">
        <f aca="false">IF(LEFT(Cockpit!$I$5,1)="A",H1700,IF(CH1700=1,(CK1700+CI1700)/2,IF(LEFT(Cockpit!$I$5,1)="B",(CK1700+AV1700)/2,MAX((CK1700+AV1700)/2,H1700))))</f>
        <v>3</v>
      </c>
      <c r="AU1700" s="50" t="n">
        <f aca="false">AT1700*G1700</f>
        <v>299.82</v>
      </c>
      <c r="AV1700" s="50" t="n">
        <f aca="false">ROUNDUP(CK1700+MAX(CL1700,2*(J1700/IF(CG1700&gt;0,CG1700,MAX(0.1,N(Cockpit!$I$6)))-CK1700)),0)</f>
        <v>3</v>
      </c>
      <c r="AW1700" s="51" t="n">
        <f aca="false">IF(AS1700&gt;0,J1700/AS1700,-1)</f>
        <v>0</v>
      </c>
      <c r="AX1700" s="51" t="n">
        <f aca="false">IF(AND(OR(CF1700="L1",CF1700="L23",CF1700="LIFT"),AS1700&gt;0),SUMIFS($AS$7:$AS$1843,$CF$7:$CF$1843,CF1700,$AW$7:$AW$1843,"&gt;"&amp;AW1700)+SUMIFS($AS$7:$AS$1843,$CF$7:$CF$1843,CF1700,$AW$7:$AW$1843,AW1700,$BW$7:$BW$1843,"&lt;="&amp;BW1700),"")</f>
        <v>39266.3046061754</v>
      </c>
      <c r="AY1700" s="58" t="n">
        <f aca="false">IF(AX1700="",0,MAX(0,MIN(1,(IF(CF1700="L1",Parameter!$H$5,IF(CF1700="L23",Parameter!$H$6+Parameter!$H$7,Parameter!$H$5+Parameter!$H$6+Parameter!$H$7))-(AX1700-AS1700))/AS1700)))</f>
        <v>0</v>
      </c>
      <c r="AZ1700" s="50" t="n">
        <f aca="false">IF(LEFT(Cockpit!$O$5,1)="A",H1700,IF(Parameter!$E$30="MAX-Bestand",IF(CH1700=1,CI1700,IF(LEFT(Cockpit!$O$5,1)="B",BF1700,MAX(BF1700,H1700))),ROUNDUP(BD1700,0)))</f>
        <v>2</v>
      </c>
      <c r="BA1700" s="50" t="n">
        <f aca="false">IF(BZ1700=1,0,ROUNDUP(AZ1700/BY1700,0))</f>
        <v>1</v>
      </c>
      <c r="BB1700" s="52" t="n">
        <f aca="false">IF(CQ1700&gt;0,CQ1700*MAX(1,AZ1700/X1700),IF(BZ1700=1,IF(AZ1700&lt;=0,0,CD1700*MAX(1,IF(H1700&gt;0,AZ1700/H1700,1))),IF(R1700&gt;0,BA1700/R1700,0))/MAX(0.1,N(Parameter!$M$21)))</f>
        <v>0.0192307692307692</v>
      </c>
      <c r="BC1700" s="50" t="n">
        <f aca="false">BB1700*CB1700</f>
        <v>2.98076923076923</v>
      </c>
      <c r="BD1700" s="51" t="n">
        <f aca="false">IF(LEFT(Cockpit!$O$5,1)="A",H1700,IF(CH1700=1,(CK1700+CI1700)/2,IF(LEFT(Cockpit!$O$5,1)="B",(CK1700+BF1700)/2,MAX((CK1700+BF1700)/2,H1700))))</f>
        <v>1.5</v>
      </c>
      <c r="BE1700" s="50" t="n">
        <f aca="false">BD1700*G1700</f>
        <v>149.91</v>
      </c>
      <c r="BF1700" s="50" t="n">
        <f aca="false">ROUNDUP(CK1700+MAX(CL1700,2*(J1700/IF(CG1700&gt;0,CG1700,MAX(0.1,N(Cockpit!$O$6)))-CK1700)),0)</f>
        <v>3</v>
      </c>
      <c r="BG1700" s="51" t="n">
        <f aca="false">IF(BC1700&gt;0,J1700/BC1700,-1)</f>
        <v>0</v>
      </c>
      <c r="BH1700" s="51" t="n">
        <f aca="false">IF(AND(OR(CF1700="L1",CF1700="L23",CF1700="LIFT"),BC1700&gt;0),SUMIFS($BC$7:$BC$1843,$CF$7:$CF$1843,CF1700,$BG$7:$BG$1843,"&gt;"&amp;BG1700)+SUMIFS($BC$7:$BC$1843,$CF$7:$CF$1843,CF1700,$BG$7:$BG$1843,BG1700,$BW$7:$BW$1843,"&lt;="&amp;BW1700),"")</f>
        <v>32507.6369073488</v>
      </c>
      <c r="BI1700" s="58" t="n">
        <f aca="false">IF(BH1700="",0,MAX(0,MIN(1,(IF(CF1700="L1",Parameter!$H$5,IF(CF1700="L23",Parameter!$H$6+Parameter!$H$7,Parameter!$H$5+Parameter!$H$6+Parameter!$H$7))-(BH1700-BC1700))/BC1700)))</f>
        <v>1</v>
      </c>
      <c r="BJ1700" s="48" t="str">
        <f aca="false">IF(AI1700&lt;=0,"",IF(CF1700="Aussen","Aussenlager",IF(CF1700="-","Nicht im Lift",IF(AO1700&gt;=1,"Lift",IF(AO1700&lt;=0,"Aussenlager","teilweise")))))</f>
        <v>Lift</v>
      </c>
      <c r="BK1700" s="48" t="str">
        <f aca="false">IF(AS1700&lt;=0,"",IF(CF1700="Aussen","Aussenlager",IF(CF1700="-","Nicht im Lift",IF(AY1700&gt;=1,"Lift",IF(AY1700&lt;=0,"Aussenlager","teilweise")))))</f>
        <v>Aussenlager</v>
      </c>
      <c r="BL1700" s="48" t="str">
        <f aca="false">IF(BC1700&lt;=0,"",IF(CF1700="Aussen","Aussenlager",IF(CF1700="-","Nicht im Lift",IF(BI1700&gt;=1,"Lift",IF(BI1700&lt;=0,"Aussenlager","teilweise")))))</f>
        <v>Lift</v>
      </c>
      <c r="BM1700" s="48" t="str">
        <f aca="false">IF(A1700="","",IF(BV1700=1,"Neu; ","")&amp;IF(AND(BV1700=0,BQ1700&lt;0),"negativer Bestand (Export "&amp;BQ1700&amp;"); ","")&amp;IF(J1700&lt;=0,"Kein Verbrauch; ","")&amp;IF(CQ1700&gt;0,"Lift "&amp;W1700&amp;" lt. Liftbericht (Fach "&amp;X1700&amp;" Stk); ",IF(CA1700=1,"Gebinde geschätzt ("&amp;T1700&amp;"); ",IF(BZ1700=1,"Lose – Tablare geschätzt; ","")))&amp;IF(H1700&gt;AV1700,"Überbestand "&amp;ROUND(H1700-AV1700,0)&amp;" Stk / CHF "&amp;ROUND((H1700-AV1700)*G1700,0)&amp;"; ","")&amp;IF(AND(CH1700=1,CI1700&lt;CJ1700),"MAX &lt; MB+LG; ","")&amp;IF(AND(CP1700&gt;0,CO1700*10&gt;CP1700),"zu hoch für Tablar; ","")&amp;IF(AND(BV1700=0,OR(CH1700=1,AA1700&lt;&gt;"",U1700&lt;&gt;"",V1700&lt;&gt;"",AB1700&lt;&gt;"")),"manuell übersteuert; ","")&amp;IF(AND(BZ1700=0,R1700=0),"Gebinde unbekannt / Stellmass fehlt; ","")&amp;IF(AND(BZ1700=0,N(V1700)&lt;=0,N(Q1700)&lt;=0),"Menge pro Gebinde fehlt (Ist = 1 Gebinde); ","")&amp;BU1700)</f>
        <v>Kein Verbrauch; nur im Artikelstamm (Bestand 23.06.2026)</v>
      </c>
      <c r="BN1700" s="48"/>
      <c r="BO1700" s="48"/>
      <c r="BP1700" s="55"/>
      <c r="BQ1700" s="50" t="n">
        <v>3</v>
      </c>
      <c r="BR1700" s="50" t="n">
        <v>0</v>
      </c>
      <c r="BS1700" s="49" t="n">
        <v>0</v>
      </c>
      <c r="BT1700" s="50" t="n">
        <v>0</v>
      </c>
      <c r="BU1700" s="48" t="s">
        <v>2584</v>
      </c>
      <c r="BV1700" s="53" t="n">
        <v>0</v>
      </c>
      <c r="BW1700" s="53" t="n">
        <v>1700</v>
      </c>
      <c r="BX1700" s="48" t="str">
        <f aca="false">IF(U1700&lt;&gt;"",UPPER(TRIM(U1700)),IF(CA1700=1,UPPER(VLOOKUP(T1700,Parameter!$I$27:$K$29,2,0)),IF(P1700="","LOSE",P1700)))</f>
        <v>S41</v>
      </c>
      <c r="BY1700" s="50" t="n">
        <f aca="false">IF(BX1700="LOSE",1,IF(N(V1700)&gt;0,V1700,IF(CA1700=1,MAX(1,N(VLOOKUP(T1700,Parameter!$I$27:$K$29,3,0)),H1700,N(N1700)),IF(N(Q1700)&gt;0,Q1700,MAX(1,H1700)))))</f>
        <v>3</v>
      </c>
      <c r="BZ1700" s="53" t="n">
        <f aca="false">IF(BX1700="LOSE",1,0)</f>
        <v>0</v>
      </c>
      <c r="CA1700" s="53" t="n">
        <f aca="false">IF(AND(U1700="",OR(P1700="",P1700="LOSE"),T1700&lt;&gt;"",N(S1700)&lt;=0,ISNUMBER(MATCH(T1700,Parameter!$I$27:$I$29,0))),1,0)</f>
        <v>0</v>
      </c>
      <c r="CB1700" s="53" t="n">
        <f aca="false">IF(CQ1700&gt;0,INDEX(Parameter!$H$5:$H$7,W1700)/INDEX(Parameter!$E$5:$E$7,W1700),IF(AND(BZ1700=0,N(IFERROR(VLOOKUP(BX1700,'Gebinde-Kategorie'!$A$5:$N$45,14,0),0))&gt;0),VLOOKUP(BX1700,'Gebinde-Kategorie'!$A$5:$N$45,14,0)*10+Parameter!$M$23,Parameter!$M$24))</f>
        <v>155</v>
      </c>
      <c r="CC1700" s="48" t="str">
        <f aca="false">IF(AND(Parameter!$B$19="Ja",E1700&lt;&gt;"",ISNUMBER(MATCH(E1700,Parameter!$I$35:$I$52,0))),VLOOKUP(E1700,Parameter!$I$35:$J$52,2,0),IFERROR(VLOOKUP(D1700,Parameter!$A$35:$C$64,2,0),"Nein"))</f>
        <v>2+3</v>
      </c>
      <c r="CD1700" s="52" t="n">
        <f aca="false">IF(BZ1700=0,0,IF(N(S1700)&gt;0,S1700,IFERROR(VLOOKUP(D1700,Parameter!$A$35:$C$64,3,0)+0,0)))</f>
        <v>0</v>
      </c>
      <c r="CE1700" s="48" t="n">
        <f aca="false">IF(AA1700&lt;&gt;"",AA1700,Z1700)</f>
        <v>3</v>
      </c>
      <c r="CF1700" s="48" t="str">
        <f aca="false">IF(OR(CE1700=1,CE1700=2,CE1700=3),IF(Parameter!$E$27="Ja","LIFT",IF(CE1700=1,"L1","L23")),IF(CE1700="Aussen","Aussen","-"))</f>
        <v>LIFT</v>
      </c>
      <c r="CG1700" s="59" t="n">
        <f aca="false">IF(N(AB1700)&gt;0,AB1700,0)</f>
        <v>0</v>
      </c>
      <c r="CH1700" s="53" t="n">
        <f aca="false">IF(ISNUMBER(AE1700),1,0)</f>
        <v>0</v>
      </c>
      <c r="CI1700" s="50" t="n">
        <f aca="false">N(AE1700)</f>
        <v>0</v>
      </c>
      <c r="CJ1700" s="50" t="n">
        <f aca="false">N(M1700)+N(N1700)</f>
        <v>3</v>
      </c>
      <c r="CK1700" s="50" t="n">
        <f aca="false">N(M1700)</f>
        <v>0</v>
      </c>
      <c r="CL1700" s="50" t="n">
        <f aca="false">N(N1700)</f>
        <v>3</v>
      </c>
      <c r="CM1700" s="50" t="n">
        <f aca="false">ROUNDUP(H1700/BY1700,0)</f>
        <v>1</v>
      </c>
      <c r="CN1700" s="50" t="n">
        <f aca="false">ROUNDUP(CI1700/BY1700,0)</f>
        <v>0</v>
      </c>
      <c r="CO1700" s="53" t="n">
        <f aca="false">IF(BZ1700=1,0,IFERROR(VLOOKUP(BX1700,'Gebinde-Kategorie'!$A$5:$N$45,5,0)+0,0))</f>
        <v>11</v>
      </c>
      <c r="CP1700" s="53" t="n">
        <f aca="false">IFERROR(IF(OR(CE1700=1,CE1700=2,CE1700=3),N(INDEX(Parameter!$I$5:$I$7,CE1700)),0),0)</f>
        <v>0</v>
      </c>
      <c r="CQ1700" s="52" t="n">
        <f aca="false">IF(AND(Parameter!$B$21="Ja",ISNUMBER(W1700),N(X1700)&gt;0),IFERROR(N(INDEX(Parameter!$L$5:$L$7,W1700))*INDEX(Parameter!$E$5:$E$7,W1700)*X1700/SUMIFS($X$7:$X$1843,$W$7:$W$1843,W1700),0),0)</f>
        <v>0</v>
      </c>
    </row>
    <row r="1701" customFormat="false" ht="15" hidden="false" customHeight="false" outlineLevel="0" collapsed="false">
      <c r="A1701" s="48" t="s">
        <v>2954</v>
      </c>
      <c r="B1701" s="48" t="s">
        <v>852</v>
      </c>
      <c r="C1701" s="48" t="s">
        <v>173</v>
      </c>
      <c r="D1701" s="48" t="s">
        <v>193</v>
      </c>
      <c r="E1701" s="48"/>
      <c r="F1701" s="48"/>
      <c r="G1701" s="49" t="n">
        <v>38.1</v>
      </c>
      <c r="H1701" s="50" t="n">
        <f aca="false">MAX(0,IF(AND(Parameter!$B$21="Ja",ISNUMBER(Y1701)),Y1701,IF(Parameter!$B$20="Jahresanfang 2025 + Export",BR1701+BQ1701,BQ1701)))</f>
        <v>3</v>
      </c>
      <c r="I1701" s="50" t="n">
        <f aca="false">H1701*G1701</f>
        <v>114.3</v>
      </c>
      <c r="J1701" s="50" t="n">
        <f aca="false">BT1701*Parameter!$B$18</f>
        <v>0</v>
      </c>
      <c r="K1701" s="51"/>
      <c r="L1701" s="52"/>
      <c r="M1701" s="50" t="n">
        <v>0</v>
      </c>
      <c r="N1701" s="50" t="n">
        <v>3</v>
      </c>
      <c r="O1701" s="53" t="n">
        <v>42</v>
      </c>
      <c r="P1701" s="48" t="s">
        <v>337</v>
      </c>
      <c r="Q1701" s="50" t="n">
        <v>3</v>
      </c>
      <c r="R1701" s="53" t="n">
        <f aca="false">IF(BZ1701=1,0,IFERROR(VLOOKUP(BX1701,'Gebinde-Kategorie'!$A$5:$N$45,13,0)+0,0))</f>
        <v>52</v>
      </c>
      <c r="S1701" s="54"/>
      <c r="T1701" s="55"/>
      <c r="U1701" s="55"/>
      <c r="V1701" s="55"/>
      <c r="W1701" s="48"/>
      <c r="X1701" s="50"/>
      <c r="Y1701" s="50"/>
      <c r="Z1701" s="48" t="n">
        <f aca="false">IF(A1701="","",IF(AND(Parameter!$B$21="Ja",ISNUMBER(W1701)),W1701,IF(CC1701="2+3",IF(ISNUMBER(SEARCH("grosser Artikel",BU1701)),2,IFERROR(VLOOKUP(BX1701,Parameter!$F$35:$G$64,2,0),2)),IF(OR(CC1701="Nein",CC1701=""),"-",CC1701))))</f>
        <v>3</v>
      </c>
      <c r="AA1701" s="55"/>
      <c r="AB1701" s="56"/>
      <c r="AC1701" s="50" t="n">
        <f aca="false">AV1701</f>
        <v>3</v>
      </c>
      <c r="AD1701" s="50" t="n">
        <f aca="false">MAX(AV1701,H1701)</f>
        <v>3</v>
      </c>
      <c r="AE1701" s="57"/>
      <c r="AF1701" s="50" t="n">
        <f aca="false">IF(LEFT(Cockpit!$C$5,1)="A",H1701,IF(Parameter!$E$30="MAX-Bestand",IF(CH1701=1,CI1701,IF(LEFT(Cockpit!$C$5,1)="B",AL1701,MAX(AL1701,H1701))),ROUNDUP(AJ1701,0)))</f>
        <v>3</v>
      </c>
      <c r="AG1701" s="50" t="n">
        <f aca="false">IF(BZ1701=1,0,ROUNDUP(AF1701/BY1701,0))</f>
        <v>1</v>
      </c>
      <c r="AH1701" s="52" t="n">
        <f aca="false">IF(CQ1701&gt;0,CQ1701*MAX(1,AF1701/X1701),IF(BZ1701=1,IF(AF1701&lt;=0,0,CD1701*MAX(1,IF(H1701&gt;0,AF1701/H1701,1))),IF(R1701&gt;0,AG1701/R1701,0))/MAX(0.1,N(Parameter!$M$21)))</f>
        <v>0.0192307692307692</v>
      </c>
      <c r="AI1701" s="50" t="n">
        <f aca="false">AH1701*CB1701</f>
        <v>2.98076923076923</v>
      </c>
      <c r="AJ1701" s="51" t="n">
        <f aca="false">IF(LEFT(Cockpit!$C$5,1)="A",H1701,IF(CH1701=1,(CK1701+CI1701)/2,IF(LEFT(Cockpit!$C$5,1)="B",(CK1701+AL1701)/2,MAX((CK1701+AL1701)/2,H1701))))</f>
        <v>3</v>
      </c>
      <c r="AK1701" s="50" t="n">
        <f aca="false">AJ1701*G1701</f>
        <v>114.3</v>
      </c>
      <c r="AL1701" s="50" t="n">
        <f aca="false">ROUNDUP(CK1701+MAX(CL1701,2*(J1701/IF(CG1701&gt;0,CG1701,MAX(0.1,N(Cockpit!$C$6)))-CK1701)),0)</f>
        <v>3</v>
      </c>
      <c r="AM1701" s="51" t="n">
        <f aca="false">IF(AI1701&gt;0,J1701/AI1701,-1)</f>
        <v>0</v>
      </c>
      <c r="AN1701" s="51" t="n">
        <f aca="false">IF(AND(OR(CF1701="L1",CF1701="L23",CF1701="LIFT"),AI1701&gt;0),SUMIFS($AI$7:$AI$1843,$CF$7:$CF$1843,CF1701,$AM$7:$AM$1843,"&gt;"&amp;AM1701)+SUMIFS($AI$7:$AI$1843,$CF$7:$CF$1843,CF1701,$AM$7:$AM$1843,AM1701,$BW$7:$BW$1843,"&lt;="&amp;BW1701),"")</f>
        <v>32797.0371448232</v>
      </c>
      <c r="AO1701" s="58" t="n">
        <f aca="false">IF(AN1701="",0,MAX(0,MIN(1,(IF(CF1701="L1",Parameter!$H$5,IF(CF1701="L23",Parameter!$H$6+Parameter!$H$7,Parameter!$H$5+Parameter!$H$6+Parameter!$H$7))-(AN1701-AI1701))/AI1701)))</f>
        <v>1</v>
      </c>
      <c r="AP1701" s="50" t="n">
        <f aca="false">IF(LEFT(Cockpit!$I$5,1)="A",H1701,IF(Parameter!$E$30="MAX-Bestand",IF(CH1701=1,CI1701,IF(LEFT(Cockpit!$I$5,1)="B",AV1701,MAX(AV1701,H1701))),ROUNDUP(AT1701,0)))</f>
        <v>3</v>
      </c>
      <c r="AQ1701" s="50" t="n">
        <f aca="false">IF(BZ1701=1,0,ROUNDUP(AP1701/BY1701,0))</f>
        <v>1</v>
      </c>
      <c r="AR1701" s="52" t="n">
        <f aca="false">IF(CQ1701&gt;0,CQ1701*MAX(1,AP1701/X1701),IF(BZ1701=1,IF(AP1701&lt;=0,0,CD1701*MAX(1,IF(H1701&gt;0,AP1701/H1701,1))),IF(R1701&gt;0,AQ1701/R1701,0))/MAX(0.1,N(Parameter!$M$21)))</f>
        <v>0.0192307692307692</v>
      </c>
      <c r="AS1701" s="50" t="n">
        <f aca="false">AR1701*CB1701</f>
        <v>2.98076923076923</v>
      </c>
      <c r="AT1701" s="51" t="n">
        <f aca="false">IF(LEFT(Cockpit!$I$5,1)="A",H1701,IF(CH1701=1,(CK1701+CI1701)/2,IF(LEFT(Cockpit!$I$5,1)="B",(CK1701+AV1701)/2,MAX((CK1701+AV1701)/2,H1701))))</f>
        <v>3</v>
      </c>
      <c r="AU1701" s="50" t="n">
        <f aca="false">AT1701*G1701</f>
        <v>114.3</v>
      </c>
      <c r="AV1701" s="50" t="n">
        <f aca="false">ROUNDUP(CK1701+MAX(CL1701,2*(J1701/IF(CG1701&gt;0,CG1701,MAX(0.1,N(Cockpit!$I$6)))-CK1701)),0)</f>
        <v>3</v>
      </c>
      <c r="AW1701" s="51" t="n">
        <f aca="false">IF(AS1701&gt;0,J1701/AS1701,-1)</f>
        <v>0</v>
      </c>
      <c r="AX1701" s="51" t="n">
        <f aca="false">IF(AND(OR(CF1701="L1",CF1701="L23",CF1701="LIFT"),AS1701&gt;0),SUMIFS($AS$7:$AS$1843,$CF$7:$CF$1843,CF1701,$AW$7:$AW$1843,"&gt;"&amp;AW1701)+SUMIFS($AS$7:$AS$1843,$CF$7:$CF$1843,CF1701,$AW$7:$AW$1843,AW1701,$BW$7:$BW$1843,"&lt;="&amp;BW1701),"")</f>
        <v>39269.2853754061</v>
      </c>
      <c r="AY1701" s="58" t="n">
        <f aca="false">IF(AX1701="",0,MAX(0,MIN(1,(IF(CF1701="L1",Parameter!$H$5,IF(CF1701="L23",Parameter!$H$6+Parameter!$H$7,Parameter!$H$5+Parameter!$H$6+Parameter!$H$7))-(AX1701-AS1701))/AS1701)))</f>
        <v>0</v>
      </c>
      <c r="AZ1701" s="50" t="n">
        <f aca="false">IF(LEFT(Cockpit!$O$5,1)="A",H1701,IF(Parameter!$E$30="MAX-Bestand",IF(CH1701=1,CI1701,IF(LEFT(Cockpit!$O$5,1)="B",BF1701,MAX(BF1701,H1701))),ROUNDUP(BD1701,0)))</f>
        <v>2</v>
      </c>
      <c r="BA1701" s="50" t="n">
        <f aca="false">IF(BZ1701=1,0,ROUNDUP(AZ1701/BY1701,0))</f>
        <v>1</v>
      </c>
      <c r="BB1701" s="52" t="n">
        <f aca="false">IF(CQ1701&gt;0,CQ1701*MAX(1,AZ1701/X1701),IF(BZ1701=1,IF(AZ1701&lt;=0,0,CD1701*MAX(1,IF(H1701&gt;0,AZ1701/H1701,1))),IF(R1701&gt;0,BA1701/R1701,0))/MAX(0.1,N(Parameter!$M$21)))</f>
        <v>0.0192307692307692</v>
      </c>
      <c r="BC1701" s="50" t="n">
        <f aca="false">BB1701*CB1701</f>
        <v>2.98076923076923</v>
      </c>
      <c r="BD1701" s="51" t="n">
        <f aca="false">IF(LEFT(Cockpit!$O$5,1)="A",H1701,IF(CH1701=1,(CK1701+CI1701)/2,IF(LEFT(Cockpit!$O$5,1)="B",(CK1701+BF1701)/2,MAX((CK1701+BF1701)/2,H1701))))</f>
        <v>1.5</v>
      </c>
      <c r="BE1701" s="50" t="n">
        <f aca="false">BD1701*G1701</f>
        <v>57.15</v>
      </c>
      <c r="BF1701" s="50" t="n">
        <f aca="false">ROUNDUP(CK1701+MAX(CL1701,2*(J1701/IF(CG1701&gt;0,CG1701,MAX(0.1,N(Cockpit!$O$6)))-CK1701)),0)</f>
        <v>3</v>
      </c>
      <c r="BG1701" s="51" t="n">
        <f aca="false">IF(BC1701&gt;0,J1701/BC1701,-1)</f>
        <v>0</v>
      </c>
      <c r="BH1701" s="51" t="n">
        <f aca="false">IF(AND(OR(CF1701="L1",CF1701="L23",CF1701="LIFT"),BC1701&gt;0),SUMIFS($BC$7:$BC$1843,$CF$7:$CF$1843,CF1701,$BG$7:$BG$1843,"&gt;"&amp;BG1701)+SUMIFS($BC$7:$BC$1843,$CF$7:$CF$1843,CF1701,$BG$7:$BG$1843,BG1701,$BW$7:$BW$1843,"&lt;="&amp;BW1701),"")</f>
        <v>32510.6176765795</v>
      </c>
      <c r="BI1701" s="58" t="n">
        <f aca="false">IF(BH1701="",0,MAX(0,MIN(1,(IF(CF1701="L1",Parameter!$H$5,IF(CF1701="L23",Parameter!$H$6+Parameter!$H$7,Parameter!$H$5+Parameter!$H$6+Parameter!$H$7))-(BH1701-BC1701))/BC1701)))</f>
        <v>1</v>
      </c>
      <c r="BJ1701" s="48" t="str">
        <f aca="false">IF(AI1701&lt;=0,"",IF(CF1701="Aussen","Aussenlager",IF(CF1701="-","Nicht im Lift",IF(AO1701&gt;=1,"Lift",IF(AO1701&lt;=0,"Aussenlager","teilweise")))))</f>
        <v>Lift</v>
      </c>
      <c r="BK1701" s="48" t="str">
        <f aca="false">IF(AS1701&lt;=0,"",IF(CF1701="Aussen","Aussenlager",IF(CF1701="-","Nicht im Lift",IF(AY1701&gt;=1,"Lift",IF(AY1701&lt;=0,"Aussenlager","teilweise")))))</f>
        <v>Aussenlager</v>
      </c>
      <c r="BL1701" s="48" t="str">
        <f aca="false">IF(BC1701&lt;=0,"",IF(CF1701="Aussen","Aussenlager",IF(CF1701="-","Nicht im Lift",IF(BI1701&gt;=1,"Lift",IF(BI1701&lt;=0,"Aussenlager","teilweise")))))</f>
        <v>Lift</v>
      </c>
      <c r="BM1701" s="48" t="str">
        <f aca="false">IF(A1701="","",IF(BV1701=1,"Neu; ","")&amp;IF(AND(BV1701=0,BQ1701&lt;0),"negativer Bestand (Export "&amp;BQ1701&amp;"); ","")&amp;IF(J1701&lt;=0,"Kein Verbrauch; ","")&amp;IF(CQ1701&gt;0,"Lift "&amp;W1701&amp;" lt. Liftbericht (Fach "&amp;X1701&amp;" Stk); ",IF(CA1701=1,"Gebinde geschätzt ("&amp;T1701&amp;"); ",IF(BZ1701=1,"Lose – Tablare geschätzt; ","")))&amp;IF(H1701&gt;AV1701,"Überbestand "&amp;ROUND(H1701-AV1701,0)&amp;" Stk / CHF "&amp;ROUND((H1701-AV1701)*G1701,0)&amp;"; ","")&amp;IF(AND(CH1701=1,CI1701&lt;CJ1701),"MAX &lt; MB+LG; ","")&amp;IF(AND(CP1701&gt;0,CO1701*10&gt;CP1701),"zu hoch für Tablar; ","")&amp;IF(AND(BV1701=0,OR(CH1701=1,AA1701&lt;&gt;"",U1701&lt;&gt;"",V1701&lt;&gt;"",AB1701&lt;&gt;"")),"manuell übersteuert; ","")&amp;IF(AND(BZ1701=0,R1701=0),"Gebinde unbekannt / Stellmass fehlt; ","")&amp;IF(AND(BZ1701=0,N(V1701)&lt;=0,N(Q1701)&lt;=0),"Menge pro Gebinde fehlt (Ist = 1 Gebinde); ","")&amp;BU1701)</f>
        <v>Kein Verbrauch; nur im Artikelstamm (Bestand 23.06.2026)</v>
      </c>
      <c r="BN1701" s="48"/>
      <c r="BO1701" s="48"/>
      <c r="BP1701" s="55"/>
      <c r="BQ1701" s="50" t="n">
        <v>3</v>
      </c>
      <c r="BR1701" s="50" t="n">
        <v>0</v>
      </c>
      <c r="BS1701" s="49" t="n">
        <v>0</v>
      </c>
      <c r="BT1701" s="50" t="n">
        <v>0</v>
      </c>
      <c r="BU1701" s="48" t="s">
        <v>2584</v>
      </c>
      <c r="BV1701" s="53" t="n">
        <v>0</v>
      </c>
      <c r="BW1701" s="53" t="n">
        <v>1701</v>
      </c>
      <c r="BX1701" s="48" t="str">
        <f aca="false">IF(U1701&lt;&gt;"",UPPER(TRIM(U1701)),IF(CA1701=1,UPPER(VLOOKUP(T1701,Parameter!$I$27:$K$29,2,0)),IF(P1701="","LOSE",P1701)))</f>
        <v>S41</v>
      </c>
      <c r="BY1701" s="50" t="n">
        <f aca="false">IF(BX1701="LOSE",1,IF(N(V1701)&gt;0,V1701,IF(CA1701=1,MAX(1,N(VLOOKUP(T1701,Parameter!$I$27:$K$29,3,0)),H1701,N(N1701)),IF(N(Q1701)&gt;0,Q1701,MAX(1,H1701)))))</f>
        <v>3</v>
      </c>
      <c r="BZ1701" s="53" t="n">
        <f aca="false">IF(BX1701="LOSE",1,0)</f>
        <v>0</v>
      </c>
      <c r="CA1701" s="53" t="n">
        <f aca="false">IF(AND(U1701="",OR(P1701="",P1701="LOSE"),T1701&lt;&gt;"",N(S1701)&lt;=0,ISNUMBER(MATCH(T1701,Parameter!$I$27:$I$29,0))),1,0)</f>
        <v>0</v>
      </c>
      <c r="CB1701" s="53" t="n">
        <f aca="false">IF(CQ1701&gt;0,INDEX(Parameter!$H$5:$H$7,W1701)/INDEX(Parameter!$E$5:$E$7,W1701),IF(AND(BZ1701=0,N(IFERROR(VLOOKUP(BX1701,'Gebinde-Kategorie'!$A$5:$N$45,14,0),0))&gt;0),VLOOKUP(BX1701,'Gebinde-Kategorie'!$A$5:$N$45,14,0)*10+Parameter!$M$23,Parameter!$M$24))</f>
        <v>155</v>
      </c>
      <c r="CC1701" s="48" t="str">
        <f aca="false">IF(AND(Parameter!$B$19="Ja",E1701&lt;&gt;"",ISNUMBER(MATCH(E1701,Parameter!$I$35:$I$52,0))),VLOOKUP(E1701,Parameter!$I$35:$J$52,2,0),IFERROR(VLOOKUP(D1701,Parameter!$A$35:$C$64,2,0),"Nein"))</f>
        <v>2+3</v>
      </c>
      <c r="CD1701" s="52" t="n">
        <f aca="false">IF(BZ1701=0,0,IF(N(S1701)&gt;0,S1701,IFERROR(VLOOKUP(D1701,Parameter!$A$35:$C$64,3,0)+0,0)))</f>
        <v>0</v>
      </c>
      <c r="CE1701" s="48" t="n">
        <f aca="false">IF(AA1701&lt;&gt;"",AA1701,Z1701)</f>
        <v>3</v>
      </c>
      <c r="CF1701" s="48" t="str">
        <f aca="false">IF(OR(CE1701=1,CE1701=2,CE1701=3),IF(Parameter!$E$27="Ja","LIFT",IF(CE1701=1,"L1","L23")),IF(CE1701="Aussen","Aussen","-"))</f>
        <v>LIFT</v>
      </c>
      <c r="CG1701" s="59" t="n">
        <f aca="false">IF(N(AB1701)&gt;0,AB1701,0)</f>
        <v>0</v>
      </c>
      <c r="CH1701" s="53" t="n">
        <f aca="false">IF(ISNUMBER(AE1701),1,0)</f>
        <v>0</v>
      </c>
      <c r="CI1701" s="50" t="n">
        <f aca="false">N(AE1701)</f>
        <v>0</v>
      </c>
      <c r="CJ1701" s="50" t="n">
        <f aca="false">N(M1701)+N(N1701)</f>
        <v>3</v>
      </c>
      <c r="CK1701" s="50" t="n">
        <f aca="false">N(M1701)</f>
        <v>0</v>
      </c>
      <c r="CL1701" s="50" t="n">
        <f aca="false">N(N1701)</f>
        <v>3</v>
      </c>
      <c r="CM1701" s="50" t="n">
        <f aca="false">ROUNDUP(H1701/BY1701,0)</f>
        <v>1</v>
      </c>
      <c r="CN1701" s="50" t="n">
        <f aca="false">ROUNDUP(CI1701/BY1701,0)</f>
        <v>0</v>
      </c>
      <c r="CO1701" s="53" t="n">
        <f aca="false">IF(BZ1701=1,0,IFERROR(VLOOKUP(BX1701,'Gebinde-Kategorie'!$A$5:$N$45,5,0)+0,0))</f>
        <v>11</v>
      </c>
      <c r="CP1701" s="53" t="n">
        <f aca="false">IFERROR(IF(OR(CE1701=1,CE1701=2,CE1701=3),N(INDEX(Parameter!$I$5:$I$7,CE1701)),0),0)</f>
        <v>0</v>
      </c>
      <c r="CQ1701" s="52" t="n">
        <f aca="false">IF(AND(Parameter!$B$21="Ja",ISNUMBER(W1701),N(X1701)&gt;0),IFERROR(N(INDEX(Parameter!$L$5:$L$7,W1701))*INDEX(Parameter!$E$5:$E$7,W1701)*X1701/SUMIFS($X$7:$X$1843,$W$7:$W$1843,W1701),0),0)</f>
        <v>0</v>
      </c>
    </row>
    <row r="1702" customFormat="false" ht="15" hidden="false" customHeight="false" outlineLevel="0" collapsed="false">
      <c r="A1702" s="48" t="s">
        <v>2955</v>
      </c>
      <c r="B1702" s="48" t="s">
        <v>414</v>
      </c>
      <c r="C1702" s="48" t="s">
        <v>173</v>
      </c>
      <c r="D1702" s="48" t="s">
        <v>193</v>
      </c>
      <c r="E1702" s="48"/>
      <c r="F1702" s="48"/>
      <c r="G1702" s="49" t="n">
        <v>0.46</v>
      </c>
      <c r="H1702" s="50" t="n">
        <f aca="false">MAX(0,IF(AND(Parameter!$B$21="Ja",ISNUMBER(Y1702)),Y1702,IF(Parameter!$B$20="Jahresanfang 2025 + Export",BR1702+BQ1702,BQ1702)))</f>
        <v>100</v>
      </c>
      <c r="I1702" s="50" t="n">
        <f aca="false">H1702*G1702</f>
        <v>46</v>
      </c>
      <c r="J1702" s="50" t="n">
        <f aca="false">BT1702*Parameter!$B$18</f>
        <v>0</v>
      </c>
      <c r="K1702" s="51"/>
      <c r="L1702" s="52"/>
      <c r="M1702" s="50" t="n">
        <v>0</v>
      </c>
      <c r="N1702" s="50" t="n">
        <v>100</v>
      </c>
      <c r="O1702" s="53" t="n">
        <v>0</v>
      </c>
      <c r="P1702" s="48" t="s">
        <v>430</v>
      </c>
      <c r="Q1702" s="50" t="n">
        <v>60</v>
      </c>
      <c r="R1702" s="53" t="n">
        <f aca="false">IF(BZ1702=1,0,IFERROR(VLOOKUP(BX1702,'Gebinde-Kategorie'!$A$5:$N$45,13,0)+0,0))</f>
        <v>104</v>
      </c>
      <c r="S1702" s="54"/>
      <c r="T1702" s="55"/>
      <c r="U1702" s="55"/>
      <c r="V1702" s="55"/>
      <c r="W1702" s="48"/>
      <c r="X1702" s="50"/>
      <c r="Y1702" s="50"/>
      <c r="Z1702" s="48" t="n">
        <f aca="false">IF(A1702="","",IF(AND(Parameter!$B$21="Ja",ISNUMBER(W1702)),W1702,IF(CC1702="2+3",IF(ISNUMBER(SEARCH("grosser Artikel",BU1702)),2,IFERROR(VLOOKUP(BX1702,Parameter!$F$35:$G$64,2,0),2)),IF(OR(CC1702="Nein",CC1702=""),"-",CC1702))))</f>
        <v>3</v>
      </c>
      <c r="AA1702" s="55"/>
      <c r="AB1702" s="56"/>
      <c r="AC1702" s="50" t="n">
        <f aca="false">AV1702</f>
        <v>100</v>
      </c>
      <c r="AD1702" s="50" t="n">
        <f aca="false">MAX(AV1702,H1702)</f>
        <v>100</v>
      </c>
      <c r="AE1702" s="57"/>
      <c r="AF1702" s="50" t="n">
        <f aca="false">IF(LEFT(Cockpit!$C$5,1)="A",H1702,IF(Parameter!$E$30="MAX-Bestand",IF(CH1702=1,CI1702,IF(LEFT(Cockpit!$C$5,1)="B",AL1702,MAX(AL1702,H1702))),ROUNDUP(AJ1702,0)))</f>
        <v>100</v>
      </c>
      <c r="AG1702" s="50" t="n">
        <f aca="false">IF(BZ1702=1,0,ROUNDUP(AF1702/BY1702,0))</f>
        <v>2</v>
      </c>
      <c r="AH1702" s="52" t="n">
        <f aca="false">IF(CQ1702&gt;0,CQ1702*MAX(1,AF1702/X1702),IF(BZ1702=1,IF(AF1702&lt;=0,0,CD1702*MAX(1,IF(H1702&gt;0,AF1702/H1702,1))),IF(R1702&gt;0,AG1702/R1702,0))/MAX(0.1,N(Parameter!$M$21)))</f>
        <v>0.0192307692307692</v>
      </c>
      <c r="AI1702" s="50" t="n">
        <f aca="false">AH1702*CB1702</f>
        <v>2.98076923076923</v>
      </c>
      <c r="AJ1702" s="51" t="n">
        <f aca="false">IF(LEFT(Cockpit!$C$5,1)="A",H1702,IF(CH1702=1,(CK1702+CI1702)/2,IF(LEFT(Cockpit!$C$5,1)="B",(CK1702+AL1702)/2,MAX((CK1702+AL1702)/2,H1702))))</f>
        <v>100</v>
      </c>
      <c r="AK1702" s="50" t="n">
        <f aca="false">AJ1702*G1702</f>
        <v>46</v>
      </c>
      <c r="AL1702" s="50" t="n">
        <f aca="false">ROUNDUP(CK1702+MAX(CL1702,2*(J1702/IF(CG1702&gt;0,CG1702,MAX(0.1,N(Cockpit!$C$6)))-CK1702)),0)</f>
        <v>100</v>
      </c>
      <c r="AM1702" s="51" t="n">
        <f aca="false">IF(AI1702&gt;0,J1702/AI1702,-1)</f>
        <v>0</v>
      </c>
      <c r="AN1702" s="51" t="n">
        <f aca="false">IF(AND(OR(CF1702="L1",CF1702="L23",CF1702="LIFT"),AI1702&gt;0),SUMIFS($AI$7:$AI$1843,$CF$7:$CF$1843,CF1702,$AM$7:$AM$1843,"&gt;"&amp;AM1702)+SUMIFS($AI$7:$AI$1843,$CF$7:$CF$1843,CF1702,$AM$7:$AM$1843,AM1702,$BW$7:$BW$1843,"&lt;="&amp;BW1702),"")</f>
        <v>32800.0179140539</v>
      </c>
      <c r="AO1702" s="58" t="n">
        <f aca="false">IF(AN1702="",0,MAX(0,MIN(1,(IF(CF1702="L1",Parameter!$H$5,IF(CF1702="L23",Parameter!$H$6+Parameter!$H$7,Parameter!$H$5+Parameter!$H$6+Parameter!$H$7))-(AN1702-AI1702))/AI1702)))</f>
        <v>1</v>
      </c>
      <c r="AP1702" s="50" t="n">
        <f aca="false">IF(LEFT(Cockpit!$I$5,1)="A",H1702,IF(Parameter!$E$30="MAX-Bestand",IF(CH1702=1,CI1702,IF(LEFT(Cockpit!$I$5,1)="B",AV1702,MAX(AV1702,H1702))),ROUNDUP(AT1702,0)))</f>
        <v>100</v>
      </c>
      <c r="AQ1702" s="50" t="n">
        <f aca="false">IF(BZ1702=1,0,ROUNDUP(AP1702/BY1702,0))</f>
        <v>2</v>
      </c>
      <c r="AR1702" s="52" t="n">
        <f aca="false">IF(CQ1702&gt;0,CQ1702*MAX(1,AP1702/X1702),IF(BZ1702=1,IF(AP1702&lt;=0,0,CD1702*MAX(1,IF(H1702&gt;0,AP1702/H1702,1))),IF(R1702&gt;0,AQ1702/R1702,0))/MAX(0.1,N(Parameter!$M$21)))</f>
        <v>0.0192307692307692</v>
      </c>
      <c r="AS1702" s="50" t="n">
        <f aca="false">AR1702*CB1702</f>
        <v>2.98076923076923</v>
      </c>
      <c r="AT1702" s="51" t="n">
        <f aca="false">IF(LEFT(Cockpit!$I$5,1)="A",H1702,IF(CH1702=1,(CK1702+CI1702)/2,IF(LEFT(Cockpit!$I$5,1)="B",(CK1702+AV1702)/2,MAX((CK1702+AV1702)/2,H1702))))</f>
        <v>100</v>
      </c>
      <c r="AU1702" s="50" t="n">
        <f aca="false">AT1702*G1702</f>
        <v>46</v>
      </c>
      <c r="AV1702" s="50" t="n">
        <f aca="false">ROUNDUP(CK1702+MAX(CL1702,2*(J1702/IF(CG1702&gt;0,CG1702,MAX(0.1,N(Cockpit!$I$6)))-CK1702)),0)</f>
        <v>100</v>
      </c>
      <c r="AW1702" s="51" t="n">
        <f aca="false">IF(AS1702&gt;0,J1702/AS1702,-1)</f>
        <v>0</v>
      </c>
      <c r="AX1702" s="51" t="n">
        <f aca="false">IF(AND(OR(CF1702="L1",CF1702="L23",CF1702="LIFT"),AS1702&gt;0),SUMIFS($AS$7:$AS$1843,$CF$7:$CF$1843,CF1702,$AW$7:$AW$1843,"&gt;"&amp;AW1702)+SUMIFS($AS$7:$AS$1843,$CF$7:$CF$1843,CF1702,$AW$7:$AW$1843,AW1702,$BW$7:$BW$1843,"&lt;="&amp;BW1702),"")</f>
        <v>39272.2661446369</v>
      </c>
      <c r="AY1702" s="58" t="n">
        <f aca="false">IF(AX1702="",0,MAX(0,MIN(1,(IF(CF1702="L1",Parameter!$H$5,IF(CF1702="L23",Parameter!$H$6+Parameter!$H$7,Parameter!$H$5+Parameter!$H$6+Parameter!$H$7))-(AX1702-AS1702))/AS1702)))</f>
        <v>0</v>
      </c>
      <c r="AZ1702" s="50" t="n">
        <f aca="false">IF(LEFT(Cockpit!$O$5,1)="A",H1702,IF(Parameter!$E$30="MAX-Bestand",IF(CH1702=1,CI1702,IF(LEFT(Cockpit!$O$5,1)="B",BF1702,MAX(BF1702,H1702))),ROUNDUP(BD1702,0)))</f>
        <v>50</v>
      </c>
      <c r="BA1702" s="50" t="n">
        <f aca="false">IF(BZ1702=1,0,ROUNDUP(AZ1702/BY1702,0))</f>
        <v>1</v>
      </c>
      <c r="BB1702" s="52" t="n">
        <f aca="false">IF(CQ1702&gt;0,CQ1702*MAX(1,AZ1702/X1702),IF(BZ1702=1,IF(AZ1702&lt;=0,0,CD1702*MAX(1,IF(H1702&gt;0,AZ1702/H1702,1))),IF(R1702&gt;0,BA1702/R1702,0))/MAX(0.1,N(Parameter!$M$21)))</f>
        <v>0.00961538461538462</v>
      </c>
      <c r="BC1702" s="50" t="n">
        <f aca="false">BB1702*CB1702</f>
        <v>1.49038461538462</v>
      </c>
      <c r="BD1702" s="51" t="n">
        <f aca="false">IF(LEFT(Cockpit!$O$5,1)="A",H1702,IF(CH1702=1,(CK1702+CI1702)/2,IF(LEFT(Cockpit!$O$5,1)="B",(CK1702+BF1702)/2,MAX((CK1702+BF1702)/2,H1702))))</f>
        <v>50</v>
      </c>
      <c r="BE1702" s="50" t="n">
        <f aca="false">BD1702*G1702</f>
        <v>23</v>
      </c>
      <c r="BF1702" s="50" t="n">
        <f aca="false">ROUNDUP(CK1702+MAX(CL1702,2*(J1702/IF(CG1702&gt;0,CG1702,MAX(0.1,N(Cockpit!$O$6)))-CK1702)),0)</f>
        <v>100</v>
      </c>
      <c r="BG1702" s="51" t="n">
        <f aca="false">IF(BC1702&gt;0,J1702/BC1702,-1)</f>
        <v>0</v>
      </c>
      <c r="BH1702" s="51" t="n">
        <f aca="false">IF(AND(OR(CF1702="L1",CF1702="L23",CF1702="LIFT"),BC1702&gt;0),SUMIFS($BC$7:$BC$1843,$CF$7:$CF$1843,CF1702,$BG$7:$BG$1843,"&gt;"&amp;BG1702)+SUMIFS($BC$7:$BC$1843,$CF$7:$CF$1843,CF1702,$BG$7:$BG$1843,BG1702,$BW$7:$BW$1843,"&lt;="&amp;BW1702),"")</f>
        <v>32512.1080611949</v>
      </c>
      <c r="BI1702" s="58" t="n">
        <f aca="false">IF(BH1702="",0,MAX(0,MIN(1,(IF(CF1702="L1",Parameter!$H$5,IF(CF1702="L23",Parameter!$H$6+Parameter!$H$7,Parameter!$H$5+Parameter!$H$6+Parameter!$H$7))-(BH1702-BC1702))/BC1702)))</f>
        <v>1</v>
      </c>
      <c r="BJ1702" s="48" t="str">
        <f aca="false">IF(AI1702&lt;=0,"",IF(CF1702="Aussen","Aussenlager",IF(CF1702="-","Nicht im Lift",IF(AO1702&gt;=1,"Lift",IF(AO1702&lt;=0,"Aussenlager","teilweise")))))</f>
        <v>Lift</v>
      </c>
      <c r="BK1702" s="48" t="str">
        <f aca="false">IF(AS1702&lt;=0,"",IF(CF1702="Aussen","Aussenlager",IF(CF1702="-","Nicht im Lift",IF(AY1702&gt;=1,"Lift",IF(AY1702&lt;=0,"Aussenlager","teilweise")))))</f>
        <v>Aussenlager</v>
      </c>
      <c r="BL1702" s="48" t="str">
        <f aca="false">IF(BC1702&lt;=0,"",IF(CF1702="Aussen","Aussenlager",IF(CF1702="-","Nicht im Lift",IF(BI1702&gt;=1,"Lift",IF(BI1702&lt;=0,"Aussenlager","teilweise")))))</f>
        <v>Lift</v>
      </c>
      <c r="BM1702" s="48" t="str">
        <f aca="false">IF(A1702="","",IF(BV1702=1,"Neu; ","")&amp;IF(AND(BV1702=0,BQ1702&lt;0),"negativer Bestand (Export "&amp;BQ1702&amp;"); ","")&amp;IF(J1702&lt;=0,"Kein Verbrauch; ","")&amp;IF(CQ1702&gt;0,"Lift "&amp;W1702&amp;" lt. Liftbericht (Fach "&amp;X1702&amp;" Stk); ",IF(CA1702=1,"Gebinde geschätzt ("&amp;T1702&amp;"); ",IF(BZ1702=1,"Lose – Tablare geschätzt; ","")))&amp;IF(H1702&gt;AV1702,"Überbestand "&amp;ROUND(H1702-AV1702,0)&amp;" Stk / CHF "&amp;ROUND((H1702-AV1702)*G1702,0)&amp;"; ","")&amp;IF(AND(CH1702=1,CI1702&lt;CJ1702),"MAX &lt; MB+LG; ","")&amp;IF(AND(CP1702&gt;0,CO1702*10&gt;CP1702),"zu hoch für Tablar; ","")&amp;IF(AND(BV1702=0,OR(CH1702=1,AA1702&lt;&gt;"",U1702&lt;&gt;"",V1702&lt;&gt;"",AB1702&lt;&gt;"")),"manuell übersteuert; ","")&amp;IF(AND(BZ1702=0,R1702=0),"Gebinde unbekannt / Stellmass fehlt; ","")&amp;IF(AND(BZ1702=0,N(V1702)&lt;=0,N(Q1702)&lt;=0),"Menge pro Gebinde fehlt (Ist = 1 Gebinde); ","")&amp;BU1702)</f>
        <v>Kein Verbrauch; nur im Artikelstamm (Bestand 23.06.2026); Überbestand</v>
      </c>
      <c r="BN1702" s="48"/>
      <c r="BO1702" s="48"/>
      <c r="BP1702" s="55"/>
      <c r="BQ1702" s="50" t="n">
        <v>100</v>
      </c>
      <c r="BR1702" s="50" t="n">
        <v>0</v>
      </c>
      <c r="BS1702" s="49" t="n">
        <v>0</v>
      </c>
      <c r="BT1702" s="50" t="n">
        <v>0</v>
      </c>
      <c r="BU1702" s="48" t="s">
        <v>2581</v>
      </c>
      <c r="BV1702" s="53" t="n">
        <v>0</v>
      </c>
      <c r="BW1702" s="53" t="n">
        <v>1702</v>
      </c>
      <c r="BX1702" s="48" t="str">
        <f aca="false">IF(U1702&lt;&gt;"",UPPER(TRIM(U1702)),IF(CA1702=1,UPPER(VLOOKUP(T1702,Parameter!$I$27:$K$29,2,0)),IF(P1702="","LOSE",P1702)))</f>
        <v>S32</v>
      </c>
      <c r="BY1702" s="50" t="n">
        <f aca="false">IF(BX1702="LOSE",1,IF(N(V1702)&gt;0,V1702,IF(CA1702=1,MAX(1,N(VLOOKUP(T1702,Parameter!$I$27:$K$29,3,0)),H1702,N(N1702)),IF(N(Q1702)&gt;0,Q1702,MAX(1,H1702)))))</f>
        <v>60</v>
      </c>
      <c r="BZ1702" s="53" t="n">
        <f aca="false">IF(BX1702="LOSE",1,0)</f>
        <v>0</v>
      </c>
      <c r="CA1702" s="53" t="n">
        <f aca="false">IF(AND(U1702="",OR(P1702="",P1702="LOSE"),T1702&lt;&gt;"",N(S1702)&lt;=0,ISNUMBER(MATCH(T1702,Parameter!$I$27:$I$29,0))),1,0)</f>
        <v>0</v>
      </c>
      <c r="CB1702" s="53" t="n">
        <f aca="false">IF(CQ1702&gt;0,INDEX(Parameter!$H$5:$H$7,W1702)/INDEX(Parameter!$E$5:$E$7,W1702),IF(AND(BZ1702=0,N(IFERROR(VLOOKUP(BX1702,'Gebinde-Kategorie'!$A$5:$N$45,14,0),0))&gt;0),VLOOKUP(BX1702,'Gebinde-Kategorie'!$A$5:$N$45,14,0)*10+Parameter!$M$23,Parameter!$M$24))</f>
        <v>155</v>
      </c>
      <c r="CC1702" s="48" t="str">
        <f aca="false">IF(AND(Parameter!$B$19="Ja",E1702&lt;&gt;"",ISNUMBER(MATCH(E1702,Parameter!$I$35:$I$52,0))),VLOOKUP(E1702,Parameter!$I$35:$J$52,2,0),IFERROR(VLOOKUP(D1702,Parameter!$A$35:$C$64,2,0),"Nein"))</f>
        <v>2+3</v>
      </c>
      <c r="CD1702" s="52" t="n">
        <f aca="false">IF(BZ1702=0,0,IF(N(S1702)&gt;0,S1702,IFERROR(VLOOKUP(D1702,Parameter!$A$35:$C$64,3,0)+0,0)))</f>
        <v>0</v>
      </c>
      <c r="CE1702" s="48" t="n">
        <f aca="false">IF(AA1702&lt;&gt;"",AA1702,Z1702)</f>
        <v>3</v>
      </c>
      <c r="CF1702" s="48" t="str">
        <f aca="false">IF(OR(CE1702=1,CE1702=2,CE1702=3),IF(Parameter!$E$27="Ja","LIFT",IF(CE1702=1,"L1","L23")),IF(CE1702="Aussen","Aussen","-"))</f>
        <v>LIFT</v>
      </c>
      <c r="CG1702" s="59" t="n">
        <f aca="false">IF(N(AB1702)&gt;0,AB1702,0)</f>
        <v>0</v>
      </c>
      <c r="CH1702" s="53" t="n">
        <f aca="false">IF(ISNUMBER(AE1702),1,0)</f>
        <v>0</v>
      </c>
      <c r="CI1702" s="50" t="n">
        <f aca="false">N(AE1702)</f>
        <v>0</v>
      </c>
      <c r="CJ1702" s="50" t="n">
        <f aca="false">N(M1702)+N(N1702)</f>
        <v>100</v>
      </c>
      <c r="CK1702" s="50" t="n">
        <f aca="false">N(M1702)</f>
        <v>0</v>
      </c>
      <c r="CL1702" s="50" t="n">
        <f aca="false">N(N1702)</f>
        <v>100</v>
      </c>
      <c r="CM1702" s="50" t="n">
        <f aca="false">ROUNDUP(H1702/BY1702,0)</f>
        <v>2</v>
      </c>
      <c r="CN1702" s="50" t="n">
        <f aca="false">ROUNDUP(CI1702/BY1702,0)</f>
        <v>0</v>
      </c>
      <c r="CO1702" s="53" t="n">
        <f aca="false">IF(BZ1702=1,0,IFERROR(VLOOKUP(BX1702,'Gebinde-Kategorie'!$A$5:$N$45,5,0)+0,0))</f>
        <v>8</v>
      </c>
      <c r="CP1702" s="53" t="n">
        <f aca="false">IFERROR(IF(OR(CE1702=1,CE1702=2,CE1702=3),N(INDEX(Parameter!$I$5:$I$7,CE1702)),0),0)</f>
        <v>0</v>
      </c>
      <c r="CQ1702" s="52" t="n">
        <f aca="false">IF(AND(Parameter!$B$21="Ja",ISNUMBER(W1702),N(X1702)&gt;0),IFERROR(N(INDEX(Parameter!$L$5:$L$7,W1702))*INDEX(Parameter!$E$5:$E$7,W1702)*X1702/SUMIFS($X$7:$X$1843,$W$7:$W$1843,W1702),0),0)</f>
        <v>0</v>
      </c>
    </row>
    <row r="1703" customFormat="false" ht="15" hidden="false" customHeight="false" outlineLevel="0" collapsed="false">
      <c r="A1703" s="48" t="s">
        <v>2956</v>
      </c>
      <c r="B1703" s="48" t="s">
        <v>733</v>
      </c>
      <c r="C1703" s="48" t="s">
        <v>173</v>
      </c>
      <c r="D1703" s="48" t="s">
        <v>193</v>
      </c>
      <c r="E1703" s="48"/>
      <c r="F1703" s="48"/>
      <c r="G1703" s="49" t="n">
        <v>47.5</v>
      </c>
      <c r="H1703" s="50" t="n">
        <f aca="false">MAX(0,IF(AND(Parameter!$B$21="Ja",ISNUMBER(Y1703)),Y1703,IF(Parameter!$B$20="Jahresanfang 2025 + Export",BR1703+BQ1703,BQ1703)))</f>
        <v>14</v>
      </c>
      <c r="I1703" s="50" t="n">
        <f aca="false">H1703*G1703</f>
        <v>665</v>
      </c>
      <c r="J1703" s="50" t="n">
        <f aca="false">BT1703*Parameter!$B$18</f>
        <v>0</v>
      </c>
      <c r="K1703" s="51"/>
      <c r="L1703" s="52"/>
      <c r="M1703" s="50" t="n">
        <v>0</v>
      </c>
      <c r="N1703" s="50" t="n">
        <v>15</v>
      </c>
      <c r="O1703" s="53" t="n">
        <v>21</v>
      </c>
      <c r="P1703" s="48" t="s">
        <v>430</v>
      </c>
      <c r="Q1703" s="50" t="n">
        <v>9</v>
      </c>
      <c r="R1703" s="53" t="n">
        <f aca="false">IF(BZ1703=1,0,IFERROR(VLOOKUP(BX1703,'Gebinde-Kategorie'!$A$5:$N$45,13,0)+0,0))</f>
        <v>104</v>
      </c>
      <c r="S1703" s="54"/>
      <c r="T1703" s="55"/>
      <c r="U1703" s="55"/>
      <c r="V1703" s="55"/>
      <c r="W1703" s="48"/>
      <c r="X1703" s="50"/>
      <c r="Y1703" s="50"/>
      <c r="Z1703" s="48" t="n">
        <f aca="false">IF(A1703="","",IF(AND(Parameter!$B$21="Ja",ISNUMBER(W1703)),W1703,IF(CC1703="2+3",IF(ISNUMBER(SEARCH("grosser Artikel",BU1703)),2,IFERROR(VLOOKUP(BX1703,Parameter!$F$35:$G$64,2,0),2)),IF(OR(CC1703="Nein",CC1703=""),"-",CC1703))))</f>
        <v>3</v>
      </c>
      <c r="AA1703" s="55"/>
      <c r="AB1703" s="56"/>
      <c r="AC1703" s="50" t="n">
        <f aca="false">AV1703</f>
        <v>15</v>
      </c>
      <c r="AD1703" s="50" t="n">
        <f aca="false">MAX(AV1703,H1703)</f>
        <v>15</v>
      </c>
      <c r="AE1703" s="57"/>
      <c r="AF1703" s="50" t="n">
        <f aca="false">IF(LEFT(Cockpit!$C$5,1)="A",H1703,IF(Parameter!$E$30="MAX-Bestand",IF(CH1703=1,CI1703,IF(LEFT(Cockpit!$C$5,1)="B",AL1703,MAX(AL1703,H1703))),ROUNDUP(AJ1703,0)))</f>
        <v>14</v>
      </c>
      <c r="AG1703" s="50" t="n">
        <f aca="false">IF(BZ1703=1,0,ROUNDUP(AF1703/BY1703,0))</f>
        <v>2</v>
      </c>
      <c r="AH1703" s="52" t="n">
        <f aca="false">IF(CQ1703&gt;0,CQ1703*MAX(1,AF1703/X1703),IF(BZ1703=1,IF(AF1703&lt;=0,0,CD1703*MAX(1,IF(H1703&gt;0,AF1703/H1703,1))),IF(R1703&gt;0,AG1703/R1703,0))/MAX(0.1,N(Parameter!$M$21)))</f>
        <v>0.0192307692307692</v>
      </c>
      <c r="AI1703" s="50" t="n">
        <f aca="false">AH1703*CB1703</f>
        <v>2.98076923076923</v>
      </c>
      <c r="AJ1703" s="51" t="n">
        <f aca="false">IF(LEFT(Cockpit!$C$5,1)="A",H1703,IF(CH1703=1,(CK1703+CI1703)/2,IF(LEFT(Cockpit!$C$5,1)="B",(CK1703+AL1703)/2,MAX((CK1703+AL1703)/2,H1703))))</f>
        <v>14</v>
      </c>
      <c r="AK1703" s="50" t="n">
        <f aca="false">AJ1703*G1703</f>
        <v>665</v>
      </c>
      <c r="AL1703" s="50" t="n">
        <f aca="false">ROUNDUP(CK1703+MAX(CL1703,2*(J1703/IF(CG1703&gt;0,CG1703,MAX(0.1,N(Cockpit!$C$6)))-CK1703)),0)</f>
        <v>15</v>
      </c>
      <c r="AM1703" s="51" t="n">
        <f aca="false">IF(AI1703&gt;0,J1703/AI1703,-1)</f>
        <v>0</v>
      </c>
      <c r="AN1703" s="51" t="n">
        <f aca="false">IF(AND(OR(CF1703="L1",CF1703="L23",CF1703="LIFT"),AI1703&gt;0),SUMIFS($AI$7:$AI$1843,$CF$7:$CF$1843,CF1703,$AM$7:$AM$1843,"&gt;"&amp;AM1703)+SUMIFS($AI$7:$AI$1843,$CF$7:$CF$1843,CF1703,$AM$7:$AM$1843,AM1703,$BW$7:$BW$1843,"&lt;="&amp;BW1703),"")</f>
        <v>32802.9986832847</v>
      </c>
      <c r="AO1703" s="58" t="n">
        <f aca="false">IF(AN1703="",0,MAX(0,MIN(1,(IF(CF1703="L1",Parameter!$H$5,IF(CF1703="L23",Parameter!$H$6+Parameter!$H$7,Parameter!$H$5+Parameter!$H$6+Parameter!$H$7))-(AN1703-AI1703))/AI1703)))</f>
        <v>1</v>
      </c>
      <c r="AP1703" s="50" t="n">
        <f aca="false">IF(LEFT(Cockpit!$I$5,1)="A",H1703,IF(Parameter!$E$30="MAX-Bestand",IF(CH1703=1,CI1703,IF(LEFT(Cockpit!$I$5,1)="B",AV1703,MAX(AV1703,H1703))),ROUNDUP(AT1703,0)))</f>
        <v>14</v>
      </c>
      <c r="AQ1703" s="50" t="n">
        <f aca="false">IF(BZ1703=1,0,ROUNDUP(AP1703/BY1703,0))</f>
        <v>2</v>
      </c>
      <c r="AR1703" s="52" t="n">
        <f aca="false">IF(CQ1703&gt;0,CQ1703*MAX(1,AP1703/X1703),IF(BZ1703=1,IF(AP1703&lt;=0,0,CD1703*MAX(1,IF(H1703&gt;0,AP1703/H1703,1))),IF(R1703&gt;0,AQ1703/R1703,0))/MAX(0.1,N(Parameter!$M$21)))</f>
        <v>0.0192307692307692</v>
      </c>
      <c r="AS1703" s="50" t="n">
        <f aca="false">AR1703*CB1703</f>
        <v>2.98076923076923</v>
      </c>
      <c r="AT1703" s="51" t="n">
        <f aca="false">IF(LEFT(Cockpit!$I$5,1)="A",H1703,IF(CH1703=1,(CK1703+CI1703)/2,IF(LEFT(Cockpit!$I$5,1)="B",(CK1703+AV1703)/2,MAX((CK1703+AV1703)/2,H1703))))</f>
        <v>14</v>
      </c>
      <c r="AU1703" s="50" t="n">
        <f aca="false">AT1703*G1703</f>
        <v>665</v>
      </c>
      <c r="AV1703" s="50" t="n">
        <f aca="false">ROUNDUP(CK1703+MAX(CL1703,2*(J1703/IF(CG1703&gt;0,CG1703,MAX(0.1,N(Cockpit!$I$6)))-CK1703)),0)</f>
        <v>15</v>
      </c>
      <c r="AW1703" s="51" t="n">
        <f aca="false">IF(AS1703&gt;0,J1703/AS1703,-1)</f>
        <v>0</v>
      </c>
      <c r="AX1703" s="51" t="n">
        <f aca="false">IF(AND(OR(CF1703="L1",CF1703="L23",CF1703="LIFT"),AS1703&gt;0),SUMIFS($AS$7:$AS$1843,$CF$7:$CF$1843,CF1703,$AW$7:$AW$1843,"&gt;"&amp;AW1703)+SUMIFS($AS$7:$AS$1843,$CF$7:$CF$1843,CF1703,$AW$7:$AW$1843,AW1703,$BW$7:$BW$1843,"&lt;="&amp;BW1703),"")</f>
        <v>39275.2469138677</v>
      </c>
      <c r="AY1703" s="58" t="n">
        <f aca="false">IF(AX1703="",0,MAX(0,MIN(1,(IF(CF1703="L1",Parameter!$H$5,IF(CF1703="L23",Parameter!$H$6+Parameter!$H$7,Parameter!$H$5+Parameter!$H$6+Parameter!$H$7))-(AX1703-AS1703))/AS1703)))</f>
        <v>0</v>
      </c>
      <c r="AZ1703" s="50" t="n">
        <f aca="false">IF(LEFT(Cockpit!$O$5,1)="A",H1703,IF(Parameter!$E$30="MAX-Bestand",IF(CH1703=1,CI1703,IF(LEFT(Cockpit!$O$5,1)="B",BF1703,MAX(BF1703,H1703))),ROUNDUP(BD1703,0)))</f>
        <v>8</v>
      </c>
      <c r="BA1703" s="50" t="n">
        <f aca="false">IF(BZ1703=1,0,ROUNDUP(AZ1703/BY1703,0))</f>
        <v>1</v>
      </c>
      <c r="BB1703" s="52" t="n">
        <f aca="false">IF(CQ1703&gt;0,CQ1703*MAX(1,AZ1703/X1703),IF(BZ1703=1,IF(AZ1703&lt;=0,0,CD1703*MAX(1,IF(H1703&gt;0,AZ1703/H1703,1))),IF(R1703&gt;0,BA1703/R1703,0))/MAX(0.1,N(Parameter!$M$21)))</f>
        <v>0.00961538461538462</v>
      </c>
      <c r="BC1703" s="50" t="n">
        <f aca="false">BB1703*CB1703</f>
        <v>1.49038461538462</v>
      </c>
      <c r="BD1703" s="51" t="n">
        <f aca="false">IF(LEFT(Cockpit!$O$5,1)="A",H1703,IF(CH1703=1,(CK1703+CI1703)/2,IF(LEFT(Cockpit!$O$5,1)="B",(CK1703+BF1703)/2,MAX((CK1703+BF1703)/2,H1703))))</f>
        <v>7.5</v>
      </c>
      <c r="BE1703" s="50" t="n">
        <f aca="false">BD1703*G1703</f>
        <v>356.25</v>
      </c>
      <c r="BF1703" s="50" t="n">
        <f aca="false">ROUNDUP(CK1703+MAX(CL1703,2*(J1703/IF(CG1703&gt;0,CG1703,MAX(0.1,N(Cockpit!$O$6)))-CK1703)),0)</f>
        <v>15</v>
      </c>
      <c r="BG1703" s="51" t="n">
        <f aca="false">IF(BC1703&gt;0,J1703/BC1703,-1)</f>
        <v>0</v>
      </c>
      <c r="BH1703" s="51" t="n">
        <f aca="false">IF(AND(OR(CF1703="L1",CF1703="L23",CF1703="LIFT"),BC1703&gt;0),SUMIFS($BC$7:$BC$1843,$CF$7:$CF$1843,CF1703,$BG$7:$BG$1843,"&gt;"&amp;BG1703)+SUMIFS($BC$7:$BC$1843,$CF$7:$CF$1843,CF1703,$BG$7:$BG$1843,BG1703,$BW$7:$BW$1843,"&lt;="&amp;BW1703),"")</f>
        <v>32513.5984458103</v>
      </c>
      <c r="BI1703" s="58" t="n">
        <f aca="false">IF(BH1703="",0,MAX(0,MIN(1,(IF(CF1703="L1",Parameter!$H$5,IF(CF1703="L23",Parameter!$H$6+Parameter!$H$7,Parameter!$H$5+Parameter!$H$6+Parameter!$H$7))-(BH1703-BC1703))/BC1703)))</f>
        <v>1</v>
      </c>
      <c r="BJ1703" s="48" t="str">
        <f aca="false">IF(AI1703&lt;=0,"",IF(CF1703="Aussen","Aussenlager",IF(CF1703="-","Nicht im Lift",IF(AO1703&gt;=1,"Lift",IF(AO1703&lt;=0,"Aussenlager","teilweise")))))</f>
        <v>Lift</v>
      </c>
      <c r="BK1703" s="48" t="str">
        <f aca="false">IF(AS1703&lt;=0,"",IF(CF1703="Aussen","Aussenlager",IF(CF1703="-","Nicht im Lift",IF(AY1703&gt;=1,"Lift",IF(AY1703&lt;=0,"Aussenlager","teilweise")))))</f>
        <v>Aussenlager</v>
      </c>
      <c r="BL1703" s="48" t="str">
        <f aca="false">IF(BC1703&lt;=0,"",IF(CF1703="Aussen","Aussenlager",IF(CF1703="-","Nicht im Lift",IF(BI1703&gt;=1,"Lift",IF(BI1703&lt;=0,"Aussenlager","teilweise")))))</f>
        <v>Lift</v>
      </c>
      <c r="BM1703" s="48" t="str">
        <f aca="false">IF(A1703="","",IF(BV1703=1,"Neu; ","")&amp;IF(AND(BV1703=0,BQ1703&lt;0),"negativer Bestand (Export "&amp;BQ1703&amp;"); ","")&amp;IF(J1703&lt;=0,"Kein Verbrauch; ","")&amp;IF(CQ1703&gt;0,"Lift "&amp;W1703&amp;" lt. Liftbericht (Fach "&amp;X1703&amp;" Stk); ",IF(CA1703=1,"Gebinde geschätzt ("&amp;T1703&amp;"); ",IF(BZ1703=1,"Lose – Tablare geschätzt; ","")))&amp;IF(H1703&gt;AV1703,"Überbestand "&amp;ROUND(H1703-AV1703,0)&amp;" Stk / CHF "&amp;ROUND((H1703-AV1703)*G1703,0)&amp;"; ","")&amp;IF(AND(CH1703=1,CI1703&lt;CJ1703),"MAX &lt; MB+LG; ","")&amp;IF(AND(CP1703&gt;0,CO1703*10&gt;CP1703),"zu hoch für Tablar; ","")&amp;IF(AND(BV1703=0,OR(CH1703=1,AA1703&lt;&gt;"",U1703&lt;&gt;"",V1703&lt;&gt;"",AB1703&lt;&gt;"")),"manuell übersteuert; ","")&amp;IF(AND(BZ1703=0,R1703=0),"Gebinde unbekannt / Stellmass fehlt; ","")&amp;IF(AND(BZ1703=0,N(V1703)&lt;=0,N(Q1703)&lt;=0),"Menge pro Gebinde fehlt (Ist = 1 Gebinde); ","")&amp;BU1703)</f>
        <v>Kein Verbrauch; nur im Artikelstamm (Bestand 23.06.2026)</v>
      </c>
      <c r="BN1703" s="48"/>
      <c r="BO1703" s="48"/>
      <c r="BP1703" s="55"/>
      <c r="BQ1703" s="50" t="n">
        <v>14</v>
      </c>
      <c r="BR1703" s="50" t="n">
        <v>0</v>
      </c>
      <c r="BS1703" s="49" t="n">
        <v>0</v>
      </c>
      <c r="BT1703" s="50" t="n">
        <v>0</v>
      </c>
      <c r="BU1703" s="48" t="s">
        <v>2584</v>
      </c>
      <c r="BV1703" s="53" t="n">
        <v>0</v>
      </c>
      <c r="BW1703" s="53" t="n">
        <v>1703</v>
      </c>
      <c r="BX1703" s="48" t="str">
        <f aca="false">IF(U1703&lt;&gt;"",UPPER(TRIM(U1703)),IF(CA1703=1,UPPER(VLOOKUP(T1703,Parameter!$I$27:$K$29,2,0)),IF(P1703="","LOSE",P1703)))</f>
        <v>S32</v>
      </c>
      <c r="BY1703" s="50" t="n">
        <f aca="false">IF(BX1703="LOSE",1,IF(N(V1703)&gt;0,V1703,IF(CA1703=1,MAX(1,N(VLOOKUP(T1703,Parameter!$I$27:$K$29,3,0)),H1703,N(N1703)),IF(N(Q1703)&gt;0,Q1703,MAX(1,H1703)))))</f>
        <v>9</v>
      </c>
      <c r="BZ1703" s="53" t="n">
        <f aca="false">IF(BX1703="LOSE",1,0)</f>
        <v>0</v>
      </c>
      <c r="CA1703" s="53" t="n">
        <f aca="false">IF(AND(U1703="",OR(P1703="",P1703="LOSE"),T1703&lt;&gt;"",N(S1703)&lt;=0,ISNUMBER(MATCH(T1703,Parameter!$I$27:$I$29,0))),1,0)</f>
        <v>0</v>
      </c>
      <c r="CB1703" s="53" t="n">
        <f aca="false">IF(CQ1703&gt;0,INDEX(Parameter!$H$5:$H$7,W1703)/INDEX(Parameter!$E$5:$E$7,W1703),IF(AND(BZ1703=0,N(IFERROR(VLOOKUP(BX1703,'Gebinde-Kategorie'!$A$5:$N$45,14,0),0))&gt;0),VLOOKUP(BX1703,'Gebinde-Kategorie'!$A$5:$N$45,14,0)*10+Parameter!$M$23,Parameter!$M$24))</f>
        <v>155</v>
      </c>
      <c r="CC1703" s="48" t="str">
        <f aca="false">IF(AND(Parameter!$B$19="Ja",E1703&lt;&gt;"",ISNUMBER(MATCH(E1703,Parameter!$I$35:$I$52,0))),VLOOKUP(E1703,Parameter!$I$35:$J$52,2,0),IFERROR(VLOOKUP(D1703,Parameter!$A$35:$C$64,2,0),"Nein"))</f>
        <v>2+3</v>
      </c>
      <c r="CD1703" s="52" t="n">
        <f aca="false">IF(BZ1703=0,0,IF(N(S1703)&gt;0,S1703,IFERROR(VLOOKUP(D1703,Parameter!$A$35:$C$64,3,0)+0,0)))</f>
        <v>0</v>
      </c>
      <c r="CE1703" s="48" t="n">
        <f aca="false">IF(AA1703&lt;&gt;"",AA1703,Z1703)</f>
        <v>3</v>
      </c>
      <c r="CF1703" s="48" t="str">
        <f aca="false">IF(OR(CE1703=1,CE1703=2,CE1703=3),IF(Parameter!$E$27="Ja","LIFT",IF(CE1703=1,"L1","L23")),IF(CE1703="Aussen","Aussen","-"))</f>
        <v>LIFT</v>
      </c>
      <c r="CG1703" s="59" t="n">
        <f aca="false">IF(N(AB1703)&gt;0,AB1703,0)</f>
        <v>0</v>
      </c>
      <c r="CH1703" s="53" t="n">
        <f aca="false">IF(ISNUMBER(AE1703),1,0)</f>
        <v>0</v>
      </c>
      <c r="CI1703" s="50" t="n">
        <f aca="false">N(AE1703)</f>
        <v>0</v>
      </c>
      <c r="CJ1703" s="50" t="n">
        <f aca="false">N(M1703)+N(N1703)</f>
        <v>15</v>
      </c>
      <c r="CK1703" s="50" t="n">
        <f aca="false">N(M1703)</f>
        <v>0</v>
      </c>
      <c r="CL1703" s="50" t="n">
        <f aca="false">N(N1703)</f>
        <v>15</v>
      </c>
      <c r="CM1703" s="50" t="n">
        <f aca="false">ROUNDUP(H1703/BY1703,0)</f>
        <v>2</v>
      </c>
      <c r="CN1703" s="50" t="n">
        <f aca="false">ROUNDUP(CI1703/BY1703,0)</f>
        <v>0</v>
      </c>
      <c r="CO1703" s="53" t="n">
        <f aca="false">IF(BZ1703=1,0,IFERROR(VLOOKUP(BX1703,'Gebinde-Kategorie'!$A$5:$N$45,5,0)+0,0))</f>
        <v>8</v>
      </c>
      <c r="CP1703" s="53" t="n">
        <f aca="false">IFERROR(IF(OR(CE1703=1,CE1703=2,CE1703=3),N(INDEX(Parameter!$I$5:$I$7,CE1703)),0),0)</f>
        <v>0</v>
      </c>
      <c r="CQ1703" s="52" t="n">
        <f aca="false">IF(AND(Parameter!$B$21="Ja",ISNUMBER(W1703),N(X1703)&gt;0),IFERROR(N(INDEX(Parameter!$L$5:$L$7,W1703))*INDEX(Parameter!$E$5:$E$7,W1703)*X1703/SUMIFS($X$7:$X$1843,$W$7:$W$1843,W1703),0),0)</f>
        <v>0</v>
      </c>
    </row>
    <row r="1704" customFormat="false" ht="15" hidden="false" customHeight="false" outlineLevel="0" collapsed="false">
      <c r="A1704" s="48" t="s">
        <v>2957</v>
      </c>
      <c r="B1704" s="48" t="s">
        <v>2958</v>
      </c>
      <c r="C1704" s="48" t="s">
        <v>173</v>
      </c>
      <c r="D1704" s="48" t="s">
        <v>193</v>
      </c>
      <c r="E1704" s="48"/>
      <c r="F1704" s="48"/>
      <c r="G1704" s="49" t="n">
        <v>37</v>
      </c>
      <c r="H1704" s="50" t="n">
        <f aca="false">MAX(0,IF(AND(Parameter!$B$21="Ja",ISNUMBER(Y1704)),Y1704,IF(Parameter!$B$20="Jahresanfang 2025 + Export",BR1704+BQ1704,BQ1704)))</f>
        <v>6</v>
      </c>
      <c r="I1704" s="50" t="n">
        <f aca="false">H1704*G1704</f>
        <v>222</v>
      </c>
      <c r="J1704" s="50" t="n">
        <f aca="false">BT1704*Parameter!$B$18</f>
        <v>0</v>
      </c>
      <c r="K1704" s="51"/>
      <c r="L1704" s="52"/>
      <c r="M1704" s="50" t="n">
        <v>0</v>
      </c>
      <c r="N1704" s="50" t="n">
        <v>5</v>
      </c>
      <c r="O1704" s="53" t="n">
        <v>21</v>
      </c>
      <c r="P1704" s="48" t="s">
        <v>430</v>
      </c>
      <c r="Q1704" s="50" t="n">
        <v>3</v>
      </c>
      <c r="R1704" s="53" t="n">
        <f aca="false">IF(BZ1704=1,0,IFERROR(VLOOKUP(BX1704,'Gebinde-Kategorie'!$A$5:$N$45,13,0)+0,0))</f>
        <v>104</v>
      </c>
      <c r="S1704" s="54"/>
      <c r="T1704" s="55"/>
      <c r="U1704" s="55"/>
      <c r="V1704" s="55"/>
      <c r="W1704" s="48"/>
      <c r="X1704" s="50"/>
      <c r="Y1704" s="50"/>
      <c r="Z1704" s="48" t="n">
        <f aca="false">IF(A1704="","",IF(AND(Parameter!$B$21="Ja",ISNUMBER(W1704)),W1704,IF(CC1704="2+3",IF(ISNUMBER(SEARCH("grosser Artikel",BU1704)),2,IFERROR(VLOOKUP(BX1704,Parameter!$F$35:$G$64,2,0),2)),IF(OR(CC1704="Nein",CC1704=""),"-",CC1704))))</f>
        <v>3</v>
      </c>
      <c r="AA1704" s="55"/>
      <c r="AB1704" s="56"/>
      <c r="AC1704" s="50" t="n">
        <f aca="false">AV1704</f>
        <v>5</v>
      </c>
      <c r="AD1704" s="50" t="n">
        <f aca="false">MAX(AV1704,H1704)</f>
        <v>6</v>
      </c>
      <c r="AE1704" s="57"/>
      <c r="AF1704" s="50" t="n">
        <f aca="false">IF(LEFT(Cockpit!$C$5,1)="A",H1704,IF(Parameter!$E$30="MAX-Bestand",IF(CH1704=1,CI1704,IF(LEFT(Cockpit!$C$5,1)="B",AL1704,MAX(AL1704,H1704))),ROUNDUP(AJ1704,0)))</f>
        <v>6</v>
      </c>
      <c r="AG1704" s="50" t="n">
        <f aca="false">IF(BZ1704=1,0,ROUNDUP(AF1704/BY1704,0))</f>
        <v>2</v>
      </c>
      <c r="AH1704" s="52" t="n">
        <f aca="false">IF(CQ1704&gt;0,CQ1704*MAX(1,AF1704/X1704),IF(BZ1704=1,IF(AF1704&lt;=0,0,CD1704*MAX(1,IF(H1704&gt;0,AF1704/H1704,1))),IF(R1704&gt;0,AG1704/R1704,0))/MAX(0.1,N(Parameter!$M$21)))</f>
        <v>0.0192307692307692</v>
      </c>
      <c r="AI1704" s="50" t="n">
        <f aca="false">AH1704*CB1704</f>
        <v>2.98076923076923</v>
      </c>
      <c r="AJ1704" s="51" t="n">
        <f aca="false">IF(LEFT(Cockpit!$C$5,1)="A",H1704,IF(CH1704=1,(CK1704+CI1704)/2,IF(LEFT(Cockpit!$C$5,1)="B",(CK1704+AL1704)/2,MAX((CK1704+AL1704)/2,H1704))))</f>
        <v>6</v>
      </c>
      <c r="AK1704" s="50" t="n">
        <f aca="false">AJ1704*G1704</f>
        <v>222</v>
      </c>
      <c r="AL1704" s="50" t="n">
        <f aca="false">ROUNDUP(CK1704+MAX(CL1704,2*(J1704/IF(CG1704&gt;0,CG1704,MAX(0.1,N(Cockpit!$C$6)))-CK1704)),0)</f>
        <v>5</v>
      </c>
      <c r="AM1704" s="51" t="n">
        <f aca="false">IF(AI1704&gt;0,J1704/AI1704,-1)</f>
        <v>0</v>
      </c>
      <c r="AN1704" s="51" t="n">
        <f aca="false">IF(AND(OR(CF1704="L1",CF1704="L23",CF1704="LIFT"),AI1704&gt;0),SUMIFS($AI$7:$AI$1843,$CF$7:$CF$1843,CF1704,$AM$7:$AM$1843,"&gt;"&amp;AM1704)+SUMIFS($AI$7:$AI$1843,$CF$7:$CF$1843,CF1704,$AM$7:$AM$1843,AM1704,$BW$7:$BW$1843,"&lt;="&amp;BW1704),"")</f>
        <v>32805.9794525155</v>
      </c>
      <c r="AO1704" s="58" t="n">
        <f aca="false">IF(AN1704="",0,MAX(0,MIN(1,(IF(CF1704="L1",Parameter!$H$5,IF(CF1704="L23",Parameter!$H$6+Parameter!$H$7,Parameter!$H$5+Parameter!$H$6+Parameter!$H$7))-(AN1704-AI1704))/AI1704)))</f>
        <v>1</v>
      </c>
      <c r="AP1704" s="50" t="n">
        <f aca="false">IF(LEFT(Cockpit!$I$5,1)="A",H1704,IF(Parameter!$E$30="MAX-Bestand",IF(CH1704=1,CI1704,IF(LEFT(Cockpit!$I$5,1)="B",AV1704,MAX(AV1704,H1704))),ROUNDUP(AT1704,0)))</f>
        <v>6</v>
      </c>
      <c r="AQ1704" s="50" t="n">
        <f aca="false">IF(BZ1704=1,0,ROUNDUP(AP1704/BY1704,0))</f>
        <v>2</v>
      </c>
      <c r="AR1704" s="52" t="n">
        <f aca="false">IF(CQ1704&gt;0,CQ1704*MAX(1,AP1704/X1704),IF(BZ1704=1,IF(AP1704&lt;=0,0,CD1704*MAX(1,IF(H1704&gt;0,AP1704/H1704,1))),IF(R1704&gt;0,AQ1704/R1704,0))/MAX(0.1,N(Parameter!$M$21)))</f>
        <v>0.0192307692307692</v>
      </c>
      <c r="AS1704" s="50" t="n">
        <f aca="false">AR1704*CB1704</f>
        <v>2.98076923076923</v>
      </c>
      <c r="AT1704" s="51" t="n">
        <f aca="false">IF(LEFT(Cockpit!$I$5,1)="A",H1704,IF(CH1704=1,(CK1704+CI1704)/2,IF(LEFT(Cockpit!$I$5,1)="B",(CK1704+AV1704)/2,MAX((CK1704+AV1704)/2,H1704))))</f>
        <v>6</v>
      </c>
      <c r="AU1704" s="50" t="n">
        <f aca="false">AT1704*G1704</f>
        <v>222</v>
      </c>
      <c r="AV1704" s="50" t="n">
        <f aca="false">ROUNDUP(CK1704+MAX(CL1704,2*(J1704/IF(CG1704&gt;0,CG1704,MAX(0.1,N(Cockpit!$I$6)))-CK1704)),0)</f>
        <v>5</v>
      </c>
      <c r="AW1704" s="51" t="n">
        <f aca="false">IF(AS1704&gt;0,J1704/AS1704,-1)</f>
        <v>0</v>
      </c>
      <c r="AX1704" s="51" t="n">
        <f aca="false">IF(AND(OR(CF1704="L1",CF1704="L23",CF1704="LIFT"),AS1704&gt;0),SUMIFS($AS$7:$AS$1843,$CF$7:$CF$1843,CF1704,$AW$7:$AW$1843,"&gt;"&amp;AW1704)+SUMIFS($AS$7:$AS$1843,$CF$7:$CF$1843,CF1704,$AW$7:$AW$1843,AW1704,$BW$7:$BW$1843,"&lt;="&amp;BW1704),"")</f>
        <v>39278.2276830985</v>
      </c>
      <c r="AY1704" s="58" t="n">
        <f aca="false">IF(AX1704="",0,MAX(0,MIN(1,(IF(CF1704="L1",Parameter!$H$5,IF(CF1704="L23",Parameter!$H$6+Parameter!$H$7,Parameter!$H$5+Parameter!$H$6+Parameter!$H$7))-(AX1704-AS1704))/AS1704)))</f>
        <v>0</v>
      </c>
      <c r="AZ1704" s="50" t="n">
        <f aca="false">IF(LEFT(Cockpit!$O$5,1)="A",H1704,IF(Parameter!$E$30="MAX-Bestand",IF(CH1704=1,CI1704,IF(LEFT(Cockpit!$O$5,1)="B",BF1704,MAX(BF1704,H1704))),ROUNDUP(BD1704,0)))</f>
        <v>3</v>
      </c>
      <c r="BA1704" s="50" t="n">
        <f aca="false">IF(BZ1704=1,0,ROUNDUP(AZ1704/BY1704,0))</f>
        <v>1</v>
      </c>
      <c r="BB1704" s="52" t="n">
        <f aca="false">IF(CQ1704&gt;0,CQ1704*MAX(1,AZ1704/X1704),IF(BZ1704=1,IF(AZ1704&lt;=0,0,CD1704*MAX(1,IF(H1704&gt;0,AZ1704/H1704,1))),IF(R1704&gt;0,BA1704/R1704,0))/MAX(0.1,N(Parameter!$M$21)))</f>
        <v>0.00961538461538462</v>
      </c>
      <c r="BC1704" s="50" t="n">
        <f aca="false">BB1704*CB1704</f>
        <v>1.49038461538462</v>
      </c>
      <c r="BD1704" s="51" t="n">
        <f aca="false">IF(LEFT(Cockpit!$O$5,1)="A",H1704,IF(CH1704=1,(CK1704+CI1704)/2,IF(LEFT(Cockpit!$O$5,1)="B",(CK1704+BF1704)/2,MAX((CK1704+BF1704)/2,H1704))))</f>
        <v>2.5</v>
      </c>
      <c r="BE1704" s="50" t="n">
        <f aca="false">BD1704*G1704</f>
        <v>92.5</v>
      </c>
      <c r="BF1704" s="50" t="n">
        <f aca="false">ROUNDUP(CK1704+MAX(CL1704,2*(J1704/IF(CG1704&gt;0,CG1704,MAX(0.1,N(Cockpit!$O$6)))-CK1704)),0)</f>
        <v>5</v>
      </c>
      <c r="BG1704" s="51" t="n">
        <f aca="false">IF(BC1704&gt;0,J1704/BC1704,-1)</f>
        <v>0</v>
      </c>
      <c r="BH1704" s="51" t="n">
        <f aca="false">IF(AND(OR(CF1704="L1",CF1704="L23",CF1704="LIFT"),BC1704&gt;0),SUMIFS($BC$7:$BC$1843,$CF$7:$CF$1843,CF1704,$BG$7:$BG$1843,"&gt;"&amp;BG1704)+SUMIFS($BC$7:$BC$1843,$CF$7:$CF$1843,CF1704,$BG$7:$BG$1843,BG1704,$BW$7:$BW$1843,"&lt;="&amp;BW1704),"")</f>
        <v>32515.0888304257</v>
      </c>
      <c r="BI1704" s="58" t="n">
        <f aca="false">IF(BH1704="",0,MAX(0,MIN(1,(IF(CF1704="L1",Parameter!$H$5,IF(CF1704="L23",Parameter!$H$6+Parameter!$H$7,Parameter!$H$5+Parameter!$H$6+Parameter!$H$7))-(BH1704-BC1704))/BC1704)))</f>
        <v>1</v>
      </c>
      <c r="BJ1704" s="48" t="str">
        <f aca="false">IF(AI1704&lt;=0,"",IF(CF1704="Aussen","Aussenlager",IF(CF1704="-","Nicht im Lift",IF(AO1704&gt;=1,"Lift",IF(AO1704&lt;=0,"Aussenlager","teilweise")))))</f>
        <v>Lift</v>
      </c>
      <c r="BK1704" s="48" t="str">
        <f aca="false">IF(AS1704&lt;=0,"",IF(CF1704="Aussen","Aussenlager",IF(CF1704="-","Nicht im Lift",IF(AY1704&gt;=1,"Lift",IF(AY1704&lt;=0,"Aussenlager","teilweise")))))</f>
        <v>Aussenlager</v>
      </c>
      <c r="BL1704" s="48" t="str">
        <f aca="false">IF(BC1704&lt;=0,"",IF(CF1704="Aussen","Aussenlager",IF(CF1704="-","Nicht im Lift",IF(BI1704&gt;=1,"Lift",IF(BI1704&lt;=0,"Aussenlager","teilweise")))))</f>
        <v>Lift</v>
      </c>
      <c r="BM1704" s="48" t="str">
        <f aca="false">IF(A1704="","",IF(BV1704=1,"Neu; ","")&amp;IF(AND(BV1704=0,BQ1704&lt;0),"negativer Bestand (Export "&amp;BQ1704&amp;"); ","")&amp;IF(J1704&lt;=0,"Kein Verbrauch; ","")&amp;IF(CQ1704&gt;0,"Lift "&amp;W1704&amp;" lt. Liftbericht (Fach "&amp;X1704&amp;" Stk); ",IF(CA1704=1,"Gebinde geschätzt ("&amp;T1704&amp;"); ",IF(BZ1704=1,"Lose – Tablare geschätzt; ","")))&amp;IF(H1704&gt;AV1704,"Überbestand "&amp;ROUND(H1704-AV1704,0)&amp;" Stk / CHF "&amp;ROUND((H1704-AV1704)*G1704,0)&amp;"; ","")&amp;IF(AND(CH1704=1,CI1704&lt;CJ1704),"MAX &lt; MB+LG; ","")&amp;IF(AND(CP1704&gt;0,CO1704*10&gt;CP1704),"zu hoch für Tablar; ","")&amp;IF(AND(BV1704=0,OR(CH1704=1,AA1704&lt;&gt;"",U1704&lt;&gt;"",V1704&lt;&gt;"",AB1704&lt;&gt;"")),"manuell übersteuert; ","")&amp;IF(AND(BZ1704=0,R1704=0),"Gebinde unbekannt / Stellmass fehlt; ","")&amp;IF(AND(BZ1704=0,N(V1704)&lt;=0,N(Q1704)&lt;=0),"Menge pro Gebinde fehlt (Ist = 1 Gebinde); ","")&amp;BU1704)</f>
        <v>Kein Verbrauch; Überbestand 1 Stk / CHF 37; nur im Artikelstamm (Bestand 23.06.2026)</v>
      </c>
      <c r="BN1704" s="48"/>
      <c r="BO1704" s="48"/>
      <c r="BP1704" s="55"/>
      <c r="BQ1704" s="50" t="n">
        <v>6</v>
      </c>
      <c r="BR1704" s="50" t="n">
        <v>0</v>
      </c>
      <c r="BS1704" s="49" t="n">
        <v>0</v>
      </c>
      <c r="BT1704" s="50" t="n">
        <v>0</v>
      </c>
      <c r="BU1704" s="48" t="s">
        <v>2584</v>
      </c>
      <c r="BV1704" s="53" t="n">
        <v>0</v>
      </c>
      <c r="BW1704" s="53" t="n">
        <v>1704</v>
      </c>
      <c r="BX1704" s="48" t="str">
        <f aca="false">IF(U1704&lt;&gt;"",UPPER(TRIM(U1704)),IF(CA1704=1,UPPER(VLOOKUP(T1704,Parameter!$I$27:$K$29,2,0)),IF(P1704="","LOSE",P1704)))</f>
        <v>S32</v>
      </c>
      <c r="BY1704" s="50" t="n">
        <f aca="false">IF(BX1704="LOSE",1,IF(N(V1704)&gt;0,V1704,IF(CA1704=1,MAX(1,N(VLOOKUP(T1704,Parameter!$I$27:$K$29,3,0)),H1704,N(N1704)),IF(N(Q1704)&gt;0,Q1704,MAX(1,H1704)))))</f>
        <v>3</v>
      </c>
      <c r="BZ1704" s="53" t="n">
        <f aca="false">IF(BX1704="LOSE",1,0)</f>
        <v>0</v>
      </c>
      <c r="CA1704" s="53" t="n">
        <f aca="false">IF(AND(U1704="",OR(P1704="",P1704="LOSE"),T1704&lt;&gt;"",N(S1704)&lt;=0,ISNUMBER(MATCH(T1704,Parameter!$I$27:$I$29,0))),1,0)</f>
        <v>0</v>
      </c>
      <c r="CB1704" s="53" t="n">
        <f aca="false">IF(CQ1704&gt;0,INDEX(Parameter!$H$5:$H$7,W1704)/INDEX(Parameter!$E$5:$E$7,W1704),IF(AND(BZ1704=0,N(IFERROR(VLOOKUP(BX1704,'Gebinde-Kategorie'!$A$5:$N$45,14,0),0))&gt;0),VLOOKUP(BX1704,'Gebinde-Kategorie'!$A$5:$N$45,14,0)*10+Parameter!$M$23,Parameter!$M$24))</f>
        <v>155</v>
      </c>
      <c r="CC1704" s="48" t="str">
        <f aca="false">IF(AND(Parameter!$B$19="Ja",E1704&lt;&gt;"",ISNUMBER(MATCH(E1704,Parameter!$I$35:$I$52,0))),VLOOKUP(E1704,Parameter!$I$35:$J$52,2,0),IFERROR(VLOOKUP(D1704,Parameter!$A$35:$C$64,2,0),"Nein"))</f>
        <v>2+3</v>
      </c>
      <c r="CD1704" s="52" t="n">
        <f aca="false">IF(BZ1704=0,0,IF(N(S1704)&gt;0,S1704,IFERROR(VLOOKUP(D1704,Parameter!$A$35:$C$64,3,0)+0,0)))</f>
        <v>0</v>
      </c>
      <c r="CE1704" s="48" t="n">
        <f aca="false">IF(AA1704&lt;&gt;"",AA1704,Z1704)</f>
        <v>3</v>
      </c>
      <c r="CF1704" s="48" t="str">
        <f aca="false">IF(OR(CE1704=1,CE1704=2,CE1704=3),IF(Parameter!$E$27="Ja","LIFT",IF(CE1704=1,"L1","L23")),IF(CE1704="Aussen","Aussen","-"))</f>
        <v>LIFT</v>
      </c>
      <c r="CG1704" s="59" t="n">
        <f aca="false">IF(N(AB1704)&gt;0,AB1704,0)</f>
        <v>0</v>
      </c>
      <c r="CH1704" s="53" t="n">
        <f aca="false">IF(ISNUMBER(AE1704),1,0)</f>
        <v>0</v>
      </c>
      <c r="CI1704" s="50" t="n">
        <f aca="false">N(AE1704)</f>
        <v>0</v>
      </c>
      <c r="CJ1704" s="50" t="n">
        <f aca="false">N(M1704)+N(N1704)</f>
        <v>5</v>
      </c>
      <c r="CK1704" s="50" t="n">
        <f aca="false">N(M1704)</f>
        <v>0</v>
      </c>
      <c r="CL1704" s="50" t="n">
        <f aca="false">N(N1704)</f>
        <v>5</v>
      </c>
      <c r="CM1704" s="50" t="n">
        <f aca="false">ROUNDUP(H1704/BY1704,0)</f>
        <v>2</v>
      </c>
      <c r="CN1704" s="50" t="n">
        <f aca="false">ROUNDUP(CI1704/BY1704,0)</f>
        <v>0</v>
      </c>
      <c r="CO1704" s="53" t="n">
        <f aca="false">IF(BZ1704=1,0,IFERROR(VLOOKUP(BX1704,'Gebinde-Kategorie'!$A$5:$N$45,5,0)+0,0))</f>
        <v>8</v>
      </c>
      <c r="CP1704" s="53" t="n">
        <f aca="false">IFERROR(IF(OR(CE1704=1,CE1704=2,CE1704=3),N(INDEX(Parameter!$I$5:$I$7,CE1704)),0),0)</f>
        <v>0</v>
      </c>
      <c r="CQ1704" s="52" t="n">
        <f aca="false">IF(AND(Parameter!$B$21="Ja",ISNUMBER(W1704),N(X1704)&gt;0),IFERROR(N(INDEX(Parameter!$L$5:$L$7,W1704))*INDEX(Parameter!$E$5:$E$7,W1704)*X1704/SUMIFS($X$7:$X$1843,$W$7:$W$1843,W1704),0),0)</f>
        <v>0</v>
      </c>
    </row>
    <row r="1705" customFormat="false" ht="15" hidden="false" customHeight="false" outlineLevel="0" collapsed="false">
      <c r="A1705" s="48" t="s">
        <v>2959</v>
      </c>
      <c r="B1705" s="48" t="s">
        <v>2960</v>
      </c>
      <c r="C1705" s="48" t="s">
        <v>173</v>
      </c>
      <c r="D1705" s="48" t="s">
        <v>193</v>
      </c>
      <c r="E1705" s="48"/>
      <c r="F1705" s="48"/>
      <c r="G1705" s="49" t="n">
        <v>2.38</v>
      </c>
      <c r="H1705" s="50" t="n">
        <f aca="false">MAX(0,IF(AND(Parameter!$B$21="Ja",ISNUMBER(Y1705)),Y1705,IF(Parameter!$B$20="Jahresanfang 2025 + Export",BR1705+BQ1705,BQ1705)))</f>
        <v>110</v>
      </c>
      <c r="I1705" s="50" t="n">
        <f aca="false">H1705*G1705</f>
        <v>261.8</v>
      </c>
      <c r="J1705" s="50" t="n">
        <f aca="false">BT1705*Parameter!$B$18</f>
        <v>0</v>
      </c>
      <c r="K1705" s="51"/>
      <c r="L1705" s="52"/>
      <c r="M1705" s="50" t="n">
        <v>0</v>
      </c>
      <c r="N1705" s="50" t="n">
        <v>100</v>
      </c>
      <c r="O1705" s="53" t="n">
        <v>28</v>
      </c>
      <c r="P1705" s="48" t="s">
        <v>485</v>
      </c>
      <c r="Q1705" s="50" t="n">
        <v>110</v>
      </c>
      <c r="R1705" s="53" t="n">
        <f aca="false">IF(BZ1705=1,0,IFERROR(VLOOKUP(BX1705,'Gebinde-Kategorie'!$A$5:$N$45,13,0)+0,0))</f>
        <v>52</v>
      </c>
      <c r="S1705" s="54"/>
      <c r="T1705" s="55"/>
      <c r="U1705" s="55"/>
      <c r="V1705" s="55"/>
      <c r="W1705" s="48"/>
      <c r="X1705" s="50"/>
      <c r="Y1705" s="50"/>
      <c r="Z1705" s="48" t="n">
        <f aca="false">IF(A1705="","",IF(AND(Parameter!$B$21="Ja",ISNUMBER(W1705)),W1705,IF(CC1705="2+3",IF(ISNUMBER(SEARCH("grosser Artikel",BU1705)),2,IFERROR(VLOOKUP(BX1705,Parameter!$F$35:$G$64,2,0),2)),IF(OR(CC1705="Nein",CC1705=""),"-",CC1705))))</f>
        <v>3</v>
      </c>
      <c r="AA1705" s="55"/>
      <c r="AB1705" s="56"/>
      <c r="AC1705" s="50" t="n">
        <f aca="false">AV1705</f>
        <v>100</v>
      </c>
      <c r="AD1705" s="50" t="n">
        <f aca="false">MAX(AV1705,H1705)</f>
        <v>110</v>
      </c>
      <c r="AE1705" s="57"/>
      <c r="AF1705" s="50" t="n">
        <f aca="false">IF(LEFT(Cockpit!$C$5,1)="A",H1705,IF(Parameter!$E$30="MAX-Bestand",IF(CH1705=1,CI1705,IF(LEFT(Cockpit!$C$5,1)="B",AL1705,MAX(AL1705,H1705))),ROUNDUP(AJ1705,0)))</f>
        <v>110</v>
      </c>
      <c r="AG1705" s="50" t="n">
        <f aca="false">IF(BZ1705=1,0,ROUNDUP(AF1705/BY1705,0))</f>
        <v>1</v>
      </c>
      <c r="AH1705" s="52" t="n">
        <f aca="false">IF(CQ1705&gt;0,CQ1705*MAX(1,AF1705/X1705),IF(BZ1705=1,IF(AF1705&lt;=0,0,CD1705*MAX(1,IF(H1705&gt;0,AF1705/H1705,1))),IF(R1705&gt;0,AG1705/R1705,0))/MAX(0.1,N(Parameter!$M$21)))</f>
        <v>0.0192307692307692</v>
      </c>
      <c r="AI1705" s="50" t="n">
        <f aca="false">AH1705*CB1705</f>
        <v>2.98076923076923</v>
      </c>
      <c r="AJ1705" s="51" t="n">
        <f aca="false">IF(LEFT(Cockpit!$C$5,1)="A",H1705,IF(CH1705=1,(CK1705+CI1705)/2,IF(LEFT(Cockpit!$C$5,1)="B",(CK1705+AL1705)/2,MAX((CK1705+AL1705)/2,H1705))))</f>
        <v>110</v>
      </c>
      <c r="AK1705" s="50" t="n">
        <f aca="false">AJ1705*G1705</f>
        <v>261.8</v>
      </c>
      <c r="AL1705" s="50" t="n">
        <f aca="false">ROUNDUP(CK1705+MAX(CL1705,2*(J1705/IF(CG1705&gt;0,CG1705,MAX(0.1,N(Cockpit!$C$6)))-CK1705)),0)</f>
        <v>100</v>
      </c>
      <c r="AM1705" s="51" t="n">
        <f aca="false">IF(AI1705&gt;0,J1705/AI1705,-1)</f>
        <v>0</v>
      </c>
      <c r="AN1705" s="51" t="n">
        <f aca="false">IF(AND(OR(CF1705="L1",CF1705="L23",CF1705="LIFT"),AI1705&gt;0),SUMIFS($AI$7:$AI$1843,$CF$7:$CF$1843,CF1705,$AM$7:$AM$1843,"&gt;"&amp;AM1705)+SUMIFS($AI$7:$AI$1843,$CF$7:$CF$1843,CF1705,$AM$7:$AM$1843,AM1705,$BW$7:$BW$1843,"&lt;="&amp;BW1705),"")</f>
        <v>32808.9602217462</v>
      </c>
      <c r="AO1705" s="58" t="n">
        <f aca="false">IF(AN1705="",0,MAX(0,MIN(1,(IF(CF1705="L1",Parameter!$H$5,IF(CF1705="L23",Parameter!$H$6+Parameter!$H$7,Parameter!$H$5+Parameter!$H$6+Parameter!$H$7))-(AN1705-AI1705))/AI1705)))</f>
        <v>1</v>
      </c>
      <c r="AP1705" s="50" t="n">
        <f aca="false">IF(LEFT(Cockpit!$I$5,1)="A",H1705,IF(Parameter!$E$30="MAX-Bestand",IF(CH1705=1,CI1705,IF(LEFT(Cockpit!$I$5,1)="B",AV1705,MAX(AV1705,H1705))),ROUNDUP(AT1705,0)))</f>
        <v>110</v>
      </c>
      <c r="AQ1705" s="50" t="n">
        <f aca="false">IF(BZ1705=1,0,ROUNDUP(AP1705/BY1705,0))</f>
        <v>1</v>
      </c>
      <c r="AR1705" s="52" t="n">
        <f aca="false">IF(CQ1705&gt;0,CQ1705*MAX(1,AP1705/X1705),IF(BZ1705=1,IF(AP1705&lt;=0,0,CD1705*MAX(1,IF(H1705&gt;0,AP1705/H1705,1))),IF(R1705&gt;0,AQ1705/R1705,0))/MAX(0.1,N(Parameter!$M$21)))</f>
        <v>0.0192307692307692</v>
      </c>
      <c r="AS1705" s="50" t="n">
        <f aca="false">AR1705*CB1705</f>
        <v>2.98076923076923</v>
      </c>
      <c r="AT1705" s="51" t="n">
        <f aca="false">IF(LEFT(Cockpit!$I$5,1)="A",H1705,IF(CH1705=1,(CK1705+CI1705)/2,IF(LEFT(Cockpit!$I$5,1)="B",(CK1705+AV1705)/2,MAX((CK1705+AV1705)/2,H1705))))</f>
        <v>110</v>
      </c>
      <c r="AU1705" s="50" t="n">
        <f aca="false">AT1705*G1705</f>
        <v>261.8</v>
      </c>
      <c r="AV1705" s="50" t="n">
        <f aca="false">ROUNDUP(CK1705+MAX(CL1705,2*(J1705/IF(CG1705&gt;0,CG1705,MAX(0.1,N(Cockpit!$I$6)))-CK1705)),0)</f>
        <v>100</v>
      </c>
      <c r="AW1705" s="51" t="n">
        <f aca="false">IF(AS1705&gt;0,J1705/AS1705,-1)</f>
        <v>0</v>
      </c>
      <c r="AX1705" s="51" t="n">
        <f aca="false">IF(AND(OR(CF1705="L1",CF1705="L23",CF1705="LIFT"),AS1705&gt;0),SUMIFS($AS$7:$AS$1843,$CF$7:$CF$1843,CF1705,$AW$7:$AW$1843,"&gt;"&amp;AW1705)+SUMIFS($AS$7:$AS$1843,$CF$7:$CF$1843,CF1705,$AW$7:$AW$1843,AW1705,$BW$7:$BW$1843,"&lt;="&amp;BW1705),"")</f>
        <v>39281.2084523292</v>
      </c>
      <c r="AY1705" s="58" t="n">
        <f aca="false">IF(AX1705="",0,MAX(0,MIN(1,(IF(CF1705="L1",Parameter!$H$5,IF(CF1705="L23",Parameter!$H$6+Parameter!$H$7,Parameter!$H$5+Parameter!$H$6+Parameter!$H$7))-(AX1705-AS1705))/AS1705)))</f>
        <v>0</v>
      </c>
      <c r="AZ1705" s="50" t="n">
        <f aca="false">IF(LEFT(Cockpit!$O$5,1)="A",H1705,IF(Parameter!$E$30="MAX-Bestand",IF(CH1705=1,CI1705,IF(LEFT(Cockpit!$O$5,1)="B",BF1705,MAX(BF1705,H1705))),ROUNDUP(BD1705,0)))</f>
        <v>50</v>
      </c>
      <c r="BA1705" s="50" t="n">
        <f aca="false">IF(BZ1705=1,0,ROUNDUP(AZ1705/BY1705,0))</f>
        <v>1</v>
      </c>
      <c r="BB1705" s="52" t="n">
        <f aca="false">IF(CQ1705&gt;0,CQ1705*MAX(1,AZ1705/X1705),IF(BZ1705=1,IF(AZ1705&lt;=0,0,CD1705*MAX(1,IF(H1705&gt;0,AZ1705/H1705,1))),IF(R1705&gt;0,BA1705/R1705,0))/MAX(0.1,N(Parameter!$M$21)))</f>
        <v>0.0192307692307692</v>
      </c>
      <c r="BC1705" s="50" t="n">
        <f aca="false">BB1705*CB1705</f>
        <v>2.98076923076923</v>
      </c>
      <c r="BD1705" s="51" t="n">
        <f aca="false">IF(LEFT(Cockpit!$O$5,1)="A",H1705,IF(CH1705=1,(CK1705+CI1705)/2,IF(LEFT(Cockpit!$O$5,1)="B",(CK1705+BF1705)/2,MAX((CK1705+BF1705)/2,H1705))))</f>
        <v>50</v>
      </c>
      <c r="BE1705" s="50" t="n">
        <f aca="false">BD1705*G1705</f>
        <v>119</v>
      </c>
      <c r="BF1705" s="50" t="n">
        <f aca="false">ROUNDUP(CK1705+MAX(CL1705,2*(J1705/IF(CG1705&gt;0,CG1705,MAX(0.1,N(Cockpit!$O$6)))-CK1705)),0)</f>
        <v>100</v>
      </c>
      <c r="BG1705" s="51" t="n">
        <f aca="false">IF(BC1705&gt;0,J1705/BC1705,-1)</f>
        <v>0</v>
      </c>
      <c r="BH1705" s="51" t="n">
        <f aca="false">IF(AND(OR(CF1705="L1",CF1705="L23",CF1705="LIFT"),BC1705&gt;0),SUMIFS($BC$7:$BC$1843,$CF$7:$CF$1843,CF1705,$BG$7:$BG$1843,"&gt;"&amp;BG1705)+SUMIFS($BC$7:$BC$1843,$CF$7:$CF$1843,CF1705,$BG$7:$BG$1843,BG1705,$BW$7:$BW$1843,"&lt;="&amp;BW1705),"")</f>
        <v>32518.0695996565</v>
      </c>
      <c r="BI1705" s="58" t="n">
        <f aca="false">IF(BH1705="",0,MAX(0,MIN(1,(IF(CF1705="L1",Parameter!$H$5,IF(CF1705="L23",Parameter!$H$6+Parameter!$H$7,Parameter!$H$5+Parameter!$H$6+Parameter!$H$7))-(BH1705-BC1705))/BC1705)))</f>
        <v>1</v>
      </c>
      <c r="BJ1705" s="48" t="str">
        <f aca="false">IF(AI1705&lt;=0,"",IF(CF1705="Aussen","Aussenlager",IF(CF1705="-","Nicht im Lift",IF(AO1705&gt;=1,"Lift",IF(AO1705&lt;=0,"Aussenlager","teilweise")))))</f>
        <v>Lift</v>
      </c>
      <c r="BK1705" s="48" t="str">
        <f aca="false">IF(AS1705&lt;=0,"",IF(CF1705="Aussen","Aussenlager",IF(CF1705="-","Nicht im Lift",IF(AY1705&gt;=1,"Lift",IF(AY1705&lt;=0,"Aussenlager","teilweise")))))</f>
        <v>Aussenlager</v>
      </c>
      <c r="BL1705" s="48" t="str">
        <f aca="false">IF(BC1705&lt;=0,"",IF(CF1705="Aussen","Aussenlager",IF(CF1705="-","Nicht im Lift",IF(BI1705&gt;=1,"Lift",IF(BI1705&lt;=0,"Aussenlager","teilweise")))))</f>
        <v>Lift</v>
      </c>
      <c r="BM1705" s="48" t="str">
        <f aca="false">IF(A1705="","",IF(BV1705=1,"Neu; ","")&amp;IF(AND(BV1705=0,BQ1705&lt;0),"negativer Bestand (Export "&amp;BQ1705&amp;"); ","")&amp;IF(J1705&lt;=0,"Kein Verbrauch; ","")&amp;IF(CQ1705&gt;0,"Lift "&amp;W1705&amp;" lt. Liftbericht (Fach "&amp;X1705&amp;" Stk); ",IF(CA1705=1,"Gebinde geschätzt ("&amp;T1705&amp;"); ",IF(BZ1705=1,"Lose – Tablare geschätzt; ","")))&amp;IF(H1705&gt;AV1705,"Überbestand "&amp;ROUND(H1705-AV1705,0)&amp;" Stk / CHF "&amp;ROUND((H1705-AV1705)*G1705,0)&amp;"; ","")&amp;IF(AND(CH1705=1,CI1705&lt;CJ1705),"MAX &lt; MB+LG; ","")&amp;IF(AND(CP1705&gt;0,CO1705*10&gt;CP1705),"zu hoch für Tablar; ","")&amp;IF(AND(BV1705=0,OR(CH1705=1,AA1705&lt;&gt;"",U1705&lt;&gt;"",V1705&lt;&gt;"",AB1705&lt;&gt;"")),"manuell übersteuert; ","")&amp;IF(AND(BZ1705=0,R1705=0),"Gebinde unbekannt / Stellmass fehlt; ","")&amp;IF(AND(BZ1705=0,N(V1705)&lt;=0,N(Q1705)&lt;=0),"Menge pro Gebinde fehlt (Ist = 1 Gebinde); ","")&amp;BU1705)</f>
        <v>Kein Verbrauch; Überbestand 10 Stk / CHF 24; nur im Artikelstamm (Bestand 23.06.2026)</v>
      </c>
      <c r="BN1705" s="48"/>
      <c r="BO1705" s="48"/>
      <c r="BP1705" s="55"/>
      <c r="BQ1705" s="50" t="n">
        <v>110</v>
      </c>
      <c r="BR1705" s="50" t="n">
        <v>0</v>
      </c>
      <c r="BS1705" s="49" t="n">
        <v>0</v>
      </c>
      <c r="BT1705" s="50" t="n">
        <v>0</v>
      </c>
      <c r="BU1705" s="48" t="s">
        <v>2584</v>
      </c>
      <c r="BV1705" s="53" t="n">
        <v>0</v>
      </c>
      <c r="BW1705" s="53" t="n">
        <v>1705</v>
      </c>
      <c r="BX1705" s="48" t="str">
        <f aca="false">IF(U1705&lt;&gt;"",UPPER(TRIM(U1705)),IF(CA1705=1,UPPER(VLOOKUP(T1705,Parameter!$I$27:$K$29,2,0)),IF(P1705="","LOSE",P1705)))</f>
        <v>S33</v>
      </c>
      <c r="BY1705" s="50" t="n">
        <f aca="false">IF(BX1705="LOSE",1,IF(N(V1705)&gt;0,V1705,IF(CA1705=1,MAX(1,N(VLOOKUP(T1705,Parameter!$I$27:$K$29,3,0)),H1705,N(N1705)),IF(N(Q1705)&gt;0,Q1705,MAX(1,H1705)))))</f>
        <v>110</v>
      </c>
      <c r="BZ1705" s="53" t="n">
        <f aca="false">IF(BX1705="LOSE",1,0)</f>
        <v>0</v>
      </c>
      <c r="CA1705" s="53" t="n">
        <f aca="false">IF(AND(U1705="",OR(P1705="",P1705="LOSE"),T1705&lt;&gt;"",N(S1705)&lt;=0,ISNUMBER(MATCH(T1705,Parameter!$I$27:$I$29,0))),1,0)</f>
        <v>0</v>
      </c>
      <c r="CB1705" s="53" t="n">
        <f aca="false">IF(CQ1705&gt;0,INDEX(Parameter!$H$5:$H$7,W1705)/INDEX(Parameter!$E$5:$E$7,W1705),IF(AND(BZ1705=0,N(IFERROR(VLOOKUP(BX1705,'Gebinde-Kategorie'!$A$5:$N$45,14,0),0))&gt;0),VLOOKUP(BX1705,'Gebinde-Kategorie'!$A$5:$N$45,14,0)*10+Parameter!$M$23,Parameter!$M$24))</f>
        <v>155</v>
      </c>
      <c r="CC1705" s="48" t="str">
        <f aca="false">IF(AND(Parameter!$B$19="Ja",E1705&lt;&gt;"",ISNUMBER(MATCH(E1705,Parameter!$I$35:$I$52,0))),VLOOKUP(E1705,Parameter!$I$35:$J$52,2,0),IFERROR(VLOOKUP(D1705,Parameter!$A$35:$C$64,2,0),"Nein"))</f>
        <v>2+3</v>
      </c>
      <c r="CD1705" s="52" t="n">
        <f aca="false">IF(BZ1705=0,0,IF(N(S1705)&gt;0,S1705,IFERROR(VLOOKUP(D1705,Parameter!$A$35:$C$64,3,0)+0,0)))</f>
        <v>0</v>
      </c>
      <c r="CE1705" s="48" t="n">
        <f aca="false">IF(AA1705&lt;&gt;"",AA1705,Z1705)</f>
        <v>3</v>
      </c>
      <c r="CF1705" s="48" t="str">
        <f aca="false">IF(OR(CE1705=1,CE1705=2,CE1705=3),IF(Parameter!$E$27="Ja","LIFT",IF(CE1705=1,"L1","L23")),IF(CE1705="Aussen","Aussen","-"))</f>
        <v>LIFT</v>
      </c>
      <c r="CG1705" s="59" t="n">
        <f aca="false">IF(N(AB1705)&gt;0,AB1705,0)</f>
        <v>0</v>
      </c>
      <c r="CH1705" s="53" t="n">
        <f aca="false">IF(ISNUMBER(AE1705),1,0)</f>
        <v>0</v>
      </c>
      <c r="CI1705" s="50" t="n">
        <f aca="false">N(AE1705)</f>
        <v>0</v>
      </c>
      <c r="CJ1705" s="50" t="n">
        <f aca="false">N(M1705)+N(N1705)</f>
        <v>100</v>
      </c>
      <c r="CK1705" s="50" t="n">
        <f aca="false">N(M1705)</f>
        <v>0</v>
      </c>
      <c r="CL1705" s="50" t="n">
        <f aca="false">N(N1705)</f>
        <v>100</v>
      </c>
      <c r="CM1705" s="50" t="n">
        <f aca="false">ROUNDUP(H1705/BY1705,0)</f>
        <v>1</v>
      </c>
      <c r="CN1705" s="50" t="n">
        <f aca="false">ROUNDUP(CI1705/BY1705,0)</f>
        <v>0</v>
      </c>
      <c r="CO1705" s="53" t="n">
        <f aca="false">IF(BZ1705=1,0,IFERROR(VLOOKUP(BX1705,'Gebinde-Kategorie'!$A$5:$N$45,5,0)+0,0))</f>
        <v>8</v>
      </c>
      <c r="CP1705" s="53" t="n">
        <f aca="false">IFERROR(IF(OR(CE1705=1,CE1705=2,CE1705=3),N(INDEX(Parameter!$I$5:$I$7,CE1705)),0),0)</f>
        <v>0</v>
      </c>
      <c r="CQ1705" s="52" t="n">
        <f aca="false">IF(AND(Parameter!$B$21="Ja",ISNUMBER(W1705),N(X1705)&gt;0),IFERROR(N(INDEX(Parameter!$L$5:$L$7,W1705))*INDEX(Parameter!$E$5:$E$7,W1705)*X1705/SUMIFS($X$7:$X$1843,$W$7:$W$1843,W1705),0),0)</f>
        <v>0</v>
      </c>
    </row>
    <row r="1706" customFormat="false" ht="15" hidden="false" customHeight="false" outlineLevel="0" collapsed="false">
      <c r="A1706" s="48" t="s">
        <v>2961</v>
      </c>
      <c r="B1706" s="48" t="s">
        <v>2962</v>
      </c>
      <c r="C1706" s="48" t="s">
        <v>173</v>
      </c>
      <c r="D1706" s="48" t="s">
        <v>193</v>
      </c>
      <c r="E1706" s="48"/>
      <c r="F1706" s="48"/>
      <c r="G1706" s="49" t="n">
        <v>0.76</v>
      </c>
      <c r="H1706" s="50" t="n">
        <f aca="false">MAX(0,IF(AND(Parameter!$B$21="Ja",ISNUMBER(Y1706)),Y1706,IF(Parameter!$B$20="Jahresanfang 2025 + Export",BR1706+BQ1706,BQ1706)))</f>
        <v>30</v>
      </c>
      <c r="I1706" s="50" t="n">
        <f aca="false">H1706*G1706</f>
        <v>22.8</v>
      </c>
      <c r="J1706" s="50" t="n">
        <f aca="false">BT1706*Parameter!$B$18</f>
        <v>0</v>
      </c>
      <c r="K1706" s="51"/>
      <c r="L1706" s="52"/>
      <c r="M1706" s="50" t="n">
        <v>0</v>
      </c>
      <c r="N1706" s="50" t="n">
        <v>10</v>
      </c>
      <c r="O1706" s="53" t="n">
        <v>21</v>
      </c>
      <c r="P1706" s="48" t="s">
        <v>485</v>
      </c>
      <c r="Q1706" s="50" t="n">
        <v>30</v>
      </c>
      <c r="R1706" s="53" t="n">
        <f aca="false">IF(BZ1706=1,0,IFERROR(VLOOKUP(BX1706,'Gebinde-Kategorie'!$A$5:$N$45,13,0)+0,0))</f>
        <v>52</v>
      </c>
      <c r="S1706" s="54"/>
      <c r="T1706" s="55"/>
      <c r="U1706" s="55"/>
      <c r="V1706" s="55"/>
      <c r="W1706" s="48"/>
      <c r="X1706" s="50"/>
      <c r="Y1706" s="50"/>
      <c r="Z1706" s="48" t="n">
        <f aca="false">IF(A1706="","",IF(AND(Parameter!$B$21="Ja",ISNUMBER(W1706)),W1706,IF(CC1706="2+3",IF(ISNUMBER(SEARCH("grosser Artikel",BU1706)),2,IFERROR(VLOOKUP(BX1706,Parameter!$F$35:$G$64,2,0),2)),IF(OR(CC1706="Nein",CC1706=""),"-",CC1706))))</f>
        <v>3</v>
      </c>
      <c r="AA1706" s="55"/>
      <c r="AB1706" s="56"/>
      <c r="AC1706" s="50" t="n">
        <f aca="false">AV1706</f>
        <v>10</v>
      </c>
      <c r="AD1706" s="50" t="n">
        <f aca="false">MAX(AV1706,H1706)</f>
        <v>30</v>
      </c>
      <c r="AE1706" s="57"/>
      <c r="AF1706" s="50" t="n">
        <f aca="false">IF(LEFT(Cockpit!$C$5,1)="A",H1706,IF(Parameter!$E$30="MAX-Bestand",IF(CH1706=1,CI1706,IF(LEFT(Cockpit!$C$5,1)="B",AL1706,MAX(AL1706,H1706))),ROUNDUP(AJ1706,0)))</f>
        <v>30</v>
      </c>
      <c r="AG1706" s="50" t="n">
        <f aca="false">IF(BZ1706=1,0,ROUNDUP(AF1706/BY1706,0))</f>
        <v>1</v>
      </c>
      <c r="AH1706" s="52" t="n">
        <f aca="false">IF(CQ1706&gt;0,CQ1706*MAX(1,AF1706/X1706),IF(BZ1706=1,IF(AF1706&lt;=0,0,CD1706*MAX(1,IF(H1706&gt;0,AF1706/H1706,1))),IF(R1706&gt;0,AG1706/R1706,0))/MAX(0.1,N(Parameter!$M$21)))</f>
        <v>0.0192307692307692</v>
      </c>
      <c r="AI1706" s="50" t="n">
        <f aca="false">AH1706*CB1706</f>
        <v>2.98076923076923</v>
      </c>
      <c r="AJ1706" s="51" t="n">
        <f aca="false">IF(LEFT(Cockpit!$C$5,1)="A",H1706,IF(CH1706=1,(CK1706+CI1706)/2,IF(LEFT(Cockpit!$C$5,1)="B",(CK1706+AL1706)/2,MAX((CK1706+AL1706)/2,H1706))))</f>
        <v>30</v>
      </c>
      <c r="AK1706" s="50" t="n">
        <f aca="false">AJ1706*G1706</f>
        <v>22.8</v>
      </c>
      <c r="AL1706" s="50" t="n">
        <f aca="false">ROUNDUP(CK1706+MAX(CL1706,2*(J1706/IF(CG1706&gt;0,CG1706,MAX(0.1,N(Cockpit!$C$6)))-CK1706)),0)</f>
        <v>10</v>
      </c>
      <c r="AM1706" s="51" t="n">
        <f aca="false">IF(AI1706&gt;0,J1706/AI1706,-1)</f>
        <v>0</v>
      </c>
      <c r="AN1706" s="51" t="n">
        <f aca="false">IF(AND(OR(CF1706="L1",CF1706="L23",CF1706="LIFT"),AI1706&gt;0),SUMIFS($AI$7:$AI$1843,$CF$7:$CF$1843,CF1706,$AM$7:$AM$1843,"&gt;"&amp;AM1706)+SUMIFS($AI$7:$AI$1843,$CF$7:$CF$1843,CF1706,$AM$7:$AM$1843,AM1706,$BW$7:$BW$1843,"&lt;="&amp;BW1706),"")</f>
        <v>32811.940990977</v>
      </c>
      <c r="AO1706" s="58" t="n">
        <f aca="false">IF(AN1706="",0,MAX(0,MIN(1,(IF(CF1706="L1",Parameter!$H$5,IF(CF1706="L23",Parameter!$H$6+Parameter!$H$7,Parameter!$H$5+Parameter!$H$6+Parameter!$H$7))-(AN1706-AI1706))/AI1706)))</f>
        <v>1</v>
      </c>
      <c r="AP1706" s="50" t="n">
        <f aca="false">IF(LEFT(Cockpit!$I$5,1)="A",H1706,IF(Parameter!$E$30="MAX-Bestand",IF(CH1706=1,CI1706,IF(LEFT(Cockpit!$I$5,1)="B",AV1706,MAX(AV1706,H1706))),ROUNDUP(AT1706,0)))</f>
        <v>30</v>
      </c>
      <c r="AQ1706" s="50" t="n">
        <f aca="false">IF(BZ1706=1,0,ROUNDUP(AP1706/BY1706,0))</f>
        <v>1</v>
      </c>
      <c r="AR1706" s="52" t="n">
        <f aca="false">IF(CQ1706&gt;0,CQ1706*MAX(1,AP1706/X1706),IF(BZ1706=1,IF(AP1706&lt;=0,0,CD1706*MAX(1,IF(H1706&gt;0,AP1706/H1706,1))),IF(R1706&gt;0,AQ1706/R1706,0))/MAX(0.1,N(Parameter!$M$21)))</f>
        <v>0.0192307692307692</v>
      </c>
      <c r="AS1706" s="50" t="n">
        <f aca="false">AR1706*CB1706</f>
        <v>2.98076923076923</v>
      </c>
      <c r="AT1706" s="51" t="n">
        <f aca="false">IF(LEFT(Cockpit!$I$5,1)="A",H1706,IF(CH1706=1,(CK1706+CI1706)/2,IF(LEFT(Cockpit!$I$5,1)="B",(CK1706+AV1706)/2,MAX((CK1706+AV1706)/2,H1706))))</f>
        <v>30</v>
      </c>
      <c r="AU1706" s="50" t="n">
        <f aca="false">AT1706*G1706</f>
        <v>22.8</v>
      </c>
      <c r="AV1706" s="50" t="n">
        <f aca="false">ROUNDUP(CK1706+MAX(CL1706,2*(J1706/IF(CG1706&gt;0,CG1706,MAX(0.1,N(Cockpit!$I$6)))-CK1706)),0)</f>
        <v>10</v>
      </c>
      <c r="AW1706" s="51" t="n">
        <f aca="false">IF(AS1706&gt;0,J1706/AS1706,-1)</f>
        <v>0</v>
      </c>
      <c r="AX1706" s="51" t="n">
        <f aca="false">IF(AND(OR(CF1706="L1",CF1706="L23",CF1706="LIFT"),AS1706&gt;0),SUMIFS($AS$7:$AS$1843,$CF$7:$CF$1843,CF1706,$AW$7:$AW$1843,"&gt;"&amp;AW1706)+SUMIFS($AS$7:$AS$1843,$CF$7:$CF$1843,CF1706,$AW$7:$AW$1843,AW1706,$BW$7:$BW$1843,"&lt;="&amp;BW1706),"")</f>
        <v>39284.18922156</v>
      </c>
      <c r="AY1706" s="58" t="n">
        <f aca="false">IF(AX1706="",0,MAX(0,MIN(1,(IF(CF1706="L1",Parameter!$H$5,IF(CF1706="L23",Parameter!$H$6+Parameter!$H$7,Parameter!$H$5+Parameter!$H$6+Parameter!$H$7))-(AX1706-AS1706))/AS1706)))</f>
        <v>0</v>
      </c>
      <c r="AZ1706" s="50" t="n">
        <f aca="false">IF(LEFT(Cockpit!$O$5,1)="A",H1706,IF(Parameter!$E$30="MAX-Bestand",IF(CH1706=1,CI1706,IF(LEFT(Cockpit!$O$5,1)="B",BF1706,MAX(BF1706,H1706))),ROUNDUP(BD1706,0)))</f>
        <v>5</v>
      </c>
      <c r="BA1706" s="50" t="n">
        <f aca="false">IF(BZ1706=1,0,ROUNDUP(AZ1706/BY1706,0))</f>
        <v>1</v>
      </c>
      <c r="BB1706" s="52" t="n">
        <f aca="false">IF(CQ1706&gt;0,CQ1706*MAX(1,AZ1706/X1706),IF(BZ1706=1,IF(AZ1706&lt;=0,0,CD1706*MAX(1,IF(H1706&gt;0,AZ1706/H1706,1))),IF(R1706&gt;0,BA1706/R1706,0))/MAX(0.1,N(Parameter!$M$21)))</f>
        <v>0.0192307692307692</v>
      </c>
      <c r="BC1706" s="50" t="n">
        <f aca="false">BB1706*CB1706</f>
        <v>2.98076923076923</v>
      </c>
      <c r="BD1706" s="51" t="n">
        <f aca="false">IF(LEFT(Cockpit!$O$5,1)="A",H1706,IF(CH1706=1,(CK1706+CI1706)/2,IF(LEFT(Cockpit!$O$5,1)="B",(CK1706+BF1706)/2,MAX((CK1706+BF1706)/2,H1706))))</f>
        <v>5</v>
      </c>
      <c r="BE1706" s="50" t="n">
        <f aca="false">BD1706*G1706</f>
        <v>3.8</v>
      </c>
      <c r="BF1706" s="50" t="n">
        <f aca="false">ROUNDUP(CK1706+MAX(CL1706,2*(J1706/IF(CG1706&gt;0,CG1706,MAX(0.1,N(Cockpit!$O$6)))-CK1706)),0)</f>
        <v>10</v>
      </c>
      <c r="BG1706" s="51" t="n">
        <f aca="false">IF(BC1706&gt;0,J1706/BC1706,-1)</f>
        <v>0</v>
      </c>
      <c r="BH1706" s="51" t="n">
        <f aca="false">IF(AND(OR(CF1706="L1",CF1706="L23",CF1706="LIFT"),BC1706&gt;0),SUMIFS($BC$7:$BC$1843,$CF$7:$CF$1843,CF1706,$BG$7:$BG$1843,"&gt;"&amp;BG1706)+SUMIFS($BC$7:$BC$1843,$CF$7:$CF$1843,CF1706,$BG$7:$BG$1843,BG1706,$BW$7:$BW$1843,"&lt;="&amp;BW1706),"")</f>
        <v>32521.0503688872</v>
      </c>
      <c r="BI1706" s="58" t="n">
        <f aca="false">IF(BH1706="",0,MAX(0,MIN(1,(IF(CF1706="L1",Parameter!$H$5,IF(CF1706="L23",Parameter!$H$6+Parameter!$H$7,Parameter!$H$5+Parameter!$H$6+Parameter!$H$7))-(BH1706-BC1706))/BC1706)))</f>
        <v>1</v>
      </c>
      <c r="BJ1706" s="48" t="str">
        <f aca="false">IF(AI1706&lt;=0,"",IF(CF1706="Aussen","Aussenlager",IF(CF1706="-","Nicht im Lift",IF(AO1706&gt;=1,"Lift",IF(AO1706&lt;=0,"Aussenlager","teilweise")))))</f>
        <v>Lift</v>
      </c>
      <c r="BK1706" s="48" t="str">
        <f aca="false">IF(AS1706&lt;=0,"",IF(CF1706="Aussen","Aussenlager",IF(CF1706="-","Nicht im Lift",IF(AY1706&gt;=1,"Lift",IF(AY1706&lt;=0,"Aussenlager","teilweise")))))</f>
        <v>Aussenlager</v>
      </c>
      <c r="BL1706" s="48" t="str">
        <f aca="false">IF(BC1706&lt;=0,"",IF(CF1706="Aussen","Aussenlager",IF(CF1706="-","Nicht im Lift",IF(BI1706&gt;=1,"Lift",IF(BI1706&lt;=0,"Aussenlager","teilweise")))))</f>
        <v>Lift</v>
      </c>
      <c r="BM1706" s="48" t="str">
        <f aca="false">IF(A1706="","",IF(BV1706=1,"Neu; ","")&amp;IF(AND(BV1706=0,BQ1706&lt;0),"negativer Bestand (Export "&amp;BQ1706&amp;"); ","")&amp;IF(J1706&lt;=0,"Kein Verbrauch; ","")&amp;IF(CQ1706&gt;0,"Lift "&amp;W1706&amp;" lt. Liftbericht (Fach "&amp;X1706&amp;" Stk); ",IF(CA1706=1,"Gebinde geschätzt ("&amp;T1706&amp;"); ",IF(BZ1706=1,"Lose – Tablare geschätzt; ","")))&amp;IF(H1706&gt;AV1706,"Überbestand "&amp;ROUND(H1706-AV1706,0)&amp;" Stk / CHF "&amp;ROUND((H1706-AV1706)*G1706,0)&amp;"; ","")&amp;IF(AND(CH1706=1,CI1706&lt;CJ1706),"MAX &lt; MB+LG; ","")&amp;IF(AND(CP1706&gt;0,CO1706*10&gt;CP1706),"zu hoch für Tablar; ","")&amp;IF(AND(BV1706=0,OR(CH1706=1,AA1706&lt;&gt;"",U1706&lt;&gt;"",V1706&lt;&gt;"",AB1706&lt;&gt;"")),"manuell übersteuert; ","")&amp;IF(AND(BZ1706=0,R1706=0),"Gebinde unbekannt / Stellmass fehlt; ","")&amp;IF(AND(BZ1706=0,N(V1706)&lt;=0,N(Q1706)&lt;=0),"Menge pro Gebinde fehlt (Ist = 1 Gebinde); ","")&amp;BU1706)</f>
        <v>Kein Verbrauch; Überbestand 20 Stk / CHF 15; nur im Artikelstamm (Bestand 23.06.2026)</v>
      </c>
      <c r="BN1706" s="48"/>
      <c r="BO1706" s="48"/>
      <c r="BP1706" s="55"/>
      <c r="BQ1706" s="50" t="n">
        <v>30</v>
      </c>
      <c r="BR1706" s="50" t="n">
        <v>0</v>
      </c>
      <c r="BS1706" s="49" t="n">
        <v>0</v>
      </c>
      <c r="BT1706" s="50" t="n">
        <v>0</v>
      </c>
      <c r="BU1706" s="48" t="s">
        <v>2584</v>
      </c>
      <c r="BV1706" s="53" t="n">
        <v>0</v>
      </c>
      <c r="BW1706" s="53" t="n">
        <v>1706</v>
      </c>
      <c r="BX1706" s="48" t="str">
        <f aca="false">IF(U1706&lt;&gt;"",UPPER(TRIM(U1706)),IF(CA1706=1,UPPER(VLOOKUP(T1706,Parameter!$I$27:$K$29,2,0)),IF(P1706="","LOSE",P1706)))</f>
        <v>S33</v>
      </c>
      <c r="BY1706" s="50" t="n">
        <f aca="false">IF(BX1706="LOSE",1,IF(N(V1706)&gt;0,V1706,IF(CA1706=1,MAX(1,N(VLOOKUP(T1706,Parameter!$I$27:$K$29,3,0)),H1706,N(N1706)),IF(N(Q1706)&gt;0,Q1706,MAX(1,H1706)))))</f>
        <v>30</v>
      </c>
      <c r="BZ1706" s="53" t="n">
        <f aca="false">IF(BX1706="LOSE",1,0)</f>
        <v>0</v>
      </c>
      <c r="CA1706" s="53" t="n">
        <f aca="false">IF(AND(U1706="",OR(P1706="",P1706="LOSE"),T1706&lt;&gt;"",N(S1706)&lt;=0,ISNUMBER(MATCH(T1706,Parameter!$I$27:$I$29,0))),1,0)</f>
        <v>0</v>
      </c>
      <c r="CB1706" s="53" t="n">
        <f aca="false">IF(CQ1706&gt;0,INDEX(Parameter!$H$5:$H$7,W1706)/INDEX(Parameter!$E$5:$E$7,W1706),IF(AND(BZ1706=0,N(IFERROR(VLOOKUP(BX1706,'Gebinde-Kategorie'!$A$5:$N$45,14,0),0))&gt;0),VLOOKUP(BX1706,'Gebinde-Kategorie'!$A$5:$N$45,14,0)*10+Parameter!$M$23,Parameter!$M$24))</f>
        <v>155</v>
      </c>
      <c r="CC1706" s="48" t="str">
        <f aca="false">IF(AND(Parameter!$B$19="Ja",E1706&lt;&gt;"",ISNUMBER(MATCH(E1706,Parameter!$I$35:$I$52,0))),VLOOKUP(E1706,Parameter!$I$35:$J$52,2,0),IFERROR(VLOOKUP(D1706,Parameter!$A$35:$C$64,2,0),"Nein"))</f>
        <v>2+3</v>
      </c>
      <c r="CD1706" s="52" t="n">
        <f aca="false">IF(BZ1706=0,0,IF(N(S1706)&gt;0,S1706,IFERROR(VLOOKUP(D1706,Parameter!$A$35:$C$64,3,0)+0,0)))</f>
        <v>0</v>
      </c>
      <c r="CE1706" s="48" t="n">
        <f aca="false">IF(AA1706&lt;&gt;"",AA1706,Z1706)</f>
        <v>3</v>
      </c>
      <c r="CF1706" s="48" t="str">
        <f aca="false">IF(OR(CE1706=1,CE1706=2,CE1706=3),IF(Parameter!$E$27="Ja","LIFT",IF(CE1706=1,"L1","L23")),IF(CE1706="Aussen","Aussen","-"))</f>
        <v>LIFT</v>
      </c>
      <c r="CG1706" s="59" t="n">
        <f aca="false">IF(N(AB1706)&gt;0,AB1706,0)</f>
        <v>0</v>
      </c>
      <c r="CH1706" s="53" t="n">
        <f aca="false">IF(ISNUMBER(AE1706),1,0)</f>
        <v>0</v>
      </c>
      <c r="CI1706" s="50" t="n">
        <f aca="false">N(AE1706)</f>
        <v>0</v>
      </c>
      <c r="CJ1706" s="50" t="n">
        <f aca="false">N(M1706)+N(N1706)</f>
        <v>10</v>
      </c>
      <c r="CK1706" s="50" t="n">
        <f aca="false">N(M1706)</f>
        <v>0</v>
      </c>
      <c r="CL1706" s="50" t="n">
        <f aca="false">N(N1706)</f>
        <v>10</v>
      </c>
      <c r="CM1706" s="50" t="n">
        <f aca="false">ROUNDUP(H1706/BY1706,0)</f>
        <v>1</v>
      </c>
      <c r="CN1706" s="50" t="n">
        <f aca="false">ROUNDUP(CI1706/BY1706,0)</f>
        <v>0</v>
      </c>
      <c r="CO1706" s="53" t="n">
        <f aca="false">IF(BZ1706=1,0,IFERROR(VLOOKUP(BX1706,'Gebinde-Kategorie'!$A$5:$N$45,5,0)+0,0))</f>
        <v>8</v>
      </c>
      <c r="CP1706" s="53" t="n">
        <f aca="false">IFERROR(IF(OR(CE1706=1,CE1706=2,CE1706=3),N(INDEX(Parameter!$I$5:$I$7,CE1706)),0),0)</f>
        <v>0</v>
      </c>
      <c r="CQ1706" s="52" t="n">
        <f aca="false">IF(AND(Parameter!$B$21="Ja",ISNUMBER(W1706),N(X1706)&gt;0),IFERROR(N(INDEX(Parameter!$L$5:$L$7,W1706))*INDEX(Parameter!$E$5:$E$7,W1706)*X1706/SUMIFS($X$7:$X$1843,$W$7:$W$1843,W1706),0),0)</f>
        <v>0</v>
      </c>
    </row>
    <row r="1707" customFormat="false" ht="15" hidden="false" customHeight="false" outlineLevel="0" collapsed="false">
      <c r="A1707" s="48" t="s">
        <v>2963</v>
      </c>
      <c r="B1707" s="48" t="s">
        <v>1242</v>
      </c>
      <c r="C1707" s="48" t="s">
        <v>173</v>
      </c>
      <c r="D1707" s="48" t="s">
        <v>193</v>
      </c>
      <c r="E1707" s="48"/>
      <c r="F1707" s="48"/>
      <c r="G1707" s="49" t="n">
        <v>9.03</v>
      </c>
      <c r="H1707" s="50" t="n">
        <f aca="false">MAX(0,IF(AND(Parameter!$B$21="Ja",ISNUMBER(Y1707)),Y1707,IF(Parameter!$B$20="Jahresanfang 2025 + Export",BR1707+BQ1707,BQ1707)))</f>
        <v>3</v>
      </c>
      <c r="I1707" s="50" t="n">
        <f aca="false">H1707*G1707</f>
        <v>27.09</v>
      </c>
      <c r="J1707" s="50" t="n">
        <f aca="false">BT1707*Parameter!$B$18</f>
        <v>0</v>
      </c>
      <c r="K1707" s="51"/>
      <c r="L1707" s="52"/>
      <c r="M1707" s="50" t="n">
        <v>0</v>
      </c>
      <c r="N1707" s="50" t="n">
        <v>3</v>
      </c>
      <c r="O1707" s="53" t="n">
        <v>14</v>
      </c>
      <c r="P1707" s="48" t="s">
        <v>485</v>
      </c>
      <c r="Q1707" s="50" t="n">
        <v>20</v>
      </c>
      <c r="R1707" s="53" t="n">
        <f aca="false">IF(BZ1707=1,0,IFERROR(VLOOKUP(BX1707,'Gebinde-Kategorie'!$A$5:$N$45,13,0)+0,0))</f>
        <v>52</v>
      </c>
      <c r="S1707" s="54"/>
      <c r="T1707" s="55"/>
      <c r="U1707" s="55"/>
      <c r="V1707" s="55"/>
      <c r="W1707" s="48"/>
      <c r="X1707" s="50"/>
      <c r="Y1707" s="50"/>
      <c r="Z1707" s="48" t="n">
        <f aca="false">IF(A1707="","",IF(AND(Parameter!$B$21="Ja",ISNUMBER(W1707)),W1707,IF(CC1707="2+3",IF(ISNUMBER(SEARCH("grosser Artikel",BU1707)),2,IFERROR(VLOOKUP(BX1707,Parameter!$F$35:$G$64,2,0),2)),IF(OR(CC1707="Nein",CC1707=""),"-",CC1707))))</f>
        <v>3</v>
      </c>
      <c r="AA1707" s="55"/>
      <c r="AB1707" s="56"/>
      <c r="AC1707" s="50" t="n">
        <f aca="false">AV1707</f>
        <v>3</v>
      </c>
      <c r="AD1707" s="50" t="n">
        <f aca="false">MAX(AV1707,H1707)</f>
        <v>3</v>
      </c>
      <c r="AE1707" s="57"/>
      <c r="AF1707" s="50" t="n">
        <f aca="false">IF(LEFT(Cockpit!$C$5,1)="A",H1707,IF(Parameter!$E$30="MAX-Bestand",IF(CH1707=1,CI1707,IF(LEFT(Cockpit!$C$5,1)="B",AL1707,MAX(AL1707,H1707))),ROUNDUP(AJ1707,0)))</f>
        <v>3</v>
      </c>
      <c r="AG1707" s="50" t="n">
        <f aca="false">IF(BZ1707=1,0,ROUNDUP(AF1707/BY1707,0))</f>
        <v>1</v>
      </c>
      <c r="AH1707" s="52" t="n">
        <f aca="false">IF(CQ1707&gt;0,CQ1707*MAX(1,AF1707/X1707),IF(BZ1707=1,IF(AF1707&lt;=0,0,CD1707*MAX(1,IF(H1707&gt;0,AF1707/H1707,1))),IF(R1707&gt;0,AG1707/R1707,0))/MAX(0.1,N(Parameter!$M$21)))</f>
        <v>0.0192307692307692</v>
      </c>
      <c r="AI1707" s="50" t="n">
        <f aca="false">AH1707*CB1707</f>
        <v>2.98076923076923</v>
      </c>
      <c r="AJ1707" s="51" t="n">
        <f aca="false">IF(LEFT(Cockpit!$C$5,1)="A",H1707,IF(CH1707=1,(CK1707+CI1707)/2,IF(LEFT(Cockpit!$C$5,1)="B",(CK1707+AL1707)/2,MAX((CK1707+AL1707)/2,H1707))))</f>
        <v>3</v>
      </c>
      <c r="AK1707" s="50" t="n">
        <f aca="false">AJ1707*G1707</f>
        <v>27.09</v>
      </c>
      <c r="AL1707" s="50" t="n">
        <f aca="false">ROUNDUP(CK1707+MAX(CL1707,2*(J1707/IF(CG1707&gt;0,CG1707,MAX(0.1,N(Cockpit!$C$6)))-CK1707)),0)</f>
        <v>3</v>
      </c>
      <c r="AM1707" s="51" t="n">
        <f aca="false">IF(AI1707&gt;0,J1707/AI1707,-1)</f>
        <v>0</v>
      </c>
      <c r="AN1707" s="51" t="n">
        <f aca="false">IF(AND(OR(CF1707="L1",CF1707="L23",CF1707="LIFT"),AI1707&gt;0),SUMIFS($AI$7:$AI$1843,$CF$7:$CF$1843,CF1707,$AM$7:$AM$1843,"&gt;"&amp;AM1707)+SUMIFS($AI$7:$AI$1843,$CF$7:$CF$1843,CF1707,$AM$7:$AM$1843,AM1707,$BW$7:$BW$1843,"&lt;="&amp;BW1707),"")</f>
        <v>32814.9217602078</v>
      </c>
      <c r="AO1707" s="58" t="n">
        <f aca="false">IF(AN1707="",0,MAX(0,MIN(1,(IF(CF1707="L1",Parameter!$H$5,IF(CF1707="L23",Parameter!$H$6+Parameter!$H$7,Parameter!$H$5+Parameter!$H$6+Parameter!$H$7))-(AN1707-AI1707))/AI1707)))</f>
        <v>1</v>
      </c>
      <c r="AP1707" s="50" t="n">
        <f aca="false">IF(LEFT(Cockpit!$I$5,1)="A",H1707,IF(Parameter!$E$30="MAX-Bestand",IF(CH1707=1,CI1707,IF(LEFT(Cockpit!$I$5,1)="B",AV1707,MAX(AV1707,H1707))),ROUNDUP(AT1707,0)))</f>
        <v>3</v>
      </c>
      <c r="AQ1707" s="50" t="n">
        <f aca="false">IF(BZ1707=1,0,ROUNDUP(AP1707/BY1707,0))</f>
        <v>1</v>
      </c>
      <c r="AR1707" s="52" t="n">
        <f aca="false">IF(CQ1707&gt;0,CQ1707*MAX(1,AP1707/X1707),IF(BZ1707=1,IF(AP1707&lt;=0,0,CD1707*MAX(1,IF(H1707&gt;0,AP1707/H1707,1))),IF(R1707&gt;0,AQ1707/R1707,0))/MAX(0.1,N(Parameter!$M$21)))</f>
        <v>0.0192307692307692</v>
      </c>
      <c r="AS1707" s="50" t="n">
        <f aca="false">AR1707*CB1707</f>
        <v>2.98076923076923</v>
      </c>
      <c r="AT1707" s="51" t="n">
        <f aca="false">IF(LEFT(Cockpit!$I$5,1)="A",H1707,IF(CH1707=1,(CK1707+CI1707)/2,IF(LEFT(Cockpit!$I$5,1)="B",(CK1707+AV1707)/2,MAX((CK1707+AV1707)/2,H1707))))</f>
        <v>3</v>
      </c>
      <c r="AU1707" s="50" t="n">
        <f aca="false">AT1707*G1707</f>
        <v>27.09</v>
      </c>
      <c r="AV1707" s="50" t="n">
        <f aca="false">ROUNDUP(CK1707+MAX(CL1707,2*(J1707/IF(CG1707&gt;0,CG1707,MAX(0.1,N(Cockpit!$I$6)))-CK1707)),0)</f>
        <v>3</v>
      </c>
      <c r="AW1707" s="51" t="n">
        <f aca="false">IF(AS1707&gt;0,J1707/AS1707,-1)</f>
        <v>0</v>
      </c>
      <c r="AX1707" s="51" t="n">
        <f aca="false">IF(AND(OR(CF1707="L1",CF1707="L23",CF1707="LIFT"),AS1707&gt;0),SUMIFS($AS$7:$AS$1843,$CF$7:$CF$1843,CF1707,$AW$7:$AW$1843,"&gt;"&amp;AW1707)+SUMIFS($AS$7:$AS$1843,$CF$7:$CF$1843,CF1707,$AW$7:$AW$1843,AW1707,$BW$7:$BW$1843,"&lt;="&amp;BW1707),"")</f>
        <v>39287.1699907908</v>
      </c>
      <c r="AY1707" s="58" t="n">
        <f aca="false">IF(AX1707="",0,MAX(0,MIN(1,(IF(CF1707="L1",Parameter!$H$5,IF(CF1707="L23",Parameter!$H$6+Parameter!$H$7,Parameter!$H$5+Parameter!$H$6+Parameter!$H$7))-(AX1707-AS1707))/AS1707)))</f>
        <v>0</v>
      </c>
      <c r="AZ1707" s="50" t="n">
        <f aca="false">IF(LEFT(Cockpit!$O$5,1)="A",H1707,IF(Parameter!$E$30="MAX-Bestand",IF(CH1707=1,CI1707,IF(LEFT(Cockpit!$O$5,1)="B",BF1707,MAX(BF1707,H1707))),ROUNDUP(BD1707,0)))</f>
        <v>2</v>
      </c>
      <c r="BA1707" s="50" t="n">
        <f aca="false">IF(BZ1707=1,0,ROUNDUP(AZ1707/BY1707,0))</f>
        <v>1</v>
      </c>
      <c r="BB1707" s="52" t="n">
        <f aca="false">IF(CQ1707&gt;0,CQ1707*MAX(1,AZ1707/X1707),IF(BZ1707=1,IF(AZ1707&lt;=0,0,CD1707*MAX(1,IF(H1707&gt;0,AZ1707/H1707,1))),IF(R1707&gt;0,BA1707/R1707,0))/MAX(0.1,N(Parameter!$M$21)))</f>
        <v>0.0192307692307692</v>
      </c>
      <c r="BC1707" s="50" t="n">
        <f aca="false">BB1707*CB1707</f>
        <v>2.98076923076923</v>
      </c>
      <c r="BD1707" s="51" t="n">
        <f aca="false">IF(LEFT(Cockpit!$O$5,1)="A",H1707,IF(CH1707=1,(CK1707+CI1707)/2,IF(LEFT(Cockpit!$O$5,1)="B",(CK1707+BF1707)/2,MAX((CK1707+BF1707)/2,H1707))))</f>
        <v>1.5</v>
      </c>
      <c r="BE1707" s="50" t="n">
        <f aca="false">BD1707*G1707</f>
        <v>13.545</v>
      </c>
      <c r="BF1707" s="50" t="n">
        <f aca="false">ROUNDUP(CK1707+MAX(CL1707,2*(J1707/IF(CG1707&gt;0,CG1707,MAX(0.1,N(Cockpit!$O$6)))-CK1707)),0)</f>
        <v>3</v>
      </c>
      <c r="BG1707" s="51" t="n">
        <f aca="false">IF(BC1707&gt;0,J1707/BC1707,-1)</f>
        <v>0</v>
      </c>
      <c r="BH1707" s="51" t="n">
        <f aca="false">IF(AND(OR(CF1707="L1",CF1707="L23",CF1707="LIFT"),BC1707&gt;0),SUMIFS($BC$7:$BC$1843,$CF$7:$CF$1843,CF1707,$BG$7:$BG$1843,"&gt;"&amp;BG1707)+SUMIFS($BC$7:$BC$1843,$CF$7:$CF$1843,CF1707,$BG$7:$BG$1843,BG1707,$BW$7:$BW$1843,"&lt;="&amp;BW1707),"")</f>
        <v>32524.031138118</v>
      </c>
      <c r="BI1707" s="58" t="n">
        <f aca="false">IF(BH1707="",0,MAX(0,MIN(1,(IF(CF1707="L1",Parameter!$H$5,IF(CF1707="L23",Parameter!$H$6+Parameter!$H$7,Parameter!$H$5+Parameter!$H$6+Parameter!$H$7))-(BH1707-BC1707))/BC1707)))</f>
        <v>1</v>
      </c>
      <c r="BJ1707" s="48" t="str">
        <f aca="false">IF(AI1707&lt;=0,"",IF(CF1707="Aussen","Aussenlager",IF(CF1707="-","Nicht im Lift",IF(AO1707&gt;=1,"Lift",IF(AO1707&lt;=0,"Aussenlager","teilweise")))))</f>
        <v>Lift</v>
      </c>
      <c r="BK1707" s="48" t="str">
        <f aca="false">IF(AS1707&lt;=0,"",IF(CF1707="Aussen","Aussenlager",IF(CF1707="-","Nicht im Lift",IF(AY1707&gt;=1,"Lift",IF(AY1707&lt;=0,"Aussenlager","teilweise")))))</f>
        <v>Aussenlager</v>
      </c>
      <c r="BL1707" s="48" t="str">
        <f aca="false">IF(BC1707&lt;=0,"",IF(CF1707="Aussen","Aussenlager",IF(CF1707="-","Nicht im Lift",IF(BI1707&gt;=1,"Lift",IF(BI1707&lt;=0,"Aussenlager","teilweise")))))</f>
        <v>Lift</v>
      </c>
      <c r="BM1707" s="48" t="str">
        <f aca="false">IF(A1707="","",IF(BV1707=1,"Neu; ","")&amp;IF(AND(BV1707=0,BQ1707&lt;0),"negativer Bestand (Export "&amp;BQ1707&amp;"); ","")&amp;IF(J1707&lt;=0,"Kein Verbrauch; ","")&amp;IF(CQ1707&gt;0,"Lift "&amp;W1707&amp;" lt. Liftbericht (Fach "&amp;X1707&amp;" Stk); ",IF(CA1707=1,"Gebinde geschätzt ("&amp;T1707&amp;"); ",IF(BZ1707=1,"Lose – Tablare geschätzt; ","")))&amp;IF(H1707&gt;AV1707,"Überbestand "&amp;ROUND(H1707-AV1707,0)&amp;" Stk / CHF "&amp;ROUND((H1707-AV1707)*G1707,0)&amp;"; ","")&amp;IF(AND(CH1707=1,CI1707&lt;CJ1707),"MAX &lt; MB+LG; ","")&amp;IF(AND(CP1707&gt;0,CO1707*10&gt;CP1707),"zu hoch für Tablar; ","")&amp;IF(AND(BV1707=0,OR(CH1707=1,AA1707&lt;&gt;"",U1707&lt;&gt;"",V1707&lt;&gt;"",AB1707&lt;&gt;"")),"manuell übersteuert; ","")&amp;IF(AND(BZ1707=0,R1707=0),"Gebinde unbekannt / Stellmass fehlt; ","")&amp;IF(AND(BZ1707=0,N(V1707)&lt;=0,N(Q1707)&lt;=0),"Menge pro Gebinde fehlt (Ist = 1 Gebinde); ","")&amp;BU1707)</f>
        <v>Kein Verbrauch; nur im Artikelstamm (Bestand 23.06.2026); Verb.Lager</v>
      </c>
      <c r="BN1707" s="48"/>
      <c r="BO1707" s="48"/>
      <c r="BP1707" s="55"/>
      <c r="BQ1707" s="50" t="n">
        <v>3</v>
      </c>
      <c r="BR1707" s="50" t="n">
        <v>0</v>
      </c>
      <c r="BS1707" s="49" t="n">
        <v>0</v>
      </c>
      <c r="BT1707" s="50" t="n">
        <v>0</v>
      </c>
      <c r="BU1707" s="48" t="s">
        <v>2578</v>
      </c>
      <c r="BV1707" s="53" t="n">
        <v>0</v>
      </c>
      <c r="BW1707" s="53" t="n">
        <v>1707</v>
      </c>
      <c r="BX1707" s="48" t="str">
        <f aca="false">IF(U1707&lt;&gt;"",UPPER(TRIM(U1707)),IF(CA1707=1,UPPER(VLOOKUP(T1707,Parameter!$I$27:$K$29,2,0)),IF(P1707="","LOSE",P1707)))</f>
        <v>S33</v>
      </c>
      <c r="BY1707" s="50" t="n">
        <f aca="false">IF(BX1707="LOSE",1,IF(N(V1707)&gt;0,V1707,IF(CA1707=1,MAX(1,N(VLOOKUP(T1707,Parameter!$I$27:$K$29,3,0)),H1707,N(N1707)),IF(N(Q1707)&gt;0,Q1707,MAX(1,H1707)))))</f>
        <v>20</v>
      </c>
      <c r="BZ1707" s="53" t="n">
        <f aca="false">IF(BX1707="LOSE",1,0)</f>
        <v>0</v>
      </c>
      <c r="CA1707" s="53" t="n">
        <f aca="false">IF(AND(U1707="",OR(P1707="",P1707="LOSE"),T1707&lt;&gt;"",N(S1707)&lt;=0,ISNUMBER(MATCH(T1707,Parameter!$I$27:$I$29,0))),1,0)</f>
        <v>0</v>
      </c>
      <c r="CB1707" s="53" t="n">
        <f aca="false">IF(CQ1707&gt;0,INDEX(Parameter!$H$5:$H$7,W1707)/INDEX(Parameter!$E$5:$E$7,W1707),IF(AND(BZ1707=0,N(IFERROR(VLOOKUP(BX1707,'Gebinde-Kategorie'!$A$5:$N$45,14,0),0))&gt;0),VLOOKUP(BX1707,'Gebinde-Kategorie'!$A$5:$N$45,14,0)*10+Parameter!$M$23,Parameter!$M$24))</f>
        <v>155</v>
      </c>
      <c r="CC1707" s="48" t="str">
        <f aca="false">IF(AND(Parameter!$B$19="Ja",E1707&lt;&gt;"",ISNUMBER(MATCH(E1707,Parameter!$I$35:$I$52,0))),VLOOKUP(E1707,Parameter!$I$35:$J$52,2,0),IFERROR(VLOOKUP(D1707,Parameter!$A$35:$C$64,2,0),"Nein"))</f>
        <v>2+3</v>
      </c>
      <c r="CD1707" s="52" t="n">
        <f aca="false">IF(BZ1707=0,0,IF(N(S1707)&gt;0,S1707,IFERROR(VLOOKUP(D1707,Parameter!$A$35:$C$64,3,0)+0,0)))</f>
        <v>0</v>
      </c>
      <c r="CE1707" s="48" t="n">
        <f aca="false">IF(AA1707&lt;&gt;"",AA1707,Z1707)</f>
        <v>3</v>
      </c>
      <c r="CF1707" s="48" t="str">
        <f aca="false">IF(OR(CE1707=1,CE1707=2,CE1707=3),IF(Parameter!$E$27="Ja","LIFT",IF(CE1707=1,"L1","L23")),IF(CE1707="Aussen","Aussen","-"))</f>
        <v>LIFT</v>
      </c>
      <c r="CG1707" s="59" t="n">
        <f aca="false">IF(N(AB1707)&gt;0,AB1707,0)</f>
        <v>0</v>
      </c>
      <c r="CH1707" s="53" t="n">
        <f aca="false">IF(ISNUMBER(AE1707),1,0)</f>
        <v>0</v>
      </c>
      <c r="CI1707" s="50" t="n">
        <f aca="false">N(AE1707)</f>
        <v>0</v>
      </c>
      <c r="CJ1707" s="50" t="n">
        <f aca="false">N(M1707)+N(N1707)</f>
        <v>3</v>
      </c>
      <c r="CK1707" s="50" t="n">
        <f aca="false">N(M1707)</f>
        <v>0</v>
      </c>
      <c r="CL1707" s="50" t="n">
        <f aca="false">N(N1707)</f>
        <v>3</v>
      </c>
      <c r="CM1707" s="50" t="n">
        <f aca="false">ROUNDUP(H1707/BY1707,0)</f>
        <v>1</v>
      </c>
      <c r="CN1707" s="50" t="n">
        <f aca="false">ROUNDUP(CI1707/BY1707,0)</f>
        <v>0</v>
      </c>
      <c r="CO1707" s="53" t="n">
        <f aca="false">IF(BZ1707=1,0,IFERROR(VLOOKUP(BX1707,'Gebinde-Kategorie'!$A$5:$N$45,5,0)+0,0))</f>
        <v>8</v>
      </c>
      <c r="CP1707" s="53" t="n">
        <f aca="false">IFERROR(IF(OR(CE1707=1,CE1707=2,CE1707=3),N(INDEX(Parameter!$I$5:$I$7,CE1707)),0),0)</f>
        <v>0</v>
      </c>
      <c r="CQ1707" s="52" t="n">
        <f aca="false">IF(AND(Parameter!$B$21="Ja",ISNUMBER(W1707),N(X1707)&gt;0),IFERROR(N(INDEX(Parameter!$L$5:$L$7,W1707))*INDEX(Parameter!$E$5:$E$7,W1707)*X1707/SUMIFS($X$7:$X$1843,$W$7:$W$1843,W1707),0),0)</f>
        <v>0</v>
      </c>
    </row>
    <row r="1708" customFormat="false" ht="15" hidden="false" customHeight="false" outlineLevel="0" collapsed="false">
      <c r="A1708" s="48" t="s">
        <v>2964</v>
      </c>
      <c r="B1708" s="48" t="s">
        <v>2965</v>
      </c>
      <c r="C1708" s="48" t="s">
        <v>173</v>
      </c>
      <c r="D1708" s="48" t="s">
        <v>193</v>
      </c>
      <c r="E1708" s="48"/>
      <c r="F1708" s="48"/>
      <c r="G1708" s="49" t="n">
        <v>18</v>
      </c>
      <c r="H1708" s="50" t="n">
        <f aca="false">MAX(0,IF(AND(Parameter!$B$21="Ja",ISNUMBER(Y1708)),Y1708,IF(Parameter!$B$20="Jahresanfang 2025 + Export",BR1708+BQ1708,BQ1708)))</f>
        <v>7</v>
      </c>
      <c r="I1708" s="50" t="n">
        <f aca="false">H1708*G1708</f>
        <v>126</v>
      </c>
      <c r="J1708" s="50" t="n">
        <f aca="false">BT1708*Parameter!$B$18</f>
        <v>0</v>
      </c>
      <c r="K1708" s="51"/>
      <c r="L1708" s="52"/>
      <c r="M1708" s="50" t="n">
        <v>0</v>
      </c>
      <c r="N1708" s="50" t="n">
        <v>1</v>
      </c>
      <c r="O1708" s="53" t="n">
        <v>35</v>
      </c>
      <c r="P1708" s="48" t="s">
        <v>485</v>
      </c>
      <c r="Q1708" s="50" t="n">
        <v>6</v>
      </c>
      <c r="R1708" s="53" t="n">
        <f aca="false">IF(BZ1708=1,0,IFERROR(VLOOKUP(BX1708,'Gebinde-Kategorie'!$A$5:$N$45,13,0)+0,0))</f>
        <v>52</v>
      </c>
      <c r="S1708" s="54"/>
      <c r="T1708" s="55"/>
      <c r="U1708" s="55"/>
      <c r="V1708" s="55"/>
      <c r="W1708" s="48"/>
      <c r="X1708" s="50"/>
      <c r="Y1708" s="50"/>
      <c r="Z1708" s="48" t="n">
        <f aca="false">IF(A1708="","",IF(AND(Parameter!$B$21="Ja",ISNUMBER(W1708)),W1708,IF(CC1708="2+3",IF(ISNUMBER(SEARCH("grosser Artikel",BU1708)),2,IFERROR(VLOOKUP(BX1708,Parameter!$F$35:$G$64,2,0),2)),IF(OR(CC1708="Nein",CC1708=""),"-",CC1708))))</f>
        <v>3</v>
      </c>
      <c r="AA1708" s="55"/>
      <c r="AB1708" s="56"/>
      <c r="AC1708" s="50" t="n">
        <f aca="false">AV1708</f>
        <v>1</v>
      </c>
      <c r="AD1708" s="50" t="n">
        <f aca="false">MAX(AV1708,H1708)</f>
        <v>7</v>
      </c>
      <c r="AE1708" s="57"/>
      <c r="AF1708" s="50" t="n">
        <f aca="false">IF(LEFT(Cockpit!$C$5,1)="A",H1708,IF(Parameter!$E$30="MAX-Bestand",IF(CH1708=1,CI1708,IF(LEFT(Cockpit!$C$5,1)="B",AL1708,MAX(AL1708,H1708))),ROUNDUP(AJ1708,0)))</f>
        <v>7</v>
      </c>
      <c r="AG1708" s="50" t="n">
        <f aca="false">IF(BZ1708=1,0,ROUNDUP(AF1708/BY1708,0))</f>
        <v>2</v>
      </c>
      <c r="AH1708" s="52" t="n">
        <f aca="false">IF(CQ1708&gt;0,CQ1708*MAX(1,AF1708/X1708),IF(BZ1708=1,IF(AF1708&lt;=0,0,CD1708*MAX(1,IF(H1708&gt;0,AF1708/H1708,1))),IF(R1708&gt;0,AG1708/R1708,0))/MAX(0.1,N(Parameter!$M$21)))</f>
        <v>0.0384615384615385</v>
      </c>
      <c r="AI1708" s="50" t="n">
        <f aca="false">AH1708*CB1708</f>
        <v>5.96153846153846</v>
      </c>
      <c r="AJ1708" s="51" t="n">
        <f aca="false">IF(LEFT(Cockpit!$C$5,1)="A",H1708,IF(CH1708=1,(CK1708+CI1708)/2,IF(LEFT(Cockpit!$C$5,1)="B",(CK1708+AL1708)/2,MAX((CK1708+AL1708)/2,H1708))))</f>
        <v>7</v>
      </c>
      <c r="AK1708" s="50" t="n">
        <f aca="false">AJ1708*G1708</f>
        <v>126</v>
      </c>
      <c r="AL1708" s="50" t="n">
        <f aca="false">ROUNDUP(CK1708+MAX(CL1708,2*(J1708/IF(CG1708&gt;0,CG1708,MAX(0.1,N(Cockpit!$C$6)))-CK1708)),0)</f>
        <v>1</v>
      </c>
      <c r="AM1708" s="51" t="n">
        <f aca="false">IF(AI1708&gt;0,J1708/AI1708,-1)</f>
        <v>0</v>
      </c>
      <c r="AN1708" s="51" t="n">
        <f aca="false">IF(AND(OR(CF1708="L1",CF1708="L23",CF1708="LIFT"),AI1708&gt;0),SUMIFS($AI$7:$AI$1843,$CF$7:$CF$1843,CF1708,$AM$7:$AM$1843,"&gt;"&amp;AM1708)+SUMIFS($AI$7:$AI$1843,$CF$7:$CF$1843,CF1708,$AM$7:$AM$1843,AM1708,$BW$7:$BW$1843,"&lt;="&amp;BW1708),"")</f>
        <v>32820.8832986693</v>
      </c>
      <c r="AO1708" s="58" t="n">
        <f aca="false">IF(AN1708="",0,MAX(0,MIN(1,(IF(CF1708="L1",Parameter!$H$5,IF(CF1708="L23",Parameter!$H$6+Parameter!$H$7,Parameter!$H$5+Parameter!$H$6+Parameter!$H$7))-(AN1708-AI1708))/AI1708)))</f>
        <v>1</v>
      </c>
      <c r="AP1708" s="50" t="n">
        <f aca="false">IF(LEFT(Cockpit!$I$5,1)="A",H1708,IF(Parameter!$E$30="MAX-Bestand",IF(CH1708=1,CI1708,IF(LEFT(Cockpit!$I$5,1)="B",AV1708,MAX(AV1708,H1708))),ROUNDUP(AT1708,0)))</f>
        <v>7</v>
      </c>
      <c r="AQ1708" s="50" t="n">
        <f aca="false">IF(BZ1708=1,0,ROUNDUP(AP1708/BY1708,0))</f>
        <v>2</v>
      </c>
      <c r="AR1708" s="52" t="n">
        <f aca="false">IF(CQ1708&gt;0,CQ1708*MAX(1,AP1708/X1708),IF(BZ1708=1,IF(AP1708&lt;=0,0,CD1708*MAX(1,IF(H1708&gt;0,AP1708/H1708,1))),IF(R1708&gt;0,AQ1708/R1708,0))/MAX(0.1,N(Parameter!$M$21)))</f>
        <v>0.0384615384615385</v>
      </c>
      <c r="AS1708" s="50" t="n">
        <f aca="false">AR1708*CB1708</f>
        <v>5.96153846153846</v>
      </c>
      <c r="AT1708" s="51" t="n">
        <f aca="false">IF(LEFT(Cockpit!$I$5,1)="A",H1708,IF(CH1708=1,(CK1708+CI1708)/2,IF(LEFT(Cockpit!$I$5,1)="B",(CK1708+AV1708)/2,MAX((CK1708+AV1708)/2,H1708))))</f>
        <v>7</v>
      </c>
      <c r="AU1708" s="50" t="n">
        <f aca="false">AT1708*G1708</f>
        <v>126</v>
      </c>
      <c r="AV1708" s="50" t="n">
        <f aca="false">ROUNDUP(CK1708+MAX(CL1708,2*(J1708/IF(CG1708&gt;0,CG1708,MAX(0.1,N(Cockpit!$I$6)))-CK1708)),0)</f>
        <v>1</v>
      </c>
      <c r="AW1708" s="51" t="n">
        <f aca="false">IF(AS1708&gt;0,J1708/AS1708,-1)</f>
        <v>0</v>
      </c>
      <c r="AX1708" s="51" t="n">
        <f aca="false">IF(AND(OR(CF1708="L1",CF1708="L23",CF1708="LIFT"),AS1708&gt;0),SUMIFS($AS$7:$AS$1843,$CF$7:$CF$1843,CF1708,$AW$7:$AW$1843,"&gt;"&amp;AW1708)+SUMIFS($AS$7:$AS$1843,$CF$7:$CF$1843,CF1708,$AW$7:$AW$1843,AW1708,$BW$7:$BW$1843,"&lt;="&amp;BW1708),"")</f>
        <v>39293.1315292523</v>
      </c>
      <c r="AY1708" s="58" t="n">
        <f aca="false">IF(AX1708="",0,MAX(0,MIN(1,(IF(CF1708="L1",Parameter!$H$5,IF(CF1708="L23",Parameter!$H$6+Parameter!$H$7,Parameter!$H$5+Parameter!$H$6+Parameter!$H$7))-(AX1708-AS1708))/AS1708)))</f>
        <v>0</v>
      </c>
      <c r="AZ1708" s="50" t="n">
        <f aca="false">IF(LEFT(Cockpit!$O$5,1)="A",H1708,IF(Parameter!$E$30="MAX-Bestand",IF(CH1708=1,CI1708,IF(LEFT(Cockpit!$O$5,1)="B",BF1708,MAX(BF1708,H1708))),ROUNDUP(BD1708,0)))</f>
        <v>1</v>
      </c>
      <c r="BA1708" s="50" t="n">
        <f aca="false">IF(BZ1708=1,0,ROUNDUP(AZ1708/BY1708,0))</f>
        <v>1</v>
      </c>
      <c r="BB1708" s="52" t="n">
        <f aca="false">IF(CQ1708&gt;0,CQ1708*MAX(1,AZ1708/X1708),IF(BZ1708=1,IF(AZ1708&lt;=0,0,CD1708*MAX(1,IF(H1708&gt;0,AZ1708/H1708,1))),IF(R1708&gt;0,BA1708/R1708,0))/MAX(0.1,N(Parameter!$M$21)))</f>
        <v>0.0192307692307692</v>
      </c>
      <c r="BC1708" s="50" t="n">
        <f aca="false">BB1708*CB1708</f>
        <v>2.98076923076923</v>
      </c>
      <c r="BD1708" s="51" t="n">
        <f aca="false">IF(LEFT(Cockpit!$O$5,1)="A",H1708,IF(CH1708=1,(CK1708+CI1708)/2,IF(LEFT(Cockpit!$O$5,1)="B",(CK1708+BF1708)/2,MAX((CK1708+BF1708)/2,H1708))))</f>
        <v>0.5</v>
      </c>
      <c r="BE1708" s="50" t="n">
        <f aca="false">BD1708*G1708</f>
        <v>9</v>
      </c>
      <c r="BF1708" s="50" t="n">
        <f aca="false">ROUNDUP(CK1708+MAX(CL1708,2*(J1708/IF(CG1708&gt;0,CG1708,MAX(0.1,N(Cockpit!$O$6)))-CK1708)),0)</f>
        <v>1</v>
      </c>
      <c r="BG1708" s="51" t="n">
        <f aca="false">IF(BC1708&gt;0,J1708/BC1708,-1)</f>
        <v>0</v>
      </c>
      <c r="BH1708" s="51" t="n">
        <f aca="false">IF(AND(OR(CF1708="L1",CF1708="L23",CF1708="LIFT"),BC1708&gt;0),SUMIFS($BC$7:$BC$1843,$CF$7:$CF$1843,CF1708,$BG$7:$BG$1843,"&gt;"&amp;BG1708)+SUMIFS($BC$7:$BC$1843,$CF$7:$CF$1843,CF1708,$BG$7:$BG$1843,BG1708,$BW$7:$BW$1843,"&lt;="&amp;BW1708),"")</f>
        <v>32527.0119073488</v>
      </c>
      <c r="BI1708" s="58" t="n">
        <f aca="false">IF(BH1708="",0,MAX(0,MIN(1,(IF(CF1708="L1",Parameter!$H$5,IF(CF1708="L23",Parameter!$H$6+Parameter!$H$7,Parameter!$H$5+Parameter!$H$6+Parameter!$H$7))-(BH1708-BC1708))/BC1708)))</f>
        <v>1</v>
      </c>
      <c r="BJ1708" s="48" t="str">
        <f aca="false">IF(AI1708&lt;=0,"",IF(CF1708="Aussen","Aussenlager",IF(CF1708="-","Nicht im Lift",IF(AO1708&gt;=1,"Lift",IF(AO1708&lt;=0,"Aussenlager","teilweise")))))</f>
        <v>Lift</v>
      </c>
      <c r="BK1708" s="48" t="str">
        <f aca="false">IF(AS1708&lt;=0,"",IF(CF1708="Aussen","Aussenlager",IF(CF1708="-","Nicht im Lift",IF(AY1708&gt;=1,"Lift",IF(AY1708&lt;=0,"Aussenlager","teilweise")))))</f>
        <v>Aussenlager</v>
      </c>
      <c r="BL1708" s="48" t="str">
        <f aca="false">IF(BC1708&lt;=0,"",IF(CF1708="Aussen","Aussenlager",IF(CF1708="-","Nicht im Lift",IF(BI1708&gt;=1,"Lift",IF(BI1708&lt;=0,"Aussenlager","teilweise")))))</f>
        <v>Lift</v>
      </c>
      <c r="BM1708" s="48" t="str">
        <f aca="false">IF(A1708="","",IF(BV1708=1,"Neu; ","")&amp;IF(AND(BV1708=0,BQ1708&lt;0),"negativer Bestand (Export "&amp;BQ1708&amp;"); ","")&amp;IF(J1708&lt;=0,"Kein Verbrauch; ","")&amp;IF(CQ1708&gt;0,"Lift "&amp;W1708&amp;" lt. Liftbericht (Fach "&amp;X1708&amp;" Stk); ",IF(CA1708=1,"Gebinde geschätzt ("&amp;T1708&amp;"); ",IF(BZ1708=1,"Lose – Tablare geschätzt; ","")))&amp;IF(H1708&gt;AV1708,"Überbestand "&amp;ROUND(H1708-AV1708,0)&amp;" Stk / CHF "&amp;ROUND((H1708-AV1708)*G1708,0)&amp;"; ","")&amp;IF(AND(CH1708=1,CI1708&lt;CJ1708),"MAX &lt; MB+LG; ","")&amp;IF(AND(CP1708&gt;0,CO1708*10&gt;CP1708),"zu hoch für Tablar; ","")&amp;IF(AND(BV1708=0,OR(CH1708=1,AA1708&lt;&gt;"",U1708&lt;&gt;"",V1708&lt;&gt;"",AB1708&lt;&gt;"")),"manuell übersteuert; ","")&amp;IF(AND(BZ1708=0,R1708=0),"Gebinde unbekannt / Stellmass fehlt; ","")&amp;IF(AND(BZ1708=0,N(V1708)&lt;=0,N(Q1708)&lt;=0),"Menge pro Gebinde fehlt (Ist = 1 Gebinde); ","")&amp;BU1708)</f>
        <v>Kein Verbrauch; Überbestand 6 Stk / CHF 108; nur im Artikelstamm (Bestand 23.06.2026); Neuer Art.</v>
      </c>
      <c r="BN1708" s="48"/>
      <c r="BO1708" s="48"/>
      <c r="BP1708" s="55"/>
      <c r="BQ1708" s="50" t="n">
        <v>7</v>
      </c>
      <c r="BR1708" s="50" t="n">
        <v>0</v>
      </c>
      <c r="BS1708" s="49" t="n">
        <v>0</v>
      </c>
      <c r="BT1708" s="50" t="n">
        <v>0</v>
      </c>
      <c r="BU1708" s="48" t="s">
        <v>2882</v>
      </c>
      <c r="BV1708" s="53" t="n">
        <v>0</v>
      </c>
      <c r="BW1708" s="53" t="n">
        <v>1708</v>
      </c>
      <c r="BX1708" s="48" t="str">
        <f aca="false">IF(U1708&lt;&gt;"",UPPER(TRIM(U1708)),IF(CA1708=1,UPPER(VLOOKUP(T1708,Parameter!$I$27:$K$29,2,0)),IF(P1708="","LOSE",P1708)))</f>
        <v>S33</v>
      </c>
      <c r="BY1708" s="50" t="n">
        <f aca="false">IF(BX1708="LOSE",1,IF(N(V1708)&gt;0,V1708,IF(CA1708=1,MAX(1,N(VLOOKUP(T1708,Parameter!$I$27:$K$29,3,0)),H1708,N(N1708)),IF(N(Q1708)&gt;0,Q1708,MAX(1,H1708)))))</f>
        <v>6</v>
      </c>
      <c r="BZ1708" s="53" t="n">
        <f aca="false">IF(BX1708="LOSE",1,0)</f>
        <v>0</v>
      </c>
      <c r="CA1708" s="53" t="n">
        <f aca="false">IF(AND(U1708="",OR(P1708="",P1708="LOSE"),T1708&lt;&gt;"",N(S1708)&lt;=0,ISNUMBER(MATCH(T1708,Parameter!$I$27:$I$29,0))),1,0)</f>
        <v>0</v>
      </c>
      <c r="CB1708" s="53" t="n">
        <f aca="false">IF(CQ1708&gt;0,INDEX(Parameter!$H$5:$H$7,W1708)/INDEX(Parameter!$E$5:$E$7,W1708),IF(AND(BZ1708=0,N(IFERROR(VLOOKUP(BX1708,'Gebinde-Kategorie'!$A$5:$N$45,14,0),0))&gt;0),VLOOKUP(BX1708,'Gebinde-Kategorie'!$A$5:$N$45,14,0)*10+Parameter!$M$23,Parameter!$M$24))</f>
        <v>155</v>
      </c>
      <c r="CC1708" s="48" t="str">
        <f aca="false">IF(AND(Parameter!$B$19="Ja",E1708&lt;&gt;"",ISNUMBER(MATCH(E1708,Parameter!$I$35:$I$52,0))),VLOOKUP(E1708,Parameter!$I$35:$J$52,2,0),IFERROR(VLOOKUP(D1708,Parameter!$A$35:$C$64,2,0),"Nein"))</f>
        <v>2+3</v>
      </c>
      <c r="CD1708" s="52" t="n">
        <f aca="false">IF(BZ1708=0,0,IF(N(S1708)&gt;0,S1708,IFERROR(VLOOKUP(D1708,Parameter!$A$35:$C$64,3,0)+0,0)))</f>
        <v>0</v>
      </c>
      <c r="CE1708" s="48" t="n">
        <f aca="false">IF(AA1708&lt;&gt;"",AA1708,Z1708)</f>
        <v>3</v>
      </c>
      <c r="CF1708" s="48" t="str">
        <f aca="false">IF(OR(CE1708=1,CE1708=2,CE1708=3),IF(Parameter!$E$27="Ja","LIFT",IF(CE1708=1,"L1","L23")),IF(CE1708="Aussen","Aussen","-"))</f>
        <v>LIFT</v>
      </c>
      <c r="CG1708" s="59" t="n">
        <f aca="false">IF(N(AB1708)&gt;0,AB1708,0)</f>
        <v>0</v>
      </c>
      <c r="CH1708" s="53" t="n">
        <f aca="false">IF(ISNUMBER(AE1708),1,0)</f>
        <v>0</v>
      </c>
      <c r="CI1708" s="50" t="n">
        <f aca="false">N(AE1708)</f>
        <v>0</v>
      </c>
      <c r="CJ1708" s="50" t="n">
        <f aca="false">N(M1708)+N(N1708)</f>
        <v>1</v>
      </c>
      <c r="CK1708" s="50" t="n">
        <f aca="false">N(M1708)</f>
        <v>0</v>
      </c>
      <c r="CL1708" s="50" t="n">
        <f aca="false">N(N1708)</f>
        <v>1</v>
      </c>
      <c r="CM1708" s="50" t="n">
        <f aca="false">ROUNDUP(H1708/BY1708,0)</f>
        <v>2</v>
      </c>
      <c r="CN1708" s="50" t="n">
        <f aca="false">ROUNDUP(CI1708/BY1708,0)</f>
        <v>0</v>
      </c>
      <c r="CO1708" s="53" t="n">
        <f aca="false">IF(BZ1708=1,0,IFERROR(VLOOKUP(BX1708,'Gebinde-Kategorie'!$A$5:$N$45,5,0)+0,0))</f>
        <v>8</v>
      </c>
      <c r="CP1708" s="53" t="n">
        <f aca="false">IFERROR(IF(OR(CE1708=1,CE1708=2,CE1708=3),N(INDEX(Parameter!$I$5:$I$7,CE1708)),0),0)</f>
        <v>0</v>
      </c>
      <c r="CQ1708" s="52" t="n">
        <f aca="false">IF(AND(Parameter!$B$21="Ja",ISNUMBER(W1708),N(X1708)&gt;0),IFERROR(N(INDEX(Parameter!$L$5:$L$7,W1708))*INDEX(Parameter!$E$5:$E$7,W1708)*X1708/SUMIFS($X$7:$X$1843,$W$7:$W$1843,W1708),0),0)</f>
        <v>0</v>
      </c>
    </row>
    <row r="1709" customFormat="false" ht="15" hidden="false" customHeight="false" outlineLevel="0" collapsed="false">
      <c r="A1709" s="48" t="s">
        <v>2966</v>
      </c>
      <c r="B1709" s="48" t="s">
        <v>1031</v>
      </c>
      <c r="C1709" s="48" t="s">
        <v>173</v>
      </c>
      <c r="D1709" s="48" t="s">
        <v>193</v>
      </c>
      <c r="E1709" s="48"/>
      <c r="F1709" s="48"/>
      <c r="G1709" s="49" t="n">
        <v>3.72</v>
      </c>
      <c r="H1709" s="50" t="n">
        <f aca="false">MAX(0,IF(AND(Parameter!$B$21="Ja",ISNUMBER(Y1709)),Y1709,IF(Parameter!$B$20="Jahresanfang 2025 + Export",BR1709+BQ1709,BQ1709)))</f>
        <v>58</v>
      </c>
      <c r="I1709" s="50" t="n">
        <f aca="false">H1709*G1709</f>
        <v>215.76</v>
      </c>
      <c r="J1709" s="50" t="n">
        <f aca="false">BT1709*Parameter!$B$18</f>
        <v>0</v>
      </c>
      <c r="K1709" s="51"/>
      <c r="L1709" s="52"/>
      <c r="M1709" s="50" t="n">
        <v>0</v>
      </c>
      <c r="N1709" s="50" t="n">
        <v>1</v>
      </c>
      <c r="O1709" s="53" t="n">
        <v>28</v>
      </c>
      <c r="P1709" s="48" t="s">
        <v>435</v>
      </c>
      <c r="Q1709" s="50" t="n">
        <v>30</v>
      </c>
      <c r="R1709" s="53" t="n">
        <f aca="false">IF(BZ1709=1,0,IFERROR(VLOOKUP(BX1709,'Gebinde-Kategorie'!$A$5:$N$45,13,0)+0,0))</f>
        <v>140</v>
      </c>
      <c r="S1709" s="54"/>
      <c r="T1709" s="55"/>
      <c r="U1709" s="55"/>
      <c r="V1709" s="55"/>
      <c r="W1709" s="48"/>
      <c r="X1709" s="50"/>
      <c r="Y1709" s="50"/>
      <c r="Z1709" s="48" t="n">
        <f aca="false">IF(A1709="","",IF(AND(Parameter!$B$21="Ja",ISNUMBER(W1709)),W1709,IF(CC1709="2+3",IF(ISNUMBER(SEARCH("grosser Artikel",BU1709)),2,IFERROR(VLOOKUP(BX1709,Parameter!$F$35:$G$64,2,0),2)),IF(OR(CC1709="Nein",CC1709=""),"-",CC1709))))</f>
        <v>3</v>
      </c>
      <c r="AA1709" s="55"/>
      <c r="AB1709" s="56"/>
      <c r="AC1709" s="50" t="n">
        <f aca="false">AV1709</f>
        <v>1</v>
      </c>
      <c r="AD1709" s="50" t="n">
        <f aca="false">MAX(AV1709,H1709)</f>
        <v>58</v>
      </c>
      <c r="AE1709" s="57"/>
      <c r="AF1709" s="50" t="n">
        <f aca="false">IF(LEFT(Cockpit!$C$5,1)="A",H1709,IF(Parameter!$E$30="MAX-Bestand",IF(CH1709=1,CI1709,IF(LEFT(Cockpit!$C$5,1)="B",AL1709,MAX(AL1709,H1709))),ROUNDUP(AJ1709,0)))</f>
        <v>58</v>
      </c>
      <c r="AG1709" s="50" t="n">
        <f aca="false">IF(BZ1709=1,0,ROUNDUP(AF1709/BY1709,0))</f>
        <v>2</v>
      </c>
      <c r="AH1709" s="52" t="n">
        <f aca="false">IF(CQ1709&gt;0,CQ1709*MAX(1,AF1709/X1709),IF(BZ1709=1,IF(AF1709&lt;=0,0,CD1709*MAX(1,IF(H1709&gt;0,AF1709/H1709,1))),IF(R1709&gt;0,AG1709/R1709,0))/MAX(0.1,N(Parameter!$M$21)))</f>
        <v>0.0142857142857143</v>
      </c>
      <c r="AI1709" s="50" t="n">
        <f aca="false">AH1709*CB1709</f>
        <v>2.21428571428571</v>
      </c>
      <c r="AJ1709" s="51" t="n">
        <f aca="false">IF(LEFT(Cockpit!$C$5,1)="A",H1709,IF(CH1709=1,(CK1709+CI1709)/2,IF(LEFT(Cockpit!$C$5,1)="B",(CK1709+AL1709)/2,MAX((CK1709+AL1709)/2,H1709))))</f>
        <v>58</v>
      </c>
      <c r="AK1709" s="50" t="n">
        <f aca="false">AJ1709*G1709</f>
        <v>215.76</v>
      </c>
      <c r="AL1709" s="50" t="n">
        <f aca="false">ROUNDUP(CK1709+MAX(CL1709,2*(J1709/IF(CG1709&gt;0,CG1709,MAX(0.1,N(Cockpit!$C$6)))-CK1709)),0)</f>
        <v>1</v>
      </c>
      <c r="AM1709" s="51" t="n">
        <f aca="false">IF(AI1709&gt;0,J1709/AI1709,-1)</f>
        <v>0</v>
      </c>
      <c r="AN1709" s="51" t="n">
        <f aca="false">IF(AND(OR(CF1709="L1",CF1709="L23",CF1709="LIFT"),AI1709&gt;0),SUMIFS($AI$7:$AI$1843,$CF$7:$CF$1843,CF1709,$AM$7:$AM$1843,"&gt;"&amp;AM1709)+SUMIFS($AI$7:$AI$1843,$CF$7:$CF$1843,CF1709,$AM$7:$AM$1843,AM1709,$BW$7:$BW$1843,"&lt;="&amp;BW1709),"")</f>
        <v>32823.0975843836</v>
      </c>
      <c r="AO1709" s="58" t="n">
        <f aca="false">IF(AN1709="",0,MAX(0,MIN(1,(IF(CF1709="L1",Parameter!$H$5,IF(CF1709="L23",Parameter!$H$6+Parameter!$H$7,Parameter!$H$5+Parameter!$H$6+Parameter!$H$7))-(AN1709-AI1709))/AI1709)))</f>
        <v>1</v>
      </c>
      <c r="AP1709" s="50" t="n">
        <f aca="false">IF(LEFT(Cockpit!$I$5,1)="A",H1709,IF(Parameter!$E$30="MAX-Bestand",IF(CH1709=1,CI1709,IF(LEFT(Cockpit!$I$5,1)="B",AV1709,MAX(AV1709,H1709))),ROUNDUP(AT1709,0)))</f>
        <v>58</v>
      </c>
      <c r="AQ1709" s="50" t="n">
        <f aca="false">IF(BZ1709=1,0,ROUNDUP(AP1709/BY1709,0))</f>
        <v>2</v>
      </c>
      <c r="AR1709" s="52" t="n">
        <f aca="false">IF(CQ1709&gt;0,CQ1709*MAX(1,AP1709/X1709),IF(BZ1709=1,IF(AP1709&lt;=0,0,CD1709*MAX(1,IF(H1709&gt;0,AP1709/H1709,1))),IF(R1709&gt;0,AQ1709/R1709,0))/MAX(0.1,N(Parameter!$M$21)))</f>
        <v>0.0142857142857143</v>
      </c>
      <c r="AS1709" s="50" t="n">
        <f aca="false">AR1709*CB1709</f>
        <v>2.21428571428571</v>
      </c>
      <c r="AT1709" s="51" t="n">
        <f aca="false">IF(LEFT(Cockpit!$I$5,1)="A",H1709,IF(CH1709=1,(CK1709+CI1709)/2,IF(LEFT(Cockpit!$I$5,1)="B",(CK1709+AV1709)/2,MAX((CK1709+AV1709)/2,H1709))))</f>
        <v>58</v>
      </c>
      <c r="AU1709" s="50" t="n">
        <f aca="false">AT1709*G1709</f>
        <v>215.76</v>
      </c>
      <c r="AV1709" s="50" t="n">
        <f aca="false">ROUNDUP(CK1709+MAX(CL1709,2*(J1709/IF(CG1709&gt;0,CG1709,MAX(0.1,N(Cockpit!$I$6)))-CK1709)),0)</f>
        <v>1</v>
      </c>
      <c r="AW1709" s="51" t="n">
        <f aca="false">IF(AS1709&gt;0,J1709/AS1709,-1)</f>
        <v>0</v>
      </c>
      <c r="AX1709" s="51" t="n">
        <f aca="false">IF(AND(OR(CF1709="L1",CF1709="L23",CF1709="LIFT"),AS1709&gt;0),SUMIFS($AS$7:$AS$1843,$CF$7:$CF$1843,CF1709,$AW$7:$AW$1843,"&gt;"&amp;AW1709)+SUMIFS($AS$7:$AS$1843,$CF$7:$CF$1843,CF1709,$AW$7:$AW$1843,AW1709,$BW$7:$BW$1843,"&lt;="&amp;BW1709),"")</f>
        <v>39295.3458149666</v>
      </c>
      <c r="AY1709" s="58" t="n">
        <f aca="false">IF(AX1709="",0,MAX(0,MIN(1,(IF(CF1709="L1",Parameter!$H$5,IF(CF1709="L23",Parameter!$H$6+Parameter!$H$7,Parameter!$H$5+Parameter!$H$6+Parameter!$H$7))-(AX1709-AS1709))/AS1709)))</f>
        <v>0</v>
      </c>
      <c r="AZ1709" s="50" t="n">
        <f aca="false">IF(LEFT(Cockpit!$O$5,1)="A",H1709,IF(Parameter!$E$30="MAX-Bestand",IF(CH1709=1,CI1709,IF(LEFT(Cockpit!$O$5,1)="B",BF1709,MAX(BF1709,H1709))),ROUNDUP(BD1709,0)))</f>
        <v>1</v>
      </c>
      <c r="BA1709" s="50" t="n">
        <f aca="false">IF(BZ1709=1,0,ROUNDUP(AZ1709/BY1709,0))</f>
        <v>1</v>
      </c>
      <c r="BB1709" s="52" t="n">
        <f aca="false">IF(CQ1709&gt;0,CQ1709*MAX(1,AZ1709/X1709),IF(BZ1709=1,IF(AZ1709&lt;=0,0,CD1709*MAX(1,IF(H1709&gt;0,AZ1709/H1709,1))),IF(R1709&gt;0,BA1709/R1709,0))/MAX(0.1,N(Parameter!$M$21)))</f>
        <v>0.00714285714285714</v>
      </c>
      <c r="BC1709" s="50" t="n">
        <f aca="false">BB1709*CB1709</f>
        <v>1.10714285714286</v>
      </c>
      <c r="BD1709" s="51" t="n">
        <f aca="false">IF(LEFT(Cockpit!$O$5,1)="A",H1709,IF(CH1709=1,(CK1709+CI1709)/2,IF(LEFT(Cockpit!$O$5,1)="B",(CK1709+BF1709)/2,MAX((CK1709+BF1709)/2,H1709))))</f>
        <v>0.5</v>
      </c>
      <c r="BE1709" s="50" t="n">
        <f aca="false">BD1709*G1709</f>
        <v>1.86</v>
      </c>
      <c r="BF1709" s="50" t="n">
        <f aca="false">ROUNDUP(CK1709+MAX(CL1709,2*(J1709/IF(CG1709&gt;0,CG1709,MAX(0.1,N(Cockpit!$O$6)))-CK1709)),0)</f>
        <v>1</v>
      </c>
      <c r="BG1709" s="51" t="n">
        <f aca="false">IF(BC1709&gt;0,J1709/BC1709,-1)</f>
        <v>0</v>
      </c>
      <c r="BH1709" s="51" t="n">
        <f aca="false">IF(AND(OR(CF1709="L1",CF1709="L23",CF1709="LIFT"),BC1709&gt;0),SUMIFS($BC$7:$BC$1843,$CF$7:$CF$1843,CF1709,$BG$7:$BG$1843,"&gt;"&amp;BG1709)+SUMIFS($BC$7:$BC$1843,$CF$7:$CF$1843,CF1709,$BG$7:$BG$1843,BG1709,$BW$7:$BW$1843,"&lt;="&amp;BW1709),"")</f>
        <v>32528.1190502059</v>
      </c>
      <c r="BI1709" s="58" t="n">
        <f aca="false">IF(BH1709="",0,MAX(0,MIN(1,(IF(CF1709="L1",Parameter!$H$5,IF(CF1709="L23",Parameter!$H$6+Parameter!$H$7,Parameter!$H$5+Parameter!$H$6+Parameter!$H$7))-(BH1709-BC1709))/BC1709)))</f>
        <v>1</v>
      </c>
      <c r="BJ1709" s="48" t="str">
        <f aca="false">IF(AI1709&lt;=0,"",IF(CF1709="Aussen","Aussenlager",IF(CF1709="-","Nicht im Lift",IF(AO1709&gt;=1,"Lift",IF(AO1709&lt;=0,"Aussenlager","teilweise")))))</f>
        <v>Lift</v>
      </c>
      <c r="BK1709" s="48" t="str">
        <f aca="false">IF(AS1709&lt;=0,"",IF(CF1709="Aussen","Aussenlager",IF(CF1709="-","Nicht im Lift",IF(AY1709&gt;=1,"Lift",IF(AY1709&lt;=0,"Aussenlager","teilweise")))))</f>
        <v>Aussenlager</v>
      </c>
      <c r="BL1709" s="48" t="str">
        <f aca="false">IF(BC1709&lt;=0,"",IF(CF1709="Aussen","Aussenlager",IF(CF1709="-","Nicht im Lift",IF(BI1709&gt;=1,"Lift",IF(BI1709&lt;=0,"Aussenlager","teilweise")))))</f>
        <v>Lift</v>
      </c>
      <c r="BM1709" s="48" t="str">
        <f aca="false">IF(A1709="","",IF(BV1709=1,"Neu; ","")&amp;IF(AND(BV1709=0,BQ1709&lt;0),"negativer Bestand (Export "&amp;BQ1709&amp;"); ","")&amp;IF(J1709&lt;=0,"Kein Verbrauch; ","")&amp;IF(CQ1709&gt;0,"Lift "&amp;W1709&amp;" lt. Liftbericht (Fach "&amp;X1709&amp;" Stk); ",IF(CA1709=1,"Gebinde geschätzt ("&amp;T1709&amp;"); ",IF(BZ1709=1,"Lose – Tablare geschätzt; ","")))&amp;IF(H1709&gt;AV1709,"Überbestand "&amp;ROUND(H1709-AV1709,0)&amp;" Stk / CHF "&amp;ROUND((H1709-AV1709)*G1709,0)&amp;"; ","")&amp;IF(AND(CH1709=1,CI1709&lt;CJ1709),"MAX &lt; MB+LG; ","")&amp;IF(AND(CP1709&gt;0,CO1709*10&gt;CP1709),"zu hoch für Tablar; ","")&amp;IF(AND(BV1709=0,OR(CH1709=1,AA1709&lt;&gt;"",U1709&lt;&gt;"",V1709&lt;&gt;"",AB1709&lt;&gt;"")),"manuell übersteuert; ","")&amp;IF(AND(BZ1709=0,R1709=0),"Gebinde unbekannt / Stellmass fehlt; ","")&amp;IF(AND(BZ1709=0,N(V1709)&lt;=0,N(Q1709)&lt;=0),"Menge pro Gebinde fehlt (Ist = 1 Gebinde); ","")&amp;BU1709)</f>
        <v>Kein Verbrauch; Überbestand 57 Stk / CHF 212; nur im Artikelstamm (Bestand 23.06.2026)</v>
      </c>
      <c r="BN1709" s="48"/>
      <c r="BO1709" s="48"/>
      <c r="BP1709" s="55"/>
      <c r="BQ1709" s="50" t="n">
        <v>58</v>
      </c>
      <c r="BR1709" s="50" t="n">
        <v>0</v>
      </c>
      <c r="BS1709" s="49" t="n">
        <v>0</v>
      </c>
      <c r="BT1709" s="50" t="n">
        <v>0</v>
      </c>
      <c r="BU1709" s="48" t="s">
        <v>2584</v>
      </c>
      <c r="BV1709" s="53" t="n">
        <v>0</v>
      </c>
      <c r="BW1709" s="53" t="n">
        <v>1709</v>
      </c>
      <c r="BX1709" s="48" t="str">
        <f aca="false">IF(U1709&lt;&gt;"",UPPER(TRIM(U1709)),IF(CA1709=1,UPPER(VLOOKUP(T1709,Parameter!$I$27:$K$29,2,0)),IF(P1709="","LOSE",P1709)))</f>
        <v>S22</v>
      </c>
      <c r="BY1709" s="50" t="n">
        <f aca="false">IF(BX1709="LOSE",1,IF(N(V1709)&gt;0,V1709,IF(CA1709=1,MAX(1,N(VLOOKUP(T1709,Parameter!$I$27:$K$29,3,0)),H1709,N(N1709)),IF(N(Q1709)&gt;0,Q1709,MAX(1,H1709)))))</f>
        <v>30</v>
      </c>
      <c r="BZ1709" s="53" t="n">
        <f aca="false">IF(BX1709="LOSE",1,0)</f>
        <v>0</v>
      </c>
      <c r="CA1709" s="53" t="n">
        <f aca="false">IF(AND(U1709="",OR(P1709="",P1709="LOSE"),T1709&lt;&gt;"",N(S1709)&lt;=0,ISNUMBER(MATCH(T1709,Parameter!$I$27:$I$29,0))),1,0)</f>
        <v>0</v>
      </c>
      <c r="CB1709" s="53" t="n">
        <f aca="false">IF(CQ1709&gt;0,INDEX(Parameter!$H$5:$H$7,W1709)/INDEX(Parameter!$E$5:$E$7,W1709),IF(AND(BZ1709=0,N(IFERROR(VLOOKUP(BX1709,'Gebinde-Kategorie'!$A$5:$N$45,14,0),0))&gt;0),VLOOKUP(BX1709,'Gebinde-Kategorie'!$A$5:$N$45,14,0)*10+Parameter!$M$23,Parameter!$M$24))</f>
        <v>155</v>
      </c>
      <c r="CC1709" s="48" t="str">
        <f aca="false">IF(AND(Parameter!$B$19="Ja",E1709&lt;&gt;"",ISNUMBER(MATCH(E1709,Parameter!$I$35:$I$52,0))),VLOOKUP(E1709,Parameter!$I$35:$J$52,2,0),IFERROR(VLOOKUP(D1709,Parameter!$A$35:$C$64,2,0),"Nein"))</f>
        <v>2+3</v>
      </c>
      <c r="CD1709" s="52" t="n">
        <f aca="false">IF(BZ1709=0,0,IF(N(S1709)&gt;0,S1709,IFERROR(VLOOKUP(D1709,Parameter!$A$35:$C$64,3,0)+0,0)))</f>
        <v>0</v>
      </c>
      <c r="CE1709" s="48" t="n">
        <f aca="false">IF(AA1709&lt;&gt;"",AA1709,Z1709)</f>
        <v>3</v>
      </c>
      <c r="CF1709" s="48" t="str">
        <f aca="false">IF(OR(CE1709=1,CE1709=2,CE1709=3),IF(Parameter!$E$27="Ja","LIFT",IF(CE1709=1,"L1","L23")),IF(CE1709="Aussen","Aussen","-"))</f>
        <v>LIFT</v>
      </c>
      <c r="CG1709" s="59" t="n">
        <f aca="false">IF(N(AB1709)&gt;0,AB1709,0)</f>
        <v>0</v>
      </c>
      <c r="CH1709" s="53" t="n">
        <f aca="false">IF(ISNUMBER(AE1709),1,0)</f>
        <v>0</v>
      </c>
      <c r="CI1709" s="50" t="n">
        <f aca="false">N(AE1709)</f>
        <v>0</v>
      </c>
      <c r="CJ1709" s="50" t="n">
        <f aca="false">N(M1709)+N(N1709)</f>
        <v>1</v>
      </c>
      <c r="CK1709" s="50" t="n">
        <f aca="false">N(M1709)</f>
        <v>0</v>
      </c>
      <c r="CL1709" s="50" t="n">
        <f aca="false">N(N1709)</f>
        <v>1</v>
      </c>
      <c r="CM1709" s="50" t="n">
        <f aca="false">ROUNDUP(H1709/BY1709,0)</f>
        <v>2</v>
      </c>
      <c r="CN1709" s="50" t="n">
        <f aca="false">ROUNDUP(CI1709/BY1709,0)</f>
        <v>0</v>
      </c>
      <c r="CO1709" s="53" t="n">
        <f aca="false">IF(BZ1709=1,0,IFERROR(VLOOKUP(BX1709,'Gebinde-Kategorie'!$A$5:$N$45,5,0)+0,0))</f>
        <v>8</v>
      </c>
      <c r="CP1709" s="53" t="n">
        <f aca="false">IFERROR(IF(OR(CE1709=1,CE1709=2,CE1709=3),N(INDEX(Parameter!$I$5:$I$7,CE1709)),0),0)</f>
        <v>0</v>
      </c>
      <c r="CQ1709" s="52" t="n">
        <f aca="false">IF(AND(Parameter!$B$21="Ja",ISNUMBER(W1709),N(X1709)&gt;0),IFERROR(N(INDEX(Parameter!$L$5:$L$7,W1709))*INDEX(Parameter!$E$5:$E$7,W1709)*X1709/SUMIFS($X$7:$X$1843,$W$7:$W$1843,W1709),0),0)</f>
        <v>0</v>
      </c>
    </row>
    <row r="1710" customFormat="false" ht="15" hidden="false" customHeight="false" outlineLevel="0" collapsed="false">
      <c r="A1710" s="48" t="s">
        <v>2967</v>
      </c>
      <c r="B1710" s="48" t="s">
        <v>2968</v>
      </c>
      <c r="C1710" s="48" t="s">
        <v>173</v>
      </c>
      <c r="D1710" s="48" t="s">
        <v>193</v>
      </c>
      <c r="E1710" s="48"/>
      <c r="F1710" s="48"/>
      <c r="G1710" s="49" t="n">
        <v>36.4</v>
      </c>
      <c r="H1710" s="50" t="n">
        <f aca="false">MAX(0,IF(AND(Parameter!$B$21="Ja",ISNUMBER(Y1710)),Y1710,IF(Parameter!$B$20="Jahresanfang 2025 + Export",BR1710+BQ1710,BQ1710)))</f>
        <v>1</v>
      </c>
      <c r="I1710" s="50" t="n">
        <f aca="false">H1710*G1710</f>
        <v>36.4</v>
      </c>
      <c r="J1710" s="50" t="n">
        <f aca="false">BT1710*Parameter!$B$18</f>
        <v>0</v>
      </c>
      <c r="K1710" s="51"/>
      <c r="L1710" s="52"/>
      <c r="M1710" s="50" t="n">
        <v>0</v>
      </c>
      <c r="N1710" s="50" t="n">
        <v>6</v>
      </c>
      <c r="O1710" s="53" t="n">
        <v>0</v>
      </c>
      <c r="P1710" s="48" t="s">
        <v>435</v>
      </c>
      <c r="Q1710" s="50" t="n">
        <v>2</v>
      </c>
      <c r="R1710" s="53" t="n">
        <f aca="false">IF(BZ1710=1,0,IFERROR(VLOOKUP(BX1710,'Gebinde-Kategorie'!$A$5:$N$45,13,0)+0,0))</f>
        <v>140</v>
      </c>
      <c r="S1710" s="54"/>
      <c r="T1710" s="55"/>
      <c r="U1710" s="55"/>
      <c r="V1710" s="55"/>
      <c r="W1710" s="48"/>
      <c r="X1710" s="50"/>
      <c r="Y1710" s="50"/>
      <c r="Z1710" s="48" t="n">
        <f aca="false">IF(A1710="","",IF(AND(Parameter!$B$21="Ja",ISNUMBER(W1710)),W1710,IF(CC1710="2+3",IF(ISNUMBER(SEARCH("grosser Artikel",BU1710)),2,IFERROR(VLOOKUP(BX1710,Parameter!$F$35:$G$64,2,0),2)),IF(OR(CC1710="Nein",CC1710=""),"-",CC1710))))</f>
        <v>3</v>
      </c>
      <c r="AA1710" s="55"/>
      <c r="AB1710" s="56"/>
      <c r="AC1710" s="50" t="n">
        <f aca="false">AV1710</f>
        <v>6</v>
      </c>
      <c r="AD1710" s="50" t="n">
        <f aca="false">MAX(AV1710,H1710)</f>
        <v>6</v>
      </c>
      <c r="AE1710" s="57"/>
      <c r="AF1710" s="50" t="n">
        <f aca="false">IF(LEFT(Cockpit!$C$5,1)="A",H1710,IF(Parameter!$E$30="MAX-Bestand",IF(CH1710=1,CI1710,IF(LEFT(Cockpit!$C$5,1)="B",AL1710,MAX(AL1710,H1710))),ROUNDUP(AJ1710,0)))</f>
        <v>1</v>
      </c>
      <c r="AG1710" s="50" t="n">
        <f aca="false">IF(BZ1710=1,0,ROUNDUP(AF1710/BY1710,0))</f>
        <v>1</v>
      </c>
      <c r="AH1710" s="52" t="n">
        <f aca="false">IF(CQ1710&gt;0,CQ1710*MAX(1,AF1710/X1710),IF(BZ1710=1,IF(AF1710&lt;=0,0,CD1710*MAX(1,IF(H1710&gt;0,AF1710/H1710,1))),IF(R1710&gt;0,AG1710/R1710,0))/MAX(0.1,N(Parameter!$M$21)))</f>
        <v>0.00714285714285714</v>
      </c>
      <c r="AI1710" s="50" t="n">
        <f aca="false">AH1710*CB1710</f>
        <v>1.10714285714286</v>
      </c>
      <c r="AJ1710" s="51" t="n">
        <f aca="false">IF(LEFT(Cockpit!$C$5,1)="A",H1710,IF(CH1710=1,(CK1710+CI1710)/2,IF(LEFT(Cockpit!$C$5,1)="B",(CK1710+AL1710)/2,MAX((CK1710+AL1710)/2,H1710))))</f>
        <v>1</v>
      </c>
      <c r="AK1710" s="50" t="n">
        <f aca="false">AJ1710*G1710</f>
        <v>36.4</v>
      </c>
      <c r="AL1710" s="50" t="n">
        <f aca="false">ROUNDUP(CK1710+MAX(CL1710,2*(J1710/IF(CG1710&gt;0,CG1710,MAX(0.1,N(Cockpit!$C$6)))-CK1710)),0)</f>
        <v>6</v>
      </c>
      <c r="AM1710" s="51" t="n">
        <f aca="false">IF(AI1710&gt;0,J1710/AI1710,-1)</f>
        <v>0</v>
      </c>
      <c r="AN1710" s="51" t="n">
        <f aca="false">IF(AND(OR(CF1710="L1",CF1710="L23",CF1710="LIFT"),AI1710&gt;0),SUMIFS($AI$7:$AI$1843,$CF$7:$CF$1843,CF1710,$AM$7:$AM$1843,"&gt;"&amp;AM1710)+SUMIFS($AI$7:$AI$1843,$CF$7:$CF$1843,CF1710,$AM$7:$AM$1843,AM1710,$BW$7:$BW$1843,"&lt;="&amp;BW1710),"")</f>
        <v>32824.2047272407</v>
      </c>
      <c r="AO1710" s="58" t="n">
        <f aca="false">IF(AN1710="",0,MAX(0,MIN(1,(IF(CF1710="L1",Parameter!$H$5,IF(CF1710="L23",Parameter!$H$6+Parameter!$H$7,Parameter!$H$5+Parameter!$H$6+Parameter!$H$7))-(AN1710-AI1710))/AI1710)))</f>
        <v>1</v>
      </c>
      <c r="AP1710" s="50" t="n">
        <f aca="false">IF(LEFT(Cockpit!$I$5,1)="A",H1710,IF(Parameter!$E$30="MAX-Bestand",IF(CH1710=1,CI1710,IF(LEFT(Cockpit!$I$5,1)="B",AV1710,MAX(AV1710,H1710))),ROUNDUP(AT1710,0)))</f>
        <v>3</v>
      </c>
      <c r="AQ1710" s="50" t="n">
        <f aca="false">IF(BZ1710=1,0,ROUNDUP(AP1710/BY1710,0))</f>
        <v>2</v>
      </c>
      <c r="AR1710" s="52" t="n">
        <f aca="false">IF(CQ1710&gt;0,CQ1710*MAX(1,AP1710/X1710),IF(BZ1710=1,IF(AP1710&lt;=0,0,CD1710*MAX(1,IF(H1710&gt;0,AP1710/H1710,1))),IF(R1710&gt;0,AQ1710/R1710,0))/MAX(0.1,N(Parameter!$M$21)))</f>
        <v>0.0142857142857143</v>
      </c>
      <c r="AS1710" s="50" t="n">
        <f aca="false">AR1710*CB1710</f>
        <v>2.21428571428571</v>
      </c>
      <c r="AT1710" s="51" t="n">
        <f aca="false">IF(LEFT(Cockpit!$I$5,1)="A",H1710,IF(CH1710=1,(CK1710+CI1710)/2,IF(LEFT(Cockpit!$I$5,1)="B",(CK1710+AV1710)/2,MAX((CK1710+AV1710)/2,H1710))))</f>
        <v>3</v>
      </c>
      <c r="AU1710" s="50" t="n">
        <f aca="false">AT1710*G1710</f>
        <v>109.2</v>
      </c>
      <c r="AV1710" s="50" t="n">
        <f aca="false">ROUNDUP(CK1710+MAX(CL1710,2*(J1710/IF(CG1710&gt;0,CG1710,MAX(0.1,N(Cockpit!$I$6)))-CK1710)),0)</f>
        <v>6</v>
      </c>
      <c r="AW1710" s="51" t="n">
        <f aca="false">IF(AS1710&gt;0,J1710/AS1710,-1)</f>
        <v>0</v>
      </c>
      <c r="AX1710" s="51" t="n">
        <f aca="false">IF(AND(OR(CF1710="L1",CF1710="L23",CF1710="LIFT"),AS1710&gt;0),SUMIFS($AS$7:$AS$1843,$CF$7:$CF$1843,CF1710,$AW$7:$AW$1843,"&gt;"&amp;AW1710)+SUMIFS($AS$7:$AS$1843,$CF$7:$CF$1843,CF1710,$AW$7:$AW$1843,AW1710,$BW$7:$BW$1843,"&lt;="&amp;BW1710),"")</f>
        <v>39297.5601006809</v>
      </c>
      <c r="AY1710" s="58" t="n">
        <f aca="false">IF(AX1710="",0,MAX(0,MIN(1,(IF(CF1710="L1",Parameter!$H$5,IF(CF1710="L23",Parameter!$H$6+Parameter!$H$7,Parameter!$H$5+Parameter!$H$6+Parameter!$H$7))-(AX1710-AS1710))/AS1710)))</f>
        <v>0</v>
      </c>
      <c r="AZ1710" s="50" t="n">
        <f aca="false">IF(LEFT(Cockpit!$O$5,1)="A",H1710,IF(Parameter!$E$30="MAX-Bestand",IF(CH1710=1,CI1710,IF(LEFT(Cockpit!$O$5,1)="B",BF1710,MAX(BF1710,H1710))),ROUNDUP(BD1710,0)))</f>
        <v>3</v>
      </c>
      <c r="BA1710" s="50" t="n">
        <f aca="false">IF(BZ1710=1,0,ROUNDUP(AZ1710/BY1710,0))</f>
        <v>2</v>
      </c>
      <c r="BB1710" s="52" t="n">
        <f aca="false">IF(CQ1710&gt;0,CQ1710*MAX(1,AZ1710/X1710),IF(BZ1710=1,IF(AZ1710&lt;=0,0,CD1710*MAX(1,IF(H1710&gt;0,AZ1710/H1710,1))),IF(R1710&gt;0,BA1710/R1710,0))/MAX(0.1,N(Parameter!$M$21)))</f>
        <v>0.0142857142857143</v>
      </c>
      <c r="BC1710" s="50" t="n">
        <f aca="false">BB1710*CB1710</f>
        <v>2.21428571428571</v>
      </c>
      <c r="BD1710" s="51" t="n">
        <f aca="false">IF(LEFT(Cockpit!$O$5,1)="A",H1710,IF(CH1710=1,(CK1710+CI1710)/2,IF(LEFT(Cockpit!$O$5,1)="B",(CK1710+BF1710)/2,MAX((CK1710+BF1710)/2,H1710))))</f>
        <v>3</v>
      </c>
      <c r="BE1710" s="50" t="n">
        <f aca="false">BD1710*G1710</f>
        <v>109.2</v>
      </c>
      <c r="BF1710" s="50" t="n">
        <f aca="false">ROUNDUP(CK1710+MAX(CL1710,2*(J1710/IF(CG1710&gt;0,CG1710,MAX(0.1,N(Cockpit!$O$6)))-CK1710)),0)</f>
        <v>6</v>
      </c>
      <c r="BG1710" s="51" t="n">
        <f aca="false">IF(BC1710&gt;0,J1710/BC1710,-1)</f>
        <v>0</v>
      </c>
      <c r="BH1710" s="51" t="n">
        <f aca="false">IF(AND(OR(CF1710="L1",CF1710="L23",CF1710="LIFT"),BC1710&gt;0),SUMIFS($BC$7:$BC$1843,$CF$7:$CF$1843,CF1710,$BG$7:$BG$1843,"&gt;"&amp;BG1710)+SUMIFS($BC$7:$BC$1843,$CF$7:$CF$1843,CF1710,$BG$7:$BG$1843,BG1710,$BW$7:$BW$1843,"&lt;="&amp;BW1710),"")</f>
        <v>32530.3333359202</v>
      </c>
      <c r="BI1710" s="58" t="n">
        <f aca="false">IF(BH1710="",0,MAX(0,MIN(1,(IF(CF1710="L1",Parameter!$H$5,IF(CF1710="L23",Parameter!$H$6+Parameter!$H$7,Parameter!$H$5+Parameter!$H$6+Parameter!$H$7))-(BH1710-BC1710))/BC1710)))</f>
        <v>1</v>
      </c>
      <c r="BJ1710" s="48" t="str">
        <f aca="false">IF(AI1710&lt;=0,"",IF(CF1710="Aussen","Aussenlager",IF(CF1710="-","Nicht im Lift",IF(AO1710&gt;=1,"Lift",IF(AO1710&lt;=0,"Aussenlager","teilweise")))))</f>
        <v>Lift</v>
      </c>
      <c r="BK1710" s="48" t="str">
        <f aca="false">IF(AS1710&lt;=0,"",IF(CF1710="Aussen","Aussenlager",IF(CF1710="-","Nicht im Lift",IF(AY1710&gt;=1,"Lift",IF(AY1710&lt;=0,"Aussenlager","teilweise")))))</f>
        <v>Aussenlager</v>
      </c>
      <c r="BL1710" s="48" t="str">
        <f aca="false">IF(BC1710&lt;=0,"",IF(CF1710="Aussen","Aussenlager",IF(CF1710="-","Nicht im Lift",IF(BI1710&gt;=1,"Lift",IF(BI1710&lt;=0,"Aussenlager","teilweise")))))</f>
        <v>Lift</v>
      </c>
      <c r="BM1710" s="48" t="str">
        <f aca="false">IF(A1710="","",IF(BV1710=1,"Neu; ","")&amp;IF(AND(BV1710=0,BQ1710&lt;0),"negativer Bestand (Export "&amp;BQ1710&amp;"); ","")&amp;IF(J1710&lt;=0,"Kein Verbrauch; ","")&amp;IF(CQ1710&gt;0,"Lift "&amp;W1710&amp;" lt. Liftbericht (Fach "&amp;X1710&amp;" Stk); ",IF(CA1710=1,"Gebinde geschätzt ("&amp;T1710&amp;"); ",IF(BZ1710=1,"Lose – Tablare geschätzt; ","")))&amp;IF(H1710&gt;AV1710,"Überbestand "&amp;ROUND(H1710-AV1710,0)&amp;" Stk / CHF "&amp;ROUND((H1710-AV1710)*G1710,0)&amp;"; ","")&amp;IF(AND(CH1710=1,CI1710&lt;CJ1710),"MAX &lt; MB+LG; ","")&amp;IF(AND(CP1710&gt;0,CO1710*10&gt;CP1710),"zu hoch für Tablar; ","")&amp;IF(AND(BV1710=0,OR(CH1710=1,AA1710&lt;&gt;"",U1710&lt;&gt;"",V1710&lt;&gt;"",AB1710&lt;&gt;"")),"manuell übersteuert; ","")&amp;IF(AND(BZ1710=0,R1710=0),"Gebinde unbekannt / Stellmass fehlt; ","")&amp;IF(AND(BZ1710=0,N(V1710)&lt;=0,N(Q1710)&lt;=0),"Menge pro Gebinde fehlt (Ist = 1 Gebinde); ","")&amp;BU1710)</f>
        <v>Kein Verbrauch; nur im Artikelstamm (Bestand 23.06.2026); i.o</v>
      </c>
      <c r="BN1710" s="48"/>
      <c r="BO1710" s="48"/>
      <c r="BP1710" s="55"/>
      <c r="BQ1710" s="50" t="n">
        <v>1</v>
      </c>
      <c r="BR1710" s="50" t="n">
        <v>0</v>
      </c>
      <c r="BS1710" s="49" t="n">
        <v>0</v>
      </c>
      <c r="BT1710" s="50" t="n">
        <v>0</v>
      </c>
      <c r="BU1710" s="48" t="s">
        <v>2969</v>
      </c>
      <c r="BV1710" s="53" t="n">
        <v>0</v>
      </c>
      <c r="BW1710" s="53" t="n">
        <v>1710</v>
      </c>
      <c r="BX1710" s="48" t="str">
        <f aca="false">IF(U1710&lt;&gt;"",UPPER(TRIM(U1710)),IF(CA1710=1,UPPER(VLOOKUP(T1710,Parameter!$I$27:$K$29,2,0)),IF(P1710="","LOSE",P1710)))</f>
        <v>S22</v>
      </c>
      <c r="BY1710" s="50" t="n">
        <f aca="false">IF(BX1710="LOSE",1,IF(N(V1710)&gt;0,V1710,IF(CA1710=1,MAX(1,N(VLOOKUP(T1710,Parameter!$I$27:$K$29,3,0)),H1710,N(N1710)),IF(N(Q1710)&gt;0,Q1710,MAX(1,H1710)))))</f>
        <v>2</v>
      </c>
      <c r="BZ1710" s="53" t="n">
        <f aca="false">IF(BX1710="LOSE",1,0)</f>
        <v>0</v>
      </c>
      <c r="CA1710" s="53" t="n">
        <f aca="false">IF(AND(U1710="",OR(P1710="",P1710="LOSE"),T1710&lt;&gt;"",N(S1710)&lt;=0,ISNUMBER(MATCH(T1710,Parameter!$I$27:$I$29,0))),1,0)</f>
        <v>0</v>
      </c>
      <c r="CB1710" s="53" t="n">
        <f aca="false">IF(CQ1710&gt;0,INDEX(Parameter!$H$5:$H$7,W1710)/INDEX(Parameter!$E$5:$E$7,W1710),IF(AND(BZ1710=0,N(IFERROR(VLOOKUP(BX1710,'Gebinde-Kategorie'!$A$5:$N$45,14,0),0))&gt;0),VLOOKUP(BX1710,'Gebinde-Kategorie'!$A$5:$N$45,14,0)*10+Parameter!$M$23,Parameter!$M$24))</f>
        <v>155</v>
      </c>
      <c r="CC1710" s="48" t="str">
        <f aca="false">IF(AND(Parameter!$B$19="Ja",E1710&lt;&gt;"",ISNUMBER(MATCH(E1710,Parameter!$I$35:$I$52,0))),VLOOKUP(E1710,Parameter!$I$35:$J$52,2,0),IFERROR(VLOOKUP(D1710,Parameter!$A$35:$C$64,2,0),"Nein"))</f>
        <v>2+3</v>
      </c>
      <c r="CD1710" s="52" t="n">
        <f aca="false">IF(BZ1710=0,0,IF(N(S1710)&gt;0,S1710,IFERROR(VLOOKUP(D1710,Parameter!$A$35:$C$64,3,0)+0,0)))</f>
        <v>0</v>
      </c>
      <c r="CE1710" s="48" t="n">
        <f aca="false">IF(AA1710&lt;&gt;"",AA1710,Z1710)</f>
        <v>3</v>
      </c>
      <c r="CF1710" s="48" t="str">
        <f aca="false">IF(OR(CE1710=1,CE1710=2,CE1710=3),IF(Parameter!$E$27="Ja","LIFT",IF(CE1710=1,"L1","L23")),IF(CE1710="Aussen","Aussen","-"))</f>
        <v>LIFT</v>
      </c>
      <c r="CG1710" s="59" t="n">
        <f aca="false">IF(N(AB1710)&gt;0,AB1710,0)</f>
        <v>0</v>
      </c>
      <c r="CH1710" s="53" t="n">
        <f aca="false">IF(ISNUMBER(AE1710),1,0)</f>
        <v>0</v>
      </c>
      <c r="CI1710" s="50" t="n">
        <f aca="false">N(AE1710)</f>
        <v>0</v>
      </c>
      <c r="CJ1710" s="50" t="n">
        <f aca="false">N(M1710)+N(N1710)</f>
        <v>6</v>
      </c>
      <c r="CK1710" s="50" t="n">
        <f aca="false">N(M1710)</f>
        <v>0</v>
      </c>
      <c r="CL1710" s="50" t="n">
        <f aca="false">N(N1710)</f>
        <v>6</v>
      </c>
      <c r="CM1710" s="50" t="n">
        <f aca="false">ROUNDUP(H1710/BY1710,0)</f>
        <v>1</v>
      </c>
      <c r="CN1710" s="50" t="n">
        <f aca="false">ROUNDUP(CI1710/BY1710,0)</f>
        <v>0</v>
      </c>
      <c r="CO1710" s="53" t="n">
        <f aca="false">IF(BZ1710=1,0,IFERROR(VLOOKUP(BX1710,'Gebinde-Kategorie'!$A$5:$N$45,5,0)+0,0))</f>
        <v>8</v>
      </c>
      <c r="CP1710" s="53" t="n">
        <f aca="false">IFERROR(IF(OR(CE1710=1,CE1710=2,CE1710=3),N(INDEX(Parameter!$I$5:$I$7,CE1710)),0),0)</f>
        <v>0</v>
      </c>
      <c r="CQ1710" s="52" t="n">
        <f aca="false">IF(AND(Parameter!$B$21="Ja",ISNUMBER(W1710),N(X1710)&gt;0),IFERROR(N(INDEX(Parameter!$L$5:$L$7,W1710))*INDEX(Parameter!$E$5:$E$7,W1710)*X1710/SUMIFS($X$7:$X$1843,$W$7:$W$1843,W1710),0),0)</f>
        <v>0</v>
      </c>
    </row>
    <row r="1711" customFormat="false" ht="15" hidden="false" customHeight="false" outlineLevel="0" collapsed="false">
      <c r="A1711" s="48" t="s">
        <v>2970</v>
      </c>
      <c r="B1711" s="48" t="s">
        <v>2971</v>
      </c>
      <c r="C1711" s="48" t="s">
        <v>173</v>
      </c>
      <c r="D1711" s="48" t="s">
        <v>193</v>
      </c>
      <c r="E1711" s="48"/>
      <c r="F1711" s="48"/>
      <c r="G1711" s="49" t="n">
        <v>85.5</v>
      </c>
      <c r="H1711" s="50" t="n">
        <f aca="false">MAX(0,IF(AND(Parameter!$B$21="Ja",ISNUMBER(Y1711)),Y1711,IF(Parameter!$B$20="Jahresanfang 2025 + Export",BR1711+BQ1711,BQ1711)))</f>
        <v>22</v>
      </c>
      <c r="I1711" s="50" t="n">
        <f aca="false">H1711*G1711</f>
        <v>1881</v>
      </c>
      <c r="J1711" s="50" t="n">
        <f aca="false">BT1711*Parameter!$B$18</f>
        <v>0</v>
      </c>
      <c r="K1711" s="51"/>
      <c r="L1711" s="52"/>
      <c r="M1711" s="50" t="n">
        <v>0</v>
      </c>
      <c r="N1711" s="50" t="n">
        <v>3</v>
      </c>
      <c r="O1711" s="53" t="n">
        <v>14</v>
      </c>
      <c r="P1711" s="48" t="s">
        <v>430</v>
      </c>
      <c r="Q1711" s="50" t="n">
        <v>22</v>
      </c>
      <c r="R1711" s="53" t="n">
        <f aca="false">IF(BZ1711=1,0,IFERROR(VLOOKUP(BX1711,'Gebinde-Kategorie'!$A$5:$N$45,13,0)+0,0))</f>
        <v>104</v>
      </c>
      <c r="S1711" s="54"/>
      <c r="T1711" s="55"/>
      <c r="U1711" s="55"/>
      <c r="V1711" s="55"/>
      <c r="W1711" s="48"/>
      <c r="X1711" s="50"/>
      <c r="Y1711" s="50"/>
      <c r="Z1711" s="48" t="n">
        <f aca="false">IF(A1711="","",IF(AND(Parameter!$B$21="Ja",ISNUMBER(W1711)),W1711,IF(CC1711="2+3",IF(ISNUMBER(SEARCH("grosser Artikel",BU1711)),2,IFERROR(VLOOKUP(BX1711,Parameter!$F$35:$G$64,2,0),2)),IF(OR(CC1711="Nein",CC1711=""),"-",CC1711))))</f>
        <v>3</v>
      </c>
      <c r="AA1711" s="55"/>
      <c r="AB1711" s="56"/>
      <c r="AC1711" s="50" t="n">
        <f aca="false">AV1711</f>
        <v>3</v>
      </c>
      <c r="AD1711" s="50" t="n">
        <f aca="false">MAX(AV1711,H1711)</f>
        <v>22</v>
      </c>
      <c r="AE1711" s="57"/>
      <c r="AF1711" s="50" t="n">
        <f aca="false">IF(LEFT(Cockpit!$C$5,1)="A",H1711,IF(Parameter!$E$30="MAX-Bestand",IF(CH1711=1,CI1711,IF(LEFT(Cockpit!$C$5,1)="B",AL1711,MAX(AL1711,H1711))),ROUNDUP(AJ1711,0)))</f>
        <v>22</v>
      </c>
      <c r="AG1711" s="50" t="n">
        <f aca="false">IF(BZ1711=1,0,ROUNDUP(AF1711/BY1711,0))</f>
        <v>1</v>
      </c>
      <c r="AH1711" s="52" t="n">
        <f aca="false">IF(CQ1711&gt;0,CQ1711*MAX(1,AF1711/X1711),IF(BZ1711=1,IF(AF1711&lt;=0,0,CD1711*MAX(1,IF(H1711&gt;0,AF1711/H1711,1))),IF(R1711&gt;0,AG1711/R1711,0))/MAX(0.1,N(Parameter!$M$21)))</f>
        <v>0.00961538461538462</v>
      </c>
      <c r="AI1711" s="50" t="n">
        <f aca="false">AH1711*CB1711</f>
        <v>1.49038461538462</v>
      </c>
      <c r="AJ1711" s="51" t="n">
        <f aca="false">IF(LEFT(Cockpit!$C$5,1)="A",H1711,IF(CH1711=1,(CK1711+CI1711)/2,IF(LEFT(Cockpit!$C$5,1)="B",(CK1711+AL1711)/2,MAX((CK1711+AL1711)/2,H1711))))</f>
        <v>22</v>
      </c>
      <c r="AK1711" s="50" t="n">
        <f aca="false">AJ1711*G1711</f>
        <v>1881</v>
      </c>
      <c r="AL1711" s="50" t="n">
        <f aca="false">ROUNDUP(CK1711+MAX(CL1711,2*(J1711/IF(CG1711&gt;0,CG1711,MAX(0.1,N(Cockpit!$C$6)))-CK1711)),0)</f>
        <v>3</v>
      </c>
      <c r="AM1711" s="51" t="n">
        <f aca="false">IF(AI1711&gt;0,J1711/AI1711,-1)</f>
        <v>0</v>
      </c>
      <c r="AN1711" s="51" t="n">
        <f aca="false">IF(AND(OR(CF1711="L1",CF1711="L23",CF1711="LIFT"),AI1711&gt;0),SUMIFS($AI$7:$AI$1843,$CF$7:$CF$1843,CF1711,$AM$7:$AM$1843,"&gt;"&amp;AM1711)+SUMIFS($AI$7:$AI$1843,$CF$7:$CF$1843,CF1711,$AM$7:$AM$1843,AM1711,$BW$7:$BW$1843,"&lt;="&amp;BW1711),"")</f>
        <v>32825.6951118561</v>
      </c>
      <c r="AO1711" s="58" t="n">
        <f aca="false">IF(AN1711="",0,MAX(0,MIN(1,(IF(CF1711="L1",Parameter!$H$5,IF(CF1711="L23",Parameter!$H$6+Parameter!$H$7,Parameter!$H$5+Parameter!$H$6+Parameter!$H$7))-(AN1711-AI1711))/AI1711)))</f>
        <v>1</v>
      </c>
      <c r="AP1711" s="50" t="n">
        <f aca="false">IF(LEFT(Cockpit!$I$5,1)="A",H1711,IF(Parameter!$E$30="MAX-Bestand",IF(CH1711=1,CI1711,IF(LEFT(Cockpit!$I$5,1)="B",AV1711,MAX(AV1711,H1711))),ROUNDUP(AT1711,0)))</f>
        <v>22</v>
      </c>
      <c r="AQ1711" s="50" t="n">
        <f aca="false">IF(BZ1711=1,0,ROUNDUP(AP1711/BY1711,0))</f>
        <v>1</v>
      </c>
      <c r="AR1711" s="52" t="n">
        <f aca="false">IF(CQ1711&gt;0,CQ1711*MAX(1,AP1711/X1711),IF(BZ1711=1,IF(AP1711&lt;=0,0,CD1711*MAX(1,IF(H1711&gt;0,AP1711/H1711,1))),IF(R1711&gt;0,AQ1711/R1711,0))/MAX(0.1,N(Parameter!$M$21)))</f>
        <v>0.00961538461538462</v>
      </c>
      <c r="AS1711" s="50" t="n">
        <f aca="false">AR1711*CB1711</f>
        <v>1.49038461538462</v>
      </c>
      <c r="AT1711" s="51" t="n">
        <f aca="false">IF(LEFT(Cockpit!$I$5,1)="A",H1711,IF(CH1711=1,(CK1711+CI1711)/2,IF(LEFT(Cockpit!$I$5,1)="B",(CK1711+AV1711)/2,MAX((CK1711+AV1711)/2,H1711))))</f>
        <v>22</v>
      </c>
      <c r="AU1711" s="50" t="n">
        <f aca="false">AT1711*G1711</f>
        <v>1881</v>
      </c>
      <c r="AV1711" s="50" t="n">
        <f aca="false">ROUNDUP(CK1711+MAX(CL1711,2*(J1711/IF(CG1711&gt;0,CG1711,MAX(0.1,N(Cockpit!$I$6)))-CK1711)),0)</f>
        <v>3</v>
      </c>
      <c r="AW1711" s="51" t="n">
        <f aca="false">IF(AS1711&gt;0,J1711/AS1711,-1)</f>
        <v>0</v>
      </c>
      <c r="AX1711" s="51" t="n">
        <f aca="false">IF(AND(OR(CF1711="L1",CF1711="L23",CF1711="LIFT"),AS1711&gt;0),SUMIFS($AS$7:$AS$1843,$CF$7:$CF$1843,CF1711,$AW$7:$AW$1843,"&gt;"&amp;AW1711)+SUMIFS($AS$7:$AS$1843,$CF$7:$CF$1843,CF1711,$AW$7:$AW$1843,AW1711,$BW$7:$BW$1843,"&lt;="&amp;BW1711),"")</f>
        <v>39299.0504852963</v>
      </c>
      <c r="AY1711" s="58" t="n">
        <f aca="false">IF(AX1711="",0,MAX(0,MIN(1,(IF(CF1711="L1",Parameter!$H$5,IF(CF1711="L23",Parameter!$H$6+Parameter!$H$7,Parameter!$H$5+Parameter!$H$6+Parameter!$H$7))-(AX1711-AS1711))/AS1711)))</f>
        <v>0</v>
      </c>
      <c r="AZ1711" s="50" t="n">
        <f aca="false">IF(LEFT(Cockpit!$O$5,1)="A",H1711,IF(Parameter!$E$30="MAX-Bestand",IF(CH1711=1,CI1711,IF(LEFT(Cockpit!$O$5,1)="B",BF1711,MAX(BF1711,H1711))),ROUNDUP(BD1711,0)))</f>
        <v>2</v>
      </c>
      <c r="BA1711" s="50" t="n">
        <f aca="false">IF(BZ1711=1,0,ROUNDUP(AZ1711/BY1711,0))</f>
        <v>1</v>
      </c>
      <c r="BB1711" s="52" t="n">
        <f aca="false">IF(CQ1711&gt;0,CQ1711*MAX(1,AZ1711/X1711),IF(BZ1711=1,IF(AZ1711&lt;=0,0,CD1711*MAX(1,IF(H1711&gt;0,AZ1711/H1711,1))),IF(R1711&gt;0,BA1711/R1711,0))/MAX(0.1,N(Parameter!$M$21)))</f>
        <v>0.00961538461538462</v>
      </c>
      <c r="BC1711" s="50" t="n">
        <f aca="false">BB1711*CB1711</f>
        <v>1.49038461538462</v>
      </c>
      <c r="BD1711" s="51" t="n">
        <f aca="false">IF(LEFT(Cockpit!$O$5,1)="A",H1711,IF(CH1711=1,(CK1711+CI1711)/2,IF(LEFT(Cockpit!$O$5,1)="B",(CK1711+BF1711)/2,MAX((CK1711+BF1711)/2,H1711))))</f>
        <v>1.5</v>
      </c>
      <c r="BE1711" s="50" t="n">
        <f aca="false">BD1711*G1711</f>
        <v>128.25</v>
      </c>
      <c r="BF1711" s="50" t="n">
        <f aca="false">ROUNDUP(CK1711+MAX(CL1711,2*(J1711/IF(CG1711&gt;0,CG1711,MAX(0.1,N(Cockpit!$O$6)))-CK1711)),0)</f>
        <v>3</v>
      </c>
      <c r="BG1711" s="51" t="n">
        <f aca="false">IF(BC1711&gt;0,J1711/BC1711,-1)</f>
        <v>0</v>
      </c>
      <c r="BH1711" s="51" t="n">
        <f aca="false">IF(AND(OR(CF1711="L1",CF1711="L23",CF1711="LIFT"),BC1711&gt;0),SUMIFS($BC$7:$BC$1843,$CF$7:$CF$1843,CF1711,$BG$7:$BG$1843,"&gt;"&amp;BG1711)+SUMIFS($BC$7:$BC$1843,$CF$7:$CF$1843,CF1711,$BG$7:$BG$1843,BG1711,$BW$7:$BW$1843,"&lt;="&amp;BW1711),"")</f>
        <v>32531.8237205356</v>
      </c>
      <c r="BI1711" s="58" t="n">
        <f aca="false">IF(BH1711="",0,MAX(0,MIN(1,(IF(CF1711="L1",Parameter!$H$5,IF(CF1711="L23",Parameter!$H$6+Parameter!$H$7,Parameter!$H$5+Parameter!$H$6+Parameter!$H$7))-(BH1711-BC1711))/BC1711)))</f>
        <v>1</v>
      </c>
      <c r="BJ1711" s="48" t="str">
        <f aca="false">IF(AI1711&lt;=0,"",IF(CF1711="Aussen","Aussenlager",IF(CF1711="-","Nicht im Lift",IF(AO1711&gt;=1,"Lift",IF(AO1711&lt;=0,"Aussenlager","teilweise")))))</f>
        <v>Lift</v>
      </c>
      <c r="BK1711" s="48" t="str">
        <f aca="false">IF(AS1711&lt;=0,"",IF(CF1711="Aussen","Aussenlager",IF(CF1711="-","Nicht im Lift",IF(AY1711&gt;=1,"Lift",IF(AY1711&lt;=0,"Aussenlager","teilweise")))))</f>
        <v>Aussenlager</v>
      </c>
      <c r="BL1711" s="48" t="str">
        <f aca="false">IF(BC1711&lt;=0,"",IF(CF1711="Aussen","Aussenlager",IF(CF1711="-","Nicht im Lift",IF(BI1711&gt;=1,"Lift",IF(BI1711&lt;=0,"Aussenlager","teilweise")))))</f>
        <v>Lift</v>
      </c>
      <c r="BM1711" s="48" t="str">
        <f aca="false">IF(A1711="","",IF(BV1711=1,"Neu; ","")&amp;IF(AND(BV1711=0,BQ1711&lt;0),"negativer Bestand (Export "&amp;BQ1711&amp;"); ","")&amp;IF(J1711&lt;=0,"Kein Verbrauch; ","")&amp;IF(CQ1711&gt;0,"Lift "&amp;W1711&amp;" lt. Liftbericht (Fach "&amp;X1711&amp;" Stk); ",IF(CA1711=1,"Gebinde geschätzt ("&amp;T1711&amp;"); ",IF(BZ1711=1,"Lose – Tablare geschätzt; ","")))&amp;IF(H1711&gt;AV1711,"Überbestand "&amp;ROUND(H1711-AV1711,0)&amp;" Stk / CHF "&amp;ROUND((H1711-AV1711)*G1711,0)&amp;"; ","")&amp;IF(AND(CH1711=1,CI1711&lt;CJ1711),"MAX &lt; MB+LG; ","")&amp;IF(AND(CP1711&gt;0,CO1711*10&gt;CP1711),"zu hoch für Tablar; ","")&amp;IF(AND(BV1711=0,OR(CH1711=1,AA1711&lt;&gt;"",U1711&lt;&gt;"",V1711&lt;&gt;"",AB1711&lt;&gt;"")),"manuell übersteuert; ","")&amp;IF(AND(BZ1711=0,R1711=0),"Gebinde unbekannt / Stellmass fehlt; ","")&amp;IF(AND(BZ1711=0,N(V1711)&lt;=0,N(Q1711)&lt;=0),"Menge pro Gebinde fehlt (Ist = 1 Gebinde); ","")&amp;BU1711)</f>
        <v>Kein Verbrauch; Überbestand 19 Stk / CHF 1625; nur im Artikelstamm (Bestand 23.06.2026)</v>
      </c>
      <c r="BN1711" s="48"/>
      <c r="BO1711" s="48"/>
      <c r="BP1711" s="55"/>
      <c r="BQ1711" s="50" t="n">
        <v>22</v>
      </c>
      <c r="BR1711" s="50" t="n">
        <v>0</v>
      </c>
      <c r="BS1711" s="49" t="n">
        <v>0</v>
      </c>
      <c r="BT1711" s="50" t="n">
        <v>0</v>
      </c>
      <c r="BU1711" s="48" t="s">
        <v>2584</v>
      </c>
      <c r="BV1711" s="53" t="n">
        <v>0</v>
      </c>
      <c r="BW1711" s="53" t="n">
        <v>1711</v>
      </c>
      <c r="BX1711" s="48" t="str">
        <f aca="false">IF(U1711&lt;&gt;"",UPPER(TRIM(U1711)),IF(CA1711=1,UPPER(VLOOKUP(T1711,Parameter!$I$27:$K$29,2,0)),IF(P1711="","LOSE",P1711)))</f>
        <v>S32</v>
      </c>
      <c r="BY1711" s="50" t="n">
        <f aca="false">IF(BX1711="LOSE",1,IF(N(V1711)&gt;0,V1711,IF(CA1711=1,MAX(1,N(VLOOKUP(T1711,Parameter!$I$27:$K$29,3,0)),H1711,N(N1711)),IF(N(Q1711)&gt;0,Q1711,MAX(1,H1711)))))</f>
        <v>22</v>
      </c>
      <c r="BZ1711" s="53" t="n">
        <f aca="false">IF(BX1711="LOSE",1,0)</f>
        <v>0</v>
      </c>
      <c r="CA1711" s="53" t="n">
        <f aca="false">IF(AND(U1711="",OR(P1711="",P1711="LOSE"),T1711&lt;&gt;"",N(S1711)&lt;=0,ISNUMBER(MATCH(T1711,Parameter!$I$27:$I$29,0))),1,0)</f>
        <v>0</v>
      </c>
      <c r="CB1711" s="53" t="n">
        <f aca="false">IF(CQ1711&gt;0,INDEX(Parameter!$H$5:$H$7,W1711)/INDEX(Parameter!$E$5:$E$7,W1711),IF(AND(BZ1711=0,N(IFERROR(VLOOKUP(BX1711,'Gebinde-Kategorie'!$A$5:$N$45,14,0),0))&gt;0),VLOOKUP(BX1711,'Gebinde-Kategorie'!$A$5:$N$45,14,0)*10+Parameter!$M$23,Parameter!$M$24))</f>
        <v>155</v>
      </c>
      <c r="CC1711" s="48" t="str">
        <f aca="false">IF(AND(Parameter!$B$19="Ja",E1711&lt;&gt;"",ISNUMBER(MATCH(E1711,Parameter!$I$35:$I$52,0))),VLOOKUP(E1711,Parameter!$I$35:$J$52,2,0),IFERROR(VLOOKUP(D1711,Parameter!$A$35:$C$64,2,0),"Nein"))</f>
        <v>2+3</v>
      </c>
      <c r="CD1711" s="52" t="n">
        <f aca="false">IF(BZ1711=0,0,IF(N(S1711)&gt;0,S1711,IFERROR(VLOOKUP(D1711,Parameter!$A$35:$C$64,3,0)+0,0)))</f>
        <v>0</v>
      </c>
      <c r="CE1711" s="48" t="n">
        <f aca="false">IF(AA1711&lt;&gt;"",AA1711,Z1711)</f>
        <v>3</v>
      </c>
      <c r="CF1711" s="48" t="str">
        <f aca="false">IF(OR(CE1711=1,CE1711=2,CE1711=3),IF(Parameter!$E$27="Ja","LIFT",IF(CE1711=1,"L1","L23")),IF(CE1711="Aussen","Aussen","-"))</f>
        <v>LIFT</v>
      </c>
      <c r="CG1711" s="59" t="n">
        <f aca="false">IF(N(AB1711)&gt;0,AB1711,0)</f>
        <v>0</v>
      </c>
      <c r="CH1711" s="53" t="n">
        <f aca="false">IF(ISNUMBER(AE1711),1,0)</f>
        <v>0</v>
      </c>
      <c r="CI1711" s="50" t="n">
        <f aca="false">N(AE1711)</f>
        <v>0</v>
      </c>
      <c r="CJ1711" s="50" t="n">
        <f aca="false">N(M1711)+N(N1711)</f>
        <v>3</v>
      </c>
      <c r="CK1711" s="50" t="n">
        <f aca="false">N(M1711)</f>
        <v>0</v>
      </c>
      <c r="CL1711" s="50" t="n">
        <f aca="false">N(N1711)</f>
        <v>3</v>
      </c>
      <c r="CM1711" s="50" t="n">
        <f aca="false">ROUNDUP(H1711/BY1711,0)</f>
        <v>1</v>
      </c>
      <c r="CN1711" s="50" t="n">
        <f aca="false">ROUNDUP(CI1711/BY1711,0)</f>
        <v>0</v>
      </c>
      <c r="CO1711" s="53" t="n">
        <f aca="false">IF(BZ1711=1,0,IFERROR(VLOOKUP(BX1711,'Gebinde-Kategorie'!$A$5:$N$45,5,0)+0,0))</f>
        <v>8</v>
      </c>
      <c r="CP1711" s="53" t="n">
        <f aca="false">IFERROR(IF(OR(CE1711=1,CE1711=2,CE1711=3),N(INDEX(Parameter!$I$5:$I$7,CE1711)),0),0)</f>
        <v>0</v>
      </c>
      <c r="CQ1711" s="52" t="n">
        <f aca="false">IF(AND(Parameter!$B$21="Ja",ISNUMBER(W1711),N(X1711)&gt;0),IFERROR(N(INDEX(Parameter!$L$5:$L$7,W1711))*INDEX(Parameter!$E$5:$E$7,W1711)*X1711/SUMIFS($X$7:$X$1843,$W$7:$W$1843,W1711),0),0)</f>
        <v>0</v>
      </c>
    </row>
    <row r="1712" customFormat="false" ht="15" hidden="false" customHeight="false" outlineLevel="0" collapsed="false">
      <c r="A1712" s="48" t="s">
        <v>2972</v>
      </c>
      <c r="B1712" s="48" t="s">
        <v>2703</v>
      </c>
      <c r="C1712" s="48" t="s">
        <v>173</v>
      </c>
      <c r="D1712" s="48" t="s">
        <v>193</v>
      </c>
      <c r="E1712" s="48"/>
      <c r="F1712" s="48"/>
      <c r="G1712" s="49" t="n">
        <v>35</v>
      </c>
      <c r="H1712" s="50" t="n">
        <f aca="false">MAX(0,IF(AND(Parameter!$B$21="Ja",ISNUMBER(Y1712)),Y1712,IF(Parameter!$B$20="Jahresanfang 2025 + Export",BR1712+BQ1712,BQ1712)))</f>
        <v>12</v>
      </c>
      <c r="I1712" s="50" t="n">
        <f aca="false">H1712*G1712</f>
        <v>420</v>
      </c>
      <c r="J1712" s="50" t="n">
        <f aca="false">BT1712*Parameter!$B$18</f>
        <v>0</v>
      </c>
      <c r="K1712" s="51"/>
      <c r="L1712" s="52"/>
      <c r="M1712" s="50" t="n">
        <v>0</v>
      </c>
      <c r="N1712" s="50" t="n">
        <v>12</v>
      </c>
      <c r="O1712" s="53" t="n">
        <v>35</v>
      </c>
      <c r="P1712" s="48" t="s">
        <v>430</v>
      </c>
      <c r="Q1712" s="50" t="n">
        <v>10</v>
      </c>
      <c r="R1712" s="53" t="n">
        <f aca="false">IF(BZ1712=1,0,IFERROR(VLOOKUP(BX1712,'Gebinde-Kategorie'!$A$5:$N$45,13,0)+0,0))</f>
        <v>104</v>
      </c>
      <c r="S1712" s="54"/>
      <c r="T1712" s="55"/>
      <c r="U1712" s="55"/>
      <c r="V1712" s="55"/>
      <c r="W1712" s="48"/>
      <c r="X1712" s="50"/>
      <c r="Y1712" s="50"/>
      <c r="Z1712" s="48" t="n">
        <f aca="false">IF(A1712="","",IF(AND(Parameter!$B$21="Ja",ISNUMBER(W1712)),W1712,IF(CC1712="2+3",IF(ISNUMBER(SEARCH("grosser Artikel",BU1712)),2,IFERROR(VLOOKUP(BX1712,Parameter!$F$35:$G$64,2,0),2)),IF(OR(CC1712="Nein",CC1712=""),"-",CC1712))))</f>
        <v>3</v>
      </c>
      <c r="AA1712" s="55"/>
      <c r="AB1712" s="56"/>
      <c r="AC1712" s="50" t="n">
        <f aca="false">AV1712</f>
        <v>12</v>
      </c>
      <c r="AD1712" s="50" t="n">
        <f aca="false">MAX(AV1712,H1712)</f>
        <v>12</v>
      </c>
      <c r="AE1712" s="57"/>
      <c r="AF1712" s="50" t="n">
        <f aca="false">IF(LEFT(Cockpit!$C$5,1)="A",H1712,IF(Parameter!$E$30="MAX-Bestand",IF(CH1712=1,CI1712,IF(LEFT(Cockpit!$C$5,1)="B",AL1712,MAX(AL1712,H1712))),ROUNDUP(AJ1712,0)))</f>
        <v>12</v>
      </c>
      <c r="AG1712" s="50" t="n">
        <f aca="false">IF(BZ1712=1,0,ROUNDUP(AF1712/BY1712,0))</f>
        <v>2</v>
      </c>
      <c r="AH1712" s="52" t="n">
        <f aca="false">IF(CQ1712&gt;0,CQ1712*MAX(1,AF1712/X1712),IF(BZ1712=1,IF(AF1712&lt;=0,0,CD1712*MAX(1,IF(H1712&gt;0,AF1712/H1712,1))),IF(R1712&gt;0,AG1712/R1712,0))/MAX(0.1,N(Parameter!$M$21)))</f>
        <v>0.0192307692307692</v>
      </c>
      <c r="AI1712" s="50" t="n">
        <f aca="false">AH1712*CB1712</f>
        <v>2.98076923076923</v>
      </c>
      <c r="AJ1712" s="51" t="n">
        <f aca="false">IF(LEFT(Cockpit!$C$5,1)="A",H1712,IF(CH1712=1,(CK1712+CI1712)/2,IF(LEFT(Cockpit!$C$5,1)="B",(CK1712+AL1712)/2,MAX((CK1712+AL1712)/2,H1712))))</f>
        <v>12</v>
      </c>
      <c r="AK1712" s="50" t="n">
        <f aca="false">AJ1712*G1712</f>
        <v>420</v>
      </c>
      <c r="AL1712" s="50" t="n">
        <f aca="false">ROUNDUP(CK1712+MAX(CL1712,2*(J1712/IF(CG1712&gt;0,CG1712,MAX(0.1,N(Cockpit!$C$6)))-CK1712)),0)</f>
        <v>12</v>
      </c>
      <c r="AM1712" s="51" t="n">
        <f aca="false">IF(AI1712&gt;0,J1712/AI1712,-1)</f>
        <v>0</v>
      </c>
      <c r="AN1712" s="51" t="n">
        <f aca="false">IF(AND(OR(CF1712="L1",CF1712="L23",CF1712="LIFT"),AI1712&gt;0),SUMIFS($AI$7:$AI$1843,$CF$7:$CF$1843,CF1712,$AM$7:$AM$1843,"&gt;"&amp;AM1712)+SUMIFS($AI$7:$AI$1843,$CF$7:$CF$1843,CF1712,$AM$7:$AM$1843,AM1712,$BW$7:$BW$1843,"&lt;="&amp;BW1712),"")</f>
        <v>32828.6758810869</v>
      </c>
      <c r="AO1712" s="58" t="n">
        <f aca="false">IF(AN1712="",0,MAX(0,MIN(1,(IF(CF1712="L1",Parameter!$H$5,IF(CF1712="L23",Parameter!$H$6+Parameter!$H$7,Parameter!$H$5+Parameter!$H$6+Parameter!$H$7))-(AN1712-AI1712))/AI1712)))</f>
        <v>1</v>
      </c>
      <c r="AP1712" s="50" t="n">
        <f aca="false">IF(LEFT(Cockpit!$I$5,1)="A",H1712,IF(Parameter!$E$30="MAX-Bestand",IF(CH1712=1,CI1712,IF(LEFT(Cockpit!$I$5,1)="B",AV1712,MAX(AV1712,H1712))),ROUNDUP(AT1712,0)))</f>
        <v>12</v>
      </c>
      <c r="AQ1712" s="50" t="n">
        <f aca="false">IF(BZ1712=1,0,ROUNDUP(AP1712/BY1712,0))</f>
        <v>2</v>
      </c>
      <c r="AR1712" s="52" t="n">
        <f aca="false">IF(CQ1712&gt;0,CQ1712*MAX(1,AP1712/X1712),IF(BZ1712=1,IF(AP1712&lt;=0,0,CD1712*MAX(1,IF(H1712&gt;0,AP1712/H1712,1))),IF(R1712&gt;0,AQ1712/R1712,0))/MAX(0.1,N(Parameter!$M$21)))</f>
        <v>0.0192307692307692</v>
      </c>
      <c r="AS1712" s="50" t="n">
        <f aca="false">AR1712*CB1712</f>
        <v>2.98076923076923</v>
      </c>
      <c r="AT1712" s="51" t="n">
        <f aca="false">IF(LEFT(Cockpit!$I$5,1)="A",H1712,IF(CH1712=1,(CK1712+CI1712)/2,IF(LEFT(Cockpit!$I$5,1)="B",(CK1712+AV1712)/2,MAX((CK1712+AV1712)/2,H1712))))</f>
        <v>12</v>
      </c>
      <c r="AU1712" s="50" t="n">
        <f aca="false">AT1712*G1712</f>
        <v>420</v>
      </c>
      <c r="AV1712" s="50" t="n">
        <f aca="false">ROUNDUP(CK1712+MAX(CL1712,2*(J1712/IF(CG1712&gt;0,CG1712,MAX(0.1,N(Cockpit!$I$6)))-CK1712)),0)</f>
        <v>12</v>
      </c>
      <c r="AW1712" s="51" t="n">
        <f aca="false">IF(AS1712&gt;0,J1712/AS1712,-1)</f>
        <v>0</v>
      </c>
      <c r="AX1712" s="51" t="n">
        <f aca="false">IF(AND(OR(CF1712="L1",CF1712="L23",CF1712="LIFT"),AS1712&gt;0),SUMIFS($AS$7:$AS$1843,$CF$7:$CF$1843,CF1712,$AW$7:$AW$1843,"&gt;"&amp;AW1712)+SUMIFS($AS$7:$AS$1843,$CF$7:$CF$1843,CF1712,$AW$7:$AW$1843,AW1712,$BW$7:$BW$1843,"&lt;="&amp;BW1712),"")</f>
        <v>39302.031254527</v>
      </c>
      <c r="AY1712" s="58" t="n">
        <f aca="false">IF(AX1712="",0,MAX(0,MIN(1,(IF(CF1712="L1",Parameter!$H$5,IF(CF1712="L23",Parameter!$H$6+Parameter!$H$7,Parameter!$H$5+Parameter!$H$6+Parameter!$H$7))-(AX1712-AS1712))/AS1712)))</f>
        <v>0</v>
      </c>
      <c r="AZ1712" s="50" t="n">
        <f aca="false">IF(LEFT(Cockpit!$O$5,1)="A",H1712,IF(Parameter!$E$30="MAX-Bestand",IF(CH1712=1,CI1712,IF(LEFT(Cockpit!$O$5,1)="B",BF1712,MAX(BF1712,H1712))),ROUNDUP(BD1712,0)))</f>
        <v>6</v>
      </c>
      <c r="BA1712" s="50" t="n">
        <f aca="false">IF(BZ1712=1,0,ROUNDUP(AZ1712/BY1712,0))</f>
        <v>1</v>
      </c>
      <c r="BB1712" s="52" t="n">
        <f aca="false">IF(CQ1712&gt;0,CQ1712*MAX(1,AZ1712/X1712),IF(BZ1712=1,IF(AZ1712&lt;=0,0,CD1712*MAX(1,IF(H1712&gt;0,AZ1712/H1712,1))),IF(R1712&gt;0,BA1712/R1712,0))/MAX(0.1,N(Parameter!$M$21)))</f>
        <v>0.00961538461538462</v>
      </c>
      <c r="BC1712" s="50" t="n">
        <f aca="false">BB1712*CB1712</f>
        <v>1.49038461538462</v>
      </c>
      <c r="BD1712" s="51" t="n">
        <f aca="false">IF(LEFT(Cockpit!$O$5,1)="A",H1712,IF(CH1712=1,(CK1712+CI1712)/2,IF(LEFT(Cockpit!$O$5,1)="B",(CK1712+BF1712)/2,MAX((CK1712+BF1712)/2,H1712))))</f>
        <v>6</v>
      </c>
      <c r="BE1712" s="50" t="n">
        <f aca="false">BD1712*G1712</f>
        <v>210</v>
      </c>
      <c r="BF1712" s="50" t="n">
        <f aca="false">ROUNDUP(CK1712+MAX(CL1712,2*(J1712/IF(CG1712&gt;0,CG1712,MAX(0.1,N(Cockpit!$O$6)))-CK1712)),0)</f>
        <v>12</v>
      </c>
      <c r="BG1712" s="51" t="n">
        <f aca="false">IF(BC1712&gt;0,J1712/BC1712,-1)</f>
        <v>0</v>
      </c>
      <c r="BH1712" s="51" t="n">
        <f aca="false">IF(AND(OR(CF1712="L1",CF1712="L23",CF1712="LIFT"),BC1712&gt;0),SUMIFS($BC$7:$BC$1843,$CF$7:$CF$1843,CF1712,$BG$7:$BG$1843,"&gt;"&amp;BG1712)+SUMIFS($BC$7:$BC$1843,$CF$7:$CF$1843,CF1712,$BG$7:$BG$1843,BG1712,$BW$7:$BW$1843,"&lt;="&amp;BW1712),"")</f>
        <v>32533.314105151</v>
      </c>
      <c r="BI1712" s="58" t="n">
        <f aca="false">IF(BH1712="",0,MAX(0,MIN(1,(IF(CF1712="L1",Parameter!$H$5,IF(CF1712="L23",Parameter!$H$6+Parameter!$H$7,Parameter!$H$5+Parameter!$H$6+Parameter!$H$7))-(BH1712-BC1712))/BC1712)))</f>
        <v>1</v>
      </c>
      <c r="BJ1712" s="48" t="str">
        <f aca="false">IF(AI1712&lt;=0,"",IF(CF1712="Aussen","Aussenlager",IF(CF1712="-","Nicht im Lift",IF(AO1712&gt;=1,"Lift",IF(AO1712&lt;=0,"Aussenlager","teilweise")))))</f>
        <v>Lift</v>
      </c>
      <c r="BK1712" s="48" t="str">
        <f aca="false">IF(AS1712&lt;=0,"",IF(CF1712="Aussen","Aussenlager",IF(CF1712="-","Nicht im Lift",IF(AY1712&gt;=1,"Lift",IF(AY1712&lt;=0,"Aussenlager","teilweise")))))</f>
        <v>Aussenlager</v>
      </c>
      <c r="BL1712" s="48" t="str">
        <f aca="false">IF(BC1712&lt;=0,"",IF(CF1712="Aussen","Aussenlager",IF(CF1712="-","Nicht im Lift",IF(BI1712&gt;=1,"Lift",IF(BI1712&lt;=0,"Aussenlager","teilweise")))))</f>
        <v>Lift</v>
      </c>
      <c r="BM1712" s="48" t="str">
        <f aca="false">IF(A1712="","",IF(BV1712=1,"Neu; ","")&amp;IF(AND(BV1712=0,BQ1712&lt;0),"negativer Bestand (Export "&amp;BQ1712&amp;"); ","")&amp;IF(J1712&lt;=0,"Kein Verbrauch; ","")&amp;IF(CQ1712&gt;0,"Lift "&amp;W1712&amp;" lt. Liftbericht (Fach "&amp;X1712&amp;" Stk); ",IF(CA1712=1,"Gebinde geschätzt ("&amp;T1712&amp;"); ",IF(BZ1712=1,"Lose – Tablare geschätzt; ","")))&amp;IF(H1712&gt;AV1712,"Überbestand "&amp;ROUND(H1712-AV1712,0)&amp;" Stk / CHF "&amp;ROUND((H1712-AV1712)*G1712,0)&amp;"; ","")&amp;IF(AND(CH1712=1,CI1712&lt;CJ1712),"MAX &lt; MB+LG; ","")&amp;IF(AND(CP1712&gt;0,CO1712*10&gt;CP1712),"zu hoch für Tablar; ","")&amp;IF(AND(BV1712=0,OR(CH1712=1,AA1712&lt;&gt;"",U1712&lt;&gt;"",V1712&lt;&gt;"",AB1712&lt;&gt;"")),"manuell übersteuert; ","")&amp;IF(AND(BZ1712=0,R1712=0),"Gebinde unbekannt / Stellmass fehlt; ","")&amp;IF(AND(BZ1712=0,N(V1712)&lt;=0,N(Q1712)&lt;=0),"Menge pro Gebinde fehlt (Ist = 1 Gebinde); ","")&amp;BU1712)</f>
        <v>Kein Verbrauch; nur im Artikelstamm (Bestand 23.06.2026)</v>
      </c>
      <c r="BN1712" s="48"/>
      <c r="BO1712" s="48"/>
      <c r="BP1712" s="55"/>
      <c r="BQ1712" s="50" t="n">
        <v>12</v>
      </c>
      <c r="BR1712" s="50" t="n">
        <v>0</v>
      </c>
      <c r="BS1712" s="49" t="n">
        <v>0</v>
      </c>
      <c r="BT1712" s="50" t="n">
        <v>0</v>
      </c>
      <c r="BU1712" s="48" t="s">
        <v>2584</v>
      </c>
      <c r="BV1712" s="53" t="n">
        <v>0</v>
      </c>
      <c r="BW1712" s="53" t="n">
        <v>1712</v>
      </c>
      <c r="BX1712" s="48" t="str">
        <f aca="false">IF(U1712&lt;&gt;"",UPPER(TRIM(U1712)),IF(CA1712=1,UPPER(VLOOKUP(T1712,Parameter!$I$27:$K$29,2,0)),IF(P1712="","LOSE",P1712)))</f>
        <v>S32</v>
      </c>
      <c r="BY1712" s="50" t="n">
        <f aca="false">IF(BX1712="LOSE",1,IF(N(V1712)&gt;0,V1712,IF(CA1712=1,MAX(1,N(VLOOKUP(T1712,Parameter!$I$27:$K$29,3,0)),H1712,N(N1712)),IF(N(Q1712)&gt;0,Q1712,MAX(1,H1712)))))</f>
        <v>10</v>
      </c>
      <c r="BZ1712" s="53" t="n">
        <f aca="false">IF(BX1712="LOSE",1,0)</f>
        <v>0</v>
      </c>
      <c r="CA1712" s="53" t="n">
        <f aca="false">IF(AND(U1712="",OR(P1712="",P1712="LOSE"),T1712&lt;&gt;"",N(S1712)&lt;=0,ISNUMBER(MATCH(T1712,Parameter!$I$27:$I$29,0))),1,0)</f>
        <v>0</v>
      </c>
      <c r="CB1712" s="53" t="n">
        <f aca="false">IF(CQ1712&gt;0,INDEX(Parameter!$H$5:$H$7,W1712)/INDEX(Parameter!$E$5:$E$7,W1712),IF(AND(BZ1712=0,N(IFERROR(VLOOKUP(BX1712,'Gebinde-Kategorie'!$A$5:$N$45,14,0),0))&gt;0),VLOOKUP(BX1712,'Gebinde-Kategorie'!$A$5:$N$45,14,0)*10+Parameter!$M$23,Parameter!$M$24))</f>
        <v>155</v>
      </c>
      <c r="CC1712" s="48" t="str">
        <f aca="false">IF(AND(Parameter!$B$19="Ja",E1712&lt;&gt;"",ISNUMBER(MATCH(E1712,Parameter!$I$35:$I$52,0))),VLOOKUP(E1712,Parameter!$I$35:$J$52,2,0),IFERROR(VLOOKUP(D1712,Parameter!$A$35:$C$64,2,0),"Nein"))</f>
        <v>2+3</v>
      </c>
      <c r="CD1712" s="52" t="n">
        <f aca="false">IF(BZ1712=0,0,IF(N(S1712)&gt;0,S1712,IFERROR(VLOOKUP(D1712,Parameter!$A$35:$C$64,3,0)+0,0)))</f>
        <v>0</v>
      </c>
      <c r="CE1712" s="48" t="n">
        <f aca="false">IF(AA1712&lt;&gt;"",AA1712,Z1712)</f>
        <v>3</v>
      </c>
      <c r="CF1712" s="48" t="str">
        <f aca="false">IF(OR(CE1712=1,CE1712=2,CE1712=3),IF(Parameter!$E$27="Ja","LIFT",IF(CE1712=1,"L1","L23")),IF(CE1712="Aussen","Aussen","-"))</f>
        <v>LIFT</v>
      </c>
      <c r="CG1712" s="59" t="n">
        <f aca="false">IF(N(AB1712)&gt;0,AB1712,0)</f>
        <v>0</v>
      </c>
      <c r="CH1712" s="53" t="n">
        <f aca="false">IF(ISNUMBER(AE1712),1,0)</f>
        <v>0</v>
      </c>
      <c r="CI1712" s="50" t="n">
        <f aca="false">N(AE1712)</f>
        <v>0</v>
      </c>
      <c r="CJ1712" s="50" t="n">
        <f aca="false">N(M1712)+N(N1712)</f>
        <v>12</v>
      </c>
      <c r="CK1712" s="50" t="n">
        <f aca="false">N(M1712)</f>
        <v>0</v>
      </c>
      <c r="CL1712" s="50" t="n">
        <f aca="false">N(N1712)</f>
        <v>12</v>
      </c>
      <c r="CM1712" s="50" t="n">
        <f aca="false">ROUNDUP(H1712/BY1712,0)</f>
        <v>2</v>
      </c>
      <c r="CN1712" s="50" t="n">
        <f aca="false">ROUNDUP(CI1712/BY1712,0)</f>
        <v>0</v>
      </c>
      <c r="CO1712" s="53" t="n">
        <f aca="false">IF(BZ1712=1,0,IFERROR(VLOOKUP(BX1712,'Gebinde-Kategorie'!$A$5:$N$45,5,0)+0,0))</f>
        <v>8</v>
      </c>
      <c r="CP1712" s="53" t="n">
        <f aca="false">IFERROR(IF(OR(CE1712=1,CE1712=2,CE1712=3),N(INDEX(Parameter!$I$5:$I$7,CE1712)),0),0)</f>
        <v>0</v>
      </c>
      <c r="CQ1712" s="52" t="n">
        <f aca="false">IF(AND(Parameter!$B$21="Ja",ISNUMBER(W1712),N(X1712)&gt;0),IFERROR(N(INDEX(Parameter!$L$5:$L$7,W1712))*INDEX(Parameter!$E$5:$E$7,W1712)*X1712/SUMIFS($X$7:$X$1843,$W$7:$W$1843,W1712),0),0)</f>
        <v>0</v>
      </c>
    </row>
    <row r="1713" customFormat="false" ht="15" hidden="false" customHeight="false" outlineLevel="0" collapsed="false">
      <c r="A1713" s="48" t="s">
        <v>2973</v>
      </c>
      <c r="B1713" s="48" t="s">
        <v>477</v>
      </c>
      <c r="C1713" s="48" t="s">
        <v>173</v>
      </c>
      <c r="D1713" s="48" t="s">
        <v>193</v>
      </c>
      <c r="E1713" s="48"/>
      <c r="F1713" s="48"/>
      <c r="G1713" s="49" t="n">
        <v>0.1</v>
      </c>
      <c r="H1713" s="50" t="n">
        <f aca="false">MAX(0,IF(AND(Parameter!$B$21="Ja",ISNUMBER(Y1713)),Y1713,IF(Parameter!$B$20="Jahresanfang 2025 + Export",BR1713+BQ1713,BQ1713)))</f>
        <v>9</v>
      </c>
      <c r="I1713" s="50" t="n">
        <f aca="false">H1713*G1713</f>
        <v>0.9</v>
      </c>
      <c r="J1713" s="50" t="n">
        <f aca="false">BT1713*Parameter!$B$18</f>
        <v>0</v>
      </c>
      <c r="K1713" s="51"/>
      <c r="L1713" s="52"/>
      <c r="M1713" s="50" t="n">
        <v>0</v>
      </c>
      <c r="N1713" s="50" t="n">
        <v>10</v>
      </c>
      <c r="O1713" s="53" t="n">
        <v>28</v>
      </c>
      <c r="P1713" s="48" t="s">
        <v>430</v>
      </c>
      <c r="Q1713" s="50" t="n">
        <v>9</v>
      </c>
      <c r="R1713" s="53" t="n">
        <f aca="false">IF(BZ1713=1,0,IFERROR(VLOOKUP(BX1713,'Gebinde-Kategorie'!$A$5:$N$45,13,0)+0,0))</f>
        <v>104</v>
      </c>
      <c r="S1713" s="54"/>
      <c r="T1713" s="55"/>
      <c r="U1713" s="55"/>
      <c r="V1713" s="55"/>
      <c r="W1713" s="48"/>
      <c r="X1713" s="50"/>
      <c r="Y1713" s="50"/>
      <c r="Z1713" s="48" t="n">
        <f aca="false">IF(A1713="","",IF(AND(Parameter!$B$21="Ja",ISNUMBER(W1713)),W1713,IF(CC1713="2+3",IF(ISNUMBER(SEARCH("grosser Artikel",BU1713)),2,IFERROR(VLOOKUP(BX1713,Parameter!$F$35:$G$64,2,0),2)),IF(OR(CC1713="Nein",CC1713=""),"-",CC1713))))</f>
        <v>3</v>
      </c>
      <c r="AA1713" s="55"/>
      <c r="AB1713" s="56"/>
      <c r="AC1713" s="50" t="n">
        <f aca="false">AV1713</f>
        <v>10</v>
      </c>
      <c r="AD1713" s="50" t="n">
        <f aca="false">MAX(AV1713,H1713)</f>
        <v>10</v>
      </c>
      <c r="AE1713" s="57"/>
      <c r="AF1713" s="50" t="n">
        <f aca="false">IF(LEFT(Cockpit!$C$5,1)="A",H1713,IF(Parameter!$E$30="MAX-Bestand",IF(CH1713=1,CI1713,IF(LEFT(Cockpit!$C$5,1)="B",AL1713,MAX(AL1713,H1713))),ROUNDUP(AJ1713,0)))</f>
        <v>9</v>
      </c>
      <c r="AG1713" s="50" t="n">
        <f aca="false">IF(BZ1713=1,0,ROUNDUP(AF1713/BY1713,0))</f>
        <v>1</v>
      </c>
      <c r="AH1713" s="52" t="n">
        <f aca="false">IF(CQ1713&gt;0,CQ1713*MAX(1,AF1713/X1713),IF(BZ1713=1,IF(AF1713&lt;=0,0,CD1713*MAX(1,IF(H1713&gt;0,AF1713/H1713,1))),IF(R1713&gt;0,AG1713/R1713,0))/MAX(0.1,N(Parameter!$M$21)))</f>
        <v>0.00961538461538462</v>
      </c>
      <c r="AI1713" s="50" t="n">
        <f aca="false">AH1713*CB1713</f>
        <v>1.49038461538462</v>
      </c>
      <c r="AJ1713" s="51" t="n">
        <f aca="false">IF(LEFT(Cockpit!$C$5,1)="A",H1713,IF(CH1713=1,(CK1713+CI1713)/2,IF(LEFT(Cockpit!$C$5,1)="B",(CK1713+AL1713)/2,MAX((CK1713+AL1713)/2,H1713))))</f>
        <v>9</v>
      </c>
      <c r="AK1713" s="50" t="n">
        <f aca="false">AJ1713*G1713</f>
        <v>0.9</v>
      </c>
      <c r="AL1713" s="50" t="n">
        <f aca="false">ROUNDUP(CK1713+MAX(CL1713,2*(J1713/IF(CG1713&gt;0,CG1713,MAX(0.1,N(Cockpit!$C$6)))-CK1713)),0)</f>
        <v>10</v>
      </c>
      <c r="AM1713" s="51" t="n">
        <f aca="false">IF(AI1713&gt;0,J1713/AI1713,-1)</f>
        <v>0</v>
      </c>
      <c r="AN1713" s="51" t="n">
        <f aca="false">IF(AND(OR(CF1713="L1",CF1713="L23",CF1713="LIFT"),AI1713&gt;0),SUMIFS($AI$7:$AI$1843,$CF$7:$CF$1843,CF1713,$AM$7:$AM$1843,"&gt;"&amp;AM1713)+SUMIFS($AI$7:$AI$1843,$CF$7:$CF$1843,CF1713,$AM$7:$AM$1843,AM1713,$BW$7:$BW$1843,"&lt;="&amp;BW1713),"")</f>
        <v>32830.1662657023</v>
      </c>
      <c r="AO1713" s="58" t="n">
        <f aca="false">IF(AN1713="",0,MAX(0,MIN(1,(IF(CF1713="L1",Parameter!$H$5,IF(CF1713="L23",Parameter!$H$6+Parameter!$H$7,Parameter!$H$5+Parameter!$H$6+Parameter!$H$7))-(AN1713-AI1713))/AI1713)))</f>
        <v>1</v>
      </c>
      <c r="AP1713" s="50" t="n">
        <f aca="false">IF(LEFT(Cockpit!$I$5,1)="A",H1713,IF(Parameter!$E$30="MAX-Bestand",IF(CH1713=1,CI1713,IF(LEFT(Cockpit!$I$5,1)="B",AV1713,MAX(AV1713,H1713))),ROUNDUP(AT1713,0)))</f>
        <v>9</v>
      </c>
      <c r="AQ1713" s="50" t="n">
        <f aca="false">IF(BZ1713=1,0,ROUNDUP(AP1713/BY1713,0))</f>
        <v>1</v>
      </c>
      <c r="AR1713" s="52" t="n">
        <f aca="false">IF(CQ1713&gt;0,CQ1713*MAX(1,AP1713/X1713),IF(BZ1713=1,IF(AP1713&lt;=0,0,CD1713*MAX(1,IF(H1713&gt;0,AP1713/H1713,1))),IF(R1713&gt;0,AQ1713/R1713,0))/MAX(0.1,N(Parameter!$M$21)))</f>
        <v>0.00961538461538462</v>
      </c>
      <c r="AS1713" s="50" t="n">
        <f aca="false">AR1713*CB1713</f>
        <v>1.49038461538462</v>
      </c>
      <c r="AT1713" s="51" t="n">
        <f aca="false">IF(LEFT(Cockpit!$I$5,1)="A",H1713,IF(CH1713=1,(CK1713+CI1713)/2,IF(LEFT(Cockpit!$I$5,1)="B",(CK1713+AV1713)/2,MAX((CK1713+AV1713)/2,H1713))))</f>
        <v>9</v>
      </c>
      <c r="AU1713" s="50" t="n">
        <f aca="false">AT1713*G1713</f>
        <v>0.9</v>
      </c>
      <c r="AV1713" s="50" t="n">
        <f aca="false">ROUNDUP(CK1713+MAX(CL1713,2*(J1713/IF(CG1713&gt;0,CG1713,MAX(0.1,N(Cockpit!$I$6)))-CK1713)),0)</f>
        <v>10</v>
      </c>
      <c r="AW1713" s="51" t="n">
        <f aca="false">IF(AS1713&gt;0,J1713/AS1713,-1)</f>
        <v>0</v>
      </c>
      <c r="AX1713" s="51" t="n">
        <f aca="false">IF(AND(OR(CF1713="L1",CF1713="L23",CF1713="LIFT"),AS1713&gt;0),SUMIFS($AS$7:$AS$1843,$CF$7:$CF$1843,CF1713,$AW$7:$AW$1843,"&gt;"&amp;AW1713)+SUMIFS($AS$7:$AS$1843,$CF$7:$CF$1843,CF1713,$AW$7:$AW$1843,AW1713,$BW$7:$BW$1843,"&lt;="&amp;BW1713),"")</f>
        <v>39303.5216391424</v>
      </c>
      <c r="AY1713" s="58" t="n">
        <f aca="false">IF(AX1713="",0,MAX(0,MIN(1,(IF(CF1713="L1",Parameter!$H$5,IF(CF1713="L23",Parameter!$H$6+Parameter!$H$7,Parameter!$H$5+Parameter!$H$6+Parameter!$H$7))-(AX1713-AS1713))/AS1713)))</f>
        <v>0</v>
      </c>
      <c r="AZ1713" s="50" t="n">
        <f aca="false">IF(LEFT(Cockpit!$O$5,1)="A",H1713,IF(Parameter!$E$30="MAX-Bestand",IF(CH1713=1,CI1713,IF(LEFT(Cockpit!$O$5,1)="B",BF1713,MAX(BF1713,H1713))),ROUNDUP(BD1713,0)))</f>
        <v>5</v>
      </c>
      <c r="BA1713" s="50" t="n">
        <f aca="false">IF(BZ1713=1,0,ROUNDUP(AZ1713/BY1713,0))</f>
        <v>1</v>
      </c>
      <c r="BB1713" s="52" t="n">
        <f aca="false">IF(CQ1713&gt;0,CQ1713*MAX(1,AZ1713/X1713),IF(BZ1713=1,IF(AZ1713&lt;=0,0,CD1713*MAX(1,IF(H1713&gt;0,AZ1713/H1713,1))),IF(R1713&gt;0,BA1713/R1713,0))/MAX(0.1,N(Parameter!$M$21)))</f>
        <v>0.00961538461538462</v>
      </c>
      <c r="BC1713" s="50" t="n">
        <f aca="false">BB1713*CB1713</f>
        <v>1.49038461538462</v>
      </c>
      <c r="BD1713" s="51" t="n">
        <f aca="false">IF(LEFT(Cockpit!$O$5,1)="A",H1713,IF(CH1713=1,(CK1713+CI1713)/2,IF(LEFT(Cockpit!$O$5,1)="B",(CK1713+BF1713)/2,MAX((CK1713+BF1713)/2,H1713))))</f>
        <v>5</v>
      </c>
      <c r="BE1713" s="50" t="n">
        <f aca="false">BD1713*G1713</f>
        <v>0.5</v>
      </c>
      <c r="BF1713" s="50" t="n">
        <f aca="false">ROUNDUP(CK1713+MAX(CL1713,2*(J1713/IF(CG1713&gt;0,CG1713,MAX(0.1,N(Cockpit!$O$6)))-CK1713)),0)</f>
        <v>10</v>
      </c>
      <c r="BG1713" s="51" t="n">
        <f aca="false">IF(BC1713&gt;0,J1713/BC1713,-1)</f>
        <v>0</v>
      </c>
      <c r="BH1713" s="51" t="n">
        <f aca="false">IF(AND(OR(CF1713="L1",CF1713="L23",CF1713="LIFT"),BC1713&gt;0),SUMIFS($BC$7:$BC$1843,$CF$7:$CF$1843,CF1713,$BG$7:$BG$1843,"&gt;"&amp;BG1713)+SUMIFS($BC$7:$BC$1843,$CF$7:$CF$1843,CF1713,$BG$7:$BG$1843,BG1713,$BW$7:$BW$1843,"&lt;="&amp;BW1713),"")</f>
        <v>32534.8044897664</v>
      </c>
      <c r="BI1713" s="58" t="n">
        <f aca="false">IF(BH1713="",0,MAX(0,MIN(1,(IF(CF1713="L1",Parameter!$H$5,IF(CF1713="L23",Parameter!$H$6+Parameter!$H$7,Parameter!$H$5+Parameter!$H$6+Parameter!$H$7))-(BH1713-BC1713))/BC1713)))</f>
        <v>1</v>
      </c>
      <c r="BJ1713" s="48" t="str">
        <f aca="false">IF(AI1713&lt;=0,"",IF(CF1713="Aussen","Aussenlager",IF(CF1713="-","Nicht im Lift",IF(AO1713&gt;=1,"Lift",IF(AO1713&lt;=0,"Aussenlager","teilweise")))))</f>
        <v>Lift</v>
      </c>
      <c r="BK1713" s="48" t="str">
        <f aca="false">IF(AS1713&lt;=0,"",IF(CF1713="Aussen","Aussenlager",IF(CF1713="-","Nicht im Lift",IF(AY1713&gt;=1,"Lift",IF(AY1713&lt;=0,"Aussenlager","teilweise")))))</f>
        <v>Aussenlager</v>
      </c>
      <c r="BL1713" s="48" t="str">
        <f aca="false">IF(BC1713&lt;=0,"",IF(CF1713="Aussen","Aussenlager",IF(CF1713="-","Nicht im Lift",IF(BI1713&gt;=1,"Lift",IF(BI1713&lt;=0,"Aussenlager","teilweise")))))</f>
        <v>Lift</v>
      </c>
      <c r="BM1713" s="48" t="str">
        <f aca="false">IF(A1713="","",IF(BV1713=1,"Neu; ","")&amp;IF(AND(BV1713=0,BQ1713&lt;0),"negativer Bestand (Export "&amp;BQ1713&amp;"); ","")&amp;IF(J1713&lt;=0,"Kein Verbrauch; ","")&amp;IF(CQ1713&gt;0,"Lift "&amp;W1713&amp;" lt. Liftbericht (Fach "&amp;X1713&amp;" Stk); ",IF(CA1713=1,"Gebinde geschätzt ("&amp;T1713&amp;"); ",IF(BZ1713=1,"Lose – Tablare geschätzt; ","")))&amp;IF(H1713&gt;AV1713,"Überbestand "&amp;ROUND(H1713-AV1713,0)&amp;" Stk / CHF "&amp;ROUND((H1713-AV1713)*G1713,0)&amp;"; ","")&amp;IF(AND(CH1713=1,CI1713&lt;CJ1713),"MAX &lt; MB+LG; ","")&amp;IF(AND(CP1713&gt;0,CO1713*10&gt;CP1713),"zu hoch für Tablar; ","")&amp;IF(AND(BV1713=0,OR(CH1713=1,AA1713&lt;&gt;"",U1713&lt;&gt;"",V1713&lt;&gt;"",AB1713&lt;&gt;"")),"manuell übersteuert; ","")&amp;IF(AND(BZ1713=0,R1713=0),"Gebinde unbekannt / Stellmass fehlt; ","")&amp;IF(AND(BZ1713=0,N(V1713)&lt;=0,N(Q1713)&lt;=0),"Menge pro Gebinde fehlt (Ist = 1 Gebinde); ","")&amp;BU1713)</f>
        <v>Kein Verbrauch; nur im Artikelstamm (Bestand 23.06.2026)</v>
      </c>
      <c r="BN1713" s="48"/>
      <c r="BO1713" s="48"/>
      <c r="BP1713" s="55"/>
      <c r="BQ1713" s="50" t="n">
        <v>9</v>
      </c>
      <c r="BR1713" s="50" t="n">
        <v>0</v>
      </c>
      <c r="BS1713" s="49" t="n">
        <v>0</v>
      </c>
      <c r="BT1713" s="50" t="n">
        <v>0</v>
      </c>
      <c r="BU1713" s="48" t="s">
        <v>2584</v>
      </c>
      <c r="BV1713" s="53" t="n">
        <v>0</v>
      </c>
      <c r="BW1713" s="53" t="n">
        <v>1713</v>
      </c>
      <c r="BX1713" s="48" t="str">
        <f aca="false">IF(U1713&lt;&gt;"",UPPER(TRIM(U1713)),IF(CA1713=1,UPPER(VLOOKUP(T1713,Parameter!$I$27:$K$29,2,0)),IF(P1713="","LOSE",P1713)))</f>
        <v>S32</v>
      </c>
      <c r="BY1713" s="50" t="n">
        <f aca="false">IF(BX1713="LOSE",1,IF(N(V1713)&gt;0,V1713,IF(CA1713=1,MAX(1,N(VLOOKUP(T1713,Parameter!$I$27:$K$29,3,0)),H1713,N(N1713)),IF(N(Q1713)&gt;0,Q1713,MAX(1,H1713)))))</f>
        <v>9</v>
      </c>
      <c r="BZ1713" s="53" t="n">
        <f aca="false">IF(BX1713="LOSE",1,0)</f>
        <v>0</v>
      </c>
      <c r="CA1713" s="53" t="n">
        <f aca="false">IF(AND(U1713="",OR(P1713="",P1713="LOSE"),T1713&lt;&gt;"",N(S1713)&lt;=0,ISNUMBER(MATCH(T1713,Parameter!$I$27:$I$29,0))),1,0)</f>
        <v>0</v>
      </c>
      <c r="CB1713" s="53" t="n">
        <f aca="false">IF(CQ1713&gt;0,INDEX(Parameter!$H$5:$H$7,W1713)/INDEX(Parameter!$E$5:$E$7,W1713),IF(AND(BZ1713=0,N(IFERROR(VLOOKUP(BX1713,'Gebinde-Kategorie'!$A$5:$N$45,14,0),0))&gt;0),VLOOKUP(BX1713,'Gebinde-Kategorie'!$A$5:$N$45,14,0)*10+Parameter!$M$23,Parameter!$M$24))</f>
        <v>155</v>
      </c>
      <c r="CC1713" s="48" t="str">
        <f aca="false">IF(AND(Parameter!$B$19="Ja",E1713&lt;&gt;"",ISNUMBER(MATCH(E1713,Parameter!$I$35:$I$52,0))),VLOOKUP(E1713,Parameter!$I$35:$J$52,2,0),IFERROR(VLOOKUP(D1713,Parameter!$A$35:$C$64,2,0),"Nein"))</f>
        <v>2+3</v>
      </c>
      <c r="CD1713" s="52" t="n">
        <f aca="false">IF(BZ1713=0,0,IF(N(S1713)&gt;0,S1713,IFERROR(VLOOKUP(D1713,Parameter!$A$35:$C$64,3,0)+0,0)))</f>
        <v>0</v>
      </c>
      <c r="CE1713" s="48" t="n">
        <f aca="false">IF(AA1713&lt;&gt;"",AA1713,Z1713)</f>
        <v>3</v>
      </c>
      <c r="CF1713" s="48" t="str">
        <f aca="false">IF(OR(CE1713=1,CE1713=2,CE1713=3),IF(Parameter!$E$27="Ja","LIFT",IF(CE1713=1,"L1","L23")),IF(CE1713="Aussen","Aussen","-"))</f>
        <v>LIFT</v>
      </c>
      <c r="CG1713" s="59" t="n">
        <f aca="false">IF(N(AB1713)&gt;0,AB1713,0)</f>
        <v>0</v>
      </c>
      <c r="CH1713" s="53" t="n">
        <f aca="false">IF(ISNUMBER(AE1713),1,0)</f>
        <v>0</v>
      </c>
      <c r="CI1713" s="50" t="n">
        <f aca="false">N(AE1713)</f>
        <v>0</v>
      </c>
      <c r="CJ1713" s="50" t="n">
        <f aca="false">N(M1713)+N(N1713)</f>
        <v>10</v>
      </c>
      <c r="CK1713" s="50" t="n">
        <f aca="false">N(M1713)</f>
        <v>0</v>
      </c>
      <c r="CL1713" s="50" t="n">
        <f aca="false">N(N1713)</f>
        <v>10</v>
      </c>
      <c r="CM1713" s="50" t="n">
        <f aca="false">ROUNDUP(H1713/BY1713,0)</f>
        <v>1</v>
      </c>
      <c r="CN1713" s="50" t="n">
        <f aca="false">ROUNDUP(CI1713/BY1713,0)</f>
        <v>0</v>
      </c>
      <c r="CO1713" s="53" t="n">
        <f aca="false">IF(BZ1713=1,0,IFERROR(VLOOKUP(BX1713,'Gebinde-Kategorie'!$A$5:$N$45,5,0)+0,0))</f>
        <v>8</v>
      </c>
      <c r="CP1713" s="53" t="n">
        <f aca="false">IFERROR(IF(OR(CE1713=1,CE1713=2,CE1713=3),N(INDEX(Parameter!$I$5:$I$7,CE1713)),0),0)</f>
        <v>0</v>
      </c>
      <c r="CQ1713" s="52" t="n">
        <f aca="false">IF(AND(Parameter!$B$21="Ja",ISNUMBER(W1713),N(X1713)&gt;0),IFERROR(N(INDEX(Parameter!$L$5:$L$7,W1713))*INDEX(Parameter!$E$5:$E$7,W1713)*X1713/SUMIFS($X$7:$X$1843,$W$7:$W$1843,W1713),0),0)</f>
        <v>0</v>
      </c>
    </row>
    <row r="1714" customFormat="false" ht="15" hidden="false" customHeight="false" outlineLevel="0" collapsed="false">
      <c r="A1714" s="48" t="s">
        <v>2974</v>
      </c>
      <c r="B1714" s="48" t="s">
        <v>2975</v>
      </c>
      <c r="C1714" s="48" t="s">
        <v>173</v>
      </c>
      <c r="D1714" s="48" t="s">
        <v>193</v>
      </c>
      <c r="E1714" s="48"/>
      <c r="F1714" s="48"/>
      <c r="G1714" s="49" t="n">
        <v>72.47</v>
      </c>
      <c r="H1714" s="50" t="n">
        <f aca="false">MAX(0,IF(AND(Parameter!$B$21="Ja",ISNUMBER(Y1714)),Y1714,IF(Parameter!$B$20="Jahresanfang 2025 + Export",BR1714+BQ1714,BQ1714)))</f>
        <v>5</v>
      </c>
      <c r="I1714" s="50" t="n">
        <f aca="false">H1714*G1714</f>
        <v>362.35</v>
      </c>
      <c r="J1714" s="50" t="n">
        <f aca="false">BT1714*Parameter!$B$18</f>
        <v>0</v>
      </c>
      <c r="K1714" s="51"/>
      <c r="L1714" s="52"/>
      <c r="M1714" s="50" t="n">
        <v>0</v>
      </c>
      <c r="N1714" s="50" t="n">
        <v>1</v>
      </c>
      <c r="O1714" s="53" t="n">
        <v>35</v>
      </c>
      <c r="P1714" s="48" t="s">
        <v>430</v>
      </c>
      <c r="Q1714" s="50" t="n">
        <v>6</v>
      </c>
      <c r="R1714" s="53" t="n">
        <f aca="false">IF(BZ1714=1,0,IFERROR(VLOOKUP(BX1714,'Gebinde-Kategorie'!$A$5:$N$45,13,0)+0,0))</f>
        <v>104</v>
      </c>
      <c r="S1714" s="54"/>
      <c r="T1714" s="55"/>
      <c r="U1714" s="55"/>
      <c r="V1714" s="55"/>
      <c r="W1714" s="48"/>
      <c r="X1714" s="50"/>
      <c r="Y1714" s="50"/>
      <c r="Z1714" s="48" t="n">
        <f aca="false">IF(A1714="","",IF(AND(Parameter!$B$21="Ja",ISNUMBER(W1714)),W1714,IF(CC1714="2+3",IF(ISNUMBER(SEARCH("grosser Artikel",BU1714)),2,IFERROR(VLOOKUP(BX1714,Parameter!$F$35:$G$64,2,0),2)),IF(OR(CC1714="Nein",CC1714=""),"-",CC1714))))</f>
        <v>3</v>
      </c>
      <c r="AA1714" s="55"/>
      <c r="AB1714" s="56"/>
      <c r="AC1714" s="50" t="n">
        <f aca="false">AV1714</f>
        <v>1</v>
      </c>
      <c r="AD1714" s="50" t="n">
        <f aca="false">MAX(AV1714,H1714)</f>
        <v>5</v>
      </c>
      <c r="AE1714" s="57"/>
      <c r="AF1714" s="50" t="n">
        <f aca="false">IF(LEFT(Cockpit!$C$5,1)="A",H1714,IF(Parameter!$E$30="MAX-Bestand",IF(CH1714=1,CI1714,IF(LEFT(Cockpit!$C$5,1)="B",AL1714,MAX(AL1714,H1714))),ROUNDUP(AJ1714,0)))</f>
        <v>5</v>
      </c>
      <c r="AG1714" s="50" t="n">
        <f aca="false">IF(BZ1714=1,0,ROUNDUP(AF1714/BY1714,0))</f>
        <v>1</v>
      </c>
      <c r="AH1714" s="52" t="n">
        <f aca="false">IF(CQ1714&gt;0,CQ1714*MAX(1,AF1714/X1714),IF(BZ1714=1,IF(AF1714&lt;=0,0,CD1714*MAX(1,IF(H1714&gt;0,AF1714/H1714,1))),IF(R1714&gt;0,AG1714/R1714,0))/MAX(0.1,N(Parameter!$M$21)))</f>
        <v>0.00961538461538462</v>
      </c>
      <c r="AI1714" s="50" t="n">
        <f aca="false">AH1714*CB1714</f>
        <v>1.49038461538462</v>
      </c>
      <c r="AJ1714" s="51" t="n">
        <f aca="false">IF(LEFT(Cockpit!$C$5,1)="A",H1714,IF(CH1714=1,(CK1714+CI1714)/2,IF(LEFT(Cockpit!$C$5,1)="B",(CK1714+AL1714)/2,MAX((CK1714+AL1714)/2,H1714))))</f>
        <v>5</v>
      </c>
      <c r="AK1714" s="50" t="n">
        <f aca="false">AJ1714*G1714</f>
        <v>362.35</v>
      </c>
      <c r="AL1714" s="50" t="n">
        <f aca="false">ROUNDUP(CK1714+MAX(CL1714,2*(J1714/IF(CG1714&gt;0,CG1714,MAX(0.1,N(Cockpit!$C$6)))-CK1714)),0)</f>
        <v>1</v>
      </c>
      <c r="AM1714" s="51" t="n">
        <f aca="false">IF(AI1714&gt;0,J1714/AI1714,-1)</f>
        <v>0</v>
      </c>
      <c r="AN1714" s="51" t="n">
        <f aca="false">IF(AND(OR(CF1714="L1",CF1714="L23",CF1714="LIFT"),AI1714&gt;0),SUMIFS($AI$7:$AI$1843,$CF$7:$CF$1843,CF1714,$AM$7:$AM$1843,"&gt;"&amp;AM1714)+SUMIFS($AI$7:$AI$1843,$CF$7:$CF$1843,CF1714,$AM$7:$AM$1843,AM1714,$BW$7:$BW$1843,"&lt;="&amp;BW1714),"")</f>
        <v>32831.6566503177</v>
      </c>
      <c r="AO1714" s="58" t="n">
        <f aca="false">IF(AN1714="",0,MAX(0,MIN(1,(IF(CF1714="L1",Parameter!$H$5,IF(CF1714="L23",Parameter!$H$6+Parameter!$H$7,Parameter!$H$5+Parameter!$H$6+Parameter!$H$7))-(AN1714-AI1714))/AI1714)))</f>
        <v>1</v>
      </c>
      <c r="AP1714" s="50" t="n">
        <f aca="false">IF(LEFT(Cockpit!$I$5,1)="A",H1714,IF(Parameter!$E$30="MAX-Bestand",IF(CH1714=1,CI1714,IF(LEFT(Cockpit!$I$5,1)="B",AV1714,MAX(AV1714,H1714))),ROUNDUP(AT1714,0)))</f>
        <v>5</v>
      </c>
      <c r="AQ1714" s="50" t="n">
        <f aca="false">IF(BZ1714=1,0,ROUNDUP(AP1714/BY1714,0))</f>
        <v>1</v>
      </c>
      <c r="AR1714" s="52" t="n">
        <f aca="false">IF(CQ1714&gt;0,CQ1714*MAX(1,AP1714/X1714),IF(BZ1714=1,IF(AP1714&lt;=0,0,CD1714*MAX(1,IF(H1714&gt;0,AP1714/H1714,1))),IF(R1714&gt;0,AQ1714/R1714,0))/MAX(0.1,N(Parameter!$M$21)))</f>
        <v>0.00961538461538462</v>
      </c>
      <c r="AS1714" s="50" t="n">
        <f aca="false">AR1714*CB1714</f>
        <v>1.49038461538462</v>
      </c>
      <c r="AT1714" s="51" t="n">
        <f aca="false">IF(LEFT(Cockpit!$I$5,1)="A",H1714,IF(CH1714=1,(CK1714+CI1714)/2,IF(LEFT(Cockpit!$I$5,1)="B",(CK1714+AV1714)/2,MAX((CK1714+AV1714)/2,H1714))))</f>
        <v>5</v>
      </c>
      <c r="AU1714" s="50" t="n">
        <f aca="false">AT1714*G1714</f>
        <v>362.35</v>
      </c>
      <c r="AV1714" s="50" t="n">
        <f aca="false">ROUNDUP(CK1714+MAX(CL1714,2*(J1714/IF(CG1714&gt;0,CG1714,MAX(0.1,N(Cockpit!$I$6)))-CK1714)),0)</f>
        <v>1</v>
      </c>
      <c r="AW1714" s="51" t="n">
        <f aca="false">IF(AS1714&gt;0,J1714/AS1714,-1)</f>
        <v>0</v>
      </c>
      <c r="AX1714" s="51" t="n">
        <f aca="false">IF(AND(OR(CF1714="L1",CF1714="L23",CF1714="LIFT"),AS1714&gt;0),SUMIFS($AS$7:$AS$1843,$CF$7:$CF$1843,CF1714,$AW$7:$AW$1843,"&gt;"&amp;AW1714)+SUMIFS($AS$7:$AS$1843,$CF$7:$CF$1843,CF1714,$AW$7:$AW$1843,AW1714,$BW$7:$BW$1843,"&lt;="&amp;BW1714),"")</f>
        <v>39305.0120237578</v>
      </c>
      <c r="AY1714" s="58" t="n">
        <f aca="false">IF(AX1714="",0,MAX(0,MIN(1,(IF(CF1714="L1",Parameter!$H$5,IF(CF1714="L23",Parameter!$H$6+Parameter!$H$7,Parameter!$H$5+Parameter!$H$6+Parameter!$H$7))-(AX1714-AS1714))/AS1714)))</f>
        <v>0</v>
      </c>
      <c r="AZ1714" s="50" t="n">
        <f aca="false">IF(LEFT(Cockpit!$O$5,1)="A",H1714,IF(Parameter!$E$30="MAX-Bestand",IF(CH1714=1,CI1714,IF(LEFT(Cockpit!$O$5,1)="B",BF1714,MAX(BF1714,H1714))),ROUNDUP(BD1714,0)))</f>
        <v>1</v>
      </c>
      <c r="BA1714" s="50" t="n">
        <f aca="false">IF(BZ1714=1,0,ROUNDUP(AZ1714/BY1714,0))</f>
        <v>1</v>
      </c>
      <c r="BB1714" s="52" t="n">
        <f aca="false">IF(CQ1714&gt;0,CQ1714*MAX(1,AZ1714/X1714),IF(BZ1714=1,IF(AZ1714&lt;=0,0,CD1714*MAX(1,IF(H1714&gt;0,AZ1714/H1714,1))),IF(R1714&gt;0,BA1714/R1714,0))/MAX(0.1,N(Parameter!$M$21)))</f>
        <v>0.00961538461538462</v>
      </c>
      <c r="BC1714" s="50" t="n">
        <f aca="false">BB1714*CB1714</f>
        <v>1.49038461538462</v>
      </c>
      <c r="BD1714" s="51" t="n">
        <f aca="false">IF(LEFT(Cockpit!$O$5,1)="A",H1714,IF(CH1714=1,(CK1714+CI1714)/2,IF(LEFT(Cockpit!$O$5,1)="B",(CK1714+BF1714)/2,MAX((CK1714+BF1714)/2,H1714))))</f>
        <v>0.5</v>
      </c>
      <c r="BE1714" s="50" t="n">
        <f aca="false">BD1714*G1714</f>
        <v>36.235</v>
      </c>
      <c r="BF1714" s="50" t="n">
        <f aca="false">ROUNDUP(CK1714+MAX(CL1714,2*(J1714/IF(CG1714&gt;0,CG1714,MAX(0.1,N(Cockpit!$O$6)))-CK1714)),0)</f>
        <v>1</v>
      </c>
      <c r="BG1714" s="51" t="n">
        <f aca="false">IF(BC1714&gt;0,J1714/BC1714,-1)</f>
        <v>0</v>
      </c>
      <c r="BH1714" s="51" t="n">
        <f aca="false">IF(AND(OR(CF1714="L1",CF1714="L23",CF1714="LIFT"),BC1714&gt;0),SUMIFS($BC$7:$BC$1843,$CF$7:$CF$1843,CF1714,$BG$7:$BG$1843,"&gt;"&amp;BG1714)+SUMIFS($BC$7:$BC$1843,$CF$7:$CF$1843,CF1714,$BG$7:$BG$1843,BG1714,$BW$7:$BW$1843,"&lt;="&amp;BW1714),"")</f>
        <v>32536.2948743817</v>
      </c>
      <c r="BI1714" s="58" t="n">
        <f aca="false">IF(BH1714="",0,MAX(0,MIN(1,(IF(CF1714="L1",Parameter!$H$5,IF(CF1714="L23",Parameter!$H$6+Parameter!$H$7,Parameter!$H$5+Parameter!$H$6+Parameter!$H$7))-(BH1714-BC1714))/BC1714)))</f>
        <v>1</v>
      </c>
      <c r="BJ1714" s="48" t="str">
        <f aca="false">IF(AI1714&lt;=0,"",IF(CF1714="Aussen","Aussenlager",IF(CF1714="-","Nicht im Lift",IF(AO1714&gt;=1,"Lift",IF(AO1714&lt;=0,"Aussenlager","teilweise")))))</f>
        <v>Lift</v>
      </c>
      <c r="BK1714" s="48" t="str">
        <f aca="false">IF(AS1714&lt;=0,"",IF(CF1714="Aussen","Aussenlager",IF(CF1714="-","Nicht im Lift",IF(AY1714&gt;=1,"Lift",IF(AY1714&lt;=0,"Aussenlager","teilweise")))))</f>
        <v>Aussenlager</v>
      </c>
      <c r="BL1714" s="48" t="str">
        <f aca="false">IF(BC1714&lt;=0,"",IF(CF1714="Aussen","Aussenlager",IF(CF1714="-","Nicht im Lift",IF(BI1714&gt;=1,"Lift",IF(BI1714&lt;=0,"Aussenlager","teilweise")))))</f>
        <v>Lift</v>
      </c>
      <c r="BM1714" s="48" t="str">
        <f aca="false">IF(A1714="","",IF(BV1714=1,"Neu; ","")&amp;IF(AND(BV1714=0,BQ1714&lt;0),"negativer Bestand (Export "&amp;BQ1714&amp;"); ","")&amp;IF(J1714&lt;=0,"Kein Verbrauch; ","")&amp;IF(CQ1714&gt;0,"Lift "&amp;W1714&amp;" lt. Liftbericht (Fach "&amp;X1714&amp;" Stk); ",IF(CA1714=1,"Gebinde geschätzt ("&amp;T1714&amp;"); ",IF(BZ1714=1,"Lose – Tablare geschätzt; ","")))&amp;IF(H1714&gt;AV1714,"Überbestand "&amp;ROUND(H1714-AV1714,0)&amp;" Stk / CHF "&amp;ROUND((H1714-AV1714)*G1714,0)&amp;"; ","")&amp;IF(AND(CH1714=1,CI1714&lt;CJ1714),"MAX &lt; MB+LG; ","")&amp;IF(AND(CP1714&gt;0,CO1714*10&gt;CP1714),"zu hoch für Tablar; ","")&amp;IF(AND(BV1714=0,OR(CH1714=1,AA1714&lt;&gt;"",U1714&lt;&gt;"",V1714&lt;&gt;"",AB1714&lt;&gt;"")),"manuell übersteuert; ","")&amp;IF(AND(BZ1714=0,R1714=0),"Gebinde unbekannt / Stellmass fehlt; ","")&amp;IF(AND(BZ1714=0,N(V1714)&lt;=0,N(Q1714)&lt;=0),"Menge pro Gebinde fehlt (Ist = 1 Gebinde); ","")&amp;BU1714)</f>
        <v>Kein Verbrauch; Überbestand 4 Stk / CHF 290; nur im Artikelstamm (Bestand 23.06.2026)</v>
      </c>
      <c r="BN1714" s="48"/>
      <c r="BO1714" s="48"/>
      <c r="BP1714" s="55"/>
      <c r="BQ1714" s="50" t="n">
        <v>5</v>
      </c>
      <c r="BR1714" s="50" t="n">
        <v>0</v>
      </c>
      <c r="BS1714" s="49" t="n">
        <v>0</v>
      </c>
      <c r="BT1714" s="50" t="n">
        <v>0</v>
      </c>
      <c r="BU1714" s="48" t="s">
        <v>2584</v>
      </c>
      <c r="BV1714" s="53" t="n">
        <v>0</v>
      </c>
      <c r="BW1714" s="53" t="n">
        <v>1714</v>
      </c>
      <c r="BX1714" s="48" t="str">
        <f aca="false">IF(U1714&lt;&gt;"",UPPER(TRIM(U1714)),IF(CA1714=1,UPPER(VLOOKUP(T1714,Parameter!$I$27:$K$29,2,0)),IF(P1714="","LOSE",P1714)))</f>
        <v>S32</v>
      </c>
      <c r="BY1714" s="50" t="n">
        <f aca="false">IF(BX1714="LOSE",1,IF(N(V1714)&gt;0,V1714,IF(CA1714=1,MAX(1,N(VLOOKUP(T1714,Parameter!$I$27:$K$29,3,0)),H1714,N(N1714)),IF(N(Q1714)&gt;0,Q1714,MAX(1,H1714)))))</f>
        <v>6</v>
      </c>
      <c r="BZ1714" s="53" t="n">
        <f aca="false">IF(BX1714="LOSE",1,0)</f>
        <v>0</v>
      </c>
      <c r="CA1714" s="53" t="n">
        <f aca="false">IF(AND(U1714="",OR(P1714="",P1714="LOSE"),T1714&lt;&gt;"",N(S1714)&lt;=0,ISNUMBER(MATCH(T1714,Parameter!$I$27:$I$29,0))),1,0)</f>
        <v>0</v>
      </c>
      <c r="CB1714" s="53" t="n">
        <f aca="false">IF(CQ1714&gt;0,INDEX(Parameter!$H$5:$H$7,W1714)/INDEX(Parameter!$E$5:$E$7,W1714),IF(AND(BZ1714=0,N(IFERROR(VLOOKUP(BX1714,'Gebinde-Kategorie'!$A$5:$N$45,14,0),0))&gt;0),VLOOKUP(BX1714,'Gebinde-Kategorie'!$A$5:$N$45,14,0)*10+Parameter!$M$23,Parameter!$M$24))</f>
        <v>155</v>
      </c>
      <c r="CC1714" s="48" t="str">
        <f aca="false">IF(AND(Parameter!$B$19="Ja",E1714&lt;&gt;"",ISNUMBER(MATCH(E1714,Parameter!$I$35:$I$52,0))),VLOOKUP(E1714,Parameter!$I$35:$J$52,2,0),IFERROR(VLOOKUP(D1714,Parameter!$A$35:$C$64,2,0),"Nein"))</f>
        <v>2+3</v>
      </c>
      <c r="CD1714" s="52" t="n">
        <f aca="false">IF(BZ1714=0,0,IF(N(S1714)&gt;0,S1714,IFERROR(VLOOKUP(D1714,Parameter!$A$35:$C$64,3,0)+0,0)))</f>
        <v>0</v>
      </c>
      <c r="CE1714" s="48" t="n">
        <f aca="false">IF(AA1714&lt;&gt;"",AA1714,Z1714)</f>
        <v>3</v>
      </c>
      <c r="CF1714" s="48" t="str">
        <f aca="false">IF(OR(CE1714=1,CE1714=2,CE1714=3),IF(Parameter!$E$27="Ja","LIFT",IF(CE1714=1,"L1","L23")),IF(CE1714="Aussen","Aussen","-"))</f>
        <v>LIFT</v>
      </c>
      <c r="CG1714" s="59" t="n">
        <f aca="false">IF(N(AB1714)&gt;0,AB1714,0)</f>
        <v>0</v>
      </c>
      <c r="CH1714" s="53" t="n">
        <f aca="false">IF(ISNUMBER(AE1714),1,0)</f>
        <v>0</v>
      </c>
      <c r="CI1714" s="50" t="n">
        <f aca="false">N(AE1714)</f>
        <v>0</v>
      </c>
      <c r="CJ1714" s="50" t="n">
        <f aca="false">N(M1714)+N(N1714)</f>
        <v>1</v>
      </c>
      <c r="CK1714" s="50" t="n">
        <f aca="false">N(M1714)</f>
        <v>0</v>
      </c>
      <c r="CL1714" s="50" t="n">
        <f aca="false">N(N1714)</f>
        <v>1</v>
      </c>
      <c r="CM1714" s="50" t="n">
        <f aca="false">ROUNDUP(H1714/BY1714,0)</f>
        <v>1</v>
      </c>
      <c r="CN1714" s="50" t="n">
        <f aca="false">ROUNDUP(CI1714/BY1714,0)</f>
        <v>0</v>
      </c>
      <c r="CO1714" s="53" t="n">
        <f aca="false">IF(BZ1714=1,0,IFERROR(VLOOKUP(BX1714,'Gebinde-Kategorie'!$A$5:$N$45,5,0)+0,0))</f>
        <v>8</v>
      </c>
      <c r="CP1714" s="53" t="n">
        <f aca="false">IFERROR(IF(OR(CE1714=1,CE1714=2,CE1714=3),N(INDEX(Parameter!$I$5:$I$7,CE1714)),0),0)</f>
        <v>0</v>
      </c>
      <c r="CQ1714" s="52" t="n">
        <f aca="false">IF(AND(Parameter!$B$21="Ja",ISNUMBER(W1714),N(X1714)&gt;0),IFERROR(N(INDEX(Parameter!$L$5:$L$7,W1714))*INDEX(Parameter!$E$5:$E$7,W1714)*X1714/SUMIFS($X$7:$X$1843,$W$7:$W$1843,W1714),0),0)</f>
        <v>0</v>
      </c>
    </row>
    <row r="1715" customFormat="false" ht="15" hidden="false" customHeight="false" outlineLevel="0" collapsed="false">
      <c r="A1715" s="48" t="s">
        <v>2976</v>
      </c>
      <c r="B1715" s="48" t="s">
        <v>2977</v>
      </c>
      <c r="C1715" s="48" t="s">
        <v>173</v>
      </c>
      <c r="D1715" s="48" t="s">
        <v>193</v>
      </c>
      <c r="E1715" s="48"/>
      <c r="F1715" s="48"/>
      <c r="G1715" s="49" t="n">
        <v>17.25</v>
      </c>
      <c r="H1715" s="50" t="n">
        <f aca="false">MAX(0,IF(AND(Parameter!$B$21="Ja",ISNUMBER(Y1715)),Y1715,IF(Parameter!$B$20="Jahresanfang 2025 + Export",BR1715+BQ1715,BQ1715)))</f>
        <v>5</v>
      </c>
      <c r="I1715" s="50" t="n">
        <f aca="false">H1715*G1715</f>
        <v>86.25</v>
      </c>
      <c r="J1715" s="50" t="n">
        <f aca="false">BT1715*Parameter!$B$18</f>
        <v>0</v>
      </c>
      <c r="K1715" s="51"/>
      <c r="L1715" s="52"/>
      <c r="M1715" s="50" t="n">
        <v>0</v>
      </c>
      <c r="N1715" s="50" t="n">
        <v>5</v>
      </c>
      <c r="O1715" s="53" t="n">
        <v>35</v>
      </c>
      <c r="P1715" s="48" t="s">
        <v>430</v>
      </c>
      <c r="Q1715" s="50" t="n">
        <v>5</v>
      </c>
      <c r="R1715" s="53" t="n">
        <f aca="false">IF(BZ1715=1,0,IFERROR(VLOOKUP(BX1715,'Gebinde-Kategorie'!$A$5:$N$45,13,0)+0,0))</f>
        <v>104</v>
      </c>
      <c r="S1715" s="54"/>
      <c r="T1715" s="55"/>
      <c r="U1715" s="55"/>
      <c r="V1715" s="55"/>
      <c r="W1715" s="48"/>
      <c r="X1715" s="50"/>
      <c r="Y1715" s="50"/>
      <c r="Z1715" s="48" t="n">
        <f aca="false">IF(A1715="","",IF(AND(Parameter!$B$21="Ja",ISNUMBER(W1715)),W1715,IF(CC1715="2+3",IF(ISNUMBER(SEARCH("grosser Artikel",BU1715)),2,IFERROR(VLOOKUP(BX1715,Parameter!$F$35:$G$64,2,0),2)),IF(OR(CC1715="Nein",CC1715=""),"-",CC1715))))</f>
        <v>3</v>
      </c>
      <c r="AA1715" s="55"/>
      <c r="AB1715" s="56"/>
      <c r="AC1715" s="50" t="n">
        <f aca="false">AV1715</f>
        <v>5</v>
      </c>
      <c r="AD1715" s="50" t="n">
        <f aca="false">MAX(AV1715,H1715)</f>
        <v>5</v>
      </c>
      <c r="AE1715" s="57"/>
      <c r="AF1715" s="50" t="n">
        <f aca="false">IF(LEFT(Cockpit!$C$5,1)="A",H1715,IF(Parameter!$E$30="MAX-Bestand",IF(CH1715=1,CI1715,IF(LEFT(Cockpit!$C$5,1)="B",AL1715,MAX(AL1715,H1715))),ROUNDUP(AJ1715,0)))</f>
        <v>5</v>
      </c>
      <c r="AG1715" s="50" t="n">
        <f aca="false">IF(BZ1715=1,0,ROUNDUP(AF1715/BY1715,0))</f>
        <v>1</v>
      </c>
      <c r="AH1715" s="52" t="n">
        <f aca="false">IF(CQ1715&gt;0,CQ1715*MAX(1,AF1715/X1715),IF(BZ1715=1,IF(AF1715&lt;=0,0,CD1715*MAX(1,IF(H1715&gt;0,AF1715/H1715,1))),IF(R1715&gt;0,AG1715/R1715,0))/MAX(0.1,N(Parameter!$M$21)))</f>
        <v>0.00961538461538462</v>
      </c>
      <c r="AI1715" s="50" t="n">
        <f aca="false">AH1715*CB1715</f>
        <v>1.49038461538462</v>
      </c>
      <c r="AJ1715" s="51" t="n">
        <f aca="false">IF(LEFT(Cockpit!$C$5,1)="A",H1715,IF(CH1715=1,(CK1715+CI1715)/2,IF(LEFT(Cockpit!$C$5,1)="B",(CK1715+AL1715)/2,MAX((CK1715+AL1715)/2,H1715))))</f>
        <v>5</v>
      </c>
      <c r="AK1715" s="50" t="n">
        <f aca="false">AJ1715*G1715</f>
        <v>86.25</v>
      </c>
      <c r="AL1715" s="50" t="n">
        <f aca="false">ROUNDUP(CK1715+MAX(CL1715,2*(J1715/IF(CG1715&gt;0,CG1715,MAX(0.1,N(Cockpit!$C$6)))-CK1715)),0)</f>
        <v>5</v>
      </c>
      <c r="AM1715" s="51" t="n">
        <f aca="false">IF(AI1715&gt;0,J1715/AI1715,-1)</f>
        <v>0</v>
      </c>
      <c r="AN1715" s="51" t="n">
        <f aca="false">IF(AND(OR(CF1715="L1",CF1715="L23",CF1715="LIFT"),AI1715&gt;0),SUMIFS($AI$7:$AI$1843,$CF$7:$CF$1843,CF1715,$AM$7:$AM$1843,"&gt;"&amp;AM1715)+SUMIFS($AI$7:$AI$1843,$CF$7:$CF$1843,CF1715,$AM$7:$AM$1843,AM1715,$BW$7:$BW$1843,"&lt;="&amp;BW1715),"")</f>
        <v>32833.1470349331</v>
      </c>
      <c r="AO1715" s="58" t="n">
        <f aca="false">IF(AN1715="",0,MAX(0,MIN(1,(IF(CF1715="L1",Parameter!$H$5,IF(CF1715="L23",Parameter!$H$6+Parameter!$H$7,Parameter!$H$5+Parameter!$H$6+Parameter!$H$7))-(AN1715-AI1715))/AI1715)))</f>
        <v>1</v>
      </c>
      <c r="AP1715" s="50" t="n">
        <f aca="false">IF(LEFT(Cockpit!$I$5,1)="A",H1715,IF(Parameter!$E$30="MAX-Bestand",IF(CH1715=1,CI1715,IF(LEFT(Cockpit!$I$5,1)="B",AV1715,MAX(AV1715,H1715))),ROUNDUP(AT1715,0)))</f>
        <v>5</v>
      </c>
      <c r="AQ1715" s="50" t="n">
        <f aca="false">IF(BZ1715=1,0,ROUNDUP(AP1715/BY1715,0))</f>
        <v>1</v>
      </c>
      <c r="AR1715" s="52" t="n">
        <f aca="false">IF(CQ1715&gt;0,CQ1715*MAX(1,AP1715/X1715),IF(BZ1715=1,IF(AP1715&lt;=0,0,CD1715*MAX(1,IF(H1715&gt;0,AP1715/H1715,1))),IF(R1715&gt;0,AQ1715/R1715,0))/MAX(0.1,N(Parameter!$M$21)))</f>
        <v>0.00961538461538462</v>
      </c>
      <c r="AS1715" s="50" t="n">
        <f aca="false">AR1715*CB1715</f>
        <v>1.49038461538462</v>
      </c>
      <c r="AT1715" s="51" t="n">
        <f aca="false">IF(LEFT(Cockpit!$I$5,1)="A",H1715,IF(CH1715=1,(CK1715+CI1715)/2,IF(LEFT(Cockpit!$I$5,1)="B",(CK1715+AV1715)/2,MAX((CK1715+AV1715)/2,H1715))))</f>
        <v>5</v>
      </c>
      <c r="AU1715" s="50" t="n">
        <f aca="false">AT1715*G1715</f>
        <v>86.25</v>
      </c>
      <c r="AV1715" s="50" t="n">
        <f aca="false">ROUNDUP(CK1715+MAX(CL1715,2*(J1715/IF(CG1715&gt;0,CG1715,MAX(0.1,N(Cockpit!$I$6)))-CK1715)),0)</f>
        <v>5</v>
      </c>
      <c r="AW1715" s="51" t="n">
        <f aca="false">IF(AS1715&gt;0,J1715/AS1715,-1)</f>
        <v>0</v>
      </c>
      <c r="AX1715" s="51" t="n">
        <f aca="false">IF(AND(OR(CF1715="L1",CF1715="L23",CF1715="LIFT"),AS1715&gt;0),SUMIFS($AS$7:$AS$1843,$CF$7:$CF$1843,CF1715,$AW$7:$AW$1843,"&gt;"&amp;AW1715)+SUMIFS($AS$7:$AS$1843,$CF$7:$CF$1843,CF1715,$AW$7:$AW$1843,AW1715,$BW$7:$BW$1843,"&lt;="&amp;BW1715),"")</f>
        <v>39306.5024083732</v>
      </c>
      <c r="AY1715" s="58" t="n">
        <f aca="false">IF(AX1715="",0,MAX(0,MIN(1,(IF(CF1715="L1",Parameter!$H$5,IF(CF1715="L23",Parameter!$H$6+Parameter!$H$7,Parameter!$H$5+Parameter!$H$6+Parameter!$H$7))-(AX1715-AS1715))/AS1715)))</f>
        <v>0</v>
      </c>
      <c r="AZ1715" s="50" t="n">
        <f aca="false">IF(LEFT(Cockpit!$O$5,1)="A",H1715,IF(Parameter!$E$30="MAX-Bestand",IF(CH1715=1,CI1715,IF(LEFT(Cockpit!$O$5,1)="B",BF1715,MAX(BF1715,H1715))),ROUNDUP(BD1715,0)))</f>
        <v>3</v>
      </c>
      <c r="BA1715" s="50" t="n">
        <f aca="false">IF(BZ1715=1,0,ROUNDUP(AZ1715/BY1715,0))</f>
        <v>1</v>
      </c>
      <c r="BB1715" s="52" t="n">
        <f aca="false">IF(CQ1715&gt;0,CQ1715*MAX(1,AZ1715/X1715),IF(BZ1715=1,IF(AZ1715&lt;=0,0,CD1715*MAX(1,IF(H1715&gt;0,AZ1715/H1715,1))),IF(R1715&gt;0,BA1715/R1715,0))/MAX(0.1,N(Parameter!$M$21)))</f>
        <v>0.00961538461538462</v>
      </c>
      <c r="BC1715" s="50" t="n">
        <f aca="false">BB1715*CB1715</f>
        <v>1.49038461538462</v>
      </c>
      <c r="BD1715" s="51" t="n">
        <f aca="false">IF(LEFT(Cockpit!$O$5,1)="A",H1715,IF(CH1715=1,(CK1715+CI1715)/2,IF(LEFT(Cockpit!$O$5,1)="B",(CK1715+BF1715)/2,MAX((CK1715+BF1715)/2,H1715))))</f>
        <v>2.5</v>
      </c>
      <c r="BE1715" s="50" t="n">
        <f aca="false">BD1715*G1715</f>
        <v>43.125</v>
      </c>
      <c r="BF1715" s="50" t="n">
        <f aca="false">ROUNDUP(CK1715+MAX(CL1715,2*(J1715/IF(CG1715&gt;0,CG1715,MAX(0.1,N(Cockpit!$O$6)))-CK1715)),0)</f>
        <v>5</v>
      </c>
      <c r="BG1715" s="51" t="n">
        <f aca="false">IF(BC1715&gt;0,J1715/BC1715,-1)</f>
        <v>0</v>
      </c>
      <c r="BH1715" s="51" t="n">
        <f aca="false">IF(AND(OR(CF1715="L1",CF1715="L23",CF1715="LIFT"),BC1715&gt;0),SUMIFS($BC$7:$BC$1843,$CF$7:$CF$1843,CF1715,$BG$7:$BG$1843,"&gt;"&amp;BG1715)+SUMIFS($BC$7:$BC$1843,$CF$7:$CF$1843,CF1715,$BG$7:$BG$1843,BG1715,$BW$7:$BW$1843,"&lt;="&amp;BW1715),"")</f>
        <v>32537.7852589971</v>
      </c>
      <c r="BI1715" s="58" t="n">
        <f aca="false">IF(BH1715="",0,MAX(0,MIN(1,(IF(CF1715="L1",Parameter!$H$5,IF(CF1715="L23",Parameter!$H$6+Parameter!$H$7,Parameter!$H$5+Parameter!$H$6+Parameter!$H$7))-(BH1715-BC1715))/BC1715)))</f>
        <v>1</v>
      </c>
      <c r="BJ1715" s="48" t="str">
        <f aca="false">IF(AI1715&lt;=0,"",IF(CF1715="Aussen","Aussenlager",IF(CF1715="-","Nicht im Lift",IF(AO1715&gt;=1,"Lift",IF(AO1715&lt;=0,"Aussenlager","teilweise")))))</f>
        <v>Lift</v>
      </c>
      <c r="BK1715" s="48" t="str">
        <f aca="false">IF(AS1715&lt;=0,"",IF(CF1715="Aussen","Aussenlager",IF(CF1715="-","Nicht im Lift",IF(AY1715&gt;=1,"Lift",IF(AY1715&lt;=0,"Aussenlager","teilweise")))))</f>
        <v>Aussenlager</v>
      </c>
      <c r="BL1715" s="48" t="str">
        <f aca="false">IF(BC1715&lt;=0,"",IF(CF1715="Aussen","Aussenlager",IF(CF1715="-","Nicht im Lift",IF(BI1715&gt;=1,"Lift",IF(BI1715&lt;=0,"Aussenlager","teilweise")))))</f>
        <v>Lift</v>
      </c>
      <c r="BM1715" s="48" t="str">
        <f aca="false">IF(A1715="","",IF(BV1715=1,"Neu; ","")&amp;IF(AND(BV1715=0,BQ1715&lt;0),"negativer Bestand (Export "&amp;BQ1715&amp;"); ","")&amp;IF(J1715&lt;=0,"Kein Verbrauch; ","")&amp;IF(CQ1715&gt;0,"Lift "&amp;W1715&amp;" lt. Liftbericht (Fach "&amp;X1715&amp;" Stk); ",IF(CA1715=1,"Gebinde geschätzt ("&amp;T1715&amp;"); ",IF(BZ1715=1,"Lose – Tablare geschätzt; ","")))&amp;IF(H1715&gt;AV1715,"Überbestand "&amp;ROUND(H1715-AV1715,0)&amp;" Stk / CHF "&amp;ROUND((H1715-AV1715)*G1715,0)&amp;"; ","")&amp;IF(AND(CH1715=1,CI1715&lt;CJ1715),"MAX &lt; MB+LG; ","")&amp;IF(AND(CP1715&gt;0,CO1715*10&gt;CP1715),"zu hoch für Tablar; ","")&amp;IF(AND(BV1715=0,OR(CH1715=1,AA1715&lt;&gt;"",U1715&lt;&gt;"",V1715&lt;&gt;"",AB1715&lt;&gt;"")),"manuell übersteuert; ","")&amp;IF(AND(BZ1715=0,R1715=0),"Gebinde unbekannt / Stellmass fehlt; ","")&amp;IF(AND(BZ1715=0,N(V1715)&lt;=0,N(Q1715)&lt;=0),"Menge pro Gebinde fehlt (Ist = 1 Gebinde); ","")&amp;BU1715)</f>
        <v>Kein Verbrauch; nur im Artikelstamm (Bestand 23.06.2026)</v>
      </c>
      <c r="BN1715" s="48"/>
      <c r="BO1715" s="48"/>
      <c r="BP1715" s="55"/>
      <c r="BQ1715" s="50" t="n">
        <v>5</v>
      </c>
      <c r="BR1715" s="50" t="n">
        <v>0</v>
      </c>
      <c r="BS1715" s="49" t="n">
        <v>0</v>
      </c>
      <c r="BT1715" s="50" t="n">
        <v>0</v>
      </c>
      <c r="BU1715" s="48" t="s">
        <v>2584</v>
      </c>
      <c r="BV1715" s="53" t="n">
        <v>0</v>
      </c>
      <c r="BW1715" s="53" t="n">
        <v>1715</v>
      </c>
      <c r="BX1715" s="48" t="str">
        <f aca="false">IF(U1715&lt;&gt;"",UPPER(TRIM(U1715)),IF(CA1715=1,UPPER(VLOOKUP(T1715,Parameter!$I$27:$K$29,2,0)),IF(P1715="","LOSE",P1715)))</f>
        <v>S32</v>
      </c>
      <c r="BY1715" s="50" t="n">
        <f aca="false">IF(BX1715="LOSE",1,IF(N(V1715)&gt;0,V1715,IF(CA1715=1,MAX(1,N(VLOOKUP(T1715,Parameter!$I$27:$K$29,3,0)),H1715,N(N1715)),IF(N(Q1715)&gt;0,Q1715,MAX(1,H1715)))))</f>
        <v>5</v>
      </c>
      <c r="BZ1715" s="53" t="n">
        <f aca="false">IF(BX1715="LOSE",1,0)</f>
        <v>0</v>
      </c>
      <c r="CA1715" s="53" t="n">
        <f aca="false">IF(AND(U1715="",OR(P1715="",P1715="LOSE"),T1715&lt;&gt;"",N(S1715)&lt;=0,ISNUMBER(MATCH(T1715,Parameter!$I$27:$I$29,0))),1,0)</f>
        <v>0</v>
      </c>
      <c r="CB1715" s="53" t="n">
        <f aca="false">IF(CQ1715&gt;0,INDEX(Parameter!$H$5:$H$7,W1715)/INDEX(Parameter!$E$5:$E$7,W1715),IF(AND(BZ1715=0,N(IFERROR(VLOOKUP(BX1715,'Gebinde-Kategorie'!$A$5:$N$45,14,0),0))&gt;0),VLOOKUP(BX1715,'Gebinde-Kategorie'!$A$5:$N$45,14,0)*10+Parameter!$M$23,Parameter!$M$24))</f>
        <v>155</v>
      </c>
      <c r="CC1715" s="48" t="str">
        <f aca="false">IF(AND(Parameter!$B$19="Ja",E1715&lt;&gt;"",ISNUMBER(MATCH(E1715,Parameter!$I$35:$I$52,0))),VLOOKUP(E1715,Parameter!$I$35:$J$52,2,0),IFERROR(VLOOKUP(D1715,Parameter!$A$35:$C$64,2,0),"Nein"))</f>
        <v>2+3</v>
      </c>
      <c r="CD1715" s="52" t="n">
        <f aca="false">IF(BZ1715=0,0,IF(N(S1715)&gt;0,S1715,IFERROR(VLOOKUP(D1715,Parameter!$A$35:$C$64,3,0)+0,0)))</f>
        <v>0</v>
      </c>
      <c r="CE1715" s="48" t="n">
        <f aca="false">IF(AA1715&lt;&gt;"",AA1715,Z1715)</f>
        <v>3</v>
      </c>
      <c r="CF1715" s="48" t="str">
        <f aca="false">IF(OR(CE1715=1,CE1715=2,CE1715=3),IF(Parameter!$E$27="Ja","LIFT",IF(CE1715=1,"L1","L23")),IF(CE1715="Aussen","Aussen","-"))</f>
        <v>LIFT</v>
      </c>
      <c r="CG1715" s="59" t="n">
        <f aca="false">IF(N(AB1715)&gt;0,AB1715,0)</f>
        <v>0</v>
      </c>
      <c r="CH1715" s="53" t="n">
        <f aca="false">IF(ISNUMBER(AE1715),1,0)</f>
        <v>0</v>
      </c>
      <c r="CI1715" s="50" t="n">
        <f aca="false">N(AE1715)</f>
        <v>0</v>
      </c>
      <c r="CJ1715" s="50" t="n">
        <f aca="false">N(M1715)+N(N1715)</f>
        <v>5</v>
      </c>
      <c r="CK1715" s="50" t="n">
        <f aca="false">N(M1715)</f>
        <v>0</v>
      </c>
      <c r="CL1715" s="50" t="n">
        <f aca="false">N(N1715)</f>
        <v>5</v>
      </c>
      <c r="CM1715" s="50" t="n">
        <f aca="false">ROUNDUP(H1715/BY1715,0)</f>
        <v>1</v>
      </c>
      <c r="CN1715" s="50" t="n">
        <f aca="false">ROUNDUP(CI1715/BY1715,0)</f>
        <v>0</v>
      </c>
      <c r="CO1715" s="53" t="n">
        <f aca="false">IF(BZ1715=1,0,IFERROR(VLOOKUP(BX1715,'Gebinde-Kategorie'!$A$5:$N$45,5,0)+0,0))</f>
        <v>8</v>
      </c>
      <c r="CP1715" s="53" t="n">
        <f aca="false">IFERROR(IF(OR(CE1715=1,CE1715=2,CE1715=3),N(INDEX(Parameter!$I$5:$I$7,CE1715)),0),0)</f>
        <v>0</v>
      </c>
      <c r="CQ1715" s="52" t="n">
        <f aca="false">IF(AND(Parameter!$B$21="Ja",ISNUMBER(W1715),N(X1715)&gt;0),IFERROR(N(INDEX(Parameter!$L$5:$L$7,W1715))*INDEX(Parameter!$E$5:$E$7,W1715)*X1715/SUMIFS($X$7:$X$1843,$W$7:$W$1843,W1715),0),0)</f>
        <v>0</v>
      </c>
    </row>
    <row r="1716" customFormat="false" ht="15" hidden="false" customHeight="false" outlineLevel="0" collapsed="false">
      <c r="A1716" s="48" t="s">
        <v>2978</v>
      </c>
      <c r="B1716" s="48" t="s">
        <v>2979</v>
      </c>
      <c r="C1716" s="48" t="s">
        <v>173</v>
      </c>
      <c r="D1716" s="48" t="s">
        <v>193</v>
      </c>
      <c r="E1716" s="48"/>
      <c r="F1716" s="48"/>
      <c r="G1716" s="49" t="n">
        <v>123.64</v>
      </c>
      <c r="H1716" s="50" t="n">
        <f aca="false">MAX(0,IF(AND(Parameter!$B$21="Ja",ISNUMBER(Y1716)),Y1716,IF(Parameter!$B$20="Jahresanfang 2025 + Export",BR1716+BQ1716,BQ1716)))</f>
        <v>4</v>
      </c>
      <c r="I1716" s="50" t="n">
        <f aca="false">H1716*G1716</f>
        <v>494.56</v>
      </c>
      <c r="J1716" s="50" t="n">
        <f aca="false">BT1716*Parameter!$B$18</f>
        <v>0</v>
      </c>
      <c r="K1716" s="51"/>
      <c r="L1716" s="52"/>
      <c r="M1716" s="50" t="n">
        <v>0</v>
      </c>
      <c r="N1716" s="50" t="n">
        <v>1</v>
      </c>
      <c r="O1716" s="53" t="n">
        <v>0</v>
      </c>
      <c r="P1716" s="48" t="s">
        <v>430</v>
      </c>
      <c r="Q1716" s="50" t="n">
        <v>3</v>
      </c>
      <c r="R1716" s="53" t="n">
        <f aca="false">IF(BZ1716=1,0,IFERROR(VLOOKUP(BX1716,'Gebinde-Kategorie'!$A$5:$N$45,13,0)+0,0))</f>
        <v>104</v>
      </c>
      <c r="S1716" s="54"/>
      <c r="T1716" s="55"/>
      <c r="U1716" s="55"/>
      <c r="V1716" s="55"/>
      <c r="W1716" s="48"/>
      <c r="X1716" s="50"/>
      <c r="Y1716" s="50"/>
      <c r="Z1716" s="48" t="n">
        <f aca="false">IF(A1716="","",IF(AND(Parameter!$B$21="Ja",ISNUMBER(W1716)),W1716,IF(CC1716="2+3",IF(ISNUMBER(SEARCH("grosser Artikel",BU1716)),2,IFERROR(VLOOKUP(BX1716,Parameter!$F$35:$G$64,2,0),2)),IF(OR(CC1716="Nein",CC1716=""),"-",CC1716))))</f>
        <v>3</v>
      </c>
      <c r="AA1716" s="55"/>
      <c r="AB1716" s="56"/>
      <c r="AC1716" s="50" t="n">
        <f aca="false">AV1716</f>
        <v>1</v>
      </c>
      <c r="AD1716" s="50" t="n">
        <f aca="false">MAX(AV1716,H1716)</f>
        <v>4</v>
      </c>
      <c r="AE1716" s="57"/>
      <c r="AF1716" s="50" t="n">
        <f aca="false">IF(LEFT(Cockpit!$C$5,1)="A",H1716,IF(Parameter!$E$30="MAX-Bestand",IF(CH1716=1,CI1716,IF(LEFT(Cockpit!$C$5,1)="B",AL1716,MAX(AL1716,H1716))),ROUNDUP(AJ1716,0)))</f>
        <v>4</v>
      </c>
      <c r="AG1716" s="50" t="n">
        <f aca="false">IF(BZ1716=1,0,ROUNDUP(AF1716/BY1716,0))</f>
        <v>2</v>
      </c>
      <c r="AH1716" s="52" t="n">
        <f aca="false">IF(CQ1716&gt;0,CQ1716*MAX(1,AF1716/X1716),IF(BZ1716=1,IF(AF1716&lt;=0,0,CD1716*MAX(1,IF(H1716&gt;0,AF1716/H1716,1))),IF(R1716&gt;0,AG1716/R1716,0))/MAX(0.1,N(Parameter!$M$21)))</f>
        <v>0.0192307692307692</v>
      </c>
      <c r="AI1716" s="50" t="n">
        <f aca="false">AH1716*CB1716</f>
        <v>2.98076923076923</v>
      </c>
      <c r="AJ1716" s="51" t="n">
        <f aca="false">IF(LEFT(Cockpit!$C$5,1)="A",H1716,IF(CH1716=1,(CK1716+CI1716)/2,IF(LEFT(Cockpit!$C$5,1)="B",(CK1716+AL1716)/2,MAX((CK1716+AL1716)/2,H1716))))</f>
        <v>4</v>
      </c>
      <c r="AK1716" s="50" t="n">
        <f aca="false">AJ1716*G1716</f>
        <v>494.56</v>
      </c>
      <c r="AL1716" s="50" t="n">
        <f aca="false">ROUNDUP(CK1716+MAX(CL1716,2*(J1716/IF(CG1716&gt;0,CG1716,MAX(0.1,N(Cockpit!$C$6)))-CK1716)),0)</f>
        <v>1</v>
      </c>
      <c r="AM1716" s="51" t="n">
        <f aca="false">IF(AI1716&gt;0,J1716/AI1716,-1)</f>
        <v>0</v>
      </c>
      <c r="AN1716" s="51" t="n">
        <f aca="false">IF(AND(OR(CF1716="L1",CF1716="L23",CF1716="LIFT"),AI1716&gt;0),SUMIFS($AI$7:$AI$1843,$CF$7:$CF$1843,CF1716,$AM$7:$AM$1843,"&gt;"&amp;AM1716)+SUMIFS($AI$7:$AI$1843,$CF$7:$CF$1843,CF1716,$AM$7:$AM$1843,AM1716,$BW$7:$BW$1843,"&lt;="&amp;BW1716),"")</f>
        <v>32836.1278041638</v>
      </c>
      <c r="AO1716" s="58" t="n">
        <f aca="false">IF(AN1716="",0,MAX(0,MIN(1,(IF(CF1716="L1",Parameter!$H$5,IF(CF1716="L23",Parameter!$H$6+Parameter!$H$7,Parameter!$H$5+Parameter!$H$6+Parameter!$H$7))-(AN1716-AI1716))/AI1716)))</f>
        <v>1</v>
      </c>
      <c r="AP1716" s="50" t="n">
        <f aca="false">IF(LEFT(Cockpit!$I$5,1)="A",H1716,IF(Parameter!$E$30="MAX-Bestand",IF(CH1716=1,CI1716,IF(LEFT(Cockpit!$I$5,1)="B",AV1716,MAX(AV1716,H1716))),ROUNDUP(AT1716,0)))</f>
        <v>4</v>
      </c>
      <c r="AQ1716" s="50" t="n">
        <f aca="false">IF(BZ1716=1,0,ROUNDUP(AP1716/BY1716,0))</f>
        <v>2</v>
      </c>
      <c r="AR1716" s="52" t="n">
        <f aca="false">IF(CQ1716&gt;0,CQ1716*MAX(1,AP1716/X1716),IF(BZ1716=1,IF(AP1716&lt;=0,0,CD1716*MAX(1,IF(H1716&gt;0,AP1716/H1716,1))),IF(R1716&gt;0,AQ1716/R1716,0))/MAX(0.1,N(Parameter!$M$21)))</f>
        <v>0.0192307692307692</v>
      </c>
      <c r="AS1716" s="50" t="n">
        <f aca="false">AR1716*CB1716</f>
        <v>2.98076923076923</v>
      </c>
      <c r="AT1716" s="51" t="n">
        <f aca="false">IF(LEFT(Cockpit!$I$5,1)="A",H1716,IF(CH1716=1,(CK1716+CI1716)/2,IF(LEFT(Cockpit!$I$5,1)="B",(CK1716+AV1716)/2,MAX((CK1716+AV1716)/2,H1716))))</f>
        <v>4</v>
      </c>
      <c r="AU1716" s="50" t="n">
        <f aca="false">AT1716*G1716</f>
        <v>494.56</v>
      </c>
      <c r="AV1716" s="50" t="n">
        <f aca="false">ROUNDUP(CK1716+MAX(CL1716,2*(J1716/IF(CG1716&gt;0,CG1716,MAX(0.1,N(Cockpit!$I$6)))-CK1716)),0)</f>
        <v>1</v>
      </c>
      <c r="AW1716" s="51" t="n">
        <f aca="false">IF(AS1716&gt;0,J1716/AS1716,-1)</f>
        <v>0</v>
      </c>
      <c r="AX1716" s="51" t="n">
        <f aca="false">IF(AND(OR(CF1716="L1",CF1716="L23",CF1716="LIFT"),AS1716&gt;0),SUMIFS($AS$7:$AS$1843,$CF$7:$CF$1843,CF1716,$AW$7:$AW$1843,"&gt;"&amp;AW1716)+SUMIFS($AS$7:$AS$1843,$CF$7:$CF$1843,CF1716,$AW$7:$AW$1843,AW1716,$BW$7:$BW$1843,"&lt;="&amp;BW1716),"")</f>
        <v>39309.4831776039</v>
      </c>
      <c r="AY1716" s="58" t="n">
        <f aca="false">IF(AX1716="",0,MAX(0,MIN(1,(IF(CF1716="L1",Parameter!$H$5,IF(CF1716="L23",Parameter!$H$6+Parameter!$H$7,Parameter!$H$5+Parameter!$H$6+Parameter!$H$7))-(AX1716-AS1716))/AS1716)))</f>
        <v>0</v>
      </c>
      <c r="AZ1716" s="50" t="n">
        <f aca="false">IF(LEFT(Cockpit!$O$5,1)="A",H1716,IF(Parameter!$E$30="MAX-Bestand",IF(CH1716=1,CI1716,IF(LEFT(Cockpit!$O$5,1)="B",BF1716,MAX(BF1716,H1716))),ROUNDUP(BD1716,0)))</f>
        <v>1</v>
      </c>
      <c r="BA1716" s="50" t="n">
        <f aca="false">IF(BZ1716=1,0,ROUNDUP(AZ1716/BY1716,0))</f>
        <v>1</v>
      </c>
      <c r="BB1716" s="52" t="n">
        <f aca="false">IF(CQ1716&gt;0,CQ1716*MAX(1,AZ1716/X1716),IF(BZ1716=1,IF(AZ1716&lt;=0,0,CD1716*MAX(1,IF(H1716&gt;0,AZ1716/H1716,1))),IF(R1716&gt;0,BA1716/R1716,0))/MAX(0.1,N(Parameter!$M$21)))</f>
        <v>0.00961538461538462</v>
      </c>
      <c r="BC1716" s="50" t="n">
        <f aca="false">BB1716*CB1716</f>
        <v>1.49038461538462</v>
      </c>
      <c r="BD1716" s="51" t="n">
        <f aca="false">IF(LEFT(Cockpit!$O$5,1)="A",H1716,IF(CH1716=1,(CK1716+CI1716)/2,IF(LEFT(Cockpit!$O$5,1)="B",(CK1716+BF1716)/2,MAX((CK1716+BF1716)/2,H1716))))</f>
        <v>0.5</v>
      </c>
      <c r="BE1716" s="50" t="n">
        <f aca="false">BD1716*G1716</f>
        <v>61.82</v>
      </c>
      <c r="BF1716" s="50" t="n">
        <f aca="false">ROUNDUP(CK1716+MAX(CL1716,2*(J1716/IF(CG1716&gt;0,CG1716,MAX(0.1,N(Cockpit!$O$6)))-CK1716)),0)</f>
        <v>1</v>
      </c>
      <c r="BG1716" s="51" t="n">
        <f aca="false">IF(BC1716&gt;0,J1716/BC1716,-1)</f>
        <v>0</v>
      </c>
      <c r="BH1716" s="51" t="n">
        <f aca="false">IF(AND(OR(CF1716="L1",CF1716="L23",CF1716="LIFT"),BC1716&gt;0),SUMIFS($BC$7:$BC$1843,$CF$7:$CF$1843,CF1716,$BG$7:$BG$1843,"&gt;"&amp;BG1716)+SUMIFS($BC$7:$BC$1843,$CF$7:$CF$1843,CF1716,$BG$7:$BG$1843,BG1716,$BW$7:$BW$1843,"&lt;="&amp;BW1716),"")</f>
        <v>32539.2756436125</v>
      </c>
      <c r="BI1716" s="58" t="n">
        <f aca="false">IF(BH1716="",0,MAX(0,MIN(1,(IF(CF1716="L1",Parameter!$H$5,IF(CF1716="L23",Parameter!$H$6+Parameter!$H$7,Parameter!$H$5+Parameter!$H$6+Parameter!$H$7))-(BH1716-BC1716))/BC1716)))</f>
        <v>1</v>
      </c>
      <c r="BJ1716" s="48" t="str">
        <f aca="false">IF(AI1716&lt;=0,"",IF(CF1716="Aussen","Aussenlager",IF(CF1716="-","Nicht im Lift",IF(AO1716&gt;=1,"Lift",IF(AO1716&lt;=0,"Aussenlager","teilweise")))))</f>
        <v>Lift</v>
      </c>
      <c r="BK1716" s="48" t="str">
        <f aca="false">IF(AS1716&lt;=0,"",IF(CF1716="Aussen","Aussenlager",IF(CF1716="-","Nicht im Lift",IF(AY1716&gt;=1,"Lift",IF(AY1716&lt;=0,"Aussenlager","teilweise")))))</f>
        <v>Aussenlager</v>
      </c>
      <c r="BL1716" s="48" t="str">
        <f aca="false">IF(BC1716&lt;=0,"",IF(CF1716="Aussen","Aussenlager",IF(CF1716="-","Nicht im Lift",IF(BI1716&gt;=1,"Lift",IF(BI1716&lt;=0,"Aussenlager","teilweise")))))</f>
        <v>Lift</v>
      </c>
      <c r="BM1716" s="48" t="str">
        <f aca="false">IF(A1716="","",IF(BV1716=1,"Neu; ","")&amp;IF(AND(BV1716=0,BQ1716&lt;0),"negativer Bestand (Export "&amp;BQ1716&amp;"); ","")&amp;IF(J1716&lt;=0,"Kein Verbrauch; ","")&amp;IF(CQ1716&gt;0,"Lift "&amp;W1716&amp;" lt. Liftbericht (Fach "&amp;X1716&amp;" Stk); ",IF(CA1716=1,"Gebinde geschätzt ("&amp;T1716&amp;"); ",IF(BZ1716=1,"Lose – Tablare geschätzt; ","")))&amp;IF(H1716&gt;AV1716,"Überbestand "&amp;ROUND(H1716-AV1716,0)&amp;" Stk / CHF "&amp;ROUND((H1716-AV1716)*G1716,0)&amp;"; ","")&amp;IF(AND(CH1716=1,CI1716&lt;CJ1716),"MAX &lt; MB+LG; ","")&amp;IF(AND(CP1716&gt;0,CO1716*10&gt;CP1716),"zu hoch für Tablar; ","")&amp;IF(AND(BV1716=0,OR(CH1716=1,AA1716&lt;&gt;"",U1716&lt;&gt;"",V1716&lt;&gt;"",AB1716&lt;&gt;"")),"manuell übersteuert; ","")&amp;IF(AND(BZ1716=0,R1716=0),"Gebinde unbekannt / Stellmass fehlt; ","")&amp;IF(AND(BZ1716=0,N(V1716)&lt;=0,N(Q1716)&lt;=0),"Menge pro Gebinde fehlt (Ist = 1 Gebinde); ","")&amp;BU1716)</f>
        <v>Kein Verbrauch; Überbestand 3 Stk / CHF 371; nur im Artikelstamm (Bestand 23.06.2026)</v>
      </c>
      <c r="BN1716" s="48"/>
      <c r="BO1716" s="48"/>
      <c r="BP1716" s="55"/>
      <c r="BQ1716" s="50" t="n">
        <v>4</v>
      </c>
      <c r="BR1716" s="50" t="n">
        <v>0</v>
      </c>
      <c r="BS1716" s="49" t="n">
        <v>0</v>
      </c>
      <c r="BT1716" s="50" t="n">
        <v>0</v>
      </c>
      <c r="BU1716" s="48" t="s">
        <v>2584</v>
      </c>
      <c r="BV1716" s="53" t="n">
        <v>0</v>
      </c>
      <c r="BW1716" s="53" t="n">
        <v>1716</v>
      </c>
      <c r="BX1716" s="48" t="str">
        <f aca="false">IF(U1716&lt;&gt;"",UPPER(TRIM(U1716)),IF(CA1716=1,UPPER(VLOOKUP(T1716,Parameter!$I$27:$K$29,2,0)),IF(P1716="","LOSE",P1716)))</f>
        <v>S32</v>
      </c>
      <c r="BY1716" s="50" t="n">
        <f aca="false">IF(BX1716="LOSE",1,IF(N(V1716)&gt;0,V1716,IF(CA1716=1,MAX(1,N(VLOOKUP(T1716,Parameter!$I$27:$K$29,3,0)),H1716,N(N1716)),IF(N(Q1716)&gt;0,Q1716,MAX(1,H1716)))))</f>
        <v>3</v>
      </c>
      <c r="BZ1716" s="53" t="n">
        <f aca="false">IF(BX1716="LOSE",1,0)</f>
        <v>0</v>
      </c>
      <c r="CA1716" s="53" t="n">
        <f aca="false">IF(AND(U1716="",OR(P1716="",P1716="LOSE"),T1716&lt;&gt;"",N(S1716)&lt;=0,ISNUMBER(MATCH(T1716,Parameter!$I$27:$I$29,0))),1,0)</f>
        <v>0</v>
      </c>
      <c r="CB1716" s="53" t="n">
        <f aca="false">IF(CQ1716&gt;0,INDEX(Parameter!$H$5:$H$7,W1716)/INDEX(Parameter!$E$5:$E$7,W1716),IF(AND(BZ1716=0,N(IFERROR(VLOOKUP(BX1716,'Gebinde-Kategorie'!$A$5:$N$45,14,0),0))&gt;0),VLOOKUP(BX1716,'Gebinde-Kategorie'!$A$5:$N$45,14,0)*10+Parameter!$M$23,Parameter!$M$24))</f>
        <v>155</v>
      </c>
      <c r="CC1716" s="48" t="str">
        <f aca="false">IF(AND(Parameter!$B$19="Ja",E1716&lt;&gt;"",ISNUMBER(MATCH(E1716,Parameter!$I$35:$I$52,0))),VLOOKUP(E1716,Parameter!$I$35:$J$52,2,0),IFERROR(VLOOKUP(D1716,Parameter!$A$35:$C$64,2,0),"Nein"))</f>
        <v>2+3</v>
      </c>
      <c r="CD1716" s="52" t="n">
        <f aca="false">IF(BZ1716=0,0,IF(N(S1716)&gt;0,S1716,IFERROR(VLOOKUP(D1716,Parameter!$A$35:$C$64,3,0)+0,0)))</f>
        <v>0</v>
      </c>
      <c r="CE1716" s="48" t="n">
        <f aca="false">IF(AA1716&lt;&gt;"",AA1716,Z1716)</f>
        <v>3</v>
      </c>
      <c r="CF1716" s="48" t="str">
        <f aca="false">IF(OR(CE1716=1,CE1716=2,CE1716=3),IF(Parameter!$E$27="Ja","LIFT",IF(CE1716=1,"L1","L23")),IF(CE1716="Aussen","Aussen","-"))</f>
        <v>LIFT</v>
      </c>
      <c r="CG1716" s="59" t="n">
        <f aca="false">IF(N(AB1716)&gt;0,AB1716,0)</f>
        <v>0</v>
      </c>
      <c r="CH1716" s="53" t="n">
        <f aca="false">IF(ISNUMBER(AE1716),1,0)</f>
        <v>0</v>
      </c>
      <c r="CI1716" s="50" t="n">
        <f aca="false">N(AE1716)</f>
        <v>0</v>
      </c>
      <c r="CJ1716" s="50" t="n">
        <f aca="false">N(M1716)+N(N1716)</f>
        <v>1</v>
      </c>
      <c r="CK1716" s="50" t="n">
        <f aca="false">N(M1716)</f>
        <v>0</v>
      </c>
      <c r="CL1716" s="50" t="n">
        <f aca="false">N(N1716)</f>
        <v>1</v>
      </c>
      <c r="CM1716" s="50" t="n">
        <f aca="false">ROUNDUP(H1716/BY1716,0)</f>
        <v>2</v>
      </c>
      <c r="CN1716" s="50" t="n">
        <f aca="false">ROUNDUP(CI1716/BY1716,0)</f>
        <v>0</v>
      </c>
      <c r="CO1716" s="53" t="n">
        <f aca="false">IF(BZ1716=1,0,IFERROR(VLOOKUP(BX1716,'Gebinde-Kategorie'!$A$5:$N$45,5,0)+0,0))</f>
        <v>8</v>
      </c>
      <c r="CP1716" s="53" t="n">
        <f aca="false">IFERROR(IF(OR(CE1716=1,CE1716=2,CE1716=3),N(INDEX(Parameter!$I$5:$I$7,CE1716)),0),0)</f>
        <v>0</v>
      </c>
      <c r="CQ1716" s="52" t="n">
        <f aca="false">IF(AND(Parameter!$B$21="Ja",ISNUMBER(W1716),N(X1716)&gt;0),IFERROR(N(INDEX(Parameter!$L$5:$L$7,W1716))*INDEX(Parameter!$E$5:$E$7,W1716)*X1716/SUMIFS($X$7:$X$1843,$W$7:$W$1843,W1716),0),0)</f>
        <v>0</v>
      </c>
    </row>
    <row r="1717" customFormat="false" ht="15" hidden="false" customHeight="false" outlineLevel="0" collapsed="false">
      <c r="A1717" s="48" t="s">
        <v>2980</v>
      </c>
      <c r="B1717" s="48" t="s">
        <v>2981</v>
      </c>
      <c r="C1717" s="48" t="s">
        <v>173</v>
      </c>
      <c r="D1717" s="48" t="s">
        <v>193</v>
      </c>
      <c r="E1717" s="48"/>
      <c r="F1717" s="48"/>
      <c r="G1717" s="49" t="n">
        <v>75.83</v>
      </c>
      <c r="H1717" s="50" t="n">
        <f aca="false">MAX(0,IF(AND(Parameter!$B$21="Ja",ISNUMBER(Y1717)),Y1717,IF(Parameter!$B$20="Jahresanfang 2025 + Export",BR1717+BQ1717,BQ1717)))</f>
        <v>1</v>
      </c>
      <c r="I1717" s="50" t="n">
        <f aca="false">H1717*G1717</f>
        <v>75.83</v>
      </c>
      <c r="J1717" s="50" t="n">
        <f aca="false">BT1717*Parameter!$B$18</f>
        <v>0</v>
      </c>
      <c r="K1717" s="51"/>
      <c r="L1717" s="52"/>
      <c r="M1717" s="50" t="n">
        <v>0</v>
      </c>
      <c r="N1717" s="50" t="n">
        <v>1</v>
      </c>
      <c r="O1717" s="53" t="n">
        <v>28</v>
      </c>
      <c r="P1717" s="48" t="s">
        <v>430</v>
      </c>
      <c r="Q1717" s="50" t="n">
        <v>1</v>
      </c>
      <c r="R1717" s="53" t="n">
        <f aca="false">IF(BZ1717=1,0,IFERROR(VLOOKUP(BX1717,'Gebinde-Kategorie'!$A$5:$N$45,13,0)+0,0))</f>
        <v>104</v>
      </c>
      <c r="S1717" s="54"/>
      <c r="T1717" s="55"/>
      <c r="U1717" s="55"/>
      <c r="V1717" s="55"/>
      <c r="W1717" s="48"/>
      <c r="X1717" s="50"/>
      <c r="Y1717" s="50"/>
      <c r="Z1717" s="48" t="n">
        <f aca="false">IF(A1717="","",IF(AND(Parameter!$B$21="Ja",ISNUMBER(W1717)),W1717,IF(CC1717="2+3",IF(ISNUMBER(SEARCH("grosser Artikel",BU1717)),2,IFERROR(VLOOKUP(BX1717,Parameter!$F$35:$G$64,2,0),2)),IF(OR(CC1717="Nein",CC1717=""),"-",CC1717))))</f>
        <v>3</v>
      </c>
      <c r="AA1717" s="55"/>
      <c r="AB1717" s="56"/>
      <c r="AC1717" s="50" t="n">
        <f aca="false">AV1717</f>
        <v>1</v>
      </c>
      <c r="AD1717" s="50" t="n">
        <f aca="false">MAX(AV1717,H1717)</f>
        <v>1</v>
      </c>
      <c r="AE1717" s="57"/>
      <c r="AF1717" s="50" t="n">
        <f aca="false">IF(LEFT(Cockpit!$C$5,1)="A",H1717,IF(Parameter!$E$30="MAX-Bestand",IF(CH1717=1,CI1717,IF(LEFT(Cockpit!$C$5,1)="B",AL1717,MAX(AL1717,H1717))),ROUNDUP(AJ1717,0)))</f>
        <v>1</v>
      </c>
      <c r="AG1717" s="50" t="n">
        <f aca="false">IF(BZ1717=1,0,ROUNDUP(AF1717/BY1717,0))</f>
        <v>1</v>
      </c>
      <c r="AH1717" s="52" t="n">
        <f aca="false">IF(CQ1717&gt;0,CQ1717*MAX(1,AF1717/X1717),IF(BZ1717=1,IF(AF1717&lt;=0,0,CD1717*MAX(1,IF(H1717&gt;0,AF1717/H1717,1))),IF(R1717&gt;0,AG1717/R1717,0))/MAX(0.1,N(Parameter!$M$21)))</f>
        <v>0.00961538461538462</v>
      </c>
      <c r="AI1717" s="50" t="n">
        <f aca="false">AH1717*CB1717</f>
        <v>1.49038461538462</v>
      </c>
      <c r="AJ1717" s="51" t="n">
        <f aca="false">IF(LEFT(Cockpit!$C$5,1)="A",H1717,IF(CH1717=1,(CK1717+CI1717)/2,IF(LEFT(Cockpit!$C$5,1)="B",(CK1717+AL1717)/2,MAX((CK1717+AL1717)/2,H1717))))</f>
        <v>1</v>
      </c>
      <c r="AK1717" s="50" t="n">
        <f aca="false">AJ1717*G1717</f>
        <v>75.83</v>
      </c>
      <c r="AL1717" s="50" t="n">
        <f aca="false">ROUNDUP(CK1717+MAX(CL1717,2*(J1717/IF(CG1717&gt;0,CG1717,MAX(0.1,N(Cockpit!$C$6)))-CK1717)),0)</f>
        <v>1</v>
      </c>
      <c r="AM1717" s="51" t="n">
        <f aca="false">IF(AI1717&gt;0,J1717/AI1717,-1)</f>
        <v>0</v>
      </c>
      <c r="AN1717" s="51" t="n">
        <f aca="false">IF(AND(OR(CF1717="L1",CF1717="L23",CF1717="LIFT"),AI1717&gt;0),SUMIFS($AI$7:$AI$1843,$CF$7:$CF$1843,CF1717,$AM$7:$AM$1843,"&gt;"&amp;AM1717)+SUMIFS($AI$7:$AI$1843,$CF$7:$CF$1843,CF1717,$AM$7:$AM$1843,AM1717,$BW$7:$BW$1843,"&lt;="&amp;BW1717),"")</f>
        <v>32837.6181887792</v>
      </c>
      <c r="AO1717" s="58" t="n">
        <f aca="false">IF(AN1717="",0,MAX(0,MIN(1,(IF(CF1717="L1",Parameter!$H$5,IF(CF1717="L23",Parameter!$H$6+Parameter!$H$7,Parameter!$H$5+Parameter!$H$6+Parameter!$H$7))-(AN1717-AI1717))/AI1717)))</f>
        <v>1</v>
      </c>
      <c r="AP1717" s="50" t="n">
        <f aca="false">IF(LEFT(Cockpit!$I$5,1)="A",H1717,IF(Parameter!$E$30="MAX-Bestand",IF(CH1717=1,CI1717,IF(LEFT(Cockpit!$I$5,1)="B",AV1717,MAX(AV1717,H1717))),ROUNDUP(AT1717,0)))</f>
        <v>1</v>
      </c>
      <c r="AQ1717" s="50" t="n">
        <f aca="false">IF(BZ1717=1,0,ROUNDUP(AP1717/BY1717,0))</f>
        <v>1</v>
      </c>
      <c r="AR1717" s="52" t="n">
        <f aca="false">IF(CQ1717&gt;0,CQ1717*MAX(1,AP1717/X1717),IF(BZ1717=1,IF(AP1717&lt;=0,0,CD1717*MAX(1,IF(H1717&gt;0,AP1717/H1717,1))),IF(R1717&gt;0,AQ1717/R1717,0))/MAX(0.1,N(Parameter!$M$21)))</f>
        <v>0.00961538461538462</v>
      </c>
      <c r="AS1717" s="50" t="n">
        <f aca="false">AR1717*CB1717</f>
        <v>1.49038461538462</v>
      </c>
      <c r="AT1717" s="51" t="n">
        <f aca="false">IF(LEFT(Cockpit!$I$5,1)="A",H1717,IF(CH1717=1,(CK1717+CI1717)/2,IF(LEFT(Cockpit!$I$5,1)="B",(CK1717+AV1717)/2,MAX((CK1717+AV1717)/2,H1717))))</f>
        <v>1</v>
      </c>
      <c r="AU1717" s="50" t="n">
        <f aca="false">AT1717*G1717</f>
        <v>75.83</v>
      </c>
      <c r="AV1717" s="50" t="n">
        <f aca="false">ROUNDUP(CK1717+MAX(CL1717,2*(J1717/IF(CG1717&gt;0,CG1717,MAX(0.1,N(Cockpit!$I$6)))-CK1717)),0)</f>
        <v>1</v>
      </c>
      <c r="AW1717" s="51" t="n">
        <f aca="false">IF(AS1717&gt;0,J1717/AS1717,-1)</f>
        <v>0</v>
      </c>
      <c r="AX1717" s="51" t="n">
        <f aca="false">IF(AND(OR(CF1717="L1",CF1717="L23",CF1717="LIFT"),AS1717&gt;0),SUMIFS($AS$7:$AS$1843,$CF$7:$CF$1843,CF1717,$AW$7:$AW$1843,"&gt;"&amp;AW1717)+SUMIFS($AS$7:$AS$1843,$CF$7:$CF$1843,CF1717,$AW$7:$AW$1843,AW1717,$BW$7:$BW$1843,"&lt;="&amp;BW1717),"")</f>
        <v>39310.9735622193</v>
      </c>
      <c r="AY1717" s="58" t="n">
        <f aca="false">IF(AX1717="",0,MAX(0,MIN(1,(IF(CF1717="L1",Parameter!$H$5,IF(CF1717="L23",Parameter!$H$6+Parameter!$H$7,Parameter!$H$5+Parameter!$H$6+Parameter!$H$7))-(AX1717-AS1717))/AS1717)))</f>
        <v>0</v>
      </c>
      <c r="AZ1717" s="50" t="n">
        <f aca="false">IF(LEFT(Cockpit!$O$5,1)="A",H1717,IF(Parameter!$E$30="MAX-Bestand",IF(CH1717=1,CI1717,IF(LEFT(Cockpit!$O$5,1)="B",BF1717,MAX(BF1717,H1717))),ROUNDUP(BD1717,0)))</f>
        <v>1</v>
      </c>
      <c r="BA1717" s="50" t="n">
        <f aca="false">IF(BZ1717=1,0,ROUNDUP(AZ1717/BY1717,0))</f>
        <v>1</v>
      </c>
      <c r="BB1717" s="52" t="n">
        <f aca="false">IF(CQ1717&gt;0,CQ1717*MAX(1,AZ1717/X1717),IF(BZ1717=1,IF(AZ1717&lt;=0,0,CD1717*MAX(1,IF(H1717&gt;0,AZ1717/H1717,1))),IF(R1717&gt;0,BA1717/R1717,0))/MAX(0.1,N(Parameter!$M$21)))</f>
        <v>0.00961538461538462</v>
      </c>
      <c r="BC1717" s="50" t="n">
        <f aca="false">BB1717*CB1717</f>
        <v>1.49038461538462</v>
      </c>
      <c r="BD1717" s="51" t="n">
        <f aca="false">IF(LEFT(Cockpit!$O$5,1)="A",H1717,IF(CH1717=1,(CK1717+CI1717)/2,IF(LEFT(Cockpit!$O$5,1)="B",(CK1717+BF1717)/2,MAX((CK1717+BF1717)/2,H1717))))</f>
        <v>0.5</v>
      </c>
      <c r="BE1717" s="50" t="n">
        <f aca="false">BD1717*G1717</f>
        <v>37.915</v>
      </c>
      <c r="BF1717" s="50" t="n">
        <f aca="false">ROUNDUP(CK1717+MAX(CL1717,2*(J1717/IF(CG1717&gt;0,CG1717,MAX(0.1,N(Cockpit!$O$6)))-CK1717)),0)</f>
        <v>1</v>
      </c>
      <c r="BG1717" s="51" t="n">
        <f aca="false">IF(BC1717&gt;0,J1717/BC1717,-1)</f>
        <v>0</v>
      </c>
      <c r="BH1717" s="51" t="n">
        <f aca="false">IF(AND(OR(CF1717="L1",CF1717="L23",CF1717="LIFT"),BC1717&gt;0),SUMIFS($BC$7:$BC$1843,$CF$7:$CF$1843,CF1717,$BG$7:$BG$1843,"&gt;"&amp;BG1717)+SUMIFS($BC$7:$BC$1843,$CF$7:$CF$1843,CF1717,$BG$7:$BG$1843,BG1717,$BW$7:$BW$1843,"&lt;="&amp;BW1717),"")</f>
        <v>32540.7660282279</v>
      </c>
      <c r="BI1717" s="58" t="n">
        <f aca="false">IF(BH1717="",0,MAX(0,MIN(1,(IF(CF1717="L1",Parameter!$H$5,IF(CF1717="L23",Parameter!$H$6+Parameter!$H$7,Parameter!$H$5+Parameter!$H$6+Parameter!$H$7))-(BH1717-BC1717))/BC1717)))</f>
        <v>1</v>
      </c>
      <c r="BJ1717" s="48" t="str">
        <f aca="false">IF(AI1717&lt;=0,"",IF(CF1717="Aussen","Aussenlager",IF(CF1717="-","Nicht im Lift",IF(AO1717&gt;=1,"Lift",IF(AO1717&lt;=0,"Aussenlager","teilweise")))))</f>
        <v>Lift</v>
      </c>
      <c r="BK1717" s="48" t="str">
        <f aca="false">IF(AS1717&lt;=0,"",IF(CF1717="Aussen","Aussenlager",IF(CF1717="-","Nicht im Lift",IF(AY1717&gt;=1,"Lift",IF(AY1717&lt;=0,"Aussenlager","teilweise")))))</f>
        <v>Aussenlager</v>
      </c>
      <c r="BL1717" s="48" t="str">
        <f aca="false">IF(BC1717&lt;=0,"",IF(CF1717="Aussen","Aussenlager",IF(CF1717="-","Nicht im Lift",IF(BI1717&gt;=1,"Lift",IF(BI1717&lt;=0,"Aussenlager","teilweise")))))</f>
        <v>Lift</v>
      </c>
      <c r="BM1717" s="48" t="str">
        <f aca="false">IF(A1717="","",IF(BV1717=1,"Neu; ","")&amp;IF(AND(BV1717=0,BQ1717&lt;0),"negativer Bestand (Export "&amp;BQ1717&amp;"); ","")&amp;IF(J1717&lt;=0,"Kein Verbrauch; ","")&amp;IF(CQ1717&gt;0,"Lift "&amp;W1717&amp;" lt. Liftbericht (Fach "&amp;X1717&amp;" Stk); ",IF(CA1717=1,"Gebinde geschätzt ("&amp;T1717&amp;"); ",IF(BZ1717=1,"Lose – Tablare geschätzt; ","")))&amp;IF(H1717&gt;AV1717,"Überbestand "&amp;ROUND(H1717-AV1717,0)&amp;" Stk / CHF "&amp;ROUND((H1717-AV1717)*G1717,0)&amp;"; ","")&amp;IF(AND(CH1717=1,CI1717&lt;CJ1717),"MAX &lt; MB+LG; ","")&amp;IF(AND(CP1717&gt;0,CO1717*10&gt;CP1717),"zu hoch für Tablar; ","")&amp;IF(AND(BV1717=0,OR(CH1717=1,AA1717&lt;&gt;"",U1717&lt;&gt;"",V1717&lt;&gt;"",AB1717&lt;&gt;"")),"manuell übersteuert; ","")&amp;IF(AND(BZ1717=0,R1717=0),"Gebinde unbekannt / Stellmass fehlt; ","")&amp;IF(AND(BZ1717=0,N(V1717)&lt;=0,N(Q1717)&lt;=0),"Menge pro Gebinde fehlt (Ist = 1 Gebinde); ","")&amp;BU1717)</f>
        <v>Kein Verbrauch; nur im Artikelstamm (Bestand 23.06.2026); Verb.Lager</v>
      </c>
      <c r="BN1717" s="48"/>
      <c r="BO1717" s="48"/>
      <c r="BP1717" s="55"/>
      <c r="BQ1717" s="50" t="n">
        <v>1</v>
      </c>
      <c r="BR1717" s="50" t="n">
        <v>0</v>
      </c>
      <c r="BS1717" s="49" t="n">
        <v>0</v>
      </c>
      <c r="BT1717" s="50" t="n">
        <v>0</v>
      </c>
      <c r="BU1717" s="48" t="s">
        <v>2578</v>
      </c>
      <c r="BV1717" s="53" t="n">
        <v>0</v>
      </c>
      <c r="BW1717" s="53" t="n">
        <v>1717</v>
      </c>
      <c r="BX1717" s="48" t="str">
        <f aca="false">IF(U1717&lt;&gt;"",UPPER(TRIM(U1717)),IF(CA1717=1,UPPER(VLOOKUP(T1717,Parameter!$I$27:$K$29,2,0)),IF(P1717="","LOSE",P1717)))</f>
        <v>S32</v>
      </c>
      <c r="BY1717" s="50" t="n">
        <f aca="false">IF(BX1717="LOSE",1,IF(N(V1717)&gt;0,V1717,IF(CA1717=1,MAX(1,N(VLOOKUP(T1717,Parameter!$I$27:$K$29,3,0)),H1717,N(N1717)),IF(N(Q1717)&gt;0,Q1717,MAX(1,H1717)))))</f>
        <v>1</v>
      </c>
      <c r="BZ1717" s="53" t="n">
        <f aca="false">IF(BX1717="LOSE",1,0)</f>
        <v>0</v>
      </c>
      <c r="CA1717" s="53" t="n">
        <f aca="false">IF(AND(U1717="",OR(P1717="",P1717="LOSE"),T1717&lt;&gt;"",N(S1717)&lt;=0,ISNUMBER(MATCH(T1717,Parameter!$I$27:$I$29,0))),1,0)</f>
        <v>0</v>
      </c>
      <c r="CB1717" s="53" t="n">
        <f aca="false">IF(CQ1717&gt;0,INDEX(Parameter!$H$5:$H$7,W1717)/INDEX(Parameter!$E$5:$E$7,W1717),IF(AND(BZ1717=0,N(IFERROR(VLOOKUP(BX1717,'Gebinde-Kategorie'!$A$5:$N$45,14,0),0))&gt;0),VLOOKUP(BX1717,'Gebinde-Kategorie'!$A$5:$N$45,14,0)*10+Parameter!$M$23,Parameter!$M$24))</f>
        <v>155</v>
      </c>
      <c r="CC1717" s="48" t="str">
        <f aca="false">IF(AND(Parameter!$B$19="Ja",E1717&lt;&gt;"",ISNUMBER(MATCH(E1717,Parameter!$I$35:$I$52,0))),VLOOKUP(E1717,Parameter!$I$35:$J$52,2,0),IFERROR(VLOOKUP(D1717,Parameter!$A$35:$C$64,2,0),"Nein"))</f>
        <v>2+3</v>
      </c>
      <c r="CD1717" s="52" t="n">
        <f aca="false">IF(BZ1717=0,0,IF(N(S1717)&gt;0,S1717,IFERROR(VLOOKUP(D1717,Parameter!$A$35:$C$64,3,0)+0,0)))</f>
        <v>0</v>
      </c>
      <c r="CE1717" s="48" t="n">
        <f aca="false">IF(AA1717&lt;&gt;"",AA1717,Z1717)</f>
        <v>3</v>
      </c>
      <c r="CF1717" s="48" t="str">
        <f aca="false">IF(OR(CE1717=1,CE1717=2,CE1717=3),IF(Parameter!$E$27="Ja","LIFT",IF(CE1717=1,"L1","L23")),IF(CE1717="Aussen","Aussen","-"))</f>
        <v>LIFT</v>
      </c>
      <c r="CG1717" s="59" t="n">
        <f aca="false">IF(N(AB1717)&gt;0,AB1717,0)</f>
        <v>0</v>
      </c>
      <c r="CH1717" s="53" t="n">
        <f aca="false">IF(ISNUMBER(AE1717),1,0)</f>
        <v>0</v>
      </c>
      <c r="CI1717" s="50" t="n">
        <f aca="false">N(AE1717)</f>
        <v>0</v>
      </c>
      <c r="CJ1717" s="50" t="n">
        <f aca="false">N(M1717)+N(N1717)</f>
        <v>1</v>
      </c>
      <c r="CK1717" s="50" t="n">
        <f aca="false">N(M1717)</f>
        <v>0</v>
      </c>
      <c r="CL1717" s="50" t="n">
        <f aca="false">N(N1717)</f>
        <v>1</v>
      </c>
      <c r="CM1717" s="50" t="n">
        <f aca="false">ROUNDUP(H1717/BY1717,0)</f>
        <v>1</v>
      </c>
      <c r="CN1717" s="50" t="n">
        <f aca="false">ROUNDUP(CI1717/BY1717,0)</f>
        <v>0</v>
      </c>
      <c r="CO1717" s="53" t="n">
        <f aca="false">IF(BZ1717=1,0,IFERROR(VLOOKUP(BX1717,'Gebinde-Kategorie'!$A$5:$N$45,5,0)+0,0))</f>
        <v>8</v>
      </c>
      <c r="CP1717" s="53" t="n">
        <f aca="false">IFERROR(IF(OR(CE1717=1,CE1717=2,CE1717=3),N(INDEX(Parameter!$I$5:$I$7,CE1717)),0),0)</f>
        <v>0</v>
      </c>
      <c r="CQ1717" s="52" t="n">
        <f aca="false">IF(AND(Parameter!$B$21="Ja",ISNUMBER(W1717),N(X1717)&gt;0),IFERROR(N(INDEX(Parameter!$L$5:$L$7,W1717))*INDEX(Parameter!$E$5:$E$7,W1717)*X1717/SUMIFS($X$7:$X$1843,$W$7:$W$1843,W1717),0),0)</f>
        <v>0</v>
      </c>
    </row>
    <row r="1718" customFormat="false" ht="15" hidden="false" customHeight="false" outlineLevel="0" collapsed="false">
      <c r="A1718" s="48" t="s">
        <v>2982</v>
      </c>
      <c r="B1718" s="48" t="s">
        <v>2983</v>
      </c>
      <c r="C1718" s="48" t="s">
        <v>173</v>
      </c>
      <c r="D1718" s="48" t="s">
        <v>193</v>
      </c>
      <c r="E1718" s="48"/>
      <c r="F1718" s="48"/>
      <c r="G1718" s="49" t="n">
        <v>5.55</v>
      </c>
      <c r="H1718" s="50" t="n">
        <f aca="false">MAX(0,IF(AND(Parameter!$B$21="Ja",ISNUMBER(Y1718)),Y1718,IF(Parameter!$B$20="Jahresanfang 2025 + Export",BR1718+BQ1718,BQ1718)))</f>
        <v>4.5</v>
      </c>
      <c r="I1718" s="50" t="n">
        <f aca="false">H1718*G1718</f>
        <v>24.975</v>
      </c>
      <c r="J1718" s="50" t="n">
        <f aca="false">BT1718*Parameter!$B$18</f>
        <v>0</v>
      </c>
      <c r="K1718" s="51"/>
      <c r="L1718" s="52"/>
      <c r="M1718" s="50" t="n">
        <v>0</v>
      </c>
      <c r="N1718" s="50" t="n">
        <v>1</v>
      </c>
      <c r="O1718" s="53" t="n">
        <v>14</v>
      </c>
      <c r="P1718" s="48" t="s">
        <v>410</v>
      </c>
      <c r="Q1718" s="50" t="n">
        <v>100</v>
      </c>
      <c r="R1718" s="53" t="n">
        <f aca="false">IF(BZ1718=1,0,IFERROR(VLOOKUP(BX1718,'Gebinde-Kategorie'!$A$5:$N$45,13,0)+0,0))</f>
        <v>280</v>
      </c>
      <c r="S1718" s="54"/>
      <c r="T1718" s="55"/>
      <c r="U1718" s="55"/>
      <c r="V1718" s="55"/>
      <c r="W1718" s="48"/>
      <c r="X1718" s="50"/>
      <c r="Y1718" s="50"/>
      <c r="Z1718" s="48" t="n">
        <f aca="false">IF(A1718="","",IF(AND(Parameter!$B$21="Ja",ISNUMBER(W1718)),W1718,IF(CC1718="2+3",IF(ISNUMBER(SEARCH("grosser Artikel",BU1718)),2,IFERROR(VLOOKUP(BX1718,Parameter!$F$35:$G$64,2,0),2)),IF(OR(CC1718="Nein",CC1718=""),"-",CC1718))))</f>
        <v>3</v>
      </c>
      <c r="AA1718" s="55"/>
      <c r="AB1718" s="56"/>
      <c r="AC1718" s="50" t="n">
        <f aca="false">AV1718</f>
        <v>1</v>
      </c>
      <c r="AD1718" s="50" t="n">
        <f aca="false">MAX(AV1718,H1718)</f>
        <v>4.5</v>
      </c>
      <c r="AE1718" s="57"/>
      <c r="AF1718" s="50" t="n">
        <f aca="false">IF(LEFT(Cockpit!$C$5,1)="A",H1718,IF(Parameter!$E$30="MAX-Bestand",IF(CH1718=1,CI1718,IF(LEFT(Cockpit!$C$5,1)="B",AL1718,MAX(AL1718,H1718))),ROUNDUP(AJ1718,0)))</f>
        <v>4.5</v>
      </c>
      <c r="AG1718" s="50" t="n">
        <f aca="false">IF(BZ1718=1,0,ROUNDUP(AF1718/BY1718,0))</f>
        <v>1</v>
      </c>
      <c r="AH1718" s="52" t="n">
        <f aca="false">IF(CQ1718&gt;0,CQ1718*MAX(1,AF1718/X1718),IF(BZ1718=1,IF(AF1718&lt;=0,0,CD1718*MAX(1,IF(H1718&gt;0,AF1718/H1718,1))),IF(R1718&gt;0,AG1718/R1718,0))/MAX(0.1,N(Parameter!$M$21)))</f>
        <v>0.00357142857142857</v>
      </c>
      <c r="AI1718" s="50" t="n">
        <f aca="false">AH1718*CB1718</f>
        <v>0.553571428571429</v>
      </c>
      <c r="AJ1718" s="51" t="n">
        <f aca="false">IF(LEFT(Cockpit!$C$5,1)="A",H1718,IF(CH1718=1,(CK1718+CI1718)/2,IF(LEFT(Cockpit!$C$5,1)="B",(CK1718+AL1718)/2,MAX((CK1718+AL1718)/2,H1718))))</f>
        <v>4.5</v>
      </c>
      <c r="AK1718" s="50" t="n">
        <f aca="false">AJ1718*G1718</f>
        <v>24.975</v>
      </c>
      <c r="AL1718" s="50" t="n">
        <f aca="false">ROUNDUP(CK1718+MAX(CL1718,2*(J1718/IF(CG1718&gt;0,CG1718,MAX(0.1,N(Cockpit!$C$6)))-CK1718)),0)</f>
        <v>1</v>
      </c>
      <c r="AM1718" s="51" t="n">
        <f aca="false">IF(AI1718&gt;0,J1718/AI1718,-1)</f>
        <v>0</v>
      </c>
      <c r="AN1718" s="51" t="n">
        <f aca="false">IF(AND(OR(CF1718="L1",CF1718="L23",CF1718="LIFT"),AI1718&gt;0),SUMIFS($AI$7:$AI$1843,$CF$7:$CF$1843,CF1718,$AM$7:$AM$1843,"&gt;"&amp;AM1718)+SUMIFS($AI$7:$AI$1843,$CF$7:$CF$1843,CF1718,$AM$7:$AM$1843,AM1718,$BW$7:$BW$1843,"&lt;="&amp;BW1718),"")</f>
        <v>32838.1717602078</v>
      </c>
      <c r="AO1718" s="58" t="n">
        <f aca="false">IF(AN1718="",0,MAX(0,MIN(1,(IF(CF1718="L1",Parameter!$H$5,IF(CF1718="L23",Parameter!$H$6+Parameter!$H$7,Parameter!$H$5+Parameter!$H$6+Parameter!$H$7))-(AN1718-AI1718))/AI1718)))</f>
        <v>1</v>
      </c>
      <c r="AP1718" s="50" t="n">
        <f aca="false">IF(LEFT(Cockpit!$I$5,1)="A",H1718,IF(Parameter!$E$30="MAX-Bestand",IF(CH1718=1,CI1718,IF(LEFT(Cockpit!$I$5,1)="B",AV1718,MAX(AV1718,H1718))),ROUNDUP(AT1718,0)))</f>
        <v>5</v>
      </c>
      <c r="AQ1718" s="50" t="n">
        <f aca="false">IF(BZ1718=1,0,ROUNDUP(AP1718/BY1718,0))</f>
        <v>1</v>
      </c>
      <c r="AR1718" s="52" t="n">
        <f aca="false">IF(CQ1718&gt;0,CQ1718*MAX(1,AP1718/X1718),IF(BZ1718=1,IF(AP1718&lt;=0,0,CD1718*MAX(1,IF(H1718&gt;0,AP1718/H1718,1))),IF(R1718&gt;0,AQ1718/R1718,0))/MAX(0.1,N(Parameter!$M$21)))</f>
        <v>0.00357142857142857</v>
      </c>
      <c r="AS1718" s="50" t="n">
        <f aca="false">AR1718*CB1718</f>
        <v>0.553571428571429</v>
      </c>
      <c r="AT1718" s="51" t="n">
        <f aca="false">IF(LEFT(Cockpit!$I$5,1)="A",H1718,IF(CH1718=1,(CK1718+CI1718)/2,IF(LEFT(Cockpit!$I$5,1)="B",(CK1718+AV1718)/2,MAX((CK1718+AV1718)/2,H1718))))</f>
        <v>4.5</v>
      </c>
      <c r="AU1718" s="50" t="n">
        <f aca="false">AT1718*G1718</f>
        <v>24.975</v>
      </c>
      <c r="AV1718" s="50" t="n">
        <f aca="false">ROUNDUP(CK1718+MAX(CL1718,2*(J1718/IF(CG1718&gt;0,CG1718,MAX(0.1,N(Cockpit!$I$6)))-CK1718)),0)</f>
        <v>1</v>
      </c>
      <c r="AW1718" s="51" t="n">
        <f aca="false">IF(AS1718&gt;0,J1718/AS1718,-1)</f>
        <v>0</v>
      </c>
      <c r="AX1718" s="51" t="n">
        <f aca="false">IF(AND(OR(CF1718="L1",CF1718="L23",CF1718="LIFT"),AS1718&gt;0),SUMIFS($AS$7:$AS$1843,$CF$7:$CF$1843,CF1718,$AW$7:$AW$1843,"&gt;"&amp;AW1718)+SUMIFS($AS$7:$AS$1843,$CF$7:$CF$1843,CF1718,$AW$7:$AW$1843,AW1718,$BW$7:$BW$1843,"&lt;="&amp;BW1718),"")</f>
        <v>39311.5271336479</v>
      </c>
      <c r="AY1718" s="58" t="n">
        <f aca="false">IF(AX1718="",0,MAX(0,MIN(1,(IF(CF1718="L1",Parameter!$H$5,IF(CF1718="L23",Parameter!$H$6+Parameter!$H$7,Parameter!$H$5+Parameter!$H$6+Parameter!$H$7))-(AX1718-AS1718))/AS1718)))</f>
        <v>0</v>
      </c>
      <c r="AZ1718" s="50" t="n">
        <f aca="false">IF(LEFT(Cockpit!$O$5,1)="A",H1718,IF(Parameter!$E$30="MAX-Bestand",IF(CH1718=1,CI1718,IF(LEFT(Cockpit!$O$5,1)="B",BF1718,MAX(BF1718,H1718))),ROUNDUP(BD1718,0)))</f>
        <v>1</v>
      </c>
      <c r="BA1718" s="50" t="n">
        <f aca="false">IF(BZ1718=1,0,ROUNDUP(AZ1718/BY1718,0))</f>
        <v>1</v>
      </c>
      <c r="BB1718" s="52" t="n">
        <f aca="false">IF(CQ1718&gt;0,CQ1718*MAX(1,AZ1718/X1718),IF(BZ1718=1,IF(AZ1718&lt;=0,0,CD1718*MAX(1,IF(H1718&gt;0,AZ1718/H1718,1))),IF(R1718&gt;0,BA1718/R1718,0))/MAX(0.1,N(Parameter!$M$21)))</f>
        <v>0.00357142857142857</v>
      </c>
      <c r="BC1718" s="50" t="n">
        <f aca="false">BB1718*CB1718</f>
        <v>0.553571428571429</v>
      </c>
      <c r="BD1718" s="51" t="n">
        <f aca="false">IF(LEFT(Cockpit!$O$5,1)="A",H1718,IF(CH1718=1,(CK1718+CI1718)/2,IF(LEFT(Cockpit!$O$5,1)="B",(CK1718+BF1718)/2,MAX((CK1718+BF1718)/2,H1718))))</f>
        <v>0.5</v>
      </c>
      <c r="BE1718" s="50" t="n">
        <f aca="false">BD1718*G1718</f>
        <v>2.775</v>
      </c>
      <c r="BF1718" s="50" t="n">
        <f aca="false">ROUNDUP(CK1718+MAX(CL1718,2*(J1718/IF(CG1718&gt;0,CG1718,MAX(0.1,N(Cockpit!$O$6)))-CK1718)),0)</f>
        <v>1</v>
      </c>
      <c r="BG1718" s="51" t="n">
        <f aca="false">IF(BC1718&gt;0,J1718/BC1718,-1)</f>
        <v>0</v>
      </c>
      <c r="BH1718" s="51" t="n">
        <f aca="false">IF(AND(OR(CF1718="L1",CF1718="L23",CF1718="LIFT"),BC1718&gt;0),SUMIFS($BC$7:$BC$1843,$CF$7:$CF$1843,CF1718,$BG$7:$BG$1843,"&gt;"&amp;BG1718)+SUMIFS($BC$7:$BC$1843,$CF$7:$CF$1843,CF1718,$BG$7:$BG$1843,BG1718,$BW$7:$BW$1843,"&lt;="&amp;BW1718),"")</f>
        <v>32541.3195996565</v>
      </c>
      <c r="BI1718" s="58" t="n">
        <f aca="false">IF(BH1718="",0,MAX(0,MIN(1,(IF(CF1718="L1",Parameter!$H$5,IF(CF1718="L23",Parameter!$H$6+Parameter!$H$7,Parameter!$H$5+Parameter!$H$6+Parameter!$H$7))-(BH1718-BC1718))/BC1718)))</f>
        <v>1</v>
      </c>
      <c r="BJ1718" s="48" t="str">
        <f aca="false">IF(AI1718&lt;=0,"",IF(CF1718="Aussen","Aussenlager",IF(CF1718="-","Nicht im Lift",IF(AO1718&gt;=1,"Lift",IF(AO1718&lt;=0,"Aussenlager","teilweise")))))</f>
        <v>Lift</v>
      </c>
      <c r="BK1718" s="48" t="str">
        <f aca="false">IF(AS1718&lt;=0,"",IF(CF1718="Aussen","Aussenlager",IF(CF1718="-","Nicht im Lift",IF(AY1718&gt;=1,"Lift",IF(AY1718&lt;=0,"Aussenlager","teilweise")))))</f>
        <v>Aussenlager</v>
      </c>
      <c r="BL1718" s="48" t="str">
        <f aca="false">IF(BC1718&lt;=0,"",IF(CF1718="Aussen","Aussenlager",IF(CF1718="-","Nicht im Lift",IF(BI1718&gt;=1,"Lift",IF(BI1718&lt;=0,"Aussenlager","teilweise")))))</f>
        <v>Lift</v>
      </c>
      <c r="BM1718" s="48" t="str">
        <f aca="false">IF(A1718="","",IF(BV1718=1,"Neu; ","")&amp;IF(AND(BV1718=0,BQ1718&lt;0),"negativer Bestand (Export "&amp;BQ1718&amp;"); ","")&amp;IF(J1718&lt;=0,"Kein Verbrauch; ","")&amp;IF(CQ1718&gt;0,"Lift "&amp;W1718&amp;" lt. Liftbericht (Fach "&amp;X1718&amp;" Stk); ",IF(CA1718=1,"Gebinde geschätzt ("&amp;T1718&amp;"); ",IF(BZ1718=1,"Lose – Tablare geschätzt; ","")))&amp;IF(H1718&gt;AV1718,"Überbestand "&amp;ROUND(H1718-AV1718,0)&amp;" Stk / CHF "&amp;ROUND((H1718-AV1718)*G1718,0)&amp;"; ","")&amp;IF(AND(CH1718=1,CI1718&lt;CJ1718),"MAX &lt; MB+LG; ","")&amp;IF(AND(CP1718&gt;0,CO1718*10&gt;CP1718),"zu hoch für Tablar; ","")&amp;IF(AND(BV1718=0,OR(CH1718=1,AA1718&lt;&gt;"",U1718&lt;&gt;"",V1718&lt;&gt;"",AB1718&lt;&gt;"")),"manuell übersteuert; ","")&amp;IF(AND(BZ1718=0,R1718=0),"Gebinde unbekannt / Stellmass fehlt; ","")&amp;IF(AND(BZ1718=0,N(V1718)&lt;=0,N(Q1718)&lt;=0),"Menge pro Gebinde fehlt (Ist = 1 Gebinde); ","")&amp;BU1718)</f>
        <v>Kein Verbrauch; Überbestand 4 Stk / CHF 19; nur im Artikelstamm (Bestand 23.06.2026)</v>
      </c>
      <c r="BN1718" s="48"/>
      <c r="BO1718" s="48"/>
      <c r="BP1718" s="55"/>
      <c r="BQ1718" s="50" t="n">
        <v>4.5</v>
      </c>
      <c r="BR1718" s="50" t="n">
        <v>0</v>
      </c>
      <c r="BS1718" s="49" t="n">
        <v>0</v>
      </c>
      <c r="BT1718" s="50" t="n">
        <v>0</v>
      </c>
      <c r="BU1718" s="48" t="s">
        <v>2584</v>
      </c>
      <c r="BV1718" s="53" t="n">
        <v>0</v>
      </c>
      <c r="BW1718" s="53" t="n">
        <v>1718</v>
      </c>
      <c r="BX1718" s="48" t="str">
        <f aca="false">IF(U1718&lt;&gt;"",UPPER(TRIM(U1718)),IF(CA1718=1,UPPER(VLOOKUP(T1718,Parameter!$I$27:$K$29,2,0)),IF(P1718="","LOSE",P1718)))</f>
        <v>S21</v>
      </c>
      <c r="BY1718" s="50" t="n">
        <f aca="false">IF(BX1718="LOSE",1,IF(N(V1718)&gt;0,V1718,IF(CA1718=1,MAX(1,N(VLOOKUP(T1718,Parameter!$I$27:$K$29,3,0)),H1718,N(N1718)),IF(N(Q1718)&gt;0,Q1718,MAX(1,H1718)))))</f>
        <v>100</v>
      </c>
      <c r="BZ1718" s="53" t="n">
        <f aca="false">IF(BX1718="LOSE",1,0)</f>
        <v>0</v>
      </c>
      <c r="CA1718" s="53" t="n">
        <f aca="false">IF(AND(U1718="",OR(P1718="",P1718="LOSE"),T1718&lt;&gt;"",N(S1718)&lt;=0,ISNUMBER(MATCH(T1718,Parameter!$I$27:$I$29,0))),1,0)</f>
        <v>0</v>
      </c>
      <c r="CB1718" s="53" t="n">
        <f aca="false">IF(CQ1718&gt;0,INDEX(Parameter!$H$5:$H$7,W1718)/INDEX(Parameter!$E$5:$E$7,W1718),IF(AND(BZ1718=0,N(IFERROR(VLOOKUP(BX1718,'Gebinde-Kategorie'!$A$5:$N$45,14,0),0))&gt;0),VLOOKUP(BX1718,'Gebinde-Kategorie'!$A$5:$N$45,14,0)*10+Parameter!$M$23,Parameter!$M$24))</f>
        <v>155</v>
      </c>
      <c r="CC1718" s="48" t="str">
        <f aca="false">IF(AND(Parameter!$B$19="Ja",E1718&lt;&gt;"",ISNUMBER(MATCH(E1718,Parameter!$I$35:$I$52,0))),VLOOKUP(E1718,Parameter!$I$35:$J$52,2,0),IFERROR(VLOOKUP(D1718,Parameter!$A$35:$C$64,2,0),"Nein"))</f>
        <v>2+3</v>
      </c>
      <c r="CD1718" s="52" t="n">
        <f aca="false">IF(BZ1718=0,0,IF(N(S1718)&gt;0,S1718,IFERROR(VLOOKUP(D1718,Parameter!$A$35:$C$64,3,0)+0,0)))</f>
        <v>0</v>
      </c>
      <c r="CE1718" s="48" t="n">
        <f aca="false">IF(AA1718&lt;&gt;"",AA1718,Z1718)</f>
        <v>3</v>
      </c>
      <c r="CF1718" s="48" t="str">
        <f aca="false">IF(OR(CE1718=1,CE1718=2,CE1718=3),IF(Parameter!$E$27="Ja","LIFT",IF(CE1718=1,"L1","L23")),IF(CE1718="Aussen","Aussen","-"))</f>
        <v>LIFT</v>
      </c>
      <c r="CG1718" s="59" t="n">
        <f aca="false">IF(N(AB1718)&gt;0,AB1718,0)</f>
        <v>0</v>
      </c>
      <c r="CH1718" s="53" t="n">
        <f aca="false">IF(ISNUMBER(AE1718),1,0)</f>
        <v>0</v>
      </c>
      <c r="CI1718" s="50" t="n">
        <f aca="false">N(AE1718)</f>
        <v>0</v>
      </c>
      <c r="CJ1718" s="50" t="n">
        <f aca="false">N(M1718)+N(N1718)</f>
        <v>1</v>
      </c>
      <c r="CK1718" s="50" t="n">
        <f aca="false">N(M1718)</f>
        <v>0</v>
      </c>
      <c r="CL1718" s="50" t="n">
        <f aca="false">N(N1718)</f>
        <v>1</v>
      </c>
      <c r="CM1718" s="50" t="n">
        <f aca="false">ROUNDUP(H1718/BY1718,0)</f>
        <v>1</v>
      </c>
      <c r="CN1718" s="50" t="n">
        <f aca="false">ROUNDUP(CI1718/BY1718,0)</f>
        <v>0</v>
      </c>
      <c r="CO1718" s="53" t="n">
        <f aca="false">IF(BZ1718=1,0,IFERROR(VLOOKUP(BX1718,'Gebinde-Kategorie'!$A$5:$N$45,5,0)+0,0))</f>
        <v>8</v>
      </c>
      <c r="CP1718" s="53" t="n">
        <f aca="false">IFERROR(IF(OR(CE1718=1,CE1718=2,CE1718=3),N(INDEX(Parameter!$I$5:$I$7,CE1718)),0),0)</f>
        <v>0</v>
      </c>
      <c r="CQ1718" s="52" t="n">
        <f aca="false">IF(AND(Parameter!$B$21="Ja",ISNUMBER(W1718),N(X1718)&gt;0),IFERROR(N(INDEX(Parameter!$L$5:$L$7,W1718))*INDEX(Parameter!$E$5:$E$7,W1718)*X1718/SUMIFS($X$7:$X$1843,$W$7:$W$1843,W1718),0),0)</f>
        <v>0</v>
      </c>
    </row>
    <row r="1719" customFormat="false" ht="15" hidden="false" customHeight="false" outlineLevel="0" collapsed="false">
      <c r="A1719" s="48" t="s">
        <v>2984</v>
      </c>
      <c r="B1719" s="48" t="s">
        <v>2985</v>
      </c>
      <c r="C1719" s="48" t="s">
        <v>173</v>
      </c>
      <c r="D1719" s="48" t="s">
        <v>193</v>
      </c>
      <c r="E1719" s="48"/>
      <c r="F1719" s="48"/>
      <c r="G1719" s="49" t="n">
        <v>6.21</v>
      </c>
      <c r="H1719" s="50" t="n">
        <f aca="false">MAX(0,IF(AND(Parameter!$B$21="Ja",ISNUMBER(Y1719)),Y1719,IF(Parameter!$B$20="Jahresanfang 2025 + Export",BR1719+BQ1719,BQ1719)))</f>
        <v>60</v>
      </c>
      <c r="I1719" s="50" t="n">
        <f aca="false">H1719*G1719</f>
        <v>372.6</v>
      </c>
      <c r="J1719" s="50" t="n">
        <f aca="false">BT1719*Parameter!$B$18</f>
        <v>0</v>
      </c>
      <c r="K1719" s="51"/>
      <c r="L1719" s="52"/>
      <c r="M1719" s="50" t="n">
        <v>0</v>
      </c>
      <c r="N1719" s="50" t="n">
        <v>20</v>
      </c>
      <c r="O1719" s="53" t="n">
        <v>0</v>
      </c>
      <c r="P1719" s="48" t="s">
        <v>410</v>
      </c>
      <c r="Q1719" s="50" t="n">
        <v>100</v>
      </c>
      <c r="R1719" s="53" t="n">
        <f aca="false">IF(BZ1719=1,0,IFERROR(VLOOKUP(BX1719,'Gebinde-Kategorie'!$A$5:$N$45,13,0)+0,0))</f>
        <v>280</v>
      </c>
      <c r="S1719" s="54"/>
      <c r="T1719" s="55"/>
      <c r="U1719" s="55"/>
      <c r="V1719" s="55"/>
      <c r="W1719" s="48"/>
      <c r="X1719" s="50"/>
      <c r="Y1719" s="50"/>
      <c r="Z1719" s="48" t="n">
        <f aca="false">IF(A1719="","",IF(AND(Parameter!$B$21="Ja",ISNUMBER(W1719)),W1719,IF(CC1719="2+3",IF(ISNUMBER(SEARCH("grosser Artikel",BU1719)),2,IFERROR(VLOOKUP(BX1719,Parameter!$F$35:$G$64,2,0),2)),IF(OR(CC1719="Nein",CC1719=""),"-",CC1719))))</f>
        <v>3</v>
      </c>
      <c r="AA1719" s="55"/>
      <c r="AB1719" s="56"/>
      <c r="AC1719" s="50" t="n">
        <f aca="false">AV1719</f>
        <v>20</v>
      </c>
      <c r="AD1719" s="50" t="n">
        <f aca="false">MAX(AV1719,H1719)</f>
        <v>60</v>
      </c>
      <c r="AE1719" s="57"/>
      <c r="AF1719" s="50" t="n">
        <f aca="false">IF(LEFT(Cockpit!$C$5,1)="A",H1719,IF(Parameter!$E$30="MAX-Bestand",IF(CH1719=1,CI1719,IF(LEFT(Cockpit!$C$5,1)="B",AL1719,MAX(AL1719,H1719))),ROUNDUP(AJ1719,0)))</f>
        <v>60</v>
      </c>
      <c r="AG1719" s="50" t="n">
        <f aca="false">IF(BZ1719=1,0,ROUNDUP(AF1719/BY1719,0))</f>
        <v>1</v>
      </c>
      <c r="AH1719" s="52" t="n">
        <f aca="false">IF(CQ1719&gt;0,CQ1719*MAX(1,AF1719/X1719),IF(BZ1719=1,IF(AF1719&lt;=0,0,CD1719*MAX(1,IF(H1719&gt;0,AF1719/H1719,1))),IF(R1719&gt;0,AG1719/R1719,0))/MAX(0.1,N(Parameter!$M$21)))</f>
        <v>0.00357142857142857</v>
      </c>
      <c r="AI1719" s="50" t="n">
        <f aca="false">AH1719*CB1719</f>
        <v>0.553571428571429</v>
      </c>
      <c r="AJ1719" s="51" t="n">
        <f aca="false">IF(LEFT(Cockpit!$C$5,1)="A",H1719,IF(CH1719=1,(CK1719+CI1719)/2,IF(LEFT(Cockpit!$C$5,1)="B",(CK1719+AL1719)/2,MAX((CK1719+AL1719)/2,H1719))))</f>
        <v>60</v>
      </c>
      <c r="AK1719" s="50" t="n">
        <f aca="false">AJ1719*G1719</f>
        <v>372.6</v>
      </c>
      <c r="AL1719" s="50" t="n">
        <f aca="false">ROUNDUP(CK1719+MAX(CL1719,2*(J1719/IF(CG1719&gt;0,CG1719,MAX(0.1,N(Cockpit!$C$6)))-CK1719)),0)</f>
        <v>20</v>
      </c>
      <c r="AM1719" s="51" t="n">
        <f aca="false">IF(AI1719&gt;0,J1719/AI1719,-1)</f>
        <v>0</v>
      </c>
      <c r="AN1719" s="51" t="n">
        <f aca="false">IF(AND(OR(CF1719="L1",CF1719="L23",CF1719="LIFT"),AI1719&gt;0),SUMIFS($AI$7:$AI$1843,$CF$7:$CF$1843,CF1719,$AM$7:$AM$1843,"&gt;"&amp;AM1719)+SUMIFS($AI$7:$AI$1843,$CF$7:$CF$1843,CF1719,$AM$7:$AM$1843,AM1719,$BW$7:$BW$1843,"&lt;="&amp;BW1719),"")</f>
        <v>32838.7253316364</v>
      </c>
      <c r="AO1719" s="58" t="n">
        <f aca="false">IF(AN1719="",0,MAX(0,MIN(1,(IF(CF1719="L1",Parameter!$H$5,IF(CF1719="L23",Parameter!$H$6+Parameter!$H$7,Parameter!$H$5+Parameter!$H$6+Parameter!$H$7))-(AN1719-AI1719))/AI1719)))</f>
        <v>1</v>
      </c>
      <c r="AP1719" s="50" t="n">
        <f aca="false">IF(LEFT(Cockpit!$I$5,1)="A",H1719,IF(Parameter!$E$30="MAX-Bestand",IF(CH1719=1,CI1719,IF(LEFT(Cockpit!$I$5,1)="B",AV1719,MAX(AV1719,H1719))),ROUNDUP(AT1719,0)))</f>
        <v>60</v>
      </c>
      <c r="AQ1719" s="50" t="n">
        <f aca="false">IF(BZ1719=1,0,ROUNDUP(AP1719/BY1719,0))</f>
        <v>1</v>
      </c>
      <c r="AR1719" s="52" t="n">
        <f aca="false">IF(CQ1719&gt;0,CQ1719*MAX(1,AP1719/X1719),IF(BZ1719=1,IF(AP1719&lt;=0,0,CD1719*MAX(1,IF(H1719&gt;0,AP1719/H1719,1))),IF(R1719&gt;0,AQ1719/R1719,0))/MAX(0.1,N(Parameter!$M$21)))</f>
        <v>0.00357142857142857</v>
      </c>
      <c r="AS1719" s="50" t="n">
        <f aca="false">AR1719*CB1719</f>
        <v>0.553571428571429</v>
      </c>
      <c r="AT1719" s="51" t="n">
        <f aca="false">IF(LEFT(Cockpit!$I$5,1)="A",H1719,IF(CH1719=1,(CK1719+CI1719)/2,IF(LEFT(Cockpit!$I$5,1)="B",(CK1719+AV1719)/2,MAX((CK1719+AV1719)/2,H1719))))</f>
        <v>60</v>
      </c>
      <c r="AU1719" s="50" t="n">
        <f aca="false">AT1719*G1719</f>
        <v>372.6</v>
      </c>
      <c r="AV1719" s="50" t="n">
        <f aca="false">ROUNDUP(CK1719+MAX(CL1719,2*(J1719/IF(CG1719&gt;0,CG1719,MAX(0.1,N(Cockpit!$I$6)))-CK1719)),0)</f>
        <v>20</v>
      </c>
      <c r="AW1719" s="51" t="n">
        <f aca="false">IF(AS1719&gt;0,J1719/AS1719,-1)</f>
        <v>0</v>
      </c>
      <c r="AX1719" s="51" t="n">
        <f aca="false">IF(AND(OR(CF1719="L1",CF1719="L23",CF1719="LIFT"),AS1719&gt;0),SUMIFS($AS$7:$AS$1843,$CF$7:$CF$1843,CF1719,$AW$7:$AW$1843,"&gt;"&amp;AW1719)+SUMIFS($AS$7:$AS$1843,$CF$7:$CF$1843,CF1719,$AW$7:$AW$1843,AW1719,$BW$7:$BW$1843,"&lt;="&amp;BW1719),"")</f>
        <v>39312.0807050765</v>
      </c>
      <c r="AY1719" s="58" t="n">
        <f aca="false">IF(AX1719="",0,MAX(0,MIN(1,(IF(CF1719="L1",Parameter!$H$5,IF(CF1719="L23",Parameter!$H$6+Parameter!$H$7,Parameter!$H$5+Parameter!$H$6+Parameter!$H$7))-(AX1719-AS1719))/AS1719)))</f>
        <v>0</v>
      </c>
      <c r="AZ1719" s="50" t="n">
        <f aca="false">IF(LEFT(Cockpit!$O$5,1)="A",H1719,IF(Parameter!$E$30="MAX-Bestand",IF(CH1719=1,CI1719,IF(LEFT(Cockpit!$O$5,1)="B",BF1719,MAX(BF1719,H1719))),ROUNDUP(BD1719,0)))</f>
        <v>10</v>
      </c>
      <c r="BA1719" s="50" t="n">
        <f aca="false">IF(BZ1719=1,0,ROUNDUP(AZ1719/BY1719,0))</f>
        <v>1</v>
      </c>
      <c r="BB1719" s="52" t="n">
        <f aca="false">IF(CQ1719&gt;0,CQ1719*MAX(1,AZ1719/X1719),IF(BZ1719=1,IF(AZ1719&lt;=0,0,CD1719*MAX(1,IF(H1719&gt;0,AZ1719/H1719,1))),IF(R1719&gt;0,BA1719/R1719,0))/MAX(0.1,N(Parameter!$M$21)))</f>
        <v>0.00357142857142857</v>
      </c>
      <c r="BC1719" s="50" t="n">
        <f aca="false">BB1719*CB1719</f>
        <v>0.553571428571429</v>
      </c>
      <c r="BD1719" s="51" t="n">
        <f aca="false">IF(LEFT(Cockpit!$O$5,1)="A",H1719,IF(CH1719=1,(CK1719+CI1719)/2,IF(LEFT(Cockpit!$O$5,1)="B",(CK1719+BF1719)/2,MAX((CK1719+BF1719)/2,H1719))))</f>
        <v>10</v>
      </c>
      <c r="BE1719" s="50" t="n">
        <f aca="false">BD1719*G1719</f>
        <v>62.1</v>
      </c>
      <c r="BF1719" s="50" t="n">
        <f aca="false">ROUNDUP(CK1719+MAX(CL1719,2*(J1719/IF(CG1719&gt;0,CG1719,MAX(0.1,N(Cockpit!$O$6)))-CK1719)),0)</f>
        <v>20</v>
      </c>
      <c r="BG1719" s="51" t="n">
        <f aca="false">IF(BC1719&gt;0,J1719/BC1719,-1)</f>
        <v>0</v>
      </c>
      <c r="BH1719" s="51" t="n">
        <f aca="false">IF(AND(OR(CF1719="L1",CF1719="L23",CF1719="LIFT"),BC1719&gt;0),SUMIFS($BC$7:$BC$1843,$CF$7:$CF$1843,CF1719,$BG$7:$BG$1843,"&gt;"&amp;BG1719)+SUMIFS($BC$7:$BC$1843,$CF$7:$CF$1843,CF1719,$BG$7:$BG$1843,BG1719,$BW$7:$BW$1843,"&lt;="&amp;BW1719),"")</f>
        <v>32541.873171085</v>
      </c>
      <c r="BI1719" s="58" t="n">
        <f aca="false">IF(BH1719="",0,MAX(0,MIN(1,(IF(CF1719="L1",Parameter!$H$5,IF(CF1719="L23",Parameter!$H$6+Parameter!$H$7,Parameter!$H$5+Parameter!$H$6+Parameter!$H$7))-(BH1719-BC1719))/BC1719)))</f>
        <v>1</v>
      </c>
      <c r="BJ1719" s="48" t="str">
        <f aca="false">IF(AI1719&lt;=0,"",IF(CF1719="Aussen","Aussenlager",IF(CF1719="-","Nicht im Lift",IF(AO1719&gt;=1,"Lift",IF(AO1719&lt;=0,"Aussenlager","teilweise")))))</f>
        <v>Lift</v>
      </c>
      <c r="BK1719" s="48" t="str">
        <f aca="false">IF(AS1719&lt;=0,"",IF(CF1719="Aussen","Aussenlager",IF(CF1719="-","Nicht im Lift",IF(AY1719&gt;=1,"Lift",IF(AY1719&lt;=0,"Aussenlager","teilweise")))))</f>
        <v>Aussenlager</v>
      </c>
      <c r="BL1719" s="48" t="str">
        <f aca="false">IF(BC1719&lt;=0,"",IF(CF1719="Aussen","Aussenlager",IF(CF1719="-","Nicht im Lift",IF(BI1719&gt;=1,"Lift",IF(BI1719&lt;=0,"Aussenlager","teilweise")))))</f>
        <v>Lift</v>
      </c>
      <c r="BM1719" s="48" t="str">
        <f aca="false">IF(A1719="","",IF(BV1719=1,"Neu; ","")&amp;IF(AND(BV1719=0,BQ1719&lt;0),"negativer Bestand (Export "&amp;BQ1719&amp;"); ","")&amp;IF(J1719&lt;=0,"Kein Verbrauch; ","")&amp;IF(CQ1719&gt;0,"Lift "&amp;W1719&amp;" lt. Liftbericht (Fach "&amp;X1719&amp;" Stk); ",IF(CA1719=1,"Gebinde geschätzt ("&amp;T1719&amp;"); ",IF(BZ1719=1,"Lose – Tablare geschätzt; ","")))&amp;IF(H1719&gt;AV1719,"Überbestand "&amp;ROUND(H1719-AV1719,0)&amp;" Stk / CHF "&amp;ROUND((H1719-AV1719)*G1719,0)&amp;"; ","")&amp;IF(AND(CH1719=1,CI1719&lt;CJ1719),"MAX &lt; MB+LG; ","")&amp;IF(AND(CP1719&gt;0,CO1719*10&gt;CP1719),"zu hoch für Tablar; ","")&amp;IF(AND(BV1719=0,OR(CH1719=1,AA1719&lt;&gt;"",U1719&lt;&gt;"",V1719&lt;&gt;"",AB1719&lt;&gt;"")),"manuell übersteuert; ","")&amp;IF(AND(BZ1719=0,R1719=0),"Gebinde unbekannt / Stellmass fehlt; ","")&amp;IF(AND(BZ1719=0,N(V1719)&lt;=0,N(Q1719)&lt;=0),"Menge pro Gebinde fehlt (Ist = 1 Gebinde); ","")&amp;BU1719)</f>
        <v>Kein Verbrauch; Überbestand 40 Stk / CHF 248; nur im Artikelstamm (Bestand 23.06.2026)</v>
      </c>
      <c r="BN1719" s="48"/>
      <c r="BO1719" s="48"/>
      <c r="BP1719" s="55"/>
      <c r="BQ1719" s="50" t="n">
        <v>60</v>
      </c>
      <c r="BR1719" s="50" t="n">
        <v>0</v>
      </c>
      <c r="BS1719" s="49" t="n">
        <v>0</v>
      </c>
      <c r="BT1719" s="50" t="n">
        <v>0</v>
      </c>
      <c r="BU1719" s="48" t="s">
        <v>2584</v>
      </c>
      <c r="BV1719" s="53" t="n">
        <v>0</v>
      </c>
      <c r="BW1719" s="53" t="n">
        <v>1719</v>
      </c>
      <c r="BX1719" s="48" t="str">
        <f aca="false">IF(U1719&lt;&gt;"",UPPER(TRIM(U1719)),IF(CA1719=1,UPPER(VLOOKUP(T1719,Parameter!$I$27:$K$29,2,0)),IF(P1719="","LOSE",P1719)))</f>
        <v>S21</v>
      </c>
      <c r="BY1719" s="50" t="n">
        <f aca="false">IF(BX1719="LOSE",1,IF(N(V1719)&gt;0,V1719,IF(CA1719=1,MAX(1,N(VLOOKUP(T1719,Parameter!$I$27:$K$29,3,0)),H1719,N(N1719)),IF(N(Q1719)&gt;0,Q1719,MAX(1,H1719)))))</f>
        <v>100</v>
      </c>
      <c r="BZ1719" s="53" t="n">
        <f aca="false">IF(BX1719="LOSE",1,0)</f>
        <v>0</v>
      </c>
      <c r="CA1719" s="53" t="n">
        <f aca="false">IF(AND(U1719="",OR(P1719="",P1719="LOSE"),T1719&lt;&gt;"",N(S1719)&lt;=0,ISNUMBER(MATCH(T1719,Parameter!$I$27:$I$29,0))),1,0)</f>
        <v>0</v>
      </c>
      <c r="CB1719" s="53" t="n">
        <f aca="false">IF(CQ1719&gt;0,INDEX(Parameter!$H$5:$H$7,W1719)/INDEX(Parameter!$E$5:$E$7,W1719),IF(AND(BZ1719=0,N(IFERROR(VLOOKUP(BX1719,'Gebinde-Kategorie'!$A$5:$N$45,14,0),0))&gt;0),VLOOKUP(BX1719,'Gebinde-Kategorie'!$A$5:$N$45,14,0)*10+Parameter!$M$23,Parameter!$M$24))</f>
        <v>155</v>
      </c>
      <c r="CC1719" s="48" t="str">
        <f aca="false">IF(AND(Parameter!$B$19="Ja",E1719&lt;&gt;"",ISNUMBER(MATCH(E1719,Parameter!$I$35:$I$52,0))),VLOOKUP(E1719,Parameter!$I$35:$J$52,2,0),IFERROR(VLOOKUP(D1719,Parameter!$A$35:$C$64,2,0),"Nein"))</f>
        <v>2+3</v>
      </c>
      <c r="CD1719" s="52" t="n">
        <f aca="false">IF(BZ1719=0,0,IF(N(S1719)&gt;0,S1719,IFERROR(VLOOKUP(D1719,Parameter!$A$35:$C$64,3,0)+0,0)))</f>
        <v>0</v>
      </c>
      <c r="CE1719" s="48" t="n">
        <f aca="false">IF(AA1719&lt;&gt;"",AA1719,Z1719)</f>
        <v>3</v>
      </c>
      <c r="CF1719" s="48" t="str">
        <f aca="false">IF(OR(CE1719=1,CE1719=2,CE1719=3),IF(Parameter!$E$27="Ja","LIFT",IF(CE1719=1,"L1","L23")),IF(CE1719="Aussen","Aussen","-"))</f>
        <v>LIFT</v>
      </c>
      <c r="CG1719" s="59" t="n">
        <f aca="false">IF(N(AB1719)&gt;0,AB1719,0)</f>
        <v>0</v>
      </c>
      <c r="CH1719" s="53" t="n">
        <f aca="false">IF(ISNUMBER(AE1719),1,0)</f>
        <v>0</v>
      </c>
      <c r="CI1719" s="50" t="n">
        <f aca="false">N(AE1719)</f>
        <v>0</v>
      </c>
      <c r="CJ1719" s="50" t="n">
        <f aca="false">N(M1719)+N(N1719)</f>
        <v>20</v>
      </c>
      <c r="CK1719" s="50" t="n">
        <f aca="false">N(M1719)</f>
        <v>0</v>
      </c>
      <c r="CL1719" s="50" t="n">
        <f aca="false">N(N1719)</f>
        <v>20</v>
      </c>
      <c r="CM1719" s="50" t="n">
        <f aca="false">ROUNDUP(H1719/BY1719,0)</f>
        <v>1</v>
      </c>
      <c r="CN1719" s="50" t="n">
        <f aca="false">ROUNDUP(CI1719/BY1719,0)</f>
        <v>0</v>
      </c>
      <c r="CO1719" s="53" t="n">
        <f aca="false">IF(BZ1719=1,0,IFERROR(VLOOKUP(BX1719,'Gebinde-Kategorie'!$A$5:$N$45,5,0)+0,0))</f>
        <v>8</v>
      </c>
      <c r="CP1719" s="53" t="n">
        <f aca="false">IFERROR(IF(OR(CE1719=1,CE1719=2,CE1719=3),N(INDEX(Parameter!$I$5:$I$7,CE1719)),0),0)</f>
        <v>0</v>
      </c>
      <c r="CQ1719" s="52" t="n">
        <f aca="false">IF(AND(Parameter!$B$21="Ja",ISNUMBER(W1719),N(X1719)&gt;0),IFERROR(N(INDEX(Parameter!$L$5:$L$7,W1719))*INDEX(Parameter!$E$5:$E$7,W1719)*X1719/SUMIFS($X$7:$X$1843,$W$7:$W$1843,W1719),0),0)</f>
        <v>0</v>
      </c>
    </row>
    <row r="1720" customFormat="false" ht="15" hidden="false" customHeight="false" outlineLevel="0" collapsed="false">
      <c r="A1720" s="48" t="s">
        <v>2986</v>
      </c>
      <c r="B1720" s="48" t="s">
        <v>2987</v>
      </c>
      <c r="C1720" s="48" t="s">
        <v>173</v>
      </c>
      <c r="D1720" s="48" t="s">
        <v>193</v>
      </c>
      <c r="E1720" s="48"/>
      <c r="F1720" s="48"/>
      <c r="G1720" s="49" t="n">
        <v>0.43</v>
      </c>
      <c r="H1720" s="50" t="n">
        <f aca="false">MAX(0,IF(AND(Parameter!$B$21="Ja",ISNUMBER(Y1720)),Y1720,IF(Parameter!$B$20="Jahresanfang 2025 + Export",BR1720+BQ1720,BQ1720)))</f>
        <v>45</v>
      </c>
      <c r="I1720" s="50" t="n">
        <f aca="false">H1720*G1720</f>
        <v>19.35</v>
      </c>
      <c r="J1720" s="50" t="n">
        <f aca="false">BT1720*Parameter!$B$18</f>
        <v>0</v>
      </c>
      <c r="K1720" s="51"/>
      <c r="L1720" s="52"/>
      <c r="M1720" s="50" t="n">
        <v>0</v>
      </c>
      <c r="N1720" s="50" t="n">
        <v>100</v>
      </c>
      <c r="O1720" s="53" t="n">
        <v>0</v>
      </c>
      <c r="P1720" s="48" t="s">
        <v>410</v>
      </c>
      <c r="Q1720" s="50" t="n">
        <v>100</v>
      </c>
      <c r="R1720" s="53" t="n">
        <f aca="false">IF(BZ1720=1,0,IFERROR(VLOOKUP(BX1720,'Gebinde-Kategorie'!$A$5:$N$45,13,0)+0,0))</f>
        <v>280</v>
      </c>
      <c r="S1720" s="54"/>
      <c r="T1720" s="55"/>
      <c r="U1720" s="55"/>
      <c r="V1720" s="55"/>
      <c r="W1720" s="48"/>
      <c r="X1720" s="50"/>
      <c r="Y1720" s="50"/>
      <c r="Z1720" s="48" t="n">
        <f aca="false">IF(A1720="","",IF(AND(Parameter!$B$21="Ja",ISNUMBER(W1720)),W1720,IF(CC1720="2+3",IF(ISNUMBER(SEARCH("grosser Artikel",BU1720)),2,IFERROR(VLOOKUP(BX1720,Parameter!$F$35:$G$64,2,0),2)),IF(OR(CC1720="Nein",CC1720=""),"-",CC1720))))</f>
        <v>3</v>
      </c>
      <c r="AA1720" s="55"/>
      <c r="AB1720" s="56"/>
      <c r="AC1720" s="50" t="n">
        <f aca="false">AV1720</f>
        <v>100</v>
      </c>
      <c r="AD1720" s="50" t="n">
        <f aca="false">MAX(AV1720,H1720)</f>
        <v>100</v>
      </c>
      <c r="AE1720" s="57"/>
      <c r="AF1720" s="50" t="n">
        <f aca="false">IF(LEFT(Cockpit!$C$5,1)="A",H1720,IF(Parameter!$E$30="MAX-Bestand",IF(CH1720=1,CI1720,IF(LEFT(Cockpit!$C$5,1)="B",AL1720,MAX(AL1720,H1720))),ROUNDUP(AJ1720,0)))</f>
        <v>45</v>
      </c>
      <c r="AG1720" s="50" t="n">
        <f aca="false">IF(BZ1720=1,0,ROUNDUP(AF1720/BY1720,0))</f>
        <v>1</v>
      </c>
      <c r="AH1720" s="52" t="n">
        <f aca="false">IF(CQ1720&gt;0,CQ1720*MAX(1,AF1720/X1720),IF(BZ1720=1,IF(AF1720&lt;=0,0,CD1720*MAX(1,IF(H1720&gt;0,AF1720/H1720,1))),IF(R1720&gt;0,AG1720/R1720,0))/MAX(0.1,N(Parameter!$M$21)))</f>
        <v>0.00357142857142857</v>
      </c>
      <c r="AI1720" s="50" t="n">
        <f aca="false">AH1720*CB1720</f>
        <v>0.553571428571429</v>
      </c>
      <c r="AJ1720" s="51" t="n">
        <f aca="false">IF(LEFT(Cockpit!$C$5,1)="A",H1720,IF(CH1720=1,(CK1720+CI1720)/2,IF(LEFT(Cockpit!$C$5,1)="B",(CK1720+AL1720)/2,MAX((CK1720+AL1720)/2,H1720))))</f>
        <v>45</v>
      </c>
      <c r="AK1720" s="50" t="n">
        <f aca="false">AJ1720*G1720</f>
        <v>19.35</v>
      </c>
      <c r="AL1720" s="50" t="n">
        <f aca="false">ROUNDUP(CK1720+MAX(CL1720,2*(J1720/IF(CG1720&gt;0,CG1720,MAX(0.1,N(Cockpit!$C$6)))-CK1720)),0)</f>
        <v>100</v>
      </c>
      <c r="AM1720" s="51" t="n">
        <f aca="false">IF(AI1720&gt;0,J1720/AI1720,-1)</f>
        <v>0</v>
      </c>
      <c r="AN1720" s="51" t="n">
        <f aca="false">IF(AND(OR(CF1720="L1",CF1720="L23",CF1720="LIFT"),AI1720&gt;0),SUMIFS($AI$7:$AI$1843,$CF$7:$CF$1843,CF1720,$AM$7:$AM$1843,"&gt;"&amp;AM1720)+SUMIFS($AI$7:$AI$1843,$CF$7:$CF$1843,CF1720,$AM$7:$AM$1843,AM1720,$BW$7:$BW$1843,"&lt;="&amp;BW1720),"")</f>
        <v>32839.2789030649</v>
      </c>
      <c r="AO1720" s="58" t="n">
        <f aca="false">IF(AN1720="",0,MAX(0,MIN(1,(IF(CF1720="L1",Parameter!$H$5,IF(CF1720="L23",Parameter!$H$6+Parameter!$H$7,Parameter!$H$5+Parameter!$H$6+Parameter!$H$7))-(AN1720-AI1720))/AI1720)))</f>
        <v>1</v>
      </c>
      <c r="AP1720" s="50" t="n">
        <f aca="false">IF(LEFT(Cockpit!$I$5,1)="A",H1720,IF(Parameter!$E$30="MAX-Bestand",IF(CH1720=1,CI1720,IF(LEFT(Cockpit!$I$5,1)="B",AV1720,MAX(AV1720,H1720))),ROUNDUP(AT1720,0)))</f>
        <v>50</v>
      </c>
      <c r="AQ1720" s="50" t="n">
        <f aca="false">IF(BZ1720=1,0,ROUNDUP(AP1720/BY1720,0))</f>
        <v>1</v>
      </c>
      <c r="AR1720" s="52" t="n">
        <f aca="false">IF(CQ1720&gt;0,CQ1720*MAX(1,AP1720/X1720),IF(BZ1720=1,IF(AP1720&lt;=0,0,CD1720*MAX(1,IF(H1720&gt;0,AP1720/H1720,1))),IF(R1720&gt;0,AQ1720/R1720,0))/MAX(0.1,N(Parameter!$M$21)))</f>
        <v>0.00357142857142857</v>
      </c>
      <c r="AS1720" s="50" t="n">
        <f aca="false">AR1720*CB1720</f>
        <v>0.553571428571429</v>
      </c>
      <c r="AT1720" s="51" t="n">
        <f aca="false">IF(LEFT(Cockpit!$I$5,1)="A",H1720,IF(CH1720=1,(CK1720+CI1720)/2,IF(LEFT(Cockpit!$I$5,1)="B",(CK1720+AV1720)/2,MAX((CK1720+AV1720)/2,H1720))))</f>
        <v>50</v>
      </c>
      <c r="AU1720" s="50" t="n">
        <f aca="false">AT1720*G1720</f>
        <v>21.5</v>
      </c>
      <c r="AV1720" s="50" t="n">
        <f aca="false">ROUNDUP(CK1720+MAX(CL1720,2*(J1720/IF(CG1720&gt;0,CG1720,MAX(0.1,N(Cockpit!$I$6)))-CK1720)),0)</f>
        <v>100</v>
      </c>
      <c r="AW1720" s="51" t="n">
        <f aca="false">IF(AS1720&gt;0,J1720/AS1720,-1)</f>
        <v>0</v>
      </c>
      <c r="AX1720" s="51" t="n">
        <f aca="false">IF(AND(OR(CF1720="L1",CF1720="L23",CF1720="LIFT"),AS1720&gt;0),SUMIFS($AS$7:$AS$1843,$CF$7:$CF$1843,CF1720,$AW$7:$AW$1843,"&gt;"&amp;AW1720)+SUMIFS($AS$7:$AS$1843,$CF$7:$CF$1843,CF1720,$AW$7:$AW$1843,AW1720,$BW$7:$BW$1843,"&lt;="&amp;BW1720),"")</f>
        <v>39312.634276505</v>
      </c>
      <c r="AY1720" s="58" t="n">
        <f aca="false">IF(AX1720="",0,MAX(0,MIN(1,(IF(CF1720="L1",Parameter!$H$5,IF(CF1720="L23",Parameter!$H$6+Parameter!$H$7,Parameter!$H$5+Parameter!$H$6+Parameter!$H$7))-(AX1720-AS1720))/AS1720)))</f>
        <v>0</v>
      </c>
      <c r="AZ1720" s="50" t="n">
        <f aca="false">IF(LEFT(Cockpit!$O$5,1)="A",H1720,IF(Parameter!$E$30="MAX-Bestand",IF(CH1720=1,CI1720,IF(LEFT(Cockpit!$O$5,1)="B",BF1720,MAX(BF1720,H1720))),ROUNDUP(BD1720,0)))</f>
        <v>50</v>
      </c>
      <c r="BA1720" s="50" t="n">
        <f aca="false">IF(BZ1720=1,0,ROUNDUP(AZ1720/BY1720,0))</f>
        <v>1</v>
      </c>
      <c r="BB1720" s="52" t="n">
        <f aca="false">IF(CQ1720&gt;0,CQ1720*MAX(1,AZ1720/X1720),IF(BZ1720=1,IF(AZ1720&lt;=0,0,CD1720*MAX(1,IF(H1720&gt;0,AZ1720/H1720,1))),IF(R1720&gt;0,BA1720/R1720,0))/MAX(0.1,N(Parameter!$M$21)))</f>
        <v>0.00357142857142857</v>
      </c>
      <c r="BC1720" s="50" t="n">
        <f aca="false">BB1720*CB1720</f>
        <v>0.553571428571429</v>
      </c>
      <c r="BD1720" s="51" t="n">
        <f aca="false">IF(LEFT(Cockpit!$O$5,1)="A",H1720,IF(CH1720=1,(CK1720+CI1720)/2,IF(LEFT(Cockpit!$O$5,1)="B",(CK1720+BF1720)/2,MAX((CK1720+BF1720)/2,H1720))))</f>
        <v>50</v>
      </c>
      <c r="BE1720" s="50" t="n">
        <f aca="false">BD1720*G1720</f>
        <v>21.5</v>
      </c>
      <c r="BF1720" s="50" t="n">
        <f aca="false">ROUNDUP(CK1720+MAX(CL1720,2*(J1720/IF(CG1720&gt;0,CG1720,MAX(0.1,N(Cockpit!$O$6)))-CK1720)),0)</f>
        <v>100</v>
      </c>
      <c r="BG1720" s="51" t="n">
        <f aca="false">IF(BC1720&gt;0,J1720/BC1720,-1)</f>
        <v>0</v>
      </c>
      <c r="BH1720" s="51" t="n">
        <f aca="false">IF(AND(OR(CF1720="L1",CF1720="L23",CF1720="LIFT"),BC1720&gt;0),SUMIFS($BC$7:$BC$1843,$CF$7:$CF$1843,CF1720,$BG$7:$BG$1843,"&gt;"&amp;BG1720)+SUMIFS($BC$7:$BC$1843,$CF$7:$CF$1843,CF1720,$BG$7:$BG$1843,BG1720,$BW$7:$BW$1843,"&lt;="&amp;BW1720),"")</f>
        <v>32542.4267425136</v>
      </c>
      <c r="BI1720" s="58" t="n">
        <f aca="false">IF(BH1720="",0,MAX(0,MIN(1,(IF(CF1720="L1",Parameter!$H$5,IF(CF1720="L23",Parameter!$H$6+Parameter!$H$7,Parameter!$H$5+Parameter!$H$6+Parameter!$H$7))-(BH1720-BC1720))/BC1720)))</f>
        <v>1</v>
      </c>
      <c r="BJ1720" s="48" t="str">
        <f aca="false">IF(AI1720&lt;=0,"",IF(CF1720="Aussen","Aussenlager",IF(CF1720="-","Nicht im Lift",IF(AO1720&gt;=1,"Lift",IF(AO1720&lt;=0,"Aussenlager","teilweise")))))</f>
        <v>Lift</v>
      </c>
      <c r="BK1720" s="48" t="str">
        <f aca="false">IF(AS1720&lt;=0,"",IF(CF1720="Aussen","Aussenlager",IF(CF1720="-","Nicht im Lift",IF(AY1720&gt;=1,"Lift",IF(AY1720&lt;=0,"Aussenlager","teilweise")))))</f>
        <v>Aussenlager</v>
      </c>
      <c r="BL1720" s="48" t="str">
        <f aca="false">IF(BC1720&lt;=0,"",IF(CF1720="Aussen","Aussenlager",IF(CF1720="-","Nicht im Lift",IF(BI1720&gt;=1,"Lift",IF(BI1720&lt;=0,"Aussenlager","teilweise")))))</f>
        <v>Lift</v>
      </c>
      <c r="BM1720" s="48" t="str">
        <f aca="false">IF(A1720="","",IF(BV1720=1,"Neu; ","")&amp;IF(AND(BV1720=0,BQ1720&lt;0),"negativer Bestand (Export "&amp;BQ1720&amp;"); ","")&amp;IF(J1720&lt;=0,"Kein Verbrauch; ","")&amp;IF(CQ1720&gt;0,"Lift "&amp;W1720&amp;" lt. Liftbericht (Fach "&amp;X1720&amp;" Stk); ",IF(CA1720=1,"Gebinde geschätzt ("&amp;T1720&amp;"); ",IF(BZ1720=1,"Lose – Tablare geschätzt; ","")))&amp;IF(H1720&gt;AV1720,"Überbestand "&amp;ROUND(H1720-AV1720,0)&amp;" Stk / CHF "&amp;ROUND((H1720-AV1720)*G1720,0)&amp;"; ","")&amp;IF(AND(CH1720=1,CI1720&lt;CJ1720),"MAX &lt; MB+LG; ","")&amp;IF(AND(CP1720&gt;0,CO1720*10&gt;CP1720),"zu hoch für Tablar; ","")&amp;IF(AND(BV1720=0,OR(CH1720=1,AA1720&lt;&gt;"",U1720&lt;&gt;"",V1720&lt;&gt;"",AB1720&lt;&gt;"")),"manuell übersteuert; ","")&amp;IF(AND(BZ1720=0,R1720=0),"Gebinde unbekannt / Stellmass fehlt; ","")&amp;IF(AND(BZ1720=0,N(V1720)&lt;=0,N(Q1720)&lt;=0),"Menge pro Gebinde fehlt (Ist = 1 Gebinde); ","")&amp;BU1720)</f>
        <v>Kein Verbrauch; nur im Artikelstamm (Bestand 23.06.2026)</v>
      </c>
      <c r="BN1720" s="48"/>
      <c r="BO1720" s="48"/>
      <c r="BP1720" s="55"/>
      <c r="BQ1720" s="50" t="n">
        <v>45</v>
      </c>
      <c r="BR1720" s="50" t="n">
        <v>0</v>
      </c>
      <c r="BS1720" s="49" t="n">
        <v>0</v>
      </c>
      <c r="BT1720" s="50" t="n">
        <v>0</v>
      </c>
      <c r="BU1720" s="48" t="s">
        <v>2584</v>
      </c>
      <c r="BV1720" s="53" t="n">
        <v>0</v>
      </c>
      <c r="BW1720" s="53" t="n">
        <v>1720</v>
      </c>
      <c r="BX1720" s="48" t="str">
        <f aca="false">IF(U1720&lt;&gt;"",UPPER(TRIM(U1720)),IF(CA1720=1,UPPER(VLOOKUP(T1720,Parameter!$I$27:$K$29,2,0)),IF(P1720="","LOSE",P1720)))</f>
        <v>S21</v>
      </c>
      <c r="BY1720" s="50" t="n">
        <f aca="false">IF(BX1720="LOSE",1,IF(N(V1720)&gt;0,V1720,IF(CA1720=1,MAX(1,N(VLOOKUP(T1720,Parameter!$I$27:$K$29,3,0)),H1720,N(N1720)),IF(N(Q1720)&gt;0,Q1720,MAX(1,H1720)))))</f>
        <v>100</v>
      </c>
      <c r="BZ1720" s="53" t="n">
        <f aca="false">IF(BX1720="LOSE",1,0)</f>
        <v>0</v>
      </c>
      <c r="CA1720" s="53" t="n">
        <f aca="false">IF(AND(U1720="",OR(P1720="",P1720="LOSE"),T1720&lt;&gt;"",N(S1720)&lt;=0,ISNUMBER(MATCH(T1720,Parameter!$I$27:$I$29,0))),1,0)</f>
        <v>0</v>
      </c>
      <c r="CB1720" s="53" t="n">
        <f aca="false">IF(CQ1720&gt;0,INDEX(Parameter!$H$5:$H$7,W1720)/INDEX(Parameter!$E$5:$E$7,W1720),IF(AND(BZ1720=0,N(IFERROR(VLOOKUP(BX1720,'Gebinde-Kategorie'!$A$5:$N$45,14,0),0))&gt;0),VLOOKUP(BX1720,'Gebinde-Kategorie'!$A$5:$N$45,14,0)*10+Parameter!$M$23,Parameter!$M$24))</f>
        <v>155</v>
      </c>
      <c r="CC1720" s="48" t="str">
        <f aca="false">IF(AND(Parameter!$B$19="Ja",E1720&lt;&gt;"",ISNUMBER(MATCH(E1720,Parameter!$I$35:$I$52,0))),VLOOKUP(E1720,Parameter!$I$35:$J$52,2,0),IFERROR(VLOOKUP(D1720,Parameter!$A$35:$C$64,2,0),"Nein"))</f>
        <v>2+3</v>
      </c>
      <c r="CD1720" s="52" t="n">
        <f aca="false">IF(BZ1720=0,0,IF(N(S1720)&gt;0,S1720,IFERROR(VLOOKUP(D1720,Parameter!$A$35:$C$64,3,0)+0,0)))</f>
        <v>0</v>
      </c>
      <c r="CE1720" s="48" t="n">
        <f aca="false">IF(AA1720&lt;&gt;"",AA1720,Z1720)</f>
        <v>3</v>
      </c>
      <c r="CF1720" s="48" t="str">
        <f aca="false">IF(OR(CE1720=1,CE1720=2,CE1720=3),IF(Parameter!$E$27="Ja","LIFT",IF(CE1720=1,"L1","L23")),IF(CE1720="Aussen","Aussen","-"))</f>
        <v>LIFT</v>
      </c>
      <c r="CG1720" s="59" t="n">
        <f aca="false">IF(N(AB1720)&gt;0,AB1720,0)</f>
        <v>0</v>
      </c>
      <c r="CH1720" s="53" t="n">
        <f aca="false">IF(ISNUMBER(AE1720),1,0)</f>
        <v>0</v>
      </c>
      <c r="CI1720" s="50" t="n">
        <f aca="false">N(AE1720)</f>
        <v>0</v>
      </c>
      <c r="CJ1720" s="50" t="n">
        <f aca="false">N(M1720)+N(N1720)</f>
        <v>100</v>
      </c>
      <c r="CK1720" s="50" t="n">
        <f aca="false">N(M1720)</f>
        <v>0</v>
      </c>
      <c r="CL1720" s="50" t="n">
        <f aca="false">N(N1720)</f>
        <v>100</v>
      </c>
      <c r="CM1720" s="50" t="n">
        <f aca="false">ROUNDUP(H1720/BY1720,0)</f>
        <v>1</v>
      </c>
      <c r="CN1720" s="50" t="n">
        <f aca="false">ROUNDUP(CI1720/BY1720,0)</f>
        <v>0</v>
      </c>
      <c r="CO1720" s="53" t="n">
        <f aca="false">IF(BZ1720=1,0,IFERROR(VLOOKUP(BX1720,'Gebinde-Kategorie'!$A$5:$N$45,5,0)+0,0))</f>
        <v>8</v>
      </c>
      <c r="CP1720" s="53" t="n">
        <f aca="false">IFERROR(IF(OR(CE1720=1,CE1720=2,CE1720=3),N(INDEX(Parameter!$I$5:$I$7,CE1720)),0),0)</f>
        <v>0</v>
      </c>
      <c r="CQ1720" s="52" t="n">
        <f aca="false">IF(AND(Parameter!$B$21="Ja",ISNUMBER(W1720),N(X1720)&gt;0),IFERROR(N(INDEX(Parameter!$L$5:$L$7,W1720))*INDEX(Parameter!$E$5:$E$7,W1720)*X1720/SUMIFS($X$7:$X$1843,$W$7:$W$1843,W1720),0),0)</f>
        <v>0</v>
      </c>
    </row>
    <row r="1721" customFormat="false" ht="15" hidden="false" customHeight="false" outlineLevel="0" collapsed="false">
      <c r="A1721" s="48" t="s">
        <v>2988</v>
      </c>
      <c r="B1721" s="48" t="s">
        <v>376</v>
      </c>
      <c r="C1721" s="48" t="s">
        <v>173</v>
      </c>
      <c r="D1721" s="48" t="s">
        <v>193</v>
      </c>
      <c r="E1721" s="48"/>
      <c r="F1721" s="48"/>
      <c r="G1721" s="49" t="n">
        <v>6.3</v>
      </c>
      <c r="H1721" s="50" t="n">
        <f aca="false">MAX(0,IF(AND(Parameter!$B$21="Ja",ISNUMBER(Y1721)),Y1721,IF(Parameter!$B$20="Jahresanfang 2025 + Export",BR1721+BQ1721,BQ1721)))</f>
        <v>12</v>
      </c>
      <c r="I1721" s="50" t="n">
        <f aca="false">H1721*G1721</f>
        <v>75.6</v>
      </c>
      <c r="J1721" s="50" t="n">
        <f aca="false">BT1721*Parameter!$B$18</f>
        <v>0</v>
      </c>
      <c r="K1721" s="51"/>
      <c r="L1721" s="52"/>
      <c r="M1721" s="50" t="n">
        <v>0</v>
      </c>
      <c r="N1721" s="50" t="n">
        <v>15</v>
      </c>
      <c r="O1721" s="53" t="n">
        <v>14</v>
      </c>
      <c r="P1721" s="48" t="s">
        <v>410</v>
      </c>
      <c r="Q1721" s="50" t="n">
        <v>50</v>
      </c>
      <c r="R1721" s="53" t="n">
        <f aca="false">IF(BZ1721=1,0,IFERROR(VLOOKUP(BX1721,'Gebinde-Kategorie'!$A$5:$N$45,13,0)+0,0))</f>
        <v>280</v>
      </c>
      <c r="S1721" s="54"/>
      <c r="T1721" s="55"/>
      <c r="U1721" s="55"/>
      <c r="V1721" s="55"/>
      <c r="W1721" s="48"/>
      <c r="X1721" s="50"/>
      <c r="Y1721" s="50"/>
      <c r="Z1721" s="48" t="n">
        <f aca="false">IF(A1721="","",IF(AND(Parameter!$B$21="Ja",ISNUMBER(W1721)),W1721,IF(CC1721="2+3",IF(ISNUMBER(SEARCH("grosser Artikel",BU1721)),2,IFERROR(VLOOKUP(BX1721,Parameter!$F$35:$G$64,2,0),2)),IF(OR(CC1721="Nein",CC1721=""),"-",CC1721))))</f>
        <v>3</v>
      </c>
      <c r="AA1721" s="55"/>
      <c r="AB1721" s="56"/>
      <c r="AC1721" s="50" t="n">
        <f aca="false">AV1721</f>
        <v>15</v>
      </c>
      <c r="AD1721" s="50" t="n">
        <f aca="false">MAX(AV1721,H1721)</f>
        <v>15</v>
      </c>
      <c r="AE1721" s="57"/>
      <c r="AF1721" s="50" t="n">
        <f aca="false">IF(LEFT(Cockpit!$C$5,1)="A",H1721,IF(Parameter!$E$30="MAX-Bestand",IF(CH1721=1,CI1721,IF(LEFT(Cockpit!$C$5,1)="B",AL1721,MAX(AL1721,H1721))),ROUNDUP(AJ1721,0)))</f>
        <v>12</v>
      </c>
      <c r="AG1721" s="50" t="n">
        <f aca="false">IF(BZ1721=1,0,ROUNDUP(AF1721/BY1721,0))</f>
        <v>1</v>
      </c>
      <c r="AH1721" s="52" t="n">
        <f aca="false">IF(CQ1721&gt;0,CQ1721*MAX(1,AF1721/X1721),IF(BZ1721=1,IF(AF1721&lt;=0,0,CD1721*MAX(1,IF(H1721&gt;0,AF1721/H1721,1))),IF(R1721&gt;0,AG1721/R1721,0))/MAX(0.1,N(Parameter!$M$21)))</f>
        <v>0.00357142857142857</v>
      </c>
      <c r="AI1721" s="50" t="n">
        <f aca="false">AH1721*CB1721</f>
        <v>0.553571428571429</v>
      </c>
      <c r="AJ1721" s="51" t="n">
        <f aca="false">IF(LEFT(Cockpit!$C$5,1)="A",H1721,IF(CH1721=1,(CK1721+CI1721)/2,IF(LEFT(Cockpit!$C$5,1)="B",(CK1721+AL1721)/2,MAX((CK1721+AL1721)/2,H1721))))</f>
        <v>12</v>
      </c>
      <c r="AK1721" s="50" t="n">
        <f aca="false">AJ1721*G1721</f>
        <v>75.6</v>
      </c>
      <c r="AL1721" s="50" t="n">
        <f aca="false">ROUNDUP(CK1721+MAX(CL1721,2*(J1721/IF(CG1721&gt;0,CG1721,MAX(0.1,N(Cockpit!$C$6)))-CK1721)),0)</f>
        <v>15</v>
      </c>
      <c r="AM1721" s="51" t="n">
        <f aca="false">IF(AI1721&gt;0,J1721/AI1721,-1)</f>
        <v>0</v>
      </c>
      <c r="AN1721" s="51" t="n">
        <f aca="false">IF(AND(OR(CF1721="L1",CF1721="L23",CF1721="LIFT"),AI1721&gt;0),SUMIFS($AI$7:$AI$1843,$CF$7:$CF$1843,CF1721,$AM$7:$AM$1843,"&gt;"&amp;AM1721)+SUMIFS($AI$7:$AI$1843,$CF$7:$CF$1843,CF1721,$AM$7:$AM$1843,AM1721,$BW$7:$BW$1843,"&lt;="&amp;BW1721),"")</f>
        <v>32839.8324744935</v>
      </c>
      <c r="AO1721" s="58" t="n">
        <f aca="false">IF(AN1721="",0,MAX(0,MIN(1,(IF(CF1721="L1",Parameter!$H$5,IF(CF1721="L23",Parameter!$H$6+Parameter!$H$7,Parameter!$H$5+Parameter!$H$6+Parameter!$H$7))-(AN1721-AI1721))/AI1721)))</f>
        <v>1</v>
      </c>
      <c r="AP1721" s="50" t="n">
        <f aca="false">IF(LEFT(Cockpit!$I$5,1)="A",H1721,IF(Parameter!$E$30="MAX-Bestand",IF(CH1721=1,CI1721,IF(LEFT(Cockpit!$I$5,1)="B",AV1721,MAX(AV1721,H1721))),ROUNDUP(AT1721,0)))</f>
        <v>12</v>
      </c>
      <c r="AQ1721" s="50" t="n">
        <f aca="false">IF(BZ1721=1,0,ROUNDUP(AP1721/BY1721,0))</f>
        <v>1</v>
      </c>
      <c r="AR1721" s="52" t="n">
        <f aca="false">IF(CQ1721&gt;0,CQ1721*MAX(1,AP1721/X1721),IF(BZ1721=1,IF(AP1721&lt;=0,0,CD1721*MAX(1,IF(H1721&gt;0,AP1721/H1721,1))),IF(R1721&gt;0,AQ1721/R1721,0))/MAX(0.1,N(Parameter!$M$21)))</f>
        <v>0.00357142857142857</v>
      </c>
      <c r="AS1721" s="50" t="n">
        <f aca="false">AR1721*CB1721</f>
        <v>0.553571428571429</v>
      </c>
      <c r="AT1721" s="51" t="n">
        <f aca="false">IF(LEFT(Cockpit!$I$5,1)="A",H1721,IF(CH1721=1,(CK1721+CI1721)/2,IF(LEFT(Cockpit!$I$5,1)="B",(CK1721+AV1721)/2,MAX((CK1721+AV1721)/2,H1721))))</f>
        <v>12</v>
      </c>
      <c r="AU1721" s="50" t="n">
        <f aca="false">AT1721*G1721</f>
        <v>75.6</v>
      </c>
      <c r="AV1721" s="50" t="n">
        <f aca="false">ROUNDUP(CK1721+MAX(CL1721,2*(J1721/IF(CG1721&gt;0,CG1721,MAX(0.1,N(Cockpit!$I$6)))-CK1721)),0)</f>
        <v>15</v>
      </c>
      <c r="AW1721" s="51" t="n">
        <f aca="false">IF(AS1721&gt;0,J1721/AS1721,-1)</f>
        <v>0</v>
      </c>
      <c r="AX1721" s="51" t="n">
        <f aca="false">IF(AND(OR(CF1721="L1",CF1721="L23",CF1721="LIFT"),AS1721&gt;0),SUMIFS($AS$7:$AS$1843,$CF$7:$CF$1843,CF1721,$AW$7:$AW$1843,"&gt;"&amp;AW1721)+SUMIFS($AS$7:$AS$1843,$CF$7:$CF$1843,CF1721,$AW$7:$AW$1843,AW1721,$BW$7:$BW$1843,"&lt;="&amp;BW1721),"")</f>
        <v>39313.1878479336</v>
      </c>
      <c r="AY1721" s="58" t="n">
        <f aca="false">IF(AX1721="",0,MAX(0,MIN(1,(IF(CF1721="L1",Parameter!$H$5,IF(CF1721="L23",Parameter!$H$6+Parameter!$H$7,Parameter!$H$5+Parameter!$H$6+Parameter!$H$7))-(AX1721-AS1721))/AS1721)))</f>
        <v>0</v>
      </c>
      <c r="AZ1721" s="50" t="n">
        <f aca="false">IF(LEFT(Cockpit!$O$5,1)="A",H1721,IF(Parameter!$E$30="MAX-Bestand",IF(CH1721=1,CI1721,IF(LEFT(Cockpit!$O$5,1)="B",BF1721,MAX(BF1721,H1721))),ROUNDUP(BD1721,0)))</f>
        <v>8</v>
      </c>
      <c r="BA1721" s="50" t="n">
        <f aca="false">IF(BZ1721=1,0,ROUNDUP(AZ1721/BY1721,0))</f>
        <v>1</v>
      </c>
      <c r="BB1721" s="52" t="n">
        <f aca="false">IF(CQ1721&gt;0,CQ1721*MAX(1,AZ1721/X1721),IF(BZ1721=1,IF(AZ1721&lt;=0,0,CD1721*MAX(1,IF(H1721&gt;0,AZ1721/H1721,1))),IF(R1721&gt;0,BA1721/R1721,0))/MAX(0.1,N(Parameter!$M$21)))</f>
        <v>0.00357142857142857</v>
      </c>
      <c r="BC1721" s="50" t="n">
        <f aca="false">BB1721*CB1721</f>
        <v>0.553571428571429</v>
      </c>
      <c r="BD1721" s="51" t="n">
        <f aca="false">IF(LEFT(Cockpit!$O$5,1)="A",H1721,IF(CH1721=1,(CK1721+CI1721)/2,IF(LEFT(Cockpit!$O$5,1)="B",(CK1721+BF1721)/2,MAX((CK1721+BF1721)/2,H1721))))</f>
        <v>7.5</v>
      </c>
      <c r="BE1721" s="50" t="n">
        <f aca="false">BD1721*G1721</f>
        <v>47.25</v>
      </c>
      <c r="BF1721" s="50" t="n">
        <f aca="false">ROUNDUP(CK1721+MAX(CL1721,2*(J1721/IF(CG1721&gt;0,CG1721,MAX(0.1,N(Cockpit!$O$6)))-CK1721)),0)</f>
        <v>15</v>
      </c>
      <c r="BG1721" s="51" t="n">
        <f aca="false">IF(BC1721&gt;0,J1721/BC1721,-1)</f>
        <v>0</v>
      </c>
      <c r="BH1721" s="51" t="n">
        <f aca="false">IF(AND(OR(CF1721="L1",CF1721="L23",CF1721="LIFT"),BC1721&gt;0),SUMIFS($BC$7:$BC$1843,$CF$7:$CF$1843,CF1721,$BG$7:$BG$1843,"&gt;"&amp;BG1721)+SUMIFS($BC$7:$BC$1843,$CF$7:$CF$1843,CF1721,$BG$7:$BG$1843,BG1721,$BW$7:$BW$1843,"&lt;="&amp;BW1721),"")</f>
        <v>32542.9803139422</v>
      </c>
      <c r="BI1721" s="58" t="n">
        <f aca="false">IF(BH1721="",0,MAX(0,MIN(1,(IF(CF1721="L1",Parameter!$H$5,IF(CF1721="L23",Parameter!$H$6+Parameter!$H$7,Parameter!$H$5+Parameter!$H$6+Parameter!$H$7))-(BH1721-BC1721))/BC1721)))</f>
        <v>1</v>
      </c>
      <c r="BJ1721" s="48" t="str">
        <f aca="false">IF(AI1721&lt;=0,"",IF(CF1721="Aussen","Aussenlager",IF(CF1721="-","Nicht im Lift",IF(AO1721&gt;=1,"Lift",IF(AO1721&lt;=0,"Aussenlager","teilweise")))))</f>
        <v>Lift</v>
      </c>
      <c r="BK1721" s="48" t="str">
        <f aca="false">IF(AS1721&lt;=0,"",IF(CF1721="Aussen","Aussenlager",IF(CF1721="-","Nicht im Lift",IF(AY1721&gt;=1,"Lift",IF(AY1721&lt;=0,"Aussenlager","teilweise")))))</f>
        <v>Aussenlager</v>
      </c>
      <c r="BL1721" s="48" t="str">
        <f aca="false">IF(BC1721&lt;=0,"",IF(CF1721="Aussen","Aussenlager",IF(CF1721="-","Nicht im Lift",IF(BI1721&gt;=1,"Lift",IF(BI1721&lt;=0,"Aussenlager","teilweise")))))</f>
        <v>Lift</v>
      </c>
      <c r="BM1721" s="48" t="str">
        <f aca="false">IF(A1721="","",IF(BV1721=1,"Neu; ","")&amp;IF(AND(BV1721=0,BQ1721&lt;0),"negativer Bestand (Export "&amp;BQ1721&amp;"); ","")&amp;IF(J1721&lt;=0,"Kein Verbrauch; ","")&amp;IF(CQ1721&gt;0,"Lift "&amp;W1721&amp;" lt. Liftbericht (Fach "&amp;X1721&amp;" Stk); ",IF(CA1721=1,"Gebinde geschätzt ("&amp;T1721&amp;"); ",IF(BZ1721=1,"Lose – Tablare geschätzt; ","")))&amp;IF(H1721&gt;AV1721,"Überbestand "&amp;ROUND(H1721-AV1721,0)&amp;" Stk / CHF "&amp;ROUND((H1721-AV1721)*G1721,0)&amp;"; ","")&amp;IF(AND(CH1721=1,CI1721&lt;CJ1721),"MAX &lt; MB+LG; ","")&amp;IF(AND(CP1721&gt;0,CO1721*10&gt;CP1721),"zu hoch für Tablar; ","")&amp;IF(AND(BV1721=0,OR(CH1721=1,AA1721&lt;&gt;"",U1721&lt;&gt;"",V1721&lt;&gt;"",AB1721&lt;&gt;"")),"manuell übersteuert; ","")&amp;IF(AND(BZ1721=0,R1721=0),"Gebinde unbekannt / Stellmass fehlt; ","")&amp;IF(AND(BZ1721=0,N(V1721)&lt;=0,N(Q1721)&lt;=0),"Menge pro Gebinde fehlt (Ist = 1 Gebinde); ","")&amp;BU1721)</f>
        <v>Kein Verbrauch; nur im Artikelstamm (Bestand 23.06.2026)</v>
      </c>
      <c r="BN1721" s="48"/>
      <c r="BO1721" s="48"/>
      <c r="BP1721" s="55"/>
      <c r="BQ1721" s="50" t="n">
        <v>12</v>
      </c>
      <c r="BR1721" s="50" t="n">
        <v>0</v>
      </c>
      <c r="BS1721" s="49" t="n">
        <v>0</v>
      </c>
      <c r="BT1721" s="50" t="n">
        <v>0</v>
      </c>
      <c r="BU1721" s="48" t="s">
        <v>2584</v>
      </c>
      <c r="BV1721" s="53" t="n">
        <v>0</v>
      </c>
      <c r="BW1721" s="53" t="n">
        <v>1721</v>
      </c>
      <c r="BX1721" s="48" t="str">
        <f aca="false">IF(U1721&lt;&gt;"",UPPER(TRIM(U1721)),IF(CA1721=1,UPPER(VLOOKUP(T1721,Parameter!$I$27:$K$29,2,0)),IF(P1721="","LOSE",P1721)))</f>
        <v>S21</v>
      </c>
      <c r="BY1721" s="50" t="n">
        <f aca="false">IF(BX1721="LOSE",1,IF(N(V1721)&gt;0,V1721,IF(CA1721=1,MAX(1,N(VLOOKUP(T1721,Parameter!$I$27:$K$29,3,0)),H1721,N(N1721)),IF(N(Q1721)&gt;0,Q1721,MAX(1,H1721)))))</f>
        <v>50</v>
      </c>
      <c r="BZ1721" s="53" t="n">
        <f aca="false">IF(BX1721="LOSE",1,0)</f>
        <v>0</v>
      </c>
      <c r="CA1721" s="53" t="n">
        <f aca="false">IF(AND(U1721="",OR(P1721="",P1721="LOSE"),T1721&lt;&gt;"",N(S1721)&lt;=0,ISNUMBER(MATCH(T1721,Parameter!$I$27:$I$29,0))),1,0)</f>
        <v>0</v>
      </c>
      <c r="CB1721" s="53" t="n">
        <f aca="false">IF(CQ1721&gt;0,INDEX(Parameter!$H$5:$H$7,W1721)/INDEX(Parameter!$E$5:$E$7,W1721),IF(AND(BZ1721=0,N(IFERROR(VLOOKUP(BX1721,'Gebinde-Kategorie'!$A$5:$N$45,14,0),0))&gt;0),VLOOKUP(BX1721,'Gebinde-Kategorie'!$A$5:$N$45,14,0)*10+Parameter!$M$23,Parameter!$M$24))</f>
        <v>155</v>
      </c>
      <c r="CC1721" s="48" t="str">
        <f aca="false">IF(AND(Parameter!$B$19="Ja",E1721&lt;&gt;"",ISNUMBER(MATCH(E1721,Parameter!$I$35:$I$52,0))),VLOOKUP(E1721,Parameter!$I$35:$J$52,2,0),IFERROR(VLOOKUP(D1721,Parameter!$A$35:$C$64,2,0),"Nein"))</f>
        <v>2+3</v>
      </c>
      <c r="CD1721" s="52" t="n">
        <f aca="false">IF(BZ1721=0,0,IF(N(S1721)&gt;0,S1721,IFERROR(VLOOKUP(D1721,Parameter!$A$35:$C$64,3,0)+0,0)))</f>
        <v>0</v>
      </c>
      <c r="CE1721" s="48" t="n">
        <f aca="false">IF(AA1721&lt;&gt;"",AA1721,Z1721)</f>
        <v>3</v>
      </c>
      <c r="CF1721" s="48" t="str">
        <f aca="false">IF(OR(CE1721=1,CE1721=2,CE1721=3),IF(Parameter!$E$27="Ja","LIFT",IF(CE1721=1,"L1","L23")),IF(CE1721="Aussen","Aussen","-"))</f>
        <v>LIFT</v>
      </c>
      <c r="CG1721" s="59" t="n">
        <f aca="false">IF(N(AB1721)&gt;0,AB1721,0)</f>
        <v>0</v>
      </c>
      <c r="CH1721" s="53" t="n">
        <f aca="false">IF(ISNUMBER(AE1721),1,0)</f>
        <v>0</v>
      </c>
      <c r="CI1721" s="50" t="n">
        <f aca="false">N(AE1721)</f>
        <v>0</v>
      </c>
      <c r="CJ1721" s="50" t="n">
        <f aca="false">N(M1721)+N(N1721)</f>
        <v>15</v>
      </c>
      <c r="CK1721" s="50" t="n">
        <f aca="false">N(M1721)</f>
        <v>0</v>
      </c>
      <c r="CL1721" s="50" t="n">
        <f aca="false">N(N1721)</f>
        <v>15</v>
      </c>
      <c r="CM1721" s="50" t="n">
        <f aca="false">ROUNDUP(H1721/BY1721,0)</f>
        <v>1</v>
      </c>
      <c r="CN1721" s="50" t="n">
        <f aca="false">ROUNDUP(CI1721/BY1721,0)</f>
        <v>0</v>
      </c>
      <c r="CO1721" s="53" t="n">
        <f aca="false">IF(BZ1721=1,0,IFERROR(VLOOKUP(BX1721,'Gebinde-Kategorie'!$A$5:$N$45,5,0)+0,0))</f>
        <v>8</v>
      </c>
      <c r="CP1721" s="53" t="n">
        <f aca="false">IFERROR(IF(OR(CE1721=1,CE1721=2,CE1721=3),N(INDEX(Parameter!$I$5:$I$7,CE1721)),0),0)</f>
        <v>0</v>
      </c>
      <c r="CQ1721" s="52" t="n">
        <f aca="false">IF(AND(Parameter!$B$21="Ja",ISNUMBER(W1721),N(X1721)&gt;0),IFERROR(N(INDEX(Parameter!$L$5:$L$7,W1721))*INDEX(Parameter!$E$5:$E$7,W1721)*X1721/SUMIFS($X$7:$X$1843,$W$7:$W$1843,W1721),0),0)</f>
        <v>0</v>
      </c>
    </row>
    <row r="1722" customFormat="false" ht="15" hidden="false" customHeight="false" outlineLevel="0" collapsed="false">
      <c r="A1722" s="48" t="s">
        <v>2989</v>
      </c>
      <c r="B1722" s="48" t="s">
        <v>383</v>
      </c>
      <c r="C1722" s="48" t="s">
        <v>173</v>
      </c>
      <c r="D1722" s="48" t="s">
        <v>193</v>
      </c>
      <c r="E1722" s="48"/>
      <c r="F1722" s="48"/>
      <c r="G1722" s="49" t="n">
        <v>12.63</v>
      </c>
      <c r="H1722" s="50" t="n">
        <f aca="false">MAX(0,IF(AND(Parameter!$B$21="Ja",ISNUMBER(Y1722)),Y1722,IF(Parameter!$B$20="Jahresanfang 2025 + Export",BR1722+BQ1722,BQ1722)))</f>
        <v>25</v>
      </c>
      <c r="I1722" s="50" t="n">
        <f aca="false">H1722*G1722</f>
        <v>315.75</v>
      </c>
      <c r="J1722" s="50" t="n">
        <f aca="false">BT1722*Parameter!$B$18</f>
        <v>0</v>
      </c>
      <c r="K1722" s="51"/>
      <c r="L1722" s="52"/>
      <c r="M1722" s="50" t="n">
        <v>0</v>
      </c>
      <c r="N1722" s="50" t="n">
        <v>1</v>
      </c>
      <c r="O1722" s="53" t="n">
        <v>28</v>
      </c>
      <c r="P1722" s="48" t="s">
        <v>410</v>
      </c>
      <c r="Q1722" s="50" t="n">
        <v>50</v>
      </c>
      <c r="R1722" s="53" t="n">
        <f aca="false">IF(BZ1722=1,0,IFERROR(VLOOKUP(BX1722,'Gebinde-Kategorie'!$A$5:$N$45,13,0)+0,0))</f>
        <v>280</v>
      </c>
      <c r="S1722" s="54"/>
      <c r="T1722" s="55"/>
      <c r="U1722" s="55"/>
      <c r="V1722" s="55"/>
      <c r="W1722" s="48"/>
      <c r="X1722" s="50"/>
      <c r="Y1722" s="50"/>
      <c r="Z1722" s="48" t="n">
        <f aca="false">IF(A1722="","",IF(AND(Parameter!$B$21="Ja",ISNUMBER(W1722)),W1722,IF(CC1722="2+3",IF(ISNUMBER(SEARCH("grosser Artikel",BU1722)),2,IFERROR(VLOOKUP(BX1722,Parameter!$F$35:$G$64,2,0),2)),IF(OR(CC1722="Nein",CC1722=""),"-",CC1722))))</f>
        <v>3</v>
      </c>
      <c r="AA1722" s="55"/>
      <c r="AB1722" s="56"/>
      <c r="AC1722" s="50" t="n">
        <f aca="false">AV1722</f>
        <v>1</v>
      </c>
      <c r="AD1722" s="50" t="n">
        <f aca="false">MAX(AV1722,H1722)</f>
        <v>25</v>
      </c>
      <c r="AE1722" s="57"/>
      <c r="AF1722" s="50" t="n">
        <f aca="false">IF(LEFT(Cockpit!$C$5,1)="A",H1722,IF(Parameter!$E$30="MAX-Bestand",IF(CH1722=1,CI1722,IF(LEFT(Cockpit!$C$5,1)="B",AL1722,MAX(AL1722,H1722))),ROUNDUP(AJ1722,0)))</f>
        <v>25</v>
      </c>
      <c r="AG1722" s="50" t="n">
        <f aca="false">IF(BZ1722=1,0,ROUNDUP(AF1722/BY1722,0))</f>
        <v>1</v>
      </c>
      <c r="AH1722" s="52" t="n">
        <f aca="false">IF(CQ1722&gt;0,CQ1722*MAX(1,AF1722/X1722),IF(BZ1722=1,IF(AF1722&lt;=0,0,CD1722*MAX(1,IF(H1722&gt;0,AF1722/H1722,1))),IF(R1722&gt;0,AG1722/R1722,0))/MAX(0.1,N(Parameter!$M$21)))</f>
        <v>0.00357142857142857</v>
      </c>
      <c r="AI1722" s="50" t="n">
        <f aca="false">AH1722*CB1722</f>
        <v>0.553571428571429</v>
      </c>
      <c r="AJ1722" s="51" t="n">
        <f aca="false">IF(LEFT(Cockpit!$C$5,1)="A",H1722,IF(CH1722=1,(CK1722+CI1722)/2,IF(LEFT(Cockpit!$C$5,1)="B",(CK1722+AL1722)/2,MAX((CK1722+AL1722)/2,H1722))))</f>
        <v>25</v>
      </c>
      <c r="AK1722" s="50" t="n">
        <f aca="false">AJ1722*G1722</f>
        <v>315.75</v>
      </c>
      <c r="AL1722" s="50" t="n">
        <f aca="false">ROUNDUP(CK1722+MAX(CL1722,2*(J1722/IF(CG1722&gt;0,CG1722,MAX(0.1,N(Cockpit!$C$6)))-CK1722)),0)</f>
        <v>1</v>
      </c>
      <c r="AM1722" s="51" t="n">
        <f aca="false">IF(AI1722&gt;0,J1722/AI1722,-1)</f>
        <v>0</v>
      </c>
      <c r="AN1722" s="51" t="n">
        <f aca="false">IF(AND(OR(CF1722="L1",CF1722="L23",CF1722="LIFT"),AI1722&gt;0),SUMIFS($AI$7:$AI$1843,$CF$7:$CF$1843,CF1722,$AM$7:$AM$1843,"&gt;"&amp;AM1722)+SUMIFS($AI$7:$AI$1843,$CF$7:$CF$1843,CF1722,$AM$7:$AM$1843,AM1722,$BW$7:$BW$1843,"&lt;="&amp;BW1722),"")</f>
        <v>32840.3860459221</v>
      </c>
      <c r="AO1722" s="58" t="n">
        <f aca="false">IF(AN1722="",0,MAX(0,MIN(1,(IF(CF1722="L1",Parameter!$H$5,IF(CF1722="L23",Parameter!$H$6+Parameter!$H$7,Parameter!$H$5+Parameter!$H$6+Parameter!$H$7))-(AN1722-AI1722))/AI1722)))</f>
        <v>1</v>
      </c>
      <c r="AP1722" s="50" t="n">
        <f aca="false">IF(LEFT(Cockpit!$I$5,1)="A",H1722,IF(Parameter!$E$30="MAX-Bestand",IF(CH1722=1,CI1722,IF(LEFT(Cockpit!$I$5,1)="B",AV1722,MAX(AV1722,H1722))),ROUNDUP(AT1722,0)))</f>
        <v>25</v>
      </c>
      <c r="AQ1722" s="50" t="n">
        <f aca="false">IF(BZ1722=1,0,ROUNDUP(AP1722/BY1722,0))</f>
        <v>1</v>
      </c>
      <c r="AR1722" s="52" t="n">
        <f aca="false">IF(CQ1722&gt;0,CQ1722*MAX(1,AP1722/X1722),IF(BZ1722=1,IF(AP1722&lt;=0,0,CD1722*MAX(1,IF(H1722&gt;0,AP1722/H1722,1))),IF(R1722&gt;0,AQ1722/R1722,0))/MAX(0.1,N(Parameter!$M$21)))</f>
        <v>0.00357142857142857</v>
      </c>
      <c r="AS1722" s="50" t="n">
        <f aca="false">AR1722*CB1722</f>
        <v>0.553571428571429</v>
      </c>
      <c r="AT1722" s="51" t="n">
        <f aca="false">IF(LEFT(Cockpit!$I$5,1)="A",H1722,IF(CH1722=1,(CK1722+CI1722)/2,IF(LEFT(Cockpit!$I$5,1)="B",(CK1722+AV1722)/2,MAX((CK1722+AV1722)/2,H1722))))</f>
        <v>25</v>
      </c>
      <c r="AU1722" s="50" t="n">
        <f aca="false">AT1722*G1722</f>
        <v>315.75</v>
      </c>
      <c r="AV1722" s="50" t="n">
        <f aca="false">ROUNDUP(CK1722+MAX(CL1722,2*(J1722/IF(CG1722&gt;0,CG1722,MAX(0.1,N(Cockpit!$I$6)))-CK1722)),0)</f>
        <v>1</v>
      </c>
      <c r="AW1722" s="51" t="n">
        <f aca="false">IF(AS1722&gt;0,J1722/AS1722,-1)</f>
        <v>0</v>
      </c>
      <c r="AX1722" s="51" t="n">
        <f aca="false">IF(AND(OR(CF1722="L1",CF1722="L23",CF1722="LIFT"),AS1722&gt;0),SUMIFS($AS$7:$AS$1843,$CF$7:$CF$1843,CF1722,$AW$7:$AW$1843,"&gt;"&amp;AW1722)+SUMIFS($AS$7:$AS$1843,$CF$7:$CF$1843,CF1722,$AW$7:$AW$1843,AW1722,$BW$7:$BW$1843,"&lt;="&amp;BW1722),"")</f>
        <v>39313.7414193622</v>
      </c>
      <c r="AY1722" s="58" t="n">
        <f aca="false">IF(AX1722="",0,MAX(0,MIN(1,(IF(CF1722="L1",Parameter!$H$5,IF(CF1722="L23",Parameter!$H$6+Parameter!$H$7,Parameter!$H$5+Parameter!$H$6+Parameter!$H$7))-(AX1722-AS1722))/AS1722)))</f>
        <v>0</v>
      </c>
      <c r="AZ1722" s="50" t="n">
        <f aca="false">IF(LEFT(Cockpit!$O$5,1)="A",H1722,IF(Parameter!$E$30="MAX-Bestand",IF(CH1722=1,CI1722,IF(LEFT(Cockpit!$O$5,1)="B",BF1722,MAX(BF1722,H1722))),ROUNDUP(BD1722,0)))</f>
        <v>1</v>
      </c>
      <c r="BA1722" s="50" t="n">
        <f aca="false">IF(BZ1722=1,0,ROUNDUP(AZ1722/BY1722,0))</f>
        <v>1</v>
      </c>
      <c r="BB1722" s="52" t="n">
        <f aca="false">IF(CQ1722&gt;0,CQ1722*MAX(1,AZ1722/X1722),IF(BZ1722=1,IF(AZ1722&lt;=0,0,CD1722*MAX(1,IF(H1722&gt;0,AZ1722/H1722,1))),IF(R1722&gt;0,BA1722/R1722,0))/MAX(0.1,N(Parameter!$M$21)))</f>
        <v>0.00357142857142857</v>
      </c>
      <c r="BC1722" s="50" t="n">
        <f aca="false">BB1722*CB1722</f>
        <v>0.553571428571429</v>
      </c>
      <c r="BD1722" s="51" t="n">
        <f aca="false">IF(LEFT(Cockpit!$O$5,1)="A",H1722,IF(CH1722=1,(CK1722+CI1722)/2,IF(LEFT(Cockpit!$O$5,1)="B",(CK1722+BF1722)/2,MAX((CK1722+BF1722)/2,H1722))))</f>
        <v>0.5</v>
      </c>
      <c r="BE1722" s="50" t="n">
        <f aca="false">BD1722*G1722</f>
        <v>6.315</v>
      </c>
      <c r="BF1722" s="50" t="n">
        <f aca="false">ROUNDUP(CK1722+MAX(CL1722,2*(J1722/IF(CG1722&gt;0,CG1722,MAX(0.1,N(Cockpit!$O$6)))-CK1722)),0)</f>
        <v>1</v>
      </c>
      <c r="BG1722" s="51" t="n">
        <f aca="false">IF(BC1722&gt;0,J1722/BC1722,-1)</f>
        <v>0</v>
      </c>
      <c r="BH1722" s="51" t="n">
        <f aca="false">IF(AND(OR(CF1722="L1",CF1722="L23",CF1722="LIFT"),BC1722&gt;0),SUMIFS($BC$7:$BC$1843,$CF$7:$CF$1843,CF1722,$BG$7:$BG$1843,"&gt;"&amp;BG1722)+SUMIFS($BC$7:$BC$1843,$CF$7:$CF$1843,CF1722,$BG$7:$BG$1843,BG1722,$BW$7:$BW$1843,"&lt;="&amp;BW1722),"")</f>
        <v>32543.5338853708</v>
      </c>
      <c r="BI1722" s="58" t="n">
        <f aca="false">IF(BH1722="",0,MAX(0,MIN(1,(IF(CF1722="L1",Parameter!$H$5,IF(CF1722="L23",Parameter!$H$6+Parameter!$H$7,Parameter!$H$5+Parameter!$H$6+Parameter!$H$7))-(BH1722-BC1722))/BC1722)))</f>
        <v>1</v>
      </c>
      <c r="BJ1722" s="48" t="str">
        <f aca="false">IF(AI1722&lt;=0,"",IF(CF1722="Aussen","Aussenlager",IF(CF1722="-","Nicht im Lift",IF(AO1722&gt;=1,"Lift",IF(AO1722&lt;=0,"Aussenlager","teilweise")))))</f>
        <v>Lift</v>
      </c>
      <c r="BK1722" s="48" t="str">
        <f aca="false">IF(AS1722&lt;=0,"",IF(CF1722="Aussen","Aussenlager",IF(CF1722="-","Nicht im Lift",IF(AY1722&gt;=1,"Lift",IF(AY1722&lt;=0,"Aussenlager","teilweise")))))</f>
        <v>Aussenlager</v>
      </c>
      <c r="BL1722" s="48" t="str">
        <f aca="false">IF(BC1722&lt;=0,"",IF(CF1722="Aussen","Aussenlager",IF(CF1722="-","Nicht im Lift",IF(BI1722&gt;=1,"Lift",IF(BI1722&lt;=0,"Aussenlager","teilweise")))))</f>
        <v>Lift</v>
      </c>
      <c r="BM1722" s="48" t="str">
        <f aca="false">IF(A1722="","",IF(BV1722=1,"Neu; ","")&amp;IF(AND(BV1722=0,BQ1722&lt;0),"negativer Bestand (Export "&amp;BQ1722&amp;"); ","")&amp;IF(J1722&lt;=0,"Kein Verbrauch; ","")&amp;IF(CQ1722&gt;0,"Lift "&amp;W1722&amp;" lt. Liftbericht (Fach "&amp;X1722&amp;" Stk); ",IF(CA1722=1,"Gebinde geschätzt ("&amp;T1722&amp;"); ",IF(BZ1722=1,"Lose – Tablare geschätzt; ","")))&amp;IF(H1722&gt;AV1722,"Überbestand "&amp;ROUND(H1722-AV1722,0)&amp;" Stk / CHF "&amp;ROUND((H1722-AV1722)*G1722,0)&amp;"; ","")&amp;IF(AND(CH1722=1,CI1722&lt;CJ1722),"MAX &lt; MB+LG; ","")&amp;IF(AND(CP1722&gt;0,CO1722*10&gt;CP1722),"zu hoch für Tablar; ","")&amp;IF(AND(BV1722=0,OR(CH1722=1,AA1722&lt;&gt;"",U1722&lt;&gt;"",V1722&lt;&gt;"",AB1722&lt;&gt;"")),"manuell übersteuert; ","")&amp;IF(AND(BZ1722=0,R1722=0),"Gebinde unbekannt / Stellmass fehlt; ","")&amp;IF(AND(BZ1722=0,N(V1722)&lt;=0,N(Q1722)&lt;=0),"Menge pro Gebinde fehlt (Ist = 1 Gebinde); ","")&amp;BU1722)</f>
        <v>Kein Verbrauch; Überbestand 24 Stk / CHF 303; nur im Artikelstamm (Bestand 23.06.2026)</v>
      </c>
      <c r="BN1722" s="48"/>
      <c r="BO1722" s="48"/>
      <c r="BP1722" s="55"/>
      <c r="BQ1722" s="50" t="n">
        <v>25</v>
      </c>
      <c r="BR1722" s="50" t="n">
        <v>0</v>
      </c>
      <c r="BS1722" s="49" t="n">
        <v>0</v>
      </c>
      <c r="BT1722" s="50" t="n">
        <v>0</v>
      </c>
      <c r="BU1722" s="48" t="s">
        <v>2584</v>
      </c>
      <c r="BV1722" s="53" t="n">
        <v>0</v>
      </c>
      <c r="BW1722" s="53" t="n">
        <v>1722</v>
      </c>
      <c r="BX1722" s="48" t="str">
        <f aca="false">IF(U1722&lt;&gt;"",UPPER(TRIM(U1722)),IF(CA1722=1,UPPER(VLOOKUP(T1722,Parameter!$I$27:$K$29,2,0)),IF(P1722="","LOSE",P1722)))</f>
        <v>S21</v>
      </c>
      <c r="BY1722" s="50" t="n">
        <f aca="false">IF(BX1722="LOSE",1,IF(N(V1722)&gt;0,V1722,IF(CA1722=1,MAX(1,N(VLOOKUP(T1722,Parameter!$I$27:$K$29,3,0)),H1722,N(N1722)),IF(N(Q1722)&gt;0,Q1722,MAX(1,H1722)))))</f>
        <v>50</v>
      </c>
      <c r="BZ1722" s="53" t="n">
        <f aca="false">IF(BX1722="LOSE",1,0)</f>
        <v>0</v>
      </c>
      <c r="CA1722" s="53" t="n">
        <f aca="false">IF(AND(U1722="",OR(P1722="",P1722="LOSE"),T1722&lt;&gt;"",N(S1722)&lt;=0,ISNUMBER(MATCH(T1722,Parameter!$I$27:$I$29,0))),1,0)</f>
        <v>0</v>
      </c>
      <c r="CB1722" s="53" t="n">
        <f aca="false">IF(CQ1722&gt;0,INDEX(Parameter!$H$5:$H$7,W1722)/INDEX(Parameter!$E$5:$E$7,W1722),IF(AND(BZ1722=0,N(IFERROR(VLOOKUP(BX1722,'Gebinde-Kategorie'!$A$5:$N$45,14,0),0))&gt;0),VLOOKUP(BX1722,'Gebinde-Kategorie'!$A$5:$N$45,14,0)*10+Parameter!$M$23,Parameter!$M$24))</f>
        <v>155</v>
      </c>
      <c r="CC1722" s="48" t="str">
        <f aca="false">IF(AND(Parameter!$B$19="Ja",E1722&lt;&gt;"",ISNUMBER(MATCH(E1722,Parameter!$I$35:$I$52,0))),VLOOKUP(E1722,Parameter!$I$35:$J$52,2,0),IFERROR(VLOOKUP(D1722,Parameter!$A$35:$C$64,2,0),"Nein"))</f>
        <v>2+3</v>
      </c>
      <c r="CD1722" s="52" t="n">
        <f aca="false">IF(BZ1722=0,0,IF(N(S1722)&gt;0,S1722,IFERROR(VLOOKUP(D1722,Parameter!$A$35:$C$64,3,0)+0,0)))</f>
        <v>0</v>
      </c>
      <c r="CE1722" s="48" t="n">
        <f aca="false">IF(AA1722&lt;&gt;"",AA1722,Z1722)</f>
        <v>3</v>
      </c>
      <c r="CF1722" s="48" t="str">
        <f aca="false">IF(OR(CE1722=1,CE1722=2,CE1722=3),IF(Parameter!$E$27="Ja","LIFT",IF(CE1722=1,"L1","L23")),IF(CE1722="Aussen","Aussen","-"))</f>
        <v>LIFT</v>
      </c>
      <c r="CG1722" s="59" t="n">
        <f aca="false">IF(N(AB1722)&gt;0,AB1722,0)</f>
        <v>0</v>
      </c>
      <c r="CH1722" s="53" t="n">
        <f aca="false">IF(ISNUMBER(AE1722),1,0)</f>
        <v>0</v>
      </c>
      <c r="CI1722" s="50" t="n">
        <f aca="false">N(AE1722)</f>
        <v>0</v>
      </c>
      <c r="CJ1722" s="50" t="n">
        <f aca="false">N(M1722)+N(N1722)</f>
        <v>1</v>
      </c>
      <c r="CK1722" s="50" t="n">
        <f aca="false">N(M1722)</f>
        <v>0</v>
      </c>
      <c r="CL1722" s="50" t="n">
        <f aca="false">N(N1722)</f>
        <v>1</v>
      </c>
      <c r="CM1722" s="50" t="n">
        <f aca="false">ROUNDUP(H1722/BY1722,0)</f>
        <v>1</v>
      </c>
      <c r="CN1722" s="50" t="n">
        <f aca="false">ROUNDUP(CI1722/BY1722,0)</f>
        <v>0</v>
      </c>
      <c r="CO1722" s="53" t="n">
        <f aca="false">IF(BZ1722=1,0,IFERROR(VLOOKUP(BX1722,'Gebinde-Kategorie'!$A$5:$N$45,5,0)+0,0))</f>
        <v>8</v>
      </c>
      <c r="CP1722" s="53" t="n">
        <f aca="false">IFERROR(IF(OR(CE1722=1,CE1722=2,CE1722=3),N(INDEX(Parameter!$I$5:$I$7,CE1722)),0),0)</f>
        <v>0</v>
      </c>
      <c r="CQ1722" s="52" t="n">
        <f aca="false">IF(AND(Parameter!$B$21="Ja",ISNUMBER(W1722),N(X1722)&gt;0),IFERROR(N(INDEX(Parameter!$L$5:$L$7,W1722))*INDEX(Parameter!$E$5:$E$7,W1722)*X1722/SUMIFS($X$7:$X$1843,$W$7:$W$1843,W1722),0),0)</f>
        <v>0</v>
      </c>
    </row>
    <row r="1723" customFormat="false" ht="15" hidden="false" customHeight="false" outlineLevel="0" collapsed="false">
      <c r="A1723" s="48" t="s">
        <v>2990</v>
      </c>
      <c r="B1723" s="48" t="s">
        <v>2991</v>
      </c>
      <c r="C1723" s="48" t="s">
        <v>173</v>
      </c>
      <c r="D1723" s="48" t="s">
        <v>193</v>
      </c>
      <c r="E1723" s="48"/>
      <c r="F1723" s="48"/>
      <c r="G1723" s="49" t="n">
        <v>5.09</v>
      </c>
      <c r="H1723" s="50" t="n">
        <f aca="false">MAX(0,IF(AND(Parameter!$B$21="Ja",ISNUMBER(Y1723)),Y1723,IF(Parameter!$B$20="Jahresanfang 2025 + Export",BR1723+BQ1723,BQ1723)))</f>
        <v>33</v>
      </c>
      <c r="I1723" s="50" t="n">
        <f aca="false">H1723*G1723</f>
        <v>167.97</v>
      </c>
      <c r="J1723" s="50" t="n">
        <f aca="false">BT1723*Parameter!$B$18</f>
        <v>0</v>
      </c>
      <c r="K1723" s="51"/>
      <c r="L1723" s="52"/>
      <c r="M1723" s="50" t="n">
        <v>0</v>
      </c>
      <c r="N1723" s="50" t="n">
        <v>200</v>
      </c>
      <c r="O1723" s="53" t="n">
        <v>21</v>
      </c>
      <c r="P1723" s="48" t="s">
        <v>410</v>
      </c>
      <c r="Q1723" s="50" t="n">
        <v>50</v>
      </c>
      <c r="R1723" s="53" t="n">
        <f aca="false">IF(BZ1723=1,0,IFERROR(VLOOKUP(BX1723,'Gebinde-Kategorie'!$A$5:$N$45,13,0)+0,0))</f>
        <v>280</v>
      </c>
      <c r="S1723" s="54"/>
      <c r="T1723" s="55"/>
      <c r="U1723" s="55"/>
      <c r="V1723" s="55"/>
      <c r="W1723" s="48"/>
      <c r="X1723" s="50"/>
      <c r="Y1723" s="50"/>
      <c r="Z1723" s="48" t="n">
        <f aca="false">IF(A1723="","",IF(AND(Parameter!$B$21="Ja",ISNUMBER(W1723)),W1723,IF(CC1723="2+3",IF(ISNUMBER(SEARCH("grosser Artikel",BU1723)),2,IFERROR(VLOOKUP(BX1723,Parameter!$F$35:$G$64,2,0),2)),IF(OR(CC1723="Nein",CC1723=""),"-",CC1723))))</f>
        <v>3</v>
      </c>
      <c r="AA1723" s="55"/>
      <c r="AB1723" s="56"/>
      <c r="AC1723" s="50" t="n">
        <f aca="false">AV1723</f>
        <v>200</v>
      </c>
      <c r="AD1723" s="50" t="n">
        <f aca="false">MAX(AV1723,H1723)</f>
        <v>200</v>
      </c>
      <c r="AE1723" s="57"/>
      <c r="AF1723" s="50" t="n">
        <f aca="false">IF(LEFT(Cockpit!$C$5,1)="A",H1723,IF(Parameter!$E$30="MAX-Bestand",IF(CH1723=1,CI1723,IF(LEFT(Cockpit!$C$5,1)="B",AL1723,MAX(AL1723,H1723))),ROUNDUP(AJ1723,0)))</f>
        <v>33</v>
      </c>
      <c r="AG1723" s="50" t="n">
        <f aca="false">IF(BZ1723=1,0,ROUNDUP(AF1723/BY1723,0))</f>
        <v>1</v>
      </c>
      <c r="AH1723" s="52" t="n">
        <f aca="false">IF(CQ1723&gt;0,CQ1723*MAX(1,AF1723/X1723),IF(BZ1723=1,IF(AF1723&lt;=0,0,CD1723*MAX(1,IF(H1723&gt;0,AF1723/H1723,1))),IF(R1723&gt;0,AG1723/R1723,0))/MAX(0.1,N(Parameter!$M$21)))</f>
        <v>0.00357142857142857</v>
      </c>
      <c r="AI1723" s="50" t="n">
        <f aca="false">AH1723*CB1723</f>
        <v>0.553571428571429</v>
      </c>
      <c r="AJ1723" s="51" t="n">
        <f aca="false">IF(LEFT(Cockpit!$C$5,1)="A",H1723,IF(CH1723=1,(CK1723+CI1723)/2,IF(LEFT(Cockpit!$C$5,1)="B",(CK1723+AL1723)/2,MAX((CK1723+AL1723)/2,H1723))))</f>
        <v>33</v>
      </c>
      <c r="AK1723" s="50" t="n">
        <f aca="false">AJ1723*G1723</f>
        <v>167.97</v>
      </c>
      <c r="AL1723" s="50" t="n">
        <f aca="false">ROUNDUP(CK1723+MAX(CL1723,2*(J1723/IF(CG1723&gt;0,CG1723,MAX(0.1,N(Cockpit!$C$6)))-CK1723)),0)</f>
        <v>200</v>
      </c>
      <c r="AM1723" s="51" t="n">
        <f aca="false">IF(AI1723&gt;0,J1723/AI1723,-1)</f>
        <v>0</v>
      </c>
      <c r="AN1723" s="51" t="n">
        <f aca="false">IF(AND(OR(CF1723="L1",CF1723="L23",CF1723="LIFT"),AI1723&gt;0),SUMIFS($AI$7:$AI$1843,$CF$7:$CF$1843,CF1723,$AM$7:$AM$1843,"&gt;"&amp;AM1723)+SUMIFS($AI$7:$AI$1843,$CF$7:$CF$1843,CF1723,$AM$7:$AM$1843,AM1723,$BW$7:$BW$1843,"&lt;="&amp;BW1723),"")</f>
        <v>32840.9396173506</v>
      </c>
      <c r="AO1723" s="58" t="n">
        <f aca="false">IF(AN1723="",0,MAX(0,MIN(1,(IF(CF1723="L1",Parameter!$H$5,IF(CF1723="L23",Parameter!$H$6+Parameter!$H$7,Parameter!$H$5+Parameter!$H$6+Parameter!$H$7))-(AN1723-AI1723))/AI1723)))</f>
        <v>1</v>
      </c>
      <c r="AP1723" s="50" t="n">
        <f aca="false">IF(LEFT(Cockpit!$I$5,1)="A",H1723,IF(Parameter!$E$30="MAX-Bestand",IF(CH1723=1,CI1723,IF(LEFT(Cockpit!$I$5,1)="B",AV1723,MAX(AV1723,H1723))),ROUNDUP(AT1723,0)))</f>
        <v>100</v>
      </c>
      <c r="AQ1723" s="50" t="n">
        <f aca="false">IF(BZ1723=1,0,ROUNDUP(AP1723/BY1723,0))</f>
        <v>2</v>
      </c>
      <c r="AR1723" s="52" t="n">
        <f aca="false">IF(CQ1723&gt;0,CQ1723*MAX(1,AP1723/X1723),IF(BZ1723=1,IF(AP1723&lt;=0,0,CD1723*MAX(1,IF(H1723&gt;0,AP1723/H1723,1))),IF(R1723&gt;0,AQ1723/R1723,0))/MAX(0.1,N(Parameter!$M$21)))</f>
        <v>0.00714285714285714</v>
      </c>
      <c r="AS1723" s="50" t="n">
        <f aca="false">AR1723*CB1723</f>
        <v>1.10714285714286</v>
      </c>
      <c r="AT1723" s="51" t="n">
        <f aca="false">IF(LEFT(Cockpit!$I$5,1)="A",H1723,IF(CH1723=1,(CK1723+CI1723)/2,IF(LEFT(Cockpit!$I$5,1)="B",(CK1723+AV1723)/2,MAX((CK1723+AV1723)/2,H1723))))</f>
        <v>100</v>
      </c>
      <c r="AU1723" s="50" t="n">
        <f aca="false">AT1723*G1723</f>
        <v>509</v>
      </c>
      <c r="AV1723" s="50" t="n">
        <f aca="false">ROUNDUP(CK1723+MAX(CL1723,2*(J1723/IF(CG1723&gt;0,CG1723,MAX(0.1,N(Cockpit!$I$6)))-CK1723)),0)</f>
        <v>200</v>
      </c>
      <c r="AW1723" s="51" t="n">
        <f aca="false">IF(AS1723&gt;0,J1723/AS1723,-1)</f>
        <v>0</v>
      </c>
      <c r="AX1723" s="51" t="n">
        <f aca="false">IF(AND(OR(CF1723="L1",CF1723="L23",CF1723="LIFT"),AS1723&gt;0),SUMIFS($AS$7:$AS$1843,$CF$7:$CF$1843,CF1723,$AW$7:$AW$1843,"&gt;"&amp;AW1723)+SUMIFS($AS$7:$AS$1843,$CF$7:$CF$1843,CF1723,$AW$7:$AW$1843,AW1723,$BW$7:$BW$1843,"&lt;="&amp;BW1723),"")</f>
        <v>39314.8485622193</v>
      </c>
      <c r="AY1723" s="58" t="n">
        <f aca="false">IF(AX1723="",0,MAX(0,MIN(1,(IF(CF1723="L1",Parameter!$H$5,IF(CF1723="L23",Parameter!$H$6+Parameter!$H$7,Parameter!$H$5+Parameter!$H$6+Parameter!$H$7))-(AX1723-AS1723))/AS1723)))</f>
        <v>0</v>
      </c>
      <c r="AZ1723" s="50" t="n">
        <f aca="false">IF(LEFT(Cockpit!$O$5,1)="A",H1723,IF(Parameter!$E$30="MAX-Bestand",IF(CH1723=1,CI1723,IF(LEFT(Cockpit!$O$5,1)="B",BF1723,MAX(BF1723,H1723))),ROUNDUP(BD1723,0)))</f>
        <v>100</v>
      </c>
      <c r="BA1723" s="50" t="n">
        <f aca="false">IF(BZ1723=1,0,ROUNDUP(AZ1723/BY1723,0))</f>
        <v>2</v>
      </c>
      <c r="BB1723" s="52" t="n">
        <f aca="false">IF(CQ1723&gt;0,CQ1723*MAX(1,AZ1723/X1723),IF(BZ1723=1,IF(AZ1723&lt;=0,0,CD1723*MAX(1,IF(H1723&gt;0,AZ1723/H1723,1))),IF(R1723&gt;0,BA1723/R1723,0))/MAX(0.1,N(Parameter!$M$21)))</f>
        <v>0.00714285714285714</v>
      </c>
      <c r="BC1723" s="50" t="n">
        <f aca="false">BB1723*CB1723</f>
        <v>1.10714285714286</v>
      </c>
      <c r="BD1723" s="51" t="n">
        <f aca="false">IF(LEFT(Cockpit!$O$5,1)="A",H1723,IF(CH1723=1,(CK1723+CI1723)/2,IF(LEFT(Cockpit!$O$5,1)="B",(CK1723+BF1723)/2,MAX((CK1723+BF1723)/2,H1723))))</f>
        <v>100</v>
      </c>
      <c r="BE1723" s="50" t="n">
        <f aca="false">BD1723*G1723</f>
        <v>509</v>
      </c>
      <c r="BF1723" s="50" t="n">
        <f aca="false">ROUNDUP(CK1723+MAX(CL1723,2*(J1723/IF(CG1723&gt;0,CG1723,MAX(0.1,N(Cockpit!$O$6)))-CK1723)),0)</f>
        <v>200</v>
      </c>
      <c r="BG1723" s="51" t="n">
        <f aca="false">IF(BC1723&gt;0,J1723/BC1723,-1)</f>
        <v>0</v>
      </c>
      <c r="BH1723" s="51" t="n">
        <f aca="false">IF(AND(OR(CF1723="L1",CF1723="L23",CF1723="LIFT"),BC1723&gt;0),SUMIFS($BC$7:$BC$1843,$CF$7:$CF$1843,CF1723,$BG$7:$BG$1843,"&gt;"&amp;BG1723)+SUMIFS($BC$7:$BC$1843,$CF$7:$CF$1843,CF1723,$BG$7:$BG$1843,BG1723,$BW$7:$BW$1843,"&lt;="&amp;BW1723),"")</f>
        <v>32544.6410282279</v>
      </c>
      <c r="BI1723" s="58" t="n">
        <f aca="false">IF(BH1723="",0,MAX(0,MIN(1,(IF(CF1723="L1",Parameter!$H$5,IF(CF1723="L23",Parameter!$H$6+Parameter!$H$7,Parameter!$H$5+Parameter!$H$6+Parameter!$H$7))-(BH1723-BC1723))/BC1723)))</f>
        <v>1</v>
      </c>
      <c r="BJ1723" s="48" t="str">
        <f aca="false">IF(AI1723&lt;=0,"",IF(CF1723="Aussen","Aussenlager",IF(CF1723="-","Nicht im Lift",IF(AO1723&gt;=1,"Lift",IF(AO1723&lt;=0,"Aussenlager","teilweise")))))</f>
        <v>Lift</v>
      </c>
      <c r="BK1723" s="48" t="str">
        <f aca="false">IF(AS1723&lt;=0,"",IF(CF1723="Aussen","Aussenlager",IF(CF1723="-","Nicht im Lift",IF(AY1723&gt;=1,"Lift",IF(AY1723&lt;=0,"Aussenlager","teilweise")))))</f>
        <v>Aussenlager</v>
      </c>
      <c r="BL1723" s="48" t="str">
        <f aca="false">IF(BC1723&lt;=0,"",IF(CF1723="Aussen","Aussenlager",IF(CF1723="-","Nicht im Lift",IF(BI1723&gt;=1,"Lift",IF(BI1723&lt;=0,"Aussenlager","teilweise")))))</f>
        <v>Lift</v>
      </c>
      <c r="BM1723" s="48" t="str">
        <f aca="false">IF(A1723="","",IF(BV1723=1,"Neu; ","")&amp;IF(AND(BV1723=0,BQ1723&lt;0),"negativer Bestand (Export "&amp;BQ1723&amp;"); ","")&amp;IF(J1723&lt;=0,"Kein Verbrauch; ","")&amp;IF(CQ1723&gt;0,"Lift "&amp;W1723&amp;" lt. Liftbericht (Fach "&amp;X1723&amp;" Stk); ",IF(CA1723=1,"Gebinde geschätzt ("&amp;T1723&amp;"); ",IF(BZ1723=1,"Lose – Tablare geschätzt; ","")))&amp;IF(H1723&gt;AV1723,"Überbestand "&amp;ROUND(H1723-AV1723,0)&amp;" Stk / CHF "&amp;ROUND((H1723-AV1723)*G1723,0)&amp;"; ","")&amp;IF(AND(CH1723=1,CI1723&lt;CJ1723),"MAX &lt; MB+LG; ","")&amp;IF(AND(CP1723&gt;0,CO1723*10&gt;CP1723),"zu hoch für Tablar; ","")&amp;IF(AND(BV1723=0,OR(CH1723=1,AA1723&lt;&gt;"",U1723&lt;&gt;"",V1723&lt;&gt;"",AB1723&lt;&gt;"")),"manuell übersteuert; ","")&amp;IF(AND(BZ1723=0,R1723=0),"Gebinde unbekannt / Stellmass fehlt; ","")&amp;IF(AND(BZ1723=0,N(V1723)&lt;=0,N(Q1723)&lt;=0),"Menge pro Gebinde fehlt (Ist = 1 Gebinde); ","")&amp;BU1723)</f>
        <v>Kein Verbrauch; nur im Artikelstamm (Bestand 23.06.2026)</v>
      </c>
      <c r="BN1723" s="48"/>
      <c r="BO1723" s="48"/>
      <c r="BP1723" s="55"/>
      <c r="BQ1723" s="50" t="n">
        <v>33</v>
      </c>
      <c r="BR1723" s="50" t="n">
        <v>0</v>
      </c>
      <c r="BS1723" s="49" t="n">
        <v>0</v>
      </c>
      <c r="BT1723" s="50" t="n">
        <v>0</v>
      </c>
      <c r="BU1723" s="48" t="s">
        <v>2584</v>
      </c>
      <c r="BV1723" s="53" t="n">
        <v>0</v>
      </c>
      <c r="BW1723" s="53" t="n">
        <v>1723</v>
      </c>
      <c r="BX1723" s="48" t="str">
        <f aca="false">IF(U1723&lt;&gt;"",UPPER(TRIM(U1723)),IF(CA1723=1,UPPER(VLOOKUP(T1723,Parameter!$I$27:$K$29,2,0)),IF(P1723="","LOSE",P1723)))</f>
        <v>S21</v>
      </c>
      <c r="BY1723" s="50" t="n">
        <f aca="false">IF(BX1723="LOSE",1,IF(N(V1723)&gt;0,V1723,IF(CA1723=1,MAX(1,N(VLOOKUP(T1723,Parameter!$I$27:$K$29,3,0)),H1723,N(N1723)),IF(N(Q1723)&gt;0,Q1723,MAX(1,H1723)))))</f>
        <v>50</v>
      </c>
      <c r="BZ1723" s="53" t="n">
        <f aca="false">IF(BX1723="LOSE",1,0)</f>
        <v>0</v>
      </c>
      <c r="CA1723" s="53" t="n">
        <f aca="false">IF(AND(U1723="",OR(P1723="",P1723="LOSE"),T1723&lt;&gt;"",N(S1723)&lt;=0,ISNUMBER(MATCH(T1723,Parameter!$I$27:$I$29,0))),1,0)</f>
        <v>0</v>
      </c>
      <c r="CB1723" s="53" t="n">
        <f aca="false">IF(CQ1723&gt;0,INDEX(Parameter!$H$5:$H$7,W1723)/INDEX(Parameter!$E$5:$E$7,W1723),IF(AND(BZ1723=0,N(IFERROR(VLOOKUP(BX1723,'Gebinde-Kategorie'!$A$5:$N$45,14,0),0))&gt;0),VLOOKUP(BX1723,'Gebinde-Kategorie'!$A$5:$N$45,14,0)*10+Parameter!$M$23,Parameter!$M$24))</f>
        <v>155</v>
      </c>
      <c r="CC1723" s="48" t="str">
        <f aca="false">IF(AND(Parameter!$B$19="Ja",E1723&lt;&gt;"",ISNUMBER(MATCH(E1723,Parameter!$I$35:$I$52,0))),VLOOKUP(E1723,Parameter!$I$35:$J$52,2,0),IFERROR(VLOOKUP(D1723,Parameter!$A$35:$C$64,2,0),"Nein"))</f>
        <v>2+3</v>
      </c>
      <c r="CD1723" s="52" t="n">
        <f aca="false">IF(BZ1723=0,0,IF(N(S1723)&gt;0,S1723,IFERROR(VLOOKUP(D1723,Parameter!$A$35:$C$64,3,0)+0,0)))</f>
        <v>0</v>
      </c>
      <c r="CE1723" s="48" t="n">
        <f aca="false">IF(AA1723&lt;&gt;"",AA1723,Z1723)</f>
        <v>3</v>
      </c>
      <c r="CF1723" s="48" t="str">
        <f aca="false">IF(OR(CE1723=1,CE1723=2,CE1723=3),IF(Parameter!$E$27="Ja","LIFT",IF(CE1723=1,"L1","L23")),IF(CE1723="Aussen","Aussen","-"))</f>
        <v>LIFT</v>
      </c>
      <c r="CG1723" s="59" t="n">
        <f aca="false">IF(N(AB1723)&gt;0,AB1723,0)</f>
        <v>0</v>
      </c>
      <c r="CH1723" s="53" t="n">
        <f aca="false">IF(ISNUMBER(AE1723),1,0)</f>
        <v>0</v>
      </c>
      <c r="CI1723" s="50" t="n">
        <f aca="false">N(AE1723)</f>
        <v>0</v>
      </c>
      <c r="CJ1723" s="50" t="n">
        <f aca="false">N(M1723)+N(N1723)</f>
        <v>200</v>
      </c>
      <c r="CK1723" s="50" t="n">
        <f aca="false">N(M1723)</f>
        <v>0</v>
      </c>
      <c r="CL1723" s="50" t="n">
        <f aca="false">N(N1723)</f>
        <v>200</v>
      </c>
      <c r="CM1723" s="50" t="n">
        <f aca="false">ROUNDUP(H1723/BY1723,0)</f>
        <v>1</v>
      </c>
      <c r="CN1723" s="50" t="n">
        <f aca="false">ROUNDUP(CI1723/BY1723,0)</f>
        <v>0</v>
      </c>
      <c r="CO1723" s="53" t="n">
        <f aca="false">IF(BZ1723=1,0,IFERROR(VLOOKUP(BX1723,'Gebinde-Kategorie'!$A$5:$N$45,5,0)+0,0))</f>
        <v>8</v>
      </c>
      <c r="CP1723" s="53" t="n">
        <f aca="false">IFERROR(IF(OR(CE1723=1,CE1723=2,CE1723=3),N(INDEX(Parameter!$I$5:$I$7,CE1723)),0),0)</f>
        <v>0</v>
      </c>
      <c r="CQ1723" s="52" t="n">
        <f aca="false">IF(AND(Parameter!$B$21="Ja",ISNUMBER(W1723),N(X1723)&gt;0),IFERROR(N(INDEX(Parameter!$L$5:$L$7,W1723))*INDEX(Parameter!$E$5:$E$7,W1723)*X1723/SUMIFS($X$7:$X$1843,$W$7:$W$1843,W1723),0),0)</f>
        <v>0</v>
      </c>
    </row>
    <row r="1724" customFormat="false" ht="15" hidden="false" customHeight="false" outlineLevel="0" collapsed="false">
      <c r="A1724" s="48" t="s">
        <v>2992</v>
      </c>
      <c r="B1724" s="48" t="s">
        <v>2993</v>
      </c>
      <c r="C1724" s="48" t="s">
        <v>173</v>
      </c>
      <c r="D1724" s="48" t="s">
        <v>193</v>
      </c>
      <c r="E1724" s="48"/>
      <c r="F1724" s="48"/>
      <c r="G1724" s="49" t="n">
        <v>15.4</v>
      </c>
      <c r="H1724" s="50" t="n">
        <f aca="false">MAX(0,IF(AND(Parameter!$B$21="Ja",ISNUMBER(Y1724)),Y1724,IF(Parameter!$B$20="Jahresanfang 2025 + Export",BR1724+BQ1724,BQ1724)))</f>
        <v>39</v>
      </c>
      <c r="I1724" s="50" t="n">
        <f aca="false">H1724*G1724</f>
        <v>600.6</v>
      </c>
      <c r="J1724" s="50" t="n">
        <f aca="false">BT1724*Parameter!$B$18</f>
        <v>0</v>
      </c>
      <c r="K1724" s="51"/>
      <c r="L1724" s="52"/>
      <c r="M1724" s="50" t="n">
        <v>2</v>
      </c>
      <c r="N1724" s="50" t="n">
        <v>20</v>
      </c>
      <c r="O1724" s="53" t="n">
        <v>21</v>
      </c>
      <c r="P1724" s="48" t="s">
        <v>435</v>
      </c>
      <c r="Q1724" s="50" t="n">
        <v>40</v>
      </c>
      <c r="R1724" s="53" t="n">
        <f aca="false">IF(BZ1724=1,0,IFERROR(VLOOKUP(BX1724,'Gebinde-Kategorie'!$A$5:$N$45,13,0)+0,0))</f>
        <v>140</v>
      </c>
      <c r="S1724" s="54"/>
      <c r="T1724" s="55"/>
      <c r="U1724" s="55"/>
      <c r="V1724" s="55"/>
      <c r="W1724" s="48"/>
      <c r="X1724" s="50"/>
      <c r="Y1724" s="50"/>
      <c r="Z1724" s="48" t="n">
        <f aca="false">IF(A1724="","",IF(AND(Parameter!$B$21="Ja",ISNUMBER(W1724)),W1724,IF(CC1724="2+3",IF(ISNUMBER(SEARCH("grosser Artikel",BU1724)),2,IFERROR(VLOOKUP(BX1724,Parameter!$F$35:$G$64,2,0),2)),IF(OR(CC1724="Nein",CC1724=""),"-",CC1724))))</f>
        <v>3</v>
      </c>
      <c r="AA1724" s="55"/>
      <c r="AB1724" s="56"/>
      <c r="AC1724" s="50" t="n">
        <f aca="false">AV1724</f>
        <v>22</v>
      </c>
      <c r="AD1724" s="50" t="n">
        <f aca="false">MAX(AV1724,H1724)</f>
        <v>39</v>
      </c>
      <c r="AE1724" s="57"/>
      <c r="AF1724" s="50" t="n">
        <f aca="false">IF(LEFT(Cockpit!$C$5,1)="A",H1724,IF(Parameter!$E$30="MAX-Bestand",IF(CH1724=1,CI1724,IF(LEFT(Cockpit!$C$5,1)="B",AL1724,MAX(AL1724,H1724))),ROUNDUP(AJ1724,0)))</f>
        <v>39</v>
      </c>
      <c r="AG1724" s="50" t="n">
        <f aca="false">IF(BZ1724=1,0,ROUNDUP(AF1724/BY1724,0))</f>
        <v>1</v>
      </c>
      <c r="AH1724" s="52" t="n">
        <f aca="false">IF(CQ1724&gt;0,CQ1724*MAX(1,AF1724/X1724),IF(BZ1724=1,IF(AF1724&lt;=0,0,CD1724*MAX(1,IF(H1724&gt;0,AF1724/H1724,1))),IF(R1724&gt;0,AG1724/R1724,0))/MAX(0.1,N(Parameter!$M$21)))</f>
        <v>0.00714285714285714</v>
      </c>
      <c r="AI1724" s="50" t="n">
        <f aca="false">AH1724*CB1724</f>
        <v>1.10714285714286</v>
      </c>
      <c r="AJ1724" s="51" t="n">
        <f aca="false">IF(LEFT(Cockpit!$C$5,1)="A",H1724,IF(CH1724=1,(CK1724+CI1724)/2,IF(LEFT(Cockpit!$C$5,1)="B",(CK1724+AL1724)/2,MAX((CK1724+AL1724)/2,H1724))))</f>
        <v>39</v>
      </c>
      <c r="AK1724" s="50" t="n">
        <f aca="false">AJ1724*G1724</f>
        <v>600.6</v>
      </c>
      <c r="AL1724" s="50" t="n">
        <f aca="false">ROUNDUP(CK1724+MAX(CL1724,2*(J1724/IF(CG1724&gt;0,CG1724,MAX(0.1,N(Cockpit!$C$6)))-CK1724)),0)</f>
        <v>22</v>
      </c>
      <c r="AM1724" s="51" t="n">
        <f aca="false">IF(AI1724&gt;0,J1724/AI1724,-1)</f>
        <v>0</v>
      </c>
      <c r="AN1724" s="51" t="n">
        <f aca="false">IF(AND(OR(CF1724="L1",CF1724="L23",CF1724="LIFT"),AI1724&gt;0),SUMIFS($AI$7:$AI$1843,$CF$7:$CF$1843,CF1724,$AM$7:$AM$1843,"&gt;"&amp;AM1724)+SUMIFS($AI$7:$AI$1843,$CF$7:$CF$1843,CF1724,$AM$7:$AM$1843,AM1724,$BW$7:$BW$1843,"&lt;="&amp;BW1724),"")</f>
        <v>32842.0467602078</v>
      </c>
      <c r="AO1724" s="58" t="n">
        <f aca="false">IF(AN1724="",0,MAX(0,MIN(1,(IF(CF1724="L1",Parameter!$H$5,IF(CF1724="L23",Parameter!$H$6+Parameter!$H$7,Parameter!$H$5+Parameter!$H$6+Parameter!$H$7))-(AN1724-AI1724))/AI1724)))</f>
        <v>1</v>
      </c>
      <c r="AP1724" s="50" t="n">
        <f aca="false">IF(LEFT(Cockpit!$I$5,1)="A",H1724,IF(Parameter!$E$30="MAX-Bestand",IF(CH1724=1,CI1724,IF(LEFT(Cockpit!$I$5,1)="B",AV1724,MAX(AV1724,H1724))),ROUNDUP(AT1724,0)))</f>
        <v>39</v>
      </c>
      <c r="AQ1724" s="50" t="n">
        <f aca="false">IF(BZ1724=1,0,ROUNDUP(AP1724/BY1724,0))</f>
        <v>1</v>
      </c>
      <c r="AR1724" s="52" t="n">
        <f aca="false">IF(CQ1724&gt;0,CQ1724*MAX(1,AP1724/X1724),IF(BZ1724=1,IF(AP1724&lt;=0,0,CD1724*MAX(1,IF(H1724&gt;0,AP1724/H1724,1))),IF(R1724&gt;0,AQ1724/R1724,0))/MAX(0.1,N(Parameter!$M$21)))</f>
        <v>0.00714285714285714</v>
      </c>
      <c r="AS1724" s="50" t="n">
        <f aca="false">AR1724*CB1724</f>
        <v>1.10714285714286</v>
      </c>
      <c r="AT1724" s="51" t="n">
        <f aca="false">IF(LEFT(Cockpit!$I$5,1)="A",H1724,IF(CH1724=1,(CK1724+CI1724)/2,IF(LEFT(Cockpit!$I$5,1)="B",(CK1724+AV1724)/2,MAX((CK1724+AV1724)/2,H1724))))</f>
        <v>39</v>
      </c>
      <c r="AU1724" s="50" t="n">
        <f aca="false">AT1724*G1724</f>
        <v>600.6</v>
      </c>
      <c r="AV1724" s="50" t="n">
        <f aca="false">ROUNDUP(CK1724+MAX(CL1724,2*(J1724/IF(CG1724&gt;0,CG1724,MAX(0.1,N(Cockpit!$I$6)))-CK1724)),0)</f>
        <v>22</v>
      </c>
      <c r="AW1724" s="51" t="n">
        <f aca="false">IF(AS1724&gt;0,J1724/AS1724,-1)</f>
        <v>0</v>
      </c>
      <c r="AX1724" s="51" t="n">
        <f aca="false">IF(AND(OR(CF1724="L1",CF1724="L23",CF1724="LIFT"),AS1724&gt;0),SUMIFS($AS$7:$AS$1843,$CF$7:$CF$1843,CF1724,$AW$7:$AW$1843,"&gt;"&amp;AW1724)+SUMIFS($AS$7:$AS$1843,$CF$7:$CF$1843,CF1724,$AW$7:$AW$1843,AW1724,$BW$7:$BW$1843,"&lt;="&amp;BW1724),"")</f>
        <v>39315.9557050765</v>
      </c>
      <c r="AY1724" s="58" t="n">
        <f aca="false">IF(AX1724="",0,MAX(0,MIN(1,(IF(CF1724="L1",Parameter!$H$5,IF(CF1724="L23",Parameter!$H$6+Parameter!$H$7,Parameter!$H$5+Parameter!$H$6+Parameter!$H$7))-(AX1724-AS1724))/AS1724)))</f>
        <v>0</v>
      </c>
      <c r="AZ1724" s="50" t="n">
        <f aca="false">IF(LEFT(Cockpit!$O$5,1)="A",H1724,IF(Parameter!$E$30="MAX-Bestand",IF(CH1724=1,CI1724,IF(LEFT(Cockpit!$O$5,1)="B",BF1724,MAX(BF1724,H1724))),ROUNDUP(BD1724,0)))</f>
        <v>12</v>
      </c>
      <c r="BA1724" s="50" t="n">
        <f aca="false">IF(BZ1724=1,0,ROUNDUP(AZ1724/BY1724,0))</f>
        <v>1</v>
      </c>
      <c r="BB1724" s="52" t="n">
        <f aca="false">IF(CQ1724&gt;0,CQ1724*MAX(1,AZ1724/X1724),IF(BZ1724=1,IF(AZ1724&lt;=0,0,CD1724*MAX(1,IF(H1724&gt;0,AZ1724/H1724,1))),IF(R1724&gt;0,BA1724/R1724,0))/MAX(0.1,N(Parameter!$M$21)))</f>
        <v>0.00714285714285714</v>
      </c>
      <c r="BC1724" s="50" t="n">
        <f aca="false">BB1724*CB1724</f>
        <v>1.10714285714286</v>
      </c>
      <c r="BD1724" s="51" t="n">
        <f aca="false">IF(LEFT(Cockpit!$O$5,1)="A",H1724,IF(CH1724=1,(CK1724+CI1724)/2,IF(LEFT(Cockpit!$O$5,1)="B",(CK1724+BF1724)/2,MAX((CK1724+BF1724)/2,H1724))))</f>
        <v>12</v>
      </c>
      <c r="BE1724" s="50" t="n">
        <f aca="false">BD1724*G1724</f>
        <v>184.8</v>
      </c>
      <c r="BF1724" s="50" t="n">
        <f aca="false">ROUNDUP(CK1724+MAX(CL1724,2*(J1724/IF(CG1724&gt;0,CG1724,MAX(0.1,N(Cockpit!$O$6)))-CK1724)),0)</f>
        <v>22</v>
      </c>
      <c r="BG1724" s="51" t="n">
        <f aca="false">IF(BC1724&gt;0,J1724/BC1724,-1)</f>
        <v>0</v>
      </c>
      <c r="BH1724" s="51" t="n">
        <f aca="false">IF(AND(OR(CF1724="L1",CF1724="L23",CF1724="LIFT"),BC1724&gt;0),SUMIFS($BC$7:$BC$1843,$CF$7:$CF$1843,CF1724,$BG$7:$BG$1843,"&gt;"&amp;BG1724)+SUMIFS($BC$7:$BC$1843,$CF$7:$CF$1843,CF1724,$BG$7:$BG$1843,BG1724,$BW$7:$BW$1843,"&lt;="&amp;BW1724),"")</f>
        <v>32545.748171085</v>
      </c>
      <c r="BI1724" s="58" t="n">
        <f aca="false">IF(BH1724="",0,MAX(0,MIN(1,(IF(CF1724="L1",Parameter!$H$5,IF(CF1724="L23",Parameter!$H$6+Parameter!$H$7,Parameter!$H$5+Parameter!$H$6+Parameter!$H$7))-(BH1724-BC1724))/BC1724)))</f>
        <v>1</v>
      </c>
      <c r="BJ1724" s="48" t="str">
        <f aca="false">IF(AI1724&lt;=0,"",IF(CF1724="Aussen","Aussenlager",IF(CF1724="-","Nicht im Lift",IF(AO1724&gt;=1,"Lift",IF(AO1724&lt;=0,"Aussenlager","teilweise")))))</f>
        <v>Lift</v>
      </c>
      <c r="BK1724" s="48" t="str">
        <f aca="false">IF(AS1724&lt;=0,"",IF(CF1724="Aussen","Aussenlager",IF(CF1724="-","Nicht im Lift",IF(AY1724&gt;=1,"Lift",IF(AY1724&lt;=0,"Aussenlager","teilweise")))))</f>
        <v>Aussenlager</v>
      </c>
      <c r="BL1724" s="48" t="str">
        <f aca="false">IF(BC1724&lt;=0,"",IF(CF1724="Aussen","Aussenlager",IF(CF1724="-","Nicht im Lift",IF(BI1724&gt;=1,"Lift",IF(BI1724&lt;=0,"Aussenlager","teilweise")))))</f>
        <v>Lift</v>
      </c>
      <c r="BM1724" s="48" t="str">
        <f aca="false">IF(A1724="","",IF(BV1724=1,"Neu; ","")&amp;IF(AND(BV1724=0,BQ1724&lt;0),"negativer Bestand (Export "&amp;BQ1724&amp;"); ","")&amp;IF(J1724&lt;=0,"Kein Verbrauch; ","")&amp;IF(CQ1724&gt;0,"Lift "&amp;W1724&amp;" lt. Liftbericht (Fach "&amp;X1724&amp;" Stk); ",IF(CA1724=1,"Gebinde geschätzt ("&amp;T1724&amp;"); ",IF(BZ1724=1,"Lose – Tablare geschätzt; ","")))&amp;IF(H1724&gt;AV1724,"Überbestand "&amp;ROUND(H1724-AV1724,0)&amp;" Stk / CHF "&amp;ROUND((H1724-AV1724)*G1724,0)&amp;"; ","")&amp;IF(AND(CH1724=1,CI1724&lt;CJ1724),"MAX &lt; MB+LG; ","")&amp;IF(AND(CP1724&gt;0,CO1724*10&gt;CP1724),"zu hoch für Tablar; ","")&amp;IF(AND(BV1724=0,OR(CH1724=1,AA1724&lt;&gt;"",U1724&lt;&gt;"",V1724&lt;&gt;"",AB1724&lt;&gt;"")),"manuell übersteuert; ","")&amp;IF(AND(BZ1724=0,R1724=0),"Gebinde unbekannt / Stellmass fehlt; ","")&amp;IF(AND(BZ1724=0,N(V1724)&lt;=0,N(Q1724)&lt;=0),"Menge pro Gebinde fehlt (Ist = 1 Gebinde); ","")&amp;BU1724)</f>
        <v>Kein Verbrauch; Überbestand 17 Stk / CHF 262; nur im Artikelstamm (Bestand 23.06.2026); Neuer Art.</v>
      </c>
      <c r="BN1724" s="48"/>
      <c r="BO1724" s="48"/>
      <c r="BP1724" s="55"/>
      <c r="BQ1724" s="50" t="n">
        <v>39</v>
      </c>
      <c r="BR1724" s="50" t="n">
        <v>0</v>
      </c>
      <c r="BS1724" s="49" t="n">
        <v>0</v>
      </c>
      <c r="BT1724" s="50" t="n">
        <v>0</v>
      </c>
      <c r="BU1724" s="48" t="s">
        <v>2882</v>
      </c>
      <c r="BV1724" s="53" t="n">
        <v>0</v>
      </c>
      <c r="BW1724" s="53" t="n">
        <v>1724</v>
      </c>
      <c r="BX1724" s="48" t="str">
        <f aca="false">IF(U1724&lt;&gt;"",UPPER(TRIM(U1724)),IF(CA1724=1,UPPER(VLOOKUP(T1724,Parameter!$I$27:$K$29,2,0)),IF(P1724="","LOSE",P1724)))</f>
        <v>S22</v>
      </c>
      <c r="BY1724" s="50" t="n">
        <f aca="false">IF(BX1724="LOSE",1,IF(N(V1724)&gt;0,V1724,IF(CA1724=1,MAX(1,N(VLOOKUP(T1724,Parameter!$I$27:$K$29,3,0)),H1724,N(N1724)),IF(N(Q1724)&gt;0,Q1724,MAX(1,H1724)))))</f>
        <v>40</v>
      </c>
      <c r="BZ1724" s="53" t="n">
        <f aca="false">IF(BX1724="LOSE",1,0)</f>
        <v>0</v>
      </c>
      <c r="CA1724" s="53" t="n">
        <f aca="false">IF(AND(U1724="",OR(P1724="",P1724="LOSE"),T1724&lt;&gt;"",N(S1724)&lt;=0,ISNUMBER(MATCH(T1724,Parameter!$I$27:$I$29,0))),1,0)</f>
        <v>0</v>
      </c>
      <c r="CB1724" s="53" t="n">
        <f aca="false">IF(CQ1724&gt;0,INDEX(Parameter!$H$5:$H$7,W1724)/INDEX(Parameter!$E$5:$E$7,W1724),IF(AND(BZ1724=0,N(IFERROR(VLOOKUP(BX1724,'Gebinde-Kategorie'!$A$5:$N$45,14,0),0))&gt;0),VLOOKUP(BX1724,'Gebinde-Kategorie'!$A$5:$N$45,14,0)*10+Parameter!$M$23,Parameter!$M$24))</f>
        <v>155</v>
      </c>
      <c r="CC1724" s="48" t="str">
        <f aca="false">IF(AND(Parameter!$B$19="Ja",E1724&lt;&gt;"",ISNUMBER(MATCH(E1724,Parameter!$I$35:$I$52,0))),VLOOKUP(E1724,Parameter!$I$35:$J$52,2,0),IFERROR(VLOOKUP(D1724,Parameter!$A$35:$C$64,2,0),"Nein"))</f>
        <v>2+3</v>
      </c>
      <c r="CD1724" s="52" t="n">
        <f aca="false">IF(BZ1724=0,0,IF(N(S1724)&gt;0,S1724,IFERROR(VLOOKUP(D1724,Parameter!$A$35:$C$64,3,0)+0,0)))</f>
        <v>0</v>
      </c>
      <c r="CE1724" s="48" t="n">
        <f aca="false">IF(AA1724&lt;&gt;"",AA1724,Z1724)</f>
        <v>3</v>
      </c>
      <c r="CF1724" s="48" t="str">
        <f aca="false">IF(OR(CE1724=1,CE1724=2,CE1724=3),IF(Parameter!$E$27="Ja","LIFT",IF(CE1724=1,"L1","L23")),IF(CE1724="Aussen","Aussen","-"))</f>
        <v>LIFT</v>
      </c>
      <c r="CG1724" s="59" t="n">
        <f aca="false">IF(N(AB1724)&gt;0,AB1724,0)</f>
        <v>0</v>
      </c>
      <c r="CH1724" s="53" t="n">
        <f aca="false">IF(ISNUMBER(AE1724),1,0)</f>
        <v>0</v>
      </c>
      <c r="CI1724" s="50" t="n">
        <f aca="false">N(AE1724)</f>
        <v>0</v>
      </c>
      <c r="CJ1724" s="50" t="n">
        <f aca="false">N(M1724)+N(N1724)</f>
        <v>22</v>
      </c>
      <c r="CK1724" s="50" t="n">
        <f aca="false">N(M1724)</f>
        <v>2</v>
      </c>
      <c r="CL1724" s="50" t="n">
        <f aca="false">N(N1724)</f>
        <v>20</v>
      </c>
      <c r="CM1724" s="50" t="n">
        <f aca="false">ROUNDUP(H1724/BY1724,0)</f>
        <v>1</v>
      </c>
      <c r="CN1724" s="50" t="n">
        <f aca="false">ROUNDUP(CI1724/BY1724,0)</f>
        <v>0</v>
      </c>
      <c r="CO1724" s="53" t="n">
        <f aca="false">IF(BZ1724=1,0,IFERROR(VLOOKUP(BX1724,'Gebinde-Kategorie'!$A$5:$N$45,5,0)+0,0))</f>
        <v>8</v>
      </c>
      <c r="CP1724" s="53" t="n">
        <f aca="false">IFERROR(IF(OR(CE1724=1,CE1724=2,CE1724=3),N(INDEX(Parameter!$I$5:$I$7,CE1724)),0),0)</f>
        <v>0</v>
      </c>
      <c r="CQ1724" s="52" t="n">
        <f aca="false">IF(AND(Parameter!$B$21="Ja",ISNUMBER(W1724),N(X1724)&gt;0),IFERROR(N(INDEX(Parameter!$L$5:$L$7,W1724))*INDEX(Parameter!$E$5:$E$7,W1724)*X1724/SUMIFS($X$7:$X$1843,$W$7:$W$1843,W1724),0),0)</f>
        <v>0</v>
      </c>
    </row>
    <row r="1725" customFormat="false" ht="15" hidden="false" customHeight="false" outlineLevel="0" collapsed="false">
      <c r="A1725" s="48" t="s">
        <v>2994</v>
      </c>
      <c r="B1725" s="48" t="s">
        <v>2995</v>
      </c>
      <c r="C1725" s="48" t="s">
        <v>173</v>
      </c>
      <c r="D1725" s="48" t="s">
        <v>193</v>
      </c>
      <c r="E1725" s="48"/>
      <c r="F1725" s="48"/>
      <c r="G1725" s="49" t="n">
        <v>18.37</v>
      </c>
      <c r="H1725" s="50" t="n">
        <f aca="false">MAX(0,IF(AND(Parameter!$B$21="Ja",ISNUMBER(Y1725)),Y1725,IF(Parameter!$B$20="Jahresanfang 2025 + Export",BR1725+BQ1725,BQ1725)))</f>
        <v>39</v>
      </c>
      <c r="I1725" s="50" t="n">
        <f aca="false">H1725*G1725</f>
        <v>716.43</v>
      </c>
      <c r="J1725" s="50" t="n">
        <f aca="false">BT1725*Parameter!$B$18</f>
        <v>0</v>
      </c>
      <c r="K1725" s="51"/>
      <c r="L1725" s="52"/>
      <c r="M1725" s="50" t="n">
        <v>2</v>
      </c>
      <c r="N1725" s="50" t="n">
        <v>20</v>
      </c>
      <c r="O1725" s="53" t="n">
        <v>21</v>
      </c>
      <c r="P1725" s="48" t="s">
        <v>435</v>
      </c>
      <c r="Q1725" s="50" t="n">
        <v>40</v>
      </c>
      <c r="R1725" s="53" t="n">
        <f aca="false">IF(BZ1725=1,0,IFERROR(VLOOKUP(BX1725,'Gebinde-Kategorie'!$A$5:$N$45,13,0)+0,0))</f>
        <v>140</v>
      </c>
      <c r="S1725" s="54"/>
      <c r="T1725" s="55"/>
      <c r="U1725" s="55"/>
      <c r="V1725" s="55"/>
      <c r="W1725" s="48"/>
      <c r="X1725" s="50"/>
      <c r="Y1725" s="50"/>
      <c r="Z1725" s="48" t="n">
        <f aca="false">IF(A1725="","",IF(AND(Parameter!$B$21="Ja",ISNUMBER(W1725)),W1725,IF(CC1725="2+3",IF(ISNUMBER(SEARCH("grosser Artikel",BU1725)),2,IFERROR(VLOOKUP(BX1725,Parameter!$F$35:$G$64,2,0),2)),IF(OR(CC1725="Nein",CC1725=""),"-",CC1725))))</f>
        <v>3</v>
      </c>
      <c r="AA1725" s="55"/>
      <c r="AB1725" s="56"/>
      <c r="AC1725" s="50" t="n">
        <f aca="false">AV1725</f>
        <v>22</v>
      </c>
      <c r="AD1725" s="50" t="n">
        <f aca="false">MAX(AV1725,H1725)</f>
        <v>39</v>
      </c>
      <c r="AE1725" s="57"/>
      <c r="AF1725" s="50" t="n">
        <f aca="false">IF(LEFT(Cockpit!$C$5,1)="A",H1725,IF(Parameter!$E$30="MAX-Bestand",IF(CH1725=1,CI1725,IF(LEFT(Cockpit!$C$5,1)="B",AL1725,MAX(AL1725,H1725))),ROUNDUP(AJ1725,0)))</f>
        <v>39</v>
      </c>
      <c r="AG1725" s="50" t="n">
        <f aca="false">IF(BZ1725=1,0,ROUNDUP(AF1725/BY1725,0))</f>
        <v>1</v>
      </c>
      <c r="AH1725" s="52" t="n">
        <f aca="false">IF(CQ1725&gt;0,CQ1725*MAX(1,AF1725/X1725),IF(BZ1725=1,IF(AF1725&lt;=0,0,CD1725*MAX(1,IF(H1725&gt;0,AF1725/H1725,1))),IF(R1725&gt;0,AG1725/R1725,0))/MAX(0.1,N(Parameter!$M$21)))</f>
        <v>0.00714285714285714</v>
      </c>
      <c r="AI1725" s="50" t="n">
        <f aca="false">AH1725*CB1725</f>
        <v>1.10714285714286</v>
      </c>
      <c r="AJ1725" s="51" t="n">
        <f aca="false">IF(LEFT(Cockpit!$C$5,1)="A",H1725,IF(CH1725=1,(CK1725+CI1725)/2,IF(LEFT(Cockpit!$C$5,1)="B",(CK1725+AL1725)/2,MAX((CK1725+AL1725)/2,H1725))))</f>
        <v>39</v>
      </c>
      <c r="AK1725" s="50" t="n">
        <f aca="false">AJ1725*G1725</f>
        <v>716.43</v>
      </c>
      <c r="AL1725" s="50" t="n">
        <f aca="false">ROUNDUP(CK1725+MAX(CL1725,2*(J1725/IF(CG1725&gt;0,CG1725,MAX(0.1,N(Cockpit!$C$6)))-CK1725)),0)</f>
        <v>22</v>
      </c>
      <c r="AM1725" s="51" t="n">
        <f aca="false">IF(AI1725&gt;0,J1725/AI1725,-1)</f>
        <v>0</v>
      </c>
      <c r="AN1725" s="51" t="n">
        <f aca="false">IF(AND(OR(CF1725="L1",CF1725="L23",CF1725="LIFT"),AI1725&gt;0),SUMIFS($AI$7:$AI$1843,$CF$7:$CF$1843,CF1725,$AM$7:$AM$1843,"&gt;"&amp;AM1725)+SUMIFS($AI$7:$AI$1843,$CF$7:$CF$1843,CF1725,$AM$7:$AM$1843,AM1725,$BW$7:$BW$1843,"&lt;="&amp;BW1725),"")</f>
        <v>32843.1539030649</v>
      </c>
      <c r="AO1725" s="58" t="n">
        <f aca="false">IF(AN1725="",0,MAX(0,MIN(1,(IF(CF1725="L1",Parameter!$H$5,IF(CF1725="L23",Parameter!$H$6+Parameter!$H$7,Parameter!$H$5+Parameter!$H$6+Parameter!$H$7))-(AN1725-AI1725))/AI1725)))</f>
        <v>1</v>
      </c>
      <c r="AP1725" s="50" t="n">
        <f aca="false">IF(LEFT(Cockpit!$I$5,1)="A",H1725,IF(Parameter!$E$30="MAX-Bestand",IF(CH1725=1,CI1725,IF(LEFT(Cockpit!$I$5,1)="B",AV1725,MAX(AV1725,H1725))),ROUNDUP(AT1725,0)))</f>
        <v>39</v>
      </c>
      <c r="AQ1725" s="50" t="n">
        <f aca="false">IF(BZ1725=1,0,ROUNDUP(AP1725/BY1725,0))</f>
        <v>1</v>
      </c>
      <c r="AR1725" s="52" t="n">
        <f aca="false">IF(CQ1725&gt;0,CQ1725*MAX(1,AP1725/X1725),IF(BZ1725=1,IF(AP1725&lt;=0,0,CD1725*MAX(1,IF(H1725&gt;0,AP1725/H1725,1))),IF(R1725&gt;0,AQ1725/R1725,0))/MAX(0.1,N(Parameter!$M$21)))</f>
        <v>0.00714285714285714</v>
      </c>
      <c r="AS1725" s="50" t="n">
        <f aca="false">AR1725*CB1725</f>
        <v>1.10714285714286</v>
      </c>
      <c r="AT1725" s="51" t="n">
        <f aca="false">IF(LEFT(Cockpit!$I$5,1)="A",H1725,IF(CH1725=1,(CK1725+CI1725)/2,IF(LEFT(Cockpit!$I$5,1)="B",(CK1725+AV1725)/2,MAX((CK1725+AV1725)/2,H1725))))</f>
        <v>39</v>
      </c>
      <c r="AU1725" s="50" t="n">
        <f aca="false">AT1725*G1725</f>
        <v>716.43</v>
      </c>
      <c r="AV1725" s="50" t="n">
        <f aca="false">ROUNDUP(CK1725+MAX(CL1725,2*(J1725/IF(CG1725&gt;0,CG1725,MAX(0.1,N(Cockpit!$I$6)))-CK1725)),0)</f>
        <v>22</v>
      </c>
      <c r="AW1725" s="51" t="n">
        <f aca="false">IF(AS1725&gt;0,J1725/AS1725,-1)</f>
        <v>0</v>
      </c>
      <c r="AX1725" s="51" t="n">
        <f aca="false">IF(AND(OR(CF1725="L1",CF1725="L23",CF1725="LIFT"),AS1725&gt;0),SUMIFS($AS$7:$AS$1843,$CF$7:$CF$1843,CF1725,$AW$7:$AW$1843,"&gt;"&amp;AW1725)+SUMIFS($AS$7:$AS$1843,$CF$7:$CF$1843,CF1725,$AW$7:$AW$1843,AW1725,$BW$7:$BW$1843,"&lt;="&amp;BW1725),"")</f>
        <v>39317.0628479336</v>
      </c>
      <c r="AY1725" s="58" t="n">
        <f aca="false">IF(AX1725="",0,MAX(0,MIN(1,(IF(CF1725="L1",Parameter!$H$5,IF(CF1725="L23",Parameter!$H$6+Parameter!$H$7,Parameter!$H$5+Parameter!$H$6+Parameter!$H$7))-(AX1725-AS1725))/AS1725)))</f>
        <v>0</v>
      </c>
      <c r="AZ1725" s="50" t="n">
        <f aca="false">IF(LEFT(Cockpit!$O$5,1)="A",H1725,IF(Parameter!$E$30="MAX-Bestand",IF(CH1725=1,CI1725,IF(LEFT(Cockpit!$O$5,1)="B",BF1725,MAX(BF1725,H1725))),ROUNDUP(BD1725,0)))</f>
        <v>12</v>
      </c>
      <c r="BA1725" s="50" t="n">
        <f aca="false">IF(BZ1725=1,0,ROUNDUP(AZ1725/BY1725,0))</f>
        <v>1</v>
      </c>
      <c r="BB1725" s="52" t="n">
        <f aca="false">IF(CQ1725&gt;0,CQ1725*MAX(1,AZ1725/X1725),IF(BZ1725=1,IF(AZ1725&lt;=0,0,CD1725*MAX(1,IF(H1725&gt;0,AZ1725/H1725,1))),IF(R1725&gt;0,BA1725/R1725,0))/MAX(0.1,N(Parameter!$M$21)))</f>
        <v>0.00714285714285714</v>
      </c>
      <c r="BC1725" s="50" t="n">
        <f aca="false">BB1725*CB1725</f>
        <v>1.10714285714286</v>
      </c>
      <c r="BD1725" s="51" t="n">
        <f aca="false">IF(LEFT(Cockpit!$O$5,1)="A",H1725,IF(CH1725=1,(CK1725+CI1725)/2,IF(LEFT(Cockpit!$O$5,1)="B",(CK1725+BF1725)/2,MAX((CK1725+BF1725)/2,H1725))))</f>
        <v>12</v>
      </c>
      <c r="BE1725" s="50" t="n">
        <f aca="false">BD1725*G1725</f>
        <v>220.44</v>
      </c>
      <c r="BF1725" s="50" t="n">
        <f aca="false">ROUNDUP(CK1725+MAX(CL1725,2*(J1725/IF(CG1725&gt;0,CG1725,MAX(0.1,N(Cockpit!$O$6)))-CK1725)),0)</f>
        <v>22</v>
      </c>
      <c r="BG1725" s="51" t="n">
        <f aca="false">IF(BC1725&gt;0,J1725/BC1725,-1)</f>
        <v>0</v>
      </c>
      <c r="BH1725" s="51" t="n">
        <f aca="false">IF(AND(OR(CF1725="L1",CF1725="L23",CF1725="LIFT"),BC1725&gt;0),SUMIFS($BC$7:$BC$1843,$CF$7:$CF$1843,CF1725,$BG$7:$BG$1843,"&gt;"&amp;BG1725)+SUMIFS($BC$7:$BC$1843,$CF$7:$CF$1843,CF1725,$BG$7:$BG$1843,BG1725,$BW$7:$BW$1843,"&lt;="&amp;BW1725),"")</f>
        <v>32546.8553139422</v>
      </c>
      <c r="BI1725" s="58" t="n">
        <f aca="false">IF(BH1725="",0,MAX(0,MIN(1,(IF(CF1725="L1",Parameter!$H$5,IF(CF1725="L23",Parameter!$H$6+Parameter!$H$7,Parameter!$H$5+Parameter!$H$6+Parameter!$H$7))-(BH1725-BC1725))/BC1725)))</f>
        <v>1</v>
      </c>
      <c r="BJ1725" s="48" t="str">
        <f aca="false">IF(AI1725&lt;=0,"",IF(CF1725="Aussen","Aussenlager",IF(CF1725="-","Nicht im Lift",IF(AO1725&gt;=1,"Lift",IF(AO1725&lt;=0,"Aussenlager","teilweise")))))</f>
        <v>Lift</v>
      </c>
      <c r="BK1725" s="48" t="str">
        <f aca="false">IF(AS1725&lt;=0,"",IF(CF1725="Aussen","Aussenlager",IF(CF1725="-","Nicht im Lift",IF(AY1725&gt;=1,"Lift",IF(AY1725&lt;=0,"Aussenlager","teilweise")))))</f>
        <v>Aussenlager</v>
      </c>
      <c r="BL1725" s="48" t="str">
        <f aca="false">IF(BC1725&lt;=0,"",IF(CF1725="Aussen","Aussenlager",IF(CF1725="-","Nicht im Lift",IF(BI1725&gt;=1,"Lift",IF(BI1725&lt;=0,"Aussenlager","teilweise")))))</f>
        <v>Lift</v>
      </c>
      <c r="BM1725" s="48" t="str">
        <f aca="false">IF(A1725="","",IF(BV1725=1,"Neu; ","")&amp;IF(AND(BV1725=0,BQ1725&lt;0),"negativer Bestand (Export "&amp;BQ1725&amp;"); ","")&amp;IF(J1725&lt;=0,"Kein Verbrauch; ","")&amp;IF(CQ1725&gt;0,"Lift "&amp;W1725&amp;" lt. Liftbericht (Fach "&amp;X1725&amp;" Stk); ",IF(CA1725=1,"Gebinde geschätzt ("&amp;T1725&amp;"); ",IF(BZ1725=1,"Lose – Tablare geschätzt; ","")))&amp;IF(H1725&gt;AV1725,"Überbestand "&amp;ROUND(H1725-AV1725,0)&amp;" Stk / CHF "&amp;ROUND((H1725-AV1725)*G1725,0)&amp;"; ","")&amp;IF(AND(CH1725=1,CI1725&lt;CJ1725),"MAX &lt; MB+LG; ","")&amp;IF(AND(CP1725&gt;0,CO1725*10&gt;CP1725),"zu hoch für Tablar; ","")&amp;IF(AND(BV1725=0,OR(CH1725=1,AA1725&lt;&gt;"",U1725&lt;&gt;"",V1725&lt;&gt;"",AB1725&lt;&gt;"")),"manuell übersteuert; ","")&amp;IF(AND(BZ1725=0,R1725=0),"Gebinde unbekannt / Stellmass fehlt; ","")&amp;IF(AND(BZ1725=0,N(V1725)&lt;=0,N(Q1725)&lt;=0),"Menge pro Gebinde fehlt (Ist = 1 Gebinde); ","")&amp;BU1725)</f>
        <v>Kein Verbrauch; Überbestand 17 Stk / CHF 312; nur im Artikelstamm (Bestand 23.06.2026); Neuer Art.</v>
      </c>
      <c r="BN1725" s="48"/>
      <c r="BO1725" s="48"/>
      <c r="BP1725" s="55"/>
      <c r="BQ1725" s="50" t="n">
        <v>39</v>
      </c>
      <c r="BR1725" s="50" t="n">
        <v>0</v>
      </c>
      <c r="BS1725" s="49" t="n">
        <v>0</v>
      </c>
      <c r="BT1725" s="50" t="n">
        <v>0</v>
      </c>
      <c r="BU1725" s="48" t="s">
        <v>2882</v>
      </c>
      <c r="BV1725" s="53" t="n">
        <v>0</v>
      </c>
      <c r="BW1725" s="53" t="n">
        <v>1725</v>
      </c>
      <c r="BX1725" s="48" t="str">
        <f aca="false">IF(U1725&lt;&gt;"",UPPER(TRIM(U1725)),IF(CA1725=1,UPPER(VLOOKUP(T1725,Parameter!$I$27:$K$29,2,0)),IF(P1725="","LOSE",P1725)))</f>
        <v>S22</v>
      </c>
      <c r="BY1725" s="50" t="n">
        <f aca="false">IF(BX1725="LOSE",1,IF(N(V1725)&gt;0,V1725,IF(CA1725=1,MAX(1,N(VLOOKUP(T1725,Parameter!$I$27:$K$29,3,0)),H1725,N(N1725)),IF(N(Q1725)&gt;0,Q1725,MAX(1,H1725)))))</f>
        <v>40</v>
      </c>
      <c r="BZ1725" s="53" t="n">
        <f aca="false">IF(BX1725="LOSE",1,0)</f>
        <v>0</v>
      </c>
      <c r="CA1725" s="53" t="n">
        <f aca="false">IF(AND(U1725="",OR(P1725="",P1725="LOSE"),T1725&lt;&gt;"",N(S1725)&lt;=0,ISNUMBER(MATCH(T1725,Parameter!$I$27:$I$29,0))),1,0)</f>
        <v>0</v>
      </c>
      <c r="CB1725" s="53" t="n">
        <f aca="false">IF(CQ1725&gt;0,INDEX(Parameter!$H$5:$H$7,W1725)/INDEX(Parameter!$E$5:$E$7,W1725),IF(AND(BZ1725=0,N(IFERROR(VLOOKUP(BX1725,'Gebinde-Kategorie'!$A$5:$N$45,14,0),0))&gt;0),VLOOKUP(BX1725,'Gebinde-Kategorie'!$A$5:$N$45,14,0)*10+Parameter!$M$23,Parameter!$M$24))</f>
        <v>155</v>
      </c>
      <c r="CC1725" s="48" t="str">
        <f aca="false">IF(AND(Parameter!$B$19="Ja",E1725&lt;&gt;"",ISNUMBER(MATCH(E1725,Parameter!$I$35:$I$52,0))),VLOOKUP(E1725,Parameter!$I$35:$J$52,2,0),IFERROR(VLOOKUP(D1725,Parameter!$A$35:$C$64,2,0),"Nein"))</f>
        <v>2+3</v>
      </c>
      <c r="CD1725" s="52" t="n">
        <f aca="false">IF(BZ1725=0,0,IF(N(S1725)&gt;0,S1725,IFERROR(VLOOKUP(D1725,Parameter!$A$35:$C$64,3,0)+0,0)))</f>
        <v>0</v>
      </c>
      <c r="CE1725" s="48" t="n">
        <f aca="false">IF(AA1725&lt;&gt;"",AA1725,Z1725)</f>
        <v>3</v>
      </c>
      <c r="CF1725" s="48" t="str">
        <f aca="false">IF(OR(CE1725=1,CE1725=2,CE1725=3),IF(Parameter!$E$27="Ja","LIFT",IF(CE1725=1,"L1","L23")),IF(CE1725="Aussen","Aussen","-"))</f>
        <v>LIFT</v>
      </c>
      <c r="CG1725" s="59" t="n">
        <f aca="false">IF(N(AB1725)&gt;0,AB1725,0)</f>
        <v>0</v>
      </c>
      <c r="CH1725" s="53" t="n">
        <f aca="false">IF(ISNUMBER(AE1725),1,0)</f>
        <v>0</v>
      </c>
      <c r="CI1725" s="50" t="n">
        <f aca="false">N(AE1725)</f>
        <v>0</v>
      </c>
      <c r="CJ1725" s="50" t="n">
        <f aca="false">N(M1725)+N(N1725)</f>
        <v>22</v>
      </c>
      <c r="CK1725" s="50" t="n">
        <f aca="false">N(M1725)</f>
        <v>2</v>
      </c>
      <c r="CL1725" s="50" t="n">
        <f aca="false">N(N1725)</f>
        <v>20</v>
      </c>
      <c r="CM1725" s="50" t="n">
        <f aca="false">ROUNDUP(H1725/BY1725,0)</f>
        <v>1</v>
      </c>
      <c r="CN1725" s="50" t="n">
        <f aca="false">ROUNDUP(CI1725/BY1725,0)</f>
        <v>0</v>
      </c>
      <c r="CO1725" s="53" t="n">
        <f aca="false">IF(BZ1725=1,0,IFERROR(VLOOKUP(BX1725,'Gebinde-Kategorie'!$A$5:$N$45,5,0)+0,0))</f>
        <v>8</v>
      </c>
      <c r="CP1725" s="53" t="n">
        <f aca="false">IFERROR(IF(OR(CE1725=1,CE1725=2,CE1725=3),N(INDEX(Parameter!$I$5:$I$7,CE1725)),0),0)</f>
        <v>0</v>
      </c>
      <c r="CQ1725" s="52" t="n">
        <f aca="false">IF(AND(Parameter!$B$21="Ja",ISNUMBER(W1725),N(X1725)&gt;0),IFERROR(N(INDEX(Parameter!$L$5:$L$7,W1725))*INDEX(Parameter!$E$5:$E$7,W1725)*X1725/SUMIFS($X$7:$X$1843,$W$7:$W$1843,W1725),0),0)</f>
        <v>0</v>
      </c>
    </row>
    <row r="1726" customFormat="false" ht="15" hidden="false" customHeight="false" outlineLevel="0" collapsed="false">
      <c r="A1726" s="48" t="s">
        <v>2996</v>
      </c>
      <c r="B1726" s="48" t="s">
        <v>376</v>
      </c>
      <c r="C1726" s="48" t="s">
        <v>173</v>
      </c>
      <c r="D1726" s="48" t="s">
        <v>193</v>
      </c>
      <c r="E1726" s="48"/>
      <c r="F1726" s="48"/>
      <c r="G1726" s="49" t="n">
        <v>6.75</v>
      </c>
      <c r="H1726" s="50" t="n">
        <f aca="false">MAX(0,IF(AND(Parameter!$B$21="Ja",ISNUMBER(Y1726)),Y1726,IF(Parameter!$B$20="Jahresanfang 2025 + Export",BR1726+BQ1726,BQ1726)))</f>
        <v>24</v>
      </c>
      <c r="I1726" s="50" t="n">
        <f aca="false">H1726*G1726</f>
        <v>162</v>
      </c>
      <c r="J1726" s="50" t="n">
        <f aca="false">BT1726*Parameter!$B$18</f>
        <v>0</v>
      </c>
      <c r="K1726" s="51"/>
      <c r="L1726" s="52"/>
      <c r="M1726" s="50" t="n">
        <v>0</v>
      </c>
      <c r="N1726" s="50" t="n">
        <v>15</v>
      </c>
      <c r="O1726" s="53" t="n">
        <v>14</v>
      </c>
      <c r="P1726" s="48" t="s">
        <v>410</v>
      </c>
      <c r="Q1726" s="50" t="n">
        <v>25</v>
      </c>
      <c r="R1726" s="53" t="n">
        <f aca="false">IF(BZ1726=1,0,IFERROR(VLOOKUP(BX1726,'Gebinde-Kategorie'!$A$5:$N$45,13,0)+0,0))</f>
        <v>280</v>
      </c>
      <c r="S1726" s="54"/>
      <c r="T1726" s="55"/>
      <c r="U1726" s="55"/>
      <c r="V1726" s="55"/>
      <c r="W1726" s="48"/>
      <c r="X1726" s="50"/>
      <c r="Y1726" s="50"/>
      <c r="Z1726" s="48" t="n">
        <f aca="false">IF(A1726="","",IF(AND(Parameter!$B$21="Ja",ISNUMBER(W1726)),W1726,IF(CC1726="2+3",IF(ISNUMBER(SEARCH("grosser Artikel",BU1726)),2,IFERROR(VLOOKUP(BX1726,Parameter!$F$35:$G$64,2,0),2)),IF(OR(CC1726="Nein",CC1726=""),"-",CC1726))))</f>
        <v>3</v>
      </c>
      <c r="AA1726" s="55"/>
      <c r="AB1726" s="56"/>
      <c r="AC1726" s="50" t="n">
        <f aca="false">AV1726</f>
        <v>15</v>
      </c>
      <c r="AD1726" s="50" t="n">
        <f aca="false">MAX(AV1726,H1726)</f>
        <v>24</v>
      </c>
      <c r="AE1726" s="57"/>
      <c r="AF1726" s="50" t="n">
        <f aca="false">IF(LEFT(Cockpit!$C$5,1)="A",H1726,IF(Parameter!$E$30="MAX-Bestand",IF(CH1726=1,CI1726,IF(LEFT(Cockpit!$C$5,1)="B",AL1726,MAX(AL1726,H1726))),ROUNDUP(AJ1726,0)))</f>
        <v>24</v>
      </c>
      <c r="AG1726" s="50" t="n">
        <f aca="false">IF(BZ1726=1,0,ROUNDUP(AF1726/BY1726,0))</f>
        <v>1</v>
      </c>
      <c r="AH1726" s="52" t="n">
        <f aca="false">IF(CQ1726&gt;0,CQ1726*MAX(1,AF1726/X1726),IF(BZ1726=1,IF(AF1726&lt;=0,0,CD1726*MAX(1,IF(H1726&gt;0,AF1726/H1726,1))),IF(R1726&gt;0,AG1726/R1726,0))/MAX(0.1,N(Parameter!$M$21)))</f>
        <v>0.00357142857142857</v>
      </c>
      <c r="AI1726" s="50" t="n">
        <f aca="false">AH1726*CB1726</f>
        <v>0.553571428571429</v>
      </c>
      <c r="AJ1726" s="51" t="n">
        <f aca="false">IF(LEFT(Cockpit!$C$5,1)="A",H1726,IF(CH1726=1,(CK1726+CI1726)/2,IF(LEFT(Cockpit!$C$5,1)="B",(CK1726+AL1726)/2,MAX((CK1726+AL1726)/2,H1726))))</f>
        <v>24</v>
      </c>
      <c r="AK1726" s="50" t="n">
        <f aca="false">AJ1726*G1726</f>
        <v>162</v>
      </c>
      <c r="AL1726" s="50" t="n">
        <f aca="false">ROUNDUP(CK1726+MAX(CL1726,2*(J1726/IF(CG1726&gt;0,CG1726,MAX(0.1,N(Cockpit!$C$6)))-CK1726)),0)</f>
        <v>15</v>
      </c>
      <c r="AM1726" s="51" t="n">
        <f aca="false">IF(AI1726&gt;0,J1726/AI1726,-1)</f>
        <v>0</v>
      </c>
      <c r="AN1726" s="51" t="n">
        <f aca="false">IF(AND(OR(CF1726="L1",CF1726="L23",CF1726="LIFT"),AI1726&gt;0),SUMIFS($AI$7:$AI$1843,$CF$7:$CF$1843,CF1726,$AM$7:$AM$1843,"&gt;"&amp;AM1726)+SUMIFS($AI$7:$AI$1843,$CF$7:$CF$1843,CF1726,$AM$7:$AM$1843,AM1726,$BW$7:$BW$1843,"&lt;="&amp;BW1726),"")</f>
        <v>32843.7074744935</v>
      </c>
      <c r="AO1726" s="58" t="n">
        <f aca="false">IF(AN1726="",0,MAX(0,MIN(1,(IF(CF1726="L1",Parameter!$H$5,IF(CF1726="L23",Parameter!$H$6+Parameter!$H$7,Parameter!$H$5+Parameter!$H$6+Parameter!$H$7))-(AN1726-AI1726))/AI1726)))</f>
        <v>1</v>
      </c>
      <c r="AP1726" s="50" t="n">
        <f aca="false">IF(LEFT(Cockpit!$I$5,1)="A",H1726,IF(Parameter!$E$30="MAX-Bestand",IF(CH1726=1,CI1726,IF(LEFT(Cockpit!$I$5,1)="B",AV1726,MAX(AV1726,H1726))),ROUNDUP(AT1726,0)))</f>
        <v>24</v>
      </c>
      <c r="AQ1726" s="50" t="n">
        <f aca="false">IF(BZ1726=1,0,ROUNDUP(AP1726/BY1726,0))</f>
        <v>1</v>
      </c>
      <c r="AR1726" s="52" t="n">
        <f aca="false">IF(CQ1726&gt;0,CQ1726*MAX(1,AP1726/X1726),IF(BZ1726=1,IF(AP1726&lt;=0,0,CD1726*MAX(1,IF(H1726&gt;0,AP1726/H1726,1))),IF(R1726&gt;0,AQ1726/R1726,0))/MAX(0.1,N(Parameter!$M$21)))</f>
        <v>0.00357142857142857</v>
      </c>
      <c r="AS1726" s="50" t="n">
        <f aca="false">AR1726*CB1726</f>
        <v>0.553571428571429</v>
      </c>
      <c r="AT1726" s="51" t="n">
        <f aca="false">IF(LEFT(Cockpit!$I$5,1)="A",H1726,IF(CH1726=1,(CK1726+CI1726)/2,IF(LEFT(Cockpit!$I$5,1)="B",(CK1726+AV1726)/2,MAX((CK1726+AV1726)/2,H1726))))</f>
        <v>24</v>
      </c>
      <c r="AU1726" s="50" t="n">
        <f aca="false">AT1726*G1726</f>
        <v>162</v>
      </c>
      <c r="AV1726" s="50" t="n">
        <f aca="false">ROUNDUP(CK1726+MAX(CL1726,2*(J1726/IF(CG1726&gt;0,CG1726,MAX(0.1,N(Cockpit!$I$6)))-CK1726)),0)</f>
        <v>15</v>
      </c>
      <c r="AW1726" s="51" t="n">
        <f aca="false">IF(AS1726&gt;0,J1726/AS1726,-1)</f>
        <v>0</v>
      </c>
      <c r="AX1726" s="51" t="n">
        <f aca="false">IF(AND(OR(CF1726="L1",CF1726="L23",CF1726="LIFT"),AS1726&gt;0),SUMIFS($AS$7:$AS$1843,$CF$7:$CF$1843,CF1726,$AW$7:$AW$1843,"&gt;"&amp;AW1726)+SUMIFS($AS$7:$AS$1843,$CF$7:$CF$1843,CF1726,$AW$7:$AW$1843,AW1726,$BW$7:$BW$1843,"&lt;="&amp;BW1726),"")</f>
        <v>39317.6164193622</v>
      </c>
      <c r="AY1726" s="58" t="n">
        <f aca="false">IF(AX1726="",0,MAX(0,MIN(1,(IF(CF1726="L1",Parameter!$H$5,IF(CF1726="L23",Parameter!$H$6+Parameter!$H$7,Parameter!$H$5+Parameter!$H$6+Parameter!$H$7))-(AX1726-AS1726))/AS1726)))</f>
        <v>0</v>
      </c>
      <c r="AZ1726" s="50" t="n">
        <f aca="false">IF(LEFT(Cockpit!$O$5,1)="A",H1726,IF(Parameter!$E$30="MAX-Bestand",IF(CH1726=1,CI1726,IF(LEFT(Cockpit!$O$5,1)="B",BF1726,MAX(BF1726,H1726))),ROUNDUP(BD1726,0)))</f>
        <v>8</v>
      </c>
      <c r="BA1726" s="50" t="n">
        <f aca="false">IF(BZ1726=1,0,ROUNDUP(AZ1726/BY1726,0))</f>
        <v>1</v>
      </c>
      <c r="BB1726" s="52" t="n">
        <f aca="false">IF(CQ1726&gt;0,CQ1726*MAX(1,AZ1726/X1726),IF(BZ1726=1,IF(AZ1726&lt;=0,0,CD1726*MAX(1,IF(H1726&gt;0,AZ1726/H1726,1))),IF(R1726&gt;0,BA1726/R1726,0))/MAX(0.1,N(Parameter!$M$21)))</f>
        <v>0.00357142857142857</v>
      </c>
      <c r="BC1726" s="50" t="n">
        <f aca="false">BB1726*CB1726</f>
        <v>0.553571428571429</v>
      </c>
      <c r="BD1726" s="51" t="n">
        <f aca="false">IF(LEFT(Cockpit!$O$5,1)="A",H1726,IF(CH1726=1,(CK1726+CI1726)/2,IF(LEFT(Cockpit!$O$5,1)="B",(CK1726+BF1726)/2,MAX((CK1726+BF1726)/2,H1726))))</f>
        <v>7.5</v>
      </c>
      <c r="BE1726" s="50" t="n">
        <f aca="false">BD1726*G1726</f>
        <v>50.625</v>
      </c>
      <c r="BF1726" s="50" t="n">
        <f aca="false">ROUNDUP(CK1726+MAX(CL1726,2*(J1726/IF(CG1726&gt;0,CG1726,MAX(0.1,N(Cockpit!$O$6)))-CK1726)),0)</f>
        <v>15</v>
      </c>
      <c r="BG1726" s="51" t="n">
        <f aca="false">IF(BC1726&gt;0,J1726/BC1726,-1)</f>
        <v>0</v>
      </c>
      <c r="BH1726" s="51" t="n">
        <f aca="false">IF(AND(OR(CF1726="L1",CF1726="L23",CF1726="LIFT"),BC1726&gt;0),SUMIFS($BC$7:$BC$1843,$CF$7:$CF$1843,CF1726,$BG$7:$BG$1843,"&gt;"&amp;BG1726)+SUMIFS($BC$7:$BC$1843,$CF$7:$CF$1843,CF1726,$BG$7:$BG$1843,BG1726,$BW$7:$BW$1843,"&lt;="&amp;BW1726),"")</f>
        <v>32547.4088853708</v>
      </c>
      <c r="BI1726" s="58" t="n">
        <f aca="false">IF(BH1726="",0,MAX(0,MIN(1,(IF(CF1726="L1",Parameter!$H$5,IF(CF1726="L23",Parameter!$H$6+Parameter!$H$7,Parameter!$H$5+Parameter!$H$6+Parameter!$H$7))-(BH1726-BC1726))/BC1726)))</f>
        <v>1</v>
      </c>
      <c r="BJ1726" s="48" t="str">
        <f aca="false">IF(AI1726&lt;=0,"",IF(CF1726="Aussen","Aussenlager",IF(CF1726="-","Nicht im Lift",IF(AO1726&gt;=1,"Lift",IF(AO1726&lt;=0,"Aussenlager","teilweise")))))</f>
        <v>Lift</v>
      </c>
      <c r="BK1726" s="48" t="str">
        <f aca="false">IF(AS1726&lt;=0,"",IF(CF1726="Aussen","Aussenlager",IF(CF1726="-","Nicht im Lift",IF(AY1726&gt;=1,"Lift",IF(AY1726&lt;=0,"Aussenlager","teilweise")))))</f>
        <v>Aussenlager</v>
      </c>
      <c r="BL1726" s="48" t="str">
        <f aca="false">IF(BC1726&lt;=0,"",IF(CF1726="Aussen","Aussenlager",IF(CF1726="-","Nicht im Lift",IF(BI1726&gt;=1,"Lift",IF(BI1726&lt;=0,"Aussenlager","teilweise")))))</f>
        <v>Lift</v>
      </c>
      <c r="BM1726" s="48" t="str">
        <f aca="false">IF(A1726="","",IF(BV1726=1,"Neu; ","")&amp;IF(AND(BV1726=0,BQ1726&lt;0),"negativer Bestand (Export "&amp;BQ1726&amp;"); ","")&amp;IF(J1726&lt;=0,"Kein Verbrauch; ","")&amp;IF(CQ1726&gt;0,"Lift "&amp;W1726&amp;" lt. Liftbericht (Fach "&amp;X1726&amp;" Stk); ",IF(CA1726=1,"Gebinde geschätzt ("&amp;T1726&amp;"); ",IF(BZ1726=1,"Lose – Tablare geschätzt; ","")))&amp;IF(H1726&gt;AV1726,"Überbestand "&amp;ROUND(H1726-AV1726,0)&amp;" Stk / CHF "&amp;ROUND((H1726-AV1726)*G1726,0)&amp;"; ","")&amp;IF(AND(CH1726=1,CI1726&lt;CJ1726),"MAX &lt; MB+LG; ","")&amp;IF(AND(CP1726&gt;0,CO1726*10&gt;CP1726),"zu hoch für Tablar; ","")&amp;IF(AND(BV1726=0,OR(CH1726=1,AA1726&lt;&gt;"",U1726&lt;&gt;"",V1726&lt;&gt;"",AB1726&lt;&gt;"")),"manuell übersteuert; ","")&amp;IF(AND(BZ1726=0,R1726=0),"Gebinde unbekannt / Stellmass fehlt; ","")&amp;IF(AND(BZ1726=0,N(V1726)&lt;=0,N(Q1726)&lt;=0),"Menge pro Gebinde fehlt (Ist = 1 Gebinde); ","")&amp;BU1726)</f>
        <v>Kein Verbrauch; Überbestand 9 Stk / CHF 61; nur im Artikelstamm (Bestand 23.06.2026)</v>
      </c>
      <c r="BN1726" s="48"/>
      <c r="BO1726" s="48"/>
      <c r="BP1726" s="55"/>
      <c r="BQ1726" s="50" t="n">
        <v>24</v>
      </c>
      <c r="BR1726" s="50" t="n">
        <v>0</v>
      </c>
      <c r="BS1726" s="49" t="n">
        <v>0</v>
      </c>
      <c r="BT1726" s="50" t="n">
        <v>0</v>
      </c>
      <c r="BU1726" s="48" t="s">
        <v>2584</v>
      </c>
      <c r="BV1726" s="53" t="n">
        <v>0</v>
      </c>
      <c r="BW1726" s="53" t="n">
        <v>1726</v>
      </c>
      <c r="BX1726" s="48" t="str">
        <f aca="false">IF(U1726&lt;&gt;"",UPPER(TRIM(U1726)),IF(CA1726=1,UPPER(VLOOKUP(T1726,Parameter!$I$27:$K$29,2,0)),IF(P1726="","LOSE",P1726)))</f>
        <v>S21</v>
      </c>
      <c r="BY1726" s="50" t="n">
        <f aca="false">IF(BX1726="LOSE",1,IF(N(V1726)&gt;0,V1726,IF(CA1726=1,MAX(1,N(VLOOKUP(T1726,Parameter!$I$27:$K$29,3,0)),H1726,N(N1726)),IF(N(Q1726)&gt;0,Q1726,MAX(1,H1726)))))</f>
        <v>25</v>
      </c>
      <c r="BZ1726" s="53" t="n">
        <f aca="false">IF(BX1726="LOSE",1,0)</f>
        <v>0</v>
      </c>
      <c r="CA1726" s="53" t="n">
        <f aca="false">IF(AND(U1726="",OR(P1726="",P1726="LOSE"),T1726&lt;&gt;"",N(S1726)&lt;=0,ISNUMBER(MATCH(T1726,Parameter!$I$27:$I$29,0))),1,0)</f>
        <v>0</v>
      </c>
      <c r="CB1726" s="53" t="n">
        <f aca="false">IF(CQ1726&gt;0,INDEX(Parameter!$H$5:$H$7,W1726)/INDEX(Parameter!$E$5:$E$7,W1726),IF(AND(BZ1726=0,N(IFERROR(VLOOKUP(BX1726,'Gebinde-Kategorie'!$A$5:$N$45,14,0),0))&gt;0),VLOOKUP(BX1726,'Gebinde-Kategorie'!$A$5:$N$45,14,0)*10+Parameter!$M$23,Parameter!$M$24))</f>
        <v>155</v>
      </c>
      <c r="CC1726" s="48" t="str">
        <f aca="false">IF(AND(Parameter!$B$19="Ja",E1726&lt;&gt;"",ISNUMBER(MATCH(E1726,Parameter!$I$35:$I$52,0))),VLOOKUP(E1726,Parameter!$I$35:$J$52,2,0),IFERROR(VLOOKUP(D1726,Parameter!$A$35:$C$64,2,0),"Nein"))</f>
        <v>2+3</v>
      </c>
      <c r="CD1726" s="52" t="n">
        <f aca="false">IF(BZ1726=0,0,IF(N(S1726)&gt;0,S1726,IFERROR(VLOOKUP(D1726,Parameter!$A$35:$C$64,3,0)+0,0)))</f>
        <v>0</v>
      </c>
      <c r="CE1726" s="48" t="n">
        <f aca="false">IF(AA1726&lt;&gt;"",AA1726,Z1726)</f>
        <v>3</v>
      </c>
      <c r="CF1726" s="48" t="str">
        <f aca="false">IF(OR(CE1726=1,CE1726=2,CE1726=3),IF(Parameter!$E$27="Ja","LIFT",IF(CE1726=1,"L1","L23")),IF(CE1726="Aussen","Aussen","-"))</f>
        <v>LIFT</v>
      </c>
      <c r="CG1726" s="59" t="n">
        <f aca="false">IF(N(AB1726)&gt;0,AB1726,0)</f>
        <v>0</v>
      </c>
      <c r="CH1726" s="53" t="n">
        <f aca="false">IF(ISNUMBER(AE1726),1,0)</f>
        <v>0</v>
      </c>
      <c r="CI1726" s="50" t="n">
        <f aca="false">N(AE1726)</f>
        <v>0</v>
      </c>
      <c r="CJ1726" s="50" t="n">
        <f aca="false">N(M1726)+N(N1726)</f>
        <v>15</v>
      </c>
      <c r="CK1726" s="50" t="n">
        <f aca="false">N(M1726)</f>
        <v>0</v>
      </c>
      <c r="CL1726" s="50" t="n">
        <f aca="false">N(N1726)</f>
        <v>15</v>
      </c>
      <c r="CM1726" s="50" t="n">
        <f aca="false">ROUNDUP(H1726/BY1726,0)</f>
        <v>1</v>
      </c>
      <c r="CN1726" s="50" t="n">
        <f aca="false">ROUNDUP(CI1726/BY1726,0)</f>
        <v>0</v>
      </c>
      <c r="CO1726" s="53" t="n">
        <f aca="false">IF(BZ1726=1,0,IFERROR(VLOOKUP(BX1726,'Gebinde-Kategorie'!$A$5:$N$45,5,0)+0,0))</f>
        <v>8</v>
      </c>
      <c r="CP1726" s="53" t="n">
        <f aca="false">IFERROR(IF(OR(CE1726=1,CE1726=2,CE1726=3),N(INDEX(Parameter!$I$5:$I$7,CE1726)),0),0)</f>
        <v>0</v>
      </c>
      <c r="CQ1726" s="52" t="n">
        <f aca="false">IF(AND(Parameter!$B$21="Ja",ISNUMBER(W1726),N(X1726)&gt;0),IFERROR(N(INDEX(Parameter!$L$5:$L$7,W1726))*INDEX(Parameter!$E$5:$E$7,W1726)*X1726/SUMIFS($X$7:$X$1843,$W$7:$W$1843,W1726),0),0)</f>
        <v>0</v>
      </c>
    </row>
    <row r="1727" customFormat="false" ht="15" hidden="false" customHeight="false" outlineLevel="0" collapsed="false">
      <c r="A1727" s="48" t="s">
        <v>2997</v>
      </c>
      <c r="B1727" s="48" t="s">
        <v>376</v>
      </c>
      <c r="C1727" s="48" t="s">
        <v>173</v>
      </c>
      <c r="D1727" s="48" t="s">
        <v>193</v>
      </c>
      <c r="E1727" s="48"/>
      <c r="F1727" s="48"/>
      <c r="G1727" s="49" t="n">
        <v>8.37</v>
      </c>
      <c r="H1727" s="50" t="n">
        <f aca="false">MAX(0,IF(AND(Parameter!$B$21="Ja",ISNUMBER(Y1727)),Y1727,IF(Parameter!$B$20="Jahresanfang 2025 + Export",BR1727+BQ1727,BQ1727)))</f>
        <v>13</v>
      </c>
      <c r="I1727" s="50" t="n">
        <f aca="false">H1727*G1727</f>
        <v>108.81</v>
      </c>
      <c r="J1727" s="50" t="n">
        <f aca="false">BT1727*Parameter!$B$18</f>
        <v>0</v>
      </c>
      <c r="K1727" s="51"/>
      <c r="L1727" s="52"/>
      <c r="M1727" s="50" t="n">
        <v>0</v>
      </c>
      <c r="N1727" s="50" t="n">
        <v>15</v>
      </c>
      <c r="O1727" s="53" t="n">
        <v>14</v>
      </c>
      <c r="P1727" s="48" t="s">
        <v>435</v>
      </c>
      <c r="Q1727" s="50" t="n">
        <v>20</v>
      </c>
      <c r="R1727" s="53" t="n">
        <f aca="false">IF(BZ1727=1,0,IFERROR(VLOOKUP(BX1727,'Gebinde-Kategorie'!$A$5:$N$45,13,0)+0,0))</f>
        <v>140</v>
      </c>
      <c r="S1727" s="54"/>
      <c r="T1727" s="55"/>
      <c r="U1727" s="55"/>
      <c r="V1727" s="55"/>
      <c r="W1727" s="48"/>
      <c r="X1727" s="50"/>
      <c r="Y1727" s="50"/>
      <c r="Z1727" s="48" t="n">
        <f aca="false">IF(A1727="","",IF(AND(Parameter!$B$21="Ja",ISNUMBER(W1727)),W1727,IF(CC1727="2+3",IF(ISNUMBER(SEARCH("grosser Artikel",BU1727)),2,IFERROR(VLOOKUP(BX1727,Parameter!$F$35:$G$64,2,0),2)),IF(OR(CC1727="Nein",CC1727=""),"-",CC1727))))</f>
        <v>3</v>
      </c>
      <c r="AA1727" s="55"/>
      <c r="AB1727" s="56"/>
      <c r="AC1727" s="50" t="n">
        <f aca="false">AV1727</f>
        <v>15</v>
      </c>
      <c r="AD1727" s="50" t="n">
        <f aca="false">MAX(AV1727,H1727)</f>
        <v>15</v>
      </c>
      <c r="AE1727" s="57"/>
      <c r="AF1727" s="50" t="n">
        <f aca="false">IF(LEFT(Cockpit!$C$5,1)="A",H1727,IF(Parameter!$E$30="MAX-Bestand",IF(CH1727=1,CI1727,IF(LEFT(Cockpit!$C$5,1)="B",AL1727,MAX(AL1727,H1727))),ROUNDUP(AJ1727,0)))</f>
        <v>13</v>
      </c>
      <c r="AG1727" s="50" t="n">
        <f aca="false">IF(BZ1727=1,0,ROUNDUP(AF1727/BY1727,0))</f>
        <v>1</v>
      </c>
      <c r="AH1727" s="52" t="n">
        <f aca="false">IF(CQ1727&gt;0,CQ1727*MAX(1,AF1727/X1727),IF(BZ1727=1,IF(AF1727&lt;=0,0,CD1727*MAX(1,IF(H1727&gt;0,AF1727/H1727,1))),IF(R1727&gt;0,AG1727/R1727,0))/MAX(0.1,N(Parameter!$M$21)))</f>
        <v>0.00714285714285714</v>
      </c>
      <c r="AI1727" s="50" t="n">
        <f aca="false">AH1727*CB1727</f>
        <v>1.10714285714286</v>
      </c>
      <c r="AJ1727" s="51" t="n">
        <f aca="false">IF(LEFT(Cockpit!$C$5,1)="A",H1727,IF(CH1727=1,(CK1727+CI1727)/2,IF(LEFT(Cockpit!$C$5,1)="B",(CK1727+AL1727)/2,MAX((CK1727+AL1727)/2,H1727))))</f>
        <v>13</v>
      </c>
      <c r="AK1727" s="50" t="n">
        <f aca="false">AJ1727*G1727</f>
        <v>108.81</v>
      </c>
      <c r="AL1727" s="50" t="n">
        <f aca="false">ROUNDUP(CK1727+MAX(CL1727,2*(J1727/IF(CG1727&gt;0,CG1727,MAX(0.1,N(Cockpit!$C$6)))-CK1727)),0)</f>
        <v>15</v>
      </c>
      <c r="AM1727" s="51" t="n">
        <f aca="false">IF(AI1727&gt;0,J1727/AI1727,-1)</f>
        <v>0</v>
      </c>
      <c r="AN1727" s="51" t="n">
        <f aca="false">IF(AND(OR(CF1727="L1",CF1727="L23",CF1727="LIFT"),AI1727&gt;0),SUMIFS($AI$7:$AI$1843,$CF$7:$CF$1843,CF1727,$AM$7:$AM$1843,"&gt;"&amp;AM1727)+SUMIFS($AI$7:$AI$1843,$CF$7:$CF$1843,CF1727,$AM$7:$AM$1843,AM1727,$BW$7:$BW$1843,"&lt;="&amp;BW1727),"")</f>
        <v>32844.8146173506</v>
      </c>
      <c r="AO1727" s="58" t="n">
        <f aca="false">IF(AN1727="",0,MAX(0,MIN(1,(IF(CF1727="L1",Parameter!$H$5,IF(CF1727="L23",Parameter!$H$6+Parameter!$H$7,Parameter!$H$5+Parameter!$H$6+Parameter!$H$7))-(AN1727-AI1727))/AI1727)))</f>
        <v>1</v>
      </c>
      <c r="AP1727" s="50" t="n">
        <f aca="false">IF(LEFT(Cockpit!$I$5,1)="A",H1727,IF(Parameter!$E$30="MAX-Bestand",IF(CH1727=1,CI1727,IF(LEFT(Cockpit!$I$5,1)="B",AV1727,MAX(AV1727,H1727))),ROUNDUP(AT1727,0)))</f>
        <v>13</v>
      </c>
      <c r="AQ1727" s="50" t="n">
        <f aca="false">IF(BZ1727=1,0,ROUNDUP(AP1727/BY1727,0))</f>
        <v>1</v>
      </c>
      <c r="AR1727" s="52" t="n">
        <f aca="false">IF(CQ1727&gt;0,CQ1727*MAX(1,AP1727/X1727),IF(BZ1727=1,IF(AP1727&lt;=0,0,CD1727*MAX(1,IF(H1727&gt;0,AP1727/H1727,1))),IF(R1727&gt;0,AQ1727/R1727,0))/MAX(0.1,N(Parameter!$M$21)))</f>
        <v>0.00714285714285714</v>
      </c>
      <c r="AS1727" s="50" t="n">
        <f aca="false">AR1727*CB1727</f>
        <v>1.10714285714286</v>
      </c>
      <c r="AT1727" s="51" t="n">
        <f aca="false">IF(LEFT(Cockpit!$I$5,1)="A",H1727,IF(CH1727=1,(CK1727+CI1727)/2,IF(LEFT(Cockpit!$I$5,1)="B",(CK1727+AV1727)/2,MAX((CK1727+AV1727)/2,H1727))))</f>
        <v>13</v>
      </c>
      <c r="AU1727" s="50" t="n">
        <f aca="false">AT1727*G1727</f>
        <v>108.81</v>
      </c>
      <c r="AV1727" s="50" t="n">
        <f aca="false">ROUNDUP(CK1727+MAX(CL1727,2*(J1727/IF(CG1727&gt;0,CG1727,MAX(0.1,N(Cockpit!$I$6)))-CK1727)),0)</f>
        <v>15</v>
      </c>
      <c r="AW1727" s="51" t="n">
        <f aca="false">IF(AS1727&gt;0,J1727/AS1727,-1)</f>
        <v>0</v>
      </c>
      <c r="AX1727" s="51" t="n">
        <f aca="false">IF(AND(OR(CF1727="L1",CF1727="L23",CF1727="LIFT"),AS1727&gt;0),SUMIFS($AS$7:$AS$1843,$CF$7:$CF$1843,CF1727,$AW$7:$AW$1843,"&gt;"&amp;AW1727)+SUMIFS($AS$7:$AS$1843,$CF$7:$CF$1843,CF1727,$AW$7:$AW$1843,AW1727,$BW$7:$BW$1843,"&lt;="&amp;BW1727),"")</f>
        <v>39318.7235622193</v>
      </c>
      <c r="AY1727" s="58" t="n">
        <f aca="false">IF(AX1727="",0,MAX(0,MIN(1,(IF(CF1727="L1",Parameter!$H$5,IF(CF1727="L23",Parameter!$H$6+Parameter!$H$7,Parameter!$H$5+Parameter!$H$6+Parameter!$H$7))-(AX1727-AS1727))/AS1727)))</f>
        <v>0</v>
      </c>
      <c r="AZ1727" s="50" t="n">
        <f aca="false">IF(LEFT(Cockpit!$O$5,1)="A",H1727,IF(Parameter!$E$30="MAX-Bestand",IF(CH1727=1,CI1727,IF(LEFT(Cockpit!$O$5,1)="B",BF1727,MAX(BF1727,H1727))),ROUNDUP(BD1727,0)))</f>
        <v>8</v>
      </c>
      <c r="BA1727" s="50" t="n">
        <f aca="false">IF(BZ1727=1,0,ROUNDUP(AZ1727/BY1727,0))</f>
        <v>1</v>
      </c>
      <c r="BB1727" s="52" t="n">
        <f aca="false">IF(CQ1727&gt;0,CQ1727*MAX(1,AZ1727/X1727),IF(BZ1727=1,IF(AZ1727&lt;=0,0,CD1727*MAX(1,IF(H1727&gt;0,AZ1727/H1727,1))),IF(R1727&gt;0,BA1727/R1727,0))/MAX(0.1,N(Parameter!$M$21)))</f>
        <v>0.00714285714285714</v>
      </c>
      <c r="BC1727" s="50" t="n">
        <f aca="false">BB1727*CB1727</f>
        <v>1.10714285714286</v>
      </c>
      <c r="BD1727" s="51" t="n">
        <f aca="false">IF(LEFT(Cockpit!$O$5,1)="A",H1727,IF(CH1727=1,(CK1727+CI1727)/2,IF(LEFT(Cockpit!$O$5,1)="B",(CK1727+BF1727)/2,MAX((CK1727+BF1727)/2,H1727))))</f>
        <v>7.5</v>
      </c>
      <c r="BE1727" s="50" t="n">
        <f aca="false">BD1727*G1727</f>
        <v>62.775</v>
      </c>
      <c r="BF1727" s="50" t="n">
        <f aca="false">ROUNDUP(CK1727+MAX(CL1727,2*(J1727/IF(CG1727&gt;0,CG1727,MAX(0.1,N(Cockpit!$O$6)))-CK1727)),0)</f>
        <v>15</v>
      </c>
      <c r="BG1727" s="51" t="n">
        <f aca="false">IF(BC1727&gt;0,J1727/BC1727,-1)</f>
        <v>0</v>
      </c>
      <c r="BH1727" s="51" t="n">
        <f aca="false">IF(AND(OR(CF1727="L1",CF1727="L23",CF1727="LIFT"),BC1727&gt;0),SUMIFS($BC$7:$BC$1843,$CF$7:$CF$1843,CF1727,$BG$7:$BG$1843,"&gt;"&amp;BG1727)+SUMIFS($BC$7:$BC$1843,$CF$7:$CF$1843,CF1727,$BG$7:$BG$1843,BG1727,$BW$7:$BW$1843,"&lt;="&amp;BW1727),"")</f>
        <v>32548.5160282279</v>
      </c>
      <c r="BI1727" s="58" t="n">
        <f aca="false">IF(BH1727="",0,MAX(0,MIN(1,(IF(CF1727="L1",Parameter!$H$5,IF(CF1727="L23",Parameter!$H$6+Parameter!$H$7,Parameter!$H$5+Parameter!$H$6+Parameter!$H$7))-(BH1727-BC1727))/BC1727)))</f>
        <v>1</v>
      </c>
      <c r="BJ1727" s="48" t="str">
        <f aca="false">IF(AI1727&lt;=0,"",IF(CF1727="Aussen","Aussenlager",IF(CF1727="-","Nicht im Lift",IF(AO1727&gt;=1,"Lift",IF(AO1727&lt;=0,"Aussenlager","teilweise")))))</f>
        <v>Lift</v>
      </c>
      <c r="BK1727" s="48" t="str">
        <f aca="false">IF(AS1727&lt;=0,"",IF(CF1727="Aussen","Aussenlager",IF(CF1727="-","Nicht im Lift",IF(AY1727&gt;=1,"Lift",IF(AY1727&lt;=0,"Aussenlager","teilweise")))))</f>
        <v>Aussenlager</v>
      </c>
      <c r="BL1727" s="48" t="str">
        <f aca="false">IF(BC1727&lt;=0,"",IF(CF1727="Aussen","Aussenlager",IF(CF1727="-","Nicht im Lift",IF(BI1727&gt;=1,"Lift",IF(BI1727&lt;=0,"Aussenlager","teilweise")))))</f>
        <v>Lift</v>
      </c>
      <c r="BM1727" s="48" t="str">
        <f aca="false">IF(A1727="","",IF(BV1727=1,"Neu; ","")&amp;IF(AND(BV1727=0,BQ1727&lt;0),"negativer Bestand (Export "&amp;BQ1727&amp;"); ","")&amp;IF(J1727&lt;=0,"Kein Verbrauch; ","")&amp;IF(CQ1727&gt;0,"Lift "&amp;W1727&amp;" lt. Liftbericht (Fach "&amp;X1727&amp;" Stk); ",IF(CA1727=1,"Gebinde geschätzt ("&amp;T1727&amp;"); ",IF(BZ1727=1,"Lose – Tablare geschätzt; ","")))&amp;IF(H1727&gt;AV1727,"Überbestand "&amp;ROUND(H1727-AV1727,0)&amp;" Stk / CHF "&amp;ROUND((H1727-AV1727)*G1727,0)&amp;"; ","")&amp;IF(AND(CH1727=1,CI1727&lt;CJ1727),"MAX &lt; MB+LG; ","")&amp;IF(AND(CP1727&gt;0,CO1727*10&gt;CP1727),"zu hoch für Tablar; ","")&amp;IF(AND(BV1727=0,OR(CH1727=1,AA1727&lt;&gt;"",U1727&lt;&gt;"",V1727&lt;&gt;"",AB1727&lt;&gt;"")),"manuell übersteuert; ","")&amp;IF(AND(BZ1727=0,R1727=0),"Gebinde unbekannt / Stellmass fehlt; ","")&amp;IF(AND(BZ1727=0,N(V1727)&lt;=0,N(Q1727)&lt;=0),"Menge pro Gebinde fehlt (Ist = 1 Gebinde); ","")&amp;BU1727)</f>
        <v>Kein Verbrauch; nur im Artikelstamm (Bestand 23.06.2026)</v>
      </c>
      <c r="BN1727" s="48"/>
      <c r="BO1727" s="48"/>
      <c r="BP1727" s="55"/>
      <c r="BQ1727" s="50" t="n">
        <v>13</v>
      </c>
      <c r="BR1727" s="50" t="n">
        <v>0</v>
      </c>
      <c r="BS1727" s="49" t="n">
        <v>0</v>
      </c>
      <c r="BT1727" s="50" t="n">
        <v>0</v>
      </c>
      <c r="BU1727" s="48" t="s">
        <v>2584</v>
      </c>
      <c r="BV1727" s="53" t="n">
        <v>0</v>
      </c>
      <c r="BW1727" s="53" t="n">
        <v>1727</v>
      </c>
      <c r="BX1727" s="48" t="str">
        <f aca="false">IF(U1727&lt;&gt;"",UPPER(TRIM(U1727)),IF(CA1727=1,UPPER(VLOOKUP(T1727,Parameter!$I$27:$K$29,2,0)),IF(P1727="","LOSE",P1727)))</f>
        <v>S22</v>
      </c>
      <c r="BY1727" s="50" t="n">
        <f aca="false">IF(BX1727="LOSE",1,IF(N(V1727)&gt;0,V1727,IF(CA1727=1,MAX(1,N(VLOOKUP(T1727,Parameter!$I$27:$K$29,3,0)),H1727,N(N1727)),IF(N(Q1727)&gt;0,Q1727,MAX(1,H1727)))))</f>
        <v>20</v>
      </c>
      <c r="BZ1727" s="53" t="n">
        <f aca="false">IF(BX1727="LOSE",1,0)</f>
        <v>0</v>
      </c>
      <c r="CA1727" s="53" t="n">
        <f aca="false">IF(AND(U1727="",OR(P1727="",P1727="LOSE"),T1727&lt;&gt;"",N(S1727)&lt;=0,ISNUMBER(MATCH(T1727,Parameter!$I$27:$I$29,0))),1,0)</f>
        <v>0</v>
      </c>
      <c r="CB1727" s="53" t="n">
        <f aca="false">IF(CQ1727&gt;0,INDEX(Parameter!$H$5:$H$7,W1727)/INDEX(Parameter!$E$5:$E$7,W1727),IF(AND(BZ1727=0,N(IFERROR(VLOOKUP(BX1727,'Gebinde-Kategorie'!$A$5:$N$45,14,0),0))&gt;0),VLOOKUP(BX1727,'Gebinde-Kategorie'!$A$5:$N$45,14,0)*10+Parameter!$M$23,Parameter!$M$24))</f>
        <v>155</v>
      </c>
      <c r="CC1727" s="48" t="str">
        <f aca="false">IF(AND(Parameter!$B$19="Ja",E1727&lt;&gt;"",ISNUMBER(MATCH(E1727,Parameter!$I$35:$I$52,0))),VLOOKUP(E1727,Parameter!$I$35:$J$52,2,0),IFERROR(VLOOKUP(D1727,Parameter!$A$35:$C$64,2,0),"Nein"))</f>
        <v>2+3</v>
      </c>
      <c r="CD1727" s="52" t="n">
        <f aca="false">IF(BZ1727=0,0,IF(N(S1727)&gt;0,S1727,IFERROR(VLOOKUP(D1727,Parameter!$A$35:$C$64,3,0)+0,0)))</f>
        <v>0</v>
      </c>
      <c r="CE1727" s="48" t="n">
        <f aca="false">IF(AA1727&lt;&gt;"",AA1727,Z1727)</f>
        <v>3</v>
      </c>
      <c r="CF1727" s="48" t="str">
        <f aca="false">IF(OR(CE1727=1,CE1727=2,CE1727=3),IF(Parameter!$E$27="Ja","LIFT",IF(CE1727=1,"L1","L23")),IF(CE1727="Aussen","Aussen","-"))</f>
        <v>LIFT</v>
      </c>
      <c r="CG1727" s="59" t="n">
        <f aca="false">IF(N(AB1727)&gt;0,AB1727,0)</f>
        <v>0</v>
      </c>
      <c r="CH1727" s="53" t="n">
        <f aca="false">IF(ISNUMBER(AE1727),1,0)</f>
        <v>0</v>
      </c>
      <c r="CI1727" s="50" t="n">
        <f aca="false">N(AE1727)</f>
        <v>0</v>
      </c>
      <c r="CJ1727" s="50" t="n">
        <f aca="false">N(M1727)+N(N1727)</f>
        <v>15</v>
      </c>
      <c r="CK1727" s="50" t="n">
        <f aca="false">N(M1727)</f>
        <v>0</v>
      </c>
      <c r="CL1727" s="50" t="n">
        <f aca="false">N(N1727)</f>
        <v>15</v>
      </c>
      <c r="CM1727" s="50" t="n">
        <f aca="false">ROUNDUP(H1727/BY1727,0)</f>
        <v>1</v>
      </c>
      <c r="CN1727" s="50" t="n">
        <f aca="false">ROUNDUP(CI1727/BY1727,0)</f>
        <v>0</v>
      </c>
      <c r="CO1727" s="53" t="n">
        <f aca="false">IF(BZ1727=1,0,IFERROR(VLOOKUP(BX1727,'Gebinde-Kategorie'!$A$5:$N$45,5,0)+0,0))</f>
        <v>8</v>
      </c>
      <c r="CP1727" s="53" t="n">
        <f aca="false">IFERROR(IF(OR(CE1727=1,CE1727=2,CE1727=3),N(INDEX(Parameter!$I$5:$I$7,CE1727)),0),0)</f>
        <v>0</v>
      </c>
      <c r="CQ1727" s="52" t="n">
        <f aca="false">IF(AND(Parameter!$B$21="Ja",ISNUMBER(W1727),N(X1727)&gt;0),IFERROR(N(INDEX(Parameter!$L$5:$L$7,W1727))*INDEX(Parameter!$E$5:$E$7,W1727)*X1727/SUMIFS($X$7:$X$1843,$W$7:$W$1843,W1727),0),0)</f>
        <v>0</v>
      </c>
    </row>
    <row r="1728" customFormat="false" ht="15" hidden="false" customHeight="false" outlineLevel="0" collapsed="false">
      <c r="A1728" s="48" t="s">
        <v>2998</v>
      </c>
      <c r="B1728" s="48" t="s">
        <v>2999</v>
      </c>
      <c r="C1728" s="48" t="s">
        <v>173</v>
      </c>
      <c r="D1728" s="48" t="s">
        <v>193</v>
      </c>
      <c r="E1728" s="48"/>
      <c r="F1728" s="48"/>
      <c r="G1728" s="49" t="n">
        <v>93.36</v>
      </c>
      <c r="H1728" s="50" t="n">
        <f aca="false">MAX(0,IF(AND(Parameter!$B$21="Ja",ISNUMBER(Y1728)),Y1728,IF(Parameter!$B$20="Jahresanfang 2025 + Export",BR1728+BQ1728,BQ1728)))</f>
        <v>16</v>
      </c>
      <c r="I1728" s="50" t="n">
        <f aca="false">H1728*G1728</f>
        <v>1493.76</v>
      </c>
      <c r="J1728" s="50" t="n">
        <f aca="false">BT1728*Parameter!$B$18</f>
        <v>0</v>
      </c>
      <c r="K1728" s="51"/>
      <c r="L1728" s="52"/>
      <c r="M1728" s="50" t="n">
        <v>0</v>
      </c>
      <c r="N1728" s="50" t="n">
        <v>3</v>
      </c>
      <c r="O1728" s="53" t="n">
        <v>107</v>
      </c>
      <c r="P1728" s="48" t="s">
        <v>410</v>
      </c>
      <c r="Q1728" s="50" t="n">
        <v>15</v>
      </c>
      <c r="R1728" s="53" t="n">
        <f aca="false">IF(BZ1728=1,0,IFERROR(VLOOKUP(BX1728,'Gebinde-Kategorie'!$A$5:$N$45,13,0)+0,0))</f>
        <v>280</v>
      </c>
      <c r="S1728" s="54"/>
      <c r="T1728" s="55"/>
      <c r="U1728" s="55"/>
      <c r="V1728" s="55"/>
      <c r="W1728" s="48"/>
      <c r="X1728" s="50"/>
      <c r="Y1728" s="50"/>
      <c r="Z1728" s="48" t="n">
        <f aca="false">IF(A1728="","",IF(AND(Parameter!$B$21="Ja",ISNUMBER(W1728)),W1728,IF(CC1728="2+3",IF(ISNUMBER(SEARCH("grosser Artikel",BU1728)),2,IFERROR(VLOOKUP(BX1728,Parameter!$F$35:$G$64,2,0),2)),IF(OR(CC1728="Nein",CC1728=""),"-",CC1728))))</f>
        <v>3</v>
      </c>
      <c r="AA1728" s="55"/>
      <c r="AB1728" s="56"/>
      <c r="AC1728" s="50" t="n">
        <f aca="false">AV1728</f>
        <v>3</v>
      </c>
      <c r="AD1728" s="50" t="n">
        <f aca="false">MAX(AV1728,H1728)</f>
        <v>16</v>
      </c>
      <c r="AE1728" s="57"/>
      <c r="AF1728" s="50" t="n">
        <f aca="false">IF(LEFT(Cockpit!$C$5,1)="A",H1728,IF(Parameter!$E$30="MAX-Bestand",IF(CH1728=1,CI1728,IF(LEFT(Cockpit!$C$5,1)="B",AL1728,MAX(AL1728,H1728))),ROUNDUP(AJ1728,0)))</f>
        <v>16</v>
      </c>
      <c r="AG1728" s="50" t="n">
        <f aca="false">IF(BZ1728=1,0,ROUNDUP(AF1728/BY1728,0))</f>
        <v>2</v>
      </c>
      <c r="AH1728" s="52" t="n">
        <f aca="false">IF(CQ1728&gt;0,CQ1728*MAX(1,AF1728/X1728),IF(BZ1728=1,IF(AF1728&lt;=0,0,CD1728*MAX(1,IF(H1728&gt;0,AF1728/H1728,1))),IF(R1728&gt;0,AG1728/R1728,0))/MAX(0.1,N(Parameter!$M$21)))</f>
        <v>0.00714285714285714</v>
      </c>
      <c r="AI1728" s="50" t="n">
        <f aca="false">AH1728*CB1728</f>
        <v>1.10714285714286</v>
      </c>
      <c r="AJ1728" s="51" t="n">
        <f aca="false">IF(LEFT(Cockpit!$C$5,1)="A",H1728,IF(CH1728=1,(CK1728+CI1728)/2,IF(LEFT(Cockpit!$C$5,1)="B",(CK1728+AL1728)/2,MAX((CK1728+AL1728)/2,H1728))))</f>
        <v>16</v>
      </c>
      <c r="AK1728" s="50" t="n">
        <f aca="false">AJ1728*G1728</f>
        <v>1493.76</v>
      </c>
      <c r="AL1728" s="50" t="n">
        <f aca="false">ROUNDUP(CK1728+MAX(CL1728,2*(J1728/IF(CG1728&gt;0,CG1728,MAX(0.1,N(Cockpit!$C$6)))-CK1728)),0)</f>
        <v>3</v>
      </c>
      <c r="AM1728" s="51" t="n">
        <f aca="false">IF(AI1728&gt;0,J1728/AI1728,-1)</f>
        <v>0</v>
      </c>
      <c r="AN1728" s="51" t="n">
        <f aca="false">IF(AND(OR(CF1728="L1",CF1728="L23",CF1728="LIFT"),AI1728&gt;0),SUMIFS($AI$7:$AI$1843,$CF$7:$CF$1843,CF1728,$AM$7:$AM$1843,"&gt;"&amp;AM1728)+SUMIFS($AI$7:$AI$1843,$CF$7:$CF$1843,CF1728,$AM$7:$AM$1843,AM1728,$BW$7:$BW$1843,"&lt;="&amp;BW1728),"")</f>
        <v>32845.9217602078</v>
      </c>
      <c r="AO1728" s="58" t="n">
        <f aca="false">IF(AN1728="",0,MAX(0,MIN(1,(IF(CF1728="L1",Parameter!$H$5,IF(CF1728="L23",Parameter!$H$6+Parameter!$H$7,Parameter!$H$5+Parameter!$H$6+Parameter!$H$7))-(AN1728-AI1728))/AI1728)))</f>
        <v>1</v>
      </c>
      <c r="AP1728" s="50" t="n">
        <f aca="false">IF(LEFT(Cockpit!$I$5,1)="A",H1728,IF(Parameter!$E$30="MAX-Bestand",IF(CH1728=1,CI1728,IF(LEFT(Cockpit!$I$5,1)="B",AV1728,MAX(AV1728,H1728))),ROUNDUP(AT1728,0)))</f>
        <v>16</v>
      </c>
      <c r="AQ1728" s="50" t="n">
        <f aca="false">IF(BZ1728=1,0,ROUNDUP(AP1728/BY1728,0))</f>
        <v>2</v>
      </c>
      <c r="AR1728" s="52" t="n">
        <f aca="false">IF(CQ1728&gt;0,CQ1728*MAX(1,AP1728/X1728),IF(BZ1728=1,IF(AP1728&lt;=0,0,CD1728*MAX(1,IF(H1728&gt;0,AP1728/H1728,1))),IF(R1728&gt;0,AQ1728/R1728,0))/MAX(0.1,N(Parameter!$M$21)))</f>
        <v>0.00714285714285714</v>
      </c>
      <c r="AS1728" s="50" t="n">
        <f aca="false">AR1728*CB1728</f>
        <v>1.10714285714286</v>
      </c>
      <c r="AT1728" s="51" t="n">
        <f aca="false">IF(LEFT(Cockpit!$I$5,1)="A",H1728,IF(CH1728=1,(CK1728+CI1728)/2,IF(LEFT(Cockpit!$I$5,1)="B",(CK1728+AV1728)/2,MAX((CK1728+AV1728)/2,H1728))))</f>
        <v>16</v>
      </c>
      <c r="AU1728" s="50" t="n">
        <f aca="false">AT1728*G1728</f>
        <v>1493.76</v>
      </c>
      <c r="AV1728" s="50" t="n">
        <f aca="false">ROUNDUP(CK1728+MAX(CL1728,2*(J1728/IF(CG1728&gt;0,CG1728,MAX(0.1,N(Cockpit!$I$6)))-CK1728)),0)</f>
        <v>3</v>
      </c>
      <c r="AW1728" s="51" t="n">
        <f aca="false">IF(AS1728&gt;0,J1728/AS1728,-1)</f>
        <v>0</v>
      </c>
      <c r="AX1728" s="51" t="n">
        <f aca="false">IF(AND(OR(CF1728="L1",CF1728="L23",CF1728="LIFT"),AS1728&gt;0),SUMIFS($AS$7:$AS$1843,$CF$7:$CF$1843,CF1728,$AW$7:$AW$1843,"&gt;"&amp;AW1728)+SUMIFS($AS$7:$AS$1843,$CF$7:$CF$1843,CF1728,$AW$7:$AW$1843,AW1728,$BW$7:$BW$1843,"&lt;="&amp;BW1728),"")</f>
        <v>39319.8307050765</v>
      </c>
      <c r="AY1728" s="58" t="n">
        <f aca="false">IF(AX1728="",0,MAX(0,MIN(1,(IF(CF1728="L1",Parameter!$H$5,IF(CF1728="L23",Parameter!$H$6+Parameter!$H$7,Parameter!$H$5+Parameter!$H$6+Parameter!$H$7))-(AX1728-AS1728))/AS1728)))</f>
        <v>0</v>
      </c>
      <c r="AZ1728" s="50" t="n">
        <f aca="false">IF(LEFT(Cockpit!$O$5,1)="A",H1728,IF(Parameter!$E$30="MAX-Bestand",IF(CH1728=1,CI1728,IF(LEFT(Cockpit!$O$5,1)="B",BF1728,MAX(BF1728,H1728))),ROUNDUP(BD1728,0)))</f>
        <v>2</v>
      </c>
      <c r="BA1728" s="50" t="n">
        <f aca="false">IF(BZ1728=1,0,ROUNDUP(AZ1728/BY1728,0))</f>
        <v>1</v>
      </c>
      <c r="BB1728" s="52" t="n">
        <f aca="false">IF(CQ1728&gt;0,CQ1728*MAX(1,AZ1728/X1728),IF(BZ1728=1,IF(AZ1728&lt;=0,0,CD1728*MAX(1,IF(H1728&gt;0,AZ1728/H1728,1))),IF(R1728&gt;0,BA1728/R1728,0))/MAX(0.1,N(Parameter!$M$21)))</f>
        <v>0.00357142857142857</v>
      </c>
      <c r="BC1728" s="50" t="n">
        <f aca="false">BB1728*CB1728</f>
        <v>0.553571428571429</v>
      </c>
      <c r="BD1728" s="51" t="n">
        <f aca="false">IF(LEFT(Cockpit!$O$5,1)="A",H1728,IF(CH1728=1,(CK1728+CI1728)/2,IF(LEFT(Cockpit!$O$5,1)="B",(CK1728+BF1728)/2,MAX((CK1728+BF1728)/2,H1728))))</f>
        <v>1.5</v>
      </c>
      <c r="BE1728" s="50" t="n">
        <f aca="false">BD1728*G1728</f>
        <v>140.04</v>
      </c>
      <c r="BF1728" s="50" t="n">
        <f aca="false">ROUNDUP(CK1728+MAX(CL1728,2*(J1728/IF(CG1728&gt;0,CG1728,MAX(0.1,N(Cockpit!$O$6)))-CK1728)),0)</f>
        <v>3</v>
      </c>
      <c r="BG1728" s="51" t="n">
        <f aca="false">IF(BC1728&gt;0,J1728/BC1728,-1)</f>
        <v>0</v>
      </c>
      <c r="BH1728" s="51" t="n">
        <f aca="false">IF(AND(OR(CF1728="L1",CF1728="L23",CF1728="LIFT"),BC1728&gt;0),SUMIFS($BC$7:$BC$1843,$CF$7:$CF$1843,CF1728,$BG$7:$BG$1843,"&gt;"&amp;BG1728)+SUMIFS($BC$7:$BC$1843,$CF$7:$CF$1843,CF1728,$BG$7:$BG$1843,BG1728,$BW$7:$BW$1843,"&lt;="&amp;BW1728),"")</f>
        <v>32549.0695996565</v>
      </c>
      <c r="BI1728" s="58" t="n">
        <f aca="false">IF(BH1728="",0,MAX(0,MIN(1,(IF(CF1728="L1",Parameter!$H$5,IF(CF1728="L23",Parameter!$H$6+Parameter!$H$7,Parameter!$H$5+Parameter!$H$6+Parameter!$H$7))-(BH1728-BC1728))/BC1728)))</f>
        <v>1</v>
      </c>
      <c r="BJ1728" s="48" t="str">
        <f aca="false">IF(AI1728&lt;=0,"",IF(CF1728="Aussen","Aussenlager",IF(CF1728="-","Nicht im Lift",IF(AO1728&gt;=1,"Lift",IF(AO1728&lt;=0,"Aussenlager","teilweise")))))</f>
        <v>Lift</v>
      </c>
      <c r="BK1728" s="48" t="str">
        <f aca="false">IF(AS1728&lt;=0,"",IF(CF1728="Aussen","Aussenlager",IF(CF1728="-","Nicht im Lift",IF(AY1728&gt;=1,"Lift",IF(AY1728&lt;=0,"Aussenlager","teilweise")))))</f>
        <v>Aussenlager</v>
      </c>
      <c r="BL1728" s="48" t="str">
        <f aca="false">IF(BC1728&lt;=0,"",IF(CF1728="Aussen","Aussenlager",IF(CF1728="-","Nicht im Lift",IF(BI1728&gt;=1,"Lift",IF(BI1728&lt;=0,"Aussenlager","teilweise")))))</f>
        <v>Lift</v>
      </c>
      <c r="BM1728" s="48" t="str">
        <f aca="false">IF(A1728="","",IF(BV1728=1,"Neu; ","")&amp;IF(AND(BV1728=0,BQ1728&lt;0),"negativer Bestand (Export "&amp;BQ1728&amp;"); ","")&amp;IF(J1728&lt;=0,"Kein Verbrauch; ","")&amp;IF(CQ1728&gt;0,"Lift "&amp;W1728&amp;" lt. Liftbericht (Fach "&amp;X1728&amp;" Stk); ",IF(CA1728=1,"Gebinde geschätzt ("&amp;T1728&amp;"); ",IF(BZ1728=1,"Lose – Tablare geschätzt; ","")))&amp;IF(H1728&gt;AV1728,"Überbestand "&amp;ROUND(H1728-AV1728,0)&amp;" Stk / CHF "&amp;ROUND((H1728-AV1728)*G1728,0)&amp;"; ","")&amp;IF(AND(CH1728=1,CI1728&lt;CJ1728),"MAX &lt; MB+LG; ","")&amp;IF(AND(CP1728&gt;0,CO1728*10&gt;CP1728),"zu hoch für Tablar; ","")&amp;IF(AND(BV1728=0,OR(CH1728=1,AA1728&lt;&gt;"",U1728&lt;&gt;"",V1728&lt;&gt;"",AB1728&lt;&gt;"")),"manuell übersteuert; ","")&amp;IF(AND(BZ1728=0,R1728=0),"Gebinde unbekannt / Stellmass fehlt; ","")&amp;IF(AND(BZ1728=0,N(V1728)&lt;=0,N(Q1728)&lt;=0),"Menge pro Gebinde fehlt (Ist = 1 Gebinde); ","")&amp;BU1728)</f>
        <v>Kein Verbrauch; Überbestand 13 Stk / CHF 1214; nur im Artikelstamm (Bestand 23.06.2026)</v>
      </c>
      <c r="BN1728" s="48"/>
      <c r="BO1728" s="48"/>
      <c r="BP1728" s="55"/>
      <c r="BQ1728" s="50" t="n">
        <v>16</v>
      </c>
      <c r="BR1728" s="50" t="n">
        <v>0</v>
      </c>
      <c r="BS1728" s="49" t="n">
        <v>0</v>
      </c>
      <c r="BT1728" s="50" t="n">
        <v>0</v>
      </c>
      <c r="BU1728" s="48" t="s">
        <v>2584</v>
      </c>
      <c r="BV1728" s="53" t="n">
        <v>0</v>
      </c>
      <c r="BW1728" s="53" t="n">
        <v>1728</v>
      </c>
      <c r="BX1728" s="48" t="str">
        <f aca="false">IF(U1728&lt;&gt;"",UPPER(TRIM(U1728)),IF(CA1728=1,UPPER(VLOOKUP(T1728,Parameter!$I$27:$K$29,2,0)),IF(P1728="","LOSE",P1728)))</f>
        <v>S21</v>
      </c>
      <c r="BY1728" s="50" t="n">
        <f aca="false">IF(BX1728="LOSE",1,IF(N(V1728)&gt;0,V1728,IF(CA1728=1,MAX(1,N(VLOOKUP(T1728,Parameter!$I$27:$K$29,3,0)),H1728,N(N1728)),IF(N(Q1728)&gt;0,Q1728,MAX(1,H1728)))))</f>
        <v>15</v>
      </c>
      <c r="BZ1728" s="53" t="n">
        <f aca="false">IF(BX1728="LOSE",1,0)</f>
        <v>0</v>
      </c>
      <c r="CA1728" s="53" t="n">
        <f aca="false">IF(AND(U1728="",OR(P1728="",P1728="LOSE"),T1728&lt;&gt;"",N(S1728)&lt;=0,ISNUMBER(MATCH(T1728,Parameter!$I$27:$I$29,0))),1,0)</f>
        <v>0</v>
      </c>
      <c r="CB1728" s="53" t="n">
        <f aca="false">IF(CQ1728&gt;0,INDEX(Parameter!$H$5:$H$7,W1728)/INDEX(Parameter!$E$5:$E$7,W1728),IF(AND(BZ1728=0,N(IFERROR(VLOOKUP(BX1728,'Gebinde-Kategorie'!$A$5:$N$45,14,0),0))&gt;0),VLOOKUP(BX1728,'Gebinde-Kategorie'!$A$5:$N$45,14,0)*10+Parameter!$M$23,Parameter!$M$24))</f>
        <v>155</v>
      </c>
      <c r="CC1728" s="48" t="str">
        <f aca="false">IF(AND(Parameter!$B$19="Ja",E1728&lt;&gt;"",ISNUMBER(MATCH(E1728,Parameter!$I$35:$I$52,0))),VLOOKUP(E1728,Parameter!$I$35:$J$52,2,0),IFERROR(VLOOKUP(D1728,Parameter!$A$35:$C$64,2,0),"Nein"))</f>
        <v>2+3</v>
      </c>
      <c r="CD1728" s="52" t="n">
        <f aca="false">IF(BZ1728=0,0,IF(N(S1728)&gt;0,S1728,IFERROR(VLOOKUP(D1728,Parameter!$A$35:$C$64,3,0)+0,0)))</f>
        <v>0</v>
      </c>
      <c r="CE1728" s="48" t="n">
        <f aca="false">IF(AA1728&lt;&gt;"",AA1728,Z1728)</f>
        <v>3</v>
      </c>
      <c r="CF1728" s="48" t="str">
        <f aca="false">IF(OR(CE1728=1,CE1728=2,CE1728=3),IF(Parameter!$E$27="Ja","LIFT",IF(CE1728=1,"L1","L23")),IF(CE1728="Aussen","Aussen","-"))</f>
        <v>LIFT</v>
      </c>
      <c r="CG1728" s="59" t="n">
        <f aca="false">IF(N(AB1728)&gt;0,AB1728,0)</f>
        <v>0</v>
      </c>
      <c r="CH1728" s="53" t="n">
        <f aca="false">IF(ISNUMBER(AE1728),1,0)</f>
        <v>0</v>
      </c>
      <c r="CI1728" s="50" t="n">
        <f aca="false">N(AE1728)</f>
        <v>0</v>
      </c>
      <c r="CJ1728" s="50" t="n">
        <f aca="false">N(M1728)+N(N1728)</f>
        <v>3</v>
      </c>
      <c r="CK1728" s="50" t="n">
        <f aca="false">N(M1728)</f>
        <v>0</v>
      </c>
      <c r="CL1728" s="50" t="n">
        <f aca="false">N(N1728)</f>
        <v>3</v>
      </c>
      <c r="CM1728" s="50" t="n">
        <f aca="false">ROUNDUP(H1728/BY1728,0)</f>
        <v>2</v>
      </c>
      <c r="CN1728" s="50" t="n">
        <f aca="false">ROUNDUP(CI1728/BY1728,0)</f>
        <v>0</v>
      </c>
      <c r="CO1728" s="53" t="n">
        <f aca="false">IF(BZ1728=1,0,IFERROR(VLOOKUP(BX1728,'Gebinde-Kategorie'!$A$5:$N$45,5,0)+0,0))</f>
        <v>8</v>
      </c>
      <c r="CP1728" s="53" t="n">
        <f aca="false">IFERROR(IF(OR(CE1728=1,CE1728=2,CE1728=3),N(INDEX(Parameter!$I$5:$I$7,CE1728)),0),0)</f>
        <v>0</v>
      </c>
      <c r="CQ1728" s="52" t="n">
        <f aca="false">IF(AND(Parameter!$B$21="Ja",ISNUMBER(W1728),N(X1728)&gt;0),IFERROR(N(INDEX(Parameter!$L$5:$L$7,W1728))*INDEX(Parameter!$E$5:$E$7,W1728)*X1728/SUMIFS($X$7:$X$1843,$W$7:$W$1843,W1728),0),0)</f>
        <v>0</v>
      </c>
    </row>
    <row r="1729" customFormat="false" ht="15" hidden="false" customHeight="false" outlineLevel="0" collapsed="false">
      <c r="A1729" s="48" t="s">
        <v>3000</v>
      </c>
      <c r="B1729" s="48" t="s">
        <v>3001</v>
      </c>
      <c r="C1729" s="48" t="s">
        <v>173</v>
      </c>
      <c r="D1729" s="48" t="s">
        <v>193</v>
      </c>
      <c r="E1729" s="48"/>
      <c r="F1729" s="48"/>
      <c r="G1729" s="49" t="n">
        <v>40</v>
      </c>
      <c r="H1729" s="50" t="n">
        <f aca="false">MAX(0,IF(AND(Parameter!$B$21="Ja",ISNUMBER(Y1729)),Y1729,IF(Parameter!$B$20="Jahresanfang 2025 + Export",BR1729+BQ1729,BQ1729)))</f>
        <v>13</v>
      </c>
      <c r="I1729" s="50" t="n">
        <f aca="false">H1729*G1729</f>
        <v>520</v>
      </c>
      <c r="J1729" s="50" t="n">
        <f aca="false">BT1729*Parameter!$B$18</f>
        <v>0</v>
      </c>
      <c r="K1729" s="51"/>
      <c r="L1729" s="52"/>
      <c r="M1729" s="50" t="n">
        <v>0</v>
      </c>
      <c r="N1729" s="50" t="n">
        <v>1</v>
      </c>
      <c r="O1729" s="53" t="n">
        <v>0</v>
      </c>
      <c r="P1729" s="48" t="s">
        <v>410</v>
      </c>
      <c r="Q1729" s="50" t="n">
        <v>12</v>
      </c>
      <c r="R1729" s="53" t="n">
        <f aca="false">IF(BZ1729=1,0,IFERROR(VLOOKUP(BX1729,'Gebinde-Kategorie'!$A$5:$N$45,13,0)+0,0))</f>
        <v>280</v>
      </c>
      <c r="S1729" s="54"/>
      <c r="T1729" s="55"/>
      <c r="U1729" s="55"/>
      <c r="V1729" s="55"/>
      <c r="W1729" s="48"/>
      <c r="X1729" s="50"/>
      <c r="Y1729" s="50"/>
      <c r="Z1729" s="48" t="n">
        <f aca="false">IF(A1729="","",IF(AND(Parameter!$B$21="Ja",ISNUMBER(W1729)),W1729,IF(CC1729="2+3",IF(ISNUMBER(SEARCH("grosser Artikel",BU1729)),2,IFERROR(VLOOKUP(BX1729,Parameter!$F$35:$G$64,2,0),2)),IF(OR(CC1729="Nein",CC1729=""),"-",CC1729))))</f>
        <v>3</v>
      </c>
      <c r="AA1729" s="55"/>
      <c r="AB1729" s="56"/>
      <c r="AC1729" s="50" t="n">
        <f aca="false">AV1729</f>
        <v>1</v>
      </c>
      <c r="AD1729" s="50" t="n">
        <f aca="false">MAX(AV1729,H1729)</f>
        <v>13</v>
      </c>
      <c r="AE1729" s="57"/>
      <c r="AF1729" s="50" t="n">
        <f aca="false">IF(LEFT(Cockpit!$C$5,1)="A",H1729,IF(Parameter!$E$30="MAX-Bestand",IF(CH1729=1,CI1729,IF(LEFT(Cockpit!$C$5,1)="B",AL1729,MAX(AL1729,H1729))),ROUNDUP(AJ1729,0)))</f>
        <v>13</v>
      </c>
      <c r="AG1729" s="50" t="n">
        <f aca="false">IF(BZ1729=1,0,ROUNDUP(AF1729/BY1729,0))</f>
        <v>2</v>
      </c>
      <c r="AH1729" s="52" t="n">
        <f aca="false">IF(CQ1729&gt;0,CQ1729*MAX(1,AF1729/X1729),IF(BZ1729=1,IF(AF1729&lt;=0,0,CD1729*MAX(1,IF(H1729&gt;0,AF1729/H1729,1))),IF(R1729&gt;0,AG1729/R1729,0))/MAX(0.1,N(Parameter!$M$21)))</f>
        <v>0.00714285714285714</v>
      </c>
      <c r="AI1729" s="50" t="n">
        <f aca="false">AH1729*CB1729</f>
        <v>1.10714285714286</v>
      </c>
      <c r="AJ1729" s="51" t="n">
        <f aca="false">IF(LEFT(Cockpit!$C$5,1)="A",H1729,IF(CH1729=1,(CK1729+CI1729)/2,IF(LEFT(Cockpit!$C$5,1)="B",(CK1729+AL1729)/2,MAX((CK1729+AL1729)/2,H1729))))</f>
        <v>13</v>
      </c>
      <c r="AK1729" s="50" t="n">
        <f aca="false">AJ1729*G1729</f>
        <v>520</v>
      </c>
      <c r="AL1729" s="50" t="n">
        <f aca="false">ROUNDUP(CK1729+MAX(CL1729,2*(J1729/IF(CG1729&gt;0,CG1729,MAX(0.1,N(Cockpit!$C$6)))-CK1729)),0)</f>
        <v>1</v>
      </c>
      <c r="AM1729" s="51" t="n">
        <f aca="false">IF(AI1729&gt;0,J1729/AI1729,-1)</f>
        <v>0</v>
      </c>
      <c r="AN1729" s="51" t="n">
        <f aca="false">IF(AND(OR(CF1729="L1",CF1729="L23",CF1729="LIFT"),AI1729&gt;0),SUMIFS($AI$7:$AI$1843,$CF$7:$CF$1843,CF1729,$AM$7:$AM$1843,"&gt;"&amp;AM1729)+SUMIFS($AI$7:$AI$1843,$CF$7:$CF$1843,CF1729,$AM$7:$AM$1843,AM1729,$BW$7:$BW$1843,"&lt;="&amp;BW1729),"")</f>
        <v>32847.0289030649</v>
      </c>
      <c r="AO1729" s="58" t="n">
        <f aca="false">IF(AN1729="",0,MAX(0,MIN(1,(IF(CF1729="L1",Parameter!$H$5,IF(CF1729="L23",Parameter!$H$6+Parameter!$H$7,Parameter!$H$5+Parameter!$H$6+Parameter!$H$7))-(AN1729-AI1729))/AI1729)))</f>
        <v>1</v>
      </c>
      <c r="AP1729" s="50" t="n">
        <f aca="false">IF(LEFT(Cockpit!$I$5,1)="A",H1729,IF(Parameter!$E$30="MAX-Bestand",IF(CH1729=1,CI1729,IF(LEFT(Cockpit!$I$5,1)="B",AV1729,MAX(AV1729,H1729))),ROUNDUP(AT1729,0)))</f>
        <v>13</v>
      </c>
      <c r="AQ1729" s="50" t="n">
        <f aca="false">IF(BZ1729=1,0,ROUNDUP(AP1729/BY1729,0))</f>
        <v>2</v>
      </c>
      <c r="AR1729" s="52" t="n">
        <f aca="false">IF(CQ1729&gt;0,CQ1729*MAX(1,AP1729/X1729),IF(BZ1729=1,IF(AP1729&lt;=0,0,CD1729*MAX(1,IF(H1729&gt;0,AP1729/H1729,1))),IF(R1729&gt;0,AQ1729/R1729,0))/MAX(0.1,N(Parameter!$M$21)))</f>
        <v>0.00714285714285714</v>
      </c>
      <c r="AS1729" s="50" t="n">
        <f aca="false">AR1729*CB1729</f>
        <v>1.10714285714286</v>
      </c>
      <c r="AT1729" s="51" t="n">
        <f aca="false">IF(LEFT(Cockpit!$I$5,1)="A",H1729,IF(CH1729=1,(CK1729+CI1729)/2,IF(LEFT(Cockpit!$I$5,1)="B",(CK1729+AV1729)/2,MAX((CK1729+AV1729)/2,H1729))))</f>
        <v>13</v>
      </c>
      <c r="AU1729" s="50" t="n">
        <f aca="false">AT1729*G1729</f>
        <v>520</v>
      </c>
      <c r="AV1729" s="50" t="n">
        <f aca="false">ROUNDUP(CK1729+MAX(CL1729,2*(J1729/IF(CG1729&gt;0,CG1729,MAX(0.1,N(Cockpit!$I$6)))-CK1729)),0)</f>
        <v>1</v>
      </c>
      <c r="AW1729" s="51" t="n">
        <f aca="false">IF(AS1729&gt;0,J1729/AS1729,-1)</f>
        <v>0</v>
      </c>
      <c r="AX1729" s="51" t="n">
        <f aca="false">IF(AND(OR(CF1729="L1",CF1729="L23",CF1729="LIFT"),AS1729&gt;0),SUMIFS($AS$7:$AS$1843,$CF$7:$CF$1843,CF1729,$AW$7:$AW$1843,"&gt;"&amp;AW1729)+SUMIFS($AS$7:$AS$1843,$CF$7:$CF$1843,CF1729,$AW$7:$AW$1843,AW1729,$BW$7:$BW$1843,"&lt;="&amp;BW1729),"")</f>
        <v>39320.9378479336</v>
      </c>
      <c r="AY1729" s="58" t="n">
        <f aca="false">IF(AX1729="",0,MAX(0,MIN(1,(IF(CF1729="L1",Parameter!$H$5,IF(CF1729="L23",Parameter!$H$6+Parameter!$H$7,Parameter!$H$5+Parameter!$H$6+Parameter!$H$7))-(AX1729-AS1729))/AS1729)))</f>
        <v>0</v>
      </c>
      <c r="AZ1729" s="50" t="n">
        <f aca="false">IF(LEFT(Cockpit!$O$5,1)="A",H1729,IF(Parameter!$E$30="MAX-Bestand",IF(CH1729=1,CI1729,IF(LEFT(Cockpit!$O$5,1)="B",BF1729,MAX(BF1729,H1729))),ROUNDUP(BD1729,0)))</f>
        <v>1</v>
      </c>
      <c r="BA1729" s="50" t="n">
        <f aca="false">IF(BZ1729=1,0,ROUNDUP(AZ1729/BY1729,0))</f>
        <v>1</v>
      </c>
      <c r="BB1729" s="52" t="n">
        <f aca="false">IF(CQ1729&gt;0,CQ1729*MAX(1,AZ1729/X1729),IF(BZ1729=1,IF(AZ1729&lt;=0,0,CD1729*MAX(1,IF(H1729&gt;0,AZ1729/H1729,1))),IF(R1729&gt;0,BA1729/R1729,0))/MAX(0.1,N(Parameter!$M$21)))</f>
        <v>0.00357142857142857</v>
      </c>
      <c r="BC1729" s="50" t="n">
        <f aca="false">BB1729*CB1729</f>
        <v>0.553571428571429</v>
      </c>
      <c r="BD1729" s="51" t="n">
        <f aca="false">IF(LEFT(Cockpit!$O$5,1)="A",H1729,IF(CH1729=1,(CK1729+CI1729)/2,IF(LEFT(Cockpit!$O$5,1)="B",(CK1729+BF1729)/2,MAX((CK1729+BF1729)/2,H1729))))</f>
        <v>0.5</v>
      </c>
      <c r="BE1729" s="50" t="n">
        <f aca="false">BD1729*G1729</f>
        <v>20</v>
      </c>
      <c r="BF1729" s="50" t="n">
        <f aca="false">ROUNDUP(CK1729+MAX(CL1729,2*(J1729/IF(CG1729&gt;0,CG1729,MAX(0.1,N(Cockpit!$O$6)))-CK1729)),0)</f>
        <v>1</v>
      </c>
      <c r="BG1729" s="51" t="n">
        <f aca="false">IF(BC1729&gt;0,J1729/BC1729,-1)</f>
        <v>0</v>
      </c>
      <c r="BH1729" s="51" t="n">
        <f aca="false">IF(AND(OR(CF1729="L1",CF1729="L23",CF1729="LIFT"),BC1729&gt;0),SUMIFS($BC$7:$BC$1843,$CF$7:$CF$1843,CF1729,$BG$7:$BG$1843,"&gt;"&amp;BG1729)+SUMIFS($BC$7:$BC$1843,$CF$7:$CF$1843,CF1729,$BG$7:$BG$1843,BG1729,$BW$7:$BW$1843,"&lt;="&amp;BW1729),"")</f>
        <v>32549.623171085</v>
      </c>
      <c r="BI1729" s="58" t="n">
        <f aca="false">IF(BH1729="",0,MAX(0,MIN(1,(IF(CF1729="L1",Parameter!$H$5,IF(CF1729="L23",Parameter!$H$6+Parameter!$H$7,Parameter!$H$5+Parameter!$H$6+Parameter!$H$7))-(BH1729-BC1729))/BC1729)))</f>
        <v>1</v>
      </c>
      <c r="BJ1729" s="48" t="str">
        <f aca="false">IF(AI1729&lt;=0,"",IF(CF1729="Aussen","Aussenlager",IF(CF1729="-","Nicht im Lift",IF(AO1729&gt;=1,"Lift",IF(AO1729&lt;=0,"Aussenlager","teilweise")))))</f>
        <v>Lift</v>
      </c>
      <c r="BK1729" s="48" t="str">
        <f aca="false">IF(AS1729&lt;=0,"",IF(CF1729="Aussen","Aussenlager",IF(CF1729="-","Nicht im Lift",IF(AY1729&gt;=1,"Lift",IF(AY1729&lt;=0,"Aussenlager","teilweise")))))</f>
        <v>Aussenlager</v>
      </c>
      <c r="BL1729" s="48" t="str">
        <f aca="false">IF(BC1729&lt;=0,"",IF(CF1729="Aussen","Aussenlager",IF(CF1729="-","Nicht im Lift",IF(BI1729&gt;=1,"Lift",IF(BI1729&lt;=0,"Aussenlager","teilweise")))))</f>
        <v>Lift</v>
      </c>
      <c r="BM1729" s="48" t="str">
        <f aca="false">IF(A1729="","",IF(BV1729=1,"Neu; ","")&amp;IF(AND(BV1729=0,BQ1729&lt;0),"negativer Bestand (Export "&amp;BQ1729&amp;"); ","")&amp;IF(J1729&lt;=0,"Kein Verbrauch; ","")&amp;IF(CQ1729&gt;0,"Lift "&amp;W1729&amp;" lt. Liftbericht (Fach "&amp;X1729&amp;" Stk); ",IF(CA1729=1,"Gebinde geschätzt ("&amp;T1729&amp;"); ",IF(BZ1729=1,"Lose – Tablare geschätzt; ","")))&amp;IF(H1729&gt;AV1729,"Überbestand "&amp;ROUND(H1729-AV1729,0)&amp;" Stk / CHF "&amp;ROUND((H1729-AV1729)*G1729,0)&amp;"; ","")&amp;IF(AND(CH1729=1,CI1729&lt;CJ1729),"MAX &lt; MB+LG; ","")&amp;IF(AND(CP1729&gt;0,CO1729*10&gt;CP1729),"zu hoch für Tablar; ","")&amp;IF(AND(BV1729=0,OR(CH1729=1,AA1729&lt;&gt;"",U1729&lt;&gt;"",V1729&lt;&gt;"",AB1729&lt;&gt;"")),"manuell übersteuert; ","")&amp;IF(AND(BZ1729=0,R1729=0),"Gebinde unbekannt / Stellmass fehlt; ","")&amp;IF(AND(BZ1729=0,N(V1729)&lt;=0,N(Q1729)&lt;=0),"Menge pro Gebinde fehlt (Ist = 1 Gebinde); ","")&amp;BU1729)</f>
        <v>Kein Verbrauch; Überbestand 12 Stk / CHF 480; nur im Artikelstamm (Bestand 23.06.2026)</v>
      </c>
      <c r="BN1729" s="48"/>
      <c r="BO1729" s="48"/>
      <c r="BP1729" s="55"/>
      <c r="BQ1729" s="50" t="n">
        <v>13</v>
      </c>
      <c r="BR1729" s="50" t="n">
        <v>0</v>
      </c>
      <c r="BS1729" s="49" t="n">
        <v>0</v>
      </c>
      <c r="BT1729" s="50" t="n">
        <v>0</v>
      </c>
      <c r="BU1729" s="48" t="s">
        <v>2584</v>
      </c>
      <c r="BV1729" s="53" t="n">
        <v>0</v>
      </c>
      <c r="BW1729" s="53" t="n">
        <v>1729</v>
      </c>
      <c r="BX1729" s="48" t="str">
        <f aca="false">IF(U1729&lt;&gt;"",UPPER(TRIM(U1729)),IF(CA1729=1,UPPER(VLOOKUP(T1729,Parameter!$I$27:$K$29,2,0)),IF(P1729="","LOSE",P1729)))</f>
        <v>S21</v>
      </c>
      <c r="BY1729" s="50" t="n">
        <f aca="false">IF(BX1729="LOSE",1,IF(N(V1729)&gt;0,V1729,IF(CA1729=1,MAX(1,N(VLOOKUP(T1729,Parameter!$I$27:$K$29,3,0)),H1729,N(N1729)),IF(N(Q1729)&gt;0,Q1729,MAX(1,H1729)))))</f>
        <v>12</v>
      </c>
      <c r="BZ1729" s="53" t="n">
        <f aca="false">IF(BX1729="LOSE",1,0)</f>
        <v>0</v>
      </c>
      <c r="CA1729" s="53" t="n">
        <f aca="false">IF(AND(U1729="",OR(P1729="",P1729="LOSE"),T1729&lt;&gt;"",N(S1729)&lt;=0,ISNUMBER(MATCH(T1729,Parameter!$I$27:$I$29,0))),1,0)</f>
        <v>0</v>
      </c>
      <c r="CB1729" s="53" t="n">
        <f aca="false">IF(CQ1729&gt;0,INDEX(Parameter!$H$5:$H$7,W1729)/INDEX(Parameter!$E$5:$E$7,W1729),IF(AND(BZ1729=0,N(IFERROR(VLOOKUP(BX1729,'Gebinde-Kategorie'!$A$5:$N$45,14,0),0))&gt;0),VLOOKUP(BX1729,'Gebinde-Kategorie'!$A$5:$N$45,14,0)*10+Parameter!$M$23,Parameter!$M$24))</f>
        <v>155</v>
      </c>
      <c r="CC1729" s="48" t="str">
        <f aca="false">IF(AND(Parameter!$B$19="Ja",E1729&lt;&gt;"",ISNUMBER(MATCH(E1729,Parameter!$I$35:$I$52,0))),VLOOKUP(E1729,Parameter!$I$35:$J$52,2,0),IFERROR(VLOOKUP(D1729,Parameter!$A$35:$C$64,2,0),"Nein"))</f>
        <v>2+3</v>
      </c>
      <c r="CD1729" s="52" t="n">
        <f aca="false">IF(BZ1729=0,0,IF(N(S1729)&gt;0,S1729,IFERROR(VLOOKUP(D1729,Parameter!$A$35:$C$64,3,0)+0,0)))</f>
        <v>0</v>
      </c>
      <c r="CE1729" s="48" t="n">
        <f aca="false">IF(AA1729&lt;&gt;"",AA1729,Z1729)</f>
        <v>3</v>
      </c>
      <c r="CF1729" s="48" t="str">
        <f aca="false">IF(OR(CE1729=1,CE1729=2,CE1729=3),IF(Parameter!$E$27="Ja","LIFT",IF(CE1729=1,"L1","L23")),IF(CE1729="Aussen","Aussen","-"))</f>
        <v>LIFT</v>
      </c>
      <c r="CG1729" s="59" t="n">
        <f aca="false">IF(N(AB1729)&gt;0,AB1729,0)</f>
        <v>0</v>
      </c>
      <c r="CH1729" s="53" t="n">
        <f aca="false">IF(ISNUMBER(AE1729),1,0)</f>
        <v>0</v>
      </c>
      <c r="CI1729" s="50" t="n">
        <f aca="false">N(AE1729)</f>
        <v>0</v>
      </c>
      <c r="CJ1729" s="50" t="n">
        <f aca="false">N(M1729)+N(N1729)</f>
        <v>1</v>
      </c>
      <c r="CK1729" s="50" t="n">
        <f aca="false">N(M1729)</f>
        <v>0</v>
      </c>
      <c r="CL1729" s="50" t="n">
        <f aca="false">N(N1729)</f>
        <v>1</v>
      </c>
      <c r="CM1729" s="50" t="n">
        <f aca="false">ROUNDUP(H1729/BY1729,0)</f>
        <v>2</v>
      </c>
      <c r="CN1729" s="50" t="n">
        <f aca="false">ROUNDUP(CI1729/BY1729,0)</f>
        <v>0</v>
      </c>
      <c r="CO1729" s="53" t="n">
        <f aca="false">IF(BZ1729=1,0,IFERROR(VLOOKUP(BX1729,'Gebinde-Kategorie'!$A$5:$N$45,5,0)+0,0))</f>
        <v>8</v>
      </c>
      <c r="CP1729" s="53" t="n">
        <f aca="false">IFERROR(IF(OR(CE1729=1,CE1729=2,CE1729=3),N(INDEX(Parameter!$I$5:$I$7,CE1729)),0),0)</f>
        <v>0</v>
      </c>
      <c r="CQ1729" s="52" t="n">
        <f aca="false">IF(AND(Parameter!$B$21="Ja",ISNUMBER(W1729),N(X1729)&gt;0),IFERROR(N(INDEX(Parameter!$L$5:$L$7,W1729))*INDEX(Parameter!$E$5:$E$7,W1729)*X1729/SUMIFS($X$7:$X$1843,$W$7:$W$1843,W1729),0),0)</f>
        <v>0</v>
      </c>
    </row>
    <row r="1730" customFormat="false" ht="15" hidden="false" customHeight="false" outlineLevel="0" collapsed="false">
      <c r="A1730" s="48" t="s">
        <v>3002</v>
      </c>
      <c r="B1730" s="48" t="s">
        <v>434</v>
      </c>
      <c r="C1730" s="48" t="s">
        <v>173</v>
      </c>
      <c r="D1730" s="48" t="s">
        <v>193</v>
      </c>
      <c r="E1730" s="48"/>
      <c r="F1730" s="48"/>
      <c r="G1730" s="49" t="n">
        <v>136.13</v>
      </c>
      <c r="H1730" s="50" t="n">
        <f aca="false">MAX(0,IF(AND(Parameter!$B$21="Ja",ISNUMBER(Y1730)),Y1730,IF(Parameter!$B$20="Jahresanfang 2025 + Export",BR1730+BQ1730,BQ1730)))</f>
        <v>12</v>
      </c>
      <c r="I1730" s="50" t="n">
        <f aca="false">H1730*G1730</f>
        <v>1633.56</v>
      </c>
      <c r="J1730" s="50" t="n">
        <f aca="false">BT1730*Parameter!$B$18</f>
        <v>0</v>
      </c>
      <c r="K1730" s="51"/>
      <c r="L1730" s="52"/>
      <c r="M1730" s="50" t="n">
        <v>0</v>
      </c>
      <c r="N1730" s="50" t="n">
        <v>10</v>
      </c>
      <c r="O1730" s="53" t="n">
        <v>42</v>
      </c>
      <c r="P1730" s="48" t="s">
        <v>435</v>
      </c>
      <c r="Q1730" s="50" t="n">
        <v>12</v>
      </c>
      <c r="R1730" s="53" t="n">
        <f aca="false">IF(BZ1730=1,0,IFERROR(VLOOKUP(BX1730,'Gebinde-Kategorie'!$A$5:$N$45,13,0)+0,0))</f>
        <v>140</v>
      </c>
      <c r="S1730" s="54"/>
      <c r="T1730" s="55"/>
      <c r="U1730" s="55"/>
      <c r="V1730" s="55"/>
      <c r="W1730" s="48"/>
      <c r="X1730" s="50"/>
      <c r="Y1730" s="50"/>
      <c r="Z1730" s="48" t="n">
        <f aca="false">IF(A1730="","",IF(AND(Parameter!$B$21="Ja",ISNUMBER(W1730)),W1730,IF(CC1730="2+3",IF(ISNUMBER(SEARCH("grosser Artikel",BU1730)),2,IFERROR(VLOOKUP(BX1730,Parameter!$F$35:$G$64,2,0),2)),IF(OR(CC1730="Nein",CC1730=""),"-",CC1730))))</f>
        <v>3</v>
      </c>
      <c r="AA1730" s="55"/>
      <c r="AB1730" s="56"/>
      <c r="AC1730" s="50" t="n">
        <f aca="false">AV1730</f>
        <v>10</v>
      </c>
      <c r="AD1730" s="50" t="n">
        <f aca="false">MAX(AV1730,H1730)</f>
        <v>12</v>
      </c>
      <c r="AE1730" s="57"/>
      <c r="AF1730" s="50" t="n">
        <f aca="false">IF(LEFT(Cockpit!$C$5,1)="A",H1730,IF(Parameter!$E$30="MAX-Bestand",IF(CH1730=1,CI1730,IF(LEFT(Cockpit!$C$5,1)="B",AL1730,MAX(AL1730,H1730))),ROUNDUP(AJ1730,0)))</f>
        <v>12</v>
      </c>
      <c r="AG1730" s="50" t="n">
        <f aca="false">IF(BZ1730=1,0,ROUNDUP(AF1730/BY1730,0))</f>
        <v>1</v>
      </c>
      <c r="AH1730" s="52" t="n">
        <f aca="false">IF(CQ1730&gt;0,CQ1730*MAX(1,AF1730/X1730),IF(BZ1730=1,IF(AF1730&lt;=0,0,CD1730*MAX(1,IF(H1730&gt;0,AF1730/H1730,1))),IF(R1730&gt;0,AG1730/R1730,0))/MAX(0.1,N(Parameter!$M$21)))</f>
        <v>0.00714285714285714</v>
      </c>
      <c r="AI1730" s="50" t="n">
        <f aca="false">AH1730*CB1730</f>
        <v>1.10714285714286</v>
      </c>
      <c r="AJ1730" s="51" t="n">
        <f aca="false">IF(LEFT(Cockpit!$C$5,1)="A",H1730,IF(CH1730=1,(CK1730+CI1730)/2,IF(LEFT(Cockpit!$C$5,1)="B",(CK1730+AL1730)/2,MAX((CK1730+AL1730)/2,H1730))))</f>
        <v>12</v>
      </c>
      <c r="AK1730" s="50" t="n">
        <f aca="false">AJ1730*G1730</f>
        <v>1633.56</v>
      </c>
      <c r="AL1730" s="50" t="n">
        <f aca="false">ROUNDUP(CK1730+MAX(CL1730,2*(J1730/IF(CG1730&gt;0,CG1730,MAX(0.1,N(Cockpit!$C$6)))-CK1730)),0)</f>
        <v>10</v>
      </c>
      <c r="AM1730" s="51" t="n">
        <f aca="false">IF(AI1730&gt;0,J1730/AI1730,-1)</f>
        <v>0</v>
      </c>
      <c r="AN1730" s="51" t="n">
        <f aca="false">IF(AND(OR(CF1730="L1",CF1730="L23",CF1730="LIFT"),AI1730&gt;0),SUMIFS($AI$7:$AI$1843,$CF$7:$CF$1843,CF1730,$AM$7:$AM$1843,"&gt;"&amp;AM1730)+SUMIFS($AI$7:$AI$1843,$CF$7:$CF$1843,CF1730,$AM$7:$AM$1843,AM1730,$BW$7:$BW$1843,"&lt;="&amp;BW1730),"")</f>
        <v>32848.1360459221</v>
      </c>
      <c r="AO1730" s="58" t="n">
        <f aca="false">IF(AN1730="",0,MAX(0,MIN(1,(IF(CF1730="L1",Parameter!$H$5,IF(CF1730="L23",Parameter!$H$6+Parameter!$H$7,Parameter!$H$5+Parameter!$H$6+Parameter!$H$7))-(AN1730-AI1730))/AI1730)))</f>
        <v>1</v>
      </c>
      <c r="AP1730" s="50" t="n">
        <f aca="false">IF(LEFT(Cockpit!$I$5,1)="A",H1730,IF(Parameter!$E$30="MAX-Bestand",IF(CH1730=1,CI1730,IF(LEFT(Cockpit!$I$5,1)="B",AV1730,MAX(AV1730,H1730))),ROUNDUP(AT1730,0)))</f>
        <v>12</v>
      </c>
      <c r="AQ1730" s="50" t="n">
        <f aca="false">IF(BZ1730=1,0,ROUNDUP(AP1730/BY1730,0))</f>
        <v>1</v>
      </c>
      <c r="AR1730" s="52" t="n">
        <f aca="false">IF(CQ1730&gt;0,CQ1730*MAX(1,AP1730/X1730),IF(BZ1730=1,IF(AP1730&lt;=0,0,CD1730*MAX(1,IF(H1730&gt;0,AP1730/H1730,1))),IF(R1730&gt;0,AQ1730/R1730,0))/MAX(0.1,N(Parameter!$M$21)))</f>
        <v>0.00714285714285714</v>
      </c>
      <c r="AS1730" s="50" t="n">
        <f aca="false">AR1730*CB1730</f>
        <v>1.10714285714286</v>
      </c>
      <c r="AT1730" s="51" t="n">
        <f aca="false">IF(LEFT(Cockpit!$I$5,1)="A",H1730,IF(CH1730=1,(CK1730+CI1730)/2,IF(LEFT(Cockpit!$I$5,1)="B",(CK1730+AV1730)/2,MAX((CK1730+AV1730)/2,H1730))))</f>
        <v>12</v>
      </c>
      <c r="AU1730" s="50" t="n">
        <f aca="false">AT1730*G1730</f>
        <v>1633.56</v>
      </c>
      <c r="AV1730" s="50" t="n">
        <f aca="false">ROUNDUP(CK1730+MAX(CL1730,2*(J1730/IF(CG1730&gt;0,CG1730,MAX(0.1,N(Cockpit!$I$6)))-CK1730)),0)</f>
        <v>10</v>
      </c>
      <c r="AW1730" s="51" t="n">
        <f aca="false">IF(AS1730&gt;0,J1730/AS1730,-1)</f>
        <v>0</v>
      </c>
      <c r="AX1730" s="51" t="n">
        <f aca="false">IF(AND(OR(CF1730="L1",CF1730="L23",CF1730="LIFT"),AS1730&gt;0),SUMIFS($AS$7:$AS$1843,$CF$7:$CF$1843,CF1730,$AW$7:$AW$1843,"&gt;"&amp;AW1730)+SUMIFS($AS$7:$AS$1843,$CF$7:$CF$1843,CF1730,$AW$7:$AW$1843,AW1730,$BW$7:$BW$1843,"&lt;="&amp;BW1730),"")</f>
        <v>39322.0449907908</v>
      </c>
      <c r="AY1730" s="58" t="n">
        <f aca="false">IF(AX1730="",0,MAX(0,MIN(1,(IF(CF1730="L1",Parameter!$H$5,IF(CF1730="L23",Parameter!$H$6+Parameter!$H$7,Parameter!$H$5+Parameter!$H$6+Parameter!$H$7))-(AX1730-AS1730))/AS1730)))</f>
        <v>0</v>
      </c>
      <c r="AZ1730" s="50" t="n">
        <f aca="false">IF(LEFT(Cockpit!$O$5,1)="A",H1730,IF(Parameter!$E$30="MAX-Bestand",IF(CH1730=1,CI1730,IF(LEFT(Cockpit!$O$5,1)="B",BF1730,MAX(BF1730,H1730))),ROUNDUP(BD1730,0)))</f>
        <v>5</v>
      </c>
      <c r="BA1730" s="50" t="n">
        <f aca="false">IF(BZ1730=1,0,ROUNDUP(AZ1730/BY1730,0))</f>
        <v>1</v>
      </c>
      <c r="BB1730" s="52" t="n">
        <f aca="false">IF(CQ1730&gt;0,CQ1730*MAX(1,AZ1730/X1730),IF(BZ1730=1,IF(AZ1730&lt;=0,0,CD1730*MAX(1,IF(H1730&gt;0,AZ1730/H1730,1))),IF(R1730&gt;0,BA1730/R1730,0))/MAX(0.1,N(Parameter!$M$21)))</f>
        <v>0.00714285714285714</v>
      </c>
      <c r="BC1730" s="50" t="n">
        <f aca="false">BB1730*CB1730</f>
        <v>1.10714285714286</v>
      </c>
      <c r="BD1730" s="51" t="n">
        <f aca="false">IF(LEFT(Cockpit!$O$5,1)="A",H1730,IF(CH1730=1,(CK1730+CI1730)/2,IF(LEFT(Cockpit!$O$5,1)="B",(CK1730+BF1730)/2,MAX((CK1730+BF1730)/2,H1730))))</f>
        <v>5</v>
      </c>
      <c r="BE1730" s="50" t="n">
        <f aca="false">BD1730*G1730</f>
        <v>680.65</v>
      </c>
      <c r="BF1730" s="50" t="n">
        <f aca="false">ROUNDUP(CK1730+MAX(CL1730,2*(J1730/IF(CG1730&gt;0,CG1730,MAX(0.1,N(Cockpit!$O$6)))-CK1730)),0)</f>
        <v>10</v>
      </c>
      <c r="BG1730" s="51" t="n">
        <f aca="false">IF(BC1730&gt;0,J1730/BC1730,-1)</f>
        <v>0</v>
      </c>
      <c r="BH1730" s="51" t="n">
        <f aca="false">IF(AND(OR(CF1730="L1",CF1730="L23",CF1730="LIFT"),BC1730&gt;0),SUMIFS($BC$7:$BC$1843,$CF$7:$CF$1843,CF1730,$BG$7:$BG$1843,"&gt;"&amp;BG1730)+SUMIFS($BC$7:$BC$1843,$CF$7:$CF$1843,CF1730,$BG$7:$BG$1843,BG1730,$BW$7:$BW$1843,"&lt;="&amp;BW1730),"")</f>
        <v>32550.7303139422</v>
      </c>
      <c r="BI1730" s="58" t="n">
        <f aca="false">IF(BH1730="",0,MAX(0,MIN(1,(IF(CF1730="L1",Parameter!$H$5,IF(CF1730="L23",Parameter!$H$6+Parameter!$H$7,Parameter!$H$5+Parameter!$H$6+Parameter!$H$7))-(BH1730-BC1730))/BC1730)))</f>
        <v>1</v>
      </c>
      <c r="BJ1730" s="48" t="str">
        <f aca="false">IF(AI1730&lt;=0,"",IF(CF1730="Aussen","Aussenlager",IF(CF1730="-","Nicht im Lift",IF(AO1730&gt;=1,"Lift",IF(AO1730&lt;=0,"Aussenlager","teilweise")))))</f>
        <v>Lift</v>
      </c>
      <c r="BK1730" s="48" t="str">
        <f aca="false">IF(AS1730&lt;=0,"",IF(CF1730="Aussen","Aussenlager",IF(CF1730="-","Nicht im Lift",IF(AY1730&gt;=1,"Lift",IF(AY1730&lt;=0,"Aussenlager","teilweise")))))</f>
        <v>Aussenlager</v>
      </c>
      <c r="BL1730" s="48" t="str">
        <f aca="false">IF(BC1730&lt;=0,"",IF(CF1730="Aussen","Aussenlager",IF(CF1730="-","Nicht im Lift",IF(BI1730&gt;=1,"Lift",IF(BI1730&lt;=0,"Aussenlager","teilweise")))))</f>
        <v>Lift</v>
      </c>
      <c r="BM1730" s="48" t="str">
        <f aca="false">IF(A1730="","",IF(BV1730=1,"Neu; ","")&amp;IF(AND(BV1730=0,BQ1730&lt;0),"negativer Bestand (Export "&amp;BQ1730&amp;"); ","")&amp;IF(J1730&lt;=0,"Kein Verbrauch; ","")&amp;IF(CQ1730&gt;0,"Lift "&amp;W1730&amp;" lt. Liftbericht (Fach "&amp;X1730&amp;" Stk); ",IF(CA1730=1,"Gebinde geschätzt ("&amp;T1730&amp;"); ",IF(BZ1730=1,"Lose – Tablare geschätzt; ","")))&amp;IF(H1730&gt;AV1730,"Überbestand "&amp;ROUND(H1730-AV1730,0)&amp;" Stk / CHF "&amp;ROUND((H1730-AV1730)*G1730,0)&amp;"; ","")&amp;IF(AND(CH1730=1,CI1730&lt;CJ1730),"MAX &lt; MB+LG; ","")&amp;IF(AND(CP1730&gt;0,CO1730*10&gt;CP1730),"zu hoch für Tablar; ","")&amp;IF(AND(BV1730=0,OR(CH1730=1,AA1730&lt;&gt;"",U1730&lt;&gt;"",V1730&lt;&gt;"",AB1730&lt;&gt;"")),"manuell übersteuert; ","")&amp;IF(AND(BZ1730=0,R1730=0),"Gebinde unbekannt / Stellmass fehlt; ","")&amp;IF(AND(BZ1730=0,N(V1730)&lt;=0,N(Q1730)&lt;=0),"Menge pro Gebinde fehlt (Ist = 1 Gebinde); ","")&amp;BU1730)</f>
        <v>Kein Verbrauch; Überbestand 2 Stk / CHF 272; nur im Artikelstamm (Bestand 23.06.2026)</v>
      </c>
      <c r="BN1730" s="48"/>
      <c r="BO1730" s="48"/>
      <c r="BP1730" s="55"/>
      <c r="BQ1730" s="50" t="n">
        <v>12</v>
      </c>
      <c r="BR1730" s="50" t="n">
        <v>0</v>
      </c>
      <c r="BS1730" s="49" t="n">
        <v>0</v>
      </c>
      <c r="BT1730" s="50" t="n">
        <v>0</v>
      </c>
      <c r="BU1730" s="48" t="s">
        <v>2584</v>
      </c>
      <c r="BV1730" s="53" t="n">
        <v>0</v>
      </c>
      <c r="BW1730" s="53" t="n">
        <v>1730</v>
      </c>
      <c r="BX1730" s="48" t="str">
        <f aca="false">IF(U1730&lt;&gt;"",UPPER(TRIM(U1730)),IF(CA1730=1,UPPER(VLOOKUP(T1730,Parameter!$I$27:$K$29,2,0)),IF(P1730="","LOSE",P1730)))</f>
        <v>S22</v>
      </c>
      <c r="BY1730" s="50" t="n">
        <f aca="false">IF(BX1730="LOSE",1,IF(N(V1730)&gt;0,V1730,IF(CA1730=1,MAX(1,N(VLOOKUP(T1730,Parameter!$I$27:$K$29,3,0)),H1730,N(N1730)),IF(N(Q1730)&gt;0,Q1730,MAX(1,H1730)))))</f>
        <v>12</v>
      </c>
      <c r="BZ1730" s="53" t="n">
        <f aca="false">IF(BX1730="LOSE",1,0)</f>
        <v>0</v>
      </c>
      <c r="CA1730" s="53" t="n">
        <f aca="false">IF(AND(U1730="",OR(P1730="",P1730="LOSE"),T1730&lt;&gt;"",N(S1730)&lt;=0,ISNUMBER(MATCH(T1730,Parameter!$I$27:$I$29,0))),1,0)</f>
        <v>0</v>
      </c>
      <c r="CB1730" s="53" t="n">
        <f aca="false">IF(CQ1730&gt;0,INDEX(Parameter!$H$5:$H$7,W1730)/INDEX(Parameter!$E$5:$E$7,W1730),IF(AND(BZ1730=0,N(IFERROR(VLOOKUP(BX1730,'Gebinde-Kategorie'!$A$5:$N$45,14,0),0))&gt;0),VLOOKUP(BX1730,'Gebinde-Kategorie'!$A$5:$N$45,14,0)*10+Parameter!$M$23,Parameter!$M$24))</f>
        <v>155</v>
      </c>
      <c r="CC1730" s="48" t="str">
        <f aca="false">IF(AND(Parameter!$B$19="Ja",E1730&lt;&gt;"",ISNUMBER(MATCH(E1730,Parameter!$I$35:$I$52,0))),VLOOKUP(E1730,Parameter!$I$35:$J$52,2,0),IFERROR(VLOOKUP(D1730,Parameter!$A$35:$C$64,2,0),"Nein"))</f>
        <v>2+3</v>
      </c>
      <c r="CD1730" s="52" t="n">
        <f aca="false">IF(BZ1730=0,0,IF(N(S1730)&gt;0,S1730,IFERROR(VLOOKUP(D1730,Parameter!$A$35:$C$64,3,0)+0,0)))</f>
        <v>0</v>
      </c>
      <c r="CE1730" s="48" t="n">
        <f aca="false">IF(AA1730&lt;&gt;"",AA1730,Z1730)</f>
        <v>3</v>
      </c>
      <c r="CF1730" s="48" t="str">
        <f aca="false">IF(OR(CE1730=1,CE1730=2,CE1730=3),IF(Parameter!$E$27="Ja","LIFT",IF(CE1730=1,"L1","L23")),IF(CE1730="Aussen","Aussen","-"))</f>
        <v>LIFT</v>
      </c>
      <c r="CG1730" s="59" t="n">
        <f aca="false">IF(N(AB1730)&gt;0,AB1730,0)</f>
        <v>0</v>
      </c>
      <c r="CH1730" s="53" t="n">
        <f aca="false">IF(ISNUMBER(AE1730),1,0)</f>
        <v>0</v>
      </c>
      <c r="CI1730" s="50" t="n">
        <f aca="false">N(AE1730)</f>
        <v>0</v>
      </c>
      <c r="CJ1730" s="50" t="n">
        <f aca="false">N(M1730)+N(N1730)</f>
        <v>10</v>
      </c>
      <c r="CK1730" s="50" t="n">
        <f aca="false">N(M1730)</f>
        <v>0</v>
      </c>
      <c r="CL1730" s="50" t="n">
        <f aca="false">N(N1730)</f>
        <v>10</v>
      </c>
      <c r="CM1730" s="50" t="n">
        <f aca="false">ROUNDUP(H1730/BY1730,0)</f>
        <v>1</v>
      </c>
      <c r="CN1730" s="50" t="n">
        <f aca="false">ROUNDUP(CI1730/BY1730,0)</f>
        <v>0</v>
      </c>
      <c r="CO1730" s="53" t="n">
        <f aca="false">IF(BZ1730=1,0,IFERROR(VLOOKUP(BX1730,'Gebinde-Kategorie'!$A$5:$N$45,5,0)+0,0))</f>
        <v>8</v>
      </c>
      <c r="CP1730" s="53" t="n">
        <f aca="false">IFERROR(IF(OR(CE1730=1,CE1730=2,CE1730=3),N(INDEX(Parameter!$I$5:$I$7,CE1730)),0),0)</f>
        <v>0</v>
      </c>
      <c r="CQ1730" s="52" t="n">
        <f aca="false">IF(AND(Parameter!$B$21="Ja",ISNUMBER(W1730),N(X1730)&gt;0),IFERROR(N(INDEX(Parameter!$L$5:$L$7,W1730))*INDEX(Parameter!$E$5:$E$7,W1730)*X1730/SUMIFS($X$7:$X$1843,$W$7:$W$1843,W1730),0),0)</f>
        <v>0</v>
      </c>
    </row>
    <row r="1731" customFormat="false" ht="15" hidden="false" customHeight="false" outlineLevel="0" collapsed="false">
      <c r="A1731" s="48" t="s">
        <v>3003</v>
      </c>
      <c r="B1731" s="48" t="s">
        <v>3004</v>
      </c>
      <c r="C1731" s="48" t="s">
        <v>173</v>
      </c>
      <c r="D1731" s="48" t="s">
        <v>193</v>
      </c>
      <c r="E1731" s="48"/>
      <c r="F1731" s="48"/>
      <c r="G1731" s="49" t="n">
        <v>24</v>
      </c>
      <c r="H1731" s="50" t="n">
        <f aca="false">MAX(0,IF(AND(Parameter!$B$21="Ja",ISNUMBER(Y1731)),Y1731,IF(Parameter!$B$20="Jahresanfang 2025 + Export",BR1731+BQ1731,BQ1731)))</f>
        <v>6</v>
      </c>
      <c r="I1731" s="50" t="n">
        <f aca="false">H1731*G1731</f>
        <v>144</v>
      </c>
      <c r="J1731" s="50" t="n">
        <f aca="false">BT1731*Parameter!$B$18</f>
        <v>0</v>
      </c>
      <c r="K1731" s="51"/>
      <c r="L1731" s="52"/>
      <c r="M1731" s="50" t="n">
        <v>0</v>
      </c>
      <c r="N1731" s="50" t="n">
        <v>1</v>
      </c>
      <c r="O1731" s="53" t="n">
        <v>28</v>
      </c>
      <c r="P1731" s="48" t="s">
        <v>410</v>
      </c>
      <c r="Q1731" s="50" t="n">
        <v>10</v>
      </c>
      <c r="R1731" s="53" t="n">
        <f aca="false">IF(BZ1731=1,0,IFERROR(VLOOKUP(BX1731,'Gebinde-Kategorie'!$A$5:$N$45,13,0)+0,0))</f>
        <v>280</v>
      </c>
      <c r="S1731" s="54"/>
      <c r="T1731" s="55"/>
      <c r="U1731" s="55"/>
      <c r="V1731" s="55"/>
      <c r="W1731" s="48"/>
      <c r="X1731" s="50"/>
      <c r="Y1731" s="50"/>
      <c r="Z1731" s="48" t="n">
        <f aca="false">IF(A1731="","",IF(AND(Parameter!$B$21="Ja",ISNUMBER(W1731)),W1731,IF(CC1731="2+3",IF(ISNUMBER(SEARCH("grosser Artikel",BU1731)),2,IFERROR(VLOOKUP(BX1731,Parameter!$F$35:$G$64,2,0),2)),IF(OR(CC1731="Nein",CC1731=""),"-",CC1731))))</f>
        <v>3</v>
      </c>
      <c r="AA1731" s="55"/>
      <c r="AB1731" s="56"/>
      <c r="AC1731" s="50" t="n">
        <f aca="false">AV1731</f>
        <v>1</v>
      </c>
      <c r="AD1731" s="50" t="n">
        <f aca="false">MAX(AV1731,H1731)</f>
        <v>6</v>
      </c>
      <c r="AE1731" s="57"/>
      <c r="AF1731" s="50" t="n">
        <f aca="false">IF(LEFT(Cockpit!$C$5,1)="A",H1731,IF(Parameter!$E$30="MAX-Bestand",IF(CH1731=1,CI1731,IF(LEFT(Cockpit!$C$5,1)="B",AL1731,MAX(AL1731,H1731))),ROUNDUP(AJ1731,0)))</f>
        <v>6</v>
      </c>
      <c r="AG1731" s="50" t="n">
        <f aca="false">IF(BZ1731=1,0,ROUNDUP(AF1731/BY1731,0))</f>
        <v>1</v>
      </c>
      <c r="AH1731" s="52" t="n">
        <f aca="false">IF(CQ1731&gt;0,CQ1731*MAX(1,AF1731/X1731),IF(BZ1731=1,IF(AF1731&lt;=0,0,CD1731*MAX(1,IF(H1731&gt;0,AF1731/H1731,1))),IF(R1731&gt;0,AG1731/R1731,0))/MAX(0.1,N(Parameter!$M$21)))</f>
        <v>0.00357142857142857</v>
      </c>
      <c r="AI1731" s="50" t="n">
        <f aca="false">AH1731*CB1731</f>
        <v>0.553571428571429</v>
      </c>
      <c r="AJ1731" s="51" t="n">
        <f aca="false">IF(LEFT(Cockpit!$C$5,1)="A",H1731,IF(CH1731=1,(CK1731+CI1731)/2,IF(LEFT(Cockpit!$C$5,1)="B",(CK1731+AL1731)/2,MAX((CK1731+AL1731)/2,H1731))))</f>
        <v>6</v>
      </c>
      <c r="AK1731" s="50" t="n">
        <f aca="false">AJ1731*G1731</f>
        <v>144</v>
      </c>
      <c r="AL1731" s="50" t="n">
        <f aca="false">ROUNDUP(CK1731+MAX(CL1731,2*(J1731/IF(CG1731&gt;0,CG1731,MAX(0.1,N(Cockpit!$C$6)))-CK1731)),0)</f>
        <v>1</v>
      </c>
      <c r="AM1731" s="51" t="n">
        <f aca="false">IF(AI1731&gt;0,J1731/AI1731,-1)</f>
        <v>0</v>
      </c>
      <c r="AN1731" s="51" t="n">
        <f aca="false">IF(AND(OR(CF1731="L1",CF1731="L23",CF1731="LIFT"),AI1731&gt;0),SUMIFS($AI$7:$AI$1843,$CF$7:$CF$1843,CF1731,$AM$7:$AM$1843,"&gt;"&amp;AM1731)+SUMIFS($AI$7:$AI$1843,$CF$7:$CF$1843,CF1731,$AM$7:$AM$1843,AM1731,$BW$7:$BW$1843,"&lt;="&amp;BW1731),"")</f>
        <v>32848.6896173506</v>
      </c>
      <c r="AO1731" s="58" t="n">
        <f aca="false">IF(AN1731="",0,MAX(0,MIN(1,(IF(CF1731="L1",Parameter!$H$5,IF(CF1731="L23",Parameter!$H$6+Parameter!$H$7,Parameter!$H$5+Parameter!$H$6+Parameter!$H$7))-(AN1731-AI1731))/AI1731)))</f>
        <v>1</v>
      </c>
      <c r="AP1731" s="50" t="n">
        <f aca="false">IF(LEFT(Cockpit!$I$5,1)="A",H1731,IF(Parameter!$E$30="MAX-Bestand",IF(CH1731=1,CI1731,IF(LEFT(Cockpit!$I$5,1)="B",AV1731,MAX(AV1731,H1731))),ROUNDUP(AT1731,0)))</f>
        <v>6</v>
      </c>
      <c r="AQ1731" s="50" t="n">
        <f aca="false">IF(BZ1731=1,0,ROUNDUP(AP1731/BY1731,0))</f>
        <v>1</v>
      </c>
      <c r="AR1731" s="52" t="n">
        <f aca="false">IF(CQ1731&gt;0,CQ1731*MAX(1,AP1731/X1731),IF(BZ1731=1,IF(AP1731&lt;=0,0,CD1731*MAX(1,IF(H1731&gt;0,AP1731/H1731,1))),IF(R1731&gt;0,AQ1731/R1731,0))/MAX(0.1,N(Parameter!$M$21)))</f>
        <v>0.00357142857142857</v>
      </c>
      <c r="AS1731" s="50" t="n">
        <f aca="false">AR1731*CB1731</f>
        <v>0.553571428571429</v>
      </c>
      <c r="AT1731" s="51" t="n">
        <f aca="false">IF(LEFT(Cockpit!$I$5,1)="A",H1731,IF(CH1731=1,(CK1731+CI1731)/2,IF(LEFT(Cockpit!$I$5,1)="B",(CK1731+AV1731)/2,MAX((CK1731+AV1731)/2,H1731))))</f>
        <v>6</v>
      </c>
      <c r="AU1731" s="50" t="n">
        <f aca="false">AT1731*G1731</f>
        <v>144</v>
      </c>
      <c r="AV1731" s="50" t="n">
        <f aca="false">ROUNDUP(CK1731+MAX(CL1731,2*(J1731/IF(CG1731&gt;0,CG1731,MAX(0.1,N(Cockpit!$I$6)))-CK1731)),0)</f>
        <v>1</v>
      </c>
      <c r="AW1731" s="51" t="n">
        <f aca="false">IF(AS1731&gt;0,J1731/AS1731,-1)</f>
        <v>0</v>
      </c>
      <c r="AX1731" s="51" t="n">
        <f aca="false">IF(AND(OR(CF1731="L1",CF1731="L23",CF1731="LIFT"),AS1731&gt;0),SUMIFS($AS$7:$AS$1843,$CF$7:$CF$1843,CF1731,$AW$7:$AW$1843,"&gt;"&amp;AW1731)+SUMIFS($AS$7:$AS$1843,$CF$7:$CF$1843,CF1731,$AW$7:$AW$1843,AW1731,$BW$7:$BW$1843,"&lt;="&amp;BW1731),"")</f>
        <v>39322.5985622193</v>
      </c>
      <c r="AY1731" s="58" t="n">
        <f aca="false">IF(AX1731="",0,MAX(0,MIN(1,(IF(CF1731="L1",Parameter!$H$5,IF(CF1731="L23",Parameter!$H$6+Parameter!$H$7,Parameter!$H$5+Parameter!$H$6+Parameter!$H$7))-(AX1731-AS1731))/AS1731)))</f>
        <v>0</v>
      </c>
      <c r="AZ1731" s="50" t="n">
        <f aca="false">IF(LEFT(Cockpit!$O$5,1)="A",H1731,IF(Parameter!$E$30="MAX-Bestand",IF(CH1731=1,CI1731,IF(LEFT(Cockpit!$O$5,1)="B",BF1731,MAX(BF1731,H1731))),ROUNDUP(BD1731,0)))</f>
        <v>1</v>
      </c>
      <c r="BA1731" s="50" t="n">
        <f aca="false">IF(BZ1731=1,0,ROUNDUP(AZ1731/BY1731,0))</f>
        <v>1</v>
      </c>
      <c r="BB1731" s="52" t="n">
        <f aca="false">IF(CQ1731&gt;0,CQ1731*MAX(1,AZ1731/X1731),IF(BZ1731=1,IF(AZ1731&lt;=0,0,CD1731*MAX(1,IF(H1731&gt;0,AZ1731/H1731,1))),IF(R1731&gt;0,BA1731/R1731,0))/MAX(0.1,N(Parameter!$M$21)))</f>
        <v>0.00357142857142857</v>
      </c>
      <c r="BC1731" s="50" t="n">
        <f aca="false">BB1731*CB1731</f>
        <v>0.553571428571429</v>
      </c>
      <c r="BD1731" s="51" t="n">
        <f aca="false">IF(LEFT(Cockpit!$O$5,1)="A",H1731,IF(CH1731=1,(CK1731+CI1731)/2,IF(LEFT(Cockpit!$O$5,1)="B",(CK1731+BF1731)/2,MAX((CK1731+BF1731)/2,H1731))))</f>
        <v>0.5</v>
      </c>
      <c r="BE1731" s="50" t="n">
        <f aca="false">BD1731*G1731</f>
        <v>12</v>
      </c>
      <c r="BF1731" s="50" t="n">
        <f aca="false">ROUNDUP(CK1731+MAX(CL1731,2*(J1731/IF(CG1731&gt;0,CG1731,MAX(0.1,N(Cockpit!$O$6)))-CK1731)),0)</f>
        <v>1</v>
      </c>
      <c r="BG1731" s="51" t="n">
        <f aca="false">IF(BC1731&gt;0,J1731/BC1731,-1)</f>
        <v>0</v>
      </c>
      <c r="BH1731" s="51" t="n">
        <f aca="false">IF(AND(OR(CF1731="L1",CF1731="L23",CF1731="LIFT"),BC1731&gt;0),SUMIFS($BC$7:$BC$1843,$CF$7:$CF$1843,CF1731,$BG$7:$BG$1843,"&gt;"&amp;BG1731)+SUMIFS($BC$7:$BC$1843,$CF$7:$CF$1843,CF1731,$BG$7:$BG$1843,BG1731,$BW$7:$BW$1843,"&lt;="&amp;BW1731),"")</f>
        <v>32551.2838853708</v>
      </c>
      <c r="BI1731" s="58" t="n">
        <f aca="false">IF(BH1731="",0,MAX(0,MIN(1,(IF(CF1731="L1",Parameter!$H$5,IF(CF1731="L23",Parameter!$H$6+Parameter!$H$7,Parameter!$H$5+Parameter!$H$6+Parameter!$H$7))-(BH1731-BC1731))/BC1731)))</f>
        <v>1</v>
      </c>
      <c r="BJ1731" s="48" t="str">
        <f aca="false">IF(AI1731&lt;=0,"",IF(CF1731="Aussen","Aussenlager",IF(CF1731="-","Nicht im Lift",IF(AO1731&gt;=1,"Lift",IF(AO1731&lt;=0,"Aussenlager","teilweise")))))</f>
        <v>Lift</v>
      </c>
      <c r="BK1731" s="48" t="str">
        <f aca="false">IF(AS1731&lt;=0,"",IF(CF1731="Aussen","Aussenlager",IF(CF1731="-","Nicht im Lift",IF(AY1731&gt;=1,"Lift",IF(AY1731&lt;=0,"Aussenlager","teilweise")))))</f>
        <v>Aussenlager</v>
      </c>
      <c r="BL1731" s="48" t="str">
        <f aca="false">IF(BC1731&lt;=0,"",IF(CF1731="Aussen","Aussenlager",IF(CF1731="-","Nicht im Lift",IF(BI1731&gt;=1,"Lift",IF(BI1731&lt;=0,"Aussenlager","teilweise")))))</f>
        <v>Lift</v>
      </c>
      <c r="BM1731" s="48" t="str">
        <f aca="false">IF(A1731="","",IF(BV1731=1,"Neu; ","")&amp;IF(AND(BV1731=0,BQ1731&lt;0),"negativer Bestand (Export "&amp;BQ1731&amp;"); ","")&amp;IF(J1731&lt;=0,"Kein Verbrauch; ","")&amp;IF(CQ1731&gt;0,"Lift "&amp;W1731&amp;" lt. Liftbericht (Fach "&amp;X1731&amp;" Stk); ",IF(CA1731=1,"Gebinde geschätzt ("&amp;T1731&amp;"); ",IF(BZ1731=1,"Lose – Tablare geschätzt; ","")))&amp;IF(H1731&gt;AV1731,"Überbestand "&amp;ROUND(H1731-AV1731,0)&amp;" Stk / CHF "&amp;ROUND((H1731-AV1731)*G1731,0)&amp;"; ","")&amp;IF(AND(CH1731=1,CI1731&lt;CJ1731),"MAX &lt; MB+LG; ","")&amp;IF(AND(CP1731&gt;0,CO1731*10&gt;CP1731),"zu hoch für Tablar; ","")&amp;IF(AND(BV1731=0,OR(CH1731=1,AA1731&lt;&gt;"",U1731&lt;&gt;"",V1731&lt;&gt;"",AB1731&lt;&gt;"")),"manuell übersteuert; ","")&amp;IF(AND(BZ1731=0,R1731=0),"Gebinde unbekannt / Stellmass fehlt; ","")&amp;IF(AND(BZ1731=0,N(V1731)&lt;=0,N(Q1731)&lt;=0),"Menge pro Gebinde fehlt (Ist = 1 Gebinde); ","")&amp;BU1731)</f>
        <v>Kein Verbrauch; Überbestand 5 Stk / CHF 120; nur im Artikelstamm (Bestand 23.06.2026); Überbestand</v>
      </c>
      <c r="BN1731" s="48"/>
      <c r="BO1731" s="48"/>
      <c r="BP1731" s="55"/>
      <c r="BQ1731" s="50" t="n">
        <v>6</v>
      </c>
      <c r="BR1731" s="50" t="n">
        <v>0</v>
      </c>
      <c r="BS1731" s="49" t="n">
        <v>0</v>
      </c>
      <c r="BT1731" s="50" t="n">
        <v>0</v>
      </c>
      <c r="BU1731" s="48" t="s">
        <v>2581</v>
      </c>
      <c r="BV1731" s="53" t="n">
        <v>0</v>
      </c>
      <c r="BW1731" s="53" t="n">
        <v>1731</v>
      </c>
      <c r="BX1731" s="48" t="str">
        <f aca="false">IF(U1731&lt;&gt;"",UPPER(TRIM(U1731)),IF(CA1731=1,UPPER(VLOOKUP(T1731,Parameter!$I$27:$K$29,2,0)),IF(P1731="","LOSE",P1731)))</f>
        <v>S21</v>
      </c>
      <c r="BY1731" s="50" t="n">
        <f aca="false">IF(BX1731="LOSE",1,IF(N(V1731)&gt;0,V1731,IF(CA1731=1,MAX(1,N(VLOOKUP(T1731,Parameter!$I$27:$K$29,3,0)),H1731,N(N1731)),IF(N(Q1731)&gt;0,Q1731,MAX(1,H1731)))))</f>
        <v>10</v>
      </c>
      <c r="BZ1731" s="53" t="n">
        <f aca="false">IF(BX1731="LOSE",1,0)</f>
        <v>0</v>
      </c>
      <c r="CA1731" s="53" t="n">
        <f aca="false">IF(AND(U1731="",OR(P1731="",P1731="LOSE"),T1731&lt;&gt;"",N(S1731)&lt;=0,ISNUMBER(MATCH(T1731,Parameter!$I$27:$I$29,0))),1,0)</f>
        <v>0</v>
      </c>
      <c r="CB1731" s="53" t="n">
        <f aca="false">IF(CQ1731&gt;0,INDEX(Parameter!$H$5:$H$7,W1731)/INDEX(Parameter!$E$5:$E$7,W1731),IF(AND(BZ1731=0,N(IFERROR(VLOOKUP(BX1731,'Gebinde-Kategorie'!$A$5:$N$45,14,0),0))&gt;0),VLOOKUP(BX1731,'Gebinde-Kategorie'!$A$5:$N$45,14,0)*10+Parameter!$M$23,Parameter!$M$24))</f>
        <v>155</v>
      </c>
      <c r="CC1731" s="48" t="str">
        <f aca="false">IF(AND(Parameter!$B$19="Ja",E1731&lt;&gt;"",ISNUMBER(MATCH(E1731,Parameter!$I$35:$I$52,0))),VLOOKUP(E1731,Parameter!$I$35:$J$52,2,0),IFERROR(VLOOKUP(D1731,Parameter!$A$35:$C$64,2,0),"Nein"))</f>
        <v>2+3</v>
      </c>
      <c r="CD1731" s="52" t="n">
        <f aca="false">IF(BZ1731=0,0,IF(N(S1731)&gt;0,S1731,IFERROR(VLOOKUP(D1731,Parameter!$A$35:$C$64,3,0)+0,0)))</f>
        <v>0</v>
      </c>
      <c r="CE1731" s="48" t="n">
        <f aca="false">IF(AA1731&lt;&gt;"",AA1731,Z1731)</f>
        <v>3</v>
      </c>
      <c r="CF1731" s="48" t="str">
        <f aca="false">IF(OR(CE1731=1,CE1731=2,CE1731=3),IF(Parameter!$E$27="Ja","LIFT",IF(CE1731=1,"L1","L23")),IF(CE1731="Aussen","Aussen","-"))</f>
        <v>LIFT</v>
      </c>
      <c r="CG1731" s="59" t="n">
        <f aca="false">IF(N(AB1731)&gt;0,AB1731,0)</f>
        <v>0</v>
      </c>
      <c r="CH1731" s="53" t="n">
        <f aca="false">IF(ISNUMBER(AE1731),1,0)</f>
        <v>0</v>
      </c>
      <c r="CI1731" s="50" t="n">
        <f aca="false">N(AE1731)</f>
        <v>0</v>
      </c>
      <c r="CJ1731" s="50" t="n">
        <f aca="false">N(M1731)+N(N1731)</f>
        <v>1</v>
      </c>
      <c r="CK1731" s="50" t="n">
        <f aca="false">N(M1731)</f>
        <v>0</v>
      </c>
      <c r="CL1731" s="50" t="n">
        <f aca="false">N(N1731)</f>
        <v>1</v>
      </c>
      <c r="CM1731" s="50" t="n">
        <f aca="false">ROUNDUP(H1731/BY1731,0)</f>
        <v>1</v>
      </c>
      <c r="CN1731" s="50" t="n">
        <f aca="false">ROUNDUP(CI1731/BY1731,0)</f>
        <v>0</v>
      </c>
      <c r="CO1731" s="53" t="n">
        <f aca="false">IF(BZ1731=1,0,IFERROR(VLOOKUP(BX1731,'Gebinde-Kategorie'!$A$5:$N$45,5,0)+0,0))</f>
        <v>8</v>
      </c>
      <c r="CP1731" s="53" t="n">
        <f aca="false">IFERROR(IF(OR(CE1731=1,CE1731=2,CE1731=3),N(INDEX(Parameter!$I$5:$I$7,CE1731)),0),0)</f>
        <v>0</v>
      </c>
      <c r="CQ1731" s="52" t="n">
        <f aca="false">IF(AND(Parameter!$B$21="Ja",ISNUMBER(W1731),N(X1731)&gt;0),IFERROR(N(INDEX(Parameter!$L$5:$L$7,W1731))*INDEX(Parameter!$E$5:$E$7,W1731)*X1731/SUMIFS($X$7:$X$1843,$W$7:$W$1843,W1731),0),0)</f>
        <v>0</v>
      </c>
    </row>
    <row r="1732" customFormat="false" ht="15" hidden="false" customHeight="false" outlineLevel="0" collapsed="false">
      <c r="A1732" s="48" t="s">
        <v>3005</v>
      </c>
      <c r="B1732" s="48" t="s">
        <v>1635</v>
      </c>
      <c r="C1732" s="48" t="s">
        <v>173</v>
      </c>
      <c r="D1732" s="48" t="s">
        <v>193</v>
      </c>
      <c r="E1732" s="48"/>
      <c r="F1732" s="48"/>
      <c r="G1732" s="49" t="n">
        <v>6.66</v>
      </c>
      <c r="H1732" s="50" t="n">
        <f aca="false">MAX(0,IF(AND(Parameter!$B$21="Ja",ISNUMBER(Y1732)),Y1732,IF(Parameter!$B$20="Jahresanfang 2025 + Export",BR1732+BQ1732,BQ1732)))</f>
        <v>10</v>
      </c>
      <c r="I1732" s="50" t="n">
        <f aca="false">H1732*G1732</f>
        <v>66.6</v>
      </c>
      <c r="J1732" s="50" t="n">
        <f aca="false">BT1732*Parameter!$B$18</f>
        <v>0</v>
      </c>
      <c r="K1732" s="51"/>
      <c r="L1732" s="52"/>
      <c r="M1732" s="50" t="n">
        <v>0</v>
      </c>
      <c r="N1732" s="50" t="n">
        <v>0</v>
      </c>
      <c r="O1732" s="53" t="n">
        <v>14</v>
      </c>
      <c r="P1732" s="48" t="s">
        <v>435</v>
      </c>
      <c r="Q1732" s="50" t="n">
        <v>10</v>
      </c>
      <c r="R1732" s="53" t="n">
        <f aca="false">IF(BZ1732=1,0,IFERROR(VLOOKUP(BX1732,'Gebinde-Kategorie'!$A$5:$N$45,13,0)+0,0))</f>
        <v>140</v>
      </c>
      <c r="S1732" s="54"/>
      <c r="T1732" s="55"/>
      <c r="U1732" s="55"/>
      <c r="V1732" s="55"/>
      <c r="W1732" s="48"/>
      <c r="X1732" s="50"/>
      <c r="Y1732" s="50"/>
      <c r="Z1732" s="48" t="n">
        <f aca="false">IF(A1732="","",IF(AND(Parameter!$B$21="Ja",ISNUMBER(W1732)),W1732,IF(CC1732="2+3",IF(ISNUMBER(SEARCH("grosser Artikel",BU1732)),2,IFERROR(VLOOKUP(BX1732,Parameter!$F$35:$G$64,2,0),2)),IF(OR(CC1732="Nein",CC1732=""),"-",CC1732))))</f>
        <v>3</v>
      </c>
      <c r="AA1732" s="55"/>
      <c r="AB1732" s="56"/>
      <c r="AC1732" s="50" t="n">
        <f aca="false">AV1732</f>
        <v>0</v>
      </c>
      <c r="AD1732" s="50" t="n">
        <f aca="false">MAX(AV1732,H1732)</f>
        <v>10</v>
      </c>
      <c r="AE1732" s="57"/>
      <c r="AF1732" s="50" t="n">
        <f aca="false">IF(LEFT(Cockpit!$C$5,1)="A",H1732,IF(Parameter!$E$30="MAX-Bestand",IF(CH1732=1,CI1732,IF(LEFT(Cockpit!$C$5,1)="B",AL1732,MAX(AL1732,H1732))),ROUNDUP(AJ1732,0)))</f>
        <v>10</v>
      </c>
      <c r="AG1732" s="50" t="n">
        <f aca="false">IF(BZ1732=1,0,ROUNDUP(AF1732/BY1732,0))</f>
        <v>1</v>
      </c>
      <c r="AH1732" s="52" t="n">
        <f aca="false">IF(CQ1732&gt;0,CQ1732*MAX(1,AF1732/X1732),IF(BZ1732=1,IF(AF1732&lt;=0,0,CD1732*MAX(1,IF(H1732&gt;0,AF1732/H1732,1))),IF(R1732&gt;0,AG1732/R1732,0))/MAX(0.1,N(Parameter!$M$21)))</f>
        <v>0.00714285714285714</v>
      </c>
      <c r="AI1732" s="50" t="n">
        <f aca="false">AH1732*CB1732</f>
        <v>1.10714285714286</v>
      </c>
      <c r="AJ1732" s="51" t="n">
        <f aca="false">IF(LEFT(Cockpit!$C$5,1)="A",H1732,IF(CH1732=1,(CK1732+CI1732)/2,IF(LEFT(Cockpit!$C$5,1)="B",(CK1732+AL1732)/2,MAX((CK1732+AL1732)/2,H1732))))</f>
        <v>10</v>
      </c>
      <c r="AK1732" s="50" t="n">
        <f aca="false">AJ1732*G1732</f>
        <v>66.6</v>
      </c>
      <c r="AL1732" s="50" t="n">
        <f aca="false">ROUNDUP(CK1732+MAX(CL1732,2*(J1732/IF(CG1732&gt;0,CG1732,MAX(0.1,N(Cockpit!$C$6)))-CK1732)),0)</f>
        <v>0</v>
      </c>
      <c r="AM1732" s="51" t="n">
        <f aca="false">IF(AI1732&gt;0,J1732/AI1732,-1)</f>
        <v>0</v>
      </c>
      <c r="AN1732" s="51" t="n">
        <f aca="false">IF(AND(OR(CF1732="L1",CF1732="L23",CF1732="LIFT"),AI1732&gt;0),SUMIFS($AI$7:$AI$1843,$CF$7:$CF$1843,CF1732,$AM$7:$AM$1843,"&gt;"&amp;AM1732)+SUMIFS($AI$7:$AI$1843,$CF$7:$CF$1843,CF1732,$AM$7:$AM$1843,AM1732,$BW$7:$BW$1843,"&lt;="&amp;BW1732),"")</f>
        <v>32849.7967602078</v>
      </c>
      <c r="AO1732" s="58" t="n">
        <f aca="false">IF(AN1732="",0,MAX(0,MIN(1,(IF(CF1732="L1",Parameter!$H$5,IF(CF1732="L23",Parameter!$H$6+Parameter!$H$7,Parameter!$H$5+Parameter!$H$6+Parameter!$H$7))-(AN1732-AI1732))/AI1732)))</f>
        <v>1</v>
      </c>
      <c r="AP1732" s="50" t="n">
        <f aca="false">IF(LEFT(Cockpit!$I$5,1)="A",H1732,IF(Parameter!$E$30="MAX-Bestand",IF(CH1732=1,CI1732,IF(LEFT(Cockpit!$I$5,1)="B",AV1732,MAX(AV1732,H1732))),ROUNDUP(AT1732,0)))</f>
        <v>10</v>
      </c>
      <c r="AQ1732" s="50" t="n">
        <f aca="false">IF(BZ1732=1,0,ROUNDUP(AP1732/BY1732,0))</f>
        <v>1</v>
      </c>
      <c r="AR1732" s="52" t="n">
        <f aca="false">IF(CQ1732&gt;0,CQ1732*MAX(1,AP1732/X1732),IF(BZ1732=1,IF(AP1732&lt;=0,0,CD1732*MAX(1,IF(H1732&gt;0,AP1732/H1732,1))),IF(R1732&gt;0,AQ1732/R1732,0))/MAX(0.1,N(Parameter!$M$21)))</f>
        <v>0.00714285714285714</v>
      </c>
      <c r="AS1732" s="50" t="n">
        <f aca="false">AR1732*CB1732</f>
        <v>1.10714285714286</v>
      </c>
      <c r="AT1732" s="51" t="n">
        <f aca="false">IF(LEFT(Cockpit!$I$5,1)="A",H1732,IF(CH1732=1,(CK1732+CI1732)/2,IF(LEFT(Cockpit!$I$5,1)="B",(CK1732+AV1732)/2,MAX((CK1732+AV1732)/2,H1732))))</f>
        <v>10</v>
      </c>
      <c r="AU1732" s="50" t="n">
        <f aca="false">AT1732*G1732</f>
        <v>66.6</v>
      </c>
      <c r="AV1732" s="50" t="n">
        <f aca="false">ROUNDUP(CK1732+MAX(CL1732,2*(J1732/IF(CG1732&gt;0,CG1732,MAX(0.1,N(Cockpit!$I$6)))-CK1732)),0)</f>
        <v>0</v>
      </c>
      <c r="AW1732" s="51" t="n">
        <f aca="false">IF(AS1732&gt;0,J1732/AS1732,-1)</f>
        <v>0</v>
      </c>
      <c r="AX1732" s="51" t="n">
        <f aca="false">IF(AND(OR(CF1732="L1",CF1732="L23",CF1732="LIFT"),AS1732&gt;0),SUMIFS($AS$7:$AS$1843,$CF$7:$CF$1843,CF1732,$AW$7:$AW$1843,"&gt;"&amp;AW1732)+SUMIFS($AS$7:$AS$1843,$CF$7:$CF$1843,CF1732,$AW$7:$AW$1843,AW1732,$BW$7:$BW$1843,"&lt;="&amp;BW1732),"")</f>
        <v>39323.7057050765</v>
      </c>
      <c r="AY1732" s="58" t="n">
        <f aca="false">IF(AX1732="",0,MAX(0,MIN(1,(IF(CF1732="L1",Parameter!$H$5,IF(CF1732="L23",Parameter!$H$6+Parameter!$H$7,Parameter!$H$5+Parameter!$H$6+Parameter!$H$7))-(AX1732-AS1732))/AS1732)))</f>
        <v>0</v>
      </c>
      <c r="AZ1732" s="50" t="n">
        <f aca="false">IF(LEFT(Cockpit!$O$5,1)="A",H1732,IF(Parameter!$E$30="MAX-Bestand",IF(CH1732=1,CI1732,IF(LEFT(Cockpit!$O$5,1)="B",BF1732,MAX(BF1732,H1732))),ROUNDUP(BD1732,0)))</f>
        <v>0</v>
      </c>
      <c r="BA1732" s="50" t="n">
        <f aca="false">IF(BZ1732=1,0,ROUNDUP(AZ1732/BY1732,0))</f>
        <v>0</v>
      </c>
      <c r="BB1732" s="52" t="n">
        <f aca="false">IF(CQ1732&gt;0,CQ1732*MAX(1,AZ1732/X1732),IF(BZ1732=1,IF(AZ1732&lt;=0,0,CD1732*MAX(1,IF(H1732&gt;0,AZ1732/H1732,1))),IF(R1732&gt;0,BA1732/R1732,0))/MAX(0.1,N(Parameter!$M$21)))</f>
        <v>0</v>
      </c>
      <c r="BC1732" s="50" t="n">
        <f aca="false">BB1732*CB1732</f>
        <v>0</v>
      </c>
      <c r="BD1732" s="51" t="n">
        <f aca="false">IF(LEFT(Cockpit!$O$5,1)="A",H1732,IF(CH1732=1,(CK1732+CI1732)/2,IF(LEFT(Cockpit!$O$5,1)="B",(CK1732+BF1732)/2,MAX((CK1732+BF1732)/2,H1732))))</f>
        <v>0</v>
      </c>
      <c r="BE1732" s="50" t="n">
        <f aca="false">BD1732*G1732</f>
        <v>0</v>
      </c>
      <c r="BF1732" s="50" t="n">
        <f aca="false">ROUNDUP(CK1732+MAX(CL1732,2*(J1732/IF(CG1732&gt;0,CG1732,MAX(0.1,N(Cockpit!$O$6)))-CK1732)),0)</f>
        <v>0</v>
      </c>
      <c r="BG1732" s="51" t="n">
        <f aca="false">IF(BC1732&gt;0,J1732/BC1732,-1)</f>
        <v>-1</v>
      </c>
      <c r="BH1732" s="51" t="str">
        <f aca="false">IF(AND(OR(CF1732="L1",CF1732="L23",CF1732="LIFT"),BC1732&gt;0),SUMIFS($BC$7:$BC$1843,$CF$7:$CF$1843,CF1732,$BG$7:$BG$1843,"&gt;"&amp;BG1732)+SUMIFS($BC$7:$BC$1843,$CF$7:$CF$1843,CF1732,$BG$7:$BG$1843,BG1732,$BW$7:$BW$1843,"&lt;="&amp;BW1732),"")</f>
        <v/>
      </c>
      <c r="BI1732" s="58" t="n">
        <f aca="false">IF(BH1732="",0,MAX(0,MIN(1,(IF(CF1732="L1",Parameter!$H$5,IF(CF1732="L23",Parameter!$H$6+Parameter!$H$7,Parameter!$H$5+Parameter!$H$6+Parameter!$H$7))-(BH1732-BC1732))/BC1732)))</f>
        <v>0</v>
      </c>
      <c r="BJ1732" s="48" t="str">
        <f aca="false">IF(AI1732&lt;=0,"",IF(CF1732="Aussen","Aussenlager",IF(CF1732="-","Nicht im Lift",IF(AO1732&gt;=1,"Lift",IF(AO1732&lt;=0,"Aussenlager","teilweise")))))</f>
        <v>Lift</v>
      </c>
      <c r="BK1732" s="48" t="str">
        <f aca="false">IF(AS1732&lt;=0,"",IF(CF1732="Aussen","Aussenlager",IF(CF1732="-","Nicht im Lift",IF(AY1732&gt;=1,"Lift",IF(AY1732&lt;=0,"Aussenlager","teilweise")))))</f>
        <v>Aussenlager</v>
      </c>
      <c r="BL1732" s="48" t="str">
        <f aca="false">IF(BC1732&lt;=0,"",IF(CF1732="Aussen","Aussenlager",IF(CF1732="-","Nicht im Lift",IF(BI1732&gt;=1,"Lift",IF(BI1732&lt;=0,"Aussenlager","teilweise")))))</f>
        <v/>
      </c>
      <c r="BM1732" s="48" t="str">
        <f aca="false">IF(A1732="","",IF(BV1732=1,"Neu; ","")&amp;IF(AND(BV1732=0,BQ1732&lt;0),"negativer Bestand (Export "&amp;BQ1732&amp;"); ","")&amp;IF(J1732&lt;=0,"Kein Verbrauch; ","")&amp;IF(CQ1732&gt;0,"Lift "&amp;W1732&amp;" lt. Liftbericht (Fach "&amp;X1732&amp;" Stk); ",IF(CA1732=1,"Gebinde geschätzt ("&amp;T1732&amp;"); ",IF(BZ1732=1,"Lose – Tablare geschätzt; ","")))&amp;IF(H1732&gt;AV1732,"Überbestand "&amp;ROUND(H1732-AV1732,0)&amp;" Stk / CHF "&amp;ROUND((H1732-AV1732)*G1732,0)&amp;"; ","")&amp;IF(AND(CH1732=1,CI1732&lt;CJ1732),"MAX &lt; MB+LG; ","")&amp;IF(AND(CP1732&gt;0,CO1732*10&gt;CP1732),"zu hoch für Tablar; ","")&amp;IF(AND(BV1732=0,OR(CH1732=1,AA1732&lt;&gt;"",U1732&lt;&gt;"",V1732&lt;&gt;"",AB1732&lt;&gt;"")),"manuell übersteuert; ","")&amp;IF(AND(BZ1732=0,R1732=0),"Gebinde unbekannt / Stellmass fehlt; ","")&amp;IF(AND(BZ1732=0,N(V1732)&lt;=0,N(Q1732)&lt;=0),"Menge pro Gebinde fehlt (Ist = 1 Gebinde); ","")&amp;BU1732)</f>
        <v>Kein Verbrauch; Überbestand 10 Stk / CHF 67; nur im Artikelstamm (Bestand 23.06.2026); Verb.Lager</v>
      </c>
      <c r="BN1732" s="48"/>
      <c r="BO1732" s="48"/>
      <c r="BP1732" s="55"/>
      <c r="BQ1732" s="50" t="n">
        <v>10</v>
      </c>
      <c r="BR1732" s="50" t="n">
        <v>0</v>
      </c>
      <c r="BS1732" s="49" t="n">
        <v>0</v>
      </c>
      <c r="BT1732" s="50" t="n">
        <v>0</v>
      </c>
      <c r="BU1732" s="48" t="s">
        <v>2578</v>
      </c>
      <c r="BV1732" s="53" t="n">
        <v>0</v>
      </c>
      <c r="BW1732" s="53" t="n">
        <v>1732</v>
      </c>
      <c r="BX1732" s="48" t="str">
        <f aca="false">IF(U1732&lt;&gt;"",UPPER(TRIM(U1732)),IF(CA1732=1,UPPER(VLOOKUP(T1732,Parameter!$I$27:$K$29,2,0)),IF(P1732="","LOSE",P1732)))</f>
        <v>S22</v>
      </c>
      <c r="BY1732" s="50" t="n">
        <f aca="false">IF(BX1732="LOSE",1,IF(N(V1732)&gt;0,V1732,IF(CA1732=1,MAX(1,N(VLOOKUP(T1732,Parameter!$I$27:$K$29,3,0)),H1732,N(N1732)),IF(N(Q1732)&gt;0,Q1732,MAX(1,H1732)))))</f>
        <v>10</v>
      </c>
      <c r="BZ1732" s="53" t="n">
        <f aca="false">IF(BX1732="LOSE",1,0)</f>
        <v>0</v>
      </c>
      <c r="CA1732" s="53" t="n">
        <f aca="false">IF(AND(U1732="",OR(P1732="",P1732="LOSE"),T1732&lt;&gt;"",N(S1732)&lt;=0,ISNUMBER(MATCH(T1732,Parameter!$I$27:$I$29,0))),1,0)</f>
        <v>0</v>
      </c>
      <c r="CB1732" s="53" t="n">
        <f aca="false">IF(CQ1732&gt;0,INDEX(Parameter!$H$5:$H$7,W1732)/INDEX(Parameter!$E$5:$E$7,W1732),IF(AND(BZ1732=0,N(IFERROR(VLOOKUP(BX1732,'Gebinde-Kategorie'!$A$5:$N$45,14,0),0))&gt;0),VLOOKUP(BX1732,'Gebinde-Kategorie'!$A$5:$N$45,14,0)*10+Parameter!$M$23,Parameter!$M$24))</f>
        <v>155</v>
      </c>
      <c r="CC1732" s="48" t="str">
        <f aca="false">IF(AND(Parameter!$B$19="Ja",E1732&lt;&gt;"",ISNUMBER(MATCH(E1732,Parameter!$I$35:$I$52,0))),VLOOKUP(E1732,Parameter!$I$35:$J$52,2,0),IFERROR(VLOOKUP(D1732,Parameter!$A$35:$C$64,2,0),"Nein"))</f>
        <v>2+3</v>
      </c>
      <c r="CD1732" s="52" t="n">
        <f aca="false">IF(BZ1732=0,0,IF(N(S1732)&gt;0,S1732,IFERROR(VLOOKUP(D1732,Parameter!$A$35:$C$64,3,0)+0,0)))</f>
        <v>0</v>
      </c>
      <c r="CE1732" s="48" t="n">
        <f aca="false">IF(AA1732&lt;&gt;"",AA1732,Z1732)</f>
        <v>3</v>
      </c>
      <c r="CF1732" s="48" t="str">
        <f aca="false">IF(OR(CE1732=1,CE1732=2,CE1732=3),IF(Parameter!$E$27="Ja","LIFT",IF(CE1732=1,"L1","L23")),IF(CE1732="Aussen","Aussen","-"))</f>
        <v>LIFT</v>
      </c>
      <c r="CG1732" s="59" t="n">
        <f aca="false">IF(N(AB1732)&gt;0,AB1732,0)</f>
        <v>0</v>
      </c>
      <c r="CH1732" s="53" t="n">
        <f aca="false">IF(ISNUMBER(AE1732),1,0)</f>
        <v>0</v>
      </c>
      <c r="CI1732" s="50" t="n">
        <f aca="false">N(AE1732)</f>
        <v>0</v>
      </c>
      <c r="CJ1732" s="50" t="n">
        <f aca="false">N(M1732)+N(N1732)</f>
        <v>0</v>
      </c>
      <c r="CK1732" s="50" t="n">
        <f aca="false">N(M1732)</f>
        <v>0</v>
      </c>
      <c r="CL1732" s="50" t="n">
        <f aca="false">N(N1732)</f>
        <v>0</v>
      </c>
      <c r="CM1732" s="50" t="n">
        <f aca="false">ROUNDUP(H1732/BY1732,0)</f>
        <v>1</v>
      </c>
      <c r="CN1732" s="50" t="n">
        <f aca="false">ROUNDUP(CI1732/BY1732,0)</f>
        <v>0</v>
      </c>
      <c r="CO1732" s="53" t="n">
        <f aca="false">IF(BZ1732=1,0,IFERROR(VLOOKUP(BX1732,'Gebinde-Kategorie'!$A$5:$N$45,5,0)+0,0))</f>
        <v>8</v>
      </c>
      <c r="CP1732" s="53" t="n">
        <f aca="false">IFERROR(IF(OR(CE1732=1,CE1732=2,CE1732=3),N(INDEX(Parameter!$I$5:$I$7,CE1732)),0),0)</f>
        <v>0</v>
      </c>
      <c r="CQ1732" s="52" t="n">
        <f aca="false">IF(AND(Parameter!$B$21="Ja",ISNUMBER(W1732),N(X1732)&gt;0),IFERROR(N(INDEX(Parameter!$L$5:$L$7,W1732))*INDEX(Parameter!$E$5:$E$7,W1732)*X1732/SUMIFS($X$7:$X$1843,$W$7:$W$1843,W1732),0),0)</f>
        <v>0</v>
      </c>
    </row>
    <row r="1733" customFormat="false" ht="15" hidden="false" customHeight="false" outlineLevel="0" collapsed="false">
      <c r="A1733" s="48" t="s">
        <v>3006</v>
      </c>
      <c r="B1733" s="48" t="s">
        <v>3007</v>
      </c>
      <c r="C1733" s="48" t="s">
        <v>173</v>
      </c>
      <c r="D1733" s="48" t="s">
        <v>193</v>
      </c>
      <c r="E1733" s="48"/>
      <c r="F1733" s="48"/>
      <c r="G1733" s="49" t="n">
        <v>22.61</v>
      </c>
      <c r="H1733" s="50" t="n">
        <f aca="false">MAX(0,IF(AND(Parameter!$B$21="Ja",ISNUMBER(Y1733)),Y1733,IF(Parameter!$B$20="Jahresanfang 2025 + Export",BR1733+BQ1733,BQ1733)))</f>
        <v>5</v>
      </c>
      <c r="I1733" s="50" t="n">
        <f aca="false">H1733*G1733</f>
        <v>113.05</v>
      </c>
      <c r="J1733" s="50" t="n">
        <f aca="false">BT1733*Parameter!$B$18</f>
        <v>0</v>
      </c>
      <c r="K1733" s="51"/>
      <c r="L1733" s="52"/>
      <c r="M1733" s="50" t="n">
        <v>0</v>
      </c>
      <c r="N1733" s="50" t="n">
        <v>3</v>
      </c>
      <c r="O1733" s="53" t="n">
        <v>0</v>
      </c>
      <c r="P1733" s="48" t="s">
        <v>410</v>
      </c>
      <c r="Q1733" s="50" t="n">
        <v>10</v>
      </c>
      <c r="R1733" s="53" t="n">
        <f aca="false">IF(BZ1733=1,0,IFERROR(VLOOKUP(BX1733,'Gebinde-Kategorie'!$A$5:$N$45,13,0)+0,0))</f>
        <v>280</v>
      </c>
      <c r="S1733" s="54"/>
      <c r="T1733" s="55"/>
      <c r="U1733" s="55"/>
      <c r="V1733" s="55"/>
      <c r="W1733" s="48"/>
      <c r="X1733" s="50"/>
      <c r="Y1733" s="50"/>
      <c r="Z1733" s="48" t="n">
        <f aca="false">IF(A1733="","",IF(AND(Parameter!$B$21="Ja",ISNUMBER(W1733)),W1733,IF(CC1733="2+3",IF(ISNUMBER(SEARCH("grosser Artikel",BU1733)),2,IFERROR(VLOOKUP(BX1733,Parameter!$F$35:$G$64,2,0),2)),IF(OR(CC1733="Nein",CC1733=""),"-",CC1733))))</f>
        <v>3</v>
      </c>
      <c r="AA1733" s="55"/>
      <c r="AB1733" s="56"/>
      <c r="AC1733" s="50" t="n">
        <f aca="false">AV1733</f>
        <v>3</v>
      </c>
      <c r="AD1733" s="50" t="n">
        <f aca="false">MAX(AV1733,H1733)</f>
        <v>5</v>
      </c>
      <c r="AE1733" s="57"/>
      <c r="AF1733" s="50" t="n">
        <f aca="false">IF(LEFT(Cockpit!$C$5,1)="A",H1733,IF(Parameter!$E$30="MAX-Bestand",IF(CH1733=1,CI1733,IF(LEFT(Cockpit!$C$5,1)="B",AL1733,MAX(AL1733,H1733))),ROUNDUP(AJ1733,0)))</f>
        <v>5</v>
      </c>
      <c r="AG1733" s="50" t="n">
        <f aca="false">IF(BZ1733=1,0,ROUNDUP(AF1733/BY1733,0))</f>
        <v>1</v>
      </c>
      <c r="AH1733" s="52" t="n">
        <f aca="false">IF(CQ1733&gt;0,CQ1733*MAX(1,AF1733/X1733),IF(BZ1733=1,IF(AF1733&lt;=0,0,CD1733*MAX(1,IF(H1733&gt;0,AF1733/H1733,1))),IF(R1733&gt;0,AG1733/R1733,0))/MAX(0.1,N(Parameter!$M$21)))</f>
        <v>0.00357142857142857</v>
      </c>
      <c r="AI1733" s="50" t="n">
        <f aca="false">AH1733*CB1733</f>
        <v>0.553571428571429</v>
      </c>
      <c r="AJ1733" s="51" t="n">
        <f aca="false">IF(LEFT(Cockpit!$C$5,1)="A",H1733,IF(CH1733=1,(CK1733+CI1733)/2,IF(LEFT(Cockpit!$C$5,1)="B",(CK1733+AL1733)/2,MAX((CK1733+AL1733)/2,H1733))))</f>
        <v>5</v>
      </c>
      <c r="AK1733" s="50" t="n">
        <f aca="false">AJ1733*G1733</f>
        <v>113.05</v>
      </c>
      <c r="AL1733" s="50" t="n">
        <f aca="false">ROUNDUP(CK1733+MAX(CL1733,2*(J1733/IF(CG1733&gt;0,CG1733,MAX(0.1,N(Cockpit!$C$6)))-CK1733)),0)</f>
        <v>3</v>
      </c>
      <c r="AM1733" s="51" t="n">
        <f aca="false">IF(AI1733&gt;0,J1733/AI1733,-1)</f>
        <v>0</v>
      </c>
      <c r="AN1733" s="51" t="n">
        <f aca="false">IF(AND(OR(CF1733="L1",CF1733="L23",CF1733="LIFT"),AI1733&gt;0),SUMIFS($AI$7:$AI$1843,$CF$7:$CF$1843,CF1733,$AM$7:$AM$1843,"&gt;"&amp;AM1733)+SUMIFS($AI$7:$AI$1843,$CF$7:$CF$1843,CF1733,$AM$7:$AM$1843,AM1733,$BW$7:$BW$1843,"&lt;="&amp;BW1733),"")</f>
        <v>32850.3503316364</v>
      </c>
      <c r="AO1733" s="58" t="n">
        <f aca="false">IF(AN1733="",0,MAX(0,MIN(1,(IF(CF1733="L1",Parameter!$H$5,IF(CF1733="L23",Parameter!$H$6+Parameter!$H$7,Parameter!$H$5+Parameter!$H$6+Parameter!$H$7))-(AN1733-AI1733))/AI1733)))</f>
        <v>1</v>
      </c>
      <c r="AP1733" s="50" t="n">
        <f aca="false">IF(LEFT(Cockpit!$I$5,1)="A",H1733,IF(Parameter!$E$30="MAX-Bestand",IF(CH1733=1,CI1733,IF(LEFT(Cockpit!$I$5,1)="B",AV1733,MAX(AV1733,H1733))),ROUNDUP(AT1733,0)))</f>
        <v>5</v>
      </c>
      <c r="AQ1733" s="50" t="n">
        <f aca="false">IF(BZ1733=1,0,ROUNDUP(AP1733/BY1733,0))</f>
        <v>1</v>
      </c>
      <c r="AR1733" s="52" t="n">
        <f aca="false">IF(CQ1733&gt;0,CQ1733*MAX(1,AP1733/X1733),IF(BZ1733=1,IF(AP1733&lt;=0,0,CD1733*MAX(1,IF(H1733&gt;0,AP1733/H1733,1))),IF(R1733&gt;0,AQ1733/R1733,0))/MAX(0.1,N(Parameter!$M$21)))</f>
        <v>0.00357142857142857</v>
      </c>
      <c r="AS1733" s="50" t="n">
        <f aca="false">AR1733*CB1733</f>
        <v>0.553571428571429</v>
      </c>
      <c r="AT1733" s="51" t="n">
        <f aca="false">IF(LEFT(Cockpit!$I$5,1)="A",H1733,IF(CH1733=1,(CK1733+CI1733)/2,IF(LEFT(Cockpit!$I$5,1)="B",(CK1733+AV1733)/2,MAX((CK1733+AV1733)/2,H1733))))</f>
        <v>5</v>
      </c>
      <c r="AU1733" s="50" t="n">
        <f aca="false">AT1733*G1733</f>
        <v>113.05</v>
      </c>
      <c r="AV1733" s="50" t="n">
        <f aca="false">ROUNDUP(CK1733+MAX(CL1733,2*(J1733/IF(CG1733&gt;0,CG1733,MAX(0.1,N(Cockpit!$I$6)))-CK1733)),0)</f>
        <v>3</v>
      </c>
      <c r="AW1733" s="51" t="n">
        <f aca="false">IF(AS1733&gt;0,J1733/AS1733,-1)</f>
        <v>0</v>
      </c>
      <c r="AX1733" s="51" t="n">
        <f aca="false">IF(AND(OR(CF1733="L1",CF1733="L23",CF1733="LIFT"),AS1733&gt;0),SUMIFS($AS$7:$AS$1843,$CF$7:$CF$1843,CF1733,$AW$7:$AW$1843,"&gt;"&amp;AW1733)+SUMIFS($AS$7:$AS$1843,$CF$7:$CF$1843,CF1733,$AW$7:$AW$1843,AW1733,$BW$7:$BW$1843,"&lt;="&amp;BW1733),"")</f>
        <v>39324.259276505</v>
      </c>
      <c r="AY1733" s="58" t="n">
        <f aca="false">IF(AX1733="",0,MAX(0,MIN(1,(IF(CF1733="L1",Parameter!$H$5,IF(CF1733="L23",Parameter!$H$6+Parameter!$H$7,Parameter!$H$5+Parameter!$H$6+Parameter!$H$7))-(AX1733-AS1733))/AS1733)))</f>
        <v>0</v>
      </c>
      <c r="AZ1733" s="50" t="n">
        <f aca="false">IF(LEFT(Cockpit!$O$5,1)="A",H1733,IF(Parameter!$E$30="MAX-Bestand",IF(CH1733=1,CI1733,IF(LEFT(Cockpit!$O$5,1)="B",BF1733,MAX(BF1733,H1733))),ROUNDUP(BD1733,0)))</f>
        <v>2</v>
      </c>
      <c r="BA1733" s="50" t="n">
        <f aca="false">IF(BZ1733=1,0,ROUNDUP(AZ1733/BY1733,0))</f>
        <v>1</v>
      </c>
      <c r="BB1733" s="52" t="n">
        <f aca="false">IF(CQ1733&gt;0,CQ1733*MAX(1,AZ1733/X1733),IF(BZ1733=1,IF(AZ1733&lt;=0,0,CD1733*MAX(1,IF(H1733&gt;0,AZ1733/H1733,1))),IF(R1733&gt;0,BA1733/R1733,0))/MAX(0.1,N(Parameter!$M$21)))</f>
        <v>0.00357142857142857</v>
      </c>
      <c r="BC1733" s="50" t="n">
        <f aca="false">BB1733*CB1733</f>
        <v>0.553571428571429</v>
      </c>
      <c r="BD1733" s="51" t="n">
        <f aca="false">IF(LEFT(Cockpit!$O$5,1)="A",H1733,IF(CH1733=1,(CK1733+CI1733)/2,IF(LEFT(Cockpit!$O$5,1)="B",(CK1733+BF1733)/2,MAX((CK1733+BF1733)/2,H1733))))</f>
        <v>1.5</v>
      </c>
      <c r="BE1733" s="50" t="n">
        <f aca="false">BD1733*G1733</f>
        <v>33.915</v>
      </c>
      <c r="BF1733" s="50" t="n">
        <f aca="false">ROUNDUP(CK1733+MAX(CL1733,2*(J1733/IF(CG1733&gt;0,CG1733,MAX(0.1,N(Cockpit!$O$6)))-CK1733)),0)</f>
        <v>3</v>
      </c>
      <c r="BG1733" s="51" t="n">
        <f aca="false">IF(BC1733&gt;0,J1733/BC1733,-1)</f>
        <v>0</v>
      </c>
      <c r="BH1733" s="51" t="n">
        <f aca="false">IF(AND(OR(CF1733="L1",CF1733="L23",CF1733="LIFT"),BC1733&gt;0),SUMIFS($BC$7:$BC$1843,$CF$7:$CF$1843,CF1733,$BG$7:$BG$1843,"&gt;"&amp;BG1733)+SUMIFS($BC$7:$BC$1843,$CF$7:$CF$1843,CF1733,$BG$7:$BG$1843,BG1733,$BW$7:$BW$1843,"&lt;="&amp;BW1733),"")</f>
        <v>32551.8374567993</v>
      </c>
      <c r="BI1733" s="58" t="n">
        <f aca="false">IF(BH1733="",0,MAX(0,MIN(1,(IF(CF1733="L1",Parameter!$H$5,IF(CF1733="L23",Parameter!$H$6+Parameter!$H$7,Parameter!$H$5+Parameter!$H$6+Parameter!$H$7))-(BH1733-BC1733))/BC1733)))</f>
        <v>1</v>
      </c>
      <c r="BJ1733" s="48" t="str">
        <f aca="false">IF(AI1733&lt;=0,"",IF(CF1733="Aussen","Aussenlager",IF(CF1733="-","Nicht im Lift",IF(AO1733&gt;=1,"Lift",IF(AO1733&lt;=0,"Aussenlager","teilweise")))))</f>
        <v>Lift</v>
      </c>
      <c r="BK1733" s="48" t="str">
        <f aca="false">IF(AS1733&lt;=0,"",IF(CF1733="Aussen","Aussenlager",IF(CF1733="-","Nicht im Lift",IF(AY1733&gt;=1,"Lift",IF(AY1733&lt;=0,"Aussenlager","teilweise")))))</f>
        <v>Aussenlager</v>
      </c>
      <c r="BL1733" s="48" t="str">
        <f aca="false">IF(BC1733&lt;=0,"",IF(CF1733="Aussen","Aussenlager",IF(CF1733="-","Nicht im Lift",IF(BI1733&gt;=1,"Lift",IF(BI1733&lt;=0,"Aussenlager","teilweise")))))</f>
        <v>Lift</v>
      </c>
      <c r="BM1733" s="48" t="str">
        <f aca="false">IF(A1733="","",IF(BV1733=1,"Neu; ","")&amp;IF(AND(BV1733=0,BQ1733&lt;0),"negativer Bestand (Export "&amp;BQ1733&amp;"); ","")&amp;IF(J1733&lt;=0,"Kein Verbrauch; ","")&amp;IF(CQ1733&gt;0,"Lift "&amp;W1733&amp;" lt. Liftbericht (Fach "&amp;X1733&amp;" Stk); ",IF(CA1733=1,"Gebinde geschätzt ("&amp;T1733&amp;"); ",IF(BZ1733=1,"Lose – Tablare geschätzt; ","")))&amp;IF(H1733&gt;AV1733,"Überbestand "&amp;ROUND(H1733-AV1733,0)&amp;" Stk / CHF "&amp;ROUND((H1733-AV1733)*G1733,0)&amp;"; ","")&amp;IF(AND(CH1733=1,CI1733&lt;CJ1733),"MAX &lt; MB+LG; ","")&amp;IF(AND(CP1733&gt;0,CO1733*10&gt;CP1733),"zu hoch für Tablar; ","")&amp;IF(AND(BV1733=0,OR(CH1733=1,AA1733&lt;&gt;"",U1733&lt;&gt;"",V1733&lt;&gt;"",AB1733&lt;&gt;"")),"manuell übersteuert; ","")&amp;IF(AND(BZ1733=0,R1733=0),"Gebinde unbekannt / Stellmass fehlt; ","")&amp;IF(AND(BZ1733=0,N(V1733)&lt;=0,N(Q1733)&lt;=0),"Menge pro Gebinde fehlt (Ist = 1 Gebinde); ","")&amp;BU1733)</f>
        <v>Kein Verbrauch; Überbestand 2 Stk / CHF 45; nur im Artikelstamm (Bestand 23.06.2026); Verb.Lager</v>
      </c>
      <c r="BN1733" s="48"/>
      <c r="BO1733" s="48"/>
      <c r="BP1733" s="55"/>
      <c r="BQ1733" s="50" t="n">
        <v>5</v>
      </c>
      <c r="BR1733" s="50" t="n">
        <v>0</v>
      </c>
      <c r="BS1733" s="49" t="n">
        <v>0</v>
      </c>
      <c r="BT1733" s="50" t="n">
        <v>0</v>
      </c>
      <c r="BU1733" s="48" t="s">
        <v>2578</v>
      </c>
      <c r="BV1733" s="53" t="n">
        <v>0</v>
      </c>
      <c r="BW1733" s="53" t="n">
        <v>1733</v>
      </c>
      <c r="BX1733" s="48" t="str">
        <f aca="false">IF(U1733&lt;&gt;"",UPPER(TRIM(U1733)),IF(CA1733=1,UPPER(VLOOKUP(T1733,Parameter!$I$27:$K$29,2,0)),IF(P1733="","LOSE",P1733)))</f>
        <v>S21</v>
      </c>
      <c r="BY1733" s="50" t="n">
        <f aca="false">IF(BX1733="LOSE",1,IF(N(V1733)&gt;0,V1733,IF(CA1733=1,MAX(1,N(VLOOKUP(T1733,Parameter!$I$27:$K$29,3,0)),H1733,N(N1733)),IF(N(Q1733)&gt;0,Q1733,MAX(1,H1733)))))</f>
        <v>10</v>
      </c>
      <c r="BZ1733" s="53" t="n">
        <f aca="false">IF(BX1733="LOSE",1,0)</f>
        <v>0</v>
      </c>
      <c r="CA1733" s="53" t="n">
        <f aca="false">IF(AND(U1733="",OR(P1733="",P1733="LOSE"),T1733&lt;&gt;"",N(S1733)&lt;=0,ISNUMBER(MATCH(T1733,Parameter!$I$27:$I$29,0))),1,0)</f>
        <v>0</v>
      </c>
      <c r="CB1733" s="53" t="n">
        <f aca="false">IF(CQ1733&gt;0,INDEX(Parameter!$H$5:$H$7,W1733)/INDEX(Parameter!$E$5:$E$7,W1733),IF(AND(BZ1733=0,N(IFERROR(VLOOKUP(BX1733,'Gebinde-Kategorie'!$A$5:$N$45,14,0),0))&gt;0),VLOOKUP(BX1733,'Gebinde-Kategorie'!$A$5:$N$45,14,0)*10+Parameter!$M$23,Parameter!$M$24))</f>
        <v>155</v>
      </c>
      <c r="CC1733" s="48" t="str">
        <f aca="false">IF(AND(Parameter!$B$19="Ja",E1733&lt;&gt;"",ISNUMBER(MATCH(E1733,Parameter!$I$35:$I$52,0))),VLOOKUP(E1733,Parameter!$I$35:$J$52,2,0),IFERROR(VLOOKUP(D1733,Parameter!$A$35:$C$64,2,0),"Nein"))</f>
        <v>2+3</v>
      </c>
      <c r="CD1733" s="52" t="n">
        <f aca="false">IF(BZ1733=0,0,IF(N(S1733)&gt;0,S1733,IFERROR(VLOOKUP(D1733,Parameter!$A$35:$C$64,3,0)+0,0)))</f>
        <v>0</v>
      </c>
      <c r="CE1733" s="48" t="n">
        <f aca="false">IF(AA1733&lt;&gt;"",AA1733,Z1733)</f>
        <v>3</v>
      </c>
      <c r="CF1733" s="48" t="str">
        <f aca="false">IF(OR(CE1733=1,CE1733=2,CE1733=3),IF(Parameter!$E$27="Ja","LIFT",IF(CE1733=1,"L1","L23")),IF(CE1733="Aussen","Aussen","-"))</f>
        <v>LIFT</v>
      </c>
      <c r="CG1733" s="59" t="n">
        <f aca="false">IF(N(AB1733)&gt;0,AB1733,0)</f>
        <v>0</v>
      </c>
      <c r="CH1733" s="53" t="n">
        <f aca="false">IF(ISNUMBER(AE1733),1,0)</f>
        <v>0</v>
      </c>
      <c r="CI1733" s="50" t="n">
        <f aca="false">N(AE1733)</f>
        <v>0</v>
      </c>
      <c r="CJ1733" s="50" t="n">
        <f aca="false">N(M1733)+N(N1733)</f>
        <v>3</v>
      </c>
      <c r="CK1733" s="50" t="n">
        <f aca="false">N(M1733)</f>
        <v>0</v>
      </c>
      <c r="CL1733" s="50" t="n">
        <f aca="false">N(N1733)</f>
        <v>3</v>
      </c>
      <c r="CM1733" s="50" t="n">
        <f aca="false">ROUNDUP(H1733/BY1733,0)</f>
        <v>1</v>
      </c>
      <c r="CN1733" s="50" t="n">
        <f aca="false">ROUNDUP(CI1733/BY1733,0)</f>
        <v>0</v>
      </c>
      <c r="CO1733" s="53" t="n">
        <f aca="false">IF(BZ1733=1,0,IFERROR(VLOOKUP(BX1733,'Gebinde-Kategorie'!$A$5:$N$45,5,0)+0,0))</f>
        <v>8</v>
      </c>
      <c r="CP1733" s="53" t="n">
        <f aca="false">IFERROR(IF(OR(CE1733=1,CE1733=2,CE1733=3),N(INDEX(Parameter!$I$5:$I$7,CE1733)),0),0)</f>
        <v>0</v>
      </c>
      <c r="CQ1733" s="52" t="n">
        <f aca="false">IF(AND(Parameter!$B$21="Ja",ISNUMBER(W1733),N(X1733)&gt;0),IFERROR(N(INDEX(Parameter!$L$5:$L$7,W1733))*INDEX(Parameter!$E$5:$E$7,W1733)*X1733/SUMIFS($X$7:$X$1843,$W$7:$W$1843,W1733),0),0)</f>
        <v>0</v>
      </c>
    </row>
    <row r="1734" customFormat="false" ht="15" hidden="false" customHeight="false" outlineLevel="0" collapsed="false">
      <c r="A1734" s="48" t="s">
        <v>3008</v>
      </c>
      <c r="B1734" s="48" t="s">
        <v>3009</v>
      </c>
      <c r="C1734" s="48" t="s">
        <v>173</v>
      </c>
      <c r="D1734" s="48" t="s">
        <v>193</v>
      </c>
      <c r="E1734" s="48"/>
      <c r="F1734" s="48"/>
      <c r="G1734" s="49" t="n">
        <v>2.2</v>
      </c>
      <c r="H1734" s="50" t="n">
        <f aca="false">MAX(0,IF(AND(Parameter!$B$21="Ja",ISNUMBER(Y1734)),Y1734,IF(Parameter!$B$20="Jahresanfang 2025 + Export",BR1734+BQ1734,BQ1734)))</f>
        <v>10</v>
      </c>
      <c r="I1734" s="50" t="n">
        <f aca="false">H1734*G1734</f>
        <v>22</v>
      </c>
      <c r="J1734" s="50" t="n">
        <f aca="false">BT1734*Parameter!$B$18</f>
        <v>0</v>
      </c>
      <c r="K1734" s="51"/>
      <c r="L1734" s="52"/>
      <c r="M1734" s="50" t="n">
        <v>0</v>
      </c>
      <c r="N1734" s="50" t="n">
        <v>1</v>
      </c>
      <c r="O1734" s="53" t="n">
        <v>28</v>
      </c>
      <c r="P1734" s="48" t="s">
        <v>410</v>
      </c>
      <c r="Q1734" s="50" t="n">
        <v>10</v>
      </c>
      <c r="R1734" s="53" t="n">
        <f aca="false">IF(BZ1734=1,0,IFERROR(VLOOKUP(BX1734,'Gebinde-Kategorie'!$A$5:$N$45,13,0)+0,0))</f>
        <v>280</v>
      </c>
      <c r="S1734" s="54"/>
      <c r="T1734" s="55"/>
      <c r="U1734" s="55"/>
      <c r="V1734" s="55"/>
      <c r="W1734" s="48"/>
      <c r="X1734" s="50"/>
      <c r="Y1734" s="50"/>
      <c r="Z1734" s="48" t="n">
        <f aca="false">IF(A1734="","",IF(AND(Parameter!$B$21="Ja",ISNUMBER(W1734)),W1734,IF(CC1734="2+3",IF(ISNUMBER(SEARCH("grosser Artikel",BU1734)),2,IFERROR(VLOOKUP(BX1734,Parameter!$F$35:$G$64,2,0),2)),IF(OR(CC1734="Nein",CC1734=""),"-",CC1734))))</f>
        <v>3</v>
      </c>
      <c r="AA1734" s="55"/>
      <c r="AB1734" s="56"/>
      <c r="AC1734" s="50" t="n">
        <f aca="false">AV1734</f>
        <v>1</v>
      </c>
      <c r="AD1734" s="50" t="n">
        <f aca="false">MAX(AV1734,H1734)</f>
        <v>10</v>
      </c>
      <c r="AE1734" s="57"/>
      <c r="AF1734" s="50" t="n">
        <f aca="false">IF(LEFT(Cockpit!$C$5,1)="A",H1734,IF(Parameter!$E$30="MAX-Bestand",IF(CH1734=1,CI1734,IF(LEFT(Cockpit!$C$5,1)="B",AL1734,MAX(AL1734,H1734))),ROUNDUP(AJ1734,0)))</f>
        <v>10</v>
      </c>
      <c r="AG1734" s="50" t="n">
        <f aca="false">IF(BZ1734=1,0,ROUNDUP(AF1734/BY1734,0))</f>
        <v>1</v>
      </c>
      <c r="AH1734" s="52" t="n">
        <f aca="false">IF(CQ1734&gt;0,CQ1734*MAX(1,AF1734/X1734),IF(BZ1734=1,IF(AF1734&lt;=0,0,CD1734*MAX(1,IF(H1734&gt;0,AF1734/H1734,1))),IF(R1734&gt;0,AG1734/R1734,0))/MAX(0.1,N(Parameter!$M$21)))</f>
        <v>0.00357142857142857</v>
      </c>
      <c r="AI1734" s="50" t="n">
        <f aca="false">AH1734*CB1734</f>
        <v>0.553571428571429</v>
      </c>
      <c r="AJ1734" s="51" t="n">
        <f aca="false">IF(LEFT(Cockpit!$C$5,1)="A",H1734,IF(CH1734=1,(CK1734+CI1734)/2,IF(LEFT(Cockpit!$C$5,1)="B",(CK1734+AL1734)/2,MAX((CK1734+AL1734)/2,H1734))))</f>
        <v>10</v>
      </c>
      <c r="AK1734" s="50" t="n">
        <f aca="false">AJ1734*G1734</f>
        <v>22</v>
      </c>
      <c r="AL1734" s="50" t="n">
        <f aca="false">ROUNDUP(CK1734+MAX(CL1734,2*(J1734/IF(CG1734&gt;0,CG1734,MAX(0.1,N(Cockpit!$C$6)))-CK1734)),0)</f>
        <v>1</v>
      </c>
      <c r="AM1734" s="51" t="n">
        <f aca="false">IF(AI1734&gt;0,J1734/AI1734,-1)</f>
        <v>0</v>
      </c>
      <c r="AN1734" s="51" t="n">
        <f aca="false">IF(AND(OR(CF1734="L1",CF1734="L23",CF1734="LIFT"),AI1734&gt;0),SUMIFS($AI$7:$AI$1843,$CF$7:$CF$1843,CF1734,$AM$7:$AM$1843,"&gt;"&amp;AM1734)+SUMIFS($AI$7:$AI$1843,$CF$7:$CF$1843,CF1734,$AM$7:$AM$1843,AM1734,$BW$7:$BW$1843,"&lt;="&amp;BW1734),"")</f>
        <v>32850.9039030649</v>
      </c>
      <c r="AO1734" s="58" t="n">
        <f aca="false">IF(AN1734="",0,MAX(0,MIN(1,(IF(CF1734="L1",Parameter!$H$5,IF(CF1734="L23",Parameter!$H$6+Parameter!$H$7,Parameter!$H$5+Parameter!$H$6+Parameter!$H$7))-(AN1734-AI1734))/AI1734)))</f>
        <v>1</v>
      </c>
      <c r="AP1734" s="50" t="n">
        <f aca="false">IF(LEFT(Cockpit!$I$5,1)="A",H1734,IF(Parameter!$E$30="MAX-Bestand",IF(CH1734=1,CI1734,IF(LEFT(Cockpit!$I$5,1)="B",AV1734,MAX(AV1734,H1734))),ROUNDUP(AT1734,0)))</f>
        <v>10</v>
      </c>
      <c r="AQ1734" s="50" t="n">
        <f aca="false">IF(BZ1734=1,0,ROUNDUP(AP1734/BY1734,0))</f>
        <v>1</v>
      </c>
      <c r="AR1734" s="52" t="n">
        <f aca="false">IF(CQ1734&gt;0,CQ1734*MAX(1,AP1734/X1734),IF(BZ1734=1,IF(AP1734&lt;=0,0,CD1734*MAX(1,IF(H1734&gt;0,AP1734/H1734,1))),IF(R1734&gt;0,AQ1734/R1734,0))/MAX(0.1,N(Parameter!$M$21)))</f>
        <v>0.00357142857142857</v>
      </c>
      <c r="AS1734" s="50" t="n">
        <f aca="false">AR1734*CB1734</f>
        <v>0.553571428571429</v>
      </c>
      <c r="AT1734" s="51" t="n">
        <f aca="false">IF(LEFT(Cockpit!$I$5,1)="A",H1734,IF(CH1734=1,(CK1734+CI1734)/2,IF(LEFT(Cockpit!$I$5,1)="B",(CK1734+AV1734)/2,MAX((CK1734+AV1734)/2,H1734))))</f>
        <v>10</v>
      </c>
      <c r="AU1734" s="50" t="n">
        <f aca="false">AT1734*G1734</f>
        <v>22</v>
      </c>
      <c r="AV1734" s="50" t="n">
        <f aca="false">ROUNDUP(CK1734+MAX(CL1734,2*(J1734/IF(CG1734&gt;0,CG1734,MAX(0.1,N(Cockpit!$I$6)))-CK1734)),0)</f>
        <v>1</v>
      </c>
      <c r="AW1734" s="51" t="n">
        <f aca="false">IF(AS1734&gt;0,J1734/AS1734,-1)</f>
        <v>0</v>
      </c>
      <c r="AX1734" s="51" t="n">
        <f aca="false">IF(AND(OR(CF1734="L1",CF1734="L23",CF1734="LIFT"),AS1734&gt;0),SUMIFS($AS$7:$AS$1843,$CF$7:$CF$1843,CF1734,$AW$7:$AW$1843,"&gt;"&amp;AW1734)+SUMIFS($AS$7:$AS$1843,$CF$7:$CF$1843,CF1734,$AW$7:$AW$1843,AW1734,$BW$7:$BW$1843,"&lt;="&amp;BW1734),"")</f>
        <v>39324.8128479336</v>
      </c>
      <c r="AY1734" s="58" t="n">
        <f aca="false">IF(AX1734="",0,MAX(0,MIN(1,(IF(CF1734="L1",Parameter!$H$5,IF(CF1734="L23",Parameter!$H$6+Parameter!$H$7,Parameter!$H$5+Parameter!$H$6+Parameter!$H$7))-(AX1734-AS1734))/AS1734)))</f>
        <v>0</v>
      </c>
      <c r="AZ1734" s="50" t="n">
        <f aca="false">IF(LEFT(Cockpit!$O$5,1)="A",H1734,IF(Parameter!$E$30="MAX-Bestand",IF(CH1734=1,CI1734,IF(LEFT(Cockpit!$O$5,1)="B",BF1734,MAX(BF1734,H1734))),ROUNDUP(BD1734,0)))</f>
        <v>1</v>
      </c>
      <c r="BA1734" s="50" t="n">
        <f aca="false">IF(BZ1734=1,0,ROUNDUP(AZ1734/BY1734,0))</f>
        <v>1</v>
      </c>
      <c r="BB1734" s="52" t="n">
        <f aca="false">IF(CQ1734&gt;0,CQ1734*MAX(1,AZ1734/X1734),IF(BZ1734=1,IF(AZ1734&lt;=0,0,CD1734*MAX(1,IF(H1734&gt;0,AZ1734/H1734,1))),IF(R1734&gt;0,BA1734/R1734,0))/MAX(0.1,N(Parameter!$M$21)))</f>
        <v>0.00357142857142857</v>
      </c>
      <c r="BC1734" s="50" t="n">
        <f aca="false">BB1734*CB1734</f>
        <v>0.553571428571429</v>
      </c>
      <c r="BD1734" s="51" t="n">
        <f aca="false">IF(LEFT(Cockpit!$O$5,1)="A",H1734,IF(CH1734=1,(CK1734+CI1734)/2,IF(LEFT(Cockpit!$O$5,1)="B",(CK1734+BF1734)/2,MAX((CK1734+BF1734)/2,H1734))))</f>
        <v>0.5</v>
      </c>
      <c r="BE1734" s="50" t="n">
        <f aca="false">BD1734*G1734</f>
        <v>1.1</v>
      </c>
      <c r="BF1734" s="50" t="n">
        <f aca="false">ROUNDUP(CK1734+MAX(CL1734,2*(J1734/IF(CG1734&gt;0,CG1734,MAX(0.1,N(Cockpit!$O$6)))-CK1734)),0)</f>
        <v>1</v>
      </c>
      <c r="BG1734" s="51" t="n">
        <f aca="false">IF(BC1734&gt;0,J1734/BC1734,-1)</f>
        <v>0</v>
      </c>
      <c r="BH1734" s="51" t="n">
        <f aca="false">IF(AND(OR(CF1734="L1",CF1734="L23",CF1734="LIFT"),BC1734&gt;0),SUMIFS($BC$7:$BC$1843,$CF$7:$CF$1843,CF1734,$BG$7:$BG$1843,"&gt;"&amp;BG1734)+SUMIFS($BC$7:$BC$1843,$CF$7:$CF$1843,CF1734,$BG$7:$BG$1843,BG1734,$BW$7:$BW$1843,"&lt;="&amp;BW1734),"")</f>
        <v>32552.3910282279</v>
      </c>
      <c r="BI1734" s="58" t="n">
        <f aca="false">IF(BH1734="",0,MAX(0,MIN(1,(IF(CF1734="L1",Parameter!$H$5,IF(CF1734="L23",Parameter!$H$6+Parameter!$H$7,Parameter!$H$5+Parameter!$H$6+Parameter!$H$7))-(BH1734-BC1734))/BC1734)))</f>
        <v>1</v>
      </c>
      <c r="BJ1734" s="48" t="str">
        <f aca="false">IF(AI1734&lt;=0,"",IF(CF1734="Aussen","Aussenlager",IF(CF1734="-","Nicht im Lift",IF(AO1734&gt;=1,"Lift",IF(AO1734&lt;=0,"Aussenlager","teilweise")))))</f>
        <v>Lift</v>
      </c>
      <c r="BK1734" s="48" t="str">
        <f aca="false">IF(AS1734&lt;=0,"",IF(CF1734="Aussen","Aussenlager",IF(CF1734="-","Nicht im Lift",IF(AY1734&gt;=1,"Lift",IF(AY1734&lt;=0,"Aussenlager","teilweise")))))</f>
        <v>Aussenlager</v>
      </c>
      <c r="BL1734" s="48" t="str">
        <f aca="false">IF(BC1734&lt;=0,"",IF(CF1734="Aussen","Aussenlager",IF(CF1734="-","Nicht im Lift",IF(BI1734&gt;=1,"Lift",IF(BI1734&lt;=0,"Aussenlager","teilweise")))))</f>
        <v>Lift</v>
      </c>
      <c r="BM1734" s="48" t="str">
        <f aca="false">IF(A1734="","",IF(BV1734=1,"Neu; ","")&amp;IF(AND(BV1734=0,BQ1734&lt;0),"negativer Bestand (Export "&amp;BQ1734&amp;"); ","")&amp;IF(J1734&lt;=0,"Kein Verbrauch; ","")&amp;IF(CQ1734&gt;0,"Lift "&amp;W1734&amp;" lt. Liftbericht (Fach "&amp;X1734&amp;" Stk); ",IF(CA1734=1,"Gebinde geschätzt ("&amp;T1734&amp;"); ",IF(BZ1734=1,"Lose – Tablare geschätzt; ","")))&amp;IF(H1734&gt;AV1734,"Überbestand "&amp;ROUND(H1734-AV1734,0)&amp;" Stk / CHF "&amp;ROUND((H1734-AV1734)*G1734,0)&amp;"; ","")&amp;IF(AND(CH1734=1,CI1734&lt;CJ1734),"MAX &lt; MB+LG; ","")&amp;IF(AND(CP1734&gt;0,CO1734*10&gt;CP1734),"zu hoch für Tablar; ","")&amp;IF(AND(BV1734=0,OR(CH1734=1,AA1734&lt;&gt;"",U1734&lt;&gt;"",V1734&lt;&gt;"",AB1734&lt;&gt;"")),"manuell übersteuert; ","")&amp;IF(AND(BZ1734=0,R1734=0),"Gebinde unbekannt / Stellmass fehlt; ","")&amp;IF(AND(BZ1734=0,N(V1734)&lt;=0,N(Q1734)&lt;=0),"Menge pro Gebinde fehlt (Ist = 1 Gebinde); ","")&amp;BU1734)</f>
        <v>Kein Verbrauch; Überbestand 9 Stk / CHF 20; nur im Artikelstamm (Bestand 23.06.2026)</v>
      </c>
      <c r="BN1734" s="48"/>
      <c r="BO1734" s="48"/>
      <c r="BP1734" s="55"/>
      <c r="BQ1734" s="50" t="n">
        <v>10</v>
      </c>
      <c r="BR1734" s="50" t="n">
        <v>0</v>
      </c>
      <c r="BS1734" s="49" t="n">
        <v>0</v>
      </c>
      <c r="BT1734" s="50" t="n">
        <v>0</v>
      </c>
      <c r="BU1734" s="48" t="s">
        <v>2584</v>
      </c>
      <c r="BV1734" s="53" t="n">
        <v>0</v>
      </c>
      <c r="BW1734" s="53" t="n">
        <v>1734</v>
      </c>
      <c r="BX1734" s="48" t="str">
        <f aca="false">IF(U1734&lt;&gt;"",UPPER(TRIM(U1734)),IF(CA1734=1,UPPER(VLOOKUP(T1734,Parameter!$I$27:$K$29,2,0)),IF(P1734="","LOSE",P1734)))</f>
        <v>S21</v>
      </c>
      <c r="BY1734" s="50" t="n">
        <f aca="false">IF(BX1734="LOSE",1,IF(N(V1734)&gt;0,V1734,IF(CA1734=1,MAX(1,N(VLOOKUP(T1734,Parameter!$I$27:$K$29,3,0)),H1734,N(N1734)),IF(N(Q1734)&gt;0,Q1734,MAX(1,H1734)))))</f>
        <v>10</v>
      </c>
      <c r="BZ1734" s="53" t="n">
        <f aca="false">IF(BX1734="LOSE",1,0)</f>
        <v>0</v>
      </c>
      <c r="CA1734" s="53" t="n">
        <f aca="false">IF(AND(U1734="",OR(P1734="",P1734="LOSE"),T1734&lt;&gt;"",N(S1734)&lt;=0,ISNUMBER(MATCH(T1734,Parameter!$I$27:$I$29,0))),1,0)</f>
        <v>0</v>
      </c>
      <c r="CB1734" s="53" t="n">
        <f aca="false">IF(CQ1734&gt;0,INDEX(Parameter!$H$5:$H$7,W1734)/INDEX(Parameter!$E$5:$E$7,W1734),IF(AND(BZ1734=0,N(IFERROR(VLOOKUP(BX1734,'Gebinde-Kategorie'!$A$5:$N$45,14,0),0))&gt;0),VLOOKUP(BX1734,'Gebinde-Kategorie'!$A$5:$N$45,14,0)*10+Parameter!$M$23,Parameter!$M$24))</f>
        <v>155</v>
      </c>
      <c r="CC1734" s="48" t="str">
        <f aca="false">IF(AND(Parameter!$B$19="Ja",E1734&lt;&gt;"",ISNUMBER(MATCH(E1734,Parameter!$I$35:$I$52,0))),VLOOKUP(E1734,Parameter!$I$35:$J$52,2,0),IFERROR(VLOOKUP(D1734,Parameter!$A$35:$C$64,2,0),"Nein"))</f>
        <v>2+3</v>
      </c>
      <c r="CD1734" s="52" t="n">
        <f aca="false">IF(BZ1734=0,0,IF(N(S1734)&gt;0,S1734,IFERROR(VLOOKUP(D1734,Parameter!$A$35:$C$64,3,0)+0,0)))</f>
        <v>0</v>
      </c>
      <c r="CE1734" s="48" t="n">
        <f aca="false">IF(AA1734&lt;&gt;"",AA1734,Z1734)</f>
        <v>3</v>
      </c>
      <c r="CF1734" s="48" t="str">
        <f aca="false">IF(OR(CE1734=1,CE1734=2,CE1734=3),IF(Parameter!$E$27="Ja","LIFT",IF(CE1734=1,"L1","L23")),IF(CE1734="Aussen","Aussen","-"))</f>
        <v>LIFT</v>
      </c>
      <c r="CG1734" s="59" t="n">
        <f aca="false">IF(N(AB1734)&gt;0,AB1734,0)</f>
        <v>0</v>
      </c>
      <c r="CH1734" s="53" t="n">
        <f aca="false">IF(ISNUMBER(AE1734),1,0)</f>
        <v>0</v>
      </c>
      <c r="CI1734" s="50" t="n">
        <f aca="false">N(AE1734)</f>
        <v>0</v>
      </c>
      <c r="CJ1734" s="50" t="n">
        <f aca="false">N(M1734)+N(N1734)</f>
        <v>1</v>
      </c>
      <c r="CK1734" s="50" t="n">
        <f aca="false">N(M1734)</f>
        <v>0</v>
      </c>
      <c r="CL1734" s="50" t="n">
        <f aca="false">N(N1734)</f>
        <v>1</v>
      </c>
      <c r="CM1734" s="50" t="n">
        <f aca="false">ROUNDUP(H1734/BY1734,0)</f>
        <v>1</v>
      </c>
      <c r="CN1734" s="50" t="n">
        <f aca="false">ROUNDUP(CI1734/BY1734,0)</f>
        <v>0</v>
      </c>
      <c r="CO1734" s="53" t="n">
        <f aca="false">IF(BZ1734=1,0,IFERROR(VLOOKUP(BX1734,'Gebinde-Kategorie'!$A$5:$N$45,5,0)+0,0))</f>
        <v>8</v>
      </c>
      <c r="CP1734" s="53" t="n">
        <f aca="false">IFERROR(IF(OR(CE1734=1,CE1734=2,CE1734=3),N(INDEX(Parameter!$I$5:$I$7,CE1734)),0),0)</f>
        <v>0</v>
      </c>
      <c r="CQ1734" s="52" t="n">
        <f aca="false">IF(AND(Parameter!$B$21="Ja",ISNUMBER(W1734),N(X1734)&gt;0),IFERROR(N(INDEX(Parameter!$L$5:$L$7,W1734))*INDEX(Parameter!$E$5:$E$7,W1734)*X1734/SUMIFS($X$7:$X$1843,$W$7:$W$1843,W1734),0),0)</f>
        <v>0</v>
      </c>
    </row>
    <row r="1735" customFormat="false" ht="15" hidden="false" customHeight="false" outlineLevel="0" collapsed="false">
      <c r="A1735" s="48" t="s">
        <v>3010</v>
      </c>
      <c r="B1735" s="48" t="s">
        <v>1886</v>
      </c>
      <c r="C1735" s="48" t="s">
        <v>173</v>
      </c>
      <c r="D1735" s="48" t="s">
        <v>193</v>
      </c>
      <c r="E1735" s="48"/>
      <c r="F1735" s="48"/>
      <c r="G1735" s="49" t="n">
        <v>24.29</v>
      </c>
      <c r="H1735" s="50" t="n">
        <f aca="false">MAX(0,IF(AND(Parameter!$B$21="Ja",ISNUMBER(Y1735)),Y1735,IF(Parameter!$B$20="Jahresanfang 2025 + Export",BR1735+BQ1735,BQ1735)))</f>
        <v>4</v>
      </c>
      <c r="I1735" s="50" t="n">
        <f aca="false">H1735*G1735</f>
        <v>97.16</v>
      </c>
      <c r="J1735" s="50" t="n">
        <f aca="false">BT1735*Parameter!$B$18</f>
        <v>0</v>
      </c>
      <c r="K1735" s="51"/>
      <c r="L1735" s="52"/>
      <c r="M1735" s="50" t="n">
        <v>0</v>
      </c>
      <c r="N1735" s="50" t="n">
        <v>5</v>
      </c>
      <c r="O1735" s="53" t="n">
        <v>14</v>
      </c>
      <c r="P1735" s="48" t="s">
        <v>435</v>
      </c>
      <c r="Q1735" s="50" t="n">
        <v>8</v>
      </c>
      <c r="R1735" s="53" t="n">
        <f aca="false">IF(BZ1735=1,0,IFERROR(VLOOKUP(BX1735,'Gebinde-Kategorie'!$A$5:$N$45,13,0)+0,0))</f>
        <v>140</v>
      </c>
      <c r="S1735" s="54"/>
      <c r="T1735" s="55"/>
      <c r="U1735" s="55"/>
      <c r="V1735" s="55"/>
      <c r="W1735" s="48"/>
      <c r="X1735" s="50"/>
      <c r="Y1735" s="50"/>
      <c r="Z1735" s="48" t="n">
        <f aca="false">IF(A1735="","",IF(AND(Parameter!$B$21="Ja",ISNUMBER(W1735)),W1735,IF(CC1735="2+3",IF(ISNUMBER(SEARCH("grosser Artikel",BU1735)),2,IFERROR(VLOOKUP(BX1735,Parameter!$F$35:$G$64,2,0),2)),IF(OR(CC1735="Nein",CC1735=""),"-",CC1735))))</f>
        <v>3</v>
      </c>
      <c r="AA1735" s="55"/>
      <c r="AB1735" s="56"/>
      <c r="AC1735" s="50" t="n">
        <f aca="false">AV1735</f>
        <v>5</v>
      </c>
      <c r="AD1735" s="50" t="n">
        <f aca="false">MAX(AV1735,H1735)</f>
        <v>5</v>
      </c>
      <c r="AE1735" s="57"/>
      <c r="AF1735" s="50" t="n">
        <f aca="false">IF(LEFT(Cockpit!$C$5,1)="A",H1735,IF(Parameter!$E$30="MAX-Bestand",IF(CH1735=1,CI1735,IF(LEFT(Cockpit!$C$5,1)="B",AL1735,MAX(AL1735,H1735))),ROUNDUP(AJ1735,0)))</f>
        <v>4</v>
      </c>
      <c r="AG1735" s="50" t="n">
        <f aca="false">IF(BZ1735=1,0,ROUNDUP(AF1735/BY1735,0))</f>
        <v>1</v>
      </c>
      <c r="AH1735" s="52" t="n">
        <f aca="false">IF(CQ1735&gt;0,CQ1735*MAX(1,AF1735/X1735),IF(BZ1735=1,IF(AF1735&lt;=0,0,CD1735*MAX(1,IF(H1735&gt;0,AF1735/H1735,1))),IF(R1735&gt;0,AG1735/R1735,0))/MAX(0.1,N(Parameter!$M$21)))</f>
        <v>0.00714285714285714</v>
      </c>
      <c r="AI1735" s="50" t="n">
        <f aca="false">AH1735*CB1735</f>
        <v>1.10714285714286</v>
      </c>
      <c r="AJ1735" s="51" t="n">
        <f aca="false">IF(LEFT(Cockpit!$C$5,1)="A",H1735,IF(CH1735=1,(CK1735+CI1735)/2,IF(LEFT(Cockpit!$C$5,1)="B",(CK1735+AL1735)/2,MAX((CK1735+AL1735)/2,H1735))))</f>
        <v>4</v>
      </c>
      <c r="AK1735" s="50" t="n">
        <f aca="false">AJ1735*G1735</f>
        <v>97.16</v>
      </c>
      <c r="AL1735" s="50" t="n">
        <f aca="false">ROUNDUP(CK1735+MAX(CL1735,2*(J1735/IF(CG1735&gt;0,CG1735,MAX(0.1,N(Cockpit!$C$6)))-CK1735)),0)</f>
        <v>5</v>
      </c>
      <c r="AM1735" s="51" t="n">
        <f aca="false">IF(AI1735&gt;0,J1735/AI1735,-1)</f>
        <v>0</v>
      </c>
      <c r="AN1735" s="51" t="n">
        <f aca="false">IF(AND(OR(CF1735="L1",CF1735="L23",CF1735="LIFT"),AI1735&gt;0),SUMIFS($AI$7:$AI$1843,$CF$7:$CF$1843,CF1735,$AM$7:$AM$1843,"&gt;"&amp;AM1735)+SUMIFS($AI$7:$AI$1843,$CF$7:$CF$1843,CF1735,$AM$7:$AM$1843,AM1735,$BW$7:$BW$1843,"&lt;="&amp;BW1735),"")</f>
        <v>32852.0110459221</v>
      </c>
      <c r="AO1735" s="58" t="n">
        <f aca="false">IF(AN1735="",0,MAX(0,MIN(1,(IF(CF1735="L1",Parameter!$H$5,IF(CF1735="L23",Parameter!$H$6+Parameter!$H$7,Parameter!$H$5+Parameter!$H$6+Parameter!$H$7))-(AN1735-AI1735))/AI1735)))</f>
        <v>1</v>
      </c>
      <c r="AP1735" s="50" t="n">
        <f aca="false">IF(LEFT(Cockpit!$I$5,1)="A",H1735,IF(Parameter!$E$30="MAX-Bestand",IF(CH1735=1,CI1735,IF(LEFT(Cockpit!$I$5,1)="B",AV1735,MAX(AV1735,H1735))),ROUNDUP(AT1735,0)))</f>
        <v>4</v>
      </c>
      <c r="AQ1735" s="50" t="n">
        <f aca="false">IF(BZ1735=1,0,ROUNDUP(AP1735/BY1735,0))</f>
        <v>1</v>
      </c>
      <c r="AR1735" s="52" t="n">
        <f aca="false">IF(CQ1735&gt;0,CQ1735*MAX(1,AP1735/X1735),IF(BZ1735=1,IF(AP1735&lt;=0,0,CD1735*MAX(1,IF(H1735&gt;0,AP1735/H1735,1))),IF(R1735&gt;0,AQ1735/R1735,0))/MAX(0.1,N(Parameter!$M$21)))</f>
        <v>0.00714285714285714</v>
      </c>
      <c r="AS1735" s="50" t="n">
        <f aca="false">AR1735*CB1735</f>
        <v>1.10714285714286</v>
      </c>
      <c r="AT1735" s="51" t="n">
        <f aca="false">IF(LEFT(Cockpit!$I$5,1)="A",H1735,IF(CH1735=1,(CK1735+CI1735)/2,IF(LEFT(Cockpit!$I$5,1)="B",(CK1735+AV1735)/2,MAX((CK1735+AV1735)/2,H1735))))</f>
        <v>4</v>
      </c>
      <c r="AU1735" s="50" t="n">
        <f aca="false">AT1735*G1735</f>
        <v>97.16</v>
      </c>
      <c r="AV1735" s="50" t="n">
        <f aca="false">ROUNDUP(CK1735+MAX(CL1735,2*(J1735/IF(CG1735&gt;0,CG1735,MAX(0.1,N(Cockpit!$I$6)))-CK1735)),0)</f>
        <v>5</v>
      </c>
      <c r="AW1735" s="51" t="n">
        <f aca="false">IF(AS1735&gt;0,J1735/AS1735,-1)</f>
        <v>0</v>
      </c>
      <c r="AX1735" s="51" t="n">
        <f aca="false">IF(AND(OR(CF1735="L1",CF1735="L23",CF1735="LIFT"),AS1735&gt;0),SUMIFS($AS$7:$AS$1843,$CF$7:$CF$1843,CF1735,$AW$7:$AW$1843,"&gt;"&amp;AW1735)+SUMIFS($AS$7:$AS$1843,$CF$7:$CF$1843,CF1735,$AW$7:$AW$1843,AW1735,$BW$7:$BW$1843,"&lt;="&amp;BW1735),"")</f>
        <v>39325.9199907908</v>
      </c>
      <c r="AY1735" s="58" t="n">
        <f aca="false">IF(AX1735="",0,MAX(0,MIN(1,(IF(CF1735="L1",Parameter!$H$5,IF(CF1735="L23",Parameter!$H$6+Parameter!$H$7,Parameter!$H$5+Parameter!$H$6+Parameter!$H$7))-(AX1735-AS1735))/AS1735)))</f>
        <v>0</v>
      </c>
      <c r="AZ1735" s="50" t="n">
        <f aca="false">IF(LEFT(Cockpit!$O$5,1)="A",H1735,IF(Parameter!$E$30="MAX-Bestand",IF(CH1735=1,CI1735,IF(LEFT(Cockpit!$O$5,1)="B",BF1735,MAX(BF1735,H1735))),ROUNDUP(BD1735,0)))</f>
        <v>3</v>
      </c>
      <c r="BA1735" s="50" t="n">
        <f aca="false">IF(BZ1735=1,0,ROUNDUP(AZ1735/BY1735,0))</f>
        <v>1</v>
      </c>
      <c r="BB1735" s="52" t="n">
        <f aca="false">IF(CQ1735&gt;0,CQ1735*MAX(1,AZ1735/X1735),IF(BZ1735=1,IF(AZ1735&lt;=0,0,CD1735*MAX(1,IF(H1735&gt;0,AZ1735/H1735,1))),IF(R1735&gt;0,BA1735/R1735,0))/MAX(0.1,N(Parameter!$M$21)))</f>
        <v>0.00714285714285714</v>
      </c>
      <c r="BC1735" s="50" t="n">
        <f aca="false">BB1735*CB1735</f>
        <v>1.10714285714286</v>
      </c>
      <c r="BD1735" s="51" t="n">
        <f aca="false">IF(LEFT(Cockpit!$O$5,1)="A",H1735,IF(CH1735=1,(CK1735+CI1735)/2,IF(LEFT(Cockpit!$O$5,1)="B",(CK1735+BF1735)/2,MAX((CK1735+BF1735)/2,H1735))))</f>
        <v>2.5</v>
      </c>
      <c r="BE1735" s="50" t="n">
        <f aca="false">BD1735*G1735</f>
        <v>60.725</v>
      </c>
      <c r="BF1735" s="50" t="n">
        <f aca="false">ROUNDUP(CK1735+MAX(CL1735,2*(J1735/IF(CG1735&gt;0,CG1735,MAX(0.1,N(Cockpit!$O$6)))-CK1735)),0)</f>
        <v>5</v>
      </c>
      <c r="BG1735" s="51" t="n">
        <f aca="false">IF(BC1735&gt;0,J1735/BC1735,-1)</f>
        <v>0</v>
      </c>
      <c r="BH1735" s="51" t="n">
        <f aca="false">IF(AND(OR(CF1735="L1",CF1735="L23",CF1735="LIFT"),BC1735&gt;0),SUMIFS($BC$7:$BC$1843,$CF$7:$CF$1843,CF1735,$BG$7:$BG$1843,"&gt;"&amp;BG1735)+SUMIFS($BC$7:$BC$1843,$CF$7:$CF$1843,CF1735,$BG$7:$BG$1843,BG1735,$BW$7:$BW$1843,"&lt;="&amp;BW1735),"")</f>
        <v>32553.498171085</v>
      </c>
      <c r="BI1735" s="58" t="n">
        <f aca="false">IF(BH1735="",0,MAX(0,MIN(1,(IF(CF1735="L1",Parameter!$H$5,IF(CF1735="L23",Parameter!$H$6+Parameter!$H$7,Parameter!$H$5+Parameter!$H$6+Parameter!$H$7))-(BH1735-BC1735))/BC1735)))</f>
        <v>1</v>
      </c>
      <c r="BJ1735" s="48" t="str">
        <f aca="false">IF(AI1735&lt;=0,"",IF(CF1735="Aussen","Aussenlager",IF(CF1735="-","Nicht im Lift",IF(AO1735&gt;=1,"Lift",IF(AO1735&lt;=0,"Aussenlager","teilweise")))))</f>
        <v>Lift</v>
      </c>
      <c r="BK1735" s="48" t="str">
        <f aca="false">IF(AS1735&lt;=0,"",IF(CF1735="Aussen","Aussenlager",IF(CF1735="-","Nicht im Lift",IF(AY1735&gt;=1,"Lift",IF(AY1735&lt;=0,"Aussenlager","teilweise")))))</f>
        <v>Aussenlager</v>
      </c>
      <c r="BL1735" s="48" t="str">
        <f aca="false">IF(BC1735&lt;=0,"",IF(CF1735="Aussen","Aussenlager",IF(CF1735="-","Nicht im Lift",IF(BI1735&gt;=1,"Lift",IF(BI1735&lt;=0,"Aussenlager","teilweise")))))</f>
        <v>Lift</v>
      </c>
      <c r="BM1735" s="48" t="str">
        <f aca="false">IF(A1735="","",IF(BV1735=1,"Neu; ","")&amp;IF(AND(BV1735=0,BQ1735&lt;0),"negativer Bestand (Export "&amp;BQ1735&amp;"); ","")&amp;IF(J1735&lt;=0,"Kein Verbrauch; ","")&amp;IF(CQ1735&gt;0,"Lift "&amp;W1735&amp;" lt. Liftbericht (Fach "&amp;X1735&amp;" Stk); ",IF(CA1735=1,"Gebinde geschätzt ("&amp;T1735&amp;"); ",IF(BZ1735=1,"Lose – Tablare geschätzt; ","")))&amp;IF(H1735&gt;AV1735,"Überbestand "&amp;ROUND(H1735-AV1735,0)&amp;" Stk / CHF "&amp;ROUND((H1735-AV1735)*G1735,0)&amp;"; ","")&amp;IF(AND(CH1735=1,CI1735&lt;CJ1735),"MAX &lt; MB+LG; ","")&amp;IF(AND(CP1735&gt;0,CO1735*10&gt;CP1735),"zu hoch für Tablar; ","")&amp;IF(AND(BV1735=0,OR(CH1735=1,AA1735&lt;&gt;"",U1735&lt;&gt;"",V1735&lt;&gt;"",AB1735&lt;&gt;"")),"manuell übersteuert; ","")&amp;IF(AND(BZ1735=0,R1735=0),"Gebinde unbekannt / Stellmass fehlt; ","")&amp;IF(AND(BZ1735=0,N(V1735)&lt;=0,N(Q1735)&lt;=0),"Menge pro Gebinde fehlt (Ist = 1 Gebinde); ","")&amp;BU1735)</f>
        <v>Kein Verbrauch; nur im Artikelstamm (Bestand 23.06.2026); Verb.Lager</v>
      </c>
      <c r="BN1735" s="48"/>
      <c r="BO1735" s="48"/>
      <c r="BP1735" s="55"/>
      <c r="BQ1735" s="50" t="n">
        <v>4</v>
      </c>
      <c r="BR1735" s="50" t="n">
        <v>0</v>
      </c>
      <c r="BS1735" s="49" t="n">
        <v>0</v>
      </c>
      <c r="BT1735" s="50" t="n">
        <v>0</v>
      </c>
      <c r="BU1735" s="48" t="s">
        <v>2578</v>
      </c>
      <c r="BV1735" s="53" t="n">
        <v>0</v>
      </c>
      <c r="BW1735" s="53" t="n">
        <v>1735</v>
      </c>
      <c r="BX1735" s="48" t="str">
        <f aca="false">IF(U1735&lt;&gt;"",UPPER(TRIM(U1735)),IF(CA1735=1,UPPER(VLOOKUP(T1735,Parameter!$I$27:$K$29,2,0)),IF(P1735="","LOSE",P1735)))</f>
        <v>S22</v>
      </c>
      <c r="BY1735" s="50" t="n">
        <f aca="false">IF(BX1735="LOSE",1,IF(N(V1735)&gt;0,V1735,IF(CA1735=1,MAX(1,N(VLOOKUP(T1735,Parameter!$I$27:$K$29,3,0)),H1735,N(N1735)),IF(N(Q1735)&gt;0,Q1735,MAX(1,H1735)))))</f>
        <v>8</v>
      </c>
      <c r="BZ1735" s="53" t="n">
        <f aca="false">IF(BX1735="LOSE",1,0)</f>
        <v>0</v>
      </c>
      <c r="CA1735" s="53" t="n">
        <f aca="false">IF(AND(U1735="",OR(P1735="",P1735="LOSE"),T1735&lt;&gt;"",N(S1735)&lt;=0,ISNUMBER(MATCH(T1735,Parameter!$I$27:$I$29,0))),1,0)</f>
        <v>0</v>
      </c>
      <c r="CB1735" s="53" t="n">
        <f aca="false">IF(CQ1735&gt;0,INDEX(Parameter!$H$5:$H$7,W1735)/INDEX(Parameter!$E$5:$E$7,W1735),IF(AND(BZ1735=0,N(IFERROR(VLOOKUP(BX1735,'Gebinde-Kategorie'!$A$5:$N$45,14,0),0))&gt;0),VLOOKUP(BX1735,'Gebinde-Kategorie'!$A$5:$N$45,14,0)*10+Parameter!$M$23,Parameter!$M$24))</f>
        <v>155</v>
      </c>
      <c r="CC1735" s="48" t="str">
        <f aca="false">IF(AND(Parameter!$B$19="Ja",E1735&lt;&gt;"",ISNUMBER(MATCH(E1735,Parameter!$I$35:$I$52,0))),VLOOKUP(E1735,Parameter!$I$35:$J$52,2,0),IFERROR(VLOOKUP(D1735,Parameter!$A$35:$C$64,2,0),"Nein"))</f>
        <v>2+3</v>
      </c>
      <c r="CD1735" s="52" t="n">
        <f aca="false">IF(BZ1735=0,0,IF(N(S1735)&gt;0,S1735,IFERROR(VLOOKUP(D1735,Parameter!$A$35:$C$64,3,0)+0,0)))</f>
        <v>0</v>
      </c>
      <c r="CE1735" s="48" t="n">
        <f aca="false">IF(AA1735&lt;&gt;"",AA1735,Z1735)</f>
        <v>3</v>
      </c>
      <c r="CF1735" s="48" t="str">
        <f aca="false">IF(OR(CE1735=1,CE1735=2,CE1735=3),IF(Parameter!$E$27="Ja","LIFT",IF(CE1735=1,"L1","L23")),IF(CE1735="Aussen","Aussen","-"))</f>
        <v>LIFT</v>
      </c>
      <c r="CG1735" s="59" t="n">
        <f aca="false">IF(N(AB1735)&gt;0,AB1735,0)</f>
        <v>0</v>
      </c>
      <c r="CH1735" s="53" t="n">
        <f aca="false">IF(ISNUMBER(AE1735),1,0)</f>
        <v>0</v>
      </c>
      <c r="CI1735" s="50" t="n">
        <f aca="false">N(AE1735)</f>
        <v>0</v>
      </c>
      <c r="CJ1735" s="50" t="n">
        <f aca="false">N(M1735)+N(N1735)</f>
        <v>5</v>
      </c>
      <c r="CK1735" s="50" t="n">
        <f aca="false">N(M1735)</f>
        <v>0</v>
      </c>
      <c r="CL1735" s="50" t="n">
        <f aca="false">N(N1735)</f>
        <v>5</v>
      </c>
      <c r="CM1735" s="50" t="n">
        <f aca="false">ROUNDUP(H1735/BY1735,0)</f>
        <v>1</v>
      </c>
      <c r="CN1735" s="50" t="n">
        <f aca="false">ROUNDUP(CI1735/BY1735,0)</f>
        <v>0</v>
      </c>
      <c r="CO1735" s="53" t="n">
        <f aca="false">IF(BZ1735=1,0,IFERROR(VLOOKUP(BX1735,'Gebinde-Kategorie'!$A$5:$N$45,5,0)+0,0))</f>
        <v>8</v>
      </c>
      <c r="CP1735" s="53" t="n">
        <f aca="false">IFERROR(IF(OR(CE1735=1,CE1735=2,CE1735=3),N(INDEX(Parameter!$I$5:$I$7,CE1735)),0),0)</f>
        <v>0</v>
      </c>
      <c r="CQ1735" s="52" t="n">
        <f aca="false">IF(AND(Parameter!$B$21="Ja",ISNUMBER(W1735),N(X1735)&gt;0),IFERROR(N(INDEX(Parameter!$L$5:$L$7,W1735))*INDEX(Parameter!$E$5:$E$7,W1735)*X1735/SUMIFS($X$7:$X$1843,$W$7:$W$1843,W1735),0),0)</f>
        <v>0</v>
      </c>
    </row>
    <row r="1736" customFormat="false" ht="15" hidden="false" customHeight="false" outlineLevel="0" collapsed="false">
      <c r="A1736" s="48" t="s">
        <v>3011</v>
      </c>
      <c r="B1736" s="48" t="s">
        <v>2608</v>
      </c>
      <c r="C1736" s="48" t="s">
        <v>173</v>
      </c>
      <c r="D1736" s="48" t="s">
        <v>193</v>
      </c>
      <c r="E1736" s="48"/>
      <c r="F1736" s="48"/>
      <c r="G1736" s="49" t="n">
        <v>40.43</v>
      </c>
      <c r="H1736" s="50" t="n">
        <f aca="false">MAX(0,IF(AND(Parameter!$B$21="Ja",ISNUMBER(Y1736)),Y1736,IF(Parameter!$B$20="Jahresanfang 2025 + Export",BR1736+BQ1736,BQ1736)))</f>
        <v>8</v>
      </c>
      <c r="I1736" s="50" t="n">
        <f aca="false">H1736*G1736</f>
        <v>323.44</v>
      </c>
      <c r="J1736" s="50" t="n">
        <f aca="false">BT1736*Parameter!$B$18</f>
        <v>0</v>
      </c>
      <c r="K1736" s="51"/>
      <c r="L1736" s="52"/>
      <c r="M1736" s="50" t="n">
        <v>0</v>
      </c>
      <c r="N1736" s="50" t="n">
        <v>8</v>
      </c>
      <c r="O1736" s="53" t="n">
        <v>14</v>
      </c>
      <c r="P1736" s="48" t="s">
        <v>435</v>
      </c>
      <c r="Q1736" s="50" t="n">
        <v>8</v>
      </c>
      <c r="R1736" s="53" t="n">
        <f aca="false">IF(BZ1736=1,0,IFERROR(VLOOKUP(BX1736,'Gebinde-Kategorie'!$A$5:$N$45,13,0)+0,0))</f>
        <v>140</v>
      </c>
      <c r="S1736" s="54"/>
      <c r="T1736" s="55"/>
      <c r="U1736" s="55"/>
      <c r="V1736" s="55"/>
      <c r="W1736" s="48"/>
      <c r="X1736" s="50"/>
      <c r="Y1736" s="50"/>
      <c r="Z1736" s="48" t="n">
        <f aca="false">IF(A1736="","",IF(AND(Parameter!$B$21="Ja",ISNUMBER(W1736)),W1736,IF(CC1736="2+3",IF(ISNUMBER(SEARCH("grosser Artikel",BU1736)),2,IFERROR(VLOOKUP(BX1736,Parameter!$F$35:$G$64,2,0),2)),IF(OR(CC1736="Nein",CC1736=""),"-",CC1736))))</f>
        <v>3</v>
      </c>
      <c r="AA1736" s="55"/>
      <c r="AB1736" s="56"/>
      <c r="AC1736" s="50" t="n">
        <f aca="false">AV1736</f>
        <v>8</v>
      </c>
      <c r="AD1736" s="50" t="n">
        <f aca="false">MAX(AV1736,H1736)</f>
        <v>8</v>
      </c>
      <c r="AE1736" s="57"/>
      <c r="AF1736" s="50" t="n">
        <f aca="false">IF(LEFT(Cockpit!$C$5,1)="A",H1736,IF(Parameter!$E$30="MAX-Bestand",IF(CH1736=1,CI1736,IF(LEFT(Cockpit!$C$5,1)="B",AL1736,MAX(AL1736,H1736))),ROUNDUP(AJ1736,0)))</f>
        <v>8</v>
      </c>
      <c r="AG1736" s="50" t="n">
        <f aca="false">IF(BZ1736=1,0,ROUNDUP(AF1736/BY1736,0))</f>
        <v>1</v>
      </c>
      <c r="AH1736" s="52" t="n">
        <f aca="false">IF(CQ1736&gt;0,CQ1736*MAX(1,AF1736/X1736),IF(BZ1736=1,IF(AF1736&lt;=0,0,CD1736*MAX(1,IF(H1736&gt;0,AF1736/H1736,1))),IF(R1736&gt;0,AG1736/R1736,0))/MAX(0.1,N(Parameter!$M$21)))</f>
        <v>0.00714285714285714</v>
      </c>
      <c r="AI1736" s="50" t="n">
        <f aca="false">AH1736*CB1736</f>
        <v>1.10714285714286</v>
      </c>
      <c r="AJ1736" s="51" t="n">
        <f aca="false">IF(LEFT(Cockpit!$C$5,1)="A",H1736,IF(CH1736=1,(CK1736+CI1736)/2,IF(LEFT(Cockpit!$C$5,1)="B",(CK1736+AL1736)/2,MAX((CK1736+AL1736)/2,H1736))))</f>
        <v>8</v>
      </c>
      <c r="AK1736" s="50" t="n">
        <f aca="false">AJ1736*G1736</f>
        <v>323.44</v>
      </c>
      <c r="AL1736" s="50" t="n">
        <f aca="false">ROUNDUP(CK1736+MAX(CL1736,2*(J1736/IF(CG1736&gt;0,CG1736,MAX(0.1,N(Cockpit!$C$6)))-CK1736)),0)</f>
        <v>8</v>
      </c>
      <c r="AM1736" s="51" t="n">
        <f aca="false">IF(AI1736&gt;0,J1736/AI1736,-1)</f>
        <v>0</v>
      </c>
      <c r="AN1736" s="51" t="n">
        <f aca="false">IF(AND(OR(CF1736="L1",CF1736="L23",CF1736="LIFT"),AI1736&gt;0),SUMIFS($AI$7:$AI$1843,$CF$7:$CF$1843,CF1736,$AM$7:$AM$1843,"&gt;"&amp;AM1736)+SUMIFS($AI$7:$AI$1843,$CF$7:$CF$1843,CF1736,$AM$7:$AM$1843,AM1736,$BW$7:$BW$1843,"&lt;="&amp;BW1736),"")</f>
        <v>32853.1181887792</v>
      </c>
      <c r="AO1736" s="58" t="n">
        <f aca="false">IF(AN1736="",0,MAX(0,MIN(1,(IF(CF1736="L1",Parameter!$H$5,IF(CF1736="L23",Parameter!$H$6+Parameter!$H$7,Parameter!$H$5+Parameter!$H$6+Parameter!$H$7))-(AN1736-AI1736))/AI1736)))</f>
        <v>1</v>
      </c>
      <c r="AP1736" s="50" t="n">
        <f aca="false">IF(LEFT(Cockpit!$I$5,1)="A",H1736,IF(Parameter!$E$30="MAX-Bestand",IF(CH1736=1,CI1736,IF(LEFT(Cockpit!$I$5,1)="B",AV1736,MAX(AV1736,H1736))),ROUNDUP(AT1736,0)))</f>
        <v>8</v>
      </c>
      <c r="AQ1736" s="50" t="n">
        <f aca="false">IF(BZ1736=1,0,ROUNDUP(AP1736/BY1736,0))</f>
        <v>1</v>
      </c>
      <c r="AR1736" s="52" t="n">
        <f aca="false">IF(CQ1736&gt;0,CQ1736*MAX(1,AP1736/X1736),IF(BZ1736=1,IF(AP1736&lt;=0,0,CD1736*MAX(1,IF(H1736&gt;0,AP1736/H1736,1))),IF(R1736&gt;0,AQ1736/R1736,0))/MAX(0.1,N(Parameter!$M$21)))</f>
        <v>0.00714285714285714</v>
      </c>
      <c r="AS1736" s="50" t="n">
        <f aca="false">AR1736*CB1736</f>
        <v>1.10714285714286</v>
      </c>
      <c r="AT1736" s="51" t="n">
        <f aca="false">IF(LEFT(Cockpit!$I$5,1)="A",H1736,IF(CH1736=1,(CK1736+CI1736)/2,IF(LEFT(Cockpit!$I$5,1)="B",(CK1736+AV1736)/2,MAX((CK1736+AV1736)/2,H1736))))</f>
        <v>8</v>
      </c>
      <c r="AU1736" s="50" t="n">
        <f aca="false">AT1736*G1736</f>
        <v>323.44</v>
      </c>
      <c r="AV1736" s="50" t="n">
        <f aca="false">ROUNDUP(CK1736+MAX(CL1736,2*(J1736/IF(CG1736&gt;0,CG1736,MAX(0.1,N(Cockpit!$I$6)))-CK1736)),0)</f>
        <v>8</v>
      </c>
      <c r="AW1736" s="51" t="n">
        <f aca="false">IF(AS1736&gt;0,J1736/AS1736,-1)</f>
        <v>0</v>
      </c>
      <c r="AX1736" s="51" t="n">
        <f aca="false">IF(AND(OR(CF1736="L1",CF1736="L23",CF1736="LIFT"),AS1736&gt;0),SUMIFS($AS$7:$AS$1843,$CF$7:$CF$1843,CF1736,$AW$7:$AW$1843,"&gt;"&amp;AW1736)+SUMIFS($AS$7:$AS$1843,$CF$7:$CF$1843,CF1736,$AW$7:$AW$1843,AW1736,$BW$7:$BW$1843,"&lt;="&amp;BW1736),"")</f>
        <v>39327.0271336479</v>
      </c>
      <c r="AY1736" s="58" t="n">
        <f aca="false">IF(AX1736="",0,MAX(0,MIN(1,(IF(CF1736="L1",Parameter!$H$5,IF(CF1736="L23",Parameter!$H$6+Parameter!$H$7,Parameter!$H$5+Parameter!$H$6+Parameter!$H$7))-(AX1736-AS1736))/AS1736)))</f>
        <v>0</v>
      </c>
      <c r="AZ1736" s="50" t="n">
        <f aca="false">IF(LEFT(Cockpit!$O$5,1)="A",H1736,IF(Parameter!$E$30="MAX-Bestand",IF(CH1736=1,CI1736,IF(LEFT(Cockpit!$O$5,1)="B",BF1736,MAX(BF1736,H1736))),ROUNDUP(BD1736,0)))</f>
        <v>4</v>
      </c>
      <c r="BA1736" s="50" t="n">
        <f aca="false">IF(BZ1736=1,0,ROUNDUP(AZ1736/BY1736,0))</f>
        <v>1</v>
      </c>
      <c r="BB1736" s="52" t="n">
        <f aca="false">IF(CQ1736&gt;0,CQ1736*MAX(1,AZ1736/X1736),IF(BZ1736=1,IF(AZ1736&lt;=0,0,CD1736*MAX(1,IF(H1736&gt;0,AZ1736/H1736,1))),IF(R1736&gt;0,BA1736/R1736,0))/MAX(0.1,N(Parameter!$M$21)))</f>
        <v>0.00714285714285714</v>
      </c>
      <c r="BC1736" s="50" t="n">
        <f aca="false">BB1736*CB1736</f>
        <v>1.10714285714286</v>
      </c>
      <c r="BD1736" s="51" t="n">
        <f aca="false">IF(LEFT(Cockpit!$O$5,1)="A",H1736,IF(CH1736=1,(CK1736+CI1736)/2,IF(LEFT(Cockpit!$O$5,1)="B",(CK1736+BF1736)/2,MAX((CK1736+BF1736)/2,H1736))))</f>
        <v>4</v>
      </c>
      <c r="BE1736" s="50" t="n">
        <f aca="false">BD1736*G1736</f>
        <v>161.72</v>
      </c>
      <c r="BF1736" s="50" t="n">
        <f aca="false">ROUNDUP(CK1736+MAX(CL1736,2*(J1736/IF(CG1736&gt;0,CG1736,MAX(0.1,N(Cockpit!$O$6)))-CK1736)),0)</f>
        <v>8</v>
      </c>
      <c r="BG1736" s="51" t="n">
        <f aca="false">IF(BC1736&gt;0,J1736/BC1736,-1)</f>
        <v>0</v>
      </c>
      <c r="BH1736" s="51" t="n">
        <f aca="false">IF(AND(OR(CF1736="L1",CF1736="L23",CF1736="LIFT"),BC1736&gt;0),SUMIFS($BC$7:$BC$1843,$CF$7:$CF$1843,CF1736,$BG$7:$BG$1843,"&gt;"&amp;BG1736)+SUMIFS($BC$7:$BC$1843,$CF$7:$CF$1843,CF1736,$BG$7:$BG$1843,BG1736,$BW$7:$BW$1843,"&lt;="&amp;BW1736),"")</f>
        <v>32554.6053139422</v>
      </c>
      <c r="BI1736" s="58" t="n">
        <f aca="false">IF(BH1736="",0,MAX(0,MIN(1,(IF(CF1736="L1",Parameter!$H$5,IF(CF1736="L23",Parameter!$H$6+Parameter!$H$7,Parameter!$H$5+Parameter!$H$6+Parameter!$H$7))-(BH1736-BC1736))/BC1736)))</f>
        <v>1</v>
      </c>
      <c r="BJ1736" s="48" t="str">
        <f aca="false">IF(AI1736&lt;=0,"",IF(CF1736="Aussen","Aussenlager",IF(CF1736="-","Nicht im Lift",IF(AO1736&gt;=1,"Lift",IF(AO1736&lt;=0,"Aussenlager","teilweise")))))</f>
        <v>Lift</v>
      </c>
      <c r="BK1736" s="48" t="str">
        <f aca="false">IF(AS1736&lt;=0,"",IF(CF1736="Aussen","Aussenlager",IF(CF1736="-","Nicht im Lift",IF(AY1736&gt;=1,"Lift",IF(AY1736&lt;=0,"Aussenlager","teilweise")))))</f>
        <v>Aussenlager</v>
      </c>
      <c r="BL1736" s="48" t="str">
        <f aca="false">IF(BC1736&lt;=0,"",IF(CF1736="Aussen","Aussenlager",IF(CF1736="-","Nicht im Lift",IF(BI1736&gt;=1,"Lift",IF(BI1736&lt;=0,"Aussenlager","teilweise")))))</f>
        <v>Lift</v>
      </c>
      <c r="BM1736" s="48" t="str">
        <f aca="false">IF(A1736="","",IF(BV1736=1,"Neu; ","")&amp;IF(AND(BV1736=0,BQ1736&lt;0),"negativer Bestand (Export "&amp;BQ1736&amp;"); ","")&amp;IF(J1736&lt;=0,"Kein Verbrauch; ","")&amp;IF(CQ1736&gt;0,"Lift "&amp;W1736&amp;" lt. Liftbericht (Fach "&amp;X1736&amp;" Stk); ",IF(CA1736=1,"Gebinde geschätzt ("&amp;T1736&amp;"); ",IF(BZ1736=1,"Lose – Tablare geschätzt; ","")))&amp;IF(H1736&gt;AV1736,"Überbestand "&amp;ROUND(H1736-AV1736,0)&amp;" Stk / CHF "&amp;ROUND((H1736-AV1736)*G1736,0)&amp;"; ","")&amp;IF(AND(CH1736=1,CI1736&lt;CJ1736),"MAX &lt; MB+LG; ","")&amp;IF(AND(CP1736&gt;0,CO1736*10&gt;CP1736),"zu hoch für Tablar; ","")&amp;IF(AND(BV1736=0,OR(CH1736=1,AA1736&lt;&gt;"",U1736&lt;&gt;"",V1736&lt;&gt;"",AB1736&lt;&gt;"")),"manuell übersteuert; ","")&amp;IF(AND(BZ1736=0,R1736=0),"Gebinde unbekannt / Stellmass fehlt; ","")&amp;IF(AND(BZ1736=0,N(V1736)&lt;=0,N(Q1736)&lt;=0),"Menge pro Gebinde fehlt (Ist = 1 Gebinde); ","")&amp;BU1736)</f>
        <v>Kein Verbrauch; nur im Artikelstamm (Bestand 23.06.2026)</v>
      </c>
      <c r="BN1736" s="48"/>
      <c r="BO1736" s="48"/>
      <c r="BP1736" s="55"/>
      <c r="BQ1736" s="50" t="n">
        <v>8</v>
      </c>
      <c r="BR1736" s="50" t="n">
        <v>0</v>
      </c>
      <c r="BS1736" s="49" t="n">
        <v>0</v>
      </c>
      <c r="BT1736" s="50" t="n">
        <v>0</v>
      </c>
      <c r="BU1736" s="48" t="s">
        <v>2584</v>
      </c>
      <c r="BV1736" s="53" t="n">
        <v>0</v>
      </c>
      <c r="BW1736" s="53" t="n">
        <v>1736</v>
      </c>
      <c r="BX1736" s="48" t="str">
        <f aca="false">IF(U1736&lt;&gt;"",UPPER(TRIM(U1736)),IF(CA1736=1,UPPER(VLOOKUP(T1736,Parameter!$I$27:$K$29,2,0)),IF(P1736="","LOSE",P1736)))</f>
        <v>S22</v>
      </c>
      <c r="BY1736" s="50" t="n">
        <f aca="false">IF(BX1736="LOSE",1,IF(N(V1736)&gt;0,V1736,IF(CA1736=1,MAX(1,N(VLOOKUP(T1736,Parameter!$I$27:$K$29,3,0)),H1736,N(N1736)),IF(N(Q1736)&gt;0,Q1736,MAX(1,H1736)))))</f>
        <v>8</v>
      </c>
      <c r="BZ1736" s="53" t="n">
        <f aca="false">IF(BX1736="LOSE",1,0)</f>
        <v>0</v>
      </c>
      <c r="CA1736" s="53" t="n">
        <f aca="false">IF(AND(U1736="",OR(P1736="",P1736="LOSE"),T1736&lt;&gt;"",N(S1736)&lt;=0,ISNUMBER(MATCH(T1736,Parameter!$I$27:$I$29,0))),1,0)</f>
        <v>0</v>
      </c>
      <c r="CB1736" s="53" t="n">
        <f aca="false">IF(CQ1736&gt;0,INDEX(Parameter!$H$5:$H$7,W1736)/INDEX(Parameter!$E$5:$E$7,W1736),IF(AND(BZ1736=0,N(IFERROR(VLOOKUP(BX1736,'Gebinde-Kategorie'!$A$5:$N$45,14,0),0))&gt;0),VLOOKUP(BX1736,'Gebinde-Kategorie'!$A$5:$N$45,14,0)*10+Parameter!$M$23,Parameter!$M$24))</f>
        <v>155</v>
      </c>
      <c r="CC1736" s="48" t="str">
        <f aca="false">IF(AND(Parameter!$B$19="Ja",E1736&lt;&gt;"",ISNUMBER(MATCH(E1736,Parameter!$I$35:$I$52,0))),VLOOKUP(E1736,Parameter!$I$35:$J$52,2,0),IFERROR(VLOOKUP(D1736,Parameter!$A$35:$C$64,2,0),"Nein"))</f>
        <v>2+3</v>
      </c>
      <c r="CD1736" s="52" t="n">
        <f aca="false">IF(BZ1736=0,0,IF(N(S1736)&gt;0,S1736,IFERROR(VLOOKUP(D1736,Parameter!$A$35:$C$64,3,0)+0,0)))</f>
        <v>0</v>
      </c>
      <c r="CE1736" s="48" t="n">
        <f aca="false">IF(AA1736&lt;&gt;"",AA1736,Z1736)</f>
        <v>3</v>
      </c>
      <c r="CF1736" s="48" t="str">
        <f aca="false">IF(OR(CE1736=1,CE1736=2,CE1736=3),IF(Parameter!$E$27="Ja","LIFT",IF(CE1736=1,"L1","L23")),IF(CE1736="Aussen","Aussen","-"))</f>
        <v>LIFT</v>
      </c>
      <c r="CG1736" s="59" t="n">
        <f aca="false">IF(N(AB1736)&gt;0,AB1736,0)</f>
        <v>0</v>
      </c>
      <c r="CH1736" s="53" t="n">
        <f aca="false">IF(ISNUMBER(AE1736),1,0)</f>
        <v>0</v>
      </c>
      <c r="CI1736" s="50" t="n">
        <f aca="false">N(AE1736)</f>
        <v>0</v>
      </c>
      <c r="CJ1736" s="50" t="n">
        <f aca="false">N(M1736)+N(N1736)</f>
        <v>8</v>
      </c>
      <c r="CK1736" s="50" t="n">
        <f aca="false">N(M1736)</f>
        <v>0</v>
      </c>
      <c r="CL1736" s="50" t="n">
        <f aca="false">N(N1736)</f>
        <v>8</v>
      </c>
      <c r="CM1736" s="50" t="n">
        <f aca="false">ROUNDUP(H1736/BY1736,0)</f>
        <v>1</v>
      </c>
      <c r="CN1736" s="50" t="n">
        <f aca="false">ROUNDUP(CI1736/BY1736,0)</f>
        <v>0</v>
      </c>
      <c r="CO1736" s="53" t="n">
        <f aca="false">IF(BZ1736=1,0,IFERROR(VLOOKUP(BX1736,'Gebinde-Kategorie'!$A$5:$N$45,5,0)+0,0))</f>
        <v>8</v>
      </c>
      <c r="CP1736" s="53" t="n">
        <f aca="false">IFERROR(IF(OR(CE1736=1,CE1736=2,CE1736=3),N(INDEX(Parameter!$I$5:$I$7,CE1736)),0),0)</f>
        <v>0</v>
      </c>
      <c r="CQ1736" s="52" t="n">
        <f aca="false">IF(AND(Parameter!$B$21="Ja",ISNUMBER(W1736),N(X1736)&gt;0),IFERROR(N(INDEX(Parameter!$L$5:$L$7,W1736))*INDEX(Parameter!$E$5:$E$7,W1736)*X1736/SUMIFS($X$7:$X$1843,$W$7:$W$1843,W1736),0),0)</f>
        <v>0</v>
      </c>
    </row>
    <row r="1737" customFormat="false" ht="15" hidden="false" customHeight="false" outlineLevel="0" collapsed="false">
      <c r="A1737" s="48" t="s">
        <v>3012</v>
      </c>
      <c r="B1737" s="48" t="s">
        <v>2451</v>
      </c>
      <c r="C1737" s="48" t="s">
        <v>173</v>
      </c>
      <c r="D1737" s="48" t="s">
        <v>193</v>
      </c>
      <c r="E1737" s="48"/>
      <c r="F1737" s="48"/>
      <c r="G1737" s="49" t="n">
        <v>300</v>
      </c>
      <c r="H1737" s="50" t="n">
        <f aca="false">MAX(0,IF(AND(Parameter!$B$21="Ja",ISNUMBER(Y1737)),Y1737,IF(Parameter!$B$20="Jahresanfang 2025 + Export",BR1737+BQ1737,BQ1737)))</f>
        <v>6</v>
      </c>
      <c r="I1737" s="50" t="n">
        <f aca="false">H1737*G1737</f>
        <v>1800</v>
      </c>
      <c r="J1737" s="50" t="n">
        <f aca="false">BT1737*Parameter!$B$18</f>
        <v>0</v>
      </c>
      <c r="K1737" s="51"/>
      <c r="L1737" s="52"/>
      <c r="M1737" s="50" t="n">
        <v>0</v>
      </c>
      <c r="N1737" s="50" t="n">
        <v>1</v>
      </c>
      <c r="O1737" s="53" t="n">
        <v>0</v>
      </c>
      <c r="P1737" s="48" t="s">
        <v>435</v>
      </c>
      <c r="Q1737" s="50" t="n">
        <v>6</v>
      </c>
      <c r="R1737" s="53" t="n">
        <f aca="false">IF(BZ1737=1,0,IFERROR(VLOOKUP(BX1737,'Gebinde-Kategorie'!$A$5:$N$45,13,0)+0,0))</f>
        <v>140</v>
      </c>
      <c r="S1737" s="54"/>
      <c r="T1737" s="55"/>
      <c r="U1737" s="55"/>
      <c r="V1737" s="55"/>
      <c r="W1737" s="48"/>
      <c r="X1737" s="50"/>
      <c r="Y1737" s="50"/>
      <c r="Z1737" s="48" t="n">
        <f aca="false">IF(A1737="","",IF(AND(Parameter!$B$21="Ja",ISNUMBER(W1737)),W1737,IF(CC1737="2+3",IF(ISNUMBER(SEARCH("grosser Artikel",BU1737)),2,IFERROR(VLOOKUP(BX1737,Parameter!$F$35:$G$64,2,0),2)),IF(OR(CC1737="Nein",CC1737=""),"-",CC1737))))</f>
        <v>3</v>
      </c>
      <c r="AA1737" s="55"/>
      <c r="AB1737" s="56"/>
      <c r="AC1737" s="50" t="n">
        <f aca="false">AV1737</f>
        <v>1</v>
      </c>
      <c r="AD1737" s="50" t="n">
        <f aca="false">MAX(AV1737,H1737)</f>
        <v>6</v>
      </c>
      <c r="AE1737" s="57"/>
      <c r="AF1737" s="50" t="n">
        <f aca="false">IF(LEFT(Cockpit!$C$5,1)="A",H1737,IF(Parameter!$E$30="MAX-Bestand",IF(CH1737=1,CI1737,IF(LEFT(Cockpit!$C$5,1)="B",AL1737,MAX(AL1737,H1737))),ROUNDUP(AJ1737,0)))</f>
        <v>6</v>
      </c>
      <c r="AG1737" s="50" t="n">
        <f aca="false">IF(BZ1737=1,0,ROUNDUP(AF1737/BY1737,0))</f>
        <v>1</v>
      </c>
      <c r="AH1737" s="52" t="n">
        <f aca="false">IF(CQ1737&gt;0,CQ1737*MAX(1,AF1737/X1737),IF(BZ1737=1,IF(AF1737&lt;=0,0,CD1737*MAX(1,IF(H1737&gt;0,AF1737/H1737,1))),IF(R1737&gt;0,AG1737/R1737,0))/MAX(0.1,N(Parameter!$M$21)))</f>
        <v>0.00714285714285714</v>
      </c>
      <c r="AI1737" s="50" t="n">
        <f aca="false">AH1737*CB1737</f>
        <v>1.10714285714286</v>
      </c>
      <c r="AJ1737" s="51" t="n">
        <f aca="false">IF(LEFT(Cockpit!$C$5,1)="A",H1737,IF(CH1737=1,(CK1737+CI1737)/2,IF(LEFT(Cockpit!$C$5,1)="B",(CK1737+AL1737)/2,MAX((CK1737+AL1737)/2,H1737))))</f>
        <v>6</v>
      </c>
      <c r="AK1737" s="50" t="n">
        <f aca="false">AJ1737*G1737</f>
        <v>1800</v>
      </c>
      <c r="AL1737" s="50" t="n">
        <f aca="false">ROUNDUP(CK1737+MAX(CL1737,2*(J1737/IF(CG1737&gt;0,CG1737,MAX(0.1,N(Cockpit!$C$6)))-CK1737)),0)</f>
        <v>1</v>
      </c>
      <c r="AM1737" s="51" t="n">
        <f aca="false">IF(AI1737&gt;0,J1737/AI1737,-1)</f>
        <v>0</v>
      </c>
      <c r="AN1737" s="51" t="n">
        <f aca="false">IF(AND(OR(CF1737="L1",CF1737="L23",CF1737="LIFT"),AI1737&gt;0),SUMIFS($AI$7:$AI$1843,$CF$7:$CF$1843,CF1737,$AM$7:$AM$1843,"&gt;"&amp;AM1737)+SUMIFS($AI$7:$AI$1843,$CF$7:$CF$1843,CF1737,$AM$7:$AM$1843,AM1737,$BW$7:$BW$1843,"&lt;="&amp;BW1737),"")</f>
        <v>32854.2253316364</v>
      </c>
      <c r="AO1737" s="58" t="n">
        <f aca="false">IF(AN1737="",0,MAX(0,MIN(1,(IF(CF1737="L1",Parameter!$H$5,IF(CF1737="L23",Parameter!$H$6+Parameter!$H$7,Parameter!$H$5+Parameter!$H$6+Parameter!$H$7))-(AN1737-AI1737))/AI1737)))</f>
        <v>1</v>
      </c>
      <c r="AP1737" s="50" t="n">
        <f aca="false">IF(LEFT(Cockpit!$I$5,1)="A",H1737,IF(Parameter!$E$30="MAX-Bestand",IF(CH1737=1,CI1737,IF(LEFT(Cockpit!$I$5,1)="B",AV1737,MAX(AV1737,H1737))),ROUNDUP(AT1737,0)))</f>
        <v>6</v>
      </c>
      <c r="AQ1737" s="50" t="n">
        <f aca="false">IF(BZ1737=1,0,ROUNDUP(AP1737/BY1737,0))</f>
        <v>1</v>
      </c>
      <c r="AR1737" s="52" t="n">
        <f aca="false">IF(CQ1737&gt;0,CQ1737*MAX(1,AP1737/X1737),IF(BZ1737=1,IF(AP1737&lt;=0,0,CD1737*MAX(1,IF(H1737&gt;0,AP1737/H1737,1))),IF(R1737&gt;0,AQ1737/R1737,0))/MAX(0.1,N(Parameter!$M$21)))</f>
        <v>0.00714285714285714</v>
      </c>
      <c r="AS1737" s="50" t="n">
        <f aca="false">AR1737*CB1737</f>
        <v>1.10714285714286</v>
      </c>
      <c r="AT1737" s="51" t="n">
        <f aca="false">IF(LEFT(Cockpit!$I$5,1)="A",H1737,IF(CH1737=1,(CK1737+CI1737)/2,IF(LEFT(Cockpit!$I$5,1)="B",(CK1737+AV1737)/2,MAX((CK1737+AV1737)/2,H1737))))</f>
        <v>6</v>
      </c>
      <c r="AU1737" s="50" t="n">
        <f aca="false">AT1737*G1737</f>
        <v>1800</v>
      </c>
      <c r="AV1737" s="50" t="n">
        <f aca="false">ROUNDUP(CK1737+MAX(CL1737,2*(J1737/IF(CG1737&gt;0,CG1737,MAX(0.1,N(Cockpit!$I$6)))-CK1737)),0)</f>
        <v>1</v>
      </c>
      <c r="AW1737" s="51" t="n">
        <f aca="false">IF(AS1737&gt;0,J1737/AS1737,-1)</f>
        <v>0</v>
      </c>
      <c r="AX1737" s="51" t="n">
        <f aca="false">IF(AND(OR(CF1737="L1",CF1737="L23",CF1737="LIFT"),AS1737&gt;0),SUMIFS($AS$7:$AS$1843,$CF$7:$CF$1843,CF1737,$AW$7:$AW$1843,"&gt;"&amp;AW1737)+SUMIFS($AS$7:$AS$1843,$CF$7:$CF$1843,CF1737,$AW$7:$AW$1843,AW1737,$BW$7:$BW$1843,"&lt;="&amp;BW1737),"")</f>
        <v>39328.134276505</v>
      </c>
      <c r="AY1737" s="58" t="n">
        <f aca="false">IF(AX1737="",0,MAX(0,MIN(1,(IF(CF1737="L1",Parameter!$H$5,IF(CF1737="L23",Parameter!$H$6+Parameter!$H$7,Parameter!$H$5+Parameter!$H$6+Parameter!$H$7))-(AX1737-AS1737))/AS1737)))</f>
        <v>0</v>
      </c>
      <c r="AZ1737" s="50" t="n">
        <f aca="false">IF(LEFT(Cockpit!$O$5,1)="A",H1737,IF(Parameter!$E$30="MAX-Bestand",IF(CH1737=1,CI1737,IF(LEFT(Cockpit!$O$5,1)="B",BF1737,MAX(BF1737,H1737))),ROUNDUP(BD1737,0)))</f>
        <v>1</v>
      </c>
      <c r="BA1737" s="50" t="n">
        <f aca="false">IF(BZ1737=1,0,ROUNDUP(AZ1737/BY1737,0))</f>
        <v>1</v>
      </c>
      <c r="BB1737" s="52" t="n">
        <f aca="false">IF(CQ1737&gt;0,CQ1737*MAX(1,AZ1737/X1737),IF(BZ1737=1,IF(AZ1737&lt;=0,0,CD1737*MAX(1,IF(H1737&gt;0,AZ1737/H1737,1))),IF(R1737&gt;0,BA1737/R1737,0))/MAX(0.1,N(Parameter!$M$21)))</f>
        <v>0.00714285714285714</v>
      </c>
      <c r="BC1737" s="50" t="n">
        <f aca="false">BB1737*CB1737</f>
        <v>1.10714285714286</v>
      </c>
      <c r="BD1737" s="51" t="n">
        <f aca="false">IF(LEFT(Cockpit!$O$5,1)="A",H1737,IF(CH1737=1,(CK1737+CI1737)/2,IF(LEFT(Cockpit!$O$5,1)="B",(CK1737+BF1737)/2,MAX((CK1737+BF1737)/2,H1737))))</f>
        <v>0.5</v>
      </c>
      <c r="BE1737" s="50" t="n">
        <f aca="false">BD1737*G1737</f>
        <v>150</v>
      </c>
      <c r="BF1737" s="50" t="n">
        <f aca="false">ROUNDUP(CK1737+MAX(CL1737,2*(J1737/IF(CG1737&gt;0,CG1737,MAX(0.1,N(Cockpit!$O$6)))-CK1737)),0)</f>
        <v>1</v>
      </c>
      <c r="BG1737" s="51" t="n">
        <f aca="false">IF(BC1737&gt;0,J1737/BC1737,-1)</f>
        <v>0</v>
      </c>
      <c r="BH1737" s="51" t="n">
        <f aca="false">IF(AND(OR(CF1737="L1",CF1737="L23",CF1737="LIFT"),BC1737&gt;0),SUMIFS($BC$7:$BC$1843,$CF$7:$CF$1843,CF1737,$BG$7:$BG$1843,"&gt;"&amp;BG1737)+SUMIFS($BC$7:$BC$1843,$CF$7:$CF$1843,CF1737,$BG$7:$BG$1843,BG1737,$BW$7:$BW$1843,"&lt;="&amp;BW1737),"")</f>
        <v>32555.7124567993</v>
      </c>
      <c r="BI1737" s="58" t="n">
        <f aca="false">IF(BH1737="",0,MAX(0,MIN(1,(IF(CF1737="L1",Parameter!$H$5,IF(CF1737="L23",Parameter!$H$6+Parameter!$H$7,Parameter!$H$5+Parameter!$H$6+Parameter!$H$7))-(BH1737-BC1737))/BC1737)))</f>
        <v>1</v>
      </c>
      <c r="BJ1737" s="48" t="str">
        <f aca="false">IF(AI1737&lt;=0,"",IF(CF1737="Aussen","Aussenlager",IF(CF1737="-","Nicht im Lift",IF(AO1737&gt;=1,"Lift",IF(AO1737&lt;=0,"Aussenlager","teilweise")))))</f>
        <v>Lift</v>
      </c>
      <c r="BK1737" s="48" t="str">
        <f aca="false">IF(AS1737&lt;=0,"",IF(CF1737="Aussen","Aussenlager",IF(CF1737="-","Nicht im Lift",IF(AY1737&gt;=1,"Lift",IF(AY1737&lt;=0,"Aussenlager","teilweise")))))</f>
        <v>Aussenlager</v>
      </c>
      <c r="BL1737" s="48" t="str">
        <f aca="false">IF(BC1737&lt;=0,"",IF(CF1737="Aussen","Aussenlager",IF(CF1737="-","Nicht im Lift",IF(BI1737&gt;=1,"Lift",IF(BI1737&lt;=0,"Aussenlager","teilweise")))))</f>
        <v>Lift</v>
      </c>
      <c r="BM1737" s="48" t="str">
        <f aca="false">IF(A1737="","",IF(BV1737=1,"Neu; ","")&amp;IF(AND(BV1737=0,BQ1737&lt;0),"negativer Bestand (Export "&amp;BQ1737&amp;"); ","")&amp;IF(J1737&lt;=0,"Kein Verbrauch; ","")&amp;IF(CQ1737&gt;0,"Lift "&amp;W1737&amp;" lt. Liftbericht (Fach "&amp;X1737&amp;" Stk); ",IF(CA1737=1,"Gebinde geschätzt ("&amp;T1737&amp;"); ",IF(BZ1737=1,"Lose – Tablare geschätzt; ","")))&amp;IF(H1737&gt;AV1737,"Überbestand "&amp;ROUND(H1737-AV1737,0)&amp;" Stk / CHF "&amp;ROUND((H1737-AV1737)*G1737,0)&amp;"; ","")&amp;IF(AND(CH1737=1,CI1737&lt;CJ1737),"MAX &lt; MB+LG; ","")&amp;IF(AND(CP1737&gt;0,CO1737*10&gt;CP1737),"zu hoch für Tablar; ","")&amp;IF(AND(BV1737=0,OR(CH1737=1,AA1737&lt;&gt;"",U1737&lt;&gt;"",V1737&lt;&gt;"",AB1737&lt;&gt;"")),"manuell übersteuert; ","")&amp;IF(AND(BZ1737=0,R1737=0),"Gebinde unbekannt / Stellmass fehlt; ","")&amp;IF(AND(BZ1737=0,N(V1737)&lt;=0,N(Q1737)&lt;=0),"Menge pro Gebinde fehlt (Ist = 1 Gebinde); ","")&amp;BU1737)</f>
        <v>Kein Verbrauch; Überbestand 5 Stk / CHF 1500; nur im Artikelstamm (Bestand 23.06.2026)</v>
      </c>
      <c r="BN1737" s="48"/>
      <c r="BO1737" s="48"/>
      <c r="BP1737" s="55"/>
      <c r="BQ1737" s="50" t="n">
        <v>6</v>
      </c>
      <c r="BR1737" s="50" t="n">
        <v>0</v>
      </c>
      <c r="BS1737" s="49" t="n">
        <v>0</v>
      </c>
      <c r="BT1737" s="50" t="n">
        <v>0</v>
      </c>
      <c r="BU1737" s="48" t="s">
        <v>2584</v>
      </c>
      <c r="BV1737" s="53" t="n">
        <v>0</v>
      </c>
      <c r="BW1737" s="53" t="n">
        <v>1737</v>
      </c>
      <c r="BX1737" s="48" t="str">
        <f aca="false">IF(U1737&lt;&gt;"",UPPER(TRIM(U1737)),IF(CA1737=1,UPPER(VLOOKUP(T1737,Parameter!$I$27:$K$29,2,0)),IF(P1737="","LOSE",P1737)))</f>
        <v>S22</v>
      </c>
      <c r="BY1737" s="50" t="n">
        <f aca="false">IF(BX1737="LOSE",1,IF(N(V1737)&gt;0,V1737,IF(CA1737=1,MAX(1,N(VLOOKUP(T1737,Parameter!$I$27:$K$29,3,0)),H1737,N(N1737)),IF(N(Q1737)&gt;0,Q1737,MAX(1,H1737)))))</f>
        <v>6</v>
      </c>
      <c r="BZ1737" s="53" t="n">
        <f aca="false">IF(BX1737="LOSE",1,0)</f>
        <v>0</v>
      </c>
      <c r="CA1737" s="53" t="n">
        <f aca="false">IF(AND(U1737="",OR(P1737="",P1737="LOSE"),T1737&lt;&gt;"",N(S1737)&lt;=0,ISNUMBER(MATCH(T1737,Parameter!$I$27:$I$29,0))),1,0)</f>
        <v>0</v>
      </c>
      <c r="CB1737" s="53" t="n">
        <f aca="false">IF(CQ1737&gt;0,INDEX(Parameter!$H$5:$H$7,W1737)/INDEX(Parameter!$E$5:$E$7,W1737),IF(AND(BZ1737=0,N(IFERROR(VLOOKUP(BX1737,'Gebinde-Kategorie'!$A$5:$N$45,14,0),0))&gt;0),VLOOKUP(BX1737,'Gebinde-Kategorie'!$A$5:$N$45,14,0)*10+Parameter!$M$23,Parameter!$M$24))</f>
        <v>155</v>
      </c>
      <c r="CC1737" s="48" t="str">
        <f aca="false">IF(AND(Parameter!$B$19="Ja",E1737&lt;&gt;"",ISNUMBER(MATCH(E1737,Parameter!$I$35:$I$52,0))),VLOOKUP(E1737,Parameter!$I$35:$J$52,2,0),IFERROR(VLOOKUP(D1737,Parameter!$A$35:$C$64,2,0),"Nein"))</f>
        <v>2+3</v>
      </c>
      <c r="CD1737" s="52" t="n">
        <f aca="false">IF(BZ1737=0,0,IF(N(S1737)&gt;0,S1737,IFERROR(VLOOKUP(D1737,Parameter!$A$35:$C$64,3,0)+0,0)))</f>
        <v>0</v>
      </c>
      <c r="CE1737" s="48" t="n">
        <f aca="false">IF(AA1737&lt;&gt;"",AA1737,Z1737)</f>
        <v>3</v>
      </c>
      <c r="CF1737" s="48" t="str">
        <f aca="false">IF(OR(CE1737=1,CE1737=2,CE1737=3),IF(Parameter!$E$27="Ja","LIFT",IF(CE1737=1,"L1","L23")),IF(CE1737="Aussen","Aussen","-"))</f>
        <v>LIFT</v>
      </c>
      <c r="CG1737" s="59" t="n">
        <f aca="false">IF(N(AB1737)&gt;0,AB1737,0)</f>
        <v>0</v>
      </c>
      <c r="CH1737" s="53" t="n">
        <f aca="false">IF(ISNUMBER(AE1737),1,0)</f>
        <v>0</v>
      </c>
      <c r="CI1737" s="50" t="n">
        <f aca="false">N(AE1737)</f>
        <v>0</v>
      </c>
      <c r="CJ1737" s="50" t="n">
        <f aca="false">N(M1737)+N(N1737)</f>
        <v>1</v>
      </c>
      <c r="CK1737" s="50" t="n">
        <f aca="false">N(M1737)</f>
        <v>0</v>
      </c>
      <c r="CL1737" s="50" t="n">
        <f aca="false">N(N1737)</f>
        <v>1</v>
      </c>
      <c r="CM1737" s="50" t="n">
        <f aca="false">ROUNDUP(H1737/BY1737,0)</f>
        <v>1</v>
      </c>
      <c r="CN1737" s="50" t="n">
        <f aca="false">ROUNDUP(CI1737/BY1737,0)</f>
        <v>0</v>
      </c>
      <c r="CO1737" s="53" t="n">
        <f aca="false">IF(BZ1737=1,0,IFERROR(VLOOKUP(BX1737,'Gebinde-Kategorie'!$A$5:$N$45,5,0)+0,0))</f>
        <v>8</v>
      </c>
      <c r="CP1737" s="53" t="n">
        <f aca="false">IFERROR(IF(OR(CE1737=1,CE1737=2,CE1737=3),N(INDEX(Parameter!$I$5:$I$7,CE1737)),0),0)</f>
        <v>0</v>
      </c>
      <c r="CQ1737" s="52" t="n">
        <f aca="false">IF(AND(Parameter!$B$21="Ja",ISNUMBER(W1737),N(X1737)&gt;0),IFERROR(N(INDEX(Parameter!$L$5:$L$7,W1737))*INDEX(Parameter!$E$5:$E$7,W1737)*X1737/SUMIFS($X$7:$X$1843,$W$7:$W$1843,W1737),0),0)</f>
        <v>0</v>
      </c>
    </row>
    <row r="1738" customFormat="false" ht="15" hidden="false" customHeight="false" outlineLevel="0" collapsed="false">
      <c r="A1738" s="48" t="s">
        <v>3013</v>
      </c>
      <c r="B1738" s="48" t="s">
        <v>3014</v>
      </c>
      <c r="C1738" s="48" t="s">
        <v>173</v>
      </c>
      <c r="D1738" s="48" t="s">
        <v>193</v>
      </c>
      <c r="E1738" s="48"/>
      <c r="F1738" s="48"/>
      <c r="G1738" s="49" t="n">
        <v>7.05</v>
      </c>
      <c r="H1738" s="50" t="n">
        <f aca="false">MAX(0,IF(AND(Parameter!$B$21="Ja",ISNUMBER(Y1738)),Y1738,IF(Parameter!$B$20="Jahresanfang 2025 + Export",BR1738+BQ1738,BQ1738)))</f>
        <v>5</v>
      </c>
      <c r="I1738" s="50" t="n">
        <f aca="false">H1738*G1738</f>
        <v>35.25</v>
      </c>
      <c r="J1738" s="50" t="n">
        <f aca="false">BT1738*Parameter!$B$18</f>
        <v>0</v>
      </c>
      <c r="K1738" s="51"/>
      <c r="L1738" s="52"/>
      <c r="M1738" s="50" t="n">
        <v>0</v>
      </c>
      <c r="N1738" s="50" t="n">
        <v>1</v>
      </c>
      <c r="O1738" s="53" t="n">
        <v>97</v>
      </c>
      <c r="P1738" s="48" t="s">
        <v>435</v>
      </c>
      <c r="Q1738" s="50" t="n">
        <v>5</v>
      </c>
      <c r="R1738" s="53" t="n">
        <f aca="false">IF(BZ1738=1,0,IFERROR(VLOOKUP(BX1738,'Gebinde-Kategorie'!$A$5:$N$45,13,0)+0,0))</f>
        <v>140</v>
      </c>
      <c r="S1738" s="54"/>
      <c r="T1738" s="55"/>
      <c r="U1738" s="55"/>
      <c r="V1738" s="55"/>
      <c r="W1738" s="48"/>
      <c r="X1738" s="50"/>
      <c r="Y1738" s="50"/>
      <c r="Z1738" s="48" t="n">
        <f aca="false">IF(A1738="","",IF(AND(Parameter!$B$21="Ja",ISNUMBER(W1738)),W1738,IF(CC1738="2+3",IF(ISNUMBER(SEARCH("grosser Artikel",BU1738)),2,IFERROR(VLOOKUP(BX1738,Parameter!$F$35:$G$64,2,0),2)),IF(OR(CC1738="Nein",CC1738=""),"-",CC1738))))</f>
        <v>3</v>
      </c>
      <c r="AA1738" s="55"/>
      <c r="AB1738" s="56"/>
      <c r="AC1738" s="50" t="n">
        <f aca="false">AV1738</f>
        <v>1</v>
      </c>
      <c r="AD1738" s="50" t="n">
        <f aca="false">MAX(AV1738,H1738)</f>
        <v>5</v>
      </c>
      <c r="AE1738" s="57"/>
      <c r="AF1738" s="50" t="n">
        <f aca="false">IF(LEFT(Cockpit!$C$5,1)="A",H1738,IF(Parameter!$E$30="MAX-Bestand",IF(CH1738=1,CI1738,IF(LEFT(Cockpit!$C$5,1)="B",AL1738,MAX(AL1738,H1738))),ROUNDUP(AJ1738,0)))</f>
        <v>5</v>
      </c>
      <c r="AG1738" s="50" t="n">
        <f aca="false">IF(BZ1738=1,0,ROUNDUP(AF1738/BY1738,0))</f>
        <v>1</v>
      </c>
      <c r="AH1738" s="52" t="n">
        <f aca="false">IF(CQ1738&gt;0,CQ1738*MAX(1,AF1738/X1738),IF(BZ1738=1,IF(AF1738&lt;=0,0,CD1738*MAX(1,IF(H1738&gt;0,AF1738/H1738,1))),IF(R1738&gt;0,AG1738/R1738,0))/MAX(0.1,N(Parameter!$M$21)))</f>
        <v>0.00714285714285714</v>
      </c>
      <c r="AI1738" s="50" t="n">
        <f aca="false">AH1738*CB1738</f>
        <v>1.10714285714286</v>
      </c>
      <c r="AJ1738" s="51" t="n">
        <f aca="false">IF(LEFT(Cockpit!$C$5,1)="A",H1738,IF(CH1738=1,(CK1738+CI1738)/2,IF(LEFT(Cockpit!$C$5,1)="B",(CK1738+AL1738)/2,MAX((CK1738+AL1738)/2,H1738))))</f>
        <v>5</v>
      </c>
      <c r="AK1738" s="50" t="n">
        <f aca="false">AJ1738*G1738</f>
        <v>35.25</v>
      </c>
      <c r="AL1738" s="50" t="n">
        <f aca="false">ROUNDUP(CK1738+MAX(CL1738,2*(J1738/IF(CG1738&gt;0,CG1738,MAX(0.1,N(Cockpit!$C$6)))-CK1738)),0)</f>
        <v>1</v>
      </c>
      <c r="AM1738" s="51" t="n">
        <f aca="false">IF(AI1738&gt;0,J1738/AI1738,-1)</f>
        <v>0</v>
      </c>
      <c r="AN1738" s="51" t="n">
        <f aca="false">IF(AND(OR(CF1738="L1",CF1738="L23",CF1738="LIFT"),AI1738&gt;0),SUMIFS($AI$7:$AI$1843,$CF$7:$CF$1843,CF1738,$AM$7:$AM$1843,"&gt;"&amp;AM1738)+SUMIFS($AI$7:$AI$1843,$CF$7:$CF$1843,CF1738,$AM$7:$AM$1843,AM1738,$BW$7:$BW$1843,"&lt;="&amp;BW1738),"")</f>
        <v>32855.3324744935</v>
      </c>
      <c r="AO1738" s="58" t="n">
        <f aca="false">IF(AN1738="",0,MAX(0,MIN(1,(IF(CF1738="L1",Parameter!$H$5,IF(CF1738="L23",Parameter!$H$6+Parameter!$H$7,Parameter!$H$5+Parameter!$H$6+Parameter!$H$7))-(AN1738-AI1738))/AI1738)))</f>
        <v>1</v>
      </c>
      <c r="AP1738" s="50" t="n">
        <f aca="false">IF(LEFT(Cockpit!$I$5,1)="A",H1738,IF(Parameter!$E$30="MAX-Bestand",IF(CH1738=1,CI1738,IF(LEFT(Cockpit!$I$5,1)="B",AV1738,MAX(AV1738,H1738))),ROUNDUP(AT1738,0)))</f>
        <v>5</v>
      </c>
      <c r="AQ1738" s="50" t="n">
        <f aca="false">IF(BZ1738=1,0,ROUNDUP(AP1738/BY1738,0))</f>
        <v>1</v>
      </c>
      <c r="AR1738" s="52" t="n">
        <f aca="false">IF(CQ1738&gt;0,CQ1738*MAX(1,AP1738/X1738),IF(BZ1738=1,IF(AP1738&lt;=0,0,CD1738*MAX(1,IF(H1738&gt;0,AP1738/H1738,1))),IF(R1738&gt;0,AQ1738/R1738,0))/MAX(0.1,N(Parameter!$M$21)))</f>
        <v>0.00714285714285714</v>
      </c>
      <c r="AS1738" s="50" t="n">
        <f aca="false">AR1738*CB1738</f>
        <v>1.10714285714286</v>
      </c>
      <c r="AT1738" s="51" t="n">
        <f aca="false">IF(LEFT(Cockpit!$I$5,1)="A",H1738,IF(CH1738=1,(CK1738+CI1738)/2,IF(LEFT(Cockpit!$I$5,1)="B",(CK1738+AV1738)/2,MAX((CK1738+AV1738)/2,H1738))))</f>
        <v>5</v>
      </c>
      <c r="AU1738" s="50" t="n">
        <f aca="false">AT1738*G1738</f>
        <v>35.25</v>
      </c>
      <c r="AV1738" s="50" t="n">
        <f aca="false">ROUNDUP(CK1738+MAX(CL1738,2*(J1738/IF(CG1738&gt;0,CG1738,MAX(0.1,N(Cockpit!$I$6)))-CK1738)),0)</f>
        <v>1</v>
      </c>
      <c r="AW1738" s="51" t="n">
        <f aca="false">IF(AS1738&gt;0,J1738/AS1738,-1)</f>
        <v>0</v>
      </c>
      <c r="AX1738" s="51" t="n">
        <f aca="false">IF(AND(OR(CF1738="L1",CF1738="L23",CF1738="LIFT"),AS1738&gt;0),SUMIFS($AS$7:$AS$1843,$CF$7:$CF$1843,CF1738,$AW$7:$AW$1843,"&gt;"&amp;AW1738)+SUMIFS($AS$7:$AS$1843,$CF$7:$CF$1843,CF1738,$AW$7:$AW$1843,AW1738,$BW$7:$BW$1843,"&lt;="&amp;BW1738),"")</f>
        <v>39329.2414193622</v>
      </c>
      <c r="AY1738" s="58" t="n">
        <f aca="false">IF(AX1738="",0,MAX(0,MIN(1,(IF(CF1738="L1",Parameter!$H$5,IF(CF1738="L23",Parameter!$H$6+Parameter!$H$7,Parameter!$H$5+Parameter!$H$6+Parameter!$H$7))-(AX1738-AS1738))/AS1738)))</f>
        <v>0</v>
      </c>
      <c r="AZ1738" s="50" t="n">
        <f aca="false">IF(LEFT(Cockpit!$O$5,1)="A",H1738,IF(Parameter!$E$30="MAX-Bestand",IF(CH1738=1,CI1738,IF(LEFT(Cockpit!$O$5,1)="B",BF1738,MAX(BF1738,H1738))),ROUNDUP(BD1738,0)))</f>
        <v>1</v>
      </c>
      <c r="BA1738" s="50" t="n">
        <f aca="false">IF(BZ1738=1,0,ROUNDUP(AZ1738/BY1738,0))</f>
        <v>1</v>
      </c>
      <c r="BB1738" s="52" t="n">
        <f aca="false">IF(CQ1738&gt;0,CQ1738*MAX(1,AZ1738/X1738),IF(BZ1738=1,IF(AZ1738&lt;=0,0,CD1738*MAX(1,IF(H1738&gt;0,AZ1738/H1738,1))),IF(R1738&gt;0,BA1738/R1738,0))/MAX(0.1,N(Parameter!$M$21)))</f>
        <v>0.00714285714285714</v>
      </c>
      <c r="BC1738" s="50" t="n">
        <f aca="false">BB1738*CB1738</f>
        <v>1.10714285714286</v>
      </c>
      <c r="BD1738" s="51" t="n">
        <f aca="false">IF(LEFT(Cockpit!$O$5,1)="A",H1738,IF(CH1738=1,(CK1738+CI1738)/2,IF(LEFT(Cockpit!$O$5,1)="B",(CK1738+BF1738)/2,MAX((CK1738+BF1738)/2,H1738))))</f>
        <v>0.5</v>
      </c>
      <c r="BE1738" s="50" t="n">
        <f aca="false">BD1738*G1738</f>
        <v>3.525</v>
      </c>
      <c r="BF1738" s="50" t="n">
        <f aca="false">ROUNDUP(CK1738+MAX(CL1738,2*(J1738/IF(CG1738&gt;0,CG1738,MAX(0.1,N(Cockpit!$O$6)))-CK1738)),0)</f>
        <v>1</v>
      </c>
      <c r="BG1738" s="51" t="n">
        <f aca="false">IF(BC1738&gt;0,J1738/BC1738,-1)</f>
        <v>0</v>
      </c>
      <c r="BH1738" s="51" t="n">
        <f aca="false">IF(AND(OR(CF1738="L1",CF1738="L23",CF1738="LIFT"),BC1738&gt;0),SUMIFS($BC$7:$BC$1843,$CF$7:$CF$1843,CF1738,$BG$7:$BG$1843,"&gt;"&amp;BG1738)+SUMIFS($BC$7:$BC$1843,$CF$7:$CF$1843,CF1738,$BG$7:$BG$1843,BG1738,$BW$7:$BW$1843,"&lt;="&amp;BW1738),"")</f>
        <v>32556.8195996565</v>
      </c>
      <c r="BI1738" s="58" t="n">
        <f aca="false">IF(BH1738="",0,MAX(0,MIN(1,(IF(CF1738="L1",Parameter!$H$5,IF(CF1738="L23",Parameter!$H$6+Parameter!$H$7,Parameter!$H$5+Parameter!$H$6+Parameter!$H$7))-(BH1738-BC1738))/BC1738)))</f>
        <v>1</v>
      </c>
      <c r="BJ1738" s="48" t="str">
        <f aca="false">IF(AI1738&lt;=0,"",IF(CF1738="Aussen","Aussenlager",IF(CF1738="-","Nicht im Lift",IF(AO1738&gt;=1,"Lift",IF(AO1738&lt;=0,"Aussenlager","teilweise")))))</f>
        <v>Lift</v>
      </c>
      <c r="BK1738" s="48" t="str">
        <f aca="false">IF(AS1738&lt;=0,"",IF(CF1738="Aussen","Aussenlager",IF(CF1738="-","Nicht im Lift",IF(AY1738&gt;=1,"Lift",IF(AY1738&lt;=0,"Aussenlager","teilweise")))))</f>
        <v>Aussenlager</v>
      </c>
      <c r="BL1738" s="48" t="str">
        <f aca="false">IF(BC1738&lt;=0,"",IF(CF1738="Aussen","Aussenlager",IF(CF1738="-","Nicht im Lift",IF(BI1738&gt;=1,"Lift",IF(BI1738&lt;=0,"Aussenlager","teilweise")))))</f>
        <v>Lift</v>
      </c>
      <c r="BM1738" s="48" t="str">
        <f aca="false">IF(A1738="","",IF(BV1738=1,"Neu; ","")&amp;IF(AND(BV1738=0,BQ1738&lt;0),"negativer Bestand (Export "&amp;BQ1738&amp;"); ","")&amp;IF(J1738&lt;=0,"Kein Verbrauch; ","")&amp;IF(CQ1738&gt;0,"Lift "&amp;W1738&amp;" lt. Liftbericht (Fach "&amp;X1738&amp;" Stk); ",IF(CA1738=1,"Gebinde geschätzt ("&amp;T1738&amp;"); ",IF(BZ1738=1,"Lose – Tablare geschätzt; ","")))&amp;IF(H1738&gt;AV1738,"Überbestand "&amp;ROUND(H1738-AV1738,0)&amp;" Stk / CHF "&amp;ROUND((H1738-AV1738)*G1738,0)&amp;"; ","")&amp;IF(AND(CH1738=1,CI1738&lt;CJ1738),"MAX &lt; MB+LG; ","")&amp;IF(AND(CP1738&gt;0,CO1738*10&gt;CP1738),"zu hoch für Tablar; ","")&amp;IF(AND(BV1738=0,OR(CH1738=1,AA1738&lt;&gt;"",U1738&lt;&gt;"",V1738&lt;&gt;"",AB1738&lt;&gt;"")),"manuell übersteuert; ","")&amp;IF(AND(BZ1738=0,R1738=0),"Gebinde unbekannt / Stellmass fehlt; ","")&amp;IF(AND(BZ1738=0,N(V1738)&lt;=0,N(Q1738)&lt;=0),"Menge pro Gebinde fehlt (Ist = 1 Gebinde); ","")&amp;BU1738)</f>
        <v>Kein Verbrauch; Überbestand 4 Stk / CHF 28; nur im Artikelstamm (Bestand 23.06.2026)</v>
      </c>
      <c r="BN1738" s="48"/>
      <c r="BO1738" s="48"/>
      <c r="BP1738" s="55"/>
      <c r="BQ1738" s="50" t="n">
        <v>5</v>
      </c>
      <c r="BR1738" s="50" t="n">
        <v>0</v>
      </c>
      <c r="BS1738" s="49" t="n">
        <v>0</v>
      </c>
      <c r="BT1738" s="50" t="n">
        <v>0</v>
      </c>
      <c r="BU1738" s="48" t="s">
        <v>2584</v>
      </c>
      <c r="BV1738" s="53" t="n">
        <v>0</v>
      </c>
      <c r="BW1738" s="53" t="n">
        <v>1738</v>
      </c>
      <c r="BX1738" s="48" t="str">
        <f aca="false">IF(U1738&lt;&gt;"",UPPER(TRIM(U1738)),IF(CA1738=1,UPPER(VLOOKUP(T1738,Parameter!$I$27:$K$29,2,0)),IF(P1738="","LOSE",P1738)))</f>
        <v>S22</v>
      </c>
      <c r="BY1738" s="50" t="n">
        <f aca="false">IF(BX1738="LOSE",1,IF(N(V1738)&gt;0,V1738,IF(CA1738=1,MAX(1,N(VLOOKUP(T1738,Parameter!$I$27:$K$29,3,0)),H1738,N(N1738)),IF(N(Q1738)&gt;0,Q1738,MAX(1,H1738)))))</f>
        <v>5</v>
      </c>
      <c r="BZ1738" s="53" t="n">
        <f aca="false">IF(BX1738="LOSE",1,0)</f>
        <v>0</v>
      </c>
      <c r="CA1738" s="53" t="n">
        <f aca="false">IF(AND(U1738="",OR(P1738="",P1738="LOSE"),T1738&lt;&gt;"",N(S1738)&lt;=0,ISNUMBER(MATCH(T1738,Parameter!$I$27:$I$29,0))),1,0)</f>
        <v>0</v>
      </c>
      <c r="CB1738" s="53" t="n">
        <f aca="false">IF(CQ1738&gt;0,INDEX(Parameter!$H$5:$H$7,W1738)/INDEX(Parameter!$E$5:$E$7,W1738),IF(AND(BZ1738=0,N(IFERROR(VLOOKUP(BX1738,'Gebinde-Kategorie'!$A$5:$N$45,14,0),0))&gt;0),VLOOKUP(BX1738,'Gebinde-Kategorie'!$A$5:$N$45,14,0)*10+Parameter!$M$23,Parameter!$M$24))</f>
        <v>155</v>
      </c>
      <c r="CC1738" s="48" t="str">
        <f aca="false">IF(AND(Parameter!$B$19="Ja",E1738&lt;&gt;"",ISNUMBER(MATCH(E1738,Parameter!$I$35:$I$52,0))),VLOOKUP(E1738,Parameter!$I$35:$J$52,2,0),IFERROR(VLOOKUP(D1738,Parameter!$A$35:$C$64,2,0),"Nein"))</f>
        <v>2+3</v>
      </c>
      <c r="CD1738" s="52" t="n">
        <f aca="false">IF(BZ1738=0,0,IF(N(S1738)&gt;0,S1738,IFERROR(VLOOKUP(D1738,Parameter!$A$35:$C$64,3,0)+0,0)))</f>
        <v>0</v>
      </c>
      <c r="CE1738" s="48" t="n">
        <f aca="false">IF(AA1738&lt;&gt;"",AA1738,Z1738)</f>
        <v>3</v>
      </c>
      <c r="CF1738" s="48" t="str">
        <f aca="false">IF(OR(CE1738=1,CE1738=2,CE1738=3),IF(Parameter!$E$27="Ja","LIFT",IF(CE1738=1,"L1","L23")),IF(CE1738="Aussen","Aussen","-"))</f>
        <v>LIFT</v>
      </c>
      <c r="CG1738" s="59" t="n">
        <f aca="false">IF(N(AB1738)&gt;0,AB1738,0)</f>
        <v>0</v>
      </c>
      <c r="CH1738" s="53" t="n">
        <f aca="false">IF(ISNUMBER(AE1738),1,0)</f>
        <v>0</v>
      </c>
      <c r="CI1738" s="50" t="n">
        <f aca="false">N(AE1738)</f>
        <v>0</v>
      </c>
      <c r="CJ1738" s="50" t="n">
        <f aca="false">N(M1738)+N(N1738)</f>
        <v>1</v>
      </c>
      <c r="CK1738" s="50" t="n">
        <f aca="false">N(M1738)</f>
        <v>0</v>
      </c>
      <c r="CL1738" s="50" t="n">
        <f aca="false">N(N1738)</f>
        <v>1</v>
      </c>
      <c r="CM1738" s="50" t="n">
        <f aca="false">ROUNDUP(H1738/BY1738,0)</f>
        <v>1</v>
      </c>
      <c r="CN1738" s="50" t="n">
        <f aca="false">ROUNDUP(CI1738/BY1738,0)</f>
        <v>0</v>
      </c>
      <c r="CO1738" s="53" t="n">
        <f aca="false">IF(BZ1738=1,0,IFERROR(VLOOKUP(BX1738,'Gebinde-Kategorie'!$A$5:$N$45,5,0)+0,0))</f>
        <v>8</v>
      </c>
      <c r="CP1738" s="53" t="n">
        <f aca="false">IFERROR(IF(OR(CE1738=1,CE1738=2,CE1738=3),N(INDEX(Parameter!$I$5:$I$7,CE1738)),0),0)</f>
        <v>0</v>
      </c>
      <c r="CQ1738" s="52" t="n">
        <f aca="false">IF(AND(Parameter!$B$21="Ja",ISNUMBER(W1738),N(X1738)&gt;0),IFERROR(N(INDEX(Parameter!$L$5:$L$7,W1738))*INDEX(Parameter!$E$5:$E$7,W1738)*X1738/SUMIFS($X$7:$X$1843,$W$7:$W$1843,W1738),0),0)</f>
        <v>0</v>
      </c>
    </row>
    <row r="1739" customFormat="false" ht="15" hidden="false" customHeight="false" outlineLevel="0" collapsed="false">
      <c r="A1739" s="48" t="s">
        <v>3015</v>
      </c>
      <c r="B1739" s="48" t="s">
        <v>3016</v>
      </c>
      <c r="C1739" s="48" t="s">
        <v>173</v>
      </c>
      <c r="D1739" s="48" t="s">
        <v>193</v>
      </c>
      <c r="E1739" s="48"/>
      <c r="F1739" s="48"/>
      <c r="G1739" s="49" t="n">
        <v>14.1</v>
      </c>
      <c r="H1739" s="50" t="n">
        <f aca="false">MAX(0,IF(AND(Parameter!$B$21="Ja",ISNUMBER(Y1739)),Y1739,IF(Parameter!$B$20="Jahresanfang 2025 + Export",BR1739+BQ1739,BQ1739)))</f>
        <v>5</v>
      </c>
      <c r="I1739" s="50" t="n">
        <f aca="false">H1739*G1739</f>
        <v>70.5</v>
      </c>
      <c r="J1739" s="50" t="n">
        <f aca="false">BT1739*Parameter!$B$18</f>
        <v>0</v>
      </c>
      <c r="K1739" s="51"/>
      <c r="L1739" s="52"/>
      <c r="M1739" s="50" t="n">
        <v>0</v>
      </c>
      <c r="N1739" s="50" t="n">
        <v>1</v>
      </c>
      <c r="O1739" s="53" t="n">
        <v>97</v>
      </c>
      <c r="P1739" s="48" t="s">
        <v>435</v>
      </c>
      <c r="Q1739" s="50" t="n">
        <v>5</v>
      </c>
      <c r="R1739" s="53" t="n">
        <f aca="false">IF(BZ1739=1,0,IFERROR(VLOOKUP(BX1739,'Gebinde-Kategorie'!$A$5:$N$45,13,0)+0,0))</f>
        <v>140</v>
      </c>
      <c r="S1739" s="54"/>
      <c r="T1739" s="55"/>
      <c r="U1739" s="55"/>
      <c r="V1739" s="55"/>
      <c r="W1739" s="48"/>
      <c r="X1739" s="50"/>
      <c r="Y1739" s="50"/>
      <c r="Z1739" s="48" t="n">
        <f aca="false">IF(A1739="","",IF(AND(Parameter!$B$21="Ja",ISNUMBER(W1739)),W1739,IF(CC1739="2+3",IF(ISNUMBER(SEARCH("grosser Artikel",BU1739)),2,IFERROR(VLOOKUP(BX1739,Parameter!$F$35:$G$64,2,0),2)),IF(OR(CC1739="Nein",CC1739=""),"-",CC1739))))</f>
        <v>3</v>
      </c>
      <c r="AA1739" s="55"/>
      <c r="AB1739" s="56"/>
      <c r="AC1739" s="50" t="n">
        <f aca="false">AV1739</f>
        <v>1</v>
      </c>
      <c r="AD1739" s="50" t="n">
        <f aca="false">MAX(AV1739,H1739)</f>
        <v>5</v>
      </c>
      <c r="AE1739" s="57"/>
      <c r="AF1739" s="50" t="n">
        <f aca="false">IF(LEFT(Cockpit!$C$5,1)="A",H1739,IF(Parameter!$E$30="MAX-Bestand",IF(CH1739=1,CI1739,IF(LEFT(Cockpit!$C$5,1)="B",AL1739,MAX(AL1739,H1739))),ROUNDUP(AJ1739,0)))</f>
        <v>5</v>
      </c>
      <c r="AG1739" s="50" t="n">
        <f aca="false">IF(BZ1739=1,0,ROUNDUP(AF1739/BY1739,0))</f>
        <v>1</v>
      </c>
      <c r="AH1739" s="52" t="n">
        <f aca="false">IF(CQ1739&gt;0,CQ1739*MAX(1,AF1739/X1739),IF(BZ1739=1,IF(AF1739&lt;=0,0,CD1739*MAX(1,IF(H1739&gt;0,AF1739/H1739,1))),IF(R1739&gt;0,AG1739/R1739,0))/MAX(0.1,N(Parameter!$M$21)))</f>
        <v>0.00714285714285714</v>
      </c>
      <c r="AI1739" s="50" t="n">
        <f aca="false">AH1739*CB1739</f>
        <v>1.10714285714286</v>
      </c>
      <c r="AJ1739" s="51" t="n">
        <f aca="false">IF(LEFT(Cockpit!$C$5,1)="A",H1739,IF(CH1739=1,(CK1739+CI1739)/2,IF(LEFT(Cockpit!$C$5,1)="B",(CK1739+AL1739)/2,MAX((CK1739+AL1739)/2,H1739))))</f>
        <v>5</v>
      </c>
      <c r="AK1739" s="50" t="n">
        <f aca="false">AJ1739*G1739</f>
        <v>70.5</v>
      </c>
      <c r="AL1739" s="50" t="n">
        <f aca="false">ROUNDUP(CK1739+MAX(CL1739,2*(J1739/IF(CG1739&gt;0,CG1739,MAX(0.1,N(Cockpit!$C$6)))-CK1739)),0)</f>
        <v>1</v>
      </c>
      <c r="AM1739" s="51" t="n">
        <f aca="false">IF(AI1739&gt;0,J1739/AI1739,-1)</f>
        <v>0</v>
      </c>
      <c r="AN1739" s="51" t="n">
        <f aca="false">IF(AND(OR(CF1739="L1",CF1739="L23",CF1739="LIFT"),AI1739&gt;0),SUMIFS($AI$7:$AI$1843,$CF$7:$CF$1843,CF1739,$AM$7:$AM$1843,"&gt;"&amp;AM1739)+SUMIFS($AI$7:$AI$1843,$CF$7:$CF$1843,CF1739,$AM$7:$AM$1843,AM1739,$BW$7:$BW$1843,"&lt;="&amp;BW1739),"")</f>
        <v>32856.4396173506</v>
      </c>
      <c r="AO1739" s="58" t="n">
        <f aca="false">IF(AN1739="",0,MAX(0,MIN(1,(IF(CF1739="L1",Parameter!$H$5,IF(CF1739="L23",Parameter!$H$6+Parameter!$H$7,Parameter!$H$5+Parameter!$H$6+Parameter!$H$7))-(AN1739-AI1739))/AI1739)))</f>
        <v>1</v>
      </c>
      <c r="AP1739" s="50" t="n">
        <f aca="false">IF(LEFT(Cockpit!$I$5,1)="A",H1739,IF(Parameter!$E$30="MAX-Bestand",IF(CH1739=1,CI1739,IF(LEFT(Cockpit!$I$5,1)="B",AV1739,MAX(AV1739,H1739))),ROUNDUP(AT1739,0)))</f>
        <v>5</v>
      </c>
      <c r="AQ1739" s="50" t="n">
        <f aca="false">IF(BZ1739=1,0,ROUNDUP(AP1739/BY1739,0))</f>
        <v>1</v>
      </c>
      <c r="AR1739" s="52" t="n">
        <f aca="false">IF(CQ1739&gt;0,CQ1739*MAX(1,AP1739/X1739),IF(BZ1739=1,IF(AP1739&lt;=0,0,CD1739*MAX(1,IF(H1739&gt;0,AP1739/H1739,1))),IF(R1739&gt;0,AQ1739/R1739,0))/MAX(0.1,N(Parameter!$M$21)))</f>
        <v>0.00714285714285714</v>
      </c>
      <c r="AS1739" s="50" t="n">
        <f aca="false">AR1739*CB1739</f>
        <v>1.10714285714286</v>
      </c>
      <c r="AT1739" s="51" t="n">
        <f aca="false">IF(LEFT(Cockpit!$I$5,1)="A",H1739,IF(CH1739=1,(CK1739+CI1739)/2,IF(LEFT(Cockpit!$I$5,1)="B",(CK1739+AV1739)/2,MAX((CK1739+AV1739)/2,H1739))))</f>
        <v>5</v>
      </c>
      <c r="AU1739" s="50" t="n">
        <f aca="false">AT1739*G1739</f>
        <v>70.5</v>
      </c>
      <c r="AV1739" s="50" t="n">
        <f aca="false">ROUNDUP(CK1739+MAX(CL1739,2*(J1739/IF(CG1739&gt;0,CG1739,MAX(0.1,N(Cockpit!$I$6)))-CK1739)),0)</f>
        <v>1</v>
      </c>
      <c r="AW1739" s="51" t="n">
        <f aca="false">IF(AS1739&gt;0,J1739/AS1739,-1)</f>
        <v>0</v>
      </c>
      <c r="AX1739" s="51" t="n">
        <f aca="false">IF(AND(OR(CF1739="L1",CF1739="L23",CF1739="LIFT"),AS1739&gt;0),SUMIFS($AS$7:$AS$1843,$CF$7:$CF$1843,CF1739,$AW$7:$AW$1843,"&gt;"&amp;AW1739)+SUMIFS($AS$7:$AS$1843,$CF$7:$CF$1843,CF1739,$AW$7:$AW$1843,AW1739,$BW$7:$BW$1843,"&lt;="&amp;BW1739),"")</f>
        <v>39330.3485622193</v>
      </c>
      <c r="AY1739" s="58" t="n">
        <f aca="false">IF(AX1739="",0,MAX(0,MIN(1,(IF(CF1739="L1",Parameter!$H$5,IF(CF1739="L23",Parameter!$H$6+Parameter!$H$7,Parameter!$H$5+Parameter!$H$6+Parameter!$H$7))-(AX1739-AS1739))/AS1739)))</f>
        <v>0</v>
      </c>
      <c r="AZ1739" s="50" t="n">
        <f aca="false">IF(LEFT(Cockpit!$O$5,1)="A",H1739,IF(Parameter!$E$30="MAX-Bestand",IF(CH1739=1,CI1739,IF(LEFT(Cockpit!$O$5,1)="B",BF1739,MAX(BF1739,H1739))),ROUNDUP(BD1739,0)))</f>
        <v>1</v>
      </c>
      <c r="BA1739" s="50" t="n">
        <f aca="false">IF(BZ1739=1,0,ROUNDUP(AZ1739/BY1739,0))</f>
        <v>1</v>
      </c>
      <c r="BB1739" s="52" t="n">
        <f aca="false">IF(CQ1739&gt;0,CQ1739*MAX(1,AZ1739/X1739),IF(BZ1739=1,IF(AZ1739&lt;=0,0,CD1739*MAX(1,IF(H1739&gt;0,AZ1739/H1739,1))),IF(R1739&gt;0,BA1739/R1739,0))/MAX(0.1,N(Parameter!$M$21)))</f>
        <v>0.00714285714285714</v>
      </c>
      <c r="BC1739" s="50" t="n">
        <f aca="false">BB1739*CB1739</f>
        <v>1.10714285714286</v>
      </c>
      <c r="BD1739" s="51" t="n">
        <f aca="false">IF(LEFT(Cockpit!$O$5,1)="A",H1739,IF(CH1739=1,(CK1739+CI1739)/2,IF(LEFT(Cockpit!$O$5,1)="B",(CK1739+BF1739)/2,MAX((CK1739+BF1739)/2,H1739))))</f>
        <v>0.5</v>
      </c>
      <c r="BE1739" s="50" t="n">
        <f aca="false">BD1739*G1739</f>
        <v>7.05</v>
      </c>
      <c r="BF1739" s="50" t="n">
        <f aca="false">ROUNDUP(CK1739+MAX(CL1739,2*(J1739/IF(CG1739&gt;0,CG1739,MAX(0.1,N(Cockpit!$O$6)))-CK1739)),0)</f>
        <v>1</v>
      </c>
      <c r="BG1739" s="51" t="n">
        <f aca="false">IF(BC1739&gt;0,J1739/BC1739,-1)</f>
        <v>0</v>
      </c>
      <c r="BH1739" s="51" t="n">
        <f aca="false">IF(AND(OR(CF1739="L1",CF1739="L23",CF1739="LIFT"),BC1739&gt;0),SUMIFS($BC$7:$BC$1843,$CF$7:$CF$1843,CF1739,$BG$7:$BG$1843,"&gt;"&amp;BG1739)+SUMIFS($BC$7:$BC$1843,$CF$7:$CF$1843,CF1739,$BG$7:$BG$1843,BG1739,$BW$7:$BW$1843,"&lt;="&amp;BW1739),"")</f>
        <v>32557.9267425136</v>
      </c>
      <c r="BI1739" s="58" t="n">
        <f aca="false">IF(BH1739="",0,MAX(0,MIN(1,(IF(CF1739="L1",Parameter!$H$5,IF(CF1739="L23",Parameter!$H$6+Parameter!$H$7,Parameter!$H$5+Parameter!$H$6+Parameter!$H$7))-(BH1739-BC1739))/BC1739)))</f>
        <v>1</v>
      </c>
      <c r="BJ1739" s="48" t="str">
        <f aca="false">IF(AI1739&lt;=0,"",IF(CF1739="Aussen","Aussenlager",IF(CF1739="-","Nicht im Lift",IF(AO1739&gt;=1,"Lift",IF(AO1739&lt;=0,"Aussenlager","teilweise")))))</f>
        <v>Lift</v>
      </c>
      <c r="BK1739" s="48" t="str">
        <f aca="false">IF(AS1739&lt;=0,"",IF(CF1739="Aussen","Aussenlager",IF(CF1739="-","Nicht im Lift",IF(AY1739&gt;=1,"Lift",IF(AY1739&lt;=0,"Aussenlager","teilweise")))))</f>
        <v>Aussenlager</v>
      </c>
      <c r="BL1739" s="48" t="str">
        <f aca="false">IF(BC1739&lt;=0,"",IF(CF1739="Aussen","Aussenlager",IF(CF1739="-","Nicht im Lift",IF(BI1739&gt;=1,"Lift",IF(BI1739&lt;=0,"Aussenlager","teilweise")))))</f>
        <v>Lift</v>
      </c>
      <c r="BM1739" s="48" t="str">
        <f aca="false">IF(A1739="","",IF(BV1739=1,"Neu; ","")&amp;IF(AND(BV1739=0,BQ1739&lt;0),"negativer Bestand (Export "&amp;BQ1739&amp;"); ","")&amp;IF(J1739&lt;=0,"Kein Verbrauch; ","")&amp;IF(CQ1739&gt;0,"Lift "&amp;W1739&amp;" lt. Liftbericht (Fach "&amp;X1739&amp;" Stk); ",IF(CA1739=1,"Gebinde geschätzt ("&amp;T1739&amp;"); ",IF(BZ1739=1,"Lose – Tablare geschätzt; ","")))&amp;IF(H1739&gt;AV1739,"Überbestand "&amp;ROUND(H1739-AV1739,0)&amp;" Stk / CHF "&amp;ROUND((H1739-AV1739)*G1739,0)&amp;"; ","")&amp;IF(AND(CH1739=1,CI1739&lt;CJ1739),"MAX &lt; MB+LG; ","")&amp;IF(AND(CP1739&gt;0,CO1739*10&gt;CP1739),"zu hoch für Tablar; ","")&amp;IF(AND(BV1739=0,OR(CH1739=1,AA1739&lt;&gt;"",U1739&lt;&gt;"",V1739&lt;&gt;"",AB1739&lt;&gt;"")),"manuell übersteuert; ","")&amp;IF(AND(BZ1739=0,R1739=0),"Gebinde unbekannt / Stellmass fehlt; ","")&amp;IF(AND(BZ1739=0,N(V1739)&lt;=0,N(Q1739)&lt;=0),"Menge pro Gebinde fehlt (Ist = 1 Gebinde); ","")&amp;BU1739)</f>
        <v>Kein Verbrauch; Überbestand 4 Stk / CHF 56; nur im Artikelstamm (Bestand 23.06.2026)</v>
      </c>
      <c r="BN1739" s="48"/>
      <c r="BO1739" s="48"/>
      <c r="BP1739" s="55"/>
      <c r="BQ1739" s="50" t="n">
        <v>5</v>
      </c>
      <c r="BR1739" s="50" t="n">
        <v>0</v>
      </c>
      <c r="BS1739" s="49" t="n">
        <v>0</v>
      </c>
      <c r="BT1739" s="50" t="n">
        <v>0</v>
      </c>
      <c r="BU1739" s="48" t="s">
        <v>2584</v>
      </c>
      <c r="BV1739" s="53" t="n">
        <v>0</v>
      </c>
      <c r="BW1739" s="53" t="n">
        <v>1739</v>
      </c>
      <c r="BX1739" s="48" t="str">
        <f aca="false">IF(U1739&lt;&gt;"",UPPER(TRIM(U1739)),IF(CA1739=1,UPPER(VLOOKUP(T1739,Parameter!$I$27:$K$29,2,0)),IF(P1739="","LOSE",P1739)))</f>
        <v>S22</v>
      </c>
      <c r="BY1739" s="50" t="n">
        <f aca="false">IF(BX1739="LOSE",1,IF(N(V1739)&gt;0,V1739,IF(CA1739=1,MAX(1,N(VLOOKUP(T1739,Parameter!$I$27:$K$29,3,0)),H1739,N(N1739)),IF(N(Q1739)&gt;0,Q1739,MAX(1,H1739)))))</f>
        <v>5</v>
      </c>
      <c r="BZ1739" s="53" t="n">
        <f aca="false">IF(BX1739="LOSE",1,0)</f>
        <v>0</v>
      </c>
      <c r="CA1739" s="53" t="n">
        <f aca="false">IF(AND(U1739="",OR(P1739="",P1739="LOSE"),T1739&lt;&gt;"",N(S1739)&lt;=0,ISNUMBER(MATCH(T1739,Parameter!$I$27:$I$29,0))),1,0)</f>
        <v>0</v>
      </c>
      <c r="CB1739" s="53" t="n">
        <f aca="false">IF(CQ1739&gt;0,INDEX(Parameter!$H$5:$H$7,W1739)/INDEX(Parameter!$E$5:$E$7,W1739),IF(AND(BZ1739=0,N(IFERROR(VLOOKUP(BX1739,'Gebinde-Kategorie'!$A$5:$N$45,14,0),0))&gt;0),VLOOKUP(BX1739,'Gebinde-Kategorie'!$A$5:$N$45,14,0)*10+Parameter!$M$23,Parameter!$M$24))</f>
        <v>155</v>
      </c>
      <c r="CC1739" s="48" t="str">
        <f aca="false">IF(AND(Parameter!$B$19="Ja",E1739&lt;&gt;"",ISNUMBER(MATCH(E1739,Parameter!$I$35:$I$52,0))),VLOOKUP(E1739,Parameter!$I$35:$J$52,2,0),IFERROR(VLOOKUP(D1739,Parameter!$A$35:$C$64,2,0),"Nein"))</f>
        <v>2+3</v>
      </c>
      <c r="CD1739" s="52" t="n">
        <f aca="false">IF(BZ1739=0,0,IF(N(S1739)&gt;0,S1739,IFERROR(VLOOKUP(D1739,Parameter!$A$35:$C$64,3,0)+0,0)))</f>
        <v>0</v>
      </c>
      <c r="CE1739" s="48" t="n">
        <f aca="false">IF(AA1739&lt;&gt;"",AA1739,Z1739)</f>
        <v>3</v>
      </c>
      <c r="CF1739" s="48" t="str">
        <f aca="false">IF(OR(CE1739=1,CE1739=2,CE1739=3),IF(Parameter!$E$27="Ja","LIFT",IF(CE1739=1,"L1","L23")),IF(CE1739="Aussen","Aussen","-"))</f>
        <v>LIFT</v>
      </c>
      <c r="CG1739" s="59" t="n">
        <f aca="false">IF(N(AB1739)&gt;0,AB1739,0)</f>
        <v>0</v>
      </c>
      <c r="CH1739" s="53" t="n">
        <f aca="false">IF(ISNUMBER(AE1739),1,0)</f>
        <v>0</v>
      </c>
      <c r="CI1739" s="50" t="n">
        <f aca="false">N(AE1739)</f>
        <v>0</v>
      </c>
      <c r="CJ1739" s="50" t="n">
        <f aca="false">N(M1739)+N(N1739)</f>
        <v>1</v>
      </c>
      <c r="CK1739" s="50" t="n">
        <f aca="false">N(M1739)</f>
        <v>0</v>
      </c>
      <c r="CL1739" s="50" t="n">
        <f aca="false">N(N1739)</f>
        <v>1</v>
      </c>
      <c r="CM1739" s="50" t="n">
        <f aca="false">ROUNDUP(H1739/BY1739,0)</f>
        <v>1</v>
      </c>
      <c r="CN1739" s="50" t="n">
        <f aca="false">ROUNDUP(CI1739/BY1739,0)</f>
        <v>0</v>
      </c>
      <c r="CO1739" s="53" t="n">
        <f aca="false">IF(BZ1739=1,0,IFERROR(VLOOKUP(BX1739,'Gebinde-Kategorie'!$A$5:$N$45,5,0)+0,0))</f>
        <v>8</v>
      </c>
      <c r="CP1739" s="53" t="n">
        <f aca="false">IFERROR(IF(OR(CE1739=1,CE1739=2,CE1739=3),N(INDEX(Parameter!$I$5:$I$7,CE1739)),0),0)</f>
        <v>0</v>
      </c>
      <c r="CQ1739" s="52" t="n">
        <f aca="false">IF(AND(Parameter!$B$21="Ja",ISNUMBER(W1739),N(X1739)&gt;0),IFERROR(N(INDEX(Parameter!$L$5:$L$7,W1739))*INDEX(Parameter!$E$5:$E$7,W1739)*X1739/SUMIFS($X$7:$X$1843,$W$7:$W$1843,W1739),0),0)</f>
        <v>0</v>
      </c>
    </row>
    <row r="1740" customFormat="false" ht="15" hidden="false" customHeight="false" outlineLevel="0" collapsed="false">
      <c r="A1740" s="48" t="s">
        <v>3017</v>
      </c>
      <c r="B1740" s="48" t="s">
        <v>2977</v>
      </c>
      <c r="C1740" s="48" t="s">
        <v>173</v>
      </c>
      <c r="D1740" s="48" t="s">
        <v>193</v>
      </c>
      <c r="E1740" s="48"/>
      <c r="F1740" s="48"/>
      <c r="G1740" s="49" t="n">
        <v>21.2</v>
      </c>
      <c r="H1740" s="50" t="n">
        <f aca="false">MAX(0,IF(AND(Parameter!$B$21="Ja",ISNUMBER(Y1740)),Y1740,IF(Parameter!$B$20="Jahresanfang 2025 + Export",BR1740+BQ1740,BQ1740)))</f>
        <v>10</v>
      </c>
      <c r="I1740" s="50" t="n">
        <f aca="false">H1740*G1740</f>
        <v>212</v>
      </c>
      <c r="J1740" s="50" t="n">
        <f aca="false">BT1740*Parameter!$B$18</f>
        <v>0</v>
      </c>
      <c r="K1740" s="51"/>
      <c r="L1740" s="52"/>
      <c r="M1740" s="50" t="n">
        <v>0</v>
      </c>
      <c r="N1740" s="50" t="n">
        <v>2</v>
      </c>
      <c r="O1740" s="53" t="n">
        <v>21</v>
      </c>
      <c r="P1740" s="48" t="s">
        <v>410</v>
      </c>
      <c r="Q1740" s="50" t="n">
        <v>5</v>
      </c>
      <c r="R1740" s="53" t="n">
        <f aca="false">IF(BZ1740=1,0,IFERROR(VLOOKUP(BX1740,'Gebinde-Kategorie'!$A$5:$N$45,13,0)+0,0))</f>
        <v>280</v>
      </c>
      <c r="S1740" s="54"/>
      <c r="T1740" s="55"/>
      <c r="U1740" s="55"/>
      <c r="V1740" s="55"/>
      <c r="W1740" s="48"/>
      <c r="X1740" s="50"/>
      <c r="Y1740" s="50"/>
      <c r="Z1740" s="48" t="n">
        <f aca="false">IF(A1740="","",IF(AND(Parameter!$B$21="Ja",ISNUMBER(W1740)),W1740,IF(CC1740="2+3",IF(ISNUMBER(SEARCH("grosser Artikel",BU1740)),2,IFERROR(VLOOKUP(BX1740,Parameter!$F$35:$G$64,2,0),2)),IF(OR(CC1740="Nein",CC1740=""),"-",CC1740))))</f>
        <v>3</v>
      </c>
      <c r="AA1740" s="55"/>
      <c r="AB1740" s="56"/>
      <c r="AC1740" s="50" t="n">
        <f aca="false">AV1740</f>
        <v>2</v>
      </c>
      <c r="AD1740" s="50" t="n">
        <f aca="false">MAX(AV1740,H1740)</f>
        <v>10</v>
      </c>
      <c r="AE1740" s="57"/>
      <c r="AF1740" s="50" t="n">
        <f aca="false">IF(LEFT(Cockpit!$C$5,1)="A",H1740,IF(Parameter!$E$30="MAX-Bestand",IF(CH1740=1,CI1740,IF(LEFT(Cockpit!$C$5,1)="B",AL1740,MAX(AL1740,H1740))),ROUNDUP(AJ1740,0)))</f>
        <v>10</v>
      </c>
      <c r="AG1740" s="50" t="n">
        <f aca="false">IF(BZ1740=1,0,ROUNDUP(AF1740/BY1740,0))</f>
        <v>2</v>
      </c>
      <c r="AH1740" s="52" t="n">
        <f aca="false">IF(CQ1740&gt;0,CQ1740*MAX(1,AF1740/X1740),IF(BZ1740=1,IF(AF1740&lt;=0,0,CD1740*MAX(1,IF(H1740&gt;0,AF1740/H1740,1))),IF(R1740&gt;0,AG1740/R1740,0))/MAX(0.1,N(Parameter!$M$21)))</f>
        <v>0.00714285714285714</v>
      </c>
      <c r="AI1740" s="50" t="n">
        <f aca="false">AH1740*CB1740</f>
        <v>1.10714285714286</v>
      </c>
      <c r="AJ1740" s="51" t="n">
        <f aca="false">IF(LEFT(Cockpit!$C$5,1)="A",H1740,IF(CH1740=1,(CK1740+CI1740)/2,IF(LEFT(Cockpit!$C$5,1)="B",(CK1740+AL1740)/2,MAX((CK1740+AL1740)/2,H1740))))</f>
        <v>10</v>
      </c>
      <c r="AK1740" s="50" t="n">
        <f aca="false">AJ1740*G1740</f>
        <v>212</v>
      </c>
      <c r="AL1740" s="50" t="n">
        <f aca="false">ROUNDUP(CK1740+MAX(CL1740,2*(J1740/IF(CG1740&gt;0,CG1740,MAX(0.1,N(Cockpit!$C$6)))-CK1740)),0)</f>
        <v>2</v>
      </c>
      <c r="AM1740" s="51" t="n">
        <f aca="false">IF(AI1740&gt;0,J1740/AI1740,-1)</f>
        <v>0</v>
      </c>
      <c r="AN1740" s="51" t="n">
        <f aca="false">IF(AND(OR(CF1740="L1",CF1740="L23",CF1740="LIFT"),AI1740&gt;0),SUMIFS($AI$7:$AI$1843,$CF$7:$CF$1843,CF1740,$AM$7:$AM$1843,"&gt;"&amp;AM1740)+SUMIFS($AI$7:$AI$1843,$CF$7:$CF$1843,CF1740,$AM$7:$AM$1843,AM1740,$BW$7:$BW$1843,"&lt;="&amp;BW1740),"")</f>
        <v>32857.5467602078</v>
      </c>
      <c r="AO1740" s="58" t="n">
        <f aca="false">IF(AN1740="",0,MAX(0,MIN(1,(IF(CF1740="L1",Parameter!$H$5,IF(CF1740="L23",Parameter!$H$6+Parameter!$H$7,Parameter!$H$5+Parameter!$H$6+Parameter!$H$7))-(AN1740-AI1740))/AI1740)))</f>
        <v>1</v>
      </c>
      <c r="AP1740" s="50" t="n">
        <f aca="false">IF(LEFT(Cockpit!$I$5,1)="A",H1740,IF(Parameter!$E$30="MAX-Bestand",IF(CH1740=1,CI1740,IF(LEFT(Cockpit!$I$5,1)="B",AV1740,MAX(AV1740,H1740))),ROUNDUP(AT1740,0)))</f>
        <v>10</v>
      </c>
      <c r="AQ1740" s="50" t="n">
        <f aca="false">IF(BZ1740=1,0,ROUNDUP(AP1740/BY1740,0))</f>
        <v>2</v>
      </c>
      <c r="AR1740" s="52" t="n">
        <f aca="false">IF(CQ1740&gt;0,CQ1740*MAX(1,AP1740/X1740),IF(BZ1740=1,IF(AP1740&lt;=0,0,CD1740*MAX(1,IF(H1740&gt;0,AP1740/H1740,1))),IF(R1740&gt;0,AQ1740/R1740,0))/MAX(0.1,N(Parameter!$M$21)))</f>
        <v>0.00714285714285714</v>
      </c>
      <c r="AS1740" s="50" t="n">
        <f aca="false">AR1740*CB1740</f>
        <v>1.10714285714286</v>
      </c>
      <c r="AT1740" s="51" t="n">
        <f aca="false">IF(LEFT(Cockpit!$I$5,1)="A",H1740,IF(CH1740=1,(CK1740+CI1740)/2,IF(LEFT(Cockpit!$I$5,1)="B",(CK1740+AV1740)/2,MAX((CK1740+AV1740)/2,H1740))))</f>
        <v>10</v>
      </c>
      <c r="AU1740" s="50" t="n">
        <f aca="false">AT1740*G1740</f>
        <v>212</v>
      </c>
      <c r="AV1740" s="50" t="n">
        <f aca="false">ROUNDUP(CK1740+MAX(CL1740,2*(J1740/IF(CG1740&gt;0,CG1740,MAX(0.1,N(Cockpit!$I$6)))-CK1740)),0)</f>
        <v>2</v>
      </c>
      <c r="AW1740" s="51" t="n">
        <f aca="false">IF(AS1740&gt;0,J1740/AS1740,-1)</f>
        <v>0</v>
      </c>
      <c r="AX1740" s="51" t="n">
        <f aca="false">IF(AND(OR(CF1740="L1",CF1740="L23",CF1740="LIFT"),AS1740&gt;0),SUMIFS($AS$7:$AS$1843,$CF$7:$CF$1843,CF1740,$AW$7:$AW$1843,"&gt;"&amp;AW1740)+SUMIFS($AS$7:$AS$1843,$CF$7:$CF$1843,CF1740,$AW$7:$AW$1843,AW1740,$BW$7:$BW$1843,"&lt;="&amp;BW1740),"")</f>
        <v>39331.4557050765</v>
      </c>
      <c r="AY1740" s="58" t="n">
        <f aca="false">IF(AX1740="",0,MAX(0,MIN(1,(IF(CF1740="L1",Parameter!$H$5,IF(CF1740="L23",Parameter!$H$6+Parameter!$H$7,Parameter!$H$5+Parameter!$H$6+Parameter!$H$7))-(AX1740-AS1740))/AS1740)))</f>
        <v>0</v>
      </c>
      <c r="AZ1740" s="50" t="n">
        <f aca="false">IF(LEFT(Cockpit!$O$5,1)="A",H1740,IF(Parameter!$E$30="MAX-Bestand",IF(CH1740=1,CI1740,IF(LEFT(Cockpit!$O$5,1)="B",BF1740,MAX(BF1740,H1740))),ROUNDUP(BD1740,0)))</f>
        <v>1</v>
      </c>
      <c r="BA1740" s="50" t="n">
        <f aca="false">IF(BZ1740=1,0,ROUNDUP(AZ1740/BY1740,0))</f>
        <v>1</v>
      </c>
      <c r="BB1740" s="52" t="n">
        <f aca="false">IF(CQ1740&gt;0,CQ1740*MAX(1,AZ1740/X1740),IF(BZ1740=1,IF(AZ1740&lt;=0,0,CD1740*MAX(1,IF(H1740&gt;0,AZ1740/H1740,1))),IF(R1740&gt;0,BA1740/R1740,0))/MAX(0.1,N(Parameter!$M$21)))</f>
        <v>0.00357142857142857</v>
      </c>
      <c r="BC1740" s="50" t="n">
        <f aca="false">BB1740*CB1740</f>
        <v>0.553571428571429</v>
      </c>
      <c r="BD1740" s="51" t="n">
        <f aca="false">IF(LEFT(Cockpit!$O$5,1)="A",H1740,IF(CH1740=1,(CK1740+CI1740)/2,IF(LEFT(Cockpit!$O$5,1)="B",(CK1740+BF1740)/2,MAX((CK1740+BF1740)/2,H1740))))</f>
        <v>1</v>
      </c>
      <c r="BE1740" s="50" t="n">
        <f aca="false">BD1740*G1740</f>
        <v>21.2</v>
      </c>
      <c r="BF1740" s="50" t="n">
        <f aca="false">ROUNDUP(CK1740+MAX(CL1740,2*(J1740/IF(CG1740&gt;0,CG1740,MAX(0.1,N(Cockpit!$O$6)))-CK1740)),0)</f>
        <v>2</v>
      </c>
      <c r="BG1740" s="51" t="n">
        <f aca="false">IF(BC1740&gt;0,J1740/BC1740,-1)</f>
        <v>0</v>
      </c>
      <c r="BH1740" s="51" t="n">
        <f aca="false">IF(AND(OR(CF1740="L1",CF1740="L23",CF1740="LIFT"),BC1740&gt;0),SUMIFS($BC$7:$BC$1843,$CF$7:$CF$1843,CF1740,$BG$7:$BG$1843,"&gt;"&amp;BG1740)+SUMIFS($BC$7:$BC$1843,$CF$7:$CF$1843,CF1740,$BG$7:$BG$1843,BG1740,$BW$7:$BW$1843,"&lt;="&amp;BW1740),"")</f>
        <v>32558.4803139422</v>
      </c>
      <c r="BI1740" s="58" t="n">
        <f aca="false">IF(BH1740="",0,MAX(0,MIN(1,(IF(CF1740="L1",Parameter!$H$5,IF(CF1740="L23",Parameter!$H$6+Parameter!$H$7,Parameter!$H$5+Parameter!$H$6+Parameter!$H$7))-(BH1740-BC1740))/BC1740)))</f>
        <v>1</v>
      </c>
      <c r="BJ1740" s="48" t="str">
        <f aca="false">IF(AI1740&lt;=0,"",IF(CF1740="Aussen","Aussenlager",IF(CF1740="-","Nicht im Lift",IF(AO1740&gt;=1,"Lift",IF(AO1740&lt;=0,"Aussenlager","teilweise")))))</f>
        <v>Lift</v>
      </c>
      <c r="BK1740" s="48" t="str">
        <f aca="false">IF(AS1740&lt;=0,"",IF(CF1740="Aussen","Aussenlager",IF(CF1740="-","Nicht im Lift",IF(AY1740&gt;=1,"Lift",IF(AY1740&lt;=0,"Aussenlager","teilweise")))))</f>
        <v>Aussenlager</v>
      </c>
      <c r="BL1740" s="48" t="str">
        <f aca="false">IF(BC1740&lt;=0,"",IF(CF1740="Aussen","Aussenlager",IF(CF1740="-","Nicht im Lift",IF(BI1740&gt;=1,"Lift",IF(BI1740&lt;=0,"Aussenlager","teilweise")))))</f>
        <v>Lift</v>
      </c>
      <c r="BM1740" s="48" t="str">
        <f aca="false">IF(A1740="","",IF(BV1740=1,"Neu; ","")&amp;IF(AND(BV1740=0,BQ1740&lt;0),"negativer Bestand (Export "&amp;BQ1740&amp;"); ","")&amp;IF(J1740&lt;=0,"Kein Verbrauch; ","")&amp;IF(CQ1740&gt;0,"Lift "&amp;W1740&amp;" lt. Liftbericht (Fach "&amp;X1740&amp;" Stk); ",IF(CA1740=1,"Gebinde geschätzt ("&amp;T1740&amp;"); ",IF(BZ1740=1,"Lose – Tablare geschätzt; ","")))&amp;IF(H1740&gt;AV1740,"Überbestand "&amp;ROUND(H1740-AV1740,0)&amp;" Stk / CHF "&amp;ROUND((H1740-AV1740)*G1740,0)&amp;"; ","")&amp;IF(AND(CH1740=1,CI1740&lt;CJ1740),"MAX &lt; MB+LG; ","")&amp;IF(AND(CP1740&gt;0,CO1740*10&gt;CP1740),"zu hoch für Tablar; ","")&amp;IF(AND(BV1740=0,OR(CH1740=1,AA1740&lt;&gt;"",U1740&lt;&gt;"",V1740&lt;&gt;"",AB1740&lt;&gt;"")),"manuell übersteuert; ","")&amp;IF(AND(BZ1740=0,R1740=0),"Gebinde unbekannt / Stellmass fehlt; ","")&amp;IF(AND(BZ1740=0,N(V1740)&lt;=0,N(Q1740)&lt;=0),"Menge pro Gebinde fehlt (Ist = 1 Gebinde); ","")&amp;BU1740)</f>
        <v>Kein Verbrauch; Überbestand 8 Stk / CHF 170; nur im Artikelstamm (Bestand 23.06.2026); Neuer Art.</v>
      </c>
      <c r="BN1740" s="48"/>
      <c r="BO1740" s="48"/>
      <c r="BP1740" s="55"/>
      <c r="BQ1740" s="50" t="n">
        <v>10</v>
      </c>
      <c r="BR1740" s="50" t="n">
        <v>0</v>
      </c>
      <c r="BS1740" s="49" t="n">
        <v>0</v>
      </c>
      <c r="BT1740" s="50" t="n">
        <v>0</v>
      </c>
      <c r="BU1740" s="48" t="s">
        <v>2882</v>
      </c>
      <c r="BV1740" s="53" t="n">
        <v>0</v>
      </c>
      <c r="BW1740" s="53" t="n">
        <v>1740</v>
      </c>
      <c r="BX1740" s="48" t="str">
        <f aca="false">IF(U1740&lt;&gt;"",UPPER(TRIM(U1740)),IF(CA1740=1,UPPER(VLOOKUP(T1740,Parameter!$I$27:$K$29,2,0)),IF(P1740="","LOSE",P1740)))</f>
        <v>S21</v>
      </c>
      <c r="BY1740" s="50" t="n">
        <f aca="false">IF(BX1740="LOSE",1,IF(N(V1740)&gt;0,V1740,IF(CA1740=1,MAX(1,N(VLOOKUP(T1740,Parameter!$I$27:$K$29,3,0)),H1740,N(N1740)),IF(N(Q1740)&gt;0,Q1740,MAX(1,H1740)))))</f>
        <v>5</v>
      </c>
      <c r="BZ1740" s="53" t="n">
        <f aca="false">IF(BX1740="LOSE",1,0)</f>
        <v>0</v>
      </c>
      <c r="CA1740" s="53" t="n">
        <f aca="false">IF(AND(U1740="",OR(P1740="",P1740="LOSE"),T1740&lt;&gt;"",N(S1740)&lt;=0,ISNUMBER(MATCH(T1740,Parameter!$I$27:$I$29,0))),1,0)</f>
        <v>0</v>
      </c>
      <c r="CB1740" s="53" t="n">
        <f aca="false">IF(CQ1740&gt;0,INDEX(Parameter!$H$5:$H$7,W1740)/INDEX(Parameter!$E$5:$E$7,W1740),IF(AND(BZ1740=0,N(IFERROR(VLOOKUP(BX1740,'Gebinde-Kategorie'!$A$5:$N$45,14,0),0))&gt;0),VLOOKUP(BX1740,'Gebinde-Kategorie'!$A$5:$N$45,14,0)*10+Parameter!$M$23,Parameter!$M$24))</f>
        <v>155</v>
      </c>
      <c r="CC1740" s="48" t="str">
        <f aca="false">IF(AND(Parameter!$B$19="Ja",E1740&lt;&gt;"",ISNUMBER(MATCH(E1740,Parameter!$I$35:$I$52,0))),VLOOKUP(E1740,Parameter!$I$35:$J$52,2,0),IFERROR(VLOOKUP(D1740,Parameter!$A$35:$C$64,2,0),"Nein"))</f>
        <v>2+3</v>
      </c>
      <c r="CD1740" s="52" t="n">
        <f aca="false">IF(BZ1740=0,0,IF(N(S1740)&gt;0,S1740,IFERROR(VLOOKUP(D1740,Parameter!$A$35:$C$64,3,0)+0,0)))</f>
        <v>0</v>
      </c>
      <c r="CE1740" s="48" t="n">
        <f aca="false">IF(AA1740&lt;&gt;"",AA1740,Z1740)</f>
        <v>3</v>
      </c>
      <c r="CF1740" s="48" t="str">
        <f aca="false">IF(OR(CE1740=1,CE1740=2,CE1740=3),IF(Parameter!$E$27="Ja","LIFT",IF(CE1740=1,"L1","L23")),IF(CE1740="Aussen","Aussen","-"))</f>
        <v>LIFT</v>
      </c>
      <c r="CG1740" s="59" t="n">
        <f aca="false">IF(N(AB1740)&gt;0,AB1740,0)</f>
        <v>0</v>
      </c>
      <c r="CH1740" s="53" t="n">
        <f aca="false">IF(ISNUMBER(AE1740),1,0)</f>
        <v>0</v>
      </c>
      <c r="CI1740" s="50" t="n">
        <f aca="false">N(AE1740)</f>
        <v>0</v>
      </c>
      <c r="CJ1740" s="50" t="n">
        <f aca="false">N(M1740)+N(N1740)</f>
        <v>2</v>
      </c>
      <c r="CK1740" s="50" t="n">
        <f aca="false">N(M1740)</f>
        <v>0</v>
      </c>
      <c r="CL1740" s="50" t="n">
        <f aca="false">N(N1740)</f>
        <v>2</v>
      </c>
      <c r="CM1740" s="50" t="n">
        <f aca="false">ROUNDUP(H1740/BY1740,0)</f>
        <v>2</v>
      </c>
      <c r="CN1740" s="50" t="n">
        <f aca="false">ROUNDUP(CI1740/BY1740,0)</f>
        <v>0</v>
      </c>
      <c r="CO1740" s="53" t="n">
        <f aca="false">IF(BZ1740=1,0,IFERROR(VLOOKUP(BX1740,'Gebinde-Kategorie'!$A$5:$N$45,5,0)+0,0))</f>
        <v>8</v>
      </c>
      <c r="CP1740" s="53" t="n">
        <f aca="false">IFERROR(IF(OR(CE1740=1,CE1740=2,CE1740=3),N(INDEX(Parameter!$I$5:$I$7,CE1740)),0),0)</f>
        <v>0</v>
      </c>
      <c r="CQ1740" s="52" t="n">
        <f aca="false">IF(AND(Parameter!$B$21="Ja",ISNUMBER(W1740),N(X1740)&gt;0),IFERROR(N(INDEX(Parameter!$L$5:$L$7,W1740))*INDEX(Parameter!$E$5:$E$7,W1740)*X1740/SUMIFS($X$7:$X$1843,$W$7:$W$1843,W1740),0),0)</f>
        <v>0</v>
      </c>
    </row>
    <row r="1741" customFormat="false" ht="15" hidden="false" customHeight="false" outlineLevel="0" collapsed="false">
      <c r="A1741" s="48" t="s">
        <v>3018</v>
      </c>
      <c r="B1741" s="48" t="s">
        <v>3019</v>
      </c>
      <c r="C1741" s="48" t="s">
        <v>173</v>
      </c>
      <c r="D1741" s="48" t="s">
        <v>193</v>
      </c>
      <c r="E1741" s="48"/>
      <c r="F1741" s="48"/>
      <c r="G1741" s="49" t="n">
        <v>124</v>
      </c>
      <c r="H1741" s="50" t="n">
        <f aca="false">MAX(0,IF(AND(Parameter!$B$21="Ja",ISNUMBER(Y1741)),Y1741,IF(Parameter!$B$20="Jahresanfang 2025 + Export",BR1741+BQ1741,BQ1741)))</f>
        <v>4</v>
      </c>
      <c r="I1741" s="50" t="n">
        <f aca="false">H1741*G1741</f>
        <v>496</v>
      </c>
      <c r="J1741" s="50" t="n">
        <f aca="false">BT1741*Parameter!$B$18</f>
        <v>0</v>
      </c>
      <c r="K1741" s="51"/>
      <c r="L1741" s="52"/>
      <c r="M1741" s="50" t="n">
        <v>0</v>
      </c>
      <c r="N1741" s="50" t="n">
        <v>5</v>
      </c>
      <c r="O1741" s="53" t="n">
        <v>49</v>
      </c>
      <c r="P1741" s="48" t="s">
        <v>435</v>
      </c>
      <c r="Q1741" s="50" t="n">
        <v>4</v>
      </c>
      <c r="R1741" s="53" t="n">
        <f aca="false">IF(BZ1741=1,0,IFERROR(VLOOKUP(BX1741,'Gebinde-Kategorie'!$A$5:$N$45,13,0)+0,0))</f>
        <v>140</v>
      </c>
      <c r="S1741" s="54"/>
      <c r="T1741" s="55"/>
      <c r="U1741" s="55"/>
      <c r="V1741" s="55"/>
      <c r="W1741" s="48"/>
      <c r="X1741" s="50"/>
      <c r="Y1741" s="50"/>
      <c r="Z1741" s="48" t="n">
        <f aca="false">IF(A1741="","",IF(AND(Parameter!$B$21="Ja",ISNUMBER(W1741)),W1741,IF(CC1741="2+3",IF(ISNUMBER(SEARCH("grosser Artikel",BU1741)),2,IFERROR(VLOOKUP(BX1741,Parameter!$F$35:$G$64,2,0),2)),IF(OR(CC1741="Nein",CC1741=""),"-",CC1741))))</f>
        <v>3</v>
      </c>
      <c r="AA1741" s="55"/>
      <c r="AB1741" s="56"/>
      <c r="AC1741" s="50" t="n">
        <f aca="false">AV1741</f>
        <v>5</v>
      </c>
      <c r="AD1741" s="50" t="n">
        <f aca="false">MAX(AV1741,H1741)</f>
        <v>5</v>
      </c>
      <c r="AE1741" s="57"/>
      <c r="AF1741" s="50" t="n">
        <f aca="false">IF(LEFT(Cockpit!$C$5,1)="A",H1741,IF(Parameter!$E$30="MAX-Bestand",IF(CH1741=1,CI1741,IF(LEFT(Cockpit!$C$5,1)="B",AL1741,MAX(AL1741,H1741))),ROUNDUP(AJ1741,0)))</f>
        <v>4</v>
      </c>
      <c r="AG1741" s="50" t="n">
        <f aca="false">IF(BZ1741=1,0,ROUNDUP(AF1741/BY1741,0))</f>
        <v>1</v>
      </c>
      <c r="AH1741" s="52" t="n">
        <f aca="false">IF(CQ1741&gt;0,CQ1741*MAX(1,AF1741/X1741),IF(BZ1741=1,IF(AF1741&lt;=0,0,CD1741*MAX(1,IF(H1741&gt;0,AF1741/H1741,1))),IF(R1741&gt;0,AG1741/R1741,0))/MAX(0.1,N(Parameter!$M$21)))</f>
        <v>0.00714285714285714</v>
      </c>
      <c r="AI1741" s="50" t="n">
        <f aca="false">AH1741*CB1741</f>
        <v>1.10714285714286</v>
      </c>
      <c r="AJ1741" s="51" t="n">
        <f aca="false">IF(LEFT(Cockpit!$C$5,1)="A",H1741,IF(CH1741=1,(CK1741+CI1741)/2,IF(LEFT(Cockpit!$C$5,1)="B",(CK1741+AL1741)/2,MAX((CK1741+AL1741)/2,H1741))))</f>
        <v>4</v>
      </c>
      <c r="AK1741" s="50" t="n">
        <f aca="false">AJ1741*G1741</f>
        <v>496</v>
      </c>
      <c r="AL1741" s="50" t="n">
        <f aca="false">ROUNDUP(CK1741+MAX(CL1741,2*(J1741/IF(CG1741&gt;0,CG1741,MAX(0.1,N(Cockpit!$C$6)))-CK1741)),0)</f>
        <v>5</v>
      </c>
      <c r="AM1741" s="51" t="n">
        <f aca="false">IF(AI1741&gt;0,J1741/AI1741,-1)</f>
        <v>0</v>
      </c>
      <c r="AN1741" s="51" t="n">
        <f aca="false">IF(AND(OR(CF1741="L1",CF1741="L23",CF1741="LIFT"),AI1741&gt;0),SUMIFS($AI$7:$AI$1843,$CF$7:$CF$1843,CF1741,$AM$7:$AM$1843,"&gt;"&amp;AM1741)+SUMIFS($AI$7:$AI$1843,$CF$7:$CF$1843,CF1741,$AM$7:$AM$1843,AM1741,$BW$7:$BW$1843,"&lt;="&amp;BW1741),"")</f>
        <v>32858.6539030649</v>
      </c>
      <c r="AO1741" s="58" t="n">
        <f aca="false">IF(AN1741="",0,MAX(0,MIN(1,(IF(CF1741="L1",Parameter!$H$5,IF(CF1741="L23",Parameter!$H$6+Parameter!$H$7,Parameter!$H$5+Parameter!$H$6+Parameter!$H$7))-(AN1741-AI1741))/AI1741)))</f>
        <v>1</v>
      </c>
      <c r="AP1741" s="50" t="n">
        <f aca="false">IF(LEFT(Cockpit!$I$5,1)="A",H1741,IF(Parameter!$E$30="MAX-Bestand",IF(CH1741=1,CI1741,IF(LEFT(Cockpit!$I$5,1)="B",AV1741,MAX(AV1741,H1741))),ROUNDUP(AT1741,0)))</f>
        <v>4</v>
      </c>
      <c r="AQ1741" s="50" t="n">
        <f aca="false">IF(BZ1741=1,0,ROUNDUP(AP1741/BY1741,0))</f>
        <v>1</v>
      </c>
      <c r="AR1741" s="52" t="n">
        <f aca="false">IF(CQ1741&gt;0,CQ1741*MAX(1,AP1741/X1741),IF(BZ1741=1,IF(AP1741&lt;=0,0,CD1741*MAX(1,IF(H1741&gt;0,AP1741/H1741,1))),IF(R1741&gt;0,AQ1741/R1741,0))/MAX(0.1,N(Parameter!$M$21)))</f>
        <v>0.00714285714285714</v>
      </c>
      <c r="AS1741" s="50" t="n">
        <f aca="false">AR1741*CB1741</f>
        <v>1.10714285714286</v>
      </c>
      <c r="AT1741" s="51" t="n">
        <f aca="false">IF(LEFT(Cockpit!$I$5,1)="A",H1741,IF(CH1741=1,(CK1741+CI1741)/2,IF(LEFT(Cockpit!$I$5,1)="B",(CK1741+AV1741)/2,MAX((CK1741+AV1741)/2,H1741))))</f>
        <v>4</v>
      </c>
      <c r="AU1741" s="50" t="n">
        <f aca="false">AT1741*G1741</f>
        <v>496</v>
      </c>
      <c r="AV1741" s="50" t="n">
        <f aca="false">ROUNDUP(CK1741+MAX(CL1741,2*(J1741/IF(CG1741&gt;0,CG1741,MAX(0.1,N(Cockpit!$I$6)))-CK1741)),0)</f>
        <v>5</v>
      </c>
      <c r="AW1741" s="51" t="n">
        <f aca="false">IF(AS1741&gt;0,J1741/AS1741,-1)</f>
        <v>0</v>
      </c>
      <c r="AX1741" s="51" t="n">
        <f aca="false">IF(AND(OR(CF1741="L1",CF1741="L23",CF1741="LIFT"),AS1741&gt;0),SUMIFS($AS$7:$AS$1843,$CF$7:$CF$1843,CF1741,$AW$7:$AW$1843,"&gt;"&amp;AW1741)+SUMIFS($AS$7:$AS$1843,$CF$7:$CF$1843,CF1741,$AW$7:$AW$1843,AW1741,$BW$7:$BW$1843,"&lt;="&amp;BW1741),"")</f>
        <v>39332.5628479336</v>
      </c>
      <c r="AY1741" s="58" t="n">
        <f aca="false">IF(AX1741="",0,MAX(0,MIN(1,(IF(CF1741="L1",Parameter!$H$5,IF(CF1741="L23",Parameter!$H$6+Parameter!$H$7,Parameter!$H$5+Parameter!$H$6+Parameter!$H$7))-(AX1741-AS1741))/AS1741)))</f>
        <v>0</v>
      </c>
      <c r="AZ1741" s="50" t="n">
        <f aca="false">IF(LEFT(Cockpit!$O$5,1)="A",H1741,IF(Parameter!$E$30="MAX-Bestand",IF(CH1741=1,CI1741,IF(LEFT(Cockpit!$O$5,1)="B",BF1741,MAX(BF1741,H1741))),ROUNDUP(BD1741,0)))</f>
        <v>3</v>
      </c>
      <c r="BA1741" s="50" t="n">
        <f aca="false">IF(BZ1741=1,0,ROUNDUP(AZ1741/BY1741,0))</f>
        <v>1</v>
      </c>
      <c r="BB1741" s="52" t="n">
        <f aca="false">IF(CQ1741&gt;0,CQ1741*MAX(1,AZ1741/X1741),IF(BZ1741=1,IF(AZ1741&lt;=0,0,CD1741*MAX(1,IF(H1741&gt;0,AZ1741/H1741,1))),IF(R1741&gt;0,BA1741/R1741,0))/MAX(0.1,N(Parameter!$M$21)))</f>
        <v>0.00714285714285714</v>
      </c>
      <c r="BC1741" s="50" t="n">
        <f aca="false">BB1741*CB1741</f>
        <v>1.10714285714286</v>
      </c>
      <c r="BD1741" s="51" t="n">
        <f aca="false">IF(LEFT(Cockpit!$O$5,1)="A",H1741,IF(CH1741=1,(CK1741+CI1741)/2,IF(LEFT(Cockpit!$O$5,1)="B",(CK1741+BF1741)/2,MAX((CK1741+BF1741)/2,H1741))))</f>
        <v>2.5</v>
      </c>
      <c r="BE1741" s="50" t="n">
        <f aca="false">BD1741*G1741</f>
        <v>310</v>
      </c>
      <c r="BF1741" s="50" t="n">
        <f aca="false">ROUNDUP(CK1741+MAX(CL1741,2*(J1741/IF(CG1741&gt;0,CG1741,MAX(0.1,N(Cockpit!$O$6)))-CK1741)),0)</f>
        <v>5</v>
      </c>
      <c r="BG1741" s="51" t="n">
        <f aca="false">IF(BC1741&gt;0,J1741/BC1741,-1)</f>
        <v>0</v>
      </c>
      <c r="BH1741" s="51" t="n">
        <f aca="false">IF(AND(OR(CF1741="L1",CF1741="L23",CF1741="LIFT"),BC1741&gt;0),SUMIFS($BC$7:$BC$1843,$CF$7:$CF$1843,CF1741,$BG$7:$BG$1843,"&gt;"&amp;BG1741)+SUMIFS($BC$7:$BC$1843,$CF$7:$CF$1843,CF1741,$BG$7:$BG$1843,BG1741,$BW$7:$BW$1843,"&lt;="&amp;BW1741),"")</f>
        <v>32559.5874567993</v>
      </c>
      <c r="BI1741" s="58" t="n">
        <f aca="false">IF(BH1741="",0,MAX(0,MIN(1,(IF(CF1741="L1",Parameter!$H$5,IF(CF1741="L23",Parameter!$H$6+Parameter!$H$7,Parameter!$H$5+Parameter!$H$6+Parameter!$H$7))-(BH1741-BC1741))/BC1741)))</f>
        <v>1</v>
      </c>
      <c r="BJ1741" s="48" t="str">
        <f aca="false">IF(AI1741&lt;=0,"",IF(CF1741="Aussen","Aussenlager",IF(CF1741="-","Nicht im Lift",IF(AO1741&gt;=1,"Lift",IF(AO1741&lt;=0,"Aussenlager","teilweise")))))</f>
        <v>Lift</v>
      </c>
      <c r="BK1741" s="48" t="str">
        <f aca="false">IF(AS1741&lt;=0,"",IF(CF1741="Aussen","Aussenlager",IF(CF1741="-","Nicht im Lift",IF(AY1741&gt;=1,"Lift",IF(AY1741&lt;=0,"Aussenlager","teilweise")))))</f>
        <v>Aussenlager</v>
      </c>
      <c r="BL1741" s="48" t="str">
        <f aca="false">IF(BC1741&lt;=0,"",IF(CF1741="Aussen","Aussenlager",IF(CF1741="-","Nicht im Lift",IF(BI1741&gt;=1,"Lift",IF(BI1741&lt;=0,"Aussenlager","teilweise")))))</f>
        <v>Lift</v>
      </c>
      <c r="BM1741" s="48" t="str">
        <f aca="false">IF(A1741="","",IF(BV1741=1,"Neu; ","")&amp;IF(AND(BV1741=0,BQ1741&lt;0),"negativer Bestand (Export "&amp;BQ1741&amp;"); ","")&amp;IF(J1741&lt;=0,"Kein Verbrauch; ","")&amp;IF(CQ1741&gt;0,"Lift "&amp;W1741&amp;" lt. Liftbericht (Fach "&amp;X1741&amp;" Stk); ",IF(CA1741=1,"Gebinde geschätzt ("&amp;T1741&amp;"); ",IF(BZ1741=1,"Lose – Tablare geschätzt; ","")))&amp;IF(H1741&gt;AV1741,"Überbestand "&amp;ROUND(H1741-AV1741,0)&amp;" Stk / CHF "&amp;ROUND((H1741-AV1741)*G1741,0)&amp;"; ","")&amp;IF(AND(CH1741=1,CI1741&lt;CJ1741),"MAX &lt; MB+LG; ","")&amp;IF(AND(CP1741&gt;0,CO1741*10&gt;CP1741),"zu hoch für Tablar; ","")&amp;IF(AND(BV1741=0,OR(CH1741=1,AA1741&lt;&gt;"",U1741&lt;&gt;"",V1741&lt;&gt;"",AB1741&lt;&gt;"")),"manuell übersteuert; ","")&amp;IF(AND(BZ1741=0,R1741=0),"Gebinde unbekannt / Stellmass fehlt; ","")&amp;IF(AND(BZ1741=0,N(V1741)&lt;=0,N(Q1741)&lt;=0),"Menge pro Gebinde fehlt (Ist = 1 Gebinde); ","")&amp;BU1741)</f>
        <v>Kein Verbrauch; nur im Artikelstamm (Bestand 23.06.2026); Neuer Art.</v>
      </c>
      <c r="BN1741" s="48"/>
      <c r="BO1741" s="48"/>
      <c r="BP1741" s="55"/>
      <c r="BQ1741" s="50" t="n">
        <v>4</v>
      </c>
      <c r="BR1741" s="50" t="n">
        <v>0</v>
      </c>
      <c r="BS1741" s="49" t="n">
        <v>0</v>
      </c>
      <c r="BT1741" s="50" t="n">
        <v>0</v>
      </c>
      <c r="BU1741" s="48" t="s">
        <v>2882</v>
      </c>
      <c r="BV1741" s="53" t="n">
        <v>0</v>
      </c>
      <c r="BW1741" s="53" t="n">
        <v>1741</v>
      </c>
      <c r="BX1741" s="48" t="str">
        <f aca="false">IF(U1741&lt;&gt;"",UPPER(TRIM(U1741)),IF(CA1741=1,UPPER(VLOOKUP(T1741,Parameter!$I$27:$K$29,2,0)),IF(P1741="","LOSE",P1741)))</f>
        <v>S22</v>
      </c>
      <c r="BY1741" s="50" t="n">
        <f aca="false">IF(BX1741="LOSE",1,IF(N(V1741)&gt;0,V1741,IF(CA1741=1,MAX(1,N(VLOOKUP(T1741,Parameter!$I$27:$K$29,3,0)),H1741,N(N1741)),IF(N(Q1741)&gt;0,Q1741,MAX(1,H1741)))))</f>
        <v>4</v>
      </c>
      <c r="BZ1741" s="53" t="n">
        <f aca="false">IF(BX1741="LOSE",1,0)</f>
        <v>0</v>
      </c>
      <c r="CA1741" s="53" t="n">
        <f aca="false">IF(AND(U1741="",OR(P1741="",P1741="LOSE"),T1741&lt;&gt;"",N(S1741)&lt;=0,ISNUMBER(MATCH(T1741,Parameter!$I$27:$I$29,0))),1,0)</f>
        <v>0</v>
      </c>
      <c r="CB1741" s="53" t="n">
        <f aca="false">IF(CQ1741&gt;0,INDEX(Parameter!$H$5:$H$7,W1741)/INDEX(Parameter!$E$5:$E$7,W1741),IF(AND(BZ1741=0,N(IFERROR(VLOOKUP(BX1741,'Gebinde-Kategorie'!$A$5:$N$45,14,0),0))&gt;0),VLOOKUP(BX1741,'Gebinde-Kategorie'!$A$5:$N$45,14,0)*10+Parameter!$M$23,Parameter!$M$24))</f>
        <v>155</v>
      </c>
      <c r="CC1741" s="48" t="str">
        <f aca="false">IF(AND(Parameter!$B$19="Ja",E1741&lt;&gt;"",ISNUMBER(MATCH(E1741,Parameter!$I$35:$I$52,0))),VLOOKUP(E1741,Parameter!$I$35:$J$52,2,0),IFERROR(VLOOKUP(D1741,Parameter!$A$35:$C$64,2,0),"Nein"))</f>
        <v>2+3</v>
      </c>
      <c r="CD1741" s="52" t="n">
        <f aca="false">IF(BZ1741=0,0,IF(N(S1741)&gt;0,S1741,IFERROR(VLOOKUP(D1741,Parameter!$A$35:$C$64,3,0)+0,0)))</f>
        <v>0</v>
      </c>
      <c r="CE1741" s="48" t="n">
        <f aca="false">IF(AA1741&lt;&gt;"",AA1741,Z1741)</f>
        <v>3</v>
      </c>
      <c r="CF1741" s="48" t="str">
        <f aca="false">IF(OR(CE1741=1,CE1741=2,CE1741=3),IF(Parameter!$E$27="Ja","LIFT",IF(CE1741=1,"L1","L23")),IF(CE1741="Aussen","Aussen","-"))</f>
        <v>LIFT</v>
      </c>
      <c r="CG1741" s="59" t="n">
        <f aca="false">IF(N(AB1741)&gt;0,AB1741,0)</f>
        <v>0</v>
      </c>
      <c r="CH1741" s="53" t="n">
        <f aca="false">IF(ISNUMBER(AE1741),1,0)</f>
        <v>0</v>
      </c>
      <c r="CI1741" s="50" t="n">
        <f aca="false">N(AE1741)</f>
        <v>0</v>
      </c>
      <c r="CJ1741" s="50" t="n">
        <f aca="false">N(M1741)+N(N1741)</f>
        <v>5</v>
      </c>
      <c r="CK1741" s="50" t="n">
        <f aca="false">N(M1741)</f>
        <v>0</v>
      </c>
      <c r="CL1741" s="50" t="n">
        <f aca="false">N(N1741)</f>
        <v>5</v>
      </c>
      <c r="CM1741" s="50" t="n">
        <f aca="false">ROUNDUP(H1741/BY1741,0)</f>
        <v>1</v>
      </c>
      <c r="CN1741" s="50" t="n">
        <f aca="false">ROUNDUP(CI1741/BY1741,0)</f>
        <v>0</v>
      </c>
      <c r="CO1741" s="53" t="n">
        <f aca="false">IF(BZ1741=1,0,IFERROR(VLOOKUP(BX1741,'Gebinde-Kategorie'!$A$5:$N$45,5,0)+0,0))</f>
        <v>8</v>
      </c>
      <c r="CP1741" s="53" t="n">
        <f aca="false">IFERROR(IF(OR(CE1741=1,CE1741=2,CE1741=3),N(INDEX(Parameter!$I$5:$I$7,CE1741)),0),0)</f>
        <v>0</v>
      </c>
      <c r="CQ1741" s="52" t="n">
        <f aca="false">IF(AND(Parameter!$B$21="Ja",ISNUMBER(W1741),N(X1741)&gt;0),IFERROR(N(INDEX(Parameter!$L$5:$L$7,W1741))*INDEX(Parameter!$E$5:$E$7,W1741)*X1741/SUMIFS($X$7:$X$1843,$W$7:$W$1843,W1741),0),0)</f>
        <v>0</v>
      </c>
    </row>
    <row r="1742" customFormat="false" ht="15" hidden="false" customHeight="false" outlineLevel="0" collapsed="false">
      <c r="A1742" s="48" t="s">
        <v>3020</v>
      </c>
      <c r="B1742" s="48" t="s">
        <v>3021</v>
      </c>
      <c r="C1742" s="48" t="s">
        <v>173</v>
      </c>
      <c r="D1742" s="48" t="s">
        <v>193</v>
      </c>
      <c r="E1742" s="48"/>
      <c r="F1742" s="48"/>
      <c r="G1742" s="49" t="n">
        <v>185</v>
      </c>
      <c r="H1742" s="50" t="n">
        <f aca="false">MAX(0,IF(AND(Parameter!$B$21="Ja",ISNUMBER(Y1742)),Y1742,IF(Parameter!$B$20="Jahresanfang 2025 + Export",BR1742+BQ1742,BQ1742)))</f>
        <v>3</v>
      </c>
      <c r="I1742" s="50" t="n">
        <f aca="false">H1742*G1742</f>
        <v>555</v>
      </c>
      <c r="J1742" s="50" t="n">
        <f aca="false">BT1742*Parameter!$B$18</f>
        <v>0</v>
      </c>
      <c r="K1742" s="51"/>
      <c r="L1742" s="52"/>
      <c r="M1742" s="50" t="n">
        <v>0</v>
      </c>
      <c r="N1742" s="50" t="n">
        <v>3</v>
      </c>
      <c r="O1742" s="53" t="n">
        <v>49</v>
      </c>
      <c r="P1742" s="48" t="s">
        <v>410</v>
      </c>
      <c r="Q1742" s="50" t="n">
        <v>2</v>
      </c>
      <c r="R1742" s="53" t="n">
        <f aca="false">IF(BZ1742=1,0,IFERROR(VLOOKUP(BX1742,'Gebinde-Kategorie'!$A$5:$N$45,13,0)+0,0))</f>
        <v>280</v>
      </c>
      <c r="S1742" s="54"/>
      <c r="T1742" s="55"/>
      <c r="U1742" s="55"/>
      <c r="V1742" s="55"/>
      <c r="W1742" s="48"/>
      <c r="X1742" s="50"/>
      <c r="Y1742" s="50"/>
      <c r="Z1742" s="48" t="n">
        <f aca="false">IF(A1742="","",IF(AND(Parameter!$B$21="Ja",ISNUMBER(W1742)),W1742,IF(CC1742="2+3",IF(ISNUMBER(SEARCH("grosser Artikel",BU1742)),2,IFERROR(VLOOKUP(BX1742,Parameter!$F$35:$G$64,2,0),2)),IF(OR(CC1742="Nein",CC1742=""),"-",CC1742))))</f>
        <v>3</v>
      </c>
      <c r="AA1742" s="55"/>
      <c r="AB1742" s="56"/>
      <c r="AC1742" s="50" t="n">
        <f aca="false">AV1742</f>
        <v>3</v>
      </c>
      <c r="AD1742" s="50" t="n">
        <f aca="false">MAX(AV1742,H1742)</f>
        <v>3</v>
      </c>
      <c r="AE1742" s="57"/>
      <c r="AF1742" s="50" t="n">
        <f aca="false">IF(LEFT(Cockpit!$C$5,1)="A",H1742,IF(Parameter!$E$30="MAX-Bestand",IF(CH1742=1,CI1742,IF(LEFT(Cockpit!$C$5,1)="B",AL1742,MAX(AL1742,H1742))),ROUNDUP(AJ1742,0)))</f>
        <v>3</v>
      </c>
      <c r="AG1742" s="50" t="n">
        <f aca="false">IF(BZ1742=1,0,ROUNDUP(AF1742/BY1742,0))</f>
        <v>2</v>
      </c>
      <c r="AH1742" s="52" t="n">
        <f aca="false">IF(CQ1742&gt;0,CQ1742*MAX(1,AF1742/X1742),IF(BZ1742=1,IF(AF1742&lt;=0,0,CD1742*MAX(1,IF(H1742&gt;0,AF1742/H1742,1))),IF(R1742&gt;0,AG1742/R1742,0))/MAX(0.1,N(Parameter!$M$21)))</f>
        <v>0.00714285714285714</v>
      </c>
      <c r="AI1742" s="50" t="n">
        <f aca="false">AH1742*CB1742</f>
        <v>1.10714285714286</v>
      </c>
      <c r="AJ1742" s="51" t="n">
        <f aca="false">IF(LEFT(Cockpit!$C$5,1)="A",H1742,IF(CH1742=1,(CK1742+CI1742)/2,IF(LEFT(Cockpit!$C$5,1)="B",(CK1742+AL1742)/2,MAX((CK1742+AL1742)/2,H1742))))</f>
        <v>3</v>
      </c>
      <c r="AK1742" s="50" t="n">
        <f aca="false">AJ1742*G1742</f>
        <v>555</v>
      </c>
      <c r="AL1742" s="50" t="n">
        <f aca="false">ROUNDUP(CK1742+MAX(CL1742,2*(J1742/IF(CG1742&gt;0,CG1742,MAX(0.1,N(Cockpit!$C$6)))-CK1742)),0)</f>
        <v>3</v>
      </c>
      <c r="AM1742" s="51" t="n">
        <f aca="false">IF(AI1742&gt;0,J1742/AI1742,-1)</f>
        <v>0</v>
      </c>
      <c r="AN1742" s="51" t="n">
        <f aca="false">IF(AND(OR(CF1742="L1",CF1742="L23",CF1742="LIFT"),AI1742&gt;0),SUMIFS($AI$7:$AI$1843,$CF$7:$CF$1843,CF1742,$AM$7:$AM$1843,"&gt;"&amp;AM1742)+SUMIFS($AI$7:$AI$1843,$CF$7:$CF$1843,CF1742,$AM$7:$AM$1843,AM1742,$BW$7:$BW$1843,"&lt;="&amp;BW1742),"")</f>
        <v>32859.7610459221</v>
      </c>
      <c r="AO1742" s="58" t="n">
        <f aca="false">IF(AN1742="",0,MAX(0,MIN(1,(IF(CF1742="L1",Parameter!$H$5,IF(CF1742="L23",Parameter!$H$6+Parameter!$H$7,Parameter!$H$5+Parameter!$H$6+Parameter!$H$7))-(AN1742-AI1742))/AI1742)))</f>
        <v>1</v>
      </c>
      <c r="AP1742" s="50" t="n">
        <f aca="false">IF(LEFT(Cockpit!$I$5,1)="A",H1742,IF(Parameter!$E$30="MAX-Bestand",IF(CH1742=1,CI1742,IF(LEFT(Cockpit!$I$5,1)="B",AV1742,MAX(AV1742,H1742))),ROUNDUP(AT1742,0)))</f>
        <v>3</v>
      </c>
      <c r="AQ1742" s="50" t="n">
        <f aca="false">IF(BZ1742=1,0,ROUNDUP(AP1742/BY1742,0))</f>
        <v>2</v>
      </c>
      <c r="AR1742" s="52" t="n">
        <f aca="false">IF(CQ1742&gt;0,CQ1742*MAX(1,AP1742/X1742),IF(BZ1742=1,IF(AP1742&lt;=0,0,CD1742*MAX(1,IF(H1742&gt;0,AP1742/H1742,1))),IF(R1742&gt;0,AQ1742/R1742,0))/MAX(0.1,N(Parameter!$M$21)))</f>
        <v>0.00714285714285714</v>
      </c>
      <c r="AS1742" s="50" t="n">
        <f aca="false">AR1742*CB1742</f>
        <v>1.10714285714286</v>
      </c>
      <c r="AT1742" s="51" t="n">
        <f aca="false">IF(LEFT(Cockpit!$I$5,1)="A",H1742,IF(CH1742=1,(CK1742+CI1742)/2,IF(LEFT(Cockpit!$I$5,1)="B",(CK1742+AV1742)/2,MAX((CK1742+AV1742)/2,H1742))))</f>
        <v>3</v>
      </c>
      <c r="AU1742" s="50" t="n">
        <f aca="false">AT1742*G1742</f>
        <v>555</v>
      </c>
      <c r="AV1742" s="50" t="n">
        <f aca="false">ROUNDUP(CK1742+MAX(CL1742,2*(J1742/IF(CG1742&gt;0,CG1742,MAX(0.1,N(Cockpit!$I$6)))-CK1742)),0)</f>
        <v>3</v>
      </c>
      <c r="AW1742" s="51" t="n">
        <f aca="false">IF(AS1742&gt;0,J1742/AS1742,-1)</f>
        <v>0</v>
      </c>
      <c r="AX1742" s="51" t="n">
        <f aca="false">IF(AND(OR(CF1742="L1",CF1742="L23",CF1742="LIFT"),AS1742&gt;0),SUMIFS($AS$7:$AS$1843,$CF$7:$CF$1843,CF1742,$AW$7:$AW$1843,"&gt;"&amp;AW1742)+SUMIFS($AS$7:$AS$1843,$CF$7:$CF$1843,CF1742,$AW$7:$AW$1843,AW1742,$BW$7:$BW$1843,"&lt;="&amp;BW1742),"")</f>
        <v>39333.6699907908</v>
      </c>
      <c r="AY1742" s="58" t="n">
        <f aca="false">IF(AX1742="",0,MAX(0,MIN(1,(IF(CF1742="L1",Parameter!$H$5,IF(CF1742="L23",Parameter!$H$6+Parameter!$H$7,Parameter!$H$5+Parameter!$H$6+Parameter!$H$7))-(AX1742-AS1742))/AS1742)))</f>
        <v>0</v>
      </c>
      <c r="AZ1742" s="50" t="n">
        <f aca="false">IF(LEFT(Cockpit!$O$5,1)="A",H1742,IF(Parameter!$E$30="MAX-Bestand",IF(CH1742=1,CI1742,IF(LEFT(Cockpit!$O$5,1)="B",BF1742,MAX(BF1742,H1742))),ROUNDUP(BD1742,0)))</f>
        <v>2</v>
      </c>
      <c r="BA1742" s="50" t="n">
        <f aca="false">IF(BZ1742=1,0,ROUNDUP(AZ1742/BY1742,0))</f>
        <v>1</v>
      </c>
      <c r="BB1742" s="52" t="n">
        <f aca="false">IF(CQ1742&gt;0,CQ1742*MAX(1,AZ1742/X1742),IF(BZ1742=1,IF(AZ1742&lt;=0,0,CD1742*MAX(1,IF(H1742&gt;0,AZ1742/H1742,1))),IF(R1742&gt;0,BA1742/R1742,0))/MAX(0.1,N(Parameter!$M$21)))</f>
        <v>0.00357142857142857</v>
      </c>
      <c r="BC1742" s="50" t="n">
        <f aca="false">BB1742*CB1742</f>
        <v>0.553571428571429</v>
      </c>
      <c r="BD1742" s="51" t="n">
        <f aca="false">IF(LEFT(Cockpit!$O$5,1)="A",H1742,IF(CH1742=1,(CK1742+CI1742)/2,IF(LEFT(Cockpit!$O$5,1)="B",(CK1742+BF1742)/2,MAX((CK1742+BF1742)/2,H1742))))</f>
        <v>1.5</v>
      </c>
      <c r="BE1742" s="50" t="n">
        <f aca="false">BD1742*G1742</f>
        <v>277.5</v>
      </c>
      <c r="BF1742" s="50" t="n">
        <f aca="false">ROUNDUP(CK1742+MAX(CL1742,2*(J1742/IF(CG1742&gt;0,CG1742,MAX(0.1,N(Cockpit!$O$6)))-CK1742)),0)</f>
        <v>3</v>
      </c>
      <c r="BG1742" s="51" t="n">
        <f aca="false">IF(BC1742&gt;0,J1742/BC1742,-1)</f>
        <v>0</v>
      </c>
      <c r="BH1742" s="51" t="n">
        <f aca="false">IF(AND(OR(CF1742="L1",CF1742="L23",CF1742="LIFT"),BC1742&gt;0),SUMIFS($BC$7:$BC$1843,$CF$7:$CF$1843,CF1742,$BG$7:$BG$1843,"&gt;"&amp;BG1742)+SUMIFS($BC$7:$BC$1843,$CF$7:$CF$1843,CF1742,$BG$7:$BG$1843,BG1742,$BW$7:$BW$1843,"&lt;="&amp;BW1742),"")</f>
        <v>32560.1410282279</v>
      </c>
      <c r="BI1742" s="58" t="n">
        <f aca="false">IF(BH1742="",0,MAX(0,MIN(1,(IF(CF1742="L1",Parameter!$H$5,IF(CF1742="L23",Parameter!$H$6+Parameter!$H$7,Parameter!$H$5+Parameter!$H$6+Parameter!$H$7))-(BH1742-BC1742))/BC1742)))</f>
        <v>1</v>
      </c>
      <c r="BJ1742" s="48" t="str">
        <f aca="false">IF(AI1742&lt;=0,"",IF(CF1742="Aussen","Aussenlager",IF(CF1742="-","Nicht im Lift",IF(AO1742&gt;=1,"Lift",IF(AO1742&lt;=0,"Aussenlager","teilweise")))))</f>
        <v>Lift</v>
      </c>
      <c r="BK1742" s="48" t="str">
        <f aca="false">IF(AS1742&lt;=0,"",IF(CF1742="Aussen","Aussenlager",IF(CF1742="-","Nicht im Lift",IF(AY1742&gt;=1,"Lift",IF(AY1742&lt;=0,"Aussenlager","teilweise")))))</f>
        <v>Aussenlager</v>
      </c>
      <c r="BL1742" s="48" t="str">
        <f aca="false">IF(BC1742&lt;=0,"",IF(CF1742="Aussen","Aussenlager",IF(CF1742="-","Nicht im Lift",IF(BI1742&gt;=1,"Lift",IF(BI1742&lt;=0,"Aussenlager","teilweise")))))</f>
        <v>Lift</v>
      </c>
      <c r="BM1742" s="48" t="str">
        <f aca="false">IF(A1742="","",IF(BV1742=1,"Neu; ","")&amp;IF(AND(BV1742=0,BQ1742&lt;0),"negativer Bestand (Export "&amp;BQ1742&amp;"); ","")&amp;IF(J1742&lt;=0,"Kein Verbrauch; ","")&amp;IF(CQ1742&gt;0,"Lift "&amp;W1742&amp;" lt. Liftbericht (Fach "&amp;X1742&amp;" Stk); ",IF(CA1742=1,"Gebinde geschätzt ("&amp;T1742&amp;"); ",IF(BZ1742=1,"Lose – Tablare geschätzt; ","")))&amp;IF(H1742&gt;AV1742,"Überbestand "&amp;ROUND(H1742-AV1742,0)&amp;" Stk / CHF "&amp;ROUND((H1742-AV1742)*G1742,0)&amp;"; ","")&amp;IF(AND(CH1742=1,CI1742&lt;CJ1742),"MAX &lt; MB+LG; ","")&amp;IF(AND(CP1742&gt;0,CO1742*10&gt;CP1742),"zu hoch für Tablar; ","")&amp;IF(AND(BV1742=0,OR(CH1742=1,AA1742&lt;&gt;"",U1742&lt;&gt;"",V1742&lt;&gt;"",AB1742&lt;&gt;"")),"manuell übersteuert; ","")&amp;IF(AND(BZ1742=0,R1742=0),"Gebinde unbekannt / Stellmass fehlt; ","")&amp;IF(AND(BZ1742=0,N(V1742)&lt;=0,N(Q1742)&lt;=0),"Menge pro Gebinde fehlt (Ist = 1 Gebinde); ","")&amp;BU1742)</f>
        <v>Kein Verbrauch; nur im Artikelstamm (Bestand 23.06.2026)</v>
      </c>
      <c r="BN1742" s="48"/>
      <c r="BO1742" s="48"/>
      <c r="BP1742" s="55"/>
      <c r="BQ1742" s="50" t="n">
        <v>3</v>
      </c>
      <c r="BR1742" s="50" t="n">
        <v>0</v>
      </c>
      <c r="BS1742" s="49" t="n">
        <v>0</v>
      </c>
      <c r="BT1742" s="50" t="n">
        <v>0</v>
      </c>
      <c r="BU1742" s="48" t="s">
        <v>2584</v>
      </c>
      <c r="BV1742" s="53" t="n">
        <v>0</v>
      </c>
      <c r="BW1742" s="53" t="n">
        <v>1742</v>
      </c>
      <c r="BX1742" s="48" t="str">
        <f aca="false">IF(U1742&lt;&gt;"",UPPER(TRIM(U1742)),IF(CA1742=1,UPPER(VLOOKUP(T1742,Parameter!$I$27:$K$29,2,0)),IF(P1742="","LOSE",P1742)))</f>
        <v>S21</v>
      </c>
      <c r="BY1742" s="50" t="n">
        <f aca="false">IF(BX1742="LOSE",1,IF(N(V1742)&gt;0,V1742,IF(CA1742=1,MAX(1,N(VLOOKUP(T1742,Parameter!$I$27:$K$29,3,0)),H1742,N(N1742)),IF(N(Q1742)&gt;0,Q1742,MAX(1,H1742)))))</f>
        <v>2</v>
      </c>
      <c r="BZ1742" s="53" t="n">
        <f aca="false">IF(BX1742="LOSE",1,0)</f>
        <v>0</v>
      </c>
      <c r="CA1742" s="53" t="n">
        <f aca="false">IF(AND(U1742="",OR(P1742="",P1742="LOSE"),T1742&lt;&gt;"",N(S1742)&lt;=0,ISNUMBER(MATCH(T1742,Parameter!$I$27:$I$29,0))),1,0)</f>
        <v>0</v>
      </c>
      <c r="CB1742" s="53" t="n">
        <f aca="false">IF(CQ1742&gt;0,INDEX(Parameter!$H$5:$H$7,W1742)/INDEX(Parameter!$E$5:$E$7,W1742),IF(AND(BZ1742=0,N(IFERROR(VLOOKUP(BX1742,'Gebinde-Kategorie'!$A$5:$N$45,14,0),0))&gt;0),VLOOKUP(BX1742,'Gebinde-Kategorie'!$A$5:$N$45,14,0)*10+Parameter!$M$23,Parameter!$M$24))</f>
        <v>155</v>
      </c>
      <c r="CC1742" s="48" t="str">
        <f aca="false">IF(AND(Parameter!$B$19="Ja",E1742&lt;&gt;"",ISNUMBER(MATCH(E1742,Parameter!$I$35:$I$52,0))),VLOOKUP(E1742,Parameter!$I$35:$J$52,2,0),IFERROR(VLOOKUP(D1742,Parameter!$A$35:$C$64,2,0),"Nein"))</f>
        <v>2+3</v>
      </c>
      <c r="CD1742" s="52" t="n">
        <f aca="false">IF(BZ1742=0,0,IF(N(S1742)&gt;0,S1742,IFERROR(VLOOKUP(D1742,Parameter!$A$35:$C$64,3,0)+0,0)))</f>
        <v>0</v>
      </c>
      <c r="CE1742" s="48" t="n">
        <f aca="false">IF(AA1742&lt;&gt;"",AA1742,Z1742)</f>
        <v>3</v>
      </c>
      <c r="CF1742" s="48" t="str">
        <f aca="false">IF(OR(CE1742=1,CE1742=2,CE1742=3),IF(Parameter!$E$27="Ja","LIFT",IF(CE1742=1,"L1","L23")),IF(CE1742="Aussen","Aussen","-"))</f>
        <v>LIFT</v>
      </c>
      <c r="CG1742" s="59" t="n">
        <f aca="false">IF(N(AB1742)&gt;0,AB1742,0)</f>
        <v>0</v>
      </c>
      <c r="CH1742" s="53" t="n">
        <f aca="false">IF(ISNUMBER(AE1742),1,0)</f>
        <v>0</v>
      </c>
      <c r="CI1742" s="50" t="n">
        <f aca="false">N(AE1742)</f>
        <v>0</v>
      </c>
      <c r="CJ1742" s="50" t="n">
        <f aca="false">N(M1742)+N(N1742)</f>
        <v>3</v>
      </c>
      <c r="CK1742" s="50" t="n">
        <f aca="false">N(M1742)</f>
        <v>0</v>
      </c>
      <c r="CL1742" s="50" t="n">
        <f aca="false">N(N1742)</f>
        <v>3</v>
      </c>
      <c r="CM1742" s="50" t="n">
        <f aca="false">ROUNDUP(H1742/BY1742,0)</f>
        <v>2</v>
      </c>
      <c r="CN1742" s="50" t="n">
        <f aca="false">ROUNDUP(CI1742/BY1742,0)</f>
        <v>0</v>
      </c>
      <c r="CO1742" s="53" t="n">
        <f aca="false">IF(BZ1742=1,0,IFERROR(VLOOKUP(BX1742,'Gebinde-Kategorie'!$A$5:$N$45,5,0)+0,0))</f>
        <v>8</v>
      </c>
      <c r="CP1742" s="53" t="n">
        <f aca="false">IFERROR(IF(OR(CE1742=1,CE1742=2,CE1742=3),N(INDEX(Parameter!$I$5:$I$7,CE1742)),0),0)</f>
        <v>0</v>
      </c>
      <c r="CQ1742" s="52" t="n">
        <f aca="false">IF(AND(Parameter!$B$21="Ja",ISNUMBER(W1742),N(X1742)&gt;0),IFERROR(N(INDEX(Parameter!$L$5:$L$7,W1742))*INDEX(Parameter!$E$5:$E$7,W1742)*X1742/SUMIFS($X$7:$X$1843,$W$7:$W$1843,W1742),0),0)</f>
        <v>0</v>
      </c>
    </row>
    <row r="1743" customFormat="false" ht="15" hidden="false" customHeight="false" outlineLevel="0" collapsed="false">
      <c r="A1743" s="48" t="s">
        <v>3022</v>
      </c>
      <c r="B1743" s="48" t="s">
        <v>2433</v>
      </c>
      <c r="C1743" s="48" t="s">
        <v>173</v>
      </c>
      <c r="D1743" s="48" t="s">
        <v>182</v>
      </c>
      <c r="E1743" s="48"/>
      <c r="F1743" s="48"/>
      <c r="G1743" s="49" t="n">
        <v>513.5</v>
      </c>
      <c r="H1743" s="50" t="n">
        <f aca="false">MAX(0,IF(AND(Parameter!$B$21="Ja",ISNUMBER(Y1743)),Y1743,IF(Parameter!$B$20="Jahresanfang 2025 + Export",BR1743+BQ1743,BQ1743)))</f>
        <v>2</v>
      </c>
      <c r="I1743" s="50" t="n">
        <f aca="false">H1743*G1743</f>
        <v>1027</v>
      </c>
      <c r="J1743" s="50" t="n">
        <f aca="false">BT1743*Parameter!$B$18</f>
        <v>0</v>
      </c>
      <c r="K1743" s="51"/>
      <c r="L1743" s="52"/>
      <c r="M1743" s="50" t="n">
        <v>1</v>
      </c>
      <c r="N1743" s="50" t="n">
        <v>1</v>
      </c>
      <c r="O1743" s="53" t="n">
        <v>42</v>
      </c>
      <c r="P1743" s="48" t="s">
        <v>177</v>
      </c>
      <c r="Q1743" s="50"/>
      <c r="R1743" s="53" t="n">
        <f aca="false">IF(BZ1743=1,0,IFERROR(VLOOKUP(BX1743,'Gebinde-Kategorie'!$A$5:$N$45,13,0)+0,0))</f>
        <v>0</v>
      </c>
      <c r="S1743" s="54"/>
      <c r="T1743" s="55"/>
      <c r="U1743" s="55"/>
      <c r="V1743" s="55"/>
      <c r="W1743" s="48" t="n">
        <v>1</v>
      </c>
      <c r="X1743" s="50" t="n">
        <v>2</v>
      </c>
      <c r="Y1743" s="50" t="n">
        <v>2</v>
      </c>
      <c r="Z1743" s="48" t="n">
        <f aca="false">IF(A1743="","",IF(AND(Parameter!$B$21="Ja",ISNUMBER(W1743)),W1743,IF(CC1743="2+3",IF(ISNUMBER(SEARCH("grosser Artikel",BU1743)),2,IFERROR(VLOOKUP(BX1743,Parameter!$F$35:$G$64,2,0),2)),IF(OR(CC1743="Nein",CC1743=""),"-",CC1743))))</f>
        <v>1</v>
      </c>
      <c r="AA1743" s="55"/>
      <c r="AB1743" s="56"/>
      <c r="AC1743" s="50" t="n">
        <f aca="false">AV1743</f>
        <v>2</v>
      </c>
      <c r="AD1743" s="50" t="n">
        <f aca="false">MAX(AV1743,H1743)</f>
        <v>2</v>
      </c>
      <c r="AE1743" s="57"/>
      <c r="AF1743" s="50" t="n">
        <f aca="false">IF(LEFT(Cockpit!$C$5,1)="A",H1743,IF(Parameter!$E$30="MAX-Bestand",IF(CH1743=1,CI1743,IF(LEFT(Cockpit!$C$5,1)="B",AL1743,MAX(AL1743,H1743))),ROUNDUP(AJ1743,0)))</f>
        <v>2</v>
      </c>
      <c r="AG1743" s="50" t="n">
        <f aca="false">IF(BZ1743=1,0,ROUNDUP(AF1743/BY1743,0))</f>
        <v>0</v>
      </c>
      <c r="AH1743" s="52" t="n">
        <f aca="false">IF(CQ1743&gt;0,CQ1743*MAX(1,AF1743/X1743),IF(BZ1743=1,IF(AF1743&lt;=0,0,CD1743*MAX(1,IF(H1743&gt;0,AF1743/H1743,1))),IF(R1743&gt;0,AG1743/R1743,0))/MAX(0.1,N(Parameter!$M$21)))</f>
        <v>0.160075329566855</v>
      </c>
      <c r="AI1743" s="50" t="n">
        <f aca="false">AH1743*CB1743</f>
        <v>38.0979284369115</v>
      </c>
      <c r="AJ1743" s="51" t="n">
        <f aca="false">IF(LEFT(Cockpit!$C$5,1)="A",H1743,IF(CH1743=1,(CK1743+CI1743)/2,IF(LEFT(Cockpit!$C$5,1)="B",(CK1743+AL1743)/2,MAX((CK1743+AL1743)/2,H1743))))</f>
        <v>2</v>
      </c>
      <c r="AK1743" s="50" t="n">
        <f aca="false">AJ1743*G1743</f>
        <v>1027</v>
      </c>
      <c r="AL1743" s="50" t="n">
        <f aca="false">ROUNDUP(CK1743+MAX(CL1743,2*(J1743/IF(CG1743&gt;0,CG1743,MAX(0.1,N(Cockpit!$C$6)))-CK1743)),0)</f>
        <v>2</v>
      </c>
      <c r="AM1743" s="51" t="n">
        <f aca="false">IF(AI1743&gt;0,J1743/AI1743,-1)</f>
        <v>0</v>
      </c>
      <c r="AN1743" s="51" t="n">
        <f aca="false">IF(AND(OR(CF1743="L1",CF1743="L23",CF1743="LIFT"),AI1743&gt;0),SUMIFS($AI$7:$AI$1843,$CF$7:$CF$1843,CF1743,$AM$7:$AM$1843,"&gt;"&amp;AM1743)+SUMIFS($AI$7:$AI$1843,$CF$7:$CF$1843,CF1743,$AM$7:$AM$1843,AM1743,$BW$7:$BW$1843,"&lt;="&amp;BW1743),"")</f>
        <v>32897.858974359</v>
      </c>
      <c r="AO1743" s="58" t="n">
        <f aca="false">IF(AN1743="",0,MAX(0,MIN(1,(IF(CF1743="L1",Parameter!$H$5,IF(CF1743="L23",Parameter!$H$6+Parameter!$H$7,Parameter!$H$5+Parameter!$H$6+Parameter!$H$7))-(AN1743-AI1743))/AI1743)))</f>
        <v>1</v>
      </c>
      <c r="AP1743" s="50" t="n">
        <f aca="false">IF(LEFT(Cockpit!$I$5,1)="A",H1743,IF(Parameter!$E$30="MAX-Bestand",IF(CH1743=1,CI1743,IF(LEFT(Cockpit!$I$5,1)="B",AV1743,MAX(AV1743,H1743))),ROUNDUP(AT1743,0)))</f>
        <v>2</v>
      </c>
      <c r="AQ1743" s="50" t="n">
        <f aca="false">IF(BZ1743=1,0,ROUNDUP(AP1743/BY1743,0))</f>
        <v>0</v>
      </c>
      <c r="AR1743" s="52" t="n">
        <f aca="false">IF(CQ1743&gt;0,CQ1743*MAX(1,AP1743/X1743),IF(BZ1743=1,IF(AP1743&lt;=0,0,CD1743*MAX(1,IF(H1743&gt;0,AP1743/H1743,1))),IF(R1743&gt;0,AQ1743/R1743,0))/MAX(0.1,N(Parameter!$M$21)))</f>
        <v>0.160075329566855</v>
      </c>
      <c r="AS1743" s="50" t="n">
        <f aca="false">AR1743*CB1743</f>
        <v>38.0979284369115</v>
      </c>
      <c r="AT1743" s="51" t="n">
        <f aca="false">IF(LEFT(Cockpit!$I$5,1)="A",H1743,IF(CH1743=1,(CK1743+CI1743)/2,IF(LEFT(Cockpit!$I$5,1)="B",(CK1743+AV1743)/2,MAX((CK1743+AV1743)/2,H1743))))</f>
        <v>2</v>
      </c>
      <c r="AU1743" s="50" t="n">
        <f aca="false">AT1743*G1743</f>
        <v>1027</v>
      </c>
      <c r="AV1743" s="50" t="n">
        <f aca="false">ROUNDUP(CK1743+MAX(CL1743,2*(J1743/IF(CG1743&gt;0,CG1743,MAX(0.1,N(Cockpit!$I$6)))-CK1743)),0)</f>
        <v>2</v>
      </c>
      <c r="AW1743" s="51" t="n">
        <f aca="false">IF(AS1743&gt;0,J1743/AS1743,-1)</f>
        <v>0</v>
      </c>
      <c r="AX1743" s="51" t="n">
        <f aca="false">IF(AND(OR(CF1743="L1",CF1743="L23",CF1743="LIFT"),AS1743&gt;0),SUMIFS($AS$7:$AS$1843,$CF$7:$CF$1843,CF1743,$AW$7:$AW$1843,"&gt;"&amp;AW1743)+SUMIFS($AS$7:$AS$1843,$CF$7:$CF$1843,CF1743,$AW$7:$AW$1843,AW1743,$BW$7:$BW$1843,"&lt;="&amp;BW1743),"")</f>
        <v>39371.7679192277</v>
      </c>
      <c r="AY1743" s="58" t="n">
        <f aca="false">IF(AX1743="",0,MAX(0,MIN(1,(IF(CF1743="L1",Parameter!$H$5,IF(CF1743="L23",Parameter!$H$6+Parameter!$H$7,Parameter!$H$5+Parameter!$H$6+Parameter!$H$7))-(AX1743-AS1743))/AS1743)))</f>
        <v>0</v>
      </c>
      <c r="AZ1743" s="50" t="n">
        <f aca="false">IF(LEFT(Cockpit!$O$5,1)="A",H1743,IF(Parameter!$E$30="MAX-Bestand",IF(CH1743=1,CI1743,IF(LEFT(Cockpit!$O$5,1)="B",BF1743,MAX(BF1743,H1743))),ROUNDUP(BD1743,0)))</f>
        <v>2</v>
      </c>
      <c r="BA1743" s="50" t="n">
        <f aca="false">IF(BZ1743=1,0,ROUNDUP(AZ1743/BY1743,0))</f>
        <v>0</v>
      </c>
      <c r="BB1743" s="52" t="n">
        <f aca="false">IF(CQ1743&gt;0,CQ1743*MAX(1,AZ1743/X1743),IF(BZ1743=1,IF(AZ1743&lt;=0,0,CD1743*MAX(1,IF(H1743&gt;0,AZ1743/H1743,1))),IF(R1743&gt;0,BA1743/R1743,0))/MAX(0.1,N(Parameter!$M$21)))</f>
        <v>0.160075329566855</v>
      </c>
      <c r="BC1743" s="50" t="n">
        <f aca="false">BB1743*CB1743</f>
        <v>38.0979284369115</v>
      </c>
      <c r="BD1743" s="51" t="n">
        <f aca="false">IF(LEFT(Cockpit!$O$5,1)="A",H1743,IF(CH1743=1,(CK1743+CI1743)/2,IF(LEFT(Cockpit!$O$5,1)="B",(CK1743+BF1743)/2,MAX((CK1743+BF1743)/2,H1743))))</f>
        <v>1.5</v>
      </c>
      <c r="BE1743" s="50" t="n">
        <f aca="false">BD1743*G1743</f>
        <v>770.25</v>
      </c>
      <c r="BF1743" s="50" t="n">
        <f aca="false">ROUNDUP(CK1743+MAX(CL1743,2*(J1743/IF(CG1743&gt;0,CG1743,MAX(0.1,N(Cockpit!$O$6)))-CK1743)),0)</f>
        <v>2</v>
      </c>
      <c r="BG1743" s="51" t="n">
        <f aca="false">IF(BC1743&gt;0,J1743/BC1743,-1)</f>
        <v>0</v>
      </c>
      <c r="BH1743" s="51" t="n">
        <f aca="false">IF(AND(OR(CF1743="L1",CF1743="L23",CF1743="LIFT"),BC1743&gt;0),SUMIFS($BC$7:$BC$1843,$CF$7:$CF$1843,CF1743,$BG$7:$BG$1843,"&gt;"&amp;BG1743)+SUMIFS($BC$7:$BC$1843,$CF$7:$CF$1843,CF1743,$BG$7:$BG$1843,BG1743,$BW$7:$BW$1843,"&lt;="&amp;BW1743),"")</f>
        <v>32598.2389566648</v>
      </c>
      <c r="BI1743" s="58" t="n">
        <f aca="false">IF(BH1743="",0,MAX(0,MIN(1,(IF(CF1743="L1",Parameter!$H$5,IF(CF1743="L23",Parameter!$H$6+Parameter!$H$7,Parameter!$H$5+Parameter!$H$6+Parameter!$H$7))-(BH1743-BC1743))/BC1743)))</f>
        <v>1</v>
      </c>
      <c r="BJ1743" s="48" t="str">
        <f aca="false">IF(AI1743&lt;=0,"",IF(CF1743="Aussen","Aussenlager",IF(CF1743="-","Nicht im Lift",IF(AO1743&gt;=1,"Lift",IF(AO1743&lt;=0,"Aussenlager","teilweise")))))</f>
        <v>Lift</v>
      </c>
      <c r="BK1743" s="48" t="str">
        <f aca="false">IF(AS1743&lt;=0,"",IF(CF1743="Aussen","Aussenlager",IF(CF1743="-","Nicht im Lift",IF(AY1743&gt;=1,"Lift",IF(AY1743&lt;=0,"Aussenlager","teilweise")))))</f>
        <v>Aussenlager</v>
      </c>
      <c r="BL1743" s="48" t="str">
        <f aca="false">IF(BC1743&lt;=0,"",IF(CF1743="Aussen","Aussenlager",IF(CF1743="-","Nicht im Lift",IF(BI1743&gt;=1,"Lift",IF(BI1743&lt;=0,"Aussenlager","teilweise")))))</f>
        <v>Lift</v>
      </c>
      <c r="BM1743" s="48" t="str">
        <f aca="false">IF(A1743="","",IF(BV1743=1,"Neu; ","")&amp;IF(AND(BV1743=0,BQ1743&lt;0),"negativer Bestand (Export "&amp;BQ1743&amp;"); ","")&amp;IF(J1743&lt;=0,"Kein Verbrauch; ","")&amp;IF(CQ1743&gt;0,"Lift "&amp;W1743&amp;" lt. Liftbericht (Fach "&amp;X1743&amp;" Stk); ",IF(CA1743=1,"Gebinde geschätzt ("&amp;T1743&amp;"); ",IF(BZ1743=1,"Lose – Tablare geschätzt; ","")))&amp;IF(H1743&gt;AV1743,"Überbestand "&amp;ROUND(H1743-AV1743,0)&amp;" Stk / CHF "&amp;ROUND((H1743-AV1743)*G1743,0)&amp;"; ","")&amp;IF(AND(CH1743=1,CI1743&lt;CJ1743),"MAX &lt; MB+LG; ","")&amp;IF(AND(CP1743&gt;0,CO1743*10&gt;CP1743),"zu hoch für Tablar; ","")&amp;IF(AND(BV1743=0,OR(CH1743=1,AA1743&lt;&gt;"",U1743&lt;&gt;"",V1743&lt;&gt;"",AB1743&lt;&gt;"")),"manuell übersteuert; ","")&amp;IF(AND(BZ1743=0,R1743=0),"Gebinde unbekannt / Stellmass fehlt; ","")&amp;IF(AND(BZ1743=0,N(V1743)&lt;=0,N(Q1743)&lt;=0),"Menge pro Gebinde fehlt (Ist = 1 Gebinde); ","")&amp;BU1743)</f>
        <v>Kein Verbrauch; Lift 1 lt. Liftbericht (Fach 2 Stk); nur im Liftbericht (nicht im Kennzahlen-Auszug)</v>
      </c>
      <c r="BN1743" s="48"/>
      <c r="BO1743" s="48"/>
      <c r="BP1743" s="55"/>
      <c r="BQ1743" s="50" t="n">
        <v>2</v>
      </c>
      <c r="BR1743" s="50" t="n">
        <v>0</v>
      </c>
      <c r="BS1743" s="49" t="n">
        <v>0</v>
      </c>
      <c r="BT1743" s="50" t="n">
        <v>0</v>
      </c>
      <c r="BU1743" s="48" t="s">
        <v>3023</v>
      </c>
      <c r="BV1743" s="53" t="n">
        <v>0</v>
      </c>
      <c r="BW1743" s="53" t="n">
        <v>1743</v>
      </c>
      <c r="BX1743" s="48" t="str">
        <f aca="false">IF(U1743&lt;&gt;"",UPPER(TRIM(U1743)),IF(CA1743=1,UPPER(VLOOKUP(T1743,Parameter!$I$27:$K$29,2,0)),IF(P1743="","LOSE",P1743)))</f>
        <v>LOSE</v>
      </c>
      <c r="BY1743" s="50" t="n">
        <f aca="false">IF(BX1743="LOSE",1,IF(N(V1743)&gt;0,V1743,IF(CA1743=1,MAX(1,N(VLOOKUP(T1743,Parameter!$I$27:$K$29,3,0)),H1743,N(N1743)),IF(N(Q1743)&gt;0,Q1743,MAX(1,H1743)))))</f>
        <v>1</v>
      </c>
      <c r="BZ1743" s="53" t="n">
        <f aca="false">IF(BX1743="LOSE",1,0)</f>
        <v>1</v>
      </c>
      <c r="CA1743" s="53" t="n">
        <f aca="false">IF(AND(U1743="",OR(P1743="",P1743="LOSE"),T1743&lt;&gt;"",N(S1743)&lt;=0,ISNUMBER(MATCH(T1743,Parameter!$I$27:$I$29,0))),1,0)</f>
        <v>0</v>
      </c>
      <c r="CB1743" s="53" t="n">
        <f aca="false">IF(CQ1743&gt;0,INDEX(Parameter!$H$5:$H$7,W1743)/INDEX(Parameter!$E$5:$E$7,W1743),IF(AND(BZ1743=0,N(IFERROR(VLOOKUP(BX1743,'Gebinde-Kategorie'!$A$5:$N$45,14,0),0))&gt;0),VLOOKUP(BX1743,'Gebinde-Kategorie'!$A$5:$N$45,14,0)*10+Parameter!$M$23,Parameter!$M$24))</f>
        <v>238</v>
      </c>
      <c r="CC1743" s="48" t="str">
        <f aca="false">IF(AND(Parameter!$B$19="Ja",E1743&lt;&gt;"",ISNUMBER(MATCH(E1743,Parameter!$I$35:$I$52,0))),VLOOKUP(E1743,Parameter!$I$35:$J$52,2,0),IFERROR(VLOOKUP(D1743,Parameter!$A$35:$C$64,2,0),"Nein"))</f>
        <v>2+3</v>
      </c>
      <c r="CD1743" s="52" t="n">
        <f aca="false">IF(BZ1743=0,0,IF(N(S1743)&gt;0,S1743,IFERROR(VLOOKUP(D1743,Parameter!$A$35:$C$64,3,0)+0,0)))</f>
        <v>0.15</v>
      </c>
      <c r="CE1743" s="48" t="n">
        <f aca="false">IF(AA1743&lt;&gt;"",AA1743,Z1743)</f>
        <v>1</v>
      </c>
      <c r="CF1743" s="48" t="str">
        <f aca="false">IF(OR(CE1743=1,CE1743=2,CE1743=3),IF(Parameter!$E$27="Ja","LIFT",IF(CE1743=1,"L1","L23")),IF(CE1743="Aussen","Aussen","-"))</f>
        <v>LIFT</v>
      </c>
      <c r="CG1743" s="59" t="n">
        <f aca="false">IF(N(AB1743)&gt;0,AB1743,0)</f>
        <v>0</v>
      </c>
      <c r="CH1743" s="53" t="n">
        <f aca="false">IF(ISNUMBER(AE1743),1,0)</f>
        <v>0</v>
      </c>
      <c r="CI1743" s="50" t="n">
        <f aca="false">N(AE1743)</f>
        <v>0</v>
      </c>
      <c r="CJ1743" s="50" t="n">
        <f aca="false">N(M1743)+N(N1743)</f>
        <v>2</v>
      </c>
      <c r="CK1743" s="50" t="n">
        <f aca="false">N(M1743)</f>
        <v>1</v>
      </c>
      <c r="CL1743" s="50" t="n">
        <f aca="false">N(N1743)</f>
        <v>1</v>
      </c>
      <c r="CM1743" s="50" t="n">
        <f aca="false">ROUNDUP(H1743/BY1743,0)</f>
        <v>2</v>
      </c>
      <c r="CN1743" s="50" t="n">
        <f aca="false">ROUNDUP(CI1743/BY1743,0)</f>
        <v>0</v>
      </c>
      <c r="CO1743" s="53" t="n">
        <f aca="false">IF(BZ1743=1,0,IFERROR(VLOOKUP(BX1743,'Gebinde-Kategorie'!$A$5:$N$45,5,0)+0,0))</f>
        <v>0</v>
      </c>
      <c r="CP1743" s="53" t="n">
        <f aca="false">IFERROR(IF(OR(CE1743=1,CE1743=2,CE1743=3),N(INDEX(Parameter!$I$5:$I$7,CE1743)),0),0)</f>
        <v>0</v>
      </c>
      <c r="CQ1743" s="52" t="n">
        <f aca="false">IF(AND(Parameter!$B$21="Ja",ISNUMBER(W1743),N(X1743)&gt;0),IFERROR(N(INDEX(Parameter!$L$5:$L$7,W1743))*INDEX(Parameter!$E$5:$E$7,W1743)*X1743/SUMIFS($X$7:$X$1843,$W$7:$W$1843,W1743),0),0)</f>
        <v>0.160075329566855</v>
      </c>
    </row>
    <row r="1744" customFormat="false" ht="15" hidden="false" customHeight="false" outlineLevel="0" collapsed="false">
      <c r="A1744" s="48" t="str">
        <f aca="false">IF('Neue Artikel'!$A$5="","",'Neue Artikel'!$A$5&amp;"")</f>
        <v/>
      </c>
      <c r="B1744" s="48" t="str">
        <f aca="false">'Neue Artikel'!$B$5&amp;""</f>
        <v/>
      </c>
      <c r="C1744" s="48"/>
      <c r="D1744" s="48" t="s">
        <v>3024</v>
      </c>
      <c r="E1744" s="48"/>
      <c r="F1744" s="48"/>
      <c r="G1744" s="49" t="n">
        <f aca="false">N('Neue Artikel'!$G$5)</f>
        <v>0</v>
      </c>
      <c r="H1744" s="50" t="n">
        <f aca="false">MAX(0,IF(AND(Parameter!$B$21="Ja",ISNUMBER(Y1744)),Y1744,IF(Parameter!$B$20="Jahresanfang 2025 + Export",BR1744+BQ1744,BQ1744)))</f>
        <v>0</v>
      </c>
      <c r="I1744" s="50" t="n">
        <f aca="false">H1744*G1744</f>
        <v>0</v>
      </c>
      <c r="J1744" s="50" t="n">
        <f aca="false">BT1744*Parameter!$B$18</f>
        <v>0</v>
      </c>
      <c r="K1744" s="51"/>
      <c r="L1744" s="52"/>
      <c r="M1744" s="50" t="n">
        <f aca="false">N('Neue Artikel'!$E$5)</f>
        <v>0</v>
      </c>
      <c r="N1744" s="50" t="n">
        <f aca="false">N('Neue Artikel'!$F$5)</f>
        <v>0</v>
      </c>
      <c r="O1744" s="53"/>
      <c r="P1744" s="48" t="str">
        <f aca="false">IF('Neue Artikel'!$H$5="","LOSE",UPPER(TRIM('Neue Artikel'!$H$5)))</f>
        <v>LOSE</v>
      </c>
      <c r="Q1744" s="50" t="n">
        <f aca="false">N('Neue Artikel'!$I$5)</f>
        <v>0</v>
      </c>
      <c r="R1744" s="53" t="n">
        <f aca="false">IF(BZ1744=1,0,IFERROR(VLOOKUP(BX1744,'Gebinde-Kategorie'!$A$5:$N$45,13,0)+0,0))</f>
        <v>0</v>
      </c>
      <c r="S1744" s="54"/>
      <c r="T1744" s="55"/>
      <c r="U1744" s="55"/>
      <c r="V1744" s="55"/>
      <c r="W1744" s="48"/>
      <c r="X1744" s="50"/>
      <c r="Y1744" s="50"/>
      <c r="Z1744" s="48" t="str">
        <f aca="false">IF(A1744="","",IF(AND(Parameter!$B$21="Ja",ISNUMBER(W1744)),W1744,IF(CC1744="2+3",IF(ISNUMBER(SEARCH("grosser Artikel",BU1744)),2,IFERROR(VLOOKUP(BX1744,Parameter!$F$35:$G$64,2,0),2)),IF(OR(CC1744="Nein",CC1744=""),"-",CC1744))))</f>
        <v/>
      </c>
      <c r="AA1744" s="48" t="str">
        <f aca="false">IF('Neue Artikel'!$J$5="","",'Neue Artikel'!$J$5)</f>
        <v/>
      </c>
      <c r="AB1744" s="56"/>
      <c r="AC1744" s="50" t="n">
        <f aca="false">AV1744</f>
        <v>0</v>
      </c>
      <c r="AD1744" s="50" t="n">
        <f aca="false">MAX(AV1744,H1744)</f>
        <v>0</v>
      </c>
      <c r="AE1744" s="57"/>
      <c r="AF1744" s="50" t="n">
        <f aca="false">IF(LEFT(Cockpit!$C$5,1)="A",H1744,IF(Parameter!$E$30="MAX-Bestand",IF(CH1744=1,CI1744,IF(LEFT(Cockpit!$C$5,1)="B",AL1744,MAX(AL1744,H1744))),ROUNDUP(AJ1744,0)))</f>
        <v>0</v>
      </c>
      <c r="AG1744" s="50" t="n">
        <f aca="false">IF(BZ1744=1,0,ROUNDUP(AF1744/BY1744,0))</f>
        <v>0</v>
      </c>
      <c r="AH1744" s="52" t="n">
        <f aca="false">IF(CQ1744&gt;0,CQ1744*MAX(1,AF1744/X1744),IF(BZ1744=1,IF(AF1744&lt;=0,0,CD1744*MAX(1,IF(H1744&gt;0,AF1744/H1744,1))),IF(R1744&gt;0,AG1744/R1744,0))/MAX(0.1,N(Parameter!$M$21)))</f>
        <v>0</v>
      </c>
      <c r="AI1744" s="50" t="n">
        <f aca="false">AH1744*CB1744</f>
        <v>0</v>
      </c>
      <c r="AJ1744" s="51" t="n">
        <f aca="false">IF(LEFT(Cockpit!$C$5,1)="A",H1744,IF(CH1744=1,(CK1744+CI1744)/2,IF(LEFT(Cockpit!$C$5,1)="B",(CK1744+AL1744)/2,MAX((CK1744+AL1744)/2,H1744))))</f>
        <v>0</v>
      </c>
      <c r="AK1744" s="50" t="n">
        <f aca="false">AJ1744*G1744</f>
        <v>0</v>
      </c>
      <c r="AL1744" s="50" t="n">
        <f aca="false">ROUNDUP(CK1744+MAX(CL1744,2*(J1744/IF(CG1744&gt;0,CG1744,MAX(0.1,N(Cockpit!$C$6)))-CK1744)),0)</f>
        <v>0</v>
      </c>
      <c r="AM1744" s="51" t="n">
        <f aca="false">IF(AI1744&gt;0,J1744/AI1744,-1)</f>
        <v>-1</v>
      </c>
      <c r="AN1744" s="51" t="str">
        <f aca="false">IF(AND(OR(CF1744="L1",CF1744="L23",CF1744="LIFT"),AI1744&gt;0),SUMIFS($AI$7:$AI$1843,$CF$7:$CF$1843,CF1744,$AM$7:$AM$1843,"&gt;"&amp;AM1744)+SUMIFS($AI$7:$AI$1843,$CF$7:$CF$1843,CF1744,$AM$7:$AM$1843,AM1744,$BW$7:$BW$1843,"&lt;="&amp;BW1744),"")</f>
        <v/>
      </c>
      <c r="AO1744" s="58" t="n">
        <f aca="false">IF(AN1744="",0,MAX(0,MIN(1,(IF(CF1744="L1",Parameter!$H$5,IF(CF1744="L23",Parameter!$H$6+Parameter!$H$7,Parameter!$H$5+Parameter!$H$6+Parameter!$H$7))-(AN1744-AI1744))/AI1744)))</f>
        <v>0</v>
      </c>
      <c r="AP1744" s="50" t="n">
        <f aca="false">IF(LEFT(Cockpit!$I$5,1)="A",H1744,IF(Parameter!$E$30="MAX-Bestand",IF(CH1744=1,CI1744,IF(LEFT(Cockpit!$I$5,1)="B",AV1744,MAX(AV1744,H1744))),ROUNDUP(AT1744,0)))</f>
        <v>0</v>
      </c>
      <c r="AQ1744" s="50" t="n">
        <f aca="false">IF(BZ1744=1,0,ROUNDUP(AP1744/BY1744,0))</f>
        <v>0</v>
      </c>
      <c r="AR1744" s="52" t="n">
        <f aca="false">IF(CQ1744&gt;0,CQ1744*MAX(1,AP1744/X1744),IF(BZ1744=1,IF(AP1744&lt;=0,0,CD1744*MAX(1,IF(H1744&gt;0,AP1744/H1744,1))),IF(R1744&gt;0,AQ1744/R1744,0))/MAX(0.1,N(Parameter!$M$21)))</f>
        <v>0</v>
      </c>
      <c r="AS1744" s="50" t="n">
        <f aca="false">AR1744*CB1744</f>
        <v>0</v>
      </c>
      <c r="AT1744" s="51" t="n">
        <f aca="false">IF(LEFT(Cockpit!$I$5,1)="A",H1744,IF(CH1744=1,(CK1744+CI1744)/2,IF(LEFT(Cockpit!$I$5,1)="B",(CK1744+AV1744)/2,MAX((CK1744+AV1744)/2,H1744))))</f>
        <v>0</v>
      </c>
      <c r="AU1744" s="50" t="n">
        <f aca="false">AT1744*G1744</f>
        <v>0</v>
      </c>
      <c r="AV1744" s="50" t="n">
        <f aca="false">ROUNDUP(CK1744+MAX(CL1744,2*(J1744/IF(CG1744&gt;0,CG1744,MAX(0.1,N(Cockpit!$I$6)))-CK1744)),0)</f>
        <v>0</v>
      </c>
      <c r="AW1744" s="51" t="n">
        <f aca="false">IF(AS1744&gt;0,J1744/AS1744,-1)</f>
        <v>-1</v>
      </c>
      <c r="AX1744" s="51" t="str">
        <f aca="false">IF(AND(OR(CF1744="L1",CF1744="L23",CF1744="LIFT"),AS1744&gt;0),SUMIFS($AS$7:$AS$1843,$CF$7:$CF$1843,CF1744,$AW$7:$AW$1843,"&gt;"&amp;AW1744)+SUMIFS($AS$7:$AS$1843,$CF$7:$CF$1843,CF1744,$AW$7:$AW$1843,AW1744,$BW$7:$BW$1843,"&lt;="&amp;BW1744),"")</f>
        <v/>
      </c>
      <c r="AY1744" s="58" t="n">
        <f aca="false">IF(AX1744="",0,MAX(0,MIN(1,(IF(CF1744="L1",Parameter!$H$5,IF(CF1744="L23",Parameter!$H$6+Parameter!$H$7,Parameter!$H$5+Parameter!$H$6+Parameter!$H$7))-(AX1744-AS1744))/AS1744)))</f>
        <v>0</v>
      </c>
      <c r="AZ1744" s="50" t="n">
        <f aca="false">IF(LEFT(Cockpit!$O$5,1)="A",H1744,IF(Parameter!$E$30="MAX-Bestand",IF(CH1744=1,CI1744,IF(LEFT(Cockpit!$O$5,1)="B",BF1744,MAX(BF1744,H1744))),ROUNDUP(BD1744,0)))</f>
        <v>0</v>
      </c>
      <c r="BA1744" s="50" t="n">
        <f aca="false">IF(BZ1744=1,0,ROUNDUP(AZ1744/BY1744,0))</f>
        <v>0</v>
      </c>
      <c r="BB1744" s="52" t="n">
        <f aca="false">IF(CQ1744&gt;0,CQ1744*MAX(1,AZ1744/X1744),IF(BZ1744=1,IF(AZ1744&lt;=0,0,CD1744*MAX(1,IF(H1744&gt;0,AZ1744/H1744,1))),IF(R1744&gt;0,BA1744/R1744,0))/MAX(0.1,N(Parameter!$M$21)))</f>
        <v>0</v>
      </c>
      <c r="BC1744" s="50" t="n">
        <f aca="false">BB1744*CB1744</f>
        <v>0</v>
      </c>
      <c r="BD1744" s="51" t="n">
        <f aca="false">IF(LEFT(Cockpit!$O$5,1)="A",H1744,IF(CH1744=1,(CK1744+CI1744)/2,IF(LEFT(Cockpit!$O$5,1)="B",(CK1744+BF1744)/2,MAX((CK1744+BF1744)/2,H1744))))</f>
        <v>0</v>
      </c>
      <c r="BE1744" s="50" t="n">
        <f aca="false">BD1744*G1744</f>
        <v>0</v>
      </c>
      <c r="BF1744" s="50" t="n">
        <f aca="false">ROUNDUP(CK1744+MAX(CL1744,2*(J1744/IF(CG1744&gt;0,CG1744,MAX(0.1,N(Cockpit!$O$6)))-CK1744)),0)</f>
        <v>0</v>
      </c>
      <c r="BG1744" s="51" t="n">
        <f aca="false">IF(BC1744&gt;0,J1744/BC1744,-1)</f>
        <v>-1</v>
      </c>
      <c r="BH1744" s="51" t="str">
        <f aca="false">IF(AND(OR(CF1744="L1",CF1744="L23",CF1744="LIFT"),BC1744&gt;0),SUMIFS($BC$7:$BC$1843,$CF$7:$CF$1843,CF1744,$BG$7:$BG$1843,"&gt;"&amp;BG1744)+SUMIFS($BC$7:$BC$1843,$CF$7:$CF$1843,CF1744,$BG$7:$BG$1843,BG1744,$BW$7:$BW$1843,"&lt;="&amp;BW1744),"")</f>
        <v/>
      </c>
      <c r="BI1744" s="58" t="n">
        <f aca="false">IF(BH1744="",0,MAX(0,MIN(1,(IF(CF1744="L1",Parameter!$H$5,IF(CF1744="L23",Parameter!$H$6+Parameter!$H$7,Parameter!$H$5+Parameter!$H$6+Parameter!$H$7))-(BH1744-BC1744))/BC1744)))</f>
        <v>0</v>
      </c>
      <c r="BJ1744" s="48" t="str">
        <f aca="false">IF(AI1744&lt;=0,"",IF(CF1744="Aussen","Aussenlager",IF(CF1744="-","Nicht im Lift",IF(AO1744&gt;=1,"Lift",IF(AO1744&lt;=0,"Aussenlager","teilweise")))))</f>
        <v/>
      </c>
      <c r="BK1744" s="48" t="str">
        <f aca="false">IF(AS1744&lt;=0,"",IF(CF1744="Aussen","Aussenlager",IF(CF1744="-","Nicht im Lift",IF(AY1744&gt;=1,"Lift",IF(AY1744&lt;=0,"Aussenlager","teilweise")))))</f>
        <v/>
      </c>
      <c r="BL1744" s="48" t="str">
        <f aca="false">IF(BC1744&lt;=0,"",IF(CF1744="Aussen","Aussenlager",IF(CF1744="-","Nicht im Lift",IF(BI1744&gt;=1,"Lift",IF(BI1744&lt;=0,"Aussenlager","teilweise")))))</f>
        <v/>
      </c>
      <c r="BM1744" s="48" t="str">
        <f aca="false">IF(A1744="","",IF(BV1744=1,"Neu; ","")&amp;IF(AND(BV1744=0,BQ1744&lt;0),"negativer Bestand (Export "&amp;BQ1744&amp;"); ","")&amp;IF(J1744&lt;=0,"Kein Verbrauch; ","")&amp;IF(CQ1744&gt;0,"Lift "&amp;W1744&amp;" lt. Liftbericht (Fach "&amp;X1744&amp;" Stk); ",IF(CA1744=1,"Gebinde geschätzt ("&amp;T1744&amp;"); ",IF(BZ1744=1,"Lose – Tablare geschätzt; ","")))&amp;IF(H1744&gt;AV1744,"Überbestand "&amp;ROUND(H1744-AV1744,0)&amp;" Stk / CHF "&amp;ROUND((H1744-AV1744)*G1744,0)&amp;"; ","")&amp;IF(AND(CH1744=1,CI1744&lt;CJ1744),"MAX &lt; MB+LG; ","")&amp;IF(AND(CP1744&gt;0,CO1744*10&gt;CP1744),"zu hoch für Tablar; ","")&amp;IF(AND(BV1744=0,OR(CH1744=1,AA1744&lt;&gt;"",U1744&lt;&gt;"",V1744&lt;&gt;"",AB1744&lt;&gt;"")),"manuell übersteuert; ","")&amp;IF(AND(BZ1744=0,R1744=0),"Gebinde unbekannt / Stellmass fehlt; ","")&amp;IF(AND(BZ1744=0,N(V1744)&lt;=0,N(Q1744)&lt;=0),"Menge pro Gebinde fehlt (Ist = 1 Gebinde); ","")&amp;BU1744)</f>
        <v/>
      </c>
      <c r="BN1744" s="48"/>
      <c r="BO1744" s="48"/>
      <c r="BP1744" s="55"/>
      <c r="BQ1744" s="50" t="n">
        <f aca="false">N('Neue Artikel'!$D$5)</f>
        <v>0</v>
      </c>
      <c r="BR1744" s="50" t="n">
        <v>0</v>
      </c>
      <c r="BS1744" s="49" t="n">
        <v>0</v>
      </c>
      <c r="BT1744" s="50" t="n">
        <f aca="false">N('Neue Artikel'!$C$5)/Parameter!$B$18</f>
        <v>0</v>
      </c>
      <c r="BU1744" s="48"/>
      <c r="BV1744" s="53" t="n">
        <v>1</v>
      </c>
      <c r="BW1744" s="53" t="n">
        <v>1744</v>
      </c>
      <c r="BX1744" s="48" t="str">
        <f aca="false">IF(U1744&lt;&gt;"",UPPER(TRIM(U1744)),IF(CA1744=1,UPPER(VLOOKUP(T1744,Parameter!$I$27:$K$29,2,0)),IF(P1744="","LOSE",P1744)))</f>
        <v>LOSE</v>
      </c>
      <c r="BY1744" s="50" t="n">
        <f aca="false">IF(BX1744="LOSE",1,IF(N(V1744)&gt;0,V1744,IF(CA1744=1,MAX(1,N(VLOOKUP(T1744,Parameter!$I$27:$K$29,3,0)),H1744,N(N1744)),IF(N(Q1744)&gt;0,Q1744,MAX(1,H1744)))))</f>
        <v>1</v>
      </c>
      <c r="BZ1744" s="53" t="n">
        <f aca="false">IF(BX1744="LOSE",1,0)</f>
        <v>1</v>
      </c>
      <c r="CA1744" s="53" t="n">
        <f aca="false">IF(AND(U1744="",OR(P1744="",P1744="LOSE"),T1744&lt;&gt;"",N(S1744)&lt;=0,ISNUMBER(MATCH(T1744,Parameter!$I$27:$I$29,0))),1,0)</f>
        <v>0</v>
      </c>
      <c r="CB1744" s="53" t="n">
        <f aca="false">IF(CQ1744&gt;0,INDEX(Parameter!$H$5:$H$7,W1744)/INDEX(Parameter!$E$5:$E$7,W1744),IF(AND(BZ1744=0,N(IFERROR(VLOOKUP(BX1744,'Gebinde-Kategorie'!$A$5:$N$45,14,0),0))&gt;0),VLOOKUP(BX1744,'Gebinde-Kategorie'!$A$5:$N$45,14,0)*10+Parameter!$M$23,Parameter!$M$24))</f>
        <v>235</v>
      </c>
      <c r="CC1744" s="48" t="str">
        <f aca="false">IF(AND(Parameter!$B$19="Ja",E1744&lt;&gt;"",ISNUMBER(MATCH(E1744,Parameter!$I$35:$I$52,0))),VLOOKUP(E1744,Parameter!$I$35:$J$52,2,0),IFERROR(VLOOKUP(D1744,Parameter!$A$35:$C$64,2,0),"Nein"))</f>
        <v>2+3</v>
      </c>
      <c r="CD1744" s="52" t="n">
        <f aca="false">IF(BZ1744=0,0,IF(N(S1744)&gt;0,S1744,IFERROR(VLOOKUP(D1744,Parameter!$A$35:$C$64,3,0)+0,0)))</f>
        <v>0.15</v>
      </c>
      <c r="CE1744" s="48" t="str">
        <f aca="false">IF(AA1744&lt;&gt;"",AA1744,Z1744)</f>
        <v/>
      </c>
      <c r="CF1744" s="48" t="str">
        <f aca="false">IF(OR(CE1744=1,CE1744=2,CE1744=3),IF(Parameter!$E$27="Ja","LIFT",IF(CE1744=1,"L1","L23")),IF(CE1744="Aussen","Aussen","-"))</f>
        <v>-</v>
      </c>
      <c r="CG1744" s="59" t="n">
        <f aca="false">IF(N(AB1744)&gt;0,AB1744,0)</f>
        <v>0</v>
      </c>
      <c r="CH1744" s="53" t="n">
        <f aca="false">IF(ISNUMBER(AE1744),1,0)</f>
        <v>0</v>
      </c>
      <c r="CI1744" s="50" t="n">
        <f aca="false">N(AE1744)</f>
        <v>0</v>
      </c>
      <c r="CJ1744" s="50" t="n">
        <f aca="false">N(M1744)+N(N1744)</f>
        <v>0</v>
      </c>
      <c r="CK1744" s="50" t="n">
        <f aca="false">N(M1744)</f>
        <v>0</v>
      </c>
      <c r="CL1744" s="50" t="n">
        <f aca="false">N(N1744)</f>
        <v>0</v>
      </c>
      <c r="CM1744" s="50" t="n">
        <f aca="false">ROUNDUP(H1744/BY1744,0)</f>
        <v>0</v>
      </c>
      <c r="CN1744" s="50" t="n">
        <f aca="false">ROUNDUP(CI1744/BY1744,0)</f>
        <v>0</v>
      </c>
      <c r="CO1744" s="53" t="n">
        <f aca="false">IF(BZ1744=1,0,IFERROR(VLOOKUP(BX1744,'Gebinde-Kategorie'!$A$5:$N$45,5,0)+0,0))</f>
        <v>0</v>
      </c>
      <c r="CP1744" s="53" t="n">
        <f aca="false">IFERROR(IF(OR(CE1744=1,CE1744=2,CE1744=3),N(INDEX(Parameter!$I$5:$I$7,CE1744)),0),0)</f>
        <v>0</v>
      </c>
      <c r="CQ1744" s="52" t="n">
        <f aca="false">IF(AND(Parameter!$B$21="Ja",ISNUMBER(W1744),N(X1744)&gt;0),IFERROR(N(INDEX(Parameter!$L$5:$L$7,W1744))*INDEX(Parameter!$E$5:$E$7,W1744)*X1744/SUMIFS($X$7:$X$1843,$W$7:$W$1843,W1744),0),0)</f>
        <v>0</v>
      </c>
    </row>
    <row r="1745" customFormat="false" ht="15" hidden="false" customHeight="false" outlineLevel="0" collapsed="false">
      <c r="A1745" s="48" t="str">
        <f aca="false">IF('Neue Artikel'!$A$6="","",'Neue Artikel'!$A$6&amp;"")</f>
        <v/>
      </c>
      <c r="B1745" s="48" t="str">
        <f aca="false">'Neue Artikel'!$B$6&amp;""</f>
        <v/>
      </c>
      <c r="C1745" s="48"/>
      <c r="D1745" s="48" t="s">
        <v>3024</v>
      </c>
      <c r="E1745" s="48"/>
      <c r="F1745" s="48"/>
      <c r="G1745" s="49" t="n">
        <f aca="false">N('Neue Artikel'!$G$6)</f>
        <v>0</v>
      </c>
      <c r="H1745" s="50" t="n">
        <f aca="false">MAX(0,IF(AND(Parameter!$B$21="Ja",ISNUMBER(Y1745)),Y1745,IF(Parameter!$B$20="Jahresanfang 2025 + Export",BR1745+BQ1745,BQ1745)))</f>
        <v>0</v>
      </c>
      <c r="I1745" s="50" t="n">
        <f aca="false">H1745*G1745</f>
        <v>0</v>
      </c>
      <c r="J1745" s="50" t="n">
        <f aca="false">BT1745*Parameter!$B$18</f>
        <v>0</v>
      </c>
      <c r="K1745" s="51"/>
      <c r="L1745" s="52"/>
      <c r="M1745" s="50" t="n">
        <f aca="false">N('Neue Artikel'!$E$6)</f>
        <v>0</v>
      </c>
      <c r="N1745" s="50" t="n">
        <f aca="false">N('Neue Artikel'!$F$6)</f>
        <v>0</v>
      </c>
      <c r="O1745" s="53"/>
      <c r="P1745" s="48" t="str">
        <f aca="false">IF('Neue Artikel'!$H$6="","LOSE",UPPER(TRIM('Neue Artikel'!$H$6)))</f>
        <v>LOSE</v>
      </c>
      <c r="Q1745" s="50" t="n">
        <f aca="false">N('Neue Artikel'!$I$6)</f>
        <v>0</v>
      </c>
      <c r="R1745" s="53" t="n">
        <f aca="false">IF(BZ1745=1,0,IFERROR(VLOOKUP(BX1745,'Gebinde-Kategorie'!$A$5:$N$45,13,0)+0,0))</f>
        <v>0</v>
      </c>
      <c r="S1745" s="54"/>
      <c r="T1745" s="55"/>
      <c r="U1745" s="55"/>
      <c r="V1745" s="55"/>
      <c r="W1745" s="48"/>
      <c r="X1745" s="50"/>
      <c r="Y1745" s="50"/>
      <c r="Z1745" s="48" t="str">
        <f aca="false">IF(A1745="","",IF(AND(Parameter!$B$21="Ja",ISNUMBER(W1745)),W1745,IF(CC1745="2+3",IF(ISNUMBER(SEARCH("grosser Artikel",BU1745)),2,IFERROR(VLOOKUP(BX1745,Parameter!$F$35:$G$64,2,0),2)),IF(OR(CC1745="Nein",CC1745=""),"-",CC1745))))</f>
        <v/>
      </c>
      <c r="AA1745" s="48" t="str">
        <f aca="false">IF('Neue Artikel'!$J$6="","",'Neue Artikel'!$J$6)</f>
        <v/>
      </c>
      <c r="AB1745" s="56"/>
      <c r="AC1745" s="50" t="n">
        <f aca="false">AV1745</f>
        <v>0</v>
      </c>
      <c r="AD1745" s="50" t="n">
        <f aca="false">MAX(AV1745,H1745)</f>
        <v>0</v>
      </c>
      <c r="AE1745" s="57"/>
      <c r="AF1745" s="50" t="n">
        <f aca="false">IF(LEFT(Cockpit!$C$5,1)="A",H1745,IF(Parameter!$E$30="MAX-Bestand",IF(CH1745=1,CI1745,IF(LEFT(Cockpit!$C$5,1)="B",AL1745,MAX(AL1745,H1745))),ROUNDUP(AJ1745,0)))</f>
        <v>0</v>
      </c>
      <c r="AG1745" s="50" t="n">
        <f aca="false">IF(BZ1745=1,0,ROUNDUP(AF1745/BY1745,0))</f>
        <v>0</v>
      </c>
      <c r="AH1745" s="52" t="n">
        <f aca="false">IF(CQ1745&gt;0,CQ1745*MAX(1,AF1745/X1745),IF(BZ1745=1,IF(AF1745&lt;=0,0,CD1745*MAX(1,IF(H1745&gt;0,AF1745/H1745,1))),IF(R1745&gt;0,AG1745/R1745,0))/MAX(0.1,N(Parameter!$M$21)))</f>
        <v>0</v>
      </c>
      <c r="AI1745" s="50" t="n">
        <f aca="false">AH1745*CB1745</f>
        <v>0</v>
      </c>
      <c r="AJ1745" s="51" t="n">
        <f aca="false">IF(LEFT(Cockpit!$C$5,1)="A",H1745,IF(CH1745=1,(CK1745+CI1745)/2,IF(LEFT(Cockpit!$C$5,1)="B",(CK1745+AL1745)/2,MAX((CK1745+AL1745)/2,H1745))))</f>
        <v>0</v>
      </c>
      <c r="AK1745" s="50" t="n">
        <f aca="false">AJ1745*G1745</f>
        <v>0</v>
      </c>
      <c r="AL1745" s="50" t="n">
        <f aca="false">ROUNDUP(CK1745+MAX(CL1745,2*(J1745/IF(CG1745&gt;0,CG1745,MAX(0.1,N(Cockpit!$C$6)))-CK1745)),0)</f>
        <v>0</v>
      </c>
      <c r="AM1745" s="51" t="n">
        <f aca="false">IF(AI1745&gt;0,J1745/AI1745,-1)</f>
        <v>-1</v>
      </c>
      <c r="AN1745" s="51" t="str">
        <f aca="false">IF(AND(OR(CF1745="L1",CF1745="L23",CF1745="LIFT"),AI1745&gt;0),SUMIFS($AI$7:$AI$1843,$CF$7:$CF$1843,CF1745,$AM$7:$AM$1843,"&gt;"&amp;AM1745)+SUMIFS($AI$7:$AI$1843,$CF$7:$CF$1843,CF1745,$AM$7:$AM$1843,AM1745,$BW$7:$BW$1843,"&lt;="&amp;BW1745),"")</f>
        <v/>
      </c>
      <c r="AO1745" s="58" t="n">
        <f aca="false">IF(AN1745="",0,MAX(0,MIN(1,(IF(CF1745="L1",Parameter!$H$5,IF(CF1745="L23",Parameter!$H$6+Parameter!$H$7,Parameter!$H$5+Parameter!$H$6+Parameter!$H$7))-(AN1745-AI1745))/AI1745)))</f>
        <v>0</v>
      </c>
      <c r="AP1745" s="50" t="n">
        <f aca="false">IF(LEFT(Cockpit!$I$5,1)="A",H1745,IF(Parameter!$E$30="MAX-Bestand",IF(CH1745=1,CI1745,IF(LEFT(Cockpit!$I$5,1)="B",AV1745,MAX(AV1745,H1745))),ROUNDUP(AT1745,0)))</f>
        <v>0</v>
      </c>
      <c r="AQ1745" s="50" t="n">
        <f aca="false">IF(BZ1745=1,0,ROUNDUP(AP1745/BY1745,0))</f>
        <v>0</v>
      </c>
      <c r="AR1745" s="52" t="n">
        <f aca="false">IF(CQ1745&gt;0,CQ1745*MAX(1,AP1745/X1745),IF(BZ1745=1,IF(AP1745&lt;=0,0,CD1745*MAX(1,IF(H1745&gt;0,AP1745/H1745,1))),IF(R1745&gt;0,AQ1745/R1745,0))/MAX(0.1,N(Parameter!$M$21)))</f>
        <v>0</v>
      </c>
      <c r="AS1745" s="50" t="n">
        <f aca="false">AR1745*CB1745</f>
        <v>0</v>
      </c>
      <c r="AT1745" s="51" t="n">
        <f aca="false">IF(LEFT(Cockpit!$I$5,1)="A",H1745,IF(CH1745=1,(CK1745+CI1745)/2,IF(LEFT(Cockpit!$I$5,1)="B",(CK1745+AV1745)/2,MAX((CK1745+AV1745)/2,H1745))))</f>
        <v>0</v>
      </c>
      <c r="AU1745" s="50" t="n">
        <f aca="false">AT1745*G1745</f>
        <v>0</v>
      </c>
      <c r="AV1745" s="50" t="n">
        <f aca="false">ROUNDUP(CK1745+MAX(CL1745,2*(J1745/IF(CG1745&gt;0,CG1745,MAX(0.1,N(Cockpit!$I$6)))-CK1745)),0)</f>
        <v>0</v>
      </c>
      <c r="AW1745" s="51" t="n">
        <f aca="false">IF(AS1745&gt;0,J1745/AS1745,-1)</f>
        <v>-1</v>
      </c>
      <c r="AX1745" s="51" t="str">
        <f aca="false">IF(AND(OR(CF1745="L1",CF1745="L23",CF1745="LIFT"),AS1745&gt;0),SUMIFS($AS$7:$AS$1843,$CF$7:$CF$1843,CF1745,$AW$7:$AW$1843,"&gt;"&amp;AW1745)+SUMIFS($AS$7:$AS$1843,$CF$7:$CF$1843,CF1745,$AW$7:$AW$1843,AW1745,$BW$7:$BW$1843,"&lt;="&amp;BW1745),"")</f>
        <v/>
      </c>
      <c r="AY1745" s="58" t="n">
        <f aca="false">IF(AX1745="",0,MAX(0,MIN(1,(IF(CF1745="L1",Parameter!$H$5,IF(CF1745="L23",Parameter!$H$6+Parameter!$H$7,Parameter!$H$5+Parameter!$H$6+Parameter!$H$7))-(AX1745-AS1745))/AS1745)))</f>
        <v>0</v>
      </c>
      <c r="AZ1745" s="50" t="n">
        <f aca="false">IF(LEFT(Cockpit!$O$5,1)="A",H1745,IF(Parameter!$E$30="MAX-Bestand",IF(CH1745=1,CI1745,IF(LEFT(Cockpit!$O$5,1)="B",BF1745,MAX(BF1745,H1745))),ROUNDUP(BD1745,0)))</f>
        <v>0</v>
      </c>
      <c r="BA1745" s="50" t="n">
        <f aca="false">IF(BZ1745=1,0,ROUNDUP(AZ1745/BY1745,0))</f>
        <v>0</v>
      </c>
      <c r="BB1745" s="52" t="n">
        <f aca="false">IF(CQ1745&gt;0,CQ1745*MAX(1,AZ1745/X1745),IF(BZ1745=1,IF(AZ1745&lt;=0,0,CD1745*MAX(1,IF(H1745&gt;0,AZ1745/H1745,1))),IF(R1745&gt;0,BA1745/R1745,0))/MAX(0.1,N(Parameter!$M$21)))</f>
        <v>0</v>
      </c>
      <c r="BC1745" s="50" t="n">
        <f aca="false">BB1745*CB1745</f>
        <v>0</v>
      </c>
      <c r="BD1745" s="51" t="n">
        <f aca="false">IF(LEFT(Cockpit!$O$5,1)="A",H1745,IF(CH1745=1,(CK1745+CI1745)/2,IF(LEFT(Cockpit!$O$5,1)="B",(CK1745+BF1745)/2,MAX((CK1745+BF1745)/2,H1745))))</f>
        <v>0</v>
      </c>
      <c r="BE1745" s="50" t="n">
        <f aca="false">BD1745*G1745</f>
        <v>0</v>
      </c>
      <c r="BF1745" s="50" t="n">
        <f aca="false">ROUNDUP(CK1745+MAX(CL1745,2*(J1745/IF(CG1745&gt;0,CG1745,MAX(0.1,N(Cockpit!$O$6)))-CK1745)),0)</f>
        <v>0</v>
      </c>
      <c r="BG1745" s="51" t="n">
        <f aca="false">IF(BC1745&gt;0,J1745/BC1745,-1)</f>
        <v>-1</v>
      </c>
      <c r="BH1745" s="51" t="str">
        <f aca="false">IF(AND(OR(CF1745="L1",CF1745="L23",CF1745="LIFT"),BC1745&gt;0),SUMIFS($BC$7:$BC$1843,$CF$7:$CF$1843,CF1745,$BG$7:$BG$1843,"&gt;"&amp;BG1745)+SUMIFS($BC$7:$BC$1843,$CF$7:$CF$1843,CF1745,$BG$7:$BG$1843,BG1745,$BW$7:$BW$1843,"&lt;="&amp;BW1745),"")</f>
        <v/>
      </c>
      <c r="BI1745" s="58" t="n">
        <f aca="false">IF(BH1745="",0,MAX(0,MIN(1,(IF(CF1745="L1",Parameter!$H$5,IF(CF1745="L23",Parameter!$H$6+Parameter!$H$7,Parameter!$H$5+Parameter!$H$6+Parameter!$H$7))-(BH1745-BC1745))/BC1745)))</f>
        <v>0</v>
      </c>
      <c r="BJ1745" s="48" t="str">
        <f aca="false">IF(AI1745&lt;=0,"",IF(CF1745="Aussen","Aussenlager",IF(CF1745="-","Nicht im Lift",IF(AO1745&gt;=1,"Lift",IF(AO1745&lt;=0,"Aussenlager","teilweise")))))</f>
        <v/>
      </c>
      <c r="BK1745" s="48" t="str">
        <f aca="false">IF(AS1745&lt;=0,"",IF(CF1745="Aussen","Aussenlager",IF(CF1745="-","Nicht im Lift",IF(AY1745&gt;=1,"Lift",IF(AY1745&lt;=0,"Aussenlager","teilweise")))))</f>
        <v/>
      </c>
      <c r="BL1745" s="48" t="str">
        <f aca="false">IF(BC1745&lt;=0,"",IF(CF1745="Aussen","Aussenlager",IF(CF1745="-","Nicht im Lift",IF(BI1745&gt;=1,"Lift",IF(BI1745&lt;=0,"Aussenlager","teilweise")))))</f>
        <v/>
      </c>
      <c r="BM1745" s="48" t="str">
        <f aca="false">IF(A1745="","",IF(BV1745=1,"Neu; ","")&amp;IF(AND(BV1745=0,BQ1745&lt;0),"negativer Bestand (Export "&amp;BQ1745&amp;"); ","")&amp;IF(J1745&lt;=0,"Kein Verbrauch; ","")&amp;IF(CQ1745&gt;0,"Lift "&amp;W1745&amp;" lt. Liftbericht (Fach "&amp;X1745&amp;" Stk); ",IF(CA1745=1,"Gebinde geschätzt ("&amp;T1745&amp;"); ",IF(BZ1745=1,"Lose – Tablare geschätzt; ","")))&amp;IF(H1745&gt;AV1745,"Überbestand "&amp;ROUND(H1745-AV1745,0)&amp;" Stk / CHF "&amp;ROUND((H1745-AV1745)*G1745,0)&amp;"; ","")&amp;IF(AND(CH1745=1,CI1745&lt;CJ1745),"MAX &lt; MB+LG; ","")&amp;IF(AND(CP1745&gt;0,CO1745*10&gt;CP1745),"zu hoch für Tablar; ","")&amp;IF(AND(BV1745=0,OR(CH1745=1,AA1745&lt;&gt;"",U1745&lt;&gt;"",V1745&lt;&gt;"",AB1745&lt;&gt;"")),"manuell übersteuert; ","")&amp;IF(AND(BZ1745=0,R1745=0),"Gebinde unbekannt / Stellmass fehlt; ","")&amp;IF(AND(BZ1745=0,N(V1745)&lt;=0,N(Q1745)&lt;=0),"Menge pro Gebinde fehlt (Ist = 1 Gebinde); ","")&amp;BU1745)</f>
        <v/>
      </c>
      <c r="BN1745" s="48"/>
      <c r="BO1745" s="48"/>
      <c r="BP1745" s="55"/>
      <c r="BQ1745" s="50" t="n">
        <f aca="false">N('Neue Artikel'!$D$6)</f>
        <v>0</v>
      </c>
      <c r="BR1745" s="50" t="n">
        <v>0</v>
      </c>
      <c r="BS1745" s="49" t="n">
        <v>0</v>
      </c>
      <c r="BT1745" s="50" t="n">
        <f aca="false">N('Neue Artikel'!$C$6)/Parameter!$B$18</f>
        <v>0</v>
      </c>
      <c r="BU1745" s="48"/>
      <c r="BV1745" s="53" t="n">
        <v>1</v>
      </c>
      <c r="BW1745" s="53" t="n">
        <v>1745</v>
      </c>
      <c r="BX1745" s="48" t="str">
        <f aca="false">IF(U1745&lt;&gt;"",UPPER(TRIM(U1745)),IF(CA1745=1,UPPER(VLOOKUP(T1745,Parameter!$I$27:$K$29,2,0)),IF(P1745="","LOSE",P1745)))</f>
        <v>LOSE</v>
      </c>
      <c r="BY1745" s="50" t="n">
        <f aca="false">IF(BX1745="LOSE",1,IF(N(V1745)&gt;0,V1745,IF(CA1745=1,MAX(1,N(VLOOKUP(T1745,Parameter!$I$27:$K$29,3,0)),H1745,N(N1745)),IF(N(Q1745)&gt;0,Q1745,MAX(1,H1745)))))</f>
        <v>1</v>
      </c>
      <c r="BZ1745" s="53" t="n">
        <f aca="false">IF(BX1745="LOSE",1,0)</f>
        <v>1</v>
      </c>
      <c r="CA1745" s="53" t="n">
        <f aca="false">IF(AND(U1745="",OR(P1745="",P1745="LOSE"),T1745&lt;&gt;"",N(S1745)&lt;=0,ISNUMBER(MATCH(T1745,Parameter!$I$27:$I$29,0))),1,0)</f>
        <v>0</v>
      </c>
      <c r="CB1745" s="53" t="n">
        <f aca="false">IF(CQ1745&gt;0,INDEX(Parameter!$H$5:$H$7,W1745)/INDEX(Parameter!$E$5:$E$7,W1745),IF(AND(BZ1745=0,N(IFERROR(VLOOKUP(BX1745,'Gebinde-Kategorie'!$A$5:$N$45,14,0),0))&gt;0),VLOOKUP(BX1745,'Gebinde-Kategorie'!$A$5:$N$45,14,0)*10+Parameter!$M$23,Parameter!$M$24))</f>
        <v>235</v>
      </c>
      <c r="CC1745" s="48" t="str">
        <f aca="false">IF(AND(Parameter!$B$19="Ja",E1745&lt;&gt;"",ISNUMBER(MATCH(E1745,Parameter!$I$35:$I$52,0))),VLOOKUP(E1745,Parameter!$I$35:$J$52,2,0),IFERROR(VLOOKUP(D1745,Parameter!$A$35:$C$64,2,0),"Nein"))</f>
        <v>2+3</v>
      </c>
      <c r="CD1745" s="52" t="n">
        <f aca="false">IF(BZ1745=0,0,IF(N(S1745)&gt;0,S1745,IFERROR(VLOOKUP(D1745,Parameter!$A$35:$C$64,3,0)+0,0)))</f>
        <v>0.15</v>
      </c>
      <c r="CE1745" s="48" t="str">
        <f aca="false">IF(AA1745&lt;&gt;"",AA1745,Z1745)</f>
        <v/>
      </c>
      <c r="CF1745" s="48" t="str">
        <f aca="false">IF(OR(CE1745=1,CE1745=2,CE1745=3),IF(Parameter!$E$27="Ja","LIFT",IF(CE1745=1,"L1","L23")),IF(CE1745="Aussen","Aussen","-"))</f>
        <v>-</v>
      </c>
      <c r="CG1745" s="59" t="n">
        <f aca="false">IF(N(AB1745)&gt;0,AB1745,0)</f>
        <v>0</v>
      </c>
      <c r="CH1745" s="53" t="n">
        <f aca="false">IF(ISNUMBER(AE1745),1,0)</f>
        <v>0</v>
      </c>
      <c r="CI1745" s="50" t="n">
        <f aca="false">N(AE1745)</f>
        <v>0</v>
      </c>
      <c r="CJ1745" s="50" t="n">
        <f aca="false">N(M1745)+N(N1745)</f>
        <v>0</v>
      </c>
      <c r="CK1745" s="50" t="n">
        <f aca="false">N(M1745)</f>
        <v>0</v>
      </c>
      <c r="CL1745" s="50" t="n">
        <f aca="false">N(N1745)</f>
        <v>0</v>
      </c>
      <c r="CM1745" s="50" t="n">
        <f aca="false">ROUNDUP(H1745/BY1745,0)</f>
        <v>0</v>
      </c>
      <c r="CN1745" s="50" t="n">
        <f aca="false">ROUNDUP(CI1745/BY1745,0)</f>
        <v>0</v>
      </c>
      <c r="CO1745" s="53" t="n">
        <f aca="false">IF(BZ1745=1,0,IFERROR(VLOOKUP(BX1745,'Gebinde-Kategorie'!$A$5:$N$45,5,0)+0,0))</f>
        <v>0</v>
      </c>
      <c r="CP1745" s="53" t="n">
        <f aca="false">IFERROR(IF(OR(CE1745=1,CE1745=2,CE1745=3),N(INDEX(Parameter!$I$5:$I$7,CE1745)),0),0)</f>
        <v>0</v>
      </c>
      <c r="CQ1745" s="52" t="n">
        <f aca="false">IF(AND(Parameter!$B$21="Ja",ISNUMBER(W1745),N(X1745)&gt;0),IFERROR(N(INDEX(Parameter!$L$5:$L$7,W1745))*INDEX(Parameter!$E$5:$E$7,W1745)*X1745/SUMIFS($X$7:$X$1843,$W$7:$W$1843,W1745),0),0)</f>
        <v>0</v>
      </c>
    </row>
    <row r="1746" customFormat="false" ht="15" hidden="false" customHeight="false" outlineLevel="0" collapsed="false">
      <c r="A1746" s="48" t="str">
        <f aca="false">IF('Neue Artikel'!$A$7="","",'Neue Artikel'!$A$7&amp;"")</f>
        <v/>
      </c>
      <c r="B1746" s="48" t="str">
        <f aca="false">'Neue Artikel'!$B$7&amp;""</f>
        <v/>
      </c>
      <c r="C1746" s="48"/>
      <c r="D1746" s="48" t="s">
        <v>3024</v>
      </c>
      <c r="E1746" s="48"/>
      <c r="F1746" s="48"/>
      <c r="G1746" s="49" t="n">
        <f aca="false">N('Neue Artikel'!$G$7)</f>
        <v>0</v>
      </c>
      <c r="H1746" s="50" t="n">
        <f aca="false">MAX(0,IF(AND(Parameter!$B$21="Ja",ISNUMBER(Y1746)),Y1746,IF(Parameter!$B$20="Jahresanfang 2025 + Export",BR1746+BQ1746,BQ1746)))</f>
        <v>0</v>
      </c>
      <c r="I1746" s="50" t="n">
        <f aca="false">H1746*G1746</f>
        <v>0</v>
      </c>
      <c r="J1746" s="50" t="n">
        <f aca="false">BT1746*Parameter!$B$18</f>
        <v>0</v>
      </c>
      <c r="K1746" s="51"/>
      <c r="L1746" s="52"/>
      <c r="M1746" s="50" t="n">
        <f aca="false">N('Neue Artikel'!$E$7)</f>
        <v>0</v>
      </c>
      <c r="N1746" s="50" t="n">
        <f aca="false">N('Neue Artikel'!$F$7)</f>
        <v>0</v>
      </c>
      <c r="O1746" s="53"/>
      <c r="P1746" s="48" t="str">
        <f aca="false">IF('Neue Artikel'!$H$7="","LOSE",UPPER(TRIM('Neue Artikel'!$H$7)))</f>
        <v>LOSE</v>
      </c>
      <c r="Q1746" s="50" t="n">
        <f aca="false">N('Neue Artikel'!$I$7)</f>
        <v>0</v>
      </c>
      <c r="R1746" s="53" t="n">
        <f aca="false">IF(BZ1746=1,0,IFERROR(VLOOKUP(BX1746,'Gebinde-Kategorie'!$A$5:$N$45,13,0)+0,0))</f>
        <v>0</v>
      </c>
      <c r="S1746" s="54"/>
      <c r="T1746" s="55"/>
      <c r="U1746" s="55"/>
      <c r="V1746" s="55"/>
      <c r="W1746" s="48"/>
      <c r="X1746" s="50"/>
      <c r="Y1746" s="50"/>
      <c r="Z1746" s="48" t="str">
        <f aca="false">IF(A1746="","",IF(AND(Parameter!$B$21="Ja",ISNUMBER(W1746)),W1746,IF(CC1746="2+3",IF(ISNUMBER(SEARCH("grosser Artikel",BU1746)),2,IFERROR(VLOOKUP(BX1746,Parameter!$F$35:$G$64,2,0),2)),IF(OR(CC1746="Nein",CC1746=""),"-",CC1746))))</f>
        <v/>
      </c>
      <c r="AA1746" s="48" t="str">
        <f aca="false">IF('Neue Artikel'!$J$7="","",'Neue Artikel'!$J$7)</f>
        <v/>
      </c>
      <c r="AB1746" s="56"/>
      <c r="AC1746" s="50" t="n">
        <f aca="false">AV1746</f>
        <v>0</v>
      </c>
      <c r="AD1746" s="50" t="n">
        <f aca="false">MAX(AV1746,H1746)</f>
        <v>0</v>
      </c>
      <c r="AE1746" s="57"/>
      <c r="AF1746" s="50" t="n">
        <f aca="false">IF(LEFT(Cockpit!$C$5,1)="A",H1746,IF(Parameter!$E$30="MAX-Bestand",IF(CH1746=1,CI1746,IF(LEFT(Cockpit!$C$5,1)="B",AL1746,MAX(AL1746,H1746))),ROUNDUP(AJ1746,0)))</f>
        <v>0</v>
      </c>
      <c r="AG1746" s="50" t="n">
        <f aca="false">IF(BZ1746=1,0,ROUNDUP(AF1746/BY1746,0))</f>
        <v>0</v>
      </c>
      <c r="AH1746" s="52" t="n">
        <f aca="false">IF(CQ1746&gt;0,CQ1746*MAX(1,AF1746/X1746),IF(BZ1746=1,IF(AF1746&lt;=0,0,CD1746*MAX(1,IF(H1746&gt;0,AF1746/H1746,1))),IF(R1746&gt;0,AG1746/R1746,0))/MAX(0.1,N(Parameter!$M$21)))</f>
        <v>0</v>
      </c>
      <c r="AI1746" s="50" t="n">
        <f aca="false">AH1746*CB1746</f>
        <v>0</v>
      </c>
      <c r="AJ1746" s="51" t="n">
        <f aca="false">IF(LEFT(Cockpit!$C$5,1)="A",H1746,IF(CH1746=1,(CK1746+CI1746)/2,IF(LEFT(Cockpit!$C$5,1)="B",(CK1746+AL1746)/2,MAX((CK1746+AL1746)/2,H1746))))</f>
        <v>0</v>
      </c>
      <c r="AK1746" s="50" t="n">
        <f aca="false">AJ1746*G1746</f>
        <v>0</v>
      </c>
      <c r="AL1746" s="50" t="n">
        <f aca="false">ROUNDUP(CK1746+MAX(CL1746,2*(J1746/IF(CG1746&gt;0,CG1746,MAX(0.1,N(Cockpit!$C$6)))-CK1746)),0)</f>
        <v>0</v>
      </c>
      <c r="AM1746" s="51" t="n">
        <f aca="false">IF(AI1746&gt;0,J1746/AI1746,-1)</f>
        <v>-1</v>
      </c>
      <c r="AN1746" s="51" t="str">
        <f aca="false">IF(AND(OR(CF1746="L1",CF1746="L23",CF1746="LIFT"),AI1746&gt;0),SUMIFS($AI$7:$AI$1843,$CF$7:$CF$1843,CF1746,$AM$7:$AM$1843,"&gt;"&amp;AM1746)+SUMIFS($AI$7:$AI$1843,$CF$7:$CF$1843,CF1746,$AM$7:$AM$1843,AM1746,$BW$7:$BW$1843,"&lt;="&amp;BW1746),"")</f>
        <v/>
      </c>
      <c r="AO1746" s="58" t="n">
        <f aca="false">IF(AN1746="",0,MAX(0,MIN(1,(IF(CF1746="L1",Parameter!$H$5,IF(CF1746="L23",Parameter!$H$6+Parameter!$H$7,Parameter!$H$5+Parameter!$H$6+Parameter!$H$7))-(AN1746-AI1746))/AI1746)))</f>
        <v>0</v>
      </c>
      <c r="AP1746" s="50" t="n">
        <f aca="false">IF(LEFT(Cockpit!$I$5,1)="A",H1746,IF(Parameter!$E$30="MAX-Bestand",IF(CH1746=1,CI1746,IF(LEFT(Cockpit!$I$5,1)="B",AV1746,MAX(AV1746,H1746))),ROUNDUP(AT1746,0)))</f>
        <v>0</v>
      </c>
      <c r="AQ1746" s="50" t="n">
        <f aca="false">IF(BZ1746=1,0,ROUNDUP(AP1746/BY1746,0))</f>
        <v>0</v>
      </c>
      <c r="AR1746" s="52" t="n">
        <f aca="false">IF(CQ1746&gt;0,CQ1746*MAX(1,AP1746/X1746),IF(BZ1746=1,IF(AP1746&lt;=0,0,CD1746*MAX(1,IF(H1746&gt;0,AP1746/H1746,1))),IF(R1746&gt;0,AQ1746/R1746,0))/MAX(0.1,N(Parameter!$M$21)))</f>
        <v>0</v>
      </c>
      <c r="AS1746" s="50" t="n">
        <f aca="false">AR1746*CB1746</f>
        <v>0</v>
      </c>
      <c r="AT1746" s="51" t="n">
        <f aca="false">IF(LEFT(Cockpit!$I$5,1)="A",H1746,IF(CH1746=1,(CK1746+CI1746)/2,IF(LEFT(Cockpit!$I$5,1)="B",(CK1746+AV1746)/2,MAX((CK1746+AV1746)/2,H1746))))</f>
        <v>0</v>
      </c>
      <c r="AU1746" s="50" t="n">
        <f aca="false">AT1746*G1746</f>
        <v>0</v>
      </c>
      <c r="AV1746" s="50" t="n">
        <f aca="false">ROUNDUP(CK1746+MAX(CL1746,2*(J1746/IF(CG1746&gt;0,CG1746,MAX(0.1,N(Cockpit!$I$6)))-CK1746)),0)</f>
        <v>0</v>
      </c>
      <c r="AW1746" s="51" t="n">
        <f aca="false">IF(AS1746&gt;0,J1746/AS1746,-1)</f>
        <v>-1</v>
      </c>
      <c r="AX1746" s="51" t="str">
        <f aca="false">IF(AND(OR(CF1746="L1",CF1746="L23",CF1746="LIFT"),AS1746&gt;0),SUMIFS($AS$7:$AS$1843,$CF$7:$CF$1843,CF1746,$AW$7:$AW$1843,"&gt;"&amp;AW1746)+SUMIFS($AS$7:$AS$1843,$CF$7:$CF$1843,CF1746,$AW$7:$AW$1843,AW1746,$BW$7:$BW$1843,"&lt;="&amp;BW1746),"")</f>
        <v/>
      </c>
      <c r="AY1746" s="58" t="n">
        <f aca="false">IF(AX1746="",0,MAX(0,MIN(1,(IF(CF1746="L1",Parameter!$H$5,IF(CF1746="L23",Parameter!$H$6+Parameter!$H$7,Parameter!$H$5+Parameter!$H$6+Parameter!$H$7))-(AX1746-AS1746))/AS1746)))</f>
        <v>0</v>
      </c>
      <c r="AZ1746" s="50" t="n">
        <f aca="false">IF(LEFT(Cockpit!$O$5,1)="A",H1746,IF(Parameter!$E$30="MAX-Bestand",IF(CH1746=1,CI1746,IF(LEFT(Cockpit!$O$5,1)="B",BF1746,MAX(BF1746,H1746))),ROUNDUP(BD1746,0)))</f>
        <v>0</v>
      </c>
      <c r="BA1746" s="50" t="n">
        <f aca="false">IF(BZ1746=1,0,ROUNDUP(AZ1746/BY1746,0))</f>
        <v>0</v>
      </c>
      <c r="BB1746" s="52" t="n">
        <f aca="false">IF(CQ1746&gt;0,CQ1746*MAX(1,AZ1746/X1746),IF(BZ1746=1,IF(AZ1746&lt;=0,0,CD1746*MAX(1,IF(H1746&gt;0,AZ1746/H1746,1))),IF(R1746&gt;0,BA1746/R1746,0))/MAX(0.1,N(Parameter!$M$21)))</f>
        <v>0</v>
      </c>
      <c r="BC1746" s="50" t="n">
        <f aca="false">BB1746*CB1746</f>
        <v>0</v>
      </c>
      <c r="BD1746" s="51" t="n">
        <f aca="false">IF(LEFT(Cockpit!$O$5,1)="A",H1746,IF(CH1746=1,(CK1746+CI1746)/2,IF(LEFT(Cockpit!$O$5,1)="B",(CK1746+BF1746)/2,MAX((CK1746+BF1746)/2,H1746))))</f>
        <v>0</v>
      </c>
      <c r="BE1746" s="50" t="n">
        <f aca="false">BD1746*G1746</f>
        <v>0</v>
      </c>
      <c r="BF1746" s="50" t="n">
        <f aca="false">ROUNDUP(CK1746+MAX(CL1746,2*(J1746/IF(CG1746&gt;0,CG1746,MAX(0.1,N(Cockpit!$O$6)))-CK1746)),0)</f>
        <v>0</v>
      </c>
      <c r="BG1746" s="51" t="n">
        <f aca="false">IF(BC1746&gt;0,J1746/BC1746,-1)</f>
        <v>-1</v>
      </c>
      <c r="BH1746" s="51" t="str">
        <f aca="false">IF(AND(OR(CF1746="L1",CF1746="L23",CF1746="LIFT"),BC1746&gt;0),SUMIFS($BC$7:$BC$1843,$CF$7:$CF$1843,CF1746,$BG$7:$BG$1843,"&gt;"&amp;BG1746)+SUMIFS($BC$7:$BC$1843,$CF$7:$CF$1843,CF1746,$BG$7:$BG$1843,BG1746,$BW$7:$BW$1843,"&lt;="&amp;BW1746),"")</f>
        <v/>
      </c>
      <c r="BI1746" s="58" t="n">
        <f aca="false">IF(BH1746="",0,MAX(0,MIN(1,(IF(CF1746="L1",Parameter!$H$5,IF(CF1746="L23",Parameter!$H$6+Parameter!$H$7,Parameter!$H$5+Parameter!$H$6+Parameter!$H$7))-(BH1746-BC1746))/BC1746)))</f>
        <v>0</v>
      </c>
      <c r="BJ1746" s="48" t="str">
        <f aca="false">IF(AI1746&lt;=0,"",IF(CF1746="Aussen","Aussenlager",IF(CF1746="-","Nicht im Lift",IF(AO1746&gt;=1,"Lift",IF(AO1746&lt;=0,"Aussenlager","teilweise")))))</f>
        <v/>
      </c>
      <c r="BK1746" s="48" t="str">
        <f aca="false">IF(AS1746&lt;=0,"",IF(CF1746="Aussen","Aussenlager",IF(CF1746="-","Nicht im Lift",IF(AY1746&gt;=1,"Lift",IF(AY1746&lt;=0,"Aussenlager","teilweise")))))</f>
        <v/>
      </c>
      <c r="BL1746" s="48" t="str">
        <f aca="false">IF(BC1746&lt;=0,"",IF(CF1746="Aussen","Aussenlager",IF(CF1746="-","Nicht im Lift",IF(BI1746&gt;=1,"Lift",IF(BI1746&lt;=0,"Aussenlager","teilweise")))))</f>
        <v/>
      </c>
      <c r="BM1746" s="48" t="str">
        <f aca="false">IF(A1746="","",IF(BV1746=1,"Neu; ","")&amp;IF(AND(BV1746=0,BQ1746&lt;0),"negativer Bestand (Export "&amp;BQ1746&amp;"); ","")&amp;IF(J1746&lt;=0,"Kein Verbrauch; ","")&amp;IF(CQ1746&gt;0,"Lift "&amp;W1746&amp;" lt. Liftbericht (Fach "&amp;X1746&amp;" Stk); ",IF(CA1746=1,"Gebinde geschätzt ("&amp;T1746&amp;"); ",IF(BZ1746=1,"Lose – Tablare geschätzt; ","")))&amp;IF(H1746&gt;AV1746,"Überbestand "&amp;ROUND(H1746-AV1746,0)&amp;" Stk / CHF "&amp;ROUND((H1746-AV1746)*G1746,0)&amp;"; ","")&amp;IF(AND(CH1746=1,CI1746&lt;CJ1746),"MAX &lt; MB+LG; ","")&amp;IF(AND(CP1746&gt;0,CO1746*10&gt;CP1746),"zu hoch für Tablar; ","")&amp;IF(AND(BV1746=0,OR(CH1746=1,AA1746&lt;&gt;"",U1746&lt;&gt;"",V1746&lt;&gt;"",AB1746&lt;&gt;"")),"manuell übersteuert; ","")&amp;IF(AND(BZ1746=0,R1746=0),"Gebinde unbekannt / Stellmass fehlt; ","")&amp;IF(AND(BZ1746=0,N(V1746)&lt;=0,N(Q1746)&lt;=0),"Menge pro Gebinde fehlt (Ist = 1 Gebinde); ","")&amp;BU1746)</f>
        <v/>
      </c>
      <c r="BN1746" s="48"/>
      <c r="BO1746" s="48"/>
      <c r="BP1746" s="55"/>
      <c r="BQ1746" s="50" t="n">
        <f aca="false">N('Neue Artikel'!$D$7)</f>
        <v>0</v>
      </c>
      <c r="BR1746" s="50" t="n">
        <v>0</v>
      </c>
      <c r="BS1746" s="49" t="n">
        <v>0</v>
      </c>
      <c r="BT1746" s="50" t="n">
        <f aca="false">N('Neue Artikel'!$C$7)/Parameter!$B$18</f>
        <v>0</v>
      </c>
      <c r="BU1746" s="48"/>
      <c r="BV1746" s="53" t="n">
        <v>1</v>
      </c>
      <c r="BW1746" s="53" t="n">
        <v>1746</v>
      </c>
      <c r="BX1746" s="48" t="str">
        <f aca="false">IF(U1746&lt;&gt;"",UPPER(TRIM(U1746)),IF(CA1746=1,UPPER(VLOOKUP(T1746,Parameter!$I$27:$K$29,2,0)),IF(P1746="","LOSE",P1746)))</f>
        <v>LOSE</v>
      </c>
      <c r="BY1746" s="50" t="n">
        <f aca="false">IF(BX1746="LOSE",1,IF(N(V1746)&gt;0,V1746,IF(CA1746=1,MAX(1,N(VLOOKUP(T1746,Parameter!$I$27:$K$29,3,0)),H1746,N(N1746)),IF(N(Q1746)&gt;0,Q1746,MAX(1,H1746)))))</f>
        <v>1</v>
      </c>
      <c r="BZ1746" s="53" t="n">
        <f aca="false">IF(BX1746="LOSE",1,0)</f>
        <v>1</v>
      </c>
      <c r="CA1746" s="53" t="n">
        <f aca="false">IF(AND(U1746="",OR(P1746="",P1746="LOSE"),T1746&lt;&gt;"",N(S1746)&lt;=0,ISNUMBER(MATCH(T1746,Parameter!$I$27:$I$29,0))),1,0)</f>
        <v>0</v>
      </c>
      <c r="CB1746" s="53" t="n">
        <f aca="false">IF(CQ1746&gt;0,INDEX(Parameter!$H$5:$H$7,W1746)/INDEX(Parameter!$E$5:$E$7,W1746),IF(AND(BZ1746=0,N(IFERROR(VLOOKUP(BX1746,'Gebinde-Kategorie'!$A$5:$N$45,14,0),0))&gt;0),VLOOKUP(BX1746,'Gebinde-Kategorie'!$A$5:$N$45,14,0)*10+Parameter!$M$23,Parameter!$M$24))</f>
        <v>235</v>
      </c>
      <c r="CC1746" s="48" t="str">
        <f aca="false">IF(AND(Parameter!$B$19="Ja",E1746&lt;&gt;"",ISNUMBER(MATCH(E1746,Parameter!$I$35:$I$52,0))),VLOOKUP(E1746,Parameter!$I$35:$J$52,2,0),IFERROR(VLOOKUP(D1746,Parameter!$A$35:$C$64,2,0),"Nein"))</f>
        <v>2+3</v>
      </c>
      <c r="CD1746" s="52" t="n">
        <f aca="false">IF(BZ1746=0,0,IF(N(S1746)&gt;0,S1746,IFERROR(VLOOKUP(D1746,Parameter!$A$35:$C$64,3,0)+0,0)))</f>
        <v>0.15</v>
      </c>
      <c r="CE1746" s="48" t="str">
        <f aca="false">IF(AA1746&lt;&gt;"",AA1746,Z1746)</f>
        <v/>
      </c>
      <c r="CF1746" s="48" t="str">
        <f aca="false">IF(OR(CE1746=1,CE1746=2,CE1746=3),IF(Parameter!$E$27="Ja","LIFT",IF(CE1746=1,"L1","L23")),IF(CE1746="Aussen","Aussen","-"))</f>
        <v>-</v>
      </c>
      <c r="CG1746" s="59" t="n">
        <f aca="false">IF(N(AB1746)&gt;0,AB1746,0)</f>
        <v>0</v>
      </c>
      <c r="CH1746" s="53" t="n">
        <f aca="false">IF(ISNUMBER(AE1746),1,0)</f>
        <v>0</v>
      </c>
      <c r="CI1746" s="50" t="n">
        <f aca="false">N(AE1746)</f>
        <v>0</v>
      </c>
      <c r="CJ1746" s="50" t="n">
        <f aca="false">N(M1746)+N(N1746)</f>
        <v>0</v>
      </c>
      <c r="CK1746" s="50" t="n">
        <f aca="false">N(M1746)</f>
        <v>0</v>
      </c>
      <c r="CL1746" s="50" t="n">
        <f aca="false">N(N1746)</f>
        <v>0</v>
      </c>
      <c r="CM1746" s="50" t="n">
        <f aca="false">ROUNDUP(H1746/BY1746,0)</f>
        <v>0</v>
      </c>
      <c r="CN1746" s="50" t="n">
        <f aca="false">ROUNDUP(CI1746/BY1746,0)</f>
        <v>0</v>
      </c>
      <c r="CO1746" s="53" t="n">
        <f aca="false">IF(BZ1746=1,0,IFERROR(VLOOKUP(BX1746,'Gebinde-Kategorie'!$A$5:$N$45,5,0)+0,0))</f>
        <v>0</v>
      </c>
      <c r="CP1746" s="53" t="n">
        <f aca="false">IFERROR(IF(OR(CE1746=1,CE1746=2,CE1746=3),N(INDEX(Parameter!$I$5:$I$7,CE1746)),0),0)</f>
        <v>0</v>
      </c>
      <c r="CQ1746" s="52" t="n">
        <f aca="false">IF(AND(Parameter!$B$21="Ja",ISNUMBER(W1746),N(X1746)&gt;0),IFERROR(N(INDEX(Parameter!$L$5:$L$7,W1746))*INDEX(Parameter!$E$5:$E$7,W1746)*X1746/SUMIFS($X$7:$X$1843,$W$7:$W$1843,W1746),0),0)</f>
        <v>0</v>
      </c>
    </row>
    <row r="1747" customFormat="false" ht="15" hidden="false" customHeight="false" outlineLevel="0" collapsed="false">
      <c r="A1747" s="48" t="str">
        <f aca="false">IF('Neue Artikel'!$A$8="","",'Neue Artikel'!$A$8&amp;"")</f>
        <v/>
      </c>
      <c r="B1747" s="48" t="str">
        <f aca="false">'Neue Artikel'!$B$8&amp;""</f>
        <v/>
      </c>
      <c r="C1747" s="48"/>
      <c r="D1747" s="48" t="s">
        <v>3024</v>
      </c>
      <c r="E1747" s="48"/>
      <c r="F1747" s="48"/>
      <c r="G1747" s="49" t="n">
        <f aca="false">N('Neue Artikel'!$G$8)</f>
        <v>0</v>
      </c>
      <c r="H1747" s="50" t="n">
        <f aca="false">MAX(0,IF(AND(Parameter!$B$21="Ja",ISNUMBER(Y1747)),Y1747,IF(Parameter!$B$20="Jahresanfang 2025 + Export",BR1747+BQ1747,BQ1747)))</f>
        <v>0</v>
      </c>
      <c r="I1747" s="50" t="n">
        <f aca="false">H1747*G1747</f>
        <v>0</v>
      </c>
      <c r="J1747" s="50" t="n">
        <f aca="false">BT1747*Parameter!$B$18</f>
        <v>0</v>
      </c>
      <c r="K1747" s="51"/>
      <c r="L1747" s="52"/>
      <c r="M1747" s="50" t="n">
        <f aca="false">N('Neue Artikel'!$E$8)</f>
        <v>0</v>
      </c>
      <c r="N1747" s="50" t="n">
        <f aca="false">N('Neue Artikel'!$F$8)</f>
        <v>0</v>
      </c>
      <c r="O1747" s="53"/>
      <c r="P1747" s="48" t="str">
        <f aca="false">IF('Neue Artikel'!$H$8="","LOSE",UPPER(TRIM('Neue Artikel'!$H$8)))</f>
        <v>LOSE</v>
      </c>
      <c r="Q1747" s="50" t="n">
        <f aca="false">N('Neue Artikel'!$I$8)</f>
        <v>0</v>
      </c>
      <c r="R1747" s="53" t="n">
        <f aca="false">IF(BZ1747=1,0,IFERROR(VLOOKUP(BX1747,'Gebinde-Kategorie'!$A$5:$N$45,13,0)+0,0))</f>
        <v>0</v>
      </c>
      <c r="S1747" s="54"/>
      <c r="T1747" s="55"/>
      <c r="U1747" s="55"/>
      <c r="V1747" s="55"/>
      <c r="W1747" s="48"/>
      <c r="X1747" s="50"/>
      <c r="Y1747" s="50"/>
      <c r="Z1747" s="48" t="str">
        <f aca="false">IF(A1747="","",IF(AND(Parameter!$B$21="Ja",ISNUMBER(W1747)),W1747,IF(CC1747="2+3",IF(ISNUMBER(SEARCH("grosser Artikel",BU1747)),2,IFERROR(VLOOKUP(BX1747,Parameter!$F$35:$G$64,2,0),2)),IF(OR(CC1747="Nein",CC1747=""),"-",CC1747))))</f>
        <v/>
      </c>
      <c r="AA1747" s="48" t="str">
        <f aca="false">IF('Neue Artikel'!$J$8="","",'Neue Artikel'!$J$8)</f>
        <v/>
      </c>
      <c r="AB1747" s="56"/>
      <c r="AC1747" s="50" t="n">
        <f aca="false">AV1747</f>
        <v>0</v>
      </c>
      <c r="AD1747" s="50" t="n">
        <f aca="false">MAX(AV1747,H1747)</f>
        <v>0</v>
      </c>
      <c r="AE1747" s="57"/>
      <c r="AF1747" s="50" t="n">
        <f aca="false">IF(LEFT(Cockpit!$C$5,1)="A",H1747,IF(Parameter!$E$30="MAX-Bestand",IF(CH1747=1,CI1747,IF(LEFT(Cockpit!$C$5,1)="B",AL1747,MAX(AL1747,H1747))),ROUNDUP(AJ1747,0)))</f>
        <v>0</v>
      </c>
      <c r="AG1747" s="50" t="n">
        <f aca="false">IF(BZ1747=1,0,ROUNDUP(AF1747/BY1747,0))</f>
        <v>0</v>
      </c>
      <c r="AH1747" s="52" t="n">
        <f aca="false">IF(CQ1747&gt;0,CQ1747*MAX(1,AF1747/X1747),IF(BZ1747=1,IF(AF1747&lt;=0,0,CD1747*MAX(1,IF(H1747&gt;0,AF1747/H1747,1))),IF(R1747&gt;0,AG1747/R1747,0))/MAX(0.1,N(Parameter!$M$21)))</f>
        <v>0</v>
      </c>
      <c r="AI1747" s="50" t="n">
        <f aca="false">AH1747*CB1747</f>
        <v>0</v>
      </c>
      <c r="AJ1747" s="51" t="n">
        <f aca="false">IF(LEFT(Cockpit!$C$5,1)="A",H1747,IF(CH1747=1,(CK1747+CI1747)/2,IF(LEFT(Cockpit!$C$5,1)="B",(CK1747+AL1747)/2,MAX((CK1747+AL1747)/2,H1747))))</f>
        <v>0</v>
      </c>
      <c r="AK1747" s="50" t="n">
        <f aca="false">AJ1747*G1747</f>
        <v>0</v>
      </c>
      <c r="AL1747" s="50" t="n">
        <f aca="false">ROUNDUP(CK1747+MAX(CL1747,2*(J1747/IF(CG1747&gt;0,CG1747,MAX(0.1,N(Cockpit!$C$6)))-CK1747)),0)</f>
        <v>0</v>
      </c>
      <c r="AM1747" s="51" t="n">
        <f aca="false">IF(AI1747&gt;0,J1747/AI1747,-1)</f>
        <v>-1</v>
      </c>
      <c r="AN1747" s="51" t="str">
        <f aca="false">IF(AND(OR(CF1747="L1",CF1747="L23",CF1747="LIFT"),AI1747&gt;0),SUMIFS($AI$7:$AI$1843,$CF$7:$CF$1843,CF1747,$AM$7:$AM$1843,"&gt;"&amp;AM1747)+SUMIFS($AI$7:$AI$1843,$CF$7:$CF$1843,CF1747,$AM$7:$AM$1843,AM1747,$BW$7:$BW$1843,"&lt;="&amp;BW1747),"")</f>
        <v/>
      </c>
      <c r="AO1747" s="58" t="n">
        <f aca="false">IF(AN1747="",0,MAX(0,MIN(1,(IF(CF1747="L1",Parameter!$H$5,IF(CF1747="L23",Parameter!$H$6+Parameter!$H$7,Parameter!$H$5+Parameter!$H$6+Parameter!$H$7))-(AN1747-AI1747))/AI1747)))</f>
        <v>0</v>
      </c>
      <c r="AP1747" s="50" t="n">
        <f aca="false">IF(LEFT(Cockpit!$I$5,1)="A",H1747,IF(Parameter!$E$30="MAX-Bestand",IF(CH1747=1,CI1747,IF(LEFT(Cockpit!$I$5,1)="B",AV1747,MAX(AV1747,H1747))),ROUNDUP(AT1747,0)))</f>
        <v>0</v>
      </c>
      <c r="AQ1747" s="50" t="n">
        <f aca="false">IF(BZ1747=1,0,ROUNDUP(AP1747/BY1747,0))</f>
        <v>0</v>
      </c>
      <c r="AR1747" s="52" t="n">
        <f aca="false">IF(CQ1747&gt;0,CQ1747*MAX(1,AP1747/X1747),IF(BZ1747=1,IF(AP1747&lt;=0,0,CD1747*MAX(1,IF(H1747&gt;0,AP1747/H1747,1))),IF(R1747&gt;0,AQ1747/R1747,0))/MAX(0.1,N(Parameter!$M$21)))</f>
        <v>0</v>
      </c>
      <c r="AS1747" s="50" t="n">
        <f aca="false">AR1747*CB1747</f>
        <v>0</v>
      </c>
      <c r="AT1747" s="51" t="n">
        <f aca="false">IF(LEFT(Cockpit!$I$5,1)="A",H1747,IF(CH1747=1,(CK1747+CI1747)/2,IF(LEFT(Cockpit!$I$5,1)="B",(CK1747+AV1747)/2,MAX((CK1747+AV1747)/2,H1747))))</f>
        <v>0</v>
      </c>
      <c r="AU1747" s="50" t="n">
        <f aca="false">AT1747*G1747</f>
        <v>0</v>
      </c>
      <c r="AV1747" s="50" t="n">
        <f aca="false">ROUNDUP(CK1747+MAX(CL1747,2*(J1747/IF(CG1747&gt;0,CG1747,MAX(0.1,N(Cockpit!$I$6)))-CK1747)),0)</f>
        <v>0</v>
      </c>
      <c r="AW1747" s="51" t="n">
        <f aca="false">IF(AS1747&gt;0,J1747/AS1747,-1)</f>
        <v>-1</v>
      </c>
      <c r="AX1747" s="51" t="str">
        <f aca="false">IF(AND(OR(CF1747="L1",CF1747="L23",CF1747="LIFT"),AS1747&gt;0),SUMIFS($AS$7:$AS$1843,$CF$7:$CF$1843,CF1747,$AW$7:$AW$1843,"&gt;"&amp;AW1747)+SUMIFS($AS$7:$AS$1843,$CF$7:$CF$1843,CF1747,$AW$7:$AW$1843,AW1747,$BW$7:$BW$1843,"&lt;="&amp;BW1747),"")</f>
        <v/>
      </c>
      <c r="AY1747" s="58" t="n">
        <f aca="false">IF(AX1747="",0,MAX(0,MIN(1,(IF(CF1747="L1",Parameter!$H$5,IF(CF1747="L23",Parameter!$H$6+Parameter!$H$7,Parameter!$H$5+Parameter!$H$6+Parameter!$H$7))-(AX1747-AS1747))/AS1747)))</f>
        <v>0</v>
      </c>
      <c r="AZ1747" s="50" t="n">
        <f aca="false">IF(LEFT(Cockpit!$O$5,1)="A",H1747,IF(Parameter!$E$30="MAX-Bestand",IF(CH1747=1,CI1747,IF(LEFT(Cockpit!$O$5,1)="B",BF1747,MAX(BF1747,H1747))),ROUNDUP(BD1747,0)))</f>
        <v>0</v>
      </c>
      <c r="BA1747" s="50" t="n">
        <f aca="false">IF(BZ1747=1,0,ROUNDUP(AZ1747/BY1747,0))</f>
        <v>0</v>
      </c>
      <c r="BB1747" s="52" t="n">
        <f aca="false">IF(CQ1747&gt;0,CQ1747*MAX(1,AZ1747/X1747),IF(BZ1747=1,IF(AZ1747&lt;=0,0,CD1747*MAX(1,IF(H1747&gt;0,AZ1747/H1747,1))),IF(R1747&gt;0,BA1747/R1747,0))/MAX(0.1,N(Parameter!$M$21)))</f>
        <v>0</v>
      </c>
      <c r="BC1747" s="50" t="n">
        <f aca="false">BB1747*CB1747</f>
        <v>0</v>
      </c>
      <c r="BD1747" s="51" t="n">
        <f aca="false">IF(LEFT(Cockpit!$O$5,1)="A",H1747,IF(CH1747=1,(CK1747+CI1747)/2,IF(LEFT(Cockpit!$O$5,1)="B",(CK1747+BF1747)/2,MAX((CK1747+BF1747)/2,H1747))))</f>
        <v>0</v>
      </c>
      <c r="BE1747" s="50" t="n">
        <f aca="false">BD1747*G1747</f>
        <v>0</v>
      </c>
      <c r="BF1747" s="50" t="n">
        <f aca="false">ROUNDUP(CK1747+MAX(CL1747,2*(J1747/IF(CG1747&gt;0,CG1747,MAX(0.1,N(Cockpit!$O$6)))-CK1747)),0)</f>
        <v>0</v>
      </c>
      <c r="BG1747" s="51" t="n">
        <f aca="false">IF(BC1747&gt;0,J1747/BC1747,-1)</f>
        <v>-1</v>
      </c>
      <c r="BH1747" s="51" t="str">
        <f aca="false">IF(AND(OR(CF1747="L1",CF1747="L23",CF1747="LIFT"),BC1747&gt;0),SUMIFS($BC$7:$BC$1843,$CF$7:$CF$1843,CF1747,$BG$7:$BG$1843,"&gt;"&amp;BG1747)+SUMIFS($BC$7:$BC$1843,$CF$7:$CF$1843,CF1747,$BG$7:$BG$1843,BG1747,$BW$7:$BW$1843,"&lt;="&amp;BW1747),"")</f>
        <v/>
      </c>
      <c r="BI1747" s="58" t="n">
        <f aca="false">IF(BH1747="",0,MAX(0,MIN(1,(IF(CF1747="L1",Parameter!$H$5,IF(CF1747="L23",Parameter!$H$6+Parameter!$H$7,Parameter!$H$5+Parameter!$H$6+Parameter!$H$7))-(BH1747-BC1747))/BC1747)))</f>
        <v>0</v>
      </c>
      <c r="BJ1747" s="48" t="str">
        <f aca="false">IF(AI1747&lt;=0,"",IF(CF1747="Aussen","Aussenlager",IF(CF1747="-","Nicht im Lift",IF(AO1747&gt;=1,"Lift",IF(AO1747&lt;=0,"Aussenlager","teilweise")))))</f>
        <v/>
      </c>
      <c r="BK1747" s="48" t="str">
        <f aca="false">IF(AS1747&lt;=0,"",IF(CF1747="Aussen","Aussenlager",IF(CF1747="-","Nicht im Lift",IF(AY1747&gt;=1,"Lift",IF(AY1747&lt;=0,"Aussenlager","teilweise")))))</f>
        <v/>
      </c>
      <c r="BL1747" s="48" t="str">
        <f aca="false">IF(BC1747&lt;=0,"",IF(CF1747="Aussen","Aussenlager",IF(CF1747="-","Nicht im Lift",IF(BI1747&gt;=1,"Lift",IF(BI1747&lt;=0,"Aussenlager","teilweise")))))</f>
        <v/>
      </c>
      <c r="BM1747" s="48" t="str">
        <f aca="false">IF(A1747="","",IF(BV1747=1,"Neu; ","")&amp;IF(AND(BV1747=0,BQ1747&lt;0),"negativer Bestand (Export "&amp;BQ1747&amp;"); ","")&amp;IF(J1747&lt;=0,"Kein Verbrauch; ","")&amp;IF(CQ1747&gt;0,"Lift "&amp;W1747&amp;" lt. Liftbericht (Fach "&amp;X1747&amp;" Stk); ",IF(CA1747=1,"Gebinde geschätzt ("&amp;T1747&amp;"); ",IF(BZ1747=1,"Lose – Tablare geschätzt; ","")))&amp;IF(H1747&gt;AV1747,"Überbestand "&amp;ROUND(H1747-AV1747,0)&amp;" Stk / CHF "&amp;ROUND((H1747-AV1747)*G1747,0)&amp;"; ","")&amp;IF(AND(CH1747=1,CI1747&lt;CJ1747),"MAX &lt; MB+LG; ","")&amp;IF(AND(CP1747&gt;0,CO1747*10&gt;CP1747),"zu hoch für Tablar; ","")&amp;IF(AND(BV1747=0,OR(CH1747=1,AA1747&lt;&gt;"",U1747&lt;&gt;"",V1747&lt;&gt;"",AB1747&lt;&gt;"")),"manuell übersteuert; ","")&amp;IF(AND(BZ1747=0,R1747=0),"Gebinde unbekannt / Stellmass fehlt; ","")&amp;IF(AND(BZ1747=0,N(V1747)&lt;=0,N(Q1747)&lt;=0),"Menge pro Gebinde fehlt (Ist = 1 Gebinde); ","")&amp;BU1747)</f>
        <v/>
      </c>
      <c r="BN1747" s="48"/>
      <c r="BO1747" s="48"/>
      <c r="BP1747" s="55"/>
      <c r="BQ1747" s="50" t="n">
        <f aca="false">N('Neue Artikel'!$D$8)</f>
        <v>0</v>
      </c>
      <c r="BR1747" s="50" t="n">
        <v>0</v>
      </c>
      <c r="BS1747" s="49" t="n">
        <v>0</v>
      </c>
      <c r="BT1747" s="50" t="n">
        <f aca="false">N('Neue Artikel'!$C$8)/Parameter!$B$18</f>
        <v>0</v>
      </c>
      <c r="BU1747" s="48"/>
      <c r="BV1747" s="53" t="n">
        <v>1</v>
      </c>
      <c r="BW1747" s="53" t="n">
        <v>1747</v>
      </c>
      <c r="BX1747" s="48" t="str">
        <f aca="false">IF(U1747&lt;&gt;"",UPPER(TRIM(U1747)),IF(CA1747=1,UPPER(VLOOKUP(T1747,Parameter!$I$27:$K$29,2,0)),IF(P1747="","LOSE",P1747)))</f>
        <v>LOSE</v>
      </c>
      <c r="BY1747" s="50" t="n">
        <f aca="false">IF(BX1747="LOSE",1,IF(N(V1747)&gt;0,V1747,IF(CA1747=1,MAX(1,N(VLOOKUP(T1747,Parameter!$I$27:$K$29,3,0)),H1747,N(N1747)),IF(N(Q1747)&gt;0,Q1747,MAX(1,H1747)))))</f>
        <v>1</v>
      </c>
      <c r="BZ1747" s="53" t="n">
        <f aca="false">IF(BX1747="LOSE",1,0)</f>
        <v>1</v>
      </c>
      <c r="CA1747" s="53" t="n">
        <f aca="false">IF(AND(U1747="",OR(P1747="",P1747="LOSE"),T1747&lt;&gt;"",N(S1747)&lt;=0,ISNUMBER(MATCH(T1747,Parameter!$I$27:$I$29,0))),1,0)</f>
        <v>0</v>
      </c>
      <c r="CB1747" s="53" t="n">
        <f aca="false">IF(CQ1747&gt;0,INDEX(Parameter!$H$5:$H$7,W1747)/INDEX(Parameter!$E$5:$E$7,W1747),IF(AND(BZ1747=0,N(IFERROR(VLOOKUP(BX1747,'Gebinde-Kategorie'!$A$5:$N$45,14,0),0))&gt;0),VLOOKUP(BX1747,'Gebinde-Kategorie'!$A$5:$N$45,14,0)*10+Parameter!$M$23,Parameter!$M$24))</f>
        <v>235</v>
      </c>
      <c r="CC1747" s="48" t="str">
        <f aca="false">IF(AND(Parameter!$B$19="Ja",E1747&lt;&gt;"",ISNUMBER(MATCH(E1747,Parameter!$I$35:$I$52,0))),VLOOKUP(E1747,Parameter!$I$35:$J$52,2,0),IFERROR(VLOOKUP(D1747,Parameter!$A$35:$C$64,2,0),"Nein"))</f>
        <v>2+3</v>
      </c>
      <c r="CD1747" s="52" t="n">
        <f aca="false">IF(BZ1747=0,0,IF(N(S1747)&gt;0,S1747,IFERROR(VLOOKUP(D1747,Parameter!$A$35:$C$64,3,0)+0,0)))</f>
        <v>0.15</v>
      </c>
      <c r="CE1747" s="48" t="str">
        <f aca="false">IF(AA1747&lt;&gt;"",AA1747,Z1747)</f>
        <v/>
      </c>
      <c r="CF1747" s="48" t="str">
        <f aca="false">IF(OR(CE1747=1,CE1747=2,CE1747=3),IF(Parameter!$E$27="Ja","LIFT",IF(CE1747=1,"L1","L23")),IF(CE1747="Aussen","Aussen","-"))</f>
        <v>-</v>
      </c>
      <c r="CG1747" s="59" t="n">
        <f aca="false">IF(N(AB1747)&gt;0,AB1747,0)</f>
        <v>0</v>
      </c>
      <c r="CH1747" s="53" t="n">
        <f aca="false">IF(ISNUMBER(AE1747),1,0)</f>
        <v>0</v>
      </c>
      <c r="CI1747" s="50" t="n">
        <f aca="false">N(AE1747)</f>
        <v>0</v>
      </c>
      <c r="CJ1747" s="50" t="n">
        <f aca="false">N(M1747)+N(N1747)</f>
        <v>0</v>
      </c>
      <c r="CK1747" s="50" t="n">
        <f aca="false">N(M1747)</f>
        <v>0</v>
      </c>
      <c r="CL1747" s="50" t="n">
        <f aca="false">N(N1747)</f>
        <v>0</v>
      </c>
      <c r="CM1747" s="50" t="n">
        <f aca="false">ROUNDUP(H1747/BY1747,0)</f>
        <v>0</v>
      </c>
      <c r="CN1747" s="50" t="n">
        <f aca="false">ROUNDUP(CI1747/BY1747,0)</f>
        <v>0</v>
      </c>
      <c r="CO1747" s="53" t="n">
        <f aca="false">IF(BZ1747=1,0,IFERROR(VLOOKUP(BX1747,'Gebinde-Kategorie'!$A$5:$N$45,5,0)+0,0))</f>
        <v>0</v>
      </c>
      <c r="CP1747" s="53" t="n">
        <f aca="false">IFERROR(IF(OR(CE1747=1,CE1747=2,CE1747=3),N(INDEX(Parameter!$I$5:$I$7,CE1747)),0),0)</f>
        <v>0</v>
      </c>
      <c r="CQ1747" s="52" t="n">
        <f aca="false">IF(AND(Parameter!$B$21="Ja",ISNUMBER(W1747),N(X1747)&gt;0),IFERROR(N(INDEX(Parameter!$L$5:$L$7,W1747))*INDEX(Parameter!$E$5:$E$7,W1747)*X1747/SUMIFS($X$7:$X$1843,$W$7:$W$1843,W1747),0),0)</f>
        <v>0</v>
      </c>
    </row>
    <row r="1748" customFormat="false" ht="15" hidden="false" customHeight="false" outlineLevel="0" collapsed="false">
      <c r="A1748" s="48" t="str">
        <f aca="false">IF('Neue Artikel'!$A$9="","",'Neue Artikel'!$A$9&amp;"")</f>
        <v/>
      </c>
      <c r="B1748" s="48" t="str">
        <f aca="false">'Neue Artikel'!$B$9&amp;""</f>
        <v/>
      </c>
      <c r="C1748" s="48"/>
      <c r="D1748" s="48" t="s">
        <v>3024</v>
      </c>
      <c r="E1748" s="48"/>
      <c r="F1748" s="48"/>
      <c r="G1748" s="49" t="n">
        <f aca="false">N('Neue Artikel'!$G$9)</f>
        <v>0</v>
      </c>
      <c r="H1748" s="50" t="n">
        <f aca="false">MAX(0,IF(AND(Parameter!$B$21="Ja",ISNUMBER(Y1748)),Y1748,IF(Parameter!$B$20="Jahresanfang 2025 + Export",BR1748+BQ1748,BQ1748)))</f>
        <v>0</v>
      </c>
      <c r="I1748" s="50" t="n">
        <f aca="false">H1748*G1748</f>
        <v>0</v>
      </c>
      <c r="J1748" s="50" t="n">
        <f aca="false">BT1748*Parameter!$B$18</f>
        <v>0</v>
      </c>
      <c r="K1748" s="51"/>
      <c r="L1748" s="52"/>
      <c r="M1748" s="50" t="n">
        <f aca="false">N('Neue Artikel'!$E$9)</f>
        <v>0</v>
      </c>
      <c r="N1748" s="50" t="n">
        <f aca="false">N('Neue Artikel'!$F$9)</f>
        <v>0</v>
      </c>
      <c r="O1748" s="53"/>
      <c r="P1748" s="48" t="str">
        <f aca="false">IF('Neue Artikel'!$H$9="","LOSE",UPPER(TRIM('Neue Artikel'!$H$9)))</f>
        <v>LOSE</v>
      </c>
      <c r="Q1748" s="50" t="n">
        <f aca="false">N('Neue Artikel'!$I$9)</f>
        <v>0</v>
      </c>
      <c r="R1748" s="53" t="n">
        <f aca="false">IF(BZ1748=1,0,IFERROR(VLOOKUP(BX1748,'Gebinde-Kategorie'!$A$5:$N$45,13,0)+0,0))</f>
        <v>0</v>
      </c>
      <c r="S1748" s="54"/>
      <c r="T1748" s="55"/>
      <c r="U1748" s="55"/>
      <c r="V1748" s="55"/>
      <c r="W1748" s="48"/>
      <c r="X1748" s="50"/>
      <c r="Y1748" s="50"/>
      <c r="Z1748" s="48" t="str">
        <f aca="false">IF(A1748="","",IF(AND(Parameter!$B$21="Ja",ISNUMBER(W1748)),W1748,IF(CC1748="2+3",IF(ISNUMBER(SEARCH("grosser Artikel",BU1748)),2,IFERROR(VLOOKUP(BX1748,Parameter!$F$35:$G$64,2,0),2)),IF(OR(CC1748="Nein",CC1748=""),"-",CC1748))))</f>
        <v/>
      </c>
      <c r="AA1748" s="48" t="str">
        <f aca="false">IF('Neue Artikel'!$J$9="","",'Neue Artikel'!$J$9)</f>
        <v/>
      </c>
      <c r="AB1748" s="56"/>
      <c r="AC1748" s="50" t="n">
        <f aca="false">AV1748</f>
        <v>0</v>
      </c>
      <c r="AD1748" s="50" t="n">
        <f aca="false">MAX(AV1748,H1748)</f>
        <v>0</v>
      </c>
      <c r="AE1748" s="57"/>
      <c r="AF1748" s="50" t="n">
        <f aca="false">IF(LEFT(Cockpit!$C$5,1)="A",H1748,IF(Parameter!$E$30="MAX-Bestand",IF(CH1748=1,CI1748,IF(LEFT(Cockpit!$C$5,1)="B",AL1748,MAX(AL1748,H1748))),ROUNDUP(AJ1748,0)))</f>
        <v>0</v>
      </c>
      <c r="AG1748" s="50" t="n">
        <f aca="false">IF(BZ1748=1,0,ROUNDUP(AF1748/BY1748,0))</f>
        <v>0</v>
      </c>
      <c r="AH1748" s="52" t="n">
        <f aca="false">IF(CQ1748&gt;0,CQ1748*MAX(1,AF1748/X1748),IF(BZ1748=1,IF(AF1748&lt;=0,0,CD1748*MAX(1,IF(H1748&gt;0,AF1748/H1748,1))),IF(R1748&gt;0,AG1748/R1748,0))/MAX(0.1,N(Parameter!$M$21)))</f>
        <v>0</v>
      </c>
      <c r="AI1748" s="50" t="n">
        <f aca="false">AH1748*CB1748</f>
        <v>0</v>
      </c>
      <c r="AJ1748" s="51" t="n">
        <f aca="false">IF(LEFT(Cockpit!$C$5,1)="A",H1748,IF(CH1748=1,(CK1748+CI1748)/2,IF(LEFT(Cockpit!$C$5,1)="B",(CK1748+AL1748)/2,MAX((CK1748+AL1748)/2,H1748))))</f>
        <v>0</v>
      </c>
      <c r="AK1748" s="50" t="n">
        <f aca="false">AJ1748*G1748</f>
        <v>0</v>
      </c>
      <c r="AL1748" s="50" t="n">
        <f aca="false">ROUNDUP(CK1748+MAX(CL1748,2*(J1748/IF(CG1748&gt;0,CG1748,MAX(0.1,N(Cockpit!$C$6)))-CK1748)),0)</f>
        <v>0</v>
      </c>
      <c r="AM1748" s="51" t="n">
        <f aca="false">IF(AI1748&gt;0,J1748/AI1748,-1)</f>
        <v>-1</v>
      </c>
      <c r="AN1748" s="51" t="str">
        <f aca="false">IF(AND(OR(CF1748="L1",CF1748="L23",CF1748="LIFT"),AI1748&gt;0),SUMIFS($AI$7:$AI$1843,$CF$7:$CF$1843,CF1748,$AM$7:$AM$1843,"&gt;"&amp;AM1748)+SUMIFS($AI$7:$AI$1843,$CF$7:$CF$1843,CF1748,$AM$7:$AM$1843,AM1748,$BW$7:$BW$1843,"&lt;="&amp;BW1748),"")</f>
        <v/>
      </c>
      <c r="AO1748" s="58" t="n">
        <f aca="false">IF(AN1748="",0,MAX(0,MIN(1,(IF(CF1748="L1",Parameter!$H$5,IF(CF1748="L23",Parameter!$H$6+Parameter!$H$7,Parameter!$H$5+Parameter!$H$6+Parameter!$H$7))-(AN1748-AI1748))/AI1748)))</f>
        <v>0</v>
      </c>
      <c r="AP1748" s="50" t="n">
        <f aca="false">IF(LEFT(Cockpit!$I$5,1)="A",H1748,IF(Parameter!$E$30="MAX-Bestand",IF(CH1748=1,CI1748,IF(LEFT(Cockpit!$I$5,1)="B",AV1748,MAX(AV1748,H1748))),ROUNDUP(AT1748,0)))</f>
        <v>0</v>
      </c>
      <c r="AQ1748" s="50" t="n">
        <f aca="false">IF(BZ1748=1,0,ROUNDUP(AP1748/BY1748,0))</f>
        <v>0</v>
      </c>
      <c r="AR1748" s="52" t="n">
        <f aca="false">IF(CQ1748&gt;0,CQ1748*MAX(1,AP1748/X1748),IF(BZ1748=1,IF(AP1748&lt;=0,0,CD1748*MAX(1,IF(H1748&gt;0,AP1748/H1748,1))),IF(R1748&gt;0,AQ1748/R1748,0))/MAX(0.1,N(Parameter!$M$21)))</f>
        <v>0</v>
      </c>
      <c r="AS1748" s="50" t="n">
        <f aca="false">AR1748*CB1748</f>
        <v>0</v>
      </c>
      <c r="AT1748" s="51" t="n">
        <f aca="false">IF(LEFT(Cockpit!$I$5,1)="A",H1748,IF(CH1748=1,(CK1748+CI1748)/2,IF(LEFT(Cockpit!$I$5,1)="B",(CK1748+AV1748)/2,MAX((CK1748+AV1748)/2,H1748))))</f>
        <v>0</v>
      </c>
      <c r="AU1748" s="50" t="n">
        <f aca="false">AT1748*G1748</f>
        <v>0</v>
      </c>
      <c r="AV1748" s="50" t="n">
        <f aca="false">ROUNDUP(CK1748+MAX(CL1748,2*(J1748/IF(CG1748&gt;0,CG1748,MAX(0.1,N(Cockpit!$I$6)))-CK1748)),0)</f>
        <v>0</v>
      </c>
      <c r="AW1748" s="51" t="n">
        <f aca="false">IF(AS1748&gt;0,J1748/AS1748,-1)</f>
        <v>-1</v>
      </c>
      <c r="AX1748" s="51" t="str">
        <f aca="false">IF(AND(OR(CF1748="L1",CF1748="L23",CF1748="LIFT"),AS1748&gt;0),SUMIFS($AS$7:$AS$1843,$CF$7:$CF$1843,CF1748,$AW$7:$AW$1843,"&gt;"&amp;AW1748)+SUMIFS($AS$7:$AS$1843,$CF$7:$CF$1843,CF1748,$AW$7:$AW$1843,AW1748,$BW$7:$BW$1843,"&lt;="&amp;BW1748),"")</f>
        <v/>
      </c>
      <c r="AY1748" s="58" t="n">
        <f aca="false">IF(AX1748="",0,MAX(0,MIN(1,(IF(CF1748="L1",Parameter!$H$5,IF(CF1748="L23",Parameter!$H$6+Parameter!$H$7,Parameter!$H$5+Parameter!$H$6+Parameter!$H$7))-(AX1748-AS1748))/AS1748)))</f>
        <v>0</v>
      </c>
      <c r="AZ1748" s="50" t="n">
        <f aca="false">IF(LEFT(Cockpit!$O$5,1)="A",H1748,IF(Parameter!$E$30="MAX-Bestand",IF(CH1748=1,CI1748,IF(LEFT(Cockpit!$O$5,1)="B",BF1748,MAX(BF1748,H1748))),ROUNDUP(BD1748,0)))</f>
        <v>0</v>
      </c>
      <c r="BA1748" s="50" t="n">
        <f aca="false">IF(BZ1748=1,0,ROUNDUP(AZ1748/BY1748,0))</f>
        <v>0</v>
      </c>
      <c r="BB1748" s="52" t="n">
        <f aca="false">IF(CQ1748&gt;0,CQ1748*MAX(1,AZ1748/X1748),IF(BZ1748=1,IF(AZ1748&lt;=0,0,CD1748*MAX(1,IF(H1748&gt;0,AZ1748/H1748,1))),IF(R1748&gt;0,BA1748/R1748,0))/MAX(0.1,N(Parameter!$M$21)))</f>
        <v>0</v>
      </c>
      <c r="BC1748" s="50" t="n">
        <f aca="false">BB1748*CB1748</f>
        <v>0</v>
      </c>
      <c r="BD1748" s="51" t="n">
        <f aca="false">IF(LEFT(Cockpit!$O$5,1)="A",H1748,IF(CH1748=1,(CK1748+CI1748)/2,IF(LEFT(Cockpit!$O$5,1)="B",(CK1748+BF1748)/2,MAX((CK1748+BF1748)/2,H1748))))</f>
        <v>0</v>
      </c>
      <c r="BE1748" s="50" t="n">
        <f aca="false">BD1748*G1748</f>
        <v>0</v>
      </c>
      <c r="BF1748" s="50" t="n">
        <f aca="false">ROUNDUP(CK1748+MAX(CL1748,2*(J1748/IF(CG1748&gt;0,CG1748,MAX(0.1,N(Cockpit!$O$6)))-CK1748)),0)</f>
        <v>0</v>
      </c>
      <c r="BG1748" s="51" t="n">
        <f aca="false">IF(BC1748&gt;0,J1748/BC1748,-1)</f>
        <v>-1</v>
      </c>
      <c r="BH1748" s="51" t="str">
        <f aca="false">IF(AND(OR(CF1748="L1",CF1748="L23",CF1748="LIFT"),BC1748&gt;0),SUMIFS($BC$7:$BC$1843,$CF$7:$CF$1843,CF1748,$BG$7:$BG$1843,"&gt;"&amp;BG1748)+SUMIFS($BC$7:$BC$1843,$CF$7:$CF$1843,CF1748,$BG$7:$BG$1843,BG1748,$BW$7:$BW$1843,"&lt;="&amp;BW1748),"")</f>
        <v/>
      </c>
      <c r="BI1748" s="58" t="n">
        <f aca="false">IF(BH1748="",0,MAX(0,MIN(1,(IF(CF1748="L1",Parameter!$H$5,IF(CF1748="L23",Parameter!$H$6+Parameter!$H$7,Parameter!$H$5+Parameter!$H$6+Parameter!$H$7))-(BH1748-BC1748))/BC1748)))</f>
        <v>0</v>
      </c>
      <c r="BJ1748" s="48" t="str">
        <f aca="false">IF(AI1748&lt;=0,"",IF(CF1748="Aussen","Aussenlager",IF(CF1748="-","Nicht im Lift",IF(AO1748&gt;=1,"Lift",IF(AO1748&lt;=0,"Aussenlager","teilweise")))))</f>
        <v/>
      </c>
      <c r="BK1748" s="48" t="str">
        <f aca="false">IF(AS1748&lt;=0,"",IF(CF1748="Aussen","Aussenlager",IF(CF1748="-","Nicht im Lift",IF(AY1748&gt;=1,"Lift",IF(AY1748&lt;=0,"Aussenlager","teilweise")))))</f>
        <v/>
      </c>
      <c r="BL1748" s="48" t="str">
        <f aca="false">IF(BC1748&lt;=0,"",IF(CF1748="Aussen","Aussenlager",IF(CF1748="-","Nicht im Lift",IF(BI1748&gt;=1,"Lift",IF(BI1748&lt;=0,"Aussenlager","teilweise")))))</f>
        <v/>
      </c>
      <c r="BM1748" s="48" t="str">
        <f aca="false">IF(A1748="","",IF(BV1748=1,"Neu; ","")&amp;IF(AND(BV1748=0,BQ1748&lt;0),"negativer Bestand (Export "&amp;BQ1748&amp;"); ","")&amp;IF(J1748&lt;=0,"Kein Verbrauch; ","")&amp;IF(CQ1748&gt;0,"Lift "&amp;W1748&amp;" lt. Liftbericht (Fach "&amp;X1748&amp;" Stk); ",IF(CA1748=1,"Gebinde geschätzt ("&amp;T1748&amp;"); ",IF(BZ1748=1,"Lose – Tablare geschätzt; ","")))&amp;IF(H1748&gt;AV1748,"Überbestand "&amp;ROUND(H1748-AV1748,0)&amp;" Stk / CHF "&amp;ROUND((H1748-AV1748)*G1748,0)&amp;"; ","")&amp;IF(AND(CH1748=1,CI1748&lt;CJ1748),"MAX &lt; MB+LG; ","")&amp;IF(AND(CP1748&gt;0,CO1748*10&gt;CP1748),"zu hoch für Tablar; ","")&amp;IF(AND(BV1748=0,OR(CH1748=1,AA1748&lt;&gt;"",U1748&lt;&gt;"",V1748&lt;&gt;"",AB1748&lt;&gt;"")),"manuell übersteuert; ","")&amp;IF(AND(BZ1748=0,R1748=0),"Gebinde unbekannt / Stellmass fehlt; ","")&amp;IF(AND(BZ1748=0,N(V1748)&lt;=0,N(Q1748)&lt;=0),"Menge pro Gebinde fehlt (Ist = 1 Gebinde); ","")&amp;BU1748)</f>
        <v/>
      </c>
      <c r="BN1748" s="48"/>
      <c r="BO1748" s="48"/>
      <c r="BP1748" s="55"/>
      <c r="BQ1748" s="50" t="n">
        <f aca="false">N('Neue Artikel'!$D$9)</f>
        <v>0</v>
      </c>
      <c r="BR1748" s="50" t="n">
        <v>0</v>
      </c>
      <c r="BS1748" s="49" t="n">
        <v>0</v>
      </c>
      <c r="BT1748" s="50" t="n">
        <f aca="false">N('Neue Artikel'!$C$9)/Parameter!$B$18</f>
        <v>0</v>
      </c>
      <c r="BU1748" s="48"/>
      <c r="BV1748" s="53" t="n">
        <v>1</v>
      </c>
      <c r="BW1748" s="53" t="n">
        <v>1748</v>
      </c>
      <c r="BX1748" s="48" t="str">
        <f aca="false">IF(U1748&lt;&gt;"",UPPER(TRIM(U1748)),IF(CA1748=1,UPPER(VLOOKUP(T1748,Parameter!$I$27:$K$29,2,0)),IF(P1748="","LOSE",P1748)))</f>
        <v>LOSE</v>
      </c>
      <c r="BY1748" s="50" t="n">
        <f aca="false">IF(BX1748="LOSE",1,IF(N(V1748)&gt;0,V1748,IF(CA1748=1,MAX(1,N(VLOOKUP(T1748,Parameter!$I$27:$K$29,3,0)),H1748,N(N1748)),IF(N(Q1748)&gt;0,Q1748,MAX(1,H1748)))))</f>
        <v>1</v>
      </c>
      <c r="BZ1748" s="53" t="n">
        <f aca="false">IF(BX1748="LOSE",1,0)</f>
        <v>1</v>
      </c>
      <c r="CA1748" s="53" t="n">
        <f aca="false">IF(AND(U1748="",OR(P1748="",P1748="LOSE"),T1748&lt;&gt;"",N(S1748)&lt;=0,ISNUMBER(MATCH(T1748,Parameter!$I$27:$I$29,0))),1,0)</f>
        <v>0</v>
      </c>
      <c r="CB1748" s="53" t="n">
        <f aca="false">IF(CQ1748&gt;0,INDEX(Parameter!$H$5:$H$7,W1748)/INDEX(Parameter!$E$5:$E$7,W1748),IF(AND(BZ1748=0,N(IFERROR(VLOOKUP(BX1748,'Gebinde-Kategorie'!$A$5:$N$45,14,0),0))&gt;0),VLOOKUP(BX1748,'Gebinde-Kategorie'!$A$5:$N$45,14,0)*10+Parameter!$M$23,Parameter!$M$24))</f>
        <v>235</v>
      </c>
      <c r="CC1748" s="48" t="str">
        <f aca="false">IF(AND(Parameter!$B$19="Ja",E1748&lt;&gt;"",ISNUMBER(MATCH(E1748,Parameter!$I$35:$I$52,0))),VLOOKUP(E1748,Parameter!$I$35:$J$52,2,0),IFERROR(VLOOKUP(D1748,Parameter!$A$35:$C$64,2,0),"Nein"))</f>
        <v>2+3</v>
      </c>
      <c r="CD1748" s="52" t="n">
        <f aca="false">IF(BZ1748=0,0,IF(N(S1748)&gt;0,S1748,IFERROR(VLOOKUP(D1748,Parameter!$A$35:$C$64,3,0)+0,0)))</f>
        <v>0.15</v>
      </c>
      <c r="CE1748" s="48" t="str">
        <f aca="false">IF(AA1748&lt;&gt;"",AA1748,Z1748)</f>
        <v/>
      </c>
      <c r="CF1748" s="48" t="str">
        <f aca="false">IF(OR(CE1748=1,CE1748=2,CE1748=3),IF(Parameter!$E$27="Ja","LIFT",IF(CE1748=1,"L1","L23")),IF(CE1748="Aussen","Aussen","-"))</f>
        <v>-</v>
      </c>
      <c r="CG1748" s="59" t="n">
        <f aca="false">IF(N(AB1748)&gt;0,AB1748,0)</f>
        <v>0</v>
      </c>
      <c r="CH1748" s="53" t="n">
        <f aca="false">IF(ISNUMBER(AE1748),1,0)</f>
        <v>0</v>
      </c>
      <c r="CI1748" s="50" t="n">
        <f aca="false">N(AE1748)</f>
        <v>0</v>
      </c>
      <c r="CJ1748" s="50" t="n">
        <f aca="false">N(M1748)+N(N1748)</f>
        <v>0</v>
      </c>
      <c r="CK1748" s="50" t="n">
        <f aca="false">N(M1748)</f>
        <v>0</v>
      </c>
      <c r="CL1748" s="50" t="n">
        <f aca="false">N(N1748)</f>
        <v>0</v>
      </c>
      <c r="CM1748" s="50" t="n">
        <f aca="false">ROUNDUP(H1748/BY1748,0)</f>
        <v>0</v>
      </c>
      <c r="CN1748" s="50" t="n">
        <f aca="false">ROUNDUP(CI1748/BY1748,0)</f>
        <v>0</v>
      </c>
      <c r="CO1748" s="53" t="n">
        <f aca="false">IF(BZ1748=1,0,IFERROR(VLOOKUP(BX1748,'Gebinde-Kategorie'!$A$5:$N$45,5,0)+0,0))</f>
        <v>0</v>
      </c>
      <c r="CP1748" s="53" t="n">
        <f aca="false">IFERROR(IF(OR(CE1748=1,CE1748=2,CE1748=3),N(INDEX(Parameter!$I$5:$I$7,CE1748)),0),0)</f>
        <v>0</v>
      </c>
      <c r="CQ1748" s="52" t="n">
        <f aca="false">IF(AND(Parameter!$B$21="Ja",ISNUMBER(W1748),N(X1748)&gt;0),IFERROR(N(INDEX(Parameter!$L$5:$L$7,W1748))*INDEX(Parameter!$E$5:$E$7,W1748)*X1748/SUMIFS($X$7:$X$1843,$W$7:$W$1843,W1748),0),0)</f>
        <v>0</v>
      </c>
    </row>
    <row r="1749" customFormat="false" ht="15" hidden="false" customHeight="false" outlineLevel="0" collapsed="false">
      <c r="A1749" s="48" t="str">
        <f aca="false">IF('Neue Artikel'!$A$10="","",'Neue Artikel'!$A$10&amp;"")</f>
        <v/>
      </c>
      <c r="B1749" s="48" t="str">
        <f aca="false">'Neue Artikel'!$B$10&amp;""</f>
        <v/>
      </c>
      <c r="C1749" s="48"/>
      <c r="D1749" s="48" t="s">
        <v>3024</v>
      </c>
      <c r="E1749" s="48"/>
      <c r="F1749" s="48"/>
      <c r="G1749" s="49" t="n">
        <f aca="false">N('Neue Artikel'!$G$10)</f>
        <v>0</v>
      </c>
      <c r="H1749" s="50" t="n">
        <f aca="false">MAX(0,IF(AND(Parameter!$B$21="Ja",ISNUMBER(Y1749)),Y1749,IF(Parameter!$B$20="Jahresanfang 2025 + Export",BR1749+BQ1749,BQ1749)))</f>
        <v>0</v>
      </c>
      <c r="I1749" s="50" t="n">
        <f aca="false">H1749*G1749</f>
        <v>0</v>
      </c>
      <c r="J1749" s="50" t="n">
        <f aca="false">BT1749*Parameter!$B$18</f>
        <v>0</v>
      </c>
      <c r="K1749" s="51"/>
      <c r="L1749" s="52"/>
      <c r="M1749" s="50" t="n">
        <f aca="false">N('Neue Artikel'!$E$10)</f>
        <v>0</v>
      </c>
      <c r="N1749" s="50" t="n">
        <f aca="false">N('Neue Artikel'!$F$10)</f>
        <v>0</v>
      </c>
      <c r="O1749" s="53"/>
      <c r="P1749" s="48" t="str">
        <f aca="false">IF('Neue Artikel'!$H$10="","LOSE",UPPER(TRIM('Neue Artikel'!$H$10)))</f>
        <v>LOSE</v>
      </c>
      <c r="Q1749" s="50" t="n">
        <f aca="false">N('Neue Artikel'!$I$10)</f>
        <v>0</v>
      </c>
      <c r="R1749" s="53" t="n">
        <f aca="false">IF(BZ1749=1,0,IFERROR(VLOOKUP(BX1749,'Gebinde-Kategorie'!$A$5:$N$45,13,0)+0,0))</f>
        <v>0</v>
      </c>
      <c r="S1749" s="54"/>
      <c r="T1749" s="55"/>
      <c r="U1749" s="55"/>
      <c r="V1749" s="55"/>
      <c r="W1749" s="48"/>
      <c r="X1749" s="50"/>
      <c r="Y1749" s="50"/>
      <c r="Z1749" s="48" t="str">
        <f aca="false">IF(A1749="","",IF(AND(Parameter!$B$21="Ja",ISNUMBER(W1749)),W1749,IF(CC1749="2+3",IF(ISNUMBER(SEARCH("grosser Artikel",BU1749)),2,IFERROR(VLOOKUP(BX1749,Parameter!$F$35:$G$64,2,0),2)),IF(OR(CC1749="Nein",CC1749=""),"-",CC1749))))</f>
        <v/>
      </c>
      <c r="AA1749" s="48" t="str">
        <f aca="false">IF('Neue Artikel'!$J$10="","",'Neue Artikel'!$J$10)</f>
        <v/>
      </c>
      <c r="AB1749" s="56"/>
      <c r="AC1749" s="50" t="n">
        <f aca="false">AV1749</f>
        <v>0</v>
      </c>
      <c r="AD1749" s="50" t="n">
        <f aca="false">MAX(AV1749,H1749)</f>
        <v>0</v>
      </c>
      <c r="AE1749" s="57"/>
      <c r="AF1749" s="50" t="n">
        <f aca="false">IF(LEFT(Cockpit!$C$5,1)="A",H1749,IF(Parameter!$E$30="MAX-Bestand",IF(CH1749=1,CI1749,IF(LEFT(Cockpit!$C$5,1)="B",AL1749,MAX(AL1749,H1749))),ROUNDUP(AJ1749,0)))</f>
        <v>0</v>
      </c>
      <c r="AG1749" s="50" t="n">
        <f aca="false">IF(BZ1749=1,0,ROUNDUP(AF1749/BY1749,0))</f>
        <v>0</v>
      </c>
      <c r="AH1749" s="52" t="n">
        <f aca="false">IF(CQ1749&gt;0,CQ1749*MAX(1,AF1749/X1749),IF(BZ1749=1,IF(AF1749&lt;=0,0,CD1749*MAX(1,IF(H1749&gt;0,AF1749/H1749,1))),IF(R1749&gt;0,AG1749/R1749,0))/MAX(0.1,N(Parameter!$M$21)))</f>
        <v>0</v>
      </c>
      <c r="AI1749" s="50" t="n">
        <f aca="false">AH1749*CB1749</f>
        <v>0</v>
      </c>
      <c r="AJ1749" s="51" t="n">
        <f aca="false">IF(LEFT(Cockpit!$C$5,1)="A",H1749,IF(CH1749=1,(CK1749+CI1749)/2,IF(LEFT(Cockpit!$C$5,1)="B",(CK1749+AL1749)/2,MAX((CK1749+AL1749)/2,H1749))))</f>
        <v>0</v>
      </c>
      <c r="AK1749" s="50" t="n">
        <f aca="false">AJ1749*G1749</f>
        <v>0</v>
      </c>
      <c r="AL1749" s="50" t="n">
        <f aca="false">ROUNDUP(CK1749+MAX(CL1749,2*(J1749/IF(CG1749&gt;0,CG1749,MAX(0.1,N(Cockpit!$C$6)))-CK1749)),0)</f>
        <v>0</v>
      </c>
      <c r="AM1749" s="51" t="n">
        <f aca="false">IF(AI1749&gt;0,J1749/AI1749,-1)</f>
        <v>-1</v>
      </c>
      <c r="AN1749" s="51" t="str">
        <f aca="false">IF(AND(OR(CF1749="L1",CF1749="L23",CF1749="LIFT"),AI1749&gt;0),SUMIFS($AI$7:$AI$1843,$CF$7:$CF$1843,CF1749,$AM$7:$AM$1843,"&gt;"&amp;AM1749)+SUMIFS($AI$7:$AI$1843,$CF$7:$CF$1843,CF1749,$AM$7:$AM$1843,AM1749,$BW$7:$BW$1843,"&lt;="&amp;BW1749),"")</f>
        <v/>
      </c>
      <c r="AO1749" s="58" t="n">
        <f aca="false">IF(AN1749="",0,MAX(0,MIN(1,(IF(CF1749="L1",Parameter!$H$5,IF(CF1749="L23",Parameter!$H$6+Parameter!$H$7,Parameter!$H$5+Parameter!$H$6+Parameter!$H$7))-(AN1749-AI1749))/AI1749)))</f>
        <v>0</v>
      </c>
      <c r="AP1749" s="50" t="n">
        <f aca="false">IF(LEFT(Cockpit!$I$5,1)="A",H1749,IF(Parameter!$E$30="MAX-Bestand",IF(CH1749=1,CI1749,IF(LEFT(Cockpit!$I$5,1)="B",AV1749,MAX(AV1749,H1749))),ROUNDUP(AT1749,0)))</f>
        <v>0</v>
      </c>
      <c r="AQ1749" s="50" t="n">
        <f aca="false">IF(BZ1749=1,0,ROUNDUP(AP1749/BY1749,0))</f>
        <v>0</v>
      </c>
      <c r="AR1749" s="52" t="n">
        <f aca="false">IF(CQ1749&gt;0,CQ1749*MAX(1,AP1749/X1749),IF(BZ1749=1,IF(AP1749&lt;=0,0,CD1749*MAX(1,IF(H1749&gt;0,AP1749/H1749,1))),IF(R1749&gt;0,AQ1749/R1749,0))/MAX(0.1,N(Parameter!$M$21)))</f>
        <v>0</v>
      </c>
      <c r="AS1749" s="50" t="n">
        <f aca="false">AR1749*CB1749</f>
        <v>0</v>
      </c>
      <c r="AT1749" s="51" t="n">
        <f aca="false">IF(LEFT(Cockpit!$I$5,1)="A",H1749,IF(CH1749=1,(CK1749+CI1749)/2,IF(LEFT(Cockpit!$I$5,1)="B",(CK1749+AV1749)/2,MAX((CK1749+AV1749)/2,H1749))))</f>
        <v>0</v>
      </c>
      <c r="AU1749" s="50" t="n">
        <f aca="false">AT1749*G1749</f>
        <v>0</v>
      </c>
      <c r="AV1749" s="50" t="n">
        <f aca="false">ROUNDUP(CK1749+MAX(CL1749,2*(J1749/IF(CG1749&gt;0,CG1749,MAX(0.1,N(Cockpit!$I$6)))-CK1749)),0)</f>
        <v>0</v>
      </c>
      <c r="AW1749" s="51" t="n">
        <f aca="false">IF(AS1749&gt;0,J1749/AS1749,-1)</f>
        <v>-1</v>
      </c>
      <c r="AX1749" s="51" t="str">
        <f aca="false">IF(AND(OR(CF1749="L1",CF1749="L23",CF1749="LIFT"),AS1749&gt;0),SUMIFS($AS$7:$AS$1843,$CF$7:$CF$1843,CF1749,$AW$7:$AW$1843,"&gt;"&amp;AW1749)+SUMIFS($AS$7:$AS$1843,$CF$7:$CF$1843,CF1749,$AW$7:$AW$1843,AW1749,$BW$7:$BW$1843,"&lt;="&amp;BW1749),"")</f>
        <v/>
      </c>
      <c r="AY1749" s="58" t="n">
        <f aca="false">IF(AX1749="",0,MAX(0,MIN(1,(IF(CF1749="L1",Parameter!$H$5,IF(CF1749="L23",Parameter!$H$6+Parameter!$H$7,Parameter!$H$5+Parameter!$H$6+Parameter!$H$7))-(AX1749-AS1749))/AS1749)))</f>
        <v>0</v>
      </c>
      <c r="AZ1749" s="50" t="n">
        <f aca="false">IF(LEFT(Cockpit!$O$5,1)="A",H1749,IF(Parameter!$E$30="MAX-Bestand",IF(CH1749=1,CI1749,IF(LEFT(Cockpit!$O$5,1)="B",BF1749,MAX(BF1749,H1749))),ROUNDUP(BD1749,0)))</f>
        <v>0</v>
      </c>
      <c r="BA1749" s="50" t="n">
        <f aca="false">IF(BZ1749=1,0,ROUNDUP(AZ1749/BY1749,0))</f>
        <v>0</v>
      </c>
      <c r="BB1749" s="52" t="n">
        <f aca="false">IF(CQ1749&gt;0,CQ1749*MAX(1,AZ1749/X1749),IF(BZ1749=1,IF(AZ1749&lt;=0,0,CD1749*MAX(1,IF(H1749&gt;0,AZ1749/H1749,1))),IF(R1749&gt;0,BA1749/R1749,0))/MAX(0.1,N(Parameter!$M$21)))</f>
        <v>0</v>
      </c>
      <c r="BC1749" s="50" t="n">
        <f aca="false">BB1749*CB1749</f>
        <v>0</v>
      </c>
      <c r="BD1749" s="51" t="n">
        <f aca="false">IF(LEFT(Cockpit!$O$5,1)="A",H1749,IF(CH1749=1,(CK1749+CI1749)/2,IF(LEFT(Cockpit!$O$5,1)="B",(CK1749+BF1749)/2,MAX((CK1749+BF1749)/2,H1749))))</f>
        <v>0</v>
      </c>
      <c r="BE1749" s="50" t="n">
        <f aca="false">BD1749*G1749</f>
        <v>0</v>
      </c>
      <c r="BF1749" s="50" t="n">
        <f aca="false">ROUNDUP(CK1749+MAX(CL1749,2*(J1749/IF(CG1749&gt;0,CG1749,MAX(0.1,N(Cockpit!$O$6)))-CK1749)),0)</f>
        <v>0</v>
      </c>
      <c r="BG1749" s="51" t="n">
        <f aca="false">IF(BC1749&gt;0,J1749/BC1749,-1)</f>
        <v>-1</v>
      </c>
      <c r="BH1749" s="51" t="str">
        <f aca="false">IF(AND(OR(CF1749="L1",CF1749="L23",CF1749="LIFT"),BC1749&gt;0),SUMIFS($BC$7:$BC$1843,$CF$7:$CF$1843,CF1749,$BG$7:$BG$1843,"&gt;"&amp;BG1749)+SUMIFS($BC$7:$BC$1843,$CF$7:$CF$1843,CF1749,$BG$7:$BG$1843,BG1749,$BW$7:$BW$1843,"&lt;="&amp;BW1749),"")</f>
        <v/>
      </c>
      <c r="BI1749" s="58" t="n">
        <f aca="false">IF(BH1749="",0,MAX(0,MIN(1,(IF(CF1749="L1",Parameter!$H$5,IF(CF1749="L23",Parameter!$H$6+Parameter!$H$7,Parameter!$H$5+Parameter!$H$6+Parameter!$H$7))-(BH1749-BC1749))/BC1749)))</f>
        <v>0</v>
      </c>
      <c r="BJ1749" s="48" t="str">
        <f aca="false">IF(AI1749&lt;=0,"",IF(CF1749="Aussen","Aussenlager",IF(CF1749="-","Nicht im Lift",IF(AO1749&gt;=1,"Lift",IF(AO1749&lt;=0,"Aussenlager","teilweise")))))</f>
        <v/>
      </c>
      <c r="BK1749" s="48" t="str">
        <f aca="false">IF(AS1749&lt;=0,"",IF(CF1749="Aussen","Aussenlager",IF(CF1749="-","Nicht im Lift",IF(AY1749&gt;=1,"Lift",IF(AY1749&lt;=0,"Aussenlager","teilweise")))))</f>
        <v/>
      </c>
      <c r="BL1749" s="48" t="str">
        <f aca="false">IF(BC1749&lt;=0,"",IF(CF1749="Aussen","Aussenlager",IF(CF1749="-","Nicht im Lift",IF(BI1749&gt;=1,"Lift",IF(BI1749&lt;=0,"Aussenlager","teilweise")))))</f>
        <v/>
      </c>
      <c r="BM1749" s="48" t="str">
        <f aca="false">IF(A1749="","",IF(BV1749=1,"Neu; ","")&amp;IF(AND(BV1749=0,BQ1749&lt;0),"negativer Bestand (Export "&amp;BQ1749&amp;"); ","")&amp;IF(J1749&lt;=0,"Kein Verbrauch; ","")&amp;IF(CQ1749&gt;0,"Lift "&amp;W1749&amp;" lt. Liftbericht (Fach "&amp;X1749&amp;" Stk); ",IF(CA1749=1,"Gebinde geschätzt ("&amp;T1749&amp;"); ",IF(BZ1749=1,"Lose – Tablare geschätzt; ","")))&amp;IF(H1749&gt;AV1749,"Überbestand "&amp;ROUND(H1749-AV1749,0)&amp;" Stk / CHF "&amp;ROUND((H1749-AV1749)*G1749,0)&amp;"; ","")&amp;IF(AND(CH1749=1,CI1749&lt;CJ1749),"MAX &lt; MB+LG; ","")&amp;IF(AND(CP1749&gt;0,CO1749*10&gt;CP1749),"zu hoch für Tablar; ","")&amp;IF(AND(BV1749=0,OR(CH1749=1,AA1749&lt;&gt;"",U1749&lt;&gt;"",V1749&lt;&gt;"",AB1749&lt;&gt;"")),"manuell übersteuert; ","")&amp;IF(AND(BZ1749=0,R1749=0),"Gebinde unbekannt / Stellmass fehlt; ","")&amp;IF(AND(BZ1749=0,N(V1749)&lt;=0,N(Q1749)&lt;=0),"Menge pro Gebinde fehlt (Ist = 1 Gebinde); ","")&amp;BU1749)</f>
        <v/>
      </c>
      <c r="BN1749" s="48"/>
      <c r="BO1749" s="48"/>
      <c r="BP1749" s="55"/>
      <c r="BQ1749" s="50" t="n">
        <f aca="false">N('Neue Artikel'!$D$10)</f>
        <v>0</v>
      </c>
      <c r="BR1749" s="50" t="n">
        <v>0</v>
      </c>
      <c r="BS1749" s="49" t="n">
        <v>0</v>
      </c>
      <c r="BT1749" s="50" t="n">
        <f aca="false">N('Neue Artikel'!$C$10)/Parameter!$B$18</f>
        <v>0</v>
      </c>
      <c r="BU1749" s="48"/>
      <c r="BV1749" s="53" t="n">
        <v>1</v>
      </c>
      <c r="BW1749" s="53" t="n">
        <v>1749</v>
      </c>
      <c r="BX1749" s="48" t="str">
        <f aca="false">IF(U1749&lt;&gt;"",UPPER(TRIM(U1749)),IF(CA1749=1,UPPER(VLOOKUP(T1749,Parameter!$I$27:$K$29,2,0)),IF(P1749="","LOSE",P1749)))</f>
        <v>LOSE</v>
      </c>
      <c r="BY1749" s="50" t="n">
        <f aca="false">IF(BX1749="LOSE",1,IF(N(V1749)&gt;0,V1749,IF(CA1749=1,MAX(1,N(VLOOKUP(T1749,Parameter!$I$27:$K$29,3,0)),H1749,N(N1749)),IF(N(Q1749)&gt;0,Q1749,MAX(1,H1749)))))</f>
        <v>1</v>
      </c>
      <c r="BZ1749" s="53" t="n">
        <f aca="false">IF(BX1749="LOSE",1,0)</f>
        <v>1</v>
      </c>
      <c r="CA1749" s="53" t="n">
        <f aca="false">IF(AND(U1749="",OR(P1749="",P1749="LOSE"),T1749&lt;&gt;"",N(S1749)&lt;=0,ISNUMBER(MATCH(T1749,Parameter!$I$27:$I$29,0))),1,0)</f>
        <v>0</v>
      </c>
      <c r="CB1749" s="53" t="n">
        <f aca="false">IF(CQ1749&gt;0,INDEX(Parameter!$H$5:$H$7,W1749)/INDEX(Parameter!$E$5:$E$7,W1749),IF(AND(BZ1749=0,N(IFERROR(VLOOKUP(BX1749,'Gebinde-Kategorie'!$A$5:$N$45,14,0),0))&gt;0),VLOOKUP(BX1749,'Gebinde-Kategorie'!$A$5:$N$45,14,0)*10+Parameter!$M$23,Parameter!$M$24))</f>
        <v>235</v>
      </c>
      <c r="CC1749" s="48" t="str">
        <f aca="false">IF(AND(Parameter!$B$19="Ja",E1749&lt;&gt;"",ISNUMBER(MATCH(E1749,Parameter!$I$35:$I$52,0))),VLOOKUP(E1749,Parameter!$I$35:$J$52,2,0),IFERROR(VLOOKUP(D1749,Parameter!$A$35:$C$64,2,0),"Nein"))</f>
        <v>2+3</v>
      </c>
      <c r="CD1749" s="52" t="n">
        <f aca="false">IF(BZ1749=0,0,IF(N(S1749)&gt;0,S1749,IFERROR(VLOOKUP(D1749,Parameter!$A$35:$C$64,3,0)+0,0)))</f>
        <v>0.15</v>
      </c>
      <c r="CE1749" s="48" t="str">
        <f aca="false">IF(AA1749&lt;&gt;"",AA1749,Z1749)</f>
        <v/>
      </c>
      <c r="CF1749" s="48" t="str">
        <f aca="false">IF(OR(CE1749=1,CE1749=2,CE1749=3),IF(Parameter!$E$27="Ja","LIFT",IF(CE1749=1,"L1","L23")),IF(CE1749="Aussen","Aussen","-"))</f>
        <v>-</v>
      </c>
      <c r="CG1749" s="59" t="n">
        <f aca="false">IF(N(AB1749)&gt;0,AB1749,0)</f>
        <v>0</v>
      </c>
      <c r="CH1749" s="53" t="n">
        <f aca="false">IF(ISNUMBER(AE1749),1,0)</f>
        <v>0</v>
      </c>
      <c r="CI1749" s="50" t="n">
        <f aca="false">N(AE1749)</f>
        <v>0</v>
      </c>
      <c r="CJ1749" s="50" t="n">
        <f aca="false">N(M1749)+N(N1749)</f>
        <v>0</v>
      </c>
      <c r="CK1749" s="50" t="n">
        <f aca="false">N(M1749)</f>
        <v>0</v>
      </c>
      <c r="CL1749" s="50" t="n">
        <f aca="false">N(N1749)</f>
        <v>0</v>
      </c>
      <c r="CM1749" s="50" t="n">
        <f aca="false">ROUNDUP(H1749/BY1749,0)</f>
        <v>0</v>
      </c>
      <c r="CN1749" s="50" t="n">
        <f aca="false">ROUNDUP(CI1749/BY1749,0)</f>
        <v>0</v>
      </c>
      <c r="CO1749" s="53" t="n">
        <f aca="false">IF(BZ1749=1,0,IFERROR(VLOOKUP(BX1749,'Gebinde-Kategorie'!$A$5:$N$45,5,0)+0,0))</f>
        <v>0</v>
      </c>
      <c r="CP1749" s="53" t="n">
        <f aca="false">IFERROR(IF(OR(CE1749=1,CE1749=2,CE1749=3),N(INDEX(Parameter!$I$5:$I$7,CE1749)),0),0)</f>
        <v>0</v>
      </c>
      <c r="CQ1749" s="52" t="n">
        <f aca="false">IF(AND(Parameter!$B$21="Ja",ISNUMBER(W1749),N(X1749)&gt;0),IFERROR(N(INDEX(Parameter!$L$5:$L$7,W1749))*INDEX(Parameter!$E$5:$E$7,W1749)*X1749/SUMIFS($X$7:$X$1843,$W$7:$W$1843,W1749),0),0)</f>
        <v>0</v>
      </c>
    </row>
    <row r="1750" customFormat="false" ht="15" hidden="false" customHeight="false" outlineLevel="0" collapsed="false">
      <c r="A1750" s="48" t="str">
        <f aca="false">IF('Neue Artikel'!$A$11="","",'Neue Artikel'!$A$11&amp;"")</f>
        <v/>
      </c>
      <c r="B1750" s="48" t="str">
        <f aca="false">'Neue Artikel'!$B$11&amp;""</f>
        <v/>
      </c>
      <c r="C1750" s="48"/>
      <c r="D1750" s="48" t="s">
        <v>3024</v>
      </c>
      <c r="E1750" s="48"/>
      <c r="F1750" s="48"/>
      <c r="G1750" s="49" t="n">
        <f aca="false">N('Neue Artikel'!$G$11)</f>
        <v>0</v>
      </c>
      <c r="H1750" s="50" t="n">
        <f aca="false">MAX(0,IF(AND(Parameter!$B$21="Ja",ISNUMBER(Y1750)),Y1750,IF(Parameter!$B$20="Jahresanfang 2025 + Export",BR1750+BQ1750,BQ1750)))</f>
        <v>0</v>
      </c>
      <c r="I1750" s="50" t="n">
        <f aca="false">H1750*G1750</f>
        <v>0</v>
      </c>
      <c r="J1750" s="50" t="n">
        <f aca="false">BT1750*Parameter!$B$18</f>
        <v>0</v>
      </c>
      <c r="K1750" s="51"/>
      <c r="L1750" s="52"/>
      <c r="M1750" s="50" t="n">
        <f aca="false">N('Neue Artikel'!$E$11)</f>
        <v>0</v>
      </c>
      <c r="N1750" s="50" t="n">
        <f aca="false">N('Neue Artikel'!$F$11)</f>
        <v>0</v>
      </c>
      <c r="O1750" s="53"/>
      <c r="P1750" s="48" t="str">
        <f aca="false">IF('Neue Artikel'!$H$11="","LOSE",UPPER(TRIM('Neue Artikel'!$H$11)))</f>
        <v>LOSE</v>
      </c>
      <c r="Q1750" s="50" t="n">
        <f aca="false">N('Neue Artikel'!$I$11)</f>
        <v>0</v>
      </c>
      <c r="R1750" s="53" t="n">
        <f aca="false">IF(BZ1750=1,0,IFERROR(VLOOKUP(BX1750,'Gebinde-Kategorie'!$A$5:$N$45,13,0)+0,0))</f>
        <v>0</v>
      </c>
      <c r="S1750" s="54"/>
      <c r="T1750" s="55"/>
      <c r="U1750" s="55"/>
      <c r="V1750" s="55"/>
      <c r="W1750" s="48"/>
      <c r="X1750" s="50"/>
      <c r="Y1750" s="50"/>
      <c r="Z1750" s="48" t="str">
        <f aca="false">IF(A1750="","",IF(AND(Parameter!$B$21="Ja",ISNUMBER(W1750)),W1750,IF(CC1750="2+3",IF(ISNUMBER(SEARCH("grosser Artikel",BU1750)),2,IFERROR(VLOOKUP(BX1750,Parameter!$F$35:$G$64,2,0),2)),IF(OR(CC1750="Nein",CC1750=""),"-",CC1750))))</f>
        <v/>
      </c>
      <c r="AA1750" s="48" t="str">
        <f aca="false">IF('Neue Artikel'!$J$11="","",'Neue Artikel'!$J$11)</f>
        <v/>
      </c>
      <c r="AB1750" s="56"/>
      <c r="AC1750" s="50" t="n">
        <f aca="false">AV1750</f>
        <v>0</v>
      </c>
      <c r="AD1750" s="50" t="n">
        <f aca="false">MAX(AV1750,H1750)</f>
        <v>0</v>
      </c>
      <c r="AE1750" s="57"/>
      <c r="AF1750" s="50" t="n">
        <f aca="false">IF(LEFT(Cockpit!$C$5,1)="A",H1750,IF(Parameter!$E$30="MAX-Bestand",IF(CH1750=1,CI1750,IF(LEFT(Cockpit!$C$5,1)="B",AL1750,MAX(AL1750,H1750))),ROUNDUP(AJ1750,0)))</f>
        <v>0</v>
      </c>
      <c r="AG1750" s="50" t="n">
        <f aca="false">IF(BZ1750=1,0,ROUNDUP(AF1750/BY1750,0))</f>
        <v>0</v>
      </c>
      <c r="AH1750" s="52" t="n">
        <f aca="false">IF(CQ1750&gt;0,CQ1750*MAX(1,AF1750/X1750),IF(BZ1750=1,IF(AF1750&lt;=0,0,CD1750*MAX(1,IF(H1750&gt;0,AF1750/H1750,1))),IF(R1750&gt;0,AG1750/R1750,0))/MAX(0.1,N(Parameter!$M$21)))</f>
        <v>0</v>
      </c>
      <c r="AI1750" s="50" t="n">
        <f aca="false">AH1750*CB1750</f>
        <v>0</v>
      </c>
      <c r="AJ1750" s="51" t="n">
        <f aca="false">IF(LEFT(Cockpit!$C$5,1)="A",H1750,IF(CH1750=1,(CK1750+CI1750)/2,IF(LEFT(Cockpit!$C$5,1)="B",(CK1750+AL1750)/2,MAX((CK1750+AL1750)/2,H1750))))</f>
        <v>0</v>
      </c>
      <c r="AK1750" s="50" t="n">
        <f aca="false">AJ1750*G1750</f>
        <v>0</v>
      </c>
      <c r="AL1750" s="50" t="n">
        <f aca="false">ROUNDUP(CK1750+MAX(CL1750,2*(J1750/IF(CG1750&gt;0,CG1750,MAX(0.1,N(Cockpit!$C$6)))-CK1750)),0)</f>
        <v>0</v>
      </c>
      <c r="AM1750" s="51" t="n">
        <f aca="false">IF(AI1750&gt;0,J1750/AI1750,-1)</f>
        <v>-1</v>
      </c>
      <c r="AN1750" s="51" t="str">
        <f aca="false">IF(AND(OR(CF1750="L1",CF1750="L23",CF1750="LIFT"),AI1750&gt;0),SUMIFS($AI$7:$AI$1843,$CF$7:$CF$1843,CF1750,$AM$7:$AM$1843,"&gt;"&amp;AM1750)+SUMIFS($AI$7:$AI$1843,$CF$7:$CF$1843,CF1750,$AM$7:$AM$1843,AM1750,$BW$7:$BW$1843,"&lt;="&amp;BW1750),"")</f>
        <v/>
      </c>
      <c r="AO1750" s="58" t="n">
        <f aca="false">IF(AN1750="",0,MAX(0,MIN(1,(IF(CF1750="L1",Parameter!$H$5,IF(CF1750="L23",Parameter!$H$6+Parameter!$H$7,Parameter!$H$5+Parameter!$H$6+Parameter!$H$7))-(AN1750-AI1750))/AI1750)))</f>
        <v>0</v>
      </c>
      <c r="AP1750" s="50" t="n">
        <f aca="false">IF(LEFT(Cockpit!$I$5,1)="A",H1750,IF(Parameter!$E$30="MAX-Bestand",IF(CH1750=1,CI1750,IF(LEFT(Cockpit!$I$5,1)="B",AV1750,MAX(AV1750,H1750))),ROUNDUP(AT1750,0)))</f>
        <v>0</v>
      </c>
      <c r="AQ1750" s="50" t="n">
        <f aca="false">IF(BZ1750=1,0,ROUNDUP(AP1750/BY1750,0))</f>
        <v>0</v>
      </c>
      <c r="AR1750" s="52" t="n">
        <f aca="false">IF(CQ1750&gt;0,CQ1750*MAX(1,AP1750/X1750),IF(BZ1750=1,IF(AP1750&lt;=0,0,CD1750*MAX(1,IF(H1750&gt;0,AP1750/H1750,1))),IF(R1750&gt;0,AQ1750/R1750,0))/MAX(0.1,N(Parameter!$M$21)))</f>
        <v>0</v>
      </c>
      <c r="AS1750" s="50" t="n">
        <f aca="false">AR1750*CB1750</f>
        <v>0</v>
      </c>
      <c r="AT1750" s="51" t="n">
        <f aca="false">IF(LEFT(Cockpit!$I$5,1)="A",H1750,IF(CH1750=1,(CK1750+CI1750)/2,IF(LEFT(Cockpit!$I$5,1)="B",(CK1750+AV1750)/2,MAX((CK1750+AV1750)/2,H1750))))</f>
        <v>0</v>
      </c>
      <c r="AU1750" s="50" t="n">
        <f aca="false">AT1750*G1750</f>
        <v>0</v>
      </c>
      <c r="AV1750" s="50" t="n">
        <f aca="false">ROUNDUP(CK1750+MAX(CL1750,2*(J1750/IF(CG1750&gt;0,CG1750,MAX(0.1,N(Cockpit!$I$6)))-CK1750)),0)</f>
        <v>0</v>
      </c>
      <c r="AW1750" s="51" t="n">
        <f aca="false">IF(AS1750&gt;0,J1750/AS1750,-1)</f>
        <v>-1</v>
      </c>
      <c r="AX1750" s="51" t="str">
        <f aca="false">IF(AND(OR(CF1750="L1",CF1750="L23",CF1750="LIFT"),AS1750&gt;0),SUMIFS($AS$7:$AS$1843,$CF$7:$CF$1843,CF1750,$AW$7:$AW$1843,"&gt;"&amp;AW1750)+SUMIFS($AS$7:$AS$1843,$CF$7:$CF$1843,CF1750,$AW$7:$AW$1843,AW1750,$BW$7:$BW$1843,"&lt;="&amp;BW1750),"")</f>
        <v/>
      </c>
      <c r="AY1750" s="58" t="n">
        <f aca="false">IF(AX1750="",0,MAX(0,MIN(1,(IF(CF1750="L1",Parameter!$H$5,IF(CF1750="L23",Parameter!$H$6+Parameter!$H$7,Parameter!$H$5+Parameter!$H$6+Parameter!$H$7))-(AX1750-AS1750))/AS1750)))</f>
        <v>0</v>
      </c>
      <c r="AZ1750" s="50" t="n">
        <f aca="false">IF(LEFT(Cockpit!$O$5,1)="A",H1750,IF(Parameter!$E$30="MAX-Bestand",IF(CH1750=1,CI1750,IF(LEFT(Cockpit!$O$5,1)="B",BF1750,MAX(BF1750,H1750))),ROUNDUP(BD1750,0)))</f>
        <v>0</v>
      </c>
      <c r="BA1750" s="50" t="n">
        <f aca="false">IF(BZ1750=1,0,ROUNDUP(AZ1750/BY1750,0))</f>
        <v>0</v>
      </c>
      <c r="BB1750" s="52" t="n">
        <f aca="false">IF(CQ1750&gt;0,CQ1750*MAX(1,AZ1750/X1750),IF(BZ1750=1,IF(AZ1750&lt;=0,0,CD1750*MAX(1,IF(H1750&gt;0,AZ1750/H1750,1))),IF(R1750&gt;0,BA1750/R1750,0))/MAX(0.1,N(Parameter!$M$21)))</f>
        <v>0</v>
      </c>
      <c r="BC1750" s="50" t="n">
        <f aca="false">BB1750*CB1750</f>
        <v>0</v>
      </c>
      <c r="BD1750" s="51" t="n">
        <f aca="false">IF(LEFT(Cockpit!$O$5,1)="A",H1750,IF(CH1750=1,(CK1750+CI1750)/2,IF(LEFT(Cockpit!$O$5,1)="B",(CK1750+BF1750)/2,MAX((CK1750+BF1750)/2,H1750))))</f>
        <v>0</v>
      </c>
      <c r="BE1750" s="50" t="n">
        <f aca="false">BD1750*G1750</f>
        <v>0</v>
      </c>
      <c r="BF1750" s="50" t="n">
        <f aca="false">ROUNDUP(CK1750+MAX(CL1750,2*(J1750/IF(CG1750&gt;0,CG1750,MAX(0.1,N(Cockpit!$O$6)))-CK1750)),0)</f>
        <v>0</v>
      </c>
      <c r="BG1750" s="51" t="n">
        <f aca="false">IF(BC1750&gt;0,J1750/BC1750,-1)</f>
        <v>-1</v>
      </c>
      <c r="BH1750" s="51" t="str">
        <f aca="false">IF(AND(OR(CF1750="L1",CF1750="L23",CF1750="LIFT"),BC1750&gt;0),SUMIFS($BC$7:$BC$1843,$CF$7:$CF$1843,CF1750,$BG$7:$BG$1843,"&gt;"&amp;BG1750)+SUMIFS($BC$7:$BC$1843,$CF$7:$CF$1843,CF1750,$BG$7:$BG$1843,BG1750,$BW$7:$BW$1843,"&lt;="&amp;BW1750),"")</f>
        <v/>
      </c>
      <c r="BI1750" s="58" t="n">
        <f aca="false">IF(BH1750="",0,MAX(0,MIN(1,(IF(CF1750="L1",Parameter!$H$5,IF(CF1750="L23",Parameter!$H$6+Parameter!$H$7,Parameter!$H$5+Parameter!$H$6+Parameter!$H$7))-(BH1750-BC1750))/BC1750)))</f>
        <v>0</v>
      </c>
      <c r="BJ1750" s="48" t="str">
        <f aca="false">IF(AI1750&lt;=0,"",IF(CF1750="Aussen","Aussenlager",IF(CF1750="-","Nicht im Lift",IF(AO1750&gt;=1,"Lift",IF(AO1750&lt;=0,"Aussenlager","teilweise")))))</f>
        <v/>
      </c>
      <c r="BK1750" s="48" t="str">
        <f aca="false">IF(AS1750&lt;=0,"",IF(CF1750="Aussen","Aussenlager",IF(CF1750="-","Nicht im Lift",IF(AY1750&gt;=1,"Lift",IF(AY1750&lt;=0,"Aussenlager","teilweise")))))</f>
        <v/>
      </c>
      <c r="BL1750" s="48" t="str">
        <f aca="false">IF(BC1750&lt;=0,"",IF(CF1750="Aussen","Aussenlager",IF(CF1750="-","Nicht im Lift",IF(BI1750&gt;=1,"Lift",IF(BI1750&lt;=0,"Aussenlager","teilweise")))))</f>
        <v/>
      </c>
      <c r="BM1750" s="48" t="str">
        <f aca="false">IF(A1750="","",IF(BV1750=1,"Neu; ","")&amp;IF(AND(BV1750=0,BQ1750&lt;0),"negativer Bestand (Export "&amp;BQ1750&amp;"); ","")&amp;IF(J1750&lt;=0,"Kein Verbrauch; ","")&amp;IF(CQ1750&gt;0,"Lift "&amp;W1750&amp;" lt. Liftbericht (Fach "&amp;X1750&amp;" Stk); ",IF(CA1750=1,"Gebinde geschätzt ("&amp;T1750&amp;"); ",IF(BZ1750=1,"Lose – Tablare geschätzt; ","")))&amp;IF(H1750&gt;AV1750,"Überbestand "&amp;ROUND(H1750-AV1750,0)&amp;" Stk / CHF "&amp;ROUND((H1750-AV1750)*G1750,0)&amp;"; ","")&amp;IF(AND(CH1750=1,CI1750&lt;CJ1750),"MAX &lt; MB+LG; ","")&amp;IF(AND(CP1750&gt;0,CO1750*10&gt;CP1750),"zu hoch für Tablar; ","")&amp;IF(AND(BV1750=0,OR(CH1750=1,AA1750&lt;&gt;"",U1750&lt;&gt;"",V1750&lt;&gt;"",AB1750&lt;&gt;"")),"manuell übersteuert; ","")&amp;IF(AND(BZ1750=0,R1750=0),"Gebinde unbekannt / Stellmass fehlt; ","")&amp;IF(AND(BZ1750=0,N(V1750)&lt;=0,N(Q1750)&lt;=0),"Menge pro Gebinde fehlt (Ist = 1 Gebinde); ","")&amp;BU1750)</f>
        <v/>
      </c>
      <c r="BN1750" s="48"/>
      <c r="BO1750" s="48"/>
      <c r="BP1750" s="55"/>
      <c r="BQ1750" s="50" t="n">
        <f aca="false">N('Neue Artikel'!$D$11)</f>
        <v>0</v>
      </c>
      <c r="BR1750" s="50" t="n">
        <v>0</v>
      </c>
      <c r="BS1750" s="49" t="n">
        <v>0</v>
      </c>
      <c r="BT1750" s="50" t="n">
        <f aca="false">N('Neue Artikel'!$C$11)/Parameter!$B$18</f>
        <v>0</v>
      </c>
      <c r="BU1750" s="48"/>
      <c r="BV1750" s="53" t="n">
        <v>1</v>
      </c>
      <c r="BW1750" s="53" t="n">
        <v>1750</v>
      </c>
      <c r="BX1750" s="48" t="str">
        <f aca="false">IF(U1750&lt;&gt;"",UPPER(TRIM(U1750)),IF(CA1750=1,UPPER(VLOOKUP(T1750,Parameter!$I$27:$K$29,2,0)),IF(P1750="","LOSE",P1750)))</f>
        <v>LOSE</v>
      </c>
      <c r="BY1750" s="50" t="n">
        <f aca="false">IF(BX1750="LOSE",1,IF(N(V1750)&gt;0,V1750,IF(CA1750=1,MAX(1,N(VLOOKUP(T1750,Parameter!$I$27:$K$29,3,0)),H1750,N(N1750)),IF(N(Q1750)&gt;0,Q1750,MAX(1,H1750)))))</f>
        <v>1</v>
      </c>
      <c r="BZ1750" s="53" t="n">
        <f aca="false">IF(BX1750="LOSE",1,0)</f>
        <v>1</v>
      </c>
      <c r="CA1750" s="53" t="n">
        <f aca="false">IF(AND(U1750="",OR(P1750="",P1750="LOSE"),T1750&lt;&gt;"",N(S1750)&lt;=0,ISNUMBER(MATCH(T1750,Parameter!$I$27:$I$29,0))),1,0)</f>
        <v>0</v>
      </c>
      <c r="CB1750" s="53" t="n">
        <f aca="false">IF(CQ1750&gt;0,INDEX(Parameter!$H$5:$H$7,W1750)/INDEX(Parameter!$E$5:$E$7,W1750),IF(AND(BZ1750=0,N(IFERROR(VLOOKUP(BX1750,'Gebinde-Kategorie'!$A$5:$N$45,14,0),0))&gt;0),VLOOKUP(BX1750,'Gebinde-Kategorie'!$A$5:$N$45,14,0)*10+Parameter!$M$23,Parameter!$M$24))</f>
        <v>235</v>
      </c>
      <c r="CC1750" s="48" t="str">
        <f aca="false">IF(AND(Parameter!$B$19="Ja",E1750&lt;&gt;"",ISNUMBER(MATCH(E1750,Parameter!$I$35:$I$52,0))),VLOOKUP(E1750,Parameter!$I$35:$J$52,2,0),IFERROR(VLOOKUP(D1750,Parameter!$A$35:$C$64,2,0),"Nein"))</f>
        <v>2+3</v>
      </c>
      <c r="CD1750" s="52" t="n">
        <f aca="false">IF(BZ1750=0,0,IF(N(S1750)&gt;0,S1750,IFERROR(VLOOKUP(D1750,Parameter!$A$35:$C$64,3,0)+0,0)))</f>
        <v>0.15</v>
      </c>
      <c r="CE1750" s="48" t="str">
        <f aca="false">IF(AA1750&lt;&gt;"",AA1750,Z1750)</f>
        <v/>
      </c>
      <c r="CF1750" s="48" t="str">
        <f aca="false">IF(OR(CE1750=1,CE1750=2,CE1750=3),IF(Parameter!$E$27="Ja","LIFT",IF(CE1750=1,"L1","L23")),IF(CE1750="Aussen","Aussen","-"))</f>
        <v>-</v>
      </c>
      <c r="CG1750" s="59" t="n">
        <f aca="false">IF(N(AB1750)&gt;0,AB1750,0)</f>
        <v>0</v>
      </c>
      <c r="CH1750" s="53" t="n">
        <f aca="false">IF(ISNUMBER(AE1750),1,0)</f>
        <v>0</v>
      </c>
      <c r="CI1750" s="50" t="n">
        <f aca="false">N(AE1750)</f>
        <v>0</v>
      </c>
      <c r="CJ1750" s="50" t="n">
        <f aca="false">N(M1750)+N(N1750)</f>
        <v>0</v>
      </c>
      <c r="CK1750" s="50" t="n">
        <f aca="false">N(M1750)</f>
        <v>0</v>
      </c>
      <c r="CL1750" s="50" t="n">
        <f aca="false">N(N1750)</f>
        <v>0</v>
      </c>
      <c r="CM1750" s="50" t="n">
        <f aca="false">ROUNDUP(H1750/BY1750,0)</f>
        <v>0</v>
      </c>
      <c r="CN1750" s="50" t="n">
        <f aca="false">ROUNDUP(CI1750/BY1750,0)</f>
        <v>0</v>
      </c>
      <c r="CO1750" s="53" t="n">
        <f aca="false">IF(BZ1750=1,0,IFERROR(VLOOKUP(BX1750,'Gebinde-Kategorie'!$A$5:$N$45,5,0)+0,0))</f>
        <v>0</v>
      </c>
      <c r="CP1750" s="53" t="n">
        <f aca="false">IFERROR(IF(OR(CE1750=1,CE1750=2,CE1750=3),N(INDEX(Parameter!$I$5:$I$7,CE1750)),0),0)</f>
        <v>0</v>
      </c>
      <c r="CQ1750" s="52" t="n">
        <f aca="false">IF(AND(Parameter!$B$21="Ja",ISNUMBER(W1750),N(X1750)&gt;0),IFERROR(N(INDEX(Parameter!$L$5:$L$7,W1750))*INDEX(Parameter!$E$5:$E$7,W1750)*X1750/SUMIFS($X$7:$X$1843,$W$7:$W$1843,W1750),0),0)</f>
        <v>0</v>
      </c>
    </row>
    <row r="1751" customFormat="false" ht="15" hidden="false" customHeight="false" outlineLevel="0" collapsed="false">
      <c r="A1751" s="48" t="str">
        <f aca="false">IF('Neue Artikel'!$A$12="","",'Neue Artikel'!$A$12&amp;"")</f>
        <v/>
      </c>
      <c r="B1751" s="48" t="str">
        <f aca="false">'Neue Artikel'!$B$12&amp;""</f>
        <v/>
      </c>
      <c r="C1751" s="48"/>
      <c r="D1751" s="48" t="s">
        <v>3024</v>
      </c>
      <c r="E1751" s="48"/>
      <c r="F1751" s="48"/>
      <c r="G1751" s="49" t="n">
        <f aca="false">N('Neue Artikel'!$G$12)</f>
        <v>0</v>
      </c>
      <c r="H1751" s="50" t="n">
        <f aca="false">MAX(0,IF(AND(Parameter!$B$21="Ja",ISNUMBER(Y1751)),Y1751,IF(Parameter!$B$20="Jahresanfang 2025 + Export",BR1751+BQ1751,BQ1751)))</f>
        <v>0</v>
      </c>
      <c r="I1751" s="50" t="n">
        <f aca="false">H1751*G1751</f>
        <v>0</v>
      </c>
      <c r="J1751" s="50" t="n">
        <f aca="false">BT1751*Parameter!$B$18</f>
        <v>0</v>
      </c>
      <c r="K1751" s="51"/>
      <c r="L1751" s="52"/>
      <c r="M1751" s="50" t="n">
        <f aca="false">N('Neue Artikel'!$E$12)</f>
        <v>0</v>
      </c>
      <c r="N1751" s="50" t="n">
        <f aca="false">N('Neue Artikel'!$F$12)</f>
        <v>0</v>
      </c>
      <c r="O1751" s="53"/>
      <c r="P1751" s="48" t="str">
        <f aca="false">IF('Neue Artikel'!$H$12="","LOSE",UPPER(TRIM('Neue Artikel'!$H$12)))</f>
        <v>LOSE</v>
      </c>
      <c r="Q1751" s="50" t="n">
        <f aca="false">N('Neue Artikel'!$I$12)</f>
        <v>0</v>
      </c>
      <c r="R1751" s="53" t="n">
        <f aca="false">IF(BZ1751=1,0,IFERROR(VLOOKUP(BX1751,'Gebinde-Kategorie'!$A$5:$N$45,13,0)+0,0))</f>
        <v>0</v>
      </c>
      <c r="S1751" s="54"/>
      <c r="T1751" s="55"/>
      <c r="U1751" s="55"/>
      <c r="V1751" s="55"/>
      <c r="W1751" s="48"/>
      <c r="X1751" s="50"/>
      <c r="Y1751" s="50"/>
      <c r="Z1751" s="48" t="str">
        <f aca="false">IF(A1751="","",IF(AND(Parameter!$B$21="Ja",ISNUMBER(W1751)),W1751,IF(CC1751="2+3",IF(ISNUMBER(SEARCH("grosser Artikel",BU1751)),2,IFERROR(VLOOKUP(BX1751,Parameter!$F$35:$G$64,2,0),2)),IF(OR(CC1751="Nein",CC1751=""),"-",CC1751))))</f>
        <v/>
      </c>
      <c r="AA1751" s="48" t="str">
        <f aca="false">IF('Neue Artikel'!$J$12="","",'Neue Artikel'!$J$12)</f>
        <v/>
      </c>
      <c r="AB1751" s="56"/>
      <c r="AC1751" s="50" t="n">
        <f aca="false">AV1751</f>
        <v>0</v>
      </c>
      <c r="AD1751" s="50" t="n">
        <f aca="false">MAX(AV1751,H1751)</f>
        <v>0</v>
      </c>
      <c r="AE1751" s="57"/>
      <c r="AF1751" s="50" t="n">
        <f aca="false">IF(LEFT(Cockpit!$C$5,1)="A",H1751,IF(Parameter!$E$30="MAX-Bestand",IF(CH1751=1,CI1751,IF(LEFT(Cockpit!$C$5,1)="B",AL1751,MAX(AL1751,H1751))),ROUNDUP(AJ1751,0)))</f>
        <v>0</v>
      </c>
      <c r="AG1751" s="50" t="n">
        <f aca="false">IF(BZ1751=1,0,ROUNDUP(AF1751/BY1751,0))</f>
        <v>0</v>
      </c>
      <c r="AH1751" s="52" t="n">
        <f aca="false">IF(CQ1751&gt;0,CQ1751*MAX(1,AF1751/X1751),IF(BZ1751=1,IF(AF1751&lt;=0,0,CD1751*MAX(1,IF(H1751&gt;0,AF1751/H1751,1))),IF(R1751&gt;0,AG1751/R1751,0))/MAX(0.1,N(Parameter!$M$21)))</f>
        <v>0</v>
      </c>
      <c r="AI1751" s="50" t="n">
        <f aca="false">AH1751*CB1751</f>
        <v>0</v>
      </c>
      <c r="AJ1751" s="51" t="n">
        <f aca="false">IF(LEFT(Cockpit!$C$5,1)="A",H1751,IF(CH1751=1,(CK1751+CI1751)/2,IF(LEFT(Cockpit!$C$5,1)="B",(CK1751+AL1751)/2,MAX((CK1751+AL1751)/2,H1751))))</f>
        <v>0</v>
      </c>
      <c r="AK1751" s="50" t="n">
        <f aca="false">AJ1751*G1751</f>
        <v>0</v>
      </c>
      <c r="AL1751" s="50" t="n">
        <f aca="false">ROUNDUP(CK1751+MAX(CL1751,2*(J1751/IF(CG1751&gt;0,CG1751,MAX(0.1,N(Cockpit!$C$6)))-CK1751)),0)</f>
        <v>0</v>
      </c>
      <c r="AM1751" s="51" t="n">
        <f aca="false">IF(AI1751&gt;0,J1751/AI1751,-1)</f>
        <v>-1</v>
      </c>
      <c r="AN1751" s="51" t="str">
        <f aca="false">IF(AND(OR(CF1751="L1",CF1751="L23",CF1751="LIFT"),AI1751&gt;0),SUMIFS($AI$7:$AI$1843,$CF$7:$CF$1843,CF1751,$AM$7:$AM$1843,"&gt;"&amp;AM1751)+SUMIFS($AI$7:$AI$1843,$CF$7:$CF$1843,CF1751,$AM$7:$AM$1843,AM1751,$BW$7:$BW$1843,"&lt;="&amp;BW1751),"")</f>
        <v/>
      </c>
      <c r="AO1751" s="58" t="n">
        <f aca="false">IF(AN1751="",0,MAX(0,MIN(1,(IF(CF1751="L1",Parameter!$H$5,IF(CF1751="L23",Parameter!$H$6+Parameter!$H$7,Parameter!$H$5+Parameter!$H$6+Parameter!$H$7))-(AN1751-AI1751))/AI1751)))</f>
        <v>0</v>
      </c>
      <c r="AP1751" s="50" t="n">
        <f aca="false">IF(LEFT(Cockpit!$I$5,1)="A",H1751,IF(Parameter!$E$30="MAX-Bestand",IF(CH1751=1,CI1751,IF(LEFT(Cockpit!$I$5,1)="B",AV1751,MAX(AV1751,H1751))),ROUNDUP(AT1751,0)))</f>
        <v>0</v>
      </c>
      <c r="AQ1751" s="50" t="n">
        <f aca="false">IF(BZ1751=1,0,ROUNDUP(AP1751/BY1751,0))</f>
        <v>0</v>
      </c>
      <c r="AR1751" s="52" t="n">
        <f aca="false">IF(CQ1751&gt;0,CQ1751*MAX(1,AP1751/X1751),IF(BZ1751=1,IF(AP1751&lt;=0,0,CD1751*MAX(1,IF(H1751&gt;0,AP1751/H1751,1))),IF(R1751&gt;0,AQ1751/R1751,0))/MAX(0.1,N(Parameter!$M$21)))</f>
        <v>0</v>
      </c>
      <c r="AS1751" s="50" t="n">
        <f aca="false">AR1751*CB1751</f>
        <v>0</v>
      </c>
      <c r="AT1751" s="51" t="n">
        <f aca="false">IF(LEFT(Cockpit!$I$5,1)="A",H1751,IF(CH1751=1,(CK1751+CI1751)/2,IF(LEFT(Cockpit!$I$5,1)="B",(CK1751+AV1751)/2,MAX((CK1751+AV1751)/2,H1751))))</f>
        <v>0</v>
      </c>
      <c r="AU1751" s="50" t="n">
        <f aca="false">AT1751*G1751</f>
        <v>0</v>
      </c>
      <c r="AV1751" s="50" t="n">
        <f aca="false">ROUNDUP(CK1751+MAX(CL1751,2*(J1751/IF(CG1751&gt;0,CG1751,MAX(0.1,N(Cockpit!$I$6)))-CK1751)),0)</f>
        <v>0</v>
      </c>
      <c r="AW1751" s="51" t="n">
        <f aca="false">IF(AS1751&gt;0,J1751/AS1751,-1)</f>
        <v>-1</v>
      </c>
      <c r="AX1751" s="51" t="str">
        <f aca="false">IF(AND(OR(CF1751="L1",CF1751="L23",CF1751="LIFT"),AS1751&gt;0),SUMIFS($AS$7:$AS$1843,$CF$7:$CF$1843,CF1751,$AW$7:$AW$1843,"&gt;"&amp;AW1751)+SUMIFS($AS$7:$AS$1843,$CF$7:$CF$1843,CF1751,$AW$7:$AW$1843,AW1751,$BW$7:$BW$1843,"&lt;="&amp;BW1751),"")</f>
        <v/>
      </c>
      <c r="AY1751" s="58" t="n">
        <f aca="false">IF(AX1751="",0,MAX(0,MIN(1,(IF(CF1751="L1",Parameter!$H$5,IF(CF1751="L23",Parameter!$H$6+Parameter!$H$7,Parameter!$H$5+Parameter!$H$6+Parameter!$H$7))-(AX1751-AS1751))/AS1751)))</f>
        <v>0</v>
      </c>
      <c r="AZ1751" s="50" t="n">
        <f aca="false">IF(LEFT(Cockpit!$O$5,1)="A",H1751,IF(Parameter!$E$30="MAX-Bestand",IF(CH1751=1,CI1751,IF(LEFT(Cockpit!$O$5,1)="B",BF1751,MAX(BF1751,H1751))),ROUNDUP(BD1751,0)))</f>
        <v>0</v>
      </c>
      <c r="BA1751" s="50" t="n">
        <f aca="false">IF(BZ1751=1,0,ROUNDUP(AZ1751/BY1751,0))</f>
        <v>0</v>
      </c>
      <c r="BB1751" s="52" t="n">
        <f aca="false">IF(CQ1751&gt;0,CQ1751*MAX(1,AZ1751/X1751),IF(BZ1751=1,IF(AZ1751&lt;=0,0,CD1751*MAX(1,IF(H1751&gt;0,AZ1751/H1751,1))),IF(R1751&gt;0,BA1751/R1751,0))/MAX(0.1,N(Parameter!$M$21)))</f>
        <v>0</v>
      </c>
      <c r="BC1751" s="50" t="n">
        <f aca="false">BB1751*CB1751</f>
        <v>0</v>
      </c>
      <c r="BD1751" s="51" t="n">
        <f aca="false">IF(LEFT(Cockpit!$O$5,1)="A",H1751,IF(CH1751=1,(CK1751+CI1751)/2,IF(LEFT(Cockpit!$O$5,1)="B",(CK1751+BF1751)/2,MAX((CK1751+BF1751)/2,H1751))))</f>
        <v>0</v>
      </c>
      <c r="BE1751" s="50" t="n">
        <f aca="false">BD1751*G1751</f>
        <v>0</v>
      </c>
      <c r="BF1751" s="50" t="n">
        <f aca="false">ROUNDUP(CK1751+MAX(CL1751,2*(J1751/IF(CG1751&gt;0,CG1751,MAX(0.1,N(Cockpit!$O$6)))-CK1751)),0)</f>
        <v>0</v>
      </c>
      <c r="BG1751" s="51" t="n">
        <f aca="false">IF(BC1751&gt;0,J1751/BC1751,-1)</f>
        <v>-1</v>
      </c>
      <c r="BH1751" s="51" t="str">
        <f aca="false">IF(AND(OR(CF1751="L1",CF1751="L23",CF1751="LIFT"),BC1751&gt;0),SUMIFS($BC$7:$BC$1843,$CF$7:$CF$1843,CF1751,$BG$7:$BG$1843,"&gt;"&amp;BG1751)+SUMIFS($BC$7:$BC$1843,$CF$7:$CF$1843,CF1751,$BG$7:$BG$1843,BG1751,$BW$7:$BW$1843,"&lt;="&amp;BW1751),"")</f>
        <v/>
      </c>
      <c r="BI1751" s="58" t="n">
        <f aca="false">IF(BH1751="",0,MAX(0,MIN(1,(IF(CF1751="L1",Parameter!$H$5,IF(CF1751="L23",Parameter!$H$6+Parameter!$H$7,Parameter!$H$5+Parameter!$H$6+Parameter!$H$7))-(BH1751-BC1751))/BC1751)))</f>
        <v>0</v>
      </c>
      <c r="BJ1751" s="48" t="str">
        <f aca="false">IF(AI1751&lt;=0,"",IF(CF1751="Aussen","Aussenlager",IF(CF1751="-","Nicht im Lift",IF(AO1751&gt;=1,"Lift",IF(AO1751&lt;=0,"Aussenlager","teilweise")))))</f>
        <v/>
      </c>
      <c r="BK1751" s="48" t="str">
        <f aca="false">IF(AS1751&lt;=0,"",IF(CF1751="Aussen","Aussenlager",IF(CF1751="-","Nicht im Lift",IF(AY1751&gt;=1,"Lift",IF(AY1751&lt;=0,"Aussenlager","teilweise")))))</f>
        <v/>
      </c>
      <c r="BL1751" s="48" t="str">
        <f aca="false">IF(BC1751&lt;=0,"",IF(CF1751="Aussen","Aussenlager",IF(CF1751="-","Nicht im Lift",IF(BI1751&gt;=1,"Lift",IF(BI1751&lt;=0,"Aussenlager","teilweise")))))</f>
        <v/>
      </c>
      <c r="BM1751" s="48" t="str">
        <f aca="false">IF(A1751="","",IF(BV1751=1,"Neu; ","")&amp;IF(AND(BV1751=0,BQ1751&lt;0),"negativer Bestand (Export "&amp;BQ1751&amp;"); ","")&amp;IF(J1751&lt;=0,"Kein Verbrauch; ","")&amp;IF(CQ1751&gt;0,"Lift "&amp;W1751&amp;" lt. Liftbericht (Fach "&amp;X1751&amp;" Stk); ",IF(CA1751=1,"Gebinde geschätzt ("&amp;T1751&amp;"); ",IF(BZ1751=1,"Lose – Tablare geschätzt; ","")))&amp;IF(H1751&gt;AV1751,"Überbestand "&amp;ROUND(H1751-AV1751,0)&amp;" Stk / CHF "&amp;ROUND((H1751-AV1751)*G1751,0)&amp;"; ","")&amp;IF(AND(CH1751=1,CI1751&lt;CJ1751),"MAX &lt; MB+LG; ","")&amp;IF(AND(CP1751&gt;0,CO1751*10&gt;CP1751),"zu hoch für Tablar; ","")&amp;IF(AND(BV1751=0,OR(CH1751=1,AA1751&lt;&gt;"",U1751&lt;&gt;"",V1751&lt;&gt;"",AB1751&lt;&gt;"")),"manuell übersteuert; ","")&amp;IF(AND(BZ1751=0,R1751=0),"Gebinde unbekannt / Stellmass fehlt; ","")&amp;IF(AND(BZ1751=0,N(V1751)&lt;=0,N(Q1751)&lt;=0),"Menge pro Gebinde fehlt (Ist = 1 Gebinde); ","")&amp;BU1751)</f>
        <v/>
      </c>
      <c r="BN1751" s="48"/>
      <c r="BO1751" s="48"/>
      <c r="BP1751" s="55"/>
      <c r="BQ1751" s="50" t="n">
        <f aca="false">N('Neue Artikel'!$D$12)</f>
        <v>0</v>
      </c>
      <c r="BR1751" s="50" t="n">
        <v>0</v>
      </c>
      <c r="BS1751" s="49" t="n">
        <v>0</v>
      </c>
      <c r="BT1751" s="50" t="n">
        <f aca="false">N('Neue Artikel'!$C$12)/Parameter!$B$18</f>
        <v>0</v>
      </c>
      <c r="BU1751" s="48"/>
      <c r="BV1751" s="53" t="n">
        <v>1</v>
      </c>
      <c r="BW1751" s="53" t="n">
        <v>1751</v>
      </c>
      <c r="BX1751" s="48" t="str">
        <f aca="false">IF(U1751&lt;&gt;"",UPPER(TRIM(U1751)),IF(CA1751=1,UPPER(VLOOKUP(T1751,Parameter!$I$27:$K$29,2,0)),IF(P1751="","LOSE",P1751)))</f>
        <v>LOSE</v>
      </c>
      <c r="BY1751" s="50" t="n">
        <f aca="false">IF(BX1751="LOSE",1,IF(N(V1751)&gt;0,V1751,IF(CA1751=1,MAX(1,N(VLOOKUP(T1751,Parameter!$I$27:$K$29,3,0)),H1751,N(N1751)),IF(N(Q1751)&gt;0,Q1751,MAX(1,H1751)))))</f>
        <v>1</v>
      </c>
      <c r="BZ1751" s="53" t="n">
        <f aca="false">IF(BX1751="LOSE",1,0)</f>
        <v>1</v>
      </c>
      <c r="CA1751" s="53" t="n">
        <f aca="false">IF(AND(U1751="",OR(P1751="",P1751="LOSE"),T1751&lt;&gt;"",N(S1751)&lt;=0,ISNUMBER(MATCH(T1751,Parameter!$I$27:$I$29,0))),1,0)</f>
        <v>0</v>
      </c>
      <c r="CB1751" s="53" t="n">
        <f aca="false">IF(CQ1751&gt;0,INDEX(Parameter!$H$5:$H$7,W1751)/INDEX(Parameter!$E$5:$E$7,W1751),IF(AND(BZ1751=0,N(IFERROR(VLOOKUP(BX1751,'Gebinde-Kategorie'!$A$5:$N$45,14,0),0))&gt;0),VLOOKUP(BX1751,'Gebinde-Kategorie'!$A$5:$N$45,14,0)*10+Parameter!$M$23,Parameter!$M$24))</f>
        <v>235</v>
      </c>
      <c r="CC1751" s="48" t="str">
        <f aca="false">IF(AND(Parameter!$B$19="Ja",E1751&lt;&gt;"",ISNUMBER(MATCH(E1751,Parameter!$I$35:$I$52,0))),VLOOKUP(E1751,Parameter!$I$35:$J$52,2,0),IFERROR(VLOOKUP(D1751,Parameter!$A$35:$C$64,2,0),"Nein"))</f>
        <v>2+3</v>
      </c>
      <c r="CD1751" s="52" t="n">
        <f aca="false">IF(BZ1751=0,0,IF(N(S1751)&gt;0,S1751,IFERROR(VLOOKUP(D1751,Parameter!$A$35:$C$64,3,0)+0,0)))</f>
        <v>0.15</v>
      </c>
      <c r="CE1751" s="48" t="str">
        <f aca="false">IF(AA1751&lt;&gt;"",AA1751,Z1751)</f>
        <v/>
      </c>
      <c r="CF1751" s="48" t="str">
        <f aca="false">IF(OR(CE1751=1,CE1751=2,CE1751=3),IF(Parameter!$E$27="Ja","LIFT",IF(CE1751=1,"L1","L23")),IF(CE1751="Aussen","Aussen","-"))</f>
        <v>-</v>
      </c>
      <c r="CG1751" s="59" t="n">
        <f aca="false">IF(N(AB1751)&gt;0,AB1751,0)</f>
        <v>0</v>
      </c>
      <c r="CH1751" s="53" t="n">
        <f aca="false">IF(ISNUMBER(AE1751),1,0)</f>
        <v>0</v>
      </c>
      <c r="CI1751" s="50" t="n">
        <f aca="false">N(AE1751)</f>
        <v>0</v>
      </c>
      <c r="CJ1751" s="50" t="n">
        <f aca="false">N(M1751)+N(N1751)</f>
        <v>0</v>
      </c>
      <c r="CK1751" s="50" t="n">
        <f aca="false">N(M1751)</f>
        <v>0</v>
      </c>
      <c r="CL1751" s="50" t="n">
        <f aca="false">N(N1751)</f>
        <v>0</v>
      </c>
      <c r="CM1751" s="50" t="n">
        <f aca="false">ROUNDUP(H1751/BY1751,0)</f>
        <v>0</v>
      </c>
      <c r="CN1751" s="50" t="n">
        <f aca="false">ROUNDUP(CI1751/BY1751,0)</f>
        <v>0</v>
      </c>
      <c r="CO1751" s="53" t="n">
        <f aca="false">IF(BZ1751=1,0,IFERROR(VLOOKUP(BX1751,'Gebinde-Kategorie'!$A$5:$N$45,5,0)+0,0))</f>
        <v>0</v>
      </c>
      <c r="CP1751" s="53" t="n">
        <f aca="false">IFERROR(IF(OR(CE1751=1,CE1751=2,CE1751=3),N(INDEX(Parameter!$I$5:$I$7,CE1751)),0),0)</f>
        <v>0</v>
      </c>
      <c r="CQ1751" s="52" t="n">
        <f aca="false">IF(AND(Parameter!$B$21="Ja",ISNUMBER(W1751),N(X1751)&gt;0),IFERROR(N(INDEX(Parameter!$L$5:$L$7,W1751))*INDEX(Parameter!$E$5:$E$7,W1751)*X1751/SUMIFS($X$7:$X$1843,$W$7:$W$1843,W1751),0),0)</f>
        <v>0</v>
      </c>
    </row>
    <row r="1752" customFormat="false" ht="15" hidden="false" customHeight="false" outlineLevel="0" collapsed="false">
      <c r="A1752" s="48" t="str">
        <f aca="false">IF('Neue Artikel'!$A$13="","",'Neue Artikel'!$A$13&amp;"")</f>
        <v/>
      </c>
      <c r="B1752" s="48" t="str">
        <f aca="false">'Neue Artikel'!$B$13&amp;""</f>
        <v/>
      </c>
      <c r="C1752" s="48"/>
      <c r="D1752" s="48" t="s">
        <v>3024</v>
      </c>
      <c r="E1752" s="48"/>
      <c r="F1752" s="48"/>
      <c r="G1752" s="49" t="n">
        <f aca="false">N('Neue Artikel'!$G$13)</f>
        <v>0</v>
      </c>
      <c r="H1752" s="50" t="n">
        <f aca="false">MAX(0,IF(AND(Parameter!$B$21="Ja",ISNUMBER(Y1752)),Y1752,IF(Parameter!$B$20="Jahresanfang 2025 + Export",BR1752+BQ1752,BQ1752)))</f>
        <v>0</v>
      </c>
      <c r="I1752" s="50" t="n">
        <f aca="false">H1752*G1752</f>
        <v>0</v>
      </c>
      <c r="J1752" s="50" t="n">
        <f aca="false">BT1752*Parameter!$B$18</f>
        <v>0</v>
      </c>
      <c r="K1752" s="51"/>
      <c r="L1752" s="52"/>
      <c r="M1752" s="50" t="n">
        <f aca="false">N('Neue Artikel'!$E$13)</f>
        <v>0</v>
      </c>
      <c r="N1752" s="50" t="n">
        <f aca="false">N('Neue Artikel'!$F$13)</f>
        <v>0</v>
      </c>
      <c r="O1752" s="53"/>
      <c r="P1752" s="48" t="str">
        <f aca="false">IF('Neue Artikel'!$H$13="","LOSE",UPPER(TRIM('Neue Artikel'!$H$13)))</f>
        <v>LOSE</v>
      </c>
      <c r="Q1752" s="50" t="n">
        <f aca="false">N('Neue Artikel'!$I$13)</f>
        <v>0</v>
      </c>
      <c r="R1752" s="53" t="n">
        <f aca="false">IF(BZ1752=1,0,IFERROR(VLOOKUP(BX1752,'Gebinde-Kategorie'!$A$5:$N$45,13,0)+0,0))</f>
        <v>0</v>
      </c>
      <c r="S1752" s="54"/>
      <c r="T1752" s="55"/>
      <c r="U1752" s="55"/>
      <c r="V1752" s="55"/>
      <c r="W1752" s="48"/>
      <c r="X1752" s="50"/>
      <c r="Y1752" s="50"/>
      <c r="Z1752" s="48" t="str">
        <f aca="false">IF(A1752="","",IF(AND(Parameter!$B$21="Ja",ISNUMBER(W1752)),W1752,IF(CC1752="2+3",IF(ISNUMBER(SEARCH("grosser Artikel",BU1752)),2,IFERROR(VLOOKUP(BX1752,Parameter!$F$35:$G$64,2,0),2)),IF(OR(CC1752="Nein",CC1752=""),"-",CC1752))))</f>
        <v/>
      </c>
      <c r="AA1752" s="48" t="str">
        <f aca="false">IF('Neue Artikel'!$J$13="","",'Neue Artikel'!$J$13)</f>
        <v/>
      </c>
      <c r="AB1752" s="56"/>
      <c r="AC1752" s="50" t="n">
        <f aca="false">AV1752</f>
        <v>0</v>
      </c>
      <c r="AD1752" s="50" t="n">
        <f aca="false">MAX(AV1752,H1752)</f>
        <v>0</v>
      </c>
      <c r="AE1752" s="57"/>
      <c r="AF1752" s="50" t="n">
        <f aca="false">IF(LEFT(Cockpit!$C$5,1)="A",H1752,IF(Parameter!$E$30="MAX-Bestand",IF(CH1752=1,CI1752,IF(LEFT(Cockpit!$C$5,1)="B",AL1752,MAX(AL1752,H1752))),ROUNDUP(AJ1752,0)))</f>
        <v>0</v>
      </c>
      <c r="AG1752" s="50" t="n">
        <f aca="false">IF(BZ1752=1,0,ROUNDUP(AF1752/BY1752,0))</f>
        <v>0</v>
      </c>
      <c r="AH1752" s="52" t="n">
        <f aca="false">IF(CQ1752&gt;0,CQ1752*MAX(1,AF1752/X1752),IF(BZ1752=1,IF(AF1752&lt;=0,0,CD1752*MAX(1,IF(H1752&gt;0,AF1752/H1752,1))),IF(R1752&gt;0,AG1752/R1752,0))/MAX(0.1,N(Parameter!$M$21)))</f>
        <v>0</v>
      </c>
      <c r="AI1752" s="50" t="n">
        <f aca="false">AH1752*CB1752</f>
        <v>0</v>
      </c>
      <c r="AJ1752" s="51" t="n">
        <f aca="false">IF(LEFT(Cockpit!$C$5,1)="A",H1752,IF(CH1752=1,(CK1752+CI1752)/2,IF(LEFT(Cockpit!$C$5,1)="B",(CK1752+AL1752)/2,MAX((CK1752+AL1752)/2,H1752))))</f>
        <v>0</v>
      </c>
      <c r="AK1752" s="50" t="n">
        <f aca="false">AJ1752*G1752</f>
        <v>0</v>
      </c>
      <c r="AL1752" s="50" t="n">
        <f aca="false">ROUNDUP(CK1752+MAX(CL1752,2*(J1752/IF(CG1752&gt;0,CG1752,MAX(0.1,N(Cockpit!$C$6)))-CK1752)),0)</f>
        <v>0</v>
      </c>
      <c r="AM1752" s="51" t="n">
        <f aca="false">IF(AI1752&gt;0,J1752/AI1752,-1)</f>
        <v>-1</v>
      </c>
      <c r="AN1752" s="51" t="str">
        <f aca="false">IF(AND(OR(CF1752="L1",CF1752="L23",CF1752="LIFT"),AI1752&gt;0),SUMIFS($AI$7:$AI$1843,$CF$7:$CF$1843,CF1752,$AM$7:$AM$1843,"&gt;"&amp;AM1752)+SUMIFS($AI$7:$AI$1843,$CF$7:$CF$1843,CF1752,$AM$7:$AM$1843,AM1752,$BW$7:$BW$1843,"&lt;="&amp;BW1752),"")</f>
        <v/>
      </c>
      <c r="AO1752" s="58" t="n">
        <f aca="false">IF(AN1752="",0,MAX(0,MIN(1,(IF(CF1752="L1",Parameter!$H$5,IF(CF1752="L23",Parameter!$H$6+Parameter!$H$7,Parameter!$H$5+Parameter!$H$6+Parameter!$H$7))-(AN1752-AI1752))/AI1752)))</f>
        <v>0</v>
      </c>
      <c r="AP1752" s="50" t="n">
        <f aca="false">IF(LEFT(Cockpit!$I$5,1)="A",H1752,IF(Parameter!$E$30="MAX-Bestand",IF(CH1752=1,CI1752,IF(LEFT(Cockpit!$I$5,1)="B",AV1752,MAX(AV1752,H1752))),ROUNDUP(AT1752,0)))</f>
        <v>0</v>
      </c>
      <c r="AQ1752" s="50" t="n">
        <f aca="false">IF(BZ1752=1,0,ROUNDUP(AP1752/BY1752,0))</f>
        <v>0</v>
      </c>
      <c r="AR1752" s="52" t="n">
        <f aca="false">IF(CQ1752&gt;0,CQ1752*MAX(1,AP1752/X1752),IF(BZ1752=1,IF(AP1752&lt;=0,0,CD1752*MAX(1,IF(H1752&gt;0,AP1752/H1752,1))),IF(R1752&gt;0,AQ1752/R1752,0))/MAX(0.1,N(Parameter!$M$21)))</f>
        <v>0</v>
      </c>
      <c r="AS1752" s="50" t="n">
        <f aca="false">AR1752*CB1752</f>
        <v>0</v>
      </c>
      <c r="AT1752" s="51" t="n">
        <f aca="false">IF(LEFT(Cockpit!$I$5,1)="A",H1752,IF(CH1752=1,(CK1752+CI1752)/2,IF(LEFT(Cockpit!$I$5,1)="B",(CK1752+AV1752)/2,MAX((CK1752+AV1752)/2,H1752))))</f>
        <v>0</v>
      </c>
      <c r="AU1752" s="50" t="n">
        <f aca="false">AT1752*G1752</f>
        <v>0</v>
      </c>
      <c r="AV1752" s="50" t="n">
        <f aca="false">ROUNDUP(CK1752+MAX(CL1752,2*(J1752/IF(CG1752&gt;0,CG1752,MAX(0.1,N(Cockpit!$I$6)))-CK1752)),0)</f>
        <v>0</v>
      </c>
      <c r="AW1752" s="51" t="n">
        <f aca="false">IF(AS1752&gt;0,J1752/AS1752,-1)</f>
        <v>-1</v>
      </c>
      <c r="AX1752" s="51" t="str">
        <f aca="false">IF(AND(OR(CF1752="L1",CF1752="L23",CF1752="LIFT"),AS1752&gt;0),SUMIFS($AS$7:$AS$1843,$CF$7:$CF$1843,CF1752,$AW$7:$AW$1843,"&gt;"&amp;AW1752)+SUMIFS($AS$7:$AS$1843,$CF$7:$CF$1843,CF1752,$AW$7:$AW$1843,AW1752,$BW$7:$BW$1843,"&lt;="&amp;BW1752),"")</f>
        <v/>
      </c>
      <c r="AY1752" s="58" t="n">
        <f aca="false">IF(AX1752="",0,MAX(0,MIN(1,(IF(CF1752="L1",Parameter!$H$5,IF(CF1752="L23",Parameter!$H$6+Parameter!$H$7,Parameter!$H$5+Parameter!$H$6+Parameter!$H$7))-(AX1752-AS1752))/AS1752)))</f>
        <v>0</v>
      </c>
      <c r="AZ1752" s="50" t="n">
        <f aca="false">IF(LEFT(Cockpit!$O$5,1)="A",H1752,IF(Parameter!$E$30="MAX-Bestand",IF(CH1752=1,CI1752,IF(LEFT(Cockpit!$O$5,1)="B",BF1752,MAX(BF1752,H1752))),ROUNDUP(BD1752,0)))</f>
        <v>0</v>
      </c>
      <c r="BA1752" s="50" t="n">
        <f aca="false">IF(BZ1752=1,0,ROUNDUP(AZ1752/BY1752,0))</f>
        <v>0</v>
      </c>
      <c r="BB1752" s="52" t="n">
        <f aca="false">IF(CQ1752&gt;0,CQ1752*MAX(1,AZ1752/X1752),IF(BZ1752=1,IF(AZ1752&lt;=0,0,CD1752*MAX(1,IF(H1752&gt;0,AZ1752/H1752,1))),IF(R1752&gt;0,BA1752/R1752,0))/MAX(0.1,N(Parameter!$M$21)))</f>
        <v>0</v>
      </c>
      <c r="BC1752" s="50" t="n">
        <f aca="false">BB1752*CB1752</f>
        <v>0</v>
      </c>
      <c r="BD1752" s="51" t="n">
        <f aca="false">IF(LEFT(Cockpit!$O$5,1)="A",H1752,IF(CH1752=1,(CK1752+CI1752)/2,IF(LEFT(Cockpit!$O$5,1)="B",(CK1752+BF1752)/2,MAX((CK1752+BF1752)/2,H1752))))</f>
        <v>0</v>
      </c>
      <c r="BE1752" s="50" t="n">
        <f aca="false">BD1752*G1752</f>
        <v>0</v>
      </c>
      <c r="BF1752" s="50" t="n">
        <f aca="false">ROUNDUP(CK1752+MAX(CL1752,2*(J1752/IF(CG1752&gt;0,CG1752,MAX(0.1,N(Cockpit!$O$6)))-CK1752)),0)</f>
        <v>0</v>
      </c>
      <c r="BG1752" s="51" t="n">
        <f aca="false">IF(BC1752&gt;0,J1752/BC1752,-1)</f>
        <v>-1</v>
      </c>
      <c r="BH1752" s="51" t="str">
        <f aca="false">IF(AND(OR(CF1752="L1",CF1752="L23",CF1752="LIFT"),BC1752&gt;0),SUMIFS($BC$7:$BC$1843,$CF$7:$CF$1843,CF1752,$BG$7:$BG$1843,"&gt;"&amp;BG1752)+SUMIFS($BC$7:$BC$1843,$CF$7:$CF$1843,CF1752,$BG$7:$BG$1843,BG1752,$BW$7:$BW$1843,"&lt;="&amp;BW1752),"")</f>
        <v/>
      </c>
      <c r="BI1752" s="58" t="n">
        <f aca="false">IF(BH1752="",0,MAX(0,MIN(1,(IF(CF1752="L1",Parameter!$H$5,IF(CF1752="L23",Parameter!$H$6+Parameter!$H$7,Parameter!$H$5+Parameter!$H$6+Parameter!$H$7))-(BH1752-BC1752))/BC1752)))</f>
        <v>0</v>
      </c>
      <c r="BJ1752" s="48" t="str">
        <f aca="false">IF(AI1752&lt;=0,"",IF(CF1752="Aussen","Aussenlager",IF(CF1752="-","Nicht im Lift",IF(AO1752&gt;=1,"Lift",IF(AO1752&lt;=0,"Aussenlager","teilweise")))))</f>
        <v/>
      </c>
      <c r="BK1752" s="48" t="str">
        <f aca="false">IF(AS1752&lt;=0,"",IF(CF1752="Aussen","Aussenlager",IF(CF1752="-","Nicht im Lift",IF(AY1752&gt;=1,"Lift",IF(AY1752&lt;=0,"Aussenlager","teilweise")))))</f>
        <v/>
      </c>
      <c r="BL1752" s="48" t="str">
        <f aca="false">IF(BC1752&lt;=0,"",IF(CF1752="Aussen","Aussenlager",IF(CF1752="-","Nicht im Lift",IF(BI1752&gt;=1,"Lift",IF(BI1752&lt;=0,"Aussenlager","teilweise")))))</f>
        <v/>
      </c>
      <c r="BM1752" s="48" t="str">
        <f aca="false">IF(A1752="","",IF(BV1752=1,"Neu; ","")&amp;IF(AND(BV1752=0,BQ1752&lt;0),"negativer Bestand (Export "&amp;BQ1752&amp;"); ","")&amp;IF(J1752&lt;=0,"Kein Verbrauch; ","")&amp;IF(CQ1752&gt;0,"Lift "&amp;W1752&amp;" lt. Liftbericht (Fach "&amp;X1752&amp;" Stk); ",IF(CA1752=1,"Gebinde geschätzt ("&amp;T1752&amp;"); ",IF(BZ1752=1,"Lose – Tablare geschätzt; ","")))&amp;IF(H1752&gt;AV1752,"Überbestand "&amp;ROUND(H1752-AV1752,0)&amp;" Stk / CHF "&amp;ROUND((H1752-AV1752)*G1752,0)&amp;"; ","")&amp;IF(AND(CH1752=1,CI1752&lt;CJ1752),"MAX &lt; MB+LG; ","")&amp;IF(AND(CP1752&gt;0,CO1752*10&gt;CP1752),"zu hoch für Tablar; ","")&amp;IF(AND(BV1752=0,OR(CH1752=1,AA1752&lt;&gt;"",U1752&lt;&gt;"",V1752&lt;&gt;"",AB1752&lt;&gt;"")),"manuell übersteuert; ","")&amp;IF(AND(BZ1752=0,R1752=0),"Gebinde unbekannt / Stellmass fehlt; ","")&amp;IF(AND(BZ1752=0,N(V1752)&lt;=0,N(Q1752)&lt;=0),"Menge pro Gebinde fehlt (Ist = 1 Gebinde); ","")&amp;BU1752)</f>
        <v/>
      </c>
      <c r="BN1752" s="48"/>
      <c r="BO1752" s="48"/>
      <c r="BP1752" s="55"/>
      <c r="BQ1752" s="50" t="n">
        <f aca="false">N('Neue Artikel'!$D$13)</f>
        <v>0</v>
      </c>
      <c r="BR1752" s="50" t="n">
        <v>0</v>
      </c>
      <c r="BS1752" s="49" t="n">
        <v>0</v>
      </c>
      <c r="BT1752" s="50" t="n">
        <f aca="false">N('Neue Artikel'!$C$13)/Parameter!$B$18</f>
        <v>0</v>
      </c>
      <c r="BU1752" s="48"/>
      <c r="BV1752" s="53" t="n">
        <v>1</v>
      </c>
      <c r="BW1752" s="53" t="n">
        <v>1752</v>
      </c>
      <c r="BX1752" s="48" t="str">
        <f aca="false">IF(U1752&lt;&gt;"",UPPER(TRIM(U1752)),IF(CA1752=1,UPPER(VLOOKUP(T1752,Parameter!$I$27:$K$29,2,0)),IF(P1752="","LOSE",P1752)))</f>
        <v>LOSE</v>
      </c>
      <c r="BY1752" s="50" t="n">
        <f aca="false">IF(BX1752="LOSE",1,IF(N(V1752)&gt;0,V1752,IF(CA1752=1,MAX(1,N(VLOOKUP(T1752,Parameter!$I$27:$K$29,3,0)),H1752,N(N1752)),IF(N(Q1752)&gt;0,Q1752,MAX(1,H1752)))))</f>
        <v>1</v>
      </c>
      <c r="BZ1752" s="53" t="n">
        <f aca="false">IF(BX1752="LOSE",1,0)</f>
        <v>1</v>
      </c>
      <c r="CA1752" s="53" t="n">
        <f aca="false">IF(AND(U1752="",OR(P1752="",P1752="LOSE"),T1752&lt;&gt;"",N(S1752)&lt;=0,ISNUMBER(MATCH(T1752,Parameter!$I$27:$I$29,0))),1,0)</f>
        <v>0</v>
      </c>
      <c r="CB1752" s="53" t="n">
        <f aca="false">IF(CQ1752&gt;0,INDEX(Parameter!$H$5:$H$7,W1752)/INDEX(Parameter!$E$5:$E$7,W1752),IF(AND(BZ1752=0,N(IFERROR(VLOOKUP(BX1752,'Gebinde-Kategorie'!$A$5:$N$45,14,0),0))&gt;0),VLOOKUP(BX1752,'Gebinde-Kategorie'!$A$5:$N$45,14,0)*10+Parameter!$M$23,Parameter!$M$24))</f>
        <v>235</v>
      </c>
      <c r="CC1752" s="48" t="str">
        <f aca="false">IF(AND(Parameter!$B$19="Ja",E1752&lt;&gt;"",ISNUMBER(MATCH(E1752,Parameter!$I$35:$I$52,0))),VLOOKUP(E1752,Parameter!$I$35:$J$52,2,0),IFERROR(VLOOKUP(D1752,Parameter!$A$35:$C$64,2,0),"Nein"))</f>
        <v>2+3</v>
      </c>
      <c r="CD1752" s="52" t="n">
        <f aca="false">IF(BZ1752=0,0,IF(N(S1752)&gt;0,S1752,IFERROR(VLOOKUP(D1752,Parameter!$A$35:$C$64,3,0)+0,0)))</f>
        <v>0.15</v>
      </c>
      <c r="CE1752" s="48" t="str">
        <f aca="false">IF(AA1752&lt;&gt;"",AA1752,Z1752)</f>
        <v/>
      </c>
      <c r="CF1752" s="48" t="str">
        <f aca="false">IF(OR(CE1752=1,CE1752=2,CE1752=3),IF(Parameter!$E$27="Ja","LIFT",IF(CE1752=1,"L1","L23")),IF(CE1752="Aussen","Aussen","-"))</f>
        <v>-</v>
      </c>
      <c r="CG1752" s="59" t="n">
        <f aca="false">IF(N(AB1752)&gt;0,AB1752,0)</f>
        <v>0</v>
      </c>
      <c r="CH1752" s="53" t="n">
        <f aca="false">IF(ISNUMBER(AE1752),1,0)</f>
        <v>0</v>
      </c>
      <c r="CI1752" s="50" t="n">
        <f aca="false">N(AE1752)</f>
        <v>0</v>
      </c>
      <c r="CJ1752" s="50" t="n">
        <f aca="false">N(M1752)+N(N1752)</f>
        <v>0</v>
      </c>
      <c r="CK1752" s="50" t="n">
        <f aca="false">N(M1752)</f>
        <v>0</v>
      </c>
      <c r="CL1752" s="50" t="n">
        <f aca="false">N(N1752)</f>
        <v>0</v>
      </c>
      <c r="CM1752" s="50" t="n">
        <f aca="false">ROUNDUP(H1752/BY1752,0)</f>
        <v>0</v>
      </c>
      <c r="CN1752" s="50" t="n">
        <f aca="false">ROUNDUP(CI1752/BY1752,0)</f>
        <v>0</v>
      </c>
      <c r="CO1752" s="53" t="n">
        <f aca="false">IF(BZ1752=1,0,IFERROR(VLOOKUP(BX1752,'Gebinde-Kategorie'!$A$5:$N$45,5,0)+0,0))</f>
        <v>0</v>
      </c>
      <c r="CP1752" s="53" t="n">
        <f aca="false">IFERROR(IF(OR(CE1752=1,CE1752=2,CE1752=3),N(INDEX(Parameter!$I$5:$I$7,CE1752)),0),0)</f>
        <v>0</v>
      </c>
      <c r="CQ1752" s="52" t="n">
        <f aca="false">IF(AND(Parameter!$B$21="Ja",ISNUMBER(W1752),N(X1752)&gt;0),IFERROR(N(INDEX(Parameter!$L$5:$L$7,W1752))*INDEX(Parameter!$E$5:$E$7,W1752)*X1752/SUMIFS($X$7:$X$1843,$W$7:$W$1843,W1752),0),0)</f>
        <v>0</v>
      </c>
    </row>
    <row r="1753" customFormat="false" ht="15" hidden="false" customHeight="false" outlineLevel="0" collapsed="false">
      <c r="A1753" s="48" t="str">
        <f aca="false">IF('Neue Artikel'!$A$14="","",'Neue Artikel'!$A$14&amp;"")</f>
        <v/>
      </c>
      <c r="B1753" s="48" t="str">
        <f aca="false">'Neue Artikel'!$B$14&amp;""</f>
        <v/>
      </c>
      <c r="C1753" s="48"/>
      <c r="D1753" s="48" t="s">
        <v>3024</v>
      </c>
      <c r="E1753" s="48"/>
      <c r="F1753" s="48"/>
      <c r="G1753" s="49" t="n">
        <f aca="false">N('Neue Artikel'!$G$14)</f>
        <v>0</v>
      </c>
      <c r="H1753" s="50" t="n">
        <f aca="false">MAX(0,IF(AND(Parameter!$B$21="Ja",ISNUMBER(Y1753)),Y1753,IF(Parameter!$B$20="Jahresanfang 2025 + Export",BR1753+BQ1753,BQ1753)))</f>
        <v>0</v>
      </c>
      <c r="I1753" s="50" t="n">
        <f aca="false">H1753*G1753</f>
        <v>0</v>
      </c>
      <c r="J1753" s="50" t="n">
        <f aca="false">BT1753*Parameter!$B$18</f>
        <v>0</v>
      </c>
      <c r="K1753" s="51"/>
      <c r="L1753" s="52"/>
      <c r="M1753" s="50" t="n">
        <f aca="false">N('Neue Artikel'!$E$14)</f>
        <v>0</v>
      </c>
      <c r="N1753" s="50" t="n">
        <f aca="false">N('Neue Artikel'!$F$14)</f>
        <v>0</v>
      </c>
      <c r="O1753" s="53"/>
      <c r="P1753" s="48" t="str">
        <f aca="false">IF('Neue Artikel'!$H$14="","LOSE",UPPER(TRIM('Neue Artikel'!$H$14)))</f>
        <v>LOSE</v>
      </c>
      <c r="Q1753" s="50" t="n">
        <f aca="false">N('Neue Artikel'!$I$14)</f>
        <v>0</v>
      </c>
      <c r="R1753" s="53" t="n">
        <f aca="false">IF(BZ1753=1,0,IFERROR(VLOOKUP(BX1753,'Gebinde-Kategorie'!$A$5:$N$45,13,0)+0,0))</f>
        <v>0</v>
      </c>
      <c r="S1753" s="54"/>
      <c r="T1753" s="55"/>
      <c r="U1753" s="55"/>
      <c r="V1753" s="55"/>
      <c r="W1753" s="48"/>
      <c r="X1753" s="50"/>
      <c r="Y1753" s="50"/>
      <c r="Z1753" s="48" t="str">
        <f aca="false">IF(A1753="","",IF(AND(Parameter!$B$21="Ja",ISNUMBER(W1753)),W1753,IF(CC1753="2+3",IF(ISNUMBER(SEARCH("grosser Artikel",BU1753)),2,IFERROR(VLOOKUP(BX1753,Parameter!$F$35:$G$64,2,0),2)),IF(OR(CC1753="Nein",CC1753=""),"-",CC1753))))</f>
        <v/>
      </c>
      <c r="AA1753" s="48" t="str">
        <f aca="false">IF('Neue Artikel'!$J$14="","",'Neue Artikel'!$J$14)</f>
        <v/>
      </c>
      <c r="AB1753" s="56"/>
      <c r="AC1753" s="50" t="n">
        <f aca="false">AV1753</f>
        <v>0</v>
      </c>
      <c r="AD1753" s="50" t="n">
        <f aca="false">MAX(AV1753,H1753)</f>
        <v>0</v>
      </c>
      <c r="AE1753" s="57"/>
      <c r="AF1753" s="50" t="n">
        <f aca="false">IF(LEFT(Cockpit!$C$5,1)="A",H1753,IF(Parameter!$E$30="MAX-Bestand",IF(CH1753=1,CI1753,IF(LEFT(Cockpit!$C$5,1)="B",AL1753,MAX(AL1753,H1753))),ROUNDUP(AJ1753,0)))</f>
        <v>0</v>
      </c>
      <c r="AG1753" s="50" t="n">
        <f aca="false">IF(BZ1753=1,0,ROUNDUP(AF1753/BY1753,0))</f>
        <v>0</v>
      </c>
      <c r="AH1753" s="52" t="n">
        <f aca="false">IF(CQ1753&gt;0,CQ1753*MAX(1,AF1753/X1753),IF(BZ1753=1,IF(AF1753&lt;=0,0,CD1753*MAX(1,IF(H1753&gt;0,AF1753/H1753,1))),IF(R1753&gt;0,AG1753/R1753,0))/MAX(0.1,N(Parameter!$M$21)))</f>
        <v>0</v>
      </c>
      <c r="AI1753" s="50" t="n">
        <f aca="false">AH1753*CB1753</f>
        <v>0</v>
      </c>
      <c r="AJ1753" s="51" t="n">
        <f aca="false">IF(LEFT(Cockpit!$C$5,1)="A",H1753,IF(CH1753=1,(CK1753+CI1753)/2,IF(LEFT(Cockpit!$C$5,1)="B",(CK1753+AL1753)/2,MAX((CK1753+AL1753)/2,H1753))))</f>
        <v>0</v>
      </c>
      <c r="AK1753" s="50" t="n">
        <f aca="false">AJ1753*G1753</f>
        <v>0</v>
      </c>
      <c r="AL1753" s="50" t="n">
        <f aca="false">ROUNDUP(CK1753+MAX(CL1753,2*(J1753/IF(CG1753&gt;0,CG1753,MAX(0.1,N(Cockpit!$C$6)))-CK1753)),0)</f>
        <v>0</v>
      </c>
      <c r="AM1753" s="51" t="n">
        <f aca="false">IF(AI1753&gt;0,J1753/AI1753,-1)</f>
        <v>-1</v>
      </c>
      <c r="AN1753" s="51" t="str">
        <f aca="false">IF(AND(OR(CF1753="L1",CF1753="L23",CF1753="LIFT"),AI1753&gt;0),SUMIFS($AI$7:$AI$1843,$CF$7:$CF$1843,CF1753,$AM$7:$AM$1843,"&gt;"&amp;AM1753)+SUMIFS($AI$7:$AI$1843,$CF$7:$CF$1843,CF1753,$AM$7:$AM$1843,AM1753,$BW$7:$BW$1843,"&lt;="&amp;BW1753),"")</f>
        <v/>
      </c>
      <c r="AO1753" s="58" t="n">
        <f aca="false">IF(AN1753="",0,MAX(0,MIN(1,(IF(CF1753="L1",Parameter!$H$5,IF(CF1753="L23",Parameter!$H$6+Parameter!$H$7,Parameter!$H$5+Parameter!$H$6+Parameter!$H$7))-(AN1753-AI1753))/AI1753)))</f>
        <v>0</v>
      </c>
      <c r="AP1753" s="50" t="n">
        <f aca="false">IF(LEFT(Cockpit!$I$5,1)="A",H1753,IF(Parameter!$E$30="MAX-Bestand",IF(CH1753=1,CI1753,IF(LEFT(Cockpit!$I$5,1)="B",AV1753,MAX(AV1753,H1753))),ROUNDUP(AT1753,0)))</f>
        <v>0</v>
      </c>
      <c r="AQ1753" s="50" t="n">
        <f aca="false">IF(BZ1753=1,0,ROUNDUP(AP1753/BY1753,0))</f>
        <v>0</v>
      </c>
      <c r="AR1753" s="52" t="n">
        <f aca="false">IF(CQ1753&gt;0,CQ1753*MAX(1,AP1753/X1753),IF(BZ1753=1,IF(AP1753&lt;=0,0,CD1753*MAX(1,IF(H1753&gt;0,AP1753/H1753,1))),IF(R1753&gt;0,AQ1753/R1753,0))/MAX(0.1,N(Parameter!$M$21)))</f>
        <v>0</v>
      </c>
      <c r="AS1753" s="50" t="n">
        <f aca="false">AR1753*CB1753</f>
        <v>0</v>
      </c>
      <c r="AT1753" s="51" t="n">
        <f aca="false">IF(LEFT(Cockpit!$I$5,1)="A",H1753,IF(CH1753=1,(CK1753+CI1753)/2,IF(LEFT(Cockpit!$I$5,1)="B",(CK1753+AV1753)/2,MAX((CK1753+AV1753)/2,H1753))))</f>
        <v>0</v>
      </c>
      <c r="AU1753" s="50" t="n">
        <f aca="false">AT1753*G1753</f>
        <v>0</v>
      </c>
      <c r="AV1753" s="50" t="n">
        <f aca="false">ROUNDUP(CK1753+MAX(CL1753,2*(J1753/IF(CG1753&gt;0,CG1753,MAX(0.1,N(Cockpit!$I$6)))-CK1753)),0)</f>
        <v>0</v>
      </c>
      <c r="AW1753" s="51" t="n">
        <f aca="false">IF(AS1753&gt;0,J1753/AS1753,-1)</f>
        <v>-1</v>
      </c>
      <c r="AX1753" s="51" t="str">
        <f aca="false">IF(AND(OR(CF1753="L1",CF1753="L23",CF1753="LIFT"),AS1753&gt;0),SUMIFS($AS$7:$AS$1843,$CF$7:$CF$1843,CF1753,$AW$7:$AW$1843,"&gt;"&amp;AW1753)+SUMIFS($AS$7:$AS$1843,$CF$7:$CF$1843,CF1753,$AW$7:$AW$1843,AW1753,$BW$7:$BW$1843,"&lt;="&amp;BW1753),"")</f>
        <v/>
      </c>
      <c r="AY1753" s="58" t="n">
        <f aca="false">IF(AX1753="",0,MAX(0,MIN(1,(IF(CF1753="L1",Parameter!$H$5,IF(CF1753="L23",Parameter!$H$6+Parameter!$H$7,Parameter!$H$5+Parameter!$H$6+Parameter!$H$7))-(AX1753-AS1753))/AS1753)))</f>
        <v>0</v>
      </c>
      <c r="AZ1753" s="50" t="n">
        <f aca="false">IF(LEFT(Cockpit!$O$5,1)="A",H1753,IF(Parameter!$E$30="MAX-Bestand",IF(CH1753=1,CI1753,IF(LEFT(Cockpit!$O$5,1)="B",BF1753,MAX(BF1753,H1753))),ROUNDUP(BD1753,0)))</f>
        <v>0</v>
      </c>
      <c r="BA1753" s="50" t="n">
        <f aca="false">IF(BZ1753=1,0,ROUNDUP(AZ1753/BY1753,0))</f>
        <v>0</v>
      </c>
      <c r="BB1753" s="52" t="n">
        <f aca="false">IF(CQ1753&gt;0,CQ1753*MAX(1,AZ1753/X1753),IF(BZ1753=1,IF(AZ1753&lt;=0,0,CD1753*MAX(1,IF(H1753&gt;0,AZ1753/H1753,1))),IF(R1753&gt;0,BA1753/R1753,0))/MAX(0.1,N(Parameter!$M$21)))</f>
        <v>0</v>
      </c>
      <c r="BC1753" s="50" t="n">
        <f aca="false">BB1753*CB1753</f>
        <v>0</v>
      </c>
      <c r="BD1753" s="51" t="n">
        <f aca="false">IF(LEFT(Cockpit!$O$5,1)="A",H1753,IF(CH1753=1,(CK1753+CI1753)/2,IF(LEFT(Cockpit!$O$5,1)="B",(CK1753+BF1753)/2,MAX((CK1753+BF1753)/2,H1753))))</f>
        <v>0</v>
      </c>
      <c r="BE1753" s="50" t="n">
        <f aca="false">BD1753*G1753</f>
        <v>0</v>
      </c>
      <c r="BF1753" s="50" t="n">
        <f aca="false">ROUNDUP(CK1753+MAX(CL1753,2*(J1753/IF(CG1753&gt;0,CG1753,MAX(0.1,N(Cockpit!$O$6)))-CK1753)),0)</f>
        <v>0</v>
      </c>
      <c r="BG1753" s="51" t="n">
        <f aca="false">IF(BC1753&gt;0,J1753/BC1753,-1)</f>
        <v>-1</v>
      </c>
      <c r="BH1753" s="51" t="str">
        <f aca="false">IF(AND(OR(CF1753="L1",CF1753="L23",CF1753="LIFT"),BC1753&gt;0),SUMIFS($BC$7:$BC$1843,$CF$7:$CF$1843,CF1753,$BG$7:$BG$1843,"&gt;"&amp;BG1753)+SUMIFS($BC$7:$BC$1843,$CF$7:$CF$1843,CF1753,$BG$7:$BG$1843,BG1753,$BW$7:$BW$1843,"&lt;="&amp;BW1753),"")</f>
        <v/>
      </c>
      <c r="BI1753" s="58" t="n">
        <f aca="false">IF(BH1753="",0,MAX(0,MIN(1,(IF(CF1753="L1",Parameter!$H$5,IF(CF1753="L23",Parameter!$H$6+Parameter!$H$7,Parameter!$H$5+Parameter!$H$6+Parameter!$H$7))-(BH1753-BC1753))/BC1753)))</f>
        <v>0</v>
      </c>
      <c r="BJ1753" s="48" t="str">
        <f aca="false">IF(AI1753&lt;=0,"",IF(CF1753="Aussen","Aussenlager",IF(CF1753="-","Nicht im Lift",IF(AO1753&gt;=1,"Lift",IF(AO1753&lt;=0,"Aussenlager","teilweise")))))</f>
        <v/>
      </c>
      <c r="BK1753" s="48" t="str">
        <f aca="false">IF(AS1753&lt;=0,"",IF(CF1753="Aussen","Aussenlager",IF(CF1753="-","Nicht im Lift",IF(AY1753&gt;=1,"Lift",IF(AY1753&lt;=0,"Aussenlager","teilweise")))))</f>
        <v/>
      </c>
      <c r="BL1753" s="48" t="str">
        <f aca="false">IF(BC1753&lt;=0,"",IF(CF1753="Aussen","Aussenlager",IF(CF1753="-","Nicht im Lift",IF(BI1753&gt;=1,"Lift",IF(BI1753&lt;=0,"Aussenlager","teilweise")))))</f>
        <v/>
      </c>
      <c r="BM1753" s="48" t="str">
        <f aca="false">IF(A1753="","",IF(BV1753=1,"Neu; ","")&amp;IF(AND(BV1753=0,BQ1753&lt;0),"negativer Bestand (Export "&amp;BQ1753&amp;"); ","")&amp;IF(J1753&lt;=0,"Kein Verbrauch; ","")&amp;IF(CQ1753&gt;0,"Lift "&amp;W1753&amp;" lt. Liftbericht (Fach "&amp;X1753&amp;" Stk); ",IF(CA1753=1,"Gebinde geschätzt ("&amp;T1753&amp;"); ",IF(BZ1753=1,"Lose – Tablare geschätzt; ","")))&amp;IF(H1753&gt;AV1753,"Überbestand "&amp;ROUND(H1753-AV1753,0)&amp;" Stk / CHF "&amp;ROUND((H1753-AV1753)*G1753,0)&amp;"; ","")&amp;IF(AND(CH1753=1,CI1753&lt;CJ1753),"MAX &lt; MB+LG; ","")&amp;IF(AND(CP1753&gt;0,CO1753*10&gt;CP1753),"zu hoch für Tablar; ","")&amp;IF(AND(BV1753=0,OR(CH1753=1,AA1753&lt;&gt;"",U1753&lt;&gt;"",V1753&lt;&gt;"",AB1753&lt;&gt;"")),"manuell übersteuert; ","")&amp;IF(AND(BZ1753=0,R1753=0),"Gebinde unbekannt / Stellmass fehlt; ","")&amp;IF(AND(BZ1753=0,N(V1753)&lt;=0,N(Q1753)&lt;=0),"Menge pro Gebinde fehlt (Ist = 1 Gebinde); ","")&amp;BU1753)</f>
        <v/>
      </c>
      <c r="BN1753" s="48"/>
      <c r="BO1753" s="48"/>
      <c r="BP1753" s="55"/>
      <c r="BQ1753" s="50" t="n">
        <f aca="false">N('Neue Artikel'!$D$14)</f>
        <v>0</v>
      </c>
      <c r="BR1753" s="50" t="n">
        <v>0</v>
      </c>
      <c r="BS1753" s="49" t="n">
        <v>0</v>
      </c>
      <c r="BT1753" s="50" t="n">
        <f aca="false">N('Neue Artikel'!$C$14)/Parameter!$B$18</f>
        <v>0</v>
      </c>
      <c r="BU1753" s="48"/>
      <c r="BV1753" s="53" t="n">
        <v>1</v>
      </c>
      <c r="BW1753" s="53" t="n">
        <v>1753</v>
      </c>
      <c r="BX1753" s="48" t="str">
        <f aca="false">IF(U1753&lt;&gt;"",UPPER(TRIM(U1753)),IF(CA1753=1,UPPER(VLOOKUP(T1753,Parameter!$I$27:$K$29,2,0)),IF(P1753="","LOSE",P1753)))</f>
        <v>LOSE</v>
      </c>
      <c r="BY1753" s="50" t="n">
        <f aca="false">IF(BX1753="LOSE",1,IF(N(V1753)&gt;0,V1753,IF(CA1753=1,MAX(1,N(VLOOKUP(T1753,Parameter!$I$27:$K$29,3,0)),H1753,N(N1753)),IF(N(Q1753)&gt;0,Q1753,MAX(1,H1753)))))</f>
        <v>1</v>
      </c>
      <c r="BZ1753" s="53" t="n">
        <f aca="false">IF(BX1753="LOSE",1,0)</f>
        <v>1</v>
      </c>
      <c r="CA1753" s="53" t="n">
        <f aca="false">IF(AND(U1753="",OR(P1753="",P1753="LOSE"),T1753&lt;&gt;"",N(S1753)&lt;=0,ISNUMBER(MATCH(T1753,Parameter!$I$27:$I$29,0))),1,0)</f>
        <v>0</v>
      </c>
      <c r="CB1753" s="53" t="n">
        <f aca="false">IF(CQ1753&gt;0,INDEX(Parameter!$H$5:$H$7,W1753)/INDEX(Parameter!$E$5:$E$7,W1753),IF(AND(BZ1753=0,N(IFERROR(VLOOKUP(BX1753,'Gebinde-Kategorie'!$A$5:$N$45,14,0),0))&gt;0),VLOOKUP(BX1753,'Gebinde-Kategorie'!$A$5:$N$45,14,0)*10+Parameter!$M$23,Parameter!$M$24))</f>
        <v>235</v>
      </c>
      <c r="CC1753" s="48" t="str">
        <f aca="false">IF(AND(Parameter!$B$19="Ja",E1753&lt;&gt;"",ISNUMBER(MATCH(E1753,Parameter!$I$35:$I$52,0))),VLOOKUP(E1753,Parameter!$I$35:$J$52,2,0),IFERROR(VLOOKUP(D1753,Parameter!$A$35:$C$64,2,0),"Nein"))</f>
        <v>2+3</v>
      </c>
      <c r="CD1753" s="52" t="n">
        <f aca="false">IF(BZ1753=0,0,IF(N(S1753)&gt;0,S1753,IFERROR(VLOOKUP(D1753,Parameter!$A$35:$C$64,3,0)+0,0)))</f>
        <v>0.15</v>
      </c>
      <c r="CE1753" s="48" t="str">
        <f aca="false">IF(AA1753&lt;&gt;"",AA1753,Z1753)</f>
        <v/>
      </c>
      <c r="CF1753" s="48" t="str">
        <f aca="false">IF(OR(CE1753=1,CE1753=2,CE1753=3),IF(Parameter!$E$27="Ja","LIFT",IF(CE1753=1,"L1","L23")),IF(CE1753="Aussen","Aussen","-"))</f>
        <v>-</v>
      </c>
      <c r="CG1753" s="59" t="n">
        <f aca="false">IF(N(AB1753)&gt;0,AB1753,0)</f>
        <v>0</v>
      </c>
      <c r="CH1753" s="53" t="n">
        <f aca="false">IF(ISNUMBER(AE1753),1,0)</f>
        <v>0</v>
      </c>
      <c r="CI1753" s="50" t="n">
        <f aca="false">N(AE1753)</f>
        <v>0</v>
      </c>
      <c r="CJ1753" s="50" t="n">
        <f aca="false">N(M1753)+N(N1753)</f>
        <v>0</v>
      </c>
      <c r="CK1753" s="50" t="n">
        <f aca="false">N(M1753)</f>
        <v>0</v>
      </c>
      <c r="CL1753" s="50" t="n">
        <f aca="false">N(N1753)</f>
        <v>0</v>
      </c>
      <c r="CM1753" s="50" t="n">
        <f aca="false">ROUNDUP(H1753/BY1753,0)</f>
        <v>0</v>
      </c>
      <c r="CN1753" s="50" t="n">
        <f aca="false">ROUNDUP(CI1753/BY1753,0)</f>
        <v>0</v>
      </c>
      <c r="CO1753" s="53" t="n">
        <f aca="false">IF(BZ1753=1,0,IFERROR(VLOOKUP(BX1753,'Gebinde-Kategorie'!$A$5:$N$45,5,0)+0,0))</f>
        <v>0</v>
      </c>
      <c r="CP1753" s="53" t="n">
        <f aca="false">IFERROR(IF(OR(CE1753=1,CE1753=2,CE1753=3),N(INDEX(Parameter!$I$5:$I$7,CE1753)),0),0)</f>
        <v>0</v>
      </c>
      <c r="CQ1753" s="52" t="n">
        <f aca="false">IF(AND(Parameter!$B$21="Ja",ISNUMBER(W1753),N(X1753)&gt;0),IFERROR(N(INDEX(Parameter!$L$5:$L$7,W1753))*INDEX(Parameter!$E$5:$E$7,W1753)*X1753/SUMIFS($X$7:$X$1843,$W$7:$W$1843,W1753),0),0)</f>
        <v>0</v>
      </c>
    </row>
    <row r="1754" customFormat="false" ht="15" hidden="false" customHeight="false" outlineLevel="0" collapsed="false">
      <c r="A1754" s="48" t="str">
        <f aca="false">IF('Neue Artikel'!$A$15="","",'Neue Artikel'!$A$15&amp;"")</f>
        <v/>
      </c>
      <c r="B1754" s="48" t="str">
        <f aca="false">'Neue Artikel'!$B$15&amp;""</f>
        <v/>
      </c>
      <c r="C1754" s="48"/>
      <c r="D1754" s="48" t="s">
        <v>3024</v>
      </c>
      <c r="E1754" s="48"/>
      <c r="F1754" s="48"/>
      <c r="G1754" s="49" t="n">
        <f aca="false">N('Neue Artikel'!$G$15)</f>
        <v>0</v>
      </c>
      <c r="H1754" s="50" t="n">
        <f aca="false">MAX(0,IF(AND(Parameter!$B$21="Ja",ISNUMBER(Y1754)),Y1754,IF(Parameter!$B$20="Jahresanfang 2025 + Export",BR1754+BQ1754,BQ1754)))</f>
        <v>0</v>
      </c>
      <c r="I1754" s="50" t="n">
        <f aca="false">H1754*G1754</f>
        <v>0</v>
      </c>
      <c r="J1754" s="50" t="n">
        <f aca="false">BT1754*Parameter!$B$18</f>
        <v>0</v>
      </c>
      <c r="K1754" s="51"/>
      <c r="L1754" s="52"/>
      <c r="M1754" s="50" t="n">
        <f aca="false">N('Neue Artikel'!$E$15)</f>
        <v>0</v>
      </c>
      <c r="N1754" s="50" t="n">
        <f aca="false">N('Neue Artikel'!$F$15)</f>
        <v>0</v>
      </c>
      <c r="O1754" s="53"/>
      <c r="P1754" s="48" t="str">
        <f aca="false">IF('Neue Artikel'!$H$15="","LOSE",UPPER(TRIM('Neue Artikel'!$H$15)))</f>
        <v>LOSE</v>
      </c>
      <c r="Q1754" s="50" t="n">
        <f aca="false">N('Neue Artikel'!$I$15)</f>
        <v>0</v>
      </c>
      <c r="R1754" s="53" t="n">
        <f aca="false">IF(BZ1754=1,0,IFERROR(VLOOKUP(BX1754,'Gebinde-Kategorie'!$A$5:$N$45,13,0)+0,0))</f>
        <v>0</v>
      </c>
      <c r="S1754" s="54"/>
      <c r="T1754" s="55"/>
      <c r="U1754" s="55"/>
      <c r="V1754" s="55"/>
      <c r="W1754" s="48"/>
      <c r="X1754" s="50"/>
      <c r="Y1754" s="50"/>
      <c r="Z1754" s="48" t="str">
        <f aca="false">IF(A1754="","",IF(AND(Parameter!$B$21="Ja",ISNUMBER(W1754)),W1754,IF(CC1754="2+3",IF(ISNUMBER(SEARCH("grosser Artikel",BU1754)),2,IFERROR(VLOOKUP(BX1754,Parameter!$F$35:$G$64,2,0),2)),IF(OR(CC1754="Nein",CC1754=""),"-",CC1754))))</f>
        <v/>
      </c>
      <c r="AA1754" s="48" t="str">
        <f aca="false">IF('Neue Artikel'!$J$15="","",'Neue Artikel'!$J$15)</f>
        <v/>
      </c>
      <c r="AB1754" s="56"/>
      <c r="AC1754" s="50" t="n">
        <f aca="false">AV1754</f>
        <v>0</v>
      </c>
      <c r="AD1754" s="50" t="n">
        <f aca="false">MAX(AV1754,H1754)</f>
        <v>0</v>
      </c>
      <c r="AE1754" s="57"/>
      <c r="AF1754" s="50" t="n">
        <f aca="false">IF(LEFT(Cockpit!$C$5,1)="A",H1754,IF(Parameter!$E$30="MAX-Bestand",IF(CH1754=1,CI1754,IF(LEFT(Cockpit!$C$5,1)="B",AL1754,MAX(AL1754,H1754))),ROUNDUP(AJ1754,0)))</f>
        <v>0</v>
      </c>
      <c r="AG1754" s="50" t="n">
        <f aca="false">IF(BZ1754=1,0,ROUNDUP(AF1754/BY1754,0))</f>
        <v>0</v>
      </c>
      <c r="AH1754" s="52" t="n">
        <f aca="false">IF(CQ1754&gt;0,CQ1754*MAX(1,AF1754/X1754),IF(BZ1754=1,IF(AF1754&lt;=0,0,CD1754*MAX(1,IF(H1754&gt;0,AF1754/H1754,1))),IF(R1754&gt;0,AG1754/R1754,0))/MAX(0.1,N(Parameter!$M$21)))</f>
        <v>0</v>
      </c>
      <c r="AI1754" s="50" t="n">
        <f aca="false">AH1754*CB1754</f>
        <v>0</v>
      </c>
      <c r="AJ1754" s="51" t="n">
        <f aca="false">IF(LEFT(Cockpit!$C$5,1)="A",H1754,IF(CH1754=1,(CK1754+CI1754)/2,IF(LEFT(Cockpit!$C$5,1)="B",(CK1754+AL1754)/2,MAX((CK1754+AL1754)/2,H1754))))</f>
        <v>0</v>
      </c>
      <c r="AK1754" s="50" t="n">
        <f aca="false">AJ1754*G1754</f>
        <v>0</v>
      </c>
      <c r="AL1754" s="50" t="n">
        <f aca="false">ROUNDUP(CK1754+MAX(CL1754,2*(J1754/IF(CG1754&gt;0,CG1754,MAX(0.1,N(Cockpit!$C$6)))-CK1754)),0)</f>
        <v>0</v>
      </c>
      <c r="AM1754" s="51" t="n">
        <f aca="false">IF(AI1754&gt;0,J1754/AI1754,-1)</f>
        <v>-1</v>
      </c>
      <c r="AN1754" s="51" t="str">
        <f aca="false">IF(AND(OR(CF1754="L1",CF1754="L23",CF1754="LIFT"),AI1754&gt;0),SUMIFS($AI$7:$AI$1843,$CF$7:$CF$1843,CF1754,$AM$7:$AM$1843,"&gt;"&amp;AM1754)+SUMIFS($AI$7:$AI$1843,$CF$7:$CF$1843,CF1754,$AM$7:$AM$1843,AM1754,$BW$7:$BW$1843,"&lt;="&amp;BW1754),"")</f>
        <v/>
      </c>
      <c r="AO1754" s="58" t="n">
        <f aca="false">IF(AN1754="",0,MAX(0,MIN(1,(IF(CF1754="L1",Parameter!$H$5,IF(CF1754="L23",Parameter!$H$6+Parameter!$H$7,Parameter!$H$5+Parameter!$H$6+Parameter!$H$7))-(AN1754-AI1754))/AI1754)))</f>
        <v>0</v>
      </c>
      <c r="AP1754" s="50" t="n">
        <f aca="false">IF(LEFT(Cockpit!$I$5,1)="A",H1754,IF(Parameter!$E$30="MAX-Bestand",IF(CH1754=1,CI1754,IF(LEFT(Cockpit!$I$5,1)="B",AV1754,MAX(AV1754,H1754))),ROUNDUP(AT1754,0)))</f>
        <v>0</v>
      </c>
      <c r="AQ1754" s="50" t="n">
        <f aca="false">IF(BZ1754=1,0,ROUNDUP(AP1754/BY1754,0))</f>
        <v>0</v>
      </c>
      <c r="AR1754" s="52" t="n">
        <f aca="false">IF(CQ1754&gt;0,CQ1754*MAX(1,AP1754/X1754),IF(BZ1754=1,IF(AP1754&lt;=0,0,CD1754*MAX(1,IF(H1754&gt;0,AP1754/H1754,1))),IF(R1754&gt;0,AQ1754/R1754,0))/MAX(0.1,N(Parameter!$M$21)))</f>
        <v>0</v>
      </c>
      <c r="AS1754" s="50" t="n">
        <f aca="false">AR1754*CB1754</f>
        <v>0</v>
      </c>
      <c r="AT1754" s="51" t="n">
        <f aca="false">IF(LEFT(Cockpit!$I$5,1)="A",H1754,IF(CH1754=1,(CK1754+CI1754)/2,IF(LEFT(Cockpit!$I$5,1)="B",(CK1754+AV1754)/2,MAX((CK1754+AV1754)/2,H1754))))</f>
        <v>0</v>
      </c>
      <c r="AU1754" s="50" t="n">
        <f aca="false">AT1754*G1754</f>
        <v>0</v>
      </c>
      <c r="AV1754" s="50" t="n">
        <f aca="false">ROUNDUP(CK1754+MAX(CL1754,2*(J1754/IF(CG1754&gt;0,CG1754,MAX(0.1,N(Cockpit!$I$6)))-CK1754)),0)</f>
        <v>0</v>
      </c>
      <c r="AW1754" s="51" t="n">
        <f aca="false">IF(AS1754&gt;0,J1754/AS1754,-1)</f>
        <v>-1</v>
      </c>
      <c r="AX1754" s="51" t="str">
        <f aca="false">IF(AND(OR(CF1754="L1",CF1754="L23",CF1754="LIFT"),AS1754&gt;0),SUMIFS($AS$7:$AS$1843,$CF$7:$CF$1843,CF1754,$AW$7:$AW$1843,"&gt;"&amp;AW1754)+SUMIFS($AS$7:$AS$1843,$CF$7:$CF$1843,CF1754,$AW$7:$AW$1843,AW1754,$BW$7:$BW$1843,"&lt;="&amp;BW1754),"")</f>
        <v/>
      </c>
      <c r="AY1754" s="58" t="n">
        <f aca="false">IF(AX1754="",0,MAX(0,MIN(1,(IF(CF1754="L1",Parameter!$H$5,IF(CF1754="L23",Parameter!$H$6+Parameter!$H$7,Parameter!$H$5+Parameter!$H$6+Parameter!$H$7))-(AX1754-AS1754))/AS1754)))</f>
        <v>0</v>
      </c>
      <c r="AZ1754" s="50" t="n">
        <f aca="false">IF(LEFT(Cockpit!$O$5,1)="A",H1754,IF(Parameter!$E$30="MAX-Bestand",IF(CH1754=1,CI1754,IF(LEFT(Cockpit!$O$5,1)="B",BF1754,MAX(BF1754,H1754))),ROUNDUP(BD1754,0)))</f>
        <v>0</v>
      </c>
      <c r="BA1754" s="50" t="n">
        <f aca="false">IF(BZ1754=1,0,ROUNDUP(AZ1754/BY1754,0))</f>
        <v>0</v>
      </c>
      <c r="BB1754" s="52" t="n">
        <f aca="false">IF(CQ1754&gt;0,CQ1754*MAX(1,AZ1754/X1754),IF(BZ1754=1,IF(AZ1754&lt;=0,0,CD1754*MAX(1,IF(H1754&gt;0,AZ1754/H1754,1))),IF(R1754&gt;0,BA1754/R1754,0))/MAX(0.1,N(Parameter!$M$21)))</f>
        <v>0</v>
      </c>
      <c r="BC1754" s="50" t="n">
        <f aca="false">BB1754*CB1754</f>
        <v>0</v>
      </c>
      <c r="BD1754" s="51" t="n">
        <f aca="false">IF(LEFT(Cockpit!$O$5,1)="A",H1754,IF(CH1754=1,(CK1754+CI1754)/2,IF(LEFT(Cockpit!$O$5,1)="B",(CK1754+BF1754)/2,MAX((CK1754+BF1754)/2,H1754))))</f>
        <v>0</v>
      </c>
      <c r="BE1754" s="50" t="n">
        <f aca="false">BD1754*G1754</f>
        <v>0</v>
      </c>
      <c r="BF1754" s="50" t="n">
        <f aca="false">ROUNDUP(CK1754+MAX(CL1754,2*(J1754/IF(CG1754&gt;0,CG1754,MAX(0.1,N(Cockpit!$O$6)))-CK1754)),0)</f>
        <v>0</v>
      </c>
      <c r="BG1754" s="51" t="n">
        <f aca="false">IF(BC1754&gt;0,J1754/BC1754,-1)</f>
        <v>-1</v>
      </c>
      <c r="BH1754" s="51" t="str">
        <f aca="false">IF(AND(OR(CF1754="L1",CF1754="L23",CF1754="LIFT"),BC1754&gt;0),SUMIFS($BC$7:$BC$1843,$CF$7:$CF$1843,CF1754,$BG$7:$BG$1843,"&gt;"&amp;BG1754)+SUMIFS($BC$7:$BC$1843,$CF$7:$CF$1843,CF1754,$BG$7:$BG$1843,BG1754,$BW$7:$BW$1843,"&lt;="&amp;BW1754),"")</f>
        <v/>
      </c>
      <c r="BI1754" s="58" t="n">
        <f aca="false">IF(BH1754="",0,MAX(0,MIN(1,(IF(CF1754="L1",Parameter!$H$5,IF(CF1754="L23",Parameter!$H$6+Parameter!$H$7,Parameter!$H$5+Parameter!$H$6+Parameter!$H$7))-(BH1754-BC1754))/BC1754)))</f>
        <v>0</v>
      </c>
      <c r="BJ1754" s="48" t="str">
        <f aca="false">IF(AI1754&lt;=0,"",IF(CF1754="Aussen","Aussenlager",IF(CF1754="-","Nicht im Lift",IF(AO1754&gt;=1,"Lift",IF(AO1754&lt;=0,"Aussenlager","teilweise")))))</f>
        <v/>
      </c>
      <c r="BK1754" s="48" t="str">
        <f aca="false">IF(AS1754&lt;=0,"",IF(CF1754="Aussen","Aussenlager",IF(CF1754="-","Nicht im Lift",IF(AY1754&gt;=1,"Lift",IF(AY1754&lt;=0,"Aussenlager","teilweise")))))</f>
        <v/>
      </c>
      <c r="BL1754" s="48" t="str">
        <f aca="false">IF(BC1754&lt;=0,"",IF(CF1754="Aussen","Aussenlager",IF(CF1754="-","Nicht im Lift",IF(BI1754&gt;=1,"Lift",IF(BI1754&lt;=0,"Aussenlager","teilweise")))))</f>
        <v/>
      </c>
      <c r="BM1754" s="48" t="str">
        <f aca="false">IF(A1754="","",IF(BV1754=1,"Neu; ","")&amp;IF(AND(BV1754=0,BQ1754&lt;0),"negativer Bestand (Export "&amp;BQ1754&amp;"); ","")&amp;IF(J1754&lt;=0,"Kein Verbrauch; ","")&amp;IF(CQ1754&gt;0,"Lift "&amp;W1754&amp;" lt. Liftbericht (Fach "&amp;X1754&amp;" Stk); ",IF(CA1754=1,"Gebinde geschätzt ("&amp;T1754&amp;"); ",IF(BZ1754=1,"Lose – Tablare geschätzt; ","")))&amp;IF(H1754&gt;AV1754,"Überbestand "&amp;ROUND(H1754-AV1754,0)&amp;" Stk / CHF "&amp;ROUND((H1754-AV1754)*G1754,0)&amp;"; ","")&amp;IF(AND(CH1754=1,CI1754&lt;CJ1754),"MAX &lt; MB+LG; ","")&amp;IF(AND(CP1754&gt;0,CO1754*10&gt;CP1754),"zu hoch für Tablar; ","")&amp;IF(AND(BV1754=0,OR(CH1754=1,AA1754&lt;&gt;"",U1754&lt;&gt;"",V1754&lt;&gt;"",AB1754&lt;&gt;"")),"manuell übersteuert; ","")&amp;IF(AND(BZ1754=0,R1754=0),"Gebinde unbekannt / Stellmass fehlt; ","")&amp;IF(AND(BZ1754=0,N(V1754)&lt;=0,N(Q1754)&lt;=0),"Menge pro Gebinde fehlt (Ist = 1 Gebinde); ","")&amp;BU1754)</f>
        <v/>
      </c>
      <c r="BN1754" s="48"/>
      <c r="BO1754" s="48"/>
      <c r="BP1754" s="55"/>
      <c r="BQ1754" s="50" t="n">
        <f aca="false">N('Neue Artikel'!$D$15)</f>
        <v>0</v>
      </c>
      <c r="BR1754" s="50" t="n">
        <v>0</v>
      </c>
      <c r="BS1754" s="49" t="n">
        <v>0</v>
      </c>
      <c r="BT1754" s="50" t="n">
        <f aca="false">N('Neue Artikel'!$C$15)/Parameter!$B$18</f>
        <v>0</v>
      </c>
      <c r="BU1754" s="48"/>
      <c r="BV1754" s="53" t="n">
        <v>1</v>
      </c>
      <c r="BW1754" s="53" t="n">
        <v>1754</v>
      </c>
      <c r="BX1754" s="48" t="str">
        <f aca="false">IF(U1754&lt;&gt;"",UPPER(TRIM(U1754)),IF(CA1754=1,UPPER(VLOOKUP(T1754,Parameter!$I$27:$K$29,2,0)),IF(P1754="","LOSE",P1754)))</f>
        <v>LOSE</v>
      </c>
      <c r="BY1754" s="50" t="n">
        <f aca="false">IF(BX1754="LOSE",1,IF(N(V1754)&gt;0,V1754,IF(CA1754=1,MAX(1,N(VLOOKUP(T1754,Parameter!$I$27:$K$29,3,0)),H1754,N(N1754)),IF(N(Q1754)&gt;0,Q1754,MAX(1,H1754)))))</f>
        <v>1</v>
      </c>
      <c r="BZ1754" s="53" t="n">
        <f aca="false">IF(BX1754="LOSE",1,0)</f>
        <v>1</v>
      </c>
      <c r="CA1754" s="53" t="n">
        <f aca="false">IF(AND(U1754="",OR(P1754="",P1754="LOSE"),T1754&lt;&gt;"",N(S1754)&lt;=0,ISNUMBER(MATCH(T1754,Parameter!$I$27:$I$29,0))),1,0)</f>
        <v>0</v>
      </c>
      <c r="CB1754" s="53" t="n">
        <f aca="false">IF(CQ1754&gt;0,INDEX(Parameter!$H$5:$H$7,W1754)/INDEX(Parameter!$E$5:$E$7,W1754),IF(AND(BZ1754=0,N(IFERROR(VLOOKUP(BX1754,'Gebinde-Kategorie'!$A$5:$N$45,14,0),0))&gt;0),VLOOKUP(BX1754,'Gebinde-Kategorie'!$A$5:$N$45,14,0)*10+Parameter!$M$23,Parameter!$M$24))</f>
        <v>235</v>
      </c>
      <c r="CC1754" s="48" t="str">
        <f aca="false">IF(AND(Parameter!$B$19="Ja",E1754&lt;&gt;"",ISNUMBER(MATCH(E1754,Parameter!$I$35:$I$52,0))),VLOOKUP(E1754,Parameter!$I$35:$J$52,2,0),IFERROR(VLOOKUP(D1754,Parameter!$A$35:$C$64,2,0),"Nein"))</f>
        <v>2+3</v>
      </c>
      <c r="CD1754" s="52" t="n">
        <f aca="false">IF(BZ1754=0,0,IF(N(S1754)&gt;0,S1754,IFERROR(VLOOKUP(D1754,Parameter!$A$35:$C$64,3,0)+0,0)))</f>
        <v>0.15</v>
      </c>
      <c r="CE1754" s="48" t="str">
        <f aca="false">IF(AA1754&lt;&gt;"",AA1754,Z1754)</f>
        <v/>
      </c>
      <c r="CF1754" s="48" t="str">
        <f aca="false">IF(OR(CE1754=1,CE1754=2,CE1754=3),IF(Parameter!$E$27="Ja","LIFT",IF(CE1754=1,"L1","L23")),IF(CE1754="Aussen","Aussen","-"))</f>
        <v>-</v>
      </c>
      <c r="CG1754" s="59" t="n">
        <f aca="false">IF(N(AB1754)&gt;0,AB1754,0)</f>
        <v>0</v>
      </c>
      <c r="CH1754" s="53" t="n">
        <f aca="false">IF(ISNUMBER(AE1754),1,0)</f>
        <v>0</v>
      </c>
      <c r="CI1754" s="50" t="n">
        <f aca="false">N(AE1754)</f>
        <v>0</v>
      </c>
      <c r="CJ1754" s="50" t="n">
        <f aca="false">N(M1754)+N(N1754)</f>
        <v>0</v>
      </c>
      <c r="CK1754" s="50" t="n">
        <f aca="false">N(M1754)</f>
        <v>0</v>
      </c>
      <c r="CL1754" s="50" t="n">
        <f aca="false">N(N1754)</f>
        <v>0</v>
      </c>
      <c r="CM1754" s="50" t="n">
        <f aca="false">ROUNDUP(H1754/BY1754,0)</f>
        <v>0</v>
      </c>
      <c r="CN1754" s="50" t="n">
        <f aca="false">ROUNDUP(CI1754/BY1754,0)</f>
        <v>0</v>
      </c>
      <c r="CO1754" s="53" t="n">
        <f aca="false">IF(BZ1754=1,0,IFERROR(VLOOKUP(BX1754,'Gebinde-Kategorie'!$A$5:$N$45,5,0)+0,0))</f>
        <v>0</v>
      </c>
      <c r="CP1754" s="53" t="n">
        <f aca="false">IFERROR(IF(OR(CE1754=1,CE1754=2,CE1754=3),N(INDEX(Parameter!$I$5:$I$7,CE1754)),0),0)</f>
        <v>0</v>
      </c>
      <c r="CQ1754" s="52" t="n">
        <f aca="false">IF(AND(Parameter!$B$21="Ja",ISNUMBER(W1754),N(X1754)&gt;0),IFERROR(N(INDEX(Parameter!$L$5:$L$7,W1754))*INDEX(Parameter!$E$5:$E$7,W1754)*X1754/SUMIFS($X$7:$X$1843,$W$7:$W$1843,W1754),0),0)</f>
        <v>0</v>
      </c>
    </row>
    <row r="1755" customFormat="false" ht="15" hidden="false" customHeight="false" outlineLevel="0" collapsed="false">
      <c r="A1755" s="48" t="str">
        <f aca="false">IF('Neue Artikel'!$A$16="","",'Neue Artikel'!$A$16&amp;"")</f>
        <v/>
      </c>
      <c r="B1755" s="48" t="str">
        <f aca="false">'Neue Artikel'!$B$16&amp;""</f>
        <v/>
      </c>
      <c r="C1755" s="48"/>
      <c r="D1755" s="48" t="s">
        <v>3024</v>
      </c>
      <c r="E1755" s="48"/>
      <c r="F1755" s="48"/>
      <c r="G1755" s="49" t="n">
        <f aca="false">N('Neue Artikel'!$G$16)</f>
        <v>0</v>
      </c>
      <c r="H1755" s="50" t="n">
        <f aca="false">MAX(0,IF(AND(Parameter!$B$21="Ja",ISNUMBER(Y1755)),Y1755,IF(Parameter!$B$20="Jahresanfang 2025 + Export",BR1755+BQ1755,BQ1755)))</f>
        <v>0</v>
      </c>
      <c r="I1755" s="50" t="n">
        <f aca="false">H1755*G1755</f>
        <v>0</v>
      </c>
      <c r="J1755" s="50" t="n">
        <f aca="false">BT1755*Parameter!$B$18</f>
        <v>0</v>
      </c>
      <c r="K1755" s="51"/>
      <c r="L1755" s="52"/>
      <c r="M1755" s="50" t="n">
        <f aca="false">N('Neue Artikel'!$E$16)</f>
        <v>0</v>
      </c>
      <c r="N1755" s="50" t="n">
        <f aca="false">N('Neue Artikel'!$F$16)</f>
        <v>0</v>
      </c>
      <c r="O1755" s="53"/>
      <c r="P1755" s="48" t="str">
        <f aca="false">IF('Neue Artikel'!$H$16="","LOSE",UPPER(TRIM('Neue Artikel'!$H$16)))</f>
        <v>LOSE</v>
      </c>
      <c r="Q1755" s="50" t="n">
        <f aca="false">N('Neue Artikel'!$I$16)</f>
        <v>0</v>
      </c>
      <c r="R1755" s="53" t="n">
        <f aca="false">IF(BZ1755=1,0,IFERROR(VLOOKUP(BX1755,'Gebinde-Kategorie'!$A$5:$N$45,13,0)+0,0))</f>
        <v>0</v>
      </c>
      <c r="S1755" s="54"/>
      <c r="T1755" s="55"/>
      <c r="U1755" s="55"/>
      <c r="V1755" s="55"/>
      <c r="W1755" s="48"/>
      <c r="X1755" s="50"/>
      <c r="Y1755" s="50"/>
      <c r="Z1755" s="48" t="str">
        <f aca="false">IF(A1755="","",IF(AND(Parameter!$B$21="Ja",ISNUMBER(W1755)),W1755,IF(CC1755="2+3",IF(ISNUMBER(SEARCH("grosser Artikel",BU1755)),2,IFERROR(VLOOKUP(BX1755,Parameter!$F$35:$G$64,2,0),2)),IF(OR(CC1755="Nein",CC1755=""),"-",CC1755))))</f>
        <v/>
      </c>
      <c r="AA1755" s="48" t="str">
        <f aca="false">IF('Neue Artikel'!$J$16="","",'Neue Artikel'!$J$16)</f>
        <v/>
      </c>
      <c r="AB1755" s="56"/>
      <c r="AC1755" s="50" t="n">
        <f aca="false">AV1755</f>
        <v>0</v>
      </c>
      <c r="AD1755" s="50" t="n">
        <f aca="false">MAX(AV1755,H1755)</f>
        <v>0</v>
      </c>
      <c r="AE1755" s="57"/>
      <c r="AF1755" s="50" t="n">
        <f aca="false">IF(LEFT(Cockpit!$C$5,1)="A",H1755,IF(Parameter!$E$30="MAX-Bestand",IF(CH1755=1,CI1755,IF(LEFT(Cockpit!$C$5,1)="B",AL1755,MAX(AL1755,H1755))),ROUNDUP(AJ1755,0)))</f>
        <v>0</v>
      </c>
      <c r="AG1755" s="50" t="n">
        <f aca="false">IF(BZ1755=1,0,ROUNDUP(AF1755/BY1755,0))</f>
        <v>0</v>
      </c>
      <c r="AH1755" s="52" t="n">
        <f aca="false">IF(CQ1755&gt;0,CQ1755*MAX(1,AF1755/X1755),IF(BZ1755=1,IF(AF1755&lt;=0,0,CD1755*MAX(1,IF(H1755&gt;0,AF1755/H1755,1))),IF(R1755&gt;0,AG1755/R1755,0))/MAX(0.1,N(Parameter!$M$21)))</f>
        <v>0</v>
      </c>
      <c r="AI1755" s="50" t="n">
        <f aca="false">AH1755*CB1755</f>
        <v>0</v>
      </c>
      <c r="AJ1755" s="51" t="n">
        <f aca="false">IF(LEFT(Cockpit!$C$5,1)="A",H1755,IF(CH1755=1,(CK1755+CI1755)/2,IF(LEFT(Cockpit!$C$5,1)="B",(CK1755+AL1755)/2,MAX((CK1755+AL1755)/2,H1755))))</f>
        <v>0</v>
      </c>
      <c r="AK1755" s="50" t="n">
        <f aca="false">AJ1755*G1755</f>
        <v>0</v>
      </c>
      <c r="AL1755" s="50" t="n">
        <f aca="false">ROUNDUP(CK1755+MAX(CL1755,2*(J1755/IF(CG1755&gt;0,CG1755,MAX(0.1,N(Cockpit!$C$6)))-CK1755)),0)</f>
        <v>0</v>
      </c>
      <c r="AM1755" s="51" t="n">
        <f aca="false">IF(AI1755&gt;0,J1755/AI1755,-1)</f>
        <v>-1</v>
      </c>
      <c r="AN1755" s="51" t="str">
        <f aca="false">IF(AND(OR(CF1755="L1",CF1755="L23",CF1755="LIFT"),AI1755&gt;0),SUMIFS($AI$7:$AI$1843,$CF$7:$CF$1843,CF1755,$AM$7:$AM$1843,"&gt;"&amp;AM1755)+SUMIFS($AI$7:$AI$1843,$CF$7:$CF$1843,CF1755,$AM$7:$AM$1843,AM1755,$BW$7:$BW$1843,"&lt;="&amp;BW1755),"")</f>
        <v/>
      </c>
      <c r="AO1755" s="58" t="n">
        <f aca="false">IF(AN1755="",0,MAX(0,MIN(1,(IF(CF1755="L1",Parameter!$H$5,IF(CF1755="L23",Parameter!$H$6+Parameter!$H$7,Parameter!$H$5+Parameter!$H$6+Parameter!$H$7))-(AN1755-AI1755))/AI1755)))</f>
        <v>0</v>
      </c>
      <c r="AP1755" s="50" t="n">
        <f aca="false">IF(LEFT(Cockpit!$I$5,1)="A",H1755,IF(Parameter!$E$30="MAX-Bestand",IF(CH1755=1,CI1755,IF(LEFT(Cockpit!$I$5,1)="B",AV1755,MAX(AV1755,H1755))),ROUNDUP(AT1755,0)))</f>
        <v>0</v>
      </c>
      <c r="AQ1755" s="50" t="n">
        <f aca="false">IF(BZ1755=1,0,ROUNDUP(AP1755/BY1755,0))</f>
        <v>0</v>
      </c>
      <c r="AR1755" s="52" t="n">
        <f aca="false">IF(CQ1755&gt;0,CQ1755*MAX(1,AP1755/X1755),IF(BZ1755=1,IF(AP1755&lt;=0,0,CD1755*MAX(1,IF(H1755&gt;0,AP1755/H1755,1))),IF(R1755&gt;0,AQ1755/R1755,0))/MAX(0.1,N(Parameter!$M$21)))</f>
        <v>0</v>
      </c>
      <c r="AS1755" s="50" t="n">
        <f aca="false">AR1755*CB1755</f>
        <v>0</v>
      </c>
      <c r="AT1755" s="51" t="n">
        <f aca="false">IF(LEFT(Cockpit!$I$5,1)="A",H1755,IF(CH1755=1,(CK1755+CI1755)/2,IF(LEFT(Cockpit!$I$5,1)="B",(CK1755+AV1755)/2,MAX((CK1755+AV1755)/2,H1755))))</f>
        <v>0</v>
      </c>
      <c r="AU1755" s="50" t="n">
        <f aca="false">AT1755*G1755</f>
        <v>0</v>
      </c>
      <c r="AV1755" s="50" t="n">
        <f aca="false">ROUNDUP(CK1755+MAX(CL1755,2*(J1755/IF(CG1755&gt;0,CG1755,MAX(0.1,N(Cockpit!$I$6)))-CK1755)),0)</f>
        <v>0</v>
      </c>
      <c r="AW1755" s="51" t="n">
        <f aca="false">IF(AS1755&gt;0,J1755/AS1755,-1)</f>
        <v>-1</v>
      </c>
      <c r="AX1755" s="51" t="str">
        <f aca="false">IF(AND(OR(CF1755="L1",CF1755="L23",CF1755="LIFT"),AS1755&gt;0),SUMIFS($AS$7:$AS$1843,$CF$7:$CF$1843,CF1755,$AW$7:$AW$1843,"&gt;"&amp;AW1755)+SUMIFS($AS$7:$AS$1843,$CF$7:$CF$1843,CF1755,$AW$7:$AW$1843,AW1755,$BW$7:$BW$1843,"&lt;="&amp;BW1755),"")</f>
        <v/>
      </c>
      <c r="AY1755" s="58" t="n">
        <f aca="false">IF(AX1755="",0,MAX(0,MIN(1,(IF(CF1755="L1",Parameter!$H$5,IF(CF1755="L23",Parameter!$H$6+Parameter!$H$7,Parameter!$H$5+Parameter!$H$6+Parameter!$H$7))-(AX1755-AS1755))/AS1755)))</f>
        <v>0</v>
      </c>
      <c r="AZ1755" s="50" t="n">
        <f aca="false">IF(LEFT(Cockpit!$O$5,1)="A",H1755,IF(Parameter!$E$30="MAX-Bestand",IF(CH1755=1,CI1755,IF(LEFT(Cockpit!$O$5,1)="B",BF1755,MAX(BF1755,H1755))),ROUNDUP(BD1755,0)))</f>
        <v>0</v>
      </c>
      <c r="BA1755" s="50" t="n">
        <f aca="false">IF(BZ1755=1,0,ROUNDUP(AZ1755/BY1755,0))</f>
        <v>0</v>
      </c>
      <c r="BB1755" s="52" t="n">
        <f aca="false">IF(CQ1755&gt;0,CQ1755*MAX(1,AZ1755/X1755),IF(BZ1755=1,IF(AZ1755&lt;=0,0,CD1755*MAX(1,IF(H1755&gt;0,AZ1755/H1755,1))),IF(R1755&gt;0,BA1755/R1755,0))/MAX(0.1,N(Parameter!$M$21)))</f>
        <v>0</v>
      </c>
      <c r="BC1755" s="50" t="n">
        <f aca="false">BB1755*CB1755</f>
        <v>0</v>
      </c>
      <c r="BD1755" s="51" t="n">
        <f aca="false">IF(LEFT(Cockpit!$O$5,1)="A",H1755,IF(CH1755=1,(CK1755+CI1755)/2,IF(LEFT(Cockpit!$O$5,1)="B",(CK1755+BF1755)/2,MAX((CK1755+BF1755)/2,H1755))))</f>
        <v>0</v>
      </c>
      <c r="BE1755" s="50" t="n">
        <f aca="false">BD1755*G1755</f>
        <v>0</v>
      </c>
      <c r="BF1755" s="50" t="n">
        <f aca="false">ROUNDUP(CK1755+MAX(CL1755,2*(J1755/IF(CG1755&gt;0,CG1755,MAX(0.1,N(Cockpit!$O$6)))-CK1755)),0)</f>
        <v>0</v>
      </c>
      <c r="BG1755" s="51" t="n">
        <f aca="false">IF(BC1755&gt;0,J1755/BC1755,-1)</f>
        <v>-1</v>
      </c>
      <c r="BH1755" s="51" t="str">
        <f aca="false">IF(AND(OR(CF1755="L1",CF1755="L23",CF1755="LIFT"),BC1755&gt;0),SUMIFS($BC$7:$BC$1843,$CF$7:$CF$1843,CF1755,$BG$7:$BG$1843,"&gt;"&amp;BG1755)+SUMIFS($BC$7:$BC$1843,$CF$7:$CF$1843,CF1755,$BG$7:$BG$1843,BG1755,$BW$7:$BW$1843,"&lt;="&amp;BW1755),"")</f>
        <v/>
      </c>
      <c r="BI1755" s="58" t="n">
        <f aca="false">IF(BH1755="",0,MAX(0,MIN(1,(IF(CF1755="L1",Parameter!$H$5,IF(CF1755="L23",Parameter!$H$6+Parameter!$H$7,Parameter!$H$5+Parameter!$H$6+Parameter!$H$7))-(BH1755-BC1755))/BC1755)))</f>
        <v>0</v>
      </c>
      <c r="BJ1755" s="48" t="str">
        <f aca="false">IF(AI1755&lt;=0,"",IF(CF1755="Aussen","Aussenlager",IF(CF1755="-","Nicht im Lift",IF(AO1755&gt;=1,"Lift",IF(AO1755&lt;=0,"Aussenlager","teilweise")))))</f>
        <v/>
      </c>
      <c r="BK1755" s="48" t="str">
        <f aca="false">IF(AS1755&lt;=0,"",IF(CF1755="Aussen","Aussenlager",IF(CF1755="-","Nicht im Lift",IF(AY1755&gt;=1,"Lift",IF(AY1755&lt;=0,"Aussenlager","teilweise")))))</f>
        <v/>
      </c>
      <c r="BL1755" s="48" t="str">
        <f aca="false">IF(BC1755&lt;=0,"",IF(CF1755="Aussen","Aussenlager",IF(CF1755="-","Nicht im Lift",IF(BI1755&gt;=1,"Lift",IF(BI1755&lt;=0,"Aussenlager","teilweise")))))</f>
        <v/>
      </c>
      <c r="BM1755" s="48" t="str">
        <f aca="false">IF(A1755="","",IF(BV1755=1,"Neu; ","")&amp;IF(AND(BV1755=0,BQ1755&lt;0),"negativer Bestand (Export "&amp;BQ1755&amp;"); ","")&amp;IF(J1755&lt;=0,"Kein Verbrauch; ","")&amp;IF(CQ1755&gt;0,"Lift "&amp;W1755&amp;" lt. Liftbericht (Fach "&amp;X1755&amp;" Stk); ",IF(CA1755=1,"Gebinde geschätzt ("&amp;T1755&amp;"); ",IF(BZ1755=1,"Lose – Tablare geschätzt; ","")))&amp;IF(H1755&gt;AV1755,"Überbestand "&amp;ROUND(H1755-AV1755,0)&amp;" Stk / CHF "&amp;ROUND((H1755-AV1755)*G1755,0)&amp;"; ","")&amp;IF(AND(CH1755=1,CI1755&lt;CJ1755),"MAX &lt; MB+LG; ","")&amp;IF(AND(CP1755&gt;0,CO1755*10&gt;CP1755),"zu hoch für Tablar; ","")&amp;IF(AND(BV1755=0,OR(CH1755=1,AA1755&lt;&gt;"",U1755&lt;&gt;"",V1755&lt;&gt;"",AB1755&lt;&gt;"")),"manuell übersteuert; ","")&amp;IF(AND(BZ1755=0,R1755=0),"Gebinde unbekannt / Stellmass fehlt; ","")&amp;IF(AND(BZ1755=0,N(V1755)&lt;=0,N(Q1755)&lt;=0),"Menge pro Gebinde fehlt (Ist = 1 Gebinde); ","")&amp;BU1755)</f>
        <v/>
      </c>
      <c r="BN1755" s="48"/>
      <c r="BO1755" s="48"/>
      <c r="BP1755" s="55"/>
      <c r="BQ1755" s="50" t="n">
        <f aca="false">N('Neue Artikel'!$D$16)</f>
        <v>0</v>
      </c>
      <c r="BR1755" s="50" t="n">
        <v>0</v>
      </c>
      <c r="BS1755" s="49" t="n">
        <v>0</v>
      </c>
      <c r="BT1755" s="50" t="n">
        <f aca="false">N('Neue Artikel'!$C$16)/Parameter!$B$18</f>
        <v>0</v>
      </c>
      <c r="BU1755" s="48"/>
      <c r="BV1755" s="53" t="n">
        <v>1</v>
      </c>
      <c r="BW1755" s="53" t="n">
        <v>1755</v>
      </c>
      <c r="BX1755" s="48" t="str">
        <f aca="false">IF(U1755&lt;&gt;"",UPPER(TRIM(U1755)),IF(CA1755=1,UPPER(VLOOKUP(T1755,Parameter!$I$27:$K$29,2,0)),IF(P1755="","LOSE",P1755)))</f>
        <v>LOSE</v>
      </c>
      <c r="BY1755" s="50" t="n">
        <f aca="false">IF(BX1755="LOSE",1,IF(N(V1755)&gt;0,V1755,IF(CA1755=1,MAX(1,N(VLOOKUP(T1755,Parameter!$I$27:$K$29,3,0)),H1755,N(N1755)),IF(N(Q1755)&gt;0,Q1755,MAX(1,H1755)))))</f>
        <v>1</v>
      </c>
      <c r="BZ1755" s="53" t="n">
        <f aca="false">IF(BX1755="LOSE",1,0)</f>
        <v>1</v>
      </c>
      <c r="CA1755" s="53" t="n">
        <f aca="false">IF(AND(U1755="",OR(P1755="",P1755="LOSE"),T1755&lt;&gt;"",N(S1755)&lt;=0,ISNUMBER(MATCH(T1755,Parameter!$I$27:$I$29,0))),1,0)</f>
        <v>0</v>
      </c>
      <c r="CB1755" s="53" t="n">
        <f aca="false">IF(CQ1755&gt;0,INDEX(Parameter!$H$5:$H$7,W1755)/INDEX(Parameter!$E$5:$E$7,W1755),IF(AND(BZ1755=0,N(IFERROR(VLOOKUP(BX1755,'Gebinde-Kategorie'!$A$5:$N$45,14,0),0))&gt;0),VLOOKUP(BX1755,'Gebinde-Kategorie'!$A$5:$N$45,14,0)*10+Parameter!$M$23,Parameter!$M$24))</f>
        <v>235</v>
      </c>
      <c r="CC1755" s="48" t="str">
        <f aca="false">IF(AND(Parameter!$B$19="Ja",E1755&lt;&gt;"",ISNUMBER(MATCH(E1755,Parameter!$I$35:$I$52,0))),VLOOKUP(E1755,Parameter!$I$35:$J$52,2,0),IFERROR(VLOOKUP(D1755,Parameter!$A$35:$C$64,2,0),"Nein"))</f>
        <v>2+3</v>
      </c>
      <c r="CD1755" s="52" t="n">
        <f aca="false">IF(BZ1755=0,0,IF(N(S1755)&gt;0,S1755,IFERROR(VLOOKUP(D1755,Parameter!$A$35:$C$64,3,0)+0,0)))</f>
        <v>0.15</v>
      </c>
      <c r="CE1755" s="48" t="str">
        <f aca="false">IF(AA1755&lt;&gt;"",AA1755,Z1755)</f>
        <v/>
      </c>
      <c r="CF1755" s="48" t="str">
        <f aca="false">IF(OR(CE1755=1,CE1755=2,CE1755=3),IF(Parameter!$E$27="Ja","LIFT",IF(CE1755=1,"L1","L23")),IF(CE1755="Aussen","Aussen","-"))</f>
        <v>-</v>
      </c>
      <c r="CG1755" s="59" t="n">
        <f aca="false">IF(N(AB1755)&gt;0,AB1755,0)</f>
        <v>0</v>
      </c>
      <c r="CH1755" s="53" t="n">
        <f aca="false">IF(ISNUMBER(AE1755),1,0)</f>
        <v>0</v>
      </c>
      <c r="CI1755" s="50" t="n">
        <f aca="false">N(AE1755)</f>
        <v>0</v>
      </c>
      <c r="CJ1755" s="50" t="n">
        <f aca="false">N(M1755)+N(N1755)</f>
        <v>0</v>
      </c>
      <c r="CK1755" s="50" t="n">
        <f aca="false">N(M1755)</f>
        <v>0</v>
      </c>
      <c r="CL1755" s="50" t="n">
        <f aca="false">N(N1755)</f>
        <v>0</v>
      </c>
      <c r="CM1755" s="50" t="n">
        <f aca="false">ROUNDUP(H1755/BY1755,0)</f>
        <v>0</v>
      </c>
      <c r="CN1755" s="50" t="n">
        <f aca="false">ROUNDUP(CI1755/BY1755,0)</f>
        <v>0</v>
      </c>
      <c r="CO1755" s="53" t="n">
        <f aca="false">IF(BZ1755=1,0,IFERROR(VLOOKUP(BX1755,'Gebinde-Kategorie'!$A$5:$N$45,5,0)+0,0))</f>
        <v>0</v>
      </c>
      <c r="CP1755" s="53" t="n">
        <f aca="false">IFERROR(IF(OR(CE1755=1,CE1755=2,CE1755=3),N(INDEX(Parameter!$I$5:$I$7,CE1755)),0),0)</f>
        <v>0</v>
      </c>
      <c r="CQ1755" s="52" t="n">
        <f aca="false">IF(AND(Parameter!$B$21="Ja",ISNUMBER(W1755),N(X1755)&gt;0),IFERROR(N(INDEX(Parameter!$L$5:$L$7,W1755))*INDEX(Parameter!$E$5:$E$7,W1755)*X1755/SUMIFS($X$7:$X$1843,$W$7:$W$1843,W1755),0),0)</f>
        <v>0</v>
      </c>
    </row>
    <row r="1756" customFormat="false" ht="15" hidden="false" customHeight="false" outlineLevel="0" collapsed="false">
      <c r="A1756" s="48" t="str">
        <f aca="false">IF('Neue Artikel'!$A$17="","",'Neue Artikel'!$A$17&amp;"")</f>
        <v/>
      </c>
      <c r="B1756" s="48" t="str">
        <f aca="false">'Neue Artikel'!$B$17&amp;""</f>
        <v/>
      </c>
      <c r="C1756" s="48"/>
      <c r="D1756" s="48" t="s">
        <v>3024</v>
      </c>
      <c r="E1756" s="48"/>
      <c r="F1756" s="48"/>
      <c r="G1756" s="49" t="n">
        <f aca="false">N('Neue Artikel'!$G$17)</f>
        <v>0</v>
      </c>
      <c r="H1756" s="50" t="n">
        <f aca="false">MAX(0,IF(AND(Parameter!$B$21="Ja",ISNUMBER(Y1756)),Y1756,IF(Parameter!$B$20="Jahresanfang 2025 + Export",BR1756+BQ1756,BQ1756)))</f>
        <v>0</v>
      </c>
      <c r="I1756" s="50" t="n">
        <f aca="false">H1756*G1756</f>
        <v>0</v>
      </c>
      <c r="J1756" s="50" t="n">
        <f aca="false">BT1756*Parameter!$B$18</f>
        <v>0</v>
      </c>
      <c r="K1756" s="51"/>
      <c r="L1756" s="52"/>
      <c r="M1756" s="50" t="n">
        <f aca="false">N('Neue Artikel'!$E$17)</f>
        <v>0</v>
      </c>
      <c r="N1756" s="50" t="n">
        <f aca="false">N('Neue Artikel'!$F$17)</f>
        <v>0</v>
      </c>
      <c r="O1756" s="53"/>
      <c r="P1756" s="48" t="str">
        <f aca="false">IF('Neue Artikel'!$H$17="","LOSE",UPPER(TRIM('Neue Artikel'!$H$17)))</f>
        <v>LOSE</v>
      </c>
      <c r="Q1756" s="50" t="n">
        <f aca="false">N('Neue Artikel'!$I$17)</f>
        <v>0</v>
      </c>
      <c r="R1756" s="53" t="n">
        <f aca="false">IF(BZ1756=1,0,IFERROR(VLOOKUP(BX1756,'Gebinde-Kategorie'!$A$5:$N$45,13,0)+0,0))</f>
        <v>0</v>
      </c>
      <c r="S1756" s="54"/>
      <c r="T1756" s="55"/>
      <c r="U1756" s="55"/>
      <c r="V1756" s="55"/>
      <c r="W1756" s="48"/>
      <c r="X1756" s="50"/>
      <c r="Y1756" s="50"/>
      <c r="Z1756" s="48" t="str">
        <f aca="false">IF(A1756="","",IF(AND(Parameter!$B$21="Ja",ISNUMBER(W1756)),W1756,IF(CC1756="2+3",IF(ISNUMBER(SEARCH("grosser Artikel",BU1756)),2,IFERROR(VLOOKUP(BX1756,Parameter!$F$35:$G$64,2,0),2)),IF(OR(CC1756="Nein",CC1756=""),"-",CC1756))))</f>
        <v/>
      </c>
      <c r="AA1756" s="48" t="str">
        <f aca="false">IF('Neue Artikel'!$J$17="","",'Neue Artikel'!$J$17)</f>
        <v/>
      </c>
      <c r="AB1756" s="56"/>
      <c r="AC1756" s="50" t="n">
        <f aca="false">AV1756</f>
        <v>0</v>
      </c>
      <c r="AD1756" s="50" t="n">
        <f aca="false">MAX(AV1756,H1756)</f>
        <v>0</v>
      </c>
      <c r="AE1756" s="57"/>
      <c r="AF1756" s="50" t="n">
        <f aca="false">IF(LEFT(Cockpit!$C$5,1)="A",H1756,IF(Parameter!$E$30="MAX-Bestand",IF(CH1756=1,CI1756,IF(LEFT(Cockpit!$C$5,1)="B",AL1756,MAX(AL1756,H1756))),ROUNDUP(AJ1756,0)))</f>
        <v>0</v>
      </c>
      <c r="AG1756" s="50" t="n">
        <f aca="false">IF(BZ1756=1,0,ROUNDUP(AF1756/BY1756,0))</f>
        <v>0</v>
      </c>
      <c r="AH1756" s="52" t="n">
        <f aca="false">IF(CQ1756&gt;0,CQ1756*MAX(1,AF1756/X1756),IF(BZ1756=1,IF(AF1756&lt;=0,0,CD1756*MAX(1,IF(H1756&gt;0,AF1756/H1756,1))),IF(R1756&gt;0,AG1756/R1756,0))/MAX(0.1,N(Parameter!$M$21)))</f>
        <v>0</v>
      </c>
      <c r="AI1756" s="50" t="n">
        <f aca="false">AH1756*CB1756</f>
        <v>0</v>
      </c>
      <c r="AJ1756" s="51" t="n">
        <f aca="false">IF(LEFT(Cockpit!$C$5,1)="A",H1756,IF(CH1756=1,(CK1756+CI1756)/2,IF(LEFT(Cockpit!$C$5,1)="B",(CK1756+AL1756)/2,MAX((CK1756+AL1756)/2,H1756))))</f>
        <v>0</v>
      </c>
      <c r="AK1756" s="50" t="n">
        <f aca="false">AJ1756*G1756</f>
        <v>0</v>
      </c>
      <c r="AL1756" s="50" t="n">
        <f aca="false">ROUNDUP(CK1756+MAX(CL1756,2*(J1756/IF(CG1756&gt;0,CG1756,MAX(0.1,N(Cockpit!$C$6)))-CK1756)),0)</f>
        <v>0</v>
      </c>
      <c r="AM1756" s="51" t="n">
        <f aca="false">IF(AI1756&gt;0,J1756/AI1756,-1)</f>
        <v>-1</v>
      </c>
      <c r="AN1756" s="51" t="str">
        <f aca="false">IF(AND(OR(CF1756="L1",CF1756="L23",CF1756="LIFT"),AI1756&gt;0),SUMIFS($AI$7:$AI$1843,$CF$7:$CF$1843,CF1756,$AM$7:$AM$1843,"&gt;"&amp;AM1756)+SUMIFS($AI$7:$AI$1843,$CF$7:$CF$1843,CF1756,$AM$7:$AM$1843,AM1756,$BW$7:$BW$1843,"&lt;="&amp;BW1756),"")</f>
        <v/>
      </c>
      <c r="AO1756" s="58" t="n">
        <f aca="false">IF(AN1756="",0,MAX(0,MIN(1,(IF(CF1756="L1",Parameter!$H$5,IF(CF1756="L23",Parameter!$H$6+Parameter!$H$7,Parameter!$H$5+Parameter!$H$6+Parameter!$H$7))-(AN1756-AI1756))/AI1756)))</f>
        <v>0</v>
      </c>
      <c r="AP1756" s="50" t="n">
        <f aca="false">IF(LEFT(Cockpit!$I$5,1)="A",H1756,IF(Parameter!$E$30="MAX-Bestand",IF(CH1756=1,CI1756,IF(LEFT(Cockpit!$I$5,1)="B",AV1756,MAX(AV1756,H1756))),ROUNDUP(AT1756,0)))</f>
        <v>0</v>
      </c>
      <c r="AQ1756" s="50" t="n">
        <f aca="false">IF(BZ1756=1,0,ROUNDUP(AP1756/BY1756,0))</f>
        <v>0</v>
      </c>
      <c r="AR1756" s="52" t="n">
        <f aca="false">IF(CQ1756&gt;0,CQ1756*MAX(1,AP1756/X1756),IF(BZ1756=1,IF(AP1756&lt;=0,0,CD1756*MAX(1,IF(H1756&gt;0,AP1756/H1756,1))),IF(R1756&gt;0,AQ1756/R1756,0))/MAX(0.1,N(Parameter!$M$21)))</f>
        <v>0</v>
      </c>
      <c r="AS1756" s="50" t="n">
        <f aca="false">AR1756*CB1756</f>
        <v>0</v>
      </c>
      <c r="AT1756" s="51" t="n">
        <f aca="false">IF(LEFT(Cockpit!$I$5,1)="A",H1756,IF(CH1756=1,(CK1756+CI1756)/2,IF(LEFT(Cockpit!$I$5,1)="B",(CK1756+AV1756)/2,MAX((CK1756+AV1756)/2,H1756))))</f>
        <v>0</v>
      </c>
      <c r="AU1756" s="50" t="n">
        <f aca="false">AT1756*G1756</f>
        <v>0</v>
      </c>
      <c r="AV1756" s="50" t="n">
        <f aca="false">ROUNDUP(CK1756+MAX(CL1756,2*(J1756/IF(CG1756&gt;0,CG1756,MAX(0.1,N(Cockpit!$I$6)))-CK1756)),0)</f>
        <v>0</v>
      </c>
      <c r="AW1756" s="51" t="n">
        <f aca="false">IF(AS1756&gt;0,J1756/AS1756,-1)</f>
        <v>-1</v>
      </c>
      <c r="AX1756" s="51" t="str">
        <f aca="false">IF(AND(OR(CF1756="L1",CF1756="L23",CF1756="LIFT"),AS1756&gt;0),SUMIFS($AS$7:$AS$1843,$CF$7:$CF$1843,CF1756,$AW$7:$AW$1843,"&gt;"&amp;AW1756)+SUMIFS($AS$7:$AS$1843,$CF$7:$CF$1843,CF1756,$AW$7:$AW$1843,AW1756,$BW$7:$BW$1843,"&lt;="&amp;BW1756),"")</f>
        <v/>
      </c>
      <c r="AY1756" s="58" t="n">
        <f aca="false">IF(AX1756="",0,MAX(0,MIN(1,(IF(CF1756="L1",Parameter!$H$5,IF(CF1756="L23",Parameter!$H$6+Parameter!$H$7,Parameter!$H$5+Parameter!$H$6+Parameter!$H$7))-(AX1756-AS1756))/AS1756)))</f>
        <v>0</v>
      </c>
      <c r="AZ1756" s="50" t="n">
        <f aca="false">IF(LEFT(Cockpit!$O$5,1)="A",H1756,IF(Parameter!$E$30="MAX-Bestand",IF(CH1756=1,CI1756,IF(LEFT(Cockpit!$O$5,1)="B",BF1756,MAX(BF1756,H1756))),ROUNDUP(BD1756,0)))</f>
        <v>0</v>
      </c>
      <c r="BA1756" s="50" t="n">
        <f aca="false">IF(BZ1756=1,0,ROUNDUP(AZ1756/BY1756,0))</f>
        <v>0</v>
      </c>
      <c r="BB1756" s="52" t="n">
        <f aca="false">IF(CQ1756&gt;0,CQ1756*MAX(1,AZ1756/X1756),IF(BZ1756=1,IF(AZ1756&lt;=0,0,CD1756*MAX(1,IF(H1756&gt;0,AZ1756/H1756,1))),IF(R1756&gt;0,BA1756/R1756,0))/MAX(0.1,N(Parameter!$M$21)))</f>
        <v>0</v>
      </c>
      <c r="BC1756" s="50" t="n">
        <f aca="false">BB1756*CB1756</f>
        <v>0</v>
      </c>
      <c r="BD1756" s="51" t="n">
        <f aca="false">IF(LEFT(Cockpit!$O$5,1)="A",H1756,IF(CH1756=1,(CK1756+CI1756)/2,IF(LEFT(Cockpit!$O$5,1)="B",(CK1756+BF1756)/2,MAX((CK1756+BF1756)/2,H1756))))</f>
        <v>0</v>
      </c>
      <c r="BE1756" s="50" t="n">
        <f aca="false">BD1756*G1756</f>
        <v>0</v>
      </c>
      <c r="BF1756" s="50" t="n">
        <f aca="false">ROUNDUP(CK1756+MAX(CL1756,2*(J1756/IF(CG1756&gt;0,CG1756,MAX(0.1,N(Cockpit!$O$6)))-CK1756)),0)</f>
        <v>0</v>
      </c>
      <c r="BG1756" s="51" t="n">
        <f aca="false">IF(BC1756&gt;0,J1756/BC1756,-1)</f>
        <v>-1</v>
      </c>
      <c r="BH1756" s="51" t="str">
        <f aca="false">IF(AND(OR(CF1756="L1",CF1756="L23",CF1756="LIFT"),BC1756&gt;0),SUMIFS($BC$7:$BC$1843,$CF$7:$CF$1843,CF1756,$BG$7:$BG$1843,"&gt;"&amp;BG1756)+SUMIFS($BC$7:$BC$1843,$CF$7:$CF$1843,CF1756,$BG$7:$BG$1843,BG1756,$BW$7:$BW$1843,"&lt;="&amp;BW1756),"")</f>
        <v/>
      </c>
      <c r="BI1756" s="58" t="n">
        <f aca="false">IF(BH1756="",0,MAX(0,MIN(1,(IF(CF1756="L1",Parameter!$H$5,IF(CF1756="L23",Parameter!$H$6+Parameter!$H$7,Parameter!$H$5+Parameter!$H$6+Parameter!$H$7))-(BH1756-BC1756))/BC1756)))</f>
        <v>0</v>
      </c>
      <c r="BJ1756" s="48" t="str">
        <f aca="false">IF(AI1756&lt;=0,"",IF(CF1756="Aussen","Aussenlager",IF(CF1756="-","Nicht im Lift",IF(AO1756&gt;=1,"Lift",IF(AO1756&lt;=0,"Aussenlager","teilweise")))))</f>
        <v/>
      </c>
      <c r="BK1756" s="48" t="str">
        <f aca="false">IF(AS1756&lt;=0,"",IF(CF1756="Aussen","Aussenlager",IF(CF1756="-","Nicht im Lift",IF(AY1756&gt;=1,"Lift",IF(AY1756&lt;=0,"Aussenlager","teilweise")))))</f>
        <v/>
      </c>
      <c r="BL1756" s="48" t="str">
        <f aca="false">IF(BC1756&lt;=0,"",IF(CF1756="Aussen","Aussenlager",IF(CF1756="-","Nicht im Lift",IF(BI1756&gt;=1,"Lift",IF(BI1756&lt;=0,"Aussenlager","teilweise")))))</f>
        <v/>
      </c>
      <c r="BM1756" s="48" t="str">
        <f aca="false">IF(A1756="","",IF(BV1756=1,"Neu; ","")&amp;IF(AND(BV1756=0,BQ1756&lt;0),"negativer Bestand (Export "&amp;BQ1756&amp;"); ","")&amp;IF(J1756&lt;=0,"Kein Verbrauch; ","")&amp;IF(CQ1756&gt;0,"Lift "&amp;W1756&amp;" lt. Liftbericht (Fach "&amp;X1756&amp;" Stk); ",IF(CA1756=1,"Gebinde geschätzt ("&amp;T1756&amp;"); ",IF(BZ1756=1,"Lose – Tablare geschätzt; ","")))&amp;IF(H1756&gt;AV1756,"Überbestand "&amp;ROUND(H1756-AV1756,0)&amp;" Stk / CHF "&amp;ROUND((H1756-AV1756)*G1756,0)&amp;"; ","")&amp;IF(AND(CH1756=1,CI1756&lt;CJ1756),"MAX &lt; MB+LG; ","")&amp;IF(AND(CP1756&gt;0,CO1756*10&gt;CP1756),"zu hoch für Tablar; ","")&amp;IF(AND(BV1756=0,OR(CH1756=1,AA1756&lt;&gt;"",U1756&lt;&gt;"",V1756&lt;&gt;"",AB1756&lt;&gt;"")),"manuell übersteuert; ","")&amp;IF(AND(BZ1756=0,R1756=0),"Gebinde unbekannt / Stellmass fehlt; ","")&amp;IF(AND(BZ1756=0,N(V1756)&lt;=0,N(Q1756)&lt;=0),"Menge pro Gebinde fehlt (Ist = 1 Gebinde); ","")&amp;BU1756)</f>
        <v/>
      </c>
      <c r="BN1756" s="48"/>
      <c r="BO1756" s="48"/>
      <c r="BP1756" s="55"/>
      <c r="BQ1756" s="50" t="n">
        <f aca="false">N('Neue Artikel'!$D$17)</f>
        <v>0</v>
      </c>
      <c r="BR1756" s="50" t="n">
        <v>0</v>
      </c>
      <c r="BS1756" s="49" t="n">
        <v>0</v>
      </c>
      <c r="BT1756" s="50" t="n">
        <f aca="false">N('Neue Artikel'!$C$17)/Parameter!$B$18</f>
        <v>0</v>
      </c>
      <c r="BU1756" s="48"/>
      <c r="BV1756" s="53" t="n">
        <v>1</v>
      </c>
      <c r="BW1756" s="53" t="n">
        <v>1756</v>
      </c>
      <c r="BX1756" s="48" t="str">
        <f aca="false">IF(U1756&lt;&gt;"",UPPER(TRIM(U1756)),IF(CA1756=1,UPPER(VLOOKUP(T1756,Parameter!$I$27:$K$29,2,0)),IF(P1756="","LOSE",P1756)))</f>
        <v>LOSE</v>
      </c>
      <c r="BY1756" s="50" t="n">
        <f aca="false">IF(BX1756="LOSE",1,IF(N(V1756)&gt;0,V1756,IF(CA1756=1,MAX(1,N(VLOOKUP(T1756,Parameter!$I$27:$K$29,3,0)),H1756,N(N1756)),IF(N(Q1756)&gt;0,Q1756,MAX(1,H1756)))))</f>
        <v>1</v>
      </c>
      <c r="BZ1756" s="53" t="n">
        <f aca="false">IF(BX1756="LOSE",1,0)</f>
        <v>1</v>
      </c>
      <c r="CA1756" s="53" t="n">
        <f aca="false">IF(AND(U1756="",OR(P1756="",P1756="LOSE"),T1756&lt;&gt;"",N(S1756)&lt;=0,ISNUMBER(MATCH(T1756,Parameter!$I$27:$I$29,0))),1,0)</f>
        <v>0</v>
      </c>
      <c r="CB1756" s="53" t="n">
        <f aca="false">IF(CQ1756&gt;0,INDEX(Parameter!$H$5:$H$7,W1756)/INDEX(Parameter!$E$5:$E$7,W1756),IF(AND(BZ1756=0,N(IFERROR(VLOOKUP(BX1756,'Gebinde-Kategorie'!$A$5:$N$45,14,0),0))&gt;0),VLOOKUP(BX1756,'Gebinde-Kategorie'!$A$5:$N$45,14,0)*10+Parameter!$M$23,Parameter!$M$24))</f>
        <v>235</v>
      </c>
      <c r="CC1756" s="48" t="str">
        <f aca="false">IF(AND(Parameter!$B$19="Ja",E1756&lt;&gt;"",ISNUMBER(MATCH(E1756,Parameter!$I$35:$I$52,0))),VLOOKUP(E1756,Parameter!$I$35:$J$52,2,0),IFERROR(VLOOKUP(D1756,Parameter!$A$35:$C$64,2,0),"Nein"))</f>
        <v>2+3</v>
      </c>
      <c r="CD1756" s="52" t="n">
        <f aca="false">IF(BZ1756=0,0,IF(N(S1756)&gt;0,S1756,IFERROR(VLOOKUP(D1756,Parameter!$A$35:$C$64,3,0)+0,0)))</f>
        <v>0.15</v>
      </c>
      <c r="CE1756" s="48" t="str">
        <f aca="false">IF(AA1756&lt;&gt;"",AA1756,Z1756)</f>
        <v/>
      </c>
      <c r="CF1756" s="48" t="str">
        <f aca="false">IF(OR(CE1756=1,CE1756=2,CE1756=3),IF(Parameter!$E$27="Ja","LIFT",IF(CE1756=1,"L1","L23")),IF(CE1756="Aussen","Aussen","-"))</f>
        <v>-</v>
      </c>
      <c r="CG1756" s="59" t="n">
        <f aca="false">IF(N(AB1756)&gt;0,AB1756,0)</f>
        <v>0</v>
      </c>
      <c r="CH1756" s="53" t="n">
        <f aca="false">IF(ISNUMBER(AE1756),1,0)</f>
        <v>0</v>
      </c>
      <c r="CI1756" s="50" t="n">
        <f aca="false">N(AE1756)</f>
        <v>0</v>
      </c>
      <c r="CJ1756" s="50" t="n">
        <f aca="false">N(M1756)+N(N1756)</f>
        <v>0</v>
      </c>
      <c r="CK1756" s="50" t="n">
        <f aca="false">N(M1756)</f>
        <v>0</v>
      </c>
      <c r="CL1756" s="50" t="n">
        <f aca="false">N(N1756)</f>
        <v>0</v>
      </c>
      <c r="CM1756" s="50" t="n">
        <f aca="false">ROUNDUP(H1756/BY1756,0)</f>
        <v>0</v>
      </c>
      <c r="CN1756" s="50" t="n">
        <f aca="false">ROUNDUP(CI1756/BY1756,0)</f>
        <v>0</v>
      </c>
      <c r="CO1756" s="53" t="n">
        <f aca="false">IF(BZ1756=1,0,IFERROR(VLOOKUP(BX1756,'Gebinde-Kategorie'!$A$5:$N$45,5,0)+0,0))</f>
        <v>0</v>
      </c>
      <c r="CP1756" s="53" t="n">
        <f aca="false">IFERROR(IF(OR(CE1756=1,CE1756=2,CE1756=3),N(INDEX(Parameter!$I$5:$I$7,CE1756)),0),0)</f>
        <v>0</v>
      </c>
      <c r="CQ1756" s="52" t="n">
        <f aca="false">IF(AND(Parameter!$B$21="Ja",ISNUMBER(W1756),N(X1756)&gt;0),IFERROR(N(INDEX(Parameter!$L$5:$L$7,W1756))*INDEX(Parameter!$E$5:$E$7,W1756)*X1756/SUMIFS($X$7:$X$1843,$W$7:$W$1843,W1756),0),0)</f>
        <v>0</v>
      </c>
    </row>
    <row r="1757" customFormat="false" ht="15" hidden="false" customHeight="false" outlineLevel="0" collapsed="false">
      <c r="A1757" s="48" t="str">
        <f aca="false">IF('Neue Artikel'!$A$18="","",'Neue Artikel'!$A$18&amp;"")</f>
        <v/>
      </c>
      <c r="B1757" s="48" t="str">
        <f aca="false">'Neue Artikel'!$B$18&amp;""</f>
        <v/>
      </c>
      <c r="C1757" s="48"/>
      <c r="D1757" s="48" t="s">
        <v>3024</v>
      </c>
      <c r="E1757" s="48"/>
      <c r="F1757" s="48"/>
      <c r="G1757" s="49" t="n">
        <f aca="false">N('Neue Artikel'!$G$18)</f>
        <v>0</v>
      </c>
      <c r="H1757" s="50" t="n">
        <f aca="false">MAX(0,IF(AND(Parameter!$B$21="Ja",ISNUMBER(Y1757)),Y1757,IF(Parameter!$B$20="Jahresanfang 2025 + Export",BR1757+BQ1757,BQ1757)))</f>
        <v>0</v>
      </c>
      <c r="I1757" s="50" t="n">
        <f aca="false">H1757*G1757</f>
        <v>0</v>
      </c>
      <c r="J1757" s="50" t="n">
        <f aca="false">BT1757*Parameter!$B$18</f>
        <v>0</v>
      </c>
      <c r="K1757" s="51"/>
      <c r="L1757" s="52"/>
      <c r="M1757" s="50" t="n">
        <f aca="false">N('Neue Artikel'!$E$18)</f>
        <v>0</v>
      </c>
      <c r="N1757" s="50" t="n">
        <f aca="false">N('Neue Artikel'!$F$18)</f>
        <v>0</v>
      </c>
      <c r="O1757" s="53"/>
      <c r="P1757" s="48" t="str">
        <f aca="false">IF('Neue Artikel'!$H$18="","LOSE",UPPER(TRIM('Neue Artikel'!$H$18)))</f>
        <v>LOSE</v>
      </c>
      <c r="Q1757" s="50" t="n">
        <f aca="false">N('Neue Artikel'!$I$18)</f>
        <v>0</v>
      </c>
      <c r="R1757" s="53" t="n">
        <f aca="false">IF(BZ1757=1,0,IFERROR(VLOOKUP(BX1757,'Gebinde-Kategorie'!$A$5:$N$45,13,0)+0,0))</f>
        <v>0</v>
      </c>
      <c r="S1757" s="54"/>
      <c r="T1757" s="55"/>
      <c r="U1757" s="55"/>
      <c r="V1757" s="55"/>
      <c r="W1757" s="48"/>
      <c r="X1757" s="50"/>
      <c r="Y1757" s="50"/>
      <c r="Z1757" s="48" t="str">
        <f aca="false">IF(A1757="","",IF(AND(Parameter!$B$21="Ja",ISNUMBER(W1757)),W1757,IF(CC1757="2+3",IF(ISNUMBER(SEARCH("grosser Artikel",BU1757)),2,IFERROR(VLOOKUP(BX1757,Parameter!$F$35:$G$64,2,0),2)),IF(OR(CC1757="Nein",CC1757=""),"-",CC1757))))</f>
        <v/>
      </c>
      <c r="AA1757" s="48" t="str">
        <f aca="false">IF('Neue Artikel'!$J$18="","",'Neue Artikel'!$J$18)</f>
        <v/>
      </c>
      <c r="AB1757" s="56"/>
      <c r="AC1757" s="50" t="n">
        <f aca="false">AV1757</f>
        <v>0</v>
      </c>
      <c r="AD1757" s="50" t="n">
        <f aca="false">MAX(AV1757,H1757)</f>
        <v>0</v>
      </c>
      <c r="AE1757" s="57"/>
      <c r="AF1757" s="50" t="n">
        <f aca="false">IF(LEFT(Cockpit!$C$5,1)="A",H1757,IF(Parameter!$E$30="MAX-Bestand",IF(CH1757=1,CI1757,IF(LEFT(Cockpit!$C$5,1)="B",AL1757,MAX(AL1757,H1757))),ROUNDUP(AJ1757,0)))</f>
        <v>0</v>
      </c>
      <c r="AG1757" s="50" t="n">
        <f aca="false">IF(BZ1757=1,0,ROUNDUP(AF1757/BY1757,0))</f>
        <v>0</v>
      </c>
      <c r="AH1757" s="52" t="n">
        <f aca="false">IF(CQ1757&gt;0,CQ1757*MAX(1,AF1757/X1757),IF(BZ1757=1,IF(AF1757&lt;=0,0,CD1757*MAX(1,IF(H1757&gt;0,AF1757/H1757,1))),IF(R1757&gt;0,AG1757/R1757,0))/MAX(0.1,N(Parameter!$M$21)))</f>
        <v>0</v>
      </c>
      <c r="AI1757" s="50" t="n">
        <f aca="false">AH1757*CB1757</f>
        <v>0</v>
      </c>
      <c r="AJ1757" s="51" t="n">
        <f aca="false">IF(LEFT(Cockpit!$C$5,1)="A",H1757,IF(CH1757=1,(CK1757+CI1757)/2,IF(LEFT(Cockpit!$C$5,1)="B",(CK1757+AL1757)/2,MAX((CK1757+AL1757)/2,H1757))))</f>
        <v>0</v>
      </c>
      <c r="AK1757" s="50" t="n">
        <f aca="false">AJ1757*G1757</f>
        <v>0</v>
      </c>
      <c r="AL1757" s="50" t="n">
        <f aca="false">ROUNDUP(CK1757+MAX(CL1757,2*(J1757/IF(CG1757&gt;0,CG1757,MAX(0.1,N(Cockpit!$C$6)))-CK1757)),0)</f>
        <v>0</v>
      </c>
      <c r="AM1757" s="51" t="n">
        <f aca="false">IF(AI1757&gt;0,J1757/AI1757,-1)</f>
        <v>-1</v>
      </c>
      <c r="AN1757" s="51" t="str">
        <f aca="false">IF(AND(OR(CF1757="L1",CF1757="L23",CF1757="LIFT"),AI1757&gt;0),SUMIFS($AI$7:$AI$1843,$CF$7:$CF$1843,CF1757,$AM$7:$AM$1843,"&gt;"&amp;AM1757)+SUMIFS($AI$7:$AI$1843,$CF$7:$CF$1843,CF1757,$AM$7:$AM$1843,AM1757,$BW$7:$BW$1843,"&lt;="&amp;BW1757),"")</f>
        <v/>
      </c>
      <c r="AO1757" s="58" t="n">
        <f aca="false">IF(AN1757="",0,MAX(0,MIN(1,(IF(CF1757="L1",Parameter!$H$5,IF(CF1757="L23",Parameter!$H$6+Parameter!$H$7,Parameter!$H$5+Parameter!$H$6+Parameter!$H$7))-(AN1757-AI1757))/AI1757)))</f>
        <v>0</v>
      </c>
      <c r="AP1757" s="50" t="n">
        <f aca="false">IF(LEFT(Cockpit!$I$5,1)="A",H1757,IF(Parameter!$E$30="MAX-Bestand",IF(CH1757=1,CI1757,IF(LEFT(Cockpit!$I$5,1)="B",AV1757,MAX(AV1757,H1757))),ROUNDUP(AT1757,0)))</f>
        <v>0</v>
      </c>
      <c r="AQ1757" s="50" t="n">
        <f aca="false">IF(BZ1757=1,0,ROUNDUP(AP1757/BY1757,0))</f>
        <v>0</v>
      </c>
      <c r="AR1757" s="52" t="n">
        <f aca="false">IF(CQ1757&gt;0,CQ1757*MAX(1,AP1757/X1757),IF(BZ1757=1,IF(AP1757&lt;=0,0,CD1757*MAX(1,IF(H1757&gt;0,AP1757/H1757,1))),IF(R1757&gt;0,AQ1757/R1757,0))/MAX(0.1,N(Parameter!$M$21)))</f>
        <v>0</v>
      </c>
      <c r="AS1757" s="50" t="n">
        <f aca="false">AR1757*CB1757</f>
        <v>0</v>
      </c>
      <c r="AT1757" s="51" t="n">
        <f aca="false">IF(LEFT(Cockpit!$I$5,1)="A",H1757,IF(CH1757=1,(CK1757+CI1757)/2,IF(LEFT(Cockpit!$I$5,1)="B",(CK1757+AV1757)/2,MAX((CK1757+AV1757)/2,H1757))))</f>
        <v>0</v>
      </c>
      <c r="AU1757" s="50" t="n">
        <f aca="false">AT1757*G1757</f>
        <v>0</v>
      </c>
      <c r="AV1757" s="50" t="n">
        <f aca="false">ROUNDUP(CK1757+MAX(CL1757,2*(J1757/IF(CG1757&gt;0,CG1757,MAX(0.1,N(Cockpit!$I$6)))-CK1757)),0)</f>
        <v>0</v>
      </c>
      <c r="AW1757" s="51" t="n">
        <f aca="false">IF(AS1757&gt;0,J1757/AS1757,-1)</f>
        <v>-1</v>
      </c>
      <c r="AX1757" s="51" t="str">
        <f aca="false">IF(AND(OR(CF1757="L1",CF1757="L23",CF1757="LIFT"),AS1757&gt;0),SUMIFS($AS$7:$AS$1843,$CF$7:$CF$1843,CF1757,$AW$7:$AW$1843,"&gt;"&amp;AW1757)+SUMIFS($AS$7:$AS$1843,$CF$7:$CF$1843,CF1757,$AW$7:$AW$1843,AW1757,$BW$7:$BW$1843,"&lt;="&amp;BW1757),"")</f>
        <v/>
      </c>
      <c r="AY1757" s="58" t="n">
        <f aca="false">IF(AX1757="",0,MAX(0,MIN(1,(IF(CF1757="L1",Parameter!$H$5,IF(CF1757="L23",Parameter!$H$6+Parameter!$H$7,Parameter!$H$5+Parameter!$H$6+Parameter!$H$7))-(AX1757-AS1757))/AS1757)))</f>
        <v>0</v>
      </c>
      <c r="AZ1757" s="50" t="n">
        <f aca="false">IF(LEFT(Cockpit!$O$5,1)="A",H1757,IF(Parameter!$E$30="MAX-Bestand",IF(CH1757=1,CI1757,IF(LEFT(Cockpit!$O$5,1)="B",BF1757,MAX(BF1757,H1757))),ROUNDUP(BD1757,0)))</f>
        <v>0</v>
      </c>
      <c r="BA1757" s="50" t="n">
        <f aca="false">IF(BZ1757=1,0,ROUNDUP(AZ1757/BY1757,0))</f>
        <v>0</v>
      </c>
      <c r="BB1757" s="52" t="n">
        <f aca="false">IF(CQ1757&gt;0,CQ1757*MAX(1,AZ1757/X1757),IF(BZ1757=1,IF(AZ1757&lt;=0,0,CD1757*MAX(1,IF(H1757&gt;0,AZ1757/H1757,1))),IF(R1757&gt;0,BA1757/R1757,0))/MAX(0.1,N(Parameter!$M$21)))</f>
        <v>0</v>
      </c>
      <c r="BC1757" s="50" t="n">
        <f aca="false">BB1757*CB1757</f>
        <v>0</v>
      </c>
      <c r="BD1757" s="51" t="n">
        <f aca="false">IF(LEFT(Cockpit!$O$5,1)="A",H1757,IF(CH1757=1,(CK1757+CI1757)/2,IF(LEFT(Cockpit!$O$5,1)="B",(CK1757+BF1757)/2,MAX((CK1757+BF1757)/2,H1757))))</f>
        <v>0</v>
      </c>
      <c r="BE1757" s="50" t="n">
        <f aca="false">BD1757*G1757</f>
        <v>0</v>
      </c>
      <c r="BF1757" s="50" t="n">
        <f aca="false">ROUNDUP(CK1757+MAX(CL1757,2*(J1757/IF(CG1757&gt;0,CG1757,MAX(0.1,N(Cockpit!$O$6)))-CK1757)),0)</f>
        <v>0</v>
      </c>
      <c r="BG1757" s="51" t="n">
        <f aca="false">IF(BC1757&gt;0,J1757/BC1757,-1)</f>
        <v>-1</v>
      </c>
      <c r="BH1757" s="51" t="str">
        <f aca="false">IF(AND(OR(CF1757="L1",CF1757="L23",CF1757="LIFT"),BC1757&gt;0),SUMIFS($BC$7:$BC$1843,$CF$7:$CF$1843,CF1757,$BG$7:$BG$1843,"&gt;"&amp;BG1757)+SUMIFS($BC$7:$BC$1843,$CF$7:$CF$1843,CF1757,$BG$7:$BG$1843,BG1757,$BW$7:$BW$1843,"&lt;="&amp;BW1757),"")</f>
        <v/>
      </c>
      <c r="BI1757" s="58" t="n">
        <f aca="false">IF(BH1757="",0,MAX(0,MIN(1,(IF(CF1757="L1",Parameter!$H$5,IF(CF1757="L23",Parameter!$H$6+Parameter!$H$7,Parameter!$H$5+Parameter!$H$6+Parameter!$H$7))-(BH1757-BC1757))/BC1757)))</f>
        <v>0</v>
      </c>
      <c r="BJ1757" s="48" t="str">
        <f aca="false">IF(AI1757&lt;=0,"",IF(CF1757="Aussen","Aussenlager",IF(CF1757="-","Nicht im Lift",IF(AO1757&gt;=1,"Lift",IF(AO1757&lt;=0,"Aussenlager","teilweise")))))</f>
        <v/>
      </c>
      <c r="BK1757" s="48" t="str">
        <f aca="false">IF(AS1757&lt;=0,"",IF(CF1757="Aussen","Aussenlager",IF(CF1757="-","Nicht im Lift",IF(AY1757&gt;=1,"Lift",IF(AY1757&lt;=0,"Aussenlager","teilweise")))))</f>
        <v/>
      </c>
      <c r="BL1757" s="48" t="str">
        <f aca="false">IF(BC1757&lt;=0,"",IF(CF1757="Aussen","Aussenlager",IF(CF1757="-","Nicht im Lift",IF(BI1757&gt;=1,"Lift",IF(BI1757&lt;=0,"Aussenlager","teilweise")))))</f>
        <v/>
      </c>
      <c r="BM1757" s="48" t="str">
        <f aca="false">IF(A1757="","",IF(BV1757=1,"Neu; ","")&amp;IF(AND(BV1757=0,BQ1757&lt;0),"negativer Bestand (Export "&amp;BQ1757&amp;"); ","")&amp;IF(J1757&lt;=0,"Kein Verbrauch; ","")&amp;IF(CQ1757&gt;0,"Lift "&amp;W1757&amp;" lt. Liftbericht (Fach "&amp;X1757&amp;" Stk); ",IF(CA1757=1,"Gebinde geschätzt ("&amp;T1757&amp;"); ",IF(BZ1757=1,"Lose – Tablare geschätzt; ","")))&amp;IF(H1757&gt;AV1757,"Überbestand "&amp;ROUND(H1757-AV1757,0)&amp;" Stk / CHF "&amp;ROUND((H1757-AV1757)*G1757,0)&amp;"; ","")&amp;IF(AND(CH1757=1,CI1757&lt;CJ1757),"MAX &lt; MB+LG; ","")&amp;IF(AND(CP1757&gt;0,CO1757*10&gt;CP1757),"zu hoch für Tablar; ","")&amp;IF(AND(BV1757=0,OR(CH1757=1,AA1757&lt;&gt;"",U1757&lt;&gt;"",V1757&lt;&gt;"",AB1757&lt;&gt;"")),"manuell übersteuert; ","")&amp;IF(AND(BZ1757=0,R1757=0),"Gebinde unbekannt / Stellmass fehlt; ","")&amp;IF(AND(BZ1757=0,N(V1757)&lt;=0,N(Q1757)&lt;=0),"Menge pro Gebinde fehlt (Ist = 1 Gebinde); ","")&amp;BU1757)</f>
        <v/>
      </c>
      <c r="BN1757" s="48"/>
      <c r="BO1757" s="48"/>
      <c r="BP1757" s="55"/>
      <c r="BQ1757" s="50" t="n">
        <f aca="false">N('Neue Artikel'!$D$18)</f>
        <v>0</v>
      </c>
      <c r="BR1757" s="50" t="n">
        <v>0</v>
      </c>
      <c r="BS1757" s="49" t="n">
        <v>0</v>
      </c>
      <c r="BT1757" s="50" t="n">
        <f aca="false">N('Neue Artikel'!$C$18)/Parameter!$B$18</f>
        <v>0</v>
      </c>
      <c r="BU1757" s="48"/>
      <c r="BV1757" s="53" t="n">
        <v>1</v>
      </c>
      <c r="BW1757" s="53" t="n">
        <v>1757</v>
      </c>
      <c r="BX1757" s="48" t="str">
        <f aca="false">IF(U1757&lt;&gt;"",UPPER(TRIM(U1757)),IF(CA1757=1,UPPER(VLOOKUP(T1757,Parameter!$I$27:$K$29,2,0)),IF(P1757="","LOSE",P1757)))</f>
        <v>LOSE</v>
      </c>
      <c r="BY1757" s="50" t="n">
        <f aca="false">IF(BX1757="LOSE",1,IF(N(V1757)&gt;0,V1757,IF(CA1757=1,MAX(1,N(VLOOKUP(T1757,Parameter!$I$27:$K$29,3,0)),H1757,N(N1757)),IF(N(Q1757)&gt;0,Q1757,MAX(1,H1757)))))</f>
        <v>1</v>
      </c>
      <c r="BZ1757" s="53" t="n">
        <f aca="false">IF(BX1757="LOSE",1,0)</f>
        <v>1</v>
      </c>
      <c r="CA1757" s="53" t="n">
        <f aca="false">IF(AND(U1757="",OR(P1757="",P1757="LOSE"),T1757&lt;&gt;"",N(S1757)&lt;=0,ISNUMBER(MATCH(T1757,Parameter!$I$27:$I$29,0))),1,0)</f>
        <v>0</v>
      </c>
      <c r="CB1757" s="53" t="n">
        <f aca="false">IF(CQ1757&gt;0,INDEX(Parameter!$H$5:$H$7,W1757)/INDEX(Parameter!$E$5:$E$7,W1757),IF(AND(BZ1757=0,N(IFERROR(VLOOKUP(BX1757,'Gebinde-Kategorie'!$A$5:$N$45,14,0),0))&gt;0),VLOOKUP(BX1757,'Gebinde-Kategorie'!$A$5:$N$45,14,0)*10+Parameter!$M$23,Parameter!$M$24))</f>
        <v>235</v>
      </c>
      <c r="CC1757" s="48" t="str">
        <f aca="false">IF(AND(Parameter!$B$19="Ja",E1757&lt;&gt;"",ISNUMBER(MATCH(E1757,Parameter!$I$35:$I$52,0))),VLOOKUP(E1757,Parameter!$I$35:$J$52,2,0),IFERROR(VLOOKUP(D1757,Parameter!$A$35:$C$64,2,0),"Nein"))</f>
        <v>2+3</v>
      </c>
      <c r="CD1757" s="52" t="n">
        <f aca="false">IF(BZ1757=0,0,IF(N(S1757)&gt;0,S1757,IFERROR(VLOOKUP(D1757,Parameter!$A$35:$C$64,3,0)+0,0)))</f>
        <v>0.15</v>
      </c>
      <c r="CE1757" s="48" t="str">
        <f aca="false">IF(AA1757&lt;&gt;"",AA1757,Z1757)</f>
        <v/>
      </c>
      <c r="CF1757" s="48" t="str">
        <f aca="false">IF(OR(CE1757=1,CE1757=2,CE1757=3),IF(Parameter!$E$27="Ja","LIFT",IF(CE1757=1,"L1","L23")),IF(CE1757="Aussen","Aussen","-"))</f>
        <v>-</v>
      </c>
      <c r="CG1757" s="59" t="n">
        <f aca="false">IF(N(AB1757)&gt;0,AB1757,0)</f>
        <v>0</v>
      </c>
      <c r="CH1757" s="53" t="n">
        <f aca="false">IF(ISNUMBER(AE1757),1,0)</f>
        <v>0</v>
      </c>
      <c r="CI1757" s="50" t="n">
        <f aca="false">N(AE1757)</f>
        <v>0</v>
      </c>
      <c r="CJ1757" s="50" t="n">
        <f aca="false">N(M1757)+N(N1757)</f>
        <v>0</v>
      </c>
      <c r="CK1757" s="50" t="n">
        <f aca="false">N(M1757)</f>
        <v>0</v>
      </c>
      <c r="CL1757" s="50" t="n">
        <f aca="false">N(N1757)</f>
        <v>0</v>
      </c>
      <c r="CM1757" s="50" t="n">
        <f aca="false">ROUNDUP(H1757/BY1757,0)</f>
        <v>0</v>
      </c>
      <c r="CN1757" s="50" t="n">
        <f aca="false">ROUNDUP(CI1757/BY1757,0)</f>
        <v>0</v>
      </c>
      <c r="CO1757" s="53" t="n">
        <f aca="false">IF(BZ1757=1,0,IFERROR(VLOOKUP(BX1757,'Gebinde-Kategorie'!$A$5:$N$45,5,0)+0,0))</f>
        <v>0</v>
      </c>
      <c r="CP1757" s="53" t="n">
        <f aca="false">IFERROR(IF(OR(CE1757=1,CE1757=2,CE1757=3),N(INDEX(Parameter!$I$5:$I$7,CE1757)),0),0)</f>
        <v>0</v>
      </c>
      <c r="CQ1757" s="52" t="n">
        <f aca="false">IF(AND(Parameter!$B$21="Ja",ISNUMBER(W1757),N(X1757)&gt;0),IFERROR(N(INDEX(Parameter!$L$5:$L$7,W1757))*INDEX(Parameter!$E$5:$E$7,W1757)*X1757/SUMIFS($X$7:$X$1843,$W$7:$W$1843,W1757),0),0)</f>
        <v>0</v>
      </c>
    </row>
    <row r="1758" customFormat="false" ht="15" hidden="false" customHeight="false" outlineLevel="0" collapsed="false">
      <c r="A1758" s="48" t="str">
        <f aca="false">IF('Neue Artikel'!$A$19="","",'Neue Artikel'!$A$19&amp;"")</f>
        <v/>
      </c>
      <c r="B1758" s="48" t="str">
        <f aca="false">'Neue Artikel'!$B$19&amp;""</f>
        <v/>
      </c>
      <c r="C1758" s="48"/>
      <c r="D1758" s="48" t="s">
        <v>3024</v>
      </c>
      <c r="E1758" s="48"/>
      <c r="F1758" s="48"/>
      <c r="G1758" s="49" t="n">
        <f aca="false">N('Neue Artikel'!$G$19)</f>
        <v>0</v>
      </c>
      <c r="H1758" s="50" t="n">
        <f aca="false">MAX(0,IF(AND(Parameter!$B$21="Ja",ISNUMBER(Y1758)),Y1758,IF(Parameter!$B$20="Jahresanfang 2025 + Export",BR1758+BQ1758,BQ1758)))</f>
        <v>0</v>
      </c>
      <c r="I1758" s="50" t="n">
        <f aca="false">H1758*G1758</f>
        <v>0</v>
      </c>
      <c r="J1758" s="50" t="n">
        <f aca="false">BT1758*Parameter!$B$18</f>
        <v>0</v>
      </c>
      <c r="K1758" s="51"/>
      <c r="L1758" s="52"/>
      <c r="M1758" s="50" t="n">
        <f aca="false">N('Neue Artikel'!$E$19)</f>
        <v>0</v>
      </c>
      <c r="N1758" s="50" t="n">
        <f aca="false">N('Neue Artikel'!$F$19)</f>
        <v>0</v>
      </c>
      <c r="O1758" s="53"/>
      <c r="P1758" s="48" t="str">
        <f aca="false">IF('Neue Artikel'!$H$19="","LOSE",UPPER(TRIM('Neue Artikel'!$H$19)))</f>
        <v>LOSE</v>
      </c>
      <c r="Q1758" s="50" t="n">
        <f aca="false">N('Neue Artikel'!$I$19)</f>
        <v>0</v>
      </c>
      <c r="R1758" s="53" t="n">
        <f aca="false">IF(BZ1758=1,0,IFERROR(VLOOKUP(BX1758,'Gebinde-Kategorie'!$A$5:$N$45,13,0)+0,0))</f>
        <v>0</v>
      </c>
      <c r="S1758" s="54"/>
      <c r="T1758" s="55"/>
      <c r="U1758" s="55"/>
      <c r="V1758" s="55"/>
      <c r="W1758" s="48"/>
      <c r="X1758" s="50"/>
      <c r="Y1758" s="50"/>
      <c r="Z1758" s="48" t="str">
        <f aca="false">IF(A1758="","",IF(AND(Parameter!$B$21="Ja",ISNUMBER(W1758)),W1758,IF(CC1758="2+3",IF(ISNUMBER(SEARCH("grosser Artikel",BU1758)),2,IFERROR(VLOOKUP(BX1758,Parameter!$F$35:$G$64,2,0),2)),IF(OR(CC1758="Nein",CC1758=""),"-",CC1758))))</f>
        <v/>
      </c>
      <c r="AA1758" s="48" t="str">
        <f aca="false">IF('Neue Artikel'!$J$19="","",'Neue Artikel'!$J$19)</f>
        <v/>
      </c>
      <c r="AB1758" s="56"/>
      <c r="AC1758" s="50" t="n">
        <f aca="false">AV1758</f>
        <v>0</v>
      </c>
      <c r="AD1758" s="50" t="n">
        <f aca="false">MAX(AV1758,H1758)</f>
        <v>0</v>
      </c>
      <c r="AE1758" s="57"/>
      <c r="AF1758" s="50" t="n">
        <f aca="false">IF(LEFT(Cockpit!$C$5,1)="A",H1758,IF(Parameter!$E$30="MAX-Bestand",IF(CH1758=1,CI1758,IF(LEFT(Cockpit!$C$5,1)="B",AL1758,MAX(AL1758,H1758))),ROUNDUP(AJ1758,0)))</f>
        <v>0</v>
      </c>
      <c r="AG1758" s="50" t="n">
        <f aca="false">IF(BZ1758=1,0,ROUNDUP(AF1758/BY1758,0))</f>
        <v>0</v>
      </c>
      <c r="AH1758" s="52" t="n">
        <f aca="false">IF(CQ1758&gt;0,CQ1758*MAX(1,AF1758/X1758),IF(BZ1758=1,IF(AF1758&lt;=0,0,CD1758*MAX(1,IF(H1758&gt;0,AF1758/H1758,1))),IF(R1758&gt;0,AG1758/R1758,0))/MAX(0.1,N(Parameter!$M$21)))</f>
        <v>0</v>
      </c>
      <c r="AI1758" s="50" t="n">
        <f aca="false">AH1758*CB1758</f>
        <v>0</v>
      </c>
      <c r="AJ1758" s="51" t="n">
        <f aca="false">IF(LEFT(Cockpit!$C$5,1)="A",H1758,IF(CH1758=1,(CK1758+CI1758)/2,IF(LEFT(Cockpit!$C$5,1)="B",(CK1758+AL1758)/2,MAX((CK1758+AL1758)/2,H1758))))</f>
        <v>0</v>
      </c>
      <c r="AK1758" s="50" t="n">
        <f aca="false">AJ1758*G1758</f>
        <v>0</v>
      </c>
      <c r="AL1758" s="50" t="n">
        <f aca="false">ROUNDUP(CK1758+MAX(CL1758,2*(J1758/IF(CG1758&gt;0,CG1758,MAX(0.1,N(Cockpit!$C$6)))-CK1758)),0)</f>
        <v>0</v>
      </c>
      <c r="AM1758" s="51" t="n">
        <f aca="false">IF(AI1758&gt;0,J1758/AI1758,-1)</f>
        <v>-1</v>
      </c>
      <c r="AN1758" s="51" t="str">
        <f aca="false">IF(AND(OR(CF1758="L1",CF1758="L23",CF1758="LIFT"),AI1758&gt;0),SUMIFS($AI$7:$AI$1843,$CF$7:$CF$1843,CF1758,$AM$7:$AM$1843,"&gt;"&amp;AM1758)+SUMIFS($AI$7:$AI$1843,$CF$7:$CF$1843,CF1758,$AM$7:$AM$1843,AM1758,$BW$7:$BW$1843,"&lt;="&amp;BW1758),"")</f>
        <v/>
      </c>
      <c r="AO1758" s="58" t="n">
        <f aca="false">IF(AN1758="",0,MAX(0,MIN(1,(IF(CF1758="L1",Parameter!$H$5,IF(CF1758="L23",Parameter!$H$6+Parameter!$H$7,Parameter!$H$5+Parameter!$H$6+Parameter!$H$7))-(AN1758-AI1758))/AI1758)))</f>
        <v>0</v>
      </c>
      <c r="AP1758" s="50" t="n">
        <f aca="false">IF(LEFT(Cockpit!$I$5,1)="A",H1758,IF(Parameter!$E$30="MAX-Bestand",IF(CH1758=1,CI1758,IF(LEFT(Cockpit!$I$5,1)="B",AV1758,MAX(AV1758,H1758))),ROUNDUP(AT1758,0)))</f>
        <v>0</v>
      </c>
      <c r="AQ1758" s="50" t="n">
        <f aca="false">IF(BZ1758=1,0,ROUNDUP(AP1758/BY1758,0))</f>
        <v>0</v>
      </c>
      <c r="AR1758" s="52" t="n">
        <f aca="false">IF(CQ1758&gt;0,CQ1758*MAX(1,AP1758/X1758),IF(BZ1758=1,IF(AP1758&lt;=0,0,CD1758*MAX(1,IF(H1758&gt;0,AP1758/H1758,1))),IF(R1758&gt;0,AQ1758/R1758,0))/MAX(0.1,N(Parameter!$M$21)))</f>
        <v>0</v>
      </c>
      <c r="AS1758" s="50" t="n">
        <f aca="false">AR1758*CB1758</f>
        <v>0</v>
      </c>
      <c r="AT1758" s="51" t="n">
        <f aca="false">IF(LEFT(Cockpit!$I$5,1)="A",H1758,IF(CH1758=1,(CK1758+CI1758)/2,IF(LEFT(Cockpit!$I$5,1)="B",(CK1758+AV1758)/2,MAX((CK1758+AV1758)/2,H1758))))</f>
        <v>0</v>
      </c>
      <c r="AU1758" s="50" t="n">
        <f aca="false">AT1758*G1758</f>
        <v>0</v>
      </c>
      <c r="AV1758" s="50" t="n">
        <f aca="false">ROUNDUP(CK1758+MAX(CL1758,2*(J1758/IF(CG1758&gt;0,CG1758,MAX(0.1,N(Cockpit!$I$6)))-CK1758)),0)</f>
        <v>0</v>
      </c>
      <c r="AW1758" s="51" t="n">
        <f aca="false">IF(AS1758&gt;0,J1758/AS1758,-1)</f>
        <v>-1</v>
      </c>
      <c r="AX1758" s="51" t="str">
        <f aca="false">IF(AND(OR(CF1758="L1",CF1758="L23",CF1758="LIFT"),AS1758&gt;0),SUMIFS($AS$7:$AS$1843,$CF$7:$CF$1843,CF1758,$AW$7:$AW$1843,"&gt;"&amp;AW1758)+SUMIFS($AS$7:$AS$1843,$CF$7:$CF$1843,CF1758,$AW$7:$AW$1843,AW1758,$BW$7:$BW$1843,"&lt;="&amp;BW1758),"")</f>
        <v/>
      </c>
      <c r="AY1758" s="58" t="n">
        <f aca="false">IF(AX1758="",0,MAX(0,MIN(1,(IF(CF1758="L1",Parameter!$H$5,IF(CF1758="L23",Parameter!$H$6+Parameter!$H$7,Parameter!$H$5+Parameter!$H$6+Parameter!$H$7))-(AX1758-AS1758))/AS1758)))</f>
        <v>0</v>
      </c>
      <c r="AZ1758" s="50" t="n">
        <f aca="false">IF(LEFT(Cockpit!$O$5,1)="A",H1758,IF(Parameter!$E$30="MAX-Bestand",IF(CH1758=1,CI1758,IF(LEFT(Cockpit!$O$5,1)="B",BF1758,MAX(BF1758,H1758))),ROUNDUP(BD1758,0)))</f>
        <v>0</v>
      </c>
      <c r="BA1758" s="50" t="n">
        <f aca="false">IF(BZ1758=1,0,ROUNDUP(AZ1758/BY1758,0))</f>
        <v>0</v>
      </c>
      <c r="BB1758" s="52" t="n">
        <f aca="false">IF(CQ1758&gt;0,CQ1758*MAX(1,AZ1758/X1758),IF(BZ1758=1,IF(AZ1758&lt;=0,0,CD1758*MAX(1,IF(H1758&gt;0,AZ1758/H1758,1))),IF(R1758&gt;0,BA1758/R1758,0))/MAX(0.1,N(Parameter!$M$21)))</f>
        <v>0</v>
      </c>
      <c r="BC1758" s="50" t="n">
        <f aca="false">BB1758*CB1758</f>
        <v>0</v>
      </c>
      <c r="BD1758" s="51" t="n">
        <f aca="false">IF(LEFT(Cockpit!$O$5,1)="A",H1758,IF(CH1758=1,(CK1758+CI1758)/2,IF(LEFT(Cockpit!$O$5,1)="B",(CK1758+BF1758)/2,MAX((CK1758+BF1758)/2,H1758))))</f>
        <v>0</v>
      </c>
      <c r="BE1758" s="50" t="n">
        <f aca="false">BD1758*G1758</f>
        <v>0</v>
      </c>
      <c r="BF1758" s="50" t="n">
        <f aca="false">ROUNDUP(CK1758+MAX(CL1758,2*(J1758/IF(CG1758&gt;0,CG1758,MAX(0.1,N(Cockpit!$O$6)))-CK1758)),0)</f>
        <v>0</v>
      </c>
      <c r="BG1758" s="51" t="n">
        <f aca="false">IF(BC1758&gt;0,J1758/BC1758,-1)</f>
        <v>-1</v>
      </c>
      <c r="BH1758" s="51" t="str">
        <f aca="false">IF(AND(OR(CF1758="L1",CF1758="L23",CF1758="LIFT"),BC1758&gt;0),SUMIFS($BC$7:$BC$1843,$CF$7:$CF$1843,CF1758,$BG$7:$BG$1843,"&gt;"&amp;BG1758)+SUMIFS($BC$7:$BC$1843,$CF$7:$CF$1843,CF1758,$BG$7:$BG$1843,BG1758,$BW$7:$BW$1843,"&lt;="&amp;BW1758),"")</f>
        <v/>
      </c>
      <c r="BI1758" s="58" t="n">
        <f aca="false">IF(BH1758="",0,MAX(0,MIN(1,(IF(CF1758="L1",Parameter!$H$5,IF(CF1758="L23",Parameter!$H$6+Parameter!$H$7,Parameter!$H$5+Parameter!$H$6+Parameter!$H$7))-(BH1758-BC1758))/BC1758)))</f>
        <v>0</v>
      </c>
      <c r="BJ1758" s="48" t="str">
        <f aca="false">IF(AI1758&lt;=0,"",IF(CF1758="Aussen","Aussenlager",IF(CF1758="-","Nicht im Lift",IF(AO1758&gt;=1,"Lift",IF(AO1758&lt;=0,"Aussenlager","teilweise")))))</f>
        <v/>
      </c>
      <c r="BK1758" s="48" t="str">
        <f aca="false">IF(AS1758&lt;=0,"",IF(CF1758="Aussen","Aussenlager",IF(CF1758="-","Nicht im Lift",IF(AY1758&gt;=1,"Lift",IF(AY1758&lt;=0,"Aussenlager","teilweise")))))</f>
        <v/>
      </c>
      <c r="BL1758" s="48" t="str">
        <f aca="false">IF(BC1758&lt;=0,"",IF(CF1758="Aussen","Aussenlager",IF(CF1758="-","Nicht im Lift",IF(BI1758&gt;=1,"Lift",IF(BI1758&lt;=0,"Aussenlager","teilweise")))))</f>
        <v/>
      </c>
      <c r="BM1758" s="48" t="str">
        <f aca="false">IF(A1758="","",IF(BV1758=1,"Neu; ","")&amp;IF(AND(BV1758=0,BQ1758&lt;0),"negativer Bestand (Export "&amp;BQ1758&amp;"); ","")&amp;IF(J1758&lt;=0,"Kein Verbrauch; ","")&amp;IF(CQ1758&gt;0,"Lift "&amp;W1758&amp;" lt. Liftbericht (Fach "&amp;X1758&amp;" Stk); ",IF(CA1758=1,"Gebinde geschätzt ("&amp;T1758&amp;"); ",IF(BZ1758=1,"Lose – Tablare geschätzt; ","")))&amp;IF(H1758&gt;AV1758,"Überbestand "&amp;ROUND(H1758-AV1758,0)&amp;" Stk / CHF "&amp;ROUND((H1758-AV1758)*G1758,0)&amp;"; ","")&amp;IF(AND(CH1758=1,CI1758&lt;CJ1758),"MAX &lt; MB+LG; ","")&amp;IF(AND(CP1758&gt;0,CO1758*10&gt;CP1758),"zu hoch für Tablar; ","")&amp;IF(AND(BV1758=0,OR(CH1758=1,AA1758&lt;&gt;"",U1758&lt;&gt;"",V1758&lt;&gt;"",AB1758&lt;&gt;"")),"manuell übersteuert; ","")&amp;IF(AND(BZ1758=0,R1758=0),"Gebinde unbekannt / Stellmass fehlt; ","")&amp;IF(AND(BZ1758=0,N(V1758)&lt;=0,N(Q1758)&lt;=0),"Menge pro Gebinde fehlt (Ist = 1 Gebinde); ","")&amp;BU1758)</f>
        <v/>
      </c>
      <c r="BN1758" s="48"/>
      <c r="BO1758" s="48"/>
      <c r="BP1758" s="55"/>
      <c r="BQ1758" s="50" t="n">
        <f aca="false">N('Neue Artikel'!$D$19)</f>
        <v>0</v>
      </c>
      <c r="BR1758" s="50" t="n">
        <v>0</v>
      </c>
      <c r="BS1758" s="49" t="n">
        <v>0</v>
      </c>
      <c r="BT1758" s="50" t="n">
        <f aca="false">N('Neue Artikel'!$C$19)/Parameter!$B$18</f>
        <v>0</v>
      </c>
      <c r="BU1758" s="48"/>
      <c r="BV1758" s="53" t="n">
        <v>1</v>
      </c>
      <c r="BW1758" s="53" t="n">
        <v>1758</v>
      </c>
      <c r="BX1758" s="48" t="str">
        <f aca="false">IF(U1758&lt;&gt;"",UPPER(TRIM(U1758)),IF(CA1758=1,UPPER(VLOOKUP(T1758,Parameter!$I$27:$K$29,2,0)),IF(P1758="","LOSE",P1758)))</f>
        <v>LOSE</v>
      </c>
      <c r="BY1758" s="50" t="n">
        <f aca="false">IF(BX1758="LOSE",1,IF(N(V1758)&gt;0,V1758,IF(CA1758=1,MAX(1,N(VLOOKUP(T1758,Parameter!$I$27:$K$29,3,0)),H1758,N(N1758)),IF(N(Q1758)&gt;0,Q1758,MAX(1,H1758)))))</f>
        <v>1</v>
      </c>
      <c r="BZ1758" s="53" t="n">
        <f aca="false">IF(BX1758="LOSE",1,0)</f>
        <v>1</v>
      </c>
      <c r="CA1758" s="53" t="n">
        <f aca="false">IF(AND(U1758="",OR(P1758="",P1758="LOSE"),T1758&lt;&gt;"",N(S1758)&lt;=0,ISNUMBER(MATCH(T1758,Parameter!$I$27:$I$29,0))),1,0)</f>
        <v>0</v>
      </c>
      <c r="CB1758" s="53" t="n">
        <f aca="false">IF(CQ1758&gt;0,INDEX(Parameter!$H$5:$H$7,W1758)/INDEX(Parameter!$E$5:$E$7,W1758),IF(AND(BZ1758=0,N(IFERROR(VLOOKUP(BX1758,'Gebinde-Kategorie'!$A$5:$N$45,14,0),0))&gt;0),VLOOKUP(BX1758,'Gebinde-Kategorie'!$A$5:$N$45,14,0)*10+Parameter!$M$23,Parameter!$M$24))</f>
        <v>235</v>
      </c>
      <c r="CC1758" s="48" t="str">
        <f aca="false">IF(AND(Parameter!$B$19="Ja",E1758&lt;&gt;"",ISNUMBER(MATCH(E1758,Parameter!$I$35:$I$52,0))),VLOOKUP(E1758,Parameter!$I$35:$J$52,2,0),IFERROR(VLOOKUP(D1758,Parameter!$A$35:$C$64,2,0),"Nein"))</f>
        <v>2+3</v>
      </c>
      <c r="CD1758" s="52" t="n">
        <f aca="false">IF(BZ1758=0,0,IF(N(S1758)&gt;0,S1758,IFERROR(VLOOKUP(D1758,Parameter!$A$35:$C$64,3,0)+0,0)))</f>
        <v>0.15</v>
      </c>
      <c r="CE1758" s="48" t="str">
        <f aca="false">IF(AA1758&lt;&gt;"",AA1758,Z1758)</f>
        <v/>
      </c>
      <c r="CF1758" s="48" t="str">
        <f aca="false">IF(OR(CE1758=1,CE1758=2,CE1758=3),IF(Parameter!$E$27="Ja","LIFT",IF(CE1758=1,"L1","L23")),IF(CE1758="Aussen","Aussen","-"))</f>
        <v>-</v>
      </c>
      <c r="CG1758" s="59" t="n">
        <f aca="false">IF(N(AB1758)&gt;0,AB1758,0)</f>
        <v>0</v>
      </c>
      <c r="CH1758" s="53" t="n">
        <f aca="false">IF(ISNUMBER(AE1758),1,0)</f>
        <v>0</v>
      </c>
      <c r="CI1758" s="50" t="n">
        <f aca="false">N(AE1758)</f>
        <v>0</v>
      </c>
      <c r="CJ1758" s="50" t="n">
        <f aca="false">N(M1758)+N(N1758)</f>
        <v>0</v>
      </c>
      <c r="CK1758" s="50" t="n">
        <f aca="false">N(M1758)</f>
        <v>0</v>
      </c>
      <c r="CL1758" s="50" t="n">
        <f aca="false">N(N1758)</f>
        <v>0</v>
      </c>
      <c r="CM1758" s="50" t="n">
        <f aca="false">ROUNDUP(H1758/BY1758,0)</f>
        <v>0</v>
      </c>
      <c r="CN1758" s="50" t="n">
        <f aca="false">ROUNDUP(CI1758/BY1758,0)</f>
        <v>0</v>
      </c>
      <c r="CO1758" s="53" t="n">
        <f aca="false">IF(BZ1758=1,0,IFERROR(VLOOKUP(BX1758,'Gebinde-Kategorie'!$A$5:$N$45,5,0)+0,0))</f>
        <v>0</v>
      </c>
      <c r="CP1758" s="53" t="n">
        <f aca="false">IFERROR(IF(OR(CE1758=1,CE1758=2,CE1758=3),N(INDEX(Parameter!$I$5:$I$7,CE1758)),0),0)</f>
        <v>0</v>
      </c>
      <c r="CQ1758" s="52" t="n">
        <f aca="false">IF(AND(Parameter!$B$21="Ja",ISNUMBER(W1758),N(X1758)&gt;0),IFERROR(N(INDEX(Parameter!$L$5:$L$7,W1758))*INDEX(Parameter!$E$5:$E$7,W1758)*X1758/SUMIFS($X$7:$X$1843,$W$7:$W$1843,W1758),0),0)</f>
        <v>0</v>
      </c>
    </row>
    <row r="1759" customFormat="false" ht="15" hidden="false" customHeight="false" outlineLevel="0" collapsed="false">
      <c r="A1759" s="48" t="str">
        <f aca="false">IF('Neue Artikel'!$A$20="","",'Neue Artikel'!$A$20&amp;"")</f>
        <v/>
      </c>
      <c r="B1759" s="48" t="str">
        <f aca="false">'Neue Artikel'!$B$20&amp;""</f>
        <v/>
      </c>
      <c r="C1759" s="48"/>
      <c r="D1759" s="48" t="s">
        <v>3024</v>
      </c>
      <c r="E1759" s="48"/>
      <c r="F1759" s="48"/>
      <c r="G1759" s="49" t="n">
        <f aca="false">N('Neue Artikel'!$G$20)</f>
        <v>0</v>
      </c>
      <c r="H1759" s="50" t="n">
        <f aca="false">MAX(0,IF(AND(Parameter!$B$21="Ja",ISNUMBER(Y1759)),Y1759,IF(Parameter!$B$20="Jahresanfang 2025 + Export",BR1759+BQ1759,BQ1759)))</f>
        <v>0</v>
      </c>
      <c r="I1759" s="50" t="n">
        <f aca="false">H1759*G1759</f>
        <v>0</v>
      </c>
      <c r="J1759" s="50" t="n">
        <f aca="false">BT1759*Parameter!$B$18</f>
        <v>0</v>
      </c>
      <c r="K1759" s="51"/>
      <c r="L1759" s="52"/>
      <c r="M1759" s="50" t="n">
        <f aca="false">N('Neue Artikel'!$E$20)</f>
        <v>0</v>
      </c>
      <c r="N1759" s="50" t="n">
        <f aca="false">N('Neue Artikel'!$F$20)</f>
        <v>0</v>
      </c>
      <c r="O1759" s="53"/>
      <c r="P1759" s="48" t="str">
        <f aca="false">IF('Neue Artikel'!$H$20="","LOSE",UPPER(TRIM('Neue Artikel'!$H$20)))</f>
        <v>LOSE</v>
      </c>
      <c r="Q1759" s="50" t="n">
        <f aca="false">N('Neue Artikel'!$I$20)</f>
        <v>0</v>
      </c>
      <c r="R1759" s="53" t="n">
        <f aca="false">IF(BZ1759=1,0,IFERROR(VLOOKUP(BX1759,'Gebinde-Kategorie'!$A$5:$N$45,13,0)+0,0))</f>
        <v>0</v>
      </c>
      <c r="S1759" s="54"/>
      <c r="T1759" s="55"/>
      <c r="U1759" s="55"/>
      <c r="V1759" s="55"/>
      <c r="W1759" s="48"/>
      <c r="X1759" s="50"/>
      <c r="Y1759" s="50"/>
      <c r="Z1759" s="48" t="str">
        <f aca="false">IF(A1759="","",IF(AND(Parameter!$B$21="Ja",ISNUMBER(W1759)),W1759,IF(CC1759="2+3",IF(ISNUMBER(SEARCH("grosser Artikel",BU1759)),2,IFERROR(VLOOKUP(BX1759,Parameter!$F$35:$G$64,2,0),2)),IF(OR(CC1759="Nein",CC1759=""),"-",CC1759))))</f>
        <v/>
      </c>
      <c r="AA1759" s="48" t="str">
        <f aca="false">IF('Neue Artikel'!$J$20="","",'Neue Artikel'!$J$20)</f>
        <v/>
      </c>
      <c r="AB1759" s="56"/>
      <c r="AC1759" s="50" t="n">
        <f aca="false">AV1759</f>
        <v>0</v>
      </c>
      <c r="AD1759" s="50" t="n">
        <f aca="false">MAX(AV1759,H1759)</f>
        <v>0</v>
      </c>
      <c r="AE1759" s="57"/>
      <c r="AF1759" s="50" t="n">
        <f aca="false">IF(LEFT(Cockpit!$C$5,1)="A",H1759,IF(Parameter!$E$30="MAX-Bestand",IF(CH1759=1,CI1759,IF(LEFT(Cockpit!$C$5,1)="B",AL1759,MAX(AL1759,H1759))),ROUNDUP(AJ1759,0)))</f>
        <v>0</v>
      </c>
      <c r="AG1759" s="50" t="n">
        <f aca="false">IF(BZ1759=1,0,ROUNDUP(AF1759/BY1759,0))</f>
        <v>0</v>
      </c>
      <c r="AH1759" s="52" t="n">
        <f aca="false">IF(CQ1759&gt;0,CQ1759*MAX(1,AF1759/X1759),IF(BZ1759=1,IF(AF1759&lt;=0,0,CD1759*MAX(1,IF(H1759&gt;0,AF1759/H1759,1))),IF(R1759&gt;0,AG1759/R1759,0))/MAX(0.1,N(Parameter!$M$21)))</f>
        <v>0</v>
      </c>
      <c r="AI1759" s="50" t="n">
        <f aca="false">AH1759*CB1759</f>
        <v>0</v>
      </c>
      <c r="AJ1759" s="51" t="n">
        <f aca="false">IF(LEFT(Cockpit!$C$5,1)="A",H1759,IF(CH1759=1,(CK1759+CI1759)/2,IF(LEFT(Cockpit!$C$5,1)="B",(CK1759+AL1759)/2,MAX((CK1759+AL1759)/2,H1759))))</f>
        <v>0</v>
      </c>
      <c r="AK1759" s="50" t="n">
        <f aca="false">AJ1759*G1759</f>
        <v>0</v>
      </c>
      <c r="AL1759" s="50" t="n">
        <f aca="false">ROUNDUP(CK1759+MAX(CL1759,2*(J1759/IF(CG1759&gt;0,CG1759,MAX(0.1,N(Cockpit!$C$6)))-CK1759)),0)</f>
        <v>0</v>
      </c>
      <c r="AM1759" s="51" t="n">
        <f aca="false">IF(AI1759&gt;0,J1759/AI1759,-1)</f>
        <v>-1</v>
      </c>
      <c r="AN1759" s="51" t="str">
        <f aca="false">IF(AND(OR(CF1759="L1",CF1759="L23",CF1759="LIFT"),AI1759&gt;0),SUMIFS($AI$7:$AI$1843,$CF$7:$CF$1843,CF1759,$AM$7:$AM$1843,"&gt;"&amp;AM1759)+SUMIFS($AI$7:$AI$1843,$CF$7:$CF$1843,CF1759,$AM$7:$AM$1843,AM1759,$BW$7:$BW$1843,"&lt;="&amp;BW1759),"")</f>
        <v/>
      </c>
      <c r="AO1759" s="58" t="n">
        <f aca="false">IF(AN1759="",0,MAX(0,MIN(1,(IF(CF1759="L1",Parameter!$H$5,IF(CF1759="L23",Parameter!$H$6+Parameter!$H$7,Parameter!$H$5+Parameter!$H$6+Parameter!$H$7))-(AN1759-AI1759))/AI1759)))</f>
        <v>0</v>
      </c>
      <c r="AP1759" s="50" t="n">
        <f aca="false">IF(LEFT(Cockpit!$I$5,1)="A",H1759,IF(Parameter!$E$30="MAX-Bestand",IF(CH1759=1,CI1759,IF(LEFT(Cockpit!$I$5,1)="B",AV1759,MAX(AV1759,H1759))),ROUNDUP(AT1759,0)))</f>
        <v>0</v>
      </c>
      <c r="AQ1759" s="50" t="n">
        <f aca="false">IF(BZ1759=1,0,ROUNDUP(AP1759/BY1759,0))</f>
        <v>0</v>
      </c>
      <c r="AR1759" s="52" t="n">
        <f aca="false">IF(CQ1759&gt;0,CQ1759*MAX(1,AP1759/X1759),IF(BZ1759=1,IF(AP1759&lt;=0,0,CD1759*MAX(1,IF(H1759&gt;0,AP1759/H1759,1))),IF(R1759&gt;0,AQ1759/R1759,0))/MAX(0.1,N(Parameter!$M$21)))</f>
        <v>0</v>
      </c>
      <c r="AS1759" s="50" t="n">
        <f aca="false">AR1759*CB1759</f>
        <v>0</v>
      </c>
      <c r="AT1759" s="51" t="n">
        <f aca="false">IF(LEFT(Cockpit!$I$5,1)="A",H1759,IF(CH1759=1,(CK1759+CI1759)/2,IF(LEFT(Cockpit!$I$5,1)="B",(CK1759+AV1759)/2,MAX((CK1759+AV1759)/2,H1759))))</f>
        <v>0</v>
      </c>
      <c r="AU1759" s="50" t="n">
        <f aca="false">AT1759*G1759</f>
        <v>0</v>
      </c>
      <c r="AV1759" s="50" t="n">
        <f aca="false">ROUNDUP(CK1759+MAX(CL1759,2*(J1759/IF(CG1759&gt;0,CG1759,MAX(0.1,N(Cockpit!$I$6)))-CK1759)),0)</f>
        <v>0</v>
      </c>
      <c r="AW1759" s="51" t="n">
        <f aca="false">IF(AS1759&gt;0,J1759/AS1759,-1)</f>
        <v>-1</v>
      </c>
      <c r="AX1759" s="51" t="str">
        <f aca="false">IF(AND(OR(CF1759="L1",CF1759="L23",CF1759="LIFT"),AS1759&gt;0),SUMIFS($AS$7:$AS$1843,$CF$7:$CF$1843,CF1759,$AW$7:$AW$1843,"&gt;"&amp;AW1759)+SUMIFS($AS$7:$AS$1843,$CF$7:$CF$1843,CF1759,$AW$7:$AW$1843,AW1759,$BW$7:$BW$1843,"&lt;="&amp;BW1759),"")</f>
        <v/>
      </c>
      <c r="AY1759" s="58" t="n">
        <f aca="false">IF(AX1759="",0,MAX(0,MIN(1,(IF(CF1759="L1",Parameter!$H$5,IF(CF1759="L23",Parameter!$H$6+Parameter!$H$7,Parameter!$H$5+Parameter!$H$6+Parameter!$H$7))-(AX1759-AS1759))/AS1759)))</f>
        <v>0</v>
      </c>
      <c r="AZ1759" s="50" t="n">
        <f aca="false">IF(LEFT(Cockpit!$O$5,1)="A",H1759,IF(Parameter!$E$30="MAX-Bestand",IF(CH1759=1,CI1759,IF(LEFT(Cockpit!$O$5,1)="B",BF1759,MAX(BF1759,H1759))),ROUNDUP(BD1759,0)))</f>
        <v>0</v>
      </c>
      <c r="BA1759" s="50" t="n">
        <f aca="false">IF(BZ1759=1,0,ROUNDUP(AZ1759/BY1759,0))</f>
        <v>0</v>
      </c>
      <c r="BB1759" s="52" t="n">
        <f aca="false">IF(CQ1759&gt;0,CQ1759*MAX(1,AZ1759/X1759),IF(BZ1759=1,IF(AZ1759&lt;=0,0,CD1759*MAX(1,IF(H1759&gt;0,AZ1759/H1759,1))),IF(R1759&gt;0,BA1759/R1759,0))/MAX(0.1,N(Parameter!$M$21)))</f>
        <v>0</v>
      </c>
      <c r="BC1759" s="50" t="n">
        <f aca="false">BB1759*CB1759</f>
        <v>0</v>
      </c>
      <c r="BD1759" s="51" t="n">
        <f aca="false">IF(LEFT(Cockpit!$O$5,1)="A",H1759,IF(CH1759=1,(CK1759+CI1759)/2,IF(LEFT(Cockpit!$O$5,1)="B",(CK1759+BF1759)/2,MAX((CK1759+BF1759)/2,H1759))))</f>
        <v>0</v>
      </c>
      <c r="BE1759" s="50" t="n">
        <f aca="false">BD1759*G1759</f>
        <v>0</v>
      </c>
      <c r="BF1759" s="50" t="n">
        <f aca="false">ROUNDUP(CK1759+MAX(CL1759,2*(J1759/IF(CG1759&gt;0,CG1759,MAX(0.1,N(Cockpit!$O$6)))-CK1759)),0)</f>
        <v>0</v>
      </c>
      <c r="BG1759" s="51" t="n">
        <f aca="false">IF(BC1759&gt;0,J1759/BC1759,-1)</f>
        <v>-1</v>
      </c>
      <c r="BH1759" s="51" t="str">
        <f aca="false">IF(AND(OR(CF1759="L1",CF1759="L23",CF1759="LIFT"),BC1759&gt;0),SUMIFS($BC$7:$BC$1843,$CF$7:$CF$1843,CF1759,$BG$7:$BG$1843,"&gt;"&amp;BG1759)+SUMIFS($BC$7:$BC$1843,$CF$7:$CF$1843,CF1759,$BG$7:$BG$1843,BG1759,$BW$7:$BW$1843,"&lt;="&amp;BW1759),"")</f>
        <v/>
      </c>
      <c r="BI1759" s="58" t="n">
        <f aca="false">IF(BH1759="",0,MAX(0,MIN(1,(IF(CF1759="L1",Parameter!$H$5,IF(CF1759="L23",Parameter!$H$6+Parameter!$H$7,Parameter!$H$5+Parameter!$H$6+Parameter!$H$7))-(BH1759-BC1759))/BC1759)))</f>
        <v>0</v>
      </c>
      <c r="BJ1759" s="48" t="str">
        <f aca="false">IF(AI1759&lt;=0,"",IF(CF1759="Aussen","Aussenlager",IF(CF1759="-","Nicht im Lift",IF(AO1759&gt;=1,"Lift",IF(AO1759&lt;=0,"Aussenlager","teilweise")))))</f>
        <v/>
      </c>
      <c r="BK1759" s="48" t="str">
        <f aca="false">IF(AS1759&lt;=0,"",IF(CF1759="Aussen","Aussenlager",IF(CF1759="-","Nicht im Lift",IF(AY1759&gt;=1,"Lift",IF(AY1759&lt;=0,"Aussenlager","teilweise")))))</f>
        <v/>
      </c>
      <c r="BL1759" s="48" t="str">
        <f aca="false">IF(BC1759&lt;=0,"",IF(CF1759="Aussen","Aussenlager",IF(CF1759="-","Nicht im Lift",IF(BI1759&gt;=1,"Lift",IF(BI1759&lt;=0,"Aussenlager","teilweise")))))</f>
        <v/>
      </c>
      <c r="BM1759" s="48" t="str">
        <f aca="false">IF(A1759="","",IF(BV1759=1,"Neu; ","")&amp;IF(AND(BV1759=0,BQ1759&lt;0),"negativer Bestand (Export "&amp;BQ1759&amp;"); ","")&amp;IF(J1759&lt;=0,"Kein Verbrauch; ","")&amp;IF(CQ1759&gt;0,"Lift "&amp;W1759&amp;" lt. Liftbericht (Fach "&amp;X1759&amp;" Stk); ",IF(CA1759=1,"Gebinde geschätzt ("&amp;T1759&amp;"); ",IF(BZ1759=1,"Lose – Tablare geschätzt; ","")))&amp;IF(H1759&gt;AV1759,"Überbestand "&amp;ROUND(H1759-AV1759,0)&amp;" Stk / CHF "&amp;ROUND((H1759-AV1759)*G1759,0)&amp;"; ","")&amp;IF(AND(CH1759=1,CI1759&lt;CJ1759),"MAX &lt; MB+LG; ","")&amp;IF(AND(CP1759&gt;0,CO1759*10&gt;CP1759),"zu hoch für Tablar; ","")&amp;IF(AND(BV1759=0,OR(CH1759=1,AA1759&lt;&gt;"",U1759&lt;&gt;"",V1759&lt;&gt;"",AB1759&lt;&gt;"")),"manuell übersteuert; ","")&amp;IF(AND(BZ1759=0,R1759=0),"Gebinde unbekannt / Stellmass fehlt; ","")&amp;IF(AND(BZ1759=0,N(V1759)&lt;=0,N(Q1759)&lt;=0),"Menge pro Gebinde fehlt (Ist = 1 Gebinde); ","")&amp;BU1759)</f>
        <v/>
      </c>
      <c r="BN1759" s="48"/>
      <c r="BO1759" s="48"/>
      <c r="BP1759" s="55"/>
      <c r="BQ1759" s="50" t="n">
        <f aca="false">N('Neue Artikel'!$D$20)</f>
        <v>0</v>
      </c>
      <c r="BR1759" s="50" t="n">
        <v>0</v>
      </c>
      <c r="BS1759" s="49" t="n">
        <v>0</v>
      </c>
      <c r="BT1759" s="50" t="n">
        <f aca="false">N('Neue Artikel'!$C$20)/Parameter!$B$18</f>
        <v>0</v>
      </c>
      <c r="BU1759" s="48"/>
      <c r="BV1759" s="53" t="n">
        <v>1</v>
      </c>
      <c r="BW1759" s="53" t="n">
        <v>1759</v>
      </c>
      <c r="BX1759" s="48" t="str">
        <f aca="false">IF(U1759&lt;&gt;"",UPPER(TRIM(U1759)),IF(CA1759=1,UPPER(VLOOKUP(T1759,Parameter!$I$27:$K$29,2,0)),IF(P1759="","LOSE",P1759)))</f>
        <v>LOSE</v>
      </c>
      <c r="BY1759" s="50" t="n">
        <f aca="false">IF(BX1759="LOSE",1,IF(N(V1759)&gt;0,V1759,IF(CA1759=1,MAX(1,N(VLOOKUP(T1759,Parameter!$I$27:$K$29,3,0)),H1759,N(N1759)),IF(N(Q1759)&gt;0,Q1759,MAX(1,H1759)))))</f>
        <v>1</v>
      </c>
      <c r="BZ1759" s="53" t="n">
        <f aca="false">IF(BX1759="LOSE",1,0)</f>
        <v>1</v>
      </c>
      <c r="CA1759" s="53" t="n">
        <f aca="false">IF(AND(U1759="",OR(P1759="",P1759="LOSE"),T1759&lt;&gt;"",N(S1759)&lt;=0,ISNUMBER(MATCH(T1759,Parameter!$I$27:$I$29,0))),1,0)</f>
        <v>0</v>
      </c>
      <c r="CB1759" s="53" t="n">
        <f aca="false">IF(CQ1759&gt;0,INDEX(Parameter!$H$5:$H$7,W1759)/INDEX(Parameter!$E$5:$E$7,W1759),IF(AND(BZ1759=0,N(IFERROR(VLOOKUP(BX1759,'Gebinde-Kategorie'!$A$5:$N$45,14,0),0))&gt;0),VLOOKUP(BX1759,'Gebinde-Kategorie'!$A$5:$N$45,14,0)*10+Parameter!$M$23,Parameter!$M$24))</f>
        <v>235</v>
      </c>
      <c r="CC1759" s="48" t="str">
        <f aca="false">IF(AND(Parameter!$B$19="Ja",E1759&lt;&gt;"",ISNUMBER(MATCH(E1759,Parameter!$I$35:$I$52,0))),VLOOKUP(E1759,Parameter!$I$35:$J$52,2,0),IFERROR(VLOOKUP(D1759,Parameter!$A$35:$C$64,2,0),"Nein"))</f>
        <v>2+3</v>
      </c>
      <c r="CD1759" s="52" t="n">
        <f aca="false">IF(BZ1759=0,0,IF(N(S1759)&gt;0,S1759,IFERROR(VLOOKUP(D1759,Parameter!$A$35:$C$64,3,0)+0,0)))</f>
        <v>0.15</v>
      </c>
      <c r="CE1759" s="48" t="str">
        <f aca="false">IF(AA1759&lt;&gt;"",AA1759,Z1759)</f>
        <v/>
      </c>
      <c r="CF1759" s="48" t="str">
        <f aca="false">IF(OR(CE1759=1,CE1759=2,CE1759=3),IF(Parameter!$E$27="Ja","LIFT",IF(CE1759=1,"L1","L23")),IF(CE1759="Aussen","Aussen","-"))</f>
        <v>-</v>
      </c>
      <c r="CG1759" s="59" t="n">
        <f aca="false">IF(N(AB1759)&gt;0,AB1759,0)</f>
        <v>0</v>
      </c>
      <c r="CH1759" s="53" t="n">
        <f aca="false">IF(ISNUMBER(AE1759),1,0)</f>
        <v>0</v>
      </c>
      <c r="CI1759" s="50" t="n">
        <f aca="false">N(AE1759)</f>
        <v>0</v>
      </c>
      <c r="CJ1759" s="50" t="n">
        <f aca="false">N(M1759)+N(N1759)</f>
        <v>0</v>
      </c>
      <c r="CK1759" s="50" t="n">
        <f aca="false">N(M1759)</f>
        <v>0</v>
      </c>
      <c r="CL1759" s="50" t="n">
        <f aca="false">N(N1759)</f>
        <v>0</v>
      </c>
      <c r="CM1759" s="50" t="n">
        <f aca="false">ROUNDUP(H1759/BY1759,0)</f>
        <v>0</v>
      </c>
      <c r="CN1759" s="50" t="n">
        <f aca="false">ROUNDUP(CI1759/BY1759,0)</f>
        <v>0</v>
      </c>
      <c r="CO1759" s="53" t="n">
        <f aca="false">IF(BZ1759=1,0,IFERROR(VLOOKUP(BX1759,'Gebinde-Kategorie'!$A$5:$N$45,5,0)+0,0))</f>
        <v>0</v>
      </c>
      <c r="CP1759" s="53" t="n">
        <f aca="false">IFERROR(IF(OR(CE1759=1,CE1759=2,CE1759=3),N(INDEX(Parameter!$I$5:$I$7,CE1759)),0),0)</f>
        <v>0</v>
      </c>
      <c r="CQ1759" s="52" t="n">
        <f aca="false">IF(AND(Parameter!$B$21="Ja",ISNUMBER(W1759),N(X1759)&gt;0),IFERROR(N(INDEX(Parameter!$L$5:$L$7,W1759))*INDEX(Parameter!$E$5:$E$7,W1759)*X1759/SUMIFS($X$7:$X$1843,$W$7:$W$1843,W1759),0),0)</f>
        <v>0</v>
      </c>
    </row>
    <row r="1760" customFormat="false" ht="15" hidden="false" customHeight="false" outlineLevel="0" collapsed="false">
      <c r="A1760" s="48" t="str">
        <f aca="false">IF('Neue Artikel'!$A$21="","",'Neue Artikel'!$A$21&amp;"")</f>
        <v/>
      </c>
      <c r="B1760" s="48" t="str">
        <f aca="false">'Neue Artikel'!$B$21&amp;""</f>
        <v/>
      </c>
      <c r="C1760" s="48"/>
      <c r="D1760" s="48" t="s">
        <v>3024</v>
      </c>
      <c r="E1760" s="48"/>
      <c r="F1760" s="48"/>
      <c r="G1760" s="49" t="n">
        <f aca="false">N('Neue Artikel'!$G$21)</f>
        <v>0</v>
      </c>
      <c r="H1760" s="50" t="n">
        <f aca="false">MAX(0,IF(AND(Parameter!$B$21="Ja",ISNUMBER(Y1760)),Y1760,IF(Parameter!$B$20="Jahresanfang 2025 + Export",BR1760+BQ1760,BQ1760)))</f>
        <v>0</v>
      </c>
      <c r="I1760" s="50" t="n">
        <f aca="false">H1760*G1760</f>
        <v>0</v>
      </c>
      <c r="J1760" s="50" t="n">
        <f aca="false">BT1760*Parameter!$B$18</f>
        <v>0</v>
      </c>
      <c r="K1760" s="51"/>
      <c r="L1760" s="52"/>
      <c r="M1760" s="50" t="n">
        <f aca="false">N('Neue Artikel'!$E$21)</f>
        <v>0</v>
      </c>
      <c r="N1760" s="50" t="n">
        <f aca="false">N('Neue Artikel'!$F$21)</f>
        <v>0</v>
      </c>
      <c r="O1760" s="53"/>
      <c r="P1760" s="48" t="str">
        <f aca="false">IF('Neue Artikel'!$H$21="","LOSE",UPPER(TRIM('Neue Artikel'!$H$21)))</f>
        <v>LOSE</v>
      </c>
      <c r="Q1760" s="50" t="n">
        <f aca="false">N('Neue Artikel'!$I$21)</f>
        <v>0</v>
      </c>
      <c r="R1760" s="53" t="n">
        <f aca="false">IF(BZ1760=1,0,IFERROR(VLOOKUP(BX1760,'Gebinde-Kategorie'!$A$5:$N$45,13,0)+0,0))</f>
        <v>0</v>
      </c>
      <c r="S1760" s="54"/>
      <c r="T1760" s="55"/>
      <c r="U1760" s="55"/>
      <c r="V1760" s="55"/>
      <c r="W1760" s="48"/>
      <c r="X1760" s="50"/>
      <c r="Y1760" s="50"/>
      <c r="Z1760" s="48" t="str">
        <f aca="false">IF(A1760="","",IF(AND(Parameter!$B$21="Ja",ISNUMBER(W1760)),W1760,IF(CC1760="2+3",IF(ISNUMBER(SEARCH("grosser Artikel",BU1760)),2,IFERROR(VLOOKUP(BX1760,Parameter!$F$35:$G$64,2,0),2)),IF(OR(CC1760="Nein",CC1760=""),"-",CC1760))))</f>
        <v/>
      </c>
      <c r="AA1760" s="48" t="str">
        <f aca="false">IF('Neue Artikel'!$J$21="","",'Neue Artikel'!$J$21)</f>
        <v/>
      </c>
      <c r="AB1760" s="56"/>
      <c r="AC1760" s="50" t="n">
        <f aca="false">AV1760</f>
        <v>0</v>
      </c>
      <c r="AD1760" s="50" t="n">
        <f aca="false">MAX(AV1760,H1760)</f>
        <v>0</v>
      </c>
      <c r="AE1760" s="57"/>
      <c r="AF1760" s="50" t="n">
        <f aca="false">IF(LEFT(Cockpit!$C$5,1)="A",H1760,IF(Parameter!$E$30="MAX-Bestand",IF(CH1760=1,CI1760,IF(LEFT(Cockpit!$C$5,1)="B",AL1760,MAX(AL1760,H1760))),ROUNDUP(AJ1760,0)))</f>
        <v>0</v>
      </c>
      <c r="AG1760" s="50" t="n">
        <f aca="false">IF(BZ1760=1,0,ROUNDUP(AF1760/BY1760,0))</f>
        <v>0</v>
      </c>
      <c r="AH1760" s="52" t="n">
        <f aca="false">IF(CQ1760&gt;0,CQ1760*MAX(1,AF1760/X1760),IF(BZ1760=1,IF(AF1760&lt;=0,0,CD1760*MAX(1,IF(H1760&gt;0,AF1760/H1760,1))),IF(R1760&gt;0,AG1760/R1760,0))/MAX(0.1,N(Parameter!$M$21)))</f>
        <v>0</v>
      </c>
      <c r="AI1760" s="50" t="n">
        <f aca="false">AH1760*CB1760</f>
        <v>0</v>
      </c>
      <c r="AJ1760" s="51" t="n">
        <f aca="false">IF(LEFT(Cockpit!$C$5,1)="A",H1760,IF(CH1760=1,(CK1760+CI1760)/2,IF(LEFT(Cockpit!$C$5,1)="B",(CK1760+AL1760)/2,MAX((CK1760+AL1760)/2,H1760))))</f>
        <v>0</v>
      </c>
      <c r="AK1760" s="50" t="n">
        <f aca="false">AJ1760*G1760</f>
        <v>0</v>
      </c>
      <c r="AL1760" s="50" t="n">
        <f aca="false">ROUNDUP(CK1760+MAX(CL1760,2*(J1760/IF(CG1760&gt;0,CG1760,MAX(0.1,N(Cockpit!$C$6)))-CK1760)),0)</f>
        <v>0</v>
      </c>
      <c r="AM1760" s="51" t="n">
        <f aca="false">IF(AI1760&gt;0,J1760/AI1760,-1)</f>
        <v>-1</v>
      </c>
      <c r="AN1760" s="51" t="str">
        <f aca="false">IF(AND(OR(CF1760="L1",CF1760="L23",CF1760="LIFT"),AI1760&gt;0),SUMIFS($AI$7:$AI$1843,$CF$7:$CF$1843,CF1760,$AM$7:$AM$1843,"&gt;"&amp;AM1760)+SUMIFS($AI$7:$AI$1843,$CF$7:$CF$1843,CF1760,$AM$7:$AM$1843,AM1760,$BW$7:$BW$1843,"&lt;="&amp;BW1760),"")</f>
        <v/>
      </c>
      <c r="AO1760" s="58" t="n">
        <f aca="false">IF(AN1760="",0,MAX(0,MIN(1,(IF(CF1760="L1",Parameter!$H$5,IF(CF1760="L23",Parameter!$H$6+Parameter!$H$7,Parameter!$H$5+Parameter!$H$6+Parameter!$H$7))-(AN1760-AI1760))/AI1760)))</f>
        <v>0</v>
      </c>
      <c r="AP1760" s="50" t="n">
        <f aca="false">IF(LEFT(Cockpit!$I$5,1)="A",H1760,IF(Parameter!$E$30="MAX-Bestand",IF(CH1760=1,CI1760,IF(LEFT(Cockpit!$I$5,1)="B",AV1760,MAX(AV1760,H1760))),ROUNDUP(AT1760,0)))</f>
        <v>0</v>
      </c>
      <c r="AQ1760" s="50" t="n">
        <f aca="false">IF(BZ1760=1,0,ROUNDUP(AP1760/BY1760,0))</f>
        <v>0</v>
      </c>
      <c r="AR1760" s="52" t="n">
        <f aca="false">IF(CQ1760&gt;0,CQ1760*MAX(1,AP1760/X1760),IF(BZ1760=1,IF(AP1760&lt;=0,0,CD1760*MAX(1,IF(H1760&gt;0,AP1760/H1760,1))),IF(R1760&gt;0,AQ1760/R1760,0))/MAX(0.1,N(Parameter!$M$21)))</f>
        <v>0</v>
      </c>
      <c r="AS1760" s="50" t="n">
        <f aca="false">AR1760*CB1760</f>
        <v>0</v>
      </c>
      <c r="AT1760" s="51" t="n">
        <f aca="false">IF(LEFT(Cockpit!$I$5,1)="A",H1760,IF(CH1760=1,(CK1760+CI1760)/2,IF(LEFT(Cockpit!$I$5,1)="B",(CK1760+AV1760)/2,MAX((CK1760+AV1760)/2,H1760))))</f>
        <v>0</v>
      </c>
      <c r="AU1760" s="50" t="n">
        <f aca="false">AT1760*G1760</f>
        <v>0</v>
      </c>
      <c r="AV1760" s="50" t="n">
        <f aca="false">ROUNDUP(CK1760+MAX(CL1760,2*(J1760/IF(CG1760&gt;0,CG1760,MAX(0.1,N(Cockpit!$I$6)))-CK1760)),0)</f>
        <v>0</v>
      </c>
      <c r="AW1760" s="51" t="n">
        <f aca="false">IF(AS1760&gt;0,J1760/AS1760,-1)</f>
        <v>-1</v>
      </c>
      <c r="AX1760" s="51" t="str">
        <f aca="false">IF(AND(OR(CF1760="L1",CF1760="L23",CF1760="LIFT"),AS1760&gt;0),SUMIFS($AS$7:$AS$1843,$CF$7:$CF$1843,CF1760,$AW$7:$AW$1843,"&gt;"&amp;AW1760)+SUMIFS($AS$7:$AS$1843,$CF$7:$CF$1843,CF1760,$AW$7:$AW$1843,AW1760,$BW$7:$BW$1843,"&lt;="&amp;BW1760),"")</f>
        <v/>
      </c>
      <c r="AY1760" s="58" t="n">
        <f aca="false">IF(AX1760="",0,MAX(0,MIN(1,(IF(CF1760="L1",Parameter!$H$5,IF(CF1760="L23",Parameter!$H$6+Parameter!$H$7,Parameter!$H$5+Parameter!$H$6+Parameter!$H$7))-(AX1760-AS1760))/AS1760)))</f>
        <v>0</v>
      </c>
      <c r="AZ1760" s="50" t="n">
        <f aca="false">IF(LEFT(Cockpit!$O$5,1)="A",H1760,IF(Parameter!$E$30="MAX-Bestand",IF(CH1760=1,CI1760,IF(LEFT(Cockpit!$O$5,1)="B",BF1760,MAX(BF1760,H1760))),ROUNDUP(BD1760,0)))</f>
        <v>0</v>
      </c>
      <c r="BA1760" s="50" t="n">
        <f aca="false">IF(BZ1760=1,0,ROUNDUP(AZ1760/BY1760,0))</f>
        <v>0</v>
      </c>
      <c r="BB1760" s="52" t="n">
        <f aca="false">IF(CQ1760&gt;0,CQ1760*MAX(1,AZ1760/X1760),IF(BZ1760=1,IF(AZ1760&lt;=0,0,CD1760*MAX(1,IF(H1760&gt;0,AZ1760/H1760,1))),IF(R1760&gt;0,BA1760/R1760,0))/MAX(0.1,N(Parameter!$M$21)))</f>
        <v>0</v>
      </c>
      <c r="BC1760" s="50" t="n">
        <f aca="false">BB1760*CB1760</f>
        <v>0</v>
      </c>
      <c r="BD1760" s="51" t="n">
        <f aca="false">IF(LEFT(Cockpit!$O$5,1)="A",H1760,IF(CH1760=1,(CK1760+CI1760)/2,IF(LEFT(Cockpit!$O$5,1)="B",(CK1760+BF1760)/2,MAX((CK1760+BF1760)/2,H1760))))</f>
        <v>0</v>
      </c>
      <c r="BE1760" s="50" t="n">
        <f aca="false">BD1760*G1760</f>
        <v>0</v>
      </c>
      <c r="BF1760" s="50" t="n">
        <f aca="false">ROUNDUP(CK1760+MAX(CL1760,2*(J1760/IF(CG1760&gt;0,CG1760,MAX(0.1,N(Cockpit!$O$6)))-CK1760)),0)</f>
        <v>0</v>
      </c>
      <c r="BG1760" s="51" t="n">
        <f aca="false">IF(BC1760&gt;0,J1760/BC1760,-1)</f>
        <v>-1</v>
      </c>
      <c r="BH1760" s="51" t="str">
        <f aca="false">IF(AND(OR(CF1760="L1",CF1760="L23",CF1760="LIFT"),BC1760&gt;0),SUMIFS($BC$7:$BC$1843,$CF$7:$CF$1843,CF1760,$BG$7:$BG$1843,"&gt;"&amp;BG1760)+SUMIFS($BC$7:$BC$1843,$CF$7:$CF$1843,CF1760,$BG$7:$BG$1843,BG1760,$BW$7:$BW$1843,"&lt;="&amp;BW1760),"")</f>
        <v/>
      </c>
      <c r="BI1760" s="58" t="n">
        <f aca="false">IF(BH1760="",0,MAX(0,MIN(1,(IF(CF1760="L1",Parameter!$H$5,IF(CF1760="L23",Parameter!$H$6+Parameter!$H$7,Parameter!$H$5+Parameter!$H$6+Parameter!$H$7))-(BH1760-BC1760))/BC1760)))</f>
        <v>0</v>
      </c>
      <c r="BJ1760" s="48" t="str">
        <f aca="false">IF(AI1760&lt;=0,"",IF(CF1760="Aussen","Aussenlager",IF(CF1760="-","Nicht im Lift",IF(AO1760&gt;=1,"Lift",IF(AO1760&lt;=0,"Aussenlager","teilweise")))))</f>
        <v/>
      </c>
      <c r="BK1760" s="48" t="str">
        <f aca="false">IF(AS1760&lt;=0,"",IF(CF1760="Aussen","Aussenlager",IF(CF1760="-","Nicht im Lift",IF(AY1760&gt;=1,"Lift",IF(AY1760&lt;=0,"Aussenlager","teilweise")))))</f>
        <v/>
      </c>
      <c r="BL1760" s="48" t="str">
        <f aca="false">IF(BC1760&lt;=0,"",IF(CF1760="Aussen","Aussenlager",IF(CF1760="-","Nicht im Lift",IF(BI1760&gt;=1,"Lift",IF(BI1760&lt;=0,"Aussenlager","teilweise")))))</f>
        <v/>
      </c>
      <c r="BM1760" s="48" t="str">
        <f aca="false">IF(A1760="","",IF(BV1760=1,"Neu; ","")&amp;IF(AND(BV1760=0,BQ1760&lt;0),"negativer Bestand (Export "&amp;BQ1760&amp;"); ","")&amp;IF(J1760&lt;=0,"Kein Verbrauch; ","")&amp;IF(CQ1760&gt;0,"Lift "&amp;W1760&amp;" lt. Liftbericht (Fach "&amp;X1760&amp;" Stk); ",IF(CA1760=1,"Gebinde geschätzt ("&amp;T1760&amp;"); ",IF(BZ1760=1,"Lose – Tablare geschätzt; ","")))&amp;IF(H1760&gt;AV1760,"Überbestand "&amp;ROUND(H1760-AV1760,0)&amp;" Stk / CHF "&amp;ROUND((H1760-AV1760)*G1760,0)&amp;"; ","")&amp;IF(AND(CH1760=1,CI1760&lt;CJ1760),"MAX &lt; MB+LG; ","")&amp;IF(AND(CP1760&gt;0,CO1760*10&gt;CP1760),"zu hoch für Tablar; ","")&amp;IF(AND(BV1760=0,OR(CH1760=1,AA1760&lt;&gt;"",U1760&lt;&gt;"",V1760&lt;&gt;"",AB1760&lt;&gt;"")),"manuell übersteuert; ","")&amp;IF(AND(BZ1760=0,R1760=0),"Gebinde unbekannt / Stellmass fehlt; ","")&amp;IF(AND(BZ1760=0,N(V1760)&lt;=0,N(Q1760)&lt;=0),"Menge pro Gebinde fehlt (Ist = 1 Gebinde); ","")&amp;BU1760)</f>
        <v/>
      </c>
      <c r="BN1760" s="48"/>
      <c r="BO1760" s="48"/>
      <c r="BP1760" s="55"/>
      <c r="BQ1760" s="50" t="n">
        <f aca="false">N('Neue Artikel'!$D$21)</f>
        <v>0</v>
      </c>
      <c r="BR1760" s="50" t="n">
        <v>0</v>
      </c>
      <c r="BS1760" s="49" t="n">
        <v>0</v>
      </c>
      <c r="BT1760" s="50" t="n">
        <f aca="false">N('Neue Artikel'!$C$21)/Parameter!$B$18</f>
        <v>0</v>
      </c>
      <c r="BU1760" s="48"/>
      <c r="BV1760" s="53" t="n">
        <v>1</v>
      </c>
      <c r="BW1760" s="53" t="n">
        <v>1760</v>
      </c>
      <c r="BX1760" s="48" t="str">
        <f aca="false">IF(U1760&lt;&gt;"",UPPER(TRIM(U1760)),IF(CA1760=1,UPPER(VLOOKUP(T1760,Parameter!$I$27:$K$29,2,0)),IF(P1760="","LOSE",P1760)))</f>
        <v>LOSE</v>
      </c>
      <c r="BY1760" s="50" t="n">
        <f aca="false">IF(BX1760="LOSE",1,IF(N(V1760)&gt;0,V1760,IF(CA1760=1,MAX(1,N(VLOOKUP(T1760,Parameter!$I$27:$K$29,3,0)),H1760,N(N1760)),IF(N(Q1760)&gt;0,Q1760,MAX(1,H1760)))))</f>
        <v>1</v>
      </c>
      <c r="BZ1760" s="53" t="n">
        <f aca="false">IF(BX1760="LOSE",1,0)</f>
        <v>1</v>
      </c>
      <c r="CA1760" s="53" t="n">
        <f aca="false">IF(AND(U1760="",OR(P1760="",P1760="LOSE"),T1760&lt;&gt;"",N(S1760)&lt;=0,ISNUMBER(MATCH(T1760,Parameter!$I$27:$I$29,0))),1,0)</f>
        <v>0</v>
      </c>
      <c r="CB1760" s="53" t="n">
        <f aca="false">IF(CQ1760&gt;0,INDEX(Parameter!$H$5:$H$7,W1760)/INDEX(Parameter!$E$5:$E$7,W1760),IF(AND(BZ1760=0,N(IFERROR(VLOOKUP(BX1760,'Gebinde-Kategorie'!$A$5:$N$45,14,0),0))&gt;0),VLOOKUP(BX1760,'Gebinde-Kategorie'!$A$5:$N$45,14,0)*10+Parameter!$M$23,Parameter!$M$24))</f>
        <v>235</v>
      </c>
      <c r="CC1760" s="48" t="str">
        <f aca="false">IF(AND(Parameter!$B$19="Ja",E1760&lt;&gt;"",ISNUMBER(MATCH(E1760,Parameter!$I$35:$I$52,0))),VLOOKUP(E1760,Parameter!$I$35:$J$52,2,0),IFERROR(VLOOKUP(D1760,Parameter!$A$35:$C$64,2,0),"Nein"))</f>
        <v>2+3</v>
      </c>
      <c r="CD1760" s="52" t="n">
        <f aca="false">IF(BZ1760=0,0,IF(N(S1760)&gt;0,S1760,IFERROR(VLOOKUP(D1760,Parameter!$A$35:$C$64,3,0)+0,0)))</f>
        <v>0.15</v>
      </c>
      <c r="CE1760" s="48" t="str">
        <f aca="false">IF(AA1760&lt;&gt;"",AA1760,Z1760)</f>
        <v/>
      </c>
      <c r="CF1760" s="48" t="str">
        <f aca="false">IF(OR(CE1760=1,CE1760=2,CE1760=3),IF(Parameter!$E$27="Ja","LIFT",IF(CE1760=1,"L1","L23")),IF(CE1760="Aussen","Aussen","-"))</f>
        <v>-</v>
      </c>
      <c r="CG1760" s="59" t="n">
        <f aca="false">IF(N(AB1760)&gt;0,AB1760,0)</f>
        <v>0</v>
      </c>
      <c r="CH1760" s="53" t="n">
        <f aca="false">IF(ISNUMBER(AE1760),1,0)</f>
        <v>0</v>
      </c>
      <c r="CI1760" s="50" t="n">
        <f aca="false">N(AE1760)</f>
        <v>0</v>
      </c>
      <c r="CJ1760" s="50" t="n">
        <f aca="false">N(M1760)+N(N1760)</f>
        <v>0</v>
      </c>
      <c r="CK1760" s="50" t="n">
        <f aca="false">N(M1760)</f>
        <v>0</v>
      </c>
      <c r="CL1760" s="50" t="n">
        <f aca="false">N(N1760)</f>
        <v>0</v>
      </c>
      <c r="CM1760" s="50" t="n">
        <f aca="false">ROUNDUP(H1760/BY1760,0)</f>
        <v>0</v>
      </c>
      <c r="CN1760" s="50" t="n">
        <f aca="false">ROUNDUP(CI1760/BY1760,0)</f>
        <v>0</v>
      </c>
      <c r="CO1760" s="53" t="n">
        <f aca="false">IF(BZ1760=1,0,IFERROR(VLOOKUP(BX1760,'Gebinde-Kategorie'!$A$5:$N$45,5,0)+0,0))</f>
        <v>0</v>
      </c>
      <c r="CP1760" s="53" t="n">
        <f aca="false">IFERROR(IF(OR(CE1760=1,CE1760=2,CE1760=3),N(INDEX(Parameter!$I$5:$I$7,CE1760)),0),0)</f>
        <v>0</v>
      </c>
      <c r="CQ1760" s="52" t="n">
        <f aca="false">IF(AND(Parameter!$B$21="Ja",ISNUMBER(W1760),N(X1760)&gt;0),IFERROR(N(INDEX(Parameter!$L$5:$L$7,W1760))*INDEX(Parameter!$E$5:$E$7,W1760)*X1760/SUMIFS($X$7:$X$1843,$W$7:$W$1843,W1760),0),0)</f>
        <v>0</v>
      </c>
    </row>
    <row r="1761" customFormat="false" ht="15" hidden="false" customHeight="false" outlineLevel="0" collapsed="false">
      <c r="A1761" s="48" t="str">
        <f aca="false">IF('Neue Artikel'!$A$22="","",'Neue Artikel'!$A$22&amp;"")</f>
        <v/>
      </c>
      <c r="B1761" s="48" t="str">
        <f aca="false">'Neue Artikel'!$B$22&amp;""</f>
        <v/>
      </c>
      <c r="C1761" s="48"/>
      <c r="D1761" s="48" t="s">
        <v>3024</v>
      </c>
      <c r="E1761" s="48"/>
      <c r="F1761" s="48"/>
      <c r="G1761" s="49" t="n">
        <f aca="false">N('Neue Artikel'!$G$22)</f>
        <v>0</v>
      </c>
      <c r="H1761" s="50" t="n">
        <f aca="false">MAX(0,IF(AND(Parameter!$B$21="Ja",ISNUMBER(Y1761)),Y1761,IF(Parameter!$B$20="Jahresanfang 2025 + Export",BR1761+BQ1761,BQ1761)))</f>
        <v>0</v>
      </c>
      <c r="I1761" s="50" t="n">
        <f aca="false">H1761*G1761</f>
        <v>0</v>
      </c>
      <c r="J1761" s="50" t="n">
        <f aca="false">BT1761*Parameter!$B$18</f>
        <v>0</v>
      </c>
      <c r="K1761" s="51"/>
      <c r="L1761" s="52"/>
      <c r="M1761" s="50" t="n">
        <f aca="false">N('Neue Artikel'!$E$22)</f>
        <v>0</v>
      </c>
      <c r="N1761" s="50" t="n">
        <f aca="false">N('Neue Artikel'!$F$22)</f>
        <v>0</v>
      </c>
      <c r="O1761" s="53"/>
      <c r="P1761" s="48" t="str">
        <f aca="false">IF('Neue Artikel'!$H$22="","LOSE",UPPER(TRIM('Neue Artikel'!$H$22)))</f>
        <v>LOSE</v>
      </c>
      <c r="Q1761" s="50" t="n">
        <f aca="false">N('Neue Artikel'!$I$22)</f>
        <v>0</v>
      </c>
      <c r="R1761" s="53" t="n">
        <f aca="false">IF(BZ1761=1,0,IFERROR(VLOOKUP(BX1761,'Gebinde-Kategorie'!$A$5:$N$45,13,0)+0,0))</f>
        <v>0</v>
      </c>
      <c r="S1761" s="54"/>
      <c r="T1761" s="55"/>
      <c r="U1761" s="55"/>
      <c r="V1761" s="55"/>
      <c r="W1761" s="48"/>
      <c r="X1761" s="50"/>
      <c r="Y1761" s="50"/>
      <c r="Z1761" s="48" t="str">
        <f aca="false">IF(A1761="","",IF(AND(Parameter!$B$21="Ja",ISNUMBER(W1761)),W1761,IF(CC1761="2+3",IF(ISNUMBER(SEARCH("grosser Artikel",BU1761)),2,IFERROR(VLOOKUP(BX1761,Parameter!$F$35:$G$64,2,0),2)),IF(OR(CC1761="Nein",CC1761=""),"-",CC1761))))</f>
        <v/>
      </c>
      <c r="AA1761" s="48" t="str">
        <f aca="false">IF('Neue Artikel'!$J$22="","",'Neue Artikel'!$J$22)</f>
        <v/>
      </c>
      <c r="AB1761" s="56"/>
      <c r="AC1761" s="50" t="n">
        <f aca="false">AV1761</f>
        <v>0</v>
      </c>
      <c r="AD1761" s="50" t="n">
        <f aca="false">MAX(AV1761,H1761)</f>
        <v>0</v>
      </c>
      <c r="AE1761" s="57"/>
      <c r="AF1761" s="50" t="n">
        <f aca="false">IF(LEFT(Cockpit!$C$5,1)="A",H1761,IF(Parameter!$E$30="MAX-Bestand",IF(CH1761=1,CI1761,IF(LEFT(Cockpit!$C$5,1)="B",AL1761,MAX(AL1761,H1761))),ROUNDUP(AJ1761,0)))</f>
        <v>0</v>
      </c>
      <c r="AG1761" s="50" t="n">
        <f aca="false">IF(BZ1761=1,0,ROUNDUP(AF1761/BY1761,0))</f>
        <v>0</v>
      </c>
      <c r="AH1761" s="52" t="n">
        <f aca="false">IF(CQ1761&gt;0,CQ1761*MAX(1,AF1761/X1761),IF(BZ1761=1,IF(AF1761&lt;=0,0,CD1761*MAX(1,IF(H1761&gt;0,AF1761/H1761,1))),IF(R1761&gt;0,AG1761/R1761,0))/MAX(0.1,N(Parameter!$M$21)))</f>
        <v>0</v>
      </c>
      <c r="AI1761" s="50" t="n">
        <f aca="false">AH1761*CB1761</f>
        <v>0</v>
      </c>
      <c r="AJ1761" s="51" t="n">
        <f aca="false">IF(LEFT(Cockpit!$C$5,1)="A",H1761,IF(CH1761=1,(CK1761+CI1761)/2,IF(LEFT(Cockpit!$C$5,1)="B",(CK1761+AL1761)/2,MAX((CK1761+AL1761)/2,H1761))))</f>
        <v>0</v>
      </c>
      <c r="AK1761" s="50" t="n">
        <f aca="false">AJ1761*G1761</f>
        <v>0</v>
      </c>
      <c r="AL1761" s="50" t="n">
        <f aca="false">ROUNDUP(CK1761+MAX(CL1761,2*(J1761/IF(CG1761&gt;0,CG1761,MAX(0.1,N(Cockpit!$C$6)))-CK1761)),0)</f>
        <v>0</v>
      </c>
      <c r="AM1761" s="51" t="n">
        <f aca="false">IF(AI1761&gt;0,J1761/AI1761,-1)</f>
        <v>-1</v>
      </c>
      <c r="AN1761" s="51" t="str">
        <f aca="false">IF(AND(OR(CF1761="L1",CF1761="L23",CF1761="LIFT"),AI1761&gt;0),SUMIFS($AI$7:$AI$1843,$CF$7:$CF$1843,CF1761,$AM$7:$AM$1843,"&gt;"&amp;AM1761)+SUMIFS($AI$7:$AI$1843,$CF$7:$CF$1843,CF1761,$AM$7:$AM$1843,AM1761,$BW$7:$BW$1843,"&lt;="&amp;BW1761),"")</f>
        <v/>
      </c>
      <c r="AO1761" s="58" t="n">
        <f aca="false">IF(AN1761="",0,MAX(0,MIN(1,(IF(CF1761="L1",Parameter!$H$5,IF(CF1761="L23",Parameter!$H$6+Parameter!$H$7,Parameter!$H$5+Parameter!$H$6+Parameter!$H$7))-(AN1761-AI1761))/AI1761)))</f>
        <v>0</v>
      </c>
      <c r="AP1761" s="50" t="n">
        <f aca="false">IF(LEFT(Cockpit!$I$5,1)="A",H1761,IF(Parameter!$E$30="MAX-Bestand",IF(CH1761=1,CI1761,IF(LEFT(Cockpit!$I$5,1)="B",AV1761,MAX(AV1761,H1761))),ROUNDUP(AT1761,0)))</f>
        <v>0</v>
      </c>
      <c r="AQ1761" s="50" t="n">
        <f aca="false">IF(BZ1761=1,0,ROUNDUP(AP1761/BY1761,0))</f>
        <v>0</v>
      </c>
      <c r="AR1761" s="52" t="n">
        <f aca="false">IF(CQ1761&gt;0,CQ1761*MAX(1,AP1761/X1761),IF(BZ1761=1,IF(AP1761&lt;=0,0,CD1761*MAX(1,IF(H1761&gt;0,AP1761/H1761,1))),IF(R1761&gt;0,AQ1761/R1761,0))/MAX(0.1,N(Parameter!$M$21)))</f>
        <v>0</v>
      </c>
      <c r="AS1761" s="50" t="n">
        <f aca="false">AR1761*CB1761</f>
        <v>0</v>
      </c>
      <c r="AT1761" s="51" t="n">
        <f aca="false">IF(LEFT(Cockpit!$I$5,1)="A",H1761,IF(CH1761=1,(CK1761+CI1761)/2,IF(LEFT(Cockpit!$I$5,1)="B",(CK1761+AV1761)/2,MAX((CK1761+AV1761)/2,H1761))))</f>
        <v>0</v>
      </c>
      <c r="AU1761" s="50" t="n">
        <f aca="false">AT1761*G1761</f>
        <v>0</v>
      </c>
      <c r="AV1761" s="50" t="n">
        <f aca="false">ROUNDUP(CK1761+MAX(CL1761,2*(J1761/IF(CG1761&gt;0,CG1761,MAX(0.1,N(Cockpit!$I$6)))-CK1761)),0)</f>
        <v>0</v>
      </c>
      <c r="AW1761" s="51" t="n">
        <f aca="false">IF(AS1761&gt;0,J1761/AS1761,-1)</f>
        <v>-1</v>
      </c>
      <c r="AX1761" s="51" t="str">
        <f aca="false">IF(AND(OR(CF1761="L1",CF1761="L23",CF1761="LIFT"),AS1761&gt;0),SUMIFS($AS$7:$AS$1843,$CF$7:$CF$1843,CF1761,$AW$7:$AW$1843,"&gt;"&amp;AW1761)+SUMIFS($AS$7:$AS$1843,$CF$7:$CF$1843,CF1761,$AW$7:$AW$1843,AW1761,$BW$7:$BW$1843,"&lt;="&amp;BW1761),"")</f>
        <v/>
      </c>
      <c r="AY1761" s="58" t="n">
        <f aca="false">IF(AX1761="",0,MAX(0,MIN(1,(IF(CF1761="L1",Parameter!$H$5,IF(CF1761="L23",Parameter!$H$6+Parameter!$H$7,Parameter!$H$5+Parameter!$H$6+Parameter!$H$7))-(AX1761-AS1761))/AS1761)))</f>
        <v>0</v>
      </c>
      <c r="AZ1761" s="50" t="n">
        <f aca="false">IF(LEFT(Cockpit!$O$5,1)="A",H1761,IF(Parameter!$E$30="MAX-Bestand",IF(CH1761=1,CI1761,IF(LEFT(Cockpit!$O$5,1)="B",BF1761,MAX(BF1761,H1761))),ROUNDUP(BD1761,0)))</f>
        <v>0</v>
      </c>
      <c r="BA1761" s="50" t="n">
        <f aca="false">IF(BZ1761=1,0,ROUNDUP(AZ1761/BY1761,0))</f>
        <v>0</v>
      </c>
      <c r="BB1761" s="52" t="n">
        <f aca="false">IF(CQ1761&gt;0,CQ1761*MAX(1,AZ1761/X1761),IF(BZ1761=1,IF(AZ1761&lt;=0,0,CD1761*MAX(1,IF(H1761&gt;0,AZ1761/H1761,1))),IF(R1761&gt;0,BA1761/R1761,0))/MAX(0.1,N(Parameter!$M$21)))</f>
        <v>0</v>
      </c>
      <c r="BC1761" s="50" t="n">
        <f aca="false">BB1761*CB1761</f>
        <v>0</v>
      </c>
      <c r="BD1761" s="51" t="n">
        <f aca="false">IF(LEFT(Cockpit!$O$5,1)="A",H1761,IF(CH1761=1,(CK1761+CI1761)/2,IF(LEFT(Cockpit!$O$5,1)="B",(CK1761+BF1761)/2,MAX((CK1761+BF1761)/2,H1761))))</f>
        <v>0</v>
      </c>
      <c r="BE1761" s="50" t="n">
        <f aca="false">BD1761*G1761</f>
        <v>0</v>
      </c>
      <c r="BF1761" s="50" t="n">
        <f aca="false">ROUNDUP(CK1761+MAX(CL1761,2*(J1761/IF(CG1761&gt;0,CG1761,MAX(0.1,N(Cockpit!$O$6)))-CK1761)),0)</f>
        <v>0</v>
      </c>
      <c r="BG1761" s="51" t="n">
        <f aca="false">IF(BC1761&gt;0,J1761/BC1761,-1)</f>
        <v>-1</v>
      </c>
      <c r="BH1761" s="51" t="str">
        <f aca="false">IF(AND(OR(CF1761="L1",CF1761="L23",CF1761="LIFT"),BC1761&gt;0),SUMIFS($BC$7:$BC$1843,$CF$7:$CF$1843,CF1761,$BG$7:$BG$1843,"&gt;"&amp;BG1761)+SUMIFS($BC$7:$BC$1843,$CF$7:$CF$1843,CF1761,$BG$7:$BG$1843,BG1761,$BW$7:$BW$1843,"&lt;="&amp;BW1761),"")</f>
        <v/>
      </c>
      <c r="BI1761" s="58" t="n">
        <f aca="false">IF(BH1761="",0,MAX(0,MIN(1,(IF(CF1761="L1",Parameter!$H$5,IF(CF1761="L23",Parameter!$H$6+Parameter!$H$7,Parameter!$H$5+Parameter!$H$6+Parameter!$H$7))-(BH1761-BC1761))/BC1761)))</f>
        <v>0</v>
      </c>
      <c r="BJ1761" s="48" t="str">
        <f aca="false">IF(AI1761&lt;=0,"",IF(CF1761="Aussen","Aussenlager",IF(CF1761="-","Nicht im Lift",IF(AO1761&gt;=1,"Lift",IF(AO1761&lt;=0,"Aussenlager","teilweise")))))</f>
        <v/>
      </c>
      <c r="BK1761" s="48" t="str">
        <f aca="false">IF(AS1761&lt;=0,"",IF(CF1761="Aussen","Aussenlager",IF(CF1761="-","Nicht im Lift",IF(AY1761&gt;=1,"Lift",IF(AY1761&lt;=0,"Aussenlager","teilweise")))))</f>
        <v/>
      </c>
      <c r="BL1761" s="48" t="str">
        <f aca="false">IF(BC1761&lt;=0,"",IF(CF1761="Aussen","Aussenlager",IF(CF1761="-","Nicht im Lift",IF(BI1761&gt;=1,"Lift",IF(BI1761&lt;=0,"Aussenlager","teilweise")))))</f>
        <v/>
      </c>
      <c r="BM1761" s="48" t="str">
        <f aca="false">IF(A1761="","",IF(BV1761=1,"Neu; ","")&amp;IF(AND(BV1761=0,BQ1761&lt;0),"negativer Bestand (Export "&amp;BQ1761&amp;"); ","")&amp;IF(J1761&lt;=0,"Kein Verbrauch; ","")&amp;IF(CQ1761&gt;0,"Lift "&amp;W1761&amp;" lt. Liftbericht (Fach "&amp;X1761&amp;" Stk); ",IF(CA1761=1,"Gebinde geschätzt ("&amp;T1761&amp;"); ",IF(BZ1761=1,"Lose – Tablare geschätzt; ","")))&amp;IF(H1761&gt;AV1761,"Überbestand "&amp;ROUND(H1761-AV1761,0)&amp;" Stk / CHF "&amp;ROUND((H1761-AV1761)*G1761,0)&amp;"; ","")&amp;IF(AND(CH1761=1,CI1761&lt;CJ1761),"MAX &lt; MB+LG; ","")&amp;IF(AND(CP1761&gt;0,CO1761*10&gt;CP1761),"zu hoch für Tablar; ","")&amp;IF(AND(BV1761=0,OR(CH1761=1,AA1761&lt;&gt;"",U1761&lt;&gt;"",V1761&lt;&gt;"",AB1761&lt;&gt;"")),"manuell übersteuert; ","")&amp;IF(AND(BZ1761=0,R1761=0),"Gebinde unbekannt / Stellmass fehlt; ","")&amp;IF(AND(BZ1761=0,N(V1761)&lt;=0,N(Q1761)&lt;=0),"Menge pro Gebinde fehlt (Ist = 1 Gebinde); ","")&amp;BU1761)</f>
        <v/>
      </c>
      <c r="BN1761" s="48"/>
      <c r="BO1761" s="48"/>
      <c r="BP1761" s="55"/>
      <c r="BQ1761" s="50" t="n">
        <f aca="false">N('Neue Artikel'!$D$22)</f>
        <v>0</v>
      </c>
      <c r="BR1761" s="50" t="n">
        <v>0</v>
      </c>
      <c r="BS1761" s="49" t="n">
        <v>0</v>
      </c>
      <c r="BT1761" s="50" t="n">
        <f aca="false">N('Neue Artikel'!$C$22)/Parameter!$B$18</f>
        <v>0</v>
      </c>
      <c r="BU1761" s="48"/>
      <c r="BV1761" s="53" t="n">
        <v>1</v>
      </c>
      <c r="BW1761" s="53" t="n">
        <v>1761</v>
      </c>
      <c r="BX1761" s="48" t="str">
        <f aca="false">IF(U1761&lt;&gt;"",UPPER(TRIM(U1761)),IF(CA1761=1,UPPER(VLOOKUP(T1761,Parameter!$I$27:$K$29,2,0)),IF(P1761="","LOSE",P1761)))</f>
        <v>LOSE</v>
      </c>
      <c r="BY1761" s="50" t="n">
        <f aca="false">IF(BX1761="LOSE",1,IF(N(V1761)&gt;0,V1761,IF(CA1761=1,MAX(1,N(VLOOKUP(T1761,Parameter!$I$27:$K$29,3,0)),H1761,N(N1761)),IF(N(Q1761)&gt;0,Q1761,MAX(1,H1761)))))</f>
        <v>1</v>
      </c>
      <c r="BZ1761" s="53" t="n">
        <f aca="false">IF(BX1761="LOSE",1,0)</f>
        <v>1</v>
      </c>
      <c r="CA1761" s="53" t="n">
        <f aca="false">IF(AND(U1761="",OR(P1761="",P1761="LOSE"),T1761&lt;&gt;"",N(S1761)&lt;=0,ISNUMBER(MATCH(T1761,Parameter!$I$27:$I$29,0))),1,0)</f>
        <v>0</v>
      </c>
      <c r="CB1761" s="53" t="n">
        <f aca="false">IF(CQ1761&gt;0,INDEX(Parameter!$H$5:$H$7,W1761)/INDEX(Parameter!$E$5:$E$7,W1761),IF(AND(BZ1761=0,N(IFERROR(VLOOKUP(BX1761,'Gebinde-Kategorie'!$A$5:$N$45,14,0),0))&gt;0),VLOOKUP(BX1761,'Gebinde-Kategorie'!$A$5:$N$45,14,0)*10+Parameter!$M$23,Parameter!$M$24))</f>
        <v>235</v>
      </c>
      <c r="CC1761" s="48" t="str">
        <f aca="false">IF(AND(Parameter!$B$19="Ja",E1761&lt;&gt;"",ISNUMBER(MATCH(E1761,Parameter!$I$35:$I$52,0))),VLOOKUP(E1761,Parameter!$I$35:$J$52,2,0),IFERROR(VLOOKUP(D1761,Parameter!$A$35:$C$64,2,0),"Nein"))</f>
        <v>2+3</v>
      </c>
      <c r="CD1761" s="52" t="n">
        <f aca="false">IF(BZ1761=0,0,IF(N(S1761)&gt;0,S1761,IFERROR(VLOOKUP(D1761,Parameter!$A$35:$C$64,3,0)+0,0)))</f>
        <v>0.15</v>
      </c>
      <c r="CE1761" s="48" t="str">
        <f aca="false">IF(AA1761&lt;&gt;"",AA1761,Z1761)</f>
        <v/>
      </c>
      <c r="CF1761" s="48" t="str">
        <f aca="false">IF(OR(CE1761=1,CE1761=2,CE1761=3),IF(Parameter!$E$27="Ja","LIFT",IF(CE1761=1,"L1","L23")),IF(CE1761="Aussen","Aussen","-"))</f>
        <v>-</v>
      </c>
      <c r="CG1761" s="59" t="n">
        <f aca="false">IF(N(AB1761)&gt;0,AB1761,0)</f>
        <v>0</v>
      </c>
      <c r="CH1761" s="53" t="n">
        <f aca="false">IF(ISNUMBER(AE1761),1,0)</f>
        <v>0</v>
      </c>
      <c r="CI1761" s="50" t="n">
        <f aca="false">N(AE1761)</f>
        <v>0</v>
      </c>
      <c r="CJ1761" s="50" t="n">
        <f aca="false">N(M1761)+N(N1761)</f>
        <v>0</v>
      </c>
      <c r="CK1761" s="50" t="n">
        <f aca="false">N(M1761)</f>
        <v>0</v>
      </c>
      <c r="CL1761" s="50" t="n">
        <f aca="false">N(N1761)</f>
        <v>0</v>
      </c>
      <c r="CM1761" s="50" t="n">
        <f aca="false">ROUNDUP(H1761/BY1761,0)</f>
        <v>0</v>
      </c>
      <c r="CN1761" s="50" t="n">
        <f aca="false">ROUNDUP(CI1761/BY1761,0)</f>
        <v>0</v>
      </c>
      <c r="CO1761" s="53" t="n">
        <f aca="false">IF(BZ1761=1,0,IFERROR(VLOOKUP(BX1761,'Gebinde-Kategorie'!$A$5:$N$45,5,0)+0,0))</f>
        <v>0</v>
      </c>
      <c r="CP1761" s="53" t="n">
        <f aca="false">IFERROR(IF(OR(CE1761=1,CE1761=2,CE1761=3),N(INDEX(Parameter!$I$5:$I$7,CE1761)),0),0)</f>
        <v>0</v>
      </c>
      <c r="CQ1761" s="52" t="n">
        <f aca="false">IF(AND(Parameter!$B$21="Ja",ISNUMBER(W1761),N(X1761)&gt;0),IFERROR(N(INDEX(Parameter!$L$5:$L$7,W1761))*INDEX(Parameter!$E$5:$E$7,W1761)*X1761/SUMIFS($X$7:$X$1843,$W$7:$W$1843,W1761),0),0)</f>
        <v>0</v>
      </c>
    </row>
    <row r="1762" customFormat="false" ht="15" hidden="false" customHeight="false" outlineLevel="0" collapsed="false">
      <c r="A1762" s="48" t="str">
        <f aca="false">IF('Neue Artikel'!$A$23="","",'Neue Artikel'!$A$23&amp;"")</f>
        <v/>
      </c>
      <c r="B1762" s="48" t="str">
        <f aca="false">'Neue Artikel'!$B$23&amp;""</f>
        <v/>
      </c>
      <c r="C1762" s="48"/>
      <c r="D1762" s="48" t="s">
        <v>3024</v>
      </c>
      <c r="E1762" s="48"/>
      <c r="F1762" s="48"/>
      <c r="G1762" s="49" t="n">
        <f aca="false">N('Neue Artikel'!$G$23)</f>
        <v>0</v>
      </c>
      <c r="H1762" s="50" t="n">
        <f aca="false">MAX(0,IF(AND(Parameter!$B$21="Ja",ISNUMBER(Y1762)),Y1762,IF(Parameter!$B$20="Jahresanfang 2025 + Export",BR1762+BQ1762,BQ1762)))</f>
        <v>0</v>
      </c>
      <c r="I1762" s="50" t="n">
        <f aca="false">H1762*G1762</f>
        <v>0</v>
      </c>
      <c r="J1762" s="50" t="n">
        <f aca="false">BT1762*Parameter!$B$18</f>
        <v>0</v>
      </c>
      <c r="K1762" s="51"/>
      <c r="L1762" s="52"/>
      <c r="M1762" s="50" t="n">
        <f aca="false">N('Neue Artikel'!$E$23)</f>
        <v>0</v>
      </c>
      <c r="N1762" s="50" t="n">
        <f aca="false">N('Neue Artikel'!$F$23)</f>
        <v>0</v>
      </c>
      <c r="O1762" s="53"/>
      <c r="P1762" s="48" t="str">
        <f aca="false">IF('Neue Artikel'!$H$23="","LOSE",UPPER(TRIM('Neue Artikel'!$H$23)))</f>
        <v>LOSE</v>
      </c>
      <c r="Q1762" s="50" t="n">
        <f aca="false">N('Neue Artikel'!$I$23)</f>
        <v>0</v>
      </c>
      <c r="R1762" s="53" t="n">
        <f aca="false">IF(BZ1762=1,0,IFERROR(VLOOKUP(BX1762,'Gebinde-Kategorie'!$A$5:$N$45,13,0)+0,0))</f>
        <v>0</v>
      </c>
      <c r="S1762" s="54"/>
      <c r="T1762" s="55"/>
      <c r="U1762" s="55"/>
      <c r="V1762" s="55"/>
      <c r="W1762" s="48"/>
      <c r="X1762" s="50"/>
      <c r="Y1762" s="50"/>
      <c r="Z1762" s="48" t="str">
        <f aca="false">IF(A1762="","",IF(AND(Parameter!$B$21="Ja",ISNUMBER(W1762)),W1762,IF(CC1762="2+3",IF(ISNUMBER(SEARCH("grosser Artikel",BU1762)),2,IFERROR(VLOOKUP(BX1762,Parameter!$F$35:$G$64,2,0),2)),IF(OR(CC1762="Nein",CC1762=""),"-",CC1762))))</f>
        <v/>
      </c>
      <c r="AA1762" s="48" t="str">
        <f aca="false">IF('Neue Artikel'!$J$23="","",'Neue Artikel'!$J$23)</f>
        <v/>
      </c>
      <c r="AB1762" s="56"/>
      <c r="AC1762" s="50" t="n">
        <f aca="false">AV1762</f>
        <v>0</v>
      </c>
      <c r="AD1762" s="50" t="n">
        <f aca="false">MAX(AV1762,H1762)</f>
        <v>0</v>
      </c>
      <c r="AE1762" s="57"/>
      <c r="AF1762" s="50" t="n">
        <f aca="false">IF(LEFT(Cockpit!$C$5,1)="A",H1762,IF(Parameter!$E$30="MAX-Bestand",IF(CH1762=1,CI1762,IF(LEFT(Cockpit!$C$5,1)="B",AL1762,MAX(AL1762,H1762))),ROUNDUP(AJ1762,0)))</f>
        <v>0</v>
      </c>
      <c r="AG1762" s="50" t="n">
        <f aca="false">IF(BZ1762=1,0,ROUNDUP(AF1762/BY1762,0))</f>
        <v>0</v>
      </c>
      <c r="AH1762" s="52" t="n">
        <f aca="false">IF(CQ1762&gt;0,CQ1762*MAX(1,AF1762/X1762),IF(BZ1762=1,IF(AF1762&lt;=0,0,CD1762*MAX(1,IF(H1762&gt;0,AF1762/H1762,1))),IF(R1762&gt;0,AG1762/R1762,0))/MAX(0.1,N(Parameter!$M$21)))</f>
        <v>0</v>
      </c>
      <c r="AI1762" s="50" t="n">
        <f aca="false">AH1762*CB1762</f>
        <v>0</v>
      </c>
      <c r="AJ1762" s="51" t="n">
        <f aca="false">IF(LEFT(Cockpit!$C$5,1)="A",H1762,IF(CH1762=1,(CK1762+CI1762)/2,IF(LEFT(Cockpit!$C$5,1)="B",(CK1762+AL1762)/2,MAX((CK1762+AL1762)/2,H1762))))</f>
        <v>0</v>
      </c>
      <c r="AK1762" s="50" t="n">
        <f aca="false">AJ1762*G1762</f>
        <v>0</v>
      </c>
      <c r="AL1762" s="50" t="n">
        <f aca="false">ROUNDUP(CK1762+MAX(CL1762,2*(J1762/IF(CG1762&gt;0,CG1762,MAX(0.1,N(Cockpit!$C$6)))-CK1762)),0)</f>
        <v>0</v>
      </c>
      <c r="AM1762" s="51" t="n">
        <f aca="false">IF(AI1762&gt;0,J1762/AI1762,-1)</f>
        <v>-1</v>
      </c>
      <c r="AN1762" s="51" t="str">
        <f aca="false">IF(AND(OR(CF1762="L1",CF1762="L23",CF1762="LIFT"),AI1762&gt;0),SUMIFS($AI$7:$AI$1843,$CF$7:$CF$1843,CF1762,$AM$7:$AM$1843,"&gt;"&amp;AM1762)+SUMIFS($AI$7:$AI$1843,$CF$7:$CF$1843,CF1762,$AM$7:$AM$1843,AM1762,$BW$7:$BW$1843,"&lt;="&amp;BW1762),"")</f>
        <v/>
      </c>
      <c r="AO1762" s="58" t="n">
        <f aca="false">IF(AN1762="",0,MAX(0,MIN(1,(IF(CF1762="L1",Parameter!$H$5,IF(CF1762="L23",Parameter!$H$6+Parameter!$H$7,Parameter!$H$5+Parameter!$H$6+Parameter!$H$7))-(AN1762-AI1762))/AI1762)))</f>
        <v>0</v>
      </c>
      <c r="AP1762" s="50" t="n">
        <f aca="false">IF(LEFT(Cockpit!$I$5,1)="A",H1762,IF(Parameter!$E$30="MAX-Bestand",IF(CH1762=1,CI1762,IF(LEFT(Cockpit!$I$5,1)="B",AV1762,MAX(AV1762,H1762))),ROUNDUP(AT1762,0)))</f>
        <v>0</v>
      </c>
      <c r="AQ1762" s="50" t="n">
        <f aca="false">IF(BZ1762=1,0,ROUNDUP(AP1762/BY1762,0))</f>
        <v>0</v>
      </c>
      <c r="AR1762" s="52" t="n">
        <f aca="false">IF(CQ1762&gt;0,CQ1762*MAX(1,AP1762/X1762),IF(BZ1762=1,IF(AP1762&lt;=0,0,CD1762*MAX(1,IF(H1762&gt;0,AP1762/H1762,1))),IF(R1762&gt;0,AQ1762/R1762,0))/MAX(0.1,N(Parameter!$M$21)))</f>
        <v>0</v>
      </c>
      <c r="AS1762" s="50" t="n">
        <f aca="false">AR1762*CB1762</f>
        <v>0</v>
      </c>
      <c r="AT1762" s="51" t="n">
        <f aca="false">IF(LEFT(Cockpit!$I$5,1)="A",H1762,IF(CH1762=1,(CK1762+CI1762)/2,IF(LEFT(Cockpit!$I$5,1)="B",(CK1762+AV1762)/2,MAX((CK1762+AV1762)/2,H1762))))</f>
        <v>0</v>
      </c>
      <c r="AU1762" s="50" t="n">
        <f aca="false">AT1762*G1762</f>
        <v>0</v>
      </c>
      <c r="AV1762" s="50" t="n">
        <f aca="false">ROUNDUP(CK1762+MAX(CL1762,2*(J1762/IF(CG1762&gt;0,CG1762,MAX(0.1,N(Cockpit!$I$6)))-CK1762)),0)</f>
        <v>0</v>
      </c>
      <c r="AW1762" s="51" t="n">
        <f aca="false">IF(AS1762&gt;0,J1762/AS1762,-1)</f>
        <v>-1</v>
      </c>
      <c r="AX1762" s="51" t="str">
        <f aca="false">IF(AND(OR(CF1762="L1",CF1762="L23",CF1762="LIFT"),AS1762&gt;0),SUMIFS($AS$7:$AS$1843,$CF$7:$CF$1843,CF1762,$AW$7:$AW$1843,"&gt;"&amp;AW1762)+SUMIFS($AS$7:$AS$1843,$CF$7:$CF$1843,CF1762,$AW$7:$AW$1843,AW1762,$BW$7:$BW$1843,"&lt;="&amp;BW1762),"")</f>
        <v/>
      </c>
      <c r="AY1762" s="58" t="n">
        <f aca="false">IF(AX1762="",0,MAX(0,MIN(1,(IF(CF1762="L1",Parameter!$H$5,IF(CF1762="L23",Parameter!$H$6+Parameter!$H$7,Parameter!$H$5+Parameter!$H$6+Parameter!$H$7))-(AX1762-AS1762))/AS1762)))</f>
        <v>0</v>
      </c>
      <c r="AZ1762" s="50" t="n">
        <f aca="false">IF(LEFT(Cockpit!$O$5,1)="A",H1762,IF(Parameter!$E$30="MAX-Bestand",IF(CH1762=1,CI1762,IF(LEFT(Cockpit!$O$5,1)="B",BF1762,MAX(BF1762,H1762))),ROUNDUP(BD1762,0)))</f>
        <v>0</v>
      </c>
      <c r="BA1762" s="50" t="n">
        <f aca="false">IF(BZ1762=1,0,ROUNDUP(AZ1762/BY1762,0))</f>
        <v>0</v>
      </c>
      <c r="BB1762" s="52" t="n">
        <f aca="false">IF(CQ1762&gt;0,CQ1762*MAX(1,AZ1762/X1762),IF(BZ1762=1,IF(AZ1762&lt;=0,0,CD1762*MAX(1,IF(H1762&gt;0,AZ1762/H1762,1))),IF(R1762&gt;0,BA1762/R1762,0))/MAX(0.1,N(Parameter!$M$21)))</f>
        <v>0</v>
      </c>
      <c r="BC1762" s="50" t="n">
        <f aca="false">BB1762*CB1762</f>
        <v>0</v>
      </c>
      <c r="BD1762" s="51" t="n">
        <f aca="false">IF(LEFT(Cockpit!$O$5,1)="A",H1762,IF(CH1762=1,(CK1762+CI1762)/2,IF(LEFT(Cockpit!$O$5,1)="B",(CK1762+BF1762)/2,MAX((CK1762+BF1762)/2,H1762))))</f>
        <v>0</v>
      </c>
      <c r="BE1762" s="50" t="n">
        <f aca="false">BD1762*G1762</f>
        <v>0</v>
      </c>
      <c r="BF1762" s="50" t="n">
        <f aca="false">ROUNDUP(CK1762+MAX(CL1762,2*(J1762/IF(CG1762&gt;0,CG1762,MAX(0.1,N(Cockpit!$O$6)))-CK1762)),0)</f>
        <v>0</v>
      </c>
      <c r="BG1762" s="51" t="n">
        <f aca="false">IF(BC1762&gt;0,J1762/BC1762,-1)</f>
        <v>-1</v>
      </c>
      <c r="BH1762" s="51" t="str">
        <f aca="false">IF(AND(OR(CF1762="L1",CF1762="L23",CF1762="LIFT"),BC1762&gt;0),SUMIFS($BC$7:$BC$1843,$CF$7:$CF$1843,CF1762,$BG$7:$BG$1843,"&gt;"&amp;BG1762)+SUMIFS($BC$7:$BC$1843,$CF$7:$CF$1843,CF1762,$BG$7:$BG$1843,BG1762,$BW$7:$BW$1843,"&lt;="&amp;BW1762),"")</f>
        <v/>
      </c>
      <c r="BI1762" s="58" t="n">
        <f aca="false">IF(BH1762="",0,MAX(0,MIN(1,(IF(CF1762="L1",Parameter!$H$5,IF(CF1762="L23",Parameter!$H$6+Parameter!$H$7,Parameter!$H$5+Parameter!$H$6+Parameter!$H$7))-(BH1762-BC1762))/BC1762)))</f>
        <v>0</v>
      </c>
      <c r="BJ1762" s="48" t="str">
        <f aca="false">IF(AI1762&lt;=0,"",IF(CF1762="Aussen","Aussenlager",IF(CF1762="-","Nicht im Lift",IF(AO1762&gt;=1,"Lift",IF(AO1762&lt;=0,"Aussenlager","teilweise")))))</f>
        <v/>
      </c>
      <c r="BK1762" s="48" t="str">
        <f aca="false">IF(AS1762&lt;=0,"",IF(CF1762="Aussen","Aussenlager",IF(CF1762="-","Nicht im Lift",IF(AY1762&gt;=1,"Lift",IF(AY1762&lt;=0,"Aussenlager","teilweise")))))</f>
        <v/>
      </c>
      <c r="BL1762" s="48" t="str">
        <f aca="false">IF(BC1762&lt;=0,"",IF(CF1762="Aussen","Aussenlager",IF(CF1762="-","Nicht im Lift",IF(BI1762&gt;=1,"Lift",IF(BI1762&lt;=0,"Aussenlager","teilweise")))))</f>
        <v/>
      </c>
      <c r="BM1762" s="48" t="str">
        <f aca="false">IF(A1762="","",IF(BV1762=1,"Neu; ","")&amp;IF(AND(BV1762=0,BQ1762&lt;0),"negativer Bestand (Export "&amp;BQ1762&amp;"); ","")&amp;IF(J1762&lt;=0,"Kein Verbrauch; ","")&amp;IF(CQ1762&gt;0,"Lift "&amp;W1762&amp;" lt. Liftbericht (Fach "&amp;X1762&amp;" Stk); ",IF(CA1762=1,"Gebinde geschätzt ("&amp;T1762&amp;"); ",IF(BZ1762=1,"Lose – Tablare geschätzt; ","")))&amp;IF(H1762&gt;AV1762,"Überbestand "&amp;ROUND(H1762-AV1762,0)&amp;" Stk / CHF "&amp;ROUND((H1762-AV1762)*G1762,0)&amp;"; ","")&amp;IF(AND(CH1762=1,CI1762&lt;CJ1762),"MAX &lt; MB+LG; ","")&amp;IF(AND(CP1762&gt;0,CO1762*10&gt;CP1762),"zu hoch für Tablar; ","")&amp;IF(AND(BV1762=0,OR(CH1762=1,AA1762&lt;&gt;"",U1762&lt;&gt;"",V1762&lt;&gt;"",AB1762&lt;&gt;"")),"manuell übersteuert; ","")&amp;IF(AND(BZ1762=0,R1762=0),"Gebinde unbekannt / Stellmass fehlt; ","")&amp;IF(AND(BZ1762=0,N(V1762)&lt;=0,N(Q1762)&lt;=0),"Menge pro Gebinde fehlt (Ist = 1 Gebinde); ","")&amp;BU1762)</f>
        <v/>
      </c>
      <c r="BN1762" s="48"/>
      <c r="BO1762" s="48"/>
      <c r="BP1762" s="55"/>
      <c r="BQ1762" s="50" t="n">
        <f aca="false">N('Neue Artikel'!$D$23)</f>
        <v>0</v>
      </c>
      <c r="BR1762" s="50" t="n">
        <v>0</v>
      </c>
      <c r="BS1762" s="49" t="n">
        <v>0</v>
      </c>
      <c r="BT1762" s="50" t="n">
        <f aca="false">N('Neue Artikel'!$C$23)/Parameter!$B$18</f>
        <v>0</v>
      </c>
      <c r="BU1762" s="48"/>
      <c r="BV1762" s="53" t="n">
        <v>1</v>
      </c>
      <c r="BW1762" s="53" t="n">
        <v>1762</v>
      </c>
      <c r="BX1762" s="48" t="str">
        <f aca="false">IF(U1762&lt;&gt;"",UPPER(TRIM(U1762)),IF(CA1762=1,UPPER(VLOOKUP(T1762,Parameter!$I$27:$K$29,2,0)),IF(P1762="","LOSE",P1762)))</f>
        <v>LOSE</v>
      </c>
      <c r="BY1762" s="50" t="n">
        <f aca="false">IF(BX1762="LOSE",1,IF(N(V1762)&gt;0,V1762,IF(CA1762=1,MAX(1,N(VLOOKUP(T1762,Parameter!$I$27:$K$29,3,0)),H1762,N(N1762)),IF(N(Q1762)&gt;0,Q1762,MAX(1,H1762)))))</f>
        <v>1</v>
      </c>
      <c r="BZ1762" s="53" t="n">
        <f aca="false">IF(BX1762="LOSE",1,0)</f>
        <v>1</v>
      </c>
      <c r="CA1762" s="53" t="n">
        <f aca="false">IF(AND(U1762="",OR(P1762="",P1762="LOSE"),T1762&lt;&gt;"",N(S1762)&lt;=0,ISNUMBER(MATCH(T1762,Parameter!$I$27:$I$29,0))),1,0)</f>
        <v>0</v>
      </c>
      <c r="CB1762" s="53" t="n">
        <f aca="false">IF(CQ1762&gt;0,INDEX(Parameter!$H$5:$H$7,W1762)/INDEX(Parameter!$E$5:$E$7,W1762),IF(AND(BZ1762=0,N(IFERROR(VLOOKUP(BX1762,'Gebinde-Kategorie'!$A$5:$N$45,14,0),0))&gt;0),VLOOKUP(BX1762,'Gebinde-Kategorie'!$A$5:$N$45,14,0)*10+Parameter!$M$23,Parameter!$M$24))</f>
        <v>235</v>
      </c>
      <c r="CC1762" s="48" t="str">
        <f aca="false">IF(AND(Parameter!$B$19="Ja",E1762&lt;&gt;"",ISNUMBER(MATCH(E1762,Parameter!$I$35:$I$52,0))),VLOOKUP(E1762,Parameter!$I$35:$J$52,2,0),IFERROR(VLOOKUP(D1762,Parameter!$A$35:$C$64,2,0),"Nein"))</f>
        <v>2+3</v>
      </c>
      <c r="CD1762" s="52" t="n">
        <f aca="false">IF(BZ1762=0,0,IF(N(S1762)&gt;0,S1762,IFERROR(VLOOKUP(D1762,Parameter!$A$35:$C$64,3,0)+0,0)))</f>
        <v>0.15</v>
      </c>
      <c r="CE1762" s="48" t="str">
        <f aca="false">IF(AA1762&lt;&gt;"",AA1762,Z1762)</f>
        <v/>
      </c>
      <c r="CF1762" s="48" t="str">
        <f aca="false">IF(OR(CE1762=1,CE1762=2,CE1762=3),IF(Parameter!$E$27="Ja","LIFT",IF(CE1762=1,"L1","L23")),IF(CE1762="Aussen","Aussen","-"))</f>
        <v>-</v>
      </c>
      <c r="CG1762" s="59" t="n">
        <f aca="false">IF(N(AB1762)&gt;0,AB1762,0)</f>
        <v>0</v>
      </c>
      <c r="CH1762" s="53" t="n">
        <f aca="false">IF(ISNUMBER(AE1762),1,0)</f>
        <v>0</v>
      </c>
      <c r="CI1762" s="50" t="n">
        <f aca="false">N(AE1762)</f>
        <v>0</v>
      </c>
      <c r="CJ1762" s="50" t="n">
        <f aca="false">N(M1762)+N(N1762)</f>
        <v>0</v>
      </c>
      <c r="CK1762" s="50" t="n">
        <f aca="false">N(M1762)</f>
        <v>0</v>
      </c>
      <c r="CL1762" s="50" t="n">
        <f aca="false">N(N1762)</f>
        <v>0</v>
      </c>
      <c r="CM1762" s="50" t="n">
        <f aca="false">ROUNDUP(H1762/BY1762,0)</f>
        <v>0</v>
      </c>
      <c r="CN1762" s="50" t="n">
        <f aca="false">ROUNDUP(CI1762/BY1762,0)</f>
        <v>0</v>
      </c>
      <c r="CO1762" s="53" t="n">
        <f aca="false">IF(BZ1762=1,0,IFERROR(VLOOKUP(BX1762,'Gebinde-Kategorie'!$A$5:$N$45,5,0)+0,0))</f>
        <v>0</v>
      </c>
      <c r="CP1762" s="53" t="n">
        <f aca="false">IFERROR(IF(OR(CE1762=1,CE1762=2,CE1762=3),N(INDEX(Parameter!$I$5:$I$7,CE1762)),0),0)</f>
        <v>0</v>
      </c>
      <c r="CQ1762" s="52" t="n">
        <f aca="false">IF(AND(Parameter!$B$21="Ja",ISNUMBER(W1762),N(X1762)&gt;0),IFERROR(N(INDEX(Parameter!$L$5:$L$7,W1762))*INDEX(Parameter!$E$5:$E$7,W1762)*X1762/SUMIFS($X$7:$X$1843,$W$7:$W$1843,W1762),0),0)</f>
        <v>0</v>
      </c>
    </row>
    <row r="1763" customFormat="false" ht="15" hidden="false" customHeight="false" outlineLevel="0" collapsed="false">
      <c r="A1763" s="48" t="str">
        <f aca="false">IF('Neue Artikel'!$A$24="","",'Neue Artikel'!$A$24&amp;"")</f>
        <v/>
      </c>
      <c r="B1763" s="48" t="str">
        <f aca="false">'Neue Artikel'!$B$24&amp;""</f>
        <v/>
      </c>
      <c r="C1763" s="48"/>
      <c r="D1763" s="48" t="s">
        <v>3024</v>
      </c>
      <c r="E1763" s="48"/>
      <c r="F1763" s="48"/>
      <c r="G1763" s="49" t="n">
        <f aca="false">N('Neue Artikel'!$G$24)</f>
        <v>0</v>
      </c>
      <c r="H1763" s="50" t="n">
        <f aca="false">MAX(0,IF(AND(Parameter!$B$21="Ja",ISNUMBER(Y1763)),Y1763,IF(Parameter!$B$20="Jahresanfang 2025 + Export",BR1763+BQ1763,BQ1763)))</f>
        <v>0</v>
      </c>
      <c r="I1763" s="50" t="n">
        <f aca="false">H1763*G1763</f>
        <v>0</v>
      </c>
      <c r="J1763" s="50" t="n">
        <f aca="false">BT1763*Parameter!$B$18</f>
        <v>0</v>
      </c>
      <c r="K1763" s="51"/>
      <c r="L1763" s="52"/>
      <c r="M1763" s="50" t="n">
        <f aca="false">N('Neue Artikel'!$E$24)</f>
        <v>0</v>
      </c>
      <c r="N1763" s="50" t="n">
        <f aca="false">N('Neue Artikel'!$F$24)</f>
        <v>0</v>
      </c>
      <c r="O1763" s="53"/>
      <c r="P1763" s="48" t="str">
        <f aca="false">IF('Neue Artikel'!$H$24="","LOSE",UPPER(TRIM('Neue Artikel'!$H$24)))</f>
        <v>LOSE</v>
      </c>
      <c r="Q1763" s="50" t="n">
        <f aca="false">N('Neue Artikel'!$I$24)</f>
        <v>0</v>
      </c>
      <c r="R1763" s="53" t="n">
        <f aca="false">IF(BZ1763=1,0,IFERROR(VLOOKUP(BX1763,'Gebinde-Kategorie'!$A$5:$N$45,13,0)+0,0))</f>
        <v>0</v>
      </c>
      <c r="S1763" s="54"/>
      <c r="T1763" s="55"/>
      <c r="U1763" s="55"/>
      <c r="V1763" s="55"/>
      <c r="W1763" s="48"/>
      <c r="X1763" s="50"/>
      <c r="Y1763" s="50"/>
      <c r="Z1763" s="48" t="str">
        <f aca="false">IF(A1763="","",IF(AND(Parameter!$B$21="Ja",ISNUMBER(W1763)),W1763,IF(CC1763="2+3",IF(ISNUMBER(SEARCH("grosser Artikel",BU1763)),2,IFERROR(VLOOKUP(BX1763,Parameter!$F$35:$G$64,2,0),2)),IF(OR(CC1763="Nein",CC1763=""),"-",CC1763))))</f>
        <v/>
      </c>
      <c r="AA1763" s="48" t="str">
        <f aca="false">IF('Neue Artikel'!$J$24="","",'Neue Artikel'!$J$24)</f>
        <v/>
      </c>
      <c r="AB1763" s="56"/>
      <c r="AC1763" s="50" t="n">
        <f aca="false">AV1763</f>
        <v>0</v>
      </c>
      <c r="AD1763" s="50" t="n">
        <f aca="false">MAX(AV1763,H1763)</f>
        <v>0</v>
      </c>
      <c r="AE1763" s="57"/>
      <c r="AF1763" s="50" t="n">
        <f aca="false">IF(LEFT(Cockpit!$C$5,1)="A",H1763,IF(Parameter!$E$30="MAX-Bestand",IF(CH1763=1,CI1763,IF(LEFT(Cockpit!$C$5,1)="B",AL1763,MAX(AL1763,H1763))),ROUNDUP(AJ1763,0)))</f>
        <v>0</v>
      </c>
      <c r="AG1763" s="50" t="n">
        <f aca="false">IF(BZ1763=1,0,ROUNDUP(AF1763/BY1763,0))</f>
        <v>0</v>
      </c>
      <c r="AH1763" s="52" t="n">
        <f aca="false">IF(CQ1763&gt;0,CQ1763*MAX(1,AF1763/X1763),IF(BZ1763=1,IF(AF1763&lt;=0,0,CD1763*MAX(1,IF(H1763&gt;0,AF1763/H1763,1))),IF(R1763&gt;0,AG1763/R1763,0))/MAX(0.1,N(Parameter!$M$21)))</f>
        <v>0</v>
      </c>
      <c r="AI1763" s="50" t="n">
        <f aca="false">AH1763*CB1763</f>
        <v>0</v>
      </c>
      <c r="AJ1763" s="51" t="n">
        <f aca="false">IF(LEFT(Cockpit!$C$5,1)="A",H1763,IF(CH1763=1,(CK1763+CI1763)/2,IF(LEFT(Cockpit!$C$5,1)="B",(CK1763+AL1763)/2,MAX((CK1763+AL1763)/2,H1763))))</f>
        <v>0</v>
      </c>
      <c r="AK1763" s="50" t="n">
        <f aca="false">AJ1763*G1763</f>
        <v>0</v>
      </c>
      <c r="AL1763" s="50" t="n">
        <f aca="false">ROUNDUP(CK1763+MAX(CL1763,2*(J1763/IF(CG1763&gt;0,CG1763,MAX(0.1,N(Cockpit!$C$6)))-CK1763)),0)</f>
        <v>0</v>
      </c>
      <c r="AM1763" s="51" t="n">
        <f aca="false">IF(AI1763&gt;0,J1763/AI1763,-1)</f>
        <v>-1</v>
      </c>
      <c r="AN1763" s="51" t="str">
        <f aca="false">IF(AND(OR(CF1763="L1",CF1763="L23",CF1763="LIFT"),AI1763&gt;0),SUMIFS($AI$7:$AI$1843,$CF$7:$CF$1843,CF1763,$AM$7:$AM$1843,"&gt;"&amp;AM1763)+SUMIFS($AI$7:$AI$1843,$CF$7:$CF$1843,CF1763,$AM$7:$AM$1843,AM1763,$BW$7:$BW$1843,"&lt;="&amp;BW1763),"")</f>
        <v/>
      </c>
      <c r="AO1763" s="58" t="n">
        <f aca="false">IF(AN1763="",0,MAX(0,MIN(1,(IF(CF1763="L1",Parameter!$H$5,IF(CF1763="L23",Parameter!$H$6+Parameter!$H$7,Parameter!$H$5+Parameter!$H$6+Parameter!$H$7))-(AN1763-AI1763))/AI1763)))</f>
        <v>0</v>
      </c>
      <c r="AP1763" s="50" t="n">
        <f aca="false">IF(LEFT(Cockpit!$I$5,1)="A",H1763,IF(Parameter!$E$30="MAX-Bestand",IF(CH1763=1,CI1763,IF(LEFT(Cockpit!$I$5,1)="B",AV1763,MAX(AV1763,H1763))),ROUNDUP(AT1763,0)))</f>
        <v>0</v>
      </c>
      <c r="AQ1763" s="50" t="n">
        <f aca="false">IF(BZ1763=1,0,ROUNDUP(AP1763/BY1763,0))</f>
        <v>0</v>
      </c>
      <c r="AR1763" s="52" t="n">
        <f aca="false">IF(CQ1763&gt;0,CQ1763*MAX(1,AP1763/X1763),IF(BZ1763=1,IF(AP1763&lt;=0,0,CD1763*MAX(1,IF(H1763&gt;0,AP1763/H1763,1))),IF(R1763&gt;0,AQ1763/R1763,0))/MAX(0.1,N(Parameter!$M$21)))</f>
        <v>0</v>
      </c>
      <c r="AS1763" s="50" t="n">
        <f aca="false">AR1763*CB1763</f>
        <v>0</v>
      </c>
      <c r="AT1763" s="51" t="n">
        <f aca="false">IF(LEFT(Cockpit!$I$5,1)="A",H1763,IF(CH1763=1,(CK1763+CI1763)/2,IF(LEFT(Cockpit!$I$5,1)="B",(CK1763+AV1763)/2,MAX((CK1763+AV1763)/2,H1763))))</f>
        <v>0</v>
      </c>
      <c r="AU1763" s="50" t="n">
        <f aca="false">AT1763*G1763</f>
        <v>0</v>
      </c>
      <c r="AV1763" s="50" t="n">
        <f aca="false">ROUNDUP(CK1763+MAX(CL1763,2*(J1763/IF(CG1763&gt;0,CG1763,MAX(0.1,N(Cockpit!$I$6)))-CK1763)),0)</f>
        <v>0</v>
      </c>
      <c r="AW1763" s="51" t="n">
        <f aca="false">IF(AS1763&gt;0,J1763/AS1763,-1)</f>
        <v>-1</v>
      </c>
      <c r="AX1763" s="51" t="str">
        <f aca="false">IF(AND(OR(CF1763="L1",CF1763="L23",CF1763="LIFT"),AS1763&gt;0),SUMIFS($AS$7:$AS$1843,$CF$7:$CF$1843,CF1763,$AW$7:$AW$1843,"&gt;"&amp;AW1763)+SUMIFS($AS$7:$AS$1843,$CF$7:$CF$1843,CF1763,$AW$7:$AW$1843,AW1763,$BW$7:$BW$1843,"&lt;="&amp;BW1763),"")</f>
        <v/>
      </c>
      <c r="AY1763" s="58" t="n">
        <f aca="false">IF(AX1763="",0,MAX(0,MIN(1,(IF(CF1763="L1",Parameter!$H$5,IF(CF1763="L23",Parameter!$H$6+Parameter!$H$7,Parameter!$H$5+Parameter!$H$6+Parameter!$H$7))-(AX1763-AS1763))/AS1763)))</f>
        <v>0</v>
      </c>
      <c r="AZ1763" s="50" t="n">
        <f aca="false">IF(LEFT(Cockpit!$O$5,1)="A",H1763,IF(Parameter!$E$30="MAX-Bestand",IF(CH1763=1,CI1763,IF(LEFT(Cockpit!$O$5,1)="B",BF1763,MAX(BF1763,H1763))),ROUNDUP(BD1763,0)))</f>
        <v>0</v>
      </c>
      <c r="BA1763" s="50" t="n">
        <f aca="false">IF(BZ1763=1,0,ROUNDUP(AZ1763/BY1763,0))</f>
        <v>0</v>
      </c>
      <c r="BB1763" s="52" t="n">
        <f aca="false">IF(CQ1763&gt;0,CQ1763*MAX(1,AZ1763/X1763),IF(BZ1763=1,IF(AZ1763&lt;=0,0,CD1763*MAX(1,IF(H1763&gt;0,AZ1763/H1763,1))),IF(R1763&gt;0,BA1763/R1763,0))/MAX(0.1,N(Parameter!$M$21)))</f>
        <v>0</v>
      </c>
      <c r="BC1763" s="50" t="n">
        <f aca="false">BB1763*CB1763</f>
        <v>0</v>
      </c>
      <c r="BD1763" s="51" t="n">
        <f aca="false">IF(LEFT(Cockpit!$O$5,1)="A",H1763,IF(CH1763=1,(CK1763+CI1763)/2,IF(LEFT(Cockpit!$O$5,1)="B",(CK1763+BF1763)/2,MAX((CK1763+BF1763)/2,H1763))))</f>
        <v>0</v>
      </c>
      <c r="BE1763" s="50" t="n">
        <f aca="false">BD1763*G1763</f>
        <v>0</v>
      </c>
      <c r="BF1763" s="50" t="n">
        <f aca="false">ROUNDUP(CK1763+MAX(CL1763,2*(J1763/IF(CG1763&gt;0,CG1763,MAX(0.1,N(Cockpit!$O$6)))-CK1763)),0)</f>
        <v>0</v>
      </c>
      <c r="BG1763" s="51" t="n">
        <f aca="false">IF(BC1763&gt;0,J1763/BC1763,-1)</f>
        <v>-1</v>
      </c>
      <c r="BH1763" s="51" t="str">
        <f aca="false">IF(AND(OR(CF1763="L1",CF1763="L23",CF1763="LIFT"),BC1763&gt;0),SUMIFS($BC$7:$BC$1843,$CF$7:$CF$1843,CF1763,$BG$7:$BG$1843,"&gt;"&amp;BG1763)+SUMIFS($BC$7:$BC$1843,$CF$7:$CF$1843,CF1763,$BG$7:$BG$1843,BG1763,$BW$7:$BW$1843,"&lt;="&amp;BW1763),"")</f>
        <v/>
      </c>
      <c r="BI1763" s="58" t="n">
        <f aca="false">IF(BH1763="",0,MAX(0,MIN(1,(IF(CF1763="L1",Parameter!$H$5,IF(CF1763="L23",Parameter!$H$6+Parameter!$H$7,Parameter!$H$5+Parameter!$H$6+Parameter!$H$7))-(BH1763-BC1763))/BC1763)))</f>
        <v>0</v>
      </c>
      <c r="BJ1763" s="48" t="str">
        <f aca="false">IF(AI1763&lt;=0,"",IF(CF1763="Aussen","Aussenlager",IF(CF1763="-","Nicht im Lift",IF(AO1763&gt;=1,"Lift",IF(AO1763&lt;=0,"Aussenlager","teilweise")))))</f>
        <v/>
      </c>
      <c r="BK1763" s="48" t="str">
        <f aca="false">IF(AS1763&lt;=0,"",IF(CF1763="Aussen","Aussenlager",IF(CF1763="-","Nicht im Lift",IF(AY1763&gt;=1,"Lift",IF(AY1763&lt;=0,"Aussenlager","teilweise")))))</f>
        <v/>
      </c>
      <c r="BL1763" s="48" t="str">
        <f aca="false">IF(BC1763&lt;=0,"",IF(CF1763="Aussen","Aussenlager",IF(CF1763="-","Nicht im Lift",IF(BI1763&gt;=1,"Lift",IF(BI1763&lt;=0,"Aussenlager","teilweise")))))</f>
        <v/>
      </c>
      <c r="BM1763" s="48" t="str">
        <f aca="false">IF(A1763="","",IF(BV1763=1,"Neu; ","")&amp;IF(AND(BV1763=0,BQ1763&lt;0),"negativer Bestand (Export "&amp;BQ1763&amp;"); ","")&amp;IF(J1763&lt;=0,"Kein Verbrauch; ","")&amp;IF(CQ1763&gt;0,"Lift "&amp;W1763&amp;" lt. Liftbericht (Fach "&amp;X1763&amp;" Stk); ",IF(CA1763=1,"Gebinde geschätzt ("&amp;T1763&amp;"); ",IF(BZ1763=1,"Lose – Tablare geschätzt; ","")))&amp;IF(H1763&gt;AV1763,"Überbestand "&amp;ROUND(H1763-AV1763,0)&amp;" Stk / CHF "&amp;ROUND((H1763-AV1763)*G1763,0)&amp;"; ","")&amp;IF(AND(CH1763=1,CI1763&lt;CJ1763),"MAX &lt; MB+LG; ","")&amp;IF(AND(CP1763&gt;0,CO1763*10&gt;CP1763),"zu hoch für Tablar; ","")&amp;IF(AND(BV1763=0,OR(CH1763=1,AA1763&lt;&gt;"",U1763&lt;&gt;"",V1763&lt;&gt;"",AB1763&lt;&gt;"")),"manuell übersteuert; ","")&amp;IF(AND(BZ1763=0,R1763=0),"Gebinde unbekannt / Stellmass fehlt; ","")&amp;IF(AND(BZ1763=0,N(V1763)&lt;=0,N(Q1763)&lt;=0),"Menge pro Gebinde fehlt (Ist = 1 Gebinde); ","")&amp;BU1763)</f>
        <v/>
      </c>
      <c r="BN1763" s="48"/>
      <c r="BO1763" s="48"/>
      <c r="BP1763" s="55"/>
      <c r="BQ1763" s="50" t="n">
        <f aca="false">N('Neue Artikel'!$D$24)</f>
        <v>0</v>
      </c>
      <c r="BR1763" s="50" t="n">
        <v>0</v>
      </c>
      <c r="BS1763" s="49" t="n">
        <v>0</v>
      </c>
      <c r="BT1763" s="50" t="n">
        <f aca="false">N('Neue Artikel'!$C$24)/Parameter!$B$18</f>
        <v>0</v>
      </c>
      <c r="BU1763" s="48"/>
      <c r="BV1763" s="53" t="n">
        <v>1</v>
      </c>
      <c r="BW1763" s="53" t="n">
        <v>1763</v>
      </c>
      <c r="BX1763" s="48" t="str">
        <f aca="false">IF(U1763&lt;&gt;"",UPPER(TRIM(U1763)),IF(CA1763=1,UPPER(VLOOKUP(T1763,Parameter!$I$27:$K$29,2,0)),IF(P1763="","LOSE",P1763)))</f>
        <v>LOSE</v>
      </c>
      <c r="BY1763" s="50" t="n">
        <f aca="false">IF(BX1763="LOSE",1,IF(N(V1763)&gt;0,V1763,IF(CA1763=1,MAX(1,N(VLOOKUP(T1763,Parameter!$I$27:$K$29,3,0)),H1763,N(N1763)),IF(N(Q1763)&gt;0,Q1763,MAX(1,H1763)))))</f>
        <v>1</v>
      </c>
      <c r="BZ1763" s="53" t="n">
        <f aca="false">IF(BX1763="LOSE",1,0)</f>
        <v>1</v>
      </c>
      <c r="CA1763" s="53" t="n">
        <f aca="false">IF(AND(U1763="",OR(P1763="",P1763="LOSE"),T1763&lt;&gt;"",N(S1763)&lt;=0,ISNUMBER(MATCH(T1763,Parameter!$I$27:$I$29,0))),1,0)</f>
        <v>0</v>
      </c>
      <c r="CB1763" s="53" t="n">
        <f aca="false">IF(CQ1763&gt;0,INDEX(Parameter!$H$5:$H$7,W1763)/INDEX(Parameter!$E$5:$E$7,W1763),IF(AND(BZ1763=0,N(IFERROR(VLOOKUP(BX1763,'Gebinde-Kategorie'!$A$5:$N$45,14,0),0))&gt;0),VLOOKUP(BX1763,'Gebinde-Kategorie'!$A$5:$N$45,14,0)*10+Parameter!$M$23,Parameter!$M$24))</f>
        <v>235</v>
      </c>
      <c r="CC1763" s="48" t="str">
        <f aca="false">IF(AND(Parameter!$B$19="Ja",E1763&lt;&gt;"",ISNUMBER(MATCH(E1763,Parameter!$I$35:$I$52,0))),VLOOKUP(E1763,Parameter!$I$35:$J$52,2,0),IFERROR(VLOOKUP(D1763,Parameter!$A$35:$C$64,2,0),"Nein"))</f>
        <v>2+3</v>
      </c>
      <c r="CD1763" s="52" t="n">
        <f aca="false">IF(BZ1763=0,0,IF(N(S1763)&gt;0,S1763,IFERROR(VLOOKUP(D1763,Parameter!$A$35:$C$64,3,0)+0,0)))</f>
        <v>0.15</v>
      </c>
      <c r="CE1763" s="48" t="str">
        <f aca="false">IF(AA1763&lt;&gt;"",AA1763,Z1763)</f>
        <v/>
      </c>
      <c r="CF1763" s="48" t="str">
        <f aca="false">IF(OR(CE1763=1,CE1763=2,CE1763=3),IF(Parameter!$E$27="Ja","LIFT",IF(CE1763=1,"L1","L23")),IF(CE1763="Aussen","Aussen","-"))</f>
        <v>-</v>
      </c>
      <c r="CG1763" s="59" t="n">
        <f aca="false">IF(N(AB1763)&gt;0,AB1763,0)</f>
        <v>0</v>
      </c>
      <c r="CH1763" s="53" t="n">
        <f aca="false">IF(ISNUMBER(AE1763),1,0)</f>
        <v>0</v>
      </c>
      <c r="CI1763" s="50" t="n">
        <f aca="false">N(AE1763)</f>
        <v>0</v>
      </c>
      <c r="CJ1763" s="50" t="n">
        <f aca="false">N(M1763)+N(N1763)</f>
        <v>0</v>
      </c>
      <c r="CK1763" s="50" t="n">
        <f aca="false">N(M1763)</f>
        <v>0</v>
      </c>
      <c r="CL1763" s="50" t="n">
        <f aca="false">N(N1763)</f>
        <v>0</v>
      </c>
      <c r="CM1763" s="50" t="n">
        <f aca="false">ROUNDUP(H1763/BY1763,0)</f>
        <v>0</v>
      </c>
      <c r="CN1763" s="50" t="n">
        <f aca="false">ROUNDUP(CI1763/BY1763,0)</f>
        <v>0</v>
      </c>
      <c r="CO1763" s="53" t="n">
        <f aca="false">IF(BZ1763=1,0,IFERROR(VLOOKUP(BX1763,'Gebinde-Kategorie'!$A$5:$N$45,5,0)+0,0))</f>
        <v>0</v>
      </c>
      <c r="CP1763" s="53" t="n">
        <f aca="false">IFERROR(IF(OR(CE1763=1,CE1763=2,CE1763=3),N(INDEX(Parameter!$I$5:$I$7,CE1763)),0),0)</f>
        <v>0</v>
      </c>
      <c r="CQ1763" s="52" t="n">
        <f aca="false">IF(AND(Parameter!$B$21="Ja",ISNUMBER(W1763),N(X1763)&gt;0),IFERROR(N(INDEX(Parameter!$L$5:$L$7,W1763))*INDEX(Parameter!$E$5:$E$7,W1763)*X1763/SUMIFS($X$7:$X$1843,$W$7:$W$1843,W1763),0),0)</f>
        <v>0</v>
      </c>
    </row>
    <row r="1764" customFormat="false" ht="15" hidden="false" customHeight="false" outlineLevel="0" collapsed="false">
      <c r="A1764" s="48" t="str">
        <f aca="false">IF('Neue Artikel'!$A$25="","",'Neue Artikel'!$A$25&amp;"")</f>
        <v/>
      </c>
      <c r="B1764" s="48" t="str">
        <f aca="false">'Neue Artikel'!$B$25&amp;""</f>
        <v/>
      </c>
      <c r="C1764" s="48"/>
      <c r="D1764" s="48" t="s">
        <v>3024</v>
      </c>
      <c r="E1764" s="48"/>
      <c r="F1764" s="48"/>
      <c r="G1764" s="49" t="n">
        <f aca="false">N('Neue Artikel'!$G$25)</f>
        <v>0</v>
      </c>
      <c r="H1764" s="50" t="n">
        <f aca="false">MAX(0,IF(AND(Parameter!$B$21="Ja",ISNUMBER(Y1764)),Y1764,IF(Parameter!$B$20="Jahresanfang 2025 + Export",BR1764+BQ1764,BQ1764)))</f>
        <v>0</v>
      </c>
      <c r="I1764" s="50" t="n">
        <f aca="false">H1764*G1764</f>
        <v>0</v>
      </c>
      <c r="J1764" s="50" t="n">
        <f aca="false">BT1764*Parameter!$B$18</f>
        <v>0</v>
      </c>
      <c r="K1764" s="51"/>
      <c r="L1764" s="52"/>
      <c r="M1764" s="50" t="n">
        <f aca="false">N('Neue Artikel'!$E$25)</f>
        <v>0</v>
      </c>
      <c r="N1764" s="50" t="n">
        <f aca="false">N('Neue Artikel'!$F$25)</f>
        <v>0</v>
      </c>
      <c r="O1764" s="53"/>
      <c r="P1764" s="48" t="str">
        <f aca="false">IF('Neue Artikel'!$H$25="","LOSE",UPPER(TRIM('Neue Artikel'!$H$25)))</f>
        <v>LOSE</v>
      </c>
      <c r="Q1764" s="50" t="n">
        <f aca="false">N('Neue Artikel'!$I$25)</f>
        <v>0</v>
      </c>
      <c r="R1764" s="53" t="n">
        <f aca="false">IF(BZ1764=1,0,IFERROR(VLOOKUP(BX1764,'Gebinde-Kategorie'!$A$5:$N$45,13,0)+0,0))</f>
        <v>0</v>
      </c>
      <c r="S1764" s="54"/>
      <c r="T1764" s="55"/>
      <c r="U1764" s="55"/>
      <c r="V1764" s="55"/>
      <c r="W1764" s="48"/>
      <c r="X1764" s="50"/>
      <c r="Y1764" s="50"/>
      <c r="Z1764" s="48" t="str">
        <f aca="false">IF(A1764="","",IF(AND(Parameter!$B$21="Ja",ISNUMBER(W1764)),W1764,IF(CC1764="2+3",IF(ISNUMBER(SEARCH("grosser Artikel",BU1764)),2,IFERROR(VLOOKUP(BX1764,Parameter!$F$35:$G$64,2,0),2)),IF(OR(CC1764="Nein",CC1764=""),"-",CC1764))))</f>
        <v/>
      </c>
      <c r="AA1764" s="48" t="str">
        <f aca="false">IF('Neue Artikel'!$J$25="","",'Neue Artikel'!$J$25)</f>
        <v/>
      </c>
      <c r="AB1764" s="56"/>
      <c r="AC1764" s="50" t="n">
        <f aca="false">AV1764</f>
        <v>0</v>
      </c>
      <c r="AD1764" s="50" t="n">
        <f aca="false">MAX(AV1764,H1764)</f>
        <v>0</v>
      </c>
      <c r="AE1764" s="57"/>
      <c r="AF1764" s="50" t="n">
        <f aca="false">IF(LEFT(Cockpit!$C$5,1)="A",H1764,IF(Parameter!$E$30="MAX-Bestand",IF(CH1764=1,CI1764,IF(LEFT(Cockpit!$C$5,1)="B",AL1764,MAX(AL1764,H1764))),ROUNDUP(AJ1764,0)))</f>
        <v>0</v>
      </c>
      <c r="AG1764" s="50" t="n">
        <f aca="false">IF(BZ1764=1,0,ROUNDUP(AF1764/BY1764,0))</f>
        <v>0</v>
      </c>
      <c r="AH1764" s="52" t="n">
        <f aca="false">IF(CQ1764&gt;0,CQ1764*MAX(1,AF1764/X1764),IF(BZ1764=1,IF(AF1764&lt;=0,0,CD1764*MAX(1,IF(H1764&gt;0,AF1764/H1764,1))),IF(R1764&gt;0,AG1764/R1764,0))/MAX(0.1,N(Parameter!$M$21)))</f>
        <v>0</v>
      </c>
      <c r="AI1764" s="50" t="n">
        <f aca="false">AH1764*CB1764</f>
        <v>0</v>
      </c>
      <c r="AJ1764" s="51" t="n">
        <f aca="false">IF(LEFT(Cockpit!$C$5,1)="A",H1764,IF(CH1764=1,(CK1764+CI1764)/2,IF(LEFT(Cockpit!$C$5,1)="B",(CK1764+AL1764)/2,MAX((CK1764+AL1764)/2,H1764))))</f>
        <v>0</v>
      </c>
      <c r="AK1764" s="50" t="n">
        <f aca="false">AJ1764*G1764</f>
        <v>0</v>
      </c>
      <c r="AL1764" s="50" t="n">
        <f aca="false">ROUNDUP(CK1764+MAX(CL1764,2*(J1764/IF(CG1764&gt;0,CG1764,MAX(0.1,N(Cockpit!$C$6)))-CK1764)),0)</f>
        <v>0</v>
      </c>
      <c r="AM1764" s="51" t="n">
        <f aca="false">IF(AI1764&gt;0,J1764/AI1764,-1)</f>
        <v>-1</v>
      </c>
      <c r="AN1764" s="51" t="str">
        <f aca="false">IF(AND(OR(CF1764="L1",CF1764="L23",CF1764="LIFT"),AI1764&gt;0),SUMIFS($AI$7:$AI$1843,$CF$7:$CF$1843,CF1764,$AM$7:$AM$1843,"&gt;"&amp;AM1764)+SUMIFS($AI$7:$AI$1843,$CF$7:$CF$1843,CF1764,$AM$7:$AM$1843,AM1764,$BW$7:$BW$1843,"&lt;="&amp;BW1764),"")</f>
        <v/>
      </c>
      <c r="AO1764" s="58" t="n">
        <f aca="false">IF(AN1764="",0,MAX(0,MIN(1,(IF(CF1764="L1",Parameter!$H$5,IF(CF1764="L23",Parameter!$H$6+Parameter!$H$7,Parameter!$H$5+Parameter!$H$6+Parameter!$H$7))-(AN1764-AI1764))/AI1764)))</f>
        <v>0</v>
      </c>
      <c r="AP1764" s="50" t="n">
        <f aca="false">IF(LEFT(Cockpit!$I$5,1)="A",H1764,IF(Parameter!$E$30="MAX-Bestand",IF(CH1764=1,CI1764,IF(LEFT(Cockpit!$I$5,1)="B",AV1764,MAX(AV1764,H1764))),ROUNDUP(AT1764,0)))</f>
        <v>0</v>
      </c>
      <c r="AQ1764" s="50" t="n">
        <f aca="false">IF(BZ1764=1,0,ROUNDUP(AP1764/BY1764,0))</f>
        <v>0</v>
      </c>
      <c r="AR1764" s="52" t="n">
        <f aca="false">IF(CQ1764&gt;0,CQ1764*MAX(1,AP1764/X1764),IF(BZ1764=1,IF(AP1764&lt;=0,0,CD1764*MAX(1,IF(H1764&gt;0,AP1764/H1764,1))),IF(R1764&gt;0,AQ1764/R1764,0))/MAX(0.1,N(Parameter!$M$21)))</f>
        <v>0</v>
      </c>
      <c r="AS1764" s="50" t="n">
        <f aca="false">AR1764*CB1764</f>
        <v>0</v>
      </c>
      <c r="AT1764" s="51" t="n">
        <f aca="false">IF(LEFT(Cockpit!$I$5,1)="A",H1764,IF(CH1764=1,(CK1764+CI1764)/2,IF(LEFT(Cockpit!$I$5,1)="B",(CK1764+AV1764)/2,MAX((CK1764+AV1764)/2,H1764))))</f>
        <v>0</v>
      </c>
      <c r="AU1764" s="50" t="n">
        <f aca="false">AT1764*G1764</f>
        <v>0</v>
      </c>
      <c r="AV1764" s="50" t="n">
        <f aca="false">ROUNDUP(CK1764+MAX(CL1764,2*(J1764/IF(CG1764&gt;0,CG1764,MAX(0.1,N(Cockpit!$I$6)))-CK1764)),0)</f>
        <v>0</v>
      </c>
      <c r="AW1764" s="51" t="n">
        <f aca="false">IF(AS1764&gt;0,J1764/AS1764,-1)</f>
        <v>-1</v>
      </c>
      <c r="AX1764" s="51" t="str">
        <f aca="false">IF(AND(OR(CF1764="L1",CF1764="L23",CF1764="LIFT"),AS1764&gt;0),SUMIFS($AS$7:$AS$1843,$CF$7:$CF$1843,CF1764,$AW$7:$AW$1843,"&gt;"&amp;AW1764)+SUMIFS($AS$7:$AS$1843,$CF$7:$CF$1843,CF1764,$AW$7:$AW$1843,AW1764,$BW$7:$BW$1843,"&lt;="&amp;BW1764),"")</f>
        <v/>
      </c>
      <c r="AY1764" s="58" t="n">
        <f aca="false">IF(AX1764="",0,MAX(0,MIN(1,(IF(CF1764="L1",Parameter!$H$5,IF(CF1764="L23",Parameter!$H$6+Parameter!$H$7,Parameter!$H$5+Parameter!$H$6+Parameter!$H$7))-(AX1764-AS1764))/AS1764)))</f>
        <v>0</v>
      </c>
      <c r="AZ1764" s="50" t="n">
        <f aca="false">IF(LEFT(Cockpit!$O$5,1)="A",H1764,IF(Parameter!$E$30="MAX-Bestand",IF(CH1764=1,CI1764,IF(LEFT(Cockpit!$O$5,1)="B",BF1764,MAX(BF1764,H1764))),ROUNDUP(BD1764,0)))</f>
        <v>0</v>
      </c>
      <c r="BA1764" s="50" t="n">
        <f aca="false">IF(BZ1764=1,0,ROUNDUP(AZ1764/BY1764,0))</f>
        <v>0</v>
      </c>
      <c r="BB1764" s="52" t="n">
        <f aca="false">IF(CQ1764&gt;0,CQ1764*MAX(1,AZ1764/X1764),IF(BZ1764=1,IF(AZ1764&lt;=0,0,CD1764*MAX(1,IF(H1764&gt;0,AZ1764/H1764,1))),IF(R1764&gt;0,BA1764/R1764,0))/MAX(0.1,N(Parameter!$M$21)))</f>
        <v>0</v>
      </c>
      <c r="BC1764" s="50" t="n">
        <f aca="false">BB1764*CB1764</f>
        <v>0</v>
      </c>
      <c r="BD1764" s="51" t="n">
        <f aca="false">IF(LEFT(Cockpit!$O$5,1)="A",H1764,IF(CH1764=1,(CK1764+CI1764)/2,IF(LEFT(Cockpit!$O$5,1)="B",(CK1764+BF1764)/2,MAX((CK1764+BF1764)/2,H1764))))</f>
        <v>0</v>
      </c>
      <c r="BE1764" s="50" t="n">
        <f aca="false">BD1764*G1764</f>
        <v>0</v>
      </c>
      <c r="BF1764" s="50" t="n">
        <f aca="false">ROUNDUP(CK1764+MAX(CL1764,2*(J1764/IF(CG1764&gt;0,CG1764,MAX(0.1,N(Cockpit!$O$6)))-CK1764)),0)</f>
        <v>0</v>
      </c>
      <c r="BG1764" s="51" t="n">
        <f aca="false">IF(BC1764&gt;0,J1764/BC1764,-1)</f>
        <v>-1</v>
      </c>
      <c r="BH1764" s="51" t="str">
        <f aca="false">IF(AND(OR(CF1764="L1",CF1764="L23",CF1764="LIFT"),BC1764&gt;0),SUMIFS($BC$7:$BC$1843,$CF$7:$CF$1843,CF1764,$BG$7:$BG$1843,"&gt;"&amp;BG1764)+SUMIFS($BC$7:$BC$1843,$CF$7:$CF$1843,CF1764,$BG$7:$BG$1843,BG1764,$BW$7:$BW$1843,"&lt;="&amp;BW1764),"")</f>
        <v/>
      </c>
      <c r="BI1764" s="58" t="n">
        <f aca="false">IF(BH1764="",0,MAX(0,MIN(1,(IF(CF1764="L1",Parameter!$H$5,IF(CF1764="L23",Parameter!$H$6+Parameter!$H$7,Parameter!$H$5+Parameter!$H$6+Parameter!$H$7))-(BH1764-BC1764))/BC1764)))</f>
        <v>0</v>
      </c>
      <c r="BJ1764" s="48" t="str">
        <f aca="false">IF(AI1764&lt;=0,"",IF(CF1764="Aussen","Aussenlager",IF(CF1764="-","Nicht im Lift",IF(AO1764&gt;=1,"Lift",IF(AO1764&lt;=0,"Aussenlager","teilweise")))))</f>
        <v/>
      </c>
      <c r="BK1764" s="48" t="str">
        <f aca="false">IF(AS1764&lt;=0,"",IF(CF1764="Aussen","Aussenlager",IF(CF1764="-","Nicht im Lift",IF(AY1764&gt;=1,"Lift",IF(AY1764&lt;=0,"Aussenlager","teilweise")))))</f>
        <v/>
      </c>
      <c r="BL1764" s="48" t="str">
        <f aca="false">IF(BC1764&lt;=0,"",IF(CF1764="Aussen","Aussenlager",IF(CF1764="-","Nicht im Lift",IF(BI1764&gt;=1,"Lift",IF(BI1764&lt;=0,"Aussenlager","teilweise")))))</f>
        <v/>
      </c>
      <c r="BM1764" s="48" t="str">
        <f aca="false">IF(A1764="","",IF(BV1764=1,"Neu; ","")&amp;IF(AND(BV1764=0,BQ1764&lt;0),"negativer Bestand (Export "&amp;BQ1764&amp;"); ","")&amp;IF(J1764&lt;=0,"Kein Verbrauch; ","")&amp;IF(CQ1764&gt;0,"Lift "&amp;W1764&amp;" lt. Liftbericht (Fach "&amp;X1764&amp;" Stk); ",IF(CA1764=1,"Gebinde geschätzt ("&amp;T1764&amp;"); ",IF(BZ1764=1,"Lose – Tablare geschätzt; ","")))&amp;IF(H1764&gt;AV1764,"Überbestand "&amp;ROUND(H1764-AV1764,0)&amp;" Stk / CHF "&amp;ROUND((H1764-AV1764)*G1764,0)&amp;"; ","")&amp;IF(AND(CH1764=1,CI1764&lt;CJ1764),"MAX &lt; MB+LG; ","")&amp;IF(AND(CP1764&gt;0,CO1764*10&gt;CP1764),"zu hoch für Tablar; ","")&amp;IF(AND(BV1764=0,OR(CH1764=1,AA1764&lt;&gt;"",U1764&lt;&gt;"",V1764&lt;&gt;"",AB1764&lt;&gt;"")),"manuell übersteuert; ","")&amp;IF(AND(BZ1764=0,R1764=0),"Gebinde unbekannt / Stellmass fehlt; ","")&amp;IF(AND(BZ1764=0,N(V1764)&lt;=0,N(Q1764)&lt;=0),"Menge pro Gebinde fehlt (Ist = 1 Gebinde); ","")&amp;BU1764)</f>
        <v/>
      </c>
      <c r="BN1764" s="48"/>
      <c r="BO1764" s="48"/>
      <c r="BP1764" s="55"/>
      <c r="BQ1764" s="50" t="n">
        <f aca="false">N('Neue Artikel'!$D$25)</f>
        <v>0</v>
      </c>
      <c r="BR1764" s="50" t="n">
        <v>0</v>
      </c>
      <c r="BS1764" s="49" t="n">
        <v>0</v>
      </c>
      <c r="BT1764" s="50" t="n">
        <f aca="false">N('Neue Artikel'!$C$25)/Parameter!$B$18</f>
        <v>0</v>
      </c>
      <c r="BU1764" s="48"/>
      <c r="BV1764" s="53" t="n">
        <v>1</v>
      </c>
      <c r="BW1764" s="53" t="n">
        <v>1764</v>
      </c>
      <c r="BX1764" s="48" t="str">
        <f aca="false">IF(U1764&lt;&gt;"",UPPER(TRIM(U1764)),IF(CA1764=1,UPPER(VLOOKUP(T1764,Parameter!$I$27:$K$29,2,0)),IF(P1764="","LOSE",P1764)))</f>
        <v>LOSE</v>
      </c>
      <c r="BY1764" s="50" t="n">
        <f aca="false">IF(BX1764="LOSE",1,IF(N(V1764)&gt;0,V1764,IF(CA1764=1,MAX(1,N(VLOOKUP(T1764,Parameter!$I$27:$K$29,3,0)),H1764,N(N1764)),IF(N(Q1764)&gt;0,Q1764,MAX(1,H1764)))))</f>
        <v>1</v>
      </c>
      <c r="BZ1764" s="53" t="n">
        <f aca="false">IF(BX1764="LOSE",1,0)</f>
        <v>1</v>
      </c>
      <c r="CA1764" s="53" t="n">
        <f aca="false">IF(AND(U1764="",OR(P1764="",P1764="LOSE"),T1764&lt;&gt;"",N(S1764)&lt;=0,ISNUMBER(MATCH(T1764,Parameter!$I$27:$I$29,0))),1,0)</f>
        <v>0</v>
      </c>
      <c r="CB1764" s="53" t="n">
        <f aca="false">IF(CQ1764&gt;0,INDEX(Parameter!$H$5:$H$7,W1764)/INDEX(Parameter!$E$5:$E$7,W1764),IF(AND(BZ1764=0,N(IFERROR(VLOOKUP(BX1764,'Gebinde-Kategorie'!$A$5:$N$45,14,0),0))&gt;0),VLOOKUP(BX1764,'Gebinde-Kategorie'!$A$5:$N$45,14,0)*10+Parameter!$M$23,Parameter!$M$24))</f>
        <v>235</v>
      </c>
      <c r="CC1764" s="48" t="str">
        <f aca="false">IF(AND(Parameter!$B$19="Ja",E1764&lt;&gt;"",ISNUMBER(MATCH(E1764,Parameter!$I$35:$I$52,0))),VLOOKUP(E1764,Parameter!$I$35:$J$52,2,0),IFERROR(VLOOKUP(D1764,Parameter!$A$35:$C$64,2,0),"Nein"))</f>
        <v>2+3</v>
      </c>
      <c r="CD1764" s="52" t="n">
        <f aca="false">IF(BZ1764=0,0,IF(N(S1764)&gt;0,S1764,IFERROR(VLOOKUP(D1764,Parameter!$A$35:$C$64,3,0)+0,0)))</f>
        <v>0.15</v>
      </c>
      <c r="CE1764" s="48" t="str">
        <f aca="false">IF(AA1764&lt;&gt;"",AA1764,Z1764)</f>
        <v/>
      </c>
      <c r="CF1764" s="48" t="str">
        <f aca="false">IF(OR(CE1764=1,CE1764=2,CE1764=3),IF(Parameter!$E$27="Ja","LIFT",IF(CE1764=1,"L1","L23")),IF(CE1764="Aussen","Aussen","-"))</f>
        <v>-</v>
      </c>
      <c r="CG1764" s="59" t="n">
        <f aca="false">IF(N(AB1764)&gt;0,AB1764,0)</f>
        <v>0</v>
      </c>
      <c r="CH1764" s="53" t="n">
        <f aca="false">IF(ISNUMBER(AE1764),1,0)</f>
        <v>0</v>
      </c>
      <c r="CI1764" s="50" t="n">
        <f aca="false">N(AE1764)</f>
        <v>0</v>
      </c>
      <c r="CJ1764" s="50" t="n">
        <f aca="false">N(M1764)+N(N1764)</f>
        <v>0</v>
      </c>
      <c r="CK1764" s="50" t="n">
        <f aca="false">N(M1764)</f>
        <v>0</v>
      </c>
      <c r="CL1764" s="50" t="n">
        <f aca="false">N(N1764)</f>
        <v>0</v>
      </c>
      <c r="CM1764" s="50" t="n">
        <f aca="false">ROUNDUP(H1764/BY1764,0)</f>
        <v>0</v>
      </c>
      <c r="CN1764" s="50" t="n">
        <f aca="false">ROUNDUP(CI1764/BY1764,0)</f>
        <v>0</v>
      </c>
      <c r="CO1764" s="53" t="n">
        <f aca="false">IF(BZ1764=1,0,IFERROR(VLOOKUP(BX1764,'Gebinde-Kategorie'!$A$5:$N$45,5,0)+0,0))</f>
        <v>0</v>
      </c>
      <c r="CP1764" s="53" t="n">
        <f aca="false">IFERROR(IF(OR(CE1764=1,CE1764=2,CE1764=3),N(INDEX(Parameter!$I$5:$I$7,CE1764)),0),0)</f>
        <v>0</v>
      </c>
      <c r="CQ1764" s="52" t="n">
        <f aca="false">IF(AND(Parameter!$B$21="Ja",ISNUMBER(W1764),N(X1764)&gt;0),IFERROR(N(INDEX(Parameter!$L$5:$L$7,W1764))*INDEX(Parameter!$E$5:$E$7,W1764)*X1764/SUMIFS($X$7:$X$1843,$W$7:$W$1843,W1764),0),0)</f>
        <v>0</v>
      </c>
    </row>
    <row r="1765" customFormat="false" ht="15" hidden="false" customHeight="false" outlineLevel="0" collapsed="false">
      <c r="A1765" s="48" t="str">
        <f aca="false">IF('Neue Artikel'!$A$26="","",'Neue Artikel'!$A$26&amp;"")</f>
        <v/>
      </c>
      <c r="B1765" s="48" t="str">
        <f aca="false">'Neue Artikel'!$B$26&amp;""</f>
        <v/>
      </c>
      <c r="C1765" s="48"/>
      <c r="D1765" s="48" t="s">
        <v>3024</v>
      </c>
      <c r="E1765" s="48"/>
      <c r="F1765" s="48"/>
      <c r="G1765" s="49" t="n">
        <f aca="false">N('Neue Artikel'!$G$26)</f>
        <v>0</v>
      </c>
      <c r="H1765" s="50" t="n">
        <f aca="false">MAX(0,IF(AND(Parameter!$B$21="Ja",ISNUMBER(Y1765)),Y1765,IF(Parameter!$B$20="Jahresanfang 2025 + Export",BR1765+BQ1765,BQ1765)))</f>
        <v>0</v>
      </c>
      <c r="I1765" s="50" t="n">
        <f aca="false">H1765*G1765</f>
        <v>0</v>
      </c>
      <c r="J1765" s="50" t="n">
        <f aca="false">BT1765*Parameter!$B$18</f>
        <v>0</v>
      </c>
      <c r="K1765" s="51"/>
      <c r="L1765" s="52"/>
      <c r="M1765" s="50" t="n">
        <f aca="false">N('Neue Artikel'!$E$26)</f>
        <v>0</v>
      </c>
      <c r="N1765" s="50" t="n">
        <f aca="false">N('Neue Artikel'!$F$26)</f>
        <v>0</v>
      </c>
      <c r="O1765" s="53"/>
      <c r="P1765" s="48" t="str">
        <f aca="false">IF('Neue Artikel'!$H$26="","LOSE",UPPER(TRIM('Neue Artikel'!$H$26)))</f>
        <v>LOSE</v>
      </c>
      <c r="Q1765" s="50" t="n">
        <f aca="false">N('Neue Artikel'!$I$26)</f>
        <v>0</v>
      </c>
      <c r="R1765" s="53" t="n">
        <f aca="false">IF(BZ1765=1,0,IFERROR(VLOOKUP(BX1765,'Gebinde-Kategorie'!$A$5:$N$45,13,0)+0,0))</f>
        <v>0</v>
      </c>
      <c r="S1765" s="54"/>
      <c r="T1765" s="55"/>
      <c r="U1765" s="55"/>
      <c r="V1765" s="55"/>
      <c r="W1765" s="48"/>
      <c r="X1765" s="50"/>
      <c r="Y1765" s="50"/>
      <c r="Z1765" s="48" t="str">
        <f aca="false">IF(A1765="","",IF(AND(Parameter!$B$21="Ja",ISNUMBER(W1765)),W1765,IF(CC1765="2+3",IF(ISNUMBER(SEARCH("grosser Artikel",BU1765)),2,IFERROR(VLOOKUP(BX1765,Parameter!$F$35:$G$64,2,0),2)),IF(OR(CC1765="Nein",CC1765=""),"-",CC1765))))</f>
        <v/>
      </c>
      <c r="AA1765" s="48" t="str">
        <f aca="false">IF('Neue Artikel'!$J$26="","",'Neue Artikel'!$J$26)</f>
        <v/>
      </c>
      <c r="AB1765" s="56"/>
      <c r="AC1765" s="50" t="n">
        <f aca="false">AV1765</f>
        <v>0</v>
      </c>
      <c r="AD1765" s="50" t="n">
        <f aca="false">MAX(AV1765,H1765)</f>
        <v>0</v>
      </c>
      <c r="AE1765" s="57"/>
      <c r="AF1765" s="50" t="n">
        <f aca="false">IF(LEFT(Cockpit!$C$5,1)="A",H1765,IF(Parameter!$E$30="MAX-Bestand",IF(CH1765=1,CI1765,IF(LEFT(Cockpit!$C$5,1)="B",AL1765,MAX(AL1765,H1765))),ROUNDUP(AJ1765,0)))</f>
        <v>0</v>
      </c>
      <c r="AG1765" s="50" t="n">
        <f aca="false">IF(BZ1765=1,0,ROUNDUP(AF1765/BY1765,0))</f>
        <v>0</v>
      </c>
      <c r="AH1765" s="52" t="n">
        <f aca="false">IF(CQ1765&gt;0,CQ1765*MAX(1,AF1765/X1765),IF(BZ1765=1,IF(AF1765&lt;=0,0,CD1765*MAX(1,IF(H1765&gt;0,AF1765/H1765,1))),IF(R1765&gt;0,AG1765/R1765,0))/MAX(0.1,N(Parameter!$M$21)))</f>
        <v>0</v>
      </c>
      <c r="AI1765" s="50" t="n">
        <f aca="false">AH1765*CB1765</f>
        <v>0</v>
      </c>
      <c r="AJ1765" s="51" t="n">
        <f aca="false">IF(LEFT(Cockpit!$C$5,1)="A",H1765,IF(CH1765=1,(CK1765+CI1765)/2,IF(LEFT(Cockpit!$C$5,1)="B",(CK1765+AL1765)/2,MAX((CK1765+AL1765)/2,H1765))))</f>
        <v>0</v>
      </c>
      <c r="AK1765" s="50" t="n">
        <f aca="false">AJ1765*G1765</f>
        <v>0</v>
      </c>
      <c r="AL1765" s="50" t="n">
        <f aca="false">ROUNDUP(CK1765+MAX(CL1765,2*(J1765/IF(CG1765&gt;0,CG1765,MAX(0.1,N(Cockpit!$C$6)))-CK1765)),0)</f>
        <v>0</v>
      </c>
      <c r="AM1765" s="51" t="n">
        <f aca="false">IF(AI1765&gt;0,J1765/AI1765,-1)</f>
        <v>-1</v>
      </c>
      <c r="AN1765" s="51" t="str">
        <f aca="false">IF(AND(OR(CF1765="L1",CF1765="L23",CF1765="LIFT"),AI1765&gt;0),SUMIFS($AI$7:$AI$1843,$CF$7:$CF$1843,CF1765,$AM$7:$AM$1843,"&gt;"&amp;AM1765)+SUMIFS($AI$7:$AI$1843,$CF$7:$CF$1843,CF1765,$AM$7:$AM$1843,AM1765,$BW$7:$BW$1843,"&lt;="&amp;BW1765),"")</f>
        <v/>
      </c>
      <c r="AO1765" s="58" t="n">
        <f aca="false">IF(AN1765="",0,MAX(0,MIN(1,(IF(CF1765="L1",Parameter!$H$5,IF(CF1765="L23",Parameter!$H$6+Parameter!$H$7,Parameter!$H$5+Parameter!$H$6+Parameter!$H$7))-(AN1765-AI1765))/AI1765)))</f>
        <v>0</v>
      </c>
      <c r="AP1765" s="50" t="n">
        <f aca="false">IF(LEFT(Cockpit!$I$5,1)="A",H1765,IF(Parameter!$E$30="MAX-Bestand",IF(CH1765=1,CI1765,IF(LEFT(Cockpit!$I$5,1)="B",AV1765,MAX(AV1765,H1765))),ROUNDUP(AT1765,0)))</f>
        <v>0</v>
      </c>
      <c r="AQ1765" s="50" t="n">
        <f aca="false">IF(BZ1765=1,0,ROUNDUP(AP1765/BY1765,0))</f>
        <v>0</v>
      </c>
      <c r="AR1765" s="52" t="n">
        <f aca="false">IF(CQ1765&gt;0,CQ1765*MAX(1,AP1765/X1765),IF(BZ1765=1,IF(AP1765&lt;=0,0,CD1765*MAX(1,IF(H1765&gt;0,AP1765/H1765,1))),IF(R1765&gt;0,AQ1765/R1765,0))/MAX(0.1,N(Parameter!$M$21)))</f>
        <v>0</v>
      </c>
      <c r="AS1765" s="50" t="n">
        <f aca="false">AR1765*CB1765</f>
        <v>0</v>
      </c>
      <c r="AT1765" s="51" t="n">
        <f aca="false">IF(LEFT(Cockpit!$I$5,1)="A",H1765,IF(CH1765=1,(CK1765+CI1765)/2,IF(LEFT(Cockpit!$I$5,1)="B",(CK1765+AV1765)/2,MAX((CK1765+AV1765)/2,H1765))))</f>
        <v>0</v>
      </c>
      <c r="AU1765" s="50" t="n">
        <f aca="false">AT1765*G1765</f>
        <v>0</v>
      </c>
      <c r="AV1765" s="50" t="n">
        <f aca="false">ROUNDUP(CK1765+MAX(CL1765,2*(J1765/IF(CG1765&gt;0,CG1765,MAX(0.1,N(Cockpit!$I$6)))-CK1765)),0)</f>
        <v>0</v>
      </c>
      <c r="AW1765" s="51" t="n">
        <f aca="false">IF(AS1765&gt;0,J1765/AS1765,-1)</f>
        <v>-1</v>
      </c>
      <c r="AX1765" s="51" t="str">
        <f aca="false">IF(AND(OR(CF1765="L1",CF1765="L23",CF1765="LIFT"),AS1765&gt;0),SUMIFS($AS$7:$AS$1843,$CF$7:$CF$1843,CF1765,$AW$7:$AW$1843,"&gt;"&amp;AW1765)+SUMIFS($AS$7:$AS$1843,$CF$7:$CF$1843,CF1765,$AW$7:$AW$1843,AW1765,$BW$7:$BW$1843,"&lt;="&amp;BW1765),"")</f>
        <v/>
      </c>
      <c r="AY1765" s="58" t="n">
        <f aca="false">IF(AX1765="",0,MAX(0,MIN(1,(IF(CF1765="L1",Parameter!$H$5,IF(CF1765="L23",Parameter!$H$6+Parameter!$H$7,Parameter!$H$5+Parameter!$H$6+Parameter!$H$7))-(AX1765-AS1765))/AS1765)))</f>
        <v>0</v>
      </c>
      <c r="AZ1765" s="50" t="n">
        <f aca="false">IF(LEFT(Cockpit!$O$5,1)="A",H1765,IF(Parameter!$E$30="MAX-Bestand",IF(CH1765=1,CI1765,IF(LEFT(Cockpit!$O$5,1)="B",BF1765,MAX(BF1765,H1765))),ROUNDUP(BD1765,0)))</f>
        <v>0</v>
      </c>
      <c r="BA1765" s="50" t="n">
        <f aca="false">IF(BZ1765=1,0,ROUNDUP(AZ1765/BY1765,0))</f>
        <v>0</v>
      </c>
      <c r="BB1765" s="52" t="n">
        <f aca="false">IF(CQ1765&gt;0,CQ1765*MAX(1,AZ1765/X1765),IF(BZ1765=1,IF(AZ1765&lt;=0,0,CD1765*MAX(1,IF(H1765&gt;0,AZ1765/H1765,1))),IF(R1765&gt;0,BA1765/R1765,0))/MAX(0.1,N(Parameter!$M$21)))</f>
        <v>0</v>
      </c>
      <c r="BC1765" s="50" t="n">
        <f aca="false">BB1765*CB1765</f>
        <v>0</v>
      </c>
      <c r="BD1765" s="51" t="n">
        <f aca="false">IF(LEFT(Cockpit!$O$5,1)="A",H1765,IF(CH1765=1,(CK1765+CI1765)/2,IF(LEFT(Cockpit!$O$5,1)="B",(CK1765+BF1765)/2,MAX((CK1765+BF1765)/2,H1765))))</f>
        <v>0</v>
      </c>
      <c r="BE1765" s="50" t="n">
        <f aca="false">BD1765*G1765</f>
        <v>0</v>
      </c>
      <c r="BF1765" s="50" t="n">
        <f aca="false">ROUNDUP(CK1765+MAX(CL1765,2*(J1765/IF(CG1765&gt;0,CG1765,MAX(0.1,N(Cockpit!$O$6)))-CK1765)),0)</f>
        <v>0</v>
      </c>
      <c r="BG1765" s="51" t="n">
        <f aca="false">IF(BC1765&gt;0,J1765/BC1765,-1)</f>
        <v>-1</v>
      </c>
      <c r="BH1765" s="51" t="str">
        <f aca="false">IF(AND(OR(CF1765="L1",CF1765="L23",CF1765="LIFT"),BC1765&gt;0),SUMIFS($BC$7:$BC$1843,$CF$7:$CF$1843,CF1765,$BG$7:$BG$1843,"&gt;"&amp;BG1765)+SUMIFS($BC$7:$BC$1843,$CF$7:$CF$1843,CF1765,$BG$7:$BG$1843,BG1765,$BW$7:$BW$1843,"&lt;="&amp;BW1765),"")</f>
        <v/>
      </c>
      <c r="BI1765" s="58" t="n">
        <f aca="false">IF(BH1765="",0,MAX(0,MIN(1,(IF(CF1765="L1",Parameter!$H$5,IF(CF1765="L23",Parameter!$H$6+Parameter!$H$7,Parameter!$H$5+Parameter!$H$6+Parameter!$H$7))-(BH1765-BC1765))/BC1765)))</f>
        <v>0</v>
      </c>
      <c r="BJ1765" s="48" t="str">
        <f aca="false">IF(AI1765&lt;=0,"",IF(CF1765="Aussen","Aussenlager",IF(CF1765="-","Nicht im Lift",IF(AO1765&gt;=1,"Lift",IF(AO1765&lt;=0,"Aussenlager","teilweise")))))</f>
        <v/>
      </c>
      <c r="BK1765" s="48" t="str">
        <f aca="false">IF(AS1765&lt;=0,"",IF(CF1765="Aussen","Aussenlager",IF(CF1765="-","Nicht im Lift",IF(AY1765&gt;=1,"Lift",IF(AY1765&lt;=0,"Aussenlager","teilweise")))))</f>
        <v/>
      </c>
      <c r="BL1765" s="48" t="str">
        <f aca="false">IF(BC1765&lt;=0,"",IF(CF1765="Aussen","Aussenlager",IF(CF1765="-","Nicht im Lift",IF(BI1765&gt;=1,"Lift",IF(BI1765&lt;=0,"Aussenlager","teilweise")))))</f>
        <v/>
      </c>
      <c r="BM1765" s="48" t="str">
        <f aca="false">IF(A1765="","",IF(BV1765=1,"Neu; ","")&amp;IF(AND(BV1765=0,BQ1765&lt;0),"negativer Bestand (Export "&amp;BQ1765&amp;"); ","")&amp;IF(J1765&lt;=0,"Kein Verbrauch; ","")&amp;IF(CQ1765&gt;0,"Lift "&amp;W1765&amp;" lt. Liftbericht (Fach "&amp;X1765&amp;" Stk); ",IF(CA1765=1,"Gebinde geschätzt ("&amp;T1765&amp;"); ",IF(BZ1765=1,"Lose – Tablare geschätzt; ","")))&amp;IF(H1765&gt;AV1765,"Überbestand "&amp;ROUND(H1765-AV1765,0)&amp;" Stk / CHF "&amp;ROUND((H1765-AV1765)*G1765,0)&amp;"; ","")&amp;IF(AND(CH1765=1,CI1765&lt;CJ1765),"MAX &lt; MB+LG; ","")&amp;IF(AND(CP1765&gt;0,CO1765*10&gt;CP1765),"zu hoch für Tablar; ","")&amp;IF(AND(BV1765=0,OR(CH1765=1,AA1765&lt;&gt;"",U1765&lt;&gt;"",V1765&lt;&gt;"",AB1765&lt;&gt;"")),"manuell übersteuert; ","")&amp;IF(AND(BZ1765=0,R1765=0),"Gebinde unbekannt / Stellmass fehlt; ","")&amp;IF(AND(BZ1765=0,N(V1765)&lt;=0,N(Q1765)&lt;=0),"Menge pro Gebinde fehlt (Ist = 1 Gebinde); ","")&amp;BU1765)</f>
        <v/>
      </c>
      <c r="BN1765" s="48"/>
      <c r="BO1765" s="48"/>
      <c r="BP1765" s="55"/>
      <c r="BQ1765" s="50" t="n">
        <f aca="false">N('Neue Artikel'!$D$26)</f>
        <v>0</v>
      </c>
      <c r="BR1765" s="50" t="n">
        <v>0</v>
      </c>
      <c r="BS1765" s="49" t="n">
        <v>0</v>
      </c>
      <c r="BT1765" s="50" t="n">
        <f aca="false">N('Neue Artikel'!$C$26)/Parameter!$B$18</f>
        <v>0</v>
      </c>
      <c r="BU1765" s="48"/>
      <c r="BV1765" s="53" t="n">
        <v>1</v>
      </c>
      <c r="BW1765" s="53" t="n">
        <v>1765</v>
      </c>
      <c r="BX1765" s="48" t="str">
        <f aca="false">IF(U1765&lt;&gt;"",UPPER(TRIM(U1765)),IF(CA1765=1,UPPER(VLOOKUP(T1765,Parameter!$I$27:$K$29,2,0)),IF(P1765="","LOSE",P1765)))</f>
        <v>LOSE</v>
      </c>
      <c r="BY1765" s="50" t="n">
        <f aca="false">IF(BX1765="LOSE",1,IF(N(V1765)&gt;0,V1765,IF(CA1765=1,MAX(1,N(VLOOKUP(T1765,Parameter!$I$27:$K$29,3,0)),H1765,N(N1765)),IF(N(Q1765)&gt;0,Q1765,MAX(1,H1765)))))</f>
        <v>1</v>
      </c>
      <c r="BZ1765" s="53" t="n">
        <f aca="false">IF(BX1765="LOSE",1,0)</f>
        <v>1</v>
      </c>
      <c r="CA1765" s="53" t="n">
        <f aca="false">IF(AND(U1765="",OR(P1765="",P1765="LOSE"),T1765&lt;&gt;"",N(S1765)&lt;=0,ISNUMBER(MATCH(T1765,Parameter!$I$27:$I$29,0))),1,0)</f>
        <v>0</v>
      </c>
      <c r="CB1765" s="53" t="n">
        <f aca="false">IF(CQ1765&gt;0,INDEX(Parameter!$H$5:$H$7,W1765)/INDEX(Parameter!$E$5:$E$7,W1765),IF(AND(BZ1765=0,N(IFERROR(VLOOKUP(BX1765,'Gebinde-Kategorie'!$A$5:$N$45,14,0),0))&gt;0),VLOOKUP(BX1765,'Gebinde-Kategorie'!$A$5:$N$45,14,0)*10+Parameter!$M$23,Parameter!$M$24))</f>
        <v>235</v>
      </c>
      <c r="CC1765" s="48" t="str">
        <f aca="false">IF(AND(Parameter!$B$19="Ja",E1765&lt;&gt;"",ISNUMBER(MATCH(E1765,Parameter!$I$35:$I$52,0))),VLOOKUP(E1765,Parameter!$I$35:$J$52,2,0),IFERROR(VLOOKUP(D1765,Parameter!$A$35:$C$64,2,0),"Nein"))</f>
        <v>2+3</v>
      </c>
      <c r="CD1765" s="52" t="n">
        <f aca="false">IF(BZ1765=0,0,IF(N(S1765)&gt;0,S1765,IFERROR(VLOOKUP(D1765,Parameter!$A$35:$C$64,3,0)+0,0)))</f>
        <v>0.15</v>
      </c>
      <c r="CE1765" s="48" t="str">
        <f aca="false">IF(AA1765&lt;&gt;"",AA1765,Z1765)</f>
        <v/>
      </c>
      <c r="CF1765" s="48" t="str">
        <f aca="false">IF(OR(CE1765=1,CE1765=2,CE1765=3),IF(Parameter!$E$27="Ja","LIFT",IF(CE1765=1,"L1","L23")),IF(CE1765="Aussen","Aussen","-"))</f>
        <v>-</v>
      </c>
      <c r="CG1765" s="59" t="n">
        <f aca="false">IF(N(AB1765)&gt;0,AB1765,0)</f>
        <v>0</v>
      </c>
      <c r="CH1765" s="53" t="n">
        <f aca="false">IF(ISNUMBER(AE1765),1,0)</f>
        <v>0</v>
      </c>
      <c r="CI1765" s="50" t="n">
        <f aca="false">N(AE1765)</f>
        <v>0</v>
      </c>
      <c r="CJ1765" s="50" t="n">
        <f aca="false">N(M1765)+N(N1765)</f>
        <v>0</v>
      </c>
      <c r="CK1765" s="50" t="n">
        <f aca="false">N(M1765)</f>
        <v>0</v>
      </c>
      <c r="CL1765" s="50" t="n">
        <f aca="false">N(N1765)</f>
        <v>0</v>
      </c>
      <c r="CM1765" s="50" t="n">
        <f aca="false">ROUNDUP(H1765/BY1765,0)</f>
        <v>0</v>
      </c>
      <c r="CN1765" s="50" t="n">
        <f aca="false">ROUNDUP(CI1765/BY1765,0)</f>
        <v>0</v>
      </c>
      <c r="CO1765" s="53" t="n">
        <f aca="false">IF(BZ1765=1,0,IFERROR(VLOOKUP(BX1765,'Gebinde-Kategorie'!$A$5:$N$45,5,0)+0,0))</f>
        <v>0</v>
      </c>
      <c r="CP1765" s="53" t="n">
        <f aca="false">IFERROR(IF(OR(CE1765=1,CE1765=2,CE1765=3),N(INDEX(Parameter!$I$5:$I$7,CE1765)),0),0)</f>
        <v>0</v>
      </c>
      <c r="CQ1765" s="52" t="n">
        <f aca="false">IF(AND(Parameter!$B$21="Ja",ISNUMBER(W1765),N(X1765)&gt;0),IFERROR(N(INDEX(Parameter!$L$5:$L$7,W1765))*INDEX(Parameter!$E$5:$E$7,W1765)*X1765/SUMIFS($X$7:$X$1843,$W$7:$W$1843,W1765),0),0)</f>
        <v>0</v>
      </c>
    </row>
    <row r="1766" customFormat="false" ht="15" hidden="false" customHeight="false" outlineLevel="0" collapsed="false">
      <c r="A1766" s="48" t="str">
        <f aca="false">IF('Neue Artikel'!$A$27="","",'Neue Artikel'!$A$27&amp;"")</f>
        <v/>
      </c>
      <c r="B1766" s="48" t="str">
        <f aca="false">'Neue Artikel'!$B$27&amp;""</f>
        <v/>
      </c>
      <c r="C1766" s="48"/>
      <c r="D1766" s="48" t="s">
        <v>3024</v>
      </c>
      <c r="E1766" s="48"/>
      <c r="F1766" s="48"/>
      <c r="G1766" s="49" t="n">
        <f aca="false">N('Neue Artikel'!$G$27)</f>
        <v>0</v>
      </c>
      <c r="H1766" s="50" t="n">
        <f aca="false">MAX(0,IF(AND(Parameter!$B$21="Ja",ISNUMBER(Y1766)),Y1766,IF(Parameter!$B$20="Jahresanfang 2025 + Export",BR1766+BQ1766,BQ1766)))</f>
        <v>0</v>
      </c>
      <c r="I1766" s="50" t="n">
        <f aca="false">H1766*G1766</f>
        <v>0</v>
      </c>
      <c r="J1766" s="50" t="n">
        <f aca="false">BT1766*Parameter!$B$18</f>
        <v>0</v>
      </c>
      <c r="K1766" s="51"/>
      <c r="L1766" s="52"/>
      <c r="M1766" s="50" t="n">
        <f aca="false">N('Neue Artikel'!$E$27)</f>
        <v>0</v>
      </c>
      <c r="N1766" s="50" t="n">
        <f aca="false">N('Neue Artikel'!$F$27)</f>
        <v>0</v>
      </c>
      <c r="O1766" s="53"/>
      <c r="P1766" s="48" t="str">
        <f aca="false">IF('Neue Artikel'!$H$27="","LOSE",UPPER(TRIM('Neue Artikel'!$H$27)))</f>
        <v>LOSE</v>
      </c>
      <c r="Q1766" s="50" t="n">
        <f aca="false">N('Neue Artikel'!$I$27)</f>
        <v>0</v>
      </c>
      <c r="R1766" s="53" t="n">
        <f aca="false">IF(BZ1766=1,0,IFERROR(VLOOKUP(BX1766,'Gebinde-Kategorie'!$A$5:$N$45,13,0)+0,0))</f>
        <v>0</v>
      </c>
      <c r="S1766" s="54"/>
      <c r="T1766" s="55"/>
      <c r="U1766" s="55"/>
      <c r="V1766" s="55"/>
      <c r="W1766" s="48"/>
      <c r="X1766" s="50"/>
      <c r="Y1766" s="50"/>
      <c r="Z1766" s="48" t="str">
        <f aca="false">IF(A1766="","",IF(AND(Parameter!$B$21="Ja",ISNUMBER(W1766)),W1766,IF(CC1766="2+3",IF(ISNUMBER(SEARCH("grosser Artikel",BU1766)),2,IFERROR(VLOOKUP(BX1766,Parameter!$F$35:$G$64,2,0),2)),IF(OR(CC1766="Nein",CC1766=""),"-",CC1766))))</f>
        <v/>
      </c>
      <c r="AA1766" s="48" t="str">
        <f aca="false">IF('Neue Artikel'!$J$27="","",'Neue Artikel'!$J$27)</f>
        <v/>
      </c>
      <c r="AB1766" s="56"/>
      <c r="AC1766" s="50" t="n">
        <f aca="false">AV1766</f>
        <v>0</v>
      </c>
      <c r="AD1766" s="50" t="n">
        <f aca="false">MAX(AV1766,H1766)</f>
        <v>0</v>
      </c>
      <c r="AE1766" s="57"/>
      <c r="AF1766" s="50" t="n">
        <f aca="false">IF(LEFT(Cockpit!$C$5,1)="A",H1766,IF(Parameter!$E$30="MAX-Bestand",IF(CH1766=1,CI1766,IF(LEFT(Cockpit!$C$5,1)="B",AL1766,MAX(AL1766,H1766))),ROUNDUP(AJ1766,0)))</f>
        <v>0</v>
      </c>
      <c r="AG1766" s="50" t="n">
        <f aca="false">IF(BZ1766=1,0,ROUNDUP(AF1766/BY1766,0))</f>
        <v>0</v>
      </c>
      <c r="AH1766" s="52" t="n">
        <f aca="false">IF(CQ1766&gt;0,CQ1766*MAX(1,AF1766/X1766),IF(BZ1766=1,IF(AF1766&lt;=0,0,CD1766*MAX(1,IF(H1766&gt;0,AF1766/H1766,1))),IF(R1766&gt;0,AG1766/R1766,0))/MAX(0.1,N(Parameter!$M$21)))</f>
        <v>0</v>
      </c>
      <c r="AI1766" s="50" t="n">
        <f aca="false">AH1766*CB1766</f>
        <v>0</v>
      </c>
      <c r="AJ1766" s="51" t="n">
        <f aca="false">IF(LEFT(Cockpit!$C$5,1)="A",H1766,IF(CH1766=1,(CK1766+CI1766)/2,IF(LEFT(Cockpit!$C$5,1)="B",(CK1766+AL1766)/2,MAX((CK1766+AL1766)/2,H1766))))</f>
        <v>0</v>
      </c>
      <c r="AK1766" s="50" t="n">
        <f aca="false">AJ1766*G1766</f>
        <v>0</v>
      </c>
      <c r="AL1766" s="50" t="n">
        <f aca="false">ROUNDUP(CK1766+MAX(CL1766,2*(J1766/IF(CG1766&gt;0,CG1766,MAX(0.1,N(Cockpit!$C$6)))-CK1766)),0)</f>
        <v>0</v>
      </c>
      <c r="AM1766" s="51" t="n">
        <f aca="false">IF(AI1766&gt;0,J1766/AI1766,-1)</f>
        <v>-1</v>
      </c>
      <c r="AN1766" s="51" t="str">
        <f aca="false">IF(AND(OR(CF1766="L1",CF1766="L23",CF1766="LIFT"),AI1766&gt;0),SUMIFS($AI$7:$AI$1843,$CF$7:$CF$1843,CF1766,$AM$7:$AM$1843,"&gt;"&amp;AM1766)+SUMIFS($AI$7:$AI$1843,$CF$7:$CF$1843,CF1766,$AM$7:$AM$1843,AM1766,$BW$7:$BW$1843,"&lt;="&amp;BW1766),"")</f>
        <v/>
      </c>
      <c r="AO1766" s="58" t="n">
        <f aca="false">IF(AN1766="",0,MAX(0,MIN(1,(IF(CF1766="L1",Parameter!$H$5,IF(CF1766="L23",Parameter!$H$6+Parameter!$H$7,Parameter!$H$5+Parameter!$H$6+Parameter!$H$7))-(AN1766-AI1766))/AI1766)))</f>
        <v>0</v>
      </c>
      <c r="AP1766" s="50" t="n">
        <f aca="false">IF(LEFT(Cockpit!$I$5,1)="A",H1766,IF(Parameter!$E$30="MAX-Bestand",IF(CH1766=1,CI1766,IF(LEFT(Cockpit!$I$5,1)="B",AV1766,MAX(AV1766,H1766))),ROUNDUP(AT1766,0)))</f>
        <v>0</v>
      </c>
      <c r="AQ1766" s="50" t="n">
        <f aca="false">IF(BZ1766=1,0,ROUNDUP(AP1766/BY1766,0))</f>
        <v>0</v>
      </c>
      <c r="AR1766" s="52" t="n">
        <f aca="false">IF(CQ1766&gt;0,CQ1766*MAX(1,AP1766/X1766),IF(BZ1766=1,IF(AP1766&lt;=0,0,CD1766*MAX(1,IF(H1766&gt;0,AP1766/H1766,1))),IF(R1766&gt;0,AQ1766/R1766,0))/MAX(0.1,N(Parameter!$M$21)))</f>
        <v>0</v>
      </c>
      <c r="AS1766" s="50" t="n">
        <f aca="false">AR1766*CB1766</f>
        <v>0</v>
      </c>
      <c r="AT1766" s="51" t="n">
        <f aca="false">IF(LEFT(Cockpit!$I$5,1)="A",H1766,IF(CH1766=1,(CK1766+CI1766)/2,IF(LEFT(Cockpit!$I$5,1)="B",(CK1766+AV1766)/2,MAX((CK1766+AV1766)/2,H1766))))</f>
        <v>0</v>
      </c>
      <c r="AU1766" s="50" t="n">
        <f aca="false">AT1766*G1766</f>
        <v>0</v>
      </c>
      <c r="AV1766" s="50" t="n">
        <f aca="false">ROUNDUP(CK1766+MAX(CL1766,2*(J1766/IF(CG1766&gt;0,CG1766,MAX(0.1,N(Cockpit!$I$6)))-CK1766)),0)</f>
        <v>0</v>
      </c>
      <c r="AW1766" s="51" t="n">
        <f aca="false">IF(AS1766&gt;0,J1766/AS1766,-1)</f>
        <v>-1</v>
      </c>
      <c r="AX1766" s="51" t="str">
        <f aca="false">IF(AND(OR(CF1766="L1",CF1766="L23",CF1766="LIFT"),AS1766&gt;0),SUMIFS($AS$7:$AS$1843,$CF$7:$CF$1843,CF1766,$AW$7:$AW$1843,"&gt;"&amp;AW1766)+SUMIFS($AS$7:$AS$1843,$CF$7:$CF$1843,CF1766,$AW$7:$AW$1843,AW1766,$BW$7:$BW$1843,"&lt;="&amp;BW1766),"")</f>
        <v/>
      </c>
      <c r="AY1766" s="58" t="n">
        <f aca="false">IF(AX1766="",0,MAX(0,MIN(1,(IF(CF1766="L1",Parameter!$H$5,IF(CF1766="L23",Parameter!$H$6+Parameter!$H$7,Parameter!$H$5+Parameter!$H$6+Parameter!$H$7))-(AX1766-AS1766))/AS1766)))</f>
        <v>0</v>
      </c>
      <c r="AZ1766" s="50" t="n">
        <f aca="false">IF(LEFT(Cockpit!$O$5,1)="A",H1766,IF(Parameter!$E$30="MAX-Bestand",IF(CH1766=1,CI1766,IF(LEFT(Cockpit!$O$5,1)="B",BF1766,MAX(BF1766,H1766))),ROUNDUP(BD1766,0)))</f>
        <v>0</v>
      </c>
      <c r="BA1766" s="50" t="n">
        <f aca="false">IF(BZ1766=1,0,ROUNDUP(AZ1766/BY1766,0))</f>
        <v>0</v>
      </c>
      <c r="BB1766" s="52" t="n">
        <f aca="false">IF(CQ1766&gt;0,CQ1766*MAX(1,AZ1766/X1766),IF(BZ1766=1,IF(AZ1766&lt;=0,0,CD1766*MAX(1,IF(H1766&gt;0,AZ1766/H1766,1))),IF(R1766&gt;0,BA1766/R1766,0))/MAX(0.1,N(Parameter!$M$21)))</f>
        <v>0</v>
      </c>
      <c r="BC1766" s="50" t="n">
        <f aca="false">BB1766*CB1766</f>
        <v>0</v>
      </c>
      <c r="BD1766" s="51" t="n">
        <f aca="false">IF(LEFT(Cockpit!$O$5,1)="A",H1766,IF(CH1766=1,(CK1766+CI1766)/2,IF(LEFT(Cockpit!$O$5,1)="B",(CK1766+BF1766)/2,MAX((CK1766+BF1766)/2,H1766))))</f>
        <v>0</v>
      </c>
      <c r="BE1766" s="50" t="n">
        <f aca="false">BD1766*G1766</f>
        <v>0</v>
      </c>
      <c r="BF1766" s="50" t="n">
        <f aca="false">ROUNDUP(CK1766+MAX(CL1766,2*(J1766/IF(CG1766&gt;0,CG1766,MAX(0.1,N(Cockpit!$O$6)))-CK1766)),0)</f>
        <v>0</v>
      </c>
      <c r="BG1766" s="51" t="n">
        <f aca="false">IF(BC1766&gt;0,J1766/BC1766,-1)</f>
        <v>-1</v>
      </c>
      <c r="BH1766" s="51" t="str">
        <f aca="false">IF(AND(OR(CF1766="L1",CF1766="L23",CF1766="LIFT"),BC1766&gt;0),SUMIFS($BC$7:$BC$1843,$CF$7:$CF$1843,CF1766,$BG$7:$BG$1843,"&gt;"&amp;BG1766)+SUMIFS($BC$7:$BC$1843,$CF$7:$CF$1843,CF1766,$BG$7:$BG$1843,BG1766,$BW$7:$BW$1843,"&lt;="&amp;BW1766),"")</f>
        <v/>
      </c>
      <c r="BI1766" s="58" t="n">
        <f aca="false">IF(BH1766="",0,MAX(0,MIN(1,(IF(CF1766="L1",Parameter!$H$5,IF(CF1766="L23",Parameter!$H$6+Parameter!$H$7,Parameter!$H$5+Parameter!$H$6+Parameter!$H$7))-(BH1766-BC1766))/BC1766)))</f>
        <v>0</v>
      </c>
      <c r="BJ1766" s="48" t="str">
        <f aca="false">IF(AI1766&lt;=0,"",IF(CF1766="Aussen","Aussenlager",IF(CF1766="-","Nicht im Lift",IF(AO1766&gt;=1,"Lift",IF(AO1766&lt;=0,"Aussenlager","teilweise")))))</f>
        <v/>
      </c>
      <c r="BK1766" s="48" t="str">
        <f aca="false">IF(AS1766&lt;=0,"",IF(CF1766="Aussen","Aussenlager",IF(CF1766="-","Nicht im Lift",IF(AY1766&gt;=1,"Lift",IF(AY1766&lt;=0,"Aussenlager","teilweise")))))</f>
        <v/>
      </c>
      <c r="BL1766" s="48" t="str">
        <f aca="false">IF(BC1766&lt;=0,"",IF(CF1766="Aussen","Aussenlager",IF(CF1766="-","Nicht im Lift",IF(BI1766&gt;=1,"Lift",IF(BI1766&lt;=0,"Aussenlager","teilweise")))))</f>
        <v/>
      </c>
      <c r="BM1766" s="48" t="str">
        <f aca="false">IF(A1766="","",IF(BV1766=1,"Neu; ","")&amp;IF(AND(BV1766=0,BQ1766&lt;0),"negativer Bestand (Export "&amp;BQ1766&amp;"); ","")&amp;IF(J1766&lt;=0,"Kein Verbrauch; ","")&amp;IF(CQ1766&gt;0,"Lift "&amp;W1766&amp;" lt. Liftbericht (Fach "&amp;X1766&amp;" Stk); ",IF(CA1766=1,"Gebinde geschätzt ("&amp;T1766&amp;"); ",IF(BZ1766=1,"Lose – Tablare geschätzt; ","")))&amp;IF(H1766&gt;AV1766,"Überbestand "&amp;ROUND(H1766-AV1766,0)&amp;" Stk / CHF "&amp;ROUND((H1766-AV1766)*G1766,0)&amp;"; ","")&amp;IF(AND(CH1766=1,CI1766&lt;CJ1766),"MAX &lt; MB+LG; ","")&amp;IF(AND(CP1766&gt;0,CO1766*10&gt;CP1766),"zu hoch für Tablar; ","")&amp;IF(AND(BV1766=0,OR(CH1766=1,AA1766&lt;&gt;"",U1766&lt;&gt;"",V1766&lt;&gt;"",AB1766&lt;&gt;"")),"manuell übersteuert; ","")&amp;IF(AND(BZ1766=0,R1766=0),"Gebinde unbekannt / Stellmass fehlt; ","")&amp;IF(AND(BZ1766=0,N(V1766)&lt;=0,N(Q1766)&lt;=0),"Menge pro Gebinde fehlt (Ist = 1 Gebinde); ","")&amp;BU1766)</f>
        <v/>
      </c>
      <c r="BN1766" s="48"/>
      <c r="BO1766" s="48"/>
      <c r="BP1766" s="55"/>
      <c r="BQ1766" s="50" t="n">
        <f aca="false">N('Neue Artikel'!$D$27)</f>
        <v>0</v>
      </c>
      <c r="BR1766" s="50" t="n">
        <v>0</v>
      </c>
      <c r="BS1766" s="49" t="n">
        <v>0</v>
      </c>
      <c r="BT1766" s="50" t="n">
        <f aca="false">N('Neue Artikel'!$C$27)/Parameter!$B$18</f>
        <v>0</v>
      </c>
      <c r="BU1766" s="48"/>
      <c r="BV1766" s="53" t="n">
        <v>1</v>
      </c>
      <c r="BW1766" s="53" t="n">
        <v>1766</v>
      </c>
      <c r="BX1766" s="48" t="str">
        <f aca="false">IF(U1766&lt;&gt;"",UPPER(TRIM(U1766)),IF(CA1766=1,UPPER(VLOOKUP(T1766,Parameter!$I$27:$K$29,2,0)),IF(P1766="","LOSE",P1766)))</f>
        <v>LOSE</v>
      </c>
      <c r="BY1766" s="50" t="n">
        <f aca="false">IF(BX1766="LOSE",1,IF(N(V1766)&gt;0,V1766,IF(CA1766=1,MAX(1,N(VLOOKUP(T1766,Parameter!$I$27:$K$29,3,0)),H1766,N(N1766)),IF(N(Q1766)&gt;0,Q1766,MAX(1,H1766)))))</f>
        <v>1</v>
      </c>
      <c r="BZ1766" s="53" t="n">
        <f aca="false">IF(BX1766="LOSE",1,0)</f>
        <v>1</v>
      </c>
      <c r="CA1766" s="53" t="n">
        <f aca="false">IF(AND(U1766="",OR(P1766="",P1766="LOSE"),T1766&lt;&gt;"",N(S1766)&lt;=0,ISNUMBER(MATCH(T1766,Parameter!$I$27:$I$29,0))),1,0)</f>
        <v>0</v>
      </c>
      <c r="CB1766" s="53" t="n">
        <f aca="false">IF(CQ1766&gt;0,INDEX(Parameter!$H$5:$H$7,W1766)/INDEX(Parameter!$E$5:$E$7,W1766),IF(AND(BZ1766=0,N(IFERROR(VLOOKUP(BX1766,'Gebinde-Kategorie'!$A$5:$N$45,14,0),0))&gt;0),VLOOKUP(BX1766,'Gebinde-Kategorie'!$A$5:$N$45,14,0)*10+Parameter!$M$23,Parameter!$M$24))</f>
        <v>235</v>
      </c>
      <c r="CC1766" s="48" t="str">
        <f aca="false">IF(AND(Parameter!$B$19="Ja",E1766&lt;&gt;"",ISNUMBER(MATCH(E1766,Parameter!$I$35:$I$52,0))),VLOOKUP(E1766,Parameter!$I$35:$J$52,2,0),IFERROR(VLOOKUP(D1766,Parameter!$A$35:$C$64,2,0),"Nein"))</f>
        <v>2+3</v>
      </c>
      <c r="CD1766" s="52" t="n">
        <f aca="false">IF(BZ1766=0,0,IF(N(S1766)&gt;0,S1766,IFERROR(VLOOKUP(D1766,Parameter!$A$35:$C$64,3,0)+0,0)))</f>
        <v>0.15</v>
      </c>
      <c r="CE1766" s="48" t="str">
        <f aca="false">IF(AA1766&lt;&gt;"",AA1766,Z1766)</f>
        <v/>
      </c>
      <c r="CF1766" s="48" t="str">
        <f aca="false">IF(OR(CE1766=1,CE1766=2,CE1766=3),IF(Parameter!$E$27="Ja","LIFT",IF(CE1766=1,"L1","L23")),IF(CE1766="Aussen","Aussen","-"))</f>
        <v>-</v>
      </c>
      <c r="CG1766" s="59" t="n">
        <f aca="false">IF(N(AB1766)&gt;0,AB1766,0)</f>
        <v>0</v>
      </c>
      <c r="CH1766" s="53" t="n">
        <f aca="false">IF(ISNUMBER(AE1766),1,0)</f>
        <v>0</v>
      </c>
      <c r="CI1766" s="50" t="n">
        <f aca="false">N(AE1766)</f>
        <v>0</v>
      </c>
      <c r="CJ1766" s="50" t="n">
        <f aca="false">N(M1766)+N(N1766)</f>
        <v>0</v>
      </c>
      <c r="CK1766" s="50" t="n">
        <f aca="false">N(M1766)</f>
        <v>0</v>
      </c>
      <c r="CL1766" s="50" t="n">
        <f aca="false">N(N1766)</f>
        <v>0</v>
      </c>
      <c r="CM1766" s="50" t="n">
        <f aca="false">ROUNDUP(H1766/BY1766,0)</f>
        <v>0</v>
      </c>
      <c r="CN1766" s="50" t="n">
        <f aca="false">ROUNDUP(CI1766/BY1766,0)</f>
        <v>0</v>
      </c>
      <c r="CO1766" s="53" t="n">
        <f aca="false">IF(BZ1766=1,0,IFERROR(VLOOKUP(BX1766,'Gebinde-Kategorie'!$A$5:$N$45,5,0)+0,0))</f>
        <v>0</v>
      </c>
      <c r="CP1766" s="53" t="n">
        <f aca="false">IFERROR(IF(OR(CE1766=1,CE1766=2,CE1766=3),N(INDEX(Parameter!$I$5:$I$7,CE1766)),0),0)</f>
        <v>0</v>
      </c>
      <c r="CQ1766" s="52" t="n">
        <f aca="false">IF(AND(Parameter!$B$21="Ja",ISNUMBER(W1766),N(X1766)&gt;0),IFERROR(N(INDEX(Parameter!$L$5:$L$7,W1766))*INDEX(Parameter!$E$5:$E$7,W1766)*X1766/SUMIFS($X$7:$X$1843,$W$7:$W$1843,W1766),0),0)</f>
        <v>0</v>
      </c>
    </row>
    <row r="1767" customFormat="false" ht="15" hidden="false" customHeight="false" outlineLevel="0" collapsed="false">
      <c r="A1767" s="48" t="str">
        <f aca="false">IF('Neue Artikel'!$A$28="","",'Neue Artikel'!$A$28&amp;"")</f>
        <v/>
      </c>
      <c r="B1767" s="48" t="str">
        <f aca="false">'Neue Artikel'!$B$28&amp;""</f>
        <v/>
      </c>
      <c r="C1767" s="48"/>
      <c r="D1767" s="48" t="s">
        <v>3024</v>
      </c>
      <c r="E1767" s="48"/>
      <c r="F1767" s="48"/>
      <c r="G1767" s="49" t="n">
        <f aca="false">N('Neue Artikel'!$G$28)</f>
        <v>0</v>
      </c>
      <c r="H1767" s="50" t="n">
        <f aca="false">MAX(0,IF(AND(Parameter!$B$21="Ja",ISNUMBER(Y1767)),Y1767,IF(Parameter!$B$20="Jahresanfang 2025 + Export",BR1767+BQ1767,BQ1767)))</f>
        <v>0</v>
      </c>
      <c r="I1767" s="50" t="n">
        <f aca="false">H1767*G1767</f>
        <v>0</v>
      </c>
      <c r="J1767" s="50" t="n">
        <f aca="false">BT1767*Parameter!$B$18</f>
        <v>0</v>
      </c>
      <c r="K1767" s="51"/>
      <c r="L1767" s="52"/>
      <c r="M1767" s="50" t="n">
        <f aca="false">N('Neue Artikel'!$E$28)</f>
        <v>0</v>
      </c>
      <c r="N1767" s="50" t="n">
        <f aca="false">N('Neue Artikel'!$F$28)</f>
        <v>0</v>
      </c>
      <c r="O1767" s="53"/>
      <c r="P1767" s="48" t="str">
        <f aca="false">IF('Neue Artikel'!$H$28="","LOSE",UPPER(TRIM('Neue Artikel'!$H$28)))</f>
        <v>LOSE</v>
      </c>
      <c r="Q1767" s="50" t="n">
        <f aca="false">N('Neue Artikel'!$I$28)</f>
        <v>0</v>
      </c>
      <c r="R1767" s="53" t="n">
        <f aca="false">IF(BZ1767=1,0,IFERROR(VLOOKUP(BX1767,'Gebinde-Kategorie'!$A$5:$N$45,13,0)+0,0))</f>
        <v>0</v>
      </c>
      <c r="S1767" s="54"/>
      <c r="T1767" s="55"/>
      <c r="U1767" s="55"/>
      <c r="V1767" s="55"/>
      <c r="W1767" s="48"/>
      <c r="X1767" s="50"/>
      <c r="Y1767" s="50"/>
      <c r="Z1767" s="48" t="str">
        <f aca="false">IF(A1767="","",IF(AND(Parameter!$B$21="Ja",ISNUMBER(W1767)),W1767,IF(CC1767="2+3",IF(ISNUMBER(SEARCH("grosser Artikel",BU1767)),2,IFERROR(VLOOKUP(BX1767,Parameter!$F$35:$G$64,2,0),2)),IF(OR(CC1767="Nein",CC1767=""),"-",CC1767))))</f>
        <v/>
      </c>
      <c r="AA1767" s="48" t="str">
        <f aca="false">IF('Neue Artikel'!$J$28="","",'Neue Artikel'!$J$28)</f>
        <v/>
      </c>
      <c r="AB1767" s="56"/>
      <c r="AC1767" s="50" t="n">
        <f aca="false">AV1767</f>
        <v>0</v>
      </c>
      <c r="AD1767" s="50" t="n">
        <f aca="false">MAX(AV1767,H1767)</f>
        <v>0</v>
      </c>
      <c r="AE1767" s="57"/>
      <c r="AF1767" s="50" t="n">
        <f aca="false">IF(LEFT(Cockpit!$C$5,1)="A",H1767,IF(Parameter!$E$30="MAX-Bestand",IF(CH1767=1,CI1767,IF(LEFT(Cockpit!$C$5,1)="B",AL1767,MAX(AL1767,H1767))),ROUNDUP(AJ1767,0)))</f>
        <v>0</v>
      </c>
      <c r="AG1767" s="50" t="n">
        <f aca="false">IF(BZ1767=1,0,ROUNDUP(AF1767/BY1767,0))</f>
        <v>0</v>
      </c>
      <c r="AH1767" s="52" t="n">
        <f aca="false">IF(CQ1767&gt;0,CQ1767*MAX(1,AF1767/X1767),IF(BZ1767=1,IF(AF1767&lt;=0,0,CD1767*MAX(1,IF(H1767&gt;0,AF1767/H1767,1))),IF(R1767&gt;0,AG1767/R1767,0))/MAX(0.1,N(Parameter!$M$21)))</f>
        <v>0</v>
      </c>
      <c r="AI1767" s="50" t="n">
        <f aca="false">AH1767*CB1767</f>
        <v>0</v>
      </c>
      <c r="AJ1767" s="51" t="n">
        <f aca="false">IF(LEFT(Cockpit!$C$5,1)="A",H1767,IF(CH1767=1,(CK1767+CI1767)/2,IF(LEFT(Cockpit!$C$5,1)="B",(CK1767+AL1767)/2,MAX((CK1767+AL1767)/2,H1767))))</f>
        <v>0</v>
      </c>
      <c r="AK1767" s="50" t="n">
        <f aca="false">AJ1767*G1767</f>
        <v>0</v>
      </c>
      <c r="AL1767" s="50" t="n">
        <f aca="false">ROUNDUP(CK1767+MAX(CL1767,2*(J1767/IF(CG1767&gt;0,CG1767,MAX(0.1,N(Cockpit!$C$6)))-CK1767)),0)</f>
        <v>0</v>
      </c>
      <c r="AM1767" s="51" t="n">
        <f aca="false">IF(AI1767&gt;0,J1767/AI1767,-1)</f>
        <v>-1</v>
      </c>
      <c r="AN1767" s="51" t="str">
        <f aca="false">IF(AND(OR(CF1767="L1",CF1767="L23",CF1767="LIFT"),AI1767&gt;0),SUMIFS($AI$7:$AI$1843,$CF$7:$CF$1843,CF1767,$AM$7:$AM$1843,"&gt;"&amp;AM1767)+SUMIFS($AI$7:$AI$1843,$CF$7:$CF$1843,CF1767,$AM$7:$AM$1843,AM1767,$BW$7:$BW$1843,"&lt;="&amp;BW1767),"")</f>
        <v/>
      </c>
      <c r="AO1767" s="58" t="n">
        <f aca="false">IF(AN1767="",0,MAX(0,MIN(1,(IF(CF1767="L1",Parameter!$H$5,IF(CF1767="L23",Parameter!$H$6+Parameter!$H$7,Parameter!$H$5+Parameter!$H$6+Parameter!$H$7))-(AN1767-AI1767))/AI1767)))</f>
        <v>0</v>
      </c>
      <c r="AP1767" s="50" t="n">
        <f aca="false">IF(LEFT(Cockpit!$I$5,1)="A",H1767,IF(Parameter!$E$30="MAX-Bestand",IF(CH1767=1,CI1767,IF(LEFT(Cockpit!$I$5,1)="B",AV1767,MAX(AV1767,H1767))),ROUNDUP(AT1767,0)))</f>
        <v>0</v>
      </c>
      <c r="AQ1767" s="50" t="n">
        <f aca="false">IF(BZ1767=1,0,ROUNDUP(AP1767/BY1767,0))</f>
        <v>0</v>
      </c>
      <c r="AR1767" s="52" t="n">
        <f aca="false">IF(CQ1767&gt;0,CQ1767*MAX(1,AP1767/X1767),IF(BZ1767=1,IF(AP1767&lt;=0,0,CD1767*MAX(1,IF(H1767&gt;0,AP1767/H1767,1))),IF(R1767&gt;0,AQ1767/R1767,0))/MAX(0.1,N(Parameter!$M$21)))</f>
        <v>0</v>
      </c>
      <c r="AS1767" s="50" t="n">
        <f aca="false">AR1767*CB1767</f>
        <v>0</v>
      </c>
      <c r="AT1767" s="51" t="n">
        <f aca="false">IF(LEFT(Cockpit!$I$5,1)="A",H1767,IF(CH1767=1,(CK1767+CI1767)/2,IF(LEFT(Cockpit!$I$5,1)="B",(CK1767+AV1767)/2,MAX((CK1767+AV1767)/2,H1767))))</f>
        <v>0</v>
      </c>
      <c r="AU1767" s="50" t="n">
        <f aca="false">AT1767*G1767</f>
        <v>0</v>
      </c>
      <c r="AV1767" s="50" t="n">
        <f aca="false">ROUNDUP(CK1767+MAX(CL1767,2*(J1767/IF(CG1767&gt;0,CG1767,MAX(0.1,N(Cockpit!$I$6)))-CK1767)),0)</f>
        <v>0</v>
      </c>
      <c r="AW1767" s="51" t="n">
        <f aca="false">IF(AS1767&gt;0,J1767/AS1767,-1)</f>
        <v>-1</v>
      </c>
      <c r="AX1767" s="51" t="str">
        <f aca="false">IF(AND(OR(CF1767="L1",CF1767="L23",CF1767="LIFT"),AS1767&gt;0),SUMIFS($AS$7:$AS$1843,$CF$7:$CF$1843,CF1767,$AW$7:$AW$1843,"&gt;"&amp;AW1767)+SUMIFS($AS$7:$AS$1843,$CF$7:$CF$1843,CF1767,$AW$7:$AW$1843,AW1767,$BW$7:$BW$1843,"&lt;="&amp;BW1767),"")</f>
        <v/>
      </c>
      <c r="AY1767" s="58" t="n">
        <f aca="false">IF(AX1767="",0,MAX(0,MIN(1,(IF(CF1767="L1",Parameter!$H$5,IF(CF1767="L23",Parameter!$H$6+Parameter!$H$7,Parameter!$H$5+Parameter!$H$6+Parameter!$H$7))-(AX1767-AS1767))/AS1767)))</f>
        <v>0</v>
      </c>
      <c r="AZ1767" s="50" t="n">
        <f aca="false">IF(LEFT(Cockpit!$O$5,1)="A",H1767,IF(Parameter!$E$30="MAX-Bestand",IF(CH1767=1,CI1767,IF(LEFT(Cockpit!$O$5,1)="B",BF1767,MAX(BF1767,H1767))),ROUNDUP(BD1767,0)))</f>
        <v>0</v>
      </c>
      <c r="BA1767" s="50" t="n">
        <f aca="false">IF(BZ1767=1,0,ROUNDUP(AZ1767/BY1767,0))</f>
        <v>0</v>
      </c>
      <c r="BB1767" s="52" t="n">
        <f aca="false">IF(CQ1767&gt;0,CQ1767*MAX(1,AZ1767/X1767),IF(BZ1767=1,IF(AZ1767&lt;=0,0,CD1767*MAX(1,IF(H1767&gt;0,AZ1767/H1767,1))),IF(R1767&gt;0,BA1767/R1767,0))/MAX(0.1,N(Parameter!$M$21)))</f>
        <v>0</v>
      </c>
      <c r="BC1767" s="50" t="n">
        <f aca="false">BB1767*CB1767</f>
        <v>0</v>
      </c>
      <c r="BD1767" s="51" t="n">
        <f aca="false">IF(LEFT(Cockpit!$O$5,1)="A",H1767,IF(CH1767=1,(CK1767+CI1767)/2,IF(LEFT(Cockpit!$O$5,1)="B",(CK1767+BF1767)/2,MAX((CK1767+BF1767)/2,H1767))))</f>
        <v>0</v>
      </c>
      <c r="BE1767" s="50" t="n">
        <f aca="false">BD1767*G1767</f>
        <v>0</v>
      </c>
      <c r="BF1767" s="50" t="n">
        <f aca="false">ROUNDUP(CK1767+MAX(CL1767,2*(J1767/IF(CG1767&gt;0,CG1767,MAX(0.1,N(Cockpit!$O$6)))-CK1767)),0)</f>
        <v>0</v>
      </c>
      <c r="BG1767" s="51" t="n">
        <f aca="false">IF(BC1767&gt;0,J1767/BC1767,-1)</f>
        <v>-1</v>
      </c>
      <c r="BH1767" s="51" t="str">
        <f aca="false">IF(AND(OR(CF1767="L1",CF1767="L23",CF1767="LIFT"),BC1767&gt;0),SUMIFS($BC$7:$BC$1843,$CF$7:$CF$1843,CF1767,$BG$7:$BG$1843,"&gt;"&amp;BG1767)+SUMIFS($BC$7:$BC$1843,$CF$7:$CF$1843,CF1767,$BG$7:$BG$1843,BG1767,$BW$7:$BW$1843,"&lt;="&amp;BW1767),"")</f>
        <v/>
      </c>
      <c r="BI1767" s="58" t="n">
        <f aca="false">IF(BH1767="",0,MAX(0,MIN(1,(IF(CF1767="L1",Parameter!$H$5,IF(CF1767="L23",Parameter!$H$6+Parameter!$H$7,Parameter!$H$5+Parameter!$H$6+Parameter!$H$7))-(BH1767-BC1767))/BC1767)))</f>
        <v>0</v>
      </c>
      <c r="BJ1767" s="48" t="str">
        <f aca="false">IF(AI1767&lt;=0,"",IF(CF1767="Aussen","Aussenlager",IF(CF1767="-","Nicht im Lift",IF(AO1767&gt;=1,"Lift",IF(AO1767&lt;=0,"Aussenlager","teilweise")))))</f>
        <v/>
      </c>
      <c r="BK1767" s="48" t="str">
        <f aca="false">IF(AS1767&lt;=0,"",IF(CF1767="Aussen","Aussenlager",IF(CF1767="-","Nicht im Lift",IF(AY1767&gt;=1,"Lift",IF(AY1767&lt;=0,"Aussenlager","teilweise")))))</f>
        <v/>
      </c>
      <c r="BL1767" s="48" t="str">
        <f aca="false">IF(BC1767&lt;=0,"",IF(CF1767="Aussen","Aussenlager",IF(CF1767="-","Nicht im Lift",IF(BI1767&gt;=1,"Lift",IF(BI1767&lt;=0,"Aussenlager","teilweise")))))</f>
        <v/>
      </c>
      <c r="BM1767" s="48" t="str">
        <f aca="false">IF(A1767="","",IF(BV1767=1,"Neu; ","")&amp;IF(AND(BV1767=0,BQ1767&lt;0),"negativer Bestand (Export "&amp;BQ1767&amp;"); ","")&amp;IF(J1767&lt;=0,"Kein Verbrauch; ","")&amp;IF(CQ1767&gt;0,"Lift "&amp;W1767&amp;" lt. Liftbericht (Fach "&amp;X1767&amp;" Stk); ",IF(CA1767=1,"Gebinde geschätzt ("&amp;T1767&amp;"); ",IF(BZ1767=1,"Lose – Tablare geschätzt; ","")))&amp;IF(H1767&gt;AV1767,"Überbestand "&amp;ROUND(H1767-AV1767,0)&amp;" Stk / CHF "&amp;ROUND((H1767-AV1767)*G1767,0)&amp;"; ","")&amp;IF(AND(CH1767=1,CI1767&lt;CJ1767),"MAX &lt; MB+LG; ","")&amp;IF(AND(CP1767&gt;0,CO1767*10&gt;CP1767),"zu hoch für Tablar; ","")&amp;IF(AND(BV1767=0,OR(CH1767=1,AA1767&lt;&gt;"",U1767&lt;&gt;"",V1767&lt;&gt;"",AB1767&lt;&gt;"")),"manuell übersteuert; ","")&amp;IF(AND(BZ1767=0,R1767=0),"Gebinde unbekannt / Stellmass fehlt; ","")&amp;IF(AND(BZ1767=0,N(V1767)&lt;=0,N(Q1767)&lt;=0),"Menge pro Gebinde fehlt (Ist = 1 Gebinde); ","")&amp;BU1767)</f>
        <v/>
      </c>
      <c r="BN1767" s="48"/>
      <c r="BO1767" s="48"/>
      <c r="BP1767" s="55"/>
      <c r="BQ1767" s="50" t="n">
        <f aca="false">N('Neue Artikel'!$D$28)</f>
        <v>0</v>
      </c>
      <c r="BR1767" s="50" t="n">
        <v>0</v>
      </c>
      <c r="BS1767" s="49" t="n">
        <v>0</v>
      </c>
      <c r="BT1767" s="50" t="n">
        <f aca="false">N('Neue Artikel'!$C$28)/Parameter!$B$18</f>
        <v>0</v>
      </c>
      <c r="BU1767" s="48"/>
      <c r="BV1767" s="53" t="n">
        <v>1</v>
      </c>
      <c r="BW1767" s="53" t="n">
        <v>1767</v>
      </c>
      <c r="BX1767" s="48" t="str">
        <f aca="false">IF(U1767&lt;&gt;"",UPPER(TRIM(U1767)),IF(CA1767=1,UPPER(VLOOKUP(T1767,Parameter!$I$27:$K$29,2,0)),IF(P1767="","LOSE",P1767)))</f>
        <v>LOSE</v>
      </c>
      <c r="BY1767" s="50" t="n">
        <f aca="false">IF(BX1767="LOSE",1,IF(N(V1767)&gt;0,V1767,IF(CA1767=1,MAX(1,N(VLOOKUP(T1767,Parameter!$I$27:$K$29,3,0)),H1767,N(N1767)),IF(N(Q1767)&gt;0,Q1767,MAX(1,H1767)))))</f>
        <v>1</v>
      </c>
      <c r="BZ1767" s="53" t="n">
        <f aca="false">IF(BX1767="LOSE",1,0)</f>
        <v>1</v>
      </c>
      <c r="CA1767" s="53" t="n">
        <f aca="false">IF(AND(U1767="",OR(P1767="",P1767="LOSE"),T1767&lt;&gt;"",N(S1767)&lt;=0,ISNUMBER(MATCH(T1767,Parameter!$I$27:$I$29,0))),1,0)</f>
        <v>0</v>
      </c>
      <c r="CB1767" s="53" t="n">
        <f aca="false">IF(CQ1767&gt;0,INDEX(Parameter!$H$5:$H$7,W1767)/INDEX(Parameter!$E$5:$E$7,W1767),IF(AND(BZ1767=0,N(IFERROR(VLOOKUP(BX1767,'Gebinde-Kategorie'!$A$5:$N$45,14,0),0))&gt;0),VLOOKUP(BX1767,'Gebinde-Kategorie'!$A$5:$N$45,14,0)*10+Parameter!$M$23,Parameter!$M$24))</f>
        <v>235</v>
      </c>
      <c r="CC1767" s="48" t="str">
        <f aca="false">IF(AND(Parameter!$B$19="Ja",E1767&lt;&gt;"",ISNUMBER(MATCH(E1767,Parameter!$I$35:$I$52,0))),VLOOKUP(E1767,Parameter!$I$35:$J$52,2,0),IFERROR(VLOOKUP(D1767,Parameter!$A$35:$C$64,2,0),"Nein"))</f>
        <v>2+3</v>
      </c>
      <c r="CD1767" s="52" t="n">
        <f aca="false">IF(BZ1767=0,0,IF(N(S1767)&gt;0,S1767,IFERROR(VLOOKUP(D1767,Parameter!$A$35:$C$64,3,0)+0,0)))</f>
        <v>0.15</v>
      </c>
      <c r="CE1767" s="48" t="str">
        <f aca="false">IF(AA1767&lt;&gt;"",AA1767,Z1767)</f>
        <v/>
      </c>
      <c r="CF1767" s="48" t="str">
        <f aca="false">IF(OR(CE1767=1,CE1767=2,CE1767=3),IF(Parameter!$E$27="Ja","LIFT",IF(CE1767=1,"L1","L23")),IF(CE1767="Aussen","Aussen","-"))</f>
        <v>-</v>
      </c>
      <c r="CG1767" s="59" t="n">
        <f aca="false">IF(N(AB1767)&gt;0,AB1767,0)</f>
        <v>0</v>
      </c>
      <c r="CH1767" s="53" t="n">
        <f aca="false">IF(ISNUMBER(AE1767),1,0)</f>
        <v>0</v>
      </c>
      <c r="CI1767" s="50" t="n">
        <f aca="false">N(AE1767)</f>
        <v>0</v>
      </c>
      <c r="CJ1767" s="50" t="n">
        <f aca="false">N(M1767)+N(N1767)</f>
        <v>0</v>
      </c>
      <c r="CK1767" s="50" t="n">
        <f aca="false">N(M1767)</f>
        <v>0</v>
      </c>
      <c r="CL1767" s="50" t="n">
        <f aca="false">N(N1767)</f>
        <v>0</v>
      </c>
      <c r="CM1767" s="50" t="n">
        <f aca="false">ROUNDUP(H1767/BY1767,0)</f>
        <v>0</v>
      </c>
      <c r="CN1767" s="50" t="n">
        <f aca="false">ROUNDUP(CI1767/BY1767,0)</f>
        <v>0</v>
      </c>
      <c r="CO1767" s="53" t="n">
        <f aca="false">IF(BZ1767=1,0,IFERROR(VLOOKUP(BX1767,'Gebinde-Kategorie'!$A$5:$N$45,5,0)+0,0))</f>
        <v>0</v>
      </c>
      <c r="CP1767" s="53" t="n">
        <f aca="false">IFERROR(IF(OR(CE1767=1,CE1767=2,CE1767=3),N(INDEX(Parameter!$I$5:$I$7,CE1767)),0),0)</f>
        <v>0</v>
      </c>
      <c r="CQ1767" s="52" t="n">
        <f aca="false">IF(AND(Parameter!$B$21="Ja",ISNUMBER(W1767),N(X1767)&gt;0),IFERROR(N(INDEX(Parameter!$L$5:$L$7,W1767))*INDEX(Parameter!$E$5:$E$7,W1767)*X1767/SUMIFS($X$7:$X$1843,$W$7:$W$1843,W1767),0),0)</f>
        <v>0</v>
      </c>
    </row>
    <row r="1768" customFormat="false" ht="15" hidden="false" customHeight="false" outlineLevel="0" collapsed="false">
      <c r="A1768" s="48" t="str">
        <f aca="false">IF('Neue Artikel'!$A$29="","",'Neue Artikel'!$A$29&amp;"")</f>
        <v/>
      </c>
      <c r="B1768" s="48" t="str">
        <f aca="false">'Neue Artikel'!$B$29&amp;""</f>
        <v/>
      </c>
      <c r="C1768" s="48"/>
      <c r="D1768" s="48" t="s">
        <v>3024</v>
      </c>
      <c r="E1768" s="48"/>
      <c r="F1768" s="48"/>
      <c r="G1768" s="49" t="n">
        <f aca="false">N('Neue Artikel'!$G$29)</f>
        <v>0</v>
      </c>
      <c r="H1768" s="50" t="n">
        <f aca="false">MAX(0,IF(AND(Parameter!$B$21="Ja",ISNUMBER(Y1768)),Y1768,IF(Parameter!$B$20="Jahresanfang 2025 + Export",BR1768+BQ1768,BQ1768)))</f>
        <v>0</v>
      </c>
      <c r="I1768" s="50" t="n">
        <f aca="false">H1768*G1768</f>
        <v>0</v>
      </c>
      <c r="J1768" s="50" t="n">
        <f aca="false">BT1768*Parameter!$B$18</f>
        <v>0</v>
      </c>
      <c r="K1768" s="51"/>
      <c r="L1768" s="52"/>
      <c r="M1768" s="50" t="n">
        <f aca="false">N('Neue Artikel'!$E$29)</f>
        <v>0</v>
      </c>
      <c r="N1768" s="50" t="n">
        <f aca="false">N('Neue Artikel'!$F$29)</f>
        <v>0</v>
      </c>
      <c r="O1768" s="53"/>
      <c r="P1768" s="48" t="str">
        <f aca="false">IF('Neue Artikel'!$H$29="","LOSE",UPPER(TRIM('Neue Artikel'!$H$29)))</f>
        <v>LOSE</v>
      </c>
      <c r="Q1768" s="50" t="n">
        <f aca="false">N('Neue Artikel'!$I$29)</f>
        <v>0</v>
      </c>
      <c r="R1768" s="53" t="n">
        <f aca="false">IF(BZ1768=1,0,IFERROR(VLOOKUP(BX1768,'Gebinde-Kategorie'!$A$5:$N$45,13,0)+0,0))</f>
        <v>0</v>
      </c>
      <c r="S1768" s="54"/>
      <c r="T1768" s="55"/>
      <c r="U1768" s="55"/>
      <c r="V1768" s="55"/>
      <c r="W1768" s="48"/>
      <c r="X1768" s="50"/>
      <c r="Y1768" s="50"/>
      <c r="Z1768" s="48" t="str">
        <f aca="false">IF(A1768="","",IF(AND(Parameter!$B$21="Ja",ISNUMBER(W1768)),W1768,IF(CC1768="2+3",IF(ISNUMBER(SEARCH("grosser Artikel",BU1768)),2,IFERROR(VLOOKUP(BX1768,Parameter!$F$35:$G$64,2,0),2)),IF(OR(CC1768="Nein",CC1768=""),"-",CC1768))))</f>
        <v/>
      </c>
      <c r="AA1768" s="48" t="str">
        <f aca="false">IF('Neue Artikel'!$J$29="","",'Neue Artikel'!$J$29)</f>
        <v/>
      </c>
      <c r="AB1768" s="56"/>
      <c r="AC1768" s="50" t="n">
        <f aca="false">AV1768</f>
        <v>0</v>
      </c>
      <c r="AD1768" s="50" t="n">
        <f aca="false">MAX(AV1768,H1768)</f>
        <v>0</v>
      </c>
      <c r="AE1768" s="57"/>
      <c r="AF1768" s="50" t="n">
        <f aca="false">IF(LEFT(Cockpit!$C$5,1)="A",H1768,IF(Parameter!$E$30="MAX-Bestand",IF(CH1768=1,CI1768,IF(LEFT(Cockpit!$C$5,1)="B",AL1768,MAX(AL1768,H1768))),ROUNDUP(AJ1768,0)))</f>
        <v>0</v>
      </c>
      <c r="AG1768" s="50" t="n">
        <f aca="false">IF(BZ1768=1,0,ROUNDUP(AF1768/BY1768,0))</f>
        <v>0</v>
      </c>
      <c r="AH1768" s="52" t="n">
        <f aca="false">IF(CQ1768&gt;0,CQ1768*MAX(1,AF1768/X1768),IF(BZ1768=1,IF(AF1768&lt;=0,0,CD1768*MAX(1,IF(H1768&gt;0,AF1768/H1768,1))),IF(R1768&gt;0,AG1768/R1768,0))/MAX(0.1,N(Parameter!$M$21)))</f>
        <v>0</v>
      </c>
      <c r="AI1768" s="50" t="n">
        <f aca="false">AH1768*CB1768</f>
        <v>0</v>
      </c>
      <c r="AJ1768" s="51" t="n">
        <f aca="false">IF(LEFT(Cockpit!$C$5,1)="A",H1768,IF(CH1768=1,(CK1768+CI1768)/2,IF(LEFT(Cockpit!$C$5,1)="B",(CK1768+AL1768)/2,MAX((CK1768+AL1768)/2,H1768))))</f>
        <v>0</v>
      </c>
      <c r="AK1768" s="50" t="n">
        <f aca="false">AJ1768*G1768</f>
        <v>0</v>
      </c>
      <c r="AL1768" s="50" t="n">
        <f aca="false">ROUNDUP(CK1768+MAX(CL1768,2*(J1768/IF(CG1768&gt;0,CG1768,MAX(0.1,N(Cockpit!$C$6)))-CK1768)),0)</f>
        <v>0</v>
      </c>
      <c r="AM1768" s="51" t="n">
        <f aca="false">IF(AI1768&gt;0,J1768/AI1768,-1)</f>
        <v>-1</v>
      </c>
      <c r="AN1768" s="51" t="str">
        <f aca="false">IF(AND(OR(CF1768="L1",CF1768="L23",CF1768="LIFT"),AI1768&gt;0),SUMIFS($AI$7:$AI$1843,$CF$7:$CF$1843,CF1768,$AM$7:$AM$1843,"&gt;"&amp;AM1768)+SUMIFS($AI$7:$AI$1843,$CF$7:$CF$1843,CF1768,$AM$7:$AM$1843,AM1768,$BW$7:$BW$1843,"&lt;="&amp;BW1768),"")</f>
        <v/>
      </c>
      <c r="AO1768" s="58" t="n">
        <f aca="false">IF(AN1768="",0,MAX(0,MIN(1,(IF(CF1768="L1",Parameter!$H$5,IF(CF1768="L23",Parameter!$H$6+Parameter!$H$7,Parameter!$H$5+Parameter!$H$6+Parameter!$H$7))-(AN1768-AI1768))/AI1768)))</f>
        <v>0</v>
      </c>
      <c r="AP1768" s="50" t="n">
        <f aca="false">IF(LEFT(Cockpit!$I$5,1)="A",H1768,IF(Parameter!$E$30="MAX-Bestand",IF(CH1768=1,CI1768,IF(LEFT(Cockpit!$I$5,1)="B",AV1768,MAX(AV1768,H1768))),ROUNDUP(AT1768,0)))</f>
        <v>0</v>
      </c>
      <c r="AQ1768" s="50" t="n">
        <f aca="false">IF(BZ1768=1,0,ROUNDUP(AP1768/BY1768,0))</f>
        <v>0</v>
      </c>
      <c r="AR1768" s="52" t="n">
        <f aca="false">IF(CQ1768&gt;0,CQ1768*MAX(1,AP1768/X1768),IF(BZ1768=1,IF(AP1768&lt;=0,0,CD1768*MAX(1,IF(H1768&gt;0,AP1768/H1768,1))),IF(R1768&gt;0,AQ1768/R1768,0))/MAX(0.1,N(Parameter!$M$21)))</f>
        <v>0</v>
      </c>
      <c r="AS1768" s="50" t="n">
        <f aca="false">AR1768*CB1768</f>
        <v>0</v>
      </c>
      <c r="AT1768" s="51" t="n">
        <f aca="false">IF(LEFT(Cockpit!$I$5,1)="A",H1768,IF(CH1768=1,(CK1768+CI1768)/2,IF(LEFT(Cockpit!$I$5,1)="B",(CK1768+AV1768)/2,MAX((CK1768+AV1768)/2,H1768))))</f>
        <v>0</v>
      </c>
      <c r="AU1768" s="50" t="n">
        <f aca="false">AT1768*G1768</f>
        <v>0</v>
      </c>
      <c r="AV1768" s="50" t="n">
        <f aca="false">ROUNDUP(CK1768+MAX(CL1768,2*(J1768/IF(CG1768&gt;0,CG1768,MAX(0.1,N(Cockpit!$I$6)))-CK1768)),0)</f>
        <v>0</v>
      </c>
      <c r="AW1768" s="51" t="n">
        <f aca="false">IF(AS1768&gt;0,J1768/AS1768,-1)</f>
        <v>-1</v>
      </c>
      <c r="AX1768" s="51" t="str">
        <f aca="false">IF(AND(OR(CF1768="L1",CF1768="L23",CF1768="LIFT"),AS1768&gt;0),SUMIFS($AS$7:$AS$1843,$CF$7:$CF$1843,CF1768,$AW$7:$AW$1843,"&gt;"&amp;AW1768)+SUMIFS($AS$7:$AS$1843,$CF$7:$CF$1843,CF1768,$AW$7:$AW$1843,AW1768,$BW$7:$BW$1843,"&lt;="&amp;BW1768),"")</f>
        <v/>
      </c>
      <c r="AY1768" s="58" t="n">
        <f aca="false">IF(AX1768="",0,MAX(0,MIN(1,(IF(CF1768="L1",Parameter!$H$5,IF(CF1768="L23",Parameter!$H$6+Parameter!$H$7,Parameter!$H$5+Parameter!$H$6+Parameter!$H$7))-(AX1768-AS1768))/AS1768)))</f>
        <v>0</v>
      </c>
      <c r="AZ1768" s="50" t="n">
        <f aca="false">IF(LEFT(Cockpit!$O$5,1)="A",H1768,IF(Parameter!$E$30="MAX-Bestand",IF(CH1768=1,CI1768,IF(LEFT(Cockpit!$O$5,1)="B",BF1768,MAX(BF1768,H1768))),ROUNDUP(BD1768,0)))</f>
        <v>0</v>
      </c>
      <c r="BA1768" s="50" t="n">
        <f aca="false">IF(BZ1768=1,0,ROUNDUP(AZ1768/BY1768,0))</f>
        <v>0</v>
      </c>
      <c r="BB1768" s="52" t="n">
        <f aca="false">IF(CQ1768&gt;0,CQ1768*MAX(1,AZ1768/X1768),IF(BZ1768=1,IF(AZ1768&lt;=0,0,CD1768*MAX(1,IF(H1768&gt;0,AZ1768/H1768,1))),IF(R1768&gt;0,BA1768/R1768,0))/MAX(0.1,N(Parameter!$M$21)))</f>
        <v>0</v>
      </c>
      <c r="BC1768" s="50" t="n">
        <f aca="false">BB1768*CB1768</f>
        <v>0</v>
      </c>
      <c r="BD1768" s="51" t="n">
        <f aca="false">IF(LEFT(Cockpit!$O$5,1)="A",H1768,IF(CH1768=1,(CK1768+CI1768)/2,IF(LEFT(Cockpit!$O$5,1)="B",(CK1768+BF1768)/2,MAX((CK1768+BF1768)/2,H1768))))</f>
        <v>0</v>
      </c>
      <c r="BE1768" s="50" t="n">
        <f aca="false">BD1768*G1768</f>
        <v>0</v>
      </c>
      <c r="BF1768" s="50" t="n">
        <f aca="false">ROUNDUP(CK1768+MAX(CL1768,2*(J1768/IF(CG1768&gt;0,CG1768,MAX(0.1,N(Cockpit!$O$6)))-CK1768)),0)</f>
        <v>0</v>
      </c>
      <c r="BG1768" s="51" t="n">
        <f aca="false">IF(BC1768&gt;0,J1768/BC1768,-1)</f>
        <v>-1</v>
      </c>
      <c r="BH1768" s="51" t="str">
        <f aca="false">IF(AND(OR(CF1768="L1",CF1768="L23",CF1768="LIFT"),BC1768&gt;0),SUMIFS($BC$7:$BC$1843,$CF$7:$CF$1843,CF1768,$BG$7:$BG$1843,"&gt;"&amp;BG1768)+SUMIFS($BC$7:$BC$1843,$CF$7:$CF$1843,CF1768,$BG$7:$BG$1843,BG1768,$BW$7:$BW$1843,"&lt;="&amp;BW1768),"")</f>
        <v/>
      </c>
      <c r="BI1768" s="58" t="n">
        <f aca="false">IF(BH1768="",0,MAX(0,MIN(1,(IF(CF1768="L1",Parameter!$H$5,IF(CF1768="L23",Parameter!$H$6+Parameter!$H$7,Parameter!$H$5+Parameter!$H$6+Parameter!$H$7))-(BH1768-BC1768))/BC1768)))</f>
        <v>0</v>
      </c>
      <c r="BJ1768" s="48" t="str">
        <f aca="false">IF(AI1768&lt;=0,"",IF(CF1768="Aussen","Aussenlager",IF(CF1768="-","Nicht im Lift",IF(AO1768&gt;=1,"Lift",IF(AO1768&lt;=0,"Aussenlager","teilweise")))))</f>
        <v/>
      </c>
      <c r="BK1768" s="48" t="str">
        <f aca="false">IF(AS1768&lt;=0,"",IF(CF1768="Aussen","Aussenlager",IF(CF1768="-","Nicht im Lift",IF(AY1768&gt;=1,"Lift",IF(AY1768&lt;=0,"Aussenlager","teilweise")))))</f>
        <v/>
      </c>
      <c r="BL1768" s="48" t="str">
        <f aca="false">IF(BC1768&lt;=0,"",IF(CF1768="Aussen","Aussenlager",IF(CF1768="-","Nicht im Lift",IF(BI1768&gt;=1,"Lift",IF(BI1768&lt;=0,"Aussenlager","teilweise")))))</f>
        <v/>
      </c>
      <c r="BM1768" s="48" t="str">
        <f aca="false">IF(A1768="","",IF(BV1768=1,"Neu; ","")&amp;IF(AND(BV1768=0,BQ1768&lt;0),"negativer Bestand (Export "&amp;BQ1768&amp;"); ","")&amp;IF(J1768&lt;=0,"Kein Verbrauch; ","")&amp;IF(CQ1768&gt;0,"Lift "&amp;W1768&amp;" lt. Liftbericht (Fach "&amp;X1768&amp;" Stk); ",IF(CA1768=1,"Gebinde geschätzt ("&amp;T1768&amp;"); ",IF(BZ1768=1,"Lose – Tablare geschätzt; ","")))&amp;IF(H1768&gt;AV1768,"Überbestand "&amp;ROUND(H1768-AV1768,0)&amp;" Stk / CHF "&amp;ROUND((H1768-AV1768)*G1768,0)&amp;"; ","")&amp;IF(AND(CH1768=1,CI1768&lt;CJ1768),"MAX &lt; MB+LG; ","")&amp;IF(AND(CP1768&gt;0,CO1768*10&gt;CP1768),"zu hoch für Tablar; ","")&amp;IF(AND(BV1768=0,OR(CH1768=1,AA1768&lt;&gt;"",U1768&lt;&gt;"",V1768&lt;&gt;"",AB1768&lt;&gt;"")),"manuell übersteuert; ","")&amp;IF(AND(BZ1768=0,R1768=0),"Gebinde unbekannt / Stellmass fehlt; ","")&amp;IF(AND(BZ1768=0,N(V1768)&lt;=0,N(Q1768)&lt;=0),"Menge pro Gebinde fehlt (Ist = 1 Gebinde); ","")&amp;BU1768)</f>
        <v/>
      </c>
      <c r="BN1768" s="48"/>
      <c r="BO1768" s="48"/>
      <c r="BP1768" s="55"/>
      <c r="BQ1768" s="50" t="n">
        <f aca="false">N('Neue Artikel'!$D$29)</f>
        <v>0</v>
      </c>
      <c r="BR1768" s="50" t="n">
        <v>0</v>
      </c>
      <c r="BS1768" s="49" t="n">
        <v>0</v>
      </c>
      <c r="BT1768" s="50" t="n">
        <f aca="false">N('Neue Artikel'!$C$29)/Parameter!$B$18</f>
        <v>0</v>
      </c>
      <c r="BU1768" s="48"/>
      <c r="BV1768" s="53" t="n">
        <v>1</v>
      </c>
      <c r="BW1768" s="53" t="n">
        <v>1768</v>
      </c>
      <c r="BX1768" s="48" t="str">
        <f aca="false">IF(U1768&lt;&gt;"",UPPER(TRIM(U1768)),IF(CA1768=1,UPPER(VLOOKUP(T1768,Parameter!$I$27:$K$29,2,0)),IF(P1768="","LOSE",P1768)))</f>
        <v>LOSE</v>
      </c>
      <c r="BY1768" s="50" t="n">
        <f aca="false">IF(BX1768="LOSE",1,IF(N(V1768)&gt;0,V1768,IF(CA1768=1,MAX(1,N(VLOOKUP(T1768,Parameter!$I$27:$K$29,3,0)),H1768,N(N1768)),IF(N(Q1768)&gt;0,Q1768,MAX(1,H1768)))))</f>
        <v>1</v>
      </c>
      <c r="BZ1768" s="53" t="n">
        <f aca="false">IF(BX1768="LOSE",1,0)</f>
        <v>1</v>
      </c>
      <c r="CA1768" s="53" t="n">
        <f aca="false">IF(AND(U1768="",OR(P1768="",P1768="LOSE"),T1768&lt;&gt;"",N(S1768)&lt;=0,ISNUMBER(MATCH(T1768,Parameter!$I$27:$I$29,0))),1,0)</f>
        <v>0</v>
      </c>
      <c r="CB1768" s="53" t="n">
        <f aca="false">IF(CQ1768&gt;0,INDEX(Parameter!$H$5:$H$7,W1768)/INDEX(Parameter!$E$5:$E$7,W1768),IF(AND(BZ1768=0,N(IFERROR(VLOOKUP(BX1768,'Gebinde-Kategorie'!$A$5:$N$45,14,0),0))&gt;0),VLOOKUP(BX1768,'Gebinde-Kategorie'!$A$5:$N$45,14,0)*10+Parameter!$M$23,Parameter!$M$24))</f>
        <v>235</v>
      </c>
      <c r="CC1768" s="48" t="str">
        <f aca="false">IF(AND(Parameter!$B$19="Ja",E1768&lt;&gt;"",ISNUMBER(MATCH(E1768,Parameter!$I$35:$I$52,0))),VLOOKUP(E1768,Parameter!$I$35:$J$52,2,0),IFERROR(VLOOKUP(D1768,Parameter!$A$35:$C$64,2,0),"Nein"))</f>
        <v>2+3</v>
      </c>
      <c r="CD1768" s="52" t="n">
        <f aca="false">IF(BZ1768=0,0,IF(N(S1768)&gt;0,S1768,IFERROR(VLOOKUP(D1768,Parameter!$A$35:$C$64,3,0)+0,0)))</f>
        <v>0.15</v>
      </c>
      <c r="CE1768" s="48" t="str">
        <f aca="false">IF(AA1768&lt;&gt;"",AA1768,Z1768)</f>
        <v/>
      </c>
      <c r="CF1768" s="48" t="str">
        <f aca="false">IF(OR(CE1768=1,CE1768=2,CE1768=3),IF(Parameter!$E$27="Ja","LIFT",IF(CE1768=1,"L1","L23")),IF(CE1768="Aussen","Aussen","-"))</f>
        <v>-</v>
      </c>
      <c r="CG1768" s="59" t="n">
        <f aca="false">IF(N(AB1768)&gt;0,AB1768,0)</f>
        <v>0</v>
      </c>
      <c r="CH1768" s="53" t="n">
        <f aca="false">IF(ISNUMBER(AE1768),1,0)</f>
        <v>0</v>
      </c>
      <c r="CI1768" s="50" t="n">
        <f aca="false">N(AE1768)</f>
        <v>0</v>
      </c>
      <c r="CJ1768" s="50" t="n">
        <f aca="false">N(M1768)+N(N1768)</f>
        <v>0</v>
      </c>
      <c r="CK1768" s="50" t="n">
        <f aca="false">N(M1768)</f>
        <v>0</v>
      </c>
      <c r="CL1768" s="50" t="n">
        <f aca="false">N(N1768)</f>
        <v>0</v>
      </c>
      <c r="CM1768" s="50" t="n">
        <f aca="false">ROUNDUP(H1768/BY1768,0)</f>
        <v>0</v>
      </c>
      <c r="CN1768" s="50" t="n">
        <f aca="false">ROUNDUP(CI1768/BY1768,0)</f>
        <v>0</v>
      </c>
      <c r="CO1768" s="53" t="n">
        <f aca="false">IF(BZ1768=1,0,IFERROR(VLOOKUP(BX1768,'Gebinde-Kategorie'!$A$5:$N$45,5,0)+0,0))</f>
        <v>0</v>
      </c>
      <c r="CP1768" s="53" t="n">
        <f aca="false">IFERROR(IF(OR(CE1768=1,CE1768=2,CE1768=3),N(INDEX(Parameter!$I$5:$I$7,CE1768)),0),0)</f>
        <v>0</v>
      </c>
      <c r="CQ1768" s="52" t="n">
        <f aca="false">IF(AND(Parameter!$B$21="Ja",ISNUMBER(W1768),N(X1768)&gt;0),IFERROR(N(INDEX(Parameter!$L$5:$L$7,W1768))*INDEX(Parameter!$E$5:$E$7,W1768)*X1768/SUMIFS($X$7:$X$1843,$W$7:$W$1843,W1768),0),0)</f>
        <v>0</v>
      </c>
    </row>
    <row r="1769" customFormat="false" ht="15" hidden="false" customHeight="false" outlineLevel="0" collapsed="false">
      <c r="A1769" s="48" t="str">
        <f aca="false">IF('Neue Artikel'!$A$30="","",'Neue Artikel'!$A$30&amp;"")</f>
        <v/>
      </c>
      <c r="B1769" s="48" t="str">
        <f aca="false">'Neue Artikel'!$B$30&amp;""</f>
        <v/>
      </c>
      <c r="C1769" s="48"/>
      <c r="D1769" s="48" t="s">
        <v>3024</v>
      </c>
      <c r="E1769" s="48"/>
      <c r="F1769" s="48"/>
      <c r="G1769" s="49" t="n">
        <f aca="false">N('Neue Artikel'!$G$30)</f>
        <v>0</v>
      </c>
      <c r="H1769" s="50" t="n">
        <f aca="false">MAX(0,IF(AND(Parameter!$B$21="Ja",ISNUMBER(Y1769)),Y1769,IF(Parameter!$B$20="Jahresanfang 2025 + Export",BR1769+BQ1769,BQ1769)))</f>
        <v>0</v>
      </c>
      <c r="I1769" s="50" t="n">
        <f aca="false">H1769*G1769</f>
        <v>0</v>
      </c>
      <c r="J1769" s="50" t="n">
        <f aca="false">BT1769*Parameter!$B$18</f>
        <v>0</v>
      </c>
      <c r="K1769" s="51"/>
      <c r="L1769" s="52"/>
      <c r="M1769" s="50" t="n">
        <f aca="false">N('Neue Artikel'!$E$30)</f>
        <v>0</v>
      </c>
      <c r="N1769" s="50" t="n">
        <f aca="false">N('Neue Artikel'!$F$30)</f>
        <v>0</v>
      </c>
      <c r="O1769" s="53"/>
      <c r="P1769" s="48" t="str">
        <f aca="false">IF('Neue Artikel'!$H$30="","LOSE",UPPER(TRIM('Neue Artikel'!$H$30)))</f>
        <v>LOSE</v>
      </c>
      <c r="Q1769" s="50" t="n">
        <f aca="false">N('Neue Artikel'!$I$30)</f>
        <v>0</v>
      </c>
      <c r="R1769" s="53" t="n">
        <f aca="false">IF(BZ1769=1,0,IFERROR(VLOOKUP(BX1769,'Gebinde-Kategorie'!$A$5:$N$45,13,0)+0,0))</f>
        <v>0</v>
      </c>
      <c r="S1769" s="54"/>
      <c r="T1769" s="55"/>
      <c r="U1769" s="55"/>
      <c r="V1769" s="55"/>
      <c r="W1769" s="48"/>
      <c r="X1769" s="50"/>
      <c r="Y1769" s="50"/>
      <c r="Z1769" s="48" t="str">
        <f aca="false">IF(A1769="","",IF(AND(Parameter!$B$21="Ja",ISNUMBER(W1769)),W1769,IF(CC1769="2+3",IF(ISNUMBER(SEARCH("grosser Artikel",BU1769)),2,IFERROR(VLOOKUP(BX1769,Parameter!$F$35:$G$64,2,0),2)),IF(OR(CC1769="Nein",CC1769=""),"-",CC1769))))</f>
        <v/>
      </c>
      <c r="AA1769" s="48" t="str">
        <f aca="false">IF('Neue Artikel'!$J$30="","",'Neue Artikel'!$J$30)</f>
        <v/>
      </c>
      <c r="AB1769" s="56"/>
      <c r="AC1769" s="50" t="n">
        <f aca="false">AV1769</f>
        <v>0</v>
      </c>
      <c r="AD1769" s="50" t="n">
        <f aca="false">MAX(AV1769,H1769)</f>
        <v>0</v>
      </c>
      <c r="AE1769" s="57"/>
      <c r="AF1769" s="50" t="n">
        <f aca="false">IF(LEFT(Cockpit!$C$5,1)="A",H1769,IF(Parameter!$E$30="MAX-Bestand",IF(CH1769=1,CI1769,IF(LEFT(Cockpit!$C$5,1)="B",AL1769,MAX(AL1769,H1769))),ROUNDUP(AJ1769,0)))</f>
        <v>0</v>
      </c>
      <c r="AG1769" s="50" t="n">
        <f aca="false">IF(BZ1769=1,0,ROUNDUP(AF1769/BY1769,0))</f>
        <v>0</v>
      </c>
      <c r="AH1769" s="52" t="n">
        <f aca="false">IF(CQ1769&gt;0,CQ1769*MAX(1,AF1769/X1769),IF(BZ1769=1,IF(AF1769&lt;=0,0,CD1769*MAX(1,IF(H1769&gt;0,AF1769/H1769,1))),IF(R1769&gt;0,AG1769/R1769,0))/MAX(0.1,N(Parameter!$M$21)))</f>
        <v>0</v>
      </c>
      <c r="AI1769" s="50" t="n">
        <f aca="false">AH1769*CB1769</f>
        <v>0</v>
      </c>
      <c r="AJ1769" s="51" t="n">
        <f aca="false">IF(LEFT(Cockpit!$C$5,1)="A",H1769,IF(CH1769=1,(CK1769+CI1769)/2,IF(LEFT(Cockpit!$C$5,1)="B",(CK1769+AL1769)/2,MAX((CK1769+AL1769)/2,H1769))))</f>
        <v>0</v>
      </c>
      <c r="AK1769" s="50" t="n">
        <f aca="false">AJ1769*G1769</f>
        <v>0</v>
      </c>
      <c r="AL1769" s="50" t="n">
        <f aca="false">ROUNDUP(CK1769+MAX(CL1769,2*(J1769/IF(CG1769&gt;0,CG1769,MAX(0.1,N(Cockpit!$C$6)))-CK1769)),0)</f>
        <v>0</v>
      </c>
      <c r="AM1769" s="51" t="n">
        <f aca="false">IF(AI1769&gt;0,J1769/AI1769,-1)</f>
        <v>-1</v>
      </c>
      <c r="AN1769" s="51" t="str">
        <f aca="false">IF(AND(OR(CF1769="L1",CF1769="L23",CF1769="LIFT"),AI1769&gt;0),SUMIFS($AI$7:$AI$1843,$CF$7:$CF$1843,CF1769,$AM$7:$AM$1843,"&gt;"&amp;AM1769)+SUMIFS($AI$7:$AI$1843,$CF$7:$CF$1843,CF1769,$AM$7:$AM$1843,AM1769,$BW$7:$BW$1843,"&lt;="&amp;BW1769),"")</f>
        <v/>
      </c>
      <c r="AO1769" s="58" t="n">
        <f aca="false">IF(AN1769="",0,MAX(0,MIN(1,(IF(CF1769="L1",Parameter!$H$5,IF(CF1769="L23",Parameter!$H$6+Parameter!$H$7,Parameter!$H$5+Parameter!$H$6+Parameter!$H$7))-(AN1769-AI1769))/AI1769)))</f>
        <v>0</v>
      </c>
      <c r="AP1769" s="50" t="n">
        <f aca="false">IF(LEFT(Cockpit!$I$5,1)="A",H1769,IF(Parameter!$E$30="MAX-Bestand",IF(CH1769=1,CI1769,IF(LEFT(Cockpit!$I$5,1)="B",AV1769,MAX(AV1769,H1769))),ROUNDUP(AT1769,0)))</f>
        <v>0</v>
      </c>
      <c r="AQ1769" s="50" t="n">
        <f aca="false">IF(BZ1769=1,0,ROUNDUP(AP1769/BY1769,0))</f>
        <v>0</v>
      </c>
      <c r="AR1769" s="52" t="n">
        <f aca="false">IF(CQ1769&gt;0,CQ1769*MAX(1,AP1769/X1769),IF(BZ1769=1,IF(AP1769&lt;=0,0,CD1769*MAX(1,IF(H1769&gt;0,AP1769/H1769,1))),IF(R1769&gt;0,AQ1769/R1769,0))/MAX(0.1,N(Parameter!$M$21)))</f>
        <v>0</v>
      </c>
      <c r="AS1769" s="50" t="n">
        <f aca="false">AR1769*CB1769</f>
        <v>0</v>
      </c>
      <c r="AT1769" s="51" t="n">
        <f aca="false">IF(LEFT(Cockpit!$I$5,1)="A",H1769,IF(CH1769=1,(CK1769+CI1769)/2,IF(LEFT(Cockpit!$I$5,1)="B",(CK1769+AV1769)/2,MAX((CK1769+AV1769)/2,H1769))))</f>
        <v>0</v>
      </c>
      <c r="AU1769" s="50" t="n">
        <f aca="false">AT1769*G1769</f>
        <v>0</v>
      </c>
      <c r="AV1769" s="50" t="n">
        <f aca="false">ROUNDUP(CK1769+MAX(CL1769,2*(J1769/IF(CG1769&gt;0,CG1769,MAX(0.1,N(Cockpit!$I$6)))-CK1769)),0)</f>
        <v>0</v>
      </c>
      <c r="AW1769" s="51" t="n">
        <f aca="false">IF(AS1769&gt;0,J1769/AS1769,-1)</f>
        <v>-1</v>
      </c>
      <c r="AX1769" s="51" t="str">
        <f aca="false">IF(AND(OR(CF1769="L1",CF1769="L23",CF1769="LIFT"),AS1769&gt;0),SUMIFS($AS$7:$AS$1843,$CF$7:$CF$1843,CF1769,$AW$7:$AW$1843,"&gt;"&amp;AW1769)+SUMIFS($AS$7:$AS$1843,$CF$7:$CF$1843,CF1769,$AW$7:$AW$1843,AW1769,$BW$7:$BW$1843,"&lt;="&amp;BW1769),"")</f>
        <v/>
      </c>
      <c r="AY1769" s="58" t="n">
        <f aca="false">IF(AX1769="",0,MAX(0,MIN(1,(IF(CF1769="L1",Parameter!$H$5,IF(CF1769="L23",Parameter!$H$6+Parameter!$H$7,Parameter!$H$5+Parameter!$H$6+Parameter!$H$7))-(AX1769-AS1769))/AS1769)))</f>
        <v>0</v>
      </c>
      <c r="AZ1769" s="50" t="n">
        <f aca="false">IF(LEFT(Cockpit!$O$5,1)="A",H1769,IF(Parameter!$E$30="MAX-Bestand",IF(CH1769=1,CI1769,IF(LEFT(Cockpit!$O$5,1)="B",BF1769,MAX(BF1769,H1769))),ROUNDUP(BD1769,0)))</f>
        <v>0</v>
      </c>
      <c r="BA1769" s="50" t="n">
        <f aca="false">IF(BZ1769=1,0,ROUNDUP(AZ1769/BY1769,0))</f>
        <v>0</v>
      </c>
      <c r="BB1769" s="52" t="n">
        <f aca="false">IF(CQ1769&gt;0,CQ1769*MAX(1,AZ1769/X1769),IF(BZ1769=1,IF(AZ1769&lt;=0,0,CD1769*MAX(1,IF(H1769&gt;0,AZ1769/H1769,1))),IF(R1769&gt;0,BA1769/R1769,0))/MAX(0.1,N(Parameter!$M$21)))</f>
        <v>0</v>
      </c>
      <c r="BC1769" s="50" t="n">
        <f aca="false">BB1769*CB1769</f>
        <v>0</v>
      </c>
      <c r="BD1769" s="51" t="n">
        <f aca="false">IF(LEFT(Cockpit!$O$5,1)="A",H1769,IF(CH1769=1,(CK1769+CI1769)/2,IF(LEFT(Cockpit!$O$5,1)="B",(CK1769+BF1769)/2,MAX((CK1769+BF1769)/2,H1769))))</f>
        <v>0</v>
      </c>
      <c r="BE1769" s="50" t="n">
        <f aca="false">BD1769*G1769</f>
        <v>0</v>
      </c>
      <c r="BF1769" s="50" t="n">
        <f aca="false">ROUNDUP(CK1769+MAX(CL1769,2*(J1769/IF(CG1769&gt;0,CG1769,MAX(0.1,N(Cockpit!$O$6)))-CK1769)),0)</f>
        <v>0</v>
      </c>
      <c r="BG1769" s="51" t="n">
        <f aca="false">IF(BC1769&gt;0,J1769/BC1769,-1)</f>
        <v>-1</v>
      </c>
      <c r="BH1769" s="51" t="str">
        <f aca="false">IF(AND(OR(CF1769="L1",CF1769="L23",CF1769="LIFT"),BC1769&gt;0),SUMIFS($BC$7:$BC$1843,$CF$7:$CF$1843,CF1769,$BG$7:$BG$1843,"&gt;"&amp;BG1769)+SUMIFS($BC$7:$BC$1843,$CF$7:$CF$1843,CF1769,$BG$7:$BG$1843,BG1769,$BW$7:$BW$1843,"&lt;="&amp;BW1769),"")</f>
        <v/>
      </c>
      <c r="BI1769" s="58" t="n">
        <f aca="false">IF(BH1769="",0,MAX(0,MIN(1,(IF(CF1769="L1",Parameter!$H$5,IF(CF1769="L23",Parameter!$H$6+Parameter!$H$7,Parameter!$H$5+Parameter!$H$6+Parameter!$H$7))-(BH1769-BC1769))/BC1769)))</f>
        <v>0</v>
      </c>
      <c r="BJ1769" s="48" t="str">
        <f aca="false">IF(AI1769&lt;=0,"",IF(CF1769="Aussen","Aussenlager",IF(CF1769="-","Nicht im Lift",IF(AO1769&gt;=1,"Lift",IF(AO1769&lt;=0,"Aussenlager","teilweise")))))</f>
        <v/>
      </c>
      <c r="BK1769" s="48" t="str">
        <f aca="false">IF(AS1769&lt;=0,"",IF(CF1769="Aussen","Aussenlager",IF(CF1769="-","Nicht im Lift",IF(AY1769&gt;=1,"Lift",IF(AY1769&lt;=0,"Aussenlager","teilweise")))))</f>
        <v/>
      </c>
      <c r="BL1769" s="48" t="str">
        <f aca="false">IF(BC1769&lt;=0,"",IF(CF1769="Aussen","Aussenlager",IF(CF1769="-","Nicht im Lift",IF(BI1769&gt;=1,"Lift",IF(BI1769&lt;=0,"Aussenlager","teilweise")))))</f>
        <v/>
      </c>
      <c r="BM1769" s="48" t="str">
        <f aca="false">IF(A1769="","",IF(BV1769=1,"Neu; ","")&amp;IF(AND(BV1769=0,BQ1769&lt;0),"negativer Bestand (Export "&amp;BQ1769&amp;"); ","")&amp;IF(J1769&lt;=0,"Kein Verbrauch; ","")&amp;IF(CQ1769&gt;0,"Lift "&amp;W1769&amp;" lt. Liftbericht (Fach "&amp;X1769&amp;" Stk); ",IF(CA1769=1,"Gebinde geschätzt ("&amp;T1769&amp;"); ",IF(BZ1769=1,"Lose – Tablare geschätzt; ","")))&amp;IF(H1769&gt;AV1769,"Überbestand "&amp;ROUND(H1769-AV1769,0)&amp;" Stk / CHF "&amp;ROUND((H1769-AV1769)*G1769,0)&amp;"; ","")&amp;IF(AND(CH1769=1,CI1769&lt;CJ1769),"MAX &lt; MB+LG; ","")&amp;IF(AND(CP1769&gt;0,CO1769*10&gt;CP1769),"zu hoch für Tablar; ","")&amp;IF(AND(BV1769=0,OR(CH1769=1,AA1769&lt;&gt;"",U1769&lt;&gt;"",V1769&lt;&gt;"",AB1769&lt;&gt;"")),"manuell übersteuert; ","")&amp;IF(AND(BZ1769=0,R1769=0),"Gebinde unbekannt / Stellmass fehlt; ","")&amp;IF(AND(BZ1769=0,N(V1769)&lt;=0,N(Q1769)&lt;=0),"Menge pro Gebinde fehlt (Ist = 1 Gebinde); ","")&amp;BU1769)</f>
        <v/>
      </c>
      <c r="BN1769" s="48"/>
      <c r="BO1769" s="48"/>
      <c r="BP1769" s="55"/>
      <c r="BQ1769" s="50" t="n">
        <f aca="false">N('Neue Artikel'!$D$30)</f>
        <v>0</v>
      </c>
      <c r="BR1769" s="50" t="n">
        <v>0</v>
      </c>
      <c r="BS1769" s="49" t="n">
        <v>0</v>
      </c>
      <c r="BT1769" s="50" t="n">
        <f aca="false">N('Neue Artikel'!$C$30)/Parameter!$B$18</f>
        <v>0</v>
      </c>
      <c r="BU1769" s="48"/>
      <c r="BV1769" s="53" t="n">
        <v>1</v>
      </c>
      <c r="BW1769" s="53" t="n">
        <v>1769</v>
      </c>
      <c r="BX1769" s="48" t="str">
        <f aca="false">IF(U1769&lt;&gt;"",UPPER(TRIM(U1769)),IF(CA1769=1,UPPER(VLOOKUP(T1769,Parameter!$I$27:$K$29,2,0)),IF(P1769="","LOSE",P1769)))</f>
        <v>LOSE</v>
      </c>
      <c r="BY1769" s="50" t="n">
        <f aca="false">IF(BX1769="LOSE",1,IF(N(V1769)&gt;0,V1769,IF(CA1769=1,MAX(1,N(VLOOKUP(T1769,Parameter!$I$27:$K$29,3,0)),H1769,N(N1769)),IF(N(Q1769)&gt;0,Q1769,MAX(1,H1769)))))</f>
        <v>1</v>
      </c>
      <c r="BZ1769" s="53" t="n">
        <f aca="false">IF(BX1769="LOSE",1,0)</f>
        <v>1</v>
      </c>
      <c r="CA1769" s="53" t="n">
        <f aca="false">IF(AND(U1769="",OR(P1769="",P1769="LOSE"),T1769&lt;&gt;"",N(S1769)&lt;=0,ISNUMBER(MATCH(T1769,Parameter!$I$27:$I$29,0))),1,0)</f>
        <v>0</v>
      </c>
      <c r="CB1769" s="53" t="n">
        <f aca="false">IF(CQ1769&gt;0,INDEX(Parameter!$H$5:$H$7,W1769)/INDEX(Parameter!$E$5:$E$7,W1769),IF(AND(BZ1769=0,N(IFERROR(VLOOKUP(BX1769,'Gebinde-Kategorie'!$A$5:$N$45,14,0),0))&gt;0),VLOOKUP(BX1769,'Gebinde-Kategorie'!$A$5:$N$45,14,0)*10+Parameter!$M$23,Parameter!$M$24))</f>
        <v>235</v>
      </c>
      <c r="CC1769" s="48" t="str">
        <f aca="false">IF(AND(Parameter!$B$19="Ja",E1769&lt;&gt;"",ISNUMBER(MATCH(E1769,Parameter!$I$35:$I$52,0))),VLOOKUP(E1769,Parameter!$I$35:$J$52,2,0),IFERROR(VLOOKUP(D1769,Parameter!$A$35:$C$64,2,0),"Nein"))</f>
        <v>2+3</v>
      </c>
      <c r="CD1769" s="52" t="n">
        <f aca="false">IF(BZ1769=0,0,IF(N(S1769)&gt;0,S1769,IFERROR(VLOOKUP(D1769,Parameter!$A$35:$C$64,3,0)+0,0)))</f>
        <v>0.15</v>
      </c>
      <c r="CE1769" s="48" t="str">
        <f aca="false">IF(AA1769&lt;&gt;"",AA1769,Z1769)</f>
        <v/>
      </c>
      <c r="CF1769" s="48" t="str">
        <f aca="false">IF(OR(CE1769=1,CE1769=2,CE1769=3),IF(Parameter!$E$27="Ja","LIFT",IF(CE1769=1,"L1","L23")),IF(CE1769="Aussen","Aussen","-"))</f>
        <v>-</v>
      </c>
      <c r="CG1769" s="59" t="n">
        <f aca="false">IF(N(AB1769)&gt;0,AB1769,0)</f>
        <v>0</v>
      </c>
      <c r="CH1769" s="53" t="n">
        <f aca="false">IF(ISNUMBER(AE1769),1,0)</f>
        <v>0</v>
      </c>
      <c r="CI1769" s="50" t="n">
        <f aca="false">N(AE1769)</f>
        <v>0</v>
      </c>
      <c r="CJ1769" s="50" t="n">
        <f aca="false">N(M1769)+N(N1769)</f>
        <v>0</v>
      </c>
      <c r="CK1769" s="50" t="n">
        <f aca="false">N(M1769)</f>
        <v>0</v>
      </c>
      <c r="CL1769" s="50" t="n">
        <f aca="false">N(N1769)</f>
        <v>0</v>
      </c>
      <c r="CM1769" s="50" t="n">
        <f aca="false">ROUNDUP(H1769/BY1769,0)</f>
        <v>0</v>
      </c>
      <c r="CN1769" s="50" t="n">
        <f aca="false">ROUNDUP(CI1769/BY1769,0)</f>
        <v>0</v>
      </c>
      <c r="CO1769" s="53" t="n">
        <f aca="false">IF(BZ1769=1,0,IFERROR(VLOOKUP(BX1769,'Gebinde-Kategorie'!$A$5:$N$45,5,0)+0,0))</f>
        <v>0</v>
      </c>
      <c r="CP1769" s="53" t="n">
        <f aca="false">IFERROR(IF(OR(CE1769=1,CE1769=2,CE1769=3),N(INDEX(Parameter!$I$5:$I$7,CE1769)),0),0)</f>
        <v>0</v>
      </c>
      <c r="CQ1769" s="52" t="n">
        <f aca="false">IF(AND(Parameter!$B$21="Ja",ISNUMBER(W1769),N(X1769)&gt;0),IFERROR(N(INDEX(Parameter!$L$5:$L$7,W1769))*INDEX(Parameter!$E$5:$E$7,W1769)*X1769/SUMIFS($X$7:$X$1843,$W$7:$W$1843,W1769),0),0)</f>
        <v>0</v>
      </c>
    </row>
    <row r="1770" customFormat="false" ht="15" hidden="false" customHeight="false" outlineLevel="0" collapsed="false">
      <c r="A1770" s="48" t="str">
        <f aca="false">IF('Neue Artikel'!$A$31="","",'Neue Artikel'!$A$31&amp;"")</f>
        <v/>
      </c>
      <c r="B1770" s="48" t="str">
        <f aca="false">'Neue Artikel'!$B$31&amp;""</f>
        <v/>
      </c>
      <c r="C1770" s="48"/>
      <c r="D1770" s="48" t="s">
        <v>3024</v>
      </c>
      <c r="E1770" s="48"/>
      <c r="F1770" s="48"/>
      <c r="G1770" s="49" t="n">
        <f aca="false">N('Neue Artikel'!$G$31)</f>
        <v>0</v>
      </c>
      <c r="H1770" s="50" t="n">
        <f aca="false">MAX(0,IF(AND(Parameter!$B$21="Ja",ISNUMBER(Y1770)),Y1770,IF(Parameter!$B$20="Jahresanfang 2025 + Export",BR1770+BQ1770,BQ1770)))</f>
        <v>0</v>
      </c>
      <c r="I1770" s="50" t="n">
        <f aca="false">H1770*G1770</f>
        <v>0</v>
      </c>
      <c r="J1770" s="50" t="n">
        <f aca="false">BT1770*Parameter!$B$18</f>
        <v>0</v>
      </c>
      <c r="K1770" s="51"/>
      <c r="L1770" s="52"/>
      <c r="M1770" s="50" t="n">
        <f aca="false">N('Neue Artikel'!$E$31)</f>
        <v>0</v>
      </c>
      <c r="N1770" s="50" t="n">
        <f aca="false">N('Neue Artikel'!$F$31)</f>
        <v>0</v>
      </c>
      <c r="O1770" s="53"/>
      <c r="P1770" s="48" t="str">
        <f aca="false">IF('Neue Artikel'!$H$31="","LOSE",UPPER(TRIM('Neue Artikel'!$H$31)))</f>
        <v>LOSE</v>
      </c>
      <c r="Q1770" s="50" t="n">
        <f aca="false">N('Neue Artikel'!$I$31)</f>
        <v>0</v>
      </c>
      <c r="R1770" s="53" t="n">
        <f aca="false">IF(BZ1770=1,0,IFERROR(VLOOKUP(BX1770,'Gebinde-Kategorie'!$A$5:$N$45,13,0)+0,0))</f>
        <v>0</v>
      </c>
      <c r="S1770" s="54"/>
      <c r="T1770" s="55"/>
      <c r="U1770" s="55"/>
      <c r="V1770" s="55"/>
      <c r="W1770" s="48"/>
      <c r="X1770" s="50"/>
      <c r="Y1770" s="50"/>
      <c r="Z1770" s="48" t="str">
        <f aca="false">IF(A1770="","",IF(AND(Parameter!$B$21="Ja",ISNUMBER(W1770)),W1770,IF(CC1770="2+3",IF(ISNUMBER(SEARCH("grosser Artikel",BU1770)),2,IFERROR(VLOOKUP(BX1770,Parameter!$F$35:$G$64,2,0),2)),IF(OR(CC1770="Nein",CC1770=""),"-",CC1770))))</f>
        <v/>
      </c>
      <c r="AA1770" s="48" t="str">
        <f aca="false">IF('Neue Artikel'!$J$31="","",'Neue Artikel'!$J$31)</f>
        <v/>
      </c>
      <c r="AB1770" s="56"/>
      <c r="AC1770" s="50" t="n">
        <f aca="false">AV1770</f>
        <v>0</v>
      </c>
      <c r="AD1770" s="50" t="n">
        <f aca="false">MAX(AV1770,H1770)</f>
        <v>0</v>
      </c>
      <c r="AE1770" s="57"/>
      <c r="AF1770" s="50" t="n">
        <f aca="false">IF(LEFT(Cockpit!$C$5,1)="A",H1770,IF(Parameter!$E$30="MAX-Bestand",IF(CH1770=1,CI1770,IF(LEFT(Cockpit!$C$5,1)="B",AL1770,MAX(AL1770,H1770))),ROUNDUP(AJ1770,0)))</f>
        <v>0</v>
      </c>
      <c r="AG1770" s="50" t="n">
        <f aca="false">IF(BZ1770=1,0,ROUNDUP(AF1770/BY1770,0))</f>
        <v>0</v>
      </c>
      <c r="AH1770" s="52" t="n">
        <f aca="false">IF(CQ1770&gt;0,CQ1770*MAX(1,AF1770/X1770),IF(BZ1770=1,IF(AF1770&lt;=0,0,CD1770*MAX(1,IF(H1770&gt;0,AF1770/H1770,1))),IF(R1770&gt;0,AG1770/R1770,0))/MAX(0.1,N(Parameter!$M$21)))</f>
        <v>0</v>
      </c>
      <c r="AI1770" s="50" t="n">
        <f aca="false">AH1770*CB1770</f>
        <v>0</v>
      </c>
      <c r="AJ1770" s="51" t="n">
        <f aca="false">IF(LEFT(Cockpit!$C$5,1)="A",H1770,IF(CH1770=1,(CK1770+CI1770)/2,IF(LEFT(Cockpit!$C$5,1)="B",(CK1770+AL1770)/2,MAX((CK1770+AL1770)/2,H1770))))</f>
        <v>0</v>
      </c>
      <c r="AK1770" s="50" t="n">
        <f aca="false">AJ1770*G1770</f>
        <v>0</v>
      </c>
      <c r="AL1770" s="50" t="n">
        <f aca="false">ROUNDUP(CK1770+MAX(CL1770,2*(J1770/IF(CG1770&gt;0,CG1770,MAX(0.1,N(Cockpit!$C$6)))-CK1770)),0)</f>
        <v>0</v>
      </c>
      <c r="AM1770" s="51" t="n">
        <f aca="false">IF(AI1770&gt;0,J1770/AI1770,-1)</f>
        <v>-1</v>
      </c>
      <c r="AN1770" s="51" t="str">
        <f aca="false">IF(AND(OR(CF1770="L1",CF1770="L23",CF1770="LIFT"),AI1770&gt;0),SUMIFS($AI$7:$AI$1843,$CF$7:$CF$1843,CF1770,$AM$7:$AM$1843,"&gt;"&amp;AM1770)+SUMIFS($AI$7:$AI$1843,$CF$7:$CF$1843,CF1770,$AM$7:$AM$1843,AM1770,$BW$7:$BW$1843,"&lt;="&amp;BW1770),"")</f>
        <v/>
      </c>
      <c r="AO1770" s="58" t="n">
        <f aca="false">IF(AN1770="",0,MAX(0,MIN(1,(IF(CF1770="L1",Parameter!$H$5,IF(CF1770="L23",Parameter!$H$6+Parameter!$H$7,Parameter!$H$5+Parameter!$H$6+Parameter!$H$7))-(AN1770-AI1770))/AI1770)))</f>
        <v>0</v>
      </c>
      <c r="AP1770" s="50" t="n">
        <f aca="false">IF(LEFT(Cockpit!$I$5,1)="A",H1770,IF(Parameter!$E$30="MAX-Bestand",IF(CH1770=1,CI1770,IF(LEFT(Cockpit!$I$5,1)="B",AV1770,MAX(AV1770,H1770))),ROUNDUP(AT1770,0)))</f>
        <v>0</v>
      </c>
      <c r="AQ1770" s="50" t="n">
        <f aca="false">IF(BZ1770=1,0,ROUNDUP(AP1770/BY1770,0))</f>
        <v>0</v>
      </c>
      <c r="AR1770" s="52" t="n">
        <f aca="false">IF(CQ1770&gt;0,CQ1770*MAX(1,AP1770/X1770),IF(BZ1770=1,IF(AP1770&lt;=0,0,CD1770*MAX(1,IF(H1770&gt;0,AP1770/H1770,1))),IF(R1770&gt;0,AQ1770/R1770,0))/MAX(0.1,N(Parameter!$M$21)))</f>
        <v>0</v>
      </c>
      <c r="AS1770" s="50" t="n">
        <f aca="false">AR1770*CB1770</f>
        <v>0</v>
      </c>
      <c r="AT1770" s="51" t="n">
        <f aca="false">IF(LEFT(Cockpit!$I$5,1)="A",H1770,IF(CH1770=1,(CK1770+CI1770)/2,IF(LEFT(Cockpit!$I$5,1)="B",(CK1770+AV1770)/2,MAX((CK1770+AV1770)/2,H1770))))</f>
        <v>0</v>
      </c>
      <c r="AU1770" s="50" t="n">
        <f aca="false">AT1770*G1770</f>
        <v>0</v>
      </c>
      <c r="AV1770" s="50" t="n">
        <f aca="false">ROUNDUP(CK1770+MAX(CL1770,2*(J1770/IF(CG1770&gt;0,CG1770,MAX(0.1,N(Cockpit!$I$6)))-CK1770)),0)</f>
        <v>0</v>
      </c>
      <c r="AW1770" s="51" t="n">
        <f aca="false">IF(AS1770&gt;0,J1770/AS1770,-1)</f>
        <v>-1</v>
      </c>
      <c r="AX1770" s="51" t="str">
        <f aca="false">IF(AND(OR(CF1770="L1",CF1770="L23",CF1770="LIFT"),AS1770&gt;0),SUMIFS($AS$7:$AS$1843,$CF$7:$CF$1843,CF1770,$AW$7:$AW$1843,"&gt;"&amp;AW1770)+SUMIFS($AS$7:$AS$1843,$CF$7:$CF$1843,CF1770,$AW$7:$AW$1843,AW1770,$BW$7:$BW$1843,"&lt;="&amp;BW1770),"")</f>
        <v/>
      </c>
      <c r="AY1770" s="58" t="n">
        <f aca="false">IF(AX1770="",0,MAX(0,MIN(1,(IF(CF1770="L1",Parameter!$H$5,IF(CF1770="L23",Parameter!$H$6+Parameter!$H$7,Parameter!$H$5+Parameter!$H$6+Parameter!$H$7))-(AX1770-AS1770))/AS1770)))</f>
        <v>0</v>
      </c>
      <c r="AZ1770" s="50" t="n">
        <f aca="false">IF(LEFT(Cockpit!$O$5,1)="A",H1770,IF(Parameter!$E$30="MAX-Bestand",IF(CH1770=1,CI1770,IF(LEFT(Cockpit!$O$5,1)="B",BF1770,MAX(BF1770,H1770))),ROUNDUP(BD1770,0)))</f>
        <v>0</v>
      </c>
      <c r="BA1770" s="50" t="n">
        <f aca="false">IF(BZ1770=1,0,ROUNDUP(AZ1770/BY1770,0))</f>
        <v>0</v>
      </c>
      <c r="BB1770" s="52" t="n">
        <f aca="false">IF(CQ1770&gt;0,CQ1770*MAX(1,AZ1770/X1770),IF(BZ1770=1,IF(AZ1770&lt;=0,0,CD1770*MAX(1,IF(H1770&gt;0,AZ1770/H1770,1))),IF(R1770&gt;0,BA1770/R1770,0))/MAX(0.1,N(Parameter!$M$21)))</f>
        <v>0</v>
      </c>
      <c r="BC1770" s="50" t="n">
        <f aca="false">BB1770*CB1770</f>
        <v>0</v>
      </c>
      <c r="BD1770" s="51" t="n">
        <f aca="false">IF(LEFT(Cockpit!$O$5,1)="A",H1770,IF(CH1770=1,(CK1770+CI1770)/2,IF(LEFT(Cockpit!$O$5,1)="B",(CK1770+BF1770)/2,MAX((CK1770+BF1770)/2,H1770))))</f>
        <v>0</v>
      </c>
      <c r="BE1770" s="50" t="n">
        <f aca="false">BD1770*G1770</f>
        <v>0</v>
      </c>
      <c r="BF1770" s="50" t="n">
        <f aca="false">ROUNDUP(CK1770+MAX(CL1770,2*(J1770/IF(CG1770&gt;0,CG1770,MAX(0.1,N(Cockpit!$O$6)))-CK1770)),0)</f>
        <v>0</v>
      </c>
      <c r="BG1770" s="51" t="n">
        <f aca="false">IF(BC1770&gt;0,J1770/BC1770,-1)</f>
        <v>-1</v>
      </c>
      <c r="BH1770" s="51" t="str">
        <f aca="false">IF(AND(OR(CF1770="L1",CF1770="L23",CF1770="LIFT"),BC1770&gt;0),SUMIFS($BC$7:$BC$1843,$CF$7:$CF$1843,CF1770,$BG$7:$BG$1843,"&gt;"&amp;BG1770)+SUMIFS($BC$7:$BC$1843,$CF$7:$CF$1843,CF1770,$BG$7:$BG$1843,BG1770,$BW$7:$BW$1843,"&lt;="&amp;BW1770),"")</f>
        <v/>
      </c>
      <c r="BI1770" s="58" t="n">
        <f aca="false">IF(BH1770="",0,MAX(0,MIN(1,(IF(CF1770="L1",Parameter!$H$5,IF(CF1770="L23",Parameter!$H$6+Parameter!$H$7,Parameter!$H$5+Parameter!$H$6+Parameter!$H$7))-(BH1770-BC1770))/BC1770)))</f>
        <v>0</v>
      </c>
      <c r="BJ1770" s="48" t="str">
        <f aca="false">IF(AI1770&lt;=0,"",IF(CF1770="Aussen","Aussenlager",IF(CF1770="-","Nicht im Lift",IF(AO1770&gt;=1,"Lift",IF(AO1770&lt;=0,"Aussenlager","teilweise")))))</f>
        <v/>
      </c>
      <c r="BK1770" s="48" t="str">
        <f aca="false">IF(AS1770&lt;=0,"",IF(CF1770="Aussen","Aussenlager",IF(CF1770="-","Nicht im Lift",IF(AY1770&gt;=1,"Lift",IF(AY1770&lt;=0,"Aussenlager","teilweise")))))</f>
        <v/>
      </c>
      <c r="BL1770" s="48" t="str">
        <f aca="false">IF(BC1770&lt;=0,"",IF(CF1770="Aussen","Aussenlager",IF(CF1770="-","Nicht im Lift",IF(BI1770&gt;=1,"Lift",IF(BI1770&lt;=0,"Aussenlager","teilweise")))))</f>
        <v/>
      </c>
      <c r="BM1770" s="48" t="str">
        <f aca="false">IF(A1770="","",IF(BV1770=1,"Neu; ","")&amp;IF(AND(BV1770=0,BQ1770&lt;0),"negativer Bestand (Export "&amp;BQ1770&amp;"); ","")&amp;IF(J1770&lt;=0,"Kein Verbrauch; ","")&amp;IF(CQ1770&gt;0,"Lift "&amp;W1770&amp;" lt. Liftbericht (Fach "&amp;X1770&amp;" Stk); ",IF(CA1770=1,"Gebinde geschätzt ("&amp;T1770&amp;"); ",IF(BZ1770=1,"Lose – Tablare geschätzt; ","")))&amp;IF(H1770&gt;AV1770,"Überbestand "&amp;ROUND(H1770-AV1770,0)&amp;" Stk / CHF "&amp;ROUND((H1770-AV1770)*G1770,0)&amp;"; ","")&amp;IF(AND(CH1770=1,CI1770&lt;CJ1770),"MAX &lt; MB+LG; ","")&amp;IF(AND(CP1770&gt;0,CO1770*10&gt;CP1770),"zu hoch für Tablar; ","")&amp;IF(AND(BV1770=0,OR(CH1770=1,AA1770&lt;&gt;"",U1770&lt;&gt;"",V1770&lt;&gt;"",AB1770&lt;&gt;"")),"manuell übersteuert; ","")&amp;IF(AND(BZ1770=0,R1770=0),"Gebinde unbekannt / Stellmass fehlt; ","")&amp;IF(AND(BZ1770=0,N(V1770)&lt;=0,N(Q1770)&lt;=0),"Menge pro Gebinde fehlt (Ist = 1 Gebinde); ","")&amp;BU1770)</f>
        <v/>
      </c>
      <c r="BN1770" s="48"/>
      <c r="BO1770" s="48"/>
      <c r="BP1770" s="55"/>
      <c r="BQ1770" s="50" t="n">
        <f aca="false">N('Neue Artikel'!$D$31)</f>
        <v>0</v>
      </c>
      <c r="BR1770" s="50" t="n">
        <v>0</v>
      </c>
      <c r="BS1770" s="49" t="n">
        <v>0</v>
      </c>
      <c r="BT1770" s="50" t="n">
        <f aca="false">N('Neue Artikel'!$C$31)/Parameter!$B$18</f>
        <v>0</v>
      </c>
      <c r="BU1770" s="48"/>
      <c r="BV1770" s="53" t="n">
        <v>1</v>
      </c>
      <c r="BW1770" s="53" t="n">
        <v>1770</v>
      </c>
      <c r="BX1770" s="48" t="str">
        <f aca="false">IF(U1770&lt;&gt;"",UPPER(TRIM(U1770)),IF(CA1770=1,UPPER(VLOOKUP(T1770,Parameter!$I$27:$K$29,2,0)),IF(P1770="","LOSE",P1770)))</f>
        <v>LOSE</v>
      </c>
      <c r="BY1770" s="50" t="n">
        <f aca="false">IF(BX1770="LOSE",1,IF(N(V1770)&gt;0,V1770,IF(CA1770=1,MAX(1,N(VLOOKUP(T1770,Parameter!$I$27:$K$29,3,0)),H1770,N(N1770)),IF(N(Q1770)&gt;0,Q1770,MAX(1,H1770)))))</f>
        <v>1</v>
      </c>
      <c r="BZ1770" s="53" t="n">
        <f aca="false">IF(BX1770="LOSE",1,0)</f>
        <v>1</v>
      </c>
      <c r="CA1770" s="53" t="n">
        <f aca="false">IF(AND(U1770="",OR(P1770="",P1770="LOSE"),T1770&lt;&gt;"",N(S1770)&lt;=0,ISNUMBER(MATCH(T1770,Parameter!$I$27:$I$29,0))),1,0)</f>
        <v>0</v>
      </c>
      <c r="CB1770" s="53" t="n">
        <f aca="false">IF(CQ1770&gt;0,INDEX(Parameter!$H$5:$H$7,W1770)/INDEX(Parameter!$E$5:$E$7,W1770),IF(AND(BZ1770=0,N(IFERROR(VLOOKUP(BX1770,'Gebinde-Kategorie'!$A$5:$N$45,14,0),0))&gt;0),VLOOKUP(BX1770,'Gebinde-Kategorie'!$A$5:$N$45,14,0)*10+Parameter!$M$23,Parameter!$M$24))</f>
        <v>235</v>
      </c>
      <c r="CC1770" s="48" t="str">
        <f aca="false">IF(AND(Parameter!$B$19="Ja",E1770&lt;&gt;"",ISNUMBER(MATCH(E1770,Parameter!$I$35:$I$52,0))),VLOOKUP(E1770,Parameter!$I$35:$J$52,2,0),IFERROR(VLOOKUP(D1770,Parameter!$A$35:$C$64,2,0),"Nein"))</f>
        <v>2+3</v>
      </c>
      <c r="CD1770" s="52" t="n">
        <f aca="false">IF(BZ1770=0,0,IF(N(S1770)&gt;0,S1770,IFERROR(VLOOKUP(D1770,Parameter!$A$35:$C$64,3,0)+0,0)))</f>
        <v>0.15</v>
      </c>
      <c r="CE1770" s="48" t="str">
        <f aca="false">IF(AA1770&lt;&gt;"",AA1770,Z1770)</f>
        <v/>
      </c>
      <c r="CF1770" s="48" t="str">
        <f aca="false">IF(OR(CE1770=1,CE1770=2,CE1770=3),IF(Parameter!$E$27="Ja","LIFT",IF(CE1770=1,"L1","L23")),IF(CE1770="Aussen","Aussen","-"))</f>
        <v>-</v>
      </c>
      <c r="CG1770" s="59" t="n">
        <f aca="false">IF(N(AB1770)&gt;0,AB1770,0)</f>
        <v>0</v>
      </c>
      <c r="CH1770" s="53" t="n">
        <f aca="false">IF(ISNUMBER(AE1770),1,0)</f>
        <v>0</v>
      </c>
      <c r="CI1770" s="50" t="n">
        <f aca="false">N(AE1770)</f>
        <v>0</v>
      </c>
      <c r="CJ1770" s="50" t="n">
        <f aca="false">N(M1770)+N(N1770)</f>
        <v>0</v>
      </c>
      <c r="CK1770" s="50" t="n">
        <f aca="false">N(M1770)</f>
        <v>0</v>
      </c>
      <c r="CL1770" s="50" t="n">
        <f aca="false">N(N1770)</f>
        <v>0</v>
      </c>
      <c r="CM1770" s="50" t="n">
        <f aca="false">ROUNDUP(H1770/BY1770,0)</f>
        <v>0</v>
      </c>
      <c r="CN1770" s="50" t="n">
        <f aca="false">ROUNDUP(CI1770/BY1770,0)</f>
        <v>0</v>
      </c>
      <c r="CO1770" s="53" t="n">
        <f aca="false">IF(BZ1770=1,0,IFERROR(VLOOKUP(BX1770,'Gebinde-Kategorie'!$A$5:$N$45,5,0)+0,0))</f>
        <v>0</v>
      </c>
      <c r="CP1770" s="53" t="n">
        <f aca="false">IFERROR(IF(OR(CE1770=1,CE1770=2,CE1770=3),N(INDEX(Parameter!$I$5:$I$7,CE1770)),0),0)</f>
        <v>0</v>
      </c>
      <c r="CQ1770" s="52" t="n">
        <f aca="false">IF(AND(Parameter!$B$21="Ja",ISNUMBER(W1770),N(X1770)&gt;0),IFERROR(N(INDEX(Parameter!$L$5:$L$7,W1770))*INDEX(Parameter!$E$5:$E$7,W1770)*X1770/SUMIFS($X$7:$X$1843,$W$7:$W$1843,W1770),0),0)</f>
        <v>0</v>
      </c>
    </row>
    <row r="1771" customFormat="false" ht="15" hidden="false" customHeight="false" outlineLevel="0" collapsed="false">
      <c r="A1771" s="48" t="str">
        <f aca="false">IF('Neue Artikel'!$A$32="","",'Neue Artikel'!$A$32&amp;"")</f>
        <v/>
      </c>
      <c r="B1771" s="48" t="str">
        <f aca="false">'Neue Artikel'!$B$32&amp;""</f>
        <v/>
      </c>
      <c r="C1771" s="48"/>
      <c r="D1771" s="48" t="s">
        <v>3024</v>
      </c>
      <c r="E1771" s="48"/>
      <c r="F1771" s="48"/>
      <c r="G1771" s="49" t="n">
        <f aca="false">N('Neue Artikel'!$G$32)</f>
        <v>0</v>
      </c>
      <c r="H1771" s="50" t="n">
        <f aca="false">MAX(0,IF(AND(Parameter!$B$21="Ja",ISNUMBER(Y1771)),Y1771,IF(Parameter!$B$20="Jahresanfang 2025 + Export",BR1771+BQ1771,BQ1771)))</f>
        <v>0</v>
      </c>
      <c r="I1771" s="50" t="n">
        <f aca="false">H1771*G1771</f>
        <v>0</v>
      </c>
      <c r="J1771" s="50" t="n">
        <f aca="false">BT1771*Parameter!$B$18</f>
        <v>0</v>
      </c>
      <c r="K1771" s="51"/>
      <c r="L1771" s="52"/>
      <c r="M1771" s="50" t="n">
        <f aca="false">N('Neue Artikel'!$E$32)</f>
        <v>0</v>
      </c>
      <c r="N1771" s="50" t="n">
        <f aca="false">N('Neue Artikel'!$F$32)</f>
        <v>0</v>
      </c>
      <c r="O1771" s="53"/>
      <c r="P1771" s="48" t="str">
        <f aca="false">IF('Neue Artikel'!$H$32="","LOSE",UPPER(TRIM('Neue Artikel'!$H$32)))</f>
        <v>LOSE</v>
      </c>
      <c r="Q1771" s="50" t="n">
        <f aca="false">N('Neue Artikel'!$I$32)</f>
        <v>0</v>
      </c>
      <c r="R1771" s="53" t="n">
        <f aca="false">IF(BZ1771=1,0,IFERROR(VLOOKUP(BX1771,'Gebinde-Kategorie'!$A$5:$N$45,13,0)+0,0))</f>
        <v>0</v>
      </c>
      <c r="S1771" s="54"/>
      <c r="T1771" s="55"/>
      <c r="U1771" s="55"/>
      <c r="V1771" s="55"/>
      <c r="W1771" s="48"/>
      <c r="X1771" s="50"/>
      <c r="Y1771" s="50"/>
      <c r="Z1771" s="48" t="str">
        <f aca="false">IF(A1771="","",IF(AND(Parameter!$B$21="Ja",ISNUMBER(W1771)),W1771,IF(CC1771="2+3",IF(ISNUMBER(SEARCH("grosser Artikel",BU1771)),2,IFERROR(VLOOKUP(BX1771,Parameter!$F$35:$G$64,2,0),2)),IF(OR(CC1771="Nein",CC1771=""),"-",CC1771))))</f>
        <v/>
      </c>
      <c r="AA1771" s="48" t="str">
        <f aca="false">IF('Neue Artikel'!$J$32="","",'Neue Artikel'!$J$32)</f>
        <v/>
      </c>
      <c r="AB1771" s="56"/>
      <c r="AC1771" s="50" t="n">
        <f aca="false">AV1771</f>
        <v>0</v>
      </c>
      <c r="AD1771" s="50" t="n">
        <f aca="false">MAX(AV1771,H1771)</f>
        <v>0</v>
      </c>
      <c r="AE1771" s="57"/>
      <c r="AF1771" s="50" t="n">
        <f aca="false">IF(LEFT(Cockpit!$C$5,1)="A",H1771,IF(Parameter!$E$30="MAX-Bestand",IF(CH1771=1,CI1771,IF(LEFT(Cockpit!$C$5,1)="B",AL1771,MAX(AL1771,H1771))),ROUNDUP(AJ1771,0)))</f>
        <v>0</v>
      </c>
      <c r="AG1771" s="50" t="n">
        <f aca="false">IF(BZ1771=1,0,ROUNDUP(AF1771/BY1771,0))</f>
        <v>0</v>
      </c>
      <c r="AH1771" s="52" t="n">
        <f aca="false">IF(CQ1771&gt;0,CQ1771*MAX(1,AF1771/X1771),IF(BZ1771=1,IF(AF1771&lt;=0,0,CD1771*MAX(1,IF(H1771&gt;0,AF1771/H1771,1))),IF(R1771&gt;0,AG1771/R1771,0))/MAX(0.1,N(Parameter!$M$21)))</f>
        <v>0</v>
      </c>
      <c r="AI1771" s="50" t="n">
        <f aca="false">AH1771*CB1771</f>
        <v>0</v>
      </c>
      <c r="AJ1771" s="51" t="n">
        <f aca="false">IF(LEFT(Cockpit!$C$5,1)="A",H1771,IF(CH1771=1,(CK1771+CI1771)/2,IF(LEFT(Cockpit!$C$5,1)="B",(CK1771+AL1771)/2,MAX((CK1771+AL1771)/2,H1771))))</f>
        <v>0</v>
      </c>
      <c r="AK1771" s="50" t="n">
        <f aca="false">AJ1771*G1771</f>
        <v>0</v>
      </c>
      <c r="AL1771" s="50" t="n">
        <f aca="false">ROUNDUP(CK1771+MAX(CL1771,2*(J1771/IF(CG1771&gt;0,CG1771,MAX(0.1,N(Cockpit!$C$6)))-CK1771)),0)</f>
        <v>0</v>
      </c>
      <c r="AM1771" s="51" t="n">
        <f aca="false">IF(AI1771&gt;0,J1771/AI1771,-1)</f>
        <v>-1</v>
      </c>
      <c r="AN1771" s="51" t="str">
        <f aca="false">IF(AND(OR(CF1771="L1",CF1771="L23",CF1771="LIFT"),AI1771&gt;0),SUMIFS($AI$7:$AI$1843,$CF$7:$CF$1843,CF1771,$AM$7:$AM$1843,"&gt;"&amp;AM1771)+SUMIFS($AI$7:$AI$1843,$CF$7:$CF$1843,CF1771,$AM$7:$AM$1843,AM1771,$BW$7:$BW$1843,"&lt;="&amp;BW1771),"")</f>
        <v/>
      </c>
      <c r="AO1771" s="58" t="n">
        <f aca="false">IF(AN1771="",0,MAX(0,MIN(1,(IF(CF1771="L1",Parameter!$H$5,IF(CF1771="L23",Parameter!$H$6+Parameter!$H$7,Parameter!$H$5+Parameter!$H$6+Parameter!$H$7))-(AN1771-AI1771))/AI1771)))</f>
        <v>0</v>
      </c>
      <c r="AP1771" s="50" t="n">
        <f aca="false">IF(LEFT(Cockpit!$I$5,1)="A",H1771,IF(Parameter!$E$30="MAX-Bestand",IF(CH1771=1,CI1771,IF(LEFT(Cockpit!$I$5,1)="B",AV1771,MAX(AV1771,H1771))),ROUNDUP(AT1771,0)))</f>
        <v>0</v>
      </c>
      <c r="AQ1771" s="50" t="n">
        <f aca="false">IF(BZ1771=1,0,ROUNDUP(AP1771/BY1771,0))</f>
        <v>0</v>
      </c>
      <c r="AR1771" s="52" t="n">
        <f aca="false">IF(CQ1771&gt;0,CQ1771*MAX(1,AP1771/X1771),IF(BZ1771=1,IF(AP1771&lt;=0,0,CD1771*MAX(1,IF(H1771&gt;0,AP1771/H1771,1))),IF(R1771&gt;0,AQ1771/R1771,0))/MAX(0.1,N(Parameter!$M$21)))</f>
        <v>0</v>
      </c>
      <c r="AS1771" s="50" t="n">
        <f aca="false">AR1771*CB1771</f>
        <v>0</v>
      </c>
      <c r="AT1771" s="51" t="n">
        <f aca="false">IF(LEFT(Cockpit!$I$5,1)="A",H1771,IF(CH1771=1,(CK1771+CI1771)/2,IF(LEFT(Cockpit!$I$5,1)="B",(CK1771+AV1771)/2,MAX((CK1771+AV1771)/2,H1771))))</f>
        <v>0</v>
      </c>
      <c r="AU1771" s="50" t="n">
        <f aca="false">AT1771*G1771</f>
        <v>0</v>
      </c>
      <c r="AV1771" s="50" t="n">
        <f aca="false">ROUNDUP(CK1771+MAX(CL1771,2*(J1771/IF(CG1771&gt;0,CG1771,MAX(0.1,N(Cockpit!$I$6)))-CK1771)),0)</f>
        <v>0</v>
      </c>
      <c r="AW1771" s="51" t="n">
        <f aca="false">IF(AS1771&gt;0,J1771/AS1771,-1)</f>
        <v>-1</v>
      </c>
      <c r="AX1771" s="51" t="str">
        <f aca="false">IF(AND(OR(CF1771="L1",CF1771="L23",CF1771="LIFT"),AS1771&gt;0),SUMIFS($AS$7:$AS$1843,$CF$7:$CF$1843,CF1771,$AW$7:$AW$1843,"&gt;"&amp;AW1771)+SUMIFS($AS$7:$AS$1843,$CF$7:$CF$1843,CF1771,$AW$7:$AW$1843,AW1771,$BW$7:$BW$1843,"&lt;="&amp;BW1771),"")</f>
        <v/>
      </c>
      <c r="AY1771" s="58" t="n">
        <f aca="false">IF(AX1771="",0,MAX(0,MIN(1,(IF(CF1771="L1",Parameter!$H$5,IF(CF1771="L23",Parameter!$H$6+Parameter!$H$7,Parameter!$H$5+Parameter!$H$6+Parameter!$H$7))-(AX1771-AS1771))/AS1771)))</f>
        <v>0</v>
      </c>
      <c r="AZ1771" s="50" t="n">
        <f aca="false">IF(LEFT(Cockpit!$O$5,1)="A",H1771,IF(Parameter!$E$30="MAX-Bestand",IF(CH1771=1,CI1771,IF(LEFT(Cockpit!$O$5,1)="B",BF1771,MAX(BF1771,H1771))),ROUNDUP(BD1771,0)))</f>
        <v>0</v>
      </c>
      <c r="BA1771" s="50" t="n">
        <f aca="false">IF(BZ1771=1,0,ROUNDUP(AZ1771/BY1771,0))</f>
        <v>0</v>
      </c>
      <c r="BB1771" s="52" t="n">
        <f aca="false">IF(CQ1771&gt;0,CQ1771*MAX(1,AZ1771/X1771),IF(BZ1771=1,IF(AZ1771&lt;=0,0,CD1771*MAX(1,IF(H1771&gt;0,AZ1771/H1771,1))),IF(R1771&gt;0,BA1771/R1771,0))/MAX(0.1,N(Parameter!$M$21)))</f>
        <v>0</v>
      </c>
      <c r="BC1771" s="50" t="n">
        <f aca="false">BB1771*CB1771</f>
        <v>0</v>
      </c>
      <c r="BD1771" s="51" t="n">
        <f aca="false">IF(LEFT(Cockpit!$O$5,1)="A",H1771,IF(CH1771=1,(CK1771+CI1771)/2,IF(LEFT(Cockpit!$O$5,1)="B",(CK1771+BF1771)/2,MAX((CK1771+BF1771)/2,H1771))))</f>
        <v>0</v>
      </c>
      <c r="BE1771" s="50" t="n">
        <f aca="false">BD1771*G1771</f>
        <v>0</v>
      </c>
      <c r="BF1771" s="50" t="n">
        <f aca="false">ROUNDUP(CK1771+MAX(CL1771,2*(J1771/IF(CG1771&gt;0,CG1771,MAX(0.1,N(Cockpit!$O$6)))-CK1771)),0)</f>
        <v>0</v>
      </c>
      <c r="BG1771" s="51" t="n">
        <f aca="false">IF(BC1771&gt;0,J1771/BC1771,-1)</f>
        <v>-1</v>
      </c>
      <c r="BH1771" s="51" t="str">
        <f aca="false">IF(AND(OR(CF1771="L1",CF1771="L23",CF1771="LIFT"),BC1771&gt;0),SUMIFS($BC$7:$BC$1843,$CF$7:$CF$1843,CF1771,$BG$7:$BG$1843,"&gt;"&amp;BG1771)+SUMIFS($BC$7:$BC$1843,$CF$7:$CF$1843,CF1771,$BG$7:$BG$1843,BG1771,$BW$7:$BW$1843,"&lt;="&amp;BW1771),"")</f>
        <v/>
      </c>
      <c r="BI1771" s="58" t="n">
        <f aca="false">IF(BH1771="",0,MAX(0,MIN(1,(IF(CF1771="L1",Parameter!$H$5,IF(CF1771="L23",Parameter!$H$6+Parameter!$H$7,Parameter!$H$5+Parameter!$H$6+Parameter!$H$7))-(BH1771-BC1771))/BC1771)))</f>
        <v>0</v>
      </c>
      <c r="BJ1771" s="48" t="str">
        <f aca="false">IF(AI1771&lt;=0,"",IF(CF1771="Aussen","Aussenlager",IF(CF1771="-","Nicht im Lift",IF(AO1771&gt;=1,"Lift",IF(AO1771&lt;=0,"Aussenlager","teilweise")))))</f>
        <v/>
      </c>
      <c r="BK1771" s="48" t="str">
        <f aca="false">IF(AS1771&lt;=0,"",IF(CF1771="Aussen","Aussenlager",IF(CF1771="-","Nicht im Lift",IF(AY1771&gt;=1,"Lift",IF(AY1771&lt;=0,"Aussenlager","teilweise")))))</f>
        <v/>
      </c>
      <c r="BL1771" s="48" t="str">
        <f aca="false">IF(BC1771&lt;=0,"",IF(CF1771="Aussen","Aussenlager",IF(CF1771="-","Nicht im Lift",IF(BI1771&gt;=1,"Lift",IF(BI1771&lt;=0,"Aussenlager","teilweise")))))</f>
        <v/>
      </c>
      <c r="BM1771" s="48" t="str">
        <f aca="false">IF(A1771="","",IF(BV1771=1,"Neu; ","")&amp;IF(AND(BV1771=0,BQ1771&lt;0),"negativer Bestand (Export "&amp;BQ1771&amp;"); ","")&amp;IF(J1771&lt;=0,"Kein Verbrauch; ","")&amp;IF(CQ1771&gt;0,"Lift "&amp;W1771&amp;" lt. Liftbericht (Fach "&amp;X1771&amp;" Stk); ",IF(CA1771=1,"Gebinde geschätzt ("&amp;T1771&amp;"); ",IF(BZ1771=1,"Lose – Tablare geschätzt; ","")))&amp;IF(H1771&gt;AV1771,"Überbestand "&amp;ROUND(H1771-AV1771,0)&amp;" Stk / CHF "&amp;ROUND((H1771-AV1771)*G1771,0)&amp;"; ","")&amp;IF(AND(CH1771=1,CI1771&lt;CJ1771),"MAX &lt; MB+LG; ","")&amp;IF(AND(CP1771&gt;0,CO1771*10&gt;CP1771),"zu hoch für Tablar; ","")&amp;IF(AND(BV1771=0,OR(CH1771=1,AA1771&lt;&gt;"",U1771&lt;&gt;"",V1771&lt;&gt;"",AB1771&lt;&gt;"")),"manuell übersteuert; ","")&amp;IF(AND(BZ1771=0,R1771=0),"Gebinde unbekannt / Stellmass fehlt; ","")&amp;IF(AND(BZ1771=0,N(V1771)&lt;=0,N(Q1771)&lt;=0),"Menge pro Gebinde fehlt (Ist = 1 Gebinde); ","")&amp;BU1771)</f>
        <v/>
      </c>
      <c r="BN1771" s="48"/>
      <c r="BO1771" s="48"/>
      <c r="BP1771" s="55"/>
      <c r="BQ1771" s="50" t="n">
        <f aca="false">N('Neue Artikel'!$D$32)</f>
        <v>0</v>
      </c>
      <c r="BR1771" s="50" t="n">
        <v>0</v>
      </c>
      <c r="BS1771" s="49" t="n">
        <v>0</v>
      </c>
      <c r="BT1771" s="50" t="n">
        <f aca="false">N('Neue Artikel'!$C$32)/Parameter!$B$18</f>
        <v>0</v>
      </c>
      <c r="BU1771" s="48"/>
      <c r="BV1771" s="53" t="n">
        <v>1</v>
      </c>
      <c r="BW1771" s="53" t="n">
        <v>1771</v>
      </c>
      <c r="BX1771" s="48" t="str">
        <f aca="false">IF(U1771&lt;&gt;"",UPPER(TRIM(U1771)),IF(CA1771=1,UPPER(VLOOKUP(T1771,Parameter!$I$27:$K$29,2,0)),IF(P1771="","LOSE",P1771)))</f>
        <v>LOSE</v>
      </c>
      <c r="BY1771" s="50" t="n">
        <f aca="false">IF(BX1771="LOSE",1,IF(N(V1771)&gt;0,V1771,IF(CA1771=1,MAX(1,N(VLOOKUP(T1771,Parameter!$I$27:$K$29,3,0)),H1771,N(N1771)),IF(N(Q1771)&gt;0,Q1771,MAX(1,H1771)))))</f>
        <v>1</v>
      </c>
      <c r="BZ1771" s="53" t="n">
        <f aca="false">IF(BX1771="LOSE",1,0)</f>
        <v>1</v>
      </c>
      <c r="CA1771" s="53" t="n">
        <f aca="false">IF(AND(U1771="",OR(P1771="",P1771="LOSE"),T1771&lt;&gt;"",N(S1771)&lt;=0,ISNUMBER(MATCH(T1771,Parameter!$I$27:$I$29,0))),1,0)</f>
        <v>0</v>
      </c>
      <c r="CB1771" s="53" t="n">
        <f aca="false">IF(CQ1771&gt;0,INDEX(Parameter!$H$5:$H$7,W1771)/INDEX(Parameter!$E$5:$E$7,W1771),IF(AND(BZ1771=0,N(IFERROR(VLOOKUP(BX1771,'Gebinde-Kategorie'!$A$5:$N$45,14,0),0))&gt;0),VLOOKUP(BX1771,'Gebinde-Kategorie'!$A$5:$N$45,14,0)*10+Parameter!$M$23,Parameter!$M$24))</f>
        <v>235</v>
      </c>
      <c r="CC1771" s="48" t="str">
        <f aca="false">IF(AND(Parameter!$B$19="Ja",E1771&lt;&gt;"",ISNUMBER(MATCH(E1771,Parameter!$I$35:$I$52,0))),VLOOKUP(E1771,Parameter!$I$35:$J$52,2,0),IFERROR(VLOOKUP(D1771,Parameter!$A$35:$C$64,2,0),"Nein"))</f>
        <v>2+3</v>
      </c>
      <c r="CD1771" s="52" t="n">
        <f aca="false">IF(BZ1771=0,0,IF(N(S1771)&gt;0,S1771,IFERROR(VLOOKUP(D1771,Parameter!$A$35:$C$64,3,0)+0,0)))</f>
        <v>0.15</v>
      </c>
      <c r="CE1771" s="48" t="str">
        <f aca="false">IF(AA1771&lt;&gt;"",AA1771,Z1771)</f>
        <v/>
      </c>
      <c r="CF1771" s="48" t="str">
        <f aca="false">IF(OR(CE1771=1,CE1771=2,CE1771=3),IF(Parameter!$E$27="Ja","LIFT",IF(CE1771=1,"L1","L23")),IF(CE1771="Aussen","Aussen","-"))</f>
        <v>-</v>
      </c>
      <c r="CG1771" s="59" t="n">
        <f aca="false">IF(N(AB1771)&gt;0,AB1771,0)</f>
        <v>0</v>
      </c>
      <c r="CH1771" s="53" t="n">
        <f aca="false">IF(ISNUMBER(AE1771),1,0)</f>
        <v>0</v>
      </c>
      <c r="CI1771" s="50" t="n">
        <f aca="false">N(AE1771)</f>
        <v>0</v>
      </c>
      <c r="CJ1771" s="50" t="n">
        <f aca="false">N(M1771)+N(N1771)</f>
        <v>0</v>
      </c>
      <c r="CK1771" s="50" t="n">
        <f aca="false">N(M1771)</f>
        <v>0</v>
      </c>
      <c r="CL1771" s="50" t="n">
        <f aca="false">N(N1771)</f>
        <v>0</v>
      </c>
      <c r="CM1771" s="50" t="n">
        <f aca="false">ROUNDUP(H1771/BY1771,0)</f>
        <v>0</v>
      </c>
      <c r="CN1771" s="50" t="n">
        <f aca="false">ROUNDUP(CI1771/BY1771,0)</f>
        <v>0</v>
      </c>
      <c r="CO1771" s="53" t="n">
        <f aca="false">IF(BZ1771=1,0,IFERROR(VLOOKUP(BX1771,'Gebinde-Kategorie'!$A$5:$N$45,5,0)+0,0))</f>
        <v>0</v>
      </c>
      <c r="CP1771" s="53" t="n">
        <f aca="false">IFERROR(IF(OR(CE1771=1,CE1771=2,CE1771=3),N(INDEX(Parameter!$I$5:$I$7,CE1771)),0),0)</f>
        <v>0</v>
      </c>
      <c r="CQ1771" s="52" t="n">
        <f aca="false">IF(AND(Parameter!$B$21="Ja",ISNUMBER(W1771),N(X1771)&gt;0),IFERROR(N(INDEX(Parameter!$L$5:$L$7,W1771))*INDEX(Parameter!$E$5:$E$7,W1771)*X1771/SUMIFS($X$7:$X$1843,$W$7:$W$1843,W1771),0),0)</f>
        <v>0</v>
      </c>
    </row>
    <row r="1772" customFormat="false" ht="15" hidden="false" customHeight="false" outlineLevel="0" collapsed="false">
      <c r="A1772" s="48" t="str">
        <f aca="false">IF('Neue Artikel'!$A$33="","",'Neue Artikel'!$A$33&amp;"")</f>
        <v/>
      </c>
      <c r="B1772" s="48" t="str">
        <f aca="false">'Neue Artikel'!$B$33&amp;""</f>
        <v/>
      </c>
      <c r="C1772" s="48"/>
      <c r="D1772" s="48" t="s">
        <v>3024</v>
      </c>
      <c r="E1772" s="48"/>
      <c r="F1772" s="48"/>
      <c r="G1772" s="49" t="n">
        <f aca="false">N('Neue Artikel'!$G$33)</f>
        <v>0</v>
      </c>
      <c r="H1772" s="50" t="n">
        <f aca="false">MAX(0,IF(AND(Parameter!$B$21="Ja",ISNUMBER(Y1772)),Y1772,IF(Parameter!$B$20="Jahresanfang 2025 + Export",BR1772+BQ1772,BQ1772)))</f>
        <v>0</v>
      </c>
      <c r="I1772" s="50" t="n">
        <f aca="false">H1772*G1772</f>
        <v>0</v>
      </c>
      <c r="J1772" s="50" t="n">
        <f aca="false">BT1772*Parameter!$B$18</f>
        <v>0</v>
      </c>
      <c r="K1772" s="51"/>
      <c r="L1772" s="52"/>
      <c r="M1772" s="50" t="n">
        <f aca="false">N('Neue Artikel'!$E$33)</f>
        <v>0</v>
      </c>
      <c r="N1772" s="50" t="n">
        <f aca="false">N('Neue Artikel'!$F$33)</f>
        <v>0</v>
      </c>
      <c r="O1772" s="53"/>
      <c r="P1772" s="48" t="str">
        <f aca="false">IF('Neue Artikel'!$H$33="","LOSE",UPPER(TRIM('Neue Artikel'!$H$33)))</f>
        <v>LOSE</v>
      </c>
      <c r="Q1772" s="50" t="n">
        <f aca="false">N('Neue Artikel'!$I$33)</f>
        <v>0</v>
      </c>
      <c r="R1772" s="53" t="n">
        <f aca="false">IF(BZ1772=1,0,IFERROR(VLOOKUP(BX1772,'Gebinde-Kategorie'!$A$5:$N$45,13,0)+0,0))</f>
        <v>0</v>
      </c>
      <c r="S1772" s="54"/>
      <c r="T1772" s="55"/>
      <c r="U1772" s="55"/>
      <c r="V1772" s="55"/>
      <c r="W1772" s="48"/>
      <c r="X1772" s="50"/>
      <c r="Y1772" s="50"/>
      <c r="Z1772" s="48" t="str">
        <f aca="false">IF(A1772="","",IF(AND(Parameter!$B$21="Ja",ISNUMBER(W1772)),W1772,IF(CC1772="2+3",IF(ISNUMBER(SEARCH("grosser Artikel",BU1772)),2,IFERROR(VLOOKUP(BX1772,Parameter!$F$35:$G$64,2,0),2)),IF(OR(CC1772="Nein",CC1772=""),"-",CC1772))))</f>
        <v/>
      </c>
      <c r="AA1772" s="48" t="str">
        <f aca="false">IF('Neue Artikel'!$J$33="","",'Neue Artikel'!$J$33)</f>
        <v/>
      </c>
      <c r="AB1772" s="56"/>
      <c r="AC1772" s="50" t="n">
        <f aca="false">AV1772</f>
        <v>0</v>
      </c>
      <c r="AD1772" s="50" t="n">
        <f aca="false">MAX(AV1772,H1772)</f>
        <v>0</v>
      </c>
      <c r="AE1772" s="57"/>
      <c r="AF1772" s="50" t="n">
        <f aca="false">IF(LEFT(Cockpit!$C$5,1)="A",H1772,IF(Parameter!$E$30="MAX-Bestand",IF(CH1772=1,CI1772,IF(LEFT(Cockpit!$C$5,1)="B",AL1772,MAX(AL1772,H1772))),ROUNDUP(AJ1772,0)))</f>
        <v>0</v>
      </c>
      <c r="AG1772" s="50" t="n">
        <f aca="false">IF(BZ1772=1,0,ROUNDUP(AF1772/BY1772,0))</f>
        <v>0</v>
      </c>
      <c r="AH1772" s="52" t="n">
        <f aca="false">IF(CQ1772&gt;0,CQ1772*MAX(1,AF1772/X1772),IF(BZ1772=1,IF(AF1772&lt;=0,0,CD1772*MAX(1,IF(H1772&gt;0,AF1772/H1772,1))),IF(R1772&gt;0,AG1772/R1772,0))/MAX(0.1,N(Parameter!$M$21)))</f>
        <v>0</v>
      </c>
      <c r="AI1772" s="50" t="n">
        <f aca="false">AH1772*CB1772</f>
        <v>0</v>
      </c>
      <c r="AJ1772" s="51" t="n">
        <f aca="false">IF(LEFT(Cockpit!$C$5,1)="A",H1772,IF(CH1772=1,(CK1772+CI1772)/2,IF(LEFT(Cockpit!$C$5,1)="B",(CK1772+AL1772)/2,MAX((CK1772+AL1772)/2,H1772))))</f>
        <v>0</v>
      </c>
      <c r="AK1772" s="50" t="n">
        <f aca="false">AJ1772*G1772</f>
        <v>0</v>
      </c>
      <c r="AL1772" s="50" t="n">
        <f aca="false">ROUNDUP(CK1772+MAX(CL1772,2*(J1772/IF(CG1772&gt;0,CG1772,MAX(0.1,N(Cockpit!$C$6)))-CK1772)),0)</f>
        <v>0</v>
      </c>
      <c r="AM1772" s="51" t="n">
        <f aca="false">IF(AI1772&gt;0,J1772/AI1772,-1)</f>
        <v>-1</v>
      </c>
      <c r="AN1772" s="51" t="str">
        <f aca="false">IF(AND(OR(CF1772="L1",CF1772="L23",CF1772="LIFT"),AI1772&gt;0),SUMIFS($AI$7:$AI$1843,$CF$7:$CF$1843,CF1772,$AM$7:$AM$1843,"&gt;"&amp;AM1772)+SUMIFS($AI$7:$AI$1843,$CF$7:$CF$1843,CF1772,$AM$7:$AM$1843,AM1772,$BW$7:$BW$1843,"&lt;="&amp;BW1772),"")</f>
        <v/>
      </c>
      <c r="AO1772" s="58" t="n">
        <f aca="false">IF(AN1772="",0,MAX(0,MIN(1,(IF(CF1772="L1",Parameter!$H$5,IF(CF1772="L23",Parameter!$H$6+Parameter!$H$7,Parameter!$H$5+Parameter!$H$6+Parameter!$H$7))-(AN1772-AI1772))/AI1772)))</f>
        <v>0</v>
      </c>
      <c r="AP1772" s="50" t="n">
        <f aca="false">IF(LEFT(Cockpit!$I$5,1)="A",H1772,IF(Parameter!$E$30="MAX-Bestand",IF(CH1772=1,CI1772,IF(LEFT(Cockpit!$I$5,1)="B",AV1772,MAX(AV1772,H1772))),ROUNDUP(AT1772,0)))</f>
        <v>0</v>
      </c>
      <c r="AQ1772" s="50" t="n">
        <f aca="false">IF(BZ1772=1,0,ROUNDUP(AP1772/BY1772,0))</f>
        <v>0</v>
      </c>
      <c r="AR1772" s="52" t="n">
        <f aca="false">IF(CQ1772&gt;0,CQ1772*MAX(1,AP1772/X1772),IF(BZ1772=1,IF(AP1772&lt;=0,0,CD1772*MAX(1,IF(H1772&gt;0,AP1772/H1772,1))),IF(R1772&gt;0,AQ1772/R1772,0))/MAX(0.1,N(Parameter!$M$21)))</f>
        <v>0</v>
      </c>
      <c r="AS1772" s="50" t="n">
        <f aca="false">AR1772*CB1772</f>
        <v>0</v>
      </c>
      <c r="AT1772" s="51" t="n">
        <f aca="false">IF(LEFT(Cockpit!$I$5,1)="A",H1772,IF(CH1772=1,(CK1772+CI1772)/2,IF(LEFT(Cockpit!$I$5,1)="B",(CK1772+AV1772)/2,MAX((CK1772+AV1772)/2,H1772))))</f>
        <v>0</v>
      </c>
      <c r="AU1772" s="50" t="n">
        <f aca="false">AT1772*G1772</f>
        <v>0</v>
      </c>
      <c r="AV1772" s="50" t="n">
        <f aca="false">ROUNDUP(CK1772+MAX(CL1772,2*(J1772/IF(CG1772&gt;0,CG1772,MAX(0.1,N(Cockpit!$I$6)))-CK1772)),0)</f>
        <v>0</v>
      </c>
      <c r="AW1772" s="51" t="n">
        <f aca="false">IF(AS1772&gt;0,J1772/AS1772,-1)</f>
        <v>-1</v>
      </c>
      <c r="AX1772" s="51" t="str">
        <f aca="false">IF(AND(OR(CF1772="L1",CF1772="L23",CF1772="LIFT"),AS1772&gt;0),SUMIFS($AS$7:$AS$1843,$CF$7:$CF$1843,CF1772,$AW$7:$AW$1843,"&gt;"&amp;AW1772)+SUMIFS($AS$7:$AS$1843,$CF$7:$CF$1843,CF1772,$AW$7:$AW$1843,AW1772,$BW$7:$BW$1843,"&lt;="&amp;BW1772),"")</f>
        <v/>
      </c>
      <c r="AY1772" s="58" t="n">
        <f aca="false">IF(AX1772="",0,MAX(0,MIN(1,(IF(CF1772="L1",Parameter!$H$5,IF(CF1772="L23",Parameter!$H$6+Parameter!$H$7,Parameter!$H$5+Parameter!$H$6+Parameter!$H$7))-(AX1772-AS1772))/AS1772)))</f>
        <v>0</v>
      </c>
      <c r="AZ1772" s="50" t="n">
        <f aca="false">IF(LEFT(Cockpit!$O$5,1)="A",H1772,IF(Parameter!$E$30="MAX-Bestand",IF(CH1772=1,CI1772,IF(LEFT(Cockpit!$O$5,1)="B",BF1772,MAX(BF1772,H1772))),ROUNDUP(BD1772,0)))</f>
        <v>0</v>
      </c>
      <c r="BA1772" s="50" t="n">
        <f aca="false">IF(BZ1772=1,0,ROUNDUP(AZ1772/BY1772,0))</f>
        <v>0</v>
      </c>
      <c r="BB1772" s="52" t="n">
        <f aca="false">IF(CQ1772&gt;0,CQ1772*MAX(1,AZ1772/X1772),IF(BZ1772=1,IF(AZ1772&lt;=0,0,CD1772*MAX(1,IF(H1772&gt;0,AZ1772/H1772,1))),IF(R1772&gt;0,BA1772/R1772,0))/MAX(0.1,N(Parameter!$M$21)))</f>
        <v>0</v>
      </c>
      <c r="BC1772" s="50" t="n">
        <f aca="false">BB1772*CB1772</f>
        <v>0</v>
      </c>
      <c r="BD1772" s="51" t="n">
        <f aca="false">IF(LEFT(Cockpit!$O$5,1)="A",H1772,IF(CH1772=1,(CK1772+CI1772)/2,IF(LEFT(Cockpit!$O$5,1)="B",(CK1772+BF1772)/2,MAX((CK1772+BF1772)/2,H1772))))</f>
        <v>0</v>
      </c>
      <c r="BE1772" s="50" t="n">
        <f aca="false">BD1772*G1772</f>
        <v>0</v>
      </c>
      <c r="BF1772" s="50" t="n">
        <f aca="false">ROUNDUP(CK1772+MAX(CL1772,2*(J1772/IF(CG1772&gt;0,CG1772,MAX(0.1,N(Cockpit!$O$6)))-CK1772)),0)</f>
        <v>0</v>
      </c>
      <c r="BG1772" s="51" t="n">
        <f aca="false">IF(BC1772&gt;0,J1772/BC1772,-1)</f>
        <v>-1</v>
      </c>
      <c r="BH1772" s="51" t="str">
        <f aca="false">IF(AND(OR(CF1772="L1",CF1772="L23",CF1772="LIFT"),BC1772&gt;0),SUMIFS($BC$7:$BC$1843,$CF$7:$CF$1843,CF1772,$BG$7:$BG$1843,"&gt;"&amp;BG1772)+SUMIFS($BC$7:$BC$1843,$CF$7:$CF$1843,CF1772,$BG$7:$BG$1843,BG1772,$BW$7:$BW$1843,"&lt;="&amp;BW1772),"")</f>
        <v/>
      </c>
      <c r="BI1772" s="58" t="n">
        <f aca="false">IF(BH1772="",0,MAX(0,MIN(1,(IF(CF1772="L1",Parameter!$H$5,IF(CF1772="L23",Parameter!$H$6+Parameter!$H$7,Parameter!$H$5+Parameter!$H$6+Parameter!$H$7))-(BH1772-BC1772))/BC1772)))</f>
        <v>0</v>
      </c>
      <c r="BJ1772" s="48" t="str">
        <f aca="false">IF(AI1772&lt;=0,"",IF(CF1772="Aussen","Aussenlager",IF(CF1772="-","Nicht im Lift",IF(AO1772&gt;=1,"Lift",IF(AO1772&lt;=0,"Aussenlager","teilweise")))))</f>
        <v/>
      </c>
      <c r="BK1772" s="48" t="str">
        <f aca="false">IF(AS1772&lt;=0,"",IF(CF1772="Aussen","Aussenlager",IF(CF1772="-","Nicht im Lift",IF(AY1772&gt;=1,"Lift",IF(AY1772&lt;=0,"Aussenlager","teilweise")))))</f>
        <v/>
      </c>
      <c r="BL1772" s="48" t="str">
        <f aca="false">IF(BC1772&lt;=0,"",IF(CF1772="Aussen","Aussenlager",IF(CF1772="-","Nicht im Lift",IF(BI1772&gt;=1,"Lift",IF(BI1772&lt;=0,"Aussenlager","teilweise")))))</f>
        <v/>
      </c>
      <c r="BM1772" s="48" t="str">
        <f aca="false">IF(A1772="","",IF(BV1772=1,"Neu; ","")&amp;IF(AND(BV1772=0,BQ1772&lt;0),"negativer Bestand (Export "&amp;BQ1772&amp;"); ","")&amp;IF(J1772&lt;=0,"Kein Verbrauch; ","")&amp;IF(CQ1772&gt;0,"Lift "&amp;W1772&amp;" lt. Liftbericht (Fach "&amp;X1772&amp;" Stk); ",IF(CA1772=1,"Gebinde geschätzt ("&amp;T1772&amp;"); ",IF(BZ1772=1,"Lose – Tablare geschätzt; ","")))&amp;IF(H1772&gt;AV1772,"Überbestand "&amp;ROUND(H1772-AV1772,0)&amp;" Stk / CHF "&amp;ROUND((H1772-AV1772)*G1772,0)&amp;"; ","")&amp;IF(AND(CH1772=1,CI1772&lt;CJ1772),"MAX &lt; MB+LG; ","")&amp;IF(AND(CP1772&gt;0,CO1772*10&gt;CP1772),"zu hoch für Tablar; ","")&amp;IF(AND(BV1772=0,OR(CH1772=1,AA1772&lt;&gt;"",U1772&lt;&gt;"",V1772&lt;&gt;"",AB1772&lt;&gt;"")),"manuell übersteuert; ","")&amp;IF(AND(BZ1772=0,R1772=0),"Gebinde unbekannt / Stellmass fehlt; ","")&amp;IF(AND(BZ1772=0,N(V1772)&lt;=0,N(Q1772)&lt;=0),"Menge pro Gebinde fehlt (Ist = 1 Gebinde); ","")&amp;BU1772)</f>
        <v/>
      </c>
      <c r="BN1772" s="48"/>
      <c r="BO1772" s="48"/>
      <c r="BP1772" s="55"/>
      <c r="BQ1772" s="50" t="n">
        <f aca="false">N('Neue Artikel'!$D$33)</f>
        <v>0</v>
      </c>
      <c r="BR1772" s="50" t="n">
        <v>0</v>
      </c>
      <c r="BS1772" s="49" t="n">
        <v>0</v>
      </c>
      <c r="BT1772" s="50" t="n">
        <f aca="false">N('Neue Artikel'!$C$33)/Parameter!$B$18</f>
        <v>0</v>
      </c>
      <c r="BU1772" s="48"/>
      <c r="BV1772" s="53" t="n">
        <v>1</v>
      </c>
      <c r="BW1772" s="53" t="n">
        <v>1772</v>
      </c>
      <c r="BX1772" s="48" t="str">
        <f aca="false">IF(U1772&lt;&gt;"",UPPER(TRIM(U1772)),IF(CA1772=1,UPPER(VLOOKUP(T1772,Parameter!$I$27:$K$29,2,0)),IF(P1772="","LOSE",P1772)))</f>
        <v>LOSE</v>
      </c>
      <c r="BY1772" s="50" t="n">
        <f aca="false">IF(BX1772="LOSE",1,IF(N(V1772)&gt;0,V1772,IF(CA1772=1,MAX(1,N(VLOOKUP(T1772,Parameter!$I$27:$K$29,3,0)),H1772,N(N1772)),IF(N(Q1772)&gt;0,Q1772,MAX(1,H1772)))))</f>
        <v>1</v>
      </c>
      <c r="BZ1772" s="53" t="n">
        <f aca="false">IF(BX1772="LOSE",1,0)</f>
        <v>1</v>
      </c>
      <c r="CA1772" s="53" t="n">
        <f aca="false">IF(AND(U1772="",OR(P1772="",P1772="LOSE"),T1772&lt;&gt;"",N(S1772)&lt;=0,ISNUMBER(MATCH(T1772,Parameter!$I$27:$I$29,0))),1,0)</f>
        <v>0</v>
      </c>
      <c r="CB1772" s="53" t="n">
        <f aca="false">IF(CQ1772&gt;0,INDEX(Parameter!$H$5:$H$7,W1772)/INDEX(Parameter!$E$5:$E$7,W1772),IF(AND(BZ1772=0,N(IFERROR(VLOOKUP(BX1772,'Gebinde-Kategorie'!$A$5:$N$45,14,0),0))&gt;0),VLOOKUP(BX1772,'Gebinde-Kategorie'!$A$5:$N$45,14,0)*10+Parameter!$M$23,Parameter!$M$24))</f>
        <v>235</v>
      </c>
      <c r="CC1772" s="48" t="str">
        <f aca="false">IF(AND(Parameter!$B$19="Ja",E1772&lt;&gt;"",ISNUMBER(MATCH(E1772,Parameter!$I$35:$I$52,0))),VLOOKUP(E1772,Parameter!$I$35:$J$52,2,0),IFERROR(VLOOKUP(D1772,Parameter!$A$35:$C$64,2,0),"Nein"))</f>
        <v>2+3</v>
      </c>
      <c r="CD1772" s="52" t="n">
        <f aca="false">IF(BZ1772=0,0,IF(N(S1772)&gt;0,S1772,IFERROR(VLOOKUP(D1772,Parameter!$A$35:$C$64,3,0)+0,0)))</f>
        <v>0.15</v>
      </c>
      <c r="CE1772" s="48" t="str">
        <f aca="false">IF(AA1772&lt;&gt;"",AA1772,Z1772)</f>
        <v/>
      </c>
      <c r="CF1772" s="48" t="str">
        <f aca="false">IF(OR(CE1772=1,CE1772=2,CE1772=3),IF(Parameter!$E$27="Ja","LIFT",IF(CE1772=1,"L1","L23")),IF(CE1772="Aussen","Aussen","-"))</f>
        <v>-</v>
      </c>
      <c r="CG1772" s="59" t="n">
        <f aca="false">IF(N(AB1772)&gt;0,AB1772,0)</f>
        <v>0</v>
      </c>
      <c r="CH1772" s="53" t="n">
        <f aca="false">IF(ISNUMBER(AE1772),1,0)</f>
        <v>0</v>
      </c>
      <c r="CI1772" s="50" t="n">
        <f aca="false">N(AE1772)</f>
        <v>0</v>
      </c>
      <c r="CJ1772" s="50" t="n">
        <f aca="false">N(M1772)+N(N1772)</f>
        <v>0</v>
      </c>
      <c r="CK1772" s="50" t="n">
        <f aca="false">N(M1772)</f>
        <v>0</v>
      </c>
      <c r="CL1772" s="50" t="n">
        <f aca="false">N(N1772)</f>
        <v>0</v>
      </c>
      <c r="CM1772" s="50" t="n">
        <f aca="false">ROUNDUP(H1772/BY1772,0)</f>
        <v>0</v>
      </c>
      <c r="CN1772" s="50" t="n">
        <f aca="false">ROUNDUP(CI1772/BY1772,0)</f>
        <v>0</v>
      </c>
      <c r="CO1772" s="53" t="n">
        <f aca="false">IF(BZ1772=1,0,IFERROR(VLOOKUP(BX1772,'Gebinde-Kategorie'!$A$5:$N$45,5,0)+0,0))</f>
        <v>0</v>
      </c>
      <c r="CP1772" s="53" t="n">
        <f aca="false">IFERROR(IF(OR(CE1772=1,CE1772=2,CE1772=3),N(INDEX(Parameter!$I$5:$I$7,CE1772)),0),0)</f>
        <v>0</v>
      </c>
      <c r="CQ1772" s="52" t="n">
        <f aca="false">IF(AND(Parameter!$B$21="Ja",ISNUMBER(W1772),N(X1772)&gt;0),IFERROR(N(INDEX(Parameter!$L$5:$L$7,W1772))*INDEX(Parameter!$E$5:$E$7,W1772)*X1772/SUMIFS($X$7:$X$1843,$W$7:$W$1843,W1772),0),0)</f>
        <v>0</v>
      </c>
    </row>
    <row r="1773" customFormat="false" ht="15" hidden="false" customHeight="false" outlineLevel="0" collapsed="false">
      <c r="A1773" s="48" t="str">
        <f aca="false">IF('Neue Artikel'!$A$34="","",'Neue Artikel'!$A$34&amp;"")</f>
        <v/>
      </c>
      <c r="B1773" s="48" t="str">
        <f aca="false">'Neue Artikel'!$B$34&amp;""</f>
        <v/>
      </c>
      <c r="C1773" s="48"/>
      <c r="D1773" s="48" t="s">
        <v>3024</v>
      </c>
      <c r="E1773" s="48"/>
      <c r="F1773" s="48"/>
      <c r="G1773" s="49" t="n">
        <f aca="false">N('Neue Artikel'!$G$34)</f>
        <v>0</v>
      </c>
      <c r="H1773" s="50" t="n">
        <f aca="false">MAX(0,IF(AND(Parameter!$B$21="Ja",ISNUMBER(Y1773)),Y1773,IF(Parameter!$B$20="Jahresanfang 2025 + Export",BR1773+BQ1773,BQ1773)))</f>
        <v>0</v>
      </c>
      <c r="I1773" s="50" t="n">
        <f aca="false">H1773*G1773</f>
        <v>0</v>
      </c>
      <c r="J1773" s="50" t="n">
        <f aca="false">BT1773*Parameter!$B$18</f>
        <v>0</v>
      </c>
      <c r="K1773" s="51"/>
      <c r="L1773" s="52"/>
      <c r="M1773" s="50" t="n">
        <f aca="false">N('Neue Artikel'!$E$34)</f>
        <v>0</v>
      </c>
      <c r="N1773" s="50" t="n">
        <f aca="false">N('Neue Artikel'!$F$34)</f>
        <v>0</v>
      </c>
      <c r="O1773" s="53"/>
      <c r="P1773" s="48" t="str">
        <f aca="false">IF('Neue Artikel'!$H$34="","LOSE",UPPER(TRIM('Neue Artikel'!$H$34)))</f>
        <v>LOSE</v>
      </c>
      <c r="Q1773" s="50" t="n">
        <f aca="false">N('Neue Artikel'!$I$34)</f>
        <v>0</v>
      </c>
      <c r="R1773" s="53" t="n">
        <f aca="false">IF(BZ1773=1,0,IFERROR(VLOOKUP(BX1773,'Gebinde-Kategorie'!$A$5:$N$45,13,0)+0,0))</f>
        <v>0</v>
      </c>
      <c r="S1773" s="54"/>
      <c r="T1773" s="55"/>
      <c r="U1773" s="55"/>
      <c r="V1773" s="55"/>
      <c r="W1773" s="48"/>
      <c r="X1773" s="50"/>
      <c r="Y1773" s="50"/>
      <c r="Z1773" s="48" t="str">
        <f aca="false">IF(A1773="","",IF(AND(Parameter!$B$21="Ja",ISNUMBER(W1773)),W1773,IF(CC1773="2+3",IF(ISNUMBER(SEARCH("grosser Artikel",BU1773)),2,IFERROR(VLOOKUP(BX1773,Parameter!$F$35:$G$64,2,0),2)),IF(OR(CC1773="Nein",CC1773=""),"-",CC1773))))</f>
        <v/>
      </c>
      <c r="AA1773" s="48" t="str">
        <f aca="false">IF('Neue Artikel'!$J$34="","",'Neue Artikel'!$J$34)</f>
        <v/>
      </c>
      <c r="AB1773" s="56"/>
      <c r="AC1773" s="50" t="n">
        <f aca="false">AV1773</f>
        <v>0</v>
      </c>
      <c r="AD1773" s="50" t="n">
        <f aca="false">MAX(AV1773,H1773)</f>
        <v>0</v>
      </c>
      <c r="AE1773" s="57"/>
      <c r="AF1773" s="50" t="n">
        <f aca="false">IF(LEFT(Cockpit!$C$5,1)="A",H1773,IF(Parameter!$E$30="MAX-Bestand",IF(CH1773=1,CI1773,IF(LEFT(Cockpit!$C$5,1)="B",AL1773,MAX(AL1773,H1773))),ROUNDUP(AJ1773,0)))</f>
        <v>0</v>
      </c>
      <c r="AG1773" s="50" t="n">
        <f aca="false">IF(BZ1773=1,0,ROUNDUP(AF1773/BY1773,0))</f>
        <v>0</v>
      </c>
      <c r="AH1773" s="52" t="n">
        <f aca="false">IF(CQ1773&gt;0,CQ1773*MAX(1,AF1773/X1773),IF(BZ1773=1,IF(AF1773&lt;=0,0,CD1773*MAX(1,IF(H1773&gt;0,AF1773/H1773,1))),IF(R1773&gt;0,AG1773/R1773,0))/MAX(0.1,N(Parameter!$M$21)))</f>
        <v>0</v>
      </c>
      <c r="AI1773" s="50" t="n">
        <f aca="false">AH1773*CB1773</f>
        <v>0</v>
      </c>
      <c r="AJ1773" s="51" t="n">
        <f aca="false">IF(LEFT(Cockpit!$C$5,1)="A",H1773,IF(CH1773=1,(CK1773+CI1773)/2,IF(LEFT(Cockpit!$C$5,1)="B",(CK1773+AL1773)/2,MAX((CK1773+AL1773)/2,H1773))))</f>
        <v>0</v>
      </c>
      <c r="AK1773" s="50" t="n">
        <f aca="false">AJ1773*G1773</f>
        <v>0</v>
      </c>
      <c r="AL1773" s="50" t="n">
        <f aca="false">ROUNDUP(CK1773+MAX(CL1773,2*(J1773/IF(CG1773&gt;0,CG1773,MAX(0.1,N(Cockpit!$C$6)))-CK1773)),0)</f>
        <v>0</v>
      </c>
      <c r="AM1773" s="51" t="n">
        <f aca="false">IF(AI1773&gt;0,J1773/AI1773,-1)</f>
        <v>-1</v>
      </c>
      <c r="AN1773" s="51" t="str">
        <f aca="false">IF(AND(OR(CF1773="L1",CF1773="L23",CF1773="LIFT"),AI1773&gt;0),SUMIFS($AI$7:$AI$1843,$CF$7:$CF$1843,CF1773,$AM$7:$AM$1843,"&gt;"&amp;AM1773)+SUMIFS($AI$7:$AI$1843,$CF$7:$CF$1843,CF1773,$AM$7:$AM$1843,AM1773,$BW$7:$BW$1843,"&lt;="&amp;BW1773),"")</f>
        <v/>
      </c>
      <c r="AO1773" s="58" t="n">
        <f aca="false">IF(AN1773="",0,MAX(0,MIN(1,(IF(CF1773="L1",Parameter!$H$5,IF(CF1773="L23",Parameter!$H$6+Parameter!$H$7,Parameter!$H$5+Parameter!$H$6+Parameter!$H$7))-(AN1773-AI1773))/AI1773)))</f>
        <v>0</v>
      </c>
      <c r="AP1773" s="50" t="n">
        <f aca="false">IF(LEFT(Cockpit!$I$5,1)="A",H1773,IF(Parameter!$E$30="MAX-Bestand",IF(CH1773=1,CI1773,IF(LEFT(Cockpit!$I$5,1)="B",AV1773,MAX(AV1773,H1773))),ROUNDUP(AT1773,0)))</f>
        <v>0</v>
      </c>
      <c r="AQ1773" s="50" t="n">
        <f aca="false">IF(BZ1773=1,0,ROUNDUP(AP1773/BY1773,0))</f>
        <v>0</v>
      </c>
      <c r="AR1773" s="52" t="n">
        <f aca="false">IF(CQ1773&gt;0,CQ1773*MAX(1,AP1773/X1773),IF(BZ1773=1,IF(AP1773&lt;=0,0,CD1773*MAX(1,IF(H1773&gt;0,AP1773/H1773,1))),IF(R1773&gt;0,AQ1773/R1773,0))/MAX(0.1,N(Parameter!$M$21)))</f>
        <v>0</v>
      </c>
      <c r="AS1773" s="50" t="n">
        <f aca="false">AR1773*CB1773</f>
        <v>0</v>
      </c>
      <c r="AT1773" s="51" t="n">
        <f aca="false">IF(LEFT(Cockpit!$I$5,1)="A",H1773,IF(CH1773=1,(CK1773+CI1773)/2,IF(LEFT(Cockpit!$I$5,1)="B",(CK1773+AV1773)/2,MAX((CK1773+AV1773)/2,H1773))))</f>
        <v>0</v>
      </c>
      <c r="AU1773" s="50" t="n">
        <f aca="false">AT1773*G1773</f>
        <v>0</v>
      </c>
      <c r="AV1773" s="50" t="n">
        <f aca="false">ROUNDUP(CK1773+MAX(CL1773,2*(J1773/IF(CG1773&gt;0,CG1773,MAX(0.1,N(Cockpit!$I$6)))-CK1773)),0)</f>
        <v>0</v>
      </c>
      <c r="AW1773" s="51" t="n">
        <f aca="false">IF(AS1773&gt;0,J1773/AS1773,-1)</f>
        <v>-1</v>
      </c>
      <c r="AX1773" s="51" t="str">
        <f aca="false">IF(AND(OR(CF1773="L1",CF1773="L23",CF1773="LIFT"),AS1773&gt;0),SUMIFS($AS$7:$AS$1843,$CF$7:$CF$1843,CF1773,$AW$7:$AW$1843,"&gt;"&amp;AW1773)+SUMIFS($AS$7:$AS$1843,$CF$7:$CF$1843,CF1773,$AW$7:$AW$1843,AW1773,$BW$7:$BW$1843,"&lt;="&amp;BW1773),"")</f>
        <v/>
      </c>
      <c r="AY1773" s="58" t="n">
        <f aca="false">IF(AX1773="",0,MAX(0,MIN(1,(IF(CF1773="L1",Parameter!$H$5,IF(CF1773="L23",Parameter!$H$6+Parameter!$H$7,Parameter!$H$5+Parameter!$H$6+Parameter!$H$7))-(AX1773-AS1773))/AS1773)))</f>
        <v>0</v>
      </c>
      <c r="AZ1773" s="50" t="n">
        <f aca="false">IF(LEFT(Cockpit!$O$5,1)="A",H1773,IF(Parameter!$E$30="MAX-Bestand",IF(CH1773=1,CI1773,IF(LEFT(Cockpit!$O$5,1)="B",BF1773,MAX(BF1773,H1773))),ROUNDUP(BD1773,0)))</f>
        <v>0</v>
      </c>
      <c r="BA1773" s="50" t="n">
        <f aca="false">IF(BZ1773=1,0,ROUNDUP(AZ1773/BY1773,0))</f>
        <v>0</v>
      </c>
      <c r="BB1773" s="52" t="n">
        <f aca="false">IF(CQ1773&gt;0,CQ1773*MAX(1,AZ1773/X1773),IF(BZ1773=1,IF(AZ1773&lt;=0,0,CD1773*MAX(1,IF(H1773&gt;0,AZ1773/H1773,1))),IF(R1773&gt;0,BA1773/R1773,0))/MAX(0.1,N(Parameter!$M$21)))</f>
        <v>0</v>
      </c>
      <c r="BC1773" s="50" t="n">
        <f aca="false">BB1773*CB1773</f>
        <v>0</v>
      </c>
      <c r="BD1773" s="51" t="n">
        <f aca="false">IF(LEFT(Cockpit!$O$5,1)="A",H1773,IF(CH1773=1,(CK1773+CI1773)/2,IF(LEFT(Cockpit!$O$5,1)="B",(CK1773+BF1773)/2,MAX((CK1773+BF1773)/2,H1773))))</f>
        <v>0</v>
      </c>
      <c r="BE1773" s="50" t="n">
        <f aca="false">BD1773*G1773</f>
        <v>0</v>
      </c>
      <c r="BF1773" s="50" t="n">
        <f aca="false">ROUNDUP(CK1773+MAX(CL1773,2*(J1773/IF(CG1773&gt;0,CG1773,MAX(0.1,N(Cockpit!$O$6)))-CK1773)),0)</f>
        <v>0</v>
      </c>
      <c r="BG1773" s="51" t="n">
        <f aca="false">IF(BC1773&gt;0,J1773/BC1773,-1)</f>
        <v>-1</v>
      </c>
      <c r="BH1773" s="51" t="str">
        <f aca="false">IF(AND(OR(CF1773="L1",CF1773="L23",CF1773="LIFT"),BC1773&gt;0),SUMIFS($BC$7:$BC$1843,$CF$7:$CF$1843,CF1773,$BG$7:$BG$1843,"&gt;"&amp;BG1773)+SUMIFS($BC$7:$BC$1843,$CF$7:$CF$1843,CF1773,$BG$7:$BG$1843,BG1773,$BW$7:$BW$1843,"&lt;="&amp;BW1773),"")</f>
        <v/>
      </c>
      <c r="BI1773" s="58" t="n">
        <f aca="false">IF(BH1773="",0,MAX(0,MIN(1,(IF(CF1773="L1",Parameter!$H$5,IF(CF1773="L23",Parameter!$H$6+Parameter!$H$7,Parameter!$H$5+Parameter!$H$6+Parameter!$H$7))-(BH1773-BC1773))/BC1773)))</f>
        <v>0</v>
      </c>
      <c r="BJ1773" s="48" t="str">
        <f aca="false">IF(AI1773&lt;=0,"",IF(CF1773="Aussen","Aussenlager",IF(CF1773="-","Nicht im Lift",IF(AO1773&gt;=1,"Lift",IF(AO1773&lt;=0,"Aussenlager","teilweise")))))</f>
        <v/>
      </c>
      <c r="BK1773" s="48" t="str">
        <f aca="false">IF(AS1773&lt;=0,"",IF(CF1773="Aussen","Aussenlager",IF(CF1773="-","Nicht im Lift",IF(AY1773&gt;=1,"Lift",IF(AY1773&lt;=0,"Aussenlager","teilweise")))))</f>
        <v/>
      </c>
      <c r="BL1773" s="48" t="str">
        <f aca="false">IF(BC1773&lt;=0,"",IF(CF1773="Aussen","Aussenlager",IF(CF1773="-","Nicht im Lift",IF(BI1773&gt;=1,"Lift",IF(BI1773&lt;=0,"Aussenlager","teilweise")))))</f>
        <v/>
      </c>
      <c r="BM1773" s="48" t="str">
        <f aca="false">IF(A1773="","",IF(BV1773=1,"Neu; ","")&amp;IF(AND(BV1773=0,BQ1773&lt;0),"negativer Bestand (Export "&amp;BQ1773&amp;"); ","")&amp;IF(J1773&lt;=0,"Kein Verbrauch; ","")&amp;IF(CQ1773&gt;0,"Lift "&amp;W1773&amp;" lt. Liftbericht (Fach "&amp;X1773&amp;" Stk); ",IF(CA1773=1,"Gebinde geschätzt ("&amp;T1773&amp;"); ",IF(BZ1773=1,"Lose – Tablare geschätzt; ","")))&amp;IF(H1773&gt;AV1773,"Überbestand "&amp;ROUND(H1773-AV1773,0)&amp;" Stk / CHF "&amp;ROUND((H1773-AV1773)*G1773,0)&amp;"; ","")&amp;IF(AND(CH1773=1,CI1773&lt;CJ1773),"MAX &lt; MB+LG; ","")&amp;IF(AND(CP1773&gt;0,CO1773*10&gt;CP1773),"zu hoch für Tablar; ","")&amp;IF(AND(BV1773=0,OR(CH1773=1,AA1773&lt;&gt;"",U1773&lt;&gt;"",V1773&lt;&gt;"",AB1773&lt;&gt;"")),"manuell übersteuert; ","")&amp;IF(AND(BZ1773=0,R1773=0),"Gebinde unbekannt / Stellmass fehlt; ","")&amp;IF(AND(BZ1773=0,N(V1773)&lt;=0,N(Q1773)&lt;=0),"Menge pro Gebinde fehlt (Ist = 1 Gebinde); ","")&amp;BU1773)</f>
        <v/>
      </c>
      <c r="BN1773" s="48"/>
      <c r="BO1773" s="48"/>
      <c r="BP1773" s="55"/>
      <c r="BQ1773" s="50" t="n">
        <f aca="false">N('Neue Artikel'!$D$34)</f>
        <v>0</v>
      </c>
      <c r="BR1773" s="50" t="n">
        <v>0</v>
      </c>
      <c r="BS1773" s="49" t="n">
        <v>0</v>
      </c>
      <c r="BT1773" s="50" t="n">
        <f aca="false">N('Neue Artikel'!$C$34)/Parameter!$B$18</f>
        <v>0</v>
      </c>
      <c r="BU1773" s="48"/>
      <c r="BV1773" s="53" t="n">
        <v>1</v>
      </c>
      <c r="BW1773" s="53" t="n">
        <v>1773</v>
      </c>
      <c r="BX1773" s="48" t="str">
        <f aca="false">IF(U1773&lt;&gt;"",UPPER(TRIM(U1773)),IF(CA1773=1,UPPER(VLOOKUP(T1773,Parameter!$I$27:$K$29,2,0)),IF(P1773="","LOSE",P1773)))</f>
        <v>LOSE</v>
      </c>
      <c r="BY1773" s="50" t="n">
        <f aca="false">IF(BX1773="LOSE",1,IF(N(V1773)&gt;0,V1773,IF(CA1773=1,MAX(1,N(VLOOKUP(T1773,Parameter!$I$27:$K$29,3,0)),H1773,N(N1773)),IF(N(Q1773)&gt;0,Q1773,MAX(1,H1773)))))</f>
        <v>1</v>
      </c>
      <c r="BZ1773" s="53" t="n">
        <f aca="false">IF(BX1773="LOSE",1,0)</f>
        <v>1</v>
      </c>
      <c r="CA1773" s="53" t="n">
        <f aca="false">IF(AND(U1773="",OR(P1773="",P1773="LOSE"),T1773&lt;&gt;"",N(S1773)&lt;=0,ISNUMBER(MATCH(T1773,Parameter!$I$27:$I$29,0))),1,0)</f>
        <v>0</v>
      </c>
      <c r="CB1773" s="53" t="n">
        <f aca="false">IF(CQ1773&gt;0,INDEX(Parameter!$H$5:$H$7,W1773)/INDEX(Parameter!$E$5:$E$7,W1773),IF(AND(BZ1773=0,N(IFERROR(VLOOKUP(BX1773,'Gebinde-Kategorie'!$A$5:$N$45,14,0),0))&gt;0),VLOOKUP(BX1773,'Gebinde-Kategorie'!$A$5:$N$45,14,0)*10+Parameter!$M$23,Parameter!$M$24))</f>
        <v>235</v>
      </c>
      <c r="CC1773" s="48" t="str">
        <f aca="false">IF(AND(Parameter!$B$19="Ja",E1773&lt;&gt;"",ISNUMBER(MATCH(E1773,Parameter!$I$35:$I$52,0))),VLOOKUP(E1773,Parameter!$I$35:$J$52,2,0),IFERROR(VLOOKUP(D1773,Parameter!$A$35:$C$64,2,0),"Nein"))</f>
        <v>2+3</v>
      </c>
      <c r="CD1773" s="52" t="n">
        <f aca="false">IF(BZ1773=0,0,IF(N(S1773)&gt;0,S1773,IFERROR(VLOOKUP(D1773,Parameter!$A$35:$C$64,3,0)+0,0)))</f>
        <v>0.15</v>
      </c>
      <c r="CE1773" s="48" t="str">
        <f aca="false">IF(AA1773&lt;&gt;"",AA1773,Z1773)</f>
        <v/>
      </c>
      <c r="CF1773" s="48" t="str">
        <f aca="false">IF(OR(CE1773=1,CE1773=2,CE1773=3),IF(Parameter!$E$27="Ja","LIFT",IF(CE1773=1,"L1","L23")),IF(CE1773="Aussen","Aussen","-"))</f>
        <v>-</v>
      </c>
      <c r="CG1773" s="59" t="n">
        <f aca="false">IF(N(AB1773)&gt;0,AB1773,0)</f>
        <v>0</v>
      </c>
      <c r="CH1773" s="53" t="n">
        <f aca="false">IF(ISNUMBER(AE1773),1,0)</f>
        <v>0</v>
      </c>
      <c r="CI1773" s="50" t="n">
        <f aca="false">N(AE1773)</f>
        <v>0</v>
      </c>
      <c r="CJ1773" s="50" t="n">
        <f aca="false">N(M1773)+N(N1773)</f>
        <v>0</v>
      </c>
      <c r="CK1773" s="50" t="n">
        <f aca="false">N(M1773)</f>
        <v>0</v>
      </c>
      <c r="CL1773" s="50" t="n">
        <f aca="false">N(N1773)</f>
        <v>0</v>
      </c>
      <c r="CM1773" s="50" t="n">
        <f aca="false">ROUNDUP(H1773/BY1773,0)</f>
        <v>0</v>
      </c>
      <c r="CN1773" s="50" t="n">
        <f aca="false">ROUNDUP(CI1773/BY1773,0)</f>
        <v>0</v>
      </c>
      <c r="CO1773" s="53" t="n">
        <f aca="false">IF(BZ1773=1,0,IFERROR(VLOOKUP(BX1773,'Gebinde-Kategorie'!$A$5:$N$45,5,0)+0,0))</f>
        <v>0</v>
      </c>
      <c r="CP1773" s="53" t="n">
        <f aca="false">IFERROR(IF(OR(CE1773=1,CE1773=2,CE1773=3),N(INDEX(Parameter!$I$5:$I$7,CE1773)),0),0)</f>
        <v>0</v>
      </c>
      <c r="CQ1773" s="52" t="n">
        <f aca="false">IF(AND(Parameter!$B$21="Ja",ISNUMBER(W1773),N(X1773)&gt;0),IFERROR(N(INDEX(Parameter!$L$5:$L$7,W1773))*INDEX(Parameter!$E$5:$E$7,W1773)*X1773/SUMIFS($X$7:$X$1843,$W$7:$W$1843,W1773),0),0)</f>
        <v>0</v>
      </c>
    </row>
    <row r="1774" customFormat="false" ht="15" hidden="false" customHeight="false" outlineLevel="0" collapsed="false">
      <c r="A1774" s="48" t="str">
        <f aca="false">IF('Neue Artikel'!$A$35="","",'Neue Artikel'!$A$35&amp;"")</f>
        <v/>
      </c>
      <c r="B1774" s="48" t="str">
        <f aca="false">'Neue Artikel'!$B$35&amp;""</f>
        <v/>
      </c>
      <c r="C1774" s="48"/>
      <c r="D1774" s="48" t="s">
        <v>3024</v>
      </c>
      <c r="E1774" s="48"/>
      <c r="F1774" s="48"/>
      <c r="G1774" s="49" t="n">
        <f aca="false">N('Neue Artikel'!$G$35)</f>
        <v>0</v>
      </c>
      <c r="H1774" s="50" t="n">
        <f aca="false">MAX(0,IF(AND(Parameter!$B$21="Ja",ISNUMBER(Y1774)),Y1774,IF(Parameter!$B$20="Jahresanfang 2025 + Export",BR1774+BQ1774,BQ1774)))</f>
        <v>0</v>
      </c>
      <c r="I1774" s="50" t="n">
        <f aca="false">H1774*G1774</f>
        <v>0</v>
      </c>
      <c r="J1774" s="50" t="n">
        <f aca="false">BT1774*Parameter!$B$18</f>
        <v>0</v>
      </c>
      <c r="K1774" s="51"/>
      <c r="L1774" s="52"/>
      <c r="M1774" s="50" t="n">
        <f aca="false">N('Neue Artikel'!$E$35)</f>
        <v>0</v>
      </c>
      <c r="N1774" s="50" t="n">
        <f aca="false">N('Neue Artikel'!$F$35)</f>
        <v>0</v>
      </c>
      <c r="O1774" s="53"/>
      <c r="P1774" s="48" t="str">
        <f aca="false">IF('Neue Artikel'!$H$35="","LOSE",UPPER(TRIM('Neue Artikel'!$H$35)))</f>
        <v>LOSE</v>
      </c>
      <c r="Q1774" s="50" t="n">
        <f aca="false">N('Neue Artikel'!$I$35)</f>
        <v>0</v>
      </c>
      <c r="R1774" s="53" t="n">
        <f aca="false">IF(BZ1774=1,0,IFERROR(VLOOKUP(BX1774,'Gebinde-Kategorie'!$A$5:$N$45,13,0)+0,0))</f>
        <v>0</v>
      </c>
      <c r="S1774" s="54"/>
      <c r="T1774" s="55"/>
      <c r="U1774" s="55"/>
      <c r="V1774" s="55"/>
      <c r="W1774" s="48"/>
      <c r="X1774" s="50"/>
      <c r="Y1774" s="50"/>
      <c r="Z1774" s="48" t="str">
        <f aca="false">IF(A1774="","",IF(AND(Parameter!$B$21="Ja",ISNUMBER(W1774)),W1774,IF(CC1774="2+3",IF(ISNUMBER(SEARCH("grosser Artikel",BU1774)),2,IFERROR(VLOOKUP(BX1774,Parameter!$F$35:$G$64,2,0),2)),IF(OR(CC1774="Nein",CC1774=""),"-",CC1774))))</f>
        <v/>
      </c>
      <c r="AA1774" s="48" t="str">
        <f aca="false">IF('Neue Artikel'!$J$35="","",'Neue Artikel'!$J$35)</f>
        <v/>
      </c>
      <c r="AB1774" s="56"/>
      <c r="AC1774" s="50" t="n">
        <f aca="false">AV1774</f>
        <v>0</v>
      </c>
      <c r="AD1774" s="50" t="n">
        <f aca="false">MAX(AV1774,H1774)</f>
        <v>0</v>
      </c>
      <c r="AE1774" s="57"/>
      <c r="AF1774" s="50" t="n">
        <f aca="false">IF(LEFT(Cockpit!$C$5,1)="A",H1774,IF(Parameter!$E$30="MAX-Bestand",IF(CH1774=1,CI1774,IF(LEFT(Cockpit!$C$5,1)="B",AL1774,MAX(AL1774,H1774))),ROUNDUP(AJ1774,0)))</f>
        <v>0</v>
      </c>
      <c r="AG1774" s="50" t="n">
        <f aca="false">IF(BZ1774=1,0,ROUNDUP(AF1774/BY1774,0))</f>
        <v>0</v>
      </c>
      <c r="AH1774" s="52" t="n">
        <f aca="false">IF(CQ1774&gt;0,CQ1774*MAX(1,AF1774/X1774),IF(BZ1774=1,IF(AF1774&lt;=0,0,CD1774*MAX(1,IF(H1774&gt;0,AF1774/H1774,1))),IF(R1774&gt;0,AG1774/R1774,0))/MAX(0.1,N(Parameter!$M$21)))</f>
        <v>0</v>
      </c>
      <c r="AI1774" s="50" t="n">
        <f aca="false">AH1774*CB1774</f>
        <v>0</v>
      </c>
      <c r="AJ1774" s="51" t="n">
        <f aca="false">IF(LEFT(Cockpit!$C$5,1)="A",H1774,IF(CH1774=1,(CK1774+CI1774)/2,IF(LEFT(Cockpit!$C$5,1)="B",(CK1774+AL1774)/2,MAX((CK1774+AL1774)/2,H1774))))</f>
        <v>0</v>
      </c>
      <c r="AK1774" s="50" t="n">
        <f aca="false">AJ1774*G1774</f>
        <v>0</v>
      </c>
      <c r="AL1774" s="50" t="n">
        <f aca="false">ROUNDUP(CK1774+MAX(CL1774,2*(J1774/IF(CG1774&gt;0,CG1774,MAX(0.1,N(Cockpit!$C$6)))-CK1774)),0)</f>
        <v>0</v>
      </c>
      <c r="AM1774" s="51" t="n">
        <f aca="false">IF(AI1774&gt;0,J1774/AI1774,-1)</f>
        <v>-1</v>
      </c>
      <c r="AN1774" s="51" t="str">
        <f aca="false">IF(AND(OR(CF1774="L1",CF1774="L23",CF1774="LIFT"),AI1774&gt;0),SUMIFS($AI$7:$AI$1843,$CF$7:$CF$1843,CF1774,$AM$7:$AM$1843,"&gt;"&amp;AM1774)+SUMIFS($AI$7:$AI$1843,$CF$7:$CF$1843,CF1774,$AM$7:$AM$1843,AM1774,$BW$7:$BW$1843,"&lt;="&amp;BW1774),"")</f>
        <v/>
      </c>
      <c r="AO1774" s="58" t="n">
        <f aca="false">IF(AN1774="",0,MAX(0,MIN(1,(IF(CF1774="L1",Parameter!$H$5,IF(CF1774="L23",Parameter!$H$6+Parameter!$H$7,Parameter!$H$5+Parameter!$H$6+Parameter!$H$7))-(AN1774-AI1774))/AI1774)))</f>
        <v>0</v>
      </c>
      <c r="AP1774" s="50" t="n">
        <f aca="false">IF(LEFT(Cockpit!$I$5,1)="A",H1774,IF(Parameter!$E$30="MAX-Bestand",IF(CH1774=1,CI1774,IF(LEFT(Cockpit!$I$5,1)="B",AV1774,MAX(AV1774,H1774))),ROUNDUP(AT1774,0)))</f>
        <v>0</v>
      </c>
      <c r="AQ1774" s="50" t="n">
        <f aca="false">IF(BZ1774=1,0,ROUNDUP(AP1774/BY1774,0))</f>
        <v>0</v>
      </c>
      <c r="AR1774" s="52" t="n">
        <f aca="false">IF(CQ1774&gt;0,CQ1774*MAX(1,AP1774/X1774),IF(BZ1774=1,IF(AP1774&lt;=0,0,CD1774*MAX(1,IF(H1774&gt;0,AP1774/H1774,1))),IF(R1774&gt;0,AQ1774/R1774,0))/MAX(0.1,N(Parameter!$M$21)))</f>
        <v>0</v>
      </c>
      <c r="AS1774" s="50" t="n">
        <f aca="false">AR1774*CB1774</f>
        <v>0</v>
      </c>
      <c r="AT1774" s="51" t="n">
        <f aca="false">IF(LEFT(Cockpit!$I$5,1)="A",H1774,IF(CH1774=1,(CK1774+CI1774)/2,IF(LEFT(Cockpit!$I$5,1)="B",(CK1774+AV1774)/2,MAX((CK1774+AV1774)/2,H1774))))</f>
        <v>0</v>
      </c>
      <c r="AU1774" s="50" t="n">
        <f aca="false">AT1774*G1774</f>
        <v>0</v>
      </c>
      <c r="AV1774" s="50" t="n">
        <f aca="false">ROUNDUP(CK1774+MAX(CL1774,2*(J1774/IF(CG1774&gt;0,CG1774,MAX(0.1,N(Cockpit!$I$6)))-CK1774)),0)</f>
        <v>0</v>
      </c>
      <c r="AW1774" s="51" t="n">
        <f aca="false">IF(AS1774&gt;0,J1774/AS1774,-1)</f>
        <v>-1</v>
      </c>
      <c r="AX1774" s="51" t="str">
        <f aca="false">IF(AND(OR(CF1774="L1",CF1774="L23",CF1774="LIFT"),AS1774&gt;0),SUMIFS($AS$7:$AS$1843,$CF$7:$CF$1843,CF1774,$AW$7:$AW$1843,"&gt;"&amp;AW1774)+SUMIFS($AS$7:$AS$1843,$CF$7:$CF$1843,CF1774,$AW$7:$AW$1843,AW1774,$BW$7:$BW$1843,"&lt;="&amp;BW1774),"")</f>
        <v/>
      </c>
      <c r="AY1774" s="58" t="n">
        <f aca="false">IF(AX1774="",0,MAX(0,MIN(1,(IF(CF1774="L1",Parameter!$H$5,IF(CF1774="L23",Parameter!$H$6+Parameter!$H$7,Parameter!$H$5+Parameter!$H$6+Parameter!$H$7))-(AX1774-AS1774))/AS1774)))</f>
        <v>0</v>
      </c>
      <c r="AZ1774" s="50" t="n">
        <f aca="false">IF(LEFT(Cockpit!$O$5,1)="A",H1774,IF(Parameter!$E$30="MAX-Bestand",IF(CH1774=1,CI1774,IF(LEFT(Cockpit!$O$5,1)="B",BF1774,MAX(BF1774,H1774))),ROUNDUP(BD1774,0)))</f>
        <v>0</v>
      </c>
      <c r="BA1774" s="50" t="n">
        <f aca="false">IF(BZ1774=1,0,ROUNDUP(AZ1774/BY1774,0))</f>
        <v>0</v>
      </c>
      <c r="BB1774" s="52" t="n">
        <f aca="false">IF(CQ1774&gt;0,CQ1774*MAX(1,AZ1774/X1774),IF(BZ1774=1,IF(AZ1774&lt;=0,0,CD1774*MAX(1,IF(H1774&gt;0,AZ1774/H1774,1))),IF(R1774&gt;0,BA1774/R1774,0))/MAX(0.1,N(Parameter!$M$21)))</f>
        <v>0</v>
      </c>
      <c r="BC1774" s="50" t="n">
        <f aca="false">BB1774*CB1774</f>
        <v>0</v>
      </c>
      <c r="BD1774" s="51" t="n">
        <f aca="false">IF(LEFT(Cockpit!$O$5,1)="A",H1774,IF(CH1774=1,(CK1774+CI1774)/2,IF(LEFT(Cockpit!$O$5,1)="B",(CK1774+BF1774)/2,MAX((CK1774+BF1774)/2,H1774))))</f>
        <v>0</v>
      </c>
      <c r="BE1774" s="50" t="n">
        <f aca="false">BD1774*G1774</f>
        <v>0</v>
      </c>
      <c r="BF1774" s="50" t="n">
        <f aca="false">ROUNDUP(CK1774+MAX(CL1774,2*(J1774/IF(CG1774&gt;0,CG1774,MAX(0.1,N(Cockpit!$O$6)))-CK1774)),0)</f>
        <v>0</v>
      </c>
      <c r="BG1774" s="51" t="n">
        <f aca="false">IF(BC1774&gt;0,J1774/BC1774,-1)</f>
        <v>-1</v>
      </c>
      <c r="BH1774" s="51" t="str">
        <f aca="false">IF(AND(OR(CF1774="L1",CF1774="L23",CF1774="LIFT"),BC1774&gt;0),SUMIFS($BC$7:$BC$1843,$CF$7:$CF$1843,CF1774,$BG$7:$BG$1843,"&gt;"&amp;BG1774)+SUMIFS($BC$7:$BC$1843,$CF$7:$CF$1843,CF1774,$BG$7:$BG$1843,BG1774,$BW$7:$BW$1843,"&lt;="&amp;BW1774),"")</f>
        <v/>
      </c>
      <c r="BI1774" s="58" t="n">
        <f aca="false">IF(BH1774="",0,MAX(0,MIN(1,(IF(CF1774="L1",Parameter!$H$5,IF(CF1774="L23",Parameter!$H$6+Parameter!$H$7,Parameter!$H$5+Parameter!$H$6+Parameter!$H$7))-(BH1774-BC1774))/BC1774)))</f>
        <v>0</v>
      </c>
      <c r="BJ1774" s="48" t="str">
        <f aca="false">IF(AI1774&lt;=0,"",IF(CF1774="Aussen","Aussenlager",IF(CF1774="-","Nicht im Lift",IF(AO1774&gt;=1,"Lift",IF(AO1774&lt;=0,"Aussenlager","teilweise")))))</f>
        <v/>
      </c>
      <c r="BK1774" s="48" t="str">
        <f aca="false">IF(AS1774&lt;=0,"",IF(CF1774="Aussen","Aussenlager",IF(CF1774="-","Nicht im Lift",IF(AY1774&gt;=1,"Lift",IF(AY1774&lt;=0,"Aussenlager","teilweise")))))</f>
        <v/>
      </c>
      <c r="BL1774" s="48" t="str">
        <f aca="false">IF(BC1774&lt;=0,"",IF(CF1774="Aussen","Aussenlager",IF(CF1774="-","Nicht im Lift",IF(BI1774&gt;=1,"Lift",IF(BI1774&lt;=0,"Aussenlager","teilweise")))))</f>
        <v/>
      </c>
      <c r="BM1774" s="48" t="str">
        <f aca="false">IF(A1774="","",IF(BV1774=1,"Neu; ","")&amp;IF(AND(BV1774=0,BQ1774&lt;0),"negativer Bestand (Export "&amp;BQ1774&amp;"); ","")&amp;IF(J1774&lt;=0,"Kein Verbrauch; ","")&amp;IF(CQ1774&gt;0,"Lift "&amp;W1774&amp;" lt. Liftbericht (Fach "&amp;X1774&amp;" Stk); ",IF(CA1774=1,"Gebinde geschätzt ("&amp;T1774&amp;"); ",IF(BZ1774=1,"Lose – Tablare geschätzt; ","")))&amp;IF(H1774&gt;AV1774,"Überbestand "&amp;ROUND(H1774-AV1774,0)&amp;" Stk / CHF "&amp;ROUND((H1774-AV1774)*G1774,0)&amp;"; ","")&amp;IF(AND(CH1774=1,CI1774&lt;CJ1774),"MAX &lt; MB+LG; ","")&amp;IF(AND(CP1774&gt;0,CO1774*10&gt;CP1774),"zu hoch für Tablar; ","")&amp;IF(AND(BV1774=0,OR(CH1774=1,AA1774&lt;&gt;"",U1774&lt;&gt;"",V1774&lt;&gt;"",AB1774&lt;&gt;"")),"manuell übersteuert; ","")&amp;IF(AND(BZ1774=0,R1774=0),"Gebinde unbekannt / Stellmass fehlt; ","")&amp;IF(AND(BZ1774=0,N(V1774)&lt;=0,N(Q1774)&lt;=0),"Menge pro Gebinde fehlt (Ist = 1 Gebinde); ","")&amp;BU1774)</f>
        <v/>
      </c>
      <c r="BN1774" s="48"/>
      <c r="BO1774" s="48"/>
      <c r="BP1774" s="55"/>
      <c r="BQ1774" s="50" t="n">
        <f aca="false">N('Neue Artikel'!$D$35)</f>
        <v>0</v>
      </c>
      <c r="BR1774" s="50" t="n">
        <v>0</v>
      </c>
      <c r="BS1774" s="49" t="n">
        <v>0</v>
      </c>
      <c r="BT1774" s="50" t="n">
        <f aca="false">N('Neue Artikel'!$C$35)/Parameter!$B$18</f>
        <v>0</v>
      </c>
      <c r="BU1774" s="48"/>
      <c r="BV1774" s="53" t="n">
        <v>1</v>
      </c>
      <c r="BW1774" s="53" t="n">
        <v>1774</v>
      </c>
      <c r="BX1774" s="48" t="str">
        <f aca="false">IF(U1774&lt;&gt;"",UPPER(TRIM(U1774)),IF(CA1774=1,UPPER(VLOOKUP(T1774,Parameter!$I$27:$K$29,2,0)),IF(P1774="","LOSE",P1774)))</f>
        <v>LOSE</v>
      </c>
      <c r="BY1774" s="50" t="n">
        <f aca="false">IF(BX1774="LOSE",1,IF(N(V1774)&gt;0,V1774,IF(CA1774=1,MAX(1,N(VLOOKUP(T1774,Parameter!$I$27:$K$29,3,0)),H1774,N(N1774)),IF(N(Q1774)&gt;0,Q1774,MAX(1,H1774)))))</f>
        <v>1</v>
      </c>
      <c r="BZ1774" s="53" t="n">
        <f aca="false">IF(BX1774="LOSE",1,0)</f>
        <v>1</v>
      </c>
      <c r="CA1774" s="53" t="n">
        <f aca="false">IF(AND(U1774="",OR(P1774="",P1774="LOSE"),T1774&lt;&gt;"",N(S1774)&lt;=0,ISNUMBER(MATCH(T1774,Parameter!$I$27:$I$29,0))),1,0)</f>
        <v>0</v>
      </c>
      <c r="CB1774" s="53" t="n">
        <f aca="false">IF(CQ1774&gt;0,INDEX(Parameter!$H$5:$H$7,W1774)/INDEX(Parameter!$E$5:$E$7,W1774),IF(AND(BZ1774=0,N(IFERROR(VLOOKUP(BX1774,'Gebinde-Kategorie'!$A$5:$N$45,14,0),0))&gt;0),VLOOKUP(BX1774,'Gebinde-Kategorie'!$A$5:$N$45,14,0)*10+Parameter!$M$23,Parameter!$M$24))</f>
        <v>235</v>
      </c>
      <c r="CC1774" s="48" t="str">
        <f aca="false">IF(AND(Parameter!$B$19="Ja",E1774&lt;&gt;"",ISNUMBER(MATCH(E1774,Parameter!$I$35:$I$52,0))),VLOOKUP(E1774,Parameter!$I$35:$J$52,2,0),IFERROR(VLOOKUP(D1774,Parameter!$A$35:$C$64,2,0),"Nein"))</f>
        <v>2+3</v>
      </c>
      <c r="CD1774" s="52" t="n">
        <f aca="false">IF(BZ1774=0,0,IF(N(S1774)&gt;0,S1774,IFERROR(VLOOKUP(D1774,Parameter!$A$35:$C$64,3,0)+0,0)))</f>
        <v>0.15</v>
      </c>
      <c r="CE1774" s="48" t="str">
        <f aca="false">IF(AA1774&lt;&gt;"",AA1774,Z1774)</f>
        <v/>
      </c>
      <c r="CF1774" s="48" t="str">
        <f aca="false">IF(OR(CE1774=1,CE1774=2,CE1774=3),IF(Parameter!$E$27="Ja","LIFT",IF(CE1774=1,"L1","L23")),IF(CE1774="Aussen","Aussen","-"))</f>
        <v>-</v>
      </c>
      <c r="CG1774" s="59" t="n">
        <f aca="false">IF(N(AB1774)&gt;0,AB1774,0)</f>
        <v>0</v>
      </c>
      <c r="CH1774" s="53" t="n">
        <f aca="false">IF(ISNUMBER(AE1774),1,0)</f>
        <v>0</v>
      </c>
      <c r="CI1774" s="50" t="n">
        <f aca="false">N(AE1774)</f>
        <v>0</v>
      </c>
      <c r="CJ1774" s="50" t="n">
        <f aca="false">N(M1774)+N(N1774)</f>
        <v>0</v>
      </c>
      <c r="CK1774" s="50" t="n">
        <f aca="false">N(M1774)</f>
        <v>0</v>
      </c>
      <c r="CL1774" s="50" t="n">
        <f aca="false">N(N1774)</f>
        <v>0</v>
      </c>
      <c r="CM1774" s="50" t="n">
        <f aca="false">ROUNDUP(H1774/BY1774,0)</f>
        <v>0</v>
      </c>
      <c r="CN1774" s="50" t="n">
        <f aca="false">ROUNDUP(CI1774/BY1774,0)</f>
        <v>0</v>
      </c>
      <c r="CO1774" s="53" t="n">
        <f aca="false">IF(BZ1774=1,0,IFERROR(VLOOKUP(BX1774,'Gebinde-Kategorie'!$A$5:$N$45,5,0)+0,0))</f>
        <v>0</v>
      </c>
      <c r="CP1774" s="53" t="n">
        <f aca="false">IFERROR(IF(OR(CE1774=1,CE1774=2,CE1774=3),N(INDEX(Parameter!$I$5:$I$7,CE1774)),0),0)</f>
        <v>0</v>
      </c>
      <c r="CQ1774" s="52" t="n">
        <f aca="false">IF(AND(Parameter!$B$21="Ja",ISNUMBER(W1774),N(X1774)&gt;0),IFERROR(N(INDEX(Parameter!$L$5:$L$7,W1774))*INDEX(Parameter!$E$5:$E$7,W1774)*X1774/SUMIFS($X$7:$X$1843,$W$7:$W$1843,W1774),0),0)</f>
        <v>0</v>
      </c>
    </row>
    <row r="1775" customFormat="false" ht="15" hidden="false" customHeight="false" outlineLevel="0" collapsed="false">
      <c r="A1775" s="48" t="str">
        <f aca="false">IF('Neue Artikel'!$A$36="","",'Neue Artikel'!$A$36&amp;"")</f>
        <v/>
      </c>
      <c r="B1775" s="48" t="str">
        <f aca="false">'Neue Artikel'!$B$36&amp;""</f>
        <v/>
      </c>
      <c r="C1775" s="48"/>
      <c r="D1775" s="48" t="s">
        <v>3024</v>
      </c>
      <c r="E1775" s="48"/>
      <c r="F1775" s="48"/>
      <c r="G1775" s="49" t="n">
        <f aca="false">N('Neue Artikel'!$G$36)</f>
        <v>0</v>
      </c>
      <c r="H1775" s="50" t="n">
        <f aca="false">MAX(0,IF(AND(Parameter!$B$21="Ja",ISNUMBER(Y1775)),Y1775,IF(Parameter!$B$20="Jahresanfang 2025 + Export",BR1775+BQ1775,BQ1775)))</f>
        <v>0</v>
      </c>
      <c r="I1775" s="50" t="n">
        <f aca="false">H1775*G1775</f>
        <v>0</v>
      </c>
      <c r="J1775" s="50" t="n">
        <f aca="false">BT1775*Parameter!$B$18</f>
        <v>0</v>
      </c>
      <c r="K1775" s="51"/>
      <c r="L1775" s="52"/>
      <c r="M1775" s="50" t="n">
        <f aca="false">N('Neue Artikel'!$E$36)</f>
        <v>0</v>
      </c>
      <c r="N1775" s="50" t="n">
        <f aca="false">N('Neue Artikel'!$F$36)</f>
        <v>0</v>
      </c>
      <c r="O1775" s="53"/>
      <c r="P1775" s="48" t="str">
        <f aca="false">IF('Neue Artikel'!$H$36="","LOSE",UPPER(TRIM('Neue Artikel'!$H$36)))</f>
        <v>LOSE</v>
      </c>
      <c r="Q1775" s="50" t="n">
        <f aca="false">N('Neue Artikel'!$I$36)</f>
        <v>0</v>
      </c>
      <c r="R1775" s="53" t="n">
        <f aca="false">IF(BZ1775=1,0,IFERROR(VLOOKUP(BX1775,'Gebinde-Kategorie'!$A$5:$N$45,13,0)+0,0))</f>
        <v>0</v>
      </c>
      <c r="S1775" s="54"/>
      <c r="T1775" s="55"/>
      <c r="U1775" s="55"/>
      <c r="V1775" s="55"/>
      <c r="W1775" s="48"/>
      <c r="X1775" s="50"/>
      <c r="Y1775" s="50"/>
      <c r="Z1775" s="48" t="str">
        <f aca="false">IF(A1775="","",IF(AND(Parameter!$B$21="Ja",ISNUMBER(W1775)),W1775,IF(CC1775="2+3",IF(ISNUMBER(SEARCH("grosser Artikel",BU1775)),2,IFERROR(VLOOKUP(BX1775,Parameter!$F$35:$G$64,2,0),2)),IF(OR(CC1775="Nein",CC1775=""),"-",CC1775))))</f>
        <v/>
      </c>
      <c r="AA1775" s="48" t="str">
        <f aca="false">IF('Neue Artikel'!$J$36="","",'Neue Artikel'!$J$36)</f>
        <v/>
      </c>
      <c r="AB1775" s="56"/>
      <c r="AC1775" s="50" t="n">
        <f aca="false">AV1775</f>
        <v>0</v>
      </c>
      <c r="AD1775" s="50" t="n">
        <f aca="false">MAX(AV1775,H1775)</f>
        <v>0</v>
      </c>
      <c r="AE1775" s="57"/>
      <c r="AF1775" s="50" t="n">
        <f aca="false">IF(LEFT(Cockpit!$C$5,1)="A",H1775,IF(Parameter!$E$30="MAX-Bestand",IF(CH1775=1,CI1775,IF(LEFT(Cockpit!$C$5,1)="B",AL1775,MAX(AL1775,H1775))),ROUNDUP(AJ1775,0)))</f>
        <v>0</v>
      </c>
      <c r="AG1775" s="50" t="n">
        <f aca="false">IF(BZ1775=1,0,ROUNDUP(AF1775/BY1775,0))</f>
        <v>0</v>
      </c>
      <c r="AH1775" s="52" t="n">
        <f aca="false">IF(CQ1775&gt;0,CQ1775*MAX(1,AF1775/X1775),IF(BZ1775=1,IF(AF1775&lt;=0,0,CD1775*MAX(1,IF(H1775&gt;0,AF1775/H1775,1))),IF(R1775&gt;0,AG1775/R1775,0))/MAX(0.1,N(Parameter!$M$21)))</f>
        <v>0</v>
      </c>
      <c r="AI1775" s="50" t="n">
        <f aca="false">AH1775*CB1775</f>
        <v>0</v>
      </c>
      <c r="AJ1775" s="51" t="n">
        <f aca="false">IF(LEFT(Cockpit!$C$5,1)="A",H1775,IF(CH1775=1,(CK1775+CI1775)/2,IF(LEFT(Cockpit!$C$5,1)="B",(CK1775+AL1775)/2,MAX((CK1775+AL1775)/2,H1775))))</f>
        <v>0</v>
      </c>
      <c r="AK1775" s="50" t="n">
        <f aca="false">AJ1775*G1775</f>
        <v>0</v>
      </c>
      <c r="AL1775" s="50" t="n">
        <f aca="false">ROUNDUP(CK1775+MAX(CL1775,2*(J1775/IF(CG1775&gt;0,CG1775,MAX(0.1,N(Cockpit!$C$6)))-CK1775)),0)</f>
        <v>0</v>
      </c>
      <c r="AM1775" s="51" t="n">
        <f aca="false">IF(AI1775&gt;0,J1775/AI1775,-1)</f>
        <v>-1</v>
      </c>
      <c r="AN1775" s="51" t="str">
        <f aca="false">IF(AND(OR(CF1775="L1",CF1775="L23",CF1775="LIFT"),AI1775&gt;0),SUMIFS($AI$7:$AI$1843,$CF$7:$CF$1843,CF1775,$AM$7:$AM$1843,"&gt;"&amp;AM1775)+SUMIFS($AI$7:$AI$1843,$CF$7:$CF$1843,CF1775,$AM$7:$AM$1843,AM1775,$BW$7:$BW$1843,"&lt;="&amp;BW1775),"")</f>
        <v/>
      </c>
      <c r="AO1775" s="58" t="n">
        <f aca="false">IF(AN1775="",0,MAX(0,MIN(1,(IF(CF1775="L1",Parameter!$H$5,IF(CF1775="L23",Parameter!$H$6+Parameter!$H$7,Parameter!$H$5+Parameter!$H$6+Parameter!$H$7))-(AN1775-AI1775))/AI1775)))</f>
        <v>0</v>
      </c>
      <c r="AP1775" s="50" t="n">
        <f aca="false">IF(LEFT(Cockpit!$I$5,1)="A",H1775,IF(Parameter!$E$30="MAX-Bestand",IF(CH1775=1,CI1775,IF(LEFT(Cockpit!$I$5,1)="B",AV1775,MAX(AV1775,H1775))),ROUNDUP(AT1775,0)))</f>
        <v>0</v>
      </c>
      <c r="AQ1775" s="50" t="n">
        <f aca="false">IF(BZ1775=1,0,ROUNDUP(AP1775/BY1775,0))</f>
        <v>0</v>
      </c>
      <c r="AR1775" s="52" t="n">
        <f aca="false">IF(CQ1775&gt;0,CQ1775*MAX(1,AP1775/X1775),IF(BZ1775=1,IF(AP1775&lt;=0,0,CD1775*MAX(1,IF(H1775&gt;0,AP1775/H1775,1))),IF(R1775&gt;0,AQ1775/R1775,0))/MAX(0.1,N(Parameter!$M$21)))</f>
        <v>0</v>
      </c>
      <c r="AS1775" s="50" t="n">
        <f aca="false">AR1775*CB1775</f>
        <v>0</v>
      </c>
      <c r="AT1775" s="51" t="n">
        <f aca="false">IF(LEFT(Cockpit!$I$5,1)="A",H1775,IF(CH1775=1,(CK1775+CI1775)/2,IF(LEFT(Cockpit!$I$5,1)="B",(CK1775+AV1775)/2,MAX((CK1775+AV1775)/2,H1775))))</f>
        <v>0</v>
      </c>
      <c r="AU1775" s="50" t="n">
        <f aca="false">AT1775*G1775</f>
        <v>0</v>
      </c>
      <c r="AV1775" s="50" t="n">
        <f aca="false">ROUNDUP(CK1775+MAX(CL1775,2*(J1775/IF(CG1775&gt;0,CG1775,MAX(0.1,N(Cockpit!$I$6)))-CK1775)),0)</f>
        <v>0</v>
      </c>
      <c r="AW1775" s="51" t="n">
        <f aca="false">IF(AS1775&gt;0,J1775/AS1775,-1)</f>
        <v>-1</v>
      </c>
      <c r="AX1775" s="51" t="str">
        <f aca="false">IF(AND(OR(CF1775="L1",CF1775="L23",CF1775="LIFT"),AS1775&gt;0),SUMIFS($AS$7:$AS$1843,$CF$7:$CF$1843,CF1775,$AW$7:$AW$1843,"&gt;"&amp;AW1775)+SUMIFS($AS$7:$AS$1843,$CF$7:$CF$1843,CF1775,$AW$7:$AW$1843,AW1775,$BW$7:$BW$1843,"&lt;="&amp;BW1775),"")</f>
        <v/>
      </c>
      <c r="AY1775" s="58" t="n">
        <f aca="false">IF(AX1775="",0,MAX(0,MIN(1,(IF(CF1775="L1",Parameter!$H$5,IF(CF1775="L23",Parameter!$H$6+Parameter!$H$7,Parameter!$H$5+Parameter!$H$6+Parameter!$H$7))-(AX1775-AS1775))/AS1775)))</f>
        <v>0</v>
      </c>
      <c r="AZ1775" s="50" t="n">
        <f aca="false">IF(LEFT(Cockpit!$O$5,1)="A",H1775,IF(Parameter!$E$30="MAX-Bestand",IF(CH1775=1,CI1775,IF(LEFT(Cockpit!$O$5,1)="B",BF1775,MAX(BF1775,H1775))),ROUNDUP(BD1775,0)))</f>
        <v>0</v>
      </c>
      <c r="BA1775" s="50" t="n">
        <f aca="false">IF(BZ1775=1,0,ROUNDUP(AZ1775/BY1775,0))</f>
        <v>0</v>
      </c>
      <c r="BB1775" s="52" t="n">
        <f aca="false">IF(CQ1775&gt;0,CQ1775*MAX(1,AZ1775/X1775),IF(BZ1775=1,IF(AZ1775&lt;=0,0,CD1775*MAX(1,IF(H1775&gt;0,AZ1775/H1775,1))),IF(R1775&gt;0,BA1775/R1775,0))/MAX(0.1,N(Parameter!$M$21)))</f>
        <v>0</v>
      </c>
      <c r="BC1775" s="50" t="n">
        <f aca="false">BB1775*CB1775</f>
        <v>0</v>
      </c>
      <c r="BD1775" s="51" t="n">
        <f aca="false">IF(LEFT(Cockpit!$O$5,1)="A",H1775,IF(CH1775=1,(CK1775+CI1775)/2,IF(LEFT(Cockpit!$O$5,1)="B",(CK1775+BF1775)/2,MAX((CK1775+BF1775)/2,H1775))))</f>
        <v>0</v>
      </c>
      <c r="BE1775" s="50" t="n">
        <f aca="false">BD1775*G1775</f>
        <v>0</v>
      </c>
      <c r="BF1775" s="50" t="n">
        <f aca="false">ROUNDUP(CK1775+MAX(CL1775,2*(J1775/IF(CG1775&gt;0,CG1775,MAX(0.1,N(Cockpit!$O$6)))-CK1775)),0)</f>
        <v>0</v>
      </c>
      <c r="BG1775" s="51" t="n">
        <f aca="false">IF(BC1775&gt;0,J1775/BC1775,-1)</f>
        <v>-1</v>
      </c>
      <c r="BH1775" s="51" t="str">
        <f aca="false">IF(AND(OR(CF1775="L1",CF1775="L23",CF1775="LIFT"),BC1775&gt;0),SUMIFS($BC$7:$BC$1843,$CF$7:$CF$1843,CF1775,$BG$7:$BG$1843,"&gt;"&amp;BG1775)+SUMIFS($BC$7:$BC$1843,$CF$7:$CF$1843,CF1775,$BG$7:$BG$1843,BG1775,$BW$7:$BW$1843,"&lt;="&amp;BW1775),"")</f>
        <v/>
      </c>
      <c r="BI1775" s="58" t="n">
        <f aca="false">IF(BH1775="",0,MAX(0,MIN(1,(IF(CF1775="L1",Parameter!$H$5,IF(CF1775="L23",Parameter!$H$6+Parameter!$H$7,Parameter!$H$5+Parameter!$H$6+Parameter!$H$7))-(BH1775-BC1775))/BC1775)))</f>
        <v>0</v>
      </c>
      <c r="BJ1775" s="48" t="str">
        <f aca="false">IF(AI1775&lt;=0,"",IF(CF1775="Aussen","Aussenlager",IF(CF1775="-","Nicht im Lift",IF(AO1775&gt;=1,"Lift",IF(AO1775&lt;=0,"Aussenlager","teilweise")))))</f>
        <v/>
      </c>
      <c r="BK1775" s="48" t="str">
        <f aca="false">IF(AS1775&lt;=0,"",IF(CF1775="Aussen","Aussenlager",IF(CF1775="-","Nicht im Lift",IF(AY1775&gt;=1,"Lift",IF(AY1775&lt;=0,"Aussenlager","teilweise")))))</f>
        <v/>
      </c>
      <c r="BL1775" s="48" t="str">
        <f aca="false">IF(BC1775&lt;=0,"",IF(CF1775="Aussen","Aussenlager",IF(CF1775="-","Nicht im Lift",IF(BI1775&gt;=1,"Lift",IF(BI1775&lt;=0,"Aussenlager","teilweise")))))</f>
        <v/>
      </c>
      <c r="BM1775" s="48" t="str">
        <f aca="false">IF(A1775="","",IF(BV1775=1,"Neu; ","")&amp;IF(AND(BV1775=0,BQ1775&lt;0),"negativer Bestand (Export "&amp;BQ1775&amp;"); ","")&amp;IF(J1775&lt;=0,"Kein Verbrauch; ","")&amp;IF(CQ1775&gt;0,"Lift "&amp;W1775&amp;" lt. Liftbericht (Fach "&amp;X1775&amp;" Stk); ",IF(CA1775=1,"Gebinde geschätzt ("&amp;T1775&amp;"); ",IF(BZ1775=1,"Lose – Tablare geschätzt; ","")))&amp;IF(H1775&gt;AV1775,"Überbestand "&amp;ROUND(H1775-AV1775,0)&amp;" Stk / CHF "&amp;ROUND((H1775-AV1775)*G1775,0)&amp;"; ","")&amp;IF(AND(CH1775=1,CI1775&lt;CJ1775),"MAX &lt; MB+LG; ","")&amp;IF(AND(CP1775&gt;0,CO1775*10&gt;CP1775),"zu hoch für Tablar; ","")&amp;IF(AND(BV1775=0,OR(CH1775=1,AA1775&lt;&gt;"",U1775&lt;&gt;"",V1775&lt;&gt;"",AB1775&lt;&gt;"")),"manuell übersteuert; ","")&amp;IF(AND(BZ1775=0,R1775=0),"Gebinde unbekannt / Stellmass fehlt; ","")&amp;IF(AND(BZ1775=0,N(V1775)&lt;=0,N(Q1775)&lt;=0),"Menge pro Gebinde fehlt (Ist = 1 Gebinde); ","")&amp;BU1775)</f>
        <v/>
      </c>
      <c r="BN1775" s="48"/>
      <c r="BO1775" s="48"/>
      <c r="BP1775" s="55"/>
      <c r="BQ1775" s="50" t="n">
        <f aca="false">N('Neue Artikel'!$D$36)</f>
        <v>0</v>
      </c>
      <c r="BR1775" s="50" t="n">
        <v>0</v>
      </c>
      <c r="BS1775" s="49" t="n">
        <v>0</v>
      </c>
      <c r="BT1775" s="50" t="n">
        <f aca="false">N('Neue Artikel'!$C$36)/Parameter!$B$18</f>
        <v>0</v>
      </c>
      <c r="BU1775" s="48"/>
      <c r="BV1775" s="53" t="n">
        <v>1</v>
      </c>
      <c r="BW1775" s="53" t="n">
        <v>1775</v>
      </c>
      <c r="BX1775" s="48" t="str">
        <f aca="false">IF(U1775&lt;&gt;"",UPPER(TRIM(U1775)),IF(CA1775=1,UPPER(VLOOKUP(T1775,Parameter!$I$27:$K$29,2,0)),IF(P1775="","LOSE",P1775)))</f>
        <v>LOSE</v>
      </c>
      <c r="BY1775" s="50" t="n">
        <f aca="false">IF(BX1775="LOSE",1,IF(N(V1775)&gt;0,V1775,IF(CA1775=1,MAX(1,N(VLOOKUP(T1775,Parameter!$I$27:$K$29,3,0)),H1775,N(N1775)),IF(N(Q1775)&gt;0,Q1775,MAX(1,H1775)))))</f>
        <v>1</v>
      </c>
      <c r="BZ1775" s="53" t="n">
        <f aca="false">IF(BX1775="LOSE",1,0)</f>
        <v>1</v>
      </c>
      <c r="CA1775" s="53" t="n">
        <f aca="false">IF(AND(U1775="",OR(P1775="",P1775="LOSE"),T1775&lt;&gt;"",N(S1775)&lt;=0,ISNUMBER(MATCH(T1775,Parameter!$I$27:$I$29,0))),1,0)</f>
        <v>0</v>
      </c>
      <c r="CB1775" s="53" t="n">
        <f aca="false">IF(CQ1775&gt;0,INDEX(Parameter!$H$5:$H$7,W1775)/INDEX(Parameter!$E$5:$E$7,W1775),IF(AND(BZ1775=0,N(IFERROR(VLOOKUP(BX1775,'Gebinde-Kategorie'!$A$5:$N$45,14,0),0))&gt;0),VLOOKUP(BX1775,'Gebinde-Kategorie'!$A$5:$N$45,14,0)*10+Parameter!$M$23,Parameter!$M$24))</f>
        <v>235</v>
      </c>
      <c r="CC1775" s="48" t="str">
        <f aca="false">IF(AND(Parameter!$B$19="Ja",E1775&lt;&gt;"",ISNUMBER(MATCH(E1775,Parameter!$I$35:$I$52,0))),VLOOKUP(E1775,Parameter!$I$35:$J$52,2,0),IFERROR(VLOOKUP(D1775,Parameter!$A$35:$C$64,2,0),"Nein"))</f>
        <v>2+3</v>
      </c>
      <c r="CD1775" s="52" t="n">
        <f aca="false">IF(BZ1775=0,0,IF(N(S1775)&gt;0,S1775,IFERROR(VLOOKUP(D1775,Parameter!$A$35:$C$64,3,0)+0,0)))</f>
        <v>0.15</v>
      </c>
      <c r="CE1775" s="48" t="str">
        <f aca="false">IF(AA1775&lt;&gt;"",AA1775,Z1775)</f>
        <v/>
      </c>
      <c r="CF1775" s="48" t="str">
        <f aca="false">IF(OR(CE1775=1,CE1775=2,CE1775=3),IF(Parameter!$E$27="Ja","LIFT",IF(CE1775=1,"L1","L23")),IF(CE1775="Aussen","Aussen","-"))</f>
        <v>-</v>
      </c>
      <c r="CG1775" s="59" t="n">
        <f aca="false">IF(N(AB1775)&gt;0,AB1775,0)</f>
        <v>0</v>
      </c>
      <c r="CH1775" s="53" t="n">
        <f aca="false">IF(ISNUMBER(AE1775),1,0)</f>
        <v>0</v>
      </c>
      <c r="CI1775" s="50" t="n">
        <f aca="false">N(AE1775)</f>
        <v>0</v>
      </c>
      <c r="CJ1775" s="50" t="n">
        <f aca="false">N(M1775)+N(N1775)</f>
        <v>0</v>
      </c>
      <c r="CK1775" s="50" t="n">
        <f aca="false">N(M1775)</f>
        <v>0</v>
      </c>
      <c r="CL1775" s="50" t="n">
        <f aca="false">N(N1775)</f>
        <v>0</v>
      </c>
      <c r="CM1775" s="50" t="n">
        <f aca="false">ROUNDUP(H1775/BY1775,0)</f>
        <v>0</v>
      </c>
      <c r="CN1775" s="50" t="n">
        <f aca="false">ROUNDUP(CI1775/BY1775,0)</f>
        <v>0</v>
      </c>
      <c r="CO1775" s="53" t="n">
        <f aca="false">IF(BZ1775=1,0,IFERROR(VLOOKUP(BX1775,'Gebinde-Kategorie'!$A$5:$N$45,5,0)+0,0))</f>
        <v>0</v>
      </c>
      <c r="CP1775" s="53" t="n">
        <f aca="false">IFERROR(IF(OR(CE1775=1,CE1775=2,CE1775=3),N(INDEX(Parameter!$I$5:$I$7,CE1775)),0),0)</f>
        <v>0</v>
      </c>
      <c r="CQ1775" s="52" t="n">
        <f aca="false">IF(AND(Parameter!$B$21="Ja",ISNUMBER(W1775),N(X1775)&gt;0),IFERROR(N(INDEX(Parameter!$L$5:$L$7,W1775))*INDEX(Parameter!$E$5:$E$7,W1775)*X1775/SUMIFS($X$7:$X$1843,$W$7:$W$1843,W1775),0),0)</f>
        <v>0</v>
      </c>
    </row>
    <row r="1776" customFormat="false" ht="15" hidden="false" customHeight="false" outlineLevel="0" collapsed="false">
      <c r="A1776" s="48" t="str">
        <f aca="false">IF('Neue Artikel'!$A$37="","",'Neue Artikel'!$A$37&amp;"")</f>
        <v/>
      </c>
      <c r="B1776" s="48" t="str">
        <f aca="false">'Neue Artikel'!$B$37&amp;""</f>
        <v/>
      </c>
      <c r="C1776" s="48"/>
      <c r="D1776" s="48" t="s">
        <v>3024</v>
      </c>
      <c r="E1776" s="48"/>
      <c r="F1776" s="48"/>
      <c r="G1776" s="49" t="n">
        <f aca="false">N('Neue Artikel'!$G$37)</f>
        <v>0</v>
      </c>
      <c r="H1776" s="50" t="n">
        <f aca="false">MAX(0,IF(AND(Parameter!$B$21="Ja",ISNUMBER(Y1776)),Y1776,IF(Parameter!$B$20="Jahresanfang 2025 + Export",BR1776+BQ1776,BQ1776)))</f>
        <v>0</v>
      </c>
      <c r="I1776" s="50" t="n">
        <f aca="false">H1776*G1776</f>
        <v>0</v>
      </c>
      <c r="J1776" s="50" t="n">
        <f aca="false">BT1776*Parameter!$B$18</f>
        <v>0</v>
      </c>
      <c r="K1776" s="51"/>
      <c r="L1776" s="52"/>
      <c r="M1776" s="50" t="n">
        <f aca="false">N('Neue Artikel'!$E$37)</f>
        <v>0</v>
      </c>
      <c r="N1776" s="50" t="n">
        <f aca="false">N('Neue Artikel'!$F$37)</f>
        <v>0</v>
      </c>
      <c r="O1776" s="53"/>
      <c r="P1776" s="48" t="str">
        <f aca="false">IF('Neue Artikel'!$H$37="","LOSE",UPPER(TRIM('Neue Artikel'!$H$37)))</f>
        <v>LOSE</v>
      </c>
      <c r="Q1776" s="50" t="n">
        <f aca="false">N('Neue Artikel'!$I$37)</f>
        <v>0</v>
      </c>
      <c r="R1776" s="53" t="n">
        <f aca="false">IF(BZ1776=1,0,IFERROR(VLOOKUP(BX1776,'Gebinde-Kategorie'!$A$5:$N$45,13,0)+0,0))</f>
        <v>0</v>
      </c>
      <c r="S1776" s="54"/>
      <c r="T1776" s="55"/>
      <c r="U1776" s="55"/>
      <c r="V1776" s="55"/>
      <c r="W1776" s="48"/>
      <c r="X1776" s="50"/>
      <c r="Y1776" s="50"/>
      <c r="Z1776" s="48" t="str">
        <f aca="false">IF(A1776="","",IF(AND(Parameter!$B$21="Ja",ISNUMBER(W1776)),W1776,IF(CC1776="2+3",IF(ISNUMBER(SEARCH("grosser Artikel",BU1776)),2,IFERROR(VLOOKUP(BX1776,Parameter!$F$35:$G$64,2,0),2)),IF(OR(CC1776="Nein",CC1776=""),"-",CC1776))))</f>
        <v/>
      </c>
      <c r="AA1776" s="48" t="str">
        <f aca="false">IF('Neue Artikel'!$J$37="","",'Neue Artikel'!$J$37)</f>
        <v/>
      </c>
      <c r="AB1776" s="56"/>
      <c r="AC1776" s="50" t="n">
        <f aca="false">AV1776</f>
        <v>0</v>
      </c>
      <c r="AD1776" s="50" t="n">
        <f aca="false">MAX(AV1776,H1776)</f>
        <v>0</v>
      </c>
      <c r="AE1776" s="57"/>
      <c r="AF1776" s="50" t="n">
        <f aca="false">IF(LEFT(Cockpit!$C$5,1)="A",H1776,IF(Parameter!$E$30="MAX-Bestand",IF(CH1776=1,CI1776,IF(LEFT(Cockpit!$C$5,1)="B",AL1776,MAX(AL1776,H1776))),ROUNDUP(AJ1776,0)))</f>
        <v>0</v>
      </c>
      <c r="AG1776" s="50" t="n">
        <f aca="false">IF(BZ1776=1,0,ROUNDUP(AF1776/BY1776,0))</f>
        <v>0</v>
      </c>
      <c r="AH1776" s="52" t="n">
        <f aca="false">IF(CQ1776&gt;0,CQ1776*MAX(1,AF1776/X1776),IF(BZ1776=1,IF(AF1776&lt;=0,0,CD1776*MAX(1,IF(H1776&gt;0,AF1776/H1776,1))),IF(R1776&gt;0,AG1776/R1776,0))/MAX(0.1,N(Parameter!$M$21)))</f>
        <v>0</v>
      </c>
      <c r="AI1776" s="50" t="n">
        <f aca="false">AH1776*CB1776</f>
        <v>0</v>
      </c>
      <c r="AJ1776" s="51" t="n">
        <f aca="false">IF(LEFT(Cockpit!$C$5,1)="A",H1776,IF(CH1776=1,(CK1776+CI1776)/2,IF(LEFT(Cockpit!$C$5,1)="B",(CK1776+AL1776)/2,MAX((CK1776+AL1776)/2,H1776))))</f>
        <v>0</v>
      </c>
      <c r="AK1776" s="50" t="n">
        <f aca="false">AJ1776*G1776</f>
        <v>0</v>
      </c>
      <c r="AL1776" s="50" t="n">
        <f aca="false">ROUNDUP(CK1776+MAX(CL1776,2*(J1776/IF(CG1776&gt;0,CG1776,MAX(0.1,N(Cockpit!$C$6)))-CK1776)),0)</f>
        <v>0</v>
      </c>
      <c r="AM1776" s="51" t="n">
        <f aca="false">IF(AI1776&gt;0,J1776/AI1776,-1)</f>
        <v>-1</v>
      </c>
      <c r="AN1776" s="51" t="str">
        <f aca="false">IF(AND(OR(CF1776="L1",CF1776="L23",CF1776="LIFT"),AI1776&gt;0),SUMIFS($AI$7:$AI$1843,$CF$7:$CF$1843,CF1776,$AM$7:$AM$1843,"&gt;"&amp;AM1776)+SUMIFS($AI$7:$AI$1843,$CF$7:$CF$1843,CF1776,$AM$7:$AM$1843,AM1776,$BW$7:$BW$1843,"&lt;="&amp;BW1776),"")</f>
        <v/>
      </c>
      <c r="AO1776" s="58" t="n">
        <f aca="false">IF(AN1776="",0,MAX(0,MIN(1,(IF(CF1776="L1",Parameter!$H$5,IF(CF1776="L23",Parameter!$H$6+Parameter!$H$7,Parameter!$H$5+Parameter!$H$6+Parameter!$H$7))-(AN1776-AI1776))/AI1776)))</f>
        <v>0</v>
      </c>
      <c r="AP1776" s="50" t="n">
        <f aca="false">IF(LEFT(Cockpit!$I$5,1)="A",H1776,IF(Parameter!$E$30="MAX-Bestand",IF(CH1776=1,CI1776,IF(LEFT(Cockpit!$I$5,1)="B",AV1776,MAX(AV1776,H1776))),ROUNDUP(AT1776,0)))</f>
        <v>0</v>
      </c>
      <c r="AQ1776" s="50" t="n">
        <f aca="false">IF(BZ1776=1,0,ROUNDUP(AP1776/BY1776,0))</f>
        <v>0</v>
      </c>
      <c r="AR1776" s="52" t="n">
        <f aca="false">IF(CQ1776&gt;0,CQ1776*MAX(1,AP1776/X1776),IF(BZ1776=1,IF(AP1776&lt;=0,0,CD1776*MAX(1,IF(H1776&gt;0,AP1776/H1776,1))),IF(R1776&gt;0,AQ1776/R1776,0))/MAX(0.1,N(Parameter!$M$21)))</f>
        <v>0</v>
      </c>
      <c r="AS1776" s="50" t="n">
        <f aca="false">AR1776*CB1776</f>
        <v>0</v>
      </c>
      <c r="AT1776" s="51" t="n">
        <f aca="false">IF(LEFT(Cockpit!$I$5,1)="A",H1776,IF(CH1776=1,(CK1776+CI1776)/2,IF(LEFT(Cockpit!$I$5,1)="B",(CK1776+AV1776)/2,MAX((CK1776+AV1776)/2,H1776))))</f>
        <v>0</v>
      </c>
      <c r="AU1776" s="50" t="n">
        <f aca="false">AT1776*G1776</f>
        <v>0</v>
      </c>
      <c r="AV1776" s="50" t="n">
        <f aca="false">ROUNDUP(CK1776+MAX(CL1776,2*(J1776/IF(CG1776&gt;0,CG1776,MAX(0.1,N(Cockpit!$I$6)))-CK1776)),0)</f>
        <v>0</v>
      </c>
      <c r="AW1776" s="51" t="n">
        <f aca="false">IF(AS1776&gt;0,J1776/AS1776,-1)</f>
        <v>-1</v>
      </c>
      <c r="AX1776" s="51" t="str">
        <f aca="false">IF(AND(OR(CF1776="L1",CF1776="L23",CF1776="LIFT"),AS1776&gt;0),SUMIFS($AS$7:$AS$1843,$CF$7:$CF$1843,CF1776,$AW$7:$AW$1843,"&gt;"&amp;AW1776)+SUMIFS($AS$7:$AS$1843,$CF$7:$CF$1843,CF1776,$AW$7:$AW$1843,AW1776,$BW$7:$BW$1843,"&lt;="&amp;BW1776),"")</f>
        <v/>
      </c>
      <c r="AY1776" s="58" t="n">
        <f aca="false">IF(AX1776="",0,MAX(0,MIN(1,(IF(CF1776="L1",Parameter!$H$5,IF(CF1776="L23",Parameter!$H$6+Parameter!$H$7,Parameter!$H$5+Parameter!$H$6+Parameter!$H$7))-(AX1776-AS1776))/AS1776)))</f>
        <v>0</v>
      </c>
      <c r="AZ1776" s="50" t="n">
        <f aca="false">IF(LEFT(Cockpit!$O$5,1)="A",H1776,IF(Parameter!$E$30="MAX-Bestand",IF(CH1776=1,CI1776,IF(LEFT(Cockpit!$O$5,1)="B",BF1776,MAX(BF1776,H1776))),ROUNDUP(BD1776,0)))</f>
        <v>0</v>
      </c>
      <c r="BA1776" s="50" t="n">
        <f aca="false">IF(BZ1776=1,0,ROUNDUP(AZ1776/BY1776,0))</f>
        <v>0</v>
      </c>
      <c r="BB1776" s="52" t="n">
        <f aca="false">IF(CQ1776&gt;0,CQ1776*MAX(1,AZ1776/X1776),IF(BZ1776=1,IF(AZ1776&lt;=0,0,CD1776*MAX(1,IF(H1776&gt;0,AZ1776/H1776,1))),IF(R1776&gt;0,BA1776/R1776,0))/MAX(0.1,N(Parameter!$M$21)))</f>
        <v>0</v>
      </c>
      <c r="BC1776" s="50" t="n">
        <f aca="false">BB1776*CB1776</f>
        <v>0</v>
      </c>
      <c r="BD1776" s="51" t="n">
        <f aca="false">IF(LEFT(Cockpit!$O$5,1)="A",H1776,IF(CH1776=1,(CK1776+CI1776)/2,IF(LEFT(Cockpit!$O$5,1)="B",(CK1776+BF1776)/2,MAX((CK1776+BF1776)/2,H1776))))</f>
        <v>0</v>
      </c>
      <c r="BE1776" s="50" t="n">
        <f aca="false">BD1776*G1776</f>
        <v>0</v>
      </c>
      <c r="BF1776" s="50" t="n">
        <f aca="false">ROUNDUP(CK1776+MAX(CL1776,2*(J1776/IF(CG1776&gt;0,CG1776,MAX(0.1,N(Cockpit!$O$6)))-CK1776)),0)</f>
        <v>0</v>
      </c>
      <c r="BG1776" s="51" t="n">
        <f aca="false">IF(BC1776&gt;0,J1776/BC1776,-1)</f>
        <v>-1</v>
      </c>
      <c r="BH1776" s="51" t="str">
        <f aca="false">IF(AND(OR(CF1776="L1",CF1776="L23",CF1776="LIFT"),BC1776&gt;0),SUMIFS($BC$7:$BC$1843,$CF$7:$CF$1843,CF1776,$BG$7:$BG$1843,"&gt;"&amp;BG1776)+SUMIFS($BC$7:$BC$1843,$CF$7:$CF$1843,CF1776,$BG$7:$BG$1843,BG1776,$BW$7:$BW$1843,"&lt;="&amp;BW1776),"")</f>
        <v/>
      </c>
      <c r="BI1776" s="58" t="n">
        <f aca="false">IF(BH1776="",0,MAX(0,MIN(1,(IF(CF1776="L1",Parameter!$H$5,IF(CF1776="L23",Parameter!$H$6+Parameter!$H$7,Parameter!$H$5+Parameter!$H$6+Parameter!$H$7))-(BH1776-BC1776))/BC1776)))</f>
        <v>0</v>
      </c>
      <c r="BJ1776" s="48" t="str">
        <f aca="false">IF(AI1776&lt;=0,"",IF(CF1776="Aussen","Aussenlager",IF(CF1776="-","Nicht im Lift",IF(AO1776&gt;=1,"Lift",IF(AO1776&lt;=0,"Aussenlager","teilweise")))))</f>
        <v/>
      </c>
      <c r="BK1776" s="48" t="str">
        <f aca="false">IF(AS1776&lt;=0,"",IF(CF1776="Aussen","Aussenlager",IF(CF1776="-","Nicht im Lift",IF(AY1776&gt;=1,"Lift",IF(AY1776&lt;=0,"Aussenlager","teilweise")))))</f>
        <v/>
      </c>
      <c r="BL1776" s="48" t="str">
        <f aca="false">IF(BC1776&lt;=0,"",IF(CF1776="Aussen","Aussenlager",IF(CF1776="-","Nicht im Lift",IF(BI1776&gt;=1,"Lift",IF(BI1776&lt;=0,"Aussenlager","teilweise")))))</f>
        <v/>
      </c>
      <c r="BM1776" s="48" t="str">
        <f aca="false">IF(A1776="","",IF(BV1776=1,"Neu; ","")&amp;IF(AND(BV1776=0,BQ1776&lt;0),"negativer Bestand (Export "&amp;BQ1776&amp;"); ","")&amp;IF(J1776&lt;=0,"Kein Verbrauch; ","")&amp;IF(CQ1776&gt;0,"Lift "&amp;W1776&amp;" lt. Liftbericht (Fach "&amp;X1776&amp;" Stk); ",IF(CA1776=1,"Gebinde geschätzt ("&amp;T1776&amp;"); ",IF(BZ1776=1,"Lose – Tablare geschätzt; ","")))&amp;IF(H1776&gt;AV1776,"Überbestand "&amp;ROUND(H1776-AV1776,0)&amp;" Stk / CHF "&amp;ROUND((H1776-AV1776)*G1776,0)&amp;"; ","")&amp;IF(AND(CH1776=1,CI1776&lt;CJ1776),"MAX &lt; MB+LG; ","")&amp;IF(AND(CP1776&gt;0,CO1776*10&gt;CP1776),"zu hoch für Tablar; ","")&amp;IF(AND(BV1776=0,OR(CH1776=1,AA1776&lt;&gt;"",U1776&lt;&gt;"",V1776&lt;&gt;"",AB1776&lt;&gt;"")),"manuell übersteuert; ","")&amp;IF(AND(BZ1776=0,R1776=0),"Gebinde unbekannt / Stellmass fehlt; ","")&amp;IF(AND(BZ1776=0,N(V1776)&lt;=0,N(Q1776)&lt;=0),"Menge pro Gebinde fehlt (Ist = 1 Gebinde); ","")&amp;BU1776)</f>
        <v/>
      </c>
      <c r="BN1776" s="48"/>
      <c r="BO1776" s="48"/>
      <c r="BP1776" s="55"/>
      <c r="BQ1776" s="50" t="n">
        <f aca="false">N('Neue Artikel'!$D$37)</f>
        <v>0</v>
      </c>
      <c r="BR1776" s="50" t="n">
        <v>0</v>
      </c>
      <c r="BS1776" s="49" t="n">
        <v>0</v>
      </c>
      <c r="BT1776" s="50" t="n">
        <f aca="false">N('Neue Artikel'!$C$37)/Parameter!$B$18</f>
        <v>0</v>
      </c>
      <c r="BU1776" s="48"/>
      <c r="BV1776" s="53" t="n">
        <v>1</v>
      </c>
      <c r="BW1776" s="53" t="n">
        <v>1776</v>
      </c>
      <c r="BX1776" s="48" t="str">
        <f aca="false">IF(U1776&lt;&gt;"",UPPER(TRIM(U1776)),IF(CA1776=1,UPPER(VLOOKUP(T1776,Parameter!$I$27:$K$29,2,0)),IF(P1776="","LOSE",P1776)))</f>
        <v>LOSE</v>
      </c>
      <c r="BY1776" s="50" t="n">
        <f aca="false">IF(BX1776="LOSE",1,IF(N(V1776)&gt;0,V1776,IF(CA1776=1,MAX(1,N(VLOOKUP(T1776,Parameter!$I$27:$K$29,3,0)),H1776,N(N1776)),IF(N(Q1776)&gt;0,Q1776,MAX(1,H1776)))))</f>
        <v>1</v>
      </c>
      <c r="BZ1776" s="53" t="n">
        <f aca="false">IF(BX1776="LOSE",1,0)</f>
        <v>1</v>
      </c>
      <c r="CA1776" s="53" t="n">
        <f aca="false">IF(AND(U1776="",OR(P1776="",P1776="LOSE"),T1776&lt;&gt;"",N(S1776)&lt;=0,ISNUMBER(MATCH(T1776,Parameter!$I$27:$I$29,0))),1,0)</f>
        <v>0</v>
      </c>
      <c r="CB1776" s="53" t="n">
        <f aca="false">IF(CQ1776&gt;0,INDEX(Parameter!$H$5:$H$7,W1776)/INDEX(Parameter!$E$5:$E$7,W1776),IF(AND(BZ1776=0,N(IFERROR(VLOOKUP(BX1776,'Gebinde-Kategorie'!$A$5:$N$45,14,0),0))&gt;0),VLOOKUP(BX1776,'Gebinde-Kategorie'!$A$5:$N$45,14,0)*10+Parameter!$M$23,Parameter!$M$24))</f>
        <v>235</v>
      </c>
      <c r="CC1776" s="48" t="str">
        <f aca="false">IF(AND(Parameter!$B$19="Ja",E1776&lt;&gt;"",ISNUMBER(MATCH(E1776,Parameter!$I$35:$I$52,0))),VLOOKUP(E1776,Parameter!$I$35:$J$52,2,0),IFERROR(VLOOKUP(D1776,Parameter!$A$35:$C$64,2,0),"Nein"))</f>
        <v>2+3</v>
      </c>
      <c r="CD1776" s="52" t="n">
        <f aca="false">IF(BZ1776=0,0,IF(N(S1776)&gt;0,S1776,IFERROR(VLOOKUP(D1776,Parameter!$A$35:$C$64,3,0)+0,0)))</f>
        <v>0.15</v>
      </c>
      <c r="CE1776" s="48" t="str">
        <f aca="false">IF(AA1776&lt;&gt;"",AA1776,Z1776)</f>
        <v/>
      </c>
      <c r="CF1776" s="48" t="str">
        <f aca="false">IF(OR(CE1776=1,CE1776=2,CE1776=3),IF(Parameter!$E$27="Ja","LIFT",IF(CE1776=1,"L1","L23")),IF(CE1776="Aussen","Aussen","-"))</f>
        <v>-</v>
      </c>
      <c r="CG1776" s="59" t="n">
        <f aca="false">IF(N(AB1776)&gt;0,AB1776,0)</f>
        <v>0</v>
      </c>
      <c r="CH1776" s="53" t="n">
        <f aca="false">IF(ISNUMBER(AE1776),1,0)</f>
        <v>0</v>
      </c>
      <c r="CI1776" s="50" t="n">
        <f aca="false">N(AE1776)</f>
        <v>0</v>
      </c>
      <c r="CJ1776" s="50" t="n">
        <f aca="false">N(M1776)+N(N1776)</f>
        <v>0</v>
      </c>
      <c r="CK1776" s="50" t="n">
        <f aca="false">N(M1776)</f>
        <v>0</v>
      </c>
      <c r="CL1776" s="50" t="n">
        <f aca="false">N(N1776)</f>
        <v>0</v>
      </c>
      <c r="CM1776" s="50" t="n">
        <f aca="false">ROUNDUP(H1776/BY1776,0)</f>
        <v>0</v>
      </c>
      <c r="CN1776" s="50" t="n">
        <f aca="false">ROUNDUP(CI1776/BY1776,0)</f>
        <v>0</v>
      </c>
      <c r="CO1776" s="53" t="n">
        <f aca="false">IF(BZ1776=1,0,IFERROR(VLOOKUP(BX1776,'Gebinde-Kategorie'!$A$5:$N$45,5,0)+0,0))</f>
        <v>0</v>
      </c>
      <c r="CP1776" s="53" t="n">
        <f aca="false">IFERROR(IF(OR(CE1776=1,CE1776=2,CE1776=3),N(INDEX(Parameter!$I$5:$I$7,CE1776)),0),0)</f>
        <v>0</v>
      </c>
      <c r="CQ1776" s="52" t="n">
        <f aca="false">IF(AND(Parameter!$B$21="Ja",ISNUMBER(W1776),N(X1776)&gt;0),IFERROR(N(INDEX(Parameter!$L$5:$L$7,W1776))*INDEX(Parameter!$E$5:$E$7,W1776)*X1776/SUMIFS($X$7:$X$1843,$W$7:$W$1843,W1776),0),0)</f>
        <v>0</v>
      </c>
    </row>
    <row r="1777" customFormat="false" ht="15" hidden="false" customHeight="false" outlineLevel="0" collapsed="false">
      <c r="A1777" s="48" t="str">
        <f aca="false">IF('Neue Artikel'!$A$38="","",'Neue Artikel'!$A$38&amp;"")</f>
        <v/>
      </c>
      <c r="B1777" s="48" t="str">
        <f aca="false">'Neue Artikel'!$B$38&amp;""</f>
        <v/>
      </c>
      <c r="C1777" s="48"/>
      <c r="D1777" s="48" t="s">
        <v>3024</v>
      </c>
      <c r="E1777" s="48"/>
      <c r="F1777" s="48"/>
      <c r="G1777" s="49" t="n">
        <f aca="false">N('Neue Artikel'!$G$38)</f>
        <v>0</v>
      </c>
      <c r="H1777" s="50" t="n">
        <f aca="false">MAX(0,IF(AND(Parameter!$B$21="Ja",ISNUMBER(Y1777)),Y1777,IF(Parameter!$B$20="Jahresanfang 2025 + Export",BR1777+BQ1777,BQ1777)))</f>
        <v>0</v>
      </c>
      <c r="I1777" s="50" t="n">
        <f aca="false">H1777*G1777</f>
        <v>0</v>
      </c>
      <c r="J1777" s="50" t="n">
        <f aca="false">BT1777*Parameter!$B$18</f>
        <v>0</v>
      </c>
      <c r="K1777" s="51"/>
      <c r="L1777" s="52"/>
      <c r="M1777" s="50" t="n">
        <f aca="false">N('Neue Artikel'!$E$38)</f>
        <v>0</v>
      </c>
      <c r="N1777" s="50" t="n">
        <f aca="false">N('Neue Artikel'!$F$38)</f>
        <v>0</v>
      </c>
      <c r="O1777" s="53"/>
      <c r="P1777" s="48" t="str">
        <f aca="false">IF('Neue Artikel'!$H$38="","LOSE",UPPER(TRIM('Neue Artikel'!$H$38)))</f>
        <v>LOSE</v>
      </c>
      <c r="Q1777" s="50" t="n">
        <f aca="false">N('Neue Artikel'!$I$38)</f>
        <v>0</v>
      </c>
      <c r="R1777" s="53" t="n">
        <f aca="false">IF(BZ1777=1,0,IFERROR(VLOOKUP(BX1777,'Gebinde-Kategorie'!$A$5:$N$45,13,0)+0,0))</f>
        <v>0</v>
      </c>
      <c r="S1777" s="54"/>
      <c r="T1777" s="55"/>
      <c r="U1777" s="55"/>
      <c r="V1777" s="55"/>
      <c r="W1777" s="48"/>
      <c r="X1777" s="50"/>
      <c r="Y1777" s="50"/>
      <c r="Z1777" s="48" t="str">
        <f aca="false">IF(A1777="","",IF(AND(Parameter!$B$21="Ja",ISNUMBER(W1777)),W1777,IF(CC1777="2+3",IF(ISNUMBER(SEARCH("grosser Artikel",BU1777)),2,IFERROR(VLOOKUP(BX1777,Parameter!$F$35:$G$64,2,0),2)),IF(OR(CC1777="Nein",CC1777=""),"-",CC1777))))</f>
        <v/>
      </c>
      <c r="AA1777" s="48" t="str">
        <f aca="false">IF('Neue Artikel'!$J$38="","",'Neue Artikel'!$J$38)</f>
        <v/>
      </c>
      <c r="AB1777" s="56"/>
      <c r="AC1777" s="50" t="n">
        <f aca="false">AV1777</f>
        <v>0</v>
      </c>
      <c r="AD1777" s="50" t="n">
        <f aca="false">MAX(AV1777,H1777)</f>
        <v>0</v>
      </c>
      <c r="AE1777" s="57"/>
      <c r="AF1777" s="50" t="n">
        <f aca="false">IF(LEFT(Cockpit!$C$5,1)="A",H1777,IF(Parameter!$E$30="MAX-Bestand",IF(CH1777=1,CI1777,IF(LEFT(Cockpit!$C$5,1)="B",AL1777,MAX(AL1777,H1777))),ROUNDUP(AJ1777,0)))</f>
        <v>0</v>
      </c>
      <c r="AG1777" s="50" t="n">
        <f aca="false">IF(BZ1777=1,0,ROUNDUP(AF1777/BY1777,0))</f>
        <v>0</v>
      </c>
      <c r="AH1777" s="52" t="n">
        <f aca="false">IF(CQ1777&gt;0,CQ1777*MAX(1,AF1777/X1777),IF(BZ1777=1,IF(AF1777&lt;=0,0,CD1777*MAX(1,IF(H1777&gt;0,AF1777/H1777,1))),IF(R1777&gt;0,AG1777/R1777,0))/MAX(0.1,N(Parameter!$M$21)))</f>
        <v>0</v>
      </c>
      <c r="AI1777" s="50" t="n">
        <f aca="false">AH1777*CB1777</f>
        <v>0</v>
      </c>
      <c r="AJ1777" s="51" t="n">
        <f aca="false">IF(LEFT(Cockpit!$C$5,1)="A",H1777,IF(CH1777=1,(CK1777+CI1777)/2,IF(LEFT(Cockpit!$C$5,1)="B",(CK1777+AL1777)/2,MAX((CK1777+AL1777)/2,H1777))))</f>
        <v>0</v>
      </c>
      <c r="AK1777" s="50" t="n">
        <f aca="false">AJ1777*G1777</f>
        <v>0</v>
      </c>
      <c r="AL1777" s="50" t="n">
        <f aca="false">ROUNDUP(CK1777+MAX(CL1777,2*(J1777/IF(CG1777&gt;0,CG1777,MAX(0.1,N(Cockpit!$C$6)))-CK1777)),0)</f>
        <v>0</v>
      </c>
      <c r="AM1777" s="51" t="n">
        <f aca="false">IF(AI1777&gt;0,J1777/AI1777,-1)</f>
        <v>-1</v>
      </c>
      <c r="AN1777" s="51" t="str">
        <f aca="false">IF(AND(OR(CF1777="L1",CF1777="L23",CF1777="LIFT"),AI1777&gt;0),SUMIFS($AI$7:$AI$1843,$CF$7:$CF$1843,CF1777,$AM$7:$AM$1843,"&gt;"&amp;AM1777)+SUMIFS($AI$7:$AI$1843,$CF$7:$CF$1843,CF1777,$AM$7:$AM$1843,AM1777,$BW$7:$BW$1843,"&lt;="&amp;BW1777),"")</f>
        <v/>
      </c>
      <c r="AO1777" s="58" t="n">
        <f aca="false">IF(AN1777="",0,MAX(0,MIN(1,(IF(CF1777="L1",Parameter!$H$5,IF(CF1777="L23",Parameter!$H$6+Parameter!$H$7,Parameter!$H$5+Parameter!$H$6+Parameter!$H$7))-(AN1777-AI1777))/AI1777)))</f>
        <v>0</v>
      </c>
      <c r="AP1777" s="50" t="n">
        <f aca="false">IF(LEFT(Cockpit!$I$5,1)="A",H1777,IF(Parameter!$E$30="MAX-Bestand",IF(CH1777=1,CI1777,IF(LEFT(Cockpit!$I$5,1)="B",AV1777,MAX(AV1777,H1777))),ROUNDUP(AT1777,0)))</f>
        <v>0</v>
      </c>
      <c r="AQ1777" s="50" t="n">
        <f aca="false">IF(BZ1777=1,0,ROUNDUP(AP1777/BY1777,0))</f>
        <v>0</v>
      </c>
      <c r="AR1777" s="52" t="n">
        <f aca="false">IF(CQ1777&gt;0,CQ1777*MAX(1,AP1777/X1777),IF(BZ1777=1,IF(AP1777&lt;=0,0,CD1777*MAX(1,IF(H1777&gt;0,AP1777/H1777,1))),IF(R1777&gt;0,AQ1777/R1777,0))/MAX(0.1,N(Parameter!$M$21)))</f>
        <v>0</v>
      </c>
      <c r="AS1777" s="50" t="n">
        <f aca="false">AR1777*CB1777</f>
        <v>0</v>
      </c>
      <c r="AT1777" s="51" t="n">
        <f aca="false">IF(LEFT(Cockpit!$I$5,1)="A",H1777,IF(CH1777=1,(CK1777+CI1777)/2,IF(LEFT(Cockpit!$I$5,1)="B",(CK1777+AV1777)/2,MAX((CK1777+AV1777)/2,H1777))))</f>
        <v>0</v>
      </c>
      <c r="AU1777" s="50" t="n">
        <f aca="false">AT1777*G1777</f>
        <v>0</v>
      </c>
      <c r="AV1777" s="50" t="n">
        <f aca="false">ROUNDUP(CK1777+MAX(CL1777,2*(J1777/IF(CG1777&gt;0,CG1777,MAX(0.1,N(Cockpit!$I$6)))-CK1777)),0)</f>
        <v>0</v>
      </c>
      <c r="AW1777" s="51" t="n">
        <f aca="false">IF(AS1777&gt;0,J1777/AS1777,-1)</f>
        <v>-1</v>
      </c>
      <c r="AX1777" s="51" t="str">
        <f aca="false">IF(AND(OR(CF1777="L1",CF1777="L23",CF1777="LIFT"),AS1777&gt;0),SUMIFS($AS$7:$AS$1843,$CF$7:$CF$1843,CF1777,$AW$7:$AW$1843,"&gt;"&amp;AW1777)+SUMIFS($AS$7:$AS$1843,$CF$7:$CF$1843,CF1777,$AW$7:$AW$1843,AW1777,$BW$7:$BW$1843,"&lt;="&amp;BW1777),"")</f>
        <v/>
      </c>
      <c r="AY1777" s="58" t="n">
        <f aca="false">IF(AX1777="",0,MAX(0,MIN(1,(IF(CF1777="L1",Parameter!$H$5,IF(CF1777="L23",Parameter!$H$6+Parameter!$H$7,Parameter!$H$5+Parameter!$H$6+Parameter!$H$7))-(AX1777-AS1777))/AS1777)))</f>
        <v>0</v>
      </c>
      <c r="AZ1777" s="50" t="n">
        <f aca="false">IF(LEFT(Cockpit!$O$5,1)="A",H1777,IF(Parameter!$E$30="MAX-Bestand",IF(CH1777=1,CI1777,IF(LEFT(Cockpit!$O$5,1)="B",BF1777,MAX(BF1777,H1777))),ROUNDUP(BD1777,0)))</f>
        <v>0</v>
      </c>
      <c r="BA1777" s="50" t="n">
        <f aca="false">IF(BZ1777=1,0,ROUNDUP(AZ1777/BY1777,0))</f>
        <v>0</v>
      </c>
      <c r="BB1777" s="52" t="n">
        <f aca="false">IF(CQ1777&gt;0,CQ1777*MAX(1,AZ1777/X1777),IF(BZ1777=1,IF(AZ1777&lt;=0,0,CD1777*MAX(1,IF(H1777&gt;0,AZ1777/H1777,1))),IF(R1777&gt;0,BA1777/R1777,0))/MAX(0.1,N(Parameter!$M$21)))</f>
        <v>0</v>
      </c>
      <c r="BC1777" s="50" t="n">
        <f aca="false">BB1777*CB1777</f>
        <v>0</v>
      </c>
      <c r="BD1777" s="51" t="n">
        <f aca="false">IF(LEFT(Cockpit!$O$5,1)="A",H1777,IF(CH1777=1,(CK1777+CI1777)/2,IF(LEFT(Cockpit!$O$5,1)="B",(CK1777+BF1777)/2,MAX((CK1777+BF1777)/2,H1777))))</f>
        <v>0</v>
      </c>
      <c r="BE1777" s="50" t="n">
        <f aca="false">BD1777*G1777</f>
        <v>0</v>
      </c>
      <c r="BF1777" s="50" t="n">
        <f aca="false">ROUNDUP(CK1777+MAX(CL1777,2*(J1777/IF(CG1777&gt;0,CG1777,MAX(0.1,N(Cockpit!$O$6)))-CK1777)),0)</f>
        <v>0</v>
      </c>
      <c r="BG1777" s="51" t="n">
        <f aca="false">IF(BC1777&gt;0,J1777/BC1777,-1)</f>
        <v>-1</v>
      </c>
      <c r="BH1777" s="51" t="str">
        <f aca="false">IF(AND(OR(CF1777="L1",CF1777="L23",CF1777="LIFT"),BC1777&gt;0),SUMIFS($BC$7:$BC$1843,$CF$7:$CF$1843,CF1777,$BG$7:$BG$1843,"&gt;"&amp;BG1777)+SUMIFS($BC$7:$BC$1843,$CF$7:$CF$1843,CF1777,$BG$7:$BG$1843,BG1777,$BW$7:$BW$1843,"&lt;="&amp;BW1777),"")</f>
        <v/>
      </c>
      <c r="BI1777" s="58" t="n">
        <f aca="false">IF(BH1777="",0,MAX(0,MIN(1,(IF(CF1777="L1",Parameter!$H$5,IF(CF1777="L23",Parameter!$H$6+Parameter!$H$7,Parameter!$H$5+Parameter!$H$6+Parameter!$H$7))-(BH1777-BC1777))/BC1777)))</f>
        <v>0</v>
      </c>
      <c r="BJ1777" s="48" t="str">
        <f aca="false">IF(AI1777&lt;=0,"",IF(CF1777="Aussen","Aussenlager",IF(CF1777="-","Nicht im Lift",IF(AO1777&gt;=1,"Lift",IF(AO1777&lt;=0,"Aussenlager","teilweise")))))</f>
        <v/>
      </c>
      <c r="BK1777" s="48" t="str">
        <f aca="false">IF(AS1777&lt;=0,"",IF(CF1777="Aussen","Aussenlager",IF(CF1777="-","Nicht im Lift",IF(AY1777&gt;=1,"Lift",IF(AY1777&lt;=0,"Aussenlager","teilweise")))))</f>
        <v/>
      </c>
      <c r="BL1777" s="48" t="str">
        <f aca="false">IF(BC1777&lt;=0,"",IF(CF1777="Aussen","Aussenlager",IF(CF1777="-","Nicht im Lift",IF(BI1777&gt;=1,"Lift",IF(BI1777&lt;=0,"Aussenlager","teilweise")))))</f>
        <v/>
      </c>
      <c r="BM1777" s="48" t="str">
        <f aca="false">IF(A1777="","",IF(BV1777=1,"Neu; ","")&amp;IF(AND(BV1777=0,BQ1777&lt;0),"negativer Bestand (Export "&amp;BQ1777&amp;"); ","")&amp;IF(J1777&lt;=0,"Kein Verbrauch; ","")&amp;IF(CQ1777&gt;0,"Lift "&amp;W1777&amp;" lt. Liftbericht (Fach "&amp;X1777&amp;" Stk); ",IF(CA1777=1,"Gebinde geschätzt ("&amp;T1777&amp;"); ",IF(BZ1777=1,"Lose – Tablare geschätzt; ","")))&amp;IF(H1777&gt;AV1777,"Überbestand "&amp;ROUND(H1777-AV1777,0)&amp;" Stk / CHF "&amp;ROUND((H1777-AV1777)*G1777,0)&amp;"; ","")&amp;IF(AND(CH1777=1,CI1777&lt;CJ1777),"MAX &lt; MB+LG; ","")&amp;IF(AND(CP1777&gt;0,CO1777*10&gt;CP1777),"zu hoch für Tablar; ","")&amp;IF(AND(BV1777=0,OR(CH1777=1,AA1777&lt;&gt;"",U1777&lt;&gt;"",V1777&lt;&gt;"",AB1777&lt;&gt;"")),"manuell übersteuert; ","")&amp;IF(AND(BZ1777=0,R1777=0),"Gebinde unbekannt / Stellmass fehlt; ","")&amp;IF(AND(BZ1777=0,N(V1777)&lt;=0,N(Q1777)&lt;=0),"Menge pro Gebinde fehlt (Ist = 1 Gebinde); ","")&amp;BU1777)</f>
        <v/>
      </c>
      <c r="BN1777" s="48"/>
      <c r="BO1777" s="48"/>
      <c r="BP1777" s="55"/>
      <c r="BQ1777" s="50" t="n">
        <f aca="false">N('Neue Artikel'!$D$38)</f>
        <v>0</v>
      </c>
      <c r="BR1777" s="50" t="n">
        <v>0</v>
      </c>
      <c r="BS1777" s="49" t="n">
        <v>0</v>
      </c>
      <c r="BT1777" s="50" t="n">
        <f aca="false">N('Neue Artikel'!$C$38)/Parameter!$B$18</f>
        <v>0</v>
      </c>
      <c r="BU1777" s="48"/>
      <c r="BV1777" s="53" t="n">
        <v>1</v>
      </c>
      <c r="BW1777" s="53" t="n">
        <v>1777</v>
      </c>
      <c r="BX1777" s="48" t="str">
        <f aca="false">IF(U1777&lt;&gt;"",UPPER(TRIM(U1777)),IF(CA1777=1,UPPER(VLOOKUP(T1777,Parameter!$I$27:$K$29,2,0)),IF(P1777="","LOSE",P1777)))</f>
        <v>LOSE</v>
      </c>
      <c r="BY1777" s="50" t="n">
        <f aca="false">IF(BX1777="LOSE",1,IF(N(V1777)&gt;0,V1777,IF(CA1777=1,MAX(1,N(VLOOKUP(T1777,Parameter!$I$27:$K$29,3,0)),H1777,N(N1777)),IF(N(Q1777)&gt;0,Q1777,MAX(1,H1777)))))</f>
        <v>1</v>
      </c>
      <c r="BZ1777" s="53" t="n">
        <f aca="false">IF(BX1777="LOSE",1,0)</f>
        <v>1</v>
      </c>
      <c r="CA1777" s="53" t="n">
        <f aca="false">IF(AND(U1777="",OR(P1777="",P1777="LOSE"),T1777&lt;&gt;"",N(S1777)&lt;=0,ISNUMBER(MATCH(T1777,Parameter!$I$27:$I$29,0))),1,0)</f>
        <v>0</v>
      </c>
      <c r="CB1777" s="53" t="n">
        <f aca="false">IF(CQ1777&gt;0,INDEX(Parameter!$H$5:$H$7,W1777)/INDEX(Parameter!$E$5:$E$7,W1777),IF(AND(BZ1777=0,N(IFERROR(VLOOKUP(BX1777,'Gebinde-Kategorie'!$A$5:$N$45,14,0),0))&gt;0),VLOOKUP(BX1777,'Gebinde-Kategorie'!$A$5:$N$45,14,0)*10+Parameter!$M$23,Parameter!$M$24))</f>
        <v>235</v>
      </c>
      <c r="CC1777" s="48" t="str">
        <f aca="false">IF(AND(Parameter!$B$19="Ja",E1777&lt;&gt;"",ISNUMBER(MATCH(E1777,Parameter!$I$35:$I$52,0))),VLOOKUP(E1777,Parameter!$I$35:$J$52,2,0),IFERROR(VLOOKUP(D1777,Parameter!$A$35:$C$64,2,0),"Nein"))</f>
        <v>2+3</v>
      </c>
      <c r="CD1777" s="52" t="n">
        <f aca="false">IF(BZ1777=0,0,IF(N(S1777)&gt;0,S1777,IFERROR(VLOOKUP(D1777,Parameter!$A$35:$C$64,3,0)+0,0)))</f>
        <v>0.15</v>
      </c>
      <c r="CE1777" s="48" t="str">
        <f aca="false">IF(AA1777&lt;&gt;"",AA1777,Z1777)</f>
        <v/>
      </c>
      <c r="CF1777" s="48" t="str">
        <f aca="false">IF(OR(CE1777=1,CE1777=2,CE1777=3),IF(Parameter!$E$27="Ja","LIFT",IF(CE1777=1,"L1","L23")),IF(CE1777="Aussen","Aussen","-"))</f>
        <v>-</v>
      </c>
      <c r="CG1777" s="59" t="n">
        <f aca="false">IF(N(AB1777)&gt;0,AB1777,0)</f>
        <v>0</v>
      </c>
      <c r="CH1777" s="53" t="n">
        <f aca="false">IF(ISNUMBER(AE1777),1,0)</f>
        <v>0</v>
      </c>
      <c r="CI1777" s="50" t="n">
        <f aca="false">N(AE1777)</f>
        <v>0</v>
      </c>
      <c r="CJ1777" s="50" t="n">
        <f aca="false">N(M1777)+N(N1777)</f>
        <v>0</v>
      </c>
      <c r="CK1777" s="50" t="n">
        <f aca="false">N(M1777)</f>
        <v>0</v>
      </c>
      <c r="CL1777" s="50" t="n">
        <f aca="false">N(N1777)</f>
        <v>0</v>
      </c>
      <c r="CM1777" s="50" t="n">
        <f aca="false">ROUNDUP(H1777/BY1777,0)</f>
        <v>0</v>
      </c>
      <c r="CN1777" s="50" t="n">
        <f aca="false">ROUNDUP(CI1777/BY1777,0)</f>
        <v>0</v>
      </c>
      <c r="CO1777" s="53" t="n">
        <f aca="false">IF(BZ1777=1,0,IFERROR(VLOOKUP(BX1777,'Gebinde-Kategorie'!$A$5:$N$45,5,0)+0,0))</f>
        <v>0</v>
      </c>
      <c r="CP1777" s="53" t="n">
        <f aca="false">IFERROR(IF(OR(CE1777=1,CE1777=2,CE1777=3),N(INDEX(Parameter!$I$5:$I$7,CE1777)),0),0)</f>
        <v>0</v>
      </c>
      <c r="CQ1777" s="52" t="n">
        <f aca="false">IF(AND(Parameter!$B$21="Ja",ISNUMBER(W1777),N(X1777)&gt;0),IFERROR(N(INDEX(Parameter!$L$5:$L$7,W1777))*INDEX(Parameter!$E$5:$E$7,W1777)*X1777/SUMIFS($X$7:$X$1843,$W$7:$W$1843,W1777),0),0)</f>
        <v>0</v>
      </c>
    </row>
    <row r="1778" customFormat="false" ht="15" hidden="false" customHeight="false" outlineLevel="0" collapsed="false">
      <c r="A1778" s="48" t="str">
        <f aca="false">IF('Neue Artikel'!$A$39="","",'Neue Artikel'!$A$39&amp;"")</f>
        <v/>
      </c>
      <c r="B1778" s="48" t="str">
        <f aca="false">'Neue Artikel'!$B$39&amp;""</f>
        <v/>
      </c>
      <c r="C1778" s="48"/>
      <c r="D1778" s="48" t="s">
        <v>3024</v>
      </c>
      <c r="E1778" s="48"/>
      <c r="F1778" s="48"/>
      <c r="G1778" s="49" t="n">
        <f aca="false">N('Neue Artikel'!$G$39)</f>
        <v>0</v>
      </c>
      <c r="H1778" s="50" t="n">
        <f aca="false">MAX(0,IF(AND(Parameter!$B$21="Ja",ISNUMBER(Y1778)),Y1778,IF(Parameter!$B$20="Jahresanfang 2025 + Export",BR1778+BQ1778,BQ1778)))</f>
        <v>0</v>
      </c>
      <c r="I1778" s="50" t="n">
        <f aca="false">H1778*G1778</f>
        <v>0</v>
      </c>
      <c r="J1778" s="50" t="n">
        <f aca="false">BT1778*Parameter!$B$18</f>
        <v>0</v>
      </c>
      <c r="K1778" s="51"/>
      <c r="L1778" s="52"/>
      <c r="M1778" s="50" t="n">
        <f aca="false">N('Neue Artikel'!$E$39)</f>
        <v>0</v>
      </c>
      <c r="N1778" s="50" t="n">
        <f aca="false">N('Neue Artikel'!$F$39)</f>
        <v>0</v>
      </c>
      <c r="O1778" s="53"/>
      <c r="P1778" s="48" t="str">
        <f aca="false">IF('Neue Artikel'!$H$39="","LOSE",UPPER(TRIM('Neue Artikel'!$H$39)))</f>
        <v>LOSE</v>
      </c>
      <c r="Q1778" s="50" t="n">
        <f aca="false">N('Neue Artikel'!$I$39)</f>
        <v>0</v>
      </c>
      <c r="R1778" s="53" t="n">
        <f aca="false">IF(BZ1778=1,0,IFERROR(VLOOKUP(BX1778,'Gebinde-Kategorie'!$A$5:$N$45,13,0)+0,0))</f>
        <v>0</v>
      </c>
      <c r="S1778" s="54"/>
      <c r="T1778" s="55"/>
      <c r="U1778" s="55"/>
      <c r="V1778" s="55"/>
      <c r="W1778" s="48"/>
      <c r="X1778" s="50"/>
      <c r="Y1778" s="50"/>
      <c r="Z1778" s="48" t="str">
        <f aca="false">IF(A1778="","",IF(AND(Parameter!$B$21="Ja",ISNUMBER(W1778)),W1778,IF(CC1778="2+3",IF(ISNUMBER(SEARCH("grosser Artikel",BU1778)),2,IFERROR(VLOOKUP(BX1778,Parameter!$F$35:$G$64,2,0),2)),IF(OR(CC1778="Nein",CC1778=""),"-",CC1778))))</f>
        <v/>
      </c>
      <c r="AA1778" s="48" t="str">
        <f aca="false">IF('Neue Artikel'!$J$39="","",'Neue Artikel'!$J$39)</f>
        <v/>
      </c>
      <c r="AB1778" s="56"/>
      <c r="AC1778" s="50" t="n">
        <f aca="false">AV1778</f>
        <v>0</v>
      </c>
      <c r="AD1778" s="50" t="n">
        <f aca="false">MAX(AV1778,H1778)</f>
        <v>0</v>
      </c>
      <c r="AE1778" s="57"/>
      <c r="AF1778" s="50" t="n">
        <f aca="false">IF(LEFT(Cockpit!$C$5,1)="A",H1778,IF(Parameter!$E$30="MAX-Bestand",IF(CH1778=1,CI1778,IF(LEFT(Cockpit!$C$5,1)="B",AL1778,MAX(AL1778,H1778))),ROUNDUP(AJ1778,0)))</f>
        <v>0</v>
      </c>
      <c r="AG1778" s="50" t="n">
        <f aca="false">IF(BZ1778=1,0,ROUNDUP(AF1778/BY1778,0))</f>
        <v>0</v>
      </c>
      <c r="AH1778" s="52" t="n">
        <f aca="false">IF(CQ1778&gt;0,CQ1778*MAX(1,AF1778/X1778),IF(BZ1778=1,IF(AF1778&lt;=0,0,CD1778*MAX(1,IF(H1778&gt;0,AF1778/H1778,1))),IF(R1778&gt;0,AG1778/R1778,0))/MAX(0.1,N(Parameter!$M$21)))</f>
        <v>0</v>
      </c>
      <c r="AI1778" s="50" t="n">
        <f aca="false">AH1778*CB1778</f>
        <v>0</v>
      </c>
      <c r="AJ1778" s="51" t="n">
        <f aca="false">IF(LEFT(Cockpit!$C$5,1)="A",H1778,IF(CH1778=1,(CK1778+CI1778)/2,IF(LEFT(Cockpit!$C$5,1)="B",(CK1778+AL1778)/2,MAX((CK1778+AL1778)/2,H1778))))</f>
        <v>0</v>
      </c>
      <c r="AK1778" s="50" t="n">
        <f aca="false">AJ1778*G1778</f>
        <v>0</v>
      </c>
      <c r="AL1778" s="50" t="n">
        <f aca="false">ROUNDUP(CK1778+MAX(CL1778,2*(J1778/IF(CG1778&gt;0,CG1778,MAX(0.1,N(Cockpit!$C$6)))-CK1778)),0)</f>
        <v>0</v>
      </c>
      <c r="AM1778" s="51" t="n">
        <f aca="false">IF(AI1778&gt;0,J1778/AI1778,-1)</f>
        <v>-1</v>
      </c>
      <c r="AN1778" s="51" t="str">
        <f aca="false">IF(AND(OR(CF1778="L1",CF1778="L23",CF1778="LIFT"),AI1778&gt;0),SUMIFS($AI$7:$AI$1843,$CF$7:$CF$1843,CF1778,$AM$7:$AM$1843,"&gt;"&amp;AM1778)+SUMIFS($AI$7:$AI$1843,$CF$7:$CF$1843,CF1778,$AM$7:$AM$1843,AM1778,$BW$7:$BW$1843,"&lt;="&amp;BW1778),"")</f>
        <v/>
      </c>
      <c r="AO1778" s="58" t="n">
        <f aca="false">IF(AN1778="",0,MAX(0,MIN(1,(IF(CF1778="L1",Parameter!$H$5,IF(CF1778="L23",Parameter!$H$6+Parameter!$H$7,Parameter!$H$5+Parameter!$H$6+Parameter!$H$7))-(AN1778-AI1778))/AI1778)))</f>
        <v>0</v>
      </c>
      <c r="AP1778" s="50" t="n">
        <f aca="false">IF(LEFT(Cockpit!$I$5,1)="A",H1778,IF(Parameter!$E$30="MAX-Bestand",IF(CH1778=1,CI1778,IF(LEFT(Cockpit!$I$5,1)="B",AV1778,MAX(AV1778,H1778))),ROUNDUP(AT1778,0)))</f>
        <v>0</v>
      </c>
      <c r="AQ1778" s="50" t="n">
        <f aca="false">IF(BZ1778=1,0,ROUNDUP(AP1778/BY1778,0))</f>
        <v>0</v>
      </c>
      <c r="AR1778" s="52" t="n">
        <f aca="false">IF(CQ1778&gt;0,CQ1778*MAX(1,AP1778/X1778),IF(BZ1778=1,IF(AP1778&lt;=0,0,CD1778*MAX(1,IF(H1778&gt;0,AP1778/H1778,1))),IF(R1778&gt;0,AQ1778/R1778,0))/MAX(0.1,N(Parameter!$M$21)))</f>
        <v>0</v>
      </c>
      <c r="AS1778" s="50" t="n">
        <f aca="false">AR1778*CB1778</f>
        <v>0</v>
      </c>
      <c r="AT1778" s="51" t="n">
        <f aca="false">IF(LEFT(Cockpit!$I$5,1)="A",H1778,IF(CH1778=1,(CK1778+CI1778)/2,IF(LEFT(Cockpit!$I$5,1)="B",(CK1778+AV1778)/2,MAX((CK1778+AV1778)/2,H1778))))</f>
        <v>0</v>
      </c>
      <c r="AU1778" s="50" t="n">
        <f aca="false">AT1778*G1778</f>
        <v>0</v>
      </c>
      <c r="AV1778" s="50" t="n">
        <f aca="false">ROUNDUP(CK1778+MAX(CL1778,2*(J1778/IF(CG1778&gt;0,CG1778,MAX(0.1,N(Cockpit!$I$6)))-CK1778)),0)</f>
        <v>0</v>
      </c>
      <c r="AW1778" s="51" t="n">
        <f aca="false">IF(AS1778&gt;0,J1778/AS1778,-1)</f>
        <v>-1</v>
      </c>
      <c r="AX1778" s="51" t="str">
        <f aca="false">IF(AND(OR(CF1778="L1",CF1778="L23",CF1778="LIFT"),AS1778&gt;0),SUMIFS($AS$7:$AS$1843,$CF$7:$CF$1843,CF1778,$AW$7:$AW$1843,"&gt;"&amp;AW1778)+SUMIFS($AS$7:$AS$1843,$CF$7:$CF$1843,CF1778,$AW$7:$AW$1843,AW1778,$BW$7:$BW$1843,"&lt;="&amp;BW1778),"")</f>
        <v/>
      </c>
      <c r="AY1778" s="58" t="n">
        <f aca="false">IF(AX1778="",0,MAX(0,MIN(1,(IF(CF1778="L1",Parameter!$H$5,IF(CF1778="L23",Parameter!$H$6+Parameter!$H$7,Parameter!$H$5+Parameter!$H$6+Parameter!$H$7))-(AX1778-AS1778))/AS1778)))</f>
        <v>0</v>
      </c>
      <c r="AZ1778" s="50" t="n">
        <f aca="false">IF(LEFT(Cockpit!$O$5,1)="A",H1778,IF(Parameter!$E$30="MAX-Bestand",IF(CH1778=1,CI1778,IF(LEFT(Cockpit!$O$5,1)="B",BF1778,MAX(BF1778,H1778))),ROUNDUP(BD1778,0)))</f>
        <v>0</v>
      </c>
      <c r="BA1778" s="50" t="n">
        <f aca="false">IF(BZ1778=1,0,ROUNDUP(AZ1778/BY1778,0))</f>
        <v>0</v>
      </c>
      <c r="BB1778" s="52" t="n">
        <f aca="false">IF(CQ1778&gt;0,CQ1778*MAX(1,AZ1778/X1778),IF(BZ1778=1,IF(AZ1778&lt;=0,0,CD1778*MAX(1,IF(H1778&gt;0,AZ1778/H1778,1))),IF(R1778&gt;0,BA1778/R1778,0))/MAX(0.1,N(Parameter!$M$21)))</f>
        <v>0</v>
      </c>
      <c r="BC1778" s="50" t="n">
        <f aca="false">BB1778*CB1778</f>
        <v>0</v>
      </c>
      <c r="BD1778" s="51" t="n">
        <f aca="false">IF(LEFT(Cockpit!$O$5,1)="A",H1778,IF(CH1778=1,(CK1778+CI1778)/2,IF(LEFT(Cockpit!$O$5,1)="B",(CK1778+BF1778)/2,MAX((CK1778+BF1778)/2,H1778))))</f>
        <v>0</v>
      </c>
      <c r="BE1778" s="50" t="n">
        <f aca="false">BD1778*G1778</f>
        <v>0</v>
      </c>
      <c r="BF1778" s="50" t="n">
        <f aca="false">ROUNDUP(CK1778+MAX(CL1778,2*(J1778/IF(CG1778&gt;0,CG1778,MAX(0.1,N(Cockpit!$O$6)))-CK1778)),0)</f>
        <v>0</v>
      </c>
      <c r="BG1778" s="51" t="n">
        <f aca="false">IF(BC1778&gt;0,J1778/BC1778,-1)</f>
        <v>-1</v>
      </c>
      <c r="BH1778" s="51" t="str">
        <f aca="false">IF(AND(OR(CF1778="L1",CF1778="L23",CF1778="LIFT"),BC1778&gt;0),SUMIFS($BC$7:$BC$1843,$CF$7:$CF$1843,CF1778,$BG$7:$BG$1843,"&gt;"&amp;BG1778)+SUMIFS($BC$7:$BC$1843,$CF$7:$CF$1843,CF1778,$BG$7:$BG$1843,BG1778,$BW$7:$BW$1843,"&lt;="&amp;BW1778),"")</f>
        <v/>
      </c>
      <c r="BI1778" s="58" t="n">
        <f aca="false">IF(BH1778="",0,MAX(0,MIN(1,(IF(CF1778="L1",Parameter!$H$5,IF(CF1778="L23",Parameter!$H$6+Parameter!$H$7,Parameter!$H$5+Parameter!$H$6+Parameter!$H$7))-(BH1778-BC1778))/BC1778)))</f>
        <v>0</v>
      </c>
      <c r="BJ1778" s="48" t="str">
        <f aca="false">IF(AI1778&lt;=0,"",IF(CF1778="Aussen","Aussenlager",IF(CF1778="-","Nicht im Lift",IF(AO1778&gt;=1,"Lift",IF(AO1778&lt;=0,"Aussenlager","teilweise")))))</f>
        <v/>
      </c>
      <c r="BK1778" s="48" t="str">
        <f aca="false">IF(AS1778&lt;=0,"",IF(CF1778="Aussen","Aussenlager",IF(CF1778="-","Nicht im Lift",IF(AY1778&gt;=1,"Lift",IF(AY1778&lt;=0,"Aussenlager","teilweise")))))</f>
        <v/>
      </c>
      <c r="BL1778" s="48" t="str">
        <f aca="false">IF(BC1778&lt;=0,"",IF(CF1778="Aussen","Aussenlager",IF(CF1778="-","Nicht im Lift",IF(BI1778&gt;=1,"Lift",IF(BI1778&lt;=0,"Aussenlager","teilweise")))))</f>
        <v/>
      </c>
      <c r="BM1778" s="48" t="str">
        <f aca="false">IF(A1778="","",IF(BV1778=1,"Neu; ","")&amp;IF(AND(BV1778=0,BQ1778&lt;0),"negativer Bestand (Export "&amp;BQ1778&amp;"); ","")&amp;IF(J1778&lt;=0,"Kein Verbrauch; ","")&amp;IF(CQ1778&gt;0,"Lift "&amp;W1778&amp;" lt. Liftbericht (Fach "&amp;X1778&amp;" Stk); ",IF(CA1778=1,"Gebinde geschätzt ("&amp;T1778&amp;"); ",IF(BZ1778=1,"Lose – Tablare geschätzt; ","")))&amp;IF(H1778&gt;AV1778,"Überbestand "&amp;ROUND(H1778-AV1778,0)&amp;" Stk / CHF "&amp;ROUND((H1778-AV1778)*G1778,0)&amp;"; ","")&amp;IF(AND(CH1778=1,CI1778&lt;CJ1778),"MAX &lt; MB+LG; ","")&amp;IF(AND(CP1778&gt;0,CO1778*10&gt;CP1778),"zu hoch für Tablar; ","")&amp;IF(AND(BV1778=0,OR(CH1778=1,AA1778&lt;&gt;"",U1778&lt;&gt;"",V1778&lt;&gt;"",AB1778&lt;&gt;"")),"manuell übersteuert; ","")&amp;IF(AND(BZ1778=0,R1778=0),"Gebinde unbekannt / Stellmass fehlt; ","")&amp;IF(AND(BZ1778=0,N(V1778)&lt;=0,N(Q1778)&lt;=0),"Menge pro Gebinde fehlt (Ist = 1 Gebinde); ","")&amp;BU1778)</f>
        <v/>
      </c>
      <c r="BN1778" s="48"/>
      <c r="BO1778" s="48"/>
      <c r="BP1778" s="55"/>
      <c r="BQ1778" s="50" t="n">
        <f aca="false">N('Neue Artikel'!$D$39)</f>
        <v>0</v>
      </c>
      <c r="BR1778" s="50" t="n">
        <v>0</v>
      </c>
      <c r="BS1778" s="49" t="n">
        <v>0</v>
      </c>
      <c r="BT1778" s="50" t="n">
        <f aca="false">N('Neue Artikel'!$C$39)/Parameter!$B$18</f>
        <v>0</v>
      </c>
      <c r="BU1778" s="48"/>
      <c r="BV1778" s="53" t="n">
        <v>1</v>
      </c>
      <c r="BW1778" s="53" t="n">
        <v>1778</v>
      </c>
      <c r="BX1778" s="48" t="str">
        <f aca="false">IF(U1778&lt;&gt;"",UPPER(TRIM(U1778)),IF(CA1778=1,UPPER(VLOOKUP(T1778,Parameter!$I$27:$K$29,2,0)),IF(P1778="","LOSE",P1778)))</f>
        <v>LOSE</v>
      </c>
      <c r="BY1778" s="50" t="n">
        <f aca="false">IF(BX1778="LOSE",1,IF(N(V1778)&gt;0,V1778,IF(CA1778=1,MAX(1,N(VLOOKUP(T1778,Parameter!$I$27:$K$29,3,0)),H1778,N(N1778)),IF(N(Q1778)&gt;0,Q1778,MAX(1,H1778)))))</f>
        <v>1</v>
      </c>
      <c r="BZ1778" s="53" t="n">
        <f aca="false">IF(BX1778="LOSE",1,0)</f>
        <v>1</v>
      </c>
      <c r="CA1778" s="53" t="n">
        <f aca="false">IF(AND(U1778="",OR(P1778="",P1778="LOSE"),T1778&lt;&gt;"",N(S1778)&lt;=0,ISNUMBER(MATCH(T1778,Parameter!$I$27:$I$29,0))),1,0)</f>
        <v>0</v>
      </c>
      <c r="CB1778" s="53" t="n">
        <f aca="false">IF(CQ1778&gt;0,INDEX(Parameter!$H$5:$H$7,W1778)/INDEX(Parameter!$E$5:$E$7,W1778),IF(AND(BZ1778=0,N(IFERROR(VLOOKUP(BX1778,'Gebinde-Kategorie'!$A$5:$N$45,14,0),0))&gt;0),VLOOKUP(BX1778,'Gebinde-Kategorie'!$A$5:$N$45,14,0)*10+Parameter!$M$23,Parameter!$M$24))</f>
        <v>235</v>
      </c>
      <c r="CC1778" s="48" t="str">
        <f aca="false">IF(AND(Parameter!$B$19="Ja",E1778&lt;&gt;"",ISNUMBER(MATCH(E1778,Parameter!$I$35:$I$52,0))),VLOOKUP(E1778,Parameter!$I$35:$J$52,2,0),IFERROR(VLOOKUP(D1778,Parameter!$A$35:$C$64,2,0),"Nein"))</f>
        <v>2+3</v>
      </c>
      <c r="CD1778" s="52" t="n">
        <f aca="false">IF(BZ1778=0,0,IF(N(S1778)&gt;0,S1778,IFERROR(VLOOKUP(D1778,Parameter!$A$35:$C$64,3,0)+0,0)))</f>
        <v>0.15</v>
      </c>
      <c r="CE1778" s="48" t="str">
        <f aca="false">IF(AA1778&lt;&gt;"",AA1778,Z1778)</f>
        <v/>
      </c>
      <c r="CF1778" s="48" t="str">
        <f aca="false">IF(OR(CE1778=1,CE1778=2,CE1778=3),IF(Parameter!$E$27="Ja","LIFT",IF(CE1778=1,"L1","L23")),IF(CE1778="Aussen","Aussen","-"))</f>
        <v>-</v>
      </c>
      <c r="CG1778" s="59" t="n">
        <f aca="false">IF(N(AB1778)&gt;0,AB1778,0)</f>
        <v>0</v>
      </c>
      <c r="CH1778" s="53" t="n">
        <f aca="false">IF(ISNUMBER(AE1778),1,0)</f>
        <v>0</v>
      </c>
      <c r="CI1778" s="50" t="n">
        <f aca="false">N(AE1778)</f>
        <v>0</v>
      </c>
      <c r="CJ1778" s="50" t="n">
        <f aca="false">N(M1778)+N(N1778)</f>
        <v>0</v>
      </c>
      <c r="CK1778" s="50" t="n">
        <f aca="false">N(M1778)</f>
        <v>0</v>
      </c>
      <c r="CL1778" s="50" t="n">
        <f aca="false">N(N1778)</f>
        <v>0</v>
      </c>
      <c r="CM1778" s="50" t="n">
        <f aca="false">ROUNDUP(H1778/BY1778,0)</f>
        <v>0</v>
      </c>
      <c r="CN1778" s="50" t="n">
        <f aca="false">ROUNDUP(CI1778/BY1778,0)</f>
        <v>0</v>
      </c>
      <c r="CO1778" s="53" t="n">
        <f aca="false">IF(BZ1778=1,0,IFERROR(VLOOKUP(BX1778,'Gebinde-Kategorie'!$A$5:$N$45,5,0)+0,0))</f>
        <v>0</v>
      </c>
      <c r="CP1778" s="53" t="n">
        <f aca="false">IFERROR(IF(OR(CE1778=1,CE1778=2,CE1778=3),N(INDEX(Parameter!$I$5:$I$7,CE1778)),0),0)</f>
        <v>0</v>
      </c>
      <c r="CQ1778" s="52" t="n">
        <f aca="false">IF(AND(Parameter!$B$21="Ja",ISNUMBER(W1778),N(X1778)&gt;0),IFERROR(N(INDEX(Parameter!$L$5:$L$7,W1778))*INDEX(Parameter!$E$5:$E$7,W1778)*X1778/SUMIFS($X$7:$X$1843,$W$7:$W$1843,W1778),0),0)</f>
        <v>0</v>
      </c>
    </row>
    <row r="1779" customFormat="false" ht="15" hidden="false" customHeight="false" outlineLevel="0" collapsed="false">
      <c r="A1779" s="48" t="str">
        <f aca="false">IF('Neue Artikel'!$A$40="","",'Neue Artikel'!$A$40&amp;"")</f>
        <v/>
      </c>
      <c r="B1779" s="48" t="str">
        <f aca="false">'Neue Artikel'!$B$40&amp;""</f>
        <v/>
      </c>
      <c r="C1779" s="48"/>
      <c r="D1779" s="48" t="s">
        <v>3024</v>
      </c>
      <c r="E1779" s="48"/>
      <c r="F1779" s="48"/>
      <c r="G1779" s="49" t="n">
        <f aca="false">N('Neue Artikel'!$G$40)</f>
        <v>0</v>
      </c>
      <c r="H1779" s="50" t="n">
        <f aca="false">MAX(0,IF(AND(Parameter!$B$21="Ja",ISNUMBER(Y1779)),Y1779,IF(Parameter!$B$20="Jahresanfang 2025 + Export",BR1779+BQ1779,BQ1779)))</f>
        <v>0</v>
      </c>
      <c r="I1779" s="50" t="n">
        <f aca="false">H1779*G1779</f>
        <v>0</v>
      </c>
      <c r="J1779" s="50" t="n">
        <f aca="false">BT1779*Parameter!$B$18</f>
        <v>0</v>
      </c>
      <c r="K1779" s="51"/>
      <c r="L1779" s="52"/>
      <c r="M1779" s="50" t="n">
        <f aca="false">N('Neue Artikel'!$E$40)</f>
        <v>0</v>
      </c>
      <c r="N1779" s="50" t="n">
        <f aca="false">N('Neue Artikel'!$F$40)</f>
        <v>0</v>
      </c>
      <c r="O1779" s="53"/>
      <c r="P1779" s="48" t="str">
        <f aca="false">IF('Neue Artikel'!$H$40="","LOSE",UPPER(TRIM('Neue Artikel'!$H$40)))</f>
        <v>LOSE</v>
      </c>
      <c r="Q1779" s="50" t="n">
        <f aca="false">N('Neue Artikel'!$I$40)</f>
        <v>0</v>
      </c>
      <c r="R1779" s="53" t="n">
        <f aca="false">IF(BZ1779=1,0,IFERROR(VLOOKUP(BX1779,'Gebinde-Kategorie'!$A$5:$N$45,13,0)+0,0))</f>
        <v>0</v>
      </c>
      <c r="S1779" s="54"/>
      <c r="T1779" s="55"/>
      <c r="U1779" s="55"/>
      <c r="V1779" s="55"/>
      <c r="W1779" s="48"/>
      <c r="X1779" s="50"/>
      <c r="Y1779" s="50"/>
      <c r="Z1779" s="48" t="str">
        <f aca="false">IF(A1779="","",IF(AND(Parameter!$B$21="Ja",ISNUMBER(W1779)),W1779,IF(CC1779="2+3",IF(ISNUMBER(SEARCH("grosser Artikel",BU1779)),2,IFERROR(VLOOKUP(BX1779,Parameter!$F$35:$G$64,2,0),2)),IF(OR(CC1779="Nein",CC1779=""),"-",CC1779))))</f>
        <v/>
      </c>
      <c r="AA1779" s="48" t="str">
        <f aca="false">IF('Neue Artikel'!$J$40="","",'Neue Artikel'!$J$40)</f>
        <v/>
      </c>
      <c r="AB1779" s="56"/>
      <c r="AC1779" s="50" t="n">
        <f aca="false">AV1779</f>
        <v>0</v>
      </c>
      <c r="AD1779" s="50" t="n">
        <f aca="false">MAX(AV1779,H1779)</f>
        <v>0</v>
      </c>
      <c r="AE1779" s="57"/>
      <c r="AF1779" s="50" t="n">
        <f aca="false">IF(LEFT(Cockpit!$C$5,1)="A",H1779,IF(Parameter!$E$30="MAX-Bestand",IF(CH1779=1,CI1779,IF(LEFT(Cockpit!$C$5,1)="B",AL1779,MAX(AL1779,H1779))),ROUNDUP(AJ1779,0)))</f>
        <v>0</v>
      </c>
      <c r="AG1779" s="50" t="n">
        <f aca="false">IF(BZ1779=1,0,ROUNDUP(AF1779/BY1779,0))</f>
        <v>0</v>
      </c>
      <c r="AH1779" s="52" t="n">
        <f aca="false">IF(CQ1779&gt;0,CQ1779*MAX(1,AF1779/X1779),IF(BZ1779=1,IF(AF1779&lt;=0,0,CD1779*MAX(1,IF(H1779&gt;0,AF1779/H1779,1))),IF(R1779&gt;0,AG1779/R1779,0))/MAX(0.1,N(Parameter!$M$21)))</f>
        <v>0</v>
      </c>
      <c r="AI1779" s="50" t="n">
        <f aca="false">AH1779*CB1779</f>
        <v>0</v>
      </c>
      <c r="AJ1779" s="51" t="n">
        <f aca="false">IF(LEFT(Cockpit!$C$5,1)="A",H1779,IF(CH1779=1,(CK1779+CI1779)/2,IF(LEFT(Cockpit!$C$5,1)="B",(CK1779+AL1779)/2,MAX((CK1779+AL1779)/2,H1779))))</f>
        <v>0</v>
      </c>
      <c r="AK1779" s="50" t="n">
        <f aca="false">AJ1779*G1779</f>
        <v>0</v>
      </c>
      <c r="AL1779" s="50" t="n">
        <f aca="false">ROUNDUP(CK1779+MAX(CL1779,2*(J1779/IF(CG1779&gt;0,CG1779,MAX(0.1,N(Cockpit!$C$6)))-CK1779)),0)</f>
        <v>0</v>
      </c>
      <c r="AM1779" s="51" t="n">
        <f aca="false">IF(AI1779&gt;0,J1779/AI1779,-1)</f>
        <v>-1</v>
      </c>
      <c r="AN1779" s="51" t="str">
        <f aca="false">IF(AND(OR(CF1779="L1",CF1779="L23",CF1779="LIFT"),AI1779&gt;0),SUMIFS($AI$7:$AI$1843,$CF$7:$CF$1843,CF1779,$AM$7:$AM$1843,"&gt;"&amp;AM1779)+SUMIFS($AI$7:$AI$1843,$CF$7:$CF$1843,CF1779,$AM$7:$AM$1843,AM1779,$BW$7:$BW$1843,"&lt;="&amp;BW1779),"")</f>
        <v/>
      </c>
      <c r="AO1779" s="58" t="n">
        <f aca="false">IF(AN1779="",0,MAX(0,MIN(1,(IF(CF1779="L1",Parameter!$H$5,IF(CF1779="L23",Parameter!$H$6+Parameter!$H$7,Parameter!$H$5+Parameter!$H$6+Parameter!$H$7))-(AN1779-AI1779))/AI1779)))</f>
        <v>0</v>
      </c>
      <c r="AP1779" s="50" t="n">
        <f aca="false">IF(LEFT(Cockpit!$I$5,1)="A",H1779,IF(Parameter!$E$30="MAX-Bestand",IF(CH1779=1,CI1779,IF(LEFT(Cockpit!$I$5,1)="B",AV1779,MAX(AV1779,H1779))),ROUNDUP(AT1779,0)))</f>
        <v>0</v>
      </c>
      <c r="AQ1779" s="50" t="n">
        <f aca="false">IF(BZ1779=1,0,ROUNDUP(AP1779/BY1779,0))</f>
        <v>0</v>
      </c>
      <c r="AR1779" s="52" t="n">
        <f aca="false">IF(CQ1779&gt;0,CQ1779*MAX(1,AP1779/X1779),IF(BZ1779=1,IF(AP1779&lt;=0,0,CD1779*MAX(1,IF(H1779&gt;0,AP1779/H1779,1))),IF(R1779&gt;0,AQ1779/R1779,0))/MAX(0.1,N(Parameter!$M$21)))</f>
        <v>0</v>
      </c>
      <c r="AS1779" s="50" t="n">
        <f aca="false">AR1779*CB1779</f>
        <v>0</v>
      </c>
      <c r="AT1779" s="51" t="n">
        <f aca="false">IF(LEFT(Cockpit!$I$5,1)="A",H1779,IF(CH1779=1,(CK1779+CI1779)/2,IF(LEFT(Cockpit!$I$5,1)="B",(CK1779+AV1779)/2,MAX((CK1779+AV1779)/2,H1779))))</f>
        <v>0</v>
      </c>
      <c r="AU1779" s="50" t="n">
        <f aca="false">AT1779*G1779</f>
        <v>0</v>
      </c>
      <c r="AV1779" s="50" t="n">
        <f aca="false">ROUNDUP(CK1779+MAX(CL1779,2*(J1779/IF(CG1779&gt;0,CG1779,MAX(0.1,N(Cockpit!$I$6)))-CK1779)),0)</f>
        <v>0</v>
      </c>
      <c r="AW1779" s="51" t="n">
        <f aca="false">IF(AS1779&gt;0,J1779/AS1779,-1)</f>
        <v>-1</v>
      </c>
      <c r="AX1779" s="51" t="str">
        <f aca="false">IF(AND(OR(CF1779="L1",CF1779="L23",CF1779="LIFT"),AS1779&gt;0),SUMIFS($AS$7:$AS$1843,$CF$7:$CF$1843,CF1779,$AW$7:$AW$1843,"&gt;"&amp;AW1779)+SUMIFS($AS$7:$AS$1843,$CF$7:$CF$1843,CF1779,$AW$7:$AW$1843,AW1779,$BW$7:$BW$1843,"&lt;="&amp;BW1779),"")</f>
        <v/>
      </c>
      <c r="AY1779" s="58" t="n">
        <f aca="false">IF(AX1779="",0,MAX(0,MIN(1,(IF(CF1779="L1",Parameter!$H$5,IF(CF1779="L23",Parameter!$H$6+Parameter!$H$7,Parameter!$H$5+Parameter!$H$6+Parameter!$H$7))-(AX1779-AS1779))/AS1779)))</f>
        <v>0</v>
      </c>
      <c r="AZ1779" s="50" t="n">
        <f aca="false">IF(LEFT(Cockpit!$O$5,1)="A",H1779,IF(Parameter!$E$30="MAX-Bestand",IF(CH1779=1,CI1779,IF(LEFT(Cockpit!$O$5,1)="B",BF1779,MAX(BF1779,H1779))),ROUNDUP(BD1779,0)))</f>
        <v>0</v>
      </c>
      <c r="BA1779" s="50" t="n">
        <f aca="false">IF(BZ1779=1,0,ROUNDUP(AZ1779/BY1779,0))</f>
        <v>0</v>
      </c>
      <c r="BB1779" s="52" t="n">
        <f aca="false">IF(CQ1779&gt;0,CQ1779*MAX(1,AZ1779/X1779),IF(BZ1779=1,IF(AZ1779&lt;=0,0,CD1779*MAX(1,IF(H1779&gt;0,AZ1779/H1779,1))),IF(R1779&gt;0,BA1779/R1779,0))/MAX(0.1,N(Parameter!$M$21)))</f>
        <v>0</v>
      </c>
      <c r="BC1779" s="50" t="n">
        <f aca="false">BB1779*CB1779</f>
        <v>0</v>
      </c>
      <c r="BD1779" s="51" t="n">
        <f aca="false">IF(LEFT(Cockpit!$O$5,1)="A",H1779,IF(CH1779=1,(CK1779+CI1779)/2,IF(LEFT(Cockpit!$O$5,1)="B",(CK1779+BF1779)/2,MAX((CK1779+BF1779)/2,H1779))))</f>
        <v>0</v>
      </c>
      <c r="BE1779" s="50" t="n">
        <f aca="false">BD1779*G1779</f>
        <v>0</v>
      </c>
      <c r="BF1779" s="50" t="n">
        <f aca="false">ROUNDUP(CK1779+MAX(CL1779,2*(J1779/IF(CG1779&gt;0,CG1779,MAX(0.1,N(Cockpit!$O$6)))-CK1779)),0)</f>
        <v>0</v>
      </c>
      <c r="BG1779" s="51" t="n">
        <f aca="false">IF(BC1779&gt;0,J1779/BC1779,-1)</f>
        <v>-1</v>
      </c>
      <c r="BH1779" s="51" t="str">
        <f aca="false">IF(AND(OR(CF1779="L1",CF1779="L23",CF1779="LIFT"),BC1779&gt;0),SUMIFS($BC$7:$BC$1843,$CF$7:$CF$1843,CF1779,$BG$7:$BG$1843,"&gt;"&amp;BG1779)+SUMIFS($BC$7:$BC$1843,$CF$7:$CF$1843,CF1779,$BG$7:$BG$1843,BG1779,$BW$7:$BW$1843,"&lt;="&amp;BW1779),"")</f>
        <v/>
      </c>
      <c r="BI1779" s="58" t="n">
        <f aca="false">IF(BH1779="",0,MAX(0,MIN(1,(IF(CF1779="L1",Parameter!$H$5,IF(CF1779="L23",Parameter!$H$6+Parameter!$H$7,Parameter!$H$5+Parameter!$H$6+Parameter!$H$7))-(BH1779-BC1779))/BC1779)))</f>
        <v>0</v>
      </c>
      <c r="BJ1779" s="48" t="str">
        <f aca="false">IF(AI1779&lt;=0,"",IF(CF1779="Aussen","Aussenlager",IF(CF1779="-","Nicht im Lift",IF(AO1779&gt;=1,"Lift",IF(AO1779&lt;=0,"Aussenlager","teilweise")))))</f>
        <v/>
      </c>
      <c r="BK1779" s="48" t="str">
        <f aca="false">IF(AS1779&lt;=0,"",IF(CF1779="Aussen","Aussenlager",IF(CF1779="-","Nicht im Lift",IF(AY1779&gt;=1,"Lift",IF(AY1779&lt;=0,"Aussenlager","teilweise")))))</f>
        <v/>
      </c>
      <c r="BL1779" s="48" t="str">
        <f aca="false">IF(BC1779&lt;=0,"",IF(CF1779="Aussen","Aussenlager",IF(CF1779="-","Nicht im Lift",IF(BI1779&gt;=1,"Lift",IF(BI1779&lt;=0,"Aussenlager","teilweise")))))</f>
        <v/>
      </c>
      <c r="BM1779" s="48" t="str">
        <f aca="false">IF(A1779="","",IF(BV1779=1,"Neu; ","")&amp;IF(AND(BV1779=0,BQ1779&lt;0),"negativer Bestand (Export "&amp;BQ1779&amp;"); ","")&amp;IF(J1779&lt;=0,"Kein Verbrauch; ","")&amp;IF(CQ1779&gt;0,"Lift "&amp;W1779&amp;" lt. Liftbericht (Fach "&amp;X1779&amp;" Stk); ",IF(CA1779=1,"Gebinde geschätzt ("&amp;T1779&amp;"); ",IF(BZ1779=1,"Lose – Tablare geschätzt; ","")))&amp;IF(H1779&gt;AV1779,"Überbestand "&amp;ROUND(H1779-AV1779,0)&amp;" Stk / CHF "&amp;ROUND((H1779-AV1779)*G1779,0)&amp;"; ","")&amp;IF(AND(CH1779=1,CI1779&lt;CJ1779),"MAX &lt; MB+LG; ","")&amp;IF(AND(CP1779&gt;0,CO1779*10&gt;CP1779),"zu hoch für Tablar; ","")&amp;IF(AND(BV1779=0,OR(CH1779=1,AA1779&lt;&gt;"",U1779&lt;&gt;"",V1779&lt;&gt;"",AB1779&lt;&gt;"")),"manuell übersteuert; ","")&amp;IF(AND(BZ1779=0,R1779=0),"Gebinde unbekannt / Stellmass fehlt; ","")&amp;IF(AND(BZ1779=0,N(V1779)&lt;=0,N(Q1779)&lt;=0),"Menge pro Gebinde fehlt (Ist = 1 Gebinde); ","")&amp;BU1779)</f>
        <v/>
      </c>
      <c r="BN1779" s="48"/>
      <c r="BO1779" s="48"/>
      <c r="BP1779" s="55"/>
      <c r="BQ1779" s="50" t="n">
        <f aca="false">N('Neue Artikel'!$D$40)</f>
        <v>0</v>
      </c>
      <c r="BR1779" s="50" t="n">
        <v>0</v>
      </c>
      <c r="BS1779" s="49" t="n">
        <v>0</v>
      </c>
      <c r="BT1779" s="50" t="n">
        <f aca="false">N('Neue Artikel'!$C$40)/Parameter!$B$18</f>
        <v>0</v>
      </c>
      <c r="BU1779" s="48"/>
      <c r="BV1779" s="53" t="n">
        <v>1</v>
      </c>
      <c r="BW1779" s="53" t="n">
        <v>1779</v>
      </c>
      <c r="BX1779" s="48" t="str">
        <f aca="false">IF(U1779&lt;&gt;"",UPPER(TRIM(U1779)),IF(CA1779=1,UPPER(VLOOKUP(T1779,Parameter!$I$27:$K$29,2,0)),IF(P1779="","LOSE",P1779)))</f>
        <v>LOSE</v>
      </c>
      <c r="BY1779" s="50" t="n">
        <f aca="false">IF(BX1779="LOSE",1,IF(N(V1779)&gt;0,V1779,IF(CA1779=1,MAX(1,N(VLOOKUP(T1779,Parameter!$I$27:$K$29,3,0)),H1779,N(N1779)),IF(N(Q1779)&gt;0,Q1779,MAX(1,H1779)))))</f>
        <v>1</v>
      </c>
      <c r="BZ1779" s="53" t="n">
        <f aca="false">IF(BX1779="LOSE",1,0)</f>
        <v>1</v>
      </c>
      <c r="CA1779" s="53" t="n">
        <f aca="false">IF(AND(U1779="",OR(P1779="",P1779="LOSE"),T1779&lt;&gt;"",N(S1779)&lt;=0,ISNUMBER(MATCH(T1779,Parameter!$I$27:$I$29,0))),1,0)</f>
        <v>0</v>
      </c>
      <c r="CB1779" s="53" t="n">
        <f aca="false">IF(CQ1779&gt;0,INDEX(Parameter!$H$5:$H$7,W1779)/INDEX(Parameter!$E$5:$E$7,W1779),IF(AND(BZ1779=0,N(IFERROR(VLOOKUP(BX1779,'Gebinde-Kategorie'!$A$5:$N$45,14,0),0))&gt;0),VLOOKUP(BX1779,'Gebinde-Kategorie'!$A$5:$N$45,14,0)*10+Parameter!$M$23,Parameter!$M$24))</f>
        <v>235</v>
      </c>
      <c r="CC1779" s="48" t="str">
        <f aca="false">IF(AND(Parameter!$B$19="Ja",E1779&lt;&gt;"",ISNUMBER(MATCH(E1779,Parameter!$I$35:$I$52,0))),VLOOKUP(E1779,Parameter!$I$35:$J$52,2,0),IFERROR(VLOOKUP(D1779,Parameter!$A$35:$C$64,2,0),"Nein"))</f>
        <v>2+3</v>
      </c>
      <c r="CD1779" s="52" t="n">
        <f aca="false">IF(BZ1779=0,0,IF(N(S1779)&gt;0,S1779,IFERROR(VLOOKUP(D1779,Parameter!$A$35:$C$64,3,0)+0,0)))</f>
        <v>0.15</v>
      </c>
      <c r="CE1779" s="48" t="str">
        <f aca="false">IF(AA1779&lt;&gt;"",AA1779,Z1779)</f>
        <v/>
      </c>
      <c r="CF1779" s="48" t="str">
        <f aca="false">IF(OR(CE1779=1,CE1779=2,CE1779=3),IF(Parameter!$E$27="Ja","LIFT",IF(CE1779=1,"L1","L23")),IF(CE1779="Aussen","Aussen","-"))</f>
        <v>-</v>
      </c>
      <c r="CG1779" s="59" t="n">
        <f aca="false">IF(N(AB1779)&gt;0,AB1779,0)</f>
        <v>0</v>
      </c>
      <c r="CH1779" s="53" t="n">
        <f aca="false">IF(ISNUMBER(AE1779),1,0)</f>
        <v>0</v>
      </c>
      <c r="CI1779" s="50" t="n">
        <f aca="false">N(AE1779)</f>
        <v>0</v>
      </c>
      <c r="CJ1779" s="50" t="n">
        <f aca="false">N(M1779)+N(N1779)</f>
        <v>0</v>
      </c>
      <c r="CK1779" s="50" t="n">
        <f aca="false">N(M1779)</f>
        <v>0</v>
      </c>
      <c r="CL1779" s="50" t="n">
        <f aca="false">N(N1779)</f>
        <v>0</v>
      </c>
      <c r="CM1779" s="50" t="n">
        <f aca="false">ROUNDUP(H1779/BY1779,0)</f>
        <v>0</v>
      </c>
      <c r="CN1779" s="50" t="n">
        <f aca="false">ROUNDUP(CI1779/BY1779,0)</f>
        <v>0</v>
      </c>
      <c r="CO1779" s="53" t="n">
        <f aca="false">IF(BZ1779=1,0,IFERROR(VLOOKUP(BX1779,'Gebinde-Kategorie'!$A$5:$N$45,5,0)+0,0))</f>
        <v>0</v>
      </c>
      <c r="CP1779" s="53" t="n">
        <f aca="false">IFERROR(IF(OR(CE1779=1,CE1779=2,CE1779=3),N(INDEX(Parameter!$I$5:$I$7,CE1779)),0),0)</f>
        <v>0</v>
      </c>
      <c r="CQ1779" s="52" t="n">
        <f aca="false">IF(AND(Parameter!$B$21="Ja",ISNUMBER(W1779),N(X1779)&gt;0),IFERROR(N(INDEX(Parameter!$L$5:$L$7,W1779))*INDEX(Parameter!$E$5:$E$7,W1779)*X1779/SUMIFS($X$7:$X$1843,$W$7:$W$1843,W1779),0),0)</f>
        <v>0</v>
      </c>
    </row>
    <row r="1780" customFormat="false" ht="15" hidden="false" customHeight="false" outlineLevel="0" collapsed="false">
      <c r="A1780" s="48" t="str">
        <f aca="false">IF('Neue Artikel'!$A$41="","",'Neue Artikel'!$A$41&amp;"")</f>
        <v/>
      </c>
      <c r="B1780" s="48" t="str">
        <f aca="false">'Neue Artikel'!$B$41&amp;""</f>
        <v/>
      </c>
      <c r="C1780" s="48"/>
      <c r="D1780" s="48" t="s">
        <v>3024</v>
      </c>
      <c r="E1780" s="48"/>
      <c r="F1780" s="48"/>
      <c r="G1780" s="49" t="n">
        <f aca="false">N('Neue Artikel'!$G$41)</f>
        <v>0</v>
      </c>
      <c r="H1780" s="50" t="n">
        <f aca="false">MAX(0,IF(AND(Parameter!$B$21="Ja",ISNUMBER(Y1780)),Y1780,IF(Parameter!$B$20="Jahresanfang 2025 + Export",BR1780+BQ1780,BQ1780)))</f>
        <v>0</v>
      </c>
      <c r="I1780" s="50" t="n">
        <f aca="false">H1780*G1780</f>
        <v>0</v>
      </c>
      <c r="J1780" s="50" t="n">
        <f aca="false">BT1780*Parameter!$B$18</f>
        <v>0</v>
      </c>
      <c r="K1780" s="51"/>
      <c r="L1780" s="52"/>
      <c r="M1780" s="50" t="n">
        <f aca="false">N('Neue Artikel'!$E$41)</f>
        <v>0</v>
      </c>
      <c r="N1780" s="50" t="n">
        <f aca="false">N('Neue Artikel'!$F$41)</f>
        <v>0</v>
      </c>
      <c r="O1780" s="53"/>
      <c r="P1780" s="48" t="str">
        <f aca="false">IF('Neue Artikel'!$H$41="","LOSE",UPPER(TRIM('Neue Artikel'!$H$41)))</f>
        <v>LOSE</v>
      </c>
      <c r="Q1780" s="50" t="n">
        <f aca="false">N('Neue Artikel'!$I$41)</f>
        <v>0</v>
      </c>
      <c r="R1780" s="53" t="n">
        <f aca="false">IF(BZ1780=1,0,IFERROR(VLOOKUP(BX1780,'Gebinde-Kategorie'!$A$5:$N$45,13,0)+0,0))</f>
        <v>0</v>
      </c>
      <c r="S1780" s="54"/>
      <c r="T1780" s="55"/>
      <c r="U1780" s="55"/>
      <c r="V1780" s="55"/>
      <c r="W1780" s="48"/>
      <c r="X1780" s="50"/>
      <c r="Y1780" s="50"/>
      <c r="Z1780" s="48" t="str">
        <f aca="false">IF(A1780="","",IF(AND(Parameter!$B$21="Ja",ISNUMBER(W1780)),W1780,IF(CC1780="2+3",IF(ISNUMBER(SEARCH("grosser Artikel",BU1780)),2,IFERROR(VLOOKUP(BX1780,Parameter!$F$35:$G$64,2,0),2)),IF(OR(CC1780="Nein",CC1780=""),"-",CC1780))))</f>
        <v/>
      </c>
      <c r="AA1780" s="48" t="str">
        <f aca="false">IF('Neue Artikel'!$J$41="","",'Neue Artikel'!$J$41)</f>
        <v/>
      </c>
      <c r="AB1780" s="56"/>
      <c r="AC1780" s="50" t="n">
        <f aca="false">AV1780</f>
        <v>0</v>
      </c>
      <c r="AD1780" s="50" t="n">
        <f aca="false">MAX(AV1780,H1780)</f>
        <v>0</v>
      </c>
      <c r="AE1780" s="57"/>
      <c r="AF1780" s="50" t="n">
        <f aca="false">IF(LEFT(Cockpit!$C$5,1)="A",H1780,IF(Parameter!$E$30="MAX-Bestand",IF(CH1780=1,CI1780,IF(LEFT(Cockpit!$C$5,1)="B",AL1780,MAX(AL1780,H1780))),ROUNDUP(AJ1780,0)))</f>
        <v>0</v>
      </c>
      <c r="AG1780" s="50" t="n">
        <f aca="false">IF(BZ1780=1,0,ROUNDUP(AF1780/BY1780,0))</f>
        <v>0</v>
      </c>
      <c r="AH1780" s="52" t="n">
        <f aca="false">IF(CQ1780&gt;0,CQ1780*MAX(1,AF1780/X1780),IF(BZ1780=1,IF(AF1780&lt;=0,0,CD1780*MAX(1,IF(H1780&gt;0,AF1780/H1780,1))),IF(R1780&gt;0,AG1780/R1780,0))/MAX(0.1,N(Parameter!$M$21)))</f>
        <v>0</v>
      </c>
      <c r="AI1780" s="50" t="n">
        <f aca="false">AH1780*CB1780</f>
        <v>0</v>
      </c>
      <c r="AJ1780" s="51" t="n">
        <f aca="false">IF(LEFT(Cockpit!$C$5,1)="A",H1780,IF(CH1780=1,(CK1780+CI1780)/2,IF(LEFT(Cockpit!$C$5,1)="B",(CK1780+AL1780)/2,MAX((CK1780+AL1780)/2,H1780))))</f>
        <v>0</v>
      </c>
      <c r="AK1780" s="50" t="n">
        <f aca="false">AJ1780*G1780</f>
        <v>0</v>
      </c>
      <c r="AL1780" s="50" t="n">
        <f aca="false">ROUNDUP(CK1780+MAX(CL1780,2*(J1780/IF(CG1780&gt;0,CG1780,MAX(0.1,N(Cockpit!$C$6)))-CK1780)),0)</f>
        <v>0</v>
      </c>
      <c r="AM1780" s="51" t="n">
        <f aca="false">IF(AI1780&gt;0,J1780/AI1780,-1)</f>
        <v>-1</v>
      </c>
      <c r="AN1780" s="51" t="str">
        <f aca="false">IF(AND(OR(CF1780="L1",CF1780="L23",CF1780="LIFT"),AI1780&gt;0),SUMIFS($AI$7:$AI$1843,$CF$7:$CF$1843,CF1780,$AM$7:$AM$1843,"&gt;"&amp;AM1780)+SUMIFS($AI$7:$AI$1843,$CF$7:$CF$1843,CF1780,$AM$7:$AM$1843,AM1780,$BW$7:$BW$1843,"&lt;="&amp;BW1780),"")</f>
        <v/>
      </c>
      <c r="AO1780" s="58" t="n">
        <f aca="false">IF(AN1780="",0,MAX(0,MIN(1,(IF(CF1780="L1",Parameter!$H$5,IF(CF1780="L23",Parameter!$H$6+Parameter!$H$7,Parameter!$H$5+Parameter!$H$6+Parameter!$H$7))-(AN1780-AI1780))/AI1780)))</f>
        <v>0</v>
      </c>
      <c r="AP1780" s="50" t="n">
        <f aca="false">IF(LEFT(Cockpit!$I$5,1)="A",H1780,IF(Parameter!$E$30="MAX-Bestand",IF(CH1780=1,CI1780,IF(LEFT(Cockpit!$I$5,1)="B",AV1780,MAX(AV1780,H1780))),ROUNDUP(AT1780,0)))</f>
        <v>0</v>
      </c>
      <c r="AQ1780" s="50" t="n">
        <f aca="false">IF(BZ1780=1,0,ROUNDUP(AP1780/BY1780,0))</f>
        <v>0</v>
      </c>
      <c r="AR1780" s="52" t="n">
        <f aca="false">IF(CQ1780&gt;0,CQ1780*MAX(1,AP1780/X1780),IF(BZ1780=1,IF(AP1780&lt;=0,0,CD1780*MAX(1,IF(H1780&gt;0,AP1780/H1780,1))),IF(R1780&gt;0,AQ1780/R1780,0))/MAX(0.1,N(Parameter!$M$21)))</f>
        <v>0</v>
      </c>
      <c r="AS1780" s="50" t="n">
        <f aca="false">AR1780*CB1780</f>
        <v>0</v>
      </c>
      <c r="AT1780" s="51" t="n">
        <f aca="false">IF(LEFT(Cockpit!$I$5,1)="A",H1780,IF(CH1780=1,(CK1780+CI1780)/2,IF(LEFT(Cockpit!$I$5,1)="B",(CK1780+AV1780)/2,MAX((CK1780+AV1780)/2,H1780))))</f>
        <v>0</v>
      </c>
      <c r="AU1780" s="50" t="n">
        <f aca="false">AT1780*G1780</f>
        <v>0</v>
      </c>
      <c r="AV1780" s="50" t="n">
        <f aca="false">ROUNDUP(CK1780+MAX(CL1780,2*(J1780/IF(CG1780&gt;0,CG1780,MAX(0.1,N(Cockpit!$I$6)))-CK1780)),0)</f>
        <v>0</v>
      </c>
      <c r="AW1780" s="51" t="n">
        <f aca="false">IF(AS1780&gt;0,J1780/AS1780,-1)</f>
        <v>-1</v>
      </c>
      <c r="AX1780" s="51" t="str">
        <f aca="false">IF(AND(OR(CF1780="L1",CF1780="L23",CF1780="LIFT"),AS1780&gt;0),SUMIFS($AS$7:$AS$1843,$CF$7:$CF$1843,CF1780,$AW$7:$AW$1843,"&gt;"&amp;AW1780)+SUMIFS($AS$7:$AS$1843,$CF$7:$CF$1843,CF1780,$AW$7:$AW$1843,AW1780,$BW$7:$BW$1843,"&lt;="&amp;BW1780),"")</f>
        <v/>
      </c>
      <c r="AY1780" s="58" t="n">
        <f aca="false">IF(AX1780="",0,MAX(0,MIN(1,(IF(CF1780="L1",Parameter!$H$5,IF(CF1780="L23",Parameter!$H$6+Parameter!$H$7,Parameter!$H$5+Parameter!$H$6+Parameter!$H$7))-(AX1780-AS1780))/AS1780)))</f>
        <v>0</v>
      </c>
      <c r="AZ1780" s="50" t="n">
        <f aca="false">IF(LEFT(Cockpit!$O$5,1)="A",H1780,IF(Parameter!$E$30="MAX-Bestand",IF(CH1780=1,CI1780,IF(LEFT(Cockpit!$O$5,1)="B",BF1780,MAX(BF1780,H1780))),ROUNDUP(BD1780,0)))</f>
        <v>0</v>
      </c>
      <c r="BA1780" s="50" t="n">
        <f aca="false">IF(BZ1780=1,0,ROUNDUP(AZ1780/BY1780,0))</f>
        <v>0</v>
      </c>
      <c r="BB1780" s="52" t="n">
        <f aca="false">IF(CQ1780&gt;0,CQ1780*MAX(1,AZ1780/X1780),IF(BZ1780=1,IF(AZ1780&lt;=0,0,CD1780*MAX(1,IF(H1780&gt;0,AZ1780/H1780,1))),IF(R1780&gt;0,BA1780/R1780,0))/MAX(0.1,N(Parameter!$M$21)))</f>
        <v>0</v>
      </c>
      <c r="BC1780" s="50" t="n">
        <f aca="false">BB1780*CB1780</f>
        <v>0</v>
      </c>
      <c r="BD1780" s="51" t="n">
        <f aca="false">IF(LEFT(Cockpit!$O$5,1)="A",H1780,IF(CH1780=1,(CK1780+CI1780)/2,IF(LEFT(Cockpit!$O$5,1)="B",(CK1780+BF1780)/2,MAX((CK1780+BF1780)/2,H1780))))</f>
        <v>0</v>
      </c>
      <c r="BE1780" s="50" t="n">
        <f aca="false">BD1780*G1780</f>
        <v>0</v>
      </c>
      <c r="BF1780" s="50" t="n">
        <f aca="false">ROUNDUP(CK1780+MAX(CL1780,2*(J1780/IF(CG1780&gt;0,CG1780,MAX(0.1,N(Cockpit!$O$6)))-CK1780)),0)</f>
        <v>0</v>
      </c>
      <c r="BG1780" s="51" t="n">
        <f aca="false">IF(BC1780&gt;0,J1780/BC1780,-1)</f>
        <v>-1</v>
      </c>
      <c r="BH1780" s="51" t="str">
        <f aca="false">IF(AND(OR(CF1780="L1",CF1780="L23",CF1780="LIFT"),BC1780&gt;0),SUMIFS($BC$7:$BC$1843,$CF$7:$CF$1843,CF1780,$BG$7:$BG$1843,"&gt;"&amp;BG1780)+SUMIFS($BC$7:$BC$1843,$CF$7:$CF$1843,CF1780,$BG$7:$BG$1843,BG1780,$BW$7:$BW$1843,"&lt;="&amp;BW1780),"")</f>
        <v/>
      </c>
      <c r="BI1780" s="58" t="n">
        <f aca="false">IF(BH1780="",0,MAX(0,MIN(1,(IF(CF1780="L1",Parameter!$H$5,IF(CF1780="L23",Parameter!$H$6+Parameter!$H$7,Parameter!$H$5+Parameter!$H$6+Parameter!$H$7))-(BH1780-BC1780))/BC1780)))</f>
        <v>0</v>
      </c>
      <c r="BJ1780" s="48" t="str">
        <f aca="false">IF(AI1780&lt;=0,"",IF(CF1780="Aussen","Aussenlager",IF(CF1780="-","Nicht im Lift",IF(AO1780&gt;=1,"Lift",IF(AO1780&lt;=0,"Aussenlager","teilweise")))))</f>
        <v/>
      </c>
      <c r="BK1780" s="48" t="str">
        <f aca="false">IF(AS1780&lt;=0,"",IF(CF1780="Aussen","Aussenlager",IF(CF1780="-","Nicht im Lift",IF(AY1780&gt;=1,"Lift",IF(AY1780&lt;=0,"Aussenlager","teilweise")))))</f>
        <v/>
      </c>
      <c r="BL1780" s="48" t="str">
        <f aca="false">IF(BC1780&lt;=0,"",IF(CF1780="Aussen","Aussenlager",IF(CF1780="-","Nicht im Lift",IF(BI1780&gt;=1,"Lift",IF(BI1780&lt;=0,"Aussenlager","teilweise")))))</f>
        <v/>
      </c>
      <c r="BM1780" s="48" t="str">
        <f aca="false">IF(A1780="","",IF(BV1780=1,"Neu; ","")&amp;IF(AND(BV1780=0,BQ1780&lt;0),"negativer Bestand (Export "&amp;BQ1780&amp;"); ","")&amp;IF(J1780&lt;=0,"Kein Verbrauch; ","")&amp;IF(CQ1780&gt;0,"Lift "&amp;W1780&amp;" lt. Liftbericht (Fach "&amp;X1780&amp;" Stk); ",IF(CA1780=1,"Gebinde geschätzt ("&amp;T1780&amp;"); ",IF(BZ1780=1,"Lose – Tablare geschätzt; ","")))&amp;IF(H1780&gt;AV1780,"Überbestand "&amp;ROUND(H1780-AV1780,0)&amp;" Stk / CHF "&amp;ROUND((H1780-AV1780)*G1780,0)&amp;"; ","")&amp;IF(AND(CH1780=1,CI1780&lt;CJ1780),"MAX &lt; MB+LG; ","")&amp;IF(AND(CP1780&gt;0,CO1780*10&gt;CP1780),"zu hoch für Tablar; ","")&amp;IF(AND(BV1780=0,OR(CH1780=1,AA1780&lt;&gt;"",U1780&lt;&gt;"",V1780&lt;&gt;"",AB1780&lt;&gt;"")),"manuell übersteuert; ","")&amp;IF(AND(BZ1780=0,R1780=0),"Gebinde unbekannt / Stellmass fehlt; ","")&amp;IF(AND(BZ1780=0,N(V1780)&lt;=0,N(Q1780)&lt;=0),"Menge pro Gebinde fehlt (Ist = 1 Gebinde); ","")&amp;BU1780)</f>
        <v/>
      </c>
      <c r="BN1780" s="48"/>
      <c r="BO1780" s="48"/>
      <c r="BP1780" s="55"/>
      <c r="BQ1780" s="50" t="n">
        <f aca="false">N('Neue Artikel'!$D$41)</f>
        <v>0</v>
      </c>
      <c r="BR1780" s="50" t="n">
        <v>0</v>
      </c>
      <c r="BS1780" s="49" t="n">
        <v>0</v>
      </c>
      <c r="BT1780" s="50" t="n">
        <f aca="false">N('Neue Artikel'!$C$41)/Parameter!$B$18</f>
        <v>0</v>
      </c>
      <c r="BU1780" s="48"/>
      <c r="BV1780" s="53" t="n">
        <v>1</v>
      </c>
      <c r="BW1780" s="53" t="n">
        <v>1780</v>
      </c>
      <c r="BX1780" s="48" t="str">
        <f aca="false">IF(U1780&lt;&gt;"",UPPER(TRIM(U1780)),IF(CA1780=1,UPPER(VLOOKUP(T1780,Parameter!$I$27:$K$29,2,0)),IF(P1780="","LOSE",P1780)))</f>
        <v>LOSE</v>
      </c>
      <c r="BY1780" s="50" t="n">
        <f aca="false">IF(BX1780="LOSE",1,IF(N(V1780)&gt;0,V1780,IF(CA1780=1,MAX(1,N(VLOOKUP(T1780,Parameter!$I$27:$K$29,3,0)),H1780,N(N1780)),IF(N(Q1780)&gt;0,Q1780,MAX(1,H1780)))))</f>
        <v>1</v>
      </c>
      <c r="BZ1780" s="53" t="n">
        <f aca="false">IF(BX1780="LOSE",1,0)</f>
        <v>1</v>
      </c>
      <c r="CA1780" s="53" t="n">
        <f aca="false">IF(AND(U1780="",OR(P1780="",P1780="LOSE"),T1780&lt;&gt;"",N(S1780)&lt;=0,ISNUMBER(MATCH(T1780,Parameter!$I$27:$I$29,0))),1,0)</f>
        <v>0</v>
      </c>
      <c r="CB1780" s="53" t="n">
        <f aca="false">IF(CQ1780&gt;0,INDEX(Parameter!$H$5:$H$7,W1780)/INDEX(Parameter!$E$5:$E$7,W1780),IF(AND(BZ1780=0,N(IFERROR(VLOOKUP(BX1780,'Gebinde-Kategorie'!$A$5:$N$45,14,0),0))&gt;0),VLOOKUP(BX1780,'Gebinde-Kategorie'!$A$5:$N$45,14,0)*10+Parameter!$M$23,Parameter!$M$24))</f>
        <v>235</v>
      </c>
      <c r="CC1780" s="48" t="str">
        <f aca="false">IF(AND(Parameter!$B$19="Ja",E1780&lt;&gt;"",ISNUMBER(MATCH(E1780,Parameter!$I$35:$I$52,0))),VLOOKUP(E1780,Parameter!$I$35:$J$52,2,0),IFERROR(VLOOKUP(D1780,Parameter!$A$35:$C$64,2,0),"Nein"))</f>
        <v>2+3</v>
      </c>
      <c r="CD1780" s="52" t="n">
        <f aca="false">IF(BZ1780=0,0,IF(N(S1780)&gt;0,S1780,IFERROR(VLOOKUP(D1780,Parameter!$A$35:$C$64,3,0)+0,0)))</f>
        <v>0.15</v>
      </c>
      <c r="CE1780" s="48" t="str">
        <f aca="false">IF(AA1780&lt;&gt;"",AA1780,Z1780)</f>
        <v/>
      </c>
      <c r="CF1780" s="48" t="str">
        <f aca="false">IF(OR(CE1780=1,CE1780=2,CE1780=3),IF(Parameter!$E$27="Ja","LIFT",IF(CE1780=1,"L1","L23")),IF(CE1780="Aussen","Aussen","-"))</f>
        <v>-</v>
      </c>
      <c r="CG1780" s="59" t="n">
        <f aca="false">IF(N(AB1780)&gt;0,AB1780,0)</f>
        <v>0</v>
      </c>
      <c r="CH1780" s="53" t="n">
        <f aca="false">IF(ISNUMBER(AE1780),1,0)</f>
        <v>0</v>
      </c>
      <c r="CI1780" s="50" t="n">
        <f aca="false">N(AE1780)</f>
        <v>0</v>
      </c>
      <c r="CJ1780" s="50" t="n">
        <f aca="false">N(M1780)+N(N1780)</f>
        <v>0</v>
      </c>
      <c r="CK1780" s="50" t="n">
        <f aca="false">N(M1780)</f>
        <v>0</v>
      </c>
      <c r="CL1780" s="50" t="n">
        <f aca="false">N(N1780)</f>
        <v>0</v>
      </c>
      <c r="CM1780" s="50" t="n">
        <f aca="false">ROUNDUP(H1780/BY1780,0)</f>
        <v>0</v>
      </c>
      <c r="CN1780" s="50" t="n">
        <f aca="false">ROUNDUP(CI1780/BY1780,0)</f>
        <v>0</v>
      </c>
      <c r="CO1780" s="53" t="n">
        <f aca="false">IF(BZ1780=1,0,IFERROR(VLOOKUP(BX1780,'Gebinde-Kategorie'!$A$5:$N$45,5,0)+0,0))</f>
        <v>0</v>
      </c>
      <c r="CP1780" s="53" t="n">
        <f aca="false">IFERROR(IF(OR(CE1780=1,CE1780=2,CE1780=3),N(INDEX(Parameter!$I$5:$I$7,CE1780)),0),0)</f>
        <v>0</v>
      </c>
      <c r="CQ1780" s="52" t="n">
        <f aca="false">IF(AND(Parameter!$B$21="Ja",ISNUMBER(W1780),N(X1780)&gt;0),IFERROR(N(INDEX(Parameter!$L$5:$L$7,W1780))*INDEX(Parameter!$E$5:$E$7,W1780)*X1780/SUMIFS($X$7:$X$1843,$W$7:$W$1843,W1780),0),0)</f>
        <v>0</v>
      </c>
    </row>
    <row r="1781" customFormat="false" ht="15" hidden="false" customHeight="false" outlineLevel="0" collapsed="false">
      <c r="A1781" s="48" t="str">
        <f aca="false">IF('Neue Artikel'!$A$42="","",'Neue Artikel'!$A$42&amp;"")</f>
        <v/>
      </c>
      <c r="B1781" s="48" t="str">
        <f aca="false">'Neue Artikel'!$B$42&amp;""</f>
        <v/>
      </c>
      <c r="C1781" s="48"/>
      <c r="D1781" s="48" t="s">
        <v>3024</v>
      </c>
      <c r="E1781" s="48"/>
      <c r="F1781" s="48"/>
      <c r="G1781" s="49" t="n">
        <f aca="false">N('Neue Artikel'!$G$42)</f>
        <v>0</v>
      </c>
      <c r="H1781" s="50" t="n">
        <f aca="false">MAX(0,IF(AND(Parameter!$B$21="Ja",ISNUMBER(Y1781)),Y1781,IF(Parameter!$B$20="Jahresanfang 2025 + Export",BR1781+BQ1781,BQ1781)))</f>
        <v>0</v>
      </c>
      <c r="I1781" s="50" t="n">
        <f aca="false">H1781*G1781</f>
        <v>0</v>
      </c>
      <c r="J1781" s="50" t="n">
        <f aca="false">BT1781*Parameter!$B$18</f>
        <v>0</v>
      </c>
      <c r="K1781" s="51"/>
      <c r="L1781" s="52"/>
      <c r="M1781" s="50" t="n">
        <f aca="false">N('Neue Artikel'!$E$42)</f>
        <v>0</v>
      </c>
      <c r="N1781" s="50" t="n">
        <f aca="false">N('Neue Artikel'!$F$42)</f>
        <v>0</v>
      </c>
      <c r="O1781" s="53"/>
      <c r="P1781" s="48" t="str">
        <f aca="false">IF('Neue Artikel'!$H$42="","LOSE",UPPER(TRIM('Neue Artikel'!$H$42)))</f>
        <v>LOSE</v>
      </c>
      <c r="Q1781" s="50" t="n">
        <f aca="false">N('Neue Artikel'!$I$42)</f>
        <v>0</v>
      </c>
      <c r="R1781" s="53" t="n">
        <f aca="false">IF(BZ1781=1,0,IFERROR(VLOOKUP(BX1781,'Gebinde-Kategorie'!$A$5:$N$45,13,0)+0,0))</f>
        <v>0</v>
      </c>
      <c r="S1781" s="54"/>
      <c r="T1781" s="55"/>
      <c r="U1781" s="55"/>
      <c r="V1781" s="55"/>
      <c r="W1781" s="48"/>
      <c r="X1781" s="50"/>
      <c r="Y1781" s="50"/>
      <c r="Z1781" s="48" t="str">
        <f aca="false">IF(A1781="","",IF(AND(Parameter!$B$21="Ja",ISNUMBER(W1781)),W1781,IF(CC1781="2+3",IF(ISNUMBER(SEARCH("grosser Artikel",BU1781)),2,IFERROR(VLOOKUP(BX1781,Parameter!$F$35:$G$64,2,0),2)),IF(OR(CC1781="Nein",CC1781=""),"-",CC1781))))</f>
        <v/>
      </c>
      <c r="AA1781" s="48" t="str">
        <f aca="false">IF('Neue Artikel'!$J$42="","",'Neue Artikel'!$J$42)</f>
        <v/>
      </c>
      <c r="AB1781" s="56"/>
      <c r="AC1781" s="50" t="n">
        <f aca="false">AV1781</f>
        <v>0</v>
      </c>
      <c r="AD1781" s="50" t="n">
        <f aca="false">MAX(AV1781,H1781)</f>
        <v>0</v>
      </c>
      <c r="AE1781" s="57"/>
      <c r="AF1781" s="50" t="n">
        <f aca="false">IF(LEFT(Cockpit!$C$5,1)="A",H1781,IF(Parameter!$E$30="MAX-Bestand",IF(CH1781=1,CI1781,IF(LEFT(Cockpit!$C$5,1)="B",AL1781,MAX(AL1781,H1781))),ROUNDUP(AJ1781,0)))</f>
        <v>0</v>
      </c>
      <c r="AG1781" s="50" t="n">
        <f aca="false">IF(BZ1781=1,0,ROUNDUP(AF1781/BY1781,0))</f>
        <v>0</v>
      </c>
      <c r="AH1781" s="52" t="n">
        <f aca="false">IF(CQ1781&gt;0,CQ1781*MAX(1,AF1781/X1781),IF(BZ1781=1,IF(AF1781&lt;=0,0,CD1781*MAX(1,IF(H1781&gt;0,AF1781/H1781,1))),IF(R1781&gt;0,AG1781/R1781,0))/MAX(0.1,N(Parameter!$M$21)))</f>
        <v>0</v>
      </c>
      <c r="AI1781" s="50" t="n">
        <f aca="false">AH1781*CB1781</f>
        <v>0</v>
      </c>
      <c r="AJ1781" s="51" t="n">
        <f aca="false">IF(LEFT(Cockpit!$C$5,1)="A",H1781,IF(CH1781=1,(CK1781+CI1781)/2,IF(LEFT(Cockpit!$C$5,1)="B",(CK1781+AL1781)/2,MAX((CK1781+AL1781)/2,H1781))))</f>
        <v>0</v>
      </c>
      <c r="AK1781" s="50" t="n">
        <f aca="false">AJ1781*G1781</f>
        <v>0</v>
      </c>
      <c r="AL1781" s="50" t="n">
        <f aca="false">ROUNDUP(CK1781+MAX(CL1781,2*(J1781/IF(CG1781&gt;0,CG1781,MAX(0.1,N(Cockpit!$C$6)))-CK1781)),0)</f>
        <v>0</v>
      </c>
      <c r="AM1781" s="51" t="n">
        <f aca="false">IF(AI1781&gt;0,J1781/AI1781,-1)</f>
        <v>-1</v>
      </c>
      <c r="AN1781" s="51" t="str">
        <f aca="false">IF(AND(OR(CF1781="L1",CF1781="L23",CF1781="LIFT"),AI1781&gt;0),SUMIFS($AI$7:$AI$1843,$CF$7:$CF$1843,CF1781,$AM$7:$AM$1843,"&gt;"&amp;AM1781)+SUMIFS($AI$7:$AI$1843,$CF$7:$CF$1843,CF1781,$AM$7:$AM$1843,AM1781,$BW$7:$BW$1843,"&lt;="&amp;BW1781),"")</f>
        <v/>
      </c>
      <c r="AO1781" s="58" t="n">
        <f aca="false">IF(AN1781="",0,MAX(0,MIN(1,(IF(CF1781="L1",Parameter!$H$5,IF(CF1781="L23",Parameter!$H$6+Parameter!$H$7,Parameter!$H$5+Parameter!$H$6+Parameter!$H$7))-(AN1781-AI1781))/AI1781)))</f>
        <v>0</v>
      </c>
      <c r="AP1781" s="50" t="n">
        <f aca="false">IF(LEFT(Cockpit!$I$5,1)="A",H1781,IF(Parameter!$E$30="MAX-Bestand",IF(CH1781=1,CI1781,IF(LEFT(Cockpit!$I$5,1)="B",AV1781,MAX(AV1781,H1781))),ROUNDUP(AT1781,0)))</f>
        <v>0</v>
      </c>
      <c r="AQ1781" s="50" t="n">
        <f aca="false">IF(BZ1781=1,0,ROUNDUP(AP1781/BY1781,0))</f>
        <v>0</v>
      </c>
      <c r="AR1781" s="52" t="n">
        <f aca="false">IF(CQ1781&gt;0,CQ1781*MAX(1,AP1781/X1781),IF(BZ1781=1,IF(AP1781&lt;=0,0,CD1781*MAX(1,IF(H1781&gt;0,AP1781/H1781,1))),IF(R1781&gt;0,AQ1781/R1781,0))/MAX(0.1,N(Parameter!$M$21)))</f>
        <v>0</v>
      </c>
      <c r="AS1781" s="50" t="n">
        <f aca="false">AR1781*CB1781</f>
        <v>0</v>
      </c>
      <c r="AT1781" s="51" t="n">
        <f aca="false">IF(LEFT(Cockpit!$I$5,1)="A",H1781,IF(CH1781=1,(CK1781+CI1781)/2,IF(LEFT(Cockpit!$I$5,1)="B",(CK1781+AV1781)/2,MAX((CK1781+AV1781)/2,H1781))))</f>
        <v>0</v>
      </c>
      <c r="AU1781" s="50" t="n">
        <f aca="false">AT1781*G1781</f>
        <v>0</v>
      </c>
      <c r="AV1781" s="50" t="n">
        <f aca="false">ROUNDUP(CK1781+MAX(CL1781,2*(J1781/IF(CG1781&gt;0,CG1781,MAX(0.1,N(Cockpit!$I$6)))-CK1781)),0)</f>
        <v>0</v>
      </c>
      <c r="AW1781" s="51" t="n">
        <f aca="false">IF(AS1781&gt;0,J1781/AS1781,-1)</f>
        <v>-1</v>
      </c>
      <c r="AX1781" s="51" t="str">
        <f aca="false">IF(AND(OR(CF1781="L1",CF1781="L23",CF1781="LIFT"),AS1781&gt;0),SUMIFS($AS$7:$AS$1843,$CF$7:$CF$1843,CF1781,$AW$7:$AW$1843,"&gt;"&amp;AW1781)+SUMIFS($AS$7:$AS$1843,$CF$7:$CF$1843,CF1781,$AW$7:$AW$1843,AW1781,$BW$7:$BW$1843,"&lt;="&amp;BW1781),"")</f>
        <v/>
      </c>
      <c r="AY1781" s="58" t="n">
        <f aca="false">IF(AX1781="",0,MAX(0,MIN(1,(IF(CF1781="L1",Parameter!$H$5,IF(CF1781="L23",Parameter!$H$6+Parameter!$H$7,Parameter!$H$5+Parameter!$H$6+Parameter!$H$7))-(AX1781-AS1781))/AS1781)))</f>
        <v>0</v>
      </c>
      <c r="AZ1781" s="50" t="n">
        <f aca="false">IF(LEFT(Cockpit!$O$5,1)="A",H1781,IF(Parameter!$E$30="MAX-Bestand",IF(CH1781=1,CI1781,IF(LEFT(Cockpit!$O$5,1)="B",BF1781,MAX(BF1781,H1781))),ROUNDUP(BD1781,0)))</f>
        <v>0</v>
      </c>
      <c r="BA1781" s="50" t="n">
        <f aca="false">IF(BZ1781=1,0,ROUNDUP(AZ1781/BY1781,0))</f>
        <v>0</v>
      </c>
      <c r="BB1781" s="52" t="n">
        <f aca="false">IF(CQ1781&gt;0,CQ1781*MAX(1,AZ1781/X1781),IF(BZ1781=1,IF(AZ1781&lt;=0,0,CD1781*MAX(1,IF(H1781&gt;0,AZ1781/H1781,1))),IF(R1781&gt;0,BA1781/R1781,0))/MAX(0.1,N(Parameter!$M$21)))</f>
        <v>0</v>
      </c>
      <c r="BC1781" s="50" t="n">
        <f aca="false">BB1781*CB1781</f>
        <v>0</v>
      </c>
      <c r="BD1781" s="51" t="n">
        <f aca="false">IF(LEFT(Cockpit!$O$5,1)="A",H1781,IF(CH1781=1,(CK1781+CI1781)/2,IF(LEFT(Cockpit!$O$5,1)="B",(CK1781+BF1781)/2,MAX((CK1781+BF1781)/2,H1781))))</f>
        <v>0</v>
      </c>
      <c r="BE1781" s="50" t="n">
        <f aca="false">BD1781*G1781</f>
        <v>0</v>
      </c>
      <c r="BF1781" s="50" t="n">
        <f aca="false">ROUNDUP(CK1781+MAX(CL1781,2*(J1781/IF(CG1781&gt;0,CG1781,MAX(0.1,N(Cockpit!$O$6)))-CK1781)),0)</f>
        <v>0</v>
      </c>
      <c r="BG1781" s="51" t="n">
        <f aca="false">IF(BC1781&gt;0,J1781/BC1781,-1)</f>
        <v>-1</v>
      </c>
      <c r="BH1781" s="51" t="str">
        <f aca="false">IF(AND(OR(CF1781="L1",CF1781="L23",CF1781="LIFT"),BC1781&gt;0),SUMIFS($BC$7:$BC$1843,$CF$7:$CF$1843,CF1781,$BG$7:$BG$1843,"&gt;"&amp;BG1781)+SUMIFS($BC$7:$BC$1843,$CF$7:$CF$1843,CF1781,$BG$7:$BG$1843,BG1781,$BW$7:$BW$1843,"&lt;="&amp;BW1781),"")</f>
        <v/>
      </c>
      <c r="BI1781" s="58" t="n">
        <f aca="false">IF(BH1781="",0,MAX(0,MIN(1,(IF(CF1781="L1",Parameter!$H$5,IF(CF1781="L23",Parameter!$H$6+Parameter!$H$7,Parameter!$H$5+Parameter!$H$6+Parameter!$H$7))-(BH1781-BC1781))/BC1781)))</f>
        <v>0</v>
      </c>
      <c r="BJ1781" s="48" t="str">
        <f aca="false">IF(AI1781&lt;=0,"",IF(CF1781="Aussen","Aussenlager",IF(CF1781="-","Nicht im Lift",IF(AO1781&gt;=1,"Lift",IF(AO1781&lt;=0,"Aussenlager","teilweise")))))</f>
        <v/>
      </c>
      <c r="BK1781" s="48" t="str">
        <f aca="false">IF(AS1781&lt;=0,"",IF(CF1781="Aussen","Aussenlager",IF(CF1781="-","Nicht im Lift",IF(AY1781&gt;=1,"Lift",IF(AY1781&lt;=0,"Aussenlager","teilweise")))))</f>
        <v/>
      </c>
      <c r="BL1781" s="48" t="str">
        <f aca="false">IF(BC1781&lt;=0,"",IF(CF1781="Aussen","Aussenlager",IF(CF1781="-","Nicht im Lift",IF(BI1781&gt;=1,"Lift",IF(BI1781&lt;=0,"Aussenlager","teilweise")))))</f>
        <v/>
      </c>
      <c r="BM1781" s="48" t="str">
        <f aca="false">IF(A1781="","",IF(BV1781=1,"Neu; ","")&amp;IF(AND(BV1781=0,BQ1781&lt;0),"negativer Bestand (Export "&amp;BQ1781&amp;"); ","")&amp;IF(J1781&lt;=0,"Kein Verbrauch; ","")&amp;IF(CQ1781&gt;0,"Lift "&amp;W1781&amp;" lt. Liftbericht (Fach "&amp;X1781&amp;" Stk); ",IF(CA1781=1,"Gebinde geschätzt ("&amp;T1781&amp;"); ",IF(BZ1781=1,"Lose – Tablare geschätzt; ","")))&amp;IF(H1781&gt;AV1781,"Überbestand "&amp;ROUND(H1781-AV1781,0)&amp;" Stk / CHF "&amp;ROUND((H1781-AV1781)*G1781,0)&amp;"; ","")&amp;IF(AND(CH1781=1,CI1781&lt;CJ1781),"MAX &lt; MB+LG; ","")&amp;IF(AND(CP1781&gt;0,CO1781*10&gt;CP1781),"zu hoch für Tablar; ","")&amp;IF(AND(BV1781=0,OR(CH1781=1,AA1781&lt;&gt;"",U1781&lt;&gt;"",V1781&lt;&gt;"",AB1781&lt;&gt;"")),"manuell übersteuert; ","")&amp;IF(AND(BZ1781=0,R1781=0),"Gebinde unbekannt / Stellmass fehlt; ","")&amp;IF(AND(BZ1781=0,N(V1781)&lt;=0,N(Q1781)&lt;=0),"Menge pro Gebinde fehlt (Ist = 1 Gebinde); ","")&amp;BU1781)</f>
        <v/>
      </c>
      <c r="BN1781" s="48"/>
      <c r="BO1781" s="48"/>
      <c r="BP1781" s="55"/>
      <c r="BQ1781" s="50" t="n">
        <f aca="false">N('Neue Artikel'!$D$42)</f>
        <v>0</v>
      </c>
      <c r="BR1781" s="50" t="n">
        <v>0</v>
      </c>
      <c r="BS1781" s="49" t="n">
        <v>0</v>
      </c>
      <c r="BT1781" s="50" t="n">
        <f aca="false">N('Neue Artikel'!$C$42)/Parameter!$B$18</f>
        <v>0</v>
      </c>
      <c r="BU1781" s="48"/>
      <c r="BV1781" s="53" t="n">
        <v>1</v>
      </c>
      <c r="BW1781" s="53" t="n">
        <v>1781</v>
      </c>
      <c r="BX1781" s="48" t="str">
        <f aca="false">IF(U1781&lt;&gt;"",UPPER(TRIM(U1781)),IF(CA1781=1,UPPER(VLOOKUP(T1781,Parameter!$I$27:$K$29,2,0)),IF(P1781="","LOSE",P1781)))</f>
        <v>LOSE</v>
      </c>
      <c r="BY1781" s="50" t="n">
        <f aca="false">IF(BX1781="LOSE",1,IF(N(V1781)&gt;0,V1781,IF(CA1781=1,MAX(1,N(VLOOKUP(T1781,Parameter!$I$27:$K$29,3,0)),H1781,N(N1781)),IF(N(Q1781)&gt;0,Q1781,MAX(1,H1781)))))</f>
        <v>1</v>
      </c>
      <c r="BZ1781" s="53" t="n">
        <f aca="false">IF(BX1781="LOSE",1,0)</f>
        <v>1</v>
      </c>
      <c r="CA1781" s="53" t="n">
        <f aca="false">IF(AND(U1781="",OR(P1781="",P1781="LOSE"),T1781&lt;&gt;"",N(S1781)&lt;=0,ISNUMBER(MATCH(T1781,Parameter!$I$27:$I$29,0))),1,0)</f>
        <v>0</v>
      </c>
      <c r="CB1781" s="53" t="n">
        <f aca="false">IF(CQ1781&gt;0,INDEX(Parameter!$H$5:$H$7,W1781)/INDEX(Parameter!$E$5:$E$7,W1781),IF(AND(BZ1781=0,N(IFERROR(VLOOKUP(BX1781,'Gebinde-Kategorie'!$A$5:$N$45,14,0),0))&gt;0),VLOOKUP(BX1781,'Gebinde-Kategorie'!$A$5:$N$45,14,0)*10+Parameter!$M$23,Parameter!$M$24))</f>
        <v>235</v>
      </c>
      <c r="CC1781" s="48" t="str">
        <f aca="false">IF(AND(Parameter!$B$19="Ja",E1781&lt;&gt;"",ISNUMBER(MATCH(E1781,Parameter!$I$35:$I$52,0))),VLOOKUP(E1781,Parameter!$I$35:$J$52,2,0),IFERROR(VLOOKUP(D1781,Parameter!$A$35:$C$64,2,0),"Nein"))</f>
        <v>2+3</v>
      </c>
      <c r="CD1781" s="52" t="n">
        <f aca="false">IF(BZ1781=0,0,IF(N(S1781)&gt;0,S1781,IFERROR(VLOOKUP(D1781,Parameter!$A$35:$C$64,3,0)+0,0)))</f>
        <v>0.15</v>
      </c>
      <c r="CE1781" s="48" t="str">
        <f aca="false">IF(AA1781&lt;&gt;"",AA1781,Z1781)</f>
        <v/>
      </c>
      <c r="CF1781" s="48" t="str">
        <f aca="false">IF(OR(CE1781=1,CE1781=2,CE1781=3),IF(Parameter!$E$27="Ja","LIFT",IF(CE1781=1,"L1","L23")),IF(CE1781="Aussen","Aussen","-"))</f>
        <v>-</v>
      </c>
      <c r="CG1781" s="59" t="n">
        <f aca="false">IF(N(AB1781)&gt;0,AB1781,0)</f>
        <v>0</v>
      </c>
      <c r="CH1781" s="53" t="n">
        <f aca="false">IF(ISNUMBER(AE1781),1,0)</f>
        <v>0</v>
      </c>
      <c r="CI1781" s="50" t="n">
        <f aca="false">N(AE1781)</f>
        <v>0</v>
      </c>
      <c r="CJ1781" s="50" t="n">
        <f aca="false">N(M1781)+N(N1781)</f>
        <v>0</v>
      </c>
      <c r="CK1781" s="50" t="n">
        <f aca="false">N(M1781)</f>
        <v>0</v>
      </c>
      <c r="CL1781" s="50" t="n">
        <f aca="false">N(N1781)</f>
        <v>0</v>
      </c>
      <c r="CM1781" s="50" t="n">
        <f aca="false">ROUNDUP(H1781/BY1781,0)</f>
        <v>0</v>
      </c>
      <c r="CN1781" s="50" t="n">
        <f aca="false">ROUNDUP(CI1781/BY1781,0)</f>
        <v>0</v>
      </c>
      <c r="CO1781" s="53" t="n">
        <f aca="false">IF(BZ1781=1,0,IFERROR(VLOOKUP(BX1781,'Gebinde-Kategorie'!$A$5:$N$45,5,0)+0,0))</f>
        <v>0</v>
      </c>
      <c r="CP1781" s="53" t="n">
        <f aca="false">IFERROR(IF(OR(CE1781=1,CE1781=2,CE1781=3),N(INDEX(Parameter!$I$5:$I$7,CE1781)),0),0)</f>
        <v>0</v>
      </c>
      <c r="CQ1781" s="52" t="n">
        <f aca="false">IF(AND(Parameter!$B$21="Ja",ISNUMBER(W1781),N(X1781)&gt;0),IFERROR(N(INDEX(Parameter!$L$5:$L$7,W1781))*INDEX(Parameter!$E$5:$E$7,W1781)*X1781/SUMIFS($X$7:$X$1843,$W$7:$W$1843,W1781),0),0)</f>
        <v>0</v>
      </c>
    </row>
    <row r="1782" customFormat="false" ht="15" hidden="false" customHeight="false" outlineLevel="0" collapsed="false">
      <c r="A1782" s="48" t="str">
        <f aca="false">IF('Neue Artikel'!$A$43="","",'Neue Artikel'!$A$43&amp;"")</f>
        <v/>
      </c>
      <c r="B1782" s="48" t="str">
        <f aca="false">'Neue Artikel'!$B$43&amp;""</f>
        <v/>
      </c>
      <c r="C1782" s="48"/>
      <c r="D1782" s="48" t="s">
        <v>3024</v>
      </c>
      <c r="E1782" s="48"/>
      <c r="F1782" s="48"/>
      <c r="G1782" s="49" t="n">
        <f aca="false">N('Neue Artikel'!$G$43)</f>
        <v>0</v>
      </c>
      <c r="H1782" s="50" t="n">
        <f aca="false">MAX(0,IF(AND(Parameter!$B$21="Ja",ISNUMBER(Y1782)),Y1782,IF(Parameter!$B$20="Jahresanfang 2025 + Export",BR1782+BQ1782,BQ1782)))</f>
        <v>0</v>
      </c>
      <c r="I1782" s="50" t="n">
        <f aca="false">H1782*G1782</f>
        <v>0</v>
      </c>
      <c r="J1782" s="50" t="n">
        <f aca="false">BT1782*Parameter!$B$18</f>
        <v>0</v>
      </c>
      <c r="K1782" s="51"/>
      <c r="L1782" s="52"/>
      <c r="M1782" s="50" t="n">
        <f aca="false">N('Neue Artikel'!$E$43)</f>
        <v>0</v>
      </c>
      <c r="N1782" s="50" t="n">
        <f aca="false">N('Neue Artikel'!$F$43)</f>
        <v>0</v>
      </c>
      <c r="O1782" s="53"/>
      <c r="P1782" s="48" t="str">
        <f aca="false">IF('Neue Artikel'!$H$43="","LOSE",UPPER(TRIM('Neue Artikel'!$H$43)))</f>
        <v>LOSE</v>
      </c>
      <c r="Q1782" s="50" t="n">
        <f aca="false">N('Neue Artikel'!$I$43)</f>
        <v>0</v>
      </c>
      <c r="R1782" s="53" t="n">
        <f aca="false">IF(BZ1782=1,0,IFERROR(VLOOKUP(BX1782,'Gebinde-Kategorie'!$A$5:$N$45,13,0)+0,0))</f>
        <v>0</v>
      </c>
      <c r="S1782" s="54"/>
      <c r="T1782" s="55"/>
      <c r="U1782" s="55"/>
      <c r="V1782" s="55"/>
      <c r="W1782" s="48"/>
      <c r="X1782" s="50"/>
      <c r="Y1782" s="50"/>
      <c r="Z1782" s="48" t="str">
        <f aca="false">IF(A1782="","",IF(AND(Parameter!$B$21="Ja",ISNUMBER(W1782)),W1782,IF(CC1782="2+3",IF(ISNUMBER(SEARCH("grosser Artikel",BU1782)),2,IFERROR(VLOOKUP(BX1782,Parameter!$F$35:$G$64,2,0),2)),IF(OR(CC1782="Nein",CC1782=""),"-",CC1782))))</f>
        <v/>
      </c>
      <c r="AA1782" s="48" t="str">
        <f aca="false">IF('Neue Artikel'!$J$43="","",'Neue Artikel'!$J$43)</f>
        <v/>
      </c>
      <c r="AB1782" s="56"/>
      <c r="AC1782" s="50" t="n">
        <f aca="false">AV1782</f>
        <v>0</v>
      </c>
      <c r="AD1782" s="50" t="n">
        <f aca="false">MAX(AV1782,H1782)</f>
        <v>0</v>
      </c>
      <c r="AE1782" s="57"/>
      <c r="AF1782" s="50" t="n">
        <f aca="false">IF(LEFT(Cockpit!$C$5,1)="A",H1782,IF(Parameter!$E$30="MAX-Bestand",IF(CH1782=1,CI1782,IF(LEFT(Cockpit!$C$5,1)="B",AL1782,MAX(AL1782,H1782))),ROUNDUP(AJ1782,0)))</f>
        <v>0</v>
      </c>
      <c r="AG1782" s="50" t="n">
        <f aca="false">IF(BZ1782=1,0,ROUNDUP(AF1782/BY1782,0))</f>
        <v>0</v>
      </c>
      <c r="AH1782" s="52" t="n">
        <f aca="false">IF(CQ1782&gt;0,CQ1782*MAX(1,AF1782/X1782),IF(BZ1782=1,IF(AF1782&lt;=0,0,CD1782*MAX(1,IF(H1782&gt;0,AF1782/H1782,1))),IF(R1782&gt;0,AG1782/R1782,0))/MAX(0.1,N(Parameter!$M$21)))</f>
        <v>0</v>
      </c>
      <c r="AI1782" s="50" t="n">
        <f aca="false">AH1782*CB1782</f>
        <v>0</v>
      </c>
      <c r="AJ1782" s="51" t="n">
        <f aca="false">IF(LEFT(Cockpit!$C$5,1)="A",H1782,IF(CH1782=1,(CK1782+CI1782)/2,IF(LEFT(Cockpit!$C$5,1)="B",(CK1782+AL1782)/2,MAX((CK1782+AL1782)/2,H1782))))</f>
        <v>0</v>
      </c>
      <c r="AK1782" s="50" t="n">
        <f aca="false">AJ1782*G1782</f>
        <v>0</v>
      </c>
      <c r="AL1782" s="50" t="n">
        <f aca="false">ROUNDUP(CK1782+MAX(CL1782,2*(J1782/IF(CG1782&gt;0,CG1782,MAX(0.1,N(Cockpit!$C$6)))-CK1782)),0)</f>
        <v>0</v>
      </c>
      <c r="AM1782" s="51" t="n">
        <f aca="false">IF(AI1782&gt;0,J1782/AI1782,-1)</f>
        <v>-1</v>
      </c>
      <c r="AN1782" s="51" t="str">
        <f aca="false">IF(AND(OR(CF1782="L1",CF1782="L23",CF1782="LIFT"),AI1782&gt;0),SUMIFS($AI$7:$AI$1843,$CF$7:$CF$1843,CF1782,$AM$7:$AM$1843,"&gt;"&amp;AM1782)+SUMIFS($AI$7:$AI$1843,$CF$7:$CF$1843,CF1782,$AM$7:$AM$1843,AM1782,$BW$7:$BW$1843,"&lt;="&amp;BW1782),"")</f>
        <v/>
      </c>
      <c r="AO1782" s="58" t="n">
        <f aca="false">IF(AN1782="",0,MAX(0,MIN(1,(IF(CF1782="L1",Parameter!$H$5,IF(CF1782="L23",Parameter!$H$6+Parameter!$H$7,Parameter!$H$5+Parameter!$H$6+Parameter!$H$7))-(AN1782-AI1782))/AI1782)))</f>
        <v>0</v>
      </c>
      <c r="AP1782" s="50" t="n">
        <f aca="false">IF(LEFT(Cockpit!$I$5,1)="A",H1782,IF(Parameter!$E$30="MAX-Bestand",IF(CH1782=1,CI1782,IF(LEFT(Cockpit!$I$5,1)="B",AV1782,MAX(AV1782,H1782))),ROUNDUP(AT1782,0)))</f>
        <v>0</v>
      </c>
      <c r="AQ1782" s="50" t="n">
        <f aca="false">IF(BZ1782=1,0,ROUNDUP(AP1782/BY1782,0))</f>
        <v>0</v>
      </c>
      <c r="AR1782" s="52" t="n">
        <f aca="false">IF(CQ1782&gt;0,CQ1782*MAX(1,AP1782/X1782),IF(BZ1782=1,IF(AP1782&lt;=0,0,CD1782*MAX(1,IF(H1782&gt;0,AP1782/H1782,1))),IF(R1782&gt;0,AQ1782/R1782,0))/MAX(0.1,N(Parameter!$M$21)))</f>
        <v>0</v>
      </c>
      <c r="AS1782" s="50" t="n">
        <f aca="false">AR1782*CB1782</f>
        <v>0</v>
      </c>
      <c r="AT1782" s="51" t="n">
        <f aca="false">IF(LEFT(Cockpit!$I$5,1)="A",H1782,IF(CH1782=1,(CK1782+CI1782)/2,IF(LEFT(Cockpit!$I$5,1)="B",(CK1782+AV1782)/2,MAX((CK1782+AV1782)/2,H1782))))</f>
        <v>0</v>
      </c>
      <c r="AU1782" s="50" t="n">
        <f aca="false">AT1782*G1782</f>
        <v>0</v>
      </c>
      <c r="AV1782" s="50" t="n">
        <f aca="false">ROUNDUP(CK1782+MAX(CL1782,2*(J1782/IF(CG1782&gt;0,CG1782,MAX(0.1,N(Cockpit!$I$6)))-CK1782)),0)</f>
        <v>0</v>
      </c>
      <c r="AW1782" s="51" t="n">
        <f aca="false">IF(AS1782&gt;0,J1782/AS1782,-1)</f>
        <v>-1</v>
      </c>
      <c r="AX1782" s="51" t="str">
        <f aca="false">IF(AND(OR(CF1782="L1",CF1782="L23",CF1782="LIFT"),AS1782&gt;0),SUMIFS($AS$7:$AS$1843,$CF$7:$CF$1843,CF1782,$AW$7:$AW$1843,"&gt;"&amp;AW1782)+SUMIFS($AS$7:$AS$1843,$CF$7:$CF$1843,CF1782,$AW$7:$AW$1843,AW1782,$BW$7:$BW$1843,"&lt;="&amp;BW1782),"")</f>
        <v/>
      </c>
      <c r="AY1782" s="58" t="n">
        <f aca="false">IF(AX1782="",0,MAX(0,MIN(1,(IF(CF1782="L1",Parameter!$H$5,IF(CF1782="L23",Parameter!$H$6+Parameter!$H$7,Parameter!$H$5+Parameter!$H$6+Parameter!$H$7))-(AX1782-AS1782))/AS1782)))</f>
        <v>0</v>
      </c>
      <c r="AZ1782" s="50" t="n">
        <f aca="false">IF(LEFT(Cockpit!$O$5,1)="A",H1782,IF(Parameter!$E$30="MAX-Bestand",IF(CH1782=1,CI1782,IF(LEFT(Cockpit!$O$5,1)="B",BF1782,MAX(BF1782,H1782))),ROUNDUP(BD1782,0)))</f>
        <v>0</v>
      </c>
      <c r="BA1782" s="50" t="n">
        <f aca="false">IF(BZ1782=1,0,ROUNDUP(AZ1782/BY1782,0))</f>
        <v>0</v>
      </c>
      <c r="BB1782" s="52" t="n">
        <f aca="false">IF(CQ1782&gt;0,CQ1782*MAX(1,AZ1782/X1782),IF(BZ1782=1,IF(AZ1782&lt;=0,0,CD1782*MAX(1,IF(H1782&gt;0,AZ1782/H1782,1))),IF(R1782&gt;0,BA1782/R1782,0))/MAX(0.1,N(Parameter!$M$21)))</f>
        <v>0</v>
      </c>
      <c r="BC1782" s="50" t="n">
        <f aca="false">BB1782*CB1782</f>
        <v>0</v>
      </c>
      <c r="BD1782" s="51" t="n">
        <f aca="false">IF(LEFT(Cockpit!$O$5,1)="A",H1782,IF(CH1782=1,(CK1782+CI1782)/2,IF(LEFT(Cockpit!$O$5,1)="B",(CK1782+BF1782)/2,MAX((CK1782+BF1782)/2,H1782))))</f>
        <v>0</v>
      </c>
      <c r="BE1782" s="50" t="n">
        <f aca="false">BD1782*G1782</f>
        <v>0</v>
      </c>
      <c r="BF1782" s="50" t="n">
        <f aca="false">ROUNDUP(CK1782+MAX(CL1782,2*(J1782/IF(CG1782&gt;0,CG1782,MAX(0.1,N(Cockpit!$O$6)))-CK1782)),0)</f>
        <v>0</v>
      </c>
      <c r="BG1782" s="51" t="n">
        <f aca="false">IF(BC1782&gt;0,J1782/BC1782,-1)</f>
        <v>-1</v>
      </c>
      <c r="BH1782" s="51" t="str">
        <f aca="false">IF(AND(OR(CF1782="L1",CF1782="L23",CF1782="LIFT"),BC1782&gt;0),SUMIFS($BC$7:$BC$1843,$CF$7:$CF$1843,CF1782,$BG$7:$BG$1843,"&gt;"&amp;BG1782)+SUMIFS($BC$7:$BC$1843,$CF$7:$CF$1843,CF1782,$BG$7:$BG$1843,BG1782,$BW$7:$BW$1843,"&lt;="&amp;BW1782),"")</f>
        <v/>
      </c>
      <c r="BI1782" s="58" t="n">
        <f aca="false">IF(BH1782="",0,MAX(0,MIN(1,(IF(CF1782="L1",Parameter!$H$5,IF(CF1782="L23",Parameter!$H$6+Parameter!$H$7,Parameter!$H$5+Parameter!$H$6+Parameter!$H$7))-(BH1782-BC1782))/BC1782)))</f>
        <v>0</v>
      </c>
      <c r="BJ1782" s="48" t="str">
        <f aca="false">IF(AI1782&lt;=0,"",IF(CF1782="Aussen","Aussenlager",IF(CF1782="-","Nicht im Lift",IF(AO1782&gt;=1,"Lift",IF(AO1782&lt;=0,"Aussenlager","teilweise")))))</f>
        <v/>
      </c>
      <c r="BK1782" s="48" t="str">
        <f aca="false">IF(AS1782&lt;=0,"",IF(CF1782="Aussen","Aussenlager",IF(CF1782="-","Nicht im Lift",IF(AY1782&gt;=1,"Lift",IF(AY1782&lt;=0,"Aussenlager","teilweise")))))</f>
        <v/>
      </c>
      <c r="BL1782" s="48" t="str">
        <f aca="false">IF(BC1782&lt;=0,"",IF(CF1782="Aussen","Aussenlager",IF(CF1782="-","Nicht im Lift",IF(BI1782&gt;=1,"Lift",IF(BI1782&lt;=0,"Aussenlager","teilweise")))))</f>
        <v/>
      </c>
      <c r="BM1782" s="48" t="str">
        <f aca="false">IF(A1782="","",IF(BV1782=1,"Neu; ","")&amp;IF(AND(BV1782=0,BQ1782&lt;0),"negativer Bestand (Export "&amp;BQ1782&amp;"); ","")&amp;IF(J1782&lt;=0,"Kein Verbrauch; ","")&amp;IF(CQ1782&gt;0,"Lift "&amp;W1782&amp;" lt. Liftbericht (Fach "&amp;X1782&amp;" Stk); ",IF(CA1782=1,"Gebinde geschätzt ("&amp;T1782&amp;"); ",IF(BZ1782=1,"Lose – Tablare geschätzt; ","")))&amp;IF(H1782&gt;AV1782,"Überbestand "&amp;ROUND(H1782-AV1782,0)&amp;" Stk / CHF "&amp;ROUND((H1782-AV1782)*G1782,0)&amp;"; ","")&amp;IF(AND(CH1782=1,CI1782&lt;CJ1782),"MAX &lt; MB+LG; ","")&amp;IF(AND(CP1782&gt;0,CO1782*10&gt;CP1782),"zu hoch für Tablar; ","")&amp;IF(AND(BV1782=0,OR(CH1782=1,AA1782&lt;&gt;"",U1782&lt;&gt;"",V1782&lt;&gt;"",AB1782&lt;&gt;"")),"manuell übersteuert; ","")&amp;IF(AND(BZ1782=0,R1782=0),"Gebinde unbekannt / Stellmass fehlt; ","")&amp;IF(AND(BZ1782=0,N(V1782)&lt;=0,N(Q1782)&lt;=0),"Menge pro Gebinde fehlt (Ist = 1 Gebinde); ","")&amp;BU1782)</f>
        <v/>
      </c>
      <c r="BN1782" s="48"/>
      <c r="BO1782" s="48"/>
      <c r="BP1782" s="55"/>
      <c r="BQ1782" s="50" t="n">
        <f aca="false">N('Neue Artikel'!$D$43)</f>
        <v>0</v>
      </c>
      <c r="BR1782" s="50" t="n">
        <v>0</v>
      </c>
      <c r="BS1782" s="49" t="n">
        <v>0</v>
      </c>
      <c r="BT1782" s="50" t="n">
        <f aca="false">N('Neue Artikel'!$C$43)/Parameter!$B$18</f>
        <v>0</v>
      </c>
      <c r="BU1782" s="48"/>
      <c r="BV1782" s="53" t="n">
        <v>1</v>
      </c>
      <c r="BW1782" s="53" t="n">
        <v>1782</v>
      </c>
      <c r="BX1782" s="48" t="str">
        <f aca="false">IF(U1782&lt;&gt;"",UPPER(TRIM(U1782)),IF(CA1782=1,UPPER(VLOOKUP(T1782,Parameter!$I$27:$K$29,2,0)),IF(P1782="","LOSE",P1782)))</f>
        <v>LOSE</v>
      </c>
      <c r="BY1782" s="50" t="n">
        <f aca="false">IF(BX1782="LOSE",1,IF(N(V1782)&gt;0,V1782,IF(CA1782=1,MAX(1,N(VLOOKUP(T1782,Parameter!$I$27:$K$29,3,0)),H1782,N(N1782)),IF(N(Q1782)&gt;0,Q1782,MAX(1,H1782)))))</f>
        <v>1</v>
      </c>
      <c r="BZ1782" s="53" t="n">
        <f aca="false">IF(BX1782="LOSE",1,0)</f>
        <v>1</v>
      </c>
      <c r="CA1782" s="53" t="n">
        <f aca="false">IF(AND(U1782="",OR(P1782="",P1782="LOSE"),T1782&lt;&gt;"",N(S1782)&lt;=0,ISNUMBER(MATCH(T1782,Parameter!$I$27:$I$29,0))),1,0)</f>
        <v>0</v>
      </c>
      <c r="CB1782" s="53" t="n">
        <f aca="false">IF(CQ1782&gt;0,INDEX(Parameter!$H$5:$H$7,W1782)/INDEX(Parameter!$E$5:$E$7,W1782),IF(AND(BZ1782=0,N(IFERROR(VLOOKUP(BX1782,'Gebinde-Kategorie'!$A$5:$N$45,14,0),0))&gt;0),VLOOKUP(BX1782,'Gebinde-Kategorie'!$A$5:$N$45,14,0)*10+Parameter!$M$23,Parameter!$M$24))</f>
        <v>235</v>
      </c>
      <c r="CC1782" s="48" t="str">
        <f aca="false">IF(AND(Parameter!$B$19="Ja",E1782&lt;&gt;"",ISNUMBER(MATCH(E1782,Parameter!$I$35:$I$52,0))),VLOOKUP(E1782,Parameter!$I$35:$J$52,2,0),IFERROR(VLOOKUP(D1782,Parameter!$A$35:$C$64,2,0),"Nein"))</f>
        <v>2+3</v>
      </c>
      <c r="CD1782" s="52" t="n">
        <f aca="false">IF(BZ1782=0,0,IF(N(S1782)&gt;0,S1782,IFERROR(VLOOKUP(D1782,Parameter!$A$35:$C$64,3,0)+0,0)))</f>
        <v>0.15</v>
      </c>
      <c r="CE1782" s="48" t="str">
        <f aca="false">IF(AA1782&lt;&gt;"",AA1782,Z1782)</f>
        <v/>
      </c>
      <c r="CF1782" s="48" t="str">
        <f aca="false">IF(OR(CE1782=1,CE1782=2,CE1782=3),IF(Parameter!$E$27="Ja","LIFT",IF(CE1782=1,"L1","L23")),IF(CE1782="Aussen","Aussen","-"))</f>
        <v>-</v>
      </c>
      <c r="CG1782" s="59" t="n">
        <f aca="false">IF(N(AB1782)&gt;0,AB1782,0)</f>
        <v>0</v>
      </c>
      <c r="CH1782" s="53" t="n">
        <f aca="false">IF(ISNUMBER(AE1782),1,0)</f>
        <v>0</v>
      </c>
      <c r="CI1782" s="50" t="n">
        <f aca="false">N(AE1782)</f>
        <v>0</v>
      </c>
      <c r="CJ1782" s="50" t="n">
        <f aca="false">N(M1782)+N(N1782)</f>
        <v>0</v>
      </c>
      <c r="CK1782" s="50" t="n">
        <f aca="false">N(M1782)</f>
        <v>0</v>
      </c>
      <c r="CL1782" s="50" t="n">
        <f aca="false">N(N1782)</f>
        <v>0</v>
      </c>
      <c r="CM1782" s="50" t="n">
        <f aca="false">ROUNDUP(H1782/BY1782,0)</f>
        <v>0</v>
      </c>
      <c r="CN1782" s="50" t="n">
        <f aca="false">ROUNDUP(CI1782/BY1782,0)</f>
        <v>0</v>
      </c>
      <c r="CO1782" s="53" t="n">
        <f aca="false">IF(BZ1782=1,0,IFERROR(VLOOKUP(BX1782,'Gebinde-Kategorie'!$A$5:$N$45,5,0)+0,0))</f>
        <v>0</v>
      </c>
      <c r="CP1782" s="53" t="n">
        <f aca="false">IFERROR(IF(OR(CE1782=1,CE1782=2,CE1782=3),N(INDEX(Parameter!$I$5:$I$7,CE1782)),0),0)</f>
        <v>0</v>
      </c>
      <c r="CQ1782" s="52" t="n">
        <f aca="false">IF(AND(Parameter!$B$21="Ja",ISNUMBER(W1782),N(X1782)&gt;0),IFERROR(N(INDEX(Parameter!$L$5:$L$7,W1782))*INDEX(Parameter!$E$5:$E$7,W1782)*X1782/SUMIFS($X$7:$X$1843,$W$7:$W$1843,W1782),0),0)</f>
        <v>0</v>
      </c>
    </row>
    <row r="1783" customFormat="false" ht="15" hidden="false" customHeight="false" outlineLevel="0" collapsed="false">
      <c r="A1783" s="48" t="str">
        <f aca="false">IF('Neue Artikel'!$A$44="","",'Neue Artikel'!$A$44&amp;"")</f>
        <v/>
      </c>
      <c r="B1783" s="48" t="str">
        <f aca="false">'Neue Artikel'!$B$44&amp;""</f>
        <v/>
      </c>
      <c r="C1783" s="48"/>
      <c r="D1783" s="48" t="s">
        <v>3024</v>
      </c>
      <c r="E1783" s="48"/>
      <c r="F1783" s="48"/>
      <c r="G1783" s="49" t="n">
        <f aca="false">N('Neue Artikel'!$G$44)</f>
        <v>0</v>
      </c>
      <c r="H1783" s="50" t="n">
        <f aca="false">MAX(0,IF(AND(Parameter!$B$21="Ja",ISNUMBER(Y1783)),Y1783,IF(Parameter!$B$20="Jahresanfang 2025 + Export",BR1783+BQ1783,BQ1783)))</f>
        <v>0</v>
      </c>
      <c r="I1783" s="50" t="n">
        <f aca="false">H1783*G1783</f>
        <v>0</v>
      </c>
      <c r="J1783" s="50" t="n">
        <f aca="false">BT1783*Parameter!$B$18</f>
        <v>0</v>
      </c>
      <c r="K1783" s="51"/>
      <c r="L1783" s="52"/>
      <c r="M1783" s="50" t="n">
        <f aca="false">N('Neue Artikel'!$E$44)</f>
        <v>0</v>
      </c>
      <c r="N1783" s="50" t="n">
        <f aca="false">N('Neue Artikel'!$F$44)</f>
        <v>0</v>
      </c>
      <c r="O1783" s="53"/>
      <c r="P1783" s="48" t="str">
        <f aca="false">IF('Neue Artikel'!$H$44="","LOSE",UPPER(TRIM('Neue Artikel'!$H$44)))</f>
        <v>LOSE</v>
      </c>
      <c r="Q1783" s="50" t="n">
        <f aca="false">N('Neue Artikel'!$I$44)</f>
        <v>0</v>
      </c>
      <c r="R1783" s="53" t="n">
        <f aca="false">IF(BZ1783=1,0,IFERROR(VLOOKUP(BX1783,'Gebinde-Kategorie'!$A$5:$N$45,13,0)+0,0))</f>
        <v>0</v>
      </c>
      <c r="S1783" s="54"/>
      <c r="T1783" s="55"/>
      <c r="U1783" s="55"/>
      <c r="V1783" s="55"/>
      <c r="W1783" s="48"/>
      <c r="X1783" s="50"/>
      <c r="Y1783" s="50"/>
      <c r="Z1783" s="48" t="str">
        <f aca="false">IF(A1783="","",IF(AND(Parameter!$B$21="Ja",ISNUMBER(W1783)),W1783,IF(CC1783="2+3",IF(ISNUMBER(SEARCH("grosser Artikel",BU1783)),2,IFERROR(VLOOKUP(BX1783,Parameter!$F$35:$G$64,2,0),2)),IF(OR(CC1783="Nein",CC1783=""),"-",CC1783))))</f>
        <v/>
      </c>
      <c r="AA1783" s="48" t="str">
        <f aca="false">IF('Neue Artikel'!$J$44="","",'Neue Artikel'!$J$44)</f>
        <v/>
      </c>
      <c r="AB1783" s="56"/>
      <c r="AC1783" s="50" t="n">
        <f aca="false">AV1783</f>
        <v>0</v>
      </c>
      <c r="AD1783" s="50" t="n">
        <f aca="false">MAX(AV1783,H1783)</f>
        <v>0</v>
      </c>
      <c r="AE1783" s="57"/>
      <c r="AF1783" s="50" t="n">
        <f aca="false">IF(LEFT(Cockpit!$C$5,1)="A",H1783,IF(Parameter!$E$30="MAX-Bestand",IF(CH1783=1,CI1783,IF(LEFT(Cockpit!$C$5,1)="B",AL1783,MAX(AL1783,H1783))),ROUNDUP(AJ1783,0)))</f>
        <v>0</v>
      </c>
      <c r="AG1783" s="50" t="n">
        <f aca="false">IF(BZ1783=1,0,ROUNDUP(AF1783/BY1783,0))</f>
        <v>0</v>
      </c>
      <c r="AH1783" s="52" t="n">
        <f aca="false">IF(CQ1783&gt;0,CQ1783*MAX(1,AF1783/X1783),IF(BZ1783=1,IF(AF1783&lt;=0,0,CD1783*MAX(1,IF(H1783&gt;0,AF1783/H1783,1))),IF(R1783&gt;0,AG1783/R1783,0))/MAX(0.1,N(Parameter!$M$21)))</f>
        <v>0</v>
      </c>
      <c r="AI1783" s="50" t="n">
        <f aca="false">AH1783*CB1783</f>
        <v>0</v>
      </c>
      <c r="AJ1783" s="51" t="n">
        <f aca="false">IF(LEFT(Cockpit!$C$5,1)="A",H1783,IF(CH1783=1,(CK1783+CI1783)/2,IF(LEFT(Cockpit!$C$5,1)="B",(CK1783+AL1783)/2,MAX((CK1783+AL1783)/2,H1783))))</f>
        <v>0</v>
      </c>
      <c r="AK1783" s="50" t="n">
        <f aca="false">AJ1783*G1783</f>
        <v>0</v>
      </c>
      <c r="AL1783" s="50" t="n">
        <f aca="false">ROUNDUP(CK1783+MAX(CL1783,2*(J1783/IF(CG1783&gt;0,CG1783,MAX(0.1,N(Cockpit!$C$6)))-CK1783)),0)</f>
        <v>0</v>
      </c>
      <c r="AM1783" s="51" t="n">
        <f aca="false">IF(AI1783&gt;0,J1783/AI1783,-1)</f>
        <v>-1</v>
      </c>
      <c r="AN1783" s="51" t="str">
        <f aca="false">IF(AND(OR(CF1783="L1",CF1783="L23",CF1783="LIFT"),AI1783&gt;0),SUMIFS($AI$7:$AI$1843,$CF$7:$CF$1843,CF1783,$AM$7:$AM$1843,"&gt;"&amp;AM1783)+SUMIFS($AI$7:$AI$1843,$CF$7:$CF$1843,CF1783,$AM$7:$AM$1843,AM1783,$BW$7:$BW$1843,"&lt;="&amp;BW1783),"")</f>
        <v/>
      </c>
      <c r="AO1783" s="58" t="n">
        <f aca="false">IF(AN1783="",0,MAX(0,MIN(1,(IF(CF1783="L1",Parameter!$H$5,IF(CF1783="L23",Parameter!$H$6+Parameter!$H$7,Parameter!$H$5+Parameter!$H$6+Parameter!$H$7))-(AN1783-AI1783))/AI1783)))</f>
        <v>0</v>
      </c>
      <c r="AP1783" s="50" t="n">
        <f aca="false">IF(LEFT(Cockpit!$I$5,1)="A",H1783,IF(Parameter!$E$30="MAX-Bestand",IF(CH1783=1,CI1783,IF(LEFT(Cockpit!$I$5,1)="B",AV1783,MAX(AV1783,H1783))),ROUNDUP(AT1783,0)))</f>
        <v>0</v>
      </c>
      <c r="AQ1783" s="50" t="n">
        <f aca="false">IF(BZ1783=1,0,ROUNDUP(AP1783/BY1783,0))</f>
        <v>0</v>
      </c>
      <c r="AR1783" s="52" t="n">
        <f aca="false">IF(CQ1783&gt;0,CQ1783*MAX(1,AP1783/X1783),IF(BZ1783=1,IF(AP1783&lt;=0,0,CD1783*MAX(1,IF(H1783&gt;0,AP1783/H1783,1))),IF(R1783&gt;0,AQ1783/R1783,0))/MAX(0.1,N(Parameter!$M$21)))</f>
        <v>0</v>
      </c>
      <c r="AS1783" s="50" t="n">
        <f aca="false">AR1783*CB1783</f>
        <v>0</v>
      </c>
      <c r="AT1783" s="51" t="n">
        <f aca="false">IF(LEFT(Cockpit!$I$5,1)="A",H1783,IF(CH1783=1,(CK1783+CI1783)/2,IF(LEFT(Cockpit!$I$5,1)="B",(CK1783+AV1783)/2,MAX((CK1783+AV1783)/2,H1783))))</f>
        <v>0</v>
      </c>
      <c r="AU1783" s="50" t="n">
        <f aca="false">AT1783*G1783</f>
        <v>0</v>
      </c>
      <c r="AV1783" s="50" t="n">
        <f aca="false">ROUNDUP(CK1783+MAX(CL1783,2*(J1783/IF(CG1783&gt;0,CG1783,MAX(0.1,N(Cockpit!$I$6)))-CK1783)),0)</f>
        <v>0</v>
      </c>
      <c r="AW1783" s="51" t="n">
        <f aca="false">IF(AS1783&gt;0,J1783/AS1783,-1)</f>
        <v>-1</v>
      </c>
      <c r="AX1783" s="51" t="str">
        <f aca="false">IF(AND(OR(CF1783="L1",CF1783="L23",CF1783="LIFT"),AS1783&gt;0),SUMIFS($AS$7:$AS$1843,$CF$7:$CF$1843,CF1783,$AW$7:$AW$1843,"&gt;"&amp;AW1783)+SUMIFS($AS$7:$AS$1843,$CF$7:$CF$1843,CF1783,$AW$7:$AW$1843,AW1783,$BW$7:$BW$1843,"&lt;="&amp;BW1783),"")</f>
        <v/>
      </c>
      <c r="AY1783" s="58" t="n">
        <f aca="false">IF(AX1783="",0,MAX(0,MIN(1,(IF(CF1783="L1",Parameter!$H$5,IF(CF1783="L23",Parameter!$H$6+Parameter!$H$7,Parameter!$H$5+Parameter!$H$6+Parameter!$H$7))-(AX1783-AS1783))/AS1783)))</f>
        <v>0</v>
      </c>
      <c r="AZ1783" s="50" t="n">
        <f aca="false">IF(LEFT(Cockpit!$O$5,1)="A",H1783,IF(Parameter!$E$30="MAX-Bestand",IF(CH1783=1,CI1783,IF(LEFT(Cockpit!$O$5,1)="B",BF1783,MAX(BF1783,H1783))),ROUNDUP(BD1783,0)))</f>
        <v>0</v>
      </c>
      <c r="BA1783" s="50" t="n">
        <f aca="false">IF(BZ1783=1,0,ROUNDUP(AZ1783/BY1783,0))</f>
        <v>0</v>
      </c>
      <c r="BB1783" s="52" t="n">
        <f aca="false">IF(CQ1783&gt;0,CQ1783*MAX(1,AZ1783/X1783),IF(BZ1783=1,IF(AZ1783&lt;=0,0,CD1783*MAX(1,IF(H1783&gt;0,AZ1783/H1783,1))),IF(R1783&gt;0,BA1783/R1783,0))/MAX(0.1,N(Parameter!$M$21)))</f>
        <v>0</v>
      </c>
      <c r="BC1783" s="50" t="n">
        <f aca="false">BB1783*CB1783</f>
        <v>0</v>
      </c>
      <c r="BD1783" s="51" t="n">
        <f aca="false">IF(LEFT(Cockpit!$O$5,1)="A",H1783,IF(CH1783=1,(CK1783+CI1783)/2,IF(LEFT(Cockpit!$O$5,1)="B",(CK1783+BF1783)/2,MAX((CK1783+BF1783)/2,H1783))))</f>
        <v>0</v>
      </c>
      <c r="BE1783" s="50" t="n">
        <f aca="false">BD1783*G1783</f>
        <v>0</v>
      </c>
      <c r="BF1783" s="50" t="n">
        <f aca="false">ROUNDUP(CK1783+MAX(CL1783,2*(J1783/IF(CG1783&gt;0,CG1783,MAX(0.1,N(Cockpit!$O$6)))-CK1783)),0)</f>
        <v>0</v>
      </c>
      <c r="BG1783" s="51" t="n">
        <f aca="false">IF(BC1783&gt;0,J1783/BC1783,-1)</f>
        <v>-1</v>
      </c>
      <c r="BH1783" s="51" t="str">
        <f aca="false">IF(AND(OR(CF1783="L1",CF1783="L23",CF1783="LIFT"),BC1783&gt;0),SUMIFS($BC$7:$BC$1843,$CF$7:$CF$1843,CF1783,$BG$7:$BG$1843,"&gt;"&amp;BG1783)+SUMIFS($BC$7:$BC$1843,$CF$7:$CF$1843,CF1783,$BG$7:$BG$1843,BG1783,$BW$7:$BW$1843,"&lt;="&amp;BW1783),"")</f>
        <v/>
      </c>
      <c r="BI1783" s="58" t="n">
        <f aca="false">IF(BH1783="",0,MAX(0,MIN(1,(IF(CF1783="L1",Parameter!$H$5,IF(CF1783="L23",Parameter!$H$6+Parameter!$H$7,Parameter!$H$5+Parameter!$H$6+Parameter!$H$7))-(BH1783-BC1783))/BC1783)))</f>
        <v>0</v>
      </c>
      <c r="BJ1783" s="48" t="str">
        <f aca="false">IF(AI1783&lt;=0,"",IF(CF1783="Aussen","Aussenlager",IF(CF1783="-","Nicht im Lift",IF(AO1783&gt;=1,"Lift",IF(AO1783&lt;=0,"Aussenlager","teilweise")))))</f>
        <v/>
      </c>
      <c r="BK1783" s="48" t="str">
        <f aca="false">IF(AS1783&lt;=0,"",IF(CF1783="Aussen","Aussenlager",IF(CF1783="-","Nicht im Lift",IF(AY1783&gt;=1,"Lift",IF(AY1783&lt;=0,"Aussenlager","teilweise")))))</f>
        <v/>
      </c>
      <c r="BL1783" s="48" t="str">
        <f aca="false">IF(BC1783&lt;=0,"",IF(CF1783="Aussen","Aussenlager",IF(CF1783="-","Nicht im Lift",IF(BI1783&gt;=1,"Lift",IF(BI1783&lt;=0,"Aussenlager","teilweise")))))</f>
        <v/>
      </c>
      <c r="BM1783" s="48" t="str">
        <f aca="false">IF(A1783="","",IF(BV1783=1,"Neu; ","")&amp;IF(AND(BV1783=0,BQ1783&lt;0),"negativer Bestand (Export "&amp;BQ1783&amp;"); ","")&amp;IF(J1783&lt;=0,"Kein Verbrauch; ","")&amp;IF(CQ1783&gt;0,"Lift "&amp;W1783&amp;" lt. Liftbericht (Fach "&amp;X1783&amp;" Stk); ",IF(CA1783=1,"Gebinde geschätzt ("&amp;T1783&amp;"); ",IF(BZ1783=1,"Lose – Tablare geschätzt; ","")))&amp;IF(H1783&gt;AV1783,"Überbestand "&amp;ROUND(H1783-AV1783,0)&amp;" Stk / CHF "&amp;ROUND((H1783-AV1783)*G1783,0)&amp;"; ","")&amp;IF(AND(CH1783=1,CI1783&lt;CJ1783),"MAX &lt; MB+LG; ","")&amp;IF(AND(CP1783&gt;0,CO1783*10&gt;CP1783),"zu hoch für Tablar; ","")&amp;IF(AND(BV1783=0,OR(CH1783=1,AA1783&lt;&gt;"",U1783&lt;&gt;"",V1783&lt;&gt;"",AB1783&lt;&gt;"")),"manuell übersteuert; ","")&amp;IF(AND(BZ1783=0,R1783=0),"Gebinde unbekannt / Stellmass fehlt; ","")&amp;IF(AND(BZ1783=0,N(V1783)&lt;=0,N(Q1783)&lt;=0),"Menge pro Gebinde fehlt (Ist = 1 Gebinde); ","")&amp;BU1783)</f>
        <v/>
      </c>
      <c r="BN1783" s="48"/>
      <c r="BO1783" s="48"/>
      <c r="BP1783" s="55"/>
      <c r="BQ1783" s="50" t="n">
        <f aca="false">N('Neue Artikel'!$D$44)</f>
        <v>0</v>
      </c>
      <c r="BR1783" s="50" t="n">
        <v>0</v>
      </c>
      <c r="BS1783" s="49" t="n">
        <v>0</v>
      </c>
      <c r="BT1783" s="50" t="n">
        <f aca="false">N('Neue Artikel'!$C$44)/Parameter!$B$18</f>
        <v>0</v>
      </c>
      <c r="BU1783" s="48"/>
      <c r="BV1783" s="53" t="n">
        <v>1</v>
      </c>
      <c r="BW1783" s="53" t="n">
        <v>1783</v>
      </c>
      <c r="BX1783" s="48" t="str">
        <f aca="false">IF(U1783&lt;&gt;"",UPPER(TRIM(U1783)),IF(CA1783=1,UPPER(VLOOKUP(T1783,Parameter!$I$27:$K$29,2,0)),IF(P1783="","LOSE",P1783)))</f>
        <v>LOSE</v>
      </c>
      <c r="BY1783" s="50" t="n">
        <f aca="false">IF(BX1783="LOSE",1,IF(N(V1783)&gt;0,V1783,IF(CA1783=1,MAX(1,N(VLOOKUP(T1783,Parameter!$I$27:$K$29,3,0)),H1783,N(N1783)),IF(N(Q1783)&gt;0,Q1783,MAX(1,H1783)))))</f>
        <v>1</v>
      </c>
      <c r="BZ1783" s="53" t="n">
        <f aca="false">IF(BX1783="LOSE",1,0)</f>
        <v>1</v>
      </c>
      <c r="CA1783" s="53" t="n">
        <f aca="false">IF(AND(U1783="",OR(P1783="",P1783="LOSE"),T1783&lt;&gt;"",N(S1783)&lt;=0,ISNUMBER(MATCH(T1783,Parameter!$I$27:$I$29,0))),1,0)</f>
        <v>0</v>
      </c>
      <c r="CB1783" s="53" t="n">
        <f aca="false">IF(CQ1783&gt;0,INDEX(Parameter!$H$5:$H$7,W1783)/INDEX(Parameter!$E$5:$E$7,W1783),IF(AND(BZ1783=0,N(IFERROR(VLOOKUP(BX1783,'Gebinde-Kategorie'!$A$5:$N$45,14,0),0))&gt;0),VLOOKUP(BX1783,'Gebinde-Kategorie'!$A$5:$N$45,14,0)*10+Parameter!$M$23,Parameter!$M$24))</f>
        <v>235</v>
      </c>
      <c r="CC1783" s="48" t="str">
        <f aca="false">IF(AND(Parameter!$B$19="Ja",E1783&lt;&gt;"",ISNUMBER(MATCH(E1783,Parameter!$I$35:$I$52,0))),VLOOKUP(E1783,Parameter!$I$35:$J$52,2,0),IFERROR(VLOOKUP(D1783,Parameter!$A$35:$C$64,2,0),"Nein"))</f>
        <v>2+3</v>
      </c>
      <c r="CD1783" s="52" t="n">
        <f aca="false">IF(BZ1783=0,0,IF(N(S1783)&gt;0,S1783,IFERROR(VLOOKUP(D1783,Parameter!$A$35:$C$64,3,0)+0,0)))</f>
        <v>0.15</v>
      </c>
      <c r="CE1783" s="48" t="str">
        <f aca="false">IF(AA1783&lt;&gt;"",AA1783,Z1783)</f>
        <v/>
      </c>
      <c r="CF1783" s="48" t="str">
        <f aca="false">IF(OR(CE1783=1,CE1783=2,CE1783=3),IF(Parameter!$E$27="Ja","LIFT",IF(CE1783=1,"L1","L23")),IF(CE1783="Aussen","Aussen","-"))</f>
        <v>-</v>
      </c>
      <c r="CG1783" s="59" t="n">
        <f aca="false">IF(N(AB1783)&gt;0,AB1783,0)</f>
        <v>0</v>
      </c>
      <c r="CH1783" s="53" t="n">
        <f aca="false">IF(ISNUMBER(AE1783),1,0)</f>
        <v>0</v>
      </c>
      <c r="CI1783" s="50" t="n">
        <f aca="false">N(AE1783)</f>
        <v>0</v>
      </c>
      <c r="CJ1783" s="50" t="n">
        <f aca="false">N(M1783)+N(N1783)</f>
        <v>0</v>
      </c>
      <c r="CK1783" s="50" t="n">
        <f aca="false">N(M1783)</f>
        <v>0</v>
      </c>
      <c r="CL1783" s="50" t="n">
        <f aca="false">N(N1783)</f>
        <v>0</v>
      </c>
      <c r="CM1783" s="50" t="n">
        <f aca="false">ROUNDUP(H1783/BY1783,0)</f>
        <v>0</v>
      </c>
      <c r="CN1783" s="50" t="n">
        <f aca="false">ROUNDUP(CI1783/BY1783,0)</f>
        <v>0</v>
      </c>
      <c r="CO1783" s="53" t="n">
        <f aca="false">IF(BZ1783=1,0,IFERROR(VLOOKUP(BX1783,'Gebinde-Kategorie'!$A$5:$N$45,5,0)+0,0))</f>
        <v>0</v>
      </c>
      <c r="CP1783" s="53" t="n">
        <f aca="false">IFERROR(IF(OR(CE1783=1,CE1783=2,CE1783=3),N(INDEX(Parameter!$I$5:$I$7,CE1783)),0),0)</f>
        <v>0</v>
      </c>
      <c r="CQ1783" s="52" t="n">
        <f aca="false">IF(AND(Parameter!$B$21="Ja",ISNUMBER(W1783),N(X1783)&gt;0),IFERROR(N(INDEX(Parameter!$L$5:$L$7,W1783))*INDEX(Parameter!$E$5:$E$7,W1783)*X1783/SUMIFS($X$7:$X$1843,$W$7:$W$1843,W1783),0),0)</f>
        <v>0</v>
      </c>
    </row>
    <row r="1784" customFormat="false" ht="15" hidden="false" customHeight="false" outlineLevel="0" collapsed="false">
      <c r="A1784" s="48" t="str">
        <f aca="false">IF('Neue Artikel'!$A$45="","",'Neue Artikel'!$A$45&amp;"")</f>
        <v/>
      </c>
      <c r="B1784" s="48" t="str">
        <f aca="false">'Neue Artikel'!$B$45&amp;""</f>
        <v/>
      </c>
      <c r="C1784" s="48"/>
      <c r="D1784" s="48" t="s">
        <v>3024</v>
      </c>
      <c r="E1784" s="48"/>
      <c r="F1784" s="48"/>
      <c r="G1784" s="49" t="n">
        <f aca="false">N('Neue Artikel'!$G$45)</f>
        <v>0</v>
      </c>
      <c r="H1784" s="50" t="n">
        <f aca="false">MAX(0,IF(AND(Parameter!$B$21="Ja",ISNUMBER(Y1784)),Y1784,IF(Parameter!$B$20="Jahresanfang 2025 + Export",BR1784+BQ1784,BQ1784)))</f>
        <v>0</v>
      </c>
      <c r="I1784" s="50" t="n">
        <f aca="false">H1784*G1784</f>
        <v>0</v>
      </c>
      <c r="J1784" s="50" t="n">
        <f aca="false">BT1784*Parameter!$B$18</f>
        <v>0</v>
      </c>
      <c r="K1784" s="51"/>
      <c r="L1784" s="52"/>
      <c r="M1784" s="50" t="n">
        <f aca="false">N('Neue Artikel'!$E$45)</f>
        <v>0</v>
      </c>
      <c r="N1784" s="50" t="n">
        <f aca="false">N('Neue Artikel'!$F$45)</f>
        <v>0</v>
      </c>
      <c r="O1784" s="53"/>
      <c r="P1784" s="48" t="str">
        <f aca="false">IF('Neue Artikel'!$H$45="","LOSE",UPPER(TRIM('Neue Artikel'!$H$45)))</f>
        <v>LOSE</v>
      </c>
      <c r="Q1784" s="50" t="n">
        <f aca="false">N('Neue Artikel'!$I$45)</f>
        <v>0</v>
      </c>
      <c r="R1784" s="53" t="n">
        <f aca="false">IF(BZ1784=1,0,IFERROR(VLOOKUP(BX1784,'Gebinde-Kategorie'!$A$5:$N$45,13,0)+0,0))</f>
        <v>0</v>
      </c>
      <c r="S1784" s="54"/>
      <c r="T1784" s="55"/>
      <c r="U1784" s="55"/>
      <c r="V1784" s="55"/>
      <c r="W1784" s="48"/>
      <c r="X1784" s="50"/>
      <c r="Y1784" s="50"/>
      <c r="Z1784" s="48" t="str">
        <f aca="false">IF(A1784="","",IF(AND(Parameter!$B$21="Ja",ISNUMBER(W1784)),W1784,IF(CC1784="2+3",IF(ISNUMBER(SEARCH("grosser Artikel",BU1784)),2,IFERROR(VLOOKUP(BX1784,Parameter!$F$35:$G$64,2,0),2)),IF(OR(CC1784="Nein",CC1784=""),"-",CC1784))))</f>
        <v/>
      </c>
      <c r="AA1784" s="48" t="str">
        <f aca="false">IF('Neue Artikel'!$J$45="","",'Neue Artikel'!$J$45)</f>
        <v/>
      </c>
      <c r="AB1784" s="56"/>
      <c r="AC1784" s="50" t="n">
        <f aca="false">AV1784</f>
        <v>0</v>
      </c>
      <c r="AD1784" s="50" t="n">
        <f aca="false">MAX(AV1784,H1784)</f>
        <v>0</v>
      </c>
      <c r="AE1784" s="57"/>
      <c r="AF1784" s="50" t="n">
        <f aca="false">IF(LEFT(Cockpit!$C$5,1)="A",H1784,IF(Parameter!$E$30="MAX-Bestand",IF(CH1784=1,CI1784,IF(LEFT(Cockpit!$C$5,1)="B",AL1784,MAX(AL1784,H1784))),ROUNDUP(AJ1784,0)))</f>
        <v>0</v>
      </c>
      <c r="AG1784" s="50" t="n">
        <f aca="false">IF(BZ1784=1,0,ROUNDUP(AF1784/BY1784,0))</f>
        <v>0</v>
      </c>
      <c r="AH1784" s="52" t="n">
        <f aca="false">IF(CQ1784&gt;0,CQ1784*MAX(1,AF1784/X1784),IF(BZ1784=1,IF(AF1784&lt;=0,0,CD1784*MAX(1,IF(H1784&gt;0,AF1784/H1784,1))),IF(R1784&gt;0,AG1784/R1784,0))/MAX(0.1,N(Parameter!$M$21)))</f>
        <v>0</v>
      </c>
      <c r="AI1784" s="50" t="n">
        <f aca="false">AH1784*CB1784</f>
        <v>0</v>
      </c>
      <c r="AJ1784" s="51" t="n">
        <f aca="false">IF(LEFT(Cockpit!$C$5,1)="A",H1784,IF(CH1784=1,(CK1784+CI1784)/2,IF(LEFT(Cockpit!$C$5,1)="B",(CK1784+AL1784)/2,MAX((CK1784+AL1784)/2,H1784))))</f>
        <v>0</v>
      </c>
      <c r="AK1784" s="50" t="n">
        <f aca="false">AJ1784*G1784</f>
        <v>0</v>
      </c>
      <c r="AL1784" s="50" t="n">
        <f aca="false">ROUNDUP(CK1784+MAX(CL1784,2*(J1784/IF(CG1784&gt;0,CG1784,MAX(0.1,N(Cockpit!$C$6)))-CK1784)),0)</f>
        <v>0</v>
      </c>
      <c r="AM1784" s="51" t="n">
        <f aca="false">IF(AI1784&gt;0,J1784/AI1784,-1)</f>
        <v>-1</v>
      </c>
      <c r="AN1784" s="51" t="str">
        <f aca="false">IF(AND(OR(CF1784="L1",CF1784="L23",CF1784="LIFT"),AI1784&gt;0),SUMIFS($AI$7:$AI$1843,$CF$7:$CF$1843,CF1784,$AM$7:$AM$1843,"&gt;"&amp;AM1784)+SUMIFS($AI$7:$AI$1843,$CF$7:$CF$1843,CF1784,$AM$7:$AM$1843,AM1784,$BW$7:$BW$1843,"&lt;="&amp;BW1784),"")</f>
        <v/>
      </c>
      <c r="AO1784" s="58" t="n">
        <f aca="false">IF(AN1784="",0,MAX(0,MIN(1,(IF(CF1784="L1",Parameter!$H$5,IF(CF1784="L23",Parameter!$H$6+Parameter!$H$7,Parameter!$H$5+Parameter!$H$6+Parameter!$H$7))-(AN1784-AI1784))/AI1784)))</f>
        <v>0</v>
      </c>
      <c r="AP1784" s="50" t="n">
        <f aca="false">IF(LEFT(Cockpit!$I$5,1)="A",H1784,IF(Parameter!$E$30="MAX-Bestand",IF(CH1784=1,CI1784,IF(LEFT(Cockpit!$I$5,1)="B",AV1784,MAX(AV1784,H1784))),ROUNDUP(AT1784,0)))</f>
        <v>0</v>
      </c>
      <c r="AQ1784" s="50" t="n">
        <f aca="false">IF(BZ1784=1,0,ROUNDUP(AP1784/BY1784,0))</f>
        <v>0</v>
      </c>
      <c r="AR1784" s="52" t="n">
        <f aca="false">IF(CQ1784&gt;0,CQ1784*MAX(1,AP1784/X1784),IF(BZ1784=1,IF(AP1784&lt;=0,0,CD1784*MAX(1,IF(H1784&gt;0,AP1784/H1784,1))),IF(R1784&gt;0,AQ1784/R1784,0))/MAX(0.1,N(Parameter!$M$21)))</f>
        <v>0</v>
      </c>
      <c r="AS1784" s="50" t="n">
        <f aca="false">AR1784*CB1784</f>
        <v>0</v>
      </c>
      <c r="AT1784" s="51" t="n">
        <f aca="false">IF(LEFT(Cockpit!$I$5,1)="A",H1784,IF(CH1784=1,(CK1784+CI1784)/2,IF(LEFT(Cockpit!$I$5,1)="B",(CK1784+AV1784)/2,MAX((CK1784+AV1784)/2,H1784))))</f>
        <v>0</v>
      </c>
      <c r="AU1784" s="50" t="n">
        <f aca="false">AT1784*G1784</f>
        <v>0</v>
      </c>
      <c r="AV1784" s="50" t="n">
        <f aca="false">ROUNDUP(CK1784+MAX(CL1784,2*(J1784/IF(CG1784&gt;0,CG1784,MAX(0.1,N(Cockpit!$I$6)))-CK1784)),0)</f>
        <v>0</v>
      </c>
      <c r="AW1784" s="51" t="n">
        <f aca="false">IF(AS1784&gt;0,J1784/AS1784,-1)</f>
        <v>-1</v>
      </c>
      <c r="AX1784" s="51" t="str">
        <f aca="false">IF(AND(OR(CF1784="L1",CF1784="L23",CF1784="LIFT"),AS1784&gt;0),SUMIFS($AS$7:$AS$1843,$CF$7:$CF$1843,CF1784,$AW$7:$AW$1843,"&gt;"&amp;AW1784)+SUMIFS($AS$7:$AS$1843,$CF$7:$CF$1843,CF1784,$AW$7:$AW$1843,AW1784,$BW$7:$BW$1843,"&lt;="&amp;BW1784),"")</f>
        <v/>
      </c>
      <c r="AY1784" s="58" t="n">
        <f aca="false">IF(AX1784="",0,MAX(0,MIN(1,(IF(CF1784="L1",Parameter!$H$5,IF(CF1784="L23",Parameter!$H$6+Parameter!$H$7,Parameter!$H$5+Parameter!$H$6+Parameter!$H$7))-(AX1784-AS1784))/AS1784)))</f>
        <v>0</v>
      </c>
      <c r="AZ1784" s="50" t="n">
        <f aca="false">IF(LEFT(Cockpit!$O$5,1)="A",H1784,IF(Parameter!$E$30="MAX-Bestand",IF(CH1784=1,CI1784,IF(LEFT(Cockpit!$O$5,1)="B",BF1784,MAX(BF1784,H1784))),ROUNDUP(BD1784,0)))</f>
        <v>0</v>
      </c>
      <c r="BA1784" s="50" t="n">
        <f aca="false">IF(BZ1784=1,0,ROUNDUP(AZ1784/BY1784,0))</f>
        <v>0</v>
      </c>
      <c r="BB1784" s="52" t="n">
        <f aca="false">IF(CQ1784&gt;0,CQ1784*MAX(1,AZ1784/X1784),IF(BZ1784=1,IF(AZ1784&lt;=0,0,CD1784*MAX(1,IF(H1784&gt;0,AZ1784/H1784,1))),IF(R1784&gt;0,BA1784/R1784,0))/MAX(0.1,N(Parameter!$M$21)))</f>
        <v>0</v>
      </c>
      <c r="BC1784" s="50" t="n">
        <f aca="false">BB1784*CB1784</f>
        <v>0</v>
      </c>
      <c r="BD1784" s="51" t="n">
        <f aca="false">IF(LEFT(Cockpit!$O$5,1)="A",H1784,IF(CH1784=1,(CK1784+CI1784)/2,IF(LEFT(Cockpit!$O$5,1)="B",(CK1784+BF1784)/2,MAX((CK1784+BF1784)/2,H1784))))</f>
        <v>0</v>
      </c>
      <c r="BE1784" s="50" t="n">
        <f aca="false">BD1784*G1784</f>
        <v>0</v>
      </c>
      <c r="BF1784" s="50" t="n">
        <f aca="false">ROUNDUP(CK1784+MAX(CL1784,2*(J1784/IF(CG1784&gt;0,CG1784,MAX(0.1,N(Cockpit!$O$6)))-CK1784)),0)</f>
        <v>0</v>
      </c>
      <c r="BG1784" s="51" t="n">
        <f aca="false">IF(BC1784&gt;0,J1784/BC1784,-1)</f>
        <v>-1</v>
      </c>
      <c r="BH1784" s="51" t="str">
        <f aca="false">IF(AND(OR(CF1784="L1",CF1784="L23",CF1784="LIFT"),BC1784&gt;0),SUMIFS($BC$7:$BC$1843,$CF$7:$CF$1843,CF1784,$BG$7:$BG$1843,"&gt;"&amp;BG1784)+SUMIFS($BC$7:$BC$1843,$CF$7:$CF$1843,CF1784,$BG$7:$BG$1843,BG1784,$BW$7:$BW$1843,"&lt;="&amp;BW1784),"")</f>
        <v/>
      </c>
      <c r="BI1784" s="58" t="n">
        <f aca="false">IF(BH1784="",0,MAX(0,MIN(1,(IF(CF1784="L1",Parameter!$H$5,IF(CF1784="L23",Parameter!$H$6+Parameter!$H$7,Parameter!$H$5+Parameter!$H$6+Parameter!$H$7))-(BH1784-BC1784))/BC1784)))</f>
        <v>0</v>
      </c>
      <c r="BJ1784" s="48" t="str">
        <f aca="false">IF(AI1784&lt;=0,"",IF(CF1784="Aussen","Aussenlager",IF(CF1784="-","Nicht im Lift",IF(AO1784&gt;=1,"Lift",IF(AO1784&lt;=0,"Aussenlager","teilweise")))))</f>
        <v/>
      </c>
      <c r="BK1784" s="48" t="str">
        <f aca="false">IF(AS1784&lt;=0,"",IF(CF1784="Aussen","Aussenlager",IF(CF1784="-","Nicht im Lift",IF(AY1784&gt;=1,"Lift",IF(AY1784&lt;=0,"Aussenlager","teilweise")))))</f>
        <v/>
      </c>
      <c r="BL1784" s="48" t="str">
        <f aca="false">IF(BC1784&lt;=0,"",IF(CF1784="Aussen","Aussenlager",IF(CF1784="-","Nicht im Lift",IF(BI1784&gt;=1,"Lift",IF(BI1784&lt;=0,"Aussenlager","teilweise")))))</f>
        <v/>
      </c>
      <c r="BM1784" s="48" t="str">
        <f aca="false">IF(A1784="","",IF(BV1784=1,"Neu; ","")&amp;IF(AND(BV1784=0,BQ1784&lt;0),"negativer Bestand (Export "&amp;BQ1784&amp;"); ","")&amp;IF(J1784&lt;=0,"Kein Verbrauch; ","")&amp;IF(CQ1784&gt;0,"Lift "&amp;W1784&amp;" lt. Liftbericht (Fach "&amp;X1784&amp;" Stk); ",IF(CA1784=1,"Gebinde geschätzt ("&amp;T1784&amp;"); ",IF(BZ1784=1,"Lose – Tablare geschätzt; ","")))&amp;IF(H1784&gt;AV1784,"Überbestand "&amp;ROUND(H1784-AV1784,0)&amp;" Stk / CHF "&amp;ROUND((H1784-AV1784)*G1784,0)&amp;"; ","")&amp;IF(AND(CH1784=1,CI1784&lt;CJ1784),"MAX &lt; MB+LG; ","")&amp;IF(AND(CP1784&gt;0,CO1784*10&gt;CP1784),"zu hoch für Tablar; ","")&amp;IF(AND(BV1784=0,OR(CH1784=1,AA1784&lt;&gt;"",U1784&lt;&gt;"",V1784&lt;&gt;"",AB1784&lt;&gt;"")),"manuell übersteuert; ","")&amp;IF(AND(BZ1784=0,R1784=0),"Gebinde unbekannt / Stellmass fehlt; ","")&amp;IF(AND(BZ1784=0,N(V1784)&lt;=0,N(Q1784)&lt;=0),"Menge pro Gebinde fehlt (Ist = 1 Gebinde); ","")&amp;BU1784)</f>
        <v/>
      </c>
      <c r="BN1784" s="48"/>
      <c r="BO1784" s="48"/>
      <c r="BP1784" s="55"/>
      <c r="BQ1784" s="50" t="n">
        <f aca="false">N('Neue Artikel'!$D$45)</f>
        <v>0</v>
      </c>
      <c r="BR1784" s="50" t="n">
        <v>0</v>
      </c>
      <c r="BS1784" s="49" t="n">
        <v>0</v>
      </c>
      <c r="BT1784" s="50" t="n">
        <f aca="false">N('Neue Artikel'!$C$45)/Parameter!$B$18</f>
        <v>0</v>
      </c>
      <c r="BU1784" s="48"/>
      <c r="BV1784" s="53" t="n">
        <v>1</v>
      </c>
      <c r="BW1784" s="53" t="n">
        <v>1784</v>
      </c>
      <c r="BX1784" s="48" t="str">
        <f aca="false">IF(U1784&lt;&gt;"",UPPER(TRIM(U1784)),IF(CA1784=1,UPPER(VLOOKUP(T1784,Parameter!$I$27:$K$29,2,0)),IF(P1784="","LOSE",P1784)))</f>
        <v>LOSE</v>
      </c>
      <c r="BY1784" s="50" t="n">
        <f aca="false">IF(BX1784="LOSE",1,IF(N(V1784)&gt;0,V1784,IF(CA1784=1,MAX(1,N(VLOOKUP(T1784,Parameter!$I$27:$K$29,3,0)),H1784,N(N1784)),IF(N(Q1784)&gt;0,Q1784,MAX(1,H1784)))))</f>
        <v>1</v>
      </c>
      <c r="BZ1784" s="53" t="n">
        <f aca="false">IF(BX1784="LOSE",1,0)</f>
        <v>1</v>
      </c>
      <c r="CA1784" s="53" t="n">
        <f aca="false">IF(AND(U1784="",OR(P1784="",P1784="LOSE"),T1784&lt;&gt;"",N(S1784)&lt;=0,ISNUMBER(MATCH(T1784,Parameter!$I$27:$I$29,0))),1,0)</f>
        <v>0</v>
      </c>
      <c r="CB1784" s="53" t="n">
        <f aca="false">IF(CQ1784&gt;0,INDEX(Parameter!$H$5:$H$7,W1784)/INDEX(Parameter!$E$5:$E$7,W1784),IF(AND(BZ1784=0,N(IFERROR(VLOOKUP(BX1784,'Gebinde-Kategorie'!$A$5:$N$45,14,0),0))&gt;0),VLOOKUP(BX1784,'Gebinde-Kategorie'!$A$5:$N$45,14,0)*10+Parameter!$M$23,Parameter!$M$24))</f>
        <v>235</v>
      </c>
      <c r="CC1784" s="48" t="str">
        <f aca="false">IF(AND(Parameter!$B$19="Ja",E1784&lt;&gt;"",ISNUMBER(MATCH(E1784,Parameter!$I$35:$I$52,0))),VLOOKUP(E1784,Parameter!$I$35:$J$52,2,0),IFERROR(VLOOKUP(D1784,Parameter!$A$35:$C$64,2,0),"Nein"))</f>
        <v>2+3</v>
      </c>
      <c r="CD1784" s="52" t="n">
        <f aca="false">IF(BZ1784=0,0,IF(N(S1784)&gt;0,S1784,IFERROR(VLOOKUP(D1784,Parameter!$A$35:$C$64,3,0)+0,0)))</f>
        <v>0.15</v>
      </c>
      <c r="CE1784" s="48" t="str">
        <f aca="false">IF(AA1784&lt;&gt;"",AA1784,Z1784)</f>
        <v/>
      </c>
      <c r="CF1784" s="48" t="str">
        <f aca="false">IF(OR(CE1784=1,CE1784=2,CE1784=3),IF(Parameter!$E$27="Ja","LIFT",IF(CE1784=1,"L1","L23")),IF(CE1784="Aussen","Aussen","-"))</f>
        <v>-</v>
      </c>
      <c r="CG1784" s="59" t="n">
        <f aca="false">IF(N(AB1784)&gt;0,AB1784,0)</f>
        <v>0</v>
      </c>
      <c r="CH1784" s="53" t="n">
        <f aca="false">IF(ISNUMBER(AE1784),1,0)</f>
        <v>0</v>
      </c>
      <c r="CI1784" s="50" t="n">
        <f aca="false">N(AE1784)</f>
        <v>0</v>
      </c>
      <c r="CJ1784" s="50" t="n">
        <f aca="false">N(M1784)+N(N1784)</f>
        <v>0</v>
      </c>
      <c r="CK1784" s="50" t="n">
        <f aca="false">N(M1784)</f>
        <v>0</v>
      </c>
      <c r="CL1784" s="50" t="n">
        <f aca="false">N(N1784)</f>
        <v>0</v>
      </c>
      <c r="CM1784" s="50" t="n">
        <f aca="false">ROUNDUP(H1784/BY1784,0)</f>
        <v>0</v>
      </c>
      <c r="CN1784" s="50" t="n">
        <f aca="false">ROUNDUP(CI1784/BY1784,0)</f>
        <v>0</v>
      </c>
      <c r="CO1784" s="53" t="n">
        <f aca="false">IF(BZ1784=1,0,IFERROR(VLOOKUP(BX1784,'Gebinde-Kategorie'!$A$5:$N$45,5,0)+0,0))</f>
        <v>0</v>
      </c>
      <c r="CP1784" s="53" t="n">
        <f aca="false">IFERROR(IF(OR(CE1784=1,CE1784=2,CE1784=3),N(INDEX(Parameter!$I$5:$I$7,CE1784)),0),0)</f>
        <v>0</v>
      </c>
      <c r="CQ1784" s="52" t="n">
        <f aca="false">IF(AND(Parameter!$B$21="Ja",ISNUMBER(W1784),N(X1784)&gt;0),IFERROR(N(INDEX(Parameter!$L$5:$L$7,W1784))*INDEX(Parameter!$E$5:$E$7,W1784)*X1784/SUMIFS($X$7:$X$1843,$W$7:$W$1843,W1784),0),0)</f>
        <v>0</v>
      </c>
    </row>
    <row r="1785" customFormat="false" ht="15" hidden="false" customHeight="false" outlineLevel="0" collapsed="false">
      <c r="A1785" s="48" t="str">
        <f aca="false">IF('Neue Artikel'!$A$46="","",'Neue Artikel'!$A$46&amp;"")</f>
        <v/>
      </c>
      <c r="B1785" s="48" t="str">
        <f aca="false">'Neue Artikel'!$B$46&amp;""</f>
        <v/>
      </c>
      <c r="C1785" s="48"/>
      <c r="D1785" s="48" t="s">
        <v>3024</v>
      </c>
      <c r="E1785" s="48"/>
      <c r="F1785" s="48"/>
      <c r="G1785" s="49" t="n">
        <f aca="false">N('Neue Artikel'!$G$46)</f>
        <v>0</v>
      </c>
      <c r="H1785" s="50" t="n">
        <f aca="false">MAX(0,IF(AND(Parameter!$B$21="Ja",ISNUMBER(Y1785)),Y1785,IF(Parameter!$B$20="Jahresanfang 2025 + Export",BR1785+BQ1785,BQ1785)))</f>
        <v>0</v>
      </c>
      <c r="I1785" s="50" t="n">
        <f aca="false">H1785*G1785</f>
        <v>0</v>
      </c>
      <c r="J1785" s="50" t="n">
        <f aca="false">BT1785*Parameter!$B$18</f>
        <v>0</v>
      </c>
      <c r="K1785" s="51"/>
      <c r="L1785" s="52"/>
      <c r="M1785" s="50" t="n">
        <f aca="false">N('Neue Artikel'!$E$46)</f>
        <v>0</v>
      </c>
      <c r="N1785" s="50" t="n">
        <f aca="false">N('Neue Artikel'!$F$46)</f>
        <v>0</v>
      </c>
      <c r="O1785" s="53"/>
      <c r="P1785" s="48" t="str">
        <f aca="false">IF('Neue Artikel'!$H$46="","LOSE",UPPER(TRIM('Neue Artikel'!$H$46)))</f>
        <v>LOSE</v>
      </c>
      <c r="Q1785" s="50" t="n">
        <f aca="false">N('Neue Artikel'!$I$46)</f>
        <v>0</v>
      </c>
      <c r="R1785" s="53" t="n">
        <f aca="false">IF(BZ1785=1,0,IFERROR(VLOOKUP(BX1785,'Gebinde-Kategorie'!$A$5:$N$45,13,0)+0,0))</f>
        <v>0</v>
      </c>
      <c r="S1785" s="54"/>
      <c r="T1785" s="55"/>
      <c r="U1785" s="55"/>
      <c r="V1785" s="55"/>
      <c r="W1785" s="48"/>
      <c r="X1785" s="50"/>
      <c r="Y1785" s="50"/>
      <c r="Z1785" s="48" t="str">
        <f aca="false">IF(A1785="","",IF(AND(Parameter!$B$21="Ja",ISNUMBER(W1785)),W1785,IF(CC1785="2+3",IF(ISNUMBER(SEARCH("grosser Artikel",BU1785)),2,IFERROR(VLOOKUP(BX1785,Parameter!$F$35:$G$64,2,0),2)),IF(OR(CC1785="Nein",CC1785=""),"-",CC1785))))</f>
        <v/>
      </c>
      <c r="AA1785" s="48" t="str">
        <f aca="false">IF('Neue Artikel'!$J$46="","",'Neue Artikel'!$J$46)</f>
        <v/>
      </c>
      <c r="AB1785" s="56"/>
      <c r="AC1785" s="50" t="n">
        <f aca="false">AV1785</f>
        <v>0</v>
      </c>
      <c r="AD1785" s="50" t="n">
        <f aca="false">MAX(AV1785,H1785)</f>
        <v>0</v>
      </c>
      <c r="AE1785" s="57"/>
      <c r="AF1785" s="50" t="n">
        <f aca="false">IF(LEFT(Cockpit!$C$5,1)="A",H1785,IF(Parameter!$E$30="MAX-Bestand",IF(CH1785=1,CI1785,IF(LEFT(Cockpit!$C$5,1)="B",AL1785,MAX(AL1785,H1785))),ROUNDUP(AJ1785,0)))</f>
        <v>0</v>
      </c>
      <c r="AG1785" s="50" t="n">
        <f aca="false">IF(BZ1785=1,0,ROUNDUP(AF1785/BY1785,0))</f>
        <v>0</v>
      </c>
      <c r="AH1785" s="52" t="n">
        <f aca="false">IF(CQ1785&gt;0,CQ1785*MAX(1,AF1785/X1785),IF(BZ1785=1,IF(AF1785&lt;=0,0,CD1785*MAX(1,IF(H1785&gt;0,AF1785/H1785,1))),IF(R1785&gt;0,AG1785/R1785,0))/MAX(0.1,N(Parameter!$M$21)))</f>
        <v>0</v>
      </c>
      <c r="AI1785" s="50" t="n">
        <f aca="false">AH1785*CB1785</f>
        <v>0</v>
      </c>
      <c r="AJ1785" s="51" t="n">
        <f aca="false">IF(LEFT(Cockpit!$C$5,1)="A",H1785,IF(CH1785=1,(CK1785+CI1785)/2,IF(LEFT(Cockpit!$C$5,1)="B",(CK1785+AL1785)/2,MAX((CK1785+AL1785)/2,H1785))))</f>
        <v>0</v>
      </c>
      <c r="AK1785" s="50" t="n">
        <f aca="false">AJ1785*G1785</f>
        <v>0</v>
      </c>
      <c r="AL1785" s="50" t="n">
        <f aca="false">ROUNDUP(CK1785+MAX(CL1785,2*(J1785/IF(CG1785&gt;0,CG1785,MAX(0.1,N(Cockpit!$C$6)))-CK1785)),0)</f>
        <v>0</v>
      </c>
      <c r="AM1785" s="51" t="n">
        <f aca="false">IF(AI1785&gt;0,J1785/AI1785,-1)</f>
        <v>-1</v>
      </c>
      <c r="AN1785" s="51" t="str">
        <f aca="false">IF(AND(OR(CF1785="L1",CF1785="L23",CF1785="LIFT"),AI1785&gt;0),SUMIFS($AI$7:$AI$1843,$CF$7:$CF$1843,CF1785,$AM$7:$AM$1843,"&gt;"&amp;AM1785)+SUMIFS($AI$7:$AI$1843,$CF$7:$CF$1843,CF1785,$AM$7:$AM$1843,AM1785,$BW$7:$BW$1843,"&lt;="&amp;BW1785),"")</f>
        <v/>
      </c>
      <c r="AO1785" s="58" t="n">
        <f aca="false">IF(AN1785="",0,MAX(0,MIN(1,(IF(CF1785="L1",Parameter!$H$5,IF(CF1785="L23",Parameter!$H$6+Parameter!$H$7,Parameter!$H$5+Parameter!$H$6+Parameter!$H$7))-(AN1785-AI1785))/AI1785)))</f>
        <v>0</v>
      </c>
      <c r="AP1785" s="50" t="n">
        <f aca="false">IF(LEFT(Cockpit!$I$5,1)="A",H1785,IF(Parameter!$E$30="MAX-Bestand",IF(CH1785=1,CI1785,IF(LEFT(Cockpit!$I$5,1)="B",AV1785,MAX(AV1785,H1785))),ROUNDUP(AT1785,0)))</f>
        <v>0</v>
      </c>
      <c r="AQ1785" s="50" t="n">
        <f aca="false">IF(BZ1785=1,0,ROUNDUP(AP1785/BY1785,0))</f>
        <v>0</v>
      </c>
      <c r="AR1785" s="52" t="n">
        <f aca="false">IF(CQ1785&gt;0,CQ1785*MAX(1,AP1785/X1785),IF(BZ1785=1,IF(AP1785&lt;=0,0,CD1785*MAX(1,IF(H1785&gt;0,AP1785/H1785,1))),IF(R1785&gt;0,AQ1785/R1785,0))/MAX(0.1,N(Parameter!$M$21)))</f>
        <v>0</v>
      </c>
      <c r="AS1785" s="50" t="n">
        <f aca="false">AR1785*CB1785</f>
        <v>0</v>
      </c>
      <c r="AT1785" s="51" t="n">
        <f aca="false">IF(LEFT(Cockpit!$I$5,1)="A",H1785,IF(CH1785=1,(CK1785+CI1785)/2,IF(LEFT(Cockpit!$I$5,1)="B",(CK1785+AV1785)/2,MAX((CK1785+AV1785)/2,H1785))))</f>
        <v>0</v>
      </c>
      <c r="AU1785" s="50" t="n">
        <f aca="false">AT1785*G1785</f>
        <v>0</v>
      </c>
      <c r="AV1785" s="50" t="n">
        <f aca="false">ROUNDUP(CK1785+MAX(CL1785,2*(J1785/IF(CG1785&gt;0,CG1785,MAX(0.1,N(Cockpit!$I$6)))-CK1785)),0)</f>
        <v>0</v>
      </c>
      <c r="AW1785" s="51" t="n">
        <f aca="false">IF(AS1785&gt;0,J1785/AS1785,-1)</f>
        <v>-1</v>
      </c>
      <c r="AX1785" s="51" t="str">
        <f aca="false">IF(AND(OR(CF1785="L1",CF1785="L23",CF1785="LIFT"),AS1785&gt;0),SUMIFS($AS$7:$AS$1843,$CF$7:$CF$1843,CF1785,$AW$7:$AW$1843,"&gt;"&amp;AW1785)+SUMIFS($AS$7:$AS$1843,$CF$7:$CF$1843,CF1785,$AW$7:$AW$1843,AW1785,$BW$7:$BW$1843,"&lt;="&amp;BW1785),"")</f>
        <v/>
      </c>
      <c r="AY1785" s="58" t="n">
        <f aca="false">IF(AX1785="",0,MAX(0,MIN(1,(IF(CF1785="L1",Parameter!$H$5,IF(CF1785="L23",Parameter!$H$6+Parameter!$H$7,Parameter!$H$5+Parameter!$H$6+Parameter!$H$7))-(AX1785-AS1785))/AS1785)))</f>
        <v>0</v>
      </c>
      <c r="AZ1785" s="50" t="n">
        <f aca="false">IF(LEFT(Cockpit!$O$5,1)="A",H1785,IF(Parameter!$E$30="MAX-Bestand",IF(CH1785=1,CI1785,IF(LEFT(Cockpit!$O$5,1)="B",BF1785,MAX(BF1785,H1785))),ROUNDUP(BD1785,0)))</f>
        <v>0</v>
      </c>
      <c r="BA1785" s="50" t="n">
        <f aca="false">IF(BZ1785=1,0,ROUNDUP(AZ1785/BY1785,0))</f>
        <v>0</v>
      </c>
      <c r="BB1785" s="52" t="n">
        <f aca="false">IF(CQ1785&gt;0,CQ1785*MAX(1,AZ1785/X1785),IF(BZ1785=1,IF(AZ1785&lt;=0,0,CD1785*MAX(1,IF(H1785&gt;0,AZ1785/H1785,1))),IF(R1785&gt;0,BA1785/R1785,0))/MAX(0.1,N(Parameter!$M$21)))</f>
        <v>0</v>
      </c>
      <c r="BC1785" s="50" t="n">
        <f aca="false">BB1785*CB1785</f>
        <v>0</v>
      </c>
      <c r="BD1785" s="51" t="n">
        <f aca="false">IF(LEFT(Cockpit!$O$5,1)="A",H1785,IF(CH1785=1,(CK1785+CI1785)/2,IF(LEFT(Cockpit!$O$5,1)="B",(CK1785+BF1785)/2,MAX((CK1785+BF1785)/2,H1785))))</f>
        <v>0</v>
      </c>
      <c r="BE1785" s="50" t="n">
        <f aca="false">BD1785*G1785</f>
        <v>0</v>
      </c>
      <c r="BF1785" s="50" t="n">
        <f aca="false">ROUNDUP(CK1785+MAX(CL1785,2*(J1785/IF(CG1785&gt;0,CG1785,MAX(0.1,N(Cockpit!$O$6)))-CK1785)),0)</f>
        <v>0</v>
      </c>
      <c r="BG1785" s="51" t="n">
        <f aca="false">IF(BC1785&gt;0,J1785/BC1785,-1)</f>
        <v>-1</v>
      </c>
      <c r="BH1785" s="51" t="str">
        <f aca="false">IF(AND(OR(CF1785="L1",CF1785="L23",CF1785="LIFT"),BC1785&gt;0),SUMIFS($BC$7:$BC$1843,$CF$7:$CF$1843,CF1785,$BG$7:$BG$1843,"&gt;"&amp;BG1785)+SUMIFS($BC$7:$BC$1843,$CF$7:$CF$1843,CF1785,$BG$7:$BG$1843,BG1785,$BW$7:$BW$1843,"&lt;="&amp;BW1785),"")</f>
        <v/>
      </c>
      <c r="BI1785" s="58" t="n">
        <f aca="false">IF(BH1785="",0,MAX(0,MIN(1,(IF(CF1785="L1",Parameter!$H$5,IF(CF1785="L23",Parameter!$H$6+Parameter!$H$7,Parameter!$H$5+Parameter!$H$6+Parameter!$H$7))-(BH1785-BC1785))/BC1785)))</f>
        <v>0</v>
      </c>
      <c r="BJ1785" s="48" t="str">
        <f aca="false">IF(AI1785&lt;=0,"",IF(CF1785="Aussen","Aussenlager",IF(CF1785="-","Nicht im Lift",IF(AO1785&gt;=1,"Lift",IF(AO1785&lt;=0,"Aussenlager","teilweise")))))</f>
        <v/>
      </c>
      <c r="BK1785" s="48" t="str">
        <f aca="false">IF(AS1785&lt;=0,"",IF(CF1785="Aussen","Aussenlager",IF(CF1785="-","Nicht im Lift",IF(AY1785&gt;=1,"Lift",IF(AY1785&lt;=0,"Aussenlager","teilweise")))))</f>
        <v/>
      </c>
      <c r="BL1785" s="48" t="str">
        <f aca="false">IF(BC1785&lt;=0,"",IF(CF1785="Aussen","Aussenlager",IF(CF1785="-","Nicht im Lift",IF(BI1785&gt;=1,"Lift",IF(BI1785&lt;=0,"Aussenlager","teilweise")))))</f>
        <v/>
      </c>
      <c r="BM1785" s="48" t="str">
        <f aca="false">IF(A1785="","",IF(BV1785=1,"Neu; ","")&amp;IF(AND(BV1785=0,BQ1785&lt;0),"negativer Bestand (Export "&amp;BQ1785&amp;"); ","")&amp;IF(J1785&lt;=0,"Kein Verbrauch; ","")&amp;IF(CQ1785&gt;0,"Lift "&amp;W1785&amp;" lt. Liftbericht (Fach "&amp;X1785&amp;" Stk); ",IF(CA1785=1,"Gebinde geschätzt ("&amp;T1785&amp;"); ",IF(BZ1785=1,"Lose – Tablare geschätzt; ","")))&amp;IF(H1785&gt;AV1785,"Überbestand "&amp;ROUND(H1785-AV1785,0)&amp;" Stk / CHF "&amp;ROUND((H1785-AV1785)*G1785,0)&amp;"; ","")&amp;IF(AND(CH1785=1,CI1785&lt;CJ1785),"MAX &lt; MB+LG; ","")&amp;IF(AND(CP1785&gt;0,CO1785*10&gt;CP1785),"zu hoch für Tablar; ","")&amp;IF(AND(BV1785=0,OR(CH1785=1,AA1785&lt;&gt;"",U1785&lt;&gt;"",V1785&lt;&gt;"",AB1785&lt;&gt;"")),"manuell übersteuert; ","")&amp;IF(AND(BZ1785=0,R1785=0),"Gebinde unbekannt / Stellmass fehlt; ","")&amp;IF(AND(BZ1785=0,N(V1785)&lt;=0,N(Q1785)&lt;=0),"Menge pro Gebinde fehlt (Ist = 1 Gebinde); ","")&amp;BU1785)</f>
        <v/>
      </c>
      <c r="BN1785" s="48"/>
      <c r="BO1785" s="48"/>
      <c r="BP1785" s="55"/>
      <c r="BQ1785" s="50" t="n">
        <f aca="false">N('Neue Artikel'!$D$46)</f>
        <v>0</v>
      </c>
      <c r="BR1785" s="50" t="n">
        <v>0</v>
      </c>
      <c r="BS1785" s="49" t="n">
        <v>0</v>
      </c>
      <c r="BT1785" s="50" t="n">
        <f aca="false">N('Neue Artikel'!$C$46)/Parameter!$B$18</f>
        <v>0</v>
      </c>
      <c r="BU1785" s="48"/>
      <c r="BV1785" s="53" t="n">
        <v>1</v>
      </c>
      <c r="BW1785" s="53" t="n">
        <v>1785</v>
      </c>
      <c r="BX1785" s="48" t="str">
        <f aca="false">IF(U1785&lt;&gt;"",UPPER(TRIM(U1785)),IF(CA1785=1,UPPER(VLOOKUP(T1785,Parameter!$I$27:$K$29,2,0)),IF(P1785="","LOSE",P1785)))</f>
        <v>LOSE</v>
      </c>
      <c r="BY1785" s="50" t="n">
        <f aca="false">IF(BX1785="LOSE",1,IF(N(V1785)&gt;0,V1785,IF(CA1785=1,MAX(1,N(VLOOKUP(T1785,Parameter!$I$27:$K$29,3,0)),H1785,N(N1785)),IF(N(Q1785)&gt;0,Q1785,MAX(1,H1785)))))</f>
        <v>1</v>
      </c>
      <c r="BZ1785" s="53" t="n">
        <f aca="false">IF(BX1785="LOSE",1,0)</f>
        <v>1</v>
      </c>
      <c r="CA1785" s="53" t="n">
        <f aca="false">IF(AND(U1785="",OR(P1785="",P1785="LOSE"),T1785&lt;&gt;"",N(S1785)&lt;=0,ISNUMBER(MATCH(T1785,Parameter!$I$27:$I$29,0))),1,0)</f>
        <v>0</v>
      </c>
      <c r="CB1785" s="53" t="n">
        <f aca="false">IF(CQ1785&gt;0,INDEX(Parameter!$H$5:$H$7,W1785)/INDEX(Parameter!$E$5:$E$7,W1785),IF(AND(BZ1785=0,N(IFERROR(VLOOKUP(BX1785,'Gebinde-Kategorie'!$A$5:$N$45,14,0),0))&gt;0),VLOOKUP(BX1785,'Gebinde-Kategorie'!$A$5:$N$45,14,0)*10+Parameter!$M$23,Parameter!$M$24))</f>
        <v>235</v>
      </c>
      <c r="CC1785" s="48" t="str">
        <f aca="false">IF(AND(Parameter!$B$19="Ja",E1785&lt;&gt;"",ISNUMBER(MATCH(E1785,Parameter!$I$35:$I$52,0))),VLOOKUP(E1785,Parameter!$I$35:$J$52,2,0),IFERROR(VLOOKUP(D1785,Parameter!$A$35:$C$64,2,0),"Nein"))</f>
        <v>2+3</v>
      </c>
      <c r="CD1785" s="52" t="n">
        <f aca="false">IF(BZ1785=0,0,IF(N(S1785)&gt;0,S1785,IFERROR(VLOOKUP(D1785,Parameter!$A$35:$C$64,3,0)+0,0)))</f>
        <v>0.15</v>
      </c>
      <c r="CE1785" s="48" t="str">
        <f aca="false">IF(AA1785&lt;&gt;"",AA1785,Z1785)</f>
        <v/>
      </c>
      <c r="CF1785" s="48" t="str">
        <f aca="false">IF(OR(CE1785=1,CE1785=2,CE1785=3),IF(Parameter!$E$27="Ja","LIFT",IF(CE1785=1,"L1","L23")),IF(CE1785="Aussen","Aussen","-"))</f>
        <v>-</v>
      </c>
      <c r="CG1785" s="59" t="n">
        <f aca="false">IF(N(AB1785)&gt;0,AB1785,0)</f>
        <v>0</v>
      </c>
      <c r="CH1785" s="53" t="n">
        <f aca="false">IF(ISNUMBER(AE1785),1,0)</f>
        <v>0</v>
      </c>
      <c r="CI1785" s="50" t="n">
        <f aca="false">N(AE1785)</f>
        <v>0</v>
      </c>
      <c r="CJ1785" s="50" t="n">
        <f aca="false">N(M1785)+N(N1785)</f>
        <v>0</v>
      </c>
      <c r="CK1785" s="50" t="n">
        <f aca="false">N(M1785)</f>
        <v>0</v>
      </c>
      <c r="CL1785" s="50" t="n">
        <f aca="false">N(N1785)</f>
        <v>0</v>
      </c>
      <c r="CM1785" s="50" t="n">
        <f aca="false">ROUNDUP(H1785/BY1785,0)</f>
        <v>0</v>
      </c>
      <c r="CN1785" s="50" t="n">
        <f aca="false">ROUNDUP(CI1785/BY1785,0)</f>
        <v>0</v>
      </c>
      <c r="CO1785" s="53" t="n">
        <f aca="false">IF(BZ1785=1,0,IFERROR(VLOOKUP(BX1785,'Gebinde-Kategorie'!$A$5:$N$45,5,0)+0,0))</f>
        <v>0</v>
      </c>
      <c r="CP1785" s="53" t="n">
        <f aca="false">IFERROR(IF(OR(CE1785=1,CE1785=2,CE1785=3),N(INDEX(Parameter!$I$5:$I$7,CE1785)),0),0)</f>
        <v>0</v>
      </c>
      <c r="CQ1785" s="52" t="n">
        <f aca="false">IF(AND(Parameter!$B$21="Ja",ISNUMBER(W1785),N(X1785)&gt;0),IFERROR(N(INDEX(Parameter!$L$5:$L$7,W1785))*INDEX(Parameter!$E$5:$E$7,W1785)*X1785/SUMIFS($X$7:$X$1843,$W$7:$W$1843,W1785),0),0)</f>
        <v>0</v>
      </c>
    </row>
    <row r="1786" customFormat="false" ht="15" hidden="false" customHeight="false" outlineLevel="0" collapsed="false">
      <c r="A1786" s="48" t="str">
        <f aca="false">IF('Neue Artikel'!$A$47="","",'Neue Artikel'!$A$47&amp;"")</f>
        <v/>
      </c>
      <c r="B1786" s="48" t="str">
        <f aca="false">'Neue Artikel'!$B$47&amp;""</f>
        <v/>
      </c>
      <c r="C1786" s="48"/>
      <c r="D1786" s="48" t="s">
        <v>3024</v>
      </c>
      <c r="E1786" s="48"/>
      <c r="F1786" s="48"/>
      <c r="G1786" s="49" t="n">
        <f aca="false">N('Neue Artikel'!$G$47)</f>
        <v>0</v>
      </c>
      <c r="H1786" s="50" t="n">
        <f aca="false">MAX(0,IF(AND(Parameter!$B$21="Ja",ISNUMBER(Y1786)),Y1786,IF(Parameter!$B$20="Jahresanfang 2025 + Export",BR1786+BQ1786,BQ1786)))</f>
        <v>0</v>
      </c>
      <c r="I1786" s="50" t="n">
        <f aca="false">H1786*G1786</f>
        <v>0</v>
      </c>
      <c r="J1786" s="50" t="n">
        <f aca="false">BT1786*Parameter!$B$18</f>
        <v>0</v>
      </c>
      <c r="K1786" s="51"/>
      <c r="L1786" s="52"/>
      <c r="M1786" s="50" t="n">
        <f aca="false">N('Neue Artikel'!$E$47)</f>
        <v>0</v>
      </c>
      <c r="N1786" s="50" t="n">
        <f aca="false">N('Neue Artikel'!$F$47)</f>
        <v>0</v>
      </c>
      <c r="O1786" s="53"/>
      <c r="P1786" s="48" t="str">
        <f aca="false">IF('Neue Artikel'!$H$47="","LOSE",UPPER(TRIM('Neue Artikel'!$H$47)))</f>
        <v>LOSE</v>
      </c>
      <c r="Q1786" s="50" t="n">
        <f aca="false">N('Neue Artikel'!$I$47)</f>
        <v>0</v>
      </c>
      <c r="R1786" s="53" t="n">
        <f aca="false">IF(BZ1786=1,0,IFERROR(VLOOKUP(BX1786,'Gebinde-Kategorie'!$A$5:$N$45,13,0)+0,0))</f>
        <v>0</v>
      </c>
      <c r="S1786" s="54"/>
      <c r="T1786" s="55"/>
      <c r="U1786" s="55"/>
      <c r="V1786" s="55"/>
      <c r="W1786" s="48"/>
      <c r="X1786" s="50"/>
      <c r="Y1786" s="50"/>
      <c r="Z1786" s="48" t="str">
        <f aca="false">IF(A1786="","",IF(AND(Parameter!$B$21="Ja",ISNUMBER(W1786)),W1786,IF(CC1786="2+3",IF(ISNUMBER(SEARCH("grosser Artikel",BU1786)),2,IFERROR(VLOOKUP(BX1786,Parameter!$F$35:$G$64,2,0),2)),IF(OR(CC1786="Nein",CC1786=""),"-",CC1786))))</f>
        <v/>
      </c>
      <c r="AA1786" s="48" t="str">
        <f aca="false">IF('Neue Artikel'!$J$47="","",'Neue Artikel'!$J$47)</f>
        <v/>
      </c>
      <c r="AB1786" s="56"/>
      <c r="AC1786" s="50" t="n">
        <f aca="false">AV1786</f>
        <v>0</v>
      </c>
      <c r="AD1786" s="50" t="n">
        <f aca="false">MAX(AV1786,H1786)</f>
        <v>0</v>
      </c>
      <c r="AE1786" s="57"/>
      <c r="AF1786" s="50" t="n">
        <f aca="false">IF(LEFT(Cockpit!$C$5,1)="A",H1786,IF(Parameter!$E$30="MAX-Bestand",IF(CH1786=1,CI1786,IF(LEFT(Cockpit!$C$5,1)="B",AL1786,MAX(AL1786,H1786))),ROUNDUP(AJ1786,0)))</f>
        <v>0</v>
      </c>
      <c r="AG1786" s="50" t="n">
        <f aca="false">IF(BZ1786=1,0,ROUNDUP(AF1786/BY1786,0))</f>
        <v>0</v>
      </c>
      <c r="AH1786" s="52" t="n">
        <f aca="false">IF(CQ1786&gt;0,CQ1786*MAX(1,AF1786/X1786),IF(BZ1786=1,IF(AF1786&lt;=0,0,CD1786*MAX(1,IF(H1786&gt;0,AF1786/H1786,1))),IF(R1786&gt;0,AG1786/R1786,0))/MAX(0.1,N(Parameter!$M$21)))</f>
        <v>0</v>
      </c>
      <c r="AI1786" s="50" t="n">
        <f aca="false">AH1786*CB1786</f>
        <v>0</v>
      </c>
      <c r="AJ1786" s="51" t="n">
        <f aca="false">IF(LEFT(Cockpit!$C$5,1)="A",H1786,IF(CH1786=1,(CK1786+CI1786)/2,IF(LEFT(Cockpit!$C$5,1)="B",(CK1786+AL1786)/2,MAX((CK1786+AL1786)/2,H1786))))</f>
        <v>0</v>
      </c>
      <c r="AK1786" s="50" t="n">
        <f aca="false">AJ1786*G1786</f>
        <v>0</v>
      </c>
      <c r="AL1786" s="50" t="n">
        <f aca="false">ROUNDUP(CK1786+MAX(CL1786,2*(J1786/IF(CG1786&gt;0,CG1786,MAX(0.1,N(Cockpit!$C$6)))-CK1786)),0)</f>
        <v>0</v>
      </c>
      <c r="AM1786" s="51" t="n">
        <f aca="false">IF(AI1786&gt;0,J1786/AI1786,-1)</f>
        <v>-1</v>
      </c>
      <c r="AN1786" s="51" t="str">
        <f aca="false">IF(AND(OR(CF1786="L1",CF1786="L23",CF1786="LIFT"),AI1786&gt;0),SUMIFS($AI$7:$AI$1843,$CF$7:$CF$1843,CF1786,$AM$7:$AM$1843,"&gt;"&amp;AM1786)+SUMIFS($AI$7:$AI$1843,$CF$7:$CF$1843,CF1786,$AM$7:$AM$1843,AM1786,$BW$7:$BW$1843,"&lt;="&amp;BW1786),"")</f>
        <v/>
      </c>
      <c r="AO1786" s="58" t="n">
        <f aca="false">IF(AN1786="",0,MAX(0,MIN(1,(IF(CF1786="L1",Parameter!$H$5,IF(CF1786="L23",Parameter!$H$6+Parameter!$H$7,Parameter!$H$5+Parameter!$H$6+Parameter!$H$7))-(AN1786-AI1786))/AI1786)))</f>
        <v>0</v>
      </c>
      <c r="AP1786" s="50" t="n">
        <f aca="false">IF(LEFT(Cockpit!$I$5,1)="A",H1786,IF(Parameter!$E$30="MAX-Bestand",IF(CH1786=1,CI1786,IF(LEFT(Cockpit!$I$5,1)="B",AV1786,MAX(AV1786,H1786))),ROUNDUP(AT1786,0)))</f>
        <v>0</v>
      </c>
      <c r="AQ1786" s="50" t="n">
        <f aca="false">IF(BZ1786=1,0,ROUNDUP(AP1786/BY1786,0))</f>
        <v>0</v>
      </c>
      <c r="AR1786" s="52" t="n">
        <f aca="false">IF(CQ1786&gt;0,CQ1786*MAX(1,AP1786/X1786),IF(BZ1786=1,IF(AP1786&lt;=0,0,CD1786*MAX(1,IF(H1786&gt;0,AP1786/H1786,1))),IF(R1786&gt;0,AQ1786/R1786,0))/MAX(0.1,N(Parameter!$M$21)))</f>
        <v>0</v>
      </c>
      <c r="AS1786" s="50" t="n">
        <f aca="false">AR1786*CB1786</f>
        <v>0</v>
      </c>
      <c r="AT1786" s="51" t="n">
        <f aca="false">IF(LEFT(Cockpit!$I$5,1)="A",H1786,IF(CH1786=1,(CK1786+CI1786)/2,IF(LEFT(Cockpit!$I$5,1)="B",(CK1786+AV1786)/2,MAX((CK1786+AV1786)/2,H1786))))</f>
        <v>0</v>
      </c>
      <c r="AU1786" s="50" t="n">
        <f aca="false">AT1786*G1786</f>
        <v>0</v>
      </c>
      <c r="AV1786" s="50" t="n">
        <f aca="false">ROUNDUP(CK1786+MAX(CL1786,2*(J1786/IF(CG1786&gt;0,CG1786,MAX(0.1,N(Cockpit!$I$6)))-CK1786)),0)</f>
        <v>0</v>
      </c>
      <c r="AW1786" s="51" t="n">
        <f aca="false">IF(AS1786&gt;0,J1786/AS1786,-1)</f>
        <v>-1</v>
      </c>
      <c r="AX1786" s="51" t="str">
        <f aca="false">IF(AND(OR(CF1786="L1",CF1786="L23",CF1786="LIFT"),AS1786&gt;0),SUMIFS($AS$7:$AS$1843,$CF$7:$CF$1843,CF1786,$AW$7:$AW$1843,"&gt;"&amp;AW1786)+SUMIFS($AS$7:$AS$1843,$CF$7:$CF$1843,CF1786,$AW$7:$AW$1843,AW1786,$BW$7:$BW$1843,"&lt;="&amp;BW1786),"")</f>
        <v/>
      </c>
      <c r="AY1786" s="58" t="n">
        <f aca="false">IF(AX1786="",0,MAX(0,MIN(1,(IF(CF1786="L1",Parameter!$H$5,IF(CF1786="L23",Parameter!$H$6+Parameter!$H$7,Parameter!$H$5+Parameter!$H$6+Parameter!$H$7))-(AX1786-AS1786))/AS1786)))</f>
        <v>0</v>
      </c>
      <c r="AZ1786" s="50" t="n">
        <f aca="false">IF(LEFT(Cockpit!$O$5,1)="A",H1786,IF(Parameter!$E$30="MAX-Bestand",IF(CH1786=1,CI1786,IF(LEFT(Cockpit!$O$5,1)="B",BF1786,MAX(BF1786,H1786))),ROUNDUP(BD1786,0)))</f>
        <v>0</v>
      </c>
      <c r="BA1786" s="50" t="n">
        <f aca="false">IF(BZ1786=1,0,ROUNDUP(AZ1786/BY1786,0))</f>
        <v>0</v>
      </c>
      <c r="BB1786" s="52" t="n">
        <f aca="false">IF(CQ1786&gt;0,CQ1786*MAX(1,AZ1786/X1786),IF(BZ1786=1,IF(AZ1786&lt;=0,0,CD1786*MAX(1,IF(H1786&gt;0,AZ1786/H1786,1))),IF(R1786&gt;0,BA1786/R1786,0))/MAX(0.1,N(Parameter!$M$21)))</f>
        <v>0</v>
      </c>
      <c r="BC1786" s="50" t="n">
        <f aca="false">BB1786*CB1786</f>
        <v>0</v>
      </c>
      <c r="BD1786" s="51" t="n">
        <f aca="false">IF(LEFT(Cockpit!$O$5,1)="A",H1786,IF(CH1786=1,(CK1786+CI1786)/2,IF(LEFT(Cockpit!$O$5,1)="B",(CK1786+BF1786)/2,MAX((CK1786+BF1786)/2,H1786))))</f>
        <v>0</v>
      </c>
      <c r="BE1786" s="50" t="n">
        <f aca="false">BD1786*G1786</f>
        <v>0</v>
      </c>
      <c r="BF1786" s="50" t="n">
        <f aca="false">ROUNDUP(CK1786+MAX(CL1786,2*(J1786/IF(CG1786&gt;0,CG1786,MAX(0.1,N(Cockpit!$O$6)))-CK1786)),0)</f>
        <v>0</v>
      </c>
      <c r="BG1786" s="51" t="n">
        <f aca="false">IF(BC1786&gt;0,J1786/BC1786,-1)</f>
        <v>-1</v>
      </c>
      <c r="BH1786" s="51" t="str">
        <f aca="false">IF(AND(OR(CF1786="L1",CF1786="L23",CF1786="LIFT"),BC1786&gt;0),SUMIFS($BC$7:$BC$1843,$CF$7:$CF$1843,CF1786,$BG$7:$BG$1843,"&gt;"&amp;BG1786)+SUMIFS($BC$7:$BC$1843,$CF$7:$CF$1843,CF1786,$BG$7:$BG$1843,BG1786,$BW$7:$BW$1843,"&lt;="&amp;BW1786),"")</f>
        <v/>
      </c>
      <c r="BI1786" s="58" t="n">
        <f aca="false">IF(BH1786="",0,MAX(0,MIN(1,(IF(CF1786="L1",Parameter!$H$5,IF(CF1786="L23",Parameter!$H$6+Parameter!$H$7,Parameter!$H$5+Parameter!$H$6+Parameter!$H$7))-(BH1786-BC1786))/BC1786)))</f>
        <v>0</v>
      </c>
      <c r="BJ1786" s="48" t="str">
        <f aca="false">IF(AI1786&lt;=0,"",IF(CF1786="Aussen","Aussenlager",IF(CF1786="-","Nicht im Lift",IF(AO1786&gt;=1,"Lift",IF(AO1786&lt;=0,"Aussenlager","teilweise")))))</f>
        <v/>
      </c>
      <c r="BK1786" s="48" t="str">
        <f aca="false">IF(AS1786&lt;=0,"",IF(CF1786="Aussen","Aussenlager",IF(CF1786="-","Nicht im Lift",IF(AY1786&gt;=1,"Lift",IF(AY1786&lt;=0,"Aussenlager","teilweise")))))</f>
        <v/>
      </c>
      <c r="BL1786" s="48" t="str">
        <f aca="false">IF(BC1786&lt;=0,"",IF(CF1786="Aussen","Aussenlager",IF(CF1786="-","Nicht im Lift",IF(BI1786&gt;=1,"Lift",IF(BI1786&lt;=0,"Aussenlager","teilweise")))))</f>
        <v/>
      </c>
      <c r="BM1786" s="48" t="str">
        <f aca="false">IF(A1786="","",IF(BV1786=1,"Neu; ","")&amp;IF(AND(BV1786=0,BQ1786&lt;0),"negativer Bestand (Export "&amp;BQ1786&amp;"); ","")&amp;IF(J1786&lt;=0,"Kein Verbrauch; ","")&amp;IF(CQ1786&gt;0,"Lift "&amp;W1786&amp;" lt. Liftbericht (Fach "&amp;X1786&amp;" Stk); ",IF(CA1786=1,"Gebinde geschätzt ("&amp;T1786&amp;"); ",IF(BZ1786=1,"Lose – Tablare geschätzt; ","")))&amp;IF(H1786&gt;AV1786,"Überbestand "&amp;ROUND(H1786-AV1786,0)&amp;" Stk / CHF "&amp;ROUND((H1786-AV1786)*G1786,0)&amp;"; ","")&amp;IF(AND(CH1786=1,CI1786&lt;CJ1786),"MAX &lt; MB+LG; ","")&amp;IF(AND(CP1786&gt;0,CO1786*10&gt;CP1786),"zu hoch für Tablar; ","")&amp;IF(AND(BV1786=0,OR(CH1786=1,AA1786&lt;&gt;"",U1786&lt;&gt;"",V1786&lt;&gt;"",AB1786&lt;&gt;"")),"manuell übersteuert; ","")&amp;IF(AND(BZ1786=0,R1786=0),"Gebinde unbekannt / Stellmass fehlt; ","")&amp;IF(AND(BZ1786=0,N(V1786)&lt;=0,N(Q1786)&lt;=0),"Menge pro Gebinde fehlt (Ist = 1 Gebinde); ","")&amp;BU1786)</f>
        <v/>
      </c>
      <c r="BN1786" s="48"/>
      <c r="BO1786" s="48"/>
      <c r="BP1786" s="55"/>
      <c r="BQ1786" s="50" t="n">
        <f aca="false">N('Neue Artikel'!$D$47)</f>
        <v>0</v>
      </c>
      <c r="BR1786" s="50" t="n">
        <v>0</v>
      </c>
      <c r="BS1786" s="49" t="n">
        <v>0</v>
      </c>
      <c r="BT1786" s="50" t="n">
        <f aca="false">N('Neue Artikel'!$C$47)/Parameter!$B$18</f>
        <v>0</v>
      </c>
      <c r="BU1786" s="48"/>
      <c r="BV1786" s="53" t="n">
        <v>1</v>
      </c>
      <c r="BW1786" s="53" t="n">
        <v>1786</v>
      </c>
      <c r="BX1786" s="48" t="str">
        <f aca="false">IF(U1786&lt;&gt;"",UPPER(TRIM(U1786)),IF(CA1786=1,UPPER(VLOOKUP(T1786,Parameter!$I$27:$K$29,2,0)),IF(P1786="","LOSE",P1786)))</f>
        <v>LOSE</v>
      </c>
      <c r="BY1786" s="50" t="n">
        <f aca="false">IF(BX1786="LOSE",1,IF(N(V1786)&gt;0,V1786,IF(CA1786=1,MAX(1,N(VLOOKUP(T1786,Parameter!$I$27:$K$29,3,0)),H1786,N(N1786)),IF(N(Q1786)&gt;0,Q1786,MAX(1,H1786)))))</f>
        <v>1</v>
      </c>
      <c r="BZ1786" s="53" t="n">
        <f aca="false">IF(BX1786="LOSE",1,0)</f>
        <v>1</v>
      </c>
      <c r="CA1786" s="53" t="n">
        <f aca="false">IF(AND(U1786="",OR(P1786="",P1786="LOSE"),T1786&lt;&gt;"",N(S1786)&lt;=0,ISNUMBER(MATCH(T1786,Parameter!$I$27:$I$29,0))),1,0)</f>
        <v>0</v>
      </c>
      <c r="CB1786" s="53" t="n">
        <f aca="false">IF(CQ1786&gt;0,INDEX(Parameter!$H$5:$H$7,W1786)/INDEX(Parameter!$E$5:$E$7,W1786),IF(AND(BZ1786=0,N(IFERROR(VLOOKUP(BX1786,'Gebinde-Kategorie'!$A$5:$N$45,14,0),0))&gt;0),VLOOKUP(BX1786,'Gebinde-Kategorie'!$A$5:$N$45,14,0)*10+Parameter!$M$23,Parameter!$M$24))</f>
        <v>235</v>
      </c>
      <c r="CC1786" s="48" t="str">
        <f aca="false">IF(AND(Parameter!$B$19="Ja",E1786&lt;&gt;"",ISNUMBER(MATCH(E1786,Parameter!$I$35:$I$52,0))),VLOOKUP(E1786,Parameter!$I$35:$J$52,2,0),IFERROR(VLOOKUP(D1786,Parameter!$A$35:$C$64,2,0),"Nein"))</f>
        <v>2+3</v>
      </c>
      <c r="CD1786" s="52" t="n">
        <f aca="false">IF(BZ1786=0,0,IF(N(S1786)&gt;0,S1786,IFERROR(VLOOKUP(D1786,Parameter!$A$35:$C$64,3,0)+0,0)))</f>
        <v>0.15</v>
      </c>
      <c r="CE1786" s="48" t="str">
        <f aca="false">IF(AA1786&lt;&gt;"",AA1786,Z1786)</f>
        <v/>
      </c>
      <c r="CF1786" s="48" t="str">
        <f aca="false">IF(OR(CE1786=1,CE1786=2,CE1786=3),IF(Parameter!$E$27="Ja","LIFT",IF(CE1786=1,"L1","L23")),IF(CE1786="Aussen","Aussen","-"))</f>
        <v>-</v>
      </c>
      <c r="CG1786" s="59" t="n">
        <f aca="false">IF(N(AB1786)&gt;0,AB1786,0)</f>
        <v>0</v>
      </c>
      <c r="CH1786" s="53" t="n">
        <f aca="false">IF(ISNUMBER(AE1786),1,0)</f>
        <v>0</v>
      </c>
      <c r="CI1786" s="50" t="n">
        <f aca="false">N(AE1786)</f>
        <v>0</v>
      </c>
      <c r="CJ1786" s="50" t="n">
        <f aca="false">N(M1786)+N(N1786)</f>
        <v>0</v>
      </c>
      <c r="CK1786" s="50" t="n">
        <f aca="false">N(M1786)</f>
        <v>0</v>
      </c>
      <c r="CL1786" s="50" t="n">
        <f aca="false">N(N1786)</f>
        <v>0</v>
      </c>
      <c r="CM1786" s="50" t="n">
        <f aca="false">ROUNDUP(H1786/BY1786,0)</f>
        <v>0</v>
      </c>
      <c r="CN1786" s="50" t="n">
        <f aca="false">ROUNDUP(CI1786/BY1786,0)</f>
        <v>0</v>
      </c>
      <c r="CO1786" s="53" t="n">
        <f aca="false">IF(BZ1786=1,0,IFERROR(VLOOKUP(BX1786,'Gebinde-Kategorie'!$A$5:$N$45,5,0)+0,0))</f>
        <v>0</v>
      </c>
      <c r="CP1786" s="53" t="n">
        <f aca="false">IFERROR(IF(OR(CE1786=1,CE1786=2,CE1786=3),N(INDEX(Parameter!$I$5:$I$7,CE1786)),0),0)</f>
        <v>0</v>
      </c>
      <c r="CQ1786" s="52" t="n">
        <f aca="false">IF(AND(Parameter!$B$21="Ja",ISNUMBER(W1786),N(X1786)&gt;0),IFERROR(N(INDEX(Parameter!$L$5:$L$7,W1786))*INDEX(Parameter!$E$5:$E$7,W1786)*X1786/SUMIFS($X$7:$X$1843,$W$7:$W$1843,W1786),0),0)</f>
        <v>0</v>
      </c>
    </row>
    <row r="1787" customFormat="false" ht="15" hidden="false" customHeight="false" outlineLevel="0" collapsed="false">
      <c r="A1787" s="48" t="str">
        <f aca="false">IF('Neue Artikel'!$A$48="","",'Neue Artikel'!$A$48&amp;"")</f>
        <v/>
      </c>
      <c r="B1787" s="48" t="str">
        <f aca="false">'Neue Artikel'!$B$48&amp;""</f>
        <v/>
      </c>
      <c r="C1787" s="48"/>
      <c r="D1787" s="48" t="s">
        <v>3024</v>
      </c>
      <c r="E1787" s="48"/>
      <c r="F1787" s="48"/>
      <c r="G1787" s="49" t="n">
        <f aca="false">N('Neue Artikel'!$G$48)</f>
        <v>0</v>
      </c>
      <c r="H1787" s="50" t="n">
        <f aca="false">MAX(0,IF(AND(Parameter!$B$21="Ja",ISNUMBER(Y1787)),Y1787,IF(Parameter!$B$20="Jahresanfang 2025 + Export",BR1787+BQ1787,BQ1787)))</f>
        <v>0</v>
      </c>
      <c r="I1787" s="50" t="n">
        <f aca="false">H1787*G1787</f>
        <v>0</v>
      </c>
      <c r="J1787" s="50" t="n">
        <f aca="false">BT1787*Parameter!$B$18</f>
        <v>0</v>
      </c>
      <c r="K1787" s="51"/>
      <c r="L1787" s="52"/>
      <c r="M1787" s="50" t="n">
        <f aca="false">N('Neue Artikel'!$E$48)</f>
        <v>0</v>
      </c>
      <c r="N1787" s="50" t="n">
        <f aca="false">N('Neue Artikel'!$F$48)</f>
        <v>0</v>
      </c>
      <c r="O1787" s="53"/>
      <c r="P1787" s="48" t="str">
        <f aca="false">IF('Neue Artikel'!$H$48="","LOSE",UPPER(TRIM('Neue Artikel'!$H$48)))</f>
        <v>LOSE</v>
      </c>
      <c r="Q1787" s="50" t="n">
        <f aca="false">N('Neue Artikel'!$I$48)</f>
        <v>0</v>
      </c>
      <c r="R1787" s="53" t="n">
        <f aca="false">IF(BZ1787=1,0,IFERROR(VLOOKUP(BX1787,'Gebinde-Kategorie'!$A$5:$N$45,13,0)+0,0))</f>
        <v>0</v>
      </c>
      <c r="S1787" s="54"/>
      <c r="T1787" s="55"/>
      <c r="U1787" s="55"/>
      <c r="V1787" s="55"/>
      <c r="W1787" s="48"/>
      <c r="X1787" s="50"/>
      <c r="Y1787" s="50"/>
      <c r="Z1787" s="48" t="str">
        <f aca="false">IF(A1787="","",IF(AND(Parameter!$B$21="Ja",ISNUMBER(W1787)),W1787,IF(CC1787="2+3",IF(ISNUMBER(SEARCH("grosser Artikel",BU1787)),2,IFERROR(VLOOKUP(BX1787,Parameter!$F$35:$G$64,2,0),2)),IF(OR(CC1787="Nein",CC1787=""),"-",CC1787))))</f>
        <v/>
      </c>
      <c r="AA1787" s="48" t="str">
        <f aca="false">IF('Neue Artikel'!$J$48="","",'Neue Artikel'!$J$48)</f>
        <v/>
      </c>
      <c r="AB1787" s="56"/>
      <c r="AC1787" s="50" t="n">
        <f aca="false">AV1787</f>
        <v>0</v>
      </c>
      <c r="AD1787" s="50" t="n">
        <f aca="false">MAX(AV1787,H1787)</f>
        <v>0</v>
      </c>
      <c r="AE1787" s="57"/>
      <c r="AF1787" s="50" t="n">
        <f aca="false">IF(LEFT(Cockpit!$C$5,1)="A",H1787,IF(Parameter!$E$30="MAX-Bestand",IF(CH1787=1,CI1787,IF(LEFT(Cockpit!$C$5,1)="B",AL1787,MAX(AL1787,H1787))),ROUNDUP(AJ1787,0)))</f>
        <v>0</v>
      </c>
      <c r="AG1787" s="50" t="n">
        <f aca="false">IF(BZ1787=1,0,ROUNDUP(AF1787/BY1787,0))</f>
        <v>0</v>
      </c>
      <c r="AH1787" s="52" t="n">
        <f aca="false">IF(CQ1787&gt;0,CQ1787*MAX(1,AF1787/X1787),IF(BZ1787=1,IF(AF1787&lt;=0,0,CD1787*MAX(1,IF(H1787&gt;0,AF1787/H1787,1))),IF(R1787&gt;0,AG1787/R1787,0))/MAX(0.1,N(Parameter!$M$21)))</f>
        <v>0</v>
      </c>
      <c r="AI1787" s="50" t="n">
        <f aca="false">AH1787*CB1787</f>
        <v>0</v>
      </c>
      <c r="AJ1787" s="51" t="n">
        <f aca="false">IF(LEFT(Cockpit!$C$5,1)="A",H1787,IF(CH1787=1,(CK1787+CI1787)/2,IF(LEFT(Cockpit!$C$5,1)="B",(CK1787+AL1787)/2,MAX((CK1787+AL1787)/2,H1787))))</f>
        <v>0</v>
      </c>
      <c r="AK1787" s="50" t="n">
        <f aca="false">AJ1787*G1787</f>
        <v>0</v>
      </c>
      <c r="AL1787" s="50" t="n">
        <f aca="false">ROUNDUP(CK1787+MAX(CL1787,2*(J1787/IF(CG1787&gt;0,CG1787,MAX(0.1,N(Cockpit!$C$6)))-CK1787)),0)</f>
        <v>0</v>
      </c>
      <c r="AM1787" s="51" t="n">
        <f aca="false">IF(AI1787&gt;0,J1787/AI1787,-1)</f>
        <v>-1</v>
      </c>
      <c r="AN1787" s="51" t="str">
        <f aca="false">IF(AND(OR(CF1787="L1",CF1787="L23",CF1787="LIFT"),AI1787&gt;0),SUMIFS($AI$7:$AI$1843,$CF$7:$CF$1843,CF1787,$AM$7:$AM$1843,"&gt;"&amp;AM1787)+SUMIFS($AI$7:$AI$1843,$CF$7:$CF$1843,CF1787,$AM$7:$AM$1843,AM1787,$BW$7:$BW$1843,"&lt;="&amp;BW1787),"")</f>
        <v/>
      </c>
      <c r="AO1787" s="58" t="n">
        <f aca="false">IF(AN1787="",0,MAX(0,MIN(1,(IF(CF1787="L1",Parameter!$H$5,IF(CF1787="L23",Parameter!$H$6+Parameter!$H$7,Parameter!$H$5+Parameter!$H$6+Parameter!$H$7))-(AN1787-AI1787))/AI1787)))</f>
        <v>0</v>
      </c>
      <c r="AP1787" s="50" t="n">
        <f aca="false">IF(LEFT(Cockpit!$I$5,1)="A",H1787,IF(Parameter!$E$30="MAX-Bestand",IF(CH1787=1,CI1787,IF(LEFT(Cockpit!$I$5,1)="B",AV1787,MAX(AV1787,H1787))),ROUNDUP(AT1787,0)))</f>
        <v>0</v>
      </c>
      <c r="AQ1787" s="50" t="n">
        <f aca="false">IF(BZ1787=1,0,ROUNDUP(AP1787/BY1787,0))</f>
        <v>0</v>
      </c>
      <c r="AR1787" s="52" t="n">
        <f aca="false">IF(CQ1787&gt;0,CQ1787*MAX(1,AP1787/X1787),IF(BZ1787=1,IF(AP1787&lt;=0,0,CD1787*MAX(1,IF(H1787&gt;0,AP1787/H1787,1))),IF(R1787&gt;0,AQ1787/R1787,0))/MAX(0.1,N(Parameter!$M$21)))</f>
        <v>0</v>
      </c>
      <c r="AS1787" s="50" t="n">
        <f aca="false">AR1787*CB1787</f>
        <v>0</v>
      </c>
      <c r="AT1787" s="51" t="n">
        <f aca="false">IF(LEFT(Cockpit!$I$5,1)="A",H1787,IF(CH1787=1,(CK1787+CI1787)/2,IF(LEFT(Cockpit!$I$5,1)="B",(CK1787+AV1787)/2,MAX((CK1787+AV1787)/2,H1787))))</f>
        <v>0</v>
      </c>
      <c r="AU1787" s="50" t="n">
        <f aca="false">AT1787*G1787</f>
        <v>0</v>
      </c>
      <c r="AV1787" s="50" t="n">
        <f aca="false">ROUNDUP(CK1787+MAX(CL1787,2*(J1787/IF(CG1787&gt;0,CG1787,MAX(0.1,N(Cockpit!$I$6)))-CK1787)),0)</f>
        <v>0</v>
      </c>
      <c r="AW1787" s="51" t="n">
        <f aca="false">IF(AS1787&gt;0,J1787/AS1787,-1)</f>
        <v>-1</v>
      </c>
      <c r="AX1787" s="51" t="str">
        <f aca="false">IF(AND(OR(CF1787="L1",CF1787="L23",CF1787="LIFT"),AS1787&gt;0),SUMIFS($AS$7:$AS$1843,$CF$7:$CF$1843,CF1787,$AW$7:$AW$1843,"&gt;"&amp;AW1787)+SUMIFS($AS$7:$AS$1843,$CF$7:$CF$1843,CF1787,$AW$7:$AW$1843,AW1787,$BW$7:$BW$1843,"&lt;="&amp;BW1787),"")</f>
        <v/>
      </c>
      <c r="AY1787" s="58" t="n">
        <f aca="false">IF(AX1787="",0,MAX(0,MIN(1,(IF(CF1787="L1",Parameter!$H$5,IF(CF1787="L23",Parameter!$H$6+Parameter!$H$7,Parameter!$H$5+Parameter!$H$6+Parameter!$H$7))-(AX1787-AS1787))/AS1787)))</f>
        <v>0</v>
      </c>
      <c r="AZ1787" s="50" t="n">
        <f aca="false">IF(LEFT(Cockpit!$O$5,1)="A",H1787,IF(Parameter!$E$30="MAX-Bestand",IF(CH1787=1,CI1787,IF(LEFT(Cockpit!$O$5,1)="B",BF1787,MAX(BF1787,H1787))),ROUNDUP(BD1787,0)))</f>
        <v>0</v>
      </c>
      <c r="BA1787" s="50" t="n">
        <f aca="false">IF(BZ1787=1,0,ROUNDUP(AZ1787/BY1787,0))</f>
        <v>0</v>
      </c>
      <c r="BB1787" s="52" t="n">
        <f aca="false">IF(CQ1787&gt;0,CQ1787*MAX(1,AZ1787/X1787),IF(BZ1787=1,IF(AZ1787&lt;=0,0,CD1787*MAX(1,IF(H1787&gt;0,AZ1787/H1787,1))),IF(R1787&gt;0,BA1787/R1787,0))/MAX(0.1,N(Parameter!$M$21)))</f>
        <v>0</v>
      </c>
      <c r="BC1787" s="50" t="n">
        <f aca="false">BB1787*CB1787</f>
        <v>0</v>
      </c>
      <c r="BD1787" s="51" t="n">
        <f aca="false">IF(LEFT(Cockpit!$O$5,1)="A",H1787,IF(CH1787=1,(CK1787+CI1787)/2,IF(LEFT(Cockpit!$O$5,1)="B",(CK1787+BF1787)/2,MAX((CK1787+BF1787)/2,H1787))))</f>
        <v>0</v>
      </c>
      <c r="BE1787" s="50" t="n">
        <f aca="false">BD1787*G1787</f>
        <v>0</v>
      </c>
      <c r="BF1787" s="50" t="n">
        <f aca="false">ROUNDUP(CK1787+MAX(CL1787,2*(J1787/IF(CG1787&gt;0,CG1787,MAX(0.1,N(Cockpit!$O$6)))-CK1787)),0)</f>
        <v>0</v>
      </c>
      <c r="BG1787" s="51" t="n">
        <f aca="false">IF(BC1787&gt;0,J1787/BC1787,-1)</f>
        <v>-1</v>
      </c>
      <c r="BH1787" s="51" t="str">
        <f aca="false">IF(AND(OR(CF1787="L1",CF1787="L23",CF1787="LIFT"),BC1787&gt;0),SUMIFS($BC$7:$BC$1843,$CF$7:$CF$1843,CF1787,$BG$7:$BG$1843,"&gt;"&amp;BG1787)+SUMIFS($BC$7:$BC$1843,$CF$7:$CF$1843,CF1787,$BG$7:$BG$1843,BG1787,$BW$7:$BW$1843,"&lt;="&amp;BW1787),"")</f>
        <v/>
      </c>
      <c r="BI1787" s="58" t="n">
        <f aca="false">IF(BH1787="",0,MAX(0,MIN(1,(IF(CF1787="L1",Parameter!$H$5,IF(CF1787="L23",Parameter!$H$6+Parameter!$H$7,Parameter!$H$5+Parameter!$H$6+Parameter!$H$7))-(BH1787-BC1787))/BC1787)))</f>
        <v>0</v>
      </c>
      <c r="BJ1787" s="48" t="str">
        <f aca="false">IF(AI1787&lt;=0,"",IF(CF1787="Aussen","Aussenlager",IF(CF1787="-","Nicht im Lift",IF(AO1787&gt;=1,"Lift",IF(AO1787&lt;=0,"Aussenlager","teilweise")))))</f>
        <v/>
      </c>
      <c r="BK1787" s="48" t="str">
        <f aca="false">IF(AS1787&lt;=0,"",IF(CF1787="Aussen","Aussenlager",IF(CF1787="-","Nicht im Lift",IF(AY1787&gt;=1,"Lift",IF(AY1787&lt;=0,"Aussenlager","teilweise")))))</f>
        <v/>
      </c>
      <c r="BL1787" s="48" t="str">
        <f aca="false">IF(BC1787&lt;=0,"",IF(CF1787="Aussen","Aussenlager",IF(CF1787="-","Nicht im Lift",IF(BI1787&gt;=1,"Lift",IF(BI1787&lt;=0,"Aussenlager","teilweise")))))</f>
        <v/>
      </c>
      <c r="BM1787" s="48" t="str">
        <f aca="false">IF(A1787="","",IF(BV1787=1,"Neu; ","")&amp;IF(AND(BV1787=0,BQ1787&lt;0),"negativer Bestand (Export "&amp;BQ1787&amp;"); ","")&amp;IF(J1787&lt;=0,"Kein Verbrauch; ","")&amp;IF(CQ1787&gt;0,"Lift "&amp;W1787&amp;" lt. Liftbericht (Fach "&amp;X1787&amp;" Stk); ",IF(CA1787=1,"Gebinde geschätzt ("&amp;T1787&amp;"); ",IF(BZ1787=1,"Lose – Tablare geschätzt; ","")))&amp;IF(H1787&gt;AV1787,"Überbestand "&amp;ROUND(H1787-AV1787,0)&amp;" Stk / CHF "&amp;ROUND((H1787-AV1787)*G1787,0)&amp;"; ","")&amp;IF(AND(CH1787=1,CI1787&lt;CJ1787),"MAX &lt; MB+LG; ","")&amp;IF(AND(CP1787&gt;0,CO1787*10&gt;CP1787),"zu hoch für Tablar; ","")&amp;IF(AND(BV1787=0,OR(CH1787=1,AA1787&lt;&gt;"",U1787&lt;&gt;"",V1787&lt;&gt;"",AB1787&lt;&gt;"")),"manuell übersteuert; ","")&amp;IF(AND(BZ1787=0,R1787=0),"Gebinde unbekannt / Stellmass fehlt; ","")&amp;IF(AND(BZ1787=0,N(V1787)&lt;=0,N(Q1787)&lt;=0),"Menge pro Gebinde fehlt (Ist = 1 Gebinde); ","")&amp;BU1787)</f>
        <v/>
      </c>
      <c r="BN1787" s="48"/>
      <c r="BO1787" s="48"/>
      <c r="BP1787" s="55"/>
      <c r="BQ1787" s="50" t="n">
        <f aca="false">N('Neue Artikel'!$D$48)</f>
        <v>0</v>
      </c>
      <c r="BR1787" s="50" t="n">
        <v>0</v>
      </c>
      <c r="BS1787" s="49" t="n">
        <v>0</v>
      </c>
      <c r="BT1787" s="50" t="n">
        <f aca="false">N('Neue Artikel'!$C$48)/Parameter!$B$18</f>
        <v>0</v>
      </c>
      <c r="BU1787" s="48"/>
      <c r="BV1787" s="53" t="n">
        <v>1</v>
      </c>
      <c r="BW1787" s="53" t="n">
        <v>1787</v>
      </c>
      <c r="BX1787" s="48" t="str">
        <f aca="false">IF(U1787&lt;&gt;"",UPPER(TRIM(U1787)),IF(CA1787=1,UPPER(VLOOKUP(T1787,Parameter!$I$27:$K$29,2,0)),IF(P1787="","LOSE",P1787)))</f>
        <v>LOSE</v>
      </c>
      <c r="BY1787" s="50" t="n">
        <f aca="false">IF(BX1787="LOSE",1,IF(N(V1787)&gt;0,V1787,IF(CA1787=1,MAX(1,N(VLOOKUP(T1787,Parameter!$I$27:$K$29,3,0)),H1787,N(N1787)),IF(N(Q1787)&gt;0,Q1787,MAX(1,H1787)))))</f>
        <v>1</v>
      </c>
      <c r="BZ1787" s="53" t="n">
        <f aca="false">IF(BX1787="LOSE",1,0)</f>
        <v>1</v>
      </c>
      <c r="CA1787" s="53" t="n">
        <f aca="false">IF(AND(U1787="",OR(P1787="",P1787="LOSE"),T1787&lt;&gt;"",N(S1787)&lt;=0,ISNUMBER(MATCH(T1787,Parameter!$I$27:$I$29,0))),1,0)</f>
        <v>0</v>
      </c>
      <c r="CB1787" s="53" t="n">
        <f aca="false">IF(CQ1787&gt;0,INDEX(Parameter!$H$5:$H$7,W1787)/INDEX(Parameter!$E$5:$E$7,W1787),IF(AND(BZ1787=0,N(IFERROR(VLOOKUP(BX1787,'Gebinde-Kategorie'!$A$5:$N$45,14,0),0))&gt;0),VLOOKUP(BX1787,'Gebinde-Kategorie'!$A$5:$N$45,14,0)*10+Parameter!$M$23,Parameter!$M$24))</f>
        <v>235</v>
      </c>
      <c r="CC1787" s="48" t="str">
        <f aca="false">IF(AND(Parameter!$B$19="Ja",E1787&lt;&gt;"",ISNUMBER(MATCH(E1787,Parameter!$I$35:$I$52,0))),VLOOKUP(E1787,Parameter!$I$35:$J$52,2,0),IFERROR(VLOOKUP(D1787,Parameter!$A$35:$C$64,2,0),"Nein"))</f>
        <v>2+3</v>
      </c>
      <c r="CD1787" s="52" t="n">
        <f aca="false">IF(BZ1787=0,0,IF(N(S1787)&gt;0,S1787,IFERROR(VLOOKUP(D1787,Parameter!$A$35:$C$64,3,0)+0,0)))</f>
        <v>0.15</v>
      </c>
      <c r="CE1787" s="48" t="str">
        <f aca="false">IF(AA1787&lt;&gt;"",AA1787,Z1787)</f>
        <v/>
      </c>
      <c r="CF1787" s="48" t="str">
        <f aca="false">IF(OR(CE1787=1,CE1787=2,CE1787=3),IF(Parameter!$E$27="Ja","LIFT",IF(CE1787=1,"L1","L23")),IF(CE1787="Aussen","Aussen","-"))</f>
        <v>-</v>
      </c>
      <c r="CG1787" s="59" t="n">
        <f aca="false">IF(N(AB1787)&gt;0,AB1787,0)</f>
        <v>0</v>
      </c>
      <c r="CH1787" s="53" t="n">
        <f aca="false">IF(ISNUMBER(AE1787),1,0)</f>
        <v>0</v>
      </c>
      <c r="CI1787" s="50" t="n">
        <f aca="false">N(AE1787)</f>
        <v>0</v>
      </c>
      <c r="CJ1787" s="50" t="n">
        <f aca="false">N(M1787)+N(N1787)</f>
        <v>0</v>
      </c>
      <c r="CK1787" s="50" t="n">
        <f aca="false">N(M1787)</f>
        <v>0</v>
      </c>
      <c r="CL1787" s="50" t="n">
        <f aca="false">N(N1787)</f>
        <v>0</v>
      </c>
      <c r="CM1787" s="50" t="n">
        <f aca="false">ROUNDUP(H1787/BY1787,0)</f>
        <v>0</v>
      </c>
      <c r="CN1787" s="50" t="n">
        <f aca="false">ROUNDUP(CI1787/BY1787,0)</f>
        <v>0</v>
      </c>
      <c r="CO1787" s="53" t="n">
        <f aca="false">IF(BZ1787=1,0,IFERROR(VLOOKUP(BX1787,'Gebinde-Kategorie'!$A$5:$N$45,5,0)+0,0))</f>
        <v>0</v>
      </c>
      <c r="CP1787" s="53" t="n">
        <f aca="false">IFERROR(IF(OR(CE1787=1,CE1787=2,CE1787=3),N(INDEX(Parameter!$I$5:$I$7,CE1787)),0),0)</f>
        <v>0</v>
      </c>
      <c r="CQ1787" s="52" t="n">
        <f aca="false">IF(AND(Parameter!$B$21="Ja",ISNUMBER(W1787),N(X1787)&gt;0),IFERROR(N(INDEX(Parameter!$L$5:$L$7,W1787))*INDEX(Parameter!$E$5:$E$7,W1787)*X1787/SUMIFS($X$7:$X$1843,$W$7:$W$1843,W1787),0),0)</f>
        <v>0</v>
      </c>
    </row>
    <row r="1788" customFormat="false" ht="15" hidden="false" customHeight="false" outlineLevel="0" collapsed="false">
      <c r="A1788" s="48" t="str">
        <f aca="false">IF('Neue Artikel'!$A$49="","",'Neue Artikel'!$A$49&amp;"")</f>
        <v/>
      </c>
      <c r="B1788" s="48" t="str">
        <f aca="false">'Neue Artikel'!$B$49&amp;""</f>
        <v/>
      </c>
      <c r="C1788" s="48"/>
      <c r="D1788" s="48" t="s">
        <v>3024</v>
      </c>
      <c r="E1788" s="48"/>
      <c r="F1788" s="48"/>
      <c r="G1788" s="49" t="n">
        <f aca="false">N('Neue Artikel'!$G$49)</f>
        <v>0</v>
      </c>
      <c r="H1788" s="50" t="n">
        <f aca="false">MAX(0,IF(AND(Parameter!$B$21="Ja",ISNUMBER(Y1788)),Y1788,IF(Parameter!$B$20="Jahresanfang 2025 + Export",BR1788+BQ1788,BQ1788)))</f>
        <v>0</v>
      </c>
      <c r="I1788" s="50" t="n">
        <f aca="false">H1788*G1788</f>
        <v>0</v>
      </c>
      <c r="J1788" s="50" t="n">
        <f aca="false">BT1788*Parameter!$B$18</f>
        <v>0</v>
      </c>
      <c r="K1788" s="51"/>
      <c r="L1788" s="52"/>
      <c r="M1788" s="50" t="n">
        <f aca="false">N('Neue Artikel'!$E$49)</f>
        <v>0</v>
      </c>
      <c r="N1788" s="50" t="n">
        <f aca="false">N('Neue Artikel'!$F$49)</f>
        <v>0</v>
      </c>
      <c r="O1788" s="53"/>
      <c r="P1788" s="48" t="str">
        <f aca="false">IF('Neue Artikel'!$H$49="","LOSE",UPPER(TRIM('Neue Artikel'!$H$49)))</f>
        <v>LOSE</v>
      </c>
      <c r="Q1788" s="50" t="n">
        <f aca="false">N('Neue Artikel'!$I$49)</f>
        <v>0</v>
      </c>
      <c r="R1788" s="53" t="n">
        <f aca="false">IF(BZ1788=1,0,IFERROR(VLOOKUP(BX1788,'Gebinde-Kategorie'!$A$5:$N$45,13,0)+0,0))</f>
        <v>0</v>
      </c>
      <c r="S1788" s="54"/>
      <c r="T1788" s="55"/>
      <c r="U1788" s="55"/>
      <c r="V1788" s="55"/>
      <c r="W1788" s="48"/>
      <c r="X1788" s="50"/>
      <c r="Y1788" s="50"/>
      <c r="Z1788" s="48" t="str">
        <f aca="false">IF(A1788="","",IF(AND(Parameter!$B$21="Ja",ISNUMBER(W1788)),W1788,IF(CC1788="2+3",IF(ISNUMBER(SEARCH("grosser Artikel",BU1788)),2,IFERROR(VLOOKUP(BX1788,Parameter!$F$35:$G$64,2,0),2)),IF(OR(CC1788="Nein",CC1788=""),"-",CC1788))))</f>
        <v/>
      </c>
      <c r="AA1788" s="48" t="str">
        <f aca="false">IF('Neue Artikel'!$J$49="","",'Neue Artikel'!$J$49)</f>
        <v/>
      </c>
      <c r="AB1788" s="56"/>
      <c r="AC1788" s="50" t="n">
        <f aca="false">AV1788</f>
        <v>0</v>
      </c>
      <c r="AD1788" s="50" t="n">
        <f aca="false">MAX(AV1788,H1788)</f>
        <v>0</v>
      </c>
      <c r="AE1788" s="57"/>
      <c r="AF1788" s="50" t="n">
        <f aca="false">IF(LEFT(Cockpit!$C$5,1)="A",H1788,IF(Parameter!$E$30="MAX-Bestand",IF(CH1788=1,CI1788,IF(LEFT(Cockpit!$C$5,1)="B",AL1788,MAX(AL1788,H1788))),ROUNDUP(AJ1788,0)))</f>
        <v>0</v>
      </c>
      <c r="AG1788" s="50" t="n">
        <f aca="false">IF(BZ1788=1,0,ROUNDUP(AF1788/BY1788,0))</f>
        <v>0</v>
      </c>
      <c r="AH1788" s="52" t="n">
        <f aca="false">IF(CQ1788&gt;0,CQ1788*MAX(1,AF1788/X1788),IF(BZ1788=1,IF(AF1788&lt;=0,0,CD1788*MAX(1,IF(H1788&gt;0,AF1788/H1788,1))),IF(R1788&gt;0,AG1788/R1788,0))/MAX(0.1,N(Parameter!$M$21)))</f>
        <v>0</v>
      </c>
      <c r="AI1788" s="50" t="n">
        <f aca="false">AH1788*CB1788</f>
        <v>0</v>
      </c>
      <c r="AJ1788" s="51" t="n">
        <f aca="false">IF(LEFT(Cockpit!$C$5,1)="A",H1788,IF(CH1788=1,(CK1788+CI1788)/2,IF(LEFT(Cockpit!$C$5,1)="B",(CK1788+AL1788)/2,MAX((CK1788+AL1788)/2,H1788))))</f>
        <v>0</v>
      </c>
      <c r="AK1788" s="50" t="n">
        <f aca="false">AJ1788*G1788</f>
        <v>0</v>
      </c>
      <c r="AL1788" s="50" t="n">
        <f aca="false">ROUNDUP(CK1788+MAX(CL1788,2*(J1788/IF(CG1788&gt;0,CG1788,MAX(0.1,N(Cockpit!$C$6)))-CK1788)),0)</f>
        <v>0</v>
      </c>
      <c r="AM1788" s="51" t="n">
        <f aca="false">IF(AI1788&gt;0,J1788/AI1788,-1)</f>
        <v>-1</v>
      </c>
      <c r="AN1788" s="51" t="str">
        <f aca="false">IF(AND(OR(CF1788="L1",CF1788="L23",CF1788="LIFT"),AI1788&gt;0),SUMIFS($AI$7:$AI$1843,$CF$7:$CF$1843,CF1788,$AM$7:$AM$1843,"&gt;"&amp;AM1788)+SUMIFS($AI$7:$AI$1843,$CF$7:$CF$1843,CF1788,$AM$7:$AM$1843,AM1788,$BW$7:$BW$1843,"&lt;="&amp;BW1788),"")</f>
        <v/>
      </c>
      <c r="AO1788" s="58" t="n">
        <f aca="false">IF(AN1788="",0,MAX(0,MIN(1,(IF(CF1788="L1",Parameter!$H$5,IF(CF1788="L23",Parameter!$H$6+Parameter!$H$7,Parameter!$H$5+Parameter!$H$6+Parameter!$H$7))-(AN1788-AI1788))/AI1788)))</f>
        <v>0</v>
      </c>
      <c r="AP1788" s="50" t="n">
        <f aca="false">IF(LEFT(Cockpit!$I$5,1)="A",H1788,IF(Parameter!$E$30="MAX-Bestand",IF(CH1788=1,CI1788,IF(LEFT(Cockpit!$I$5,1)="B",AV1788,MAX(AV1788,H1788))),ROUNDUP(AT1788,0)))</f>
        <v>0</v>
      </c>
      <c r="AQ1788" s="50" t="n">
        <f aca="false">IF(BZ1788=1,0,ROUNDUP(AP1788/BY1788,0))</f>
        <v>0</v>
      </c>
      <c r="AR1788" s="52" t="n">
        <f aca="false">IF(CQ1788&gt;0,CQ1788*MAX(1,AP1788/X1788),IF(BZ1788=1,IF(AP1788&lt;=0,0,CD1788*MAX(1,IF(H1788&gt;0,AP1788/H1788,1))),IF(R1788&gt;0,AQ1788/R1788,0))/MAX(0.1,N(Parameter!$M$21)))</f>
        <v>0</v>
      </c>
      <c r="AS1788" s="50" t="n">
        <f aca="false">AR1788*CB1788</f>
        <v>0</v>
      </c>
      <c r="AT1788" s="51" t="n">
        <f aca="false">IF(LEFT(Cockpit!$I$5,1)="A",H1788,IF(CH1788=1,(CK1788+CI1788)/2,IF(LEFT(Cockpit!$I$5,1)="B",(CK1788+AV1788)/2,MAX((CK1788+AV1788)/2,H1788))))</f>
        <v>0</v>
      </c>
      <c r="AU1788" s="50" t="n">
        <f aca="false">AT1788*G1788</f>
        <v>0</v>
      </c>
      <c r="AV1788" s="50" t="n">
        <f aca="false">ROUNDUP(CK1788+MAX(CL1788,2*(J1788/IF(CG1788&gt;0,CG1788,MAX(0.1,N(Cockpit!$I$6)))-CK1788)),0)</f>
        <v>0</v>
      </c>
      <c r="AW1788" s="51" t="n">
        <f aca="false">IF(AS1788&gt;0,J1788/AS1788,-1)</f>
        <v>-1</v>
      </c>
      <c r="AX1788" s="51" t="str">
        <f aca="false">IF(AND(OR(CF1788="L1",CF1788="L23",CF1788="LIFT"),AS1788&gt;0),SUMIFS($AS$7:$AS$1843,$CF$7:$CF$1843,CF1788,$AW$7:$AW$1843,"&gt;"&amp;AW1788)+SUMIFS($AS$7:$AS$1843,$CF$7:$CF$1843,CF1788,$AW$7:$AW$1843,AW1788,$BW$7:$BW$1843,"&lt;="&amp;BW1788),"")</f>
        <v/>
      </c>
      <c r="AY1788" s="58" t="n">
        <f aca="false">IF(AX1788="",0,MAX(0,MIN(1,(IF(CF1788="L1",Parameter!$H$5,IF(CF1788="L23",Parameter!$H$6+Parameter!$H$7,Parameter!$H$5+Parameter!$H$6+Parameter!$H$7))-(AX1788-AS1788))/AS1788)))</f>
        <v>0</v>
      </c>
      <c r="AZ1788" s="50" t="n">
        <f aca="false">IF(LEFT(Cockpit!$O$5,1)="A",H1788,IF(Parameter!$E$30="MAX-Bestand",IF(CH1788=1,CI1788,IF(LEFT(Cockpit!$O$5,1)="B",BF1788,MAX(BF1788,H1788))),ROUNDUP(BD1788,0)))</f>
        <v>0</v>
      </c>
      <c r="BA1788" s="50" t="n">
        <f aca="false">IF(BZ1788=1,0,ROUNDUP(AZ1788/BY1788,0))</f>
        <v>0</v>
      </c>
      <c r="BB1788" s="52" t="n">
        <f aca="false">IF(CQ1788&gt;0,CQ1788*MAX(1,AZ1788/X1788),IF(BZ1788=1,IF(AZ1788&lt;=0,0,CD1788*MAX(1,IF(H1788&gt;0,AZ1788/H1788,1))),IF(R1788&gt;0,BA1788/R1788,0))/MAX(0.1,N(Parameter!$M$21)))</f>
        <v>0</v>
      </c>
      <c r="BC1788" s="50" t="n">
        <f aca="false">BB1788*CB1788</f>
        <v>0</v>
      </c>
      <c r="BD1788" s="51" t="n">
        <f aca="false">IF(LEFT(Cockpit!$O$5,1)="A",H1788,IF(CH1788=1,(CK1788+CI1788)/2,IF(LEFT(Cockpit!$O$5,1)="B",(CK1788+BF1788)/2,MAX((CK1788+BF1788)/2,H1788))))</f>
        <v>0</v>
      </c>
      <c r="BE1788" s="50" t="n">
        <f aca="false">BD1788*G1788</f>
        <v>0</v>
      </c>
      <c r="BF1788" s="50" t="n">
        <f aca="false">ROUNDUP(CK1788+MAX(CL1788,2*(J1788/IF(CG1788&gt;0,CG1788,MAX(0.1,N(Cockpit!$O$6)))-CK1788)),0)</f>
        <v>0</v>
      </c>
      <c r="BG1788" s="51" t="n">
        <f aca="false">IF(BC1788&gt;0,J1788/BC1788,-1)</f>
        <v>-1</v>
      </c>
      <c r="BH1788" s="51" t="str">
        <f aca="false">IF(AND(OR(CF1788="L1",CF1788="L23",CF1788="LIFT"),BC1788&gt;0),SUMIFS($BC$7:$BC$1843,$CF$7:$CF$1843,CF1788,$BG$7:$BG$1843,"&gt;"&amp;BG1788)+SUMIFS($BC$7:$BC$1843,$CF$7:$CF$1843,CF1788,$BG$7:$BG$1843,BG1788,$BW$7:$BW$1843,"&lt;="&amp;BW1788),"")</f>
        <v/>
      </c>
      <c r="BI1788" s="58" t="n">
        <f aca="false">IF(BH1788="",0,MAX(0,MIN(1,(IF(CF1788="L1",Parameter!$H$5,IF(CF1788="L23",Parameter!$H$6+Parameter!$H$7,Parameter!$H$5+Parameter!$H$6+Parameter!$H$7))-(BH1788-BC1788))/BC1788)))</f>
        <v>0</v>
      </c>
      <c r="BJ1788" s="48" t="str">
        <f aca="false">IF(AI1788&lt;=0,"",IF(CF1788="Aussen","Aussenlager",IF(CF1788="-","Nicht im Lift",IF(AO1788&gt;=1,"Lift",IF(AO1788&lt;=0,"Aussenlager","teilweise")))))</f>
        <v/>
      </c>
      <c r="BK1788" s="48" t="str">
        <f aca="false">IF(AS1788&lt;=0,"",IF(CF1788="Aussen","Aussenlager",IF(CF1788="-","Nicht im Lift",IF(AY1788&gt;=1,"Lift",IF(AY1788&lt;=0,"Aussenlager","teilweise")))))</f>
        <v/>
      </c>
      <c r="BL1788" s="48" t="str">
        <f aca="false">IF(BC1788&lt;=0,"",IF(CF1788="Aussen","Aussenlager",IF(CF1788="-","Nicht im Lift",IF(BI1788&gt;=1,"Lift",IF(BI1788&lt;=0,"Aussenlager","teilweise")))))</f>
        <v/>
      </c>
      <c r="BM1788" s="48" t="str">
        <f aca="false">IF(A1788="","",IF(BV1788=1,"Neu; ","")&amp;IF(AND(BV1788=0,BQ1788&lt;0),"negativer Bestand (Export "&amp;BQ1788&amp;"); ","")&amp;IF(J1788&lt;=0,"Kein Verbrauch; ","")&amp;IF(CQ1788&gt;0,"Lift "&amp;W1788&amp;" lt. Liftbericht (Fach "&amp;X1788&amp;" Stk); ",IF(CA1788=1,"Gebinde geschätzt ("&amp;T1788&amp;"); ",IF(BZ1788=1,"Lose – Tablare geschätzt; ","")))&amp;IF(H1788&gt;AV1788,"Überbestand "&amp;ROUND(H1788-AV1788,0)&amp;" Stk / CHF "&amp;ROUND((H1788-AV1788)*G1788,0)&amp;"; ","")&amp;IF(AND(CH1788=1,CI1788&lt;CJ1788),"MAX &lt; MB+LG; ","")&amp;IF(AND(CP1788&gt;0,CO1788*10&gt;CP1788),"zu hoch für Tablar; ","")&amp;IF(AND(BV1788=0,OR(CH1788=1,AA1788&lt;&gt;"",U1788&lt;&gt;"",V1788&lt;&gt;"",AB1788&lt;&gt;"")),"manuell übersteuert; ","")&amp;IF(AND(BZ1788=0,R1788=0),"Gebinde unbekannt / Stellmass fehlt; ","")&amp;IF(AND(BZ1788=0,N(V1788)&lt;=0,N(Q1788)&lt;=0),"Menge pro Gebinde fehlt (Ist = 1 Gebinde); ","")&amp;BU1788)</f>
        <v/>
      </c>
      <c r="BN1788" s="48"/>
      <c r="BO1788" s="48"/>
      <c r="BP1788" s="55"/>
      <c r="BQ1788" s="50" t="n">
        <f aca="false">N('Neue Artikel'!$D$49)</f>
        <v>0</v>
      </c>
      <c r="BR1788" s="50" t="n">
        <v>0</v>
      </c>
      <c r="BS1788" s="49" t="n">
        <v>0</v>
      </c>
      <c r="BT1788" s="50" t="n">
        <f aca="false">N('Neue Artikel'!$C$49)/Parameter!$B$18</f>
        <v>0</v>
      </c>
      <c r="BU1788" s="48"/>
      <c r="BV1788" s="53" t="n">
        <v>1</v>
      </c>
      <c r="BW1788" s="53" t="n">
        <v>1788</v>
      </c>
      <c r="BX1788" s="48" t="str">
        <f aca="false">IF(U1788&lt;&gt;"",UPPER(TRIM(U1788)),IF(CA1788=1,UPPER(VLOOKUP(T1788,Parameter!$I$27:$K$29,2,0)),IF(P1788="","LOSE",P1788)))</f>
        <v>LOSE</v>
      </c>
      <c r="BY1788" s="50" t="n">
        <f aca="false">IF(BX1788="LOSE",1,IF(N(V1788)&gt;0,V1788,IF(CA1788=1,MAX(1,N(VLOOKUP(T1788,Parameter!$I$27:$K$29,3,0)),H1788,N(N1788)),IF(N(Q1788)&gt;0,Q1788,MAX(1,H1788)))))</f>
        <v>1</v>
      </c>
      <c r="BZ1788" s="53" t="n">
        <f aca="false">IF(BX1788="LOSE",1,0)</f>
        <v>1</v>
      </c>
      <c r="CA1788" s="53" t="n">
        <f aca="false">IF(AND(U1788="",OR(P1788="",P1788="LOSE"),T1788&lt;&gt;"",N(S1788)&lt;=0,ISNUMBER(MATCH(T1788,Parameter!$I$27:$I$29,0))),1,0)</f>
        <v>0</v>
      </c>
      <c r="CB1788" s="53" t="n">
        <f aca="false">IF(CQ1788&gt;0,INDEX(Parameter!$H$5:$H$7,W1788)/INDEX(Parameter!$E$5:$E$7,W1788),IF(AND(BZ1788=0,N(IFERROR(VLOOKUP(BX1788,'Gebinde-Kategorie'!$A$5:$N$45,14,0),0))&gt;0),VLOOKUP(BX1788,'Gebinde-Kategorie'!$A$5:$N$45,14,0)*10+Parameter!$M$23,Parameter!$M$24))</f>
        <v>235</v>
      </c>
      <c r="CC1788" s="48" t="str">
        <f aca="false">IF(AND(Parameter!$B$19="Ja",E1788&lt;&gt;"",ISNUMBER(MATCH(E1788,Parameter!$I$35:$I$52,0))),VLOOKUP(E1788,Parameter!$I$35:$J$52,2,0),IFERROR(VLOOKUP(D1788,Parameter!$A$35:$C$64,2,0),"Nein"))</f>
        <v>2+3</v>
      </c>
      <c r="CD1788" s="52" t="n">
        <f aca="false">IF(BZ1788=0,0,IF(N(S1788)&gt;0,S1788,IFERROR(VLOOKUP(D1788,Parameter!$A$35:$C$64,3,0)+0,0)))</f>
        <v>0.15</v>
      </c>
      <c r="CE1788" s="48" t="str">
        <f aca="false">IF(AA1788&lt;&gt;"",AA1788,Z1788)</f>
        <v/>
      </c>
      <c r="CF1788" s="48" t="str">
        <f aca="false">IF(OR(CE1788=1,CE1788=2,CE1788=3),IF(Parameter!$E$27="Ja","LIFT",IF(CE1788=1,"L1","L23")),IF(CE1788="Aussen","Aussen","-"))</f>
        <v>-</v>
      </c>
      <c r="CG1788" s="59" t="n">
        <f aca="false">IF(N(AB1788)&gt;0,AB1788,0)</f>
        <v>0</v>
      </c>
      <c r="CH1788" s="53" t="n">
        <f aca="false">IF(ISNUMBER(AE1788),1,0)</f>
        <v>0</v>
      </c>
      <c r="CI1788" s="50" t="n">
        <f aca="false">N(AE1788)</f>
        <v>0</v>
      </c>
      <c r="CJ1788" s="50" t="n">
        <f aca="false">N(M1788)+N(N1788)</f>
        <v>0</v>
      </c>
      <c r="CK1788" s="50" t="n">
        <f aca="false">N(M1788)</f>
        <v>0</v>
      </c>
      <c r="CL1788" s="50" t="n">
        <f aca="false">N(N1788)</f>
        <v>0</v>
      </c>
      <c r="CM1788" s="50" t="n">
        <f aca="false">ROUNDUP(H1788/BY1788,0)</f>
        <v>0</v>
      </c>
      <c r="CN1788" s="50" t="n">
        <f aca="false">ROUNDUP(CI1788/BY1788,0)</f>
        <v>0</v>
      </c>
      <c r="CO1788" s="53" t="n">
        <f aca="false">IF(BZ1788=1,0,IFERROR(VLOOKUP(BX1788,'Gebinde-Kategorie'!$A$5:$N$45,5,0)+0,0))</f>
        <v>0</v>
      </c>
      <c r="CP1788" s="53" t="n">
        <f aca="false">IFERROR(IF(OR(CE1788=1,CE1788=2,CE1788=3),N(INDEX(Parameter!$I$5:$I$7,CE1788)),0),0)</f>
        <v>0</v>
      </c>
      <c r="CQ1788" s="52" t="n">
        <f aca="false">IF(AND(Parameter!$B$21="Ja",ISNUMBER(W1788),N(X1788)&gt;0),IFERROR(N(INDEX(Parameter!$L$5:$L$7,W1788))*INDEX(Parameter!$E$5:$E$7,W1788)*X1788/SUMIFS($X$7:$X$1843,$W$7:$W$1843,W1788),0),0)</f>
        <v>0</v>
      </c>
    </row>
    <row r="1789" customFormat="false" ht="15" hidden="false" customHeight="false" outlineLevel="0" collapsed="false">
      <c r="A1789" s="48" t="str">
        <f aca="false">IF('Neue Artikel'!$A$50="","",'Neue Artikel'!$A$50&amp;"")</f>
        <v/>
      </c>
      <c r="B1789" s="48" t="str">
        <f aca="false">'Neue Artikel'!$B$50&amp;""</f>
        <v/>
      </c>
      <c r="C1789" s="48"/>
      <c r="D1789" s="48" t="s">
        <v>3024</v>
      </c>
      <c r="E1789" s="48"/>
      <c r="F1789" s="48"/>
      <c r="G1789" s="49" t="n">
        <f aca="false">N('Neue Artikel'!$G$50)</f>
        <v>0</v>
      </c>
      <c r="H1789" s="50" t="n">
        <f aca="false">MAX(0,IF(AND(Parameter!$B$21="Ja",ISNUMBER(Y1789)),Y1789,IF(Parameter!$B$20="Jahresanfang 2025 + Export",BR1789+BQ1789,BQ1789)))</f>
        <v>0</v>
      </c>
      <c r="I1789" s="50" t="n">
        <f aca="false">H1789*G1789</f>
        <v>0</v>
      </c>
      <c r="J1789" s="50" t="n">
        <f aca="false">BT1789*Parameter!$B$18</f>
        <v>0</v>
      </c>
      <c r="K1789" s="51"/>
      <c r="L1789" s="52"/>
      <c r="M1789" s="50" t="n">
        <f aca="false">N('Neue Artikel'!$E$50)</f>
        <v>0</v>
      </c>
      <c r="N1789" s="50" t="n">
        <f aca="false">N('Neue Artikel'!$F$50)</f>
        <v>0</v>
      </c>
      <c r="O1789" s="53"/>
      <c r="P1789" s="48" t="str">
        <f aca="false">IF('Neue Artikel'!$H$50="","LOSE",UPPER(TRIM('Neue Artikel'!$H$50)))</f>
        <v>LOSE</v>
      </c>
      <c r="Q1789" s="50" t="n">
        <f aca="false">N('Neue Artikel'!$I$50)</f>
        <v>0</v>
      </c>
      <c r="R1789" s="53" t="n">
        <f aca="false">IF(BZ1789=1,0,IFERROR(VLOOKUP(BX1789,'Gebinde-Kategorie'!$A$5:$N$45,13,0)+0,0))</f>
        <v>0</v>
      </c>
      <c r="S1789" s="54"/>
      <c r="T1789" s="55"/>
      <c r="U1789" s="55"/>
      <c r="V1789" s="55"/>
      <c r="W1789" s="48"/>
      <c r="X1789" s="50"/>
      <c r="Y1789" s="50"/>
      <c r="Z1789" s="48" t="str">
        <f aca="false">IF(A1789="","",IF(AND(Parameter!$B$21="Ja",ISNUMBER(W1789)),W1789,IF(CC1789="2+3",IF(ISNUMBER(SEARCH("grosser Artikel",BU1789)),2,IFERROR(VLOOKUP(BX1789,Parameter!$F$35:$G$64,2,0),2)),IF(OR(CC1789="Nein",CC1789=""),"-",CC1789))))</f>
        <v/>
      </c>
      <c r="AA1789" s="48" t="str">
        <f aca="false">IF('Neue Artikel'!$J$50="","",'Neue Artikel'!$J$50)</f>
        <v/>
      </c>
      <c r="AB1789" s="56"/>
      <c r="AC1789" s="50" t="n">
        <f aca="false">AV1789</f>
        <v>0</v>
      </c>
      <c r="AD1789" s="50" t="n">
        <f aca="false">MAX(AV1789,H1789)</f>
        <v>0</v>
      </c>
      <c r="AE1789" s="57"/>
      <c r="AF1789" s="50" t="n">
        <f aca="false">IF(LEFT(Cockpit!$C$5,1)="A",H1789,IF(Parameter!$E$30="MAX-Bestand",IF(CH1789=1,CI1789,IF(LEFT(Cockpit!$C$5,1)="B",AL1789,MAX(AL1789,H1789))),ROUNDUP(AJ1789,0)))</f>
        <v>0</v>
      </c>
      <c r="AG1789" s="50" t="n">
        <f aca="false">IF(BZ1789=1,0,ROUNDUP(AF1789/BY1789,0))</f>
        <v>0</v>
      </c>
      <c r="AH1789" s="52" t="n">
        <f aca="false">IF(CQ1789&gt;0,CQ1789*MAX(1,AF1789/X1789),IF(BZ1789=1,IF(AF1789&lt;=0,0,CD1789*MAX(1,IF(H1789&gt;0,AF1789/H1789,1))),IF(R1789&gt;0,AG1789/R1789,0))/MAX(0.1,N(Parameter!$M$21)))</f>
        <v>0</v>
      </c>
      <c r="AI1789" s="50" t="n">
        <f aca="false">AH1789*CB1789</f>
        <v>0</v>
      </c>
      <c r="AJ1789" s="51" t="n">
        <f aca="false">IF(LEFT(Cockpit!$C$5,1)="A",H1789,IF(CH1789=1,(CK1789+CI1789)/2,IF(LEFT(Cockpit!$C$5,1)="B",(CK1789+AL1789)/2,MAX((CK1789+AL1789)/2,H1789))))</f>
        <v>0</v>
      </c>
      <c r="AK1789" s="50" t="n">
        <f aca="false">AJ1789*G1789</f>
        <v>0</v>
      </c>
      <c r="AL1789" s="50" t="n">
        <f aca="false">ROUNDUP(CK1789+MAX(CL1789,2*(J1789/IF(CG1789&gt;0,CG1789,MAX(0.1,N(Cockpit!$C$6)))-CK1789)),0)</f>
        <v>0</v>
      </c>
      <c r="AM1789" s="51" t="n">
        <f aca="false">IF(AI1789&gt;0,J1789/AI1789,-1)</f>
        <v>-1</v>
      </c>
      <c r="AN1789" s="51" t="str">
        <f aca="false">IF(AND(OR(CF1789="L1",CF1789="L23",CF1789="LIFT"),AI1789&gt;0),SUMIFS($AI$7:$AI$1843,$CF$7:$CF$1843,CF1789,$AM$7:$AM$1843,"&gt;"&amp;AM1789)+SUMIFS($AI$7:$AI$1843,$CF$7:$CF$1843,CF1789,$AM$7:$AM$1843,AM1789,$BW$7:$BW$1843,"&lt;="&amp;BW1789),"")</f>
        <v/>
      </c>
      <c r="AO1789" s="58" t="n">
        <f aca="false">IF(AN1789="",0,MAX(0,MIN(1,(IF(CF1789="L1",Parameter!$H$5,IF(CF1789="L23",Parameter!$H$6+Parameter!$H$7,Parameter!$H$5+Parameter!$H$6+Parameter!$H$7))-(AN1789-AI1789))/AI1789)))</f>
        <v>0</v>
      </c>
      <c r="AP1789" s="50" t="n">
        <f aca="false">IF(LEFT(Cockpit!$I$5,1)="A",H1789,IF(Parameter!$E$30="MAX-Bestand",IF(CH1789=1,CI1789,IF(LEFT(Cockpit!$I$5,1)="B",AV1789,MAX(AV1789,H1789))),ROUNDUP(AT1789,0)))</f>
        <v>0</v>
      </c>
      <c r="AQ1789" s="50" t="n">
        <f aca="false">IF(BZ1789=1,0,ROUNDUP(AP1789/BY1789,0))</f>
        <v>0</v>
      </c>
      <c r="AR1789" s="52" t="n">
        <f aca="false">IF(CQ1789&gt;0,CQ1789*MAX(1,AP1789/X1789),IF(BZ1789=1,IF(AP1789&lt;=0,0,CD1789*MAX(1,IF(H1789&gt;0,AP1789/H1789,1))),IF(R1789&gt;0,AQ1789/R1789,0))/MAX(0.1,N(Parameter!$M$21)))</f>
        <v>0</v>
      </c>
      <c r="AS1789" s="50" t="n">
        <f aca="false">AR1789*CB1789</f>
        <v>0</v>
      </c>
      <c r="AT1789" s="51" t="n">
        <f aca="false">IF(LEFT(Cockpit!$I$5,1)="A",H1789,IF(CH1789=1,(CK1789+CI1789)/2,IF(LEFT(Cockpit!$I$5,1)="B",(CK1789+AV1789)/2,MAX((CK1789+AV1789)/2,H1789))))</f>
        <v>0</v>
      </c>
      <c r="AU1789" s="50" t="n">
        <f aca="false">AT1789*G1789</f>
        <v>0</v>
      </c>
      <c r="AV1789" s="50" t="n">
        <f aca="false">ROUNDUP(CK1789+MAX(CL1789,2*(J1789/IF(CG1789&gt;0,CG1789,MAX(0.1,N(Cockpit!$I$6)))-CK1789)),0)</f>
        <v>0</v>
      </c>
      <c r="AW1789" s="51" t="n">
        <f aca="false">IF(AS1789&gt;0,J1789/AS1789,-1)</f>
        <v>-1</v>
      </c>
      <c r="AX1789" s="51" t="str">
        <f aca="false">IF(AND(OR(CF1789="L1",CF1789="L23",CF1789="LIFT"),AS1789&gt;0),SUMIFS($AS$7:$AS$1843,$CF$7:$CF$1843,CF1789,$AW$7:$AW$1843,"&gt;"&amp;AW1789)+SUMIFS($AS$7:$AS$1843,$CF$7:$CF$1843,CF1789,$AW$7:$AW$1843,AW1789,$BW$7:$BW$1843,"&lt;="&amp;BW1789),"")</f>
        <v/>
      </c>
      <c r="AY1789" s="58" t="n">
        <f aca="false">IF(AX1789="",0,MAX(0,MIN(1,(IF(CF1789="L1",Parameter!$H$5,IF(CF1789="L23",Parameter!$H$6+Parameter!$H$7,Parameter!$H$5+Parameter!$H$6+Parameter!$H$7))-(AX1789-AS1789))/AS1789)))</f>
        <v>0</v>
      </c>
      <c r="AZ1789" s="50" t="n">
        <f aca="false">IF(LEFT(Cockpit!$O$5,1)="A",H1789,IF(Parameter!$E$30="MAX-Bestand",IF(CH1789=1,CI1789,IF(LEFT(Cockpit!$O$5,1)="B",BF1789,MAX(BF1789,H1789))),ROUNDUP(BD1789,0)))</f>
        <v>0</v>
      </c>
      <c r="BA1789" s="50" t="n">
        <f aca="false">IF(BZ1789=1,0,ROUNDUP(AZ1789/BY1789,0))</f>
        <v>0</v>
      </c>
      <c r="BB1789" s="52" t="n">
        <f aca="false">IF(CQ1789&gt;0,CQ1789*MAX(1,AZ1789/X1789),IF(BZ1789=1,IF(AZ1789&lt;=0,0,CD1789*MAX(1,IF(H1789&gt;0,AZ1789/H1789,1))),IF(R1789&gt;0,BA1789/R1789,0))/MAX(0.1,N(Parameter!$M$21)))</f>
        <v>0</v>
      </c>
      <c r="BC1789" s="50" t="n">
        <f aca="false">BB1789*CB1789</f>
        <v>0</v>
      </c>
      <c r="BD1789" s="51" t="n">
        <f aca="false">IF(LEFT(Cockpit!$O$5,1)="A",H1789,IF(CH1789=1,(CK1789+CI1789)/2,IF(LEFT(Cockpit!$O$5,1)="B",(CK1789+BF1789)/2,MAX((CK1789+BF1789)/2,H1789))))</f>
        <v>0</v>
      </c>
      <c r="BE1789" s="50" t="n">
        <f aca="false">BD1789*G1789</f>
        <v>0</v>
      </c>
      <c r="BF1789" s="50" t="n">
        <f aca="false">ROUNDUP(CK1789+MAX(CL1789,2*(J1789/IF(CG1789&gt;0,CG1789,MAX(0.1,N(Cockpit!$O$6)))-CK1789)),0)</f>
        <v>0</v>
      </c>
      <c r="BG1789" s="51" t="n">
        <f aca="false">IF(BC1789&gt;0,J1789/BC1789,-1)</f>
        <v>-1</v>
      </c>
      <c r="BH1789" s="51" t="str">
        <f aca="false">IF(AND(OR(CF1789="L1",CF1789="L23",CF1789="LIFT"),BC1789&gt;0),SUMIFS($BC$7:$BC$1843,$CF$7:$CF$1843,CF1789,$BG$7:$BG$1843,"&gt;"&amp;BG1789)+SUMIFS($BC$7:$BC$1843,$CF$7:$CF$1843,CF1789,$BG$7:$BG$1843,BG1789,$BW$7:$BW$1843,"&lt;="&amp;BW1789),"")</f>
        <v/>
      </c>
      <c r="BI1789" s="58" t="n">
        <f aca="false">IF(BH1789="",0,MAX(0,MIN(1,(IF(CF1789="L1",Parameter!$H$5,IF(CF1789="L23",Parameter!$H$6+Parameter!$H$7,Parameter!$H$5+Parameter!$H$6+Parameter!$H$7))-(BH1789-BC1789))/BC1789)))</f>
        <v>0</v>
      </c>
      <c r="BJ1789" s="48" t="str">
        <f aca="false">IF(AI1789&lt;=0,"",IF(CF1789="Aussen","Aussenlager",IF(CF1789="-","Nicht im Lift",IF(AO1789&gt;=1,"Lift",IF(AO1789&lt;=0,"Aussenlager","teilweise")))))</f>
        <v/>
      </c>
      <c r="BK1789" s="48" t="str">
        <f aca="false">IF(AS1789&lt;=0,"",IF(CF1789="Aussen","Aussenlager",IF(CF1789="-","Nicht im Lift",IF(AY1789&gt;=1,"Lift",IF(AY1789&lt;=0,"Aussenlager","teilweise")))))</f>
        <v/>
      </c>
      <c r="BL1789" s="48" t="str">
        <f aca="false">IF(BC1789&lt;=0,"",IF(CF1789="Aussen","Aussenlager",IF(CF1789="-","Nicht im Lift",IF(BI1789&gt;=1,"Lift",IF(BI1789&lt;=0,"Aussenlager","teilweise")))))</f>
        <v/>
      </c>
      <c r="BM1789" s="48" t="str">
        <f aca="false">IF(A1789="","",IF(BV1789=1,"Neu; ","")&amp;IF(AND(BV1789=0,BQ1789&lt;0),"negativer Bestand (Export "&amp;BQ1789&amp;"); ","")&amp;IF(J1789&lt;=0,"Kein Verbrauch; ","")&amp;IF(CQ1789&gt;0,"Lift "&amp;W1789&amp;" lt. Liftbericht (Fach "&amp;X1789&amp;" Stk); ",IF(CA1789=1,"Gebinde geschätzt ("&amp;T1789&amp;"); ",IF(BZ1789=1,"Lose – Tablare geschätzt; ","")))&amp;IF(H1789&gt;AV1789,"Überbestand "&amp;ROUND(H1789-AV1789,0)&amp;" Stk / CHF "&amp;ROUND((H1789-AV1789)*G1789,0)&amp;"; ","")&amp;IF(AND(CH1789=1,CI1789&lt;CJ1789),"MAX &lt; MB+LG; ","")&amp;IF(AND(CP1789&gt;0,CO1789*10&gt;CP1789),"zu hoch für Tablar; ","")&amp;IF(AND(BV1789=0,OR(CH1789=1,AA1789&lt;&gt;"",U1789&lt;&gt;"",V1789&lt;&gt;"",AB1789&lt;&gt;"")),"manuell übersteuert; ","")&amp;IF(AND(BZ1789=0,R1789=0),"Gebinde unbekannt / Stellmass fehlt; ","")&amp;IF(AND(BZ1789=0,N(V1789)&lt;=0,N(Q1789)&lt;=0),"Menge pro Gebinde fehlt (Ist = 1 Gebinde); ","")&amp;BU1789)</f>
        <v/>
      </c>
      <c r="BN1789" s="48"/>
      <c r="BO1789" s="48"/>
      <c r="BP1789" s="55"/>
      <c r="BQ1789" s="50" t="n">
        <f aca="false">N('Neue Artikel'!$D$50)</f>
        <v>0</v>
      </c>
      <c r="BR1789" s="50" t="n">
        <v>0</v>
      </c>
      <c r="BS1789" s="49" t="n">
        <v>0</v>
      </c>
      <c r="BT1789" s="50" t="n">
        <f aca="false">N('Neue Artikel'!$C$50)/Parameter!$B$18</f>
        <v>0</v>
      </c>
      <c r="BU1789" s="48"/>
      <c r="BV1789" s="53" t="n">
        <v>1</v>
      </c>
      <c r="BW1789" s="53" t="n">
        <v>1789</v>
      </c>
      <c r="BX1789" s="48" t="str">
        <f aca="false">IF(U1789&lt;&gt;"",UPPER(TRIM(U1789)),IF(CA1789=1,UPPER(VLOOKUP(T1789,Parameter!$I$27:$K$29,2,0)),IF(P1789="","LOSE",P1789)))</f>
        <v>LOSE</v>
      </c>
      <c r="BY1789" s="50" t="n">
        <f aca="false">IF(BX1789="LOSE",1,IF(N(V1789)&gt;0,V1789,IF(CA1789=1,MAX(1,N(VLOOKUP(T1789,Parameter!$I$27:$K$29,3,0)),H1789,N(N1789)),IF(N(Q1789)&gt;0,Q1789,MAX(1,H1789)))))</f>
        <v>1</v>
      </c>
      <c r="BZ1789" s="53" t="n">
        <f aca="false">IF(BX1789="LOSE",1,0)</f>
        <v>1</v>
      </c>
      <c r="CA1789" s="53" t="n">
        <f aca="false">IF(AND(U1789="",OR(P1789="",P1789="LOSE"),T1789&lt;&gt;"",N(S1789)&lt;=0,ISNUMBER(MATCH(T1789,Parameter!$I$27:$I$29,0))),1,0)</f>
        <v>0</v>
      </c>
      <c r="CB1789" s="53" t="n">
        <f aca="false">IF(CQ1789&gt;0,INDEX(Parameter!$H$5:$H$7,W1789)/INDEX(Parameter!$E$5:$E$7,W1789),IF(AND(BZ1789=0,N(IFERROR(VLOOKUP(BX1789,'Gebinde-Kategorie'!$A$5:$N$45,14,0),0))&gt;0),VLOOKUP(BX1789,'Gebinde-Kategorie'!$A$5:$N$45,14,0)*10+Parameter!$M$23,Parameter!$M$24))</f>
        <v>235</v>
      </c>
      <c r="CC1789" s="48" t="str">
        <f aca="false">IF(AND(Parameter!$B$19="Ja",E1789&lt;&gt;"",ISNUMBER(MATCH(E1789,Parameter!$I$35:$I$52,0))),VLOOKUP(E1789,Parameter!$I$35:$J$52,2,0),IFERROR(VLOOKUP(D1789,Parameter!$A$35:$C$64,2,0),"Nein"))</f>
        <v>2+3</v>
      </c>
      <c r="CD1789" s="52" t="n">
        <f aca="false">IF(BZ1789=0,0,IF(N(S1789)&gt;0,S1789,IFERROR(VLOOKUP(D1789,Parameter!$A$35:$C$64,3,0)+0,0)))</f>
        <v>0.15</v>
      </c>
      <c r="CE1789" s="48" t="str">
        <f aca="false">IF(AA1789&lt;&gt;"",AA1789,Z1789)</f>
        <v/>
      </c>
      <c r="CF1789" s="48" t="str">
        <f aca="false">IF(OR(CE1789=1,CE1789=2,CE1789=3),IF(Parameter!$E$27="Ja","LIFT",IF(CE1789=1,"L1","L23")),IF(CE1789="Aussen","Aussen","-"))</f>
        <v>-</v>
      </c>
      <c r="CG1789" s="59" t="n">
        <f aca="false">IF(N(AB1789)&gt;0,AB1789,0)</f>
        <v>0</v>
      </c>
      <c r="CH1789" s="53" t="n">
        <f aca="false">IF(ISNUMBER(AE1789),1,0)</f>
        <v>0</v>
      </c>
      <c r="CI1789" s="50" t="n">
        <f aca="false">N(AE1789)</f>
        <v>0</v>
      </c>
      <c r="CJ1789" s="50" t="n">
        <f aca="false">N(M1789)+N(N1789)</f>
        <v>0</v>
      </c>
      <c r="CK1789" s="50" t="n">
        <f aca="false">N(M1789)</f>
        <v>0</v>
      </c>
      <c r="CL1789" s="50" t="n">
        <f aca="false">N(N1789)</f>
        <v>0</v>
      </c>
      <c r="CM1789" s="50" t="n">
        <f aca="false">ROUNDUP(H1789/BY1789,0)</f>
        <v>0</v>
      </c>
      <c r="CN1789" s="50" t="n">
        <f aca="false">ROUNDUP(CI1789/BY1789,0)</f>
        <v>0</v>
      </c>
      <c r="CO1789" s="53" t="n">
        <f aca="false">IF(BZ1789=1,0,IFERROR(VLOOKUP(BX1789,'Gebinde-Kategorie'!$A$5:$N$45,5,0)+0,0))</f>
        <v>0</v>
      </c>
      <c r="CP1789" s="53" t="n">
        <f aca="false">IFERROR(IF(OR(CE1789=1,CE1789=2,CE1789=3),N(INDEX(Parameter!$I$5:$I$7,CE1789)),0),0)</f>
        <v>0</v>
      </c>
      <c r="CQ1789" s="52" t="n">
        <f aca="false">IF(AND(Parameter!$B$21="Ja",ISNUMBER(W1789),N(X1789)&gt;0),IFERROR(N(INDEX(Parameter!$L$5:$L$7,W1789))*INDEX(Parameter!$E$5:$E$7,W1789)*X1789/SUMIFS($X$7:$X$1843,$W$7:$W$1843,W1789),0),0)</f>
        <v>0</v>
      </c>
    </row>
    <row r="1790" customFormat="false" ht="15" hidden="false" customHeight="false" outlineLevel="0" collapsed="false">
      <c r="A1790" s="48" t="str">
        <f aca="false">IF('Neue Artikel'!$A$51="","",'Neue Artikel'!$A$51&amp;"")</f>
        <v/>
      </c>
      <c r="B1790" s="48" t="str">
        <f aca="false">'Neue Artikel'!$B$51&amp;""</f>
        <v/>
      </c>
      <c r="C1790" s="48"/>
      <c r="D1790" s="48" t="s">
        <v>3024</v>
      </c>
      <c r="E1790" s="48"/>
      <c r="F1790" s="48"/>
      <c r="G1790" s="49" t="n">
        <f aca="false">N('Neue Artikel'!$G$51)</f>
        <v>0</v>
      </c>
      <c r="H1790" s="50" t="n">
        <f aca="false">MAX(0,IF(AND(Parameter!$B$21="Ja",ISNUMBER(Y1790)),Y1790,IF(Parameter!$B$20="Jahresanfang 2025 + Export",BR1790+BQ1790,BQ1790)))</f>
        <v>0</v>
      </c>
      <c r="I1790" s="50" t="n">
        <f aca="false">H1790*G1790</f>
        <v>0</v>
      </c>
      <c r="J1790" s="50" t="n">
        <f aca="false">BT1790*Parameter!$B$18</f>
        <v>0</v>
      </c>
      <c r="K1790" s="51"/>
      <c r="L1790" s="52"/>
      <c r="M1790" s="50" t="n">
        <f aca="false">N('Neue Artikel'!$E$51)</f>
        <v>0</v>
      </c>
      <c r="N1790" s="50" t="n">
        <f aca="false">N('Neue Artikel'!$F$51)</f>
        <v>0</v>
      </c>
      <c r="O1790" s="53"/>
      <c r="P1790" s="48" t="str">
        <f aca="false">IF('Neue Artikel'!$H$51="","LOSE",UPPER(TRIM('Neue Artikel'!$H$51)))</f>
        <v>LOSE</v>
      </c>
      <c r="Q1790" s="50" t="n">
        <f aca="false">N('Neue Artikel'!$I$51)</f>
        <v>0</v>
      </c>
      <c r="R1790" s="53" t="n">
        <f aca="false">IF(BZ1790=1,0,IFERROR(VLOOKUP(BX1790,'Gebinde-Kategorie'!$A$5:$N$45,13,0)+0,0))</f>
        <v>0</v>
      </c>
      <c r="S1790" s="54"/>
      <c r="T1790" s="55"/>
      <c r="U1790" s="55"/>
      <c r="V1790" s="55"/>
      <c r="W1790" s="48"/>
      <c r="X1790" s="50"/>
      <c r="Y1790" s="50"/>
      <c r="Z1790" s="48" t="str">
        <f aca="false">IF(A1790="","",IF(AND(Parameter!$B$21="Ja",ISNUMBER(W1790)),W1790,IF(CC1790="2+3",IF(ISNUMBER(SEARCH("grosser Artikel",BU1790)),2,IFERROR(VLOOKUP(BX1790,Parameter!$F$35:$G$64,2,0),2)),IF(OR(CC1790="Nein",CC1790=""),"-",CC1790))))</f>
        <v/>
      </c>
      <c r="AA1790" s="48" t="str">
        <f aca="false">IF('Neue Artikel'!$J$51="","",'Neue Artikel'!$J$51)</f>
        <v/>
      </c>
      <c r="AB1790" s="56"/>
      <c r="AC1790" s="50" t="n">
        <f aca="false">AV1790</f>
        <v>0</v>
      </c>
      <c r="AD1790" s="50" t="n">
        <f aca="false">MAX(AV1790,H1790)</f>
        <v>0</v>
      </c>
      <c r="AE1790" s="57"/>
      <c r="AF1790" s="50" t="n">
        <f aca="false">IF(LEFT(Cockpit!$C$5,1)="A",H1790,IF(Parameter!$E$30="MAX-Bestand",IF(CH1790=1,CI1790,IF(LEFT(Cockpit!$C$5,1)="B",AL1790,MAX(AL1790,H1790))),ROUNDUP(AJ1790,0)))</f>
        <v>0</v>
      </c>
      <c r="AG1790" s="50" t="n">
        <f aca="false">IF(BZ1790=1,0,ROUNDUP(AF1790/BY1790,0))</f>
        <v>0</v>
      </c>
      <c r="AH1790" s="52" t="n">
        <f aca="false">IF(CQ1790&gt;0,CQ1790*MAX(1,AF1790/X1790),IF(BZ1790=1,IF(AF1790&lt;=0,0,CD1790*MAX(1,IF(H1790&gt;0,AF1790/H1790,1))),IF(R1790&gt;0,AG1790/R1790,0))/MAX(0.1,N(Parameter!$M$21)))</f>
        <v>0</v>
      </c>
      <c r="AI1790" s="50" t="n">
        <f aca="false">AH1790*CB1790</f>
        <v>0</v>
      </c>
      <c r="AJ1790" s="51" t="n">
        <f aca="false">IF(LEFT(Cockpit!$C$5,1)="A",H1790,IF(CH1790=1,(CK1790+CI1790)/2,IF(LEFT(Cockpit!$C$5,1)="B",(CK1790+AL1790)/2,MAX((CK1790+AL1790)/2,H1790))))</f>
        <v>0</v>
      </c>
      <c r="AK1790" s="50" t="n">
        <f aca="false">AJ1790*G1790</f>
        <v>0</v>
      </c>
      <c r="AL1790" s="50" t="n">
        <f aca="false">ROUNDUP(CK1790+MAX(CL1790,2*(J1790/IF(CG1790&gt;0,CG1790,MAX(0.1,N(Cockpit!$C$6)))-CK1790)),0)</f>
        <v>0</v>
      </c>
      <c r="AM1790" s="51" t="n">
        <f aca="false">IF(AI1790&gt;0,J1790/AI1790,-1)</f>
        <v>-1</v>
      </c>
      <c r="AN1790" s="51" t="str">
        <f aca="false">IF(AND(OR(CF1790="L1",CF1790="L23",CF1790="LIFT"),AI1790&gt;0),SUMIFS($AI$7:$AI$1843,$CF$7:$CF$1843,CF1790,$AM$7:$AM$1843,"&gt;"&amp;AM1790)+SUMIFS($AI$7:$AI$1843,$CF$7:$CF$1843,CF1790,$AM$7:$AM$1843,AM1790,$BW$7:$BW$1843,"&lt;="&amp;BW1790),"")</f>
        <v/>
      </c>
      <c r="AO1790" s="58" t="n">
        <f aca="false">IF(AN1790="",0,MAX(0,MIN(1,(IF(CF1790="L1",Parameter!$H$5,IF(CF1790="L23",Parameter!$H$6+Parameter!$H$7,Parameter!$H$5+Parameter!$H$6+Parameter!$H$7))-(AN1790-AI1790))/AI1790)))</f>
        <v>0</v>
      </c>
      <c r="AP1790" s="50" t="n">
        <f aca="false">IF(LEFT(Cockpit!$I$5,1)="A",H1790,IF(Parameter!$E$30="MAX-Bestand",IF(CH1790=1,CI1790,IF(LEFT(Cockpit!$I$5,1)="B",AV1790,MAX(AV1790,H1790))),ROUNDUP(AT1790,0)))</f>
        <v>0</v>
      </c>
      <c r="AQ1790" s="50" t="n">
        <f aca="false">IF(BZ1790=1,0,ROUNDUP(AP1790/BY1790,0))</f>
        <v>0</v>
      </c>
      <c r="AR1790" s="52" t="n">
        <f aca="false">IF(CQ1790&gt;0,CQ1790*MAX(1,AP1790/X1790),IF(BZ1790=1,IF(AP1790&lt;=0,0,CD1790*MAX(1,IF(H1790&gt;0,AP1790/H1790,1))),IF(R1790&gt;0,AQ1790/R1790,0))/MAX(0.1,N(Parameter!$M$21)))</f>
        <v>0</v>
      </c>
      <c r="AS1790" s="50" t="n">
        <f aca="false">AR1790*CB1790</f>
        <v>0</v>
      </c>
      <c r="AT1790" s="51" t="n">
        <f aca="false">IF(LEFT(Cockpit!$I$5,1)="A",H1790,IF(CH1790=1,(CK1790+CI1790)/2,IF(LEFT(Cockpit!$I$5,1)="B",(CK1790+AV1790)/2,MAX((CK1790+AV1790)/2,H1790))))</f>
        <v>0</v>
      </c>
      <c r="AU1790" s="50" t="n">
        <f aca="false">AT1790*G1790</f>
        <v>0</v>
      </c>
      <c r="AV1790" s="50" t="n">
        <f aca="false">ROUNDUP(CK1790+MAX(CL1790,2*(J1790/IF(CG1790&gt;0,CG1790,MAX(0.1,N(Cockpit!$I$6)))-CK1790)),0)</f>
        <v>0</v>
      </c>
      <c r="AW1790" s="51" t="n">
        <f aca="false">IF(AS1790&gt;0,J1790/AS1790,-1)</f>
        <v>-1</v>
      </c>
      <c r="AX1790" s="51" t="str">
        <f aca="false">IF(AND(OR(CF1790="L1",CF1790="L23",CF1790="LIFT"),AS1790&gt;0),SUMIFS($AS$7:$AS$1843,$CF$7:$CF$1843,CF1790,$AW$7:$AW$1843,"&gt;"&amp;AW1790)+SUMIFS($AS$7:$AS$1843,$CF$7:$CF$1843,CF1790,$AW$7:$AW$1843,AW1790,$BW$7:$BW$1843,"&lt;="&amp;BW1790),"")</f>
        <v/>
      </c>
      <c r="AY1790" s="58" t="n">
        <f aca="false">IF(AX1790="",0,MAX(0,MIN(1,(IF(CF1790="L1",Parameter!$H$5,IF(CF1790="L23",Parameter!$H$6+Parameter!$H$7,Parameter!$H$5+Parameter!$H$6+Parameter!$H$7))-(AX1790-AS1790))/AS1790)))</f>
        <v>0</v>
      </c>
      <c r="AZ1790" s="50" t="n">
        <f aca="false">IF(LEFT(Cockpit!$O$5,1)="A",H1790,IF(Parameter!$E$30="MAX-Bestand",IF(CH1790=1,CI1790,IF(LEFT(Cockpit!$O$5,1)="B",BF1790,MAX(BF1790,H1790))),ROUNDUP(BD1790,0)))</f>
        <v>0</v>
      </c>
      <c r="BA1790" s="50" t="n">
        <f aca="false">IF(BZ1790=1,0,ROUNDUP(AZ1790/BY1790,0))</f>
        <v>0</v>
      </c>
      <c r="BB1790" s="52" t="n">
        <f aca="false">IF(CQ1790&gt;0,CQ1790*MAX(1,AZ1790/X1790),IF(BZ1790=1,IF(AZ1790&lt;=0,0,CD1790*MAX(1,IF(H1790&gt;0,AZ1790/H1790,1))),IF(R1790&gt;0,BA1790/R1790,0))/MAX(0.1,N(Parameter!$M$21)))</f>
        <v>0</v>
      </c>
      <c r="BC1790" s="50" t="n">
        <f aca="false">BB1790*CB1790</f>
        <v>0</v>
      </c>
      <c r="BD1790" s="51" t="n">
        <f aca="false">IF(LEFT(Cockpit!$O$5,1)="A",H1790,IF(CH1790=1,(CK1790+CI1790)/2,IF(LEFT(Cockpit!$O$5,1)="B",(CK1790+BF1790)/2,MAX((CK1790+BF1790)/2,H1790))))</f>
        <v>0</v>
      </c>
      <c r="BE1790" s="50" t="n">
        <f aca="false">BD1790*G1790</f>
        <v>0</v>
      </c>
      <c r="BF1790" s="50" t="n">
        <f aca="false">ROUNDUP(CK1790+MAX(CL1790,2*(J1790/IF(CG1790&gt;0,CG1790,MAX(0.1,N(Cockpit!$O$6)))-CK1790)),0)</f>
        <v>0</v>
      </c>
      <c r="BG1790" s="51" t="n">
        <f aca="false">IF(BC1790&gt;0,J1790/BC1790,-1)</f>
        <v>-1</v>
      </c>
      <c r="BH1790" s="51" t="str">
        <f aca="false">IF(AND(OR(CF1790="L1",CF1790="L23",CF1790="LIFT"),BC1790&gt;0),SUMIFS($BC$7:$BC$1843,$CF$7:$CF$1843,CF1790,$BG$7:$BG$1843,"&gt;"&amp;BG1790)+SUMIFS($BC$7:$BC$1843,$CF$7:$CF$1843,CF1790,$BG$7:$BG$1843,BG1790,$BW$7:$BW$1843,"&lt;="&amp;BW1790),"")</f>
        <v/>
      </c>
      <c r="BI1790" s="58" t="n">
        <f aca="false">IF(BH1790="",0,MAX(0,MIN(1,(IF(CF1790="L1",Parameter!$H$5,IF(CF1790="L23",Parameter!$H$6+Parameter!$H$7,Parameter!$H$5+Parameter!$H$6+Parameter!$H$7))-(BH1790-BC1790))/BC1790)))</f>
        <v>0</v>
      </c>
      <c r="BJ1790" s="48" t="str">
        <f aca="false">IF(AI1790&lt;=0,"",IF(CF1790="Aussen","Aussenlager",IF(CF1790="-","Nicht im Lift",IF(AO1790&gt;=1,"Lift",IF(AO1790&lt;=0,"Aussenlager","teilweise")))))</f>
        <v/>
      </c>
      <c r="BK1790" s="48" t="str">
        <f aca="false">IF(AS1790&lt;=0,"",IF(CF1790="Aussen","Aussenlager",IF(CF1790="-","Nicht im Lift",IF(AY1790&gt;=1,"Lift",IF(AY1790&lt;=0,"Aussenlager","teilweise")))))</f>
        <v/>
      </c>
      <c r="BL1790" s="48" t="str">
        <f aca="false">IF(BC1790&lt;=0,"",IF(CF1790="Aussen","Aussenlager",IF(CF1790="-","Nicht im Lift",IF(BI1790&gt;=1,"Lift",IF(BI1790&lt;=0,"Aussenlager","teilweise")))))</f>
        <v/>
      </c>
      <c r="BM1790" s="48" t="str">
        <f aca="false">IF(A1790="","",IF(BV1790=1,"Neu; ","")&amp;IF(AND(BV1790=0,BQ1790&lt;0),"negativer Bestand (Export "&amp;BQ1790&amp;"); ","")&amp;IF(J1790&lt;=0,"Kein Verbrauch; ","")&amp;IF(CQ1790&gt;0,"Lift "&amp;W1790&amp;" lt. Liftbericht (Fach "&amp;X1790&amp;" Stk); ",IF(CA1790=1,"Gebinde geschätzt ("&amp;T1790&amp;"); ",IF(BZ1790=1,"Lose – Tablare geschätzt; ","")))&amp;IF(H1790&gt;AV1790,"Überbestand "&amp;ROUND(H1790-AV1790,0)&amp;" Stk / CHF "&amp;ROUND((H1790-AV1790)*G1790,0)&amp;"; ","")&amp;IF(AND(CH1790=1,CI1790&lt;CJ1790),"MAX &lt; MB+LG; ","")&amp;IF(AND(CP1790&gt;0,CO1790*10&gt;CP1790),"zu hoch für Tablar; ","")&amp;IF(AND(BV1790=0,OR(CH1790=1,AA1790&lt;&gt;"",U1790&lt;&gt;"",V1790&lt;&gt;"",AB1790&lt;&gt;"")),"manuell übersteuert; ","")&amp;IF(AND(BZ1790=0,R1790=0),"Gebinde unbekannt / Stellmass fehlt; ","")&amp;IF(AND(BZ1790=0,N(V1790)&lt;=0,N(Q1790)&lt;=0),"Menge pro Gebinde fehlt (Ist = 1 Gebinde); ","")&amp;BU1790)</f>
        <v/>
      </c>
      <c r="BN1790" s="48"/>
      <c r="BO1790" s="48"/>
      <c r="BP1790" s="55"/>
      <c r="BQ1790" s="50" t="n">
        <f aca="false">N('Neue Artikel'!$D$51)</f>
        <v>0</v>
      </c>
      <c r="BR1790" s="50" t="n">
        <v>0</v>
      </c>
      <c r="BS1790" s="49" t="n">
        <v>0</v>
      </c>
      <c r="BT1790" s="50" t="n">
        <f aca="false">N('Neue Artikel'!$C$51)/Parameter!$B$18</f>
        <v>0</v>
      </c>
      <c r="BU1790" s="48"/>
      <c r="BV1790" s="53" t="n">
        <v>1</v>
      </c>
      <c r="BW1790" s="53" t="n">
        <v>1790</v>
      </c>
      <c r="BX1790" s="48" t="str">
        <f aca="false">IF(U1790&lt;&gt;"",UPPER(TRIM(U1790)),IF(CA1790=1,UPPER(VLOOKUP(T1790,Parameter!$I$27:$K$29,2,0)),IF(P1790="","LOSE",P1790)))</f>
        <v>LOSE</v>
      </c>
      <c r="BY1790" s="50" t="n">
        <f aca="false">IF(BX1790="LOSE",1,IF(N(V1790)&gt;0,V1790,IF(CA1790=1,MAX(1,N(VLOOKUP(T1790,Parameter!$I$27:$K$29,3,0)),H1790,N(N1790)),IF(N(Q1790)&gt;0,Q1790,MAX(1,H1790)))))</f>
        <v>1</v>
      </c>
      <c r="BZ1790" s="53" t="n">
        <f aca="false">IF(BX1790="LOSE",1,0)</f>
        <v>1</v>
      </c>
      <c r="CA1790" s="53" t="n">
        <f aca="false">IF(AND(U1790="",OR(P1790="",P1790="LOSE"),T1790&lt;&gt;"",N(S1790)&lt;=0,ISNUMBER(MATCH(T1790,Parameter!$I$27:$I$29,0))),1,0)</f>
        <v>0</v>
      </c>
      <c r="CB1790" s="53" t="n">
        <f aca="false">IF(CQ1790&gt;0,INDEX(Parameter!$H$5:$H$7,W1790)/INDEX(Parameter!$E$5:$E$7,W1790),IF(AND(BZ1790=0,N(IFERROR(VLOOKUP(BX1790,'Gebinde-Kategorie'!$A$5:$N$45,14,0),0))&gt;0),VLOOKUP(BX1790,'Gebinde-Kategorie'!$A$5:$N$45,14,0)*10+Parameter!$M$23,Parameter!$M$24))</f>
        <v>235</v>
      </c>
      <c r="CC1790" s="48" t="str">
        <f aca="false">IF(AND(Parameter!$B$19="Ja",E1790&lt;&gt;"",ISNUMBER(MATCH(E1790,Parameter!$I$35:$I$52,0))),VLOOKUP(E1790,Parameter!$I$35:$J$52,2,0),IFERROR(VLOOKUP(D1790,Parameter!$A$35:$C$64,2,0),"Nein"))</f>
        <v>2+3</v>
      </c>
      <c r="CD1790" s="52" t="n">
        <f aca="false">IF(BZ1790=0,0,IF(N(S1790)&gt;0,S1790,IFERROR(VLOOKUP(D1790,Parameter!$A$35:$C$64,3,0)+0,0)))</f>
        <v>0.15</v>
      </c>
      <c r="CE1790" s="48" t="str">
        <f aca="false">IF(AA1790&lt;&gt;"",AA1790,Z1790)</f>
        <v/>
      </c>
      <c r="CF1790" s="48" t="str">
        <f aca="false">IF(OR(CE1790=1,CE1790=2,CE1790=3),IF(Parameter!$E$27="Ja","LIFT",IF(CE1790=1,"L1","L23")),IF(CE1790="Aussen","Aussen","-"))</f>
        <v>-</v>
      </c>
      <c r="CG1790" s="59" t="n">
        <f aca="false">IF(N(AB1790)&gt;0,AB1790,0)</f>
        <v>0</v>
      </c>
      <c r="CH1790" s="53" t="n">
        <f aca="false">IF(ISNUMBER(AE1790),1,0)</f>
        <v>0</v>
      </c>
      <c r="CI1790" s="50" t="n">
        <f aca="false">N(AE1790)</f>
        <v>0</v>
      </c>
      <c r="CJ1790" s="50" t="n">
        <f aca="false">N(M1790)+N(N1790)</f>
        <v>0</v>
      </c>
      <c r="CK1790" s="50" t="n">
        <f aca="false">N(M1790)</f>
        <v>0</v>
      </c>
      <c r="CL1790" s="50" t="n">
        <f aca="false">N(N1790)</f>
        <v>0</v>
      </c>
      <c r="CM1790" s="50" t="n">
        <f aca="false">ROUNDUP(H1790/BY1790,0)</f>
        <v>0</v>
      </c>
      <c r="CN1790" s="50" t="n">
        <f aca="false">ROUNDUP(CI1790/BY1790,0)</f>
        <v>0</v>
      </c>
      <c r="CO1790" s="53" t="n">
        <f aca="false">IF(BZ1790=1,0,IFERROR(VLOOKUP(BX1790,'Gebinde-Kategorie'!$A$5:$N$45,5,0)+0,0))</f>
        <v>0</v>
      </c>
      <c r="CP1790" s="53" t="n">
        <f aca="false">IFERROR(IF(OR(CE1790=1,CE1790=2,CE1790=3),N(INDEX(Parameter!$I$5:$I$7,CE1790)),0),0)</f>
        <v>0</v>
      </c>
      <c r="CQ1790" s="52" t="n">
        <f aca="false">IF(AND(Parameter!$B$21="Ja",ISNUMBER(W1790),N(X1790)&gt;0),IFERROR(N(INDEX(Parameter!$L$5:$L$7,W1790))*INDEX(Parameter!$E$5:$E$7,W1790)*X1790/SUMIFS($X$7:$X$1843,$W$7:$W$1843,W1790),0),0)</f>
        <v>0</v>
      </c>
    </row>
    <row r="1791" customFormat="false" ht="15" hidden="false" customHeight="false" outlineLevel="0" collapsed="false">
      <c r="A1791" s="48" t="str">
        <f aca="false">IF('Neue Artikel'!$A$52="","",'Neue Artikel'!$A$52&amp;"")</f>
        <v/>
      </c>
      <c r="B1791" s="48" t="str">
        <f aca="false">'Neue Artikel'!$B$52&amp;""</f>
        <v/>
      </c>
      <c r="C1791" s="48"/>
      <c r="D1791" s="48" t="s">
        <v>3024</v>
      </c>
      <c r="E1791" s="48"/>
      <c r="F1791" s="48"/>
      <c r="G1791" s="49" t="n">
        <f aca="false">N('Neue Artikel'!$G$52)</f>
        <v>0</v>
      </c>
      <c r="H1791" s="50" t="n">
        <f aca="false">MAX(0,IF(AND(Parameter!$B$21="Ja",ISNUMBER(Y1791)),Y1791,IF(Parameter!$B$20="Jahresanfang 2025 + Export",BR1791+BQ1791,BQ1791)))</f>
        <v>0</v>
      </c>
      <c r="I1791" s="50" t="n">
        <f aca="false">H1791*G1791</f>
        <v>0</v>
      </c>
      <c r="J1791" s="50" t="n">
        <f aca="false">BT1791*Parameter!$B$18</f>
        <v>0</v>
      </c>
      <c r="K1791" s="51"/>
      <c r="L1791" s="52"/>
      <c r="M1791" s="50" t="n">
        <f aca="false">N('Neue Artikel'!$E$52)</f>
        <v>0</v>
      </c>
      <c r="N1791" s="50" t="n">
        <f aca="false">N('Neue Artikel'!$F$52)</f>
        <v>0</v>
      </c>
      <c r="O1791" s="53"/>
      <c r="P1791" s="48" t="str">
        <f aca="false">IF('Neue Artikel'!$H$52="","LOSE",UPPER(TRIM('Neue Artikel'!$H$52)))</f>
        <v>LOSE</v>
      </c>
      <c r="Q1791" s="50" t="n">
        <f aca="false">N('Neue Artikel'!$I$52)</f>
        <v>0</v>
      </c>
      <c r="R1791" s="53" t="n">
        <f aca="false">IF(BZ1791=1,0,IFERROR(VLOOKUP(BX1791,'Gebinde-Kategorie'!$A$5:$N$45,13,0)+0,0))</f>
        <v>0</v>
      </c>
      <c r="S1791" s="54"/>
      <c r="T1791" s="55"/>
      <c r="U1791" s="55"/>
      <c r="V1791" s="55"/>
      <c r="W1791" s="48"/>
      <c r="X1791" s="50"/>
      <c r="Y1791" s="50"/>
      <c r="Z1791" s="48" t="str">
        <f aca="false">IF(A1791="","",IF(AND(Parameter!$B$21="Ja",ISNUMBER(W1791)),W1791,IF(CC1791="2+3",IF(ISNUMBER(SEARCH("grosser Artikel",BU1791)),2,IFERROR(VLOOKUP(BX1791,Parameter!$F$35:$G$64,2,0),2)),IF(OR(CC1791="Nein",CC1791=""),"-",CC1791))))</f>
        <v/>
      </c>
      <c r="AA1791" s="48" t="str">
        <f aca="false">IF('Neue Artikel'!$J$52="","",'Neue Artikel'!$J$52)</f>
        <v/>
      </c>
      <c r="AB1791" s="56"/>
      <c r="AC1791" s="50" t="n">
        <f aca="false">AV1791</f>
        <v>0</v>
      </c>
      <c r="AD1791" s="50" t="n">
        <f aca="false">MAX(AV1791,H1791)</f>
        <v>0</v>
      </c>
      <c r="AE1791" s="57"/>
      <c r="AF1791" s="50" t="n">
        <f aca="false">IF(LEFT(Cockpit!$C$5,1)="A",H1791,IF(Parameter!$E$30="MAX-Bestand",IF(CH1791=1,CI1791,IF(LEFT(Cockpit!$C$5,1)="B",AL1791,MAX(AL1791,H1791))),ROUNDUP(AJ1791,0)))</f>
        <v>0</v>
      </c>
      <c r="AG1791" s="50" t="n">
        <f aca="false">IF(BZ1791=1,0,ROUNDUP(AF1791/BY1791,0))</f>
        <v>0</v>
      </c>
      <c r="AH1791" s="52" t="n">
        <f aca="false">IF(CQ1791&gt;0,CQ1791*MAX(1,AF1791/X1791),IF(BZ1791=1,IF(AF1791&lt;=0,0,CD1791*MAX(1,IF(H1791&gt;0,AF1791/H1791,1))),IF(R1791&gt;0,AG1791/R1791,0))/MAX(0.1,N(Parameter!$M$21)))</f>
        <v>0</v>
      </c>
      <c r="AI1791" s="50" t="n">
        <f aca="false">AH1791*CB1791</f>
        <v>0</v>
      </c>
      <c r="AJ1791" s="51" t="n">
        <f aca="false">IF(LEFT(Cockpit!$C$5,1)="A",H1791,IF(CH1791=1,(CK1791+CI1791)/2,IF(LEFT(Cockpit!$C$5,1)="B",(CK1791+AL1791)/2,MAX((CK1791+AL1791)/2,H1791))))</f>
        <v>0</v>
      </c>
      <c r="AK1791" s="50" t="n">
        <f aca="false">AJ1791*G1791</f>
        <v>0</v>
      </c>
      <c r="AL1791" s="50" t="n">
        <f aca="false">ROUNDUP(CK1791+MAX(CL1791,2*(J1791/IF(CG1791&gt;0,CG1791,MAX(0.1,N(Cockpit!$C$6)))-CK1791)),0)</f>
        <v>0</v>
      </c>
      <c r="AM1791" s="51" t="n">
        <f aca="false">IF(AI1791&gt;0,J1791/AI1791,-1)</f>
        <v>-1</v>
      </c>
      <c r="AN1791" s="51" t="str">
        <f aca="false">IF(AND(OR(CF1791="L1",CF1791="L23",CF1791="LIFT"),AI1791&gt;0),SUMIFS($AI$7:$AI$1843,$CF$7:$CF$1843,CF1791,$AM$7:$AM$1843,"&gt;"&amp;AM1791)+SUMIFS($AI$7:$AI$1843,$CF$7:$CF$1843,CF1791,$AM$7:$AM$1843,AM1791,$BW$7:$BW$1843,"&lt;="&amp;BW1791),"")</f>
        <v/>
      </c>
      <c r="AO1791" s="58" t="n">
        <f aca="false">IF(AN1791="",0,MAX(0,MIN(1,(IF(CF1791="L1",Parameter!$H$5,IF(CF1791="L23",Parameter!$H$6+Parameter!$H$7,Parameter!$H$5+Parameter!$H$6+Parameter!$H$7))-(AN1791-AI1791))/AI1791)))</f>
        <v>0</v>
      </c>
      <c r="AP1791" s="50" t="n">
        <f aca="false">IF(LEFT(Cockpit!$I$5,1)="A",H1791,IF(Parameter!$E$30="MAX-Bestand",IF(CH1791=1,CI1791,IF(LEFT(Cockpit!$I$5,1)="B",AV1791,MAX(AV1791,H1791))),ROUNDUP(AT1791,0)))</f>
        <v>0</v>
      </c>
      <c r="AQ1791" s="50" t="n">
        <f aca="false">IF(BZ1791=1,0,ROUNDUP(AP1791/BY1791,0))</f>
        <v>0</v>
      </c>
      <c r="AR1791" s="52" t="n">
        <f aca="false">IF(CQ1791&gt;0,CQ1791*MAX(1,AP1791/X1791),IF(BZ1791=1,IF(AP1791&lt;=0,0,CD1791*MAX(1,IF(H1791&gt;0,AP1791/H1791,1))),IF(R1791&gt;0,AQ1791/R1791,0))/MAX(0.1,N(Parameter!$M$21)))</f>
        <v>0</v>
      </c>
      <c r="AS1791" s="50" t="n">
        <f aca="false">AR1791*CB1791</f>
        <v>0</v>
      </c>
      <c r="AT1791" s="51" t="n">
        <f aca="false">IF(LEFT(Cockpit!$I$5,1)="A",H1791,IF(CH1791=1,(CK1791+CI1791)/2,IF(LEFT(Cockpit!$I$5,1)="B",(CK1791+AV1791)/2,MAX((CK1791+AV1791)/2,H1791))))</f>
        <v>0</v>
      </c>
      <c r="AU1791" s="50" t="n">
        <f aca="false">AT1791*G1791</f>
        <v>0</v>
      </c>
      <c r="AV1791" s="50" t="n">
        <f aca="false">ROUNDUP(CK1791+MAX(CL1791,2*(J1791/IF(CG1791&gt;0,CG1791,MAX(0.1,N(Cockpit!$I$6)))-CK1791)),0)</f>
        <v>0</v>
      </c>
      <c r="AW1791" s="51" t="n">
        <f aca="false">IF(AS1791&gt;0,J1791/AS1791,-1)</f>
        <v>-1</v>
      </c>
      <c r="AX1791" s="51" t="str">
        <f aca="false">IF(AND(OR(CF1791="L1",CF1791="L23",CF1791="LIFT"),AS1791&gt;0),SUMIFS($AS$7:$AS$1843,$CF$7:$CF$1843,CF1791,$AW$7:$AW$1843,"&gt;"&amp;AW1791)+SUMIFS($AS$7:$AS$1843,$CF$7:$CF$1843,CF1791,$AW$7:$AW$1843,AW1791,$BW$7:$BW$1843,"&lt;="&amp;BW1791),"")</f>
        <v/>
      </c>
      <c r="AY1791" s="58" t="n">
        <f aca="false">IF(AX1791="",0,MAX(0,MIN(1,(IF(CF1791="L1",Parameter!$H$5,IF(CF1791="L23",Parameter!$H$6+Parameter!$H$7,Parameter!$H$5+Parameter!$H$6+Parameter!$H$7))-(AX1791-AS1791))/AS1791)))</f>
        <v>0</v>
      </c>
      <c r="AZ1791" s="50" t="n">
        <f aca="false">IF(LEFT(Cockpit!$O$5,1)="A",H1791,IF(Parameter!$E$30="MAX-Bestand",IF(CH1791=1,CI1791,IF(LEFT(Cockpit!$O$5,1)="B",BF1791,MAX(BF1791,H1791))),ROUNDUP(BD1791,0)))</f>
        <v>0</v>
      </c>
      <c r="BA1791" s="50" t="n">
        <f aca="false">IF(BZ1791=1,0,ROUNDUP(AZ1791/BY1791,0))</f>
        <v>0</v>
      </c>
      <c r="BB1791" s="52" t="n">
        <f aca="false">IF(CQ1791&gt;0,CQ1791*MAX(1,AZ1791/X1791),IF(BZ1791=1,IF(AZ1791&lt;=0,0,CD1791*MAX(1,IF(H1791&gt;0,AZ1791/H1791,1))),IF(R1791&gt;0,BA1791/R1791,0))/MAX(0.1,N(Parameter!$M$21)))</f>
        <v>0</v>
      </c>
      <c r="BC1791" s="50" t="n">
        <f aca="false">BB1791*CB1791</f>
        <v>0</v>
      </c>
      <c r="BD1791" s="51" t="n">
        <f aca="false">IF(LEFT(Cockpit!$O$5,1)="A",H1791,IF(CH1791=1,(CK1791+CI1791)/2,IF(LEFT(Cockpit!$O$5,1)="B",(CK1791+BF1791)/2,MAX((CK1791+BF1791)/2,H1791))))</f>
        <v>0</v>
      </c>
      <c r="BE1791" s="50" t="n">
        <f aca="false">BD1791*G1791</f>
        <v>0</v>
      </c>
      <c r="BF1791" s="50" t="n">
        <f aca="false">ROUNDUP(CK1791+MAX(CL1791,2*(J1791/IF(CG1791&gt;0,CG1791,MAX(0.1,N(Cockpit!$O$6)))-CK1791)),0)</f>
        <v>0</v>
      </c>
      <c r="BG1791" s="51" t="n">
        <f aca="false">IF(BC1791&gt;0,J1791/BC1791,-1)</f>
        <v>-1</v>
      </c>
      <c r="BH1791" s="51" t="str">
        <f aca="false">IF(AND(OR(CF1791="L1",CF1791="L23",CF1791="LIFT"),BC1791&gt;0),SUMIFS($BC$7:$BC$1843,$CF$7:$CF$1843,CF1791,$BG$7:$BG$1843,"&gt;"&amp;BG1791)+SUMIFS($BC$7:$BC$1843,$CF$7:$CF$1843,CF1791,$BG$7:$BG$1843,BG1791,$BW$7:$BW$1843,"&lt;="&amp;BW1791),"")</f>
        <v/>
      </c>
      <c r="BI1791" s="58" t="n">
        <f aca="false">IF(BH1791="",0,MAX(0,MIN(1,(IF(CF1791="L1",Parameter!$H$5,IF(CF1791="L23",Parameter!$H$6+Parameter!$H$7,Parameter!$H$5+Parameter!$H$6+Parameter!$H$7))-(BH1791-BC1791))/BC1791)))</f>
        <v>0</v>
      </c>
      <c r="BJ1791" s="48" t="str">
        <f aca="false">IF(AI1791&lt;=0,"",IF(CF1791="Aussen","Aussenlager",IF(CF1791="-","Nicht im Lift",IF(AO1791&gt;=1,"Lift",IF(AO1791&lt;=0,"Aussenlager","teilweise")))))</f>
        <v/>
      </c>
      <c r="BK1791" s="48" t="str">
        <f aca="false">IF(AS1791&lt;=0,"",IF(CF1791="Aussen","Aussenlager",IF(CF1791="-","Nicht im Lift",IF(AY1791&gt;=1,"Lift",IF(AY1791&lt;=0,"Aussenlager","teilweise")))))</f>
        <v/>
      </c>
      <c r="BL1791" s="48" t="str">
        <f aca="false">IF(BC1791&lt;=0,"",IF(CF1791="Aussen","Aussenlager",IF(CF1791="-","Nicht im Lift",IF(BI1791&gt;=1,"Lift",IF(BI1791&lt;=0,"Aussenlager","teilweise")))))</f>
        <v/>
      </c>
      <c r="BM1791" s="48" t="str">
        <f aca="false">IF(A1791="","",IF(BV1791=1,"Neu; ","")&amp;IF(AND(BV1791=0,BQ1791&lt;0),"negativer Bestand (Export "&amp;BQ1791&amp;"); ","")&amp;IF(J1791&lt;=0,"Kein Verbrauch; ","")&amp;IF(CQ1791&gt;0,"Lift "&amp;W1791&amp;" lt. Liftbericht (Fach "&amp;X1791&amp;" Stk); ",IF(CA1791=1,"Gebinde geschätzt ("&amp;T1791&amp;"); ",IF(BZ1791=1,"Lose – Tablare geschätzt; ","")))&amp;IF(H1791&gt;AV1791,"Überbestand "&amp;ROUND(H1791-AV1791,0)&amp;" Stk / CHF "&amp;ROUND((H1791-AV1791)*G1791,0)&amp;"; ","")&amp;IF(AND(CH1791=1,CI1791&lt;CJ1791),"MAX &lt; MB+LG; ","")&amp;IF(AND(CP1791&gt;0,CO1791*10&gt;CP1791),"zu hoch für Tablar; ","")&amp;IF(AND(BV1791=0,OR(CH1791=1,AA1791&lt;&gt;"",U1791&lt;&gt;"",V1791&lt;&gt;"",AB1791&lt;&gt;"")),"manuell übersteuert; ","")&amp;IF(AND(BZ1791=0,R1791=0),"Gebinde unbekannt / Stellmass fehlt; ","")&amp;IF(AND(BZ1791=0,N(V1791)&lt;=0,N(Q1791)&lt;=0),"Menge pro Gebinde fehlt (Ist = 1 Gebinde); ","")&amp;BU1791)</f>
        <v/>
      </c>
      <c r="BN1791" s="48"/>
      <c r="BO1791" s="48"/>
      <c r="BP1791" s="55"/>
      <c r="BQ1791" s="50" t="n">
        <f aca="false">N('Neue Artikel'!$D$52)</f>
        <v>0</v>
      </c>
      <c r="BR1791" s="50" t="n">
        <v>0</v>
      </c>
      <c r="BS1791" s="49" t="n">
        <v>0</v>
      </c>
      <c r="BT1791" s="50" t="n">
        <f aca="false">N('Neue Artikel'!$C$52)/Parameter!$B$18</f>
        <v>0</v>
      </c>
      <c r="BU1791" s="48"/>
      <c r="BV1791" s="53" t="n">
        <v>1</v>
      </c>
      <c r="BW1791" s="53" t="n">
        <v>1791</v>
      </c>
      <c r="BX1791" s="48" t="str">
        <f aca="false">IF(U1791&lt;&gt;"",UPPER(TRIM(U1791)),IF(CA1791=1,UPPER(VLOOKUP(T1791,Parameter!$I$27:$K$29,2,0)),IF(P1791="","LOSE",P1791)))</f>
        <v>LOSE</v>
      </c>
      <c r="BY1791" s="50" t="n">
        <f aca="false">IF(BX1791="LOSE",1,IF(N(V1791)&gt;0,V1791,IF(CA1791=1,MAX(1,N(VLOOKUP(T1791,Parameter!$I$27:$K$29,3,0)),H1791,N(N1791)),IF(N(Q1791)&gt;0,Q1791,MAX(1,H1791)))))</f>
        <v>1</v>
      </c>
      <c r="BZ1791" s="53" t="n">
        <f aca="false">IF(BX1791="LOSE",1,0)</f>
        <v>1</v>
      </c>
      <c r="CA1791" s="53" t="n">
        <f aca="false">IF(AND(U1791="",OR(P1791="",P1791="LOSE"),T1791&lt;&gt;"",N(S1791)&lt;=0,ISNUMBER(MATCH(T1791,Parameter!$I$27:$I$29,0))),1,0)</f>
        <v>0</v>
      </c>
      <c r="CB1791" s="53" t="n">
        <f aca="false">IF(CQ1791&gt;0,INDEX(Parameter!$H$5:$H$7,W1791)/INDEX(Parameter!$E$5:$E$7,W1791),IF(AND(BZ1791=0,N(IFERROR(VLOOKUP(BX1791,'Gebinde-Kategorie'!$A$5:$N$45,14,0),0))&gt;0),VLOOKUP(BX1791,'Gebinde-Kategorie'!$A$5:$N$45,14,0)*10+Parameter!$M$23,Parameter!$M$24))</f>
        <v>235</v>
      </c>
      <c r="CC1791" s="48" t="str">
        <f aca="false">IF(AND(Parameter!$B$19="Ja",E1791&lt;&gt;"",ISNUMBER(MATCH(E1791,Parameter!$I$35:$I$52,0))),VLOOKUP(E1791,Parameter!$I$35:$J$52,2,0),IFERROR(VLOOKUP(D1791,Parameter!$A$35:$C$64,2,0),"Nein"))</f>
        <v>2+3</v>
      </c>
      <c r="CD1791" s="52" t="n">
        <f aca="false">IF(BZ1791=0,0,IF(N(S1791)&gt;0,S1791,IFERROR(VLOOKUP(D1791,Parameter!$A$35:$C$64,3,0)+0,0)))</f>
        <v>0.15</v>
      </c>
      <c r="CE1791" s="48" t="str">
        <f aca="false">IF(AA1791&lt;&gt;"",AA1791,Z1791)</f>
        <v/>
      </c>
      <c r="CF1791" s="48" t="str">
        <f aca="false">IF(OR(CE1791=1,CE1791=2,CE1791=3),IF(Parameter!$E$27="Ja","LIFT",IF(CE1791=1,"L1","L23")),IF(CE1791="Aussen","Aussen","-"))</f>
        <v>-</v>
      </c>
      <c r="CG1791" s="59" t="n">
        <f aca="false">IF(N(AB1791)&gt;0,AB1791,0)</f>
        <v>0</v>
      </c>
      <c r="CH1791" s="53" t="n">
        <f aca="false">IF(ISNUMBER(AE1791),1,0)</f>
        <v>0</v>
      </c>
      <c r="CI1791" s="50" t="n">
        <f aca="false">N(AE1791)</f>
        <v>0</v>
      </c>
      <c r="CJ1791" s="50" t="n">
        <f aca="false">N(M1791)+N(N1791)</f>
        <v>0</v>
      </c>
      <c r="CK1791" s="50" t="n">
        <f aca="false">N(M1791)</f>
        <v>0</v>
      </c>
      <c r="CL1791" s="50" t="n">
        <f aca="false">N(N1791)</f>
        <v>0</v>
      </c>
      <c r="CM1791" s="50" t="n">
        <f aca="false">ROUNDUP(H1791/BY1791,0)</f>
        <v>0</v>
      </c>
      <c r="CN1791" s="50" t="n">
        <f aca="false">ROUNDUP(CI1791/BY1791,0)</f>
        <v>0</v>
      </c>
      <c r="CO1791" s="53" t="n">
        <f aca="false">IF(BZ1791=1,0,IFERROR(VLOOKUP(BX1791,'Gebinde-Kategorie'!$A$5:$N$45,5,0)+0,0))</f>
        <v>0</v>
      </c>
      <c r="CP1791" s="53" t="n">
        <f aca="false">IFERROR(IF(OR(CE1791=1,CE1791=2,CE1791=3),N(INDEX(Parameter!$I$5:$I$7,CE1791)),0),0)</f>
        <v>0</v>
      </c>
      <c r="CQ1791" s="52" t="n">
        <f aca="false">IF(AND(Parameter!$B$21="Ja",ISNUMBER(W1791),N(X1791)&gt;0),IFERROR(N(INDEX(Parameter!$L$5:$L$7,W1791))*INDEX(Parameter!$E$5:$E$7,W1791)*X1791/SUMIFS($X$7:$X$1843,$W$7:$W$1843,W1791),0),0)</f>
        <v>0</v>
      </c>
    </row>
    <row r="1792" customFormat="false" ht="15" hidden="false" customHeight="false" outlineLevel="0" collapsed="false">
      <c r="A1792" s="48" t="str">
        <f aca="false">IF('Neue Artikel'!$A$53="","",'Neue Artikel'!$A$53&amp;"")</f>
        <v/>
      </c>
      <c r="B1792" s="48" t="str">
        <f aca="false">'Neue Artikel'!$B$53&amp;""</f>
        <v/>
      </c>
      <c r="C1792" s="48"/>
      <c r="D1792" s="48" t="s">
        <v>3024</v>
      </c>
      <c r="E1792" s="48"/>
      <c r="F1792" s="48"/>
      <c r="G1792" s="49" t="n">
        <f aca="false">N('Neue Artikel'!$G$53)</f>
        <v>0</v>
      </c>
      <c r="H1792" s="50" t="n">
        <f aca="false">MAX(0,IF(AND(Parameter!$B$21="Ja",ISNUMBER(Y1792)),Y1792,IF(Parameter!$B$20="Jahresanfang 2025 + Export",BR1792+BQ1792,BQ1792)))</f>
        <v>0</v>
      </c>
      <c r="I1792" s="50" t="n">
        <f aca="false">H1792*G1792</f>
        <v>0</v>
      </c>
      <c r="J1792" s="50" t="n">
        <f aca="false">BT1792*Parameter!$B$18</f>
        <v>0</v>
      </c>
      <c r="K1792" s="51"/>
      <c r="L1792" s="52"/>
      <c r="M1792" s="50" t="n">
        <f aca="false">N('Neue Artikel'!$E$53)</f>
        <v>0</v>
      </c>
      <c r="N1792" s="50" t="n">
        <f aca="false">N('Neue Artikel'!$F$53)</f>
        <v>0</v>
      </c>
      <c r="O1792" s="53"/>
      <c r="P1792" s="48" t="str">
        <f aca="false">IF('Neue Artikel'!$H$53="","LOSE",UPPER(TRIM('Neue Artikel'!$H$53)))</f>
        <v>LOSE</v>
      </c>
      <c r="Q1792" s="50" t="n">
        <f aca="false">N('Neue Artikel'!$I$53)</f>
        <v>0</v>
      </c>
      <c r="R1792" s="53" t="n">
        <f aca="false">IF(BZ1792=1,0,IFERROR(VLOOKUP(BX1792,'Gebinde-Kategorie'!$A$5:$N$45,13,0)+0,0))</f>
        <v>0</v>
      </c>
      <c r="S1792" s="54"/>
      <c r="T1792" s="55"/>
      <c r="U1792" s="55"/>
      <c r="V1792" s="55"/>
      <c r="W1792" s="48"/>
      <c r="X1792" s="50"/>
      <c r="Y1792" s="50"/>
      <c r="Z1792" s="48" t="str">
        <f aca="false">IF(A1792="","",IF(AND(Parameter!$B$21="Ja",ISNUMBER(W1792)),W1792,IF(CC1792="2+3",IF(ISNUMBER(SEARCH("grosser Artikel",BU1792)),2,IFERROR(VLOOKUP(BX1792,Parameter!$F$35:$G$64,2,0),2)),IF(OR(CC1792="Nein",CC1792=""),"-",CC1792))))</f>
        <v/>
      </c>
      <c r="AA1792" s="48" t="str">
        <f aca="false">IF('Neue Artikel'!$J$53="","",'Neue Artikel'!$J$53)</f>
        <v/>
      </c>
      <c r="AB1792" s="56"/>
      <c r="AC1792" s="50" t="n">
        <f aca="false">AV1792</f>
        <v>0</v>
      </c>
      <c r="AD1792" s="50" t="n">
        <f aca="false">MAX(AV1792,H1792)</f>
        <v>0</v>
      </c>
      <c r="AE1792" s="57"/>
      <c r="AF1792" s="50" t="n">
        <f aca="false">IF(LEFT(Cockpit!$C$5,1)="A",H1792,IF(Parameter!$E$30="MAX-Bestand",IF(CH1792=1,CI1792,IF(LEFT(Cockpit!$C$5,1)="B",AL1792,MAX(AL1792,H1792))),ROUNDUP(AJ1792,0)))</f>
        <v>0</v>
      </c>
      <c r="AG1792" s="50" t="n">
        <f aca="false">IF(BZ1792=1,0,ROUNDUP(AF1792/BY1792,0))</f>
        <v>0</v>
      </c>
      <c r="AH1792" s="52" t="n">
        <f aca="false">IF(CQ1792&gt;0,CQ1792*MAX(1,AF1792/X1792),IF(BZ1792=1,IF(AF1792&lt;=0,0,CD1792*MAX(1,IF(H1792&gt;0,AF1792/H1792,1))),IF(R1792&gt;0,AG1792/R1792,0))/MAX(0.1,N(Parameter!$M$21)))</f>
        <v>0</v>
      </c>
      <c r="AI1792" s="50" t="n">
        <f aca="false">AH1792*CB1792</f>
        <v>0</v>
      </c>
      <c r="AJ1792" s="51" t="n">
        <f aca="false">IF(LEFT(Cockpit!$C$5,1)="A",H1792,IF(CH1792=1,(CK1792+CI1792)/2,IF(LEFT(Cockpit!$C$5,1)="B",(CK1792+AL1792)/2,MAX((CK1792+AL1792)/2,H1792))))</f>
        <v>0</v>
      </c>
      <c r="AK1792" s="50" t="n">
        <f aca="false">AJ1792*G1792</f>
        <v>0</v>
      </c>
      <c r="AL1792" s="50" t="n">
        <f aca="false">ROUNDUP(CK1792+MAX(CL1792,2*(J1792/IF(CG1792&gt;0,CG1792,MAX(0.1,N(Cockpit!$C$6)))-CK1792)),0)</f>
        <v>0</v>
      </c>
      <c r="AM1792" s="51" t="n">
        <f aca="false">IF(AI1792&gt;0,J1792/AI1792,-1)</f>
        <v>-1</v>
      </c>
      <c r="AN1792" s="51" t="str">
        <f aca="false">IF(AND(OR(CF1792="L1",CF1792="L23",CF1792="LIFT"),AI1792&gt;0),SUMIFS($AI$7:$AI$1843,$CF$7:$CF$1843,CF1792,$AM$7:$AM$1843,"&gt;"&amp;AM1792)+SUMIFS($AI$7:$AI$1843,$CF$7:$CF$1843,CF1792,$AM$7:$AM$1843,AM1792,$BW$7:$BW$1843,"&lt;="&amp;BW1792),"")</f>
        <v/>
      </c>
      <c r="AO1792" s="58" t="n">
        <f aca="false">IF(AN1792="",0,MAX(0,MIN(1,(IF(CF1792="L1",Parameter!$H$5,IF(CF1792="L23",Parameter!$H$6+Parameter!$H$7,Parameter!$H$5+Parameter!$H$6+Parameter!$H$7))-(AN1792-AI1792))/AI1792)))</f>
        <v>0</v>
      </c>
      <c r="AP1792" s="50" t="n">
        <f aca="false">IF(LEFT(Cockpit!$I$5,1)="A",H1792,IF(Parameter!$E$30="MAX-Bestand",IF(CH1792=1,CI1792,IF(LEFT(Cockpit!$I$5,1)="B",AV1792,MAX(AV1792,H1792))),ROUNDUP(AT1792,0)))</f>
        <v>0</v>
      </c>
      <c r="AQ1792" s="50" t="n">
        <f aca="false">IF(BZ1792=1,0,ROUNDUP(AP1792/BY1792,0))</f>
        <v>0</v>
      </c>
      <c r="AR1792" s="52" t="n">
        <f aca="false">IF(CQ1792&gt;0,CQ1792*MAX(1,AP1792/X1792),IF(BZ1792=1,IF(AP1792&lt;=0,0,CD1792*MAX(1,IF(H1792&gt;0,AP1792/H1792,1))),IF(R1792&gt;0,AQ1792/R1792,0))/MAX(0.1,N(Parameter!$M$21)))</f>
        <v>0</v>
      </c>
      <c r="AS1792" s="50" t="n">
        <f aca="false">AR1792*CB1792</f>
        <v>0</v>
      </c>
      <c r="AT1792" s="51" t="n">
        <f aca="false">IF(LEFT(Cockpit!$I$5,1)="A",H1792,IF(CH1792=1,(CK1792+CI1792)/2,IF(LEFT(Cockpit!$I$5,1)="B",(CK1792+AV1792)/2,MAX((CK1792+AV1792)/2,H1792))))</f>
        <v>0</v>
      </c>
      <c r="AU1792" s="50" t="n">
        <f aca="false">AT1792*G1792</f>
        <v>0</v>
      </c>
      <c r="AV1792" s="50" t="n">
        <f aca="false">ROUNDUP(CK1792+MAX(CL1792,2*(J1792/IF(CG1792&gt;0,CG1792,MAX(0.1,N(Cockpit!$I$6)))-CK1792)),0)</f>
        <v>0</v>
      </c>
      <c r="AW1792" s="51" t="n">
        <f aca="false">IF(AS1792&gt;0,J1792/AS1792,-1)</f>
        <v>-1</v>
      </c>
      <c r="AX1792" s="51" t="str">
        <f aca="false">IF(AND(OR(CF1792="L1",CF1792="L23",CF1792="LIFT"),AS1792&gt;0),SUMIFS($AS$7:$AS$1843,$CF$7:$CF$1843,CF1792,$AW$7:$AW$1843,"&gt;"&amp;AW1792)+SUMIFS($AS$7:$AS$1843,$CF$7:$CF$1843,CF1792,$AW$7:$AW$1843,AW1792,$BW$7:$BW$1843,"&lt;="&amp;BW1792),"")</f>
        <v/>
      </c>
      <c r="AY1792" s="58" t="n">
        <f aca="false">IF(AX1792="",0,MAX(0,MIN(1,(IF(CF1792="L1",Parameter!$H$5,IF(CF1792="L23",Parameter!$H$6+Parameter!$H$7,Parameter!$H$5+Parameter!$H$6+Parameter!$H$7))-(AX1792-AS1792))/AS1792)))</f>
        <v>0</v>
      </c>
      <c r="AZ1792" s="50" t="n">
        <f aca="false">IF(LEFT(Cockpit!$O$5,1)="A",H1792,IF(Parameter!$E$30="MAX-Bestand",IF(CH1792=1,CI1792,IF(LEFT(Cockpit!$O$5,1)="B",BF1792,MAX(BF1792,H1792))),ROUNDUP(BD1792,0)))</f>
        <v>0</v>
      </c>
      <c r="BA1792" s="50" t="n">
        <f aca="false">IF(BZ1792=1,0,ROUNDUP(AZ1792/BY1792,0))</f>
        <v>0</v>
      </c>
      <c r="BB1792" s="52" t="n">
        <f aca="false">IF(CQ1792&gt;0,CQ1792*MAX(1,AZ1792/X1792),IF(BZ1792=1,IF(AZ1792&lt;=0,0,CD1792*MAX(1,IF(H1792&gt;0,AZ1792/H1792,1))),IF(R1792&gt;0,BA1792/R1792,0))/MAX(0.1,N(Parameter!$M$21)))</f>
        <v>0</v>
      </c>
      <c r="BC1792" s="50" t="n">
        <f aca="false">BB1792*CB1792</f>
        <v>0</v>
      </c>
      <c r="BD1792" s="51" t="n">
        <f aca="false">IF(LEFT(Cockpit!$O$5,1)="A",H1792,IF(CH1792=1,(CK1792+CI1792)/2,IF(LEFT(Cockpit!$O$5,1)="B",(CK1792+BF1792)/2,MAX((CK1792+BF1792)/2,H1792))))</f>
        <v>0</v>
      </c>
      <c r="BE1792" s="50" t="n">
        <f aca="false">BD1792*G1792</f>
        <v>0</v>
      </c>
      <c r="BF1792" s="50" t="n">
        <f aca="false">ROUNDUP(CK1792+MAX(CL1792,2*(J1792/IF(CG1792&gt;0,CG1792,MAX(0.1,N(Cockpit!$O$6)))-CK1792)),0)</f>
        <v>0</v>
      </c>
      <c r="BG1792" s="51" t="n">
        <f aca="false">IF(BC1792&gt;0,J1792/BC1792,-1)</f>
        <v>-1</v>
      </c>
      <c r="BH1792" s="51" t="str">
        <f aca="false">IF(AND(OR(CF1792="L1",CF1792="L23",CF1792="LIFT"),BC1792&gt;0),SUMIFS($BC$7:$BC$1843,$CF$7:$CF$1843,CF1792,$BG$7:$BG$1843,"&gt;"&amp;BG1792)+SUMIFS($BC$7:$BC$1843,$CF$7:$CF$1843,CF1792,$BG$7:$BG$1843,BG1792,$BW$7:$BW$1843,"&lt;="&amp;BW1792),"")</f>
        <v/>
      </c>
      <c r="BI1792" s="58" t="n">
        <f aca="false">IF(BH1792="",0,MAX(0,MIN(1,(IF(CF1792="L1",Parameter!$H$5,IF(CF1792="L23",Parameter!$H$6+Parameter!$H$7,Parameter!$H$5+Parameter!$H$6+Parameter!$H$7))-(BH1792-BC1792))/BC1792)))</f>
        <v>0</v>
      </c>
      <c r="BJ1792" s="48" t="str">
        <f aca="false">IF(AI1792&lt;=0,"",IF(CF1792="Aussen","Aussenlager",IF(CF1792="-","Nicht im Lift",IF(AO1792&gt;=1,"Lift",IF(AO1792&lt;=0,"Aussenlager","teilweise")))))</f>
        <v/>
      </c>
      <c r="BK1792" s="48" t="str">
        <f aca="false">IF(AS1792&lt;=0,"",IF(CF1792="Aussen","Aussenlager",IF(CF1792="-","Nicht im Lift",IF(AY1792&gt;=1,"Lift",IF(AY1792&lt;=0,"Aussenlager","teilweise")))))</f>
        <v/>
      </c>
      <c r="BL1792" s="48" t="str">
        <f aca="false">IF(BC1792&lt;=0,"",IF(CF1792="Aussen","Aussenlager",IF(CF1792="-","Nicht im Lift",IF(BI1792&gt;=1,"Lift",IF(BI1792&lt;=0,"Aussenlager","teilweise")))))</f>
        <v/>
      </c>
      <c r="BM1792" s="48" t="str">
        <f aca="false">IF(A1792="","",IF(BV1792=1,"Neu; ","")&amp;IF(AND(BV1792=0,BQ1792&lt;0),"negativer Bestand (Export "&amp;BQ1792&amp;"); ","")&amp;IF(J1792&lt;=0,"Kein Verbrauch; ","")&amp;IF(CQ1792&gt;0,"Lift "&amp;W1792&amp;" lt. Liftbericht (Fach "&amp;X1792&amp;" Stk); ",IF(CA1792=1,"Gebinde geschätzt ("&amp;T1792&amp;"); ",IF(BZ1792=1,"Lose – Tablare geschätzt; ","")))&amp;IF(H1792&gt;AV1792,"Überbestand "&amp;ROUND(H1792-AV1792,0)&amp;" Stk / CHF "&amp;ROUND((H1792-AV1792)*G1792,0)&amp;"; ","")&amp;IF(AND(CH1792=1,CI1792&lt;CJ1792),"MAX &lt; MB+LG; ","")&amp;IF(AND(CP1792&gt;0,CO1792*10&gt;CP1792),"zu hoch für Tablar; ","")&amp;IF(AND(BV1792=0,OR(CH1792=1,AA1792&lt;&gt;"",U1792&lt;&gt;"",V1792&lt;&gt;"",AB1792&lt;&gt;"")),"manuell übersteuert; ","")&amp;IF(AND(BZ1792=0,R1792=0),"Gebinde unbekannt / Stellmass fehlt; ","")&amp;IF(AND(BZ1792=0,N(V1792)&lt;=0,N(Q1792)&lt;=0),"Menge pro Gebinde fehlt (Ist = 1 Gebinde); ","")&amp;BU1792)</f>
        <v/>
      </c>
      <c r="BN1792" s="48"/>
      <c r="BO1792" s="48"/>
      <c r="BP1792" s="55"/>
      <c r="BQ1792" s="50" t="n">
        <f aca="false">N('Neue Artikel'!$D$53)</f>
        <v>0</v>
      </c>
      <c r="BR1792" s="50" t="n">
        <v>0</v>
      </c>
      <c r="BS1792" s="49" t="n">
        <v>0</v>
      </c>
      <c r="BT1792" s="50" t="n">
        <f aca="false">N('Neue Artikel'!$C$53)/Parameter!$B$18</f>
        <v>0</v>
      </c>
      <c r="BU1792" s="48"/>
      <c r="BV1792" s="53" t="n">
        <v>1</v>
      </c>
      <c r="BW1792" s="53" t="n">
        <v>1792</v>
      </c>
      <c r="BX1792" s="48" t="str">
        <f aca="false">IF(U1792&lt;&gt;"",UPPER(TRIM(U1792)),IF(CA1792=1,UPPER(VLOOKUP(T1792,Parameter!$I$27:$K$29,2,0)),IF(P1792="","LOSE",P1792)))</f>
        <v>LOSE</v>
      </c>
      <c r="BY1792" s="50" t="n">
        <f aca="false">IF(BX1792="LOSE",1,IF(N(V1792)&gt;0,V1792,IF(CA1792=1,MAX(1,N(VLOOKUP(T1792,Parameter!$I$27:$K$29,3,0)),H1792,N(N1792)),IF(N(Q1792)&gt;0,Q1792,MAX(1,H1792)))))</f>
        <v>1</v>
      </c>
      <c r="BZ1792" s="53" t="n">
        <f aca="false">IF(BX1792="LOSE",1,0)</f>
        <v>1</v>
      </c>
      <c r="CA1792" s="53" t="n">
        <f aca="false">IF(AND(U1792="",OR(P1792="",P1792="LOSE"),T1792&lt;&gt;"",N(S1792)&lt;=0,ISNUMBER(MATCH(T1792,Parameter!$I$27:$I$29,0))),1,0)</f>
        <v>0</v>
      </c>
      <c r="CB1792" s="53" t="n">
        <f aca="false">IF(CQ1792&gt;0,INDEX(Parameter!$H$5:$H$7,W1792)/INDEX(Parameter!$E$5:$E$7,W1792),IF(AND(BZ1792=0,N(IFERROR(VLOOKUP(BX1792,'Gebinde-Kategorie'!$A$5:$N$45,14,0),0))&gt;0),VLOOKUP(BX1792,'Gebinde-Kategorie'!$A$5:$N$45,14,0)*10+Parameter!$M$23,Parameter!$M$24))</f>
        <v>235</v>
      </c>
      <c r="CC1792" s="48" t="str">
        <f aca="false">IF(AND(Parameter!$B$19="Ja",E1792&lt;&gt;"",ISNUMBER(MATCH(E1792,Parameter!$I$35:$I$52,0))),VLOOKUP(E1792,Parameter!$I$35:$J$52,2,0),IFERROR(VLOOKUP(D1792,Parameter!$A$35:$C$64,2,0),"Nein"))</f>
        <v>2+3</v>
      </c>
      <c r="CD1792" s="52" t="n">
        <f aca="false">IF(BZ1792=0,0,IF(N(S1792)&gt;0,S1792,IFERROR(VLOOKUP(D1792,Parameter!$A$35:$C$64,3,0)+0,0)))</f>
        <v>0.15</v>
      </c>
      <c r="CE1792" s="48" t="str">
        <f aca="false">IF(AA1792&lt;&gt;"",AA1792,Z1792)</f>
        <v/>
      </c>
      <c r="CF1792" s="48" t="str">
        <f aca="false">IF(OR(CE1792=1,CE1792=2,CE1792=3),IF(Parameter!$E$27="Ja","LIFT",IF(CE1792=1,"L1","L23")),IF(CE1792="Aussen","Aussen","-"))</f>
        <v>-</v>
      </c>
      <c r="CG1792" s="59" t="n">
        <f aca="false">IF(N(AB1792)&gt;0,AB1792,0)</f>
        <v>0</v>
      </c>
      <c r="CH1792" s="53" t="n">
        <f aca="false">IF(ISNUMBER(AE1792),1,0)</f>
        <v>0</v>
      </c>
      <c r="CI1792" s="50" t="n">
        <f aca="false">N(AE1792)</f>
        <v>0</v>
      </c>
      <c r="CJ1792" s="50" t="n">
        <f aca="false">N(M1792)+N(N1792)</f>
        <v>0</v>
      </c>
      <c r="CK1792" s="50" t="n">
        <f aca="false">N(M1792)</f>
        <v>0</v>
      </c>
      <c r="CL1792" s="50" t="n">
        <f aca="false">N(N1792)</f>
        <v>0</v>
      </c>
      <c r="CM1792" s="50" t="n">
        <f aca="false">ROUNDUP(H1792/BY1792,0)</f>
        <v>0</v>
      </c>
      <c r="CN1792" s="50" t="n">
        <f aca="false">ROUNDUP(CI1792/BY1792,0)</f>
        <v>0</v>
      </c>
      <c r="CO1792" s="53" t="n">
        <f aca="false">IF(BZ1792=1,0,IFERROR(VLOOKUP(BX1792,'Gebinde-Kategorie'!$A$5:$N$45,5,0)+0,0))</f>
        <v>0</v>
      </c>
      <c r="CP1792" s="53" t="n">
        <f aca="false">IFERROR(IF(OR(CE1792=1,CE1792=2,CE1792=3),N(INDEX(Parameter!$I$5:$I$7,CE1792)),0),0)</f>
        <v>0</v>
      </c>
      <c r="CQ1792" s="52" t="n">
        <f aca="false">IF(AND(Parameter!$B$21="Ja",ISNUMBER(W1792),N(X1792)&gt;0),IFERROR(N(INDEX(Parameter!$L$5:$L$7,W1792))*INDEX(Parameter!$E$5:$E$7,W1792)*X1792/SUMIFS($X$7:$X$1843,$W$7:$W$1843,W1792),0),0)</f>
        <v>0</v>
      </c>
    </row>
    <row r="1793" customFormat="false" ht="15" hidden="false" customHeight="false" outlineLevel="0" collapsed="false">
      <c r="A1793" s="48" t="str">
        <f aca="false">IF('Neue Artikel'!$A$54="","",'Neue Artikel'!$A$54&amp;"")</f>
        <v/>
      </c>
      <c r="B1793" s="48" t="str">
        <f aca="false">'Neue Artikel'!$B$54&amp;""</f>
        <v/>
      </c>
      <c r="C1793" s="48"/>
      <c r="D1793" s="48" t="s">
        <v>3024</v>
      </c>
      <c r="E1793" s="48"/>
      <c r="F1793" s="48"/>
      <c r="G1793" s="49" t="n">
        <f aca="false">N('Neue Artikel'!$G$54)</f>
        <v>0</v>
      </c>
      <c r="H1793" s="50" t="n">
        <f aca="false">MAX(0,IF(AND(Parameter!$B$21="Ja",ISNUMBER(Y1793)),Y1793,IF(Parameter!$B$20="Jahresanfang 2025 + Export",BR1793+BQ1793,BQ1793)))</f>
        <v>0</v>
      </c>
      <c r="I1793" s="50" t="n">
        <f aca="false">H1793*G1793</f>
        <v>0</v>
      </c>
      <c r="J1793" s="50" t="n">
        <f aca="false">BT1793*Parameter!$B$18</f>
        <v>0</v>
      </c>
      <c r="K1793" s="51"/>
      <c r="L1793" s="52"/>
      <c r="M1793" s="50" t="n">
        <f aca="false">N('Neue Artikel'!$E$54)</f>
        <v>0</v>
      </c>
      <c r="N1793" s="50" t="n">
        <f aca="false">N('Neue Artikel'!$F$54)</f>
        <v>0</v>
      </c>
      <c r="O1793" s="53"/>
      <c r="P1793" s="48" t="str">
        <f aca="false">IF('Neue Artikel'!$H$54="","LOSE",UPPER(TRIM('Neue Artikel'!$H$54)))</f>
        <v>LOSE</v>
      </c>
      <c r="Q1793" s="50" t="n">
        <f aca="false">N('Neue Artikel'!$I$54)</f>
        <v>0</v>
      </c>
      <c r="R1793" s="53" t="n">
        <f aca="false">IF(BZ1793=1,0,IFERROR(VLOOKUP(BX1793,'Gebinde-Kategorie'!$A$5:$N$45,13,0)+0,0))</f>
        <v>0</v>
      </c>
      <c r="S1793" s="54"/>
      <c r="T1793" s="55"/>
      <c r="U1793" s="55"/>
      <c r="V1793" s="55"/>
      <c r="W1793" s="48"/>
      <c r="X1793" s="50"/>
      <c r="Y1793" s="50"/>
      <c r="Z1793" s="48" t="str">
        <f aca="false">IF(A1793="","",IF(AND(Parameter!$B$21="Ja",ISNUMBER(W1793)),W1793,IF(CC1793="2+3",IF(ISNUMBER(SEARCH("grosser Artikel",BU1793)),2,IFERROR(VLOOKUP(BX1793,Parameter!$F$35:$G$64,2,0),2)),IF(OR(CC1793="Nein",CC1793=""),"-",CC1793))))</f>
        <v/>
      </c>
      <c r="AA1793" s="48" t="str">
        <f aca="false">IF('Neue Artikel'!$J$54="","",'Neue Artikel'!$J$54)</f>
        <v/>
      </c>
      <c r="AB1793" s="56"/>
      <c r="AC1793" s="50" t="n">
        <f aca="false">AV1793</f>
        <v>0</v>
      </c>
      <c r="AD1793" s="50" t="n">
        <f aca="false">MAX(AV1793,H1793)</f>
        <v>0</v>
      </c>
      <c r="AE1793" s="57"/>
      <c r="AF1793" s="50" t="n">
        <f aca="false">IF(LEFT(Cockpit!$C$5,1)="A",H1793,IF(Parameter!$E$30="MAX-Bestand",IF(CH1793=1,CI1793,IF(LEFT(Cockpit!$C$5,1)="B",AL1793,MAX(AL1793,H1793))),ROUNDUP(AJ1793,0)))</f>
        <v>0</v>
      </c>
      <c r="AG1793" s="50" t="n">
        <f aca="false">IF(BZ1793=1,0,ROUNDUP(AF1793/BY1793,0))</f>
        <v>0</v>
      </c>
      <c r="AH1793" s="52" t="n">
        <f aca="false">IF(CQ1793&gt;0,CQ1793*MAX(1,AF1793/X1793),IF(BZ1793=1,IF(AF1793&lt;=0,0,CD1793*MAX(1,IF(H1793&gt;0,AF1793/H1793,1))),IF(R1793&gt;0,AG1793/R1793,0))/MAX(0.1,N(Parameter!$M$21)))</f>
        <v>0</v>
      </c>
      <c r="AI1793" s="50" t="n">
        <f aca="false">AH1793*CB1793</f>
        <v>0</v>
      </c>
      <c r="AJ1793" s="51" t="n">
        <f aca="false">IF(LEFT(Cockpit!$C$5,1)="A",H1793,IF(CH1793=1,(CK1793+CI1793)/2,IF(LEFT(Cockpit!$C$5,1)="B",(CK1793+AL1793)/2,MAX((CK1793+AL1793)/2,H1793))))</f>
        <v>0</v>
      </c>
      <c r="AK1793" s="50" t="n">
        <f aca="false">AJ1793*G1793</f>
        <v>0</v>
      </c>
      <c r="AL1793" s="50" t="n">
        <f aca="false">ROUNDUP(CK1793+MAX(CL1793,2*(J1793/IF(CG1793&gt;0,CG1793,MAX(0.1,N(Cockpit!$C$6)))-CK1793)),0)</f>
        <v>0</v>
      </c>
      <c r="AM1793" s="51" t="n">
        <f aca="false">IF(AI1793&gt;0,J1793/AI1793,-1)</f>
        <v>-1</v>
      </c>
      <c r="AN1793" s="51" t="str">
        <f aca="false">IF(AND(OR(CF1793="L1",CF1793="L23",CF1793="LIFT"),AI1793&gt;0),SUMIFS($AI$7:$AI$1843,$CF$7:$CF$1843,CF1793,$AM$7:$AM$1843,"&gt;"&amp;AM1793)+SUMIFS($AI$7:$AI$1843,$CF$7:$CF$1843,CF1793,$AM$7:$AM$1843,AM1793,$BW$7:$BW$1843,"&lt;="&amp;BW1793),"")</f>
        <v/>
      </c>
      <c r="AO1793" s="58" t="n">
        <f aca="false">IF(AN1793="",0,MAX(0,MIN(1,(IF(CF1793="L1",Parameter!$H$5,IF(CF1793="L23",Parameter!$H$6+Parameter!$H$7,Parameter!$H$5+Parameter!$H$6+Parameter!$H$7))-(AN1793-AI1793))/AI1793)))</f>
        <v>0</v>
      </c>
      <c r="AP1793" s="50" t="n">
        <f aca="false">IF(LEFT(Cockpit!$I$5,1)="A",H1793,IF(Parameter!$E$30="MAX-Bestand",IF(CH1793=1,CI1793,IF(LEFT(Cockpit!$I$5,1)="B",AV1793,MAX(AV1793,H1793))),ROUNDUP(AT1793,0)))</f>
        <v>0</v>
      </c>
      <c r="AQ1793" s="50" t="n">
        <f aca="false">IF(BZ1793=1,0,ROUNDUP(AP1793/BY1793,0))</f>
        <v>0</v>
      </c>
      <c r="AR1793" s="52" t="n">
        <f aca="false">IF(CQ1793&gt;0,CQ1793*MAX(1,AP1793/X1793),IF(BZ1793=1,IF(AP1793&lt;=0,0,CD1793*MAX(1,IF(H1793&gt;0,AP1793/H1793,1))),IF(R1793&gt;0,AQ1793/R1793,0))/MAX(0.1,N(Parameter!$M$21)))</f>
        <v>0</v>
      </c>
      <c r="AS1793" s="50" t="n">
        <f aca="false">AR1793*CB1793</f>
        <v>0</v>
      </c>
      <c r="AT1793" s="51" t="n">
        <f aca="false">IF(LEFT(Cockpit!$I$5,1)="A",H1793,IF(CH1793=1,(CK1793+CI1793)/2,IF(LEFT(Cockpit!$I$5,1)="B",(CK1793+AV1793)/2,MAX((CK1793+AV1793)/2,H1793))))</f>
        <v>0</v>
      </c>
      <c r="AU1793" s="50" t="n">
        <f aca="false">AT1793*G1793</f>
        <v>0</v>
      </c>
      <c r="AV1793" s="50" t="n">
        <f aca="false">ROUNDUP(CK1793+MAX(CL1793,2*(J1793/IF(CG1793&gt;0,CG1793,MAX(0.1,N(Cockpit!$I$6)))-CK1793)),0)</f>
        <v>0</v>
      </c>
      <c r="AW1793" s="51" t="n">
        <f aca="false">IF(AS1793&gt;0,J1793/AS1793,-1)</f>
        <v>-1</v>
      </c>
      <c r="AX1793" s="51" t="str">
        <f aca="false">IF(AND(OR(CF1793="L1",CF1793="L23",CF1793="LIFT"),AS1793&gt;0),SUMIFS($AS$7:$AS$1843,$CF$7:$CF$1843,CF1793,$AW$7:$AW$1843,"&gt;"&amp;AW1793)+SUMIFS($AS$7:$AS$1843,$CF$7:$CF$1843,CF1793,$AW$7:$AW$1843,AW1793,$BW$7:$BW$1843,"&lt;="&amp;BW1793),"")</f>
        <v/>
      </c>
      <c r="AY1793" s="58" t="n">
        <f aca="false">IF(AX1793="",0,MAX(0,MIN(1,(IF(CF1793="L1",Parameter!$H$5,IF(CF1793="L23",Parameter!$H$6+Parameter!$H$7,Parameter!$H$5+Parameter!$H$6+Parameter!$H$7))-(AX1793-AS1793))/AS1793)))</f>
        <v>0</v>
      </c>
      <c r="AZ1793" s="50" t="n">
        <f aca="false">IF(LEFT(Cockpit!$O$5,1)="A",H1793,IF(Parameter!$E$30="MAX-Bestand",IF(CH1793=1,CI1793,IF(LEFT(Cockpit!$O$5,1)="B",BF1793,MAX(BF1793,H1793))),ROUNDUP(BD1793,0)))</f>
        <v>0</v>
      </c>
      <c r="BA1793" s="50" t="n">
        <f aca="false">IF(BZ1793=1,0,ROUNDUP(AZ1793/BY1793,0))</f>
        <v>0</v>
      </c>
      <c r="BB1793" s="52" t="n">
        <f aca="false">IF(CQ1793&gt;0,CQ1793*MAX(1,AZ1793/X1793),IF(BZ1793=1,IF(AZ1793&lt;=0,0,CD1793*MAX(1,IF(H1793&gt;0,AZ1793/H1793,1))),IF(R1793&gt;0,BA1793/R1793,0))/MAX(0.1,N(Parameter!$M$21)))</f>
        <v>0</v>
      </c>
      <c r="BC1793" s="50" t="n">
        <f aca="false">BB1793*CB1793</f>
        <v>0</v>
      </c>
      <c r="BD1793" s="51" t="n">
        <f aca="false">IF(LEFT(Cockpit!$O$5,1)="A",H1793,IF(CH1793=1,(CK1793+CI1793)/2,IF(LEFT(Cockpit!$O$5,1)="B",(CK1793+BF1793)/2,MAX((CK1793+BF1793)/2,H1793))))</f>
        <v>0</v>
      </c>
      <c r="BE1793" s="50" t="n">
        <f aca="false">BD1793*G1793</f>
        <v>0</v>
      </c>
      <c r="BF1793" s="50" t="n">
        <f aca="false">ROUNDUP(CK1793+MAX(CL1793,2*(J1793/IF(CG1793&gt;0,CG1793,MAX(0.1,N(Cockpit!$O$6)))-CK1793)),0)</f>
        <v>0</v>
      </c>
      <c r="BG1793" s="51" t="n">
        <f aca="false">IF(BC1793&gt;0,J1793/BC1793,-1)</f>
        <v>-1</v>
      </c>
      <c r="BH1793" s="51" t="str">
        <f aca="false">IF(AND(OR(CF1793="L1",CF1793="L23",CF1793="LIFT"),BC1793&gt;0),SUMIFS($BC$7:$BC$1843,$CF$7:$CF$1843,CF1793,$BG$7:$BG$1843,"&gt;"&amp;BG1793)+SUMIFS($BC$7:$BC$1843,$CF$7:$CF$1843,CF1793,$BG$7:$BG$1843,BG1793,$BW$7:$BW$1843,"&lt;="&amp;BW1793),"")</f>
        <v/>
      </c>
      <c r="BI1793" s="58" t="n">
        <f aca="false">IF(BH1793="",0,MAX(0,MIN(1,(IF(CF1793="L1",Parameter!$H$5,IF(CF1793="L23",Parameter!$H$6+Parameter!$H$7,Parameter!$H$5+Parameter!$H$6+Parameter!$H$7))-(BH1793-BC1793))/BC1793)))</f>
        <v>0</v>
      </c>
      <c r="BJ1793" s="48" t="str">
        <f aca="false">IF(AI1793&lt;=0,"",IF(CF1793="Aussen","Aussenlager",IF(CF1793="-","Nicht im Lift",IF(AO1793&gt;=1,"Lift",IF(AO1793&lt;=0,"Aussenlager","teilweise")))))</f>
        <v/>
      </c>
      <c r="BK1793" s="48" t="str">
        <f aca="false">IF(AS1793&lt;=0,"",IF(CF1793="Aussen","Aussenlager",IF(CF1793="-","Nicht im Lift",IF(AY1793&gt;=1,"Lift",IF(AY1793&lt;=0,"Aussenlager","teilweise")))))</f>
        <v/>
      </c>
      <c r="BL1793" s="48" t="str">
        <f aca="false">IF(BC1793&lt;=0,"",IF(CF1793="Aussen","Aussenlager",IF(CF1793="-","Nicht im Lift",IF(BI1793&gt;=1,"Lift",IF(BI1793&lt;=0,"Aussenlager","teilweise")))))</f>
        <v/>
      </c>
      <c r="BM1793" s="48" t="str">
        <f aca="false">IF(A1793="","",IF(BV1793=1,"Neu; ","")&amp;IF(AND(BV1793=0,BQ1793&lt;0),"negativer Bestand (Export "&amp;BQ1793&amp;"); ","")&amp;IF(J1793&lt;=0,"Kein Verbrauch; ","")&amp;IF(CQ1793&gt;0,"Lift "&amp;W1793&amp;" lt. Liftbericht (Fach "&amp;X1793&amp;" Stk); ",IF(CA1793=1,"Gebinde geschätzt ("&amp;T1793&amp;"); ",IF(BZ1793=1,"Lose – Tablare geschätzt; ","")))&amp;IF(H1793&gt;AV1793,"Überbestand "&amp;ROUND(H1793-AV1793,0)&amp;" Stk / CHF "&amp;ROUND((H1793-AV1793)*G1793,0)&amp;"; ","")&amp;IF(AND(CH1793=1,CI1793&lt;CJ1793),"MAX &lt; MB+LG; ","")&amp;IF(AND(CP1793&gt;0,CO1793*10&gt;CP1793),"zu hoch für Tablar; ","")&amp;IF(AND(BV1793=0,OR(CH1793=1,AA1793&lt;&gt;"",U1793&lt;&gt;"",V1793&lt;&gt;"",AB1793&lt;&gt;"")),"manuell übersteuert; ","")&amp;IF(AND(BZ1793=0,R1793=0),"Gebinde unbekannt / Stellmass fehlt; ","")&amp;IF(AND(BZ1793=0,N(V1793)&lt;=0,N(Q1793)&lt;=0),"Menge pro Gebinde fehlt (Ist = 1 Gebinde); ","")&amp;BU1793)</f>
        <v/>
      </c>
      <c r="BN1793" s="48"/>
      <c r="BO1793" s="48"/>
      <c r="BP1793" s="55"/>
      <c r="BQ1793" s="50" t="n">
        <f aca="false">N('Neue Artikel'!$D$54)</f>
        <v>0</v>
      </c>
      <c r="BR1793" s="50" t="n">
        <v>0</v>
      </c>
      <c r="BS1793" s="49" t="n">
        <v>0</v>
      </c>
      <c r="BT1793" s="50" t="n">
        <f aca="false">N('Neue Artikel'!$C$54)/Parameter!$B$18</f>
        <v>0</v>
      </c>
      <c r="BU1793" s="48"/>
      <c r="BV1793" s="53" t="n">
        <v>1</v>
      </c>
      <c r="BW1793" s="53" t="n">
        <v>1793</v>
      </c>
      <c r="BX1793" s="48" t="str">
        <f aca="false">IF(U1793&lt;&gt;"",UPPER(TRIM(U1793)),IF(CA1793=1,UPPER(VLOOKUP(T1793,Parameter!$I$27:$K$29,2,0)),IF(P1793="","LOSE",P1793)))</f>
        <v>LOSE</v>
      </c>
      <c r="BY1793" s="50" t="n">
        <f aca="false">IF(BX1793="LOSE",1,IF(N(V1793)&gt;0,V1793,IF(CA1793=1,MAX(1,N(VLOOKUP(T1793,Parameter!$I$27:$K$29,3,0)),H1793,N(N1793)),IF(N(Q1793)&gt;0,Q1793,MAX(1,H1793)))))</f>
        <v>1</v>
      </c>
      <c r="BZ1793" s="53" t="n">
        <f aca="false">IF(BX1793="LOSE",1,0)</f>
        <v>1</v>
      </c>
      <c r="CA1793" s="53" t="n">
        <f aca="false">IF(AND(U1793="",OR(P1793="",P1793="LOSE"),T1793&lt;&gt;"",N(S1793)&lt;=0,ISNUMBER(MATCH(T1793,Parameter!$I$27:$I$29,0))),1,0)</f>
        <v>0</v>
      </c>
      <c r="CB1793" s="53" t="n">
        <f aca="false">IF(CQ1793&gt;0,INDEX(Parameter!$H$5:$H$7,W1793)/INDEX(Parameter!$E$5:$E$7,W1793),IF(AND(BZ1793=0,N(IFERROR(VLOOKUP(BX1793,'Gebinde-Kategorie'!$A$5:$N$45,14,0),0))&gt;0),VLOOKUP(BX1793,'Gebinde-Kategorie'!$A$5:$N$45,14,0)*10+Parameter!$M$23,Parameter!$M$24))</f>
        <v>235</v>
      </c>
      <c r="CC1793" s="48" t="str">
        <f aca="false">IF(AND(Parameter!$B$19="Ja",E1793&lt;&gt;"",ISNUMBER(MATCH(E1793,Parameter!$I$35:$I$52,0))),VLOOKUP(E1793,Parameter!$I$35:$J$52,2,0),IFERROR(VLOOKUP(D1793,Parameter!$A$35:$C$64,2,0),"Nein"))</f>
        <v>2+3</v>
      </c>
      <c r="CD1793" s="52" t="n">
        <f aca="false">IF(BZ1793=0,0,IF(N(S1793)&gt;0,S1793,IFERROR(VLOOKUP(D1793,Parameter!$A$35:$C$64,3,0)+0,0)))</f>
        <v>0.15</v>
      </c>
      <c r="CE1793" s="48" t="str">
        <f aca="false">IF(AA1793&lt;&gt;"",AA1793,Z1793)</f>
        <v/>
      </c>
      <c r="CF1793" s="48" t="str">
        <f aca="false">IF(OR(CE1793=1,CE1793=2,CE1793=3),IF(Parameter!$E$27="Ja","LIFT",IF(CE1793=1,"L1","L23")),IF(CE1793="Aussen","Aussen","-"))</f>
        <v>-</v>
      </c>
      <c r="CG1793" s="59" t="n">
        <f aca="false">IF(N(AB1793)&gt;0,AB1793,0)</f>
        <v>0</v>
      </c>
      <c r="CH1793" s="53" t="n">
        <f aca="false">IF(ISNUMBER(AE1793),1,0)</f>
        <v>0</v>
      </c>
      <c r="CI1793" s="50" t="n">
        <f aca="false">N(AE1793)</f>
        <v>0</v>
      </c>
      <c r="CJ1793" s="50" t="n">
        <f aca="false">N(M1793)+N(N1793)</f>
        <v>0</v>
      </c>
      <c r="CK1793" s="50" t="n">
        <f aca="false">N(M1793)</f>
        <v>0</v>
      </c>
      <c r="CL1793" s="50" t="n">
        <f aca="false">N(N1793)</f>
        <v>0</v>
      </c>
      <c r="CM1793" s="50" t="n">
        <f aca="false">ROUNDUP(H1793/BY1793,0)</f>
        <v>0</v>
      </c>
      <c r="CN1793" s="50" t="n">
        <f aca="false">ROUNDUP(CI1793/BY1793,0)</f>
        <v>0</v>
      </c>
      <c r="CO1793" s="53" t="n">
        <f aca="false">IF(BZ1793=1,0,IFERROR(VLOOKUP(BX1793,'Gebinde-Kategorie'!$A$5:$N$45,5,0)+0,0))</f>
        <v>0</v>
      </c>
      <c r="CP1793" s="53" t="n">
        <f aca="false">IFERROR(IF(OR(CE1793=1,CE1793=2,CE1793=3),N(INDEX(Parameter!$I$5:$I$7,CE1793)),0),0)</f>
        <v>0</v>
      </c>
      <c r="CQ1793" s="52" t="n">
        <f aca="false">IF(AND(Parameter!$B$21="Ja",ISNUMBER(W1793),N(X1793)&gt;0),IFERROR(N(INDEX(Parameter!$L$5:$L$7,W1793))*INDEX(Parameter!$E$5:$E$7,W1793)*X1793/SUMIFS($X$7:$X$1843,$W$7:$W$1843,W1793),0),0)</f>
        <v>0</v>
      </c>
    </row>
    <row r="1794" customFormat="false" ht="15" hidden="false" customHeight="false" outlineLevel="0" collapsed="false">
      <c r="A1794" s="48" t="str">
        <f aca="false">IF('Neue Artikel'!$A$55="","",'Neue Artikel'!$A$55&amp;"")</f>
        <v/>
      </c>
      <c r="B1794" s="48" t="str">
        <f aca="false">'Neue Artikel'!$B$55&amp;""</f>
        <v/>
      </c>
      <c r="C1794" s="48"/>
      <c r="D1794" s="48" t="s">
        <v>3024</v>
      </c>
      <c r="E1794" s="48"/>
      <c r="F1794" s="48"/>
      <c r="G1794" s="49" t="n">
        <f aca="false">N('Neue Artikel'!$G$55)</f>
        <v>0</v>
      </c>
      <c r="H1794" s="50" t="n">
        <f aca="false">MAX(0,IF(AND(Parameter!$B$21="Ja",ISNUMBER(Y1794)),Y1794,IF(Parameter!$B$20="Jahresanfang 2025 + Export",BR1794+BQ1794,BQ1794)))</f>
        <v>0</v>
      </c>
      <c r="I1794" s="50" t="n">
        <f aca="false">H1794*G1794</f>
        <v>0</v>
      </c>
      <c r="J1794" s="50" t="n">
        <f aca="false">BT1794*Parameter!$B$18</f>
        <v>0</v>
      </c>
      <c r="K1794" s="51"/>
      <c r="L1794" s="52"/>
      <c r="M1794" s="50" t="n">
        <f aca="false">N('Neue Artikel'!$E$55)</f>
        <v>0</v>
      </c>
      <c r="N1794" s="50" t="n">
        <f aca="false">N('Neue Artikel'!$F$55)</f>
        <v>0</v>
      </c>
      <c r="O1794" s="53"/>
      <c r="P1794" s="48" t="str">
        <f aca="false">IF('Neue Artikel'!$H$55="","LOSE",UPPER(TRIM('Neue Artikel'!$H$55)))</f>
        <v>LOSE</v>
      </c>
      <c r="Q1794" s="50" t="n">
        <f aca="false">N('Neue Artikel'!$I$55)</f>
        <v>0</v>
      </c>
      <c r="R1794" s="53" t="n">
        <f aca="false">IF(BZ1794=1,0,IFERROR(VLOOKUP(BX1794,'Gebinde-Kategorie'!$A$5:$N$45,13,0)+0,0))</f>
        <v>0</v>
      </c>
      <c r="S1794" s="54"/>
      <c r="T1794" s="55"/>
      <c r="U1794" s="55"/>
      <c r="V1794" s="55"/>
      <c r="W1794" s="48"/>
      <c r="X1794" s="50"/>
      <c r="Y1794" s="50"/>
      <c r="Z1794" s="48" t="str">
        <f aca="false">IF(A1794="","",IF(AND(Parameter!$B$21="Ja",ISNUMBER(W1794)),W1794,IF(CC1794="2+3",IF(ISNUMBER(SEARCH("grosser Artikel",BU1794)),2,IFERROR(VLOOKUP(BX1794,Parameter!$F$35:$G$64,2,0),2)),IF(OR(CC1794="Nein",CC1794=""),"-",CC1794))))</f>
        <v/>
      </c>
      <c r="AA1794" s="48" t="str">
        <f aca="false">IF('Neue Artikel'!$J$55="","",'Neue Artikel'!$J$55)</f>
        <v/>
      </c>
      <c r="AB1794" s="56"/>
      <c r="AC1794" s="50" t="n">
        <f aca="false">AV1794</f>
        <v>0</v>
      </c>
      <c r="AD1794" s="50" t="n">
        <f aca="false">MAX(AV1794,H1794)</f>
        <v>0</v>
      </c>
      <c r="AE1794" s="57"/>
      <c r="AF1794" s="50" t="n">
        <f aca="false">IF(LEFT(Cockpit!$C$5,1)="A",H1794,IF(Parameter!$E$30="MAX-Bestand",IF(CH1794=1,CI1794,IF(LEFT(Cockpit!$C$5,1)="B",AL1794,MAX(AL1794,H1794))),ROUNDUP(AJ1794,0)))</f>
        <v>0</v>
      </c>
      <c r="AG1794" s="50" t="n">
        <f aca="false">IF(BZ1794=1,0,ROUNDUP(AF1794/BY1794,0))</f>
        <v>0</v>
      </c>
      <c r="AH1794" s="52" t="n">
        <f aca="false">IF(CQ1794&gt;0,CQ1794*MAX(1,AF1794/X1794),IF(BZ1794=1,IF(AF1794&lt;=0,0,CD1794*MAX(1,IF(H1794&gt;0,AF1794/H1794,1))),IF(R1794&gt;0,AG1794/R1794,0))/MAX(0.1,N(Parameter!$M$21)))</f>
        <v>0</v>
      </c>
      <c r="AI1794" s="50" t="n">
        <f aca="false">AH1794*CB1794</f>
        <v>0</v>
      </c>
      <c r="AJ1794" s="51" t="n">
        <f aca="false">IF(LEFT(Cockpit!$C$5,1)="A",H1794,IF(CH1794=1,(CK1794+CI1794)/2,IF(LEFT(Cockpit!$C$5,1)="B",(CK1794+AL1794)/2,MAX((CK1794+AL1794)/2,H1794))))</f>
        <v>0</v>
      </c>
      <c r="AK1794" s="50" t="n">
        <f aca="false">AJ1794*G1794</f>
        <v>0</v>
      </c>
      <c r="AL1794" s="50" t="n">
        <f aca="false">ROUNDUP(CK1794+MAX(CL1794,2*(J1794/IF(CG1794&gt;0,CG1794,MAX(0.1,N(Cockpit!$C$6)))-CK1794)),0)</f>
        <v>0</v>
      </c>
      <c r="AM1794" s="51" t="n">
        <f aca="false">IF(AI1794&gt;0,J1794/AI1794,-1)</f>
        <v>-1</v>
      </c>
      <c r="AN1794" s="51" t="str">
        <f aca="false">IF(AND(OR(CF1794="L1",CF1794="L23",CF1794="LIFT"),AI1794&gt;0),SUMIFS($AI$7:$AI$1843,$CF$7:$CF$1843,CF1794,$AM$7:$AM$1843,"&gt;"&amp;AM1794)+SUMIFS($AI$7:$AI$1843,$CF$7:$CF$1843,CF1794,$AM$7:$AM$1843,AM1794,$BW$7:$BW$1843,"&lt;="&amp;BW1794),"")</f>
        <v/>
      </c>
      <c r="AO1794" s="58" t="n">
        <f aca="false">IF(AN1794="",0,MAX(0,MIN(1,(IF(CF1794="L1",Parameter!$H$5,IF(CF1794="L23",Parameter!$H$6+Parameter!$H$7,Parameter!$H$5+Parameter!$H$6+Parameter!$H$7))-(AN1794-AI1794))/AI1794)))</f>
        <v>0</v>
      </c>
      <c r="AP1794" s="50" t="n">
        <f aca="false">IF(LEFT(Cockpit!$I$5,1)="A",H1794,IF(Parameter!$E$30="MAX-Bestand",IF(CH1794=1,CI1794,IF(LEFT(Cockpit!$I$5,1)="B",AV1794,MAX(AV1794,H1794))),ROUNDUP(AT1794,0)))</f>
        <v>0</v>
      </c>
      <c r="AQ1794" s="50" t="n">
        <f aca="false">IF(BZ1794=1,0,ROUNDUP(AP1794/BY1794,0))</f>
        <v>0</v>
      </c>
      <c r="AR1794" s="52" t="n">
        <f aca="false">IF(CQ1794&gt;0,CQ1794*MAX(1,AP1794/X1794),IF(BZ1794=1,IF(AP1794&lt;=0,0,CD1794*MAX(1,IF(H1794&gt;0,AP1794/H1794,1))),IF(R1794&gt;0,AQ1794/R1794,0))/MAX(0.1,N(Parameter!$M$21)))</f>
        <v>0</v>
      </c>
      <c r="AS1794" s="50" t="n">
        <f aca="false">AR1794*CB1794</f>
        <v>0</v>
      </c>
      <c r="AT1794" s="51" t="n">
        <f aca="false">IF(LEFT(Cockpit!$I$5,1)="A",H1794,IF(CH1794=1,(CK1794+CI1794)/2,IF(LEFT(Cockpit!$I$5,1)="B",(CK1794+AV1794)/2,MAX((CK1794+AV1794)/2,H1794))))</f>
        <v>0</v>
      </c>
      <c r="AU1794" s="50" t="n">
        <f aca="false">AT1794*G1794</f>
        <v>0</v>
      </c>
      <c r="AV1794" s="50" t="n">
        <f aca="false">ROUNDUP(CK1794+MAX(CL1794,2*(J1794/IF(CG1794&gt;0,CG1794,MAX(0.1,N(Cockpit!$I$6)))-CK1794)),0)</f>
        <v>0</v>
      </c>
      <c r="AW1794" s="51" t="n">
        <f aca="false">IF(AS1794&gt;0,J1794/AS1794,-1)</f>
        <v>-1</v>
      </c>
      <c r="AX1794" s="51" t="str">
        <f aca="false">IF(AND(OR(CF1794="L1",CF1794="L23",CF1794="LIFT"),AS1794&gt;0),SUMIFS($AS$7:$AS$1843,$CF$7:$CF$1843,CF1794,$AW$7:$AW$1843,"&gt;"&amp;AW1794)+SUMIFS($AS$7:$AS$1843,$CF$7:$CF$1843,CF1794,$AW$7:$AW$1843,AW1794,$BW$7:$BW$1843,"&lt;="&amp;BW1794),"")</f>
        <v/>
      </c>
      <c r="AY1794" s="58" t="n">
        <f aca="false">IF(AX1794="",0,MAX(0,MIN(1,(IF(CF1794="L1",Parameter!$H$5,IF(CF1794="L23",Parameter!$H$6+Parameter!$H$7,Parameter!$H$5+Parameter!$H$6+Parameter!$H$7))-(AX1794-AS1794))/AS1794)))</f>
        <v>0</v>
      </c>
      <c r="AZ1794" s="50" t="n">
        <f aca="false">IF(LEFT(Cockpit!$O$5,1)="A",H1794,IF(Parameter!$E$30="MAX-Bestand",IF(CH1794=1,CI1794,IF(LEFT(Cockpit!$O$5,1)="B",BF1794,MAX(BF1794,H1794))),ROUNDUP(BD1794,0)))</f>
        <v>0</v>
      </c>
      <c r="BA1794" s="50" t="n">
        <f aca="false">IF(BZ1794=1,0,ROUNDUP(AZ1794/BY1794,0))</f>
        <v>0</v>
      </c>
      <c r="BB1794" s="52" t="n">
        <f aca="false">IF(CQ1794&gt;0,CQ1794*MAX(1,AZ1794/X1794),IF(BZ1794=1,IF(AZ1794&lt;=0,0,CD1794*MAX(1,IF(H1794&gt;0,AZ1794/H1794,1))),IF(R1794&gt;0,BA1794/R1794,0))/MAX(0.1,N(Parameter!$M$21)))</f>
        <v>0</v>
      </c>
      <c r="BC1794" s="50" t="n">
        <f aca="false">BB1794*CB1794</f>
        <v>0</v>
      </c>
      <c r="BD1794" s="51" t="n">
        <f aca="false">IF(LEFT(Cockpit!$O$5,1)="A",H1794,IF(CH1794=1,(CK1794+CI1794)/2,IF(LEFT(Cockpit!$O$5,1)="B",(CK1794+BF1794)/2,MAX((CK1794+BF1794)/2,H1794))))</f>
        <v>0</v>
      </c>
      <c r="BE1794" s="50" t="n">
        <f aca="false">BD1794*G1794</f>
        <v>0</v>
      </c>
      <c r="BF1794" s="50" t="n">
        <f aca="false">ROUNDUP(CK1794+MAX(CL1794,2*(J1794/IF(CG1794&gt;0,CG1794,MAX(0.1,N(Cockpit!$O$6)))-CK1794)),0)</f>
        <v>0</v>
      </c>
      <c r="BG1794" s="51" t="n">
        <f aca="false">IF(BC1794&gt;0,J1794/BC1794,-1)</f>
        <v>-1</v>
      </c>
      <c r="BH1794" s="51" t="str">
        <f aca="false">IF(AND(OR(CF1794="L1",CF1794="L23",CF1794="LIFT"),BC1794&gt;0),SUMIFS($BC$7:$BC$1843,$CF$7:$CF$1843,CF1794,$BG$7:$BG$1843,"&gt;"&amp;BG1794)+SUMIFS($BC$7:$BC$1843,$CF$7:$CF$1843,CF1794,$BG$7:$BG$1843,BG1794,$BW$7:$BW$1843,"&lt;="&amp;BW1794),"")</f>
        <v/>
      </c>
      <c r="BI1794" s="58" t="n">
        <f aca="false">IF(BH1794="",0,MAX(0,MIN(1,(IF(CF1794="L1",Parameter!$H$5,IF(CF1794="L23",Parameter!$H$6+Parameter!$H$7,Parameter!$H$5+Parameter!$H$6+Parameter!$H$7))-(BH1794-BC1794))/BC1794)))</f>
        <v>0</v>
      </c>
      <c r="BJ1794" s="48" t="str">
        <f aca="false">IF(AI1794&lt;=0,"",IF(CF1794="Aussen","Aussenlager",IF(CF1794="-","Nicht im Lift",IF(AO1794&gt;=1,"Lift",IF(AO1794&lt;=0,"Aussenlager","teilweise")))))</f>
        <v/>
      </c>
      <c r="BK1794" s="48" t="str">
        <f aca="false">IF(AS1794&lt;=0,"",IF(CF1794="Aussen","Aussenlager",IF(CF1794="-","Nicht im Lift",IF(AY1794&gt;=1,"Lift",IF(AY1794&lt;=0,"Aussenlager","teilweise")))))</f>
        <v/>
      </c>
      <c r="BL1794" s="48" t="str">
        <f aca="false">IF(BC1794&lt;=0,"",IF(CF1794="Aussen","Aussenlager",IF(CF1794="-","Nicht im Lift",IF(BI1794&gt;=1,"Lift",IF(BI1794&lt;=0,"Aussenlager","teilweise")))))</f>
        <v/>
      </c>
      <c r="BM1794" s="48" t="str">
        <f aca="false">IF(A1794="","",IF(BV1794=1,"Neu; ","")&amp;IF(AND(BV1794=0,BQ1794&lt;0),"negativer Bestand (Export "&amp;BQ1794&amp;"); ","")&amp;IF(J1794&lt;=0,"Kein Verbrauch; ","")&amp;IF(CQ1794&gt;0,"Lift "&amp;W1794&amp;" lt. Liftbericht (Fach "&amp;X1794&amp;" Stk); ",IF(CA1794=1,"Gebinde geschätzt ("&amp;T1794&amp;"); ",IF(BZ1794=1,"Lose – Tablare geschätzt; ","")))&amp;IF(H1794&gt;AV1794,"Überbestand "&amp;ROUND(H1794-AV1794,0)&amp;" Stk / CHF "&amp;ROUND((H1794-AV1794)*G1794,0)&amp;"; ","")&amp;IF(AND(CH1794=1,CI1794&lt;CJ1794),"MAX &lt; MB+LG; ","")&amp;IF(AND(CP1794&gt;0,CO1794*10&gt;CP1794),"zu hoch für Tablar; ","")&amp;IF(AND(BV1794=0,OR(CH1794=1,AA1794&lt;&gt;"",U1794&lt;&gt;"",V1794&lt;&gt;"",AB1794&lt;&gt;"")),"manuell übersteuert; ","")&amp;IF(AND(BZ1794=0,R1794=0),"Gebinde unbekannt / Stellmass fehlt; ","")&amp;IF(AND(BZ1794=0,N(V1794)&lt;=0,N(Q1794)&lt;=0),"Menge pro Gebinde fehlt (Ist = 1 Gebinde); ","")&amp;BU1794)</f>
        <v/>
      </c>
      <c r="BN1794" s="48"/>
      <c r="BO1794" s="48"/>
      <c r="BP1794" s="55"/>
      <c r="BQ1794" s="50" t="n">
        <f aca="false">N('Neue Artikel'!$D$55)</f>
        <v>0</v>
      </c>
      <c r="BR1794" s="50" t="n">
        <v>0</v>
      </c>
      <c r="BS1794" s="49" t="n">
        <v>0</v>
      </c>
      <c r="BT1794" s="50" t="n">
        <f aca="false">N('Neue Artikel'!$C$55)/Parameter!$B$18</f>
        <v>0</v>
      </c>
      <c r="BU1794" s="48"/>
      <c r="BV1794" s="53" t="n">
        <v>1</v>
      </c>
      <c r="BW1794" s="53" t="n">
        <v>1794</v>
      </c>
      <c r="BX1794" s="48" t="str">
        <f aca="false">IF(U1794&lt;&gt;"",UPPER(TRIM(U1794)),IF(CA1794=1,UPPER(VLOOKUP(T1794,Parameter!$I$27:$K$29,2,0)),IF(P1794="","LOSE",P1794)))</f>
        <v>LOSE</v>
      </c>
      <c r="BY1794" s="50" t="n">
        <f aca="false">IF(BX1794="LOSE",1,IF(N(V1794)&gt;0,V1794,IF(CA1794=1,MAX(1,N(VLOOKUP(T1794,Parameter!$I$27:$K$29,3,0)),H1794,N(N1794)),IF(N(Q1794)&gt;0,Q1794,MAX(1,H1794)))))</f>
        <v>1</v>
      </c>
      <c r="BZ1794" s="53" t="n">
        <f aca="false">IF(BX1794="LOSE",1,0)</f>
        <v>1</v>
      </c>
      <c r="CA1794" s="53" t="n">
        <f aca="false">IF(AND(U1794="",OR(P1794="",P1794="LOSE"),T1794&lt;&gt;"",N(S1794)&lt;=0,ISNUMBER(MATCH(T1794,Parameter!$I$27:$I$29,0))),1,0)</f>
        <v>0</v>
      </c>
      <c r="CB1794" s="53" t="n">
        <f aca="false">IF(CQ1794&gt;0,INDEX(Parameter!$H$5:$H$7,W1794)/INDEX(Parameter!$E$5:$E$7,W1794),IF(AND(BZ1794=0,N(IFERROR(VLOOKUP(BX1794,'Gebinde-Kategorie'!$A$5:$N$45,14,0),0))&gt;0),VLOOKUP(BX1794,'Gebinde-Kategorie'!$A$5:$N$45,14,0)*10+Parameter!$M$23,Parameter!$M$24))</f>
        <v>235</v>
      </c>
      <c r="CC1794" s="48" t="str">
        <f aca="false">IF(AND(Parameter!$B$19="Ja",E1794&lt;&gt;"",ISNUMBER(MATCH(E1794,Parameter!$I$35:$I$52,0))),VLOOKUP(E1794,Parameter!$I$35:$J$52,2,0),IFERROR(VLOOKUP(D1794,Parameter!$A$35:$C$64,2,0),"Nein"))</f>
        <v>2+3</v>
      </c>
      <c r="CD1794" s="52" t="n">
        <f aca="false">IF(BZ1794=0,0,IF(N(S1794)&gt;0,S1794,IFERROR(VLOOKUP(D1794,Parameter!$A$35:$C$64,3,0)+0,0)))</f>
        <v>0.15</v>
      </c>
      <c r="CE1794" s="48" t="str">
        <f aca="false">IF(AA1794&lt;&gt;"",AA1794,Z1794)</f>
        <v/>
      </c>
      <c r="CF1794" s="48" t="str">
        <f aca="false">IF(OR(CE1794=1,CE1794=2,CE1794=3),IF(Parameter!$E$27="Ja","LIFT",IF(CE1794=1,"L1","L23")),IF(CE1794="Aussen","Aussen","-"))</f>
        <v>-</v>
      </c>
      <c r="CG1794" s="59" t="n">
        <f aca="false">IF(N(AB1794)&gt;0,AB1794,0)</f>
        <v>0</v>
      </c>
      <c r="CH1794" s="53" t="n">
        <f aca="false">IF(ISNUMBER(AE1794),1,0)</f>
        <v>0</v>
      </c>
      <c r="CI1794" s="50" t="n">
        <f aca="false">N(AE1794)</f>
        <v>0</v>
      </c>
      <c r="CJ1794" s="50" t="n">
        <f aca="false">N(M1794)+N(N1794)</f>
        <v>0</v>
      </c>
      <c r="CK1794" s="50" t="n">
        <f aca="false">N(M1794)</f>
        <v>0</v>
      </c>
      <c r="CL1794" s="50" t="n">
        <f aca="false">N(N1794)</f>
        <v>0</v>
      </c>
      <c r="CM1794" s="50" t="n">
        <f aca="false">ROUNDUP(H1794/BY1794,0)</f>
        <v>0</v>
      </c>
      <c r="CN1794" s="50" t="n">
        <f aca="false">ROUNDUP(CI1794/BY1794,0)</f>
        <v>0</v>
      </c>
      <c r="CO1794" s="53" t="n">
        <f aca="false">IF(BZ1794=1,0,IFERROR(VLOOKUP(BX1794,'Gebinde-Kategorie'!$A$5:$N$45,5,0)+0,0))</f>
        <v>0</v>
      </c>
      <c r="CP1794" s="53" t="n">
        <f aca="false">IFERROR(IF(OR(CE1794=1,CE1794=2,CE1794=3),N(INDEX(Parameter!$I$5:$I$7,CE1794)),0),0)</f>
        <v>0</v>
      </c>
      <c r="CQ1794" s="52" t="n">
        <f aca="false">IF(AND(Parameter!$B$21="Ja",ISNUMBER(W1794),N(X1794)&gt;0),IFERROR(N(INDEX(Parameter!$L$5:$L$7,W1794))*INDEX(Parameter!$E$5:$E$7,W1794)*X1794/SUMIFS($X$7:$X$1843,$W$7:$W$1843,W1794),0),0)</f>
        <v>0</v>
      </c>
    </row>
    <row r="1795" customFormat="false" ht="15" hidden="false" customHeight="false" outlineLevel="0" collapsed="false">
      <c r="A1795" s="48" t="str">
        <f aca="false">IF('Neue Artikel'!$A$56="","",'Neue Artikel'!$A$56&amp;"")</f>
        <v/>
      </c>
      <c r="B1795" s="48" t="str">
        <f aca="false">'Neue Artikel'!$B$56&amp;""</f>
        <v/>
      </c>
      <c r="C1795" s="48"/>
      <c r="D1795" s="48" t="s">
        <v>3024</v>
      </c>
      <c r="E1795" s="48"/>
      <c r="F1795" s="48"/>
      <c r="G1795" s="49" t="n">
        <f aca="false">N('Neue Artikel'!$G$56)</f>
        <v>0</v>
      </c>
      <c r="H1795" s="50" t="n">
        <f aca="false">MAX(0,IF(AND(Parameter!$B$21="Ja",ISNUMBER(Y1795)),Y1795,IF(Parameter!$B$20="Jahresanfang 2025 + Export",BR1795+BQ1795,BQ1795)))</f>
        <v>0</v>
      </c>
      <c r="I1795" s="50" t="n">
        <f aca="false">H1795*G1795</f>
        <v>0</v>
      </c>
      <c r="J1795" s="50" t="n">
        <f aca="false">BT1795*Parameter!$B$18</f>
        <v>0</v>
      </c>
      <c r="K1795" s="51"/>
      <c r="L1795" s="52"/>
      <c r="M1795" s="50" t="n">
        <f aca="false">N('Neue Artikel'!$E$56)</f>
        <v>0</v>
      </c>
      <c r="N1795" s="50" t="n">
        <f aca="false">N('Neue Artikel'!$F$56)</f>
        <v>0</v>
      </c>
      <c r="O1795" s="53"/>
      <c r="P1795" s="48" t="str">
        <f aca="false">IF('Neue Artikel'!$H$56="","LOSE",UPPER(TRIM('Neue Artikel'!$H$56)))</f>
        <v>LOSE</v>
      </c>
      <c r="Q1795" s="50" t="n">
        <f aca="false">N('Neue Artikel'!$I$56)</f>
        <v>0</v>
      </c>
      <c r="R1795" s="53" t="n">
        <f aca="false">IF(BZ1795=1,0,IFERROR(VLOOKUP(BX1795,'Gebinde-Kategorie'!$A$5:$N$45,13,0)+0,0))</f>
        <v>0</v>
      </c>
      <c r="S1795" s="54"/>
      <c r="T1795" s="55"/>
      <c r="U1795" s="55"/>
      <c r="V1795" s="55"/>
      <c r="W1795" s="48"/>
      <c r="X1795" s="50"/>
      <c r="Y1795" s="50"/>
      <c r="Z1795" s="48" t="str">
        <f aca="false">IF(A1795="","",IF(AND(Parameter!$B$21="Ja",ISNUMBER(W1795)),W1795,IF(CC1795="2+3",IF(ISNUMBER(SEARCH("grosser Artikel",BU1795)),2,IFERROR(VLOOKUP(BX1795,Parameter!$F$35:$G$64,2,0),2)),IF(OR(CC1795="Nein",CC1795=""),"-",CC1795))))</f>
        <v/>
      </c>
      <c r="AA1795" s="48" t="str">
        <f aca="false">IF('Neue Artikel'!$J$56="","",'Neue Artikel'!$J$56)</f>
        <v/>
      </c>
      <c r="AB1795" s="56"/>
      <c r="AC1795" s="50" t="n">
        <f aca="false">AV1795</f>
        <v>0</v>
      </c>
      <c r="AD1795" s="50" t="n">
        <f aca="false">MAX(AV1795,H1795)</f>
        <v>0</v>
      </c>
      <c r="AE1795" s="57"/>
      <c r="AF1795" s="50" t="n">
        <f aca="false">IF(LEFT(Cockpit!$C$5,1)="A",H1795,IF(Parameter!$E$30="MAX-Bestand",IF(CH1795=1,CI1795,IF(LEFT(Cockpit!$C$5,1)="B",AL1795,MAX(AL1795,H1795))),ROUNDUP(AJ1795,0)))</f>
        <v>0</v>
      </c>
      <c r="AG1795" s="50" t="n">
        <f aca="false">IF(BZ1795=1,0,ROUNDUP(AF1795/BY1795,0))</f>
        <v>0</v>
      </c>
      <c r="AH1795" s="52" t="n">
        <f aca="false">IF(CQ1795&gt;0,CQ1795*MAX(1,AF1795/X1795),IF(BZ1795=1,IF(AF1795&lt;=0,0,CD1795*MAX(1,IF(H1795&gt;0,AF1795/H1795,1))),IF(R1795&gt;0,AG1795/R1795,0))/MAX(0.1,N(Parameter!$M$21)))</f>
        <v>0</v>
      </c>
      <c r="AI1795" s="50" t="n">
        <f aca="false">AH1795*CB1795</f>
        <v>0</v>
      </c>
      <c r="AJ1795" s="51" t="n">
        <f aca="false">IF(LEFT(Cockpit!$C$5,1)="A",H1795,IF(CH1795=1,(CK1795+CI1795)/2,IF(LEFT(Cockpit!$C$5,1)="B",(CK1795+AL1795)/2,MAX((CK1795+AL1795)/2,H1795))))</f>
        <v>0</v>
      </c>
      <c r="AK1795" s="50" t="n">
        <f aca="false">AJ1795*G1795</f>
        <v>0</v>
      </c>
      <c r="AL1795" s="50" t="n">
        <f aca="false">ROUNDUP(CK1795+MAX(CL1795,2*(J1795/IF(CG1795&gt;0,CG1795,MAX(0.1,N(Cockpit!$C$6)))-CK1795)),0)</f>
        <v>0</v>
      </c>
      <c r="AM1795" s="51" t="n">
        <f aca="false">IF(AI1795&gt;0,J1795/AI1795,-1)</f>
        <v>-1</v>
      </c>
      <c r="AN1795" s="51" t="str">
        <f aca="false">IF(AND(OR(CF1795="L1",CF1795="L23",CF1795="LIFT"),AI1795&gt;0),SUMIFS($AI$7:$AI$1843,$CF$7:$CF$1843,CF1795,$AM$7:$AM$1843,"&gt;"&amp;AM1795)+SUMIFS($AI$7:$AI$1843,$CF$7:$CF$1843,CF1795,$AM$7:$AM$1843,AM1795,$BW$7:$BW$1843,"&lt;="&amp;BW1795),"")</f>
        <v/>
      </c>
      <c r="AO1795" s="58" t="n">
        <f aca="false">IF(AN1795="",0,MAX(0,MIN(1,(IF(CF1795="L1",Parameter!$H$5,IF(CF1795="L23",Parameter!$H$6+Parameter!$H$7,Parameter!$H$5+Parameter!$H$6+Parameter!$H$7))-(AN1795-AI1795))/AI1795)))</f>
        <v>0</v>
      </c>
      <c r="AP1795" s="50" t="n">
        <f aca="false">IF(LEFT(Cockpit!$I$5,1)="A",H1795,IF(Parameter!$E$30="MAX-Bestand",IF(CH1795=1,CI1795,IF(LEFT(Cockpit!$I$5,1)="B",AV1795,MAX(AV1795,H1795))),ROUNDUP(AT1795,0)))</f>
        <v>0</v>
      </c>
      <c r="AQ1795" s="50" t="n">
        <f aca="false">IF(BZ1795=1,0,ROUNDUP(AP1795/BY1795,0))</f>
        <v>0</v>
      </c>
      <c r="AR1795" s="52" t="n">
        <f aca="false">IF(CQ1795&gt;0,CQ1795*MAX(1,AP1795/X1795),IF(BZ1795=1,IF(AP1795&lt;=0,0,CD1795*MAX(1,IF(H1795&gt;0,AP1795/H1795,1))),IF(R1795&gt;0,AQ1795/R1795,0))/MAX(0.1,N(Parameter!$M$21)))</f>
        <v>0</v>
      </c>
      <c r="AS1795" s="50" t="n">
        <f aca="false">AR1795*CB1795</f>
        <v>0</v>
      </c>
      <c r="AT1795" s="51" t="n">
        <f aca="false">IF(LEFT(Cockpit!$I$5,1)="A",H1795,IF(CH1795=1,(CK1795+CI1795)/2,IF(LEFT(Cockpit!$I$5,1)="B",(CK1795+AV1795)/2,MAX((CK1795+AV1795)/2,H1795))))</f>
        <v>0</v>
      </c>
      <c r="AU1795" s="50" t="n">
        <f aca="false">AT1795*G1795</f>
        <v>0</v>
      </c>
      <c r="AV1795" s="50" t="n">
        <f aca="false">ROUNDUP(CK1795+MAX(CL1795,2*(J1795/IF(CG1795&gt;0,CG1795,MAX(0.1,N(Cockpit!$I$6)))-CK1795)),0)</f>
        <v>0</v>
      </c>
      <c r="AW1795" s="51" t="n">
        <f aca="false">IF(AS1795&gt;0,J1795/AS1795,-1)</f>
        <v>-1</v>
      </c>
      <c r="AX1795" s="51" t="str">
        <f aca="false">IF(AND(OR(CF1795="L1",CF1795="L23",CF1795="LIFT"),AS1795&gt;0),SUMIFS($AS$7:$AS$1843,$CF$7:$CF$1843,CF1795,$AW$7:$AW$1843,"&gt;"&amp;AW1795)+SUMIFS($AS$7:$AS$1843,$CF$7:$CF$1843,CF1795,$AW$7:$AW$1843,AW1795,$BW$7:$BW$1843,"&lt;="&amp;BW1795),"")</f>
        <v/>
      </c>
      <c r="AY1795" s="58" t="n">
        <f aca="false">IF(AX1795="",0,MAX(0,MIN(1,(IF(CF1795="L1",Parameter!$H$5,IF(CF1795="L23",Parameter!$H$6+Parameter!$H$7,Parameter!$H$5+Parameter!$H$6+Parameter!$H$7))-(AX1795-AS1795))/AS1795)))</f>
        <v>0</v>
      </c>
      <c r="AZ1795" s="50" t="n">
        <f aca="false">IF(LEFT(Cockpit!$O$5,1)="A",H1795,IF(Parameter!$E$30="MAX-Bestand",IF(CH1795=1,CI1795,IF(LEFT(Cockpit!$O$5,1)="B",BF1795,MAX(BF1795,H1795))),ROUNDUP(BD1795,0)))</f>
        <v>0</v>
      </c>
      <c r="BA1795" s="50" t="n">
        <f aca="false">IF(BZ1795=1,0,ROUNDUP(AZ1795/BY1795,0))</f>
        <v>0</v>
      </c>
      <c r="BB1795" s="52" t="n">
        <f aca="false">IF(CQ1795&gt;0,CQ1795*MAX(1,AZ1795/X1795),IF(BZ1795=1,IF(AZ1795&lt;=0,0,CD1795*MAX(1,IF(H1795&gt;0,AZ1795/H1795,1))),IF(R1795&gt;0,BA1795/R1795,0))/MAX(0.1,N(Parameter!$M$21)))</f>
        <v>0</v>
      </c>
      <c r="BC1795" s="50" t="n">
        <f aca="false">BB1795*CB1795</f>
        <v>0</v>
      </c>
      <c r="BD1795" s="51" t="n">
        <f aca="false">IF(LEFT(Cockpit!$O$5,1)="A",H1795,IF(CH1795=1,(CK1795+CI1795)/2,IF(LEFT(Cockpit!$O$5,1)="B",(CK1795+BF1795)/2,MAX((CK1795+BF1795)/2,H1795))))</f>
        <v>0</v>
      </c>
      <c r="BE1795" s="50" t="n">
        <f aca="false">BD1795*G1795</f>
        <v>0</v>
      </c>
      <c r="BF1795" s="50" t="n">
        <f aca="false">ROUNDUP(CK1795+MAX(CL1795,2*(J1795/IF(CG1795&gt;0,CG1795,MAX(0.1,N(Cockpit!$O$6)))-CK1795)),0)</f>
        <v>0</v>
      </c>
      <c r="BG1795" s="51" t="n">
        <f aca="false">IF(BC1795&gt;0,J1795/BC1795,-1)</f>
        <v>-1</v>
      </c>
      <c r="BH1795" s="51" t="str">
        <f aca="false">IF(AND(OR(CF1795="L1",CF1795="L23",CF1795="LIFT"),BC1795&gt;0),SUMIFS($BC$7:$BC$1843,$CF$7:$CF$1843,CF1795,$BG$7:$BG$1843,"&gt;"&amp;BG1795)+SUMIFS($BC$7:$BC$1843,$CF$7:$CF$1843,CF1795,$BG$7:$BG$1843,BG1795,$BW$7:$BW$1843,"&lt;="&amp;BW1795),"")</f>
        <v/>
      </c>
      <c r="BI1795" s="58" t="n">
        <f aca="false">IF(BH1795="",0,MAX(0,MIN(1,(IF(CF1795="L1",Parameter!$H$5,IF(CF1795="L23",Parameter!$H$6+Parameter!$H$7,Parameter!$H$5+Parameter!$H$6+Parameter!$H$7))-(BH1795-BC1795))/BC1795)))</f>
        <v>0</v>
      </c>
      <c r="BJ1795" s="48" t="str">
        <f aca="false">IF(AI1795&lt;=0,"",IF(CF1795="Aussen","Aussenlager",IF(CF1795="-","Nicht im Lift",IF(AO1795&gt;=1,"Lift",IF(AO1795&lt;=0,"Aussenlager","teilweise")))))</f>
        <v/>
      </c>
      <c r="BK1795" s="48" t="str">
        <f aca="false">IF(AS1795&lt;=0,"",IF(CF1795="Aussen","Aussenlager",IF(CF1795="-","Nicht im Lift",IF(AY1795&gt;=1,"Lift",IF(AY1795&lt;=0,"Aussenlager","teilweise")))))</f>
        <v/>
      </c>
      <c r="BL1795" s="48" t="str">
        <f aca="false">IF(BC1795&lt;=0,"",IF(CF1795="Aussen","Aussenlager",IF(CF1795="-","Nicht im Lift",IF(BI1795&gt;=1,"Lift",IF(BI1795&lt;=0,"Aussenlager","teilweise")))))</f>
        <v/>
      </c>
      <c r="BM1795" s="48" t="str">
        <f aca="false">IF(A1795="","",IF(BV1795=1,"Neu; ","")&amp;IF(AND(BV1795=0,BQ1795&lt;0),"negativer Bestand (Export "&amp;BQ1795&amp;"); ","")&amp;IF(J1795&lt;=0,"Kein Verbrauch; ","")&amp;IF(CQ1795&gt;0,"Lift "&amp;W1795&amp;" lt. Liftbericht (Fach "&amp;X1795&amp;" Stk); ",IF(CA1795=1,"Gebinde geschätzt ("&amp;T1795&amp;"); ",IF(BZ1795=1,"Lose – Tablare geschätzt; ","")))&amp;IF(H1795&gt;AV1795,"Überbestand "&amp;ROUND(H1795-AV1795,0)&amp;" Stk / CHF "&amp;ROUND((H1795-AV1795)*G1795,0)&amp;"; ","")&amp;IF(AND(CH1795=1,CI1795&lt;CJ1795),"MAX &lt; MB+LG; ","")&amp;IF(AND(CP1795&gt;0,CO1795*10&gt;CP1795),"zu hoch für Tablar; ","")&amp;IF(AND(BV1795=0,OR(CH1795=1,AA1795&lt;&gt;"",U1795&lt;&gt;"",V1795&lt;&gt;"",AB1795&lt;&gt;"")),"manuell übersteuert; ","")&amp;IF(AND(BZ1795=0,R1795=0),"Gebinde unbekannt / Stellmass fehlt; ","")&amp;IF(AND(BZ1795=0,N(V1795)&lt;=0,N(Q1795)&lt;=0),"Menge pro Gebinde fehlt (Ist = 1 Gebinde); ","")&amp;BU1795)</f>
        <v/>
      </c>
      <c r="BN1795" s="48"/>
      <c r="BO1795" s="48"/>
      <c r="BP1795" s="55"/>
      <c r="BQ1795" s="50" t="n">
        <f aca="false">N('Neue Artikel'!$D$56)</f>
        <v>0</v>
      </c>
      <c r="BR1795" s="50" t="n">
        <v>0</v>
      </c>
      <c r="BS1795" s="49" t="n">
        <v>0</v>
      </c>
      <c r="BT1795" s="50" t="n">
        <f aca="false">N('Neue Artikel'!$C$56)/Parameter!$B$18</f>
        <v>0</v>
      </c>
      <c r="BU1795" s="48"/>
      <c r="BV1795" s="53" t="n">
        <v>1</v>
      </c>
      <c r="BW1795" s="53" t="n">
        <v>1795</v>
      </c>
      <c r="BX1795" s="48" t="str">
        <f aca="false">IF(U1795&lt;&gt;"",UPPER(TRIM(U1795)),IF(CA1795=1,UPPER(VLOOKUP(T1795,Parameter!$I$27:$K$29,2,0)),IF(P1795="","LOSE",P1795)))</f>
        <v>LOSE</v>
      </c>
      <c r="BY1795" s="50" t="n">
        <f aca="false">IF(BX1795="LOSE",1,IF(N(V1795)&gt;0,V1795,IF(CA1795=1,MAX(1,N(VLOOKUP(T1795,Parameter!$I$27:$K$29,3,0)),H1795,N(N1795)),IF(N(Q1795)&gt;0,Q1795,MAX(1,H1795)))))</f>
        <v>1</v>
      </c>
      <c r="BZ1795" s="53" t="n">
        <f aca="false">IF(BX1795="LOSE",1,0)</f>
        <v>1</v>
      </c>
      <c r="CA1795" s="53" t="n">
        <f aca="false">IF(AND(U1795="",OR(P1795="",P1795="LOSE"),T1795&lt;&gt;"",N(S1795)&lt;=0,ISNUMBER(MATCH(T1795,Parameter!$I$27:$I$29,0))),1,0)</f>
        <v>0</v>
      </c>
      <c r="CB1795" s="53" t="n">
        <f aca="false">IF(CQ1795&gt;0,INDEX(Parameter!$H$5:$H$7,W1795)/INDEX(Parameter!$E$5:$E$7,W1795),IF(AND(BZ1795=0,N(IFERROR(VLOOKUP(BX1795,'Gebinde-Kategorie'!$A$5:$N$45,14,0),0))&gt;0),VLOOKUP(BX1795,'Gebinde-Kategorie'!$A$5:$N$45,14,0)*10+Parameter!$M$23,Parameter!$M$24))</f>
        <v>235</v>
      </c>
      <c r="CC1795" s="48" t="str">
        <f aca="false">IF(AND(Parameter!$B$19="Ja",E1795&lt;&gt;"",ISNUMBER(MATCH(E1795,Parameter!$I$35:$I$52,0))),VLOOKUP(E1795,Parameter!$I$35:$J$52,2,0),IFERROR(VLOOKUP(D1795,Parameter!$A$35:$C$64,2,0),"Nein"))</f>
        <v>2+3</v>
      </c>
      <c r="CD1795" s="52" t="n">
        <f aca="false">IF(BZ1795=0,0,IF(N(S1795)&gt;0,S1795,IFERROR(VLOOKUP(D1795,Parameter!$A$35:$C$64,3,0)+0,0)))</f>
        <v>0.15</v>
      </c>
      <c r="CE1795" s="48" t="str">
        <f aca="false">IF(AA1795&lt;&gt;"",AA1795,Z1795)</f>
        <v/>
      </c>
      <c r="CF1795" s="48" t="str">
        <f aca="false">IF(OR(CE1795=1,CE1795=2,CE1795=3),IF(Parameter!$E$27="Ja","LIFT",IF(CE1795=1,"L1","L23")),IF(CE1795="Aussen","Aussen","-"))</f>
        <v>-</v>
      </c>
      <c r="CG1795" s="59" t="n">
        <f aca="false">IF(N(AB1795)&gt;0,AB1795,0)</f>
        <v>0</v>
      </c>
      <c r="CH1795" s="53" t="n">
        <f aca="false">IF(ISNUMBER(AE1795),1,0)</f>
        <v>0</v>
      </c>
      <c r="CI1795" s="50" t="n">
        <f aca="false">N(AE1795)</f>
        <v>0</v>
      </c>
      <c r="CJ1795" s="50" t="n">
        <f aca="false">N(M1795)+N(N1795)</f>
        <v>0</v>
      </c>
      <c r="CK1795" s="50" t="n">
        <f aca="false">N(M1795)</f>
        <v>0</v>
      </c>
      <c r="CL1795" s="50" t="n">
        <f aca="false">N(N1795)</f>
        <v>0</v>
      </c>
      <c r="CM1795" s="50" t="n">
        <f aca="false">ROUNDUP(H1795/BY1795,0)</f>
        <v>0</v>
      </c>
      <c r="CN1795" s="50" t="n">
        <f aca="false">ROUNDUP(CI1795/BY1795,0)</f>
        <v>0</v>
      </c>
      <c r="CO1795" s="53" t="n">
        <f aca="false">IF(BZ1795=1,0,IFERROR(VLOOKUP(BX1795,'Gebinde-Kategorie'!$A$5:$N$45,5,0)+0,0))</f>
        <v>0</v>
      </c>
      <c r="CP1795" s="53" t="n">
        <f aca="false">IFERROR(IF(OR(CE1795=1,CE1795=2,CE1795=3),N(INDEX(Parameter!$I$5:$I$7,CE1795)),0),0)</f>
        <v>0</v>
      </c>
      <c r="CQ1795" s="52" t="n">
        <f aca="false">IF(AND(Parameter!$B$21="Ja",ISNUMBER(W1795),N(X1795)&gt;0),IFERROR(N(INDEX(Parameter!$L$5:$L$7,W1795))*INDEX(Parameter!$E$5:$E$7,W1795)*X1795/SUMIFS($X$7:$X$1843,$W$7:$W$1843,W1795),0),0)</f>
        <v>0</v>
      </c>
    </row>
    <row r="1796" customFormat="false" ht="15" hidden="false" customHeight="false" outlineLevel="0" collapsed="false">
      <c r="A1796" s="48" t="str">
        <f aca="false">IF('Neue Artikel'!$A$57="","",'Neue Artikel'!$A$57&amp;"")</f>
        <v/>
      </c>
      <c r="B1796" s="48" t="str">
        <f aca="false">'Neue Artikel'!$B$57&amp;""</f>
        <v/>
      </c>
      <c r="C1796" s="48"/>
      <c r="D1796" s="48" t="s">
        <v>3024</v>
      </c>
      <c r="E1796" s="48"/>
      <c r="F1796" s="48"/>
      <c r="G1796" s="49" t="n">
        <f aca="false">N('Neue Artikel'!$G$57)</f>
        <v>0</v>
      </c>
      <c r="H1796" s="50" t="n">
        <f aca="false">MAX(0,IF(AND(Parameter!$B$21="Ja",ISNUMBER(Y1796)),Y1796,IF(Parameter!$B$20="Jahresanfang 2025 + Export",BR1796+BQ1796,BQ1796)))</f>
        <v>0</v>
      </c>
      <c r="I1796" s="50" t="n">
        <f aca="false">H1796*G1796</f>
        <v>0</v>
      </c>
      <c r="J1796" s="50" t="n">
        <f aca="false">BT1796*Parameter!$B$18</f>
        <v>0</v>
      </c>
      <c r="K1796" s="51"/>
      <c r="L1796" s="52"/>
      <c r="M1796" s="50" t="n">
        <f aca="false">N('Neue Artikel'!$E$57)</f>
        <v>0</v>
      </c>
      <c r="N1796" s="50" t="n">
        <f aca="false">N('Neue Artikel'!$F$57)</f>
        <v>0</v>
      </c>
      <c r="O1796" s="53"/>
      <c r="P1796" s="48" t="str">
        <f aca="false">IF('Neue Artikel'!$H$57="","LOSE",UPPER(TRIM('Neue Artikel'!$H$57)))</f>
        <v>LOSE</v>
      </c>
      <c r="Q1796" s="50" t="n">
        <f aca="false">N('Neue Artikel'!$I$57)</f>
        <v>0</v>
      </c>
      <c r="R1796" s="53" t="n">
        <f aca="false">IF(BZ1796=1,0,IFERROR(VLOOKUP(BX1796,'Gebinde-Kategorie'!$A$5:$N$45,13,0)+0,0))</f>
        <v>0</v>
      </c>
      <c r="S1796" s="54"/>
      <c r="T1796" s="55"/>
      <c r="U1796" s="55"/>
      <c r="V1796" s="55"/>
      <c r="W1796" s="48"/>
      <c r="X1796" s="50"/>
      <c r="Y1796" s="50"/>
      <c r="Z1796" s="48" t="str">
        <f aca="false">IF(A1796="","",IF(AND(Parameter!$B$21="Ja",ISNUMBER(W1796)),W1796,IF(CC1796="2+3",IF(ISNUMBER(SEARCH("grosser Artikel",BU1796)),2,IFERROR(VLOOKUP(BX1796,Parameter!$F$35:$G$64,2,0),2)),IF(OR(CC1796="Nein",CC1796=""),"-",CC1796))))</f>
        <v/>
      </c>
      <c r="AA1796" s="48" t="str">
        <f aca="false">IF('Neue Artikel'!$J$57="","",'Neue Artikel'!$J$57)</f>
        <v/>
      </c>
      <c r="AB1796" s="56"/>
      <c r="AC1796" s="50" t="n">
        <f aca="false">AV1796</f>
        <v>0</v>
      </c>
      <c r="AD1796" s="50" t="n">
        <f aca="false">MAX(AV1796,H1796)</f>
        <v>0</v>
      </c>
      <c r="AE1796" s="57"/>
      <c r="AF1796" s="50" t="n">
        <f aca="false">IF(LEFT(Cockpit!$C$5,1)="A",H1796,IF(Parameter!$E$30="MAX-Bestand",IF(CH1796=1,CI1796,IF(LEFT(Cockpit!$C$5,1)="B",AL1796,MAX(AL1796,H1796))),ROUNDUP(AJ1796,0)))</f>
        <v>0</v>
      </c>
      <c r="AG1796" s="50" t="n">
        <f aca="false">IF(BZ1796=1,0,ROUNDUP(AF1796/BY1796,0))</f>
        <v>0</v>
      </c>
      <c r="AH1796" s="52" t="n">
        <f aca="false">IF(CQ1796&gt;0,CQ1796*MAX(1,AF1796/X1796),IF(BZ1796=1,IF(AF1796&lt;=0,0,CD1796*MAX(1,IF(H1796&gt;0,AF1796/H1796,1))),IF(R1796&gt;0,AG1796/R1796,0))/MAX(0.1,N(Parameter!$M$21)))</f>
        <v>0</v>
      </c>
      <c r="AI1796" s="50" t="n">
        <f aca="false">AH1796*CB1796</f>
        <v>0</v>
      </c>
      <c r="AJ1796" s="51" t="n">
        <f aca="false">IF(LEFT(Cockpit!$C$5,1)="A",H1796,IF(CH1796=1,(CK1796+CI1796)/2,IF(LEFT(Cockpit!$C$5,1)="B",(CK1796+AL1796)/2,MAX((CK1796+AL1796)/2,H1796))))</f>
        <v>0</v>
      </c>
      <c r="AK1796" s="50" t="n">
        <f aca="false">AJ1796*G1796</f>
        <v>0</v>
      </c>
      <c r="AL1796" s="50" t="n">
        <f aca="false">ROUNDUP(CK1796+MAX(CL1796,2*(J1796/IF(CG1796&gt;0,CG1796,MAX(0.1,N(Cockpit!$C$6)))-CK1796)),0)</f>
        <v>0</v>
      </c>
      <c r="AM1796" s="51" t="n">
        <f aca="false">IF(AI1796&gt;0,J1796/AI1796,-1)</f>
        <v>-1</v>
      </c>
      <c r="AN1796" s="51" t="str">
        <f aca="false">IF(AND(OR(CF1796="L1",CF1796="L23",CF1796="LIFT"),AI1796&gt;0),SUMIFS($AI$7:$AI$1843,$CF$7:$CF$1843,CF1796,$AM$7:$AM$1843,"&gt;"&amp;AM1796)+SUMIFS($AI$7:$AI$1843,$CF$7:$CF$1843,CF1796,$AM$7:$AM$1843,AM1796,$BW$7:$BW$1843,"&lt;="&amp;BW1796),"")</f>
        <v/>
      </c>
      <c r="AO1796" s="58" t="n">
        <f aca="false">IF(AN1796="",0,MAX(0,MIN(1,(IF(CF1796="L1",Parameter!$H$5,IF(CF1796="L23",Parameter!$H$6+Parameter!$H$7,Parameter!$H$5+Parameter!$H$6+Parameter!$H$7))-(AN1796-AI1796))/AI1796)))</f>
        <v>0</v>
      </c>
      <c r="AP1796" s="50" t="n">
        <f aca="false">IF(LEFT(Cockpit!$I$5,1)="A",H1796,IF(Parameter!$E$30="MAX-Bestand",IF(CH1796=1,CI1796,IF(LEFT(Cockpit!$I$5,1)="B",AV1796,MAX(AV1796,H1796))),ROUNDUP(AT1796,0)))</f>
        <v>0</v>
      </c>
      <c r="AQ1796" s="50" t="n">
        <f aca="false">IF(BZ1796=1,0,ROUNDUP(AP1796/BY1796,0))</f>
        <v>0</v>
      </c>
      <c r="AR1796" s="52" t="n">
        <f aca="false">IF(CQ1796&gt;0,CQ1796*MAX(1,AP1796/X1796),IF(BZ1796=1,IF(AP1796&lt;=0,0,CD1796*MAX(1,IF(H1796&gt;0,AP1796/H1796,1))),IF(R1796&gt;0,AQ1796/R1796,0))/MAX(0.1,N(Parameter!$M$21)))</f>
        <v>0</v>
      </c>
      <c r="AS1796" s="50" t="n">
        <f aca="false">AR1796*CB1796</f>
        <v>0</v>
      </c>
      <c r="AT1796" s="51" t="n">
        <f aca="false">IF(LEFT(Cockpit!$I$5,1)="A",H1796,IF(CH1796=1,(CK1796+CI1796)/2,IF(LEFT(Cockpit!$I$5,1)="B",(CK1796+AV1796)/2,MAX((CK1796+AV1796)/2,H1796))))</f>
        <v>0</v>
      </c>
      <c r="AU1796" s="50" t="n">
        <f aca="false">AT1796*G1796</f>
        <v>0</v>
      </c>
      <c r="AV1796" s="50" t="n">
        <f aca="false">ROUNDUP(CK1796+MAX(CL1796,2*(J1796/IF(CG1796&gt;0,CG1796,MAX(0.1,N(Cockpit!$I$6)))-CK1796)),0)</f>
        <v>0</v>
      </c>
      <c r="AW1796" s="51" t="n">
        <f aca="false">IF(AS1796&gt;0,J1796/AS1796,-1)</f>
        <v>-1</v>
      </c>
      <c r="AX1796" s="51" t="str">
        <f aca="false">IF(AND(OR(CF1796="L1",CF1796="L23",CF1796="LIFT"),AS1796&gt;0),SUMIFS($AS$7:$AS$1843,$CF$7:$CF$1843,CF1796,$AW$7:$AW$1843,"&gt;"&amp;AW1796)+SUMIFS($AS$7:$AS$1843,$CF$7:$CF$1843,CF1796,$AW$7:$AW$1843,AW1796,$BW$7:$BW$1843,"&lt;="&amp;BW1796),"")</f>
        <v/>
      </c>
      <c r="AY1796" s="58" t="n">
        <f aca="false">IF(AX1796="",0,MAX(0,MIN(1,(IF(CF1796="L1",Parameter!$H$5,IF(CF1796="L23",Parameter!$H$6+Parameter!$H$7,Parameter!$H$5+Parameter!$H$6+Parameter!$H$7))-(AX1796-AS1796))/AS1796)))</f>
        <v>0</v>
      </c>
      <c r="AZ1796" s="50" t="n">
        <f aca="false">IF(LEFT(Cockpit!$O$5,1)="A",H1796,IF(Parameter!$E$30="MAX-Bestand",IF(CH1796=1,CI1796,IF(LEFT(Cockpit!$O$5,1)="B",BF1796,MAX(BF1796,H1796))),ROUNDUP(BD1796,0)))</f>
        <v>0</v>
      </c>
      <c r="BA1796" s="50" t="n">
        <f aca="false">IF(BZ1796=1,0,ROUNDUP(AZ1796/BY1796,0))</f>
        <v>0</v>
      </c>
      <c r="BB1796" s="52" t="n">
        <f aca="false">IF(CQ1796&gt;0,CQ1796*MAX(1,AZ1796/X1796),IF(BZ1796=1,IF(AZ1796&lt;=0,0,CD1796*MAX(1,IF(H1796&gt;0,AZ1796/H1796,1))),IF(R1796&gt;0,BA1796/R1796,0))/MAX(0.1,N(Parameter!$M$21)))</f>
        <v>0</v>
      </c>
      <c r="BC1796" s="50" t="n">
        <f aca="false">BB1796*CB1796</f>
        <v>0</v>
      </c>
      <c r="BD1796" s="51" t="n">
        <f aca="false">IF(LEFT(Cockpit!$O$5,1)="A",H1796,IF(CH1796=1,(CK1796+CI1796)/2,IF(LEFT(Cockpit!$O$5,1)="B",(CK1796+BF1796)/2,MAX((CK1796+BF1796)/2,H1796))))</f>
        <v>0</v>
      </c>
      <c r="BE1796" s="50" t="n">
        <f aca="false">BD1796*G1796</f>
        <v>0</v>
      </c>
      <c r="BF1796" s="50" t="n">
        <f aca="false">ROUNDUP(CK1796+MAX(CL1796,2*(J1796/IF(CG1796&gt;0,CG1796,MAX(0.1,N(Cockpit!$O$6)))-CK1796)),0)</f>
        <v>0</v>
      </c>
      <c r="BG1796" s="51" t="n">
        <f aca="false">IF(BC1796&gt;0,J1796/BC1796,-1)</f>
        <v>-1</v>
      </c>
      <c r="BH1796" s="51" t="str">
        <f aca="false">IF(AND(OR(CF1796="L1",CF1796="L23",CF1796="LIFT"),BC1796&gt;0),SUMIFS($BC$7:$BC$1843,$CF$7:$CF$1843,CF1796,$BG$7:$BG$1843,"&gt;"&amp;BG1796)+SUMIFS($BC$7:$BC$1843,$CF$7:$CF$1843,CF1796,$BG$7:$BG$1843,BG1796,$BW$7:$BW$1843,"&lt;="&amp;BW1796),"")</f>
        <v/>
      </c>
      <c r="BI1796" s="58" t="n">
        <f aca="false">IF(BH1796="",0,MAX(0,MIN(1,(IF(CF1796="L1",Parameter!$H$5,IF(CF1796="L23",Parameter!$H$6+Parameter!$H$7,Parameter!$H$5+Parameter!$H$6+Parameter!$H$7))-(BH1796-BC1796))/BC1796)))</f>
        <v>0</v>
      </c>
      <c r="BJ1796" s="48" t="str">
        <f aca="false">IF(AI1796&lt;=0,"",IF(CF1796="Aussen","Aussenlager",IF(CF1796="-","Nicht im Lift",IF(AO1796&gt;=1,"Lift",IF(AO1796&lt;=0,"Aussenlager","teilweise")))))</f>
        <v/>
      </c>
      <c r="BK1796" s="48" t="str">
        <f aca="false">IF(AS1796&lt;=0,"",IF(CF1796="Aussen","Aussenlager",IF(CF1796="-","Nicht im Lift",IF(AY1796&gt;=1,"Lift",IF(AY1796&lt;=0,"Aussenlager","teilweise")))))</f>
        <v/>
      </c>
      <c r="BL1796" s="48" t="str">
        <f aca="false">IF(BC1796&lt;=0,"",IF(CF1796="Aussen","Aussenlager",IF(CF1796="-","Nicht im Lift",IF(BI1796&gt;=1,"Lift",IF(BI1796&lt;=0,"Aussenlager","teilweise")))))</f>
        <v/>
      </c>
      <c r="BM1796" s="48" t="str">
        <f aca="false">IF(A1796="","",IF(BV1796=1,"Neu; ","")&amp;IF(AND(BV1796=0,BQ1796&lt;0),"negativer Bestand (Export "&amp;BQ1796&amp;"); ","")&amp;IF(J1796&lt;=0,"Kein Verbrauch; ","")&amp;IF(CQ1796&gt;0,"Lift "&amp;W1796&amp;" lt. Liftbericht (Fach "&amp;X1796&amp;" Stk); ",IF(CA1796=1,"Gebinde geschätzt ("&amp;T1796&amp;"); ",IF(BZ1796=1,"Lose – Tablare geschätzt; ","")))&amp;IF(H1796&gt;AV1796,"Überbestand "&amp;ROUND(H1796-AV1796,0)&amp;" Stk / CHF "&amp;ROUND((H1796-AV1796)*G1796,0)&amp;"; ","")&amp;IF(AND(CH1796=1,CI1796&lt;CJ1796),"MAX &lt; MB+LG; ","")&amp;IF(AND(CP1796&gt;0,CO1796*10&gt;CP1796),"zu hoch für Tablar; ","")&amp;IF(AND(BV1796=0,OR(CH1796=1,AA1796&lt;&gt;"",U1796&lt;&gt;"",V1796&lt;&gt;"",AB1796&lt;&gt;"")),"manuell übersteuert; ","")&amp;IF(AND(BZ1796=0,R1796=0),"Gebinde unbekannt / Stellmass fehlt; ","")&amp;IF(AND(BZ1796=0,N(V1796)&lt;=0,N(Q1796)&lt;=0),"Menge pro Gebinde fehlt (Ist = 1 Gebinde); ","")&amp;BU1796)</f>
        <v/>
      </c>
      <c r="BN1796" s="48"/>
      <c r="BO1796" s="48"/>
      <c r="BP1796" s="55"/>
      <c r="BQ1796" s="50" t="n">
        <f aca="false">N('Neue Artikel'!$D$57)</f>
        <v>0</v>
      </c>
      <c r="BR1796" s="50" t="n">
        <v>0</v>
      </c>
      <c r="BS1796" s="49" t="n">
        <v>0</v>
      </c>
      <c r="BT1796" s="50" t="n">
        <f aca="false">N('Neue Artikel'!$C$57)/Parameter!$B$18</f>
        <v>0</v>
      </c>
      <c r="BU1796" s="48"/>
      <c r="BV1796" s="53" t="n">
        <v>1</v>
      </c>
      <c r="BW1796" s="53" t="n">
        <v>1796</v>
      </c>
      <c r="BX1796" s="48" t="str">
        <f aca="false">IF(U1796&lt;&gt;"",UPPER(TRIM(U1796)),IF(CA1796=1,UPPER(VLOOKUP(T1796,Parameter!$I$27:$K$29,2,0)),IF(P1796="","LOSE",P1796)))</f>
        <v>LOSE</v>
      </c>
      <c r="BY1796" s="50" t="n">
        <f aca="false">IF(BX1796="LOSE",1,IF(N(V1796)&gt;0,V1796,IF(CA1796=1,MAX(1,N(VLOOKUP(T1796,Parameter!$I$27:$K$29,3,0)),H1796,N(N1796)),IF(N(Q1796)&gt;0,Q1796,MAX(1,H1796)))))</f>
        <v>1</v>
      </c>
      <c r="BZ1796" s="53" t="n">
        <f aca="false">IF(BX1796="LOSE",1,0)</f>
        <v>1</v>
      </c>
      <c r="CA1796" s="53" t="n">
        <f aca="false">IF(AND(U1796="",OR(P1796="",P1796="LOSE"),T1796&lt;&gt;"",N(S1796)&lt;=0,ISNUMBER(MATCH(T1796,Parameter!$I$27:$I$29,0))),1,0)</f>
        <v>0</v>
      </c>
      <c r="CB1796" s="53" t="n">
        <f aca="false">IF(CQ1796&gt;0,INDEX(Parameter!$H$5:$H$7,W1796)/INDEX(Parameter!$E$5:$E$7,W1796),IF(AND(BZ1796=0,N(IFERROR(VLOOKUP(BX1796,'Gebinde-Kategorie'!$A$5:$N$45,14,0),0))&gt;0),VLOOKUP(BX1796,'Gebinde-Kategorie'!$A$5:$N$45,14,0)*10+Parameter!$M$23,Parameter!$M$24))</f>
        <v>235</v>
      </c>
      <c r="CC1796" s="48" t="str">
        <f aca="false">IF(AND(Parameter!$B$19="Ja",E1796&lt;&gt;"",ISNUMBER(MATCH(E1796,Parameter!$I$35:$I$52,0))),VLOOKUP(E1796,Parameter!$I$35:$J$52,2,0),IFERROR(VLOOKUP(D1796,Parameter!$A$35:$C$64,2,0),"Nein"))</f>
        <v>2+3</v>
      </c>
      <c r="CD1796" s="52" t="n">
        <f aca="false">IF(BZ1796=0,0,IF(N(S1796)&gt;0,S1796,IFERROR(VLOOKUP(D1796,Parameter!$A$35:$C$64,3,0)+0,0)))</f>
        <v>0.15</v>
      </c>
      <c r="CE1796" s="48" t="str">
        <f aca="false">IF(AA1796&lt;&gt;"",AA1796,Z1796)</f>
        <v/>
      </c>
      <c r="CF1796" s="48" t="str">
        <f aca="false">IF(OR(CE1796=1,CE1796=2,CE1796=3),IF(Parameter!$E$27="Ja","LIFT",IF(CE1796=1,"L1","L23")),IF(CE1796="Aussen","Aussen","-"))</f>
        <v>-</v>
      </c>
      <c r="CG1796" s="59" t="n">
        <f aca="false">IF(N(AB1796)&gt;0,AB1796,0)</f>
        <v>0</v>
      </c>
      <c r="CH1796" s="53" t="n">
        <f aca="false">IF(ISNUMBER(AE1796),1,0)</f>
        <v>0</v>
      </c>
      <c r="CI1796" s="50" t="n">
        <f aca="false">N(AE1796)</f>
        <v>0</v>
      </c>
      <c r="CJ1796" s="50" t="n">
        <f aca="false">N(M1796)+N(N1796)</f>
        <v>0</v>
      </c>
      <c r="CK1796" s="50" t="n">
        <f aca="false">N(M1796)</f>
        <v>0</v>
      </c>
      <c r="CL1796" s="50" t="n">
        <f aca="false">N(N1796)</f>
        <v>0</v>
      </c>
      <c r="CM1796" s="50" t="n">
        <f aca="false">ROUNDUP(H1796/BY1796,0)</f>
        <v>0</v>
      </c>
      <c r="CN1796" s="50" t="n">
        <f aca="false">ROUNDUP(CI1796/BY1796,0)</f>
        <v>0</v>
      </c>
      <c r="CO1796" s="53" t="n">
        <f aca="false">IF(BZ1796=1,0,IFERROR(VLOOKUP(BX1796,'Gebinde-Kategorie'!$A$5:$N$45,5,0)+0,0))</f>
        <v>0</v>
      </c>
      <c r="CP1796" s="53" t="n">
        <f aca="false">IFERROR(IF(OR(CE1796=1,CE1796=2,CE1796=3),N(INDEX(Parameter!$I$5:$I$7,CE1796)),0),0)</f>
        <v>0</v>
      </c>
      <c r="CQ1796" s="52" t="n">
        <f aca="false">IF(AND(Parameter!$B$21="Ja",ISNUMBER(W1796),N(X1796)&gt;0),IFERROR(N(INDEX(Parameter!$L$5:$L$7,W1796))*INDEX(Parameter!$E$5:$E$7,W1796)*X1796/SUMIFS($X$7:$X$1843,$W$7:$W$1843,W1796),0),0)</f>
        <v>0</v>
      </c>
    </row>
    <row r="1797" customFormat="false" ht="15" hidden="false" customHeight="false" outlineLevel="0" collapsed="false">
      <c r="A1797" s="48" t="str">
        <f aca="false">IF('Neue Artikel'!$A$58="","",'Neue Artikel'!$A$58&amp;"")</f>
        <v/>
      </c>
      <c r="B1797" s="48" t="str">
        <f aca="false">'Neue Artikel'!$B$58&amp;""</f>
        <v/>
      </c>
      <c r="C1797" s="48"/>
      <c r="D1797" s="48" t="s">
        <v>3024</v>
      </c>
      <c r="E1797" s="48"/>
      <c r="F1797" s="48"/>
      <c r="G1797" s="49" t="n">
        <f aca="false">N('Neue Artikel'!$G$58)</f>
        <v>0</v>
      </c>
      <c r="H1797" s="50" t="n">
        <f aca="false">MAX(0,IF(AND(Parameter!$B$21="Ja",ISNUMBER(Y1797)),Y1797,IF(Parameter!$B$20="Jahresanfang 2025 + Export",BR1797+BQ1797,BQ1797)))</f>
        <v>0</v>
      </c>
      <c r="I1797" s="50" t="n">
        <f aca="false">H1797*G1797</f>
        <v>0</v>
      </c>
      <c r="J1797" s="50" t="n">
        <f aca="false">BT1797*Parameter!$B$18</f>
        <v>0</v>
      </c>
      <c r="K1797" s="51"/>
      <c r="L1797" s="52"/>
      <c r="M1797" s="50" t="n">
        <f aca="false">N('Neue Artikel'!$E$58)</f>
        <v>0</v>
      </c>
      <c r="N1797" s="50" t="n">
        <f aca="false">N('Neue Artikel'!$F$58)</f>
        <v>0</v>
      </c>
      <c r="O1797" s="53"/>
      <c r="P1797" s="48" t="str">
        <f aca="false">IF('Neue Artikel'!$H$58="","LOSE",UPPER(TRIM('Neue Artikel'!$H$58)))</f>
        <v>LOSE</v>
      </c>
      <c r="Q1797" s="50" t="n">
        <f aca="false">N('Neue Artikel'!$I$58)</f>
        <v>0</v>
      </c>
      <c r="R1797" s="53" t="n">
        <f aca="false">IF(BZ1797=1,0,IFERROR(VLOOKUP(BX1797,'Gebinde-Kategorie'!$A$5:$N$45,13,0)+0,0))</f>
        <v>0</v>
      </c>
      <c r="S1797" s="54"/>
      <c r="T1797" s="55"/>
      <c r="U1797" s="55"/>
      <c r="V1797" s="55"/>
      <c r="W1797" s="48"/>
      <c r="X1797" s="50"/>
      <c r="Y1797" s="50"/>
      <c r="Z1797" s="48" t="str">
        <f aca="false">IF(A1797="","",IF(AND(Parameter!$B$21="Ja",ISNUMBER(W1797)),W1797,IF(CC1797="2+3",IF(ISNUMBER(SEARCH("grosser Artikel",BU1797)),2,IFERROR(VLOOKUP(BX1797,Parameter!$F$35:$G$64,2,0),2)),IF(OR(CC1797="Nein",CC1797=""),"-",CC1797))))</f>
        <v/>
      </c>
      <c r="AA1797" s="48" t="str">
        <f aca="false">IF('Neue Artikel'!$J$58="","",'Neue Artikel'!$J$58)</f>
        <v/>
      </c>
      <c r="AB1797" s="56"/>
      <c r="AC1797" s="50" t="n">
        <f aca="false">AV1797</f>
        <v>0</v>
      </c>
      <c r="AD1797" s="50" t="n">
        <f aca="false">MAX(AV1797,H1797)</f>
        <v>0</v>
      </c>
      <c r="AE1797" s="57"/>
      <c r="AF1797" s="50" t="n">
        <f aca="false">IF(LEFT(Cockpit!$C$5,1)="A",H1797,IF(Parameter!$E$30="MAX-Bestand",IF(CH1797=1,CI1797,IF(LEFT(Cockpit!$C$5,1)="B",AL1797,MAX(AL1797,H1797))),ROUNDUP(AJ1797,0)))</f>
        <v>0</v>
      </c>
      <c r="AG1797" s="50" t="n">
        <f aca="false">IF(BZ1797=1,0,ROUNDUP(AF1797/BY1797,0))</f>
        <v>0</v>
      </c>
      <c r="AH1797" s="52" t="n">
        <f aca="false">IF(CQ1797&gt;0,CQ1797*MAX(1,AF1797/X1797),IF(BZ1797=1,IF(AF1797&lt;=0,0,CD1797*MAX(1,IF(H1797&gt;0,AF1797/H1797,1))),IF(R1797&gt;0,AG1797/R1797,0))/MAX(0.1,N(Parameter!$M$21)))</f>
        <v>0</v>
      </c>
      <c r="AI1797" s="50" t="n">
        <f aca="false">AH1797*CB1797</f>
        <v>0</v>
      </c>
      <c r="AJ1797" s="51" t="n">
        <f aca="false">IF(LEFT(Cockpit!$C$5,1)="A",H1797,IF(CH1797=1,(CK1797+CI1797)/2,IF(LEFT(Cockpit!$C$5,1)="B",(CK1797+AL1797)/2,MAX((CK1797+AL1797)/2,H1797))))</f>
        <v>0</v>
      </c>
      <c r="AK1797" s="50" t="n">
        <f aca="false">AJ1797*G1797</f>
        <v>0</v>
      </c>
      <c r="AL1797" s="50" t="n">
        <f aca="false">ROUNDUP(CK1797+MAX(CL1797,2*(J1797/IF(CG1797&gt;0,CG1797,MAX(0.1,N(Cockpit!$C$6)))-CK1797)),0)</f>
        <v>0</v>
      </c>
      <c r="AM1797" s="51" t="n">
        <f aca="false">IF(AI1797&gt;0,J1797/AI1797,-1)</f>
        <v>-1</v>
      </c>
      <c r="AN1797" s="51" t="str">
        <f aca="false">IF(AND(OR(CF1797="L1",CF1797="L23",CF1797="LIFT"),AI1797&gt;0),SUMIFS($AI$7:$AI$1843,$CF$7:$CF$1843,CF1797,$AM$7:$AM$1843,"&gt;"&amp;AM1797)+SUMIFS($AI$7:$AI$1843,$CF$7:$CF$1843,CF1797,$AM$7:$AM$1843,AM1797,$BW$7:$BW$1843,"&lt;="&amp;BW1797),"")</f>
        <v/>
      </c>
      <c r="AO1797" s="58" t="n">
        <f aca="false">IF(AN1797="",0,MAX(0,MIN(1,(IF(CF1797="L1",Parameter!$H$5,IF(CF1797="L23",Parameter!$H$6+Parameter!$H$7,Parameter!$H$5+Parameter!$H$6+Parameter!$H$7))-(AN1797-AI1797))/AI1797)))</f>
        <v>0</v>
      </c>
      <c r="AP1797" s="50" t="n">
        <f aca="false">IF(LEFT(Cockpit!$I$5,1)="A",H1797,IF(Parameter!$E$30="MAX-Bestand",IF(CH1797=1,CI1797,IF(LEFT(Cockpit!$I$5,1)="B",AV1797,MAX(AV1797,H1797))),ROUNDUP(AT1797,0)))</f>
        <v>0</v>
      </c>
      <c r="AQ1797" s="50" t="n">
        <f aca="false">IF(BZ1797=1,0,ROUNDUP(AP1797/BY1797,0))</f>
        <v>0</v>
      </c>
      <c r="AR1797" s="52" t="n">
        <f aca="false">IF(CQ1797&gt;0,CQ1797*MAX(1,AP1797/X1797),IF(BZ1797=1,IF(AP1797&lt;=0,0,CD1797*MAX(1,IF(H1797&gt;0,AP1797/H1797,1))),IF(R1797&gt;0,AQ1797/R1797,0))/MAX(0.1,N(Parameter!$M$21)))</f>
        <v>0</v>
      </c>
      <c r="AS1797" s="50" t="n">
        <f aca="false">AR1797*CB1797</f>
        <v>0</v>
      </c>
      <c r="AT1797" s="51" t="n">
        <f aca="false">IF(LEFT(Cockpit!$I$5,1)="A",H1797,IF(CH1797=1,(CK1797+CI1797)/2,IF(LEFT(Cockpit!$I$5,1)="B",(CK1797+AV1797)/2,MAX((CK1797+AV1797)/2,H1797))))</f>
        <v>0</v>
      </c>
      <c r="AU1797" s="50" t="n">
        <f aca="false">AT1797*G1797</f>
        <v>0</v>
      </c>
      <c r="AV1797" s="50" t="n">
        <f aca="false">ROUNDUP(CK1797+MAX(CL1797,2*(J1797/IF(CG1797&gt;0,CG1797,MAX(0.1,N(Cockpit!$I$6)))-CK1797)),0)</f>
        <v>0</v>
      </c>
      <c r="AW1797" s="51" t="n">
        <f aca="false">IF(AS1797&gt;0,J1797/AS1797,-1)</f>
        <v>-1</v>
      </c>
      <c r="AX1797" s="51" t="str">
        <f aca="false">IF(AND(OR(CF1797="L1",CF1797="L23",CF1797="LIFT"),AS1797&gt;0),SUMIFS($AS$7:$AS$1843,$CF$7:$CF$1843,CF1797,$AW$7:$AW$1843,"&gt;"&amp;AW1797)+SUMIFS($AS$7:$AS$1843,$CF$7:$CF$1843,CF1797,$AW$7:$AW$1843,AW1797,$BW$7:$BW$1843,"&lt;="&amp;BW1797),"")</f>
        <v/>
      </c>
      <c r="AY1797" s="58" t="n">
        <f aca="false">IF(AX1797="",0,MAX(0,MIN(1,(IF(CF1797="L1",Parameter!$H$5,IF(CF1797="L23",Parameter!$H$6+Parameter!$H$7,Parameter!$H$5+Parameter!$H$6+Parameter!$H$7))-(AX1797-AS1797))/AS1797)))</f>
        <v>0</v>
      </c>
      <c r="AZ1797" s="50" t="n">
        <f aca="false">IF(LEFT(Cockpit!$O$5,1)="A",H1797,IF(Parameter!$E$30="MAX-Bestand",IF(CH1797=1,CI1797,IF(LEFT(Cockpit!$O$5,1)="B",BF1797,MAX(BF1797,H1797))),ROUNDUP(BD1797,0)))</f>
        <v>0</v>
      </c>
      <c r="BA1797" s="50" t="n">
        <f aca="false">IF(BZ1797=1,0,ROUNDUP(AZ1797/BY1797,0))</f>
        <v>0</v>
      </c>
      <c r="BB1797" s="52" t="n">
        <f aca="false">IF(CQ1797&gt;0,CQ1797*MAX(1,AZ1797/X1797),IF(BZ1797=1,IF(AZ1797&lt;=0,0,CD1797*MAX(1,IF(H1797&gt;0,AZ1797/H1797,1))),IF(R1797&gt;0,BA1797/R1797,0))/MAX(0.1,N(Parameter!$M$21)))</f>
        <v>0</v>
      </c>
      <c r="BC1797" s="50" t="n">
        <f aca="false">BB1797*CB1797</f>
        <v>0</v>
      </c>
      <c r="BD1797" s="51" t="n">
        <f aca="false">IF(LEFT(Cockpit!$O$5,1)="A",H1797,IF(CH1797=1,(CK1797+CI1797)/2,IF(LEFT(Cockpit!$O$5,1)="B",(CK1797+BF1797)/2,MAX((CK1797+BF1797)/2,H1797))))</f>
        <v>0</v>
      </c>
      <c r="BE1797" s="50" t="n">
        <f aca="false">BD1797*G1797</f>
        <v>0</v>
      </c>
      <c r="BF1797" s="50" t="n">
        <f aca="false">ROUNDUP(CK1797+MAX(CL1797,2*(J1797/IF(CG1797&gt;0,CG1797,MAX(0.1,N(Cockpit!$O$6)))-CK1797)),0)</f>
        <v>0</v>
      </c>
      <c r="BG1797" s="51" t="n">
        <f aca="false">IF(BC1797&gt;0,J1797/BC1797,-1)</f>
        <v>-1</v>
      </c>
      <c r="BH1797" s="51" t="str">
        <f aca="false">IF(AND(OR(CF1797="L1",CF1797="L23",CF1797="LIFT"),BC1797&gt;0),SUMIFS($BC$7:$BC$1843,$CF$7:$CF$1843,CF1797,$BG$7:$BG$1843,"&gt;"&amp;BG1797)+SUMIFS($BC$7:$BC$1843,$CF$7:$CF$1843,CF1797,$BG$7:$BG$1843,BG1797,$BW$7:$BW$1843,"&lt;="&amp;BW1797),"")</f>
        <v/>
      </c>
      <c r="BI1797" s="58" t="n">
        <f aca="false">IF(BH1797="",0,MAX(0,MIN(1,(IF(CF1797="L1",Parameter!$H$5,IF(CF1797="L23",Parameter!$H$6+Parameter!$H$7,Parameter!$H$5+Parameter!$H$6+Parameter!$H$7))-(BH1797-BC1797))/BC1797)))</f>
        <v>0</v>
      </c>
      <c r="BJ1797" s="48" t="str">
        <f aca="false">IF(AI1797&lt;=0,"",IF(CF1797="Aussen","Aussenlager",IF(CF1797="-","Nicht im Lift",IF(AO1797&gt;=1,"Lift",IF(AO1797&lt;=0,"Aussenlager","teilweise")))))</f>
        <v/>
      </c>
      <c r="BK1797" s="48" t="str">
        <f aca="false">IF(AS1797&lt;=0,"",IF(CF1797="Aussen","Aussenlager",IF(CF1797="-","Nicht im Lift",IF(AY1797&gt;=1,"Lift",IF(AY1797&lt;=0,"Aussenlager","teilweise")))))</f>
        <v/>
      </c>
      <c r="BL1797" s="48" t="str">
        <f aca="false">IF(BC1797&lt;=0,"",IF(CF1797="Aussen","Aussenlager",IF(CF1797="-","Nicht im Lift",IF(BI1797&gt;=1,"Lift",IF(BI1797&lt;=0,"Aussenlager","teilweise")))))</f>
        <v/>
      </c>
      <c r="BM1797" s="48" t="str">
        <f aca="false">IF(A1797="","",IF(BV1797=1,"Neu; ","")&amp;IF(AND(BV1797=0,BQ1797&lt;0),"negativer Bestand (Export "&amp;BQ1797&amp;"); ","")&amp;IF(J1797&lt;=0,"Kein Verbrauch; ","")&amp;IF(CQ1797&gt;0,"Lift "&amp;W1797&amp;" lt. Liftbericht (Fach "&amp;X1797&amp;" Stk); ",IF(CA1797=1,"Gebinde geschätzt ("&amp;T1797&amp;"); ",IF(BZ1797=1,"Lose – Tablare geschätzt; ","")))&amp;IF(H1797&gt;AV1797,"Überbestand "&amp;ROUND(H1797-AV1797,0)&amp;" Stk / CHF "&amp;ROUND((H1797-AV1797)*G1797,0)&amp;"; ","")&amp;IF(AND(CH1797=1,CI1797&lt;CJ1797),"MAX &lt; MB+LG; ","")&amp;IF(AND(CP1797&gt;0,CO1797*10&gt;CP1797),"zu hoch für Tablar; ","")&amp;IF(AND(BV1797=0,OR(CH1797=1,AA1797&lt;&gt;"",U1797&lt;&gt;"",V1797&lt;&gt;"",AB1797&lt;&gt;"")),"manuell übersteuert; ","")&amp;IF(AND(BZ1797=0,R1797=0),"Gebinde unbekannt / Stellmass fehlt; ","")&amp;IF(AND(BZ1797=0,N(V1797)&lt;=0,N(Q1797)&lt;=0),"Menge pro Gebinde fehlt (Ist = 1 Gebinde); ","")&amp;BU1797)</f>
        <v/>
      </c>
      <c r="BN1797" s="48"/>
      <c r="BO1797" s="48"/>
      <c r="BP1797" s="55"/>
      <c r="BQ1797" s="50" t="n">
        <f aca="false">N('Neue Artikel'!$D$58)</f>
        <v>0</v>
      </c>
      <c r="BR1797" s="50" t="n">
        <v>0</v>
      </c>
      <c r="BS1797" s="49" t="n">
        <v>0</v>
      </c>
      <c r="BT1797" s="50" t="n">
        <f aca="false">N('Neue Artikel'!$C$58)/Parameter!$B$18</f>
        <v>0</v>
      </c>
      <c r="BU1797" s="48"/>
      <c r="BV1797" s="53" t="n">
        <v>1</v>
      </c>
      <c r="BW1797" s="53" t="n">
        <v>1797</v>
      </c>
      <c r="BX1797" s="48" t="str">
        <f aca="false">IF(U1797&lt;&gt;"",UPPER(TRIM(U1797)),IF(CA1797=1,UPPER(VLOOKUP(T1797,Parameter!$I$27:$K$29,2,0)),IF(P1797="","LOSE",P1797)))</f>
        <v>LOSE</v>
      </c>
      <c r="BY1797" s="50" t="n">
        <f aca="false">IF(BX1797="LOSE",1,IF(N(V1797)&gt;0,V1797,IF(CA1797=1,MAX(1,N(VLOOKUP(T1797,Parameter!$I$27:$K$29,3,0)),H1797,N(N1797)),IF(N(Q1797)&gt;0,Q1797,MAX(1,H1797)))))</f>
        <v>1</v>
      </c>
      <c r="BZ1797" s="53" t="n">
        <f aca="false">IF(BX1797="LOSE",1,0)</f>
        <v>1</v>
      </c>
      <c r="CA1797" s="53" t="n">
        <f aca="false">IF(AND(U1797="",OR(P1797="",P1797="LOSE"),T1797&lt;&gt;"",N(S1797)&lt;=0,ISNUMBER(MATCH(T1797,Parameter!$I$27:$I$29,0))),1,0)</f>
        <v>0</v>
      </c>
      <c r="CB1797" s="53" t="n">
        <f aca="false">IF(CQ1797&gt;0,INDEX(Parameter!$H$5:$H$7,W1797)/INDEX(Parameter!$E$5:$E$7,W1797),IF(AND(BZ1797=0,N(IFERROR(VLOOKUP(BX1797,'Gebinde-Kategorie'!$A$5:$N$45,14,0),0))&gt;0),VLOOKUP(BX1797,'Gebinde-Kategorie'!$A$5:$N$45,14,0)*10+Parameter!$M$23,Parameter!$M$24))</f>
        <v>235</v>
      </c>
      <c r="CC1797" s="48" t="str">
        <f aca="false">IF(AND(Parameter!$B$19="Ja",E1797&lt;&gt;"",ISNUMBER(MATCH(E1797,Parameter!$I$35:$I$52,0))),VLOOKUP(E1797,Parameter!$I$35:$J$52,2,0),IFERROR(VLOOKUP(D1797,Parameter!$A$35:$C$64,2,0),"Nein"))</f>
        <v>2+3</v>
      </c>
      <c r="CD1797" s="52" t="n">
        <f aca="false">IF(BZ1797=0,0,IF(N(S1797)&gt;0,S1797,IFERROR(VLOOKUP(D1797,Parameter!$A$35:$C$64,3,0)+0,0)))</f>
        <v>0.15</v>
      </c>
      <c r="CE1797" s="48" t="str">
        <f aca="false">IF(AA1797&lt;&gt;"",AA1797,Z1797)</f>
        <v/>
      </c>
      <c r="CF1797" s="48" t="str">
        <f aca="false">IF(OR(CE1797=1,CE1797=2,CE1797=3),IF(Parameter!$E$27="Ja","LIFT",IF(CE1797=1,"L1","L23")),IF(CE1797="Aussen","Aussen","-"))</f>
        <v>-</v>
      </c>
      <c r="CG1797" s="59" t="n">
        <f aca="false">IF(N(AB1797)&gt;0,AB1797,0)</f>
        <v>0</v>
      </c>
      <c r="CH1797" s="53" t="n">
        <f aca="false">IF(ISNUMBER(AE1797),1,0)</f>
        <v>0</v>
      </c>
      <c r="CI1797" s="50" t="n">
        <f aca="false">N(AE1797)</f>
        <v>0</v>
      </c>
      <c r="CJ1797" s="50" t="n">
        <f aca="false">N(M1797)+N(N1797)</f>
        <v>0</v>
      </c>
      <c r="CK1797" s="50" t="n">
        <f aca="false">N(M1797)</f>
        <v>0</v>
      </c>
      <c r="CL1797" s="50" t="n">
        <f aca="false">N(N1797)</f>
        <v>0</v>
      </c>
      <c r="CM1797" s="50" t="n">
        <f aca="false">ROUNDUP(H1797/BY1797,0)</f>
        <v>0</v>
      </c>
      <c r="CN1797" s="50" t="n">
        <f aca="false">ROUNDUP(CI1797/BY1797,0)</f>
        <v>0</v>
      </c>
      <c r="CO1797" s="53" t="n">
        <f aca="false">IF(BZ1797=1,0,IFERROR(VLOOKUP(BX1797,'Gebinde-Kategorie'!$A$5:$N$45,5,0)+0,0))</f>
        <v>0</v>
      </c>
      <c r="CP1797" s="53" t="n">
        <f aca="false">IFERROR(IF(OR(CE1797=1,CE1797=2,CE1797=3),N(INDEX(Parameter!$I$5:$I$7,CE1797)),0),0)</f>
        <v>0</v>
      </c>
      <c r="CQ1797" s="52" t="n">
        <f aca="false">IF(AND(Parameter!$B$21="Ja",ISNUMBER(W1797),N(X1797)&gt;0),IFERROR(N(INDEX(Parameter!$L$5:$L$7,W1797))*INDEX(Parameter!$E$5:$E$7,W1797)*X1797/SUMIFS($X$7:$X$1843,$W$7:$W$1843,W1797),0),0)</f>
        <v>0</v>
      </c>
    </row>
    <row r="1798" customFormat="false" ht="15" hidden="false" customHeight="false" outlineLevel="0" collapsed="false">
      <c r="A1798" s="48" t="str">
        <f aca="false">IF('Neue Artikel'!$A$59="","",'Neue Artikel'!$A$59&amp;"")</f>
        <v/>
      </c>
      <c r="B1798" s="48" t="str">
        <f aca="false">'Neue Artikel'!$B$59&amp;""</f>
        <v/>
      </c>
      <c r="C1798" s="48"/>
      <c r="D1798" s="48" t="s">
        <v>3024</v>
      </c>
      <c r="E1798" s="48"/>
      <c r="F1798" s="48"/>
      <c r="G1798" s="49" t="n">
        <f aca="false">N('Neue Artikel'!$G$59)</f>
        <v>0</v>
      </c>
      <c r="H1798" s="50" t="n">
        <f aca="false">MAX(0,IF(AND(Parameter!$B$21="Ja",ISNUMBER(Y1798)),Y1798,IF(Parameter!$B$20="Jahresanfang 2025 + Export",BR1798+BQ1798,BQ1798)))</f>
        <v>0</v>
      </c>
      <c r="I1798" s="50" t="n">
        <f aca="false">H1798*G1798</f>
        <v>0</v>
      </c>
      <c r="J1798" s="50" t="n">
        <f aca="false">BT1798*Parameter!$B$18</f>
        <v>0</v>
      </c>
      <c r="K1798" s="51"/>
      <c r="L1798" s="52"/>
      <c r="M1798" s="50" t="n">
        <f aca="false">N('Neue Artikel'!$E$59)</f>
        <v>0</v>
      </c>
      <c r="N1798" s="50" t="n">
        <f aca="false">N('Neue Artikel'!$F$59)</f>
        <v>0</v>
      </c>
      <c r="O1798" s="53"/>
      <c r="P1798" s="48" t="str">
        <f aca="false">IF('Neue Artikel'!$H$59="","LOSE",UPPER(TRIM('Neue Artikel'!$H$59)))</f>
        <v>LOSE</v>
      </c>
      <c r="Q1798" s="50" t="n">
        <f aca="false">N('Neue Artikel'!$I$59)</f>
        <v>0</v>
      </c>
      <c r="R1798" s="53" t="n">
        <f aca="false">IF(BZ1798=1,0,IFERROR(VLOOKUP(BX1798,'Gebinde-Kategorie'!$A$5:$N$45,13,0)+0,0))</f>
        <v>0</v>
      </c>
      <c r="S1798" s="54"/>
      <c r="T1798" s="55"/>
      <c r="U1798" s="55"/>
      <c r="V1798" s="55"/>
      <c r="W1798" s="48"/>
      <c r="X1798" s="50"/>
      <c r="Y1798" s="50"/>
      <c r="Z1798" s="48" t="str">
        <f aca="false">IF(A1798="","",IF(AND(Parameter!$B$21="Ja",ISNUMBER(W1798)),W1798,IF(CC1798="2+3",IF(ISNUMBER(SEARCH("grosser Artikel",BU1798)),2,IFERROR(VLOOKUP(BX1798,Parameter!$F$35:$G$64,2,0),2)),IF(OR(CC1798="Nein",CC1798=""),"-",CC1798))))</f>
        <v/>
      </c>
      <c r="AA1798" s="48" t="str">
        <f aca="false">IF('Neue Artikel'!$J$59="","",'Neue Artikel'!$J$59)</f>
        <v/>
      </c>
      <c r="AB1798" s="56"/>
      <c r="AC1798" s="50" t="n">
        <f aca="false">AV1798</f>
        <v>0</v>
      </c>
      <c r="AD1798" s="50" t="n">
        <f aca="false">MAX(AV1798,H1798)</f>
        <v>0</v>
      </c>
      <c r="AE1798" s="57"/>
      <c r="AF1798" s="50" t="n">
        <f aca="false">IF(LEFT(Cockpit!$C$5,1)="A",H1798,IF(Parameter!$E$30="MAX-Bestand",IF(CH1798=1,CI1798,IF(LEFT(Cockpit!$C$5,1)="B",AL1798,MAX(AL1798,H1798))),ROUNDUP(AJ1798,0)))</f>
        <v>0</v>
      </c>
      <c r="AG1798" s="50" t="n">
        <f aca="false">IF(BZ1798=1,0,ROUNDUP(AF1798/BY1798,0))</f>
        <v>0</v>
      </c>
      <c r="AH1798" s="52" t="n">
        <f aca="false">IF(CQ1798&gt;0,CQ1798*MAX(1,AF1798/X1798),IF(BZ1798=1,IF(AF1798&lt;=0,0,CD1798*MAX(1,IF(H1798&gt;0,AF1798/H1798,1))),IF(R1798&gt;0,AG1798/R1798,0))/MAX(0.1,N(Parameter!$M$21)))</f>
        <v>0</v>
      </c>
      <c r="AI1798" s="50" t="n">
        <f aca="false">AH1798*CB1798</f>
        <v>0</v>
      </c>
      <c r="AJ1798" s="51" t="n">
        <f aca="false">IF(LEFT(Cockpit!$C$5,1)="A",H1798,IF(CH1798=1,(CK1798+CI1798)/2,IF(LEFT(Cockpit!$C$5,1)="B",(CK1798+AL1798)/2,MAX((CK1798+AL1798)/2,H1798))))</f>
        <v>0</v>
      </c>
      <c r="AK1798" s="50" t="n">
        <f aca="false">AJ1798*G1798</f>
        <v>0</v>
      </c>
      <c r="AL1798" s="50" t="n">
        <f aca="false">ROUNDUP(CK1798+MAX(CL1798,2*(J1798/IF(CG1798&gt;0,CG1798,MAX(0.1,N(Cockpit!$C$6)))-CK1798)),0)</f>
        <v>0</v>
      </c>
      <c r="AM1798" s="51" t="n">
        <f aca="false">IF(AI1798&gt;0,J1798/AI1798,-1)</f>
        <v>-1</v>
      </c>
      <c r="AN1798" s="51" t="str">
        <f aca="false">IF(AND(OR(CF1798="L1",CF1798="L23",CF1798="LIFT"),AI1798&gt;0),SUMIFS($AI$7:$AI$1843,$CF$7:$CF$1843,CF1798,$AM$7:$AM$1843,"&gt;"&amp;AM1798)+SUMIFS($AI$7:$AI$1843,$CF$7:$CF$1843,CF1798,$AM$7:$AM$1843,AM1798,$BW$7:$BW$1843,"&lt;="&amp;BW1798),"")</f>
        <v/>
      </c>
      <c r="AO1798" s="58" t="n">
        <f aca="false">IF(AN1798="",0,MAX(0,MIN(1,(IF(CF1798="L1",Parameter!$H$5,IF(CF1798="L23",Parameter!$H$6+Parameter!$H$7,Parameter!$H$5+Parameter!$H$6+Parameter!$H$7))-(AN1798-AI1798))/AI1798)))</f>
        <v>0</v>
      </c>
      <c r="AP1798" s="50" t="n">
        <f aca="false">IF(LEFT(Cockpit!$I$5,1)="A",H1798,IF(Parameter!$E$30="MAX-Bestand",IF(CH1798=1,CI1798,IF(LEFT(Cockpit!$I$5,1)="B",AV1798,MAX(AV1798,H1798))),ROUNDUP(AT1798,0)))</f>
        <v>0</v>
      </c>
      <c r="AQ1798" s="50" t="n">
        <f aca="false">IF(BZ1798=1,0,ROUNDUP(AP1798/BY1798,0))</f>
        <v>0</v>
      </c>
      <c r="AR1798" s="52" t="n">
        <f aca="false">IF(CQ1798&gt;0,CQ1798*MAX(1,AP1798/X1798),IF(BZ1798=1,IF(AP1798&lt;=0,0,CD1798*MAX(1,IF(H1798&gt;0,AP1798/H1798,1))),IF(R1798&gt;0,AQ1798/R1798,0))/MAX(0.1,N(Parameter!$M$21)))</f>
        <v>0</v>
      </c>
      <c r="AS1798" s="50" t="n">
        <f aca="false">AR1798*CB1798</f>
        <v>0</v>
      </c>
      <c r="AT1798" s="51" t="n">
        <f aca="false">IF(LEFT(Cockpit!$I$5,1)="A",H1798,IF(CH1798=1,(CK1798+CI1798)/2,IF(LEFT(Cockpit!$I$5,1)="B",(CK1798+AV1798)/2,MAX((CK1798+AV1798)/2,H1798))))</f>
        <v>0</v>
      </c>
      <c r="AU1798" s="50" t="n">
        <f aca="false">AT1798*G1798</f>
        <v>0</v>
      </c>
      <c r="AV1798" s="50" t="n">
        <f aca="false">ROUNDUP(CK1798+MAX(CL1798,2*(J1798/IF(CG1798&gt;0,CG1798,MAX(0.1,N(Cockpit!$I$6)))-CK1798)),0)</f>
        <v>0</v>
      </c>
      <c r="AW1798" s="51" t="n">
        <f aca="false">IF(AS1798&gt;0,J1798/AS1798,-1)</f>
        <v>-1</v>
      </c>
      <c r="AX1798" s="51" t="str">
        <f aca="false">IF(AND(OR(CF1798="L1",CF1798="L23",CF1798="LIFT"),AS1798&gt;0),SUMIFS($AS$7:$AS$1843,$CF$7:$CF$1843,CF1798,$AW$7:$AW$1843,"&gt;"&amp;AW1798)+SUMIFS($AS$7:$AS$1843,$CF$7:$CF$1843,CF1798,$AW$7:$AW$1843,AW1798,$BW$7:$BW$1843,"&lt;="&amp;BW1798),"")</f>
        <v/>
      </c>
      <c r="AY1798" s="58" t="n">
        <f aca="false">IF(AX1798="",0,MAX(0,MIN(1,(IF(CF1798="L1",Parameter!$H$5,IF(CF1798="L23",Parameter!$H$6+Parameter!$H$7,Parameter!$H$5+Parameter!$H$6+Parameter!$H$7))-(AX1798-AS1798))/AS1798)))</f>
        <v>0</v>
      </c>
      <c r="AZ1798" s="50" t="n">
        <f aca="false">IF(LEFT(Cockpit!$O$5,1)="A",H1798,IF(Parameter!$E$30="MAX-Bestand",IF(CH1798=1,CI1798,IF(LEFT(Cockpit!$O$5,1)="B",BF1798,MAX(BF1798,H1798))),ROUNDUP(BD1798,0)))</f>
        <v>0</v>
      </c>
      <c r="BA1798" s="50" t="n">
        <f aca="false">IF(BZ1798=1,0,ROUNDUP(AZ1798/BY1798,0))</f>
        <v>0</v>
      </c>
      <c r="BB1798" s="52" t="n">
        <f aca="false">IF(CQ1798&gt;0,CQ1798*MAX(1,AZ1798/X1798),IF(BZ1798=1,IF(AZ1798&lt;=0,0,CD1798*MAX(1,IF(H1798&gt;0,AZ1798/H1798,1))),IF(R1798&gt;0,BA1798/R1798,0))/MAX(0.1,N(Parameter!$M$21)))</f>
        <v>0</v>
      </c>
      <c r="BC1798" s="50" t="n">
        <f aca="false">BB1798*CB1798</f>
        <v>0</v>
      </c>
      <c r="BD1798" s="51" t="n">
        <f aca="false">IF(LEFT(Cockpit!$O$5,1)="A",H1798,IF(CH1798=1,(CK1798+CI1798)/2,IF(LEFT(Cockpit!$O$5,1)="B",(CK1798+BF1798)/2,MAX((CK1798+BF1798)/2,H1798))))</f>
        <v>0</v>
      </c>
      <c r="BE1798" s="50" t="n">
        <f aca="false">BD1798*G1798</f>
        <v>0</v>
      </c>
      <c r="BF1798" s="50" t="n">
        <f aca="false">ROUNDUP(CK1798+MAX(CL1798,2*(J1798/IF(CG1798&gt;0,CG1798,MAX(0.1,N(Cockpit!$O$6)))-CK1798)),0)</f>
        <v>0</v>
      </c>
      <c r="BG1798" s="51" t="n">
        <f aca="false">IF(BC1798&gt;0,J1798/BC1798,-1)</f>
        <v>-1</v>
      </c>
      <c r="BH1798" s="51" t="str">
        <f aca="false">IF(AND(OR(CF1798="L1",CF1798="L23",CF1798="LIFT"),BC1798&gt;0),SUMIFS($BC$7:$BC$1843,$CF$7:$CF$1843,CF1798,$BG$7:$BG$1843,"&gt;"&amp;BG1798)+SUMIFS($BC$7:$BC$1843,$CF$7:$CF$1843,CF1798,$BG$7:$BG$1843,BG1798,$BW$7:$BW$1843,"&lt;="&amp;BW1798),"")</f>
        <v/>
      </c>
      <c r="BI1798" s="58" t="n">
        <f aca="false">IF(BH1798="",0,MAX(0,MIN(1,(IF(CF1798="L1",Parameter!$H$5,IF(CF1798="L23",Parameter!$H$6+Parameter!$H$7,Parameter!$H$5+Parameter!$H$6+Parameter!$H$7))-(BH1798-BC1798))/BC1798)))</f>
        <v>0</v>
      </c>
      <c r="BJ1798" s="48" t="str">
        <f aca="false">IF(AI1798&lt;=0,"",IF(CF1798="Aussen","Aussenlager",IF(CF1798="-","Nicht im Lift",IF(AO1798&gt;=1,"Lift",IF(AO1798&lt;=0,"Aussenlager","teilweise")))))</f>
        <v/>
      </c>
      <c r="BK1798" s="48" t="str">
        <f aca="false">IF(AS1798&lt;=0,"",IF(CF1798="Aussen","Aussenlager",IF(CF1798="-","Nicht im Lift",IF(AY1798&gt;=1,"Lift",IF(AY1798&lt;=0,"Aussenlager","teilweise")))))</f>
        <v/>
      </c>
      <c r="BL1798" s="48" t="str">
        <f aca="false">IF(BC1798&lt;=0,"",IF(CF1798="Aussen","Aussenlager",IF(CF1798="-","Nicht im Lift",IF(BI1798&gt;=1,"Lift",IF(BI1798&lt;=0,"Aussenlager","teilweise")))))</f>
        <v/>
      </c>
      <c r="BM1798" s="48" t="str">
        <f aca="false">IF(A1798="","",IF(BV1798=1,"Neu; ","")&amp;IF(AND(BV1798=0,BQ1798&lt;0),"negativer Bestand (Export "&amp;BQ1798&amp;"); ","")&amp;IF(J1798&lt;=0,"Kein Verbrauch; ","")&amp;IF(CQ1798&gt;0,"Lift "&amp;W1798&amp;" lt. Liftbericht (Fach "&amp;X1798&amp;" Stk); ",IF(CA1798=1,"Gebinde geschätzt ("&amp;T1798&amp;"); ",IF(BZ1798=1,"Lose – Tablare geschätzt; ","")))&amp;IF(H1798&gt;AV1798,"Überbestand "&amp;ROUND(H1798-AV1798,0)&amp;" Stk / CHF "&amp;ROUND((H1798-AV1798)*G1798,0)&amp;"; ","")&amp;IF(AND(CH1798=1,CI1798&lt;CJ1798),"MAX &lt; MB+LG; ","")&amp;IF(AND(CP1798&gt;0,CO1798*10&gt;CP1798),"zu hoch für Tablar; ","")&amp;IF(AND(BV1798=0,OR(CH1798=1,AA1798&lt;&gt;"",U1798&lt;&gt;"",V1798&lt;&gt;"",AB1798&lt;&gt;"")),"manuell übersteuert; ","")&amp;IF(AND(BZ1798=0,R1798=0),"Gebinde unbekannt / Stellmass fehlt; ","")&amp;IF(AND(BZ1798=0,N(V1798)&lt;=0,N(Q1798)&lt;=0),"Menge pro Gebinde fehlt (Ist = 1 Gebinde); ","")&amp;BU1798)</f>
        <v/>
      </c>
      <c r="BN1798" s="48"/>
      <c r="BO1798" s="48"/>
      <c r="BP1798" s="55"/>
      <c r="BQ1798" s="50" t="n">
        <f aca="false">N('Neue Artikel'!$D$59)</f>
        <v>0</v>
      </c>
      <c r="BR1798" s="50" t="n">
        <v>0</v>
      </c>
      <c r="BS1798" s="49" t="n">
        <v>0</v>
      </c>
      <c r="BT1798" s="50" t="n">
        <f aca="false">N('Neue Artikel'!$C$59)/Parameter!$B$18</f>
        <v>0</v>
      </c>
      <c r="BU1798" s="48"/>
      <c r="BV1798" s="53" t="n">
        <v>1</v>
      </c>
      <c r="BW1798" s="53" t="n">
        <v>1798</v>
      </c>
      <c r="BX1798" s="48" t="str">
        <f aca="false">IF(U1798&lt;&gt;"",UPPER(TRIM(U1798)),IF(CA1798=1,UPPER(VLOOKUP(T1798,Parameter!$I$27:$K$29,2,0)),IF(P1798="","LOSE",P1798)))</f>
        <v>LOSE</v>
      </c>
      <c r="BY1798" s="50" t="n">
        <f aca="false">IF(BX1798="LOSE",1,IF(N(V1798)&gt;0,V1798,IF(CA1798=1,MAX(1,N(VLOOKUP(T1798,Parameter!$I$27:$K$29,3,0)),H1798,N(N1798)),IF(N(Q1798)&gt;0,Q1798,MAX(1,H1798)))))</f>
        <v>1</v>
      </c>
      <c r="BZ1798" s="53" t="n">
        <f aca="false">IF(BX1798="LOSE",1,0)</f>
        <v>1</v>
      </c>
      <c r="CA1798" s="53" t="n">
        <f aca="false">IF(AND(U1798="",OR(P1798="",P1798="LOSE"),T1798&lt;&gt;"",N(S1798)&lt;=0,ISNUMBER(MATCH(T1798,Parameter!$I$27:$I$29,0))),1,0)</f>
        <v>0</v>
      </c>
      <c r="CB1798" s="53" t="n">
        <f aca="false">IF(CQ1798&gt;0,INDEX(Parameter!$H$5:$H$7,W1798)/INDEX(Parameter!$E$5:$E$7,W1798),IF(AND(BZ1798=0,N(IFERROR(VLOOKUP(BX1798,'Gebinde-Kategorie'!$A$5:$N$45,14,0),0))&gt;0),VLOOKUP(BX1798,'Gebinde-Kategorie'!$A$5:$N$45,14,0)*10+Parameter!$M$23,Parameter!$M$24))</f>
        <v>235</v>
      </c>
      <c r="CC1798" s="48" t="str">
        <f aca="false">IF(AND(Parameter!$B$19="Ja",E1798&lt;&gt;"",ISNUMBER(MATCH(E1798,Parameter!$I$35:$I$52,0))),VLOOKUP(E1798,Parameter!$I$35:$J$52,2,0),IFERROR(VLOOKUP(D1798,Parameter!$A$35:$C$64,2,0),"Nein"))</f>
        <v>2+3</v>
      </c>
      <c r="CD1798" s="52" t="n">
        <f aca="false">IF(BZ1798=0,0,IF(N(S1798)&gt;0,S1798,IFERROR(VLOOKUP(D1798,Parameter!$A$35:$C$64,3,0)+0,0)))</f>
        <v>0.15</v>
      </c>
      <c r="CE1798" s="48" t="str">
        <f aca="false">IF(AA1798&lt;&gt;"",AA1798,Z1798)</f>
        <v/>
      </c>
      <c r="CF1798" s="48" t="str">
        <f aca="false">IF(OR(CE1798=1,CE1798=2,CE1798=3),IF(Parameter!$E$27="Ja","LIFT",IF(CE1798=1,"L1","L23")),IF(CE1798="Aussen","Aussen","-"))</f>
        <v>-</v>
      </c>
      <c r="CG1798" s="59" t="n">
        <f aca="false">IF(N(AB1798)&gt;0,AB1798,0)</f>
        <v>0</v>
      </c>
      <c r="CH1798" s="53" t="n">
        <f aca="false">IF(ISNUMBER(AE1798),1,0)</f>
        <v>0</v>
      </c>
      <c r="CI1798" s="50" t="n">
        <f aca="false">N(AE1798)</f>
        <v>0</v>
      </c>
      <c r="CJ1798" s="50" t="n">
        <f aca="false">N(M1798)+N(N1798)</f>
        <v>0</v>
      </c>
      <c r="CK1798" s="50" t="n">
        <f aca="false">N(M1798)</f>
        <v>0</v>
      </c>
      <c r="CL1798" s="50" t="n">
        <f aca="false">N(N1798)</f>
        <v>0</v>
      </c>
      <c r="CM1798" s="50" t="n">
        <f aca="false">ROUNDUP(H1798/BY1798,0)</f>
        <v>0</v>
      </c>
      <c r="CN1798" s="50" t="n">
        <f aca="false">ROUNDUP(CI1798/BY1798,0)</f>
        <v>0</v>
      </c>
      <c r="CO1798" s="53" t="n">
        <f aca="false">IF(BZ1798=1,0,IFERROR(VLOOKUP(BX1798,'Gebinde-Kategorie'!$A$5:$N$45,5,0)+0,0))</f>
        <v>0</v>
      </c>
      <c r="CP1798" s="53" t="n">
        <f aca="false">IFERROR(IF(OR(CE1798=1,CE1798=2,CE1798=3),N(INDEX(Parameter!$I$5:$I$7,CE1798)),0),0)</f>
        <v>0</v>
      </c>
      <c r="CQ1798" s="52" t="n">
        <f aca="false">IF(AND(Parameter!$B$21="Ja",ISNUMBER(W1798),N(X1798)&gt;0),IFERROR(N(INDEX(Parameter!$L$5:$L$7,W1798))*INDEX(Parameter!$E$5:$E$7,W1798)*X1798/SUMIFS($X$7:$X$1843,$W$7:$W$1843,W1798),0),0)</f>
        <v>0</v>
      </c>
    </row>
    <row r="1799" customFormat="false" ht="15" hidden="false" customHeight="false" outlineLevel="0" collapsed="false">
      <c r="A1799" s="48" t="str">
        <f aca="false">IF('Neue Artikel'!$A$60="","",'Neue Artikel'!$A$60&amp;"")</f>
        <v/>
      </c>
      <c r="B1799" s="48" t="str">
        <f aca="false">'Neue Artikel'!$B$60&amp;""</f>
        <v/>
      </c>
      <c r="C1799" s="48"/>
      <c r="D1799" s="48" t="s">
        <v>3024</v>
      </c>
      <c r="E1799" s="48"/>
      <c r="F1799" s="48"/>
      <c r="G1799" s="49" t="n">
        <f aca="false">N('Neue Artikel'!$G$60)</f>
        <v>0</v>
      </c>
      <c r="H1799" s="50" t="n">
        <f aca="false">MAX(0,IF(AND(Parameter!$B$21="Ja",ISNUMBER(Y1799)),Y1799,IF(Parameter!$B$20="Jahresanfang 2025 + Export",BR1799+BQ1799,BQ1799)))</f>
        <v>0</v>
      </c>
      <c r="I1799" s="50" t="n">
        <f aca="false">H1799*G1799</f>
        <v>0</v>
      </c>
      <c r="J1799" s="50" t="n">
        <f aca="false">BT1799*Parameter!$B$18</f>
        <v>0</v>
      </c>
      <c r="K1799" s="51"/>
      <c r="L1799" s="52"/>
      <c r="M1799" s="50" t="n">
        <f aca="false">N('Neue Artikel'!$E$60)</f>
        <v>0</v>
      </c>
      <c r="N1799" s="50" t="n">
        <f aca="false">N('Neue Artikel'!$F$60)</f>
        <v>0</v>
      </c>
      <c r="O1799" s="53"/>
      <c r="P1799" s="48" t="str">
        <f aca="false">IF('Neue Artikel'!$H$60="","LOSE",UPPER(TRIM('Neue Artikel'!$H$60)))</f>
        <v>LOSE</v>
      </c>
      <c r="Q1799" s="50" t="n">
        <f aca="false">N('Neue Artikel'!$I$60)</f>
        <v>0</v>
      </c>
      <c r="R1799" s="53" t="n">
        <f aca="false">IF(BZ1799=1,0,IFERROR(VLOOKUP(BX1799,'Gebinde-Kategorie'!$A$5:$N$45,13,0)+0,0))</f>
        <v>0</v>
      </c>
      <c r="S1799" s="54"/>
      <c r="T1799" s="55"/>
      <c r="U1799" s="55"/>
      <c r="V1799" s="55"/>
      <c r="W1799" s="48"/>
      <c r="X1799" s="50"/>
      <c r="Y1799" s="50"/>
      <c r="Z1799" s="48" t="str">
        <f aca="false">IF(A1799="","",IF(AND(Parameter!$B$21="Ja",ISNUMBER(W1799)),W1799,IF(CC1799="2+3",IF(ISNUMBER(SEARCH("grosser Artikel",BU1799)),2,IFERROR(VLOOKUP(BX1799,Parameter!$F$35:$G$64,2,0),2)),IF(OR(CC1799="Nein",CC1799=""),"-",CC1799))))</f>
        <v/>
      </c>
      <c r="AA1799" s="48" t="str">
        <f aca="false">IF('Neue Artikel'!$J$60="","",'Neue Artikel'!$J$60)</f>
        <v/>
      </c>
      <c r="AB1799" s="56"/>
      <c r="AC1799" s="50" t="n">
        <f aca="false">AV1799</f>
        <v>0</v>
      </c>
      <c r="AD1799" s="50" t="n">
        <f aca="false">MAX(AV1799,H1799)</f>
        <v>0</v>
      </c>
      <c r="AE1799" s="57"/>
      <c r="AF1799" s="50" t="n">
        <f aca="false">IF(LEFT(Cockpit!$C$5,1)="A",H1799,IF(Parameter!$E$30="MAX-Bestand",IF(CH1799=1,CI1799,IF(LEFT(Cockpit!$C$5,1)="B",AL1799,MAX(AL1799,H1799))),ROUNDUP(AJ1799,0)))</f>
        <v>0</v>
      </c>
      <c r="AG1799" s="50" t="n">
        <f aca="false">IF(BZ1799=1,0,ROUNDUP(AF1799/BY1799,0))</f>
        <v>0</v>
      </c>
      <c r="AH1799" s="52" t="n">
        <f aca="false">IF(CQ1799&gt;0,CQ1799*MAX(1,AF1799/X1799),IF(BZ1799=1,IF(AF1799&lt;=0,0,CD1799*MAX(1,IF(H1799&gt;0,AF1799/H1799,1))),IF(R1799&gt;0,AG1799/R1799,0))/MAX(0.1,N(Parameter!$M$21)))</f>
        <v>0</v>
      </c>
      <c r="AI1799" s="50" t="n">
        <f aca="false">AH1799*CB1799</f>
        <v>0</v>
      </c>
      <c r="AJ1799" s="51" t="n">
        <f aca="false">IF(LEFT(Cockpit!$C$5,1)="A",H1799,IF(CH1799=1,(CK1799+CI1799)/2,IF(LEFT(Cockpit!$C$5,1)="B",(CK1799+AL1799)/2,MAX((CK1799+AL1799)/2,H1799))))</f>
        <v>0</v>
      </c>
      <c r="AK1799" s="50" t="n">
        <f aca="false">AJ1799*G1799</f>
        <v>0</v>
      </c>
      <c r="AL1799" s="50" t="n">
        <f aca="false">ROUNDUP(CK1799+MAX(CL1799,2*(J1799/IF(CG1799&gt;0,CG1799,MAX(0.1,N(Cockpit!$C$6)))-CK1799)),0)</f>
        <v>0</v>
      </c>
      <c r="AM1799" s="51" t="n">
        <f aca="false">IF(AI1799&gt;0,J1799/AI1799,-1)</f>
        <v>-1</v>
      </c>
      <c r="AN1799" s="51" t="str">
        <f aca="false">IF(AND(OR(CF1799="L1",CF1799="L23",CF1799="LIFT"),AI1799&gt;0),SUMIFS($AI$7:$AI$1843,$CF$7:$CF$1843,CF1799,$AM$7:$AM$1843,"&gt;"&amp;AM1799)+SUMIFS($AI$7:$AI$1843,$CF$7:$CF$1843,CF1799,$AM$7:$AM$1843,AM1799,$BW$7:$BW$1843,"&lt;="&amp;BW1799),"")</f>
        <v/>
      </c>
      <c r="AO1799" s="58" t="n">
        <f aca="false">IF(AN1799="",0,MAX(0,MIN(1,(IF(CF1799="L1",Parameter!$H$5,IF(CF1799="L23",Parameter!$H$6+Parameter!$H$7,Parameter!$H$5+Parameter!$H$6+Parameter!$H$7))-(AN1799-AI1799))/AI1799)))</f>
        <v>0</v>
      </c>
      <c r="AP1799" s="50" t="n">
        <f aca="false">IF(LEFT(Cockpit!$I$5,1)="A",H1799,IF(Parameter!$E$30="MAX-Bestand",IF(CH1799=1,CI1799,IF(LEFT(Cockpit!$I$5,1)="B",AV1799,MAX(AV1799,H1799))),ROUNDUP(AT1799,0)))</f>
        <v>0</v>
      </c>
      <c r="AQ1799" s="50" t="n">
        <f aca="false">IF(BZ1799=1,0,ROUNDUP(AP1799/BY1799,0))</f>
        <v>0</v>
      </c>
      <c r="AR1799" s="52" t="n">
        <f aca="false">IF(CQ1799&gt;0,CQ1799*MAX(1,AP1799/X1799),IF(BZ1799=1,IF(AP1799&lt;=0,0,CD1799*MAX(1,IF(H1799&gt;0,AP1799/H1799,1))),IF(R1799&gt;0,AQ1799/R1799,0))/MAX(0.1,N(Parameter!$M$21)))</f>
        <v>0</v>
      </c>
      <c r="AS1799" s="50" t="n">
        <f aca="false">AR1799*CB1799</f>
        <v>0</v>
      </c>
      <c r="AT1799" s="51" t="n">
        <f aca="false">IF(LEFT(Cockpit!$I$5,1)="A",H1799,IF(CH1799=1,(CK1799+CI1799)/2,IF(LEFT(Cockpit!$I$5,1)="B",(CK1799+AV1799)/2,MAX((CK1799+AV1799)/2,H1799))))</f>
        <v>0</v>
      </c>
      <c r="AU1799" s="50" t="n">
        <f aca="false">AT1799*G1799</f>
        <v>0</v>
      </c>
      <c r="AV1799" s="50" t="n">
        <f aca="false">ROUNDUP(CK1799+MAX(CL1799,2*(J1799/IF(CG1799&gt;0,CG1799,MAX(0.1,N(Cockpit!$I$6)))-CK1799)),0)</f>
        <v>0</v>
      </c>
      <c r="AW1799" s="51" t="n">
        <f aca="false">IF(AS1799&gt;0,J1799/AS1799,-1)</f>
        <v>-1</v>
      </c>
      <c r="AX1799" s="51" t="str">
        <f aca="false">IF(AND(OR(CF1799="L1",CF1799="L23",CF1799="LIFT"),AS1799&gt;0),SUMIFS($AS$7:$AS$1843,$CF$7:$CF$1843,CF1799,$AW$7:$AW$1843,"&gt;"&amp;AW1799)+SUMIFS($AS$7:$AS$1843,$CF$7:$CF$1843,CF1799,$AW$7:$AW$1843,AW1799,$BW$7:$BW$1843,"&lt;="&amp;BW1799),"")</f>
        <v/>
      </c>
      <c r="AY1799" s="58" t="n">
        <f aca="false">IF(AX1799="",0,MAX(0,MIN(1,(IF(CF1799="L1",Parameter!$H$5,IF(CF1799="L23",Parameter!$H$6+Parameter!$H$7,Parameter!$H$5+Parameter!$H$6+Parameter!$H$7))-(AX1799-AS1799))/AS1799)))</f>
        <v>0</v>
      </c>
      <c r="AZ1799" s="50" t="n">
        <f aca="false">IF(LEFT(Cockpit!$O$5,1)="A",H1799,IF(Parameter!$E$30="MAX-Bestand",IF(CH1799=1,CI1799,IF(LEFT(Cockpit!$O$5,1)="B",BF1799,MAX(BF1799,H1799))),ROUNDUP(BD1799,0)))</f>
        <v>0</v>
      </c>
      <c r="BA1799" s="50" t="n">
        <f aca="false">IF(BZ1799=1,0,ROUNDUP(AZ1799/BY1799,0))</f>
        <v>0</v>
      </c>
      <c r="BB1799" s="52" t="n">
        <f aca="false">IF(CQ1799&gt;0,CQ1799*MAX(1,AZ1799/X1799),IF(BZ1799=1,IF(AZ1799&lt;=0,0,CD1799*MAX(1,IF(H1799&gt;0,AZ1799/H1799,1))),IF(R1799&gt;0,BA1799/R1799,0))/MAX(0.1,N(Parameter!$M$21)))</f>
        <v>0</v>
      </c>
      <c r="BC1799" s="50" t="n">
        <f aca="false">BB1799*CB1799</f>
        <v>0</v>
      </c>
      <c r="BD1799" s="51" t="n">
        <f aca="false">IF(LEFT(Cockpit!$O$5,1)="A",H1799,IF(CH1799=1,(CK1799+CI1799)/2,IF(LEFT(Cockpit!$O$5,1)="B",(CK1799+BF1799)/2,MAX((CK1799+BF1799)/2,H1799))))</f>
        <v>0</v>
      </c>
      <c r="BE1799" s="50" t="n">
        <f aca="false">BD1799*G1799</f>
        <v>0</v>
      </c>
      <c r="BF1799" s="50" t="n">
        <f aca="false">ROUNDUP(CK1799+MAX(CL1799,2*(J1799/IF(CG1799&gt;0,CG1799,MAX(0.1,N(Cockpit!$O$6)))-CK1799)),0)</f>
        <v>0</v>
      </c>
      <c r="BG1799" s="51" t="n">
        <f aca="false">IF(BC1799&gt;0,J1799/BC1799,-1)</f>
        <v>-1</v>
      </c>
      <c r="BH1799" s="51" t="str">
        <f aca="false">IF(AND(OR(CF1799="L1",CF1799="L23",CF1799="LIFT"),BC1799&gt;0),SUMIFS($BC$7:$BC$1843,$CF$7:$CF$1843,CF1799,$BG$7:$BG$1843,"&gt;"&amp;BG1799)+SUMIFS($BC$7:$BC$1843,$CF$7:$CF$1843,CF1799,$BG$7:$BG$1843,BG1799,$BW$7:$BW$1843,"&lt;="&amp;BW1799),"")</f>
        <v/>
      </c>
      <c r="BI1799" s="58" t="n">
        <f aca="false">IF(BH1799="",0,MAX(0,MIN(1,(IF(CF1799="L1",Parameter!$H$5,IF(CF1799="L23",Parameter!$H$6+Parameter!$H$7,Parameter!$H$5+Parameter!$H$6+Parameter!$H$7))-(BH1799-BC1799))/BC1799)))</f>
        <v>0</v>
      </c>
      <c r="BJ1799" s="48" t="str">
        <f aca="false">IF(AI1799&lt;=0,"",IF(CF1799="Aussen","Aussenlager",IF(CF1799="-","Nicht im Lift",IF(AO1799&gt;=1,"Lift",IF(AO1799&lt;=0,"Aussenlager","teilweise")))))</f>
        <v/>
      </c>
      <c r="BK1799" s="48" t="str">
        <f aca="false">IF(AS1799&lt;=0,"",IF(CF1799="Aussen","Aussenlager",IF(CF1799="-","Nicht im Lift",IF(AY1799&gt;=1,"Lift",IF(AY1799&lt;=0,"Aussenlager","teilweise")))))</f>
        <v/>
      </c>
      <c r="BL1799" s="48" t="str">
        <f aca="false">IF(BC1799&lt;=0,"",IF(CF1799="Aussen","Aussenlager",IF(CF1799="-","Nicht im Lift",IF(BI1799&gt;=1,"Lift",IF(BI1799&lt;=0,"Aussenlager","teilweise")))))</f>
        <v/>
      </c>
      <c r="BM1799" s="48" t="str">
        <f aca="false">IF(A1799="","",IF(BV1799=1,"Neu; ","")&amp;IF(AND(BV1799=0,BQ1799&lt;0),"negativer Bestand (Export "&amp;BQ1799&amp;"); ","")&amp;IF(J1799&lt;=0,"Kein Verbrauch; ","")&amp;IF(CQ1799&gt;0,"Lift "&amp;W1799&amp;" lt. Liftbericht (Fach "&amp;X1799&amp;" Stk); ",IF(CA1799=1,"Gebinde geschätzt ("&amp;T1799&amp;"); ",IF(BZ1799=1,"Lose – Tablare geschätzt; ","")))&amp;IF(H1799&gt;AV1799,"Überbestand "&amp;ROUND(H1799-AV1799,0)&amp;" Stk / CHF "&amp;ROUND((H1799-AV1799)*G1799,0)&amp;"; ","")&amp;IF(AND(CH1799=1,CI1799&lt;CJ1799),"MAX &lt; MB+LG; ","")&amp;IF(AND(CP1799&gt;0,CO1799*10&gt;CP1799),"zu hoch für Tablar; ","")&amp;IF(AND(BV1799=0,OR(CH1799=1,AA1799&lt;&gt;"",U1799&lt;&gt;"",V1799&lt;&gt;"",AB1799&lt;&gt;"")),"manuell übersteuert; ","")&amp;IF(AND(BZ1799=0,R1799=0),"Gebinde unbekannt / Stellmass fehlt; ","")&amp;IF(AND(BZ1799=0,N(V1799)&lt;=0,N(Q1799)&lt;=0),"Menge pro Gebinde fehlt (Ist = 1 Gebinde); ","")&amp;BU1799)</f>
        <v/>
      </c>
      <c r="BN1799" s="48"/>
      <c r="BO1799" s="48"/>
      <c r="BP1799" s="55"/>
      <c r="BQ1799" s="50" t="n">
        <f aca="false">N('Neue Artikel'!$D$60)</f>
        <v>0</v>
      </c>
      <c r="BR1799" s="50" t="n">
        <v>0</v>
      </c>
      <c r="BS1799" s="49" t="n">
        <v>0</v>
      </c>
      <c r="BT1799" s="50" t="n">
        <f aca="false">N('Neue Artikel'!$C$60)/Parameter!$B$18</f>
        <v>0</v>
      </c>
      <c r="BU1799" s="48"/>
      <c r="BV1799" s="53" t="n">
        <v>1</v>
      </c>
      <c r="BW1799" s="53" t="n">
        <v>1799</v>
      </c>
      <c r="BX1799" s="48" t="str">
        <f aca="false">IF(U1799&lt;&gt;"",UPPER(TRIM(U1799)),IF(CA1799=1,UPPER(VLOOKUP(T1799,Parameter!$I$27:$K$29,2,0)),IF(P1799="","LOSE",P1799)))</f>
        <v>LOSE</v>
      </c>
      <c r="BY1799" s="50" t="n">
        <f aca="false">IF(BX1799="LOSE",1,IF(N(V1799)&gt;0,V1799,IF(CA1799=1,MAX(1,N(VLOOKUP(T1799,Parameter!$I$27:$K$29,3,0)),H1799,N(N1799)),IF(N(Q1799)&gt;0,Q1799,MAX(1,H1799)))))</f>
        <v>1</v>
      </c>
      <c r="BZ1799" s="53" t="n">
        <f aca="false">IF(BX1799="LOSE",1,0)</f>
        <v>1</v>
      </c>
      <c r="CA1799" s="53" t="n">
        <f aca="false">IF(AND(U1799="",OR(P1799="",P1799="LOSE"),T1799&lt;&gt;"",N(S1799)&lt;=0,ISNUMBER(MATCH(T1799,Parameter!$I$27:$I$29,0))),1,0)</f>
        <v>0</v>
      </c>
      <c r="CB1799" s="53" t="n">
        <f aca="false">IF(CQ1799&gt;0,INDEX(Parameter!$H$5:$H$7,W1799)/INDEX(Parameter!$E$5:$E$7,W1799),IF(AND(BZ1799=0,N(IFERROR(VLOOKUP(BX1799,'Gebinde-Kategorie'!$A$5:$N$45,14,0),0))&gt;0),VLOOKUP(BX1799,'Gebinde-Kategorie'!$A$5:$N$45,14,0)*10+Parameter!$M$23,Parameter!$M$24))</f>
        <v>235</v>
      </c>
      <c r="CC1799" s="48" t="str">
        <f aca="false">IF(AND(Parameter!$B$19="Ja",E1799&lt;&gt;"",ISNUMBER(MATCH(E1799,Parameter!$I$35:$I$52,0))),VLOOKUP(E1799,Parameter!$I$35:$J$52,2,0),IFERROR(VLOOKUP(D1799,Parameter!$A$35:$C$64,2,0),"Nein"))</f>
        <v>2+3</v>
      </c>
      <c r="CD1799" s="52" t="n">
        <f aca="false">IF(BZ1799=0,0,IF(N(S1799)&gt;0,S1799,IFERROR(VLOOKUP(D1799,Parameter!$A$35:$C$64,3,0)+0,0)))</f>
        <v>0.15</v>
      </c>
      <c r="CE1799" s="48" t="str">
        <f aca="false">IF(AA1799&lt;&gt;"",AA1799,Z1799)</f>
        <v/>
      </c>
      <c r="CF1799" s="48" t="str">
        <f aca="false">IF(OR(CE1799=1,CE1799=2,CE1799=3),IF(Parameter!$E$27="Ja","LIFT",IF(CE1799=1,"L1","L23")),IF(CE1799="Aussen","Aussen","-"))</f>
        <v>-</v>
      </c>
      <c r="CG1799" s="59" t="n">
        <f aca="false">IF(N(AB1799)&gt;0,AB1799,0)</f>
        <v>0</v>
      </c>
      <c r="CH1799" s="53" t="n">
        <f aca="false">IF(ISNUMBER(AE1799),1,0)</f>
        <v>0</v>
      </c>
      <c r="CI1799" s="50" t="n">
        <f aca="false">N(AE1799)</f>
        <v>0</v>
      </c>
      <c r="CJ1799" s="50" t="n">
        <f aca="false">N(M1799)+N(N1799)</f>
        <v>0</v>
      </c>
      <c r="CK1799" s="50" t="n">
        <f aca="false">N(M1799)</f>
        <v>0</v>
      </c>
      <c r="CL1799" s="50" t="n">
        <f aca="false">N(N1799)</f>
        <v>0</v>
      </c>
      <c r="CM1799" s="50" t="n">
        <f aca="false">ROUNDUP(H1799/BY1799,0)</f>
        <v>0</v>
      </c>
      <c r="CN1799" s="50" t="n">
        <f aca="false">ROUNDUP(CI1799/BY1799,0)</f>
        <v>0</v>
      </c>
      <c r="CO1799" s="53" t="n">
        <f aca="false">IF(BZ1799=1,0,IFERROR(VLOOKUP(BX1799,'Gebinde-Kategorie'!$A$5:$N$45,5,0)+0,0))</f>
        <v>0</v>
      </c>
      <c r="CP1799" s="53" t="n">
        <f aca="false">IFERROR(IF(OR(CE1799=1,CE1799=2,CE1799=3),N(INDEX(Parameter!$I$5:$I$7,CE1799)),0),0)</f>
        <v>0</v>
      </c>
      <c r="CQ1799" s="52" t="n">
        <f aca="false">IF(AND(Parameter!$B$21="Ja",ISNUMBER(W1799),N(X1799)&gt;0),IFERROR(N(INDEX(Parameter!$L$5:$L$7,W1799))*INDEX(Parameter!$E$5:$E$7,W1799)*X1799/SUMIFS($X$7:$X$1843,$W$7:$W$1843,W1799),0),0)</f>
        <v>0</v>
      </c>
    </row>
    <row r="1800" customFormat="false" ht="15" hidden="false" customHeight="false" outlineLevel="0" collapsed="false">
      <c r="A1800" s="48" t="str">
        <f aca="false">IF('Neue Artikel'!$A$61="","",'Neue Artikel'!$A$61&amp;"")</f>
        <v/>
      </c>
      <c r="B1800" s="48" t="str">
        <f aca="false">'Neue Artikel'!$B$61&amp;""</f>
        <v/>
      </c>
      <c r="C1800" s="48"/>
      <c r="D1800" s="48" t="s">
        <v>3024</v>
      </c>
      <c r="E1800" s="48"/>
      <c r="F1800" s="48"/>
      <c r="G1800" s="49" t="n">
        <f aca="false">N('Neue Artikel'!$G$61)</f>
        <v>0</v>
      </c>
      <c r="H1800" s="50" t="n">
        <f aca="false">MAX(0,IF(AND(Parameter!$B$21="Ja",ISNUMBER(Y1800)),Y1800,IF(Parameter!$B$20="Jahresanfang 2025 + Export",BR1800+BQ1800,BQ1800)))</f>
        <v>0</v>
      </c>
      <c r="I1800" s="50" t="n">
        <f aca="false">H1800*G1800</f>
        <v>0</v>
      </c>
      <c r="J1800" s="50" t="n">
        <f aca="false">BT1800*Parameter!$B$18</f>
        <v>0</v>
      </c>
      <c r="K1800" s="51"/>
      <c r="L1800" s="52"/>
      <c r="M1800" s="50" t="n">
        <f aca="false">N('Neue Artikel'!$E$61)</f>
        <v>0</v>
      </c>
      <c r="N1800" s="50" t="n">
        <f aca="false">N('Neue Artikel'!$F$61)</f>
        <v>0</v>
      </c>
      <c r="O1800" s="53"/>
      <c r="P1800" s="48" t="str">
        <f aca="false">IF('Neue Artikel'!$H$61="","LOSE",UPPER(TRIM('Neue Artikel'!$H$61)))</f>
        <v>LOSE</v>
      </c>
      <c r="Q1800" s="50" t="n">
        <f aca="false">N('Neue Artikel'!$I$61)</f>
        <v>0</v>
      </c>
      <c r="R1800" s="53" t="n">
        <f aca="false">IF(BZ1800=1,0,IFERROR(VLOOKUP(BX1800,'Gebinde-Kategorie'!$A$5:$N$45,13,0)+0,0))</f>
        <v>0</v>
      </c>
      <c r="S1800" s="54"/>
      <c r="T1800" s="55"/>
      <c r="U1800" s="55"/>
      <c r="V1800" s="55"/>
      <c r="W1800" s="48"/>
      <c r="X1800" s="50"/>
      <c r="Y1800" s="50"/>
      <c r="Z1800" s="48" t="str">
        <f aca="false">IF(A1800="","",IF(AND(Parameter!$B$21="Ja",ISNUMBER(W1800)),W1800,IF(CC1800="2+3",IF(ISNUMBER(SEARCH("grosser Artikel",BU1800)),2,IFERROR(VLOOKUP(BX1800,Parameter!$F$35:$G$64,2,0),2)),IF(OR(CC1800="Nein",CC1800=""),"-",CC1800))))</f>
        <v/>
      </c>
      <c r="AA1800" s="48" t="str">
        <f aca="false">IF('Neue Artikel'!$J$61="","",'Neue Artikel'!$J$61)</f>
        <v/>
      </c>
      <c r="AB1800" s="56"/>
      <c r="AC1800" s="50" t="n">
        <f aca="false">AV1800</f>
        <v>0</v>
      </c>
      <c r="AD1800" s="50" t="n">
        <f aca="false">MAX(AV1800,H1800)</f>
        <v>0</v>
      </c>
      <c r="AE1800" s="57"/>
      <c r="AF1800" s="50" t="n">
        <f aca="false">IF(LEFT(Cockpit!$C$5,1)="A",H1800,IF(Parameter!$E$30="MAX-Bestand",IF(CH1800=1,CI1800,IF(LEFT(Cockpit!$C$5,1)="B",AL1800,MAX(AL1800,H1800))),ROUNDUP(AJ1800,0)))</f>
        <v>0</v>
      </c>
      <c r="AG1800" s="50" t="n">
        <f aca="false">IF(BZ1800=1,0,ROUNDUP(AF1800/BY1800,0))</f>
        <v>0</v>
      </c>
      <c r="AH1800" s="52" t="n">
        <f aca="false">IF(CQ1800&gt;0,CQ1800*MAX(1,AF1800/X1800),IF(BZ1800=1,IF(AF1800&lt;=0,0,CD1800*MAX(1,IF(H1800&gt;0,AF1800/H1800,1))),IF(R1800&gt;0,AG1800/R1800,0))/MAX(0.1,N(Parameter!$M$21)))</f>
        <v>0</v>
      </c>
      <c r="AI1800" s="50" t="n">
        <f aca="false">AH1800*CB1800</f>
        <v>0</v>
      </c>
      <c r="AJ1800" s="51" t="n">
        <f aca="false">IF(LEFT(Cockpit!$C$5,1)="A",H1800,IF(CH1800=1,(CK1800+CI1800)/2,IF(LEFT(Cockpit!$C$5,1)="B",(CK1800+AL1800)/2,MAX((CK1800+AL1800)/2,H1800))))</f>
        <v>0</v>
      </c>
      <c r="AK1800" s="50" t="n">
        <f aca="false">AJ1800*G1800</f>
        <v>0</v>
      </c>
      <c r="AL1800" s="50" t="n">
        <f aca="false">ROUNDUP(CK1800+MAX(CL1800,2*(J1800/IF(CG1800&gt;0,CG1800,MAX(0.1,N(Cockpit!$C$6)))-CK1800)),0)</f>
        <v>0</v>
      </c>
      <c r="AM1800" s="51" t="n">
        <f aca="false">IF(AI1800&gt;0,J1800/AI1800,-1)</f>
        <v>-1</v>
      </c>
      <c r="AN1800" s="51" t="str">
        <f aca="false">IF(AND(OR(CF1800="L1",CF1800="L23",CF1800="LIFT"),AI1800&gt;0),SUMIFS($AI$7:$AI$1843,$CF$7:$CF$1843,CF1800,$AM$7:$AM$1843,"&gt;"&amp;AM1800)+SUMIFS($AI$7:$AI$1843,$CF$7:$CF$1843,CF1800,$AM$7:$AM$1843,AM1800,$BW$7:$BW$1843,"&lt;="&amp;BW1800),"")</f>
        <v/>
      </c>
      <c r="AO1800" s="58" t="n">
        <f aca="false">IF(AN1800="",0,MAX(0,MIN(1,(IF(CF1800="L1",Parameter!$H$5,IF(CF1800="L23",Parameter!$H$6+Parameter!$H$7,Parameter!$H$5+Parameter!$H$6+Parameter!$H$7))-(AN1800-AI1800))/AI1800)))</f>
        <v>0</v>
      </c>
      <c r="AP1800" s="50" t="n">
        <f aca="false">IF(LEFT(Cockpit!$I$5,1)="A",H1800,IF(Parameter!$E$30="MAX-Bestand",IF(CH1800=1,CI1800,IF(LEFT(Cockpit!$I$5,1)="B",AV1800,MAX(AV1800,H1800))),ROUNDUP(AT1800,0)))</f>
        <v>0</v>
      </c>
      <c r="AQ1800" s="50" t="n">
        <f aca="false">IF(BZ1800=1,0,ROUNDUP(AP1800/BY1800,0))</f>
        <v>0</v>
      </c>
      <c r="AR1800" s="52" t="n">
        <f aca="false">IF(CQ1800&gt;0,CQ1800*MAX(1,AP1800/X1800),IF(BZ1800=1,IF(AP1800&lt;=0,0,CD1800*MAX(1,IF(H1800&gt;0,AP1800/H1800,1))),IF(R1800&gt;0,AQ1800/R1800,0))/MAX(0.1,N(Parameter!$M$21)))</f>
        <v>0</v>
      </c>
      <c r="AS1800" s="50" t="n">
        <f aca="false">AR1800*CB1800</f>
        <v>0</v>
      </c>
      <c r="AT1800" s="51" t="n">
        <f aca="false">IF(LEFT(Cockpit!$I$5,1)="A",H1800,IF(CH1800=1,(CK1800+CI1800)/2,IF(LEFT(Cockpit!$I$5,1)="B",(CK1800+AV1800)/2,MAX((CK1800+AV1800)/2,H1800))))</f>
        <v>0</v>
      </c>
      <c r="AU1800" s="50" t="n">
        <f aca="false">AT1800*G1800</f>
        <v>0</v>
      </c>
      <c r="AV1800" s="50" t="n">
        <f aca="false">ROUNDUP(CK1800+MAX(CL1800,2*(J1800/IF(CG1800&gt;0,CG1800,MAX(0.1,N(Cockpit!$I$6)))-CK1800)),0)</f>
        <v>0</v>
      </c>
      <c r="AW1800" s="51" t="n">
        <f aca="false">IF(AS1800&gt;0,J1800/AS1800,-1)</f>
        <v>-1</v>
      </c>
      <c r="AX1800" s="51" t="str">
        <f aca="false">IF(AND(OR(CF1800="L1",CF1800="L23",CF1800="LIFT"),AS1800&gt;0),SUMIFS($AS$7:$AS$1843,$CF$7:$CF$1843,CF1800,$AW$7:$AW$1843,"&gt;"&amp;AW1800)+SUMIFS($AS$7:$AS$1843,$CF$7:$CF$1843,CF1800,$AW$7:$AW$1843,AW1800,$BW$7:$BW$1843,"&lt;="&amp;BW1800),"")</f>
        <v/>
      </c>
      <c r="AY1800" s="58" t="n">
        <f aca="false">IF(AX1800="",0,MAX(0,MIN(1,(IF(CF1800="L1",Parameter!$H$5,IF(CF1800="L23",Parameter!$H$6+Parameter!$H$7,Parameter!$H$5+Parameter!$H$6+Parameter!$H$7))-(AX1800-AS1800))/AS1800)))</f>
        <v>0</v>
      </c>
      <c r="AZ1800" s="50" t="n">
        <f aca="false">IF(LEFT(Cockpit!$O$5,1)="A",H1800,IF(Parameter!$E$30="MAX-Bestand",IF(CH1800=1,CI1800,IF(LEFT(Cockpit!$O$5,1)="B",BF1800,MAX(BF1800,H1800))),ROUNDUP(BD1800,0)))</f>
        <v>0</v>
      </c>
      <c r="BA1800" s="50" t="n">
        <f aca="false">IF(BZ1800=1,0,ROUNDUP(AZ1800/BY1800,0))</f>
        <v>0</v>
      </c>
      <c r="BB1800" s="52" t="n">
        <f aca="false">IF(CQ1800&gt;0,CQ1800*MAX(1,AZ1800/X1800),IF(BZ1800=1,IF(AZ1800&lt;=0,0,CD1800*MAX(1,IF(H1800&gt;0,AZ1800/H1800,1))),IF(R1800&gt;0,BA1800/R1800,0))/MAX(0.1,N(Parameter!$M$21)))</f>
        <v>0</v>
      </c>
      <c r="BC1800" s="50" t="n">
        <f aca="false">BB1800*CB1800</f>
        <v>0</v>
      </c>
      <c r="BD1800" s="51" t="n">
        <f aca="false">IF(LEFT(Cockpit!$O$5,1)="A",H1800,IF(CH1800=1,(CK1800+CI1800)/2,IF(LEFT(Cockpit!$O$5,1)="B",(CK1800+BF1800)/2,MAX((CK1800+BF1800)/2,H1800))))</f>
        <v>0</v>
      </c>
      <c r="BE1800" s="50" t="n">
        <f aca="false">BD1800*G1800</f>
        <v>0</v>
      </c>
      <c r="BF1800" s="50" t="n">
        <f aca="false">ROUNDUP(CK1800+MAX(CL1800,2*(J1800/IF(CG1800&gt;0,CG1800,MAX(0.1,N(Cockpit!$O$6)))-CK1800)),0)</f>
        <v>0</v>
      </c>
      <c r="BG1800" s="51" t="n">
        <f aca="false">IF(BC1800&gt;0,J1800/BC1800,-1)</f>
        <v>-1</v>
      </c>
      <c r="BH1800" s="51" t="str">
        <f aca="false">IF(AND(OR(CF1800="L1",CF1800="L23",CF1800="LIFT"),BC1800&gt;0),SUMIFS($BC$7:$BC$1843,$CF$7:$CF$1843,CF1800,$BG$7:$BG$1843,"&gt;"&amp;BG1800)+SUMIFS($BC$7:$BC$1843,$CF$7:$CF$1843,CF1800,$BG$7:$BG$1843,BG1800,$BW$7:$BW$1843,"&lt;="&amp;BW1800),"")</f>
        <v/>
      </c>
      <c r="BI1800" s="58" t="n">
        <f aca="false">IF(BH1800="",0,MAX(0,MIN(1,(IF(CF1800="L1",Parameter!$H$5,IF(CF1800="L23",Parameter!$H$6+Parameter!$H$7,Parameter!$H$5+Parameter!$H$6+Parameter!$H$7))-(BH1800-BC1800))/BC1800)))</f>
        <v>0</v>
      </c>
      <c r="BJ1800" s="48" t="str">
        <f aca="false">IF(AI1800&lt;=0,"",IF(CF1800="Aussen","Aussenlager",IF(CF1800="-","Nicht im Lift",IF(AO1800&gt;=1,"Lift",IF(AO1800&lt;=0,"Aussenlager","teilweise")))))</f>
        <v/>
      </c>
      <c r="BK1800" s="48" t="str">
        <f aca="false">IF(AS1800&lt;=0,"",IF(CF1800="Aussen","Aussenlager",IF(CF1800="-","Nicht im Lift",IF(AY1800&gt;=1,"Lift",IF(AY1800&lt;=0,"Aussenlager","teilweise")))))</f>
        <v/>
      </c>
      <c r="BL1800" s="48" t="str">
        <f aca="false">IF(BC1800&lt;=0,"",IF(CF1800="Aussen","Aussenlager",IF(CF1800="-","Nicht im Lift",IF(BI1800&gt;=1,"Lift",IF(BI1800&lt;=0,"Aussenlager","teilweise")))))</f>
        <v/>
      </c>
      <c r="BM1800" s="48" t="str">
        <f aca="false">IF(A1800="","",IF(BV1800=1,"Neu; ","")&amp;IF(AND(BV1800=0,BQ1800&lt;0),"negativer Bestand (Export "&amp;BQ1800&amp;"); ","")&amp;IF(J1800&lt;=0,"Kein Verbrauch; ","")&amp;IF(CQ1800&gt;0,"Lift "&amp;W1800&amp;" lt. Liftbericht (Fach "&amp;X1800&amp;" Stk); ",IF(CA1800=1,"Gebinde geschätzt ("&amp;T1800&amp;"); ",IF(BZ1800=1,"Lose – Tablare geschätzt; ","")))&amp;IF(H1800&gt;AV1800,"Überbestand "&amp;ROUND(H1800-AV1800,0)&amp;" Stk / CHF "&amp;ROUND((H1800-AV1800)*G1800,0)&amp;"; ","")&amp;IF(AND(CH1800=1,CI1800&lt;CJ1800),"MAX &lt; MB+LG; ","")&amp;IF(AND(CP1800&gt;0,CO1800*10&gt;CP1800),"zu hoch für Tablar; ","")&amp;IF(AND(BV1800=0,OR(CH1800=1,AA1800&lt;&gt;"",U1800&lt;&gt;"",V1800&lt;&gt;"",AB1800&lt;&gt;"")),"manuell übersteuert; ","")&amp;IF(AND(BZ1800=0,R1800=0),"Gebinde unbekannt / Stellmass fehlt; ","")&amp;IF(AND(BZ1800=0,N(V1800)&lt;=0,N(Q1800)&lt;=0),"Menge pro Gebinde fehlt (Ist = 1 Gebinde); ","")&amp;BU1800)</f>
        <v/>
      </c>
      <c r="BN1800" s="48"/>
      <c r="BO1800" s="48"/>
      <c r="BP1800" s="55"/>
      <c r="BQ1800" s="50" t="n">
        <f aca="false">N('Neue Artikel'!$D$61)</f>
        <v>0</v>
      </c>
      <c r="BR1800" s="50" t="n">
        <v>0</v>
      </c>
      <c r="BS1800" s="49" t="n">
        <v>0</v>
      </c>
      <c r="BT1800" s="50" t="n">
        <f aca="false">N('Neue Artikel'!$C$61)/Parameter!$B$18</f>
        <v>0</v>
      </c>
      <c r="BU1800" s="48"/>
      <c r="BV1800" s="53" t="n">
        <v>1</v>
      </c>
      <c r="BW1800" s="53" t="n">
        <v>1800</v>
      </c>
      <c r="BX1800" s="48" t="str">
        <f aca="false">IF(U1800&lt;&gt;"",UPPER(TRIM(U1800)),IF(CA1800=1,UPPER(VLOOKUP(T1800,Parameter!$I$27:$K$29,2,0)),IF(P1800="","LOSE",P1800)))</f>
        <v>LOSE</v>
      </c>
      <c r="BY1800" s="50" t="n">
        <f aca="false">IF(BX1800="LOSE",1,IF(N(V1800)&gt;0,V1800,IF(CA1800=1,MAX(1,N(VLOOKUP(T1800,Parameter!$I$27:$K$29,3,0)),H1800,N(N1800)),IF(N(Q1800)&gt;0,Q1800,MAX(1,H1800)))))</f>
        <v>1</v>
      </c>
      <c r="BZ1800" s="53" t="n">
        <f aca="false">IF(BX1800="LOSE",1,0)</f>
        <v>1</v>
      </c>
      <c r="CA1800" s="53" t="n">
        <f aca="false">IF(AND(U1800="",OR(P1800="",P1800="LOSE"),T1800&lt;&gt;"",N(S1800)&lt;=0,ISNUMBER(MATCH(T1800,Parameter!$I$27:$I$29,0))),1,0)</f>
        <v>0</v>
      </c>
      <c r="CB1800" s="53" t="n">
        <f aca="false">IF(CQ1800&gt;0,INDEX(Parameter!$H$5:$H$7,W1800)/INDEX(Parameter!$E$5:$E$7,W1800),IF(AND(BZ1800=0,N(IFERROR(VLOOKUP(BX1800,'Gebinde-Kategorie'!$A$5:$N$45,14,0),0))&gt;0),VLOOKUP(BX1800,'Gebinde-Kategorie'!$A$5:$N$45,14,0)*10+Parameter!$M$23,Parameter!$M$24))</f>
        <v>235</v>
      </c>
      <c r="CC1800" s="48" t="str">
        <f aca="false">IF(AND(Parameter!$B$19="Ja",E1800&lt;&gt;"",ISNUMBER(MATCH(E1800,Parameter!$I$35:$I$52,0))),VLOOKUP(E1800,Parameter!$I$35:$J$52,2,0),IFERROR(VLOOKUP(D1800,Parameter!$A$35:$C$64,2,0),"Nein"))</f>
        <v>2+3</v>
      </c>
      <c r="CD1800" s="52" t="n">
        <f aca="false">IF(BZ1800=0,0,IF(N(S1800)&gt;0,S1800,IFERROR(VLOOKUP(D1800,Parameter!$A$35:$C$64,3,0)+0,0)))</f>
        <v>0.15</v>
      </c>
      <c r="CE1800" s="48" t="str">
        <f aca="false">IF(AA1800&lt;&gt;"",AA1800,Z1800)</f>
        <v/>
      </c>
      <c r="CF1800" s="48" t="str">
        <f aca="false">IF(OR(CE1800=1,CE1800=2,CE1800=3),IF(Parameter!$E$27="Ja","LIFT",IF(CE1800=1,"L1","L23")),IF(CE1800="Aussen","Aussen","-"))</f>
        <v>-</v>
      </c>
      <c r="CG1800" s="59" t="n">
        <f aca="false">IF(N(AB1800)&gt;0,AB1800,0)</f>
        <v>0</v>
      </c>
      <c r="CH1800" s="53" t="n">
        <f aca="false">IF(ISNUMBER(AE1800),1,0)</f>
        <v>0</v>
      </c>
      <c r="CI1800" s="50" t="n">
        <f aca="false">N(AE1800)</f>
        <v>0</v>
      </c>
      <c r="CJ1800" s="50" t="n">
        <f aca="false">N(M1800)+N(N1800)</f>
        <v>0</v>
      </c>
      <c r="CK1800" s="50" t="n">
        <f aca="false">N(M1800)</f>
        <v>0</v>
      </c>
      <c r="CL1800" s="50" t="n">
        <f aca="false">N(N1800)</f>
        <v>0</v>
      </c>
      <c r="CM1800" s="50" t="n">
        <f aca="false">ROUNDUP(H1800/BY1800,0)</f>
        <v>0</v>
      </c>
      <c r="CN1800" s="50" t="n">
        <f aca="false">ROUNDUP(CI1800/BY1800,0)</f>
        <v>0</v>
      </c>
      <c r="CO1800" s="53" t="n">
        <f aca="false">IF(BZ1800=1,0,IFERROR(VLOOKUP(BX1800,'Gebinde-Kategorie'!$A$5:$N$45,5,0)+0,0))</f>
        <v>0</v>
      </c>
      <c r="CP1800" s="53" t="n">
        <f aca="false">IFERROR(IF(OR(CE1800=1,CE1800=2,CE1800=3),N(INDEX(Parameter!$I$5:$I$7,CE1800)),0),0)</f>
        <v>0</v>
      </c>
      <c r="CQ1800" s="52" t="n">
        <f aca="false">IF(AND(Parameter!$B$21="Ja",ISNUMBER(W1800),N(X1800)&gt;0),IFERROR(N(INDEX(Parameter!$L$5:$L$7,W1800))*INDEX(Parameter!$E$5:$E$7,W1800)*X1800/SUMIFS($X$7:$X$1843,$W$7:$W$1843,W1800),0),0)</f>
        <v>0</v>
      </c>
    </row>
    <row r="1801" customFormat="false" ht="15" hidden="false" customHeight="false" outlineLevel="0" collapsed="false">
      <c r="A1801" s="48" t="str">
        <f aca="false">IF('Neue Artikel'!$A$62="","",'Neue Artikel'!$A$62&amp;"")</f>
        <v/>
      </c>
      <c r="B1801" s="48" t="str">
        <f aca="false">'Neue Artikel'!$B$62&amp;""</f>
        <v/>
      </c>
      <c r="C1801" s="48"/>
      <c r="D1801" s="48" t="s">
        <v>3024</v>
      </c>
      <c r="E1801" s="48"/>
      <c r="F1801" s="48"/>
      <c r="G1801" s="49" t="n">
        <f aca="false">N('Neue Artikel'!$G$62)</f>
        <v>0</v>
      </c>
      <c r="H1801" s="50" t="n">
        <f aca="false">MAX(0,IF(AND(Parameter!$B$21="Ja",ISNUMBER(Y1801)),Y1801,IF(Parameter!$B$20="Jahresanfang 2025 + Export",BR1801+BQ1801,BQ1801)))</f>
        <v>0</v>
      </c>
      <c r="I1801" s="50" t="n">
        <f aca="false">H1801*G1801</f>
        <v>0</v>
      </c>
      <c r="J1801" s="50" t="n">
        <f aca="false">BT1801*Parameter!$B$18</f>
        <v>0</v>
      </c>
      <c r="K1801" s="51"/>
      <c r="L1801" s="52"/>
      <c r="M1801" s="50" t="n">
        <f aca="false">N('Neue Artikel'!$E$62)</f>
        <v>0</v>
      </c>
      <c r="N1801" s="50" t="n">
        <f aca="false">N('Neue Artikel'!$F$62)</f>
        <v>0</v>
      </c>
      <c r="O1801" s="53"/>
      <c r="P1801" s="48" t="str">
        <f aca="false">IF('Neue Artikel'!$H$62="","LOSE",UPPER(TRIM('Neue Artikel'!$H$62)))</f>
        <v>LOSE</v>
      </c>
      <c r="Q1801" s="50" t="n">
        <f aca="false">N('Neue Artikel'!$I$62)</f>
        <v>0</v>
      </c>
      <c r="R1801" s="53" t="n">
        <f aca="false">IF(BZ1801=1,0,IFERROR(VLOOKUP(BX1801,'Gebinde-Kategorie'!$A$5:$N$45,13,0)+0,0))</f>
        <v>0</v>
      </c>
      <c r="S1801" s="54"/>
      <c r="T1801" s="55"/>
      <c r="U1801" s="55"/>
      <c r="V1801" s="55"/>
      <c r="W1801" s="48"/>
      <c r="X1801" s="50"/>
      <c r="Y1801" s="50"/>
      <c r="Z1801" s="48" t="str">
        <f aca="false">IF(A1801="","",IF(AND(Parameter!$B$21="Ja",ISNUMBER(W1801)),W1801,IF(CC1801="2+3",IF(ISNUMBER(SEARCH("grosser Artikel",BU1801)),2,IFERROR(VLOOKUP(BX1801,Parameter!$F$35:$G$64,2,0),2)),IF(OR(CC1801="Nein",CC1801=""),"-",CC1801))))</f>
        <v/>
      </c>
      <c r="AA1801" s="48" t="str">
        <f aca="false">IF('Neue Artikel'!$J$62="","",'Neue Artikel'!$J$62)</f>
        <v/>
      </c>
      <c r="AB1801" s="56"/>
      <c r="AC1801" s="50" t="n">
        <f aca="false">AV1801</f>
        <v>0</v>
      </c>
      <c r="AD1801" s="50" t="n">
        <f aca="false">MAX(AV1801,H1801)</f>
        <v>0</v>
      </c>
      <c r="AE1801" s="57"/>
      <c r="AF1801" s="50" t="n">
        <f aca="false">IF(LEFT(Cockpit!$C$5,1)="A",H1801,IF(Parameter!$E$30="MAX-Bestand",IF(CH1801=1,CI1801,IF(LEFT(Cockpit!$C$5,1)="B",AL1801,MAX(AL1801,H1801))),ROUNDUP(AJ1801,0)))</f>
        <v>0</v>
      </c>
      <c r="AG1801" s="50" t="n">
        <f aca="false">IF(BZ1801=1,0,ROUNDUP(AF1801/BY1801,0))</f>
        <v>0</v>
      </c>
      <c r="AH1801" s="52" t="n">
        <f aca="false">IF(CQ1801&gt;0,CQ1801*MAX(1,AF1801/X1801),IF(BZ1801=1,IF(AF1801&lt;=0,0,CD1801*MAX(1,IF(H1801&gt;0,AF1801/H1801,1))),IF(R1801&gt;0,AG1801/R1801,0))/MAX(0.1,N(Parameter!$M$21)))</f>
        <v>0</v>
      </c>
      <c r="AI1801" s="50" t="n">
        <f aca="false">AH1801*CB1801</f>
        <v>0</v>
      </c>
      <c r="AJ1801" s="51" t="n">
        <f aca="false">IF(LEFT(Cockpit!$C$5,1)="A",H1801,IF(CH1801=1,(CK1801+CI1801)/2,IF(LEFT(Cockpit!$C$5,1)="B",(CK1801+AL1801)/2,MAX((CK1801+AL1801)/2,H1801))))</f>
        <v>0</v>
      </c>
      <c r="AK1801" s="50" t="n">
        <f aca="false">AJ1801*G1801</f>
        <v>0</v>
      </c>
      <c r="AL1801" s="50" t="n">
        <f aca="false">ROUNDUP(CK1801+MAX(CL1801,2*(J1801/IF(CG1801&gt;0,CG1801,MAX(0.1,N(Cockpit!$C$6)))-CK1801)),0)</f>
        <v>0</v>
      </c>
      <c r="AM1801" s="51" t="n">
        <f aca="false">IF(AI1801&gt;0,J1801/AI1801,-1)</f>
        <v>-1</v>
      </c>
      <c r="AN1801" s="51" t="str">
        <f aca="false">IF(AND(OR(CF1801="L1",CF1801="L23",CF1801="LIFT"),AI1801&gt;0),SUMIFS($AI$7:$AI$1843,$CF$7:$CF$1843,CF1801,$AM$7:$AM$1843,"&gt;"&amp;AM1801)+SUMIFS($AI$7:$AI$1843,$CF$7:$CF$1843,CF1801,$AM$7:$AM$1843,AM1801,$BW$7:$BW$1843,"&lt;="&amp;BW1801),"")</f>
        <v/>
      </c>
      <c r="AO1801" s="58" t="n">
        <f aca="false">IF(AN1801="",0,MAX(0,MIN(1,(IF(CF1801="L1",Parameter!$H$5,IF(CF1801="L23",Parameter!$H$6+Parameter!$H$7,Parameter!$H$5+Parameter!$H$6+Parameter!$H$7))-(AN1801-AI1801))/AI1801)))</f>
        <v>0</v>
      </c>
      <c r="AP1801" s="50" t="n">
        <f aca="false">IF(LEFT(Cockpit!$I$5,1)="A",H1801,IF(Parameter!$E$30="MAX-Bestand",IF(CH1801=1,CI1801,IF(LEFT(Cockpit!$I$5,1)="B",AV1801,MAX(AV1801,H1801))),ROUNDUP(AT1801,0)))</f>
        <v>0</v>
      </c>
      <c r="AQ1801" s="50" t="n">
        <f aca="false">IF(BZ1801=1,0,ROUNDUP(AP1801/BY1801,0))</f>
        <v>0</v>
      </c>
      <c r="AR1801" s="52" t="n">
        <f aca="false">IF(CQ1801&gt;0,CQ1801*MAX(1,AP1801/X1801),IF(BZ1801=1,IF(AP1801&lt;=0,0,CD1801*MAX(1,IF(H1801&gt;0,AP1801/H1801,1))),IF(R1801&gt;0,AQ1801/R1801,0))/MAX(0.1,N(Parameter!$M$21)))</f>
        <v>0</v>
      </c>
      <c r="AS1801" s="50" t="n">
        <f aca="false">AR1801*CB1801</f>
        <v>0</v>
      </c>
      <c r="AT1801" s="51" t="n">
        <f aca="false">IF(LEFT(Cockpit!$I$5,1)="A",H1801,IF(CH1801=1,(CK1801+CI1801)/2,IF(LEFT(Cockpit!$I$5,1)="B",(CK1801+AV1801)/2,MAX((CK1801+AV1801)/2,H1801))))</f>
        <v>0</v>
      </c>
      <c r="AU1801" s="50" t="n">
        <f aca="false">AT1801*G1801</f>
        <v>0</v>
      </c>
      <c r="AV1801" s="50" t="n">
        <f aca="false">ROUNDUP(CK1801+MAX(CL1801,2*(J1801/IF(CG1801&gt;0,CG1801,MAX(0.1,N(Cockpit!$I$6)))-CK1801)),0)</f>
        <v>0</v>
      </c>
      <c r="AW1801" s="51" t="n">
        <f aca="false">IF(AS1801&gt;0,J1801/AS1801,-1)</f>
        <v>-1</v>
      </c>
      <c r="AX1801" s="51" t="str">
        <f aca="false">IF(AND(OR(CF1801="L1",CF1801="L23",CF1801="LIFT"),AS1801&gt;0),SUMIFS($AS$7:$AS$1843,$CF$7:$CF$1843,CF1801,$AW$7:$AW$1843,"&gt;"&amp;AW1801)+SUMIFS($AS$7:$AS$1843,$CF$7:$CF$1843,CF1801,$AW$7:$AW$1843,AW1801,$BW$7:$BW$1843,"&lt;="&amp;BW1801),"")</f>
        <v/>
      </c>
      <c r="AY1801" s="58" t="n">
        <f aca="false">IF(AX1801="",0,MAX(0,MIN(1,(IF(CF1801="L1",Parameter!$H$5,IF(CF1801="L23",Parameter!$H$6+Parameter!$H$7,Parameter!$H$5+Parameter!$H$6+Parameter!$H$7))-(AX1801-AS1801))/AS1801)))</f>
        <v>0</v>
      </c>
      <c r="AZ1801" s="50" t="n">
        <f aca="false">IF(LEFT(Cockpit!$O$5,1)="A",H1801,IF(Parameter!$E$30="MAX-Bestand",IF(CH1801=1,CI1801,IF(LEFT(Cockpit!$O$5,1)="B",BF1801,MAX(BF1801,H1801))),ROUNDUP(BD1801,0)))</f>
        <v>0</v>
      </c>
      <c r="BA1801" s="50" t="n">
        <f aca="false">IF(BZ1801=1,0,ROUNDUP(AZ1801/BY1801,0))</f>
        <v>0</v>
      </c>
      <c r="BB1801" s="52" t="n">
        <f aca="false">IF(CQ1801&gt;0,CQ1801*MAX(1,AZ1801/X1801),IF(BZ1801=1,IF(AZ1801&lt;=0,0,CD1801*MAX(1,IF(H1801&gt;0,AZ1801/H1801,1))),IF(R1801&gt;0,BA1801/R1801,0))/MAX(0.1,N(Parameter!$M$21)))</f>
        <v>0</v>
      </c>
      <c r="BC1801" s="50" t="n">
        <f aca="false">BB1801*CB1801</f>
        <v>0</v>
      </c>
      <c r="BD1801" s="51" t="n">
        <f aca="false">IF(LEFT(Cockpit!$O$5,1)="A",H1801,IF(CH1801=1,(CK1801+CI1801)/2,IF(LEFT(Cockpit!$O$5,1)="B",(CK1801+BF1801)/2,MAX((CK1801+BF1801)/2,H1801))))</f>
        <v>0</v>
      </c>
      <c r="BE1801" s="50" t="n">
        <f aca="false">BD1801*G1801</f>
        <v>0</v>
      </c>
      <c r="BF1801" s="50" t="n">
        <f aca="false">ROUNDUP(CK1801+MAX(CL1801,2*(J1801/IF(CG1801&gt;0,CG1801,MAX(0.1,N(Cockpit!$O$6)))-CK1801)),0)</f>
        <v>0</v>
      </c>
      <c r="BG1801" s="51" t="n">
        <f aca="false">IF(BC1801&gt;0,J1801/BC1801,-1)</f>
        <v>-1</v>
      </c>
      <c r="BH1801" s="51" t="str">
        <f aca="false">IF(AND(OR(CF1801="L1",CF1801="L23",CF1801="LIFT"),BC1801&gt;0),SUMIFS($BC$7:$BC$1843,$CF$7:$CF$1843,CF1801,$BG$7:$BG$1843,"&gt;"&amp;BG1801)+SUMIFS($BC$7:$BC$1843,$CF$7:$CF$1843,CF1801,$BG$7:$BG$1843,BG1801,$BW$7:$BW$1843,"&lt;="&amp;BW1801),"")</f>
        <v/>
      </c>
      <c r="BI1801" s="58" t="n">
        <f aca="false">IF(BH1801="",0,MAX(0,MIN(1,(IF(CF1801="L1",Parameter!$H$5,IF(CF1801="L23",Parameter!$H$6+Parameter!$H$7,Parameter!$H$5+Parameter!$H$6+Parameter!$H$7))-(BH1801-BC1801))/BC1801)))</f>
        <v>0</v>
      </c>
      <c r="BJ1801" s="48" t="str">
        <f aca="false">IF(AI1801&lt;=0,"",IF(CF1801="Aussen","Aussenlager",IF(CF1801="-","Nicht im Lift",IF(AO1801&gt;=1,"Lift",IF(AO1801&lt;=0,"Aussenlager","teilweise")))))</f>
        <v/>
      </c>
      <c r="BK1801" s="48" t="str">
        <f aca="false">IF(AS1801&lt;=0,"",IF(CF1801="Aussen","Aussenlager",IF(CF1801="-","Nicht im Lift",IF(AY1801&gt;=1,"Lift",IF(AY1801&lt;=0,"Aussenlager","teilweise")))))</f>
        <v/>
      </c>
      <c r="BL1801" s="48" t="str">
        <f aca="false">IF(BC1801&lt;=0,"",IF(CF1801="Aussen","Aussenlager",IF(CF1801="-","Nicht im Lift",IF(BI1801&gt;=1,"Lift",IF(BI1801&lt;=0,"Aussenlager","teilweise")))))</f>
        <v/>
      </c>
      <c r="BM1801" s="48" t="str">
        <f aca="false">IF(A1801="","",IF(BV1801=1,"Neu; ","")&amp;IF(AND(BV1801=0,BQ1801&lt;0),"negativer Bestand (Export "&amp;BQ1801&amp;"); ","")&amp;IF(J1801&lt;=0,"Kein Verbrauch; ","")&amp;IF(CQ1801&gt;0,"Lift "&amp;W1801&amp;" lt. Liftbericht (Fach "&amp;X1801&amp;" Stk); ",IF(CA1801=1,"Gebinde geschätzt ("&amp;T1801&amp;"); ",IF(BZ1801=1,"Lose – Tablare geschätzt; ","")))&amp;IF(H1801&gt;AV1801,"Überbestand "&amp;ROUND(H1801-AV1801,0)&amp;" Stk / CHF "&amp;ROUND((H1801-AV1801)*G1801,0)&amp;"; ","")&amp;IF(AND(CH1801=1,CI1801&lt;CJ1801),"MAX &lt; MB+LG; ","")&amp;IF(AND(CP1801&gt;0,CO1801*10&gt;CP1801),"zu hoch für Tablar; ","")&amp;IF(AND(BV1801=0,OR(CH1801=1,AA1801&lt;&gt;"",U1801&lt;&gt;"",V1801&lt;&gt;"",AB1801&lt;&gt;"")),"manuell übersteuert; ","")&amp;IF(AND(BZ1801=0,R1801=0),"Gebinde unbekannt / Stellmass fehlt; ","")&amp;IF(AND(BZ1801=0,N(V1801)&lt;=0,N(Q1801)&lt;=0),"Menge pro Gebinde fehlt (Ist = 1 Gebinde); ","")&amp;BU1801)</f>
        <v/>
      </c>
      <c r="BN1801" s="48"/>
      <c r="BO1801" s="48"/>
      <c r="BP1801" s="55"/>
      <c r="BQ1801" s="50" t="n">
        <f aca="false">N('Neue Artikel'!$D$62)</f>
        <v>0</v>
      </c>
      <c r="BR1801" s="50" t="n">
        <v>0</v>
      </c>
      <c r="BS1801" s="49" t="n">
        <v>0</v>
      </c>
      <c r="BT1801" s="50" t="n">
        <f aca="false">N('Neue Artikel'!$C$62)/Parameter!$B$18</f>
        <v>0</v>
      </c>
      <c r="BU1801" s="48"/>
      <c r="BV1801" s="53" t="n">
        <v>1</v>
      </c>
      <c r="BW1801" s="53" t="n">
        <v>1801</v>
      </c>
      <c r="BX1801" s="48" t="str">
        <f aca="false">IF(U1801&lt;&gt;"",UPPER(TRIM(U1801)),IF(CA1801=1,UPPER(VLOOKUP(T1801,Parameter!$I$27:$K$29,2,0)),IF(P1801="","LOSE",P1801)))</f>
        <v>LOSE</v>
      </c>
      <c r="BY1801" s="50" t="n">
        <f aca="false">IF(BX1801="LOSE",1,IF(N(V1801)&gt;0,V1801,IF(CA1801=1,MAX(1,N(VLOOKUP(T1801,Parameter!$I$27:$K$29,3,0)),H1801,N(N1801)),IF(N(Q1801)&gt;0,Q1801,MAX(1,H1801)))))</f>
        <v>1</v>
      </c>
      <c r="BZ1801" s="53" t="n">
        <f aca="false">IF(BX1801="LOSE",1,0)</f>
        <v>1</v>
      </c>
      <c r="CA1801" s="53" t="n">
        <f aca="false">IF(AND(U1801="",OR(P1801="",P1801="LOSE"),T1801&lt;&gt;"",N(S1801)&lt;=0,ISNUMBER(MATCH(T1801,Parameter!$I$27:$I$29,0))),1,0)</f>
        <v>0</v>
      </c>
      <c r="CB1801" s="53" t="n">
        <f aca="false">IF(CQ1801&gt;0,INDEX(Parameter!$H$5:$H$7,W1801)/INDEX(Parameter!$E$5:$E$7,W1801),IF(AND(BZ1801=0,N(IFERROR(VLOOKUP(BX1801,'Gebinde-Kategorie'!$A$5:$N$45,14,0),0))&gt;0),VLOOKUP(BX1801,'Gebinde-Kategorie'!$A$5:$N$45,14,0)*10+Parameter!$M$23,Parameter!$M$24))</f>
        <v>235</v>
      </c>
      <c r="CC1801" s="48" t="str">
        <f aca="false">IF(AND(Parameter!$B$19="Ja",E1801&lt;&gt;"",ISNUMBER(MATCH(E1801,Parameter!$I$35:$I$52,0))),VLOOKUP(E1801,Parameter!$I$35:$J$52,2,0),IFERROR(VLOOKUP(D1801,Parameter!$A$35:$C$64,2,0),"Nein"))</f>
        <v>2+3</v>
      </c>
      <c r="CD1801" s="52" t="n">
        <f aca="false">IF(BZ1801=0,0,IF(N(S1801)&gt;0,S1801,IFERROR(VLOOKUP(D1801,Parameter!$A$35:$C$64,3,0)+0,0)))</f>
        <v>0.15</v>
      </c>
      <c r="CE1801" s="48" t="str">
        <f aca="false">IF(AA1801&lt;&gt;"",AA1801,Z1801)</f>
        <v/>
      </c>
      <c r="CF1801" s="48" t="str">
        <f aca="false">IF(OR(CE1801=1,CE1801=2,CE1801=3),IF(Parameter!$E$27="Ja","LIFT",IF(CE1801=1,"L1","L23")),IF(CE1801="Aussen","Aussen","-"))</f>
        <v>-</v>
      </c>
      <c r="CG1801" s="59" t="n">
        <f aca="false">IF(N(AB1801)&gt;0,AB1801,0)</f>
        <v>0</v>
      </c>
      <c r="CH1801" s="53" t="n">
        <f aca="false">IF(ISNUMBER(AE1801),1,0)</f>
        <v>0</v>
      </c>
      <c r="CI1801" s="50" t="n">
        <f aca="false">N(AE1801)</f>
        <v>0</v>
      </c>
      <c r="CJ1801" s="50" t="n">
        <f aca="false">N(M1801)+N(N1801)</f>
        <v>0</v>
      </c>
      <c r="CK1801" s="50" t="n">
        <f aca="false">N(M1801)</f>
        <v>0</v>
      </c>
      <c r="CL1801" s="50" t="n">
        <f aca="false">N(N1801)</f>
        <v>0</v>
      </c>
      <c r="CM1801" s="50" t="n">
        <f aca="false">ROUNDUP(H1801/BY1801,0)</f>
        <v>0</v>
      </c>
      <c r="CN1801" s="50" t="n">
        <f aca="false">ROUNDUP(CI1801/BY1801,0)</f>
        <v>0</v>
      </c>
      <c r="CO1801" s="53" t="n">
        <f aca="false">IF(BZ1801=1,0,IFERROR(VLOOKUP(BX1801,'Gebinde-Kategorie'!$A$5:$N$45,5,0)+0,0))</f>
        <v>0</v>
      </c>
      <c r="CP1801" s="53" t="n">
        <f aca="false">IFERROR(IF(OR(CE1801=1,CE1801=2,CE1801=3),N(INDEX(Parameter!$I$5:$I$7,CE1801)),0),0)</f>
        <v>0</v>
      </c>
      <c r="CQ1801" s="52" t="n">
        <f aca="false">IF(AND(Parameter!$B$21="Ja",ISNUMBER(W1801),N(X1801)&gt;0),IFERROR(N(INDEX(Parameter!$L$5:$L$7,W1801))*INDEX(Parameter!$E$5:$E$7,W1801)*X1801/SUMIFS($X$7:$X$1843,$W$7:$W$1843,W1801),0),0)</f>
        <v>0</v>
      </c>
    </row>
    <row r="1802" customFormat="false" ht="15" hidden="false" customHeight="false" outlineLevel="0" collapsed="false">
      <c r="A1802" s="48" t="str">
        <f aca="false">IF('Neue Artikel'!$A$63="","",'Neue Artikel'!$A$63&amp;"")</f>
        <v/>
      </c>
      <c r="B1802" s="48" t="str">
        <f aca="false">'Neue Artikel'!$B$63&amp;""</f>
        <v/>
      </c>
      <c r="C1802" s="48"/>
      <c r="D1802" s="48" t="s">
        <v>3024</v>
      </c>
      <c r="E1802" s="48"/>
      <c r="F1802" s="48"/>
      <c r="G1802" s="49" t="n">
        <f aca="false">N('Neue Artikel'!$G$63)</f>
        <v>0</v>
      </c>
      <c r="H1802" s="50" t="n">
        <f aca="false">MAX(0,IF(AND(Parameter!$B$21="Ja",ISNUMBER(Y1802)),Y1802,IF(Parameter!$B$20="Jahresanfang 2025 + Export",BR1802+BQ1802,BQ1802)))</f>
        <v>0</v>
      </c>
      <c r="I1802" s="50" t="n">
        <f aca="false">H1802*G1802</f>
        <v>0</v>
      </c>
      <c r="J1802" s="50" t="n">
        <f aca="false">BT1802*Parameter!$B$18</f>
        <v>0</v>
      </c>
      <c r="K1802" s="51"/>
      <c r="L1802" s="52"/>
      <c r="M1802" s="50" t="n">
        <f aca="false">N('Neue Artikel'!$E$63)</f>
        <v>0</v>
      </c>
      <c r="N1802" s="50" t="n">
        <f aca="false">N('Neue Artikel'!$F$63)</f>
        <v>0</v>
      </c>
      <c r="O1802" s="53"/>
      <c r="P1802" s="48" t="str">
        <f aca="false">IF('Neue Artikel'!$H$63="","LOSE",UPPER(TRIM('Neue Artikel'!$H$63)))</f>
        <v>LOSE</v>
      </c>
      <c r="Q1802" s="50" t="n">
        <f aca="false">N('Neue Artikel'!$I$63)</f>
        <v>0</v>
      </c>
      <c r="R1802" s="53" t="n">
        <f aca="false">IF(BZ1802=1,0,IFERROR(VLOOKUP(BX1802,'Gebinde-Kategorie'!$A$5:$N$45,13,0)+0,0))</f>
        <v>0</v>
      </c>
      <c r="S1802" s="54"/>
      <c r="T1802" s="55"/>
      <c r="U1802" s="55"/>
      <c r="V1802" s="55"/>
      <c r="W1802" s="48"/>
      <c r="X1802" s="50"/>
      <c r="Y1802" s="50"/>
      <c r="Z1802" s="48" t="str">
        <f aca="false">IF(A1802="","",IF(AND(Parameter!$B$21="Ja",ISNUMBER(W1802)),W1802,IF(CC1802="2+3",IF(ISNUMBER(SEARCH("grosser Artikel",BU1802)),2,IFERROR(VLOOKUP(BX1802,Parameter!$F$35:$G$64,2,0),2)),IF(OR(CC1802="Nein",CC1802=""),"-",CC1802))))</f>
        <v/>
      </c>
      <c r="AA1802" s="48" t="str">
        <f aca="false">IF('Neue Artikel'!$J$63="","",'Neue Artikel'!$J$63)</f>
        <v/>
      </c>
      <c r="AB1802" s="56"/>
      <c r="AC1802" s="50" t="n">
        <f aca="false">AV1802</f>
        <v>0</v>
      </c>
      <c r="AD1802" s="50" t="n">
        <f aca="false">MAX(AV1802,H1802)</f>
        <v>0</v>
      </c>
      <c r="AE1802" s="57"/>
      <c r="AF1802" s="50" t="n">
        <f aca="false">IF(LEFT(Cockpit!$C$5,1)="A",H1802,IF(Parameter!$E$30="MAX-Bestand",IF(CH1802=1,CI1802,IF(LEFT(Cockpit!$C$5,1)="B",AL1802,MAX(AL1802,H1802))),ROUNDUP(AJ1802,0)))</f>
        <v>0</v>
      </c>
      <c r="AG1802" s="50" t="n">
        <f aca="false">IF(BZ1802=1,0,ROUNDUP(AF1802/BY1802,0))</f>
        <v>0</v>
      </c>
      <c r="AH1802" s="52" t="n">
        <f aca="false">IF(CQ1802&gt;0,CQ1802*MAX(1,AF1802/X1802),IF(BZ1802=1,IF(AF1802&lt;=0,0,CD1802*MAX(1,IF(H1802&gt;0,AF1802/H1802,1))),IF(R1802&gt;0,AG1802/R1802,0))/MAX(0.1,N(Parameter!$M$21)))</f>
        <v>0</v>
      </c>
      <c r="AI1802" s="50" t="n">
        <f aca="false">AH1802*CB1802</f>
        <v>0</v>
      </c>
      <c r="AJ1802" s="51" t="n">
        <f aca="false">IF(LEFT(Cockpit!$C$5,1)="A",H1802,IF(CH1802=1,(CK1802+CI1802)/2,IF(LEFT(Cockpit!$C$5,1)="B",(CK1802+AL1802)/2,MAX((CK1802+AL1802)/2,H1802))))</f>
        <v>0</v>
      </c>
      <c r="AK1802" s="50" t="n">
        <f aca="false">AJ1802*G1802</f>
        <v>0</v>
      </c>
      <c r="AL1802" s="50" t="n">
        <f aca="false">ROUNDUP(CK1802+MAX(CL1802,2*(J1802/IF(CG1802&gt;0,CG1802,MAX(0.1,N(Cockpit!$C$6)))-CK1802)),0)</f>
        <v>0</v>
      </c>
      <c r="AM1802" s="51" t="n">
        <f aca="false">IF(AI1802&gt;0,J1802/AI1802,-1)</f>
        <v>-1</v>
      </c>
      <c r="AN1802" s="51" t="str">
        <f aca="false">IF(AND(OR(CF1802="L1",CF1802="L23",CF1802="LIFT"),AI1802&gt;0),SUMIFS($AI$7:$AI$1843,$CF$7:$CF$1843,CF1802,$AM$7:$AM$1843,"&gt;"&amp;AM1802)+SUMIFS($AI$7:$AI$1843,$CF$7:$CF$1843,CF1802,$AM$7:$AM$1843,AM1802,$BW$7:$BW$1843,"&lt;="&amp;BW1802),"")</f>
        <v/>
      </c>
      <c r="AO1802" s="58" t="n">
        <f aca="false">IF(AN1802="",0,MAX(0,MIN(1,(IF(CF1802="L1",Parameter!$H$5,IF(CF1802="L23",Parameter!$H$6+Parameter!$H$7,Parameter!$H$5+Parameter!$H$6+Parameter!$H$7))-(AN1802-AI1802))/AI1802)))</f>
        <v>0</v>
      </c>
      <c r="AP1802" s="50" t="n">
        <f aca="false">IF(LEFT(Cockpit!$I$5,1)="A",H1802,IF(Parameter!$E$30="MAX-Bestand",IF(CH1802=1,CI1802,IF(LEFT(Cockpit!$I$5,1)="B",AV1802,MAX(AV1802,H1802))),ROUNDUP(AT1802,0)))</f>
        <v>0</v>
      </c>
      <c r="AQ1802" s="50" t="n">
        <f aca="false">IF(BZ1802=1,0,ROUNDUP(AP1802/BY1802,0))</f>
        <v>0</v>
      </c>
      <c r="AR1802" s="52" t="n">
        <f aca="false">IF(CQ1802&gt;0,CQ1802*MAX(1,AP1802/X1802),IF(BZ1802=1,IF(AP1802&lt;=0,0,CD1802*MAX(1,IF(H1802&gt;0,AP1802/H1802,1))),IF(R1802&gt;0,AQ1802/R1802,0))/MAX(0.1,N(Parameter!$M$21)))</f>
        <v>0</v>
      </c>
      <c r="AS1802" s="50" t="n">
        <f aca="false">AR1802*CB1802</f>
        <v>0</v>
      </c>
      <c r="AT1802" s="51" t="n">
        <f aca="false">IF(LEFT(Cockpit!$I$5,1)="A",H1802,IF(CH1802=1,(CK1802+CI1802)/2,IF(LEFT(Cockpit!$I$5,1)="B",(CK1802+AV1802)/2,MAX((CK1802+AV1802)/2,H1802))))</f>
        <v>0</v>
      </c>
      <c r="AU1802" s="50" t="n">
        <f aca="false">AT1802*G1802</f>
        <v>0</v>
      </c>
      <c r="AV1802" s="50" t="n">
        <f aca="false">ROUNDUP(CK1802+MAX(CL1802,2*(J1802/IF(CG1802&gt;0,CG1802,MAX(0.1,N(Cockpit!$I$6)))-CK1802)),0)</f>
        <v>0</v>
      </c>
      <c r="AW1802" s="51" t="n">
        <f aca="false">IF(AS1802&gt;0,J1802/AS1802,-1)</f>
        <v>-1</v>
      </c>
      <c r="AX1802" s="51" t="str">
        <f aca="false">IF(AND(OR(CF1802="L1",CF1802="L23",CF1802="LIFT"),AS1802&gt;0),SUMIFS($AS$7:$AS$1843,$CF$7:$CF$1843,CF1802,$AW$7:$AW$1843,"&gt;"&amp;AW1802)+SUMIFS($AS$7:$AS$1843,$CF$7:$CF$1843,CF1802,$AW$7:$AW$1843,AW1802,$BW$7:$BW$1843,"&lt;="&amp;BW1802),"")</f>
        <v/>
      </c>
      <c r="AY1802" s="58" t="n">
        <f aca="false">IF(AX1802="",0,MAX(0,MIN(1,(IF(CF1802="L1",Parameter!$H$5,IF(CF1802="L23",Parameter!$H$6+Parameter!$H$7,Parameter!$H$5+Parameter!$H$6+Parameter!$H$7))-(AX1802-AS1802))/AS1802)))</f>
        <v>0</v>
      </c>
      <c r="AZ1802" s="50" t="n">
        <f aca="false">IF(LEFT(Cockpit!$O$5,1)="A",H1802,IF(Parameter!$E$30="MAX-Bestand",IF(CH1802=1,CI1802,IF(LEFT(Cockpit!$O$5,1)="B",BF1802,MAX(BF1802,H1802))),ROUNDUP(BD1802,0)))</f>
        <v>0</v>
      </c>
      <c r="BA1802" s="50" t="n">
        <f aca="false">IF(BZ1802=1,0,ROUNDUP(AZ1802/BY1802,0))</f>
        <v>0</v>
      </c>
      <c r="BB1802" s="52" t="n">
        <f aca="false">IF(CQ1802&gt;0,CQ1802*MAX(1,AZ1802/X1802),IF(BZ1802=1,IF(AZ1802&lt;=0,0,CD1802*MAX(1,IF(H1802&gt;0,AZ1802/H1802,1))),IF(R1802&gt;0,BA1802/R1802,0))/MAX(0.1,N(Parameter!$M$21)))</f>
        <v>0</v>
      </c>
      <c r="BC1802" s="50" t="n">
        <f aca="false">BB1802*CB1802</f>
        <v>0</v>
      </c>
      <c r="BD1802" s="51" t="n">
        <f aca="false">IF(LEFT(Cockpit!$O$5,1)="A",H1802,IF(CH1802=1,(CK1802+CI1802)/2,IF(LEFT(Cockpit!$O$5,1)="B",(CK1802+BF1802)/2,MAX((CK1802+BF1802)/2,H1802))))</f>
        <v>0</v>
      </c>
      <c r="BE1802" s="50" t="n">
        <f aca="false">BD1802*G1802</f>
        <v>0</v>
      </c>
      <c r="BF1802" s="50" t="n">
        <f aca="false">ROUNDUP(CK1802+MAX(CL1802,2*(J1802/IF(CG1802&gt;0,CG1802,MAX(0.1,N(Cockpit!$O$6)))-CK1802)),0)</f>
        <v>0</v>
      </c>
      <c r="BG1802" s="51" t="n">
        <f aca="false">IF(BC1802&gt;0,J1802/BC1802,-1)</f>
        <v>-1</v>
      </c>
      <c r="BH1802" s="51" t="str">
        <f aca="false">IF(AND(OR(CF1802="L1",CF1802="L23",CF1802="LIFT"),BC1802&gt;0),SUMIFS($BC$7:$BC$1843,$CF$7:$CF$1843,CF1802,$BG$7:$BG$1843,"&gt;"&amp;BG1802)+SUMIFS($BC$7:$BC$1843,$CF$7:$CF$1843,CF1802,$BG$7:$BG$1843,BG1802,$BW$7:$BW$1843,"&lt;="&amp;BW1802),"")</f>
        <v/>
      </c>
      <c r="BI1802" s="58" t="n">
        <f aca="false">IF(BH1802="",0,MAX(0,MIN(1,(IF(CF1802="L1",Parameter!$H$5,IF(CF1802="L23",Parameter!$H$6+Parameter!$H$7,Parameter!$H$5+Parameter!$H$6+Parameter!$H$7))-(BH1802-BC1802))/BC1802)))</f>
        <v>0</v>
      </c>
      <c r="BJ1802" s="48" t="str">
        <f aca="false">IF(AI1802&lt;=0,"",IF(CF1802="Aussen","Aussenlager",IF(CF1802="-","Nicht im Lift",IF(AO1802&gt;=1,"Lift",IF(AO1802&lt;=0,"Aussenlager","teilweise")))))</f>
        <v/>
      </c>
      <c r="BK1802" s="48" t="str">
        <f aca="false">IF(AS1802&lt;=0,"",IF(CF1802="Aussen","Aussenlager",IF(CF1802="-","Nicht im Lift",IF(AY1802&gt;=1,"Lift",IF(AY1802&lt;=0,"Aussenlager","teilweise")))))</f>
        <v/>
      </c>
      <c r="BL1802" s="48" t="str">
        <f aca="false">IF(BC1802&lt;=0,"",IF(CF1802="Aussen","Aussenlager",IF(CF1802="-","Nicht im Lift",IF(BI1802&gt;=1,"Lift",IF(BI1802&lt;=0,"Aussenlager","teilweise")))))</f>
        <v/>
      </c>
      <c r="BM1802" s="48" t="str">
        <f aca="false">IF(A1802="","",IF(BV1802=1,"Neu; ","")&amp;IF(AND(BV1802=0,BQ1802&lt;0),"negativer Bestand (Export "&amp;BQ1802&amp;"); ","")&amp;IF(J1802&lt;=0,"Kein Verbrauch; ","")&amp;IF(CQ1802&gt;0,"Lift "&amp;W1802&amp;" lt. Liftbericht (Fach "&amp;X1802&amp;" Stk); ",IF(CA1802=1,"Gebinde geschätzt ("&amp;T1802&amp;"); ",IF(BZ1802=1,"Lose – Tablare geschätzt; ","")))&amp;IF(H1802&gt;AV1802,"Überbestand "&amp;ROUND(H1802-AV1802,0)&amp;" Stk / CHF "&amp;ROUND((H1802-AV1802)*G1802,0)&amp;"; ","")&amp;IF(AND(CH1802=1,CI1802&lt;CJ1802),"MAX &lt; MB+LG; ","")&amp;IF(AND(CP1802&gt;0,CO1802*10&gt;CP1802),"zu hoch für Tablar; ","")&amp;IF(AND(BV1802=0,OR(CH1802=1,AA1802&lt;&gt;"",U1802&lt;&gt;"",V1802&lt;&gt;"",AB1802&lt;&gt;"")),"manuell übersteuert; ","")&amp;IF(AND(BZ1802=0,R1802=0),"Gebinde unbekannt / Stellmass fehlt; ","")&amp;IF(AND(BZ1802=0,N(V1802)&lt;=0,N(Q1802)&lt;=0),"Menge pro Gebinde fehlt (Ist = 1 Gebinde); ","")&amp;BU1802)</f>
        <v/>
      </c>
      <c r="BN1802" s="48"/>
      <c r="BO1802" s="48"/>
      <c r="BP1802" s="55"/>
      <c r="BQ1802" s="50" t="n">
        <f aca="false">N('Neue Artikel'!$D$63)</f>
        <v>0</v>
      </c>
      <c r="BR1802" s="50" t="n">
        <v>0</v>
      </c>
      <c r="BS1802" s="49" t="n">
        <v>0</v>
      </c>
      <c r="BT1802" s="50" t="n">
        <f aca="false">N('Neue Artikel'!$C$63)/Parameter!$B$18</f>
        <v>0</v>
      </c>
      <c r="BU1802" s="48"/>
      <c r="BV1802" s="53" t="n">
        <v>1</v>
      </c>
      <c r="BW1802" s="53" t="n">
        <v>1802</v>
      </c>
      <c r="BX1802" s="48" t="str">
        <f aca="false">IF(U1802&lt;&gt;"",UPPER(TRIM(U1802)),IF(CA1802=1,UPPER(VLOOKUP(T1802,Parameter!$I$27:$K$29,2,0)),IF(P1802="","LOSE",P1802)))</f>
        <v>LOSE</v>
      </c>
      <c r="BY1802" s="50" t="n">
        <f aca="false">IF(BX1802="LOSE",1,IF(N(V1802)&gt;0,V1802,IF(CA1802=1,MAX(1,N(VLOOKUP(T1802,Parameter!$I$27:$K$29,3,0)),H1802,N(N1802)),IF(N(Q1802)&gt;0,Q1802,MAX(1,H1802)))))</f>
        <v>1</v>
      </c>
      <c r="BZ1802" s="53" t="n">
        <f aca="false">IF(BX1802="LOSE",1,0)</f>
        <v>1</v>
      </c>
      <c r="CA1802" s="53" t="n">
        <f aca="false">IF(AND(U1802="",OR(P1802="",P1802="LOSE"),T1802&lt;&gt;"",N(S1802)&lt;=0,ISNUMBER(MATCH(T1802,Parameter!$I$27:$I$29,0))),1,0)</f>
        <v>0</v>
      </c>
      <c r="CB1802" s="53" t="n">
        <f aca="false">IF(CQ1802&gt;0,INDEX(Parameter!$H$5:$H$7,W1802)/INDEX(Parameter!$E$5:$E$7,W1802),IF(AND(BZ1802=0,N(IFERROR(VLOOKUP(BX1802,'Gebinde-Kategorie'!$A$5:$N$45,14,0),0))&gt;0),VLOOKUP(BX1802,'Gebinde-Kategorie'!$A$5:$N$45,14,0)*10+Parameter!$M$23,Parameter!$M$24))</f>
        <v>235</v>
      </c>
      <c r="CC1802" s="48" t="str">
        <f aca="false">IF(AND(Parameter!$B$19="Ja",E1802&lt;&gt;"",ISNUMBER(MATCH(E1802,Parameter!$I$35:$I$52,0))),VLOOKUP(E1802,Parameter!$I$35:$J$52,2,0),IFERROR(VLOOKUP(D1802,Parameter!$A$35:$C$64,2,0),"Nein"))</f>
        <v>2+3</v>
      </c>
      <c r="CD1802" s="52" t="n">
        <f aca="false">IF(BZ1802=0,0,IF(N(S1802)&gt;0,S1802,IFERROR(VLOOKUP(D1802,Parameter!$A$35:$C$64,3,0)+0,0)))</f>
        <v>0.15</v>
      </c>
      <c r="CE1802" s="48" t="str">
        <f aca="false">IF(AA1802&lt;&gt;"",AA1802,Z1802)</f>
        <v/>
      </c>
      <c r="CF1802" s="48" t="str">
        <f aca="false">IF(OR(CE1802=1,CE1802=2,CE1802=3),IF(Parameter!$E$27="Ja","LIFT",IF(CE1802=1,"L1","L23")),IF(CE1802="Aussen","Aussen","-"))</f>
        <v>-</v>
      </c>
      <c r="CG1802" s="59" t="n">
        <f aca="false">IF(N(AB1802)&gt;0,AB1802,0)</f>
        <v>0</v>
      </c>
      <c r="CH1802" s="53" t="n">
        <f aca="false">IF(ISNUMBER(AE1802),1,0)</f>
        <v>0</v>
      </c>
      <c r="CI1802" s="50" t="n">
        <f aca="false">N(AE1802)</f>
        <v>0</v>
      </c>
      <c r="CJ1802" s="50" t="n">
        <f aca="false">N(M1802)+N(N1802)</f>
        <v>0</v>
      </c>
      <c r="CK1802" s="50" t="n">
        <f aca="false">N(M1802)</f>
        <v>0</v>
      </c>
      <c r="CL1802" s="50" t="n">
        <f aca="false">N(N1802)</f>
        <v>0</v>
      </c>
      <c r="CM1802" s="50" t="n">
        <f aca="false">ROUNDUP(H1802/BY1802,0)</f>
        <v>0</v>
      </c>
      <c r="CN1802" s="50" t="n">
        <f aca="false">ROUNDUP(CI1802/BY1802,0)</f>
        <v>0</v>
      </c>
      <c r="CO1802" s="53" t="n">
        <f aca="false">IF(BZ1802=1,0,IFERROR(VLOOKUP(BX1802,'Gebinde-Kategorie'!$A$5:$N$45,5,0)+0,0))</f>
        <v>0</v>
      </c>
      <c r="CP1802" s="53" t="n">
        <f aca="false">IFERROR(IF(OR(CE1802=1,CE1802=2,CE1802=3),N(INDEX(Parameter!$I$5:$I$7,CE1802)),0),0)</f>
        <v>0</v>
      </c>
      <c r="CQ1802" s="52" t="n">
        <f aca="false">IF(AND(Parameter!$B$21="Ja",ISNUMBER(W1802),N(X1802)&gt;0),IFERROR(N(INDEX(Parameter!$L$5:$L$7,W1802))*INDEX(Parameter!$E$5:$E$7,W1802)*X1802/SUMIFS($X$7:$X$1843,$W$7:$W$1843,W1802),0),0)</f>
        <v>0</v>
      </c>
    </row>
    <row r="1803" customFormat="false" ht="15" hidden="false" customHeight="false" outlineLevel="0" collapsed="false">
      <c r="A1803" s="48" t="str">
        <f aca="false">IF('Neue Artikel'!$A$64="","",'Neue Artikel'!$A$64&amp;"")</f>
        <v/>
      </c>
      <c r="B1803" s="48" t="str">
        <f aca="false">'Neue Artikel'!$B$64&amp;""</f>
        <v/>
      </c>
      <c r="C1803" s="48"/>
      <c r="D1803" s="48" t="s">
        <v>3024</v>
      </c>
      <c r="E1803" s="48"/>
      <c r="F1803" s="48"/>
      <c r="G1803" s="49" t="n">
        <f aca="false">N('Neue Artikel'!$G$64)</f>
        <v>0</v>
      </c>
      <c r="H1803" s="50" t="n">
        <f aca="false">MAX(0,IF(AND(Parameter!$B$21="Ja",ISNUMBER(Y1803)),Y1803,IF(Parameter!$B$20="Jahresanfang 2025 + Export",BR1803+BQ1803,BQ1803)))</f>
        <v>0</v>
      </c>
      <c r="I1803" s="50" t="n">
        <f aca="false">H1803*G1803</f>
        <v>0</v>
      </c>
      <c r="J1803" s="50" t="n">
        <f aca="false">BT1803*Parameter!$B$18</f>
        <v>0</v>
      </c>
      <c r="K1803" s="51"/>
      <c r="L1803" s="52"/>
      <c r="M1803" s="50" t="n">
        <f aca="false">N('Neue Artikel'!$E$64)</f>
        <v>0</v>
      </c>
      <c r="N1803" s="50" t="n">
        <f aca="false">N('Neue Artikel'!$F$64)</f>
        <v>0</v>
      </c>
      <c r="O1803" s="53"/>
      <c r="P1803" s="48" t="str">
        <f aca="false">IF('Neue Artikel'!$H$64="","LOSE",UPPER(TRIM('Neue Artikel'!$H$64)))</f>
        <v>LOSE</v>
      </c>
      <c r="Q1803" s="50" t="n">
        <f aca="false">N('Neue Artikel'!$I$64)</f>
        <v>0</v>
      </c>
      <c r="R1803" s="53" t="n">
        <f aca="false">IF(BZ1803=1,0,IFERROR(VLOOKUP(BX1803,'Gebinde-Kategorie'!$A$5:$N$45,13,0)+0,0))</f>
        <v>0</v>
      </c>
      <c r="S1803" s="54"/>
      <c r="T1803" s="55"/>
      <c r="U1803" s="55"/>
      <c r="V1803" s="55"/>
      <c r="W1803" s="48"/>
      <c r="X1803" s="50"/>
      <c r="Y1803" s="50"/>
      <c r="Z1803" s="48" t="str">
        <f aca="false">IF(A1803="","",IF(AND(Parameter!$B$21="Ja",ISNUMBER(W1803)),W1803,IF(CC1803="2+3",IF(ISNUMBER(SEARCH("grosser Artikel",BU1803)),2,IFERROR(VLOOKUP(BX1803,Parameter!$F$35:$G$64,2,0),2)),IF(OR(CC1803="Nein",CC1803=""),"-",CC1803))))</f>
        <v/>
      </c>
      <c r="AA1803" s="48" t="str">
        <f aca="false">IF('Neue Artikel'!$J$64="","",'Neue Artikel'!$J$64)</f>
        <v/>
      </c>
      <c r="AB1803" s="56"/>
      <c r="AC1803" s="50" t="n">
        <f aca="false">AV1803</f>
        <v>0</v>
      </c>
      <c r="AD1803" s="50" t="n">
        <f aca="false">MAX(AV1803,H1803)</f>
        <v>0</v>
      </c>
      <c r="AE1803" s="57"/>
      <c r="AF1803" s="50" t="n">
        <f aca="false">IF(LEFT(Cockpit!$C$5,1)="A",H1803,IF(Parameter!$E$30="MAX-Bestand",IF(CH1803=1,CI1803,IF(LEFT(Cockpit!$C$5,1)="B",AL1803,MAX(AL1803,H1803))),ROUNDUP(AJ1803,0)))</f>
        <v>0</v>
      </c>
      <c r="AG1803" s="50" t="n">
        <f aca="false">IF(BZ1803=1,0,ROUNDUP(AF1803/BY1803,0))</f>
        <v>0</v>
      </c>
      <c r="AH1803" s="52" t="n">
        <f aca="false">IF(CQ1803&gt;0,CQ1803*MAX(1,AF1803/X1803),IF(BZ1803=1,IF(AF1803&lt;=0,0,CD1803*MAX(1,IF(H1803&gt;0,AF1803/H1803,1))),IF(R1803&gt;0,AG1803/R1803,0))/MAX(0.1,N(Parameter!$M$21)))</f>
        <v>0</v>
      </c>
      <c r="AI1803" s="50" t="n">
        <f aca="false">AH1803*CB1803</f>
        <v>0</v>
      </c>
      <c r="AJ1803" s="51" t="n">
        <f aca="false">IF(LEFT(Cockpit!$C$5,1)="A",H1803,IF(CH1803=1,(CK1803+CI1803)/2,IF(LEFT(Cockpit!$C$5,1)="B",(CK1803+AL1803)/2,MAX((CK1803+AL1803)/2,H1803))))</f>
        <v>0</v>
      </c>
      <c r="AK1803" s="50" t="n">
        <f aca="false">AJ1803*G1803</f>
        <v>0</v>
      </c>
      <c r="AL1803" s="50" t="n">
        <f aca="false">ROUNDUP(CK1803+MAX(CL1803,2*(J1803/IF(CG1803&gt;0,CG1803,MAX(0.1,N(Cockpit!$C$6)))-CK1803)),0)</f>
        <v>0</v>
      </c>
      <c r="AM1803" s="51" t="n">
        <f aca="false">IF(AI1803&gt;0,J1803/AI1803,-1)</f>
        <v>-1</v>
      </c>
      <c r="AN1803" s="51" t="str">
        <f aca="false">IF(AND(OR(CF1803="L1",CF1803="L23",CF1803="LIFT"),AI1803&gt;0),SUMIFS($AI$7:$AI$1843,$CF$7:$CF$1843,CF1803,$AM$7:$AM$1843,"&gt;"&amp;AM1803)+SUMIFS($AI$7:$AI$1843,$CF$7:$CF$1843,CF1803,$AM$7:$AM$1843,AM1803,$BW$7:$BW$1843,"&lt;="&amp;BW1803),"")</f>
        <v/>
      </c>
      <c r="AO1803" s="58" t="n">
        <f aca="false">IF(AN1803="",0,MAX(0,MIN(1,(IF(CF1803="L1",Parameter!$H$5,IF(CF1803="L23",Parameter!$H$6+Parameter!$H$7,Parameter!$H$5+Parameter!$H$6+Parameter!$H$7))-(AN1803-AI1803))/AI1803)))</f>
        <v>0</v>
      </c>
      <c r="AP1803" s="50" t="n">
        <f aca="false">IF(LEFT(Cockpit!$I$5,1)="A",H1803,IF(Parameter!$E$30="MAX-Bestand",IF(CH1803=1,CI1803,IF(LEFT(Cockpit!$I$5,1)="B",AV1803,MAX(AV1803,H1803))),ROUNDUP(AT1803,0)))</f>
        <v>0</v>
      </c>
      <c r="AQ1803" s="50" t="n">
        <f aca="false">IF(BZ1803=1,0,ROUNDUP(AP1803/BY1803,0))</f>
        <v>0</v>
      </c>
      <c r="AR1803" s="52" t="n">
        <f aca="false">IF(CQ1803&gt;0,CQ1803*MAX(1,AP1803/X1803),IF(BZ1803=1,IF(AP1803&lt;=0,0,CD1803*MAX(1,IF(H1803&gt;0,AP1803/H1803,1))),IF(R1803&gt;0,AQ1803/R1803,0))/MAX(0.1,N(Parameter!$M$21)))</f>
        <v>0</v>
      </c>
      <c r="AS1803" s="50" t="n">
        <f aca="false">AR1803*CB1803</f>
        <v>0</v>
      </c>
      <c r="AT1803" s="51" t="n">
        <f aca="false">IF(LEFT(Cockpit!$I$5,1)="A",H1803,IF(CH1803=1,(CK1803+CI1803)/2,IF(LEFT(Cockpit!$I$5,1)="B",(CK1803+AV1803)/2,MAX((CK1803+AV1803)/2,H1803))))</f>
        <v>0</v>
      </c>
      <c r="AU1803" s="50" t="n">
        <f aca="false">AT1803*G1803</f>
        <v>0</v>
      </c>
      <c r="AV1803" s="50" t="n">
        <f aca="false">ROUNDUP(CK1803+MAX(CL1803,2*(J1803/IF(CG1803&gt;0,CG1803,MAX(0.1,N(Cockpit!$I$6)))-CK1803)),0)</f>
        <v>0</v>
      </c>
      <c r="AW1803" s="51" t="n">
        <f aca="false">IF(AS1803&gt;0,J1803/AS1803,-1)</f>
        <v>-1</v>
      </c>
      <c r="AX1803" s="51" t="str">
        <f aca="false">IF(AND(OR(CF1803="L1",CF1803="L23",CF1803="LIFT"),AS1803&gt;0),SUMIFS($AS$7:$AS$1843,$CF$7:$CF$1843,CF1803,$AW$7:$AW$1843,"&gt;"&amp;AW1803)+SUMIFS($AS$7:$AS$1843,$CF$7:$CF$1843,CF1803,$AW$7:$AW$1843,AW1803,$BW$7:$BW$1843,"&lt;="&amp;BW1803),"")</f>
        <v/>
      </c>
      <c r="AY1803" s="58" t="n">
        <f aca="false">IF(AX1803="",0,MAX(0,MIN(1,(IF(CF1803="L1",Parameter!$H$5,IF(CF1803="L23",Parameter!$H$6+Parameter!$H$7,Parameter!$H$5+Parameter!$H$6+Parameter!$H$7))-(AX1803-AS1803))/AS1803)))</f>
        <v>0</v>
      </c>
      <c r="AZ1803" s="50" t="n">
        <f aca="false">IF(LEFT(Cockpit!$O$5,1)="A",H1803,IF(Parameter!$E$30="MAX-Bestand",IF(CH1803=1,CI1803,IF(LEFT(Cockpit!$O$5,1)="B",BF1803,MAX(BF1803,H1803))),ROUNDUP(BD1803,0)))</f>
        <v>0</v>
      </c>
      <c r="BA1803" s="50" t="n">
        <f aca="false">IF(BZ1803=1,0,ROUNDUP(AZ1803/BY1803,0))</f>
        <v>0</v>
      </c>
      <c r="BB1803" s="52" t="n">
        <f aca="false">IF(CQ1803&gt;0,CQ1803*MAX(1,AZ1803/X1803),IF(BZ1803=1,IF(AZ1803&lt;=0,0,CD1803*MAX(1,IF(H1803&gt;0,AZ1803/H1803,1))),IF(R1803&gt;0,BA1803/R1803,0))/MAX(0.1,N(Parameter!$M$21)))</f>
        <v>0</v>
      </c>
      <c r="BC1803" s="50" t="n">
        <f aca="false">BB1803*CB1803</f>
        <v>0</v>
      </c>
      <c r="BD1803" s="51" t="n">
        <f aca="false">IF(LEFT(Cockpit!$O$5,1)="A",H1803,IF(CH1803=1,(CK1803+CI1803)/2,IF(LEFT(Cockpit!$O$5,1)="B",(CK1803+BF1803)/2,MAX((CK1803+BF1803)/2,H1803))))</f>
        <v>0</v>
      </c>
      <c r="BE1803" s="50" t="n">
        <f aca="false">BD1803*G1803</f>
        <v>0</v>
      </c>
      <c r="BF1803" s="50" t="n">
        <f aca="false">ROUNDUP(CK1803+MAX(CL1803,2*(J1803/IF(CG1803&gt;0,CG1803,MAX(0.1,N(Cockpit!$O$6)))-CK1803)),0)</f>
        <v>0</v>
      </c>
      <c r="BG1803" s="51" t="n">
        <f aca="false">IF(BC1803&gt;0,J1803/BC1803,-1)</f>
        <v>-1</v>
      </c>
      <c r="BH1803" s="51" t="str">
        <f aca="false">IF(AND(OR(CF1803="L1",CF1803="L23",CF1803="LIFT"),BC1803&gt;0),SUMIFS($BC$7:$BC$1843,$CF$7:$CF$1843,CF1803,$BG$7:$BG$1843,"&gt;"&amp;BG1803)+SUMIFS($BC$7:$BC$1843,$CF$7:$CF$1843,CF1803,$BG$7:$BG$1843,BG1803,$BW$7:$BW$1843,"&lt;="&amp;BW1803),"")</f>
        <v/>
      </c>
      <c r="BI1803" s="58" t="n">
        <f aca="false">IF(BH1803="",0,MAX(0,MIN(1,(IF(CF1803="L1",Parameter!$H$5,IF(CF1803="L23",Parameter!$H$6+Parameter!$H$7,Parameter!$H$5+Parameter!$H$6+Parameter!$H$7))-(BH1803-BC1803))/BC1803)))</f>
        <v>0</v>
      </c>
      <c r="BJ1803" s="48" t="str">
        <f aca="false">IF(AI1803&lt;=0,"",IF(CF1803="Aussen","Aussenlager",IF(CF1803="-","Nicht im Lift",IF(AO1803&gt;=1,"Lift",IF(AO1803&lt;=0,"Aussenlager","teilweise")))))</f>
        <v/>
      </c>
      <c r="BK1803" s="48" t="str">
        <f aca="false">IF(AS1803&lt;=0,"",IF(CF1803="Aussen","Aussenlager",IF(CF1803="-","Nicht im Lift",IF(AY1803&gt;=1,"Lift",IF(AY1803&lt;=0,"Aussenlager","teilweise")))))</f>
        <v/>
      </c>
      <c r="BL1803" s="48" t="str">
        <f aca="false">IF(BC1803&lt;=0,"",IF(CF1803="Aussen","Aussenlager",IF(CF1803="-","Nicht im Lift",IF(BI1803&gt;=1,"Lift",IF(BI1803&lt;=0,"Aussenlager","teilweise")))))</f>
        <v/>
      </c>
      <c r="BM1803" s="48" t="str">
        <f aca="false">IF(A1803="","",IF(BV1803=1,"Neu; ","")&amp;IF(AND(BV1803=0,BQ1803&lt;0),"negativer Bestand (Export "&amp;BQ1803&amp;"); ","")&amp;IF(J1803&lt;=0,"Kein Verbrauch; ","")&amp;IF(CQ1803&gt;0,"Lift "&amp;W1803&amp;" lt. Liftbericht (Fach "&amp;X1803&amp;" Stk); ",IF(CA1803=1,"Gebinde geschätzt ("&amp;T1803&amp;"); ",IF(BZ1803=1,"Lose – Tablare geschätzt; ","")))&amp;IF(H1803&gt;AV1803,"Überbestand "&amp;ROUND(H1803-AV1803,0)&amp;" Stk / CHF "&amp;ROUND((H1803-AV1803)*G1803,0)&amp;"; ","")&amp;IF(AND(CH1803=1,CI1803&lt;CJ1803),"MAX &lt; MB+LG; ","")&amp;IF(AND(CP1803&gt;0,CO1803*10&gt;CP1803),"zu hoch für Tablar; ","")&amp;IF(AND(BV1803=0,OR(CH1803=1,AA1803&lt;&gt;"",U1803&lt;&gt;"",V1803&lt;&gt;"",AB1803&lt;&gt;"")),"manuell übersteuert; ","")&amp;IF(AND(BZ1803=0,R1803=0),"Gebinde unbekannt / Stellmass fehlt; ","")&amp;IF(AND(BZ1803=0,N(V1803)&lt;=0,N(Q1803)&lt;=0),"Menge pro Gebinde fehlt (Ist = 1 Gebinde); ","")&amp;BU1803)</f>
        <v/>
      </c>
      <c r="BN1803" s="48"/>
      <c r="BO1803" s="48"/>
      <c r="BP1803" s="55"/>
      <c r="BQ1803" s="50" t="n">
        <f aca="false">N('Neue Artikel'!$D$64)</f>
        <v>0</v>
      </c>
      <c r="BR1803" s="50" t="n">
        <v>0</v>
      </c>
      <c r="BS1803" s="49" t="n">
        <v>0</v>
      </c>
      <c r="BT1803" s="50" t="n">
        <f aca="false">N('Neue Artikel'!$C$64)/Parameter!$B$18</f>
        <v>0</v>
      </c>
      <c r="BU1803" s="48"/>
      <c r="BV1803" s="53" t="n">
        <v>1</v>
      </c>
      <c r="BW1803" s="53" t="n">
        <v>1803</v>
      </c>
      <c r="BX1803" s="48" t="str">
        <f aca="false">IF(U1803&lt;&gt;"",UPPER(TRIM(U1803)),IF(CA1803=1,UPPER(VLOOKUP(T1803,Parameter!$I$27:$K$29,2,0)),IF(P1803="","LOSE",P1803)))</f>
        <v>LOSE</v>
      </c>
      <c r="BY1803" s="50" t="n">
        <f aca="false">IF(BX1803="LOSE",1,IF(N(V1803)&gt;0,V1803,IF(CA1803=1,MAX(1,N(VLOOKUP(T1803,Parameter!$I$27:$K$29,3,0)),H1803,N(N1803)),IF(N(Q1803)&gt;0,Q1803,MAX(1,H1803)))))</f>
        <v>1</v>
      </c>
      <c r="BZ1803" s="53" t="n">
        <f aca="false">IF(BX1803="LOSE",1,0)</f>
        <v>1</v>
      </c>
      <c r="CA1803" s="53" t="n">
        <f aca="false">IF(AND(U1803="",OR(P1803="",P1803="LOSE"),T1803&lt;&gt;"",N(S1803)&lt;=0,ISNUMBER(MATCH(T1803,Parameter!$I$27:$I$29,0))),1,0)</f>
        <v>0</v>
      </c>
      <c r="CB1803" s="53" t="n">
        <f aca="false">IF(CQ1803&gt;0,INDEX(Parameter!$H$5:$H$7,W1803)/INDEX(Parameter!$E$5:$E$7,W1803),IF(AND(BZ1803=0,N(IFERROR(VLOOKUP(BX1803,'Gebinde-Kategorie'!$A$5:$N$45,14,0),0))&gt;0),VLOOKUP(BX1803,'Gebinde-Kategorie'!$A$5:$N$45,14,0)*10+Parameter!$M$23,Parameter!$M$24))</f>
        <v>235</v>
      </c>
      <c r="CC1803" s="48" t="str">
        <f aca="false">IF(AND(Parameter!$B$19="Ja",E1803&lt;&gt;"",ISNUMBER(MATCH(E1803,Parameter!$I$35:$I$52,0))),VLOOKUP(E1803,Parameter!$I$35:$J$52,2,0),IFERROR(VLOOKUP(D1803,Parameter!$A$35:$C$64,2,0),"Nein"))</f>
        <v>2+3</v>
      </c>
      <c r="CD1803" s="52" t="n">
        <f aca="false">IF(BZ1803=0,0,IF(N(S1803)&gt;0,S1803,IFERROR(VLOOKUP(D1803,Parameter!$A$35:$C$64,3,0)+0,0)))</f>
        <v>0.15</v>
      </c>
      <c r="CE1803" s="48" t="str">
        <f aca="false">IF(AA1803&lt;&gt;"",AA1803,Z1803)</f>
        <v/>
      </c>
      <c r="CF1803" s="48" t="str">
        <f aca="false">IF(OR(CE1803=1,CE1803=2,CE1803=3),IF(Parameter!$E$27="Ja","LIFT",IF(CE1803=1,"L1","L23")),IF(CE1803="Aussen","Aussen","-"))</f>
        <v>-</v>
      </c>
      <c r="CG1803" s="59" t="n">
        <f aca="false">IF(N(AB1803)&gt;0,AB1803,0)</f>
        <v>0</v>
      </c>
      <c r="CH1803" s="53" t="n">
        <f aca="false">IF(ISNUMBER(AE1803),1,0)</f>
        <v>0</v>
      </c>
      <c r="CI1803" s="50" t="n">
        <f aca="false">N(AE1803)</f>
        <v>0</v>
      </c>
      <c r="CJ1803" s="50" t="n">
        <f aca="false">N(M1803)+N(N1803)</f>
        <v>0</v>
      </c>
      <c r="CK1803" s="50" t="n">
        <f aca="false">N(M1803)</f>
        <v>0</v>
      </c>
      <c r="CL1803" s="50" t="n">
        <f aca="false">N(N1803)</f>
        <v>0</v>
      </c>
      <c r="CM1803" s="50" t="n">
        <f aca="false">ROUNDUP(H1803/BY1803,0)</f>
        <v>0</v>
      </c>
      <c r="CN1803" s="50" t="n">
        <f aca="false">ROUNDUP(CI1803/BY1803,0)</f>
        <v>0</v>
      </c>
      <c r="CO1803" s="53" t="n">
        <f aca="false">IF(BZ1803=1,0,IFERROR(VLOOKUP(BX1803,'Gebinde-Kategorie'!$A$5:$N$45,5,0)+0,0))</f>
        <v>0</v>
      </c>
      <c r="CP1803" s="53" t="n">
        <f aca="false">IFERROR(IF(OR(CE1803=1,CE1803=2,CE1803=3),N(INDEX(Parameter!$I$5:$I$7,CE1803)),0),0)</f>
        <v>0</v>
      </c>
      <c r="CQ1803" s="52" t="n">
        <f aca="false">IF(AND(Parameter!$B$21="Ja",ISNUMBER(W1803),N(X1803)&gt;0),IFERROR(N(INDEX(Parameter!$L$5:$L$7,W1803))*INDEX(Parameter!$E$5:$E$7,W1803)*X1803/SUMIFS($X$7:$X$1843,$W$7:$W$1843,W1803),0),0)</f>
        <v>0</v>
      </c>
    </row>
    <row r="1804" customFormat="false" ht="15" hidden="false" customHeight="false" outlineLevel="0" collapsed="false">
      <c r="A1804" s="48" t="str">
        <f aca="false">IF('Neue Artikel'!$A$65="","",'Neue Artikel'!$A$65&amp;"")</f>
        <v/>
      </c>
      <c r="B1804" s="48" t="str">
        <f aca="false">'Neue Artikel'!$B$65&amp;""</f>
        <v/>
      </c>
      <c r="C1804" s="48"/>
      <c r="D1804" s="48" t="s">
        <v>3024</v>
      </c>
      <c r="E1804" s="48"/>
      <c r="F1804" s="48"/>
      <c r="G1804" s="49" t="n">
        <f aca="false">N('Neue Artikel'!$G$65)</f>
        <v>0</v>
      </c>
      <c r="H1804" s="50" t="n">
        <f aca="false">MAX(0,IF(AND(Parameter!$B$21="Ja",ISNUMBER(Y1804)),Y1804,IF(Parameter!$B$20="Jahresanfang 2025 + Export",BR1804+BQ1804,BQ1804)))</f>
        <v>0</v>
      </c>
      <c r="I1804" s="50" t="n">
        <f aca="false">H1804*G1804</f>
        <v>0</v>
      </c>
      <c r="J1804" s="50" t="n">
        <f aca="false">BT1804*Parameter!$B$18</f>
        <v>0</v>
      </c>
      <c r="K1804" s="51"/>
      <c r="L1804" s="52"/>
      <c r="M1804" s="50" t="n">
        <f aca="false">N('Neue Artikel'!$E$65)</f>
        <v>0</v>
      </c>
      <c r="N1804" s="50" t="n">
        <f aca="false">N('Neue Artikel'!$F$65)</f>
        <v>0</v>
      </c>
      <c r="O1804" s="53"/>
      <c r="P1804" s="48" t="str">
        <f aca="false">IF('Neue Artikel'!$H$65="","LOSE",UPPER(TRIM('Neue Artikel'!$H$65)))</f>
        <v>LOSE</v>
      </c>
      <c r="Q1804" s="50" t="n">
        <f aca="false">N('Neue Artikel'!$I$65)</f>
        <v>0</v>
      </c>
      <c r="R1804" s="53" t="n">
        <f aca="false">IF(BZ1804=1,0,IFERROR(VLOOKUP(BX1804,'Gebinde-Kategorie'!$A$5:$N$45,13,0)+0,0))</f>
        <v>0</v>
      </c>
      <c r="S1804" s="54"/>
      <c r="T1804" s="55"/>
      <c r="U1804" s="55"/>
      <c r="V1804" s="55"/>
      <c r="W1804" s="48"/>
      <c r="X1804" s="50"/>
      <c r="Y1804" s="50"/>
      <c r="Z1804" s="48" t="str">
        <f aca="false">IF(A1804="","",IF(AND(Parameter!$B$21="Ja",ISNUMBER(W1804)),W1804,IF(CC1804="2+3",IF(ISNUMBER(SEARCH("grosser Artikel",BU1804)),2,IFERROR(VLOOKUP(BX1804,Parameter!$F$35:$G$64,2,0),2)),IF(OR(CC1804="Nein",CC1804=""),"-",CC1804))))</f>
        <v/>
      </c>
      <c r="AA1804" s="48" t="str">
        <f aca="false">IF('Neue Artikel'!$J$65="","",'Neue Artikel'!$J$65)</f>
        <v/>
      </c>
      <c r="AB1804" s="56"/>
      <c r="AC1804" s="50" t="n">
        <f aca="false">AV1804</f>
        <v>0</v>
      </c>
      <c r="AD1804" s="50" t="n">
        <f aca="false">MAX(AV1804,H1804)</f>
        <v>0</v>
      </c>
      <c r="AE1804" s="57"/>
      <c r="AF1804" s="50" t="n">
        <f aca="false">IF(LEFT(Cockpit!$C$5,1)="A",H1804,IF(Parameter!$E$30="MAX-Bestand",IF(CH1804=1,CI1804,IF(LEFT(Cockpit!$C$5,1)="B",AL1804,MAX(AL1804,H1804))),ROUNDUP(AJ1804,0)))</f>
        <v>0</v>
      </c>
      <c r="AG1804" s="50" t="n">
        <f aca="false">IF(BZ1804=1,0,ROUNDUP(AF1804/BY1804,0))</f>
        <v>0</v>
      </c>
      <c r="AH1804" s="52" t="n">
        <f aca="false">IF(CQ1804&gt;0,CQ1804*MAX(1,AF1804/X1804),IF(BZ1804=1,IF(AF1804&lt;=0,0,CD1804*MAX(1,IF(H1804&gt;0,AF1804/H1804,1))),IF(R1804&gt;0,AG1804/R1804,0))/MAX(0.1,N(Parameter!$M$21)))</f>
        <v>0</v>
      </c>
      <c r="AI1804" s="50" t="n">
        <f aca="false">AH1804*CB1804</f>
        <v>0</v>
      </c>
      <c r="AJ1804" s="51" t="n">
        <f aca="false">IF(LEFT(Cockpit!$C$5,1)="A",H1804,IF(CH1804=1,(CK1804+CI1804)/2,IF(LEFT(Cockpit!$C$5,1)="B",(CK1804+AL1804)/2,MAX((CK1804+AL1804)/2,H1804))))</f>
        <v>0</v>
      </c>
      <c r="AK1804" s="50" t="n">
        <f aca="false">AJ1804*G1804</f>
        <v>0</v>
      </c>
      <c r="AL1804" s="50" t="n">
        <f aca="false">ROUNDUP(CK1804+MAX(CL1804,2*(J1804/IF(CG1804&gt;0,CG1804,MAX(0.1,N(Cockpit!$C$6)))-CK1804)),0)</f>
        <v>0</v>
      </c>
      <c r="AM1804" s="51" t="n">
        <f aca="false">IF(AI1804&gt;0,J1804/AI1804,-1)</f>
        <v>-1</v>
      </c>
      <c r="AN1804" s="51" t="str">
        <f aca="false">IF(AND(OR(CF1804="L1",CF1804="L23",CF1804="LIFT"),AI1804&gt;0),SUMIFS($AI$7:$AI$1843,$CF$7:$CF$1843,CF1804,$AM$7:$AM$1843,"&gt;"&amp;AM1804)+SUMIFS($AI$7:$AI$1843,$CF$7:$CF$1843,CF1804,$AM$7:$AM$1843,AM1804,$BW$7:$BW$1843,"&lt;="&amp;BW1804),"")</f>
        <v/>
      </c>
      <c r="AO1804" s="58" t="n">
        <f aca="false">IF(AN1804="",0,MAX(0,MIN(1,(IF(CF1804="L1",Parameter!$H$5,IF(CF1804="L23",Parameter!$H$6+Parameter!$H$7,Parameter!$H$5+Parameter!$H$6+Parameter!$H$7))-(AN1804-AI1804))/AI1804)))</f>
        <v>0</v>
      </c>
      <c r="AP1804" s="50" t="n">
        <f aca="false">IF(LEFT(Cockpit!$I$5,1)="A",H1804,IF(Parameter!$E$30="MAX-Bestand",IF(CH1804=1,CI1804,IF(LEFT(Cockpit!$I$5,1)="B",AV1804,MAX(AV1804,H1804))),ROUNDUP(AT1804,0)))</f>
        <v>0</v>
      </c>
      <c r="AQ1804" s="50" t="n">
        <f aca="false">IF(BZ1804=1,0,ROUNDUP(AP1804/BY1804,0))</f>
        <v>0</v>
      </c>
      <c r="AR1804" s="52" t="n">
        <f aca="false">IF(CQ1804&gt;0,CQ1804*MAX(1,AP1804/X1804),IF(BZ1804=1,IF(AP1804&lt;=0,0,CD1804*MAX(1,IF(H1804&gt;0,AP1804/H1804,1))),IF(R1804&gt;0,AQ1804/R1804,0))/MAX(0.1,N(Parameter!$M$21)))</f>
        <v>0</v>
      </c>
      <c r="AS1804" s="50" t="n">
        <f aca="false">AR1804*CB1804</f>
        <v>0</v>
      </c>
      <c r="AT1804" s="51" t="n">
        <f aca="false">IF(LEFT(Cockpit!$I$5,1)="A",H1804,IF(CH1804=1,(CK1804+CI1804)/2,IF(LEFT(Cockpit!$I$5,1)="B",(CK1804+AV1804)/2,MAX((CK1804+AV1804)/2,H1804))))</f>
        <v>0</v>
      </c>
      <c r="AU1804" s="50" t="n">
        <f aca="false">AT1804*G1804</f>
        <v>0</v>
      </c>
      <c r="AV1804" s="50" t="n">
        <f aca="false">ROUNDUP(CK1804+MAX(CL1804,2*(J1804/IF(CG1804&gt;0,CG1804,MAX(0.1,N(Cockpit!$I$6)))-CK1804)),0)</f>
        <v>0</v>
      </c>
      <c r="AW1804" s="51" t="n">
        <f aca="false">IF(AS1804&gt;0,J1804/AS1804,-1)</f>
        <v>-1</v>
      </c>
      <c r="AX1804" s="51" t="str">
        <f aca="false">IF(AND(OR(CF1804="L1",CF1804="L23",CF1804="LIFT"),AS1804&gt;0),SUMIFS($AS$7:$AS$1843,$CF$7:$CF$1843,CF1804,$AW$7:$AW$1843,"&gt;"&amp;AW1804)+SUMIFS($AS$7:$AS$1843,$CF$7:$CF$1843,CF1804,$AW$7:$AW$1843,AW1804,$BW$7:$BW$1843,"&lt;="&amp;BW1804),"")</f>
        <v/>
      </c>
      <c r="AY1804" s="58" t="n">
        <f aca="false">IF(AX1804="",0,MAX(0,MIN(1,(IF(CF1804="L1",Parameter!$H$5,IF(CF1804="L23",Parameter!$H$6+Parameter!$H$7,Parameter!$H$5+Parameter!$H$6+Parameter!$H$7))-(AX1804-AS1804))/AS1804)))</f>
        <v>0</v>
      </c>
      <c r="AZ1804" s="50" t="n">
        <f aca="false">IF(LEFT(Cockpit!$O$5,1)="A",H1804,IF(Parameter!$E$30="MAX-Bestand",IF(CH1804=1,CI1804,IF(LEFT(Cockpit!$O$5,1)="B",BF1804,MAX(BF1804,H1804))),ROUNDUP(BD1804,0)))</f>
        <v>0</v>
      </c>
      <c r="BA1804" s="50" t="n">
        <f aca="false">IF(BZ1804=1,0,ROUNDUP(AZ1804/BY1804,0))</f>
        <v>0</v>
      </c>
      <c r="BB1804" s="52" t="n">
        <f aca="false">IF(CQ1804&gt;0,CQ1804*MAX(1,AZ1804/X1804),IF(BZ1804=1,IF(AZ1804&lt;=0,0,CD1804*MAX(1,IF(H1804&gt;0,AZ1804/H1804,1))),IF(R1804&gt;0,BA1804/R1804,0))/MAX(0.1,N(Parameter!$M$21)))</f>
        <v>0</v>
      </c>
      <c r="BC1804" s="50" t="n">
        <f aca="false">BB1804*CB1804</f>
        <v>0</v>
      </c>
      <c r="BD1804" s="51" t="n">
        <f aca="false">IF(LEFT(Cockpit!$O$5,1)="A",H1804,IF(CH1804=1,(CK1804+CI1804)/2,IF(LEFT(Cockpit!$O$5,1)="B",(CK1804+BF1804)/2,MAX((CK1804+BF1804)/2,H1804))))</f>
        <v>0</v>
      </c>
      <c r="BE1804" s="50" t="n">
        <f aca="false">BD1804*G1804</f>
        <v>0</v>
      </c>
      <c r="BF1804" s="50" t="n">
        <f aca="false">ROUNDUP(CK1804+MAX(CL1804,2*(J1804/IF(CG1804&gt;0,CG1804,MAX(0.1,N(Cockpit!$O$6)))-CK1804)),0)</f>
        <v>0</v>
      </c>
      <c r="BG1804" s="51" t="n">
        <f aca="false">IF(BC1804&gt;0,J1804/BC1804,-1)</f>
        <v>-1</v>
      </c>
      <c r="BH1804" s="51" t="str">
        <f aca="false">IF(AND(OR(CF1804="L1",CF1804="L23",CF1804="LIFT"),BC1804&gt;0),SUMIFS($BC$7:$BC$1843,$CF$7:$CF$1843,CF1804,$BG$7:$BG$1843,"&gt;"&amp;BG1804)+SUMIFS($BC$7:$BC$1843,$CF$7:$CF$1843,CF1804,$BG$7:$BG$1843,BG1804,$BW$7:$BW$1843,"&lt;="&amp;BW1804),"")</f>
        <v/>
      </c>
      <c r="BI1804" s="58" t="n">
        <f aca="false">IF(BH1804="",0,MAX(0,MIN(1,(IF(CF1804="L1",Parameter!$H$5,IF(CF1804="L23",Parameter!$H$6+Parameter!$H$7,Parameter!$H$5+Parameter!$H$6+Parameter!$H$7))-(BH1804-BC1804))/BC1804)))</f>
        <v>0</v>
      </c>
      <c r="BJ1804" s="48" t="str">
        <f aca="false">IF(AI1804&lt;=0,"",IF(CF1804="Aussen","Aussenlager",IF(CF1804="-","Nicht im Lift",IF(AO1804&gt;=1,"Lift",IF(AO1804&lt;=0,"Aussenlager","teilweise")))))</f>
        <v/>
      </c>
      <c r="BK1804" s="48" t="str">
        <f aca="false">IF(AS1804&lt;=0,"",IF(CF1804="Aussen","Aussenlager",IF(CF1804="-","Nicht im Lift",IF(AY1804&gt;=1,"Lift",IF(AY1804&lt;=0,"Aussenlager","teilweise")))))</f>
        <v/>
      </c>
      <c r="BL1804" s="48" t="str">
        <f aca="false">IF(BC1804&lt;=0,"",IF(CF1804="Aussen","Aussenlager",IF(CF1804="-","Nicht im Lift",IF(BI1804&gt;=1,"Lift",IF(BI1804&lt;=0,"Aussenlager","teilweise")))))</f>
        <v/>
      </c>
      <c r="BM1804" s="48" t="str">
        <f aca="false">IF(A1804="","",IF(BV1804=1,"Neu; ","")&amp;IF(AND(BV1804=0,BQ1804&lt;0),"negativer Bestand (Export "&amp;BQ1804&amp;"); ","")&amp;IF(J1804&lt;=0,"Kein Verbrauch; ","")&amp;IF(CQ1804&gt;0,"Lift "&amp;W1804&amp;" lt. Liftbericht (Fach "&amp;X1804&amp;" Stk); ",IF(CA1804=1,"Gebinde geschätzt ("&amp;T1804&amp;"); ",IF(BZ1804=1,"Lose – Tablare geschätzt; ","")))&amp;IF(H1804&gt;AV1804,"Überbestand "&amp;ROUND(H1804-AV1804,0)&amp;" Stk / CHF "&amp;ROUND((H1804-AV1804)*G1804,0)&amp;"; ","")&amp;IF(AND(CH1804=1,CI1804&lt;CJ1804),"MAX &lt; MB+LG; ","")&amp;IF(AND(CP1804&gt;0,CO1804*10&gt;CP1804),"zu hoch für Tablar; ","")&amp;IF(AND(BV1804=0,OR(CH1804=1,AA1804&lt;&gt;"",U1804&lt;&gt;"",V1804&lt;&gt;"",AB1804&lt;&gt;"")),"manuell übersteuert; ","")&amp;IF(AND(BZ1804=0,R1804=0),"Gebinde unbekannt / Stellmass fehlt; ","")&amp;IF(AND(BZ1804=0,N(V1804)&lt;=0,N(Q1804)&lt;=0),"Menge pro Gebinde fehlt (Ist = 1 Gebinde); ","")&amp;BU1804)</f>
        <v/>
      </c>
      <c r="BN1804" s="48"/>
      <c r="BO1804" s="48"/>
      <c r="BP1804" s="55"/>
      <c r="BQ1804" s="50" t="n">
        <f aca="false">N('Neue Artikel'!$D$65)</f>
        <v>0</v>
      </c>
      <c r="BR1804" s="50" t="n">
        <v>0</v>
      </c>
      <c r="BS1804" s="49" t="n">
        <v>0</v>
      </c>
      <c r="BT1804" s="50" t="n">
        <f aca="false">N('Neue Artikel'!$C$65)/Parameter!$B$18</f>
        <v>0</v>
      </c>
      <c r="BU1804" s="48"/>
      <c r="BV1804" s="53" t="n">
        <v>1</v>
      </c>
      <c r="BW1804" s="53" t="n">
        <v>1804</v>
      </c>
      <c r="BX1804" s="48" t="str">
        <f aca="false">IF(U1804&lt;&gt;"",UPPER(TRIM(U1804)),IF(CA1804=1,UPPER(VLOOKUP(T1804,Parameter!$I$27:$K$29,2,0)),IF(P1804="","LOSE",P1804)))</f>
        <v>LOSE</v>
      </c>
      <c r="BY1804" s="50" t="n">
        <f aca="false">IF(BX1804="LOSE",1,IF(N(V1804)&gt;0,V1804,IF(CA1804=1,MAX(1,N(VLOOKUP(T1804,Parameter!$I$27:$K$29,3,0)),H1804,N(N1804)),IF(N(Q1804)&gt;0,Q1804,MAX(1,H1804)))))</f>
        <v>1</v>
      </c>
      <c r="BZ1804" s="53" t="n">
        <f aca="false">IF(BX1804="LOSE",1,0)</f>
        <v>1</v>
      </c>
      <c r="CA1804" s="53" t="n">
        <f aca="false">IF(AND(U1804="",OR(P1804="",P1804="LOSE"),T1804&lt;&gt;"",N(S1804)&lt;=0,ISNUMBER(MATCH(T1804,Parameter!$I$27:$I$29,0))),1,0)</f>
        <v>0</v>
      </c>
      <c r="CB1804" s="53" t="n">
        <f aca="false">IF(CQ1804&gt;0,INDEX(Parameter!$H$5:$H$7,W1804)/INDEX(Parameter!$E$5:$E$7,W1804),IF(AND(BZ1804=0,N(IFERROR(VLOOKUP(BX1804,'Gebinde-Kategorie'!$A$5:$N$45,14,0),0))&gt;0),VLOOKUP(BX1804,'Gebinde-Kategorie'!$A$5:$N$45,14,0)*10+Parameter!$M$23,Parameter!$M$24))</f>
        <v>235</v>
      </c>
      <c r="CC1804" s="48" t="str">
        <f aca="false">IF(AND(Parameter!$B$19="Ja",E1804&lt;&gt;"",ISNUMBER(MATCH(E1804,Parameter!$I$35:$I$52,0))),VLOOKUP(E1804,Parameter!$I$35:$J$52,2,0),IFERROR(VLOOKUP(D1804,Parameter!$A$35:$C$64,2,0),"Nein"))</f>
        <v>2+3</v>
      </c>
      <c r="CD1804" s="52" t="n">
        <f aca="false">IF(BZ1804=0,0,IF(N(S1804)&gt;0,S1804,IFERROR(VLOOKUP(D1804,Parameter!$A$35:$C$64,3,0)+0,0)))</f>
        <v>0.15</v>
      </c>
      <c r="CE1804" s="48" t="str">
        <f aca="false">IF(AA1804&lt;&gt;"",AA1804,Z1804)</f>
        <v/>
      </c>
      <c r="CF1804" s="48" t="str">
        <f aca="false">IF(OR(CE1804=1,CE1804=2,CE1804=3),IF(Parameter!$E$27="Ja","LIFT",IF(CE1804=1,"L1","L23")),IF(CE1804="Aussen","Aussen","-"))</f>
        <v>-</v>
      </c>
      <c r="CG1804" s="59" t="n">
        <f aca="false">IF(N(AB1804)&gt;0,AB1804,0)</f>
        <v>0</v>
      </c>
      <c r="CH1804" s="53" t="n">
        <f aca="false">IF(ISNUMBER(AE1804),1,0)</f>
        <v>0</v>
      </c>
      <c r="CI1804" s="50" t="n">
        <f aca="false">N(AE1804)</f>
        <v>0</v>
      </c>
      <c r="CJ1804" s="50" t="n">
        <f aca="false">N(M1804)+N(N1804)</f>
        <v>0</v>
      </c>
      <c r="CK1804" s="50" t="n">
        <f aca="false">N(M1804)</f>
        <v>0</v>
      </c>
      <c r="CL1804" s="50" t="n">
        <f aca="false">N(N1804)</f>
        <v>0</v>
      </c>
      <c r="CM1804" s="50" t="n">
        <f aca="false">ROUNDUP(H1804/BY1804,0)</f>
        <v>0</v>
      </c>
      <c r="CN1804" s="50" t="n">
        <f aca="false">ROUNDUP(CI1804/BY1804,0)</f>
        <v>0</v>
      </c>
      <c r="CO1804" s="53" t="n">
        <f aca="false">IF(BZ1804=1,0,IFERROR(VLOOKUP(BX1804,'Gebinde-Kategorie'!$A$5:$N$45,5,0)+0,0))</f>
        <v>0</v>
      </c>
      <c r="CP1804" s="53" t="n">
        <f aca="false">IFERROR(IF(OR(CE1804=1,CE1804=2,CE1804=3),N(INDEX(Parameter!$I$5:$I$7,CE1804)),0),0)</f>
        <v>0</v>
      </c>
      <c r="CQ1804" s="52" t="n">
        <f aca="false">IF(AND(Parameter!$B$21="Ja",ISNUMBER(W1804),N(X1804)&gt;0),IFERROR(N(INDEX(Parameter!$L$5:$L$7,W1804))*INDEX(Parameter!$E$5:$E$7,W1804)*X1804/SUMIFS($X$7:$X$1843,$W$7:$W$1843,W1804),0),0)</f>
        <v>0</v>
      </c>
    </row>
    <row r="1805" customFormat="false" ht="15" hidden="false" customHeight="false" outlineLevel="0" collapsed="false">
      <c r="A1805" s="48" t="str">
        <f aca="false">IF('Neue Artikel'!$A$66="","",'Neue Artikel'!$A$66&amp;"")</f>
        <v/>
      </c>
      <c r="B1805" s="48" t="str">
        <f aca="false">'Neue Artikel'!$B$66&amp;""</f>
        <v/>
      </c>
      <c r="C1805" s="48"/>
      <c r="D1805" s="48" t="s">
        <v>3024</v>
      </c>
      <c r="E1805" s="48"/>
      <c r="F1805" s="48"/>
      <c r="G1805" s="49" t="n">
        <f aca="false">N('Neue Artikel'!$G$66)</f>
        <v>0</v>
      </c>
      <c r="H1805" s="50" t="n">
        <f aca="false">MAX(0,IF(AND(Parameter!$B$21="Ja",ISNUMBER(Y1805)),Y1805,IF(Parameter!$B$20="Jahresanfang 2025 + Export",BR1805+BQ1805,BQ1805)))</f>
        <v>0</v>
      </c>
      <c r="I1805" s="50" t="n">
        <f aca="false">H1805*G1805</f>
        <v>0</v>
      </c>
      <c r="J1805" s="50" t="n">
        <f aca="false">BT1805*Parameter!$B$18</f>
        <v>0</v>
      </c>
      <c r="K1805" s="51"/>
      <c r="L1805" s="52"/>
      <c r="M1805" s="50" t="n">
        <f aca="false">N('Neue Artikel'!$E$66)</f>
        <v>0</v>
      </c>
      <c r="N1805" s="50" t="n">
        <f aca="false">N('Neue Artikel'!$F$66)</f>
        <v>0</v>
      </c>
      <c r="O1805" s="53"/>
      <c r="P1805" s="48" t="str">
        <f aca="false">IF('Neue Artikel'!$H$66="","LOSE",UPPER(TRIM('Neue Artikel'!$H$66)))</f>
        <v>LOSE</v>
      </c>
      <c r="Q1805" s="50" t="n">
        <f aca="false">N('Neue Artikel'!$I$66)</f>
        <v>0</v>
      </c>
      <c r="R1805" s="53" t="n">
        <f aca="false">IF(BZ1805=1,0,IFERROR(VLOOKUP(BX1805,'Gebinde-Kategorie'!$A$5:$N$45,13,0)+0,0))</f>
        <v>0</v>
      </c>
      <c r="S1805" s="54"/>
      <c r="T1805" s="55"/>
      <c r="U1805" s="55"/>
      <c r="V1805" s="55"/>
      <c r="W1805" s="48"/>
      <c r="X1805" s="50"/>
      <c r="Y1805" s="50"/>
      <c r="Z1805" s="48" t="str">
        <f aca="false">IF(A1805="","",IF(AND(Parameter!$B$21="Ja",ISNUMBER(W1805)),W1805,IF(CC1805="2+3",IF(ISNUMBER(SEARCH("grosser Artikel",BU1805)),2,IFERROR(VLOOKUP(BX1805,Parameter!$F$35:$G$64,2,0),2)),IF(OR(CC1805="Nein",CC1805=""),"-",CC1805))))</f>
        <v/>
      </c>
      <c r="AA1805" s="48" t="str">
        <f aca="false">IF('Neue Artikel'!$J$66="","",'Neue Artikel'!$J$66)</f>
        <v/>
      </c>
      <c r="AB1805" s="56"/>
      <c r="AC1805" s="50" t="n">
        <f aca="false">AV1805</f>
        <v>0</v>
      </c>
      <c r="AD1805" s="50" t="n">
        <f aca="false">MAX(AV1805,H1805)</f>
        <v>0</v>
      </c>
      <c r="AE1805" s="57"/>
      <c r="AF1805" s="50" t="n">
        <f aca="false">IF(LEFT(Cockpit!$C$5,1)="A",H1805,IF(Parameter!$E$30="MAX-Bestand",IF(CH1805=1,CI1805,IF(LEFT(Cockpit!$C$5,1)="B",AL1805,MAX(AL1805,H1805))),ROUNDUP(AJ1805,0)))</f>
        <v>0</v>
      </c>
      <c r="AG1805" s="50" t="n">
        <f aca="false">IF(BZ1805=1,0,ROUNDUP(AF1805/BY1805,0))</f>
        <v>0</v>
      </c>
      <c r="AH1805" s="52" t="n">
        <f aca="false">IF(CQ1805&gt;0,CQ1805*MAX(1,AF1805/X1805),IF(BZ1805=1,IF(AF1805&lt;=0,0,CD1805*MAX(1,IF(H1805&gt;0,AF1805/H1805,1))),IF(R1805&gt;0,AG1805/R1805,0))/MAX(0.1,N(Parameter!$M$21)))</f>
        <v>0</v>
      </c>
      <c r="AI1805" s="50" t="n">
        <f aca="false">AH1805*CB1805</f>
        <v>0</v>
      </c>
      <c r="AJ1805" s="51" t="n">
        <f aca="false">IF(LEFT(Cockpit!$C$5,1)="A",H1805,IF(CH1805=1,(CK1805+CI1805)/2,IF(LEFT(Cockpit!$C$5,1)="B",(CK1805+AL1805)/2,MAX((CK1805+AL1805)/2,H1805))))</f>
        <v>0</v>
      </c>
      <c r="AK1805" s="50" t="n">
        <f aca="false">AJ1805*G1805</f>
        <v>0</v>
      </c>
      <c r="AL1805" s="50" t="n">
        <f aca="false">ROUNDUP(CK1805+MAX(CL1805,2*(J1805/IF(CG1805&gt;0,CG1805,MAX(0.1,N(Cockpit!$C$6)))-CK1805)),0)</f>
        <v>0</v>
      </c>
      <c r="AM1805" s="51" t="n">
        <f aca="false">IF(AI1805&gt;0,J1805/AI1805,-1)</f>
        <v>-1</v>
      </c>
      <c r="AN1805" s="51" t="str">
        <f aca="false">IF(AND(OR(CF1805="L1",CF1805="L23",CF1805="LIFT"),AI1805&gt;0),SUMIFS($AI$7:$AI$1843,$CF$7:$CF$1843,CF1805,$AM$7:$AM$1843,"&gt;"&amp;AM1805)+SUMIFS($AI$7:$AI$1843,$CF$7:$CF$1843,CF1805,$AM$7:$AM$1843,AM1805,$BW$7:$BW$1843,"&lt;="&amp;BW1805),"")</f>
        <v/>
      </c>
      <c r="AO1805" s="58" t="n">
        <f aca="false">IF(AN1805="",0,MAX(0,MIN(1,(IF(CF1805="L1",Parameter!$H$5,IF(CF1805="L23",Parameter!$H$6+Parameter!$H$7,Parameter!$H$5+Parameter!$H$6+Parameter!$H$7))-(AN1805-AI1805))/AI1805)))</f>
        <v>0</v>
      </c>
      <c r="AP1805" s="50" t="n">
        <f aca="false">IF(LEFT(Cockpit!$I$5,1)="A",H1805,IF(Parameter!$E$30="MAX-Bestand",IF(CH1805=1,CI1805,IF(LEFT(Cockpit!$I$5,1)="B",AV1805,MAX(AV1805,H1805))),ROUNDUP(AT1805,0)))</f>
        <v>0</v>
      </c>
      <c r="AQ1805" s="50" t="n">
        <f aca="false">IF(BZ1805=1,0,ROUNDUP(AP1805/BY1805,0))</f>
        <v>0</v>
      </c>
      <c r="AR1805" s="52" t="n">
        <f aca="false">IF(CQ1805&gt;0,CQ1805*MAX(1,AP1805/X1805),IF(BZ1805=1,IF(AP1805&lt;=0,0,CD1805*MAX(1,IF(H1805&gt;0,AP1805/H1805,1))),IF(R1805&gt;0,AQ1805/R1805,0))/MAX(0.1,N(Parameter!$M$21)))</f>
        <v>0</v>
      </c>
      <c r="AS1805" s="50" t="n">
        <f aca="false">AR1805*CB1805</f>
        <v>0</v>
      </c>
      <c r="AT1805" s="51" t="n">
        <f aca="false">IF(LEFT(Cockpit!$I$5,1)="A",H1805,IF(CH1805=1,(CK1805+CI1805)/2,IF(LEFT(Cockpit!$I$5,1)="B",(CK1805+AV1805)/2,MAX((CK1805+AV1805)/2,H1805))))</f>
        <v>0</v>
      </c>
      <c r="AU1805" s="50" t="n">
        <f aca="false">AT1805*G1805</f>
        <v>0</v>
      </c>
      <c r="AV1805" s="50" t="n">
        <f aca="false">ROUNDUP(CK1805+MAX(CL1805,2*(J1805/IF(CG1805&gt;0,CG1805,MAX(0.1,N(Cockpit!$I$6)))-CK1805)),0)</f>
        <v>0</v>
      </c>
      <c r="AW1805" s="51" t="n">
        <f aca="false">IF(AS1805&gt;0,J1805/AS1805,-1)</f>
        <v>-1</v>
      </c>
      <c r="AX1805" s="51" t="str">
        <f aca="false">IF(AND(OR(CF1805="L1",CF1805="L23",CF1805="LIFT"),AS1805&gt;0),SUMIFS($AS$7:$AS$1843,$CF$7:$CF$1843,CF1805,$AW$7:$AW$1843,"&gt;"&amp;AW1805)+SUMIFS($AS$7:$AS$1843,$CF$7:$CF$1843,CF1805,$AW$7:$AW$1843,AW1805,$BW$7:$BW$1843,"&lt;="&amp;BW1805),"")</f>
        <v/>
      </c>
      <c r="AY1805" s="58" t="n">
        <f aca="false">IF(AX1805="",0,MAX(0,MIN(1,(IF(CF1805="L1",Parameter!$H$5,IF(CF1805="L23",Parameter!$H$6+Parameter!$H$7,Parameter!$H$5+Parameter!$H$6+Parameter!$H$7))-(AX1805-AS1805))/AS1805)))</f>
        <v>0</v>
      </c>
      <c r="AZ1805" s="50" t="n">
        <f aca="false">IF(LEFT(Cockpit!$O$5,1)="A",H1805,IF(Parameter!$E$30="MAX-Bestand",IF(CH1805=1,CI1805,IF(LEFT(Cockpit!$O$5,1)="B",BF1805,MAX(BF1805,H1805))),ROUNDUP(BD1805,0)))</f>
        <v>0</v>
      </c>
      <c r="BA1805" s="50" t="n">
        <f aca="false">IF(BZ1805=1,0,ROUNDUP(AZ1805/BY1805,0))</f>
        <v>0</v>
      </c>
      <c r="BB1805" s="52" t="n">
        <f aca="false">IF(CQ1805&gt;0,CQ1805*MAX(1,AZ1805/X1805),IF(BZ1805=1,IF(AZ1805&lt;=0,0,CD1805*MAX(1,IF(H1805&gt;0,AZ1805/H1805,1))),IF(R1805&gt;0,BA1805/R1805,0))/MAX(0.1,N(Parameter!$M$21)))</f>
        <v>0</v>
      </c>
      <c r="BC1805" s="50" t="n">
        <f aca="false">BB1805*CB1805</f>
        <v>0</v>
      </c>
      <c r="BD1805" s="51" t="n">
        <f aca="false">IF(LEFT(Cockpit!$O$5,1)="A",H1805,IF(CH1805=1,(CK1805+CI1805)/2,IF(LEFT(Cockpit!$O$5,1)="B",(CK1805+BF1805)/2,MAX((CK1805+BF1805)/2,H1805))))</f>
        <v>0</v>
      </c>
      <c r="BE1805" s="50" t="n">
        <f aca="false">BD1805*G1805</f>
        <v>0</v>
      </c>
      <c r="BF1805" s="50" t="n">
        <f aca="false">ROUNDUP(CK1805+MAX(CL1805,2*(J1805/IF(CG1805&gt;0,CG1805,MAX(0.1,N(Cockpit!$O$6)))-CK1805)),0)</f>
        <v>0</v>
      </c>
      <c r="BG1805" s="51" t="n">
        <f aca="false">IF(BC1805&gt;0,J1805/BC1805,-1)</f>
        <v>-1</v>
      </c>
      <c r="BH1805" s="51" t="str">
        <f aca="false">IF(AND(OR(CF1805="L1",CF1805="L23",CF1805="LIFT"),BC1805&gt;0),SUMIFS($BC$7:$BC$1843,$CF$7:$CF$1843,CF1805,$BG$7:$BG$1843,"&gt;"&amp;BG1805)+SUMIFS($BC$7:$BC$1843,$CF$7:$CF$1843,CF1805,$BG$7:$BG$1843,BG1805,$BW$7:$BW$1843,"&lt;="&amp;BW1805),"")</f>
        <v/>
      </c>
      <c r="BI1805" s="58" t="n">
        <f aca="false">IF(BH1805="",0,MAX(0,MIN(1,(IF(CF1805="L1",Parameter!$H$5,IF(CF1805="L23",Parameter!$H$6+Parameter!$H$7,Parameter!$H$5+Parameter!$H$6+Parameter!$H$7))-(BH1805-BC1805))/BC1805)))</f>
        <v>0</v>
      </c>
      <c r="BJ1805" s="48" t="str">
        <f aca="false">IF(AI1805&lt;=0,"",IF(CF1805="Aussen","Aussenlager",IF(CF1805="-","Nicht im Lift",IF(AO1805&gt;=1,"Lift",IF(AO1805&lt;=0,"Aussenlager","teilweise")))))</f>
        <v/>
      </c>
      <c r="BK1805" s="48" t="str">
        <f aca="false">IF(AS1805&lt;=0,"",IF(CF1805="Aussen","Aussenlager",IF(CF1805="-","Nicht im Lift",IF(AY1805&gt;=1,"Lift",IF(AY1805&lt;=0,"Aussenlager","teilweise")))))</f>
        <v/>
      </c>
      <c r="BL1805" s="48" t="str">
        <f aca="false">IF(BC1805&lt;=0,"",IF(CF1805="Aussen","Aussenlager",IF(CF1805="-","Nicht im Lift",IF(BI1805&gt;=1,"Lift",IF(BI1805&lt;=0,"Aussenlager","teilweise")))))</f>
        <v/>
      </c>
      <c r="BM1805" s="48" t="str">
        <f aca="false">IF(A1805="","",IF(BV1805=1,"Neu; ","")&amp;IF(AND(BV1805=0,BQ1805&lt;0),"negativer Bestand (Export "&amp;BQ1805&amp;"); ","")&amp;IF(J1805&lt;=0,"Kein Verbrauch; ","")&amp;IF(CQ1805&gt;0,"Lift "&amp;W1805&amp;" lt. Liftbericht (Fach "&amp;X1805&amp;" Stk); ",IF(CA1805=1,"Gebinde geschätzt ("&amp;T1805&amp;"); ",IF(BZ1805=1,"Lose – Tablare geschätzt; ","")))&amp;IF(H1805&gt;AV1805,"Überbestand "&amp;ROUND(H1805-AV1805,0)&amp;" Stk / CHF "&amp;ROUND((H1805-AV1805)*G1805,0)&amp;"; ","")&amp;IF(AND(CH1805=1,CI1805&lt;CJ1805),"MAX &lt; MB+LG; ","")&amp;IF(AND(CP1805&gt;0,CO1805*10&gt;CP1805),"zu hoch für Tablar; ","")&amp;IF(AND(BV1805=0,OR(CH1805=1,AA1805&lt;&gt;"",U1805&lt;&gt;"",V1805&lt;&gt;"",AB1805&lt;&gt;"")),"manuell übersteuert; ","")&amp;IF(AND(BZ1805=0,R1805=0),"Gebinde unbekannt / Stellmass fehlt; ","")&amp;IF(AND(BZ1805=0,N(V1805)&lt;=0,N(Q1805)&lt;=0),"Menge pro Gebinde fehlt (Ist = 1 Gebinde); ","")&amp;BU1805)</f>
        <v/>
      </c>
      <c r="BN1805" s="48"/>
      <c r="BO1805" s="48"/>
      <c r="BP1805" s="55"/>
      <c r="BQ1805" s="50" t="n">
        <f aca="false">N('Neue Artikel'!$D$66)</f>
        <v>0</v>
      </c>
      <c r="BR1805" s="50" t="n">
        <v>0</v>
      </c>
      <c r="BS1805" s="49" t="n">
        <v>0</v>
      </c>
      <c r="BT1805" s="50" t="n">
        <f aca="false">N('Neue Artikel'!$C$66)/Parameter!$B$18</f>
        <v>0</v>
      </c>
      <c r="BU1805" s="48"/>
      <c r="BV1805" s="53" t="n">
        <v>1</v>
      </c>
      <c r="BW1805" s="53" t="n">
        <v>1805</v>
      </c>
      <c r="BX1805" s="48" t="str">
        <f aca="false">IF(U1805&lt;&gt;"",UPPER(TRIM(U1805)),IF(CA1805=1,UPPER(VLOOKUP(T1805,Parameter!$I$27:$K$29,2,0)),IF(P1805="","LOSE",P1805)))</f>
        <v>LOSE</v>
      </c>
      <c r="BY1805" s="50" t="n">
        <f aca="false">IF(BX1805="LOSE",1,IF(N(V1805)&gt;0,V1805,IF(CA1805=1,MAX(1,N(VLOOKUP(T1805,Parameter!$I$27:$K$29,3,0)),H1805,N(N1805)),IF(N(Q1805)&gt;0,Q1805,MAX(1,H1805)))))</f>
        <v>1</v>
      </c>
      <c r="BZ1805" s="53" t="n">
        <f aca="false">IF(BX1805="LOSE",1,0)</f>
        <v>1</v>
      </c>
      <c r="CA1805" s="53" t="n">
        <f aca="false">IF(AND(U1805="",OR(P1805="",P1805="LOSE"),T1805&lt;&gt;"",N(S1805)&lt;=0,ISNUMBER(MATCH(T1805,Parameter!$I$27:$I$29,0))),1,0)</f>
        <v>0</v>
      </c>
      <c r="CB1805" s="53" t="n">
        <f aca="false">IF(CQ1805&gt;0,INDEX(Parameter!$H$5:$H$7,W1805)/INDEX(Parameter!$E$5:$E$7,W1805),IF(AND(BZ1805=0,N(IFERROR(VLOOKUP(BX1805,'Gebinde-Kategorie'!$A$5:$N$45,14,0),0))&gt;0),VLOOKUP(BX1805,'Gebinde-Kategorie'!$A$5:$N$45,14,0)*10+Parameter!$M$23,Parameter!$M$24))</f>
        <v>235</v>
      </c>
      <c r="CC1805" s="48" t="str">
        <f aca="false">IF(AND(Parameter!$B$19="Ja",E1805&lt;&gt;"",ISNUMBER(MATCH(E1805,Parameter!$I$35:$I$52,0))),VLOOKUP(E1805,Parameter!$I$35:$J$52,2,0),IFERROR(VLOOKUP(D1805,Parameter!$A$35:$C$64,2,0),"Nein"))</f>
        <v>2+3</v>
      </c>
      <c r="CD1805" s="52" t="n">
        <f aca="false">IF(BZ1805=0,0,IF(N(S1805)&gt;0,S1805,IFERROR(VLOOKUP(D1805,Parameter!$A$35:$C$64,3,0)+0,0)))</f>
        <v>0.15</v>
      </c>
      <c r="CE1805" s="48" t="str">
        <f aca="false">IF(AA1805&lt;&gt;"",AA1805,Z1805)</f>
        <v/>
      </c>
      <c r="CF1805" s="48" t="str">
        <f aca="false">IF(OR(CE1805=1,CE1805=2,CE1805=3),IF(Parameter!$E$27="Ja","LIFT",IF(CE1805=1,"L1","L23")),IF(CE1805="Aussen","Aussen","-"))</f>
        <v>-</v>
      </c>
      <c r="CG1805" s="59" t="n">
        <f aca="false">IF(N(AB1805)&gt;0,AB1805,0)</f>
        <v>0</v>
      </c>
      <c r="CH1805" s="53" t="n">
        <f aca="false">IF(ISNUMBER(AE1805),1,0)</f>
        <v>0</v>
      </c>
      <c r="CI1805" s="50" t="n">
        <f aca="false">N(AE1805)</f>
        <v>0</v>
      </c>
      <c r="CJ1805" s="50" t="n">
        <f aca="false">N(M1805)+N(N1805)</f>
        <v>0</v>
      </c>
      <c r="CK1805" s="50" t="n">
        <f aca="false">N(M1805)</f>
        <v>0</v>
      </c>
      <c r="CL1805" s="50" t="n">
        <f aca="false">N(N1805)</f>
        <v>0</v>
      </c>
      <c r="CM1805" s="50" t="n">
        <f aca="false">ROUNDUP(H1805/BY1805,0)</f>
        <v>0</v>
      </c>
      <c r="CN1805" s="50" t="n">
        <f aca="false">ROUNDUP(CI1805/BY1805,0)</f>
        <v>0</v>
      </c>
      <c r="CO1805" s="53" t="n">
        <f aca="false">IF(BZ1805=1,0,IFERROR(VLOOKUP(BX1805,'Gebinde-Kategorie'!$A$5:$N$45,5,0)+0,0))</f>
        <v>0</v>
      </c>
      <c r="CP1805" s="53" t="n">
        <f aca="false">IFERROR(IF(OR(CE1805=1,CE1805=2,CE1805=3),N(INDEX(Parameter!$I$5:$I$7,CE1805)),0),0)</f>
        <v>0</v>
      </c>
      <c r="CQ1805" s="52" t="n">
        <f aca="false">IF(AND(Parameter!$B$21="Ja",ISNUMBER(W1805),N(X1805)&gt;0),IFERROR(N(INDEX(Parameter!$L$5:$L$7,W1805))*INDEX(Parameter!$E$5:$E$7,W1805)*X1805/SUMIFS($X$7:$X$1843,$W$7:$W$1843,W1805),0),0)</f>
        <v>0</v>
      </c>
    </row>
    <row r="1806" customFormat="false" ht="15" hidden="false" customHeight="false" outlineLevel="0" collapsed="false">
      <c r="A1806" s="48" t="str">
        <f aca="false">IF('Neue Artikel'!$A$67="","",'Neue Artikel'!$A$67&amp;"")</f>
        <v/>
      </c>
      <c r="B1806" s="48" t="str">
        <f aca="false">'Neue Artikel'!$B$67&amp;""</f>
        <v/>
      </c>
      <c r="C1806" s="48"/>
      <c r="D1806" s="48" t="s">
        <v>3024</v>
      </c>
      <c r="E1806" s="48"/>
      <c r="F1806" s="48"/>
      <c r="G1806" s="49" t="n">
        <f aca="false">N('Neue Artikel'!$G$67)</f>
        <v>0</v>
      </c>
      <c r="H1806" s="50" t="n">
        <f aca="false">MAX(0,IF(AND(Parameter!$B$21="Ja",ISNUMBER(Y1806)),Y1806,IF(Parameter!$B$20="Jahresanfang 2025 + Export",BR1806+BQ1806,BQ1806)))</f>
        <v>0</v>
      </c>
      <c r="I1806" s="50" t="n">
        <f aca="false">H1806*G1806</f>
        <v>0</v>
      </c>
      <c r="J1806" s="50" t="n">
        <f aca="false">BT1806*Parameter!$B$18</f>
        <v>0</v>
      </c>
      <c r="K1806" s="51"/>
      <c r="L1806" s="52"/>
      <c r="M1806" s="50" t="n">
        <f aca="false">N('Neue Artikel'!$E$67)</f>
        <v>0</v>
      </c>
      <c r="N1806" s="50" t="n">
        <f aca="false">N('Neue Artikel'!$F$67)</f>
        <v>0</v>
      </c>
      <c r="O1806" s="53"/>
      <c r="P1806" s="48" t="str">
        <f aca="false">IF('Neue Artikel'!$H$67="","LOSE",UPPER(TRIM('Neue Artikel'!$H$67)))</f>
        <v>LOSE</v>
      </c>
      <c r="Q1806" s="50" t="n">
        <f aca="false">N('Neue Artikel'!$I$67)</f>
        <v>0</v>
      </c>
      <c r="R1806" s="53" t="n">
        <f aca="false">IF(BZ1806=1,0,IFERROR(VLOOKUP(BX1806,'Gebinde-Kategorie'!$A$5:$N$45,13,0)+0,0))</f>
        <v>0</v>
      </c>
      <c r="S1806" s="54"/>
      <c r="T1806" s="55"/>
      <c r="U1806" s="55"/>
      <c r="V1806" s="55"/>
      <c r="W1806" s="48"/>
      <c r="X1806" s="50"/>
      <c r="Y1806" s="50"/>
      <c r="Z1806" s="48" t="str">
        <f aca="false">IF(A1806="","",IF(AND(Parameter!$B$21="Ja",ISNUMBER(W1806)),W1806,IF(CC1806="2+3",IF(ISNUMBER(SEARCH("grosser Artikel",BU1806)),2,IFERROR(VLOOKUP(BX1806,Parameter!$F$35:$G$64,2,0),2)),IF(OR(CC1806="Nein",CC1806=""),"-",CC1806))))</f>
        <v/>
      </c>
      <c r="AA1806" s="48" t="str">
        <f aca="false">IF('Neue Artikel'!$J$67="","",'Neue Artikel'!$J$67)</f>
        <v/>
      </c>
      <c r="AB1806" s="56"/>
      <c r="AC1806" s="50" t="n">
        <f aca="false">AV1806</f>
        <v>0</v>
      </c>
      <c r="AD1806" s="50" t="n">
        <f aca="false">MAX(AV1806,H1806)</f>
        <v>0</v>
      </c>
      <c r="AE1806" s="57"/>
      <c r="AF1806" s="50" t="n">
        <f aca="false">IF(LEFT(Cockpit!$C$5,1)="A",H1806,IF(Parameter!$E$30="MAX-Bestand",IF(CH1806=1,CI1806,IF(LEFT(Cockpit!$C$5,1)="B",AL1806,MAX(AL1806,H1806))),ROUNDUP(AJ1806,0)))</f>
        <v>0</v>
      </c>
      <c r="AG1806" s="50" t="n">
        <f aca="false">IF(BZ1806=1,0,ROUNDUP(AF1806/BY1806,0))</f>
        <v>0</v>
      </c>
      <c r="AH1806" s="52" t="n">
        <f aca="false">IF(CQ1806&gt;0,CQ1806*MAX(1,AF1806/X1806),IF(BZ1806=1,IF(AF1806&lt;=0,0,CD1806*MAX(1,IF(H1806&gt;0,AF1806/H1806,1))),IF(R1806&gt;0,AG1806/R1806,0))/MAX(0.1,N(Parameter!$M$21)))</f>
        <v>0</v>
      </c>
      <c r="AI1806" s="50" t="n">
        <f aca="false">AH1806*CB1806</f>
        <v>0</v>
      </c>
      <c r="AJ1806" s="51" t="n">
        <f aca="false">IF(LEFT(Cockpit!$C$5,1)="A",H1806,IF(CH1806=1,(CK1806+CI1806)/2,IF(LEFT(Cockpit!$C$5,1)="B",(CK1806+AL1806)/2,MAX((CK1806+AL1806)/2,H1806))))</f>
        <v>0</v>
      </c>
      <c r="AK1806" s="50" t="n">
        <f aca="false">AJ1806*G1806</f>
        <v>0</v>
      </c>
      <c r="AL1806" s="50" t="n">
        <f aca="false">ROUNDUP(CK1806+MAX(CL1806,2*(J1806/IF(CG1806&gt;0,CG1806,MAX(0.1,N(Cockpit!$C$6)))-CK1806)),0)</f>
        <v>0</v>
      </c>
      <c r="AM1806" s="51" t="n">
        <f aca="false">IF(AI1806&gt;0,J1806/AI1806,-1)</f>
        <v>-1</v>
      </c>
      <c r="AN1806" s="51" t="str">
        <f aca="false">IF(AND(OR(CF1806="L1",CF1806="L23",CF1806="LIFT"),AI1806&gt;0),SUMIFS($AI$7:$AI$1843,$CF$7:$CF$1843,CF1806,$AM$7:$AM$1843,"&gt;"&amp;AM1806)+SUMIFS($AI$7:$AI$1843,$CF$7:$CF$1843,CF1806,$AM$7:$AM$1843,AM1806,$BW$7:$BW$1843,"&lt;="&amp;BW1806),"")</f>
        <v/>
      </c>
      <c r="AO1806" s="58" t="n">
        <f aca="false">IF(AN1806="",0,MAX(0,MIN(1,(IF(CF1806="L1",Parameter!$H$5,IF(CF1806="L23",Parameter!$H$6+Parameter!$H$7,Parameter!$H$5+Parameter!$H$6+Parameter!$H$7))-(AN1806-AI1806))/AI1806)))</f>
        <v>0</v>
      </c>
      <c r="AP1806" s="50" t="n">
        <f aca="false">IF(LEFT(Cockpit!$I$5,1)="A",H1806,IF(Parameter!$E$30="MAX-Bestand",IF(CH1806=1,CI1806,IF(LEFT(Cockpit!$I$5,1)="B",AV1806,MAX(AV1806,H1806))),ROUNDUP(AT1806,0)))</f>
        <v>0</v>
      </c>
      <c r="AQ1806" s="50" t="n">
        <f aca="false">IF(BZ1806=1,0,ROUNDUP(AP1806/BY1806,0))</f>
        <v>0</v>
      </c>
      <c r="AR1806" s="52" t="n">
        <f aca="false">IF(CQ1806&gt;0,CQ1806*MAX(1,AP1806/X1806),IF(BZ1806=1,IF(AP1806&lt;=0,0,CD1806*MAX(1,IF(H1806&gt;0,AP1806/H1806,1))),IF(R1806&gt;0,AQ1806/R1806,0))/MAX(0.1,N(Parameter!$M$21)))</f>
        <v>0</v>
      </c>
      <c r="AS1806" s="50" t="n">
        <f aca="false">AR1806*CB1806</f>
        <v>0</v>
      </c>
      <c r="AT1806" s="51" t="n">
        <f aca="false">IF(LEFT(Cockpit!$I$5,1)="A",H1806,IF(CH1806=1,(CK1806+CI1806)/2,IF(LEFT(Cockpit!$I$5,1)="B",(CK1806+AV1806)/2,MAX((CK1806+AV1806)/2,H1806))))</f>
        <v>0</v>
      </c>
      <c r="AU1806" s="50" t="n">
        <f aca="false">AT1806*G1806</f>
        <v>0</v>
      </c>
      <c r="AV1806" s="50" t="n">
        <f aca="false">ROUNDUP(CK1806+MAX(CL1806,2*(J1806/IF(CG1806&gt;0,CG1806,MAX(0.1,N(Cockpit!$I$6)))-CK1806)),0)</f>
        <v>0</v>
      </c>
      <c r="AW1806" s="51" t="n">
        <f aca="false">IF(AS1806&gt;0,J1806/AS1806,-1)</f>
        <v>-1</v>
      </c>
      <c r="AX1806" s="51" t="str">
        <f aca="false">IF(AND(OR(CF1806="L1",CF1806="L23",CF1806="LIFT"),AS1806&gt;0),SUMIFS($AS$7:$AS$1843,$CF$7:$CF$1843,CF1806,$AW$7:$AW$1843,"&gt;"&amp;AW1806)+SUMIFS($AS$7:$AS$1843,$CF$7:$CF$1843,CF1806,$AW$7:$AW$1843,AW1806,$BW$7:$BW$1843,"&lt;="&amp;BW1806),"")</f>
        <v/>
      </c>
      <c r="AY1806" s="58" t="n">
        <f aca="false">IF(AX1806="",0,MAX(0,MIN(1,(IF(CF1806="L1",Parameter!$H$5,IF(CF1806="L23",Parameter!$H$6+Parameter!$H$7,Parameter!$H$5+Parameter!$H$6+Parameter!$H$7))-(AX1806-AS1806))/AS1806)))</f>
        <v>0</v>
      </c>
      <c r="AZ1806" s="50" t="n">
        <f aca="false">IF(LEFT(Cockpit!$O$5,1)="A",H1806,IF(Parameter!$E$30="MAX-Bestand",IF(CH1806=1,CI1806,IF(LEFT(Cockpit!$O$5,1)="B",BF1806,MAX(BF1806,H1806))),ROUNDUP(BD1806,0)))</f>
        <v>0</v>
      </c>
      <c r="BA1806" s="50" t="n">
        <f aca="false">IF(BZ1806=1,0,ROUNDUP(AZ1806/BY1806,0))</f>
        <v>0</v>
      </c>
      <c r="BB1806" s="52" t="n">
        <f aca="false">IF(CQ1806&gt;0,CQ1806*MAX(1,AZ1806/X1806),IF(BZ1806=1,IF(AZ1806&lt;=0,0,CD1806*MAX(1,IF(H1806&gt;0,AZ1806/H1806,1))),IF(R1806&gt;0,BA1806/R1806,0))/MAX(0.1,N(Parameter!$M$21)))</f>
        <v>0</v>
      </c>
      <c r="BC1806" s="50" t="n">
        <f aca="false">BB1806*CB1806</f>
        <v>0</v>
      </c>
      <c r="BD1806" s="51" t="n">
        <f aca="false">IF(LEFT(Cockpit!$O$5,1)="A",H1806,IF(CH1806=1,(CK1806+CI1806)/2,IF(LEFT(Cockpit!$O$5,1)="B",(CK1806+BF1806)/2,MAX((CK1806+BF1806)/2,H1806))))</f>
        <v>0</v>
      </c>
      <c r="BE1806" s="50" t="n">
        <f aca="false">BD1806*G1806</f>
        <v>0</v>
      </c>
      <c r="BF1806" s="50" t="n">
        <f aca="false">ROUNDUP(CK1806+MAX(CL1806,2*(J1806/IF(CG1806&gt;0,CG1806,MAX(0.1,N(Cockpit!$O$6)))-CK1806)),0)</f>
        <v>0</v>
      </c>
      <c r="BG1806" s="51" t="n">
        <f aca="false">IF(BC1806&gt;0,J1806/BC1806,-1)</f>
        <v>-1</v>
      </c>
      <c r="BH1806" s="51" t="str">
        <f aca="false">IF(AND(OR(CF1806="L1",CF1806="L23",CF1806="LIFT"),BC1806&gt;0),SUMIFS($BC$7:$BC$1843,$CF$7:$CF$1843,CF1806,$BG$7:$BG$1843,"&gt;"&amp;BG1806)+SUMIFS($BC$7:$BC$1843,$CF$7:$CF$1843,CF1806,$BG$7:$BG$1843,BG1806,$BW$7:$BW$1843,"&lt;="&amp;BW1806),"")</f>
        <v/>
      </c>
      <c r="BI1806" s="58" t="n">
        <f aca="false">IF(BH1806="",0,MAX(0,MIN(1,(IF(CF1806="L1",Parameter!$H$5,IF(CF1806="L23",Parameter!$H$6+Parameter!$H$7,Parameter!$H$5+Parameter!$H$6+Parameter!$H$7))-(BH1806-BC1806))/BC1806)))</f>
        <v>0</v>
      </c>
      <c r="BJ1806" s="48" t="str">
        <f aca="false">IF(AI1806&lt;=0,"",IF(CF1806="Aussen","Aussenlager",IF(CF1806="-","Nicht im Lift",IF(AO1806&gt;=1,"Lift",IF(AO1806&lt;=0,"Aussenlager","teilweise")))))</f>
        <v/>
      </c>
      <c r="BK1806" s="48" t="str">
        <f aca="false">IF(AS1806&lt;=0,"",IF(CF1806="Aussen","Aussenlager",IF(CF1806="-","Nicht im Lift",IF(AY1806&gt;=1,"Lift",IF(AY1806&lt;=0,"Aussenlager","teilweise")))))</f>
        <v/>
      </c>
      <c r="BL1806" s="48" t="str">
        <f aca="false">IF(BC1806&lt;=0,"",IF(CF1806="Aussen","Aussenlager",IF(CF1806="-","Nicht im Lift",IF(BI1806&gt;=1,"Lift",IF(BI1806&lt;=0,"Aussenlager","teilweise")))))</f>
        <v/>
      </c>
      <c r="BM1806" s="48" t="str">
        <f aca="false">IF(A1806="","",IF(BV1806=1,"Neu; ","")&amp;IF(AND(BV1806=0,BQ1806&lt;0),"negativer Bestand (Export "&amp;BQ1806&amp;"); ","")&amp;IF(J1806&lt;=0,"Kein Verbrauch; ","")&amp;IF(CQ1806&gt;0,"Lift "&amp;W1806&amp;" lt. Liftbericht (Fach "&amp;X1806&amp;" Stk); ",IF(CA1806=1,"Gebinde geschätzt ("&amp;T1806&amp;"); ",IF(BZ1806=1,"Lose – Tablare geschätzt; ","")))&amp;IF(H1806&gt;AV1806,"Überbestand "&amp;ROUND(H1806-AV1806,0)&amp;" Stk / CHF "&amp;ROUND((H1806-AV1806)*G1806,0)&amp;"; ","")&amp;IF(AND(CH1806=1,CI1806&lt;CJ1806),"MAX &lt; MB+LG; ","")&amp;IF(AND(CP1806&gt;0,CO1806*10&gt;CP1806),"zu hoch für Tablar; ","")&amp;IF(AND(BV1806=0,OR(CH1806=1,AA1806&lt;&gt;"",U1806&lt;&gt;"",V1806&lt;&gt;"",AB1806&lt;&gt;"")),"manuell übersteuert; ","")&amp;IF(AND(BZ1806=0,R1806=0),"Gebinde unbekannt / Stellmass fehlt; ","")&amp;IF(AND(BZ1806=0,N(V1806)&lt;=0,N(Q1806)&lt;=0),"Menge pro Gebinde fehlt (Ist = 1 Gebinde); ","")&amp;BU1806)</f>
        <v/>
      </c>
      <c r="BN1806" s="48"/>
      <c r="BO1806" s="48"/>
      <c r="BP1806" s="55"/>
      <c r="BQ1806" s="50" t="n">
        <f aca="false">N('Neue Artikel'!$D$67)</f>
        <v>0</v>
      </c>
      <c r="BR1806" s="50" t="n">
        <v>0</v>
      </c>
      <c r="BS1806" s="49" t="n">
        <v>0</v>
      </c>
      <c r="BT1806" s="50" t="n">
        <f aca="false">N('Neue Artikel'!$C$67)/Parameter!$B$18</f>
        <v>0</v>
      </c>
      <c r="BU1806" s="48"/>
      <c r="BV1806" s="53" t="n">
        <v>1</v>
      </c>
      <c r="BW1806" s="53" t="n">
        <v>1806</v>
      </c>
      <c r="BX1806" s="48" t="str">
        <f aca="false">IF(U1806&lt;&gt;"",UPPER(TRIM(U1806)),IF(CA1806=1,UPPER(VLOOKUP(T1806,Parameter!$I$27:$K$29,2,0)),IF(P1806="","LOSE",P1806)))</f>
        <v>LOSE</v>
      </c>
      <c r="BY1806" s="50" t="n">
        <f aca="false">IF(BX1806="LOSE",1,IF(N(V1806)&gt;0,V1806,IF(CA1806=1,MAX(1,N(VLOOKUP(T1806,Parameter!$I$27:$K$29,3,0)),H1806,N(N1806)),IF(N(Q1806)&gt;0,Q1806,MAX(1,H1806)))))</f>
        <v>1</v>
      </c>
      <c r="BZ1806" s="53" t="n">
        <f aca="false">IF(BX1806="LOSE",1,0)</f>
        <v>1</v>
      </c>
      <c r="CA1806" s="53" t="n">
        <f aca="false">IF(AND(U1806="",OR(P1806="",P1806="LOSE"),T1806&lt;&gt;"",N(S1806)&lt;=0,ISNUMBER(MATCH(T1806,Parameter!$I$27:$I$29,0))),1,0)</f>
        <v>0</v>
      </c>
      <c r="CB1806" s="53" t="n">
        <f aca="false">IF(CQ1806&gt;0,INDEX(Parameter!$H$5:$H$7,W1806)/INDEX(Parameter!$E$5:$E$7,W1806),IF(AND(BZ1806=0,N(IFERROR(VLOOKUP(BX1806,'Gebinde-Kategorie'!$A$5:$N$45,14,0),0))&gt;0),VLOOKUP(BX1806,'Gebinde-Kategorie'!$A$5:$N$45,14,0)*10+Parameter!$M$23,Parameter!$M$24))</f>
        <v>235</v>
      </c>
      <c r="CC1806" s="48" t="str">
        <f aca="false">IF(AND(Parameter!$B$19="Ja",E1806&lt;&gt;"",ISNUMBER(MATCH(E1806,Parameter!$I$35:$I$52,0))),VLOOKUP(E1806,Parameter!$I$35:$J$52,2,0),IFERROR(VLOOKUP(D1806,Parameter!$A$35:$C$64,2,0),"Nein"))</f>
        <v>2+3</v>
      </c>
      <c r="CD1806" s="52" t="n">
        <f aca="false">IF(BZ1806=0,0,IF(N(S1806)&gt;0,S1806,IFERROR(VLOOKUP(D1806,Parameter!$A$35:$C$64,3,0)+0,0)))</f>
        <v>0.15</v>
      </c>
      <c r="CE1806" s="48" t="str">
        <f aca="false">IF(AA1806&lt;&gt;"",AA1806,Z1806)</f>
        <v/>
      </c>
      <c r="CF1806" s="48" t="str">
        <f aca="false">IF(OR(CE1806=1,CE1806=2,CE1806=3),IF(Parameter!$E$27="Ja","LIFT",IF(CE1806=1,"L1","L23")),IF(CE1806="Aussen","Aussen","-"))</f>
        <v>-</v>
      </c>
      <c r="CG1806" s="59" t="n">
        <f aca="false">IF(N(AB1806)&gt;0,AB1806,0)</f>
        <v>0</v>
      </c>
      <c r="CH1806" s="53" t="n">
        <f aca="false">IF(ISNUMBER(AE1806),1,0)</f>
        <v>0</v>
      </c>
      <c r="CI1806" s="50" t="n">
        <f aca="false">N(AE1806)</f>
        <v>0</v>
      </c>
      <c r="CJ1806" s="50" t="n">
        <f aca="false">N(M1806)+N(N1806)</f>
        <v>0</v>
      </c>
      <c r="CK1806" s="50" t="n">
        <f aca="false">N(M1806)</f>
        <v>0</v>
      </c>
      <c r="CL1806" s="50" t="n">
        <f aca="false">N(N1806)</f>
        <v>0</v>
      </c>
      <c r="CM1806" s="50" t="n">
        <f aca="false">ROUNDUP(H1806/BY1806,0)</f>
        <v>0</v>
      </c>
      <c r="CN1806" s="50" t="n">
        <f aca="false">ROUNDUP(CI1806/BY1806,0)</f>
        <v>0</v>
      </c>
      <c r="CO1806" s="53" t="n">
        <f aca="false">IF(BZ1806=1,0,IFERROR(VLOOKUP(BX1806,'Gebinde-Kategorie'!$A$5:$N$45,5,0)+0,0))</f>
        <v>0</v>
      </c>
      <c r="CP1806" s="53" t="n">
        <f aca="false">IFERROR(IF(OR(CE1806=1,CE1806=2,CE1806=3),N(INDEX(Parameter!$I$5:$I$7,CE1806)),0),0)</f>
        <v>0</v>
      </c>
      <c r="CQ1806" s="52" t="n">
        <f aca="false">IF(AND(Parameter!$B$21="Ja",ISNUMBER(W1806),N(X1806)&gt;0),IFERROR(N(INDEX(Parameter!$L$5:$L$7,W1806))*INDEX(Parameter!$E$5:$E$7,W1806)*X1806/SUMIFS($X$7:$X$1843,$W$7:$W$1843,W1806),0),0)</f>
        <v>0</v>
      </c>
    </row>
    <row r="1807" customFormat="false" ht="15" hidden="false" customHeight="false" outlineLevel="0" collapsed="false">
      <c r="A1807" s="48" t="str">
        <f aca="false">IF('Neue Artikel'!$A$68="","",'Neue Artikel'!$A$68&amp;"")</f>
        <v/>
      </c>
      <c r="B1807" s="48" t="str">
        <f aca="false">'Neue Artikel'!$B$68&amp;""</f>
        <v/>
      </c>
      <c r="C1807" s="48"/>
      <c r="D1807" s="48" t="s">
        <v>3024</v>
      </c>
      <c r="E1807" s="48"/>
      <c r="F1807" s="48"/>
      <c r="G1807" s="49" t="n">
        <f aca="false">N('Neue Artikel'!$G$68)</f>
        <v>0</v>
      </c>
      <c r="H1807" s="50" t="n">
        <f aca="false">MAX(0,IF(AND(Parameter!$B$21="Ja",ISNUMBER(Y1807)),Y1807,IF(Parameter!$B$20="Jahresanfang 2025 + Export",BR1807+BQ1807,BQ1807)))</f>
        <v>0</v>
      </c>
      <c r="I1807" s="50" t="n">
        <f aca="false">H1807*G1807</f>
        <v>0</v>
      </c>
      <c r="J1807" s="50" t="n">
        <f aca="false">BT1807*Parameter!$B$18</f>
        <v>0</v>
      </c>
      <c r="K1807" s="51"/>
      <c r="L1807" s="52"/>
      <c r="M1807" s="50" t="n">
        <f aca="false">N('Neue Artikel'!$E$68)</f>
        <v>0</v>
      </c>
      <c r="N1807" s="50" t="n">
        <f aca="false">N('Neue Artikel'!$F$68)</f>
        <v>0</v>
      </c>
      <c r="O1807" s="53"/>
      <c r="P1807" s="48" t="str">
        <f aca="false">IF('Neue Artikel'!$H$68="","LOSE",UPPER(TRIM('Neue Artikel'!$H$68)))</f>
        <v>LOSE</v>
      </c>
      <c r="Q1807" s="50" t="n">
        <f aca="false">N('Neue Artikel'!$I$68)</f>
        <v>0</v>
      </c>
      <c r="R1807" s="53" t="n">
        <f aca="false">IF(BZ1807=1,0,IFERROR(VLOOKUP(BX1807,'Gebinde-Kategorie'!$A$5:$N$45,13,0)+0,0))</f>
        <v>0</v>
      </c>
      <c r="S1807" s="54"/>
      <c r="T1807" s="55"/>
      <c r="U1807" s="55"/>
      <c r="V1807" s="55"/>
      <c r="W1807" s="48"/>
      <c r="X1807" s="50"/>
      <c r="Y1807" s="50"/>
      <c r="Z1807" s="48" t="str">
        <f aca="false">IF(A1807="","",IF(AND(Parameter!$B$21="Ja",ISNUMBER(W1807)),W1807,IF(CC1807="2+3",IF(ISNUMBER(SEARCH("grosser Artikel",BU1807)),2,IFERROR(VLOOKUP(BX1807,Parameter!$F$35:$G$64,2,0),2)),IF(OR(CC1807="Nein",CC1807=""),"-",CC1807))))</f>
        <v/>
      </c>
      <c r="AA1807" s="48" t="str">
        <f aca="false">IF('Neue Artikel'!$J$68="","",'Neue Artikel'!$J$68)</f>
        <v/>
      </c>
      <c r="AB1807" s="56"/>
      <c r="AC1807" s="50" t="n">
        <f aca="false">AV1807</f>
        <v>0</v>
      </c>
      <c r="AD1807" s="50" t="n">
        <f aca="false">MAX(AV1807,H1807)</f>
        <v>0</v>
      </c>
      <c r="AE1807" s="57"/>
      <c r="AF1807" s="50" t="n">
        <f aca="false">IF(LEFT(Cockpit!$C$5,1)="A",H1807,IF(Parameter!$E$30="MAX-Bestand",IF(CH1807=1,CI1807,IF(LEFT(Cockpit!$C$5,1)="B",AL1807,MAX(AL1807,H1807))),ROUNDUP(AJ1807,0)))</f>
        <v>0</v>
      </c>
      <c r="AG1807" s="50" t="n">
        <f aca="false">IF(BZ1807=1,0,ROUNDUP(AF1807/BY1807,0))</f>
        <v>0</v>
      </c>
      <c r="AH1807" s="52" t="n">
        <f aca="false">IF(CQ1807&gt;0,CQ1807*MAX(1,AF1807/X1807),IF(BZ1807=1,IF(AF1807&lt;=0,0,CD1807*MAX(1,IF(H1807&gt;0,AF1807/H1807,1))),IF(R1807&gt;0,AG1807/R1807,0))/MAX(0.1,N(Parameter!$M$21)))</f>
        <v>0</v>
      </c>
      <c r="AI1807" s="50" t="n">
        <f aca="false">AH1807*CB1807</f>
        <v>0</v>
      </c>
      <c r="AJ1807" s="51" t="n">
        <f aca="false">IF(LEFT(Cockpit!$C$5,1)="A",H1807,IF(CH1807=1,(CK1807+CI1807)/2,IF(LEFT(Cockpit!$C$5,1)="B",(CK1807+AL1807)/2,MAX((CK1807+AL1807)/2,H1807))))</f>
        <v>0</v>
      </c>
      <c r="AK1807" s="50" t="n">
        <f aca="false">AJ1807*G1807</f>
        <v>0</v>
      </c>
      <c r="AL1807" s="50" t="n">
        <f aca="false">ROUNDUP(CK1807+MAX(CL1807,2*(J1807/IF(CG1807&gt;0,CG1807,MAX(0.1,N(Cockpit!$C$6)))-CK1807)),0)</f>
        <v>0</v>
      </c>
      <c r="AM1807" s="51" t="n">
        <f aca="false">IF(AI1807&gt;0,J1807/AI1807,-1)</f>
        <v>-1</v>
      </c>
      <c r="AN1807" s="51" t="str">
        <f aca="false">IF(AND(OR(CF1807="L1",CF1807="L23",CF1807="LIFT"),AI1807&gt;0),SUMIFS($AI$7:$AI$1843,$CF$7:$CF$1843,CF1807,$AM$7:$AM$1843,"&gt;"&amp;AM1807)+SUMIFS($AI$7:$AI$1843,$CF$7:$CF$1843,CF1807,$AM$7:$AM$1843,AM1807,$BW$7:$BW$1843,"&lt;="&amp;BW1807),"")</f>
        <v/>
      </c>
      <c r="AO1807" s="58" t="n">
        <f aca="false">IF(AN1807="",0,MAX(0,MIN(1,(IF(CF1807="L1",Parameter!$H$5,IF(CF1807="L23",Parameter!$H$6+Parameter!$H$7,Parameter!$H$5+Parameter!$H$6+Parameter!$H$7))-(AN1807-AI1807))/AI1807)))</f>
        <v>0</v>
      </c>
      <c r="AP1807" s="50" t="n">
        <f aca="false">IF(LEFT(Cockpit!$I$5,1)="A",H1807,IF(Parameter!$E$30="MAX-Bestand",IF(CH1807=1,CI1807,IF(LEFT(Cockpit!$I$5,1)="B",AV1807,MAX(AV1807,H1807))),ROUNDUP(AT1807,0)))</f>
        <v>0</v>
      </c>
      <c r="AQ1807" s="50" t="n">
        <f aca="false">IF(BZ1807=1,0,ROUNDUP(AP1807/BY1807,0))</f>
        <v>0</v>
      </c>
      <c r="AR1807" s="52" t="n">
        <f aca="false">IF(CQ1807&gt;0,CQ1807*MAX(1,AP1807/X1807),IF(BZ1807=1,IF(AP1807&lt;=0,0,CD1807*MAX(1,IF(H1807&gt;0,AP1807/H1807,1))),IF(R1807&gt;0,AQ1807/R1807,0))/MAX(0.1,N(Parameter!$M$21)))</f>
        <v>0</v>
      </c>
      <c r="AS1807" s="50" t="n">
        <f aca="false">AR1807*CB1807</f>
        <v>0</v>
      </c>
      <c r="AT1807" s="51" t="n">
        <f aca="false">IF(LEFT(Cockpit!$I$5,1)="A",H1807,IF(CH1807=1,(CK1807+CI1807)/2,IF(LEFT(Cockpit!$I$5,1)="B",(CK1807+AV1807)/2,MAX((CK1807+AV1807)/2,H1807))))</f>
        <v>0</v>
      </c>
      <c r="AU1807" s="50" t="n">
        <f aca="false">AT1807*G1807</f>
        <v>0</v>
      </c>
      <c r="AV1807" s="50" t="n">
        <f aca="false">ROUNDUP(CK1807+MAX(CL1807,2*(J1807/IF(CG1807&gt;0,CG1807,MAX(0.1,N(Cockpit!$I$6)))-CK1807)),0)</f>
        <v>0</v>
      </c>
      <c r="AW1807" s="51" t="n">
        <f aca="false">IF(AS1807&gt;0,J1807/AS1807,-1)</f>
        <v>-1</v>
      </c>
      <c r="AX1807" s="51" t="str">
        <f aca="false">IF(AND(OR(CF1807="L1",CF1807="L23",CF1807="LIFT"),AS1807&gt;0),SUMIFS($AS$7:$AS$1843,$CF$7:$CF$1843,CF1807,$AW$7:$AW$1843,"&gt;"&amp;AW1807)+SUMIFS($AS$7:$AS$1843,$CF$7:$CF$1843,CF1807,$AW$7:$AW$1843,AW1807,$BW$7:$BW$1843,"&lt;="&amp;BW1807),"")</f>
        <v/>
      </c>
      <c r="AY1807" s="58" t="n">
        <f aca="false">IF(AX1807="",0,MAX(0,MIN(1,(IF(CF1807="L1",Parameter!$H$5,IF(CF1807="L23",Parameter!$H$6+Parameter!$H$7,Parameter!$H$5+Parameter!$H$6+Parameter!$H$7))-(AX1807-AS1807))/AS1807)))</f>
        <v>0</v>
      </c>
      <c r="AZ1807" s="50" t="n">
        <f aca="false">IF(LEFT(Cockpit!$O$5,1)="A",H1807,IF(Parameter!$E$30="MAX-Bestand",IF(CH1807=1,CI1807,IF(LEFT(Cockpit!$O$5,1)="B",BF1807,MAX(BF1807,H1807))),ROUNDUP(BD1807,0)))</f>
        <v>0</v>
      </c>
      <c r="BA1807" s="50" t="n">
        <f aca="false">IF(BZ1807=1,0,ROUNDUP(AZ1807/BY1807,0))</f>
        <v>0</v>
      </c>
      <c r="BB1807" s="52" t="n">
        <f aca="false">IF(CQ1807&gt;0,CQ1807*MAX(1,AZ1807/X1807),IF(BZ1807=1,IF(AZ1807&lt;=0,0,CD1807*MAX(1,IF(H1807&gt;0,AZ1807/H1807,1))),IF(R1807&gt;0,BA1807/R1807,0))/MAX(0.1,N(Parameter!$M$21)))</f>
        <v>0</v>
      </c>
      <c r="BC1807" s="50" t="n">
        <f aca="false">BB1807*CB1807</f>
        <v>0</v>
      </c>
      <c r="BD1807" s="51" t="n">
        <f aca="false">IF(LEFT(Cockpit!$O$5,1)="A",H1807,IF(CH1807=1,(CK1807+CI1807)/2,IF(LEFT(Cockpit!$O$5,1)="B",(CK1807+BF1807)/2,MAX((CK1807+BF1807)/2,H1807))))</f>
        <v>0</v>
      </c>
      <c r="BE1807" s="50" t="n">
        <f aca="false">BD1807*G1807</f>
        <v>0</v>
      </c>
      <c r="BF1807" s="50" t="n">
        <f aca="false">ROUNDUP(CK1807+MAX(CL1807,2*(J1807/IF(CG1807&gt;0,CG1807,MAX(0.1,N(Cockpit!$O$6)))-CK1807)),0)</f>
        <v>0</v>
      </c>
      <c r="BG1807" s="51" t="n">
        <f aca="false">IF(BC1807&gt;0,J1807/BC1807,-1)</f>
        <v>-1</v>
      </c>
      <c r="BH1807" s="51" t="str">
        <f aca="false">IF(AND(OR(CF1807="L1",CF1807="L23",CF1807="LIFT"),BC1807&gt;0),SUMIFS($BC$7:$BC$1843,$CF$7:$CF$1843,CF1807,$BG$7:$BG$1843,"&gt;"&amp;BG1807)+SUMIFS($BC$7:$BC$1843,$CF$7:$CF$1843,CF1807,$BG$7:$BG$1843,BG1807,$BW$7:$BW$1843,"&lt;="&amp;BW1807),"")</f>
        <v/>
      </c>
      <c r="BI1807" s="58" t="n">
        <f aca="false">IF(BH1807="",0,MAX(0,MIN(1,(IF(CF1807="L1",Parameter!$H$5,IF(CF1807="L23",Parameter!$H$6+Parameter!$H$7,Parameter!$H$5+Parameter!$H$6+Parameter!$H$7))-(BH1807-BC1807))/BC1807)))</f>
        <v>0</v>
      </c>
      <c r="BJ1807" s="48" t="str">
        <f aca="false">IF(AI1807&lt;=0,"",IF(CF1807="Aussen","Aussenlager",IF(CF1807="-","Nicht im Lift",IF(AO1807&gt;=1,"Lift",IF(AO1807&lt;=0,"Aussenlager","teilweise")))))</f>
        <v/>
      </c>
      <c r="BK1807" s="48" t="str">
        <f aca="false">IF(AS1807&lt;=0,"",IF(CF1807="Aussen","Aussenlager",IF(CF1807="-","Nicht im Lift",IF(AY1807&gt;=1,"Lift",IF(AY1807&lt;=0,"Aussenlager","teilweise")))))</f>
        <v/>
      </c>
      <c r="BL1807" s="48" t="str">
        <f aca="false">IF(BC1807&lt;=0,"",IF(CF1807="Aussen","Aussenlager",IF(CF1807="-","Nicht im Lift",IF(BI1807&gt;=1,"Lift",IF(BI1807&lt;=0,"Aussenlager","teilweise")))))</f>
        <v/>
      </c>
      <c r="BM1807" s="48" t="str">
        <f aca="false">IF(A1807="","",IF(BV1807=1,"Neu; ","")&amp;IF(AND(BV1807=0,BQ1807&lt;0),"negativer Bestand (Export "&amp;BQ1807&amp;"); ","")&amp;IF(J1807&lt;=0,"Kein Verbrauch; ","")&amp;IF(CQ1807&gt;0,"Lift "&amp;W1807&amp;" lt. Liftbericht (Fach "&amp;X1807&amp;" Stk); ",IF(CA1807=1,"Gebinde geschätzt ("&amp;T1807&amp;"); ",IF(BZ1807=1,"Lose – Tablare geschätzt; ","")))&amp;IF(H1807&gt;AV1807,"Überbestand "&amp;ROUND(H1807-AV1807,0)&amp;" Stk / CHF "&amp;ROUND((H1807-AV1807)*G1807,0)&amp;"; ","")&amp;IF(AND(CH1807=1,CI1807&lt;CJ1807),"MAX &lt; MB+LG; ","")&amp;IF(AND(CP1807&gt;0,CO1807*10&gt;CP1807),"zu hoch für Tablar; ","")&amp;IF(AND(BV1807=0,OR(CH1807=1,AA1807&lt;&gt;"",U1807&lt;&gt;"",V1807&lt;&gt;"",AB1807&lt;&gt;"")),"manuell übersteuert; ","")&amp;IF(AND(BZ1807=0,R1807=0),"Gebinde unbekannt / Stellmass fehlt; ","")&amp;IF(AND(BZ1807=0,N(V1807)&lt;=0,N(Q1807)&lt;=0),"Menge pro Gebinde fehlt (Ist = 1 Gebinde); ","")&amp;BU1807)</f>
        <v/>
      </c>
      <c r="BN1807" s="48"/>
      <c r="BO1807" s="48"/>
      <c r="BP1807" s="55"/>
      <c r="BQ1807" s="50" t="n">
        <f aca="false">N('Neue Artikel'!$D$68)</f>
        <v>0</v>
      </c>
      <c r="BR1807" s="50" t="n">
        <v>0</v>
      </c>
      <c r="BS1807" s="49" t="n">
        <v>0</v>
      </c>
      <c r="BT1807" s="50" t="n">
        <f aca="false">N('Neue Artikel'!$C$68)/Parameter!$B$18</f>
        <v>0</v>
      </c>
      <c r="BU1807" s="48"/>
      <c r="BV1807" s="53" t="n">
        <v>1</v>
      </c>
      <c r="BW1807" s="53" t="n">
        <v>1807</v>
      </c>
      <c r="BX1807" s="48" t="str">
        <f aca="false">IF(U1807&lt;&gt;"",UPPER(TRIM(U1807)),IF(CA1807=1,UPPER(VLOOKUP(T1807,Parameter!$I$27:$K$29,2,0)),IF(P1807="","LOSE",P1807)))</f>
        <v>LOSE</v>
      </c>
      <c r="BY1807" s="50" t="n">
        <f aca="false">IF(BX1807="LOSE",1,IF(N(V1807)&gt;0,V1807,IF(CA1807=1,MAX(1,N(VLOOKUP(T1807,Parameter!$I$27:$K$29,3,0)),H1807,N(N1807)),IF(N(Q1807)&gt;0,Q1807,MAX(1,H1807)))))</f>
        <v>1</v>
      </c>
      <c r="BZ1807" s="53" t="n">
        <f aca="false">IF(BX1807="LOSE",1,0)</f>
        <v>1</v>
      </c>
      <c r="CA1807" s="53" t="n">
        <f aca="false">IF(AND(U1807="",OR(P1807="",P1807="LOSE"),T1807&lt;&gt;"",N(S1807)&lt;=0,ISNUMBER(MATCH(T1807,Parameter!$I$27:$I$29,0))),1,0)</f>
        <v>0</v>
      </c>
      <c r="CB1807" s="53" t="n">
        <f aca="false">IF(CQ1807&gt;0,INDEX(Parameter!$H$5:$H$7,W1807)/INDEX(Parameter!$E$5:$E$7,W1807),IF(AND(BZ1807=0,N(IFERROR(VLOOKUP(BX1807,'Gebinde-Kategorie'!$A$5:$N$45,14,0),0))&gt;0),VLOOKUP(BX1807,'Gebinde-Kategorie'!$A$5:$N$45,14,0)*10+Parameter!$M$23,Parameter!$M$24))</f>
        <v>235</v>
      </c>
      <c r="CC1807" s="48" t="str">
        <f aca="false">IF(AND(Parameter!$B$19="Ja",E1807&lt;&gt;"",ISNUMBER(MATCH(E1807,Parameter!$I$35:$I$52,0))),VLOOKUP(E1807,Parameter!$I$35:$J$52,2,0),IFERROR(VLOOKUP(D1807,Parameter!$A$35:$C$64,2,0),"Nein"))</f>
        <v>2+3</v>
      </c>
      <c r="CD1807" s="52" t="n">
        <f aca="false">IF(BZ1807=0,0,IF(N(S1807)&gt;0,S1807,IFERROR(VLOOKUP(D1807,Parameter!$A$35:$C$64,3,0)+0,0)))</f>
        <v>0.15</v>
      </c>
      <c r="CE1807" s="48" t="str">
        <f aca="false">IF(AA1807&lt;&gt;"",AA1807,Z1807)</f>
        <v/>
      </c>
      <c r="CF1807" s="48" t="str">
        <f aca="false">IF(OR(CE1807=1,CE1807=2,CE1807=3),IF(Parameter!$E$27="Ja","LIFT",IF(CE1807=1,"L1","L23")),IF(CE1807="Aussen","Aussen","-"))</f>
        <v>-</v>
      </c>
      <c r="CG1807" s="59" t="n">
        <f aca="false">IF(N(AB1807)&gt;0,AB1807,0)</f>
        <v>0</v>
      </c>
      <c r="CH1807" s="53" t="n">
        <f aca="false">IF(ISNUMBER(AE1807),1,0)</f>
        <v>0</v>
      </c>
      <c r="CI1807" s="50" t="n">
        <f aca="false">N(AE1807)</f>
        <v>0</v>
      </c>
      <c r="CJ1807" s="50" t="n">
        <f aca="false">N(M1807)+N(N1807)</f>
        <v>0</v>
      </c>
      <c r="CK1807" s="50" t="n">
        <f aca="false">N(M1807)</f>
        <v>0</v>
      </c>
      <c r="CL1807" s="50" t="n">
        <f aca="false">N(N1807)</f>
        <v>0</v>
      </c>
      <c r="CM1807" s="50" t="n">
        <f aca="false">ROUNDUP(H1807/BY1807,0)</f>
        <v>0</v>
      </c>
      <c r="CN1807" s="50" t="n">
        <f aca="false">ROUNDUP(CI1807/BY1807,0)</f>
        <v>0</v>
      </c>
      <c r="CO1807" s="53" t="n">
        <f aca="false">IF(BZ1807=1,0,IFERROR(VLOOKUP(BX1807,'Gebinde-Kategorie'!$A$5:$N$45,5,0)+0,0))</f>
        <v>0</v>
      </c>
      <c r="CP1807" s="53" t="n">
        <f aca="false">IFERROR(IF(OR(CE1807=1,CE1807=2,CE1807=3),N(INDEX(Parameter!$I$5:$I$7,CE1807)),0),0)</f>
        <v>0</v>
      </c>
      <c r="CQ1807" s="52" t="n">
        <f aca="false">IF(AND(Parameter!$B$21="Ja",ISNUMBER(W1807),N(X1807)&gt;0),IFERROR(N(INDEX(Parameter!$L$5:$L$7,W1807))*INDEX(Parameter!$E$5:$E$7,W1807)*X1807/SUMIFS($X$7:$X$1843,$W$7:$W$1843,W1807),0),0)</f>
        <v>0</v>
      </c>
    </row>
    <row r="1808" customFormat="false" ht="15" hidden="false" customHeight="false" outlineLevel="0" collapsed="false">
      <c r="A1808" s="48" t="str">
        <f aca="false">IF('Neue Artikel'!$A$69="","",'Neue Artikel'!$A$69&amp;"")</f>
        <v/>
      </c>
      <c r="B1808" s="48" t="str">
        <f aca="false">'Neue Artikel'!$B$69&amp;""</f>
        <v/>
      </c>
      <c r="C1808" s="48"/>
      <c r="D1808" s="48" t="s">
        <v>3024</v>
      </c>
      <c r="E1808" s="48"/>
      <c r="F1808" s="48"/>
      <c r="G1808" s="49" t="n">
        <f aca="false">N('Neue Artikel'!$G$69)</f>
        <v>0</v>
      </c>
      <c r="H1808" s="50" t="n">
        <f aca="false">MAX(0,IF(AND(Parameter!$B$21="Ja",ISNUMBER(Y1808)),Y1808,IF(Parameter!$B$20="Jahresanfang 2025 + Export",BR1808+BQ1808,BQ1808)))</f>
        <v>0</v>
      </c>
      <c r="I1808" s="50" t="n">
        <f aca="false">H1808*G1808</f>
        <v>0</v>
      </c>
      <c r="J1808" s="50" t="n">
        <f aca="false">BT1808*Parameter!$B$18</f>
        <v>0</v>
      </c>
      <c r="K1808" s="51"/>
      <c r="L1808" s="52"/>
      <c r="M1808" s="50" t="n">
        <f aca="false">N('Neue Artikel'!$E$69)</f>
        <v>0</v>
      </c>
      <c r="N1808" s="50" t="n">
        <f aca="false">N('Neue Artikel'!$F$69)</f>
        <v>0</v>
      </c>
      <c r="O1808" s="53"/>
      <c r="P1808" s="48" t="str">
        <f aca="false">IF('Neue Artikel'!$H$69="","LOSE",UPPER(TRIM('Neue Artikel'!$H$69)))</f>
        <v>LOSE</v>
      </c>
      <c r="Q1808" s="50" t="n">
        <f aca="false">N('Neue Artikel'!$I$69)</f>
        <v>0</v>
      </c>
      <c r="R1808" s="53" t="n">
        <f aca="false">IF(BZ1808=1,0,IFERROR(VLOOKUP(BX1808,'Gebinde-Kategorie'!$A$5:$N$45,13,0)+0,0))</f>
        <v>0</v>
      </c>
      <c r="S1808" s="54"/>
      <c r="T1808" s="55"/>
      <c r="U1808" s="55"/>
      <c r="V1808" s="55"/>
      <c r="W1808" s="48"/>
      <c r="X1808" s="50"/>
      <c r="Y1808" s="50"/>
      <c r="Z1808" s="48" t="str">
        <f aca="false">IF(A1808="","",IF(AND(Parameter!$B$21="Ja",ISNUMBER(W1808)),W1808,IF(CC1808="2+3",IF(ISNUMBER(SEARCH("grosser Artikel",BU1808)),2,IFERROR(VLOOKUP(BX1808,Parameter!$F$35:$G$64,2,0),2)),IF(OR(CC1808="Nein",CC1808=""),"-",CC1808))))</f>
        <v/>
      </c>
      <c r="AA1808" s="48" t="str">
        <f aca="false">IF('Neue Artikel'!$J$69="","",'Neue Artikel'!$J$69)</f>
        <v/>
      </c>
      <c r="AB1808" s="56"/>
      <c r="AC1808" s="50" t="n">
        <f aca="false">AV1808</f>
        <v>0</v>
      </c>
      <c r="AD1808" s="50" t="n">
        <f aca="false">MAX(AV1808,H1808)</f>
        <v>0</v>
      </c>
      <c r="AE1808" s="57"/>
      <c r="AF1808" s="50" t="n">
        <f aca="false">IF(LEFT(Cockpit!$C$5,1)="A",H1808,IF(Parameter!$E$30="MAX-Bestand",IF(CH1808=1,CI1808,IF(LEFT(Cockpit!$C$5,1)="B",AL1808,MAX(AL1808,H1808))),ROUNDUP(AJ1808,0)))</f>
        <v>0</v>
      </c>
      <c r="AG1808" s="50" t="n">
        <f aca="false">IF(BZ1808=1,0,ROUNDUP(AF1808/BY1808,0))</f>
        <v>0</v>
      </c>
      <c r="AH1808" s="52" t="n">
        <f aca="false">IF(CQ1808&gt;0,CQ1808*MAX(1,AF1808/X1808),IF(BZ1808=1,IF(AF1808&lt;=0,0,CD1808*MAX(1,IF(H1808&gt;0,AF1808/H1808,1))),IF(R1808&gt;0,AG1808/R1808,0))/MAX(0.1,N(Parameter!$M$21)))</f>
        <v>0</v>
      </c>
      <c r="AI1808" s="50" t="n">
        <f aca="false">AH1808*CB1808</f>
        <v>0</v>
      </c>
      <c r="AJ1808" s="51" t="n">
        <f aca="false">IF(LEFT(Cockpit!$C$5,1)="A",H1808,IF(CH1808=1,(CK1808+CI1808)/2,IF(LEFT(Cockpit!$C$5,1)="B",(CK1808+AL1808)/2,MAX((CK1808+AL1808)/2,H1808))))</f>
        <v>0</v>
      </c>
      <c r="AK1808" s="50" t="n">
        <f aca="false">AJ1808*G1808</f>
        <v>0</v>
      </c>
      <c r="AL1808" s="50" t="n">
        <f aca="false">ROUNDUP(CK1808+MAX(CL1808,2*(J1808/IF(CG1808&gt;0,CG1808,MAX(0.1,N(Cockpit!$C$6)))-CK1808)),0)</f>
        <v>0</v>
      </c>
      <c r="AM1808" s="51" t="n">
        <f aca="false">IF(AI1808&gt;0,J1808/AI1808,-1)</f>
        <v>-1</v>
      </c>
      <c r="AN1808" s="51" t="str">
        <f aca="false">IF(AND(OR(CF1808="L1",CF1808="L23",CF1808="LIFT"),AI1808&gt;0),SUMIFS($AI$7:$AI$1843,$CF$7:$CF$1843,CF1808,$AM$7:$AM$1843,"&gt;"&amp;AM1808)+SUMIFS($AI$7:$AI$1843,$CF$7:$CF$1843,CF1808,$AM$7:$AM$1843,AM1808,$BW$7:$BW$1843,"&lt;="&amp;BW1808),"")</f>
        <v/>
      </c>
      <c r="AO1808" s="58" t="n">
        <f aca="false">IF(AN1808="",0,MAX(0,MIN(1,(IF(CF1808="L1",Parameter!$H$5,IF(CF1808="L23",Parameter!$H$6+Parameter!$H$7,Parameter!$H$5+Parameter!$H$6+Parameter!$H$7))-(AN1808-AI1808))/AI1808)))</f>
        <v>0</v>
      </c>
      <c r="AP1808" s="50" t="n">
        <f aca="false">IF(LEFT(Cockpit!$I$5,1)="A",H1808,IF(Parameter!$E$30="MAX-Bestand",IF(CH1808=1,CI1808,IF(LEFT(Cockpit!$I$5,1)="B",AV1808,MAX(AV1808,H1808))),ROUNDUP(AT1808,0)))</f>
        <v>0</v>
      </c>
      <c r="AQ1808" s="50" t="n">
        <f aca="false">IF(BZ1808=1,0,ROUNDUP(AP1808/BY1808,0))</f>
        <v>0</v>
      </c>
      <c r="AR1808" s="52" t="n">
        <f aca="false">IF(CQ1808&gt;0,CQ1808*MAX(1,AP1808/X1808),IF(BZ1808=1,IF(AP1808&lt;=0,0,CD1808*MAX(1,IF(H1808&gt;0,AP1808/H1808,1))),IF(R1808&gt;0,AQ1808/R1808,0))/MAX(0.1,N(Parameter!$M$21)))</f>
        <v>0</v>
      </c>
      <c r="AS1808" s="50" t="n">
        <f aca="false">AR1808*CB1808</f>
        <v>0</v>
      </c>
      <c r="AT1808" s="51" t="n">
        <f aca="false">IF(LEFT(Cockpit!$I$5,1)="A",H1808,IF(CH1808=1,(CK1808+CI1808)/2,IF(LEFT(Cockpit!$I$5,1)="B",(CK1808+AV1808)/2,MAX((CK1808+AV1808)/2,H1808))))</f>
        <v>0</v>
      </c>
      <c r="AU1808" s="50" t="n">
        <f aca="false">AT1808*G1808</f>
        <v>0</v>
      </c>
      <c r="AV1808" s="50" t="n">
        <f aca="false">ROUNDUP(CK1808+MAX(CL1808,2*(J1808/IF(CG1808&gt;0,CG1808,MAX(0.1,N(Cockpit!$I$6)))-CK1808)),0)</f>
        <v>0</v>
      </c>
      <c r="AW1808" s="51" t="n">
        <f aca="false">IF(AS1808&gt;0,J1808/AS1808,-1)</f>
        <v>-1</v>
      </c>
      <c r="AX1808" s="51" t="str">
        <f aca="false">IF(AND(OR(CF1808="L1",CF1808="L23",CF1808="LIFT"),AS1808&gt;0),SUMIFS($AS$7:$AS$1843,$CF$7:$CF$1843,CF1808,$AW$7:$AW$1843,"&gt;"&amp;AW1808)+SUMIFS($AS$7:$AS$1843,$CF$7:$CF$1843,CF1808,$AW$7:$AW$1843,AW1808,$BW$7:$BW$1843,"&lt;="&amp;BW1808),"")</f>
        <v/>
      </c>
      <c r="AY1808" s="58" t="n">
        <f aca="false">IF(AX1808="",0,MAX(0,MIN(1,(IF(CF1808="L1",Parameter!$H$5,IF(CF1808="L23",Parameter!$H$6+Parameter!$H$7,Parameter!$H$5+Parameter!$H$6+Parameter!$H$7))-(AX1808-AS1808))/AS1808)))</f>
        <v>0</v>
      </c>
      <c r="AZ1808" s="50" t="n">
        <f aca="false">IF(LEFT(Cockpit!$O$5,1)="A",H1808,IF(Parameter!$E$30="MAX-Bestand",IF(CH1808=1,CI1808,IF(LEFT(Cockpit!$O$5,1)="B",BF1808,MAX(BF1808,H1808))),ROUNDUP(BD1808,0)))</f>
        <v>0</v>
      </c>
      <c r="BA1808" s="50" t="n">
        <f aca="false">IF(BZ1808=1,0,ROUNDUP(AZ1808/BY1808,0))</f>
        <v>0</v>
      </c>
      <c r="BB1808" s="52" t="n">
        <f aca="false">IF(CQ1808&gt;0,CQ1808*MAX(1,AZ1808/X1808),IF(BZ1808=1,IF(AZ1808&lt;=0,0,CD1808*MAX(1,IF(H1808&gt;0,AZ1808/H1808,1))),IF(R1808&gt;0,BA1808/R1808,0))/MAX(0.1,N(Parameter!$M$21)))</f>
        <v>0</v>
      </c>
      <c r="BC1808" s="50" t="n">
        <f aca="false">BB1808*CB1808</f>
        <v>0</v>
      </c>
      <c r="BD1808" s="51" t="n">
        <f aca="false">IF(LEFT(Cockpit!$O$5,1)="A",H1808,IF(CH1808=1,(CK1808+CI1808)/2,IF(LEFT(Cockpit!$O$5,1)="B",(CK1808+BF1808)/2,MAX((CK1808+BF1808)/2,H1808))))</f>
        <v>0</v>
      </c>
      <c r="BE1808" s="50" t="n">
        <f aca="false">BD1808*G1808</f>
        <v>0</v>
      </c>
      <c r="BF1808" s="50" t="n">
        <f aca="false">ROUNDUP(CK1808+MAX(CL1808,2*(J1808/IF(CG1808&gt;0,CG1808,MAX(0.1,N(Cockpit!$O$6)))-CK1808)),0)</f>
        <v>0</v>
      </c>
      <c r="BG1808" s="51" t="n">
        <f aca="false">IF(BC1808&gt;0,J1808/BC1808,-1)</f>
        <v>-1</v>
      </c>
      <c r="BH1808" s="51" t="str">
        <f aca="false">IF(AND(OR(CF1808="L1",CF1808="L23",CF1808="LIFT"),BC1808&gt;0),SUMIFS($BC$7:$BC$1843,$CF$7:$CF$1843,CF1808,$BG$7:$BG$1843,"&gt;"&amp;BG1808)+SUMIFS($BC$7:$BC$1843,$CF$7:$CF$1843,CF1808,$BG$7:$BG$1843,BG1808,$BW$7:$BW$1843,"&lt;="&amp;BW1808),"")</f>
        <v/>
      </c>
      <c r="BI1808" s="58" t="n">
        <f aca="false">IF(BH1808="",0,MAX(0,MIN(1,(IF(CF1808="L1",Parameter!$H$5,IF(CF1808="L23",Parameter!$H$6+Parameter!$H$7,Parameter!$H$5+Parameter!$H$6+Parameter!$H$7))-(BH1808-BC1808))/BC1808)))</f>
        <v>0</v>
      </c>
      <c r="BJ1808" s="48" t="str">
        <f aca="false">IF(AI1808&lt;=0,"",IF(CF1808="Aussen","Aussenlager",IF(CF1808="-","Nicht im Lift",IF(AO1808&gt;=1,"Lift",IF(AO1808&lt;=0,"Aussenlager","teilweise")))))</f>
        <v/>
      </c>
      <c r="BK1808" s="48" t="str">
        <f aca="false">IF(AS1808&lt;=0,"",IF(CF1808="Aussen","Aussenlager",IF(CF1808="-","Nicht im Lift",IF(AY1808&gt;=1,"Lift",IF(AY1808&lt;=0,"Aussenlager","teilweise")))))</f>
        <v/>
      </c>
      <c r="BL1808" s="48" t="str">
        <f aca="false">IF(BC1808&lt;=0,"",IF(CF1808="Aussen","Aussenlager",IF(CF1808="-","Nicht im Lift",IF(BI1808&gt;=1,"Lift",IF(BI1808&lt;=0,"Aussenlager","teilweise")))))</f>
        <v/>
      </c>
      <c r="BM1808" s="48" t="str">
        <f aca="false">IF(A1808="","",IF(BV1808=1,"Neu; ","")&amp;IF(AND(BV1808=0,BQ1808&lt;0),"negativer Bestand (Export "&amp;BQ1808&amp;"); ","")&amp;IF(J1808&lt;=0,"Kein Verbrauch; ","")&amp;IF(CQ1808&gt;0,"Lift "&amp;W1808&amp;" lt. Liftbericht (Fach "&amp;X1808&amp;" Stk); ",IF(CA1808=1,"Gebinde geschätzt ("&amp;T1808&amp;"); ",IF(BZ1808=1,"Lose – Tablare geschätzt; ","")))&amp;IF(H1808&gt;AV1808,"Überbestand "&amp;ROUND(H1808-AV1808,0)&amp;" Stk / CHF "&amp;ROUND((H1808-AV1808)*G1808,0)&amp;"; ","")&amp;IF(AND(CH1808=1,CI1808&lt;CJ1808),"MAX &lt; MB+LG; ","")&amp;IF(AND(CP1808&gt;0,CO1808*10&gt;CP1808),"zu hoch für Tablar; ","")&amp;IF(AND(BV1808=0,OR(CH1808=1,AA1808&lt;&gt;"",U1808&lt;&gt;"",V1808&lt;&gt;"",AB1808&lt;&gt;"")),"manuell übersteuert; ","")&amp;IF(AND(BZ1808=0,R1808=0),"Gebinde unbekannt / Stellmass fehlt; ","")&amp;IF(AND(BZ1808=0,N(V1808)&lt;=0,N(Q1808)&lt;=0),"Menge pro Gebinde fehlt (Ist = 1 Gebinde); ","")&amp;BU1808)</f>
        <v/>
      </c>
      <c r="BN1808" s="48"/>
      <c r="BO1808" s="48"/>
      <c r="BP1808" s="55"/>
      <c r="BQ1808" s="50" t="n">
        <f aca="false">N('Neue Artikel'!$D$69)</f>
        <v>0</v>
      </c>
      <c r="BR1808" s="50" t="n">
        <v>0</v>
      </c>
      <c r="BS1808" s="49" t="n">
        <v>0</v>
      </c>
      <c r="BT1808" s="50" t="n">
        <f aca="false">N('Neue Artikel'!$C$69)/Parameter!$B$18</f>
        <v>0</v>
      </c>
      <c r="BU1808" s="48"/>
      <c r="BV1808" s="53" t="n">
        <v>1</v>
      </c>
      <c r="BW1808" s="53" t="n">
        <v>1808</v>
      </c>
      <c r="BX1808" s="48" t="str">
        <f aca="false">IF(U1808&lt;&gt;"",UPPER(TRIM(U1808)),IF(CA1808=1,UPPER(VLOOKUP(T1808,Parameter!$I$27:$K$29,2,0)),IF(P1808="","LOSE",P1808)))</f>
        <v>LOSE</v>
      </c>
      <c r="BY1808" s="50" t="n">
        <f aca="false">IF(BX1808="LOSE",1,IF(N(V1808)&gt;0,V1808,IF(CA1808=1,MAX(1,N(VLOOKUP(T1808,Parameter!$I$27:$K$29,3,0)),H1808,N(N1808)),IF(N(Q1808)&gt;0,Q1808,MAX(1,H1808)))))</f>
        <v>1</v>
      </c>
      <c r="BZ1808" s="53" t="n">
        <f aca="false">IF(BX1808="LOSE",1,0)</f>
        <v>1</v>
      </c>
      <c r="CA1808" s="53" t="n">
        <f aca="false">IF(AND(U1808="",OR(P1808="",P1808="LOSE"),T1808&lt;&gt;"",N(S1808)&lt;=0,ISNUMBER(MATCH(T1808,Parameter!$I$27:$I$29,0))),1,0)</f>
        <v>0</v>
      </c>
      <c r="CB1808" s="53" t="n">
        <f aca="false">IF(CQ1808&gt;0,INDEX(Parameter!$H$5:$H$7,W1808)/INDEX(Parameter!$E$5:$E$7,W1808),IF(AND(BZ1808=0,N(IFERROR(VLOOKUP(BX1808,'Gebinde-Kategorie'!$A$5:$N$45,14,0),0))&gt;0),VLOOKUP(BX1808,'Gebinde-Kategorie'!$A$5:$N$45,14,0)*10+Parameter!$M$23,Parameter!$M$24))</f>
        <v>235</v>
      </c>
      <c r="CC1808" s="48" t="str">
        <f aca="false">IF(AND(Parameter!$B$19="Ja",E1808&lt;&gt;"",ISNUMBER(MATCH(E1808,Parameter!$I$35:$I$52,0))),VLOOKUP(E1808,Parameter!$I$35:$J$52,2,0),IFERROR(VLOOKUP(D1808,Parameter!$A$35:$C$64,2,0),"Nein"))</f>
        <v>2+3</v>
      </c>
      <c r="CD1808" s="52" t="n">
        <f aca="false">IF(BZ1808=0,0,IF(N(S1808)&gt;0,S1808,IFERROR(VLOOKUP(D1808,Parameter!$A$35:$C$64,3,0)+0,0)))</f>
        <v>0.15</v>
      </c>
      <c r="CE1808" s="48" t="str">
        <f aca="false">IF(AA1808&lt;&gt;"",AA1808,Z1808)</f>
        <v/>
      </c>
      <c r="CF1808" s="48" t="str">
        <f aca="false">IF(OR(CE1808=1,CE1808=2,CE1808=3),IF(Parameter!$E$27="Ja","LIFT",IF(CE1808=1,"L1","L23")),IF(CE1808="Aussen","Aussen","-"))</f>
        <v>-</v>
      </c>
      <c r="CG1808" s="59" t="n">
        <f aca="false">IF(N(AB1808)&gt;0,AB1808,0)</f>
        <v>0</v>
      </c>
      <c r="CH1808" s="53" t="n">
        <f aca="false">IF(ISNUMBER(AE1808),1,0)</f>
        <v>0</v>
      </c>
      <c r="CI1808" s="50" t="n">
        <f aca="false">N(AE1808)</f>
        <v>0</v>
      </c>
      <c r="CJ1808" s="50" t="n">
        <f aca="false">N(M1808)+N(N1808)</f>
        <v>0</v>
      </c>
      <c r="CK1808" s="50" t="n">
        <f aca="false">N(M1808)</f>
        <v>0</v>
      </c>
      <c r="CL1808" s="50" t="n">
        <f aca="false">N(N1808)</f>
        <v>0</v>
      </c>
      <c r="CM1808" s="50" t="n">
        <f aca="false">ROUNDUP(H1808/BY1808,0)</f>
        <v>0</v>
      </c>
      <c r="CN1808" s="50" t="n">
        <f aca="false">ROUNDUP(CI1808/BY1808,0)</f>
        <v>0</v>
      </c>
      <c r="CO1808" s="53" t="n">
        <f aca="false">IF(BZ1808=1,0,IFERROR(VLOOKUP(BX1808,'Gebinde-Kategorie'!$A$5:$N$45,5,0)+0,0))</f>
        <v>0</v>
      </c>
      <c r="CP1808" s="53" t="n">
        <f aca="false">IFERROR(IF(OR(CE1808=1,CE1808=2,CE1808=3),N(INDEX(Parameter!$I$5:$I$7,CE1808)),0),0)</f>
        <v>0</v>
      </c>
      <c r="CQ1808" s="52" t="n">
        <f aca="false">IF(AND(Parameter!$B$21="Ja",ISNUMBER(W1808),N(X1808)&gt;0),IFERROR(N(INDEX(Parameter!$L$5:$L$7,W1808))*INDEX(Parameter!$E$5:$E$7,W1808)*X1808/SUMIFS($X$7:$X$1843,$W$7:$W$1843,W1808),0),0)</f>
        <v>0</v>
      </c>
    </row>
    <row r="1809" customFormat="false" ht="15" hidden="false" customHeight="false" outlineLevel="0" collapsed="false">
      <c r="A1809" s="48" t="str">
        <f aca="false">IF('Neue Artikel'!$A$70="","",'Neue Artikel'!$A$70&amp;"")</f>
        <v/>
      </c>
      <c r="B1809" s="48" t="str">
        <f aca="false">'Neue Artikel'!$B$70&amp;""</f>
        <v/>
      </c>
      <c r="C1809" s="48"/>
      <c r="D1809" s="48" t="s">
        <v>3024</v>
      </c>
      <c r="E1809" s="48"/>
      <c r="F1809" s="48"/>
      <c r="G1809" s="49" t="n">
        <f aca="false">N('Neue Artikel'!$G$70)</f>
        <v>0</v>
      </c>
      <c r="H1809" s="50" t="n">
        <f aca="false">MAX(0,IF(AND(Parameter!$B$21="Ja",ISNUMBER(Y1809)),Y1809,IF(Parameter!$B$20="Jahresanfang 2025 + Export",BR1809+BQ1809,BQ1809)))</f>
        <v>0</v>
      </c>
      <c r="I1809" s="50" t="n">
        <f aca="false">H1809*G1809</f>
        <v>0</v>
      </c>
      <c r="J1809" s="50" t="n">
        <f aca="false">BT1809*Parameter!$B$18</f>
        <v>0</v>
      </c>
      <c r="K1809" s="51"/>
      <c r="L1809" s="52"/>
      <c r="M1809" s="50" t="n">
        <f aca="false">N('Neue Artikel'!$E$70)</f>
        <v>0</v>
      </c>
      <c r="N1809" s="50" t="n">
        <f aca="false">N('Neue Artikel'!$F$70)</f>
        <v>0</v>
      </c>
      <c r="O1809" s="53"/>
      <c r="P1809" s="48" t="str">
        <f aca="false">IF('Neue Artikel'!$H$70="","LOSE",UPPER(TRIM('Neue Artikel'!$H$70)))</f>
        <v>LOSE</v>
      </c>
      <c r="Q1809" s="50" t="n">
        <f aca="false">N('Neue Artikel'!$I$70)</f>
        <v>0</v>
      </c>
      <c r="R1809" s="53" t="n">
        <f aca="false">IF(BZ1809=1,0,IFERROR(VLOOKUP(BX1809,'Gebinde-Kategorie'!$A$5:$N$45,13,0)+0,0))</f>
        <v>0</v>
      </c>
      <c r="S1809" s="54"/>
      <c r="T1809" s="55"/>
      <c r="U1809" s="55"/>
      <c r="V1809" s="55"/>
      <c r="W1809" s="48"/>
      <c r="X1809" s="50"/>
      <c r="Y1809" s="50"/>
      <c r="Z1809" s="48" t="str">
        <f aca="false">IF(A1809="","",IF(AND(Parameter!$B$21="Ja",ISNUMBER(W1809)),W1809,IF(CC1809="2+3",IF(ISNUMBER(SEARCH("grosser Artikel",BU1809)),2,IFERROR(VLOOKUP(BX1809,Parameter!$F$35:$G$64,2,0),2)),IF(OR(CC1809="Nein",CC1809=""),"-",CC1809))))</f>
        <v/>
      </c>
      <c r="AA1809" s="48" t="str">
        <f aca="false">IF('Neue Artikel'!$J$70="","",'Neue Artikel'!$J$70)</f>
        <v/>
      </c>
      <c r="AB1809" s="56"/>
      <c r="AC1809" s="50" t="n">
        <f aca="false">AV1809</f>
        <v>0</v>
      </c>
      <c r="AD1809" s="50" t="n">
        <f aca="false">MAX(AV1809,H1809)</f>
        <v>0</v>
      </c>
      <c r="AE1809" s="57"/>
      <c r="AF1809" s="50" t="n">
        <f aca="false">IF(LEFT(Cockpit!$C$5,1)="A",H1809,IF(Parameter!$E$30="MAX-Bestand",IF(CH1809=1,CI1809,IF(LEFT(Cockpit!$C$5,1)="B",AL1809,MAX(AL1809,H1809))),ROUNDUP(AJ1809,0)))</f>
        <v>0</v>
      </c>
      <c r="AG1809" s="50" t="n">
        <f aca="false">IF(BZ1809=1,0,ROUNDUP(AF1809/BY1809,0))</f>
        <v>0</v>
      </c>
      <c r="AH1809" s="52" t="n">
        <f aca="false">IF(CQ1809&gt;0,CQ1809*MAX(1,AF1809/X1809),IF(BZ1809=1,IF(AF1809&lt;=0,0,CD1809*MAX(1,IF(H1809&gt;0,AF1809/H1809,1))),IF(R1809&gt;0,AG1809/R1809,0))/MAX(0.1,N(Parameter!$M$21)))</f>
        <v>0</v>
      </c>
      <c r="AI1809" s="50" t="n">
        <f aca="false">AH1809*CB1809</f>
        <v>0</v>
      </c>
      <c r="AJ1809" s="51" t="n">
        <f aca="false">IF(LEFT(Cockpit!$C$5,1)="A",H1809,IF(CH1809=1,(CK1809+CI1809)/2,IF(LEFT(Cockpit!$C$5,1)="B",(CK1809+AL1809)/2,MAX((CK1809+AL1809)/2,H1809))))</f>
        <v>0</v>
      </c>
      <c r="AK1809" s="50" t="n">
        <f aca="false">AJ1809*G1809</f>
        <v>0</v>
      </c>
      <c r="AL1809" s="50" t="n">
        <f aca="false">ROUNDUP(CK1809+MAX(CL1809,2*(J1809/IF(CG1809&gt;0,CG1809,MAX(0.1,N(Cockpit!$C$6)))-CK1809)),0)</f>
        <v>0</v>
      </c>
      <c r="AM1809" s="51" t="n">
        <f aca="false">IF(AI1809&gt;0,J1809/AI1809,-1)</f>
        <v>-1</v>
      </c>
      <c r="AN1809" s="51" t="str">
        <f aca="false">IF(AND(OR(CF1809="L1",CF1809="L23",CF1809="LIFT"),AI1809&gt;0),SUMIFS($AI$7:$AI$1843,$CF$7:$CF$1843,CF1809,$AM$7:$AM$1843,"&gt;"&amp;AM1809)+SUMIFS($AI$7:$AI$1843,$CF$7:$CF$1843,CF1809,$AM$7:$AM$1843,AM1809,$BW$7:$BW$1843,"&lt;="&amp;BW1809),"")</f>
        <v/>
      </c>
      <c r="AO1809" s="58" t="n">
        <f aca="false">IF(AN1809="",0,MAX(0,MIN(1,(IF(CF1809="L1",Parameter!$H$5,IF(CF1809="L23",Parameter!$H$6+Parameter!$H$7,Parameter!$H$5+Parameter!$H$6+Parameter!$H$7))-(AN1809-AI1809))/AI1809)))</f>
        <v>0</v>
      </c>
      <c r="AP1809" s="50" t="n">
        <f aca="false">IF(LEFT(Cockpit!$I$5,1)="A",H1809,IF(Parameter!$E$30="MAX-Bestand",IF(CH1809=1,CI1809,IF(LEFT(Cockpit!$I$5,1)="B",AV1809,MAX(AV1809,H1809))),ROUNDUP(AT1809,0)))</f>
        <v>0</v>
      </c>
      <c r="AQ1809" s="50" t="n">
        <f aca="false">IF(BZ1809=1,0,ROUNDUP(AP1809/BY1809,0))</f>
        <v>0</v>
      </c>
      <c r="AR1809" s="52" t="n">
        <f aca="false">IF(CQ1809&gt;0,CQ1809*MAX(1,AP1809/X1809),IF(BZ1809=1,IF(AP1809&lt;=0,0,CD1809*MAX(1,IF(H1809&gt;0,AP1809/H1809,1))),IF(R1809&gt;0,AQ1809/R1809,0))/MAX(0.1,N(Parameter!$M$21)))</f>
        <v>0</v>
      </c>
      <c r="AS1809" s="50" t="n">
        <f aca="false">AR1809*CB1809</f>
        <v>0</v>
      </c>
      <c r="AT1809" s="51" t="n">
        <f aca="false">IF(LEFT(Cockpit!$I$5,1)="A",H1809,IF(CH1809=1,(CK1809+CI1809)/2,IF(LEFT(Cockpit!$I$5,1)="B",(CK1809+AV1809)/2,MAX((CK1809+AV1809)/2,H1809))))</f>
        <v>0</v>
      </c>
      <c r="AU1809" s="50" t="n">
        <f aca="false">AT1809*G1809</f>
        <v>0</v>
      </c>
      <c r="AV1809" s="50" t="n">
        <f aca="false">ROUNDUP(CK1809+MAX(CL1809,2*(J1809/IF(CG1809&gt;0,CG1809,MAX(0.1,N(Cockpit!$I$6)))-CK1809)),0)</f>
        <v>0</v>
      </c>
      <c r="AW1809" s="51" t="n">
        <f aca="false">IF(AS1809&gt;0,J1809/AS1809,-1)</f>
        <v>-1</v>
      </c>
      <c r="AX1809" s="51" t="str">
        <f aca="false">IF(AND(OR(CF1809="L1",CF1809="L23",CF1809="LIFT"),AS1809&gt;0),SUMIFS($AS$7:$AS$1843,$CF$7:$CF$1843,CF1809,$AW$7:$AW$1843,"&gt;"&amp;AW1809)+SUMIFS($AS$7:$AS$1843,$CF$7:$CF$1843,CF1809,$AW$7:$AW$1843,AW1809,$BW$7:$BW$1843,"&lt;="&amp;BW1809),"")</f>
        <v/>
      </c>
      <c r="AY1809" s="58" t="n">
        <f aca="false">IF(AX1809="",0,MAX(0,MIN(1,(IF(CF1809="L1",Parameter!$H$5,IF(CF1809="L23",Parameter!$H$6+Parameter!$H$7,Parameter!$H$5+Parameter!$H$6+Parameter!$H$7))-(AX1809-AS1809))/AS1809)))</f>
        <v>0</v>
      </c>
      <c r="AZ1809" s="50" t="n">
        <f aca="false">IF(LEFT(Cockpit!$O$5,1)="A",H1809,IF(Parameter!$E$30="MAX-Bestand",IF(CH1809=1,CI1809,IF(LEFT(Cockpit!$O$5,1)="B",BF1809,MAX(BF1809,H1809))),ROUNDUP(BD1809,0)))</f>
        <v>0</v>
      </c>
      <c r="BA1809" s="50" t="n">
        <f aca="false">IF(BZ1809=1,0,ROUNDUP(AZ1809/BY1809,0))</f>
        <v>0</v>
      </c>
      <c r="BB1809" s="52" t="n">
        <f aca="false">IF(CQ1809&gt;0,CQ1809*MAX(1,AZ1809/X1809),IF(BZ1809=1,IF(AZ1809&lt;=0,0,CD1809*MAX(1,IF(H1809&gt;0,AZ1809/H1809,1))),IF(R1809&gt;0,BA1809/R1809,0))/MAX(0.1,N(Parameter!$M$21)))</f>
        <v>0</v>
      </c>
      <c r="BC1809" s="50" t="n">
        <f aca="false">BB1809*CB1809</f>
        <v>0</v>
      </c>
      <c r="BD1809" s="51" t="n">
        <f aca="false">IF(LEFT(Cockpit!$O$5,1)="A",H1809,IF(CH1809=1,(CK1809+CI1809)/2,IF(LEFT(Cockpit!$O$5,1)="B",(CK1809+BF1809)/2,MAX((CK1809+BF1809)/2,H1809))))</f>
        <v>0</v>
      </c>
      <c r="BE1809" s="50" t="n">
        <f aca="false">BD1809*G1809</f>
        <v>0</v>
      </c>
      <c r="BF1809" s="50" t="n">
        <f aca="false">ROUNDUP(CK1809+MAX(CL1809,2*(J1809/IF(CG1809&gt;0,CG1809,MAX(0.1,N(Cockpit!$O$6)))-CK1809)),0)</f>
        <v>0</v>
      </c>
      <c r="BG1809" s="51" t="n">
        <f aca="false">IF(BC1809&gt;0,J1809/BC1809,-1)</f>
        <v>-1</v>
      </c>
      <c r="BH1809" s="51" t="str">
        <f aca="false">IF(AND(OR(CF1809="L1",CF1809="L23",CF1809="LIFT"),BC1809&gt;0),SUMIFS($BC$7:$BC$1843,$CF$7:$CF$1843,CF1809,$BG$7:$BG$1843,"&gt;"&amp;BG1809)+SUMIFS($BC$7:$BC$1843,$CF$7:$CF$1843,CF1809,$BG$7:$BG$1843,BG1809,$BW$7:$BW$1843,"&lt;="&amp;BW1809),"")</f>
        <v/>
      </c>
      <c r="BI1809" s="58" t="n">
        <f aca="false">IF(BH1809="",0,MAX(0,MIN(1,(IF(CF1809="L1",Parameter!$H$5,IF(CF1809="L23",Parameter!$H$6+Parameter!$H$7,Parameter!$H$5+Parameter!$H$6+Parameter!$H$7))-(BH1809-BC1809))/BC1809)))</f>
        <v>0</v>
      </c>
      <c r="BJ1809" s="48" t="str">
        <f aca="false">IF(AI1809&lt;=0,"",IF(CF1809="Aussen","Aussenlager",IF(CF1809="-","Nicht im Lift",IF(AO1809&gt;=1,"Lift",IF(AO1809&lt;=0,"Aussenlager","teilweise")))))</f>
        <v/>
      </c>
      <c r="BK1809" s="48" t="str">
        <f aca="false">IF(AS1809&lt;=0,"",IF(CF1809="Aussen","Aussenlager",IF(CF1809="-","Nicht im Lift",IF(AY1809&gt;=1,"Lift",IF(AY1809&lt;=0,"Aussenlager","teilweise")))))</f>
        <v/>
      </c>
      <c r="BL1809" s="48" t="str">
        <f aca="false">IF(BC1809&lt;=0,"",IF(CF1809="Aussen","Aussenlager",IF(CF1809="-","Nicht im Lift",IF(BI1809&gt;=1,"Lift",IF(BI1809&lt;=0,"Aussenlager","teilweise")))))</f>
        <v/>
      </c>
      <c r="BM1809" s="48" t="str">
        <f aca="false">IF(A1809="","",IF(BV1809=1,"Neu; ","")&amp;IF(AND(BV1809=0,BQ1809&lt;0),"negativer Bestand (Export "&amp;BQ1809&amp;"); ","")&amp;IF(J1809&lt;=0,"Kein Verbrauch; ","")&amp;IF(CQ1809&gt;0,"Lift "&amp;W1809&amp;" lt. Liftbericht (Fach "&amp;X1809&amp;" Stk); ",IF(CA1809=1,"Gebinde geschätzt ("&amp;T1809&amp;"); ",IF(BZ1809=1,"Lose – Tablare geschätzt; ","")))&amp;IF(H1809&gt;AV1809,"Überbestand "&amp;ROUND(H1809-AV1809,0)&amp;" Stk / CHF "&amp;ROUND((H1809-AV1809)*G1809,0)&amp;"; ","")&amp;IF(AND(CH1809=1,CI1809&lt;CJ1809),"MAX &lt; MB+LG; ","")&amp;IF(AND(CP1809&gt;0,CO1809*10&gt;CP1809),"zu hoch für Tablar; ","")&amp;IF(AND(BV1809=0,OR(CH1809=1,AA1809&lt;&gt;"",U1809&lt;&gt;"",V1809&lt;&gt;"",AB1809&lt;&gt;"")),"manuell übersteuert; ","")&amp;IF(AND(BZ1809=0,R1809=0),"Gebinde unbekannt / Stellmass fehlt; ","")&amp;IF(AND(BZ1809=0,N(V1809)&lt;=0,N(Q1809)&lt;=0),"Menge pro Gebinde fehlt (Ist = 1 Gebinde); ","")&amp;BU1809)</f>
        <v/>
      </c>
      <c r="BN1809" s="48"/>
      <c r="BO1809" s="48"/>
      <c r="BP1809" s="55"/>
      <c r="BQ1809" s="50" t="n">
        <f aca="false">N('Neue Artikel'!$D$70)</f>
        <v>0</v>
      </c>
      <c r="BR1809" s="50" t="n">
        <v>0</v>
      </c>
      <c r="BS1809" s="49" t="n">
        <v>0</v>
      </c>
      <c r="BT1809" s="50" t="n">
        <f aca="false">N('Neue Artikel'!$C$70)/Parameter!$B$18</f>
        <v>0</v>
      </c>
      <c r="BU1809" s="48"/>
      <c r="BV1809" s="53" t="n">
        <v>1</v>
      </c>
      <c r="BW1809" s="53" t="n">
        <v>1809</v>
      </c>
      <c r="BX1809" s="48" t="str">
        <f aca="false">IF(U1809&lt;&gt;"",UPPER(TRIM(U1809)),IF(CA1809=1,UPPER(VLOOKUP(T1809,Parameter!$I$27:$K$29,2,0)),IF(P1809="","LOSE",P1809)))</f>
        <v>LOSE</v>
      </c>
      <c r="BY1809" s="50" t="n">
        <f aca="false">IF(BX1809="LOSE",1,IF(N(V1809)&gt;0,V1809,IF(CA1809=1,MAX(1,N(VLOOKUP(T1809,Parameter!$I$27:$K$29,3,0)),H1809,N(N1809)),IF(N(Q1809)&gt;0,Q1809,MAX(1,H1809)))))</f>
        <v>1</v>
      </c>
      <c r="BZ1809" s="53" t="n">
        <f aca="false">IF(BX1809="LOSE",1,0)</f>
        <v>1</v>
      </c>
      <c r="CA1809" s="53" t="n">
        <f aca="false">IF(AND(U1809="",OR(P1809="",P1809="LOSE"),T1809&lt;&gt;"",N(S1809)&lt;=0,ISNUMBER(MATCH(T1809,Parameter!$I$27:$I$29,0))),1,0)</f>
        <v>0</v>
      </c>
      <c r="CB1809" s="53" t="n">
        <f aca="false">IF(CQ1809&gt;0,INDEX(Parameter!$H$5:$H$7,W1809)/INDEX(Parameter!$E$5:$E$7,W1809),IF(AND(BZ1809=0,N(IFERROR(VLOOKUP(BX1809,'Gebinde-Kategorie'!$A$5:$N$45,14,0),0))&gt;0),VLOOKUP(BX1809,'Gebinde-Kategorie'!$A$5:$N$45,14,0)*10+Parameter!$M$23,Parameter!$M$24))</f>
        <v>235</v>
      </c>
      <c r="CC1809" s="48" t="str">
        <f aca="false">IF(AND(Parameter!$B$19="Ja",E1809&lt;&gt;"",ISNUMBER(MATCH(E1809,Parameter!$I$35:$I$52,0))),VLOOKUP(E1809,Parameter!$I$35:$J$52,2,0),IFERROR(VLOOKUP(D1809,Parameter!$A$35:$C$64,2,0),"Nein"))</f>
        <v>2+3</v>
      </c>
      <c r="CD1809" s="52" t="n">
        <f aca="false">IF(BZ1809=0,0,IF(N(S1809)&gt;0,S1809,IFERROR(VLOOKUP(D1809,Parameter!$A$35:$C$64,3,0)+0,0)))</f>
        <v>0.15</v>
      </c>
      <c r="CE1809" s="48" t="str">
        <f aca="false">IF(AA1809&lt;&gt;"",AA1809,Z1809)</f>
        <v/>
      </c>
      <c r="CF1809" s="48" t="str">
        <f aca="false">IF(OR(CE1809=1,CE1809=2,CE1809=3),IF(Parameter!$E$27="Ja","LIFT",IF(CE1809=1,"L1","L23")),IF(CE1809="Aussen","Aussen","-"))</f>
        <v>-</v>
      </c>
      <c r="CG1809" s="59" t="n">
        <f aca="false">IF(N(AB1809)&gt;0,AB1809,0)</f>
        <v>0</v>
      </c>
      <c r="CH1809" s="53" t="n">
        <f aca="false">IF(ISNUMBER(AE1809),1,0)</f>
        <v>0</v>
      </c>
      <c r="CI1809" s="50" t="n">
        <f aca="false">N(AE1809)</f>
        <v>0</v>
      </c>
      <c r="CJ1809" s="50" t="n">
        <f aca="false">N(M1809)+N(N1809)</f>
        <v>0</v>
      </c>
      <c r="CK1809" s="50" t="n">
        <f aca="false">N(M1809)</f>
        <v>0</v>
      </c>
      <c r="CL1809" s="50" t="n">
        <f aca="false">N(N1809)</f>
        <v>0</v>
      </c>
      <c r="CM1809" s="50" t="n">
        <f aca="false">ROUNDUP(H1809/BY1809,0)</f>
        <v>0</v>
      </c>
      <c r="CN1809" s="50" t="n">
        <f aca="false">ROUNDUP(CI1809/BY1809,0)</f>
        <v>0</v>
      </c>
      <c r="CO1809" s="53" t="n">
        <f aca="false">IF(BZ1809=1,0,IFERROR(VLOOKUP(BX1809,'Gebinde-Kategorie'!$A$5:$N$45,5,0)+0,0))</f>
        <v>0</v>
      </c>
      <c r="CP1809" s="53" t="n">
        <f aca="false">IFERROR(IF(OR(CE1809=1,CE1809=2,CE1809=3),N(INDEX(Parameter!$I$5:$I$7,CE1809)),0),0)</f>
        <v>0</v>
      </c>
      <c r="CQ1809" s="52" t="n">
        <f aca="false">IF(AND(Parameter!$B$21="Ja",ISNUMBER(W1809),N(X1809)&gt;0),IFERROR(N(INDEX(Parameter!$L$5:$L$7,W1809))*INDEX(Parameter!$E$5:$E$7,W1809)*X1809/SUMIFS($X$7:$X$1843,$W$7:$W$1843,W1809),0),0)</f>
        <v>0</v>
      </c>
    </row>
    <row r="1810" customFormat="false" ht="15" hidden="false" customHeight="false" outlineLevel="0" collapsed="false">
      <c r="A1810" s="48" t="str">
        <f aca="false">IF('Neue Artikel'!$A$71="","",'Neue Artikel'!$A$71&amp;"")</f>
        <v/>
      </c>
      <c r="B1810" s="48" t="str">
        <f aca="false">'Neue Artikel'!$B$71&amp;""</f>
        <v/>
      </c>
      <c r="C1810" s="48"/>
      <c r="D1810" s="48" t="s">
        <v>3024</v>
      </c>
      <c r="E1810" s="48"/>
      <c r="F1810" s="48"/>
      <c r="G1810" s="49" t="n">
        <f aca="false">N('Neue Artikel'!$G$71)</f>
        <v>0</v>
      </c>
      <c r="H1810" s="50" t="n">
        <f aca="false">MAX(0,IF(AND(Parameter!$B$21="Ja",ISNUMBER(Y1810)),Y1810,IF(Parameter!$B$20="Jahresanfang 2025 + Export",BR1810+BQ1810,BQ1810)))</f>
        <v>0</v>
      </c>
      <c r="I1810" s="50" t="n">
        <f aca="false">H1810*G1810</f>
        <v>0</v>
      </c>
      <c r="J1810" s="50" t="n">
        <f aca="false">BT1810*Parameter!$B$18</f>
        <v>0</v>
      </c>
      <c r="K1810" s="51"/>
      <c r="L1810" s="52"/>
      <c r="M1810" s="50" t="n">
        <f aca="false">N('Neue Artikel'!$E$71)</f>
        <v>0</v>
      </c>
      <c r="N1810" s="50" t="n">
        <f aca="false">N('Neue Artikel'!$F$71)</f>
        <v>0</v>
      </c>
      <c r="O1810" s="53"/>
      <c r="P1810" s="48" t="str">
        <f aca="false">IF('Neue Artikel'!$H$71="","LOSE",UPPER(TRIM('Neue Artikel'!$H$71)))</f>
        <v>LOSE</v>
      </c>
      <c r="Q1810" s="50" t="n">
        <f aca="false">N('Neue Artikel'!$I$71)</f>
        <v>0</v>
      </c>
      <c r="R1810" s="53" t="n">
        <f aca="false">IF(BZ1810=1,0,IFERROR(VLOOKUP(BX1810,'Gebinde-Kategorie'!$A$5:$N$45,13,0)+0,0))</f>
        <v>0</v>
      </c>
      <c r="S1810" s="54"/>
      <c r="T1810" s="55"/>
      <c r="U1810" s="55"/>
      <c r="V1810" s="55"/>
      <c r="W1810" s="48"/>
      <c r="X1810" s="50"/>
      <c r="Y1810" s="50"/>
      <c r="Z1810" s="48" t="str">
        <f aca="false">IF(A1810="","",IF(AND(Parameter!$B$21="Ja",ISNUMBER(W1810)),W1810,IF(CC1810="2+3",IF(ISNUMBER(SEARCH("grosser Artikel",BU1810)),2,IFERROR(VLOOKUP(BX1810,Parameter!$F$35:$G$64,2,0),2)),IF(OR(CC1810="Nein",CC1810=""),"-",CC1810))))</f>
        <v/>
      </c>
      <c r="AA1810" s="48" t="str">
        <f aca="false">IF('Neue Artikel'!$J$71="","",'Neue Artikel'!$J$71)</f>
        <v/>
      </c>
      <c r="AB1810" s="56"/>
      <c r="AC1810" s="50" t="n">
        <f aca="false">AV1810</f>
        <v>0</v>
      </c>
      <c r="AD1810" s="50" t="n">
        <f aca="false">MAX(AV1810,H1810)</f>
        <v>0</v>
      </c>
      <c r="AE1810" s="57"/>
      <c r="AF1810" s="50" t="n">
        <f aca="false">IF(LEFT(Cockpit!$C$5,1)="A",H1810,IF(Parameter!$E$30="MAX-Bestand",IF(CH1810=1,CI1810,IF(LEFT(Cockpit!$C$5,1)="B",AL1810,MAX(AL1810,H1810))),ROUNDUP(AJ1810,0)))</f>
        <v>0</v>
      </c>
      <c r="AG1810" s="50" t="n">
        <f aca="false">IF(BZ1810=1,0,ROUNDUP(AF1810/BY1810,0))</f>
        <v>0</v>
      </c>
      <c r="AH1810" s="52" t="n">
        <f aca="false">IF(CQ1810&gt;0,CQ1810*MAX(1,AF1810/X1810),IF(BZ1810=1,IF(AF1810&lt;=0,0,CD1810*MAX(1,IF(H1810&gt;0,AF1810/H1810,1))),IF(R1810&gt;0,AG1810/R1810,0))/MAX(0.1,N(Parameter!$M$21)))</f>
        <v>0</v>
      </c>
      <c r="AI1810" s="50" t="n">
        <f aca="false">AH1810*CB1810</f>
        <v>0</v>
      </c>
      <c r="AJ1810" s="51" t="n">
        <f aca="false">IF(LEFT(Cockpit!$C$5,1)="A",H1810,IF(CH1810=1,(CK1810+CI1810)/2,IF(LEFT(Cockpit!$C$5,1)="B",(CK1810+AL1810)/2,MAX((CK1810+AL1810)/2,H1810))))</f>
        <v>0</v>
      </c>
      <c r="AK1810" s="50" t="n">
        <f aca="false">AJ1810*G1810</f>
        <v>0</v>
      </c>
      <c r="AL1810" s="50" t="n">
        <f aca="false">ROUNDUP(CK1810+MAX(CL1810,2*(J1810/IF(CG1810&gt;0,CG1810,MAX(0.1,N(Cockpit!$C$6)))-CK1810)),0)</f>
        <v>0</v>
      </c>
      <c r="AM1810" s="51" t="n">
        <f aca="false">IF(AI1810&gt;0,J1810/AI1810,-1)</f>
        <v>-1</v>
      </c>
      <c r="AN1810" s="51" t="str">
        <f aca="false">IF(AND(OR(CF1810="L1",CF1810="L23",CF1810="LIFT"),AI1810&gt;0),SUMIFS($AI$7:$AI$1843,$CF$7:$CF$1843,CF1810,$AM$7:$AM$1843,"&gt;"&amp;AM1810)+SUMIFS($AI$7:$AI$1843,$CF$7:$CF$1843,CF1810,$AM$7:$AM$1843,AM1810,$BW$7:$BW$1843,"&lt;="&amp;BW1810),"")</f>
        <v/>
      </c>
      <c r="AO1810" s="58" t="n">
        <f aca="false">IF(AN1810="",0,MAX(0,MIN(1,(IF(CF1810="L1",Parameter!$H$5,IF(CF1810="L23",Parameter!$H$6+Parameter!$H$7,Parameter!$H$5+Parameter!$H$6+Parameter!$H$7))-(AN1810-AI1810))/AI1810)))</f>
        <v>0</v>
      </c>
      <c r="AP1810" s="50" t="n">
        <f aca="false">IF(LEFT(Cockpit!$I$5,1)="A",H1810,IF(Parameter!$E$30="MAX-Bestand",IF(CH1810=1,CI1810,IF(LEFT(Cockpit!$I$5,1)="B",AV1810,MAX(AV1810,H1810))),ROUNDUP(AT1810,0)))</f>
        <v>0</v>
      </c>
      <c r="AQ1810" s="50" t="n">
        <f aca="false">IF(BZ1810=1,0,ROUNDUP(AP1810/BY1810,0))</f>
        <v>0</v>
      </c>
      <c r="AR1810" s="52" t="n">
        <f aca="false">IF(CQ1810&gt;0,CQ1810*MAX(1,AP1810/X1810),IF(BZ1810=1,IF(AP1810&lt;=0,0,CD1810*MAX(1,IF(H1810&gt;0,AP1810/H1810,1))),IF(R1810&gt;0,AQ1810/R1810,0))/MAX(0.1,N(Parameter!$M$21)))</f>
        <v>0</v>
      </c>
      <c r="AS1810" s="50" t="n">
        <f aca="false">AR1810*CB1810</f>
        <v>0</v>
      </c>
      <c r="AT1810" s="51" t="n">
        <f aca="false">IF(LEFT(Cockpit!$I$5,1)="A",H1810,IF(CH1810=1,(CK1810+CI1810)/2,IF(LEFT(Cockpit!$I$5,1)="B",(CK1810+AV1810)/2,MAX((CK1810+AV1810)/2,H1810))))</f>
        <v>0</v>
      </c>
      <c r="AU1810" s="50" t="n">
        <f aca="false">AT1810*G1810</f>
        <v>0</v>
      </c>
      <c r="AV1810" s="50" t="n">
        <f aca="false">ROUNDUP(CK1810+MAX(CL1810,2*(J1810/IF(CG1810&gt;0,CG1810,MAX(0.1,N(Cockpit!$I$6)))-CK1810)),0)</f>
        <v>0</v>
      </c>
      <c r="AW1810" s="51" t="n">
        <f aca="false">IF(AS1810&gt;0,J1810/AS1810,-1)</f>
        <v>-1</v>
      </c>
      <c r="AX1810" s="51" t="str">
        <f aca="false">IF(AND(OR(CF1810="L1",CF1810="L23",CF1810="LIFT"),AS1810&gt;0),SUMIFS($AS$7:$AS$1843,$CF$7:$CF$1843,CF1810,$AW$7:$AW$1843,"&gt;"&amp;AW1810)+SUMIFS($AS$7:$AS$1843,$CF$7:$CF$1843,CF1810,$AW$7:$AW$1843,AW1810,$BW$7:$BW$1843,"&lt;="&amp;BW1810),"")</f>
        <v/>
      </c>
      <c r="AY1810" s="58" t="n">
        <f aca="false">IF(AX1810="",0,MAX(0,MIN(1,(IF(CF1810="L1",Parameter!$H$5,IF(CF1810="L23",Parameter!$H$6+Parameter!$H$7,Parameter!$H$5+Parameter!$H$6+Parameter!$H$7))-(AX1810-AS1810))/AS1810)))</f>
        <v>0</v>
      </c>
      <c r="AZ1810" s="50" t="n">
        <f aca="false">IF(LEFT(Cockpit!$O$5,1)="A",H1810,IF(Parameter!$E$30="MAX-Bestand",IF(CH1810=1,CI1810,IF(LEFT(Cockpit!$O$5,1)="B",BF1810,MAX(BF1810,H1810))),ROUNDUP(BD1810,0)))</f>
        <v>0</v>
      </c>
      <c r="BA1810" s="50" t="n">
        <f aca="false">IF(BZ1810=1,0,ROUNDUP(AZ1810/BY1810,0))</f>
        <v>0</v>
      </c>
      <c r="BB1810" s="52" t="n">
        <f aca="false">IF(CQ1810&gt;0,CQ1810*MAX(1,AZ1810/X1810),IF(BZ1810=1,IF(AZ1810&lt;=0,0,CD1810*MAX(1,IF(H1810&gt;0,AZ1810/H1810,1))),IF(R1810&gt;0,BA1810/R1810,0))/MAX(0.1,N(Parameter!$M$21)))</f>
        <v>0</v>
      </c>
      <c r="BC1810" s="50" t="n">
        <f aca="false">BB1810*CB1810</f>
        <v>0</v>
      </c>
      <c r="BD1810" s="51" t="n">
        <f aca="false">IF(LEFT(Cockpit!$O$5,1)="A",H1810,IF(CH1810=1,(CK1810+CI1810)/2,IF(LEFT(Cockpit!$O$5,1)="B",(CK1810+BF1810)/2,MAX((CK1810+BF1810)/2,H1810))))</f>
        <v>0</v>
      </c>
      <c r="BE1810" s="50" t="n">
        <f aca="false">BD1810*G1810</f>
        <v>0</v>
      </c>
      <c r="BF1810" s="50" t="n">
        <f aca="false">ROUNDUP(CK1810+MAX(CL1810,2*(J1810/IF(CG1810&gt;0,CG1810,MAX(0.1,N(Cockpit!$O$6)))-CK1810)),0)</f>
        <v>0</v>
      </c>
      <c r="BG1810" s="51" t="n">
        <f aca="false">IF(BC1810&gt;0,J1810/BC1810,-1)</f>
        <v>-1</v>
      </c>
      <c r="BH1810" s="51" t="str">
        <f aca="false">IF(AND(OR(CF1810="L1",CF1810="L23",CF1810="LIFT"),BC1810&gt;0),SUMIFS($BC$7:$BC$1843,$CF$7:$CF$1843,CF1810,$BG$7:$BG$1843,"&gt;"&amp;BG1810)+SUMIFS($BC$7:$BC$1843,$CF$7:$CF$1843,CF1810,$BG$7:$BG$1843,BG1810,$BW$7:$BW$1843,"&lt;="&amp;BW1810),"")</f>
        <v/>
      </c>
      <c r="BI1810" s="58" t="n">
        <f aca="false">IF(BH1810="",0,MAX(0,MIN(1,(IF(CF1810="L1",Parameter!$H$5,IF(CF1810="L23",Parameter!$H$6+Parameter!$H$7,Parameter!$H$5+Parameter!$H$6+Parameter!$H$7))-(BH1810-BC1810))/BC1810)))</f>
        <v>0</v>
      </c>
      <c r="BJ1810" s="48" t="str">
        <f aca="false">IF(AI1810&lt;=0,"",IF(CF1810="Aussen","Aussenlager",IF(CF1810="-","Nicht im Lift",IF(AO1810&gt;=1,"Lift",IF(AO1810&lt;=0,"Aussenlager","teilweise")))))</f>
        <v/>
      </c>
      <c r="BK1810" s="48" t="str">
        <f aca="false">IF(AS1810&lt;=0,"",IF(CF1810="Aussen","Aussenlager",IF(CF1810="-","Nicht im Lift",IF(AY1810&gt;=1,"Lift",IF(AY1810&lt;=0,"Aussenlager","teilweise")))))</f>
        <v/>
      </c>
      <c r="BL1810" s="48" t="str">
        <f aca="false">IF(BC1810&lt;=0,"",IF(CF1810="Aussen","Aussenlager",IF(CF1810="-","Nicht im Lift",IF(BI1810&gt;=1,"Lift",IF(BI1810&lt;=0,"Aussenlager","teilweise")))))</f>
        <v/>
      </c>
      <c r="BM1810" s="48" t="str">
        <f aca="false">IF(A1810="","",IF(BV1810=1,"Neu; ","")&amp;IF(AND(BV1810=0,BQ1810&lt;0),"negativer Bestand (Export "&amp;BQ1810&amp;"); ","")&amp;IF(J1810&lt;=0,"Kein Verbrauch; ","")&amp;IF(CQ1810&gt;0,"Lift "&amp;W1810&amp;" lt. Liftbericht (Fach "&amp;X1810&amp;" Stk); ",IF(CA1810=1,"Gebinde geschätzt ("&amp;T1810&amp;"); ",IF(BZ1810=1,"Lose – Tablare geschätzt; ","")))&amp;IF(H1810&gt;AV1810,"Überbestand "&amp;ROUND(H1810-AV1810,0)&amp;" Stk / CHF "&amp;ROUND((H1810-AV1810)*G1810,0)&amp;"; ","")&amp;IF(AND(CH1810=1,CI1810&lt;CJ1810),"MAX &lt; MB+LG; ","")&amp;IF(AND(CP1810&gt;0,CO1810*10&gt;CP1810),"zu hoch für Tablar; ","")&amp;IF(AND(BV1810=0,OR(CH1810=1,AA1810&lt;&gt;"",U1810&lt;&gt;"",V1810&lt;&gt;"",AB1810&lt;&gt;"")),"manuell übersteuert; ","")&amp;IF(AND(BZ1810=0,R1810=0),"Gebinde unbekannt / Stellmass fehlt; ","")&amp;IF(AND(BZ1810=0,N(V1810)&lt;=0,N(Q1810)&lt;=0),"Menge pro Gebinde fehlt (Ist = 1 Gebinde); ","")&amp;BU1810)</f>
        <v/>
      </c>
      <c r="BN1810" s="48"/>
      <c r="BO1810" s="48"/>
      <c r="BP1810" s="55"/>
      <c r="BQ1810" s="50" t="n">
        <f aca="false">N('Neue Artikel'!$D$71)</f>
        <v>0</v>
      </c>
      <c r="BR1810" s="50" t="n">
        <v>0</v>
      </c>
      <c r="BS1810" s="49" t="n">
        <v>0</v>
      </c>
      <c r="BT1810" s="50" t="n">
        <f aca="false">N('Neue Artikel'!$C$71)/Parameter!$B$18</f>
        <v>0</v>
      </c>
      <c r="BU1810" s="48"/>
      <c r="BV1810" s="53" t="n">
        <v>1</v>
      </c>
      <c r="BW1810" s="53" t="n">
        <v>1810</v>
      </c>
      <c r="BX1810" s="48" t="str">
        <f aca="false">IF(U1810&lt;&gt;"",UPPER(TRIM(U1810)),IF(CA1810=1,UPPER(VLOOKUP(T1810,Parameter!$I$27:$K$29,2,0)),IF(P1810="","LOSE",P1810)))</f>
        <v>LOSE</v>
      </c>
      <c r="BY1810" s="50" t="n">
        <f aca="false">IF(BX1810="LOSE",1,IF(N(V1810)&gt;0,V1810,IF(CA1810=1,MAX(1,N(VLOOKUP(T1810,Parameter!$I$27:$K$29,3,0)),H1810,N(N1810)),IF(N(Q1810)&gt;0,Q1810,MAX(1,H1810)))))</f>
        <v>1</v>
      </c>
      <c r="BZ1810" s="53" t="n">
        <f aca="false">IF(BX1810="LOSE",1,0)</f>
        <v>1</v>
      </c>
      <c r="CA1810" s="53" t="n">
        <f aca="false">IF(AND(U1810="",OR(P1810="",P1810="LOSE"),T1810&lt;&gt;"",N(S1810)&lt;=0,ISNUMBER(MATCH(T1810,Parameter!$I$27:$I$29,0))),1,0)</f>
        <v>0</v>
      </c>
      <c r="CB1810" s="53" t="n">
        <f aca="false">IF(CQ1810&gt;0,INDEX(Parameter!$H$5:$H$7,W1810)/INDEX(Parameter!$E$5:$E$7,W1810),IF(AND(BZ1810=0,N(IFERROR(VLOOKUP(BX1810,'Gebinde-Kategorie'!$A$5:$N$45,14,0),0))&gt;0),VLOOKUP(BX1810,'Gebinde-Kategorie'!$A$5:$N$45,14,0)*10+Parameter!$M$23,Parameter!$M$24))</f>
        <v>235</v>
      </c>
      <c r="CC1810" s="48" t="str">
        <f aca="false">IF(AND(Parameter!$B$19="Ja",E1810&lt;&gt;"",ISNUMBER(MATCH(E1810,Parameter!$I$35:$I$52,0))),VLOOKUP(E1810,Parameter!$I$35:$J$52,2,0),IFERROR(VLOOKUP(D1810,Parameter!$A$35:$C$64,2,0),"Nein"))</f>
        <v>2+3</v>
      </c>
      <c r="CD1810" s="52" t="n">
        <f aca="false">IF(BZ1810=0,0,IF(N(S1810)&gt;0,S1810,IFERROR(VLOOKUP(D1810,Parameter!$A$35:$C$64,3,0)+0,0)))</f>
        <v>0.15</v>
      </c>
      <c r="CE1810" s="48" t="str">
        <f aca="false">IF(AA1810&lt;&gt;"",AA1810,Z1810)</f>
        <v/>
      </c>
      <c r="CF1810" s="48" t="str">
        <f aca="false">IF(OR(CE1810=1,CE1810=2,CE1810=3),IF(Parameter!$E$27="Ja","LIFT",IF(CE1810=1,"L1","L23")),IF(CE1810="Aussen","Aussen","-"))</f>
        <v>-</v>
      </c>
      <c r="CG1810" s="59" t="n">
        <f aca="false">IF(N(AB1810)&gt;0,AB1810,0)</f>
        <v>0</v>
      </c>
      <c r="CH1810" s="53" t="n">
        <f aca="false">IF(ISNUMBER(AE1810),1,0)</f>
        <v>0</v>
      </c>
      <c r="CI1810" s="50" t="n">
        <f aca="false">N(AE1810)</f>
        <v>0</v>
      </c>
      <c r="CJ1810" s="50" t="n">
        <f aca="false">N(M1810)+N(N1810)</f>
        <v>0</v>
      </c>
      <c r="CK1810" s="50" t="n">
        <f aca="false">N(M1810)</f>
        <v>0</v>
      </c>
      <c r="CL1810" s="50" t="n">
        <f aca="false">N(N1810)</f>
        <v>0</v>
      </c>
      <c r="CM1810" s="50" t="n">
        <f aca="false">ROUNDUP(H1810/BY1810,0)</f>
        <v>0</v>
      </c>
      <c r="CN1810" s="50" t="n">
        <f aca="false">ROUNDUP(CI1810/BY1810,0)</f>
        <v>0</v>
      </c>
      <c r="CO1810" s="53" t="n">
        <f aca="false">IF(BZ1810=1,0,IFERROR(VLOOKUP(BX1810,'Gebinde-Kategorie'!$A$5:$N$45,5,0)+0,0))</f>
        <v>0</v>
      </c>
      <c r="CP1810" s="53" t="n">
        <f aca="false">IFERROR(IF(OR(CE1810=1,CE1810=2,CE1810=3),N(INDEX(Parameter!$I$5:$I$7,CE1810)),0),0)</f>
        <v>0</v>
      </c>
      <c r="CQ1810" s="52" t="n">
        <f aca="false">IF(AND(Parameter!$B$21="Ja",ISNUMBER(W1810),N(X1810)&gt;0),IFERROR(N(INDEX(Parameter!$L$5:$L$7,W1810))*INDEX(Parameter!$E$5:$E$7,W1810)*X1810/SUMIFS($X$7:$X$1843,$W$7:$W$1843,W1810),0),0)</f>
        <v>0</v>
      </c>
    </row>
    <row r="1811" customFormat="false" ht="15" hidden="false" customHeight="false" outlineLevel="0" collapsed="false">
      <c r="A1811" s="48" t="str">
        <f aca="false">IF('Neue Artikel'!$A$72="","",'Neue Artikel'!$A$72&amp;"")</f>
        <v/>
      </c>
      <c r="B1811" s="48" t="str">
        <f aca="false">'Neue Artikel'!$B$72&amp;""</f>
        <v/>
      </c>
      <c r="C1811" s="48"/>
      <c r="D1811" s="48" t="s">
        <v>3024</v>
      </c>
      <c r="E1811" s="48"/>
      <c r="F1811" s="48"/>
      <c r="G1811" s="49" t="n">
        <f aca="false">N('Neue Artikel'!$G$72)</f>
        <v>0</v>
      </c>
      <c r="H1811" s="50" t="n">
        <f aca="false">MAX(0,IF(AND(Parameter!$B$21="Ja",ISNUMBER(Y1811)),Y1811,IF(Parameter!$B$20="Jahresanfang 2025 + Export",BR1811+BQ1811,BQ1811)))</f>
        <v>0</v>
      </c>
      <c r="I1811" s="50" t="n">
        <f aca="false">H1811*G1811</f>
        <v>0</v>
      </c>
      <c r="J1811" s="50" t="n">
        <f aca="false">BT1811*Parameter!$B$18</f>
        <v>0</v>
      </c>
      <c r="K1811" s="51"/>
      <c r="L1811" s="52"/>
      <c r="M1811" s="50" t="n">
        <f aca="false">N('Neue Artikel'!$E$72)</f>
        <v>0</v>
      </c>
      <c r="N1811" s="50" t="n">
        <f aca="false">N('Neue Artikel'!$F$72)</f>
        <v>0</v>
      </c>
      <c r="O1811" s="53"/>
      <c r="P1811" s="48" t="str">
        <f aca="false">IF('Neue Artikel'!$H$72="","LOSE",UPPER(TRIM('Neue Artikel'!$H$72)))</f>
        <v>LOSE</v>
      </c>
      <c r="Q1811" s="50" t="n">
        <f aca="false">N('Neue Artikel'!$I$72)</f>
        <v>0</v>
      </c>
      <c r="R1811" s="53" t="n">
        <f aca="false">IF(BZ1811=1,0,IFERROR(VLOOKUP(BX1811,'Gebinde-Kategorie'!$A$5:$N$45,13,0)+0,0))</f>
        <v>0</v>
      </c>
      <c r="S1811" s="54"/>
      <c r="T1811" s="55"/>
      <c r="U1811" s="55"/>
      <c r="V1811" s="55"/>
      <c r="W1811" s="48"/>
      <c r="X1811" s="50"/>
      <c r="Y1811" s="50"/>
      <c r="Z1811" s="48" t="str">
        <f aca="false">IF(A1811="","",IF(AND(Parameter!$B$21="Ja",ISNUMBER(W1811)),W1811,IF(CC1811="2+3",IF(ISNUMBER(SEARCH("grosser Artikel",BU1811)),2,IFERROR(VLOOKUP(BX1811,Parameter!$F$35:$G$64,2,0),2)),IF(OR(CC1811="Nein",CC1811=""),"-",CC1811))))</f>
        <v/>
      </c>
      <c r="AA1811" s="48" t="str">
        <f aca="false">IF('Neue Artikel'!$J$72="","",'Neue Artikel'!$J$72)</f>
        <v/>
      </c>
      <c r="AB1811" s="56"/>
      <c r="AC1811" s="50" t="n">
        <f aca="false">AV1811</f>
        <v>0</v>
      </c>
      <c r="AD1811" s="50" t="n">
        <f aca="false">MAX(AV1811,H1811)</f>
        <v>0</v>
      </c>
      <c r="AE1811" s="57"/>
      <c r="AF1811" s="50" t="n">
        <f aca="false">IF(LEFT(Cockpit!$C$5,1)="A",H1811,IF(Parameter!$E$30="MAX-Bestand",IF(CH1811=1,CI1811,IF(LEFT(Cockpit!$C$5,1)="B",AL1811,MAX(AL1811,H1811))),ROUNDUP(AJ1811,0)))</f>
        <v>0</v>
      </c>
      <c r="AG1811" s="50" t="n">
        <f aca="false">IF(BZ1811=1,0,ROUNDUP(AF1811/BY1811,0))</f>
        <v>0</v>
      </c>
      <c r="AH1811" s="52" t="n">
        <f aca="false">IF(CQ1811&gt;0,CQ1811*MAX(1,AF1811/X1811),IF(BZ1811=1,IF(AF1811&lt;=0,0,CD1811*MAX(1,IF(H1811&gt;0,AF1811/H1811,1))),IF(R1811&gt;0,AG1811/R1811,0))/MAX(0.1,N(Parameter!$M$21)))</f>
        <v>0</v>
      </c>
      <c r="AI1811" s="50" t="n">
        <f aca="false">AH1811*CB1811</f>
        <v>0</v>
      </c>
      <c r="AJ1811" s="51" t="n">
        <f aca="false">IF(LEFT(Cockpit!$C$5,1)="A",H1811,IF(CH1811=1,(CK1811+CI1811)/2,IF(LEFT(Cockpit!$C$5,1)="B",(CK1811+AL1811)/2,MAX((CK1811+AL1811)/2,H1811))))</f>
        <v>0</v>
      </c>
      <c r="AK1811" s="50" t="n">
        <f aca="false">AJ1811*G1811</f>
        <v>0</v>
      </c>
      <c r="AL1811" s="50" t="n">
        <f aca="false">ROUNDUP(CK1811+MAX(CL1811,2*(J1811/IF(CG1811&gt;0,CG1811,MAX(0.1,N(Cockpit!$C$6)))-CK1811)),0)</f>
        <v>0</v>
      </c>
      <c r="AM1811" s="51" t="n">
        <f aca="false">IF(AI1811&gt;0,J1811/AI1811,-1)</f>
        <v>-1</v>
      </c>
      <c r="AN1811" s="51" t="str">
        <f aca="false">IF(AND(OR(CF1811="L1",CF1811="L23",CF1811="LIFT"),AI1811&gt;0),SUMIFS($AI$7:$AI$1843,$CF$7:$CF$1843,CF1811,$AM$7:$AM$1843,"&gt;"&amp;AM1811)+SUMIFS($AI$7:$AI$1843,$CF$7:$CF$1843,CF1811,$AM$7:$AM$1843,AM1811,$BW$7:$BW$1843,"&lt;="&amp;BW1811),"")</f>
        <v/>
      </c>
      <c r="AO1811" s="58" t="n">
        <f aca="false">IF(AN1811="",0,MAX(0,MIN(1,(IF(CF1811="L1",Parameter!$H$5,IF(CF1811="L23",Parameter!$H$6+Parameter!$H$7,Parameter!$H$5+Parameter!$H$6+Parameter!$H$7))-(AN1811-AI1811))/AI1811)))</f>
        <v>0</v>
      </c>
      <c r="AP1811" s="50" t="n">
        <f aca="false">IF(LEFT(Cockpit!$I$5,1)="A",H1811,IF(Parameter!$E$30="MAX-Bestand",IF(CH1811=1,CI1811,IF(LEFT(Cockpit!$I$5,1)="B",AV1811,MAX(AV1811,H1811))),ROUNDUP(AT1811,0)))</f>
        <v>0</v>
      </c>
      <c r="AQ1811" s="50" t="n">
        <f aca="false">IF(BZ1811=1,0,ROUNDUP(AP1811/BY1811,0))</f>
        <v>0</v>
      </c>
      <c r="AR1811" s="52" t="n">
        <f aca="false">IF(CQ1811&gt;0,CQ1811*MAX(1,AP1811/X1811),IF(BZ1811=1,IF(AP1811&lt;=0,0,CD1811*MAX(1,IF(H1811&gt;0,AP1811/H1811,1))),IF(R1811&gt;0,AQ1811/R1811,0))/MAX(0.1,N(Parameter!$M$21)))</f>
        <v>0</v>
      </c>
      <c r="AS1811" s="50" t="n">
        <f aca="false">AR1811*CB1811</f>
        <v>0</v>
      </c>
      <c r="AT1811" s="51" t="n">
        <f aca="false">IF(LEFT(Cockpit!$I$5,1)="A",H1811,IF(CH1811=1,(CK1811+CI1811)/2,IF(LEFT(Cockpit!$I$5,1)="B",(CK1811+AV1811)/2,MAX((CK1811+AV1811)/2,H1811))))</f>
        <v>0</v>
      </c>
      <c r="AU1811" s="50" t="n">
        <f aca="false">AT1811*G1811</f>
        <v>0</v>
      </c>
      <c r="AV1811" s="50" t="n">
        <f aca="false">ROUNDUP(CK1811+MAX(CL1811,2*(J1811/IF(CG1811&gt;0,CG1811,MAX(0.1,N(Cockpit!$I$6)))-CK1811)),0)</f>
        <v>0</v>
      </c>
      <c r="AW1811" s="51" t="n">
        <f aca="false">IF(AS1811&gt;0,J1811/AS1811,-1)</f>
        <v>-1</v>
      </c>
      <c r="AX1811" s="51" t="str">
        <f aca="false">IF(AND(OR(CF1811="L1",CF1811="L23",CF1811="LIFT"),AS1811&gt;0),SUMIFS($AS$7:$AS$1843,$CF$7:$CF$1843,CF1811,$AW$7:$AW$1843,"&gt;"&amp;AW1811)+SUMIFS($AS$7:$AS$1843,$CF$7:$CF$1843,CF1811,$AW$7:$AW$1843,AW1811,$BW$7:$BW$1843,"&lt;="&amp;BW1811),"")</f>
        <v/>
      </c>
      <c r="AY1811" s="58" t="n">
        <f aca="false">IF(AX1811="",0,MAX(0,MIN(1,(IF(CF1811="L1",Parameter!$H$5,IF(CF1811="L23",Parameter!$H$6+Parameter!$H$7,Parameter!$H$5+Parameter!$H$6+Parameter!$H$7))-(AX1811-AS1811))/AS1811)))</f>
        <v>0</v>
      </c>
      <c r="AZ1811" s="50" t="n">
        <f aca="false">IF(LEFT(Cockpit!$O$5,1)="A",H1811,IF(Parameter!$E$30="MAX-Bestand",IF(CH1811=1,CI1811,IF(LEFT(Cockpit!$O$5,1)="B",BF1811,MAX(BF1811,H1811))),ROUNDUP(BD1811,0)))</f>
        <v>0</v>
      </c>
      <c r="BA1811" s="50" t="n">
        <f aca="false">IF(BZ1811=1,0,ROUNDUP(AZ1811/BY1811,0))</f>
        <v>0</v>
      </c>
      <c r="BB1811" s="52" t="n">
        <f aca="false">IF(CQ1811&gt;0,CQ1811*MAX(1,AZ1811/X1811),IF(BZ1811=1,IF(AZ1811&lt;=0,0,CD1811*MAX(1,IF(H1811&gt;0,AZ1811/H1811,1))),IF(R1811&gt;0,BA1811/R1811,0))/MAX(0.1,N(Parameter!$M$21)))</f>
        <v>0</v>
      </c>
      <c r="BC1811" s="50" t="n">
        <f aca="false">BB1811*CB1811</f>
        <v>0</v>
      </c>
      <c r="BD1811" s="51" t="n">
        <f aca="false">IF(LEFT(Cockpit!$O$5,1)="A",H1811,IF(CH1811=1,(CK1811+CI1811)/2,IF(LEFT(Cockpit!$O$5,1)="B",(CK1811+BF1811)/2,MAX((CK1811+BF1811)/2,H1811))))</f>
        <v>0</v>
      </c>
      <c r="BE1811" s="50" t="n">
        <f aca="false">BD1811*G1811</f>
        <v>0</v>
      </c>
      <c r="BF1811" s="50" t="n">
        <f aca="false">ROUNDUP(CK1811+MAX(CL1811,2*(J1811/IF(CG1811&gt;0,CG1811,MAX(0.1,N(Cockpit!$O$6)))-CK1811)),0)</f>
        <v>0</v>
      </c>
      <c r="BG1811" s="51" t="n">
        <f aca="false">IF(BC1811&gt;0,J1811/BC1811,-1)</f>
        <v>-1</v>
      </c>
      <c r="BH1811" s="51" t="str">
        <f aca="false">IF(AND(OR(CF1811="L1",CF1811="L23",CF1811="LIFT"),BC1811&gt;0),SUMIFS($BC$7:$BC$1843,$CF$7:$CF$1843,CF1811,$BG$7:$BG$1843,"&gt;"&amp;BG1811)+SUMIFS($BC$7:$BC$1843,$CF$7:$CF$1843,CF1811,$BG$7:$BG$1843,BG1811,$BW$7:$BW$1843,"&lt;="&amp;BW1811),"")</f>
        <v/>
      </c>
      <c r="BI1811" s="58" t="n">
        <f aca="false">IF(BH1811="",0,MAX(0,MIN(1,(IF(CF1811="L1",Parameter!$H$5,IF(CF1811="L23",Parameter!$H$6+Parameter!$H$7,Parameter!$H$5+Parameter!$H$6+Parameter!$H$7))-(BH1811-BC1811))/BC1811)))</f>
        <v>0</v>
      </c>
      <c r="BJ1811" s="48" t="str">
        <f aca="false">IF(AI1811&lt;=0,"",IF(CF1811="Aussen","Aussenlager",IF(CF1811="-","Nicht im Lift",IF(AO1811&gt;=1,"Lift",IF(AO1811&lt;=0,"Aussenlager","teilweise")))))</f>
        <v/>
      </c>
      <c r="BK1811" s="48" t="str">
        <f aca="false">IF(AS1811&lt;=0,"",IF(CF1811="Aussen","Aussenlager",IF(CF1811="-","Nicht im Lift",IF(AY1811&gt;=1,"Lift",IF(AY1811&lt;=0,"Aussenlager","teilweise")))))</f>
        <v/>
      </c>
      <c r="BL1811" s="48" t="str">
        <f aca="false">IF(BC1811&lt;=0,"",IF(CF1811="Aussen","Aussenlager",IF(CF1811="-","Nicht im Lift",IF(BI1811&gt;=1,"Lift",IF(BI1811&lt;=0,"Aussenlager","teilweise")))))</f>
        <v/>
      </c>
      <c r="BM1811" s="48" t="str">
        <f aca="false">IF(A1811="","",IF(BV1811=1,"Neu; ","")&amp;IF(AND(BV1811=0,BQ1811&lt;0),"negativer Bestand (Export "&amp;BQ1811&amp;"); ","")&amp;IF(J1811&lt;=0,"Kein Verbrauch; ","")&amp;IF(CQ1811&gt;0,"Lift "&amp;W1811&amp;" lt. Liftbericht (Fach "&amp;X1811&amp;" Stk); ",IF(CA1811=1,"Gebinde geschätzt ("&amp;T1811&amp;"); ",IF(BZ1811=1,"Lose – Tablare geschätzt; ","")))&amp;IF(H1811&gt;AV1811,"Überbestand "&amp;ROUND(H1811-AV1811,0)&amp;" Stk / CHF "&amp;ROUND((H1811-AV1811)*G1811,0)&amp;"; ","")&amp;IF(AND(CH1811=1,CI1811&lt;CJ1811),"MAX &lt; MB+LG; ","")&amp;IF(AND(CP1811&gt;0,CO1811*10&gt;CP1811),"zu hoch für Tablar; ","")&amp;IF(AND(BV1811=0,OR(CH1811=1,AA1811&lt;&gt;"",U1811&lt;&gt;"",V1811&lt;&gt;"",AB1811&lt;&gt;"")),"manuell übersteuert; ","")&amp;IF(AND(BZ1811=0,R1811=0),"Gebinde unbekannt / Stellmass fehlt; ","")&amp;IF(AND(BZ1811=0,N(V1811)&lt;=0,N(Q1811)&lt;=0),"Menge pro Gebinde fehlt (Ist = 1 Gebinde); ","")&amp;BU1811)</f>
        <v/>
      </c>
      <c r="BN1811" s="48"/>
      <c r="BO1811" s="48"/>
      <c r="BP1811" s="55"/>
      <c r="BQ1811" s="50" t="n">
        <f aca="false">N('Neue Artikel'!$D$72)</f>
        <v>0</v>
      </c>
      <c r="BR1811" s="50" t="n">
        <v>0</v>
      </c>
      <c r="BS1811" s="49" t="n">
        <v>0</v>
      </c>
      <c r="BT1811" s="50" t="n">
        <f aca="false">N('Neue Artikel'!$C$72)/Parameter!$B$18</f>
        <v>0</v>
      </c>
      <c r="BU1811" s="48"/>
      <c r="BV1811" s="53" t="n">
        <v>1</v>
      </c>
      <c r="BW1811" s="53" t="n">
        <v>1811</v>
      </c>
      <c r="BX1811" s="48" t="str">
        <f aca="false">IF(U1811&lt;&gt;"",UPPER(TRIM(U1811)),IF(CA1811=1,UPPER(VLOOKUP(T1811,Parameter!$I$27:$K$29,2,0)),IF(P1811="","LOSE",P1811)))</f>
        <v>LOSE</v>
      </c>
      <c r="BY1811" s="50" t="n">
        <f aca="false">IF(BX1811="LOSE",1,IF(N(V1811)&gt;0,V1811,IF(CA1811=1,MAX(1,N(VLOOKUP(T1811,Parameter!$I$27:$K$29,3,0)),H1811,N(N1811)),IF(N(Q1811)&gt;0,Q1811,MAX(1,H1811)))))</f>
        <v>1</v>
      </c>
      <c r="BZ1811" s="53" t="n">
        <f aca="false">IF(BX1811="LOSE",1,0)</f>
        <v>1</v>
      </c>
      <c r="CA1811" s="53" t="n">
        <f aca="false">IF(AND(U1811="",OR(P1811="",P1811="LOSE"),T1811&lt;&gt;"",N(S1811)&lt;=0,ISNUMBER(MATCH(T1811,Parameter!$I$27:$I$29,0))),1,0)</f>
        <v>0</v>
      </c>
      <c r="CB1811" s="53" t="n">
        <f aca="false">IF(CQ1811&gt;0,INDEX(Parameter!$H$5:$H$7,W1811)/INDEX(Parameter!$E$5:$E$7,W1811),IF(AND(BZ1811=0,N(IFERROR(VLOOKUP(BX1811,'Gebinde-Kategorie'!$A$5:$N$45,14,0),0))&gt;0),VLOOKUP(BX1811,'Gebinde-Kategorie'!$A$5:$N$45,14,0)*10+Parameter!$M$23,Parameter!$M$24))</f>
        <v>235</v>
      </c>
      <c r="CC1811" s="48" t="str">
        <f aca="false">IF(AND(Parameter!$B$19="Ja",E1811&lt;&gt;"",ISNUMBER(MATCH(E1811,Parameter!$I$35:$I$52,0))),VLOOKUP(E1811,Parameter!$I$35:$J$52,2,0),IFERROR(VLOOKUP(D1811,Parameter!$A$35:$C$64,2,0),"Nein"))</f>
        <v>2+3</v>
      </c>
      <c r="CD1811" s="52" t="n">
        <f aca="false">IF(BZ1811=0,0,IF(N(S1811)&gt;0,S1811,IFERROR(VLOOKUP(D1811,Parameter!$A$35:$C$64,3,0)+0,0)))</f>
        <v>0.15</v>
      </c>
      <c r="CE1811" s="48" t="str">
        <f aca="false">IF(AA1811&lt;&gt;"",AA1811,Z1811)</f>
        <v/>
      </c>
      <c r="CF1811" s="48" t="str">
        <f aca="false">IF(OR(CE1811=1,CE1811=2,CE1811=3),IF(Parameter!$E$27="Ja","LIFT",IF(CE1811=1,"L1","L23")),IF(CE1811="Aussen","Aussen","-"))</f>
        <v>-</v>
      </c>
      <c r="CG1811" s="59" t="n">
        <f aca="false">IF(N(AB1811)&gt;0,AB1811,0)</f>
        <v>0</v>
      </c>
      <c r="CH1811" s="53" t="n">
        <f aca="false">IF(ISNUMBER(AE1811),1,0)</f>
        <v>0</v>
      </c>
      <c r="CI1811" s="50" t="n">
        <f aca="false">N(AE1811)</f>
        <v>0</v>
      </c>
      <c r="CJ1811" s="50" t="n">
        <f aca="false">N(M1811)+N(N1811)</f>
        <v>0</v>
      </c>
      <c r="CK1811" s="50" t="n">
        <f aca="false">N(M1811)</f>
        <v>0</v>
      </c>
      <c r="CL1811" s="50" t="n">
        <f aca="false">N(N1811)</f>
        <v>0</v>
      </c>
      <c r="CM1811" s="50" t="n">
        <f aca="false">ROUNDUP(H1811/BY1811,0)</f>
        <v>0</v>
      </c>
      <c r="CN1811" s="50" t="n">
        <f aca="false">ROUNDUP(CI1811/BY1811,0)</f>
        <v>0</v>
      </c>
      <c r="CO1811" s="53" t="n">
        <f aca="false">IF(BZ1811=1,0,IFERROR(VLOOKUP(BX1811,'Gebinde-Kategorie'!$A$5:$N$45,5,0)+0,0))</f>
        <v>0</v>
      </c>
      <c r="CP1811" s="53" t="n">
        <f aca="false">IFERROR(IF(OR(CE1811=1,CE1811=2,CE1811=3),N(INDEX(Parameter!$I$5:$I$7,CE1811)),0),0)</f>
        <v>0</v>
      </c>
      <c r="CQ1811" s="52" t="n">
        <f aca="false">IF(AND(Parameter!$B$21="Ja",ISNUMBER(W1811),N(X1811)&gt;0),IFERROR(N(INDEX(Parameter!$L$5:$L$7,W1811))*INDEX(Parameter!$E$5:$E$7,W1811)*X1811/SUMIFS($X$7:$X$1843,$W$7:$W$1843,W1811),0),0)</f>
        <v>0</v>
      </c>
    </row>
    <row r="1812" customFormat="false" ht="15" hidden="false" customHeight="false" outlineLevel="0" collapsed="false">
      <c r="A1812" s="48" t="str">
        <f aca="false">IF('Neue Artikel'!$A$73="","",'Neue Artikel'!$A$73&amp;"")</f>
        <v/>
      </c>
      <c r="B1812" s="48" t="str">
        <f aca="false">'Neue Artikel'!$B$73&amp;""</f>
        <v/>
      </c>
      <c r="C1812" s="48"/>
      <c r="D1812" s="48" t="s">
        <v>3024</v>
      </c>
      <c r="E1812" s="48"/>
      <c r="F1812" s="48"/>
      <c r="G1812" s="49" t="n">
        <f aca="false">N('Neue Artikel'!$G$73)</f>
        <v>0</v>
      </c>
      <c r="H1812" s="50" t="n">
        <f aca="false">MAX(0,IF(AND(Parameter!$B$21="Ja",ISNUMBER(Y1812)),Y1812,IF(Parameter!$B$20="Jahresanfang 2025 + Export",BR1812+BQ1812,BQ1812)))</f>
        <v>0</v>
      </c>
      <c r="I1812" s="50" t="n">
        <f aca="false">H1812*G1812</f>
        <v>0</v>
      </c>
      <c r="J1812" s="50" t="n">
        <f aca="false">BT1812*Parameter!$B$18</f>
        <v>0</v>
      </c>
      <c r="K1812" s="51"/>
      <c r="L1812" s="52"/>
      <c r="M1812" s="50" t="n">
        <f aca="false">N('Neue Artikel'!$E$73)</f>
        <v>0</v>
      </c>
      <c r="N1812" s="50" t="n">
        <f aca="false">N('Neue Artikel'!$F$73)</f>
        <v>0</v>
      </c>
      <c r="O1812" s="53"/>
      <c r="P1812" s="48" t="str">
        <f aca="false">IF('Neue Artikel'!$H$73="","LOSE",UPPER(TRIM('Neue Artikel'!$H$73)))</f>
        <v>LOSE</v>
      </c>
      <c r="Q1812" s="50" t="n">
        <f aca="false">N('Neue Artikel'!$I$73)</f>
        <v>0</v>
      </c>
      <c r="R1812" s="53" t="n">
        <f aca="false">IF(BZ1812=1,0,IFERROR(VLOOKUP(BX1812,'Gebinde-Kategorie'!$A$5:$N$45,13,0)+0,0))</f>
        <v>0</v>
      </c>
      <c r="S1812" s="54"/>
      <c r="T1812" s="55"/>
      <c r="U1812" s="55"/>
      <c r="V1812" s="55"/>
      <c r="W1812" s="48"/>
      <c r="X1812" s="50"/>
      <c r="Y1812" s="50"/>
      <c r="Z1812" s="48" t="str">
        <f aca="false">IF(A1812="","",IF(AND(Parameter!$B$21="Ja",ISNUMBER(W1812)),W1812,IF(CC1812="2+3",IF(ISNUMBER(SEARCH("grosser Artikel",BU1812)),2,IFERROR(VLOOKUP(BX1812,Parameter!$F$35:$G$64,2,0),2)),IF(OR(CC1812="Nein",CC1812=""),"-",CC1812))))</f>
        <v/>
      </c>
      <c r="AA1812" s="48" t="str">
        <f aca="false">IF('Neue Artikel'!$J$73="","",'Neue Artikel'!$J$73)</f>
        <v/>
      </c>
      <c r="AB1812" s="56"/>
      <c r="AC1812" s="50" t="n">
        <f aca="false">AV1812</f>
        <v>0</v>
      </c>
      <c r="AD1812" s="50" t="n">
        <f aca="false">MAX(AV1812,H1812)</f>
        <v>0</v>
      </c>
      <c r="AE1812" s="57"/>
      <c r="AF1812" s="50" t="n">
        <f aca="false">IF(LEFT(Cockpit!$C$5,1)="A",H1812,IF(Parameter!$E$30="MAX-Bestand",IF(CH1812=1,CI1812,IF(LEFT(Cockpit!$C$5,1)="B",AL1812,MAX(AL1812,H1812))),ROUNDUP(AJ1812,0)))</f>
        <v>0</v>
      </c>
      <c r="AG1812" s="50" t="n">
        <f aca="false">IF(BZ1812=1,0,ROUNDUP(AF1812/BY1812,0))</f>
        <v>0</v>
      </c>
      <c r="AH1812" s="52" t="n">
        <f aca="false">IF(CQ1812&gt;0,CQ1812*MAX(1,AF1812/X1812),IF(BZ1812=1,IF(AF1812&lt;=0,0,CD1812*MAX(1,IF(H1812&gt;0,AF1812/H1812,1))),IF(R1812&gt;0,AG1812/R1812,0))/MAX(0.1,N(Parameter!$M$21)))</f>
        <v>0</v>
      </c>
      <c r="AI1812" s="50" t="n">
        <f aca="false">AH1812*CB1812</f>
        <v>0</v>
      </c>
      <c r="AJ1812" s="51" t="n">
        <f aca="false">IF(LEFT(Cockpit!$C$5,1)="A",H1812,IF(CH1812=1,(CK1812+CI1812)/2,IF(LEFT(Cockpit!$C$5,1)="B",(CK1812+AL1812)/2,MAX((CK1812+AL1812)/2,H1812))))</f>
        <v>0</v>
      </c>
      <c r="AK1812" s="50" t="n">
        <f aca="false">AJ1812*G1812</f>
        <v>0</v>
      </c>
      <c r="AL1812" s="50" t="n">
        <f aca="false">ROUNDUP(CK1812+MAX(CL1812,2*(J1812/IF(CG1812&gt;0,CG1812,MAX(0.1,N(Cockpit!$C$6)))-CK1812)),0)</f>
        <v>0</v>
      </c>
      <c r="AM1812" s="51" t="n">
        <f aca="false">IF(AI1812&gt;0,J1812/AI1812,-1)</f>
        <v>-1</v>
      </c>
      <c r="AN1812" s="51" t="str">
        <f aca="false">IF(AND(OR(CF1812="L1",CF1812="L23",CF1812="LIFT"),AI1812&gt;0),SUMIFS($AI$7:$AI$1843,$CF$7:$CF$1843,CF1812,$AM$7:$AM$1843,"&gt;"&amp;AM1812)+SUMIFS($AI$7:$AI$1843,$CF$7:$CF$1843,CF1812,$AM$7:$AM$1843,AM1812,$BW$7:$BW$1843,"&lt;="&amp;BW1812),"")</f>
        <v/>
      </c>
      <c r="AO1812" s="58" t="n">
        <f aca="false">IF(AN1812="",0,MAX(0,MIN(1,(IF(CF1812="L1",Parameter!$H$5,IF(CF1812="L23",Parameter!$H$6+Parameter!$H$7,Parameter!$H$5+Parameter!$H$6+Parameter!$H$7))-(AN1812-AI1812))/AI1812)))</f>
        <v>0</v>
      </c>
      <c r="AP1812" s="50" t="n">
        <f aca="false">IF(LEFT(Cockpit!$I$5,1)="A",H1812,IF(Parameter!$E$30="MAX-Bestand",IF(CH1812=1,CI1812,IF(LEFT(Cockpit!$I$5,1)="B",AV1812,MAX(AV1812,H1812))),ROUNDUP(AT1812,0)))</f>
        <v>0</v>
      </c>
      <c r="AQ1812" s="50" t="n">
        <f aca="false">IF(BZ1812=1,0,ROUNDUP(AP1812/BY1812,0))</f>
        <v>0</v>
      </c>
      <c r="AR1812" s="52" t="n">
        <f aca="false">IF(CQ1812&gt;0,CQ1812*MAX(1,AP1812/X1812),IF(BZ1812=1,IF(AP1812&lt;=0,0,CD1812*MAX(1,IF(H1812&gt;0,AP1812/H1812,1))),IF(R1812&gt;0,AQ1812/R1812,0))/MAX(0.1,N(Parameter!$M$21)))</f>
        <v>0</v>
      </c>
      <c r="AS1812" s="50" t="n">
        <f aca="false">AR1812*CB1812</f>
        <v>0</v>
      </c>
      <c r="AT1812" s="51" t="n">
        <f aca="false">IF(LEFT(Cockpit!$I$5,1)="A",H1812,IF(CH1812=1,(CK1812+CI1812)/2,IF(LEFT(Cockpit!$I$5,1)="B",(CK1812+AV1812)/2,MAX((CK1812+AV1812)/2,H1812))))</f>
        <v>0</v>
      </c>
      <c r="AU1812" s="50" t="n">
        <f aca="false">AT1812*G1812</f>
        <v>0</v>
      </c>
      <c r="AV1812" s="50" t="n">
        <f aca="false">ROUNDUP(CK1812+MAX(CL1812,2*(J1812/IF(CG1812&gt;0,CG1812,MAX(0.1,N(Cockpit!$I$6)))-CK1812)),0)</f>
        <v>0</v>
      </c>
      <c r="AW1812" s="51" t="n">
        <f aca="false">IF(AS1812&gt;0,J1812/AS1812,-1)</f>
        <v>-1</v>
      </c>
      <c r="AX1812" s="51" t="str">
        <f aca="false">IF(AND(OR(CF1812="L1",CF1812="L23",CF1812="LIFT"),AS1812&gt;0),SUMIFS($AS$7:$AS$1843,$CF$7:$CF$1843,CF1812,$AW$7:$AW$1843,"&gt;"&amp;AW1812)+SUMIFS($AS$7:$AS$1843,$CF$7:$CF$1843,CF1812,$AW$7:$AW$1843,AW1812,$BW$7:$BW$1843,"&lt;="&amp;BW1812),"")</f>
        <v/>
      </c>
      <c r="AY1812" s="58" t="n">
        <f aca="false">IF(AX1812="",0,MAX(0,MIN(1,(IF(CF1812="L1",Parameter!$H$5,IF(CF1812="L23",Parameter!$H$6+Parameter!$H$7,Parameter!$H$5+Parameter!$H$6+Parameter!$H$7))-(AX1812-AS1812))/AS1812)))</f>
        <v>0</v>
      </c>
      <c r="AZ1812" s="50" t="n">
        <f aca="false">IF(LEFT(Cockpit!$O$5,1)="A",H1812,IF(Parameter!$E$30="MAX-Bestand",IF(CH1812=1,CI1812,IF(LEFT(Cockpit!$O$5,1)="B",BF1812,MAX(BF1812,H1812))),ROUNDUP(BD1812,0)))</f>
        <v>0</v>
      </c>
      <c r="BA1812" s="50" t="n">
        <f aca="false">IF(BZ1812=1,0,ROUNDUP(AZ1812/BY1812,0))</f>
        <v>0</v>
      </c>
      <c r="BB1812" s="52" t="n">
        <f aca="false">IF(CQ1812&gt;0,CQ1812*MAX(1,AZ1812/X1812),IF(BZ1812=1,IF(AZ1812&lt;=0,0,CD1812*MAX(1,IF(H1812&gt;0,AZ1812/H1812,1))),IF(R1812&gt;0,BA1812/R1812,0))/MAX(0.1,N(Parameter!$M$21)))</f>
        <v>0</v>
      </c>
      <c r="BC1812" s="50" t="n">
        <f aca="false">BB1812*CB1812</f>
        <v>0</v>
      </c>
      <c r="BD1812" s="51" t="n">
        <f aca="false">IF(LEFT(Cockpit!$O$5,1)="A",H1812,IF(CH1812=1,(CK1812+CI1812)/2,IF(LEFT(Cockpit!$O$5,1)="B",(CK1812+BF1812)/2,MAX((CK1812+BF1812)/2,H1812))))</f>
        <v>0</v>
      </c>
      <c r="BE1812" s="50" t="n">
        <f aca="false">BD1812*G1812</f>
        <v>0</v>
      </c>
      <c r="BF1812" s="50" t="n">
        <f aca="false">ROUNDUP(CK1812+MAX(CL1812,2*(J1812/IF(CG1812&gt;0,CG1812,MAX(0.1,N(Cockpit!$O$6)))-CK1812)),0)</f>
        <v>0</v>
      </c>
      <c r="BG1812" s="51" t="n">
        <f aca="false">IF(BC1812&gt;0,J1812/BC1812,-1)</f>
        <v>-1</v>
      </c>
      <c r="BH1812" s="51" t="str">
        <f aca="false">IF(AND(OR(CF1812="L1",CF1812="L23",CF1812="LIFT"),BC1812&gt;0),SUMIFS($BC$7:$BC$1843,$CF$7:$CF$1843,CF1812,$BG$7:$BG$1843,"&gt;"&amp;BG1812)+SUMIFS($BC$7:$BC$1843,$CF$7:$CF$1843,CF1812,$BG$7:$BG$1843,BG1812,$BW$7:$BW$1843,"&lt;="&amp;BW1812),"")</f>
        <v/>
      </c>
      <c r="BI1812" s="58" t="n">
        <f aca="false">IF(BH1812="",0,MAX(0,MIN(1,(IF(CF1812="L1",Parameter!$H$5,IF(CF1812="L23",Parameter!$H$6+Parameter!$H$7,Parameter!$H$5+Parameter!$H$6+Parameter!$H$7))-(BH1812-BC1812))/BC1812)))</f>
        <v>0</v>
      </c>
      <c r="BJ1812" s="48" t="str">
        <f aca="false">IF(AI1812&lt;=0,"",IF(CF1812="Aussen","Aussenlager",IF(CF1812="-","Nicht im Lift",IF(AO1812&gt;=1,"Lift",IF(AO1812&lt;=0,"Aussenlager","teilweise")))))</f>
        <v/>
      </c>
      <c r="BK1812" s="48" t="str">
        <f aca="false">IF(AS1812&lt;=0,"",IF(CF1812="Aussen","Aussenlager",IF(CF1812="-","Nicht im Lift",IF(AY1812&gt;=1,"Lift",IF(AY1812&lt;=0,"Aussenlager","teilweise")))))</f>
        <v/>
      </c>
      <c r="BL1812" s="48" t="str">
        <f aca="false">IF(BC1812&lt;=0,"",IF(CF1812="Aussen","Aussenlager",IF(CF1812="-","Nicht im Lift",IF(BI1812&gt;=1,"Lift",IF(BI1812&lt;=0,"Aussenlager","teilweise")))))</f>
        <v/>
      </c>
      <c r="BM1812" s="48" t="str">
        <f aca="false">IF(A1812="","",IF(BV1812=1,"Neu; ","")&amp;IF(AND(BV1812=0,BQ1812&lt;0),"negativer Bestand (Export "&amp;BQ1812&amp;"); ","")&amp;IF(J1812&lt;=0,"Kein Verbrauch; ","")&amp;IF(CQ1812&gt;0,"Lift "&amp;W1812&amp;" lt. Liftbericht (Fach "&amp;X1812&amp;" Stk); ",IF(CA1812=1,"Gebinde geschätzt ("&amp;T1812&amp;"); ",IF(BZ1812=1,"Lose – Tablare geschätzt; ","")))&amp;IF(H1812&gt;AV1812,"Überbestand "&amp;ROUND(H1812-AV1812,0)&amp;" Stk / CHF "&amp;ROUND((H1812-AV1812)*G1812,0)&amp;"; ","")&amp;IF(AND(CH1812=1,CI1812&lt;CJ1812),"MAX &lt; MB+LG; ","")&amp;IF(AND(CP1812&gt;0,CO1812*10&gt;CP1812),"zu hoch für Tablar; ","")&amp;IF(AND(BV1812=0,OR(CH1812=1,AA1812&lt;&gt;"",U1812&lt;&gt;"",V1812&lt;&gt;"",AB1812&lt;&gt;"")),"manuell übersteuert; ","")&amp;IF(AND(BZ1812=0,R1812=0),"Gebinde unbekannt / Stellmass fehlt; ","")&amp;IF(AND(BZ1812=0,N(V1812)&lt;=0,N(Q1812)&lt;=0),"Menge pro Gebinde fehlt (Ist = 1 Gebinde); ","")&amp;BU1812)</f>
        <v/>
      </c>
      <c r="BN1812" s="48"/>
      <c r="BO1812" s="48"/>
      <c r="BP1812" s="55"/>
      <c r="BQ1812" s="50" t="n">
        <f aca="false">N('Neue Artikel'!$D$73)</f>
        <v>0</v>
      </c>
      <c r="BR1812" s="50" t="n">
        <v>0</v>
      </c>
      <c r="BS1812" s="49" t="n">
        <v>0</v>
      </c>
      <c r="BT1812" s="50" t="n">
        <f aca="false">N('Neue Artikel'!$C$73)/Parameter!$B$18</f>
        <v>0</v>
      </c>
      <c r="BU1812" s="48"/>
      <c r="BV1812" s="53" t="n">
        <v>1</v>
      </c>
      <c r="BW1812" s="53" t="n">
        <v>1812</v>
      </c>
      <c r="BX1812" s="48" t="str">
        <f aca="false">IF(U1812&lt;&gt;"",UPPER(TRIM(U1812)),IF(CA1812=1,UPPER(VLOOKUP(T1812,Parameter!$I$27:$K$29,2,0)),IF(P1812="","LOSE",P1812)))</f>
        <v>LOSE</v>
      </c>
      <c r="BY1812" s="50" t="n">
        <f aca="false">IF(BX1812="LOSE",1,IF(N(V1812)&gt;0,V1812,IF(CA1812=1,MAX(1,N(VLOOKUP(T1812,Parameter!$I$27:$K$29,3,0)),H1812,N(N1812)),IF(N(Q1812)&gt;0,Q1812,MAX(1,H1812)))))</f>
        <v>1</v>
      </c>
      <c r="BZ1812" s="53" t="n">
        <f aca="false">IF(BX1812="LOSE",1,0)</f>
        <v>1</v>
      </c>
      <c r="CA1812" s="53" t="n">
        <f aca="false">IF(AND(U1812="",OR(P1812="",P1812="LOSE"),T1812&lt;&gt;"",N(S1812)&lt;=0,ISNUMBER(MATCH(T1812,Parameter!$I$27:$I$29,0))),1,0)</f>
        <v>0</v>
      </c>
      <c r="CB1812" s="53" t="n">
        <f aca="false">IF(CQ1812&gt;0,INDEX(Parameter!$H$5:$H$7,W1812)/INDEX(Parameter!$E$5:$E$7,W1812),IF(AND(BZ1812=0,N(IFERROR(VLOOKUP(BX1812,'Gebinde-Kategorie'!$A$5:$N$45,14,0),0))&gt;0),VLOOKUP(BX1812,'Gebinde-Kategorie'!$A$5:$N$45,14,0)*10+Parameter!$M$23,Parameter!$M$24))</f>
        <v>235</v>
      </c>
      <c r="CC1812" s="48" t="str">
        <f aca="false">IF(AND(Parameter!$B$19="Ja",E1812&lt;&gt;"",ISNUMBER(MATCH(E1812,Parameter!$I$35:$I$52,0))),VLOOKUP(E1812,Parameter!$I$35:$J$52,2,0),IFERROR(VLOOKUP(D1812,Parameter!$A$35:$C$64,2,0),"Nein"))</f>
        <v>2+3</v>
      </c>
      <c r="CD1812" s="52" t="n">
        <f aca="false">IF(BZ1812=0,0,IF(N(S1812)&gt;0,S1812,IFERROR(VLOOKUP(D1812,Parameter!$A$35:$C$64,3,0)+0,0)))</f>
        <v>0.15</v>
      </c>
      <c r="CE1812" s="48" t="str">
        <f aca="false">IF(AA1812&lt;&gt;"",AA1812,Z1812)</f>
        <v/>
      </c>
      <c r="CF1812" s="48" t="str">
        <f aca="false">IF(OR(CE1812=1,CE1812=2,CE1812=3),IF(Parameter!$E$27="Ja","LIFT",IF(CE1812=1,"L1","L23")),IF(CE1812="Aussen","Aussen","-"))</f>
        <v>-</v>
      </c>
      <c r="CG1812" s="59" t="n">
        <f aca="false">IF(N(AB1812)&gt;0,AB1812,0)</f>
        <v>0</v>
      </c>
      <c r="CH1812" s="53" t="n">
        <f aca="false">IF(ISNUMBER(AE1812),1,0)</f>
        <v>0</v>
      </c>
      <c r="CI1812" s="50" t="n">
        <f aca="false">N(AE1812)</f>
        <v>0</v>
      </c>
      <c r="CJ1812" s="50" t="n">
        <f aca="false">N(M1812)+N(N1812)</f>
        <v>0</v>
      </c>
      <c r="CK1812" s="50" t="n">
        <f aca="false">N(M1812)</f>
        <v>0</v>
      </c>
      <c r="CL1812" s="50" t="n">
        <f aca="false">N(N1812)</f>
        <v>0</v>
      </c>
      <c r="CM1812" s="50" t="n">
        <f aca="false">ROUNDUP(H1812/BY1812,0)</f>
        <v>0</v>
      </c>
      <c r="CN1812" s="50" t="n">
        <f aca="false">ROUNDUP(CI1812/BY1812,0)</f>
        <v>0</v>
      </c>
      <c r="CO1812" s="53" t="n">
        <f aca="false">IF(BZ1812=1,0,IFERROR(VLOOKUP(BX1812,'Gebinde-Kategorie'!$A$5:$N$45,5,0)+0,0))</f>
        <v>0</v>
      </c>
      <c r="CP1812" s="53" t="n">
        <f aca="false">IFERROR(IF(OR(CE1812=1,CE1812=2,CE1812=3),N(INDEX(Parameter!$I$5:$I$7,CE1812)),0),0)</f>
        <v>0</v>
      </c>
      <c r="CQ1812" s="52" t="n">
        <f aca="false">IF(AND(Parameter!$B$21="Ja",ISNUMBER(W1812),N(X1812)&gt;0),IFERROR(N(INDEX(Parameter!$L$5:$L$7,W1812))*INDEX(Parameter!$E$5:$E$7,W1812)*X1812/SUMIFS($X$7:$X$1843,$W$7:$W$1843,W1812),0),0)</f>
        <v>0</v>
      </c>
    </row>
    <row r="1813" customFormat="false" ht="15" hidden="false" customHeight="false" outlineLevel="0" collapsed="false">
      <c r="A1813" s="48" t="str">
        <f aca="false">IF('Neue Artikel'!$A$74="","",'Neue Artikel'!$A$74&amp;"")</f>
        <v/>
      </c>
      <c r="B1813" s="48" t="str">
        <f aca="false">'Neue Artikel'!$B$74&amp;""</f>
        <v/>
      </c>
      <c r="C1813" s="48"/>
      <c r="D1813" s="48" t="s">
        <v>3024</v>
      </c>
      <c r="E1813" s="48"/>
      <c r="F1813" s="48"/>
      <c r="G1813" s="49" t="n">
        <f aca="false">N('Neue Artikel'!$G$74)</f>
        <v>0</v>
      </c>
      <c r="H1813" s="50" t="n">
        <f aca="false">MAX(0,IF(AND(Parameter!$B$21="Ja",ISNUMBER(Y1813)),Y1813,IF(Parameter!$B$20="Jahresanfang 2025 + Export",BR1813+BQ1813,BQ1813)))</f>
        <v>0</v>
      </c>
      <c r="I1813" s="50" t="n">
        <f aca="false">H1813*G1813</f>
        <v>0</v>
      </c>
      <c r="J1813" s="50" t="n">
        <f aca="false">BT1813*Parameter!$B$18</f>
        <v>0</v>
      </c>
      <c r="K1813" s="51"/>
      <c r="L1813" s="52"/>
      <c r="M1813" s="50" t="n">
        <f aca="false">N('Neue Artikel'!$E$74)</f>
        <v>0</v>
      </c>
      <c r="N1813" s="50" t="n">
        <f aca="false">N('Neue Artikel'!$F$74)</f>
        <v>0</v>
      </c>
      <c r="O1813" s="53"/>
      <c r="P1813" s="48" t="str">
        <f aca="false">IF('Neue Artikel'!$H$74="","LOSE",UPPER(TRIM('Neue Artikel'!$H$74)))</f>
        <v>LOSE</v>
      </c>
      <c r="Q1813" s="50" t="n">
        <f aca="false">N('Neue Artikel'!$I$74)</f>
        <v>0</v>
      </c>
      <c r="R1813" s="53" t="n">
        <f aca="false">IF(BZ1813=1,0,IFERROR(VLOOKUP(BX1813,'Gebinde-Kategorie'!$A$5:$N$45,13,0)+0,0))</f>
        <v>0</v>
      </c>
      <c r="S1813" s="54"/>
      <c r="T1813" s="55"/>
      <c r="U1813" s="55"/>
      <c r="V1813" s="55"/>
      <c r="W1813" s="48"/>
      <c r="X1813" s="50"/>
      <c r="Y1813" s="50"/>
      <c r="Z1813" s="48" t="str">
        <f aca="false">IF(A1813="","",IF(AND(Parameter!$B$21="Ja",ISNUMBER(W1813)),W1813,IF(CC1813="2+3",IF(ISNUMBER(SEARCH("grosser Artikel",BU1813)),2,IFERROR(VLOOKUP(BX1813,Parameter!$F$35:$G$64,2,0),2)),IF(OR(CC1813="Nein",CC1813=""),"-",CC1813))))</f>
        <v/>
      </c>
      <c r="AA1813" s="48" t="str">
        <f aca="false">IF('Neue Artikel'!$J$74="","",'Neue Artikel'!$J$74)</f>
        <v/>
      </c>
      <c r="AB1813" s="56"/>
      <c r="AC1813" s="50" t="n">
        <f aca="false">AV1813</f>
        <v>0</v>
      </c>
      <c r="AD1813" s="50" t="n">
        <f aca="false">MAX(AV1813,H1813)</f>
        <v>0</v>
      </c>
      <c r="AE1813" s="57"/>
      <c r="AF1813" s="50" t="n">
        <f aca="false">IF(LEFT(Cockpit!$C$5,1)="A",H1813,IF(Parameter!$E$30="MAX-Bestand",IF(CH1813=1,CI1813,IF(LEFT(Cockpit!$C$5,1)="B",AL1813,MAX(AL1813,H1813))),ROUNDUP(AJ1813,0)))</f>
        <v>0</v>
      </c>
      <c r="AG1813" s="50" t="n">
        <f aca="false">IF(BZ1813=1,0,ROUNDUP(AF1813/BY1813,0))</f>
        <v>0</v>
      </c>
      <c r="AH1813" s="52" t="n">
        <f aca="false">IF(CQ1813&gt;0,CQ1813*MAX(1,AF1813/X1813),IF(BZ1813=1,IF(AF1813&lt;=0,0,CD1813*MAX(1,IF(H1813&gt;0,AF1813/H1813,1))),IF(R1813&gt;0,AG1813/R1813,0))/MAX(0.1,N(Parameter!$M$21)))</f>
        <v>0</v>
      </c>
      <c r="AI1813" s="50" t="n">
        <f aca="false">AH1813*CB1813</f>
        <v>0</v>
      </c>
      <c r="AJ1813" s="51" t="n">
        <f aca="false">IF(LEFT(Cockpit!$C$5,1)="A",H1813,IF(CH1813=1,(CK1813+CI1813)/2,IF(LEFT(Cockpit!$C$5,1)="B",(CK1813+AL1813)/2,MAX((CK1813+AL1813)/2,H1813))))</f>
        <v>0</v>
      </c>
      <c r="AK1813" s="50" t="n">
        <f aca="false">AJ1813*G1813</f>
        <v>0</v>
      </c>
      <c r="AL1813" s="50" t="n">
        <f aca="false">ROUNDUP(CK1813+MAX(CL1813,2*(J1813/IF(CG1813&gt;0,CG1813,MAX(0.1,N(Cockpit!$C$6)))-CK1813)),0)</f>
        <v>0</v>
      </c>
      <c r="AM1813" s="51" t="n">
        <f aca="false">IF(AI1813&gt;0,J1813/AI1813,-1)</f>
        <v>-1</v>
      </c>
      <c r="AN1813" s="51" t="str">
        <f aca="false">IF(AND(OR(CF1813="L1",CF1813="L23",CF1813="LIFT"),AI1813&gt;0),SUMIFS($AI$7:$AI$1843,$CF$7:$CF$1843,CF1813,$AM$7:$AM$1843,"&gt;"&amp;AM1813)+SUMIFS($AI$7:$AI$1843,$CF$7:$CF$1843,CF1813,$AM$7:$AM$1843,AM1813,$BW$7:$BW$1843,"&lt;="&amp;BW1813),"")</f>
        <v/>
      </c>
      <c r="AO1813" s="58" t="n">
        <f aca="false">IF(AN1813="",0,MAX(0,MIN(1,(IF(CF1813="L1",Parameter!$H$5,IF(CF1813="L23",Parameter!$H$6+Parameter!$H$7,Parameter!$H$5+Parameter!$H$6+Parameter!$H$7))-(AN1813-AI1813))/AI1813)))</f>
        <v>0</v>
      </c>
      <c r="AP1813" s="50" t="n">
        <f aca="false">IF(LEFT(Cockpit!$I$5,1)="A",H1813,IF(Parameter!$E$30="MAX-Bestand",IF(CH1813=1,CI1813,IF(LEFT(Cockpit!$I$5,1)="B",AV1813,MAX(AV1813,H1813))),ROUNDUP(AT1813,0)))</f>
        <v>0</v>
      </c>
      <c r="AQ1813" s="50" t="n">
        <f aca="false">IF(BZ1813=1,0,ROUNDUP(AP1813/BY1813,0))</f>
        <v>0</v>
      </c>
      <c r="AR1813" s="52" t="n">
        <f aca="false">IF(CQ1813&gt;0,CQ1813*MAX(1,AP1813/X1813),IF(BZ1813=1,IF(AP1813&lt;=0,0,CD1813*MAX(1,IF(H1813&gt;0,AP1813/H1813,1))),IF(R1813&gt;0,AQ1813/R1813,0))/MAX(0.1,N(Parameter!$M$21)))</f>
        <v>0</v>
      </c>
      <c r="AS1813" s="50" t="n">
        <f aca="false">AR1813*CB1813</f>
        <v>0</v>
      </c>
      <c r="AT1813" s="51" t="n">
        <f aca="false">IF(LEFT(Cockpit!$I$5,1)="A",H1813,IF(CH1813=1,(CK1813+CI1813)/2,IF(LEFT(Cockpit!$I$5,1)="B",(CK1813+AV1813)/2,MAX((CK1813+AV1813)/2,H1813))))</f>
        <v>0</v>
      </c>
      <c r="AU1813" s="50" t="n">
        <f aca="false">AT1813*G1813</f>
        <v>0</v>
      </c>
      <c r="AV1813" s="50" t="n">
        <f aca="false">ROUNDUP(CK1813+MAX(CL1813,2*(J1813/IF(CG1813&gt;0,CG1813,MAX(0.1,N(Cockpit!$I$6)))-CK1813)),0)</f>
        <v>0</v>
      </c>
      <c r="AW1813" s="51" t="n">
        <f aca="false">IF(AS1813&gt;0,J1813/AS1813,-1)</f>
        <v>-1</v>
      </c>
      <c r="AX1813" s="51" t="str">
        <f aca="false">IF(AND(OR(CF1813="L1",CF1813="L23",CF1813="LIFT"),AS1813&gt;0),SUMIFS($AS$7:$AS$1843,$CF$7:$CF$1843,CF1813,$AW$7:$AW$1843,"&gt;"&amp;AW1813)+SUMIFS($AS$7:$AS$1843,$CF$7:$CF$1843,CF1813,$AW$7:$AW$1843,AW1813,$BW$7:$BW$1843,"&lt;="&amp;BW1813),"")</f>
        <v/>
      </c>
      <c r="AY1813" s="58" t="n">
        <f aca="false">IF(AX1813="",0,MAX(0,MIN(1,(IF(CF1813="L1",Parameter!$H$5,IF(CF1813="L23",Parameter!$H$6+Parameter!$H$7,Parameter!$H$5+Parameter!$H$6+Parameter!$H$7))-(AX1813-AS1813))/AS1813)))</f>
        <v>0</v>
      </c>
      <c r="AZ1813" s="50" t="n">
        <f aca="false">IF(LEFT(Cockpit!$O$5,1)="A",H1813,IF(Parameter!$E$30="MAX-Bestand",IF(CH1813=1,CI1813,IF(LEFT(Cockpit!$O$5,1)="B",BF1813,MAX(BF1813,H1813))),ROUNDUP(BD1813,0)))</f>
        <v>0</v>
      </c>
      <c r="BA1813" s="50" t="n">
        <f aca="false">IF(BZ1813=1,0,ROUNDUP(AZ1813/BY1813,0))</f>
        <v>0</v>
      </c>
      <c r="BB1813" s="52" t="n">
        <f aca="false">IF(CQ1813&gt;0,CQ1813*MAX(1,AZ1813/X1813),IF(BZ1813=1,IF(AZ1813&lt;=0,0,CD1813*MAX(1,IF(H1813&gt;0,AZ1813/H1813,1))),IF(R1813&gt;0,BA1813/R1813,0))/MAX(0.1,N(Parameter!$M$21)))</f>
        <v>0</v>
      </c>
      <c r="BC1813" s="50" t="n">
        <f aca="false">BB1813*CB1813</f>
        <v>0</v>
      </c>
      <c r="BD1813" s="51" t="n">
        <f aca="false">IF(LEFT(Cockpit!$O$5,1)="A",H1813,IF(CH1813=1,(CK1813+CI1813)/2,IF(LEFT(Cockpit!$O$5,1)="B",(CK1813+BF1813)/2,MAX((CK1813+BF1813)/2,H1813))))</f>
        <v>0</v>
      </c>
      <c r="BE1813" s="50" t="n">
        <f aca="false">BD1813*G1813</f>
        <v>0</v>
      </c>
      <c r="BF1813" s="50" t="n">
        <f aca="false">ROUNDUP(CK1813+MAX(CL1813,2*(J1813/IF(CG1813&gt;0,CG1813,MAX(0.1,N(Cockpit!$O$6)))-CK1813)),0)</f>
        <v>0</v>
      </c>
      <c r="BG1813" s="51" t="n">
        <f aca="false">IF(BC1813&gt;0,J1813/BC1813,-1)</f>
        <v>-1</v>
      </c>
      <c r="BH1813" s="51" t="str">
        <f aca="false">IF(AND(OR(CF1813="L1",CF1813="L23",CF1813="LIFT"),BC1813&gt;0),SUMIFS($BC$7:$BC$1843,$CF$7:$CF$1843,CF1813,$BG$7:$BG$1843,"&gt;"&amp;BG1813)+SUMIFS($BC$7:$BC$1843,$CF$7:$CF$1843,CF1813,$BG$7:$BG$1843,BG1813,$BW$7:$BW$1843,"&lt;="&amp;BW1813),"")</f>
        <v/>
      </c>
      <c r="BI1813" s="58" t="n">
        <f aca="false">IF(BH1813="",0,MAX(0,MIN(1,(IF(CF1813="L1",Parameter!$H$5,IF(CF1813="L23",Parameter!$H$6+Parameter!$H$7,Parameter!$H$5+Parameter!$H$6+Parameter!$H$7))-(BH1813-BC1813))/BC1813)))</f>
        <v>0</v>
      </c>
      <c r="BJ1813" s="48" t="str">
        <f aca="false">IF(AI1813&lt;=0,"",IF(CF1813="Aussen","Aussenlager",IF(CF1813="-","Nicht im Lift",IF(AO1813&gt;=1,"Lift",IF(AO1813&lt;=0,"Aussenlager","teilweise")))))</f>
        <v/>
      </c>
      <c r="BK1813" s="48" t="str">
        <f aca="false">IF(AS1813&lt;=0,"",IF(CF1813="Aussen","Aussenlager",IF(CF1813="-","Nicht im Lift",IF(AY1813&gt;=1,"Lift",IF(AY1813&lt;=0,"Aussenlager","teilweise")))))</f>
        <v/>
      </c>
      <c r="BL1813" s="48" t="str">
        <f aca="false">IF(BC1813&lt;=0,"",IF(CF1813="Aussen","Aussenlager",IF(CF1813="-","Nicht im Lift",IF(BI1813&gt;=1,"Lift",IF(BI1813&lt;=0,"Aussenlager","teilweise")))))</f>
        <v/>
      </c>
      <c r="BM1813" s="48" t="str">
        <f aca="false">IF(A1813="","",IF(BV1813=1,"Neu; ","")&amp;IF(AND(BV1813=0,BQ1813&lt;0),"negativer Bestand (Export "&amp;BQ1813&amp;"); ","")&amp;IF(J1813&lt;=0,"Kein Verbrauch; ","")&amp;IF(CQ1813&gt;0,"Lift "&amp;W1813&amp;" lt. Liftbericht (Fach "&amp;X1813&amp;" Stk); ",IF(CA1813=1,"Gebinde geschätzt ("&amp;T1813&amp;"); ",IF(BZ1813=1,"Lose – Tablare geschätzt; ","")))&amp;IF(H1813&gt;AV1813,"Überbestand "&amp;ROUND(H1813-AV1813,0)&amp;" Stk / CHF "&amp;ROUND((H1813-AV1813)*G1813,0)&amp;"; ","")&amp;IF(AND(CH1813=1,CI1813&lt;CJ1813),"MAX &lt; MB+LG; ","")&amp;IF(AND(CP1813&gt;0,CO1813*10&gt;CP1813),"zu hoch für Tablar; ","")&amp;IF(AND(BV1813=0,OR(CH1813=1,AA1813&lt;&gt;"",U1813&lt;&gt;"",V1813&lt;&gt;"",AB1813&lt;&gt;"")),"manuell übersteuert; ","")&amp;IF(AND(BZ1813=0,R1813=0),"Gebinde unbekannt / Stellmass fehlt; ","")&amp;IF(AND(BZ1813=0,N(V1813)&lt;=0,N(Q1813)&lt;=0),"Menge pro Gebinde fehlt (Ist = 1 Gebinde); ","")&amp;BU1813)</f>
        <v/>
      </c>
      <c r="BN1813" s="48"/>
      <c r="BO1813" s="48"/>
      <c r="BP1813" s="55"/>
      <c r="BQ1813" s="50" t="n">
        <f aca="false">N('Neue Artikel'!$D$74)</f>
        <v>0</v>
      </c>
      <c r="BR1813" s="50" t="n">
        <v>0</v>
      </c>
      <c r="BS1813" s="49" t="n">
        <v>0</v>
      </c>
      <c r="BT1813" s="50" t="n">
        <f aca="false">N('Neue Artikel'!$C$74)/Parameter!$B$18</f>
        <v>0</v>
      </c>
      <c r="BU1813" s="48"/>
      <c r="BV1813" s="53" t="n">
        <v>1</v>
      </c>
      <c r="BW1813" s="53" t="n">
        <v>1813</v>
      </c>
      <c r="BX1813" s="48" t="str">
        <f aca="false">IF(U1813&lt;&gt;"",UPPER(TRIM(U1813)),IF(CA1813=1,UPPER(VLOOKUP(T1813,Parameter!$I$27:$K$29,2,0)),IF(P1813="","LOSE",P1813)))</f>
        <v>LOSE</v>
      </c>
      <c r="BY1813" s="50" t="n">
        <f aca="false">IF(BX1813="LOSE",1,IF(N(V1813)&gt;0,V1813,IF(CA1813=1,MAX(1,N(VLOOKUP(T1813,Parameter!$I$27:$K$29,3,0)),H1813,N(N1813)),IF(N(Q1813)&gt;0,Q1813,MAX(1,H1813)))))</f>
        <v>1</v>
      </c>
      <c r="BZ1813" s="53" t="n">
        <f aca="false">IF(BX1813="LOSE",1,0)</f>
        <v>1</v>
      </c>
      <c r="CA1813" s="53" t="n">
        <f aca="false">IF(AND(U1813="",OR(P1813="",P1813="LOSE"),T1813&lt;&gt;"",N(S1813)&lt;=0,ISNUMBER(MATCH(T1813,Parameter!$I$27:$I$29,0))),1,0)</f>
        <v>0</v>
      </c>
      <c r="CB1813" s="53" t="n">
        <f aca="false">IF(CQ1813&gt;0,INDEX(Parameter!$H$5:$H$7,W1813)/INDEX(Parameter!$E$5:$E$7,W1813),IF(AND(BZ1813=0,N(IFERROR(VLOOKUP(BX1813,'Gebinde-Kategorie'!$A$5:$N$45,14,0),0))&gt;0),VLOOKUP(BX1813,'Gebinde-Kategorie'!$A$5:$N$45,14,0)*10+Parameter!$M$23,Parameter!$M$24))</f>
        <v>235</v>
      </c>
      <c r="CC1813" s="48" t="str">
        <f aca="false">IF(AND(Parameter!$B$19="Ja",E1813&lt;&gt;"",ISNUMBER(MATCH(E1813,Parameter!$I$35:$I$52,0))),VLOOKUP(E1813,Parameter!$I$35:$J$52,2,0),IFERROR(VLOOKUP(D1813,Parameter!$A$35:$C$64,2,0),"Nein"))</f>
        <v>2+3</v>
      </c>
      <c r="CD1813" s="52" t="n">
        <f aca="false">IF(BZ1813=0,0,IF(N(S1813)&gt;0,S1813,IFERROR(VLOOKUP(D1813,Parameter!$A$35:$C$64,3,0)+0,0)))</f>
        <v>0.15</v>
      </c>
      <c r="CE1813" s="48" t="str">
        <f aca="false">IF(AA1813&lt;&gt;"",AA1813,Z1813)</f>
        <v/>
      </c>
      <c r="CF1813" s="48" t="str">
        <f aca="false">IF(OR(CE1813=1,CE1813=2,CE1813=3),IF(Parameter!$E$27="Ja","LIFT",IF(CE1813=1,"L1","L23")),IF(CE1813="Aussen","Aussen","-"))</f>
        <v>-</v>
      </c>
      <c r="CG1813" s="59" t="n">
        <f aca="false">IF(N(AB1813)&gt;0,AB1813,0)</f>
        <v>0</v>
      </c>
      <c r="CH1813" s="53" t="n">
        <f aca="false">IF(ISNUMBER(AE1813),1,0)</f>
        <v>0</v>
      </c>
      <c r="CI1813" s="50" t="n">
        <f aca="false">N(AE1813)</f>
        <v>0</v>
      </c>
      <c r="CJ1813" s="50" t="n">
        <f aca="false">N(M1813)+N(N1813)</f>
        <v>0</v>
      </c>
      <c r="CK1813" s="50" t="n">
        <f aca="false">N(M1813)</f>
        <v>0</v>
      </c>
      <c r="CL1813" s="50" t="n">
        <f aca="false">N(N1813)</f>
        <v>0</v>
      </c>
      <c r="CM1813" s="50" t="n">
        <f aca="false">ROUNDUP(H1813/BY1813,0)</f>
        <v>0</v>
      </c>
      <c r="CN1813" s="50" t="n">
        <f aca="false">ROUNDUP(CI1813/BY1813,0)</f>
        <v>0</v>
      </c>
      <c r="CO1813" s="53" t="n">
        <f aca="false">IF(BZ1813=1,0,IFERROR(VLOOKUP(BX1813,'Gebinde-Kategorie'!$A$5:$N$45,5,0)+0,0))</f>
        <v>0</v>
      </c>
      <c r="CP1813" s="53" t="n">
        <f aca="false">IFERROR(IF(OR(CE1813=1,CE1813=2,CE1813=3),N(INDEX(Parameter!$I$5:$I$7,CE1813)),0),0)</f>
        <v>0</v>
      </c>
      <c r="CQ1813" s="52" t="n">
        <f aca="false">IF(AND(Parameter!$B$21="Ja",ISNUMBER(W1813),N(X1813)&gt;0),IFERROR(N(INDEX(Parameter!$L$5:$L$7,W1813))*INDEX(Parameter!$E$5:$E$7,W1813)*X1813/SUMIFS($X$7:$X$1843,$W$7:$W$1843,W1813),0),0)</f>
        <v>0</v>
      </c>
    </row>
    <row r="1814" customFormat="false" ht="15" hidden="false" customHeight="false" outlineLevel="0" collapsed="false">
      <c r="A1814" s="48" t="str">
        <f aca="false">IF('Neue Artikel'!$A$75="","",'Neue Artikel'!$A$75&amp;"")</f>
        <v/>
      </c>
      <c r="B1814" s="48" t="str">
        <f aca="false">'Neue Artikel'!$B$75&amp;""</f>
        <v/>
      </c>
      <c r="C1814" s="48"/>
      <c r="D1814" s="48" t="s">
        <v>3024</v>
      </c>
      <c r="E1814" s="48"/>
      <c r="F1814" s="48"/>
      <c r="G1814" s="49" t="n">
        <f aca="false">N('Neue Artikel'!$G$75)</f>
        <v>0</v>
      </c>
      <c r="H1814" s="50" t="n">
        <f aca="false">MAX(0,IF(AND(Parameter!$B$21="Ja",ISNUMBER(Y1814)),Y1814,IF(Parameter!$B$20="Jahresanfang 2025 + Export",BR1814+BQ1814,BQ1814)))</f>
        <v>0</v>
      </c>
      <c r="I1814" s="50" t="n">
        <f aca="false">H1814*G1814</f>
        <v>0</v>
      </c>
      <c r="J1814" s="50" t="n">
        <f aca="false">BT1814*Parameter!$B$18</f>
        <v>0</v>
      </c>
      <c r="K1814" s="51"/>
      <c r="L1814" s="52"/>
      <c r="M1814" s="50" t="n">
        <f aca="false">N('Neue Artikel'!$E$75)</f>
        <v>0</v>
      </c>
      <c r="N1814" s="50" t="n">
        <f aca="false">N('Neue Artikel'!$F$75)</f>
        <v>0</v>
      </c>
      <c r="O1814" s="53"/>
      <c r="P1814" s="48" t="str">
        <f aca="false">IF('Neue Artikel'!$H$75="","LOSE",UPPER(TRIM('Neue Artikel'!$H$75)))</f>
        <v>LOSE</v>
      </c>
      <c r="Q1814" s="50" t="n">
        <f aca="false">N('Neue Artikel'!$I$75)</f>
        <v>0</v>
      </c>
      <c r="R1814" s="53" t="n">
        <f aca="false">IF(BZ1814=1,0,IFERROR(VLOOKUP(BX1814,'Gebinde-Kategorie'!$A$5:$N$45,13,0)+0,0))</f>
        <v>0</v>
      </c>
      <c r="S1814" s="54"/>
      <c r="T1814" s="55"/>
      <c r="U1814" s="55"/>
      <c r="V1814" s="55"/>
      <c r="W1814" s="48"/>
      <c r="X1814" s="50"/>
      <c r="Y1814" s="50"/>
      <c r="Z1814" s="48" t="str">
        <f aca="false">IF(A1814="","",IF(AND(Parameter!$B$21="Ja",ISNUMBER(W1814)),W1814,IF(CC1814="2+3",IF(ISNUMBER(SEARCH("grosser Artikel",BU1814)),2,IFERROR(VLOOKUP(BX1814,Parameter!$F$35:$G$64,2,0),2)),IF(OR(CC1814="Nein",CC1814=""),"-",CC1814))))</f>
        <v/>
      </c>
      <c r="AA1814" s="48" t="str">
        <f aca="false">IF('Neue Artikel'!$J$75="","",'Neue Artikel'!$J$75)</f>
        <v/>
      </c>
      <c r="AB1814" s="56"/>
      <c r="AC1814" s="50" t="n">
        <f aca="false">AV1814</f>
        <v>0</v>
      </c>
      <c r="AD1814" s="50" t="n">
        <f aca="false">MAX(AV1814,H1814)</f>
        <v>0</v>
      </c>
      <c r="AE1814" s="57"/>
      <c r="AF1814" s="50" t="n">
        <f aca="false">IF(LEFT(Cockpit!$C$5,1)="A",H1814,IF(Parameter!$E$30="MAX-Bestand",IF(CH1814=1,CI1814,IF(LEFT(Cockpit!$C$5,1)="B",AL1814,MAX(AL1814,H1814))),ROUNDUP(AJ1814,0)))</f>
        <v>0</v>
      </c>
      <c r="AG1814" s="50" t="n">
        <f aca="false">IF(BZ1814=1,0,ROUNDUP(AF1814/BY1814,0))</f>
        <v>0</v>
      </c>
      <c r="AH1814" s="52" t="n">
        <f aca="false">IF(CQ1814&gt;0,CQ1814*MAX(1,AF1814/X1814),IF(BZ1814=1,IF(AF1814&lt;=0,0,CD1814*MAX(1,IF(H1814&gt;0,AF1814/H1814,1))),IF(R1814&gt;0,AG1814/R1814,0))/MAX(0.1,N(Parameter!$M$21)))</f>
        <v>0</v>
      </c>
      <c r="AI1814" s="50" t="n">
        <f aca="false">AH1814*CB1814</f>
        <v>0</v>
      </c>
      <c r="AJ1814" s="51" t="n">
        <f aca="false">IF(LEFT(Cockpit!$C$5,1)="A",H1814,IF(CH1814=1,(CK1814+CI1814)/2,IF(LEFT(Cockpit!$C$5,1)="B",(CK1814+AL1814)/2,MAX((CK1814+AL1814)/2,H1814))))</f>
        <v>0</v>
      </c>
      <c r="AK1814" s="50" t="n">
        <f aca="false">AJ1814*G1814</f>
        <v>0</v>
      </c>
      <c r="AL1814" s="50" t="n">
        <f aca="false">ROUNDUP(CK1814+MAX(CL1814,2*(J1814/IF(CG1814&gt;0,CG1814,MAX(0.1,N(Cockpit!$C$6)))-CK1814)),0)</f>
        <v>0</v>
      </c>
      <c r="AM1814" s="51" t="n">
        <f aca="false">IF(AI1814&gt;0,J1814/AI1814,-1)</f>
        <v>-1</v>
      </c>
      <c r="AN1814" s="51" t="str">
        <f aca="false">IF(AND(OR(CF1814="L1",CF1814="L23",CF1814="LIFT"),AI1814&gt;0),SUMIFS($AI$7:$AI$1843,$CF$7:$CF$1843,CF1814,$AM$7:$AM$1843,"&gt;"&amp;AM1814)+SUMIFS($AI$7:$AI$1843,$CF$7:$CF$1843,CF1814,$AM$7:$AM$1843,AM1814,$BW$7:$BW$1843,"&lt;="&amp;BW1814),"")</f>
        <v/>
      </c>
      <c r="AO1814" s="58" t="n">
        <f aca="false">IF(AN1814="",0,MAX(0,MIN(1,(IF(CF1814="L1",Parameter!$H$5,IF(CF1814="L23",Parameter!$H$6+Parameter!$H$7,Parameter!$H$5+Parameter!$H$6+Parameter!$H$7))-(AN1814-AI1814))/AI1814)))</f>
        <v>0</v>
      </c>
      <c r="AP1814" s="50" t="n">
        <f aca="false">IF(LEFT(Cockpit!$I$5,1)="A",H1814,IF(Parameter!$E$30="MAX-Bestand",IF(CH1814=1,CI1814,IF(LEFT(Cockpit!$I$5,1)="B",AV1814,MAX(AV1814,H1814))),ROUNDUP(AT1814,0)))</f>
        <v>0</v>
      </c>
      <c r="AQ1814" s="50" t="n">
        <f aca="false">IF(BZ1814=1,0,ROUNDUP(AP1814/BY1814,0))</f>
        <v>0</v>
      </c>
      <c r="AR1814" s="52" t="n">
        <f aca="false">IF(CQ1814&gt;0,CQ1814*MAX(1,AP1814/X1814),IF(BZ1814=1,IF(AP1814&lt;=0,0,CD1814*MAX(1,IF(H1814&gt;0,AP1814/H1814,1))),IF(R1814&gt;0,AQ1814/R1814,0))/MAX(0.1,N(Parameter!$M$21)))</f>
        <v>0</v>
      </c>
      <c r="AS1814" s="50" t="n">
        <f aca="false">AR1814*CB1814</f>
        <v>0</v>
      </c>
      <c r="AT1814" s="51" t="n">
        <f aca="false">IF(LEFT(Cockpit!$I$5,1)="A",H1814,IF(CH1814=1,(CK1814+CI1814)/2,IF(LEFT(Cockpit!$I$5,1)="B",(CK1814+AV1814)/2,MAX((CK1814+AV1814)/2,H1814))))</f>
        <v>0</v>
      </c>
      <c r="AU1814" s="50" t="n">
        <f aca="false">AT1814*G1814</f>
        <v>0</v>
      </c>
      <c r="AV1814" s="50" t="n">
        <f aca="false">ROUNDUP(CK1814+MAX(CL1814,2*(J1814/IF(CG1814&gt;0,CG1814,MAX(0.1,N(Cockpit!$I$6)))-CK1814)),0)</f>
        <v>0</v>
      </c>
      <c r="AW1814" s="51" t="n">
        <f aca="false">IF(AS1814&gt;0,J1814/AS1814,-1)</f>
        <v>-1</v>
      </c>
      <c r="AX1814" s="51" t="str">
        <f aca="false">IF(AND(OR(CF1814="L1",CF1814="L23",CF1814="LIFT"),AS1814&gt;0),SUMIFS($AS$7:$AS$1843,$CF$7:$CF$1843,CF1814,$AW$7:$AW$1843,"&gt;"&amp;AW1814)+SUMIFS($AS$7:$AS$1843,$CF$7:$CF$1843,CF1814,$AW$7:$AW$1843,AW1814,$BW$7:$BW$1843,"&lt;="&amp;BW1814),"")</f>
        <v/>
      </c>
      <c r="AY1814" s="58" t="n">
        <f aca="false">IF(AX1814="",0,MAX(0,MIN(1,(IF(CF1814="L1",Parameter!$H$5,IF(CF1814="L23",Parameter!$H$6+Parameter!$H$7,Parameter!$H$5+Parameter!$H$6+Parameter!$H$7))-(AX1814-AS1814))/AS1814)))</f>
        <v>0</v>
      </c>
      <c r="AZ1814" s="50" t="n">
        <f aca="false">IF(LEFT(Cockpit!$O$5,1)="A",H1814,IF(Parameter!$E$30="MAX-Bestand",IF(CH1814=1,CI1814,IF(LEFT(Cockpit!$O$5,1)="B",BF1814,MAX(BF1814,H1814))),ROUNDUP(BD1814,0)))</f>
        <v>0</v>
      </c>
      <c r="BA1814" s="50" t="n">
        <f aca="false">IF(BZ1814=1,0,ROUNDUP(AZ1814/BY1814,0))</f>
        <v>0</v>
      </c>
      <c r="BB1814" s="52" t="n">
        <f aca="false">IF(CQ1814&gt;0,CQ1814*MAX(1,AZ1814/X1814),IF(BZ1814=1,IF(AZ1814&lt;=0,0,CD1814*MAX(1,IF(H1814&gt;0,AZ1814/H1814,1))),IF(R1814&gt;0,BA1814/R1814,0))/MAX(0.1,N(Parameter!$M$21)))</f>
        <v>0</v>
      </c>
      <c r="BC1814" s="50" t="n">
        <f aca="false">BB1814*CB1814</f>
        <v>0</v>
      </c>
      <c r="BD1814" s="51" t="n">
        <f aca="false">IF(LEFT(Cockpit!$O$5,1)="A",H1814,IF(CH1814=1,(CK1814+CI1814)/2,IF(LEFT(Cockpit!$O$5,1)="B",(CK1814+BF1814)/2,MAX((CK1814+BF1814)/2,H1814))))</f>
        <v>0</v>
      </c>
      <c r="BE1814" s="50" t="n">
        <f aca="false">BD1814*G1814</f>
        <v>0</v>
      </c>
      <c r="BF1814" s="50" t="n">
        <f aca="false">ROUNDUP(CK1814+MAX(CL1814,2*(J1814/IF(CG1814&gt;0,CG1814,MAX(0.1,N(Cockpit!$O$6)))-CK1814)),0)</f>
        <v>0</v>
      </c>
      <c r="BG1814" s="51" t="n">
        <f aca="false">IF(BC1814&gt;0,J1814/BC1814,-1)</f>
        <v>-1</v>
      </c>
      <c r="BH1814" s="51" t="str">
        <f aca="false">IF(AND(OR(CF1814="L1",CF1814="L23",CF1814="LIFT"),BC1814&gt;0),SUMIFS($BC$7:$BC$1843,$CF$7:$CF$1843,CF1814,$BG$7:$BG$1843,"&gt;"&amp;BG1814)+SUMIFS($BC$7:$BC$1843,$CF$7:$CF$1843,CF1814,$BG$7:$BG$1843,BG1814,$BW$7:$BW$1843,"&lt;="&amp;BW1814),"")</f>
        <v/>
      </c>
      <c r="BI1814" s="58" t="n">
        <f aca="false">IF(BH1814="",0,MAX(0,MIN(1,(IF(CF1814="L1",Parameter!$H$5,IF(CF1814="L23",Parameter!$H$6+Parameter!$H$7,Parameter!$H$5+Parameter!$H$6+Parameter!$H$7))-(BH1814-BC1814))/BC1814)))</f>
        <v>0</v>
      </c>
      <c r="BJ1814" s="48" t="str">
        <f aca="false">IF(AI1814&lt;=0,"",IF(CF1814="Aussen","Aussenlager",IF(CF1814="-","Nicht im Lift",IF(AO1814&gt;=1,"Lift",IF(AO1814&lt;=0,"Aussenlager","teilweise")))))</f>
        <v/>
      </c>
      <c r="BK1814" s="48" t="str">
        <f aca="false">IF(AS1814&lt;=0,"",IF(CF1814="Aussen","Aussenlager",IF(CF1814="-","Nicht im Lift",IF(AY1814&gt;=1,"Lift",IF(AY1814&lt;=0,"Aussenlager","teilweise")))))</f>
        <v/>
      </c>
      <c r="BL1814" s="48" t="str">
        <f aca="false">IF(BC1814&lt;=0,"",IF(CF1814="Aussen","Aussenlager",IF(CF1814="-","Nicht im Lift",IF(BI1814&gt;=1,"Lift",IF(BI1814&lt;=0,"Aussenlager","teilweise")))))</f>
        <v/>
      </c>
      <c r="BM1814" s="48" t="str">
        <f aca="false">IF(A1814="","",IF(BV1814=1,"Neu; ","")&amp;IF(AND(BV1814=0,BQ1814&lt;0),"negativer Bestand (Export "&amp;BQ1814&amp;"); ","")&amp;IF(J1814&lt;=0,"Kein Verbrauch; ","")&amp;IF(CQ1814&gt;0,"Lift "&amp;W1814&amp;" lt. Liftbericht (Fach "&amp;X1814&amp;" Stk); ",IF(CA1814=1,"Gebinde geschätzt ("&amp;T1814&amp;"); ",IF(BZ1814=1,"Lose – Tablare geschätzt; ","")))&amp;IF(H1814&gt;AV1814,"Überbestand "&amp;ROUND(H1814-AV1814,0)&amp;" Stk / CHF "&amp;ROUND((H1814-AV1814)*G1814,0)&amp;"; ","")&amp;IF(AND(CH1814=1,CI1814&lt;CJ1814),"MAX &lt; MB+LG; ","")&amp;IF(AND(CP1814&gt;0,CO1814*10&gt;CP1814),"zu hoch für Tablar; ","")&amp;IF(AND(BV1814=0,OR(CH1814=1,AA1814&lt;&gt;"",U1814&lt;&gt;"",V1814&lt;&gt;"",AB1814&lt;&gt;"")),"manuell übersteuert; ","")&amp;IF(AND(BZ1814=0,R1814=0),"Gebinde unbekannt / Stellmass fehlt; ","")&amp;IF(AND(BZ1814=0,N(V1814)&lt;=0,N(Q1814)&lt;=0),"Menge pro Gebinde fehlt (Ist = 1 Gebinde); ","")&amp;BU1814)</f>
        <v/>
      </c>
      <c r="BN1814" s="48"/>
      <c r="BO1814" s="48"/>
      <c r="BP1814" s="55"/>
      <c r="BQ1814" s="50" t="n">
        <f aca="false">N('Neue Artikel'!$D$75)</f>
        <v>0</v>
      </c>
      <c r="BR1814" s="50" t="n">
        <v>0</v>
      </c>
      <c r="BS1814" s="49" t="n">
        <v>0</v>
      </c>
      <c r="BT1814" s="50" t="n">
        <f aca="false">N('Neue Artikel'!$C$75)/Parameter!$B$18</f>
        <v>0</v>
      </c>
      <c r="BU1814" s="48"/>
      <c r="BV1814" s="53" t="n">
        <v>1</v>
      </c>
      <c r="BW1814" s="53" t="n">
        <v>1814</v>
      </c>
      <c r="BX1814" s="48" t="str">
        <f aca="false">IF(U1814&lt;&gt;"",UPPER(TRIM(U1814)),IF(CA1814=1,UPPER(VLOOKUP(T1814,Parameter!$I$27:$K$29,2,0)),IF(P1814="","LOSE",P1814)))</f>
        <v>LOSE</v>
      </c>
      <c r="BY1814" s="50" t="n">
        <f aca="false">IF(BX1814="LOSE",1,IF(N(V1814)&gt;0,V1814,IF(CA1814=1,MAX(1,N(VLOOKUP(T1814,Parameter!$I$27:$K$29,3,0)),H1814,N(N1814)),IF(N(Q1814)&gt;0,Q1814,MAX(1,H1814)))))</f>
        <v>1</v>
      </c>
      <c r="BZ1814" s="53" t="n">
        <f aca="false">IF(BX1814="LOSE",1,0)</f>
        <v>1</v>
      </c>
      <c r="CA1814" s="53" t="n">
        <f aca="false">IF(AND(U1814="",OR(P1814="",P1814="LOSE"),T1814&lt;&gt;"",N(S1814)&lt;=0,ISNUMBER(MATCH(T1814,Parameter!$I$27:$I$29,0))),1,0)</f>
        <v>0</v>
      </c>
      <c r="CB1814" s="53" t="n">
        <f aca="false">IF(CQ1814&gt;0,INDEX(Parameter!$H$5:$H$7,W1814)/INDEX(Parameter!$E$5:$E$7,W1814),IF(AND(BZ1814=0,N(IFERROR(VLOOKUP(BX1814,'Gebinde-Kategorie'!$A$5:$N$45,14,0),0))&gt;0),VLOOKUP(BX1814,'Gebinde-Kategorie'!$A$5:$N$45,14,0)*10+Parameter!$M$23,Parameter!$M$24))</f>
        <v>235</v>
      </c>
      <c r="CC1814" s="48" t="str">
        <f aca="false">IF(AND(Parameter!$B$19="Ja",E1814&lt;&gt;"",ISNUMBER(MATCH(E1814,Parameter!$I$35:$I$52,0))),VLOOKUP(E1814,Parameter!$I$35:$J$52,2,0),IFERROR(VLOOKUP(D1814,Parameter!$A$35:$C$64,2,0),"Nein"))</f>
        <v>2+3</v>
      </c>
      <c r="CD1814" s="52" t="n">
        <f aca="false">IF(BZ1814=0,0,IF(N(S1814)&gt;0,S1814,IFERROR(VLOOKUP(D1814,Parameter!$A$35:$C$64,3,0)+0,0)))</f>
        <v>0.15</v>
      </c>
      <c r="CE1814" s="48" t="str">
        <f aca="false">IF(AA1814&lt;&gt;"",AA1814,Z1814)</f>
        <v/>
      </c>
      <c r="CF1814" s="48" t="str">
        <f aca="false">IF(OR(CE1814=1,CE1814=2,CE1814=3),IF(Parameter!$E$27="Ja","LIFT",IF(CE1814=1,"L1","L23")),IF(CE1814="Aussen","Aussen","-"))</f>
        <v>-</v>
      </c>
      <c r="CG1814" s="59" t="n">
        <f aca="false">IF(N(AB1814)&gt;0,AB1814,0)</f>
        <v>0</v>
      </c>
      <c r="CH1814" s="53" t="n">
        <f aca="false">IF(ISNUMBER(AE1814),1,0)</f>
        <v>0</v>
      </c>
      <c r="CI1814" s="50" t="n">
        <f aca="false">N(AE1814)</f>
        <v>0</v>
      </c>
      <c r="CJ1814" s="50" t="n">
        <f aca="false">N(M1814)+N(N1814)</f>
        <v>0</v>
      </c>
      <c r="CK1814" s="50" t="n">
        <f aca="false">N(M1814)</f>
        <v>0</v>
      </c>
      <c r="CL1814" s="50" t="n">
        <f aca="false">N(N1814)</f>
        <v>0</v>
      </c>
      <c r="CM1814" s="50" t="n">
        <f aca="false">ROUNDUP(H1814/BY1814,0)</f>
        <v>0</v>
      </c>
      <c r="CN1814" s="50" t="n">
        <f aca="false">ROUNDUP(CI1814/BY1814,0)</f>
        <v>0</v>
      </c>
      <c r="CO1814" s="53" t="n">
        <f aca="false">IF(BZ1814=1,0,IFERROR(VLOOKUP(BX1814,'Gebinde-Kategorie'!$A$5:$N$45,5,0)+0,0))</f>
        <v>0</v>
      </c>
      <c r="CP1814" s="53" t="n">
        <f aca="false">IFERROR(IF(OR(CE1814=1,CE1814=2,CE1814=3),N(INDEX(Parameter!$I$5:$I$7,CE1814)),0),0)</f>
        <v>0</v>
      </c>
      <c r="CQ1814" s="52" t="n">
        <f aca="false">IF(AND(Parameter!$B$21="Ja",ISNUMBER(W1814),N(X1814)&gt;0),IFERROR(N(INDEX(Parameter!$L$5:$L$7,W1814))*INDEX(Parameter!$E$5:$E$7,W1814)*X1814/SUMIFS($X$7:$X$1843,$W$7:$W$1843,W1814),0),0)</f>
        <v>0</v>
      </c>
    </row>
    <row r="1815" customFormat="false" ht="15" hidden="false" customHeight="false" outlineLevel="0" collapsed="false">
      <c r="A1815" s="48" t="str">
        <f aca="false">IF('Neue Artikel'!$A$76="","",'Neue Artikel'!$A$76&amp;"")</f>
        <v/>
      </c>
      <c r="B1815" s="48" t="str">
        <f aca="false">'Neue Artikel'!$B$76&amp;""</f>
        <v/>
      </c>
      <c r="C1815" s="48"/>
      <c r="D1815" s="48" t="s">
        <v>3024</v>
      </c>
      <c r="E1815" s="48"/>
      <c r="F1815" s="48"/>
      <c r="G1815" s="49" t="n">
        <f aca="false">N('Neue Artikel'!$G$76)</f>
        <v>0</v>
      </c>
      <c r="H1815" s="50" t="n">
        <f aca="false">MAX(0,IF(AND(Parameter!$B$21="Ja",ISNUMBER(Y1815)),Y1815,IF(Parameter!$B$20="Jahresanfang 2025 + Export",BR1815+BQ1815,BQ1815)))</f>
        <v>0</v>
      </c>
      <c r="I1815" s="50" t="n">
        <f aca="false">H1815*G1815</f>
        <v>0</v>
      </c>
      <c r="J1815" s="50" t="n">
        <f aca="false">BT1815*Parameter!$B$18</f>
        <v>0</v>
      </c>
      <c r="K1815" s="51"/>
      <c r="L1815" s="52"/>
      <c r="M1815" s="50" t="n">
        <f aca="false">N('Neue Artikel'!$E$76)</f>
        <v>0</v>
      </c>
      <c r="N1815" s="50" t="n">
        <f aca="false">N('Neue Artikel'!$F$76)</f>
        <v>0</v>
      </c>
      <c r="O1815" s="53"/>
      <c r="P1815" s="48" t="str">
        <f aca="false">IF('Neue Artikel'!$H$76="","LOSE",UPPER(TRIM('Neue Artikel'!$H$76)))</f>
        <v>LOSE</v>
      </c>
      <c r="Q1815" s="50" t="n">
        <f aca="false">N('Neue Artikel'!$I$76)</f>
        <v>0</v>
      </c>
      <c r="R1815" s="53" t="n">
        <f aca="false">IF(BZ1815=1,0,IFERROR(VLOOKUP(BX1815,'Gebinde-Kategorie'!$A$5:$N$45,13,0)+0,0))</f>
        <v>0</v>
      </c>
      <c r="S1815" s="54"/>
      <c r="T1815" s="55"/>
      <c r="U1815" s="55"/>
      <c r="V1815" s="55"/>
      <c r="W1815" s="48"/>
      <c r="X1815" s="50"/>
      <c r="Y1815" s="50"/>
      <c r="Z1815" s="48" t="str">
        <f aca="false">IF(A1815="","",IF(AND(Parameter!$B$21="Ja",ISNUMBER(W1815)),W1815,IF(CC1815="2+3",IF(ISNUMBER(SEARCH("grosser Artikel",BU1815)),2,IFERROR(VLOOKUP(BX1815,Parameter!$F$35:$G$64,2,0),2)),IF(OR(CC1815="Nein",CC1815=""),"-",CC1815))))</f>
        <v/>
      </c>
      <c r="AA1815" s="48" t="str">
        <f aca="false">IF('Neue Artikel'!$J$76="","",'Neue Artikel'!$J$76)</f>
        <v/>
      </c>
      <c r="AB1815" s="56"/>
      <c r="AC1815" s="50" t="n">
        <f aca="false">AV1815</f>
        <v>0</v>
      </c>
      <c r="AD1815" s="50" t="n">
        <f aca="false">MAX(AV1815,H1815)</f>
        <v>0</v>
      </c>
      <c r="AE1815" s="57"/>
      <c r="AF1815" s="50" t="n">
        <f aca="false">IF(LEFT(Cockpit!$C$5,1)="A",H1815,IF(Parameter!$E$30="MAX-Bestand",IF(CH1815=1,CI1815,IF(LEFT(Cockpit!$C$5,1)="B",AL1815,MAX(AL1815,H1815))),ROUNDUP(AJ1815,0)))</f>
        <v>0</v>
      </c>
      <c r="AG1815" s="50" t="n">
        <f aca="false">IF(BZ1815=1,0,ROUNDUP(AF1815/BY1815,0))</f>
        <v>0</v>
      </c>
      <c r="AH1815" s="52" t="n">
        <f aca="false">IF(CQ1815&gt;0,CQ1815*MAX(1,AF1815/X1815),IF(BZ1815=1,IF(AF1815&lt;=0,0,CD1815*MAX(1,IF(H1815&gt;0,AF1815/H1815,1))),IF(R1815&gt;0,AG1815/R1815,0))/MAX(0.1,N(Parameter!$M$21)))</f>
        <v>0</v>
      </c>
      <c r="AI1815" s="50" t="n">
        <f aca="false">AH1815*CB1815</f>
        <v>0</v>
      </c>
      <c r="AJ1815" s="51" t="n">
        <f aca="false">IF(LEFT(Cockpit!$C$5,1)="A",H1815,IF(CH1815=1,(CK1815+CI1815)/2,IF(LEFT(Cockpit!$C$5,1)="B",(CK1815+AL1815)/2,MAX((CK1815+AL1815)/2,H1815))))</f>
        <v>0</v>
      </c>
      <c r="AK1815" s="50" t="n">
        <f aca="false">AJ1815*G1815</f>
        <v>0</v>
      </c>
      <c r="AL1815" s="50" t="n">
        <f aca="false">ROUNDUP(CK1815+MAX(CL1815,2*(J1815/IF(CG1815&gt;0,CG1815,MAX(0.1,N(Cockpit!$C$6)))-CK1815)),0)</f>
        <v>0</v>
      </c>
      <c r="AM1815" s="51" t="n">
        <f aca="false">IF(AI1815&gt;0,J1815/AI1815,-1)</f>
        <v>-1</v>
      </c>
      <c r="AN1815" s="51" t="str">
        <f aca="false">IF(AND(OR(CF1815="L1",CF1815="L23",CF1815="LIFT"),AI1815&gt;0),SUMIFS($AI$7:$AI$1843,$CF$7:$CF$1843,CF1815,$AM$7:$AM$1843,"&gt;"&amp;AM1815)+SUMIFS($AI$7:$AI$1843,$CF$7:$CF$1843,CF1815,$AM$7:$AM$1843,AM1815,$BW$7:$BW$1843,"&lt;="&amp;BW1815),"")</f>
        <v/>
      </c>
      <c r="AO1815" s="58" t="n">
        <f aca="false">IF(AN1815="",0,MAX(0,MIN(1,(IF(CF1815="L1",Parameter!$H$5,IF(CF1815="L23",Parameter!$H$6+Parameter!$H$7,Parameter!$H$5+Parameter!$H$6+Parameter!$H$7))-(AN1815-AI1815))/AI1815)))</f>
        <v>0</v>
      </c>
      <c r="AP1815" s="50" t="n">
        <f aca="false">IF(LEFT(Cockpit!$I$5,1)="A",H1815,IF(Parameter!$E$30="MAX-Bestand",IF(CH1815=1,CI1815,IF(LEFT(Cockpit!$I$5,1)="B",AV1815,MAX(AV1815,H1815))),ROUNDUP(AT1815,0)))</f>
        <v>0</v>
      </c>
      <c r="AQ1815" s="50" t="n">
        <f aca="false">IF(BZ1815=1,0,ROUNDUP(AP1815/BY1815,0))</f>
        <v>0</v>
      </c>
      <c r="AR1815" s="52" t="n">
        <f aca="false">IF(CQ1815&gt;0,CQ1815*MAX(1,AP1815/X1815),IF(BZ1815=1,IF(AP1815&lt;=0,0,CD1815*MAX(1,IF(H1815&gt;0,AP1815/H1815,1))),IF(R1815&gt;0,AQ1815/R1815,0))/MAX(0.1,N(Parameter!$M$21)))</f>
        <v>0</v>
      </c>
      <c r="AS1815" s="50" t="n">
        <f aca="false">AR1815*CB1815</f>
        <v>0</v>
      </c>
      <c r="AT1815" s="51" t="n">
        <f aca="false">IF(LEFT(Cockpit!$I$5,1)="A",H1815,IF(CH1815=1,(CK1815+CI1815)/2,IF(LEFT(Cockpit!$I$5,1)="B",(CK1815+AV1815)/2,MAX((CK1815+AV1815)/2,H1815))))</f>
        <v>0</v>
      </c>
      <c r="AU1815" s="50" t="n">
        <f aca="false">AT1815*G1815</f>
        <v>0</v>
      </c>
      <c r="AV1815" s="50" t="n">
        <f aca="false">ROUNDUP(CK1815+MAX(CL1815,2*(J1815/IF(CG1815&gt;0,CG1815,MAX(0.1,N(Cockpit!$I$6)))-CK1815)),0)</f>
        <v>0</v>
      </c>
      <c r="AW1815" s="51" t="n">
        <f aca="false">IF(AS1815&gt;0,J1815/AS1815,-1)</f>
        <v>-1</v>
      </c>
      <c r="AX1815" s="51" t="str">
        <f aca="false">IF(AND(OR(CF1815="L1",CF1815="L23",CF1815="LIFT"),AS1815&gt;0),SUMIFS($AS$7:$AS$1843,$CF$7:$CF$1843,CF1815,$AW$7:$AW$1843,"&gt;"&amp;AW1815)+SUMIFS($AS$7:$AS$1843,$CF$7:$CF$1843,CF1815,$AW$7:$AW$1843,AW1815,$BW$7:$BW$1843,"&lt;="&amp;BW1815),"")</f>
        <v/>
      </c>
      <c r="AY1815" s="58" t="n">
        <f aca="false">IF(AX1815="",0,MAX(0,MIN(1,(IF(CF1815="L1",Parameter!$H$5,IF(CF1815="L23",Parameter!$H$6+Parameter!$H$7,Parameter!$H$5+Parameter!$H$6+Parameter!$H$7))-(AX1815-AS1815))/AS1815)))</f>
        <v>0</v>
      </c>
      <c r="AZ1815" s="50" t="n">
        <f aca="false">IF(LEFT(Cockpit!$O$5,1)="A",H1815,IF(Parameter!$E$30="MAX-Bestand",IF(CH1815=1,CI1815,IF(LEFT(Cockpit!$O$5,1)="B",BF1815,MAX(BF1815,H1815))),ROUNDUP(BD1815,0)))</f>
        <v>0</v>
      </c>
      <c r="BA1815" s="50" t="n">
        <f aca="false">IF(BZ1815=1,0,ROUNDUP(AZ1815/BY1815,0))</f>
        <v>0</v>
      </c>
      <c r="BB1815" s="52" t="n">
        <f aca="false">IF(CQ1815&gt;0,CQ1815*MAX(1,AZ1815/X1815),IF(BZ1815=1,IF(AZ1815&lt;=0,0,CD1815*MAX(1,IF(H1815&gt;0,AZ1815/H1815,1))),IF(R1815&gt;0,BA1815/R1815,0))/MAX(0.1,N(Parameter!$M$21)))</f>
        <v>0</v>
      </c>
      <c r="BC1815" s="50" t="n">
        <f aca="false">BB1815*CB1815</f>
        <v>0</v>
      </c>
      <c r="BD1815" s="51" t="n">
        <f aca="false">IF(LEFT(Cockpit!$O$5,1)="A",H1815,IF(CH1815=1,(CK1815+CI1815)/2,IF(LEFT(Cockpit!$O$5,1)="B",(CK1815+BF1815)/2,MAX((CK1815+BF1815)/2,H1815))))</f>
        <v>0</v>
      </c>
      <c r="BE1815" s="50" t="n">
        <f aca="false">BD1815*G1815</f>
        <v>0</v>
      </c>
      <c r="BF1815" s="50" t="n">
        <f aca="false">ROUNDUP(CK1815+MAX(CL1815,2*(J1815/IF(CG1815&gt;0,CG1815,MAX(0.1,N(Cockpit!$O$6)))-CK1815)),0)</f>
        <v>0</v>
      </c>
      <c r="BG1815" s="51" t="n">
        <f aca="false">IF(BC1815&gt;0,J1815/BC1815,-1)</f>
        <v>-1</v>
      </c>
      <c r="BH1815" s="51" t="str">
        <f aca="false">IF(AND(OR(CF1815="L1",CF1815="L23",CF1815="LIFT"),BC1815&gt;0),SUMIFS($BC$7:$BC$1843,$CF$7:$CF$1843,CF1815,$BG$7:$BG$1843,"&gt;"&amp;BG1815)+SUMIFS($BC$7:$BC$1843,$CF$7:$CF$1843,CF1815,$BG$7:$BG$1843,BG1815,$BW$7:$BW$1843,"&lt;="&amp;BW1815),"")</f>
        <v/>
      </c>
      <c r="BI1815" s="58" t="n">
        <f aca="false">IF(BH1815="",0,MAX(0,MIN(1,(IF(CF1815="L1",Parameter!$H$5,IF(CF1815="L23",Parameter!$H$6+Parameter!$H$7,Parameter!$H$5+Parameter!$H$6+Parameter!$H$7))-(BH1815-BC1815))/BC1815)))</f>
        <v>0</v>
      </c>
      <c r="BJ1815" s="48" t="str">
        <f aca="false">IF(AI1815&lt;=0,"",IF(CF1815="Aussen","Aussenlager",IF(CF1815="-","Nicht im Lift",IF(AO1815&gt;=1,"Lift",IF(AO1815&lt;=0,"Aussenlager","teilweise")))))</f>
        <v/>
      </c>
      <c r="BK1815" s="48" t="str">
        <f aca="false">IF(AS1815&lt;=0,"",IF(CF1815="Aussen","Aussenlager",IF(CF1815="-","Nicht im Lift",IF(AY1815&gt;=1,"Lift",IF(AY1815&lt;=0,"Aussenlager","teilweise")))))</f>
        <v/>
      </c>
      <c r="BL1815" s="48" t="str">
        <f aca="false">IF(BC1815&lt;=0,"",IF(CF1815="Aussen","Aussenlager",IF(CF1815="-","Nicht im Lift",IF(BI1815&gt;=1,"Lift",IF(BI1815&lt;=0,"Aussenlager","teilweise")))))</f>
        <v/>
      </c>
      <c r="BM1815" s="48" t="str">
        <f aca="false">IF(A1815="","",IF(BV1815=1,"Neu; ","")&amp;IF(AND(BV1815=0,BQ1815&lt;0),"negativer Bestand (Export "&amp;BQ1815&amp;"); ","")&amp;IF(J1815&lt;=0,"Kein Verbrauch; ","")&amp;IF(CQ1815&gt;0,"Lift "&amp;W1815&amp;" lt. Liftbericht (Fach "&amp;X1815&amp;" Stk); ",IF(CA1815=1,"Gebinde geschätzt ("&amp;T1815&amp;"); ",IF(BZ1815=1,"Lose – Tablare geschätzt; ","")))&amp;IF(H1815&gt;AV1815,"Überbestand "&amp;ROUND(H1815-AV1815,0)&amp;" Stk / CHF "&amp;ROUND((H1815-AV1815)*G1815,0)&amp;"; ","")&amp;IF(AND(CH1815=1,CI1815&lt;CJ1815),"MAX &lt; MB+LG; ","")&amp;IF(AND(CP1815&gt;0,CO1815*10&gt;CP1815),"zu hoch für Tablar; ","")&amp;IF(AND(BV1815=0,OR(CH1815=1,AA1815&lt;&gt;"",U1815&lt;&gt;"",V1815&lt;&gt;"",AB1815&lt;&gt;"")),"manuell übersteuert; ","")&amp;IF(AND(BZ1815=0,R1815=0),"Gebinde unbekannt / Stellmass fehlt; ","")&amp;IF(AND(BZ1815=0,N(V1815)&lt;=0,N(Q1815)&lt;=0),"Menge pro Gebinde fehlt (Ist = 1 Gebinde); ","")&amp;BU1815)</f>
        <v/>
      </c>
      <c r="BN1815" s="48"/>
      <c r="BO1815" s="48"/>
      <c r="BP1815" s="55"/>
      <c r="BQ1815" s="50" t="n">
        <f aca="false">N('Neue Artikel'!$D$76)</f>
        <v>0</v>
      </c>
      <c r="BR1815" s="50" t="n">
        <v>0</v>
      </c>
      <c r="BS1815" s="49" t="n">
        <v>0</v>
      </c>
      <c r="BT1815" s="50" t="n">
        <f aca="false">N('Neue Artikel'!$C$76)/Parameter!$B$18</f>
        <v>0</v>
      </c>
      <c r="BU1815" s="48"/>
      <c r="BV1815" s="53" t="n">
        <v>1</v>
      </c>
      <c r="BW1815" s="53" t="n">
        <v>1815</v>
      </c>
      <c r="BX1815" s="48" t="str">
        <f aca="false">IF(U1815&lt;&gt;"",UPPER(TRIM(U1815)),IF(CA1815=1,UPPER(VLOOKUP(T1815,Parameter!$I$27:$K$29,2,0)),IF(P1815="","LOSE",P1815)))</f>
        <v>LOSE</v>
      </c>
      <c r="BY1815" s="50" t="n">
        <f aca="false">IF(BX1815="LOSE",1,IF(N(V1815)&gt;0,V1815,IF(CA1815=1,MAX(1,N(VLOOKUP(T1815,Parameter!$I$27:$K$29,3,0)),H1815,N(N1815)),IF(N(Q1815)&gt;0,Q1815,MAX(1,H1815)))))</f>
        <v>1</v>
      </c>
      <c r="BZ1815" s="53" t="n">
        <f aca="false">IF(BX1815="LOSE",1,0)</f>
        <v>1</v>
      </c>
      <c r="CA1815" s="53" t="n">
        <f aca="false">IF(AND(U1815="",OR(P1815="",P1815="LOSE"),T1815&lt;&gt;"",N(S1815)&lt;=0,ISNUMBER(MATCH(T1815,Parameter!$I$27:$I$29,0))),1,0)</f>
        <v>0</v>
      </c>
      <c r="CB1815" s="53" t="n">
        <f aca="false">IF(CQ1815&gt;0,INDEX(Parameter!$H$5:$H$7,W1815)/INDEX(Parameter!$E$5:$E$7,W1815),IF(AND(BZ1815=0,N(IFERROR(VLOOKUP(BX1815,'Gebinde-Kategorie'!$A$5:$N$45,14,0),0))&gt;0),VLOOKUP(BX1815,'Gebinde-Kategorie'!$A$5:$N$45,14,0)*10+Parameter!$M$23,Parameter!$M$24))</f>
        <v>235</v>
      </c>
      <c r="CC1815" s="48" t="str">
        <f aca="false">IF(AND(Parameter!$B$19="Ja",E1815&lt;&gt;"",ISNUMBER(MATCH(E1815,Parameter!$I$35:$I$52,0))),VLOOKUP(E1815,Parameter!$I$35:$J$52,2,0),IFERROR(VLOOKUP(D1815,Parameter!$A$35:$C$64,2,0),"Nein"))</f>
        <v>2+3</v>
      </c>
      <c r="CD1815" s="52" t="n">
        <f aca="false">IF(BZ1815=0,0,IF(N(S1815)&gt;0,S1815,IFERROR(VLOOKUP(D1815,Parameter!$A$35:$C$64,3,0)+0,0)))</f>
        <v>0.15</v>
      </c>
      <c r="CE1815" s="48" t="str">
        <f aca="false">IF(AA1815&lt;&gt;"",AA1815,Z1815)</f>
        <v/>
      </c>
      <c r="CF1815" s="48" t="str">
        <f aca="false">IF(OR(CE1815=1,CE1815=2,CE1815=3),IF(Parameter!$E$27="Ja","LIFT",IF(CE1815=1,"L1","L23")),IF(CE1815="Aussen","Aussen","-"))</f>
        <v>-</v>
      </c>
      <c r="CG1815" s="59" t="n">
        <f aca="false">IF(N(AB1815)&gt;0,AB1815,0)</f>
        <v>0</v>
      </c>
      <c r="CH1815" s="53" t="n">
        <f aca="false">IF(ISNUMBER(AE1815),1,0)</f>
        <v>0</v>
      </c>
      <c r="CI1815" s="50" t="n">
        <f aca="false">N(AE1815)</f>
        <v>0</v>
      </c>
      <c r="CJ1815" s="50" t="n">
        <f aca="false">N(M1815)+N(N1815)</f>
        <v>0</v>
      </c>
      <c r="CK1815" s="50" t="n">
        <f aca="false">N(M1815)</f>
        <v>0</v>
      </c>
      <c r="CL1815" s="50" t="n">
        <f aca="false">N(N1815)</f>
        <v>0</v>
      </c>
      <c r="CM1815" s="50" t="n">
        <f aca="false">ROUNDUP(H1815/BY1815,0)</f>
        <v>0</v>
      </c>
      <c r="CN1815" s="50" t="n">
        <f aca="false">ROUNDUP(CI1815/BY1815,0)</f>
        <v>0</v>
      </c>
      <c r="CO1815" s="53" t="n">
        <f aca="false">IF(BZ1815=1,0,IFERROR(VLOOKUP(BX1815,'Gebinde-Kategorie'!$A$5:$N$45,5,0)+0,0))</f>
        <v>0</v>
      </c>
      <c r="CP1815" s="53" t="n">
        <f aca="false">IFERROR(IF(OR(CE1815=1,CE1815=2,CE1815=3),N(INDEX(Parameter!$I$5:$I$7,CE1815)),0),0)</f>
        <v>0</v>
      </c>
      <c r="CQ1815" s="52" t="n">
        <f aca="false">IF(AND(Parameter!$B$21="Ja",ISNUMBER(W1815),N(X1815)&gt;0),IFERROR(N(INDEX(Parameter!$L$5:$L$7,W1815))*INDEX(Parameter!$E$5:$E$7,W1815)*X1815/SUMIFS($X$7:$X$1843,$W$7:$W$1843,W1815),0),0)</f>
        <v>0</v>
      </c>
    </row>
    <row r="1816" customFormat="false" ht="15" hidden="false" customHeight="false" outlineLevel="0" collapsed="false">
      <c r="A1816" s="48" t="str">
        <f aca="false">IF('Neue Artikel'!$A$77="","",'Neue Artikel'!$A$77&amp;"")</f>
        <v/>
      </c>
      <c r="B1816" s="48" t="str">
        <f aca="false">'Neue Artikel'!$B$77&amp;""</f>
        <v/>
      </c>
      <c r="C1816" s="48"/>
      <c r="D1816" s="48" t="s">
        <v>3024</v>
      </c>
      <c r="E1816" s="48"/>
      <c r="F1816" s="48"/>
      <c r="G1816" s="49" t="n">
        <f aca="false">N('Neue Artikel'!$G$77)</f>
        <v>0</v>
      </c>
      <c r="H1816" s="50" t="n">
        <f aca="false">MAX(0,IF(AND(Parameter!$B$21="Ja",ISNUMBER(Y1816)),Y1816,IF(Parameter!$B$20="Jahresanfang 2025 + Export",BR1816+BQ1816,BQ1816)))</f>
        <v>0</v>
      </c>
      <c r="I1816" s="50" t="n">
        <f aca="false">H1816*G1816</f>
        <v>0</v>
      </c>
      <c r="J1816" s="50" t="n">
        <f aca="false">BT1816*Parameter!$B$18</f>
        <v>0</v>
      </c>
      <c r="K1816" s="51"/>
      <c r="L1816" s="52"/>
      <c r="M1816" s="50" t="n">
        <f aca="false">N('Neue Artikel'!$E$77)</f>
        <v>0</v>
      </c>
      <c r="N1816" s="50" t="n">
        <f aca="false">N('Neue Artikel'!$F$77)</f>
        <v>0</v>
      </c>
      <c r="O1816" s="53"/>
      <c r="P1816" s="48" t="str">
        <f aca="false">IF('Neue Artikel'!$H$77="","LOSE",UPPER(TRIM('Neue Artikel'!$H$77)))</f>
        <v>LOSE</v>
      </c>
      <c r="Q1816" s="50" t="n">
        <f aca="false">N('Neue Artikel'!$I$77)</f>
        <v>0</v>
      </c>
      <c r="R1816" s="53" t="n">
        <f aca="false">IF(BZ1816=1,0,IFERROR(VLOOKUP(BX1816,'Gebinde-Kategorie'!$A$5:$N$45,13,0)+0,0))</f>
        <v>0</v>
      </c>
      <c r="S1816" s="54"/>
      <c r="T1816" s="55"/>
      <c r="U1816" s="55"/>
      <c r="V1816" s="55"/>
      <c r="W1816" s="48"/>
      <c r="X1816" s="50"/>
      <c r="Y1816" s="50"/>
      <c r="Z1816" s="48" t="str">
        <f aca="false">IF(A1816="","",IF(AND(Parameter!$B$21="Ja",ISNUMBER(W1816)),W1816,IF(CC1816="2+3",IF(ISNUMBER(SEARCH("grosser Artikel",BU1816)),2,IFERROR(VLOOKUP(BX1816,Parameter!$F$35:$G$64,2,0),2)),IF(OR(CC1816="Nein",CC1816=""),"-",CC1816))))</f>
        <v/>
      </c>
      <c r="AA1816" s="48" t="str">
        <f aca="false">IF('Neue Artikel'!$J$77="","",'Neue Artikel'!$J$77)</f>
        <v/>
      </c>
      <c r="AB1816" s="56"/>
      <c r="AC1816" s="50" t="n">
        <f aca="false">AV1816</f>
        <v>0</v>
      </c>
      <c r="AD1816" s="50" t="n">
        <f aca="false">MAX(AV1816,H1816)</f>
        <v>0</v>
      </c>
      <c r="AE1816" s="57"/>
      <c r="AF1816" s="50" t="n">
        <f aca="false">IF(LEFT(Cockpit!$C$5,1)="A",H1816,IF(Parameter!$E$30="MAX-Bestand",IF(CH1816=1,CI1816,IF(LEFT(Cockpit!$C$5,1)="B",AL1816,MAX(AL1816,H1816))),ROUNDUP(AJ1816,0)))</f>
        <v>0</v>
      </c>
      <c r="AG1816" s="50" t="n">
        <f aca="false">IF(BZ1816=1,0,ROUNDUP(AF1816/BY1816,0))</f>
        <v>0</v>
      </c>
      <c r="AH1816" s="52" t="n">
        <f aca="false">IF(CQ1816&gt;0,CQ1816*MAX(1,AF1816/X1816),IF(BZ1816=1,IF(AF1816&lt;=0,0,CD1816*MAX(1,IF(H1816&gt;0,AF1816/H1816,1))),IF(R1816&gt;0,AG1816/R1816,0))/MAX(0.1,N(Parameter!$M$21)))</f>
        <v>0</v>
      </c>
      <c r="AI1816" s="50" t="n">
        <f aca="false">AH1816*CB1816</f>
        <v>0</v>
      </c>
      <c r="AJ1816" s="51" t="n">
        <f aca="false">IF(LEFT(Cockpit!$C$5,1)="A",H1816,IF(CH1816=1,(CK1816+CI1816)/2,IF(LEFT(Cockpit!$C$5,1)="B",(CK1816+AL1816)/2,MAX((CK1816+AL1816)/2,H1816))))</f>
        <v>0</v>
      </c>
      <c r="AK1816" s="50" t="n">
        <f aca="false">AJ1816*G1816</f>
        <v>0</v>
      </c>
      <c r="AL1816" s="50" t="n">
        <f aca="false">ROUNDUP(CK1816+MAX(CL1816,2*(J1816/IF(CG1816&gt;0,CG1816,MAX(0.1,N(Cockpit!$C$6)))-CK1816)),0)</f>
        <v>0</v>
      </c>
      <c r="AM1816" s="51" t="n">
        <f aca="false">IF(AI1816&gt;0,J1816/AI1816,-1)</f>
        <v>-1</v>
      </c>
      <c r="AN1816" s="51" t="str">
        <f aca="false">IF(AND(OR(CF1816="L1",CF1816="L23",CF1816="LIFT"),AI1816&gt;0),SUMIFS($AI$7:$AI$1843,$CF$7:$CF$1843,CF1816,$AM$7:$AM$1843,"&gt;"&amp;AM1816)+SUMIFS($AI$7:$AI$1843,$CF$7:$CF$1843,CF1816,$AM$7:$AM$1843,AM1816,$BW$7:$BW$1843,"&lt;="&amp;BW1816),"")</f>
        <v/>
      </c>
      <c r="AO1816" s="58" t="n">
        <f aca="false">IF(AN1816="",0,MAX(0,MIN(1,(IF(CF1816="L1",Parameter!$H$5,IF(CF1816="L23",Parameter!$H$6+Parameter!$H$7,Parameter!$H$5+Parameter!$H$6+Parameter!$H$7))-(AN1816-AI1816))/AI1816)))</f>
        <v>0</v>
      </c>
      <c r="AP1816" s="50" t="n">
        <f aca="false">IF(LEFT(Cockpit!$I$5,1)="A",H1816,IF(Parameter!$E$30="MAX-Bestand",IF(CH1816=1,CI1816,IF(LEFT(Cockpit!$I$5,1)="B",AV1816,MAX(AV1816,H1816))),ROUNDUP(AT1816,0)))</f>
        <v>0</v>
      </c>
      <c r="AQ1816" s="50" t="n">
        <f aca="false">IF(BZ1816=1,0,ROUNDUP(AP1816/BY1816,0))</f>
        <v>0</v>
      </c>
      <c r="AR1816" s="52" t="n">
        <f aca="false">IF(CQ1816&gt;0,CQ1816*MAX(1,AP1816/X1816),IF(BZ1816=1,IF(AP1816&lt;=0,0,CD1816*MAX(1,IF(H1816&gt;0,AP1816/H1816,1))),IF(R1816&gt;0,AQ1816/R1816,0))/MAX(0.1,N(Parameter!$M$21)))</f>
        <v>0</v>
      </c>
      <c r="AS1816" s="50" t="n">
        <f aca="false">AR1816*CB1816</f>
        <v>0</v>
      </c>
      <c r="AT1816" s="51" t="n">
        <f aca="false">IF(LEFT(Cockpit!$I$5,1)="A",H1816,IF(CH1816=1,(CK1816+CI1816)/2,IF(LEFT(Cockpit!$I$5,1)="B",(CK1816+AV1816)/2,MAX((CK1816+AV1816)/2,H1816))))</f>
        <v>0</v>
      </c>
      <c r="AU1816" s="50" t="n">
        <f aca="false">AT1816*G1816</f>
        <v>0</v>
      </c>
      <c r="AV1816" s="50" t="n">
        <f aca="false">ROUNDUP(CK1816+MAX(CL1816,2*(J1816/IF(CG1816&gt;0,CG1816,MAX(0.1,N(Cockpit!$I$6)))-CK1816)),0)</f>
        <v>0</v>
      </c>
      <c r="AW1816" s="51" t="n">
        <f aca="false">IF(AS1816&gt;0,J1816/AS1816,-1)</f>
        <v>-1</v>
      </c>
      <c r="AX1816" s="51" t="str">
        <f aca="false">IF(AND(OR(CF1816="L1",CF1816="L23",CF1816="LIFT"),AS1816&gt;0),SUMIFS($AS$7:$AS$1843,$CF$7:$CF$1843,CF1816,$AW$7:$AW$1843,"&gt;"&amp;AW1816)+SUMIFS($AS$7:$AS$1843,$CF$7:$CF$1843,CF1816,$AW$7:$AW$1843,AW1816,$BW$7:$BW$1843,"&lt;="&amp;BW1816),"")</f>
        <v/>
      </c>
      <c r="AY1816" s="58" t="n">
        <f aca="false">IF(AX1816="",0,MAX(0,MIN(1,(IF(CF1816="L1",Parameter!$H$5,IF(CF1816="L23",Parameter!$H$6+Parameter!$H$7,Parameter!$H$5+Parameter!$H$6+Parameter!$H$7))-(AX1816-AS1816))/AS1816)))</f>
        <v>0</v>
      </c>
      <c r="AZ1816" s="50" t="n">
        <f aca="false">IF(LEFT(Cockpit!$O$5,1)="A",H1816,IF(Parameter!$E$30="MAX-Bestand",IF(CH1816=1,CI1816,IF(LEFT(Cockpit!$O$5,1)="B",BF1816,MAX(BF1816,H1816))),ROUNDUP(BD1816,0)))</f>
        <v>0</v>
      </c>
      <c r="BA1816" s="50" t="n">
        <f aca="false">IF(BZ1816=1,0,ROUNDUP(AZ1816/BY1816,0))</f>
        <v>0</v>
      </c>
      <c r="BB1816" s="52" t="n">
        <f aca="false">IF(CQ1816&gt;0,CQ1816*MAX(1,AZ1816/X1816),IF(BZ1816=1,IF(AZ1816&lt;=0,0,CD1816*MAX(1,IF(H1816&gt;0,AZ1816/H1816,1))),IF(R1816&gt;0,BA1816/R1816,0))/MAX(0.1,N(Parameter!$M$21)))</f>
        <v>0</v>
      </c>
      <c r="BC1816" s="50" t="n">
        <f aca="false">BB1816*CB1816</f>
        <v>0</v>
      </c>
      <c r="BD1816" s="51" t="n">
        <f aca="false">IF(LEFT(Cockpit!$O$5,1)="A",H1816,IF(CH1816=1,(CK1816+CI1816)/2,IF(LEFT(Cockpit!$O$5,1)="B",(CK1816+BF1816)/2,MAX((CK1816+BF1816)/2,H1816))))</f>
        <v>0</v>
      </c>
      <c r="BE1816" s="50" t="n">
        <f aca="false">BD1816*G1816</f>
        <v>0</v>
      </c>
      <c r="BF1816" s="50" t="n">
        <f aca="false">ROUNDUP(CK1816+MAX(CL1816,2*(J1816/IF(CG1816&gt;0,CG1816,MAX(0.1,N(Cockpit!$O$6)))-CK1816)),0)</f>
        <v>0</v>
      </c>
      <c r="BG1816" s="51" t="n">
        <f aca="false">IF(BC1816&gt;0,J1816/BC1816,-1)</f>
        <v>-1</v>
      </c>
      <c r="BH1816" s="51" t="str">
        <f aca="false">IF(AND(OR(CF1816="L1",CF1816="L23",CF1816="LIFT"),BC1816&gt;0),SUMIFS($BC$7:$BC$1843,$CF$7:$CF$1843,CF1816,$BG$7:$BG$1843,"&gt;"&amp;BG1816)+SUMIFS($BC$7:$BC$1843,$CF$7:$CF$1843,CF1816,$BG$7:$BG$1843,BG1816,$BW$7:$BW$1843,"&lt;="&amp;BW1816),"")</f>
        <v/>
      </c>
      <c r="BI1816" s="58" t="n">
        <f aca="false">IF(BH1816="",0,MAX(0,MIN(1,(IF(CF1816="L1",Parameter!$H$5,IF(CF1816="L23",Parameter!$H$6+Parameter!$H$7,Parameter!$H$5+Parameter!$H$6+Parameter!$H$7))-(BH1816-BC1816))/BC1816)))</f>
        <v>0</v>
      </c>
      <c r="BJ1816" s="48" t="str">
        <f aca="false">IF(AI1816&lt;=0,"",IF(CF1816="Aussen","Aussenlager",IF(CF1816="-","Nicht im Lift",IF(AO1816&gt;=1,"Lift",IF(AO1816&lt;=0,"Aussenlager","teilweise")))))</f>
        <v/>
      </c>
      <c r="BK1816" s="48" t="str">
        <f aca="false">IF(AS1816&lt;=0,"",IF(CF1816="Aussen","Aussenlager",IF(CF1816="-","Nicht im Lift",IF(AY1816&gt;=1,"Lift",IF(AY1816&lt;=0,"Aussenlager","teilweise")))))</f>
        <v/>
      </c>
      <c r="BL1816" s="48" t="str">
        <f aca="false">IF(BC1816&lt;=0,"",IF(CF1816="Aussen","Aussenlager",IF(CF1816="-","Nicht im Lift",IF(BI1816&gt;=1,"Lift",IF(BI1816&lt;=0,"Aussenlager","teilweise")))))</f>
        <v/>
      </c>
      <c r="BM1816" s="48" t="str">
        <f aca="false">IF(A1816="","",IF(BV1816=1,"Neu; ","")&amp;IF(AND(BV1816=0,BQ1816&lt;0),"negativer Bestand (Export "&amp;BQ1816&amp;"); ","")&amp;IF(J1816&lt;=0,"Kein Verbrauch; ","")&amp;IF(CQ1816&gt;0,"Lift "&amp;W1816&amp;" lt. Liftbericht (Fach "&amp;X1816&amp;" Stk); ",IF(CA1816=1,"Gebinde geschätzt ("&amp;T1816&amp;"); ",IF(BZ1816=1,"Lose – Tablare geschätzt; ","")))&amp;IF(H1816&gt;AV1816,"Überbestand "&amp;ROUND(H1816-AV1816,0)&amp;" Stk / CHF "&amp;ROUND((H1816-AV1816)*G1816,0)&amp;"; ","")&amp;IF(AND(CH1816=1,CI1816&lt;CJ1816),"MAX &lt; MB+LG; ","")&amp;IF(AND(CP1816&gt;0,CO1816*10&gt;CP1816),"zu hoch für Tablar; ","")&amp;IF(AND(BV1816=0,OR(CH1816=1,AA1816&lt;&gt;"",U1816&lt;&gt;"",V1816&lt;&gt;"",AB1816&lt;&gt;"")),"manuell übersteuert; ","")&amp;IF(AND(BZ1816=0,R1816=0),"Gebinde unbekannt / Stellmass fehlt; ","")&amp;IF(AND(BZ1816=0,N(V1816)&lt;=0,N(Q1816)&lt;=0),"Menge pro Gebinde fehlt (Ist = 1 Gebinde); ","")&amp;BU1816)</f>
        <v/>
      </c>
      <c r="BN1816" s="48"/>
      <c r="BO1816" s="48"/>
      <c r="BP1816" s="55"/>
      <c r="BQ1816" s="50" t="n">
        <f aca="false">N('Neue Artikel'!$D$77)</f>
        <v>0</v>
      </c>
      <c r="BR1816" s="50" t="n">
        <v>0</v>
      </c>
      <c r="BS1816" s="49" t="n">
        <v>0</v>
      </c>
      <c r="BT1816" s="50" t="n">
        <f aca="false">N('Neue Artikel'!$C$77)/Parameter!$B$18</f>
        <v>0</v>
      </c>
      <c r="BU1816" s="48"/>
      <c r="BV1816" s="53" t="n">
        <v>1</v>
      </c>
      <c r="BW1816" s="53" t="n">
        <v>1816</v>
      </c>
      <c r="BX1816" s="48" t="str">
        <f aca="false">IF(U1816&lt;&gt;"",UPPER(TRIM(U1816)),IF(CA1816=1,UPPER(VLOOKUP(T1816,Parameter!$I$27:$K$29,2,0)),IF(P1816="","LOSE",P1816)))</f>
        <v>LOSE</v>
      </c>
      <c r="BY1816" s="50" t="n">
        <f aca="false">IF(BX1816="LOSE",1,IF(N(V1816)&gt;0,V1816,IF(CA1816=1,MAX(1,N(VLOOKUP(T1816,Parameter!$I$27:$K$29,3,0)),H1816,N(N1816)),IF(N(Q1816)&gt;0,Q1816,MAX(1,H1816)))))</f>
        <v>1</v>
      </c>
      <c r="BZ1816" s="53" t="n">
        <f aca="false">IF(BX1816="LOSE",1,0)</f>
        <v>1</v>
      </c>
      <c r="CA1816" s="53" t="n">
        <f aca="false">IF(AND(U1816="",OR(P1816="",P1816="LOSE"),T1816&lt;&gt;"",N(S1816)&lt;=0,ISNUMBER(MATCH(T1816,Parameter!$I$27:$I$29,0))),1,0)</f>
        <v>0</v>
      </c>
      <c r="CB1816" s="53" t="n">
        <f aca="false">IF(CQ1816&gt;0,INDEX(Parameter!$H$5:$H$7,W1816)/INDEX(Parameter!$E$5:$E$7,W1816),IF(AND(BZ1816=0,N(IFERROR(VLOOKUP(BX1816,'Gebinde-Kategorie'!$A$5:$N$45,14,0),0))&gt;0),VLOOKUP(BX1816,'Gebinde-Kategorie'!$A$5:$N$45,14,0)*10+Parameter!$M$23,Parameter!$M$24))</f>
        <v>235</v>
      </c>
      <c r="CC1816" s="48" t="str">
        <f aca="false">IF(AND(Parameter!$B$19="Ja",E1816&lt;&gt;"",ISNUMBER(MATCH(E1816,Parameter!$I$35:$I$52,0))),VLOOKUP(E1816,Parameter!$I$35:$J$52,2,0),IFERROR(VLOOKUP(D1816,Parameter!$A$35:$C$64,2,0),"Nein"))</f>
        <v>2+3</v>
      </c>
      <c r="CD1816" s="52" t="n">
        <f aca="false">IF(BZ1816=0,0,IF(N(S1816)&gt;0,S1816,IFERROR(VLOOKUP(D1816,Parameter!$A$35:$C$64,3,0)+0,0)))</f>
        <v>0.15</v>
      </c>
      <c r="CE1816" s="48" t="str">
        <f aca="false">IF(AA1816&lt;&gt;"",AA1816,Z1816)</f>
        <v/>
      </c>
      <c r="CF1816" s="48" t="str">
        <f aca="false">IF(OR(CE1816=1,CE1816=2,CE1816=3),IF(Parameter!$E$27="Ja","LIFT",IF(CE1816=1,"L1","L23")),IF(CE1816="Aussen","Aussen","-"))</f>
        <v>-</v>
      </c>
      <c r="CG1816" s="59" t="n">
        <f aca="false">IF(N(AB1816)&gt;0,AB1816,0)</f>
        <v>0</v>
      </c>
      <c r="CH1816" s="53" t="n">
        <f aca="false">IF(ISNUMBER(AE1816),1,0)</f>
        <v>0</v>
      </c>
      <c r="CI1816" s="50" t="n">
        <f aca="false">N(AE1816)</f>
        <v>0</v>
      </c>
      <c r="CJ1816" s="50" t="n">
        <f aca="false">N(M1816)+N(N1816)</f>
        <v>0</v>
      </c>
      <c r="CK1816" s="50" t="n">
        <f aca="false">N(M1816)</f>
        <v>0</v>
      </c>
      <c r="CL1816" s="50" t="n">
        <f aca="false">N(N1816)</f>
        <v>0</v>
      </c>
      <c r="CM1816" s="50" t="n">
        <f aca="false">ROUNDUP(H1816/BY1816,0)</f>
        <v>0</v>
      </c>
      <c r="CN1816" s="50" t="n">
        <f aca="false">ROUNDUP(CI1816/BY1816,0)</f>
        <v>0</v>
      </c>
      <c r="CO1816" s="53" t="n">
        <f aca="false">IF(BZ1816=1,0,IFERROR(VLOOKUP(BX1816,'Gebinde-Kategorie'!$A$5:$N$45,5,0)+0,0))</f>
        <v>0</v>
      </c>
      <c r="CP1816" s="53" t="n">
        <f aca="false">IFERROR(IF(OR(CE1816=1,CE1816=2,CE1816=3),N(INDEX(Parameter!$I$5:$I$7,CE1816)),0),0)</f>
        <v>0</v>
      </c>
      <c r="CQ1816" s="52" t="n">
        <f aca="false">IF(AND(Parameter!$B$21="Ja",ISNUMBER(W1816),N(X1816)&gt;0),IFERROR(N(INDEX(Parameter!$L$5:$L$7,W1816))*INDEX(Parameter!$E$5:$E$7,W1816)*X1816/SUMIFS($X$7:$X$1843,$W$7:$W$1843,W1816),0),0)</f>
        <v>0</v>
      </c>
    </row>
    <row r="1817" customFormat="false" ht="15" hidden="false" customHeight="false" outlineLevel="0" collapsed="false">
      <c r="A1817" s="48" t="str">
        <f aca="false">IF('Neue Artikel'!$A$78="","",'Neue Artikel'!$A$78&amp;"")</f>
        <v/>
      </c>
      <c r="B1817" s="48" t="str">
        <f aca="false">'Neue Artikel'!$B$78&amp;""</f>
        <v/>
      </c>
      <c r="C1817" s="48"/>
      <c r="D1817" s="48" t="s">
        <v>3024</v>
      </c>
      <c r="E1817" s="48"/>
      <c r="F1817" s="48"/>
      <c r="G1817" s="49" t="n">
        <f aca="false">N('Neue Artikel'!$G$78)</f>
        <v>0</v>
      </c>
      <c r="H1817" s="50" t="n">
        <f aca="false">MAX(0,IF(AND(Parameter!$B$21="Ja",ISNUMBER(Y1817)),Y1817,IF(Parameter!$B$20="Jahresanfang 2025 + Export",BR1817+BQ1817,BQ1817)))</f>
        <v>0</v>
      </c>
      <c r="I1817" s="50" t="n">
        <f aca="false">H1817*G1817</f>
        <v>0</v>
      </c>
      <c r="J1817" s="50" t="n">
        <f aca="false">BT1817*Parameter!$B$18</f>
        <v>0</v>
      </c>
      <c r="K1817" s="51"/>
      <c r="L1817" s="52"/>
      <c r="M1817" s="50" t="n">
        <f aca="false">N('Neue Artikel'!$E$78)</f>
        <v>0</v>
      </c>
      <c r="N1817" s="50" t="n">
        <f aca="false">N('Neue Artikel'!$F$78)</f>
        <v>0</v>
      </c>
      <c r="O1817" s="53"/>
      <c r="P1817" s="48" t="str">
        <f aca="false">IF('Neue Artikel'!$H$78="","LOSE",UPPER(TRIM('Neue Artikel'!$H$78)))</f>
        <v>LOSE</v>
      </c>
      <c r="Q1817" s="50" t="n">
        <f aca="false">N('Neue Artikel'!$I$78)</f>
        <v>0</v>
      </c>
      <c r="R1817" s="53" t="n">
        <f aca="false">IF(BZ1817=1,0,IFERROR(VLOOKUP(BX1817,'Gebinde-Kategorie'!$A$5:$N$45,13,0)+0,0))</f>
        <v>0</v>
      </c>
      <c r="S1817" s="54"/>
      <c r="T1817" s="55"/>
      <c r="U1817" s="55"/>
      <c r="V1817" s="55"/>
      <c r="W1817" s="48"/>
      <c r="X1817" s="50"/>
      <c r="Y1817" s="50"/>
      <c r="Z1817" s="48" t="str">
        <f aca="false">IF(A1817="","",IF(AND(Parameter!$B$21="Ja",ISNUMBER(W1817)),W1817,IF(CC1817="2+3",IF(ISNUMBER(SEARCH("grosser Artikel",BU1817)),2,IFERROR(VLOOKUP(BX1817,Parameter!$F$35:$G$64,2,0),2)),IF(OR(CC1817="Nein",CC1817=""),"-",CC1817))))</f>
        <v/>
      </c>
      <c r="AA1817" s="48" t="str">
        <f aca="false">IF('Neue Artikel'!$J$78="","",'Neue Artikel'!$J$78)</f>
        <v/>
      </c>
      <c r="AB1817" s="56"/>
      <c r="AC1817" s="50" t="n">
        <f aca="false">AV1817</f>
        <v>0</v>
      </c>
      <c r="AD1817" s="50" t="n">
        <f aca="false">MAX(AV1817,H1817)</f>
        <v>0</v>
      </c>
      <c r="AE1817" s="57"/>
      <c r="AF1817" s="50" t="n">
        <f aca="false">IF(LEFT(Cockpit!$C$5,1)="A",H1817,IF(Parameter!$E$30="MAX-Bestand",IF(CH1817=1,CI1817,IF(LEFT(Cockpit!$C$5,1)="B",AL1817,MAX(AL1817,H1817))),ROUNDUP(AJ1817,0)))</f>
        <v>0</v>
      </c>
      <c r="AG1817" s="50" t="n">
        <f aca="false">IF(BZ1817=1,0,ROUNDUP(AF1817/BY1817,0))</f>
        <v>0</v>
      </c>
      <c r="AH1817" s="52" t="n">
        <f aca="false">IF(CQ1817&gt;0,CQ1817*MAX(1,AF1817/X1817),IF(BZ1817=1,IF(AF1817&lt;=0,0,CD1817*MAX(1,IF(H1817&gt;0,AF1817/H1817,1))),IF(R1817&gt;0,AG1817/R1817,0))/MAX(0.1,N(Parameter!$M$21)))</f>
        <v>0</v>
      </c>
      <c r="AI1817" s="50" t="n">
        <f aca="false">AH1817*CB1817</f>
        <v>0</v>
      </c>
      <c r="AJ1817" s="51" t="n">
        <f aca="false">IF(LEFT(Cockpit!$C$5,1)="A",H1817,IF(CH1817=1,(CK1817+CI1817)/2,IF(LEFT(Cockpit!$C$5,1)="B",(CK1817+AL1817)/2,MAX((CK1817+AL1817)/2,H1817))))</f>
        <v>0</v>
      </c>
      <c r="AK1817" s="50" t="n">
        <f aca="false">AJ1817*G1817</f>
        <v>0</v>
      </c>
      <c r="AL1817" s="50" t="n">
        <f aca="false">ROUNDUP(CK1817+MAX(CL1817,2*(J1817/IF(CG1817&gt;0,CG1817,MAX(0.1,N(Cockpit!$C$6)))-CK1817)),0)</f>
        <v>0</v>
      </c>
      <c r="AM1817" s="51" t="n">
        <f aca="false">IF(AI1817&gt;0,J1817/AI1817,-1)</f>
        <v>-1</v>
      </c>
      <c r="AN1817" s="51" t="str">
        <f aca="false">IF(AND(OR(CF1817="L1",CF1817="L23",CF1817="LIFT"),AI1817&gt;0),SUMIFS($AI$7:$AI$1843,$CF$7:$CF$1843,CF1817,$AM$7:$AM$1843,"&gt;"&amp;AM1817)+SUMIFS($AI$7:$AI$1843,$CF$7:$CF$1843,CF1817,$AM$7:$AM$1843,AM1817,$BW$7:$BW$1843,"&lt;="&amp;BW1817),"")</f>
        <v/>
      </c>
      <c r="AO1817" s="58" t="n">
        <f aca="false">IF(AN1817="",0,MAX(0,MIN(1,(IF(CF1817="L1",Parameter!$H$5,IF(CF1817="L23",Parameter!$H$6+Parameter!$H$7,Parameter!$H$5+Parameter!$H$6+Parameter!$H$7))-(AN1817-AI1817))/AI1817)))</f>
        <v>0</v>
      </c>
      <c r="AP1817" s="50" t="n">
        <f aca="false">IF(LEFT(Cockpit!$I$5,1)="A",H1817,IF(Parameter!$E$30="MAX-Bestand",IF(CH1817=1,CI1817,IF(LEFT(Cockpit!$I$5,1)="B",AV1817,MAX(AV1817,H1817))),ROUNDUP(AT1817,0)))</f>
        <v>0</v>
      </c>
      <c r="AQ1817" s="50" t="n">
        <f aca="false">IF(BZ1817=1,0,ROUNDUP(AP1817/BY1817,0))</f>
        <v>0</v>
      </c>
      <c r="AR1817" s="52" t="n">
        <f aca="false">IF(CQ1817&gt;0,CQ1817*MAX(1,AP1817/X1817),IF(BZ1817=1,IF(AP1817&lt;=0,0,CD1817*MAX(1,IF(H1817&gt;0,AP1817/H1817,1))),IF(R1817&gt;0,AQ1817/R1817,0))/MAX(0.1,N(Parameter!$M$21)))</f>
        <v>0</v>
      </c>
      <c r="AS1817" s="50" t="n">
        <f aca="false">AR1817*CB1817</f>
        <v>0</v>
      </c>
      <c r="AT1817" s="51" t="n">
        <f aca="false">IF(LEFT(Cockpit!$I$5,1)="A",H1817,IF(CH1817=1,(CK1817+CI1817)/2,IF(LEFT(Cockpit!$I$5,1)="B",(CK1817+AV1817)/2,MAX((CK1817+AV1817)/2,H1817))))</f>
        <v>0</v>
      </c>
      <c r="AU1817" s="50" t="n">
        <f aca="false">AT1817*G1817</f>
        <v>0</v>
      </c>
      <c r="AV1817" s="50" t="n">
        <f aca="false">ROUNDUP(CK1817+MAX(CL1817,2*(J1817/IF(CG1817&gt;0,CG1817,MAX(0.1,N(Cockpit!$I$6)))-CK1817)),0)</f>
        <v>0</v>
      </c>
      <c r="AW1817" s="51" t="n">
        <f aca="false">IF(AS1817&gt;0,J1817/AS1817,-1)</f>
        <v>-1</v>
      </c>
      <c r="AX1817" s="51" t="str">
        <f aca="false">IF(AND(OR(CF1817="L1",CF1817="L23",CF1817="LIFT"),AS1817&gt;0),SUMIFS($AS$7:$AS$1843,$CF$7:$CF$1843,CF1817,$AW$7:$AW$1843,"&gt;"&amp;AW1817)+SUMIFS($AS$7:$AS$1843,$CF$7:$CF$1843,CF1817,$AW$7:$AW$1843,AW1817,$BW$7:$BW$1843,"&lt;="&amp;BW1817),"")</f>
        <v/>
      </c>
      <c r="AY1817" s="58" t="n">
        <f aca="false">IF(AX1817="",0,MAX(0,MIN(1,(IF(CF1817="L1",Parameter!$H$5,IF(CF1817="L23",Parameter!$H$6+Parameter!$H$7,Parameter!$H$5+Parameter!$H$6+Parameter!$H$7))-(AX1817-AS1817))/AS1817)))</f>
        <v>0</v>
      </c>
      <c r="AZ1817" s="50" t="n">
        <f aca="false">IF(LEFT(Cockpit!$O$5,1)="A",H1817,IF(Parameter!$E$30="MAX-Bestand",IF(CH1817=1,CI1817,IF(LEFT(Cockpit!$O$5,1)="B",BF1817,MAX(BF1817,H1817))),ROUNDUP(BD1817,0)))</f>
        <v>0</v>
      </c>
      <c r="BA1817" s="50" t="n">
        <f aca="false">IF(BZ1817=1,0,ROUNDUP(AZ1817/BY1817,0))</f>
        <v>0</v>
      </c>
      <c r="BB1817" s="52" t="n">
        <f aca="false">IF(CQ1817&gt;0,CQ1817*MAX(1,AZ1817/X1817),IF(BZ1817=1,IF(AZ1817&lt;=0,0,CD1817*MAX(1,IF(H1817&gt;0,AZ1817/H1817,1))),IF(R1817&gt;0,BA1817/R1817,0))/MAX(0.1,N(Parameter!$M$21)))</f>
        <v>0</v>
      </c>
      <c r="BC1817" s="50" t="n">
        <f aca="false">BB1817*CB1817</f>
        <v>0</v>
      </c>
      <c r="BD1817" s="51" t="n">
        <f aca="false">IF(LEFT(Cockpit!$O$5,1)="A",H1817,IF(CH1817=1,(CK1817+CI1817)/2,IF(LEFT(Cockpit!$O$5,1)="B",(CK1817+BF1817)/2,MAX((CK1817+BF1817)/2,H1817))))</f>
        <v>0</v>
      </c>
      <c r="BE1817" s="50" t="n">
        <f aca="false">BD1817*G1817</f>
        <v>0</v>
      </c>
      <c r="BF1817" s="50" t="n">
        <f aca="false">ROUNDUP(CK1817+MAX(CL1817,2*(J1817/IF(CG1817&gt;0,CG1817,MAX(0.1,N(Cockpit!$O$6)))-CK1817)),0)</f>
        <v>0</v>
      </c>
      <c r="BG1817" s="51" t="n">
        <f aca="false">IF(BC1817&gt;0,J1817/BC1817,-1)</f>
        <v>-1</v>
      </c>
      <c r="BH1817" s="51" t="str">
        <f aca="false">IF(AND(OR(CF1817="L1",CF1817="L23",CF1817="LIFT"),BC1817&gt;0),SUMIFS($BC$7:$BC$1843,$CF$7:$CF$1843,CF1817,$BG$7:$BG$1843,"&gt;"&amp;BG1817)+SUMIFS($BC$7:$BC$1843,$CF$7:$CF$1843,CF1817,$BG$7:$BG$1843,BG1817,$BW$7:$BW$1843,"&lt;="&amp;BW1817),"")</f>
        <v/>
      </c>
      <c r="BI1817" s="58" t="n">
        <f aca="false">IF(BH1817="",0,MAX(0,MIN(1,(IF(CF1817="L1",Parameter!$H$5,IF(CF1817="L23",Parameter!$H$6+Parameter!$H$7,Parameter!$H$5+Parameter!$H$6+Parameter!$H$7))-(BH1817-BC1817))/BC1817)))</f>
        <v>0</v>
      </c>
      <c r="BJ1817" s="48" t="str">
        <f aca="false">IF(AI1817&lt;=0,"",IF(CF1817="Aussen","Aussenlager",IF(CF1817="-","Nicht im Lift",IF(AO1817&gt;=1,"Lift",IF(AO1817&lt;=0,"Aussenlager","teilweise")))))</f>
        <v/>
      </c>
      <c r="BK1817" s="48" t="str">
        <f aca="false">IF(AS1817&lt;=0,"",IF(CF1817="Aussen","Aussenlager",IF(CF1817="-","Nicht im Lift",IF(AY1817&gt;=1,"Lift",IF(AY1817&lt;=0,"Aussenlager","teilweise")))))</f>
        <v/>
      </c>
      <c r="BL1817" s="48" t="str">
        <f aca="false">IF(BC1817&lt;=0,"",IF(CF1817="Aussen","Aussenlager",IF(CF1817="-","Nicht im Lift",IF(BI1817&gt;=1,"Lift",IF(BI1817&lt;=0,"Aussenlager","teilweise")))))</f>
        <v/>
      </c>
      <c r="BM1817" s="48" t="str">
        <f aca="false">IF(A1817="","",IF(BV1817=1,"Neu; ","")&amp;IF(AND(BV1817=0,BQ1817&lt;0),"negativer Bestand (Export "&amp;BQ1817&amp;"); ","")&amp;IF(J1817&lt;=0,"Kein Verbrauch; ","")&amp;IF(CQ1817&gt;0,"Lift "&amp;W1817&amp;" lt. Liftbericht (Fach "&amp;X1817&amp;" Stk); ",IF(CA1817=1,"Gebinde geschätzt ("&amp;T1817&amp;"); ",IF(BZ1817=1,"Lose – Tablare geschätzt; ","")))&amp;IF(H1817&gt;AV1817,"Überbestand "&amp;ROUND(H1817-AV1817,0)&amp;" Stk / CHF "&amp;ROUND((H1817-AV1817)*G1817,0)&amp;"; ","")&amp;IF(AND(CH1817=1,CI1817&lt;CJ1817),"MAX &lt; MB+LG; ","")&amp;IF(AND(CP1817&gt;0,CO1817*10&gt;CP1817),"zu hoch für Tablar; ","")&amp;IF(AND(BV1817=0,OR(CH1817=1,AA1817&lt;&gt;"",U1817&lt;&gt;"",V1817&lt;&gt;"",AB1817&lt;&gt;"")),"manuell übersteuert; ","")&amp;IF(AND(BZ1817=0,R1817=0),"Gebinde unbekannt / Stellmass fehlt; ","")&amp;IF(AND(BZ1817=0,N(V1817)&lt;=0,N(Q1817)&lt;=0),"Menge pro Gebinde fehlt (Ist = 1 Gebinde); ","")&amp;BU1817)</f>
        <v/>
      </c>
      <c r="BN1817" s="48"/>
      <c r="BO1817" s="48"/>
      <c r="BP1817" s="55"/>
      <c r="BQ1817" s="50" t="n">
        <f aca="false">N('Neue Artikel'!$D$78)</f>
        <v>0</v>
      </c>
      <c r="BR1817" s="50" t="n">
        <v>0</v>
      </c>
      <c r="BS1817" s="49" t="n">
        <v>0</v>
      </c>
      <c r="BT1817" s="50" t="n">
        <f aca="false">N('Neue Artikel'!$C$78)/Parameter!$B$18</f>
        <v>0</v>
      </c>
      <c r="BU1817" s="48"/>
      <c r="BV1817" s="53" t="n">
        <v>1</v>
      </c>
      <c r="BW1817" s="53" t="n">
        <v>1817</v>
      </c>
      <c r="BX1817" s="48" t="str">
        <f aca="false">IF(U1817&lt;&gt;"",UPPER(TRIM(U1817)),IF(CA1817=1,UPPER(VLOOKUP(T1817,Parameter!$I$27:$K$29,2,0)),IF(P1817="","LOSE",P1817)))</f>
        <v>LOSE</v>
      </c>
      <c r="BY1817" s="50" t="n">
        <f aca="false">IF(BX1817="LOSE",1,IF(N(V1817)&gt;0,V1817,IF(CA1817=1,MAX(1,N(VLOOKUP(T1817,Parameter!$I$27:$K$29,3,0)),H1817,N(N1817)),IF(N(Q1817)&gt;0,Q1817,MAX(1,H1817)))))</f>
        <v>1</v>
      </c>
      <c r="BZ1817" s="53" t="n">
        <f aca="false">IF(BX1817="LOSE",1,0)</f>
        <v>1</v>
      </c>
      <c r="CA1817" s="53" t="n">
        <f aca="false">IF(AND(U1817="",OR(P1817="",P1817="LOSE"),T1817&lt;&gt;"",N(S1817)&lt;=0,ISNUMBER(MATCH(T1817,Parameter!$I$27:$I$29,0))),1,0)</f>
        <v>0</v>
      </c>
      <c r="CB1817" s="53" t="n">
        <f aca="false">IF(CQ1817&gt;0,INDEX(Parameter!$H$5:$H$7,W1817)/INDEX(Parameter!$E$5:$E$7,W1817),IF(AND(BZ1817=0,N(IFERROR(VLOOKUP(BX1817,'Gebinde-Kategorie'!$A$5:$N$45,14,0),0))&gt;0),VLOOKUP(BX1817,'Gebinde-Kategorie'!$A$5:$N$45,14,0)*10+Parameter!$M$23,Parameter!$M$24))</f>
        <v>235</v>
      </c>
      <c r="CC1817" s="48" t="str">
        <f aca="false">IF(AND(Parameter!$B$19="Ja",E1817&lt;&gt;"",ISNUMBER(MATCH(E1817,Parameter!$I$35:$I$52,0))),VLOOKUP(E1817,Parameter!$I$35:$J$52,2,0),IFERROR(VLOOKUP(D1817,Parameter!$A$35:$C$64,2,0),"Nein"))</f>
        <v>2+3</v>
      </c>
      <c r="CD1817" s="52" t="n">
        <f aca="false">IF(BZ1817=0,0,IF(N(S1817)&gt;0,S1817,IFERROR(VLOOKUP(D1817,Parameter!$A$35:$C$64,3,0)+0,0)))</f>
        <v>0.15</v>
      </c>
      <c r="CE1817" s="48" t="str">
        <f aca="false">IF(AA1817&lt;&gt;"",AA1817,Z1817)</f>
        <v/>
      </c>
      <c r="CF1817" s="48" t="str">
        <f aca="false">IF(OR(CE1817=1,CE1817=2,CE1817=3),IF(Parameter!$E$27="Ja","LIFT",IF(CE1817=1,"L1","L23")),IF(CE1817="Aussen","Aussen","-"))</f>
        <v>-</v>
      </c>
      <c r="CG1817" s="59" t="n">
        <f aca="false">IF(N(AB1817)&gt;0,AB1817,0)</f>
        <v>0</v>
      </c>
      <c r="CH1817" s="53" t="n">
        <f aca="false">IF(ISNUMBER(AE1817),1,0)</f>
        <v>0</v>
      </c>
      <c r="CI1817" s="50" t="n">
        <f aca="false">N(AE1817)</f>
        <v>0</v>
      </c>
      <c r="CJ1817" s="50" t="n">
        <f aca="false">N(M1817)+N(N1817)</f>
        <v>0</v>
      </c>
      <c r="CK1817" s="50" t="n">
        <f aca="false">N(M1817)</f>
        <v>0</v>
      </c>
      <c r="CL1817" s="50" t="n">
        <f aca="false">N(N1817)</f>
        <v>0</v>
      </c>
      <c r="CM1817" s="50" t="n">
        <f aca="false">ROUNDUP(H1817/BY1817,0)</f>
        <v>0</v>
      </c>
      <c r="CN1817" s="50" t="n">
        <f aca="false">ROUNDUP(CI1817/BY1817,0)</f>
        <v>0</v>
      </c>
      <c r="CO1817" s="53" t="n">
        <f aca="false">IF(BZ1817=1,0,IFERROR(VLOOKUP(BX1817,'Gebinde-Kategorie'!$A$5:$N$45,5,0)+0,0))</f>
        <v>0</v>
      </c>
      <c r="CP1817" s="53" t="n">
        <f aca="false">IFERROR(IF(OR(CE1817=1,CE1817=2,CE1817=3),N(INDEX(Parameter!$I$5:$I$7,CE1817)),0),0)</f>
        <v>0</v>
      </c>
      <c r="CQ1817" s="52" t="n">
        <f aca="false">IF(AND(Parameter!$B$21="Ja",ISNUMBER(W1817),N(X1817)&gt;0),IFERROR(N(INDEX(Parameter!$L$5:$L$7,W1817))*INDEX(Parameter!$E$5:$E$7,W1817)*X1817/SUMIFS($X$7:$X$1843,$W$7:$W$1843,W1817),0),0)</f>
        <v>0</v>
      </c>
    </row>
    <row r="1818" customFormat="false" ht="15" hidden="false" customHeight="false" outlineLevel="0" collapsed="false">
      <c r="A1818" s="48" t="str">
        <f aca="false">IF('Neue Artikel'!$A$79="","",'Neue Artikel'!$A$79&amp;"")</f>
        <v/>
      </c>
      <c r="B1818" s="48" t="str">
        <f aca="false">'Neue Artikel'!$B$79&amp;""</f>
        <v/>
      </c>
      <c r="C1818" s="48"/>
      <c r="D1818" s="48" t="s">
        <v>3024</v>
      </c>
      <c r="E1818" s="48"/>
      <c r="F1818" s="48"/>
      <c r="G1818" s="49" t="n">
        <f aca="false">N('Neue Artikel'!$G$79)</f>
        <v>0</v>
      </c>
      <c r="H1818" s="50" t="n">
        <f aca="false">MAX(0,IF(AND(Parameter!$B$21="Ja",ISNUMBER(Y1818)),Y1818,IF(Parameter!$B$20="Jahresanfang 2025 + Export",BR1818+BQ1818,BQ1818)))</f>
        <v>0</v>
      </c>
      <c r="I1818" s="50" t="n">
        <f aca="false">H1818*G1818</f>
        <v>0</v>
      </c>
      <c r="J1818" s="50" t="n">
        <f aca="false">BT1818*Parameter!$B$18</f>
        <v>0</v>
      </c>
      <c r="K1818" s="51"/>
      <c r="L1818" s="52"/>
      <c r="M1818" s="50" t="n">
        <f aca="false">N('Neue Artikel'!$E$79)</f>
        <v>0</v>
      </c>
      <c r="N1818" s="50" t="n">
        <f aca="false">N('Neue Artikel'!$F$79)</f>
        <v>0</v>
      </c>
      <c r="O1818" s="53"/>
      <c r="P1818" s="48" t="str">
        <f aca="false">IF('Neue Artikel'!$H$79="","LOSE",UPPER(TRIM('Neue Artikel'!$H$79)))</f>
        <v>LOSE</v>
      </c>
      <c r="Q1818" s="50" t="n">
        <f aca="false">N('Neue Artikel'!$I$79)</f>
        <v>0</v>
      </c>
      <c r="R1818" s="53" t="n">
        <f aca="false">IF(BZ1818=1,0,IFERROR(VLOOKUP(BX1818,'Gebinde-Kategorie'!$A$5:$N$45,13,0)+0,0))</f>
        <v>0</v>
      </c>
      <c r="S1818" s="54"/>
      <c r="T1818" s="55"/>
      <c r="U1818" s="55"/>
      <c r="V1818" s="55"/>
      <c r="W1818" s="48"/>
      <c r="X1818" s="50"/>
      <c r="Y1818" s="50"/>
      <c r="Z1818" s="48" t="str">
        <f aca="false">IF(A1818="","",IF(AND(Parameter!$B$21="Ja",ISNUMBER(W1818)),W1818,IF(CC1818="2+3",IF(ISNUMBER(SEARCH("grosser Artikel",BU1818)),2,IFERROR(VLOOKUP(BX1818,Parameter!$F$35:$G$64,2,0),2)),IF(OR(CC1818="Nein",CC1818=""),"-",CC1818))))</f>
        <v/>
      </c>
      <c r="AA1818" s="48" t="str">
        <f aca="false">IF('Neue Artikel'!$J$79="","",'Neue Artikel'!$J$79)</f>
        <v/>
      </c>
      <c r="AB1818" s="56"/>
      <c r="AC1818" s="50" t="n">
        <f aca="false">AV1818</f>
        <v>0</v>
      </c>
      <c r="AD1818" s="50" t="n">
        <f aca="false">MAX(AV1818,H1818)</f>
        <v>0</v>
      </c>
      <c r="AE1818" s="57"/>
      <c r="AF1818" s="50" t="n">
        <f aca="false">IF(LEFT(Cockpit!$C$5,1)="A",H1818,IF(Parameter!$E$30="MAX-Bestand",IF(CH1818=1,CI1818,IF(LEFT(Cockpit!$C$5,1)="B",AL1818,MAX(AL1818,H1818))),ROUNDUP(AJ1818,0)))</f>
        <v>0</v>
      </c>
      <c r="AG1818" s="50" t="n">
        <f aca="false">IF(BZ1818=1,0,ROUNDUP(AF1818/BY1818,0))</f>
        <v>0</v>
      </c>
      <c r="AH1818" s="52" t="n">
        <f aca="false">IF(CQ1818&gt;0,CQ1818*MAX(1,AF1818/X1818),IF(BZ1818=1,IF(AF1818&lt;=0,0,CD1818*MAX(1,IF(H1818&gt;0,AF1818/H1818,1))),IF(R1818&gt;0,AG1818/R1818,0))/MAX(0.1,N(Parameter!$M$21)))</f>
        <v>0</v>
      </c>
      <c r="AI1818" s="50" t="n">
        <f aca="false">AH1818*CB1818</f>
        <v>0</v>
      </c>
      <c r="AJ1818" s="51" t="n">
        <f aca="false">IF(LEFT(Cockpit!$C$5,1)="A",H1818,IF(CH1818=1,(CK1818+CI1818)/2,IF(LEFT(Cockpit!$C$5,1)="B",(CK1818+AL1818)/2,MAX((CK1818+AL1818)/2,H1818))))</f>
        <v>0</v>
      </c>
      <c r="AK1818" s="50" t="n">
        <f aca="false">AJ1818*G1818</f>
        <v>0</v>
      </c>
      <c r="AL1818" s="50" t="n">
        <f aca="false">ROUNDUP(CK1818+MAX(CL1818,2*(J1818/IF(CG1818&gt;0,CG1818,MAX(0.1,N(Cockpit!$C$6)))-CK1818)),0)</f>
        <v>0</v>
      </c>
      <c r="AM1818" s="51" t="n">
        <f aca="false">IF(AI1818&gt;0,J1818/AI1818,-1)</f>
        <v>-1</v>
      </c>
      <c r="AN1818" s="51" t="str">
        <f aca="false">IF(AND(OR(CF1818="L1",CF1818="L23",CF1818="LIFT"),AI1818&gt;0),SUMIFS($AI$7:$AI$1843,$CF$7:$CF$1843,CF1818,$AM$7:$AM$1843,"&gt;"&amp;AM1818)+SUMIFS($AI$7:$AI$1843,$CF$7:$CF$1843,CF1818,$AM$7:$AM$1843,AM1818,$BW$7:$BW$1843,"&lt;="&amp;BW1818),"")</f>
        <v/>
      </c>
      <c r="AO1818" s="58" t="n">
        <f aca="false">IF(AN1818="",0,MAX(0,MIN(1,(IF(CF1818="L1",Parameter!$H$5,IF(CF1818="L23",Parameter!$H$6+Parameter!$H$7,Parameter!$H$5+Parameter!$H$6+Parameter!$H$7))-(AN1818-AI1818))/AI1818)))</f>
        <v>0</v>
      </c>
      <c r="AP1818" s="50" t="n">
        <f aca="false">IF(LEFT(Cockpit!$I$5,1)="A",H1818,IF(Parameter!$E$30="MAX-Bestand",IF(CH1818=1,CI1818,IF(LEFT(Cockpit!$I$5,1)="B",AV1818,MAX(AV1818,H1818))),ROUNDUP(AT1818,0)))</f>
        <v>0</v>
      </c>
      <c r="AQ1818" s="50" t="n">
        <f aca="false">IF(BZ1818=1,0,ROUNDUP(AP1818/BY1818,0))</f>
        <v>0</v>
      </c>
      <c r="AR1818" s="52" t="n">
        <f aca="false">IF(CQ1818&gt;0,CQ1818*MAX(1,AP1818/X1818),IF(BZ1818=1,IF(AP1818&lt;=0,0,CD1818*MAX(1,IF(H1818&gt;0,AP1818/H1818,1))),IF(R1818&gt;0,AQ1818/R1818,0))/MAX(0.1,N(Parameter!$M$21)))</f>
        <v>0</v>
      </c>
      <c r="AS1818" s="50" t="n">
        <f aca="false">AR1818*CB1818</f>
        <v>0</v>
      </c>
      <c r="AT1818" s="51" t="n">
        <f aca="false">IF(LEFT(Cockpit!$I$5,1)="A",H1818,IF(CH1818=1,(CK1818+CI1818)/2,IF(LEFT(Cockpit!$I$5,1)="B",(CK1818+AV1818)/2,MAX((CK1818+AV1818)/2,H1818))))</f>
        <v>0</v>
      </c>
      <c r="AU1818" s="50" t="n">
        <f aca="false">AT1818*G1818</f>
        <v>0</v>
      </c>
      <c r="AV1818" s="50" t="n">
        <f aca="false">ROUNDUP(CK1818+MAX(CL1818,2*(J1818/IF(CG1818&gt;0,CG1818,MAX(0.1,N(Cockpit!$I$6)))-CK1818)),0)</f>
        <v>0</v>
      </c>
      <c r="AW1818" s="51" t="n">
        <f aca="false">IF(AS1818&gt;0,J1818/AS1818,-1)</f>
        <v>-1</v>
      </c>
      <c r="AX1818" s="51" t="str">
        <f aca="false">IF(AND(OR(CF1818="L1",CF1818="L23",CF1818="LIFT"),AS1818&gt;0),SUMIFS($AS$7:$AS$1843,$CF$7:$CF$1843,CF1818,$AW$7:$AW$1843,"&gt;"&amp;AW1818)+SUMIFS($AS$7:$AS$1843,$CF$7:$CF$1843,CF1818,$AW$7:$AW$1843,AW1818,$BW$7:$BW$1843,"&lt;="&amp;BW1818),"")</f>
        <v/>
      </c>
      <c r="AY1818" s="58" t="n">
        <f aca="false">IF(AX1818="",0,MAX(0,MIN(1,(IF(CF1818="L1",Parameter!$H$5,IF(CF1818="L23",Parameter!$H$6+Parameter!$H$7,Parameter!$H$5+Parameter!$H$6+Parameter!$H$7))-(AX1818-AS1818))/AS1818)))</f>
        <v>0</v>
      </c>
      <c r="AZ1818" s="50" t="n">
        <f aca="false">IF(LEFT(Cockpit!$O$5,1)="A",H1818,IF(Parameter!$E$30="MAX-Bestand",IF(CH1818=1,CI1818,IF(LEFT(Cockpit!$O$5,1)="B",BF1818,MAX(BF1818,H1818))),ROUNDUP(BD1818,0)))</f>
        <v>0</v>
      </c>
      <c r="BA1818" s="50" t="n">
        <f aca="false">IF(BZ1818=1,0,ROUNDUP(AZ1818/BY1818,0))</f>
        <v>0</v>
      </c>
      <c r="BB1818" s="52" t="n">
        <f aca="false">IF(CQ1818&gt;0,CQ1818*MAX(1,AZ1818/X1818),IF(BZ1818=1,IF(AZ1818&lt;=0,0,CD1818*MAX(1,IF(H1818&gt;0,AZ1818/H1818,1))),IF(R1818&gt;0,BA1818/R1818,0))/MAX(0.1,N(Parameter!$M$21)))</f>
        <v>0</v>
      </c>
      <c r="BC1818" s="50" t="n">
        <f aca="false">BB1818*CB1818</f>
        <v>0</v>
      </c>
      <c r="BD1818" s="51" t="n">
        <f aca="false">IF(LEFT(Cockpit!$O$5,1)="A",H1818,IF(CH1818=1,(CK1818+CI1818)/2,IF(LEFT(Cockpit!$O$5,1)="B",(CK1818+BF1818)/2,MAX((CK1818+BF1818)/2,H1818))))</f>
        <v>0</v>
      </c>
      <c r="BE1818" s="50" t="n">
        <f aca="false">BD1818*G1818</f>
        <v>0</v>
      </c>
      <c r="BF1818" s="50" t="n">
        <f aca="false">ROUNDUP(CK1818+MAX(CL1818,2*(J1818/IF(CG1818&gt;0,CG1818,MAX(0.1,N(Cockpit!$O$6)))-CK1818)),0)</f>
        <v>0</v>
      </c>
      <c r="BG1818" s="51" t="n">
        <f aca="false">IF(BC1818&gt;0,J1818/BC1818,-1)</f>
        <v>-1</v>
      </c>
      <c r="BH1818" s="51" t="str">
        <f aca="false">IF(AND(OR(CF1818="L1",CF1818="L23",CF1818="LIFT"),BC1818&gt;0),SUMIFS($BC$7:$BC$1843,$CF$7:$CF$1843,CF1818,$BG$7:$BG$1843,"&gt;"&amp;BG1818)+SUMIFS($BC$7:$BC$1843,$CF$7:$CF$1843,CF1818,$BG$7:$BG$1843,BG1818,$BW$7:$BW$1843,"&lt;="&amp;BW1818),"")</f>
        <v/>
      </c>
      <c r="BI1818" s="58" t="n">
        <f aca="false">IF(BH1818="",0,MAX(0,MIN(1,(IF(CF1818="L1",Parameter!$H$5,IF(CF1818="L23",Parameter!$H$6+Parameter!$H$7,Parameter!$H$5+Parameter!$H$6+Parameter!$H$7))-(BH1818-BC1818))/BC1818)))</f>
        <v>0</v>
      </c>
      <c r="BJ1818" s="48" t="str">
        <f aca="false">IF(AI1818&lt;=0,"",IF(CF1818="Aussen","Aussenlager",IF(CF1818="-","Nicht im Lift",IF(AO1818&gt;=1,"Lift",IF(AO1818&lt;=0,"Aussenlager","teilweise")))))</f>
        <v/>
      </c>
      <c r="BK1818" s="48" t="str">
        <f aca="false">IF(AS1818&lt;=0,"",IF(CF1818="Aussen","Aussenlager",IF(CF1818="-","Nicht im Lift",IF(AY1818&gt;=1,"Lift",IF(AY1818&lt;=0,"Aussenlager","teilweise")))))</f>
        <v/>
      </c>
      <c r="BL1818" s="48" t="str">
        <f aca="false">IF(BC1818&lt;=0,"",IF(CF1818="Aussen","Aussenlager",IF(CF1818="-","Nicht im Lift",IF(BI1818&gt;=1,"Lift",IF(BI1818&lt;=0,"Aussenlager","teilweise")))))</f>
        <v/>
      </c>
      <c r="BM1818" s="48" t="str">
        <f aca="false">IF(A1818="","",IF(BV1818=1,"Neu; ","")&amp;IF(AND(BV1818=0,BQ1818&lt;0),"negativer Bestand (Export "&amp;BQ1818&amp;"); ","")&amp;IF(J1818&lt;=0,"Kein Verbrauch; ","")&amp;IF(CQ1818&gt;0,"Lift "&amp;W1818&amp;" lt. Liftbericht (Fach "&amp;X1818&amp;" Stk); ",IF(CA1818=1,"Gebinde geschätzt ("&amp;T1818&amp;"); ",IF(BZ1818=1,"Lose – Tablare geschätzt; ","")))&amp;IF(H1818&gt;AV1818,"Überbestand "&amp;ROUND(H1818-AV1818,0)&amp;" Stk / CHF "&amp;ROUND((H1818-AV1818)*G1818,0)&amp;"; ","")&amp;IF(AND(CH1818=1,CI1818&lt;CJ1818),"MAX &lt; MB+LG; ","")&amp;IF(AND(CP1818&gt;0,CO1818*10&gt;CP1818),"zu hoch für Tablar; ","")&amp;IF(AND(BV1818=0,OR(CH1818=1,AA1818&lt;&gt;"",U1818&lt;&gt;"",V1818&lt;&gt;"",AB1818&lt;&gt;"")),"manuell übersteuert; ","")&amp;IF(AND(BZ1818=0,R1818=0),"Gebinde unbekannt / Stellmass fehlt; ","")&amp;IF(AND(BZ1818=0,N(V1818)&lt;=0,N(Q1818)&lt;=0),"Menge pro Gebinde fehlt (Ist = 1 Gebinde); ","")&amp;BU1818)</f>
        <v/>
      </c>
      <c r="BN1818" s="48"/>
      <c r="BO1818" s="48"/>
      <c r="BP1818" s="55"/>
      <c r="BQ1818" s="50" t="n">
        <f aca="false">N('Neue Artikel'!$D$79)</f>
        <v>0</v>
      </c>
      <c r="BR1818" s="50" t="n">
        <v>0</v>
      </c>
      <c r="BS1818" s="49" t="n">
        <v>0</v>
      </c>
      <c r="BT1818" s="50" t="n">
        <f aca="false">N('Neue Artikel'!$C$79)/Parameter!$B$18</f>
        <v>0</v>
      </c>
      <c r="BU1818" s="48"/>
      <c r="BV1818" s="53" t="n">
        <v>1</v>
      </c>
      <c r="BW1818" s="53" t="n">
        <v>1818</v>
      </c>
      <c r="BX1818" s="48" t="str">
        <f aca="false">IF(U1818&lt;&gt;"",UPPER(TRIM(U1818)),IF(CA1818=1,UPPER(VLOOKUP(T1818,Parameter!$I$27:$K$29,2,0)),IF(P1818="","LOSE",P1818)))</f>
        <v>LOSE</v>
      </c>
      <c r="BY1818" s="50" t="n">
        <f aca="false">IF(BX1818="LOSE",1,IF(N(V1818)&gt;0,V1818,IF(CA1818=1,MAX(1,N(VLOOKUP(T1818,Parameter!$I$27:$K$29,3,0)),H1818,N(N1818)),IF(N(Q1818)&gt;0,Q1818,MAX(1,H1818)))))</f>
        <v>1</v>
      </c>
      <c r="BZ1818" s="53" t="n">
        <f aca="false">IF(BX1818="LOSE",1,0)</f>
        <v>1</v>
      </c>
      <c r="CA1818" s="53" t="n">
        <f aca="false">IF(AND(U1818="",OR(P1818="",P1818="LOSE"),T1818&lt;&gt;"",N(S1818)&lt;=0,ISNUMBER(MATCH(T1818,Parameter!$I$27:$I$29,0))),1,0)</f>
        <v>0</v>
      </c>
      <c r="CB1818" s="53" t="n">
        <f aca="false">IF(CQ1818&gt;0,INDEX(Parameter!$H$5:$H$7,W1818)/INDEX(Parameter!$E$5:$E$7,W1818),IF(AND(BZ1818=0,N(IFERROR(VLOOKUP(BX1818,'Gebinde-Kategorie'!$A$5:$N$45,14,0),0))&gt;0),VLOOKUP(BX1818,'Gebinde-Kategorie'!$A$5:$N$45,14,0)*10+Parameter!$M$23,Parameter!$M$24))</f>
        <v>235</v>
      </c>
      <c r="CC1818" s="48" t="str">
        <f aca="false">IF(AND(Parameter!$B$19="Ja",E1818&lt;&gt;"",ISNUMBER(MATCH(E1818,Parameter!$I$35:$I$52,0))),VLOOKUP(E1818,Parameter!$I$35:$J$52,2,0),IFERROR(VLOOKUP(D1818,Parameter!$A$35:$C$64,2,0),"Nein"))</f>
        <v>2+3</v>
      </c>
      <c r="CD1818" s="52" t="n">
        <f aca="false">IF(BZ1818=0,0,IF(N(S1818)&gt;0,S1818,IFERROR(VLOOKUP(D1818,Parameter!$A$35:$C$64,3,0)+0,0)))</f>
        <v>0.15</v>
      </c>
      <c r="CE1818" s="48" t="str">
        <f aca="false">IF(AA1818&lt;&gt;"",AA1818,Z1818)</f>
        <v/>
      </c>
      <c r="CF1818" s="48" t="str">
        <f aca="false">IF(OR(CE1818=1,CE1818=2,CE1818=3),IF(Parameter!$E$27="Ja","LIFT",IF(CE1818=1,"L1","L23")),IF(CE1818="Aussen","Aussen","-"))</f>
        <v>-</v>
      </c>
      <c r="CG1818" s="59" t="n">
        <f aca="false">IF(N(AB1818)&gt;0,AB1818,0)</f>
        <v>0</v>
      </c>
      <c r="CH1818" s="53" t="n">
        <f aca="false">IF(ISNUMBER(AE1818),1,0)</f>
        <v>0</v>
      </c>
      <c r="CI1818" s="50" t="n">
        <f aca="false">N(AE1818)</f>
        <v>0</v>
      </c>
      <c r="CJ1818" s="50" t="n">
        <f aca="false">N(M1818)+N(N1818)</f>
        <v>0</v>
      </c>
      <c r="CK1818" s="50" t="n">
        <f aca="false">N(M1818)</f>
        <v>0</v>
      </c>
      <c r="CL1818" s="50" t="n">
        <f aca="false">N(N1818)</f>
        <v>0</v>
      </c>
      <c r="CM1818" s="50" t="n">
        <f aca="false">ROUNDUP(H1818/BY1818,0)</f>
        <v>0</v>
      </c>
      <c r="CN1818" s="50" t="n">
        <f aca="false">ROUNDUP(CI1818/BY1818,0)</f>
        <v>0</v>
      </c>
      <c r="CO1818" s="53" t="n">
        <f aca="false">IF(BZ1818=1,0,IFERROR(VLOOKUP(BX1818,'Gebinde-Kategorie'!$A$5:$N$45,5,0)+0,0))</f>
        <v>0</v>
      </c>
      <c r="CP1818" s="53" t="n">
        <f aca="false">IFERROR(IF(OR(CE1818=1,CE1818=2,CE1818=3),N(INDEX(Parameter!$I$5:$I$7,CE1818)),0),0)</f>
        <v>0</v>
      </c>
      <c r="CQ1818" s="52" t="n">
        <f aca="false">IF(AND(Parameter!$B$21="Ja",ISNUMBER(W1818),N(X1818)&gt;0),IFERROR(N(INDEX(Parameter!$L$5:$L$7,W1818))*INDEX(Parameter!$E$5:$E$7,W1818)*X1818/SUMIFS($X$7:$X$1843,$W$7:$W$1843,W1818),0),0)</f>
        <v>0</v>
      </c>
    </row>
    <row r="1819" customFormat="false" ht="15" hidden="false" customHeight="false" outlineLevel="0" collapsed="false">
      <c r="A1819" s="48" t="str">
        <f aca="false">IF('Neue Artikel'!$A$80="","",'Neue Artikel'!$A$80&amp;"")</f>
        <v/>
      </c>
      <c r="B1819" s="48" t="str">
        <f aca="false">'Neue Artikel'!$B$80&amp;""</f>
        <v/>
      </c>
      <c r="C1819" s="48"/>
      <c r="D1819" s="48" t="s">
        <v>3024</v>
      </c>
      <c r="E1819" s="48"/>
      <c r="F1819" s="48"/>
      <c r="G1819" s="49" t="n">
        <f aca="false">N('Neue Artikel'!$G$80)</f>
        <v>0</v>
      </c>
      <c r="H1819" s="50" t="n">
        <f aca="false">MAX(0,IF(AND(Parameter!$B$21="Ja",ISNUMBER(Y1819)),Y1819,IF(Parameter!$B$20="Jahresanfang 2025 + Export",BR1819+BQ1819,BQ1819)))</f>
        <v>0</v>
      </c>
      <c r="I1819" s="50" t="n">
        <f aca="false">H1819*G1819</f>
        <v>0</v>
      </c>
      <c r="J1819" s="50" t="n">
        <f aca="false">BT1819*Parameter!$B$18</f>
        <v>0</v>
      </c>
      <c r="K1819" s="51"/>
      <c r="L1819" s="52"/>
      <c r="M1819" s="50" t="n">
        <f aca="false">N('Neue Artikel'!$E$80)</f>
        <v>0</v>
      </c>
      <c r="N1819" s="50" t="n">
        <f aca="false">N('Neue Artikel'!$F$80)</f>
        <v>0</v>
      </c>
      <c r="O1819" s="53"/>
      <c r="P1819" s="48" t="str">
        <f aca="false">IF('Neue Artikel'!$H$80="","LOSE",UPPER(TRIM('Neue Artikel'!$H$80)))</f>
        <v>LOSE</v>
      </c>
      <c r="Q1819" s="50" t="n">
        <f aca="false">N('Neue Artikel'!$I$80)</f>
        <v>0</v>
      </c>
      <c r="R1819" s="53" t="n">
        <f aca="false">IF(BZ1819=1,0,IFERROR(VLOOKUP(BX1819,'Gebinde-Kategorie'!$A$5:$N$45,13,0)+0,0))</f>
        <v>0</v>
      </c>
      <c r="S1819" s="54"/>
      <c r="T1819" s="55"/>
      <c r="U1819" s="55"/>
      <c r="V1819" s="55"/>
      <c r="W1819" s="48"/>
      <c r="X1819" s="50"/>
      <c r="Y1819" s="50"/>
      <c r="Z1819" s="48" t="str">
        <f aca="false">IF(A1819="","",IF(AND(Parameter!$B$21="Ja",ISNUMBER(W1819)),W1819,IF(CC1819="2+3",IF(ISNUMBER(SEARCH("grosser Artikel",BU1819)),2,IFERROR(VLOOKUP(BX1819,Parameter!$F$35:$G$64,2,0),2)),IF(OR(CC1819="Nein",CC1819=""),"-",CC1819))))</f>
        <v/>
      </c>
      <c r="AA1819" s="48" t="str">
        <f aca="false">IF('Neue Artikel'!$J$80="","",'Neue Artikel'!$J$80)</f>
        <v/>
      </c>
      <c r="AB1819" s="56"/>
      <c r="AC1819" s="50" t="n">
        <f aca="false">AV1819</f>
        <v>0</v>
      </c>
      <c r="AD1819" s="50" t="n">
        <f aca="false">MAX(AV1819,H1819)</f>
        <v>0</v>
      </c>
      <c r="AE1819" s="57"/>
      <c r="AF1819" s="50" t="n">
        <f aca="false">IF(LEFT(Cockpit!$C$5,1)="A",H1819,IF(Parameter!$E$30="MAX-Bestand",IF(CH1819=1,CI1819,IF(LEFT(Cockpit!$C$5,1)="B",AL1819,MAX(AL1819,H1819))),ROUNDUP(AJ1819,0)))</f>
        <v>0</v>
      </c>
      <c r="AG1819" s="50" t="n">
        <f aca="false">IF(BZ1819=1,0,ROUNDUP(AF1819/BY1819,0))</f>
        <v>0</v>
      </c>
      <c r="AH1819" s="52" t="n">
        <f aca="false">IF(CQ1819&gt;0,CQ1819*MAX(1,AF1819/X1819),IF(BZ1819=1,IF(AF1819&lt;=0,0,CD1819*MAX(1,IF(H1819&gt;0,AF1819/H1819,1))),IF(R1819&gt;0,AG1819/R1819,0))/MAX(0.1,N(Parameter!$M$21)))</f>
        <v>0</v>
      </c>
      <c r="AI1819" s="50" t="n">
        <f aca="false">AH1819*CB1819</f>
        <v>0</v>
      </c>
      <c r="AJ1819" s="51" t="n">
        <f aca="false">IF(LEFT(Cockpit!$C$5,1)="A",H1819,IF(CH1819=1,(CK1819+CI1819)/2,IF(LEFT(Cockpit!$C$5,1)="B",(CK1819+AL1819)/2,MAX((CK1819+AL1819)/2,H1819))))</f>
        <v>0</v>
      </c>
      <c r="AK1819" s="50" t="n">
        <f aca="false">AJ1819*G1819</f>
        <v>0</v>
      </c>
      <c r="AL1819" s="50" t="n">
        <f aca="false">ROUNDUP(CK1819+MAX(CL1819,2*(J1819/IF(CG1819&gt;0,CG1819,MAX(0.1,N(Cockpit!$C$6)))-CK1819)),0)</f>
        <v>0</v>
      </c>
      <c r="AM1819" s="51" t="n">
        <f aca="false">IF(AI1819&gt;0,J1819/AI1819,-1)</f>
        <v>-1</v>
      </c>
      <c r="AN1819" s="51" t="str">
        <f aca="false">IF(AND(OR(CF1819="L1",CF1819="L23",CF1819="LIFT"),AI1819&gt;0),SUMIFS($AI$7:$AI$1843,$CF$7:$CF$1843,CF1819,$AM$7:$AM$1843,"&gt;"&amp;AM1819)+SUMIFS($AI$7:$AI$1843,$CF$7:$CF$1843,CF1819,$AM$7:$AM$1843,AM1819,$BW$7:$BW$1843,"&lt;="&amp;BW1819),"")</f>
        <v/>
      </c>
      <c r="AO1819" s="58" t="n">
        <f aca="false">IF(AN1819="",0,MAX(0,MIN(1,(IF(CF1819="L1",Parameter!$H$5,IF(CF1819="L23",Parameter!$H$6+Parameter!$H$7,Parameter!$H$5+Parameter!$H$6+Parameter!$H$7))-(AN1819-AI1819))/AI1819)))</f>
        <v>0</v>
      </c>
      <c r="AP1819" s="50" t="n">
        <f aca="false">IF(LEFT(Cockpit!$I$5,1)="A",H1819,IF(Parameter!$E$30="MAX-Bestand",IF(CH1819=1,CI1819,IF(LEFT(Cockpit!$I$5,1)="B",AV1819,MAX(AV1819,H1819))),ROUNDUP(AT1819,0)))</f>
        <v>0</v>
      </c>
      <c r="AQ1819" s="50" t="n">
        <f aca="false">IF(BZ1819=1,0,ROUNDUP(AP1819/BY1819,0))</f>
        <v>0</v>
      </c>
      <c r="AR1819" s="52" t="n">
        <f aca="false">IF(CQ1819&gt;0,CQ1819*MAX(1,AP1819/X1819),IF(BZ1819=1,IF(AP1819&lt;=0,0,CD1819*MAX(1,IF(H1819&gt;0,AP1819/H1819,1))),IF(R1819&gt;0,AQ1819/R1819,0))/MAX(0.1,N(Parameter!$M$21)))</f>
        <v>0</v>
      </c>
      <c r="AS1819" s="50" t="n">
        <f aca="false">AR1819*CB1819</f>
        <v>0</v>
      </c>
      <c r="AT1819" s="51" t="n">
        <f aca="false">IF(LEFT(Cockpit!$I$5,1)="A",H1819,IF(CH1819=1,(CK1819+CI1819)/2,IF(LEFT(Cockpit!$I$5,1)="B",(CK1819+AV1819)/2,MAX((CK1819+AV1819)/2,H1819))))</f>
        <v>0</v>
      </c>
      <c r="AU1819" s="50" t="n">
        <f aca="false">AT1819*G1819</f>
        <v>0</v>
      </c>
      <c r="AV1819" s="50" t="n">
        <f aca="false">ROUNDUP(CK1819+MAX(CL1819,2*(J1819/IF(CG1819&gt;0,CG1819,MAX(0.1,N(Cockpit!$I$6)))-CK1819)),0)</f>
        <v>0</v>
      </c>
      <c r="AW1819" s="51" t="n">
        <f aca="false">IF(AS1819&gt;0,J1819/AS1819,-1)</f>
        <v>-1</v>
      </c>
      <c r="AX1819" s="51" t="str">
        <f aca="false">IF(AND(OR(CF1819="L1",CF1819="L23",CF1819="LIFT"),AS1819&gt;0),SUMIFS($AS$7:$AS$1843,$CF$7:$CF$1843,CF1819,$AW$7:$AW$1843,"&gt;"&amp;AW1819)+SUMIFS($AS$7:$AS$1843,$CF$7:$CF$1843,CF1819,$AW$7:$AW$1843,AW1819,$BW$7:$BW$1843,"&lt;="&amp;BW1819),"")</f>
        <v/>
      </c>
      <c r="AY1819" s="58" t="n">
        <f aca="false">IF(AX1819="",0,MAX(0,MIN(1,(IF(CF1819="L1",Parameter!$H$5,IF(CF1819="L23",Parameter!$H$6+Parameter!$H$7,Parameter!$H$5+Parameter!$H$6+Parameter!$H$7))-(AX1819-AS1819))/AS1819)))</f>
        <v>0</v>
      </c>
      <c r="AZ1819" s="50" t="n">
        <f aca="false">IF(LEFT(Cockpit!$O$5,1)="A",H1819,IF(Parameter!$E$30="MAX-Bestand",IF(CH1819=1,CI1819,IF(LEFT(Cockpit!$O$5,1)="B",BF1819,MAX(BF1819,H1819))),ROUNDUP(BD1819,0)))</f>
        <v>0</v>
      </c>
      <c r="BA1819" s="50" t="n">
        <f aca="false">IF(BZ1819=1,0,ROUNDUP(AZ1819/BY1819,0))</f>
        <v>0</v>
      </c>
      <c r="BB1819" s="52" t="n">
        <f aca="false">IF(CQ1819&gt;0,CQ1819*MAX(1,AZ1819/X1819),IF(BZ1819=1,IF(AZ1819&lt;=0,0,CD1819*MAX(1,IF(H1819&gt;0,AZ1819/H1819,1))),IF(R1819&gt;0,BA1819/R1819,0))/MAX(0.1,N(Parameter!$M$21)))</f>
        <v>0</v>
      </c>
      <c r="BC1819" s="50" t="n">
        <f aca="false">BB1819*CB1819</f>
        <v>0</v>
      </c>
      <c r="BD1819" s="51" t="n">
        <f aca="false">IF(LEFT(Cockpit!$O$5,1)="A",H1819,IF(CH1819=1,(CK1819+CI1819)/2,IF(LEFT(Cockpit!$O$5,1)="B",(CK1819+BF1819)/2,MAX((CK1819+BF1819)/2,H1819))))</f>
        <v>0</v>
      </c>
      <c r="BE1819" s="50" t="n">
        <f aca="false">BD1819*G1819</f>
        <v>0</v>
      </c>
      <c r="BF1819" s="50" t="n">
        <f aca="false">ROUNDUP(CK1819+MAX(CL1819,2*(J1819/IF(CG1819&gt;0,CG1819,MAX(0.1,N(Cockpit!$O$6)))-CK1819)),0)</f>
        <v>0</v>
      </c>
      <c r="BG1819" s="51" t="n">
        <f aca="false">IF(BC1819&gt;0,J1819/BC1819,-1)</f>
        <v>-1</v>
      </c>
      <c r="BH1819" s="51" t="str">
        <f aca="false">IF(AND(OR(CF1819="L1",CF1819="L23",CF1819="LIFT"),BC1819&gt;0),SUMIFS($BC$7:$BC$1843,$CF$7:$CF$1843,CF1819,$BG$7:$BG$1843,"&gt;"&amp;BG1819)+SUMIFS($BC$7:$BC$1843,$CF$7:$CF$1843,CF1819,$BG$7:$BG$1843,BG1819,$BW$7:$BW$1843,"&lt;="&amp;BW1819),"")</f>
        <v/>
      </c>
      <c r="BI1819" s="58" t="n">
        <f aca="false">IF(BH1819="",0,MAX(0,MIN(1,(IF(CF1819="L1",Parameter!$H$5,IF(CF1819="L23",Parameter!$H$6+Parameter!$H$7,Parameter!$H$5+Parameter!$H$6+Parameter!$H$7))-(BH1819-BC1819))/BC1819)))</f>
        <v>0</v>
      </c>
      <c r="BJ1819" s="48" t="str">
        <f aca="false">IF(AI1819&lt;=0,"",IF(CF1819="Aussen","Aussenlager",IF(CF1819="-","Nicht im Lift",IF(AO1819&gt;=1,"Lift",IF(AO1819&lt;=0,"Aussenlager","teilweise")))))</f>
        <v/>
      </c>
      <c r="BK1819" s="48" t="str">
        <f aca="false">IF(AS1819&lt;=0,"",IF(CF1819="Aussen","Aussenlager",IF(CF1819="-","Nicht im Lift",IF(AY1819&gt;=1,"Lift",IF(AY1819&lt;=0,"Aussenlager","teilweise")))))</f>
        <v/>
      </c>
      <c r="BL1819" s="48" t="str">
        <f aca="false">IF(BC1819&lt;=0,"",IF(CF1819="Aussen","Aussenlager",IF(CF1819="-","Nicht im Lift",IF(BI1819&gt;=1,"Lift",IF(BI1819&lt;=0,"Aussenlager","teilweise")))))</f>
        <v/>
      </c>
      <c r="BM1819" s="48" t="str">
        <f aca="false">IF(A1819="","",IF(BV1819=1,"Neu; ","")&amp;IF(AND(BV1819=0,BQ1819&lt;0),"negativer Bestand (Export "&amp;BQ1819&amp;"); ","")&amp;IF(J1819&lt;=0,"Kein Verbrauch; ","")&amp;IF(CQ1819&gt;0,"Lift "&amp;W1819&amp;" lt. Liftbericht (Fach "&amp;X1819&amp;" Stk); ",IF(CA1819=1,"Gebinde geschätzt ("&amp;T1819&amp;"); ",IF(BZ1819=1,"Lose – Tablare geschätzt; ","")))&amp;IF(H1819&gt;AV1819,"Überbestand "&amp;ROUND(H1819-AV1819,0)&amp;" Stk / CHF "&amp;ROUND((H1819-AV1819)*G1819,0)&amp;"; ","")&amp;IF(AND(CH1819=1,CI1819&lt;CJ1819),"MAX &lt; MB+LG; ","")&amp;IF(AND(CP1819&gt;0,CO1819*10&gt;CP1819),"zu hoch für Tablar; ","")&amp;IF(AND(BV1819=0,OR(CH1819=1,AA1819&lt;&gt;"",U1819&lt;&gt;"",V1819&lt;&gt;"",AB1819&lt;&gt;"")),"manuell übersteuert; ","")&amp;IF(AND(BZ1819=0,R1819=0),"Gebinde unbekannt / Stellmass fehlt; ","")&amp;IF(AND(BZ1819=0,N(V1819)&lt;=0,N(Q1819)&lt;=0),"Menge pro Gebinde fehlt (Ist = 1 Gebinde); ","")&amp;BU1819)</f>
        <v/>
      </c>
      <c r="BN1819" s="48"/>
      <c r="BO1819" s="48"/>
      <c r="BP1819" s="55"/>
      <c r="BQ1819" s="50" t="n">
        <f aca="false">N('Neue Artikel'!$D$80)</f>
        <v>0</v>
      </c>
      <c r="BR1819" s="50" t="n">
        <v>0</v>
      </c>
      <c r="BS1819" s="49" t="n">
        <v>0</v>
      </c>
      <c r="BT1819" s="50" t="n">
        <f aca="false">N('Neue Artikel'!$C$80)/Parameter!$B$18</f>
        <v>0</v>
      </c>
      <c r="BU1819" s="48"/>
      <c r="BV1819" s="53" t="n">
        <v>1</v>
      </c>
      <c r="BW1819" s="53" t="n">
        <v>1819</v>
      </c>
      <c r="BX1819" s="48" t="str">
        <f aca="false">IF(U1819&lt;&gt;"",UPPER(TRIM(U1819)),IF(CA1819=1,UPPER(VLOOKUP(T1819,Parameter!$I$27:$K$29,2,0)),IF(P1819="","LOSE",P1819)))</f>
        <v>LOSE</v>
      </c>
      <c r="BY1819" s="50" t="n">
        <f aca="false">IF(BX1819="LOSE",1,IF(N(V1819)&gt;0,V1819,IF(CA1819=1,MAX(1,N(VLOOKUP(T1819,Parameter!$I$27:$K$29,3,0)),H1819,N(N1819)),IF(N(Q1819)&gt;0,Q1819,MAX(1,H1819)))))</f>
        <v>1</v>
      </c>
      <c r="BZ1819" s="53" t="n">
        <f aca="false">IF(BX1819="LOSE",1,0)</f>
        <v>1</v>
      </c>
      <c r="CA1819" s="53" t="n">
        <f aca="false">IF(AND(U1819="",OR(P1819="",P1819="LOSE"),T1819&lt;&gt;"",N(S1819)&lt;=0,ISNUMBER(MATCH(T1819,Parameter!$I$27:$I$29,0))),1,0)</f>
        <v>0</v>
      </c>
      <c r="CB1819" s="53" t="n">
        <f aca="false">IF(CQ1819&gt;0,INDEX(Parameter!$H$5:$H$7,W1819)/INDEX(Parameter!$E$5:$E$7,W1819),IF(AND(BZ1819=0,N(IFERROR(VLOOKUP(BX1819,'Gebinde-Kategorie'!$A$5:$N$45,14,0),0))&gt;0),VLOOKUP(BX1819,'Gebinde-Kategorie'!$A$5:$N$45,14,0)*10+Parameter!$M$23,Parameter!$M$24))</f>
        <v>235</v>
      </c>
      <c r="CC1819" s="48" t="str">
        <f aca="false">IF(AND(Parameter!$B$19="Ja",E1819&lt;&gt;"",ISNUMBER(MATCH(E1819,Parameter!$I$35:$I$52,0))),VLOOKUP(E1819,Parameter!$I$35:$J$52,2,0),IFERROR(VLOOKUP(D1819,Parameter!$A$35:$C$64,2,0),"Nein"))</f>
        <v>2+3</v>
      </c>
      <c r="CD1819" s="52" t="n">
        <f aca="false">IF(BZ1819=0,0,IF(N(S1819)&gt;0,S1819,IFERROR(VLOOKUP(D1819,Parameter!$A$35:$C$64,3,0)+0,0)))</f>
        <v>0.15</v>
      </c>
      <c r="CE1819" s="48" t="str">
        <f aca="false">IF(AA1819&lt;&gt;"",AA1819,Z1819)</f>
        <v/>
      </c>
      <c r="CF1819" s="48" t="str">
        <f aca="false">IF(OR(CE1819=1,CE1819=2,CE1819=3),IF(Parameter!$E$27="Ja","LIFT",IF(CE1819=1,"L1","L23")),IF(CE1819="Aussen","Aussen","-"))</f>
        <v>-</v>
      </c>
      <c r="CG1819" s="59" t="n">
        <f aca="false">IF(N(AB1819)&gt;0,AB1819,0)</f>
        <v>0</v>
      </c>
      <c r="CH1819" s="53" t="n">
        <f aca="false">IF(ISNUMBER(AE1819),1,0)</f>
        <v>0</v>
      </c>
      <c r="CI1819" s="50" t="n">
        <f aca="false">N(AE1819)</f>
        <v>0</v>
      </c>
      <c r="CJ1819" s="50" t="n">
        <f aca="false">N(M1819)+N(N1819)</f>
        <v>0</v>
      </c>
      <c r="CK1819" s="50" t="n">
        <f aca="false">N(M1819)</f>
        <v>0</v>
      </c>
      <c r="CL1819" s="50" t="n">
        <f aca="false">N(N1819)</f>
        <v>0</v>
      </c>
      <c r="CM1819" s="50" t="n">
        <f aca="false">ROUNDUP(H1819/BY1819,0)</f>
        <v>0</v>
      </c>
      <c r="CN1819" s="50" t="n">
        <f aca="false">ROUNDUP(CI1819/BY1819,0)</f>
        <v>0</v>
      </c>
      <c r="CO1819" s="53" t="n">
        <f aca="false">IF(BZ1819=1,0,IFERROR(VLOOKUP(BX1819,'Gebinde-Kategorie'!$A$5:$N$45,5,0)+0,0))</f>
        <v>0</v>
      </c>
      <c r="CP1819" s="53" t="n">
        <f aca="false">IFERROR(IF(OR(CE1819=1,CE1819=2,CE1819=3),N(INDEX(Parameter!$I$5:$I$7,CE1819)),0),0)</f>
        <v>0</v>
      </c>
      <c r="CQ1819" s="52" t="n">
        <f aca="false">IF(AND(Parameter!$B$21="Ja",ISNUMBER(W1819),N(X1819)&gt;0),IFERROR(N(INDEX(Parameter!$L$5:$L$7,W1819))*INDEX(Parameter!$E$5:$E$7,W1819)*X1819/SUMIFS($X$7:$X$1843,$W$7:$W$1843,W1819),0),0)</f>
        <v>0</v>
      </c>
    </row>
    <row r="1820" customFormat="false" ht="15" hidden="false" customHeight="false" outlineLevel="0" collapsed="false">
      <c r="A1820" s="48" t="str">
        <f aca="false">IF('Neue Artikel'!$A$81="","",'Neue Artikel'!$A$81&amp;"")</f>
        <v/>
      </c>
      <c r="B1820" s="48" t="str">
        <f aca="false">'Neue Artikel'!$B$81&amp;""</f>
        <v/>
      </c>
      <c r="C1820" s="48"/>
      <c r="D1820" s="48" t="s">
        <v>3024</v>
      </c>
      <c r="E1820" s="48"/>
      <c r="F1820" s="48"/>
      <c r="G1820" s="49" t="n">
        <f aca="false">N('Neue Artikel'!$G$81)</f>
        <v>0</v>
      </c>
      <c r="H1820" s="50" t="n">
        <f aca="false">MAX(0,IF(AND(Parameter!$B$21="Ja",ISNUMBER(Y1820)),Y1820,IF(Parameter!$B$20="Jahresanfang 2025 + Export",BR1820+BQ1820,BQ1820)))</f>
        <v>0</v>
      </c>
      <c r="I1820" s="50" t="n">
        <f aca="false">H1820*G1820</f>
        <v>0</v>
      </c>
      <c r="J1820" s="50" t="n">
        <f aca="false">BT1820*Parameter!$B$18</f>
        <v>0</v>
      </c>
      <c r="K1820" s="51"/>
      <c r="L1820" s="52"/>
      <c r="M1820" s="50" t="n">
        <f aca="false">N('Neue Artikel'!$E$81)</f>
        <v>0</v>
      </c>
      <c r="N1820" s="50" t="n">
        <f aca="false">N('Neue Artikel'!$F$81)</f>
        <v>0</v>
      </c>
      <c r="O1820" s="53"/>
      <c r="P1820" s="48" t="str">
        <f aca="false">IF('Neue Artikel'!$H$81="","LOSE",UPPER(TRIM('Neue Artikel'!$H$81)))</f>
        <v>LOSE</v>
      </c>
      <c r="Q1820" s="50" t="n">
        <f aca="false">N('Neue Artikel'!$I$81)</f>
        <v>0</v>
      </c>
      <c r="R1820" s="53" t="n">
        <f aca="false">IF(BZ1820=1,0,IFERROR(VLOOKUP(BX1820,'Gebinde-Kategorie'!$A$5:$N$45,13,0)+0,0))</f>
        <v>0</v>
      </c>
      <c r="S1820" s="54"/>
      <c r="T1820" s="55"/>
      <c r="U1820" s="55"/>
      <c r="V1820" s="55"/>
      <c r="W1820" s="48"/>
      <c r="X1820" s="50"/>
      <c r="Y1820" s="50"/>
      <c r="Z1820" s="48" t="str">
        <f aca="false">IF(A1820="","",IF(AND(Parameter!$B$21="Ja",ISNUMBER(W1820)),W1820,IF(CC1820="2+3",IF(ISNUMBER(SEARCH("grosser Artikel",BU1820)),2,IFERROR(VLOOKUP(BX1820,Parameter!$F$35:$G$64,2,0),2)),IF(OR(CC1820="Nein",CC1820=""),"-",CC1820))))</f>
        <v/>
      </c>
      <c r="AA1820" s="48" t="str">
        <f aca="false">IF('Neue Artikel'!$J$81="","",'Neue Artikel'!$J$81)</f>
        <v/>
      </c>
      <c r="AB1820" s="56"/>
      <c r="AC1820" s="50" t="n">
        <f aca="false">AV1820</f>
        <v>0</v>
      </c>
      <c r="AD1820" s="50" t="n">
        <f aca="false">MAX(AV1820,H1820)</f>
        <v>0</v>
      </c>
      <c r="AE1820" s="57"/>
      <c r="AF1820" s="50" t="n">
        <f aca="false">IF(LEFT(Cockpit!$C$5,1)="A",H1820,IF(Parameter!$E$30="MAX-Bestand",IF(CH1820=1,CI1820,IF(LEFT(Cockpit!$C$5,1)="B",AL1820,MAX(AL1820,H1820))),ROUNDUP(AJ1820,0)))</f>
        <v>0</v>
      </c>
      <c r="AG1820" s="50" t="n">
        <f aca="false">IF(BZ1820=1,0,ROUNDUP(AF1820/BY1820,0))</f>
        <v>0</v>
      </c>
      <c r="AH1820" s="52" t="n">
        <f aca="false">IF(CQ1820&gt;0,CQ1820*MAX(1,AF1820/X1820),IF(BZ1820=1,IF(AF1820&lt;=0,0,CD1820*MAX(1,IF(H1820&gt;0,AF1820/H1820,1))),IF(R1820&gt;0,AG1820/R1820,0))/MAX(0.1,N(Parameter!$M$21)))</f>
        <v>0</v>
      </c>
      <c r="AI1820" s="50" t="n">
        <f aca="false">AH1820*CB1820</f>
        <v>0</v>
      </c>
      <c r="AJ1820" s="51" t="n">
        <f aca="false">IF(LEFT(Cockpit!$C$5,1)="A",H1820,IF(CH1820=1,(CK1820+CI1820)/2,IF(LEFT(Cockpit!$C$5,1)="B",(CK1820+AL1820)/2,MAX((CK1820+AL1820)/2,H1820))))</f>
        <v>0</v>
      </c>
      <c r="AK1820" s="50" t="n">
        <f aca="false">AJ1820*G1820</f>
        <v>0</v>
      </c>
      <c r="AL1820" s="50" t="n">
        <f aca="false">ROUNDUP(CK1820+MAX(CL1820,2*(J1820/IF(CG1820&gt;0,CG1820,MAX(0.1,N(Cockpit!$C$6)))-CK1820)),0)</f>
        <v>0</v>
      </c>
      <c r="AM1820" s="51" t="n">
        <f aca="false">IF(AI1820&gt;0,J1820/AI1820,-1)</f>
        <v>-1</v>
      </c>
      <c r="AN1820" s="51" t="str">
        <f aca="false">IF(AND(OR(CF1820="L1",CF1820="L23",CF1820="LIFT"),AI1820&gt;0),SUMIFS($AI$7:$AI$1843,$CF$7:$CF$1843,CF1820,$AM$7:$AM$1843,"&gt;"&amp;AM1820)+SUMIFS($AI$7:$AI$1843,$CF$7:$CF$1843,CF1820,$AM$7:$AM$1843,AM1820,$BW$7:$BW$1843,"&lt;="&amp;BW1820),"")</f>
        <v/>
      </c>
      <c r="AO1820" s="58" t="n">
        <f aca="false">IF(AN1820="",0,MAX(0,MIN(1,(IF(CF1820="L1",Parameter!$H$5,IF(CF1820="L23",Parameter!$H$6+Parameter!$H$7,Parameter!$H$5+Parameter!$H$6+Parameter!$H$7))-(AN1820-AI1820))/AI1820)))</f>
        <v>0</v>
      </c>
      <c r="AP1820" s="50" t="n">
        <f aca="false">IF(LEFT(Cockpit!$I$5,1)="A",H1820,IF(Parameter!$E$30="MAX-Bestand",IF(CH1820=1,CI1820,IF(LEFT(Cockpit!$I$5,1)="B",AV1820,MAX(AV1820,H1820))),ROUNDUP(AT1820,0)))</f>
        <v>0</v>
      </c>
      <c r="AQ1820" s="50" t="n">
        <f aca="false">IF(BZ1820=1,0,ROUNDUP(AP1820/BY1820,0))</f>
        <v>0</v>
      </c>
      <c r="AR1820" s="52" t="n">
        <f aca="false">IF(CQ1820&gt;0,CQ1820*MAX(1,AP1820/X1820),IF(BZ1820=1,IF(AP1820&lt;=0,0,CD1820*MAX(1,IF(H1820&gt;0,AP1820/H1820,1))),IF(R1820&gt;0,AQ1820/R1820,0))/MAX(0.1,N(Parameter!$M$21)))</f>
        <v>0</v>
      </c>
      <c r="AS1820" s="50" t="n">
        <f aca="false">AR1820*CB1820</f>
        <v>0</v>
      </c>
      <c r="AT1820" s="51" t="n">
        <f aca="false">IF(LEFT(Cockpit!$I$5,1)="A",H1820,IF(CH1820=1,(CK1820+CI1820)/2,IF(LEFT(Cockpit!$I$5,1)="B",(CK1820+AV1820)/2,MAX((CK1820+AV1820)/2,H1820))))</f>
        <v>0</v>
      </c>
      <c r="AU1820" s="50" t="n">
        <f aca="false">AT1820*G1820</f>
        <v>0</v>
      </c>
      <c r="AV1820" s="50" t="n">
        <f aca="false">ROUNDUP(CK1820+MAX(CL1820,2*(J1820/IF(CG1820&gt;0,CG1820,MAX(0.1,N(Cockpit!$I$6)))-CK1820)),0)</f>
        <v>0</v>
      </c>
      <c r="AW1820" s="51" t="n">
        <f aca="false">IF(AS1820&gt;0,J1820/AS1820,-1)</f>
        <v>-1</v>
      </c>
      <c r="AX1820" s="51" t="str">
        <f aca="false">IF(AND(OR(CF1820="L1",CF1820="L23",CF1820="LIFT"),AS1820&gt;0),SUMIFS($AS$7:$AS$1843,$CF$7:$CF$1843,CF1820,$AW$7:$AW$1843,"&gt;"&amp;AW1820)+SUMIFS($AS$7:$AS$1843,$CF$7:$CF$1843,CF1820,$AW$7:$AW$1843,AW1820,$BW$7:$BW$1843,"&lt;="&amp;BW1820),"")</f>
        <v/>
      </c>
      <c r="AY1820" s="58" t="n">
        <f aca="false">IF(AX1820="",0,MAX(0,MIN(1,(IF(CF1820="L1",Parameter!$H$5,IF(CF1820="L23",Parameter!$H$6+Parameter!$H$7,Parameter!$H$5+Parameter!$H$6+Parameter!$H$7))-(AX1820-AS1820))/AS1820)))</f>
        <v>0</v>
      </c>
      <c r="AZ1820" s="50" t="n">
        <f aca="false">IF(LEFT(Cockpit!$O$5,1)="A",H1820,IF(Parameter!$E$30="MAX-Bestand",IF(CH1820=1,CI1820,IF(LEFT(Cockpit!$O$5,1)="B",BF1820,MAX(BF1820,H1820))),ROUNDUP(BD1820,0)))</f>
        <v>0</v>
      </c>
      <c r="BA1820" s="50" t="n">
        <f aca="false">IF(BZ1820=1,0,ROUNDUP(AZ1820/BY1820,0))</f>
        <v>0</v>
      </c>
      <c r="BB1820" s="52" t="n">
        <f aca="false">IF(CQ1820&gt;0,CQ1820*MAX(1,AZ1820/X1820),IF(BZ1820=1,IF(AZ1820&lt;=0,0,CD1820*MAX(1,IF(H1820&gt;0,AZ1820/H1820,1))),IF(R1820&gt;0,BA1820/R1820,0))/MAX(0.1,N(Parameter!$M$21)))</f>
        <v>0</v>
      </c>
      <c r="BC1820" s="50" t="n">
        <f aca="false">BB1820*CB1820</f>
        <v>0</v>
      </c>
      <c r="BD1820" s="51" t="n">
        <f aca="false">IF(LEFT(Cockpit!$O$5,1)="A",H1820,IF(CH1820=1,(CK1820+CI1820)/2,IF(LEFT(Cockpit!$O$5,1)="B",(CK1820+BF1820)/2,MAX((CK1820+BF1820)/2,H1820))))</f>
        <v>0</v>
      </c>
      <c r="BE1820" s="50" t="n">
        <f aca="false">BD1820*G1820</f>
        <v>0</v>
      </c>
      <c r="BF1820" s="50" t="n">
        <f aca="false">ROUNDUP(CK1820+MAX(CL1820,2*(J1820/IF(CG1820&gt;0,CG1820,MAX(0.1,N(Cockpit!$O$6)))-CK1820)),0)</f>
        <v>0</v>
      </c>
      <c r="BG1820" s="51" t="n">
        <f aca="false">IF(BC1820&gt;0,J1820/BC1820,-1)</f>
        <v>-1</v>
      </c>
      <c r="BH1820" s="51" t="str">
        <f aca="false">IF(AND(OR(CF1820="L1",CF1820="L23",CF1820="LIFT"),BC1820&gt;0),SUMIFS($BC$7:$BC$1843,$CF$7:$CF$1843,CF1820,$BG$7:$BG$1843,"&gt;"&amp;BG1820)+SUMIFS($BC$7:$BC$1843,$CF$7:$CF$1843,CF1820,$BG$7:$BG$1843,BG1820,$BW$7:$BW$1843,"&lt;="&amp;BW1820),"")</f>
        <v/>
      </c>
      <c r="BI1820" s="58" t="n">
        <f aca="false">IF(BH1820="",0,MAX(0,MIN(1,(IF(CF1820="L1",Parameter!$H$5,IF(CF1820="L23",Parameter!$H$6+Parameter!$H$7,Parameter!$H$5+Parameter!$H$6+Parameter!$H$7))-(BH1820-BC1820))/BC1820)))</f>
        <v>0</v>
      </c>
      <c r="BJ1820" s="48" t="str">
        <f aca="false">IF(AI1820&lt;=0,"",IF(CF1820="Aussen","Aussenlager",IF(CF1820="-","Nicht im Lift",IF(AO1820&gt;=1,"Lift",IF(AO1820&lt;=0,"Aussenlager","teilweise")))))</f>
        <v/>
      </c>
      <c r="BK1820" s="48" t="str">
        <f aca="false">IF(AS1820&lt;=0,"",IF(CF1820="Aussen","Aussenlager",IF(CF1820="-","Nicht im Lift",IF(AY1820&gt;=1,"Lift",IF(AY1820&lt;=0,"Aussenlager","teilweise")))))</f>
        <v/>
      </c>
      <c r="BL1820" s="48" t="str">
        <f aca="false">IF(BC1820&lt;=0,"",IF(CF1820="Aussen","Aussenlager",IF(CF1820="-","Nicht im Lift",IF(BI1820&gt;=1,"Lift",IF(BI1820&lt;=0,"Aussenlager","teilweise")))))</f>
        <v/>
      </c>
      <c r="BM1820" s="48" t="str">
        <f aca="false">IF(A1820="","",IF(BV1820=1,"Neu; ","")&amp;IF(AND(BV1820=0,BQ1820&lt;0),"negativer Bestand (Export "&amp;BQ1820&amp;"); ","")&amp;IF(J1820&lt;=0,"Kein Verbrauch; ","")&amp;IF(CQ1820&gt;0,"Lift "&amp;W1820&amp;" lt. Liftbericht (Fach "&amp;X1820&amp;" Stk); ",IF(CA1820=1,"Gebinde geschätzt ("&amp;T1820&amp;"); ",IF(BZ1820=1,"Lose – Tablare geschätzt; ","")))&amp;IF(H1820&gt;AV1820,"Überbestand "&amp;ROUND(H1820-AV1820,0)&amp;" Stk / CHF "&amp;ROUND((H1820-AV1820)*G1820,0)&amp;"; ","")&amp;IF(AND(CH1820=1,CI1820&lt;CJ1820),"MAX &lt; MB+LG; ","")&amp;IF(AND(CP1820&gt;0,CO1820*10&gt;CP1820),"zu hoch für Tablar; ","")&amp;IF(AND(BV1820=0,OR(CH1820=1,AA1820&lt;&gt;"",U1820&lt;&gt;"",V1820&lt;&gt;"",AB1820&lt;&gt;"")),"manuell übersteuert; ","")&amp;IF(AND(BZ1820=0,R1820=0),"Gebinde unbekannt / Stellmass fehlt; ","")&amp;IF(AND(BZ1820=0,N(V1820)&lt;=0,N(Q1820)&lt;=0),"Menge pro Gebinde fehlt (Ist = 1 Gebinde); ","")&amp;BU1820)</f>
        <v/>
      </c>
      <c r="BN1820" s="48"/>
      <c r="BO1820" s="48"/>
      <c r="BP1820" s="55"/>
      <c r="BQ1820" s="50" t="n">
        <f aca="false">N('Neue Artikel'!$D$81)</f>
        <v>0</v>
      </c>
      <c r="BR1820" s="50" t="n">
        <v>0</v>
      </c>
      <c r="BS1820" s="49" t="n">
        <v>0</v>
      </c>
      <c r="BT1820" s="50" t="n">
        <f aca="false">N('Neue Artikel'!$C$81)/Parameter!$B$18</f>
        <v>0</v>
      </c>
      <c r="BU1820" s="48"/>
      <c r="BV1820" s="53" t="n">
        <v>1</v>
      </c>
      <c r="BW1820" s="53" t="n">
        <v>1820</v>
      </c>
      <c r="BX1820" s="48" t="str">
        <f aca="false">IF(U1820&lt;&gt;"",UPPER(TRIM(U1820)),IF(CA1820=1,UPPER(VLOOKUP(T1820,Parameter!$I$27:$K$29,2,0)),IF(P1820="","LOSE",P1820)))</f>
        <v>LOSE</v>
      </c>
      <c r="BY1820" s="50" t="n">
        <f aca="false">IF(BX1820="LOSE",1,IF(N(V1820)&gt;0,V1820,IF(CA1820=1,MAX(1,N(VLOOKUP(T1820,Parameter!$I$27:$K$29,3,0)),H1820,N(N1820)),IF(N(Q1820)&gt;0,Q1820,MAX(1,H1820)))))</f>
        <v>1</v>
      </c>
      <c r="BZ1820" s="53" t="n">
        <f aca="false">IF(BX1820="LOSE",1,0)</f>
        <v>1</v>
      </c>
      <c r="CA1820" s="53" t="n">
        <f aca="false">IF(AND(U1820="",OR(P1820="",P1820="LOSE"),T1820&lt;&gt;"",N(S1820)&lt;=0,ISNUMBER(MATCH(T1820,Parameter!$I$27:$I$29,0))),1,0)</f>
        <v>0</v>
      </c>
      <c r="CB1820" s="53" t="n">
        <f aca="false">IF(CQ1820&gt;0,INDEX(Parameter!$H$5:$H$7,W1820)/INDEX(Parameter!$E$5:$E$7,W1820),IF(AND(BZ1820=0,N(IFERROR(VLOOKUP(BX1820,'Gebinde-Kategorie'!$A$5:$N$45,14,0),0))&gt;0),VLOOKUP(BX1820,'Gebinde-Kategorie'!$A$5:$N$45,14,0)*10+Parameter!$M$23,Parameter!$M$24))</f>
        <v>235</v>
      </c>
      <c r="CC1820" s="48" t="str">
        <f aca="false">IF(AND(Parameter!$B$19="Ja",E1820&lt;&gt;"",ISNUMBER(MATCH(E1820,Parameter!$I$35:$I$52,0))),VLOOKUP(E1820,Parameter!$I$35:$J$52,2,0),IFERROR(VLOOKUP(D1820,Parameter!$A$35:$C$64,2,0),"Nein"))</f>
        <v>2+3</v>
      </c>
      <c r="CD1820" s="52" t="n">
        <f aca="false">IF(BZ1820=0,0,IF(N(S1820)&gt;0,S1820,IFERROR(VLOOKUP(D1820,Parameter!$A$35:$C$64,3,0)+0,0)))</f>
        <v>0.15</v>
      </c>
      <c r="CE1820" s="48" t="str">
        <f aca="false">IF(AA1820&lt;&gt;"",AA1820,Z1820)</f>
        <v/>
      </c>
      <c r="CF1820" s="48" t="str">
        <f aca="false">IF(OR(CE1820=1,CE1820=2,CE1820=3),IF(Parameter!$E$27="Ja","LIFT",IF(CE1820=1,"L1","L23")),IF(CE1820="Aussen","Aussen","-"))</f>
        <v>-</v>
      </c>
      <c r="CG1820" s="59" t="n">
        <f aca="false">IF(N(AB1820)&gt;0,AB1820,0)</f>
        <v>0</v>
      </c>
      <c r="CH1820" s="53" t="n">
        <f aca="false">IF(ISNUMBER(AE1820),1,0)</f>
        <v>0</v>
      </c>
      <c r="CI1820" s="50" t="n">
        <f aca="false">N(AE1820)</f>
        <v>0</v>
      </c>
      <c r="CJ1820" s="50" t="n">
        <f aca="false">N(M1820)+N(N1820)</f>
        <v>0</v>
      </c>
      <c r="CK1820" s="50" t="n">
        <f aca="false">N(M1820)</f>
        <v>0</v>
      </c>
      <c r="CL1820" s="50" t="n">
        <f aca="false">N(N1820)</f>
        <v>0</v>
      </c>
      <c r="CM1820" s="50" t="n">
        <f aca="false">ROUNDUP(H1820/BY1820,0)</f>
        <v>0</v>
      </c>
      <c r="CN1820" s="50" t="n">
        <f aca="false">ROUNDUP(CI1820/BY1820,0)</f>
        <v>0</v>
      </c>
      <c r="CO1820" s="53" t="n">
        <f aca="false">IF(BZ1820=1,0,IFERROR(VLOOKUP(BX1820,'Gebinde-Kategorie'!$A$5:$N$45,5,0)+0,0))</f>
        <v>0</v>
      </c>
      <c r="CP1820" s="53" t="n">
        <f aca="false">IFERROR(IF(OR(CE1820=1,CE1820=2,CE1820=3),N(INDEX(Parameter!$I$5:$I$7,CE1820)),0),0)</f>
        <v>0</v>
      </c>
      <c r="CQ1820" s="52" t="n">
        <f aca="false">IF(AND(Parameter!$B$21="Ja",ISNUMBER(W1820),N(X1820)&gt;0),IFERROR(N(INDEX(Parameter!$L$5:$L$7,W1820))*INDEX(Parameter!$E$5:$E$7,W1820)*X1820/SUMIFS($X$7:$X$1843,$W$7:$W$1843,W1820),0),0)</f>
        <v>0</v>
      </c>
    </row>
    <row r="1821" customFormat="false" ht="15" hidden="false" customHeight="false" outlineLevel="0" collapsed="false">
      <c r="A1821" s="48" t="str">
        <f aca="false">IF('Neue Artikel'!$A$82="","",'Neue Artikel'!$A$82&amp;"")</f>
        <v/>
      </c>
      <c r="B1821" s="48" t="str">
        <f aca="false">'Neue Artikel'!$B$82&amp;""</f>
        <v/>
      </c>
      <c r="C1821" s="48"/>
      <c r="D1821" s="48" t="s">
        <v>3024</v>
      </c>
      <c r="E1821" s="48"/>
      <c r="F1821" s="48"/>
      <c r="G1821" s="49" t="n">
        <f aca="false">N('Neue Artikel'!$G$82)</f>
        <v>0</v>
      </c>
      <c r="H1821" s="50" t="n">
        <f aca="false">MAX(0,IF(AND(Parameter!$B$21="Ja",ISNUMBER(Y1821)),Y1821,IF(Parameter!$B$20="Jahresanfang 2025 + Export",BR1821+BQ1821,BQ1821)))</f>
        <v>0</v>
      </c>
      <c r="I1821" s="50" t="n">
        <f aca="false">H1821*G1821</f>
        <v>0</v>
      </c>
      <c r="J1821" s="50" t="n">
        <f aca="false">BT1821*Parameter!$B$18</f>
        <v>0</v>
      </c>
      <c r="K1821" s="51"/>
      <c r="L1821" s="52"/>
      <c r="M1821" s="50" t="n">
        <f aca="false">N('Neue Artikel'!$E$82)</f>
        <v>0</v>
      </c>
      <c r="N1821" s="50" t="n">
        <f aca="false">N('Neue Artikel'!$F$82)</f>
        <v>0</v>
      </c>
      <c r="O1821" s="53"/>
      <c r="P1821" s="48" t="str">
        <f aca="false">IF('Neue Artikel'!$H$82="","LOSE",UPPER(TRIM('Neue Artikel'!$H$82)))</f>
        <v>LOSE</v>
      </c>
      <c r="Q1821" s="50" t="n">
        <f aca="false">N('Neue Artikel'!$I$82)</f>
        <v>0</v>
      </c>
      <c r="R1821" s="53" t="n">
        <f aca="false">IF(BZ1821=1,0,IFERROR(VLOOKUP(BX1821,'Gebinde-Kategorie'!$A$5:$N$45,13,0)+0,0))</f>
        <v>0</v>
      </c>
      <c r="S1821" s="54"/>
      <c r="T1821" s="55"/>
      <c r="U1821" s="55"/>
      <c r="V1821" s="55"/>
      <c r="W1821" s="48"/>
      <c r="X1821" s="50"/>
      <c r="Y1821" s="50"/>
      <c r="Z1821" s="48" t="str">
        <f aca="false">IF(A1821="","",IF(AND(Parameter!$B$21="Ja",ISNUMBER(W1821)),W1821,IF(CC1821="2+3",IF(ISNUMBER(SEARCH("grosser Artikel",BU1821)),2,IFERROR(VLOOKUP(BX1821,Parameter!$F$35:$G$64,2,0),2)),IF(OR(CC1821="Nein",CC1821=""),"-",CC1821))))</f>
        <v/>
      </c>
      <c r="AA1821" s="48" t="str">
        <f aca="false">IF('Neue Artikel'!$J$82="","",'Neue Artikel'!$J$82)</f>
        <v/>
      </c>
      <c r="AB1821" s="56"/>
      <c r="AC1821" s="50" t="n">
        <f aca="false">AV1821</f>
        <v>0</v>
      </c>
      <c r="AD1821" s="50" t="n">
        <f aca="false">MAX(AV1821,H1821)</f>
        <v>0</v>
      </c>
      <c r="AE1821" s="57"/>
      <c r="AF1821" s="50" t="n">
        <f aca="false">IF(LEFT(Cockpit!$C$5,1)="A",H1821,IF(Parameter!$E$30="MAX-Bestand",IF(CH1821=1,CI1821,IF(LEFT(Cockpit!$C$5,1)="B",AL1821,MAX(AL1821,H1821))),ROUNDUP(AJ1821,0)))</f>
        <v>0</v>
      </c>
      <c r="AG1821" s="50" t="n">
        <f aca="false">IF(BZ1821=1,0,ROUNDUP(AF1821/BY1821,0))</f>
        <v>0</v>
      </c>
      <c r="AH1821" s="52" t="n">
        <f aca="false">IF(CQ1821&gt;0,CQ1821*MAX(1,AF1821/X1821),IF(BZ1821=1,IF(AF1821&lt;=0,0,CD1821*MAX(1,IF(H1821&gt;0,AF1821/H1821,1))),IF(R1821&gt;0,AG1821/R1821,0))/MAX(0.1,N(Parameter!$M$21)))</f>
        <v>0</v>
      </c>
      <c r="AI1821" s="50" t="n">
        <f aca="false">AH1821*CB1821</f>
        <v>0</v>
      </c>
      <c r="AJ1821" s="51" t="n">
        <f aca="false">IF(LEFT(Cockpit!$C$5,1)="A",H1821,IF(CH1821=1,(CK1821+CI1821)/2,IF(LEFT(Cockpit!$C$5,1)="B",(CK1821+AL1821)/2,MAX((CK1821+AL1821)/2,H1821))))</f>
        <v>0</v>
      </c>
      <c r="AK1821" s="50" t="n">
        <f aca="false">AJ1821*G1821</f>
        <v>0</v>
      </c>
      <c r="AL1821" s="50" t="n">
        <f aca="false">ROUNDUP(CK1821+MAX(CL1821,2*(J1821/IF(CG1821&gt;0,CG1821,MAX(0.1,N(Cockpit!$C$6)))-CK1821)),0)</f>
        <v>0</v>
      </c>
      <c r="AM1821" s="51" t="n">
        <f aca="false">IF(AI1821&gt;0,J1821/AI1821,-1)</f>
        <v>-1</v>
      </c>
      <c r="AN1821" s="51" t="str">
        <f aca="false">IF(AND(OR(CF1821="L1",CF1821="L23",CF1821="LIFT"),AI1821&gt;0),SUMIFS($AI$7:$AI$1843,$CF$7:$CF$1843,CF1821,$AM$7:$AM$1843,"&gt;"&amp;AM1821)+SUMIFS($AI$7:$AI$1843,$CF$7:$CF$1843,CF1821,$AM$7:$AM$1843,AM1821,$BW$7:$BW$1843,"&lt;="&amp;BW1821),"")</f>
        <v/>
      </c>
      <c r="AO1821" s="58" t="n">
        <f aca="false">IF(AN1821="",0,MAX(0,MIN(1,(IF(CF1821="L1",Parameter!$H$5,IF(CF1821="L23",Parameter!$H$6+Parameter!$H$7,Parameter!$H$5+Parameter!$H$6+Parameter!$H$7))-(AN1821-AI1821))/AI1821)))</f>
        <v>0</v>
      </c>
      <c r="AP1821" s="50" t="n">
        <f aca="false">IF(LEFT(Cockpit!$I$5,1)="A",H1821,IF(Parameter!$E$30="MAX-Bestand",IF(CH1821=1,CI1821,IF(LEFT(Cockpit!$I$5,1)="B",AV1821,MAX(AV1821,H1821))),ROUNDUP(AT1821,0)))</f>
        <v>0</v>
      </c>
      <c r="AQ1821" s="50" t="n">
        <f aca="false">IF(BZ1821=1,0,ROUNDUP(AP1821/BY1821,0))</f>
        <v>0</v>
      </c>
      <c r="AR1821" s="52" t="n">
        <f aca="false">IF(CQ1821&gt;0,CQ1821*MAX(1,AP1821/X1821),IF(BZ1821=1,IF(AP1821&lt;=0,0,CD1821*MAX(1,IF(H1821&gt;0,AP1821/H1821,1))),IF(R1821&gt;0,AQ1821/R1821,0))/MAX(0.1,N(Parameter!$M$21)))</f>
        <v>0</v>
      </c>
      <c r="AS1821" s="50" t="n">
        <f aca="false">AR1821*CB1821</f>
        <v>0</v>
      </c>
      <c r="AT1821" s="51" t="n">
        <f aca="false">IF(LEFT(Cockpit!$I$5,1)="A",H1821,IF(CH1821=1,(CK1821+CI1821)/2,IF(LEFT(Cockpit!$I$5,1)="B",(CK1821+AV1821)/2,MAX((CK1821+AV1821)/2,H1821))))</f>
        <v>0</v>
      </c>
      <c r="AU1821" s="50" t="n">
        <f aca="false">AT1821*G1821</f>
        <v>0</v>
      </c>
      <c r="AV1821" s="50" t="n">
        <f aca="false">ROUNDUP(CK1821+MAX(CL1821,2*(J1821/IF(CG1821&gt;0,CG1821,MAX(0.1,N(Cockpit!$I$6)))-CK1821)),0)</f>
        <v>0</v>
      </c>
      <c r="AW1821" s="51" t="n">
        <f aca="false">IF(AS1821&gt;0,J1821/AS1821,-1)</f>
        <v>-1</v>
      </c>
      <c r="AX1821" s="51" t="str">
        <f aca="false">IF(AND(OR(CF1821="L1",CF1821="L23",CF1821="LIFT"),AS1821&gt;0),SUMIFS($AS$7:$AS$1843,$CF$7:$CF$1843,CF1821,$AW$7:$AW$1843,"&gt;"&amp;AW1821)+SUMIFS($AS$7:$AS$1843,$CF$7:$CF$1843,CF1821,$AW$7:$AW$1843,AW1821,$BW$7:$BW$1843,"&lt;="&amp;BW1821),"")</f>
        <v/>
      </c>
      <c r="AY1821" s="58" t="n">
        <f aca="false">IF(AX1821="",0,MAX(0,MIN(1,(IF(CF1821="L1",Parameter!$H$5,IF(CF1821="L23",Parameter!$H$6+Parameter!$H$7,Parameter!$H$5+Parameter!$H$6+Parameter!$H$7))-(AX1821-AS1821))/AS1821)))</f>
        <v>0</v>
      </c>
      <c r="AZ1821" s="50" t="n">
        <f aca="false">IF(LEFT(Cockpit!$O$5,1)="A",H1821,IF(Parameter!$E$30="MAX-Bestand",IF(CH1821=1,CI1821,IF(LEFT(Cockpit!$O$5,1)="B",BF1821,MAX(BF1821,H1821))),ROUNDUP(BD1821,0)))</f>
        <v>0</v>
      </c>
      <c r="BA1821" s="50" t="n">
        <f aca="false">IF(BZ1821=1,0,ROUNDUP(AZ1821/BY1821,0))</f>
        <v>0</v>
      </c>
      <c r="BB1821" s="52" t="n">
        <f aca="false">IF(CQ1821&gt;0,CQ1821*MAX(1,AZ1821/X1821),IF(BZ1821=1,IF(AZ1821&lt;=0,0,CD1821*MAX(1,IF(H1821&gt;0,AZ1821/H1821,1))),IF(R1821&gt;0,BA1821/R1821,0))/MAX(0.1,N(Parameter!$M$21)))</f>
        <v>0</v>
      </c>
      <c r="BC1821" s="50" t="n">
        <f aca="false">BB1821*CB1821</f>
        <v>0</v>
      </c>
      <c r="BD1821" s="51" t="n">
        <f aca="false">IF(LEFT(Cockpit!$O$5,1)="A",H1821,IF(CH1821=1,(CK1821+CI1821)/2,IF(LEFT(Cockpit!$O$5,1)="B",(CK1821+BF1821)/2,MAX((CK1821+BF1821)/2,H1821))))</f>
        <v>0</v>
      </c>
      <c r="BE1821" s="50" t="n">
        <f aca="false">BD1821*G1821</f>
        <v>0</v>
      </c>
      <c r="BF1821" s="50" t="n">
        <f aca="false">ROUNDUP(CK1821+MAX(CL1821,2*(J1821/IF(CG1821&gt;0,CG1821,MAX(0.1,N(Cockpit!$O$6)))-CK1821)),0)</f>
        <v>0</v>
      </c>
      <c r="BG1821" s="51" t="n">
        <f aca="false">IF(BC1821&gt;0,J1821/BC1821,-1)</f>
        <v>-1</v>
      </c>
      <c r="BH1821" s="51" t="str">
        <f aca="false">IF(AND(OR(CF1821="L1",CF1821="L23",CF1821="LIFT"),BC1821&gt;0),SUMIFS($BC$7:$BC$1843,$CF$7:$CF$1843,CF1821,$BG$7:$BG$1843,"&gt;"&amp;BG1821)+SUMIFS($BC$7:$BC$1843,$CF$7:$CF$1843,CF1821,$BG$7:$BG$1843,BG1821,$BW$7:$BW$1843,"&lt;="&amp;BW1821),"")</f>
        <v/>
      </c>
      <c r="BI1821" s="58" t="n">
        <f aca="false">IF(BH1821="",0,MAX(0,MIN(1,(IF(CF1821="L1",Parameter!$H$5,IF(CF1821="L23",Parameter!$H$6+Parameter!$H$7,Parameter!$H$5+Parameter!$H$6+Parameter!$H$7))-(BH1821-BC1821))/BC1821)))</f>
        <v>0</v>
      </c>
      <c r="BJ1821" s="48" t="str">
        <f aca="false">IF(AI1821&lt;=0,"",IF(CF1821="Aussen","Aussenlager",IF(CF1821="-","Nicht im Lift",IF(AO1821&gt;=1,"Lift",IF(AO1821&lt;=0,"Aussenlager","teilweise")))))</f>
        <v/>
      </c>
      <c r="BK1821" s="48" t="str">
        <f aca="false">IF(AS1821&lt;=0,"",IF(CF1821="Aussen","Aussenlager",IF(CF1821="-","Nicht im Lift",IF(AY1821&gt;=1,"Lift",IF(AY1821&lt;=0,"Aussenlager","teilweise")))))</f>
        <v/>
      </c>
      <c r="BL1821" s="48" t="str">
        <f aca="false">IF(BC1821&lt;=0,"",IF(CF1821="Aussen","Aussenlager",IF(CF1821="-","Nicht im Lift",IF(BI1821&gt;=1,"Lift",IF(BI1821&lt;=0,"Aussenlager","teilweise")))))</f>
        <v/>
      </c>
      <c r="BM1821" s="48" t="str">
        <f aca="false">IF(A1821="","",IF(BV1821=1,"Neu; ","")&amp;IF(AND(BV1821=0,BQ1821&lt;0),"negativer Bestand (Export "&amp;BQ1821&amp;"); ","")&amp;IF(J1821&lt;=0,"Kein Verbrauch; ","")&amp;IF(CQ1821&gt;0,"Lift "&amp;W1821&amp;" lt. Liftbericht (Fach "&amp;X1821&amp;" Stk); ",IF(CA1821=1,"Gebinde geschätzt ("&amp;T1821&amp;"); ",IF(BZ1821=1,"Lose – Tablare geschätzt; ","")))&amp;IF(H1821&gt;AV1821,"Überbestand "&amp;ROUND(H1821-AV1821,0)&amp;" Stk / CHF "&amp;ROUND((H1821-AV1821)*G1821,0)&amp;"; ","")&amp;IF(AND(CH1821=1,CI1821&lt;CJ1821),"MAX &lt; MB+LG; ","")&amp;IF(AND(CP1821&gt;0,CO1821*10&gt;CP1821),"zu hoch für Tablar; ","")&amp;IF(AND(BV1821=0,OR(CH1821=1,AA1821&lt;&gt;"",U1821&lt;&gt;"",V1821&lt;&gt;"",AB1821&lt;&gt;"")),"manuell übersteuert; ","")&amp;IF(AND(BZ1821=0,R1821=0),"Gebinde unbekannt / Stellmass fehlt; ","")&amp;IF(AND(BZ1821=0,N(V1821)&lt;=0,N(Q1821)&lt;=0),"Menge pro Gebinde fehlt (Ist = 1 Gebinde); ","")&amp;BU1821)</f>
        <v/>
      </c>
      <c r="BN1821" s="48"/>
      <c r="BO1821" s="48"/>
      <c r="BP1821" s="55"/>
      <c r="BQ1821" s="50" t="n">
        <f aca="false">N('Neue Artikel'!$D$82)</f>
        <v>0</v>
      </c>
      <c r="BR1821" s="50" t="n">
        <v>0</v>
      </c>
      <c r="BS1821" s="49" t="n">
        <v>0</v>
      </c>
      <c r="BT1821" s="50" t="n">
        <f aca="false">N('Neue Artikel'!$C$82)/Parameter!$B$18</f>
        <v>0</v>
      </c>
      <c r="BU1821" s="48"/>
      <c r="BV1821" s="53" t="n">
        <v>1</v>
      </c>
      <c r="BW1821" s="53" t="n">
        <v>1821</v>
      </c>
      <c r="BX1821" s="48" t="str">
        <f aca="false">IF(U1821&lt;&gt;"",UPPER(TRIM(U1821)),IF(CA1821=1,UPPER(VLOOKUP(T1821,Parameter!$I$27:$K$29,2,0)),IF(P1821="","LOSE",P1821)))</f>
        <v>LOSE</v>
      </c>
      <c r="BY1821" s="50" t="n">
        <f aca="false">IF(BX1821="LOSE",1,IF(N(V1821)&gt;0,V1821,IF(CA1821=1,MAX(1,N(VLOOKUP(T1821,Parameter!$I$27:$K$29,3,0)),H1821,N(N1821)),IF(N(Q1821)&gt;0,Q1821,MAX(1,H1821)))))</f>
        <v>1</v>
      </c>
      <c r="BZ1821" s="53" t="n">
        <f aca="false">IF(BX1821="LOSE",1,0)</f>
        <v>1</v>
      </c>
      <c r="CA1821" s="53" t="n">
        <f aca="false">IF(AND(U1821="",OR(P1821="",P1821="LOSE"),T1821&lt;&gt;"",N(S1821)&lt;=0,ISNUMBER(MATCH(T1821,Parameter!$I$27:$I$29,0))),1,0)</f>
        <v>0</v>
      </c>
      <c r="CB1821" s="53" t="n">
        <f aca="false">IF(CQ1821&gt;0,INDEX(Parameter!$H$5:$H$7,W1821)/INDEX(Parameter!$E$5:$E$7,W1821),IF(AND(BZ1821=0,N(IFERROR(VLOOKUP(BX1821,'Gebinde-Kategorie'!$A$5:$N$45,14,0),0))&gt;0),VLOOKUP(BX1821,'Gebinde-Kategorie'!$A$5:$N$45,14,0)*10+Parameter!$M$23,Parameter!$M$24))</f>
        <v>235</v>
      </c>
      <c r="CC1821" s="48" t="str">
        <f aca="false">IF(AND(Parameter!$B$19="Ja",E1821&lt;&gt;"",ISNUMBER(MATCH(E1821,Parameter!$I$35:$I$52,0))),VLOOKUP(E1821,Parameter!$I$35:$J$52,2,0),IFERROR(VLOOKUP(D1821,Parameter!$A$35:$C$64,2,0),"Nein"))</f>
        <v>2+3</v>
      </c>
      <c r="CD1821" s="52" t="n">
        <f aca="false">IF(BZ1821=0,0,IF(N(S1821)&gt;0,S1821,IFERROR(VLOOKUP(D1821,Parameter!$A$35:$C$64,3,0)+0,0)))</f>
        <v>0.15</v>
      </c>
      <c r="CE1821" s="48" t="str">
        <f aca="false">IF(AA1821&lt;&gt;"",AA1821,Z1821)</f>
        <v/>
      </c>
      <c r="CF1821" s="48" t="str">
        <f aca="false">IF(OR(CE1821=1,CE1821=2,CE1821=3),IF(Parameter!$E$27="Ja","LIFT",IF(CE1821=1,"L1","L23")),IF(CE1821="Aussen","Aussen","-"))</f>
        <v>-</v>
      </c>
      <c r="CG1821" s="59" t="n">
        <f aca="false">IF(N(AB1821)&gt;0,AB1821,0)</f>
        <v>0</v>
      </c>
      <c r="CH1821" s="53" t="n">
        <f aca="false">IF(ISNUMBER(AE1821),1,0)</f>
        <v>0</v>
      </c>
      <c r="CI1821" s="50" t="n">
        <f aca="false">N(AE1821)</f>
        <v>0</v>
      </c>
      <c r="CJ1821" s="50" t="n">
        <f aca="false">N(M1821)+N(N1821)</f>
        <v>0</v>
      </c>
      <c r="CK1821" s="50" t="n">
        <f aca="false">N(M1821)</f>
        <v>0</v>
      </c>
      <c r="CL1821" s="50" t="n">
        <f aca="false">N(N1821)</f>
        <v>0</v>
      </c>
      <c r="CM1821" s="50" t="n">
        <f aca="false">ROUNDUP(H1821/BY1821,0)</f>
        <v>0</v>
      </c>
      <c r="CN1821" s="50" t="n">
        <f aca="false">ROUNDUP(CI1821/BY1821,0)</f>
        <v>0</v>
      </c>
      <c r="CO1821" s="53" t="n">
        <f aca="false">IF(BZ1821=1,0,IFERROR(VLOOKUP(BX1821,'Gebinde-Kategorie'!$A$5:$N$45,5,0)+0,0))</f>
        <v>0</v>
      </c>
      <c r="CP1821" s="53" t="n">
        <f aca="false">IFERROR(IF(OR(CE1821=1,CE1821=2,CE1821=3),N(INDEX(Parameter!$I$5:$I$7,CE1821)),0),0)</f>
        <v>0</v>
      </c>
      <c r="CQ1821" s="52" t="n">
        <f aca="false">IF(AND(Parameter!$B$21="Ja",ISNUMBER(W1821),N(X1821)&gt;0),IFERROR(N(INDEX(Parameter!$L$5:$L$7,W1821))*INDEX(Parameter!$E$5:$E$7,W1821)*X1821/SUMIFS($X$7:$X$1843,$W$7:$W$1843,W1821),0),0)</f>
        <v>0</v>
      </c>
    </row>
    <row r="1822" customFormat="false" ht="15" hidden="false" customHeight="false" outlineLevel="0" collapsed="false">
      <c r="A1822" s="48" t="str">
        <f aca="false">IF('Neue Artikel'!$A$83="","",'Neue Artikel'!$A$83&amp;"")</f>
        <v/>
      </c>
      <c r="B1822" s="48" t="str">
        <f aca="false">'Neue Artikel'!$B$83&amp;""</f>
        <v/>
      </c>
      <c r="C1822" s="48"/>
      <c r="D1822" s="48" t="s">
        <v>3024</v>
      </c>
      <c r="E1822" s="48"/>
      <c r="F1822" s="48"/>
      <c r="G1822" s="49" t="n">
        <f aca="false">N('Neue Artikel'!$G$83)</f>
        <v>0</v>
      </c>
      <c r="H1822" s="50" t="n">
        <f aca="false">MAX(0,IF(AND(Parameter!$B$21="Ja",ISNUMBER(Y1822)),Y1822,IF(Parameter!$B$20="Jahresanfang 2025 + Export",BR1822+BQ1822,BQ1822)))</f>
        <v>0</v>
      </c>
      <c r="I1822" s="50" t="n">
        <f aca="false">H1822*G1822</f>
        <v>0</v>
      </c>
      <c r="J1822" s="50" t="n">
        <f aca="false">BT1822*Parameter!$B$18</f>
        <v>0</v>
      </c>
      <c r="K1822" s="51"/>
      <c r="L1822" s="52"/>
      <c r="M1822" s="50" t="n">
        <f aca="false">N('Neue Artikel'!$E$83)</f>
        <v>0</v>
      </c>
      <c r="N1822" s="50" t="n">
        <f aca="false">N('Neue Artikel'!$F$83)</f>
        <v>0</v>
      </c>
      <c r="O1822" s="53"/>
      <c r="P1822" s="48" t="str">
        <f aca="false">IF('Neue Artikel'!$H$83="","LOSE",UPPER(TRIM('Neue Artikel'!$H$83)))</f>
        <v>LOSE</v>
      </c>
      <c r="Q1822" s="50" t="n">
        <f aca="false">N('Neue Artikel'!$I$83)</f>
        <v>0</v>
      </c>
      <c r="R1822" s="53" t="n">
        <f aca="false">IF(BZ1822=1,0,IFERROR(VLOOKUP(BX1822,'Gebinde-Kategorie'!$A$5:$N$45,13,0)+0,0))</f>
        <v>0</v>
      </c>
      <c r="S1822" s="54"/>
      <c r="T1822" s="55"/>
      <c r="U1822" s="55"/>
      <c r="V1822" s="55"/>
      <c r="W1822" s="48"/>
      <c r="X1822" s="50"/>
      <c r="Y1822" s="50"/>
      <c r="Z1822" s="48" t="str">
        <f aca="false">IF(A1822="","",IF(AND(Parameter!$B$21="Ja",ISNUMBER(W1822)),W1822,IF(CC1822="2+3",IF(ISNUMBER(SEARCH("grosser Artikel",BU1822)),2,IFERROR(VLOOKUP(BX1822,Parameter!$F$35:$G$64,2,0),2)),IF(OR(CC1822="Nein",CC1822=""),"-",CC1822))))</f>
        <v/>
      </c>
      <c r="AA1822" s="48" t="str">
        <f aca="false">IF('Neue Artikel'!$J$83="","",'Neue Artikel'!$J$83)</f>
        <v/>
      </c>
      <c r="AB1822" s="56"/>
      <c r="AC1822" s="50" t="n">
        <f aca="false">AV1822</f>
        <v>0</v>
      </c>
      <c r="AD1822" s="50" t="n">
        <f aca="false">MAX(AV1822,H1822)</f>
        <v>0</v>
      </c>
      <c r="AE1822" s="57"/>
      <c r="AF1822" s="50" t="n">
        <f aca="false">IF(LEFT(Cockpit!$C$5,1)="A",H1822,IF(Parameter!$E$30="MAX-Bestand",IF(CH1822=1,CI1822,IF(LEFT(Cockpit!$C$5,1)="B",AL1822,MAX(AL1822,H1822))),ROUNDUP(AJ1822,0)))</f>
        <v>0</v>
      </c>
      <c r="AG1822" s="50" t="n">
        <f aca="false">IF(BZ1822=1,0,ROUNDUP(AF1822/BY1822,0))</f>
        <v>0</v>
      </c>
      <c r="AH1822" s="52" t="n">
        <f aca="false">IF(CQ1822&gt;0,CQ1822*MAX(1,AF1822/X1822),IF(BZ1822=1,IF(AF1822&lt;=0,0,CD1822*MAX(1,IF(H1822&gt;0,AF1822/H1822,1))),IF(R1822&gt;0,AG1822/R1822,0))/MAX(0.1,N(Parameter!$M$21)))</f>
        <v>0</v>
      </c>
      <c r="AI1822" s="50" t="n">
        <f aca="false">AH1822*CB1822</f>
        <v>0</v>
      </c>
      <c r="AJ1822" s="51" t="n">
        <f aca="false">IF(LEFT(Cockpit!$C$5,1)="A",H1822,IF(CH1822=1,(CK1822+CI1822)/2,IF(LEFT(Cockpit!$C$5,1)="B",(CK1822+AL1822)/2,MAX((CK1822+AL1822)/2,H1822))))</f>
        <v>0</v>
      </c>
      <c r="AK1822" s="50" t="n">
        <f aca="false">AJ1822*G1822</f>
        <v>0</v>
      </c>
      <c r="AL1822" s="50" t="n">
        <f aca="false">ROUNDUP(CK1822+MAX(CL1822,2*(J1822/IF(CG1822&gt;0,CG1822,MAX(0.1,N(Cockpit!$C$6)))-CK1822)),0)</f>
        <v>0</v>
      </c>
      <c r="AM1822" s="51" t="n">
        <f aca="false">IF(AI1822&gt;0,J1822/AI1822,-1)</f>
        <v>-1</v>
      </c>
      <c r="AN1822" s="51" t="str">
        <f aca="false">IF(AND(OR(CF1822="L1",CF1822="L23",CF1822="LIFT"),AI1822&gt;0),SUMIFS($AI$7:$AI$1843,$CF$7:$CF$1843,CF1822,$AM$7:$AM$1843,"&gt;"&amp;AM1822)+SUMIFS($AI$7:$AI$1843,$CF$7:$CF$1843,CF1822,$AM$7:$AM$1843,AM1822,$BW$7:$BW$1843,"&lt;="&amp;BW1822),"")</f>
        <v/>
      </c>
      <c r="AO1822" s="58" t="n">
        <f aca="false">IF(AN1822="",0,MAX(0,MIN(1,(IF(CF1822="L1",Parameter!$H$5,IF(CF1822="L23",Parameter!$H$6+Parameter!$H$7,Parameter!$H$5+Parameter!$H$6+Parameter!$H$7))-(AN1822-AI1822))/AI1822)))</f>
        <v>0</v>
      </c>
      <c r="AP1822" s="50" t="n">
        <f aca="false">IF(LEFT(Cockpit!$I$5,1)="A",H1822,IF(Parameter!$E$30="MAX-Bestand",IF(CH1822=1,CI1822,IF(LEFT(Cockpit!$I$5,1)="B",AV1822,MAX(AV1822,H1822))),ROUNDUP(AT1822,0)))</f>
        <v>0</v>
      </c>
      <c r="AQ1822" s="50" t="n">
        <f aca="false">IF(BZ1822=1,0,ROUNDUP(AP1822/BY1822,0))</f>
        <v>0</v>
      </c>
      <c r="AR1822" s="52" t="n">
        <f aca="false">IF(CQ1822&gt;0,CQ1822*MAX(1,AP1822/X1822),IF(BZ1822=1,IF(AP1822&lt;=0,0,CD1822*MAX(1,IF(H1822&gt;0,AP1822/H1822,1))),IF(R1822&gt;0,AQ1822/R1822,0))/MAX(0.1,N(Parameter!$M$21)))</f>
        <v>0</v>
      </c>
      <c r="AS1822" s="50" t="n">
        <f aca="false">AR1822*CB1822</f>
        <v>0</v>
      </c>
      <c r="AT1822" s="51" t="n">
        <f aca="false">IF(LEFT(Cockpit!$I$5,1)="A",H1822,IF(CH1822=1,(CK1822+CI1822)/2,IF(LEFT(Cockpit!$I$5,1)="B",(CK1822+AV1822)/2,MAX((CK1822+AV1822)/2,H1822))))</f>
        <v>0</v>
      </c>
      <c r="AU1822" s="50" t="n">
        <f aca="false">AT1822*G1822</f>
        <v>0</v>
      </c>
      <c r="AV1822" s="50" t="n">
        <f aca="false">ROUNDUP(CK1822+MAX(CL1822,2*(J1822/IF(CG1822&gt;0,CG1822,MAX(0.1,N(Cockpit!$I$6)))-CK1822)),0)</f>
        <v>0</v>
      </c>
      <c r="AW1822" s="51" t="n">
        <f aca="false">IF(AS1822&gt;0,J1822/AS1822,-1)</f>
        <v>-1</v>
      </c>
      <c r="AX1822" s="51" t="str">
        <f aca="false">IF(AND(OR(CF1822="L1",CF1822="L23",CF1822="LIFT"),AS1822&gt;0),SUMIFS($AS$7:$AS$1843,$CF$7:$CF$1843,CF1822,$AW$7:$AW$1843,"&gt;"&amp;AW1822)+SUMIFS($AS$7:$AS$1843,$CF$7:$CF$1843,CF1822,$AW$7:$AW$1843,AW1822,$BW$7:$BW$1843,"&lt;="&amp;BW1822),"")</f>
        <v/>
      </c>
      <c r="AY1822" s="58" t="n">
        <f aca="false">IF(AX1822="",0,MAX(0,MIN(1,(IF(CF1822="L1",Parameter!$H$5,IF(CF1822="L23",Parameter!$H$6+Parameter!$H$7,Parameter!$H$5+Parameter!$H$6+Parameter!$H$7))-(AX1822-AS1822))/AS1822)))</f>
        <v>0</v>
      </c>
      <c r="AZ1822" s="50" t="n">
        <f aca="false">IF(LEFT(Cockpit!$O$5,1)="A",H1822,IF(Parameter!$E$30="MAX-Bestand",IF(CH1822=1,CI1822,IF(LEFT(Cockpit!$O$5,1)="B",BF1822,MAX(BF1822,H1822))),ROUNDUP(BD1822,0)))</f>
        <v>0</v>
      </c>
      <c r="BA1822" s="50" t="n">
        <f aca="false">IF(BZ1822=1,0,ROUNDUP(AZ1822/BY1822,0))</f>
        <v>0</v>
      </c>
      <c r="BB1822" s="52" t="n">
        <f aca="false">IF(CQ1822&gt;0,CQ1822*MAX(1,AZ1822/X1822),IF(BZ1822=1,IF(AZ1822&lt;=0,0,CD1822*MAX(1,IF(H1822&gt;0,AZ1822/H1822,1))),IF(R1822&gt;0,BA1822/R1822,0))/MAX(0.1,N(Parameter!$M$21)))</f>
        <v>0</v>
      </c>
      <c r="BC1822" s="50" t="n">
        <f aca="false">BB1822*CB1822</f>
        <v>0</v>
      </c>
      <c r="BD1822" s="51" t="n">
        <f aca="false">IF(LEFT(Cockpit!$O$5,1)="A",H1822,IF(CH1822=1,(CK1822+CI1822)/2,IF(LEFT(Cockpit!$O$5,1)="B",(CK1822+BF1822)/2,MAX((CK1822+BF1822)/2,H1822))))</f>
        <v>0</v>
      </c>
      <c r="BE1822" s="50" t="n">
        <f aca="false">BD1822*G1822</f>
        <v>0</v>
      </c>
      <c r="BF1822" s="50" t="n">
        <f aca="false">ROUNDUP(CK1822+MAX(CL1822,2*(J1822/IF(CG1822&gt;0,CG1822,MAX(0.1,N(Cockpit!$O$6)))-CK1822)),0)</f>
        <v>0</v>
      </c>
      <c r="BG1822" s="51" t="n">
        <f aca="false">IF(BC1822&gt;0,J1822/BC1822,-1)</f>
        <v>-1</v>
      </c>
      <c r="BH1822" s="51" t="str">
        <f aca="false">IF(AND(OR(CF1822="L1",CF1822="L23",CF1822="LIFT"),BC1822&gt;0),SUMIFS($BC$7:$BC$1843,$CF$7:$CF$1843,CF1822,$BG$7:$BG$1843,"&gt;"&amp;BG1822)+SUMIFS($BC$7:$BC$1843,$CF$7:$CF$1843,CF1822,$BG$7:$BG$1843,BG1822,$BW$7:$BW$1843,"&lt;="&amp;BW1822),"")</f>
        <v/>
      </c>
      <c r="BI1822" s="58" t="n">
        <f aca="false">IF(BH1822="",0,MAX(0,MIN(1,(IF(CF1822="L1",Parameter!$H$5,IF(CF1822="L23",Parameter!$H$6+Parameter!$H$7,Parameter!$H$5+Parameter!$H$6+Parameter!$H$7))-(BH1822-BC1822))/BC1822)))</f>
        <v>0</v>
      </c>
      <c r="BJ1822" s="48" t="str">
        <f aca="false">IF(AI1822&lt;=0,"",IF(CF1822="Aussen","Aussenlager",IF(CF1822="-","Nicht im Lift",IF(AO1822&gt;=1,"Lift",IF(AO1822&lt;=0,"Aussenlager","teilweise")))))</f>
        <v/>
      </c>
      <c r="BK1822" s="48" t="str">
        <f aca="false">IF(AS1822&lt;=0,"",IF(CF1822="Aussen","Aussenlager",IF(CF1822="-","Nicht im Lift",IF(AY1822&gt;=1,"Lift",IF(AY1822&lt;=0,"Aussenlager","teilweise")))))</f>
        <v/>
      </c>
      <c r="BL1822" s="48" t="str">
        <f aca="false">IF(BC1822&lt;=0,"",IF(CF1822="Aussen","Aussenlager",IF(CF1822="-","Nicht im Lift",IF(BI1822&gt;=1,"Lift",IF(BI1822&lt;=0,"Aussenlager","teilweise")))))</f>
        <v/>
      </c>
      <c r="BM1822" s="48" t="str">
        <f aca="false">IF(A1822="","",IF(BV1822=1,"Neu; ","")&amp;IF(AND(BV1822=0,BQ1822&lt;0),"negativer Bestand (Export "&amp;BQ1822&amp;"); ","")&amp;IF(J1822&lt;=0,"Kein Verbrauch; ","")&amp;IF(CQ1822&gt;0,"Lift "&amp;W1822&amp;" lt. Liftbericht (Fach "&amp;X1822&amp;" Stk); ",IF(CA1822=1,"Gebinde geschätzt ("&amp;T1822&amp;"); ",IF(BZ1822=1,"Lose – Tablare geschätzt; ","")))&amp;IF(H1822&gt;AV1822,"Überbestand "&amp;ROUND(H1822-AV1822,0)&amp;" Stk / CHF "&amp;ROUND((H1822-AV1822)*G1822,0)&amp;"; ","")&amp;IF(AND(CH1822=1,CI1822&lt;CJ1822),"MAX &lt; MB+LG; ","")&amp;IF(AND(CP1822&gt;0,CO1822*10&gt;CP1822),"zu hoch für Tablar; ","")&amp;IF(AND(BV1822=0,OR(CH1822=1,AA1822&lt;&gt;"",U1822&lt;&gt;"",V1822&lt;&gt;"",AB1822&lt;&gt;"")),"manuell übersteuert; ","")&amp;IF(AND(BZ1822=0,R1822=0),"Gebinde unbekannt / Stellmass fehlt; ","")&amp;IF(AND(BZ1822=0,N(V1822)&lt;=0,N(Q1822)&lt;=0),"Menge pro Gebinde fehlt (Ist = 1 Gebinde); ","")&amp;BU1822)</f>
        <v/>
      </c>
      <c r="BN1822" s="48"/>
      <c r="BO1822" s="48"/>
      <c r="BP1822" s="55"/>
      <c r="BQ1822" s="50" t="n">
        <f aca="false">N('Neue Artikel'!$D$83)</f>
        <v>0</v>
      </c>
      <c r="BR1822" s="50" t="n">
        <v>0</v>
      </c>
      <c r="BS1822" s="49" t="n">
        <v>0</v>
      </c>
      <c r="BT1822" s="50" t="n">
        <f aca="false">N('Neue Artikel'!$C$83)/Parameter!$B$18</f>
        <v>0</v>
      </c>
      <c r="BU1822" s="48"/>
      <c r="BV1822" s="53" t="n">
        <v>1</v>
      </c>
      <c r="BW1822" s="53" t="n">
        <v>1822</v>
      </c>
      <c r="BX1822" s="48" t="str">
        <f aca="false">IF(U1822&lt;&gt;"",UPPER(TRIM(U1822)),IF(CA1822=1,UPPER(VLOOKUP(T1822,Parameter!$I$27:$K$29,2,0)),IF(P1822="","LOSE",P1822)))</f>
        <v>LOSE</v>
      </c>
      <c r="BY1822" s="50" t="n">
        <f aca="false">IF(BX1822="LOSE",1,IF(N(V1822)&gt;0,V1822,IF(CA1822=1,MAX(1,N(VLOOKUP(T1822,Parameter!$I$27:$K$29,3,0)),H1822,N(N1822)),IF(N(Q1822)&gt;0,Q1822,MAX(1,H1822)))))</f>
        <v>1</v>
      </c>
      <c r="BZ1822" s="53" t="n">
        <f aca="false">IF(BX1822="LOSE",1,0)</f>
        <v>1</v>
      </c>
      <c r="CA1822" s="53" t="n">
        <f aca="false">IF(AND(U1822="",OR(P1822="",P1822="LOSE"),T1822&lt;&gt;"",N(S1822)&lt;=0,ISNUMBER(MATCH(T1822,Parameter!$I$27:$I$29,0))),1,0)</f>
        <v>0</v>
      </c>
      <c r="CB1822" s="53" t="n">
        <f aca="false">IF(CQ1822&gt;0,INDEX(Parameter!$H$5:$H$7,W1822)/INDEX(Parameter!$E$5:$E$7,W1822),IF(AND(BZ1822=0,N(IFERROR(VLOOKUP(BX1822,'Gebinde-Kategorie'!$A$5:$N$45,14,0),0))&gt;0),VLOOKUP(BX1822,'Gebinde-Kategorie'!$A$5:$N$45,14,0)*10+Parameter!$M$23,Parameter!$M$24))</f>
        <v>235</v>
      </c>
      <c r="CC1822" s="48" t="str">
        <f aca="false">IF(AND(Parameter!$B$19="Ja",E1822&lt;&gt;"",ISNUMBER(MATCH(E1822,Parameter!$I$35:$I$52,0))),VLOOKUP(E1822,Parameter!$I$35:$J$52,2,0),IFERROR(VLOOKUP(D1822,Parameter!$A$35:$C$64,2,0),"Nein"))</f>
        <v>2+3</v>
      </c>
      <c r="CD1822" s="52" t="n">
        <f aca="false">IF(BZ1822=0,0,IF(N(S1822)&gt;0,S1822,IFERROR(VLOOKUP(D1822,Parameter!$A$35:$C$64,3,0)+0,0)))</f>
        <v>0.15</v>
      </c>
      <c r="CE1822" s="48" t="str">
        <f aca="false">IF(AA1822&lt;&gt;"",AA1822,Z1822)</f>
        <v/>
      </c>
      <c r="CF1822" s="48" t="str">
        <f aca="false">IF(OR(CE1822=1,CE1822=2,CE1822=3),IF(Parameter!$E$27="Ja","LIFT",IF(CE1822=1,"L1","L23")),IF(CE1822="Aussen","Aussen","-"))</f>
        <v>-</v>
      </c>
      <c r="CG1822" s="59" t="n">
        <f aca="false">IF(N(AB1822)&gt;0,AB1822,0)</f>
        <v>0</v>
      </c>
      <c r="CH1822" s="53" t="n">
        <f aca="false">IF(ISNUMBER(AE1822),1,0)</f>
        <v>0</v>
      </c>
      <c r="CI1822" s="50" t="n">
        <f aca="false">N(AE1822)</f>
        <v>0</v>
      </c>
      <c r="CJ1822" s="50" t="n">
        <f aca="false">N(M1822)+N(N1822)</f>
        <v>0</v>
      </c>
      <c r="CK1822" s="50" t="n">
        <f aca="false">N(M1822)</f>
        <v>0</v>
      </c>
      <c r="CL1822" s="50" t="n">
        <f aca="false">N(N1822)</f>
        <v>0</v>
      </c>
      <c r="CM1822" s="50" t="n">
        <f aca="false">ROUNDUP(H1822/BY1822,0)</f>
        <v>0</v>
      </c>
      <c r="CN1822" s="50" t="n">
        <f aca="false">ROUNDUP(CI1822/BY1822,0)</f>
        <v>0</v>
      </c>
      <c r="CO1822" s="53" t="n">
        <f aca="false">IF(BZ1822=1,0,IFERROR(VLOOKUP(BX1822,'Gebinde-Kategorie'!$A$5:$N$45,5,0)+0,0))</f>
        <v>0</v>
      </c>
      <c r="CP1822" s="53" t="n">
        <f aca="false">IFERROR(IF(OR(CE1822=1,CE1822=2,CE1822=3),N(INDEX(Parameter!$I$5:$I$7,CE1822)),0),0)</f>
        <v>0</v>
      </c>
      <c r="CQ1822" s="52" t="n">
        <f aca="false">IF(AND(Parameter!$B$21="Ja",ISNUMBER(W1822),N(X1822)&gt;0),IFERROR(N(INDEX(Parameter!$L$5:$L$7,W1822))*INDEX(Parameter!$E$5:$E$7,W1822)*X1822/SUMIFS($X$7:$X$1843,$W$7:$W$1843,W1822),0),0)</f>
        <v>0</v>
      </c>
    </row>
    <row r="1823" customFormat="false" ht="15" hidden="false" customHeight="false" outlineLevel="0" collapsed="false">
      <c r="A1823" s="48" t="str">
        <f aca="false">IF('Neue Artikel'!$A$84="","",'Neue Artikel'!$A$84&amp;"")</f>
        <v/>
      </c>
      <c r="B1823" s="48" t="str">
        <f aca="false">'Neue Artikel'!$B$84&amp;""</f>
        <v/>
      </c>
      <c r="C1823" s="48"/>
      <c r="D1823" s="48" t="s">
        <v>3024</v>
      </c>
      <c r="E1823" s="48"/>
      <c r="F1823" s="48"/>
      <c r="G1823" s="49" t="n">
        <f aca="false">N('Neue Artikel'!$G$84)</f>
        <v>0</v>
      </c>
      <c r="H1823" s="50" t="n">
        <f aca="false">MAX(0,IF(AND(Parameter!$B$21="Ja",ISNUMBER(Y1823)),Y1823,IF(Parameter!$B$20="Jahresanfang 2025 + Export",BR1823+BQ1823,BQ1823)))</f>
        <v>0</v>
      </c>
      <c r="I1823" s="50" t="n">
        <f aca="false">H1823*G1823</f>
        <v>0</v>
      </c>
      <c r="J1823" s="50" t="n">
        <f aca="false">BT1823*Parameter!$B$18</f>
        <v>0</v>
      </c>
      <c r="K1823" s="51"/>
      <c r="L1823" s="52"/>
      <c r="M1823" s="50" t="n">
        <f aca="false">N('Neue Artikel'!$E$84)</f>
        <v>0</v>
      </c>
      <c r="N1823" s="50" t="n">
        <f aca="false">N('Neue Artikel'!$F$84)</f>
        <v>0</v>
      </c>
      <c r="O1823" s="53"/>
      <c r="P1823" s="48" t="str">
        <f aca="false">IF('Neue Artikel'!$H$84="","LOSE",UPPER(TRIM('Neue Artikel'!$H$84)))</f>
        <v>LOSE</v>
      </c>
      <c r="Q1823" s="50" t="n">
        <f aca="false">N('Neue Artikel'!$I$84)</f>
        <v>0</v>
      </c>
      <c r="R1823" s="53" t="n">
        <f aca="false">IF(BZ1823=1,0,IFERROR(VLOOKUP(BX1823,'Gebinde-Kategorie'!$A$5:$N$45,13,0)+0,0))</f>
        <v>0</v>
      </c>
      <c r="S1823" s="54"/>
      <c r="T1823" s="55"/>
      <c r="U1823" s="55"/>
      <c r="V1823" s="55"/>
      <c r="W1823" s="48"/>
      <c r="X1823" s="50"/>
      <c r="Y1823" s="50"/>
      <c r="Z1823" s="48" t="str">
        <f aca="false">IF(A1823="","",IF(AND(Parameter!$B$21="Ja",ISNUMBER(W1823)),W1823,IF(CC1823="2+3",IF(ISNUMBER(SEARCH("grosser Artikel",BU1823)),2,IFERROR(VLOOKUP(BX1823,Parameter!$F$35:$G$64,2,0),2)),IF(OR(CC1823="Nein",CC1823=""),"-",CC1823))))</f>
        <v/>
      </c>
      <c r="AA1823" s="48" t="str">
        <f aca="false">IF('Neue Artikel'!$J$84="","",'Neue Artikel'!$J$84)</f>
        <v/>
      </c>
      <c r="AB1823" s="56"/>
      <c r="AC1823" s="50" t="n">
        <f aca="false">AV1823</f>
        <v>0</v>
      </c>
      <c r="AD1823" s="50" t="n">
        <f aca="false">MAX(AV1823,H1823)</f>
        <v>0</v>
      </c>
      <c r="AE1823" s="57"/>
      <c r="AF1823" s="50" t="n">
        <f aca="false">IF(LEFT(Cockpit!$C$5,1)="A",H1823,IF(Parameter!$E$30="MAX-Bestand",IF(CH1823=1,CI1823,IF(LEFT(Cockpit!$C$5,1)="B",AL1823,MAX(AL1823,H1823))),ROUNDUP(AJ1823,0)))</f>
        <v>0</v>
      </c>
      <c r="AG1823" s="50" t="n">
        <f aca="false">IF(BZ1823=1,0,ROUNDUP(AF1823/BY1823,0))</f>
        <v>0</v>
      </c>
      <c r="AH1823" s="52" t="n">
        <f aca="false">IF(CQ1823&gt;0,CQ1823*MAX(1,AF1823/X1823),IF(BZ1823=1,IF(AF1823&lt;=0,0,CD1823*MAX(1,IF(H1823&gt;0,AF1823/H1823,1))),IF(R1823&gt;0,AG1823/R1823,0))/MAX(0.1,N(Parameter!$M$21)))</f>
        <v>0</v>
      </c>
      <c r="AI1823" s="50" t="n">
        <f aca="false">AH1823*CB1823</f>
        <v>0</v>
      </c>
      <c r="AJ1823" s="51" t="n">
        <f aca="false">IF(LEFT(Cockpit!$C$5,1)="A",H1823,IF(CH1823=1,(CK1823+CI1823)/2,IF(LEFT(Cockpit!$C$5,1)="B",(CK1823+AL1823)/2,MAX((CK1823+AL1823)/2,H1823))))</f>
        <v>0</v>
      </c>
      <c r="AK1823" s="50" t="n">
        <f aca="false">AJ1823*G1823</f>
        <v>0</v>
      </c>
      <c r="AL1823" s="50" t="n">
        <f aca="false">ROUNDUP(CK1823+MAX(CL1823,2*(J1823/IF(CG1823&gt;0,CG1823,MAX(0.1,N(Cockpit!$C$6)))-CK1823)),0)</f>
        <v>0</v>
      </c>
      <c r="AM1823" s="51" t="n">
        <f aca="false">IF(AI1823&gt;0,J1823/AI1823,-1)</f>
        <v>-1</v>
      </c>
      <c r="AN1823" s="51" t="str">
        <f aca="false">IF(AND(OR(CF1823="L1",CF1823="L23",CF1823="LIFT"),AI1823&gt;0),SUMIFS($AI$7:$AI$1843,$CF$7:$CF$1843,CF1823,$AM$7:$AM$1843,"&gt;"&amp;AM1823)+SUMIFS($AI$7:$AI$1843,$CF$7:$CF$1843,CF1823,$AM$7:$AM$1843,AM1823,$BW$7:$BW$1843,"&lt;="&amp;BW1823),"")</f>
        <v/>
      </c>
      <c r="AO1823" s="58" t="n">
        <f aca="false">IF(AN1823="",0,MAX(0,MIN(1,(IF(CF1823="L1",Parameter!$H$5,IF(CF1823="L23",Parameter!$H$6+Parameter!$H$7,Parameter!$H$5+Parameter!$H$6+Parameter!$H$7))-(AN1823-AI1823))/AI1823)))</f>
        <v>0</v>
      </c>
      <c r="AP1823" s="50" t="n">
        <f aca="false">IF(LEFT(Cockpit!$I$5,1)="A",H1823,IF(Parameter!$E$30="MAX-Bestand",IF(CH1823=1,CI1823,IF(LEFT(Cockpit!$I$5,1)="B",AV1823,MAX(AV1823,H1823))),ROUNDUP(AT1823,0)))</f>
        <v>0</v>
      </c>
      <c r="AQ1823" s="50" t="n">
        <f aca="false">IF(BZ1823=1,0,ROUNDUP(AP1823/BY1823,0))</f>
        <v>0</v>
      </c>
      <c r="AR1823" s="52" t="n">
        <f aca="false">IF(CQ1823&gt;0,CQ1823*MAX(1,AP1823/X1823),IF(BZ1823=1,IF(AP1823&lt;=0,0,CD1823*MAX(1,IF(H1823&gt;0,AP1823/H1823,1))),IF(R1823&gt;0,AQ1823/R1823,0))/MAX(0.1,N(Parameter!$M$21)))</f>
        <v>0</v>
      </c>
      <c r="AS1823" s="50" t="n">
        <f aca="false">AR1823*CB1823</f>
        <v>0</v>
      </c>
      <c r="AT1823" s="51" t="n">
        <f aca="false">IF(LEFT(Cockpit!$I$5,1)="A",H1823,IF(CH1823=1,(CK1823+CI1823)/2,IF(LEFT(Cockpit!$I$5,1)="B",(CK1823+AV1823)/2,MAX((CK1823+AV1823)/2,H1823))))</f>
        <v>0</v>
      </c>
      <c r="AU1823" s="50" t="n">
        <f aca="false">AT1823*G1823</f>
        <v>0</v>
      </c>
      <c r="AV1823" s="50" t="n">
        <f aca="false">ROUNDUP(CK1823+MAX(CL1823,2*(J1823/IF(CG1823&gt;0,CG1823,MAX(0.1,N(Cockpit!$I$6)))-CK1823)),0)</f>
        <v>0</v>
      </c>
      <c r="AW1823" s="51" t="n">
        <f aca="false">IF(AS1823&gt;0,J1823/AS1823,-1)</f>
        <v>-1</v>
      </c>
      <c r="AX1823" s="51" t="str">
        <f aca="false">IF(AND(OR(CF1823="L1",CF1823="L23",CF1823="LIFT"),AS1823&gt;0),SUMIFS($AS$7:$AS$1843,$CF$7:$CF$1843,CF1823,$AW$7:$AW$1843,"&gt;"&amp;AW1823)+SUMIFS($AS$7:$AS$1843,$CF$7:$CF$1843,CF1823,$AW$7:$AW$1843,AW1823,$BW$7:$BW$1843,"&lt;="&amp;BW1823),"")</f>
        <v/>
      </c>
      <c r="AY1823" s="58" t="n">
        <f aca="false">IF(AX1823="",0,MAX(0,MIN(1,(IF(CF1823="L1",Parameter!$H$5,IF(CF1823="L23",Parameter!$H$6+Parameter!$H$7,Parameter!$H$5+Parameter!$H$6+Parameter!$H$7))-(AX1823-AS1823))/AS1823)))</f>
        <v>0</v>
      </c>
      <c r="AZ1823" s="50" t="n">
        <f aca="false">IF(LEFT(Cockpit!$O$5,1)="A",H1823,IF(Parameter!$E$30="MAX-Bestand",IF(CH1823=1,CI1823,IF(LEFT(Cockpit!$O$5,1)="B",BF1823,MAX(BF1823,H1823))),ROUNDUP(BD1823,0)))</f>
        <v>0</v>
      </c>
      <c r="BA1823" s="50" t="n">
        <f aca="false">IF(BZ1823=1,0,ROUNDUP(AZ1823/BY1823,0))</f>
        <v>0</v>
      </c>
      <c r="BB1823" s="52" t="n">
        <f aca="false">IF(CQ1823&gt;0,CQ1823*MAX(1,AZ1823/X1823),IF(BZ1823=1,IF(AZ1823&lt;=0,0,CD1823*MAX(1,IF(H1823&gt;0,AZ1823/H1823,1))),IF(R1823&gt;0,BA1823/R1823,0))/MAX(0.1,N(Parameter!$M$21)))</f>
        <v>0</v>
      </c>
      <c r="BC1823" s="50" t="n">
        <f aca="false">BB1823*CB1823</f>
        <v>0</v>
      </c>
      <c r="BD1823" s="51" t="n">
        <f aca="false">IF(LEFT(Cockpit!$O$5,1)="A",H1823,IF(CH1823=1,(CK1823+CI1823)/2,IF(LEFT(Cockpit!$O$5,1)="B",(CK1823+BF1823)/2,MAX((CK1823+BF1823)/2,H1823))))</f>
        <v>0</v>
      </c>
      <c r="BE1823" s="50" t="n">
        <f aca="false">BD1823*G1823</f>
        <v>0</v>
      </c>
      <c r="BF1823" s="50" t="n">
        <f aca="false">ROUNDUP(CK1823+MAX(CL1823,2*(J1823/IF(CG1823&gt;0,CG1823,MAX(0.1,N(Cockpit!$O$6)))-CK1823)),0)</f>
        <v>0</v>
      </c>
      <c r="BG1823" s="51" t="n">
        <f aca="false">IF(BC1823&gt;0,J1823/BC1823,-1)</f>
        <v>-1</v>
      </c>
      <c r="BH1823" s="51" t="str">
        <f aca="false">IF(AND(OR(CF1823="L1",CF1823="L23",CF1823="LIFT"),BC1823&gt;0),SUMIFS($BC$7:$BC$1843,$CF$7:$CF$1843,CF1823,$BG$7:$BG$1843,"&gt;"&amp;BG1823)+SUMIFS($BC$7:$BC$1843,$CF$7:$CF$1843,CF1823,$BG$7:$BG$1843,BG1823,$BW$7:$BW$1843,"&lt;="&amp;BW1823),"")</f>
        <v/>
      </c>
      <c r="BI1823" s="58" t="n">
        <f aca="false">IF(BH1823="",0,MAX(0,MIN(1,(IF(CF1823="L1",Parameter!$H$5,IF(CF1823="L23",Parameter!$H$6+Parameter!$H$7,Parameter!$H$5+Parameter!$H$6+Parameter!$H$7))-(BH1823-BC1823))/BC1823)))</f>
        <v>0</v>
      </c>
      <c r="BJ1823" s="48" t="str">
        <f aca="false">IF(AI1823&lt;=0,"",IF(CF1823="Aussen","Aussenlager",IF(CF1823="-","Nicht im Lift",IF(AO1823&gt;=1,"Lift",IF(AO1823&lt;=0,"Aussenlager","teilweise")))))</f>
        <v/>
      </c>
      <c r="BK1823" s="48" t="str">
        <f aca="false">IF(AS1823&lt;=0,"",IF(CF1823="Aussen","Aussenlager",IF(CF1823="-","Nicht im Lift",IF(AY1823&gt;=1,"Lift",IF(AY1823&lt;=0,"Aussenlager","teilweise")))))</f>
        <v/>
      </c>
      <c r="BL1823" s="48" t="str">
        <f aca="false">IF(BC1823&lt;=0,"",IF(CF1823="Aussen","Aussenlager",IF(CF1823="-","Nicht im Lift",IF(BI1823&gt;=1,"Lift",IF(BI1823&lt;=0,"Aussenlager","teilweise")))))</f>
        <v/>
      </c>
      <c r="BM1823" s="48" t="str">
        <f aca="false">IF(A1823="","",IF(BV1823=1,"Neu; ","")&amp;IF(AND(BV1823=0,BQ1823&lt;0),"negativer Bestand (Export "&amp;BQ1823&amp;"); ","")&amp;IF(J1823&lt;=0,"Kein Verbrauch; ","")&amp;IF(CQ1823&gt;0,"Lift "&amp;W1823&amp;" lt. Liftbericht (Fach "&amp;X1823&amp;" Stk); ",IF(CA1823=1,"Gebinde geschätzt ("&amp;T1823&amp;"); ",IF(BZ1823=1,"Lose – Tablare geschätzt; ","")))&amp;IF(H1823&gt;AV1823,"Überbestand "&amp;ROUND(H1823-AV1823,0)&amp;" Stk / CHF "&amp;ROUND((H1823-AV1823)*G1823,0)&amp;"; ","")&amp;IF(AND(CH1823=1,CI1823&lt;CJ1823),"MAX &lt; MB+LG; ","")&amp;IF(AND(CP1823&gt;0,CO1823*10&gt;CP1823),"zu hoch für Tablar; ","")&amp;IF(AND(BV1823=0,OR(CH1823=1,AA1823&lt;&gt;"",U1823&lt;&gt;"",V1823&lt;&gt;"",AB1823&lt;&gt;"")),"manuell übersteuert; ","")&amp;IF(AND(BZ1823=0,R1823=0),"Gebinde unbekannt / Stellmass fehlt; ","")&amp;IF(AND(BZ1823=0,N(V1823)&lt;=0,N(Q1823)&lt;=0),"Menge pro Gebinde fehlt (Ist = 1 Gebinde); ","")&amp;BU1823)</f>
        <v/>
      </c>
      <c r="BN1823" s="48"/>
      <c r="BO1823" s="48"/>
      <c r="BP1823" s="55"/>
      <c r="BQ1823" s="50" t="n">
        <f aca="false">N('Neue Artikel'!$D$84)</f>
        <v>0</v>
      </c>
      <c r="BR1823" s="50" t="n">
        <v>0</v>
      </c>
      <c r="BS1823" s="49" t="n">
        <v>0</v>
      </c>
      <c r="BT1823" s="50" t="n">
        <f aca="false">N('Neue Artikel'!$C$84)/Parameter!$B$18</f>
        <v>0</v>
      </c>
      <c r="BU1823" s="48"/>
      <c r="BV1823" s="53" t="n">
        <v>1</v>
      </c>
      <c r="BW1823" s="53" t="n">
        <v>1823</v>
      </c>
      <c r="BX1823" s="48" t="str">
        <f aca="false">IF(U1823&lt;&gt;"",UPPER(TRIM(U1823)),IF(CA1823=1,UPPER(VLOOKUP(T1823,Parameter!$I$27:$K$29,2,0)),IF(P1823="","LOSE",P1823)))</f>
        <v>LOSE</v>
      </c>
      <c r="BY1823" s="50" t="n">
        <f aca="false">IF(BX1823="LOSE",1,IF(N(V1823)&gt;0,V1823,IF(CA1823=1,MAX(1,N(VLOOKUP(T1823,Parameter!$I$27:$K$29,3,0)),H1823,N(N1823)),IF(N(Q1823)&gt;0,Q1823,MAX(1,H1823)))))</f>
        <v>1</v>
      </c>
      <c r="BZ1823" s="53" t="n">
        <f aca="false">IF(BX1823="LOSE",1,0)</f>
        <v>1</v>
      </c>
      <c r="CA1823" s="53" t="n">
        <f aca="false">IF(AND(U1823="",OR(P1823="",P1823="LOSE"),T1823&lt;&gt;"",N(S1823)&lt;=0,ISNUMBER(MATCH(T1823,Parameter!$I$27:$I$29,0))),1,0)</f>
        <v>0</v>
      </c>
      <c r="CB1823" s="53" t="n">
        <f aca="false">IF(CQ1823&gt;0,INDEX(Parameter!$H$5:$H$7,W1823)/INDEX(Parameter!$E$5:$E$7,W1823),IF(AND(BZ1823=0,N(IFERROR(VLOOKUP(BX1823,'Gebinde-Kategorie'!$A$5:$N$45,14,0),0))&gt;0),VLOOKUP(BX1823,'Gebinde-Kategorie'!$A$5:$N$45,14,0)*10+Parameter!$M$23,Parameter!$M$24))</f>
        <v>235</v>
      </c>
      <c r="CC1823" s="48" t="str">
        <f aca="false">IF(AND(Parameter!$B$19="Ja",E1823&lt;&gt;"",ISNUMBER(MATCH(E1823,Parameter!$I$35:$I$52,0))),VLOOKUP(E1823,Parameter!$I$35:$J$52,2,0),IFERROR(VLOOKUP(D1823,Parameter!$A$35:$C$64,2,0),"Nein"))</f>
        <v>2+3</v>
      </c>
      <c r="CD1823" s="52" t="n">
        <f aca="false">IF(BZ1823=0,0,IF(N(S1823)&gt;0,S1823,IFERROR(VLOOKUP(D1823,Parameter!$A$35:$C$64,3,0)+0,0)))</f>
        <v>0.15</v>
      </c>
      <c r="CE1823" s="48" t="str">
        <f aca="false">IF(AA1823&lt;&gt;"",AA1823,Z1823)</f>
        <v/>
      </c>
      <c r="CF1823" s="48" t="str">
        <f aca="false">IF(OR(CE1823=1,CE1823=2,CE1823=3),IF(Parameter!$E$27="Ja","LIFT",IF(CE1823=1,"L1","L23")),IF(CE1823="Aussen","Aussen","-"))</f>
        <v>-</v>
      </c>
      <c r="CG1823" s="59" t="n">
        <f aca="false">IF(N(AB1823)&gt;0,AB1823,0)</f>
        <v>0</v>
      </c>
      <c r="CH1823" s="53" t="n">
        <f aca="false">IF(ISNUMBER(AE1823),1,0)</f>
        <v>0</v>
      </c>
      <c r="CI1823" s="50" t="n">
        <f aca="false">N(AE1823)</f>
        <v>0</v>
      </c>
      <c r="CJ1823" s="50" t="n">
        <f aca="false">N(M1823)+N(N1823)</f>
        <v>0</v>
      </c>
      <c r="CK1823" s="50" t="n">
        <f aca="false">N(M1823)</f>
        <v>0</v>
      </c>
      <c r="CL1823" s="50" t="n">
        <f aca="false">N(N1823)</f>
        <v>0</v>
      </c>
      <c r="CM1823" s="50" t="n">
        <f aca="false">ROUNDUP(H1823/BY1823,0)</f>
        <v>0</v>
      </c>
      <c r="CN1823" s="50" t="n">
        <f aca="false">ROUNDUP(CI1823/BY1823,0)</f>
        <v>0</v>
      </c>
      <c r="CO1823" s="53" t="n">
        <f aca="false">IF(BZ1823=1,0,IFERROR(VLOOKUP(BX1823,'Gebinde-Kategorie'!$A$5:$N$45,5,0)+0,0))</f>
        <v>0</v>
      </c>
      <c r="CP1823" s="53" t="n">
        <f aca="false">IFERROR(IF(OR(CE1823=1,CE1823=2,CE1823=3),N(INDEX(Parameter!$I$5:$I$7,CE1823)),0),0)</f>
        <v>0</v>
      </c>
      <c r="CQ1823" s="52" t="n">
        <f aca="false">IF(AND(Parameter!$B$21="Ja",ISNUMBER(W1823),N(X1823)&gt;0),IFERROR(N(INDEX(Parameter!$L$5:$L$7,W1823))*INDEX(Parameter!$E$5:$E$7,W1823)*X1823/SUMIFS($X$7:$X$1843,$W$7:$W$1843,W1823),0),0)</f>
        <v>0</v>
      </c>
    </row>
    <row r="1824" customFormat="false" ht="15" hidden="false" customHeight="false" outlineLevel="0" collapsed="false">
      <c r="A1824" s="48" t="str">
        <f aca="false">IF('Neue Artikel'!$A$85="","",'Neue Artikel'!$A$85&amp;"")</f>
        <v/>
      </c>
      <c r="B1824" s="48" t="str">
        <f aca="false">'Neue Artikel'!$B$85&amp;""</f>
        <v/>
      </c>
      <c r="C1824" s="48"/>
      <c r="D1824" s="48" t="s">
        <v>3024</v>
      </c>
      <c r="E1824" s="48"/>
      <c r="F1824" s="48"/>
      <c r="G1824" s="49" t="n">
        <f aca="false">N('Neue Artikel'!$G$85)</f>
        <v>0</v>
      </c>
      <c r="H1824" s="50" t="n">
        <f aca="false">MAX(0,IF(AND(Parameter!$B$21="Ja",ISNUMBER(Y1824)),Y1824,IF(Parameter!$B$20="Jahresanfang 2025 + Export",BR1824+BQ1824,BQ1824)))</f>
        <v>0</v>
      </c>
      <c r="I1824" s="50" t="n">
        <f aca="false">H1824*G1824</f>
        <v>0</v>
      </c>
      <c r="J1824" s="50" t="n">
        <f aca="false">BT1824*Parameter!$B$18</f>
        <v>0</v>
      </c>
      <c r="K1824" s="51"/>
      <c r="L1824" s="52"/>
      <c r="M1824" s="50" t="n">
        <f aca="false">N('Neue Artikel'!$E$85)</f>
        <v>0</v>
      </c>
      <c r="N1824" s="50" t="n">
        <f aca="false">N('Neue Artikel'!$F$85)</f>
        <v>0</v>
      </c>
      <c r="O1824" s="53"/>
      <c r="P1824" s="48" t="str">
        <f aca="false">IF('Neue Artikel'!$H$85="","LOSE",UPPER(TRIM('Neue Artikel'!$H$85)))</f>
        <v>LOSE</v>
      </c>
      <c r="Q1824" s="50" t="n">
        <f aca="false">N('Neue Artikel'!$I$85)</f>
        <v>0</v>
      </c>
      <c r="R1824" s="53" t="n">
        <f aca="false">IF(BZ1824=1,0,IFERROR(VLOOKUP(BX1824,'Gebinde-Kategorie'!$A$5:$N$45,13,0)+0,0))</f>
        <v>0</v>
      </c>
      <c r="S1824" s="54"/>
      <c r="T1824" s="55"/>
      <c r="U1824" s="55"/>
      <c r="V1824" s="55"/>
      <c r="W1824" s="48"/>
      <c r="X1824" s="50"/>
      <c r="Y1824" s="50"/>
      <c r="Z1824" s="48" t="str">
        <f aca="false">IF(A1824="","",IF(AND(Parameter!$B$21="Ja",ISNUMBER(W1824)),W1824,IF(CC1824="2+3",IF(ISNUMBER(SEARCH("grosser Artikel",BU1824)),2,IFERROR(VLOOKUP(BX1824,Parameter!$F$35:$G$64,2,0),2)),IF(OR(CC1824="Nein",CC1824=""),"-",CC1824))))</f>
        <v/>
      </c>
      <c r="AA1824" s="48" t="str">
        <f aca="false">IF('Neue Artikel'!$J$85="","",'Neue Artikel'!$J$85)</f>
        <v/>
      </c>
      <c r="AB1824" s="56"/>
      <c r="AC1824" s="50" t="n">
        <f aca="false">AV1824</f>
        <v>0</v>
      </c>
      <c r="AD1824" s="50" t="n">
        <f aca="false">MAX(AV1824,H1824)</f>
        <v>0</v>
      </c>
      <c r="AE1824" s="57"/>
      <c r="AF1824" s="50" t="n">
        <f aca="false">IF(LEFT(Cockpit!$C$5,1)="A",H1824,IF(Parameter!$E$30="MAX-Bestand",IF(CH1824=1,CI1824,IF(LEFT(Cockpit!$C$5,1)="B",AL1824,MAX(AL1824,H1824))),ROUNDUP(AJ1824,0)))</f>
        <v>0</v>
      </c>
      <c r="AG1824" s="50" t="n">
        <f aca="false">IF(BZ1824=1,0,ROUNDUP(AF1824/BY1824,0))</f>
        <v>0</v>
      </c>
      <c r="AH1824" s="52" t="n">
        <f aca="false">IF(CQ1824&gt;0,CQ1824*MAX(1,AF1824/X1824),IF(BZ1824=1,IF(AF1824&lt;=0,0,CD1824*MAX(1,IF(H1824&gt;0,AF1824/H1824,1))),IF(R1824&gt;0,AG1824/R1824,0))/MAX(0.1,N(Parameter!$M$21)))</f>
        <v>0</v>
      </c>
      <c r="AI1824" s="50" t="n">
        <f aca="false">AH1824*CB1824</f>
        <v>0</v>
      </c>
      <c r="AJ1824" s="51" t="n">
        <f aca="false">IF(LEFT(Cockpit!$C$5,1)="A",H1824,IF(CH1824=1,(CK1824+CI1824)/2,IF(LEFT(Cockpit!$C$5,1)="B",(CK1824+AL1824)/2,MAX((CK1824+AL1824)/2,H1824))))</f>
        <v>0</v>
      </c>
      <c r="AK1824" s="50" t="n">
        <f aca="false">AJ1824*G1824</f>
        <v>0</v>
      </c>
      <c r="AL1824" s="50" t="n">
        <f aca="false">ROUNDUP(CK1824+MAX(CL1824,2*(J1824/IF(CG1824&gt;0,CG1824,MAX(0.1,N(Cockpit!$C$6)))-CK1824)),0)</f>
        <v>0</v>
      </c>
      <c r="AM1824" s="51" t="n">
        <f aca="false">IF(AI1824&gt;0,J1824/AI1824,-1)</f>
        <v>-1</v>
      </c>
      <c r="AN1824" s="51" t="str">
        <f aca="false">IF(AND(OR(CF1824="L1",CF1824="L23",CF1824="LIFT"),AI1824&gt;0),SUMIFS($AI$7:$AI$1843,$CF$7:$CF$1843,CF1824,$AM$7:$AM$1843,"&gt;"&amp;AM1824)+SUMIFS($AI$7:$AI$1843,$CF$7:$CF$1843,CF1824,$AM$7:$AM$1843,AM1824,$BW$7:$BW$1843,"&lt;="&amp;BW1824),"")</f>
        <v/>
      </c>
      <c r="AO1824" s="58" t="n">
        <f aca="false">IF(AN1824="",0,MAX(0,MIN(1,(IF(CF1824="L1",Parameter!$H$5,IF(CF1824="L23",Parameter!$H$6+Parameter!$H$7,Parameter!$H$5+Parameter!$H$6+Parameter!$H$7))-(AN1824-AI1824))/AI1824)))</f>
        <v>0</v>
      </c>
      <c r="AP1824" s="50" t="n">
        <f aca="false">IF(LEFT(Cockpit!$I$5,1)="A",H1824,IF(Parameter!$E$30="MAX-Bestand",IF(CH1824=1,CI1824,IF(LEFT(Cockpit!$I$5,1)="B",AV1824,MAX(AV1824,H1824))),ROUNDUP(AT1824,0)))</f>
        <v>0</v>
      </c>
      <c r="AQ1824" s="50" t="n">
        <f aca="false">IF(BZ1824=1,0,ROUNDUP(AP1824/BY1824,0))</f>
        <v>0</v>
      </c>
      <c r="AR1824" s="52" t="n">
        <f aca="false">IF(CQ1824&gt;0,CQ1824*MAX(1,AP1824/X1824),IF(BZ1824=1,IF(AP1824&lt;=0,0,CD1824*MAX(1,IF(H1824&gt;0,AP1824/H1824,1))),IF(R1824&gt;0,AQ1824/R1824,0))/MAX(0.1,N(Parameter!$M$21)))</f>
        <v>0</v>
      </c>
      <c r="AS1824" s="50" t="n">
        <f aca="false">AR1824*CB1824</f>
        <v>0</v>
      </c>
      <c r="AT1824" s="51" t="n">
        <f aca="false">IF(LEFT(Cockpit!$I$5,1)="A",H1824,IF(CH1824=1,(CK1824+CI1824)/2,IF(LEFT(Cockpit!$I$5,1)="B",(CK1824+AV1824)/2,MAX((CK1824+AV1824)/2,H1824))))</f>
        <v>0</v>
      </c>
      <c r="AU1824" s="50" t="n">
        <f aca="false">AT1824*G1824</f>
        <v>0</v>
      </c>
      <c r="AV1824" s="50" t="n">
        <f aca="false">ROUNDUP(CK1824+MAX(CL1824,2*(J1824/IF(CG1824&gt;0,CG1824,MAX(0.1,N(Cockpit!$I$6)))-CK1824)),0)</f>
        <v>0</v>
      </c>
      <c r="AW1824" s="51" t="n">
        <f aca="false">IF(AS1824&gt;0,J1824/AS1824,-1)</f>
        <v>-1</v>
      </c>
      <c r="AX1824" s="51" t="str">
        <f aca="false">IF(AND(OR(CF1824="L1",CF1824="L23",CF1824="LIFT"),AS1824&gt;0),SUMIFS($AS$7:$AS$1843,$CF$7:$CF$1843,CF1824,$AW$7:$AW$1843,"&gt;"&amp;AW1824)+SUMIFS($AS$7:$AS$1843,$CF$7:$CF$1843,CF1824,$AW$7:$AW$1843,AW1824,$BW$7:$BW$1843,"&lt;="&amp;BW1824),"")</f>
        <v/>
      </c>
      <c r="AY1824" s="58" t="n">
        <f aca="false">IF(AX1824="",0,MAX(0,MIN(1,(IF(CF1824="L1",Parameter!$H$5,IF(CF1824="L23",Parameter!$H$6+Parameter!$H$7,Parameter!$H$5+Parameter!$H$6+Parameter!$H$7))-(AX1824-AS1824))/AS1824)))</f>
        <v>0</v>
      </c>
      <c r="AZ1824" s="50" t="n">
        <f aca="false">IF(LEFT(Cockpit!$O$5,1)="A",H1824,IF(Parameter!$E$30="MAX-Bestand",IF(CH1824=1,CI1824,IF(LEFT(Cockpit!$O$5,1)="B",BF1824,MAX(BF1824,H1824))),ROUNDUP(BD1824,0)))</f>
        <v>0</v>
      </c>
      <c r="BA1824" s="50" t="n">
        <f aca="false">IF(BZ1824=1,0,ROUNDUP(AZ1824/BY1824,0))</f>
        <v>0</v>
      </c>
      <c r="BB1824" s="52" t="n">
        <f aca="false">IF(CQ1824&gt;0,CQ1824*MAX(1,AZ1824/X1824),IF(BZ1824=1,IF(AZ1824&lt;=0,0,CD1824*MAX(1,IF(H1824&gt;0,AZ1824/H1824,1))),IF(R1824&gt;0,BA1824/R1824,0))/MAX(0.1,N(Parameter!$M$21)))</f>
        <v>0</v>
      </c>
      <c r="BC1824" s="50" t="n">
        <f aca="false">BB1824*CB1824</f>
        <v>0</v>
      </c>
      <c r="BD1824" s="51" t="n">
        <f aca="false">IF(LEFT(Cockpit!$O$5,1)="A",H1824,IF(CH1824=1,(CK1824+CI1824)/2,IF(LEFT(Cockpit!$O$5,1)="B",(CK1824+BF1824)/2,MAX((CK1824+BF1824)/2,H1824))))</f>
        <v>0</v>
      </c>
      <c r="BE1824" s="50" t="n">
        <f aca="false">BD1824*G1824</f>
        <v>0</v>
      </c>
      <c r="BF1824" s="50" t="n">
        <f aca="false">ROUNDUP(CK1824+MAX(CL1824,2*(J1824/IF(CG1824&gt;0,CG1824,MAX(0.1,N(Cockpit!$O$6)))-CK1824)),0)</f>
        <v>0</v>
      </c>
      <c r="BG1824" s="51" t="n">
        <f aca="false">IF(BC1824&gt;0,J1824/BC1824,-1)</f>
        <v>-1</v>
      </c>
      <c r="BH1824" s="51" t="str">
        <f aca="false">IF(AND(OR(CF1824="L1",CF1824="L23",CF1824="LIFT"),BC1824&gt;0),SUMIFS($BC$7:$BC$1843,$CF$7:$CF$1843,CF1824,$BG$7:$BG$1843,"&gt;"&amp;BG1824)+SUMIFS($BC$7:$BC$1843,$CF$7:$CF$1843,CF1824,$BG$7:$BG$1843,BG1824,$BW$7:$BW$1843,"&lt;="&amp;BW1824),"")</f>
        <v/>
      </c>
      <c r="BI1824" s="58" t="n">
        <f aca="false">IF(BH1824="",0,MAX(0,MIN(1,(IF(CF1824="L1",Parameter!$H$5,IF(CF1824="L23",Parameter!$H$6+Parameter!$H$7,Parameter!$H$5+Parameter!$H$6+Parameter!$H$7))-(BH1824-BC1824))/BC1824)))</f>
        <v>0</v>
      </c>
      <c r="BJ1824" s="48" t="str">
        <f aca="false">IF(AI1824&lt;=0,"",IF(CF1824="Aussen","Aussenlager",IF(CF1824="-","Nicht im Lift",IF(AO1824&gt;=1,"Lift",IF(AO1824&lt;=0,"Aussenlager","teilweise")))))</f>
        <v/>
      </c>
      <c r="BK1824" s="48" t="str">
        <f aca="false">IF(AS1824&lt;=0,"",IF(CF1824="Aussen","Aussenlager",IF(CF1824="-","Nicht im Lift",IF(AY1824&gt;=1,"Lift",IF(AY1824&lt;=0,"Aussenlager","teilweise")))))</f>
        <v/>
      </c>
      <c r="BL1824" s="48" t="str">
        <f aca="false">IF(BC1824&lt;=0,"",IF(CF1824="Aussen","Aussenlager",IF(CF1824="-","Nicht im Lift",IF(BI1824&gt;=1,"Lift",IF(BI1824&lt;=0,"Aussenlager","teilweise")))))</f>
        <v/>
      </c>
      <c r="BM1824" s="48" t="str">
        <f aca="false">IF(A1824="","",IF(BV1824=1,"Neu; ","")&amp;IF(AND(BV1824=0,BQ1824&lt;0),"negativer Bestand (Export "&amp;BQ1824&amp;"); ","")&amp;IF(J1824&lt;=0,"Kein Verbrauch; ","")&amp;IF(CQ1824&gt;0,"Lift "&amp;W1824&amp;" lt. Liftbericht (Fach "&amp;X1824&amp;" Stk); ",IF(CA1824=1,"Gebinde geschätzt ("&amp;T1824&amp;"); ",IF(BZ1824=1,"Lose – Tablare geschätzt; ","")))&amp;IF(H1824&gt;AV1824,"Überbestand "&amp;ROUND(H1824-AV1824,0)&amp;" Stk / CHF "&amp;ROUND((H1824-AV1824)*G1824,0)&amp;"; ","")&amp;IF(AND(CH1824=1,CI1824&lt;CJ1824),"MAX &lt; MB+LG; ","")&amp;IF(AND(CP1824&gt;0,CO1824*10&gt;CP1824),"zu hoch für Tablar; ","")&amp;IF(AND(BV1824=0,OR(CH1824=1,AA1824&lt;&gt;"",U1824&lt;&gt;"",V1824&lt;&gt;"",AB1824&lt;&gt;"")),"manuell übersteuert; ","")&amp;IF(AND(BZ1824=0,R1824=0),"Gebinde unbekannt / Stellmass fehlt; ","")&amp;IF(AND(BZ1824=0,N(V1824)&lt;=0,N(Q1824)&lt;=0),"Menge pro Gebinde fehlt (Ist = 1 Gebinde); ","")&amp;BU1824)</f>
        <v/>
      </c>
      <c r="BN1824" s="48"/>
      <c r="BO1824" s="48"/>
      <c r="BP1824" s="55"/>
      <c r="BQ1824" s="50" t="n">
        <f aca="false">N('Neue Artikel'!$D$85)</f>
        <v>0</v>
      </c>
      <c r="BR1824" s="50" t="n">
        <v>0</v>
      </c>
      <c r="BS1824" s="49" t="n">
        <v>0</v>
      </c>
      <c r="BT1824" s="50" t="n">
        <f aca="false">N('Neue Artikel'!$C$85)/Parameter!$B$18</f>
        <v>0</v>
      </c>
      <c r="BU1824" s="48"/>
      <c r="BV1824" s="53" t="n">
        <v>1</v>
      </c>
      <c r="BW1824" s="53" t="n">
        <v>1824</v>
      </c>
      <c r="BX1824" s="48" t="str">
        <f aca="false">IF(U1824&lt;&gt;"",UPPER(TRIM(U1824)),IF(CA1824=1,UPPER(VLOOKUP(T1824,Parameter!$I$27:$K$29,2,0)),IF(P1824="","LOSE",P1824)))</f>
        <v>LOSE</v>
      </c>
      <c r="BY1824" s="50" t="n">
        <f aca="false">IF(BX1824="LOSE",1,IF(N(V1824)&gt;0,V1824,IF(CA1824=1,MAX(1,N(VLOOKUP(T1824,Parameter!$I$27:$K$29,3,0)),H1824,N(N1824)),IF(N(Q1824)&gt;0,Q1824,MAX(1,H1824)))))</f>
        <v>1</v>
      </c>
      <c r="BZ1824" s="53" t="n">
        <f aca="false">IF(BX1824="LOSE",1,0)</f>
        <v>1</v>
      </c>
      <c r="CA1824" s="53" t="n">
        <f aca="false">IF(AND(U1824="",OR(P1824="",P1824="LOSE"),T1824&lt;&gt;"",N(S1824)&lt;=0,ISNUMBER(MATCH(T1824,Parameter!$I$27:$I$29,0))),1,0)</f>
        <v>0</v>
      </c>
      <c r="CB1824" s="53" t="n">
        <f aca="false">IF(CQ1824&gt;0,INDEX(Parameter!$H$5:$H$7,W1824)/INDEX(Parameter!$E$5:$E$7,W1824),IF(AND(BZ1824=0,N(IFERROR(VLOOKUP(BX1824,'Gebinde-Kategorie'!$A$5:$N$45,14,0),0))&gt;0),VLOOKUP(BX1824,'Gebinde-Kategorie'!$A$5:$N$45,14,0)*10+Parameter!$M$23,Parameter!$M$24))</f>
        <v>235</v>
      </c>
      <c r="CC1824" s="48" t="str">
        <f aca="false">IF(AND(Parameter!$B$19="Ja",E1824&lt;&gt;"",ISNUMBER(MATCH(E1824,Parameter!$I$35:$I$52,0))),VLOOKUP(E1824,Parameter!$I$35:$J$52,2,0),IFERROR(VLOOKUP(D1824,Parameter!$A$35:$C$64,2,0),"Nein"))</f>
        <v>2+3</v>
      </c>
      <c r="CD1824" s="52" t="n">
        <f aca="false">IF(BZ1824=0,0,IF(N(S1824)&gt;0,S1824,IFERROR(VLOOKUP(D1824,Parameter!$A$35:$C$64,3,0)+0,0)))</f>
        <v>0.15</v>
      </c>
      <c r="CE1824" s="48" t="str">
        <f aca="false">IF(AA1824&lt;&gt;"",AA1824,Z1824)</f>
        <v/>
      </c>
      <c r="CF1824" s="48" t="str">
        <f aca="false">IF(OR(CE1824=1,CE1824=2,CE1824=3),IF(Parameter!$E$27="Ja","LIFT",IF(CE1824=1,"L1","L23")),IF(CE1824="Aussen","Aussen","-"))</f>
        <v>-</v>
      </c>
      <c r="CG1824" s="59" t="n">
        <f aca="false">IF(N(AB1824)&gt;0,AB1824,0)</f>
        <v>0</v>
      </c>
      <c r="CH1824" s="53" t="n">
        <f aca="false">IF(ISNUMBER(AE1824),1,0)</f>
        <v>0</v>
      </c>
      <c r="CI1824" s="50" t="n">
        <f aca="false">N(AE1824)</f>
        <v>0</v>
      </c>
      <c r="CJ1824" s="50" t="n">
        <f aca="false">N(M1824)+N(N1824)</f>
        <v>0</v>
      </c>
      <c r="CK1824" s="50" t="n">
        <f aca="false">N(M1824)</f>
        <v>0</v>
      </c>
      <c r="CL1824" s="50" t="n">
        <f aca="false">N(N1824)</f>
        <v>0</v>
      </c>
      <c r="CM1824" s="50" t="n">
        <f aca="false">ROUNDUP(H1824/BY1824,0)</f>
        <v>0</v>
      </c>
      <c r="CN1824" s="50" t="n">
        <f aca="false">ROUNDUP(CI1824/BY1824,0)</f>
        <v>0</v>
      </c>
      <c r="CO1824" s="53" t="n">
        <f aca="false">IF(BZ1824=1,0,IFERROR(VLOOKUP(BX1824,'Gebinde-Kategorie'!$A$5:$N$45,5,0)+0,0))</f>
        <v>0</v>
      </c>
      <c r="CP1824" s="53" t="n">
        <f aca="false">IFERROR(IF(OR(CE1824=1,CE1824=2,CE1824=3),N(INDEX(Parameter!$I$5:$I$7,CE1824)),0),0)</f>
        <v>0</v>
      </c>
      <c r="CQ1824" s="52" t="n">
        <f aca="false">IF(AND(Parameter!$B$21="Ja",ISNUMBER(W1824),N(X1824)&gt;0),IFERROR(N(INDEX(Parameter!$L$5:$L$7,W1824))*INDEX(Parameter!$E$5:$E$7,W1824)*X1824/SUMIFS($X$7:$X$1843,$W$7:$W$1843,W1824),0),0)</f>
        <v>0</v>
      </c>
    </row>
    <row r="1825" customFormat="false" ht="15" hidden="false" customHeight="false" outlineLevel="0" collapsed="false">
      <c r="A1825" s="48" t="str">
        <f aca="false">IF('Neue Artikel'!$A$86="","",'Neue Artikel'!$A$86&amp;"")</f>
        <v/>
      </c>
      <c r="B1825" s="48" t="str">
        <f aca="false">'Neue Artikel'!$B$86&amp;""</f>
        <v/>
      </c>
      <c r="C1825" s="48"/>
      <c r="D1825" s="48" t="s">
        <v>3024</v>
      </c>
      <c r="E1825" s="48"/>
      <c r="F1825" s="48"/>
      <c r="G1825" s="49" t="n">
        <f aca="false">N('Neue Artikel'!$G$86)</f>
        <v>0</v>
      </c>
      <c r="H1825" s="50" t="n">
        <f aca="false">MAX(0,IF(AND(Parameter!$B$21="Ja",ISNUMBER(Y1825)),Y1825,IF(Parameter!$B$20="Jahresanfang 2025 + Export",BR1825+BQ1825,BQ1825)))</f>
        <v>0</v>
      </c>
      <c r="I1825" s="50" t="n">
        <f aca="false">H1825*G1825</f>
        <v>0</v>
      </c>
      <c r="J1825" s="50" t="n">
        <f aca="false">BT1825*Parameter!$B$18</f>
        <v>0</v>
      </c>
      <c r="K1825" s="51"/>
      <c r="L1825" s="52"/>
      <c r="M1825" s="50" t="n">
        <f aca="false">N('Neue Artikel'!$E$86)</f>
        <v>0</v>
      </c>
      <c r="N1825" s="50" t="n">
        <f aca="false">N('Neue Artikel'!$F$86)</f>
        <v>0</v>
      </c>
      <c r="O1825" s="53"/>
      <c r="P1825" s="48" t="str">
        <f aca="false">IF('Neue Artikel'!$H$86="","LOSE",UPPER(TRIM('Neue Artikel'!$H$86)))</f>
        <v>LOSE</v>
      </c>
      <c r="Q1825" s="50" t="n">
        <f aca="false">N('Neue Artikel'!$I$86)</f>
        <v>0</v>
      </c>
      <c r="R1825" s="53" t="n">
        <f aca="false">IF(BZ1825=1,0,IFERROR(VLOOKUP(BX1825,'Gebinde-Kategorie'!$A$5:$N$45,13,0)+0,0))</f>
        <v>0</v>
      </c>
      <c r="S1825" s="54"/>
      <c r="T1825" s="55"/>
      <c r="U1825" s="55"/>
      <c r="V1825" s="55"/>
      <c r="W1825" s="48"/>
      <c r="X1825" s="50"/>
      <c r="Y1825" s="50"/>
      <c r="Z1825" s="48" t="str">
        <f aca="false">IF(A1825="","",IF(AND(Parameter!$B$21="Ja",ISNUMBER(W1825)),W1825,IF(CC1825="2+3",IF(ISNUMBER(SEARCH("grosser Artikel",BU1825)),2,IFERROR(VLOOKUP(BX1825,Parameter!$F$35:$G$64,2,0),2)),IF(OR(CC1825="Nein",CC1825=""),"-",CC1825))))</f>
        <v/>
      </c>
      <c r="AA1825" s="48" t="str">
        <f aca="false">IF('Neue Artikel'!$J$86="","",'Neue Artikel'!$J$86)</f>
        <v/>
      </c>
      <c r="AB1825" s="56"/>
      <c r="AC1825" s="50" t="n">
        <f aca="false">AV1825</f>
        <v>0</v>
      </c>
      <c r="AD1825" s="50" t="n">
        <f aca="false">MAX(AV1825,H1825)</f>
        <v>0</v>
      </c>
      <c r="AE1825" s="57"/>
      <c r="AF1825" s="50" t="n">
        <f aca="false">IF(LEFT(Cockpit!$C$5,1)="A",H1825,IF(Parameter!$E$30="MAX-Bestand",IF(CH1825=1,CI1825,IF(LEFT(Cockpit!$C$5,1)="B",AL1825,MAX(AL1825,H1825))),ROUNDUP(AJ1825,0)))</f>
        <v>0</v>
      </c>
      <c r="AG1825" s="50" t="n">
        <f aca="false">IF(BZ1825=1,0,ROUNDUP(AF1825/BY1825,0))</f>
        <v>0</v>
      </c>
      <c r="AH1825" s="52" t="n">
        <f aca="false">IF(CQ1825&gt;0,CQ1825*MAX(1,AF1825/X1825),IF(BZ1825=1,IF(AF1825&lt;=0,0,CD1825*MAX(1,IF(H1825&gt;0,AF1825/H1825,1))),IF(R1825&gt;0,AG1825/R1825,0))/MAX(0.1,N(Parameter!$M$21)))</f>
        <v>0</v>
      </c>
      <c r="AI1825" s="50" t="n">
        <f aca="false">AH1825*CB1825</f>
        <v>0</v>
      </c>
      <c r="AJ1825" s="51" t="n">
        <f aca="false">IF(LEFT(Cockpit!$C$5,1)="A",H1825,IF(CH1825=1,(CK1825+CI1825)/2,IF(LEFT(Cockpit!$C$5,1)="B",(CK1825+AL1825)/2,MAX((CK1825+AL1825)/2,H1825))))</f>
        <v>0</v>
      </c>
      <c r="AK1825" s="50" t="n">
        <f aca="false">AJ1825*G1825</f>
        <v>0</v>
      </c>
      <c r="AL1825" s="50" t="n">
        <f aca="false">ROUNDUP(CK1825+MAX(CL1825,2*(J1825/IF(CG1825&gt;0,CG1825,MAX(0.1,N(Cockpit!$C$6)))-CK1825)),0)</f>
        <v>0</v>
      </c>
      <c r="AM1825" s="51" t="n">
        <f aca="false">IF(AI1825&gt;0,J1825/AI1825,-1)</f>
        <v>-1</v>
      </c>
      <c r="AN1825" s="51" t="str">
        <f aca="false">IF(AND(OR(CF1825="L1",CF1825="L23",CF1825="LIFT"),AI1825&gt;0),SUMIFS($AI$7:$AI$1843,$CF$7:$CF$1843,CF1825,$AM$7:$AM$1843,"&gt;"&amp;AM1825)+SUMIFS($AI$7:$AI$1843,$CF$7:$CF$1843,CF1825,$AM$7:$AM$1843,AM1825,$BW$7:$BW$1843,"&lt;="&amp;BW1825),"")</f>
        <v/>
      </c>
      <c r="AO1825" s="58" t="n">
        <f aca="false">IF(AN1825="",0,MAX(0,MIN(1,(IF(CF1825="L1",Parameter!$H$5,IF(CF1825="L23",Parameter!$H$6+Parameter!$H$7,Parameter!$H$5+Parameter!$H$6+Parameter!$H$7))-(AN1825-AI1825))/AI1825)))</f>
        <v>0</v>
      </c>
      <c r="AP1825" s="50" t="n">
        <f aca="false">IF(LEFT(Cockpit!$I$5,1)="A",H1825,IF(Parameter!$E$30="MAX-Bestand",IF(CH1825=1,CI1825,IF(LEFT(Cockpit!$I$5,1)="B",AV1825,MAX(AV1825,H1825))),ROUNDUP(AT1825,0)))</f>
        <v>0</v>
      </c>
      <c r="AQ1825" s="50" t="n">
        <f aca="false">IF(BZ1825=1,0,ROUNDUP(AP1825/BY1825,0))</f>
        <v>0</v>
      </c>
      <c r="AR1825" s="52" t="n">
        <f aca="false">IF(CQ1825&gt;0,CQ1825*MAX(1,AP1825/X1825),IF(BZ1825=1,IF(AP1825&lt;=0,0,CD1825*MAX(1,IF(H1825&gt;0,AP1825/H1825,1))),IF(R1825&gt;0,AQ1825/R1825,0))/MAX(0.1,N(Parameter!$M$21)))</f>
        <v>0</v>
      </c>
      <c r="AS1825" s="50" t="n">
        <f aca="false">AR1825*CB1825</f>
        <v>0</v>
      </c>
      <c r="AT1825" s="51" t="n">
        <f aca="false">IF(LEFT(Cockpit!$I$5,1)="A",H1825,IF(CH1825=1,(CK1825+CI1825)/2,IF(LEFT(Cockpit!$I$5,1)="B",(CK1825+AV1825)/2,MAX((CK1825+AV1825)/2,H1825))))</f>
        <v>0</v>
      </c>
      <c r="AU1825" s="50" t="n">
        <f aca="false">AT1825*G1825</f>
        <v>0</v>
      </c>
      <c r="AV1825" s="50" t="n">
        <f aca="false">ROUNDUP(CK1825+MAX(CL1825,2*(J1825/IF(CG1825&gt;0,CG1825,MAX(0.1,N(Cockpit!$I$6)))-CK1825)),0)</f>
        <v>0</v>
      </c>
      <c r="AW1825" s="51" t="n">
        <f aca="false">IF(AS1825&gt;0,J1825/AS1825,-1)</f>
        <v>-1</v>
      </c>
      <c r="AX1825" s="51" t="str">
        <f aca="false">IF(AND(OR(CF1825="L1",CF1825="L23",CF1825="LIFT"),AS1825&gt;0),SUMIFS($AS$7:$AS$1843,$CF$7:$CF$1843,CF1825,$AW$7:$AW$1843,"&gt;"&amp;AW1825)+SUMIFS($AS$7:$AS$1843,$CF$7:$CF$1843,CF1825,$AW$7:$AW$1843,AW1825,$BW$7:$BW$1843,"&lt;="&amp;BW1825),"")</f>
        <v/>
      </c>
      <c r="AY1825" s="58" t="n">
        <f aca="false">IF(AX1825="",0,MAX(0,MIN(1,(IF(CF1825="L1",Parameter!$H$5,IF(CF1825="L23",Parameter!$H$6+Parameter!$H$7,Parameter!$H$5+Parameter!$H$6+Parameter!$H$7))-(AX1825-AS1825))/AS1825)))</f>
        <v>0</v>
      </c>
      <c r="AZ1825" s="50" t="n">
        <f aca="false">IF(LEFT(Cockpit!$O$5,1)="A",H1825,IF(Parameter!$E$30="MAX-Bestand",IF(CH1825=1,CI1825,IF(LEFT(Cockpit!$O$5,1)="B",BF1825,MAX(BF1825,H1825))),ROUNDUP(BD1825,0)))</f>
        <v>0</v>
      </c>
      <c r="BA1825" s="50" t="n">
        <f aca="false">IF(BZ1825=1,0,ROUNDUP(AZ1825/BY1825,0))</f>
        <v>0</v>
      </c>
      <c r="BB1825" s="52" t="n">
        <f aca="false">IF(CQ1825&gt;0,CQ1825*MAX(1,AZ1825/X1825),IF(BZ1825=1,IF(AZ1825&lt;=0,0,CD1825*MAX(1,IF(H1825&gt;0,AZ1825/H1825,1))),IF(R1825&gt;0,BA1825/R1825,0))/MAX(0.1,N(Parameter!$M$21)))</f>
        <v>0</v>
      </c>
      <c r="BC1825" s="50" t="n">
        <f aca="false">BB1825*CB1825</f>
        <v>0</v>
      </c>
      <c r="BD1825" s="51" t="n">
        <f aca="false">IF(LEFT(Cockpit!$O$5,1)="A",H1825,IF(CH1825=1,(CK1825+CI1825)/2,IF(LEFT(Cockpit!$O$5,1)="B",(CK1825+BF1825)/2,MAX((CK1825+BF1825)/2,H1825))))</f>
        <v>0</v>
      </c>
      <c r="BE1825" s="50" t="n">
        <f aca="false">BD1825*G1825</f>
        <v>0</v>
      </c>
      <c r="BF1825" s="50" t="n">
        <f aca="false">ROUNDUP(CK1825+MAX(CL1825,2*(J1825/IF(CG1825&gt;0,CG1825,MAX(0.1,N(Cockpit!$O$6)))-CK1825)),0)</f>
        <v>0</v>
      </c>
      <c r="BG1825" s="51" t="n">
        <f aca="false">IF(BC1825&gt;0,J1825/BC1825,-1)</f>
        <v>-1</v>
      </c>
      <c r="BH1825" s="51" t="str">
        <f aca="false">IF(AND(OR(CF1825="L1",CF1825="L23",CF1825="LIFT"),BC1825&gt;0),SUMIFS($BC$7:$BC$1843,$CF$7:$CF$1843,CF1825,$BG$7:$BG$1843,"&gt;"&amp;BG1825)+SUMIFS($BC$7:$BC$1843,$CF$7:$CF$1843,CF1825,$BG$7:$BG$1843,BG1825,$BW$7:$BW$1843,"&lt;="&amp;BW1825),"")</f>
        <v/>
      </c>
      <c r="BI1825" s="58" t="n">
        <f aca="false">IF(BH1825="",0,MAX(0,MIN(1,(IF(CF1825="L1",Parameter!$H$5,IF(CF1825="L23",Parameter!$H$6+Parameter!$H$7,Parameter!$H$5+Parameter!$H$6+Parameter!$H$7))-(BH1825-BC1825))/BC1825)))</f>
        <v>0</v>
      </c>
      <c r="BJ1825" s="48" t="str">
        <f aca="false">IF(AI1825&lt;=0,"",IF(CF1825="Aussen","Aussenlager",IF(CF1825="-","Nicht im Lift",IF(AO1825&gt;=1,"Lift",IF(AO1825&lt;=0,"Aussenlager","teilweise")))))</f>
        <v/>
      </c>
      <c r="BK1825" s="48" t="str">
        <f aca="false">IF(AS1825&lt;=0,"",IF(CF1825="Aussen","Aussenlager",IF(CF1825="-","Nicht im Lift",IF(AY1825&gt;=1,"Lift",IF(AY1825&lt;=0,"Aussenlager","teilweise")))))</f>
        <v/>
      </c>
      <c r="BL1825" s="48" t="str">
        <f aca="false">IF(BC1825&lt;=0,"",IF(CF1825="Aussen","Aussenlager",IF(CF1825="-","Nicht im Lift",IF(BI1825&gt;=1,"Lift",IF(BI1825&lt;=0,"Aussenlager","teilweise")))))</f>
        <v/>
      </c>
      <c r="BM1825" s="48" t="str">
        <f aca="false">IF(A1825="","",IF(BV1825=1,"Neu; ","")&amp;IF(AND(BV1825=0,BQ1825&lt;0),"negativer Bestand (Export "&amp;BQ1825&amp;"); ","")&amp;IF(J1825&lt;=0,"Kein Verbrauch; ","")&amp;IF(CQ1825&gt;0,"Lift "&amp;W1825&amp;" lt. Liftbericht (Fach "&amp;X1825&amp;" Stk); ",IF(CA1825=1,"Gebinde geschätzt ("&amp;T1825&amp;"); ",IF(BZ1825=1,"Lose – Tablare geschätzt; ","")))&amp;IF(H1825&gt;AV1825,"Überbestand "&amp;ROUND(H1825-AV1825,0)&amp;" Stk / CHF "&amp;ROUND((H1825-AV1825)*G1825,0)&amp;"; ","")&amp;IF(AND(CH1825=1,CI1825&lt;CJ1825),"MAX &lt; MB+LG; ","")&amp;IF(AND(CP1825&gt;0,CO1825*10&gt;CP1825),"zu hoch für Tablar; ","")&amp;IF(AND(BV1825=0,OR(CH1825=1,AA1825&lt;&gt;"",U1825&lt;&gt;"",V1825&lt;&gt;"",AB1825&lt;&gt;"")),"manuell übersteuert; ","")&amp;IF(AND(BZ1825=0,R1825=0),"Gebinde unbekannt / Stellmass fehlt; ","")&amp;IF(AND(BZ1825=0,N(V1825)&lt;=0,N(Q1825)&lt;=0),"Menge pro Gebinde fehlt (Ist = 1 Gebinde); ","")&amp;BU1825)</f>
        <v/>
      </c>
      <c r="BN1825" s="48"/>
      <c r="BO1825" s="48"/>
      <c r="BP1825" s="55"/>
      <c r="BQ1825" s="50" t="n">
        <f aca="false">N('Neue Artikel'!$D$86)</f>
        <v>0</v>
      </c>
      <c r="BR1825" s="50" t="n">
        <v>0</v>
      </c>
      <c r="BS1825" s="49" t="n">
        <v>0</v>
      </c>
      <c r="BT1825" s="50" t="n">
        <f aca="false">N('Neue Artikel'!$C$86)/Parameter!$B$18</f>
        <v>0</v>
      </c>
      <c r="BU1825" s="48"/>
      <c r="BV1825" s="53" t="n">
        <v>1</v>
      </c>
      <c r="BW1825" s="53" t="n">
        <v>1825</v>
      </c>
      <c r="BX1825" s="48" t="str">
        <f aca="false">IF(U1825&lt;&gt;"",UPPER(TRIM(U1825)),IF(CA1825=1,UPPER(VLOOKUP(T1825,Parameter!$I$27:$K$29,2,0)),IF(P1825="","LOSE",P1825)))</f>
        <v>LOSE</v>
      </c>
      <c r="BY1825" s="50" t="n">
        <f aca="false">IF(BX1825="LOSE",1,IF(N(V1825)&gt;0,V1825,IF(CA1825=1,MAX(1,N(VLOOKUP(T1825,Parameter!$I$27:$K$29,3,0)),H1825,N(N1825)),IF(N(Q1825)&gt;0,Q1825,MAX(1,H1825)))))</f>
        <v>1</v>
      </c>
      <c r="BZ1825" s="53" t="n">
        <f aca="false">IF(BX1825="LOSE",1,0)</f>
        <v>1</v>
      </c>
      <c r="CA1825" s="53" t="n">
        <f aca="false">IF(AND(U1825="",OR(P1825="",P1825="LOSE"),T1825&lt;&gt;"",N(S1825)&lt;=0,ISNUMBER(MATCH(T1825,Parameter!$I$27:$I$29,0))),1,0)</f>
        <v>0</v>
      </c>
      <c r="CB1825" s="53" t="n">
        <f aca="false">IF(CQ1825&gt;0,INDEX(Parameter!$H$5:$H$7,W1825)/INDEX(Parameter!$E$5:$E$7,W1825),IF(AND(BZ1825=0,N(IFERROR(VLOOKUP(BX1825,'Gebinde-Kategorie'!$A$5:$N$45,14,0),0))&gt;0),VLOOKUP(BX1825,'Gebinde-Kategorie'!$A$5:$N$45,14,0)*10+Parameter!$M$23,Parameter!$M$24))</f>
        <v>235</v>
      </c>
      <c r="CC1825" s="48" t="str">
        <f aca="false">IF(AND(Parameter!$B$19="Ja",E1825&lt;&gt;"",ISNUMBER(MATCH(E1825,Parameter!$I$35:$I$52,0))),VLOOKUP(E1825,Parameter!$I$35:$J$52,2,0),IFERROR(VLOOKUP(D1825,Parameter!$A$35:$C$64,2,0),"Nein"))</f>
        <v>2+3</v>
      </c>
      <c r="CD1825" s="52" t="n">
        <f aca="false">IF(BZ1825=0,0,IF(N(S1825)&gt;0,S1825,IFERROR(VLOOKUP(D1825,Parameter!$A$35:$C$64,3,0)+0,0)))</f>
        <v>0.15</v>
      </c>
      <c r="CE1825" s="48" t="str">
        <f aca="false">IF(AA1825&lt;&gt;"",AA1825,Z1825)</f>
        <v/>
      </c>
      <c r="CF1825" s="48" t="str">
        <f aca="false">IF(OR(CE1825=1,CE1825=2,CE1825=3),IF(Parameter!$E$27="Ja","LIFT",IF(CE1825=1,"L1","L23")),IF(CE1825="Aussen","Aussen","-"))</f>
        <v>-</v>
      </c>
      <c r="CG1825" s="59" t="n">
        <f aca="false">IF(N(AB1825)&gt;0,AB1825,0)</f>
        <v>0</v>
      </c>
      <c r="CH1825" s="53" t="n">
        <f aca="false">IF(ISNUMBER(AE1825),1,0)</f>
        <v>0</v>
      </c>
      <c r="CI1825" s="50" t="n">
        <f aca="false">N(AE1825)</f>
        <v>0</v>
      </c>
      <c r="CJ1825" s="50" t="n">
        <f aca="false">N(M1825)+N(N1825)</f>
        <v>0</v>
      </c>
      <c r="CK1825" s="50" t="n">
        <f aca="false">N(M1825)</f>
        <v>0</v>
      </c>
      <c r="CL1825" s="50" t="n">
        <f aca="false">N(N1825)</f>
        <v>0</v>
      </c>
      <c r="CM1825" s="50" t="n">
        <f aca="false">ROUNDUP(H1825/BY1825,0)</f>
        <v>0</v>
      </c>
      <c r="CN1825" s="50" t="n">
        <f aca="false">ROUNDUP(CI1825/BY1825,0)</f>
        <v>0</v>
      </c>
      <c r="CO1825" s="53" t="n">
        <f aca="false">IF(BZ1825=1,0,IFERROR(VLOOKUP(BX1825,'Gebinde-Kategorie'!$A$5:$N$45,5,0)+0,0))</f>
        <v>0</v>
      </c>
      <c r="CP1825" s="53" t="n">
        <f aca="false">IFERROR(IF(OR(CE1825=1,CE1825=2,CE1825=3),N(INDEX(Parameter!$I$5:$I$7,CE1825)),0),0)</f>
        <v>0</v>
      </c>
      <c r="CQ1825" s="52" t="n">
        <f aca="false">IF(AND(Parameter!$B$21="Ja",ISNUMBER(W1825),N(X1825)&gt;0),IFERROR(N(INDEX(Parameter!$L$5:$L$7,W1825))*INDEX(Parameter!$E$5:$E$7,W1825)*X1825/SUMIFS($X$7:$X$1843,$W$7:$W$1843,W1825),0),0)</f>
        <v>0</v>
      </c>
    </row>
    <row r="1826" customFormat="false" ht="15" hidden="false" customHeight="false" outlineLevel="0" collapsed="false">
      <c r="A1826" s="48" t="str">
        <f aca="false">IF('Neue Artikel'!$A$87="","",'Neue Artikel'!$A$87&amp;"")</f>
        <v/>
      </c>
      <c r="B1826" s="48" t="str">
        <f aca="false">'Neue Artikel'!$B$87&amp;""</f>
        <v/>
      </c>
      <c r="C1826" s="48"/>
      <c r="D1826" s="48" t="s">
        <v>3024</v>
      </c>
      <c r="E1826" s="48"/>
      <c r="F1826" s="48"/>
      <c r="G1826" s="49" t="n">
        <f aca="false">N('Neue Artikel'!$G$87)</f>
        <v>0</v>
      </c>
      <c r="H1826" s="50" t="n">
        <f aca="false">MAX(0,IF(AND(Parameter!$B$21="Ja",ISNUMBER(Y1826)),Y1826,IF(Parameter!$B$20="Jahresanfang 2025 + Export",BR1826+BQ1826,BQ1826)))</f>
        <v>0</v>
      </c>
      <c r="I1826" s="50" t="n">
        <f aca="false">H1826*G1826</f>
        <v>0</v>
      </c>
      <c r="J1826" s="50" t="n">
        <f aca="false">BT1826*Parameter!$B$18</f>
        <v>0</v>
      </c>
      <c r="K1826" s="51"/>
      <c r="L1826" s="52"/>
      <c r="M1826" s="50" t="n">
        <f aca="false">N('Neue Artikel'!$E$87)</f>
        <v>0</v>
      </c>
      <c r="N1826" s="50" t="n">
        <f aca="false">N('Neue Artikel'!$F$87)</f>
        <v>0</v>
      </c>
      <c r="O1826" s="53"/>
      <c r="P1826" s="48" t="str">
        <f aca="false">IF('Neue Artikel'!$H$87="","LOSE",UPPER(TRIM('Neue Artikel'!$H$87)))</f>
        <v>LOSE</v>
      </c>
      <c r="Q1826" s="50" t="n">
        <f aca="false">N('Neue Artikel'!$I$87)</f>
        <v>0</v>
      </c>
      <c r="R1826" s="53" t="n">
        <f aca="false">IF(BZ1826=1,0,IFERROR(VLOOKUP(BX1826,'Gebinde-Kategorie'!$A$5:$N$45,13,0)+0,0))</f>
        <v>0</v>
      </c>
      <c r="S1826" s="54"/>
      <c r="T1826" s="55"/>
      <c r="U1826" s="55"/>
      <c r="V1826" s="55"/>
      <c r="W1826" s="48"/>
      <c r="X1826" s="50"/>
      <c r="Y1826" s="50"/>
      <c r="Z1826" s="48" t="str">
        <f aca="false">IF(A1826="","",IF(AND(Parameter!$B$21="Ja",ISNUMBER(W1826)),W1826,IF(CC1826="2+3",IF(ISNUMBER(SEARCH("grosser Artikel",BU1826)),2,IFERROR(VLOOKUP(BX1826,Parameter!$F$35:$G$64,2,0),2)),IF(OR(CC1826="Nein",CC1826=""),"-",CC1826))))</f>
        <v/>
      </c>
      <c r="AA1826" s="48" t="str">
        <f aca="false">IF('Neue Artikel'!$J$87="","",'Neue Artikel'!$J$87)</f>
        <v/>
      </c>
      <c r="AB1826" s="56"/>
      <c r="AC1826" s="50" t="n">
        <f aca="false">AV1826</f>
        <v>0</v>
      </c>
      <c r="AD1826" s="50" t="n">
        <f aca="false">MAX(AV1826,H1826)</f>
        <v>0</v>
      </c>
      <c r="AE1826" s="57"/>
      <c r="AF1826" s="50" t="n">
        <f aca="false">IF(LEFT(Cockpit!$C$5,1)="A",H1826,IF(Parameter!$E$30="MAX-Bestand",IF(CH1826=1,CI1826,IF(LEFT(Cockpit!$C$5,1)="B",AL1826,MAX(AL1826,H1826))),ROUNDUP(AJ1826,0)))</f>
        <v>0</v>
      </c>
      <c r="AG1826" s="50" t="n">
        <f aca="false">IF(BZ1826=1,0,ROUNDUP(AF1826/BY1826,0))</f>
        <v>0</v>
      </c>
      <c r="AH1826" s="52" t="n">
        <f aca="false">IF(CQ1826&gt;0,CQ1826*MAX(1,AF1826/X1826),IF(BZ1826=1,IF(AF1826&lt;=0,0,CD1826*MAX(1,IF(H1826&gt;0,AF1826/H1826,1))),IF(R1826&gt;0,AG1826/R1826,0))/MAX(0.1,N(Parameter!$M$21)))</f>
        <v>0</v>
      </c>
      <c r="AI1826" s="50" t="n">
        <f aca="false">AH1826*CB1826</f>
        <v>0</v>
      </c>
      <c r="AJ1826" s="51" t="n">
        <f aca="false">IF(LEFT(Cockpit!$C$5,1)="A",H1826,IF(CH1826=1,(CK1826+CI1826)/2,IF(LEFT(Cockpit!$C$5,1)="B",(CK1826+AL1826)/2,MAX((CK1826+AL1826)/2,H1826))))</f>
        <v>0</v>
      </c>
      <c r="AK1826" s="50" t="n">
        <f aca="false">AJ1826*G1826</f>
        <v>0</v>
      </c>
      <c r="AL1826" s="50" t="n">
        <f aca="false">ROUNDUP(CK1826+MAX(CL1826,2*(J1826/IF(CG1826&gt;0,CG1826,MAX(0.1,N(Cockpit!$C$6)))-CK1826)),0)</f>
        <v>0</v>
      </c>
      <c r="AM1826" s="51" t="n">
        <f aca="false">IF(AI1826&gt;0,J1826/AI1826,-1)</f>
        <v>-1</v>
      </c>
      <c r="AN1826" s="51" t="str">
        <f aca="false">IF(AND(OR(CF1826="L1",CF1826="L23",CF1826="LIFT"),AI1826&gt;0),SUMIFS($AI$7:$AI$1843,$CF$7:$CF$1843,CF1826,$AM$7:$AM$1843,"&gt;"&amp;AM1826)+SUMIFS($AI$7:$AI$1843,$CF$7:$CF$1843,CF1826,$AM$7:$AM$1843,AM1826,$BW$7:$BW$1843,"&lt;="&amp;BW1826),"")</f>
        <v/>
      </c>
      <c r="AO1826" s="58" t="n">
        <f aca="false">IF(AN1826="",0,MAX(0,MIN(1,(IF(CF1826="L1",Parameter!$H$5,IF(CF1826="L23",Parameter!$H$6+Parameter!$H$7,Parameter!$H$5+Parameter!$H$6+Parameter!$H$7))-(AN1826-AI1826))/AI1826)))</f>
        <v>0</v>
      </c>
      <c r="AP1826" s="50" t="n">
        <f aca="false">IF(LEFT(Cockpit!$I$5,1)="A",H1826,IF(Parameter!$E$30="MAX-Bestand",IF(CH1826=1,CI1826,IF(LEFT(Cockpit!$I$5,1)="B",AV1826,MAX(AV1826,H1826))),ROUNDUP(AT1826,0)))</f>
        <v>0</v>
      </c>
      <c r="AQ1826" s="50" t="n">
        <f aca="false">IF(BZ1826=1,0,ROUNDUP(AP1826/BY1826,0))</f>
        <v>0</v>
      </c>
      <c r="AR1826" s="52" t="n">
        <f aca="false">IF(CQ1826&gt;0,CQ1826*MAX(1,AP1826/X1826),IF(BZ1826=1,IF(AP1826&lt;=0,0,CD1826*MAX(1,IF(H1826&gt;0,AP1826/H1826,1))),IF(R1826&gt;0,AQ1826/R1826,0))/MAX(0.1,N(Parameter!$M$21)))</f>
        <v>0</v>
      </c>
      <c r="AS1826" s="50" t="n">
        <f aca="false">AR1826*CB1826</f>
        <v>0</v>
      </c>
      <c r="AT1826" s="51" t="n">
        <f aca="false">IF(LEFT(Cockpit!$I$5,1)="A",H1826,IF(CH1826=1,(CK1826+CI1826)/2,IF(LEFT(Cockpit!$I$5,1)="B",(CK1826+AV1826)/2,MAX((CK1826+AV1826)/2,H1826))))</f>
        <v>0</v>
      </c>
      <c r="AU1826" s="50" t="n">
        <f aca="false">AT1826*G1826</f>
        <v>0</v>
      </c>
      <c r="AV1826" s="50" t="n">
        <f aca="false">ROUNDUP(CK1826+MAX(CL1826,2*(J1826/IF(CG1826&gt;0,CG1826,MAX(0.1,N(Cockpit!$I$6)))-CK1826)),0)</f>
        <v>0</v>
      </c>
      <c r="AW1826" s="51" t="n">
        <f aca="false">IF(AS1826&gt;0,J1826/AS1826,-1)</f>
        <v>-1</v>
      </c>
      <c r="AX1826" s="51" t="str">
        <f aca="false">IF(AND(OR(CF1826="L1",CF1826="L23",CF1826="LIFT"),AS1826&gt;0),SUMIFS($AS$7:$AS$1843,$CF$7:$CF$1843,CF1826,$AW$7:$AW$1843,"&gt;"&amp;AW1826)+SUMIFS($AS$7:$AS$1843,$CF$7:$CF$1843,CF1826,$AW$7:$AW$1843,AW1826,$BW$7:$BW$1843,"&lt;="&amp;BW1826),"")</f>
        <v/>
      </c>
      <c r="AY1826" s="58" t="n">
        <f aca="false">IF(AX1826="",0,MAX(0,MIN(1,(IF(CF1826="L1",Parameter!$H$5,IF(CF1826="L23",Parameter!$H$6+Parameter!$H$7,Parameter!$H$5+Parameter!$H$6+Parameter!$H$7))-(AX1826-AS1826))/AS1826)))</f>
        <v>0</v>
      </c>
      <c r="AZ1826" s="50" t="n">
        <f aca="false">IF(LEFT(Cockpit!$O$5,1)="A",H1826,IF(Parameter!$E$30="MAX-Bestand",IF(CH1826=1,CI1826,IF(LEFT(Cockpit!$O$5,1)="B",BF1826,MAX(BF1826,H1826))),ROUNDUP(BD1826,0)))</f>
        <v>0</v>
      </c>
      <c r="BA1826" s="50" t="n">
        <f aca="false">IF(BZ1826=1,0,ROUNDUP(AZ1826/BY1826,0))</f>
        <v>0</v>
      </c>
      <c r="BB1826" s="52" t="n">
        <f aca="false">IF(CQ1826&gt;0,CQ1826*MAX(1,AZ1826/X1826),IF(BZ1826=1,IF(AZ1826&lt;=0,0,CD1826*MAX(1,IF(H1826&gt;0,AZ1826/H1826,1))),IF(R1826&gt;0,BA1826/R1826,0))/MAX(0.1,N(Parameter!$M$21)))</f>
        <v>0</v>
      </c>
      <c r="BC1826" s="50" t="n">
        <f aca="false">BB1826*CB1826</f>
        <v>0</v>
      </c>
      <c r="BD1826" s="51" t="n">
        <f aca="false">IF(LEFT(Cockpit!$O$5,1)="A",H1826,IF(CH1826=1,(CK1826+CI1826)/2,IF(LEFT(Cockpit!$O$5,1)="B",(CK1826+BF1826)/2,MAX((CK1826+BF1826)/2,H1826))))</f>
        <v>0</v>
      </c>
      <c r="BE1826" s="50" t="n">
        <f aca="false">BD1826*G1826</f>
        <v>0</v>
      </c>
      <c r="BF1826" s="50" t="n">
        <f aca="false">ROUNDUP(CK1826+MAX(CL1826,2*(J1826/IF(CG1826&gt;0,CG1826,MAX(0.1,N(Cockpit!$O$6)))-CK1826)),0)</f>
        <v>0</v>
      </c>
      <c r="BG1826" s="51" t="n">
        <f aca="false">IF(BC1826&gt;0,J1826/BC1826,-1)</f>
        <v>-1</v>
      </c>
      <c r="BH1826" s="51" t="str">
        <f aca="false">IF(AND(OR(CF1826="L1",CF1826="L23",CF1826="LIFT"),BC1826&gt;0),SUMIFS($BC$7:$BC$1843,$CF$7:$CF$1843,CF1826,$BG$7:$BG$1843,"&gt;"&amp;BG1826)+SUMIFS($BC$7:$BC$1843,$CF$7:$CF$1843,CF1826,$BG$7:$BG$1843,BG1826,$BW$7:$BW$1843,"&lt;="&amp;BW1826),"")</f>
        <v/>
      </c>
      <c r="BI1826" s="58" t="n">
        <f aca="false">IF(BH1826="",0,MAX(0,MIN(1,(IF(CF1826="L1",Parameter!$H$5,IF(CF1826="L23",Parameter!$H$6+Parameter!$H$7,Parameter!$H$5+Parameter!$H$6+Parameter!$H$7))-(BH1826-BC1826))/BC1826)))</f>
        <v>0</v>
      </c>
      <c r="BJ1826" s="48" t="str">
        <f aca="false">IF(AI1826&lt;=0,"",IF(CF1826="Aussen","Aussenlager",IF(CF1826="-","Nicht im Lift",IF(AO1826&gt;=1,"Lift",IF(AO1826&lt;=0,"Aussenlager","teilweise")))))</f>
        <v/>
      </c>
      <c r="BK1826" s="48" t="str">
        <f aca="false">IF(AS1826&lt;=0,"",IF(CF1826="Aussen","Aussenlager",IF(CF1826="-","Nicht im Lift",IF(AY1826&gt;=1,"Lift",IF(AY1826&lt;=0,"Aussenlager","teilweise")))))</f>
        <v/>
      </c>
      <c r="BL1826" s="48" t="str">
        <f aca="false">IF(BC1826&lt;=0,"",IF(CF1826="Aussen","Aussenlager",IF(CF1826="-","Nicht im Lift",IF(BI1826&gt;=1,"Lift",IF(BI1826&lt;=0,"Aussenlager","teilweise")))))</f>
        <v/>
      </c>
      <c r="BM1826" s="48" t="str">
        <f aca="false">IF(A1826="","",IF(BV1826=1,"Neu; ","")&amp;IF(AND(BV1826=0,BQ1826&lt;0),"negativer Bestand (Export "&amp;BQ1826&amp;"); ","")&amp;IF(J1826&lt;=0,"Kein Verbrauch; ","")&amp;IF(CQ1826&gt;0,"Lift "&amp;W1826&amp;" lt. Liftbericht (Fach "&amp;X1826&amp;" Stk); ",IF(CA1826=1,"Gebinde geschätzt ("&amp;T1826&amp;"); ",IF(BZ1826=1,"Lose – Tablare geschätzt; ","")))&amp;IF(H1826&gt;AV1826,"Überbestand "&amp;ROUND(H1826-AV1826,0)&amp;" Stk / CHF "&amp;ROUND((H1826-AV1826)*G1826,0)&amp;"; ","")&amp;IF(AND(CH1826=1,CI1826&lt;CJ1826),"MAX &lt; MB+LG; ","")&amp;IF(AND(CP1826&gt;0,CO1826*10&gt;CP1826),"zu hoch für Tablar; ","")&amp;IF(AND(BV1826=0,OR(CH1826=1,AA1826&lt;&gt;"",U1826&lt;&gt;"",V1826&lt;&gt;"",AB1826&lt;&gt;"")),"manuell übersteuert; ","")&amp;IF(AND(BZ1826=0,R1826=0),"Gebinde unbekannt / Stellmass fehlt; ","")&amp;IF(AND(BZ1826=0,N(V1826)&lt;=0,N(Q1826)&lt;=0),"Menge pro Gebinde fehlt (Ist = 1 Gebinde); ","")&amp;BU1826)</f>
        <v/>
      </c>
      <c r="BN1826" s="48"/>
      <c r="BO1826" s="48"/>
      <c r="BP1826" s="55"/>
      <c r="BQ1826" s="50" t="n">
        <f aca="false">N('Neue Artikel'!$D$87)</f>
        <v>0</v>
      </c>
      <c r="BR1826" s="50" t="n">
        <v>0</v>
      </c>
      <c r="BS1826" s="49" t="n">
        <v>0</v>
      </c>
      <c r="BT1826" s="50" t="n">
        <f aca="false">N('Neue Artikel'!$C$87)/Parameter!$B$18</f>
        <v>0</v>
      </c>
      <c r="BU1826" s="48"/>
      <c r="BV1826" s="53" t="n">
        <v>1</v>
      </c>
      <c r="BW1826" s="53" t="n">
        <v>1826</v>
      </c>
      <c r="BX1826" s="48" t="str">
        <f aca="false">IF(U1826&lt;&gt;"",UPPER(TRIM(U1826)),IF(CA1826=1,UPPER(VLOOKUP(T1826,Parameter!$I$27:$K$29,2,0)),IF(P1826="","LOSE",P1826)))</f>
        <v>LOSE</v>
      </c>
      <c r="BY1826" s="50" t="n">
        <f aca="false">IF(BX1826="LOSE",1,IF(N(V1826)&gt;0,V1826,IF(CA1826=1,MAX(1,N(VLOOKUP(T1826,Parameter!$I$27:$K$29,3,0)),H1826,N(N1826)),IF(N(Q1826)&gt;0,Q1826,MAX(1,H1826)))))</f>
        <v>1</v>
      </c>
      <c r="BZ1826" s="53" t="n">
        <f aca="false">IF(BX1826="LOSE",1,0)</f>
        <v>1</v>
      </c>
      <c r="CA1826" s="53" t="n">
        <f aca="false">IF(AND(U1826="",OR(P1826="",P1826="LOSE"),T1826&lt;&gt;"",N(S1826)&lt;=0,ISNUMBER(MATCH(T1826,Parameter!$I$27:$I$29,0))),1,0)</f>
        <v>0</v>
      </c>
      <c r="CB1826" s="53" t="n">
        <f aca="false">IF(CQ1826&gt;0,INDEX(Parameter!$H$5:$H$7,W1826)/INDEX(Parameter!$E$5:$E$7,W1826),IF(AND(BZ1826=0,N(IFERROR(VLOOKUP(BX1826,'Gebinde-Kategorie'!$A$5:$N$45,14,0),0))&gt;0),VLOOKUP(BX1826,'Gebinde-Kategorie'!$A$5:$N$45,14,0)*10+Parameter!$M$23,Parameter!$M$24))</f>
        <v>235</v>
      </c>
      <c r="CC1826" s="48" t="str">
        <f aca="false">IF(AND(Parameter!$B$19="Ja",E1826&lt;&gt;"",ISNUMBER(MATCH(E1826,Parameter!$I$35:$I$52,0))),VLOOKUP(E1826,Parameter!$I$35:$J$52,2,0),IFERROR(VLOOKUP(D1826,Parameter!$A$35:$C$64,2,0),"Nein"))</f>
        <v>2+3</v>
      </c>
      <c r="CD1826" s="52" t="n">
        <f aca="false">IF(BZ1826=0,0,IF(N(S1826)&gt;0,S1826,IFERROR(VLOOKUP(D1826,Parameter!$A$35:$C$64,3,0)+0,0)))</f>
        <v>0.15</v>
      </c>
      <c r="CE1826" s="48" t="str">
        <f aca="false">IF(AA1826&lt;&gt;"",AA1826,Z1826)</f>
        <v/>
      </c>
      <c r="CF1826" s="48" t="str">
        <f aca="false">IF(OR(CE1826=1,CE1826=2,CE1826=3),IF(Parameter!$E$27="Ja","LIFT",IF(CE1826=1,"L1","L23")),IF(CE1826="Aussen","Aussen","-"))</f>
        <v>-</v>
      </c>
      <c r="CG1826" s="59" t="n">
        <f aca="false">IF(N(AB1826)&gt;0,AB1826,0)</f>
        <v>0</v>
      </c>
      <c r="CH1826" s="53" t="n">
        <f aca="false">IF(ISNUMBER(AE1826),1,0)</f>
        <v>0</v>
      </c>
      <c r="CI1826" s="50" t="n">
        <f aca="false">N(AE1826)</f>
        <v>0</v>
      </c>
      <c r="CJ1826" s="50" t="n">
        <f aca="false">N(M1826)+N(N1826)</f>
        <v>0</v>
      </c>
      <c r="CK1826" s="50" t="n">
        <f aca="false">N(M1826)</f>
        <v>0</v>
      </c>
      <c r="CL1826" s="50" t="n">
        <f aca="false">N(N1826)</f>
        <v>0</v>
      </c>
      <c r="CM1826" s="50" t="n">
        <f aca="false">ROUNDUP(H1826/BY1826,0)</f>
        <v>0</v>
      </c>
      <c r="CN1826" s="50" t="n">
        <f aca="false">ROUNDUP(CI1826/BY1826,0)</f>
        <v>0</v>
      </c>
      <c r="CO1826" s="53" t="n">
        <f aca="false">IF(BZ1826=1,0,IFERROR(VLOOKUP(BX1826,'Gebinde-Kategorie'!$A$5:$N$45,5,0)+0,0))</f>
        <v>0</v>
      </c>
      <c r="CP1826" s="53" t="n">
        <f aca="false">IFERROR(IF(OR(CE1826=1,CE1826=2,CE1826=3),N(INDEX(Parameter!$I$5:$I$7,CE1826)),0),0)</f>
        <v>0</v>
      </c>
      <c r="CQ1826" s="52" t="n">
        <f aca="false">IF(AND(Parameter!$B$21="Ja",ISNUMBER(W1826),N(X1826)&gt;0),IFERROR(N(INDEX(Parameter!$L$5:$L$7,W1826))*INDEX(Parameter!$E$5:$E$7,W1826)*X1826/SUMIFS($X$7:$X$1843,$W$7:$W$1843,W1826),0),0)</f>
        <v>0</v>
      </c>
    </row>
    <row r="1827" customFormat="false" ht="15" hidden="false" customHeight="false" outlineLevel="0" collapsed="false">
      <c r="A1827" s="48" t="str">
        <f aca="false">IF('Neue Artikel'!$A$88="","",'Neue Artikel'!$A$88&amp;"")</f>
        <v/>
      </c>
      <c r="B1827" s="48" t="str">
        <f aca="false">'Neue Artikel'!$B$88&amp;""</f>
        <v/>
      </c>
      <c r="C1827" s="48"/>
      <c r="D1827" s="48" t="s">
        <v>3024</v>
      </c>
      <c r="E1827" s="48"/>
      <c r="F1827" s="48"/>
      <c r="G1827" s="49" t="n">
        <f aca="false">N('Neue Artikel'!$G$88)</f>
        <v>0</v>
      </c>
      <c r="H1827" s="50" t="n">
        <f aca="false">MAX(0,IF(AND(Parameter!$B$21="Ja",ISNUMBER(Y1827)),Y1827,IF(Parameter!$B$20="Jahresanfang 2025 + Export",BR1827+BQ1827,BQ1827)))</f>
        <v>0</v>
      </c>
      <c r="I1827" s="50" t="n">
        <f aca="false">H1827*G1827</f>
        <v>0</v>
      </c>
      <c r="J1827" s="50" t="n">
        <f aca="false">BT1827*Parameter!$B$18</f>
        <v>0</v>
      </c>
      <c r="K1827" s="51"/>
      <c r="L1827" s="52"/>
      <c r="M1827" s="50" t="n">
        <f aca="false">N('Neue Artikel'!$E$88)</f>
        <v>0</v>
      </c>
      <c r="N1827" s="50" t="n">
        <f aca="false">N('Neue Artikel'!$F$88)</f>
        <v>0</v>
      </c>
      <c r="O1827" s="53"/>
      <c r="P1827" s="48" t="str">
        <f aca="false">IF('Neue Artikel'!$H$88="","LOSE",UPPER(TRIM('Neue Artikel'!$H$88)))</f>
        <v>LOSE</v>
      </c>
      <c r="Q1827" s="50" t="n">
        <f aca="false">N('Neue Artikel'!$I$88)</f>
        <v>0</v>
      </c>
      <c r="R1827" s="53" t="n">
        <f aca="false">IF(BZ1827=1,0,IFERROR(VLOOKUP(BX1827,'Gebinde-Kategorie'!$A$5:$N$45,13,0)+0,0))</f>
        <v>0</v>
      </c>
      <c r="S1827" s="54"/>
      <c r="T1827" s="55"/>
      <c r="U1827" s="55"/>
      <c r="V1827" s="55"/>
      <c r="W1827" s="48"/>
      <c r="X1827" s="50"/>
      <c r="Y1827" s="50"/>
      <c r="Z1827" s="48" t="str">
        <f aca="false">IF(A1827="","",IF(AND(Parameter!$B$21="Ja",ISNUMBER(W1827)),W1827,IF(CC1827="2+3",IF(ISNUMBER(SEARCH("grosser Artikel",BU1827)),2,IFERROR(VLOOKUP(BX1827,Parameter!$F$35:$G$64,2,0),2)),IF(OR(CC1827="Nein",CC1827=""),"-",CC1827))))</f>
        <v/>
      </c>
      <c r="AA1827" s="48" t="str">
        <f aca="false">IF('Neue Artikel'!$J$88="","",'Neue Artikel'!$J$88)</f>
        <v/>
      </c>
      <c r="AB1827" s="56"/>
      <c r="AC1827" s="50" t="n">
        <f aca="false">AV1827</f>
        <v>0</v>
      </c>
      <c r="AD1827" s="50" t="n">
        <f aca="false">MAX(AV1827,H1827)</f>
        <v>0</v>
      </c>
      <c r="AE1827" s="57"/>
      <c r="AF1827" s="50" t="n">
        <f aca="false">IF(LEFT(Cockpit!$C$5,1)="A",H1827,IF(Parameter!$E$30="MAX-Bestand",IF(CH1827=1,CI1827,IF(LEFT(Cockpit!$C$5,1)="B",AL1827,MAX(AL1827,H1827))),ROUNDUP(AJ1827,0)))</f>
        <v>0</v>
      </c>
      <c r="AG1827" s="50" t="n">
        <f aca="false">IF(BZ1827=1,0,ROUNDUP(AF1827/BY1827,0))</f>
        <v>0</v>
      </c>
      <c r="AH1827" s="52" t="n">
        <f aca="false">IF(CQ1827&gt;0,CQ1827*MAX(1,AF1827/X1827),IF(BZ1827=1,IF(AF1827&lt;=0,0,CD1827*MAX(1,IF(H1827&gt;0,AF1827/H1827,1))),IF(R1827&gt;0,AG1827/R1827,0))/MAX(0.1,N(Parameter!$M$21)))</f>
        <v>0</v>
      </c>
      <c r="AI1827" s="50" t="n">
        <f aca="false">AH1827*CB1827</f>
        <v>0</v>
      </c>
      <c r="AJ1827" s="51" t="n">
        <f aca="false">IF(LEFT(Cockpit!$C$5,1)="A",H1827,IF(CH1827=1,(CK1827+CI1827)/2,IF(LEFT(Cockpit!$C$5,1)="B",(CK1827+AL1827)/2,MAX((CK1827+AL1827)/2,H1827))))</f>
        <v>0</v>
      </c>
      <c r="AK1827" s="50" t="n">
        <f aca="false">AJ1827*G1827</f>
        <v>0</v>
      </c>
      <c r="AL1827" s="50" t="n">
        <f aca="false">ROUNDUP(CK1827+MAX(CL1827,2*(J1827/IF(CG1827&gt;0,CG1827,MAX(0.1,N(Cockpit!$C$6)))-CK1827)),0)</f>
        <v>0</v>
      </c>
      <c r="AM1827" s="51" t="n">
        <f aca="false">IF(AI1827&gt;0,J1827/AI1827,-1)</f>
        <v>-1</v>
      </c>
      <c r="AN1827" s="51" t="str">
        <f aca="false">IF(AND(OR(CF1827="L1",CF1827="L23",CF1827="LIFT"),AI1827&gt;0),SUMIFS($AI$7:$AI$1843,$CF$7:$CF$1843,CF1827,$AM$7:$AM$1843,"&gt;"&amp;AM1827)+SUMIFS($AI$7:$AI$1843,$CF$7:$CF$1843,CF1827,$AM$7:$AM$1843,AM1827,$BW$7:$BW$1843,"&lt;="&amp;BW1827),"")</f>
        <v/>
      </c>
      <c r="AO1827" s="58" t="n">
        <f aca="false">IF(AN1827="",0,MAX(0,MIN(1,(IF(CF1827="L1",Parameter!$H$5,IF(CF1827="L23",Parameter!$H$6+Parameter!$H$7,Parameter!$H$5+Parameter!$H$6+Parameter!$H$7))-(AN1827-AI1827))/AI1827)))</f>
        <v>0</v>
      </c>
      <c r="AP1827" s="50" t="n">
        <f aca="false">IF(LEFT(Cockpit!$I$5,1)="A",H1827,IF(Parameter!$E$30="MAX-Bestand",IF(CH1827=1,CI1827,IF(LEFT(Cockpit!$I$5,1)="B",AV1827,MAX(AV1827,H1827))),ROUNDUP(AT1827,0)))</f>
        <v>0</v>
      </c>
      <c r="AQ1827" s="50" t="n">
        <f aca="false">IF(BZ1827=1,0,ROUNDUP(AP1827/BY1827,0))</f>
        <v>0</v>
      </c>
      <c r="AR1827" s="52" t="n">
        <f aca="false">IF(CQ1827&gt;0,CQ1827*MAX(1,AP1827/X1827),IF(BZ1827=1,IF(AP1827&lt;=0,0,CD1827*MAX(1,IF(H1827&gt;0,AP1827/H1827,1))),IF(R1827&gt;0,AQ1827/R1827,0))/MAX(0.1,N(Parameter!$M$21)))</f>
        <v>0</v>
      </c>
      <c r="AS1827" s="50" t="n">
        <f aca="false">AR1827*CB1827</f>
        <v>0</v>
      </c>
      <c r="AT1827" s="51" t="n">
        <f aca="false">IF(LEFT(Cockpit!$I$5,1)="A",H1827,IF(CH1827=1,(CK1827+CI1827)/2,IF(LEFT(Cockpit!$I$5,1)="B",(CK1827+AV1827)/2,MAX((CK1827+AV1827)/2,H1827))))</f>
        <v>0</v>
      </c>
      <c r="AU1827" s="50" t="n">
        <f aca="false">AT1827*G1827</f>
        <v>0</v>
      </c>
      <c r="AV1827" s="50" t="n">
        <f aca="false">ROUNDUP(CK1827+MAX(CL1827,2*(J1827/IF(CG1827&gt;0,CG1827,MAX(0.1,N(Cockpit!$I$6)))-CK1827)),0)</f>
        <v>0</v>
      </c>
      <c r="AW1827" s="51" t="n">
        <f aca="false">IF(AS1827&gt;0,J1827/AS1827,-1)</f>
        <v>-1</v>
      </c>
      <c r="AX1827" s="51" t="str">
        <f aca="false">IF(AND(OR(CF1827="L1",CF1827="L23",CF1827="LIFT"),AS1827&gt;0),SUMIFS($AS$7:$AS$1843,$CF$7:$CF$1843,CF1827,$AW$7:$AW$1843,"&gt;"&amp;AW1827)+SUMIFS($AS$7:$AS$1843,$CF$7:$CF$1843,CF1827,$AW$7:$AW$1843,AW1827,$BW$7:$BW$1843,"&lt;="&amp;BW1827),"")</f>
        <v/>
      </c>
      <c r="AY1827" s="58" t="n">
        <f aca="false">IF(AX1827="",0,MAX(0,MIN(1,(IF(CF1827="L1",Parameter!$H$5,IF(CF1827="L23",Parameter!$H$6+Parameter!$H$7,Parameter!$H$5+Parameter!$H$6+Parameter!$H$7))-(AX1827-AS1827))/AS1827)))</f>
        <v>0</v>
      </c>
      <c r="AZ1827" s="50" t="n">
        <f aca="false">IF(LEFT(Cockpit!$O$5,1)="A",H1827,IF(Parameter!$E$30="MAX-Bestand",IF(CH1827=1,CI1827,IF(LEFT(Cockpit!$O$5,1)="B",BF1827,MAX(BF1827,H1827))),ROUNDUP(BD1827,0)))</f>
        <v>0</v>
      </c>
      <c r="BA1827" s="50" t="n">
        <f aca="false">IF(BZ1827=1,0,ROUNDUP(AZ1827/BY1827,0))</f>
        <v>0</v>
      </c>
      <c r="BB1827" s="52" t="n">
        <f aca="false">IF(CQ1827&gt;0,CQ1827*MAX(1,AZ1827/X1827),IF(BZ1827=1,IF(AZ1827&lt;=0,0,CD1827*MAX(1,IF(H1827&gt;0,AZ1827/H1827,1))),IF(R1827&gt;0,BA1827/R1827,0))/MAX(0.1,N(Parameter!$M$21)))</f>
        <v>0</v>
      </c>
      <c r="BC1827" s="50" t="n">
        <f aca="false">BB1827*CB1827</f>
        <v>0</v>
      </c>
      <c r="BD1827" s="51" t="n">
        <f aca="false">IF(LEFT(Cockpit!$O$5,1)="A",H1827,IF(CH1827=1,(CK1827+CI1827)/2,IF(LEFT(Cockpit!$O$5,1)="B",(CK1827+BF1827)/2,MAX((CK1827+BF1827)/2,H1827))))</f>
        <v>0</v>
      </c>
      <c r="BE1827" s="50" t="n">
        <f aca="false">BD1827*G1827</f>
        <v>0</v>
      </c>
      <c r="BF1827" s="50" t="n">
        <f aca="false">ROUNDUP(CK1827+MAX(CL1827,2*(J1827/IF(CG1827&gt;0,CG1827,MAX(0.1,N(Cockpit!$O$6)))-CK1827)),0)</f>
        <v>0</v>
      </c>
      <c r="BG1827" s="51" t="n">
        <f aca="false">IF(BC1827&gt;0,J1827/BC1827,-1)</f>
        <v>-1</v>
      </c>
      <c r="BH1827" s="51" t="str">
        <f aca="false">IF(AND(OR(CF1827="L1",CF1827="L23",CF1827="LIFT"),BC1827&gt;0),SUMIFS($BC$7:$BC$1843,$CF$7:$CF$1843,CF1827,$BG$7:$BG$1843,"&gt;"&amp;BG1827)+SUMIFS($BC$7:$BC$1843,$CF$7:$CF$1843,CF1827,$BG$7:$BG$1843,BG1827,$BW$7:$BW$1843,"&lt;="&amp;BW1827),"")</f>
        <v/>
      </c>
      <c r="BI1827" s="58" t="n">
        <f aca="false">IF(BH1827="",0,MAX(0,MIN(1,(IF(CF1827="L1",Parameter!$H$5,IF(CF1827="L23",Parameter!$H$6+Parameter!$H$7,Parameter!$H$5+Parameter!$H$6+Parameter!$H$7))-(BH1827-BC1827))/BC1827)))</f>
        <v>0</v>
      </c>
      <c r="BJ1827" s="48" t="str">
        <f aca="false">IF(AI1827&lt;=0,"",IF(CF1827="Aussen","Aussenlager",IF(CF1827="-","Nicht im Lift",IF(AO1827&gt;=1,"Lift",IF(AO1827&lt;=0,"Aussenlager","teilweise")))))</f>
        <v/>
      </c>
      <c r="BK1827" s="48" t="str">
        <f aca="false">IF(AS1827&lt;=0,"",IF(CF1827="Aussen","Aussenlager",IF(CF1827="-","Nicht im Lift",IF(AY1827&gt;=1,"Lift",IF(AY1827&lt;=0,"Aussenlager","teilweise")))))</f>
        <v/>
      </c>
      <c r="BL1827" s="48" t="str">
        <f aca="false">IF(BC1827&lt;=0,"",IF(CF1827="Aussen","Aussenlager",IF(CF1827="-","Nicht im Lift",IF(BI1827&gt;=1,"Lift",IF(BI1827&lt;=0,"Aussenlager","teilweise")))))</f>
        <v/>
      </c>
      <c r="BM1827" s="48" t="str">
        <f aca="false">IF(A1827="","",IF(BV1827=1,"Neu; ","")&amp;IF(AND(BV1827=0,BQ1827&lt;0),"negativer Bestand (Export "&amp;BQ1827&amp;"); ","")&amp;IF(J1827&lt;=0,"Kein Verbrauch; ","")&amp;IF(CQ1827&gt;0,"Lift "&amp;W1827&amp;" lt. Liftbericht (Fach "&amp;X1827&amp;" Stk); ",IF(CA1827=1,"Gebinde geschätzt ("&amp;T1827&amp;"); ",IF(BZ1827=1,"Lose – Tablare geschätzt; ","")))&amp;IF(H1827&gt;AV1827,"Überbestand "&amp;ROUND(H1827-AV1827,0)&amp;" Stk / CHF "&amp;ROUND((H1827-AV1827)*G1827,0)&amp;"; ","")&amp;IF(AND(CH1827=1,CI1827&lt;CJ1827),"MAX &lt; MB+LG; ","")&amp;IF(AND(CP1827&gt;0,CO1827*10&gt;CP1827),"zu hoch für Tablar; ","")&amp;IF(AND(BV1827=0,OR(CH1827=1,AA1827&lt;&gt;"",U1827&lt;&gt;"",V1827&lt;&gt;"",AB1827&lt;&gt;"")),"manuell übersteuert; ","")&amp;IF(AND(BZ1827=0,R1827=0),"Gebinde unbekannt / Stellmass fehlt; ","")&amp;IF(AND(BZ1827=0,N(V1827)&lt;=0,N(Q1827)&lt;=0),"Menge pro Gebinde fehlt (Ist = 1 Gebinde); ","")&amp;BU1827)</f>
        <v/>
      </c>
      <c r="BN1827" s="48"/>
      <c r="BO1827" s="48"/>
      <c r="BP1827" s="55"/>
      <c r="BQ1827" s="50" t="n">
        <f aca="false">N('Neue Artikel'!$D$88)</f>
        <v>0</v>
      </c>
      <c r="BR1827" s="50" t="n">
        <v>0</v>
      </c>
      <c r="BS1827" s="49" t="n">
        <v>0</v>
      </c>
      <c r="BT1827" s="50" t="n">
        <f aca="false">N('Neue Artikel'!$C$88)/Parameter!$B$18</f>
        <v>0</v>
      </c>
      <c r="BU1827" s="48"/>
      <c r="BV1827" s="53" t="n">
        <v>1</v>
      </c>
      <c r="BW1827" s="53" t="n">
        <v>1827</v>
      </c>
      <c r="BX1827" s="48" t="str">
        <f aca="false">IF(U1827&lt;&gt;"",UPPER(TRIM(U1827)),IF(CA1827=1,UPPER(VLOOKUP(T1827,Parameter!$I$27:$K$29,2,0)),IF(P1827="","LOSE",P1827)))</f>
        <v>LOSE</v>
      </c>
      <c r="BY1827" s="50" t="n">
        <f aca="false">IF(BX1827="LOSE",1,IF(N(V1827)&gt;0,V1827,IF(CA1827=1,MAX(1,N(VLOOKUP(T1827,Parameter!$I$27:$K$29,3,0)),H1827,N(N1827)),IF(N(Q1827)&gt;0,Q1827,MAX(1,H1827)))))</f>
        <v>1</v>
      </c>
      <c r="BZ1827" s="53" t="n">
        <f aca="false">IF(BX1827="LOSE",1,0)</f>
        <v>1</v>
      </c>
      <c r="CA1827" s="53" t="n">
        <f aca="false">IF(AND(U1827="",OR(P1827="",P1827="LOSE"),T1827&lt;&gt;"",N(S1827)&lt;=0,ISNUMBER(MATCH(T1827,Parameter!$I$27:$I$29,0))),1,0)</f>
        <v>0</v>
      </c>
      <c r="CB1827" s="53" t="n">
        <f aca="false">IF(CQ1827&gt;0,INDEX(Parameter!$H$5:$H$7,W1827)/INDEX(Parameter!$E$5:$E$7,W1827),IF(AND(BZ1827=0,N(IFERROR(VLOOKUP(BX1827,'Gebinde-Kategorie'!$A$5:$N$45,14,0),0))&gt;0),VLOOKUP(BX1827,'Gebinde-Kategorie'!$A$5:$N$45,14,0)*10+Parameter!$M$23,Parameter!$M$24))</f>
        <v>235</v>
      </c>
      <c r="CC1827" s="48" t="str">
        <f aca="false">IF(AND(Parameter!$B$19="Ja",E1827&lt;&gt;"",ISNUMBER(MATCH(E1827,Parameter!$I$35:$I$52,0))),VLOOKUP(E1827,Parameter!$I$35:$J$52,2,0),IFERROR(VLOOKUP(D1827,Parameter!$A$35:$C$64,2,0),"Nein"))</f>
        <v>2+3</v>
      </c>
      <c r="CD1827" s="52" t="n">
        <f aca="false">IF(BZ1827=0,0,IF(N(S1827)&gt;0,S1827,IFERROR(VLOOKUP(D1827,Parameter!$A$35:$C$64,3,0)+0,0)))</f>
        <v>0.15</v>
      </c>
      <c r="CE1827" s="48" t="str">
        <f aca="false">IF(AA1827&lt;&gt;"",AA1827,Z1827)</f>
        <v/>
      </c>
      <c r="CF1827" s="48" t="str">
        <f aca="false">IF(OR(CE1827=1,CE1827=2,CE1827=3),IF(Parameter!$E$27="Ja","LIFT",IF(CE1827=1,"L1","L23")),IF(CE1827="Aussen","Aussen","-"))</f>
        <v>-</v>
      </c>
      <c r="CG1827" s="59" t="n">
        <f aca="false">IF(N(AB1827)&gt;0,AB1827,0)</f>
        <v>0</v>
      </c>
      <c r="CH1827" s="53" t="n">
        <f aca="false">IF(ISNUMBER(AE1827),1,0)</f>
        <v>0</v>
      </c>
      <c r="CI1827" s="50" t="n">
        <f aca="false">N(AE1827)</f>
        <v>0</v>
      </c>
      <c r="CJ1827" s="50" t="n">
        <f aca="false">N(M1827)+N(N1827)</f>
        <v>0</v>
      </c>
      <c r="CK1827" s="50" t="n">
        <f aca="false">N(M1827)</f>
        <v>0</v>
      </c>
      <c r="CL1827" s="50" t="n">
        <f aca="false">N(N1827)</f>
        <v>0</v>
      </c>
      <c r="CM1827" s="50" t="n">
        <f aca="false">ROUNDUP(H1827/BY1827,0)</f>
        <v>0</v>
      </c>
      <c r="CN1827" s="50" t="n">
        <f aca="false">ROUNDUP(CI1827/BY1827,0)</f>
        <v>0</v>
      </c>
      <c r="CO1827" s="53" t="n">
        <f aca="false">IF(BZ1827=1,0,IFERROR(VLOOKUP(BX1827,'Gebinde-Kategorie'!$A$5:$N$45,5,0)+0,0))</f>
        <v>0</v>
      </c>
      <c r="CP1827" s="53" t="n">
        <f aca="false">IFERROR(IF(OR(CE1827=1,CE1827=2,CE1827=3),N(INDEX(Parameter!$I$5:$I$7,CE1827)),0),0)</f>
        <v>0</v>
      </c>
      <c r="CQ1827" s="52" t="n">
        <f aca="false">IF(AND(Parameter!$B$21="Ja",ISNUMBER(W1827),N(X1827)&gt;0),IFERROR(N(INDEX(Parameter!$L$5:$L$7,W1827))*INDEX(Parameter!$E$5:$E$7,W1827)*X1827/SUMIFS($X$7:$X$1843,$W$7:$W$1843,W1827),0),0)</f>
        <v>0</v>
      </c>
    </row>
    <row r="1828" customFormat="false" ht="15" hidden="false" customHeight="false" outlineLevel="0" collapsed="false">
      <c r="A1828" s="48" t="str">
        <f aca="false">IF('Neue Artikel'!$A$89="","",'Neue Artikel'!$A$89&amp;"")</f>
        <v/>
      </c>
      <c r="B1828" s="48" t="str">
        <f aca="false">'Neue Artikel'!$B$89&amp;""</f>
        <v/>
      </c>
      <c r="C1828" s="48"/>
      <c r="D1828" s="48" t="s">
        <v>3024</v>
      </c>
      <c r="E1828" s="48"/>
      <c r="F1828" s="48"/>
      <c r="G1828" s="49" t="n">
        <f aca="false">N('Neue Artikel'!$G$89)</f>
        <v>0</v>
      </c>
      <c r="H1828" s="50" t="n">
        <f aca="false">MAX(0,IF(AND(Parameter!$B$21="Ja",ISNUMBER(Y1828)),Y1828,IF(Parameter!$B$20="Jahresanfang 2025 + Export",BR1828+BQ1828,BQ1828)))</f>
        <v>0</v>
      </c>
      <c r="I1828" s="50" t="n">
        <f aca="false">H1828*G1828</f>
        <v>0</v>
      </c>
      <c r="J1828" s="50" t="n">
        <f aca="false">BT1828*Parameter!$B$18</f>
        <v>0</v>
      </c>
      <c r="K1828" s="51"/>
      <c r="L1828" s="52"/>
      <c r="M1828" s="50" t="n">
        <f aca="false">N('Neue Artikel'!$E$89)</f>
        <v>0</v>
      </c>
      <c r="N1828" s="50" t="n">
        <f aca="false">N('Neue Artikel'!$F$89)</f>
        <v>0</v>
      </c>
      <c r="O1828" s="53"/>
      <c r="P1828" s="48" t="str">
        <f aca="false">IF('Neue Artikel'!$H$89="","LOSE",UPPER(TRIM('Neue Artikel'!$H$89)))</f>
        <v>LOSE</v>
      </c>
      <c r="Q1828" s="50" t="n">
        <f aca="false">N('Neue Artikel'!$I$89)</f>
        <v>0</v>
      </c>
      <c r="R1828" s="53" t="n">
        <f aca="false">IF(BZ1828=1,0,IFERROR(VLOOKUP(BX1828,'Gebinde-Kategorie'!$A$5:$N$45,13,0)+0,0))</f>
        <v>0</v>
      </c>
      <c r="S1828" s="54"/>
      <c r="T1828" s="55"/>
      <c r="U1828" s="55"/>
      <c r="V1828" s="55"/>
      <c r="W1828" s="48"/>
      <c r="X1828" s="50"/>
      <c r="Y1828" s="50"/>
      <c r="Z1828" s="48" t="str">
        <f aca="false">IF(A1828="","",IF(AND(Parameter!$B$21="Ja",ISNUMBER(W1828)),W1828,IF(CC1828="2+3",IF(ISNUMBER(SEARCH("grosser Artikel",BU1828)),2,IFERROR(VLOOKUP(BX1828,Parameter!$F$35:$G$64,2,0),2)),IF(OR(CC1828="Nein",CC1828=""),"-",CC1828))))</f>
        <v/>
      </c>
      <c r="AA1828" s="48" t="str">
        <f aca="false">IF('Neue Artikel'!$J$89="","",'Neue Artikel'!$J$89)</f>
        <v/>
      </c>
      <c r="AB1828" s="56"/>
      <c r="AC1828" s="50" t="n">
        <f aca="false">AV1828</f>
        <v>0</v>
      </c>
      <c r="AD1828" s="50" t="n">
        <f aca="false">MAX(AV1828,H1828)</f>
        <v>0</v>
      </c>
      <c r="AE1828" s="57"/>
      <c r="AF1828" s="50" t="n">
        <f aca="false">IF(LEFT(Cockpit!$C$5,1)="A",H1828,IF(Parameter!$E$30="MAX-Bestand",IF(CH1828=1,CI1828,IF(LEFT(Cockpit!$C$5,1)="B",AL1828,MAX(AL1828,H1828))),ROUNDUP(AJ1828,0)))</f>
        <v>0</v>
      </c>
      <c r="AG1828" s="50" t="n">
        <f aca="false">IF(BZ1828=1,0,ROUNDUP(AF1828/BY1828,0))</f>
        <v>0</v>
      </c>
      <c r="AH1828" s="52" t="n">
        <f aca="false">IF(CQ1828&gt;0,CQ1828*MAX(1,AF1828/X1828),IF(BZ1828=1,IF(AF1828&lt;=0,0,CD1828*MAX(1,IF(H1828&gt;0,AF1828/H1828,1))),IF(R1828&gt;0,AG1828/R1828,0))/MAX(0.1,N(Parameter!$M$21)))</f>
        <v>0</v>
      </c>
      <c r="AI1828" s="50" t="n">
        <f aca="false">AH1828*CB1828</f>
        <v>0</v>
      </c>
      <c r="AJ1828" s="51" t="n">
        <f aca="false">IF(LEFT(Cockpit!$C$5,1)="A",H1828,IF(CH1828=1,(CK1828+CI1828)/2,IF(LEFT(Cockpit!$C$5,1)="B",(CK1828+AL1828)/2,MAX((CK1828+AL1828)/2,H1828))))</f>
        <v>0</v>
      </c>
      <c r="AK1828" s="50" t="n">
        <f aca="false">AJ1828*G1828</f>
        <v>0</v>
      </c>
      <c r="AL1828" s="50" t="n">
        <f aca="false">ROUNDUP(CK1828+MAX(CL1828,2*(J1828/IF(CG1828&gt;0,CG1828,MAX(0.1,N(Cockpit!$C$6)))-CK1828)),0)</f>
        <v>0</v>
      </c>
      <c r="AM1828" s="51" t="n">
        <f aca="false">IF(AI1828&gt;0,J1828/AI1828,-1)</f>
        <v>-1</v>
      </c>
      <c r="AN1828" s="51" t="str">
        <f aca="false">IF(AND(OR(CF1828="L1",CF1828="L23",CF1828="LIFT"),AI1828&gt;0),SUMIFS($AI$7:$AI$1843,$CF$7:$CF$1843,CF1828,$AM$7:$AM$1843,"&gt;"&amp;AM1828)+SUMIFS($AI$7:$AI$1843,$CF$7:$CF$1843,CF1828,$AM$7:$AM$1843,AM1828,$BW$7:$BW$1843,"&lt;="&amp;BW1828),"")</f>
        <v/>
      </c>
      <c r="AO1828" s="58" t="n">
        <f aca="false">IF(AN1828="",0,MAX(0,MIN(1,(IF(CF1828="L1",Parameter!$H$5,IF(CF1828="L23",Parameter!$H$6+Parameter!$H$7,Parameter!$H$5+Parameter!$H$6+Parameter!$H$7))-(AN1828-AI1828))/AI1828)))</f>
        <v>0</v>
      </c>
      <c r="AP1828" s="50" t="n">
        <f aca="false">IF(LEFT(Cockpit!$I$5,1)="A",H1828,IF(Parameter!$E$30="MAX-Bestand",IF(CH1828=1,CI1828,IF(LEFT(Cockpit!$I$5,1)="B",AV1828,MAX(AV1828,H1828))),ROUNDUP(AT1828,0)))</f>
        <v>0</v>
      </c>
      <c r="AQ1828" s="50" t="n">
        <f aca="false">IF(BZ1828=1,0,ROUNDUP(AP1828/BY1828,0))</f>
        <v>0</v>
      </c>
      <c r="AR1828" s="52" t="n">
        <f aca="false">IF(CQ1828&gt;0,CQ1828*MAX(1,AP1828/X1828),IF(BZ1828=1,IF(AP1828&lt;=0,0,CD1828*MAX(1,IF(H1828&gt;0,AP1828/H1828,1))),IF(R1828&gt;0,AQ1828/R1828,0))/MAX(0.1,N(Parameter!$M$21)))</f>
        <v>0</v>
      </c>
      <c r="AS1828" s="50" t="n">
        <f aca="false">AR1828*CB1828</f>
        <v>0</v>
      </c>
      <c r="AT1828" s="51" t="n">
        <f aca="false">IF(LEFT(Cockpit!$I$5,1)="A",H1828,IF(CH1828=1,(CK1828+CI1828)/2,IF(LEFT(Cockpit!$I$5,1)="B",(CK1828+AV1828)/2,MAX((CK1828+AV1828)/2,H1828))))</f>
        <v>0</v>
      </c>
      <c r="AU1828" s="50" t="n">
        <f aca="false">AT1828*G1828</f>
        <v>0</v>
      </c>
      <c r="AV1828" s="50" t="n">
        <f aca="false">ROUNDUP(CK1828+MAX(CL1828,2*(J1828/IF(CG1828&gt;0,CG1828,MAX(0.1,N(Cockpit!$I$6)))-CK1828)),0)</f>
        <v>0</v>
      </c>
      <c r="AW1828" s="51" t="n">
        <f aca="false">IF(AS1828&gt;0,J1828/AS1828,-1)</f>
        <v>-1</v>
      </c>
      <c r="AX1828" s="51" t="str">
        <f aca="false">IF(AND(OR(CF1828="L1",CF1828="L23",CF1828="LIFT"),AS1828&gt;0),SUMIFS($AS$7:$AS$1843,$CF$7:$CF$1843,CF1828,$AW$7:$AW$1843,"&gt;"&amp;AW1828)+SUMIFS($AS$7:$AS$1843,$CF$7:$CF$1843,CF1828,$AW$7:$AW$1843,AW1828,$BW$7:$BW$1843,"&lt;="&amp;BW1828),"")</f>
        <v/>
      </c>
      <c r="AY1828" s="58" t="n">
        <f aca="false">IF(AX1828="",0,MAX(0,MIN(1,(IF(CF1828="L1",Parameter!$H$5,IF(CF1828="L23",Parameter!$H$6+Parameter!$H$7,Parameter!$H$5+Parameter!$H$6+Parameter!$H$7))-(AX1828-AS1828))/AS1828)))</f>
        <v>0</v>
      </c>
      <c r="AZ1828" s="50" t="n">
        <f aca="false">IF(LEFT(Cockpit!$O$5,1)="A",H1828,IF(Parameter!$E$30="MAX-Bestand",IF(CH1828=1,CI1828,IF(LEFT(Cockpit!$O$5,1)="B",BF1828,MAX(BF1828,H1828))),ROUNDUP(BD1828,0)))</f>
        <v>0</v>
      </c>
      <c r="BA1828" s="50" t="n">
        <f aca="false">IF(BZ1828=1,0,ROUNDUP(AZ1828/BY1828,0))</f>
        <v>0</v>
      </c>
      <c r="BB1828" s="52" t="n">
        <f aca="false">IF(CQ1828&gt;0,CQ1828*MAX(1,AZ1828/X1828),IF(BZ1828=1,IF(AZ1828&lt;=0,0,CD1828*MAX(1,IF(H1828&gt;0,AZ1828/H1828,1))),IF(R1828&gt;0,BA1828/R1828,0))/MAX(0.1,N(Parameter!$M$21)))</f>
        <v>0</v>
      </c>
      <c r="BC1828" s="50" t="n">
        <f aca="false">BB1828*CB1828</f>
        <v>0</v>
      </c>
      <c r="BD1828" s="51" t="n">
        <f aca="false">IF(LEFT(Cockpit!$O$5,1)="A",H1828,IF(CH1828=1,(CK1828+CI1828)/2,IF(LEFT(Cockpit!$O$5,1)="B",(CK1828+BF1828)/2,MAX((CK1828+BF1828)/2,H1828))))</f>
        <v>0</v>
      </c>
      <c r="BE1828" s="50" t="n">
        <f aca="false">BD1828*G1828</f>
        <v>0</v>
      </c>
      <c r="BF1828" s="50" t="n">
        <f aca="false">ROUNDUP(CK1828+MAX(CL1828,2*(J1828/IF(CG1828&gt;0,CG1828,MAX(0.1,N(Cockpit!$O$6)))-CK1828)),0)</f>
        <v>0</v>
      </c>
      <c r="BG1828" s="51" t="n">
        <f aca="false">IF(BC1828&gt;0,J1828/BC1828,-1)</f>
        <v>-1</v>
      </c>
      <c r="BH1828" s="51" t="str">
        <f aca="false">IF(AND(OR(CF1828="L1",CF1828="L23",CF1828="LIFT"),BC1828&gt;0),SUMIFS($BC$7:$BC$1843,$CF$7:$CF$1843,CF1828,$BG$7:$BG$1843,"&gt;"&amp;BG1828)+SUMIFS($BC$7:$BC$1843,$CF$7:$CF$1843,CF1828,$BG$7:$BG$1843,BG1828,$BW$7:$BW$1843,"&lt;="&amp;BW1828),"")</f>
        <v/>
      </c>
      <c r="BI1828" s="58" t="n">
        <f aca="false">IF(BH1828="",0,MAX(0,MIN(1,(IF(CF1828="L1",Parameter!$H$5,IF(CF1828="L23",Parameter!$H$6+Parameter!$H$7,Parameter!$H$5+Parameter!$H$6+Parameter!$H$7))-(BH1828-BC1828))/BC1828)))</f>
        <v>0</v>
      </c>
      <c r="BJ1828" s="48" t="str">
        <f aca="false">IF(AI1828&lt;=0,"",IF(CF1828="Aussen","Aussenlager",IF(CF1828="-","Nicht im Lift",IF(AO1828&gt;=1,"Lift",IF(AO1828&lt;=0,"Aussenlager","teilweise")))))</f>
        <v/>
      </c>
      <c r="BK1828" s="48" t="str">
        <f aca="false">IF(AS1828&lt;=0,"",IF(CF1828="Aussen","Aussenlager",IF(CF1828="-","Nicht im Lift",IF(AY1828&gt;=1,"Lift",IF(AY1828&lt;=0,"Aussenlager","teilweise")))))</f>
        <v/>
      </c>
      <c r="BL1828" s="48" t="str">
        <f aca="false">IF(BC1828&lt;=0,"",IF(CF1828="Aussen","Aussenlager",IF(CF1828="-","Nicht im Lift",IF(BI1828&gt;=1,"Lift",IF(BI1828&lt;=0,"Aussenlager","teilweise")))))</f>
        <v/>
      </c>
      <c r="BM1828" s="48" t="str">
        <f aca="false">IF(A1828="","",IF(BV1828=1,"Neu; ","")&amp;IF(AND(BV1828=0,BQ1828&lt;0),"negativer Bestand (Export "&amp;BQ1828&amp;"); ","")&amp;IF(J1828&lt;=0,"Kein Verbrauch; ","")&amp;IF(CQ1828&gt;0,"Lift "&amp;W1828&amp;" lt. Liftbericht (Fach "&amp;X1828&amp;" Stk); ",IF(CA1828=1,"Gebinde geschätzt ("&amp;T1828&amp;"); ",IF(BZ1828=1,"Lose – Tablare geschätzt; ","")))&amp;IF(H1828&gt;AV1828,"Überbestand "&amp;ROUND(H1828-AV1828,0)&amp;" Stk / CHF "&amp;ROUND((H1828-AV1828)*G1828,0)&amp;"; ","")&amp;IF(AND(CH1828=1,CI1828&lt;CJ1828),"MAX &lt; MB+LG; ","")&amp;IF(AND(CP1828&gt;0,CO1828*10&gt;CP1828),"zu hoch für Tablar; ","")&amp;IF(AND(BV1828=0,OR(CH1828=1,AA1828&lt;&gt;"",U1828&lt;&gt;"",V1828&lt;&gt;"",AB1828&lt;&gt;"")),"manuell übersteuert; ","")&amp;IF(AND(BZ1828=0,R1828=0),"Gebinde unbekannt / Stellmass fehlt; ","")&amp;IF(AND(BZ1828=0,N(V1828)&lt;=0,N(Q1828)&lt;=0),"Menge pro Gebinde fehlt (Ist = 1 Gebinde); ","")&amp;BU1828)</f>
        <v/>
      </c>
      <c r="BN1828" s="48"/>
      <c r="BO1828" s="48"/>
      <c r="BP1828" s="55"/>
      <c r="BQ1828" s="50" t="n">
        <f aca="false">N('Neue Artikel'!$D$89)</f>
        <v>0</v>
      </c>
      <c r="BR1828" s="50" t="n">
        <v>0</v>
      </c>
      <c r="BS1828" s="49" t="n">
        <v>0</v>
      </c>
      <c r="BT1828" s="50" t="n">
        <f aca="false">N('Neue Artikel'!$C$89)/Parameter!$B$18</f>
        <v>0</v>
      </c>
      <c r="BU1828" s="48"/>
      <c r="BV1828" s="53" t="n">
        <v>1</v>
      </c>
      <c r="BW1828" s="53" t="n">
        <v>1828</v>
      </c>
      <c r="BX1828" s="48" t="str">
        <f aca="false">IF(U1828&lt;&gt;"",UPPER(TRIM(U1828)),IF(CA1828=1,UPPER(VLOOKUP(T1828,Parameter!$I$27:$K$29,2,0)),IF(P1828="","LOSE",P1828)))</f>
        <v>LOSE</v>
      </c>
      <c r="BY1828" s="50" t="n">
        <f aca="false">IF(BX1828="LOSE",1,IF(N(V1828)&gt;0,V1828,IF(CA1828=1,MAX(1,N(VLOOKUP(T1828,Parameter!$I$27:$K$29,3,0)),H1828,N(N1828)),IF(N(Q1828)&gt;0,Q1828,MAX(1,H1828)))))</f>
        <v>1</v>
      </c>
      <c r="BZ1828" s="53" t="n">
        <f aca="false">IF(BX1828="LOSE",1,0)</f>
        <v>1</v>
      </c>
      <c r="CA1828" s="53" t="n">
        <f aca="false">IF(AND(U1828="",OR(P1828="",P1828="LOSE"),T1828&lt;&gt;"",N(S1828)&lt;=0,ISNUMBER(MATCH(T1828,Parameter!$I$27:$I$29,0))),1,0)</f>
        <v>0</v>
      </c>
      <c r="CB1828" s="53" t="n">
        <f aca="false">IF(CQ1828&gt;0,INDEX(Parameter!$H$5:$H$7,W1828)/INDEX(Parameter!$E$5:$E$7,W1828),IF(AND(BZ1828=0,N(IFERROR(VLOOKUP(BX1828,'Gebinde-Kategorie'!$A$5:$N$45,14,0),0))&gt;0),VLOOKUP(BX1828,'Gebinde-Kategorie'!$A$5:$N$45,14,0)*10+Parameter!$M$23,Parameter!$M$24))</f>
        <v>235</v>
      </c>
      <c r="CC1828" s="48" t="str">
        <f aca="false">IF(AND(Parameter!$B$19="Ja",E1828&lt;&gt;"",ISNUMBER(MATCH(E1828,Parameter!$I$35:$I$52,0))),VLOOKUP(E1828,Parameter!$I$35:$J$52,2,0),IFERROR(VLOOKUP(D1828,Parameter!$A$35:$C$64,2,0),"Nein"))</f>
        <v>2+3</v>
      </c>
      <c r="CD1828" s="52" t="n">
        <f aca="false">IF(BZ1828=0,0,IF(N(S1828)&gt;0,S1828,IFERROR(VLOOKUP(D1828,Parameter!$A$35:$C$64,3,0)+0,0)))</f>
        <v>0.15</v>
      </c>
      <c r="CE1828" s="48" t="str">
        <f aca="false">IF(AA1828&lt;&gt;"",AA1828,Z1828)</f>
        <v/>
      </c>
      <c r="CF1828" s="48" t="str">
        <f aca="false">IF(OR(CE1828=1,CE1828=2,CE1828=3),IF(Parameter!$E$27="Ja","LIFT",IF(CE1828=1,"L1","L23")),IF(CE1828="Aussen","Aussen","-"))</f>
        <v>-</v>
      </c>
      <c r="CG1828" s="59" t="n">
        <f aca="false">IF(N(AB1828)&gt;0,AB1828,0)</f>
        <v>0</v>
      </c>
      <c r="CH1828" s="53" t="n">
        <f aca="false">IF(ISNUMBER(AE1828),1,0)</f>
        <v>0</v>
      </c>
      <c r="CI1828" s="50" t="n">
        <f aca="false">N(AE1828)</f>
        <v>0</v>
      </c>
      <c r="CJ1828" s="50" t="n">
        <f aca="false">N(M1828)+N(N1828)</f>
        <v>0</v>
      </c>
      <c r="CK1828" s="50" t="n">
        <f aca="false">N(M1828)</f>
        <v>0</v>
      </c>
      <c r="CL1828" s="50" t="n">
        <f aca="false">N(N1828)</f>
        <v>0</v>
      </c>
      <c r="CM1828" s="50" t="n">
        <f aca="false">ROUNDUP(H1828/BY1828,0)</f>
        <v>0</v>
      </c>
      <c r="CN1828" s="50" t="n">
        <f aca="false">ROUNDUP(CI1828/BY1828,0)</f>
        <v>0</v>
      </c>
      <c r="CO1828" s="53" t="n">
        <f aca="false">IF(BZ1828=1,0,IFERROR(VLOOKUP(BX1828,'Gebinde-Kategorie'!$A$5:$N$45,5,0)+0,0))</f>
        <v>0</v>
      </c>
      <c r="CP1828" s="53" t="n">
        <f aca="false">IFERROR(IF(OR(CE1828=1,CE1828=2,CE1828=3),N(INDEX(Parameter!$I$5:$I$7,CE1828)),0),0)</f>
        <v>0</v>
      </c>
      <c r="CQ1828" s="52" t="n">
        <f aca="false">IF(AND(Parameter!$B$21="Ja",ISNUMBER(W1828),N(X1828)&gt;0),IFERROR(N(INDEX(Parameter!$L$5:$L$7,W1828))*INDEX(Parameter!$E$5:$E$7,W1828)*X1828/SUMIFS($X$7:$X$1843,$W$7:$W$1843,W1828),0),0)</f>
        <v>0</v>
      </c>
    </row>
    <row r="1829" customFormat="false" ht="15" hidden="false" customHeight="false" outlineLevel="0" collapsed="false">
      <c r="A1829" s="48" t="str">
        <f aca="false">IF('Neue Artikel'!$A$90="","",'Neue Artikel'!$A$90&amp;"")</f>
        <v/>
      </c>
      <c r="B1829" s="48" t="str">
        <f aca="false">'Neue Artikel'!$B$90&amp;""</f>
        <v/>
      </c>
      <c r="C1829" s="48"/>
      <c r="D1829" s="48" t="s">
        <v>3024</v>
      </c>
      <c r="E1829" s="48"/>
      <c r="F1829" s="48"/>
      <c r="G1829" s="49" t="n">
        <f aca="false">N('Neue Artikel'!$G$90)</f>
        <v>0</v>
      </c>
      <c r="H1829" s="50" t="n">
        <f aca="false">MAX(0,IF(AND(Parameter!$B$21="Ja",ISNUMBER(Y1829)),Y1829,IF(Parameter!$B$20="Jahresanfang 2025 + Export",BR1829+BQ1829,BQ1829)))</f>
        <v>0</v>
      </c>
      <c r="I1829" s="50" t="n">
        <f aca="false">H1829*G1829</f>
        <v>0</v>
      </c>
      <c r="J1829" s="50" t="n">
        <f aca="false">BT1829*Parameter!$B$18</f>
        <v>0</v>
      </c>
      <c r="K1829" s="51"/>
      <c r="L1829" s="52"/>
      <c r="M1829" s="50" t="n">
        <f aca="false">N('Neue Artikel'!$E$90)</f>
        <v>0</v>
      </c>
      <c r="N1829" s="50" t="n">
        <f aca="false">N('Neue Artikel'!$F$90)</f>
        <v>0</v>
      </c>
      <c r="O1829" s="53"/>
      <c r="P1829" s="48" t="str">
        <f aca="false">IF('Neue Artikel'!$H$90="","LOSE",UPPER(TRIM('Neue Artikel'!$H$90)))</f>
        <v>LOSE</v>
      </c>
      <c r="Q1829" s="50" t="n">
        <f aca="false">N('Neue Artikel'!$I$90)</f>
        <v>0</v>
      </c>
      <c r="R1829" s="53" t="n">
        <f aca="false">IF(BZ1829=1,0,IFERROR(VLOOKUP(BX1829,'Gebinde-Kategorie'!$A$5:$N$45,13,0)+0,0))</f>
        <v>0</v>
      </c>
      <c r="S1829" s="54"/>
      <c r="T1829" s="55"/>
      <c r="U1829" s="55"/>
      <c r="V1829" s="55"/>
      <c r="W1829" s="48"/>
      <c r="X1829" s="50"/>
      <c r="Y1829" s="50"/>
      <c r="Z1829" s="48" t="str">
        <f aca="false">IF(A1829="","",IF(AND(Parameter!$B$21="Ja",ISNUMBER(W1829)),W1829,IF(CC1829="2+3",IF(ISNUMBER(SEARCH("grosser Artikel",BU1829)),2,IFERROR(VLOOKUP(BX1829,Parameter!$F$35:$G$64,2,0),2)),IF(OR(CC1829="Nein",CC1829=""),"-",CC1829))))</f>
        <v/>
      </c>
      <c r="AA1829" s="48" t="str">
        <f aca="false">IF('Neue Artikel'!$J$90="","",'Neue Artikel'!$J$90)</f>
        <v/>
      </c>
      <c r="AB1829" s="56"/>
      <c r="AC1829" s="50" t="n">
        <f aca="false">AV1829</f>
        <v>0</v>
      </c>
      <c r="AD1829" s="50" t="n">
        <f aca="false">MAX(AV1829,H1829)</f>
        <v>0</v>
      </c>
      <c r="AE1829" s="57"/>
      <c r="AF1829" s="50" t="n">
        <f aca="false">IF(LEFT(Cockpit!$C$5,1)="A",H1829,IF(Parameter!$E$30="MAX-Bestand",IF(CH1829=1,CI1829,IF(LEFT(Cockpit!$C$5,1)="B",AL1829,MAX(AL1829,H1829))),ROUNDUP(AJ1829,0)))</f>
        <v>0</v>
      </c>
      <c r="AG1829" s="50" t="n">
        <f aca="false">IF(BZ1829=1,0,ROUNDUP(AF1829/BY1829,0))</f>
        <v>0</v>
      </c>
      <c r="AH1829" s="52" t="n">
        <f aca="false">IF(CQ1829&gt;0,CQ1829*MAX(1,AF1829/X1829),IF(BZ1829=1,IF(AF1829&lt;=0,0,CD1829*MAX(1,IF(H1829&gt;0,AF1829/H1829,1))),IF(R1829&gt;0,AG1829/R1829,0))/MAX(0.1,N(Parameter!$M$21)))</f>
        <v>0</v>
      </c>
      <c r="AI1829" s="50" t="n">
        <f aca="false">AH1829*CB1829</f>
        <v>0</v>
      </c>
      <c r="AJ1829" s="51" t="n">
        <f aca="false">IF(LEFT(Cockpit!$C$5,1)="A",H1829,IF(CH1829=1,(CK1829+CI1829)/2,IF(LEFT(Cockpit!$C$5,1)="B",(CK1829+AL1829)/2,MAX((CK1829+AL1829)/2,H1829))))</f>
        <v>0</v>
      </c>
      <c r="AK1829" s="50" t="n">
        <f aca="false">AJ1829*G1829</f>
        <v>0</v>
      </c>
      <c r="AL1829" s="50" t="n">
        <f aca="false">ROUNDUP(CK1829+MAX(CL1829,2*(J1829/IF(CG1829&gt;0,CG1829,MAX(0.1,N(Cockpit!$C$6)))-CK1829)),0)</f>
        <v>0</v>
      </c>
      <c r="AM1829" s="51" t="n">
        <f aca="false">IF(AI1829&gt;0,J1829/AI1829,-1)</f>
        <v>-1</v>
      </c>
      <c r="AN1829" s="51" t="str">
        <f aca="false">IF(AND(OR(CF1829="L1",CF1829="L23",CF1829="LIFT"),AI1829&gt;0),SUMIFS($AI$7:$AI$1843,$CF$7:$CF$1843,CF1829,$AM$7:$AM$1843,"&gt;"&amp;AM1829)+SUMIFS($AI$7:$AI$1843,$CF$7:$CF$1843,CF1829,$AM$7:$AM$1843,AM1829,$BW$7:$BW$1843,"&lt;="&amp;BW1829),"")</f>
        <v/>
      </c>
      <c r="AO1829" s="58" t="n">
        <f aca="false">IF(AN1829="",0,MAX(0,MIN(1,(IF(CF1829="L1",Parameter!$H$5,IF(CF1829="L23",Parameter!$H$6+Parameter!$H$7,Parameter!$H$5+Parameter!$H$6+Parameter!$H$7))-(AN1829-AI1829))/AI1829)))</f>
        <v>0</v>
      </c>
      <c r="AP1829" s="50" t="n">
        <f aca="false">IF(LEFT(Cockpit!$I$5,1)="A",H1829,IF(Parameter!$E$30="MAX-Bestand",IF(CH1829=1,CI1829,IF(LEFT(Cockpit!$I$5,1)="B",AV1829,MAX(AV1829,H1829))),ROUNDUP(AT1829,0)))</f>
        <v>0</v>
      </c>
      <c r="AQ1829" s="50" t="n">
        <f aca="false">IF(BZ1829=1,0,ROUNDUP(AP1829/BY1829,0))</f>
        <v>0</v>
      </c>
      <c r="AR1829" s="52" t="n">
        <f aca="false">IF(CQ1829&gt;0,CQ1829*MAX(1,AP1829/X1829),IF(BZ1829=1,IF(AP1829&lt;=0,0,CD1829*MAX(1,IF(H1829&gt;0,AP1829/H1829,1))),IF(R1829&gt;0,AQ1829/R1829,0))/MAX(0.1,N(Parameter!$M$21)))</f>
        <v>0</v>
      </c>
      <c r="AS1829" s="50" t="n">
        <f aca="false">AR1829*CB1829</f>
        <v>0</v>
      </c>
      <c r="AT1829" s="51" t="n">
        <f aca="false">IF(LEFT(Cockpit!$I$5,1)="A",H1829,IF(CH1829=1,(CK1829+CI1829)/2,IF(LEFT(Cockpit!$I$5,1)="B",(CK1829+AV1829)/2,MAX((CK1829+AV1829)/2,H1829))))</f>
        <v>0</v>
      </c>
      <c r="AU1829" s="50" t="n">
        <f aca="false">AT1829*G1829</f>
        <v>0</v>
      </c>
      <c r="AV1829" s="50" t="n">
        <f aca="false">ROUNDUP(CK1829+MAX(CL1829,2*(J1829/IF(CG1829&gt;0,CG1829,MAX(0.1,N(Cockpit!$I$6)))-CK1829)),0)</f>
        <v>0</v>
      </c>
      <c r="AW1829" s="51" t="n">
        <f aca="false">IF(AS1829&gt;0,J1829/AS1829,-1)</f>
        <v>-1</v>
      </c>
      <c r="AX1829" s="51" t="str">
        <f aca="false">IF(AND(OR(CF1829="L1",CF1829="L23",CF1829="LIFT"),AS1829&gt;0),SUMIFS($AS$7:$AS$1843,$CF$7:$CF$1843,CF1829,$AW$7:$AW$1843,"&gt;"&amp;AW1829)+SUMIFS($AS$7:$AS$1843,$CF$7:$CF$1843,CF1829,$AW$7:$AW$1843,AW1829,$BW$7:$BW$1843,"&lt;="&amp;BW1829),"")</f>
        <v/>
      </c>
      <c r="AY1829" s="58" t="n">
        <f aca="false">IF(AX1829="",0,MAX(0,MIN(1,(IF(CF1829="L1",Parameter!$H$5,IF(CF1829="L23",Parameter!$H$6+Parameter!$H$7,Parameter!$H$5+Parameter!$H$6+Parameter!$H$7))-(AX1829-AS1829))/AS1829)))</f>
        <v>0</v>
      </c>
      <c r="AZ1829" s="50" t="n">
        <f aca="false">IF(LEFT(Cockpit!$O$5,1)="A",H1829,IF(Parameter!$E$30="MAX-Bestand",IF(CH1829=1,CI1829,IF(LEFT(Cockpit!$O$5,1)="B",BF1829,MAX(BF1829,H1829))),ROUNDUP(BD1829,0)))</f>
        <v>0</v>
      </c>
      <c r="BA1829" s="50" t="n">
        <f aca="false">IF(BZ1829=1,0,ROUNDUP(AZ1829/BY1829,0))</f>
        <v>0</v>
      </c>
      <c r="BB1829" s="52" t="n">
        <f aca="false">IF(CQ1829&gt;0,CQ1829*MAX(1,AZ1829/X1829),IF(BZ1829=1,IF(AZ1829&lt;=0,0,CD1829*MAX(1,IF(H1829&gt;0,AZ1829/H1829,1))),IF(R1829&gt;0,BA1829/R1829,0))/MAX(0.1,N(Parameter!$M$21)))</f>
        <v>0</v>
      </c>
      <c r="BC1829" s="50" t="n">
        <f aca="false">BB1829*CB1829</f>
        <v>0</v>
      </c>
      <c r="BD1829" s="51" t="n">
        <f aca="false">IF(LEFT(Cockpit!$O$5,1)="A",H1829,IF(CH1829=1,(CK1829+CI1829)/2,IF(LEFT(Cockpit!$O$5,1)="B",(CK1829+BF1829)/2,MAX((CK1829+BF1829)/2,H1829))))</f>
        <v>0</v>
      </c>
      <c r="BE1829" s="50" t="n">
        <f aca="false">BD1829*G1829</f>
        <v>0</v>
      </c>
      <c r="BF1829" s="50" t="n">
        <f aca="false">ROUNDUP(CK1829+MAX(CL1829,2*(J1829/IF(CG1829&gt;0,CG1829,MAX(0.1,N(Cockpit!$O$6)))-CK1829)),0)</f>
        <v>0</v>
      </c>
      <c r="BG1829" s="51" t="n">
        <f aca="false">IF(BC1829&gt;0,J1829/BC1829,-1)</f>
        <v>-1</v>
      </c>
      <c r="BH1829" s="51" t="str">
        <f aca="false">IF(AND(OR(CF1829="L1",CF1829="L23",CF1829="LIFT"),BC1829&gt;0),SUMIFS($BC$7:$BC$1843,$CF$7:$CF$1843,CF1829,$BG$7:$BG$1843,"&gt;"&amp;BG1829)+SUMIFS($BC$7:$BC$1843,$CF$7:$CF$1843,CF1829,$BG$7:$BG$1843,BG1829,$BW$7:$BW$1843,"&lt;="&amp;BW1829),"")</f>
        <v/>
      </c>
      <c r="BI1829" s="58" t="n">
        <f aca="false">IF(BH1829="",0,MAX(0,MIN(1,(IF(CF1829="L1",Parameter!$H$5,IF(CF1829="L23",Parameter!$H$6+Parameter!$H$7,Parameter!$H$5+Parameter!$H$6+Parameter!$H$7))-(BH1829-BC1829))/BC1829)))</f>
        <v>0</v>
      </c>
      <c r="BJ1829" s="48" t="str">
        <f aca="false">IF(AI1829&lt;=0,"",IF(CF1829="Aussen","Aussenlager",IF(CF1829="-","Nicht im Lift",IF(AO1829&gt;=1,"Lift",IF(AO1829&lt;=0,"Aussenlager","teilweise")))))</f>
        <v/>
      </c>
      <c r="BK1829" s="48" t="str">
        <f aca="false">IF(AS1829&lt;=0,"",IF(CF1829="Aussen","Aussenlager",IF(CF1829="-","Nicht im Lift",IF(AY1829&gt;=1,"Lift",IF(AY1829&lt;=0,"Aussenlager","teilweise")))))</f>
        <v/>
      </c>
      <c r="BL1829" s="48" t="str">
        <f aca="false">IF(BC1829&lt;=0,"",IF(CF1829="Aussen","Aussenlager",IF(CF1829="-","Nicht im Lift",IF(BI1829&gt;=1,"Lift",IF(BI1829&lt;=0,"Aussenlager","teilweise")))))</f>
        <v/>
      </c>
      <c r="BM1829" s="48" t="str">
        <f aca="false">IF(A1829="","",IF(BV1829=1,"Neu; ","")&amp;IF(AND(BV1829=0,BQ1829&lt;0),"negativer Bestand (Export "&amp;BQ1829&amp;"); ","")&amp;IF(J1829&lt;=0,"Kein Verbrauch; ","")&amp;IF(CQ1829&gt;0,"Lift "&amp;W1829&amp;" lt. Liftbericht (Fach "&amp;X1829&amp;" Stk); ",IF(CA1829=1,"Gebinde geschätzt ("&amp;T1829&amp;"); ",IF(BZ1829=1,"Lose – Tablare geschätzt; ","")))&amp;IF(H1829&gt;AV1829,"Überbestand "&amp;ROUND(H1829-AV1829,0)&amp;" Stk / CHF "&amp;ROUND((H1829-AV1829)*G1829,0)&amp;"; ","")&amp;IF(AND(CH1829=1,CI1829&lt;CJ1829),"MAX &lt; MB+LG; ","")&amp;IF(AND(CP1829&gt;0,CO1829*10&gt;CP1829),"zu hoch für Tablar; ","")&amp;IF(AND(BV1829=0,OR(CH1829=1,AA1829&lt;&gt;"",U1829&lt;&gt;"",V1829&lt;&gt;"",AB1829&lt;&gt;"")),"manuell übersteuert; ","")&amp;IF(AND(BZ1829=0,R1829=0),"Gebinde unbekannt / Stellmass fehlt; ","")&amp;IF(AND(BZ1829=0,N(V1829)&lt;=0,N(Q1829)&lt;=0),"Menge pro Gebinde fehlt (Ist = 1 Gebinde); ","")&amp;BU1829)</f>
        <v/>
      </c>
      <c r="BN1829" s="48"/>
      <c r="BO1829" s="48"/>
      <c r="BP1829" s="55"/>
      <c r="BQ1829" s="50" t="n">
        <f aca="false">N('Neue Artikel'!$D$90)</f>
        <v>0</v>
      </c>
      <c r="BR1829" s="50" t="n">
        <v>0</v>
      </c>
      <c r="BS1829" s="49" t="n">
        <v>0</v>
      </c>
      <c r="BT1829" s="50" t="n">
        <f aca="false">N('Neue Artikel'!$C$90)/Parameter!$B$18</f>
        <v>0</v>
      </c>
      <c r="BU1829" s="48"/>
      <c r="BV1829" s="53" t="n">
        <v>1</v>
      </c>
      <c r="BW1829" s="53" t="n">
        <v>1829</v>
      </c>
      <c r="BX1829" s="48" t="str">
        <f aca="false">IF(U1829&lt;&gt;"",UPPER(TRIM(U1829)),IF(CA1829=1,UPPER(VLOOKUP(T1829,Parameter!$I$27:$K$29,2,0)),IF(P1829="","LOSE",P1829)))</f>
        <v>LOSE</v>
      </c>
      <c r="BY1829" s="50" t="n">
        <f aca="false">IF(BX1829="LOSE",1,IF(N(V1829)&gt;0,V1829,IF(CA1829=1,MAX(1,N(VLOOKUP(T1829,Parameter!$I$27:$K$29,3,0)),H1829,N(N1829)),IF(N(Q1829)&gt;0,Q1829,MAX(1,H1829)))))</f>
        <v>1</v>
      </c>
      <c r="BZ1829" s="53" t="n">
        <f aca="false">IF(BX1829="LOSE",1,0)</f>
        <v>1</v>
      </c>
      <c r="CA1829" s="53" t="n">
        <f aca="false">IF(AND(U1829="",OR(P1829="",P1829="LOSE"),T1829&lt;&gt;"",N(S1829)&lt;=0,ISNUMBER(MATCH(T1829,Parameter!$I$27:$I$29,0))),1,0)</f>
        <v>0</v>
      </c>
      <c r="CB1829" s="53" t="n">
        <f aca="false">IF(CQ1829&gt;0,INDEX(Parameter!$H$5:$H$7,W1829)/INDEX(Parameter!$E$5:$E$7,W1829),IF(AND(BZ1829=0,N(IFERROR(VLOOKUP(BX1829,'Gebinde-Kategorie'!$A$5:$N$45,14,0),0))&gt;0),VLOOKUP(BX1829,'Gebinde-Kategorie'!$A$5:$N$45,14,0)*10+Parameter!$M$23,Parameter!$M$24))</f>
        <v>235</v>
      </c>
      <c r="CC1829" s="48" t="str">
        <f aca="false">IF(AND(Parameter!$B$19="Ja",E1829&lt;&gt;"",ISNUMBER(MATCH(E1829,Parameter!$I$35:$I$52,0))),VLOOKUP(E1829,Parameter!$I$35:$J$52,2,0),IFERROR(VLOOKUP(D1829,Parameter!$A$35:$C$64,2,0),"Nein"))</f>
        <v>2+3</v>
      </c>
      <c r="CD1829" s="52" t="n">
        <f aca="false">IF(BZ1829=0,0,IF(N(S1829)&gt;0,S1829,IFERROR(VLOOKUP(D1829,Parameter!$A$35:$C$64,3,0)+0,0)))</f>
        <v>0.15</v>
      </c>
      <c r="CE1829" s="48" t="str">
        <f aca="false">IF(AA1829&lt;&gt;"",AA1829,Z1829)</f>
        <v/>
      </c>
      <c r="CF1829" s="48" t="str">
        <f aca="false">IF(OR(CE1829=1,CE1829=2,CE1829=3),IF(Parameter!$E$27="Ja","LIFT",IF(CE1829=1,"L1","L23")),IF(CE1829="Aussen","Aussen","-"))</f>
        <v>-</v>
      </c>
      <c r="CG1829" s="59" t="n">
        <f aca="false">IF(N(AB1829)&gt;0,AB1829,0)</f>
        <v>0</v>
      </c>
      <c r="CH1829" s="53" t="n">
        <f aca="false">IF(ISNUMBER(AE1829),1,0)</f>
        <v>0</v>
      </c>
      <c r="CI1829" s="50" t="n">
        <f aca="false">N(AE1829)</f>
        <v>0</v>
      </c>
      <c r="CJ1829" s="50" t="n">
        <f aca="false">N(M1829)+N(N1829)</f>
        <v>0</v>
      </c>
      <c r="CK1829" s="50" t="n">
        <f aca="false">N(M1829)</f>
        <v>0</v>
      </c>
      <c r="CL1829" s="50" t="n">
        <f aca="false">N(N1829)</f>
        <v>0</v>
      </c>
      <c r="CM1829" s="50" t="n">
        <f aca="false">ROUNDUP(H1829/BY1829,0)</f>
        <v>0</v>
      </c>
      <c r="CN1829" s="50" t="n">
        <f aca="false">ROUNDUP(CI1829/BY1829,0)</f>
        <v>0</v>
      </c>
      <c r="CO1829" s="53" t="n">
        <f aca="false">IF(BZ1829=1,0,IFERROR(VLOOKUP(BX1829,'Gebinde-Kategorie'!$A$5:$N$45,5,0)+0,0))</f>
        <v>0</v>
      </c>
      <c r="CP1829" s="53" t="n">
        <f aca="false">IFERROR(IF(OR(CE1829=1,CE1829=2,CE1829=3),N(INDEX(Parameter!$I$5:$I$7,CE1829)),0),0)</f>
        <v>0</v>
      </c>
      <c r="CQ1829" s="52" t="n">
        <f aca="false">IF(AND(Parameter!$B$21="Ja",ISNUMBER(W1829),N(X1829)&gt;0),IFERROR(N(INDEX(Parameter!$L$5:$L$7,W1829))*INDEX(Parameter!$E$5:$E$7,W1829)*X1829/SUMIFS($X$7:$X$1843,$W$7:$W$1843,W1829),0),0)</f>
        <v>0</v>
      </c>
    </row>
    <row r="1830" customFormat="false" ht="15" hidden="false" customHeight="false" outlineLevel="0" collapsed="false">
      <c r="A1830" s="48" t="str">
        <f aca="false">IF('Neue Artikel'!$A$91="","",'Neue Artikel'!$A$91&amp;"")</f>
        <v/>
      </c>
      <c r="B1830" s="48" t="str">
        <f aca="false">'Neue Artikel'!$B$91&amp;""</f>
        <v/>
      </c>
      <c r="C1830" s="48"/>
      <c r="D1830" s="48" t="s">
        <v>3024</v>
      </c>
      <c r="E1830" s="48"/>
      <c r="F1830" s="48"/>
      <c r="G1830" s="49" t="n">
        <f aca="false">N('Neue Artikel'!$G$91)</f>
        <v>0</v>
      </c>
      <c r="H1830" s="50" t="n">
        <f aca="false">MAX(0,IF(AND(Parameter!$B$21="Ja",ISNUMBER(Y1830)),Y1830,IF(Parameter!$B$20="Jahresanfang 2025 + Export",BR1830+BQ1830,BQ1830)))</f>
        <v>0</v>
      </c>
      <c r="I1830" s="50" t="n">
        <f aca="false">H1830*G1830</f>
        <v>0</v>
      </c>
      <c r="J1830" s="50" t="n">
        <f aca="false">BT1830*Parameter!$B$18</f>
        <v>0</v>
      </c>
      <c r="K1830" s="51"/>
      <c r="L1830" s="52"/>
      <c r="M1830" s="50" t="n">
        <f aca="false">N('Neue Artikel'!$E$91)</f>
        <v>0</v>
      </c>
      <c r="N1830" s="50" t="n">
        <f aca="false">N('Neue Artikel'!$F$91)</f>
        <v>0</v>
      </c>
      <c r="O1830" s="53"/>
      <c r="P1830" s="48" t="str">
        <f aca="false">IF('Neue Artikel'!$H$91="","LOSE",UPPER(TRIM('Neue Artikel'!$H$91)))</f>
        <v>LOSE</v>
      </c>
      <c r="Q1830" s="50" t="n">
        <f aca="false">N('Neue Artikel'!$I$91)</f>
        <v>0</v>
      </c>
      <c r="R1830" s="53" t="n">
        <f aca="false">IF(BZ1830=1,0,IFERROR(VLOOKUP(BX1830,'Gebinde-Kategorie'!$A$5:$N$45,13,0)+0,0))</f>
        <v>0</v>
      </c>
      <c r="S1830" s="54"/>
      <c r="T1830" s="55"/>
      <c r="U1830" s="55"/>
      <c r="V1830" s="55"/>
      <c r="W1830" s="48"/>
      <c r="X1830" s="50"/>
      <c r="Y1830" s="50"/>
      <c r="Z1830" s="48" t="str">
        <f aca="false">IF(A1830="","",IF(AND(Parameter!$B$21="Ja",ISNUMBER(W1830)),W1830,IF(CC1830="2+3",IF(ISNUMBER(SEARCH("grosser Artikel",BU1830)),2,IFERROR(VLOOKUP(BX1830,Parameter!$F$35:$G$64,2,0),2)),IF(OR(CC1830="Nein",CC1830=""),"-",CC1830))))</f>
        <v/>
      </c>
      <c r="AA1830" s="48" t="str">
        <f aca="false">IF('Neue Artikel'!$J$91="","",'Neue Artikel'!$J$91)</f>
        <v/>
      </c>
      <c r="AB1830" s="56"/>
      <c r="AC1830" s="50" t="n">
        <f aca="false">AV1830</f>
        <v>0</v>
      </c>
      <c r="AD1830" s="50" t="n">
        <f aca="false">MAX(AV1830,H1830)</f>
        <v>0</v>
      </c>
      <c r="AE1830" s="57"/>
      <c r="AF1830" s="50" t="n">
        <f aca="false">IF(LEFT(Cockpit!$C$5,1)="A",H1830,IF(Parameter!$E$30="MAX-Bestand",IF(CH1830=1,CI1830,IF(LEFT(Cockpit!$C$5,1)="B",AL1830,MAX(AL1830,H1830))),ROUNDUP(AJ1830,0)))</f>
        <v>0</v>
      </c>
      <c r="AG1830" s="50" t="n">
        <f aca="false">IF(BZ1830=1,0,ROUNDUP(AF1830/BY1830,0))</f>
        <v>0</v>
      </c>
      <c r="AH1830" s="52" t="n">
        <f aca="false">IF(CQ1830&gt;0,CQ1830*MAX(1,AF1830/X1830),IF(BZ1830=1,IF(AF1830&lt;=0,0,CD1830*MAX(1,IF(H1830&gt;0,AF1830/H1830,1))),IF(R1830&gt;0,AG1830/R1830,0))/MAX(0.1,N(Parameter!$M$21)))</f>
        <v>0</v>
      </c>
      <c r="AI1830" s="50" t="n">
        <f aca="false">AH1830*CB1830</f>
        <v>0</v>
      </c>
      <c r="AJ1830" s="51" t="n">
        <f aca="false">IF(LEFT(Cockpit!$C$5,1)="A",H1830,IF(CH1830=1,(CK1830+CI1830)/2,IF(LEFT(Cockpit!$C$5,1)="B",(CK1830+AL1830)/2,MAX((CK1830+AL1830)/2,H1830))))</f>
        <v>0</v>
      </c>
      <c r="AK1830" s="50" t="n">
        <f aca="false">AJ1830*G1830</f>
        <v>0</v>
      </c>
      <c r="AL1830" s="50" t="n">
        <f aca="false">ROUNDUP(CK1830+MAX(CL1830,2*(J1830/IF(CG1830&gt;0,CG1830,MAX(0.1,N(Cockpit!$C$6)))-CK1830)),0)</f>
        <v>0</v>
      </c>
      <c r="AM1830" s="51" t="n">
        <f aca="false">IF(AI1830&gt;0,J1830/AI1830,-1)</f>
        <v>-1</v>
      </c>
      <c r="AN1830" s="51" t="str">
        <f aca="false">IF(AND(OR(CF1830="L1",CF1830="L23",CF1830="LIFT"),AI1830&gt;0),SUMIFS($AI$7:$AI$1843,$CF$7:$CF$1843,CF1830,$AM$7:$AM$1843,"&gt;"&amp;AM1830)+SUMIFS($AI$7:$AI$1843,$CF$7:$CF$1843,CF1830,$AM$7:$AM$1843,AM1830,$BW$7:$BW$1843,"&lt;="&amp;BW1830),"")</f>
        <v/>
      </c>
      <c r="AO1830" s="58" t="n">
        <f aca="false">IF(AN1830="",0,MAX(0,MIN(1,(IF(CF1830="L1",Parameter!$H$5,IF(CF1830="L23",Parameter!$H$6+Parameter!$H$7,Parameter!$H$5+Parameter!$H$6+Parameter!$H$7))-(AN1830-AI1830))/AI1830)))</f>
        <v>0</v>
      </c>
      <c r="AP1830" s="50" t="n">
        <f aca="false">IF(LEFT(Cockpit!$I$5,1)="A",H1830,IF(Parameter!$E$30="MAX-Bestand",IF(CH1830=1,CI1830,IF(LEFT(Cockpit!$I$5,1)="B",AV1830,MAX(AV1830,H1830))),ROUNDUP(AT1830,0)))</f>
        <v>0</v>
      </c>
      <c r="AQ1830" s="50" t="n">
        <f aca="false">IF(BZ1830=1,0,ROUNDUP(AP1830/BY1830,0))</f>
        <v>0</v>
      </c>
      <c r="AR1830" s="52" t="n">
        <f aca="false">IF(CQ1830&gt;0,CQ1830*MAX(1,AP1830/X1830),IF(BZ1830=1,IF(AP1830&lt;=0,0,CD1830*MAX(1,IF(H1830&gt;0,AP1830/H1830,1))),IF(R1830&gt;0,AQ1830/R1830,0))/MAX(0.1,N(Parameter!$M$21)))</f>
        <v>0</v>
      </c>
      <c r="AS1830" s="50" t="n">
        <f aca="false">AR1830*CB1830</f>
        <v>0</v>
      </c>
      <c r="AT1830" s="51" t="n">
        <f aca="false">IF(LEFT(Cockpit!$I$5,1)="A",H1830,IF(CH1830=1,(CK1830+CI1830)/2,IF(LEFT(Cockpit!$I$5,1)="B",(CK1830+AV1830)/2,MAX((CK1830+AV1830)/2,H1830))))</f>
        <v>0</v>
      </c>
      <c r="AU1830" s="50" t="n">
        <f aca="false">AT1830*G1830</f>
        <v>0</v>
      </c>
      <c r="AV1830" s="50" t="n">
        <f aca="false">ROUNDUP(CK1830+MAX(CL1830,2*(J1830/IF(CG1830&gt;0,CG1830,MAX(0.1,N(Cockpit!$I$6)))-CK1830)),0)</f>
        <v>0</v>
      </c>
      <c r="AW1830" s="51" t="n">
        <f aca="false">IF(AS1830&gt;0,J1830/AS1830,-1)</f>
        <v>-1</v>
      </c>
      <c r="AX1830" s="51" t="str">
        <f aca="false">IF(AND(OR(CF1830="L1",CF1830="L23",CF1830="LIFT"),AS1830&gt;0),SUMIFS($AS$7:$AS$1843,$CF$7:$CF$1843,CF1830,$AW$7:$AW$1843,"&gt;"&amp;AW1830)+SUMIFS($AS$7:$AS$1843,$CF$7:$CF$1843,CF1830,$AW$7:$AW$1843,AW1830,$BW$7:$BW$1843,"&lt;="&amp;BW1830),"")</f>
        <v/>
      </c>
      <c r="AY1830" s="58" t="n">
        <f aca="false">IF(AX1830="",0,MAX(0,MIN(1,(IF(CF1830="L1",Parameter!$H$5,IF(CF1830="L23",Parameter!$H$6+Parameter!$H$7,Parameter!$H$5+Parameter!$H$6+Parameter!$H$7))-(AX1830-AS1830))/AS1830)))</f>
        <v>0</v>
      </c>
      <c r="AZ1830" s="50" t="n">
        <f aca="false">IF(LEFT(Cockpit!$O$5,1)="A",H1830,IF(Parameter!$E$30="MAX-Bestand",IF(CH1830=1,CI1830,IF(LEFT(Cockpit!$O$5,1)="B",BF1830,MAX(BF1830,H1830))),ROUNDUP(BD1830,0)))</f>
        <v>0</v>
      </c>
      <c r="BA1830" s="50" t="n">
        <f aca="false">IF(BZ1830=1,0,ROUNDUP(AZ1830/BY1830,0))</f>
        <v>0</v>
      </c>
      <c r="BB1830" s="52" t="n">
        <f aca="false">IF(CQ1830&gt;0,CQ1830*MAX(1,AZ1830/X1830),IF(BZ1830=1,IF(AZ1830&lt;=0,0,CD1830*MAX(1,IF(H1830&gt;0,AZ1830/H1830,1))),IF(R1830&gt;0,BA1830/R1830,0))/MAX(0.1,N(Parameter!$M$21)))</f>
        <v>0</v>
      </c>
      <c r="BC1830" s="50" t="n">
        <f aca="false">BB1830*CB1830</f>
        <v>0</v>
      </c>
      <c r="BD1830" s="51" t="n">
        <f aca="false">IF(LEFT(Cockpit!$O$5,1)="A",H1830,IF(CH1830=1,(CK1830+CI1830)/2,IF(LEFT(Cockpit!$O$5,1)="B",(CK1830+BF1830)/2,MAX((CK1830+BF1830)/2,H1830))))</f>
        <v>0</v>
      </c>
      <c r="BE1830" s="50" t="n">
        <f aca="false">BD1830*G1830</f>
        <v>0</v>
      </c>
      <c r="BF1830" s="50" t="n">
        <f aca="false">ROUNDUP(CK1830+MAX(CL1830,2*(J1830/IF(CG1830&gt;0,CG1830,MAX(0.1,N(Cockpit!$O$6)))-CK1830)),0)</f>
        <v>0</v>
      </c>
      <c r="BG1830" s="51" t="n">
        <f aca="false">IF(BC1830&gt;0,J1830/BC1830,-1)</f>
        <v>-1</v>
      </c>
      <c r="BH1830" s="51" t="str">
        <f aca="false">IF(AND(OR(CF1830="L1",CF1830="L23",CF1830="LIFT"),BC1830&gt;0),SUMIFS($BC$7:$BC$1843,$CF$7:$CF$1843,CF1830,$BG$7:$BG$1843,"&gt;"&amp;BG1830)+SUMIFS($BC$7:$BC$1843,$CF$7:$CF$1843,CF1830,$BG$7:$BG$1843,BG1830,$BW$7:$BW$1843,"&lt;="&amp;BW1830),"")</f>
        <v/>
      </c>
      <c r="BI1830" s="58" t="n">
        <f aca="false">IF(BH1830="",0,MAX(0,MIN(1,(IF(CF1830="L1",Parameter!$H$5,IF(CF1830="L23",Parameter!$H$6+Parameter!$H$7,Parameter!$H$5+Parameter!$H$6+Parameter!$H$7))-(BH1830-BC1830))/BC1830)))</f>
        <v>0</v>
      </c>
      <c r="BJ1830" s="48" t="str">
        <f aca="false">IF(AI1830&lt;=0,"",IF(CF1830="Aussen","Aussenlager",IF(CF1830="-","Nicht im Lift",IF(AO1830&gt;=1,"Lift",IF(AO1830&lt;=0,"Aussenlager","teilweise")))))</f>
        <v/>
      </c>
      <c r="BK1830" s="48" t="str">
        <f aca="false">IF(AS1830&lt;=0,"",IF(CF1830="Aussen","Aussenlager",IF(CF1830="-","Nicht im Lift",IF(AY1830&gt;=1,"Lift",IF(AY1830&lt;=0,"Aussenlager","teilweise")))))</f>
        <v/>
      </c>
      <c r="BL1830" s="48" t="str">
        <f aca="false">IF(BC1830&lt;=0,"",IF(CF1830="Aussen","Aussenlager",IF(CF1830="-","Nicht im Lift",IF(BI1830&gt;=1,"Lift",IF(BI1830&lt;=0,"Aussenlager","teilweise")))))</f>
        <v/>
      </c>
      <c r="BM1830" s="48" t="str">
        <f aca="false">IF(A1830="","",IF(BV1830=1,"Neu; ","")&amp;IF(AND(BV1830=0,BQ1830&lt;0),"negativer Bestand (Export "&amp;BQ1830&amp;"); ","")&amp;IF(J1830&lt;=0,"Kein Verbrauch; ","")&amp;IF(CQ1830&gt;0,"Lift "&amp;W1830&amp;" lt. Liftbericht (Fach "&amp;X1830&amp;" Stk); ",IF(CA1830=1,"Gebinde geschätzt ("&amp;T1830&amp;"); ",IF(BZ1830=1,"Lose – Tablare geschätzt; ","")))&amp;IF(H1830&gt;AV1830,"Überbestand "&amp;ROUND(H1830-AV1830,0)&amp;" Stk / CHF "&amp;ROUND((H1830-AV1830)*G1830,0)&amp;"; ","")&amp;IF(AND(CH1830=1,CI1830&lt;CJ1830),"MAX &lt; MB+LG; ","")&amp;IF(AND(CP1830&gt;0,CO1830*10&gt;CP1830),"zu hoch für Tablar; ","")&amp;IF(AND(BV1830=0,OR(CH1830=1,AA1830&lt;&gt;"",U1830&lt;&gt;"",V1830&lt;&gt;"",AB1830&lt;&gt;"")),"manuell übersteuert; ","")&amp;IF(AND(BZ1830=0,R1830=0),"Gebinde unbekannt / Stellmass fehlt; ","")&amp;IF(AND(BZ1830=0,N(V1830)&lt;=0,N(Q1830)&lt;=0),"Menge pro Gebinde fehlt (Ist = 1 Gebinde); ","")&amp;BU1830)</f>
        <v/>
      </c>
      <c r="BN1830" s="48"/>
      <c r="BO1830" s="48"/>
      <c r="BP1830" s="55"/>
      <c r="BQ1830" s="50" t="n">
        <f aca="false">N('Neue Artikel'!$D$91)</f>
        <v>0</v>
      </c>
      <c r="BR1830" s="50" t="n">
        <v>0</v>
      </c>
      <c r="BS1830" s="49" t="n">
        <v>0</v>
      </c>
      <c r="BT1830" s="50" t="n">
        <f aca="false">N('Neue Artikel'!$C$91)/Parameter!$B$18</f>
        <v>0</v>
      </c>
      <c r="BU1830" s="48"/>
      <c r="BV1830" s="53" t="n">
        <v>1</v>
      </c>
      <c r="BW1830" s="53" t="n">
        <v>1830</v>
      </c>
      <c r="BX1830" s="48" t="str">
        <f aca="false">IF(U1830&lt;&gt;"",UPPER(TRIM(U1830)),IF(CA1830=1,UPPER(VLOOKUP(T1830,Parameter!$I$27:$K$29,2,0)),IF(P1830="","LOSE",P1830)))</f>
        <v>LOSE</v>
      </c>
      <c r="BY1830" s="50" t="n">
        <f aca="false">IF(BX1830="LOSE",1,IF(N(V1830)&gt;0,V1830,IF(CA1830=1,MAX(1,N(VLOOKUP(T1830,Parameter!$I$27:$K$29,3,0)),H1830,N(N1830)),IF(N(Q1830)&gt;0,Q1830,MAX(1,H1830)))))</f>
        <v>1</v>
      </c>
      <c r="BZ1830" s="53" t="n">
        <f aca="false">IF(BX1830="LOSE",1,0)</f>
        <v>1</v>
      </c>
      <c r="CA1830" s="53" t="n">
        <f aca="false">IF(AND(U1830="",OR(P1830="",P1830="LOSE"),T1830&lt;&gt;"",N(S1830)&lt;=0,ISNUMBER(MATCH(T1830,Parameter!$I$27:$I$29,0))),1,0)</f>
        <v>0</v>
      </c>
      <c r="CB1830" s="53" t="n">
        <f aca="false">IF(CQ1830&gt;0,INDEX(Parameter!$H$5:$H$7,W1830)/INDEX(Parameter!$E$5:$E$7,W1830),IF(AND(BZ1830=0,N(IFERROR(VLOOKUP(BX1830,'Gebinde-Kategorie'!$A$5:$N$45,14,0),0))&gt;0),VLOOKUP(BX1830,'Gebinde-Kategorie'!$A$5:$N$45,14,0)*10+Parameter!$M$23,Parameter!$M$24))</f>
        <v>235</v>
      </c>
      <c r="CC1830" s="48" t="str">
        <f aca="false">IF(AND(Parameter!$B$19="Ja",E1830&lt;&gt;"",ISNUMBER(MATCH(E1830,Parameter!$I$35:$I$52,0))),VLOOKUP(E1830,Parameter!$I$35:$J$52,2,0),IFERROR(VLOOKUP(D1830,Parameter!$A$35:$C$64,2,0),"Nein"))</f>
        <v>2+3</v>
      </c>
      <c r="CD1830" s="52" t="n">
        <f aca="false">IF(BZ1830=0,0,IF(N(S1830)&gt;0,S1830,IFERROR(VLOOKUP(D1830,Parameter!$A$35:$C$64,3,0)+0,0)))</f>
        <v>0.15</v>
      </c>
      <c r="CE1830" s="48" t="str">
        <f aca="false">IF(AA1830&lt;&gt;"",AA1830,Z1830)</f>
        <v/>
      </c>
      <c r="CF1830" s="48" t="str">
        <f aca="false">IF(OR(CE1830=1,CE1830=2,CE1830=3),IF(Parameter!$E$27="Ja","LIFT",IF(CE1830=1,"L1","L23")),IF(CE1830="Aussen","Aussen","-"))</f>
        <v>-</v>
      </c>
      <c r="CG1830" s="59" t="n">
        <f aca="false">IF(N(AB1830)&gt;0,AB1830,0)</f>
        <v>0</v>
      </c>
      <c r="CH1830" s="53" t="n">
        <f aca="false">IF(ISNUMBER(AE1830),1,0)</f>
        <v>0</v>
      </c>
      <c r="CI1830" s="50" t="n">
        <f aca="false">N(AE1830)</f>
        <v>0</v>
      </c>
      <c r="CJ1830" s="50" t="n">
        <f aca="false">N(M1830)+N(N1830)</f>
        <v>0</v>
      </c>
      <c r="CK1830" s="50" t="n">
        <f aca="false">N(M1830)</f>
        <v>0</v>
      </c>
      <c r="CL1830" s="50" t="n">
        <f aca="false">N(N1830)</f>
        <v>0</v>
      </c>
      <c r="CM1830" s="50" t="n">
        <f aca="false">ROUNDUP(H1830/BY1830,0)</f>
        <v>0</v>
      </c>
      <c r="CN1830" s="50" t="n">
        <f aca="false">ROUNDUP(CI1830/BY1830,0)</f>
        <v>0</v>
      </c>
      <c r="CO1830" s="53" t="n">
        <f aca="false">IF(BZ1830=1,0,IFERROR(VLOOKUP(BX1830,'Gebinde-Kategorie'!$A$5:$N$45,5,0)+0,0))</f>
        <v>0</v>
      </c>
      <c r="CP1830" s="53" t="n">
        <f aca="false">IFERROR(IF(OR(CE1830=1,CE1830=2,CE1830=3),N(INDEX(Parameter!$I$5:$I$7,CE1830)),0),0)</f>
        <v>0</v>
      </c>
      <c r="CQ1830" s="52" t="n">
        <f aca="false">IF(AND(Parameter!$B$21="Ja",ISNUMBER(W1830),N(X1830)&gt;0),IFERROR(N(INDEX(Parameter!$L$5:$L$7,W1830))*INDEX(Parameter!$E$5:$E$7,W1830)*X1830/SUMIFS($X$7:$X$1843,$W$7:$W$1843,W1830),0),0)</f>
        <v>0</v>
      </c>
    </row>
    <row r="1831" customFormat="false" ht="15" hidden="false" customHeight="false" outlineLevel="0" collapsed="false">
      <c r="A1831" s="48" t="str">
        <f aca="false">IF('Neue Artikel'!$A$92="","",'Neue Artikel'!$A$92&amp;"")</f>
        <v/>
      </c>
      <c r="B1831" s="48" t="str">
        <f aca="false">'Neue Artikel'!$B$92&amp;""</f>
        <v/>
      </c>
      <c r="C1831" s="48"/>
      <c r="D1831" s="48" t="s">
        <v>3024</v>
      </c>
      <c r="E1831" s="48"/>
      <c r="F1831" s="48"/>
      <c r="G1831" s="49" t="n">
        <f aca="false">N('Neue Artikel'!$G$92)</f>
        <v>0</v>
      </c>
      <c r="H1831" s="50" t="n">
        <f aca="false">MAX(0,IF(AND(Parameter!$B$21="Ja",ISNUMBER(Y1831)),Y1831,IF(Parameter!$B$20="Jahresanfang 2025 + Export",BR1831+BQ1831,BQ1831)))</f>
        <v>0</v>
      </c>
      <c r="I1831" s="50" t="n">
        <f aca="false">H1831*G1831</f>
        <v>0</v>
      </c>
      <c r="J1831" s="50" t="n">
        <f aca="false">BT1831*Parameter!$B$18</f>
        <v>0</v>
      </c>
      <c r="K1831" s="51"/>
      <c r="L1831" s="52"/>
      <c r="M1831" s="50" t="n">
        <f aca="false">N('Neue Artikel'!$E$92)</f>
        <v>0</v>
      </c>
      <c r="N1831" s="50" t="n">
        <f aca="false">N('Neue Artikel'!$F$92)</f>
        <v>0</v>
      </c>
      <c r="O1831" s="53"/>
      <c r="P1831" s="48" t="str">
        <f aca="false">IF('Neue Artikel'!$H$92="","LOSE",UPPER(TRIM('Neue Artikel'!$H$92)))</f>
        <v>LOSE</v>
      </c>
      <c r="Q1831" s="50" t="n">
        <f aca="false">N('Neue Artikel'!$I$92)</f>
        <v>0</v>
      </c>
      <c r="R1831" s="53" t="n">
        <f aca="false">IF(BZ1831=1,0,IFERROR(VLOOKUP(BX1831,'Gebinde-Kategorie'!$A$5:$N$45,13,0)+0,0))</f>
        <v>0</v>
      </c>
      <c r="S1831" s="54"/>
      <c r="T1831" s="55"/>
      <c r="U1831" s="55"/>
      <c r="V1831" s="55"/>
      <c r="W1831" s="48"/>
      <c r="X1831" s="50"/>
      <c r="Y1831" s="50"/>
      <c r="Z1831" s="48" t="str">
        <f aca="false">IF(A1831="","",IF(AND(Parameter!$B$21="Ja",ISNUMBER(W1831)),W1831,IF(CC1831="2+3",IF(ISNUMBER(SEARCH("grosser Artikel",BU1831)),2,IFERROR(VLOOKUP(BX1831,Parameter!$F$35:$G$64,2,0),2)),IF(OR(CC1831="Nein",CC1831=""),"-",CC1831))))</f>
        <v/>
      </c>
      <c r="AA1831" s="48" t="str">
        <f aca="false">IF('Neue Artikel'!$J$92="","",'Neue Artikel'!$J$92)</f>
        <v/>
      </c>
      <c r="AB1831" s="56"/>
      <c r="AC1831" s="50" t="n">
        <f aca="false">AV1831</f>
        <v>0</v>
      </c>
      <c r="AD1831" s="50" t="n">
        <f aca="false">MAX(AV1831,H1831)</f>
        <v>0</v>
      </c>
      <c r="AE1831" s="57"/>
      <c r="AF1831" s="50" t="n">
        <f aca="false">IF(LEFT(Cockpit!$C$5,1)="A",H1831,IF(Parameter!$E$30="MAX-Bestand",IF(CH1831=1,CI1831,IF(LEFT(Cockpit!$C$5,1)="B",AL1831,MAX(AL1831,H1831))),ROUNDUP(AJ1831,0)))</f>
        <v>0</v>
      </c>
      <c r="AG1831" s="50" t="n">
        <f aca="false">IF(BZ1831=1,0,ROUNDUP(AF1831/BY1831,0))</f>
        <v>0</v>
      </c>
      <c r="AH1831" s="52" t="n">
        <f aca="false">IF(CQ1831&gt;0,CQ1831*MAX(1,AF1831/X1831),IF(BZ1831=1,IF(AF1831&lt;=0,0,CD1831*MAX(1,IF(H1831&gt;0,AF1831/H1831,1))),IF(R1831&gt;0,AG1831/R1831,0))/MAX(0.1,N(Parameter!$M$21)))</f>
        <v>0</v>
      </c>
      <c r="AI1831" s="50" t="n">
        <f aca="false">AH1831*CB1831</f>
        <v>0</v>
      </c>
      <c r="AJ1831" s="51" t="n">
        <f aca="false">IF(LEFT(Cockpit!$C$5,1)="A",H1831,IF(CH1831=1,(CK1831+CI1831)/2,IF(LEFT(Cockpit!$C$5,1)="B",(CK1831+AL1831)/2,MAX((CK1831+AL1831)/2,H1831))))</f>
        <v>0</v>
      </c>
      <c r="AK1831" s="50" t="n">
        <f aca="false">AJ1831*G1831</f>
        <v>0</v>
      </c>
      <c r="AL1831" s="50" t="n">
        <f aca="false">ROUNDUP(CK1831+MAX(CL1831,2*(J1831/IF(CG1831&gt;0,CG1831,MAX(0.1,N(Cockpit!$C$6)))-CK1831)),0)</f>
        <v>0</v>
      </c>
      <c r="AM1831" s="51" t="n">
        <f aca="false">IF(AI1831&gt;0,J1831/AI1831,-1)</f>
        <v>-1</v>
      </c>
      <c r="AN1831" s="51" t="str">
        <f aca="false">IF(AND(OR(CF1831="L1",CF1831="L23",CF1831="LIFT"),AI1831&gt;0),SUMIFS($AI$7:$AI$1843,$CF$7:$CF$1843,CF1831,$AM$7:$AM$1843,"&gt;"&amp;AM1831)+SUMIFS($AI$7:$AI$1843,$CF$7:$CF$1843,CF1831,$AM$7:$AM$1843,AM1831,$BW$7:$BW$1843,"&lt;="&amp;BW1831),"")</f>
        <v/>
      </c>
      <c r="AO1831" s="58" t="n">
        <f aca="false">IF(AN1831="",0,MAX(0,MIN(1,(IF(CF1831="L1",Parameter!$H$5,IF(CF1831="L23",Parameter!$H$6+Parameter!$H$7,Parameter!$H$5+Parameter!$H$6+Parameter!$H$7))-(AN1831-AI1831))/AI1831)))</f>
        <v>0</v>
      </c>
      <c r="AP1831" s="50" t="n">
        <f aca="false">IF(LEFT(Cockpit!$I$5,1)="A",H1831,IF(Parameter!$E$30="MAX-Bestand",IF(CH1831=1,CI1831,IF(LEFT(Cockpit!$I$5,1)="B",AV1831,MAX(AV1831,H1831))),ROUNDUP(AT1831,0)))</f>
        <v>0</v>
      </c>
      <c r="AQ1831" s="50" t="n">
        <f aca="false">IF(BZ1831=1,0,ROUNDUP(AP1831/BY1831,0))</f>
        <v>0</v>
      </c>
      <c r="AR1831" s="52" t="n">
        <f aca="false">IF(CQ1831&gt;0,CQ1831*MAX(1,AP1831/X1831),IF(BZ1831=1,IF(AP1831&lt;=0,0,CD1831*MAX(1,IF(H1831&gt;0,AP1831/H1831,1))),IF(R1831&gt;0,AQ1831/R1831,0))/MAX(0.1,N(Parameter!$M$21)))</f>
        <v>0</v>
      </c>
      <c r="AS1831" s="50" t="n">
        <f aca="false">AR1831*CB1831</f>
        <v>0</v>
      </c>
      <c r="AT1831" s="51" t="n">
        <f aca="false">IF(LEFT(Cockpit!$I$5,1)="A",H1831,IF(CH1831=1,(CK1831+CI1831)/2,IF(LEFT(Cockpit!$I$5,1)="B",(CK1831+AV1831)/2,MAX((CK1831+AV1831)/2,H1831))))</f>
        <v>0</v>
      </c>
      <c r="AU1831" s="50" t="n">
        <f aca="false">AT1831*G1831</f>
        <v>0</v>
      </c>
      <c r="AV1831" s="50" t="n">
        <f aca="false">ROUNDUP(CK1831+MAX(CL1831,2*(J1831/IF(CG1831&gt;0,CG1831,MAX(0.1,N(Cockpit!$I$6)))-CK1831)),0)</f>
        <v>0</v>
      </c>
      <c r="AW1831" s="51" t="n">
        <f aca="false">IF(AS1831&gt;0,J1831/AS1831,-1)</f>
        <v>-1</v>
      </c>
      <c r="AX1831" s="51" t="str">
        <f aca="false">IF(AND(OR(CF1831="L1",CF1831="L23",CF1831="LIFT"),AS1831&gt;0),SUMIFS($AS$7:$AS$1843,$CF$7:$CF$1843,CF1831,$AW$7:$AW$1843,"&gt;"&amp;AW1831)+SUMIFS($AS$7:$AS$1843,$CF$7:$CF$1843,CF1831,$AW$7:$AW$1843,AW1831,$BW$7:$BW$1843,"&lt;="&amp;BW1831),"")</f>
        <v/>
      </c>
      <c r="AY1831" s="58" t="n">
        <f aca="false">IF(AX1831="",0,MAX(0,MIN(1,(IF(CF1831="L1",Parameter!$H$5,IF(CF1831="L23",Parameter!$H$6+Parameter!$H$7,Parameter!$H$5+Parameter!$H$6+Parameter!$H$7))-(AX1831-AS1831))/AS1831)))</f>
        <v>0</v>
      </c>
      <c r="AZ1831" s="50" t="n">
        <f aca="false">IF(LEFT(Cockpit!$O$5,1)="A",H1831,IF(Parameter!$E$30="MAX-Bestand",IF(CH1831=1,CI1831,IF(LEFT(Cockpit!$O$5,1)="B",BF1831,MAX(BF1831,H1831))),ROUNDUP(BD1831,0)))</f>
        <v>0</v>
      </c>
      <c r="BA1831" s="50" t="n">
        <f aca="false">IF(BZ1831=1,0,ROUNDUP(AZ1831/BY1831,0))</f>
        <v>0</v>
      </c>
      <c r="BB1831" s="52" t="n">
        <f aca="false">IF(CQ1831&gt;0,CQ1831*MAX(1,AZ1831/X1831),IF(BZ1831=1,IF(AZ1831&lt;=0,0,CD1831*MAX(1,IF(H1831&gt;0,AZ1831/H1831,1))),IF(R1831&gt;0,BA1831/R1831,0))/MAX(0.1,N(Parameter!$M$21)))</f>
        <v>0</v>
      </c>
      <c r="BC1831" s="50" t="n">
        <f aca="false">BB1831*CB1831</f>
        <v>0</v>
      </c>
      <c r="BD1831" s="51" t="n">
        <f aca="false">IF(LEFT(Cockpit!$O$5,1)="A",H1831,IF(CH1831=1,(CK1831+CI1831)/2,IF(LEFT(Cockpit!$O$5,1)="B",(CK1831+BF1831)/2,MAX((CK1831+BF1831)/2,H1831))))</f>
        <v>0</v>
      </c>
      <c r="BE1831" s="50" t="n">
        <f aca="false">BD1831*G1831</f>
        <v>0</v>
      </c>
      <c r="BF1831" s="50" t="n">
        <f aca="false">ROUNDUP(CK1831+MAX(CL1831,2*(J1831/IF(CG1831&gt;0,CG1831,MAX(0.1,N(Cockpit!$O$6)))-CK1831)),0)</f>
        <v>0</v>
      </c>
      <c r="BG1831" s="51" t="n">
        <f aca="false">IF(BC1831&gt;0,J1831/BC1831,-1)</f>
        <v>-1</v>
      </c>
      <c r="BH1831" s="51" t="str">
        <f aca="false">IF(AND(OR(CF1831="L1",CF1831="L23",CF1831="LIFT"),BC1831&gt;0),SUMIFS($BC$7:$BC$1843,$CF$7:$CF$1843,CF1831,$BG$7:$BG$1843,"&gt;"&amp;BG1831)+SUMIFS($BC$7:$BC$1843,$CF$7:$CF$1843,CF1831,$BG$7:$BG$1843,BG1831,$BW$7:$BW$1843,"&lt;="&amp;BW1831),"")</f>
        <v/>
      </c>
      <c r="BI1831" s="58" t="n">
        <f aca="false">IF(BH1831="",0,MAX(0,MIN(1,(IF(CF1831="L1",Parameter!$H$5,IF(CF1831="L23",Parameter!$H$6+Parameter!$H$7,Parameter!$H$5+Parameter!$H$6+Parameter!$H$7))-(BH1831-BC1831))/BC1831)))</f>
        <v>0</v>
      </c>
      <c r="BJ1831" s="48" t="str">
        <f aca="false">IF(AI1831&lt;=0,"",IF(CF1831="Aussen","Aussenlager",IF(CF1831="-","Nicht im Lift",IF(AO1831&gt;=1,"Lift",IF(AO1831&lt;=0,"Aussenlager","teilweise")))))</f>
        <v/>
      </c>
      <c r="BK1831" s="48" t="str">
        <f aca="false">IF(AS1831&lt;=0,"",IF(CF1831="Aussen","Aussenlager",IF(CF1831="-","Nicht im Lift",IF(AY1831&gt;=1,"Lift",IF(AY1831&lt;=0,"Aussenlager","teilweise")))))</f>
        <v/>
      </c>
      <c r="BL1831" s="48" t="str">
        <f aca="false">IF(BC1831&lt;=0,"",IF(CF1831="Aussen","Aussenlager",IF(CF1831="-","Nicht im Lift",IF(BI1831&gt;=1,"Lift",IF(BI1831&lt;=0,"Aussenlager","teilweise")))))</f>
        <v/>
      </c>
      <c r="BM1831" s="48" t="str">
        <f aca="false">IF(A1831="","",IF(BV1831=1,"Neu; ","")&amp;IF(AND(BV1831=0,BQ1831&lt;0),"negativer Bestand (Export "&amp;BQ1831&amp;"); ","")&amp;IF(J1831&lt;=0,"Kein Verbrauch; ","")&amp;IF(CQ1831&gt;0,"Lift "&amp;W1831&amp;" lt. Liftbericht (Fach "&amp;X1831&amp;" Stk); ",IF(CA1831=1,"Gebinde geschätzt ("&amp;T1831&amp;"); ",IF(BZ1831=1,"Lose – Tablare geschätzt; ","")))&amp;IF(H1831&gt;AV1831,"Überbestand "&amp;ROUND(H1831-AV1831,0)&amp;" Stk / CHF "&amp;ROUND((H1831-AV1831)*G1831,0)&amp;"; ","")&amp;IF(AND(CH1831=1,CI1831&lt;CJ1831),"MAX &lt; MB+LG; ","")&amp;IF(AND(CP1831&gt;0,CO1831*10&gt;CP1831),"zu hoch für Tablar; ","")&amp;IF(AND(BV1831=0,OR(CH1831=1,AA1831&lt;&gt;"",U1831&lt;&gt;"",V1831&lt;&gt;"",AB1831&lt;&gt;"")),"manuell übersteuert; ","")&amp;IF(AND(BZ1831=0,R1831=0),"Gebinde unbekannt / Stellmass fehlt; ","")&amp;IF(AND(BZ1831=0,N(V1831)&lt;=0,N(Q1831)&lt;=0),"Menge pro Gebinde fehlt (Ist = 1 Gebinde); ","")&amp;BU1831)</f>
        <v/>
      </c>
      <c r="BN1831" s="48"/>
      <c r="BO1831" s="48"/>
      <c r="BP1831" s="55"/>
      <c r="BQ1831" s="50" t="n">
        <f aca="false">N('Neue Artikel'!$D$92)</f>
        <v>0</v>
      </c>
      <c r="BR1831" s="50" t="n">
        <v>0</v>
      </c>
      <c r="BS1831" s="49" t="n">
        <v>0</v>
      </c>
      <c r="BT1831" s="50" t="n">
        <f aca="false">N('Neue Artikel'!$C$92)/Parameter!$B$18</f>
        <v>0</v>
      </c>
      <c r="BU1831" s="48"/>
      <c r="BV1831" s="53" t="n">
        <v>1</v>
      </c>
      <c r="BW1831" s="53" t="n">
        <v>1831</v>
      </c>
      <c r="BX1831" s="48" t="str">
        <f aca="false">IF(U1831&lt;&gt;"",UPPER(TRIM(U1831)),IF(CA1831=1,UPPER(VLOOKUP(T1831,Parameter!$I$27:$K$29,2,0)),IF(P1831="","LOSE",P1831)))</f>
        <v>LOSE</v>
      </c>
      <c r="BY1831" s="50" t="n">
        <f aca="false">IF(BX1831="LOSE",1,IF(N(V1831)&gt;0,V1831,IF(CA1831=1,MAX(1,N(VLOOKUP(T1831,Parameter!$I$27:$K$29,3,0)),H1831,N(N1831)),IF(N(Q1831)&gt;0,Q1831,MAX(1,H1831)))))</f>
        <v>1</v>
      </c>
      <c r="BZ1831" s="53" t="n">
        <f aca="false">IF(BX1831="LOSE",1,0)</f>
        <v>1</v>
      </c>
      <c r="CA1831" s="53" t="n">
        <f aca="false">IF(AND(U1831="",OR(P1831="",P1831="LOSE"),T1831&lt;&gt;"",N(S1831)&lt;=0,ISNUMBER(MATCH(T1831,Parameter!$I$27:$I$29,0))),1,0)</f>
        <v>0</v>
      </c>
      <c r="CB1831" s="53" t="n">
        <f aca="false">IF(CQ1831&gt;0,INDEX(Parameter!$H$5:$H$7,W1831)/INDEX(Parameter!$E$5:$E$7,W1831),IF(AND(BZ1831=0,N(IFERROR(VLOOKUP(BX1831,'Gebinde-Kategorie'!$A$5:$N$45,14,0),0))&gt;0),VLOOKUP(BX1831,'Gebinde-Kategorie'!$A$5:$N$45,14,0)*10+Parameter!$M$23,Parameter!$M$24))</f>
        <v>235</v>
      </c>
      <c r="CC1831" s="48" t="str">
        <f aca="false">IF(AND(Parameter!$B$19="Ja",E1831&lt;&gt;"",ISNUMBER(MATCH(E1831,Parameter!$I$35:$I$52,0))),VLOOKUP(E1831,Parameter!$I$35:$J$52,2,0),IFERROR(VLOOKUP(D1831,Parameter!$A$35:$C$64,2,0),"Nein"))</f>
        <v>2+3</v>
      </c>
      <c r="CD1831" s="52" t="n">
        <f aca="false">IF(BZ1831=0,0,IF(N(S1831)&gt;0,S1831,IFERROR(VLOOKUP(D1831,Parameter!$A$35:$C$64,3,0)+0,0)))</f>
        <v>0.15</v>
      </c>
      <c r="CE1831" s="48" t="str">
        <f aca="false">IF(AA1831&lt;&gt;"",AA1831,Z1831)</f>
        <v/>
      </c>
      <c r="CF1831" s="48" t="str">
        <f aca="false">IF(OR(CE1831=1,CE1831=2,CE1831=3),IF(Parameter!$E$27="Ja","LIFT",IF(CE1831=1,"L1","L23")),IF(CE1831="Aussen","Aussen","-"))</f>
        <v>-</v>
      </c>
      <c r="CG1831" s="59" t="n">
        <f aca="false">IF(N(AB1831)&gt;0,AB1831,0)</f>
        <v>0</v>
      </c>
      <c r="CH1831" s="53" t="n">
        <f aca="false">IF(ISNUMBER(AE1831),1,0)</f>
        <v>0</v>
      </c>
      <c r="CI1831" s="50" t="n">
        <f aca="false">N(AE1831)</f>
        <v>0</v>
      </c>
      <c r="CJ1831" s="50" t="n">
        <f aca="false">N(M1831)+N(N1831)</f>
        <v>0</v>
      </c>
      <c r="CK1831" s="50" t="n">
        <f aca="false">N(M1831)</f>
        <v>0</v>
      </c>
      <c r="CL1831" s="50" t="n">
        <f aca="false">N(N1831)</f>
        <v>0</v>
      </c>
      <c r="CM1831" s="50" t="n">
        <f aca="false">ROUNDUP(H1831/BY1831,0)</f>
        <v>0</v>
      </c>
      <c r="CN1831" s="50" t="n">
        <f aca="false">ROUNDUP(CI1831/BY1831,0)</f>
        <v>0</v>
      </c>
      <c r="CO1831" s="53" t="n">
        <f aca="false">IF(BZ1831=1,0,IFERROR(VLOOKUP(BX1831,'Gebinde-Kategorie'!$A$5:$N$45,5,0)+0,0))</f>
        <v>0</v>
      </c>
      <c r="CP1831" s="53" t="n">
        <f aca="false">IFERROR(IF(OR(CE1831=1,CE1831=2,CE1831=3),N(INDEX(Parameter!$I$5:$I$7,CE1831)),0),0)</f>
        <v>0</v>
      </c>
      <c r="CQ1831" s="52" t="n">
        <f aca="false">IF(AND(Parameter!$B$21="Ja",ISNUMBER(W1831),N(X1831)&gt;0),IFERROR(N(INDEX(Parameter!$L$5:$L$7,W1831))*INDEX(Parameter!$E$5:$E$7,W1831)*X1831/SUMIFS($X$7:$X$1843,$W$7:$W$1843,W1831),0),0)</f>
        <v>0</v>
      </c>
    </row>
    <row r="1832" customFormat="false" ht="15" hidden="false" customHeight="false" outlineLevel="0" collapsed="false">
      <c r="A1832" s="48" t="str">
        <f aca="false">IF('Neue Artikel'!$A$93="","",'Neue Artikel'!$A$93&amp;"")</f>
        <v/>
      </c>
      <c r="B1832" s="48" t="str">
        <f aca="false">'Neue Artikel'!$B$93&amp;""</f>
        <v/>
      </c>
      <c r="C1832" s="48"/>
      <c r="D1832" s="48" t="s">
        <v>3024</v>
      </c>
      <c r="E1832" s="48"/>
      <c r="F1832" s="48"/>
      <c r="G1832" s="49" t="n">
        <f aca="false">N('Neue Artikel'!$G$93)</f>
        <v>0</v>
      </c>
      <c r="H1832" s="50" t="n">
        <f aca="false">MAX(0,IF(AND(Parameter!$B$21="Ja",ISNUMBER(Y1832)),Y1832,IF(Parameter!$B$20="Jahresanfang 2025 + Export",BR1832+BQ1832,BQ1832)))</f>
        <v>0</v>
      </c>
      <c r="I1832" s="50" t="n">
        <f aca="false">H1832*G1832</f>
        <v>0</v>
      </c>
      <c r="J1832" s="50" t="n">
        <f aca="false">BT1832*Parameter!$B$18</f>
        <v>0</v>
      </c>
      <c r="K1832" s="51"/>
      <c r="L1832" s="52"/>
      <c r="M1832" s="50" t="n">
        <f aca="false">N('Neue Artikel'!$E$93)</f>
        <v>0</v>
      </c>
      <c r="N1832" s="50" t="n">
        <f aca="false">N('Neue Artikel'!$F$93)</f>
        <v>0</v>
      </c>
      <c r="O1832" s="53"/>
      <c r="P1832" s="48" t="str">
        <f aca="false">IF('Neue Artikel'!$H$93="","LOSE",UPPER(TRIM('Neue Artikel'!$H$93)))</f>
        <v>LOSE</v>
      </c>
      <c r="Q1832" s="50" t="n">
        <f aca="false">N('Neue Artikel'!$I$93)</f>
        <v>0</v>
      </c>
      <c r="R1832" s="53" t="n">
        <f aca="false">IF(BZ1832=1,0,IFERROR(VLOOKUP(BX1832,'Gebinde-Kategorie'!$A$5:$N$45,13,0)+0,0))</f>
        <v>0</v>
      </c>
      <c r="S1832" s="54"/>
      <c r="T1832" s="55"/>
      <c r="U1832" s="55"/>
      <c r="V1832" s="55"/>
      <c r="W1832" s="48"/>
      <c r="X1832" s="50"/>
      <c r="Y1832" s="50"/>
      <c r="Z1832" s="48" t="str">
        <f aca="false">IF(A1832="","",IF(AND(Parameter!$B$21="Ja",ISNUMBER(W1832)),W1832,IF(CC1832="2+3",IF(ISNUMBER(SEARCH("grosser Artikel",BU1832)),2,IFERROR(VLOOKUP(BX1832,Parameter!$F$35:$G$64,2,0),2)),IF(OR(CC1832="Nein",CC1832=""),"-",CC1832))))</f>
        <v/>
      </c>
      <c r="AA1832" s="48" t="str">
        <f aca="false">IF('Neue Artikel'!$J$93="","",'Neue Artikel'!$J$93)</f>
        <v/>
      </c>
      <c r="AB1832" s="56"/>
      <c r="AC1832" s="50" t="n">
        <f aca="false">AV1832</f>
        <v>0</v>
      </c>
      <c r="AD1832" s="50" t="n">
        <f aca="false">MAX(AV1832,H1832)</f>
        <v>0</v>
      </c>
      <c r="AE1832" s="57"/>
      <c r="AF1832" s="50" t="n">
        <f aca="false">IF(LEFT(Cockpit!$C$5,1)="A",H1832,IF(Parameter!$E$30="MAX-Bestand",IF(CH1832=1,CI1832,IF(LEFT(Cockpit!$C$5,1)="B",AL1832,MAX(AL1832,H1832))),ROUNDUP(AJ1832,0)))</f>
        <v>0</v>
      </c>
      <c r="AG1832" s="50" t="n">
        <f aca="false">IF(BZ1832=1,0,ROUNDUP(AF1832/BY1832,0))</f>
        <v>0</v>
      </c>
      <c r="AH1832" s="52" t="n">
        <f aca="false">IF(CQ1832&gt;0,CQ1832*MAX(1,AF1832/X1832),IF(BZ1832=1,IF(AF1832&lt;=0,0,CD1832*MAX(1,IF(H1832&gt;0,AF1832/H1832,1))),IF(R1832&gt;0,AG1832/R1832,0))/MAX(0.1,N(Parameter!$M$21)))</f>
        <v>0</v>
      </c>
      <c r="AI1832" s="50" t="n">
        <f aca="false">AH1832*CB1832</f>
        <v>0</v>
      </c>
      <c r="AJ1832" s="51" t="n">
        <f aca="false">IF(LEFT(Cockpit!$C$5,1)="A",H1832,IF(CH1832=1,(CK1832+CI1832)/2,IF(LEFT(Cockpit!$C$5,1)="B",(CK1832+AL1832)/2,MAX((CK1832+AL1832)/2,H1832))))</f>
        <v>0</v>
      </c>
      <c r="AK1832" s="50" t="n">
        <f aca="false">AJ1832*G1832</f>
        <v>0</v>
      </c>
      <c r="AL1832" s="50" t="n">
        <f aca="false">ROUNDUP(CK1832+MAX(CL1832,2*(J1832/IF(CG1832&gt;0,CG1832,MAX(0.1,N(Cockpit!$C$6)))-CK1832)),0)</f>
        <v>0</v>
      </c>
      <c r="AM1832" s="51" t="n">
        <f aca="false">IF(AI1832&gt;0,J1832/AI1832,-1)</f>
        <v>-1</v>
      </c>
      <c r="AN1832" s="51" t="str">
        <f aca="false">IF(AND(OR(CF1832="L1",CF1832="L23",CF1832="LIFT"),AI1832&gt;0),SUMIFS($AI$7:$AI$1843,$CF$7:$CF$1843,CF1832,$AM$7:$AM$1843,"&gt;"&amp;AM1832)+SUMIFS($AI$7:$AI$1843,$CF$7:$CF$1843,CF1832,$AM$7:$AM$1843,AM1832,$BW$7:$BW$1843,"&lt;="&amp;BW1832),"")</f>
        <v/>
      </c>
      <c r="AO1832" s="58" t="n">
        <f aca="false">IF(AN1832="",0,MAX(0,MIN(1,(IF(CF1832="L1",Parameter!$H$5,IF(CF1832="L23",Parameter!$H$6+Parameter!$H$7,Parameter!$H$5+Parameter!$H$6+Parameter!$H$7))-(AN1832-AI1832))/AI1832)))</f>
        <v>0</v>
      </c>
      <c r="AP1832" s="50" t="n">
        <f aca="false">IF(LEFT(Cockpit!$I$5,1)="A",H1832,IF(Parameter!$E$30="MAX-Bestand",IF(CH1832=1,CI1832,IF(LEFT(Cockpit!$I$5,1)="B",AV1832,MAX(AV1832,H1832))),ROUNDUP(AT1832,0)))</f>
        <v>0</v>
      </c>
      <c r="AQ1832" s="50" t="n">
        <f aca="false">IF(BZ1832=1,0,ROUNDUP(AP1832/BY1832,0))</f>
        <v>0</v>
      </c>
      <c r="AR1832" s="52" t="n">
        <f aca="false">IF(CQ1832&gt;0,CQ1832*MAX(1,AP1832/X1832),IF(BZ1832=1,IF(AP1832&lt;=0,0,CD1832*MAX(1,IF(H1832&gt;0,AP1832/H1832,1))),IF(R1832&gt;0,AQ1832/R1832,0))/MAX(0.1,N(Parameter!$M$21)))</f>
        <v>0</v>
      </c>
      <c r="AS1832" s="50" t="n">
        <f aca="false">AR1832*CB1832</f>
        <v>0</v>
      </c>
      <c r="AT1832" s="51" t="n">
        <f aca="false">IF(LEFT(Cockpit!$I$5,1)="A",H1832,IF(CH1832=1,(CK1832+CI1832)/2,IF(LEFT(Cockpit!$I$5,1)="B",(CK1832+AV1832)/2,MAX((CK1832+AV1832)/2,H1832))))</f>
        <v>0</v>
      </c>
      <c r="AU1832" s="50" t="n">
        <f aca="false">AT1832*G1832</f>
        <v>0</v>
      </c>
      <c r="AV1832" s="50" t="n">
        <f aca="false">ROUNDUP(CK1832+MAX(CL1832,2*(J1832/IF(CG1832&gt;0,CG1832,MAX(0.1,N(Cockpit!$I$6)))-CK1832)),0)</f>
        <v>0</v>
      </c>
      <c r="AW1832" s="51" t="n">
        <f aca="false">IF(AS1832&gt;0,J1832/AS1832,-1)</f>
        <v>-1</v>
      </c>
      <c r="AX1832" s="51" t="str">
        <f aca="false">IF(AND(OR(CF1832="L1",CF1832="L23",CF1832="LIFT"),AS1832&gt;0),SUMIFS($AS$7:$AS$1843,$CF$7:$CF$1843,CF1832,$AW$7:$AW$1843,"&gt;"&amp;AW1832)+SUMIFS($AS$7:$AS$1843,$CF$7:$CF$1843,CF1832,$AW$7:$AW$1843,AW1832,$BW$7:$BW$1843,"&lt;="&amp;BW1832),"")</f>
        <v/>
      </c>
      <c r="AY1832" s="58" t="n">
        <f aca="false">IF(AX1832="",0,MAX(0,MIN(1,(IF(CF1832="L1",Parameter!$H$5,IF(CF1832="L23",Parameter!$H$6+Parameter!$H$7,Parameter!$H$5+Parameter!$H$6+Parameter!$H$7))-(AX1832-AS1832))/AS1832)))</f>
        <v>0</v>
      </c>
      <c r="AZ1832" s="50" t="n">
        <f aca="false">IF(LEFT(Cockpit!$O$5,1)="A",H1832,IF(Parameter!$E$30="MAX-Bestand",IF(CH1832=1,CI1832,IF(LEFT(Cockpit!$O$5,1)="B",BF1832,MAX(BF1832,H1832))),ROUNDUP(BD1832,0)))</f>
        <v>0</v>
      </c>
      <c r="BA1832" s="50" t="n">
        <f aca="false">IF(BZ1832=1,0,ROUNDUP(AZ1832/BY1832,0))</f>
        <v>0</v>
      </c>
      <c r="BB1832" s="52" t="n">
        <f aca="false">IF(CQ1832&gt;0,CQ1832*MAX(1,AZ1832/X1832),IF(BZ1832=1,IF(AZ1832&lt;=0,0,CD1832*MAX(1,IF(H1832&gt;0,AZ1832/H1832,1))),IF(R1832&gt;0,BA1832/R1832,0))/MAX(0.1,N(Parameter!$M$21)))</f>
        <v>0</v>
      </c>
      <c r="BC1832" s="50" t="n">
        <f aca="false">BB1832*CB1832</f>
        <v>0</v>
      </c>
      <c r="BD1832" s="51" t="n">
        <f aca="false">IF(LEFT(Cockpit!$O$5,1)="A",H1832,IF(CH1832=1,(CK1832+CI1832)/2,IF(LEFT(Cockpit!$O$5,1)="B",(CK1832+BF1832)/2,MAX((CK1832+BF1832)/2,H1832))))</f>
        <v>0</v>
      </c>
      <c r="BE1832" s="50" t="n">
        <f aca="false">BD1832*G1832</f>
        <v>0</v>
      </c>
      <c r="BF1832" s="50" t="n">
        <f aca="false">ROUNDUP(CK1832+MAX(CL1832,2*(J1832/IF(CG1832&gt;0,CG1832,MAX(0.1,N(Cockpit!$O$6)))-CK1832)),0)</f>
        <v>0</v>
      </c>
      <c r="BG1832" s="51" t="n">
        <f aca="false">IF(BC1832&gt;0,J1832/BC1832,-1)</f>
        <v>-1</v>
      </c>
      <c r="BH1832" s="51" t="str">
        <f aca="false">IF(AND(OR(CF1832="L1",CF1832="L23",CF1832="LIFT"),BC1832&gt;0),SUMIFS($BC$7:$BC$1843,$CF$7:$CF$1843,CF1832,$BG$7:$BG$1843,"&gt;"&amp;BG1832)+SUMIFS($BC$7:$BC$1843,$CF$7:$CF$1843,CF1832,$BG$7:$BG$1843,BG1832,$BW$7:$BW$1843,"&lt;="&amp;BW1832),"")</f>
        <v/>
      </c>
      <c r="BI1832" s="58" t="n">
        <f aca="false">IF(BH1832="",0,MAX(0,MIN(1,(IF(CF1832="L1",Parameter!$H$5,IF(CF1832="L23",Parameter!$H$6+Parameter!$H$7,Parameter!$H$5+Parameter!$H$6+Parameter!$H$7))-(BH1832-BC1832))/BC1832)))</f>
        <v>0</v>
      </c>
      <c r="BJ1832" s="48" t="str">
        <f aca="false">IF(AI1832&lt;=0,"",IF(CF1832="Aussen","Aussenlager",IF(CF1832="-","Nicht im Lift",IF(AO1832&gt;=1,"Lift",IF(AO1832&lt;=0,"Aussenlager","teilweise")))))</f>
        <v/>
      </c>
      <c r="BK1832" s="48" t="str">
        <f aca="false">IF(AS1832&lt;=0,"",IF(CF1832="Aussen","Aussenlager",IF(CF1832="-","Nicht im Lift",IF(AY1832&gt;=1,"Lift",IF(AY1832&lt;=0,"Aussenlager","teilweise")))))</f>
        <v/>
      </c>
      <c r="BL1832" s="48" t="str">
        <f aca="false">IF(BC1832&lt;=0,"",IF(CF1832="Aussen","Aussenlager",IF(CF1832="-","Nicht im Lift",IF(BI1832&gt;=1,"Lift",IF(BI1832&lt;=0,"Aussenlager","teilweise")))))</f>
        <v/>
      </c>
      <c r="BM1832" s="48" t="str">
        <f aca="false">IF(A1832="","",IF(BV1832=1,"Neu; ","")&amp;IF(AND(BV1832=0,BQ1832&lt;0),"negativer Bestand (Export "&amp;BQ1832&amp;"); ","")&amp;IF(J1832&lt;=0,"Kein Verbrauch; ","")&amp;IF(CQ1832&gt;0,"Lift "&amp;W1832&amp;" lt. Liftbericht (Fach "&amp;X1832&amp;" Stk); ",IF(CA1832=1,"Gebinde geschätzt ("&amp;T1832&amp;"); ",IF(BZ1832=1,"Lose – Tablare geschätzt; ","")))&amp;IF(H1832&gt;AV1832,"Überbestand "&amp;ROUND(H1832-AV1832,0)&amp;" Stk / CHF "&amp;ROUND((H1832-AV1832)*G1832,0)&amp;"; ","")&amp;IF(AND(CH1832=1,CI1832&lt;CJ1832),"MAX &lt; MB+LG; ","")&amp;IF(AND(CP1832&gt;0,CO1832*10&gt;CP1832),"zu hoch für Tablar; ","")&amp;IF(AND(BV1832=0,OR(CH1832=1,AA1832&lt;&gt;"",U1832&lt;&gt;"",V1832&lt;&gt;"",AB1832&lt;&gt;"")),"manuell übersteuert; ","")&amp;IF(AND(BZ1832=0,R1832=0),"Gebinde unbekannt / Stellmass fehlt; ","")&amp;IF(AND(BZ1832=0,N(V1832)&lt;=0,N(Q1832)&lt;=0),"Menge pro Gebinde fehlt (Ist = 1 Gebinde); ","")&amp;BU1832)</f>
        <v/>
      </c>
      <c r="BN1832" s="48"/>
      <c r="BO1832" s="48"/>
      <c r="BP1832" s="55"/>
      <c r="BQ1832" s="50" t="n">
        <f aca="false">N('Neue Artikel'!$D$93)</f>
        <v>0</v>
      </c>
      <c r="BR1832" s="50" t="n">
        <v>0</v>
      </c>
      <c r="BS1832" s="49" t="n">
        <v>0</v>
      </c>
      <c r="BT1832" s="50" t="n">
        <f aca="false">N('Neue Artikel'!$C$93)/Parameter!$B$18</f>
        <v>0</v>
      </c>
      <c r="BU1832" s="48"/>
      <c r="BV1832" s="53" t="n">
        <v>1</v>
      </c>
      <c r="BW1832" s="53" t="n">
        <v>1832</v>
      </c>
      <c r="BX1832" s="48" t="str">
        <f aca="false">IF(U1832&lt;&gt;"",UPPER(TRIM(U1832)),IF(CA1832=1,UPPER(VLOOKUP(T1832,Parameter!$I$27:$K$29,2,0)),IF(P1832="","LOSE",P1832)))</f>
        <v>LOSE</v>
      </c>
      <c r="BY1832" s="50" t="n">
        <f aca="false">IF(BX1832="LOSE",1,IF(N(V1832)&gt;0,V1832,IF(CA1832=1,MAX(1,N(VLOOKUP(T1832,Parameter!$I$27:$K$29,3,0)),H1832,N(N1832)),IF(N(Q1832)&gt;0,Q1832,MAX(1,H1832)))))</f>
        <v>1</v>
      </c>
      <c r="BZ1832" s="53" t="n">
        <f aca="false">IF(BX1832="LOSE",1,0)</f>
        <v>1</v>
      </c>
      <c r="CA1832" s="53" t="n">
        <f aca="false">IF(AND(U1832="",OR(P1832="",P1832="LOSE"),T1832&lt;&gt;"",N(S1832)&lt;=0,ISNUMBER(MATCH(T1832,Parameter!$I$27:$I$29,0))),1,0)</f>
        <v>0</v>
      </c>
      <c r="CB1832" s="53" t="n">
        <f aca="false">IF(CQ1832&gt;0,INDEX(Parameter!$H$5:$H$7,W1832)/INDEX(Parameter!$E$5:$E$7,W1832),IF(AND(BZ1832=0,N(IFERROR(VLOOKUP(BX1832,'Gebinde-Kategorie'!$A$5:$N$45,14,0),0))&gt;0),VLOOKUP(BX1832,'Gebinde-Kategorie'!$A$5:$N$45,14,0)*10+Parameter!$M$23,Parameter!$M$24))</f>
        <v>235</v>
      </c>
      <c r="CC1832" s="48" t="str">
        <f aca="false">IF(AND(Parameter!$B$19="Ja",E1832&lt;&gt;"",ISNUMBER(MATCH(E1832,Parameter!$I$35:$I$52,0))),VLOOKUP(E1832,Parameter!$I$35:$J$52,2,0),IFERROR(VLOOKUP(D1832,Parameter!$A$35:$C$64,2,0),"Nein"))</f>
        <v>2+3</v>
      </c>
      <c r="CD1832" s="52" t="n">
        <f aca="false">IF(BZ1832=0,0,IF(N(S1832)&gt;0,S1832,IFERROR(VLOOKUP(D1832,Parameter!$A$35:$C$64,3,0)+0,0)))</f>
        <v>0.15</v>
      </c>
      <c r="CE1832" s="48" t="str">
        <f aca="false">IF(AA1832&lt;&gt;"",AA1832,Z1832)</f>
        <v/>
      </c>
      <c r="CF1832" s="48" t="str">
        <f aca="false">IF(OR(CE1832=1,CE1832=2,CE1832=3),IF(Parameter!$E$27="Ja","LIFT",IF(CE1832=1,"L1","L23")),IF(CE1832="Aussen","Aussen","-"))</f>
        <v>-</v>
      </c>
      <c r="CG1832" s="59" t="n">
        <f aca="false">IF(N(AB1832)&gt;0,AB1832,0)</f>
        <v>0</v>
      </c>
      <c r="CH1832" s="53" t="n">
        <f aca="false">IF(ISNUMBER(AE1832),1,0)</f>
        <v>0</v>
      </c>
      <c r="CI1832" s="50" t="n">
        <f aca="false">N(AE1832)</f>
        <v>0</v>
      </c>
      <c r="CJ1832" s="50" t="n">
        <f aca="false">N(M1832)+N(N1832)</f>
        <v>0</v>
      </c>
      <c r="CK1832" s="50" t="n">
        <f aca="false">N(M1832)</f>
        <v>0</v>
      </c>
      <c r="CL1832" s="50" t="n">
        <f aca="false">N(N1832)</f>
        <v>0</v>
      </c>
      <c r="CM1832" s="50" t="n">
        <f aca="false">ROUNDUP(H1832/BY1832,0)</f>
        <v>0</v>
      </c>
      <c r="CN1832" s="50" t="n">
        <f aca="false">ROUNDUP(CI1832/BY1832,0)</f>
        <v>0</v>
      </c>
      <c r="CO1832" s="53" t="n">
        <f aca="false">IF(BZ1832=1,0,IFERROR(VLOOKUP(BX1832,'Gebinde-Kategorie'!$A$5:$N$45,5,0)+0,0))</f>
        <v>0</v>
      </c>
      <c r="CP1832" s="53" t="n">
        <f aca="false">IFERROR(IF(OR(CE1832=1,CE1832=2,CE1832=3),N(INDEX(Parameter!$I$5:$I$7,CE1832)),0),0)</f>
        <v>0</v>
      </c>
      <c r="CQ1832" s="52" t="n">
        <f aca="false">IF(AND(Parameter!$B$21="Ja",ISNUMBER(W1832),N(X1832)&gt;0),IFERROR(N(INDEX(Parameter!$L$5:$L$7,W1832))*INDEX(Parameter!$E$5:$E$7,W1832)*X1832/SUMIFS($X$7:$X$1843,$W$7:$W$1843,W1832),0),0)</f>
        <v>0</v>
      </c>
    </row>
    <row r="1833" customFormat="false" ht="15" hidden="false" customHeight="false" outlineLevel="0" collapsed="false">
      <c r="A1833" s="48" t="str">
        <f aca="false">IF('Neue Artikel'!$A$94="","",'Neue Artikel'!$A$94&amp;"")</f>
        <v/>
      </c>
      <c r="B1833" s="48" t="str">
        <f aca="false">'Neue Artikel'!$B$94&amp;""</f>
        <v/>
      </c>
      <c r="C1833" s="48"/>
      <c r="D1833" s="48" t="s">
        <v>3024</v>
      </c>
      <c r="E1833" s="48"/>
      <c r="F1833" s="48"/>
      <c r="G1833" s="49" t="n">
        <f aca="false">N('Neue Artikel'!$G$94)</f>
        <v>0</v>
      </c>
      <c r="H1833" s="50" t="n">
        <f aca="false">MAX(0,IF(AND(Parameter!$B$21="Ja",ISNUMBER(Y1833)),Y1833,IF(Parameter!$B$20="Jahresanfang 2025 + Export",BR1833+BQ1833,BQ1833)))</f>
        <v>0</v>
      </c>
      <c r="I1833" s="50" t="n">
        <f aca="false">H1833*G1833</f>
        <v>0</v>
      </c>
      <c r="J1833" s="50" t="n">
        <f aca="false">BT1833*Parameter!$B$18</f>
        <v>0</v>
      </c>
      <c r="K1833" s="51"/>
      <c r="L1833" s="52"/>
      <c r="M1833" s="50" t="n">
        <f aca="false">N('Neue Artikel'!$E$94)</f>
        <v>0</v>
      </c>
      <c r="N1833" s="50" t="n">
        <f aca="false">N('Neue Artikel'!$F$94)</f>
        <v>0</v>
      </c>
      <c r="O1833" s="53"/>
      <c r="P1833" s="48" t="str">
        <f aca="false">IF('Neue Artikel'!$H$94="","LOSE",UPPER(TRIM('Neue Artikel'!$H$94)))</f>
        <v>LOSE</v>
      </c>
      <c r="Q1833" s="50" t="n">
        <f aca="false">N('Neue Artikel'!$I$94)</f>
        <v>0</v>
      </c>
      <c r="R1833" s="53" t="n">
        <f aca="false">IF(BZ1833=1,0,IFERROR(VLOOKUP(BX1833,'Gebinde-Kategorie'!$A$5:$N$45,13,0)+0,0))</f>
        <v>0</v>
      </c>
      <c r="S1833" s="54"/>
      <c r="T1833" s="55"/>
      <c r="U1833" s="55"/>
      <c r="V1833" s="55"/>
      <c r="W1833" s="48"/>
      <c r="X1833" s="50"/>
      <c r="Y1833" s="50"/>
      <c r="Z1833" s="48" t="str">
        <f aca="false">IF(A1833="","",IF(AND(Parameter!$B$21="Ja",ISNUMBER(W1833)),W1833,IF(CC1833="2+3",IF(ISNUMBER(SEARCH("grosser Artikel",BU1833)),2,IFERROR(VLOOKUP(BX1833,Parameter!$F$35:$G$64,2,0),2)),IF(OR(CC1833="Nein",CC1833=""),"-",CC1833))))</f>
        <v/>
      </c>
      <c r="AA1833" s="48" t="str">
        <f aca="false">IF('Neue Artikel'!$J$94="","",'Neue Artikel'!$J$94)</f>
        <v/>
      </c>
      <c r="AB1833" s="56"/>
      <c r="AC1833" s="50" t="n">
        <f aca="false">AV1833</f>
        <v>0</v>
      </c>
      <c r="AD1833" s="50" t="n">
        <f aca="false">MAX(AV1833,H1833)</f>
        <v>0</v>
      </c>
      <c r="AE1833" s="57"/>
      <c r="AF1833" s="50" t="n">
        <f aca="false">IF(LEFT(Cockpit!$C$5,1)="A",H1833,IF(Parameter!$E$30="MAX-Bestand",IF(CH1833=1,CI1833,IF(LEFT(Cockpit!$C$5,1)="B",AL1833,MAX(AL1833,H1833))),ROUNDUP(AJ1833,0)))</f>
        <v>0</v>
      </c>
      <c r="AG1833" s="50" t="n">
        <f aca="false">IF(BZ1833=1,0,ROUNDUP(AF1833/BY1833,0))</f>
        <v>0</v>
      </c>
      <c r="AH1833" s="52" t="n">
        <f aca="false">IF(CQ1833&gt;0,CQ1833*MAX(1,AF1833/X1833),IF(BZ1833=1,IF(AF1833&lt;=0,0,CD1833*MAX(1,IF(H1833&gt;0,AF1833/H1833,1))),IF(R1833&gt;0,AG1833/R1833,0))/MAX(0.1,N(Parameter!$M$21)))</f>
        <v>0</v>
      </c>
      <c r="AI1833" s="50" t="n">
        <f aca="false">AH1833*CB1833</f>
        <v>0</v>
      </c>
      <c r="AJ1833" s="51" t="n">
        <f aca="false">IF(LEFT(Cockpit!$C$5,1)="A",H1833,IF(CH1833=1,(CK1833+CI1833)/2,IF(LEFT(Cockpit!$C$5,1)="B",(CK1833+AL1833)/2,MAX((CK1833+AL1833)/2,H1833))))</f>
        <v>0</v>
      </c>
      <c r="AK1833" s="50" t="n">
        <f aca="false">AJ1833*G1833</f>
        <v>0</v>
      </c>
      <c r="AL1833" s="50" t="n">
        <f aca="false">ROUNDUP(CK1833+MAX(CL1833,2*(J1833/IF(CG1833&gt;0,CG1833,MAX(0.1,N(Cockpit!$C$6)))-CK1833)),0)</f>
        <v>0</v>
      </c>
      <c r="AM1833" s="51" t="n">
        <f aca="false">IF(AI1833&gt;0,J1833/AI1833,-1)</f>
        <v>-1</v>
      </c>
      <c r="AN1833" s="51" t="str">
        <f aca="false">IF(AND(OR(CF1833="L1",CF1833="L23",CF1833="LIFT"),AI1833&gt;0),SUMIFS($AI$7:$AI$1843,$CF$7:$CF$1843,CF1833,$AM$7:$AM$1843,"&gt;"&amp;AM1833)+SUMIFS($AI$7:$AI$1843,$CF$7:$CF$1843,CF1833,$AM$7:$AM$1843,AM1833,$BW$7:$BW$1843,"&lt;="&amp;BW1833),"")</f>
        <v/>
      </c>
      <c r="AO1833" s="58" t="n">
        <f aca="false">IF(AN1833="",0,MAX(0,MIN(1,(IF(CF1833="L1",Parameter!$H$5,IF(CF1833="L23",Parameter!$H$6+Parameter!$H$7,Parameter!$H$5+Parameter!$H$6+Parameter!$H$7))-(AN1833-AI1833))/AI1833)))</f>
        <v>0</v>
      </c>
      <c r="AP1833" s="50" t="n">
        <f aca="false">IF(LEFT(Cockpit!$I$5,1)="A",H1833,IF(Parameter!$E$30="MAX-Bestand",IF(CH1833=1,CI1833,IF(LEFT(Cockpit!$I$5,1)="B",AV1833,MAX(AV1833,H1833))),ROUNDUP(AT1833,0)))</f>
        <v>0</v>
      </c>
      <c r="AQ1833" s="50" t="n">
        <f aca="false">IF(BZ1833=1,0,ROUNDUP(AP1833/BY1833,0))</f>
        <v>0</v>
      </c>
      <c r="AR1833" s="52" t="n">
        <f aca="false">IF(CQ1833&gt;0,CQ1833*MAX(1,AP1833/X1833),IF(BZ1833=1,IF(AP1833&lt;=0,0,CD1833*MAX(1,IF(H1833&gt;0,AP1833/H1833,1))),IF(R1833&gt;0,AQ1833/R1833,0))/MAX(0.1,N(Parameter!$M$21)))</f>
        <v>0</v>
      </c>
      <c r="AS1833" s="50" t="n">
        <f aca="false">AR1833*CB1833</f>
        <v>0</v>
      </c>
      <c r="AT1833" s="51" t="n">
        <f aca="false">IF(LEFT(Cockpit!$I$5,1)="A",H1833,IF(CH1833=1,(CK1833+CI1833)/2,IF(LEFT(Cockpit!$I$5,1)="B",(CK1833+AV1833)/2,MAX((CK1833+AV1833)/2,H1833))))</f>
        <v>0</v>
      </c>
      <c r="AU1833" s="50" t="n">
        <f aca="false">AT1833*G1833</f>
        <v>0</v>
      </c>
      <c r="AV1833" s="50" t="n">
        <f aca="false">ROUNDUP(CK1833+MAX(CL1833,2*(J1833/IF(CG1833&gt;0,CG1833,MAX(0.1,N(Cockpit!$I$6)))-CK1833)),0)</f>
        <v>0</v>
      </c>
      <c r="AW1833" s="51" t="n">
        <f aca="false">IF(AS1833&gt;0,J1833/AS1833,-1)</f>
        <v>-1</v>
      </c>
      <c r="AX1833" s="51" t="str">
        <f aca="false">IF(AND(OR(CF1833="L1",CF1833="L23",CF1833="LIFT"),AS1833&gt;0),SUMIFS($AS$7:$AS$1843,$CF$7:$CF$1843,CF1833,$AW$7:$AW$1843,"&gt;"&amp;AW1833)+SUMIFS($AS$7:$AS$1843,$CF$7:$CF$1843,CF1833,$AW$7:$AW$1843,AW1833,$BW$7:$BW$1843,"&lt;="&amp;BW1833),"")</f>
        <v/>
      </c>
      <c r="AY1833" s="58" t="n">
        <f aca="false">IF(AX1833="",0,MAX(0,MIN(1,(IF(CF1833="L1",Parameter!$H$5,IF(CF1833="L23",Parameter!$H$6+Parameter!$H$7,Parameter!$H$5+Parameter!$H$6+Parameter!$H$7))-(AX1833-AS1833))/AS1833)))</f>
        <v>0</v>
      </c>
      <c r="AZ1833" s="50" t="n">
        <f aca="false">IF(LEFT(Cockpit!$O$5,1)="A",H1833,IF(Parameter!$E$30="MAX-Bestand",IF(CH1833=1,CI1833,IF(LEFT(Cockpit!$O$5,1)="B",BF1833,MAX(BF1833,H1833))),ROUNDUP(BD1833,0)))</f>
        <v>0</v>
      </c>
      <c r="BA1833" s="50" t="n">
        <f aca="false">IF(BZ1833=1,0,ROUNDUP(AZ1833/BY1833,0))</f>
        <v>0</v>
      </c>
      <c r="BB1833" s="52" t="n">
        <f aca="false">IF(CQ1833&gt;0,CQ1833*MAX(1,AZ1833/X1833),IF(BZ1833=1,IF(AZ1833&lt;=0,0,CD1833*MAX(1,IF(H1833&gt;0,AZ1833/H1833,1))),IF(R1833&gt;0,BA1833/R1833,0))/MAX(0.1,N(Parameter!$M$21)))</f>
        <v>0</v>
      </c>
      <c r="BC1833" s="50" t="n">
        <f aca="false">BB1833*CB1833</f>
        <v>0</v>
      </c>
      <c r="BD1833" s="51" t="n">
        <f aca="false">IF(LEFT(Cockpit!$O$5,1)="A",H1833,IF(CH1833=1,(CK1833+CI1833)/2,IF(LEFT(Cockpit!$O$5,1)="B",(CK1833+BF1833)/2,MAX((CK1833+BF1833)/2,H1833))))</f>
        <v>0</v>
      </c>
      <c r="BE1833" s="50" t="n">
        <f aca="false">BD1833*G1833</f>
        <v>0</v>
      </c>
      <c r="BF1833" s="50" t="n">
        <f aca="false">ROUNDUP(CK1833+MAX(CL1833,2*(J1833/IF(CG1833&gt;0,CG1833,MAX(0.1,N(Cockpit!$O$6)))-CK1833)),0)</f>
        <v>0</v>
      </c>
      <c r="BG1833" s="51" t="n">
        <f aca="false">IF(BC1833&gt;0,J1833/BC1833,-1)</f>
        <v>-1</v>
      </c>
      <c r="BH1833" s="51" t="str">
        <f aca="false">IF(AND(OR(CF1833="L1",CF1833="L23",CF1833="LIFT"),BC1833&gt;0),SUMIFS($BC$7:$BC$1843,$CF$7:$CF$1843,CF1833,$BG$7:$BG$1843,"&gt;"&amp;BG1833)+SUMIFS($BC$7:$BC$1843,$CF$7:$CF$1843,CF1833,$BG$7:$BG$1843,BG1833,$BW$7:$BW$1843,"&lt;="&amp;BW1833),"")</f>
        <v/>
      </c>
      <c r="BI1833" s="58" t="n">
        <f aca="false">IF(BH1833="",0,MAX(0,MIN(1,(IF(CF1833="L1",Parameter!$H$5,IF(CF1833="L23",Parameter!$H$6+Parameter!$H$7,Parameter!$H$5+Parameter!$H$6+Parameter!$H$7))-(BH1833-BC1833))/BC1833)))</f>
        <v>0</v>
      </c>
      <c r="BJ1833" s="48" t="str">
        <f aca="false">IF(AI1833&lt;=0,"",IF(CF1833="Aussen","Aussenlager",IF(CF1833="-","Nicht im Lift",IF(AO1833&gt;=1,"Lift",IF(AO1833&lt;=0,"Aussenlager","teilweise")))))</f>
        <v/>
      </c>
      <c r="BK1833" s="48" t="str">
        <f aca="false">IF(AS1833&lt;=0,"",IF(CF1833="Aussen","Aussenlager",IF(CF1833="-","Nicht im Lift",IF(AY1833&gt;=1,"Lift",IF(AY1833&lt;=0,"Aussenlager","teilweise")))))</f>
        <v/>
      </c>
      <c r="BL1833" s="48" t="str">
        <f aca="false">IF(BC1833&lt;=0,"",IF(CF1833="Aussen","Aussenlager",IF(CF1833="-","Nicht im Lift",IF(BI1833&gt;=1,"Lift",IF(BI1833&lt;=0,"Aussenlager","teilweise")))))</f>
        <v/>
      </c>
      <c r="BM1833" s="48" t="str">
        <f aca="false">IF(A1833="","",IF(BV1833=1,"Neu; ","")&amp;IF(AND(BV1833=0,BQ1833&lt;0),"negativer Bestand (Export "&amp;BQ1833&amp;"); ","")&amp;IF(J1833&lt;=0,"Kein Verbrauch; ","")&amp;IF(CQ1833&gt;0,"Lift "&amp;W1833&amp;" lt. Liftbericht (Fach "&amp;X1833&amp;" Stk); ",IF(CA1833=1,"Gebinde geschätzt ("&amp;T1833&amp;"); ",IF(BZ1833=1,"Lose – Tablare geschätzt; ","")))&amp;IF(H1833&gt;AV1833,"Überbestand "&amp;ROUND(H1833-AV1833,0)&amp;" Stk / CHF "&amp;ROUND((H1833-AV1833)*G1833,0)&amp;"; ","")&amp;IF(AND(CH1833=1,CI1833&lt;CJ1833),"MAX &lt; MB+LG; ","")&amp;IF(AND(CP1833&gt;0,CO1833*10&gt;CP1833),"zu hoch für Tablar; ","")&amp;IF(AND(BV1833=0,OR(CH1833=1,AA1833&lt;&gt;"",U1833&lt;&gt;"",V1833&lt;&gt;"",AB1833&lt;&gt;"")),"manuell übersteuert; ","")&amp;IF(AND(BZ1833=0,R1833=0),"Gebinde unbekannt / Stellmass fehlt; ","")&amp;IF(AND(BZ1833=0,N(V1833)&lt;=0,N(Q1833)&lt;=0),"Menge pro Gebinde fehlt (Ist = 1 Gebinde); ","")&amp;BU1833)</f>
        <v/>
      </c>
      <c r="BN1833" s="48"/>
      <c r="BO1833" s="48"/>
      <c r="BP1833" s="55"/>
      <c r="BQ1833" s="50" t="n">
        <f aca="false">N('Neue Artikel'!$D$94)</f>
        <v>0</v>
      </c>
      <c r="BR1833" s="50" t="n">
        <v>0</v>
      </c>
      <c r="BS1833" s="49" t="n">
        <v>0</v>
      </c>
      <c r="BT1833" s="50" t="n">
        <f aca="false">N('Neue Artikel'!$C$94)/Parameter!$B$18</f>
        <v>0</v>
      </c>
      <c r="BU1833" s="48"/>
      <c r="BV1833" s="53" t="n">
        <v>1</v>
      </c>
      <c r="BW1833" s="53" t="n">
        <v>1833</v>
      </c>
      <c r="BX1833" s="48" t="str">
        <f aca="false">IF(U1833&lt;&gt;"",UPPER(TRIM(U1833)),IF(CA1833=1,UPPER(VLOOKUP(T1833,Parameter!$I$27:$K$29,2,0)),IF(P1833="","LOSE",P1833)))</f>
        <v>LOSE</v>
      </c>
      <c r="BY1833" s="50" t="n">
        <f aca="false">IF(BX1833="LOSE",1,IF(N(V1833)&gt;0,V1833,IF(CA1833=1,MAX(1,N(VLOOKUP(T1833,Parameter!$I$27:$K$29,3,0)),H1833,N(N1833)),IF(N(Q1833)&gt;0,Q1833,MAX(1,H1833)))))</f>
        <v>1</v>
      </c>
      <c r="BZ1833" s="53" t="n">
        <f aca="false">IF(BX1833="LOSE",1,0)</f>
        <v>1</v>
      </c>
      <c r="CA1833" s="53" t="n">
        <f aca="false">IF(AND(U1833="",OR(P1833="",P1833="LOSE"),T1833&lt;&gt;"",N(S1833)&lt;=0,ISNUMBER(MATCH(T1833,Parameter!$I$27:$I$29,0))),1,0)</f>
        <v>0</v>
      </c>
      <c r="CB1833" s="53" t="n">
        <f aca="false">IF(CQ1833&gt;0,INDEX(Parameter!$H$5:$H$7,W1833)/INDEX(Parameter!$E$5:$E$7,W1833),IF(AND(BZ1833=0,N(IFERROR(VLOOKUP(BX1833,'Gebinde-Kategorie'!$A$5:$N$45,14,0),0))&gt;0),VLOOKUP(BX1833,'Gebinde-Kategorie'!$A$5:$N$45,14,0)*10+Parameter!$M$23,Parameter!$M$24))</f>
        <v>235</v>
      </c>
      <c r="CC1833" s="48" t="str">
        <f aca="false">IF(AND(Parameter!$B$19="Ja",E1833&lt;&gt;"",ISNUMBER(MATCH(E1833,Parameter!$I$35:$I$52,0))),VLOOKUP(E1833,Parameter!$I$35:$J$52,2,0),IFERROR(VLOOKUP(D1833,Parameter!$A$35:$C$64,2,0),"Nein"))</f>
        <v>2+3</v>
      </c>
      <c r="CD1833" s="52" t="n">
        <f aca="false">IF(BZ1833=0,0,IF(N(S1833)&gt;0,S1833,IFERROR(VLOOKUP(D1833,Parameter!$A$35:$C$64,3,0)+0,0)))</f>
        <v>0.15</v>
      </c>
      <c r="CE1833" s="48" t="str">
        <f aca="false">IF(AA1833&lt;&gt;"",AA1833,Z1833)</f>
        <v/>
      </c>
      <c r="CF1833" s="48" t="str">
        <f aca="false">IF(OR(CE1833=1,CE1833=2,CE1833=3),IF(Parameter!$E$27="Ja","LIFT",IF(CE1833=1,"L1","L23")),IF(CE1833="Aussen","Aussen","-"))</f>
        <v>-</v>
      </c>
      <c r="CG1833" s="59" t="n">
        <f aca="false">IF(N(AB1833)&gt;0,AB1833,0)</f>
        <v>0</v>
      </c>
      <c r="CH1833" s="53" t="n">
        <f aca="false">IF(ISNUMBER(AE1833),1,0)</f>
        <v>0</v>
      </c>
      <c r="CI1833" s="50" t="n">
        <f aca="false">N(AE1833)</f>
        <v>0</v>
      </c>
      <c r="CJ1833" s="50" t="n">
        <f aca="false">N(M1833)+N(N1833)</f>
        <v>0</v>
      </c>
      <c r="CK1833" s="50" t="n">
        <f aca="false">N(M1833)</f>
        <v>0</v>
      </c>
      <c r="CL1833" s="50" t="n">
        <f aca="false">N(N1833)</f>
        <v>0</v>
      </c>
      <c r="CM1833" s="50" t="n">
        <f aca="false">ROUNDUP(H1833/BY1833,0)</f>
        <v>0</v>
      </c>
      <c r="CN1833" s="50" t="n">
        <f aca="false">ROUNDUP(CI1833/BY1833,0)</f>
        <v>0</v>
      </c>
      <c r="CO1833" s="53" t="n">
        <f aca="false">IF(BZ1833=1,0,IFERROR(VLOOKUP(BX1833,'Gebinde-Kategorie'!$A$5:$N$45,5,0)+0,0))</f>
        <v>0</v>
      </c>
      <c r="CP1833" s="53" t="n">
        <f aca="false">IFERROR(IF(OR(CE1833=1,CE1833=2,CE1833=3),N(INDEX(Parameter!$I$5:$I$7,CE1833)),0),0)</f>
        <v>0</v>
      </c>
      <c r="CQ1833" s="52" t="n">
        <f aca="false">IF(AND(Parameter!$B$21="Ja",ISNUMBER(W1833),N(X1833)&gt;0),IFERROR(N(INDEX(Parameter!$L$5:$L$7,W1833))*INDEX(Parameter!$E$5:$E$7,W1833)*X1833/SUMIFS($X$7:$X$1843,$W$7:$W$1843,W1833),0),0)</f>
        <v>0</v>
      </c>
    </row>
    <row r="1834" customFormat="false" ht="15" hidden="false" customHeight="false" outlineLevel="0" collapsed="false">
      <c r="A1834" s="48" t="str">
        <f aca="false">IF('Neue Artikel'!$A$95="","",'Neue Artikel'!$A$95&amp;"")</f>
        <v/>
      </c>
      <c r="B1834" s="48" t="str">
        <f aca="false">'Neue Artikel'!$B$95&amp;""</f>
        <v/>
      </c>
      <c r="C1834" s="48"/>
      <c r="D1834" s="48" t="s">
        <v>3024</v>
      </c>
      <c r="E1834" s="48"/>
      <c r="F1834" s="48"/>
      <c r="G1834" s="49" t="n">
        <f aca="false">N('Neue Artikel'!$G$95)</f>
        <v>0</v>
      </c>
      <c r="H1834" s="50" t="n">
        <f aca="false">MAX(0,IF(AND(Parameter!$B$21="Ja",ISNUMBER(Y1834)),Y1834,IF(Parameter!$B$20="Jahresanfang 2025 + Export",BR1834+BQ1834,BQ1834)))</f>
        <v>0</v>
      </c>
      <c r="I1834" s="50" t="n">
        <f aca="false">H1834*G1834</f>
        <v>0</v>
      </c>
      <c r="J1834" s="50" t="n">
        <f aca="false">BT1834*Parameter!$B$18</f>
        <v>0</v>
      </c>
      <c r="K1834" s="51"/>
      <c r="L1834" s="52"/>
      <c r="M1834" s="50" t="n">
        <f aca="false">N('Neue Artikel'!$E$95)</f>
        <v>0</v>
      </c>
      <c r="N1834" s="50" t="n">
        <f aca="false">N('Neue Artikel'!$F$95)</f>
        <v>0</v>
      </c>
      <c r="O1834" s="53"/>
      <c r="P1834" s="48" t="str">
        <f aca="false">IF('Neue Artikel'!$H$95="","LOSE",UPPER(TRIM('Neue Artikel'!$H$95)))</f>
        <v>LOSE</v>
      </c>
      <c r="Q1834" s="50" t="n">
        <f aca="false">N('Neue Artikel'!$I$95)</f>
        <v>0</v>
      </c>
      <c r="R1834" s="53" t="n">
        <f aca="false">IF(BZ1834=1,0,IFERROR(VLOOKUP(BX1834,'Gebinde-Kategorie'!$A$5:$N$45,13,0)+0,0))</f>
        <v>0</v>
      </c>
      <c r="S1834" s="54"/>
      <c r="T1834" s="55"/>
      <c r="U1834" s="55"/>
      <c r="V1834" s="55"/>
      <c r="W1834" s="48"/>
      <c r="X1834" s="50"/>
      <c r="Y1834" s="50"/>
      <c r="Z1834" s="48" t="str">
        <f aca="false">IF(A1834="","",IF(AND(Parameter!$B$21="Ja",ISNUMBER(W1834)),W1834,IF(CC1834="2+3",IF(ISNUMBER(SEARCH("grosser Artikel",BU1834)),2,IFERROR(VLOOKUP(BX1834,Parameter!$F$35:$G$64,2,0),2)),IF(OR(CC1834="Nein",CC1834=""),"-",CC1834))))</f>
        <v/>
      </c>
      <c r="AA1834" s="48" t="str">
        <f aca="false">IF('Neue Artikel'!$J$95="","",'Neue Artikel'!$J$95)</f>
        <v/>
      </c>
      <c r="AB1834" s="56"/>
      <c r="AC1834" s="50" t="n">
        <f aca="false">AV1834</f>
        <v>0</v>
      </c>
      <c r="AD1834" s="50" t="n">
        <f aca="false">MAX(AV1834,H1834)</f>
        <v>0</v>
      </c>
      <c r="AE1834" s="57"/>
      <c r="AF1834" s="50" t="n">
        <f aca="false">IF(LEFT(Cockpit!$C$5,1)="A",H1834,IF(Parameter!$E$30="MAX-Bestand",IF(CH1834=1,CI1834,IF(LEFT(Cockpit!$C$5,1)="B",AL1834,MAX(AL1834,H1834))),ROUNDUP(AJ1834,0)))</f>
        <v>0</v>
      </c>
      <c r="AG1834" s="50" t="n">
        <f aca="false">IF(BZ1834=1,0,ROUNDUP(AF1834/BY1834,0))</f>
        <v>0</v>
      </c>
      <c r="AH1834" s="52" t="n">
        <f aca="false">IF(CQ1834&gt;0,CQ1834*MAX(1,AF1834/X1834),IF(BZ1834=1,IF(AF1834&lt;=0,0,CD1834*MAX(1,IF(H1834&gt;0,AF1834/H1834,1))),IF(R1834&gt;0,AG1834/R1834,0))/MAX(0.1,N(Parameter!$M$21)))</f>
        <v>0</v>
      </c>
      <c r="AI1834" s="50" t="n">
        <f aca="false">AH1834*CB1834</f>
        <v>0</v>
      </c>
      <c r="AJ1834" s="51" t="n">
        <f aca="false">IF(LEFT(Cockpit!$C$5,1)="A",H1834,IF(CH1834=1,(CK1834+CI1834)/2,IF(LEFT(Cockpit!$C$5,1)="B",(CK1834+AL1834)/2,MAX((CK1834+AL1834)/2,H1834))))</f>
        <v>0</v>
      </c>
      <c r="AK1834" s="50" t="n">
        <f aca="false">AJ1834*G1834</f>
        <v>0</v>
      </c>
      <c r="AL1834" s="50" t="n">
        <f aca="false">ROUNDUP(CK1834+MAX(CL1834,2*(J1834/IF(CG1834&gt;0,CG1834,MAX(0.1,N(Cockpit!$C$6)))-CK1834)),0)</f>
        <v>0</v>
      </c>
      <c r="AM1834" s="51" t="n">
        <f aca="false">IF(AI1834&gt;0,J1834/AI1834,-1)</f>
        <v>-1</v>
      </c>
      <c r="AN1834" s="51" t="str">
        <f aca="false">IF(AND(OR(CF1834="L1",CF1834="L23",CF1834="LIFT"),AI1834&gt;0),SUMIFS($AI$7:$AI$1843,$CF$7:$CF$1843,CF1834,$AM$7:$AM$1843,"&gt;"&amp;AM1834)+SUMIFS($AI$7:$AI$1843,$CF$7:$CF$1843,CF1834,$AM$7:$AM$1843,AM1834,$BW$7:$BW$1843,"&lt;="&amp;BW1834),"")</f>
        <v/>
      </c>
      <c r="AO1834" s="58" t="n">
        <f aca="false">IF(AN1834="",0,MAX(0,MIN(1,(IF(CF1834="L1",Parameter!$H$5,IF(CF1834="L23",Parameter!$H$6+Parameter!$H$7,Parameter!$H$5+Parameter!$H$6+Parameter!$H$7))-(AN1834-AI1834))/AI1834)))</f>
        <v>0</v>
      </c>
      <c r="AP1834" s="50" t="n">
        <f aca="false">IF(LEFT(Cockpit!$I$5,1)="A",H1834,IF(Parameter!$E$30="MAX-Bestand",IF(CH1834=1,CI1834,IF(LEFT(Cockpit!$I$5,1)="B",AV1834,MAX(AV1834,H1834))),ROUNDUP(AT1834,0)))</f>
        <v>0</v>
      </c>
      <c r="AQ1834" s="50" t="n">
        <f aca="false">IF(BZ1834=1,0,ROUNDUP(AP1834/BY1834,0))</f>
        <v>0</v>
      </c>
      <c r="AR1834" s="52" t="n">
        <f aca="false">IF(CQ1834&gt;0,CQ1834*MAX(1,AP1834/X1834),IF(BZ1834=1,IF(AP1834&lt;=0,0,CD1834*MAX(1,IF(H1834&gt;0,AP1834/H1834,1))),IF(R1834&gt;0,AQ1834/R1834,0))/MAX(0.1,N(Parameter!$M$21)))</f>
        <v>0</v>
      </c>
      <c r="AS1834" s="50" t="n">
        <f aca="false">AR1834*CB1834</f>
        <v>0</v>
      </c>
      <c r="AT1834" s="51" t="n">
        <f aca="false">IF(LEFT(Cockpit!$I$5,1)="A",H1834,IF(CH1834=1,(CK1834+CI1834)/2,IF(LEFT(Cockpit!$I$5,1)="B",(CK1834+AV1834)/2,MAX((CK1834+AV1834)/2,H1834))))</f>
        <v>0</v>
      </c>
      <c r="AU1834" s="50" t="n">
        <f aca="false">AT1834*G1834</f>
        <v>0</v>
      </c>
      <c r="AV1834" s="50" t="n">
        <f aca="false">ROUNDUP(CK1834+MAX(CL1834,2*(J1834/IF(CG1834&gt;0,CG1834,MAX(0.1,N(Cockpit!$I$6)))-CK1834)),0)</f>
        <v>0</v>
      </c>
      <c r="AW1834" s="51" t="n">
        <f aca="false">IF(AS1834&gt;0,J1834/AS1834,-1)</f>
        <v>-1</v>
      </c>
      <c r="AX1834" s="51" t="str">
        <f aca="false">IF(AND(OR(CF1834="L1",CF1834="L23",CF1834="LIFT"),AS1834&gt;0),SUMIFS($AS$7:$AS$1843,$CF$7:$CF$1843,CF1834,$AW$7:$AW$1843,"&gt;"&amp;AW1834)+SUMIFS($AS$7:$AS$1843,$CF$7:$CF$1843,CF1834,$AW$7:$AW$1843,AW1834,$BW$7:$BW$1843,"&lt;="&amp;BW1834),"")</f>
        <v/>
      </c>
      <c r="AY1834" s="58" t="n">
        <f aca="false">IF(AX1834="",0,MAX(0,MIN(1,(IF(CF1834="L1",Parameter!$H$5,IF(CF1834="L23",Parameter!$H$6+Parameter!$H$7,Parameter!$H$5+Parameter!$H$6+Parameter!$H$7))-(AX1834-AS1834))/AS1834)))</f>
        <v>0</v>
      </c>
      <c r="AZ1834" s="50" t="n">
        <f aca="false">IF(LEFT(Cockpit!$O$5,1)="A",H1834,IF(Parameter!$E$30="MAX-Bestand",IF(CH1834=1,CI1834,IF(LEFT(Cockpit!$O$5,1)="B",BF1834,MAX(BF1834,H1834))),ROUNDUP(BD1834,0)))</f>
        <v>0</v>
      </c>
      <c r="BA1834" s="50" t="n">
        <f aca="false">IF(BZ1834=1,0,ROUNDUP(AZ1834/BY1834,0))</f>
        <v>0</v>
      </c>
      <c r="BB1834" s="52" t="n">
        <f aca="false">IF(CQ1834&gt;0,CQ1834*MAX(1,AZ1834/X1834),IF(BZ1834=1,IF(AZ1834&lt;=0,0,CD1834*MAX(1,IF(H1834&gt;0,AZ1834/H1834,1))),IF(R1834&gt;0,BA1834/R1834,0))/MAX(0.1,N(Parameter!$M$21)))</f>
        <v>0</v>
      </c>
      <c r="BC1834" s="50" t="n">
        <f aca="false">BB1834*CB1834</f>
        <v>0</v>
      </c>
      <c r="BD1834" s="51" t="n">
        <f aca="false">IF(LEFT(Cockpit!$O$5,1)="A",H1834,IF(CH1834=1,(CK1834+CI1834)/2,IF(LEFT(Cockpit!$O$5,1)="B",(CK1834+BF1834)/2,MAX((CK1834+BF1834)/2,H1834))))</f>
        <v>0</v>
      </c>
      <c r="BE1834" s="50" t="n">
        <f aca="false">BD1834*G1834</f>
        <v>0</v>
      </c>
      <c r="BF1834" s="50" t="n">
        <f aca="false">ROUNDUP(CK1834+MAX(CL1834,2*(J1834/IF(CG1834&gt;0,CG1834,MAX(0.1,N(Cockpit!$O$6)))-CK1834)),0)</f>
        <v>0</v>
      </c>
      <c r="BG1834" s="51" t="n">
        <f aca="false">IF(BC1834&gt;0,J1834/BC1834,-1)</f>
        <v>-1</v>
      </c>
      <c r="BH1834" s="51" t="str">
        <f aca="false">IF(AND(OR(CF1834="L1",CF1834="L23",CF1834="LIFT"),BC1834&gt;0),SUMIFS($BC$7:$BC$1843,$CF$7:$CF$1843,CF1834,$BG$7:$BG$1843,"&gt;"&amp;BG1834)+SUMIFS($BC$7:$BC$1843,$CF$7:$CF$1843,CF1834,$BG$7:$BG$1843,BG1834,$BW$7:$BW$1843,"&lt;="&amp;BW1834),"")</f>
        <v/>
      </c>
      <c r="BI1834" s="58" t="n">
        <f aca="false">IF(BH1834="",0,MAX(0,MIN(1,(IF(CF1834="L1",Parameter!$H$5,IF(CF1834="L23",Parameter!$H$6+Parameter!$H$7,Parameter!$H$5+Parameter!$H$6+Parameter!$H$7))-(BH1834-BC1834))/BC1834)))</f>
        <v>0</v>
      </c>
      <c r="BJ1834" s="48" t="str">
        <f aca="false">IF(AI1834&lt;=0,"",IF(CF1834="Aussen","Aussenlager",IF(CF1834="-","Nicht im Lift",IF(AO1834&gt;=1,"Lift",IF(AO1834&lt;=0,"Aussenlager","teilweise")))))</f>
        <v/>
      </c>
      <c r="BK1834" s="48" t="str">
        <f aca="false">IF(AS1834&lt;=0,"",IF(CF1834="Aussen","Aussenlager",IF(CF1834="-","Nicht im Lift",IF(AY1834&gt;=1,"Lift",IF(AY1834&lt;=0,"Aussenlager","teilweise")))))</f>
        <v/>
      </c>
      <c r="BL1834" s="48" t="str">
        <f aca="false">IF(BC1834&lt;=0,"",IF(CF1834="Aussen","Aussenlager",IF(CF1834="-","Nicht im Lift",IF(BI1834&gt;=1,"Lift",IF(BI1834&lt;=0,"Aussenlager","teilweise")))))</f>
        <v/>
      </c>
      <c r="BM1834" s="48" t="str">
        <f aca="false">IF(A1834="","",IF(BV1834=1,"Neu; ","")&amp;IF(AND(BV1834=0,BQ1834&lt;0),"negativer Bestand (Export "&amp;BQ1834&amp;"); ","")&amp;IF(J1834&lt;=0,"Kein Verbrauch; ","")&amp;IF(CQ1834&gt;0,"Lift "&amp;W1834&amp;" lt. Liftbericht (Fach "&amp;X1834&amp;" Stk); ",IF(CA1834=1,"Gebinde geschätzt ("&amp;T1834&amp;"); ",IF(BZ1834=1,"Lose – Tablare geschätzt; ","")))&amp;IF(H1834&gt;AV1834,"Überbestand "&amp;ROUND(H1834-AV1834,0)&amp;" Stk / CHF "&amp;ROUND((H1834-AV1834)*G1834,0)&amp;"; ","")&amp;IF(AND(CH1834=1,CI1834&lt;CJ1834),"MAX &lt; MB+LG; ","")&amp;IF(AND(CP1834&gt;0,CO1834*10&gt;CP1834),"zu hoch für Tablar; ","")&amp;IF(AND(BV1834=0,OR(CH1834=1,AA1834&lt;&gt;"",U1834&lt;&gt;"",V1834&lt;&gt;"",AB1834&lt;&gt;"")),"manuell übersteuert; ","")&amp;IF(AND(BZ1834=0,R1834=0),"Gebinde unbekannt / Stellmass fehlt; ","")&amp;IF(AND(BZ1834=0,N(V1834)&lt;=0,N(Q1834)&lt;=0),"Menge pro Gebinde fehlt (Ist = 1 Gebinde); ","")&amp;BU1834)</f>
        <v/>
      </c>
      <c r="BN1834" s="48"/>
      <c r="BO1834" s="48"/>
      <c r="BP1834" s="55"/>
      <c r="BQ1834" s="50" t="n">
        <f aca="false">N('Neue Artikel'!$D$95)</f>
        <v>0</v>
      </c>
      <c r="BR1834" s="50" t="n">
        <v>0</v>
      </c>
      <c r="BS1834" s="49" t="n">
        <v>0</v>
      </c>
      <c r="BT1834" s="50" t="n">
        <f aca="false">N('Neue Artikel'!$C$95)/Parameter!$B$18</f>
        <v>0</v>
      </c>
      <c r="BU1834" s="48"/>
      <c r="BV1834" s="53" t="n">
        <v>1</v>
      </c>
      <c r="BW1834" s="53" t="n">
        <v>1834</v>
      </c>
      <c r="BX1834" s="48" t="str">
        <f aca="false">IF(U1834&lt;&gt;"",UPPER(TRIM(U1834)),IF(CA1834=1,UPPER(VLOOKUP(T1834,Parameter!$I$27:$K$29,2,0)),IF(P1834="","LOSE",P1834)))</f>
        <v>LOSE</v>
      </c>
      <c r="BY1834" s="50" t="n">
        <f aca="false">IF(BX1834="LOSE",1,IF(N(V1834)&gt;0,V1834,IF(CA1834=1,MAX(1,N(VLOOKUP(T1834,Parameter!$I$27:$K$29,3,0)),H1834,N(N1834)),IF(N(Q1834)&gt;0,Q1834,MAX(1,H1834)))))</f>
        <v>1</v>
      </c>
      <c r="BZ1834" s="53" t="n">
        <f aca="false">IF(BX1834="LOSE",1,0)</f>
        <v>1</v>
      </c>
      <c r="CA1834" s="53" t="n">
        <f aca="false">IF(AND(U1834="",OR(P1834="",P1834="LOSE"),T1834&lt;&gt;"",N(S1834)&lt;=0,ISNUMBER(MATCH(T1834,Parameter!$I$27:$I$29,0))),1,0)</f>
        <v>0</v>
      </c>
      <c r="CB1834" s="53" t="n">
        <f aca="false">IF(CQ1834&gt;0,INDEX(Parameter!$H$5:$H$7,W1834)/INDEX(Parameter!$E$5:$E$7,W1834),IF(AND(BZ1834=0,N(IFERROR(VLOOKUP(BX1834,'Gebinde-Kategorie'!$A$5:$N$45,14,0),0))&gt;0),VLOOKUP(BX1834,'Gebinde-Kategorie'!$A$5:$N$45,14,0)*10+Parameter!$M$23,Parameter!$M$24))</f>
        <v>235</v>
      </c>
      <c r="CC1834" s="48" t="str">
        <f aca="false">IF(AND(Parameter!$B$19="Ja",E1834&lt;&gt;"",ISNUMBER(MATCH(E1834,Parameter!$I$35:$I$52,0))),VLOOKUP(E1834,Parameter!$I$35:$J$52,2,0),IFERROR(VLOOKUP(D1834,Parameter!$A$35:$C$64,2,0),"Nein"))</f>
        <v>2+3</v>
      </c>
      <c r="CD1834" s="52" t="n">
        <f aca="false">IF(BZ1834=0,0,IF(N(S1834)&gt;0,S1834,IFERROR(VLOOKUP(D1834,Parameter!$A$35:$C$64,3,0)+0,0)))</f>
        <v>0.15</v>
      </c>
      <c r="CE1834" s="48" t="str">
        <f aca="false">IF(AA1834&lt;&gt;"",AA1834,Z1834)</f>
        <v/>
      </c>
      <c r="CF1834" s="48" t="str">
        <f aca="false">IF(OR(CE1834=1,CE1834=2,CE1834=3),IF(Parameter!$E$27="Ja","LIFT",IF(CE1834=1,"L1","L23")),IF(CE1834="Aussen","Aussen","-"))</f>
        <v>-</v>
      </c>
      <c r="CG1834" s="59" t="n">
        <f aca="false">IF(N(AB1834)&gt;0,AB1834,0)</f>
        <v>0</v>
      </c>
      <c r="CH1834" s="53" t="n">
        <f aca="false">IF(ISNUMBER(AE1834),1,0)</f>
        <v>0</v>
      </c>
      <c r="CI1834" s="50" t="n">
        <f aca="false">N(AE1834)</f>
        <v>0</v>
      </c>
      <c r="CJ1834" s="50" t="n">
        <f aca="false">N(M1834)+N(N1834)</f>
        <v>0</v>
      </c>
      <c r="CK1834" s="50" t="n">
        <f aca="false">N(M1834)</f>
        <v>0</v>
      </c>
      <c r="CL1834" s="50" t="n">
        <f aca="false">N(N1834)</f>
        <v>0</v>
      </c>
      <c r="CM1834" s="50" t="n">
        <f aca="false">ROUNDUP(H1834/BY1834,0)</f>
        <v>0</v>
      </c>
      <c r="CN1834" s="50" t="n">
        <f aca="false">ROUNDUP(CI1834/BY1834,0)</f>
        <v>0</v>
      </c>
      <c r="CO1834" s="53" t="n">
        <f aca="false">IF(BZ1834=1,0,IFERROR(VLOOKUP(BX1834,'Gebinde-Kategorie'!$A$5:$N$45,5,0)+0,0))</f>
        <v>0</v>
      </c>
      <c r="CP1834" s="53" t="n">
        <f aca="false">IFERROR(IF(OR(CE1834=1,CE1834=2,CE1834=3),N(INDEX(Parameter!$I$5:$I$7,CE1834)),0),0)</f>
        <v>0</v>
      </c>
      <c r="CQ1834" s="52" t="n">
        <f aca="false">IF(AND(Parameter!$B$21="Ja",ISNUMBER(W1834),N(X1834)&gt;0),IFERROR(N(INDEX(Parameter!$L$5:$L$7,W1834))*INDEX(Parameter!$E$5:$E$7,W1834)*X1834/SUMIFS($X$7:$X$1843,$W$7:$W$1843,W1834),0),0)</f>
        <v>0</v>
      </c>
    </row>
    <row r="1835" customFormat="false" ht="15" hidden="false" customHeight="false" outlineLevel="0" collapsed="false">
      <c r="A1835" s="48" t="str">
        <f aca="false">IF('Neue Artikel'!$A$96="","",'Neue Artikel'!$A$96&amp;"")</f>
        <v/>
      </c>
      <c r="B1835" s="48" t="str">
        <f aca="false">'Neue Artikel'!$B$96&amp;""</f>
        <v/>
      </c>
      <c r="C1835" s="48"/>
      <c r="D1835" s="48" t="s">
        <v>3024</v>
      </c>
      <c r="E1835" s="48"/>
      <c r="F1835" s="48"/>
      <c r="G1835" s="49" t="n">
        <f aca="false">N('Neue Artikel'!$G$96)</f>
        <v>0</v>
      </c>
      <c r="H1835" s="50" t="n">
        <f aca="false">MAX(0,IF(AND(Parameter!$B$21="Ja",ISNUMBER(Y1835)),Y1835,IF(Parameter!$B$20="Jahresanfang 2025 + Export",BR1835+BQ1835,BQ1835)))</f>
        <v>0</v>
      </c>
      <c r="I1835" s="50" t="n">
        <f aca="false">H1835*G1835</f>
        <v>0</v>
      </c>
      <c r="J1835" s="50" t="n">
        <f aca="false">BT1835*Parameter!$B$18</f>
        <v>0</v>
      </c>
      <c r="K1835" s="51"/>
      <c r="L1835" s="52"/>
      <c r="M1835" s="50" t="n">
        <f aca="false">N('Neue Artikel'!$E$96)</f>
        <v>0</v>
      </c>
      <c r="N1835" s="50" t="n">
        <f aca="false">N('Neue Artikel'!$F$96)</f>
        <v>0</v>
      </c>
      <c r="O1835" s="53"/>
      <c r="P1835" s="48" t="str">
        <f aca="false">IF('Neue Artikel'!$H$96="","LOSE",UPPER(TRIM('Neue Artikel'!$H$96)))</f>
        <v>LOSE</v>
      </c>
      <c r="Q1835" s="50" t="n">
        <f aca="false">N('Neue Artikel'!$I$96)</f>
        <v>0</v>
      </c>
      <c r="R1835" s="53" t="n">
        <f aca="false">IF(BZ1835=1,0,IFERROR(VLOOKUP(BX1835,'Gebinde-Kategorie'!$A$5:$N$45,13,0)+0,0))</f>
        <v>0</v>
      </c>
      <c r="S1835" s="54"/>
      <c r="T1835" s="55"/>
      <c r="U1835" s="55"/>
      <c r="V1835" s="55"/>
      <c r="W1835" s="48"/>
      <c r="X1835" s="50"/>
      <c r="Y1835" s="50"/>
      <c r="Z1835" s="48" t="str">
        <f aca="false">IF(A1835="","",IF(AND(Parameter!$B$21="Ja",ISNUMBER(W1835)),W1835,IF(CC1835="2+3",IF(ISNUMBER(SEARCH("grosser Artikel",BU1835)),2,IFERROR(VLOOKUP(BX1835,Parameter!$F$35:$G$64,2,0),2)),IF(OR(CC1835="Nein",CC1835=""),"-",CC1835))))</f>
        <v/>
      </c>
      <c r="AA1835" s="48" t="str">
        <f aca="false">IF('Neue Artikel'!$J$96="","",'Neue Artikel'!$J$96)</f>
        <v/>
      </c>
      <c r="AB1835" s="56"/>
      <c r="AC1835" s="50" t="n">
        <f aca="false">AV1835</f>
        <v>0</v>
      </c>
      <c r="AD1835" s="50" t="n">
        <f aca="false">MAX(AV1835,H1835)</f>
        <v>0</v>
      </c>
      <c r="AE1835" s="57"/>
      <c r="AF1835" s="50" t="n">
        <f aca="false">IF(LEFT(Cockpit!$C$5,1)="A",H1835,IF(Parameter!$E$30="MAX-Bestand",IF(CH1835=1,CI1835,IF(LEFT(Cockpit!$C$5,1)="B",AL1835,MAX(AL1835,H1835))),ROUNDUP(AJ1835,0)))</f>
        <v>0</v>
      </c>
      <c r="AG1835" s="50" t="n">
        <f aca="false">IF(BZ1835=1,0,ROUNDUP(AF1835/BY1835,0))</f>
        <v>0</v>
      </c>
      <c r="AH1835" s="52" t="n">
        <f aca="false">IF(CQ1835&gt;0,CQ1835*MAX(1,AF1835/X1835),IF(BZ1835=1,IF(AF1835&lt;=0,0,CD1835*MAX(1,IF(H1835&gt;0,AF1835/H1835,1))),IF(R1835&gt;0,AG1835/R1835,0))/MAX(0.1,N(Parameter!$M$21)))</f>
        <v>0</v>
      </c>
      <c r="AI1835" s="50" t="n">
        <f aca="false">AH1835*CB1835</f>
        <v>0</v>
      </c>
      <c r="AJ1835" s="51" t="n">
        <f aca="false">IF(LEFT(Cockpit!$C$5,1)="A",H1835,IF(CH1835=1,(CK1835+CI1835)/2,IF(LEFT(Cockpit!$C$5,1)="B",(CK1835+AL1835)/2,MAX((CK1835+AL1835)/2,H1835))))</f>
        <v>0</v>
      </c>
      <c r="AK1835" s="50" t="n">
        <f aca="false">AJ1835*G1835</f>
        <v>0</v>
      </c>
      <c r="AL1835" s="50" t="n">
        <f aca="false">ROUNDUP(CK1835+MAX(CL1835,2*(J1835/IF(CG1835&gt;0,CG1835,MAX(0.1,N(Cockpit!$C$6)))-CK1835)),0)</f>
        <v>0</v>
      </c>
      <c r="AM1835" s="51" t="n">
        <f aca="false">IF(AI1835&gt;0,J1835/AI1835,-1)</f>
        <v>-1</v>
      </c>
      <c r="AN1835" s="51" t="str">
        <f aca="false">IF(AND(OR(CF1835="L1",CF1835="L23",CF1835="LIFT"),AI1835&gt;0),SUMIFS($AI$7:$AI$1843,$CF$7:$CF$1843,CF1835,$AM$7:$AM$1843,"&gt;"&amp;AM1835)+SUMIFS($AI$7:$AI$1843,$CF$7:$CF$1843,CF1835,$AM$7:$AM$1843,AM1835,$BW$7:$BW$1843,"&lt;="&amp;BW1835),"")</f>
        <v/>
      </c>
      <c r="AO1835" s="58" t="n">
        <f aca="false">IF(AN1835="",0,MAX(0,MIN(1,(IF(CF1835="L1",Parameter!$H$5,IF(CF1835="L23",Parameter!$H$6+Parameter!$H$7,Parameter!$H$5+Parameter!$H$6+Parameter!$H$7))-(AN1835-AI1835))/AI1835)))</f>
        <v>0</v>
      </c>
      <c r="AP1835" s="50" t="n">
        <f aca="false">IF(LEFT(Cockpit!$I$5,1)="A",H1835,IF(Parameter!$E$30="MAX-Bestand",IF(CH1835=1,CI1835,IF(LEFT(Cockpit!$I$5,1)="B",AV1835,MAX(AV1835,H1835))),ROUNDUP(AT1835,0)))</f>
        <v>0</v>
      </c>
      <c r="AQ1835" s="50" t="n">
        <f aca="false">IF(BZ1835=1,0,ROUNDUP(AP1835/BY1835,0))</f>
        <v>0</v>
      </c>
      <c r="AR1835" s="52" t="n">
        <f aca="false">IF(CQ1835&gt;0,CQ1835*MAX(1,AP1835/X1835),IF(BZ1835=1,IF(AP1835&lt;=0,0,CD1835*MAX(1,IF(H1835&gt;0,AP1835/H1835,1))),IF(R1835&gt;0,AQ1835/R1835,0))/MAX(0.1,N(Parameter!$M$21)))</f>
        <v>0</v>
      </c>
      <c r="AS1835" s="50" t="n">
        <f aca="false">AR1835*CB1835</f>
        <v>0</v>
      </c>
      <c r="AT1835" s="51" t="n">
        <f aca="false">IF(LEFT(Cockpit!$I$5,1)="A",H1835,IF(CH1835=1,(CK1835+CI1835)/2,IF(LEFT(Cockpit!$I$5,1)="B",(CK1835+AV1835)/2,MAX((CK1835+AV1835)/2,H1835))))</f>
        <v>0</v>
      </c>
      <c r="AU1835" s="50" t="n">
        <f aca="false">AT1835*G1835</f>
        <v>0</v>
      </c>
      <c r="AV1835" s="50" t="n">
        <f aca="false">ROUNDUP(CK1835+MAX(CL1835,2*(J1835/IF(CG1835&gt;0,CG1835,MAX(0.1,N(Cockpit!$I$6)))-CK1835)),0)</f>
        <v>0</v>
      </c>
      <c r="AW1835" s="51" t="n">
        <f aca="false">IF(AS1835&gt;0,J1835/AS1835,-1)</f>
        <v>-1</v>
      </c>
      <c r="AX1835" s="51" t="str">
        <f aca="false">IF(AND(OR(CF1835="L1",CF1835="L23",CF1835="LIFT"),AS1835&gt;0),SUMIFS($AS$7:$AS$1843,$CF$7:$CF$1843,CF1835,$AW$7:$AW$1843,"&gt;"&amp;AW1835)+SUMIFS($AS$7:$AS$1843,$CF$7:$CF$1843,CF1835,$AW$7:$AW$1843,AW1835,$BW$7:$BW$1843,"&lt;="&amp;BW1835),"")</f>
        <v/>
      </c>
      <c r="AY1835" s="58" t="n">
        <f aca="false">IF(AX1835="",0,MAX(0,MIN(1,(IF(CF1835="L1",Parameter!$H$5,IF(CF1835="L23",Parameter!$H$6+Parameter!$H$7,Parameter!$H$5+Parameter!$H$6+Parameter!$H$7))-(AX1835-AS1835))/AS1835)))</f>
        <v>0</v>
      </c>
      <c r="AZ1835" s="50" t="n">
        <f aca="false">IF(LEFT(Cockpit!$O$5,1)="A",H1835,IF(Parameter!$E$30="MAX-Bestand",IF(CH1835=1,CI1835,IF(LEFT(Cockpit!$O$5,1)="B",BF1835,MAX(BF1835,H1835))),ROUNDUP(BD1835,0)))</f>
        <v>0</v>
      </c>
      <c r="BA1835" s="50" t="n">
        <f aca="false">IF(BZ1835=1,0,ROUNDUP(AZ1835/BY1835,0))</f>
        <v>0</v>
      </c>
      <c r="BB1835" s="52" t="n">
        <f aca="false">IF(CQ1835&gt;0,CQ1835*MAX(1,AZ1835/X1835),IF(BZ1835=1,IF(AZ1835&lt;=0,0,CD1835*MAX(1,IF(H1835&gt;0,AZ1835/H1835,1))),IF(R1835&gt;0,BA1835/R1835,0))/MAX(0.1,N(Parameter!$M$21)))</f>
        <v>0</v>
      </c>
      <c r="BC1835" s="50" t="n">
        <f aca="false">BB1835*CB1835</f>
        <v>0</v>
      </c>
      <c r="BD1835" s="51" t="n">
        <f aca="false">IF(LEFT(Cockpit!$O$5,1)="A",H1835,IF(CH1835=1,(CK1835+CI1835)/2,IF(LEFT(Cockpit!$O$5,1)="B",(CK1835+BF1835)/2,MAX((CK1835+BF1835)/2,H1835))))</f>
        <v>0</v>
      </c>
      <c r="BE1835" s="50" t="n">
        <f aca="false">BD1835*G1835</f>
        <v>0</v>
      </c>
      <c r="BF1835" s="50" t="n">
        <f aca="false">ROUNDUP(CK1835+MAX(CL1835,2*(J1835/IF(CG1835&gt;0,CG1835,MAX(0.1,N(Cockpit!$O$6)))-CK1835)),0)</f>
        <v>0</v>
      </c>
      <c r="BG1835" s="51" t="n">
        <f aca="false">IF(BC1835&gt;0,J1835/BC1835,-1)</f>
        <v>-1</v>
      </c>
      <c r="BH1835" s="51" t="str">
        <f aca="false">IF(AND(OR(CF1835="L1",CF1835="L23",CF1835="LIFT"),BC1835&gt;0),SUMIFS($BC$7:$BC$1843,$CF$7:$CF$1843,CF1835,$BG$7:$BG$1843,"&gt;"&amp;BG1835)+SUMIFS($BC$7:$BC$1843,$CF$7:$CF$1843,CF1835,$BG$7:$BG$1843,BG1835,$BW$7:$BW$1843,"&lt;="&amp;BW1835),"")</f>
        <v/>
      </c>
      <c r="BI1835" s="58" t="n">
        <f aca="false">IF(BH1835="",0,MAX(0,MIN(1,(IF(CF1835="L1",Parameter!$H$5,IF(CF1835="L23",Parameter!$H$6+Parameter!$H$7,Parameter!$H$5+Parameter!$H$6+Parameter!$H$7))-(BH1835-BC1835))/BC1835)))</f>
        <v>0</v>
      </c>
      <c r="BJ1835" s="48" t="str">
        <f aca="false">IF(AI1835&lt;=0,"",IF(CF1835="Aussen","Aussenlager",IF(CF1835="-","Nicht im Lift",IF(AO1835&gt;=1,"Lift",IF(AO1835&lt;=0,"Aussenlager","teilweise")))))</f>
        <v/>
      </c>
      <c r="BK1835" s="48" t="str">
        <f aca="false">IF(AS1835&lt;=0,"",IF(CF1835="Aussen","Aussenlager",IF(CF1835="-","Nicht im Lift",IF(AY1835&gt;=1,"Lift",IF(AY1835&lt;=0,"Aussenlager","teilweise")))))</f>
        <v/>
      </c>
      <c r="BL1835" s="48" t="str">
        <f aca="false">IF(BC1835&lt;=0,"",IF(CF1835="Aussen","Aussenlager",IF(CF1835="-","Nicht im Lift",IF(BI1835&gt;=1,"Lift",IF(BI1835&lt;=0,"Aussenlager","teilweise")))))</f>
        <v/>
      </c>
      <c r="BM1835" s="48" t="str">
        <f aca="false">IF(A1835="","",IF(BV1835=1,"Neu; ","")&amp;IF(AND(BV1835=0,BQ1835&lt;0),"negativer Bestand (Export "&amp;BQ1835&amp;"); ","")&amp;IF(J1835&lt;=0,"Kein Verbrauch; ","")&amp;IF(CQ1835&gt;0,"Lift "&amp;W1835&amp;" lt. Liftbericht (Fach "&amp;X1835&amp;" Stk); ",IF(CA1835=1,"Gebinde geschätzt ("&amp;T1835&amp;"); ",IF(BZ1835=1,"Lose – Tablare geschätzt; ","")))&amp;IF(H1835&gt;AV1835,"Überbestand "&amp;ROUND(H1835-AV1835,0)&amp;" Stk / CHF "&amp;ROUND((H1835-AV1835)*G1835,0)&amp;"; ","")&amp;IF(AND(CH1835=1,CI1835&lt;CJ1835),"MAX &lt; MB+LG; ","")&amp;IF(AND(CP1835&gt;0,CO1835*10&gt;CP1835),"zu hoch für Tablar; ","")&amp;IF(AND(BV1835=0,OR(CH1835=1,AA1835&lt;&gt;"",U1835&lt;&gt;"",V1835&lt;&gt;"",AB1835&lt;&gt;"")),"manuell übersteuert; ","")&amp;IF(AND(BZ1835=0,R1835=0),"Gebinde unbekannt / Stellmass fehlt; ","")&amp;IF(AND(BZ1835=0,N(V1835)&lt;=0,N(Q1835)&lt;=0),"Menge pro Gebinde fehlt (Ist = 1 Gebinde); ","")&amp;BU1835)</f>
        <v/>
      </c>
      <c r="BN1835" s="48"/>
      <c r="BO1835" s="48"/>
      <c r="BP1835" s="55"/>
      <c r="BQ1835" s="50" t="n">
        <f aca="false">N('Neue Artikel'!$D$96)</f>
        <v>0</v>
      </c>
      <c r="BR1835" s="50" t="n">
        <v>0</v>
      </c>
      <c r="BS1835" s="49" t="n">
        <v>0</v>
      </c>
      <c r="BT1835" s="50" t="n">
        <f aca="false">N('Neue Artikel'!$C$96)/Parameter!$B$18</f>
        <v>0</v>
      </c>
      <c r="BU1835" s="48"/>
      <c r="BV1835" s="53" t="n">
        <v>1</v>
      </c>
      <c r="BW1835" s="53" t="n">
        <v>1835</v>
      </c>
      <c r="BX1835" s="48" t="str">
        <f aca="false">IF(U1835&lt;&gt;"",UPPER(TRIM(U1835)),IF(CA1835=1,UPPER(VLOOKUP(T1835,Parameter!$I$27:$K$29,2,0)),IF(P1835="","LOSE",P1835)))</f>
        <v>LOSE</v>
      </c>
      <c r="BY1835" s="50" t="n">
        <f aca="false">IF(BX1835="LOSE",1,IF(N(V1835)&gt;0,V1835,IF(CA1835=1,MAX(1,N(VLOOKUP(T1835,Parameter!$I$27:$K$29,3,0)),H1835,N(N1835)),IF(N(Q1835)&gt;0,Q1835,MAX(1,H1835)))))</f>
        <v>1</v>
      </c>
      <c r="BZ1835" s="53" t="n">
        <f aca="false">IF(BX1835="LOSE",1,0)</f>
        <v>1</v>
      </c>
      <c r="CA1835" s="53" t="n">
        <f aca="false">IF(AND(U1835="",OR(P1835="",P1835="LOSE"),T1835&lt;&gt;"",N(S1835)&lt;=0,ISNUMBER(MATCH(T1835,Parameter!$I$27:$I$29,0))),1,0)</f>
        <v>0</v>
      </c>
      <c r="CB1835" s="53" t="n">
        <f aca="false">IF(CQ1835&gt;0,INDEX(Parameter!$H$5:$H$7,W1835)/INDEX(Parameter!$E$5:$E$7,W1835),IF(AND(BZ1835=0,N(IFERROR(VLOOKUP(BX1835,'Gebinde-Kategorie'!$A$5:$N$45,14,0),0))&gt;0),VLOOKUP(BX1835,'Gebinde-Kategorie'!$A$5:$N$45,14,0)*10+Parameter!$M$23,Parameter!$M$24))</f>
        <v>235</v>
      </c>
      <c r="CC1835" s="48" t="str">
        <f aca="false">IF(AND(Parameter!$B$19="Ja",E1835&lt;&gt;"",ISNUMBER(MATCH(E1835,Parameter!$I$35:$I$52,0))),VLOOKUP(E1835,Parameter!$I$35:$J$52,2,0),IFERROR(VLOOKUP(D1835,Parameter!$A$35:$C$64,2,0),"Nein"))</f>
        <v>2+3</v>
      </c>
      <c r="CD1835" s="52" t="n">
        <f aca="false">IF(BZ1835=0,0,IF(N(S1835)&gt;0,S1835,IFERROR(VLOOKUP(D1835,Parameter!$A$35:$C$64,3,0)+0,0)))</f>
        <v>0.15</v>
      </c>
      <c r="CE1835" s="48" t="str">
        <f aca="false">IF(AA1835&lt;&gt;"",AA1835,Z1835)</f>
        <v/>
      </c>
      <c r="CF1835" s="48" t="str">
        <f aca="false">IF(OR(CE1835=1,CE1835=2,CE1835=3),IF(Parameter!$E$27="Ja","LIFT",IF(CE1835=1,"L1","L23")),IF(CE1835="Aussen","Aussen","-"))</f>
        <v>-</v>
      </c>
      <c r="CG1835" s="59" t="n">
        <f aca="false">IF(N(AB1835)&gt;0,AB1835,0)</f>
        <v>0</v>
      </c>
      <c r="CH1835" s="53" t="n">
        <f aca="false">IF(ISNUMBER(AE1835),1,0)</f>
        <v>0</v>
      </c>
      <c r="CI1835" s="50" t="n">
        <f aca="false">N(AE1835)</f>
        <v>0</v>
      </c>
      <c r="CJ1835" s="50" t="n">
        <f aca="false">N(M1835)+N(N1835)</f>
        <v>0</v>
      </c>
      <c r="CK1835" s="50" t="n">
        <f aca="false">N(M1835)</f>
        <v>0</v>
      </c>
      <c r="CL1835" s="50" t="n">
        <f aca="false">N(N1835)</f>
        <v>0</v>
      </c>
      <c r="CM1835" s="50" t="n">
        <f aca="false">ROUNDUP(H1835/BY1835,0)</f>
        <v>0</v>
      </c>
      <c r="CN1835" s="50" t="n">
        <f aca="false">ROUNDUP(CI1835/BY1835,0)</f>
        <v>0</v>
      </c>
      <c r="CO1835" s="53" t="n">
        <f aca="false">IF(BZ1835=1,0,IFERROR(VLOOKUP(BX1835,'Gebinde-Kategorie'!$A$5:$N$45,5,0)+0,0))</f>
        <v>0</v>
      </c>
      <c r="CP1835" s="53" t="n">
        <f aca="false">IFERROR(IF(OR(CE1835=1,CE1835=2,CE1835=3),N(INDEX(Parameter!$I$5:$I$7,CE1835)),0),0)</f>
        <v>0</v>
      </c>
      <c r="CQ1835" s="52" t="n">
        <f aca="false">IF(AND(Parameter!$B$21="Ja",ISNUMBER(W1835),N(X1835)&gt;0),IFERROR(N(INDEX(Parameter!$L$5:$L$7,W1835))*INDEX(Parameter!$E$5:$E$7,W1835)*X1835/SUMIFS($X$7:$X$1843,$W$7:$W$1843,W1835),0),0)</f>
        <v>0</v>
      </c>
    </row>
    <row r="1836" customFormat="false" ht="15" hidden="false" customHeight="false" outlineLevel="0" collapsed="false">
      <c r="A1836" s="48" t="str">
        <f aca="false">IF('Neue Artikel'!$A$97="","",'Neue Artikel'!$A$97&amp;"")</f>
        <v/>
      </c>
      <c r="B1836" s="48" t="str">
        <f aca="false">'Neue Artikel'!$B$97&amp;""</f>
        <v/>
      </c>
      <c r="C1836" s="48"/>
      <c r="D1836" s="48" t="s">
        <v>3024</v>
      </c>
      <c r="E1836" s="48"/>
      <c r="F1836" s="48"/>
      <c r="G1836" s="49" t="n">
        <f aca="false">N('Neue Artikel'!$G$97)</f>
        <v>0</v>
      </c>
      <c r="H1836" s="50" t="n">
        <f aca="false">MAX(0,IF(AND(Parameter!$B$21="Ja",ISNUMBER(Y1836)),Y1836,IF(Parameter!$B$20="Jahresanfang 2025 + Export",BR1836+BQ1836,BQ1836)))</f>
        <v>0</v>
      </c>
      <c r="I1836" s="50" t="n">
        <f aca="false">H1836*G1836</f>
        <v>0</v>
      </c>
      <c r="J1836" s="50" t="n">
        <f aca="false">BT1836*Parameter!$B$18</f>
        <v>0</v>
      </c>
      <c r="K1836" s="51"/>
      <c r="L1836" s="52"/>
      <c r="M1836" s="50" t="n">
        <f aca="false">N('Neue Artikel'!$E$97)</f>
        <v>0</v>
      </c>
      <c r="N1836" s="50" t="n">
        <f aca="false">N('Neue Artikel'!$F$97)</f>
        <v>0</v>
      </c>
      <c r="O1836" s="53"/>
      <c r="P1836" s="48" t="str">
        <f aca="false">IF('Neue Artikel'!$H$97="","LOSE",UPPER(TRIM('Neue Artikel'!$H$97)))</f>
        <v>LOSE</v>
      </c>
      <c r="Q1836" s="50" t="n">
        <f aca="false">N('Neue Artikel'!$I$97)</f>
        <v>0</v>
      </c>
      <c r="R1836" s="53" t="n">
        <f aca="false">IF(BZ1836=1,0,IFERROR(VLOOKUP(BX1836,'Gebinde-Kategorie'!$A$5:$N$45,13,0)+0,0))</f>
        <v>0</v>
      </c>
      <c r="S1836" s="54"/>
      <c r="T1836" s="55"/>
      <c r="U1836" s="55"/>
      <c r="V1836" s="55"/>
      <c r="W1836" s="48"/>
      <c r="X1836" s="50"/>
      <c r="Y1836" s="50"/>
      <c r="Z1836" s="48" t="str">
        <f aca="false">IF(A1836="","",IF(AND(Parameter!$B$21="Ja",ISNUMBER(W1836)),W1836,IF(CC1836="2+3",IF(ISNUMBER(SEARCH("grosser Artikel",BU1836)),2,IFERROR(VLOOKUP(BX1836,Parameter!$F$35:$G$64,2,0),2)),IF(OR(CC1836="Nein",CC1836=""),"-",CC1836))))</f>
        <v/>
      </c>
      <c r="AA1836" s="48" t="str">
        <f aca="false">IF('Neue Artikel'!$J$97="","",'Neue Artikel'!$J$97)</f>
        <v/>
      </c>
      <c r="AB1836" s="56"/>
      <c r="AC1836" s="50" t="n">
        <f aca="false">AV1836</f>
        <v>0</v>
      </c>
      <c r="AD1836" s="50" t="n">
        <f aca="false">MAX(AV1836,H1836)</f>
        <v>0</v>
      </c>
      <c r="AE1836" s="57"/>
      <c r="AF1836" s="50" t="n">
        <f aca="false">IF(LEFT(Cockpit!$C$5,1)="A",H1836,IF(Parameter!$E$30="MAX-Bestand",IF(CH1836=1,CI1836,IF(LEFT(Cockpit!$C$5,1)="B",AL1836,MAX(AL1836,H1836))),ROUNDUP(AJ1836,0)))</f>
        <v>0</v>
      </c>
      <c r="AG1836" s="50" t="n">
        <f aca="false">IF(BZ1836=1,0,ROUNDUP(AF1836/BY1836,0))</f>
        <v>0</v>
      </c>
      <c r="AH1836" s="52" t="n">
        <f aca="false">IF(CQ1836&gt;0,CQ1836*MAX(1,AF1836/X1836),IF(BZ1836=1,IF(AF1836&lt;=0,0,CD1836*MAX(1,IF(H1836&gt;0,AF1836/H1836,1))),IF(R1836&gt;0,AG1836/R1836,0))/MAX(0.1,N(Parameter!$M$21)))</f>
        <v>0</v>
      </c>
      <c r="AI1836" s="50" t="n">
        <f aca="false">AH1836*CB1836</f>
        <v>0</v>
      </c>
      <c r="AJ1836" s="51" t="n">
        <f aca="false">IF(LEFT(Cockpit!$C$5,1)="A",H1836,IF(CH1836=1,(CK1836+CI1836)/2,IF(LEFT(Cockpit!$C$5,1)="B",(CK1836+AL1836)/2,MAX((CK1836+AL1836)/2,H1836))))</f>
        <v>0</v>
      </c>
      <c r="AK1836" s="50" t="n">
        <f aca="false">AJ1836*G1836</f>
        <v>0</v>
      </c>
      <c r="AL1836" s="50" t="n">
        <f aca="false">ROUNDUP(CK1836+MAX(CL1836,2*(J1836/IF(CG1836&gt;0,CG1836,MAX(0.1,N(Cockpit!$C$6)))-CK1836)),0)</f>
        <v>0</v>
      </c>
      <c r="AM1836" s="51" t="n">
        <f aca="false">IF(AI1836&gt;0,J1836/AI1836,-1)</f>
        <v>-1</v>
      </c>
      <c r="AN1836" s="51" t="str">
        <f aca="false">IF(AND(OR(CF1836="L1",CF1836="L23",CF1836="LIFT"),AI1836&gt;0),SUMIFS($AI$7:$AI$1843,$CF$7:$CF$1843,CF1836,$AM$7:$AM$1843,"&gt;"&amp;AM1836)+SUMIFS($AI$7:$AI$1843,$CF$7:$CF$1843,CF1836,$AM$7:$AM$1843,AM1836,$BW$7:$BW$1843,"&lt;="&amp;BW1836),"")</f>
        <v/>
      </c>
      <c r="AO1836" s="58" t="n">
        <f aca="false">IF(AN1836="",0,MAX(0,MIN(1,(IF(CF1836="L1",Parameter!$H$5,IF(CF1836="L23",Parameter!$H$6+Parameter!$H$7,Parameter!$H$5+Parameter!$H$6+Parameter!$H$7))-(AN1836-AI1836))/AI1836)))</f>
        <v>0</v>
      </c>
      <c r="AP1836" s="50" t="n">
        <f aca="false">IF(LEFT(Cockpit!$I$5,1)="A",H1836,IF(Parameter!$E$30="MAX-Bestand",IF(CH1836=1,CI1836,IF(LEFT(Cockpit!$I$5,1)="B",AV1836,MAX(AV1836,H1836))),ROUNDUP(AT1836,0)))</f>
        <v>0</v>
      </c>
      <c r="AQ1836" s="50" t="n">
        <f aca="false">IF(BZ1836=1,0,ROUNDUP(AP1836/BY1836,0))</f>
        <v>0</v>
      </c>
      <c r="AR1836" s="52" t="n">
        <f aca="false">IF(CQ1836&gt;0,CQ1836*MAX(1,AP1836/X1836),IF(BZ1836=1,IF(AP1836&lt;=0,0,CD1836*MAX(1,IF(H1836&gt;0,AP1836/H1836,1))),IF(R1836&gt;0,AQ1836/R1836,0))/MAX(0.1,N(Parameter!$M$21)))</f>
        <v>0</v>
      </c>
      <c r="AS1836" s="50" t="n">
        <f aca="false">AR1836*CB1836</f>
        <v>0</v>
      </c>
      <c r="AT1836" s="51" t="n">
        <f aca="false">IF(LEFT(Cockpit!$I$5,1)="A",H1836,IF(CH1836=1,(CK1836+CI1836)/2,IF(LEFT(Cockpit!$I$5,1)="B",(CK1836+AV1836)/2,MAX((CK1836+AV1836)/2,H1836))))</f>
        <v>0</v>
      </c>
      <c r="AU1836" s="50" t="n">
        <f aca="false">AT1836*G1836</f>
        <v>0</v>
      </c>
      <c r="AV1836" s="50" t="n">
        <f aca="false">ROUNDUP(CK1836+MAX(CL1836,2*(J1836/IF(CG1836&gt;0,CG1836,MAX(0.1,N(Cockpit!$I$6)))-CK1836)),0)</f>
        <v>0</v>
      </c>
      <c r="AW1836" s="51" t="n">
        <f aca="false">IF(AS1836&gt;0,J1836/AS1836,-1)</f>
        <v>-1</v>
      </c>
      <c r="AX1836" s="51" t="str">
        <f aca="false">IF(AND(OR(CF1836="L1",CF1836="L23",CF1836="LIFT"),AS1836&gt;0),SUMIFS($AS$7:$AS$1843,$CF$7:$CF$1843,CF1836,$AW$7:$AW$1843,"&gt;"&amp;AW1836)+SUMIFS($AS$7:$AS$1843,$CF$7:$CF$1843,CF1836,$AW$7:$AW$1843,AW1836,$BW$7:$BW$1843,"&lt;="&amp;BW1836),"")</f>
        <v/>
      </c>
      <c r="AY1836" s="58" t="n">
        <f aca="false">IF(AX1836="",0,MAX(0,MIN(1,(IF(CF1836="L1",Parameter!$H$5,IF(CF1836="L23",Parameter!$H$6+Parameter!$H$7,Parameter!$H$5+Parameter!$H$6+Parameter!$H$7))-(AX1836-AS1836))/AS1836)))</f>
        <v>0</v>
      </c>
      <c r="AZ1836" s="50" t="n">
        <f aca="false">IF(LEFT(Cockpit!$O$5,1)="A",H1836,IF(Parameter!$E$30="MAX-Bestand",IF(CH1836=1,CI1836,IF(LEFT(Cockpit!$O$5,1)="B",BF1836,MAX(BF1836,H1836))),ROUNDUP(BD1836,0)))</f>
        <v>0</v>
      </c>
      <c r="BA1836" s="50" t="n">
        <f aca="false">IF(BZ1836=1,0,ROUNDUP(AZ1836/BY1836,0))</f>
        <v>0</v>
      </c>
      <c r="BB1836" s="52" t="n">
        <f aca="false">IF(CQ1836&gt;0,CQ1836*MAX(1,AZ1836/X1836),IF(BZ1836=1,IF(AZ1836&lt;=0,0,CD1836*MAX(1,IF(H1836&gt;0,AZ1836/H1836,1))),IF(R1836&gt;0,BA1836/R1836,0))/MAX(0.1,N(Parameter!$M$21)))</f>
        <v>0</v>
      </c>
      <c r="BC1836" s="50" t="n">
        <f aca="false">BB1836*CB1836</f>
        <v>0</v>
      </c>
      <c r="BD1836" s="51" t="n">
        <f aca="false">IF(LEFT(Cockpit!$O$5,1)="A",H1836,IF(CH1836=1,(CK1836+CI1836)/2,IF(LEFT(Cockpit!$O$5,1)="B",(CK1836+BF1836)/2,MAX((CK1836+BF1836)/2,H1836))))</f>
        <v>0</v>
      </c>
      <c r="BE1836" s="50" t="n">
        <f aca="false">BD1836*G1836</f>
        <v>0</v>
      </c>
      <c r="BF1836" s="50" t="n">
        <f aca="false">ROUNDUP(CK1836+MAX(CL1836,2*(J1836/IF(CG1836&gt;0,CG1836,MAX(0.1,N(Cockpit!$O$6)))-CK1836)),0)</f>
        <v>0</v>
      </c>
      <c r="BG1836" s="51" t="n">
        <f aca="false">IF(BC1836&gt;0,J1836/BC1836,-1)</f>
        <v>-1</v>
      </c>
      <c r="BH1836" s="51" t="str">
        <f aca="false">IF(AND(OR(CF1836="L1",CF1836="L23",CF1836="LIFT"),BC1836&gt;0),SUMIFS($BC$7:$BC$1843,$CF$7:$CF$1843,CF1836,$BG$7:$BG$1843,"&gt;"&amp;BG1836)+SUMIFS($BC$7:$BC$1843,$CF$7:$CF$1843,CF1836,$BG$7:$BG$1843,BG1836,$BW$7:$BW$1843,"&lt;="&amp;BW1836),"")</f>
        <v/>
      </c>
      <c r="BI1836" s="58" t="n">
        <f aca="false">IF(BH1836="",0,MAX(0,MIN(1,(IF(CF1836="L1",Parameter!$H$5,IF(CF1836="L23",Parameter!$H$6+Parameter!$H$7,Parameter!$H$5+Parameter!$H$6+Parameter!$H$7))-(BH1836-BC1836))/BC1836)))</f>
        <v>0</v>
      </c>
      <c r="BJ1836" s="48" t="str">
        <f aca="false">IF(AI1836&lt;=0,"",IF(CF1836="Aussen","Aussenlager",IF(CF1836="-","Nicht im Lift",IF(AO1836&gt;=1,"Lift",IF(AO1836&lt;=0,"Aussenlager","teilweise")))))</f>
        <v/>
      </c>
      <c r="BK1836" s="48" t="str">
        <f aca="false">IF(AS1836&lt;=0,"",IF(CF1836="Aussen","Aussenlager",IF(CF1836="-","Nicht im Lift",IF(AY1836&gt;=1,"Lift",IF(AY1836&lt;=0,"Aussenlager","teilweise")))))</f>
        <v/>
      </c>
      <c r="BL1836" s="48" t="str">
        <f aca="false">IF(BC1836&lt;=0,"",IF(CF1836="Aussen","Aussenlager",IF(CF1836="-","Nicht im Lift",IF(BI1836&gt;=1,"Lift",IF(BI1836&lt;=0,"Aussenlager","teilweise")))))</f>
        <v/>
      </c>
      <c r="BM1836" s="48" t="str">
        <f aca="false">IF(A1836="","",IF(BV1836=1,"Neu; ","")&amp;IF(AND(BV1836=0,BQ1836&lt;0),"negativer Bestand (Export "&amp;BQ1836&amp;"); ","")&amp;IF(J1836&lt;=0,"Kein Verbrauch; ","")&amp;IF(CQ1836&gt;0,"Lift "&amp;W1836&amp;" lt. Liftbericht (Fach "&amp;X1836&amp;" Stk); ",IF(CA1836=1,"Gebinde geschätzt ("&amp;T1836&amp;"); ",IF(BZ1836=1,"Lose – Tablare geschätzt; ","")))&amp;IF(H1836&gt;AV1836,"Überbestand "&amp;ROUND(H1836-AV1836,0)&amp;" Stk / CHF "&amp;ROUND((H1836-AV1836)*G1836,0)&amp;"; ","")&amp;IF(AND(CH1836=1,CI1836&lt;CJ1836),"MAX &lt; MB+LG; ","")&amp;IF(AND(CP1836&gt;0,CO1836*10&gt;CP1836),"zu hoch für Tablar; ","")&amp;IF(AND(BV1836=0,OR(CH1836=1,AA1836&lt;&gt;"",U1836&lt;&gt;"",V1836&lt;&gt;"",AB1836&lt;&gt;"")),"manuell übersteuert; ","")&amp;IF(AND(BZ1836=0,R1836=0),"Gebinde unbekannt / Stellmass fehlt; ","")&amp;IF(AND(BZ1836=0,N(V1836)&lt;=0,N(Q1836)&lt;=0),"Menge pro Gebinde fehlt (Ist = 1 Gebinde); ","")&amp;BU1836)</f>
        <v/>
      </c>
      <c r="BN1836" s="48"/>
      <c r="BO1836" s="48"/>
      <c r="BP1836" s="55"/>
      <c r="BQ1836" s="50" t="n">
        <f aca="false">N('Neue Artikel'!$D$97)</f>
        <v>0</v>
      </c>
      <c r="BR1836" s="50" t="n">
        <v>0</v>
      </c>
      <c r="BS1836" s="49" t="n">
        <v>0</v>
      </c>
      <c r="BT1836" s="50" t="n">
        <f aca="false">N('Neue Artikel'!$C$97)/Parameter!$B$18</f>
        <v>0</v>
      </c>
      <c r="BU1836" s="48"/>
      <c r="BV1836" s="53" t="n">
        <v>1</v>
      </c>
      <c r="BW1836" s="53" t="n">
        <v>1836</v>
      </c>
      <c r="BX1836" s="48" t="str">
        <f aca="false">IF(U1836&lt;&gt;"",UPPER(TRIM(U1836)),IF(CA1836=1,UPPER(VLOOKUP(T1836,Parameter!$I$27:$K$29,2,0)),IF(P1836="","LOSE",P1836)))</f>
        <v>LOSE</v>
      </c>
      <c r="BY1836" s="50" t="n">
        <f aca="false">IF(BX1836="LOSE",1,IF(N(V1836)&gt;0,V1836,IF(CA1836=1,MAX(1,N(VLOOKUP(T1836,Parameter!$I$27:$K$29,3,0)),H1836,N(N1836)),IF(N(Q1836)&gt;0,Q1836,MAX(1,H1836)))))</f>
        <v>1</v>
      </c>
      <c r="BZ1836" s="53" t="n">
        <f aca="false">IF(BX1836="LOSE",1,0)</f>
        <v>1</v>
      </c>
      <c r="CA1836" s="53" t="n">
        <f aca="false">IF(AND(U1836="",OR(P1836="",P1836="LOSE"),T1836&lt;&gt;"",N(S1836)&lt;=0,ISNUMBER(MATCH(T1836,Parameter!$I$27:$I$29,0))),1,0)</f>
        <v>0</v>
      </c>
      <c r="CB1836" s="53" t="n">
        <f aca="false">IF(CQ1836&gt;0,INDEX(Parameter!$H$5:$H$7,W1836)/INDEX(Parameter!$E$5:$E$7,W1836),IF(AND(BZ1836=0,N(IFERROR(VLOOKUP(BX1836,'Gebinde-Kategorie'!$A$5:$N$45,14,0),0))&gt;0),VLOOKUP(BX1836,'Gebinde-Kategorie'!$A$5:$N$45,14,0)*10+Parameter!$M$23,Parameter!$M$24))</f>
        <v>235</v>
      </c>
      <c r="CC1836" s="48" t="str">
        <f aca="false">IF(AND(Parameter!$B$19="Ja",E1836&lt;&gt;"",ISNUMBER(MATCH(E1836,Parameter!$I$35:$I$52,0))),VLOOKUP(E1836,Parameter!$I$35:$J$52,2,0),IFERROR(VLOOKUP(D1836,Parameter!$A$35:$C$64,2,0),"Nein"))</f>
        <v>2+3</v>
      </c>
      <c r="CD1836" s="52" t="n">
        <f aca="false">IF(BZ1836=0,0,IF(N(S1836)&gt;0,S1836,IFERROR(VLOOKUP(D1836,Parameter!$A$35:$C$64,3,0)+0,0)))</f>
        <v>0.15</v>
      </c>
      <c r="CE1836" s="48" t="str">
        <f aca="false">IF(AA1836&lt;&gt;"",AA1836,Z1836)</f>
        <v/>
      </c>
      <c r="CF1836" s="48" t="str">
        <f aca="false">IF(OR(CE1836=1,CE1836=2,CE1836=3),IF(Parameter!$E$27="Ja","LIFT",IF(CE1836=1,"L1","L23")),IF(CE1836="Aussen","Aussen","-"))</f>
        <v>-</v>
      </c>
      <c r="CG1836" s="59" t="n">
        <f aca="false">IF(N(AB1836)&gt;0,AB1836,0)</f>
        <v>0</v>
      </c>
      <c r="CH1836" s="53" t="n">
        <f aca="false">IF(ISNUMBER(AE1836),1,0)</f>
        <v>0</v>
      </c>
      <c r="CI1836" s="50" t="n">
        <f aca="false">N(AE1836)</f>
        <v>0</v>
      </c>
      <c r="CJ1836" s="50" t="n">
        <f aca="false">N(M1836)+N(N1836)</f>
        <v>0</v>
      </c>
      <c r="CK1836" s="50" t="n">
        <f aca="false">N(M1836)</f>
        <v>0</v>
      </c>
      <c r="CL1836" s="50" t="n">
        <f aca="false">N(N1836)</f>
        <v>0</v>
      </c>
      <c r="CM1836" s="50" t="n">
        <f aca="false">ROUNDUP(H1836/BY1836,0)</f>
        <v>0</v>
      </c>
      <c r="CN1836" s="50" t="n">
        <f aca="false">ROUNDUP(CI1836/BY1836,0)</f>
        <v>0</v>
      </c>
      <c r="CO1836" s="53" t="n">
        <f aca="false">IF(BZ1836=1,0,IFERROR(VLOOKUP(BX1836,'Gebinde-Kategorie'!$A$5:$N$45,5,0)+0,0))</f>
        <v>0</v>
      </c>
      <c r="CP1836" s="53" t="n">
        <f aca="false">IFERROR(IF(OR(CE1836=1,CE1836=2,CE1836=3),N(INDEX(Parameter!$I$5:$I$7,CE1836)),0),0)</f>
        <v>0</v>
      </c>
      <c r="CQ1836" s="52" t="n">
        <f aca="false">IF(AND(Parameter!$B$21="Ja",ISNUMBER(W1836),N(X1836)&gt;0),IFERROR(N(INDEX(Parameter!$L$5:$L$7,W1836))*INDEX(Parameter!$E$5:$E$7,W1836)*X1836/SUMIFS($X$7:$X$1843,$W$7:$W$1843,W1836),0),0)</f>
        <v>0</v>
      </c>
    </row>
    <row r="1837" customFormat="false" ht="15" hidden="false" customHeight="false" outlineLevel="0" collapsed="false">
      <c r="A1837" s="48" t="str">
        <f aca="false">IF('Neue Artikel'!$A$98="","",'Neue Artikel'!$A$98&amp;"")</f>
        <v/>
      </c>
      <c r="B1837" s="48" t="str">
        <f aca="false">'Neue Artikel'!$B$98&amp;""</f>
        <v/>
      </c>
      <c r="C1837" s="48"/>
      <c r="D1837" s="48" t="s">
        <v>3024</v>
      </c>
      <c r="E1837" s="48"/>
      <c r="F1837" s="48"/>
      <c r="G1837" s="49" t="n">
        <f aca="false">N('Neue Artikel'!$G$98)</f>
        <v>0</v>
      </c>
      <c r="H1837" s="50" t="n">
        <f aca="false">MAX(0,IF(AND(Parameter!$B$21="Ja",ISNUMBER(Y1837)),Y1837,IF(Parameter!$B$20="Jahresanfang 2025 + Export",BR1837+BQ1837,BQ1837)))</f>
        <v>0</v>
      </c>
      <c r="I1837" s="50" t="n">
        <f aca="false">H1837*G1837</f>
        <v>0</v>
      </c>
      <c r="J1837" s="50" t="n">
        <f aca="false">BT1837*Parameter!$B$18</f>
        <v>0</v>
      </c>
      <c r="K1837" s="51"/>
      <c r="L1837" s="52"/>
      <c r="M1837" s="50" t="n">
        <f aca="false">N('Neue Artikel'!$E$98)</f>
        <v>0</v>
      </c>
      <c r="N1837" s="50" t="n">
        <f aca="false">N('Neue Artikel'!$F$98)</f>
        <v>0</v>
      </c>
      <c r="O1837" s="53"/>
      <c r="P1837" s="48" t="str">
        <f aca="false">IF('Neue Artikel'!$H$98="","LOSE",UPPER(TRIM('Neue Artikel'!$H$98)))</f>
        <v>LOSE</v>
      </c>
      <c r="Q1837" s="50" t="n">
        <f aca="false">N('Neue Artikel'!$I$98)</f>
        <v>0</v>
      </c>
      <c r="R1837" s="53" t="n">
        <f aca="false">IF(BZ1837=1,0,IFERROR(VLOOKUP(BX1837,'Gebinde-Kategorie'!$A$5:$N$45,13,0)+0,0))</f>
        <v>0</v>
      </c>
      <c r="S1837" s="54"/>
      <c r="T1837" s="55"/>
      <c r="U1837" s="55"/>
      <c r="V1837" s="55"/>
      <c r="W1837" s="48"/>
      <c r="X1837" s="50"/>
      <c r="Y1837" s="50"/>
      <c r="Z1837" s="48" t="str">
        <f aca="false">IF(A1837="","",IF(AND(Parameter!$B$21="Ja",ISNUMBER(W1837)),W1837,IF(CC1837="2+3",IF(ISNUMBER(SEARCH("grosser Artikel",BU1837)),2,IFERROR(VLOOKUP(BX1837,Parameter!$F$35:$G$64,2,0),2)),IF(OR(CC1837="Nein",CC1837=""),"-",CC1837))))</f>
        <v/>
      </c>
      <c r="AA1837" s="48" t="str">
        <f aca="false">IF('Neue Artikel'!$J$98="","",'Neue Artikel'!$J$98)</f>
        <v/>
      </c>
      <c r="AB1837" s="56"/>
      <c r="AC1837" s="50" t="n">
        <f aca="false">AV1837</f>
        <v>0</v>
      </c>
      <c r="AD1837" s="50" t="n">
        <f aca="false">MAX(AV1837,H1837)</f>
        <v>0</v>
      </c>
      <c r="AE1837" s="57"/>
      <c r="AF1837" s="50" t="n">
        <f aca="false">IF(LEFT(Cockpit!$C$5,1)="A",H1837,IF(Parameter!$E$30="MAX-Bestand",IF(CH1837=1,CI1837,IF(LEFT(Cockpit!$C$5,1)="B",AL1837,MAX(AL1837,H1837))),ROUNDUP(AJ1837,0)))</f>
        <v>0</v>
      </c>
      <c r="AG1837" s="50" t="n">
        <f aca="false">IF(BZ1837=1,0,ROUNDUP(AF1837/BY1837,0))</f>
        <v>0</v>
      </c>
      <c r="AH1837" s="52" t="n">
        <f aca="false">IF(CQ1837&gt;0,CQ1837*MAX(1,AF1837/X1837),IF(BZ1837=1,IF(AF1837&lt;=0,0,CD1837*MAX(1,IF(H1837&gt;0,AF1837/H1837,1))),IF(R1837&gt;0,AG1837/R1837,0))/MAX(0.1,N(Parameter!$M$21)))</f>
        <v>0</v>
      </c>
      <c r="AI1837" s="50" t="n">
        <f aca="false">AH1837*CB1837</f>
        <v>0</v>
      </c>
      <c r="AJ1837" s="51" t="n">
        <f aca="false">IF(LEFT(Cockpit!$C$5,1)="A",H1837,IF(CH1837=1,(CK1837+CI1837)/2,IF(LEFT(Cockpit!$C$5,1)="B",(CK1837+AL1837)/2,MAX((CK1837+AL1837)/2,H1837))))</f>
        <v>0</v>
      </c>
      <c r="AK1837" s="50" t="n">
        <f aca="false">AJ1837*G1837</f>
        <v>0</v>
      </c>
      <c r="AL1837" s="50" t="n">
        <f aca="false">ROUNDUP(CK1837+MAX(CL1837,2*(J1837/IF(CG1837&gt;0,CG1837,MAX(0.1,N(Cockpit!$C$6)))-CK1837)),0)</f>
        <v>0</v>
      </c>
      <c r="AM1837" s="51" t="n">
        <f aca="false">IF(AI1837&gt;0,J1837/AI1837,-1)</f>
        <v>-1</v>
      </c>
      <c r="AN1837" s="51" t="str">
        <f aca="false">IF(AND(OR(CF1837="L1",CF1837="L23",CF1837="LIFT"),AI1837&gt;0),SUMIFS($AI$7:$AI$1843,$CF$7:$CF$1843,CF1837,$AM$7:$AM$1843,"&gt;"&amp;AM1837)+SUMIFS($AI$7:$AI$1843,$CF$7:$CF$1843,CF1837,$AM$7:$AM$1843,AM1837,$BW$7:$BW$1843,"&lt;="&amp;BW1837),"")</f>
        <v/>
      </c>
      <c r="AO1837" s="58" t="n">
        <f aca="false">IF(AN1837="",0,MAX(0,MIN(1,(IF(CF1837="L1",Parameter!$H$5,IF(CF1837="L23",Parameter!$H$6+Parameter!$H$7,Parameter!$H$5+Parameter!$H$6+Parameter!$H$7))-(AN1837-AI1837))/AI1837)))</f>
        <v>0</v>
      </c>
      <c r="AP1837" s="50" t="n">
        <f aca="false">IF(LEFT(Cockpit!$I$5,1)="A",H1837,IF(Parameter!$E$30="MAX-Bestand",IF(CH1837=1,CI1837,IF(LEFT(Cockpit!$I$5,1)="B",AV1837,MAX(AV1837,H1837))),ROUNDUP(AT1837,0)))</f>
        <v>0</v>
      </c>
      <c r="AQ1837" s="50" t="n">
        <f aca="false">IF(BZ1837=1,0,ROUNDUP(AP1837/BY1837,0))</f>
        <v>0</v>
      </c>
      <c r="AR1837" s="52" t="n">
        <f aca="false">IF(CQ1837&gt;0,CQ1837*MAX(1,AP1837/X1837),IF(BZ1837=1,IF(AP1837&lt;=0,0,CD1837*MAX(1,IF(H1837&gt;0,AP1837/H1837,1))),IF(R1837&gt;0,AQ1837/R1837,0))/MAX(0.1,N(Parameter!$M$21)))</f>
        <v>0</v>
      </c>
      <c r="AS1837" s="50" t="n">
        <f aca="false">AR1837*CB1837</f>
        <v>0</v>
      </c>
      <c r="AT1837" s="51" t="n">
        <f aca="false">IF(LEFT(Cockpit!$I$5,1)="A",H1837,IF(CH1837=1,(CK1837+CI1837)/2,IF(LEFT(Cockpit!$I$5,1)="B",(CK1837+AV1837)/2,MAX((CK1837+AV1837)/2,H1837))))</f>
        <v>0</v>
      </c>
      <c r="AU1837" s="50" t="n">
        <f aca="false">AT1837*G1837</f>
        <v>0</v>
      </c>
      <c r="AV1837" s="50" t="n">
        <f aca="false">ROUNDUP(CK1837+MAX(CL1837,2*(J1837/IF(CG1837&gt;0,CG1837,MAX(0.1,N(Cockpit!$I$6)))-CK1837)),0)</f>
        <v>0</v>
      </c>
      <c r="AW1837" s="51" t="n">
        <f aca="false">IF(AS1837&gt;0,J1837/AS1837,-1)</f>
        <v>-1</v>
      </c>
      <c r="AX1837" s="51" t="str">
        <f aca="false">IF(AND(OR(CF1837="L1",CF1837="L23",CF1837="LIFT"),AS1837&gt;0),SUMIFS($AS$7:$AS$1843,$CF$7:$CF$1843,CF1837,$AW$7:$AW$1843,"&gt;"&amp;AW1837)+SUMIFS($AS$7:$AS$1843,$CF$7:$CF$1843,CF1837,$AW$7:$AW$1843,AW1837,$BW$7:$BW$1843,"&lt;="&amp;BW1837),"")</f>
        <v/>
      </c>
      <c r="AY1837" s="58" t="n">
        <f aca="false">IF(AX1837="",0,MAX(0,MIN(1,(IF(CF1837="L1",Parameter!$H$5,IF(CF1837="L23",Parameter!$H$6+Parameter!$H$7,Parameter!$H$5+Parameter!$H$6+Parameter!$H$7))-(AX1837-AS1837))/AS1837)))</f>
        <v>0</v>
      </c>
      <c r="AZ1837" s="50" t="n">
        <f aca="false">IF(LEFT(Cockpit!$O$5,1)="A",H1837,IF(Parameter!$E$30="MAX-Bestand",IF(CH1837=1,CI1837,IF(LEFT(Cockpit!$O$5,1)="B",BF1837,MAX(BF1837,H1837))),ROUNDUP(BD1837,0)))</f>
        <v>0</v>
      </c>
      <c r="BA1837" s="50" t="n">
        <f aca="false">IF(BZ1837=1,0,ROUNDUP(AZ1837/BY1837,0))</f>
        <v>0</v>
      </c>
      <c r="BB1837" s="52" t="n">
        <f aca="false">IF(CQ1837&gt;0,CQ1837*MAX(1,AZ1837/X1837),IF(BZ1837=1,IF(AZ1837&lt;=0,0,CD1837*MAX(1,IF(H1837&gt;0,AZ1837/H1837,1))),IF(R1837&gt;0,BA1837/R1837,0))/MAX(0.1,N(Parameter!$M$21)))</f>
        <v>0</v>
      </c>
      <c r="BC1837" s="50" t="n">
        <f aca="false">BB1837*CB1837</f>
        <v>0</v>
      </c>
      <c r="BD1837" s="51" t="n">
        <f aca="false">IF(LEFT(Cockpit!$O$5,1)="A",H1837,IF(CH1837=1,(CK1837+CI1837)/2,IF(LEFT(Cockpit!$O$5,1)="B",(CK1837+BF1837)/2,MAX((CK1837+BF1837)/2,H1837))))</f>
        <v>0</v>
      </c>
      <c r="BE1837" s="50" t="n">
        <f aca="false">BD1837*G1837</f>
        <v>0</v>
      </c>
      <c r="BF1837" s="50" t="n">
        <f aca="false">ROUNDUP(CK1837+MAX(CL1837,2*(J1837/IF(CG1837&gt;0,CG1837,MAX(0.1,N(Cockpit!$O$6)))-CK1837)),0)</f>
        <v>0</v>
      </c>
      <c r="BG1837" s="51" t="n">
        <f aca="false">IF(BC1837&gt;0,J1837/BC1837,-1)</f>
        <v>-1</v>
      </c>
      <c r="BH1837" s="51" t="str">
        <f aca="false">IF(AND(OR(CF1837="L1",CF1837="L23",CF1837="LIFT"),BC1837&gt;0),SUMIFS($BC$7:$BC$1843,$CF$7:$CF$1843,CF1837,$BG$7:$BG$1843,"&gt;"&amp;BG1837)+SUMIFS($BC$7:$BC$1843,$CF$7:$CF$1843,CF1837,$BG$7:$BG$1843,BG1837,$BW$7:$BW$1843,"&lt;="&amp;BW1837),"")</f>
        <v/>
      </c>
      <c r="BI1837" s="58" t="n">
        <f aca="false">IF(BH1837="",0,MAX(0,MIN(1,(IF(CF1837="L1",Parameter!$H$5,IF(CF1837="L23",Parameter!$H$6+Parameter!$H$7,Parameter!$H$5+Parameter!$H$6+Parameter!$H$7))-(BH1837-BC1837))/BC1837)))</f>
        <v>0</v>
      </c>
      <c r="BJ1837" s="48" t="str">
        <f aca="false">IF(AI1837&lt;=0,"",IF(CF1837="Aussen","Aussenlager",IF(CF1837="-","Nicht im Lift",IF(AO1837&gt;=1,"Lift",IF(AO1837&lt;=0,"Aussenlager","teilweise")))))</f>
        <v/>
      </c>
      <c r="BK1837" s="48" t="str">
        <f aca="false">IF(AS1837&lt;=0,"",IF(CF1837="Aussen","Aussenlager",IF(CF1837="-","Nicht im Lift",IF(AY1837&gt;=1,"Lift",IF(AY1837&lt;=0,"Aussenlager","teilweise")))))</f>
        <v/>
      </c>
      <c r="BL1837" s="48" t="str">
        <f aca="false">IF(BC1837&lt;=0,"",IF(CF1837="Aussen","Aussenlager",IF(CF1837="-","Nicht im Lift",IF(BI1837&gt;=1,"Lift",IF(BI1837&lt;=0,"Aussenlager","teilweise")))))</f>
        <v/>
      </c>
      <c r="BM1837" s="48" t="str">
        <f aca="false">IF(A1837="","",IF(BV1837=1,"Neu; ","")&amp;IF(AND(BV1837=0,BQ1837&lt;0),"negativer Bestand (Export "&amp;BQ1837&amp;"); ","")&amp;IF(J1837&lt;=0,"Kein Verbrauch; ","")&amp;IF(CQ1837&gt;0,"Lift "&amp;W1837&amp;" lt. Liftbericht (Fach "&amp;X1837&amp;" Stk); ",IF(CA1837=1,"Gebinde geschätzt ("&amp;T1837&amp;"); ",IF(BZ1837=1,"Lose – Tablare geschätzt; ","")))&amp;IF(H1837&gt;AV1837,"Überbestand "&amp;ROUND(H1837-AV1837,0)&amp;" Stk / CHF "&amp;ROUND((H1837-AV1837)*G1837,0)&amp;"; ","")&amp;IF(AND(CH1837=1,CI1837&lt;CJ1837),"MAX &lt; MB+LG; ","")&amp;IF(AND(CP1837&gt;0,CO1837*10&gt;CP1837),"zu hoch für Tablar; ","")&amp;IF(AND(BV1837=0,OR(CH1837=1,AA1837&lt;&gt;"",U1837&lt;&gt;"",V1837&lt;&gt;"",AB1837&lt;&gt;"")),"manuell übersteuert; ","")&amp;IF(AND(BZ1837=0,R1837=0),"Gebinde unbekannt / Stellmass fehlt; ","")&amp;IF(AND(BZ1837=0,N(V1837)&lt;=0,N(Q1837)&lt;=0),"Menge pro Gebinde fehlt (Ist = 1 Gebinde); ","")&amp;BU1837)</f>
        <v/>
      </c>
      <c r="BN1837" s="48"/>
      <c r="BO1837" s="48"/>
      <c r="BP1837" s="55"/>
      <c r="BQ1837" s="50" t="n">
        <f aca="false">N('Neue Artikel'!$D$98)</f>
        <v>0</v>
      </c>
      <c r="BR1837" s="50" t="n">
        <v>0</v>
      </c>
      <c r="BS1837" s="49" t="n">
        <v>0</v>
      </c>
      <c r="BT1837" s="50" t="n">
        <f aca="false">N('Neue Artikel'!$C$98)/Parameter!$B$18</f>
        <v>0</v>
      </c>
      <c r="BU1837" s="48"/>
      <c r="BV1837" s="53" t="n">
        <v>1</v>
      </c>
      <c r="BW1837" s="53" t="n">
        <v>1837</v>
      </c>
      <c r="BX1837" s="48" t="str">
        <f aca="false">IF(U1837&lt;&gt;"",UPPER(TRIM(U1837)),IF(CA1837=1,UPPER(VLOOKUP(T1837,Parameter!$I$27:$K$29,2,0)),IF(P1837="","LOSE",P1837)))</f>
        <v>LOSE</v>
      </c>
      <c r="BY1837" s="50" t="n">
        <f aca="false">IF(BX1837="LOSE",1,IF(N(V1837)&gt;0,V1837,IF(CA1837=1,MAX(1,N(VLOOKUP(T1837,Parameter!$I$27:$K$29,3,0)),H1837,N(N1837)),IF(N(Q1837)&gt;0,Q1837,MAX(1,H1837)))))</f>
        <v>1</v>
      </c>
      <c r="BZ1837" s="53" t="n">
        <f aca="false">IF(BX1837="LOSE",1,0)</f>
        <v>1</v>
      </c>
      <c r="CA1837" s="53" t="n">
        <f aca="false">IF(AND(U1837="",OR(P1837="",P1837="LOSE"),T1837&lt;&gt;"",N(S1837)&lt;=0,ISNUMBER(MATCH(T1837,Parameter!$I$27:$I$29,0))),1,0)</f>
        <v>0</v>
      </c>
      <c r="CB1837" s="53" t="n">
        <f aca="false">IF(CQ1837&gt;0,INDEX(Parameter!$H$5:$H$7,W1837)/INDEX(Parameter!$E$5:$E$7,W1837),IF(AND(BZ1837=0,N(IFERROR(VLOOKUP(BX1837,'Gebinde-Kategorie'!$A$5:$N$45,14,0),0))&gt;0),VLOOKUP(BX1837,'Gebinde-Kategorie'!$A$5:$N$45,14,0)*10+Parameter!$M$23,Parameter!$M$24))</f>
        <v>235</v>
      </c>
      <c r="CC1837" s="48" t="str">
        <f aca="false">IF(AND(Parameter!$B$19="Ja",E1837&lt;&gt;"",ISNUMBER(MATCH(E1837,Parameter!$I$35:$I$52,0))),VLOOKUP(E1837,Parameter!$I$35:$J$52,2,0),IFERROR(VLOOKUP(D1837,Parameter!$A$35:$C$64,2,0),"Nein"))</f>
        <v>2+3</v>
      </c>
      <c r="CD1837" s="52" t="n">
        <f aca="false">IF(BZ1837=0,0,IF(N(S1837)&gt;0,S1837,IFERROR(VLOOKUP(D1837,Parameter!$A$35:$C$64,3,0)+0,0)))</f>
        <v>0.15</v>
      </c>
      <c r="CE1837" s="48" t="str">
        <f aca="false">IF(AA1837&lt;&gt;"",AA1837,Z1837)</f>
        <v/>
      </c>
      <c r="CF1837" s="48" t="str">
        <f aca="false">IF(OR(CE1837=1,CE1837=2,CE1837=3),IF(Parameter!$E$27="Ja","LIFT",IF(CE1837=1,"L1","L23")),IF(CE1837="Aussen","Aussen","-"))</f>
        <v>-</v>
      </c>
      <c r="CG1837" s="59" t="n">
        <f aca="false">IF(N(AB1837)&gt;0,AB1837,0)</f>
        <v>0</v>
      </c>
      <c r="CH1837" s="53" t="n">
        <f aca="false">IF(ISNUMBER(AE1837),1,0)</f>
        <v>0</v>
      </c>
      <c r="CI1837" s="50" t="n">
        <f aca="false">N(AE1837)</f>
        <v>0</v>
      </c>
      <c r="CJ1837" s="50" t="n">
        <f aca="false">N(M1837)+N(N1837)</f>
        <v>0</v>
      </c>
      <c r="CK1837" s="50" t="n">
        <f aca="false">N(M1837)</f>
        <v>0</v>
      </c>
      <c r="CL1837" s="50" t="n">
        <f aca="false">N(N1837)</f>
        <v>0</v>
      </c>
      <c r="CM1837" s="50" t="n">
        <f aca="false">ROUNDUP(H1837/BY1837,0)</f>
        <v>0</v>
      </c>
      <c r="CN1837" s="50" t="n">
        <f aca="false">ROUNDUP(CI1837/BY1837,0)</f>
        <v>0</v>
      </c>
      <c r="CO1837" s="53" t="n">
        <f aca="false">IF(BZ1837=1,0,IFERROR(VLOOKUP(BX1837,'Gebinde-Kategorie'!$A$5:$N$45,5,0)+0,0))</f>
        <v>0</v>
      </c>
      <c r="CP1837" s="53" t="n">
        <f aca="false">IFERROR(IF(OR(CE1837=1,CE1837=2,CE1837=3),N(INDEX(Parameter!$I$5:$I$7,CE1837)),0),0)</f>
        <v>0</v>
      </c>
      <c r="CQ1837" s="52" t="n">
        <f aca="false">IF(AND(Parameter!$B$21="Ja",ISNUMBER(W1837),N(X1837)&gt;0),IFERROR(N(INDEX(Parameter!$L$5:$L$7,W1837))*INDEX(Parameter!$E$5:$E$7,W1837)*X1837/SUMIFS($X$7:$X$1843,$W$7:$W$1843,W1837),0),0)</f>
        <v>0</v>
      </c>
    </row>
    <row r="1838" customFormat="false" ht="15" hidden="false" customHeight="false" outlineLevel="0" collapsed="false">
      <c r="A1838" s="48" t="str">
        <f aca="false">IF('Neue Artikel'!$A$99="","",'Neue Artikel'!$A$99&amp;"")</f>
        <v/>
      </c>
      <c r="B1838" s="48" t="str">
        <f aca="false">'Neue Artikel'!$B$99&amp;""</f>
        <v/>
      </c>
      <c r="C1838" s="48"/>
      <c r="D1838" s="48" t="s">
        <v>3024</v>
      </c>
      <c r="E1838" s="48"/>
      <c r="F1838" s="48"/>
      <c r="G1838" s="49" t="n">
        <f aca="false">N('Neue Artikel'!$G$99)</f>
        <v>0</v>
      </c>
      <c r="H1838" s="50" t="n">
        <f aca="false">MAX(0,IF(AND(Parameter!$B$21="Ja",ISNUMBER(Y1838)),Y1838,IF(Parameter!$B$20="Jahresanfang 2025 + Export",BR1838+BQ1838,BQ1838)))</f>
        <v>0</v>
      </c>
      <c r="I1838" s="50" t="n">
        <f aca="false">H1838*G1838</f>
        <v>0</v>
      </c>
      <c r="J1838" s="50" t="n">
        <f aca="false">BT1838*Parameter!$B$18</f>
        <v>0</v>
      </c>
      <c r="K1838" s="51"/>
      <c r="L1838" s="52"/>
      <c r="M1838" s="50" t="n">
        <f aca="false">N('Neue Artikel'!$E$99)</f>
        <v>0</v>
      </c>
      <c r="N1838" s="50" t="n">
        <f aca="false">N('Neue Artikel'!$F$99)</f>
        <v>0</v>
      </c>
      <c r="O1838" s="53"/>
      <c r="P1838" s="48" t="str">
        <f aca="false">IF('Neue Artikel'!$H$99="","LOSE",UPPER(TRIM('Neue Artikel'!$H$99)))</f>
        <v>LOSE</v>
      </c>
      <c r="Q1838" s="50" t="n">
        <f aca="false">N('Neue Artikel'!$I$99)</f>
        <v>0</v>
      </c>
      <c r="R1838" s="53" t="n">
        <f aca="false">IF(BZ1838=1,0,IFERROR(VLOOKUP(BX1838,'Gebinde-Kategorie'!$A$5:$N$45,13,0)+0,0))</f>
        <v>0</v>
      </c>
      <c r="S1838" s="54"/>
      <c r="T1838" s="55"/>
      <c r="U1838" s="55"/>
      <c r="V1838" s="55"/>
      <c r="W1838" s="48"/>
      <c r="X1838" s="50"/>
      <c r="Y1838" s="50"/>
      <c r="Z1838" s="48" t="str">
        <f aca="false">IF(A1838="","",IF(AND(Parameter!$B$21="Ja",ISNUMBER(W1838)),W1838,IF(CC1838="2+3",IF(ISNUMBER(SEARCH("grosser Artikel",BU1838)),2,IFERROR(VLOOKUP(BX1838,Parameter!$F$35:$G$64,2,0),2)),IF(OR(CC1838="Nein",CC1838=""),"-",CC1838))))</f>
        <v/>
      </c>
      <c r="AA1838" s="48" t="str">
        <f aca="false">IF('Neue Artikel'!$J$99="","",'Neue Artikel'!$J$99)</f>
        <v/>
      </c>
      <c r="AB1838" s="56"/>
      <c r="AC1838" s="50" t="n">
        <f aca="false">AV1838</f>
        <v>0</v>
      </c>
      <c r="AD1838" s="50" t="n">
        <f aca="false">MAX(AV1838,H1838)</f>
        <v>0</v>
      </c>
      <c r="AE1838" s="57"/>
      <c r="AF1838" s="50" t="n">
        <f aca="false">IF(LEFT(Cockpit!$C$5,1)="A",H1838,IF(Parameter!$E$30="MAX-Bestand",IF(CH1838=1,CI1838,IF(LEFT(Cockpit!$C$5,1)="B",AL1838,MAX(AL1838,H1838))),ROUNDUP(AJ1838,0)))</f>
        <v>0</v>
      </c>
      <c r="AG1838" s="50" t="n">
        <f aca="false">IF(BZ1838=1,0,ROUNDUP(AF1838/BY1838,0))</f>
        <v>0</v>
      </c>
      <c r="AH1838" s="52" t="n">
        <f aca="false">IF(CQ1838&gt;0,CQ1838*MAX(1,AF1838/X1838),IF(BZ1838=1,IF(AF1838&lt;=0,0,CD1838*MAX(1,IF(H1838&gt;0,AF1838/H1838,1))),IF(R1838&gt;0,AG1838/R1838,0))/MAX(0.1,N(Parameter!$M$21)))</f>
        <v>0</v>
      </c>
      <c r="AI1838" s="50" t="n">
        <f aca="false">AH1838*CB1838</f>
        <v>0</v>
      </c>
      <c r="AJ1838" s="51" t="n">
        <f aca="false">IF(LEFT(Cockpit!$C$5,1)="A",H1838,IF(CH1838=1,(CK1838+CI1838)/2,IF(LEFT(Cockpit!$C$5,1)="B",(CK1838+AL1838)/2,MAX((CK1838+AL1838)/2,H1838))))</f>
        <v>0</v>
      </c>
      <c r="AK1838" s="50" t="n">
        <f aca="false">AJ1838*G1838</f>
        <v>0</v>
      </c>
      <c r="AL1838" s="50" t="n">
        <f aca="false">ROUNDUP(CK1838+MAX(CL1838,2*(J1838/IF(CG1838&gt;0,CG1838,MAX(0.1,N(Cockpit!$C$6)))-CK1838)),0)</f>
        <v>0</v>
      </c>
      <c r="AM1838" s="51" t="n">
        <f aca="false">IF(AI1838&gt;0,J1838/AI1838,-1)</f>
        <v>-1</v>
      </c>
      <c r="AN1838" s="51" t="str">
        <f aca="false">IF(AND(OR(CF1838="L1",CF1838="L23",CF1838="LIFT"),AI1838&gt;0),SUMIFS($AI$7:$AI$1843,$CF$7:$CF$1843,CF1838,$AM$7:$AM$1843,"&gt;"&amp;AM1838)+SUMIFS($AI$7:$AI$1843,$CF$7:$CF$1843,CF1838,$AM$7:$AM$1843,AM1838,$BW$7:$BW$1843,"&lt;="&amp;BW1838),"")</f>
        <v/>
      </c>
      <c r="AO1838" s="58" t="n">
        <f aca="false">IF(AN1838="",0,MAX(0,MIN(1,(IF(CF1838="L1",Parameter!$H$5,IF(CF1838="L23",Parameter!$H$6+Parameter!$H$7,Parameter!$H$5+Parameter!$H$6+Parameter!$H$7))-(AN1838-AI1838))/AI1838)))</f>
        <v>0</v>
      </c>
      <c r="AP1838" s="50" t="n">
        <f aca="false">IF(LEFT(Cockpit!$I$5,1)="A",H1838,IF(Parameter!$E$30="MAX-Bestand",IF(CH1838=1,CI1838,IF(LEFT(Cockpit!$I$5,1)="B",AV1838,MAX(AV1838,H1838))),ROUNDUP(AT1838,0)))</f>
        <v>0</v>
      </c>
      <c r="AQ1838" s="50" t="n">
        <f aca="false">IF(BZ1838=1,0,ROUNDUP(AP1838/BY1838,0))</f>
        <v>0</v>
      </c>
      <c r="AR1838" s="52" t="n">
        <f aca="false">IF(CQ1838&gt;0,CQ1838*MAX(1,AP1838/X1838),IF(BZ1838=1,IF(AP1838&lt;=0,0,CD1838*MAX(1,IF(H1838&gt;0,AP1838/H1838,1))),IF(R1838&gt;0,AQ1838/R1838,0))/MAX(0.1,N(Parameter!$M$21)))</f>
        <v>0</v>
      </c>
      <c r="AS1838" s="50" t="n">
        <f aca="false">AR1838*CB1838</f>
        <v>0</v>
      </c>
      <c r="AT1838" s="51" t="n">
        <f aca="false">IF(LEFT(Cockpit!$I$5,1)="A",H1838,IF(CH1838=1,(CK1838+CI1838)/2,IF(LEFT(Cockpit!$I$5,1)="B",(CK1838+AV1838)/2,MAX((CK1838+AV1838)/2,H1838))))</f>
        <v>0</v>
      </c>
      <c r="AU1838" s="50" t="n">
        <f aca="false">AT1838*G1838</f>
        <v>0</v>
      </c>
      <c r="AV1838" s="50" t="n">
        <f aca="false">ROUNDUP(CK1838+MAX(CL1838,2*(J1838/IF(CG1838&gt;0,CG1838,MAX(0.1,N(Cockpit!$I$6)))-CK1838)),0)</f>
        <v>0</v>
      </c>
      <c r="AW1838" s="51" t="n">
        <f aca="false">IF(AS1838&gt;0,J1838/AS1838,-1)</f>
        <v>-1</v>
      </c>
      <c r="AX1838" s="51" t="str">
        <f aca="false">IF(AND(OR(CF1838="L1",CF1838="L23",CF1838="LIFT"),AS1838&gt;0),SUMIFS($AS$7:$AS$1843,$CF$7:$CF$1843,CF1838,$AW$7:$AW$1843,"&gt;"&amp;AW1838)+SUMIFS($AS$7:$AS$1843,$CF$7:$CF$1843,CF1838,$AW$7:$AW$1843,AW1838,$BW$7:$BW$1843,"&lt;="&amp;BW1838),"")</f>
        <v/>
      </c>
      <c r="AY1838" s="58" t="n">
        <f aca="false">IF(AX1838="",0,MAX(0,MIN(1,(IF(CF1838="L1",Parameter!$H$5,IF(CF1838="L23",Parameter!$H$6+Parameter!$H$7,Parameter!$H$5+Parameter!$H$6+Parameter!$H$7))-(AX1838-AS1838))/AS1838)))</f>
        <v>0</v>
      </c>
      <c r="AZ1838" s="50" t="n">
        <f aca="false">IF(LEFT(Cockpit!$O$5,1)="A",H1838,IF(Parameter!$E$30="MAX-Bestand",IF(CH1838=1,CI1838,IF(LEFT(Cockpit!$O$5,1)="B",BF1838,MAX(BF1838,H1838))),ROUNDUP(BD1838,0)))</f>
        <v>0</v>
      </c>
      <c r="BA1838" s="50" t="n">
        <f aca="false">IF(BZ1838=1,0,ROUNDUP(AZ1838/BY1838,0))</f>
        <v>0</v>
      </c>
      <c r="BB1838" s="52" t="n">
        <f aca="false">IF(CQ1838&gt;0,CQ1838*MAX(1,AZ1838/X1838),IF(BZ1838=1,IF(AZ1838&lt;=0,0,CD1838*MAX(1,IF(H1838&gt;0,AZ1838/H1838,1))),IF(R1838&gt;0,BA1838/R1838,0))/MAX(0.1,N(Parameter!$M$21)))</f>
        <v>0</v>
      </c>
      <c r="BC1838" s="50" t="n">
        <f aca="false">BB1838*CB1838</f>
        <v>0</v>
      </c>
      <c r="BD1838" s="51" t="n">
        <f aca="false">IF(LEFT(Cockpit!$O$5,1)="A",H1838,IF(CH1838=1,(CK1838+CI1838)/2,IF(LEFT(Cockpit!$O$5,1)="B",(CK1838+BF1838)/2,MAX((CK1838+BF1838)/2,H1838))))</f>
        <v>0</v>
      </c>
      <c r="BE1838" s="50" t="n">
        <f aca="false">BD1838*G1838</f>
        <v>0</v>
      </c>
      <c r="BF1838" s="50" t="n">
        <f aca="false">ROUNDUP(CK1838+MAX(CL1838,2*(J1838/IF(CG1838&gt;0,CG1838,MAX(0.1,N(Cockpit!$O$6)))-CK1838)),0)</f>
        <v>0</v>
      </c>
      <c r="BG1838" s="51" t="n">
        <f aca="false">IF(BC1838&gt;0,J1838/BC1838,-1)</f>
        <v>-1</v>
      </c>
      <c r="BH1838" s="51" t="str">
        <f aca="false">IF(AND(OR(CF1838="L1",CF1838="L23",CF1838="LIFT"),BC1838&gt;0),SUMIFS($BC$7:$BC$1843,$CF$7:$CF$1843,CF1838,$BG$7:$BG$1843,"&gt;"&amp;BG1838)+SUMIFS($BC$7:$BC$1843,$CF$7:$CF$1843,CF1838,$BG$7:$BG$1843,BG1838,$BW$7:$BW$1843,"&lt;="&amp;BW1838),"")</f>
        <v/>
      </c>
      <c r="BI1838" s="58" t="n">
        <f aca="false">IF(BH1838="",0,MAX(0,MIN(1,(IF(CF1838="L1",Parameter!$H$5,IF(CF1838="L23",Parameter!$H$6+Parameter!$H$7,Parameter!$H$5+Parameter!$H$6+Parameter!$H$7))-(BH1838-BC1838))/BC1838)))</f>
        <v>0</v>
      </c>
      <c r="BJ1838" s="48" t="str">
        <f aca="false">IF(AI1838&lt;=0,"",IF(CF1838="Aussen","Aussenlager",IF(CF1838="-","Nicht im Lift",IF(AO1838&gt;=1,"Lift",IF(AO1838&lt;=0,"Aussenlager","teilweise")))))</f>
        <v/>
      </c>
      <c r="BK1838" s="48" t="str">
        <f aca="false">IF(AS1838&lt;=0,"",IF(CF1838="Aussen","Aussenlager",IF(CF1838="-","Nicht im Lift",IF(AY1838&gt;=1,"Lift",IF(AY1838&lt;=0,"Aussenlager","teilweise")))))</f>
        <v/>
      </c>
      <c r="BL1838" s="48" t="str">
        <f aca="false">IF(BC1838&lt;=0,"",IF(CF1838="Aussen","Aussenlager",IF(CF1838="-","Nicht im Lift",IF(BI1838&gt;=1,"Lift",IF(BI1838&lt;=0,"Aussenlager","teilweise")))))</f>
        <v/>
      </c>
      <c r="BM1838" s="48" t="str">
        <f aca="false">IF(A1838="","",IF(BV1838=1,"Neu; ","")&amp;IF(AND(BV1838=0,BQ1838&lt;0),"negativer Bestand (Export "&amp;BQ1838&amp;"); ","")&amp;IF(J1838&lt;=0,"Kein Verbrauch; ","")&amp;IF(CQ1838&gt;0,"Lift "&amp;W1838&amp;" lt. Liftbericht (Fach "&amp;X1838&amp;" Stk); ",IF(CA1838=1,"Gebinde geschätzt ("&amp;T1838&amp;"); ",IF(BZ1838=1,"Lose – Tablare geschätzt; ","")))&amp;IF(H1838&gt;AV1838,"Überbestand "&amp;ROUND(H1838-AV1838,0)&amp;" Stk / CHF "&amp;ROUND((H1838-AV1838)*G1838,0)&amp;"; ","")&amp;IF(AND(CH1838=1,CI1838&lt;CJ1838),"MAX &lt; MB+LG; ","")&amp;IF(AND(CP1838&gt;0,CO1838*10&gt;CP1838),"zu hoch für Tablar; ","")&amp;IF(AND(BV1838=0,OR(CH1838=1,AA1838&lt;&gt;"",U1838&lt;&gt;"",V1838&lt;&gt;"",AB1838&lt;&gt;"")),"manuell übersteuert; ","")&amp;IF(AND(BZ1838=0,R1838=0),"Gebinde unbekannt / Stellmass fehlt; ","")&amp;IF(AND(BZ1838=0,N(V1838)&lt;=0,N(Q1838)&lt;=0),"Menge pro Gebinde fehlt (Ist = 1 Gebinde); ","")&amp;BU1838)</f>
        <v/>
      </c>
      <c r="BN1838" s="48"/>
      <c r="BO1838" s="48"/>
      <c r="BP1838" s="55"/>
      <c r="BQ1838" s="50" t="n">
        <f aca="false">N('Neue Artikel'!$D$99)</f>
        <v>0</v>
      </c>
      <c r="BR1838" s="50" t="n">
        <v>0</v>
      </c>
      <c r="BS1838" s="49" t="n">
        <v>0</v>
      </c>
      <c r="BT1838" s="50" t="n">
        <f aca="false">N('Neue Artikel'!$C$99)/Parameter!$B$18</f>
        <v>0</v>
      </c>
      <c r="BU1838" s="48"/>
      <c r="BV1838" s="53" t="n">
        <v>1</v>
      </c>
      <c r="BW1838" s="53" t="n">
        <v>1838</v>
      </c>
      <c r="BX1838" s="48" t="str">
        <f aca="false">IF(U1838&lt;&gt;"",UPPER(TRIM(U1838)),IF(CA1838=1,UPPER(VLOOKUP(T1838,Parameter!$I$27:$K$29,2,0)),IF(P1838="","LOSE",P1838)))</f>
        <v>LOSE</v>
      </c>
      <c r="BY1838" s="50" t="n">
        <f aca="false">IF(BX1838="LOSE",1,IF(N(V1838)&gt;0,V1838,IF(CA1838=1,MAX(1,N(VLOOKUP(T1838,Parameter!$I$27:$K$29,3,0)),H1838,N(N1838)),IF(N(Q1838)&gt;0,Q1838,MAX(1,H1838)))))</f>
        <v>1</v>
      </c>
      <c r="BZ1838" s="53" t="n">
        <f aca="false">IF(BX1838="LOSE",1,0)</f>
        <v>1</v>
      </c>
      <c r="CA1838" s="53" t="n">
        <f aca="false">IF(AND(U1838="",OR(P1838="",P1838="LOSE"),T1838&lt;&gt;"",N(S1838)&lt;=0,ISNUMBER(MATCH(T1838,Parameter!$I$27:$I$29,0))),1,0)</f>
        <v>0</v>
      </c>
      <c r="CB1838" s="53" t="n">
        <f aca="false">IF(CQ1838&gt;0,INDEX(Parameter!$H$5:$H$7,W1838)/INDEX(Parameter!$E$5:$E$7,W1838),IF(AND(BZ1838=0,N(IFERROR(VLOOKUP(BX1838,'Gebinde-Kategorie'!$A$5:$N$45,14,0),0))&gt;0),VLOOKUP(BX1838,'Gebinde-Kategorie'!$A$5:$N$45,14,0)*10+Parameter!$M$23,Parameter!$M$24))</f>
        <v>235</v>
      </c>
      <c r="CC1838" s="48" t="str">
        <f aca="false">IF(AND(Parameter!$B$19="Ja",E1838&lt;&gt;"",ISNUMBER(MATCH(E1838,Parameter!$I$35:$I$52,0))),VLOOKUP(E1838,Parameter!$I$35:$J$52,2,0),IFERROR(VLOOKUP(D1838,Parameter!$A$35:$C$64,2,0),"Nein"))</f>
        <v>2+3</v>
      </c>
      <c r="CD1838" s="52" t="n">
        <f aca="false">IF(BZ1838=0,0,IF(N(S1838)&gt;0,S1838,IFERROR(VLOOKUP(D1838,Parameter!$A$35:$C$64,3,0)+0,0)))</f>
        <v>0.15</v>
      </c>
      <c r="CE1838" s="48" t="str">
        <f aca="false">IF(AA1838&lt;&gt;"",AA1838,Z1838)</f>
        <v/>
      </c>
      <c r="CF1838" s="48" t="str">
        <f aca="false">IF(OR(CE1838=1,CE1838=2,CE1838=3),IF(Parameter!$E$27="Ja","LIFT",IF(CE1838=1,"L1","L23")),IF(CE1838="Aussen","Aussen","-"))</f>
        <v>-</v>
      </c>
      <c r="CG1838" s="59" t="n">
        <f aca="false">IF(N(AB1838)&gt;0,AB1838,0)</f>
        <v>0</v>
      </c>
      <c r="CH1838" s="53" t="n">
        <f aca="false">IF(ISNUMBER(AE1838),1,0)</f>
        <v>0</v>
      </c>
      <c r="CI1838" s="50" t="n">
        <f aca="false">N(AE1838)</f>
        <v>0</v>
      </c>
      <c r="CJ1838" s="50" t="n">
        <f aca="false">N(M1838)+N(N1838)</f>
        <v>0</v>
      </c>
      <c r="CK1838" s="50" t="n">
        <f aca="false">N(M1838)</f>
        <v>0</v>
      </c>
      <c r="CL1838" s="50" t="n">
        <f aca="false">N(N1838)</f>
        <v>0</v>
      </c>
      <c r="CM1838" s="50" t="n">
        <f aca="false">ROUNDUP(H1838/BY1838,0)</f>
        <v>0</v>
      </c>
      <c r="CN1838" s="50" t="n">
        <f aca="false">ROUNDUP(CI1838/BY1838,0)</f>
        <v>0</v>
      </c>
      <c r="CO1838" s="53" t="n">
        <f aca="false">IF(BZ1838=1,0,IFERROR(VLOOKUP(BX1838,'Gebinde-Kategorie'!$A$5:$N$45,5,0)+0,0))</f>
        <v>0</v>
      </c>
      <c r="CP1838" s="53" t="n">
        <f aca="false">IFERROR(IF(OR(CE1838=1,CE1838=2,CE1838=3),N(INDEX(Parameter!$I$5:$I$7,CE1838)),0),0)</f>
        <v>0</v>
      </c>
      <c r="CQ1838" s="52" t="n">
        <f aca="false">IF(AND(Parameter!$B$21="Ja",ISNUMBER(W1838),N(X1838)&gt;0),IFERROR(N(INDEX(Parameter!$L$5:$L$7,W1838))*INDEX(Parameter!$E$5:$E$7,W1838)*X1838/SUMIFS($X$7:$X$1843,$W$7:$W$1843,W1838),0),0)</f>
        <v>0</v>
      </c>
    </row>
    <row r="1839" customFormat="false" ht="15" hidden="false" customHeight="false" outlineLevel="0" collapsed="false">
      <c r="A1839" s="48" t="str">
        <f aca="false">IF('Neue Artikel'!$A$100="","",'Neue Artikel'!$A$100&amp;"")</f>
        <v/>
      </c>
      <c r="B1839" s="48" t="str">
        <f aca="false">'Neue Artikel'!$B$100&amp;""</f>
        <v/>
      </c>
      <c r="C1839" s="48"/>
      <c r="D1839" s="48" t="s">
        <v>3024</v>
      </c>
      <c r="E1839" s="48"/>
      <c r="F1839" s="48"/>
      <c r="G1839" s="49" t="n">
        <f aca="false">N('Neue Artikel'!$G$100)</f>
        <v>0</v>
      </c>
      <c r="H1839" s="50" t="n">
        <f aca="false">MAX(0,IF(AND(Parameter!$B$21="Ja",ISNUMBER(Y1839)),Y1839,IF(Parameter!$B$20="Jahresanfang 2025 + Export",BR1839+BQ1839,BQ1839)))</f>
        <v>0</v>
      </c>
      <c r="I1839" s="50" t="n">
        <f aca="false">H1839*G1839</f>
        <v>0</v>
      </c>
      <c r="J1839" s="50" t="n">
        <f aca="false">BT1839*Parameter!$B$18</f>
        <v>0</v>
      </c>
      <c r="K1839" s="51"/>
      <c r="L1839" s="52"/>
      <c r="M1839" s="50" t="n">
        <f aca="false">N('Neue Artikel'!$E$100)</f>
        <v>0</v>
      </c>
      <c r="N1839" s="50" t="n">
        <f aca="false">N('Neue Artikel'!$F$100)</f>
        <v>0</v>
      </c>
      <c r="O1839" s="53"/>
      <c r="P1839" s="48" t="str">
        <f aca="false">IF('Neue Artikel'!$H$100="","LOSE",UPPER(TRIM('Neue Artikel'!$H$100)))</f>
        <v>LOSE</v>
      </c>
      <c r="Q1839" s="50" t="n">
        <f aca="false">N('Neue Artikel'!$I$100)</f>
        <v>0</v>
      </c>
      <c r="R1839" s="53" t="n">
        <f aca="false">IF(BZ1839=1,0,IFERROR(VLOOKUP(BX1839,'Gebinde-Kategorie'!$A$5:$N$45,13,0)+0,0))</f>
        <v>0</v>
      </c>
      <c r="S1839" s="54"/>
      <c r="T1839" s="55"/>
      <c r="U1839" s="55"/>
      <c r="V1839" s="55"/>
      <c r="W1839" s="48"/>
      <c r="X1839" s="50"/>
      <c r="Y1839" s="50"/>
      <c r="Z1839" s="48" t="str">
        <f aca="false">IF(A1839="","",IF(AND(Parameter!$B$21="Ja",ISNUMBER(W1839)),W1839,IF(CC1839="2+3",IF(ISNUMBER(SEARCH("grosser Artikel",BU1839)),2,IFERROR(VLOOKUP(BX1839,Parameter!$F$35:$G$64,2,0),2)),IF(OR(CC1839="Nein",CC1839=""),"-",CC1839))))</f>
        <v/>
      </c>
      <c r="AA1839" s="48" t="str">
        <f aca="false">IF('Neue Artikel'!$J$100="","",'Neue Artikel'!$J$100)</f>
        <v/>
      </c>
      <c r="AB1839" s="56"/>
      <c r="AC1839" s="50" t="n">
        <f aca="false">AV1839</f>
        <v>0</v>
      </c>
      <c r="AD1839" s="50" t="n">
        <f aca="false">MAX(AV1839,H1839)</f>
        <v>0</v>
      </c>
      <c r="AE1839" s="57"/>
      <c r="AF1839" s="50" t="n">
        <f aca="false">IF(LEFT(Cockpit!$C$5,1)="A",H1839,IF(Parameter!$E$30="MAX-Bestand",IF(CH1839=1,CI1839,IF(LEFT(Cockpit!$C$5,1)="B",AL1839,MAX(AL1839,H1839))),ROUNDUP(AJ1839,0)))</f>
        <v>0</v>
      </c>
      <c r="AG1839" s="50" t="n">
        <f aca="false">IF(BZ1839=1,0,ROUNDUP(AF1839/BY1839,0))</f>
        <v>0</v>
      </c>
      <c r="AH1839" s="52" t="n">
        <f aca="false">IF(CQ1839&gt;0,CQ1839*MAX(1,AF1839/X1839),IF(BZ1839=1,IF(AF1839&lt;=0,0,CD1839*MAX(1,IF(H1839&gt;0,AF1839/H1839,1))),IF(R1839&gt;0,AG1839/R1839,0))/MAX(0.1,N(Parameter!$M$21)))</f>
        <v>0</v>
      </c>
      <c r="AI1839" s="50" t="n">
        <f aca="false">AH1839*CB1839</f>
        <v>0</v>
      </c>
      <c r="AJ1839" s="51" t="n">
        <f aca="false">IF(LEFT(Cockpit!$C$5,1)="A",H1839,IF(CH1839=1,(CK1839+CI1839)/2,IF(LEFT(Cockpit!$C$5,1)="B",(CK1839+AL1839)/2,MAX((CK1839+AL1839)/2,H1839))))</f>
        <v>0</v>
      </c>
      <c r="AK1839" s="50" t="n">
        <f aca="false">AJ1839*G1839</f>
        <v>0</v>
      </c>
      <c r="AL1839" s="50" t="n">
        <f aca="false">ROUNDUP(CK1839+MAX(CL1839,2*(J1839/IF(CG1839&gt;0,CG1839,MAX(0.1,N(Cockpit!$C$6)))-CK1839)),0)</f>
        <v>0</v>
      </c>
      <c r="AM1839" s="51" t="n">
        <f aca="false">IF(AI1839&gt;0,J1839/AI1839,-1)</f>
        <v>-1</v>
      </c>
      <c r="AN1839" s="51" t="str">
        <f aca="false">IF(AND(OR(CF1839="L1",CF1839="L23",CF1839="LIFT"),AI1839&gt;0),SUMIFS($AI$7:$AI$1843,$CF$7:$CF$1843,CF1839,$AM$7:$AM$1843,"&gt;"&amp;AM1839)+SUMIFS($AI$7:$AI$1843,$CF$7:$CF$1843,CF1839,$AM$7:$AM$1843,AM1839,$BW$7:$BW$1843,"&lt;="&amp;BW1839),"")</f>
        <v/>
      </c>
      <c r="AO1839" s="58" t="n">
        <f aca="false">IF(AN1839="",0,MAX(0,MIN(1,(IF(CF1839="L1",Parameter!$H$5,IF(CF1839="L23",Parameter!$H$6+Parameter!$H$7,Parameter!$H$5+Parameter!$H$6+Parameter!$H$7))-(AN1839-AI1839))/AI1839)))</f>
        <v>0</v>
      </c>
      <c r="AP1839" s="50" t="n">
        <f aca="false">IF(LEFT(Cockpit!$I$5,1)="A",H1839,IF(Parameter!$E$30="MAX-Bestand",IF(CH1839=1,CI1839,IF(LEFT(Cockpit!$I$5,1)="B",AV1839,MAX(AV1839,H1839))),ROUNDUP(AT1839,0)))</f>
        <v>0</v>
      </c>
      <c r="AQ1839" s="50" t="n">
        <f aca="false">IF(BZ1839=1,0,ROUNDUP(AP1839/BY1839,0))</f>
        <v>0</v>
      </c>
      <c r="AR1839" s="52" t="n">
        <f aca="false">IF(CQ1839&gt;0,CQ1839*MAX(1,AP1839/X1839),IF(BZ1839=1,IF(AP1839&lt;=0,0,CD1839*MAX(1,IF(H1839&gt;0,AP1839/H1839,1))),IF(R1839&gt;0,AQ1839/R1839,0))/MAX(0.1,N(Parameter!$M$21)))</f>
        <v>0</v>
      </c>
      <c r="AS1839" s="50" t="n">
        <f aca="false">AR1839*CB1839</f>
        <v>0</v>
      </c>
      <c r="AT1839" s="51" t="n">
        <f aca="false">IF(LEFT(Cockpit!$I$5,1)="A",H1839,IF(CH1839=1,(CK1839+CI1839)/2,IF(LEFT(Cockpit!$I$5,1)="B",(CK1839+AV1839)/2,MAX((CK1839+AV1839)/2,H1839))))</f>
        <v>0</v>
      </c>
      <c r="AU1839" s="50" t="n">
        <f aca="false">AT1839*G1839</f>
        <v>0</v>
      </c>
      <c r="AV1839" s="50" t="n">
        <f aca="false">ROUNDUP(CK1839+MAX(CL1839,2*(J1839/IF(CG1839&gt;0,CG1839,MAX(0.1,N(Cockpit!$I$6)))-CK1839)),0)</f>
        <v>0</v>
      </c>
      <c r="AW1839" s="51" t="n">
        <f aca="false">IF(AS1839&gt;0,J1839/AS1839,-1)</f>
        <v>-1</v>
      </c>
      <c r="AX1839" s="51" t="str">
        <f aca="false">IF(AND(OR(CF1839="L1",CF1839="L23",CF1839="LIFT"),AS1839&gt;0),SUMIFS($AS$7:$AS$1843,$CF$7:$CF$1843,CF1839,$AW$7:$AW$1843,"&gt;"&amp;AW1839)+SUMIFS($AS$7:$AS$1843,$CF$7:$CF$1843,CF1839,$AW$7:$AW$1843,AW1839,$BW$7:$BW$1843,"&lt;="&amp;BW1839),"")</f>
        <v/>
      </c>
      <c r="AY1839" s="58" t="n">
        <f aca="false">IF(AX1839="",0,MAX(0,MIN(1,(IF(CF1839="L1",Parameter!$H$5,IF(CF1839="L23",Parameter!$H$6+Parameter!$H$7,Parameter!$H$5+Parameter!$H$6+Parameter!$H$7))-(AX1839-AS1839))/AS1839)))</f>
        <v>0</v>
      </c>
      <c r="AZ1839" s="50" t="n">
        <f aca="false">IF(LEFT(Cockpit!$O$5,1)="A",H1839,IF(Parameter!$E$30="MAX-Bestand",IF(CH1839=1,CI1839,IF(LEFT(Cockpit!$O$5,1)="B",BF1839,MAX(BF1839,H1839))),ROUNDUP(BD1839,0)))</f>
        <v>0</v>
      </c>
      <c r="BA1839" s="50" t="n">
        <f aca="false">IF(BZ1839=1,0,ROUNDUP(AZ1839/BY1839,0))</f>
        <v>0</v>
      </c>
      <c r="BB1839" s="52" t="n">
        <f aca="false">IF(CQ1839&gt;0,CQ1839*MAX(1,AZ1839/X1839),IF(BZ1839=1,IF(AZ1839&lt;=0,0,CD1839*MAX(1,IF(H1839&gt;0,AZ1839/H1839,1))),IF(R1839&gt;0,BA1839/R1839,0))/MAX(0.1,N(Parameter!$M$21)))</f>
        <v>0</v>
      </c>
      <c r="BC1839" s="50" t="n">
        <f aca="false">BB1839*CB1839</f>
        <v>0</v>
      </c>
      <c r="BD1839" s="51" t="n">
        <f aca="false">IF(LEFT(Cockpit!$O$5,1)="A",H1839,IF(CH1839=1,(CK1839+CI1839)/2,IF(LEFT(Cockpit!$O$5,1)="B",(CK1839+BF1839)/2,MAX((CK1839+BF1839)/2,H1839))))</f>
        <v>0</v>
      </c>
      <c r="BE1839" s="50" t="n">
        <f aca="false">BD1839*G1839</f>
        <v>0</v>
      </c>
      <c r="BF1839" s="50" t="n">
        <f aca="false">ROUNDUP(CK1839+MAX(CL1839,2*(J1839/IF(CG1839&gt;0,CG1839,MAX(0.1,N(Cockpit!$O$6)))-CK1839)),0)</f>
        <v>0</v>
      </c>
      <c r="BG1839" s="51" t="n">
        <f aca="false">IF(BC1839&gt;0,J1839/BC1839,-1)</f>
        <v>-1</v>
      </c>
      <c r="BH1839" s="51" t="str">
        <f aca="false">IF(AND(OR(CF1839="L1",CF1839="L23",CF1839="LIFT"),BC1839&gt;0),SUMIFS($BC$7:$BC$1843,$CF$7:$CF$1843,CF1839,$BG$7:$BG$1843,"&gt;"&amp;BG1839)+SUMIFS($BC$7:$BC$1843,$CF$7:$CF$1843,CF1839,$BG$7:$BG$1843,BG1839,$BW$7:$BW$1843,"&lt;="&amp;BW1839),"")</f>
        <v/>
      </c>
      <c r="BI1839" s="58" t="n">
        <f aca="false">IF(BH1839="",0,MAX(0,MIN(1,(IF(CF1839="L1",Parameter!$H$5,IF(CF1839="L23",Parameter!$H$6+Parameter!$H$7,Parameter!$H$5+Parameter!$H$6+Parameter!$H$7))-(BH1839-BC1839))/BC1839)))</f>
        <v>0</v>
      </c>
      <c r="BJ1839" s="48" t="str">
        <f aca="false">IF(AI1839&lt;=0,"",IF(CF1839="Aussen","Aussenlager",IF(CF1839="-","Nicht im Lift",IF(AO1839&gt;=1,"Lift",IF(AO1839&lt;=0,"Aussenlager","teilweise")))))</f>
        <v/>
      </c>
      <c r="BK1839" s="48" t="str">
        <f aca="false">IF(AS1839&lt;=0,"",IF(CF1839="Aussen","Aussenlager",IF(CF1839="-","Nicht im Lift",IF(AY1839&gt;=1,"Lift",IF(AY1839&lt;=0,"Aussenlager","teilweise")))))</f>
        <v/>
      </c>
      <c r="BL1839" s="48" t="str">
        <f aca="false">IF(BC1839&lt;=0,"",IF(CF1839="Aussen","Aussenlager",IF(CF1839="-","Nicht im Lift",IF(BI1839&gt;=1,"Lift",IF(BI1839&lt;=0,"Aussenlager","teilweise")))))</f>
        <v/>
      </c>
      <c r="BM1839" s="48" t="str">
        <f aca="false">IF(A1839="","",IF(BV1839=1,"Neu; ","")&amp;IF(AND(BV1839=0,BQ1839&lt;0),"negativer Bestand (Export "&amp;BQ1839&amp;"); ","")&amp;IF(J1839&lt;=0,"Kein Verbrauch; ","")&amp;IF(CQ1839&gt;0,"Lift "&amp;W1839&amp;" lt. Liftbericht (Fach "&amp;X1839&amp;" Stk); ",IF(CA1839=1,"Gebinde geschätzt ("&amp;T1839&amp;"); ",IF(BZ1839=1,"Lose – Tablare geschätzt; ","")))&amp;IF(H1839&gt;AV1839,"Überbestand "&amp;ROUND(H1839-AV1839,0)&amp;" Stk / CHF "&amp;ROUND((H1839-AV1839)*G1839,0)&amp;"; ","")&amp;IF(AND(CH1839=1,CI1839&lt;CJ1839),"MAX &lt; MB+LG; ","")&amp;IF(AND(CP1839&gt;0,CO1839*10&gt;CP1839),"zu hoch für Tablar; ","")&amp;IF(AND(BV1839=0,OR(CH1839=1,AA1839&lt;&gt;"",U1839&lt;&gt;"",V1839&lt;&gt;"",AB1839&lt;&gt;"")),"manuell übersteuert; ","")&amp;IF(AND(BZ1839=0,R1839=0),"Gebinde unbekannt / Stellmass fehlt; ","")&amp;IF(AND(BZ1839=0,N(V1839)&lt;=0,N(Q1839)&lt;=0),"Menge pro Gebinde fehlt (Ist = 1 Gebinde); ","")&amp;BU1839)</f>
        <v/>
      </c>
      <c r="BN1839" s="48"/>
      <c r="BO1839" s="48"/>
      <c r="BP1839" s="55"/>
      <c r="BQ1839" s="50" t="n">
        <f aca="false">N('Neue Artikel'!$D$100)</f>
        <v>0</v>
      </c>
      <c r="BR1839" s="50" t="n">
        <v>0</v>
      </c>
      <c r="BS1839" s="49" t="n">
        <v>0</v>
      </c>
      <c r="BT1839" s="50" t="n">
        <f aca="false">N('Neue Artikel'!$C$100)/Parameter!$B$18</f>
        <v>0</v>
      </c>
      <c r="BU1839" s="48"/>
      <c r="BV1839" s="53" t="n">
        <v>1</v>
      </c>
      <c r="BW1839" s="53" t="n">
        <v>1839</v>
      </c>
      <c r="BX1839" s="48" t="str">
        <f aca="false">IF(U1839&lt;&gt;"",UPPER(TRIM(U1839)),IF(CA1839=1,UPPER(VLOOKUP(T1839,Parameter!$I$27:$K$29,2,0)),IF(P1839="","LOSE",P1839)))</f>
        <v>LOSE</v>
      </c>
      <c r="BY1839" s="50" t="n">
        <f aca="false">IF(BX1839="LOSE",1,IF(N(V1839)&gt;0,V1839,IF(CA1839=1,MAX(1,N(VLOOKUP(T1839,Parameter!$I$27:$K$29,3,0)),H1839,N(N1839)),IF(N(Q1839)&gt;0,Q1839,MAX(1,H1839)))))</f>
        <v>1</v>
      </c>
      <c r="BZ1839" s="53" t="n">
        <f aca="false">IF(BX1839="LOSE",1,0)</f>
        <v>1</v>
      </c>
      <c r="CA1839" s="53" t="n">
        <f aca="false">IF(AND(U1839="",OR(P1839="",P1839="LOSE"),T1839&lt;&gt;"",N(S1839)&lt;=0,ISNUMBER(MATCH(T1839,Parameter!$I$27:$I$29,0))),1,0)</f>
        <v>0</v>
      </c>
      <c r="CB1839" s="53" t="n">
        <f aca="false">IF(CQ1839&gt;0,INDEX(Parameter!$H$5:$H$7,W1839)/INDEX(Parameter!$E$5:$E$7,W1839),IF(AND(BZ1839=0,N(IFERROR(VLOOKUP(BX1839,'Gebinde-Kategorie'!$A$5:$N$45,14,0),0))&gt;0),VLOOKUP(BX1839,'Gebinde-Kategorie'!$A$5:$N$45,14,0)*10+Parameter!$M$23,Parameter!$M$24))</f>
        <v>235</v>
      </c>
      <c r="CC1839" s="48" t="str">
        <f aca="false">IF(AND(Parameter!$B$19="Ja",E1839&lt;&gt;"",ISNUMBER(MATCH(E1839,Parameter!$I$35:$I$52,0))),VLOOKUP(E1839,Parameter!$I$35:$J$52,2,0),IFERROR(VLOOKUP(D1839,Parameter!$A$35:$C$64,2,0),"Nein"))</f>
        <v>2+3</v>
      </c>
      <c r="CD1839" s="52" t="n">
        <f aca="false">IF(BZ1839=0,0,IF(N(S1839)&gt;0,S1839,IFERROR(VLOOKUP(D1839,Parameter!$A$35:$C$64,3,0)+0,0)))</f>
        <v>0.15</v>
      </c>
      <c r="CE1839" s="48" t="str">
        <f aca="false">IF(AA1839&lt;&gt;"",AA1839,Z1839)</f>
        <v/>
      </c>
      <c r="CF1839" s="48" t="str">
        <f aca="false">IF(OR(CE1839=1,CE1839=2,CE1839=3),IF(Parameter!$E$27="Ja","LIFT",IF(CE1839=1,"L1","L23")),IF(CE1839="Aussen","Aussen","-"))</f>
        <v>-</v>
      </c>
      <c r="CG1839" s="59" t="n">
        <f aca="false">IF(N(AB1839)&gt;0,AB1839,0)</f>
        <v>0</v>
      </c>
      <c r="CH1839" s="53" t="n">
        <f aca="false">IF(ISNUMBER(AE1839),1,0)</f>
        <v>0</v>
      </c>
      <c r="CI1839" s="50" t="n">
        <f aca="false">N(AE1839)</f>
        <v>0</v>
      </c>
      <c r="CJ1839" s="50" t="n">
        <f aca="false">N(M1839)+N(N1839)</f>
        <v>0</v>
      </c>
      <c r="CK1839" s="50" t="n">
        <f aca="false">N(M1839)</f>
        <v>0</v>
      </c>
      <c r="CL1839" s="50" t="n">
        <f aca="false">N(N1839)</f>
        <v>0</v>
      </c>
      <c r="CM1839" s="50" t="n">
        <f aca="false">ROUNDUP(H1839/BY1839,0)</f>
        <v>0</v>
      </c>
      <c r="CN1839" s="50" t="n">
        <f aca="false">ROUNDUP(CI1839/BY1839,0)</f>
        <v>0</v>
      </c>
      <c r="CO1839" s="53" t="n">
        <f aca="false">IF(BZ1839=1,0,IFERROR(VLOOKUP(BX1839,'Gebinde-Kategorie'!$A$5:$N$45,5,0)+0,0))</f>
        <v>0</v>
      </c>
      <c r="CP1839" s="53" t="n">
        <f aca="false">IFERROR(IF(OR(CE1839=1,CE1839=2,CE1839=3),N(INDEX(Parameter!$I$5:$I$7,CE1839)),0),0)</f>
        <v>0</v>
      </c>
      <c r="CQ1839" s="52" t="n">
        <f aca="false">IF(AND(Parameter!$B$21="Ja",ISNUMBER(W1839),N(X1839)&gt;0),IFERROR(N(INDEX(Parameter!$L$5:$L$7,W1839))*INDEX(Parameter!$E$5:$E$7,W1839)*X1839/SUMIFS($X$7:$X$1843,$W$7:$W$1843,W1839),0),0)</f>
        <v>0</v>
      </c>
    </row>
    <row r="1840" customFormat="false" ht="15" hidden="false" customHeight="false" outlineLevel="0" collapsed="false">
      <c r="A1840" s="48" t="str">
        <f aca="false">IF('Neue Artikel'!$A$101="","",'Neue Artikel'!$A$101&amp;"")</f>
        <v/>
      </c>
      <c r="B1840" s="48" t="str">
        <f aca="false">'Neue Artikel'!$B$101&amp;""</f>
        <v/>
      </c>
      <c r="C1840" s="48"/>
      <c r="D1840" s="48" t="s">
        <v>3024</v>
      </c>
      <c r="E1840" s="48"/>
      <c r="F1840" s="48"/>
      <c r="G1840" s="49" t="n">
        <f aca="false">N('Neue Artikel'!$G$101)</f>
        <v>0</v>
      </c>
      <c r="H1840" s="50" t="n">
        <f aca="false">MAX(0,IF(AND(Parameter!$B$21="Ja",ISNUMBER(Y1840)),Y1840,IF(Parameter!$B$20="Jahresanfang 2025 + Export",BR1840+BQ1840,BQ1840)))</f>
        <v>0</v>
      </c>
      <c r="I1840" s="50" t="n">
        <f aca="false">H1840*G1840</f>
        <v>0</v>
      </c>
      <c r="J1840" s="50" t="n">
        <f aca="false">BT1840*Parameter!$B$18</f>
        <v>0</v>
      </c>
      <c r="K1840" s="51"/>
      <c r="L1840" s="52"/>
      <c r="M1840" s="50" t="n">
        <f aca="false">N('Neue Artikel'!$E$101)</f>
        <v>0</v>
      </c>
      <c r="N1840" s="50" t="n">
        <f aca="false">N('Neue Artikel'!$F$101)</f>
        <v>0</v>
      </c>
      <c r="O1840" s="53"/>
      <c r="P1840" s="48" t="str">
        <f aca="false">IF('Neue Artikel'!$H$101="","LOSE",UPPER(TRIM('Neue Artikel'!$H$101)))</f>
        <v>LOSE</v>
      </c>
      <c r="Q1840" s="50" t="n">
        <f aca="false">N('Neue Artikel'!$I$101)</f>
        <v>0</v>
      </c>
      <c r="R1840" s="53" t="n">
        <f aca="false">IF(BZ1840=1,0,IFERROR(VLOOKUP(BX1840,'Gebinde-Kategorie'!$A$5:$N$45,13,0)+0,0))</f>
        <v>0</v>
      </c>
      <c r="S1840" s="54"/>
      <c r="T1840" s="55"/>
      <c r="U1840" s="55"/>
      <c r="V1840" s="55"/>
      <c r="W1840" s="48"/>
      <c r="X1840" s="50"/>
      <c r="Y1840" s="50"/>
      <c r="Z1840" s="48" t="str">
        <f aca="false">IF(A1840="","",IF(AND(Parameter!$B$21="Ja",ISNUMBER(W1840)),W1840,IF(CC1840="2+3",IF(ISNUMBER(SEARCH("grosser Artikel",BU1840)),2,IFERROR(VLOOKUP(BX1840,Parameter!$F$35:$G$64,2,0),2)),IF(OR(CC1840="Nein",CC1840=""),"-",CC1840))))</f>
        <v/>
      </c>
      <c r="AA1840" s="48" t="str">
        <f aca="false">IF('Neue Artikel'!$J$101="","",'Neue Artikel'!$J$101)</f>
        <v/>
      </c>
      <c r="AB1840" s="56"/>
      <c r="AC1840" s="50" t="n">
        <f aca="false">AV1840</f>
        <v>0</v>
      </c>
      <c r="AD1840" s="50" t="n">
        <f aca="false">MAX(AV1840,H1840)</f>
        <v>0</v>
      </c>
      <c r="AE1840" s="57"/>
      <c r="AF1840" s="50" t="n">
        <f aca="false">IF(LEFT(Cockpit!$C$5,1)="A",H1840,IF(Parameter!$E$30="MAX-Bestand",IF(CH1840=1,CI1840,IF(LEFT(Cockpit!$C$5,1)="B",AL1840,MAX(AL1840,H1840))),ROUNDUP(AJ1840,0)))</f>
        <v>0</v>
      </c>
      <c r="AG1840" s="50" t="n">
        <f aca="false">IF(BZ1840=1,0,ROUNDUP(AF1840/BY1840,0))</f>
        <v>0</v>
      </c>
      <c r="AH1840" s="52" t="n">
        <f aca="false">IF(CQ1840&gt;0,CQ1840*MAX(1,AF1840/X1840),IF(BZ1840=1,IF(AF1840&lt;=0,0,CD1840*MAX(1,IF(H1840&gt;0,AF1840/H1840,1))),IF(R1840&gt;0,AG1840/R1840,0))/MAX(0.1,N(Parameter!$M$21)))</f>
        <v>0</v>
      </c>
      <c r="AI1840" s="50" t="n">
        <f aca="false">AH1840*CB1840</f>
        <v>0</v>
      </c>
      <c r="AJ1840" s="51" t="n">
        <f aca="false">IF(LEFT(Cockpit!$C$5,1)="A",H1840,IF(CH1840=1,(CK1840+CI1840)/2,IF(LEFT(Cockpit!$C$5,1)="B",(CK1840+AL1840)/2,MAX((CK1840+AL1840)/2,H1840))))</f>
        <v>0</v>
      </c>
      <c r="AK1840" s="50" t="n">
        <f aca="false">AJ1840*G1840</f>
        <v>0</v>
      </c>
      <c r="AL1840" s="50" t="n">
        <f aca="false">ROUNDUP(CK1840+MAX(CL1840,2*(J1840/IF(CG1840&gt;0,CG1840,MAX(0.1,N(Cockpit!$C$6)))-CK1840)),0)</f>
        <v>0</v>
      </c>
      <c r="AM1840" s="51" t="n">
        <f aca="false">IF(AI1840&gt;0,J1840/AI1840,-1)</f>
        <v>-1</v>
      </c>
      <c r="AN1840" s="51" t="str">
        <f aca="false">IF(AND(OR(CF1840="L1",CF1840="L23",CF1840="LIFT"),AI1840&gt;0),SUMIFS($AI$7:$AI$1843,$CF$7:$CF$1843,CF1840,$AM$7:$AM$1843,"&gt;"&amp;AM1840)+SUMIFS($AI$7:$AI$1843,$CF$7:$CF$1843,CF1840,$AM$7:$AM$1843,AM1840,$BW$7:$BW$1843,"&lt;="&amp;BW1840),"")</f>
        <v/>
      </c>
      <c r="AO1840" s="58" t="n">
        <f aca="false">IF(AN1840="",0,MAX(0,MIN(1,(IF(CF1840="L1",Parameter!$H$5,IF(CF1840="L23",Parameter!$H$6+Parameter!$H$7,Parameter!$H$5+Parameter!$H$6+Parameter!$H$7))-(AN1840-AI1840))/AI1840)))</f>
        <v>0</v>
      </c>
      <c r="AP1840" s="50" t="n">
        <f aca="false">IF(LEFT(Cockpit!$I$5,1)="A",H1840,IF(Parameter!$E$30="MAX-Bestand",IF(CH1840=1,CI1840,IF(LEFT(Cockpit!$I$5,1)="B",AV1840,MAX(AV1840,H1840))),ROUNDUP(AT1840,0)))</f>
        <v>0</v>
      </c>
      <c r="AQ1840" s="50" t="n">
        <f aca="false">IF(BZ1840=1,0,ROUNDUP(AP1840/BY1840,0))</f>
        <v>0</v>
      </c>
      <c r="AR1840" s="52" t="n">
        <f aca="false">IF(CQ1840&gt;0,CQ1840*MAX(1,AP1840/X1840),IF(BZ1840=1,IF(AP1840&lt;=0,0,CD1840*MAX(1,IF(H1840&gt;0,AP1840/H1840,1))),IF(R1840&gt;0,AQ1840/R1840,0))/MAX(0.1,N(Parameter!$M$21)))</f>
        <v>0</v>
      </c>
      <c r="AS1840" s="50" t="n">
        <f aca="false">AR1840*CB1840</f>
        <v>0</v>
      </c>
      <c r="AT1840" s="51" t="n">
        <f aca="false">IF(LEFT(Cockpit!$I$5,1)="A",H1840,IF(CH1840=1,(CK1840+CI1840)/2,IF(LEFT(Cockpit!$I$5,1)="B",(CK1840+AV1840)/2,MAX((CK1840+AV1840)/2,H1840))))</f>
        <v>0</v>
      </c>
      <c r="AU1840" s="50" t="n">
        <f aca="false">AT1840*G1840</f>
        <v>0</v>
      </c>
      <c r="AV1840" s="50" t="n">
        <f aca="false">ROUNDUP(CK1840+MAX(CL1840,2*(J1840/IF(CG1840&gt;0,CG1840,MAX(0.1,N(Cockpit!$I$6)))-CK1840)),0)</f>
        <v>0</v>
      </c>
      <c r="AW1840" s="51" t="n">
        <f aca="false">IF(AS1840&gt;0,J1840/AS1840,-1)</f>
        <v>-1</v>
      </c>
      <c r="AX1840" s="51" t="str">
        <f aca="false">IF(AND(OR(CF1840="L1",CF1840="L23",CF1840="LIFT"),AS1840&gt;0),SUMIFS($AS$7:$AS$1843,$CF$7:$CF$1843,CF1840,$AW$7:$AW$1843,"&gt;"&amp;AW1840)+SUMIFS($AS$7:$AS$1843,$CF$7:$CF$1843,CF1840,$AW$7:$AW$1843,AW1840,$BW$7:$BW$1843,"&lt;="&amp;BW1840),"")</f>
        <v/>
      </c>
      <c r="AY1840" s="58" t="n">
        <f aca="false">IF(AX1840="",0,MAX(0,MIN(1,(IF(CF1840="L1",Parameter!$H$5,IF(CF1840="L23",Parameter!$H$6+Parameter!$H$7,Parameter!$H$5+Parameter!$H$6+Parameter!$H$7))-(AX1840-AS1840))/AS1840)))</f>
        <v>0</v>
      </c>
      <c r="AZ1840" s="50" t="n">
        <f aca="false">IF(LEFT(Cockpit!$O$5,1)="A",H1840,IF(Parameter!$E$30="MAX-Bestand",IF(CH1840=1,CI1840,IF(LEFT(Cockpit!$O$5,1)="B",BF1840,MAX(BF1840,H1840))),ROUNDUP(BD1840,0)))</f>
        <v>0</v>
      </c>
      <c r="BA1840" s="50" t="n">
        <f aca="false">IF(BZ1840=1,0,ROUNDUP(AZ1840/BY1840,0))</f>
        <v>0</v>
      </c>
      <c r="BB1840" s="52" t="n">
        <f aca="false">IF(CQ1840&gt;0,CQ1840*MAX(1,AZ1840/X1840),IF(BZ1840=1,IF(AZ1840&lt;=0,0,CD1840*MAX(1,IF(H1840&gt;0,AZ1840/H1840,1))),IF(R1840&gt;0,BA1840/R1840,0))/MAX(0.1,N(Parameter!$M$21)))</f>
        <v>0</v>
      </c>
      <c r="BC1840" s="50" t="n">
        <f aca="false">BB1840*CB1840</f>
        <v>0</v>
      </c>
      <c r="BD1840" s="51" t="n">
        <f aca="false">IF(LEFT(Cockpit!$O$5,1)="A",H1840,IF(CH1840=1,(CK1840+CI1840)/2,IF(LEFT(Cockpit!$O$5,1)="B",(CK1840+BF1840)/2,MAX((CK1840+BF1840)/2,H1840))))</f>
        <v>0</v>
      </c>
      <c r="BE1840" s="50" t="n">
        <f aca="false">BD1840*G1840</f>
        <v>0</v>
      </c>
      <c r="BF1840" s="50" t="n">
        <f aca="false">ROUNDUP(CK1840+MAX(CL1840,2*(J1840/IF(CG1840&gt;0,CG1840,MAX(0.1,N(Cockpit!$O$6)))-CK1840)),0)</f>
        <v>0</v>
      </c>
      <c r="BG1840" s="51" t="n">
        <f aca="false">IF(BC1840&gt;0,J1840/BC1840,-1)</f>
        <v>-1</v>
      </c>
      <c r="BH1840" s="51" t="str">
        <f aca="false">IF(AND(OR(CF1840="L1",CF1840="L23",CF1840="LIFT"),BC1840&gt;0),SUMIFS($BC$7:$BC$1843,$CF$7:$CF$1843,CF1840,$BG$7:$BG$1843,"&gt;"&amp;BG1840)+SUMIFS($BC$7:$BC$1843,$CF$7:$CF$1843,CF1840,$BG$7:$BG$1843,BG1840,$BW$7:$BW$1843,"&lt;="&amp;BW1840),"")</f>
        <v/>
      </c>
      <c r="BI1840" s="58" t="n">
        <f aca="false">IF(BH1840="",0,MAX(0,MIN(1,(IF(CF1840="L1",Parameter!$H$5,IF(CF1840="L23",Parameter!$H$6+Parameter!$H$7,Parameter!$H$5+Parameter!$H$6+Parameter!$H$7))-(BH1840-BC1840))/BC1840)))</f>
        <v>0</v>
      </c>
      <c r="BJ1840" s="48" t="str">
        <f aca="false">IF(AI1840&lt;=0,"",IF(CF1840="Aussen","Aussenlager",IF(CF1840="-","Nicht im Lift",IF(AO1840&gt;=1,"Lift",IF(AO1840&lt;=0,"Aussenlager","teilweise")))))</f>
        <v/>
      </c>
      <c r="BK1840" s="48" t="str">
        <f aca="false">IF(AS1840&lt;=0,"",IF(CF1840="Aussen","Aussenlager",IF(CF1840="-","Nicht im Lift",IF(AY1840&gt;=1,"Lift",IF(AY1840&lt;=0,"Aussenlager","teilweise")))))</f>
        <v/>
      </c>
      <c r="BL1840" s="48" t="str">
        <f aca="false">IF(BC1840&lt;=0,"",IF(CF1840="Aussen","Aussenlager",IF(CF1840="-","Nicht im Lift",IF(BI1840&gt;=1,"Lift",IF(BI1840&lt;=0,"Aussenlager","teilweise")))))</f>
        <v/>
      </c>
      <c r="BM1840" s="48" t="str">
        <f aca="false">IF(A1840="","",IF(BV1840=1,"Neu; ","")&amp;IF(AND(BV1840=0,BQ1840&lt;0),"negativer Bestand (Export "&amp;BQ1840&amp;"); ","")&amp;IF(J1840&lt;=0,"Kein Verbrauch; ","")&amp;IF(CQ1840&gt;0,"Lift "&amp;W1840&amp;" lt. Liftbericht (Fach "&amp;X1840&amp;" Stk); ",IF(CA1840=1,"Gebinde geschätzt ("&amp;T1840&amp;"); ",IF(BZ1840=1,"Lose – Tablare geschätzt; ","")))&amp;IF(H1840&gt;AV1840,"Überbestand "&amp;ROUND(H1840-AV1840,0)&amp;" Stk / CHF "&amp;ROUND((H1840-AV1840)*G1840,0)&amp;"; ","")&amp;IF(AND(CH1840=1,CI1840&lt;CJ1840),"MAX &lt; MB+LG; ","")&amp;IF(AND(CP1840&gt;0,CO1840*10&gt;CP1840),"zu hoch für Tablar; ","")&amp;IF(AND(BV1840=0,OR(CH1840=1,AA1840&lt;&gt;"",U1840&lt;&gt;"",V1840&lt;&gt;"",AB1840&lt;&gt;"")),"manuell übersteuert; ","")&amp;IF(AND(BZ1840=0,R1840=0),"Gebinde unbekannt / Stellmass fehlt; ","")&amp;IF(AND(BZ1840=0,N(V1840)&lt;=0,N(Q1840)&lt;=0),"Menge pro Gebinde fehlt (Ist = 1 Gebinde); ","")&amp;BU1840)</f>
        <v/>
      </c>
      <c r="BN1840" s="48"/>
      <c r="BO1840" s="48"/>
      <c r="BP1840" s="55"/>
      <c r="BQ1840" s="50" t="n">
        <f aca="false">N('Neue Artikel'!$D$101)</f>
        <v>0</v>
      </c>
      <c r="BR1840" s="50" t="n">
        <v>0</v>
      </c>
      <c r="BS1840" s="49" t="n">
        <v>0</v>
      </c>
      <c r="BT1840" s="50" t="n">
        <f aca="false">N('Neue Artikel'!$C$101)/Parameter!$B$18</f>
        <v>0</v>
      </c>
      <c r="BU1840" s="48"/>
      <c r="BV1840" s="53" t="n">
        <v>1</v>
      </c>
      <c r="BW1840" s="53" t="n">
        <v>1840</v>
      </c>
      <c r="BX1840" s="48" t="str">
        <f aca="false">IF(U1840&lt;&gt;"",UPPER(TRIM(U1840)),IF(CA1840=1,UPPER(VLOOKUP(T1840,Parameter!$I$27:$K$29,2,0)),IF(P1840="","LOSE",P1840)))</f>
        <v>LOSE</v>
      </c>
      <c r="BY1840" s="50" t="n">
        <f aca="false">IF(BX1840="LOSE",1,IF(N(V1840)&gt;0,V1840,IF(CA1840=1,MAX(1,N(VLOOKUP(T1840,Parameter!$I$27:$K$29,3,0)),H1840,N(N1840)),IF(N(Q1840)&gt;0,Q1840,MAX(1,H1840)))))</f>
        <v>1</v>
      </c>
      <c r="BZ1840" s="53" t="n">
        <f aca="false">IF(BX1840="LOSE",1,0)</f>
        <v>1</v>
      </c>
      <c r="CA1840" s="53" t="n">
        <f aca="false">IF(AND(U1840="",OR(P1840="",P1840="LOSE"),T1840&lt;&gt;"",N(S1840)&lt;=0,ISNUMBER(MATCH(T1840,Parameter!$I$27:$I$29,0))),1,0)</f>
        <v>0</v>
      </c>
      <c r="CB1840" s="53" t="n">
        <f aca="false">IF(CQ1840&gt;0,INDEX(Parameter!$H$5:$H$7,W1840)/INDEX(Parameter!$E$5:$E$7,W1840),IF(AND(BZ1840=0,N(IFERROR(VLOOKUP(BX1840,'Gebinde-Kategorie'!$A$5:$N$45,14,0),0))&gt;0),VLOOKUP(BX1840,'Gebinde-Kategorie'!$A$5:$N$45,14,0)*10+Parameter!$M$23,Parameter!$M$24))</f>
        <v>235</v>
      </c>
      <c r="CC1840" s="48" t="str">
        <f aca="false">IF(AND(Parameter!$B$19="Ja",E1840&lt;&gt;"",ISNUMBER(MATCH(E1840,Parameter!$I$35:$I$52,0))),VLOOKUP(E1840,Parameter!$I$35:$J$52,2,0),IFERROR(VLOOKUP(D1840,Parameter!$A$35:$C$64,2,0),"Nein"))</f>
        <v>2+3</v>
      </c>
      <c r="CD1840" s="52" t="n">
        <f aca="false">IF(BZ1840=0,0,IF(N(S1840)&gt;0,S1840,IFERROR(VLOOKUP(D1840,Parameter!$A$35:$C$64,3,0)+0,0)))</f>
        <v>0.15</v>
      </c>
      <c r="CE1840" s="48" t="str">
        <f aca="false">IF(AA1840&lt;&gt;"",AA1840,Z1840)</f>
        <v/>
      </c>
      <c r="CF1840" s="48" t="str">
        <f aca="false">IF(OR(CE1840=1,CE1840=2,CE1840=3),IF(Parameter!$E$27="Ja","LIFT",IF(CE1840=1,"L1","L23")),IF(CE1840="Aussen","Aussen","-"))</f>
        <v>-</v>
      </c>
      <c r="CG1840" s="59" t="n">
        <f aca="false">IF(N(AB1840)&gt;0,AB1840,0)</f>
        <v>0</v>
      </c>
      <c r="CH1840" s="53" t="n">
        <f aca="false">IF(ISNUMBER(AE1840),1,0)</f>
        <v>0</v>
      </c>
      <c r="CI1840" s="50" t="n">
        <f aca="false">N(AE1840)</f>
        <v>0</v>
      </c>
      <c r="CJ1840" s="50" t="n">
        <f aca="false">N(M1840)+N(N1840)</f>
        <v>0</v>
      </c>
      <c r="CK1840" s="50" t="n">
        <f aca="false">N(M1840)</f>
        <v>0</v>
      </c>
      <c r="CL1840" s="50" t="n">
        <f aca="false">N(N1840)</f>
        <v>0</v>
      </c>
      <c r="CM1840" s="50" t="n">
        <f aca="false">ROUNDUP(H1840/BY1840,0)</f>
        <v>0</v>
      </c>
      <c r="CN1840" s="50" t="n">
        <f aca="false">ROUNDUP(CI1840/BY1840,0)</f>
        <v>0</v>
      </c>
      <c r="CO1840" s="53" t="n">
        <f aca="false">IF(BZ1840=1,0,IFERROR(VLOOKUP(BX1840,'Gebinde-Kategorie'!$A$5:$N$45,5,0)+0,0))</f>
        <v>0</v>
      </c>
      <c r="CP1840" s="53" t="n">
        <f aca="false">IFERROR(IF(OR(CE1840=1,CE1840=2,CE1840=3),N(INDEX(Parameter!$I$5:$I$7,CE1840)),0),0)</f>
        <v>0</v>
      </c>
      <c r="CQ1840" s="52" t="n">
        <f aca="false">IF(AND(Parameter!$B$21="Ja",ISNUMBER(W1840),N(X1840)&gt;0),IFERROR(N(INDEX(Parameter!$L$5:$L$7,W1840))*INDEX(Parameter!$E$5:$E$7,W1840)*X1840/SUMIFS($X$7:$X$1843,$W$7:$W$1843,W1840),0),0)</f>
        <v>0</v>
      </c>
    </row>
    <row r="1841" customFormat="false" ht="15" hidden="false" customHeight="false" outlineLevel="0" collapsed="false">
      <c r="A1841" s="48" t="str">
        <f aca="false">IF('Neue Artikel'!$A$102="","",'Neue Artikel'!$A$102&amp;"")</f>
        <v/>
      </c>
      <c r="B1841" s="48" t="str">
        <f aca="false">'Neue Artikel'!$B$102&amp;""</f>
        <v/>
      </c>
      <c r="C1841" s="48"/>
      <c r="D1841" s="48" t="s">
        <v>3024</v>
      </c>
      <c r="E1841" s="48"/>
      <c r="F1841" s="48"/>
      <c r="G1841" s="49" t="n">
        <f aca="false">N('Neue Artikel'!$G$102)</f>
        <v>0</v>
      </c>
      <c r="H1841" s="50" t="n">
        <f aca="false">MAX(0,IF(AND(Parameter!$B$21="Ja",ISNUMBER(Y1841)),Y1841,IF(Parameter!$B$20="Jahresanfang 2025 + Export",BR1841+BQ1841,BQ1841)))</f>
        <v>0</v>
      </c>
      <c r="I1841" s="50" t="n">
        <f aca="false">H1841*G1841</f>
        <v>0</v>
      </c>
      <c r="J1841" s="50" t="n">
        <f aca="false">BT1841*Parameter!$B$18</f>
        <v>0</v>
      </c>
      <c r="K1841" s="51"/>
      <c r="L1841" s="52"/>
      <c r="M1841" s="50" t="n">
        <f aca="false">N('Neue Artikel'!$E$102)</f>
        <v>0</v>
      </c>
      <c r="N1841" s="50" t="n">
        <f aca="false">N('Neue Artikel'!$F$102)</f>
        <v>0</v>
      </c>
      <c r="O1841" s="53"/>
      <c r="P1841" s="48" t="str">
        <f aca="false">IF('Neue Artikel'!$H$102="","LOSE",UPPER(TRIM('Neue Artikel'!$H$102)))</f>
        <v>LOSE</v>
      </c>
      <c r="Q1841" s="50" t="n">
        <f aca="false">N('Neue Artikel'!$I$102)</f>
        <v>0</v>
      </c>
      <c r="R1841" s="53" t="n">
        <f aca="false">IF(BZ1841=1,0,IFERROR(VLOOKUP(BX1841,'Gebinde-Kategorie'!$A$5:$N$45,13,0)+0,0))</f>
        <v>0</v>
      </c>
      <c r="S1841" s="54"/>
      <c r="T1841" s="55"/>
      <c r="U1841" s="55"/>
      <c r="V1841" s="55"/>
      <c r="W1841" s="48"/>
      <c r="X1841" s="50"/>
      <c r="Y1841" s="50"/>
      <c r="Z1841" s="48" t="str">
        <f aca="false">IF(A1841="","",IF(AND(Parameter!$B$21="Ja",ISNUMBER(W1841)),W1841,IF(CC1841="2+3",IF(ISNUMBER(SEARCH("grosser Artikel",BU1841)),2,IFERROR(VLOOKUP(BX1841,Parameter!$F$35:$G$64,2,0),2)),IF(OR(CC1841="Nein",CC1841=""),"-",CC1841))))</f>
        <v/>
      </c>
      <c r="AA1841" s="48" t="str">
        <f aca="false">IF('Neue Artikel'!$J$102="","",'Neue Artikel'!$J$102)</f>
        <v/>
      </c>
      <c r="AB1841" s="56"/>
      <c r="AC1841" s="50" t="n">
        <f aca="false">AV1841</f>
        <v>0</v>
      </c>
      <c r="AD1841" s="50" t="n">
        <f aca="false">MAX(AV1841,H1841)</f>
        <v>0</v>
      </c>
      <c r="AE1841" s="57"/>
      <c r="AF1841" s="50" t="n">
        <f aca="false">IF(LEFT(Cockpit!$C$5,1)="A",H1841,IF(Parameter!$E$30="MAX-Bestand",IF(CH1841=1,CI1841,IF(LEFT(Cockpit!$C$5,1)="B",AL1841,MAX(AL1841,H1841))),ROUNDUP(AJ1841,0)))</f>
        <v>0</v>
      </c>
      <c r="AG1841" s="50" t="n">
        <f aca="false">IF(BZ1841=1,0,ROUNDUP(AF1841/BY1841,0))</f>
        <v>0</v>
      </c>
      <c r="AH1841" s="52" t="n">
        <f aca="false">IF(CQ1841&gt;0,CQ1841*MAX(1,AF1841/X1841),IF(BZ1841=1,IF(AF1841&lt;=0,0,CD1841*MAX(1,IF(H1841&gt;0,AF1841/H1841,1))),IF(R1841&gt;0,AG1841/R1841,0))/MAX(0.1,N(Parameter!$M$21)))</f>
        <v>0</v>
      </c>
      <c r="AI1841" s="50" t="n">
        <f aca="false">AH1841*CB1841</f>
        <v>0</v>
      </c>
      <c r="AJ1841" s="51" t="n">
        <f aca="false">IF(LEFT(Cockpit!$C$5,1)="A",H1841,IF(CH1841=1,(CK1841+CI1841)/2,IF(LEFT(Cockpit!$C$5,1)="B",(CK1841+AL1841)/2,MAX((CK1841+AL1841)/2,H1841))))</f>
        <v>0</v>
      </c>
      <c r="AK1841" s="50" t="n">
        <f aca="false">AJ1841*G1841</f>
        <v>0</v>
      </c>
      <c r="AL1841" s="50" t="n">
        <f aca="false">ROUNDUP(CK1841+MAX(CL1841,2*(J1841/IF(CG1841&gt;0,CG1841,MAX(0.1,N(Cockpit!$C$6)))-CK1841)),0)</f>
        <v>0</v>
      </c>
      <c r="AM1841" s="51" t="n">
        <f aca="false">IF(AI1841&gt;0,J1841/AI1841,-1)</f>
        <v>-1</v>
      </c>
      <c r="AN1841" s="51" t="str">
        <f aca="false">IF(AND(OR(CF1841="L1",CF1841="L23",CF1841="LIFT"),AI1841&gt;0),SUMIFS($AI$7:$AI$1843,$CF$7:$CF$1843,CF1841,$AM$7:$AM$1843,"&gt;"&amp;AM1841)+SUMIFS($AI$7:$AI$1843,$CF$7:$CF$1843,CF1841,$AM$7:$AM$1843,AM1841,$BW$7:$BW$1843,"&lt;="&amp;BW1841),"")</f>
        <v/>
      </c>
      <c r="AO1841" s="58" t="n">
        <f aca="false">IF(AN1841="",0,MAX(0,MIN(1,(IF(CF1841="L1",Parameter!$H$5,IF(CF1841="L23",Parameter!$H$6+Parameter!$H$7,Parameter!$H$5+Parameter!$H$6+Parameter!$H$7))-(AN1841-AI1841))/AI1841)))</f>
        <v>0</v>
      </c>
      <c r="AP1841" s="50" t="n">
        <f aca="false">IF(LEFT(Cockpit!$I$5,1)="A",H1841,IF(Parameter!$E$30="MAX-Bestand",IF(CH1841=1,CI1841,IF(LEFT(Cockpit!$I$5,1)="B",AV1841,MAX(AV1841,H1841))),ROUNDUP(AT1841,0)))</f>
        <v>0</v>
      </c>
      <c r="AQ1841" s="50" t="n">
        <f aca="false">IF(BZ1841=1,0,ROUNDUP(AP1841/BY1841,0))</f>
        <v>0</v>
      </c>
      <c r="AR1841" s="52" t="n">
        <f aca="false">IF(CQ1841&gt;0,CQ1841*MAX(1,AP1841/X1841),IF(BZ1841=1,IF(AP1841&lt;=0,0,CD1841*MAX(1,IF(H1841&gt;0,AP1841/H1841,1))),IF(R1841&gt;0,AQ1841/R1841,0))/MAX(0.1,N(Parameter!$M$21)))</f>
        <v>0</v>
      </c>
      <c r="AS1841" s="50" t="n">
        <f aca="false">AR1841*CB1841</f>
        <v>0</v>
      </c>
      <c r="AT1841" s="51" t="n">
        <f aca="false">IF(LEFT(Cockpit!$I$5,1)="A",H1841,IF(CH1841=1,(CK1841+CI1841)/2,IF(LEFT(Cockpit!$I$5,1)="B",(CK1841+AV1841)/2,MAX((CK1841+AV1841)/2,H1841))))</f>
        <v>0</v>
      </c>
      <c r="AU1841" s="50" t="n">
        <f aca="false">AT1841*G1841</f>
        <v>0</v>
      </c>
      <c r="AV1841" s="50" t="n">
        <f aca="false">ROUNDUP(CK1841+MAX(CL1841,2*(J1841/IF(CG1841&gt;0,CG1841,MAX(0.1,N(Cockpit!$I$6)))-CK1841)),0)</f>
        <v>0</v>
      </c>
      <c r="AW1841" s="51" t="n">
        <f aca="false">IF(AS1841&gt;0,J1841/AS1841,-1)</f>
        <v>-1</v>
      </c>
      <c r="AX1841" s="51" t="str">
        <f aca="false">IF(AND(OR(CF1841="L1",CF1841="L23",CF1841="LIFT"),AS1841&gt;0),SUMIFS($AS$7:$AS$1843,$CF$7:$CF$1843,CF1841,$AW$7:$AW$1843,"&gt;"&amp;AW1841)+SUMIFS($AS$7:$AS$1843,$CF$7:$CF$1843,CF1841,$AW$7:$AW$1843,AW1841,$BW$7:$BW$1843,"&lt;="&amp;BW1841),"")</f>
        <v/>
      </c>
      <c r="AY1841" s="58" t="n">
        <f aca="false">IF(AX1841="",0,MAX(0,MIN(1,(IF(CF1841="L1",Parameter!$H$5,IF(CF1841="L23",Parameter!$H$6+Parameter!$H$7,Parameter!$H$5+Parameter!$H$6+Parameter!$H$7))-(AX1841-AS1841))/AS1841)))</f>
        <v>0</v>
      </c>
      <c r="AZ1841" s="50" t="n">
        <f aca="false">IF(LEFT(Cockpit!$O$5,1)="A",H1841,IF(Parameter!$E$30="MAX-Bestand",IF(CH1841=1,CI1841,IF(LEFT(Cockpit!$O$5,1)="B",BF1841,MAX(BF1841,H1841))),ROUNDUP(BD1841,0)))</f>
        <v>0</v>
      </c>
      <c r="BA1841" s="50" t="n">
        <f aca="false">IF(BZ1841=1,0,ROUNDUP(AZ1841/BY1841,0))</f>
        <v>0</v>
      </c>
      <c r="BB1841" s="52" t="n">
        <f aca="false">IF(CQ1841&gt;0,CQ1841*MAX(1,AZ1841/X1841),IF(BZ1841=1,IF(AZ1841&lt;=0,0,CD1841*MAX(1,IF(H1841&gt;0,AZ1841/H1841,1))),IF(R1841&gt;0,BA1841/R1841,0))/MAX(0.1,N(Parameter!$M$21)))</f>
        <v>0</v>
      </c>
      <c r="BC1841" s="50" t="n">
        <f aca="false">BB1841*CB1841</f>
        <v>0</v>
      </c>
      <c r="BD1841" s="51" t="n">
        <f aca="false">IF(LEFT(Cockpit!$O$5,1)="A",H1841,IF(CH1841=1,(CK1841+CI1841)/2,IF(LEFT(Cockpit!$O$5,1)="B",(CK1841+BF1841)/2,MAX((CK1841+BF1841)/2,H1841))))</f>
        <v>0</v>
      </c>
      <c r="BE1841" s="50" t="n">
        <f aca="false">BD1841*G1841</f>
        <v>0</v>
      </c>
      <c r="BF1841" s="50" t="n">
        <f aca="false">ROUNDUP(CK1841+MAX(CL1841,2*(J1841/IF(CG1841&gt;0,CG1841,MAX(0.1,N(Cockpit!$O$6)))-CK1841)),0)</f>
        <v>0</v>
      </c>
      <c r="BG1841" s="51" t="n">
        <f aca="false">IF(BC1841&gt;0,J1841/BC1841,-1)</f>
        <v>-1</v>
      </c>
      <c r="BH1841" s="51" t="str">
        <f aca="false">IF(AND(OR(CF1841="L1",CF1841="L23",CF1841="LIFT"),BC1841&gt;0),SUMIFS($BC$7:$BC$1843,$CF$7:$CF$1843,CF1841,$BG$7:$BG$1843,"&gt;"&amp;BG1841)+SUMIFS($BC$7:$BC$1843,$CF$7:$CF$1843,CF1841,$BG$7:$BG$1843,BG1841,$BW$7:$BW$1843,"&lt;="&amp;BW1841),"")</f>
        <v/>
      </c>
      <c r="BI1841" s="58" t="n">
        <f aca="false">IF(BH1841="",0,MAX(0,MIN(1,(IF(CF1841="L1",Parameter!$H$5,IF(CF1841="L23",Parameter!$H$6+Parameter!$H$7,Parameter!$H$5+Parameter!$H$6+Parameter!$H$7))-(BH1841-BC1841))/BC1841)))</f>
        <v>0</v>
      </c>
      <c r="BJ1841" s="48" t="str">
        <f aca="false">IF(AI1841&lt;=0,"",IF(CF1841="Aussen","Aussenlager",IF(CF1841="-","Nicht im Lift",IF(AO1841&gt;=1,"Lift",IF(AO1841&lt;=0,"Aussenlager","teilweise")))))</f>
        <v/>
      </c>
      <c r="BK1841" s="48" t="str">
        <f aca="false">IF(AS1841&lt;=0,"",IF(CF1841="Aussen","Aussenlager",IF(CF1841="-","Nicht im Lift",IF(AY1841&gt;=1,"Lift",IF(AY1841&lt;=0,"Aussenlager","teilweise")))))</f>
        <v/>
      </c>
      <c r="BL1841" s="48" t="str">
        <f aca="false">IF(BC1841&lt;=0,"",IF(CF1841="Aussen","Aussenlager",IF(CF1841="-","Nicht im Lift",IF(BI1841&gt;=1,"Lift",IF(BI1841&lt;=0,"Aussenlager","teilweise")))))</f>
        <v/>
      </c>
      <c r="BM1841" s="48" t="str">
        <f aca="false">IF(A1841="","",IF(BV1841=1,"Neu; ","")&amp;IF(AND(BV1841=0,BQ1841&lt;0),"negativer Bestand (Export "&amp;BQ1841&amp;"); ","")&amp;IF(J1841&lt;=0,"Kein Verbrauch; ","")&amp;IF(CQ1841&gt;0,"Lift "&amp;W1841&amp;" lt. Liftbericht (Fach "&amp;X1841&amp;" Stk); ",IF(CA1841=1,"Gebinde geschätzt ("&amp;T1841&amp;"); ",IF(BZ1841=1,"Lose – Tablare geschätzt; ","")))&amp;IF(H1841&gt;AV1841,"Überbestand "&amp;ROUND(H1841-AV1841,0)&amp;" Stk / CHF "&amp;ROUND((H1841-AV1841)*G1841,0)&amp;"; ","")&amp;IF(AND(CH1841=1,CI1841&lt;CJ1841),"MAX &lt; MB+LG; ","")&amp;IF(AND(CP1841&gt;0,CO1841*10&gt;CP1841),"zu hoch für Tablar; ","")&amp;IF(AND(BV1841=0,OR(CH1841=1,AA1841&lt;&gt;"",U1841&lt;&gt;"",V1841&lt;&gt;"",AB1841&lt;&gt;"")),"manuell übersteuert; ","")&amp;IF(AND(BZ1841=0,R1841=0),"Gebinde unbekannt / Stellmass fehlt; ","")&amp;IF(AND(BZ1841=0,N(V1841)&lt;=0,N(Q1841)&lt;=0),"Menge pro Gebinde fehlt (Ist = 1 Gebinde); ","")&amp;BU1841)</f>
        <v/>
      </c>
      <c r="BN1841" s="48"/>
      <c r="BO1841" s="48"/>
      <c r="BP1841" s="55"/>
      <c r="BQ1841" s="50" t="n">
        <f aca="false">N('Neue Artikel'!$D$102)</f>
        <v>0</v>
      </c>
      <c r="BR1841" s="50" t="n">
        <v>0</v>
      </c>
      <c r="BS1841" s="49" t="n">
        <v>0</v>
      </c>
      <c r="BT1841" s="50" t="n">
        <f aca="false">N('Neue Artikel'!$C$102)/Parameter!$B$18</f>
        <v>0</v>
      </c>
      <c r="BU1841" s="48"/>
      <c r="BV1841" s="53" t="n">
        <v>1</v>
      </c>
      <c r="BW1841" s="53" t="n">
        <v>1841</v>
      </c>
      <c r="BX1841" s="48" t="str">
        <f aca="false">IF(U1841&lt;&gt;"",UPPER(TRIM(U1841)),IF(CA1841=1,UPPER(VLOOKUP(T1841,Parameter!$I$27:$K$29,2,0)),IF(P1841="","LOSE",P1841)))</f>
        <v>LOSE</v>
      </c>
      <c r="BY1841" s="50" t="n">
        <f aca="false">IF(BX1841="LOSE",1,IF(N(V1841)&gt;0,V1841,IF(CA1841=1,MAX(1,N(VLOOKUP(T1841,Parameter!$I$27:$K$29,3,0)),H1841,N(N1841)),IF(N(Q1841)&gt;0,Q1841,MAX(1,H1841)))))</f>
        <v>1</v>
      </c>
      <c r="BZ1841" s="53" t="n">
        <f aca="false">IF(BX1841="LOSE",1,0)</f>
        <v>1</v>
      </c>
      <c r="CA1841" s="53" t="n">
        <f aca="false">IF(AND(U1841="",OR(P1841="",P1841="LOSE"),T1841&lt;&gt;"",N(S1841)&lt;=0,ISNUMBER(MATCH(T1841,Parameter!$I$27:$I$29,0))),1,0)</f>
        <v>0</v>
      </c>
      <c r="CB1841" s="53" t="n">
        <f aca="false">IF(CQ1841&gt;0,INDEX(Parameter!$H$5:$H$7,W1841)/INDEX(Parameter!$E$5:$E$7,W1841),IF(AND(BZ1841=0,N(IFERROR(VLOOKUP(BX1841,'Gebinde-Kategorie'!$A$5:$N$45,14,0),0))&gt;0),VLOOKUP(BX1841,'Gebinde-Kategorie'!$A$5:$N$45,14,0)*10+Parameter!$M$23,Parameter!$M$24))</f>
        <v>235</v>
      </c>
      <c r="CC1841" s="48" t="str">
        <f aca="false">IF(AND(Parameter!$B$19="Ja",E1841&lt;&gt;"",ISNUMBER(MATCH(E1841,Parameter!$I$35:$I$52,0))),VLOOKUP(E1841,Parameter!$I$35:$J$52,2,0),IFERROR(VLOOKUP(D1841,Parameter!$A$35:$C$64,2,0),"Nein"))</f>
        <v>2+3</v>
      </c>
      <c r="CD1841" s="52" t="n">
        <f aca="false">IF(BZ1841=0,0,IF(N(S1841)&gt;0,S1841,IFERROR(VLOOKUP(D1841,Parameter!$A$35:$C$64,3,0)+0,0)))</f>
        <v>0.15</v>
      </c>
      <c r="CE1841" s="48" t="str">
        <f aca="false">IF(AA1841&lt;&gt;"",AA1841,Z1841)</f>
        <v/>
      </c>
      <c r="CF1841" s="48" t="str">
        <f aca="false">IF(OR(CE1841=1,CE1841=2,CE1841=3),IF(Parameter!$E$27="Ja","LIFT",IF(CE1841=1,"L1","L23")),IF(CE1841="Aussen","Aussen","-"))</f>
        <v>-</v>
      </c>
      <c r="CG1841" s="59" t="n">
        <f aca="false">IF(N(AB1841)&gt;0,AB1841,0)</f>
        <v>0</v>
      </c>
      <c r="CH1841" s="53" t="n">
        <f aca="false">IF(ISNUMBER(AE1841),1,0)</f>
        <v>0</v>
      </c>
      <c r="CI1841" s="50" t="n">
        <f aca="false">N(AE1841)</f>
        <v>0</v>
      </c>
      <c r="CJ1841" s="50" t="n">
        <f aca="false">N(M1841)+N(N1841)</f>
        <v>0</v>
      </c>
      <c r="CK1841" s="50" t="n">
        <f aca="false">N(M1841)</f>
        <v>0</v>
      </c>
      <c r="CL1841" s="50" t="n">
        <f aca="false">N(N1841)</f>
        <v>0</v>
      </c>
      <c r="CM1841" s="50" t="n">
        <f aca="false">ROUNDUP(H1841/BY1841,0)</f>
        <v>0</v>
      </c>
      <c r="CN1841" s="50" t="n">
        <f aca="false">ROUNDUP(CI1841/BY1841,0)</f>
        <v>0</v>
      </c>
      <c r="CO1841" s="53" t="n">
        <f aca="false">IF(BZ1841=1,0,IFERROR(VLOOKUP(BX1841,'Gebinde-Kategorie'!$A$5:$N$45,5,0)+0,0))</f>
        <v>0</v>
      </c>
      <c r="CP1841" s="53" t="n">
        <f aca="false">IFERROR(IF(OR(CE1841=1,CE1841=2,CE1841=3),N(INDEX(Parameter!$I$5:$I$7,CE1841)),0),0)</f>
        <v>0</v>
      </c>
      <c r="CQ1841" s="52" t="n">
        <f aca="false">IF(AND(Parameter!$B$21="Ja",ISNUMBER(W1841),N(X1841)&gt;0),IFERROR(N(INDEX(Parameter!$L$5:$L$7,W1841))*INDEX(Parameter!$E$5:$E$7,W1841)*X1841/SUMIFS($X$7:$X$1843,$W$7:$W$1843,W1841),0),0)</f>
        <v>0</v>
      </c>
    </row>
    <row r="1842" customFormat="false" ht="15" hidden="false" customHeight="false" outlineLevel="0" collapsed="false">
      <c r="A1842" s="48" t="str">
        <f aca="false">IF('Neue Artikel'!$A$103="","",'Neue Artikel'!$A$103&amp;"")</f>
        <v/>
      </c>
      <c r="B1842" s="48" t="str">
        <f aca="false">'Neue Artikel'!$B$103&amp;""</f>
        <v/>
      </c>
      <c r="C1842" s="48"/>
      <c r="D1842" s="48" t="s">
        <v>3024</v>
      </c>
      <c r="E1842" s="48"/>
      <c r="F1842" s="48"/>
      <c r="G1842" s="49" t="n">
        <f aca="false">N('Neue Artikel'!$G$103)</f>
        <v>0</v>
      </c>
      <c r="H1842" s="50" t="n">
        <f aca="false">MAX(0,IF(AND(Parameter!$B$21="Ja",ISNUMBER(Y1842)),Y1842,IF(Parameter!$B$20="Jahresanfang 2025 + Export",BR1842+BQ1842,BQ1842)))</f>
        <v>0</v>
      </c>
      <c r="I1842" s="50" t="n">
        <f aca="false">H1842*G1842</f>
        <v>0</v>
      </c>
      <c r="J1842" s="50" t="n">
        <f aca="false">BT1842*Parameter!$B$18</f>
        <v>0</v>
      </c>
      <c r="K1842" s="51"/>
      <c r="L1842" s="52"/>
      <c r="M1842" s="50" t="n">
        <f aca="false">N('Neue Artikel'!$E$103)</f>
        <v>0</v>
      </c>
      <c r="N1842" s="50" t="n">
        <f aca="false">N('Neue Artikel'!$F$103)</f>
        <v>0</v>
      </c>
      <c r="O1842" s="53"/>
      <c r="P1842" s="48" t="str">
        <f aca="false">IF('Neue Artikel'!$H$103="","LOSE",UPPER(TRIM('Neue Artikel'!$H$103)))</f>
        <v>LOSE</v>
      </c>
      <c r="Q1842" s="50" t="n">
        <f aca="false">N('Neue Artikel'!$I$103)</f>
        <v>0</v>
      </c>
      <c r="R1842" s="53" t="n">
        <f aca="false">IF(BZ1842=1,0,IFERROR(VLOOKUP(BX1842,'Gebinde-Kategorie'!$A$5:$N$45,13,0)+0,0))</f>
        <v>0</v>
      </c>
      <c r="S1842" s="54"/>
      <c r="T1842" s="55"/>
      <c r="U1842" s="55"/>
      <c r="V1842" s="55"/>
      <c r="W1842" s="48"/>
      <c r="X1842" s="50"/>
      <c r="Y1842" s="50"/>
      <c r="Z1842" s="48" t="str">
        <f aca="false">IF(A1842="","",IF(AND(Parameter!$B$21="Ja",ISNUMBER(W1842)),W1842,IF(CC1842="2+3",IF(ISNUMBER(SEARCH("grosser Artikel",BU1842)),2,IFERROR(VLOOKUP(BX1842,Parameter!$F$35:$G$64,2,0),2)),IF(OR(CC1842="Nein",CC1842=""),"-",CC1842))))</f>
        <v/>
      </c>
      <c r="AA1842" s="48" t="str">
        <f aca="false">IF('Neue Artikel'!$J$103="","",'Neue Artikel'!$J$103)</f>
        <v/>
      </c>
      <c r="AB1842" s="56"/>
      <c r="AC1842" s="50" t="n">
        <f aca="false">AV1842</f>
        <v>0</v>
      </c>
      <c r="AD1842" s="50" t="n">
        <f aca="false">MAX(AV1842,H1842)</f>
        <v>0</v>
      </c>
      <c r="AE1842" s="57"/>
      <c r="AF1842" s="50" t="n">
        <f aca="false">IF(LEFT(Cockpit!$C$5,1)="A",H1842,IF(Parameter!$E$30="MAX-Bestand",IF(CH1842=1,CI1842,IF(LEFT(Cockpit!$C$5,1)="B",AL1842,MAX(AL1842,H1842))),ROUNDUP(AJ1842,0)))</f>
        <v>0</v>
      </c>
      <c r="AG1842" s="50" t="n">
        <f aca="false">IF(BZ1842=1,0,ROUNDUP(AF1842/BY1842,0))</f>
        <v>0</v>
      </c>
      <c r="AH1842" s="52" t="n">
        <f aca="false">IF(CQ1842&gt;0,CQ1842*MAX(1,AF1842/X1842),IF(BZ1842=1,IF(AF1842&lt;=0,0,CD1842*MAX(1,IF(H1842&gt;0,AF1842/H1842,1))),IF(R1842&gt;0,AG1842/R1842,0))/MAX(0.1,N(Parameter!$M$21)))</f>
        <v>0</v>
      </c>
      <c r="AI1842" s="50" t="n">
        <f aca="false">AH1842*CB1842</f>
        <v>0</v>
      </c>
      <c r="AJ1842" s="51" t="n">
        <f aca="false">IF(LEFT(Cockpit!$C$5,1)="A",H1842,IF(CH1842=1,(CK1842+CI1842)/2,IF(LEFT(Cockpit!$C$5,1)="B",(CK1842+AL1842)/2,MAX((CK1842+AL1842)/2,H1842))))</f>
        <v>0</v>
      </c>
      <c r="AK1842" s="50" t="n">
        <f aca="false">AJ1842*G1842</f>
        <v>0</v>
      </c>
      <c r="AL1842" s="50" t="n">
        <f aca="false">ROUNDUP(CK1842+MAX(CL1842,2*(J1842/IF(CG1842&gt;0,CG1842,MAX(0.1,N(Cockpit!$C$6)))-CK1842)),0)</f>
        <v>0</v>
      </c>
      <c r="AM1842" s="51" t="n">
        <f aca="false">IF(AI1842&gt;0,J1842/AI1842,-1)</f>
        <v>-1</v>
      </c>
      <c r="AN1842" s="51" t="str">
        <f aca="false">IF(AND(OR(CF1842="L1",CF1842="L23",CF1842="LIFT"),AI1842&gt;0),SUMIFS($AI$7:$AI$1843,$CF$7:$CF$1843,CF1842,$AM$7:$AM$1843,"&gt;"&amp;AM1842)+SUMIFS($AI$7:$AI$1843,$CF$7:$CF$1843,CF1842,$AM$7:$AM$1843,AM1842,$BW$7:$BW$1843,"&lt;="&amp;BW1842),"")</f>
        <v/>
      </c>
      <c r="AO1842" s="58" t="n">
        <f aca="false">IF(AN1842="",0,MAX(0,MIN(1,(IF(CF1842="L1",Parameter!$H$5,IF(CF1842="L23",Parameter!$H$6+Parameter!$H$7,Parameter!$H$5+Parameter!$H$6+Parameter!$H$7))-(AN1842-AI1842))/AI1842)))</f>
        <v>0</v>
      </c>
      <c r="AP1842" s="50" t="n">
        <f aca="false">IF(LEFT(Cockpit!$I$5,1)="A",H1842,IF(Parameter!$E$30="MAX-Bestand",IF(CH1842=1,CI1842,IF(LEFT(Cockpit!$I$5,1)="B",AV1842,MAX(AV1842,H1842))),ROUNDUP(AT1842,0)))</f>
        <v>0</v>
      </c>
      <c r="AQ1842" s="50" t="n">
        <f aca="false">IF(BZ1842=1,0,ROUNDUP(AP1842/BY1842,0))</f>
        <v>0</v>
      </c>
      <c r="AR1842" s="52" t="n">
        <f aca="false">IF(CQ1842&gt;0,CQ1842*MAX(1,AP1842/X1842),IF(BZ1842=1,IF(AP1842&lt;=0,0,CD1842*MAX(1,IF(H1842&gt;0,AP1842/H1842,1))),IF(R1842&gt;0,AQ1842/R1842,0))/MAX(0.1,N(Parameter!$M$21)))</f>
        <v>0</v>
      </c>
      <c r="AS1842" s="50" t="n">
        <f aca="false">AR1842*CB1842</f>
        <v>0</v>
      </c>
      <c r="AT1842" s="51" t="n">
        <f aca="false">IF(LEFT(Cockpit!$I$5,1)="A",H1842,IF(CH1842=1,(CK1842+CI1842)/2,IF(LEFT(Cockpit!$I$5,1)="B",(CK1842+AV1842)/2,MAX((CK1842+AV1842)/2,H1842))))</f>
        <v>0</v>
      </c>
      <c r="AU1842" s="50" t="n">
        <f aca="false">AT1842*G1842</f>
        <v>0</v>
      </c>
      <c r="AV1842" s="50" t="n">
        <f aca="false">ROUNDUP(CK1842+MAX(CL1842,2*(J1842/IF(CG1842&gt;0,CG1842,MAX(0.1,N(Cockpit!$I$6)))-CK1842)),0)</f>
        <v>0</v>
      </c>
      <c r="AW1842" s="51" t="n">
        <f aca="false">IF(AS1842&gt;0,J1842/AS1842,-1)</f>
        <v>-1</v>
      </c>
      <c r="AX1842" s="51" t="str">
        <f aca="false">IF(AND(OR(CF1842="L1",CF1842="L23",CF1842="LIFT"),AS1842&gt;0),SUMIFS($AS$7:$AS$1843,$CF$7:$CF$1843,CF1842,$AW$7:$AW$1843,"&gt;"&amp;AW1842)+SUMIFS($AS$7:$AS$1843,$CF$7:$CF$1843,CF1842,$AW$7:$AW$1843,AW1842,$BW$7:$BW$1843,"&lt;="&amp;BW1842),"")</f>
        <v/>
      </c>
      <c r="AY1842" s="58" t="n">
        <f aca="false">IF(AX1842="",0,MAX(0,MIN(1,(IF(CF1842="L1",Parameter!$H$5,IF(CF1842="L23",Parameter!$H$6+Parameter!$H$7,Parameter!$H$5+Parameter!$H$6+Parameter!$H$7))-(AX1842-AS1842))/AS1842)))</f>
        <v>0</v>
      </c>
      <c r="AZ1842" s="50" t="n">
        <f aca="false">IF(LEFT(Cockpit!$O$5,1)="A",H1842,IF(Parameter!$E$30="MAX-Bestand",IF(CH1842=1,CI1842,IF(LEFT(Cockpit!$O$5,1)="B",BF1842,MAX(BF1842,H1842))),ROUNDUP(BD1842,0)))</f>
        <v>0</v>
      </c>
      <c r="BA1842" s="50" t="n">
        <f aca="false">IF(BZ1842=1,0,ROUNDUP(AZ1842/BY1842,0))</f>
        <v>0</v>
      </c>
      <c r="BB1842" s="52" t="n">
        <f aca="false">IF(CQ1842&gt;0,CQ1842*MAX(1,AZ1842/X1842),IF(BZ1842=1,IF(AZ1842&lt;=0,0,CD1842*MAX(1,IF(H1842&gt;0,AZ1842/H1842,1))),IF(R1842&gt;0,BA1842/R1842,0))/MAX(0.1,N(Parameter!$M$21)))</f>
        <v>0</v>
      </c>
      <c r="BC1842" s="50" t="n">
        <f aca="false">BB1842*CB1842</f>
        <v>0</v>
      </c>
      <c r="BD1842" s="51" t="n">
        <f aca="false">IF(LEFT(Cockpit!$O$5,1)="A",H1842,IF(CH1842=1,(CK1842+CI1842)/2,IF(LEFT(Cockpit!$O$5,1)="B",(CK1842+BF1842)/2,MAX((CK1842+BF1842)/2,H1842))))</f>
        <v>0</v>
      </c>
      <c r="BE1842" s="50" t="n">
        <f aca="false">BD1842*G1842</f>
        <v>0</v>
      </c>
      <c r="BF1842" s="50" t="n">
        <f aca="false">ROUNDUP(CK1842+MAX(CL1842,2*(J1842/IF(CG1842&gt;0,CG1842,MAX(0.1,N(Cockpit!$O$6)))-CK1842)),0)</f>
        <v>0</v>
      </c>
      <c r="BG1842" s="51" t="n">
        <f aca="false">IF(BC1842&gt;0,J1842/BC1842,-1)</f>
        <v>-1</v>
      </c>
      <c r="BH1842" s="51" t="str">
        <f aca="false">IF(AND(OR(CF1842="L1",CF1842="L23",CF1842="LIFT"),BC1842&gt;0),SUMIFS($BC$7:$BC$1843,$CF$7:$CF$1843,CF1842,$BG$7:$BG$1843,"&gt;"&amp;BG1842)+SUMIFS($BC$7:$BC$1843,$CF$7:$CF$1843,CF1842,$BG$7:$BG$1843,BG1842,$BW$7:$BW$1843,"&lt;="&amp;BW1842),"")</f>
        <v/>
      </c>
      <c r="BI1842" s="58" t="n">
        <f aca="false">IF(BH1842="",0,MAX(0,MIN(1,(IF(CF1842="L1",Parameter!$H$5,IF(CF1842="L23",Parameter!$H$6+Parameter!$H$7,Parameter!$H$5+Parameter!$H$6+Parameter!$H$7))-(BH1842-BC1842))/BC1842)))</f>
        <v>0</v>
      </c>
      <c r="BJ1842" s="48" t="str">
        <f aca="false">IF(AI1842&lt;=0,"",IF(CF1842="Aussen","Aussenlager",IF(CF1842="-","Nicht im Lift",IF(AO1842&gt;=1,"Lift",IF(AO1842&lt;=0,"Aussenlager","teilweise")))))</f>
        <v/>
      </c>
      <c r="BK1842" s="48" t="str">
        <f aca="false">IF(AS1842&lt;=0,"",IF(CF1842="Aussen","Aussenlager",IF(CF1842="-","Nicht im Lift",IF(AY1842&gt;=1,"Lift",IF(AY1842&lt;=0,"Aussenlager","teilweise")))))</f>
        <v/>
      </c>
      <c r="BL1842" s="48" t="str">
        <f aca="false">IF(BC1842&lt;=0,"",IF(CF1842="Aussen","Aussenlager",IF(CF1842="-","Nicht im Lift",IF(BI1842&gt;=1,"Lift",IF(BI1842&lt;=0,"Aussenlager","teilweise")))))</f>
        <v/>
      </c>
      <c r="BM1842" s="48" t="str">
        <f aca="false">IF(A1842="","",IF(BV1842=1,"Neu; ","")&amp;IF(AND(BV1842=0,BQ1842&lt;0),"negativer Bestand (Export "&amp;BQ1842&amp;"); ","")&amp;IF(J1842&lt;=0,"Kein Verbrauch; ","")&amp;IF(CQ1842&gt;0,"Lift "&amp;W1842&amp;" lt. Liftbericht (Fach "&amp;X1842&amp;" Stk); ",IF(CA1842=1,"Gebinde geschätzt ("&amp;T1842&amp;"); ",IF(BZ1842=1,"Lose – Tablare geschätzt; ","")))&amp;IF(H1842&gt;AV1842,"Überbestand "&amp;ROUND(H1842-AV1842,0)&amp;" Stk / CHF "&amp;ROUND((H1842-AV1842)*G1842,0)&amp;"; ","")&amp;IF(AND(CH1842=1,CI1842&lt;CJ1842),"MAX &lt; MB+LG; ","")&amp;IF(AND(CP1842&gt;0,CO1842*10&gt;CP1842),"zu hoch für Tablar; ","")&amp;IF(AND(BV1842=0,OR(CH1842=1,AA1842&lt;&gt;"",U1842&lt;&gt;"",V1842&lt;&gt;"",AB1842&lt;&gt;"")),"manuell übersteuert; ","")&amp;IF(AND(BZ1842=0,R1842=0),"Gebinde unbekannt / Stellmass fehlt; ","")&amp;IF(AND(BZ1842=0,N(V1842)&lt;=0,N(Q1842)&lt;=0),"Menge pro Gebinde fehlt (Ist = 1 Gebinde); ","")&amp;BU1842)</f>
        <v/>
      </c>
      <c r="BN1842" s="48"/>
      <c r="BO1842" s="48"/>
      <c r="BP1842" s="55"/>
      <c r="BQ1842" s="50" t="n">
        <f aca="false">N('Neue Artikel'!$D$103)</f>
        <v>0</v>
      </c>
      <c r="BR1842" s="50" t="n">
        <v>0</v>
      </c>
      <c r="BS1842" s="49" t="n">
        <v>0</v>
      </c>
      <c r="BT1842" s="50" t="n">
        <f aca="false">N('Neue Artikel'!$C$103)/Parameter!$B$18</f>
        <v>0</v>
      </c>
      <c r="BU1842" s="48"/>
      <c r="BV1842" s="53" t="n">
        <v>1</v>
      </c>
      <c r="BW1842" s="53" t="n">
        <v>1842</v>
      </c>
      <c r="BX1842" s="48" t="str">
        <f aca="false">IF(U1842&lt;&gt;"",UPPER(TRIM(U1842)),IF(CA1842=1,UPPER(VLOOKUP(T1842,Parameter!$I$27:$K$29,2,0)),IF(P1842="","LOSE",P1842)))</f>
        <v>LOSE</v>
      </c>
      <c r="BY1842" s="50" t="n">
        <f aca="false">IF(BX1842="LOSE",1,IF(N(V1842)&gt;0,V1842,IF(CA1842=1,MAX(1,N(VLOOKUP(T1842,Parameter!$I$27:$K$29,3,0)),H1842,N(N1842)),IF(N(Q1842)&gt;0,Q1842,MAX(1,H1842)))))</f>
        <v>1</v>
      </c>
      <c r="BZ1842" s="53" t="n">
        <f aca="false">IF(BX1842="LOSE",1,0)</f>
        <v>1</v>
      </c>
      <c r="CA1842" s="53" t="n">
        <f aca="false">IF(AND(U1842="",OR(P1842="",P1842="LOSE"),T1842&lt;&gt;"",N(S1842)&lt;=0,ISNUMBER(MATCH(T1842,Parameter!$I$27:$I$29,0))),1,0)</f>
        <v>0</v>
      </c>
      <c r="CB1842" s="53" t="n">
        <f aca="false">IF(CQ1842&gt;0,INDEX(Parameter!$H$5:$H$7,W1842)/INDEX(Parameter!$E$5:$E$7,W1842),IF(AND(BZ1842=0,N(IFERROR(VLOOKUP(BX1842,'Gebinde-Kategorie'!$A$5:$N$45,14,0),0))&gt;0),VLOOKUP(BX1842,'Gebinde-Kategorie'!$A$5:$N$45,14,0)*10+Parameter!$M$23,Parameter!$M$24))</f>
        <v>235</v>
      </c>
      <c r="CC1842" s="48" t="str">
        <f aca="false">IF(AND(Parameter!$B$19="Ja",E1842&lt;&gt;"",ISNUMBER(MATCH(E1842,Parameter!$I$35:$I$52,0))),VLOOKUP(E1842,Parameter!$I$35:$J$52,2,0),IFERROR(VLOOKUP(D1842,Parameter!$A$35:$C$64,2,0),"Nein"))</f>
        <v>2+3</v>
      </c>
      <c r="CD1842" s="52" t="n">
        <f aca="false">IF(BZ1842=0,0,IF(N(S1842)&gt;0,S1842,IFERROR(VLOOKUP(D1842,Parameter!$A$35:$C$64,3,0)+0,0)))</f>
        <v>0.15</v>
      </c>
      <c r="CE1842" s="48" t="str">
        <f aca="false">IF(AA1842&lt;&gt;"",AA1842,Z1842)</f>
        <v/>
      </c>
      <c r="CF1842" s="48" t="str">
        <f aca="false">IF(OR(CE1842=1,CE1842=2,CE1842=3),IF(Parameter!$E$27="Ja","LIFT",IF(CE1842=1,"L1","L23")),IF(CE1842="Aussen","Aussen","-"))</f>
        <v>-</v>
      </c>
      <c r="CG1842" s="59" t="n">
        <f aca="false">IF(N(AB1842)&gt;0,AB1842,0)</f>
        <v>0</v>
      </c>
      <c r="CH1842" s="53" t="n">
        <f aca="false">IF(ISNUMBER(AE1842),1,0)</f>
        <v>0</v>
      </c>
      <c r="CI1842" s="50" t="n">
        <f aca="false">N(AE1842)</f>
        <v>0</v>
      </c>
      <c r="CJ1842" s="50" t="n">
        <f aca="false">N(M1842)+N(N1842)</f>
        <v>0</v>
      </c>
      <c r="CK1842" s="50" t="n">
        <f aca="false">N(M1842)</f>
        <v>0</v>
      </c>
      <c r="CL1842" s="50" t="n">
        <f aca="false">N(N1842)</f>
        <v>0</v>
      </c>
      <c r="CM1842" s="50" t="n">
        <f aca="false">ROUNDUP(H1842/BY1842,0)</f>
        <v>0</v>
      </c>
      <c r="CN1842" s="50" t="n">
        <f aca="false">ROUNDUP(CI1842/BY1842,0)</f>
        <v>0</v>
      </c>
      <c r="CO1842" s="53" t="n">
        <f aca="false">IF(BZ1842=1,0,IFERROR(VLOOKUP(BX1842,'Gebinde-Kategorie'!$A$5:$N$45,5,0)+0,0))</f>
        <v>0</v>
      </c>
      <c r="CP1842" s="53" t="n">
        <f aca="false">IFERROR(IF(OR(CE1842=1,CE1842=2,CE1842=3),N(INDEX(Parameter!$I$5:$I$7,CE1842)),0),0)</f>
        <v>0</v>
      </c>
      <c r="CQ1842" s="52" t="n">
        <f aca="false">IF(AND(Parameter!$B$21="Ja",ISNUMBER(W1842),N(X1842)&gt;0),IFERROR(N(INDEX(Parameter!$L$5:$L$7,W1842))*INDEX(Parameter!$E$5:$E$7,W1842)*X1842/SUMIFS($X$7:$X$1843,$W$7:$W$1843,W1842),0),0)</f>
        <v>0</v>
      </c>
    </row>
    <row r="1843" customFormat="false" ht="15" hidden="false" customHeight="false" outlineLevel="0" collapsed="false">
      <c r="A1843" s="48" t="str">
        <f aca="false">IF('Neue Artikel'!$A$104="","",'Neue Artikel'!$A$104&amp;"")</f>
        <v/>
      </c>
      <c r="B1843" s="48" t="str">
        <f aca="false">'Neue Artikel'!$B$104&amp;""</f>
        <v/>
      </c>
      <c r="C1843" s="48"/>
      <c r="D1843" s="48" t="s">
        <v>3024</v>
      </c>
      <c r="E1843" s="48"/>
      <c r="F1843" s="48"/>
      <c r="G1843" s="49" t="n">
        <f aca="false">N('Neue Artikel'!$G$104)</f>
        <v>0</v>
      </c>
      <c r="H1843" s="50" t="n">
        <f aca="false">MAX(0,IF(AND(Parameter!$B$21="Ja",ISNUMBER(Y1843)),Y1843,IF(Parameter!$B$20="Jahresanfang 2025 + Export",BR1843+BQ1843,BQ1843)))</f>
        <v>0</v>
      </c>
      <c r="I1843" s="50" t="n">
        <f aca="false">H1843*G1843</f>
        <v>0</v>
      </c>
      <c r="J1843" s="50" t="n">
        <f aca="false">BT1843*Parameter!$B$18</f>
        <v>0</v>
      </c>
      <c r="K1843" s="51"/>
      <c r="L1843" s="52"/>
      <c r="M1843" s="50" t="n">
        <f aca="false">N('Neue Artikel'!$E$104)</f>
        <v>0</v>
      </c>
      <c r="N1843" s="50" t="n">
        <f aca="false">N('Neue Artikel'!$F$104)</f>
        <v>0</v>
      </c>
      <c r="O1843" s="53"/>
      <c r="P1843" s="48" t="str">
        <f aca="false">IF('Neue Artikel'!$H$104="","LOSE",UPPER(TRIM('Neue Artikel'!$H$104)))</f>
        <v>LOSE</v>
      </c>
      <c r="Q1843" s="50" t="n">
        <f aca="false">N('Neue Artikel'!$I$104)</f>
        <v>0</v>
      </c>
      <c r="R1843" s="53" t="n">
        <f aca="false">IF(BZ1843=1,0,IFERROR(VLOOKUP(BX1843,'Gebinde-Kategorie'!$A$5:$N$45,13,0)+0,0))</f>
        <v>0</v>
      </c>
      <c r="S1843" s="54"/>
      <c r="T1843" s="55"/>
      <c r="U1843" s="55"/>
      <c r="V1843" s="55"/>
      <c r="W1843" s="48"/>
      <c r="X1843" s="50"/>
      <c r="Y1843" s="50"/>
      <c r="Z1843" s="48" t="str">
        <f aca="false">IF(A1843="","",IF(AND(Parameter!$B$21="Ja",ISNUMBER(W1843)),W1843,IF(CC1843="2+3",IF(ISNUMBER(SEARCH("grosser Artikel",BU1843)),2,IFERROR(VLOOKUP(BX1843,Parameter!$F$35:$G$64,2,0),2)),IF(OR(CC1843="Nein",CC1843=""),"-",CC1843))))</f>
        <v/>
      </c>
      <c r="AA1843" s="48" t="str">
        <f aca="false">IF('Neue Artikel'!$J$104="","",'Neue Artikel'!$J$104)</f>
        <v/>
      </c>
      <c r="AB1843" s="56"/>
      <c r="AC1843" s="50" t="n">
        <f aca="false">AV1843</f>
        <v>0</v>
      </c>
      <c r="AD1843" s="50" t="n">
        <f aca="false">MAX(AV1843,H1843)</f>
        <v>0</v>
      </c>
      <c r="AE1843" s="57"/>
      <c r="AF1843" s="50" t="n">
        <f aca="false">IF(LEFT(Cockpit!$C$5,1)="A",H1843,IF(Parameter!$E$30="MAX-Bestand",IF(CH1843=1,CI1843,IF(LEFT(Cockpit!$C$5,1)="B",AL1843,MAX(AL1843,H1843))),ROUNDUP(AJ1843,0)))</f>
        <v>0</v>
      </c>
      <c r="AG1843" s="50" t="n">
        <f aca="false">IF(BZ1843=1,0,ROUNDUP(AF1843/BY1843,0))</f>
        <v>0</v>
      </c>
      <c r="AH1843" s="52" t="n">
        <f aca="false">IF(CQ1843&gt;0,CQ1843*MAX(1,AF1843/X1843),IF(BZ1843=1,IF(AF1843&lt;=0,0,CD1843*MAX(1,IF(H1843&gt;0,AF1843/H1843,1))),IF(R1843&gt;0,AG1843/R1843,0))/MAX(0.1,N(Parameter!$M$21)))</f>
        <v>0</v>
      </c>
      <c r="AI1843" s="50" t="n">
        <f aca="false">AH1843*CB1843</f>
        <v>0</v>
      </c>
      <c r="AJ1843" s="51" t="n">
        <f aca="false">IF(LEFT(Cockpit!$C$5,1)="A",H1843,IF(CH1843=1,(CK1843+CI1843)/2,IF(LEFT(Cockpit!$C$5,1)="B",(CK1843+AL1843)/2,MAX((CK1843+AL1843)/2,H1843))))</f>
        <v>0</v>
      </c>
      <c r="AK1843" s="50" t="n">
        <f aca="false">AJ1843*G1843</f>
        <v>0</v>
      </c>
      <c r="AL1843" s="50" t="n">
        <f aca="false">ROUNDUP(CK1843+MAX(CL1843,2*(J1843/IF(CG1843&gt;0,CG1843,MAX(0.1,N(Cockpit!$C$6)))-CK1843)),0)</f>
        <v>0</v>
      </c>
      <c r="AM1843" s="51" t="n">
        <f aca="false">IF(AI1843&gt;0,J1843/AI1843,-1)</f>
        <v>-1</v>
      </c>
      <c r="AN1843" s="51" t="str">
        <f aca="false">IF(AND(OR(CF1843="L1",CF1843="L23",CF1843="LIFT"),AI1843&gt;0),SUMIFS($AI$7:$AI$1843,$CF$7:$CF$1843,CF1843,$AM$7:$AM$1843,"&gt;"&amp;AM1843)+SUMIFS($AI$7:$AI$1843,$CF$7:$CF$1843,CF1843,$AM$7:$AM$1843,AM1843,$BW$7:$BW$1843,"&lt;="&amp;BW1843),"")</f>
        <v/>
      </c>
      <c r="AO1843" s="58" t="n">
        <f aca="false">IF(AN1843="",0,MAX(0,MIN(1,(IF(CF1843="L1",Parameter!$H$5,IF(CF1843="L23",Parameter!$H$6+Parameter!$H$7,Parameter!$H$5+Parameter!$H$6+Parameter!$H$7))-(AN1843-AI1843))/AI1843)))</f>
        <v>0</v>
      </c>
      <c r="AP1843" s="50" t="n">
        <f aca="false">IF(LEFT(Cockpit!$I$5,1)="A",H1843,IF(Parameter!$E$30="MAX-Bestand",IF(CH1843=1,CI1843,IF(LEFT(Cockpit!$I$5,1)="B",AV1843,MAX(AV1843,H1843))),ROUNDUP(AT1843,0)))</f>
        <v>0</v>
      </c>
      <c r="AQ1843" s="50" t="n">
        <f aca="false">IF(BZ1843=1,0,ROUNDUP(AP1843/BY1843,0))</f>
        <v>0</v>
      </c>
      <c r="AR1843" s="52" t="n">
        <f aca="false">IF(CQ1843&gt;0,CQ1843*MAX(1,AP1843/X1843),IF(BZ1843=1,IF(AP1843&lt;=0,0,CD1843*MAX(1,IF(H1843&gt;0,AP1843/H1843,1))),IF(R1843&gt;0,AQ1843/R1843,0))/MAX(0.1,N(Parameter!$M$21)))</f>
        <v>0</v>
      </c>
      <c r="AS1843" s="50" t="n">
        <f aca="false">AR1843*CB1843</f>
        <v>0</v>
      </c>
      <c r="AT1843" s="51" t="n">
        <f aca="false">IF(LEFT(Cockpit!$I$5,1)="A",H1843,IF(CH1843=1,(CK1843+CI1843)/2,IF(LEFT(Cockpit!$I$5,1)="B",(CK1843+AV1843)/2,MAX((CK1843+AV1843)/2,H1843))))</f>
        <v>0</v>
      </c>
      <c r="AU1843" s="50" t="n">
        <f aca="false">AT1843*G1843</f>
        <v>0</v>
      </c>
      <c r="AV1843" s="50" t="n">
        <f aca="false">ROUNDUP(CK1843+MAX(CL1843,2*(J1843/IF(CG1843&gt;0,CG1843,MAX(0.1,N(Cockpit!$I$6)))-CK1843)),0)</f>
        <v>0</v>
      </c>
      <c r="AW1843" s="51" t="n">
        <f aca="false">IF(AS1843&gt;0,J1843/AS1843,-1)</f>
        <v>-1</v>
      </c>
      <c r="AX1843" s="51" t="str">
        <f aca="false">IF(AND(OR(CF1843="L1",CF1843="L23",CF1843="LIFT"),AS1843&gt;0),SUMIFS($AS$7:$AS$1843,$CF$7:$CF$1843,CF1843,$AW$7:$AW$1843,"&gt;"&amp;AW1843)+SUMIFS($AS$7:$AS$1843,$CF$7:$CF$1843,CF1843,$AW$7:$AW$1843,AW1843,$BW$7:$BW$1843,"&lt;="&amp;BW1843),"")</f>
        <v/>
      </c>
      <c r="AY1843" s="58" t="n">
        <f aca="false">IF(AX1843="",0,MAX(0,MIN(1,(IF(CF1843="L1",Parameter!$H$5,IF(CF1843="L23",Parameter!$H$6+Parameter!$H$7,Parameter!$H$5+Parameter!$H$6+Parameter!$H$7))-(AX1843-AS1843))/AS1843)))</f>
        <v>0</v>
      </c>
      <c r="AZ1843" s="50" t="n">
        <f aca="false">IF(LEFT(Cockpit!$O$5,1)="A",H1843,IF(Parameter!$E$30="MAX-Bestand",IF(CH1843=1,CI1843,IF(LEFT(Cockpit!$O$5,1)="B",BF1843,MAX(BF1843,H1843))),ROUNDUP(BD1843,0)))</f>
        <v>0</v>
      </c>
      <c r="BA1843" s="50" t="n">
        <f aca="false">IF(BZ1843=1,0,ROUNDUP(AZ1843/BY1843,0))</f>
        <v>0</v>
      </c>
      <c r="BB1843" s="52" t="n">
        <f aca="false">IF(CQ1843&gt;0,CQ1843*MAX(1,AZ1843/X1843),IF(BZ1843=1,IF(AZ1843&lt;=0,0,CD1843*MAX(1,IF(H1843&gt;0,AZ1843/H1843,1))),IF(R1843&gt;0,BA1843/R1843,0))/MAX(0.1,N(Parameter!$M$21)))</f>
        <v>0</v>
      </c>
      <c r="BC1843" s="50" t="n">
        <f aca="false">BB1843*CB1843</f>
        <v>0</v>
      </c>
      <c r="BD1843" s="51" t="n">
        <f aca="false">IF(LEFT(Cockpit!$O$5,1)="A",H1843,IF(CH1843=1,(CK1843+CI1843)/2,IF(LEFT(Cockpit!$O$5,1)="B",(CK1843+BF1843)/2,MAX((CK1843+BF1843)/2,H1843))))</f>
        <v>0</v>
      </c>
      <c r="BE1843" s="50" t="n">
        <f aca="false">BD1843*G1843</f>
        <v>0</v>
      </c>
      <c r="BF1843" s="50" t="n">
        <f aca="false">ROUNDUP(CK1843+MAX(CL1843,2*(J1843/IF(CG1843&gt;0,CG1843,MAX(0.1,N(Cockpit!$O$6)))-CK1843)),0)</f>
        <v>0</v>
      </c>
      <c r="BG1843" s="51" t="n">
        <f aca="false">IF(BC1843&gt;0,J1843/BC1843,-1)</f>
        <v>-1</v>
      </c>
      <c r="BH1843" s="51" t="str">
        <f aca="false">IF(AND(OR(CF1843="L1",CF1843="L23",CF1843="LIFT"),BC1843&gt;0),SUMIFS($BC$7:$BC$1843,$CF$7:$CF$1843,CF1843,$BG$7:$BG$1843,"&gt;"&amp;BG1843)+SUMIFS($BC$7:$BC$1843,$CF$7:$CF$1843,CF1843,$BG$7:$BG$1843,BG1843,$BW$7:$BW$1843,"&lt;="&amp;BW1843),"")</f>
        <v/>
      </c>
      <c r="BI1843" s="58" t="n">
        <f aca="false">IF(BH1843="",0,MAX(0,MIN(1,(IF(CF1843="L1",Parameter!$H$5,IF(CF1843="L23",Parameter!$H$6+Parameter!$H$7,Parameter!$H$5+Parameter!$H$6+Parameter!$H$7))-(BH1843-BC1843))/BC1843)))</f>
        <v>0</v>
      </c>
      <c r="BJ1843" s="48" t="str">
        <f aca="false">IF(AI1843&lt;=0,"",IF(CF1843="Aussen","Aussenlager",IF(CF1843="-","Nicht im Lift",IF(AO1843&gt;=1,"Lift",IF(AO1843&lt;=0,"Aussenlager","teilweise")))))</f>
        <v/>
      </c>
      <c r="BK1843" s="48" t="str">
        <f aca="false">IF(AS1843&lt;=0,"",IF(CF1843="Aussen","Aussenlager",IF(CF1843="-","Nicht im Lift",IF(AY1843&gt;=1,"Lift",IF(AY1843&lt;=0,"Aussenlager","teilweise")))))</f>
        <v/>
      </c>
      <c r="BL1843" s="48" t="str">
        <f aca="false">IF(BC1843&lt;=0,"",IF(CF1843="Aussen","Aussenlager",IF(CF1843="-","Nicht im Lift",IF(BI1843&gt;=1,"Lift",IF(BI1843&lt;=0,"Aussenlager","teilweise")))))</f>
        <v/>
      </c>
      <c r="BM1843" s="48" t="str">
        <f aca="false">IF(A1843="","",IF(BV1843=1,"Neu; ","")&amp;IF(AND(BV1843=0,BQ1843&lt;0),"negativer Bestand (Export "&amp;BQ1843&amp;"); ","")&amp;IF(J1843&lt;=0,"Kein Verbrauch; ","")&amp;IF(CQ1843&gt;0,"Lift "&amp;W1843&amp;" lt. Liftbericht (Fach "&amp;X1843&amp;" Stk); ",IF(CA1843=1,"Gebinde geschätzt ("&amp;T1843&amp;"); ",IF(BZ1843=1,"Lose – Tablare geschätzt; ","")))&amp;IF(H1843&gt;AV1843,"Überbestand "&amp;ROUND(H1843-AV1843,0)&amp;" Stk / CHF "&amp;ROUND((H1843-AV1843)*G1843,0)&amp;"; ","")&amp;IF(AND(CH1843=1,CI1843&lt;CJ1843),"MAX &lt; MB+LG; ","")&amp;IF(AND(CP1843&gt;0,CO1843*10&gt;CP1843),"zu hoch für Tablar; ","")&amp;IF(AND(BV1843=0,OR(CH1843=1,AA1843&lt;&gt;"",U1843&lt;&gt;"",V1843&lt;&gt;"",AB1843&lt;&gt;"")),"manuell übersteuert; ","")&amp;IF(AND(BZ1843=0,R1843=0),"Gebinde unbekannt / Stellmass fehlt; ","")&amp;IF(AND(BZ1843=0,N(V1843)&lt;=0,N(Q1843)&lt;=0),"Menge pro Gebinde fehlt (Ist = 1 Gebinde); ","")&amp;BU1843)</f>
        <v/>
      </c>
      <c r="BN1843" s="48"/>
      <c r="BO1843" s="48"/>
      <c r="BP1843" s="55"/>
      <c r="BQ1843" s="50" t="n">
        <f aca="false">N('Neue Artikel'!$D$104)</f>
        <v>0</v>
      </c>
      <c r="BR1843" s="50" t="n">
        <v>0</v>
      </c>
      <c r="BS1843" s="49" t="n">
        <v>0</v>
      </c>
      <c r="BT1843" s="50" t="n">
        <f aca="false">N('Neue Artikel'!$C$104)/Parameter!$B$18</f>
        <v>0</v>
      </c>
      <c r="BU1843" s="48"/>
      <c r="BV1843" s="53" t="n">
        <v>1</v>
      </c>
      <c r="BW1843" s="53" t="n">
        <v>1843</v>
      </c>
      <c r="BX1843" s="48" t="str">
        <f aca="false">IF(U1843&lt;&gt;"",UPPER(TRIM(U1843)),IF(CA1843=1,UPPER(VLOOKUP(T1843,Parameter!$I$27:$K$29,2,0)),IF(P1843="","LOSE",P1843)))</f>
        <v>LOSE</v>
      </c>
      <c r="BY1843" s="50" t="n">
        <f aca="false">IF(BX1843="LOSE",1,IF(N(V1843)&gt;0,V1843,IF(CA1843=1,MAX(1,N(VLOOKUP(T1843,Parameter!$I$27:$K$29,3,0)),H1843,N(N1843)),IF(N(Q1843)&gt;0,Q1843,MAX(1,H1843)))))</f>
        <v>1</v>
      </c>
      <c r="BZ1843" s="53" t="n">
        <f aca="false">IF(BX1843="LOSE",1,0)</f>
        <v>1</v>
      </c>
      <c r="CA1843" s="53" t="n">
        <f aca="false">IF(AND(U1843="",OR(P1843="",P1843="LOSE"),T1843&lt;&gt;"",N(S1843)&lt;=0,ISNUMBER(MATCH(T1843,Parameter!$I$27:$I$29,0))),1,0)</f>
        <v>0</v>
      </c>
      <c r="CB1843" s="53" t="n">
        <f aca="false">IF(CQ1843&gt;0,INDEX(Parameter!$H$5:$H$7,W1843)/INDEX(Parameter!$E$5:$E$7,W1843),IF(AND(BZ1843=0,N(IFERROR(VLOOKUP(BX1843,'Gebinde-Kategorie'!$A$5:$N$45,14,0),0))&gt;0),VLOOKUP(BX1843,'Gebinde-Kategorie'!$A$5:$N$45,14,0)*10+Parameter!$M$23,Parameter!$M$24))</f>
        <v>235</v>
      </c>
      <c r="CC1843" s="48" t="str">
        <f aca="false">IF(AND(Parameter!$B$19="Ja",E1843&lt;&gt;"",ISNUMBER(MATCH(E1843,Parameter!$I$35:$I$52,0))),VLOOKUP(E1843,Parameter!$I$35:$J$52,2,0),IFERROR(VLOOKUP(D1843,Parameter!$A$35:$C$64,2,0),"Nein"))</f>
        <v>2+3</v>
      </c>
      <c r="CD1843" s="52" t="n">
        <f aca="false">IF(BZ1843=0,0,IF(N(S1843)&gt;0,S1843,IFERROR(VLOOKUP(D1843,Parameter!$A$35:$C$64,3,0)+0,0)))</f>
        <v>0.15</v>
      </c>
      <c r="CE1843" s="48" t="str">
        <f aca="false">IF(AA1843&lt;&gt;"",AA1843,Z1843)</f>
        <v/>
      </c>
      <c r="CF1843" s="48" t="str">
        <f aca="false">IF(OR(CE1843=1,CE1843=2,CE1843=3),IF(Parameter!$E$27="Ja","LIFT",IF(CE1843=1,"L1","L23")),IF(CE1843="Aussen","Aussen","-"))</f>
        <v>-</v>
      </c>
      <c r="CG1843" s="59" t="n">
        <f aca="false">IF(N(AB1843)&gt;0,AB1843,0)</f>
        <v>0</v>
      </c>
      <c r="CH1843" s="53" t="n">
        <f aca="false">IF(ISNUMBER(AE1843),1,0)</f>
        <v>0</v>
      </c>
      <c r="CI1843" s="50" t="n">
        <f aca="false">N(AE1843)</f>
        <v>0</v>
      </c>
      <c r="CJ1843" s="50" t="n">
        <f aca="false">N(M1843)+N(N1843)</f>
        <v>0</v>
      </c>
      <c r="CK1843" s="50" t="n">
        <f aca="false">N(M1843)</f>
        <v>0</v>
      </c>
      <c r="CL1843" s="50" t="n">
        <f aca="false">N(N1843)</f>
        <v>0</v>
      </c>
      <c r="CM1843" s="50" t="n">
        <f aca="false">ROUNDUP(H1843/BY1843,0)</f>
        <v>0</v>
      </c>
      <c r="CN1843" s="50" t="n">
        <f aca="false">ROUNDUP(CI1843/BY1843,0)</f>
        <v>0</v>
      </c>
      <c r="CO1843" s="53" t="n">
        <f aca="false">IF(BZ1843=1,0,IFERROR(VLOOKUP(BX1843,'Gebinde-Kategorie'!$A$5:$N$45,5,0)+0,0))</f>
        <v>0</v>
      </c>
      <c r="CP1843" s="53" t="n">
        <f aca="false">IFERROR(IF(OR(CE1843=1,CE1843=2,CE1843=3),N(INDEX(Parameter!$I$5:$I$7,CE1843)),0),0)</f>
        <v>0</v>
      </c>
      <c r="CQ1843" s="52" t="n">
        <f aca="false">IF(AND(Parameter!$B$21="Ja",ISNUMBER(W1843),N(X1843)&gt;0),IFERROR(N(INDEX(Parameter!$L$5:$L$7,W1843))*INDEX(Parameter!$E$5:$E$7,W1843)*X1843/SUMIFS($X$7:$X$1843,$W$7:$W$1843,W1843),0),0)</f>
        <v>0</v>
      </c>
    </row>
  </sheetData>
  <autoFilter ref="A6:BP1843"/>
  <conditionalFormatting sqref="BJ7:BJ1843">
    <cfRule type="cellIs" priority="2" operator="equal" aboveAverage="0" equalAverage="0" bottom="0" percent="0" rank="0" text="" dxfId="3">
      <formula>"Lift"</formula>
    </cfRule>
    <cfRule type="cellIs" priority="3" operator="equal" aboveAverage="0" equalAverage="0" bottom="0" percent="0" rank="0" text="" dxfId="2">
      <formula>"teilweise"</formula>
    </cfRule>
    <cfRule type="cellIs" priority="4" operator="equal" aboveAverage="0" equalAverage="0" bottom="0" percent="0" rank="0" text="" dxfId="1">
      <formula>"Aussenlager"</formula>
    </cfRule>
  </conditionalFormatting>
  <conditionalFormatting sqref="BK7:BK1843">
    <cfRule type="cellIs" priority="5" operator="equal" aboveAverage="0" equalAverage="0" bottom="0" percent="0" rank="0" text="" dxfId="3">
      <formula>"Lift"</formula>
    </cfRule>
    <cfRule type="cellIs" priority="6" operator="equal" aboveAverage="0" equalAverage="0" bottom="0" percent="0" rank="0" text="" dxfId="2">
      <formula>"teilweise"</formula>
    </cfRule>
    <cfRule type="cellIs" priority="7" operator="equal" aboveAverage="0" equalAverage="0" bottom="0" percent="0" rank="0" text="" dxfId="1">
      <formula>"Aussenlager"</formula>
    </cfRule>
  </conditionalFormatting>
  <conditionalFormatting sqref="BL7:BL1843">
    <cfRule type="cellIs" priority="8" operator="equal" aboveAverage="0" equalAverage="0" bottom="0" percent="0" rank="0" text="" dxfId="3">
      <formula>"Lift"</formula>
    </cfRule>
    <cfRule type="cellIs" priority="9" operator="equal" aboveAverage="0" equalAverage="0" bottom="0" percent="0" rank="0" text="" dxfId="2">
      <formula>"teilweise"</formula>
    </cfRule>
    <cfRule type="cellIs" priority="10" operator="equal" aboveAverage="0" equalAverage="0" bottom="0" percent="0" rank="0" text="" dxfId="1">
      <formula>"Aussenlager"</formula>
    </cfRule>
  </conditionalFormatting>
  <conditionalFormatting sqref="BM7:BM1843">
    <cfRule type="expression" priority="11" aboveAverage="0" equalAverage="0" bottom="0" percent="0" rank="0" text="" dxfId="1">
      <formula>ISNUMBER(SEARCH("zu hoch",BM7))</formula>
    </cfRule>
    <cfRule type="expression" priority="12" aboveAverage="0" equalAverage="0" bottom="0" percent="0" rank="0" text="" dxfId="2">
      <formula>ISNUMBER(SEARCH("Überbestand",BM7))</formula>
    </cfRule>
  </conditionalFormatting>
  <dataValidations count="2">
    <dataValidation allowBlank="true" errorStyle="stop" operator="between" showDropDown="false" showErrorMessage="false" showInputMessage="false" sqref="AA7:AA1743" type="list">
      <formula1>"1,2,3,Aussen"</formula1>
      <formula2>0</formula2>
    </dataValidation>
    <dataValidation allowBlank="true" errorStyle="stop" operator="between" showDropDown="false" showErrorMessage="false" showInputMessage="false" sqref="T7:T1843" type="list">
      <formula1>Parameter!$I$27:$I$29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29" t="s">
        <v>3025</v>
      </c>
      <c r="Z1" s="60" t="s">
        <v>3026</v>
      </c>
    </row>
    <row r="2" customFormat="false" ht="15" hidden="false" customHeight="false" outlineLevel="0" collapsed="false">
      <c r="A2" s="30" t="s">
        <v>3027</v>
      </c>
    </row>
    <row r="3" customFormat="false" ht="15" hidden="false" customHeight="false" outlineLevel="0" collapsed="false">
      <c r="A3" s="41" t="s">
        <v>3028</v>
      </c>
    </row>
    <row r="4" customFormat="false" ht="35.05" hidden="false" customHeight="false" outlineLevel="0" collapsed="false">
      <c r="A4" s="46" t="s">
        <v>3029</v>
      </c>
      <c r="B4" s="46" t="s">
        <v>3030</v>
      </c>
      <c r="C4" s="46" t="s">
        <v>3031</v>
      </c>
      <c r="D4" s="46" t="s">
        <v>80</v>
      </c>
      <c r="E4" s="46" t="s">
        <v>3032</v>
      </c>
      <c r="F4" s="46" t="s">
        <v>3033</v>
      </c>
      <c r="G4" s="46" t="s">
        <v>3034</v>
      </c>
      <c r="H4" s="46" t="s">
        <v>13</v>
      </c>
      <c r="I4" s="46" t="s">
        <v>3035</v>
      </c>
      <c r="J4" s="46" t="s">
        <v>3036</v>
      </c>
      <c r="K4" s="46" t="s">
        <v>3037</v>
      </c>
      <c r="L4" s="46" t="s">
        <v>3038</v>
      </c>
    </row>
    <row r="5" customFormat="false" ht="15" hidden="false" customHeight="false" outlineLevel="0" collapsed="false">
      <c r="A5" s="14" t="n">
        <v>1</v>
      </c>
      <c r="B5" s="61" t="s">
        <v>16</v>
      </c>
      <c r="C5" s="61" t="s">
        <v>3039</v>
      </c>
      <c r="D5" s="61" t="s">
        <v>174</v>
      </c>
      <c r="E5" s="62" t="n">
        <v>50</v>
      </c>
      <c r="F5" s="63" t="n">
        <v>4060</v>
      </c>
      <c r="G5" s="63" t="n">
        <v>857</v>
      </c>
      <c r="H5" s="63" t="n">
        <v>11900</v>
      </c>
      <c r="I5" s="63"/>
      <c r="J5" s="64" t="n">
        <f aca="false">F5*G5/1000000</f>
        <v>3.47942</v>
      </c>
      <c r="K5" s="12" t="n">
        <f aca="false">E5*J5</f>
        <v>173.971</v>
      </c>
      <c r="L5" s="65" t="n">
        <v>0.85</v>
      </c>
    </row>
    <row r="6" customFormat="false" ht="15" hidden="false" customHeight="false" outlineLevel="0" collapsed="false">
      <c r="A6" s="14" t="n">
        <v>2</v>
      </c>
      <c r="B6" s="61" t="s">
        <v>17</v>
      </c>
      <c r="C6" s="61" t="s">
        <v>3040</v>
      </c>
      <c r="D6" s="61" t="s">
        <v>3041</v>
      </c>
      <c r="E6" s="62" t="n">
        <v>50</v>
      </c>
      <c r="F6" s="63" t="n">
        <v>4060</v>
      </c>
      <c r="G6" s="63" t="n">
        <v>857</v>
      </c>
      <c r="H6" s="63" t="n">
        <v>11900</v>
      </c>
      <c r="I6" s="63"/>
      <c r="J6" s="64" t="n">
        <f aca="false">F6*G6/1000000</f>
        <v>3.47942</v>
      </c>
      <c r="K6" s="12" t="n">
        <f aca="false">E6*J6</f>
        <v>173.971</v>
      </c>
      <c r="L6" s="65"/>
    </row>
    <row r="7" customFormat="false" ht="15" hidden="false" customHeight="false" outlineLevel="0" collapsed="false">
      <c r="A7" s="14" t="n">
        <v>3</v>
      </c>
      <c r="B7" s="61" t="s">
        <v>18</v>
      </c>
      <c r="C7" s="61" t="s">
        <v>3042</v>
      </c>
      <c r="D7" s="61" t="s">
        <v>3043</v>
      </c>
      <c r="E7" s="62" t="n">
        <v>50</v>
      </c>
      <c r="F7" s="63" t="n">
        <v>4060</v>
      </c>
      <c r="G7" s="63" t="n">
        <v>857</v>
      </c>
      <c r="H7" s="63" t="n">
        <v>11900</v>
      </c>
      <c r="I7" s="63"/>
      <c r="J7" s="64" t="n">
        <f aca="false">F7*G7/1000000</f>
        <v>3.47942</v>
      </c>
      <c r="K7" s="12" t="n">
        <f aca="false">E7*J7</f>
        <v>173.971</v>
      </c>
      <c r="L7" s="65"/>
    </row>
    <row r="8" customFormat="false" ht="15" hidden="false" customHeight="false" outlineLevel="0" collapsed="false">
      <c r="A8" s="14" t="s">
        <v>40</v>
      </c>
      <c r="E8" s="66" t="n">
        <f aca="false">SUM(E5:E7)</f>
        <v>150</v>
      </c>
      <c r="H8" s="15" t="n">
        <f aca="false">SUM(H5:H7)</f>
        <v>35700</v>
      </c>
      <c r="K8" s="16" t="n">
        <f aca="false">SUM(K5:K7)</f>
        <v>521.913</v>
      </c>
    </row>
    <row r="10" customFormat="false" ht="15" hidden="false" customHeight="false" outlineLevel="0" collapsed="false">
      <c r="A10" s="41" t="s">
        <v>3044</v>
      </c>
      <c r="I10" s="41" t="s">
        <v>3045</v>
      </c>
    </row>
    <row r="11" customFormat="false" ht="15" hidden="false" customHeight="false" outlineLevel="0" collapsed="false">
      <c r="A11" s="21" t="s">
        <v>3046</v>
      </c>
      <c r="B11" s="65" t="n">
        <v>0.85</v>
      </c>
      <c r="C11" s="30" t="s">
        <v>3047</v>
      </c>
      <c r="I11" s="21" t="s">
        <v>3048</v>
      </c>
      <c r="M11" s="67" t="n">
        <v>747814.699999999</v>
      </c>
    </row>
    <row r="12" customFormat="false" ht="15" hidden="false" customHeight="false" outlineLevel="0" collapsed="false">
      <c r="A12" s="21" t="s">
        <v>3049</v>
      </c>
      <c r="B12" s="65" t="n">
        <v>1</v>
      </c>
      <c r="I12" s="21" t="s">
        <v>3050</v>
      </c>
      <c r="M12" s="67" t="n">
        <f aca="false">SUM(Artikel!$BS$7:$BS$1843)</f>
        <v>68525.75</v>
      </c>
    </row>
    <row r="13" customFormat="false" ht="15" hidden="false" customHeight="false" outlineLevel="0" collapsed="false">
      <c r="I13" s="21" t="s">
        <v>3051</v>
      </c>
      <c r="M13" s="67" t="n">
        <f aca="false">SUMIFS(Artikel!$BS$7:$BS$1843,Artikel!$BQ$7:$BQ$1843,"&gt;0")</f>
        <v>1331182.63</v>
      </c>
    </row>
    <row r="14" customFormat="false" ht="15" hidden="false" customHeight="false" outlineLevel="0" collapsed="false">
      <c r="A14" s="41" t="s">
        <v>3052</v>
      </c>
      <c r="I14" s="21" t="s">
        <v>3053</v>
      </c>
      <c r="M14" s="67" t="n">
        <f aca="false">SUM(Artikel!$I$7:$I$1843)</f>
        <v>3451046.21423</v>
      </c>
    </row>
    <row r="15" customFormat="false" ht="15" hidden="false" customHeight="false" outlineLevel="0" collapsed="false">
      <c r="A15" s="21" t="s">
        <v>3054</v>
      </c>
      <c r="B15" s="68" t="n">
        <v>45658</v>
      </c>
      <c r="C15" s="30" t="s">
        <v>3055</v>
      </c>
      <c r="I15" s="21" t="s">
        <v>3056</v>
      </c>
      <c r="M15" s="25" t="n">
        <f aca="false">COUNTIFS(Artikel!$BQ$7:$BQ$1843,"&lt;0",Artikel!$BV$7:$BV$1843,0)</f>
        <v>711</v>
      </c>
    </row>
    <row r="16" customFormat="false" ht="15" hidden="false" customHeight="false" outlineLevel="0" collapsed="false">
      <c r="A16" s="21" t="s">
        <v>3057</v>
      </c>
      <c r="B16" s="68" t="n">
        <v>46022</v>
      </c>
      <c r="I16" s="21" t="s">
        <v>3058</v>
      </c>
      <c r="M16" s="25" t="n">
        <f aca="false">COUNTIFS(Artikel!$BV$7:$BV$1843,0)</f>
        <v>1737</v>
      </c>
    </row>
    <row r="17" customFormat="false" ht="15" hidden="false" customHeight="false" outlineLevel="0" collapsed="false">
      <c r="A17" s="21" t="s">
        <v>3059</v>
      </c>
      <c r="B17" s="69" t="n">
        <f aca="false">MAX(1,(YEAR(B16)-YEAR(B15))*12+MONTH(B16)-MONTH(B15)+1)</f>
        <v>12</v>
      </c>
      <c r="I17" s="21" t="s">
        <v>3060</v>
      </c>
      <c r="M17" s="21" t="str">
        <f aca="false">COUNT(Artikel!$W$7:$W$1843)&amp;" / "&amp;COUNTIFS(Artikel!$W$7:$W$1843,"&gt;0",Artikel!$BU$7:$BU$1843,"nur im Liftbericht*")</f>
        <v>48 / 1</v>
      </c>
    </row>
    <row r="18" customFormat="false" ht="15" hidden="false" customHeight="false" outlineLevel="0" collapsed="false">
      <c r="A18" s="21" t="s">
        <v>3061</v>
      </c>
      <c r="B18" s="64" t="n">
        <f aca="false">12/B17</f>
        <v>1</v>
      </c>
      <c r="I18" s="21" t="s">
        <v>3062</v>
      </c>
      <c r="M18" s="28" t="n">
        <f aca="false">Szenarien!C5</f>
        <v>1.07200714901345</v>
      </c>
    </row>
    <row r="19" customFormat="false" ht="15" hidden="false" customHeight="false" outlineLevel="0" collapsed="false">
      <c r="A19" s="41" t="s">
        <v>3063</v>
      </c>
      <c r="B19" s="61" t="s">
        <v>3064</v>
      </c>
      <c r="C19" s="30" t="s">
        <v>3065</v>
      </c>
      <c r="I19" s="21" t="s">
        <v>3066</v>
      </c>
      <c r="M19" s="25" t="n">
        <f aca="false">COUNTIFS(Artikel!$BU$7:$BU$1843,"nur im Artikelstamm*")</f>
        <v>272</v>
      </c>
    </row>
    <row r="20" customFormat="false" ht="15" hidden="false" customHeight="false" outlineLevel="0" collapsed="false">
      <c r="A20" s="41" t="s">
        <v>3067</v>
      </c>
      <c r="B20" s="61" t="s">
        <v>3068</v>
      </c>
      <c r="C20" s="30" t="s">
        <v>3069</v>
      </c>
      <c r="I20" s="41" t="s">
        <v>3070</v>
      </c>
    </row>
    <row r="21" customFormat="false" ht="15" hidden="false" customHeight="false" outlineLevel="0" collapsed="false">
      <c r="A21" s="41" t="s">
        <v>3071</v>
      </c>
      <c r="B21" s="61" t="s">
        <v>3064</v>
      </c>
      <c r="C21" s="30" t="s">
        <v>3072</v>
      </c>
      <c r="I21" s="21" t="s">
        <v>3073</v>
      </c>
      <c r="M21" s="65" t="n">
        <v>1</v>
      </c>
    </row>
    <row r="22" customFormat="false" ht="15" hidden="false" customHeight="false" outlineLevel="0" collapsed="false">
      <c r="A22" s="41" t="s">
        <v>3074</v>
      </c>
      <c r="D22" s="41" t="s">
        <v>3075</v>
      </c>
      <c r="I22" s="21" t="s">
        <v>3076</v>
      </c>
      <c r="M22" s="62" t="n">
        <v>2</v>
      </c>
    </row>
    <row r="23" customFormat="false" ht="15" hidden="false" customHeight="false" outlineLevel="0" collapsed="false">
      <c r="A23" s="70" t="n">
        <v>2</v>
      </c>
      <c r="D23" s="21" t="s">
        <v>6</v>
      </c>
      <c r="I23" s="21" t="s">
        <v>3077</v>
      </c>
      <c r="M23" s="62" t="n">
        <v>35</v>
      </c>
    </row>
    <row r="24" customFormat="false" ht="15" hidden="false" customHeight="false" outlineLevel="0" collapsed="false">
      <c r="A24" s="70" t="n">
        <v>2.5</v>
      </c>
      <c r="D24" s="21" t="s">
        <v>8</v>
      </c>
      <c r="I24" s="21" t="s">
        <v>3078</v>
      </c>
      <c r="M24" s="62" t="n">
        <v>235</v>
      </c>
    </row>
    <row r="25" customFormat="false" ht="15" hidden="false" customHeight="false" outlineLevel="0" collapsed="false">
      <c r="A25" s="70" t="n">
        <v>3</v>
      </c>
      <c r="D25" s="21" t="s">
        <v>7</v>
      </c>
      <c r="I25" s="41" t="s">
        <v>3079</v>
      </c>
    </row>
    <row r="26" customFormat="false" ht="23.85" hidden="false" customHeight="false" outlineLevel="0" collapsed="false">
      <c r="A26" s="70" t="n">
        <v>3.5</v>
      </c>
      <c r="I26" s="46" t="s">
        <v>3080</v>
      </c>
      <c r="J26" s="46" t="s">
        <v>3081</v>
      </c>
      <c r="K26" s="46" t="s">
        <v>92</v>
      </c>
      <c r="L26" s="46" t="s">
        <v>3082</v>
      </c>
    </row>
    <row r="27" customFormat="false" ht="15" hidden="false" customHeight="false" outlineLevel="0" collapsed="false">
      <c r="A27" s="70" t="n">
        <v>4</v>
      </c>
      <c r="D27" s="5" t="s">
        <v>3083</v>
      </c>
      <c r="E27" s="61" t="s">
        <v>3064</v>
      </c>
      <c r="I27" s="14" t="s">
        <v>284</v>
      </c>
      <c r="J27" s="61" t="s">
        <v>311</v>
      </c>
      <c r="K27" s="62" t="n">
        <v>20</v>
      </c>
      <c r="L27" s="30" t="s">
        <v>3084</v>
      </c>
    </row>
    <row r="28" customFormat="false" ht="15" hidden="false" customHeight="false" outlineLevel="0" collapsed="false">
      <c r="A28" s="70" t="n">
        <v>5</v>
      </c>
      <c r="D28" s="30" t="s">
        <v>3085</v>
      </c>
      <c r="I28" s="14" t="s">
        <v>188</v>
      </c>
      <c r="J28" s="61" t="s">
        <v>195</v>
      </c>
      <c r="K28" s="62" t="n">
        <v>4</v>
      </c>
      <c r="L28" s="30" t="s">
        <v>3086</v>
      </c>
    </row>
    <row r="29" customFormat="false" ht="15" hidden="false" customHeight="false" outlineLevel="0" collapsed="false">
      <c r="A29" s="70" t="n">
        <v>6</v>
      </c>
      <c r="I29" s="14" t="s">
        <v>198</v>
      </c>
      <c r="J29" s="61" t="s">
        <v>232</v>
      </c>
      <c r="K29" s="62" t="n">
        <v>2</v>
      </c>
      <c r="L29" s="30" t="s">
        <v>3087</v>
      </c>
    </row>
    <row r="30" customFormat="false" ht="15" hidden="false" customHeight="false" outlineLevel="0" collapsed="false">
      <c r="A30" s="70" t="n">
        <v>8</v>
      </c>
      <c r="D30" s="5" t="s">
        <v>3088</v>
      </c>
      <c r="E30" s="61" t="s">
        <v>86</v>
      </c>
      <c r="I30" s="30" t="s">
        <v>3089</v>
      </c>
    </row>
    <row r="31" customFormat="false" ht="15" hidden="false" customHeight="false" outlineLevel="0" collapsed="false">
      <c r="D31" s="30" t="s">
        <v>3090</v>
      </c>
    </row>
    <row r="32" customFormat="false" ht="15" hidden="false" customHeight="false" outlineLevel="0" collapsed="false">
      <c r="A32" s="41" t="s">
        <v>3091</v>
      </c>
      <c r="F32" s="41" t="s">
        <v>3092</v>
      </c>
      <c r="I32" s="41" t="s">
        <v>3093</v>
      </c>
    </row>
    <row r="33" customFormat="false" ht="15" hidden="false" customHeight="false" outlineLevel="0" collapsed="false">
      <c r="A33" s="30" t="s">
        <v>3094</v>
      </c>
      <c r="F33" s="30" t="s">
        <v>3095</v>
      </c>
    </row>
    <row r="34" customFormat="false" ht="15" hidden="false" customHeight="false" outlineLevel="0" collapsed="false">
      <c r="A34" s="46" t="s">
        <v>80</v>
      </c>
      <c r="B34" s="46" t="s">
        <v>3029</v>
      </c>
      <c r="C34" s="46" t="s">
        <v>3096</v>
      </c>
      <c r="F34" s="31" t="s">
        <v>3097</v>
      </c>
      <c r="G34" s="31" t="s">
        <v>3029</v>
      </c>
      <c r="I34" s="31" t="s">
        <v>81</v>
      </c>
      <c r="J34" s="31" t="s">
        <v>3029</v>
      </c>
    </row>
    <row r="35" customFormat="false" ht="15" hidden="false" customHeight="false" outlineLevel="0" collapsed="false">
      <c r="A35" s="61" t="s">
        <v>174</v>
      </c>
      <c r="B35" s="71" t="n">
        <v>1</v>
      </c>
      <c r="C35" s="72" t="n">
        <v>1</v>
      </c>
      <c r="F35" s="61" t="s">
        <v>410</v>
      </c>
      <c r="G35" s="71" t="n">
        <v>3</v>
      </c>
      <c r="I35" s="61" t="s">
        <v>175</v>
      </c>
      <c r="J35" s="71" t="n">
        <v>1</v>
      </c>
    </row>
    <row r="36" customFormat="false" ht="15" hidden="false" customHeight="false" outlineLevel="0" collapsed="false">
      <c r="A36" s="61" t="s">
        <v>193</v>
      </c>
      <c r="B36" s="71" t="s">
        <v>3098</v>
      </c>
      <c r="C36" s="72" t="n">
        <v>0.03</v>
      </c>
      <c r="F36" s="61" t="s">
        <v>435</v>
      </c>
      <c r="G36" s="71" t="n">
        <v>3</v>
      </c>
      <c r="I36" s="61" t="s">
        <v>194</v>
      </c>
      <c r="J36" s="71" t="s">
        <v>3098</v>
      </c>
    </row>
    <row r="37" customFormat="false" ht="15" hidden="false" customHeight="false" outlineLevel="0" collapsed="false">
      <c r="A37" s="61" t="s">
        <v>182</v>
      </c>
      <c r="B37" s="71" t="s">
        <v>3098</v>
      </c>
      <c r="C37" s="72" t="n">
        <v>0.15</v>
      </c>
      <c r="F37" s="61" t="s">
        <v>430</v>
      </c>
      <c r="G37" s="71" t="n">
        <v>3</v>
      </c>
      <c r="I37" s="61" t="s">
        <v>182</v>
      </c>
      <c r="J37" s="71" t="s">
        <v>3099</v>
      </c>
    </row>
    <row r="38" customFormat="false" ht="15" hidden="false" customHeight="false" outlineLevel="0" collapsed="false">
      <c r="A38" s="61" t="s">
        <v>3024</v>
      </c>
      <c r="B38" s="71" t="s">
        <v>3098</v>
      </c>
      <c r="C38" s="72" t="n">
        <v>0.15</v>
      </c>
      <c r="F38" s="61" t="s">
        <v>485</v>
      </c>
      <c r="G38" s="71" t="n">
        <v>3</v>
      </c>
      <c r="I38" s="61" t="s">
        <v>3100</v>
      </c>
      <c r="J38" s="71" t="s">
        <v>3099</v>
      </c>
    </row>
    <row r="39" customFormat="false" ht="15" hidden="false" customHeight="false" outlineLevel="0" collapsed="false">
      <c r="A39" s="61" t="s">
        <v>1004</v>
      </c>
      <c r="B39" s="71" t="s">
        <v>3099</v>
      </c>
      <c r="C39" s="72" t="n">
        <v>0.15</v>
      </c>
      <c r="F39" s="61" t="s">
        <v>337</v>
      </c>
      <c r="G39" s="71" t="n">
        <v>3</v>
      </c>
      <c r="I39" s="61" t="s">
        <v>1488</v>
      </c>
      <c r="J39" s="71" t="s">
        <v>3099</v>
      </c>
    </row>
    <row r="40" customFormat="false" ht="15" hidden="false" customHeight="false" outlineLevel="0" collapsed="false">
      <c r="A40" s="61" t="s">
        <v>362</v>
      </c>
      <c r="B40" s="71" t="s">
        <v>3099</v>
      </c>
      <c r="C40" s="72" t="n">
        <v>0.15</v>
      </c>
      <c r="F40" s="61" t="s">
        <v>311</v>
      </c>
      <c r="G40" s="71" t="n">
        <v>3</v>
      </c>
      <c r="I40" s="61" t="s">
        <v>474</v>
      </c>
      <c r="J40" s="71" t="s">
        <v>3099</v>
      </c>
    </row>
    <row r="41" customFormat="false" ht="15" hidden="false" customHeight="false" outlineLevel="0" collapsed="false">
      <c r="A41" s="61" t="s">
        <v>859</v>
      </c>
      <c r="B41" s="71" t="s">
        <v>3099</v>
      </c>
      <c r="C41" s="72" t="n">
        <v>0.15</v>
      </c>
      <c r="F41" s="61" t="s">
        <v>242</v>
      </c>
      <c r="G41" s="71" t="n">
        <v>3</v>
      </c>
      <c r="I41" s="61" t="s">
        <v>379</v>
      </c>
      <c r="J41" s="71" t="s">
        <v>3099</v>
      </c>
    </row>
    <row r="42" customFormat="false" ht="15" hidden="false" customHeight="false" outlineLevel="0" collapsed="false">
      <c r="A42" s="61" t="s">
        <v>1348</v>
      </c>
      <c r="B42" s="71" t="s">
        <v>3099</v>
      </c>
      <c r="C42" s="72" t="n">
        <v>0.15</v>
      </c>
      <c r="F42" s="61" t="s">
        <v>195</v>
      </c>
      <c r="G42" s="71" t="n">
        <v>2</v>
      </c>
      <c r="I42" s="61" t="s">
        <v>1417</v>
      </c>
      <c r="J42" s="71" t="s">
        <v>3099</v>
      </c>
    </row>
    <row r="43" customFormat="false" ht="15" hidden="false" customHeight="false" outlineLevel="0" collapsed="false">
      <c r="A43" s="61" t="s">
        <v>1481</v>
      </c>
      <c r="B43" s="71" t="s">
        <v>3099</v>
      </c>
      <c r="C43" s="72" t="n">
        <v>0.15</v>
      </c>
      <c r="F43" s="61" t="s">
        <v>302</v>
      </c>
      <c r="G43" s="71" t="n">
        <v>2</v>
      </c>
      <c r="I43" s="61" t="s">
        <v>2427</v>
      </c>
      <c r="J43" s="71" t="s">
        <v>3099</v>
      </c>
    </row>
    <row r="44" customFormat="false" ht="15" hidden="false" customHeight="false" outlineLevel="0" collapsed="false">
      <c r="A44" s="61" t="s">
        <v>3101</v>
      </c>
      <c r="B44" s="71" t="s">
        <v>3099</v>
      </c>
      <c r="C44" s="72" t="n">
        <v>0.15</v>
      </c>
      <c r="F44" s="61" t="s">
        <v>235</v>
      </c>
      <c r="G44" s="71" t="n">
        <v>2</v>
      </c>
      <c r="I44" s="61" t="s">
        <v>2257</v>
      </c>
      <c r="J44" s="71" t="s">
        <v>3099</v>
      </c>
    </row>
    <row r="45" customFormat="false" ht="15" hidden="false" customHeight="false" outlineLevel="0" collapsed="false">
      <c r="A45" s="61" t="s">
        <v>3102</v>
      </c>
      <c r="B45" s="71" t="s">
        <v>3099</v>
      </c>
      <c r="C45" s="72" t="n">
        <v>0.15</v>
      </c>
      <c r="F45" s="61" t="s">
        <v>183</v>
      </c>
      <c r="G45" s="71" t="n">
        <v>2</v>
      </c>
      <c r="I45" s="61"/>
      <c r="J45" s="71"/>
    </row>
    <row r="46" customFormat="false" ht="15" hidden="false" customHeight="false" outlineLevel="0" collapsed="false">
      <c r="A46" s="61" t="s">
        <v>3103</v>
      </c>
      <c r="B46" s="71" t="s">
        <v>3099</v>
      </c>
      <c r="C46" s="72" t="n">
        <v>0.15</v>
      </c>
      <c r="F46" s="61" t="s">
        <v>268</v>
      </c>
      <c r="G46" s="71" t="n">
        <v>2</v>
      </c>
      <c r="I46" s="61"/>
      <c r="J46" s="71"/>
    </row>
    <row r="47" customFormat="false" ht="15" hidden="false" customHeight="false" outlineLevel="0" collapsed="false">
      <c r="A47" s="61" t="s">
        <v>3104</v>
      </c>
      <c r="B47" s="71" t="s">
        <v>3099</v>
      </c>
      <c r="C47" s="72" t="n">
        <v>0.15</v>
      </c>
      <c r="F47" s="61" t="s">
        <v>3105</v>
      </c>
      <c r="G47" s="71" t="n">
        <v>2</v>
      </c>
      <c r="I47" s="61"/>
      <c r="J47" s="71"/>
    </row>
    <row r="48" customFormat="false" ht="15" hidden="false" customHeight="false" outlineLevel="0" collapsed="false">
      <c r="A48" s="61" t="s">
        <v>3106</v>
      </c>
      <c r="B48" s="71" t="s">
        <v>3099</v>
      </c>
      <c r="C48" s="72" t="n">
        <v>0.15</v>
      </c>
      <c r="F48" s="61" t="s">
        <v>232</v>
      </c>
      <c r="G48" s="71" t="n">
        <v>2</v>
      </c>
      <c r="I48" s="61"/>
      <c r="J48" s="71"/>
    </row>
    <row r="49" customFormat="false" ht="15" hidden="false" customHeight="false" outlineLevel="0" collapsed="false">
      <c r="A49" s="61" t="s">
        <v>1397</v>
      </c>
      <c r="B49" s="71" t="s">
        <v>3099</v>
      </c>
      <c r="C49" s="72" t="n">
        <v>0.15</v>
      </c>
      <c r="F49" s="61" t="s">
        <v>357</v>
      </c>
      <c r="G49" s="71" t="n">
        <v>2</v>
      </c>
      <c r="I49" s="61"/>
      <c r="J49" s="71"/>
    </row>
    <row r="50" customFormat="false" ht="15" hidden="false" customHeight="false" outlineLevel="0" collapsed="false">
      <c r="A50" s="61"/>
      <c r="B50" s="71"/>
      <c r="C50" s="72"/>
      <c r="F50" s="61" t="s">
        <v>3107</v>
      </c>
      <c r="G50" s="71" t="n">
        <v>2</v>
      </c>
      <c r="I50" s="61"/>
      <c r="J50" s="71"/>
    </row>
    <row r="51" customFormat="false" ht="15" hidden="false" customHeight="false" outlineLevel="0" collapsed="false">
      <c r="A51" s="61"/>
      <c r="B51" s="71"/>
      <c r="C51" s="72"/>
      <c r="F51" s="61" t="s">
        <v>3108</v>
      </c>
      <c r="G51" s="71" t="n">
        <v>2</v>
      </c>
      <c r="I51" s="61"/>
      <c r="J51" s="71"/>
    </row>
    <row r="52" customFormat="false" ht="15" hidden="false" customHeight="false" outlineLevel="0" collapsed="false">
      <c r="A52" s="61"/>
      <c r="B52" s="71"/>
      <c r="C52" s="72"/>
      <c r="F52" s="61" t="s">
        <v>3109</v>
      </c>
      <c r="G52" s="71" t="n">
        <v>2</v>
      </c>
      <c r="I52" s="61"/>
      <c r="J52" s="71"/>
    </row>
    <row r="53" customFormat="false" ht="15" hidden="false" customHeight="false" outlineLevel="0" collapsed="false">
      <c r="A53" s="61"/>
      <c r="B53" s="71"/>
      <c r="C53" s="72"/>
      <c r="F53" s="61" t="s">
        <v>3110</v>
      </c>
      <c r="G53" s="71" t="n">
        <v>2</v>
      </c>
    </row>
    <row r="54" customFormat="false" ht="15" hidden="false" customHeight="false" outlineLevel="0" collapsed="false">
      <c r="A54" s="61"/>
      <c r="B54" s="71"/>
      <c r="C54" s="72"/>
      <c r="F54" s="61" t="s">
        <v>3111</v>
      </c>
      <c r="G54" s="71" t="n">
        <v>2</v>
      </c>
    </row>
    <row r="55" customFormat="false" ht="15" hidden="false" customHeight="false" outlineLevel="0" collapsed="false">
      <c r="A55" s="61"/>
      <c r="B55" s="71"/>
      <c r="C55" s="72"/>
      <c r="F55" s="61" t="s">
        <v>3112</v>
      </c>
      <c r="G55" s="71" t="n">
        <v>2</v>
      </c>
    </row>
    <row r="56" customFormat="false" ht="15" hidden="false" customHeight="false" outlineLevel="0" collapsed="false">
      <c r="A56" s="61"/>
      <c r="B56" s="71"/>
      <c r="C56" s="72"/>
      <c r="F56" s="61" t="s">
        <v>3113</v>
      </c>
      <c r="G56" s="71" t="n">
        <v>2</v>
      </c>
    </row>
    <row r="57" customFormat="false" ht="15" hidden="false" customHeight="false" outlineLevel="0" collapsed="false">
      <c r="A57" s="61"/>
      <c r="B57" s="71"/>
      <c r="C57" s="72"/>
      <c r="F57" s="61" t="s">
        <v>177</v>
      </c>
      <c r="G57" s="71" t="n">
        <v>2</v>
      </c>
    </row>
    <row r="58" customFormat="false" ht="15" hidden="false" customHeight="false" outlineLevel="0" collapsed="false">
      <c r="A58" s="61"/>
      <c r="B58" s="71"/>
      <c r="C58" s="72"/>
      <c r="F58" s="61"/>
      <c r="G58" s="71"/>
    </row>
    <row r="59" customFormat="false" ht="15" hidden="false" customHeight="false" outlineLevel="0" collapsed="false">
      <c r="A59" s="61"/>
      <c r="B59" s="71"/>
      <c r="C59" s="72"/>
      <c r="F59" s="61"/>
      <c r="G59" s="71"/>
    </row>
    <row r="60" customFormat="false" ht="15" hidden="false" customHeight="false" outlineLevel="0" collapsed="false">
      <c r="A60" s="61"/>
      <c r="B60" s="71"/>
      <c r="C60" s="72"/>
      <c r="F60" s="61"/>
      <c r="G60" s="71"/>
    </row>
    <row r="61" customFormat="false" ht="15" hidden="false" customHeight="false" outlineLevel="0" collapsed="false">
      <c r="A61" s="61"/>
      <c r="B61" s="71"/>
      <c r="C61" s="72"/>
      <c r="F61" s="61"/>
      <c r="G61" s="71"/>
    </row>
    <row r="62" customFormat="false" ht="15" hidden="false" customHeight="false" outlineLevel="0" collapsed="false">
      <c r="A62" s="61"/>
      <c r="B62" s="71"/>
      <c r="C62" s="72"/>
      <c r="F62" s="61"/>
      <c r="G62" s="71"/>
    </row>
    <row r="63" customFormat="false" ht="15" hidden="false" customHeight="false" outlineLevel="0" collapsed="false">
      <c r="A63" s="61"/>
      <c r="B63" s="71"/>
      <c r="C63" s="72"/>
      <c r="F63" s="61"/>
      <c r="G63" s="71"/>
    </row>
    <row r="64" customFormat="false" ht="15" hidden="false" customHeight="false" outlineLevel="0" collapsed="false">
      <c r="A64" s="61"/>
      <c r="B64" s="71"/>
      <c r="C64" s="72"/>
      <c r="F64" s="61"/>
      <c r="G64" s="71"/>
    </row>
  </sheetData>
  <dataValidations count="10">
    <dataValidation allowBlank="false" error="Anzahl Tablare 40–60" errorStyle="stop" operator="between" showDropDown="false" showErrorMessage="false" showInputMessage="false" sqref="E5:E7" type="whole">
      <formula1>40</formula1>
      <formula2>60</formula2>
    </dataValidation>
    <dataValidation allowBlank="false" errorStyle="stop" operator="between" showDropDown="false" showErrorMessage="false" showInputMessage="false" sqref="B19" type="list">
      <formula1>"Ja,Nein"</formula1>
      <formula2>0</formula2>
    </dataValidation>
    <dataValidation allowBlank="true" errorStyle="stop" operator="between" showDropDown="false" showErrorMessage="false" showInputMessage="false" sqref="J35:J52" type="list">
      <formula1>"1,2,3,2+3,Nein"</formula1>
      <formula2>0</formula2>
    </dataValidation>
    <dataValidation allowBlank="false" errorStyle="stop" operator="between" showDropDown="false" showErrorMessage="false" showInputMessage="false" sqref="B20" type="list">
      <formula1>"Export (Bestandsmenge),Jahresanfang 2025 + Export"</formula1>
      <formula2>0</formula2>
    </dataValidation>
    <dataValidation allowBlank="false" errorStyle="stop" operator="between" showDropDown="false" showErrorMessage="false" showInputMessage="false" sqref="B21" type="list">
      <formula1>"Ja,Nein"</formula1>
      <formula2>0</formula2>
    </dataValidation>
    <dataValidation allowBlank="true" errorStyle="stop" operator="between" showDropDown="false" showErrorMessage="false" showInputMessage="false" sqref="B35:B64" type="list">
      <formula1>"1,2,3,2+3,Nein"</formula1>
      <formula2>0</formula2>
    </dataValidation>
    <dataValidation allowBlank="true" errorStyle="stop" operator="between" showDropDown="false" showErrorMessage="false" showInputMessage="false" sqref="G35:G64" type="list">
      <formula1>"2,3"</formula1>
      <formula2>0</formula2>
    </dataValidation>
    <dataValidation allowBlank="false" errorStyle="stop" operator="between" showDropDown="false" showErrorMessage="false" showInputMessage="false" sqref="M22" type="list">
      <formula1>"1,2,3"</formula1>
      <formula2>0</formula2>
    </dataValidation>
    <dataValidation allowBlank="false" errorStyle="stop" operator="between" showDropDown="false" showErrorMessage="false" showInputMessage="false" sqref="E27" type="list">
      <formula1>"Ja,Nein"</formula1>
      <formula2>0</formula2>
    </dataValidation>
    <dataValidation allowBlank="false" errorStyle="stop" operator="between" showDropDown="false" showErrorMessage="false" showInputMessage="false" sqref="E30" type="list">
      <formula1>"Ø-Bestand,MAX-Bestand"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9" t="s">
        <v>3114</v>
      </c>
    </row>
    <row r="2" customFormat="false" ht="15" hidden="false" customHeight="false" outlineLevel="0" collapsed="false">
      <c r="A2" s="30" t="s">
        <v>3115</v>
      </c>
    </row>
    <row r="3" customFormat="false" ht="15" hidden="false" customHeight="false" outlineLevel="0" collapsed="false">
      <c r="A3" s="3" t="s">
        <v>3116</v>
      </c>
    </row>
    <row r="4" customFormat="false" ht="42" hidden="false" customHeight="true" outlineLevel="0" collapsed="false">
      <c r="A4" s="46" t="s">
        <v>77</v>
      </c>
      <c r="B4" s="46" t="s">
        <v>78</v>
      </c>
      <c r="C4" s="46" t="s">
        <v>3117</v>
      </c>
      <c r="D4" s="46" t="s">
        <v>63</v>
      </c>
      <c r="E4" s="46" t="s">
        <v>88</v>
      </c>
      <c r="F4" s="46" t="s">
        <v>89</v>
      </c>
      <c r="G4" s="46" t="s">
        <v>83</v>
      </c>
      <c r="H4" s="46" t="s">
        <v>3118</v>
      </c>
      <c r="I4" s="46" t="s">
        <v>92</v>
      </c>
      <c r="J4" s="46" t="s">
        <v>3119</v>
      </c>
    </row>
    <row r="5" customFormat="false" ht="15" hidden="false" customHeight="false" outlineLevel="0" collapsed="false">
      <c r="A5" s="61"/>
      <c r="B5" s="61"/>
      <c r="C5" s="61"/>
      <c r="D5" s="61"/>
      <c r="E5" s="61"/>
      <c r="F5" s="61"/>
      <c r="G5" s="61"/>
      <c r="H5" s="61"/>
      <c r="I5" s="61"/>
      <c r="J5" s="61"/>
    </row>
    <row r="6" customFormat="false" ht="15" hidden="false" customHeight="false" outlineLevel="0" collapsed="false">
      <c r="A6" s="61"/>
      <c r="B6" s="61"/>
      <c r="C6" s="61"/>
      <c r="D6" s="61"/>
      <c r="E6" s="61"/>
      <c r="F6" s="61"/>
      <c r="G6" s="61"/>
      <c r="H6" s="61"/>
      <c r="I6" s="61"/>
      <c r="J6" s="61"/>
    </row>
    <row r="7" customFormat="false" ht="15" hidden="false" customHeight="false" outlineLevel="0" collapsed="false">
      <c r="A7" s="61"/>
      <c r="B7" s="61"/>
      <c r="C7" s="61"/>
      <c r="D7" s="61"/>
      <c r="E7" s="61"/>
      <c r="F7" s="61"/>
      <c r="G7" s="61"/>
      <c r="H7" s="61"/>
      <c r="I7" s="61"/>
      <c r="J7" s="61"/>
    </row>
    <row r="8" customFormat="false" ht="15" hidden="false" customHeight="false" outlineLevel="0" collapsed="false">
      <c r="A8" s="61"/>
      <c r="B8" s="61"/>
      <c r="C8" s="61"/>
      <c r="D8" s="61"/>
      <c r="E8" s="61"/>
      <c r="F8" s="61"/>
      <c r="G8" s="61"/>
      <c r="H8" s="61"/>
      <c r="I8" s="61"/>
      <c r="J8" s="61"/>
    </row>
    <row r="9" customFormat="false" ht="15" hidden="false" customHeight="false" outlineLevel="0" collapsed="false">
      <c r="A9" s="61"/>
      <c r="B9" s="61"/>
      <c r="C9" s="61"/>
      <c r="D9" s="61"/>
      <c r="E9" s="61"/>
      <c r="F9" s="61"/>
      <c r="G9" s="61"/>
      <c r="H9" s="61"/>
      <c r="I9" s="61"/>
      <c r="J9" s="61"/>
    </row>
    <row r="10" customFormat="false" ht="15" hidden="false" customHeight="false" outlineLevel="0" collapsed="false">
      <c r="A10" s="61"/>
      <c r="B10" s="61"/>
      <c r="C10" s="61"/>
      <c r="D10" s="61"/>
      <c r="E10" s="61"/>
      <c r="F10" s="61"/>
      <c r="G10" s="61"/>
      <c r="H10" s="61"/>
      <c r="I10" s="61"/>
      <c r="J10" s="61"/>
    </row>
    <row r="11" customFormat="false" ht="15" hidden="false" customHeight="false" outlineLevel="0" collapsed="false">
      <c r="A11" s="61"/>
      <c r="B11" s="61"/>
      <c r="C11" s="61"/>
      <c r="D11" s="61"/>
      <c r="E11" s="61"/>
      <c r="F11" s="61"/>
      <c r="G11" s="61"/>
      <c r="H11" s="61"/>
      <c r="I11" s="61"/>
      <c r="J11" s="61"/>
    </row>
    <row r="12" customFormat="false" ht="15" hidden="false" customHeight="false" outlineLevel="0" collapsed="false">
      <c r="A12" s="61"/>
      <c r="B12" s="61"/>
      <c r="C12" s="61"/>
      <c r="D12" s="61"/>
      <c r="E12" s="61"/>
      <c r="F12" s="61"/>
      <c r="G12" s="61"/>
      <c r="H12" s="61"/>
      <c r="I12" s="61"/>
      <c r="J12" s="61"/>
    </row>
    <row r="13" customFormat="false" ht="15" hidden="false" customHeight="false" outlineLevel="0" collapsed="false">
      <c r="A13" s="61"/>
      <c r="B13" s="61"/>
      <c r="C13" s="61"/>
      <c r="D13" s="61"/>
      <c r="E13" s="61"/>
      <c r="F13" s="61"/>
      <c r="G13" s="61"/>
      <c r="H13" s="61"/>
      <c r="I13" s="61"/>
      <c r="J13" s="61"/>
    </row>
    <row r="14" customFormat="false" ht="15" hidden="false" customHeight="false" outlineLevel="0" collapsed="false">
      <c r="A14" s="61"/>
      <c r="B14" s="61"/>
      <c r="C14" s="61"/>
      <c r="D14" s="61"/>
      <c r="E14" s="61"/>
      <c r="F14" s="61"/>
      <c r="G14" s="61"/>
      <c r="H14" s="61"/>
      <c r="I14" s="61"/>
      <c r="J14" s="61"/>
    </row>
    <row r="15" customFormat="false" ht="15" hidden="false" customHeight="fals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customFormat="false" ht="15" hidden="false" customHeight="false" outlineLevel="0" collapsed="false">
      <c r="A16" s="61"/>
      <c r="B16" s="61"/>
      <c r="C16" s="61"/>
      <c r="D16" s="61"/>
      <c r="E16" s="61"/>
      <c r="F16" s="61"/>
      <c r="G16" s="61"/>
      <c r="H16" s="61"/>
      <c r="I16" s="61"/>
      <c r="J16" s="61"/>
    </row>
    <row r="17" customFormat="false" ht="15" hidden="false" customHeight="false" outlineLevel="0" collapsed="false">
      <c r="A17" s="61"/>
      <c r="B17" s="61"/>
      <c r="C17" s="61"/>
      <c r="D17" s="61"/>
      <c r="E17" s="61"/>
      <c r="F17" s="61"/>
      <c r="G17" s="61"/>
      <c r="H17" s="61"/>
      <c r="I17" s="61"/>
      <c r="J17" s="61"/>
    </row>
    <row r="18" customFormat="false" ht="15" hidden="false" customHeight="false" outlineLevel="0" collapsed="false">
      <c r="A18" s="61"/>
      <c r="B18" s="61"/>
      <c r="C18" s="61"/>
      <c r="D18" s="61"/>
      <c r="E18" s="61"/>
      <c r="F18" s="61"/>
      <c r="G18" s="61"/>
      <c r="H18" s="61"/>
      <c r="I18" s="61"/>
      <c r="J18" s="61"/>
    </row>
    <row r="19" customFormat="false" ht="15" hidden="false" customHeight="false" outlineLevel="0" collapsed="false">
      <c r="A19" s="61"/>
      <c r="B19" s="61"/>
      <c r="C19" s="61"/>
      <c r="D19" s="61"/>
      <c r="E19" s="61"/>
      <c r="F19" s="61"/>
      <c r="G19" s="61"/>
      <c r="H19" s="61"/>
      <c r="I19" s="61"/>
      <c r="J19" s="61"/>
    </row>
    <row r="20" customFormat="false" ht="15" hidden="false" customHeight="false" outlineLevel="0" collapsed="false">
      <c r="A20" s="61"/>
      <c r="B20" s="61"/>
      <c r="C20" s="61"/>
      <c r="D20" s="61"/>
      <c r="E20" s="61"/>
      <c r="F20" s="61"/>
      <c r="G20" s="61"/>
      <c r="H20" s="61"/>
      <c r="I20" s="61"/>
      <c r="J20" s="61"/>
    </row>
    <row r="21" customFormat="false" ht="15" hidden="false" customHeight="false" outlineLevel="0" collapsed="false">
      <c r="A21" s="61"/>
      <c r="B21" s="61"/>
      <c r="C21" s="61"/>
      <c r="D21" s="61"/>
      <c r="E21" s="61"/>
      <c r="F21" s="61"/>
      <c r="G21" s="61"/>
      <c r="H21" s="61"/>
      <c r="I21" s="61"/>
      <c r="J21" s="61"/>
    </row>
    <row r="22" customFormat="false" ht="15" hidden="false" customHeight="false" outlineLevel="0" collapsed="false">
      <c r="A22" s="61"/>
      <c r="B22" s="61"/>
      <c r="C22" s="61"/>
      <c r="D22" s="61"/>
      <c r="E22" s="61"/>
      <c r="F22" s="61"/>
      <c r="G22" s="61"/>
      <c r="H22" s="61"/>
      <c r="I22" s="61"/>
      <c r="J22" s="61"/>
    </row>
    <row r="23" customFormat="false" ht="15" hidden="false" customHeight="false" outlineLevel="0" collapsed="false">
      <c r="A23" s="61"/>
      <c r="B23" s="61"/>
      <c r="C23" s="61"/>
      <c r="D23" s="61"/>
      <c r="E23" s="61"/>
      <c r="F23" s="61"/>
      <c r="G23" s="61"/>
      <c r="H23" s="61"/>
      <c r="I23" s="61"/>
      <c r="J23" s="61"/>
    </row>
    <row r="24" customFormat="false" ht="15" hidden="false" customHeight="fals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false" outlineLevel="0" collapsed="false">
      <c r="A25" s="61"/>
      <c r="B25" s="61"/>
      <c r="C25" s="61"/>
      <c r="D25" s="61"/>
      <c r="E25" s="61"/>
      <c r="F25" s="61"/>
      <c r="G25" s="61"/>
      <c r="H25" s="61"/>
      <c r="I25" s="61"/>
      <c r="J25" s="61"/>
    </row>
    <row r="26" customFormat="false" ht="15" hidden="false" customHeight="false" outlineLevel="0" collapsed="false">
      <c r="A26" s="61"/>
      <c r="B26" s="61"/>
      <c r="C26" s="61"/>
      <c r="D26" s="61"/>
      <c r="E26" s="61"/>
      <c r="F26" s="61"/>
      <c r="G26" s="61"/>
      <c r="H26" s="61"/>
      <c r="I26" s="61"/>
      <c r="J26" s="61"/>
    </row>
    <row r="27" customFormat="false" ht="15" hidden="false" customHeight="false" outlineLevel="0" collapsed="false">
      <c r="A27" s="61"/>
      <c r="B27" s="61"/>
      <c r="C27" s="61"/>
      <c r="D27" s="61"/>
      <c r="E27" s="61"/>
      <c r="F27" s="61"/>
      <c r="G27" s="61"/>
      <c r="H27" s="61"/>
      <c r="I27" s="61"/>
      <c r="J27" s="61"/>
    </row>
    <row r="28" customFormat="false" ht="15" hidden="false" customHeight="false" outlineLevel="0" collapsed="false">
      <c r="A28" s="61"/>
      <c r="B28" s="61"/>
      <c r="C28" s="61"/>
      <c r="D28" s="61"/>
      <c r="E28" s="61"/>
      <c r="F28" s="61"/>
      <c r="G28" s="61"/>
      <c r="H28" s="61"/>
      <c r="I28" s="61"/>
      <c r="J28" s="61"/>
    </row>
    <row r="29" customFormat="false" ht="15" hidden="false" customHeight="false" outlineLevel="0" collapsed="false">
      <c r="A29" s="61"/>
      <c r="B29" s="61"/>
      <c r="C29" s="61"/>
      <c r="D29" s="61"/>
      <c r="E29" s="61"/>
      <c r="F29" s="61"/>
      <c r="G29" s="61"/>
      <c r="H29" s="61"/>
      <c r="I29" s="61"/>
      <c r="J29" s="61"/>
    </row>
    <row r="30" customFormat="false" ht="15" hidden="false" customHeight="false" outlineLevel="0" collapsed="false">
      <c r="A30" s="61"/>
      <c r="B30" s="61"/>
      <c r="C30" s="61"/>
      <c r="D30" s="61"/>
      <c r="E30" s="61"/>
      <c r="F30" s="61"/>
      <c r="G30" s="61"/>
      <c r="H30" s="61"/>
      <c r="I30" s="61"/>
      <c r="J30" s="61"/>
    </row>
    <row r="31" customFormat="false" ht="15" hidden="false" customHeight="false" outlineLevel="0" collapsed="false">
      <c r="A31" s="61"/>
      <c r="B31" s="61"/>
      <c r="C31" s="61"/>
      <c r="D31" s="61"/>
      <c r="E31" s="61"/>
      <c r="F31" s="61"/>
      <c r="G31" s="61"/>
      <c r="H31" s="61"/>
      <c r="I31" s="61"/>
      <c r="J31" s="61"/>
    </row>
    <row r="32" customFormat="false" ht="15" hidden="false" customHeight="false" outlineLevel="0" collapsed="false">
      <c r="A32" s="61"/>
      <c r="B32" s="61"/>
      <c r="C32" s="61"/>
      <c r="D32" s="61"/>
      <c r="E32" s="61"/>
      <c r="F32" s="61"/>
      <c r="G32" s="61"/>
      <c r="H32" s="61"/>
      <c r="I32" s="61"/>
      <c r="J32" s="61"/>
    </row>
    <row r="33" customFormat="false" ht="15" hidden="false" customHeight="false" outlineLevel="0" collapsed="false">
      <c r="A33" s="61"/>
      <c r="B33" s="61"/>
      <c r="C33" s="61"/>
      <c r="D33" s="61"/>
      <c r="E33" s="61"/>
      <c r="F33" s="61"/>
      <c r="G33" s="61"/>
      <c r="H33" s="61"/>
      <c r="I33" s="61"/>
      <c r="J33" s="61"/>
    </row>
    <row r="34" customFormat="false" ht="15" hidden="false" customHeight="false" outlineLevel="0" collapsed="false">
      <c r="A34" s="61"/>
      <c r="B34" s="61"/>
      <c r="C34" s="61"/>
      <c r="D34" s="61"/>
      <c r="E34" s="61"/>
      <c r="F34" s="61"/>
      <c r="G34" s="61"/>
      <c r="H34" s="61"/>
      <c r="I34" s="61"/>
      <c r="J34" s="61"/>
    </row>
    <row r="35" customFormat="false" ht="15" hidden="false" customHeight="false" outlineLevel="0" collapsed="false">
      <c r="A35" s="61"/>
      <c r="B35" s="61"/>
      <c r="C35" s="61"/>
      <c r="D35" s="61"/>
      <c r="E35" s="61"/>
      <c r="F35" s="61"/>
      <c r="G35" s="61"/>
      <c r="H35" s="61"/>
      <c r="I35" s="61"/>
      <c r="J35" s="61"/>
    </row>
    <row r="36" customFormat="false" ht="15" hidden="false" customHeight="false" outlineLevel="0" collapsed="false">
      <c r="A36" s="61"/>
      <c r="B36" s="61"/>
      <c r="C36" s="61"/>
      <c r="D36" s="61"/>
      <c r="E36" s="61"/>
      <c r="F36" s="61"/>
      <c r="G36" s="61"/>
      <c r="H36" s="61"/>
      <c r="I36" s="61"/>
      <c r="J36" s="61"/>
    </row>
    <row r="37" customFormat="false" ht="15" hidden="false" customHeight="false" outlineLevel="0" collapsed="false">
      <c r="A37" s="61"/>
      <c r="B37" s="61"/>
      <c r="C37" s="61"/>
      <c r="D37" s="61"/>
      <c r="E37" s="61"/>
      <c r="F37" s="61"/>
      <c r="G37" s="61"/>
      <c r="H37" s="61"/>
      <c r="I37" s="61"/>
      <c r="J37" s="61"/>
    </row>
    <row r="38" customFormat="false" ht="15" hidden="false" customHeight="false" outlineLevel="0" collapsed="false">
      <c r="A38" s="61"/>
      <c r="B38" s="61"/>
      <c r="C38" s="61"/>
      <c r="D38" s="61"/>
      <c r="E38" s="61"/>
      <c r="F38" s="61"/>
      <c r="G38" s="61"/>
      <c r="H38" s="61"/>
      <c r="I38" s="61"/>
      <c r="J38" s="61"/>
    </row>
    <row r="39" customFormat="false" ht="15" hidden="false" customHeight="false" outlineLevel="0" collapsed="false">
      <c r="A39" s="61"/>
      <c r="B39" s="61"/>
      <c r="C39" s="61"/>
      <c r="D39" s="61"/>
      <c r="E39" s="61"/>
      <c r="F39" s="61"/>
      <c r="G39" s="61"/>
      <c r="H39" s="61"/>
      <c r="I39" s="61"/>
      <c r="J39" s="61"/>
    </row>
    <row r="40" customFormat="false" ht="15" hidden="false" customHeight="false" outlineLevel="0" collapsed="false">
      <c r="A40" s="61"/>
      <c r="B40" s="61"/>
      <c r="C40" s="61"/>
      <c r="D40" s="61"/>
      <c r="E40" s="61"/>
      <c r="F40" s="61"/>
      <c r="G40" s="61"/>
      <c r="H40" s="61"/>
      <c r="I40" s="61"/>
      <c r="J40" s="61"/>
    </row>
    <row r="41" customFormat="false" ht="15" hidden="false" customHeight="false" outlineLevel="0" collapsed="false">
      <c r="A41" s="61"/>
      <c r="B41" s="61"/>
      <c r="C41" s="61"/>
      <c r="D41" s="61"/>
      <c r="E41" s="61"/>
      <c r="F41" s="61"/>
      <c r="G41" s="61"/>
      <c r="H41" s="61"/>
      <c r="I41" s="61"/>
      <c r="J41" s="61"/>
    </row>
    <row r="42" customFormat="false" ht="15" hidden="false" customHeight="false" outlineLevel="0" collapsed="false">
      <c r="A42" s="61"/>
      <c r="B42" s="61"/>
      <c r="C42" s="61"/>
      <c r="D42" s="61"/>
      <c r="E42" s="61"/>
      <c r="F42" s="61"/>
      <c r="G42" s="61"/>
      <c r="H42" s="61"/>
      <c r="I42" s="61"/>
      <c r="J42" s="61"/>
    </row>
    <row r="43" customFormat="false" ht="15" hidden="false" customHeight="false" outlineLevel="0" collapsed="false">
      <c r="A43" s="61"/>
      <c r="B43" s="61"/>
      <c r="C43" s="61"/>
      <c r="D43" s="61"/>
      <c r="E43" s="61"/>
      <c r="F43" s="61"/>
      <c r="G43" s="61"/>
      <c r="H43" s="61"/>
      <c r="I43" s="61"/>
      <c r="J43" s="61"/>
    </row>
    <row r="44" customFormat="false" ht="15" hidden="false" customHeight="false" outlineLevel="0" collapsed="false">
      <c r="A44" s="61"/>
      <c r="B44" s="61"/>
      <c r="C44" s="61"/>
      <c r="D44" s="61"/>
      <c r="E44" s="61"/>
      <c r="F44" s="61"/>
      <c r="G44" s="61"/>
      <c r="H44" s="61"/>
      <c r="I44" s="61"/>
      <c r="J44" s="61"/>
    </row>
    <row r="45" customFormat="false" ht="15" hidden="false" customHeight="false" outlineLevel="0" collapsed="false">
      <c r="A45" s="61"/>
      <c r="B45" s="61"/>
      <c r="C45" s="61"/>
      <c r="D45" s="61"/>
      <c r="E45" s="61"/>
      <c r="F45" s="61"/>
      <c r="G45" s="61"/>
      <c r="H45" s="61"/>
      <c r="I45" s="61"/>
      <c r="J45" s="61"/>
    </row>
    <row r="46" customFormat="false" ht="15" hidden="false" customHeight="false" outlineLevel="0" collapsed="false">
      <c r="A46" s="61"/>
      <c r="B46" s="61"/>
      <c r="C46" s="61"/>
      <c r="D46" s="61"/>
      <c r="E46" s="61"/>
      <c r="F46" s="61"/>
      <c r="G46" s="61"/>
      <c r="H46" s="61"/>
      <c r="I46" s="61"/>
      <c r="J46" s="61"/>
    </row>
    <row r="47" customFormat="false" ht="15" hidden="false" customHeight="false" outlineLevel="0" collapsed="false">
      <c r="A47" s="61"/>
      <c r="B47" s="61"/>
      <c r="C47" s="61"/>
      <c r="D47" s="61"/>
      <c r="E47" s="61"/>
      <c r="F47" s="61"/>
      <c r="G47" s="61"/>
      <c r="H47" s="61"/>
      <c r="I47" s="61"/>
      <c r="J47" s="61"/>
    </row>
    <row r="48" customFormat="false" ht="15" hidden="false" customHeight="false" outlineLevel="0" collapsed="false">
      <c r="A48" s="61"/>
      <c r="B48" s="61"/>
      <c r="C48" s="61"/>
      <c r="D48" s="61"/>
      <c r="E48" s="61"/>
      <c r="F48" s="61"/>
      <c r="G48" s="61"/>
      <c r="H48" s="61"/>
      <c r="I48" s="61"/>
      <c r="J48" s="61"/>
    </row>
    <row r="49" customFormat="false" ht="15" hidden="false" customHeight="false" outlineLevel="0" collapsed="false">
      <c r="A49" s="61"/>
      <c r="B49" s="61"/>
      <c r="C49" s="61"/>
      <c r="D49" s="61"/>
      <c r="E49" s="61"/>
      <c r="F49" s="61"/>
      <c r="G49" s="61"/>
      <c r="H49" s="61"/>
      <c r="I49" s="61"/>
      <c r="J49" s="61"/>
    </row>
    <row r="50" customFormat="false" ht="15" hidden="false" customHeight="false" outlineLevel="0" collapsed="false">
      <c r="A50" s="61"/>
      <c r="B50" s="61"/>
      <c r="C50" s="61"/>
      <c r="D50" s="61"/>
      <c r="E50" s="61"/>
      <c r="F50" s="61"/>
      <c r="G50" s="61"/>
      <c r="H50" s="61"/>
      <c r="I50" s="61"/>
      <c r="J50" s="61"/>
    </row>
    <row r="51" customFormat="false" ht="15" hidden="false" customHeight="false" outlineLevel="0" collapsed="false">
      <c r="A51" s="61"/>
      <c r="B51" s="61"/>
      <c r="C51" s="61"/>
      <c r="D51" s="61"/>
      <c r="E51" s="61"/>
      <c r="F51" s="61"/>
      <c r="G51" s="61"/>
      <c r="H51" s="61"/>
      <c r="I51" s="61"/>
      <c r="J51" s="61"/>
    </row>
    <row r="52" customFormat="false" ht="15" hidden="false" customHeight="false" outlineLevel="0" collapsed="false">
      <c r="A52" s="61"/>
      <c r="B52" s="61"/>
      <c r="C52" s="61"/>
      <c r="D52" s="61"/>
      <c r="E52" s="61"/>
      <c r="F52" s="61"/>
      <c r="G52" s="61"/>
      <c r="H52" s="61"/>
      <c r="I52" s="61"/>
      <c r="J52" s="61"/>
    </row>
    <row r="53" customFormat="false" ht="15" hidden="false" customHeight="false" outlineLevel="0" collapsed="false">
      <c r="A53" s="61"/>
      <c r="B53" s="61"/>
      <c r="C53" s="61"/>
      <c r="D53" s="61"/>
      <c r="E53" s="61"/>
      <c r="F53" s="61"/>
      <c r="G53" s="61"/>
      <c r="H53" s="61"/>
      <c r="I53" s="61"/>
      <c r="J53" s="61"/>
    </row>
    <row r="54" customFormat="false" ht="15" hidden="false" customHeight="false" outlineLevel="0" collapsed="false">
      <c r="A54" s="61"/>
      <c r="B54" s="61"/>
      <c r="C54" s="61"/>
      <c r="D54" s="61"/>
      <c r="E54" s="61"/>
      <c r="F54" s="61"/>
      <c r="G54" s="61"/>
      <c r="H54" s="61"/>
      <c r="I54" s="61"/>
      <c r="J54" s="61"/>
    </row>
    <row r="55" customFormat="false" ht="15" hidden="false" customHeight="false" outlineLevel="0" collapsed="false">
      <c r="A55" s="61"/>
      <c r="B55" s="61"/>
      <c r="C55" s="61"/>
      <c r="D55" s="61"/>
      <c r="E55" s="61"/>
      <c r="F55" s="61"/>
      <c r="G55" s="61"/>
      <c r="H55" s="61"/>
      <c r="I55" s="61"/>
      <c r="J55" s="61"/>
    </row>
    <row r="56" customFormat="false" ht="15" hidden="false" customHeight="false" outlineLevel="0" collapsed="false">
      <c r="A56" s="61"/>
      <c r="B56" s="61"/>
      <c r="C56" s="61"/>
      <c r="D56" s="61"/>
      <c r="E56" s="61"/>
      <c r="F56" s="61"/>
      <c r="G56" s="61"/>
      <c r="H56" s="61"/>
      <c r="I56" s="61"/>
      <c r="J56" s="61"/>
    </row>
    <row r="57" customFormat="false" ht="15" hidden="false" customHeight="false" outlineLevel="0" collapsed="false">
      <c r="A57" s="61"/>
      <c r="B57" s="61"/>
      <c r="C57" s="61"/>
      <c r="D57" s="61"/>
      <c r="E57" s="61"/>
      <c r="F57" s="61"/>
      <c r="G57" s="61"/>
      <c r="H57" s="61"/>
      <c r="I57" s="61"/>
      <c r="J57" s="61"/>
    </row>
    <row r="58" customFormat="false" ht="15" hidden="false" customHeight="false" outlineLevel="0" collapsed="false">
      <c r="A58" s="61"/>
      <c r="B58" s="61"/>
      <c r="C58" s="61"/>
      <c r="D58" s="61"/>
      <c r="E58" s="61"/>
      <c r="F58" s="61"/>
      <c r="G58" s="61"/>
      <c r="H58" s="61"/>
      <c r="I58" s="61"/>
      <c r="J58" s="61"/>
    </row>
    <row r="59" customFormat="false" ht="15" hidden="false" customHeight="false" outlineLevel="0" collapsed="false">
      <c r="A59" s="61"/>
      <c r="B59" s="61"/>
      <c r="C59" s="61"/>
      <c r="D59" s="61"/>
      <c r="E59" s="61"/>
      <c r="F59" s="61"/>
      <c r="G59" s="61"/>
      <c r="H59" s="61"/>
      <c r="I59" s="61"/>
      <c r="J59" s="61"/>
    </row>
    <row r="60" customFormat="false" ht="15" hidden="false" customHeight="false" outlineLevel="0" collapsed="false">
      <c r="A60" s="61"/>
      <c r="B60" s="61"/>
      <c r="C60" s="61"/>
      <c r="D60" s="61"/>
      <c r="E60" s="61"/>
      <c r="F60" s="61"/>
      <c r="G60" s="61"/>
      <c r="H60" s="61"/>
      <c r="I60" s="61"/>
      <c r="J60" s="61"/>
    </row>
    <row r="61" customFormat="false" ht="15" hidden="false" customHeight="false" outlineLevel="0" collapsed="false">
      <c r="A61" s="61"/>
      <c r="B61" s="61"/>
      <c r="C61" s="61"/>
      <c r="D61" s="61"/>
      <c r="E61" s="61"/>
      <c r="F61" s="61"/>
      <c r="G61" s="61"/>
      <c r="H61" s="61"/>
      <c r="I61" s="61"/>
      <c r="J61" s="61"/>
    </row>
    <row r="62" customFormat="false" ht="15" hidden="false" customHeight="false" outlineLevel="0" collapsed="false">
      <c r="A62" s="61"/>
      <c r="B62" s="61"/>
      <c r="C62" s="61"/>
      <c r="D62" s="61"/>
      <c r="E62" s="61"/>
      <c r="F62" s="61"/>
      <c r="G62" s="61"/>
      <c r="H62" s="61"/>
      <c r="I62" s="61"/>
      <c r="J62" s="61"/>
    </row>
    <row r="63" customFormat="false" ht="15" hidden="false" customHeight="false" outlineLevel="0" collapsed="false">
      <c r="A63" s="61"/>
      <c r="B63" s="61"/>
      <c r="C63" s="61"/>
      <c r="D63" s="61"/>
      <c r="E63" s="61"/>
      <c r="F63" s="61"/>
      <c r="G63" s="61"/>
      <c r="H63" s="61"/>
      <c r="I63" s="61"/>
      <c r="J63" s="61"/>
    </row>
    <row r="64" customFormat="false" ht="15" hidden="false" customHeight="false" outlineLevel="0" collapsed="false">
      <c r="A64" s="61"/>
      <c r="B64" s="61"/>
      <c r="C64" s="61"/>
      <c r="D64" s="61"/>
      <c r="E64" s="61"/>
      <c r="F64" s="61"/>
      <c r="G64" s="61"/>
      <c r="H64" s="61"/>
      <c r="I64" s="61"/>
      <c r="J64" s="61"/>
    </row>
    <row r="65" customFormat="false" ht="15" hidden="false" customHeight="false" outlineLevel="0" collapsed="false">
      <c r="A65" s="61"/>
      <c r="B65" s="61"/>
      <c r="C65" s="61"/>
      <c r="D65" s="61"/>
      <c r="E65" s="61"/>
      <c r="F65" s="61"/>
      <c r="G65" s="61"/>
      <c r="H65" s="61"/>
      <c r="I65" s="61"/>
      <c r="J65" s="61"/>
    </row>
    <row r="66" customFormat="false" ht="15" hidden="false" customHeight="false" outlineLevel="0" collapsed="false">
      <c r="A66" s="61"/>
      <c r="B66" s="61"/>
      <c r="C66" s="61"/>
      <c r="D66" s="61"/>
      <c r="E66" s="61"/>
      <c r="F66" s="61"/>
      <c r="G66" s="61"/>
      <c r="H66" s="61"/>
      <c r="I66" s="61"/>
      <c r="J66" s="61"/>
    </row>
    <row r="67" customFormat="false" ht="15" hidden="false" customHeight="false" outlineLevel="0" collapsed="false">
      <c r="A67" s="61"/>
      <c r="B67" s="61"/>
      <c r="C67" s="61"/>
      <c r="D67" s="61"/>
      <c r="E67" s="61"/>
      <c r="F67" s="61"/>
      <c r="G67" s="61"/>
      <c r="H67" s="61"/>
      <c r="I67" s="61"/>
      <c r="J67" s="61"/>
    </row>
    <row r="68" customFormat="false" ht="15" hidden="false" customHeight="false" outlineLevel="0" collapsed="false">
      <c r="A68" s="61"/>
      <c r="B68" s="61"/>
      <c r="C68" s="61"/>
      <c r="D68" s="61"/>
      <c r="E68" s="61"/>
      <c r="F68" s="61"/>
      <c r="G68" s="61"/>
      <c r="H68" s="61"/>
      <c r="I68" s="61"/>
      <c r="J68" s="61"/>
    </row>
    <row r="69" customFormat="false" ht="15" hidden="false" customHeight="false" outlineLevel="0" collapsed="false">
      <c r="A69" s="61"/>
      <c r="B69" s="61"/>
      <c r="C69" s="61"/>
      <c r="D69" s="61"/>
      <c r="E69" s="61"/>
      <c r="F69" s="61"/>
      <c r="G69" s="61"/>
      <c r="H69" s="61"/>
      <c r="I69" s="61"/>
      <c r="J69" s="61"/>
    </row>
    <row r="70" customFormat="false" ht="15" hidden="false" customHeight="false" outlineLevel="0" collapsed="false">
      <c r="A70" s="61"/>
      <c r="B70" s="61"/>
      <c r="C70" s="61"/>
      <c r="D70" s="61"/>
      <c r="E70" s="61"/>
      <c r="F70" s="61"/>
      <c r="G70" s="61"/>
      <c r="H70" s="61"/>
      <c r="I70" s="61"/>
      <c r="J70" s="61"/>
    </row>
    <row r="71" customFormat="false" ht="15" hidden="false" customHeight="false" outlineLevel="0" collapsed="false">
      <c r="A71" s="61"/>
      <c r="B71" s="61"/>
      <c r="C71" s="61"/>
      <c r="D71" s="61"/>
      <c r="E71" s="61"/>
      <c r="F71" s="61"/>
      <c r="G71" s="61"/>
      <c r="H71" s="61"/>
      <c r="I71" s="61"/>
      <c r="J71" s="61"/>
    </row>
    <row r="72" customFormat="false" ht="15" hidden="false" customHeight="false" outlineLevel="0" collapsed="false">
      <c r="A72" s="61"/>
      <c r="B72" s="61"/>
      <c r="C72" s="61"/>
      <c r="D72" s="61"/>
      <c r="E72" s="61"/>
      <c r="F72" s="61"/>
      <c r="G72" s="61"/>
      <c r="H72" s="61"/>
      <c r="I72" s="61"/>
      <c r="J72" s="61"/>
    </row>
    <row r="73" customFormat="false" ht="15" hidden="false" customHeight="false" outlineLevel="0" collapsed="false">
      <c r="A73" s="61"/>
      <c r="B73" s="61"/>
      <c r="C73" s="61"/>
      <c r="D73" s="61"/>
      <c r="E73" s="61"/>
      <c r="F73" s="61"/>
      <c r="G73" s="61"/>
      <c r="H73" s="61"/>
      <c r="I73" s="61"/>
      <c r="J73" s="61"/>
    </row>
    <row r="74" customFormat="false" ht="15" hidden="false" customHeight="false" outlineLevel="0" collapsed="false">
      <c r="A74" s="61"/>
      <c r="B74" s="61"/>
      <c r="C74" s="61"/>
      <c r="D74" s="61"/>
      <c r="E74" s="61"/>
      <c r="F74" s="61"/>
      <c r="G74" s="61"/>
      <c r="H74" s="61"/>
      <c r="I74" s="61"/>
      <c r="J74" s="61"/>
    </row>
    <row r="75" customFormat="false" ht="15" hidden="false" customHeight="false" outlineLevel="0" collapsed="false">
      <c r="A75" s="61"/>
      <c r="B75" s="61"/>
      <c r="C75" s="61"/>
      <c r="D75" s="61"/>
      <c r="E75" s="61"/>
      <c r="F75" s="61"/>
      <c r="G75" s="61"/>
      <c r="H75" s="61"/>
      <c r="I75" s="61"/>
      <c r="J75" s="61"/>
    </row>
    <row r="76" customFormat="false" ht="15" hidden="false" customHeight="false" outlineLevel="0" collapsed="false">
      <c r="A76" s="61"/>
      <c r="B76" s="61"/>
      <c r="C76" s="61"/>
      <c r="D76" s="61"/>
      <c r="E76" s="61"/>
      <c r="F76" s="61"/>
      <c r="G76" s="61"/>
      <c r="H76" s="61"/>
      <c r="I76" s="61"/>
      <c r="J76" s="61"/>
    </row>
    <row r="77" customFormat="false" ht="15" hidden="false" customHeight="false" outlineLevel="0" collapsed="false">
      <c r="A77" s="61"/>
      <c r="B77" s="61"/>
      <c r="C77" s="61"/>
      <c r="D77" s="61"/>
      <c r="E77" s="61"/>
      <c r="F77" s="61"/>
      <c r="G77" s="61"/>
      <c r="H77" s="61"/>
      <c r="I77" s="61"/>
      <c r="J77" s="61"/>
    </row>
    <row r="78" customFormat="false" ht="15" hidden="false" customHeight="false" outlineLevel="0" collapsed="false">
      <c r="A78" s="61"/>
      <c r="B78" s="61"/>
      <c r="C78" s="61"/>
      <c r="D78" s="61"/>
      <c r="E78" s="61"/>
      <c r="F78" s="61"/>
      <c r="G78" s="61"/>
      <c r="H78" s="61"/>
      <c r="I78" s="61"/>
      <c r="J78" s="61"/>
    </row>
    <row r="79" customFormat="false" ht="15" hidden="false" customHeight="false" outlineLevel="0" collapsed="false">
      <c r="A79" s="61"/>
      <c r="B79" s="61"/>
      <c r="C79" s="61"/>
      <c r="D79" s="61"/>
      <c r="E79" s="61"/>
      <c r="F79" s="61"/>
      <c r="G79" s="61"/>
      <c r="H79" s="61"/>
      <c r="I79" s="61"/>
      <c r="J79" s="61"/>
    </row>
    <row r="80" customFormat="false" ht="15" hidden="false" customHeight="false" outlineLevel="0" collapsed="false">
      <c r="A80" s="61"/>
      <c r="B80" s="61"/>
      <c r="C80" s="61"/>
      <c r="D80" s="61"/>
      <c r="E80" s="61"/>
      <c r="F80" s="61"/>
      <c r="G80" s="61"/>
      <c r="H80" s="61"/>
      <c r="I80" s="61"/>
      <c r="J80" s="61"/>
    </row>
    <row r="81" customFormat="false" ht="15" hidden="false" customHeight="false" outlineLevel="0" collapsed="false">
      <c r="A81" s="61"/>
      <c r="B81" s="61"/>
      <c r="C81" s="61"/>
      <c r="D81" s="61"/>
      <c r="E81" s="61"/>
      <c r="F81" s="61"/>
      <c r="G81" s="61"/>
      <c r="H81" s="61"/>
      <c r="I81" s="61"/>
      <c r="J81" s="61"/>
    </row>
    <row r="82" customFormat="false" ht="15" hidden="false" customHeight="false" outlineLevel="0" collapsed="false">
      <c r="A82" s="61"/>
      <c r="B82" s="61"/>
      <c r="C82" s="61"/>
      <c r="D82" s="61"/>
      <c r="E82" s="61"/>
      <c r="F82" s="61"/>
      <c r="G82" s="61"/>
      <c r="H82" s="61"/>
      <c r="I82" s="61"/>
      <c r="J82" s="61"/>
    </row>
    <row r="83" customFormat="false" ht="15" hidden="false" customHeight="false" outlineLevel="0" collapsed="false">
      <c r="A83" s="61"/>
      <c r="B83" s="61"/>
      <c r="C83" s="61"/>
      <c r="D83" s="61"/>
      <c r="E83" s="61"/>
      <c r="F83" s="61"/>
      <c r="G83" s="61"/>
      <c r="H83" s="61"/>
      <c r="I83" s="61"/>
      <c r="J83" s="61"/>
    </row>
    <row r="84" customFormat="false" ht="15" hidden="false" customHeight="false" outlineLevel="0" collapsed="false">
      <c r="A84" s="61"/>
      <c r="B84" s="61"/>
      <c r="C84" s="61"/>
      <c r="D84" s="61"/>
      <c r="E84" s="61"/>
      <c r="F84" s="61"/>
      <c r="G84" s="61"/>
      <c r="H84" s="61"/>
      <c r="I84" s="61"/>
      <c r="J84" s="61"/>
    </row>
    <row r="85" customFormat="false" ht="15" hidden="false" customHeight="false" outlineLevel="0" collapsed="false">
      <c r="A85" s="61"/>
      <c r="B85" s="61"/>
      <c r="C85" s="61"/>
      <c r="D85" s="61"/>
      <c r="E85" s="61"/>
      <c r="F85" s="61"/>
      <c r="G85" s="61"/>
      <c r="H85" s="61"/>
      <c r="I85" s="61"/>
      <c r="J85" s="61"/>
    </row>
    <row r="86" customFormat="false" ht="15" hidden="false" customHeight="false" outlineLevel="0" collapsed="false">
      <c r="A86" s="61"/>
      <c r="B86" s="61"/>
      <c r="C86" s="61"/>
      <c r="D86" s="61"/>
      <c r="E86" s="61"/>
      <c r="F86" s="61"/>
      <c r="G86" s="61"/>
      <c r="H86" s="61"/>
      <c r="I86" s="61"/>
      <c r="J86" s="61"/>
    </row>
    <row r="87" customFormat="false" ht="15" hidden="false" customHeight="false" outlineLevel="0" collapsed="false">
      <c r="A87" s="61"/>
      <c r="B87" s="61"/>
      <c r="C87" s="61"/>
      <c r="D87" s="61"/>
      <c r="E87" s="61"/>
      <c r="F87" s="61"/>
      <c r="G87" s="61"/>
      <c r="H87" s="61"/>
      <c r="I87" s="61"/>
      <c r="J87" s="61"/>
    </row>
    <row r="88" customFormat="false" ht="15" hidden="false" customHeight="false" outlineLevel="0" collapsed="false">
      <c r="A88" s="61"/>
      <c r="B88" s="61"/>
      <c r="C88" s="61"/>
      <c r="D88" s="61"/>
      <c r="E88" s="61"/>
      <c r="F88" s="61"/>
      <c r="G88" s="61"/>
      <c r="H88" s="61"/>
      <c r="I88" s="61"/>
      <c r="J88" s="61"/>
    </row>
    <row r="89" customFormat="false" ht="15" hidden="false" customHeight="false" outlineLevel="0" collapsed="false">
      <c r="A89" s="61"/>
      <c r="B89" s="61"/>
      <c r="C89" s="61"/>
      <c r="D89" s="61"/>
      <c r="E89" s="61"/>
      <c r="F89" s="61"/>
      <c r="G89" s="61"/>
      <c r="H89" s="61"/>
      <c r="I89" s="61"/>
      <c r="J89" s="61"/>
    </row>
    <row r="90" customFormat="false" ht="15" hidden="false" customHeight="false" outlineLevel="0" collapsed="false">
      <c r="A90" s="61"/>
      <c r="B90" s="61"/>
      <c r="C90" s="61"/>
      <c r="D90" s="61"/>
      <c r="E90" s="61"/>
      <c r="F90" s="61"/>
      <c r="G90" s="61"/>
      <c r="H90" s="61"/>
      <c r="I90" s="61"/>
      <c r="J90" s="61"/>
    </row>
    <row r="91" customFormat="false" ht="15" hidden="false" customHeight="false" outlineLevel="0" collapsed="false">
      <c r="A91" s="61"/>
      <c r="B91" s="61"/>
      <c r="C91" s="61"/>
      <c r="D91" s="61"/>
      <c r="E91" s="61"/>
      <c r="F91" s="61"/>
      <c r="G91" s="61"/>
      <c r="H91" s="61"/>
      <c r="I91" s="61"/>
      <c r="J91" s="61"/>
    </row>
    <row r="92" customFormat="false" ht="15" hidden="false" customHeight="false" outlineLevel="0" collapsed="false">
      <c r="A92" s="61"/>
      <c r="B92" s="61"/>
      <c r="C92" s="61"/>
      <c r="D92" s="61"/>
      <c r="E92" s="61"/>
      <c r="F92" s="61"/>
      <c r="G92" s="61"/>
      <c r="H92" s="61"/>
      <c r="I92" s="61"/>
      <c r="J92" s="61"/>
    </row>
    <row r="93" customFormat="false" ht="15" hidden="false" customHeight="false" outlineLevel="0" collapsed="false">
      <c r="A93" s="61"/>
      <c r="B93" s="61"/>
      <c r="C93" s="61"/>
      <c r="D93" s="61"/>
      <c r="E93" s="61"/>
      <c r="F93" s="61"/>
      <c r="G93" s="61"/>
      <c r="H93" s="61"/>
      <c r="I93" s="61"/>
      <c r="J93" s="61"/>
    </row>
    <row r="94" customFormat="false" ht="15" hidden="false" customHeight="false" outlineLevel="0" collapsed="false">
      <c r="A94" s="61"/>
      <c r="B94" s="61"/>
      <c r="C94" s="61"/>
      <c r="D94" s="61"/>
      <c r="E94" s="61"/>
      <c r="F94" s="61"/>
      <c r="G94" s="61"/>
      <c r="H94" s="61"/>
      <c r="I94" s="61"/>
      <c r="J94" s="61"/>
    </row>
    <row r="95" customFormat="false" ht="15" hidden="false" customHeight="false" outlineLevel="0" collapsed="false">
      <c r="A95" s="61"/>
      <c r="B95" s="61"/>
      <c r="C95" s="61"/>
      <c r="D95" s="61"/>
      <c r="E95" s="61"/>
      <c r="F95" s="61"/>
      <c r="G95" s="61"/>
      <c r="H95" s="61"/>
      <c r="I95" s="61"/>
      <c r="J95" s="61"/>
    </row>
    <row r="96" customFormat="false" ht="15" hidden="false" customHeight="false" outlineLevel="0" collapsed="false">
      <c r="A96" s="61"/>
      <c r="B96" s="61"/>
      <c r="C96" s="61"/>
      <c r="D96" s="61"/>
      <c r="E96" s="61"/>
      <c r="F96" s="61"/>
      <c r="G96" s="61"/>
      <c r="H96" s="61"/>
      <c r="I96" s="61"/>
      <c r="J96" s="61"/>
    </row>
    <row r="97" customFormat="false" ht="15" hidden="false" customHeight="false" outlineLevel="0" collapsed="false">
      <c r="A97" s="61"/>
      <c r="B97" s="61"/>
      <c r="C97" s="61"/>
      <c r="D97" s="61"/>
      <c r="E97" s="61"/>
      <c r="F97" s="61"/>
      <c r="G97" s="61"/>
      <c r="H97" s="61"/>
      <c r="I97" s="61"/>
      <c r="J97" s="61"/>
    </row>
    <row r="98" customFormat="false" ht="15" hidden="false" customHeight="false" outlineLevel="0" collapsed="false">
      <c r="A98" s="61"/>
      <c r="B98" s="61"/>
      <c r="C98" s="61"/>
      <c r="D98" s="61"/>
      <c r="E98" s="61"/>
      <c r="F98" s="61"/>
      <c r="G98" s="61"/>
      <c r="H98" s="61"/>
      <c r="I98" s="61"/>
      <c r="J98" s="61"/>
    </row>
    <row r="99" customFormat="false" ht="15" hidden="false" customHeight="false" outlineLevel="0" collapsed="false">
      <c r="A99" s="61"/>
      <c r="B99" s="61"/>
      <c r="C99" s="61"/>
      <c r="D99" s="61"/>
      <c r="E99" s="61"/>
      <c r="F99" s="61"/>
      <c r="G99" s="61"/>
      <c r="H99" s="61"/>
      <c r="I99" s="61"/>
      <c r="J99" s="61"/>
    </row>
    <row r="100" customFormat="false" ht="15" hidden="false" customHeight="false" outlineLevel="0" collapsed="false">
      <c r="A100" s="61"/>
      <c r="B100" s="61"/>
      <c r="C100" s="61"/>
      <c r="D100" s="61"/>
      <c r="E100" s="61"/>
      <c r="F100" s="61"/>
      <c r="G100" s="61"/>
      <c r="H100" s="61"/>
      <c r="I100" s="61"/>
      <c r="J100" s="61"/>
    </row>
    <row r="101" customFormat="false" ht="15" hidden="false" customHeight="false" outlineLevel="0" collapsed="false">
      <c r="A101" s="61"/>
      <c r="B101" s="61"/>
      <c r="C101" s="61"/>
      <c r="D101" s="61"/>
      <c r="E101" s="61"/>
      <c r="F101" s="61"/>
      <c r="G101" s="61"/>
      <c r="H101" s="61"/>
      <c r="I101" s="61"/>
      <c r="J101" s="61"/>
    </row>
    <row r="102" customFormat="false" ht="15" hidden="false" customHeight="false" outlineLevel="0" collapsed="false">
      <c r="A102" s="61"/>
      <c r="B102" s="61"/>
      <c r="C102" s="61"/>
      <c r="D102" s="61"/>
      <c r="E102" s="61"/>
      <c r="F102" s="61"/>
      <c r="G102" s="61"/>
      <c r="H102" s="61"/>
      <c r="I102" s="61"/>
      <c r="J102" s="61"/>
    </row>
    <row r="103" customFormat="false" ht="15" hidden="false" customHeight="false" outlineLevel="0" collapsed="false">
      <c r="A103" s="61"/>
      <c r="B103" s="61"/>
      <c r="C103" s="61"/>
      <c r="D103" s="61"/>
      <c r="E103" s="61"/>
      <c r="F103" s="61"/>
      <c r="G103" s="61"/>
      <c r="H103" s="61"/>
      <c r="I103" s="61"/>
      <c r="J103" s="61"/>
    </row>
    <row r="104" customFormat="false" ht="15" hidden="false" customHeight="false" outlineLevel="0" collapsed="false">
      <c r="A104" s="61"/>
      <c r="B104" s="61"/>
      <c r="C104" s="61"/>
      <c r="D104" s="61"/>
      <c r="E104" s="61"/>
      <c r="F104" s="61"/>
      <c r="G104" s="61"/>
      <c r="H104" s="61"/>
      <c r="I104" s="61"/>
      <c r="J104" s="61"/>
    </row>
  </sheetData>
  <dataValidations count="1">
    <dataValidation allowBlank="true" errorStyle="stop" operator="between" showDropDown="false" showErrorMessage="false" showInputMessage="false" sqref="J5:J104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9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9"/>
    <col collapsed="false" customWidth="true" hidden="false" outlineLevel="0" max="14" min="11" style="0" width="11"/>
  </cols>
  <sheetData>
    <row r="1" customFormat="false" ht="17.35" hidden="false" customHeight="false" outlineLevel="0" collapsed="false">
      <c r="A1" s="29" t="s">
        <v>3120</v>
      </c>
    </row>
    <row r="2" customFormat="false" ht="15" hidden="false" customHeight="false" outlineLevel="0" collapsed="false">
      <c r="A2" s="30" t="s">
        <v>3121</v>
      </c>
    </row>
    <row r="3" customFormat="false" ht="15" hidden="false" customHeight="false" outlineLevel="0" collapsed="false">
      <c r="A3" s="44" t="str">
        <f aca="false">"Tablar: "&amp;INDEX(Parameter!$F$5:$F$7,Parameter!$M$22)&amp;" × "&amp;INDEX(Parameter!$G$5:$G$7,Parameter!$M$22)&amp;" mm (Lift "&amp;Parameter!$M$22&amp;")"</f>
        <v>Tablar: 4060 × 857 mm (Lift 2)</v>
      </c>
    </row>
    <row r="4" customFormat="false" ht="42" hidden="false" customHeight="true" outlineLevel="0" collapsed="false">
      <c r="A4" s="46" t="s">
        <v>3097</v>
      </c>
      <c r="B4" s="46" t="s">
        <v>78</v>
      </c>
      <c r="C4" s="46" t="s">
        <v>3122</v>
      </c>
      <c r="D4" s="46" t="s">
        <v>3123</v>
      </c>
      <c r="E4" s="46" t="s">
        <v>3124</v>
      </c>
      <c r="F4" s="46" t="s">
        <v>3125</v>
      </c>
      <c r="G4" s="46" t="s">
        <v>3126</v>
      </c>
      <c r="H4" s="46" t="s">
        <v>3127</v>
      </c>
      <c r="I4" s="46" t="s">
        <v>3128</v>
      </c>
      <c r="J4" s="46" t="s">
        <v>3129</v>
      </c>
      <c r="K4" s="46" t="s">
        <v>3130</v>
      </c>
      <c r="L4" s="46" t="s">
        <v>3131</v>
      </c>
      <c r="M4" s="46" t="s">
        <v>3132</v>
      </c>
      <c r="N4" s="46" t="s">
        <v>3133</v>
      </c>
    </row>
    <row r="5" customFormat="false" ht="15" hidden="false" customHeight="false" outlineLevel="0" collapsed="false">
      <c r="A5" s="61" t="s">
        <v>410</v>
      </c>
      <c r="B5" s="61" t="s">
        <v>3134</v>
      </c>
      <c r="C5" s="70" t="n">
        <v>8.7</v>
      </c>
      <c r="D5" s="70" t="n">
        <v>9.4</v>
      </c>
      <c r="E5" s="70" t="n">
        <v>8</v>
      </c>
      <c r="F5" s="73" t="n">
        <f aca="false">IF(A5="","",C5*D5/10000)</f>
        <v>0.008178</v>
      </c>
      <c r="G5" s="73" t="n">
        <f aca="false">IF(A5="","",C5*D5*E5/1000000)</f>
        <v>0.00065424</v>
      </c>
      <c r="H5" s="62" t="n">
        <v>87</v>
      </c>
      <c r="I5" s="62" t="n">
        <v>94</v>
      </c>
      <c r="J5" s="62" t="n">
        <v>1</v>
      </c>
      <c r="K5" s="69" t="n">
        <f aca="false">IF(OR(A5="",N(H5)&lt;=0,N(I5)&lt;=0),"",MAX(INT(INDEX(Parameter!$F$5:$F$7,Parameter!$M$22)/H5)*INT(INDEX(Parameter!$G$5:$G$7,Parameter!$M$22)/I5),INT(INDEX(Parameter!$F$5:$F$7,Parameter!$M$22)/I5)*INT(INDEX(Parameter!$G$5:$G$7,Parameter!$M$22)/H5))*MAX(1,N(J5)))</f>
        <v>414</v>
      </c>
      <c r="L5" s="62" t="n">
        <v>280</v>
      </c>
      <c r="M5" s="66" t="n">
        <f aca="false">IF(A5="","",IF(N(L5)&gt;0,L5,N(K5)))</f>
        <v>280</v>
      </c>
      <c r="N5" s="62" t="n">
        <v>12</v>
      </c>
    </row>
    <row r="6" customFormat="false" ht="15" hidden="false" customHeight="false" outlineLevel="0" collapsed="false">
      <c r="A6" s="61" t="s">
        <v>435</v>
      </c>
      <c r="B6" s="61" t="s">
        <v>3135</v>
      </c>
      <c r="C6" s="70" t="n">
        <v>17.8</v>
      </c>
      <c r="D6" s="70" t="n">
        <v>9.4</v>
      </c>
      <c r="E6" s="70" t="n">
        <v>8</v>
      </c>
      <c r="F6" s="73" t="n">
        <f aca="false">IF(A6="","",C6*D6/10000)</f>
        <v>0.016732</v>
      </c>
      <c r="G6" s="73" t="n">
        <f aca="false">IF(A6="","",C6*D6*E6/1000000)</f>
        <v>0.00133856</v>
      </c>
      <c r="H6" s="62" t="n">
        <v>178</v>
      </c>
      <c r="I6" s="62" t="n">
        <v>94</v>
      </c>
      <c r="J6" s="62" t="n">
        <v>1</v>
      </c>
      <c r="K6" s="69" t="n">
        <f aca="false">IF(OR(A6="",N(H6)&lt;=0,N(I6)&lt;=0),"",MAX(INT(INDEX(Parameter!$F$5:$F$7,Parameter!$M$22)/H6)*INT(INDEX(Parameter!$G$5:$G$7,Parameter!$M$22)/I6),INT(INDEX(Parameter!$F$5:$F$7,Parameter!$M$22)/I6)*INT(INDEX(Parameter!$G$5:$G$7,Parameter!$M$22)/H6))*MAX(1,N(J6)))</f>
        <v>198</v>
      </c>
      <c r="L6" s="62" t="n">
        <v>140</v>
      </c>
      <c r="M6" s="66" t="n">
        <f aca="false">IF(A6="","",IF(N(L6)&gt;0,L6,N(K6)))</f>
        <v>140</v>
      </c>
      <c r="N6" s="62" t="n">
        <v>12</v>
      </c>
    </row>
    <row r="7" customFormat="false" ht="15" hidden="false" customHeight="false" outlineLevel="0" collapsed="false">
      <c r="A7" s="61" t="s">
        <v>430</v>
      </c>
      <c r="B7" s="61" t="s">
        <v>3136</v>
      </c>
      <c r="C7" s="70" t="n">
        <v>17.7</v>
      </c>
      <c r="D7" s="70" t="n">
        <v>13.6</v>
      </c>
      <c r="E7" s="70" t="n">
        <v>8</v>
      </c>
      <c r="F7" s="73" t="n">
        <f aca="false">IF(A7="","",C7*D7/10000)</f>
        <v>0.024072</v>
      </c>
      <c r="G7" s="73" t="n">
        <f aca="false">IF(A7="","",C7*D7*E7/1000000)</f>
        <v>0.00192576</v>
      </c>
      <c r="H7" s="62" t="n">
        <v>177</v>
      </c>
      <c r="I7" s="62" t="n">
        <v>136</v>
      </c>
      <c r="J7" s="62" t="n">
        <v>1</v>
      </c>
      <c r="K7" s="69" t="n">
        <f aca="false">IF(OR(A7="",N(H7)&lt;=0,N(I7)&lt;=0),"",MAX(INT(INDEX(Parameter!$F$5:$F$7,Parameter!$M$22)/H7)*INT(INDEX(Parameter!$G$5:$G$7,Parameter!$M$22)/I7),INT(INDEX(Parameter!$F$5:$F$7,Parameter!$M$22)/I7)*INT(INDEX(Parameter!$G$5:$G$7,Parameter!$M$22)/H7))*MAX(1,N(J7)))</f>
        <v>132</v>
      </c>
      <c r="L7" s="62" t="n">
        <v>104</v>
      </c>
      <c r="M7" s="66" t="n">
        <f aca="false">IF(A7="","",IF(N(L7)&gt;0,L7,N(K7)))</f>
        <v>104</v>
      </c>
      <c r="N7" s="62" t="n">
        <v>12</v>
      </c>
    </row>
    <row r="8" customFormat="false" ht="15" hidden="false" customHeight="false" outlineLevel="0" collapsed="false">
      <c r="A8" s="61" t="s">
        <v>485</v>
      </c>
      <c r="B8" s="61" t="s">
        <v>3137</v>
      </c>
      <c r="C8" s="70" t="n">
        <v>35.8</v>
      </c>
      <c r="D8" s="70" t="n">
        <v>13.6</v>
      </c>
      <c r="E8" s="70" t="n">
        <v>8</v>
      </c>
      <c r="F8" s="73" t="n">
        <f aca="false">IF(A8="","",C8*D8/10000)</f>
        <v>0.048688</v>
      </c>
      <c r="G8" s="73" t="n">
        <f aca="false">IF(A8="","",C8*D8*E8/1000000)</f>
        <v>0.00389504</v>
      </c>
      <c r="H8" s="62" t="n">
        <v>358</v>
      </c>
      <c r="I8" s="62" t="n">
        <v>136</v>
      </c>
      <c r="J8" s="62" t="n">
        <v>1</v>
      </c>
      <c r="K8" s="69" t="n">
        <f aca="false">IF(OR(A8="",N(H8)&lt;=0,N(I8)&lt;=0),"",MAX(INT(INDEX(Parameter!$F$5:$F$7,Parameter!$M$22)/H8)*INT(INDEX(Parameter!$G$5:$G$7,Parameter!$M$22)/I8),INT(INDEX(Parameter!$F$5:$F$7,Parameter!$M$22)/I8)*INT(INDEX(Parameter!$G$5:$G$7,Parameter!$M$22)/H8))*MAX(1,N(J8)))</f>
        <v>66</v>
      </c>
      <c r="L8" s="62" t="n">
        <v>52</v>
      </c>
      <c r="M8" s="66" t="n">
        <f aca="false">IF(A8="","",IF(N(L8)&gt;0,L8,N(K8)))</f>
        <v>52</v>
      </c>
      <c r="N8" s="62" t="n">
        <v>12</v>
      </c>
    </row>
    <row r="9" customFormat="false" ht="15" hidden="false" customHeight="false" outlineLevel="0" collapsed="false">
      <c r="A9" s="61" t="s">
        <v>337</v>
      </c>
      <c r="B9" s="61" t="s">
        <v>3138</v>
      </c>
      <c r="C9" s="70" t="n">
        <v>27</v>
      </c>
      <c r="D9" s="70" t="n">
        <v>17</v>
      </c>
      <c r="E9" s="70" t="n">
        <v>11</v>
      </c>
      <c r="F9" s="73" t="n">
        <f aca="false">IF(A9="","",C9*D9/10000)</f>
        <v>0.0459</v>
      </c>
      <c r="G9" s="73" t="n">
        <f aca="false">IF(A9="","",C9*D9*E9/1000000)</f>
        <v>0.005049</v>
      </c>
      <c r="H9" s="62" t="n">
        <v>300</v>
      </c>
      <c r="I9" s="62" t="n">
        <v>200</v>
      </c>
      <c r="J9" s="62" t="n">
        <v>1</v>
      </c>
      <c r="K9" s="69" t="n">
        <f aca="false">IF(OR(A9="",N(H9)&lt;=0,N(I9)&lt;=0),"",MAX(INT(INDEX(Parameter!$F$5:$F$7,Parameter!$M$22)/H9)*INT(INDEX(Parameter!$G$5:$G$7,Parameter!$M$22)/I9),INT(INDEX(Parameter!$F$5:$F$7,Parameter!$M$22)/I9)*INT(INDEX(Parameter!$G$5:$G$7,Parameter!$M$22)/H9))*MAX(1,N(J9)))</f>
        <v>52</v>
      </c>
      <c r="L9" s="62" t="n">
        <v>52</v>
      </c>
      <c r="M9" s="66" t="n">
        <f aca="false">IF(A9="","",IF(N(L9)&gt;0,L9,N(K9)))</f>
        <v>52</v>
      </c>
      <c r="N9" s="62" t="n">
        <v>12</v>
      </c>
    </row>
    <row r="10" customFormat="false" ht="15" hidden="false" customHeight="false" outlineLevel="0" collapsed="false">
      <c r="A10" s="61" t="s">
        <v>311</v>
      </c>
      <c r="B10" s="61" t="s">
        <v>3139</v>
      </c>
      <c r="C10" s="70" t="n">
        <v>37</v>
      </c>
      <c r="D10" s="70" t="n">
        <v>27</v>
      </c>
      <c r="E10" s="70" t="n">
        <v>11</v>
      </c>
      <c r="F10" s="73" t="n">
        <f aca="false">IF(A10="","",C10*D10/10000)</f>
        <v>0.0999</v>
      </c>
      <c r="G10" s="73" t="n">
        <f aca="false">IF(A10="","",C10*D10*E10/1000000)</f>
        <v>0.010989</v>
      </c>
      <c r="H10" s="62" t="n">
        <v>400</v>
      </c>
      <c r="I10" s="62" t="n">
        <v>300</v>
      </c>
      <c r="J10" s="62" t="n">
        <v>1</v>
      </c>
      <c r="K10" s="69" t="n">
        <f aca="false">IF(OR(A10="",N(H10)&lt;=0,N(I10)&lt;=0),"",MAX(INT(INDEX(Parameter!$F$5:$F$7,Parameter!$M$22)/H10)*INT(INDEX(Parameter!$G$5:$G$7,Parameter!$M$22)/I10),INT(INDEX(Parameter!$F$5:$F$7,Parameter!$M$22)/I10)*INT(INDEX(Parameter!$G$5:$G$7,Parameter!$M$22)/H10))*MAX(1,N(J10)))</f>
        <v>26</v>
      </c>
      <c r="L10" s="62" t="n">
        <v>26</v>
      </c>
      <c r="M10" s="66" t="n">
        <f aca="false">IF(A10="","",IF(N(L10)&gt;0,L10,N(K10)))</f>
        <v>26</v>
      </c>
      <c r="N10" s="62" t="n">
        <v>12</v>
      </c>
    </row>
    <row r="11" customFormat="false" ht="15" hidden="false" customHeight="false" outlineLevel="0" collapsed="false">
      <c r="A11" s="61" t="s">
        <v>242</v>
      </c>
      <c r="B11" s="61" t="s">
        <v>3140</v>
      </c>
      <c r="C11" s="70" t="n">
        <v>37</v>
      </c>
      <c r="D11" s="70" t="n">
        <v>27</v>
      </c>
      <c r="E11" s="70" t="n">
        <v>21</v>
      </c>
      <c r="F11" s="73" t="n">
        <f aca="false">IF(A11="","",C11*D11/10000)</f>
        <v>0.0999</v>
      </c>
      <c r="G11" s="73" t="n">
        <f aca="false">IF(A11="","",C11*D11*E11/1000000)</f>
        <v>0.020979</v>
      </c>
      <c r="H11" s="62" t="n">
        <v>400</v>
      </c>
      <c r="I11" s="62" t="n">
        <v>300</v>
      </c>
      <c r="J11" s="62" t="n">
        <v>1</v>
      </c>
      <c r="K11" s="69" t="n">
        <f aca="false">IF(OR(A11="",N(H11)&lt;=0,N(I11)&lt;=0),"",MAX(INT(INDEX(Parameter!$F$5:$F$7,Parameter!$M$22)/H11)*INT(INDEX(Parameter!$G$5:$G$7,Parameter!$M$22)/I11),INT(INDEX(Parameter!$F$5:$F$7,Parameter!$M$22)/I11)*INT(INDEX(Parameter!$G$5:$G$7,Parameter!$M$22)/H11))*MAX(1,N(J11)))</f>
        <v>26</v>
      </c>
      <c r="L11" s="62" t="n">
        <v>26</v>
      </c>
      <c r="M11" s="66" t="n">
        <f aca="false">IF(A11="","",IF(N(L11)&gt;0,L11,N(K11)))</f>
        <v>26</v>
      </c>
      <c r="N11" s="62" t="n">
        <v>21</v>
      </c>
    </row>
    <row r="12" customFormat="false" ht="15" hidden="false" customHeight="false" outlineLevel="0" collapsed="false">
      <c r="A12" s="61" t="s">
        <v>195</v>
      </c>
      <c r="B12" s="61" t="s">
        <v>3141</v>
      </c>
      <c r="C12" s="70" t="n">
        <v>57</v>
      </c>
      <c r="D12" s="70" t="n">
        <v>37</v>
      </c>
      <c r="E12" s="70" t="n">
        <v>11</v>
      </c>
      <c r="F12" s="73" t="n">
        <f aca="false">IF(A12="","",C12*D12/10000)</f>
        <v>0.2109</v>
      </c>
      <c r="G12" s="73" t="n">
        <f aca="false">IF(A12="","",C12*D12*E12/1000000)</f>
        <v>0.023199</v>
      </c>
      <c r="H12" s="62" t="n">
        <v>600</v>
      </c>
      <c r="I12" s="62" t="n">
        <v>400</v>
      </c>
      <c r="J12" s="62" t="n">
        <v>1</v>
      </c>
      <c r="K12" s="69" t="n">
        <f aca="false">IF(OR(A12="",N(H12)&lt;=0,N(I12)&lt;=0),"",MAX(INT(INDEX(Parameter!$F$5:$F$7,Parameter!$M$22)/H12)*INT(INDEX(Parameter!$G$5:$G$7,Parameter!$M$22)/I12),INT(INDEX(Parameter!$F$5:$F$7,Parameter!$M$22)/I12)*INT(INDEX(Parameter!$G$5:$G$7,Parameter!$M$22)/H12))*MAX(1,N(J12)))</f>
        <v>12</v>
      </c>
      <c r="L12" s="62" t="n">
        <v>12</v>
      </c>
      <c r="M12" s="66" t="n">
        <f aca="false">IF(A12="","",IF(N(L12)&gt;0,L12,N(K12)))</f>
        <v>12</v>
      </c>
      <c r="N12" s="62" t="n">
        <v>11</v>
      </c>
    </row>
    <row r="13" customFormat="false" ht="15" hidden="false" customHeight="false" outlineLevel="0" collapsed="false">
      <c r="A13" s="61" t="s">
        <v>302</v>
      </c>
      <c r="B13" s="61" t="s">
        <v>3142</v>
      </c>
      <c r="C13" s="70" t="n">
        <v>57</v>
      </c>
      <c r="D13" s="70" t="n">
        <v>37</v>
      </c>
      <c r="E13" s="70" t="n">
        <v>21</v>
      </c>
      <c r="F13" s="73" t="n">
        <f aca="false">IF(A13="","",C13*D13/10000)</f>
        <v>0.2109</v>
      </c>
      <c r="G13" s="73" t="n">
        <f aca="false">IF(A13="","",C13*D13*E13/1000000)</f>
        <v>0.044289</v>
      </c>
      <c r="H13" s="62" t="n">
        <v>600</v>
      </c>
      <c r="I13" s="62" t="n">
        <v>400</v>
      </c>
      <c r="J13" s="62" t="n">
        <v>1</v>
      </c>
      <c r="K13" s="69" t="n">
        <f aca="false">IF(OR(A13="",N(H13)&lt;=0,N(I13)&lt;=0),"",MAX(INT(INDEX(Parameter!$F$5:$F$7,Parameter!$M$22)/H13)*INT(INDEX(Parameter!$G$5:$G$7,Parameter!$M$22)/I13),INT(INDEX(Parameter!$F$5:$F$7,Parameter!$M$22)/I13)*INT(INDEX(Parameter!$G$5:$G$7,Parameter!$M$22)/H13))*MAX(1,N(J13)))</f>
        <v>12</v>
      </c>
      <c r="L13" s="62" t="n">
        <v>12</v>
      </c>
      <c r="M13" s="66" t="n">
        <f aca="false">IF(A13="","",IF(N(L13)&gt;0,L13,N(K13)))</f>
        <v>12</v>
      </c>
      <c r="N13" s="62" t="n">
        <v>21</v>
      </c>
    </row>
    <row r="14" customFormat="false" ht="15" hidden="false" customHeight="false" outlineLevel="0" collapsed="false">
      <c r="A14" s="61" t="s">
        <v>235</v>
      </c>
      <c r="B14" s="61" t="s">
        <v>3143</v>
      </c>
      <c r="C14" s="70" t="n">
        <v>57</v>
      </c>
      <c r="D14" s="70" t="n">
        <v>37</v>
      </c>
      <c r="E14" s="70" t="n">
        <v>31</v>
      </c>
      <c r="F14" s="73" t="n">
        <f aca="false">IF(A14="","",C14*D14/10000)</f>
        <v>0.2109</v>
      </c>
      <c r="G14" s="73" t="n">
        <f aca="false">IF(A14="","",C14*D14*E14/1000000)</f>
        <v>0.065379</v>
      </c>
      <c r="H14" s="62" t="n">
        <v>600</v>
      </c>
      <c r="I14" s="62" t="n">
        <v>400</v>
      </c>
      <c r="J14" s="62" t="n">
        <v>1</v>
      </c>
      <c r="K14" s="69" t="n">
        <f aca="false">IF(OR(A14="",N(H14)&lt;=0,N(I14)&lt;=0),"",MAX(INT(INDEX(Parameter!$F$5:$F$7,Parameter!$M$22)/H14)*INT(INDEX(Parameter!$G$5:$G$7,Parameter!$M$22)/I14),INT(INDEX(Parameter!$F$5:$F$7,Parameter!$M$22)/I14)*INT(INDEX(Parameter!$G$5:$G$7,Parameter!$M$22)/H14))*MAX(1,N(J14)))</f>
        <v>12</v>
      </c>
      <c r="L14" s="62" t="n">
        <v>12</v>
      </c>
      <c r="M14" s="66" t="n">
        <f aca="false">IF(A14="","",IF(N(L14)&gt;0,L14,N(K14)))</f>
        <v>12</v>
      </c>
      <c r="N14" s="62" t="n">
        <v>31</v>
      </c>
    </row>
    <row r="15" customFormat="false" ht="15" hidden="false" customHeight="false" outlineLevel="0" collapsed="false">
      <c r="A15" s="61" t="s">
        <v>183</v>
      </c>
      <c r="B15" s="61" t="s">
        <v>3144</v>
      </c>
      <c r="C15" s="70" t="n">
        <v>80</v>
      </c>
      <c r="D15" s="70" t="n">
        <v>60</v>
      </c>
      <c r="E15" s="70" t="n">
        <v>20</v>
      </c>
      <c r="F15" s="73" t="n">
        <f aca="false">IF(A15="","",C15*D15/10000)</f>
        <v>0.48</v>
      </c>
      <c r="G15" s="73" t="n">
        <f aca="false">IF(A15="","",C15*D15*E15/1000000)</f>
        <v>0.096</v>
      </c>
      <c r="H15" s="62" t="n">
        <v>800</v>
      </c>
      <c r="I15" s="62" t="n">
        <v>600</v>
      </c>
      <c r="J15" s="62" t="n">
        <v>1</v>
      </c>
      <c r="K15" s="69" t="n">
        <f aca="false">IF(OR(A15="",N(H15)&lt;=0,N(I15)&lt;=0),"",MAX(INT(INDEX(Parameter!$F$5:$F$7,Parameter!$M$22)/H15)*INT(INDEX(Parameter!$G$5:$G$7,Parameter!$M$22)/I15),INT(INDEX(Parameter!$F$5:$F$7,Parameter!$M$22)/I15)*INT(INDEX(Parameter!$G$5:$G$7,Parameter!$M$22)/H15))*MAX(1,N(J15)))</f>
        <v>6</v>
      </c>
      <c r="L15" s="62" t="n">
        <v>6</v>
      </c>
      <c r="M15" s="66" t="n">
        <f aca="false">IF(A15="","",IF(N(L15)&gt;0,L15,N(K15)))</f>
        <v>6</v>
      </c>
      <c r="N15" s="62" t="n">
        <v>20</v>
      </c>
    </row>
    <row r="16" customFormat="false" ht="15" hidden="false" customHeight="false" outlineLevel="0" collapsed="false">
      <c r="A16" s="61" t="s">
        <v>268</v>
      </c>
      <c r="B16" s="61" t="s">
        <v>3145</v>
      </c>
      <c r="C16" s="70" t="n">
        <v>80</v>
      </c>
      <c r="D16" s="70" t="n">
        <v>60</v>
      </c>
      <c r="E16" s="70" t="n">
        <v>40</v>
      </c>
      <c r="F16" s="73" t="n">
        <f aca="false">IF(A16="","",C16*D16/10000)</f>
        <v>0.48</v>
      </c>
      <c r="G16" s="73" t="n">
        <f aca="false">IF(A16="","",C16*D16*E16/1000000)</f>
        <v>0.192</v>
      </c>
      <c r="H16" s="62" t="n">
        <v>800</v>
      </c>
      <c r="I16" s="62" t="n">
        <v>600</v>
      </c>
      <c r="J16" s="62" t="n">
        <v>1</v>
      </c>
      <c r="K16" s="69" t="n">
        <f aca="false">IF(OR(A16="",N(H16)&lt;=0,N(I16)&lt;=0),"",MAX(INT(INDEX(Parameter!$F$5:$F$7,Parameter!$M$22)/H16)*INT(INDEX(Parameter!$G$5:$G$7,Parameter!$M$22)/I16),INT(INDEX(Parameter!$F$5:$F$7,Parameter!$M$22)/I16)*INT(INDEX(Parameter!$G$5:$G$7,Parameter!$M$22)/H16))*MAX(1,N(J16)))</f>
        <v>6</v>
      </c>
      <c r="L16" s="62" t="n">
        <v>6</v>
      </c>
      <c r="M16" s="66" t="n">
        <f aca="false">IF(A16="","",IF(N(L16)&gt;0,L16,N(K16)))</f>
        <v>6</v>
      </c>
      <c r="N16" s="62" t="n">
        <v>40</v>
      </c>
    </row>
    <row r="17" customFormat="false" ht="15" hidden="false" customHeight="false" outlineLevel="0" collapsed="false">
      <c r="A17" s="61" t="s">
        <v>3105</v>
      </c>
      <c r="B17" s="61" t="s">
        <v>3146</v>
      </c>
      <c r="C17" s="70" t="n">
        <v>80</v>
      </c>
      <c r="D17" s="70" t="n">
        <v>60</v>
      </c>
      <c r="E17" s="70" t="n">
        <v>60</v>
      </c>
      <c r="F17" s="73" t="n">
        <f aca="false">IF(A17="","",C17*D17/10000)</f>
        <v>0.48</v>
      </c>
      <c r="G17" s="73" t="n">
        <f aca="false">IF(A17="","",C17*D17*E17/1000000)</f>
        <v>0.288</v>
      </c>
      <c r="H17" s="62" t="n">
        <v>800</v>
      </c>
      <c r="I17" s="62" t="n">
        <v>600</v>
      </c>
      <c r="J17" s="62" t="n">
        <v>1</v>
      </c>
      <c r="K17" s="69" t="n">
        <f aca="false">IF(OR(A17="",N(H17)&lt;=0,N(I17)&lt;=0),"",MAX(INT(INDEX(Parameter!$F$5:$F$7,Parameter!$M$22)/H17)*INT(INDEX(Parameter!$G$5:$G$7,Parameter!$M$22)/I17),INT(INDEX(Parameter!$F$5:$F$7,Parameter!$M$22)/I17)*INT(INDEX(Parameter!$G$5:$G$7,Parameter!$M$22)/H17))*MAX(1,N(J17)))</f>
        <v>6</v>
      </c>
      <c r="L17" s="62" t="n">
        <v>6</v>
      </c>
      <c r="M17" s="66" t="n">
        <f aca="false">IF(A17="","",IF(N(L17)&gt;0,L17,N(K17)))</f>
        <v>6</v>
      </c>
      <c r="N17" s="62" t="n">
        <v>60</v>
      </c>
    </row>
    <row r="18" customFormat="false" ht="15" hidden="false" customHeight="false" outlineLevel="0" collapsed="false">
      <c r="A18" s="61" t="s">
        <v>232</v>
      </c>
      <c r="B18" s="61" t="s">
        <v>3147</v>
      </c>
      <c r="C18" s="70" t="n">
        <v>120</v>
      </c>
      <c r="D18" s="70" t="n">
        <v>80</v>
      </c>
      <c r="E18" s="70" t="n">
        <v>20</v>
      </c>
      <c r="F18" s="73" t="n">
        <f aca="false">IF(A18="","",C18*D18/10000)</f>
        <v>0.96</v>
      </c>
      <c r="G18" s="73" t="n">
        <f aca="false">IF(A18="","",C18*D18*E18/1000000)</f>
        <v>0.192</v>
      </c>
      <c r="H18" s="62" t="n">
        <v>1200</v>
      </c>
      <c r="I18" s="62" t="n">
        <v>800</v>
      </c>
      <c r="J18" s="62" t="n">
        <v>1</v>
      </c>
      <c r="K18" s="69" t="n">
        <f aca="false">IF(OR(A18="",N(H18)&lt;=0,N(I18)&lt;=0),"",MAX(INT(INDEX(Parameter!$F$5:$F$7,Parameter!$M$22)/H18)*INT(INDEX(Parameter!$G$5:$G$7,Parameter!$M$22)/I18),INT(INDEX(Parameter!$F$5:$F$7,Parameter!$M$22)/I18)*INT(INDEX(Parameter!$G$5:$G$7,Parameter!$M$22)/H18))*MAX(1,N(J18)))</f>
        <v>3</v>
      </c>
      <c r="L18" s="62" t="n">
        <v>4</v>
      </c>
      <c r="M18" s="66" t="n">
        <f aca="false">IF(A18="","",IF(N(L18)&gt;0,L18,N(K18)))</f>
        <v>4</v>
      </c>
      <c r="N18" s="62" t="n">
        <v>20</v>
      </c>
    </row>
    <row r="19" customFormat="false" ht="15" hidden="false" customHeight="false" outlineLevel="0" collapsed="false">
      <c r="A19" s="61" t="s">
        <v>357</v>
      </c>
      <c r="B19" s="61" t="s">
        <v>3148</v>
      </c>
      <c r="C19" s="70" t="n">
        <v>120</v>
      </c>
      <c r="D19" s="70" t="n">
        <v>80</v>
      </c>
      <c r="E19" s="70" t="n">
        <v>40</v>
      </c>
      <c r="F19" s="73" t="n">
        <f aca="false">IF(A19="","",C19*D19/10000)</f>
        <v>0.96</v>
      </c>
      <c r="G19" s="73" t="n">
        <f aca="false">IF(A19="","",C19*D19*E19/1000000)</f>
        <v>0.384</v>
      </c>
      <c r="H19" s="62" t="n">
        <v>1200</v>
      </c>
      <c r="I19" s="62" t="n">
        <v>800</v>
      </c>
      <c r="J19" s="62" t="n">
        <v>1</v>
      </c>
      <c r="K19" s="69" t="n">
        <f aca="false">IF(OR(A19="",N(H19)&lt;=0,N(I19)&lt;=0),"",MAX(INT(INDEX(Parameter!$F$5:$F$7,Parameter!$M$22)/H19)*INT(INDEX(Parameter!$G$5:$G$7,Parameter!$M$22)/I19),INT(INDEX(Parameter!$F$5:$F$7,Parameter!$M$22)/I19)*INT(INDEX(Parameter!$G$5:$G$7,Parameter!$M$22)/H19))*MAX(1,N(J19)))</f>
        <v>3</v>
      </c>
      <c r="L19" s="62" t="n">
        <v>4</v>
      </c>
      <c r="M19" s="66" t="n">
        <f aca="false">IF(A19="","",IF(N(L19)&gt;0,L19,N(K19)))</f>
        <v>4</v>
      </c>
      <c r="N19" s="62" t="n">
        <v>40</v>
      </c>
    </row>
    <row r="20" customFormat="false" ht="15" hidden="false" customHeight="false" outlineLevel="0" collapsed="false">
      <c r="A20" s="61" t="s">
        <v>3107</v>
      </c>
      <c r="B20" s="61" t="s">
        <v>3149</v>
      </c>
      <c r="C20" s="70" t="n">
        <v>120</v>
      </c>
      <c r="D20" s="70" t="n">
        <v>80</v>
      </c>
      <c r="E20" s="70" t="n">
        <v>60</v>
      </c>
      <c r="F20" s="73" t="n">
        <f aca="false">IF(A20="","",C20*D20/10000)</f>
        <v>0.96</v>
      </c>
      <c r="G20" s="73" t="n">
        <f aca="false">IF(A20="","",C20*D20*E20/1000000)</f>
        <v>0.576</v>
      </c>
      <c r="H20" s="62" t="n">
        <v>1200</v>
      </c>
      <c r="I20" s="62" t="n">
        <v>800</v>
      </c>
      <c r="J20" s="62" t="n">
        <v>1</v>
      </c>
      <c r="K20" s="69" t="n">
        <f aca="false">IF(OR(A20="",N(H20)&lt;=0,N(I20)&lt;=0),"",MAX(INT(INDEX(Parameter!$F$5:$F$7,Parameter!$M$22)/H20)*INT(INDEX(Parameter!$G$5:$G$7,Parameter!$M$22)/I20),INT(INDEX(Parameter!$F$5:$F$7,Parameter!$M$22)/I20)*INT(INDEX(Parameter!$G$5:$G$7,Parameter!$M$22)/H20))*MAX(1,N(J20)))</f>
        <v>3</v>
      </c>
      <c r="L20" s="62" t="n">
        <v>4</v>
      </c>
      <c r="M20" s="66" t="n">
        <f aca="false">IF(A20="","",IF(N(L20)&gt;0,L20,N(K20)))</f>
        <v>4</v>
      </c>
      <c r="N20" s="62" t="n">
        <v>60</v>
      </c>
    </row>
    <row r="21" customFormat="false" ht="15" hidden="false" customHeight="false" outlineLevel="0" collapsed="false">
      <c r="A21" s="61" t="s">
        <v>3108</v>
      </c>
      <c r="B21" s="61" t="s">
        <v>3150</v>
      </c>
      <c r="C21" s="70" t="n">
        <v>120</v>
      </c>
      <c r="D21" s="70" t="n">
        <v>80</v>
      </c>
      <c r="E21" s="70" t="n">
        <v>20</v>
      </c>
      <c r="F21" s="73" t="n">
        <f aca="false">IF(A21="","",C21*D21/10000)</f>
        <v>0.96</v>
      </c>
      <c r="G21" s="73" t="n">
        <f aca="false">IF(A21="","",C21*D21*E21/1000000)</f>
        <v>0.192</v>
      </c>
      <c r="H21" s="62" t="n">
        <v>1200</v>
      </c>
      <c r="I21" s="62" t="n">
        <v>800</v>
      </c>
      <c r="J21" s="62" t="n">
        <v>1</v>
      </c>
      <c r="K21" s="69" t="n">
        <f aca="false">IF(OR(A21="",N(H21)&lt;=0,N(I21)&lt;=0),"",MAX(INT(INDEX(Parameter!$F$5:$F$7,Parameter!$M$22)/H21)*INT(INDEX(Parameter!$G$5:$G$7,Parameter!$M$22)/I21),INT(INDEX(Parameter!$F$5:$F$7,Parameter!$M$22)/I21)*INT(INDEX(Parameter!$G$5:$G$7,Parameter!$M$22)/H21))*MAX(1,N(J21)))</f>
        <v>3</v>
      </c>
      <c r="L21" s="62"/>
      <c r="M21" s="66" t="n">
        <f aca="false">IF(A21="","",IF(N(L21)&gt;0,L21,N(K21)))</f>
        <v>3</v>
      </c>
      <c r="N21" s="62" t="n">
        <v>20</v>
      </c>
    </row>
    <row r="22" customFormat="false" ht="15" hidden="false" customHeight="false" outlineLevel="0" collapsed="false">
      <c r="A22" s="61" t="s">
        <v>3109</v>
      </c>
      <c r="B22" s="61" t="s">
        <v>3151</v>
      </c>
      <c r="C22" s="70" t="n">
        <v>120</v>
      </c>
      <c r="D22" s="70" t="n">
        <v>80</v>
      </c>
      <c r="E22" s="70" t="n">
        <v>40</v>
      </c>
      <c r="F22" s="73" t="n">
        <f aca="false">IF(A22="","",C22*D22/10000)</f>
        <v>0.96</v>
      </c>
      <c r="G22" s="73" t="n">
        <f aca="false">IF(A22="","",C22*D22*E22/1000000)</f>
        <v>0.384</v>
      </c>
      <c r="H22" s="62" t="n">
        <v>1200</v>
      </c>
      <c r="I22" s="62" t="n">
        <v>800</v>
      </c>
      <c r="J22" s="62" t="n">
        <v>1</v>
      </c>
      <c r="K22" s="69" t="n">
        <f aca="false">IF(OR(A22="",N(H22)&lt;=0,N(I22)&lt;=0),"",MAX(INT(INDEX(Parameter!$F$5:$F$7,Parameter!$M$22)/H22)*INT(INDEX(Parameter!$G$5:$G$7,Parameter!$M$22)/I22),INT(INDEX(Parameter!$F$5:$F$7,Parameter!$M$22)/I22)*INT(INDEX(Parameter!$G$5:$G$7,Parameter!$M$22)/H22))*MAX(1,N(J22)))</f>
        <v>3</v>
      </c>
      <c r="L22" s="62"/>
      <c r="M22" s="66" t="n">
        <f aca="false">IF(A22="","",IF(N(L22)&gt;0,L22,N(K22)))</f>
        <v>3</v>
      </c>
      <c r="N22" s="62" t="n">
        <v>40</v>
      </c>
    </row>
    <row r="23" customFormat="false" ht="15" hidden="false" customHeight="false" outlineLevel="0" collapsed="false">
      <c r="A23" s="61" t="s">
        <v>3110</v>
      </c>
      <c r="B23" s="61" t="s">
        <v>3152</v>
      </c>
      <c r="C23" s="70" t="n">
        <v>120</v>
      </c>
      <c r="D23" s="70" t="n">
        <v>80</v>
      </c>
      <c r="E23" s="70" t="n">
        <v>80</v>
      </c>
      <c r="F23" s="73" t="n">
        <f aca="false">IF(A23="","",C23*D23/10000)</f>
        <v>0.96</v>
      </c>
      <c r="G23" s="73" t="n">
        <f aca="false">IF(A23="","",C23*D23*E23/1000000)</f>
        <v>0.768</v>
      </c>
      <c r="H23" s="62" t="n">
        <v>1200</v>
      </c>
      <c r="I23" s="62" t="n">
        <v>800</v>
      </c>
      <c r="J23" s="62" t="n">
        <v>1</v>
      </c>
      <c r="K23" s="69" t="n">
        <f aca="false">IF(OR(A23="",N(H23)&lt;=0,N(I23)&lt;=0),"",MAX(INT(INDEX(Parameter!$F$5:$F$7,Parameter!$M$22)/H23)*INT(INDEX(Parameter!$G$5:$G$7,Parameter!$M$22)/I23),INT(INDEX(Parameter!$F$5:$F$7,Parameter!$M$22)/I23)*INT(INDEX(Parameter!$G$5:$G$7,Parameter!$M$22)/H23))*MAX(1,N(J23)))</f>
        <v>3</v>
      </c>
      <c r="L23" s="62"/>
      <c r="M23" s="66" t="n">
        <f aca="false">IF(A23="","",IF(N(L23)&gt;0,L23,N(K23)))</f>
        <v>3</v>
      </c>
      <c r="N23" s="62" t="n">
        <v>80</v>
      </c>
    </row>
    <row r="24" customFormat="false" ht="15" hidden="false" customHeight="false" outlineLevel="0" collapsed="false">
      <c r="A24" s="61" t="s">
        <v>3111</v>
      </c>
      <c r="B24" s="61" t="s">
        <v>3153</v>
      </c>
      <c r="C24" s="70" t="n">
        <v>120</v>
      </c>
      <c r="D24" s="70" t="n">
        <v>80</v>
      </c>
      <c r="E24" s="70" t="n">
        <v>120</v>
      </c>
      <c r="F24" s="73" t="n">
        <f aca="false">IF(A24="","",C24*D24/10000)</f>
        <v>0.96</v>
      </c>
      <c r="G24" s="73" t="n">
        <f aca="false">IF(A24="","",C24*D24*E24/1000000)</f>
        <v>1.152</v>
      </c>
      <c r="H24" s="62" t="n">
        <v>1200</v>
      </c>
      <c r="I24" s="62" t="n">
        <v>800</v>
      </c>
      <c r="J24" s="62" t="n">
        <v>1</v>
      </c>
      <c r="K24" s="69" t="n">
        <f aca="false">IF(OR(A24="",N(H24)&lt;=0,N(I24)&lt;=0),"",MAX(INT(INDEX(Parameter!$F$5:$F$7,Parameter!$M$22)/H24)*INT(INDEX(Parameter!$G$5:$G$7,Parameter!$M$22)/I24),INT(INDEX(Parameter!$F$5:$F$7,Parameter!$M$22)/I24)*INT(INDEX(Parameter!$G$5:$G$7,Parameter!$M$22)/H24))*MAX(1,N(J24)))</f>
        <v>3</v>
      </c>
      <c r="L24" s="62"/>
      <c r="M24" s="66" t="n">
        <f aca="false">IF(A24="","",IF(N(L24)&gt;0,L24,N(K24)))</f>
        <v>3</v>
      </c>
      <c r="N24" s="62" t="n">
        <v>120</v>
      </c>
    </row>
    <row r="25" customFormat="false" ht="15" hidden="false" customHeight="false" outlineLevel="0" collapsed="false">
      <c r="A25" s="61" t="s">
        <v>3112</v>
      </c>
      <c r="B25" s="61" t="s">
        <v>3154</v>
      </c>
      <c r="C25" s="70" t="n">
        <v>120</v>
      </c>
      <c r="D25" s="70" t="n">
        <v>80</v>
      </c>
      <c r="E25" s="70" t="n">
        <v>160</v>
      </c>
      <c r="F25" s="73" t="n">
        <f aca="false">IF(A25="","",C25*D25/10000)</f>
        <v>0.96</v>
      </c>
      <c r="G25" s="73" t="n">
        <f aca="false">IF(A25="","",C25*D25*E25/1000000)</f>
        <v>1.536</v>
      </c>
      <c r="H25" s="62" t="n">
        <v>1200</v>
      </c>
      <c r="I25" s="62" t="n">
        <v>800</v>
      </c>
      <c r="J25" s="62" t="n">
        <v>1</v>
      </c>
      <c r="K25" s="69" t="n">
        <f aca="false">IF(OR(A25="",N(H25)&lt;=0,N(I25)&lt;=0),"",MAX(INT(INDEX(Parameter!$F$5:$F$7,Parameter!$M$22)/H25)*INT(INDEX(Parameter!$G$5:$G$7,Parameter!$M$22)/I25),INT(INDEX(Parameter!$F$5:$F$7,Parameter!$M$22)/I25)*INT(INDEX(Parameter!$G$5:$G$7,Parameter!$M$22)/H25))*MAX(1,N(J25)))</f>
        <v>3</v>
      </c>
      <c r="L25" s="62"/>
      <c r="M25" s="66" t="n">
        <f aca="false">IF(A25="","",IF(N(L25)&gt;0,L25,N(K25)))</f>
        <v>3</v>
      </c>
      <c r="N25" s="62" t="n">
        <v>160</v>
      </c>
    </row>
    <row r="26" customFormat="false" ht="15" hidden="false" customHeight="false" outlineLevel="0" collapsed="false">
      <c r="A26" s="61" t="s">
        <v>3113</v>
      </c>
      <c r="B26" s="61" t="s">
        <v>3155</v>
      </c>
      <c r="C26" s="70" t="n">
        <v>120</v>
      </c>
      <c r="D26" s="70" t="n">
        <v>80</v>
      </c>
      <c r="E26" s="70" t="n">
        <v>200</v>
      </c>
      <c r="F26" s="73" t="n">
        <f aca="false">IF(A26="","",C26*D26/10000)</f>
        <v>0.96</v>
      </c>
      <c r="G26" s="73" t="n">
        <f aca="false">IF(A26="","",C26*D26*E26/1000000)</f>
        <v>1.92</v>
      </c>
      <c r="H26" s="62" t="n">
        <v>1200</v>
      </c>
      <c r="I26" s="62" t="n">
        <v>800</v>
      </c>
      <c r="J26" s="62" t="n">
        <v>1</v>
      </c>
      <c r="K26" s="69" t="n">
        <f aca="false">IF(OR(A26="",N(H26)&lt;=0,N(I26)&lt;=0),"",MAX(INT(INDEX(Parameter!$F$5:$F$7,Parameter!$M$22)/H26)*INT(INDEX(Parameter!$G$5:$G$7,Parameter!$M$22)/I26),INT(INDEX(Parameter!$F$5:$F$7,Parameter!$M$22)/I26)*INT(INDEX(Parameter!$G$5:$G$7,Parameter!$M$22)/H26))*MAX(1,N(J26)))</f>
        <v>3</v>
      </c>
      <c r="L26" s="62"/>
      <c r="M26" s="66" t="n">
        <f aca="false">IF(A26="","",IF(N(L26)&gt;0,L26,N(K26)))</f>
        <v>3</v>
      </c>
      <c r="N26" s="62" t="n">
        <v>200</v>
      </c>
    </row>
    <row r="27" customFormat="false" ht="15" hidden="false" customHeight="false" outlineLevel="0" collapsed="false">
      <c r="A27" s="61"/>
      <c r="B27" s="61"/>
      <c r="C27" s="70"/>
      <c r="D27" s="70"/>
      <c r="E27" s="70"/>
      <c r="F27" s="73" t="str">
        <f aca="false">IF(A27="","",C27*D27/10000)</f>
        <v/>
      </c>
      <c r="G27" s="73" t="str">
        <f aca="false">IF(A27="","",C27*D27*E27/1000000)</f>
        <v/>
      </c>
      <c r="H27" s="62"/>
      <c r="I27" s="62"/>
      <c r="J27" s="62"/>
      <c r="K27" s="69" t="str">
        <f aca="false">IF(OR(A27="",N(H27)&lt;=0,N(I27)&lt;=0),"",MAX(INT(INDEX(Parameter!$F$5:$F$7,Parameter!$M$22)/H27)*INT(INDEX(Parameter!$G$5:$G$7,Parameter!$M$22)/I27),INT(INDEX(Parameter!$F$5:$F$7,Parameter!$M$22)/I27)*INT(INDEX(Parameter!$G$5:$G$7,Parameter!$M$22)/H27))*MAX(1,N(J27)))</f>
        <v/>
      </c>
      <c r="L27" s="62"/>
      <c r="M27" s="66" t="str">
        <f aca="false">IF(A27="","",IF(N(L27)&gt;0,L27,N(K27)))</f>
        <v/>
      </c>
      <c r="N27" s="62"/>
    </row>
    <row r="28" customFormat="false" ht="15" hidden="false" customHeight="false" outlineLevel="0" collapsed="false">
      <c r="A28" s="61"/>
      <c r="B28" s="61"/>
      <c r="C28" s="70"/>
      <c r="D28" s="70"/>
      <c r="E28" s="70"/>
      <c r="F28" s="73" t="str">
        <f aca="false">IF(A28="","",C28*D28/10000)</f>
        <v/>
      </c>
      <c r="G28" s="73" t="str">
        <f aca="false">IF(A28="","",C28*D28*E28/1000000)</f>
        <v/>
      </c>
      <c r="H28" s="62"/>
      <c r="I28" s="62"/>
      <c r="J28" s="62"/>
      <c r="K28" s="69" t="str">
        <f aca="false">IF(OR(A28="",N(H28)&lt;=0,N(I28)&lt;=0),"",MAX(INT(INDEX(Parameter!$F$5:$F$7,Parameter!$M$22)/H28)*INT(INDEX(Parameter!$G$5:$G$7,Parameter!$M$22)/I28),INT(INDEX(Parameter!$F$5:$F$7,Parameter!$M$22)/I28)*INT(INDEX(Parameter!$G$5:$G$7,Parameter!$M$22)/H28))*MAX(1,N(J28)))</f>
        <v/>
      </c>
      <c r="L28" s="62"/>
      <c r="M28" s="66" t="str">
        <f aca="false">IF(A28="","",IF(N(L28)&gt;0,L28,N(K28)))</f>
        <v/>
      </c>
      <c r="N28" s="62"/>
    </row>
    <row r="29" customFormat="false" ht="15" hidden="false" customHeight="false" outlineLevel="0" collapsed="false">
      <c r="A29" s="61"/>
      <c r="B29" s="61"/>
      <c r="C29" s="70"/>
      <c r="D29" s="70"/>
      <c r="E29" s="70"/>
      <c r="F29" s="73" t="str">
        <f aca="false">IF(A29="","",C29*D29/10000)</f>
        <v/>
      </c>
      <c r="G29" s="73" t="str">
        <f aca="false">IF(A29="","",C29*D29*E29/1000000)</f>
        <v/>
      </c>
      <c r="H29" s="62"/>
      <c r="I29" s="62"/>
      <c r="J29" s="62"/>
      <c r="K29" s="69" t="str">
        <f aca="false">IF(OR(A29="",N(H29)&lt;=0,N(I29)&lt;=0),"",MAX(INT(INDEX(Parameter!$F$5:$F$7,Parameter!$M$22)/H29)*INT(INDEX(Parameter!$G$5:$G$7,Parameter!$M$22)/I29),INT(INDEX(Parameter!$F$5:$F$7,Parameter!$M$22)/I29)*INT(INDEX(Parameter!$G$5:$G$7,Parameter!$M$22)/H29))*MAX(1,N(J29)))</f>
        <v/>
      </c>
      <c r="L29" s="62"/>
      <c r="M29" s="66" t="str">
        <f aca="false">IF(A29="","",IF(N(L29)&gt;0,L29,N(K29)))</f>
        <v/>
      </c>
      <c r="N29" s="62"/>
    </row>
    <row r="30" customFormat="false" ht="15" hidden="false" customHeight="false" outlineLevel="0" collapsed="false">
      <c r="A30" s="61"/>
      <c r="B30" s="61"/>
      <c r="C30" s="70"/>
      <c r="D30" s="70"/>
      <c r="E30" s="70"/>
      <c r="F30" s="73" t="str">
        <f aca="false">IF(A30="","",C30*D30/10000)</f>
        <v/>
      </c>
      <c r="G30" s="73" t="str">
        <f aca="false">IF(A30="","",C30*D30*E30/1000000)</f>
        <v/>
      </c>
      <c r="H30" s="62"/>
      <c r="I30" s="62"/>
      <c r="J30" s="62"/>
      <c r="K30" s="69" t="str">
        <f aca="false">IF(OR(A30="",N(H30)&lt;=0,N(I30)&lt;=0),"",MAX(INT(INDEX(Parameter!$F$5:$F$7,Parameter!$M$22)/H30)*INT(INDEX(Parameter!$G$5:$G$7,Parameter!$M$22)/I30),INT(INDEX(Parameter!$F$5:$F$7,Parameter!$M$22)/I30)*INT(INDEX(Parameter!$G$5:$G$7,Parameter!$M$22)/H30))*MAX(1,N(J30)))</f>
        <v/>
      </c>
      <c r="L30" s="62"/>
      <c r="M30" s="66" t="str">
        <f aca="false">IF(A30="","",IF(N(L30)&gt;0,L30,N(K30)))</f>
        <v/>
      </c>
      <c r="N30" s="62"/>
    </row>
    <row r="31" customFormat="false" ht="15" hidden="false" customHeight="false" outlineLevel="0" collapsed="false">
      <c r="A31" s="61"/>
      <c r="B31" s="61"/>
      <c r="C31" s="70"/>
      <c r="D31" s="70"/>
      <c r="E31" s="70"/>
      <c r="F31" s="73" t="str">
        <f aca="false">IF(A31="","",C31*D31/10000)</f>
        <v/>
      </c>
      <c r="G31" s="73" t="str">
        <f aca="false">IF(A31="","",C31*D31*E31/1000000)</f>
        <v/>
      </c>
      <c r="H31" s="62"/>
      <c r="I31" s="62"/>
      <c r="J31" s="62"/>
      <c r="K31" s="69" t="str">
        <f aca="false">IF(OR(A31="",N(H31)&lt;=0,N(I31)&lt;=0),"",MAX(INT(INDEX(Parameter!$F$5:$F$7,Parameter!$M$22)/H31)*INT(INDEX(Parameter!$G$5:$G$7,Parameter!$M$22)/I31),INT(INDEX(Parameter!$F$5:$F$7,Parameter!$M$22)/I31)*INT(INDEX(Parameter!$G$5:$G$7,Parameter!$M$22)/H31))*MAX(1,N(J31)))</f>
        <v/>
      </c>
      <c r="L31" s="62"/>
      <c r="M31" s="66" t="str">
        <f aca="false">IF(A31="","",IF(N(L31)&gt;0,L31,N(K31)))</f>
        <v/>
      </c>
      <c r="N31" s="62"/>
    </row>
    <row r="32" customFormat="false" ht="15" hidden="false" customHeight="false" outlineLevel="0" collapsed="false">
      <c r="A32" s="61"/>
      <c r="B32" s="61"/>
      <c r="C32" s="70"/>
      <c r="D32" s="70"/>
      <c r="E32" s="70"/>
      <c r="F32" s="73" t="str">
        <f aca="false">IF(A32="","",C32*D32/10000)</f>
        <v/>
      </c>
      <c r="G32" s="73" t="str">
        <f aca="false">IF(A32="","",C32*D32*E32/1000000)</f>
        <v/>
      </c>
      <c r="H32" s="62"/>
      <c r="I32" s="62"/>
      <c r="J32" s="62"/>
      <c r="K32" s="69" t="str">
        <f aca="false">IF(OR(A32="",N(H32)&lt;=0,N(I32)&lt;=0),"",MAX(INT(INDEX(Parameter!$F$5:$F$7,Parameter!$M$22)/H32)*INT(INDEX(Parameter!$G$5:$G$7,Parameter!$M$22)/I32),INT(INDEX(Parameter!$F$5:$F$7,Parameter!$M$22)/I32)*INT(INDEX(Parameter!$G$5:$G$7,Parameter!$M$22)/H32))*MAX(1,N(J32)))</f>
        <v/>
      </c>
      <c r="L32" s="62"/>
      <c r="M32" s="66" t="str">
        <f aca="false">IF(A32="","",IF(N(L32)&gt;0,L32,N(K32)))</f>
        <v/>
      </c>
      <c r="N32" s="62"/>
    </row>
    <row r="33" customFormat="false" ht="15" hidden="false" customHeight="false" outlineLevel="0" collapsed="false">
      <c r="A33" s="61"/>
      <c r="B33" s="61"/>
      <c r="C33" s="70"/>
      <c r="D33" s="70"/>
      <c r="E33" s="70"/>
      <c r="F33" s="73" t="str">
        <f aca="false">IF(A33="","",C33*D33/10000)</f>
        <v/>
      </c>
      <c r="G33" s="73" t="str">
        <f aca="false">IF(A33="","",C33*D33*E33/1000000)</f>
        <v/>
      </c>
      <c r="H33" s="62"/>
      <c r="I33" s="62"/>
      <c r="J33" s="62"/>
      <c r="K33" s="69" t="str">
        <f aca="false">IF(OR(A33="",N(H33)&lt;=0,N(I33)&lt;=0),"",MAX(INT(INDEX(Parameter!$F$5:$F$7,Parameter!$M$22)/H33)*INT(INDEX(Parameter!$G$5:$G$7,Parameter!$M$22)/I33),INT(INDEX(Parameter!$F$5:$F$7,Parameter!$M$22)/I33)*INT(INDEX(Parameter!$G$5:$G$7,Parameter!$M$22)/H33))*MAX(1,N(J33)))</f>
        <v/>
      </c>
      <c r="L33" s="62"/>
      <c r="M33" s="66" t="str">
        <f aca="false">IF(A33="","",IF(N(L33)&gt;0,L33,N(K33)))</f>
        <v/>
      </c>
      <c r="N33" s="62"/>
    </row>
    <row r="34" customFormat="false" ht="15" hidden="false" customHeight="false" outlineLevel="0" collapsed="false">
      <c r="A34" s="61"/>
      <c r="B34" s="61"/>
      <c r="C34" s="70"/>
      <c r="D34" s="70"/>
      <c r="E34" s="70"/>
      <c r="F34" s="73" t="str">
        <f aca="false">IF(A34="","",C34*D34/10000)</f>
        <v/>
      </c>
      <c r="G34" s="73" t="str">
        <f aca="false">IF(A34="","",C34*D34*E34/1000000)</f>
        <v/>
      </c>
      <c r="H34" s="62"/>
      <c r="I34" s="62"/>
      <c r="J34" s="62"/>
      <c r="K34" s="69" t="str">
        <f aca="false">IF(OR(A34="",N(H34)&lt;=0,N(I34)&lt;=0),"",MAX(INT(INDEX(Parameter!$F$5:$F$7,Parameter!$M$22)/H34)*INT(INDEX(Parameter!$G$5:$G$7,Parameter!$M$22)/I34),INT(INDEX(Parameter!$F$5:$F$7,Parameter!$M$22)/I34)*INT(INDEX(Parameter!$G$5:$G$7,Parameter!$M$22)/H34))*MAX(1,N(J34)))</f>
        <v/>
      </c>
      <c r="L34" s="62"/>
      <c r="M34" s="66" t="str">
        <f aca="false">IF(A34="","",IF(N(L34)&gt;0,L34,N(K34)))</f>
        <v/>
      </c>
      <c r="N34" s="62"/>
    </row>
    <row r="35" customFormat="false" ht="15" hidden="false" customHeight="false" outlineLevel="0" collapsed="false">
      <c r="A35" s="61"/>
      <c r="B35" s="61"/>
      <c r="C35" s="70"/>
      <c r="D35" s="70"/>
      <c r="E35" s="70"/>
      <c r="F35" s="73" t="str">
        <f aca="false">IF(A35="","",C35*D35/10000)</f>
        <v/>
      </c>
      <c r="G35" s="73" t="str">
        <f aca="false">IF(A35="","",C35*D35*E35/1000000)</f>
        <v/>
      </c>
      <c r="H35" s="62"/>
      <c r="I35" s="62"/>
      <c r="J35" s="62"/>
      <c r="K35" s="69" t="str">
        <f aca="false">IF(OR(A35="",N(H35)&lt;=0,N(I35)&lt;=0),"",MAX(INT(INDEX(Parameter!$F$5:$F$7,Parameter!$M$22)/H35)*INT(INDEX(Parameter!$G$5:$G$7,Parameter!$M$22)/I35),INT(INDEX(Parameter!$F$5:$F$7,Parameter!$M$22)/I35)*INT(INDEX(Parameter!$G$5:$G$7,Parameter!$M$22)/H35))*MAX(1,N(J35)))</f>
        <v/>
      </c>
      <c r="L35" s="62"/>
      <c r="M35" s="66" t="str">
        <f aca="false">IF(A35="","",IF(N(L35)&gt;0,L35,N(K35)))</f>
        <v/>
      </c>
      <c r="N35" s="62"/>
    </row>
    <row r="36" customFormat="false" ht="15" hidden="false" customHeight="false" outlineLevel="0" collapsed="false">
      <c r="A36" s="61"/>
      <c r="B36" s="61"/>
      <c r="C36" s="70"/>
      <c r="D36" s="70"/>
      <c r="E36" s="70"/>
      <c r="F36" s="73" t="str">
        <f aca="false">IF(A36="","",C36*D36/10000)</f>
        <v/>
      </c>
      <c r="G36" s="73" t="str">
        <f aca="false">IF(A36="","",C36*D36*E36/1000000)</f>
        <v/>
      </c>
      <c r="H36" s="62"/>
      <c r="I36" s="62"/>
      <c r="J36" s="62"/>
      <c r="K36" s="69" t="str">
        <f aca="false">IF(OR(A36="",N(H36)&lt;=0,N(I36)&lt;=0),"",MAX(INT(INDEX(Parameter!$F$5:$F$7,Parameter!$M$22)/H36)*INT(INDEX(Parameter!$G$5:$G$7,Parameter!$M$22)/I36),INT(INDEX(Parameter!$F$5:$F$7,Parameter!$M$22)/I36)*INT(INDEX(Parameter!$G$5:$G$7,Parameter!$M$22)/H36))*MAX(1,N(J36)))</f>
        <v/>
      </c>
      <c r="L36" s="62"/>
      <c r="M36" s="66" t="str">
        <f aca="false">IF(A36="","",IF(N(L36)&gt;0,L36,N(K36)))</f>
        <v/>
      </c>
      <c r="N36" s="62"/>
    </row>
    <row r="37" customFormat="false" ht="15" hidden="false" customHeight="false" outlineLevel="0" collapsed="false">
      <c r="A37" s="61"/>
      <c r="B37" s="61"/>
      <c r="C37" s="70"/>
      <c r="D37" s="70"/>
      <c r="E37" s="70"/>
      <c r="F37" s="73" t="str">
        <f aca="false">IF(A37="","",C37*D37/10000)</f>
        <v/>
      </c>
      <c r="G37" s="73" t="str">
        <f aca="false">IF(A37="","",C37*D37*E37/1000000)</f>
        <v/>
      </c>
      <c r="H37" s="62"/>
      <c r="I37" s="62"/>
      <c r="J37" s="62"/>
      <c r="K37" s="69" t="str">
        <f aca="false">IF(OR(A37="",N(H37)&lt;=0,N(I37)&lt;=0),"",MAX(INT(INDEX(Parameter!$F$5:$F$7,Parameter!$M$22)/H37)*INT(INDEX(Parameter!$G$5:$G$7,Parameter!$M$22)/I37),INT(INDEX(Parameter!$F$5:$F$7,Parameter!$M$22)/I37)*INT(INDEX(Parameter!$G$5:$G$7,Parameter!$M$22)/H37))*MAX(1,N(J37)))</f>
        <v/>
      </c>
      <c r="L37" s="62"/>
      <c r="M37" s="66" t="str">
        <f aca="false">IF(A37="","",IF(N(L37)&gt;0,L37,N(K37)))</f>
        <v/>
      </c>
      <c r="N37" s="62"/>
    </row>
    <row r="38" customFormat="false" ht="15" hidden="false" customHeight="false" outlineLevel="0" collapsed="false">
      <c r="A38" s="61"/>
      <c r="B38" s="61"/>
      <c r="C38" s="70"/>
      <c r="D38" s="70"/>
      <c r="E38" s="70"/>
      <c r="F38" s="73" t="str">
        <f aca="false">IF(A38="","",C38*D38/10000)</f>
        <v/>
      </c>
      <c r="G38" s="73" t="str">
        <f aca="false">IF(A38="","",C38*D38*E38/1000000)</f>
        <v/>
      </c>
      <c r="H38" s="62"/>
      <c r="I38" s="62"/>
      <c r="J38" s="62"/>
      <c r="K38" s="69" t="str">
        <f aca="false">IF(OR(A38="",N(H38)&lt;=0,N(I38)&lt;=0),"",MAX(INT(INDEX(Parameter!$F$5:$F$7,Parameter!$M$22)/H38)*INT(INDEX(Parameter!$G$5:$G$7,Parameter!$M$22)/I38),INT(INDEX(Parameter!$F$5:$F$7,Parameter!$M$22)/I38)*INT(INDEX(Parameter!$G$5:$G$7,Parameter!$M$22)/H38))*MAX(1,N(J38)))</f>
        <v/>
      </c>
      <c r="L38" s="62"/>
      <c r="M38" s="66" t="str">
        <f aca="false">IF(A38="","",IF(N(L38)&gt;0,L38,N(K38)))</f>
        <v/>
      </c>
      <c r="N38" s="62"/>
    </row>
    <row r="39" customFormat="false" ht="15" hidden="false" customHeight="false" outlineLevel="0" collapsed="false">
      <c r="A39" s="61"/>
      <c r="B39" s="61"/>
      <c r="C39" s="70"/>
      <c r="D39" s="70"/>
      <c r="E39" s="70"/>
      <c r="F39" s="73" t="str">
        <f aca="false">IF(A39="","",C39*D39/10000)</f>
        <v/>
      </c>
      <c r="G39" s="73" t="str">
        <f aca="false">IF(A39="","",C39*D39*E39/1000000)</f>
        <v/>
      </c>
      <c r="H39" s="62"/>
      <c r="I39" s="62"/>
      <c r="J39" s="62"/>
      <c r="K39" s="69" t="str">
        <f aca="false">IF(OR(A39="",N(H39)&lt;=0,N(I39)&lt;=0),"",MAX(INT(INDEX(Parameter!$F$5:$F$7,Parameter!$M$22)/H39)*INT(INDEX(Parameter!$G$5:$G$7,Parameter!$M$22)/I39),INT(INDEX(Parameter!$F$5:$F$7,Parameter!$M$22)/I39)*INT(INDEX(Parameter!$G$5:$G$7,Parameter!$M$22)/H39))*MAX(1,N(J39)))</f>
        <v/>
      </c>
      <c r="L39" s="62"/>
      <c r="M39" s="66" t="str">
        <f aca="false">IF(A39="","",IF(N(L39)&gt;0,L39,N(K39)))</f>
        <v/>
      </c>
      <c r="N39" s="62"/>
    </row>
    <row r="40" customFormat="false" ht="15" hidden="false" customHeight="false" outlineLevel="0" collapsed="false">
      <c r="A40" s="61"/>
      <c r="B40" s="61"/>
      <c r="C40" s="70"/>
      <c r="D40" s="70"/>
      <c r="E40" s="70"/>
      <c r="F40" s="73" t="str">
        <f aca="false">IF(A40="","",C40*D40/10000)</f>
        <v/>
      </c>
      <c r="G40" s="73" t="str">
        <f aca="false">IF(A40="","",C40*D40*E40/1000000)</f>
        <v/>
      </c>
      <c r="H40" s="62"/>
      <c r="I40" s="62"/>
      <c r="J40" s="62"/>
      <c r="K40" s="69" t="str">
        <f aca="false">IF(OR(A40="",N(H40)&lt;=0,N(I40)&lt;=0),"",MAX(INT(INDEX(Parameter!$F$5:$F$7,Parameter!$M$22)/H40)*INT(INDEX(Parameter!$G$5:$G$7,Parameter!$M$22)/I40),INT(INDEX(Parameter!$F$5:$F$7,Parameter!$M$22)/I40)*INT(INDEX(Parameter!$G$5:$G$7,Parameter!$M$22)/H40))*MAX(1,N(J40)))</f>
        <v/>
      </c>
      <c r="L40" s="62"/>
      <c r="M40" s="66" t="str">
        <f aca="false">IF(A40="","",IF(N(L40)&gt;0,L40,N(K40)))</f>
        <v/>
      </c>
      <c r="N40" s="62"/>
    </row>
    <row r="41" customFormat="false" ht="15" hidden="false" customHeight="false" outlineLevel="0" collapsed="false">
      <c r="A41" s="61"/>
      <c r="B41" s="61"/>
      <c r="C41" s="70"/>
      <c r="D41" s="70"/>
      <c r="E41" s="70"/>
      <c r="F41" s="73" t="str">
        <f aca="false">IF(A41="","",C41*D41/10000)</f>
        <v/>
      </c>
      <c r="G41" s="73" t="str">
        <f aca="false">IF(A41="","",C41*D41*E41/1000000)</f>
        <v/>
      </c>
      <c r="H41" s="62"/>
      <c r="I41" s="62"/>
      <c r="J41" s="62"/>
      <c r="K41" s="69" t="str">
        <f aca="false">IF(OR(A41="",N(H41)&lt;=0,N(I41)&lt;=0),"",MAX(INT(INDEX(Parameter!$F$5:$F$7,Parameter!$M$22)/H41)*INT(INDEX(Parameter!$G$5:$G$7,Parameter!$M$22)/I41),INT(INDEX(Parameter!$F$5:$F$7,Parameter!$M$22)/I41)*INT(INDEX(Parameter!$G$5:$G$7,Parameter!$M$22)/H41))*MAX(1,N(J41)))</f>
        <v/>
      </c>
      <c r="L41" s="62"/>
      <c r="M41" s="66" t="str">
        <f aca="false">IF(A41="","",IF(N(L41)&gt;0,L41,N(K41)))</f>
        <v/>
      </c>
      <c r="N41" s="62"/>
    </row>
    <row r="42" customFormat="false" ht="15" hidden="false" customHeight="false" outlineLevel="0" collapsed="false">
      <c r="A42" s="61"/>
      <c r="B42" s="61"/>
      <c r="C42" s="70"/>
      <c r="D42" s="70"/>
      <c r="E42" s="70"/>
      <c r="F42" s="73" t="str">
        <f aca="false">IF(A42="","",C42*D42/10000)</f>
        <v/>
      </c>
      <c r="G42" s="73" t="str">
        <f aca="false">IF(A42="","",C42*D42*E42/1000000)</f>
        <v/>
      </c>
      <c r="H42" s="62"/>
      <c r="I42" s="62"/>
      <c r="J42" s="62"/>
      <c r="K42" s="69" t="str">
        <f aca="false">IF(OR(A42="",N(H42)&lt;=0,N(I42)&lt;=0),"",MAX(INT(INDEX(Parameter!$F$5:$F$7,Parameter!$M$22)/H42)*INT(INDEX(Parameter!$G$5:$G$7,Parameter!$M$22)/I42),INT(INDEX(Parameter!$F$5:$F$7,Parameter!$M$22)/I42)*INT(INDEX(Parameter!$G$5:$G$7,Parameter!$M$22)/H42))*MAX(1,N(J42)))</f>
        <v/>
      </c>
      <c r="L42" s="62"/>
      <c r="M42" s="66" t="str">
        <f aca="false">IF(A42="","",IF(N(L42)&gt;0,L42,N(K42)))</f>
        <v/>
      </c>
      <c r="N42" s="62"/>
    </row>
    <row r="43" customFormat="false" ht="15" hidden="false" customHeight="false" outlineLevel="0" collapsed="false">
      <c r="A43" s="61"/>
      <c r="B43" s="61"/>
      <c r="C43" s="70"/>
      <c r="D43" s="70"/>
      <c r="E43" s="70"/>
      <c r="F43" s="73" t="str">
        <f aca="false">IF(A43="","",C43*D43/10000)</f>
        <v/>
      </c>
      <c r="G43" s="73" t="str">
        <f aca="false">IF(A43="","",C43*D43*E43/1000000)</f>
        <v/>
      </c>
      <c r="H43" s="62"/>
      <c r="I43" s="62"/>
      <c r="J43" s="62"/>
      <c r="K43" s="69" t="str">
        <f aca="false">IF(OR(A43="",N(H43)&lt;=0,N(I43)&lt;=0),"",MAX(INT(INDEX(Parameter!$F$5:$F$7,Parameter!$M$22)/H43)*INT(INDEX(Parameter!$G$5:$G$7,Parameter!$M$22)/I43),INT(INDEX(Parameter!$F$5:$F$7,Parameter!$M$22)/I43)*INT(INDEX(Parameter!$G$5:$G$7,Parameter!$M$22)/H43))*MAX(1,N(J43)))</f>
        <v/>
      </c>
      <c r="L43" s="62"/>
      <c r="M43" s="66" t="str">
        <f aca="false">IF(A43="","",IF(N(L43)&gt;0,L43,N(K43)))</f>
        <v/>
      </c>
      <c r="N43" s="62"/>
    </row>
    <row r="44" customFormat="false" ht="15" hidden="false" customHeight="false" outlineLevel="0" collapsed="false">
      <c r="A44" s="61"/>
      <c r="B44" s="61"/>
      <c r="C44" s="70"/>
      <c r="D44" s="70"/>
      <c r="E44" s="70"/>
      <c r="F44" s="73" t="str">
        <f aca="false">IF(A44="","",C44*D44/10000)</f>
        <v/>
      </c>
      <c r="G44" s="73" t="str">
        <f aca="false">IF(A44="","",C44*D44*E44/1000000)</f>
        <v/>
      </c>
      <c r="H44" s="62"/>
      <c r="I44" s="62"/>
      <c r="J44" s="62"/>
      <c r="K44" s="69" t="str">
        <f aca="false">IF(OR(A44="",N(H44)&lt;=0,N(I44)&lt;=0),"",MAX(INT(INDEX(Parameter!$F$5:$F$7,Parameter!$M$22)/H44)*INT(INDEX(Parameter!$G$5:$G$7,Parameter!$M$22)/I44),INT(INDEX(Parameter!$F$5:$F$7,Parameter!$M$22)/I44)*INT(INDEX(Parameter!$G$5:$G$7,Parameter!$M$22)/H44))*MAX(1,N(J44)))</f>
        <v/>
      </c>
      <c r="L44" s="62"/>
      <c r="M44" s="66" t="str">
        <f aca="false">IF(A44="","",IF(N(L44)&gt;0,L44,N(K44)))</f>
        <v/>
      </c>
      <c r="N44" s="62"/>
    </row>
    <row r="45" customFormat="false" ht="15" hidden="false" customHeight="false" outlineLevel="0" collapsed="false">
      <c r="A45" s="61"/>
      <c r="B45" s="61"/>
      <c r="C45" s="70"/>
      <c r="D45" s="70"/>
      <c r="E45" s="70"/>
      <c r="F45" s="73" t="str">
        <f aca="false">IF(A45="","",C45*D45/10000)</f>
        <v/>
      </c>
      <c r="G45" s="73" t="str">
        <f aca="false">IF(A45="","",C45*D45*E45/1000000)</f>
        <v/>
      </c>
      <c r="H45" s="62"/>
      <c r="I45" s="62"/>
      <c r="J45" s="62"/>
      <c r="K45" s="69" t="str">
        <f aca="false">IF(OR(A45="",N(H45)&lt;=0,N(I45)&lt;=0),"",MAX(INT(INDEX(Parameter!$F$5:$F$7,Parameter!$M$22)/H45)*INT(INDEX(Parameter!$G$5:$G$7,Parameter!$M$22)/I45),INT(INDEX(Parameter!$F$5:$F$7,Parameter!$M$22)/I45)*INT(INDEX(Parameter!$G$5:$G$7,Parameter!$M$22)/H45))*MAX(1,N(J45)))</f>
        <v/>
      </c>
      <c r="L45" s="62"/>
      <c r="M45" s="66" t="str">
        <f aca="false">IF(A45="","",IF(N(L45)&gt;0,L45,N(K45)))</f>
        <v/>
      </c>
      <c r="N45" s="6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7.35" hidden="false" customHeight="false" outlineLevel="0" collapsed="false">
      <c r="A1" s="29" t="s">
        <v>3156</v>
      </c>
    </row>
    <row r="2" customFormat="false" ht="15" hidden="false" customHeight="false" outlineLevel="0" collapsed="false">
      <c r="A2" s="30" t="s">
        <v>3157</v>
      </c>
    </row>
    <row r="4" customFormat="false" ht="30" hidden="false" customHeight="true" outlineLevel="0" collapsed="false">
      <c r="A4" s="46" t="s">
        <v>3029</v>
      </c>
      <c r="B4" s="46" t="s">
        <v>3158</v>
      </c>
      <c r="C4" s="46" t="s">
        <v>78</v>
      </c>
      <c r="D4" s="46" t="s">
        <v>3159</v>
      </c>
      <c r="E4" s="46" t="s">
        <v>3160</v>
      </c>
      <c r="F4" s="46" t="s">
        <v>3161</v>
      </c>
      <c r="G4" s="46" t="s">
        <v>3162</v>
      </c>
      <c r="H4" s="46" t="s">
        <v>3163</v>
      </c>
      <c r="I4" s="46" t="s">
        <v>3164</v>
      </c>
    </row>
    <row r="5" customFormat="false" ht="15" hidden="false" customHeight="false" outlineLevel="0" collapsed="false">
      <c r="A5" s="10" t="n">
        <v>1</v>
      </c>
      <c r="B5" s="10" t="s">
        <v>522</v>
      </c>
      <c r="C5" s="10" t="s">
        <v>523</v>
      </c>
      <c r="D5" s="10" t="n">
        <v>4</v>
      </c>
      <c r="E5" s="10" t="n">
        <v>2</v>
      </c>
      <c r="F5" s="10" t="s">
        <v>182</v>
      </c>
      <c r="G5" s="10" t="n">
        <v>0</v>
      </c>
      <c r="H5" s="10" t="n">
        <v>3</v>
      </c>
      <c r="I5" s="64" t="n">
        <f aca="false">SUMIFS(Artikel!$CQ$7:$CQ$1843,Artikel!$A$7:$A$1843,B5)</f>
        <v>0.32015065913371</v>
      </c>
    </row>
    <row r="6" customFormat="false" ht="15" hidden="false" customHeight="false" outlineLevel="0" collapsed="false">
      <c r="A6" s="10" t="n">
        <v>1</v>
      </c>
      <c r="B6" s="10" t="s">
        <v>1021</v>
      </c>
      <c r="C6" s="10" t="s">
        <v>1022</v>
      </c>
      <c r="D6" s="10" t="n">
        <v>2</v>
      </c>
      <c r="E6" s="10" t="n">
        <v>0</v>
      </c>
      <c r="F6" s="10" t="s">
        <v>182</v>
      </c>
      <c r="G6" s="10" t="n">
        <v>0</v>
      </c>
      <c r="H6" s="10" t="n">
        <v>2</v>
      </c>
      <c r="I6" s="64" t="n">
        <f aca="false">SUMIFS(Artikel!$CQ$7:$CQ$1843,Artikel!$A$7:$A$1843,B6)</f>
        <v>0.160075329566855</v>
      </c>
    </row>
    <row r="7" customFormat="false" ht="15" hidden="false" customHeight="false" outlineLevel="0" collapsed="false">
      <c r="A7" s="10" t="n">
        <v>1</v>
      </c>
      <c r="B7" s="10" t="s">
        <v>2400</v>
      </c>
      <c r="C7" s="10" t="s">
        <v>2401</v>
      </c>
      <c r="D7" s="10" t="n">
        <v>3</v>
      </c>
      <c r="E7" s="10" t="n">
        <v>1</v>
      </c>
      <c r="F7" s="10" t="s">
        <v>182</v>
      </c>
      <c r="G7" s="10" t="n">
        <v>-1</v>
      </c>
      <c r="H7" s="10" t="n">
        <v>1</v>
      </c>
      <c r="I7" s="64" t="n">
        <f aca="false">SUMIFS(Artikel!$CQ$7:$CQ$1843,Artikel!$A$7:$A$1843,B7)</f>
        <v>0.240112994350283</v>
      </c>
    </row>
    <row r="8" customFormat="false" ht="15" hidden="false" customHeight="false" outlineLevel="0" collapsed="false">
      <c r="A8" s="10" t="n">
        <v>1</v>
      </c>
      <c r="B8" s="10" t="s">
        <v>2766</v>
      </c>
      <c r="C8" s="10" t="s">
        <v>376</v>
      </c>
      <c r="D8" s="10" t="n">
        <v>2</v>
      </c>
      <c r="E8" s="10" t="n">
        <v>2</v>
      </c>
      <c r="F8" s="10" t="s">
        <v>3165</v>
      </c>
      <c r="G8" s="10"/>
      <c r="H8" s="10"/>
      <c r="I8" s="64" t="n">
        <f aca="false">SUMIFS(Artikel!$CQ$7:$CQ$1843,Artikel!$A$7:$A$1843,B8)</f>
        <v>0.160075329566855</v>
      </c>
    </row>
    <row r="9" customFormat="false" ht="15" hidden="false" customHeight="false" outlineLevel="0" collapsed="false">
      <c r="A9" s="10" t="n">
        <v>1</v>
      </c>
      <c r="B9" s="10" t="s">
        <v>478</v>
      </c>
      <c r="C9" s="10" t="s">
        <v>3166</v>
      </c>
      <c r="D9" s="10" t="n">
        <v>2</v>
      </c>
      <c r="E9" s="10" t="n">
        <v>1</v>
      </c>
      <c r="F9" s="10" t="s">
        <v>174</v>
      </c>
      <c r="G9" s="10" t="n">
        <v>0</v>
      </c>
      <c r="H9" s="10" t="n">
        <v>1</v>
      </c>
      <c r="I9" s="64" t="n">
        <f aca="false">SUMIFS(Artikel!$CQ$7:$CQ$1843,Artikel!$A$7:$A$1843,B9)</f>
        <v>0.160075329566855</v>
      </c>
    </row>
    <row r="10" customFormat="false" ht="15" hidden="false" customHeight="false" outlineLevel="0" collapsed="false">
      <c r="A10" s="10" t="n">
        <v>1</v>
      </c>
      <c r="B10" s="10" t="s">
        <v>375</v>
      </c>
      <c r="C10" s="10" t="s">
        <v>376</v>
      </c>
      <c r="D10" s="10" t="n">
        <v>20</v>
      </c>
      <c r="E10" s="10" t="n">
        <v>10</v>
      </c>
      <c r="F10" s="10" t="s">
        <v>182</v>
      </c>
      <c r="G10" s="10" t="n">
        <v>10</v>
      </c>
      <c r="H10" s="10" t="n">
        <v>20</v>
      </c>
      <c r="I10" s="64" t="n">
        <f aca="false">SUMIFS(Artikel!$CQ$7:$CQ$1843,Artikel!$A$7:$A$1843,B10)</f>
        <v>1.60075329566855</v>
      </c>
    </row>
    <row r="11" customFormat="false" ht="15" hidden="false" customHeight="false" outlineLevel="0" collapsed="false">
      <c r="A11" s="10" t="n">
        <v>1</v>
      </c>
      <c r="B11" s="10" t="s">
        <v>2569</v>
      </c>
      <c r="C11" s="10" t="s">
        <v>3167</v>
      </c>
      <c r="D11" s="10" t="n">
        <v>11</v>
      </c>
      <c r="E11" s="10" t="n">
        <v>8</v>
      </c>
      <c r="F11" s="10" t="s">
        <v>174</v>
      </c>
      <c r="G11" s="10" t="n">
        <v>-4</v>
      </c>
      <c r="H11" s="10" t="n">
        <v>-4</v>
      </c>
      <c r="I11" s="64" t="n">
        <f aca="false">SUMIFS(Artikel!$CQ$7:$CQ$1843,Artikel!$A$7:$A$1843,B11)</f>
        <v>0.880414312617702</v>
      </c>
    </row>
    <row r="12" customFormat="false" ht="15" hidden="false" customHeight="false" outlineLevel="0" collapsed="false">
      <c r="A12" s="10" t="n">
        <v>1</v>
      </c>
      <c r="B12" s="10" t="s">
        <v>199</v>
      </c>
      <c r="C12" s="10" t="s">
        <v>3167</v>
      </c>
      <c r="D12" s="10" t="n">
        <v>20</v>
      </c>
      <c r="E12" s="10" t="n">
        <v>5</v>
      </c>
      <c r="F12" s="10" t="s">
        <v>174</v>
      </c>
      <c r="G12" s="10" t="n">
        <v>12</v>
      </c>
      <c r="H12" s="10" t="n">
        <v>15</v>
      </c>
      <c r="I12" s="64" t="n">
        <f aca="false">SUMIFS(Artikel!$CQ$7:$CQ$1843,Artikel!$A$7:$A$1843,B12)</f>
        <v>1.60075329566855</v>
      </c>
    </row>
    <row r="13" customFormat="false" ht="15" hidden="false" customHeight="false" outlineLevel="0" collapsed="false">
      <c r="A13" s="10" t="n">
        <v>1</v>
      </c>
      <c r="B13" s="10" t="s">
        <v>2432</v>
      </c>
      <c r="C13" s="10" t="s">
        <v>376</v>
      </c>
      <c r="D13" s="10" t="n">
        <v>2</v>
      </c>
      <c r="E13" s="10" t="n">
        <v>1</v>
      </c>
      <c r="F13" s="10" t="s">
        <v>174</v>
      </c>
      <c r="G13" s="10" t="n">
        <v>-2</v>
      </c>
      <c r="H13" s="10" t="n">
        <v>1</v>
      </c>
      <c r="I13" s="64" t="n">
        <f aca="false">SUMIFS(Artikel!$CQ$7:$CQ$1843,Artikel!$A$7:$A$1843,B13)</f>
        <v>0.160075329566855</v>
      </c>
    </row>
    <row r="14" customFormat="false" ht="15" hidden="false" customHeight="false" outlineLevel="0" collapsed="false">
      <c r="A14" s="10" t="n">
        <v>1</v>
      </c>
      <c r="B14" s="10" t="s">
        <v>2110</v>
      </c>
      <c r="C14" s="10" t="s">
        <v>3168</v>
      </c>
      <c r="D14" s="10" t="n">
        <v>14</v>
      </c>
      <c r="E14" s="10" t="n">
        <v>5</v>
      </c>
      <c r="F14" s="10" t="s">
        <v>182</v>
      </c>
      <c r="G14" s="10" t="n">
        <v>-2</v>
      </c>
      <c r="H14" s="10" t="n">
        <v>7</v>
      </c>
      <c r="I14" s="64" t="n">
        <f aca="false">SUMIFS(Artikel!$CQ$7:$CQ$1843,Artikel!$A$7:$A$1843,B14)</f>
        <v>1.12052730696798</v>
      </c>
    </row>
    <row r="15" customFormat="false" ht="15" hidden="false" customHeight="false" outlineLevel="0" collapsed="false">
      <c r="A15" s="10" t="n">
        <v>1</v>
      </c>
      <c r="B15" s="10" t="s">
        <v>171</v>
      </c>
      <c r="C15" s="10" t="s">
        <v>3167</v>
      </c>
      <c r="D15" s="10" t="n">
        <v>22</v>
      </c>
      <c r="E15" s="10" t="n">
        <v>18</v>
      </c>
      <c r="F15" s="10" t="s">
        <v>174</v>
      </c>
      <c r="G15" s="10" t="n">
        <v>20</v>
      </c>
      <c r="H15" s="10" t="n">
        <v>27</v>
      </c>
      <c r="I15" s="64" t="n">
        <f aca="false">SUMIFS(Artikel!$CQ$7:$CQ$1843,Artikel!$A$7:$A$1843,B15)</f>
        <v>1.7608286252354</v>
      </c>
    </row>
    <row r="16" customFormat="false" ht="15" hidden="false" customHeight="false" outlineLevel="0" collapsed="false">
      <c r="A16" s="10" t="n">
        <v>1</v>
      </c>
      <c r="B16" s="10" t="s">
        <v>2179</v>
      </c>
      <c r="C16" s="10" t="s">
        <v>306</v>
      </c>
      <c r="D16" s="10" t="n">
        <v>35</v>
      </c>
      <c r="E16" s="10" t="n">
        <v>16</v>
      </c>
      <c r="F16" s="10" t="s">
        <v>174</v>
      </c>
      <c r="G16" s="10" t="n">
        <v>-3</v>
      </c>
      <c r="H16" s="10" t="n">
        <v>18</v>
      </c>
      <c r="I16" s="64" t="n">
        <f aca="false">SUMIFS(Artikel!$CQ$7:$CQ$1843,Artikel!$A$7:$A$1843,B16)</f>
        <v>2.80131826741996</v>
      </c>
    </row>
    <row r="17" customFormat="false" ht="15" hidden="false" customHeight="false" outlineLevel="0" collapsed="false">
      <c r="A17" s="10" t="n">
        <v>1</v>
      </c>
      <c r="B17" s="10" t="s">
        <v>2518</v>
      </c>
      <c r="C17" s="10" t="s">
        <v>3167</v>
      </c>
      <c r="D17" s="10" t="n">
        <v>3</v>
      </c>
      <c r="E17" s="10" t="n">
        <v>1</v>
      </c>
      <c r="F17" s="10" t="s">
        <v>174</v>
      </c>
      <c r="G17" s="10" t="n">
        <v>-3</v>
      </c>
      <c r="H17" s="10" t="n">
        <v>1</v>
      </c>
      <c r="I17" s="64" t="n">
        <f aca="false">SUMIFS(Artikel!$CQ$7:$CQ$1843,Artikel!$A$7:$A$1843,B17)</f>
        <v>0.240112994350283</v>
      </c>
    </row>
    <row r="18" customFormat="false" ht="15" hidden="false" customHeight="false" outlineLevel="0" collapsed="false">
      <c r="A18" s="10" t="n">
        <v>1</v>
      </c>
      <c r="B18" s="10" t="s">
        <v>686</v>
      </c>
      <c r="C18" s="10" t="s">
        <v>376</v>
      </c>
      <c r="D18" s="10" t="n">
        <v>1</v>
      </c>
      <c r="E18" s="10" t="n">
        <v>1</v>
      </c>
      <c r="F18" s="10" t="s">
        <v>182</v>
      </c>
      <c r="G18" s="10" t="n">
        <v>1</v>
      </c>
      <c r="H18" s="10" t="n">
        <v>1</v>
      </c>
      <c r="I18" s="64" t="n">
        <f aca="false">SUMIFS(Artikel!$CQ$7:$CQ$1843,Artikel!$A$7:$A$1843,B18)</f>
        <v>0.0800376647834275</v>
      </c>
    </row>
    <row r="19" customFormat="false" ht="15" hidden="false" customHeight="false" outlineLevel="0" collapsed="false">
      <c r="A19" s="10" t="n">
        <v>1</v>
      </c>
      <c r="B19" s="10" t="s">
        <v>2388</v>
      </c>
      <c r="C19" s="10" t="s">
        <v>3169</v>
      </c>
      <c r="D19" s="10" t="n">
        <v>18</v>
      </c>
      <c r="E19" s="10" t="n">
        <v>11</v>
      </c>
      <c r="F19" s="10" t="s">
        <v>182</v>
      </c>
      <c r="G19" s="10" t="n">
        <v>-8</v>
      </c>
      <c r="H19" s="10" t="n">
        <v>11</v>
      </c>
      <c r="I19" s="64" t="n">
        <f aca="false">SUMIFS(Artikel!$CQ$7:$CQ$1843,Artikel!$A$7:$A$1843,B19)</f>
        <v>1.44067796610169</v>
      </c>
    </row>
    <row r="20" customFormat="false" ht="15" hidden="false" customHeight="false" outlineLevel="0" collapsed="false">
      <c r="A20" s="10" t="n">
        <v>1</v>
      </c>
      <c r="B20" s="10" t="s">
        <v>2847</v>
      </c>
      <c r="C20" s="10" t="s">
        <v>3170</v>
      </c>
      <c r="D20" s="10" t="n">
        <v>1</v>
      </c>
      <c r="E20" s="10" t="n">
        <v>1</v>
      </c>
      <c r="F20" s="10" t="s">
        <v>3165</v>
      </c>
      <c r="G20" s="10"/>
      <c r="H20" s="10"/>
      <c r="I20" s="64" t="n">
        <f aca="false">SUMIFS(Artikel!$CQ$7:$CQ$1843,Artikel!$A$7:$A$1843,B20)</f>
        <v>0.0800376647834275</v>
      </c>
    </row>
    <row r="21" customFormat="false" ht="15" hidden="false" customHeight="false" outlineLevel="0" collapsed="false">
      <c r="A21" s="10" t="n">
        <v>1</v>
      </c>
      <c r="B21" s="10" t="s">
        <v>261</v>
      </c>
      <c r="C21" s="10" t="s">
        <v>262</v>
      </c>
      <c r="D21" s="10" t="n">
        <v>34</v>
      </c>
      <c r="E21" s="10" t="n">
        <v>19</v>
      </c>
      <c r="F21" s="10" t="s">
        <v>174</v>
      </c>
      <c r="G21" s="10" t="n">
        <v>7</v>
      </c>
      <c r="H21" s="10" t="n">
        <v>25</v>
      </c>
      <c r="I21" s="64" t="n">
        <f aca="false">SUMIFS(Artikel!$CQ$7:$CQ$1843,Artikel!$A$7:$A$1843,B21)</f>
        <v>2.72128060263654</v>
      </c>
    </row>
    <row r="22" customFormat="false" ht="15" hidden="false" customHeight="false" outlineLevel="0" collapsed="false">
      <c r="A22" s="10" t="n">
        <v>1</v>
      </c>
      <c r="B22" s="10" t="s">
        <v>2506</v>
      </c>
      <c r="C22" s="10" t="s">
        <v>262</v>
      </c>
      <c r="D22" s="10" t="n">
        <v>10</v>
      </c>
      <c r="E22" s="10" t="n">
        <v>7</v>
      </c>
      <c r="F22" s="10" t="s">
        <v>182</v>
      </c>
      <c r="G22" s="10" t="n">
        <v>-5</v>
      </c>
      <c r="H22" s="10" t="n">
        <v>7</v>
      </c>
      <c r="I22" s="64" t="n">
        <f aca="false">SUMIFS(Artikel!$CQ$7:$CQ$1843,Artikel!$A$7:$A$1843,B22)</f>
        <v>0.800376647834275</v>
      </c>
    </row>
    <row r="23" customFormat="false" ht="15" hidden="false" customHeight="false" outlineLevel="0" collapsed="false">
      <c r="A23" s="10" t="n">
        <v>1</v>
      </c>
      <c r="B23" s="10" t="s">
        <v>2380</v>
      </c>
      <c r="C23" s="10" t="s">
        <v>2381</v>
      </c>
      <c r="D23" s="10" t="n">
        <v>15</v>
      </c>
      <c r="E23" s="10" t="n">
        <v>7</v>
      </c>
      <c r="F23" s="10" t="s">
        <v>174</v>
      </c>
      <c r="G23" s="10" t="n">
        <v>0</v>
      </c>
      <c r="H23" s="10" t="n">
        <v>31</v>
      </c>
      <c r="I23" s="64" t="n">
        <f aca="false">SUMIFS(Artikel!$CQ$7:$CQ$1843,Artikel!$A$7:$A$1843,B23)</f>
        <v>1.20056497175141</v>
      </c>
    </row>
    <row r="24" customFormat="false" ht="15" hidden="false" customHeight="false" outlineLevel="0" collapsed="false">
      <c r="A24" s="10" t="n">
        <v>1</v>
      </c>
      <c r="B24" s="10" t="s">
        <v>218</v>
      </c>
      <c r="C24" s="10" t="s">
        <v>219</v>
      </c>
      <c r="D24" s="10" t="n">
        <v>22</v>
      </c>
      <c r="E24" s="10" t="n">
        <v>16</v>
      </c>
      <c r="F24" s="10" t="s">
        <v>174</v>
      </c>
      <c r="G24" s="10" t="n">
        <v>7</v>
      </c>
      <c r="H24" s="10" t="n">
        <v>10</v>
      </c>
      <c r="I24" s="64" t="n">
        <f aca="false">SUMIFS(Artikel!$CQ$7:$CQ$1843,Artikel!$A$7:$A$1843,B24)</f>
        <v>1.7608286252354</v>
      </c>
    </row>
    <row r="25" customFormat="false" ht="15" hidden="false" customHeight="false" outlineLevel="0" collapsed="false">
      <c r="A25" s="10" t="n">
        <v>1</v>
      </c>
      <c r="B25" s="10" t="s">
        <v>228</v>
      </c>
      <c r="C25" s="10" t="s">
        <v>229</v>
      </c>
      <c r="D25" s="10" t="n">
        <v>12</v>
      </c>
      <c r="E25" s="10" t="n">
        <v>9</v>
      </c>
      <c r="F25" s="10" t="s">
        <v>174</v>
      </c>
      <c r="G25" s="10" t="n">
        <v>5</v>
      </c>
      <c r="H25" s="10" t="n">
        <v>5</v>
      </c>
      <c r="I25" s="64" t="n">
        <f aca="false">SUMIFS(Artikel!$CQ$7:$CQ$1843,Artikel!$A$7:$A$1843,B25)</f>
        <v>0.96045197740113</v>
      </c>
    </row>
    <row r="26" customFormat="false" ht="15" hidden="false" customHeight="false" outlineLevel="0" collapsed="false">
      <c r="A26" s="10" t="n">
        <v>1</v>
      </c>
      <c r="B26" s="10" t="s">
        <v>249</v>
      </c>
      <c r="C26" s="10" t="s">
        <v>250</v>
      </c>
      <c r="D26" s="10" t="n">
        <v>10</v>
      </c>
      <c r="E26" s="10" t="n">
        <v>8</v>
      </c>
      <c r="F26" s="10" t="s">
        <v>174</v>
      </c>
      <c r="G26" s="10" t="n">
        <v>3</v>
      </c>
      <c r="H26" s="10" t="n">
        <v>10</v>
      </c>
      <c r="I26" s="64" t="n">
        <f aca="false">SUMIFS(Artikel!$CQ$7:$CQ$1843,Artikel!$A$7:$A$1843,B26)</f>
        <v>0.800376647834275</v>
      </c>
    </row>
    <row r="27" customFormat="false" ht="15" hidden="false" customHeight="false" outlineLevel="0" collapsed="false">
      <c r="A27" s="10" t="n">
        <v>1</v>
      </c>
      <c r="B27" s="10" t="s">
        <v>2867</v>
      </c>
      <c r="C27" s="10" t="s">
        <v>2393</v>
      </c>
      <c r="D27" s="10" t="n">
        <v>4</v>
      </c>
      <c r="E27" s="10" t="n">
        <v>3</v>
      </c>
      <c r="F27" s="10" t="s">
        <v>3165</v>
      </c>
      <c r="G27" s="10"/>
      <c r="H27" s="10"/>
      <c r="I27" s="64" t="n">
        <f aca="false">SUMIFS(Artikel!$CQ$7:$CQ$1843,Artikel!$A$7:$A$1843,B27)</f>
        <v>0.32015065913371</v>
      </c>
    </row>
    <row r="28" customFormat="false" ht="15" hidden="false" customHeight="false" outlineLevel="0" collapsed="false">
      <c r="A28" s="10" t="n">
        <v>1</v>
      </c>
      <c r="B28" s="10" t="s">
        <v>657</v>
      </c>
      <c r="C28" s="10" t="s">
        <v>306</v>
      </c>
      <c r="D28" s="10" t="n">
        <v>16</v>
      </c>
      <c r="E28" s="10" t="n">
        <v>9</v>
      </c>
      <c r="F28" s="10" t="s">
        <v>174</v>
      </c>
      <c r="G28" s="10" t="n">
        <v>3</v>
      </c>
      <c r="H28" s="10" t="n">
        <v>9</v>
      </c>
      <c r="I28" s="64" t="n">
        <f aca="false">SUMIFS(Artikel!$CQ$7:$CQ$1843,Artikel!$A$7:$A$1843,B28)</f>
        <v>1.28060263653484</v>
      </c>
    </row>
    <row r="29" customFormat="false" ht="15" hidden="false" customHeight="false" outlineLevel="0" collapsed="false">
      <c r="A29" s="10" t="n">
        <v>1</v>
      </c>
      <c r="B29" s="10" t="s">
        <v>305</v>
      </c>
      <c r="C29" s="10" t="s">
        <v>306</v>
      </c>
      <c r="D29" s="10" t="n">
        <v>36</v>
      </c>
      <c r="E29" s="10" t="n">
        <v>34</v>
      </c>
      <c r="F29" s="10" t="s">
        <v>174</v>
      </c>
      <c r="G29" s="10" t="n">
        <v>29</v>
      </c>
      <c r="H29" s="10" t="n">
        <v>34</v>
      </c>
      <c r="I29" s="64" t="n">
        <f aca="false">SUMIFS(Artikel!$CQ$7:$CQ$1843,Artikel!$A$7:$A$1843,B29)</f>
        <v>2.88135593220339</v>
      </c>
    </row>
    <row r="30" customFormat="false" ht="15" hidden="false" customHeight="false" outlineLevel="0" collapsed="false">
      <c r="A30" s="10" t="n">
        <v>1</v>
      </c>
      <c r="B30" s="10" t="s">
        <v>2347</v>
      </c>
      <c r="C30" s="10" t="s">
        <v>262</v>
      </c>
      <c r="D30" s="10" t="n">
        <v>1</v>
      </c>
      <c r="E30" s="10" t="n">
        <v>1</v>
      </c>
      <c r="F30" s="10" t="s">
        <v>182</v>
      </c>
      <c r="G30" s="10" t="n">
        <v>-1</v>
      </c>
      <c r="H30" s="10" t="n">
        <v>1</v>
      </c>
      <c r="I30" s="64" t="n">
        <f aca="false">SUMIFS(Artikel!$CQ$7:$CQ$1843,Artikel!$A$7:$A$1843,B30)</f>
        <v>0.0800376647834275</v>
      </c>
    </row>
    <row r="31" customFormat="false" ht="15" hidden="false" customHeight="false" outlineLevel="0" collapsed="false">
      <c r="A31" s="10" t="n">
        <v>1</v>
      </c>
      <c r="B31" s="10" t="s">
        <v>2878</v>
      </c>
      <c r="C31" s="10" t="s">
        <v>376</v>
      </c>
      <c r="D31" s="10" t="n">
        <v>1</v>
      </c>
      <c r="E31" s="10" t="n">
        <v>1</v>
      </c>
      <c r="F31" s="10" t="s">
        <v>3165</v>
      </c>
      <c r="G31" s="10"/>
      <c r="H31" s="10"/>
      <c r="I31" s="64" t="n">
        <f aca="false">SUMIFS(Artikel!$CQ$7:$CQ$1843,Artikel!$A$7:$A$1843,B31)</f>
        <v>0.0800376647834275</v>
      </c>
    </row>
    <row r="32" customFormat="false" ht="15" hidden="false" customHeight="false" outlineLevel="0" collapsed="false">
      <c r="A32" s="10" t="n">
        <v>1</v>
      </c>
      <c r="B32" s="10" t="s">
        <v>660</v>
      </c>
      <c r="C32" s="10" t="s">
        <v>376</v>
      </c>
      <c r="D32" s="10" t="n">
        <v>1</v>
      </c>
      <c r="E32" s="10" t="n">
        <v>1</v>
      </c>
      <c r="F32" s="10" t="s">
        <v>182</v>
      </c>
      <c r="G32" s="10" t="n">
        <v>1</v>
      </c>
      <c r="H32" s="10" t="n">
        <v>1</v>
      </c>
      <c r="I32" s="64" t="n">
        <f aca="false">SUMIFS(Artikel!$CQ$7:$CQ$1843,Artikel!$A$7:$A$1843,B32)</f>
        <v>0.0800376647834275</v>
      </c>
    </row>
    <row r="33" customFormat="false" ht="15" hidden="false" customHeight="false" outlineLevel="0" collapsed="false">
      <c r="A33" s="10" t="n">
        <v>1</v>
      </c>
      <c r="B33" s="10" t="s">
        <v>2879</v>
      </c>
      <c r="C33" s="10" t="s">
        <v>376</v>
      </c>
      <c r="D33" s="10" t="n">
        <v>1</v>
      </c>
      <c r="E33" s="10" t="n">
        <v>1</v>
      </c>
      <c r="F33" s="10" t="s">
        <v>3165</v>
      </c>
      <c r="G33" s="10"/>
      <c r="H33" s="10"/>
      <c r="I33" s="64" t="n">
        <f aca="false">SUMIFS(Artikel!$CQ$7:$CQ$1843,Artikel!$A$7:$A$1843,B33)</f>
        <v>0.0800376647834275</v>
      </c>
    </row>
    <row r="34" customFormat="false" ht="15" hidden="false" customHeight="false" outlineLevel="0" collapsed="false">
      <c r="A34" s="10" t="n">
        <v>1</v>
      </c>
      <c r="B34" s="10" t="s">
        <v>2392</v>
      </c>
      <c r="C34" s="10" t="s">
        <v>2393</v>
      </c>
      <c r="D34" s="10" t="n">
        <v>1</v>
      </c>
      <c r="E34" s="10" t="n">
        <v>0</v>
      </c>
      <c r="F34" s="10" t="s">
        <v>174</v>
      </c>
      <c r="G34" s="10" t="n">
        <v>-2</v>
      </c>
      <c r="H34" s="10" t="n">
        <v>0</v>
      </c>
      <c r="I34" s="64" t="n">
        <f aca="false">SUMIFS(Artikel!$CQ$7:$CQ$1843,Artikel!$A$7:$A$1843,B34)</f>
        <v>0.0800376647834275</v>
      </c>
    </row>
    <row r="35" customFormat="false" ht="15" hidden="false" customHeight="false" outlineLevel="0" collapsed="false">
      <c r="A35" s="10" t="n">
        <v>1</v>
      </c>
      <c r="B35" s="10" t="s">
        <v>2465</v>
      </c>
      <c r="C35" s="10" t="s">
        <v>262</v>
      </c>
      <c r="D35" s="10" t="n">
        <v>6</v>
      </c>
      <c r="E35" s="10" t="n">
        <v>0</v>
      </c>
      <c r="F35" s="10" t="s">
        <v>174</v>
      </c>
      <c r="G35" s="10" t="n">
        <v>-3</v>
      </c>
      <c r="H35" s="10" t="n">
        <v>0</v>
      </c>
      <c r="I35" s="64" t="n">
        <f aca="false">SUMIFS(Artikel!$CQ$7:$CQ$1843,Artikel!$A$7:$A$1843,B35)</f>
        <v>0.480225988700565</v>
      </c>
    </row>
    <row r="36" customFormat="false" ht="15" hidden="false" customHeight="false" outlineLevel="0" collapsed="false">
      <c r="A36" s="10" t="n">
        <v>1</v>
      </c>
      <c r="B36" s="10" t="s">
        <v>2565</v>
      </c>
      <c r="C36" s="10" t="s">
        <v>2393</v>
      </c>
      <c r="D36" s="10" t="n">
        <v>13</v>
      </c>
      <c r="E36" s="10" t="n">
        <v>10</v>
      </c>
      <c r="F36" s="10" t="s">
        <v>174</v>
      </c>
      <c r="G36" s="10" t="n">
        <v>-24</v>
      </c>
      <c r="H36" s="10" t="n">
        <v>-24</v>
      </c>
      <c r="I36" s="64" t="n">
        <f aca="false">SUMIFS(Artikel!$CQ$7:$CQ$1843,Artikel!$A$7:$A$1843,B36)</f>
        <v>1.04048964218456</v>
      </c>
    </row>
    <row r="37" customFormat="false" ht="15" hidden="false" customHeight="false" outlineLevel="0" collapsed="false">
      <c r="A37" s="10" t="n">
        <v>1</v>
      </c>
      <c r="B37" s="10" t="s">
        <v>2546</v>
      </c>
      <c r="C37" s="10" t="s">
        <v>2393</v>
      </c>
      <c r="D37" s="10" t="n">
        <v>13</v>
      </c>
      <c r="E37" s="10" t="n">
        <v>6</v>
      </c>
      <c r="F37" s="10" t="s">
        <v>174</v>
      </c>
      <c r="G37" s="10" t="n">
        <v>-3</v>
      </c>
      <c r="H37" s="10" t="n">
        <v>-3</v>
      </c>
      <c r="I37" s="64" t="n">
        <f aca="false">SUMIFS(Artikel!$CQ$7:$CQ$1843,Artikel!$A$7:$A$1843,B37)</f>
        <v>1.04048964218456</v>
      </c>
    </row>
    <row r="38" customFormat="false" ht="15" hidden="false" customHeight="false" outlineLevel="0" collapsed="false">
      <c r="A38" s="10" t="n">
        <v>1</v>
      </c>
      <c r="B38" s="10" t="s">
        <v>2406</v>
      </c>
      <c r="C38" s="10" t="s">
        <v>215</v>
      </c>
      <c r="D38" s="10" t="n">
        <v>1</v>
      </c>
      <c r="E38" s="10" t="n">
        <v>1</v>
      </c>
      <c r="F38" s="10" t="s">
        <v>182</v>
      </c>
      <c r="G38" s="10" t="n">
        <v>-1</v>
      </c>
      <c r="H38" s="10" t="n">
        <v>9</v>
      </c>
      <c r="I38" s="64" t="n">
        <f aca="false">SUMIFS(Artikel!$CQ$7:$CQ$1843,Artikel!$A$7:$A$1843,B38)</f>
        <v>0.0800376647834275</v>
      </c>
    </row>
    <row r="39" customFormat="false" ht="15" hidden="false" customHeight="false" outlineLevel="0" collapsed="false">
      <c r="A39" s="10" t="n">
        <v>1</v>
      </c>
      <c r="B39" s="10" t="s">
        <v>214</v>
      </c>
      <c r="C39" s="10" t="s">
        <v>215</v>
      </c>
      <c r="D39" s="10" t="n">
        <v>10</v>
      </c>
      <c r="E39" s="10" t="n">
        <v>0</v>
      </c>
      <c r="F39" s="10" t="s">
        <v>174</v>
      </c>
      <c r="G39" s="10" t="n">
        <v>5</v>
      </c>
      <c r="H39" s="10" t="n">
        <v>11</v>
      </c>
      <c r="I39" s="64" t="n">
        <f aca="false">SUMIFS(Artikel!$CQ$7:$CQ$1843,Artikel!$A$7:$A$1843,B39)</f>
        <v>0.800376647834275</v>
      </c>
    </row>
    <row r="40" customFormat="false" ht="15" hidden="false" customHeight="false" outlineLevel="0" collapsed="false">
      <c r="A40" s="10" t="n">
        <v>1</v>
      </c>
      <c r="B40" s="10" t="s">
        <v>2394</v>
      </c>
      <c r="C40" s="10" t="s">
        <v>2393</v>
      </c>
      <c r="D40" s="10" t="n">
        <v>10</v>
      </c>
      <c r="E40" s="10" t="n">
        <v>9</v>
      </c>
      <c r="F40" s="10" t="s">
        <v>174</v>
      </c>
      <c r="G40" s="10" t="n">
        <v>-1</v>
      </c>
      <c r="H40" s="10" t="n">
        <v>9</v>
      </c>
      <c r="I40" s="64" t="n">
        <f aca="false">SUMIFS(Artikel!$CQ$7:$CQ$1843,Artikel!$A$7:$A$1843,B40)</f>
        <v>0.800376647834275</v>
      </c>
    </row>
    <row r="41" customFormat="false" ht="15" hidden="false" customHeight="false" outlineLevel="0" collapsed="false">
      <c r="A41" s="10" t="n">
        <v>1</v>
      </c>
      <c r="B41" s="10" t="s">
        <v>2493</v>
      </c>
      <c r="C41" s="10" t="s">
        <v>2393</v>
      </c>
      <c r="D41" s="10" t="n">
        <v>6</v>
      </c>
      <c r="E41" s="10" t="n">
        <v>6</v>
      </c>
      <c r="F41" s="10" t="s">
        <v>174</v>
      </c>
      <c r="G41" s="10" t="n">
        <v>-2</v>
      </c>
      <c r="H41" s="10" t="n">
        <v>6</v>
      </c>
      <c r="I41" s="64" t="n">
        <f aca="false">SUMIFS(Artikel!$CQ$7:$CQ$1843,Artikel!$A$7:$A$1843,B41)</f>
        <v>0.480225988700565</v>
      </c>
    </row>
    <row r="42" customFormat="false" ht="15" hidden="false" customHeight="false" outlineLevel="0" collapsed="false">
      <c r="A42" s="10" t="n">
        <v>1</v>
      </c>
      <c r="B42" s="10" t="s">
        <v>3022</v>
      </c>
      <c r="C42" s="10" t="s">
        <v>376</v>
      </c>
      <c r="D42" s="10" t="n">
        <v>2</v>
      </c>
      <c r="E42" s="10" t="n">
        <v>2</v>
      </c>
      <c r="F42" s="10" t="s">
        <v>3165</v>
      </c>
      <c r="G42" s="10"/>
      <c r="H42" s="10"/>
      <c r="I42" s="64" t="n">
        <f aca="false">SUMIFS(Artikel!$CQ$7:$CQ$1843,Artikel!$A$7:$A$1843,B42)</f>
        <v>0.160075329566855</v>
      </c>
    </row>
    <row r="43" customFormat="false" ht="15" hidden="false" customHeight="false" outlineLevel="0" collapsed="false">
      <c r="A43" s="10" t="n">
        <v>1</v>
      </c>
      <c r="B43" s="10" t="s">
        <v>470</v>
      </c>
      <c r="C43" s="10" t="s">
        <v>3168</v>
      </c>
      <c r="D43" s="10" t="n">
        <v>8</v>
      </c>
      <c r="E43" s="10" t="n">
        <v>8</v>
      </c>
      <c r="F43" s="10" t="s">
        <v>174</v>
      </c>
      <c r="G43" s="10" t="n">
        <v>8</v>
      </c>
      <c r="H43" s="10" t="n">
        <v>8</v>
      </c>
      <c r="I43" s="64" t="n">
        <f aca="false">SUMIFS(Artikel!$CQ$7:$CQ$1843,Artikel!$A$7:$A$1843,B43)</f>
        <v>0.64030131826742</v>
      </c>
    </row>
    <row r="44" customFormat="false" ht="15" hidden="false" customHeight="false" outlineLevel="0" collapsed="false">
      <c r="A44" s="10" t="n">
        <v>1</v>
      </c>
      <c r="B44" s="10" t="s">
        <v>2555</v>
      </c>
      <c r="C44" s="10" t="s">
        <v>2556</v>
      </c>
      <c r="D44" s="10" t="n">
        <v>29</v>
      </c>
      <c r="E44" s="10" t="n">
        <v>9</v>
      </c>
      <c r="F44" s="10" t="s">
        <v>174</v>
      </c>
      <c r="G44" s="10" t="n">
        <v>-8</v>
      </c>
      <c r="H44" s="10" t="n">
        <v>-8</v>
      </c>
      <c r="I44" s="64" t="n">
        <f aca="false">SUMIFS(Artikel!$CQ$7:$CQ$1843,Artikel!$A$7:$A$1843,B44)</f>
        <v>2.3210922787194</v>
      </c>
    </row>
    <row r="45" customFormat="false" ht="15" hidden="false" customHeight="false" outlineLevel="0" collapsed="false">
      <c r="A45" s="10" t="n">
        <v>1</v>
      </c>
      <c r="B45" s="10" t="s">
        <v>2535</v>
      </c>
      <c r="C45" s="10" t="s">
        <v>2536</v>
      </c>
      <c r="D45" s="10" t="n">
        <v>20</v>
      </c>
      <c r="E45" s="10" t="n">
        <v>8</v>
      </c>
      <c r="F45" s="10" t="s">
        <v>174</v>
      </c>
      <c r="G45" s="10" t="n">
        <v>-6</v>
      </c>
      <c r="H45" s="10" t="n">
        <v>-6</v>
      </c>
      <c r="I45" s="64" t="n">
        <f aca="false">SUMIFS(Artikel!$CQ$7:$CQ$1843,Artikel!$A$7:$A$1843,B45)</f>
        <v>1.60075329566855</v>
      </c>
    </row>
    <row r="46" customFormat="false" ht="15" hidden="false" customHeight="false" outlineLevel="0" collapsed="false">
      <c r="A46" s="10" t="n">
        <v>1</v>
      </c>
      <c r="B46" s="10" t="s">
        <v>2223</v>
      </c>
      <c r="C46" s="10" t="s">
        <v>3168</v>
      </c>
      <c r="D46" s="10" t="n">
        <v>22</v>
      </c>
      <c r="E46" s="10" t="n">
        <v>8</v>
      </c>
      <c r="F46" s="10" t="s">
        <v>182</v>
      </c>
      <c r="G46" s="10" t="n">
        <v>-3</v>
      </c>
      <c r="H46" s="10" t="n">
        <v>12</v>
      </c>
      <c r="I46" s="64" t="n">
        <f aca="false">SUMIFS(Artikel!$CQ$7:$CQ$1843,Artikel!$A$7:$A$1843,B46)</f>
        <v>1.7608286252354</v>
      </c>
    </row>
    <row r="47" customFormat="false" ht="15" hidden="false" customHeight="false" outlineLevel="0" collapsed="false">
      <c r="A47" s="10" t="n">
        <v>1</v>
      </c>
      <c r="B47" s="10" t="s">
        <v>676</v>
      </c>
      <c r="C47" s="10" t="s">
        <v>3169</v>
      </c>
      <c r="D47" s="10" t="n">
        <v>22</v>
      </c>
      <c r="E47" s="10" t="n">
        <v>13</v>
      </c>
      <c r="F47" s="10" t="s">
        <v>174</v>
      </c>
      <c r="G47" s="10" t="n">
        <v>2</v>
      </c>
      <c r="H47" s="10" t="n">
        <v>13</v>
      </c>
      <c r="I47" s="64" t="n">
        <f aca="false">SUMIFS(Artikel!$CQ$7:$CQ$1843,Artikel!$A$7:$A$1843,B47)</f>
        <v>1.7608286252354</v>
      </c>
    </row>
    <row r="48" customFormat="false" ht="15" hidden="false" customHeight="false" outlineLevel="0" collapsed="false">
      <c r="A48" s="10" t="n">
        <v>1</v>
      </c>
      <c r="B48" s="10" t="s">
        <v>260</v>
      </c>
      <c r="C48" s="10" t="s">
        <v>215</v>
      </c>
      <c r="D48" s="10" t="n">
        <v>6</v>
      </c>
      <c r="E48" s="10" t="n">
        <v>5</v>
      </c>
      <c r="F48" s="10" t="s">
        <v>182</v>
      </c>
      <c r="G48" s="10" t="n">
        <v>3</v>
      </c>
      <c r="H48" s="10" t="n">
        <v>6</v>
      </c>
      <c r="I48" s="64" t="n">
        <f aca="false">SUMIFS(Artikel!$CQ$7:$CQ$1843,Artikel!$A$7:$A$1843,B48)</f>
        <v>0.480225988700565</v>
      </c>
    </row>
    <row r="49" customFormat="false" ht="15" hidden="false" customHeight="false" outlineLevel="0" collapsed="false">
      <c r="A49" s="10" t="n">
        <v>1</v>
      </c>
      <c r="B49" s="10" t="s">
        <v>2507</v>
      </c>
      <c r="C49" s="10" t="s">
        <v>2541</v>
      </c>
      <c r="D49" s="10" t="n">
        <v>11</v>
      </c>
      <c r="E49" s="10" t="n">
        <v>0</v>
      </c>
      <c r="F49" s="10" t="s">
        <v>174</v>
      </c>
      <c r="G49" s="10" t="n">
        <v>-4</v>
      </c>
      <c r="H49" s="10" t="n">
        <v>3</v>
      </c>
      <c r="I49" s="64" t="n">
        <f aca="false">SUMIFS(Artikel!$CQ$7:$CQ$1843,Artikel!$A$7:$A$1843,B49)</f>
        <v>0.880414312617702</v>
      </c>
    </row>
    <row r="50" customFormat="false" ht="15" hidden="false" customHeight="false" outlineLevel="0" collapsed="false">
      <c r="A50" s="10" t="n">
        <v>1</v>
      </c>
      <c r="B50" s="10" t="s">
        <v>297</v>
      </c>
      <c r="C50" s="10" t="s">
        <v>3171</v>
      </c>
      <c r="D50" s="10" t="n">
        <v>16</v>
      </c>
      <c r="E50" s="10" t="n">
        <v>3</v>
      </c>
      <c r="F50" s="10" t="s">
        <v>174</v>
      </c>
      <c r="G50" s="10" t="n">
        <v>5</v>
      </c>
      <c r="H50" s="10" t="n">
        <v>5</v>
      </c>
      <c r="I50" s="64" t="n">
        <f aca="false">SUMIFS(Artikel!$CQ$7:$CQ$1843,Artikel!$A$7:$A$1843,B50)</f>
        <v>1.28060263653484</v>
      </c>
    </row>
    <row r="51" customFormat="false" ht="15" hidden="false" customHeight="false" outlineLevel="0" collapsed="false">
      <c r="A51" s="10" t="n">
        <v>1</v>
      </c>
      <c r="B51" s="10" t="s">
        <v>293</v>
      </c>
      <c r="C51" s="10" t="s">
        <v>262</v>
      </c>
      <c r="D51" s="10" t="n">
        <v>8</v>
      </c>
      <c r="E51" s="10" t="n">
        <v>4</v>
      </c>
      <c r="F51" s="10" t="s">
        <v>182</v>
      </c>
      <c r="G51" s="10" t="n">
        <v>5</v>
      </c>
      <c r="H51" s="10" t="n">
        <v>5</v>
      </c>
      <c r="I51" s="64" t="n">
        <f aca="false">SUMIFS(Artikel!$CQ$7:$CQ$1843,Artikel!$A$7:$A$1843,B51)</f>
        <v>0.64030131826742</v>
      </c>
    </row>
    <row r="52" customFormat="false" ht="15" hidden="false" customHeight="false" outlineLevel="0" collapsed="false">
      <c r="A52" s="10" t="n">
        <v>1</v>
      </c>
      <c r="B52" s="10" t="s">
        <v>363</v>
      </c>
      <c r="C52" s="10" t="s">
        <v>364</v>
      </c>
      <c r="D52" s="10" t="n">
        <v>4</v>
      </c>
      <c r="E52" s="10" t="n">
        <v>2</v>
      </c>
      <c r="F52" s="10" t="s">
        <v>182</v>
      </c>
      <c r="G52" s="10" t="n">
        <v>5</v>
      </c>
      <c r="H52" s="10" t="n">
        <v>5</v>
      </c>
      <c r="I52" s="64" t="n">
        <f aca="false">SUMIFS(Artikel!$CQ$7:$CQ$1843,Artikel!$A$7:$A$1843,B52)</f>
        <v>0.32015065913371</v>
      </c>
    </row>
    <row r="53" customFormat="false" ht="15" hidden="false" customHeight="false" outlineLevel="0" collapsed="false">
      <c r="C53" s="5" t="s">
        <v>40</v>
      </c>
      <c r="D53" s="5" t="n">
        <f aca="false">SUM(D5:D52)</f>
        <v>531</v>
      </c>
      <c r="E53" s="5" t="n">
        <f aca="false">SUM(E5:E52)</f>
        <v>293</v>
      </c>
      <c r="I53" s="74" t="n">
        <f aca="false">SUM(I5:I52)</f>
        <v>42.5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75" t="s">
        <v>3172</v>
      </c>
    </row>
    <row r="2" customFormat="false" ht="15" hidden="false" customHeight="false" outlineLevel="0" collapsed="false">
      <c r="A2" s="76" t="s">
        <v>3173</v>
      </c>
    </row>
    <row r="3" customFormat="false" ht="15" hidden="false" customHeight="false" outlineLevel="0" collapsed="false">
      <c r="A3" s="77" t="s">
        <v>3174</v>
      </c>
    </row>
    <row r="4" customFormat="false" ht="15" hidden="false" customHeight="false" outlineLevel="0" collapsed="false">
      <c r="A4" s="77" t="s">
        <v>3175</v>
      </c>
    </row>
    <row r="5" customFormat="false" ht="15" hidden="false" customHeight="false" outlineLevel="0" collapsed="false">
      <c r="A5" s="77" t="s">
        <v>3176</v>
      </c>
    </row>
    <row r="6" customFormat="false" ht="15" hidden="false" customHeight="false" outlineLevel="0" collapsed="false">
      <c r="A6" s="77" t="s">
        <v>3177</v>
      </c>
    </row>
    <row r="7" customFormat="false" ht="15" hidden="false" customHeight="false" outlineLevel="0" collapsed="false">
      <c r="A7" s="76" t="s">
        <v>3178</v>
      </c>
    </row>
    <row r="8" customFormat="false" ht="23.85" hidden="false" customHeight="false" outlineLevel="0" collapsed="false">
      <c r="A8" s="77" t="s">
        <v>3179</v>
      </c>
    </row>
    <row r="9" customFormat="false" ht="15" hidden="false" customHeight="false" outlineLevel="0" collapsed="false">
      <c r="A9" s="76" t="s">
        <v>3180</v>
      </c>
    </row>
    <row r="10" customFormat="false" ht="35.05" hidden="false" customHeight="false" outlineLevel="0" collapsed="false">
      <c r="A10" s="77" t="s">
        <v>3181</v>
      </c>
    </row>
    <row r="11" customFormat="false" ht="15" hidden="false" customHeight="false" outlineLevel="0" collapsed="false">
      <c r="A11" s="76" t="s">
        <v>3182</v>
      </c>
    </row>
    <row r="12" customFormat="false" ht="15" hidden="false" customHeight="false" outlineLevel="0" collapsed="false">
      <c r="A12" s="77" t="s">
        <v>3183</v>
      </c>
    </row>
    <row r="13" customFormat="false" ht="23.85" hidden="false" customHeight="false" outlineLevel="0" collapsed="false">
      <c r="A13" s="77" t="s">
        <v>3184</v>
      </c>
    </row>
    <row r="14" customFormat="false" ht="15" hidden="false" customHeight="false" outlineLevel="0" collapsed="false">
      <c r="A14" s="77" t="s">
        <v>3185</v>
      </c>
    </row>
    <row r="15" customFormat="false" ht="23.85" hidden="false" customHeight="false" outlineLevel="0" collapsed="false">
      <c r="A15" s="77" t="s">
        <v>3186</v>
      </c>
    </row>
    <row r="16" customFormat="false" ht="15" hidden="false" customHeight="false" outlineLevel="0" collapsed="false">
      <c r="A16" s="77" t="s">
        <v>3187</v>
      </c>
    </row>
    <row r="17" customFormat="false" ht="15" hidden="false" customHeight="false" outlineLevel="0" collapsed="false">
      <c r="A17" s="76" t="s">
        <v>3188</v>
      </c>
    </row>
    <row r="18" customFormat="false" ht="15" hidden="false" customHeight="false" outlineLevel="0" collapsed="false">
      <c r="A18" s="77" t="s">
        <v>3189</v>
      </c>
    </row>
    <row r="19" customFormat="false" ht="15" hidden="false" customHeight="false" outlineLevel="0" collapsed="false">
      <c r="A19" s="77" t="s">
        <v>3190</v>
      </c>
    </row>
    <row r="20" customFormat="false" ht="23.85" hidden="false" customHeight="false" outlineLevel="0" collapsed="false">
      <c r="A20" s="77" t="s">
        <v>3191</v>
      </c>
    </row>
    <row r="21" customFormat="false" ht="23.85" hidden="false" customHeight="false" outlineLevel="0" collapsed="false">
      <c r="A21" s="77" t="s">
        <v>3192</v>
      </c>
    </row>
    <row r="22" customFormat="false" ht="23.85" hidden="false" customHeight="false" outlineLevel="0" collapsed="false">
      <c r="A22" s="77" t="s">
        <v>3193</v>
      </c>
    </row>
    <row r="23" customFormat="false" ht="15" hidden="false" customHeight="false" outlineLevel="0" collapsed="false">
      <c r="A23" s="77" t="s">
        <v>3194</v>
      </c>
    </row>
    <row r="24" customFormat="false" ht="23.85" hidden="false" customHeight="false" outlineLevel="0" collapsed="false">
      <c r="A24" s="77" t="s">
        <v>3195</v>
      </c>
    </row>
    <row r="25" customFormat="false" ht="15" hidden="false" customHeight="false" outlineLevel="0" collapsed="false">
      <c r="A25" s="76" t="s">
        <v>140</v>
      </c>
    </row>
    <row r="26" customFormat="false" ht="23.85" hidden="false" customHeight="false" outlineLevel="0" collapsed="false">
      <c r="A26" s="77" t="s">
        <v>3196</v>
      </c>
    </row>
    <row r="27" customFormat="false" ht="15" hidden="false" customHeight="false" outlineLevel="0" collapsed="false">
      <c r="A27" s="76" t="s">
        <v>3197</v>
      </c>
    </row>
    <row r="28" customFormat="false" ht="23.85" hidden="false" customHeight="false" outlineLevel="0" collapsed="false">
      <c r="A28" s="77" t="s">
        <v>3198</v>
      </c>
    </row>
    <row r="29" customFormat="false" ht="15" hidden="false" customHeight="false" outlineLevel="0" collapsed="false">
      <c r="A29" s="77" t="s">
        <v>3199</v>
      </c>
    </row>
    <row r="30" customFormat="false" ht="15" hidden="false" customHeight="false" outlineLevel="0" collapsed="false">
      <c r="A30" s="77" t="s">
        <v>3200</v>
      </c>
    </row>
    <row r="31" customFormat="false" ht="15" hidden="false" customHeight="false" outlineLevel="0" collapsed="false">
      <c r="A31" s="77" t="s">
        <v>3201</v>
      </c>
    </row>
    <row r="32" customFormat="false" ht="15" hidden="false" customHeight="false" outlineLevel="0" collapsed="false">
      <c r="A32" s="77" t="s">
        <v>3202</v>
      </c>
    </row>
    <row r="33" customFormat="false" ht="15" hidden="false" customHeight="false" outlineLevel="0" collapsed="false">
      <c r="A33" s="77" t="s">
        <v>3203</v>
      </c>
    </row>
    <row r="34" customFormat="false" ht="15" hidden="false" customHeight="false" outlineLevel="0" collapsed="false">
      <c r="A34" s="77" t="s">
        <v>3204</v>
      </c>
    </row>
    <row r="35" customFormat="false" ht="15" hidden="false" customHeight="false" outlineLevel="0" collapsed="false">
      <c r="A35" s="76" t="s">
        <v>3205</v>
      </c>
    </row>
    <row r="36" customFormat="false" ht="23.85" hidden="false" customHeight="false" outlineLevel="0" collapsed="false">
      <c r="A36" s="77" t="s">
        <v>3206</v>
      </c>
    </row>
    <row r="37" customFormat="false" ht="15" hidden="false" customHeight="false" outlineLevel="0" collapsed="false">
      <c r="A37" s="76" t="s">
        <v>3207</v>
      </c>
    </row>
    <row r="38" customFormat="false" ht="15" hidden="false" customHeight="false" outlineLevel="0" collapsed="false">
      <c r="A38" s="77" t="s">
        <v>3208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2026-10-05T13:46:58Z</dcterms:created>
  <dc:creator>openpyxl</dc:creator>
  <dc:description/>
  <dc:language>en-US</dc:language>
  <cp:lastModifiedBy/>
  <dcterms:modified xsi:type="dcterms:W3CDTF">2026-10-05T13:47:20Z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